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1be1de0e9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0da47890b4c4ebb"/>
    <x:sheet xmlns:r="http://schemas.openxmlformats.org/officeDocument/2006/relationships" name="Config_v6" sheetId="2" r:id="Rff51b188813f4879"/>
    <x:sheet xmlns:r="http://schemas.openxmlformats.org/officeDocument/2006/relationships" name="Analiza_Linii" sheetId="3" r:id="Ra79e9588deb24800"/>
    <x:sheet xmlns:r="http://schemas.openxmlformats.org/officeDocument/2006/relationships" name="Motor_Meciuri" sheetId="4" r:id="R9addead08eca49fc"/>
    <x:sheet xmlns:r="http://schemas.openxmlformats.org/officeDocument/2006/relationships" name="Core_Nativ" sheetId="5" r:id="R2c2bab16db1f4827"/>
    <x:sheet xmlns:r="http://schemas.openxmlformats.org/officeDocument/2006/relationships" name="Distributie" sheetId="6" r:id="R9a73db7624134b4a"/>
    <x:sheet xmlns:r="http://schemas.openxmlformats.org/officeDocument/2006/relationships" name="Input_Meci" sheetId="7" r:id="R0e3820e5bbb34bd9"/>
    <x:sheet xmlns:r="http://schemas.openxmlformats.org/officeDocument/2006/relationships" name="Istoric_Nativ" sheetId="8" r:id="Ree327e5612414ed5"/>
    <x:sheet xmlns:r="http://schemas.openxmlformats.org/officeDocument/2006/relationships" name="Surse_Import" sheetId="9" r:id="R0e969870b412459f"/>
    <x:sheet xmlns:r="http://schemas.openxmlformats.org/officeDocument/2006/relationships" name="Calibrare_Linii" sheetId="10" r:id="R07088c29df514dea"/>
    <x:sheet xmlns:r="http://schemas.openxmlformats.org/officeDocument/2006/relationships" name="OOS_Predictii" sheetId="11" r:id="R3f6ff98c43df43cc"/>
    <x:sheet xmlns:r="http://schemas.openxmlformats.org/officeDocument/2006/relationships" name="Verificari" sheetId="12" r:id="R06423cee8073409e"/>
    <x:sheet xmlns:r="http://schemas.openxmlformats.org/officeDocument/2006/relationships" name="Documentatie" sheetId="13" r:id="Rb0ea5e69f52646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0.0%"/>
    <x:numFmt numFmtId="202" formatCode="0.00"/>
    <x:numFmt numFmtId="203" formatCode="yyyy-mm-dd hh:mm;;"/>
  </x:numFmts>
  <x:fonts count="5">
    <x:font>
      <x:sz val="11"/>
      <x:name val="Carlito"/>
    </x:font>
    <x:font>
      <x:sz val="10"/>
      <x:color rgb="FF243447"/>
      <x:name val="Arial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sz val="8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15A87"/>
      </x:patternFill>
    </x:fill>
    <x:fill>
      <x:patternFill patternType="solid">
        <x:fgColor rgb="FFFFF8E7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0"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876f847014702" /><Relationship Type="http://schemas.openxmlformats.org/officeDocument/2006/relationships/theme" Target="/xl/theme/theme1.xml" Id="R3e0dfb42d77f4e64" /><Relationship Type="http://schemas.openxmlformats.org/officeDocument/2006/relationships/sharedStrings" Target="/xl/sharedStrings.xml" Id="R968bc9b3552146af" /><Relationship Type="http://schemas.openxmlformats.org/officeDocument/2006/relationships/worksheet" Target="/xl/worksheets/sheet1.xml" Id="R70da47890b4c4ebb" /><Relationship Type="http://schemas.openxmlformats.org/officeDocument/2006/relationships/worksheet" Target="/xl/worksheets/sheet2.xml" Id="Rff51b188813f4879" /><Relationship Type="http://schemas.openxmlformats.org/officeDocument/2006/relationships/worksheet" Target="/xl/worksheets/sheet3.xml" Id="Ra79e9588deb24800" /><Relationship Type="http://schemas.openxmlformats.org/officeDocument/2006/relationships/worksheet" Target="/xl/worksheets/sheet4.xml" Id="R9addead08eca49fc" /><Relationship Type="http://schemas.openxmlformats.org/officeDocument/2006/relationships/worksheet" Target="/xl/worksheets/sheet5.xml" Id="R2c2bab16db1f4827" /><Relationship Type="http://schemas.openxmlformats.org/officeDocument/2006/relationships/worksheet" Target="/xl/worksheets/sheet6.xml" Id="R9a73db7624134b4a" /><Relationship Type="http://schemas.openxmlformats.org/officeDocument/2006/relationships/worksheet" Target="/xl/worksheets/sheet7.xml" Id="R0e3820e5bbb34bd9" /><Relationship Type="http://schemas.openxmlformats.org/officeDocument/2006/relationships/worksheet" Target="/xl/worksheets/sheet8.xml" Id="Ree327e5612414ed5" /><Relationship Type="http://schemas.openxmlformats.org/officeDocument/2006/relationships/worksheet" Target="/xl/worksheets/sheet9.xml" Id="R0e969870b412459f" /><Relationship Type="http://schemas.openxmlformats.org/officeDocument/2006/relationships/worksheet" Target="/xl/worksheets/sheet10.xml" Id="R07088c29df514dea" /><Relationship Type="http://schemas.openxmlformats.org/officeDocument/2006/relationships/worksheet" Target="/xl/worksheets/sheet11.xml" Id="R3f6ff98c43df43cc" /><Relationship Type="http://schemas.openxmlformats.org/officeDocument/2006/relationships/worksheet" Target="/xl/worksheets/sheet12.xml" Id="R06423cee8073409e" /><Relationship Type="http://schemas.openxmlformats.org/officeDocument/2006/relationships/worksheet" Target="/xl/worksheets/sheet13.xml" Id="Rb0ea5e69f5264640" /></Relationships>
</file>

<file path=xl/tables/table1.xml><?xml version="1.0" encoding="utf-8"?>
<x:table xmlns:x="http://schemas.openxmlformats.org/spreadsheetml/2006/main" id="9" name="LinesTable" displayName="LinesTable" ref="A5:AN1405" headerRowCount="1" totalsRowCount="0" totalsRowShown="0">
  <x:tableColumns count="40">
    <x:tableColumn id="1" name="Slot"/>
    <x:tableColumn id="2" name="Match_ID"/>
    <x:tableColumn id="3" name="League"/>
    <x:tableColumn id="4" name="Match"/>
    <x:tableColumn id="5" name="Mode"/>
    <x:tableColumn id="6" name="Line"/>
    <x:tableColumn id="7" name="Type"/>
    <x:tableColumn id="8" name="k"/>
    <x:tableColumn id="9" name="Release"/>
    <x:tableColumn id="10" name="G0"/>
    <x:tableColumn id="11" name="Mu"/>
    <x:tableColumn id="12" name="D"/>
    <x:tableColumn id="13" name="P_Raw"/>
    <x:tableColumn id="14" name="P_Calibrated"/>
    <x:tableColumn id="15" name="Failure_Model"/>
    <x:tableColumn id="16" name="Empirical_HA"/>
    <x:tableColumn id="17" name="Empirical_L10"/>
    <x:tableColumn id="18" name="Empirical_L20"/>
    <x:tableColumn id="19" name="Failure_Gate"/>
    <x:tableColumn id="20" name="Risk_Score"/>
    <x:tableColumn id="21" name="Risk_Level_Raw"/>
    <x:tableColumn id="22" name="Confidence_Final"/>
    <x:tableColumn id="23" name="Tail_Gate"/>
    <x:tableColumn id="24" name="Defensive_Candidate"/>
    <x:tableColumn id="25" name="Defensive_Gate"/>
    <x:tableColumn id="26" name="Risk_Level_FINAL"/>
    <x:tableColumn id="27" name="Verdict_FINAL"/>
    <x:tableColumn id="28" name="P_FINAL"/>
    <x:tableColumn id="29" name="Rank_In_Match"/>
    <x:tableColumn id="30" name="Eligible"/>
    <x:tableColumn id="31" name="Builder"/>
    <x:tableColumn id="32" name="Live_Eligible_Best"/>
    <x:tableColumn id="33" name="Rank_LIVE"/>
    <x:tableColumn id="34" name="Reason"/>
    <x:tableColumn id="35" name="Model_Signature"/>
    <x:tableColumn id="36" name="OOS_Status"/>
    <x:tableColumn id="37" name="N_HA_Empirical"/>
    <x:tableColumn id="38" name="N_L10_Empirical"/>
    <x:tableColumn id="39" name="N_L20_Empirical"/>
    <x:tableColumn id="40" name="Candidate_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MotorTable" displayName="MotorTable" ref="A5:BT105" headerRowCount="1" totalsRowCount="0" totalsRowShown="0">
  <x:tableColumns count="72">
    <x:tableColumn id="1" name="Match_ID"/>
    <x:tableColumn id="2" name="League"/>
    <x:tableColumn id="3" name="Season"/>
    <x:tableColumn id="4" name="Match"/>
    <x:tableColumn id="5" name="Mode"/>
    <x:tableColumn id="6" name="Kickoff_UTC"/>
    <x:tableColumn id="7" name="Cutoff_UTC"/>
    <x:tableColumn id="8" name="Release"/>
    <x:tableColumn id="9" name="G0"/>
    <x:tableColumn id="10" name="Reason"/>
    <x:tableColumn id="11" name="Core_Native_Count"/>
    <x:tableColumn id="12" name="Core_Effective_Count"/>
    <x:tableColumn id="13" name="Prior_Active"/>
    <x:tableColumn id="14" name="N_H_Season"/>
    <x:tableColumn id="15" name="N_H_HA"/>
    <x:tableColumn id="16" name="N_H_Recent"/>
    <x:tableColumn id="17" name="N_A_Season"/>
    <x:tableColumn id="18" name="N_A_HA"/>
    <x:tableColumn id="19" name="N_A_Recent"/>
    <x:tableColumn id="20" name="Raw_H_S_For"/>
    <x:tableColumn id="21" name="Raw_H_S_Against"/>
    <x:tableColumn id="22" name="Raw_H_HA_For"/>
    <x:tableColumn id="23" name="Raw_H_HA_Against"/>
    <x:tableColumn id="24" name="Raw_H_R_For"/>
    <x:tableColumn id="25" name="Raw_H_R_Against"/>
    <x:tableColumn id="26" name="Raw_A_S_For"/>
    <x:tableColumn id="27" name="Raw_A_S_Against"/>
    <x:tableColumn id="28" name="Raw_A_HA_For"/>
    <x:tableColumn id="29" name="Raw_A_HA_Against"/>
    <x:tableColumn id="30" name="Raw_A_R_For"/>
    <x:tableColumn id="31" name="Raw_A_R_Against"/>
    <x:tableColumn id="32" name="Effective_H_S_For"/>
    <x:tableColumn id="33" name="Effective_H_S_Against"/>
    <x:tableColumn id="34" name="Effective_H_HA_For"/>
    <x:tableColumn id="35" name="Effective_H_HA_Against"/>
    <x:tableColumn id="36" name="Effective_H_R_For"/>
    <x:tableColumn id="37" name="Effective_H_R_Against"/>
    <x:tableColumn id="38" name="Effective_A_S_For"/>
    <x:tableColumn id="39" name="Effective_A_S_Against"/>
    <x:tableColumn id="40" name="Effective_A_HA_For"/>
    <x:tableColumn id="41" name="Effective_A_HA_Against"/>
    <x:tableColumn id="42" name="Effective_A_R_For"/>
    <x:tableColumn id="43" name="Effective_A_R_Against"/>
    <x:tableColumn id="44" name="N_Dispersion"/>
    <x:tableColumn id="45" name="Mean_Total_History"/>
    <x:tableColumn id="46" name="Variance_Total_History"/>
    <x:tableColumn id="47" name="D"/>
    <x:tableColumn id="48" name="Distribution"/>
    <x:tableColumn id="49" name="NB_Size"/>
    <x:tableColumn id="50" name="Soft_H"/>
    <x:tableColumn id="51" name="Soft_A"/>
    <x:tableColumn id="52" name="Context_H"/>
    <x:tableColumn id="53" name="Context_A"/>
    <x:tableColumn id="54" name="Lambda_H"/>
    <x:tableColumn id="55" name="Lambda_A"/>
    <x:tableColumn id="56" name="Mu"/>
    <x:tableColumn id="57" name="Soft_Missing"/>
    <x:tableColumn id="58" name="Confidence_Base"/>
    <x:tableColumn id="59" name="Calibration_Strength"/>
    <x:tableColumn id="60" name="Sensitivity"/>
    <x:tableColumn id="61" name="Context_Valid"/>
    <x:tableColumn id="62" name="Source_Problems"/>
    <x:tableColumn id="63" name="Config_Valid"/>
    <x:tableColumn id="64" name="Dispersion_Season"/>
    <x:tableColumn id="65" name="H_L10_From"/>
    <x:tableColumn id="66" name="A_L10_From"/>
    <x:tableColumn id="67" name="H_L20_From"/>
    <x:tableColumn id="68" name="A_L20_From"/>
    <x:tableColumn id="69" name="Metadata_Valid"/>
    <x:tableColumn id="70" name="N_Emp_HA"/>
    <x:tableColumn id="71" name="N_Emp_L10"/>
    <x:tableColumn id="72" name="N_Emp_L2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CoreTable" displayName="CoreTable" ref="A5:U1205" headerRowCount="1" totalsRowCount="0" totalsRowShown="0">
  <x:tableColumns count="21">
    <x:tableColumn id="1" name="Slot"/>
    <x:tableColumn id="2" name="Match_ID"/>
    <x:tableColumn id="3" name="Side"/>
    <x:tableColumn id="4" name="Role"/>
    <x:tableColumn id="5" name="League"/>
    <x:tableColumn id="6" name="Season"/>
    <x:tableColumn id="7" name="Team"/>
    <x:tableColumn id="8" name="Split"/>
    <x:tableColumn id="9" name="Period"/>
    <x:tableColumn id="10" name="Before_Date"/>
    <x:tableColumn id="11" name="N_scope"/>
    <x:tableColumn id="12" name="Recent_From"/>
    <x:tableColumn id="13" name="N"/>
    <x:tableColumn id="14" name="Corners_For"/>
    <x:tableColumn id="15" name="Corners_Against"/>
    <x:tableColumn id="16" name="Target_N"/>
    <x:tableColumn id="17" name="Source_Row"/>
    <x:tableColumn id="18" name="Source_State"/>
    <x:tableColumn id="19" name="Problem_Rows"/>
    <x:tableColumn id="20" name="Data_Status"/>
    <x:tableColumn id="21" name="Tra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DistributionTable" displayName="DistributionTable" ref="A5:AP105" headerRowCount="1" totalsRowCount="0" totalsRowShown="0">
  <x:tableColumns count="42">
    <x:tableColumn id="1" name="Match_ID"/>
    <x:tableColumn id="2" name="Mu"/>
    <x:tableColumn id="3" name="D"/>
    <x:tableColumn id="4" name="Size"/>
    <x:tableColumn id="5" name="PMF_0"/>
    <x:tableColumn id="6" name="PMF_1"/>
    <x:tableColumn id="7" name="PMF_2"/>
    <x:tableColumn id="8" name="PMF_3"/>
    <x:tableColumn id="9" name="PMF_4"/>
    <x:tableColumn id="10" name="PMF_5"/>
    <x:tableColumn id="11" name="PMF_6"/>
    <x:tableColumn id="12" name="PMF_7"/>
    <x:tableColumn id="13" name="PMF_8"/>
    <x:tableColumn id="14" name="PMF_9"/>
    <x:tableColumn id="15" name="PMF_10"/>
    <x:tableColumn id="16" name="PMF_11"/>
    <x:tableColumn id="17" name="PMF_12"/>
    <x:tableColumn id="18" name="PMF_13"/>
    <x:tableColumn id="19" name="PMF_14"/>
    <x:tableColumn id="20" name="PMF_15"/>
    <x:tableColumn id="21" name="PMF_16"/>
    <x:tableColumn id="22" name="PMF_17"/>
    <x:tableColumn id="23" name="PMF_18"/>
    <x:tableColumn id="24" name="CDF_0"/>
    <x:tableColumn id="25" name="CDF_1"/>
    <x:tableColumn id="26" name="CDF_2"/>
    <x:tableColumn id="27" name="CDF_3"/>
    <x:tableColumn id="28" name="CDF_4"/>
    <x:tableColumn id="29" name="CDF_5"/>
    <x:tableColumn id="30" name="CDF_6"/>
    <x:tableColumn id="31" name="CDF_7"/>
    <x:tableColumn id="32" name="CDF_8"/>
    <x:tableColumn id="33" name="CDF_9"/>
    <x:tableColumn id="34" name="CDF_10"/>
    <x:tableColumn id="35" name="CDF_11"/>
    <x:tableColumn id="36" name="CDF_12"/>
    <x:tableColumn id="37" name="CDF_13"/>
    <x:tableColumn id="38" name="CDF_14"/>
    <x:tableColumn id="39" name="CDF_15"/>
    <x:tableColumn id="40" name="CDF_16"/>
    <x:tableColumn id="41" name="CDF_17"/>
    <x:tableColumn id="42" name="CDF_18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MatchesTable" displayName="MatchesTable" ref="A5:AG105" headerRowCount="1" totalsRowCount="0" totalsRowShown="0">
  <x:tableColumns count="33">
    <x:tableColumn id="1" name="Match_ID"/>
    <x:tableColumn id="2" name="League"/>
    <x:tableColumn id="3" name="Season"/>
    <x:tableColumn id="4" name="Home"/>
    <x:tableColumn id="5" name="Away"/>
    <x:tableColumn id="6" name="Kickoff_UTC"/>
    <x:tableColumn id="7" name="Cutoff_UTC"/>
    <x:tableColumn id="8" name="Mode"/>
    <x:tableColumn id="9" name="Sourcing_Decision"/>
    <x:tableColumn id="10" name="Evidence_or_Attempts"/>
    <x:tableColumn id="11" name="Prior_Season"/>
    <x:tableColumn id="12" name="Prior_Allowed"/>
    <x:tableColumn id="13" name="Notes"/>
    <x:tableColumn id="14" name="Shots_H"/>
    <x:tableColumn id="15" name="Shots_A"/>
    <x:tableColumn id="16" name="Blocked_H"/>
    <x:tableColumn id="17" name="Blocked_A"/>
    <x:tableColumn id="18" name="Crosses_H"/>
    <x:tableColumn id="19" name="Crosses_A"/>
    <x:tableColumn id="20" name="Possession_H"/>
    <x:tableColumn id="21" name="Possession_A"/>
    <x:tableColumn id="22" name="Field_Tilt_H"/>
    <x:tableColumn id="23" name="Field_Tilt_A"/>
    <x:tableColumn id="24" name="Attack_H"/>
    <x:tableColumn id="25" name="Attack_A"/>
    <x:tableColumn id="26" name="Chasing_H"/>
    <x:tableColumn id="27" name="Chasing_A"/>
    <x:tableColumn id="28" name="Wings_H"/>
    <x:tableColumn id="29" name="Wings_A"/>
    <x:tableColumn id="30" name="Absences_H"/>
    <x:tableColumn id="31" name="Absences_A"/>
    <x:tableColumn id="32" name="Stakes_H"/>
    <x:tableColumn id="33" name="Stakes_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" name="NativeTable" displayName="NativeTable" ref="A5:S405" headerRowCount="1" totalsRowCount="0" totalsRowShown="0">
  <x:tableColumns count="19">
    <x:tableColumn id="1" name="Event_ID"/>
    <x:tableColumn id="2" name="League"/>
    <x:tableColumn id="3" name="Season"/>
    <x:tableColumn id="4" name="Match_Date"/>
    <x:tableColumn id="5" name="Home"/>
    <x:tableColumn id="6" name="Away"/>
    <x:tableColumn id="7" name="HC"/>
    <x:tableColumn id="8" name="AC"/>
    <x:tableColumn id="9" name="Source_ID"/>
    <x:tableColumn id="10" name="Source_URL"/>
    <x:tableColumn id="11" name="Retrieved_UTC"/>
    <x:tableColumn id="12" name="Definition"/>
    <x:tableColumn id="13" name="Evidence"/>
    <x:tableColumn id="14" name="Canonical_Key"/>
    <x:tableColumn id="15" name="Row_State"/>
    <x:tableColumn id="16" name="Use_Row"/>
    <x:tableColumn id="17" name="Total"/>
    <x:tableColumn id="18" name="Total_Squared"/>
    <x:tableColumn id="19" name="Source_Ro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" name="SourceTable" displayName="SourceTable" ref="A5:M13" headerRowCount="1" totalsRowCount="0" totalsRowShown="0">
  <x:tableColumns count="13">
    <x:tableColumn id="1" name="Source_ID"/>
    <x:tableColumn id="2" name="League"/>
    <x:tableColumn id="3" name="Season"/>
    <x:tableColumn id="4" name="Provider"/>
    <x:tableColumn id="5" name="URL"/>
    <x:tableColumn id="6" name="Retrieved_UTC"/>
    <x:tableColumn id="7" name="Coverage"/>
    <x:tableColumn id="8" name="Status"/>
    <x:tableColumn id="9" name="Rows"/>
    <x:tableColumn id="10" name="Missing_Corners"/>
    <x:tableColumn id="11" name="Attempts"/>
    <x:tableColumn id="12" name="SHA256"/>
    <x:tableColumn id="13" name="Source_Ke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ineConfigTable" displayName="LineConfigTable" ref="A5:V19" headerRowCount="1" totalsRowCount="0" totalsRowShown="0">
  <x:tableColumns count="22">
    <x:tableColumn id="1" name="Line"/>
    <x:tableColumn id="2" name="Type"/>
    <x:tableColumn id="3" name="k"/>
    <x:tableColumn id="4" name="Calibration_Factor"/>
    <x:tableColumn id="5" name="PASS_Max"/>
    <x:tableColumn id="6" name="WATCH_Max"/>
    <x:tableColumn id="7" name="Review_Status"/>
    <x:tableColumn id="8" name="Scope_League"/>
    <x:tableColumn id="9" name="Training_End_UTC"/>
    <x:tableColumn id="10" name="Review_UTC"/>
    <x:tableColumn id="11" name="Report_URL"/>
    <x:tableColumn id="12" name="Reviewer"/>
    <x:tableColumn id="13" name="OOS_N"/>
    <x:tableColumn id="14" name="OOS_Wins"/>
    <x:tableColumn id="15" name="OOS_Hit_Rate"/>
    <x:tableColumn id="16" name="OOS_P_Mean"/>
    <x:tableColumn id="17" name="Wilson_95_Lower"/>
    <x:tableColumn id="18" name="Overconfidence"/>
    <x:tableColumn id="19" name="Tail_Validated"/>
    <x:tableColumn id="20" name="Defensive_Validated"/>
    <x:tableColumn id="21" name="Parameters_Valid"/>
    <x:tableColumn id="22" name="Model_Signatu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OOSTable" displayName="OOSTable" ref="A5:U255" headerRowCount="1" totalsRowCount="0" totalsRowShown="0">
  <x:tableColumns count="21">
    <x:tableColumn id="1" name="Fixture_ID"/>
    <x:tableColumn id="2" name="League"/>
    <x:tableColumn id="3" name="Line"/>
    <x:tableColumn id="4" name="Snapshot_UTC"/>
    <x:tableColumn id="5" name="Kickoff_UTC"/>
    <x:tableColumn id="6" name="Training_End_UTC"/>
    <x:tableColumn id="7" name="P_Final"/>
    <x:tableColumn id="8" name="Candidate_Confidence"/>
    <x:tableColumn id="9" name="D"/>
    <x:tableColumn id="10" name="Risk_Score"/>
    <x:tableColumn id="11" name="Prior_Active"/>
    <x:tableColumn id="12" name="Native_Core_Count"/>
    <x:tableColumn id="13" name="Candidate_Tail"/>
    <x:tableColumn id="14" name="Total_Corners"/>
    <x:tableColumn id="15" name="Outcome_URL"/>
    <x:tableColumn id="16" name="Settled_UTC"/>
    <x:tableColumn id="17" name="Frozen_Evidence_URL"/>
    <x:tableColumn id="18" name="Model_Signature"/>
    <x:tableColumn id="19" name="Mode"/>
    <x:tableColumn id="20" name="Record_Valid"/>
    <x:tableColumn id="21" name="Wi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hecksTable" displayName="ChecksTable" ref="A5:D15" headerRowCount="1" totalsRowCount="0" totalsRowShown="0">
  <x:tableColumns count="4">
    <x:tableColumn id="1" name="Control"/>
    <x:tableColumn id="2" name="Rezultat"/>
    <x:tableColumn id="3" name="Așteptat"/>
    <x:tableColumn id="4" name="Explicați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ocumentationTable" displayName="DocumentationTable" ref="A5:B32" headerRowCount="1" totalsRowCount="0" totalsRowShown="0">
  <x:tableColumns count="2">
    <x:tableColumn id="1" name="Subiect"/>
    <x:tableColumn id="2" name="Regul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63780c4818348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3f6194a28e944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14e71f7267744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1ea34ae60ea46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505195e8f4544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1fc065af46740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f0690657f8c4da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c9d8f362e0e49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a299135c2d42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f03eeced19d46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742f8e32247b453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3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55" hidden="0" customWidth="1"/>
    <x:col min="10" max="10" width="4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1" customHeight="1">
      <x:c r="A2" s="3" t="str">
        <x:v>CORNERE MULTI-LINE | V14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1" customHeight="1">
      <x:c r="A3" s="2" t="str">
        <x:v>Exemplele REPLAY demonstrează calculul și sunt excluse din Top LIVE.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1" customHeight="1">
      <x:c r="A4" s="2" t="str">
        <x:v>Meciuri introduse</x:v>
      </x:c>
      <x:c r="B4" s="2" t="n">
        <x:f>COUNTA('Input_Meci'!A6:A105)</x:f>
        <x:v>3</x:v>
      </x:c>
      <x:c r="C4" s="2"/>
      <x:c r="D4" s="2" t="str">
        <x:v>LIVE calculate</x:v>
      </x:c>
      <x:c r="E4" s="2" t="n">
        <x:f>COUNTIFS(MotorTable[Mode],"LIVE",MotorTable[G0],"PASS")</x:f>
        <x:v>0</x:v>
      </x:c>
      <x:c r="F4" s="2"/>
      <x:c r="G4" s="2" t="str">
        <x:v>NOT RELEASED</x:v>
      </x:c>
      <x:c r="H4" s="2" t="n">
        <x:f>COUNTIF(MotorTable[Release],"NOT RELEASED")</x:f>
        <x:v>0</x:v>
      </x:c>
      <x:c r="I4" s="2"/>
      <x:c r="J4" s="2"/>
      <x:c r="K4" s="2"/>
      <x:c r="L4" s="2"/>
      <x:c r="M4" s="2"/>
      <x:c r="N4" s="2"/>
      <x:c r="O4" s="2"/>
      <x:c r="P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1" customHeight="1">
      <x:c r="A6" s="2" t="str">
        <x:v>Exemple REPLAY</x:v>
      </x:c>
      <x:c r="B6" s="2" t="n">
        <x:f>COUNTIF(MotorTable[Mode],"REPLAY")</x:f>
        <x:v>3</x:v>
      </x:c>
      <x:c r="C6" s="2"/>
      <x:c r="D6" s="2" t="str">
        <x:v>LIVE eligibile</x:v>
      </x:c>
      <x:c r="E6" s="2" t="n">
        <x:f>COUNTIF(LinesTable[Live_Eligible_Best],1)</x:f>
        <x:v>0</x:v>
      </x:c>
      <x:c r="F6" s="2"/>
      <x:c r="G6" s="2" t="str">
        <x:v>DEFENSIV LIVE</x:v>
      </x:c>
      <x:c r="H6" s="2" t="n">
        <x:f>COUNTIFS(LinesTable[Verdict_FINAL],"DEFENSIV",LinesTable[Mode],"LIVE")</x:f>
        <x:v>0</x:v>
      </x:c>
      <x:c r="I6" s="2"/>
      <x:c r="J6" s="2"/>
      <x:c r="K6" s="2"/>
      <x:c r="L6" s="2"/>
      <x:c r="M6" s="2"/>
      <x:c r="N6" s="2"/>
      <x:c r="O6" s="2"/>
      <x:c r="P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1" customHeight="1">
      <x:c r="A8" s="2" t="str">
        <x:v>Top LIVE: maximum o selecție pe meci. Exemplele istorice sunt afișate separat mai jos.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32" customHeight="1">
      <x:c r="A10" s="6" t="str">
        <x:v>Rang</x:v>
      </x:c>
      <x:c r="B10" s="6" t="str">
        <x:v>Meci</x:v>
      </x:c>
      <x:c r="C10" s="6" t="str">
        <x:v>Linie</x:v>
      </x:c>
      <x:c r="D10" s="6" t="str">
        <x:v>P finală</x:v>
      </x:c>
      <x:c r="E10" s="6" t="str">
        <x:v>Risk Level</x:v>
      </x:c>
      <x:c r="F10" s="6" t="str">
        <x:v>Verdict</x:v>
      </x:c>
      <x:c r="G10" s="6" t="str">
        <x:v>Confidence</x:v>
      </x:c>
      <x:c r="H10" s="6" t="str">
        <x:v>Motiv</x:v>
      </x:c>
      <x:c r="I10" s="2"/>
      <x:c r="J10" s="2"/>
      <x:c r="K10" s="2"/>
      <x:c r="L10" s="2"/>
      <x:c r="M10" s="2"/>
      <x:c r="N10" s="2"/>
      <x:c r="O10" s="2"/>
      <x:c r="P10" s="2"/>
    </x:row>
    <x:row r="11" ht="21" customHeight="1">
      <x:c r="A11" s="2" t="str">
        <x:f>IF(IFERROR(MATCH(1,$P$26:$P$125,0),0)=0,"",1)</x:f>
      </x:c>
      <x:c r="B11" s="2" t="str">
        <x:f>IF(A11="","",INDEX($B$26:$B$125,MATCH(A11,$P$26:$P$125,0)))</x:f>
      </x:c>
      <x:c r="C11" s="2" t="str">
        <x:f>IF(A11="","",INDEX($F$26:$F$125,MATCH(A11,$P$26:$P$125,0)))</x:f>
      </x:c>
      <x:c r="D11" s="10" t="str">
        <x:f>IF(A11="","",INDEX($H$26:$H$125,MATCH(A11,$P$26:$P$125,0)))</x:f>
      </x:c>
      <x:c r="E11" s="2" t="str">
        <x:f>IF(A11="","",INDEX($L$26:$L$125,MATCH(A11,$P$26:$P$125,0)))</x:f>
      </x:c>
      <x:c r="F11" s="2" t="str">
        <x:f>IF(A11="","",INDEX($G$26:$G$125,MATCH(A11,$P$26:$P$125,0)))</x:f>
      </x:c>
      <x:c r="G11" s="2" t="str">
        <x:f>IF(A11="","",INDEX($M$26:$M$125,MATCH(A11,$P$26:$P$125,0)))</x:f>
      </x:c>
      <x:c r="H11" s="2" t="str">
        <x:f>IF(A11="","",INDEX($I$26:$I$125,MATCH(A11,$P$26:$P$125,0)))</x:f>
      </x:c>
      <x:c r="I11" s="2"/>
      <x:c r="J11" s="2"/>
      <x:c r="K11" s="2"/>
      <x:c r="L11" s="2"/>
      <x:c r="M11" s="2"/>
      <x:c r="N11" s="2"/>
      <x:c r="O11" s="2"/>
      <x:c r="P11" s="2"/>
    </x:row>
    <x:row r="12" ht="21" customHeight="1">
      <x:c r="A12" s="2" t="str">
        <x:f>IF(IFERROR(MATCH(2,$P$26:$P$125,0),0)=0,"",2)</x:f>
      </x:c>
      <x:c r="B12" s="2" t="str">
        <x:f>IF(A12="","",INDEX($B$26:$B$125,MATCH(A12,$P$26:$P$125,0)))</x:f>
      </x:c>
      <x:c r="C12" s="2" t="str">
        <x:f>IF(A12="","",INDEX($F$26:$F$125,MATCH(A12,$P$26:$P$125,0)))</x:f>
      </x:c>
      <x:c r="D12" s="10" t="str">
        <x:f>IF(A12="","",INDEX($H$26:$H$125,MATCH(A12,$P$26:$P$125,0)))</x:f>
      </x:c>
      <x:c r="E12" s="2" t="str">
        <x:f>IF(A12="","",INDEX($L$26:$L$125,MATCH(A12,$P$26:$P$125,0)))</x:f>
      </x:c>
      <x:c r="F12" s="2" t="str">
        <x:f>IF(A12="","",INDEX($G$26:$G$125,MATCH(A12,$P$26:$P$125,0)))</x:f>
      </x:c>
      <x:c r="G12" s="2" t="str">
        <x:f>IF(A12="","",INDEX($M$26:$M$125,MATCH(A12,$P$26:$P$125,0)))</x:f>
      </x:c>
      <x:c r="H12" s="2" t="str">
        <x:f>IF(A12="","",INDEX($I$26:$I$125,MATCH(A12,$P$26:$P$125,0)))</x:f>
      </x:c>
      <x:c r="I12" s="2"/>
      <x:c r="J12" s="2"/>
      <x:c r="K12" s="2"/>
      <x:c r="L12" s="2"/>
      <x:c r="M12" s="2"/>
      <x:c r="N12" s="2"/>
      <x:c r="O12" s="2"/>
      <x:c r="P12" s="2"/>
    </x:row>
    <x:row r="13" ht="21" customHeight="1">
      <x:c r="A13" s="2" t="str">
        <x:f>IF(IFERROR(MATCH(3,$P$26:$P$125,0),0)=0,"",3)</x:f>
      </x:c>
      <x:c r="B13" s="2" t="str">
        <x:f>IF(A13="","",INDEX($B$26:$B$125,MATCH(A13,$P$26:$P$125,0)))</x:f>
      </x:c>
      <x:c r="C13" s="2" t="str">
        <x:f>IF(A13="","",INDEX($F$26:$F$125,MATCH(A13,$P$26:$P$125,0)))</x:f>
      </x:c>
      <x:c r="D13" s="10" t="str">
        <x:f>IF(A13="","",INDEX($H$26:$H$125,MATCH(A13,$P$26:$P$125,0)))</x:f>
      </x:c>
      <x:c r="E13" s="2" t="str">
        <x:f>IF(A13="","",INDEX($L$26:$L$125,MATCH(A13,$P$26:$P$125,0)))</x:f>
      </x:c>
      <x:c r="F13" s="2" t="str">
        <x:f>IF(A13="","",INDEX($G$26:$G$125,MATCH(A13,$P$26:$P$125,0)))</x:f>
      </x:c>
      <x:c r="G13" s="2" t="str">
        <x:f>IF(A13="","",INDEX($M$26:$M$125,MATCH(A13,$P$26:$P$125,0)))</x:f>
      </x:c>
      <x:c r="H13" s="2" t="str">
        <x:f>IF(A13="","",INDEX($I$26:$I$125,MATCH(A13,$P$26:$P$125,0)))</x:f>
      </x:c>
      <x:c r="I13" s="2"/>
      <x:c r="J13" s="2"/>
      <x:c r="K13" s="2"/>
      <x:c r="L13" s="2"/>
      <x:c r="M13" s="2"/>
      <x:c r="N13" s="2"/>
      <x:c r="O13" s="2"/>
      <x:c r="P13" s="2"/>
    </x:row>
    <x:row r="14" ht="21" customHeight="1">
      <x:c r="A14" s="2" t="str">
        <x:f>IF(IFERROR(MATCH(4,$P$26:$P$125,0),0)=0,"",4)</x:f>
      </x:c>
      <x:c r="B14" s="2" t="str">
        <x:f>IF(A14="","",INDEX($B$26:$B$125,MATCH(A14,$P$26:$P$125,0)))</x:f>
      </x:c>
      <x:c r="C14" s="2" t="str">
        <x:f>IF(A14="","",INDEX($F$26:$F$125,MATCH(A14,$P$26:$P$125,0)))</x:f>
      </x:c>
      <x:c r="D14" s="10" t="str">
        <x:f>IF(A14="","",INDEX($H$26:$H$125,MATCH(A14,$P$26:$P$125,0)))</x:f>
      </x:c>
      <x:c r="E14" s="2" t="str">
        <x:f>IF(A14="","",INDEX($L$26:$L$125,MATCH(A14,$P$26:$P$125,0)))</x:f>
      </x:c>
      <x:c r="F14" s="2" t="str">
        <x:f>IF(A14="","",INDEX($G$26:$G$125,MATCH(A14,$P$26:$P$125,0)))</x:f>
      </x:c>
      <x:c r="G14" s="2" t="str">
        <x:f>IF(A14="","",INDEX($M$26:$M$125,MATCH(A14,$P$26:$P$125,0)))</x:f>
      </x:c>
      <x:c r="H14" s="2" t="str">
        <x:f>IF(A14="","",INDEX($I$26:$I$125,MATCH(A14,$P$26:$P$125,0)))</x:f>
      </x:c>
      <x:c r="I14" s="2"/>
      <x:c r="J14" s="2"/>
      <x:c r="K14" s="2"/>
      <x:c r="L14" s="2"/>
      <x:c r="M14" s="2"/>
      <x:c r="N14" s="2"/>
      <x:c r="O14" s="2"/>
      <x:c r="P14" s="2"/>
    </x:row>
    <x:row r="15" ht="21" customHeight="1">
      <x:c r="A15" s="2" t="str">
        <x:f>IF(IFERROR(MATCH(5,$P$26:$P$125,0),0)=0,"",5)</x:f>
      </x:c>
      <x:c r="B15" s="2" t="str">
        <x:f>IF(A15="","",INDEX($B$26:$B$125,MATCH(A15,$P$26:$P$125,0)))</x:f>
      </x:c>
      <x:c r="C15" s="2" t="str">
        <x:f>IF(A15="","",INDEX($F$26:$F$125,MATCH(A15,$P$26:$P$125,0)))</x:f>
      </x:c>
      <x:c r="D15" s="10" t="str">
        <x:f>IF(A15="","",INDEX($H$26:$H$125,MATCH(A15,$P$26:$P$125,0)))</x:f>
      </x:c>
      <x:c r="E15" s="2" t="str">
        <x:f>IF(A15="","",INDEX($L$26:$L$125,MATCH(A15,$P$26:$P$125,0)))</x:f>
      </x:c>
      <x:c r="F15" s="2" t="str">
        <x:f>IF(A15="","",INDEX($G$26:$G$125,MATCH(A15,$P$26:$P$125,0)))</x:f>
      </x:c>
      <x:c r="G15" s="2" t="str">
        <x:f>IF(A15="","",INDEX($M$26:$M$125,MATCH(A15,$P$26:$P$125,0)))</x:f>
      </x:c>
      <x:c r="H15" s="2" t="str">
        <x:f>IF(A15="","",INDEX($I$26:$I$125,MATCH(A15,$P$26:$P$125,0)))</x:f>
      </x:c>
      <x:c r="I15" s="2"/>
      <x:c r="J15" s="2"/>
      <x:c r="K15" s="2"/>
      <x:c r="L15" s="2"/>
      <x:c r="M15" s="2"/>
      <x:c r="N15" s="2"/>
      <x:c r="O15" s="2"/>
      <x:c r="P15" s="2"/>
    </x:row>
    <x:row r="16" ht="21" customHeight="1">
      <x:c r="A16" s="2" t="str">
        <x:f>IF(IFERROR(MATCH(6,$P$26:$P$125,0),0)=0,"",6)</x:f>
      </x:c>
      <x:c r="B16" s="2" t="str">
        <x:f>IF(A16="","",INDEX($B$26:$B$125,MATCH(A16,$P$26:$P$125,0)))</x:f>
      </x:c>
      <x:c r="C16" s="2" t="str">
        <x:f>IF(A16="","",INDEX($F$26:$F$125,MATCH(A16,$P$26:$P$125,0)))</x:f>
      </x:c>
      <x:c r="D16" s="10" t="str">
        <x:f>IF(A16="","",INDEX($H$26:$H$125,MATCH(A16,$P$26:$P$125,0)))</x:f>
      </x:c>
      <x:c r="E16" s="2" t="str">
        <x:f>IF(A16="","",INDEX($L$26:$L$125,MATCH(A16,$P$26:$P$125,0)))</x:f>
      </x:c>
      <x:c r="F16" s="2" t="str">
        <x:f>IF(A16="","",INDEX($G$26:$G$125,MATCH(A16,$P$26:$P$125,0)))</x:f>
      </x:c>
      <x:c r="G16" s="2" t="str">
        <x:f>IF(A16="","",INDEX($M$26:$M$125,MATCH(A16,$P$26:$P$125,0)))</x:f>
      </x:c>
      <x:c r="H16" s="2" t="str">
        <x:f>IF(A16="","",INDEX($I$26:$I$125,MATCH(A16,$P$26:$P$125,0)))</x:f>
      </x:c>
      <x:c r="I16" s="2"/>
      <x:c r="J16" s="2"/>
      <x:c r="K16" s="2"/>
      <x:c r="L16" s="2"/>
      <x:c r="M16" s="2"/>
      <x:c r="N16" s="2"/>
      <x:c r="O16" s="2"/>
      <x:c r="P16" s="2"/>
    </x:row>
    <x:row r="17" ht="21" customHeight="1">
      <x:c r="A17" s="2" t="str">
        <x:f>IF(IFERROR(MATCH(7,$P$26:$P$125,0),0)=0,"",7)</x:f>
      </x:c>
      <x:c r="B17" s="2" t="str">
        <x:f>IF(A17="","",INDEX($B$26:$B$125,MATCH(A17,$P$26:$P$125,0)))</x:f>
      </x:c>
      <x:c r="C17" s="2" t="str">
        <x:f>IF(A17="","",INDEX($F$26:$F$125,MATCH(A17,$P$26:$P$125,0)))</x:f>
      </x:c>
      <x:c r="D17" s="10" t="str">
        <x:f>IF(A17="","",INDEX($H$26:$H$125,MATCH(A17,$P$26:$P$125,0)))</x:f>
      </x:c>
      <x:c r="E17" s="2" t="str">
        <x:f>IF(A17="","",INDEX($L$26:$L$125,MATCH(A17,$P$26:$P$125,0)))</x:f>
      </x:c>
      <x:c r="F17" s="2" t="str">
        <x:f>IF(A17="","",INDEX($G$26:$G$125,MATCH(A17,$P$26:$P$125,0)))</x:f>
      </x:c>
      <x:c r="G17" s="2" t="str">
        <x:f>IF(A17="","",INDEX($M$26:$M$125,MATCH(A17,$P$26:$P$125,0)))</x:f>
      </x:c>
      <x:c r="H17" s="2" t="str">
        <x:f>IF(A17="","",INDEX($I$26:$I$125,MATCH(A17,$P$26:$P$125,0)))</x:f>
      </x:c>
      <x:c r="I17" s="2"/>
      <x:c r="J17" s="2"/>
      <x:c r="K17" s="2"/>
      <x:c r="L17" s="2"/>
      <x:c r="M17" s="2"/>
      <x:c r="N17" s="2"/>
      <x:c r="O17" s="2"/>
      <x:c r="P17" s="2"/>
    </x:row>
    <x:row r="18" ht="21" customHeight="1">
      <x:c r="A18" s="2" t="str">
        <x:f>IF(IFERROR(MATCH(8,$P$26:$P$125,0),0)=0,"",8)</x:f>
      </x:c>
      <x:c r="B18" s="2" t="str">
        <x:f>IF(A18="","",INDEX($B$26:$B$125,MATCH(A18,$P$26:$P$125,0)))</x:f>
      </x:c>
      <x:c r="C18" s="2" t="str">
        <x:f>IF(A18="","",INDEX($F$26:$F$125,MATCH(A18,$P$26:$P$125,0)))</x:f>
      </x:c>
      <x:c r="D18" s="10" t="str">
        <x:f>IF(A18="","",INDEX($H$26:$H$125,MATCH(A18,$P$26:$P$125,0)))</x:f>
      </x:c>
      <x:c r="E18" s="2" t="str">
        <x:f>IF(A18="","",INDEX($L$26:$L$125,MATCH(A18,$P$26:$P$125,0)))</x:f>
      </x:c>
      <x:c r="F18" s="2" t="str">
        <x:f>IF(A18="","",INDEX($G$26:$G$125,MATCH(A18,$P$26:$P$125,0)))</x:f>
      </x:c>
      <x:c r="G18" s="2" t="str">
        <x:f>IF(A18="","",INDEX($M$26:$M$125,MATCH(A18,$P$26:$P$125,0)))</x:f>
      </x:c>
      <x:c r="H18" s="2" t="str">
        <x:f>IF(A18="","",INDEX($I$26:$I$125,MATCH(A18,$P$26:$P$125,0)))</x:f>
      </x:c>
      <x:c r="I18" s="2"/>
      <x:c r="J18" s="2"/>
      <x:c r="K18" s="2"/>
      <x:c r="L18" s="2"/>
      <x:c r="M18" s="2"/>
      <x:c r="N18" s="2"/>
      <x:c r="O18" s="2"/>
      <x:c r="P18" s="2"/>
    </x:row>
    <x:row r="19" ht="21" customHeight="1">
      <x:c r="A19" s="2" t="str">
        <x:f>IF(IFERROR(MATCH(9,$P$26:$P$125,0),0)=0,"",9)</x:f>
      </x:c>
      <x:c r="B19" s="2" t="str">
        <x:f>IF(A19="","",INDEX($B$26:$B$125,MATCH(A19,$P$26:$P$125,0)))</x:f>
      </x:c>
      <x:c r="C19" s="2" t="str">
        <x:f>IF(A19="","",INDEX($F$26:$F$125,MATCH(A19,$P$26:$P$125,0)))</x:f>
      </x:c>
      <x:c r="D19" s="10" t="str">
        <x:f>IF(A19="","",INDEX($H$26:$H$125,MATCH(A19,$P$26:$P$125,0)))</x:f>
      </x:c>
      <x:c r="E19" s="2" t="str">
        <x:f>IF(A19="","",INDEX($L$26:$L$125,MATCH(A19,$P$26:$P$125,0)))</x:f>
      </x:c>
      <x:c r="F19" s="2" t="str">
        <x:f>IF(A19="","",INDEX($G$26:$G$125,MATCH(A19,$P$26:$P$125,0)))</x:f>
      </x:c>
      <x:c r="G19" s="2" t="str">
        <x:f>IF(A19="","",INDEX($M$26:$M$125,MATCH(A19,$P$26:$P$125,0)))</x:f>
      </x:c>
      <x:c r="H19" s="2" t="str">
        <x:f>IF(A19="","",INDEX($I$26:$I$125,MATCH(A19,$P$26:$P$125,0)))</x:f>
      </x:c>
      <x:c r="I19" s="2"/>
      <x:c r="J19" s="2"/>
      <x:c r="K19" s="2"/>
      <x:c r="L19" s="2"/>
      <x:c r="M19" s="2"/>
      <x:c r="N19" s="2"/>
      <x:c r="O19" s="2"/>
      <x:c r="P19" s="2"/>
    </x:row>
    <x:row r="20" ht="21" customHeight="1">
      <x:c r="A20" s="2" t="str">
        <x:f>IF(IFERROR(MATCH(10,$P$26:$P$125,0),0)=0,"",10)</x:f>
      </x:c>
      <x:c r="B20" s="2" t="str">
        <x:f>IF(A20="","",INDEX($B$26:$B$125,MATCH(A20,$P$26:$P$125,0)))</x:f>
      </x:c>
      <x:c r="C20" s="2" t="str">
        <x:f>IF(A20="","",INDEX($F$26:$F$125,MATCH(A20,$P$26:$P$125,0)))</x:f>
      </x:c>
      <x:c r="D20" s="10" t="str">
        <x:f>IF(A20="","",INDEX($H$26:$H$125,MATCH(A20,$P$26:$P$125,0)))</x:f>
      </x:c>
      <x:c r="E20" s="2" t="str">
        <x:f>IF(A20="","",INDEX($L$26:$L$125,MATCH(A20,$P$26:$P$125,0)))</x:f>
      </x:c>
      <x:c r="F20" s="2" t="str">
        <x:f>IF(A20="","",INDEX($G$26:$G$125,MATCH(A20,$P$26:$P$125,0)))</x:f>
      </x:c>
      <x:c r="G20" s="2" t="str">
        <x:f>IF(A20="","",INDEX($M$26:$M$125,MATCH(A20,$P$26:$P$125,0)))</x:f>
      </x:c>
      <x:c r="H20" s="2" t="str">
        <x:f>IF(A20="","",INDEX($I$26:$I$125,MATCH(A20,$P$26:$P$125,0)))</x:f>
      </x:c>
      <x:c r="I20" s="2"/>
      <x:c r="J20" s="2"/>
      <x:c r="K20" s="2"/>
      <x:c r="L20" s="2"/>
      <x:c r="M20" s="2"/>
      <x:c r="N20" s="2"/>
      <x:c r="O20" s="2"/>
      <x:c r="P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1" customHeight="1">
      <x:c r="A23" s="2" t="str">
        <x:v>Rezultate pe meci, inclusiv exemplele istorice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32" customHeight="1">
      <x:c r="A25" s="6" t="str">
        <x:v>Match_ID</x:v>
      </x:c>
      <x:c r="B25" s="6" t="str">
        <x:v>Meci</x:v>
      </x:c>
      <x:c r="C25" s="6" t="str">
        <x:v>Mod</x:v>
      </x:c>
      <x:c r="D25" s="6" t="str">
        <x:v>Release</x:v>
      </x:c>
      <x:c r="E25" s="6" t="str">
        <x:v>G0</x:v>
      </x:c>
      <x:c r="F25" s="6" t="str">
        <x:v>Linie selectată</x:v>
      </x:c>
      <x:c r="G25" s="6" t="str">
        <x:v>Verdict</x:v>
      </x:c>
      <x:c r="H25" s="6" t="str">
        <x:v>P finală</x:v>
      </x:c>
      <x:c r="I25" s="6" t="str">
        <x:v>Motiv</x:v>
      </x:c>
      <x:c r="J25" s="2"/>
      <x:c r="K25" s="6" t="str">
        <x:v>Index linie</x:v>
      </x:c>
      <x:c r="L25" s="6" t="str">
        <x:v>Risk Level</x:v>
      </x:c>
      <x:c r="M25" s="6" t="str">
        <x:v>Confidence</x:v>
      </x:c>
      <x:c r="N25" s="6" t="str">
        <x:v>Risk Score</x:v>
      </x:c>
      <x:c r="O25" s="6" t="str">
        <x:v>LIVE eligibil</x:v>
      </x:c>
      <x:c r="P25" s="6" t="str">
        <x:v>Rank LIVE</x:v>
      </x:c>
    </x:row>
    <x:row r="26" ht="32" customHeight="1">
      <x:c r="A26" s="2" t="str">
        <x:f>IF('Motor_Meciuri'!A6="","",'Motor_Meciuri'!A6)</x:f>
        <x:v>REPLAY_1</x:v>
      </x:c>
      <x:c r="B26" s="13" t="str">
        <x:f>IF('Motor_Meciuri'!A6="","",'Motor_Meciuri'!D6)</x:f>
        <x:v>Brighton – Man United</x:v>
      </x:c>
      <x:c r="C26" s="2" t="str">
        <x:f>IF('Motor_Meciuri'!A6="","",'Motor_Meciuri'!E6)</x:f>
        <x:v>REPLAY</x:v>
      </x:c>
      <x:c r="D26" s="2" t="str">
        <x:f>IF('Motor_Meciuri'!A6="","",'Motor_Meciuri'!H6)</x:f>
        <x:v>READY</x:v>
      </x:c>
      <x:c r="E26" s="2" t="str">
        <x:f>IF('Motor_Meciuri'!A6="","",'Motor_Meciuri'!I6)</x:f>
        <x:v>PASS</x:v>
      </x:c>
      <x:c r="F26" s="2" t="str">
        <x:f>IF(K26=0,"",INDEX('Analiza_Linii'!F6:F19,K26))</x:f>
        <x:v>O3,5</x:v>
      </x:c>
      <x:c r="G26" s="2" t="str">
        <x:f>IF(A26="","",IF(D26&lt;&gt;"READY","NOT RELEASED",IF(K26=0,IF(E26="FAIL","NO BET","WATCH / NO BET"),INDEX('Analiza_Linii'!AA6:AA19,K26))))</x:f>
        <x:v>PRUDENT</x:v>
      </x:c>
      <x:c r="H26" s="16" t="n">
        <x:f>IF(K26=0,"",INDEX('Analiza_Linii'!AB6:AB19,K26))</x:f>
        <x:v>0.8929839161391997</x:v>
      </x:c>
      <x:c r="I26" s="13" t="str">
        <x:f>IF(A26="","",IF(E26&lt;&gt;"PASS",'Motor_Meciuri'!J6,IF(K26=0,"Nicio linie eligibila; vezi motivele din Analiza_Linii",INDEX('Analiza_Linii'!AH6:AH19,K26))))</x:f>
        <x:v>Exemplu retrospectiv; exclus din Top LIVE</x:v>
      </x:c>
      <x:c r="J26" s="2"/>
      <x:c r="K26" s="2" t="n">
        <x:f>IF(A26="",0,IFERROR(MATCH(1,'Analiza_Linii'!AC6:AC19,0),0))</x:f>
        <x:v>1</x:v>
      </x:c>
      <x:c r="L26" s="2" t="n">
        <x:f>IF(K26=0,"",INDEX('Analiza_Linii'!Z6:Z19,K26))</x:f>
        <x:v>2</x:v>
      </x:c>
      <x:c r="M26" s="2" t="n">
        <x:f>IF(K26=0,"",INDEX('Analiza_Linii'!V6:V19,K26))</x:f>
        <x:v>90</x:v>
      </x:c>
      <x:c r="N26" s="2" t="n">
        <x:f>IF(K26=0,"",INDEX('Analiza_Linii'!T6:T19,K26))</x:f>
        <x:v>9.972221126086591</x:v>
      </x:c>
      <x:c r="O26" s="2" t="n">
        <x:f>IF(AND(C26="LIVE",K26&gt;0),1,0)</x:f>
        <x:v>0</x:v>
      </x:c>
      <x:c r="P26" s="2" t="str">
        <x:f>IF(O26&lt;&gt;1,"",COUNTIFS($O$26:$O$125,1,$L$26:$L$125,"&lt;"&amp;L26)+COUNTIFS($O$26:$O$125,1,$L$26:$L$125,L26,$H$26:$H$125,"&gt;"&amp;H26)+COUNTIFS($O$26:$O$125,1,$L$26:$L$125,L26,$H$26:$H$125,H26,$M$26:$M$125,"&gt;"&amp;M26)+COUNTIFS($O$26:O26,1,$L$26:L26,L26,$H$26:H26,H26,$M$26:M26,M26))</x:f>
      </x:c>
    </x:row>
    <x:row r="27" ht="32" customHeight="1">
      <x:c r="A27" s="2" t="str">
        <x:f>IF('Motor_Meciuri'!A7="","",'Motor_Meciuri'!A7)</x:f>
        <x:v>REPLAY_2</x:v>
      </x:c>
      <x:c r="B27" s="13" t="str">
        <x:f>IF('Motor_Meciuri'!A7="","",'Motor_Meciuri'!D7)</x:f>
        <x:v>Burnley – Wolves</x:v>
      </x:c>
      <x:c r="C27" s="2" t="str">
        <x:f>IF('Motor_Meciuri'!A7="","",'Motor_Meciuri'!E7)</x:f>
        <x:v>REPLAY</x:v>
      </x:c>
      <x:c r="D27" s="2" t="str">
        <x:f>IF('Motor_Meciuri'!A7="","",'Motor_Meciuri'!H7)</x:f>
        <x:v>READY</x:v>
      </x:c>
      <x:c r="E27" s="2" t="str">
        <x:f>IF('Motor_Meciuri'!A7="","",'Motor_Meciuri'!I7)</x:f>
        <x:v>PASS</x:v>
      </x:c>
      <x:c r="F27" s="2" t="str">
        <x:f>IF(K27=0,"",INDEX('Analiza_Linii'!F20:F33,K27))</x:f>
        <x:v>U17,5</x:v>
      </x:c>
      <x:c r="G27" s="2" t="str">
        <x:f>IF(A27="","",IF(D27&lt;&gt;"READY","NOT RELEASED",IF(K27=0,IF(E27="FAIL","NO BET","WATCH / NO BET"),INDEX('Analiza_Linii'!AA20:AA33,K27))))</x:f>
        <x:v>PRUDENT</x:v>
      </x:c>
      <x:c r="H27" s="16" t="n">
        <x:f>IF(K27=0,"",INDEX('Analiza_Linii'!AB20:AB33,K27))</x:f>
        <x:v>0.8938164245454647</x:v>
      </x:c>
      <x:c r="I27" s="13" t="str">
        <x:f>IF(A27="","",IF(E27&lt;&gt;"PASS",'Motor_Meciuri'!J7,IF(K27=0,"Nicio linie eligibila; vezi motivele din Analiza_Linii",INDEX('Analiza_Linii'!AH20:AH33,K27))))</x:f>
        <x:v>Exemplu retrospectiv; exclus din Top LIVE</x:v>
      </x:c>
      <x:c r="J27" s="2"/>
      <x:c r="K27" s="2" t="n">
        <x:f>IF(A27="",0,IFERROR(MATCH(1,'Analiza_Linii'!AC20:AC33,0),0))</x:f>
        <x:v>14</x:v>
      </x:c>
      <x:c r="L27" s="2" t="n">
        <x:f>IF(K27=0,"",INDEX('Analiza_Linii'!Z20:Z33,K27))</x:f>
        <x:v>2</x:v>
      </x:c>
      <x:c r="M27" s="2" t="n">
        <x:f>IF(K27=0,"",INDEX('Analiza_Linii'!V20:V33,K27))</x:f>
        <x:v>81</x:v>
      </x:c>
      <x:c r="N27" s="2" t="n">
        <x:f>IF(K27=0,"",INDEX('Analiza_Linii'!T20:T33,K27))</x:f>
        <x:v>12.149956933677847</x:v>
      </x:c>
      <x:c r="O27" s="2" t="n">
        <x:f>IF(AND(C27="LIVE",K27&gt;0),1,0)</x:f>
        <x:v>0</x:v>
      </x:c>
      <x:c r="P27" s="2" t="str">
        <x:f>IF(O27&lt;&gt;1,"",COUNTIFS($O$26:$O$125,1,$L$26:$L$125,"&lt;"&amp;L27)+COUNTIFS($O$26:$O$125,1,$L$26:$L$125,L27,$H$26:$H$125,"&gt;"&amp;H27)+COUNTIFS($O$26:$O$125,1,$L$26:$L$125,L27,$H$26:$H$125,H27,$M$26:$M$125,"&gt;"&amp;M27)+COUNTIFS($O$26:O27,1,$L$26:L27,L27,$H$26:H27,H27,$M$26:M27,M27))</x:f>
      </x:c>
    </x:row>
    <x:row r="28" ht="32" customHeight="1">
      <x:c r="A28" s="2" t="str">
        <x:f>IF('Motor_Meciuri'!A8="","",'Motor_Meciuri'!A8)</x:f>
        <x:v>REPLAY_3</x:v>
      </x:c>
      <x:c r="B28" s="13" t="str">
        <x:f>IF('Motor_Meciuri'!A8="","",'Motor_Meciuri'!D8)</x:f>
        <x:v>Crystal Palace – Arsenal</x:v>
      </x:c>
      <x:c r="C28" s="2" t="str">
        <x:f>IF('Motor_Meciuri'!A8="","",'Motor_Meciuri'!E8)</x:f>
        <x:v>REPLAY</x:v>
      </x:c>
      <x:c r="D28" s="2" t="str">
        <x:f>IF('Motor_Meciuri'!A8="","",'Motor_Meciuri'!H8)</x:f>
        <x:v>READY</x:v>
      </x:c>
      <x:c r="E28" s="2" t="str">
        <x:f>IF('Motor_Meciuri'!A8="","",'Motor_Meciuri'!I8)</x:f>
        <x:v>PASS</x:v>
      </x:c>
      <x:c r="F28" s="2" t="str">
        <x:f>IF(K28=0,"",INDEX('Analiza_Linii'!F34:F47,K28))</x:f>
        <x:v>U17,5</x:v>
      </x:c>
      <x:c r="G28" s="2" t="str">
        <x:f>IF(A28="","",IF(D28&lt;&gt;"READY","NOT RELEASED",IF(K28=0,IF(E28="FAIL","NO BET","WATCH / NO BET"),INDEX('Analiza_Linii'!AA34:AA47,K28))))</x:f>
        <x:v>PRUDENT</x:v>
      </x:c>
      <x:c r="H28" s="16" t="n">
        <x:f>IF(K28=0,"",INDEX('Analiza_Linii'!AB34:AB47,K28))</x:f>
        <x:v>0.863579376611906</x:v>
      </x:c>
      <x:c r="I28" s="13" t="str">
        <x:f>IF(A28="","",IF(E28&lt;&gt;"PASS",'Motor_Meciuri'!J8,IF(K28=0,"Nicio linie eligibila; vezi motivele din Analiza_Linii",INDEX('Analiza_Linii'!AH34:AH47,K28))))</x:f>
        <x:v>Exemplu retrospectiv; exclus din Top LIVE</x:v>
      </x:c>
      <x:c r="J28" s="2"/>
      <x:c r="K28" s="2" t="n">
        <x:f>IF(A28="",0,IFERROR(MATCH(1,'Analiza_Linii'!AC34:AC47,0),0))</x:f>
        <x:v>14</x:v>
      </x:c>
      <x:c r="L28" s="2" t="n">
        <x:f>IF(K28=0,"",INDEX('Analiza_Linii'!Z34:Z47,K28))</x:f>
        <x:v>2</x:v>
      </x:c>
      <x:c r="M28" s="2" t="n">
        <x:f>IF(K28=0,"",INDEX('Analiza_Linii'!V34:V47,K28))</x:f>
        <x:v>80</x:v>
      </x:c>
      <x:c r="N28" s="2" t="n">
        <x:f>IF(K28=0,"",INDEX('Analiza_Linii'!T34:T47,K28))</x:f>
        <x:v>14.76812027080846</x:v>
      </x:c>
      <x:c r="O28" s="2" t="n">
        <x:f>IF(AND(C28="LIVE",K28&gt;0),1,0)</x:f>
        <x:v>0</x:v>
      </x:c>
      <x:c r="P28" s="2" t="str">
        <x:f>IF(O28&lt;&gt;1,"",COUNTIFS($O$26:$O$125,1,$L$26:$L$125,"&lt;"&amp;L28)+COUNTIFS($O$26:$O$125,1,$L$26:$L$125,L28,$H$26:$H$125,"&gt;"&amp;H28)+COUNTIFS($O$26:$O$125,1,$L$26:$L$125,L28,$H$26:$H$125,H28,$M$26:$M$125,"&gt;"&amp;M28)+COUNTIFS($O$26:O28,1,$L$26:L28,L28,$H$26:H28,H28,$M$26:M28,M28))</x:f>
      </x:c>
    </x:row>
    <x:row r="29" ht="32" customHeight="1">
      <x:c r="A29" s="2" t="str">
        <x:f>IF('Motor_Meciuri'!A9="","",'Motor_Meciuri'!A9)</x:f>
      </x:c>
      <x:c r="B29" s="13" t="str">
        <x:f>IF('Motor_Meciuri'!A9="","",'Motor_Meciuri'!D9)</x:f>
      </x:c>
      <x:c r="C29" s="2" t="str">
        <x:f>IF('Motor_Meciuri'!A9="","",'Motor_Meciuri'!E9)</x:f>
      </x:c>
      <x:c r="D29" s="2" t="str">
        <x:f>IF('Motor_Meciuri'!A9="","",'Motor_Meciuri'!H9)</x:f>
      </x:c>
      <x:c r="E29" s="2" t="str">
        <x:f>IF('Motor_Meciuri'!A9="","",'Motor_Meciuri'!I9)</x:f>
      </x:c>
      <x:c r="F29" s="2" t="str">
        <x:f>IF(K29=0,"",INDEX('Analiza_Linii'!F48:F61,K29))</x:f>
      </x:c>
      <x:c r="G29" s="2" t="str">
        <x:f>IF(A29="","",IF(D29&lt;&gt;"READY","NOT RELEASED",IF(K29=0,IF(E29="FAIL","NO BET","WATCH / NO BET"),INDEX('Analiza_Linii'!AA48:AA61,K29))))</x:f>
      </x:c>
      <x:c r="H29" s="16" t="str">
        <x:f>IF(K29=0,"",INDEX('Analiza_Linii'!AB48:AB61,K29))</x:f>
      </x:c>
      <x:c r="I29" s="13" t="str">
        <x:f>IF(A29="","",IF(E29&lt;&gt;"PASS",'Motor_Meciuri'!J9,IF(K29=0,"Nicio linie eligibila; vezi motivele din Analiza_Linii",INDEX('Analiza_Linii'!AH48:AH61,K29))))</x:f>
      </x:c>
      <x:c r="J29" s="2"/>
      <x:c r="K29" s="2" t="n">
        <x:f>IF(A29="",0,IFERROR(MATCH(1,'Analiza_Linii'!AC48:AC61,0),0))</x:f>
        <x:v>0</x:v>
      </x:c>
      <x:c r="L29" s="2" t="str">
        <x:f>IF(K29=0,"",INDEX('Analiza_Linii'!Z48:Z61,K29))</x:f>
      </x:c>
      <x:c r="M29" s="2" t="str">
        <x:f>IF(K29=0,"",INDEX('Analiza_Linii'!V48:V61,K29))</x:f>
      </x:c>
      <x:c r="N29" s="2" t="str">
        <x:f>IF(K29=0,"",INDEX('Analiza_Linii'!T48:T61,K29))</x:f>
      </x:c>
      <x:c r="O29" s="2" t="n">
        <x:f>IF(AND(C29="LIVE",K29&gt;0),1,0)</x:f>
        <x:v>0</x:v>
      </x:c>
      <x:c r="P29" s="2" t="str">
        <x:f>IF(O29&lt;&gt;1,"",COUNTIFS($O$26:$O$125,1,$L$26:$L$125,"&lt;"&amp;L29)+COUNTIFS($O$26:$O$125,1,$L$26:$L$125,L29,$H$26:$H$125,"&gt;"&amp;H29)+COUNTIFS($O$26:$O$125,1,$L$26:$L$125,L29,$H$26:$H$125,H29,$M$26:$M$125,"&gt;"&amp;M29)+COUNTIFS($O$26:O29,1,$L$26:L29,L29,$H$26:H29,H29,$M$26:M29,M29))</x:f>
      </x:c>
    </x:row>
    <x:row r="30" ht="32" customHeight="1">
      <x:c r="A30" s="2" t="str">
        <x:f>IF('Motor_Meciuri'!A10="","",'Motor_Meciuri'!A10)</x:f>
      </x:c>
      <x:c r="B30" s="13" t="str">
        <x:f>IF('Motor_Meciuri'!A10="","",'Motor_Meciuri'!D10)</x:f>
      </x:c>
      <x:c r="C30" s="2" t="str">
        <x:f>IF('Motor_Meciuri'!A10="","",'Motor_Meciuri'!E10)</x:f>
      </x:c>
      <x:c r="D30" s="2" t="str">
        <x:f>IF('Motor_Meciuri'!A10="","",'Motor_Meciuri'!H10)</x:f>
      </x:c>
      <x:c r="E30" s="2" t="str">
        <x:f>IF('Motor_Meciuri'!A10="","",'Motor_Meciuri'!I10)</x:f>
      </x:c>
      <x:c r="F30" s="2" t="str">
        <x:f>IF(K30=0,"",INDEX('Analiza_Linii'!F62:F75,K30))</x:f>
      </x:c>
      <x:c r="G30" s="2" t="str">
        <x:f>IF(A30="","",IF(D30&lt;&gt;"READY","NOT RELEASED",IF(K30=0,IF(E30="FAIL","NO BET","WATCH / NO BET"),INDEX('Analiza_Linii'!AA62:AA75,K30))))</x:f>
      </x:c>
      <x:c r="H30" s="16" t="str">
        <x:f>IF(K30=0,"",INDEX('Analiza_Linii'!AB62:AB75,K30))</x:f>
      </x:c>
      <x:c r="I30" s="13" t="str">
        <x:f>IF(A30="","",IF(E30&lt;&gt;"PASS",'Motor_Meciuri'!J10,IF(K30=0,"Nicio linie eligibila; vezi motivele din Analiza_Linii",INDEX('Analiza_Linii'!AH62:AH75,K30))))</x:f>
      </x:c>
      <x:c r="J30" s="2"/>
      <x:c r="K30" s="2" t="n">
        <x:f>IF(A30="",0,IFERROR(MATCH(1,'Analiza_Linii'!AC62:AC75,0),0))</x:f>
        <x:v>0</x:v>
      </x:c>
      <x:c r="L30" s="2" t="str">
        <x:f>IF(K30=0,"",INDEX('Analiza_Linii'!Z62:Z75,K30))</x:f>
      </x:c>
      <x:c r="M30" s="2" t="str">
        <x:f>IF(K30=0,"",INDEX('Analiza_Linii'!V62:V75,K30))</x:f>
      </x:c>
      <x:c r="N30" s="2" t="str">
        <x:f>IF(K30=0,"",INDEX('Analiza_Linii'!T62:T75,K30))</x:f>
      </x:c>
      <x:c r="O30" s="2" t="n">
        <x:f>IF(AND(C30="LIVE",K30&gt;0),1,0)</x:f>
        <x:v>0</x:v>
      </x:c>
      <x:c r="P30" s="2" t="str">
        <x:f>IF(O30&lt;&gt;1,"",COUNTIFS($O$26:$O$125,1,$L$26:$L$125,"&lt;"&amp;L30)+COUNTIFS($O$26:$O$125,1,$L$26:$L$125,L30,$H$26:$H$125,"&gt;"&amp;H30)+COUNTIFS($O$26:$O$125,1,$L$26:$L$125,L30,$H$26:$H$125,H30,$M$26:$M$125,"&gt;"&amp;M30)+COUNTIFS($O$26:O30,1,$L$26:L30,L30,$H$26:H30,H30,$M$26:M30,M30))</x:f>
      </x:c>
    </x:row>
    <x:row r="31" ht="32" customHeight="1">
      <x:c r="A31" s="2" t="str">
        <x:f>IF('Motor_Meciuri'!A11="","",'Motor_Meciuri'!A11)</x:f>
      </x:c>
      <x:c r="B31" s="13" t="str">
        <x:f>IF('Motor_Meciuri'!A11="","",'Motor_Meciuri'!D11)</x:f>
      </x:c>
      <x:c r="C31" s="2" t="str">
        <x:f>IF('Motor_Meciuri'!A11="","",'Motor_Meciuri'!E11)</x:f>
      </x:c>
      <x:c r="D31" s="2" t="str">
        <x:f>IF('Motor_Meciuri'!A11="","",'Motor_Meciuri'!H11)</x:f>
      </x:c>
      <x:c r="E31" s="2" t="str">
        <x:f>IF('Motor_Meciuri'!A11="","",'Motor_Meciuri'!I11)</x:f>
      </x:c>
      <x:c r="F31" s="2" t="str">
        <x:f>IF(K31=0,"",INDEX('Analiza_Linii'!F76:F89,K31))</x:f>
      </x:c>
      <x:c r="G31" s="2" t="str">
        <x:f>IF(A31="","",IF(D31&lt;&gt;"READY","NOT RELEASED",IF(K31=0,IF(E31="FAIL","NO BET","WATCH / NO BET"),INDEX('Analiza_Linii'!AA76:AA89,K31))))</x:f>
      </x:c>
      <x:c r="H31" s="16" t="str">
        <x:f>IF(K31=0,"",INDEX('Analiza_Linii'!AB76:AB89,K31))</x:f>
      </x:c>
      <x:c r="I31" s="13" t="str">
        <x:f>IF(A31="","",IF(E31&lt;&gt;"PASS",'Motor_Meciuri'!J11,IF(K31=0,"Nicio linie eligibila; vezi motivele din Analiza_Linii",INDEX('Analiza_Linii'!AH76:AH89,K31))))</x:f>
      </x:c>
      <x:c r="J31" s="2"/>
      <x:c r="K31" s="2" t="n">
        <x:f>IF(A31="",0,IFERROR(MATCH(1,'Analiza_Linii'!AC76:AC89,0),0))</x:f>
        <x:v>0</x:v>
      </x:c>
      <x:c r="L31" s="2" t="str">
        <x:f>IF(K31=0,"",INDEX('Analiza_Linii'!Z76:Z89,K31))</x:f>
      </x:c>
      <x:c r="M31" s="2" t="str">
        <x:f>IF(K31=0,"",INDEX('Analiza_Linii'!V76:V89,K31))</x:f>
      </x:c>
      <x:c r="N31" s="2" t="str">
        <x:f>IF(K31=0,"",INDEX('Analiza_Linii'!T76:T89,K31))</x:f>
      </x:c>
      <x:c r="O31" s="2" t="n">
        <x:f>IF(AND(C31="LIVE",K31&gt;0),1,0)</x:f>
        <x:v>0</x:v>
      </x:c>
      <x:c r="P31" s="2" t="str">
        <x:f>IF(O31&lt;&gt;1,"",COUNTIFS($O$26:$O$125,1,$L$26:$L$125,"&lt;"&amp;L31)+COUNTIFS($O$26:$O$125,1,$L$26:$L$125,L31,$H$26:$H$125,"&gt;"&amp;H31)+COUNTIFS($O$26:$O$125,1,$L$26:$L$125,L31,$H$26:$H$125,H31,$M$26:$M$125,"&gt;"&amp;M31)+COUNTIFS($O$26:O31,1,$L$26:L31,L31,$H$26:H31,H31,$M$26:M31,M31))</x:f>
      </x:c>
    </x:row>
    <x:row r="32" ht="32" customHeight="1">
      <x:c r="A32" s="2" t="str">
        <x:f>IF('Motor_Meciuri'!A12="","",'Motor_Meciuri'!A12)</x:f>
      </x:c>
      <x:c r="B32" s="13" t="str">
        <x:f>IF('Motor_Meciuri'!A12="","",'Motor_Meciuri'!D12)</x:f>
      </x:c>
      <x:c r="C32" s="2" t="str">
        <x:f>IF('Motor_Meciuri'!A12="","",'Motor_Meciuri'!E12)</x:f>
      </x:c>
      <x:c r="D32" s="2" t="str">
        <x:f>IF('Motor_Meciuri'!A12="","",'Motor_Meciuri'!H12)</x:f>
      </x:c>
      <x:c r="E32" s="2" t="str">
        <x:f>IF('Motor_Meciuri'!A12="","",'Motor_Meciuri'!I12)</x:f>
      </x:c>
      <x:c r="F32" s="2" t="str">
        <x:f>IF(K32=0,"",INDEX('Analiza_Linii'!F90:F103,K32))</x:f>
      </x:c>
      <x:c r="G32" s="2" t="str">
        <x:f>IF(A32="","",IF(D32&lt;&gt;"READY","NOT RELEASED",IF(K32=0,IF(E32="FAIL","NO BET","WATCH / NO BET"),INDEX('Analiza_Linii'!AA90:AA103,K32))))</x:f>
      </x:c>
      <x:c r="H32" s="16" t="str">
        <x:f>IF(K32=0,"",INDEX('Analiza_Linii'!AB90:AB103,K32))</x:f>
      </x:c>
      <x:c r="I32" s="13" t="str">
        <x:f>IF(A32="","",IF(E32&lt;&gt;"PASS",'Motor_Meciuri'!J12,IF(K32=0,"Nicio linie eligibila; vezi motivele din Analiza_Linii",INDEX('Analiza_Linii'!AH90:AH103,K32))))</x:f>
      </x:c>
      <x:c r="J32" s="2"/>
      <x:c r="K32" s="2" t="n">
        <x:f>IF(A32="",0,IFERROR(MATCH(1,'Analiza_Linii'!AC90:AC103,0),0))</x:f>
        <x:v>0</x:v>
      </x:c>
      <x:c r="L32" s="2" t="str">
        <x:f>IF(K32=0,"",INDEX('Analiza_Linii'!Z90:Z103,K32))</x:f>
      </x:c>
      <x:c r="M32" s="2" t="str">
        <x:f>IF(K32=0,"",INDEX('Analiza_Linii'!V90:V103,K32))</x:f>
      </x:c>
      <x:c r="N32" s="2" t="str">
        <x:f>IF(K32=0,"",INDEX('Analiza_Linii'!T90:T103,K32))</x:f>
      </x:c>
      <x:c r="O32" s="2" t="n">
        <x:f>IF(AND(C32="LIVE",K32&gt;0),1,0)</x:f>
        <x:v>0</x:v>
      </x:c>
      <x:c r="P32" s="2" t="str">
        <x:f>IF(O32&lt;&gt;1,"",COUNTIFS($O$26:$O$125,1,$L$26:$L$125,"&lt;"&amp;L32)+COUNTIFS($O$26:$O$125,1,$L$26:$L$125,L32,$H$26:$H$125,"&gt;"&amp;H32)+COUNTIFS($O$26:$O$125,1,$L$26:$L$125,L32,$H$26:$H$125,H32,$M$26:$M$125,"&gt;"&amp;M32)+COUNTIFS($O$26:O32,1,$L$26:L32,L32,$H$26:H32,H32,$M$26:M32,M32))</x:f>
      </x:c>
    </x:row>
    <x:row r="33" ht="32" customHeight="1">
      <x:c r="A33" s="2" t="str">
        <x:f>IF('Motor_Meciuri'!A13="","",'Motor_Meciuri'!A13)</x:f>
      </x:c>
      <x:c r="B33" s="13" t="str">
        <x:f>IF('Motor_Meciuri'!A13="","",'Motor_Meciuri'!D13)</x:f>
      </x:c>
      <x:c r="C33" s="2" t="str">
        <x:f>IF('Motor_Meciuri'!A13="","",'Motor_Meciuri'!E13)</x:f>
      </x:c>
      <x:c r="D33" s="2" t="str">
        <x:f>IF('Motor_Meciuri'!A13="","",'Motor_Meciuri'!H13)</x:f>
      </x:c>
      <x:c r="E33" s="2" t="str">
        <x:f>IF('Motor_Meciuri'!A13="","",'Motor_Meciuri'!I13)</x:f>
      </x:c>
      <x:c r="F33" s="2" t="str">
        <x:f>IF(K33=0,"",INDEX('Analiza_Linii'!F104:F117,K33))</x:f>
      </x:c>
      <x:c r="G33" s="2" t="str">
        <x:f>IF(A33="","",IF(D33&lt;&gt;"READY","NOT RELEASED",IF(K33=0,IF(E33="FAIL","NO BET","WATCH / NO BET"),INDEX('Analiza_Linii'!AA104:AA117,K33))))</x:f>
      </x:c>
      <x:c r="H33" s="16" t="str">
        <x:f>IF(K33=0,"",INDEX('Analiza_Linii'!AB104:AB117,K33))</x:f>
      </x:c>
      <x:c r="I33" s="13" t="str">
        <x:f>IF(A33="","",IF(E33&lt;&gt;"PASS",'Motor_Meciuri'!J13,IF(K33=0,"Nicio linie eligibila; vezi motivele din Analiza_Linii",INDEX('Analiza_Linii'!AH104:AH117,K33))))</x:f>
      </x:c>
      <x:c r="J33" s="2"/>
      <x:c r="K33" s="2" t="n">
        <x:f>IF(A33="",0,IFERROR(MATCH(1,'Analiza_Linii'!AC104:AC117,0),0))</x:f>
        <x:v>0</x:v>
      </x:c>
      <x:c r="L33" s="2" t="str">
        <x:f>IF(K33=0,"",INDEX('Analiza_Linii'!Z104:Z117,K33))</x:f>
      </x:c>
      <x:c r="M33" s="2" t="str">
        <x:f>IF(K33=0,"",INDEX('Analiza_Linii'!V104:V117,K33))</x:f>
      </x:c>
      <x:c r="N33" s="2" t="str">
        <x:f>IF(K33=0,"",INDEX('Analiza_Linii'!T104:T117,K33))</x:f>
      </x:c>
      <x:c r="O33" s="2" t="n">
        <x:f>IF(AND(C33="LIVE",K33&gt;0),1,0)</x:f>
        <x:v>0</x:v>
      </x:c>
      <x:c r="P33" s="2" t="str">
        <x:f>IF(O33&lt;&gt;1,"",COUNTIFS($O$26:$O$125,1,$L$26:$L$125,"&lt;"&amp;L33)+COUNTIFS($O$26:$O$125,1,$L$26:$L$125,L33,$H$26:$H$125,"&gt;"&amp;H33)+COUNTIFS($O$26:$O$125,1,$L$26:$L$125,L33,$H$26:$H$125,H33,$M$26:$M$125,"&gt;"&amp;M33)+COUNTIFS($O$26:O33,1,$L$26:L33,L33,$H$26:H33,H33,$M$26:M33,M33))</x:f>
      </x:c>
    </x:row>
    <x:row r="34" ht="32" customHeight="1">
      <x:c r="A34" s="2" t="str">
        <x:f>IF('Motor_Meciuri'!A14="","",'Motor_Meciuri'!A14)</x:f>
      </x:c>
      <x:c r="B34" s="13" t="str">
        <x:f>IF('Motor_Meciuri'!A14="","",'Motor_Meciuri'!D14)</x:f>
      </x:c>
      <x:c r="C34" s="2" t="str">
        <x:f>IF('Motor_Meciuri'!A14="","",'Motor_Meciuri'!E14)</x:f>
      </x:c>
      <x:c r="D34" s="2" t="str">
        <x:f>IF('Motor_Meciuri'!A14="","",'Motor_Meciuri'!H14)</x:f>
      </x:c>
      <x:c r="E34" s="2" t="str">
        <x:f>IF('Motor_Meciuri'!A14="","",'Motor_Meciuri'!I14)</x:f>
      </x:c>
      <x:c r="F34" s="2" t="str">
        <x:f>IF(K34=0,"",INDEX('Analiza_Linii'!F118:F131,K34))</x:f>
      </x:c>
      <x:c r="G34" s="2" t="str">
        <x:f>IF(A34="","",IF(D34&lt;&gt;"READY","NOT RELEASED",IF(K34=0,IF(E34="FAIL","NO BET","WATCH / NO BET"),INDEX('Analiza_Linii'!AA118:AA131,K34))))</x:f>
      </x:c>
      <x:c r="H34" s="16" t="str">
        <x:f>IF(K34=0,"",INDEX('Analiza_Linii'!AB118:AB131,K34))</x:f>
      </x:c>
      <x:c r="I34" s="13" t="str">
        <x:f>IF(A34="","",IF(E34&lt;&gt;"PASS",'Motor_Meciuri'!J14,IF(K34=0,"Nicio linie eligibila; vezi motivele din Analiza_Linii",INDEX('Analiza_Linii'!AH118:AH131,K34))))</x:f>
      </x:c>
      <x:c r="J34" s="2"/>
      <x:c r="K34" s="2" t="n">
        <x:f>IF(A34="",0,IFERROR(MATCH(1,'Analiza_Linii'!AC118:AC131,0),0))</x:f>
        <x:v>0</x:v>
      </x:c>
      <x:c r="L34" s="2" t="str">
        <x:f>IF(K34=0,"",INDEX('Analiza_Linii'!Z118:Z131,K34))</x:f>
      </x:c>
      <x:c r="M34" s="2" t="str">
        <x:f>IF(K34=0,"",INDEX('Analiza_Linii'!V118:V131,K34))</x:f>
      </x:c>
      <x:c r="N34" s="2" t="str">
        <x:f>IF(K34=0,"",INDEX('Analiza_Linii'!T118:T131,K34))</x:f>
      </x:c>
      <x:c r="O34" s="2" t="n">
        <x:f>IF(AND(C34="LIVE",K34&gt;0),1,0)</x:f>
        <x:v>0</x:v>
      </x:c>
      <x:c r="P34" s="2" t="str">
        <x:f>IF(O34&lt;&gt;1,"",COUNTIFS($O$26:$O$125,1,$L$26:$L$125,"&lt;"&amp;L34)+COUNTIFS($O$26:$O$125,1,$L$26:$L$125,L34,$H$26:$H$125,"&gt;"&amp;H34)+COUNTIFS($O$26:$O$125,1,$L$26:$L$125,L34,$H$26:$H$125,H34,$M$26:$M$125,"&gt;"&amp;M34)+COUNTIFS($O$26:O34,1,$L$26:L34,L34,$H$26:H34,H34,$M$26:M34,M34))</x:f>
      </x:c>
    </x:row>
    <x:row r="35" ht="32" customHeight="1">
      <x:c r="A35" s="2" t="str">
        <x:f>IF('Motor_Meciuri'!A15="","",'Motor_Meciuri'!A15)</x:f>
      </x:c>
      <x:c r="B35" s="13" t="str">
        <x:f>IF('Motor_Meciuri'!A15="","",'Motor_Meciuri'!D15)</x:f>
      </x:c>
      <x:c r="C35" s="2" t="str">
        <x:f>IF('Motor_Meciuri'!A15="","",'Motor_Meciuri'!E15)</x:f>
      </x:c>
      <x:c r="D35" s="2" t="str">
        <x:f>IF('Motor_Meciuri'!A15="","",'Motor_Meciuri'!H15)</x:f>
      </x:c>
      <x:c r="E35" s="2" t="str">
        <x:f>IF('Motor_Meciuri'!A15="","",'Motor_Meciuri'!I15)</x:f>
      </x:c>
      <x:c r="F35" s="2" t="str">
        <x:f>IF(K35=0,"",INDEX('Analiza_Linii'!F132:F145,K35))</x:f>
      </x:c>
      <x:c r="G35" s="2" t="str">
        <x:f>IF(A35="","",IF(D35&lt;&gt;"READY","NOT RELEASED",IF(K35=0,IF(E35="FAIL","NO BET","WATCH / NO BET"),INDEX('Analiza_Linii'!AA132:AA145,K35))))</x:f>
      </x:c>
      <x:c r="H35" s="16" t="str">
        <x:f>IF(K35=0,"",INDEX('Analiza_Linii'!AB132:AB145,K35))</x:f>
      </x:c>
      <x:c r="I35" s="13" t="str">
        <x:f>IF(A35="","",IF(E35&lt;&gt;"PASS",'Motor_Meciuri'!J15,IF(K35=0,"Nicio linie eligibila; vezi motivele din Analiza_Linii",INDEX('Analiza_Linii'!AH132:AH145,K35))))</x:f>
      </x:c>
      <x:c r="J35" s="2"/>
      <x:c r="K35" s="2" t="n">
        <x:f>IF(A35="",0,IFERROR(MATCH(1,'Analiza_Linii'!AC132:AC145,0),0))</x:f>
        <x:v>0</x:v>
      </x:c>
      <x:c r="L35" s="2" t="str">
        <x:f>IF(K35=0,"",INDEX('Analiza_Linii'!Z132:Z145,K35))</x:f>
      </x:c>
      <x:c r="M35" s="2" t="str">
        <x:f>IF(K35=0,"",INDEX('Analiza_Linii'!V132:V145,K35))</x:f>
      </x:c>
      <x:c r="N35" s="2" t="str">
        <x:f>IF(K35=0,"",INDEX('Analiza_Linii'!T132:T145,K35))</x:f>
      </x:c>
      <x:c r="O35" s="2" t="n">
        <x:f>IF(AND(C35="LIVE",K35&gt;0),1,0)</x:f>
        <x:v>0</x:v>
      </x:c>
      <x:c r="P35" s="2" t="str">
        <x:f>IF(O35&lt;&gt;1,"",COUNTIFS($O$26:$O$125,1,$L$26:$L$125,"&lt;"&amp;L35)+COUNTIFS($O$26:$O$125,1,$L$26:$L$125,L35,$H$26:$H$125,"&gt;"&amp;H35)+COUNTIFS($O$26:$O$125,1,$L$26:$L$125,L35,$H$26:$H$125,H35,$M$26:$M$125,"&gt;"&amp;M35)+COUNTIFS($O$26:O35,1,$L$26:L35,L35,$H$26:H35,H35,$M$26:M35,M35))</x:f>
      </x:c>
    </x:row>
    <x:row r="36" ht="32" customHeight="1">
      <x:c r="A36" s="2" t="str">
        <x:f>IF('Motor_Meciuri'!A16="","",'Motor_Meciuri'!A16)</x:f>
      </x:c>
      <x:c r="B36" s="13" t="str">
        <x:f>IF('Motor_Meciuri'!A16="","",'Motor_Meciuri'!D16)</x:f>
      </x:c>
      <x:c r="C36" s="2" t="str">
        <x:f>IF('Motor_Meciuri'!A16="","",'Motor_Meciuri'!E16)</x:f>
      </x:c>
      <x:c r="D36" s="2" t="str">
        <x:f>IF('Motor_Meciuri'!A16="","",'Motor_Meciuri'!H16)</x:f>
      </x:c>
      <x:c r="E36" s="2" t="str">
        <x:f>IF('Motor_Meciuri'!A16="","",'Motor_Meciuri'!I16)</x:f>
      </x:c>
      <x:c r="F36" s="2" t="str">
        <x:f>IF(K36=0,"",INDEX('Analiza_Linii'!F146:F159,K36))</x:f>
      </x:c>
      <x:c r="G36" s="2" t="str">
        <x:f>IF(A36="","",IF(D36&lt;&gt;"READY","NOT RELEASED",IF(K36=0,IF(E36="FAIL","NO BET","WATCH / NO BET"),INDEX('Analiza_Linii'!AA146:AA159,K36))))</x:f>
      </x:c>
      <x:c r="H36" s="16" t="str">
        <x:f>IF(K36=0,"",INDEX('Analiza_Linii'!AB146:AB159,K36))</x:f>
      </x:c>
      <x:c r="I36" s="13" t="str">
        <x:f>IF(A36="","",IF(E36&lt;&gt;"PASS",'Motor_Meciuri'!J16,IF(K36=0,"Nicio linie eligibila; vezi motivele din Analiza_Linii",INDEX('Analiza_Linii'!AH146:AH159,K36))))</x:f>
      </x:c>
      <x:c r="J36" s="2"/>
      <x:c r="K36" s="2" t="n">
        <x:f>IF(A36="",0,IFERROR(MATCH(1,'Analiza_Linii'!AC146:AC159,0),0))</x:f>
        <x:v>0</x:v>
      </x:c>
      <x:c r="L36" s="2" t="str">
        <x:f>IF(K36=0,"",INDEX('Analiza_Linii'!Z146:Z159,K36))</x:f>
      </x:c>
      <x:c r="M36" s="2" t="str">
        <x:f>IF(K36=0,"",INDEX('Analiza_Linii'!V146:V159,K36))</x:f>
      </x:c>
      <x:c r="N36" s="2" t="str">
        <x:f>IF(K36=0,"",INDEX('Analiza_Linii'!T146:T159,K36))</x:f>
      </x:c>
      <x:c r="O36" s="2" t="n">
        <x:f>IF(AND(C36="LIVE",K36&gt;0),1,0)</x:f>
        <x:v>0</x:v>
      </x:c>
      <x:c r="P36" s="2" t="str">
        <x:f>IF(O36&lt;&gt;1,"",COUNTIFS($O$26:$O$125,1,$L$26:$L$125,"&lt;"&amp;L36)+COUNTIFS($O$26:$O$125,1,$L$26:$L$125,L36,$H$26:$H$125,"&gt;"&amp;H36)+COUNTIFS($O$26:$O$125,1,$L$26:$L$125,L36,$H$26:$H$125,H36,$M$26:$M$125,"&gt;"&amp;M36)+COUNTIFS($O$26:O36,1,$L$26:L36,L36,$H$26:H36,H36,$M$26:M36,M36))</x:f>
      </x:c>
    </x:row>
    <x:row r="37" ht="32" customHeight="1">
      <x:c r="A37" s="2" t="str">
        <x:f>IF('Motor_Meciuri'!A17="","",'Motor_Meciuri'!A17)</x:f>
      </x:c>
      <x:c r="B37" s="13" t="str">
        <x:f>IF('Motor_Meciuri'!A17="","",'Motor_Meciuri'!D17)</x:f>
      </x:c>
      <x:c r="C37" s="2" t="str">
        <x:f>IF('Motor_Meciuri'!A17="","",'Motor_Meciuri'!E17)</x:f>
      </x:c>
      <x:c r="D37" s="2" t="str">
        <x:f>IF('Motor_Meciuri'!A17="","",'Motor_Meciuri'!H17)</x:f>
      </x:c>
      <x:c r="E37" s="2" t="str">
        <x:f>IF('Motor_Meciuri'!A17="","",'Motor_Meciuri'!I17)</x:f>
      </x:c>
      <x:c r="F37" s="2" t="str">
        <x:f>IF(K37=0,"",INDEX('Analiza_Linii'!F160:F173,K37))</x:f>
      </x:c>
      <x:c r="G37" s="2" t="str">
        <x:f>IF(A37="","",IF(D37&lt;&gt;"READY","NOT RELEASED",IF(K37=0,IF(E37="FAIL","NO BET","WATCH / NO BET"),INDEX('Analiza_Linii'!AA160:AA173,K37))))</x:f>
      </x:c>
      <x:c r="H37" s="16" t="str">
        <x:f>IF(K37=0,"",INDEX('Analiza_Linii'!AB160:AB173,K37))</x:f>
      </x:c>
      <x:c r="I37" s="13" t="str">
        <x:f>IF(A37="","",IF(E37&lt;&gt;"PASS",'Motor_Meciuri'!J17,IF(K37=0,"Nicio linie eligibila; vezi motivele din Analiza_Linii",INDEX('Analiza_Linii'!AH160:AH173,K37))))</x:f>
      </x:c>
      <x:c r="J37" s="2"/>
      <x:c r="K37" s="2" t="n">
        <x:f>IF(A37="",0,IFERROR(MATCH(1,'Analiza_Linii'!AC160:AC173,0),0))</x:f>
        <x:v>0</x:v>
      </x:c>
      <x:c r="L37" s="2" t="str">
        <x:f>IF(K37=0,"",INDEX('Analiza_Linii'!Z160:Z173,K37))</x:f>
      </x:c>
      <x:c r="M37" s="2" t="str">
        <x:f>IF(K37=0,"",INDEX('Analiza_Linii'!V160:V173,K37))</x:f>
      </x:c>
      <x:c r="N37" s="2" t="str">
        <x:f>IF(K37=0,"",INDEX('Analiza_Linii'!T160:T173,K37))</x:f>
      </x:c>
      <x:c r="O37" s="2" t="n">
        <x:f>IF(AND(C37="LIVE",K37&gt;0),1,0)</x:f>
        <x:v>0</x:v>
      </x:c>
      <x:c r="P37" s="2" t="str">
        <x:f>IF(O37&lt;&gt;1,"",COUNTIFS($O$26:$O$125,1,$L$26:$L$125,"&lt;"&amp;L37)+COUNTIFS($O$26:$O$125,1,$L$26:$L$125,L37,$H$26:$H$125,"&gt;"&amp;H37)+COUNTIFS($O$26:$O$125,1,$L$26:$L$125,L37,$H$26:$H$125,H37,$M$26:$M$125,"&gt;"&amp;M37)+COUNTIFS($O$26:O37,1,$L$26:L37,L37,$H$26:H37,H37,$M$26:M37,M37))</x:f>
      </x:c>
    </x:row>
    <x:row r="38" ht="32" customHeight="1">
      <x:c r="A38" s="2" t="str">
        <x:f>IF('Motor_Meciuri'!A18="","",'Motor_Meciuri'!A18)</x:f>
      </x:c>
      <x:c r="B38" s="13" t="str">
        <x:f>IF('Motor_Meciuri'!A18="","",'Motor_Meciuri'!D18)</x:f>
      </x:c>
      <x:c r="C38" s="2" t="str">
        <x:f>IF('Motor_Meciuri'!A18="","",'Motor_Meciuri'!E18)</x:f>
      </x:c>
      <x:c r="D38" s="2" t="str">
        <x:f>IF('Motor_Meciuri'!A18="","",'Motor_Meciuri'!H18)</x:f>
      </x:c>
      <x:c r="E38" s="2" t="str">
        <x:f>IF('Motor_Meciuri'!A18="","",'Motor_Meciuri'!I18)</x:f>
      </x:c>
      <x:c r="F38" s="2" t="str">
        <x:f>IF(K38=0,"",INDEX('Analiza_Linii'!F174:F187,K38))</x:f>
      </x:c>
      <x:c r="G38" s="2" t="str">
        <x:f>IF(A38="","",IF(D38&lt;&gt;"READY","NOT RELEASED",IF(K38=0,IF(E38="FAIL","NO BET","WATCH / NO BET"),INDEX('Analiza_Linii'!AA174:AA187,K38))))</x:f>
      </x:c>
      <x:c r="H38" s="16" t="str">
        <x:f>IF(K38=0,"",INDEX('Analiza_Linii'!AB174:AB187,K38))</x:f>
      </x:c>
      <x:c r="I38" s="13" t="str">
        <x:f>IF(A38="","",IF(E38&lt;&gt;"PASS",'Motor_Meciuri'!J18,IF(K38=0,"Nicio linie eligibila; vezi motivele din Analiza_Linii",INDEX('Analiza_Linii'!AH174:AH187,K38))))</x:f>
      </x:c>
      <x:c r="J38" s="2"/>
      <x:c r="K38" s="2" t="n">
        <x:f>IF(A38="",0,IFERROR(MATCH(1,'Analiza_Linii'!AC174:AC187,0),0))</x:f>
        <x:v>0</x:v>
      </x:c>
      <x:c r="L38" s="2" t="str">
        <x:f>IF(K38=0,"",INDEX('Analiza_Linii'!Z174:Z187,K38))</x:f>
      </x:c>
      <x:c r="M38" s="2" t="str">
        <x:f>IF(K38=0,"",INDEX('Analiza_Linii'!V174:V187,K38))</x:f>
      </x:c>
      <x:c r="N38" s="2" t="str">
        <x:f>IF(K38=0,"",INDEX('Analiza_Linii'!T174:T187,K38))</x:f>
      </x:c>
      <x:c r="O38" s="2" t="n">
        <x:f>IF(AND(C38="LIVE",K38&gt;0),1,0)</x:f>
        <x:v>0</x:v>
      </x:c>
      <x:c r="P38" s="2" t="str">
        <x:f>IF(O38&lt;&gt;1,"",COUNTIFS($O$26:$O$125,1,$L$26:$L$125,"&lt;"&amp;L38)+COUNTIFS($O$26:$O$125,1,$L$26:$L$125,L38,$H$26:$H$125,"&gt;"&amp;H38)+COUNTIFS($O$26:$O$125,1,$L$26:$L$125,L38,$H$26:$H$125,H38,$M$26:$M$125,"&gt;"&amp;M38)+COUNTIFS($O$26:O38,1,$L$26:L38,L38,$H$26:H38,H38,$M$26:M38,M38))</x:f>
      </x:c>
    </x:row>
    <x:row r="39" ht="32" customHeight="1">
      <x:c r="A39" s="2" t="str">
        <x:f>IF('Motor_Meciuri'!A19="","",'Motor_Meciuri'!A19)</x:f>
      </x:c>
      <x:c r="B39" s="13" t="str">
        <x:f>IF('Motor_Meciuri'!A19="","",'Motor_Meciuri'!D19)</x:f>
      </x:c>
      <x:c r="C39" s="2" t="str">
        <x:f>IF('Motor_Meciuri'!A19="","",'Motor_Meciuri'!E19)</x:f>
      </x:c>
      <x:c r="D39" s="2" t="str">
        <x:f>IF('Motor_Meciuri'!A19="","",'Motor_Meciuri'!H19)</x:f>
      </x:c>
      <x:c r="E39" s="2" t="str">
        <x:f>IF('Motor_Meciuri'!A19="","",'Motor_Meciuri'!I19)</x:f>
      </x:c>
      <x:c r="F39" s="2" t="str">
        <x:f>IF(K39=0,"",INDEX('Analiza_Linii'!F188:F201,K39))</x:f>
      </x:c>
      <x:c r="G39" s="2" t="str">
        <x:f>IF(A39="","",IF(D39&lt;&gt;"READY","NOT RELEASED",IF(K39=0,IF(E39="FAIL","NO BET","WATCH / NO BET"),INDEX('Analiza_Linii'!AA188:AA201,K39))))</x:f>
      </x:c>
      <x:c r="H39" s="16" t="str">
        <x:f>IF(K39=0,"",INDEX('Analiza_Linii'!AB188:AB201,K39))</x:f>
      </x:c>
      <x:c r="I39" s="13" t="str">
        <x:f>IF(A39="","",IF(E39&lt;&gt;"PASS",'Motor_Meciuri'!J19,IF(K39=0,"Nicio linie eligibila; vezi motivele din Analiza_Linii",INDEX('Analiza_Linii'!AH188:AH201,K39))))</x:f>
      </x:c>
      <x:c r="J39" s="2"/>
      <x:c r="K39" s="2" t="n">
        <x:f>IF(A39="",0,IFERROR(MATCH(1,'Analiza_Linii'!AC188:AC201,0),0))</x:f>
        <x:v>0</x:v>
      </x:c>
      <x:c r="L39" s="2" t="str">
        <x:f>IF(K39=0,"",INDEX('Analiza_Linii'!Z188:Z201,K39))</x:f>
      </x:c>
      <x:c r="M39" s="2" t="str">
        <x:f>IF(K39=0,"",INDEX('Analiza_Linii'!V188:V201,K39))</x:f>
      </x:c>
      <x:c r="N39" s="2" t="str">
        <x:f>IF(K39=0,"",INDEX('Analiza_Linii'!T188:T201,K39))</x:f>
      </x:c>
      <x:c r="O39" s="2" t="n">
        <x:f>IF(AND(C39="LIVE",K39&gt;0),1,0)</x:f>
        <x:v>0</x:v>
      </x:c>
      <x:c r="P39" s="2" t="str">
        <x:f>IF(O39&lt;&gt;1,"",COUNTIFS($O$26:$O$125,1,$L$26:$L$125,"&lt;"&amp;L39)+COUNTIFS($O$26:$O$125,1,$L$26:$L$125,L39,$H$26:$H$125,"&gt;"&amp;H39)+COUNTIFS($O$26:$O$125,1,$L$26:$L$125,L39,$H$26:$H$125,H39,$M$26:$M$125,"&gt;"&amp;M39)+COUNTIFS($O$26:O39,1,$L$26:L39,L39,$H$26:H39,H39,$M$26:M39,M39))</x:f>
      </x:c>
    </x:row>
    <x:row r="40" ht="32" customHeight="1">
      <x:c r="A40" s="2" t="str">
        <x:f>IF('Motor_Meciuri'!A20="","",'Motor_Meciuri'!A20)</x:f>
      </x:c>
      <x:c r="B40" s="13" t="str">
        <x:f>IF('Motor_Meciuri'!A20="","",'Motor_Meciuri'!D20)</x:f>
      </x:c>
      <x:c r="C40" s="2" t="str">
        <x:f>IF('Motor_Meciuri'!A20="","",'Motor_Meciuri'!E20)</x:f>
      </x:c>
      <x:c r="D40" s="2" t="str">
        <x:f>IF('Motor_Meciuri'!A20="","",'Motor_Meciuri'!H20)</x:f>
      </x:c>
      <x:c r="E40" s="2" t="str">
        <x:f>IF('Motor_Meciuri'!A20="","",'Motor_Meciuri'!I20)</x:f>
      </x:c>
      <x:c r="F40" s="2" t="str">
        <x:f>IF(K40=0,"",INDEX('Analiza_Linii'!F202:F215,K40))</x:f>
      </x:c>
      <x:c r="G40" s="2" t="str">
        <x:f>IF(A40="","",IF(D40&lt;&gt;"READY","NOT RELEASED",IF(K40=0,IF(E40="FAIL","NO BET","WATCH / NO BET"),INDEX('Analiza_Linii'!AA202:AA215,K40))))</x:f>
      </x:c>
      <x:c r="H40" s="16" t="str">
        <x:f>IF(K40=0,"",INDEX('Analiza_Linii'!AB202:AB215,K40))</x:f>
      </x:c>
      <x:c r="I40" s="13" t="str">
        <x:f>IF(A40="","",IF(E40&lt;&gt;"PASS",'Motor_Meciuri'!J20,IF(K40=0,"Nicio linie eligibila; vezi motivele din Analiza_Linii",INDEX('Analiza_Linii'!AH202:AH215,K40))))</x:f>
      </x:c>
      <x:c r="J40" s="2"/>
      <x:c r="K40" s="2" t="n">
        <x:f>IF(A40="",0,IFERROR(MATCH(1,'Analiza_Linii'!AC202:AC215,0),0))</x:f>
        <x:v>0</x:v>
      </x:c>
      <x:c r="L40" s="2" t="str">
        <x:f>IF(K40=0,"",INDEX('Analiza_Linii'!Z202:Z215,K40))</x:f>
      </x:c>
      <x:c r="M40" s="2" t="str">
        <x:f>IF(K40=0,"",INDEX('Analiza_Linii'!V202:V215,K40))</x:f>
      </x:c>
      <x:c r="N40" s="2" t="str">
        <x:f>IF(K40=0,"",INDEX('Analiza_Linii'!T202:T215,K40))</x:f>
      </x:c>
      <x:c r="O40" s="2" t="n">
        <x:f>IF(AND(C40="LIVE",K40&gt;0),1,0)</x:f>
        <x:v>0</x:v>
      </x:c>
      <x:c r="P40" s="2" t="str">
        <x:f>IF(O40&lt;&gt;1,"",COUNTIFS($O$26:$O$125,1,$L$26:$L$125,"&lt;"&amp;L40)+COUNTIFS($O$26:$O$125,1,$L$26:$L$125,L40,$H$26:$H$125,"&gt;"&amp;H40)+COUNTIFS($O$26:$O$125,1,$L$26:$L$125,L40,$H$26:$H$125,H40,$M$26:$M$125,"&gt;"&amp;M40)+COUNTIFS($O$26:O40,1,$L$26:L40,L40,$H$26:H40,H40,$M$26:M40,M40))</x:f>
      </x:c>
    </x:row>
    <x:row r="41" ht="32" customHeight="1">
      <x:c r="A41" s="2" t="str">
        <x:f>IF('Motor_Meciuri'!A21="","",'Motor_Meciuri'!A21)</x:f>
      </x:c>
      <x:c r="B41" s="13" t="str">
        <x:f>IF('Motor_Meciuri'!A21="","",'Motor_Meciuri'!D21)</x:f>
      </x:c>
      <x:c r="C41" s="2" t="str">
        <x:f>IF('Motor_Meciuri'!A21="","",'Motor_Meciuri'!E21)</x:f>
      </x:c>
      <x:c r="D41" s="2" t="str">
        <x:f>IF('Motor_Meciuri'!A21="","",'Motor_Meciuri'!H21)</x:f>
      </x:c>
      <x:c r="E41" s="2" t="str">
        <x:f>IF('Motor_Meciuri'!A21="","",'Motor_Meciuri'!I21)</x:f>
      </x:c>
      <x:c r="F41" s="2" t="str">
        <x:f>IF(K41=0,"",INDEX('Analiza_Linii'!F216:F229,K41))</x:f>
      </x:c>
      <x:c r="G41" s="2" t="str">
        <x:f>IF(A41="","",IF(D41&lt;&gt;"READY","NOT RELEASED",IF(K41=0,IF(E41="FAIL","NO BET","WATCH / NO BET"),INDEX('Analiza_Linii'!AA216:AA229,K41))))</x:f>
      </x:c>
      <x:c r="H41" s="16" t="str">
        <x:f>IF(K41=0,"",INDEX('Analiza_Linii'!AB216:AB229,K41))</x:f>
      </x:c>
      <x:c r="I41" s="13" t="str">
        <x:f>IF(A41="","",IF(E41&lt;&gt;"PASS",'Motor_Meciuri'!J21,IF(K41=0,"Nicio linie eligibila; vezi motivele din Analiza_Linii",INDEX('Analiza_Linii'!AH216:AH229,K41))))</x:f>
      </x:c>
      <x:c r="J41" s="2"/>
      <x:c r="K41" s="2" t="n">
        <x:f>IF(A41="",0,IFERROR(MATCH(1,'Analiza_Linii'!AC216:AC229,0),0))</x:f>
        <x:v>0</x:v>
      </x:c>
      <x:c r="L41" s="2" t="str">
        <x:f>IF(K41=0,"",INDEX('Analiza_Linii'!Z216:Z229,K41))</x:f>
      </x:c>
      <x:c r="M41" s="2" t="str">
        <x:f>IF(K41=0,"",INDEX('Analiza_Linii'!V216:V229,K41))</x:f>
      </x:c>
      <x:c r="N41" s="2" t="str">
        <x:f>IF(K41=0,"",INDEX('Analiza_Linii'!T216:T229,K41))</x:f>
      </x:c>
      <x:c r="O41" s="2" t="n">
        <x:f>IF(AND(C41="LIVE",K41&gt;0),1,0)</x:f>
        <x:v>0</x:v>
      </x:c>
      <x:c r="P41" s="2" t="str">
        <x:f>IF(O41&lt;&gt;1,"",COUNTIFS($O$26:$O$125,1,$L$26:$L$125,"&lt;"&amp;L41)+COUNTIFS($O$26:$O$125,1,$L$26:$L$125,L41,$H$26:$H$125,"&gt;"&amp;H41)+COUNTIFS($O$26:$O$125,1,$L$26:$L$125,L41,$H$26:$H$125,H41,$M$26:$M$125,"&gt;"&amp;M41)+COUNTIFS($O$26:O41,1,$L$26:L41,L41,$H$26:H41,H41,$M$26:M41,M41))</x:f>
      </x:c>
    </x:row>
    <x:row r="42" ht="32" customHeight="1">
      <x:c r="A42" s="2" t="str">
        <x:f>IF('Motor_Meciuri'!A22="","",'Motor_Meciuri'!A22)</x:f>
      </x:c>
      <x:c r="B42" s="13" t="str">
        <x:f>IF('Motor_Meciuri'!A22="","",'Motor_Meciuri'!D22)</x:f>
      </x:c>
      <x:c r="C42" s="2" t="str">
        <x:f>IF('Motor_Meciuri'!A22="","",'Motor_Meciuri'!E22)</x:f>
      </x:c>
      <x:c r="D42" s="2" t="str">
        <x:f>IF('Motor_Meciuri'!A22="","",'Motor_Meciuri'!H22)</x:f>
      </x:c>
      <x:c r="E42" s="2" t="str">
        <x:f>IF('Motor_Meciuri'!A22="","",'Motor_Meciuri'!I22)</x:f>
      </x:c>
      <x:c r="F42" s="2" t="str">
        <x:f>IF(K42=0,"",INDEX('Analiza_Linii'!F230:F243,K42))</x:f>
      </x:c>
      <x:c r="G42" s="2" t="str">
        <x:f>IF(A42="","",IF(D42&lt;&gt;"READY","NOT RELEASED",IF(K42=0,IF(E42="FAIL","NO BET","WATCH / NO BET"),INDEX('Analiza_Linii'!AA230:AA243,K42))))</x:f>
      </x:c>
      <x:c r="H42" s="16" t="str">
        <x:f>IF(K42=0,"",INDEX('Analiza_Linii'!AB230:AB243,K42))</x:f>
      </x:c>
      <x:c r="I42" s="13" t="str">
        <x:f>IF(A42="","",IF(E42&lt;&gt;"PASS",'Motor_Meciuri'!J22,IF(K42=0,"Nicio linie eligibila; vezi motivele din Analiza_Linii",INDEX('Analiza_Linii'!AH230:AH243,K42))))</x:f>
      </x:c>
      <x:c r="J42" s="2"/>
      <x:c r="K42" s="2" t="n">
        <x:f>IF(A42="",0,IFERROR(MATCH(1,'Analiza_Linii'!AC230:AC243,0),0))</x:f>
        <x:v>0</x:v>
      </x:c>
      <x:c r="L42" s="2" t="str">
        <x:f>IF(K42=0,"",INDEX('Analiza_Linii'!Z230:Z243,K42))</x:f>
      </x:c>
      <x:c r="M42" s="2" t="str">
        <x:f>IF(K42=0,"",INDEX('Analiza_Linii'!V230:V243,K42))</x:f>
      </x:c>
      <x:c r="N42" s="2" t="str">
        <x:f>IF(K42=0,"",INDEX('Analiza_Linii'!T230:T243,K42))</x:f>
      </x:c>
      <x:c r="O42" s="2" t="n">
        <x:f>IF(AND(C42="LIVE",K42&gt;0),1,0)</x:f>
        <x:v>0</x:v>
      </x:c>
      <x:c r="P42" s="2" t="str">
        <x:f>IF(O42&lt;&gt;1,"",COUNTIFS($O$26:$O$125,1,$L$26:$L$125,"&lt;"&amp;L42)+COUNTIFS($O$26:$O$125,1,$L$26:$L$125,L42,$H$26:$H$125,"&gt;"&amp;H42)+COUNTIFS($O$26:$O$125,1,$L$26:$L$125,L42,$H$26:$H$125,H42,$M$26:$M$125,"&gt;"&amp;M42)+COUNTIFS($O$26:O42,1,$L$26:L42,L42,$H$26:H42,H42,$M$26:M42,M42))</x:f>
      </x:c>
    </x:row>
    <x:row r="43" ht="32" customHeight="1">
      <x:c r="A43" s="2" t="str">
        <x:f>IF('Motor_Meciuri'!A23="","",'Motor_Meciuri'!A23)</x:f>
      </x:c>
      <x:c r="B43" s="13" t="str">
        <x:f>IF('Motor_Meciuri'!A23="","",'Motor_Meciuri'!D23)</x:f>
      </x:c>
      <x:c r="C43" s="2" t="str">
        <x:f>IF('Motor_Meciuri'!A23="","",'Motor_Meciuri'!E23)</x:f>
      </x:c>
      <x:c r="D43" s="2" t="str">
        <x:f>IF('Motor_Meciuri'!A23="","",'Motor_Meciuri'!H23)</x:f>
      </x:c>
      <x:c r="E43" s="2" t="str">
        <x:f>IF('Motor_Meciuri'!A23="","",'Motor_Meciuri'!I23)</x:f>
      </x:c>
      <x:c r="F43" s="2" t="str">
        <x:f>IF(K43=0,"",INDEX('Analiza_Linii'!F244:F257,K43))</x:f>
      </x:c>
      <x:c r="G43" s="2" t="str">
        <x:f>IF(A43="","",IF(D43&lt;&gt;"READY","NOT RELEASED",IF(K43=0,IF(E43="FAIL","NO BET","WATCH / NO BET"),INDEX('Analiza_Linii'!AA244:AA257,K43))))</x:f>
      </x:c>
      <x:c r="H43" s="16" t="str">
        <x:f>IF(K43=0,"",INDEX('Analiza_Linii'!AB244:AB257,K43))</x:f>
      </x:c>
      <x:c r="I43" s="13" t="str">
        <x:f>IF(A43="","",IF(E43&lt;&gt;"PASS",'Motor_Meciuri'!J23,IF(K43=0,"Nicio linie eligibila; vezi motivele din Analiza_Linii",INDEX('Analiza_Linii'!AH244:AH257,K43))))</x:f>
      </x:c>
      <x:c r="J43" s="2"/>
      <x:c r="K43" s="2" t="n">
        <x:f>IF(A43="",0,IFERROR(MATCH(1,'Analiza_Linii'!AC244:AC257,0),0))</x:f>
        <x:v>0</x:v>
      </x:c>
      <x:c r="L43" s="2" t="str">
        <x:f>IF(K43=0,"",INDEX('Analiza_Linii'!Z244:Z257,K43))</x:f>
      </x:c>
      <x:c r="M43" s="2" t="str">
        <x:f>IF(K43=0,"",INDEX('Analiza_Linii'!V244:V257,K43))</x:f>
      </x:c>
      <x:c r="N43" s="2" t="str">
        <x:f>IF(K43=0,"",INDEX('Analiza_Linii'!T244:T257,K43))</x:f>
      </x:c>
      <x:c r="O43" s="2" t="n">
        <x:f>IF(AND(C43="LIVE",K43&gt;0),1,0)</x:f>
        <x:v>0</x:v>
      </x:c>
      <x:c r="P43" s="2" t="str">
        <x:f>IF(O43&lt;&gt;1,"",COUNTIFS($O$26:$O$125,1,$L$26:$L$125,"&lt;"&amp;L43)+COUNTIFS($O$26:$O$125,1,$L$26:$L$125,L43,$H$26:$H$125,"&gt;"&amp;H43)+COUNTIFS($O$26:$O$125,1,$L$26:$L$125,L43,$H$26:$H$125,H43,$M$26:$M$125,"&gt;"&amp;M43)+COUNTIFS($O$26:O43,1,$L$26:L43,L43,$H$26:H43,H43,$M$26:M43,M43))</x:f>
      </x:c>
    </x:row>
    <x:row r="44" ht="32" customHeight="1">
      <x:c r="A44" s="2" t="str">
        <x:f>IF('Motor_Meciuri'!A24="","",'Motor_Meciuri'!A24)</x:f>
      </x:c>
      <x:c r="B44" s="13" t="str">
        <x:f>IF('Motor_Meciuri'!A24="","",'Motor_Meciuri'!D24)</x:f>
      </x:c>
      <x:c r="C44" s="2" t="str">
        <x:f>IF('Motor_Meciuri'!A24="","",'Motor_Meciuri'!E24)</x:f>
      </x:c>
      <x:c r="D44" s="2" t="str">
        <x:f>IF('Motor_Meciuri'!A24="","",'Motor_Meciuri'!H24)</x:f>
      </x:c>
      <x:c r="E44" s="2" t="str">
        <x:f>IF('Motor_Meciuri'!A24="","",'Motor_Meciuri'!I24)</x:f>
      </x:c>
      <x:c r="F44" s="2" t="str">
        <x:f>IF(K44=0,"",INDEX('Analiza_Linii'!F258:F271,K44))</x:f>
      </x:c>
      <x:c r="G44" s="2" t="str">
        <x:f>IF(A44="","",IF(D44&lt;&gt;"READY","NOT RELEASED",IF(K44=0,IF(E44="FAIL","NO BET","WATCH / NO BET"),INDEX('Analiza_Linii'!AA258:AA271,K44))))</x:f>
      </x:c>
      <x:c r="H44" s="16" t="str">
        <x:f>IF(K44=0,"",INDEX('Analiza_Linii'!AB258:AB271,K44))</x:f>
      </x:c>
      <x:c r="I44" s="13" t="str">
        <x:f>IF(A44="","",IF(E44&lt;&gt;"PASS",'Motor_Meciuri'!J24,IF(K44=0,"Nicio linie eligibila; vezi motivele din Analiza_Linii",INDEX('Analiza_Linii'!AH258:AH271,K44))))</x:f>
      </x:c>
      <x:c r="J44" s="2"/>
      <x:c r="K44" s="2" t="n">
        <x:f>IF(A44="",0,IFERROR(MATCH(1,'Analiza_Linii'!AC258:AC271,0),0))</x:f>
        <x:v>0</x:v>
      </x:c>
      <x:c r="L44" s="2" t="str">
        <x:f>IF(K44=0,"",INDEX('Analiza_Linii'!Z258:Z271,K44))</x:f>
      </x:c>
      <x:c r="M44" s="2" t="str">
        <x:f>IF(K44=0,"",INDEX('Analiza_Linii'!V258:V271,K44))</x:f>
      </x:c>
      <x:c r="N44" s="2" t="str">
        <x:f>IF(K44=0,"",INDEX('Analiza_Linii'!T258:T271,K44))</x:f>
      </x:c>
      <x:c r="O44" s="2" t="n">
        <x:f>IF(AND(C44="LIVE",K44&gt;0),1,0)</x:f>
        <x:v>0</x:v>
      </x:c>
      <x:c r="P44" s="2" t="str">
        <x:f>IF(O44&lt;&gt;1,"",COUNTIFS($O$26:$O$125,1,$L$26:$L$125,"&lt;"&amp;L44)+COUNTIFS($O$26:$O$125,1,$L$26:$L$125,L44,$H$26:$H$125,"&gt;"&amp;H44)+COUNTIFS($O$26:$O$125,1,$L$26:$L$125,L44,$H$26:$H$125,H44,$M$26:$M$125,"&gt;"&amp;M44)+COUNTIFS($O$26:O44,1,$L$26:L44,L44,$H$26:H44,H44,$M$26:M44,M44))</x:f>
      </x:c>
    </x:row>
    <x:row r="45" ht="32" customHeight="1">
      <x:c r="A45" s="2" t="str">
        <x:f>IF('Motor_Meciuri'!A25="","",'Motor_Meciuri'!A25)</x:f>
      </x:c>
      <x:c r="B45" s="13" t="str">
        <x:f>IF('Motor_Meciuri'!A25="","",'Motor_Meciuri'!D25)</x:f>
      </x:c>
      <x:c r="C45" s="2" t="str">
        <x:f>IF('Motor_Meciuri'!A25="","",'Motor_Meciuri'!E25)</x:f>
      </x:c>
      <x:c r="D45" s="2" t="str">
        <x:f>IF('Motor_Meciuri'!A25="","",'Motor_Meciuri'!H25)</x:f>
      </x:c>
      <x:c r="E45" s="2" t="str">
        <x:f>IF('Motor_Meciuri'!A25="","",'Motor_Meciuri'!I25)</x:f>
      </x:c>
      <x:c r="F45" s="2" t="str">
        <x:f>IF(K45=0,"",INDEX('Analiza_Linii'!F272:F285,K45))</x:f>
      </x:c>
      <x:c r="G45" s="2" t="str">
        <x:f>IF(A45="","",IF(D45&lt;&gt;"READY","NOT RELEASED",IF(K45=0,IF(E45="FAIL","NO BET","WATCH / NO BET"),INDEX('Analiza_Linii'!AA272:AA285,K45))))</x:f>
      </x:c>
      <x:c r="H45" s="16" t="str">
        <x:f>IF(K45=0,"",INDEX('Analiza_Linii'!AB272:AB285,K45))</x:f>
      </x:c>
      <x:c r="I45" s="13" t="str">
        <x:f>IF(A45="","",IF(E45&lt;&gt;"PASS",'Motor_Meciuri'!J25,IF(K45=0,"Nicio linie eligibila; vezi motivele din Analiza_Linii",INDEX('Analiza_Linii'!AH272:AH285,K45))))</x:f>
      </x:c>
      <x:c r="J45" s="2"/>
      <x:c r="K45" s="2" t="n">
        <x:f>IF(A45="",0,IFERROR(MATCH(1,'Analiza_Linii'!AC272:AC285,0),0))</x:f>
        <x:v>0</x:v>
      </x:c>
      <x:c r="L45" s="2" t="str">
        <x:f>IF(K45=0,"",INDEX('Analiza_Linii'!Z272:Z285,K45))</x:f>
      </x:c>
      <x:c r="M45" s="2" t="str">
        <x:f>IF(K45=0,"",INDEX('Analiza_Linii'!V272:V285,K45))</x:f>
      </x:c>
      <x:c r="N45" s="2" t="str">
        <x:f>IF(K45=0,"",INDEX('Analiza_Linii'!T272:T285,K45))</x:f>
      </x:c>
      <x:c r="O45" s="2" t="n">
        <x:f>IF(AND(C45="LIVE",K45&gt;0),1,0)</x:f>
        <x:v>0</x:v>
      </x:c>
      <x:c r="P45" s="2" t="str">
        <x:f>IF(O45&lt;&gt;1,"",COUNTIFS($O$26:$O$125,1,$L$26:$L$125,"&lt;"&amp;L45)+COUNTIFS($O$26:$O$125,1,$L$26:$L$125,L45,$H$26:$H$125,"&gt;"&amp;H45)+COUNTIFS($O$26:$O$125,1,$L$26:$L$125,L45,$H$26:$H$125,H45,$M$26:$M$125,"&gt;"&amp;M45)+COUNTIFS($O$26:O45,1,$L$26:L45,L45,$H$26:H45,H45,$M$26:M45,M45))</x:f>
      </x:c>
    </x:row>
    <x:row r="46" ht="32" customHeight="1">
      <x:c r="A46" s="2" t="str">
        <x:f>IF('Motor_Meciuri'!A26="","",'Motor_Meciuri'!A26)</x:f>
      </x:c>
      <x:c r="B46" s="13" t="str">
        <x:f>IF('Motor_Meciuri'!A26="","",'Motor_Meciuri'!D26)</x:f>
      </x:c>
      <x:c r="C46" s="2" t="str">
        <x:f>IF('Motor_Meciuri'!A26="","",'Motor_Meciuri'!E26)</x:f>
      </x:c>
      <x:c r="D46" s="2" t="str">
        <x:f>IF('Motor_Meciuri'!A26="","",'Motor_Meciuri'!H26)</x:f>
      </x:c>
      <x:c r="E46" s="2" t="str">
        <x:f>IF('Motor_Meciuri'!A26="","",'Motor_Meciuri'!I26)</x:f>
      </x:c>
      <x:c r="F46" s="2" t="str">
        <x:f>IF(K46=0,"",INDEX('Analiza_Linii'!F286:F299,K46))</x:f>
      </x:c>
      <x:c r="G46" s="2" t="str">
        <x:f>IF(A46="","",IF(D46&lt;&gt;"READY","NOT RELEASED",IF(K46=0,IF(E46="FAIL","NO BET","WATCH / NO BET"),INDEX('Analiza_Linii'!AA286:AA299,K46))))</x:f>
      </x:c>
      <x:c r="H46" s="16" t="str">
        <x:f>IF(K46=0,"",INDEX('Analiza_Linii'!AB286:AB299,K46))</x:f>
      </x:c>
      <x:c r="I46" s="13" t="str">
        <x:f>IF(A46="","",IF(E46&lt;&gt;"PASS",'Motor_Meciuri'!J26,IF(K46=0,"Nicio linie eligibila; vezi motivele din Analiza_Linii",INDEX('Analiza_Linii'!AH286:AH299,K46))))</x:f>
      </x:c>
      <x:c r="J46" s="2"/>
      <x:c r="K46" s="2" t="n">
        <x:f>IF(A46="",0,IFERROR(MATCH(1,'Analiza_Linii'!AC286:AC299,0),0))</x:f>
        <x:v>0</x:v>
      </x:c>
      <x:c r="L46" s="2" t="str">
        <x:f>IF(K46=0,"",INDEX('Analiza_Linii'!Z286:Z299,K46))</x:f>
      </x:c>
      <x:c r="M46" s="2" t="str">
        <x:f>IF(K46=0,"",INDEX('Analiza_Linii'!V286:V299,K46))</x:f>
      </x:c>
      <x:c r="N46" s="2" t="str">
        <x:f>IF(K46=0,"",INDEX('Analiza_Linii'!T286:T299,K46))</x:f>
      </x:c>
      <x:c r="O46" s="2" t="n">
        <x:f>IF(AND(C46="LIVE",K46&gt;0),1,0)</x:f>
        <x:v>0</x:v>
      </x:c>
      <x:c r="P46" s="2" t="str">
        <x:f>IF(O46&lt;&gt;1,"",COUNTIFS($O$26:$O$125,1,$L$26:$L$125,"&lt;"&amp;L46)+COUNTIFS($O$26:$O$125,1,$L$26:$L$125,L46,$H$26:$H$125,"&gt;"&amp;H46)+COUNTIFS($O$26:$O$125,1,$L$26:$L$125,L46,$H$26:$H$125,H46,$M$26:$M$125,"&gt;"&amp;M46)+COUNTIFS($O$26:O46,1,$L$26:L46,L46,$H$26:H46,H46,$M$26:M46,M46))</x:f>
      </x:c>
    </x:row>
    <x:row r="47" ht="32" customHeight="1">
      <x:c r="A47" s="2" t="str">
        <x:f>IF('Motor_Meciuri'!A27="","",'Motor_Meciuri'!A27)</x:f>
      </x:c>
      <x:c r="B47" s="13" t="str">
        <x:f>IF('Motor_Meciuri'!A27="","",'Motor_Meciuri'!D27)</x:f>
      </x:c>
      <x:c r="C47" s="2" t="str">
        <x:f>IF('Motor_Meciuri'!A27="","",'Motor_Meciuri'!E27)</x:f>
      </x:c>
      <x:c r="D47" s="2" t="str">
        <x:f>IF('Motor_Meciuri'!A27="","",'Motor_Meciuri'!H27)</x:f>
      </x:c>
      <x:c r="E47" s="2" t="str">
        <x:f>IF('Motor_Meciuri'!A27="","",'Motor_Meciuri'!I27)</x:f>
      </x:c>
      <x:c r="F47" s="2" t="str">
        <x:f>IF(K47=0,"",INDEX('Analiza_Linii'!F300:F313,K47))</x:f>
      </x:c>
      <x:c r="G47" s="2" t="str">
        <x:f>IF(A47="","",IF(D47&lt;&gt;"READY","NOT RELEASED",IF(K47=0,IF(E47="FAIL","NO BET","WATCH / NO BET"),INDEX('Analiza_Linii'!AA300:AA313,K47))))</x:f>
      </x:c>
      <x:c r="H47" s="16" t="str">
        <x:f>IF(K47=0,"",INDEX('Analiza_Linii'!AB300:AB313,K47))</x:f>
      </x:c>
      <x:c r="I47" s="13" t="str">
        <x:f>IF(A47="","",IF(E47&lt;&gt;"PASS",'Motor_Meciuri'!J27,IF(K47=0,"Nicio linie eligibila; vezi motivele din Analiza_Linii",INDEX('Analiza_Linii'!AH300:AH313,K47))))</x:f>
      </x:c>
      <x:c r="J47" s="2"/>
      <x:c r="K47" s="2" t="n">
        <x:f>IF(A47="",0,IFERROR(MATCH(1,'Analiza_Linii'!AC300:AC313,0),0))</x:f>
        <x:v>0</x:v>
      </x:c>
      <x:c r="L47" s="2" t="str">
        <x:f>IF(K47=0,"",INDEX('Analiza_Linii'!Z300:Z313,K47))</x:f>
      </x:c>
      <x:c r="M47" s="2" t="str">
        <x:f>IF(K47=0,"",INDEX('Analiza_Linii'!V300:V313,K47))</x:f>
      </x:c>
      <x:c r="N47" s="2" t="str">
        <x:f>IF(K47=0,"",INDEX('Analiza_Linii'!T300:T313,K47))</x:f>
      </x:c>
      <x:c r="O47" s="2" t="n">
        <x:f>IF(AND(C47="LIVE",K47&gt;0),1,0)</x:f>
        <x:v>0</x:v>
      </x:c>
      <x:c r="P47" s="2" t="str">
        <x:f>IF(O47&lt;&gt;1,"",COUNTIFS($O$26:$O$125,1,$L$26:$L$125,"&lt;"&amp;L47)+COUNTIFS($O$26:$O$125,1,$L$26:$L$125,L47,$H$26:$H$125,"&gt;"&amp;H47)+COUNTIFS($O$26:$O$125,1,$L$26:$L$125,L47,$H$26:$H$125,H47,$M$26:$M$125,"&gt;"&amp;M47)+COUNTIFS($O$26:O47,1,$L$26:L47,L47,$H$26:H47,H47,$M$26:M47,M47))</x:f>
      </x:c>
    </x:row>
    <x:row r="48" ht="32" customHeight="1">
      <x:c r="A48" s="2" t="str">
        <x:f>IF('Motor_Meciuri'!A28="","",'Motor_Meciuri'!A28)</x:f>
      </x:c>
      <x:c r="B48" s="13" t="str">
        <x:f>IF('Motor_Meciuri'!A28="","",'Motor_Meciuri'!D28)</x:f>
      </x:c>
      <x:c r="C48" s="2" t="str">
        <x:f>IF('Motor_Meciuri'!A28="","",'Motor_Meciuri'!E28)</x:f>
      </x:c>
      <x:c r="D48" s="2" t="str">
        <x:f>IF('Motor_Meciuri'!A28="","",'Motor_Meciuri'!H28)</x:f>
      </x:c>
      <x:c r="E48" s="2" t="str">
        <x:f>IF('Motor_Meciuri'!A28="","",'Motor_Meciuri'!I28)</x:f>
      </x:c>
      <x:c r="F48" s="2" t="str">
        <x:f>IF(K48=0,"",INDEX('Analiza_Linii'!F314:F327,K48))</x:f>
      </x:c>
      <x:c r="G48" s="2" t="str">
        <x:f>IF(A48="","",IF(D48&lt;&gt;"READY","NOT RELEASED",IF(K48=0,IF(E48="FAIL","NO BET","WATCH / NO BET"),INDEX('Analiza_Linii'!AA314:AA327,K48))))</x:f>
      </x:c>
      <x:c r="H48" s="16" t="str">
        <x:f>IF(K48=0,"",INDEX('Analiza_Linii'!AB314:AB327,K48))</x:f>
      </x:c>
      <x:c r="I48" s="13" t="str">
        <x:f>IF(A48="","",IF(E48&lt;&gt;"PASS",'Motor_Meciuri'!J28,IF(K48=0,"Nicio linie eligibila; vezi motivele din Analiza_Linii",INDEX('Analiza_Linii'!AH314:AH327,K48))))</x:f>
      </x:c>
      <x:c r="J48" s="2"/>
      <x:c r="K48" s="2" t="n">
        <x:f>IF(A48="",0,IFERROR(MATCH(1,'Analiza_Linii'!AC314:AC327,0),0))</x:f>
        <x:v>0</x:v>
      </x:c>
      <x:c r="L48" s="2" t="str">
        <x:f>IF(K48=0,"",INDEX('Analiza_Linii'!Z314:Z327,K48))</x:f>
      </x:c>
      <x:c r="M48" s="2" t="str">
        <x:f>IF(K48=0,"",INDEX('Analiza_Linii'!V314:V327,K48))</x:f>
      </x:c>
      <x:c r="N48" s="2" t="str">
        <x:f>IF(K48=0,"",INDEX('Analiza_Linii'!T314:T327,K48))</x:f>
      </x:c>
      <x:c r="O48" s="2" t="n">
        <x:f>IF(AND(C48="LIVE",K48&gt;0),1,0)</x:f>
        <x:v>0</x:v>
      </x:c>
      <x:c r="P48" s="2" t="str">
        <x:f>IF(O48&lt;&gt;1,"",COUNTIFS($O$26:$O$125,1,$L$26:$L$125,"&lt;"&amp;L48)+COUNTIFS($O$26:$O$125,1,$L$26:$L$125,L48,$H$26:$H$125,"&gt;"&amp;H48)+COUNTIFS($O$26:$O$125,1,$L$26:$L$125,L48,$H$26:$H$125,H48,$M$26:$M$125,"&gt;"&amp;M48)+COUNTIFS($O$26:O48,1,$L$26:L48,L48,$H$26:H48,H48,$M$26:M48,M48))</x:f>
      </x:c>
    </x:row>
    <x:row r="49" ht="32" customHeight="1">
      <x:c r="A49" s="2" t="str">
        <x:f>IF('Motor_Meciuri'!A29="","",'Motor_Meciuri'!A29)</x:f>
      </x:c>
      <x:c r="B49" s="13" t="str">
        <x:f>IF('Motor_Meciuri'!A29="","",'Motor_Meciuri'!D29)</x:f>
      </x:c>
      <x:c r="C49" s="2" t="str">
        <x:f>IF('Motor_Meciuri'!A29="","",'Motor_Meciuri'!E29)</x:f>
      </x:c>
      <x:c r="D49" s="2" t="str">
        <x:f>IF('Motor_Meciuri'!A29="","",'Motor_Meciuri'!H29)</x:f>
      </x:c>
      <x:c r="E49" s="2" t="str">
        <x:f>IF('Motor_Meciuri'!A29="","",'Motor_Meciuri'!I29)</x:f>
      </x:c>
      <x:c r="F49" s="2" t="str">
        <x:f>IF(K49=0,"",INDEX('Analiza_Linii'!F328:F341,K49))</x:f>
      </x:c>
      <x:c r="G49" s="2" t="str">
        <x:f>IF(A49="","",IF(D49&lt;&gt;"READY","NOT RELEASED",IF(K49=0,IF(E49="FAIL","NO BET","WATCH / NO BET"),INDEX('Analiza_Linii'!AA328:AA341,K49))))</x:f>
      </x:c>
      <x:c r="H49" s="16" t="str">
        <x:f>IF(K49=0,"",INDEX('Analiza_Linii'!AB328:AB341,K49))</x:f>
      </x:c>
      <x:c r="I49" s="13" t="str">
        <x:f>IF(A49="","",IF(E49&lt;&gt;"PASS",'Motor_Meciuri'!J29,IF(K49=0,"Nicio linie eligibila; vezi motivele din Analiza_Linii",INDEX('Analiza_Linii'!AH328:AH341,K49))))</x:f>
      </x:c>
      <x:c r="J49" s="2"/>
      <x:c r="K49" s="2" t="n">
        <x:f>IF(A49="",0,IFERROR(MATCH(1,'Analiza_Linii'!AC328:AC341,0),0))</x:f>
        <x:v>0</x:v>
      </x:c>
      <x:c r="L49" s="2" t="str">
        <x:f>IF(K49=0,"",INDEX('Analiza_Linii'!Z328:Z341,K49))</x:f>
      </x:c>
      <x:c r="M49" s="2" t="str">
        <x:f>IF(K49=0,"",INDEX('Analiza_Linii'!V328:V341,K49))</x:f>
      </x:c>
      <x:c r="N49" s="2" t="str">
        <x:f>IF(K49=0,"",INDEX('Analiza_Linii'!T328:T341,K49))</x:f>
      </x:c>
      <x:c r="O49" s="2" t="n">
        <x:f>IF(AND(C49="LIVE",K49&gt;0),1,0)</x:f>
        <x:v>0</x:v>
      </x:c>
      <x:c r="P49" s="2" t="str">
        <x:f>IF(O49&lt;&gt;1,"",COUNTIFS($O$26:$O$125,1,$L$26:$L$125,"&lt;"&amp;L49)+COUNTIFS($O$26:$O$125,1,$L$26:$L$125,L49,$H$26:$H$125,"&gt;"&amp;H49)+COUNTIFS($O$26:$O$125,1,$L$26:$L$125,L49,$H$26:$H$125,H49,$M$26:$M$125,"&gt;"&amp;M49)+COUNTIFS($O$26:O49,1,$L$26:L49,L49,$H$26:H49,H49,$M$26:M49,M49))</x:f>
      </x:c>
    </x:row>
    <x:row r="50" ht="32" customHeight="1">
      <x:c r="A50" s="2" t="str">
        <x:f>IF('Motor_Meciuri'!A30="","",'Motor_Meciuri'!A30)</x:f>
      </x:c>
      <x:c r="B50" s="13" t="str">
        <x:f>IF('Motor_Meciuri'!A30="","",'Motor_Meciuri'!D30)</x:f>
      </x:c>
      <x:c r="C50" s="2" t="str">
        <x:f>IF('Motor_Meciuri'!A30="","",'Motor_Meciuri'!E30)</x:f>
      </x:c>
      <x:c r="D50" s="2" t="str">
        <x:f>IF('Motor_Meciuri'!A30="","",'Motor_Meciuri'!H30)</x:f>
      </x:c>
      <x:c r="E50" s="2" t="str">
        <x:f>IF('Motor_Meciuri'!A30="","",'Motor_Meciuri'!I30)</x:f>
      </x:c>
      <x:c r="F50" s="2" t="str">
        <x:f>IF(K50=0,"",INDEX('Analiza_Linii'!F342:F355,K50))</x:f>
      </x:c>
      <x:c r="G50" s="2" t="str">
        <x:f>IF(A50="","",IF(D50&lt;&gt;"READY","NOT RELEASED",IF(K50=0,IF(E50="FAIL","NO BET","WATCH / NO BET"),INDEX('Analiza_Linii'!AA342:AA355,K50))))</x:f>
      </x:c>
      <x:c r="H50" s="16" t="str">
        <x:f>IF(K50=0,"",INDEX('Analiza_Linii'!AB342:AB355,K50))</x:f>
      </x:c>
      <x:c r="I50" s="13" t="str">
        <x:f>IF(A50="","",IF(E50&lt;&gt;"PASS",'Motor_Meciuri'!J30,IF(K50=0,"Nicio linie eligibila; vezi motivele din Analiza_Linii",INDEX('Analiza_Linii'!AH342:AH355,K50))))</x:f>
      </x:c>
      <x:c r="J50" s="2"/>
      <x:c r="K50" s="2" t="n">
        <x:f>IF(A50="",0,IFERROR(MATCH(1,'Analiza_Linii'!AC342:AC355,0),0))</x:f>
        <x:v>0</x:v>
      </x:c>
      <x:c r="L50" s="2" t="str">
        <x:f>IF(K50=0,"",INDEX('Analiza_Linii'!Z342:Z355,K50))</x:f>
      </x:c>
      <x:c r="M50" s="2" t="str">
        <x:f>IF(K50=0,"",INDEX('Analiza_Linii'!V342:V355,K50))</x:f>
      </x:c>
      <x:c r="N50" s="2" t="str">
        <x:f>IF(K50=0,"",INDEX('Analiza_Linii'!T342:T355,K50))</x:f>
      </x:c>
      <x:c r="O50" s="2" t="n">
        <x:f>IF(AND(C50="LIVE",K50&gt;0),1,0)</x:f>
        <x:v>0</x:v>
      </x:c>
      <x:c r="P50" s="2" t="str">
        <x:f>IF(O50&lt;&gt;1,"",COUNTIFS($O$26:$O$125,1,$L$26:$L$125,"&lt;"&amp;L50)+COUNTIFS($O$26:$O$125,1,$L$26:$L$125,L50,$H$26:$H$125,"&gt;"&amp;H50)+COUNTIFS($O$26:$O$125,1,$L$26:$L$125,L50,$H$26:$H$125,H50,$M$26:$M$125,"&gt;"&amp;M50)+COUNTIFS($O$26:O50,1,$L$26:L50,L50,$H$26:H50,H50,$M$26:M50,M50))</x:f>
      </x:c>
    </x:row>
    <x:row r="51" ht="32" customHeight="1">
      <x:c r="A51" s="2" t="str">
        <x:f>IF('Motor_Meciuri'!A31="","",'Motor_Meciuri'!A31)</x:f>
      </x:c>
      <x:c r="B51" s="13" t="str">
        <x:f>IF('Motor_Meciuri'!A31="","",'Motor_Meciuri'!D31)</x:f>
      </x:c>
      <x:c r="C51" s="2" t="str">
        <x:f>IF('Motor_Meciuri'!A31="","",'Motor_Meciuri'!E31)</x:f>
      </x:c>
      <x:c r="D51" s="2" t="str">
        <x:f>IF('Motor_Meciuri'!A31="","",'Motor_Meciuri'!H31)</x:f>
      </x:c>
      <x:c r="E51" s="2" t="str">
        <x:f>IF('Motor_Meciuri'!A31="","",'Motor_Meciuri'!I31)</x:f>
      </x:c>
      <x:c r="F51" s="2" t="str">
        <x:f>IF(K51=0,"",INDEX('Analiza_Linii'!F356:F369,K51))</x:f>
      </x:c>
      <x:c r="G51" s="2" t="str">
        <x:f>IF(A51="","",IF(D51&lt;&gt;"READY","NOT RELEASED",IF(K51=0,IF(E51="FAIL","NO BET","WATCH / NO BET"),INDEX('Analiza_Linii'!AA356:AA369,K51))))</x:f>
      </x:c>
      <x:c r="H51" s="16" t="str">
        <x:f>IF(K51=0,"",INDEX('Analiza_Linii'!AB356:AB369,K51))</x:f>
      </x:c>
      <x:c r="I51" s="13" t="str">
        <x:f>IF(A51="","",IF(E51&lt;&gt;"PASS",'Motor_Meciuri'!J31,IF(K51=0,"Nicio linie eligibila; vezi motivele din Analiza_Linii",INDEX('Analiza_Linii'!AH356:AH369,K51))))</x:f>
      </x:c>
      <x:c r="J51" s="2"/>
      <x:c r="K51" s="2" t="n">
        <x:f>IF(A51="",0,IFERROR(MATCH(1,'Analiza_Linii'!AC356:AC369,0),0))</x:f>
        <x:v>0</x:v>
      </x:c>
      <x:c r="L51" s="2" t="str">
        <x:f>IF(K51=0,"",INDEX('Analiza_Linii'!Z356:Z369,K51))</x:f>
      </x:c>
      <x:c r="M51" s="2" t="str">
        <x:f>IF(K51=0,"",INDEX('Analiza_Linii'!V356:V369,K51))</x:f>
      </x:c>
      <x:c r="N51" s="2" t="str">
        <x:f>IF(K51=0,"",INDEX('Analiza_Linii'!T356:T369,K51))</x:f>
      </x:c>
      <x:c r="O51" s="2" t="n">
        <x:f>IF(AND(C51="LIVE",K51&gt;0),1,0)</x:f>
        <x:v>0</x:v>
      </x:c>
      <x:c r="P51" s="2" t="str">
        <x:f>IF(O51&lt;&gt;1,"",COUNTIFS($O$26:$O$125,1,$L$26:$L$125,"&lt;"&amp;L51)+COUNTIFS($O$26:$O$125,1,$L$26:$L$125,L51,$H$26:$H$125,"&gt;"&amp;H51)+COUNTIFS($O$26:$O$125,1,$L$26:$L$125,L51,$H$26:$H$125,H51,$M$26:$M$125,"&gt;"&amp;M51)+COUNTIFS($O$26:O51,1,$L$26:L51,L51,$H$26:H51,H51,$M$26:M51,M51))</x:f>
      </x:c>
    </x:row>
    <x:row r="52" ht="32" customHeight="1">
      <x:c r="A52" s="2" t="str">
        <x:f>IF('Motor_Meciuri'!A32="","",'Motor_Meciuri'!A32)</x:f>
      </x:c>
      <x:c r="B52" s="13" t="str">
        <x:f>IF('Motor_Meciuri'!A32="","",'Motor_Meciuri'!D32)</x:f>
      </x:c>
      <x:c r="C52" s="2" t="str">
        <x:f>IF('Motor_Meciuri'!A32="","",'Motor_Meciuri'!E32)</x:f>
      </x:c>
      <x:c r="D52" s="2" t="str">
        <x:f>IF('Motor_Meciuri'!A32="","",'Motor_Meciuri'!H32)</x:f>
      </x:c>
      <x:c r="E52" s="2" t="str">
        <x:f>IF('Motor_Meciuri'!A32="","",'Motor_Meciuri'!I32)</x:f>
      </x:c>
      <x:c r="F52" s="2" t="str">
        <x:f>IF(K52=0,"",INDEX('Analiza_Linii'!F370:F383,K52))</x:f>
      </x:c>
      <x:c r="G52" s="2" t="str">
        <x:f>IF(A52="","",IF(D52&lt;&gt;"READY","NOT RELEASED",IF(K52=0,IF(E52="FAIL","NO BET","WATCH / NO BET"),INDEX('Analiza_Linii'!AA370:AA383,K52))))</x:f>
      </x:c>
      <x:c r="H52" s="16" t="str">
        <x:f>IF(K52=0,"",INDEX('Analiza_Linii'!AB370:AB383,K52))</x:f>
      </x:c>
      <x:c r="I52" s="13" t="str">
        <x:f>IF(A52="","",IF(E52&lt;&gt;"PASS",'Motor_Meciuri'!J32,IF(K52=0,"Nicio linie eligibila; vezi motivele din Analiza_Linii",INDEX('Analiza_Linii'!AH370:AH383,K52))))</x:f>
      </x:c>
      <x:c r="J52" s="2"/>
      <x:c r="K52" s="2" t="n">
        <x:f>IF(A52="",0,IFERROR(MATCH(1,'Analiza_Linii'!AC370:AC383,0),0))</x:f>
        <x:v>0</x:v>
      </x:c>
      <x:c r="L52" s="2" t="str">
        <x:f>IF(K52=0,"",INDEX('Analiza_Linii'!Z370:Z383,K52))</x:f>
      </x:c>
      <x:c r="M52" s="2" t="str">
        <x:f>IF(K52=0,"",INDEX('Analiza_Linii'!V370:V383,K52))</x:f>
      </x:c>
      <x:c r="N52" s="2" t="str">
        <x:f>IF(K52=0,"",INDEX('Analiza_Linii'!T370:T383,K52))</x:f>
      </x:c>
      <x:c r="O52" s="2" t="n">
        <x:f>IF(AND(C52="LIVE",K52&gt;0),1,0)</x:f>
        <x:v>0</x:v>
      </x:c>
      <x:c r="P52" s="2" t="str">
        <x:f>IF(O52&lt;&gt;1,"",COUNTIFS($O$26:$O$125,1,$L$26:$L$125,"&lt;"&amp;L52)+COUNTIFS($O$26:$O$125,1,$L$26:$L$125,L52,$H$26:$H$125,"&gt;"&amp;H52)+COUNTIFS($O$26:$O$125,1,$L$26:$L$125,L52,$H$26:$H$125,H52,$M$26:$M$125,"&gt;"&amp;M52)+COUNTIFS($O$26:O52,1,$L$26:L52,L52,$H$26:H52,H52,$M$26:M52,M52))</x:f>
      </x:c>
    </x:row>
    <x:row r="53" ht="32" customHeight="1">
      <x:c r="A53" s="2" t="str">
        <x:f>IF('Motor_Meciuri'!A33="","",'Motor_Meciuri'!A33)</x:f>
      </x:c>
      <x:c r="B53" s="13" t="str">
        <x:f>IF('Motor_Meciuri'!A33="","",'Motor_Meciuri'!D33)</x:f>
      </x:c>
      <x:c r="C53" s="2" t="str">
        <x:f>IF('Motor_Meciuri'!A33="","",'Motor_Meciuri'!E33)</x:f>
      </x:c>
      <x:c r="D53" s="2" t="str">
        <x:f>IF('Motor_Meciuri'!A33="","",'Motor_Meciuri'!H33)</x:f>
      </x:c>
      <x:c r="E53" s="2" t="str">
        <x:f>IF('Motor_Meciuri'!A33="","",'Motor_Meciuri'!I33)</x:f>
      </x:c>
      <x:c r="F53" s="2" t="str">
        <x:f>IF(K53=0,"",INDEX('Analiza_Linii'!F384:F397,K53))</x:f>
      </x:c>
      <x:c r="G53" s="2" t="str">
        <x:f>IF(A53="","",IF(D53&lt;&gt;"READY","NOT RELEASED",IF(K53=0,IF(E53="FAIL","NO BET","WATCH / NO BET"),INDEX('Analiza_Linii'!AA384:AA397,K53))))</x:f>
      </x:c>
      <x:c r="H53" s="16" t="str">
        <x:f>IF(K53=0,"",INDEX('Analiza_Linii'!AB384:AB397,K53))</x:f>
      </x:c>
      <x:c r="I53" s="13" t="str">
        <x:f>IF(A53="","",IF(E53&lt;&gt;"PASS",'Motor_Meciuri'!J33,IF(K53=0,"Nicio linie eligibila; vezi motivele din Analiza_Linii",INDEX('Analiza_Linii'!AH384:AH397,K53))))</x:f>
      </x:c>
      <x:c r="J53" s="2"/>
      <x:c r="K53" s="2" t="n">
        <x:f>IF(A53="",0,IFERROR(MATCH(1,'Analiza_Linii'!AC384:AC397,0),0))</x:f>
        <x:v>0</x:v>
      </x:c>
      <x:c r="L53" s="2" t="str">
        <x:f>IF(K53=0,"",INDEX('Analiza_Linii'!Z384:Z397,K53))</x:f>
      </x:c>
      <x:c r="M53" s="2" t="str">
        <x:f>IF(K53=0,"",INDEX('Analiza_Linii'!V384:V397,K53))</x:f>
      </x:c>
      <x:c r="N53" s="2" t="str">
        <x:f>IF(K53=0,"",INDEX('Analiza_Linii'!T384:T397,K53))</x:f>
      </x:c>
      <x:c r="O53" s="2" t="n">
        <x:f>IF(AND(C53="LIVE",K53&gt;0),1,0)</x:f>
        <x:v>0</x:v>
      </x:c>
      <x:c r="P53" s="2" t="str">
        <x:f>IF(O53&lt;&gt;1,"",COUNTIFS($O$26:$O$125,1,$L$26:$L$125,"&lt;"&amp;L53)+COUNTIFS($O$26:$O$125,1,$L$26:$L$125,L53,$H$26:$H$125,"&gt;"&amp;H53)+COUNTIFS($O$26:$O$125,1,$L$26:$L$125,L53,$H$26:$H$125,H53,$M$26:$M$125,"&gt;"&amp;M53)+COUNTIFS($O$26:O53,1,$L$26:L53,L53,$H$26:H53,H53,$M$26:M53,M53))</x:f>
      </x:c>
    </x:row>
    <x:row r="54" ht="32" customHeight="1">
      <x:c r="A54" s="2" t="str">
        <x:f>IF('Motor_Meciuri'!A34="","",'Motor_Meciuri'!A34)</x:f>
      </x:c>
      <x:c r="B54" s="13" t="str">
        <x:f>IF('Motor_Meciuri'!A34="","",'Motor_Meciuri'!D34)</x:f>
      </x:c>
      <x:c r="C54" s="2" t="str">
        <x:f>IF('Motor_Meciuri'!A34="","",'Motor_Meciuri'!E34)</x:f>
      </x:c>
      <x:c r="D54" s="2" t="str">
        <x:f>IF('Motor_Meciuri'!A34="","",'Motor_Meciuri'!H34)</x:f>
      </x:c>
      <x:c r="E54" s="2" t="str">
        <x:f>IF('Motor_Meciuri'!A34="","",'Motor_Meciuri'!I34)</x:f>
      </x:c>
      <x:c r="F54" s="2" t="str">
        <x:f>IF(K54=0,"",INDEX('Analiza_Linii'!F398:F411,K54))</x:f>
      </x:c>
      <x:c r="G54" s="2" t="str">
        <x:f>IF(A54="","",IF(D54&lt;&gt;"READY","NOT RELEASED",IF(K54=0,IF(E54="FAIL","NO BET","WATCH / NO BET"),INDEX('Analiza_Linii'!AA398:AA411,K54))))</x:f>
      </x:c>
      <x:c r="H54" s="16" t="str">
        <x:f>IF(K54=0,"",INDEX('Analiza_Linii'!AB398:AB411,K54))</x:f>
      </x:c>
      <x:c r="I54" s="13" t="str">
        <x:f>IF(A54="","",IF(E54&lt;&gt;"PASS",'Motor_Meciuri'!J34,IF(K54=0,"Nicio linie eligibila; vezi motivele din Analiza_Linii",INDEX('Analiza_Linii'!AH398:AH411,K54))))</x:f>
      </x:c>
      <x:c r="J54" s="2"/>
      <x:c r="K54" s="2" t="n">
        <x:f>IF(A54="",0,IFERROR(MATCH(1,'Analiza_Linii'!AC398:AC411,0),0))</x:f>
        <x:v>0</x:v>
      </x:c>
      <x:c r="L54" s="2" t="str">
        <x:f>IF(K54=0,"",INDEX('Analiza_Linii'!Z398:Z411,K54))</x:f>
      </x:c>
      <x:c r="M54" s="2" t="str">
        <x:f>IF(K54=0,"",INDEX('Analiza_Linii'!V398:V411,K54))</x:f>
      </x:c>
      <x:c r="N54" s="2" t="str">
        <x:f>IF(K54=0,"",INDEX('Analiza_Linii'!T398:T411,K54))</x:f>
      </x:c>
      <x:c r="O54" s="2" t="n">
        <x:f>IF(AND(C54="LIVE",K54&gt;0),1,0)</x:f>
        <x:v>0</x:v>
      </x:c>
      <x:c r="P54" s="2" t="str">
        <x:f>IF(O54&lt;&gt;1,"",COUNTIFS($O$26:$O$125,1,$L$26:$L$125,"&lt;"&amp;L54)+COUNTIFS($O$26:$O$125,1,$L$26:$L$125,L54,$H$26:$H$125,"&gt;"&amp;H54)+COUNTIFS($O$26:$O$125,1,$L$26:$L$125,L54,$H$26:$H$125,H54,$M$26:$M$125,"&gt;"&amp;M54)+COUNTIFS($O$26:O54,1,$L$26:L54,L54,$H$26:H54,H54,$M$26:M54,M54))</x:f>
      </x:c>
    </x:row>
    <x:row r="55" ht="32" customHeight="1">
      <x:c r="A55" s="2" t="str">
        <x:f>IF('Motor_Meciuri'!A35="","",'Motor_Meciuri'!A35)</x:f>
      </x:c>
      <x:c r="B55" s="13" t="str">
        <x:f>IF('Motor_Meciuri'!A35="","",'Motor_Meciuri'!D35)</x:f>
      </x:c>
      <x:c r="C55" s="2" t="str">
        <x:f>IF('Motor_Meciuri'!A35="","",'Motor_Meciuri'!E35)</x:f>
      </x:c>
      <x:c r="D55" s="2" t="str">
        <x:f>IF('Motor_Meciuri'!A35="","",'Motor_Meciuri'!H35)</x:f>
      </x:c>
      <x:c r="E55" s="2" t="str">
        <x:f>IF('Motor_Meciuri'!A35="","",'Motor_Meciuri'!I35)</x:f>
      </x:c>
      <x:c r="F55" s="2" t="str">
        <x:f>IF(K55=0,"",INDEX('Analiza_Linii'!F412:F425,K55))</x:f>
      </x:c>
      <x:c r="G55" s="2" t="str">
        <x:f>IF(A55="","",IF(D55&lt;&gt;"READY","NOT RELEASED",IF(K55=0,IF(E55="FAIL","NO BET","WATCH / NO BET"),INDEX('Analiza_Linii'!AA412:AA425,K55))))</x:f>
      </x:c>
      <x:c r="H55" s="16" t="str">
        <x:f>IF(K55=0,"",INDEX('Analiza_Linii'!AB412:AB425,K55))</x:f>
      </x:c>
      <x:c r="I55" s="13" t="str">
        <x:f>IF(A55="","",IF(E55&lt;&gt;"PASS",'Motor_Meciuri'!J35,IF(K55=0,"Nicio linie eligibila; vezi motivele din Analiza_Linii",INDEX('Analiza_Linii'!AH412:AH425,K55))))</x:f>
      </x:c>
      <x:c r="J55" s="2"/>
      <x:c r="K55" s="2" t="n">
        <x:f>IF(A55="",0,IFERROR(MATCH(1,'Analiza_Linii'!AC412:AC425,0),0))</x:f>
        <x:v>0</x:v>
      </x:c>
      <x:c r="L55" s="2" t="str">
        <x:f>IF(K55=0,"",INDEX('Analiza_Linii'!Z412:Z425,K55))</x:f>
      </x:c>
      <x:c r="M55" s="2" t="str">
        <x:f>IF(K55=0,"",INDEX('Analiza_Linii'!V412:V425,K55))</x:f>
      </x:c>
      <x:c r="N55" s="2" t="str">
        <x:f>IF(K55=0,"",INDEX('Analiza_Linii'!T412:T425,K55))</x:f>
      </x:c>
      <x:c r="O55" s="2" t="n">
        <x:f>IF(AND(C55="LIVE",K55&gt;0),1,0)</x:f>
        <x:v>0</x:v>
      </x:c>
      <x:c r="P55" s="2" t="str">
        <x:f>IF(O55&lt;&gt;1,"",COUNTIFS($O$26:$O$125,1,$L$26:$L$125,"&lt;"&amp;L55)+COUNTIFS($O$26:$O$125,1,$L$26:$L$125,L55,$H$26:$H$125,"&gt;"&amp;H55)+COUNTIFS($O$26:$O$125,1,$L$26:$L$125,L55,$H$26:$H$125,H55,$M$26:$M$125,"&gt;"&amp;M55)+COUNTIFS($O$26:O55,1,$L$26:L55,L55,$H$26:H55,H55,$M$26:M55,M55))</x:f>
      </x:c>
    </x:row>
    <x:row r="56" ht="32" customHeight="1">
      <x:c r="A56" s="2" t="str">
        <x:f>IF('Motor_Meciuri'!A36="","",'Motor_Meciuri'!A36)</x:f>
      </x:c>
      <x:c r="B56" s="13" t="str">
        <x:f>IF('Motor_Meciuri'!A36="","",'Motor_Meciuri'!D36)</x:f>
      </x:c>
      <x:c r="C56" s="2" t="str">
        <x:f>IF('Motor_Meciuri'!A36="","",'Motor_Meciuri'!E36)</x:f>
      </x:c>
      <x:c r="D56" s="2" t="str">
        <x:f>IF('Motor_Meciuri'!A36="","",'Motor_Meciuri'!H36)</x:f>
      </x:c>
      <x:c r="E56" s="2" t="str">
        <x:f>IF('Motor_Meciuri'!A36="","",'Motor_Meciuri'!I36)</x:f>
      </x:c>
      <x:c r="F56" s="2" t="str">
        <x:f>IF(K56=0,"",INDEX('Analiza_Linii'!F426:F439,K56))</x:f>
      </x:c>
      <x:c r="G56" s="2" t="str">
        <x:f>IF(A56="","",IF(D56&lt;&gt;"READY","NOT RELEASED",IF(K56=0,IF(E56="FAIL","NO BET","WATCH / NO BET"),INDEX('Analiza_Linii'!AA426:AA439,K56))))</x:f>
      </x:c>
      <x:c r="H56" s="16" t="str">
        <x:f>IF(K56=0,"",INDEX('Analiza_Linii'!AB426:AB439,K56))</x:f>
      </x:c>
      <x:c r="I56" s="13" t="str">
        <x:f>IF(A56="","",IF(E56&lt;&gt;"PASS",'Motor_Meciuri'!J36,IF(K56=0,"Nicio linie eligibila; vezi motivele din Analiza_Linii",INDEX('Analiza_Linii'!AH426:AH439,K56))))</x:f>
      </x:c>
      <x:c r="J56" s="2"/>
      <x:c r="K56" s="2" t="n">
        <x:f>IF(A56="",0,IFERROR(MATCH(1,'Analiza_Linii'!AC426:AC439,0),0))</x:f>
        <x:v>0</x:v>
      </x:c>
      <x:c r="L56" s="2" t="str">
        <x:f>IF(K56=0,"",INDEX('Analiza_Linii'!Z426:Z439,K56))</x:f>
      </x:c>
      <x:c r="M56" s="2" t="str">
        <x:f>IF(K56=0,"",INDEX('Analiza_Linii'!V426:V439,K56))</x:f>
      </x:c>
      <x:c r="N56" s="2" t="str">
        <x:f>IF(K56=0,"",INDEX('Analiza_Linii'!T426:T439,K56))</x:f>
      </x:c>
      <x:c r="O56" s="2" t="n">
        <x:f>IF(AND(C56="LIVE",K56&gt;0),1,0)</x:f>
        <x:v>0</x:v>
      </x:c>
      <x:c r="P56" s="2" t="str">
        <x:f>IF(O56&lt;&gt;1,"",COUNTIFS($O$26:$O$125,1,$L$26:$L$125,"&lt;"&amp;L56)+COUNTIFS($O$26:$O$125,1,$L$26:$L$125,L56,$H$26:$H$125,"&gt;"&amp;H56)+COUNTIFS($O$26:$O$125,1,$L$26:$L$125,L56,$H$26:$H$125,H56,$M$26:$M$125,"&gt;"&amp;M56)+COUNTIFS($O$26:O56,1,$L$26:L56,L56,$H$26:H56,H56,$M$26:M56,M56))</x:f>
      </x:c>
    </x:row>
    <x:row r="57" ht="32" customHeight="1">
      <x:c r="A57" s="2" t="str">
        <x:f>IF('Motor_Meciuri'!A37="","",'Motor_Meciuri'!A37)</x:f>
      </x:c>
      <x:c r="B57" s="13" t="str">
        <x:f>IF('Motor_Meciuri'!A37="","",'Motor_Meciuri'!D37)</x:f>
      </x:c>
      <x:c r="C57" s="2" t="str">
        <x:f>IF('Motor_Meciuri'!A37="","",'Motor_Meciuri'!E37)</x:f>
      </x:c>
      <x:c r="D57" s="2" t="str">
        <x:f>IF('Motor_Meciuri'!A37="","",'Motor_Meciuri'!H37)</x:f>
      </x:c>
      <x:c r="E57" s="2" t="str">
        <x:f>IF('Motor_Meciuri'!A37="","",'Motor_Meciuri'!I37)</x:f>
      </x:c>
      <x:c r="F57" s="2" t="str">
        <x:f>IF(K57=0,"",INDEX('Analiza_Linii'!F440:F453,K57))</x:f>
      </x:c>
      <x:c r="G57" s="2" t="str">
        <x:f>IF(A57="","",IF(D57&lt;&gt;"READY","NOT RELEASED",IF(K57=0,IF(E57="FAIL","NO BET","WATCH / NO BET"),INDEX('Analiza_Linii'!AA440:AA453,K57))))</x:f>
      </x:c>
      <x:c r="H57" s="16" t="str">
        <x:f>IF(K57=0,"",INDEX('Analiza_Linii'!AB440:AB453,K57))</x:f>
      </x:c>
      <x:c r="I57" s="13" t="str">
        <x:f>IF(A57="","",IF(E57&lt;&gt;"PASS",'Motor_Meciuri'!J37,IF(K57=0,"Nicio linie eligibila; vezi motivele din Analiza_Linii",INDEX('Analiza_Linii'!AH440:AH453,K57))))</x:f>
      </x:c>
      <x:c r="J57" s="2"/>
      <x:c r="K57" s="2" t="n">
        <x:f>IF(A57="",0,IFERROR(MATCH(1,'Analiza_Linii'!AC440:AC453,0),0))</x:f>
        <x:v>0</x:v>
      </x:c>
      <x:c r="L57" s="2" t="str">
        <x:f>IF(K57=0,"",INDEX('Analiza_Linii'!Z440:Z453,K57))</x:f>
      </x:c>
      <x:c r="M57" s="2" t="str">
        <x:f>IF(K57=0,"",INDEX('Analiza_Linii'!V440:V453,K57))</x:f>
      </x:c>
      <x:c r="N57" s="2" t="str">
        <x:f>IF(K57=0,"",INDEX('Analiza_Linii'!T440:T453,K57))</x:f>
      </x:c>
      <x:c r="O57" s="2" t="n">
        <x:f>IF(AND(C57="LIVE",K57&gt;0),1,0)</x:f>
        <x:v>0</x:v>
      </x:c>
      <x:c r="P57" s="2" t="str">
        <x:f>IF(O57&lt;&gt;1,"",COUNTIFS($O$26:$O$125,1,$L$26:$L$125,"&lt;"&amp;L57)+COUNTIFS($O$26:$O$125,1,$L$26:$L$125,L57,$H$26:$H$125,"&gt;"&amp;H57)+COUNTIFS($O$26:$O$125,1,$L$26:$L$125,L57,$H$26:$H$125,H57,$M$26:$M$125,"&gt;"&amp;M57)+COUNTIFS($O$26:O57,1,$L$26:L57,L57,$H$26:H57,H57,$M$26:M57,M57))</x:f>
      </x:c>
    </x:row>
    <x:row r="58" ht="32" customHeight="1">
      <x:c r="A58" s="2" t="str">
        <x:f>IF('Motor_Meciuri'!A38="","",'Motor_Meciuri'!A38)</x:f>
      </x:c>
      <x:c r="B58" s="13" t="str">
        <x:f>IF('Motor_Meciuri'!A38="","",'Motor_Meciuri'!D38)</x:f>
      </x:c>
      <x:c r="C58" s="2" t="str">
        <x:f>IF('Motor_Meciuri'!A38="","",'Motor_Meciuri'!E38)</x:f>
      </x:c>
      <x:c r="D58" s="2" t="str">
        <x:f>IF('Motor_Meciuri'!A38="","",'Motor_Meciuri'!H38)</x:f>
      </x:c>
      <x:c r="E58" s="2" t="str">
        <x:f>IF('Motor_Meciuri'!A38="","",'Motor_Meciuri'!I38)</x:f>
      </x:c>
      <x:c r="F58" s="2" t="str">
        <x:f>IF(K58=0,"",INDEX('Analiza_Linii'!F454:F467,K58))</x:f>
      </x:c>
      <x:c r="G58" s="2" t="str">
        <x:f>IF(A58="","",IF(D58&lt;&gt;"READY","NOT RELEASED",IF(K58=0,IF(E58="FAIL","NO BET","WATCH / NO BET"),INDEX('Analiza_Linii'!AA454:AA467,K58))))</x:f>
      </x:c>
      <x:c r="H58" s="16" t="str">
        <x:f>IF(K58=0,"",INDEX('Analiza_Linii'!AB454:AB467,K58))</x:f>
      </x:c>
      <x:c r="I58" s="13" t="str">
        <x:f>IF(A58="","",IF(E58&lt;&gt;"PASS",'Motor_Meciuri'!J38,IF(K58=0,"Nicio linie eligibila; vezi motivele din Analiza_Linii",INDEX('Analiza_Linii'!AH454:AH467,K58))))</x:f>
      </x:c>
      <x:c r="J58" s="2"/>
      <x:c r="K58" s="2" t="n">
        <x:f>IF(A58="",0,IFERROR(MATCH(1,'Analiza_Linii'!AC454:AC467,0),0))</x:f>
        <x:v>0</x:v>
      </x:c>
      <x:c r="L58" s="2" t="str">
        <x:f>IF(K58=0,"",INDEX('Analiza_Linii'!Z454:Z467,K58))</x:f>
      </x:c>
      <x:c r="M58" s="2" t="str">
        <x:f>IF(K58=0,"",INDEX('Analiza_Linii'!V454:V467,K58))</x:f>
      </x:c>
      <x:c r="N58" s="2" t="str">
        <x:f>IF(K58=0,"",INDEX('Analiza_Linii'!T454:T467,K58))</x:f>
      </x:c>
      <x:c r="O58" s="2" t="n">
        <x:f>IF(AND(C58="LIVE",K58&gt;0),1,0)</x:f>
        <x:v>0</x:v>
      </x:c>
      <x:c r="P58" s="2" t="str">
        <x:f>IF(O58&lt;&gt;1,"",COUNTIFS($O$26:$O$125,1,$L$26:$L$125,"&lt;"&amp;L58)+COUNTIFS($O$26:$O$125,1,$L$26:$L$125,L58,$H$26:$H$125,"&gt;"&amp;H58)+COUNTIFS($O$26:$O$125,1,$L$26:$L$125,L58,$H$26:$H$125,H58,$M$26:$M$125,"&gt;"&amp;M58)+COUNTIFS($O$26:O58,1,$L$26:L58,L58,$H$26:H58,H58,$M$26:M58,M58))</x:f>
      </x:c>
    </x:row>
    <x:row r="59" ht="32" customHeight="1">
      <x:c r="A59" s="2" t="str">
        <x:f>IF('Motor_Meciuri'!A39="","",'Motor_Meciuri'!A39)</x:f>
      </x:c>
      <x:c r="B59" s="13" t="str">
        <x:f>IF('Motor_Meciuri'!A39="","",'Motor_Meciuri'!D39)</x:f>
      </x:c>
      <x:c r="C59" s="2" t="str">
        <x:f>IF('Motor_Meciuri'!A39="","",'Motor_Meciuri'!E39)</x:f>
      </x:c>
      <x:c r="D59" s="2" t="str">
        <x:f>IF('Motor_Meciuri'!A39="","",'Motor_Meciuri'!H39)</x:f>
      </x:c>
      <x:c r="E59" s="2" t="str">
        <x:f>IF('Motor_Meciuri'!A39="","",'Motor_Meciuri'!I39)</x:f>
      </x:c>
      <x:c r="F59" s="2" t="str">
        <x:f>IF(K59=0,"",INDEX('Analiza_Linii'!F468:F481,K59))</x:f>
      </x:c>
      <x:c r="G59" s="2" t="str">
        <x:f>IF(A59="","",IF(D59&lt;&gt;"READY","NOT RELEASED",IF(K59=0,IF(E59="FAIL","NO BET","WATCH / NO BET"),INDEX('Analiza_Linii'!AA468:AA481,K59))))</x:f>
      </x:c>
      <x:c r="H59" s="16" t="str">
        <x:f>IF(K59=0,"",INDEX('Analiza_Linii'!AB468:AB481,K59))</x:f>
      </x:c>
      <x:c r="I59" s="13" t="str">
        <x:f>IF(A59="","",IF(E59&lt;&gt;"PASS",'Motor_Meciuri'!J39,IF(K59=0,"Nicio linie eligibila; vezi motivele din Analiza_Linii",INDEX('Analiza_Linii'!AH468:AH481,K59))))</x:f>
      </x:c>
      <x:c r="J59" s="2"/>
      <x:c r="K59" s="2" t="n">
        <x:f>IF(A59="",0,IFERROR(MATCH(1,'Analiza_Linii'!AC468:AC481,0),0))</x:f>
        <x:v>0</x:v>
      </x:c>
      <x:c r="L59" s="2" t="str">
        <x:f>IF(K59=0,"",INDEX('Analiza_Linii'!Z468:Z481,K59))</x:f>
      </x:c>
      <x:c r="M59" s="2" t="str">
        <x:f>IF(K59=0,"",INDEX('Analiza_Linii'!V468:V481,K59))</x:f>
      </x:c>
      <x:c r="N59" s="2" t="str">
        <x:f>IF(K59=0,"",INDEX('Analiza_Linii'!T468:T481,K59))</x:f>
      </x:c>
      <x:c r="O59" s="2" t="n">
        <x:f>IF(AND(C59="LIVE",K59&gt;0),1,0)</x:f>
        <x:v>0</x:v>
      </x:c>
      <x:c r="P59" s="2" t="str">
        <x:f>IF(O59&lt;&gt;1,"",COUNTIFS($O$26:$O$125,1,$L$26:$L$125,"&lt;"&amp;L59)+COUNTIFS($O$26:$O$125,1,$L$26:$L$125,L59,$H$26:$H$125,"&gt;"&amp;H59)+COUNTIFS($O$26:$O$125,1,$L$26:$L$125,L59,$H$26:$H$125,H59,$M$26:$M$125,"&gt;"&amp;M59)+COUNTIFS($O$26:O59,1,$L$26:L59,L59,$H$26:H59,H59,$M$26:M59,M59))</x:f>
      </x:c>
    </x:row>
    <x:row r="60" ht="32" customHeight="1">
      <x:c r="A60" s="2" t="str">
        <x:f>IF('Motor_Meciuri'!A40="","",'Motor_Meciuri'!A40)</x:f>
      </x:c>
      <x:c r="B60" s="13" t="str">
        <x:f>IF('Motor_Meciuri'!A40="","",'Motor_Meciuri'!D40)</x:f>
      </x:c>
      <x:c r="C60" s="2" t="str">
        <x:f>IF('Motor_Meciuri'!A40="","",'Motor_Meciuri'!E40)</x:f>
      </x:c>
      <x:c r="D60" s="2" t="str">
        <x:f>IF('Motor_Meciuri'!A40="","",'Motor_Meciuri'!H40)</x:f>
      </x:c>
      <x:c r="E60" s="2" t="str">
        <x:f>IF('Motor_Meciuri'!A40="","",'Motor_Meciuri'!I40)</x:f>
      </x:c>
      <x:c r="F60" s="2" t="str">
        <x:f>IF(K60=0,"",INDEX('Analiza_Linii'!F482:F495,K60))</x:f>
      </x:c>
      <x:c r="G60" s="2" t="str">
        <x:f>IF(A60="","",IF(D60&lt;&gt;"READY","NOT RELEASED",IF(K60=0,IF(E60="FAIL","NO BET","WATCH / NO BET"),INDEX('Analiza_Linii'!AA482:AA495,K60))))</x:f>
      </x:c>
      <x:c r="H60" s="16" t="str">
        <x:f>IF(K60=0,"",INDEX('Analiza_Linii'!AB482:AB495,K60))</x:f>
      </x:c>
      <x:c r="I60" s="13" t="str">
        <x:f>IF(A60="","",IF(E60&lt;&gt;"PASS",'Motor_Meciuri'!J40,IF(K60=0,"Nicio linie eligibila; vezi motivele din Analiza_Linii",INDEX('Analiza_Linii'!AH482:AH495,K60))))</x:f>
      </x:c>
      <x:c r="J60" s="2"/>
      <x:c r="K60" s="2" t="n">
        <x:f>IF(A60="",0,IFERROR(MATCH(1,'Analiza_Linii'!AC482:AC495,0),0))</x:f>
        <x:v>0</x:v>
      </x:c>
      <x:c r="L60" s="2" t="str">
        <x:f>IF(K60=0,"",INDEX('Analiza_Linii'!Z482:Z495,K60))</x:f>
      </x:c>
      <x:c r="M60" s="2" t="str">
        <x:f>IF(K60=0,"",INDEX('Analiza_Linii'!V482:V495,K60))</x:f>
      </x:c>
      <x:c r="N60" s="2" t="str">
        <x:f>IF(K60=0,"",INDEX('Analiza_Linii'!T482:T495,K60))</x:f>
      </x:c>
      <x:c r="O60" s="2" t="n">
        <x:f>IF(AND(C60="LIVE",K60&gt;0),1,0)</x:f>
        <x:v>0</x:v>
      </x:c>
      <x:c r="P60" s="2" t="str">
        <x:f>IF(O60&lt;&gt;1,"",COUNTIFS($O$26:$O$125,1,$L$26:$L$125,"&lt;"&amp;L60)+COUNTIFS($O$26:$O$125,1,$L$26:$L$125,L60,$H$26:$H$125,"&gt;"&amp;H60)+COUNTIFS($O$26:$O$125,1,$L$26:$L$125,L60,$H$26:$H$125,H60,$M$26:$M$125,"&gt;"&amp;M60)+COUNTIFS($O$26:O60,1,$L$26:L60,L60,$H$26:H60,H60,$M$26:M60,M60))</x:f>
      </x:c>
    </x:row>
    <x:row r="61" ht="32" customHeight="1">
      <x:c r="A61" s="2" t="str">
        <x:f>IF('Motor_Meciuri'!A41="","",'Motor_Meciuri'!A41)</x:f>
      </x:c>
      <x:c r="B61" s="13" t="str">
        <x:f>IF('Motor_Meciuri'!A41="","",'Motor_Meciuri'!D41)</x:f>
      </x:c>
      <x:c r="C61" s="2" t="str">
        <x:f>IF('Motor_Meciuri'!A41="","",'Motor_Meciuri'!E41)</x:f>
      </x:c>
      <x:c r="D61" s="2" t="str">
        <x:f>IF('Motor_Meciuri'!A41="","",'Motor_Meciuri'!H41)</x:f>
      </x:c>
      <x:c r="E61" s="2" t="str">
        <x:f>IF('Motor_Meciuri'!A41="","",'Motor_Meciuri'!I41)</x:f>
      </x:c>
      <x:c r="F61" s="2" t="str">
        <x:f>IF(K61=0,"",INDEX('Analiza_Linii'!F496:F509,K61))</x:f>
      </x:c>
      <x:c r="G61" s="2" t="str">
        <x:f>IF(A61="","",IF(D61&lt;&gt;"READY","NOT RELEASED",IF(K61=0,IF(E61="FAIL","NO BET","WATCH / NO BET"),INDEX('Analiza_Linii'!AA496:AA509,K61))))</x:f>
      </x:c>
      <x:c r="H61" s="16" t="str">
        <x:f>IF(K61=0,"",INDEX('Analiza_Linii'!AB496:AB509,K61))</x:f>
      </x:c>
      <x:c r="I61" s="13" t="str">
        <x:f>IF(A61="","",IF(E61&lt;&gt;"PASS",'Motor_Meciuri'!J41,IF(K61=0,"Nicio linie eligibila; vezi motivele din Analiza_Linii",INDEX('Analiza_Linii'!AH496:AH509,K61))))</x:f>
      </x:c>
      <x:c r="J61" s="2"/>
      <x:c r="K61" s="2" t="n">
        <x:f>IF(A61="",0,IFERROR(MATCH(1,'Analiza_Linii'!AC496:AC509,0),0))</x:f>
        <x:v>0</x:v>
      </x:c>
      <x:c r="L61" s="2" t="str">
        <x:f>IF(K61=0,"",INDEX('Analiza_Linii'!Z496:Z509,K61))</x:f>
      </x:c>
      <x:c r="M61" s="2" t="str">
        <x:f>IF(K61=0,"",INDEX('Analiza_Linii'!V496:V509,K61))</x:f>
      </x:c>
      <x:c r="N61" s="2" t="str">
        <x:f>IF(K61=0,"",INDEX('Analiza_Linii'!T496:T509,K61))</x:f>
      </x:c>
      <x:c r="O61" s="2" t="n">
        <x:f>IF(AND(C61="LIVE",K61&gt;0),1,0)</x:f>
        <x:v>0</x:v>
      </x:c>
      <x:c r="P61" s="2" t="str">
        <x:f>IF(O61&lt;&gt;1,"",COUNTIFS($O$26:$O$125,1,$L$26:$L$125,"&lt;"&amp;L61)+COUNTIFS($O$26:$O$125,1,$L$26:$L$125,L61,$H$26:$H$125,"&gt;"&amp;H61)+COUNTIFS($O$26:$O$125,1,$L$26:$L$125,L61,$H$26:$H$125,H61,$M$26:$M$125,"&gt;"&amp;M61)+COUNTIFS($O$26:O61,1,$L$26:L61,L61,$H$26:H61,H61,$M$26:M61,M61))</x:f>
      </x:c>
    </x:row>
    <x:row r="62" ht="32" customHeight="1">
      <x:c r="A62" s="2" t="str">
        <x:f>IF('Motor_Meciuri'!A42="","",'Motor_Meciuri'!A42)</x:f>
      </x:c>
      <x:c r="B62" s="13" t="str">
        <x:f>IF('Motor_Meciuri'!A42="","",'Motor_Meciuri'!D42)</x:f>
      </x:c>
      <x:c r="C62" s="2" t="str">
        <x:f>IF('Motor_Meciuri'!A42="","",'Motor_Meciuri'!E42)</x:f>
      </x:c>
      <x:c r="D62" s="2" t="str">
        <x:f>IF('Motor_Meciuri'!A42="","",'Motor_Meciuri'!H42)</x:f>
      </x:c>
      <x:c r="E62" s="2" t="str">
        <x:f>IF('Motor_Meciuri'!A42="","",'Motor_Meciuri'!I42)</x:f>
      </x:c>
      <x:c r="F62" s="2" t="str">
        <x:f>IF(K62=0,"",INDEX('Analiza_Linii'!F510:F523,K62))</x:f>
      </x:c>
      <x:c r="G62" s="2" t="str">
        <x:f>IF(A62="","",IF(D62&lt;&gt;"READY","NOT RELEASED",IF(K62=0,IF(E62="FAIL","NO BET","WATCH / NO BET"),INDEX('Analiza_Linii'!AA510:AA523,K62))))</x:f>
      </x:c>
      <x:c r="H62" s="16" t="str">
        <x:f>IF(K62=0,"",INDEX('Analiza_Linii'!AB510:AB523,K62))</x:f>
      </x:c>
      <x:c r="I62" s="13" t="str">
        <x:f>IF(A62="","",IF(E62&lt;&gt;"PASS",'Motor_Meciuri'!J42,IF(K62=0,"Nicio linie eligibila; vezi motivele din Analiza_Linii",INDEX('Analiza_Linii'!AH510:AH523,K62))))</x:f>
      </x:c>
      <x:c r="J62" s="2"/>
      <x:c r="K62" s="2" t="n">
        <x:f>IF(A62="",0,IFERROR(MATCH(1,'Analiza_Linii'!AC510:AC523,0),0))</x:f>
        <x:v>0</x:v>
      </x:c>
      <x:c r="L62" s="2" t="str">
        <x:f>IF(K62=0,"",INDEX('Analiza_Linii'!Z510:Z523,K62))</x:f>
      </x:c>
      <x:c r="M62" s="2" t="str">
        <x:f>IF(K62=0,"",INDEX('Analiza_Linii'!V510:V523,K62))</x:f>
      </x:c>
      <x:c r="N62" s="2" t="str">
        <x:f>IF(K62=0,"",INDEX('Analiza_Linii'!T510:T523,K62))</x:f>
      </x:c>
      <x:c r="O62" s="2" t="n">
        <x:f>IF(AND(C62="LIVE",K62&gt;0),1,0)</x:f>
        <x:v>0</x:v>
      </x:c>
      <x:c r="P62" s="2" t="str">
        <x:f>IF(O62&lt;&gt;1,"",COUNTIFS($O$26:$O$125,1,$L$26:$L$125,"&lt;"&amp;L62)+COUNTIFS($O$26:$O$125,1,$L$26:$L$125,L62,$H$26:$H$125,"&gt;"&amp;H62)+COUNTIFS($O$26:$O$125,1,$L$26:$L$125,L62,$H$26:$H$125,H62,$M$26:$M$125,"&gt;"&amp;M62)+COUNTIFS($O$26:O62,1,$L$26:L62,L62,$H$26:H62,H62,$M$26:M62,M62))</x:f>
      </x:c>
    </x:row>
    <x:row r="63" ht="32" customHeight="1">
      <x:c r="A63" s="2" t="str">
        <x:f>IF('Motor_Meciuri'!A43="","",'Motor_Meciuri'!A43)</x:f>
      </x:c>
      <x:c r="B63" s="13" t="str">
        <x:f>IF('Motor_Meciuri'!A43="","",'Motor_Meciuri'!D43)</x:f>
      </x:c>
      <x:c r="C63" s="2" t="str">
        <x:f>IF('Motor_Meciuri'!A43="","",'Motor_Meciuri'!E43)</x:f>
      </x:c>
      <x:c r="D63" s="2" t="str">
        <x:f>IF('Motor_Meciuri'!A43="","",'Motor_Meciuri'!H43)</x:f>
      </x:c>
      <x:c r="E63" s="2" t="str">
        <x:f>IF('Motor_Meciuri'!A43="","",'Motor_Meciuri'!I43)</x:f>
      </x:c>
      <x:c r="F63" s="2" t="str">
        <x:f>IF(K63=0,"",INDEX('Analiza_Linii'!F524:F537,K63))</x:f>
      </x:c>
      <x:c r="G63" s="2" t="str">
        <x:f>IF(A63="","",IF(D63&lt;&gt;"READY","NOT RELEASED",IF(K63=0,IF(E63="FAIL","NO BET","WATCH / NO BET"),INDEX('Analiza_Linii'!AA524:AA537,K63))))</x:f>
      </x:c>
      <x:c r="H63" s="16" t="str">
        <x:f>IF(K63=0,"",INDEX('Analiza_Linii'!AB524:AB537,K63))</x:f>
      </x:c>
      <x:c r="I63" s="13" t="str">
        <x:f>IF(A63="","",IF(E63&lt;&gt;"PASS",'Motor_Meciuri'!J43,IF(K63=0,"Nicio linie eligibila; vezi motivele din Analiza_Linii",INDEX('Analiza_Linii'!AH524:AH537,K63))))</x:f>
      </x:c>
      <x:c r="J63" s="2"/>
      <x:c r="K63" s="2" t="n">
        <x:f>IF(A63="",0,IFERROR(MATCH(1,'Analiza_Linii'!AC524:AC537,0),0))</x:f>
        <x:v>0</x:v>
      </x:c>
      <x:c r="L63" s="2" t="str">
        <x:f>IF(K63=0,"",INDEX('Analiza_Linii'!Z524:Z537,K63))</x:f>
      </x:c>
      <x:c r="M63" s="2" t="str">
        <x:f>IF(K63=0,"",INDEX('Analiza_Linii'!V524:V537,K63))</x:f>
      </x:c>
      <x:c r="N63" s="2" t="str">
        <x:f>IF(K63=0,"",INDEX('Analiza_Linii'!T524:T537,K63))</x:f>
      </x:c>
      <x:c r="O63" s="2" t="n">
        <x:f>IF(AND(C63="LIVE",K63&gt;0),1,0)</x:f>
        <x:v>0</x:v>
      </x:c>
      <x:c r="P63" s="2" t="str">
        <x:f>IF(O63&lt;&gt;1,"",COUNTIFS($O$26:$O$125,1,$L$26:$L$125,"&lt;"&amp;L63)+COUNTIFS($O$26:$O$125,1,$L$26:$L$125,L63,$H$26:$H$125,"&gt;"&amp;H63)+COUNTIFS($O$26:$O$125,1,$L$26:$L$125,L63,$H$26:$H$125,H63,$M$26:$M$125,"&gt;"&amp;M63)+COUNTIFS($O$26:O63,1,$L$26:L63,L63,$H$26:H63,H63,$M$26:M63,M63))</x:f>
      </x:c>
    </x:row>
    <x:row r="64" ht="32" customHeight="1">
      <x:c r="A64" s="2" t="str">
        <x:f>IF('Motor_Meciuri'!A44="","",'Motor_Meciuri'!A44)</x:f>
      </x:c>
      <x:c r="B64" s="13" t="str">
        <x:f>IF('Motor_Meciuri'!A44="","",'Motor_Meciuri'!D44)</x:f>
      </x:c>
      <x:c r="C64" s="2" t="str">
        <x:f>IF('Motor_Meciuri'!A44="","",'Motor_Meciuri'!E44)</x:f>
      </x:c>
      <x:c r="D64" s="2" t="str">
        <x:f>IF('Motor_Meciuri'!A44="","",'Motor_Meciuri'!H44)</x:f>
      </x:c>
      <x:c r="E64" s="2" t="str">
        <x:f>IF('Motor_Meciuri'!A44="","",'Motor_Meciuri'!I44)</x:f>
      </x:c>
      <x:c r="F64" s="2" t="str">
        <x:f>IF(K64=0,"",INDEX('Analiza_Linii'!F538:F551,K64))</x:f>
      </x:c>
      <x:c r="G64" s="2" t="str">
        <x:f>IF(A64="","",IF(D64&lt;&gt;"READY","NOT RELEASED",IF(K64=0,IF(E64="FAIL","NO BET","WATCH / NO BET"),INDEX('Analiza_Linii'!AA538:AA551,K64))))</x:f>
      </x:c>
      <x:c r="H64" s="16" t="str">
        <x:f>IF(K64=0,"",INDEX('Analiza_Linii'!AB538:AB551,K64))</x:f>
      </x:c>
      <x:c r="I64" s="13" t="str">
        <x:f>IF(A64="","",IF(E64&lt;&gt;"PASS",'Motor_Meciuri'!J44,IF(K64=0,"Nicio linie eligibila; vezi motivele din Analiza_Linii",INDEX('Analiza_Linii'!AH538:AH551,K64))))</x:f>
      </x:c>
      <x:c r="J64" s="2"/>
      <x:c r="K64" s="2" t="n">
        <x:f>IF(A64="",0,IFERROR(MATCH(1,'Analiza_Linii'!AC538:AC551,0),0))</x:f>
        <x:v>0</x:v>
      </x:c>
      <x:c r="L64" s="2" t="str">
        <x:f>IF(K64=0,"",INDEX('Analiza_Linii'!Z538:Z551,K64))</x:f>
      </x:c>
      <x:c r="M64" s="2" t="str">
        <x:f>IF(K64=0,"",INDEX('Analiza_Linii'!V538:V551,K64))</x:f>
      </x:c>
      <x:c r="N64" s="2" t="str">
        <x:f>IF(K64=0,"",INDEX('Analiza_Linii'!T538:T551,K64))</x:f>
      </x:c>
      <x:c r="O64" s="2" t="n">
        <x:f>IF(AND(C64="LIVE",K64&gt;0),1,0)</x:f>
        <x:v>0</x:v>
      </x:c>
      <x:c r="P64" s="2" t="str">
        <x:f>IF(O64&lt;&gt;1,"",COUNTIFS($O$26:$O$125,1,$L$26:$L$125,"&lt;"&amp;L64)+COUNTIFS($O$26:$O$125,1,$L$26:$L$125,L64,$H$26:$H$125,"&gt;"&amp;H64)+COUNTIFS($O$26:$O$125,1,$L$26:$L$125,L64,$H$26:$H$125,H64,$M$26:$M$125,"&gt;"&amp;M64)+COUNTIFS($O$26:O64,1,$L$26:L64,L64,$H$26:H64,H64,$M$26:M64,M64))</x:f>
      </x:c>
    </x:row>
    <x:row r="65" ht="32" customHeight="1">
      <x:c r="A65" s="2" t="str">
        <x:f>IF('Motor_Meciuri'!A45="","",'Motor_Meciuri'!A45)</x:f>
      </x:c>
      <x:c r="B65" s="13" t="str">
        <x:f>IF('Motor_Meciuri'!A45="","",'Motor_Meciuri'!D45)</x:f>
      </x:c>
      <x:c r="C65" s="2" t="str">
        <x:f>IF('Motor_Meciuri'!A45="","",'Motor_Meciuri'!E45)</x:f>
      </x:c>
      <x:c r="D65" s="2" t="str">
        <x:f>IF('Motor_Meciuri'!A45="","",'Motor_Meciuri'!H45)</x:f>
      </x:c>
      <x:c r="E65" s="2" t="str">
        <x:f>IF('Motor_Meciuri'!A45="","",'Motor_Meciuri'!I45)</x:f>
      </x:c>
      <x:c r="F65" s="2" t="str">
        <x:f>IF(K65=0,"",INDEX('Analiza_Linii'!F552:F565,K65))</x:f>
      </x:c>
      <x:c r="G65" s="2" t="str">
        <x:f>IF(A65="","",IF(D65&lt;&gt;"READY","NOT RELEASED",IF(K65=0,IF(E65="FAIL","NO BET","WATCH / NO BET"),INDEX('Analiza_Linii'!AA552:AA565,K65))))</x:f>
      </x:c>
      <x:c r="H65" s="16" t="str">
        <x:f>IF(K65=0,"",INDEX('Analiza_Linii'!AB552:AB565,K65))</x:f>
      </x:c>
      <x:c r="I65" s="13" t="str">
        <x:f>IF(A65="","",IF(E65&lt;&gt;"PASS",'Motor_Meciuri'!J45,IF(K65=0,"Nicio linie eligibila; vezi motivele din Analiza_Linii",INDEX('Analiza_Linii'!AH552:AH565,K65))))</x:f>
      </x:c>
      <x:c r="J65" s="2"/>
      <x:c r="K65" s="2" t="n">
        <x:f>IF(A65="",0,IFERROR(MATCH(1,'Analiza_Linii'!AC552:AC565,0),0))</x:f>
        <x:v>0</x:v>
      </x:c>
      <x:c r="L65" s="2" t="str">
        <x:f>IF(K65=0,"",INDEX('Analiza_Linii'!Z552:Z565,K65))</x:f>
      </x:c>
      <x:c r="M65" s="2" t="str">
        <x:f>IF(K65=0,"",INDEX('Analiza_Linii'!V552:V565,K65))</x:f>
      </x:c>
      <x:c r="N65" s="2" t="str">
        <x:f>IF(K65=0,"",INDEX('Analiza_Linii'!T552:T565,K65))</x:f>
      </x:c>
      <x:c r="O65" s="2" t="n">
        <x:f>IF(AND(C65="LIVE",K65&gt;0),1,0)</x:f>
        <x:v>0</x:v>
      </x:c>
      <x:c r="P65" s="2" t="str">
        <x:f>IF(O65&lt;&gt;1,"",COUNTIFS($O$26:$O$125,1,$L$26:$L$125,"&lt;"&amp;L65)+COUNTIFS($O$26:$O$125,1,$L$26:$L$125,L65,$H$26:$H$125,"&gt;"&amp;H65)+COUNTIFS($O$26:$O$125,1,$L$26:$L$125,L65,$H$26:$H$125,H65,$M$26:$M$125,"&gt;"&amp;M65)+COUNTIFS($O$26:O65,1,$L$26:L65,L65,$H$26:H65,H65,$M$26:M65,M65))</x:f>
      </x:c>
    </x:row>
    <x:row r="66" ht="32" customHeight="1">
      <x:c r="A66" s="2" t="str">
        <x:f>IF('Motor_Meciuri'!A46="","",'Motor_Meciuri'!A46)</x:f>
      </x:c>
      <x:c r="B66" s="13" t="str">
        <x:f>IF('Motor_Meciuri'!A46="","",'Motor_Meciuri'!D46)</x:f>
      </x:c>
      <x:c r="C66" s="2" t="str">
        <x:f>IF('Motor_Meciuri'!A46="","",'Motor_Meciuri'!E46)</x:f>
      </x:c>
      <x:c r="D66" s="2" t="str">
        <x:f>IF('Motor_Meciuri'!A46="","",'Motor_Meciuri'!H46)</x:f>
      </x:c>
      <x:c r="E66" s="2" t="str">
        <x:f>IF('Motor_Meciuri'!A46="","",'Motor_Meciuri'!I46)</x:f>
      </x:c>
      <x:c r="F66" s="2" t="str">
        <x:f>IF(K66=0,"",INDEX('Analiza_Linii'!F566:F579,K66))</x:f>
      </x:c>
      <x:c r="G66" s="2" t="str">
        <x:f>IF(A66="","",IF(D66&lt;&gt;"READY","NOT RELEASED",IF(K66=0,IF(E66="FAIL","NO BET","WATCH / NO BET"),INDEX('Analiza_Linii'!AA566:AA579,K66))))</x:f>
      </x:c>
      <x:c r="H66" s="16" t="str">
        <x:f>IF(K66=0,"",INDEX('Analiza_Linii'!AB566:AB579,K66))</x:f>
      </x:c>
      <x:c r="I66" s="13" t="str">
        <x:f>IF(A66="","",IF(E66&lt;&gt;"PASS",'Motor_Meciuri'!J46,IF(K66=0,"Nicio linie eligibila; vezi motivele din Analiza_Linii",INDEX('Analiza_Linii'!AH566:AH579,K66))))</x:f>
      </x:c>
      <x:c r="J66" s="2"/>
      <x:c r="K66" s="2" t="n">
        <x:f>IF(A66="",0,IFERROR(MATCH(1,'Analiza_Linii'!AC566:AC579,0),0))</x:f>
        <x:v>0</x:v>
      </x:c>
      <x:c r="L66" s="2" t="str">
        <x:f>IF(K66=0,"",INDEX('Analiza_Linii'!Z566:Z579,K66))</x:f>
      </x:c>
      <x:c r="M66" s="2" t="str">
        <x:f>IF(K66=0,"",INDEX('Analiza_Linii'!V566:V579,K66))</x:f>
      </x:c>
      <x:c r="N66" s="2" t="str">
        <x:f>IF(K66=0,"",INDEX('Analiza_Linii'!T566:T579,K66))</x:f>
      </x:c>
      <x:c r="O66" s="2" t="n">
        <x:f>IF(AND(C66="LIVE",K66&gt;0),1,0)</x:f>
        <x:v>0</x:v>
      </x:c>
      <x:c r="P66" s="2" t="str">
        <x:f>IF(O66&lt;&gt;1,"",COUNTIFS($O$26:$O$125,1,$L$26:$L$125,"&lt;"&amp;L66)+COUNTIFS($O$26:$O$125,1,$L$26:$L$125,L66,$H$26:$H$125,"&gt;"&amp;H66)+COUNTIFS($O$26:$O$125,1,$L$26:$L$125,L66,$H$26:$H$125,H66,$M$26:$M$125,"&gt;"&amp;M66)+COUNTIFS($O$26:O66,1,$L$26:L66,L66,$H$26:H66,H66,$M$26:M66,M66))</x:f>
      </x:c>
    </x:row>
    <x:row r="67" ht="32" customHeight="1">
      <x:c r="A67" s="2" t="str">
        <x:f>IF('Motor_Meciuri'!A47="","",'Motor_Meciuri'!A47)</x:f>
      </x:c>
      <x:c r="B67" s="13" t="str">
        <x:f>IF('Motor_Meciuri'!A47="","",'Motor_Meciuri'!D47)</x:f>
      </x:c>
      <x:c r="C67" s="2" t="str">
        <x:f>IF('Motor_Meciuri'!A47="","",'Motor_Meciuri'!E47)</x:f>
      </x:c>
      <x:c r="D67" s="2" t="str">
        <x:f>IF('Motor_Meciuri'!A47="","",'Motor_Meciuri'!H47)</x:f>
      </x:c>
      <x:c r="E67" s="2" t="str">
        <x:f>IF('Motor_Meciuri'!A47="","",'Motor_Meciuri'!I47)</x:f>
      </x:c>
      <x:c r="F67" s="2" t="str">
        <x:f>IF(K67=0,"",INDEX('Analiza_Linii'!F580:F593,K67))</x:f>
      </x:c>
      <x:c r="G67" s="2" t="str">
        <x:f>IF(A67="","",IF(D67&lt;&gt;"READY","NOT RELEASED",IF(K67=0,IF(E67="FAIL","NO BET","WATCH / NO BET"),INDEX('Analiza_Linii'!AA580:AA593,K67))))</x:f>
      </x:c>
      <x:c r="H67" s="16" t="str">
        <x:f>IF(K67=0,"",INDEX('Analiza_Linii'!AB580:AB593,K67))</x:f>
      </x:c>
      <x:c r="I67" s="13" t="str">
        <x:f>IF(A67="","",IF(E67&lt;&gt;"PASS",'Motor_Meciuri'!J47,IF(K67=0,"Nicio linie eligibila; vezi motivele din Analiza_Linii",INDEX('Analiza_Linii'!AH580:AH593,K67))))</x:f>
      </x:c>
      <x:c r="J67" s="2"/>
      <x:c r="K67" s="2" t="n">
        <x:f>IF(A67="",0,IFERROR(MATCH(1,'Analiza_Linii'!AC580:AC593,0),0))</x:f>
        <x:v>0</x:v>
      </x:c>
      <x:c r="L67" s="2" t="str">
        <x:f>IF(K67=0,"",INDEX('Analiza_Linii'!Z580:Z593,K67))</x:f>
      </x:c>
      <x:c r="M67" s="2" t="str">
        <x:f>IF(K67=0,"",INDEX('Analiza_Linii'!V580:V593,K67))</x:f>
      </x:c>
      <x:c r="N67" s="2" t="str">
        <x:f>IF(K67=0,"",INDEX('Analiza_Linii'!T580:T593,K67))</x:f>
      </x:c>
      <x:c r="O67" s="2" t="n">
        <x:f>IF(AND(C67="LIVE",K67&gt;0),1,0)</x:f>
        <x:v>0</x:v>
      </x:c>
      <x:c r="P67" s="2" t="str">
        <x:f>IF(O67&lt;&gt;1,"",COUNTIFS($O$26:$O$125,1,$L$26:$L$125,"&lt;"&amp;L67)+COUNTIFS($O$26:$O$125,1,$L$26:$L$125,L67,$H$26:$H$125,"&gt;"&amp;H67)+COUNTIFS($O$26:$O$125,1,$L$26:$L$125,L67,$H$26:$H$125,H67,$M$26:$M$125,"&gt;"&amp;M67)+COUNTIFS($O$26:O67,1,$L$26:L67,L67,$H$26:H67,H67,$M$26:M67,M67))</x:f>
      </x:c>
    </x:row>
    <x:row r="68" ht="32" customHeight="1">
      <x:c r="A68" s="2" t="str">
        <x:f>IF('Motor_Meciuri'!A48="","",'Motor_Meciuri'!A48)</x:f>
      </x:c>
      <x:c r="B68" s="13" t="str">
        <x:f>IF('Motor_Meciuri'!A48="","",'Motor_Meciuri'!D48)</x:f>
      </x:c>
      <x:c r="C68" s="2" t="str">
        <x:f>IF('Motor_Meciuri'!A48="","",'Motor_Meciuri'!E48)</x:f>
      </x:c>
      <x:c r="D68" s="2" t="str">
        <x:f>IF('Motor_Meciuri'!A48="","",'Motor_Meciuri'!H48)</x:f>
      </x:c>
      <x:c r="E68" s="2" t="str">
        <x:f>IF('Motor_Meciuri'!A48="","",'Motor_Meciuri'!I48)</x:f>
      </x:c>
      <x:c r="F68" s="2" t="str">
        <x:f>IF(K68=0,"",INDEX('Analiza_Linii'!F594:F607,K68))</x:f>
      </x:c>
      <x:c r="G68" s="2" t="str">
        <x:f>IF(A68="","",IF(D68&lt;&gt;"READY","NOT RELEASED",IF(K68=0,IF(E68="FAIL","NO BET","WATCH / NO BET"),INDEX('Analiza_Linii'!AA594:AA607,K68))))</x:f>
      </x:c>
      <x:c r="H68" s="16" t="str">
        <x:f>IF(K68=0,"",INDEX('Analiza_Linii'!AB594:AB607,K68))</x:f>
      </x:c>
      <x:c r="I68" s="13" t="str">
        <x:f>IF(A68="","",IF(E68&lt;&gt;"PASS",'Motor_Meciuri'!J48,IF(K68=0,"Nicio linie eligibila; vezi motivele din Analiza_Linii",INDEX('Analiza_Linii'!AH594:AH607,K68))))</x:f>
      </x:c>
      <x:c r="J68" s="2"/>
      <x:c r="K68" s="2" t="n">
        <x:f>IF(A68="",0,IFERROR(MATCH(1,'Analiza_Linii'!AC594:AC607,0),0))</x:f>
        <x:v>0</x:v>
      </x:c>
      <x:c r="L68" s="2" t="str">
        <x:f>IF(K68=0,"",INDEX('Analiza_Linii'!Z594:Z607,K68))</x:f>
      </x:c>
      <x:c r="M68" s="2" t="str">
        <x:f>IF(K68=0,"",INDEX('Analiza_Linii'!V594:V607,K68))</x:f>
      </x:c>
      <x:c r="N68" s="2" t="str">
        <x:f>IF(K68=0,"",INDEX('Analiza_Linii'!T594:T607,K68))</x:f>
      </x:c>
      <x:c r="O68" s="2" t="n">
        <x:f>IF(AND(C68="LIVE",K68&gt;0),1,0)</x:f>
        <x:v>0</x:v>
      </x:c>
      <x:c r="P68" s="2" t="str">
        <x:f>IF(O68&lt;&gt;1,"",COUNTIFS($O$26:$O$125,1,$L$26:$L$125,"&lt;"&amp;L68)+COUNTIFS($O$26:$O$125,1,$L$26:$L$125,L68,$H$26:$H$125,"&gt;"&amp;H68)+COUNTIFS($O$26:$O$125,1,$L$26:$L$125,L68,$H$26:$H$125,H68,$M$26:$M$125,"&gt;"&amp;M68)+COUNTIFS($O$26:O68,1,$L$26:L68,L68,$H$26:H68,H68,$M$26:M68,M68))</x:f>
      </x:c>
    </x:row>
    <x:row r="69" ht="32" customHeight="1">
      <x:c r="A69" s="2" t="str">
        <x:f>IF('Motor_Meciuri'!A49="","",'Motor_Meciuri'!A49)</x:f>
      </x:c>
      <x:c r="B69" s="13" t="str">
        <x:f>IF('Motor_Meciuri'!A49="","",'Motor_Meciuri'!D49)</x:f>
      </x:c>
      <x:c r="C69" s="2" t="str">
        <x:f>IF('Motor_Meciuri'!A49="","",'Motor_Meciuri'!E49)</x:f>
      </x:c>
      <x:c r="D69" s="2" t="str">
        <x:f>IF('Motor_Meciuri'!A49="","",'Motor_Meciuri'!H49)</x:f>
      </x:c>
      <x:c r="E69" s="2" t="str">
        <x:f>IF('Motor_Meciuri'!A49="","",'Motor_Meciuri'!I49)</x:f>
      </x:c>
      <x:c r="F69" s="2" t="str">
        <x:f>IF(K69=0,"",INDEX('Analiza_Linii'!F608:F621,K69))</x:f>
      </x:c>
      <x:c r="G69" s="2" t="str">
        <x:f>IF(A69="","",IF(D69&lt;&gt;"READY","NOT RELEASED",IF(K69=0,IF(E69="FAIL","NO BET","WATCH / NO BET"),INDEX('Analiza_Linii'!AA608:AA621,K69))))</x:f>
      </x:c>
      <x:c r="H69" s="16" t="str">
        <x:f>IF(K69=0,"",INDEX('Analiza_Linii'!AB608:AB621,K69))</x:f>
      </x:c>
      <x:c r="I69" s="13" t="str">
        <x:f>IF(A69="","",IF(E69&lt;&gt;"PASS",'Motor_Meciuri'!J49,IF(K69=0,"Nicio linie eligibila; vezi motivele din Analiza_Linii",INDEX('Analiza_Linii'!AH608:AH621,K69))))</x:f>
      </x:c>
      <x:c r="J69" s="2"/>
      <x:c r="K69" s="2" t="n">
        <x:f>IF(A69="",0,IFERROR(MATCH(1,'Analiza_Linii'!AC608:AC621,0),0))</x:f>
        <x:v>0</x:v>
      </x:c>
      <x:c r="L69" s="2" t="str">
        <x:f>IF(K69=0,"",INDEX('Analiza_Linii'!Z608:Z621,K69))</x:f>
      </x:c>
      <x:c r="M69" s="2" t="str">
        <x:f>IF(K69=0,"",INDEX('Analiza_Linii'!V608:V621,K69))</x:f>
      </x:c>
      <x:c r="N69" s="2" t="str">
        <x:f>IF(K69=0,"",INDEX('Analiza_Linii'!T608:T621,K69))</x:f>
      </x:c>
      <x:c r="O69" s="2" t="n">
        <x:f>IF(AND(C69="LIVE",K69&gt;0),1,0)</x:f>
        <x:v>0</x:v>
      </x:c>
      <x:c r="P69" s="2" t="str">
        <x:f>IF(O69&lt;&gt;1,"",COUNTIFS($O$26:$O$125,1,$L$26:$L$125,"&lt;"&amp;L69)+COUNTIFS($O$26:$O$125,1,$L$26:$L$125,L69,$H$26:$H$125,"&gt;"&amp;H69)+COUNTIFS($O$26:$O$125,1,$L$26:$L$125,L69,$H$26:$H$125,H69,$M$26:$M$125,"&gt;"&amp;M69)+COUNTIFS($O$26:O69,1,$L$26:L69,L69,$H$26:H69,H69,$M$26:M69,M69))</x:f>
      </x:c>
    </x:row>
    <x:row r="70" ht="32" customHeight="1">
      <x:c r="A70" s="2" t="str">
        <x:f>IF('Motor_Meciuri'!A50="","",'Motor_Meciuri'!A50)</x:f>
      </x:c>
      <x:c r="B70" s="13" t="str">
        <x:f>IF('Motor_Meciuri'!A50="","",'Motor_Meciuri'!D50)</x:f>
      </x:c>
      <x:c r="C70" s="2" t="str">
        <x:f>IF('Motor_Meciuri'!A50="","",'Motor_Meciuri'!E50)</x:f>
      </x:c>
      <x:c r="D70" s="2" t="str">
        <x:f>IF('Motor_Meciuri'!A50="","",'Motor_Meciuri'!H50)</x:f>
      </x:c>
      <x:c r="E70" s="2" t="str">
        <x:f>IF('Motor_Meciuri'!A50="","",'Motor_Meciuri'!I50)</x:f>
      </x:c>
      <x:c r="F70" s="2" t="str">
        <x:f>IF(K70=0,"",INDEX('Analiza_Linii'!F622:F635,K70))</x:f>
      </x:c>
      <x:c r="G70" s="2" t="str">
        <x:f>IF(A70="","",IF(D70&lt;&gt;"READY","NOT RELEASED",IF(K70=0,IF(E70="FAIL","NO BET","WATCH / NO BET"),INDEX('Analiza_Linii'!AA622:AA635,K70))))</x:f>
      </x:c>
      <x:c r="H70" s="16" t="str">
        <x:f>IF(K70=0,"",INDEX('Analiza_Linii'!AB622:AB635,K70))</x:f>
      </x:c>
      <x:c r="I70" s="13" t="str">
        <x:f>IF(A70="","",IF(E70&lt;&gt;"PASS",'Motor_Meciuri'!J50,IF(K70=0,"Nicio linie eligibila; vezi motivele din Analiza_Linii",INDEX('Analiza_Linii'!AH622:AH635,K70))))</x:f>
      </x:c>
      <x:c r="J70" s="2"/>
      <x:c r="K70" s="2" t="n">
        <x:f>IF(A70="",0,IFERROR(MATCH(1,'Analiza_Linii'!AC622:AC635,0),0))</x:f>
        <x:v>0</x:v>
      </x:c>
      <x:c r="L70" s="2" t="str">
        <x:f>IF(K70=0,"",INDEX('Analiza_Linii'!Z622:Z635,K70))</x:f>
      </x:c>
      <x:c r="M70" s="2" t="str">
        <x:f>IF(K70=0,"",INDEX('Analiza_Linii'!V622:V635,K70))</x:f>
      </x:c>
      <x:c r="N70" s="2" t="str">
        <x:f>IF(K70=0,"",INDEX('Analiza_Linii'!T622:T635,K70))</x:f>
      </x:c>
      <x:c r="O70" s="2" t="n">
        <x:f>IF(AND(C70="LIVE",K70&gt;0),1,0)</x:f>
        <x:v>0</x:v>
      </x:c>
      <x:c r="P70" s="2" t="str">
        <x:f>IF(O70&lt;&gt;1,"",COUNTIFS($O$26:$O$125,1,$L$26:$L$125,"&lt;"&amp;L70)+COUNTIFS($O$26:$O$125,1,$L$26:$L$125,L70,$H$26:$H$125,"&gt;"&amp;H70)+COUNTIFS($O$26:$O$125,1,$L$26:$L$125,L70,$H$26:$H$125,H70,$M$26:$M$125,"&gt;"&amp;M70)+COUNTIFS($O$26:O70,1,$L$26:L70,L70,$H$26:H70,H70,$M$26:M70,M70))</x:f>
      </x:c>
    </x:row>
    <x:row r="71" ht="32" customHeight="1">
      <x:c r="A71" s="2" t="str">
        <x:f>IF('Motor_Meciuri'!A51="","",'Motor_Meciuri'!A51)</x:f>
      </x:c>
      <x:c r="B71" s="13" t="str">
        <x:f>IF('Motor_Meciuri'!A51="","",'Motor_Meciuri'!D51)</x:f>
      </x:c>
      <x:c r="C71" s="2" t="str">
        <x:f>IF('Motor_Meciuri'!A51="","",'Motor_Meciuri'!E51)</x:f>
      </x:c>
      <x:c r="D71" s="2" t="str">
        <x:f>IF('Motor_Meciuri'!A51="","",'Motor_Meciuri'!H51)</x:f>
      </x:c>
      <x:c r="E71" s="2" t="str">
        <x:f>IF('Motor_Meciuri'!A51="","",'Motor_Meciuri'!I51)</x:f>
      </x:c>
      <x:c r="F71" s="2" t="str">
        <x:f>IF(K71=0,"",INDEX('Analiza_Linii'!F636:F649,K71))</x:f>
      </x:c>
      <x:c r="G71" s="2" t="str">
        <x:f>IF(A71="","",IF(D71&lt;&gt;"READY","NOT RELEASED",IF(K71=0,IF(E71="FAIL","NO BET","WATCH / NO BET"),INDEX('Analiza_Linii'!AA636:AA649,K71))))</x:f>
      </x:c>
      <x:c r="H71" s="16" t="str">
        <x:f>IF(K71=0,"",INDEX('Analiza_Linii'!AB636:AB649,K71))</x:f>
      </x:c>
      <x:c r="I71" s="13" t="str">
        <x:f>IF(A71="","",IF(E71&lt;&gt;"PASS",'Motor_Meciuri'!J51,IF(K71=0,"Nicio linie eligibila; vezi motivele din Analiza_Linii",INDEX('Analiza_Linii'!AH636:AH649,K71))))</x:f>
      </x:c>
      <x:c r="J71" s="2"/>
      <x:c r="K71" s="2" t="n">
        <x:f>IF(A71="",0,IFERROR(MATCH(1,'Analiza_Linii'!AC636:AC649,0),0))</x:f>
        <x:v>0</x:v>
      </x:c>
      <x:c r="L71" s="2" t="str">
        <x:f>IF(K71=0,"",INDEX('Analiza_Linii'!Z636:Z649,K71))</x:f>
      </x:c>
      <x:c r="M71" s="2" t="str">
        <x:f>IF(K71=0,"",INDEX('Analiza_Linii'!V636:V649,K71))</x:f>
      </x:c>
      <x:c r="N71" s="2" t="str">
        <x:f>IF(K71=0,"",INDEX('Analiza_Linii'!T636:T649,K71))</x:f>
      </x:c>
      <x:c r="O71" s="2" t="n">
        <x:f>IF(AND(C71="LIVE",K71&gt;0),1,0)</x:f>
        <x:v>0</x:v>
      </x:c>
      <x:c r="P71" s="2" t="str">
        <x:f>IF(O71&lt;&gt;1,"",COUNTIFS($O$26:$O$125,1,$L$26:$L$125,"&lt;"&amp;L71)+COUNTIFS($O$26:$O$125,1,$L$26:$L$125,L71,$H$26:$H$125,"&gt;"&amp;H71)+COUNTIFS($O$26:$O$125,1,$L$26:$L$125,L71,$H$26:$H$125,H71,$M$26:$M$125,"&gt;"&amp;M71)+COUNTIFS($O$26:O71,1,$L$26:L71,L71,$H$26:H71,H71,$M$26:M71,M71))</x:f>
      </x:c>
    </x:row>
    <x:row r="72" ht="32" customHeight="1">
      <x:c r="A72" s="2" t="str">
        <x:f>IF('Motor_Meciuri'!A52="","",'Motor_Meciuri'!A52)</x:f>
      </x:c>
      <x:c r="B72" s="13" t="str">
        <x:f>IF('Motor_Meciuri'!A52="","",'Motor_Meciuri'!D52)</x:f>
      </x:c>
      <x:c r="C72" s="2" t="str">
        <x:f>IF('Motor_Meciuri'!A52="","",'Motor_Meciuri'!E52)</x:f>
      </x:c>
      <x:c r="D72" s="2" t="str">
        <x:f>IF('Motor_Meciuri'!A52="","",'Motor_Meciuri'!H52)</x:f>
      </x:c>
      <x:c r="E72" s="2" t="str">
        <x:f>IF('Motor_Meciuri'!A52="","",'Motor_Meciuri'!I52)</x:f>
      </x:c>
      <x:c r="F72" s="2" t="str">
        <x:f>IF(K72=0,"",INDEX('Analiza_Linii'!F650:F663,K72))</x:f>
      </x:c>
      <x:c r="G72" s="2" t="str">
        <x:f>IF(A72="","",IF(D72&lt;&gt;"READY","NOT RELEASED",IF(K72=0,IF(E72="FAIL","NO BET","WATCH / NO BET"),INDEX('Analiza_Linii'!AA650:AA663,K72))))</x:f>
      </x:c>
      <x:c r="H72" s="16" t="str">
        <x:f>IF(K72=0,"",INDEX('Analiza_Linii'!AB650:AB663,K72))</x:f>
      </x:c>
      <x:c r="I72" s="13" t="str">
        <x:f>IF(A72="","",IF(E72&lt;&gt;"PASS",'Motor_Meciuri'!J52,IF(K72=0,"Nicio linie eligibila; vezi motivele din Analiza_Linii",INDEX('Analiza_Linii'!AH650:AH663,K72))))</x:f>
      </x:c>
      <x:c r="J72" s="2"/>
      <x:c r="K72" s="2" t="n">
        <x:f>IF(A72="",0,IFERROR(MATCH(1,'Analiza_Linii'!AC650:AC663,0),0))</x:f>
        <x:v>0</x:v>
      </x:c>
      <x:c r="L72" s="2" t="str">
        <x:f>IF(K72=0,"",INDEX('Analiza_Linii'!Z650:Z663,K72))</x:f>
      </x:c>
      <x:c r="M72" s="2" t="str">
        <x:f>IF(K72=0,"",INDEX('Analiza_Linii'!V650:V663,K72))</x:f>
      </x:c>
      <x:c r="N72" s="2" t="str">
        <x:f>IF(K72=0,"",INDEX('Analiza_Linii'!T650:T663,K72))</x:f>
      </x:c>
      <x:c r="O72" s="2" t="n">
        <x:f>IF(AND(C72="LIVE",K72&gt;0),1,0)</x:f>
        <x:v>0</x:v>
      </x:c>
      <x:c r="P72" s="2" t="str">
        <x:f>IF(O72&lt;&gt;1,"",COUNTIFS($O$26:$O$125,1,$L$26:$L$125,"&lt;"&amp;L72)+COUNTIFS($O$26:$O$125,1,$L$26:$L$125,L72,$H$26:$H$125,"&gt;"&amp;H72)+COUNTIFS($O$26:$O$125,1,$L$26:$L$125,L72,$H$26:$H$125,H72,$M$26:$M$125,"&gt;"&amp;M72)+COUNTIFS($O$26:O72,1,$L$26:L72,L72,$H$26:H72,H72,$M$26:M72,M72))</x:f>
      </x:c>
    </x:row>
    <x:row r="73" ht="32" customHeight="1">
      <x:c r="A73" s="2" t="str">
        <x:f>IF('Motor_Meciuri'!A53="","",'Motor_Meciuri'!A53)</x:f>
      </x:c>
      <x:c r="B73" s="13" t="str">
        <x:f>IF('Motor_Meciuri'!A53="","",'Motor_Meciuri'!D53)</x:f>
      </x:c>
      <x:c r="C73" s="2" t="str">
        <x:f>IF('Motor_Meciuri'!A53="","",'Motor_Meciuri'!E53)</x:f>
      </x:c>
      <x:c r="D73" s="2" t="str">
        <x:f>IF('Motor_Meciuri'!A53="","",'Motor_Meciuri'!H53)</x:f>
      </x:c>
      <x:c r="E73" s="2" t="str">
        <x:f>IF('Motor_Meciuri'!A53="","",'Motor_Meciuri'!I53)</x:f>
      </x:c>
      <x:c r="F73" s="2" t="str">
        <x:f>IF(K73=0,"",INDEX('Analiza_Linii'!F664:F677,K73))</x:f>
      </x:c>
      <x:c r="G73" s="2" t="str">
        <x:f>IF(A73="","",IF(D73&lt;&gt;"READY","NOT RELEASED",IF(K73=0,IF(E73="FAIL","NO BET","WATCH / NO BET"),INDEX('Analiza_Linii'!AA664:AA677,K73))))</x:f>
      </x:c>
      <x:c r="H73" s="16" t="str">
        <x:f>IF(K73=0,"",INDEX('Analiza_Linii'!AB664:AB677,K73))</x:f>
      </x:c>
      <x:c r="I73" s="13" t="str">
        <x:f>IF(A73="","",IF(E73&lt;&gt;"PASS",'Motor_Meciuri'!J53,IF(K73=0,"Nicio linie eligibila; vezi motivele din Analiza_Linii",INDEX('Analiza_Linii'!AH664:AH677,K73))))</x:f>
      </x:c>
      <x:c r="J73" s="2"/>
      <x:c r="K73" s="2" t="n">
        <x:f>IF(A73="",0,IFERROR(MATCH(1,'Analiza_Linii'!AC664:AC677,0),0))</x:f>
        <x:v>0</x:v>
      </x:c>
      <x:c r="L73" s="2" t="str">
        <x:f>IF(K73=0,"",INDEX('Analiza_Linii'!Z664:Z677,K73))</x:f>
      </x:c>
      <x:c r="M73" s="2" t="str">
        <x:f>IF(K73=0,"",INDEX('Analiza_Linii'!V664:V677,K73))</x:f>
      </x:c>
      <x:c r="N73" s="2" t="str">
        <x:f>IF(K73=0,"",INDEX('Analiza_Linii'!T664:T677,K73))</x:f>
      </x:c>
      <x:c r="O73" s="2" t="n">
        <x:f>IF(AND(C73="LIVE",K73&gt;0),1,0)</x:f>
        <x:v>0</x:v>
      </x:c>
      <x:c r="P73" s="2" t="str">
        <x:f>IF(O73&lt;&gt;1,"",COUNTIFS($O$26:$O$125,1,$L$26:$L$125,"&lt;"&amp;L73)+COUNTIFS($O$26:$O$125,1,$L$26:$L$125,L73,$H$26:$H$125,"&gt;"&amp;H73)+COUNTIFS($O$26:$O$125,1,$L$26:$L$125,L73,$H$26:$H$125,H73,$M$26:$M$125,"&gt;"&amp;M73)+COUNTIFS($O$26:O73,1,$L$26:L73,L73,$H$26:H73,H73,$M$26:M73,M73))</x:f>
      </x:c>
    </x:row>
    <x:row r="74" ht="32" customHeight="1">
      <x:c r="A74" s="2" t="str">
        <x:f>IF('Motor_Meciuri'!A54="","",'Motor_Meciuri'!A54)</x:f>
      </x:c>
      <x:c r="B74" s="13" t="str">
        <x:f>IF('Motor_Meciuri'!A54="","",'Motor_Meciuri'!D54)</x:f>
      </x:c>
      <x:c r="C74" s="2" t="str">
        <x:f>IF('Motor_Meciuri'!A54="","",'Motor_Meciuri'!E54)</x:f>
      </x:c>
      <x:c r="D74" s="2" t="str">
        <x:f>IF('Motor_Meciuri'!A54="","",'Motor_Meciuri'!H54)</x:f>
      </x:c>
      <x:c r="E74" s="2" t="str">
        <x:f>IF('Motor_Meciuri'!A54="","",'Motor_Meciuri'!I54)</x:f>
      </x:c>
      <x:c r="F74" s="2" t="str">
        <x:f>IF(K74=0,"",INDEX('Analiza_Linii'!F678:F691,K74))</x:f>
      </x:c>
      <x:c r="G74" s="2" t="str">
        <x:f>IF(A74="","",IF(D74&lt;&gt;"READY","NOT RELEASED",IF(K74=0,IF(E74="FAIL","NO BET","WATCH / NO BET"),INDEX('Analiza_Linii'!AA678:AA691,K74))))</x:f>
      </x:c>
      <x:c r="H74" s="16" t="str">
        <x:f>IF(K74=0,"",INDEX('Analiza_Linii'!AB678:AB691,K74))</x:f>
      </x:c>
      <x:c r="I74" s="13" t="str">
        <x:f>IF(A74="","",IF(E74&lt;&gt;"PASS",'Motor_Meciuri'!J54,IF(K74=0,"Nicio linie eligibila; vezi motivele din Analiza_Linii",INDEX('Analiza_Linii'!AH678:AH691,K74))))</x:f>
      </x:c>
      <x:c r="J74" s="2"/>
      <x:c r="K74" s="2" t="n">
        <x:f>IF(A74="",0,IFERROR(MATCH(1,'Analiza_Linii'!AC678:AC691,0),0))</x:f>
        <x:v>0</x:v>
      </x:c>
      <x:c r="L74" s="2" t="str">
        <x:f>IF(K74=0,"",INDEX('Analiza_Linii'!Z678:Z691,K74))</x:f>
      </x:c>
      <x:c r="M74" s="2" t="str">
        <x:f>IF(K74=0,"",INDEX('Analiza_Linii'!V678:V691,K74))</x:f>
      </x:c>
      <x:c r="N74" s="2" t="str">
        <x:f>IF(K74=0,"",INDEX('Analiza_Linii'!T678:T691,K74))</x:f>
      </x:c>
      <x:c r="O74" s="2" t="n">
        <x:f>IF(AND(C74="LIVE",K74&gt;0),1,0)</x:f>
        <x:v>0</x:v>
      </x:c>
      <x:c r="P74" s="2" t="str">
        <x:f>IF(O74&lt;&gt;1,"",COUNTIFS($O$26:$O$125,1,$L$26:$L$125,"&lt;"&amp;L74)+COUNTIFS($O$26:$O$125,1,$L$26:$L$125,L74,$H$26:$H$125,"&gt;"&amp;H74)+COUNTIFS($O$26:$O$125,1,$L$26:$L$125,L74,$H$26:$H$125,H74,$M$26:$M$125,"&gt;"&amp;M74)+COUNTIFS($O$26:O74,1,$L$26:L74,L74,$H$26:H74,H74,$M$26:M74,M74))</x:f>
      </x:c>
    </x:row>
    <x:row r="75" ht="32" customHeight="1">
      <x:c r="A75" s="2" t="str">
        <x:f>IF('Motor_Meciuri'!A55="","",'Motor_Meciuri'!A55)</x:f>
      </x:c>
      <x:c r="B75" s="13" t="str">
        <x:f>IF('Motor_Meciuri'!A55="","",'Motor_Meciuri'!D55)</x:f>
      </x:c>
      <x:c r="C75" s="2" t="str">
        <x:f>IF('Motor_Meciuri'!A55="","",'Motor_Meciuri'!E55)</x:f>
      </x:c>
      <x:c r="D75" s="2" t="str">
        <x:f>IF('Motor_Meciuri'!A55="","",'Motor_Meciuri'!H55)</x:f>
      </x:c>
      <x:c r="E75" s="2" t="str">
        <x:f>IF('Motor_Meciuri'!A55="","",'Motor_Meciuri'!I55)</x:f>
      </x:c>
      <x:c r="F75" s="2" t="str">
        <x:f>IF(K75=0,"",INDEX('Analiza_Linii'!F692:F705,K75))</x:f>
      </x:c>
      <x:c r="G75" s="2" t="str">
        <x:f>IF(A75="","",IF(D75&lt;&gt;"READY","NOT RELEASED",IF(K75=0,IF(E75="FAIL","NO BET","WATCH / NO BET"),INDEX('Analiza_Linii'!AA692:AA705,K75))))</x:f>
      </x:c>
      <x:c r="H75" s="16" t="str">
        <x:f>IF(K75=0,"",INDEX('Analiza_Linii'!AB692:AB705,K75))</x:f>
      </x:c>
      <x:c r="I75" s="13" t="str">
        <x:f>IF(A75="","",IF(E75&lt;&gt;"PASS",'Motor_Meciuri'!J55,IF(K75=0,"Nicio linie eligibila; vezi motivele din Analiza_Linii",INDEX('Analiza_Linii'!AH692:AH705,K75))))</x:f>
      </x:c>
      <x:c r="J75" s="2"/>
      <x:c r="K75" s="2" t="n">
        <x:f>IF(A75="",0,IFERROR(MATCH(1,'Analiza_Linii'!AC692:AC705,0),0))</x:f>
        <x:v>0</x:v>
      </x:c>
      <x:c r="L75" s="2" t="str">
        <x:f>IF(K75=0,"",INDEX('Analiza_Linii'!Z692:Z705,K75))</x:f>
      </x:c>
      <x:c r="M75" s="2" t="str">
        <x:f>IF(K75=0,"",INDEX('Analiza_Linii'!V692:V705,K75))</x:f>
      </x:c>
      <x:c r="N75" s="2" t="str">
        <x:f>IF(K75=0,"",INDEX('Analiza_Linii'!T692:T705,K75))</x:f>
      </x:c>
      <x:c r="O75" s="2" t="n">
        <x:f>IF(AND(C75="LIVE",K75&gt;0),1,0)</x:f>
        <x:v>0</x:v>
      </x:c>
      <x:c r="P75" s="2" t="str">
        <x:f>IF(O75&lt;&gt;1,"",COUNTIFS($O$26:$O$125,1,$L$26:$L$125,"&lt;"&amp;L75)+COUNTIFS($O$26:$O$125,1,$L$26:$L$125,L75,$H$26:$H$125,"&gt;"&amp;H75)+COUNTIFS($O$26:$O$125,1,$L$26:$L$125,L75,$H$26:$H$125,H75,$M$26:$M$125,"&gt;"&amp;M75)+COUNTIFS($O$26:O75,1,$L$26:L75,L75,$H$26:H75,H75,$M$26:M75,M75))</x:f>
      </x:c>
    </x:row>
    <x:row r="76" ht="32" customHeight="1">
      <x:c r="A76" s="2" t="str">
        <x:f>IF('Motor_Meciuri'!A56="","",'Motor_Meciuri'!A56)</x:f>
      </x:c>
      <x:c r="B76" s="13" t="str">
        <x:f>IF('Motor_Meciuri'!A56="","",'Motor_Meciuri'!D56)</x:f>
      </x:c>
      <x:c r="C76" s="2" t="str">
        <x:f>IF('Motor_Meciuri'!A56="","",'Motor_Meciuri'!E56)</x:f>
      </x:c>
      <x:c r="D76" s="2" t="str">
        <x:f>IF('Motor_Meciuri'!A56="","",'Motor_Meciuri'!H56)</x:f>
      </x:c>
      <x:c r="E76" s="2" t="str">
        <x:f>IF('Motor_Meciuri'!A56="","",'Motor_Meciuri'!I56)</x:f>
      </x:c>
      <x:c r="F76" s="2" t="str">
        <x:f>IF(K76=0,"",INDEX('Analiza_Linii'!F706:F719,K76))</x:f>
      </x:c>
      <x:c r="G76" s="2" t="str">
        <x:f>IF(A76="","",IF(D76&lt;&gt;"READY","NOT RELEASED",IF(K76=0,IF(E76="FAIL","NO BET","WATCH / NO BET"),INDEX('Analiza_Linii'!AA706:AA719,K76))))</x:f>
      </x:c>
      <x:c r="H76" s="16" t="str">
        <x:f>IF(K76=0,"",INDEX('Analiza_Linii'!AB706:AB719,K76))</x:f>
      </x:c>
      <x:c r="I76" s="13" t="str">
        <x:f>IF(A76="","",IF(E76&lt;&gt;"PASS",'Motor_Meciuri'!J56,IF(K76=0,"Nicio linie eligibila; vezi motivele din Analiza_Linii",INDEX('Analiza_Linii'!AH706:AH719,K76))))</x:f>
      </x:c>
      <x:c r="J76" s="2"/>
      <x:c r="K76" s="2" t="n">
        <x:f>IF(A76="",0,IFERROR(MATCH(1,'Analiza_Linii'!AC706:AC719,0),0))</x:f>
        <x:v>0</x:v>
      </x:c>
      <x:c r="L76" s="2" t="str">
        <x:f>IF(K76=0,"",INDEX('Analiza_Linii'!Z706:Z719,K76))</x:f>
      </x:c>
      <x:c r="M76" s="2" t="str">
        <x:f>IF(K76=0,"",INDEX('Analiza_Linii'!V706:V719,K76))</x:f>
      </x:c>
      <x:c r="N76" s="2" t="str">
        <x:f>IF(K76=0,"",INDEX('Analiza_Linii'!T706:T719,K76))</x:f>
      </x:c>
      <x:c r="O76" s="2" t="n">
        <x:f>IF(AND(C76="LIVE",K76&gt;0),1,0)</x:f>
        <x:v>0</x:v>
      </x:c>
      <x:c r="P76" s="2" t="str">
        <x:f>IF(O76&lt;&gt;1,"",COUNTIFS($O$26:$O$125,1,$L$26:$L$125,"&lt;"&amp;L76)+COUNTIFS($O$26:$O$125,1,$L$26:$L$125,L76,$H$26:$H$125,"&gt;"&amp;H76)+COUNTIFS($O$26:$O$125,1,$L$26:$L$125,L76,$H$26:$H$125,H76,$M$26:$M$125,"&gt;"&amp;M76)+COUNTIFS($O$26:O76,1,$L$26:L76,L76,$H$26:H76,H76,$M$26:M76,M76))</x:f>
      </x:c>
    </x:row>
    <x:row r="77" ht="32" customHeight="1">
      <x:c r="A77" s="2" t="str">
        <x:f>IF('Motor_Meciuri'!A57="","",'Motor_Meciuri'!A57)</x:f>
      </x:c>
      <x:c r="B77" s="13" t="str">
        <x:f>IF('Motor_Meciuri'!A57="","",'Motor_Meciuri'!D57)</x:f>
      </x:c>
      <x:c r="C77" s="2" t="str">
        <x:f>IF('Motor_Meciuri'!A57="","",'Motor_Meciuri'!E57)</x:f>
      </x:c>
      <x:c r="D77" s="2" t="str">
        <x:f>IF('Motor_Meciuri'!A57="","",'Motor_Meciuri'!H57)</x:f>
      </x:c>
      <x:c r="E77" s="2" t="str">
        <x:f>IF('Motor_Meciuri'!A57="","",'Motor_Meciuri'!I57)</x:f>
      </x:c>
      <x:c r="F77" s="2" t="str">
        <x:f>IF(K77=0,"",INDEX('Analiza_Linii'!F720:F733,K77))</x:f>
      </x:c>
      <x:c r="G77" s="2" t="str">
        <x:f>IF(A77="","",IF(D77&lt;&gt;"READY","NOT RELEASED",IF(K77=0,IF(E77="FAIL","NO BET","WATCH / NO BET"),INDEX('Analiza_Linii'!AA720:AA733,K77))))</x:f>
      </x:c>
      <x:c r="H77" s="16" t="str">
        <x:f>IF(K77=0,"",INDEX('Analiza_Linii'!AB720:AB733,K77))</x:f>
      </x:c>
      <x:c r="I77" s="13" t="str">
        <x:f>IF(A77="","",IF(E77&lt;&gt;"PASS",'Motor_Meciuri'!J57,IF(K77=0,"Nicio linie eligibila; vezi motivele din Analiza_Linii",INDEX('Analiza_Linii'!AH720:AH733,K77))))</x:f>
      </x:c>
      <x:c r="J77" s="2"/>
      <x:c r="K77" s="2" t="n">
        <x:f>IF(A77="",0,IFERROR(MATCH(1,'Analiza_Linii'!AC720:AC733,0),0))</x:f>
        <x:v>0</x:v>
      </x:c>
      <x:c r="L77" s="2" t="str">
        <x:f>IF(K77=0,"",INDEX('Analiza_Linii'!Z720:Z733,K77))</x:f>
      </x:c>
      <x:c r="M77" s="2" t="str">
        <x:f>IF(K77=0,"",INDEX('Analiza_Linii'!V720:V733,K77))</x:f>
      </x:c>
      <x:c r="N77" s="2" t="str">
        <x:f>IF(K77=0,"",INDEX('Analiza_Linii'!T720:T733,K77))</x:f>
      </x:c>
      <x:c r="O77" s="2" t="n">
        <x:f>IF(AND(C77="LIVE",K77&gt;0),1,0)</x:f>
        <x:v>0</x:v>
      </x:c>
      <x:c r="P77" s="2" t="str">
        <x:f>IF(O77&lt;&gt;1,"",COUNTIFS($O$26:$O$125,1,$L$26:$L$125,"&lt;"&amp;L77)+COUNTIFS($O$26:$O$125,1,$L$26:$L$125,L77,$H$26:$H$125,"&gt;"&amp;H77)+COUNTIFS($O$26:$O$125,1,$L$26:$L$125,L77,$H$26:$H$125,H77,$M$26:$M$125,"&gt;"&amp;M77)+COUNTIFS($O$26:O77,1,$L$26:L77,L77,$H$26:H77,H77,$M$26:M77,M77))</x:f>
      </x:c>
    </x:row>
    <x:row r="78" ht="32" customHeight="1">
      <x:c r="A78" s="2" t="str">
        <x:f>IF('Motor_Meciuri'!A58="","",'Motor_Meciuri'!A58)</x:f>
      </x:c>
      <x:c r="B78" s="13" t="str">
        <x:f>IF('Motor_Meciuri'!A58="","",'Motor_Meciuri'!D58)</x:f>
      </x:c>
      <x:c r="C78" s="2" t="str">
        <x:f>IF('Motor_Meciuri'!A58="","",'Motor_Meciuri'!E58)</x:f>
      </x:c>
      <x:c r="D78" s="2" t="str">
        <x:f>IF('Motor_Meciuri'!A58="","",'Motor_Meciuri'!H58)</x:f>
      </x:c>
      <x:c r="E78" s="2" t="str">
        <x:f>IF('Motor_Meciuri'!A58="","",'Motor_Meciuri'!I58)</x:f>
      </x:c>
      <x:c r="F78" s="2" t="str">
        <x:f>IF(K78=0,"",INDEX('Analiza_Linii'!F734:F747,K78))</x:f>
      </x:c>
      <x:c r="G78" s="2" t="str">
        <x:f>IF(A78="","",IF(D78&lt;&gt;"READY","NOT RELEASED",IF(K78=0,IF(E78="FAIL","NO BET","WATCH / NO BET"),INDEX('Analiza_Linii'!AA734:AA747,K78))))</x:f>
      </x:c>
      <x:c r="H78" s="16" t="str">
        <x:f>IF(K78=0,"",INDEX('Analiza_Linii'!AB734:AB747,K78))</x:f>
      </x:c>
      <x:c r="I78" s="13" t="str">
        <x:f>IF(A78="","",IF(E78&lt;&gt;"PASS",'Motor_Meciuri'!J58,IF(K78=0,"Nicio linie eligibila; vezi motivele din Analiza_Linii",INDEX('Analiza_Linii'!AH734:AH747,K78))))</x:f>
      </x:c>
      <x:c r="J78" s="2"/>
      <x:c r="K78" s="2" t="n">
        <x:f>IF(A78="",0,IFERROR(MATCH(1,'Analiza_Linii'!AC734:AC747,0),0))</x:f>
        <x:v>0</x:v>
      </x:c>
      <x:c r="L78" s="2" t="str">
        <x:f>IF(K78=0,"",INDEX('Analiza_Linii'!Z734:Z747,K78))</x:f>
      </x:c>
      <x:c r="M78" s="2" t="str">
        <x:f>IF(K78=0,"",INDEX('Analiza_Linii'!V734:V747,K78))</x:f>
      </x:c>
      <x:c r="N78" s="2" t="str">
        <x:f>IF(K78=0,"",INDEX('Analiza_Linii'!T734:T747,K78))</x:f>
      </x:c>
      <x:c r="O78" s="2" t="n">
        <x:f>IF(AND(C78="LIVE",K78&gt;0),1,0)</x:f>
        <x:v>0</x:v>
      </x:c>
      <x:c r="P78" s="2" t="str">
        <x:f>IF(O78&lt;&gt;1,"",COUNTIFS($O$26:$O$125,1,$L$26:$L$125,"&lt;"&amp;L78)+COUNTIFS($O$26:$O$125,1,$L$26:$L$125,L78,$H$26:$H$125,"&gt;"&amp;H78)+COUNTIFS($O$26:$O$125,1,$L$26:$L$125,L78,$H$26:$H$125,H78,$M$26:$M$125,"&gt;"&amp;M78)+COUNTIFS($O$26:O78,1,$L$26:L78,L78,$H$26:H78,H78,$M$26:M78,M78))</x:f>
      </x:c>
    </x:row>
    <x:row r="79" ht="32" customHeight="1">
      <x:c r="A79" s="2" t="str">
        <x:f>IF('Motor_Meciuri'!A59="","",'Motor_Meciuri'!A59)</x:f>
      </x:c>
      <x:c r="B79" s="13" t="str">
        <x:f>IF('Motor_Meciuri'!A59="","",'Motor_Meciuri'!D59)</x:f>
      </x:c>
      <x:c r="C79" s="2" t="str">
        <x:f>IF('Motor_Meciuri'!A59="","",'Motor_Meciuri'!E59)</x:f>
      </x:c>
      <x:c r="D79" s="2" t="str">
        <x:f>IF('Motor_Meciuri'!A59="","",'Motor_Meciuri'!H59)</x:f>
      </x:c>
      <x:c r="E79" s="2" t="str">
        <x:f>IF('Motor_Meciuri'!A59="","",'Motor_Meciuri'!I59)</x:f>
      </x:c>
      <x:c r="F79" s="2" t="str">
        <x:f>IF(K79=0,"",INDEX('Analiza_Linii'!F748:F761,K79))</x:f>
      </x:c>
      <x:c r="G79" s="2" t="str">
        <x:f>IF(A79="","",IF(D79&lt;&gt;"READY","NOT RELEASED",IF(K79=0,IF(E79="FAIL","NO BET","WATCH / NO BET"),INDEX('Analiza_Linii'!AA748:AA761,K79))))</x:f>
      </x:c>
      <x:c r="H79" s="16" t="str">
        <x:f>IF(K79=0,"",INDEX('Analiza_Linii'!AB748:AB761,K79))</x:f>
      </x:c>
      <x:c r="I79" s="13" t="str">
        <x:f>IF(A79="","",IF(E79&lt;&gt;"PASS",'Motor_Meciuri'!J59,IF(K79=0,"Nicio linie eligibila; vezi motivele din Analiza_Linii",INDEX('Analiza_Linii'!AH748:AH761,K79))))</x:f>
      </x:c>
      <x:c r="J79" s="2"/>
      <x:c r="K79" s="2" t="n">
        <x:f>IF(A79="",0,IFERROR(MATCH(1,'Analiza_Linii'!AC748:AC761,0),0))</x:f>
        <x:v>0</x:v>
      </x:c>
      <x:c r="L79" s="2" t="str">
        <x:f>IF(K79=0,"",INDEX('Analiza_Linii'!Z748:Z761,K79))</x:f>
      </x:c>
      <x:c r="M79" s="2" t="str">
        <x:f>IF(K79=0,"",INDEX('Analiza_Linii'!V748:V761,K79))</x:f>
      </x:c>
      <x:c r="N79" s="2" t="str">
        <x:f>IF(K79=0,"",INDEX('Analiza_Linii'!T748:T761,K79))</x:f>
      </x:c>
      <x:c r="O79" s="2" t="n">
        <x:f>IF(AND(C79="LIVE",K79&gt;0),1,0)</x:f>
        <x:v>0</x:v>
      </x:c>
      <x:c r="P79" s="2" t="str">
        <x:f>IF(O79&lt;&gt;1,"",COUNTIFS($O$26:$O$125,1,$L$26:$L$125,"&lt;"&amp;L79)+COUNTIFS($O$26:$O$125,1,$L$26:$L$125,L79,$H$26:$H$125,"&gt;"&amp;H79)+COUNTIFS($O$26:$O$125,1,$L$26:$L$125,L79,$H$26:$H$125,H79,$M$26:$M$125,"&gt;"&amp;M79)+COUNTIFS($O$26:O79,1,$L$26:L79,L79,$H$26:H79,H79,$M$26:M79,M79))</x:f>
      </x:c>
    </x:row>
    <x:row r="80" ht="32" customHeight="1">
      <x:c r="A80" s="2" t="str">
        <x:f>IF('Motor_Meciuri'!A60="","",'Motor_Meciuri'!A60)</x:f>
      </x:c>
      <x:c r="B80" s="13" t="str">
        <x:f>IF('Motor_Meciuri'!A60="","",'Motor_Meciuri'!D60)</x:f>
      </x:c>
      <x:c r="C80" s="2" t="str">
        <x:f>IF('Motor_Meciuri'!A60="","",'Motor_Meciuri'!E60)</x:f>
      </x:c>
      <x:c r="D80" s="2" t="str">
        <x:f>IF('Motor_Meciuri'!A60="","",'Motor_Meciuri'!H60)</x:f>
      </x:c>
      <x:c r="E80" s="2" t="str">
        <x:f>IF('Motor_Meciuri'!A60="","",'Motor_Meciuri'!I60)</x:f>
      </x:c>
      <x:c r="F80" s="2" t="str">
        <x:f>IF(K80=0,"",INDEX('Analiza_Linii'!F762:F775,K80))</x:f>
      </x:c>
      <x:c r="G80" s="2" t="str">
        <x:f>IF(A80="","",IF(D80&lt;&gt;"READY","NOT RELEASED",IF(K80=0,IF(E80="FAIL","NO BET","WATCH / NO BET"),INDEX('Analiza_Linii'!AA762:AA775,K80))))</x:f>
      </x:c>
      <x:c r="H80" s="16" t="str">
        <x:f>IF(K80=0,"",INDEX('Analiza_Linii'!AB762:AB775,K80))</x:f>
      </x:c>
      <x:c r="I80" s="13" t="str">
        <x:f>IF(A80="","",IF(E80&lt;&gt;"PASS",'Motor_Meciuri'!J60,IF(K80=0,"Nicio linie eligibila; vezi motivele din Analiza_Linii",INDEX('Analiza_Linii'!AH762:AH775,K80))))</x:f>
      </x:c>
      <x:c r="J80" s="2"/>
      <x:c r="K80" s="2" t="n">
        <x:f>IF(A80="",0,IFERROR(MATCH(1,'Analiza_Linii'!AC762:AC775,0),0))</x:f>
        <x:v>0</x:v>
      </x:c>
      <x:c r="L80" s="2" t="str">
        <x:f>IF(K80=0,"",INDEX('Analiza_Linii'!Z762:Z775,K80))</x:f>
      </x:c>
      <x:c r="M80" s="2" t="str">
        <x:f>IF(K80=0,"",INDEX('Analiza_Linii'!V762:V775,K80))</x:f>
      </x:c>
      <x:c r="N80" s="2" t="str">
        <x:f>IF(K80=0,"",INDEX('Analiza_Linii'!T762:T775,K80))</x:f>
      </x:c>
      <x:c r="O80" s="2" t="n">
        <x:f>IF(AND(C80="LIVE",K80&gt;0),1,0)</x:f>
        <x:v>0</x:v>
      </x:c>
      <x:c r="P80" s="2" t="str">
        <x:f>IF(O80&lt;&gt;1,"",COUNTIFS($O$26:$O$125,1,$L$26:$L$125,"&lt;"&amp;L80)+COUNTIFS($O$26:$O$125,1,$L$26:$L$125,L80,$H$26:$H$125,"&gt;"&amp;H80)+COUNTIFS($O$26:$O$125,1,$L$26:$L$125,L80,$H$26:$H$125,H80,$M$26:$M$125,"&gt;"&amp;M80)+COUNTIFS($O$26:O80,1,$L$26:L80,L80,$H$26:H80,H80,$M$26:M80,M80))</x:f>
      </x:c>
    </x:row>
    <x:row r="81" ht="32" customHeight="1">
      <x:c r="A81" s="2" t="str">
        <x:f>IF('Motor_Meciuri'!A61="","",'Motor_Meciuri'!A61)</x:f>
      </x:c>
      <x:c r="B81" s="13" t="str">
        <x:f>IF('Motor_Meciuri'!A61="","",'Motor_Meciuri'!D61)</x:f>
      </x:c>
      <x:c r="C81" s="2" t="str">
        <x:f>IF('Motor_Meciuri'!A61="","",'Motor_Meciuri'!E61)</x:f>
      </x:c>
      <x:c r="D81" s="2" t="str">
        <x:f>IF('Motor_Meciuri'!A61="","",'Motor_Meciuri'!H61)</x:f>
      </x:c>
      <x:c r="E81" s="2" t="str">
        <x:f>IF('Motor_Meciuri'!A61="","",'Motor_Meciuri'!I61)</x:f>
      </x:c>
      <x:c r="F81" s="2" t="str">
        <x:f>IF(K81=0,"",INDEX('Analiza_Linii'!F776:F789,K81))</x:f>
      </x:c>
      <x:c r="G81" s="2" t="str">
        <x:f>IF(A81="","",IF(D81&lt;&gt;"READY","NOT RELEASED",IF(K81=0,IF(E81="FAIL","NO BET","WATCH / NO BET"),INDEX('Analiza_Linii'!AA776:AA789,K81))))</x:f>
      </x:c>
      <x:c r="H81" s="16" t="str">
        <x:f>IF(K81=0,"",INDEX('Analiza_Linii'!AB776:AB789,K81))</x:f>
      </x:c>
      <x:c r="I81" s="13" t="str">
        <x:f>IF(A81="","",IF(E81&lt;&gt;"PASS",'Motor_Meciuri'!J61,IF(K81=0,"Nicio linie eligibila; vezi motivele din Analiza_Linii",INDEX('Analiza_Linii'!AH776:AH789,K81))))</x:f>
      </x:c>
      <x:c r="J81" s="2"/>
      <x:c r="K81" s="2" t="n">
        <x:f>IF(A81="",0,IFERROR(MATCH(1,'Analiza_Linii'!AC776:AC789,0),0))</x:f>
        <x:v>0</x:v>
      </x:c>
      <x:c r="L81" s="2" t="str">
        <x:f>IF(K81=0,"",INDEX('Analiza_Linii'!Z776:Z789,K81))</x:f>
      </x:c>
      <x:c r="M81" s="2" t="str">
        <x:f>IF(K81=0,"",INDEX('Analiza_Linii'!V776:V789,K81))</x:f>
      </x:c>
      <x:c r="N81" s="2" t="str">
        <x:f>IF(K81=0,"",INDEX('Analiza_Linii'!T776:T789,K81))</x:f>
      </x:c>
      <x:c r="O81" s="2" t="n">
        <x:f>IF(AND(C81="LIVE",K81&gt;0),1,0)</x:f>
        <x:v>0</x:v>
      </x:c>
      <x:c r="P81" s="2" t="str">
        <x:f>IF(O81&lt;&gt;1,"",COUNTIFS($O$26:$O$125,1,$L$26:$L$125,"&lt;"&amp;L81)+COUNTIFS($O$26:$O$125,1,$L$26:$L$125,L81,$H$26:$H$125,"&gt;"&amp;H81)+COUNTIFS($O$26:$O$125,1,$L$26:$L$125,L81,$H$26:$H$125,H81,$M$26:$M$125,"&gt;"&amp;M81)+COUNTIFS($O$26:O81,1,$L$26:L81,L81,$H$26:H81,H81,$M$26:M81,M81))</x:f>
      </x:c>
    </x:row>
    <x:row r="82" ht="32" customHeight="1">
      <x:c r="A82" s="2" t="str">
        <x:f>IF('Motor_Meciuri'!A62="","",'Motor_Meciuri'!A62)</x:f>
      </x:c>
      <x:c r="B82" s="13" t="str">
        <x:f>IF('Motor_Meciuri'!A62="","",'Motor_Meciuri'!D62)</x:f>
      </x:c>
      <x:c r="C82" s="2" t="str">
        <x:f>IF('Motor_Meciuri'!A62="","",'Motor_Meciuri'!E62)</x:f>
      </x:c>
      <x:c r="D82" s="2" t="str">
        <x:f>IF('Motor_Meciuri'!A62="","",'Motor_Meciuri'!H62)</x:f>
      </x:c>
      <x:c r="E82" s="2" t="str">
        <x:f>IF('Motor_Meciuri'!A62="","",'Motor_Meciuri'!I62)</x:f>
      </x:c>
      <x:c r="F82" s="2" t="str">
        <x:f>IF(K82=0,"",INDEX('Analiza_Linii'!F790:F803,K82))</x:f>
      </x:c>
      <x:c r="G82" s="2" t="str">
        <x:f>IF(A82="","",IF(D82&lt;&gt;"READY","NOT RELEASED",IF(K82=0,IF(E82="FAIL","NO BET","WATCH / NO BET"),INDEX('Analiza_Linii'!AA790:AA803,K82))))</x:f>
      </x:c>
      <x:c r="H82" s="16" t="str">
        <x:f>IF(K82=0,"",INDEX('Analiza_Linii'!AB790:AB803,K82))</x:f>
      </x:c>
      <x:c r="I82" s="13" t="str">
        <x:f>IF(A82="","",IF(E82&lt;&gt;"PASS",'Motor_Meciuri'!J62,IF(K82=0,"Nicio linie eligibila; vezi motivele din Analiza_Linii",INDEX('Analiza_Linii'!AH790:AH803,K82))))</x:f>
      </x:c>
      <x:c r="J82" s="2"/>
      <x:c r="K82" s="2" t="n">
        <x:f>IF(A82="",0,IFERROR(MATCH(1,'Analiza_Linii'!AC790:AC803,0),0))</x:f>
        <x:v>0</x:v>
      </x:c>
      <x:c r="L82" s="2" t="str">
        <x:f>IF(K82=0,"",INDEX('Analiza_Linii'!Z790:Z803,K82))</x:f>
      </x:c>
      <x:c r="M82" s="2" t="str">
        <x:f>IF(K82=0,"",INDEX('Analiza_Linii'!V790:V803,K82))</x:f>
      </x:c>
      <x:c r="N82" s="2" t="str">
        <x:f>IF(K82=0,"",INDEX('Analiza_Linii'!T790:T803,K82))</x:f>
      </x:c>
      <x:c r="O82" s="2" t="n">
        <x:f>IF(AND(C82="LIVE",K82&gt;0),1,0)</x:f>
        <x:v>0</x:v>
      </x:c>
      <x:c r="P82" s="2" t="str">
        <x:f>IF(O82&lt;&gt;1,"",COUNTIFS($O$26:$O$125,1,$L$26:$L$125,"&lt;"&amp;L82)+COUNTIFS($O$26:$O$125,1,$L$26:$L$125,L82,$H$26:$H$125,"&gt;"&amp;H82)+COUNTIFS($O$26:$O$125,1,$L$26:$L$125,L82,$H$26:$H$125,H82,$M$26:$M$125,"&gt;"&amp;M82)+COUNTIFS($O$26:O82,1,$L$26:L82,L82,$H$26:H82,H82,$M$26:M82,M82))</x:f>
      </x:c>
    </x:row>
    <x:row r="83" ht="32" customHeight="1">
      <x:c r="A83" s="2" t="str">
        <x:f>IF('Motor_Meciuri'!A63="","",'Motor_Meciuri'!A63)</x:f>
      </x:c>
      <x:c r="B83" s="13" t="str">
        <x:f>IF('Motor_Meciuri'!A63="","",'Motor_Meciuri'!D63)</x:f>
      </x:c>
      <x:c r="C83" s="2" t="str">
        <x:f>IF('Motor_Meciuri'!A63="","",'Motor_Meciuri'!E63)</x:f>
      </x:c>
      <x:c r="D83" s="2" t="str">
        <x:f>IF('Motor_Meciuri'!A63="","",'Motor_Meciuri'!H63)</x:f>
      </x:c>
      <x:c r="E83" s="2" t="str">
        <x:f>IF('Motor_Meciuri'!A63="","",'Motor_Meciuri'!I63)</x:f>
      </x:c>
      <x:c r="F83" s="2" t="str">
        <x:f>IF(K83=0,"",INDEX('Analiza_Linii'!F804:F817,K83))</x:f>
      </x:c>
      <x:c r="G83" s="2" t="str">
        <x:f>IF(A83="","",IF(D83&lt;&gt;"READY","NOT RELEASED",IF(K83=0,IF(E83="FAIL","NO BET","WATCH / NO BET"),INDEX('Analiza_Linii'!AA804:AA817,K83))))</x:f>
      </x:c>
      <x:c r="H83" s="16" t="str">
        <x:f>IF(K83=0,"",INDEX('Analiza_Linii'!AB804:AB817,K83))</x:f>
      </x:c>
      <x:c r="I83" s="13" t="str">
        <x:f>IF(A83="","",IF(E83&lt;&gt;"PASS",'Motor_Meciuri'!J63,IF(K83=0,"Nicio linie eligibila; vezi motivele din Analiza_Linii",INDEX('Analiza_Linii'!AH804:AH817,K83))))</x:f>
      </x:c>
      <x:c r="J83" s="2"/>
      <x:c r="K83" s="2" t="n">
        <x:f>IF(A83="",0,IFERROR(MATCH(1,'Analiza_Linii'!AC804:AC817,0),0))</x:f>
        <x:v>0</x:v>
      </x:c>
      <x:c r="L83" s="2" t="str">
        <x:f>IF(K83=0,"",INDEX('Analiza_Linii'!Z804:Z817,K83))</x:f>
      </x:c>
      <x:c r="M83" s="2" t="str">
        <x:f>IF(K83=0,"",INDEX('Analiza_Linii'!V804:V817,K83))</x:f>
      </x:c>
      <x:c r="N83" s="2" t="str">
        <x:f>IF(K83=0,"",INDEX('Analiza_Linii'!T804:T817,K83))</x:f>
      </x:c>
      <x:c r="O83" s="2" t="n">
        <x:f>IF(AND(C83="LIVE",K83&gt;0),1,0)</x:f>
        <x:v>0</x:v>
      </x:c>
      <x:c r="P83" s="2" t="str">
        <x:f>IF(O83&lt;&gt;1,"",COUNTIFS($O$26:$O$125,1,$L$26:$L$125,"&lt;"&amp;L83)+COUNTIFS($O$26:$O$125,1,$L$26:$L$125,L83,$H$26:$H$125,"&gt;"&amp;H83)+COUNTIFS($O$26:$O$125,1,$L$26:$L$125,L83,$H$26:$H$125,H83,$M$26:$M$125,"&gt;"&amp;M83)+COUNTIFS($O$26:O83,1,$L$26:L83,L83,$H$26:H83,H83,$M$26:M83,M83))</x:f>
      </x:c>
    </x:row>
    <x:row r="84" ht="32" customHeight="1">
      <x:c r="A84" s="2" t="str">
        <x:f>IF('Motor_Meciuri'!A64="","",'Motor_Meciuri'!A64)</x:f>
      </x:c>
      <x:c r="B84" s="13" t="str">
        <x:f>IF('Motor_Meciuri'!A64="","",'Motor_Meciuri'!D64)</x:f>
      </x:c>
      <x:c r="C84" s="2" t="str">
        <x:f>IF('Motor_Meciuri'!A64="","",'Motor_Meciuri'!E64)</x:f>
      </x:c>
      <x:c r="D84" s="2" t="str">
        <x:f>IF('Motor_Meciuri'!A64="","",'Motor_Meciuri'!H64)</x:f>
      </x:c>
      <x:c r="E84" s="2" t="str">
        <x:f>IF('Motor_Meciuri'!A64="","",'Motor_Meciuri'!I64)</x:f>
      </x:c>
      <x:c r="F84" s="2" t="str">
        <x:f>IF(K84=0,"",INDEX('Analiza_Linii'!F818:F831,K84))</x:f>
      </x:c>
      <x:c r="G84" s="2" t="str">
        <x:f>IF(A84="","",IF(D84&lt;&gt;"READY","NOT RELEASED",IF(K84=0,IF(E84="FAIL","NO BET","WATCH / NO BET"),INDEX('Analiza_Linii'!AA818:AA831,K84))))</x:f>
      </x:c>
      <x:c r="H84" s="16" t="str">
        <x:f>IF(K84=0,"",INDEX('Analiza_Linii'!AB818:AB831,K84))</x:f>
      </x:c>
      <x:c r="I84" s="13" t="str">
        <x:f>IF(A84="","",IF(E84&lt;&gt;"PASS",'Motor_Meciuri'!J64,IF(K84=0,"Nicio linie eligibila; vezi motivele din Analiza_Linii",INDEX('Analiza_Linii'!AH818:AH831,K84))))</x:f>
      </x:c>
      <x:c r="J84" s="2"/>
      <x:c r="K84" s="2" t="n">
        <x:f>IF(A84="",0,IFERROR(MATCH(1,'Analiza_Linii'!AC818:AC831,0),0))</x:f>
        <x:v>0</x:v>
      </x:c>
      <x:c r="L84" s="2" t="str">
        <x:f>IF(K84=0,"",INDEX('Analiza_Linii'!Z818:Z831,K84))</x:f>
      </x:c>
      <x:c r="M84" s="2" t="str">
        <x:f>IF(K84=0,"",INDEX('Analiza_Linii'!V818:V831,K84))</x:f>
      </x:c>
      <x:c r="N84" s="2" t="str">
        <x:f>IF(K84=0,"",INDEX('Analiza_Linii'!T818:T831,K84))</x:f>
      </x:c>
      <x:c r="O84" s="2" t="n">
        <x:f>IF(AND(C84="LIVE",K84&gt;0),1,0)</x:f>
        <x:v>0</x:v>
      </x:c>
      <x:c r="P84" s="2" t="str">
        <x:f>IF(O84&lt;&gt;1,"",COUNTIFS($O$26:$O$125,1,$L$26:$L$125,"&lt;"&amp;L84)+COUNTIFS($O$26:$O$125,1,$L$26:$L$125,L84,$H$26:$H$125,"&gt;"&amp;H84)+COUNTIFS($O$26:$O$125,1,$L$26:$L$125,L84,$H$26:$H$125,H84,$M$26:$M$125,"&gt;"&amp;M84)+COUNTIFS($O$26:O84,1,$L$26:L84,L84,$H$26:H84,H84,$M$26:M84,M84))</x:f>
      </x:c>
    </x:row>
    <x:row r="85" ht="32" customHeight="1">
      <x:c r="A85" s="2" t="str">
        <x:f>IF('Motor_Meciuri'!A65="","",'Motor_Meciuri'!A65)</x:f>
      </x:c>
      <x:c r="B85" s="13" t="str">
        <x:f>IF('Motor_Meciuri'!A65="","",'Motor_Meciuri'!D65)</x:f>
      </x:c>
      <x:c r="C85" s="2" t="str">
        <x:f>IF('Motor_Meciuri'!A65="","",'Motor_Meciuri'!E65)</x:f>
      </x:c>
      <x:c r="D85" s="2" t="str">
        <x:f>IF('Motor_Meciuri'!A65="","",'Motor_Meciuri'!H65)</x:f>
      </x:c>
      <x:c r="E85" s="2" t="str">
        <x:f>IF('Motor_Meciuri'!A65="","",'Motor_Meciuri'!I65)</x:f>
      </x:c>
      <x:c r="F85" s="2" t="str">
        <x:f>IF(K85=0,"",INDEX('Analiza_Linii'!F832:F845,K85))</x:f>
      </x:c>
      <x:c r="G85" s="2" t="str">
        <x:f>IF(A85="","",IF(D85&lt;&gt;"READY","NOT RELEASED",IF(K85=0,IF(E85="FAIL","NO BET","WATCH / NO BET"),INDEX('Analiza_Linii'!AA832:AA845,K85))))</x:f>
      </x:c>
      <x:c r="H85" s="16" t="str">
        <x:f>IF(K85=0,"",INDEX('Analiza_Linii'!AB832:AB845,K85))</x:f>
      </x:c>
      <x:c r="I85" s="13" t="str">
        <x:f>IF(A85="","",IF(E85&lt;&gt;"PASS",'Motor_Meciuri'!J65,IF(K85=0,"Nicio linie eligibila; vezi motivele din Analiza_Linii",INDEX('Analiza_Linii'!AH832:AH845,K85))))</x:f>
      </x:c>
      <x:c r="J85" s="2"/>
      <x:c r="K85" s="2" t="n">
        <x:f>IF(A85="",0,IFERROR(MATCH(1,'Analiza_Linii'!AC832:AC845,0),0))</x:f>
        <x:v>0</x:v>
      </x:c>
      <x:c r="L85" s="2" t="str">
        <x:f>IF(K85=0,"",INDEX('Analiza_Linii'!Z832:Z845,K85))</x:f>
      </x:c>
      <x:c r="M85" s="2" t="str">
        <x:f>IF(K85=0,"",INDEX('Analiza_Linii'!V832:V845,K85))</x:f>
      </x:c>
      <x:c r="N85" s="2" t="str">
        <x:f>IF(K85=0,"",INDEX('Analiza_Linii'!T832:T845,K85))</x:f>
      </x:c>
      <x:c r="O85" s="2" t="n">
        <x:f>IF(AND(C85="LIVE",K85&gt;0),1,0)</x:f>
        <x:v>0</x:v>
      </x:c>
      <x:c r="P85" s="2" t="str">
        <x:f>IF(O85&lt;&gt;1,"",COUNTIFS($O$26:$O$125,1,$L$26:$L$125,"&lt;"&amp;L85)+COUNTIFS($O$26:$O$125,1,$L$26:$L$125,L85,$H$26:$H$125,"&gt;"&amp;H85)+COUNTIFS($O$26:$O$125,1,$L$26:$L$125,L85,$H$26:$H$125,H85,$M$26:$M$125,"&gt;"&amp;M85)+COUNTIFS($O$26:O85,1,$L$26:L85,L85,$H$26:H85,H85,$M$26:M85,M85))</x:f>
      </x:c>
    </x:row>
    <x:row r="86" ht="32" customHeight="1">
      <x:c r="A86" s="2" t="str">
        <x:f>IF('Motor_Meciuri'!A66="","",'Motor_Meciuri'!A66)</x:f>
      </x:c>
      <x:c r="B86" s="13" t="str">
        <x:f>IF('Motor_Meciuri'!A66="","",'Motor_Meciuri'!D66)</x:f>
      </x:c>
      <x:c r="C86" s="2" t="str">
        <x:f>IF('Motor_Meciuri'!A66="","",'Motor_Meciuri'!E66)</x:f>
      </x:c>
      <x:c r="D86" s="2" t="str">
        <x:f>IF('Motor_Meciuri'!A66="","",'Motor_Meciuri'!H66)</x:f>
      </x:c>
      <x:c r="E86" s="2" t="str">
        <x:f>IF('Motor_Meciuri'!A66="","",'Motor_Meciuri'!I66)</x:f>
      </x:c>
      <x:c r="F86" s="2" t="str">
        <x:f>IF(K86=0,"",INDEX('Analiza_Linii'!F846:F859,K86))</x:f>
      </x:c>
      <x:c r="G86" s="2" t="str">
        <x:f>IF(A86="","",IF(D86&lt;&gt;"READY","NOT RELEASED",IF(K86=0,IF(E86="FAIL","NO BET","WATCH / NO BET"),INDEX('Analiza_Linii'!AA846:AA859,K86))))</x:f>
      </x:c>
      <x:c r="H86" s="16" t="str">
        <x:f>IF(K86=0,"",INDEX('Analiza_Linii'!AB846:AB859,K86))</x:f>
      </x:c>
      <x:c r="I86" s="13" t="str">
        <x:f>IF(A86="","",IF(E86&lt;&gt;"PASS",'Motor_Meciuri'!J66,IF(K86=0,"Nicio linie eligibila; vezi motivele din Analiza_Linii",INDEX('Analiza_Linii'!AH846:AH859,K86))))</x:f>
      </x:c>
      <x:c r="J86" s="2"/>
      <x:c r="K86" s="2" t="n">
        <x:f>IF(A86="",0,IFERROR(MATCH(1,'Analiza_Linii'!AC846:AC859,0),0))</x:f>
        <x:v>0</x:v>
      </x:c>
      <x:c r="L86" s="2" t="str">
        <x:f>IF(K86=0,"",INDEX('Analiza_Linii'!Z846:Z859,K86))</x:f>
      </x:c>
      <x:c r="M86" s="2" t="str">
        <x:f>IF(K86=0,"",INDEX('Analiza_Linii'!V846:V859,K86))</x:f>
      </x:c>
      <x:c r="N86" s="2" t="str">
        <x:f>IF(K86=0,"",INDEX('Analiza_Linii'!T846:T859,K86))</x:f>
      </x:c>
      <x:c r="O86" s="2" t="n">
        <x:f>IF(AND(C86="LIVE",K86&gt;0),1,0)</x:f>
        <x:v>0</x:v>
      </x:c>
      <x:c r="P86" s="2" t="str">
        <x:f>IF(O86&lt;&gt;1,"",COUNTIFS($O$26:$O$125,1,$L$26:$L$125,"&lt;"&amp;L86)+COUNTIFS($O$26:$O$125,1,$L$26:$L$125,L86,$H$26:$H$125,"&gt;"&amp;H86)+COUNTIFS($O$26:$O$125,1,$L$26:$L$125,L86,$H$26:$H$125,H86,$M$26:$M$125,"&gt;"&amp;M86)+COUNTIFS($O$26:O86,1,$L$26:L86,L86,$H$26:H86,H86,$M$26:M86,M86))</x:f>
      </x:c>
    </x:row>
    <x:row r="87" ht="32" customHeight="1">
      <x:c r="A87" s="2" t="str">
        <x:f>IF('Motor_Meciuri'!A67="","",'Motor_Meciuri'!A67)</x:f>
      </x:c>
      <x:c r="B87" s="13" t="str">
        <x:f>IF('Motor_Meciuri'!A67="","",'Motor_Meciuri'!D67)</x:f>
      </x:c>
      <x:c r="C87" s="2" t="str">
        <x:f>IF('Motor_Meciuri'!A67="","",'Motor_Meciuri'!E67)</x:f>
      </x:c>
      <x:c r="D87" s="2" t="str">
        <x:f>IF('Motor_Meciuri'!A67="","",'Motor_Meciuri'!H67)</x:f>
      </x:c>
      <x:c r="E87" s="2" t="str">
        <x:f>IF('Motor_Meciuri'!A67="","",'Motor_Meciuri'!I67)</x:f>
      </x:c>
      <x:c r="F87" s="2" t="str">
        <x:f>IF(K87=0,"",INDEX('Analiza_Linii'!F860:F873,K87))</x:f>
      </x:c>
      <x:c r="G87" s="2" t="str">
        <x:f>IF(A87="","",IF(D87&lt;&gt;"READY","NOT RELEASED",IF(K87=0,IF(E87="FAIL","NO BET","WATCH / NO BET"),INDEX('Analiza_Linii'!AA860:AA873,K87))))</x:f>
      </x:c>
      <x:c r="H87" s="16" t="str">
        <x:f>IF(K87=0,"",INDEX('Analiza_Linii'!AB860:AB873,K87))</x:f>
      </x:c>
      <x:c r="I87" s="13" t="str">
        <x:f>IF(A87="","",IF(E87&lt;&gt;"PASS",'Motor_Meciuri'!J67,IF(K87=0,"Nicio linie eligibila; vezi motivele din Analiza_Linii",INDEX('Analiza_Linii'!AH860:AH873,K87))))</x:f>
      </x:c>
      <x:c r="J87" s="2"/>
      <x:c r="K87" s="2" t="n">
        <x:f>IF(A87="",0,IFERROR(MATCH(1,'Analiza_Linii'!AC860:AC873,0),0))</x:f>
        <x:v>0</x:v>
      </x:c>
      <x:c r="L87" s="2" t="str">
        <x:f>IF(K87=0,"",INDEX('Analiza_Linii'!Z860:Z873,K87))</x:f>
      </x:c>
      <x:c r="M87" s="2" t="str">
        <x:f>IF(K87=0,"",INDEX('Analiza_Linii'!V860:V873,K87))</x:f>
      </x:c>
      <x:c r="N87" s="2" t="str">
        <x:f>IF(K87=0,"",INDEX('Analiza_Linii'!T860:T873,K87))</x:f>
      </x:c>
      <x:c r="O87" s="2" t="n">
        <x:f>IF(AND(C87="LIVE",K87&gt;0),1,0)</x:f>
        <x:v>0</x:v>
      </x:c>
      <x:c r="P87" s="2" t="str">
        <x:f>IF(O87&lt;&gt;1,"",COUNTIFS($O$26:$O$125,1,$L$26:$L$125,"&lt;"&amp;L87)+COUNTIFS($O$26:$O$125,1,$L$26:$L$125,L87,$H$26:$H$125,"&gt;"&amp;H87)+COUNTIFS($O$26:$O$125,1,$L$26:$L$125,L87,$H$26:$H$125,H87,$M$26:$M$125,"&gt;"&amp;M87)+COUNTIFS($O$26:O87,1,$L$26:L87,L87,$H$26:H87,H87,$M$26:M87,M87))</x:f>
      </x:c>
    </x:row>
    <x:row r="88" ht="32" customHeight="1">
      <x:c r="A88" s="2" t="str">
        <x:f>IF('Motor_Meciuri'!A68="","",'Motor_Meciuri'!A68)</x:f>
      </x:c>
      <x:c r="B88" s="13" t="str">
        <x:f>IF('Motor_Meciuri'!A68="","",'Motor_Meciuri'!D68)</x:f>
      </x:c>
      <x:c r="C88" s="2" t="str">
        <x:f>IF('Motor_Meciuri'!A68="","",'Motor_Meciuri'!E68)</x:f>
      </x:c>
      <x:c r="D88" s="2" t="str">
        <x:f>IF('Motor_Meciuri'!A68="","",'Motor_Meciuri'!H68)</x:f>
      </x:c>
      <x:c r="E88" s="2" t="str">
        <x:f>IF('Motor_Meciuri'!A68="","",'Motor_Meciuri'!I68)</x:f>
      </x:c>
      <x:c r="F88" s="2" t="str">
        <x:f>IF(K88=0,"",INDEX('Analiza_Linii'!F874:F887,K88))</x:f>
      </x:c>
      <x:c r="G88" s="2" t="str">
        <x:f>IF(A88="","",IF(D88&lt;&gt;"READY","NOT RELEASED",IF(K88=0,IF(E88="FAIL","NO BET","WATCH / NO BET"),INDEX('Analiza_Linii'!AA874:AA887,K88))))</x:f>
      </x:c>
      <x:c r="H88" s="16" t="str">
        <x:f>IF(K88=0,"",INDEX('Analiza_Linii'!AB874:AB887,K88))</x:f>
      </x:c>
      <x:c r="I88" s="13" t="str">
        <x:f>IF(A88="","",IF(E88&lt;&gt;"PASS",'Motor_Meciuri'!J68,IF(K88=0,"Nicio linie eligibila; vezi motivele din Analiza_Linii",INDEX('Analiza_Linii'!AH874:AH887,K88))))</x:f>
      </x:c>
      <x:c r="J88" s="2"/>
      <x:c r="K88" s="2" t="n">
        <x:f>IF(A88="",0,IFERROR(MATCH(1,'Analiza_Linii'!AC874:AC887,0),0))</x:f>
        <x:v>0</x:v>
      </x:c>
      <x:c r="L88" s="2" t="str">
        <x:f>IF(K88=0,"",INDEX('Analiza_Linii'!Z874:Z887,K88))</x:f>
      </x:c>
      <x:c r="M88" s="2" t="str">
        <x:f>IF(K88=0,"",INDEX('Analiza_Linii'!V874:V887,K88))</x:f>
      </x:c>
      <x:c r="N88" s="2" t="str">
        <x:f>IF(K88=0,"",INDEX('Analiza_Linii'!T874:T887,K88))</x:f>
      </x:c>
      <x:c r="O88" s="2" t="n">
        <x:f>IF(AND(C88="LIVE",K88&gt;0),1,0)</x:f>
        <x:v>0</x:v>
      </x:c>
      <x:c r="P88" s="2" t="str">
        <x:f>IF(O88&lt;&gt;1,"",COUNTIFS($O$26:$O$125,1,$L$26:$L$125,"&lt;"&amp;L88)+COUNTIFS($O$26:$O$125,1,$L$26:$L$125,L88,$H$26:$H$125,"&gt;"&amp;H88)+COUNTIFS($O$26:$O$125,1,$L$26:$L$125,L88,$H$26:$H$125,H88,$M$26:$M$125,"&gt;"&amp;M88)+COUNTIFS($O$26:O88,1,$L$26:L88,L88,$H$26:H88,H88,$M$26:M88,M88))</x:f>
      </x:c>
    </x:row>
    <x:row r="89" ht="32" customHeight="1">
      <x:c r="A89" s="2" t="str">
        <x:f>IF('Motor_Meciuri'!A69="","",'Motor_Meciuri'!A69)</x:f>
      </x:c>
      <x:c r="B89" s="13" t="str">
        <x:f>IF('Motor_Meciuri'!A69="","",'Motor_Meciuri'!D69)</x:f>
      </x:c>
      <x:c r="C89" s="2" t="str">
        <x:f>IF('Motor_Meciuri'!A69="","",'Motor_Meciuri'!E69)</x:f>
      </x:c>
      <x:c r="D89" s="2" t="str">
        <x:f>IF('Motor_Meciuri'!A69="","",'Motor_Meciuri'!H69)</x:f>
      </x:c>
      <x:c r="E89" s="2" t="str">
        <x:f>IF('Motor_Meciuri'!A69="","",'Motor_Meciuri'!I69)</x:f>
      </x:c>
      <x:c r="F89" s="2" t="str">
        <x:f>IF(K89=0,"",INDEX('Analiza_Linii'!F888:F901,K89))</x:f>
      </x:c>
      <x:c r="G89" s="2" t="str">
        <x:f>IF(A89="","",IF(D89&lt;&gt;"READY","NOT RELEASED",IF(K89=0,IF(E89="FAIL","NO BET","WATCH / NO BET"),INDEX('Analiza_Linii'!AA888:AA901,K89))))</x:f>
      </x:c>
      <x:c r="H89" s="16" t="str">
        <x:f>IF(K89=0,"",INDEX('Analiza_Linii'!AB888:AB901,K89))</x:f>
      </x:c>
      <x:c r="I89" s="13" t="str">
        <x:f>IF(A89="","",IF(E89&lt;&gt;"PASS",'Motor_Meciuri'!J69,IF(K89=0,"Nicio linie eligibila; vezi motivele din Analiza_Linii",INDEX('Analiza_Linii'!AH888:AH901,K89))))</x:f>
      </x:c>
      <x:c r="J89" s="2"/>
      <x:c r="K89" s="2" t="n">
        <x:f>IF(A89="",0,IFERROR(MATCH(1,'Analiza_Linii'!AC888:AC901,0),0))</x:f>
        <x:v>0</x:v>
      </x:c>
      <x:c r="L89" s="2" t="str">
        <x:f>IF(K89=0,"",INDEX('Analiza_Linii'!Z888:Z901,K89))</x:f>
      </x:c>
      <x:c r="M89" s="2" t="str">
        <x:f>IF(K89=0,"",INDEX('Analiza_Linii'!V888:V901,K89))</x:f>
      </x:c>
      <x:c r="N89" s="2" t="str">
        <x:f>IF(K89=0,"",INDEX('Analiza_Linii'!T888:T901,K89))</x:f>
      </x:c>
      <x:c r="O89" s="2" t="n">
        <x:f>IF(AND(C89="LIVE",K89&gt;0),1,0)</x:f>
        <x:v>0</x:v>
      </x:c>
      <x:c r="P89" s="2" t="str">
        <x:f>IF(O89&lt;&gt;1,"",COUNTIFS($O$26:$O$125,1,$L$26:$L$125,"&lt;"&amp;L89)+COUNTIFS($O$26:$O$125,1,$L$26:$L$125,L89,$H$26:$H$125,"&gt;"&amp;H89)+COUNTIFS($O$26:$O$125,1,$L$26:$L$125,L89,$H$26:$H$125,H89,$M$26:$M$125,"&gt;"&amp;M89)+COUNTIFS($O$26:O89,1,$L$26:L89,L89,$H$26:H89,H89,$M$26:M89,M89))</x:f>
      </x:c>
    </x:row>
    <x:row r="90" ht="32" customHeight="1">
      <x:c r="A90" s="2" t="str">
        <x:f>IF('Motor_Meciuri'!A70="","",'Motor_Meciuri'!A70)</x:f>
      </x:c>
      <x:c r="B90" s="13" t="str">
        <x:f>IF('Motor_Meciuri'!A70="","",'Motor_Meciuri'!D70)</x:f>
      </x:c>
      <x:c r="C90" s="2" t="str">
        <x:f>IF('Motor_Meciuri'!A70="","",'Motor_Meciuri'!E70)</x:f>
      </x:c>
      <x:c r="D90" s="2" t="str">
        <x:f>IF('Motor_Meciuri'!A70="","",'Motor_Meciuri'!H70)</x:f>
      </x:c>
      <x:c r="E90" s="2" t="str">
        <x:f>IF('Motor_Meciuri'!A70="","",'Motor_Meciuri'!I70)</x:f>
      </x:c>
      <x:c r="F90" s="2" t="str">
        <x:f>IF(K90=0,"",INDEX('Analiza_Linii'!F902:F915,K90))</x:f>
      </x:c>
      <x:c r="G90" s="2" t="str">
        <x:f>IF(A90="","",IF(D90&lt;&gt;"READY","NOT RELEASED",IF(K90=0,IF(E90="FAIL","NO BET","WATCH / NO BET"),INDEX('Analiza_Linii'!AA902:AA915,K90))))</x:f>
      </x:c>
      <x:c r="H90" s="16" t="str">
        <x:f>IF(K90=0,"",INDEX('Analiza_Linii'!AB902:AB915,K90))</x:f>
      </x:c>
      <x:c r="I90" s="13" t="str">
        <x:f>IF(A90="","",IF(E90&lt;&gt;"PASS",'Motor_Meciuri'!J70,IF(K90=0,"Nicio linie eligibila; vezi motivele din Analiza_Linii",INDEX('Analiza_Linii'!AH902:AH915,K90))))</x:f>
      </x:c>
      <x:c r="J90" s="2"/>
      <x:c r="K90" s="2" t="n">
        <x:f>IF(A90="",0,IFERROR(MATCH(1,'Analiza_Linii'!AC902:AC915,0),0))</x:f>
        <x:v>0</x:v>
      </x:c>
      <x:c r="L90" s="2" t="str">
        <x:f>IF(K90=0,"",INDEX('Analiza_Linii'!Z902:Z915,K90))</x:f>
      </x:c>
      <x:c r="M90" s="2" t="str">
        <x:f>IF(K90=0,"",INDEX('Analiza_Linii'!V902:V915,K90))</x:f>
      </x:c>
      <x:c r="N90" s="2" t="str">
        <x:f>IF(K90=0,"",INDEX('Analiza_Linii'!T902:T915,K90))</x:f>
      </x:c>
      <x:c r="O90" s="2" t="n">
        <x:f>IF(AND(C90="LIVE",K90&gt;0),1,0)</x:f>
        <x:v>0</x:v>
      </x:c>
      <x:c r="P90" s="2" t="str">
        <x:f>IF(O90&lt;&gt;1,"",COUNTIFS($O$26:$O$125,1,$L$26:$L$125,"&lt;"&amp;L90)+COUNTIFS($O$26:$O$125,1,$L$26:$L$125,L90,$H$26:$H$125,"&gt;"&amp;H90)+COUNTIFS($O$26:$O$125,1,$L$26:$L$125,L90,$H$26:$H$125,H90,$M$26:$M$125,"&gt;"&amp;M90)+COUNTIFS($O$26:O90,1,$L$26:L90,L90,$H$26:H90,H90,$M$26:M90,M90))</x:f>
      </x:c>
    </x:row>
    <x:row r="91" ht="32" customHeight="1">
      <x:c r="A91" s="2" t="str">
        <x:f>IF('Motor_Meciuri'!A71="","",'Motor_Meciuri'!A71)</x:f>
      </x:c>
      <x:c r="B91" s="13" t="str">
        <x:f>IF('Motor_Meciuri'!A71="","",'Motor_Meciuri'!D71)</x:f>
      </x:c>
      <x:c r="C91" s="2" t="str">
        <x:f>IF('Motor_Meciuri'!A71="","",'Motor_Meciuri'!E71)</x:f>
      </x:c>
      <x:c r="D91" s="2" t="str">
        <x:f>IF('Motor_Meciuri'!A71="","",'Motor_Meciuri'!H71)</x:f>
      </x:c>
      <x:c r="E91" s="2" t="str">
        <x:f>IF('Motor_Meciuri'!A71="","",'Motor_Meciuri'!I71)</x:f>
      </x:c>
      <x:c r="F91" s="2" t="str">
        <x:f>IF(K91=0,"",INDEX('Analiza_Linii'!F916:F929,K91))</x:f>
      </x:c>
      <x:c r="G91" s="2" t="str">
        <x:f>IF(A91="","",IF(D91&lt;&gt;"READY","NOT RELEASED",IF(K91=0,IF(E91="FAIL","NO BET","WATCH / NO BET"),INDEX('Analiza_Linii'!AA916:AA929,K91))))</x:f>
      </x:c>
      <x:c r="H91" s="16" t="str">
        <x:f>IF(K91=0,"",INDEX('Analiza_Linii'!AB916:AB929,K91))</x:f>
      </x:c>
      <x:c r="I91" s="13" t="str">
        <x:f>IF(A91="","",IF(E91&lt;&gt;"PASS",'Motor_Meciuri'!J71,IF(K91=0,"Nicio linie eligibila; vezi motivele din Analiza_Linii",INDEX('Analiza_Linii'!AH916:AH929,K91))))</x:f>
      </x:c>
      <x:c r="J91" s="2"/>
      <x:c r="K91" s="2" t="n">
        <x:f>IF(A91="",0,IFERROR(MATCH(1,'Analiza_Linii'!AC916:AC929,0),0))</x:f>
        <x:v>0</x:v>
      </x:c>
      <x:c r="L91" s="2" t="str">
        <x:f>IF(K91=0,"",INDEX('Analiza_Linii'!Z916:Z929,K91))</x:f>
      </x:c>
      <x:c r="M91" s="2" t="str">
        <x:f>IF(K91=0,"",INDEX('Analiza_Linii'!V916:V929,K91))</x:f>
      </x:c>
      <x:c r="N91" s="2" t="str">
        <x:f>IF(K91=0,"",INDEX('Analiza_Linii'!T916:T929,K91))</x:f>
      </x:c>
      <x:c r="O91" s="2" t="n">
        <x:f>IF(AND(C91="LIVE",K91&gt;0),1,0)</x:f>
        <x:v>0</x:v>
      </x:c>
      <x:c r="P91" s="2" t="str">
        <x:f>IF(O91&lt;&gt;1,"",COUNTIFS($O$26:$O$125,1,$L$26:$L$125,"&lt;"&amp;L91)+COUNTIFS($O$26:$O$125,1,$L$26:$L$125,L91,$H$26:$H$125,"&gt;"&amp;H91)+COUNTIFS($O$26:$O$125,1,$L$26:$L$125,L91,$H$26:$H$125,H91,$M$26:$M$125,"&gt;"&amp;M91)+COUNTIFS($O$26:O91,1,$L$26:L91,L91,$H$26:H91,H91,$M$26:M91,M91))</x:f>
      </x:c>
    </x:row>
    <x:row r="92" ht="32" customHeight="1">
      <x:c r="A92" s="2" t="str">
        <x:f>IF('Motor_Meciuri'!A72="","",'Motor_Meciuri'!A72)</x:f>
      </x:c>
      <x:c r="B92" s="13" t="str">
        <x:f>IF('Motor_Meciuri'!A72="","",'Motor_Meciuri'!D72)</x:f>
      </x:c>
      <x:c r="C92" s="2" t="str">
        <x:f>IF('Motor_Meciuri'!A72="","",'Motor_Meciuri'!E72)</x:f>
      </x:c>
      <x:c r="D92" s="2" t="str">
        <x:f>IF('Motor_Meciuri'!A72="","",'Motor_Meciuri'!H72)</x:f>
      </x:c>
      <x:c r="E92" s="2" t="str">
        <x:f>IF('Motor_Meciuri'!A72="","",'Motor_Meciuri'!I72)</x:f>
      </x:c>
      <x:c r="F92" s="2" t="str">
        <x:f>IF(K92=0,"",INDEX('Analiza_Linii'!F930:F943,K92))</x:f>
      </x:c>
      <x:c r="G92" s="2" t="str">
        <x:f>IF(A92="","",IF(D92&lt;&gt;"READY","NOT RELEASED",IF(K92=0,IF(E92="FAIL","NO BET","WATCH / NO BET"),INDEX('Analiza_Linii'!AA930:AA943,K92))))</x:f>
      </x:c>
      <x:c r="H92" s="16" t="str">
        <x:f>IF(K92=0,"",INDEX('Analiza_Linii'!AB930:AB943,K92))</x:f>
      </x:c>
      <x:c r="I92" s="13" t="str">
        <x:f>IF(A92="","",IF(E92&lt;&gt;"PASS",'Motor_Meciuri'!J72,IF(K92=0,"Nicio linie eligibila; vezi motivele din Analiza_Linii",INDEX('Analiza_Linii'!AH930:AH943,K92))))</x:f>
      </x:c>
      <x:c r="J92" s="2"/>
      <x:c r="K92" s="2" t="n">
        <x:f>IF(A92="",0,IFERROR(MATCH(1,'Analiza_Linii'!AC930:AC943,0),0))</x:f>
        <x:v>0</x:v>
      </x:c>
      <x:c r="L92" s="2" t="str">
        <x:f>IF(K92=0,"",INDEX('Analiza_Linii'!Z930:Z943,K92))</x:f>
      </x:c>
      <x:c r="M92" s="2" t="str">
        <x:f>IF(K92=0,"",INDEX('Analiza_Linii'!V930:V943,K92))</x:f>
      </x:c>
      <x:c r="N92" s="2" t="str">
        <x:f>IF(K92=0,"",INDEX('Analiza_Linii'!T930:T943,K92))</x:f>
      </x:c>
      <x:c r="O92" s="2" t="n">
        <x:f>IF(AND(C92="LIVE",K92&gt;0),1,0)</x:f>
        <x:v>0</x:v>
      </x:c>
      <x:c r="P92" s="2" t="str">
        <x:f>IF(O92&lt;&gt;1,"",COUNTIFS($O$26:$O$125,1,$L$26:$L$125,"&lt;"&amp;L92)+COUNTIFS($O$26:$O$125,1,$L$26:$L$125,L92,$H$26:$H$125,"&gt;"&amp;H92)+COUNTIFS($O$26:$O$125,1,$L$26:$L$125,L92,$H$26:$H$125,H92,$M$26:$M$125,"&gt;"&amp;M92)+COUNTIFS($O$26:O92,1,$L$26:L92,L92,$H$26:H92,H92,$M$26:M92,M92))</x:f>
      </x:c>
    </x:row>
    <x:row r="93" ht="32" customHeight="1">
      <x:c r="A93" s="2" t="str">
        <x:f>IF('Motor_Meciuri'!A73="","",'Motor_Meciuri'!A73)</x:f>
      </x:c>
      <x:c r="B93" s="13" t="str">
        <x:f>IF('Motor_Meciuri'!A73="","",'Motor_Meciuri'!D73)</x:f>
      </x:c>
      <x:c r="C93" s="2" t="str">
        <x:f>IF('Motor_Meciuri'!A73="","",'Motor_Meciuri'!E73)</x:f>
      </x:c>
      <x:c r="D93" s="2" t="str">
        <x:f>IF('Motor_Meciuri'!A73="","",'Motor_Meciuri'!H73)</x:f>
      </x:c>
      <x:c r="E93" s="2" t="str">
        <x:f>IF('Motor_Meciuri'!A73="","",'Motor_Meciuri'!I73)</x:f>
      </x:c>
      <x:c r="F93" s="2" t="str">
        <x:f>IF(K93=0,"",INDEX('Analiza_Linii'!F944:F957,K93))</x:f>
      </x:c>
      <x:c r="G93" s="2" t="str">
        <x:f>IF(A93="","",IF(D93&lt;&gt;"READY","NOT RELEASED",IF(K93=0,IF(E93="FAIL","NO BET","WATCH / NO BET"),INDEX('Analiza_Linii'!AA944:AA957,K93))))</x:f>
      </x:c>
      <x:c r="H93" s="16" t="str">
        <x:f>IF(K93=0,"",INDEX('Analiza_Linii'!AB944:AB957,K93))</x:f>
      </x:c>
      <x:c r="I93" s="13" t="str">
        <x:f>IF(A93="","",IF(E93&lt;&gt;"PASS",'Motor_Meciuri'!J73,IF(K93=0,"Nicio linie eligibila; vezi motivele din Analiza_Linii",INDEX('Analiza_Linii'!AH944:AH957,K93))))</x:f>
      </x:c>
      <x:c r="J93" s="2"/>
      <x:c r="K93" s="2" t="n">
        <x:f>IF(A93="",0,IFERROR(MATCH(1,'Analiza_Linii'!AC944:AC957,0),0))</x:f>
        <x:v>0</x:v>
      </x:c>
      <x:c r="L93" s="2" t="str">
        <x:f>IF(K93=0,"",INDEX('Analiza_Linii'!Z944:Z957,K93))</x:f>
      </x:c>
      <x:c r="M93" s="2" t="str">
        <x:f>IF(K93=0,"",INDEX('Analiza_Linii'!V944:V957,K93))</x:f>
      </x:c>
      <x:c r="N93" s="2" t="str">
        <x:f>IF(K93=0,"",INDEX('Analiza_Linii'!T944:T957,K93))</x:f>
      </x:c>
      <x:c r="O93" s="2" t="n">
        <x:f>IF(AND(C93="LIVE",K93&gt;0),1,0)</x:f>
        <x:v>0</x:v>
      </x:c>
      <x:c r="P93" s="2" t="str">
        <x:f>IF(O93&lt;&gt;1,"",COUNTIFS($O$26:$O$125,1,$L$26:$L$125,"&lt;"&amp;L93)+COUNTIFS($O$26:$O$125,1,$L$26:$L$125,L93,$H$26:$H$125,"&gt;"&amp;H93)+COUNTIFS($O$26:$O$125,1,$L$26:$L$125,L93,$H$26:$H$125,H93,$M$26:$M$125,"&gt;"&amp;M93)+COUNTIFS($O$26:O93,1,$L$26:L93,L93,$H$26:H93,H93,$M$26:M93,M93))</x:f>
      </x:c>
    </x:row>
    <x:row r="94" ht="32" customHeight="1">
      <x:c r="A94" s="2" t="str">
        <x:f>IF('Motor_Meciuri'!A74="","",'Motor_Meciuri'!A74)</x:f>
      </x:c>
      <x:c r="B94" s="13" t="str">
        <x:f>IF('Motor_Meciuri'!A74="","",'Motor_Meciuri'!D74)</x:f>
      </x:c>
      <x:c r="C94" s="2" t="str">
        <x:f>IF('Motor_Meciuri'!A74="","",'Motor_Meciuri'!E74)</x:f>
      </x:c>
      <x:c r="D94" s="2" t="str">
        <x:f>IF('Motor_Meciuri'!A74="","",'Motor_Meciuri'!H74)</x:f>
      </x:c>
      <x:c r="E94" s="2" t="str">
        <x:f>IF('Motor_Meciuri'!A74="","",'Motor_Meciuri'!I74)</x:f>
      </x:c>
      <x:c r="F94" s="2" t="str">
        <x:f>IF(K94=0,"",INDEX('Analiza_Linii'!F958:F971,K94))</x:f>
      </x:c>
      <x:c r="G94" s="2" t="str">
        <x:f>IF(A94="","",IF(D94&lt;&gt;"READY","NOT RELEASED",IF(K94=0,IF(E94="FAIL","NO BET","WATCH / NO BET"),INDEX('Analiza_Linii'!AA958:AA971,K94))))</x:f>
      </x:c>
      <x:c r="H94" s="16" t="str">
        <x:f>IF(K94=0,"",INDEX('Analiza_Linii'!AB958:AB971,K94))</x:f>
      </x:c>
      <x:c r="I94" s="13" t="str">
        <x:f>IF(A94="","",IF(E94&lt;&gt;"PASS",'Motor_Meciuri'!J74,IF(K94=0,"Nicio linie eligibila; vezi motivele din Analiza_Linii",INDEX('Analiza_Linii'!AH958:AH971,K94))))</x:f>
      </x:c>
      <x:c r="J94" s="2"/>
      <x:c r="K94" s="2" t="n">
        <x:f>IF(A94="",0,IFERROR(MATCH(1,'Analiza_Linii'!AC958:AC971,0),0))</x:f>
        <x:v>0</x:v>
      </x:c>
      <x:c r="L94" s="2" t="str">
        <x:f>IF(K94=0,"",INDEX('Analiza_Linii'!Z958:Z971,K94))</x:f>
      </x:c>
      <x:c r="M94" s="2" t="str">
        <x:f>IF(K94=0,"",INDEX('Analiza_Linii'!V958:V971,K94))</x:f>
      </x:c>
      <x:c r="N94" s="2" t="str">
        <x:f>IF(K94=0,"",INDEX('Analiza_Linii'!T958:T971,K94))</x:f>
      </x:c>
      <x:c r="O94" s="2" t="n">
        <x:f>IF(AND(C94="LIVE",K94&gt;0),1,0)</x:f>
        <x:v>0</x:v>
      </x:c>
      <x:c r="P94" s="2" t="str">
        <x:f>IF(O94&lt;&gt;1,"",COUNTIFS($O$26:$O$125,1,$L$26:$L$125,"&lt;"&amp;L94)+COUNTIFS($O$26:$O$125,1,$L$26:$L$125,L94,$H$26:$H$125,"&gt;"&amp;H94)+COUNTIFS($O$26:$O$125,1,$L$26:$L$125,L94,$H$26:$H$125,H94,$M$26:$M$125,"&gt;"&amp;M94)+COUNTIFS($O$26:O94,1,$L$26:L94,L94,$H$26:H94,H94,$M$26:M94,M94))</x:f>
      </x:c>
    </x:row>
    <x:row r="95" ht="32" customHeight="1">
      <x:c r="A95" s="2" t="str">
        <x:f>IF('Motor_Meciuri'!A75="","",'Motor_Meciuri'!A75)</x:f>
      </x:c>
      <x:c r="B95" s="13" t="str">
        <x:f>IF('Motor_Meciuri'!A75="","",'Motor_Meciuri'!D75)</x:f>
      </x:c>
      <x:c r="C95" s="2" t="str">
        <x:f>IF('Motor_Meciuri'!A75="","",'Motor_Meciuri'!E75)</x:f>
      </x:c>
      <x:c r="D95" s="2" t="str">
        <x:f>IF('Motor_Meciuri'!A75="","",'Motor_Meciuri'!H75)</x:f>
      </x:c>
      <x:c r="E95" s="2" t="str">
        <x:f>IF('Motor_Meciuri'!A75="","",'Motor_Meciuri'!I75)</x:f>
      </x:c>
      <x:c r="F95" s="2" t="str">
        <x:f>IF(K95=0,"",INDEX('Analiza_Linii'!F972:F985,K95))</x:f>
      </x:c>
      <x:c r="G95" s="2" t="str">
        <x:f>IF(A95="","",IF(D95&lt;&gt;"READY","NOT RELEASED",IF(K95=0,IF(E95="FAIL","NO BET","WATCH / NO BET"),INDEX('Analiza_Linii'!AA972:AA985,K95))))</x:f>
      </x:c>
      <x:c r="H95" s="16" t="str">
        <x:f>IF(K95=0,"",INDEX('Analiza_Linii'!AB972:AB985,K95))</x:f>
      </x:c>
      <x:c r="I95" s="13" t="str">
        <x:f>IF(A95="","",IF(E95&lt;&gt;"PASS",'Motor_Meciuri'!J75,IF(K95=0,"Nicio linie eligibila; vezi motivele din Analiza_Linii",INDEX('Analiza_Linii'!AH972:AH985,K95))))</x:f>
      </x:c>
      <x:c r="J95" s="2"/>
      <x:c r="K95" s="2" t="n">
        <x:f>IF(A95="",0,IFERROR(MATCH(1,'Analiza_Linii'!AC972:AC985,0),0))</x:f>
        <x:v>0</x:v>
      </x:c>
      <x:c r="L95" s="2" t="str">
        <x:f>IF(K95=0,"",INDEX('Analiza_Linii'!Z972:Z985,K95))</x:f>
      </x:c>
      <x:c r="M95" s="2" t="str">
        <x:f>IF(K95=0,"",INDEX('Analiza_Linii'!V972:V985,K95))</x:f>
      </x:c>
      <x:c r="N95" s="2" t="str">
        <x:f>IF(K95=0,"",INDEX('Analiza_Linii'!T972:T985,K95))</x:f>
      </x:c>
      <x:c r="O95" s="2" t="n">
        <x:f>IF(AND(C95="LIVE",K95&gt;0),1,0)</x:f>
        <x:v>0</x:v>
      </x:c>
      <x:c r="P95" s="2" t="str">
        <x:f>IF(O95&lt;&gt;1,"",COUNTIFS($O$26:$O$125,1,$L$26:$L$125,"&lt;"&amp;L95)+COUNTIFS($O$26:$O$125,1,$L$26:$L$125,L95,$H$26:$H$125,"&gt;"&amp;H95)+COUNTIFS($O$26:$O$125,1,$L$26:$L$125,L95,$H$26:$H$125,H95,$M$26:$M$125,"&gt;"&amp;M95)+COUNTIFS($O$26:O95,1,$L$26:L95,L95,$H$26:H95,H95,$M$26:M95,M95))</x:f>
      </x:c>
    </x:row>
    <x:row r="96" ht="32" customHeight="1">
      <x:c r="A96" s="2" t="str">
        <x:f>IF('Motor_Meciuri'!A76="","",'Motor_Meciuri'!A76)</x:f>
      </x:c>
      <x:c r="B96" s="13" t="str">
        <x:f>IF('Motor_Meciuri'!A76="","",'Motor_Meciuri'!D76)</x:f>
      </x:c>
      <x:c r="C96" s="2" t="str">
        <x:f>IF('Motor_Meciuri'!A76="","",'Motor_Meciuri'!E76)</x:f>
      </x:c>
      <x:c r="D96" s="2" t="str">
        <x:f>IF('Motor_Meciuri'!A76="","",'Motor_Meciuri'!H76)</x:f>
      </x:c>
      <x:c r="E96" s="2" t="str">
        <x:f>IF('Motor_Meciuri'!A76="","",'Motor_Meciuri'!I76)</x:f>
      </x:c>
      <x:c r="F96" s="2" t="str">
        <x:f>IF(K96=0,"",INDEX('Analiza_Linii'!F986:F999,K96))</x:f>
      </x:c>
      <x:c r="G96" s="2" t="str">
        <x:f>IF(A96="","",IF(D96&lt;&gt;"READY","NOT RELEASED",IF(K96=0,IF(E96="FAIL","NO BET","WATCH / NO BET"),INDEX('Analiza_Linii'!AA986:AA999,K96))))</x:f>
      </x:c>
      <x:c r="H96" s="16" t="str">
        <x:f>IF(K96=0,"",INDEX('Analiza_Linii'!AB986:AB999,K96))</x:f>
      </x:c>
      <x:c r="I96" s="13" t="str">
        <x:f>IF(A96="","",IF(E96&lt;&gt;"PASS",'Motor_Meciuri'!J76,IF(K96=0,"Nicio linie eligibila; vezi motivele din Analiza_Linii",INDEX('Analiza_Linii'!AH986:AH999,K96))))</x:f>
      </x:c>
      <x:c r="J96" s="2"/>
      <x:c r="K96" s="2" t="n">
        <x:f>IF(A96="",0,IFERROR(MATCH(1,'Analiza_Linii'!AC986:AC999,0),0))</x:f>
        <x:v>0</x:v>
      </x:c>
      <x:c r="L96" s="2" t="str">
        <x:f>IF(K96=0,"",INDEX('Analiza_Linii'!Z986:Z999,K96))</x:f>
      </x:c>
      <x:c r="M96" s="2" t="str">
        <x:f>IF(K96=0,"",INDEX('Analiza_Linii'!V986:V999,K96))</x:f>
      </x:c>
      <x:c r="N96" s="2" t="str">
        <x:f>IF(K96=0,"",INDEX('Analiza_Linii'!T986:T999,K96))</x:f>
      </x:c>
      <x:c r="O96" s="2" t="n">
        <x:f>IF(AND(C96="LIVE",K96&gt;0),1,0)</x:f>
        <x:v>0</x:v>
      </x:c>
      <x:c r="P96" s="2" t="str">
        <x:f>IF(O96&lt;&gt;1,"",COUNTIFS($O$26:$O$125,1,$L$26:$L$125,"&lt;"&amp;L96)+COUNTIFS($O$26:$O$125,1,$L$26:$L$125,L96,$H$26:$H$125,"&gt;"&amp;H96)+COUNTIFS($O$26:$O$125,1,$L$26:$L$125,L96,$H$26:$H$125,H96,$M$26:$M$125,"&gt;"&amp;M96)+COUNTIFS($O$26:O96,1,$L$26:L96,L96,$H$26:H96,H96,$M$26:M96,M96))</x:f>
      </x:c>
    </x:row>
    <x:row r="97" ht="32" customHeight="1">
      <x:c r="A97" s="2" t="str">
        <x:f>IF('Motor_Meciuri'!A77="","",'Motor_Meciuri'!A77)</x:f>
      </x:c>
      <x:c r="B97" s="13" t="str">
        <x:f>IF('Motor_Meciuri'!A77="","",'Motor_Meciuri'!D77)</x:f>
      </x:c>
      <x:c r="C97" s="2" t="str">
        <x:f>IF('Motor_Meciuri'!A77="","",'Motor_Meciuri'!E77)</x:f>
      </x:c>
      <x:c r="D97" s="2" t="str">
        <x:f>IF('Motor_Meciuri'!A77="","",'Motor_Meciuri'!H77)</x:f>
      </x:c>
      <x:c r="E97" s="2" t="str">
        <x:f>IF('Motor_Meciuri'!A77="","",'Motor_Meciuri'!I77)</x:f>
      </x:c>
      <x:c r="F97" s="2" t="str">
        <x:f>IF(K97=0,"",INDEX('Analiza_Linii'!F1000:F1013,K97))</x:f>
      </x:c>
      <x:c r="G97" s="2" t="str">
        <x:f>IF(A97="","",IF(D97&lt;&gt;"READY","NOT RELEASED",IF(K97=0,IF(E97="FAIL","NO BET","WATCH / NO BET"),INDEX('Analiza_Linii'!AA1000:AA1013,K97))))</x:f>
      </x:c>
      <x:c r="H97" s="16" t="str">
        <x:f>IF(K97=0,"",INDEX('Analiza_Linii'!AB1000:AB1013,K97))</x:f>
      </x:c>
      <x:c r="I97" s="13" t="str">
        <x:f>IF(A97="","",IF(E97&lt;&gt;"PASS",'Motor_Meciuri'!J77,IF(K97=0,"Nicio linie eligibila; vezi motivele din Analiza_Linii",INDEX('Analiza_Linii'!AH1000:AH1013,K97))))</x:f>
      </x:c>
      <x:c r="J97" s="2"/>
      <x:c r="K97" s="2" t="n">
        <x:f>IF(A97="",0,IFERROR(MATCH(1,'Analiza_Linii'!AC1000:AC1013,0),0))</x:f>
        <x:v>0</x:v>
      </x:c>
      <x:c r="L97" s="2" t="str">
        <x:f>IF(K97=0,"",INDEX('Analiza_Linii'!Z1000:Z1013,K97))</x:f>
      </x:c>
      <x:c r="M97" s="2" t="str">
        <x:f>IF(K97=0,"",INDEX('Analiza_Linii'!V1000:V1013,K97))</x:f>
      </x:c>
      <x:c r="N97" s="2" t="str">
        <x:f>IF(K97=0,"",INDEX('Analiza_Linii'!T1000:T1013,K97))</x:f>
      </x:c>
      <x:c r="O97" s="2" t="n">
        <x:f>IF(AND(C97="LIVE",K97&gt;0),1,0)</x:f>
        <x:v>0</x:v>
      </x:c>
      <x:c r="P97" s="2" t="str">
        <x:f>IF(O97&lt;&gt;1,"",COUNTIFS($O$26:$O$125,1,$L$26:$L$125,"&lt;"&amp;L97)+COUNTIFS($O$26:$O$125,1,$L$26:$L$125,L97,$H$26:$H$125,"&gt;"&amp;H97)+COUNTIFS($O$26:$O$125,1,$L$26:$L$125,L97,$H$26:$H$125,H97,$M$26:$M$125,"&gt;"&amp;M97)+COUNTIFS($O$26:O97,1,$L$26:L97,L97,$H$26:H97,H97,$M$26:M97,M97))</x:f>
      </x:c>
    </x:row>
    <x:row r="98" ht="32" customHeight="1">
      <x:c r="A98" s="2" t="str">
        <x:f>IF('Motor_Meciuri'!A78="","",'Motor_Meciuri'!A78)</x:f>
      </x:c>
      <x:c r="B98" s="13" t="str">
        <x:f>IF('Motor_Meciuri'!A78="","",'Motor_Meciuri'!D78)</x:f>
      </x:c>
      <x:c r="C98" s="2" t="str">
        <x:f>IF('Motor_Meciuri'!A78="","",'Motor_Meciuri'!E78)</x:f>
      </x:c>
      <x:c r="D98" s="2" t="str">
        <x:f>IF('Motor_Meciuri'!A78="","",'Motor_Meciuri'!H78)</x:f>
      </x:c>
      <x:c r="E98" s="2" t="str">
        <x:f>IF('Motor_Meciuri'!A78="","",'Motor_Meciuri'!I78)</x:f>
      </x:c>
      <x:c r="F98" s="2" t="str">
        <x:f>IF(K98=0,"",INDEX('Analiza_Linii'!F1014:F1027,K98))</x:f>
      </x:c>
      <x:c r="G98" s="2" t="str">
        <x:f>IF(A98="","",IF(D98&lt;&gt;"READY","NOT RELEASED",IF(K98=0,IF(E98="FAIL","NO BET","WATCH / NO BET"),INDEX('Analiza_Linii'!AA1014:AA1027,K98))))</x:f>
      </x:c>
      <x:c r="H98" s="16" t="str">
        <x:f>IF(K98=0,"",INDEX('Analiza_Linii'!AB1014:AB1027,K98))</x:f>
      </x:c>
      <x:c r="I98" s="13" t="str">
        <x:f>IF(A98="","",IF(E98&lt;&gt;"PASS",'Motor_Meciuri'!J78,IF(K98=0,"Nicio linie eligibila; vezi motivele din Analiza_Linii",INDEX('Analiza_Linii'!AH1014:AH1027,K98))))</x:f>
      </x:c>
      <x:c r="J98" s="2"/>
      <x:c r="K98" s="2" t="n">
        <x:f>IF(A98="",0,IFERROR(MATCH(1,'Analiza_Linii'!AC1014:AC1027,0),0))</x:f>
        <x:v>0</x:v>
      </x:c>
      <x:c r="L98" s="2" t="str">
        <x:f>IF(K98=0,"",INDEX('Analiza_Linii'!Z1014:Z1027,K98))</x:f>
      </x:c>
      <x:c r="M98" s="2" t="str">
        <x:f>IF(K98=0,"",INDEX('Analiza_Linii'!V1014:V1027,K98))</x:f>
      </x:c>
      <x:c r="N98" s="2" t="str">
        <x:f>IF(K98=0,"",INDEX('Analiza_Linii'!T1014:T1027,K98))</x:f>
      </x:c>
      <x:c r="O98" s="2" t="n">
        <x:f>IF(AND(C98="LIVE",K98&gt;0),1,0)</x:f>
        <x:v>0</x:v>
      </x:c>
      <x:c r="P98" s="2" t="str">
        <x:f>IF(O98&lt;&gt;1,"",COUNTIFS($O$26:$O$125,1,$L$26:$L$125,"&lt;"&amp;L98)+COUNTIFS($O$26:$O$125,1,$L$26:$L$125,L98,$H$26:$H$125,"&gt;"&amp;H98)+COUNTIFS($O$26:$O$125,1,$L$26:$L$125,L98,$H$26:$H$125,H98,$M$26:$M$125,"&gt;"&amp;M98)+COUNTIFS($O$26:O98,1,$L$26:L98,L98,$H$26:H98,H98,$M$26:M98,M98))</x:f>
      </x:c>
    </x:row>
    <x:row r="99" ht="32" customHeight="1">
      <x:c r="A99" s="2" t="str">
        <x:f>IF('Motor_Meciuri'!A79="","",'Motor_Meciuri'!A79)</x:f>
      </x:c>
      <x:c r="B99" s="13" t="str">
        <x:f>IF('Motor_Meciuri'!A79="","",'Motor_Meciuri'!D79)</x:f>
      </x:c>
      <x:c r="C99" s="2" t="str">
        <x:f>IF('Motor_Meciuri'!A79="","",'Motor_Meciuri'!E79)</x:f>
      </x:c>
      <x:c r="D99" s="2" t="str">
        <x:f>IF('Motor_Meciuri'!A79="","",'Motor_Meciuri'!H79)</x:f>
      </x:c>
      <x:c r="E99" s="2" t="str">
        <x:f>IF('Motor_Meciuri'!A79="","",'Motor_Meciuri'!I79)</x:f>
      </x:c>
      <x:c r="F99" s="2" t="str">
        <x:f>IF(K99=0,"",INDEX('Analiza_Linii'!F1028:F1041,K99))</x:f>
      </x:c>
      <x:c r="G99" s="2" t="str">
        <x:f>IF(A99="","",IF(D99&lt;&gt;"READY","NOT RELEASED",IF(K99=0,IF(E99="FAIL","NO BET","WATCH / NO BET"),INDEX('Analiza_Linii'!AA1028:AA1041,K99))))</x:f>
      </x:c>
      <x:c r="H99" s="16" t="str">
        <x:f>IF(K99=0,"",INDEX('Analiza_Linii'!AB1028:AB1041,K99))</x:f>
      </x:c>
      <x:c r="I99" s="13" t="str">
        <x:f>IF(A99="","",IF(E99&lt;&gt;"PASS",'Motor_Meciuri'!J79,IF(K99=0,"Nicio linie eligibila; vezi motivele din Analiza_Linii",INDEX('Analiza_Linii'!AH1028:AH1041,K99))))</x:f>
      </x:c>
      <x:c r="J99" s="2"/>
      <x:c r="K99" s="2" t="n">
        <x:f>IF(A99="",0,IFERROR(MATCH(1,'Analiza_Linii'!AC1028:AC1041,0),0))</x:f>
        <x:v>0</x:v>
      </x:c>
      <x:c r="L99" s="2" t="str">
        <x:f>IF(K99=0,"",INDEX('Analiza_Linii'!Z1028:Z1041,K99))</x:f>
      </x:c>
      <x:c r="M99" s="2" t="str">
        <x:f>IF(K99=0,"",INDEX('Analiza_Linii'!V1028:V1041,K99))</x:f>
      </x:c>
      <x:c r="N99" s="2" t="str">
        <x:f>IF(K99=0,"",INDEX('Analiza_Linii'!T1028:T1041,K99))</x:f>
      </x:c>
      <x:c r="O99" s="2" t="n">
        <x:f>IF(AND(C99="LIVE",K99&gt;0),1,0)</x:f>
        <x:v>0</x:v>
      </x:c>
      <x:c r="P99" s="2" t="str">
        <x:f>IF(O99&lt;&gt;1,"",COUNTIFS($O$26:$O$125,1,$L$26:$L$125,"&lt;"&amp;L99)+COUNTIFS($O$26:$O$125,1,$L$26:$L$125,L99,$H$26:$H$125,"&gt;"&amp;H99)+COUNTIFS($O$26:$O$125,1,$L$26:$L$125,L99,$H$26:$H$125,H99,$M$26:$M$125,"&gt;"&amp;M99)+COUNTIFS($O$26:O99,1,$L$26:L99,L99,$H$26:H99,H99,$M$26:M99,M99))</x:f>
      </x:c>
    </x:row>
    <x:row r="100" ht="32" customHeight="1">
      <x:c r="A100" s="2" t="str">
        <x:f>IF('Motor_Meciuri'!A80="","",'Motor_Meciuri'!A80)</x:f>
      </x:c>
      <x:c r="B100" s="13" t="str">
        <x:f>IF('Motor_Meciuri'!A80="","",'Motor_Meciuri'!D80)</x:f>
      </x:c>
      <x:c r="C100" s="2" t="str">
        <x:f>IF('Motor_Meciuri'!A80="","",'Motor_Meciuri'!E80)</x:f>
      </x:c>
      <x:c r="D100" s="2" t="str">
        <x:f>IF('Motor_Meciuri'!A80="","",'Motor_Meciuri'!H80)</x:f>
      </x:c>
      <x:c r="E100" s="2" t="str">
        <x:f>IF('Motor_Meciuri'!A80="","",'Motor_Meciuri'!I80)</x:f>
      </x:c>
      <x:c r="F100" s="2" t="str">
        <x:f>IF(K100=0,"",INDEX('Analiza_Linii'!F1042:F1055,K100))</x:f>
      </x:c>
      <x:c r="G100" s="2" t="str">
        <x:f>IF(A100="","",IF(D100&lt;&gt;"READY","NOT RELEASED",IF(K100=0,IF(E100="FAIL","NO BET","WATCH / NO BET"),INDEX('Analiza_Linii'!AA1042:AA1055,K100))))</x:f>
      </x:c>
      <x:c r="H100" s="16" t="str">
        <x:f>IF(K100=0,"",INDEX('Analiza_Linii'!AB1042:AB1055,K100))</x:f>
      </x:c>
      <x:c r="I100" s="13" t="str">
        <x:f>IF(A100="","",IF(E100&lt;&gt;"PASS",'Motor_Meciuri'!J80,IF(K100=0,"Nicio linie eligibila; vezi motivele din Analiza_Linii",INDEX('Analiza_Linii'!AH1042:AH1055,K100))))</x:f>
      </x:c>
      <x:c r="J100" s="2"/>
      <x:c r="K100" s="2" t="n">
        <x:f>IF(A100="",0,IFERROR(MATCH(1,'Analiza_Linii'!AC1042:AC1055,0),0))</x:f>
        <x:v>0</x:v>
      </x:c>
      <x:c r="L100" s="2" t="str">
        <x:f>IF(K100=0,"",INDEX('Analiza_Linii'!Z1042:Z1055,K100))</x:f>
      </x:c>
      <x:c r="M100" s="2" t="str">
        <x:f>IF(K100=0,"",INDEX('Analiza_Linii'!V1042:V1055,K100))</x:f>
      </x:c>
      <x:c r="N100" s="2" t="str">
        <x:f>IF(K100=0,"",INDEX('Analiza_Linii'!T1042:T1055,K100))</x:f>
      </x:c>
      <x:c r="O100" s="2" t="n">
        <x:f>IF(AND(C100="LIVE",K100&gt;0),1,0)</x:f>
        <x:v>0</x:v>
      </x:c>
      <x:c r="P100" s="2" t="str">
        <x:f>IF(O100&lt;&gt;1,"",COUNTIFS($O$26:$O$125,1,$L$26:$L$125,"&lt;"&amp;L100)+COUNTIFS($O$26:$O$125,1,$L$26:$L$125,L100,$H$26:$H$125,"&gt;"&amp;H100)+COUNTIFS($O$26:$O$125,1,$L$26:$L$125,L100,$H$26:$H$125,H100,$M$26:$M$125,"&gt;"&amp;M100)+COUNTIFS($O$26:O100,1,$L$26:L100,L100,$H$26:H100,H100,$M$26:M100,M100))</x:f>
      </x:c>
    </x:row>
    <x:row r="101" ht="32" customHeight="1">
      <x:c r="A101" s="2" t="str">
        <x:f>IF('Motor_Meciuri'!A81="","",'Motor_Meciuri'!A81)</x:f>
      </x:c>
      <x:c r="B101" s="13" t="str">
        <x:f>IF('Motor_Meciuri'!A81="","",'Motor_Meciuri'!D81)</x:f>
      </x:c>
      <x:c r="C101" s="2" t="str">
        <x:f>IF('Motor_Meciuri'!A81="","",'Motor_Meciuri'!E81)</x:f>
      </x:c>
      <x:c r="D101" s="2" t="str">
        <x:f>IF('Motor_Meciuri'!A81="","",'Motor_Meciuri'!H81)</x:f>
      </x:c>
      <x:c r="E101" s="2" t="str">
        <x:f>IF('Motor_Meciuri'!A81="","",'Motor_Meciuri'!I81)</x:f>
      </x:c>
      <x:c r="F101" s="2" t="str">
        <x:f>IF(K101=0,"",INDEX('Analiza_Linii'!F1056:F1069,K101))</x:f>
      </x:c>
      <x:c r="G101" s="2" t="str">
        <x:f>IF(A101="","",IF(D101&lt;&gt;"READY","NOT RELEASED",IF(K101=0,IF(E101="FAIL","NO BET","WATCH / NO BET"),INDEX('Analiza_Linii'!AA1056:AA1069,K101))))</x:f>
      </x:c>
      <x:c r="H101" s="16" t="str">
        <x:f>IF(K101=0,"",INDEX('Analiza_Linii'!AB1056:AB1069,K101))</x:f>
      </x:c>
      <x:c r="I101" s="13" t="str">
        <x:f>IF(A101="","",IF(E101&lt;&gt;"PASS",'Motor_Meciuri'!J81,IF(K101=0,"Nicio linie eligibila; vezi motivele din Analiza_Linii",INDEX('Analiza_Linii'!AH1056:AH1069,K101))))</x:f>
      </x:c>
      <x:c r="J101" s="2"/>
      <x:c r="K101" s="2" t="n">
        <x:f>IF(A101="",0,IFERROR(MATCH(1,'Analiza_Linii'!AC1056:AC1069,0),0))</x:f>
        <x:v>0</x:v>
      </x:c>
      <x:c r="L101" s="2" t="str">
        <x:f>IF(K101=0,"",INDEX('Analiza_Linii'!Z1056:Z1069,K101))</x:f>
      </x:c>
      <x:c r="M101" s="2" t="str">
        <x:f>IF(K101=0,"",INDEX('Analiza_Linii'!V1056:V1069,K101))</x:f>
      </x:c>
      <x:c r="N101" s="2" t="str">
        <x:f>IF(K101=0,"",INDEX('Analiza_Linii'!T1056:T1069,K101))</x:f>
      </x:c>
      <x:c r="O101" s="2" t="n">
        <x:f>IF(AND(C101="LIVE",K101&gt;0),1,0)</x:f>
        <x:v>0</x:v>
      </x:c>
      <x:c r="P101" s="2" t="str">
        <x:f>IF(O101&lt;&gt;1,"",COUNTIFS($O$26:$O$125,1,$L$26:$L$125,"&lt;"&amp;L101)+COUNTIFS($O$26:$O$125,1,$L$26:$L$125,L101,$H$26:$H$125,"&gt;"&amp;H101)+COUNTIFS($O$26:$O$125,1,$L$26:$L$125,L101,$H$26:$H$125,H101,$M$26:$M$125,"&gt;"&amp;M101)+COUNTIFS($O$26:O101,1,$L$26:L101,L101,$H$26:H101,H101,$M$26:M101,M101))</x:f>
      </x:c>
    </x:row>
    <x:row r="102" ht="32" customHeight="1">
      <x:c r="A102" s="2" t="str">
        <x:f>IF('Motor_Meciuri'!A82="","",'Motor_Meciuri'!A82)</x:f>
      </x:c>
      <x:c r="B102" s="13" t="str">
        <x:f>IF('Motor_Meciuri'!A82="","",'Motor_Meciuri'!D82)</x:f>
      </x:c>
      <x:c r="C102" s="2" t="str">
        <x:f>IF('Motor_Meciuri'!A82="","",'Motor_Meciuri'!E82)</x:f>
      </x:c>
      <x:c r="D102" s="2" t="str">
        <x:f>IF('Motor_Meciuri'!A82="","",'Motor_Meciuri'!H82)</x:f>
      </x:c>
      <x:c r="E102" s="2" t="str">
        <x:f>IF('Motor_Meciuri'!A82="","",'Motor_Meciuri'!I82)</x:f>
      </x:c>
      <x:c r="F102" s="2" t="str">
        <x:f>IF(K102=0,"",INDEX('Analiza_Linii'!F1070:F1083,K102))</x:f>
      </x:c>
      <x:c r="G102" s="2" t="str">
        <x:f>IF(A102="","",IF(D102&lt;&gt;"READY","NOT RELEASED",IF(K102=0,IF(E102="FAIL","NO BET","WATCH / NO BET"),INDEX('Analiza_Linii'!AA1070:AA1083,K102))))</x:f>
      </x:c>
      <x:c r="H102" s="16" t="str">
        <x:f>IF(K102=0,"",INDEX('Analiza_Linii'!AB1070:AB1083,K102))</x:f>
      </x:c>
      <x:c r="I102" s="13" t="str">
        <x:f>IF(A102="","",IF(E102&lt;&gt;"PASS",'Motor_Meciuri'!J82,IF(K102=0,"Nicio linie eligibila; vezi motivele din Analiza_Linii",INDEX('Analiza_Linii'!AH1070:AH1083,K102))))</x:f>
      </x:c>
      <x:c r="J102" s="2"/>
      <x:c r="K102" s="2" t="n">
        <x:f>IF(A102="",0,IFERROR(MATCH(1,'Analiza_Linii'!AC1070:AC1083,0),0))</x:f>
        <x:v>0</x:v>
      </x:c>
      <x:c r="L102" s="2" t="str">
        <x:f>IF(K102=0,"",INDEX('Analiza_Linii'!Z1070:Z1083,K102))</x:f>
      </x:c>
      <x:c r="M102" s="2" t="str">
        <x:f>IF(K102=0,"",INDEX('Analiza_Linii'!V1070:V1083,K102))</x:f>
      </x:c>
      <x:c r="N102" s="2" t="str">
        <x:f>IF(K102=0,"",INDEX('Analiza_Linii'!T1070:T1083,K102))</x:f>
      </x:c>
      <x:c r="O102" s="2" t="n">
        <x:f>IF(AND(C102="LIVE",K102&gt;0),1,0)</x:f>
        <x:v>0</x:v>
      </x:c>
      <x:c r="P102" s="2" t="str">
        <x:f>IF(O102&lt;&gt;1,"",COUNTIFS($O$26:$O$125,1,$L$26:$L$125,"&lt;"&amp;L102)+COUNTIFS($O$26:$O$125,1,$L$26:$L$125,L102,$H$26:$H$125,"&gt;"&amp;H102)+COUNTIFS($O$26:$O$125,1,$L$26:$L$125,L102,$H$26:$H$125,H102,$M$26:$M$125,"&gt;"&amp;M102)+COUNTIFS($O$26:O102,1,$L$26:L102,L102,$H$26:H102,H102,$M$26:M102,M102))</x:f>
      </x:c>
    </x:row>
    <x:row r="103" ht="32" customHeight="1">
      <x:c r="A103" s="2" t="str">
        <x:f>IF('Motor_Meciuri'!A83="","",'Motor_Meciuri'!A83)</x:f>
      </x:c>
      <x:c r="B103" s="13" t="str">
        <x:f>IF('Motor_Meciuri'!A83="","",'Motor_Meciuri'!D83)</x:f>
      </x:c>
      <x:c r="C103" s="2" t="str">
        <x:f>IF('Motor_Meciuri'!A83="","",'Motor_Meciuri'!E83)</x:f>
      </x:c>
      <x:c r="D103" s="2" t="str">
        <x:f>IF('Motor_Meciuri'!A83="","",'Motor_Meciuri'!H83)</x:f>
      </x:c>
      <x:c r="E103" s="2" t="str">
        <x:f>IF('Motor_Meciuri'!A83="","",'Motor_Meciuri'!I83)</x:f>
      </x:c>
      <x:c r="F103" s="2" t="str">
        <x:f>IF(K103=0,"",INDEX('Analiza_Linii'!F1084:F1097,K103))</x:f>
      </x:c>
      <x:c r="G103" s="2" t="str">
        <x:f>IF(A103="","",IF(D103&lt;&gt;"READY","NOT RELEASED",IF(K103=0,IF(E103="FAIL","NO BET","WATCH / NO BET"),INDEX('Analiza_Linii'!AA1084:AA1097,K103))))</x:f>
      </x:c>
      <x:c r="H103" s="16" t="str">
        <x:f>IF(K103=0,"",INDEX('Analiza_Linii'!AB1084:AB1097,K103))</x:f>
      </x:c>
      <x:c r="I103" s="13" t="str">
        <x:f>IF(A103="","",IF(E103&lt;&gt;"PASS",'Motor_Meciuri'!J83,IF(K103=0,"Nicio linie eligibila; vezi motivele din Analiza_Linii",INDEX('Analiza_Linii'!AH1084:AH1097,K103))))</x:f>
      </x:c>
      <x:c r="J103" s="2"/>
      <x:c r="K103" s="2" t="n">
        <x:f>IF(A103="",0,IFERROR(MATCH(1,'Analiza_Linii'!AC1084:AC1097,0),0))</x:f>
        <x:v>0</x:v>
      </x:c>
      <x:c r="L103" s="2" t="str">
        <x:f>IF(K103=0,"",INDEX('Analiza_Linii'!Z1084:Z1097,K103))</x:f>
      </x:c>
      <x:c r="M103" s="2" t="str">
        <x:f>IF(K103=0,"",INDEX('Analiza_Linii'!V1084:V1097,K103))</x:f>
      </x:c>
      <x:c r="N103" s="2" t="str">
        <x:f>IF(K103=0,"",INDEX('Analiza_Linii'!T1084:T1097,K103))</x:f>
      </x:c>
      <x:c r="O103" s="2" t="n">
        <x:f>IF(AND(C103="LIVE",K103&gt;0),1,0)</x:f>
        <x:v>0</x:v>
      </x:c>
      <x:c r="P103" s="2" t="str">
        <x:f>IF(O103&lt;&gt;1,"",COUNTIFS($O$26:$O$125,1,$L$26:$L$125,"&lt;"&amp;L103)+COUNTIFS($O$26:$O$125,1,$L$26:$L$125,L103,$H$26:$H$125,"&gt;"&amp;H103)+COUNTIFS($O$26:$O$125,1,$L$26:$L$125,L103,$H$26:$H$125,H103,$M$26:$M$125,"&gt;"&amp;M103)+COUNTIFS($O$26:O103,1,$L$26:L103,L103,$H$26:H103,H103,$M$26:M103,M103))</x:f>
      </x:c>
    </x:row>
    <x:row r="104" ht="32" customHeight="1">
      <x:c r="A104" s="2" t="str">
        <x:f>IF('Motor_Meciuri'!A84="","",'Motor_Meciuri'!A84)</x:f>
      </x:c>
      <x:c r="B104" s="13" t="str">
        <x:f>IF('Motor_Meciuri'!A84="","",'Motor_Meciuri'!D84)</x:f>
      </x:c>
      <x:c r="C104" s="2" t="str">
        <x:f>IF('Motor_Meciuri'!A84="","",'Motor_Meciuri'!E84)</x:f>
      </x:c>
      <x:c r="D104" s="2" t="str">
        <x:f>IF('Motor_Meciuri'!A84="","",'Motor_Meciuri'!H84)</x:f>
      </x:c>
      <x:c r="E104" s="2" t="str">
        <x:f>IF('Motor_Meciuri'!A84="","",'Motor_Meciuri'!I84)</x:f>
      </x:c>
      <x:c r="F104" s="2" t="str">
        <x:f>IF(K104=0,"",INDEX('Analiza_Linii'!F1098:F1111,K104))</x:f>
      </x:c>
      <x:c r="G104" s="2" t="str">
        <x:f>IF(A104="","",IF(D104&lt;&gt;"READY","NOT RELEASED",IF(K104=0,IF(E104="FAIL","NO BET","WATCH / NO BET"),INDEX('Analiza_Linii'!AA1098:AA1111,K104))))</x:f>
      </x:c>
      <x:c r="H104" s="16" t="str">
        <x:f>IF(K104=0,"",INDEX('Analiza_Linii'!AB1098:AB1111,K104))</x:f>
      </x:c>
      <x:c r="I104" s="13" t="str">
        <x:f>IF(A104="","",IF(E104&lt;&gt;"PASS",'Motor_Meciuri'!J84,IF(K104=0,"Nicio linie eligibila; vezi motivele din Analiza_Linii",INDEX('Analiza_Linii'!AH1098:AH1111,K104))))</x:f>
      </x:c>
      <x:c r="J104" s="2"/>
      <x:c r="K104" s="2" t="n">
        <x:f>IF(A104="",0,IFERROR(MATCH(1,'Analiza_Linii'!AC1098:AC1111,0),0))</x:f>
        <x:v>0</x:v>
      </x:c>
      <x:c r="L104" s="2" t="str">
        <x:f>IF(K104=0,"",INDEX('Analiza_Linii'!Z1098:Z1111,K104))</x:f>
      </x:c>
      <x:c r="M104" s="2" t="str">
        <x:f>IF(K104=0,"",INDEX('Analiza_Linii'!V1098:V1111,K104))</x:f>
      </x:c>
      <x:c r="N104" s="2" t="str">
        <x:f>IF(K104=0,"",INDEX('Analiza_Linii'!T1098:T1111,K104))</x:f>
      </x:c>
      <x:c r="O104" s="2" t="n">
        <x:f>IF(AND(C104="LIVE",K104&gt;0),1,0)</x:f>
        <x:v>0</x:v>
      </x:c>
      <x:c r="P104" s="2" t="str">
        <x:f>IF(O104&lt;&gt;1,"",COUNTIFS($O$26:$O$125,1,$L$26:$L$125,"&lt;"&amp;L104)+COUNTIFS($O$26:$O$125,1,$L$26:$L$125,L104,$H$26:$H$125,"&gt;"&amp;H104)+COUNTIFS($O$26:$O$125,1,$L$26:$L$125,L104,$H$26:$H$125,H104,$M$26:$M$125,"&gt;"&amp;M104)+COUNTIFS($O$26:O104,1,$L$26:L104,L104,$H$26:H104,H104,$M$26:M104,M104))</x:f>
      </x:c>
    </x:row>
    <x:row r="105" ht="32" customHeight="1">
      <x:c r="A105" s="2" t="str">
        <x:f>IF('Motor_Meciuri'!A85="","",'Motor_Meciuri'!A85)</x:f>
      </x:c>
      <x:c r="B105" s="13" t="str">
        <x:f>IF('Motor_Meciuri'!A85="","",'Motor_Meciuri'!D85)</x:f>
      </x:c>
      <x:c r="C105" s="2" t="str">
        <x:f>IF('Motor_Meciuri'!A85="","",'Motor_Meciuri'!E85)</x:f>
      </x:c>
      <x:c r="D105" s="2" t="str">
        <x:f>IF('Motor_Meciuri'!A85="","",'Motor_Meciuri'!H85)</x:f>
      </x:c>
      <x:c r="E105" s="2" t="str">
        <x:f>IF('Motor_Meciuri'!A85="","",'Motor_Meciuri'!I85)</x:f>
      </x:c>
      <x:c r="F105" s="2" t="str">
        <x:f>IF(K105=0,"",INDEX('Analiza_Linii'!F1112:F1125,K105))</x:f>
      </x:c>
      <x:c r="G105" s="2" t="str">
        <x:f>IF(A105="","",IF(D105&lt;&gt;"READY","NOT RELEASED",IF(K105=0,IF(E105="FAIL","NO BET","WATCH / NO BET"),INDEX('Analiza_Linii'!AA1112:AA1125,K105))))</x:f>
      </x:c>
      <x:c r="H105" s="16" t="str">
        <x:f>IF(K105=0,"",INDEX('Analiza_Linii'!AB1112:AB1125,K105))</x:f>
      </x:c>
      <x:c r="I105" s="13" t="str">
        <x:f>IF(A105="","",IF(E105&lt;&gt;"PASS",'Motor_Meciuri'!J85,IF(K105=0,"Nicio linie eligibila; vezi motivele din Analiza_Linii",INDEX('Analiza_Linii'!AH1112:AH1125,K105))))</x:f>
      </x:c>
      <x:c r="J105" s="2"/>
      <x:c r="K105" s="2" t="n">
        <x:f>IF(A105="",0,IFERROR(MATCH(1,'Analiza_Linii'!AC1112:AC1125,0),0))</x:f>
        <x:v>0</x:v>
      </x:c>
      <x:c r="L105" s="2" t="str">
        <x:f>IF(K105=0,"",INDEX('Analiza_Linii'!Z1112:Z1125,K105))</x:f>
      </x:c>
      <x:c r="M105" s="2" t="str">
        <x:f>IF(K105=0,"",INDEX('Analiza_Linii'!V1112:V1125,K105))</x:f>
      </x:c>
      <x:c r="N105" s="2" t="str">
        <x:f>IF(K105=0,"",INDEX('Analiza_Linii'!T1112:T1125,K105))</x:f>
      </x:c>
      <x:c r="O105" s="2" t="n">
        <x:f>IF(AND(C105="LIVE",K105&gt;0),1,0)</x:f>
        <x:v>0</x:v>
      </x:c>
      <x:c r="P105" s="2" t="str">
        <x:f>IF(O105&lt;&gt;1,"",COUNTIFS($O$26:$O$125,1,$L$26:$L$125,"&lt;"&amp;L105)+COUNTIFS($O$26:$O$125,1,$L$26:$L$125,L105,$H$26:$H$125,"&gt;"&amp;H105)+COUNTIFS($O$26:$O$125,1,$L$26:$L$125,L105,$H$26:$H$125,H105,$M$26:$M$125,"&gt;"&amp;M105)+COUNTIFS($O$26:O105,1,$L$26:L105,L105,$H$26:H105,H105,$M$26:M105,M105))</x:f>
      </x:c>
    </x:row>
    <x:row r="106" ht="32" customHeight="1">
      <x:c r="A106" s="2" t="str">
        <x:f>IF('Motor_Meciuri'!A86="","",'Motor_Meciuri'!A86)</x:f>
      </x:c>
      <x:c r="B106" s="13" t="str">
        <x:f>IF('Motor_Meciuri'!A86="","",'Motor_Meciuri'!D86)</x:f>
      </x:c>
      <x:c r="C106" s="2" t="str">
        <x:f>IF('Motor_Meciuri'!A86="","",'Motor_Meciuri'!E86)</x:f>
      </x:c>
      <x:c r="D106" s="2" t="str">
        <x:f>IF('Motor_Meciuri'!A86="","",'Motor_Meciuri'!H86)</x:f>
      </x:c>
      <x:c r="E106" s="2" t="str">
        <x:f>IF('Motor_Meciuri'!A86="","",'Motor_Meciuri'!I86)</x:f>
      </x:c>
      <x:c r="F106" s="2" t="str">
        <x:f>IF(K106=0,"",INDEX('Analiza_Linii'!F1126:F1139,K106))</x:f>
      </x:c>
      <x:c r="G106" s="2" t="str">
        <x:f>IF(A106="","",IF(D106&lt;&gt;"READY","NOT RELEASED",IF(K106=0,IF(E106="FAIL","NO BET","WATCH / NO BET"),INDEX('Analiza_Linii'!AA1126:AA1139,K106))))</x:f>
      </x:c>
      <x:c r="H106" s="16" t="str">
        <x:f>IF(K106=0,"",INDEX('Analiza_Linii'!AB1126:AB1139,K106))</x:f>
      </x:c>
      <x:c r="I106" s="13" t="str">
        <x:f>IF(A106="","",IF(E106&lt;&gt;"PASS",'Motor_Meciuri'!J86,IF(K106=0,"Nicio linie eligibila; vezi motivele din Analiza_Linii",INDEX('Analiza_Linii'!AH1126:AH1139,K106))))</x:f>
      </x:c>
      <x:c r="J106" s="2"/>
      <x:c r="K106" s="2" t="n">
        <x:f>IF(A106="",0,IFERROR(MATCH(1,'Analiza_Linii'!AC1126:AC1139,0),0))</x:f>
        <x:v>0</x:v>
      </x:c>
      <x:c r="L106" s="2" t="str">
        <x:f>IF(K106=0,"",INDEX('Analiza_Linii'!Z1126:Z1139,K106))</x:f>
      </x:c>
      <x:c r="M106" s="2" t="str">
        <x:f>IF(K106=0,"",INDEX('Analiza_Linii'!V1126:V1139,K106))</x:f>
      </x:c>
      <x:c r="N106" s="2" t="str">
        <x:f>IF(K106=0,"",INDEX('Analiza_Linii'!T1126:T1139,K106))</x:f>
      </x:c>
      <x:c r="O106" s="2" t="n">
        <x:f>IF(AND(C106="LIVE",K106&gt;0),1,0)</x:f>
        <x:v>0</x:v>
      </x:c>
      <x:c r="P106" s="2" t="str">
        <x:f>IF(O106&lt;&gt;1,"",COUNTIFS($O$26:$O$125,1,$L$26:$L$125,"&lt;"&amp;L106)+COUNTIFS($O$26:$O$125,1,$L$26:$L$125,L106,$H$26:$H$125,"&gt;"&amp;H106)+COUNTIFS($O$26:$O$125,1,$L$26:$L$125,L106,$H$26:$H$125,H106,$M$26:$M$125,"&gt;"&amp;M106)+COUNTIFS($O$26:O106,1,$L$26:L106,L106,$H$26:H106,H106,$M$26:M106,M106))</x:f>
      </x:c>
    </x:row>
    <x:row r="107" ht="32" customHeight="1">
      <x:c r="A107" s="2" t="str">
        <x:f>IF('Motor_Meciuri'!A87="","",'Motor_Meciuri'!A87)</x:f>
      </x:c>
      <x:c r="B107" s="13" t="str">
        <x:f>IF('Motor_Meciuri'!A87="","",'Motor_Meciuri'!D87)</x:f>
      </x:c>
      <x:c r="C107" s="2" t="str">
        <x:f>IF('Motor_Meciuri'!A87="","",'Motor_Meciuri'!E87)</x:f>
      </x:c>
      <x:c r="D107" s="2" t="str">
        <x:f>IF('Motor_Meciuri'!A87="","",'Motor_Meciuri'!H87)</x:f>
      </x:c>
      <x:c r="E107" s="2" t="str">
        <x:f>IF('Motor_Meciuri'!A87="","",'Motor_Meciuri'!I87)</x:f>
      </x:c>
      <x:c r="F107" s="2" t="str">
        <x:f>IF(K107=0,"",INDEX('Analiza_Linii'!F1140:F1153,K107))</x:f>
      </x:c>
      <x:c r="G107" s="2" t="str">
        <x:f>IF(A107="","",IF(D107&lt;&gt;"READY","NOT RELEASED",IF(K107=0,IF(E107="FAIL","NO BET","WATCH / NO BET"),INDEX('Analiza_Linii'!AA1140:AA1153,K107))))</x:f>
      </x:c>
      <x:c r="H107" s="16" t="str">
        <x:f>IF(K107=0,"",INDEX('Analiza_Linii'!AB1140:AB1153,K107))</x:f>
      </x:c>
      <x:c r="I107" s="13" t="str">
        <x:f>IF(A107="","",IF(E107&lt;&gt;"PASS",'Motor_Meciuri'!J87,IF(K107=0,"Nicio linie eligibila; vezi motivele din Analiza_Linii",INDEX('Analiza_Linii'!AH1140:AH1153,K107))))</x:f>
      </x:c>
      <x:c r="J107" s="2"/>
      <x:c r="K107" s="2" t="n">
        <x:f>IF(A107="",0,IFERROR(MATCH(1,'Analiza_Linii'!AC1140:AC1153,0),0))</x:f>
        <x:v>0</x:v>
      </x:c>
      <x:c r="L107" s="2" t="str">
        <x:f>IF(K107=0,"",INDEX('Analiza_Linii'!Z1140:Z1153,K107))</x:f>
      </x:c>
      <x:c r="M107" s="2" t="str">
        <x:f>IF(K107=0,"",INDEX('Analiza_Linii'!V1140:V1153,K107))</x:f>
      </x:c>
      <x:c r="N107" s="2" t="str">
        <x:f>IF(K107=0,"",INDEX('Analiza_Linii'!T1140:T1153,K107))</x:f>
      </x:c>
      <x:c r="O107" s="2" t="n">
        <x:f>IF(AND(C107="LIVE",K107&gt;0),1,0)</x:f>
        <x:v>0</x:v>
      </x:c>
      <x:c r="P107" s="2" t="str">
        <x:f>IF(O107&lt;&gt;1,"",COUNTIFS($O$26:$O$125,1,$L$26:$L$125,"&lt;"&amp;L107)+COUNTIFS($O$26:$O$125,1,$L$26:$L$125,L107,$H$26:$H$125,"&gt;"&amp;H107)+COUNTIFS($O$26:$O$125,1,$L$26:$L$125,L107,$H$26:$H$125,H107,$M$26:$M$125,"&gt;"&amp;M107)+COUNTIFS($O$26:O107,1,$L$26:L107,L107,$H$26:H107,H107,$M$26:M107,M107))</x:f>
      </x:c>
    </x:row>
    <x:row r="108" ht="32" customHeight="1">
      <x:c r="A108" s="2" t="str">
        <x:f>IF('Motor_Meciuri'!A88="","",'Motor_Meciuri'!A88)</x:f>
      </x:c>
      <x:c r="B108" s="13" t="str">
        <x:f>IF('Motor_Meciuri'!A88="","",'Motor_Meciuri'!D88)</x:f>
      </x:c>
      <x:c r="C108" s="2" t="str">
        <x:f>IF('Motor_Meciuri'!A88="","",'Motor_Meciuri'!E88)</x:f>
      </x:c>
      <x:c r="D108" s="2" t="str">
        <x:f>IF('Motor_Meciuri'!A88="","",'Motor_Meciuri'!H88)</x:f>
      </x:c>
      <x:c r="E108" s="2" t="str">
        <x:f>IF('Motor_Meciuri'!A88="","",'Motor_Meciuri'!I88)</x:f>
      </x:c>
      <x:c r="F108" s="2" t="str">
        <x:f>IF(K108=0,"",INDEX('Analiza_Linii'!F1154:F1167,K108))</x:f>
      </x:c>
      <x:c r="G108" s="2" t="str">
        <x:f>IF(A108="","",IF(D108&lt;&gt;"READY","NOT RELEASED",IF(K108=0,IF(E108="FAIL","NO BET","WATCH / NO BET"),INDEX('Analiza_Linii'!AA1154:AA1167,K108))))</x:f>
      </x:c>
      <x:c r="H108" s="16" t="str">
        <x:f>IF(K108=0,"",INDEX('Analiza_Linii'!AB1154:AB1167,K108))</x:f>
      </x:c>
      <x:c r="I108" s="13" t="str">
        <x:f>IF(A108="","",IF(E108&lt;&gt;"PASS",'Motor_Meciuri'!J88,IF(K108=0,"Nicio linie eligibila; vezi motivele din Analiza_Linii",INDEX('Analiza_Linii'!AH1154:AH1167,K108))))</x:f>
      </x:c>
      <x:c r="J108" s="2"/>
      <x:c r="K108" s="2" t="n">
        <x:f>IF(A108="",0,IFERROR(MATCH(1,'Analiza_Linii'!AC1154:AC1167,0),0))</x:f>
        <x:v>0</x:v>
      </x:c>
      <x:c r="L108" s="2" t="str">
        <x:f>IF(K108=0,"",INDEX('Analiza_Linii'!Z1154:Z1167,K108))</x:f>
      </x:c>
      <x:c r="M108" s="2" t="str">
        <x:f>IF(K108=0,"",INDEX('Analiza_Linii'!V1154:V1167,K108))</x:f>
      </x:c>
      <x:c r="N108" s="2" t="str">
        <x:f>IF(K108=0,"",INDEX('Analiza_Linii'!T1154:T1167,K108))</x:f>
      </x:c>
      <x:c r="O108" s="2" t="n">
        <x:f>IF(AND(C108="LIVE",K108&gt;0),1,0)</x:f>
        <x:v>0</x:v>
      </x:c>
      <x:c r="P108" s="2" t="str">
        <x:f>IF(O108&lt;&gt;1,"",COUNTIFS($O$26:$O$125,1,$L$26:$L$125,"&lt;"&amp;L108)+COUNTIFS($O$26:$O$125,1,$L$26:$L$125,L108,$H$26:$H$125,"&gt;"&amp;H108)+COUNTIFS($O$26:$O$125,1,$L$26:$L$125,L108,$H$26:$H$125,H108,$M$26:$M$125,"&gt;"&amp;M108)+COUNTIFS($O$26:O108,1,$L$26:L108,L108,$H$26:H108,H108,$M$26:M108,M108))</x:f>
      </x:c>
    </x:row>
    <x:row r="109" ht="32" customHeight="1">
      <x:c r="A109" s="2" t="str">
        <x:f>IF('Motor_Meciuri'!A89="","",'Motor_Meciuri'!A89)</x:f>
      </x:c>
      <x:c r="B109" s="13" t="str">
        <x:f>IF('Motor_Meciuri'!A89="","",'Motor_Meciuri'!D89)</x:f>
      </x:c>
      <x:c r="C109" s="2" t="str">
        <x:f>IF('Motor_Meciuri'!A89="","",'Motor_Meciuri'!E89)</x:f>
      </x:c>
      <x:c r="D109" s="2" t="str">
        <x:f>IF('Motor_Meciuri'!A89="","",'Motor_Meciuri'!H89)</x:f>
      </x:c>
      <x:c r="E109" s="2" t="str">
        <x:f>IF('Motor_Meciuri'!A89="","",'Motor_Meciuri'!I89)</x:f>
      </x:c>
      <x:c r="F109" s="2" t="str">
        <x:f>IF(K109=0,"",INDEX('Analiza_Linii'!F1168:F1181,K109))</x:f>
      </x:c>
      <x:c r="G109" s="2" t="str">
        <x:f>IF(A109="","",IF(D109&lt;&gt;"READY","NOT RELEASED",IF(K109=0,IF(E109="FAIL","NO BET","WATCH / NO BET"),INDEX('Analiza_Linii'!AA1168:AA1181,K109))))</x:f>
      </x:c>
      <x:c r="H109" s="16" t="str">
        <x:f>IF(K109=0,"",INDEX('Analiza_Linii'!AB1168:AB1181,K109))</x:f>
      </x:c>
      <x:c r="I109" s="13" t="str">
        <x:f>IF(A109="","",IF(E109&lt;&gt;"PASS",'Motor_Meciuri'!J89,IF(K109=0,"Nicio linie eligibila; vezi motivele din Analiza_Linii",INDEX('Analiza_Linii'!AH1168:AH1181,K109))))</x:f>
      </x:c>
      <x:c r="J109" s="2"/>
      <x:c r="K109" s="2" t="n">
        <x:f>IF(A109="",0,IFERROR(MATCH(1,'Analiza_Linii'!AC1168:AC1181,0),0))</x:f>
        <x:v>0</x:v>
      </x:c>
      <x:c r="L109" s="2" t="str">
        <x:f>IF(K109=0,"",INDEX('Analiza_Linii'!Z1168:Z1181,K109))</x:f>
      </x:c>
      <x:c r="M109" s="2" t="str">
        <x:f>IF(K109=0,"",INDEX('Analiza_Linii'!V1168:V1181,K109))</x:f>
      </x:c>
      <x:c r="N109" s="2" t="str">
        <x:f>IF(K109=0,"",INDEX('Analiza_Linii'!T1168:T1181,K109))</x:f>
      </x:c>
      <x:c r="O109" s="2" t="n">
        <x:f>IF(AND(C109="LIVE",K109&gt;0),1,0)</x:f>
        <x:v>0</x:v>
      </x:c>
      <x:c r="P109" s="2" t="str">
        <x:f>IF(O109&lt;&gt;1,"",COUNTIFS($O$26:$O$125,1,$L$26:$L$125,"&lt;"&amp;L109)+COUNTIFS($O$26:$O$125,1,$L$26:$L$125,L109,$H$26:$H$125,"&gt;"&amp;H109)+COUNTIFS($O$26:$O$125,1,$L$26:$L$125,L109,$H$26:$H$125,H109,$M$26:$M$125,"&gt;"&amp;M109)+COUNTIFS($O$26:O109,1,$L$26:L109,L109,$H$26:H109,H109,$M$26:M109,M109))</x:f>
      </x:c>
    </x:row>
    <x:row r="110" ht="32" customHeight="1">
      <x:c r="A110" s="2" t="str">
        <x:f>IF('Motor_Meciuri'!A90="","",'Motor_Meciuri'!A90)</x:f>
      </x:c>
      <x:c r="B110" s="13" t="str">
        <x:f>IF('Motor_Meciuri'!A90="","",'Motor_Meciuri'!D90)</x:f>
      </x:c>
      <x:c r="C110" s="2" t="str">
        <x:f>IF('Motor_Meciuri'!A90="","",'Motor_Meciuri'!E90)</x:f>
      </x:c>
      <x:c r="D110" s="2" t="str">
        <x:f>IF('Motor_Meciuri'!A90="","",'Motor_Meciuri'!H90)</x:f>
      </x:c>
      <x:c r="E110" s="2" t="str">
        <x:f>IF('Motor_Meciuri'!A90="","",'Motor_Meciuri'!I90)</x:f>
      </x:c>
      <x:c r="F110" s="2" t="str">
        <x:f>IF(K110=0,"",INDEX('Analiza_Linii'!F1182:F1195,K110))</x:f>
      </x:c>
      <x:c r="G110" s="2" t="str">
        <x:f>IF(A110="","",IF(D110&lt;&gt;"READY","NOT RELEASED",IF(K110=0,IF(E110="FAIL","NO BET","WATCH / NO BET"),INDEX('Analiza_Linii'!AA1182:AA1195,K110))))</x:f>
      </x:c>
      <x:c r="H110" s="16" t="str">
        <x:f>IF(K110=0,"",INDEX('Analiza_Linii'!AB1182:AB1195,K110))</x:f>
      </x:c>
      <x:c r="I110" s="13" t="str">
        <x:f>IF(A110="","",IF(E110&lt;&gt;"PASS",'Motor_Meciuri'!J90,IF(K110=0,"Nicio linie eligibila; vezi motivele din Analiza_Linii",INDEX('Analiza_Linii'!AH1182:AH1195,K110))))</x:f>
      </x:c>
      <x:c r="J110" s="2"/>
      <x:c r="K110" s="2" t="n">
        <x:f>IF(A110="",0,IFERROR(MATCH(1,'Analiza_Linii'!AC1182:AC1195,0),0))</x:f>
        <x:v>0</x:v>
      </x:c>
      <x:c r="L110" s="2" t="str">
        <x:f>IF(K110=0,"",INDEX('Analiza_Linii'!Z1182:Z1195,K110))</x:f>
      </x:c>
      <x:c r="M110" s="2" t="str">
        <x:f>IF(K110=0,"",INDEX('Analiza_Linii'!V1182:V1195,K110))</x:f>
      </x:c>
      <x:c r="N110" s="2" t="str">
        <x:f>IF(K110=0,"",INDEX('Analiza_Linii'!T1182:T1195,K110))</x:f>
      </x:c>
      <x:c r="O110" s="2" t="n">
        <x:f>IF(AND(C110="LIVE",K110&gt;0),1,0)</x:f>
        <x:v>0</x:v>
      </x:c>
      <x:c r="P110" s="2" t="str">
        <x:f>IF(O110&lt;&gt;1,"",COUNTIFS($O$26:$O$125,1,$L$26:$L$125,"&lt;"&amp;L110)+COUNTIFS($O$26:$O$125,1,$L$26:$L$125,L110,$H$26:$H$125,"&gt;"&amp;H110)+COUNTIFS($O$26:$O$125,1,$L$26:$L$125,L110,$H$26:$H$125,H110,$M$26:$M$125,"&gt;"&amp;M110)+COUNTIFS($O$26:O110,1,$L$26:L110,L110,$H$26:H110,H110,$M$26:M110,M110))</x:f>
      </x:c>
    </x:row>
    <x:row r="111" ht="32" customHeight="1">
      <x:c r="A111" s="2" t="str">
        <x:f>IF('Motor_Meciuri'!A91="","",'Motor_Meciuri'!A91)</x:f>
      </x:c>
      <x:c r="B111" s="13" t="str">
        <x:f>IF('Motor_Meciuri'!A91="","",'Motor_Meciuri'!D91)</x:f>
      </x:c>
      <x:c r="C111" s="2" t="str">
        <x:f>IF('Motor_Meciuri'!A91="","",'Motor_Meciuri'!E91)</x:f>
      </x:c>
      <x:c r="D111" s="2" t="str">
        <x:f>IF('Motor_Meciuri'!A91="","",'Motor_Meciuri'!H91)</x:f>
      </x:c>
      <x:c r="E111" s="2" t="str">
        <x:f>IF('Motor_Meciuri'!A91="","",'Motor_Meciuri'!I91)</x:f>
      </x:c>
      <x:c r="F111" s="2" t="str">
        <x:f>IF(K111=0,"",INDEX('Analiza_Linii'!F1196:F1209,K111))</x:f>
      </x:c>
      <x:c r="G111" s="2" t="str">
        <x:f>IF(A111="","",IF(D111&lt;&gt;"READY","NOT RELEASED",IF(K111=0,IF(E111="FAIL","NO BET","WATCH / NO BET"),INDEX('Analiza_Linii'!AA1196:AA1209,K111))))</x:f>
      </x:c>
      <x:c r="H111" s="16" t="str">
        <x:f>IF(K111=0,"",INDEX('Analiza_Linii'!AB1196:AB1209,K111))</x:f>
      </x:c>
      <x:c r="I111" s="13" t="str">
        <x:f>IF(A111="","",IF(E111&lt;&gt;"PASS",'Motor_Meciuri'!J91,IF(K111=0,"Nicio linie eligibila; vezi motivele din Analiza_Linii",INDEX('Analiza_Linii'!AH1196:AH1209,K111))))</x:f>
      </x:c>
      <x:c r="J111" s="2"/>
      <x:c r="K111" s="2" t="n">
        <x:f>IF(A111="",0,IFERROR(MATCH(1,'Analiza_Linii'!AC1196:AC1209,0),0))</x:f>
        <x:v>0</x:v>
      </x:c>
      <x:c r="L111" s="2" t="str">
        <x:f>IF(K111=0,"",INDEX('Analiza_Linii'!Z1196:Z1209,K111))</x:f>
      </x:c>
      <x:c r="M111" s="2" t="str">
        <x:f>IF(K111=0,"",INDEX('Analiza_Linii'!V1196:V1209,K111))</x:f>
      </x:c>
      <x:c r="N111" s="2" t="str">
        <x:f>IF(K111=0,"",INDEX('Analiza_Linii'!T1196:T1209,K111))</x:f>
      </x:c>
      <x:c r="O111" s="2" t="n">
        <x:f>IF(AND(C111="LIVE",K111&gt;0),1,0)</x:f>
        <x:v>0</x:v>
      </x:c>
      <x:c r="P111" s="2" t="str">
        <x:f>IF(O111&lt;&gt;1,"",COUNTIFS($O$26:$O$125,1,$L$26:$L$125,"&lt;"&amp;L111)+COUNTIFS($O$26:$O$125,1,$L$26:$L$125,L111,$H$26:$H$125,"&gt;"&amp;H111)+COUNTIFS($O$26:$O$125,1,$L$26:$L$125,L111,$H$26:$H$125,H111,$M$26:$M$125,"&gt;"&amp;M111)+COUNTIFS($O$26:O111,1,$L$26:L111,L111,$H$26:H111,H111,$M$26:M111,M111))</x:f>
      </x:c>
    </x:row>
    <x:row r="112" ht="32" customHeight="1">
      <x:c r="A112" s="2" t="str">
        <x:f>IF('Motor_Meciuri'!A92="","",'Motor_Meciuri'!A92)</x:f>
      </x:c>
      <x:c r="B112" s="13" t="str">
        <x:f>IF('Motor_Meciuri'!A92="","",'Motor_Meciuri'!D92)</x:f>
      </x:c>
      <x:c r="C112" s="2" t="str">
        <x:f>IF('Motor_Meciuri'!A92="","",'Motor_Meciuri'!E92)</x:f>
      </x:c>
      <x:c r="D112" s="2" t="str">
        <x:f>IF('Motor_Meciuri'!A92="","",'Motor_Meciuri'!H92)</x:f>
      </x:c>
      <x:c r="E112" s="2" t="str">
        <x:f>IF('Motor_Meciuri'!A92="","",'Motor_Meciuri'!I92)</x:f>
      </x:c>
      <x:c r="F112" s="2" t="str">
        <x:f>IF(K112=0,"",INDEX('Analiza_Linii'!F1210:F1223,K112))</x:f>
      </x:c>
      <x:c r="G112" s="2" t="str">
        <x:f>IF(A112="","",IF(D112&lt;&gt;"READY","NOT RELEASED",IF(K112=0,IF(E112="FAIL","NO BET","WATCH / NO BET"),INDEX('Analiza_Linii'!AA1210:AA1223,K112))))</x:f>
      </x:c>
      <x:c r="H112" s="16" t="str">
        <x:f>IF(K112=0,"",INDEX('Analiza_Linii'!AB1210:AB1223,K112))</x:f>
      </x:c>
      <x:c r="I112" s="13" t="str">
        <x:f>IF(A112="","",IF(E112&lt;&gt;"PASS",'Motor_Meciuri'!J92,IF(K112=0,"Nicio linie eligibila; vezi motivele din Analiza_Linii",INDEX('Analiza_Linii'!AH1210:AH1223,K112))))</x:f>
      </x:c>
      <x:c r="J112" s="2"/>
      <x:c r="K112" s="2" t="n">
        <x:f>IF(A112="",0,IFERROR(MATCH(1,'Analiza_Linii'!AC1210:AC1223,0),0))</x:f>
        <x:v>0</x:v>
      </x:c>
      <x:c r="L112" s="2" t="str">
        <x:f>IF(K112=0,"",INDEX('Analiza_Linii'!Z1210:Z1223,K112))</x:f>
      </x:c>
      <x:c r="M112" s="2" t="str">
        <x:f>IF(K112=0,"",INDEX('Analiza_Linii'!V1210:V1223,K112))</x:f>
      </x:c>
      <x:c r="N112" s="2" t="str">
        <x:f>IF(K112=0,"",INDEX('Analiza_Linii'!T1210:T1223,K112))</x:f>
      </x:c>
      <x:c r="O112" s="2" t="n">
        <x:f>IF(AND(C112="LIVE",K112&gt;0),1,0)</x:f>
        <x:v>0</x:v>
      </x:c>
      <x:c r="P112" s="2" t="str">
        <x:f>IF(O112&lt;&gt;1,"",COUNTIFS($O$26:$O$125,1,$L$26:$L$125,"&lt;"&amp;L112)+COUNTIFS($O$26:$O$125,1,$L$26:$L$125,L112,$H$26:$H$125,"&gt;"&amp;H112)+COUNTIFS($O$26:$O$125,1,$L$26:$L$125,L112,$H$26:$H$125,H112,$M$26:$M$125,"&gt;"&amp;M112)+COUNTIFS($O$26:O112,1,$L$26:L112,L112,$H$26:H112,H112,$M$26:M112,M112))</x:f>
      </x:c>
    </x:row>
    <x:row r="113" ht="32" customHeight="1">
      <x:c r="A113" s="2" t="str">
        <x:f>IF('Motor_Meciuri'!A93="","",'Motor_Meciuri'!A93)</x:f>
      </x:c>
      <x:c r="B113" s="13" t="str">
        <x:f>IF('Motor_Meciuri'!A93="","",'Motor_Meciuri'!D93)</x:f>
      </x:c>
      <x:c r="C113" s="2" t="str">
        <x:f>IF('Motor_Meciuri'!A93="","",'Motor_Meciuri'!E93)</x:f>
      </x:c>
      <x:c r="D113" s="2" t="str">
        <x:f>IF('Motor_Meciuri'!A93="","",'Motor_Meciuri'!H93)</x:f>
      </x:c>
      <x:c r="E113" s="2" t="str">
        <x:f>IF('Motor_Meciuri'!A93="","",'Motor_Meciuri'!I93)</x:f>
      </x:c>
      <x:c r="F113" s="2" t="str">
        <x:f>IF(K113=0,"",INDEX('Analiza_Linii'!F1224:F1237,K113))</x:f>
      </x:c>
      <x:c r="G113" s="2" t="str">
        <x:f>IF(A113="","",IF(D113&lt;&gt;"READY","NOT RELEASED",IF(K113=0,IF(E113="FAIL","NO BET","WATCH / NO BET"),INDEX('Analiza_Linii'!AA1224:AA1237,K113))))</x:f>
      </x:c>
      <x:c r="H113" s="16" t="str">
        <x:f>IF(K113=0,"",INDEX('Analiza_Linii'!AB1224:AB1237,K113))</x:f>
      </x:c>
      <x:c r="I113" s="13" t="str">
        <x:f>IF(A113="","",IF(E113&lt;&gt;"PASS",'Motor_Meciuri'!J93,IF(K113=0,"Nicio linie eligibila; vezi motivele din Analiza_Linii",INDEX('Analiza_Linii'!AH1224:AH1237,K113))))</x:f>
      </x:c>
      <x:c r="J113" s="2"/>
      <x:c r="K113" s="2" t="n">
        <x:f>IF(A113="",0,IFERROR(MATCH(1,'Analiza_Linii'!AC1224:AC1237,0),0))</x:f>
        <x:v>0</x:v>
      </x:c>
      <x:c r="L113" s="2" t="str">
        <x:f>IF(K113=0,"",INDEX('Analiza_Linii'!Z1224:Z1237,K113))</x:f>
      </x:c>
      <x:c r="M113" s="2" t="str">
        <x:f>IF(K113=0,"",INDEX('Analiza_Linii'!V1224:V1237,K113))</x:f>
      </x:c>
      <x:c r="N113" s="2" t="str">
        <x:f>IF(K113=0,"",INDEX('Analiza_Linii'!T1224:T1237,K113))</x:f>
      </x:c>
      <x:c r="O113" s="2" t="n">
        <x:f>IF(AND(C113="LIVE",K113&gt;0),1,0)</x:f>
        <x:v>0</x:v>
      </x:c>
      <x:c r="P113" s="2" t="str">
        <x:f>IF(O113&lt;&gt;1,"",COUNTIFS($O$26:$O$125,1,$L$26:$L$125,"&lt;"&amp;L113)+COUNTIFS($O$26:$O$125,1,$L$26:$L$125,L113,$H$26:$H$125,"&gt;"&amp;H113)+COUNTIFS($O$26:$O$125,1,$L$26:$L$125,L113,$H$26:$H$125,H113,$M$26:$M$125,"&gt;"&amp;M113)+COUNTIFS($O$26:O113,1,$L$26:L113,L113,$H$26:H113,H113,$M$26:M113,M113))</x:f>
      </x:c>
    </x:row>
    <x:row r="114" ht="32" customHeight="1">
      <x:c r="A114" s="2" t="str">
        <x:f>IF('Motor_Meciuri'!A94="","",'Motor_Meciuri'!A94)</x:f>
      </x:c>
      <x:c r="B114" s="13" t="str">
        <x:f>IF('Motor_Meciuri'!A94="","",'Motor_Meciuri'!D94)</x:f>
      </x:c>
      <x:c r="C114" s="2" t="str">
        <x:f>IF('Motor_Meciuri'!A94="","",'Motor_Meciuri'!E94)</x:f>
      </x:c>
      <x:c r="D114" s="2" t="str">
        <x:f>IF('Motor_Meciuri'!A94="","",'Motor_Meciuri'!H94)</x:f>
      </x:c>
      <x:c r="E114" s="2" t="str">
        <x:f>IF('Motor_Meciuri'!A94="","",'Motor_Meciuri'!I94)</x:f>
      </x:c>
      <x:c r="F114" s="2" t="str">
        <x:f>IF(K114=0,"",INDEX('Analiza_Linii'!F1238:F1251,K114))</x:f>
      </x:c>
      <x:c r="G114" s="2" t="str">
        <x:f>IF(A114="","",IF(D114&lt;&gt;"READY","NOT RELEASED",IF(K114=0,IF(E114="FAIL","NO BET","WATCH / NO BET"),INDEX('Analiza_Linii'!AA1238:AA1251,K114))))</x:f>
      </x:c>
      <x:c r="H114" s="16" t="str">
        <x:f>IF(K114=0,"",INDEX('Analiza_Linii'!AB1238:AB1251,K114))</x:f>
      </x:c>
      <x:c r="I114" s="13" t="str">
        <x:f>IF(A114="","",IF(E114&lt;&gt;"PASS",'Motor_Meciuri'!J94,IF(K114=0,"Nicio linie eligibila; vezi motivele din Analiza_Linii",INDEX('Analiza_Linii'!AH1238:AH1251,K114))))</x:f>
      </x:c>
      <x:c r="J114" s="2"/>
      <x:c r="K114" s="2" t="n">
        <x:f>IF(A114="",0,IFERROR(MATCH(1,'Analiza_Linii'!AC1238:AC1251,0),0))</x:f>
        <x:v>0</x:v>
      </x:c>
      <x:c r="L114" s="2" t="str">
        <x:f>IF(K114=0,"",INDEX('Analiza_Linii'!Z1238:Z1251,K114))</x:f>
      </x:c>
      <x:c r="M114" s="2" t="str">
        <x:f>IF(K114=0,"",INDEX('Analiza_Linii'!V1238:V1251,K114))</x:f>
      </x:c>
      <x:c r="N114" s="2" t="str">
        <x:f>IF(K114=0,"",INDEX('Analiza_Linii'!T1238:T1251,K114))</x:f>
      </x:c>
      <x:c r="O114" s="2" t="n">
        <x:f>IF(AND(C114="LIVE",K114&gt;0),1,0)</x:f>
        <x:v>0</x:v>
      </x:c>
      <x:c r="P114" s="2" t="str">
        <x:f>IF(O114&lt;&gt;1,"",COUNTIFS($O$26:$O$125,1,$L$26:$L$125,"&lt;"&amp;L114)+COUNTIFS($O$26:$O$125,1,$L$26:$L$125,L114,$H$26:$H$125,"&gt;"&amp;H114)+COUNTIFS($O$26:$O$125,1,$L$26:$L$125,L114,$H$26:$H$125,H114,$M$26:$M$125,"&gt;"&amp;M114)+COUNTIFS($O$26:O114,1,$L$26:L114,L114,$H$26:H114,H114,$M$26:M114,M114))</x:f>
      </x:c>
    </x:row>
    <x:row r="115" ht="32" customHeight="1">
      <x:c r="A115" s="2" t="str">
        <x:f>IF('Motor_Meciuri'!A95="","",'Motor_Meciuri'!A95)</x:f>
      </x:c>
      <x:c r="B115" s="13" t="str">
        <x:f>IF('Motor_Meciuri'!A95="","",'Motor_Meciuri'!D95)</x:f>
      </x:c>
      <x:c r="C115" s="2" t="str">
        <x:f>IF('Motor_Meciuri'!A95="","",'Motor_Meciuri'!E95)</x:f>
      </x:c>
      <x:c r="D115" s="2" t="str">
        <x:f>IF('Motor_Meciuri'!A95="","",'Motor_Meciuri'!H95)</x:f>
      </x:c>
      <x:c r="E115" s="2" t="str">
        <x:f>IF('Motor_Meciuri'!A95="","",'Motor_Meciuri'!I95)</x:f>
      </x:c>
      <x:c r="F115" s="2" t="str">
        <x:f>IF(K115=0,"",INDEX('Analiza_Linii'!F1252:F1265,K115))</x:f>
      </x:c>
      <x:c r="G115" s="2" t="str">
        <x:f>IF(A115="","",IF(D115&lt;&gt;"READY","NOT RELEASED",IF(K115=0,IF(E115="FAIL","NO BET","WATCH / NO BET"),INDEX('Analiza_Linii'!AA1252:AA1265,K115))))</x:f>
      </x:c>
      <x:c r="H115" s="16" t="str">
        <x:f>IF(K115=0,"",INDEX('Analiza_Linii'!AB1252:AB1265,K115))</x:f>
      </x:c>
      <x:c r="I115" s="13" t="str">
        <x:f>IF(A115="","",IF(E115&lt;&gt;"PASS",'Motor_Meciuri'!J95,IF(K115=0,"Nicio linie eligibila; vezi motivele din Analiza_Linii",INDEX('Analiza_Linii'!AH1252:AH1265,K115))))</x:f>
      </x:c>
      <x:c r="J115" s="2"/>
      <x:c r="K115" s="2" t="n">
        <x:f>IF(A115="",0,IFERROR(MATCH(1,'Analiza_Linii'!AC1252:AC1265,0),0))</x:f>
        <x:v>0</x:v>
      </x:c>
      <x:c r="L115" s="2" t="str">
        <x:f>IF(K115=0,"",INDEX('Analiza_Linii'!Z1252:Z1265,K115))</x:f>
      </x:c>
      <x:c r="M115" s="2" t="str">
        <x:f>IF(K115=0,"",INDEX('Analiza_Linii'!V1252:V1265,K115))</x:f>
      </x:c>
      <x:c r="N115" s="2" t="str">
        <x:f>IF(K115=0,"",INDEX('Analiza_Linii'!T1252:T1265,K115))</x:f>
      </x:c>
      <x:c r="O115" s="2" t="n">
        <x:f>IF(AND(C115="LIVE",K115&gt;0),1,0)</x:f>
        <x:v>0</x:v>
      </x:c>
      <x:c r="P115" s="2" t="str">
        <x:f>IF(O115&lt;&gt;1,"",COUNTIFS($O$26:$O$125,1,$L$26:$L$125,"&lt;"&amp;L115)+COUNTIFS($O$26:$O$125,1,$L$26:$L$125,L115,$H$26:$H$125,"&gt;"&amp;H115)+COUNTIFS($O$26:$O$125,1,$L$26:$L$125,L115,$H$26:$H$125,H115,$M$26:$M$125,"&gt;"&amp;M115)+COUNTIFS($O$26:O115,1,$L$26:L115,L115,$H$26:H115,H115,$M$26:M115,M115))</x:f>
      </x:c>
    </x:row>
    <x:row r="116" ht="32" customHeight="1">
      <x:c r="A116" s="2" t="str">
        <x:f>IF('Motor_Meciuri'!A96="","",'Motor_Meciuri'!A96)</x:f>
      </x:c>
      <x:c r="B116" s="13" t="str">
        <x:f>IF('Motor_Meciuri'!A96="","",'Motor_Meciuri'!D96)</x:f>
      </x:c>
      <x:c r="C116" s="2" t="str">
        <x:f>IF('Motor_Meciuri'!A96="","",'Motor_Meciuri'!E96)</x:f>
      </x:c>
      <x:c r="D116" s="2" t="str">
        <x:f>IF('Motor_Meciuri'!A96="","",'Motor_Meciuri'!H96)</x:f>
      </x:c>
      <x:c r="E116" s="2" t="str">
        <x:f>IF('Motor_Meciuri'!A96="","",'Motor_Meciuri'!I96)</x:f>
      </x:c>
      <x:c r="F116" s="2" t="str">
        <x:f>IF(K116=0,"",INDEX('Analiza_Linii'!F1266:F1279,K116))</x:f>
      </x:c>
      <x:c r="G116" s="2" t="str">
        <x:f>IF(A116="","",IF(D116&lt;&gt;"READY","NOT RELEASED",IF(K116=0,IF(E116="FAIL","NO BET","WATCH / NO BET"),INDEX('Analiza_Linii'!AA1266:AA1279,K116))))</x:f>
      </x:c>
      <x:c r="H116" s="16" t="str">
        <x:f>IF(K116=0,"",INDEX('Analiza_Linii'!AB1266:AB1279,K116))</x:f>
      </x:c>
      <x:c r="I116" s="13" t="str">
        <x:f>IF(A116="","",IF(E116&lt;&gt;"PASS",'Motor_Meciuri'!J96,IF(K116=0,"Nicio linie eligibila; vezi motivele din Analiza_Linii",INDEX('Analiza_Linii'!AH1266:AH1279,K116))))</x:f>
      </x:c>
      <x:c r="J116" s="2"/>
      <x:c r="K116" s="2" t="n">
        <x:f>IF(A116="",0,IFERROR(MATCH(1,'Analiza_Linii'!AC1266:AC1279,0),0))</x:f>
        <x:v>0</x:v>
      </x:c>
      <x:c r="L116" s="2" t="str">
        <x:f>IF(K116=0,"",INDEX('Analiza_Linii'!Z1266:Z1279,K116))</x:f>
      </x:c>
      <x:c r="M116" s="2" t="str">
        <x:f>IF(K116=0,"",INDEX('Analiza_Linii'!V1266:V1279,K116))</x:f>
      </x:c>
      <x:c r="N116" s="2" t="str">
        <x:f>IF(K116=0,"",INDEX('Analiza_Linii'!T1266:T1279,K116))</x:f>
      </x:c>
      <x:c r="O116" s="2" t="n">
        <x:f>IF(AND(C116="LIVE",K116&gt;0),1,0)</x:f>
        <x:v>0</x:v>
      </x:c>
      <x:c r="P116" s="2" t="str">
        <x:f>IF(O116&lt;&gt;1,"",COUNTIFS($O$26:$O$125,1,$L$26:$L$125,"&lt;"&amp;L116)+COUNTIFS($O$26:$O$125,1,$L$26:$L$125,L116,$H$26:$H$125,"&gt;"&amp;H116)+COUNTIFS($O$26:$O$125,1,$L$26:$L$125,L116,$H$26:$H$125,H116,$M$26:$M$125,"&gt;"&amp;M116)+COUNTIFS($O$26:O116,1,$L$26:L116,L116,$H$26:H116,H116,$M$26:M116,M116))</x:f>
      </x:c>
    </x:row>
    <x:row r="117" ht="32" customHeight="1">
      <x:c r="A117" s="2" t="str">
        <x:f>IF('Motor_Meciuri'!A97="","",'Motor_Meciuri'!A97)</x:f>
      </x:c>
      <x:c r="B117" s="13" t="str">
        <x:f>IF('Motor_Meciuri'!A97="","",'Motor_Meciuri'!D97)</x:f>
      </x:c>
      <x:c r="C117" s="2" t="str">
        <x:f>IF('Motor_Meciuri'!A97="","",'Motor_Meciuri'!E97)</x:f>
      </x:c>
      <x:c r="D117" s="2" t="str">
        <x:f>IF('Motor_Meciuri'!A97="","",'Motor_Meciuri'!H97)</x:f>
      </x:c>
      <x:c r="E117" s="2" t="str">
        <x:f>IF('Motor_Meciuri'!A97="","",'Motor_Meciuri'!I97)</x:f>
      </x:c>
      <x:c r="F117" s="2" t="str">
        <x:f>IF(K117=0,"",INDEX('Analiza_Linii'!F1280:F1293,K117))</x:f>
      </x:c>
      <x:c r="G117" s="2" t="str">
        <x:f>IF(A117="","",IF(D117&lt;&gt;"READY","NOT RELEASED",IF(K117=0,IF(E117="FAIL","NO BET","WATCH / NO BET"),INDEX('Analiza_Linii'!AA1280:AA1293,K117))))</x:f>
      </x:c>
      <x:c r="H117" s="16" t="str">
        <x:f>IF(K117=0,"",INDEX('Analiza_Linii'!AB1280:AB1293,K117))</x:f>
      </x:c>
      <x:c r="I117" s="13" t="str">
        <x:f>IF(A117="","",IF(E117&lt;&gt;"PASS",'Motor_Meciuri'!J97,IF(K117=0,"Nicio linie eligibila; vezi motivele din Analiza_Linii",INDEX('Analiza_Linii'!AH1280:AH1293,K117))))</x:f>
      </x:c>
      <x:c r="J117" s="2"/>
      <x:c r="K117" s="2" t="n">
        <x:f>IF(A117="",0,IFERROR(MATCH(1,'Analiza_Linii'!AC1280:AC1293,0),0))</x:f>
        <x:v>0</x:v>
      </x:c>
      <x:c r="L117" s="2" t="str">
        <x:f>IF(K117=0,"",INDEX('Analiza_Linii'!Z1280:Z1293,K117))</x:f>
      </x:c>
      <x:c r="M117" s="2" t="str">
        <x:f>IF(K117=0,"",INDEX('Analiza_Linii'!V1280:V1293,K117))</x:f>
      </x:c>
      <x:c r="N117" s="2" t="str">
        <x:f>IF(K117=0,"",INDEX('Analiza_Linii'!T1280:T1293,K117))</x:f>
      </x:c>
      <x:c r="O117" s="2" t="n">
        <x:f>IF(AND(C117="LIVE",K117&gt;0),1,0)</x:f>
        <x:v>0</x:v>
      </x:c>
      <x:c r="P117" s="2" t="str">
        <x:f>IF(O117&lt;&gt;1,"",COUNTIFS($O$26:$O$125,1,$L$26:$L$125,"&lt;"&amp;L117)+COUNTIFS($O$26:$O$125,1,$L$26:$L$125,L117,$H$26:$H$125,"&gt;"&amp;H117)+COUNTIFS($O$26:$O$125,1,$L$26:$L$125,L117,$H$26:$H$125,H117,$M$26:$M$125,"&gt;"&amp;M117)+COUNTIFS($O$26:O117,1,$L$26:L117,L117,$H$26:H117,H117,$M$26:M117,M117))</x:f>
      </x:c>
    </x:row>
    <x:row r="118" ht="32" customHeight="1">
      <x:c r="A118" s="2" t="str">
        <x:f>IF('Motor_Meciuri'!A98="","",'Motor_Meciuri'!A98)</x:f>
      </x:c>
      <x:c r="B118" s="13" t="str">
        <x:f>IF('Motor_Meciuri'!A98="","",'Motor_Meciuri'!D98)</x:f>
      </x:c>
      <x:c r="C118" s="2" t="str">
        <x:f>IF('Motor_Meciuri'!A98="","",'Motor_Meciuri'!E98)</x:f>
      </x:c>
      <x:c r="D118" s="2" t="str">
        <x:f>IF('Motor_Meciuri'!A98="","",'Motor_Meciuri'!H98)</x:f>
      </x:c>
      <x:c r="E118" s="2" t="str">
        <x:f>IF('Motor_Meciuri'!A98="","",'Motor_Meciuri'!I98)</x:f>
      </x:c>
      <x:c r="F118" s="2" t="str">
        <x:f>IF(K118=0,"",INDEX('Analiza_Linii'!F1294:F1307,K118))</x:f>
      </x:c>
      <x:c r="G118" s="2" t="str">
        <x:f>IF(A118="","",IF(D118&lt;&gt;"READY","NOT RELEASED",IF(K118=0,IF(E118="FAIL","NO BET","WATCH / NO BET"),INDEX('Analiza_Linii'!AA1294:AA1307,K118))))</x:f>
      </x:c>
      <x:c r="H118" s="16" t="str">
        <x:f>IF(K118=0,"",INDEX('Analiza_Linii'!AB1294:AB1307,K118))</x:f>
      </x:c>
      <x:c r="I118" s="13" t="str">
        <x:f>IF(A118="","",IF(E118&lt;&gt;"PASS",'Motor_Meciuri'!J98,IF(K118=0,"Nicio linie eligibila; vezi motivele din Analiza_Linii",INDEX('Analiza_Linii'!AH1294:AH1307,K118))))</x:f>
      </x:c>
      <x:c r="J118" s="2"/>
      <x:c r="K118" s="2" t="n">
        <x:f>IF(A118="",0,IFERROR(MATCH(1,'Analiza_Linii'!AC1294:AC1307,0),0))</x:f>
        <x:v>0</x:v>
      </x:c>
      <x:c r="L118" s="2" t="str">
        <x:f>IF(K118=0,"",INDEX('Analiza_Linii'!Z1294:Z1307,K118))</x:f>
      </x:c>
      <x:c r="M118" s="2" t="str">
        <x:f>IF(K118=0,"",INDEX('Analiza_Linii'!V1294:V1307,K118))</x:f>
      </x:c>
      <x:c r="N118" s="2" t="str">
        <x:f>IF(K118=0,"",INDEX('Analiza_Linii'!T1294:T1307,K118))</x:f>
      </x:c>
      <x:c r="O118" s="2" t="n">
        <x:f>IF(AND(C118="LIVE",K118&gt;0),1,0)</x:f>
        <x:v>0</x:v>
      </x:c>
      <x:c r="P118" s="2" t="str">
        <x:f>IF(O118&lt;&gt;1,"",COUNTIFS($O$26:$O$125,1,$L$26:$L$125,"&lt;"&amp;L118)+COUNTIFS($O$26:$O$125,1,$L$26:$L$125,L118,$H$26:$H$125,"&gt;"&amp;H118)+COUNTIFS($O$26:$O$125,1,$L$26:$L$125,L118,$H$26:$H$125,H118,$M$26:$M$125,"&gt;"&amp;M118)+COUNTIFS($O$26:O118,1,$L$26:L118,L118,$H$26:H118,H118,$M$26:M118,M118))</x:f>
      </x:c>
    </x:row>
    <x:row r="119" ht="32" customHeight="1">
      <x:c r="A119" s="2" t="str">
        <x:f>IF('Motor_Meciuri'!A99="","",'Motor_Meciuri'!A99)</x:f>
      </x:c>
      <x:c r="B119" s="13" t="str">
        <x:f>IF('Motor_Meciuri'!A99="","",'Motor_Meciuri'!D99)</x:f>
      </x:c>
      <x:c r="C119" s="2" t="str">
        <x:f>IF('Motor_Meciuri'!A99="","",'Motor_Meciuri'!E99)</x:f>
      </x:c>
      <x:c r="D119" s="2" t="str">
        <x:f>IF('Motor_Meciuri'!A99="","",'Motor_Meciuri'!H99)</x:f>
      </x:c>
      <x:c r="E119" s="2" t="str">
        <x:f>IF('Motor_Meciuri'!A99="","",'Motor_Meciuri'!I99)</x:f>
      </x:c>
      <x:c r="F119" s="2" t="str">
        <x:f>IF(K119=0,"",INDEX('Analiza_Linii'!F1308:F1321,K119))</x:f>
      </x:c>
      <x:c r="G119" s="2" t="str">
        <x:f>IF(A119="","",IF(D119&lt;&gt;"READY","NOT RELEASED",IF(K119=0,IF(E119="FAIL","NO BET","WATCH / NO BET"),INDEX('Analiza_Linii'!AA1308:AA1321,K119))))</x:f>
      </x:c>
      <x:c r="H119" s="16" t="str">
        <x:f>IF(K119=0,"",INDEX('Analiza_Linii'!AB1308:AB1321,K119))</x:f>
      </x:c>
      <x:c r="I119" s="13" t="str">
        <x:f>IF(A119="","",IF(E119&lt;&gt;"PASS",'Motor_Meciuri'!J99,IF(K119=0,"Nicio linie eligibila; vezi motivele din Analiza_Linii",INDEX('Analiza_Linii'!AH1308:AH1321,K119))))</x:f>
      </x:c>
      <x:c r="J119" s="2"/>
      <x:c r="K119" s="2" t="n">
        <x:f>IF(A119="",0,IFERROR(MATCH(1,'Analiza_Linii'!AC1308:AC1321,0),0))</x:f>
        <x:v>0</x:v>
      </x:c>
      <x:c r="L119" s="2" t="str">
        <x:f>IF(K119=0,"",INDEX('Analiza_Linii'!Z1308:Z1321,K119))</x:f>
      </x:c>
      <x:c r="M119" s="2" t="str">
        <x:f>IF(K119=0,"",INDEX('Analiza_Linii'!V1308:V1321,K119))</x:f>
      </x:c>
      <x:c r="N119" s="2" t="str">
        <x:f>IF(K119=0,"",INDEX('Analiza_Linii'!T1308:T1321,K119))</x:f>
      </x:c>
      <x:c r="O119" s="2" t="n">
        <x:f>IF(AND(C119="LIVE",K119&gt;0),1,0)</x:f>
        <x:v>0</x:v>
      </x:c>
      <x:c r="P119" s="2" t="str">
        <x:f>IF(O119&lt;&gt;1,"",COUNTIFS($O$26:$O$125,1,$L$26:$L$125,"&lt;"&amp;L119)+COUNTIFS($O$26:$O$125,1,$L$26:$L$125,L119,$H$26:$H$125,"&gt;"&amp;H119)+COUNTIFS($O$26:$O$125,1,$L$26:$L$125,L119,$H$26:$H$125,H119,$M$26:$M$125,"&gt;"&amp;M119)+COUNTIFS($O$26:O119,1,$L$26:L119,L119,$H$26:H119,H119,$M$26:M119,M119))</x:f>
      </x:c>
    </x:row>
    <x:row r="120" ht="32" customHeight="1">
      <x:c r="A120" s="2" t="str">
        <x:f>IF('Motor_Meciuri'!A100="","",'Motor_Meciuri'!A100)</x:f>
      </x:c>
      <x:c r="B120" s="13" t="str">
        <x:f>IF('Motor_Meciuri'!A100="","",'Motor_Meciuri'!D100)</x:f>
      </x:c>
      <x:c r="C120" s="2" t="str">
        <x:f>IF('Motor_Meciuri'!A100="","",'Motor_Meciuri'!E100)</x:f>
      </x:c>
      <x:c r="D120" s="2" t="str">
        <x:f>IF('Motor_Meciuri'!A100="","",'Motor_Meciuri'!H100)</x:f>
      </x:c>
      <x:c r="E120" s="2" t="str">
        <x:f>IF('Motor_Meciuri'!A100="","",'Motor_Meciuri'!I100)</x:f>
      </x:c>
      <x:c r="F120" s="2" t="str">
        <x:f>IF(K120=0,"",INDEX('Analiza_Linii'!F1322:F1335,K120))</x:f>
      </x:c>
      <x:c r="G120" s="2" t="str">
        <x:f>IF(A120="","",IF(D120&lt;&gt;"READY","NOT RELEASED",IF(K120=0,IF(E120="FAIL","NO BET","WATCH / NO BET"),INDEX('Analiza_Linii'!AA1322:AA1335,K120))))</x:f>
      </x:c>
      <x:c r="H120" s="16" t="str">
        <x:f>IF(K120=0,"",INDEX('Analiza_Linii'!AB1322:AB1335,K120))</x:f>
      </x:c>
      <x:c r="I120" s="13" t="str">
        <x:f>IF(A120="","",IF(E120&lt;&gt;"PASS",'Motor_Meciuri'!J100,IF(K120=0,"Nicio linie eligibila; vezi motivele din Analiza_Linii",INDEX('Analiza_Linii'!AH1322:AH1335,K120))))</x:f>
      </x:c>
      <x:c r="J120" s="2"/>
      <x:c r="K120" s="2" t="n">
        <x:f>IF(A120="",0,IFERROR(MATCH(1,'Analiza_Linii'!AC1322:AC1335,0),0))</x:f>
        <x:v>0</x:v>
      </x:c>
      <x:c r="L120" s="2" t="str">
        <x:f>IF(K120=0,"",INDEX('Analiza_Linii'!Z1322:Z1335,K120))</x:f>
      </x:c>
      <x:c r="M120" s="2" t="str">
        <x:f>IF(K120=0,"",INDEX('Analiza_Linii'!V1322:V1335,K120))</x:f>
      </x:c>
      <x:c r="N120" s="2" t="str">
        <x:f>IF(K120=0,"",INDEX('Analiza_Linii'!T1322:T1335,K120))</x:f>
      </x:c>
      <x:c r="O120" s="2" t="n">
        <x:f>IF(AND(C120="LIVE",K120&gt;0),1,0)</x:f>
        <x:v>0</x:v>
      </x:c>
      <x:c r="P120" s="2" t="str">
        <x:f>IF(O120&lt;&gt;1,"",COUNTIFS($O$26:$O$125,1,$L$26:$L$125,"&lt;"&amp;L120)+COUNTIFS($O$26:$O$125,1,$L$26:$L$125,L120,$H$26:$H$125,"&gt;"&amp;H120)+COUNTIFS($O$26:$O$125,1,$L$26:$L$125,L120,$H$26:$H$125,H120,$M$26:$M$125,"&gt;"&amp;M120)+COUNTIFS($O$26:O120,1,$L$26:L120,L120,$H$26:H120,H120,$M$26:M120,M120))</x:f>
      </x:c>
    </x:row>
    <x:row r="121" ht="32" customHeight="1">
      <x:c r="A121" s="2" t="str">
        <x:f>IF('Motor_Meciuri'!A101="","",'Motor_Meciuri'!A101)</x:f>
      </x:c>
      <x:c r="B121" s="13" t="str">
        <x:f>IF('Motor_Meciuri'!A101="","",'Motor_Meciuri'!D101)</x:f>
      </x:c>
      <x:c r="C121" s="2" t="str">
        <x:f>IF('Motor_Meciuri'!A101="","",'Motor_Meciuri'!E101)</x:f>
      </x:c>
      <x:c r="D121" s="2" t="str">
        <x:f>IF('Motor_Meciuri'!A101="","",'Motor_Meciuri'!H101)</x:f>
      </x:c>
      <x:c r="E121" s="2" t="str">
        <x:f>IF('Motor_Meciuri'!A101="","",'Motor_Meciuri'!I101)</x:f>
      </x:c>
      <x:c r="F121" s="2" t="str">
        <x:f>IF(K121=0,"",INDEX('Analiza_Linii'!F1336:F1349,K121))</x:f>
      </x:c>
      <x:c r="G121" s="2" t="str">
        <x:f>IF(A121="","",IF(D121&lt;&gt;"READY","NOT RELEASED",IF(K121=0,IF(E121="FAIL","NO BET","WATCH / NO BET"),INDEX('Analiza_Linii'!AA1336:AA1349,K121))))</x:f>
      </x:c>
      <x:c r="H121" s="16" t="str">
        <x:f>IF(K121=0,"",INDEX('Analiza_Linii'!AB1336:AB1349,K121))</x:f>
      </x:c>
      <x:c r="I121" s="13" t="str">
        <x:f>IF(A121="","",IF(E121&lt;&gt;"PASS",'Motor_Meciuri'!J101,IF(K121=0,"Nicio linie eligibila; vezi motivele din Analiza_Linii",INDEX('Analiza_Linii'!AH1336:AH1349,K121))))</x:f>
      </x:c>
      <x:c r="J121" s="2"/>
      <x:c r="K121" s="2" t="n">
        <x:f>IF(A121="",0,IFERROR(MATCH(1,'Analiza_Linii'!AC1336:AC1349,0),0))</x:f>
        <x:v>0</x:v>
      </x:c>
      <x:c r="L121" s="2" t="str">
        <x:f>IF(K121=0,"",INDEX('Analiza_Linii'!Z1336:Z1349,K121))</x:f>
      </x:c>
      <x:c r="M121" s="2" t="str">
        <x:f>IF(K121=0,"",INDEX('Analiza_Linii'!V1336:V1349,K121))</x:f>
      </x:c>
      <x:c r="N121" s="2" t="str">
        <x:f>IF(K121=0,"",INDEX('Analiza_Linii'!T1336:T1349,K121))</x:f>
      </x:c>
      <x:c r="O121" s="2" t="n">
        <x:f>IF(AND(C121="LIVE",K121&gt;0),1,0)</x:f>
        <x:v>0</x:v>
      </x:c>
      <x:c r="P121" s="2" t="str">
        <x:f>IF(O121&lt;&gt;1,"",COUNTIFS($O$26:$O$125,1,$L$26:$L$125,"&lt;"&amp;L121)+COUNTIFS($O$26:$O$125,1,$L$26:$L$125,L121,$H$26:$H$125,"&gt;"&amp;H121)+COUNTIFS($O$26:$O$125,1,$L$26:$L$125,L121,$H$26:$H$125,H121,$M$26:$M$125,"&gt;"&amp;M121)+COUNTIFS($O$26:O121,1,$L$26:L121,L121,$H$26:H121,H121,$M$26:M121,M121))</x:f>
      </x:c>
    </x:row>
    <x:row r="122" ht="32" customHeight="1">
      <x:c r="A122" s="2" t="str">
        <x:f>IF('Motor_Meciuri'!A102="","",'Motor_Meciuri'!A102)</x:f>
      </x:c>
      <x:c r="B122" s="13" t="str">
        <x:f>IF('Motor_Meciuri'!A102="","",'Motor_Meciuri'!D102)</x:f>
      </x:c>
      <x:c r="C122" s="2" t="str">
        <x:f>IF('Motor_Meciuri'!A102="","",'Motor_Meciuri'!E102)</x:f>
      </x:c>
      <x:c r="D122" s="2" t="str">
        <x:f>IF('Motor_Meciuri'!A102="","",'Motor_Meciuri'!H102)</x:f>
      </x:c>
      <x:c r="E122" s="2" t="str">
        <x:f>IF('Motor_Meciuri'!A102="","",'Motor_Meciuri'!I102)</x:f>
      </x:c>
      <x:c r="F122" s="2" t="str">
        <x:f>IF(K122=0,"",INDEX('Analiza_Linii'!F1350:F1363,K122))</x:f>
      </x:c>
      <x:c r="G122" s="2" t="str">
        <x:f>IF(A122="","",IF(D122&lt;&gt;"READY","NOT RELEASED",IF(K122=0,IF(E122="FAIL","NO BET","WATCH / NO BET"),INDEX('Analiza_Linii'!AA1350:AA1363,K122))))</x:f>
      </x:c>
      <x:c r="H122" s="16" t="str">
        <x:f>IF(K122=0,"",INDEX('Analiza_Linii'!AB1350:AB1363,K122))</x:f>
      </x:c>
      <x:c r="I122" s="13" t="str">
        <x:f>IF(A122="","",IF(E122&lt;&gt;"PASS",'Motor_Meciuri'!J102,IF(K122=0,"Nicio linie eligibila; vezi motivele din Analiza_Linii",INDEX('Analiza_Linii'!AH1350:AH1363,K122))))</x:f>
      </x:c>
      <x:c r="J122" s="2"/>
      <x:c r="K122" s="2" t="n">
        <x:f>IF(A122="",0,IFERROR(MATCH(1,'Analiza_Linii'!AC1350:AC1363,0),0))</x:f>
        <x:v>0</x:v>
      </x:c>
      <x:c r="L122" s="2" t="str">
        <x:f>IF(K122=0,"",INDEX('Analiza_Linii'!Z1350:Z1363,K122))</x:f>
      </x:c>
      <x:c r="M122" s="2" t="str">
        <x:f>IF(K122=0,"",INDEX('Analiza_Linii'!V1350:V1363,K122))</x:f>
      </x:c>
      <x:c r="N122" s="2" t="str">
        <x:f>IF(K122=0,"",INDEX('Analiza_Linii'!T1350:T1363,K122))</x:f>
      </x:c>
      <x:c r="O122" s="2" t="n">
        <x:f>IF(AND(C122="LIVE",K122&gt;0),1,0)</x:f>
        <x:v>0</x:v>
      </x:c>
      <x:c r="P122" s="2" t="str">
        <x:f>IF(O122&lt;&gt;1,"",COUNTIFS($O$26:$O$125,1,$L$26:$L$125,"&lt;"&amp;L122)+COUNTIFS($O$26:$O$125,1,$L$26:$L$125,L122,$H$26:$H$125,"&gt;"&amp;H122)+COUNTIFS($O$26:$O$125,1,$L$26:$L$125,L122,$H$26:$H$125,H122,$M$26:$M$125,"&gt;"&amp;M122)+COUNTIFS($O$26:O122,1,$L$26:L122,L122,$H$26:H122,H122,$M$26:M122,M122))</x:f>
      </x:c>
    </x:row>
    <x:row r="123" ht="32" customHeight="1">
      <x:c r="A123" s="2" t="str">
        <x:f>IF('Motor_Meciuri'!A103="","",'Motor_Meciuri'!A103)</x:f>
      </x:c>
      <x:c r="B123" s="13" t="str">
        <x:f>IF('Motor_Meciuri'!A103="","",'Motor_Meciuri'!D103)</x:f>
      </x:c>
      <x:c r="C123" s="2" t="str">
        <x:f>IF('Motor_Meciuri'!A103="","",'Motor_Meciuri'!E103)</x:f>
      </x:c>
      <x:c r="D123" s="2" t="str">
        <x:f>IF('Motor_Meciuri'!A103="","",'Motor_Meciuri'!H103)</x:f>
      </x:c>
      <x:c r="E123" s="2" t="str">
        <x:f>IF('Motor_Meciuri'!A103="","",'Motor_Meciuri'!I103)</x:f>
      </x:c>
      <x:c r="F123" s="2" t="str">
        <x:f>IF(K123=0,"",INDEX('Analiza_Linii'!F1364:F1377,K123))</x:f>
      </x:c>
      <x:c r="G123" s="2" t="str">
        <x:f>IF(A123="","",IF(D123&lt;&gt;"READY","NOT RELEASED",IF(K123=0,IF(E123="FAIL","NO BET","WATCH / NO BET"),INDEX('Analiza_Linii'!AA1364:AA1377,K123))))</x:f>
      </x:c>
      <x:c r="H123" s="16" t="str">
        <x:f>IF(K123=0,"",INDEX('Analiza_Linii'!AB1364:AB1377,K123))</x:f>
      </x:c>
      <x:c r="I123" s="13" t="str">
        <x:f>IF(A123="","",IF(E123&lt;&gt;"PASS",'Motor_Meciuri'!J103,IF(K123=0,"Nicio linie eligibila; vezi motivele din Analiza_Linii",INDEX('Analiza_Linii'!AH1364:AH1377,K123))))</x:f>
      </x:c>
      <x:c r="J123" s="2"/>
      <x:c r="K123" s="2" t="n">
        <x:f>IF(A123="",0,IFERROR(MATCH(1,'Analiza_Linii'!AC1364:AC1377,0),0))</x:f>
        <x:v>0</x:v>
      </x:c>
      <x:c r="L123" s="2" t="str">
        <x:f>IF(K123=0,"",INDEX('Analiza_Linii'!Z1364:Z1377,K123))</x:f>
      </x:c>
      <x:c r="M123" s="2" t="str">
        <x:f>IF(K123=0,"",INDEX('Analiza_Linii'!V1364:V1377,K123))</x:f>
      </x:c>
      <x:c r="N123" s="2" t="str">
        <x:f>IF(K123=0,"",INDEX('Analiza_Linii'!T1364:T1377,K123))</x:f>
      </x:c>
      <x:c r="O123" s="2" t="n">
        <x:f>IF(AND(C123="LIVE",K123&gt;0),1,0)</x:f>
        <x:v>0</x:v>
      </x:c>
      <x:c r="P123" s="2" t="str">
        <x:f>IF(O123&lt;&gt;1,"",COUNTIFS($O$26:$O$125,1,$L$26:$L$125,"&lt;"&amp;L123)+COUNTIFS($O$26:$O$125,1,$L$26:$L$125,L123,$H$26:$H$125,"&gt;"&amp;H123)+COUNTIFS($O$26:$O$125,1,$L$26:$L$125,L123,$H$26:$H$125,H123,$M$26:$M$125,"&gt;"&amp;M123)+COUNTIFS($O$26:O123,1,$L$26:L123,L123,$H$26:H123,H123,$M$26:M123,M123))</x:f>
      </x:c>
    </x:row>
    <x:row r="124" ht="32" customHeight="1">
      <x:c r="A124" s="2" t="str">
        <x:f>IF('Motor_Meciuri'!A104="","",'Motor_Meciuri'!A104)</x:f>
      </x:c>
      <x:c r="B124" s="13" t="str">
        <x:f>IF('Motor_Meciuri'!A104="","",'Motor_Meciuri'!D104)</x:f>
      </x:c>
      <x:c r="C124" s="2" t="str">
        <x:f>IF('Motor_Meciuri'!A104="","",'Motor_Meciuri'!E104)</x:f>
      </x:c>
      <x:c r="D124" s="2" t="str">
        <x:f>IF('Motor_Meciuri'!A104="","",'Motor_Meciuri'!H104)</x:f>
      </x:c>
      <x:c r="E124" s="2" t="str">
        <x:f>IF('Motor_Meciuri'!A104="","",'Motor_Meciuri'!I104)</x:f>
      </x:c>
      <x:c r="F124" s="2" t="str">
        <x:f>IF(K124=0,"",INDEX('Analiza_Linii'!F1378:F1391,K124))</x:f>
      </x:c>
      <x:c r="G124" s="2" t="str">
        <x:f>IF(A124="","",IF(D124&lt;&gt;"READY","NOT RELEASED",IF(K124=0,IF(E124="FAIL","NO BET","WATCH / NO BET"),INDEX('Analiza_Linii'!AA1378:AA1391,K124))))</x:f>
      </x:c>
      <x:c r="H124" s="16" t="str">
        <x:f>IF(K124=0,"",INDEX('Analiza_Linii'!AB1378:AB1391,K124))</x:f>
      </x:c>
      <x:c r="I124" s="13" t="str">
        <x:f>IF(A124="","",IF(E124&lt;&gt;"PASS",'Motor_Meciuri'!J104,IF(K124=0,"Nicio linie eligibila; vezi motivele din Analiza_Linii",INDEX('Analiza_Linii'!AH1378:AH1391,K124))))</x:f>
      </x:c>
      <x:c r="J124" s="2"/>
      <x:c r="K124" s="2" t="n">
        <x:f>IF(A124="",0,IFERROR(MATCH(1,'Analiza_Linii'!AC1378:AC1391,0),0))</x:f>
        <x:v>0</x:v>
      </x:c>
      <x:c r="L124" s="2" t="str">
        <x:f>IF(K124=0,"",INDEX('Analiza_Linii'!Z1378:Z1391,K124))</x:f>
      </x:c>
      <x:c r="M124" s="2" t="str">
        <x:f>IF(K124=0,"",INDEX('Analiza_Linii'!V1378:V1391,K124))</x:f>
      </x:c>
      <x:c r="N124" s="2" t="str">
        <x:f>IF(K124=0,"",INDEX('Analiza_Linii'!T1378:T1391,K124))</x:f>
      </x:c>
      <x:c r="O124" s="2" t="n">
        <x:f>IF(AND(C124="LIVE",K124&gt;0),1,0)</x:f>
        <x:v>0</x:v>
      </x:c>
      <x:c r="P124" s="2" t="str">
        <x:f>IF(O124&lt;&gt;1,"",COUNTIFS($O$26:$O$125,1,$L$26:$L$125,"&lt;"&amp;L124)+COUNTIFS($O$26:$O$125,1,$L$26:$L$125,L124,$H$26:$H$125,"&gt;"&amp;H124)+COUNTIFS($O$26:$O$125,1,$L$26:$L$125,L124,$H$26:$H$125,H124,$M$26:$M$125,"&gt;"&amp;M124)+COUNTIFS($O$26:O124,1,$L$26:L124,L124,$H$26:H124,H124,$M$26:M124,M124))</x:f>
      </x:c>
    </x:row>
    <x:row r="125" ht="32" customHeight="1">
      <x:c r="A125" s="2" t="str">
        <x:f>IF('Motor_Meciuri'!A105="","",'Motor_Meciuri'!A105)</x:f>
      </x:c>
      <x:c r="B125" s="13" t="str">
        <x:f>IF('Motor_Meciuri'!A105="","",'Motor_Meciuri'!D105)</x:f>
      </x:c>
      <x:c r="C125" s="2" t="str">
        <x:f>IF('Motor_Meciuri'!A105="","",'Motor_Meciuri'!E105)</x:f>
      </x:c>
      <x:c r="D125" s="2" t="str">
        <x:f>IF('Motor_Meciuri'!A105="","",'Motor_Meciuri'!H105)</x:f>
      </x:c>
      <x:c r="E125" s="2" t="str">
        <x:f>IF('Motor_Meciuri'!A105="","",'Motor_Meciuri'!I105)</x:f>
      </x:c>
      <x:c r="F125" s="2" t="str">
        <x:f>IF(K125=0,"",INDEX('Analiza_Linii'!F1392:F1405,K125))</x:f>
      </x:c>
      <x:c r="G125" s="2" t="str">
        <x:f>IF(A125="","",IF(D125&lt;&gt;"READY","NOT RELEASED",IF(K125=0,IF(E125="FAIL","NO BET","WATCH / NO BET"),INDEX('Analiza_Linii'!AA1392:AA1405,K125))))</x:f>
      </x:c>
      <x:c r="H125" s="16" t="str">
        <x:f>IF(K125=0,"",INDEX('Analiza_Linii'!AB1392:AB1405,K125))</x:f>
      </x:c>
      <x:c r="I125" s="13" t="str">
        <x:f>IF(A125="","",IF(E125&lt;&gt;"PASS",'Motor_Meciuri'!J105,IF(K125=0,"Nicio linie eligibila; vezi motivele din Analiza_Linii",INDEX('Analiza_Linii'!AH1392:AH1405,K125))))</x:f>
      </x:c>
      <x:c r="J125" s="2"/>
      <x:c r="K125" s="2" t="n">
        <x:f>IF(A125="",0,IFERROR(MATCH(1,'Analiza_Linii'!AC1392:AC1405,0),0))</x:f>
        <x:v>0</x:v>
      </x:c>
      <x:c r="L125" s="2" t="str">
        <x:f>IF(K125=0,"",INDEX('Analiza_Linii'!Z1392:Z1405,K125))</x:f>
      </x:c>
      <x:c r="M125" s="2" t="str">
        <x:f>IF(K125=0,"",INDEX('Analiza_Linii'!V1392:V1405,K125))</x:f>
      </x:c>
      <x:c r="N125" s="2" t="str">
        <x:f>IF(K125=0,"",INDEX('Analiza_Linii'!T1392:T1405,K125))</x:f>
      </x:c>
      <x:c r="O125" s="2" t="n">
        <x:f>IF(AND(C125="LIVE",K125&gt;0),1,0)</x:f>
        <x:v>0</x:v>
      </x:c>
      <x:c r="P125" s="2" t="str">
        <x:f>IF(O125&lt;&gt;1,"",COUNTIFS($O$26:$O$125,1,$L$26:$L$125,"&lt;"&amp;L125)+COUNTIFS($O$26:$O$125,1,$L$26:$L$125,L125,$H$26:$H$125,"&gt;"&amp;H125)+COUNTIFS($O$26:$O$125,1,$L$26:$L$125,L125,$H$26:$H$125,H125,$M$26:$M$125,"&gt;"&amp;M125)+COUNTIFS($O$26:O125,1,$L$26:L125,L125,$H$26:H125,H125,$M$26:M125,M125))</x:f>
      </x:c>
    </x:row>
  </x:sheetData>
  <x:conditionalFormatting sqref="D26:G125">
    <x:cfRule type="containsText" dxfId="0" priority="1" operator="containsText" text="NOT RELEASED"/>
    <x:cfRule type="containsText" dxfId="1" priority="2" operator="containsText" text="NO BET"/>
    <x:cfRule type="containsText" dxfId="2" priority="3" operator="containsText" text="INVALID"/>
    <x:cfRule type="containsText" dxfId="3" priority="4" operator="containsText" text="SOURCE CONFLICT"/>
    <x:cfRule type="containsText" dxfId="4" priority="5" operator="containsText" text="DEFENSIV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789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82" hidden="0" customWidth="1"/>
  </x:cols>
  <x:sheetData>
    <x:row r="1" ht="21" customHeight="1">
      <x:c r="A1" s="2"/>
      <x:c r="B1" s="2"/>
      <x:c r="C1" s="2"/>
      <x:c r="D1" s="2"/>
    </x:row>
    <x:row r="2" ht="21" customHeight="1">
      <x:c r="A2" s="3" t="str">
        <x:v>PARAMETRI ACTIVI | V14</x:v>
      </x:c>
      <x:c r="B2" s="2"/>
      <x:c r="C2" s="2"/>
      <x:c r="D2" s="2"/>
    </x:row>
    <x:row r="3" ht="21" customHeight="1">
      <x:c r="A3" s="2"/>
      <x:c r="B3" s="2"/>
      <x:c r="C3" s="2"/>
      <x:c r="D3" s="2"/>
    </x:row>
    <x:row r="4" ht="21" customHeight="1">
      <x:c r="A4" s="2" t="str">
        <x:v>Pondere sezon</x:v>
      </x:c>
      <x:c r="B4" s="2" t="n">
        <x:v>0.3</x:v>
      </x:c>
      <x:c r="C4" s="2"/>
      <x:c r="D4" s="2"/>
    </x:row>
    <x:row r="5" ht="21" customHeight="1">
      <x:c r="A5" s="2" t="str">
        <x:v>Pondere H/A</x:v>
      </x:c>
      <x:c r="B5" s="2" t="n">
        <x:v>0.45</x:v>
      </x:c>
      <x:c r="C5" s="2"/>
      <x:c r="D5" s="2"/>
    </x:row>
    <x:row r="6" ht="21" customHeight="1">
      <x:c r="A6" s="2" t="str">
        <x:v>Pondere recent</x:v>
      </x:c>
      <x:c r="B6" s="2" t="n">
        <x:v>0.25</x:v>
      </x:c>
      <x:c r="C6" s="2"/>
      <x:c r="D6" s="13"/>
    </x:row>
    <x:row r="7" ht="21" customHeight="1">
      <x:c r="A7" s="2" t="str">
        <x:v>N minim sezon</x:v>
      </x:c>
      <x:c r="B7" s="2" t="n">
        <x:v>10</x:v>
      </x:c>
      <x:c r="C7" s="2"/>
      <x:c r="D7" s="13"/>
    </x:row>
    <x:row r="8" ht="21" customHeight="1">
      <x:c r="A8" s="2" t="str">
        <x:v>N minim H/A</x:v>
      </x:c>
      <x:c r="B8" s="2" t="n">
        <x:v>5</x:v>
      </x:c>
      <x:c r="C8" s="2"/>
      <x:c r="D8" s="13"/>
    </x:row>
    <x:row r="9" ht="21" customHeight="1">
      <x:c r="A9" s="2" t="str">
        <x:v>N minim recent</x:v>
      </x:c>
      <x:c r="B9" s="2" t="n">
        <x:v>3</x:v>
      </x:c>
      <x:c r="C9" s="2"/>
      <x:c r="D9" s="13"/>
    </x:row>
    <x:row r="10" ht="21" customHeight="1">
      <x:c r="A10" s="2" t="str">
        <x:v>D prag Poisson</x:v>
      </x:c>
      <x:c r="B10" s="2" t="n">
        <x:v>1.1</x:v>
      </x:c>
      <x:c r="C10" s="2"/>
      <x:c r="D10" s="13"/>
    </x:row>
    <x:row r="11" ht="21" customHeight="1">
      <x:c r="A11" s="2" t="str">
        <x:v>D NB mild</x:v>
      </x:c>
      <x:c r="B11" s="2" t="n">
        <x:v>1.35</x:v>
      </x:c>
      <x:c r="C11" s="2"/>
      <x:c r="D11" s="13"/>
    </x:row>
    <x:row r="12" ht="21" customHeight="1">
      <x:c r="A12" s="2" t="str">
        <x:v>D NB moderat</x:v>
      </x:c>
      <x:c r="B12" s="2" t="n">
        <x:v>1.7</x:v>
      </x:c>
      <x:c r="C12" s="2"/>
      <x:c r="D12" s="13"/>
    </x:row>
    <x:row r="13" ht="21" customHeight="1">
      <x:c r="A13" s="2" t="str">
        <x:v>D hard fail</x:v>
      </x:c>
      <x:c r="B13" s="2" t="n">
        <x:v>2.25</x:v>
      </x:c>
      <x:c r="C13" s="2"/>
      <x:c r="D13" s="13"/>
    </x:row>
    <x:row r="14" ht="21" customHeight="1">
      <x:c r="A14" s="2" t="str">
        <x:v>Calibrare: reducere spre 50%</x:v>
      </x:c>
      <x:c r="B14" s="2" t="n">
        <x:v>0.82</x:v>
      </x:c>
      <x:c r="C14" s="2"/>
      <x:c r="D14" s="13"/>
    </x:row>
    <x:row r="15" ht="21" customHeight="1">
      <x:c r="A15" s="2" t="str">
        <x:v>N țintă dispersie</x:v>
      </x:c>
      <x:c r="B15" s="2" t="n">
        <x:v>20</x:v>
      </x:c>
      <x:c r="C15" s="2"/>
      <x:c r="D15" s="13"/>
    </x:row>
    <x:row r="16" ht="21" customHeight="1">
      <x:c r="A16" s="2" t="str">
        <x:v>P minim eligibilitate</x:v>
      </x:c>
      <x:c r="B16" s="2" t="n">
        <x:v>0.72</x:v>
      </x:c>
      <x:c r="C16" s="2"/>
      <x:c r="D16" s="13"/>
    </x:row>
    <x:row r="17" ht="21" customHeight="1">
      <x:c r="A17" s="2" t="str">
        <x:v>Reper P informativ</x:v>
      </x:c>
      <x:c r="B17" s="2" t="n">
        <x:v>0.8</x:v>
      </x:c>
      <x:c r="C17" s="2"/>
      <x:c r="D17" s="13"/>
    </x:row>
    <x:row r="18" ht="21" customHeight="1">
      <x:c r="A18" s="2" t="str">
        <x:v>Confidence minim</x:v>
      </x:c>
      <x:c r="B18" s="2" t="n">
        <x:v>65</x:v>
      </x:c>
      <x:c r="C18" s="2"/>
      <x:c r="D18" s="13"/>
    </x:row>
    <x:row r="19" ht="21" customHeight="1">
      <x:c r="A19" s="2" t="str">
        <x:v>Pondere EV</x:v>
      </x:c>
      <x:c r="B19" s="2" t="n">
        <x:v>0</x:v>
      </x:c>
      <x:c r="C19" s="2"/>
      <x:c r="D19" s="13"/>
    </x:row>
    <x:row r="20" ht="21" customHeight="1">
      <x:c r="A20" s="2" t="str">
        <x:v>Limită soft</x:v>
      </x:c>
      <x:c r="B20" s="2" t="n">
        <x:v>0.08</x:v>
      </x:c>
      <x:c r="C20" s="2"/>
      <x:c r="D20" s="13"/>
    </x:row>
    <x:row r="21" ht="21" customHeight="1">
      <x:c r="A21" s="2" t="str">
        <x:v>Limită context</x:v>
      </x:c>
      <x:c r="B21" s="2" t="n">
        <x:v>0.12</x:v>
      </x:c>
      <x:c r="C21" s="2"/>
      <x:c r="D21" s="13"/>
    </x:row>
    <x:row r="22" ht="21" customHeight="1">
      <x:c r="A22" s="2"/>
      <x:c r="B22" s="2"/>
      <x:c r="C22" s="2"/>
      <x:c r="D22" s="13"/>
    </x:row>
    <x:row r="23" ht="21" customHeight="1">
      <x:c r="A23" s="2"/>
      <x:c r="B23" s="2"/>
      <x:c r="C23" s="2"/>
      <x:c r="D23" s="13"/>
    </x:row>
    <x:row r="24" ht="21" customHeight="1">
      <x:c r="A24" s="2"/>
      <x:c r="B24" s="2"/>
      <x:c r="C24" s="2"/>
      <x:c r="D24" s="13"/>
    </x:row>
    <x:row r="25" ht="21" customHeight="1">
      <x:c r="A25" s="2"/>
      <x:c r="B25" s="2"/>
      <x:c r="C25" s="2"/>
      <x:c r="D25" s="13"/>
    </x:row>
    <x:row r="26" ht="21" customHeight="1">
      <x:c r="A26" s="2" t="str">
        <x:v>O3,5 PASS max pilot</x:v>
      </x:c>
      <x:c r="B26" s="2" t="n">
        <x:v>0.05</x:v>
      </x:c>
      <x:c r="C26" s="2" t="n">
        <x:v>0.08</x:v>
      </x:c>
      <x:c r="D26" s="13" t="str">
        <x:v>Failure ≤5% PASS; &gt;5%–8% PENALTY; &gt;8% WATCH. Bandă pilot.</x:v>
      </x:c>
    </x:row>
    <x:row r="27" ht="21" customHeight="1">
      <x:c r="A27" s="2"/>
      <x:c r="B27" s="2"/>
      <x:c r="C27" s="2"/>
      <x:c r="D27" s="13"/>
    </x:row>
    <x:row r="28" ht="21" customHeight="1">
      <x:c r="A28" s="2"/>
      <x:c r="B28" s="2"/>
      <x:c r="C28" s="2"/>
      <x:c r="D28" s="13"/>
    </x:row>
    <x:row r="29" ht="21" customHeight="1">
      <x:c r="A29" s="2"/>
      <x:c r="B29" s="2"/>
      <x:c r="C29" s="2"/>
      <x:c r="D29" s="13"/>
    </x:row>
    <x:row r="30" ht="21" customHeight="1">
      <x:c r="A30" s="2"/>
      <x:c r="B30" s="2"/>
      <x:c r="C30" s="2"/>
      <x:c r="D30" s="13"/>
    </x:row>
    <x:row r="31" ht="21" customHeight="1">
      <x:c r="A31" s="2"/>
      <x:c r="B31" s="2"/>
      <x:c r="C31" s="2"/>
      <x:c r="D31" s="13"/>
    </x:row>
    <x:row r="32" ht="21" customHeight="1">
      <x:c r="A32" s="2"/>
      <x:c r="B32" s="2"/>
      <x:c r="C32" s="2"/>
      <x:c r="D32" s="13"/>
    </x:row>
    <x:row r="33" ht="21" customHeight="1">
      <x:c r="A33" s="2"/>
      <x:c r="B33" s="2"/>
      <x:c r="C33" s="2"/>
      <x:c r="D33" s="13"/>
    </x:row>
    <x:row r="34" ht="21" customHeight="1">
      <x:c r="A34" s="2" t="str">
        <x:v>Confidence maxim cu prior</x:v>
      </x:c>
      <x:c r="B34" s="2" t="n">
        <x:v>75</x:v>
      </x:c>
      <x:c r="C34" s="2"/>
      <x:c r="D34" s="13"/>
    </x:row>
    <x:row r="35" ht="21" customHeight="1">
      <x:c r="A35" s="2" t="str">
        <x:v>Penalizare OOS pending</x:v>
      </x:c>
      <x:c r="B35" s="2" t="n">
        <x:v>10</x:v>
      </x:c>
      <x:c r="C35" s="2"/>
      <x:c r="D35" s="13"/>
    </x:row>
    <x:row r="36" ht="21" customHeight="1">
      <x:c r="A36" s="2" t="str">
        <x:v>Penalizare D moderat</x:v>
      </x:c>
      <x:c r="B36" s="2" t="n">
        <x:v>5</x:v>
      </x:c>
      <x:c r="C36" s="2"/>
      <x:c r="D36" s="13"/>
    </x:row>
    <x:row r="37" ht="21" customHeight="1">
      <x:c r="A37" s="2" t="str">
        <x:v>Penalizare D ridicat</x:v>
      </x:c>
      <x:c r="B37" s="2" t="n">
        <x:v>10</x:v>
      </x:c>
      <x:c r="C37" s="2"/>
      <x:c r="D37" s="13"/>
    </x:row>
    <x:row r="38" ht="21" customHeight="1">
      <x:c r="A38" s="2" t="str">
        <x:v>Penalizare maximă soft lipsă</x:v>
      </x:c>
      <x:c r="B38" s="2" t="n">
        <x:v>5</x:v>
      </x:c>
      <x:c r="C38" s="2"/>
      <x:c r="D38" s="13"/>
    </x:row>
    <x:row r="39" ht="21" customHeight="1">
      <x:c r="A39" s="2"/>
      <x:c r="B39" s="2" t="n">
        <x:f>SUM(B4:B6)</x:f>
        <x:v>1</x:v>
      </x:c>
      <x:c r="C39" s="2"/>
      <x:c r="D39" s="13"/>
    </x:row>
    <x:row r="40" ht="21" customHeight="1">
      <x:c r="A40" s="2"/>
      <x:c r="B40" s="2" t="str">
        <x:f>IF(AND(COUNT(B4:B18)=15,MIN(B4:B18)&gt;=0,ABS(B39-1)&lt;0.000001,B7&gt;=1,B8&gt;=1,B9&gt;=1,B10&gt;0,B11&gt;=B10,B12&gt;=B11,B13&gt;=B12,B14&gt;0,B14&lt;=1,B15&gt;=2,B16&gt;0.5,B16&lt;1,B18&gt;=0,B18&lt;=100,B19=0,B20&gt;=0,B20&lt;=1,B21&gt;=0,B21&lt;=1,B26&gt;=0,B26&lt;C26,C26&lt;=1,B34&gt;=0,B34&lt;=75,B35&gt;=0,B36&gt;=0,B37&gt;=0,B38&gt;=0,B41=2,B42=2,MIN(B44:B47)&gt;=0,ABS(SUM(B44:B47)-1)&lt;0.000001,B50&gt;=0.9,B50&lt;1,B51&gt;=90,B51&lt;=100,B52&gt;=0,B52&lt;=20,B53&gt;0,B53&lt;=1.1,B54=5,B55=100,B56&gt;=200,B57&gt;=0.9,B57&lt;1,B58&gt;=0,B58&lt;=0.05),"VALID","CONFIG INVALID")</x:f>
        <x:v>VALID</x:v>
      </x:c>
      <x:c r="C40" s="2"/>
      <x:c r="D40" s="13"/>
    </x:row>
    <x:row r="41" ht="21" customHeight="1">
      <x:c r="A41" s="2" t="str">
        <x:v>N minim varianță</x:v>
      </x:c>
      <x:c r="B41" s="2" t="n">
        <x:v>2</x:v>
      </x:c>
      <x:c r="C41" s="2"/>
      <x:c r="D41" s="13"/>
    </x:row>
    <x:row r="42" ht="21" customHeight="1">
      <x:c r="A42" s="2" t="str">
        <x:v>Floor fără DEFENSIV validat</x:v>
      </x:c>
      <x:c r="B42" s="2" t="n">
        <x:v>2</x:v>
      </x:c>
      <x:c r="C42" s="2"/>
      <x:c r="D42" s="13" t="str">
        <x:v>Minimum 2, cu excepția Defensive Gate PASS.</x:v>
      </x:c>
    </x:row>
    <x:row r="43" ht="21" customHeight="1">
      <x:c r="A43" s="2"/>
      <x:c r="B43" s="2"/>
      <x:c r="C43" s="2"/>
      <x:c r="D43" s="13"/>
    </x:row>
    <x:row r="44" ht="21" customHeight="1">
      <x:c r="A44" s="2" t="str">
        <x:v>Pondere failure</x:v>
      </x:c>
      <x:c r="B44" s="2" t="n">
        <x:v>0.55</x:v>
      </x:c>
      <x:c r="C44" s="2"/>
      <x:c r="D44" s="13"/>
    </x:row>
    <x:row r="45" ht="21" customHeight="1">
      <x:c r="A45" s="2" t="str">
        <x:v>Pondere dispersie</x:v>
      </x:c>
      <x:c r="B45" s="2" t="n">
        <x:v>0.2</x:v>
      </x:c>
      <x:c r="C45" s="2"/>
      <x:c r="D45" s="13"/>
    </x:row>
    <x:row r="46" ht="21" customHeight="1">
      <x:c r="A46" s="2" t="str">
        <x:v>Pondere incertitudine</x:v>
      </x:c>
      <x:c r="B46" s="2" t="n">
        <x:v>0.15</x:v>
      </x:c>
      <x:c r="C46" s="2"/>
      <x:c r="D46" s="13"/>
    </x:row>
    <x:row r="47" ht="21" customHeight="1">
      <x:c r="A47" s="2" t="str">
        <x:v>Pondere context</x:v>
      </x:c>
      <x:c r="B47" s="2" t="n">
        <x:v>0.1</x:v>
      </x:c>
      <x:c r="C47" s="2"/>
      <x:c r="D47" s="13"/>
    </x:row>
    <x:row r="48" ht="21" customHeight="1">
      <x:c r="A48" s="2"/>
      <x:c r="B48" s="2"/>
      <x:c r="C48" s="2"/>
      <x:c r="D48" s="13"/>
    </x:row>
    <x:row r="49" ht="21" customHeight="1">
      <x:c r="A49" s="2"/>
      <x:c r="B49" s="2"/>
      <x:c r="C49" s="2"/>
      <x:c r="D49" s="13"/>
    </x:row>
    <x:row r="50" ht="21" customHeight="1">
      <x:c r="A50" s="2" t="str">
        <x:v>P minim DEFENSIV</x:v>
      </x:c>
      <x:c r="B50" s="2" t="n">
        <x:v>0.9</x:v>
      </x:c>
      <x:c r="C50" s="2"/>
      <x:c r="D50" s="13"/>
    </x:row>
    <x:row r="51" ht="21" customHeight="1">
      <x:c r="A51" s="2" t="str">
        <x:v>Confidence minim DEFENSIV</x:v>
      </x:c>
      <x:c r="B51" s="2" t="n">
        <x:v>90</x:v>
      </x:c>
      <x:c r="C51" s="2"/>
      <x:c r="D51" s="13"/>
    </x:row>
    <x:row r="52" ht="21" customHeight="1">
      <x:c r="A52" s="2" t="str">
        <x:v>Score maxim DEFENSIV</x:v>
      </x:c>
      <x:c r="B52" s="2" t="n">
        <x:v>20</x:v>
      </x:c>
      <x:c r="C52" s="2"/>
      <x:c r="D52" s="13"/>
    </x:row>
    <x:row r="53" ht="21" customHeight="1">
      <x:c r="A53" s="2" t="str">
        <x:v>D maxim DEFENSIV</x:v>
      </x:c>
      <x:c r="B53" s="2" t="n">
        <x:v>1.1</x:v>
      </x:c>
      <x:c r="C53" s="2"/>
      <x:c r="D53" s="13"/>
    </x:row>
    <x:row r="54" ht="21" customHeight="1">
      <x:c r="A54" s="2" t="str">
        <x:v>Număr meciuri recente</x:v>
      </x:c>
      <x:c r="B54" s="2" t="n">
        <x:v>5</x:v>
      </x:c>
      <x:c r="C54" s="2"/>
      <x:c r="D54" s="13"/>
    </x:row>
    <x:row r="55" ht="21" customHeight="1">
      <x:c r="A55" s="2" t="str">
        <x:v>Capacitate meciuri</x:v>
      </x:c>
      <x:c r="B55" s="2" t="n">
        <x:v>100</x:v>
      </x:c>
      <x:c r="C55" s="2"/>
      <x:c r="D55" s="13"/>
    </x:row>
    <x:row r="56" ht="40" customHeight="1">
      <x:c r="A56" s="2" t="str">
        <x:v>N minim OOS pentru promovare</x:v>
      </x:c>
      <x:c r="B56" s="2" t="n">
        <x:v>200</x:v>
      </x:c>
      <x:c r="C56" s="2"/>
      <x:c r="D56" s="13" t="str">
        <x:v>Control conservator propus pentru promovare; nu validare statistică deja demonstrată.</x:v>
      </x:c>
    </x:row>
    <x:row r="57" ht="40" customHeight="1">
      <x:c r="A57" s="2" t="str">
        <x:v>Wilson 95%: limită inferioară</x:v>
      </x:c>
      <x:c r="B57" s="2" t="n">
        <x:v>0.9</x:v>
      </x:c>
      <x:c r="C57" s="2"/>
      <x:c r="D57" s="13" t="str">
        <x:v>Calcul Wilson 95% pe predicții candidate distincte, înghețate înainte de meci.</x:v>
      </x:c>
    </x:row>
    <x:row r="58" ht="40" customHeight="1">
      <x:c r="A58" s="2" t="str">
        <x:v>Supraestimare OOS maximă</x:v>
      </x:c>
      <x:c r="B58" s="2" t="n">
        <x:v>0.05</x:v>
      </x:c>
      <x:c r="C58" s="2"/>
      <x:c r="D58" s="13"/>
    </x:row>
    <x:row r="59" ht="21" customHeight="1">
      <x:c r="A59" s="2"/>
      <x:c r="B59" s="2"/>
      <x:c r="C59" s="2"/>
      <x:c r="D59" s="13"/>
    </x:row>
    <x:row r="60" ht="21" customHeight="1">
      <x:c r="A60" s="2" t="str">
        <x:v>Semnătură parametri</x:v>
      </x:c>
      <x:c r="B60" s="14" t="str">
        <x:f>"CORNERS_NATIVE_V14"&amp;"|"&amp;TEXT(B4,"0.000000")&amp;"|"&amp;TEXT(B5,"0.000000")&amp;"|"&amp;TEXT(B6,"0.000000")&amp;"|"&amp;TEXT(B7,"0.000000")&amp;"|"&amp;TEXT(B8,"0.000000")&amp;"|"&amp;TEXT(B9,"0.000000")&amp;"|"&amp;TEXT(B10,"0.000000")&amp;"|"&amp;TEXT(B11,"0.000000")&amp;"|"&amp;TEXT(B12,"0.000000")&amp;"|"&amp;TEXT(B13,"0.000000")&amp;"|"&amp;TEXT(B14,"0.000000")&amp;"|"&amp;TEXT(B15,"0.000000")&amp;"|"&amp;TEXT(B16,"0.000000")&amp;"|"&amp;TEXT(B18,"0.000000")&amp;"|"&amp;TEXT(B19,"0.000000")&amp;"|"&amp;TEXT(B20,"0.000000")&amp;"|"&amp;TEXT(B21,"0.000000")&amp;"|"&amp;TEXT(B26,"0.000000")&amp;"|"&amp;TEXT(B34,"0.000000")&amp;"|"&amp;TEXT(B35,"0.000000")&amp;"|"&amp;TEXT(B36,"0.000000")&amp;"|"&amp;TEXT(B37,"0.000000")&amp;"|"&amp;TEXT(B38,"0.000000")&amp;"|"&amp;TEXT(B41,"0.000000")&amp;"|"&amp;TEXT(B42,"0.000000")&amp;"|"&amp;TEXT(B44,"0.000000")&amp;"|"&amp;TEXT(B45,"0.000000")&amp;"|"&amp;TEXT(B46,"0.000000")&amp;"|"&amp;TEXT(B47,"0.000000")&amp;"|"&amp;TEXT(B50,"0.000000")&amp;"|"&amp;TEXT(B51,"0.000000")&amp;"|"&amp;TEXT(B52,"0.000000")&amp;"|"&amp;TEXT(B53,"0.000000")&amp;"|"&amp;TEXT(B54,"0.000000")&amp;"|"&amp;TEXT(B56,"0.000000")&amp;"|"&amp;TEXT(B57,"0.000000")&amp;"|"&amp;TEXT(B58,"0.000000")&amp;"|"&amp;TEXT(C26,"0.000000"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</x:v>
      </x:c>
      <x:c r="C60" s="2"/>
      <x:c r="D60" s="13"/>
    </x:row>
    <x:row r="61" ht="21" customHeight="1">
      <x:c r="A61" s="2"/>
      <x:c r="B61" s="2"/>
      <x:c r="C61" s="2"/>
      <x:c r="D6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3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22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62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 ht="21" customHeight="1">
      <x:c r="A2" s="3" t="str">
        <x:v>REZULTATE PE CELE 14 LINII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46" customHeight="1">
      <x:c r="A5" s="6" t="str">
        <x:v>Slot</x:v>
      </x:c>
      <x:c r="B5" s="6" t="str">
        <x:v>Match_ID</x:v>
      </x:c>
      <x:c r="C5" s="6" t="str">
        <x:v>League</x:v>
      </x:c>
      <x:c r="D5" s="6" t="str">
        <x:v>Match</x:v>
      </x:c>
      <x:c r="E5" s="6" t="str">
        <x:v>Mode</x:v>
      </x:c>
      <x:c r="F5" s="6" t="str">
        <x:v>Line</x:v>
      </x:c>
      <x:c r="G5" s="6" t="str">
        <x:v>Type</x:v>
      </x:c>
      <x:c r="H5" s="6" t="str">
        <x:v>k</x:v>
      </x:c>
      <x:c r="I5" s="6" t="str">
        <x:v>Release</x:v>
      </x:c>
      <x:c r="J5" s="6" t="str">
        <x:v>G0</x:v>
      </x:c>
      <x:c r="K5" s="6" t="str">
        <x:v>Mu</x:v>
      </x:c>
      <x:c r="L5" s="6" t="str">
        <x:v>D</x:v>
      </x:c>
      <x:c r="M5" s="6" t="str">
        <x:v>P_Raw</x:v>
      </x:c>
      <x:c r="N5" s="6" t="str">
        <x:v>P_Calibrated</x:v>
      </x:c>
      <x:c r="O5" s="6" t="str">
        <x:v>Failure_Model</x:v>
      </x:c>
      <x:c r="P5" s="6" t="str">
        <x:v>Empirical_HA</x:v>
      </x:c>
      <x:c r="Q5" s="6" t="str">
        <x:v>Empirical_L10</x:v>
      </x:c>
      <x:c r="R5" s="6" t="str">
        <x:v>Empirical_L20</x:v>
      </x:c>
      <x:c r="S5" s="6" t="str">
        <x:v>Failure_Gate</x:v>
      </x:c>
      <x:c r="T5" s="6" t="str">
        <x:v>Risk_Score</x:v>
      </x:c>
      <x:c r="U5" s="6" t="str">
        <x:v>Risk_Level_Raw</x:v>
      </x:c>
      <x:c r="V5" s="6" t="str">
        <x:v>Confidence_Final</x:v>
      </x:c>
      <x:c r="W5" s="6" t="str">
        <x:v>Tail_Gate</x:v>
      </x:c>
      <x:c r="X5" s="6" t="str">
        <x:v>Defensive_Candidate</x:v>
      </x:c>
      <x:c r="Y5" s="6" t="str">
        <x:v>Defensive_Gate</x:v>
      </x:c>
      <x:c r="Z5" s="6" t="str">
        <x:v>Risk_Level_FINAL</x:v>
      </x:c>
      <x:c r="AA5" s="6" t="str">
        <x:v>Verdict_FINAL</x:v>
      </x:c>
      <x:c r="AB5" s="6" t="str">
        <x:v>P_FINAL</x:v>
      </x:c>
      <x:c r="AC5" s="6" t="str">
        <x:v>Rank_In_Match</x:v>
      </x:c>
      <x:c r="AD5" s="6" t="str">
        <x:v>Eligible</x:v>
      </x:c>
      <x:c r="AE5" s="6" t="str">
        <x:v>Builder</x:v>
      </x:c>
      <x:c r="AF5" s="6" t="str">
        <x:v>Live_Eligible_Best</x:v>
      </x:c>
      <x:c r="AG5" s="6" t="str">
        <x:v>Rank_LIVE</x:v>
      </x:c>
      <x:c r="AH5" s="6" t="str">
        <x:v>Reason</x:v>
      </x:c>
      <x:c r="AI5" s="6" t="str">
        <x:v>Model_Signature</x:v>
      </x:c>
      <x:c r="AJ5" s="6" t="str">
        <x:v>OOS_Status</x:v>
      </x:c>
      <x:c r="AK5" s="6" t="str">
        <x:v>N_HA_Empirical</x:v>
      </x:c>
      <x:c r="AL5" s="6" t="str">
        <x:v>N_L10_Empirical</x:v>
      </x:c>
      <x:c r="AM5" s="6" t="str">
        <x:v>N_L20_Empirical</x:v>
      </x:c>
      <x:c r="AN5" s="6" t="str">
        <x:v>Candidate_Confidence</x:v>
      </x:c>
    </x:row>
    <x:row r="6" ht="21" customHeight="1">
      <x:c r="A6" s="2" t="n">
        <x:v>1</x:v>
      </x:c>
      <x:c r="B6" s="2" t="str">
        <x:f>IF('Motor_Meciuri'!A6="","",'Motor_Meciuri'!A6)</x:f>
        <x:v>REPLAY_1</x:v>
      </x:c>
      <x:c r="C6" s="2" t="str">
        <x:f>IF(B6="","",'Motor_Meciuri'!B6)</x:f>
        <x:v>E0</x:v>
      </x:c>
      <x:c r="D6" s="2" t="str">
        <x:f>IF(B6="","",'Motor_Meciuri'!D6)</x:f>
        <x:v>Brighton – Man United</x:v>
      </x:c>
      <x:c r="E6" s="2" t="str">
        <x:f>IF(B6="","",'Motor_Meciuri'!E6)</x:f>
        <x:v>REPLAY</x:v>
      </x:c>
      <x:c r="F6" s="2" t="str">
        <x:v>O3,5</x:v>
      </x:c>
      <x:c r="G6" s="2" t="str">
        <x:v>OVER</x:v>
      </x:c>
      <x:c r="H6" s="2" t="n">
        <x:v>3</x:v>
      </x:c>
      <x:c r="I6" s="2" t="str">
        <x:f>IF(B6="","",'Motor_Meciuri'!H6)</x:f>
        <x:v>READY</x:v>
      </x:c>
      <x:c r="J6" s="2" t="str">
        <x:f>IF(B6="","",'Motor_Meciuri'!I6)</x:f>
        <x:v>PASS</x:v>
      </x:c>
      <x:c r="K6" s="11" t="n">
        <x:f>IF(J6&lt;&gt;"PASS","",'Motor_Meciuri'!BD6)</x:f>
        <x:v>10.27195945945946</x:v>
      </x:c>
      <x:c r="L6" s="11" t="n">
        <x:f>IF(J6&lt;&gt;"PASS","",'Motor_Meciuri'!AU6)</x:f>
        <x:v>0.9007607192254518</x:v>
      </x:c>
      <x:c r="M6" s="10" t="n">
        <x:f>IF(NOT(AND(J6="PASS",'Calibrare_Linii'!U6="VALID")),"",1-'Distributie'!AA6)</x:f>
        <x:v>0.9915371058651653</x:v>
      </x:c>
      <x:c r="N6" s="10" t="n">
        <x:f>IF(M6="","",MAX(0.01,MIN(0.99,0.5+(M6-0.5)*'Motor_Meciuri'!BG6*'Calibrare_Linii'!D6)))</x:f>
        <x:v>0.8929839161391997</x:v>
      </x:c>
      <x:c r="O6" s="10" t="n">
        <x:f>IF(M6="","",1-M6)</x:f>
        <x:v>0.008462894134834698</x:v>
      </x:c>
      <x:c r="P6" s="10" t="n">
        <x:f>IF(OR(NOT(AND(J6="PASS",'Calibrare_Linii'!U6="VALID")),AK6=0),""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*('Istoric_Nativ'!$Q$6:$Q$405&lt;=H6))/AK6)</x:f>
        <x:v>0</x:v>
      </x:c>
      <x:c r="Q6" s="10" t="n">
        <x:f>IF(OR(NOT(AND(J6="PASS",'Calibrare_Linii'!U6="VALID")),AL6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M6)+((('Istoric_Nativ'!$E$6:$E$405='Input_Meci'!E6)+('Istoric_Nativ'!$F$6:$F$405='Input_Meci'!E6))&gt;0)*('Istoric_Nativ'!$D$6:$D$405&gt;='Motor_Meciuri'!BN6))&gt;0)*('Istoric_Nativ'!$Q$6:$Q$405&lt;=H6))/AL6)</x:f>
        <x:v>0</x:v>
      </x:c>
      <x:c r="R6" s="10" t="n">
        <x:f>IF(OR(NOT(AND(J6="PASS",'Calibrare_Linii'!U6="VALID")),AM6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O6)+((('Istoric_Nativ'!$E$6:$E$405='Input_Meci'!E6)+('Istoric_Nativ'!$F$6:$F$405='Input_Meci'!E6))&gt;0)*('Istoric_Nativ'!$D$6:$D$405&gt;='Motor_Meciuri'!BP6))&gt;0)*('Istoric_Nativ'!$Q$6:$Q$405&lt;=H6))/AM6)</x:f>
        <x:v>0</x:v>
      </x:c>
      <x:c r="S6" s="10" t="n">
        <x:f>IF(M6="","",MAX(O6,P6,Q6,R6))</x:f>
        <x:v>0.008462894134834698</x:v>
      </x:c>
      <x:c r="T6" s="11" t="n">
        <x:f>IF(M6="","",MIN(100,S6*100*'Config_v6'!$B$44+MIN(100,L6/'Config_v6'!$B$13*100)*'Config_v6'!$B$45+(100-'Motor_Meciuri'!BF6)*'Config_v6'!$B$46+'Motor_Meciuri'!BH6*100*'Config_v6'!$B$47))</x:f>
        <x:v>9.972221126086591</x:v>
      </x:c>
      <x:c r="U6" s="2" t="n">
        <x:f>IF(T6="","",IF(T6&lt;=20,1,IF(T6&lt;=40,2,IF(T6&lt;=60,3,IF(T6&lt;=80,4,5)))))</x:f>
        <x:v>1</x:v>
      </x:c>
      <x:c r="V6" s="2" t="n">
        <x:f>IF(M6="","",MAX(0,'Motor_Meciuri'!BF6-IF(W6="OOS PENDING",'Config_v6'!$B$35,0)-IF(L6&gt;'Config_v6'!$B$12,'Config_v6'!$B$37,IF(L6&gt;'Config_v6'!$B$11,'Config_v6'!$B$36,0))))</x:f>
        <x:v>90</x:v>
      </x:c>
      <x:c r="W6" s="2" t="str">
        <x:f>IF(B6="","",IF(I6&lt;&gt;"READY","NOT RELEASED",IF(NOT(AND(J6="PASS",'Calibrare_Linii'!U6="VALID")),"INVALID",IF(NOT(TRUE),"OOS PENDING",IF(S6&lt;=IF(AND('Calibrare_Linii'!S6="VALIDATED",AND('Calibrare_Linii'!H6=C6,ISNUMBER('Calibrare_Linii'!J6),'Calibrare_Linii'!J6&lt;='Input_Meci'!G6)),'Calibrare_Linii'!E6,'Config_v6'!$B$26),"PASS",IF(S6&lt;=IF(AND('Calibrare_Linii'!S6="VALIDATED",AND('Calibrare_Linii'!H6=C6,ISNUMBER('Calibrare_Linii'!J6),'Calibrare_Linii'!J6&lt;='Input_Meci'!G6)),'Calibrare_Linii'!F6,'Config_v6'!$C$26),"PENALTY","WATCH"))))))</x:f>
        <x:v>PASS</x:v>
      </x:c>
      <x:c r="X6" s="2" t="str">
        <x:f>IF(M6="","",IF(AND(AND(J6="PASS",'Calibrare_Linii'!U6="VALID"),'Motor_Meciuri'!K6=12,'Motor_Meciuri'!L6=12,'Motor_Meciuri'!M6="NO",'Motor_Meciuri'!BL6='Motor_Meciuri'!C6,AB6&gt;='Config_v6'!$B$50,AN6&gt;='Config_v6'!$B$51,T6&lt;='Config_v6'!$B$52,L6&lt;='Config_v6'!$B$53,ISNUMBER('Calibrare_Linii'!E6),S6&lt;='Calibrare_Linii'!E6,SUM(AK6:AM6)&gt;0),"CANDIDATE","NO"))</x:f>
        <x:v>NO</x:v>
      </x:c>
      <x:c r="Y6" s="2" t="str">
        <x:f>IF(B6="","",IF(I6&lt;&gt;"READY","NOT RELEASED",IF(AND(X6="CANDIDATE",V6&gt;='Config_v6'!$B$51,W6="PASS",'Calibrare_Linii'!T6="VALIDATED",AND('Calibrare_Linii'!H6=C6,ISNUMBER('Calibrare_Linii'!J6),'Calibrare_Linii'!J6&lt;='Input_Meci'!G6)),"PASS",IF(X6="CANDIDATE","OOS PENDING","FAIL"))))</x:f>
        <x:v>FAIL</x:v>
      </x:c>
      <x:c r="Z6" s="2" t="n">
        <x:f>IF(B6="","",IF(I6&lt;&gt;"READY","",IF(OR(NOT(AND(J6="PASS",'Calibrare_Linii'!U6="VALID")),L6&gt;'Config_v6'!$B$13,W6="WATCH"),5,IF(Y6="PASS",1,MIN(5,MAX('Config_v6'!$B$42,U6)+IF(W6="PENALTY",1,0))))))</x:f>
        <x:v>2</x:v>
      </x:c>
      <x:c r="AA6" s="2" t="str">
        <x:f>IF(B6="","",IF(I6&lt;&gt;"READY","NOT RELEASED",IF(Z6=5,"NO BET",IF(OR(AB6&lt;'Config_v6'!$B$16,V6&lt;'Config_v6'!$B$18),"WATCH",IF(Z6=1,"DEFENSIV",IF(Z6=2,"PRUDENT",IF(Z6=3,"MODERAT","RIDICAT")))))))</x:f>
        <x:v>PRUDENT</x:v>
      </x:c>
      <x:c r="AB6" s="10" t="n">
        <x:f>IF(N6="","",MIN(N6,1-S6))</x:f>
        <x:v>0.8929839161391997</x:v>
      </x:c>
      <x:c r="AC6" s="2" t="n">
        <x:f>IF(AD6&lt;&gt;1,"",COUNTIFS($Z$6:$Z$19,"&lt;"&amp;Z6,$AD$6:$AD$19,1)+COUNTIFS($Z$6:$Z$19,Z6,$AB$6:$AB$19,"&gt;"&amp;AB6,$AD$6:$AD$19,1)+COUNTIFS($Z$6:$Z$19,Z6,$AB$6:$AB$19,AB6,$V$6:$V$19,"&gt;"&amp;V6,$AD$6:$AD$19,1)+COUNTIFS($Z$6:Z6,Z6,$AB$6:AB6,AB6,$V$6:V6,V6,$AD$6:AD6,1))</x:f>
        <x:v>1</x:v>
      </x:c>
      <x:c r="AD6" s="2" t="n">
        <x:f>IF(OR(AA6="DEFENSIV",AA6="PRUDENT",AA6="MODERAT",AA6="RIDICAT"),1,0)</x:f>
        <x:v>1</x:v>
      </x:c>
      <x:c r="AE6" s="2" t="str">
        <x:f>IF(AD6&lt;&gt;1,"NO",IF(W6="PASS","YES",IF(W6="OOS PENDING","CONDITIONAL","NO")))</x:f>
        <x:v>YES</x:v>
      </x:c>
      <x:c r="AF6" s="2" t="n">
        <x:f>IF(AND(AD6=1,AC6=1,E6="LIVE"),1,0)</x:f>
        <x:v>0</x:v>
      </x:c>
      <x:c r="AG6" s="2" t="str">
        <x:f>IF(AF6&lt;&gt;1,"",'Dashboard'!P26)</x:f>
      </x:c>
      <x:c r="AH6" s="2" t="str">
        <x:f>IF(B6="","",IF(J6&lt;&gt;"PASS",'Motor_Meciuri'!J6,IF('Calibrare_Linii'!U6&lt;&gt;"VALID","Parametri linie invalizi",IF(L6&gt;'Config_v6'!$B$13,"Dispersie peste limita",IF(W6="WATCH","Failure peste limita",IF(AB6&lt;'Config_v6'!$B$16,"P finala sub prag",IF(V6&lt;'Config_v6'!$B$18,"Confidence sub prag",IF(E6="REPLAY","Exemplu retrospectiv; exclus din Top LIVE",IF(Y6="PASS","DEFENSIV validat",IF(W6="OOS PENDING","Eligibil; calibrare linie in monitorizare","Eligibil"))))))))))</x:f>
        <x:v>Exemplu retrospectiv; exclus din Top LIVE</x:v>
      </x:c>
      <x:c r="AI6" s="2" t="str">
        <x:f>IF(B6="","",'Calibrare_Linii'!V6)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3,5|1.000000|0.050000|0.080000</x:v>
      </x:c>
      <x:c r="AJ6" s="2" t="str">
        <x:f>IF(B6="","",IF(AND('Calibrare_Linii'!T6="VALIDATED",AND('Calibrare_Linii'!H6=C6,ISNUMBER('Calibrare_Linii'!J6),'Calibrare_Linii'!J6&lt;='Input_Meci'!G6)),"DEFENSIVE VALIDATED",IF(AND('Calibrare_Linii'!S6="VALIDATED",AND('Calibrare_Linii'!H6=C6,ISNUMBER('Calibrare_Linii'!J6),'Calibrare_Linii'!J6&lt;='Input_Meci'!G6)),"TAIL VALIDATED","OOS PENDING")))</x:f>
        <x:v>OOS PENDING</x:v>
      </x:c>
      <x:c r="AK6" s="2" t="n">
        <x:f>IF(J6&lt;&gt;"PASS",0,'Motor_Meciuri'!BR6)</x:f>
        <x:v>36</x:v>
      </x:c>
      <x:c r="AL6" s="2" t="n">
        <x:f>IF(J6&lt;&gt;"PASS",0,'Motor_Meciuri'!BS6)</x:f>
        <x:v>20</x:v>
      </x:c>
      <x:c r="AM6" s="2" t="n">
        <x:f>IF(J6&lt;&gt;"PASS",0,'Motor_Meciuri'!BT6)</x:f>
        <x:v>40</x:v>
      </x:c>
      <x:c r="AN6" s="2" t="n">
        <x:f>IF(M6="","",MAX(0,'Motor_Meciuri'!BF6-IF(L6&gt;'Config_v6'!$B$12,'Config_v6'!$B$37,IF(L6&gt;'Config_v6'!$B$11,'Config_v6'!$B$36,0))))</x:f>
        <x:v>90</x:v>
      </x:c>
    </x:row>
    <x:row r="7" ht="21" customHeight="1">
      <x:c r="A7" s="2" t="n">
        <x:v>1</x:v>
      </x:c>
      <x:c r="B7" s="2" t="str">
        <x:f>IF('Motor_Meciuri'!A6="","",'Motor_Meciuri'!A6)</x:f>
        <x:v>REPLAY_1</x:v>
      </x:c>
      <x:c r="C7" s="2" t="str">
        <x:f>IF(B7="","",'Motor_Meciuri'!B6)</x:f>
        <x:v>E0</x:v>
      </x:c>
      <x:c r="D7" s="2" t="str">
        <x:f>IF(B7="","",'Motor_Meciuri'!D6)</x:f>
        <x:v>Brighton – Man United</x:v>
      </x:c>
      <x:c r="E7" s="2" t="str">
        <x:f>IF(B7="","",'Motor_Meciuri'!E6)</x:f>
        <x:v>REPLAY</x:v>
      </x:c>
      <x:c r="F7" s="2" t="str">
        <x:v>O4,5</x:v>
      </x:c>
      <x:c r="G7" s="2" t="str">
        <x:v>OVER</x:v>
      </x:c>
      <x:c r="H7" s="2" t="n">
        <x:v>4</x:v>
      </x:c>
      <x:c r="I7" s="2" t="str">
        <x:f>IF(B7="","",'Motor_Meciuri'!H6)</x:f>
        <x:v>READY</x:v>
      </x:c>
      <x:c r="J7" s="2" t="str">
        <x:f>IF(B7="","",'Motor_Meciuri'!I6)</x:f>
        <x:v>PASS</x:v>
      </x:c>
      <x:c r="K7" s="11" t="n">
        <x:f>IF(J7&lt;&gt;"PASS","",'Motor_Meciuri'!BD6)</x:f>
        <x:v>10.27195945945946</x:v>
      </x:c>
      <x:c r="L7" s="11" t="n">
        <x:f>IF(J7&lt;&gt;"PASS","",'Motor_Meciuri'!AU6)</x:f>
        <x:v>0.9007607192254518</x:v>
      </x:c>
      <x:c r="M7" s="10" t="n">
        <x:f>IF(NOT(AND(J7="PASS",'Calibrare_Linii'!U7="VALID")),"",1-'Distributie'!AB6)</x:f>
        <x:v>0.9754918504980158</x:v>
      </x:c>
      <x:c r="N7" s="10" t="n">
        <x:f>IF(M7="","",MAX(0.01,MIN(0.99,0.5+(M7-0.5)*'Motor_Meciuri'!BG6*'Calibrare_Linii'!D7)))</x:f>
        <x:v>0.8801557344731636</x:v>
      </x:c>
      <x:c r="O7" s="10" t="n">
        <x:f>IF(M7="","",1-M7)</x:f>
        <x:v>0.02450814950198421</x:v>
      </x:c>
      <x:c r="P7" s="10" t="n">
        <x:f>IF(OR(NOT(AND(J7="PASS",'Calibrare_Linii'!U7="VALID")),AK7=0),""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*('Istoric_Nativ'!$Q$6:$Q$405&lt;=H7))/AK7)</x:f>
        <x:v>0</x:v>
      </x:c>
      <x:c r="Q7" s="10" t="n">
        <x:f>IF(OR(NOT(AND(J7="PASS",'Calibrare_Linii'!U7="VALID")),AL7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M6)+((('Istoric_Nativ'!$E$6:$E$405='Input_Meci'!E6)+('Istoric_Nativ'!$F$6:$F$405='Input_Meci'!E6))&gt;0)*('Istoric_Nativ'!$D$6:$D$405&gt;='Motor_Meciuri'!BN6))&gt;0)*('Istoric_Nativ'!$Q$6:$Q$405&lt;=H7))/AL7)</x:f>
        <x:v>0</x:v>
      </x:c>
      <x:c r="R7" s="10" t="n">
        <x:f>IF(OR(NOT(AND(J7="PASS",'Calibrare_Linii'!U7="VALID")),AM7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O6)+((('Istoric_Nativ'!$E$6:$E$405='Input_Meci'!E6)+('Istoric_Nativ'!$F$6:$F$405='Input_Meci'!E6))&gt;0)*('Istoric_Nativ'!$D$6:$D$405&gt;='Motor_Meciuri'!BP6))&gt;0)*('Istoric_Nativ'!$Q$6:$Q$405&lt;=H7))/AM7)</x:f>
        <x:v>0</x:v>
      </x:c>
      <x:c r="S7" s="10" t="n">
        <x:f>IF(M7="","",MAX(O7,P7,Q7,R7))</x:f>
        <x:v>0.02450814950198421</x:v>
      </x:c>
      <x:c r="T7" s="11" t="n">
        <x:f>IF(M7="","",MIN(100,S7*100*'Config_v6'!$B$44+MIN(100,L7/'Config_v6'!$B$13*100)*'Config_v6'!$B$45+(100-'Motor_Meciuri'!BF6)*'Config_v6'!$B$46+'Motor_Meciuri'!BH6*100*'Config_v6'!$B$47))</x:f>
        <x:v>10.854710171279814</x:v>
      </x:c>
      <x:c r="U7" s="2" t="n">
        <x:f>IF(T7="","",IF(T7&lt;=20,1,IF(T7&lt;=40,2,IF(T7&lt;=60,3,IF(T7&lt;=80,4,5)))))</x:f>
        <x:v>1</x:v>
      </x:c>
      <x:c r="V7" s="2" t="n">
        <x:f>IF(M7="","",MAX(0,'Motor_Meciuri'!BF6-IF(W7="OOS PENDING",'Config_v6'!$B$35,0)-IF(L7&gt;'Config_v6'!$B$12,'Config_v6'!$B$37,IF(L7&gt;'Config_v6'!$B$11,'Config_v6'!$B$36,0))))</x:f>
        <x:v>80</x:v>
      </x:c>
      <x:c r="W7" s="2" t="str">
        <x:f>IF(B7="","",IF(I7&lt;&gt;"READY","NOT RELEASED",IF(NOT(AND(J7="PASS",'Calibrare_Linii'!U7="VALID")),"INVALID",IF(NOT(AND('Calibrare_Linii'!S7="VALIDATED",AND('Calibrare_Linii'!H7=C7,ISNUMBER('Calibrare_Linii'!J7),'Calibrare_Linii'!J7&lt;='Input_Meci'!G6))),"OOS PENDING",IF(S7&lt;='Calibrare_Linii'!E7,"PASS",IF(S7&lt;='Calibrare_Linii'!F7,"PENALTY","WATCH"))))))</x:f>
        <x:v>OOS PENDING</x:v>
      </x:c>
      <x:c r="X7" s="2" t="str">
        <x:f>IF(M7="","",IF(AND(AND(J7="PASS",'Calibrare_Linii'!U7="VALID"),'Motor_Meciuri'!K6=12,'Motor_Meciuri'!L6=12,'Motor_Meciuri'!M6="NO",'Motor_Meciuri'!BL6='Motor_Meciuri'!C6,AB7&gt;='Config_v6'!$B$50,AN7&gt;='Config_v6'!$B$51,T7&lt;='Config_v6'!$B$52,L7&lt;='Config_v6'!$B$53,ISNUMBER('Calibrare_Linii'!E7),S7&lt;='Calibrare_Linii'!E7,SUM(AK7:AM7)&gt;0),"CANDIDATE","NO"))</x:f>
        <x:v>NO</x:v>
      </x:c>
      <x:c r="Y7" s="2" t="str">
        <x:f>IF(B7="","",IF(I7&lt;&gt;"READY","NOT RELEASED",IF(AND(X7="CANDIDATE",V7&gt;='Config_v6'!$B$51,W7="PASS",'Calibrare_Linii'!T7="VALIDATED",AND('Calibrare_Linii'!H7=C7,ISNUMBER('Calibrare_Linii'!J7),'Calibrare_Linii'!J7&lt;='Input_Meci'!G6)),"PASS",IF(X7="CANDIDATE","OOS PENDING","FAIL"))))</x:f>
        <x:v>FAIL</x:v>
      </x:c>
      <x:c r="Z7" s="2" t="n">
        <x:f>IF(B7="","",IF(I7&lt;&gt;"READY","",IF(OR(NOT(AND(J7="PASS",'Calibrare_Linii'!U7="VALID")),L7&gt;'Config_v6'!$B$13,W7="WATCH"),5,IF(Y7="PASS",1,MIN(5,MAX('Config_v6'!$B$42,U7)+IF(W7="PENALTY",1,0))))))</x:f>
        <x:v>2</x:v>
      </x:c>
      <x:c r="AA7" s="2" t="str">
        <x:f>IF(B7="","",IF(I7&lt;&gt;"READY","NOT RELEASED",IF(Z7=5,"NO BET",IF(OR(AB7&lt;'Config_v6'!$B$16,V7&lt;'Config_v6'!$B$18),"WATCH",IF(Z7=1,"DEFENSIV",IF(Z7=2,"PRUDENT",IF(Z7=3,"MODERAT","RIDICAT")))))))</x:f>
        <x:v>PRUDENT</x:v>
      </x:c>
      <x:c r="AB7" s="10" t="n">
        <x:f>IF(N7="","",MIN(N7,1-S7))</x:f>
        <x:v>0.8801557344731636</x:v>
      </x:c>
      <x:c r="AC7" s="2" t="n">
        <x:f>IF(AD7&lt;&gt;1,"",COUNTIFS($Z$6:$Z$19,"&lt;"&amp;Z7,$AD$6:$AD$19,1)+COUNTIFS($Z$6:$Z$19,Z7,$AB$6:$AB$19,"&gt;"&amp;AB7,$AD$6:$AD$19,1)+COUNTIFS($Z$6:$Z$19,Z7,$AB$6:$AB$19,AB7,$V$6:$V$19,"&gt;"&amp;V7,$AD$6:$AD$19,1)+COUNTIFS($Z$6:Z7,Z7,$AB$6:AB7,AB7,$V$6:V7,V7,$AD$6:AD7,1))</x:f>
        <x:v>3</x:v>
      </x:c>
      <x:c r="AD7" s="2" t="n">
        <x:f>IF(OR(AA7="DEFENSIV",AA7="PRUDENT",AA7="MODERAT",AA7="RIDICAT"),1,0)</x:f>
        <x:v>1</x:v>
      </x:c>
      <x:c r="AE7" s="2" t="str">
        <x:f>IF(AD7&lt;&gt;1,"NO",IF(W7="PASS","YES",IF(W7="OOS PENDING","CONDITIONAL","NO")))</x:f>
        <x:v>CONDITIONAL</x:v>
      </x:c>
      <x:c r="AF7" s="2" t="n">
        <x:f>IF(AND(AD7=1,AC7=1,E7="LIVE"),1,0)</x:f>
        <x:v>0</x:v>
      </x:c>
      <x:c r="AG7" s="2" t="str">
        <x:f>IF(AF7&lt;&gt;1,"",'Dashboard'!P26)</x:f>
      </x:c>
      <x:c r="AH7" s="2" t="str">
        <x:f>IF(B7="","",IF(J7&lt;&gt;"PASS",'Motor_Meciuri'!J6,IF('Calibrare_Linii'!U7&lt;&gt;"VALID","Parametri linie invalizi",IF(L7&gt;'Config_v6'!$B$13,"Dispersie peste limita",IF(W7="WATCH","Failure peste limita",IF(AB7&lt;'Config_v6'!$B$16,"P finala sub prag",IF(V7&lt;'Config_v6'!$B$18,"Confidence sub prag",IF(E7="REPLAY","Exemplu retrospectiv; exclus din Top LIVE",IF(Y7="PASS","DEFENSIV validat",IF(W7="OOS PENDING","Eligibil; calibrare linie in monitorizare","Eligibil"))))))))))</x:f>
        <x:v>Exemplu retrospectiv; exclus din Top LIVE</x:v>
      </x:c>
      <x:c r="AI7" s="2" t="str">
        <x:f>IF(B7="","",'Calibrare_Linii'!V7)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4,5|1.000000|NA|NA</x:v>
      </x:c>
      <x:c r="AJ7" s="2" t="str">
        <x:f>IF(B7="","",IF(AND('Calibrare_Linii'!T7="VALIDATED",AND('Calibrare_Linii'!H7=C7,ISNUMBER('Calibrare_Linii'!J7),'Calibrare_Linii'!J7&lt;='Input_Meci'!G6)),"DEFENSIVE VALIDATED",IF(AND('Calibrare_Linii'!S7="VALIDATED",AND('Calibrare_Linii'!H7=C7,ISNUMBER('Calibrare_Linii'!J7),'Calibrare_Linii'!J7&lt;='Input_Meci'!G6)),"TAIL VALIDATED","OOS PENDING")))</x:f>
        <x:v>OOS PENDING</x:v>
      </x:c>
      <x:c r="AK7" s="2" t="n">
        <x:f>IF(J7&lt;&gt;"PASS",0,'Motor_Meciuri'!BR6)</x:f>
        <x:v>36</x:v>
      </x:c>
      <x:c r="AL7" s="2" t="n">
        <x:f>IF(J7&lt;&gt;"PASS",0,'Motor_Meciuri'!BS6)</x:f>
        <x:v>20</x:v>
      </x:c>
      <x:c r="AM7" s="2" t="n">
        <x:f>IF(J7&lt;&gt;"PASS",0,'Motor_Meciuri'!BT6)</x:f>
        <x:v>40</x:v>
      </x:c>
      <x:c r="AN7" s="2" t="n">
        <x:f>IF(M7="","",MAX(0,'Motor_Meciuri'!BF6-IF(L7&gt;'Config_v6'!$B$12,'Config_v6'!$B$37,IF(L7&gt;'Config_v6'!$B$11,'Config_v6'!$B$36,0))))</x:f>
        <x:v>90</x:v>
      </x:c>
    </x:row>
    <x:row r="8" ht="21" customHeight="1">
      <x:c r="A8" s="2" t="n">
        <x:v>1</x:v>
      </x:c>
      <x:c r="B8" s="2" t="str">
        <x:f>IF('Motor_Meciuri'!A6="","",'Motor_Meciuri'!A6)</x:f>
        <x:v>REPLAY_1</x:v>
      </x:c>
      <x:c r="C8" s="2" t="str">
        <x:f>IF(B8="","",'Motor_Meciuri'!B6)</x:f>
        <x:v>E0</x:v>
      </x:c>
      <x:c r="D8" s="2" t="str">
        <x:f>IF(B8="","",'Motor_Meciuri'!D6)</x:f>
        <x:v>Brighton – Man United</x:v>
      </x:c>
      <x:c r="E8" s="2" t="str">
        <x:f>IF(B8="","",'Motor_Meciuri'!E6)</x:f>
        <x:v>REPLAY</x:v>
      </x:c>
      <x:c r="F8" s="2" t="str">
        <x:v>O5,5</x:v>
      </x:c>
      <x:c r="G8" s="2" t="str">
        <x:v>OVER</x:v>
      </x:c>
      <x:c r="H8" s="2" t="n">
        <x:v>5</x:v>
      </x:c>
      <x:c r="I8" s="2" t="str">
        <x:f>IF(B8="","",'Motor_Meciuri'!H6)</x:f>
        <x:v>READY</x:v>
      </x:c>
      <x:c r="J8" s="2" t="str">
        <x:f>IF(B8="","",'Motor_Meciuri'!I6)</x:f>
        <x:v>PASS</x:v>
      </x:c>
      <x:c r="K8" s="11" t="n">
        <x:f>IF(J8&lt;&gt;"PASS","",'Motor_Meciuri'!BD6)</x:f>
        <x:v>10.27195945945946</x:v>
      </x:c>
      <x:c r="L8" s="11" t="n">
        <x:f>IF(J8&lt;&gt;"PASS","",'Motor_Meciuri'!AU6)</x:f>
        <x:v>0.9007607192254518</x:v>
      </x:c>
      <x:c r="M8" s="10" t="n">
        <x:f>IF(NOT(AND(J8="PASS",'Calibrare_Linii'!U8="VALID")),"",1-'Distributie'!AC6)</x:f>
        <x:v>0.9425286079684091</x:v>
      </x:c>
      <x:c r="N8" s="10" t="n">
        <x:f>IF(M8="","",MAX(0.01,MIN(0.99,0.5+(M8-0.5)*'Motor_Meciuri'!BG6*'Calibrare_Linii'!D8)))</x:f>
        <x:v>0.8538016220707431</x:v>
      </x:c>
      <x:c r="O8" s="10" t="n">
        <x:f>IF(M8="","",1-M8)</x:f>
        <x:v>0.05747139203159091</x:v>
      </x:c>
      <x:c r="P8" s="10" t="n">
        <x:f>IF(OR(NOT(AND(J8="PASS",'Calibrare_Linii'!U8="VALID")),AK8=0),""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*('Istoric_Nativ'!$Q$6:$Q$405&lt;=H8))/AK8)</x:f>
        <x:v>0.027777777777777776</x:v>
      </x:c>
      <x:c r="Q8" s="10" t="n">
        <x:f>IF(OR(NOT(AND(J8="PASS",'Calibrare_Linii'!U8="VALID")),AL8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M6)+((('Istoric_Nativ'!$E$6:$E$405='Input_Meci'!E6)+('Istoric_Nativ'!$F$6:$F$405='Input_Meci'!E6))&gt;0)*('Istoric_Nativ'!$D$6:$D$405&gt;='Motor_Meciuri'!BN6))&gt;0)*('Istoric_Nativ'!$Q$6:$Q$405&lt;=H8))/AL8)</x:f>
        <x:v>0.05</x:v>
      </x:c>
      <x:c r="R8" s="10" t="n">
        <x:f>IF(OR(NOT(AND(J8="PASS",'Calibrare_Linii'!U8="VALID")),AM8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O6)+((('Istoric_Nativ'!$E$6:$E$405='Input_Meci'!E6)+('Istoric_Nativ'!$F$6:$F$405='Input_Meci'!E6))&gt;0)*('Istoric_Nativ'!$D$6:$D$405&gt;='Motor_Meciuri'!BP6))&gt;0)*('Istoric_Nativ'!$Q$6:$Q$405&lt;=H8))/AM8)</x:f>
        <x:v>0.025</x:v>
      </x:c>
      <x:c r="S8" s="10" t="n">
        <x:f>IF(M8="","",MAX(O8,P8,Q8,R8))</x:f>
        <x:v>0.05747139203159091</x:v>
      </x:c>
      <x:c r="T8" s="11" t="n">
        <x:f>IF(M8="","",MIN(100,S8*100*'Config_v6'!$B$44+MIN(100,L8/'Config_v6'!$B$13*100)*'Config_v6'!$B$45+(100-'Motor_Meciuri'!BF6)*'Config_v6'!$B$46+'Motor_Meciuri'!BH6*100*'Config_v6'!$B$47))</x:f>
        <x:v>12.667688510408183</x:v>
      </x:c>
      <x:c r="U8" s="2" t="n">
        <x:f>IF(T8="","",IF(T8&lt;=20,1,IF(T8&lt;=40,2,IF(T8&lt;=60,3,IF(T8&lt;=80,4,5)))))</x:f>
        <x:v>1</x:v>
      </x:c>
      <x:c r="V8" s="2" t="n">
        <x:f>IF(M8="","",MAX(0,'Motor_Meciuri'!BF6-IF(W8="OOS PENDING",'Config_v6'!$B$35,0)-IF(L8&gt;'Config_v6'!$B$12,'Config_v6'!$B$37,IF(L8&gt;'Config_v6'!$B$11,'Config_v6'!$B$36,0))))</x:f>
        <x:v>80</x:v>
      </x:c>
      <x:c r="W8" s="2" t="str">
        <x:f>IF(B8="","",IF(I8&lt;&gt;"READY","NOT RELEASED",IF(NOT(AND(J8="PASS",'Calibrare_Linii'!U8="VALID")),"INVALID",IF(NOT(AND('Calibrare_Linii'!S8="VALIDATED",AND('Calibrare_Linii'!H8=C8,ISNUMBER('Calibrare_Linii'!J8),'Calibrare_Linii'!J8&lt;='Input_Meci'!G6))),"OOS PENDING",IF(S8&lt;='Calibrare_Linii'!E8,"PASS",IF(S8&lt;='Calibrare_Linii'!F8,"PENALTY","WATCH"))))))</x:f>
        <x:v>OOS PENDING</x:v>
      </x:c>
      <x:c r="X8" s="2" t="str">
        <x:f>IF(M8="","",IF(AND(AND(J8="PASS",'Calibrare_Linii'!U8="VALID"),'Motor_Meciuri'!K6=12,'Motor_Meciuri'!L6=12,'Motor_Meciuri'!M6="NO",'Motor_Meciuri'!BL6='Motor_Meciuri'!C6,AB8&gt;='Config_v6'!$B$50,AN8&gt;='Config_v6'!$B$51,T8&lt;='Config_v6'!$B$52,L8&lt;='Config_v6'!$B$53,ISNUMBER('Calibrare_Linii'!E8),S8&lt;='Calibrare_Linii'!E8,SUM(AK8:AM8)&gt;0),"CANDIDATE","NO"))</x:f>
        <x:v>NO</x:v>
      </x:c>
      <x:c r="Y8" s="2" t="str">
        <x:f>IF(B8="","",IF(I8&lt;&gt;"READY","NOT RELEASED",IF(AND(X8="CANDIDATE",V8&gt;='Config_v6'!$B$51,W8="PASS",'Calibrare_Linii'!T8="VALIDATED",AND('Calibrare_Linii'!H8=C8,ISNUMBER('Calibrare_Linii'!J8),'Calibrare_Linii'!J8&lt;='Input_Meci'!G6)),"PASS",IF(X8="CANDIDATE","OOS PENDING","FAIL"))))</x:f>
        <x:v>FAIL</x:v>
      </x:c>
      <x:c r="Z8" s="2" t="n">
        <x:f>IF(B8="","",IF(I8&lt;&gt;"READY","",IF(OR(NOT(AND(J8="PASS",'Calibrare_Linii'!U8="VALID")),L8&gt;'Config_v6'!$B$13,W8="WATCH"),5,IF(Y8="PASS",1,MIN(5,MAX('Config_v6'!$B$42,U8)+IF(W8="PENALTY",1,0))))))</x:f>
        <x:v>2</x:v>
      </x:c>
      <x:c r="AA8" s="2" t="str">
        <x:f>IF(B8="","",IF(I8&lt;&gt;"READY","NOT RELEASED",IF(Z8=5,"NO BET",IF(OR(AB8&lt;'Config_v6'!$B$16,V8&lt;'Config_v6'!$B$18),"WATCH",IF(Z8=1,"DEFENSIV",IF(Z8=2,"PRUDENT",IF(Z8=3,"MODERAT","RIDICAT")))))))</x:f>
        <x:v>PRUDENT</x:v>
      </x:c>
      <x:c r="AB8" s="10" t="n">
        <x:f>IF(N8="","",MIN(N8,1-S8))</x:f>
        <x:v>0.8538016220707431</x:v>
      </x:c>
      <x:c r="AC8" s="2" t="n">
        <x:f>IF(AD8&lt;&gt;1,"",COUNTIFS($Z$6:$Z$19,"&lt;"&amp;Z8,$AD$6:$AD$19,1)+COUNTIFS($Z$6:$Z$19,Z8,$AB$6:$AB$19,"&gt;"&amp;AB8,$AD$6:$AD$19,1)+COUNTIFS($Z$6:$Z$19,Z8,$AB$6:$AB$19,AB8,$V$6:$V$19,"&gt;"&amp;V8,$AD$6:$AD$19,1)+COUNTIFS($Z$6:Z8,Z8,$AB$6:AB8,AB8,$V$6:V8,V8,$AD$6:AD8,1))</x:f>
        <x:v>5</x:v>
      </x:c>
      <x:c r="AD8" s="2" t="n">
        <x:f>IF(OR(AA8="DEFENSIV",AA8="PRUDENT",AA8="MODERAT",AA8="RIDICAT"),1,0)</x:f>
        <x:v>1</x:v>
      </x:c>
      <x:c r="AE8" s="2" t="str">
        <x:f>IF(AD8&lt;&gt;1,"NO",IF(W8="PASS","YES",IF(W8="OOS PENDING","CONDITIONAL","NO")))</x:f>
        <x:v>CONDITIONAL</x:v>
      </x:c>
      <x:c r="AF8" s="2" t="n">
        <x:f>IF(AND(AD8=1,AC8=1,E8="LIVE"),1,0)</x:f>
        <x:v>0</x:v>
      </x:c>
      <x:c r="AG8" s="2" t="str">
        <x:f>IF(AF8&lt;&gt;1,"",'Dashboard'!P26)</x:f>
      </x:c>
      <x:c r="AH8" s="2" t="str">
        <x:f>IF(B8="","",IF(J8&lt;&gt;"PASS",'Motor_Meciuri'!J6,IF('Calibrare_Linii'!U8&lt;&gt;"VALID","Parametri linie invalizi",IF(L8&gt;'Config_v6'!$B$13,"Dispersie peste limita",IF(W8="WATCH","Failure peste limita",IF(AB8&lt;'Config_v6'!$B$16,"P finala sub prag",IF(V8&lt;'Config_v6'!$B$18,"Confidence sub prag",IF(E8="REPLAY","Exemplu retrospectiv; exclus din Top LIVE",IF(Y8="PASS","DEFENSIV validat",IF(W8="OOS PENDING","Eligibil; calibrare linie in monitorizare","Eligibil"))))))))))</x:f>
        <x:v>Exemplu retrospectiv; exclus din Top LIVE</x:v>
      </x:c>
      <x:c r="AI8" s="2" t="str">
        <x:f>IF(B8="","",'Calibrare_Linii'!V8)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5,5|1.000000|NA|NA</x:v>
      </x:c>
      <x:c r="AJ8" s="2" t="str">
        <x:f>IF(B8="","",IF(AND('Calibrare_Linii'!T8="VALIDATED",AND('Calibrare_Linii'!H8=C8,ISNUMBER('Calibrare_Linii'!J8),'Calibrare_Linii'!J8&lt;='Input_Meci'!G6)),"DEFENSIVE VALIDATED",IF(AND('Calibrare_Linii'!S8="VALIDATED",AND('Calibrare_Linii'!H8=C8,ISNUMBER('Calibrare_Linii'!J8),'Calibrare_Linii'!J8&lt;='Input_Meci'!G6)),"TAIL VALIDATED","OOS PENDING")))</x:f>
        <x:v>OOS PENDING</x:v>
      </x:c>
      <x:c r="AK8" s="2" t="n">
        <x:f>IF(J8&lt;&gt;"PASS",0,'Motor_Meciuri'!BR6)</x:f>
        <x:v>36</x:v>
      </x:c>
      <x:c r="AL8" s="2" t="n">
        <x:f>IF(J8&lt;&gt;"PASS",0,'Motor_Meciuri'!BS6)</x:f>
        <x:v>20</x:v>
      </x:c>
      <x:c r="AM8" s="2" t="n">
        <x:f>IF(J8&lt;&gt;"PASS",0,'Motor_Meciuri'!BT6)</x:f>
        <x:v>40</x:v>
      </x:c>
      <x:c r="AN8" s="2" t="n">
        <x:f>IF(M8="","",MAX(0,'Motor_Meciuri'!BF6-IF(L8&gt;'Config_v6'!$B$12,'Config_v6'!$B$37,IF(L8&gt;'Config_v6'!$B$11,'Config_v6'!$B$36,0))))</x:f>
        <x:v>90</x:v>
      </x:c>
    </x:row>
    <x:row r="9" ht="21" customHeight="1">
      <x:c r="A9" s="2" t="n">
        <x:v>1</x:v>
      </x:c>
      <x:c r="B9" s="2" t="str">
        <x:f>IF('Motor_Meciuri'!A6="","",'Motor_Meciuri'!A6)</x:f>
        <x:v>REPLAY_1</x:v>
      </x:c>
      <x:c r="C9" s="2" t="str">
        <x:f>IF(B9="","",'Motor_Meciuri'!B6)</x:f>
        <x:v>E0</x:v>
      </x:c>
      <x:c r="D9" s="2" t="str">
        <x:f>IF(B9="","",'Motor_Meciuri'!D6)</x:f>
        <x:v>Brighton – Man United</x:v>
      </x:c>
      <x:c r="E9" s="2" t="str">
        <x:f>IF(B9="","",'Motor_Meciuri'!E6)</x:f>
        <x:v>REPLAY</x:v>
      </x:c>
      <x:c r="F9" s="2" t="str">
        <x:v>O6,5</x:v>
      </x:c>
      <x:c r="G9" s="2" t="str">
        <x:v>OVER</x:v>
      </x:c>
      <x:c r="H9" s="2" t="n">
        <x:v>6</x:v>
      </x:c>
      <x:c r="I9" s="2" t="str">
        <x:f>IF(B9="","",'Motor_Meciuri'!H6)</x:f>
        <x:v>READY</x:v>
      </x:c>
      <x:c r="J9" s="2" t="str">
        <x:f>IF(B9="","",'Motor_Meciuri'!I6)</x:f>
        <x:v>PASS</x:v>
      </x:c>
      <x:c r="K9" s="11" t="n">
        <x:f>IF(J9&lt;&gt;"PASS","",'Motor_Meciuri'!BD6)</x:f>
        <x:v>10.27195945945946</x:v>
      </x:c>
      <x:c r="L9" s="11" t="n">
        <x:f>IF(J9&lt;&gt;"PASS","",'Motor_Meciuri'!AU6)</x:f>
        <x:v>0.9007607192254518</x:v>
      </x:c>
      <x:c r="M9" s="10" t="n">
        <x:f>IF(NOT(AND(J9="PASS",'Calibrare_Linii'!U9="VALID")),"",1-'Distributie'!AD6)</x:f>
        <x:v>0.886095759482334</x:v>
      </x:c>
      <x:c r="N9" s="10" t="n">
        <x:f>IF(M9="","",MAX(0.01,MIN(0.99,0.5+(M9-0.5)*'Motor_Meciuri'!BG6*'Calibrare_Linii'!D9)))</x:f>
        <x:v>0.808683559706126</x:v>
      </x:c>
      <x:c r="O9" s="10" t="n">
        <x:f>IF(M9="","",1-M9)</x:f>
        <x:v>0.11390424051766601</x:v>
      </x:c>
      <x:c r="P9" s="10" t="n">
        <x:f>IF(OR(NOT(AND(J9="PASS",'Calibrare_Linii'!U9="VALID")),AK9=0),""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*('Istoric_Nativ'!$Q$6:$Q$405&lt;=H9))/AK9)</x:f>
        <x:v>0.1111111111111111</x:v>
      </x:c>
      <x:c r="Q9" s="10" t="n">
        <x:f>IF(OR(NOT(AND(J9="PASS",'Calibrare_Linii'!U9="VALID")),AL9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M6)+((('Istoric_Nativ'!$E$6:$E$405='Input_Meci'!E6)+('Istoric_Nativ'!$F$6:$F$405='Input_Meci'!E6))&gt;0)*('Istoric_Nativ'!$D$6:$D$405&gt;='Motor_Meciuri'!BN6))&gt;0)*('Istoric_Nativ'!$Q$6:$Q$405&lt;=H9))/AL9)</x:f>
        <x:v>0.1</x:v>
      </x:c>
      <x:c r="R9" s="10" t="n">
        <x:f>IF(OR(NOT(AND(J9="PASS",'Calibrare_Linii'!U9="VALID")),AM9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O6)+((('Istoric_Nativ'!$E$6:$E$405='Input_Meci'!E6)+('Istoric_Nativ'!$F$6:$F$405='Input_Meci'!E6))&gt;0)*('Istoric_Nativ'!$D$6:$D$405&gt;='Motor_Meciuri'!BP6))&gt;0)*('Istoric_Nativ'!$Q$6:$Q$405&lt;=H9))/AM9)</x:f>
        <x:v>0.05</x:v>
      </x:c>
      <x:c r="S9" s="10" t="n">
        <x:f>IF(M9="","",MAX(O9,P9,Q9,R9))</x:f>
        <x:v>0.11390424051766601</x:v>
      </x:c>
      <x:c r="T9" s="11" t="n">
        <x:f>IF(M9="","",MIN(100,S9*100*'Config_v6'!$B$44+MIN(100,L9/'Config_v6'!$B$13*100)*'Config_v6'!$B$45+(100-'Motor_Meciuri'!BF6)*'Config_v6'!$B$46+'Motor_Meciuri'!BH6*100*'Config_v6'!$B$47))</x:f>
        <x:v>15.771495177142313</x:v>
      </x:c>
      <x:c r="U9" s="2" t="n">
        <x:f>IF(T9="","",IF(T9&lt;=20,1,IF(T9&lt;=40,2,IF(T9&lt;=60,3,IF(T9&lt;=80,4,5)))))</x:f>
        <x:v>1</x:v>
      </x:c>
      <x:c r="V9" s="2" t="n">
        <x:f>IF(M9="","",MAX(0,'Motor_Meciuri'!BF6-IF(W9="OOS PENDING",'Config_v6'!$B$35,0)-IF(L9&gt;'Config_v6'!$B$12,'Config_v6'!$B$37,IF(L9&gt;'Config_v6'!$B$11,'Config_v6'!$B$36,0))))</x:f>
        <x:v>80</x:v>
      </x:c>
      <x:c r="W9" s="2" t="str">
        <x:f>IF(B9="","",IF(I9&lt;&gt;"READY","NOT RELEASED",IF(NOT(AND(J9="PASS",'Calibrare_Linii'!U9="VALID")),"INVALID",IF(NOT(AND('Calibrare_Linii'!S9="VALIDATED",AND('Calibrare_Linii'!H9=C9,ISNUMBER('Calibrare_Linii'!J9),'Calibrare_Linii'!J9&lt;='Input_Meci'!G6))),"OOS PENDING",IF(S9&lt;='Calibrare_Linii'!E9,"PASS",IF(S9&lt;='Calibrare_Linii'!F9,"PENALTY","WATCH"))))))</x:f>
        <x:v>OOS PENDING</x:v>
      </x:c>
      <x:c r="X9" s="2" t="str">
        <x:f>IF(M9="","",IF(AND(AND(J9="PASS",'Calibrare_Linii'!U9="VALID"),'Motor_Meciuri'!K6=12,'Motor_Meciuri'!L6=12,'Motor_Meciuri'!M6="NO",'Motor_Meciuri'!BL6='Motor_Meciuri'!C6,AB9&gt;='Config_v6'!$B$50,AN9&gt;='Config_v6'!$B$51,T9&lt;='Config_v6'!$B$52,L9&lt;='Config_v6'!$B$53,ISNUMBER('Calibrare_Linii'!E9),S9&lt;='Calibrare_Linii'!E9,SUM(AK9:AM9)&gt;0),"CANDIDATE","NO"))</x:f>
        <x:v>NO</x:v>
      </x:c>
      <x:c r="Y9" s="2" t="str">
        <x:f>IF(B9="","",IF(I9&lt;&gt;"READY","NOT RELEASED",IF(AND(X9="CANDIDATE",V9&gt;='Config_v6'!$B$51,W9="PASS",'Calibrare_Linii'!T9="VALIDATED",AND('Calibrare_Linii'!H9=C9,ISNUMBER('Calibrare_Linii'!J9),'Calibrare_Linii'!J9&lt;='Input_Meci'!G6)),"PASS",IF(X9="CANDIDATE","OOS PENDING","FAIL"))))</x:f>
        <x:v>FAIL</x:v>
      </x:c>
      <x:c r="Z9" s="2" t="n">
        <x:f>IF(B9="","",IF(I9&lt;&gt;"READY","",IF(OR(NOT(AND(J9="PASS",'Calibrare_Linii'!U9="VALID")),L9&gt;'Config_v6'!$B$13,W9="WATCH"),5,IF(Y9="PASS",1,MIN(5,MAX('Config_v6'!$B$42,U9)+IF(W9="PENALTY",1,0))))))</x:f>
        <x:v>2</x:v>
      </x:c>
      <x:c r="AA9" s="2" t="str">
        <x:f>IF(B9="","",IF(I9&lt;&gt;"READY","NOT RELEASED",IF(Z9=5,"NO BET",IF(OR(AB9&lt;'Config_v6'!$B$16,V9&lt;'Config_v6'!$B$18),"WATCH",IF(Z9=1,"DEFENSIV",IF(Z9=2,"PRUDENT",IF(Z9=3,"MODERAT","RIDICAT")))))))</x:f>
        <x:v>PRUDENT</x:v>
      </x:c>
      <x:c r="AB9" s="10" t="n">
        <x:f>IF(N9="","",MIN(N9,1-S9))</x:f>
        <x:v>0.808683559706126</x:v>
      </x:c>
      <x:c r="AC9" s="2" t="n">
        <x:f>IF(AD9&lt;&gt;1,"",COUNTIFS($Z$6:$Z$19,"&lt;"&amp;Z9,$AD$6:$AD$19,1)+COUNTIFS($Z$6:$Z$19,Z9,$AB$6:$AB$19,"&gt;"&amp;AB9,$AD$6:$AD$19,1)+COUNTIFS($Z$6:$Z$19,Z9,$AB$6:$AB$19,AB9,$V$6:$V$19,"&gt;"&amp;V9,$AD$6:$AD$19,1)+COUNTIFS($Z$6:Z9,Z9,$AB$6:AB9,AB9,$V$6:V9,V9,$AD$6:AD9,1))</x:f>
        <x:v>7</x:v>
      </x:c>
      <x:c r="AD9" s="2" t="n">
        <x:f>IF(OR(AA9="DEFENSIV",AA9="PRUDENT",AA9="MODERAT",AA9="RIDICAT"),1,0)</x:f>
        <x:v>1</x:v>
      </x:c>
      <x:c r="AE9" s="2" t="str">
        <x:f>IF(AD9&lt;&gt;1,"NO",IF(W9="PASS","YES",IF(W9="OOS PENDING","CONDITIONAL","NO")))</x:f>
        <x:v>CONDITIONAL</x:v>
      </x:c>
      <x:c r="AF9" s="2" t="n">
        <x:f>IF(AND(AD9=1,AC9=1,E9="LIVE"),1,0)</x:f>
        <x:v>0</x:v>
      </x:c>
      <x:c r="AG9" s="2" t="str">
        <x:f>IF(AF9&lt;&gt;1,"",'Dashboard'!P26)</x:f>
      </x:c>
      <x:c r="AH9" s="2" t="str">
        <x:f>IF(B9="","",IF(J9&lt;&gt;"PASS",'Motor_Meciuri'!J6,IF('Calibrare_Linii'!U9&lt;&gt;"VALID","Parametri linie invalizi",IF(L9&gt;'Config_v6'!$B$13,"Dispersie peste limita",IF(W9="WATCH","Failure peste limita",IF(AB9&lt;'Config_v6'!$B$16,"P finala sub prag",IF(V9&lt;'Config_v6'!$B$18,"Confidence sub prag",IF(E9="REPLAY","Exemplu retrospectiv; exclus din Top LIVE",IF(Y9="PASS","DEFENSIV validat",IF(W9="OOS PENDING","Eligibil; calibrare linie in monitorizare","Eligibil"))))))))))</x:f>
        <x:v>Exemplu retrospectiv; exclus din Top LIVE</x:v>
      </x:c>
      <x:c r="AI9" s="2" t="str">
        <x:f>IF(B9="","",'Calibrare_Linii'!V9)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6,5|1.000000|NA|NA</x:v>
      </x:c>
      <x:c r="AJ9" s="2" t="str">
        <x:f>IF(B9="","",IF(AND('Calibrare_Linii'!T9="VALIDATED",AND('Calibrare_Linii'!H9=C9,ISNUMBER('Calibrare_Linii'!J9),'Calibrare_Linii'!J9&lt;='Input_Meci'!G6)),"DEFENSIVE VALIDATED",IF(AND('Calibrare_Linii'!S9="VALIDATED",AND('Calibrare_Linii'!H9=C9,ISNUMBER('Calibrare_Linii'!J9),'Calibrare_Linii'!J9&lt;='Input_Meci'!G6)),"TAIL VALIDATED","OOS PENDING")))</x:f>
        <x:v>OOS PENDING</x:v>
      </x:c>
      <x:c r="AK9" s="2" t="n">
        <x:f>IF(J9&lt;&gt;"PASS",0,'Motor_Meciuri'!BR6)</x:f>
        <x:v>36</x:v>
      </x:c>
      <x:c r="AL9" s="2" t="n">
        <x:f>IF(J9&lt;&gt;"PASS",0,'Motor_Meciuri'!BS6)</x:f>
        <x:v>20</x:v>
      </x:c>
      <x:c r="AM9" s="2" t="n">
        <x:f>IF(J9&lt;&gt;"PASS",0,'Motor_Meciuri'!BT6)</x:f>
        <x:v>40</x:v>
      </x:c>
      <x:c r="AN9" s="2" t="n">
        <x:f>IF(M9="","",MAX(0,'Motor_Meciuri'!BF6-IF(L9&gt;'Config_v6'!$B$12,'Config_v6'!$B$37,IF(L9&gt;'Config_v6'!$B$11,'Config_v6'!$B$36,0))))</x:f>
        <x:v>90</x:v>
      </x:c>
    </x:row>
    <x:row r="10" ht="21" customHeight="1">
      <x:c r="A10" s="2" t="n">
        <x:v>1</x:v>
      </x:c>
      <x:c r="B10" s="2" t="str">
        <x:f>IF('Motor_Meciuri'!A6="","",'Motor_Meciuri'!A6)</x:f>
        <x:v>REPLAY_1</x:v>
      </x:c>
      <x:c r="C10" s="2" t="str">
        <x:f>IF(B10="","",'Motor_Meciuri'!B6)</x:f>
        <x:v>E0</x:v>
      </x:c>
      <x:c r="D10" s="2" t="str">
        <x:f>IF(B10="","",'Motor_Meciuri'!D6)</x:f>
        <x:v>Brighton – Man United</x:v>
      </x:c>
      <x:c r="E10" s="2" t="str">
        <x:f>IF(B10="","",'Motor_Meciuri'!E6)</x:f>
        <x:v>REPLAY</x:v>
      </x:c>
      <x:c r="F10" s="2" t="str">
        <x:v>O7,5</x:v>
      </x:c>
      <x:c r="G10" s="2" t="str">
        <x:v>OVER</x:v>
      </x:c>
      <x:c r="H10" s="2" t="n">
        <x:v>7</x:v>
      </x:c>
      <x:c r="I10" s="2" t="str">
        <x:f>IF(B10="","",'Motor_Meciuri'!H6)</x:f>
        <x:v>READY</x:v>
      </x:c>
      <x:c r="J10" s="2" t="str">
        <x:f>IF(B10="","",'Motor_Meciuri'!I6)</x:f>
        <x:v>PASS</x:v>
      </x:c>
      <x:c r="K10" s="11" t="n">
        <x:f>IF(J10&lt;&gt;"PASS","",'Motor_Meciuri'!BD6)</x:f>
        <x:v>10.27195945945946</x:v>
      </x:c>
      <x:c r="L10" s="11" t="n">
        <x:f>IF(J10&lt;&gt;"PASS","",'Motor_Meciuri'!AU6)</x:f>
        <x:v>0.9007607192254518</x:v>
      </x:c>
      <x:c r="M10" s="10" t="n">
        <x:f>IF(NOT(AND(J10="PASS",'Calibrare_Linii'!U10="VALID")),"",1-'Distributie'!AE6)</x:f>
        <x:v>0.8032849120779367</x:v>
      </x:c>
      <x:c r="N10" s="10" t="n">
        <x:f>IF(M10="","",MAX(0.01,MIN(0.99,0.5+(M10-0.5)*'Motor_Meciuri'!BG6*'Calibrare_Linii'!D10)))</x:f>
        <x:v>0.7424762872063104</x:v>
      </x:c>
      <x:c r="O10" s="10" t="n">
        <x:f>IF(M10="","",1-M10)</x:f>
        <x:v>0.19671508792206327</x:v>
      </x:c>
      <x:c r="P10" s="10" t="n">
        <x:f>IF(OR(NOT(AND(J10="PASS",'Calibrare_Linii'!U10="VALID")),AK10=0),""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*('Istoric_Nativ'!$Q$6:$Q$405&lt;=H10))/AK10)</x:f>
        <x:v>0.25</x:v>
      </x:c>
      <x:c r="Q10" s="10" t="n">
        <x:f>IF(OR(NOT(AND(J10="PASS",'Calibrare_Linii'!U10="VALID")),AL10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M6)+((('Istoric_Nativ'!$E$6:$E$405='Input_Meci'!E6)+('Istoric_Nativ'!$F$6:$F$405='Input_Meci'!E6))&gt;0)*('Istoric_Nativ'!$D$6:$D$405&gt;='Motor_Meciuri'!BN6))&gt;0)*('Istoric_Nativ'!$Q$6:$Q$405&lt;=H10))/AL10)</x:f>
        <x:v>0.15</x:v>
      </x:c>
      <x:c r="R10" s="10" t="n">
        <x:f>IF(OR(NOT(AND(J10="PASS",'Calibrare_Linii'!U10="VALID")),AM10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O6)+((('Istoric_Nativ'!$E$6:$E$405='Input_Meci'!E6)+('Istoric_Nativ'!$F$6:$F$405='Input_Meci'!E6))&gt;0)*('Istoric_Nativ'!$D$6:$D$405&gt;='Motor_Meciuri'!BP6))&gt;0)*('Istoric_Nativ'!$Q$6:$Q$405&lt;=H10))/AM10)</x:f>
        <x:v>0.175</x:v>
      </x:c>
      <x:c r="S10" s="10" t="n">
        <x:f>IF(M10="","",MAX(O10,P10,Q10,R10))</x:f>
        <x:v>0.25</x:v>
      </x:c>
      <x:c r="T10" s="11" t="n">
        <x:f>IF(M10="","",MIN(100,S10*100*'Config_v6'!$B$44+MIN(100,L10/'Config_v6'!$B$13*100)*'Config_v6'!$B$45+(100-'Motor_Meciuri'!BF6)*'Config_v6'!$B$46+'Motor_Meciuri'!BH6*100*'Config_v6'!$B$47))</x:f>
        <x:v>23.256761948670686</x:v>
      </x:c>
      <x:c r="U10" s="2" t="n">
        <x:f>IF(T10="","",IF(T10&lt;=20,1,IF(T10&lt;=40,2,IF(T10&lt;=60,3,IF(T10&lt;=80,4,5)))))</x:f>
        <x:v>2</x:v>
      </x:c>
      <x:c r="V10" s="2" t="n">
        <x:f>IF(M10="","",MAX(0,'Motor_Meciuri'!BF6-IF(W10="OOS PENDING",'Config_v6'!$B$35,0)-IF(L10&gt;'Config_v6'!$B$12,'Config_v6'!$B$37,IF(L10&gt;'Config_v6'!$B$11,'Config_v6'!$B$36,0))))</x:f>
        <x:v>80</x:v>
      </x:c>
      <x:c r="W10" s="2" t="str">
        <x:f>IF(B10="","",IF(I10&lt;&gt;"READY","NOT RELEASED",IF(NOT(AND(J10="PASS",'Calibrare_Linii'!U10="VALID")),"INVALID",IF(NOT(AND('Calibrare_Linii'!S10="VALIDATED",AND('Calibrare_Linii'!H10=C10,ISNUMBER('Calibrare_Linii'!J10),'Calibrare_Linii'!J10&lt;='Input_Meci'!G6))),"OOS PENDING",IF(S10&lt;='Calibrare_Linii'!E10,"PASS",IF(S10&lt;='Calibrare_Linii'!F10,"PENALTY","WATCH"))))))</x:f>
        <x:v>OOS PENDING</x:v>
      </x:c>
      <x:c r="X10" s="2" t="str">
        <x:f>IF(M10="","",IF(AND(AND(J10="PASS",'Calibrare_Linii'!U10="VALID"),'Motor_Meciuri'!K6=12,'Motor_Meciuri'!L6=12,'Motor_Meciuri'!M6="NO",'Motor_Meciuri'!BL6='Motor_Meciuri'!C6,AB10&gt;='Config_v6'!$B$50,AN10&gt;='Config_v6'!$B$51,T10&lt;='Config_v6'!$B$52,L10&lt;='Config_v6'!$B$53,ISNUMBER('Calibrare_Linii'!E10),S10&lt;='Calibrare_Linii'!E10,SUM(AK10:AM10)&gt;0),"CANDIDATE","NO"))</x:f>
        <x:v>NO</x:v>
      </x:c>
      <x:c r="Y10" s="2" t="str">
        <x:f>IF(B10="","",IF(I10&lt;&gt;"READY","NOT RELEASED",IF(AND(X10="CANDIDATE",V10&gt;='Config_v6'!$B$51,W10="PASS",'Calibrare_Linii'!T10="VALIDATED",AND('Calibrare_Linii'!H10=C10,ISNUMBER('Calibrare_Linii'!J10),'Calibrare_Linii'!J10&lt;='Input_Meci'!G6)),"PASS",IF(X10="CANDIDATE","OOS PENDING","FAIL"))))</x:f>
        <x:v>FAIL</x:v>
      </x:c>
      <x:c r="Z10" s="2" t="n">
        <x:f>IF(B10="","",IF(I10&lt;&gt;"READY","",IF(OR(NOT(AND(J10="PASS",'Calibrare_Linii'!U10="VALID")),L10&gt;'Config_v6'!$B$13,W10="WATCH"),5,IF(Y10="PASS",1,MIN(5,MAX('Config_v6'!$B$42,U10)+IF(W10="PENALTY",1,0))))))</x:f>
        <x:v>2</x:v>
      </x:c>
      <x:c r="AA10" s="2" t="str">
        <x:f>IF(B10="","",IF(I10&lt;&gt;"READY","NOT RELEASED",IF(Z10=5,"NO BET",IF(OR(AB10&lt;'Config_v6'!$B$16,V10&lt;'Config_v6'!$B$18),"WATCH",IF(Z10=1,"DEFENSIV",IF(Z10=2,"PRUDENT",IF(Z10=3,"MODERAT","RIDICAT")))))))</x:f>
        <x:v>PRUDENT</x:v>
      </x:c>
      <x:c r="AB10" s="10" t="n">
        <x:f>IF(N10="","",MIN(N10,1-S10))</x:f>
        <x:v>0.7424762872063104</x:v>
      </x:c>
      <x:c r="AC10" s="2" t="n">
        <x:f>IF(AD10&lt;&gt;1,"",COUNTIFS($Z$6:$Z$19,"&lt;"&amp;Z10,$AD$6:$AD$19,1)+COUNTIFS($Z$6:$Z$19,Z10,$AB$6:$AB$19,"&gt;"&amp;AB10,$AD$6:$AD$19,1)+COUNTIFS($Z$6:$Z$19,Z10,$AB$6:$AB$19,AB10,$V$6:$V$19,"&gt;"&amp;V10,$AD$6:$AD$19,1)+COUNTIFS($Z$6:Z10,Z10,$AB$6:AB10,AB10,$V$6:V10,V10,$AD$6:AD10,1))</x:f>
        <x:v>10</x:v>
      </x:c>
      <x:c r="AD10" s="2" t="n">
        <x:f>IF(OR(AA10="DEFENSIV",AA10="PRUDENT",AA10="MODERAT",AA10="RIDICAT"),1,0)</x:f>
        <x:v>1</x:v>
      </x:c>
      <x:c r="AE10" s="2" t="str">
        <x:f>IF(AD10&lt;&gt;1,"NO",IF(W10="PASS","YES",IF(W10="OOS PENDING","CONDITIONAL","NO")))</x:f>
        <x:v>CONDITIONAL</x:v>
      </x:c>
      <x:c r="AF10" s="2" t="n">
        <x:f>IF(AND(AD10=1,AC10=1,E10="LIVE"),1,0)</x:f>
        <x:v>0</x:v>
      </x:c>
      <x:c r="AG10" s="2" t="str">
        <x:f>IF(AF10&lt;&gt;1,"",'Dashboard'!P26)</x:f>
      </x:c>
      <x:c r="AH10" s="2" t="str">
        <x:f>IF(B10="","",IF(J10&lt;&gt;"PASS",'Motor_Meciuri'!J6,IF('Calibrare_Linii'!U10&lt;&gt;"VALID","Parametri linie invalizi",IF(L10&gt;'Config_v6'!$B$13,"Dispersie peste limita",IF(W10="WATCH","Failure peste limita",IF(AB10&lt;'Config_v6'!$B$16,"P finala sub prag",IF(V10&lt;'Config_v6'!$B$18,"Confidence sub prag",IF(E10="REPLAY","Exemplu retrospectiv; exclus din Top LIVE",IF(Y10="PASS","DEFENSIV validat",IF(W10="OOS PENDING","Eligibil; calibrare linie in monitorizare","Eligibil"))))))))))</x:f>
        <x:v>Exemplu retrospectiv; exclus din Top LIVE</x:v>
      </x:c>
      <x:c r="AI10" s="2" t="str">
        <x:f>IF(B10="","",'Calibrare_Linii'!V10)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7,5|1.000000|NA|NA</x:v>
      </x:c>
      <x:c r="AJ10" s="2" t="str">
        <x:f>IF(B10="","",IF(AND('Calibrare_Linii'!T10="VALIDATED",AND('Calibrare_Linii'!H10=C10,ISNUMBER('Calibrare_Linii'!J10),'Calibrare_Linii'!J10&lt;='Input_Meci'!G6)),"DEFENSIVE VALIDATED",IF(AND('Calibrare_Linii'!S10="VALIDATED",AND('Calibrare_Linii'!H10=C10,ISNUMBER('Calibrare_Linii'!J10),'Calibrare_Linii'!J10&lt;='Input_Meci'!G6)),"TAIL VALIDATED","OOS PENDING")))</x:f>
        <x:v>OOS PENDING</x:v>
      </x:c>
      <x:c r="AK10" s="2" t="n">
        <x:f>IF(J10&lt;&gt;"PASS",0,'Motor_Meciuri'!BR6)</x:f>
        <x:v>36</x:v>
      </x:c>
      <x:c r="AL10" s="2" t="n">
        <x:f>IF(J10&lt;&gt;"PASS",0,'Motor_Meciuri'!BS6)</x:f>
        <x:v>20</x:v>
      </x:c>
      <x:c r="AM10" s="2" t="n">
        <x:f>IF(J10&lt;&gt;"PASS",0,'Motor_Meciuri'!BT6)</x:f>
        <x:v>40</x:v>
      </x:c>
      <x:c r="AN10" s="2" t="n">
        <x:f>IF(M10="","",MAX(0,'Motor_Meciuri'!BF6-IF(L10&gt;'Config_v6'!$B$12,'Config_v6'!$B$37,IF(L10&gt;'Config_v6'!$B$11,'Config_v6'!$B$36,0))))</x:f>
        <x:v>90</x:v>
      </x:c>
    </x:row>
    <x:row r="11" ht="21" customHeight="1">
      <x:c r="A11" s="2" t="n">
        <x:v>1</x:v>
      </x:c>
      <x:c r="B11" s="2" t="str">
        <x:f>IF('Motor_Meciuri'!A6="","",'Motor_Meciuri'!A6)</x:f>
        <x:v>REPLAY_1</x:v>
      </x:c>
      <x:c r="C11" s="2" t="str">
        <x:f>IF(B11="","",'Motor_Meciuri'!B6)</x:f>
        <x:v>E0</x:v>
      </x:c>
      <x:c r="D11" s="2" t="str">
        <x:f>IF(B11="","",'Motor_Meciuri'!D6)</x:f>
        <x:v>Brighton – Man United</x:v>
      </x:c>
      <x:c r="E11" s="2" t="str">
        <x:f>IF(B11="","",'Motor_Meciuri'!E6)</x:f>
        <x:v>REPLAY</x:v>
      </x:c>
      <x:c r="F11" s="2" t="str">
        <x:v>O8,5</x:v>
      </x:c>
      <x:c r="G11" s="2" t="str">
        <x:v>OVER</x:v>
      </x:c>
      <x:c r="H11" s="2" t="n">
        <x:v>8</x:v>
      </x:c>
      <x:c r="I11" s="2" t="str">
        <x:f>IF(B11="","",'Motor_Meciuri'!H6)</x:f>
        <x:v>READY</x:v>
      </x:c>
      <x:c r="J11" s="2" t="str">
        <x:f>IF(B11="","",'Motor_Meciuri'!I6)</x:f>
        <x:v>PASS</x:v>
      </x:c>
      <x:c r="K11" s="11" t="n">
        <x:f>IF(J11&lt;&gt;"PASS","",'Motor_Meciuri'!BD6)</x:f>
        <x:v>10.27195945945946</x:v>
      </x:c>
      <x:c r="L11" s="11" t="n">
        <x:f>IF(J11&lt;&gt;"PASS","",'Motor_Meciuri'!AU6)</x:f>
        <x:v>0.9007607192254518</x:v>
      </x:c>
      <x:c r="M11" s="10" t="n">
        <x:f>IF(NOT(AND(J11="PASS",'Calibrare_Linii'!U11="VALID")),"",1-'Distributie'!AF6)</x:f>
        <x:v>0.6969562036602551</x:v>
      </x:c>
      <x:c r="N11" s="10" t="n">
        <x:f>IF(M11="","",MAX(0.01,MIN(0.99,0.5+(M11-0.5)*'Motor_Meciuri'!BG6*'Calibrare_Linii'!D11)))</x:f>
        <x:v>0.6574664848263739</x:v>
      </x:c>
      <x:c r="O11" s="10" t="n">
        <x:f>IF(M11="","",1-M11)</x:f>
        <x:v>0.3030437963397449</x:v>
      </x:c>
      <x:c r="P11" s="10" t="n">
        <x:f>IF(OR(NOT(AND(J11="PASS",'Calibrare_Linii'!U11="VALID")),AK11=0),""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*('Istoric_Nativ'!$Q$6:$Q$405&lt;=H11))/AK11)</x:f>
        <x:v>0.4722222222222222</x:v>
      </x:c>
      <x:c r="Q11" s="10" t="n">
        <x:f>IF(OR(NOT(AND(J11="PASS",'Calibrare_Linii'!U11="VALID")),AL11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M6)+((('Istoric_Nativ'!$E$6:$E$405='Input_Meci'!E6)+('Istoric_Nativ'!$F$6:$F$405='Input_Meci'!E6))&gt;0)*('Istoric_Nativ'!$D$6:$D$405&gt;='Motor_Meciuri'!BN6))&gt;0)*('Istoric_Nativ'!$Q$6:$Q$405&lt;=H11))/AL11)</x:f>
        <x:v>0.35</x:v>
      </x:c>
      <x:c r="R11" s="10" t="n">
        <x:f>IF(OR(NOT(AND(J11="PASS",'Calibrare_Linii'!U11="VALID")),AM11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O6)+((('Istoric_Nativ'!$E$6:$E$405='Input_Meci'!E6)+('Istoric_Nativ'!$F$6:$F$405='Input_Meci'!E6))&gt;0)*('Istoric_Nativ'!$D$6:$D$405&gt;='Motor_Meciuri'!BP6))&gt;0)*('Istoric_Nativ'!$Q$6:$Q$405&lt;=H11))/AM11)</x:f>
        <x:v>0.375</x:v>
      </x:c>
      <x:c r="S11" s="10" t="n">
        <x:f>IF(M11="","",MAX(O11,P11,Q11,R11))</x:f>
        <x:v>0.4722222222222222</x:v>
      </x:c>
      <x:c r="T11" s="11" t="n">
        <x:f>IF(M11="","",MIN(100,S11*100*'Config_v6'!$B$44+MIN(100,L11/'Config_v6'!$B$13*100)*'Config_v6'!$B$45+(100-'Motor_Meciuri'!BF6)*'Config_v6'!$B$46+'Motor_Meciuri'!BH6*100*'Config_v6'!$B$47))</x:f>
        <x:v>35.47898417089291</x:v>
      </x:c>
      <x:c r="U11" s="2" t="n">
        <x:f>IF(T11="","",IF(T11&lt;=20,1,IF(T11&lt;=40,2,IF(T11&lt;=60,3,IF(T11&lt;=80,4,5)))))</x:f>
        <x:v>2</x:v>
      </x:c>
      <x:c r="V11" s="2" t="n">
        <x:f>IF(M11="","",MAX(0,'Motor_Meciuri'!BF6-IF(W11="OOS PENDING",'Config_v6'!$B$35,0)-IF(L11&gt;'Config_v6'!$B$12,'Config_v6'!$B$37,IF(L11&gt;'Config_v6'!$B$11,'Config_v6'!$B$36,0))))</x:f>
        <x:v>80</x:v>
      </x:c>
      <x:c r="W11" s="2" t="str">
        <x:f>IF(B11="","",IF(I11&lt;&gt;"READY","NOT RELEASED",IF(NOT(AND(J11="PASS",'Calibrare_Linii'!U11="VALID")),"INVALID",IF(NOT(AND('Calibrare_Linii'!S11="VALIDATED",AND('Calibrare_Linii'!H11=C11,ISNUMBER('Calibrare_Linii'!J11),'Calibrare_Linii'!J11&lt;='Input_Meci'!G6))),"OOS PENDING",IF(S11&lt;='Calibrare_Linii'!E11,"PASS",IF(S11&lt;='Calibrare_Linii'!F11,"PENALTY","WATCH"))))))</x:f>
        <x:v>OOS PENDING</x:v>
      </x:c>
      <x:c r="X11" s="2" t="str">
        <x:f>IF(M11="","",IF(AND(AND(J11="PASS",'Calibrare_Linii'!U11="VALID"),'Motor_Meciuri'!K6=12,'Motor_Meciuri'!L6=12,'Motor_Meciuri'!M6="NO",'Motor_Meciuri'!BL6='Motor_Meciuri'!C6,AB11&gt;='Config_v6'!$B$50,AN11&gt;='Config_v6'!$B$51,T11&lt;='Config_v6'!$B$52,L11&lt;='Config_v6'!$B$53,ISNUMBER('Calibrare_Linii'!E11),S11&lt;='Calibrare_Linii'!E11,SUM(AK11:AM11)&gt;0),"CANDIDATE","NO"))</x:f>
        <x:v>NO</x:v>
      </x:c>
      <x:c r="Y11" s="2" t="str">
        <x:f>IF(B11="","",IF(I11&lt;&gt;"READY","NOT RELEASED",IF(AND(X11="CANDIDATE",V11&gt;='Config_v6'!$B$51,W11="PASS",'Calibrare_Linii'!T11="VALIDATED",AND('Calibrare_Linii'!H11=C11,ISNUMBER('Calibrare_Linii'!J11),'Calibrare_Linii'!J11&lt;='Input_Meci'!G6)),"PASS",IF(X11="CANDIDATE","OOS PENDING","FAIL"))))</x:f>
        <x:v>FAIL</x:v>
      </x:c>
      <x:c r="Z11" s="2" t="n">
        <x:f>IF(B11="","",IF(I11&lt;&gt;"READY","",IF(OR(NOT(AND(J11="PASS",'Calibrare_Linii'!U11="VALID")),L11&gt;'Config_v6'!$B$13,W11="WATCH"),5,IF(Y11="PASS",1,MIN(5,MAX('Config_v6'!$B$42,U11)+IF(W11="PENALTY",1,0))))))</x:f>
        <x:v>2</x:v>
      </x:c>
      <x:c r="AA11" s="2" t="str">
        <x:f>IF(B11="","",IF(I11&lt;&gt;"READY","NOT RELEASED",IF(Z11=5,"NO BET",IF(OR(AB11&lt;'Config_v6'!$B$16,V11&lt;'Config_v6'!$B$18),"WATCH",IF(Z11=1,"DEFENSIV",IF(Z11=2,"PRUDENT",IF(Z11=3,"MODERAT","RIDICAT")))))))</x:f>
        <x:v>WATCH</x:v>
      </x:c>
      <x:c r="AB11" s="10" t="n">
        <x:f>IF(N11="","",MIN(N11,1-S11))</x:f>
        <x:v>0.5277777777777778</x:v>
      </x:c>
      <x:c r="AC11" s="2" t="str">
        <x:f>IF(AD11&lt;&gt;1,"",COUNTIFS($Z$6:$Z$19,"&lt;"&amp;Z11,$AD$6:$AD$19,1)+COUNTIFS($Z$6:$Z$19,Z11,$AB$6:$AB$19,"&gt;"&amp;AB11,$AD$6:$AD$19,1)+COUNTIFS($Z$6:$Z$19,Z11,$AB$6:$AB$19,AB11,$V$6:$V$19,"&gt;"&amp;V11,$AD$6:$AD$19,1)+COUNTIFS($Z$6:Z11,Z11,$AB$6:AB11,AB11,$V$6:V11,V11,$AD$6:AD11,1))</x:f>
      </x:c>
      <x:c r="AD11" s="2" t="n">
        <x:f>IF(OR(AA11="DEFENSIV",AA11="PRUDENT",AA11="MODERAT",AA11="RIDICAT"),1,0)</x:f>
        <x:v>0</x:v>
      </x:c>
      <x:c r="AE11" s="2" t="str">
        <x:f>IF(AD11&lt;&gt;1,"NO",IF(W11="PASS","YES",IF(W11="OOS PENDING","CONDITIONAL","NO")))</x:f>
        <x:v>NO</x:v>
      </x:c>
      <x:c r="AF11" s="2" t="n">
        <x:f>IF(AND(AD11=1,AC11=1,E11="LIVE"),1,0)</x:f>
        <x:v>0</x:v>
      </x:c>
      <x:c r="AG11" s="2" t="str">
        <x:f>IF(AF11&lt;&gt;1,"",'Dashboard'!P26)</x:f>
      </x:c>
      <x:c r="AH11" s="2" t="str">
        <x:f>IF(B11="","",IF(J11&lt;&gt;"PASS",'Motor_Meciuri'!J6,IF('Calibrare_Linii'!U11&lt;&gt;"VALID","Parametri linie invalizi",IF(L11&gt;'Config_v6'!$B$13,"Dispersie peste limita",IF(W11="WATCH","Failure peste limita",IF(AB11&lt;'Config_v6'!$B$16,"P finala sub prag",IF(V11&lt;'Config_v6'!$B$18,"Confidence sub prag",IF(E11="REPLAY","Exemplu retrospectiv; exclus din Top LIVE",IF(Y11="PASS","DEFENSIV validat",IF(W11="OOS PENDING","Eligibil; calibrare linie in monitorizare","Eligibil"))))))))))</x:f>
        <x:v>P finala sub prag</x:v>
      </x:c>
      <x:c r="AI11" s="2" t="str">
        <x:f>IF(B11="","",'Calibrare_Linii'!V11)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8,5|1.000000|NA|NA</x:v>
      </x:c>
      <x:c r="AJ11" s="2" t="str">
        <x:f>IF(B11="","",IF(AND('Calibrare_Linii'!T11="VALIDATED",AND('Calibrare_Linii'!H11=C11,ISNUMBER('Calibrare_Linii'!J11),'Calibrare_Linii'!J11&lt;='Input_Meci'!G6)),"DEFENSIVE VALIDATED",IF(AND('Calibrare_Linii'!S11="VALIDATED",AND('Calibrare_Linii'!H11=C11,ISNUMBER('Calibrare_Linii'!J11),'Calibrare_Linii'!J11&lt;='Input_Meci'!G6)),"TAIL VALIDATED","OOS PENDING")))</x:f>
        <x:v>OOS PENDING</x:v>
      </x:c>
      <x:c r="AK11" s="2" t="n">
        <x:f>IF(J11&lt;&gt;"PASS",0,'Motor_Meciuri'!BR6)</x:f>
        <x:v>36</x:v>
      </x:c>
      <x:c r="AL11" s="2" t="n">
        <x:f>IF(J11&lt;&gt;"PASS",0,'Motor_Meciuri'!BS6)</x:f>
        <x:v>20</x:v>
      </x:c>
      <x:c r="AM11" s="2" t="n">
        <x:f>IF(J11&lt;&gt;"PASS",0,'Motor_Meciuri'!BT6)</x:f>
        <x:v>40</x:v>
      </x:c>
      <x:c r="AN11" s="2" t="n">
        <x:f>IF(M11="","",MAX(0,'Motor_Meciuri'!BF6-IF(L11&gt;'Config_v6'!$B$12,'Config_v6'!$B$37,IF(L11&gt;'Config_v6'!$B$11,'Config_v6'!$B$36,0))))</x:f>
        <x:v>90</x:v>
      </x:c>
    </x:row>
    <x:row r="12" ht="21" customHeight="1">
      <x:c r="A12" s="2" t="n">
        <x:v>1</x:v>
      </x:c>
      <x:c r="B12" s="2" t="str">
        <x:f>IF('Motor_Meciuri'!A6="","",'Motor_Meciuri'!A6)</x:f>
        <x:v>REPLAY_1</x:v>
      </x:c>
      <x:c r="C12" s="2" t="str">
        <x:f>IF(B12="","",'Motor_Meciuri'!B6)</x:f>
        <x:v>E0</x:v>
      </x:c>
      <x:c r="D12" s="2" t="str">
        <x:f>IF(B12="","",'Motor_Meciuri'!D6)</x:f>
        <x:v>Brighton – Man United</x:v>
      </x:c>
      <x:c r="E12" s="2" t="str">
        <x:f>IF(B12="","",'Motor_Meciuri'!E6)</x:f>
        <x:v>REPLAY</x:v>
      </x:c>
      <x:c r="F12" s="2" t="str">
        <x:v>U10,5</x:v>
      </x:c>
      <x:c r="G12" s="2" t="str">
        <x:v>UNDER</x:v>
      </x:c>
      <x:c r="H12" s="2" t="n">
        <x:v>10</x:v>
      </x:c>
      <x:c r="I12" s="2" t="str">
        <x:f>IF(B12="","",'Motor_Meciuri'!H6)</x:f>
        <x:v>READY</x:v>
      </x:c>
      <x:c r="J12" s="2" t="str">
        <x:f>IF(B12="","",'Motor_Meciuri'!I6)</x:f>
        <x:v>PASS</x:v>
      </x:c>
      <x:c r="K12" s="11" t="n">
        <x:f>IF(J12&lt;&gt;"PASS","",'Motor_Meciuri'!BD6)</x:f>
        <x:v>10.27195945945946</x:v>
      </x:c>
      <x:c r="L12" s="11" t="n">
        <x:f>IF(J12&lt;&gt;"PASS","",'Motor_Meciuri'!AU6)</x:f>
        <x:v>0.9007607192254518</x:v>
      </x:c>
      <x:c r="M12" s="10" t="n">
        <x:f>IF(NOT(AND(J12="PASS",'Calibrare_Linii'!U12="VALID")),"",'Distributie'!AH6)</x:f>
        <x:v>0.5490562286051273</x:v>
      </x:c>
      <x:c r="N12" s="10" t="n">
        <x:f>IF(M12="","",MAX(0.01,MIN(0.99,0.5+(M12-0.5)*'Motor_Meciuri'!BG6*'Calibrare_Linii'!D12)))</x:f>
        <x:v>0.5392204547697993</x:v>
      </x:c>
      <x:c r="O12" s="10" t="n">
        <x:f>IF(M12="","",1-M12)</x:f>
        <x:v>0.45094377139487274</x:v>
      </x:c>
      <x:c r="P12" s="10" t="n">
        <x:f>IF(OR(NOT(AND(J12="PASS",'Calibrare_Linii'!U12="VALID")),AK12=0),""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*('Istoric_Nativ'!$Q$6:$Q$405&gt;H12))/AK12)</x:f>
        <x:v>0.4444444444444444</x:v>
      </x:c>
      <x:c r="Q12" s="10" t="n">
        <x:f>IF(OR(NOT(AND(J12="PASS",'Calibrare_Linii'!U12="VALID")),AL12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M6)+((('Istoric_Nativ'!$E$6:$E$405='Input_Meci'!E6)+('Istoric_Nativ'!$F$6:$F$405='Input_Meci'!E6))&gt;0)*('Istoric_Nativ'!$D$6:$D$405&gt;='Motor_Meciuri'!BN6))&gt;0)*('Istoric_Nativ'!$Q$6:$Q$405&gt;H12))/AL12)</x:f>
        <x:v>0.55</x:v>
      </x:c>
      <x:c r="R12" s="10" t="n">
        <x:f>IF(OR(NOT(AND(J12="PASS",'Calibrare_Linii'!U12="VALID")),AM12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O6)+((('Istoric_Nativ'!$E$6:$E$405='Input_Meci'!E6)+('Istoric_Nativ'!$F$6:$F$405='Input_Meci'!E6))&gt;0)*('Istoric_Nativ'!$D$6:$D$405&gt;='Motor_Meciuri'!BP6))&gt;0)*('Istoric_Nativ'!$Q$6:$Q$405&gt;H12))/AM12)</x:f>
        <x:v>0.45</x:v>
      </x:c>
      <x:c r="S12" s="10" t="n">
        <x:f>IF(M12="","",MAX(O12,P12,Q12,R12))</x:f>
        <x:v>0.55</x:v>
      </x:c>
      <x:c r="T12" s="11" t="n">
        <x:f>IF(M12="","",MIN(100,S12*100*'Config_v6'!$B$44+MIN(100,L12/'Config_v6'!$B$13*100)*'Config_v6'!$B$45+(100-'Motor_Meciuri'!BF6)*'Config_v6'!$B$46+'Motor_Meciuri'!BH6*100*'Config_v6'!$B$47))</x:f>
        <x:v>39.756761948670686</x:v>
      </x:c>
      <x:c r="U12" s="2" t="n">
        <x:f>IF(T12="","",IF(T12&lt;=20,1,IF(T12&lt;=40,2,IF(T12&lt;=60,3,IF(T12&lt;=80,4,5)))))</x:f>
        <x:v>2</x:v>
      </x:c>
      <x:c r="V12" s="2" t="n">
        <x:f>IF(M12="","",MAX(0,'Motor_Meciuri'!BF6-IF(W12="OOS PENDING",'Config_v6'!$B$35,0)-IF(L12&gt;'Config_v6'!$B$12,'Config_v6'!$B$37,IF(L12&gt;'Config_v6'!$B$11,'Config_v6'!$B$36,0))))</x:f>
        <x:v>80</x:v>
      </x:c>
      <x:c r="W12" s="2" t="str">
        <x:f>IF(B12="","",IF(I12&lt;&gt;"READY","NOT RELEASED",IF(NOT(AND(J12="PASS",'Calibrare_Linii'!U12="VALID")),"INVALID",IF(NOT(AND('Calibrare_Linii'!S12="VALIDATED",AND('Calibrare_Linii'!H12=C12,ISNUMBER('Calibrare_Linii'!J12),'Calibrare_Linii'!J12&lt;='Input_Meci'!G6))),"OOS PENDING",IF(S12&lt;='Calibrare_Linii'!E12,"PASS",IF(S12&lt;='Calibrare_Linii'!F12,"PENALTY","WATCH"))))))</x:f>
        <x:v>OOS PENDING</x:v>
      </x:c>
      <x:c r="X12" s="2" t="str">
        <x:f>IF(M12="","",IF(AND(AND(J12="PASS",'Calibrare_Linii'!U12="VALID"),'Motor_Meciuri'!K6=12,'Motor_Meciuri'!L6=12,'Motor_Meciuri'!M6="NO",'Motor_Meciuri'!BL6='Motor_Meciuri'!C6,AB12&gt;='Config_v6'!$B$50,AN12&gt;='Config_v6'!$B$51,T12&lt;='Config_v6'!$B$52,L12&lt;='Config_v6'!$B$53,ISNUMBER('Calibrare_Linii'!E12),S12&lt;='Calibrare_Linii'!E12,SUM(AK12:AM12)&gt;0),"CANDIDATE","NO"))</x:f>
        <x:v>NO</x:v>
      </x:c>
      <x:c r="Y12" s="2" t="str">
        <x:f>IF(B12="","",IF(I12&lt;&gt;"READY","NOT RELEASED",IF(AND(X12="CANDIDATE",V12&gt;='Config_v6'!$B$51,W12="PASS",'Calibrare_Linii'!T12="VALIDATED",AND('Calibrare_Linii'!H12=C12,ISNUMBER('Calibrare_Linii'!J12),'Calibrare_Linii'!J12&lt;='Input_Meci'!G6)),"PASS",IF(X12="CANDIDATE","OOS PENDING","FAIL"))))</x:f>
        <x:v>FAIL</x:v>
      </x:c>
      <x:c r="Z12" s="2" t="n">
        <x:f>IF(B12="","",IF(I12&lt;&gt;"READY","",IF(OR(NOT(AND(J12="PASS",'Calibrare_Linii'!U12="VALID")),L12&gt;'Config_v6'!$B$13,W12="WATCH"),5,IF(Y12="PASS",1,MIN(5,MAX('Config_v6'!$B$42,U12)+IF(W12="PENALTY",1,0))))))</x:f>
        <x:v>2</x:v>
      </x:c>
      <x:c r="AA12" s="2" t="str">
        <x:f>IF(B12="","",IF(I12&lt;&gt;"READY","NOT RELEASED",IF(Z12=5,"NO BET",IF(OR(AB12&lt;'Config_v6'!$B$16,V12&lt;'Config_v6'!$B$18),"WATCH",IF(Z12=1,"DEFENSIV",IF(Z12=2,"PRUDENT",IF(Z12=3,"MODERAT","RIDICAT")))))))</x:f>
        <x:v>WATCH</x:v>
      </x:c>
      <x:c r="AB12" s="10" t="n">
        <x:f>IF(N12="","",MIN(N12,1-S12))</x:f>
        <x:v>0.44999999999999996</x:v>
      </x:c>
      <x:c r="AC12" s="2" t="str">
        <x:f>IF(AD12&lt;&gt;1,"",COUNTIFS($Z$6:$Z$19,"&lt;"&amp;Z12,$AD$6:$AD$19,1)+COUNTIFS($Z$6:$Z$19,Z12,$AB$6:$AB$19,"&gt;"&amp;AB12,$AD$6:$AD$19,1)+COUNTIFS($Z$6:$Z$19,Z12,$AB$6:$AB$19,AB12,$V$6:$V$19,"&gt;"&amp;V12,$AD$6:$AD$19,1)+COUNTIFS($Z$6:Z12,Z12,$AB$6:AB12,AB12,$V$6:V12,V12,$AD$6:AD12,1))</x:f>
      </x:c>
      <x:c r="AD12" s="2" t="n">
        <x:f>IF(OR(AA12="DEFENSIV",AA12="PRUDENT",AA12="MODERAT",AA12="RIDICAT"),1,0)</x:f>
        <x:v>0</x:v>
      </x:c>
      <x:c r="AE12" s="2" t="str">
        <x:f>IF(AD12&lt;&gt;1,"NO",IF(W12="PASS","YES",IF(W12="OOS PENDING","CONDITIONAL","NO")))</x:f>
        <x:v>NO</x:v>
      </x:c>
      <x:c r="AF12" s="2" t="n">
        <x:f>IF(AND(AD12=1,AC12=1,E12="LIVE"),1,0)</x:f>
        <x:v>0</x:v>
      </x:c>
      <x:c r="AG12" s="2" t="str">
        <x:f>IF(AF12&lt;&gt;1,"",'Dashboard'!P26)</x:f>
      </x:c>
      <x:c r="AH12" s="2" t="str">
        <x:f>IF(B12="","",IF(J12&lt;&gt;"PASS",'Motor_Meciuri'!J6,IF('Calibrare_Linii'!U12&lt;&gt;"VALID","Parametri linie invalizi",IF(L12&gt;'Config_v6'!$B$13,"Dispersie peste limita",IF(W12="WATCH","Failure peste limita",IF(AB12&lt;'Config_v6'!$B$16,"P finala sub prag",IF(V12&lt;'Config_v6'!$B$18,"Confidence sub prag",IF(E12="REPLAY","Exemplu retrospectiv; exclus din Top LIVE",IF(Y12="PASS","DEFENSIV validat",IF(W12="OOS PENDING","Eligibil; calibrare linie in monitorizare","Eligibil"))))))))))</x:f>
        <x:v>P finala sub prag</x:v>
      </x:c>
      <x:c r="AI12" s="2" t="str">
        <x:f>IF(B12="","",'Calibrare_Linii'!V12)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10,5|1.000000|NA|NA</x:v>
      </x:c>
      <x:c r="AJ12" s="2" t="str">
        <x:f>IF(B12="","",IF(AND('Calibrare_Linii'!T12="VALIDATED",AND('Calibrare_Linii'!H12=C12,ISNUMBER('Calibrare_Linii'!J12),'Calibrare_Linii'!J12&lt;='Input_Meci'!G6)),"DEFENSIVE VALIDATED",IF(AND('Calibrare_Linii'!S12="VALIDATED",AND('Calibrare_Linii'!H12=C12,ISNUMBER('Calibrare_Linii'!J12),'Calibrare_Linii'!J12&lt;='Input_Meci'!G6)),"TAIL VALIDATED","OOS PENDING")))</x:f>
        <x:v>OOS PENDING</x:v>
      </x:c>
      <x:c r="AK12" s="2" t="n">
        <x:f>IF(J12&lt;&gt;"PASS",0,'Motor_Meciuri'!BR6)</x:f>
        <x:v>36</x:v>
      </x:c>
      <x:c r="AL12" s="2" t="n">
        <x:f>IF(J12&lt;&gt;"PASS",0,'Motor_Meciuri'!BS6)</x:f>
        <x:v>20</x:v>
      </x:c>
      <x:c r="AM12" s="2" t="n">
        <x:f>IF(J12&lt;&gt;"PASS",0,'Motor_Meciuri'!BT6)</x:f>
        <x:v>40</x:v>
      </x:c>
      <x:c r="AN12" s="2" t="n">
        <x:f>IF(M12="","",MAX(0,'Motor_Meciuri'!BF6-IF(L12&gt;'Config_v6'!$B$12,'Config_v6'!$B$37,IF(L12&gt;'Config_v6'!$B$11,'Config_v6'!$B$36,0))))</x:f>
        <x:v>90</x:v>
      </x:c>
    </x:row>
    <x:row r="13" ht="21" customHeight="1">
      <x:c r="A13" s="2" t="n">
        <x:v>1</x:v>
      </x:c>
      <x:c r="B13" s="2" t="str">
        <x:f>IF('Motor_Meciuri'!A6="","",'Motor_Meciuri'!A6)</x:f>
        <x:v>REPLAY_1</x:v>
      </x:c>
      <x:c r="C13" s="2" t="str">
        <x:f>IF(B13="","",'Motor_Meciuri'!B6)</x:f>
        <x:v>E0</x:v>
      </x:c>
      <x:c r="D13" s="2" t="str">
        <x:f>IF(B13="","",'Motor_Meciuri'!D6)</x:f>
        <x:v>Brighton – Man United</x:v>
      </x:c>
      <x:c r="E13" s="2" t="str">
        <x:f>IF(B13="","",'Motor_Meciuri'!E6)</x:f>
        <x:v>REPLAY</x:v>
      </x:c>
      <x:c r="F13" s="2" t="str">
        <x:v>U11,5</x:v>
      </x:c>
      <x:c r="G13" s="2" t="str">
        <x:v>UNDER</x:v>
      </x:c>
      <x:c r="H13" s="2" t="n">
        <x:v>11</x:v>
      </x:c>
      <x:c r="I13" s="2" t="str">
        <x:f>IF(B13="","",'Motor_Meciuri'!H6)</x:f>
        <x:v>READY</x:v>
      </x:c>
      <x:c r="J13" s="2" t="str">
        <x:f>IF(B13="","",'Motor_Meciuri'!I6)</x:f>
        <x:v>PASS</x:v>
      </x:c>
      <x:c r="K13" s="11" t="n">
        <x:f>IF(J13&lt;&gt;"PASS","",'Motor_Meciuri'!BD6)</x:f>
        <x:v>10.27195945945946</x:v>
      </x:c>
      <x:c r="L13" s="11" t="n">
        <x:f>IF(J13&lt;&gt;"PASS","",'Motor_Meciuri'!AU6)</x:f>
        <x:v>0.9007607192254518</x:v>
      </x:c>
      <x:c r="M13" s="10" t="n">
        <x:f>IF(NOT(AND(J13="PASS",'Calibrare_Linii'!U13="VALID")),"",'Distributie'!AI6)</x:f>
        <x:v>0.6654621932043587</x:v>
      </x:c>
      <x:c r="N13" s="10" t="n">
        <x:f>IF(M13="","",MAX(0.01,MIN(0.99,0.5+(M13-0.5)*'Motor_Meciuri'!BG6*'Calibrare_Linii'!D13)))</x:f>
        <x:v>0.6322870234668848</x:v>
      </x:c>
      <x:c r="O13" s="10" t="n">
        <x:f>IF(M13="","",1-M13)</x:f>
        <x:v>0.33453780679564127</x:v>
      </x:c>
      <x:c r="P13" s="10" t="n">
        <x:f>IF(OR(NOT(AND(J13="PASS",'Calibrare_Linii'!U13="VALID")),AK13=0),""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*('Istoric_Nativ'!$Q$6:$Q$405&gt;H13))/AK13)</x:f>
        <x:v>0.2777777777777778</x:v>
      </x:c>
      <x:c r="Q13" s="10" t="n">
        <x:f>IF(OR(NOT(AND(J13="PASS",'Calibrare_Linii'!U13="VALID")),AL13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M6)+((('Istoric_Nativ'!$E$6:$E$405='Input_Meci'!E6)+('Istoric_Nativ'!$F$6:$F$405='Input_Meci'!E6))&gt;0)*('Istoric_Nativ'!$D$6:$D$405&gt;='Motor_Meciuri'!BN6))&gt;0)*('Istoric_Nativ'!$Q$6:$Q$405&gt;H13))/AL13)</x:f>
        <x:v>0.5</x:v>
      </x:c>
      <x:c r="R13" s="10" t="n">
        <x:f>IF(OR(NOT(AND(J13="PASS",'Calibrare_Linii'!U13="VALID")),AM13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O6)+((('Istoric_Nativ'!$E$6:$E$405='Input_Meci'!E6)+('Istoric_Nativ'!$F$6:$F$405='Input_Meci'!E6))&gt;0)*('Istoric_Nativ'!$D$6:$D$405&gt;='Motor_Meciuri'!BP6))&gt;0)*('Istoric_Nativ'!$Q$6:$Q$405&gt;H13))/AM13)</x:f>
        <x:v>0.375</x:v>
      </x:c>
      <x:c r="S13" s="10" t="n">
        <x:f>IF(M13="","",MAX(O13,P13,Q13,R13))</x:f>
        <x:v>0.5</x:v>
      </x:c>
      <x:c r="T13" s="11" t="n">
        <x:f>IF(M13="","",MIN(100,S13*100*'Config_v6'!$B$44+MIN(100,L13/'Config_v6'!$B$13*100)*'Config_v6'!$B$45+(100-'Motor_Meciuri'!BF6)*'Config_v6'!$B$46+'Motor_Meciuri'!BH6*100*'Config_v6'!$B$47))</x:f>
        <x:v>37.006761948670686</x:v>
      </x:c>
      <x:c r="U13" s="2" t="n">
        <x:f>IF(T13="","",IF(T13&lt;=20,1,IF(T13&lt;=40,2,IF(T13&lt;=60,3,IF(T13&lt;=80,4,5)))))</x:f>
        <x:v>2</x:v>
      </x:c>
      <x:c r="V13" s="2" t="n">
        <x:f>IF(M13="","",MAX(0,'Motor_Meciuri'!BF6-IF(W13="OOS PENDING",'Config_v6'!$B$35,0)-IF(L13&gt;'Config_v6'!$B$12,'Config_v6'!$B$37,IF(L13&gt;'Config_v6'!$B$11,'Config_v6'!$B$36,0))))</x:f>
        <x:v>80</x:v>
      </x:c>
      <x:c r="W13" s="2" t="str">
        <x:f>IF(B13="","",IF(I13&lt;&gt;"READY","NOT RELEASED",IF(NOT(AND(J13="PASS",'Calibrare_Linii'!U13="VALID")),"INVALID",IF(NOT(AND('Calibrare_Linii'!S13="VALIDATED",AND('Calibrare_Linii'!H13=C13,ISNUMBER('Calibrare_Linii'!J13),'Calibrare_Linii'!J13&lt;='Input_Meci'!G6))),"OOS PENDING",IF(S13&lt;='Calibrare_Linii'!E13,"PASS",IF(S13&lt;='Calibrare_Linii'!F13,"PENALTY","WATCH"))))))</x:f>
        <x:v>OOS PENDING</x:v>
      </x:c>
      <x:c r="X13" s="2" t="str">
        <x:f>IF(M13="","",IF(AND(AND(J13="PASS",'Calibrare_Linii'!U13="VALID"),'Motor_Meciuri'!K6=12,'Motor_Meciuri'!L6=12,'Motor_Meciuri'!M6="NO",'Motor_Meciuri'!BL6='Motor_Meciuri'!C6,AB13&gt;='Config_v6'!$B$50,AN13&gt;='Config_v6'!$B$51,T13&lt;='Config_v6'!$B$52,L13&lt;='Config_v6'!$B$53,ISNUMBER('Calibrare_Linii'!E13),S13&lt;='Calibrare_Linii'!E13,SUM(AK13:AM13)&gt;0),"CANDIDATE","NO"))</x:f>
        <x:v>NO</x:v>
      </x:c>
      <x:c r="Y13" s="2" t="str">
        <x:f>IF(B13="","",IF(I13&lt;&gt;"READY","NOT RELEASED",IF(AND(X13="CANDIDATE",V13&gt;='Config_v6'!$B$51,W13="PASS",'Calibrare_Linii'!T13="VALIDATED",AND('Calibrare_Linii'!H13=C13,ISNUMBER('Calibrare_Linii'!J13),'Calibrare_Linii'!J13&lt;='Input_Meci'!G6)),"PASS",IF(X13="CANDIDATE","OOS PENDING","FAIL"))))</x:f>
        <x:v>FAIL</x:v>
      </x:c>
      <x:c r="Z13" s="2" t="n">
        <x:f>IF(B13="","",IF(I13&lt;&gt;"READY","",IF(OR(NOT(AND(J13="PASS",'Calibrare_Linii'!U13="VALID")),L13&gt;'Config_v6'!$B$13,W13="WATCH"),5,IF(Y13="PASS",1,MIN(5,MAX('Config_v6'!$B$42,U13)+IF(W13="PENALTY",1,0))))))</x:f>
        <x:v>2</x:v>
      </x:c>
      <x:c r="AA13" s="2" t="str">
        <x:f>IF(B13="","",IF(I13&lt;&gt;"READY","NOT RELEASED",IF(Z13=5,"NO BET",IF(OR(AB13&lt;'Config_v6'!$B$16,V13&lt;'Config_v6'!$B$18),"WATCH",IF(Z13=1,"DEFENSIV",IF(Z13=2,"PRUDENT",IF(Z13=3,"MODERAT","RIDICAT")))))))</x:f>
        <x:v>WATCH</x:v>
      </x:c>
      <x:c r="AB13" s="10" t="n">
        <x:f>IF(N13="","",MIN(N13,1-S13))</x:f>
        <x:v>0.5</x:v>
      </x:c>
      <x:c r="AC13" s="2" t="str">
        <x:f>IF(AD13&lt;&gt;1,"",COUNTIFS($Z$6:$Z$19,"&lt;"&amp;Z13,$AD$6:$AD$19,1)+COUNTIFS($Z$6:$Z$19,Z13,$AB$6:$AB$19,"&gt;"&amp;AB13,$AD$6:$AD$19,1)+COUNTIFS($Z$6:$Z$19,Z13,$AB$6:$AB$19,AB13,$V$6:$V$19,"&gt;"&amp;V13,$AD$6:$AD$19,1)+COUNTIFS($Z$6:Z13,Z13,$AB$6:AB13,AB13,$V$6:V13,V13,$AD$6:AD13,1))</x:f>
      </x:c>
      <x:c r="AD13" s="2" t="n">
        <x:f>IF(OR(AA13="DEFENSIV",AA13="PRUDENT",AA13="MODERAT",AA13="RIDICAT"),1,0)</x:f>
        <x:v>0</x:v>
      </x:c>
      <x:c r="AE13" s="2" t="str">
        <x:f>IF(AD13&lt;&gt;1,"NO",IF(W13="PASS","YES",IF(W13="OOS PENDING","CONDITIONAL","NO")))</x:f>
        <x:v>NO</x:v>
      </x:c>
      <x:c r="AF13" s="2" t="n">
        <x:f>IF(AND(AD13=1,AC13=1,E13="LIVE"),1,0)</x:f>
        <x:v>0</x:v>
      </x:c>
      <x:c r="AG13" s="2" t="str">
        <x:f>IF(AF13&lt;&gt;1,"",'Dashboard'!P26)</x:f>
      </x:c>
      <x:c r="AH13" s="2" t="str">
        <x:f>IF(B13="","",IF(J13&lt;&gt;"PASS",'Motor_Meciuri'!J6,IF('Calibrare_Linii'!U13&lt;&gt;"VALID","Parametri linie invalizi",IF(L13&gt;'Config_v6'!$B$13,"Dispersie peste limita",IF(W13="WATCH","Failure peste limita",IF(AB13&lt;'Config_v6'!$B$16,"P finala sub prag",IF(V13&lt;'Config_v6'!$B$18,"Confidence sub prag",IF(E13="REPLAY","Exemplu retrospectiv; exclus din Top LIVE",IF(Y13="PASS","DEFENSIV validat",IF(W13="OOS PENDING","Eligibil; calibrare linie in monitorizare","Eligibil"))))))))))</x:f>
        <x:v>P finala sub prag</x:v>
      </x:c>
      <x:c r="AI13" s="2" t="str">
        <x:f>IF(B13="","",'Calibrare_Linii'!V13)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11,5|1.000000|NA|NA</x:v>
      </x:c>
      <x:c r="AJ13" s="2" t="str">
        <x:f>IF(B13="","",IF(AND('Calibrare_Linii'!T13="VALIDATED",AND('Calibrare_Linii'!H13=C13,ISNUMBER('Calibrare_Linii'!J13),'Calibrare_Linii'!J13&lt;='Input_Meci'!G6)),"DEFENSIVE VALIDATED",IF(AND('Calibrare_Linii'!S13="VALIDATED",AND('Calibrare_Linii'!H13=C13,ISNUMBER('Calibrare_Linii'!J13),'Calibrare_Linii'!J13&lt;='Input_Meci'!G6)),"TAIL VALIDATED","OOS PENDING")))</x:f>
        <x:v>OOS PENDING</x:v>
      </x:c>
      <x:c r="AK13" s="2" t="n">
        <x:f>IF(J13&lt;&gt;"PASS",0,'Motor_Meciuri'!BR6)</x:f>
        <x:v>36</x:v>
      </x:c>
      <x:c r="AL13" s="2" t="n">
        <x:f>IF(J13&lt;&gt;"PASS",0,'Motor_Meciuri'!BS6)</x:f>
        <x:v>20</x:v>
      </x:c>
      <x:c r="AM13" s="2" t="n">
        <x:f>IF(J13&lt;&gt;"PASS",0,'Motor_Meciuri'!BT6)</x:f>
        <x:v>40</x:v>
      </x:c>
      <x:c r="AN13" s="2" t="n">
        <x:f>IF(M13="","",MAX(0,'Motor_Meciuri'!BF6-IF(L13&gt;'Config_v6'!$B$12,'Config_v6'!$B$37,IF(L13&gt;'Config_v6'!$B$11,'Config_v6'!$B$36,0))))</x:f>
        <x:v>90</x:v>
      </x:c>
    </x:row>
    <x:row r="14" ht="21" customHeight="1">
      <x:c r="A14" s="2" t="n">
        <x:v>1</x:v>
      </x:c>
      <x:c r="B14" s="2" t="str">
        <x:f>IF('Motor_Meciuri'!A6="","",'Motor_Meciuri'!A6)</x:f>
        <x:v>REPLAY_1</x:v>
      </x:c>
      <x:c r="C14" s="2" t="str">
        <x:f>IF(B14="","",'Motor_Meciuri'!B6)</x:f>
        <x:v>E0</x:v>
      </x:c>
      <x:c r="D14" s="2" t="str">
        <x:f>IF(B14="","",'Motor_Meciuri'!D6)</x:f>
        <x:v>Brighton – Man United</x:v>
      </x:c>
      <x:c r="E14" s="2" t="str">
        <x:f>IF(B14="","",'Motor_Meciuri'!E6)</x:f>
        <x:v>REPLAY</x:v>
      </x:c>
      <x:c r="F14" s="2" t="str">
        <x:v>U12,5</x:v>
      </x:c>
      <x:c r="G14" s="2" t="str">
        <x:v>UNDER</x:v>
      </x:c>
      <x:c r="H14" s="2" t="n">
        <x:v>12</x:v>
      </x:c>
      <x:c r="I14" s="2" t="str">
        <x:f>IF(B14="","",'Motor_Meciuri'!H6)</x:f>
        <x:v>READY</x:v>
      </x:c>
      <x:c r="J14" s="2" t="str">
        <x:f>IF(B14="","",'Motor_Meciuri'!I6)</x:f>
        <x:v>PASS</x:v>
      </x:c>
      <x:c r="K14" s="11" t="n">
        <x:f>IF(J14&lt;&gt;"PASS","",'Motor_Meciuri'!BD6)</x:f>
        <x:v>10.27195945945946</x:v>
      </x:c>
      <x:c r="L14" s="11" t="n">
        <x:f>IF(J14&lt;&gt;"PASS","",'Motor_Meciuri'!AU6)</x:f>
        <x:v>0.9007607192254518</x:v>
      </x:c>
      <x:c r="M14" s="10" t="n">
        <x:f>IF(NOT(AND(J14="PASS",'Calibrare_Linii'!U14="VALID")),"",'Distributie'!AJ6)</x:f>
        <x:v>0.7651053056379069</x:v>
      </x:c>
      <x:c r="N14" s="10" t="n">
        <x:f>IF(M14="","",MAX(0.01,MIN(0.99,0.5+(M14-0.5)*'Motor_Meciuri'!BG6*'Calibrare_Linii'!D14)))</x:f>
        <x:v>0.7119516918575066</x:v>
      </x:c>
      <x:c r="O14" s="10" t="n">
        <x:f>IF(M14="","",1-M14)</x:f>
        <x:v>0.2348946943620931</x:v>
      </x:c>
      <x:c r="P14" s="10" t="n">
        <x:f>IF(OR(NOT(AND(J14="PASS",'Calibrare_Linii'!U14="VALID")),AK14=0),""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*('Istoric_Nativ'!$Q$6:$Q$405&gt;H14))/AK14)</x:f>
        <x:v>0.19444444444444445</x:v>
      </x:c>
      <x:c r="Q14" s="10" t="n">
        <x:f>IF(OR(NOT(AND(J14="PASS",'Calibrare_Linii'!U14="VALID")),AL14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M6)+((('Istoric_Nativ'!$E$6:$E$405='Input_Meci'!E6)+('Istoric_Nativ'!$F$6:$F$405='Input_Meci'!E6))&gt;0)*('Istoric_Nativ'!$D$6:$D$405&gt;='Motor_Meciuri'!BN6))&gt;0)*('Istoric_Nativ'!$Q$6:$Q$405&gt;H14))/AL14)</x:f>
        <x:v>0.3</x:v>
      </x:c>
      <x:c r="R14" s="10" t="n">
        <x:f>IF(OR(NOT(AND(J14="PASS",'Calibrare_Linii'!U14="VALID")),AM14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O6)+((('Istoric_Nativ'!$E$6:$E$405='Input_Meci'!E6)+('Istoric_Nativ'!$F$6:$F$405='Input_Meci'!E6))&gt;0)*('Istoric_Nativ'!$D$6:$D$405&gt;='Motor_Meciuri'!BP6))&gt;0)*('Istoric_Nativ'!$Q$6:$Q$405&gt;H14))/AM14)</x:f>
        <x:v>0.2</x:v>
      </x:c>
      <x:c r="S14" s="10" t="n">
        <x:f>IF(M14="","",MAX(O14,P14,Q14,R14))</x:f>
        <x:v>0.3</x:v>
      </x:c>
      <x:c r="T14" s="11" t="n">
        <x:f>IF(M14="","",MIN(100,S14*100*'Config_v6'!$B$44+MIN(100,L14/'Config_v6'!$B$13*100)*'Config_v6'!$B$45+(100-'Motor_Meciuri'!BF6)*'Config_v6'!$B$46+'Motor_Meciuri'!BH6*100*'Config_v6'!$B$47))</x:f>
        <x:v>26.006761948670682</x:v>
      </x:c>
      <x:c r="U14" s="2" t="n">
        <x:f>IF(T14="","",IF(T14&lt;=20,1,IF(T14&lt;=40,2,IF(T14&lt;=60,3,IF(T14&lt;=80,4,5)))))</x:f>
        <x:v>2</x:v>
      </x:c>
      <x:c r="V14" s="2" t="n">
        <x:f>IF(M14="","",MAX(0,'Motor_Meciuri'!BF6-IF(W14="OOS PENDING",'Config_v6'!$B$35,0)-IF(L14&gt;'Config_v6'!$B$12,'Config_v6'!$B$37,IF(L14&gt;'Config_v6'!$B$11,'Config_v6'!$B$36,0))))</x:f>
        <x:v>80</x:v>
      </x:c>
      <x:c r="W14" s="2" t="str">
        <x:f>IF(B14="","",IF(I14&lt;&gt;"READY","NOT RELEASED",IF(NOT(AND(J14="PASS",'Calibrare_Linii'!U14="VALID")),"INVALID",IF(NOT(AND('Calibrare_Linii'!S14="VALIDATED",AND('Calibrare_Linii'!H14=C14,ISNUMBER('Calibrare_Linii'!J14),'Calibrare_Linii'!J14&lt;='Input_Meci'!G6))),"OOS PENDING",IF(S14&lt;='Calibrare_Linii'!E14,"PASS",IF(S14&lt;='Calibrare_Linii'!F14,"PENALTY","WATCH"))))))</x:f>
        <x:v>OOS PENDING</x:v>
      </x:c>
      <x:c r="X14" s="2" t="str">
        <x:f>IF(M14="","",IF(AND(AND(J14="PASS",'Calibrare_Linii'!U14="VALID"),'Motor_Meciuri'!K6=12,'Motor_Meciuri'!L6=12,'Motor_Meciuri'!M6="NO",'Motor_Meciuri'!BL6='Motor_Meciuri'!C6,AB14&gt;='Config_v6'!$B$50,AN14&gt;='Config_v6'!$B$51,T14&lt;='Config_v6'!$B$52,L14&lt;='Config_v6'!$B$53,ISNUMBER('Calibrare_Linii'!E14),S14&lt;='Calibrare_Linii'!E14,SUM(AK14:AM14)&gt;0),"CANDIDATE","NO"))</x:f>
        <x:v>NO</x:v>
      </x:c>
      <x:c r="Y14" s="2" t="str">
        <x:f>IF(B14="","",IF(I14&lt;&gt;"READY","NOT RELEASED",IF(AND(X14="CANDIDATE",V14&gt;='Config_v6'!$B$51,W14="PASS",'Calibrare_Linii'!T14="VALIDATED",AND('Calibrare_Linii'!H14=C14,ISNUMBER('Calibrare_Linii'!J14),'Calibrare_Linii'!J14&lt;='Input_Meci'!G6)),"PASS",IF(X14="CANDIDATE","OOS PENDING","FAIL"))))</x:f>
        <x:v>FAIL</x:v>
      </x:c>
      <x:c r="Z14" s="2" t="n">
        <x:f>IF(B14="","",IF(I14&lt;&gt;"READY","",IF(OR(NOT(AND(J14="PASS",'Calibrare_Linii'!U14="VALID")),L14&gt;'Config_v6'!$B$13,W14="WATCH"),5,IF(Y14="PASS",1,MIN(5,MAX('Config_v6'!$B$42,U14)+IF(W14="PENALTY",1,0))))))</x:f>
        <x:v>2</x:v>
      </x:c>
      <x:c r="AA14" s="2" t="str">
        <x:f>IF(B14="","",IF(I14&lt;&gt;"READY","NOT RELEASED",IF(Z14=5,"NO BET",IF(OR(AB14&lt;'Config_v6'!$B$16,V14&lt;'Config_v6'!$B$18),"WATCH",IF(Z14=1,"DEFENSIV",IF(Z14=2,"PRUDENT",IF(Z14=3,"MODERAT","RIDICAT")))))))</x:f>
        <x:v>WATCH</x:v>
      </x:c>
      <x:c r="AB14" s="10" t="n">
        <x:f>IF(N14="","",MIN(N14,1-S14))</x:f>
        <x:v>0.7</x:v>
      </x:c>
      <x:c r="AC14" s="2" t="str">
        <x:f>IF(AD14&lt;&gt;1,"",COUNTIFS($Z$6:$Z$19,"&lt;"&amp;Z14,$AD$6:$AD$19,1)+COUNTIFS($Z$6:$Z$19,Z14,$AB$6:$AB$19,"&gt;"&amp;AB14,$AD$6:$AD$19,1)+COUNTIFS($Z$6:$Z$19,Z14,$AB$6:$AB$19,AB14,$V$6:$V$19,"&gt;"&amp;V14,$AD$6:$AD$19,1)+COUNTIFS($Z$6:Z14,Z14,$AB$6:AB14,AB14,$V$6:V14,V14,$AD$6:AD14,1))</x:f>
      </x:c>
      <x:c r="AD14" s="2" t="n">
        <x:f>IF(OR(AA14="DEFENSIV",AA14="PRUDENT",AA14="MODERAT",AA14="RIDICAT"),1,0)</x:f>
        <x:v>0</x:v>
      </x:c>
      <x:c r="AE14" s="2" t="str">
        <x:f>IF(AD14&lt;&gt;1,"NO",IF(W14="PASS","YES",IF(W14="OOS PENDING","CONDITIONAL","NO")))</x:f>
        <x:v>NO</x:v>
      </x:c>
      <x:c r="AF14" s="2" t="n">
        <x:f>IF(AND(AD14=1,AC14=1,E14="LIVE"),1,0)</x:f>
        <x:v>0</x:v>
      </x:c>
      <x:c r="AG14" s="2" t="str">
        <x:f>IF(AF14&lt;&gt;1,"",'Dashboard'!P26)</x:f>
      </x:c>
      <x:c r="AH14" s="2" t="str">
        <x:f>IF(B14="","",IF(J14&lt;&gt;"PASS",'Motor_Meciuri'!J6,IF('Calibrare_Linii'!U14&lt;&gt;"VALID","Parametri linie invalizi",IF(L14&gt;'Config_v6'!$B$13,"Dispersie peste limita",IF(W14="WATCH","Failure peste limita",IF(AB14&lt;'Config_v6'!$B$16,"P finala sub prag",IF(V14&lt;'Config_v6'!$B$18,"Confidence sub prag",IF(E14="REPLAY","Exemplu retrospectiv; exclus din Top LIVE",IF(Y14="PASS","DEFENSIV validat",IF(W14="OOS PENDING","Eligibil; calibrare linie in monitorizare","Eligibil"))))))))))</x:f>
        <x:v>P finala sub prag</x:v>
      </x:c>
      <x:c r="AI14" s="2" t="str">
        <x:f>IF(B14="","",'Calibrare_Linii'!V14)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12,5|1.000000|NA|NA</x:v>
      </x:c>
      <x:c r="AJ14" s="2" t="str">
        <x:f>IF(B14="","",IF(AND('Calibrare_Linii'!T14="VALIDATED",AND('Calibrare_Linii'!H14=C14,ISNUMBER('Calibrare_Linii'!J14),'Calibrare_Linii'!J14&lt;='Input_Meci'!G6)),"DEFENSIVE VALIDATED",IF(AND('Calibrare_Linii'!S14="VALIDATED",AND('Calibrare_Linii'!H14=C14,ISNUMBER('Calibrare_Linii'!J14),'Calibrare_Linii'!J14&lt;='Input_Meci'!G6)),"TAIL VALIDATED","OOS PENDING")))</x:f>
        <x:v>OOS PENDING</x:v>
      </x:c>
      <x:c r="AK14" s="2" t="n">
        <x:f>IF(J14&lt;&gt;"PASS",0,'Motor_Meciuri'!BR6)</x:f>
        <x:v>36</x:v>
      </x:c>
      <x:c r="AL14" s="2" t="n">
        <x:f>IF(J14&lt;&gt;"PASS",0,'Motor_Meciuri'!BS6)</x:f>
        <x:v>20</x:v>
      </x:c>
      <x:c r="AM14" s="2" t="n">
        <x:f>IF(J14&lt;&gt;"PASS",0,'Motor_Meciuri'!BT6)</x:f>
        <x:v>40</x:v>
      </x:c>
      <x:c r="AN14" s="2" t="n">
        <x:f>IF(M14="","",MAX(0,'Motor_Meciuri'!BF6-IF(L14&gt;'Config_v6'!$B$12,'Config_v6'!$B$37,IF(L14&gt;'Config_v6'!$B$11,'Config_v6'!$B$36,0))))</x:f>
        <x:v>90</x:v>
      </x:c>
    </x:row>
    <x:row r="15" ht="21" customHeight="1">
      <x:c r="A15" s="2" t="n">
        <x:v>1</x:v>
      </x:c>
      <x:c r="B15" s="2" t="str">
        <x:f>IF('Motor_Meciuri'!A6="","",'Motor_Meciuri'!A6)</x:f>
        <x:v>REPLAY_1</x:v>
      </x:c>
      <x:c r="C15" s="2" t="str">
        <x:f>IF(B15="","",'Motor_Meciuri'!B6)</x:f>
        <x:v>E0</x:v>
      </x:c>
      <x:c r="D15" s="2" t="str">
        <x:f>IF(B15="","",'Motor_Meciuri'!D6)</x:f>
        <x:v>Brighton – Man United</x:v>
      </x:c>
      <x:c r="E15" s="2" t="str">
        <x:f>IF(B15="","",'Motor_Meciuri'!E6)</x:f>
        <x:v>REPLAY</x:v>
      </x:c>
      <x:c r="F15" s="2" t="str">
        <x:v>U13,5</x:v>
      </x:c>
      <x:c r="G15" s="2" t="str">
        <x:v>UNDER</x:v>
      </x:c>
      <x:c r="H15" s="2" t="n">
        <x:v>13</x:v>
      </x:c>
      <x:c r="I15" s="2" t="str">
        <x:f>IF(B15="","",'Motor_Meciuri'!H6)</x:f>
        <x:v>READY</x:v>
      </x:c>
      <x:c r="J15" s="2" t="str">
        <x:f>IF(B15="","",'Motor_Meciuri'!I6)</x:f>
        <x:v>PASS</x:v>
      </x:c>
      <x:c r="K15" s="11" t="n">
        <x:f>IF(J15&lt;&gt;"PASS","",'Motor_Meciuri'!BD6)</x:f>
        <x:v>10.27195945945946</x:v>
      </x:c>
      <x:c r="L15" s="11" t="n">
        <x:f>IF(J15&lt;&gt;"PASS","",'Motor_Meciuri'!AU6)</x:f>
        <x:v>0.9007607192254518</x:v>
      </x:c>
      <x:c r="M15" s="10" t="n">
        <x:f>IF(NOT(AND(J15="PASS",'Calibrare_Linii'!U15="VALID")),"",'Distributie'!AK6)</x:f>
        <x:v>0.8438383834326583</x:v>
      </x:c>
      <x:c r="N15" s="10" t="n">
        <x:f>IF(M15="","",MAX(0.01,MIN(0.99,0.5+(M15-0.5)*'Motor_Meciuri'!BG6*'Calibrare_Linii'!D15)))</x:f>
        <x:v>0.7748987875544102</x:v>
      </x:c>
      <x:c r="O15" s="10" t="n">
        <x:f>IF(M15="","",1-M15)</x:f>
        <x:v>0.15616161656734173</x:v>
      </x:c>
      <x:c r="P15" s="10" t="n">
        <x:f>IF(OR(NOT(AND(J15="PASS",'Calibrare_Linii'!U15="VALID")),AK15=0),""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*('Istoric_Nativ'!$Q$6:$Q$405&gt;H15))/AK15)</x:f>
        <x:v>0.1388888888888889</x:v>
      </x:c>
      <x:c r="Q15" s="10" t="n">
        <x:f>IF(OR(NOT(AND(J15="PASS",'Calibrare_Linii'!U15="VALID")),AL15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M6)+((('Istoric_Nativ'!$E$6:$E$405='Input_Meci'!E6)+('Istoric_Nativ'!$F$6:$F$405='Input_Meci'!E6))&gt;0)*('Istoric_Nativ'!$D$6:$D$405&gt;='Motor_Meciuri'!BN6))&gt;0)*('Istoric_Nativ'!$Q$6:$Q$405&gt;H15))/AL15)</x:f>
        <x:v>0.25</x:v>
      </x:c>
      <x:c r="R15" s="10" t="n">
        <x:f>IF(OR(NOT(AND(J15="PASS",'Calibrare_Linii'!U15="VALID")),AM15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O6)+((('Istoric_Nativ'!$E$6:$E$405='Input_Meci'!E6)+('Istoric_Nativ'!$F$6:$F$405='Input_Meci'!E6))&gt;0)*('Istoric_Nativ'!$D$6:$D$405&gt;='Motor_Meciuri'!BP6))&gt;0)*('Istoric_Nativ'!$Q$6:$Q$405&gt;H15))/AM15)</x:f>
        <x:v>0.15</x:v>
      </x:c>
      <x:c r="S15" s="10" t="n">
        <x:f>IF(M15="","",MAX(O15,P15,Q15,R15))</x:f>
        <x:v>0.25</x:v>
      </x:c>
      <x:c r="T15" s="11" t="n">
        <x:f>IF(M15="","",MIN(100,S15*100*'Config_v6'!$B$44+MIN(100,L15/'Config_v6'!$B$13*100)*'Config_v6'!$B$45+(100-'Motor_Meciuri'!BF6)*'Config_v6'!$B$46+'Motor_Meciuri'!BH6*100*'Config_v6'!$B$47))</x:f>
        <x:v>23.256761948670686</x:v>
      </x:c>
      <x:c r="U15" s="2" t="n">
        <x:f>IF(T15="","",IF(T15&lt;=20,1,IF(T15&lt;=40,2,IF(T15&lt;=60,3,IF(T15&lt;=80,4,5)))))</x:f>
        <x:v>2</x:v>
      </x:c>
      <x:c r="V15" s="2" t="n">
        <x:f>IF(M15="","",MAX(0,'Motor_Meciuri'!BF6-IF(W15="OOS PENDING",'Config_v6'!$B$35,0)-IF(L15&gt;'Config_v6'!$B$12,'Config_v6'!$B$37,IF(L15&gt;'Config_v6'!$B$11,'Config_v6'!$B$36,0))))</x:f>
        <x:v>80</x:v>
      </x:c>
      <x:c r="W15" s="2" t="str">
        <x:f>IF(B15="","",IF(I15&lt;&gt;"READY","NOT RELEASED",IF(NOT(AND(J15="PASS",'Calibrare_Linii'!U15="VALID")),"INVALID",IF(NOT(AND('Calibrare_Linii'!S15="VALIDATED",AND('Calibrare_Linii'!H15=C15,ISNUMBER('Calibrare_Linii'!J15),'Calibrare_Linii'!J15&lt;='Input_Meci'!G6))),"OOS PENDING",IF(S15&lt;='Calibrare_Linii'!E15,"PASS",IF(S15&lt;='Calibrare_Linii'!F15,"PENALTY","WATCH"))))))</x:f>
        <x:v>OOS PENDING</x:v>
      </x:c>
      <x:c r="X15" s="2" t="str">
        <x:f>IF(M15="","",IF(AND(AND(J15="PASS",'Calibrare_Linii'!U15="VALID"),'Motor_Meciuri'!K6=12,'Motor_Meciuri'!L6=12,'Motor_Meciuri'!M6="NO",'Motor_Meciuri'!BL6='Motor_Meciuri'!C6,AB15&gt;='Config_v6'!$B$50,AN15&gt;='Config_v6'!$B$51,T15&lt;='Config_v6'!$B$52,L15&lt;='Config_v6'!$B$53,ISNUMBER('Calibrare_Linii'!E15),S15&lt;='Calibrare_Linii'!E15,SUM(AK15:AM15)&gt;0),"CANDIDATE","NO"))</x:f>
        <x:v>NO</x:v>
      </x:c>
      <x:c r="Y15" s="2" t="str">
        <x:f>IF(B15="","",IF(I15&lt;&gt;"READY","NOT RELEASED",IF(AND(X15="CANDIDATE",V15&gt;='Config_v6'!$B$51,W15="PASS",'Calibrare_Linii'!T15="VALIDATED",AND('Calibrare_Linii'!H15=C15,ISNUMBER('Calibrare_Linii'!J15),'Calibrare_Linii'!J15&lt;='Input_Meci'!G6)),"PASS",IF(X15="CANDIDATE","OOS PENDING","FAIL"))))</x:f>
        <x:v>FAIL</x:v>
      </x:c>
      <x:c r="Z15" s="2" t="n">
        <x:f>IF(B15="","",IF(I15&lt;&gt;"READY","",IF(OR(NOT(AND(J15="PASS",'Calibrare_Linii'!U15="VALID")),L15&gt;'Config_v6'!$B$13,W15="WATCH"),5,IF(Y15="PASS",1,MIN(5,MAX('Config_v6'!$B$42,U15)+IF(W15="PENALTY",1,0))))))</x:f>
        <x:v>2</x:v>
      </x:c>
      <x:c r="AA15" s="2" t="str">
        <x:f>IF(B15="","",IF(I15&lt;&gt;"READY","NOT RELEASED",IF(Z15=5,"NO BET",IF(OR(AB15&lt;'Config_v6'!$B$16,V15&lt;'Config_v6'!$B$18),"WATCH",IF(Z15=1,"DEFENSIV",IF(Z15=2,"PRUDENT",IF(Z15=3,"MODERAT","RIDICAT")))))))</x:f>
        <x:v>PRUDENT</x:v>
      </x:c>
      <x:c r="AB15" s="10" t="n">
        <x:f>IF(N15="","",MIN(N15,1-S15))</x:f>
        <x:v>0.75</x:v>
      </x:c>
      <x:c r="AC15" s="2" t="n">
        <x:f>IF(AD15&lt;&gt;1,"",COUNTIFS($Z$6:$Z$19,"&lt;"&amp;Z15,$AD$6:$AD$19,1)+COUNTIFS($Z$6:$Z$19,Z15,$AB$6:$AB$19,"&gt;"&amp;AB15,$AD$6:$AD$19,1)+COUNTIFS($Z$6:$Z$19,Z15,$AB$6:$AB$19,AB15,$V$6:$V$19,"&gt;"&amp;V15,$AD$6:$AD$19,1)+COUNTIFS($Z$6:Z15,Z15,$AB$6:AB15,AB15,$V$6:V15,V15,$AD$6:AD15,1))</x:f>
        <x:v>9</x:v>
      </x:c>
      <x:c r="AD15" s="2" t="n">
        <x:f>IF(OR(AA15="DEFENSIV",AA15="PRUDENT",AA15="MODERAT",AA15="RIDICAT"),1,0)</x:f>
        <x:v>1</x:v>
      </x:c>
      <x:c r="AE15" s="2" t="str">
        <x:f>IF(AD15&lt;&gt;1,"NO",IF(W15="PASS","YES",IF(W15="OOS PENDING","CONDITIONAL","NO")))</x:f>
        <x:v>CONDITIONAL</x:v>
      </x:c>
      <x:c r="AF15" s="2" t="n">
        <x:f>IF(AND(AD15=1,AC15=1,E15="LIVE"),1,0)</x:f>
        <x:v>0</x:v>
      </x:c>
      <x:c r="AG15" s="2" t="str">
        <x:f>IF(AF15&lt;&gt;1,"",'Dashboard'!P26)</x:f>
      </x:c>
      <x:c r="AH15" s="2" t="str">
        <x:f>IF(B15="","",IF(J15&lt;&gt;"PASS",'Motor_Meciuri'!J6,IF('Calibrare_Linii'!U15&lt;&gt;"VALID","Parametri linie invalizi",IF(L15&gt;'Config_v6'!$B$13,"Dispersie peste limita",IF(W15="WATCH","Failure peste limita",IF(AB15&lt;'Config_v6'!$B$16,"P finala sub prag",IF(V15&lt;'Config_v6'!$B$18,"Confidence sub prag",IF(E15="REPLAY","Exemplu retrospectiv; exclus din Top LIVE",IF(Y15="PASS","DEFENSIV validat",IF(W15="OOS PENDING","Eligibil; calibrare linie in monitorizare","Eligibil"))))))))))</x:f>
        <x:v>Exemplu retrospectiv; exclus din Top LIVE</x:v>
      </x:c>
      <x:c r="AI15" s="2" t="str">
        <x:f>IF(B15="","",'Calibrare_Linii'!V15)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13,5|1.000000|NA|NA</x:v>
      </x:c>
      <x:c r="AJ15" s="2" t="str">
        <x:f>IF(B15="","",IF(AND('Calibrare_Linii'!T15="VALIDATED",AND('Calibrare_Linii'!H15=C15,ISNUMBER('Calibrare_Linii'!J15),'Calibrare_Linii'!J15&lt;='Input_Meci'!G6)),"DEFENSIVE VALIDATED",IF(AND('Calibrare_Linii'!S15="VALIDATED",AND('Calibrare_Linii'!H15=C15,ISNUMBER('Calibrare_Linii'!J15),'Calibrare_Linii'!J15&lt;='Input_Meci'!G6)),"TAIL VALIDATED","OOS PENDING")))</x:f>
        <x:v>OOS PENDING</x:v>
      </x:c>
      <x:c r="AK15" s="2" t="n">
        <x:f>IF(J15&lt;&gt;"PASS",0,'Motor_Meciuri'!BR6)</x:f>
        <x:v>36</x:v>
      </x:c>
      <x:c r="AL15" s="2" t="n">
        <x:f>IF(J15&lt;&gt;"PASS",0,'Motor_Meciuri'!BS6)</x:f>
        <x:v>20</x:v>
      </x:c>
      <x:c r="AM15" s="2" t="n">
        <x:f>IF(J15&lt;&gt;"PASS",0,'Motor_Meciuri'!BT6)</x:f>
        <x:v>40</x:v>
      </x:c>
      <x:c r="AN15" s="2" t="n">
        <x:f>IF(M15="","",MAX(0,'Motor_Meciuri'!BF6-IF(L15&gt;'Config_v6'!$B$12,'Config_v6'!$B$37,IF(L15&gt;'Config_v6'!$B$11,'Config_v6'!$B$36,0))))</x:f>
        <x:v>90</x:v>
      </x:c>
    </x:row>
    <x:row r="16" ht="21" customHeight="1">
      <x:c r="A16" s="2" t="n">
        <x:v>1</x:v>
      </x:c>
      <x:c r="B16" s="2" t="str">
        <x:f>IF('Motor_Meciuri'!A6="","",'Motor_Meciuri'!A6)</x:f>
        <x:v>REPLAY_1</x:v>
      </x:c>
      <x:c r="C16" s="2" t="str">
        <x:f>IF(B16="","",'Motor_Meciuri'!B6)</x:f>
        <x:v>E0</x:v>
      </x:c>
      <x:c r="D16" s="2" t="str">
        <x:f>IF(B16="","",'Motor_Meciuri'!D6)</x:f>
        <x:v>Brighton – Man United</x:v>
      </x:c>
      <x:c r="E16" s="2" t="str">
        <x:f>IF(B16="","",'Motor_Meciuri'!E6)</x:f>
        <x:v>REPLAY</x:v>
      </x:c>
      <x:c r="F16" s="2" t="str">
        <x:v>U14,5</x:v>
      </x:c>
      <x:c r="G16" s="2" t="str">
        <x:v>UNDER</x:v>
      </x:c>
      <x:c r="H16" s="2" t="n">
        <x:v>14</x:v>
      </x:c>
      <x:c r="I16" s="2" t="str">
        <x:f>IF(B16="","",'Motor_Meciuri'!H6)</x:f>
        <x:v>READY</x:v>
      </x:c>
      <x:c r="J16" s="2" t="str">
        <x:f>IF(B16="","",'Motor_Meciuri'!I6)</x:f>
        <x:v>PASS</x:v>
      </x:c>
      <x:c r="K16" s="11" t="n">
        <x:f>IF(J16&lt;&gt;"PASS","",'Motor_Meciuri'!BD6)</x:f>
        <x:v>10.27195945945946</x:v>
      </x:c>
      <x:c r="L16" s="11" t="n">
        <x:f>IF(J16&lt;&gt;"PASS","",'Motor_Meciuri'!AU6)</x:f>
        <x:v>0.9007607192254518</x:v>
      </x:c>
      <x:c r="M16" s="10" t="n">
        <x:f>IF(NOT(AND(J16="PASS",'Calibrare_Linii'!U16="VALID")),"",'Distributie'!AL6)</x:f>
        <x:v>0.9016057393773835</x:v>
      </x:c>
      <x:c r="N16" s="10" t="n">
        <x:f>IF(M16="","",MAX(0.01,MIN(0.99,0.5+(M16-0.5)*'Motor_Meciuri'!BG6*'Calibrare_Linii'!D16)))</x:f>
        <x:v>0.8210837886322182</x:v>
      </x:c>
      <x:c r="O16" s="10" t="n">
        <x:f>IF(M16="","",1-M16)</x:f>
        <x:v>0.09839426062261647</x:v>
      </x:c>
      <x:c r="P16" s="10" t="n">
        <x:f>IF(OR(NOT(AND(J16="PASS",'Calibrare_Linii'!U16="VALID")),AK16=0),""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*('Istoric_Nativ'!$Q$6:$Q$405&gt;H16))/AK16)</x:f>
        <x:v>0.1111111111111111</x:v>
      </x:c>
      <x:c r="Q16" s="10" t="n">
        <x:f>IF(OR(NOT(AND(J16="PASS",'Calibrare_Linii'!U16="VALID")),AL16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M6)+((('Istoric_Nativ'!$E$6:$E$405='Input_Meci'!E6)+('Istoric_Nativ'!$F$6:$F$405='Input_Meci'!E6))&gt;0)*('Istoric_Nativ'!$D$6:$D$405&gt;='Motor_Meciuri'!BN6))&gt;0)*('Istoric_Nativ'!$Q$6:$Q$405&gt;H16))/AL16)</x:f>
        <x:v>0.2</x:v>
      </x:c>
      <x:c r="R16" s="10" t="n">
        <x:f>IF(OR(NOT(AND(J16="PASS",'Calibrare_Linii'!U16="VALID")),AM16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O6)+((('Istoric_Nativ'!$E$6:$E$405='Input_Meci'!E6)+('Istoric_Nativ'!$F$6:$F$405='Input_Meci'!E6))&gt;0)*('Istoric_Nativ'!$D$6:$D$405&gt;='Motor_Meciuri'!BP6))&gt;0)*('Istoric_Nativ'!$Q$6:$Q$405&gt;H16))/AM16)</x:f>
        <x:v>0.125</x:v>
      </x:c>
      <x:c r="S16" s="10" t="n">
        <x:f>IF(M16="","",MAX(O16,P16,Q16,R16))</x:f>
        <x:v>0.2</x:v>
      </x:c>
      <x:c r="T16" s="11" t="n">
        <x:f>IF(M16="","",MIN(100,S16*100*'Config_v6'!$B$44+MIN(100,L16/'Config_v6'!$B$13*100)*'Config_v6'!$B$45+(100-'Motor_Meciuri'!BF6)*'Config_v6'!$B$46+'Motor_Meciuri'!BH6*100*'Config_v6'!$B$47))</x:f>
        <x:v>20.506761948670682</x:v>
      </x:c>
      <x:c r="U16" s="2" t="n">
        <x:f>IF(T16="","",IF(T16&lt;=20,1,IF(T16&lt;=40,2,IF(T16&lt;=60,3,IF(T16&lt;=80,4,5)))))</x:f>
        <x:v>2</x:v>
      </x:c>
      <x:c r="V16" s="2" t="n">
        <x:f>IF(M16="","",MAX(0,'Motor_Meciuri'!BF6-IF(W16="OOS PENDING",'Config_v6'!$B$35,0)-IF(L16&gt;'Config_v6'!$B$12,'Config_v6'!$B$37,IF(L16&gt;'Config_v6'!$B$11,'Config_v6'!$B$36,0))))</x:f>
        <x:v>80</x:v>
      </x:c>
      <x:c r="W16" s="2" t="str">
        <x:f>IF(B16="","",IF(I16&lt;&gt;"READY","NOT RELEASED",IF(NOT(AND(J16="PASS",'Calibrare_Linii'!U16="VALID")),"INVALID",IF(NOT(AND('Calibrare_Linii'!S16="VALIDATED",AND('Calibrare_Linii'!H16=C16,ISNUMBER('Calibrare_Linii'!J16),'Calibrare_Linii'!J16&lt;='Input_Meci'!G6))),"OOS PENDING",IF(S16&lt;='Calibrare_Linii'!E16,"PASS",IF(S16&lt;='Calibrare_Linii'!F16,"PENALTY","WATCH"))))))</x:f>
        <x:v>OOS PENDING</x:v>
      </x:c>
      <x:c r="X16" s="2" t="str">
        <x:f>IF(M16="","",IF(AND(AND(J16="PASS",'Calibrare_Linii'!U16="VALID"),'Motor_Meciuri'!K6=12,'Motor_Meciuri'!L6=12,'Motor_Meciuri'!M6="NO",'Motor_Meciuri'!BL6='Motor_Meciuri'!C6,AB16&gt;='Config_v6'!$B$50,AN16&gt;='Config_v6'!$B$51,T16&lt;='Config_v6'!$B$52,L16&lt;='Config_v6'!$B$53,ISNUMBER('Calibrare_Linii'!E16),S16&lt;='Calibrare_Linii'!E16,SUM(AK16:AM16)&gt;0),"CANDIDATE","NO"))</x:f>
        <x:v>NO</x:v>
      </x:c>
      <x:c r="Y16" s="2" t="str">
        <x:f>IF(B16="","",IF(I16&lt;&gt;"READY","NOT RELEASED",IF(AND(X16="CANDIDATE",V16&gt;='Config_v6'!$B$51,W16="PASS",'Calibrare_Linii'!T16="VALIDATED",AND('Calibrare_Linii'!H16=C16,ISNUMBER('Calibrare_Linii'!J16),'Calibrare_Linii'!J16&lt;='Input_Meci'!G6)),"PASS",IF(X16="CANDIDATE","OOS PENDING","FAIL"))))</x:f>
        <x:v>FAIL</x:v>
      </x:c>
      <x:c r="Z16" s="2" t="n">
        <x:f>IF(B16="","",IF(I16&lt;&gt;"READY","",IF(OR(NOT(AND(J16="PASS",'Calibrare_Linii'!U16="VALID")),L16&gt;'Config_v6'!$B$13,W16="WATCH"),5,IF(Y16="PASS",1,MIN(5,MAX('Config_v6'!$B$42,U16)+IF(W16="PENALTY",1,0))))))</x:f>
        <x:v>2</x:v>
      </x:c>
      <x:c r="AA16" s="2" t="str">
        <x:f>IF(B16="","",IF(I16&lt;&gt;"READY","NOT RELEASED",IF(Z16=5,"NO BET",IF(OR(AB16&lt;'Config_v6'!$B$16,V16&lt;'Config_v6'!$B$18),"WATCH",IF(Z16=1,"DEFENSIV",IF(Z16=2,"PRUDENT",IF(Z16=3,"MODERAT","RIDICAT")))))))</x:f>
        <x:v>PRUDENT</x:v>
      </x:c>
      <x:c r="AB16" s="10" t="n">
        <x:f>IF(N16="","",MIN(N16,1-S16))</x:f>
        <x:v>0.8</x:v>
      </x:c>
      <x:c r="AC16" s="2" t="n">
        <x:f>IF(AD16&lt;&gt;1,"",COUNTIFS($Z$6:$Z$19,"&lt;"&amp;Z16,$AD$6:$AD$19,1)+COUNTIFS($Z$6:$Z$19,Z16,$AB$6:$AB$19,"&gt;"&amp;AB16,$AD$6:$AD$19,1)+COUNTIFS($Z$6:$Z$19,Z16,$AB$6:$AB$19,AB16,$V$6:$V$19,"&gt;"&amp;V16,$AD$6:$AD$19,1)+COUNTIFS($Z$6:Z16,Z16,$AB$6:AB16,AB16,$V$6:V16,V16,$AD$6:AD16,1))</x:f>
        <x:v>8</x:v>
      </x:c>
      <x:c r="AD16" s="2" t="n">
        <x:f>IF(OR(AA16="DEFENSIV",AA16="PRUDENT",AA16="MODERAT",AA16="RIDICAT"),1,0)</x:f>
        <x:v>1</x:v>
      </x:c>
      <x:c r="AE16" s="2" t="str">
        <x:f>IF(AD16&lt;&gt;1,"NO",IF(W16="PASS","YES",IF(W16="OOS PENDING","CONDITIONAL","NO")))</x:f>
        <x:v>CONDITIONAL</x:v>
      </x:c>
      <x:c r="AF16" s="2" t="n">
        <x:f>IF(AND(AD16=1,AC16=1,E16="LIVE"),1,0)</x:f>
        <x:v>0</x:v>
      </x:c>
      <x:c r="AG16" s="2" t="str">
        <x:f>IF(AF16&lt;&gt;1,"",'Dashboard'!P26)</x:f>
      </x:c>
      <x:c r="AH16" s="2" t="str">
        <x:f>IF(B16="","",IF(J16&lt;&gt;"PASS",'Motor_Meciuri'!J6,IF('Calibrare_Linii'!U16&lt;&gt;"VALID","Parametri linie invalizi",IF(L16&gt;'Config_v6'!$B$13,"Dispersie peste limita",IF(W16="WATCH","Failure peste limita",IF(AB16&lt;'Config_v6'!$B$16,"P finala sub prag",IF(V16&lt;'Config_v6'!$B$18,"Confidence sub prag",IF(E16="REPLAY","Exemplu retrospectiv; exclus din Top LIVE",IF(Y16="PASS","DEFENSIV validat",IF(W16="OOS PENDING","Eligibil; calibrare linie in monitorizare","Eligibil"))))))))))</x:f>
        <x:v>Exemplu retrospectiv; exclus din Top LIVE</x:v>
      </x:c>
      <x:c r="AI16" s="2" t="str">
        <x:f>IF(B16="","",'Calibrare_Linii'!V16)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14,5|1.000000|NA|NA</x:v>
      </x:c>
      <x:c r="AJ16" s="2" t="str">
        <x:f>IF(B16="","",IF(AND('Calibrare_Linii'!T16="VALIDATED",AND('Calibrare_Linii'!H16=C16,ISNUMBER('Calibrare_Linii'!J16),'Calibrare_Linii'!J16&lt;='Input_Meci'!G6)),"DEFENSIVE VALIDATED",IF(AND('Calibrare_Linii'!S16="VALIDATED",AND('Calibrare_Linii'!H16=C16,ISNUMBER('Calibrare_Linii'!J16),'Calibrare_Linii'!J16&lt;='Input_Meci'!G6)),"TAIL VALIDATED","OOS PENDING")))</x:f>
        <x:v>OOS PENDING</x:v>
      </x:c>
      <x:c r="AK16" s="2" t="n">
        <x:f>IF(J16&lt;&gt;"PASS",0,'Motor_Meciuri'!BR6)</x:f>
        <x:v>36</x:v>
      </x:c>
      <x:c r="AL16" s="2" t="n">
        <x:f>IF(J16&lt;&gt;"PASS",0,'Motor_Meciuri'!BS6)</x:f>
        <x:v>20</x:v>
      </x:c>
      <x:c r="AM16" s="2" t="n">
        <x:f>IF(J16&lt;&gt;"PASS",0,'Motor_Meciuri'!BT6)</x:f>
        <x:v>40</x:v>
      </x:c>
      <x:c r="AN16" s="2" t="n">
        <x:f>IF(M16="","",MAX(0,'Motor_Meciuri'!BF6-IF(L16&gt;'Config_v6'!$B$12,'Config_v6'!$B$37,IF(L16&gt;'Config_v6'!$B$11,'Config_v6'!$B$36,0))))</x:f>
        <x:v>90</x:v>
      </x:c>
    </x:row>
    <x:row r="17" ht="21" customHeight="1">
      <x:c r="A17" s="2" t="n">
        <x:v>1</x:v>
      </x:c>
      <x:c r="B17" s="2" t="str">
        <x:f>IF('Motor_Meciuri'!A6="","",'Motor_Meciuri'!A6)</x:f>
        <x:v>REPLAY_1</x:v>
      </x:c>
      <x:c r="C17" s="2" t="str">
        <x:f>IF(B17="","",'Motor_Meciuri'!B6)</x:f>
        <x:v>E0</x:v>
      </x:c>
      <x:c r="D17" s="2" t="str">
        <x:f>IF(B17="","",'Motor_Meciuri'!D6)</x:f>
        <x:v>Brighton – Man United</x:v>
      </x:c>
      <x:c r="E17" s="2" t="str">
        <x:f>IF(B17="","",'Motor_Meciuri'!E6)</x:f>
        <x:v>REPLAY</x:v>
      </x:c>
      <x:c r="F17" s="2" t="str">
        <x:v>U15,5</x:v>
      </x:c>
      <x:c r="G17" s="2" t="str">
        <x:v>UNDER</x:v>
      </x:c>
      <x:c r="H17" s="2" t="n">
        <x:v>15</x:v>
      </x:c>
      <x:c r="I17" s="2" t="str">
        <x:f>IF(B17="","",'Motor_Meciuri'!H6)</x:f>
        <x:v>READY</x:v>
      </x:c>
      <x:c r="J17" s="2" t="str">
        <x:f>IF(B17="","",'Motor_Meciuri'!I6)</x:f>
        <x:v>PASS</x:v>
      </x:c>
      <x:c r="K17" s="11" t="n">
        <x:f>IF(J17&lt;&gt;"PASS","",'Motor_Meciuri'!BD6)</x:f>
        <x:v>10.27195945945946</x:v>
      </x:c>
      <x:c r="L17" s="11" t="n">
        <x:f>IF(J17&lt;&gt;"PASS","",'Motor_Meciuri'!AU6)</x:f>
        <x:v>0.9007607192254518</x:v>
      </x:c>
      <x:c r="M17" s="10" t="n">
        <x:f>IF(NOT(AND(J17="PASS",'Calibrare_Linii'!U17="VALID")),"",'Distributie'!AM6)</x:f>
        <x:v>0.9411646686003423</x:v>
      </x:c>
      <x:c r="N17" s="10" t="n">
        <x:f>IF(M17="","",MAX(0.01,MIN(0.99,0.5+(M17-0.5)*'Motor_Meciuri'!BG6*'Calibrare_Linii'!D17)))</x:f>
        <x:v>0.8527111525459736</x:v>
      </x:c>
      <x:c r="O17" s="10" t="n">
        <x:f>IF(M17="","",1-M17)</x:f>
        <x:v>0.05883533139965769</x:v>
      </x:c>
      <x:c r="P17" s="10" t="n">
        <x:f>IF(OR(NOT(AND(J17="PASS",'Calibrare_Linii'!U17="VALID")),AK17=0),""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*('Istoric_Nativ'!$Q$6:$Q$405&gt;H17))/AK17)</x:f>
        <x:v>0.05555555555555555</x:v>
      </x:c>
      <x:c r="Q17" s="10" t="n">
        <x:f>IF(OR(NOT(AND(J17="PASS",'Calibrare_Linii'!U17="VALID")),AL17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M6)+((('Istoric_Nativ'!$E$6:$E$405='Input_Meci'!E6)+('Istoric_Nativ'!$F$6:$F$405='Input_Meci'!E6))&gt;0)*('Istoric_Nativ'!$D$6:$D$405&gt;='Motor_Meciuri'!BN6))&gt;0)*('Istoric_Nativ'!$Q$6:$Q$405&gt;H17))/AL17)</x:f>
        <x:v>0</x:v>
      </x:c>
      <x:c r="R17" s="10" t="n">
        <x:f>IF(OR(NOT(AND(J17="PASS",'Calibrare_Linii'!U17="VALID")),AM17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O6)+((('Istoric_Nativ'!$E$6:$E$405='Input_Meci'!E6)+('Istoric_Nativ'!$F$6:$F$405='Input_Meci'!E6))&gt;0)*('Istoric_Nativ'!$D$6:$D$405&gt;='Motor_Meciuri'!BP6))&gt;0)*('Istoric_Nativ'!$Q$6:$Q$405&gt;H17))/AM17)</x:f>
        <x:v>0.025</x:v>
      </x:c>
      <x:c r="S17" s="10" t="n">
        <x:f>IF(M17="","",MAX(O17,P17,Q17,R17))</x:f>
        <x:v>0.05883533139965769</x:v>
      </x:c>
      <x:c r="T17" s="11" t="n">
        <x:f>IF(M17="","",MIN(100,S17*100*'Config_v6'!$B$44+MIN(100,L17/'Config_v6'!$B$13*100)*'Config_v6'!$B$45+(100-'Motor_Meciuri'!BF6)*'Config_v6'!$B$46+'Motor_Meciuri'!BH6*100*'Config_v6'!$B$47))</x:f>
        <x:v>12.742705175651857</x:v>
      </x:c>
      <x:c r="U17" s="2" t="n">
        <x:f>IF(T17="","",IF(T17&lt;=20,1,IF(T17&lt;=40,2,IF(T17&lt;=60,3,IF(T17&lt;=80,4,5)))))</x:f>
        <x:v>1</x:v>
      </x:c>
      <x:c r="V17" s="2" t="n">
        <x:f>IF(M17="","",MAX(0,'Motor_Meciuri'!BF6-IF(W17="OOS PENDING",'Config_v6'!$B$35,0)-IF(L17&gt;'Config_v6'!$B$12,'Config_v6'!$B$37,IF(L17&gt;'Config_v6'!$B$11,'Config_v6'!$B$36,0))))</x:f>
        <x:v>80</x:v>
      </x:c>
      <x:c r="W17" s="2" t="str">
        <x:f>IF(B17="","",IF(I17&lt;&gt;"READY","NOT RELEASED",IF(NOT(AND(J17="PASS",'Calibrare_Linii'!U17="VALID")),"INVALID",IF(NOT(AND('Calibrare_Linii'!S17="VALIDATED",AND('Calibrare_Linii'!H17=C17,ISNUMBER('Calibrare_Linii'!J17),'Calibrare_Linii'!J17&lt;='Input_Meci'!G6))),"OOS PENDING",IF(S17&lt;='Calibrare_Linii'!E17,"PASS",IF(S17&lt;='Calibrare_Linii'!F17,"PENALTY","WATCH"))))))</x:f>
        <x:v>OOS PENDING</x:v>
      </x:c>
      <x:c r="X17" s="2" t="str">
        <x:f>IF(M17="","",IF(AND(AND(J17="PASS",'Calibrare_Linii'!U17="VALID"),'Motor_Meciuri'!K6=12,'Motor_Meciuri'!L6=12,'Motor_Meciuri'!M6="NO",'Motor_Meciuri'!BL6='Motor_Meciuri'!C6,AB17&gt;='Config_v6'!$B$50,AN17&gt;='Config_v6'!$B$51,T17&lt;='Config_v6'!$B$52,L17&lt;='Config_v6'!$B$53,ISNUMBER('Calibrare_Linii'!E17),S17&lt;='Calibrare_Linii'!E17,SUM(AK17:AM17)&gt;0),"CANDIDATE","NO"))</x:f>
        <x:v>NO</x:v>
      </x:c>
      <x:c r="Y17" s="2" t="str">
        <x:f>IF(B17="","",IF(I17&lt;&gt;"READY","NOT RELEASED",IF(AND(X17="CANDIDATE",V17&gt;='Config_v6'!$B$51,W17="PASS",'Calibrare_Linii'!T17="VALIDATED",AND('Calibrare_Linii'!H17=C17,ISNUMBER('Calibrare_Linii'!J17),'Calibrare_Linii'!J17&lt;='Input_Meci'!G6)),"PASS",IF(X17="CANDIDATE","OOS PENDING","FAIL"))))</x:f>
        <x:v>FAIL</x:v>
      </x:c>
      <x:c r="Z17" s="2" t="n">
        <x:f>IF(B17="","",IF(I17&lt;&gt;"READY","",IF(OR(NOT(AND(J17="PASS",'Calibrare_Linii'!U17="VALID")),L17&gt;'Config_v6'!$B$13,W17="WATCH"),5,IF(Y17="PASS",1,MIN(5,MAX('Config_v6'!$B$42,U17)+IF(W17="PENALTY",1,0))))))</x:f>
        <x:v>2</x:v>
      </x:c>
      <x:c r="AA17" s="2" t="str">
        <x:f>IF(B17="","",IF(I17&lt;&gt;"READY","NOT RELEASED",IF(Z17=5,"NO BET",IF(OR(AB17&lt;'Config_v6'!$B$16,V17&lt;'Config_v6'!$B$18),"WATCH",IF(Z17=1,"DEFENSIV",IF(Z17=2,"PRUDENT",IF(Z17=3,"MODERAT","RIDICAT")))))))</x:f>
        <x:v>PRUDENT</x:v>
      </x:c>
      <x:c r="AB17" s="10" t="n">
        <x:f>IF(N17="","",MIN(N17,1-S17))</x:f>
        <x:v>0.8527111525459736</x:v>
      </x:c>
      <x:c r="AC17" s="2" t="n">
        <x:f>IF(AD17&lt;&gt;1,"",COUNTIFS($Z$6:$Z$19,"&lt;"&amp;Z17,$AD$6:$AD$19,1)+COUNTIFS($Z$6:$Z$19,Z17,$AB$6:$AB$19,"&gt;"&amp;AB17,$AD$6:$AD$19,1)+COUNTIFS($Z$6:$Z$19,Z17,$AB$6:$AB$19,AB17,$V$6:$V$19,"&gt;"&amp;V17,$AD$6:$AD$19,1)+COUNTIFS($Z$6:Z17,Z17,$AB$6:AB17,AB17,$V$6:V17,V17,$AD$6:AD17,1))</x:f>
        <x:v>6</x:v>
      </x:c>
      <x:c r="AD17" s="2" t="n">
        <x:f>IF(OR(AA17="DEFENSIV",AA17="PRUDENT",AA17="MODERAT",AA17="RIDICAT"),1,0)</x:f>
        <x:v>1</x:v>
      </x:c>
      <x:c r="AE17" s="2" t="str">
        <x:f>IF(AD17&lt;&gt;1,"NO",IF(W17="PASS","YES",IF(W17="OOS PENDING","CONDITIONAL","NO")))</x:f>
        <x:v>CONDITIONAL</x:v>
      </x:c>
      <x:c r="AF17" s="2" t="n">
        <x:f>IF(AND(AD17=1,AC17=1,E17="LIVE"),1,0)</x:f>
        <x:v>0</x:v>
      </x:c>
      <x:c r="AG17" s="2" t="str">
        <x:f>IF(AF17&lt;&gt;1,"",'Dashboard'!P26)</x:f>
      </x:c>
      <x:c r="AH17" s="2" t="str">
        <x:f>IF(B17="","",IF(J17&lt;&gt;"PASS",'Motor_Meciuri'!J6,IF('Calibrare_Linii'!U17&lt;&gt;"VALID","Parametri linie invalizi",IF(L17&gt;'Config_v6'!$B$13,"Dispersie peste limita",IF(W17="WATCH","Failure peste limita",IF(AB17&lt;'Config_v6'!$B$16,"P finala sub prag",IF(V17&lt;'Config_v6'!$B$18,"Confidence sub prag",IF(E17="REPLAY","Exemplu retrospectiv; exclus din Top LIVE",IF(Y17="PASS","DEFENSIV validat",IF(W17="OOS PENDING","Eligibil; calibrare linie in monitorizare","Eligibil"))))))))))</x:f>
        <x:v>Exemplu retrospectiv; exclus din Top LIVE</x:v>
      </x:c>
      <x:c r="AI17" s="2" t="str">
        <x:f>IF(B17="","",'Calibrare_Linii'!V17)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15,5|1.000000|NA|NA</x:v>
      </x:c>
      <x:c r="AJ17" s="2" t="str">
        <x:f>IF(B17="","",IF(AND('Calibrare_Linii'!T17="VALIDATED",AND('Calibrare_Linii'!H17=C17,ISNUMBER('Calibrare_Linii'!J17),'Calibrare_Linii'!J17&lt;='Input_Meci'!G6)),"DEFENSIVE VALIDATED",IF(AND('Calibrare_Linii'!S17="VALIDATED",AND('Calibrare_Linii'!H17=C17,ISNUMBER('Calibrare_Linii'!J17),'Calibrare_Linii'!J17&lt;='Input_Meci'!G6)),"TAIL VALIDATED","OOS PENDING")))</x:f>
        <x:v>OOS PENDING</x:v>
      </x:c>
      <x:c r="AK17" s="2" t="n">
        <x:f>IF(J17&lt;&gt;"PASS",0,'Motor_Meciuri'!BR6)</x:f>
        <x:v>36</x:v>
      </x:c>
      <x:c r="AL17" s="2" t="n">
        <x:f>IF(J17&lt;&gt;"PASS",0,'Motor_Meciuri'!BS6)</x:f>
        <x:v>20</x:v>
      </x:c>
      <x:c r="AM17" s="2" t="n">
        <x:f>IF(J17&lt;&gt;"PASS",0,'Motor_Meciuri'!BT6)</x:f>
        <x:v>40</x:v>
      </x:c>
      <x:c r="AN17" s="2" t="n">
        <x:f>IF(M17="","",MAX(0,'Motor_Meciuri'!BF6-IF(L17&gt;'Config_v6'!$B$12,'Config_v6'!$B$37,IF(L17&gt;'Config_v6'!$B$11,'Config_v6'!$B$36,0))))</x:f>
        <x:v>90</x:v>
      </x:c>
    </x:row>
    <x:row r="18" ht="21" customHeight="1">
      <x:c r="A18" s="2" t="n">
        <x:v>1</x:v>
      </x:c>
      <x:c r="B18" s="2" t="str">
        <x:f>IF('Motor_Meciuri'!A6="","",'Motor_Meciuri'!A6)</x:f>
        <x:v>REPLAY_1</x:v>
      </x:c>
      <x:c r="C18" s="2" t="str">
        <x:f>IF(B18="","",'Motor_Meciuri'!B6)</x:f>
        <x:v>E0</x:v>
      </x:c>
      <x:c r="D18" s="2" t="str">
        <x:f>IF(B18="","",'Motor_Meciuri'!D6)</x:f>
        <x:v>Brighton – Man United</x:v>
      </x:c>
      <x:c r="E18" s="2" t="str">
        <x:f>IF(B18="","",'Motor_Meciuri'!E6)</x:f>
        <x:v>REPLAY</x:v>
      </x:c>
      <x:c r="F18" s="2" t="str">
        <x:v>U16,5</x:v>
      </x:c>
      <x:c r="G18" s="2" t="str">
        <x:v>UNDER</x:v>
      </x:c>
      <x:c r="H18" s="2" t="n">
        <x:v>16</x:v>
      </x:c>
      <x:c r="I18" s="2" t="str">
        <x:f>IF(B18="","",'Motor_Meciuri'!H6)</x:f>
        <x:v>READY</x:v>
      </x:c>
      <x:c r="J18" s="2" t="str">
        <x:f>IF(B18="","",'Motor_Meciuri'!I6)</x:f>
        <x:v>PASS</x:v>
      </x:c>
      <x:c r="K18" s="11" t="n">
        <x:f>IF(J18&lt;&gt;"PASS","",'Motor_Meciuri'!BD6)</x:f>
        <x:v>10.27195945945946</x:v>
      </x:c>
      <x:c r="L18" s="11" t="n">
        <x:f>IF(J18&lt;&gt;"PASS","",'Motor_Meciuri'!AU6)</x:f>
        <x:v>0.9007607192254518</x:v>
      </x:c>
      <x:c r="M18" s="10" t="n">
        <x:f>IF(NOT(AND(J18="PASS",'Calibrare_Linii'!U18="VALID")),"",'Distributie'!AN6)</x:f>
        <x:v>0.9665614009277085</x:v>
      </x:c>
      <x:c r="N18" s="10" t="n">
        <x:f>IF(M18="","",MAX(0.01,MIN(0.99,0.5+(M18-0.5)*'Motor_Meciuri'!BG6*'Calibrare_Linii'!D18)))</x:f>
        <x:v>0.873015840041703</x:v>
      </x:c>
      <x:c r="O18" s="10" t="n">
        <x:f>IF(M18="","",1-M18)</x:f>
        <x:v>0.03343859907229152</x:v>
      </x:c>
      <x:c r="P18" s="10" t="n">
        <x:f>IF(OR(NOT(AND(J18="PASS",'Calibrare_Linii'!U18="VALID")),AK18=0),""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*('Istoric_Nativ'!$Q$6:$Q$405&gt;H18))/AK18)</x:f>
        <x:v>0.027777777777777776</x:v>
      </x:c>
      <x:c r="Q18" s="10" t="n">
        <x:f>IF(OR(NOT(AND(J18="PASS",'Calibrare_Linii'!U18="VALID")),AL18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M6)+((('Istoric_Nativ'!$E$6:$E$405='Input_Meci'!E6)+('Istoric_Nativ'!$F$6:$F$405='Input_Meci'!E6))&gt;0)*('Istoric_Nativ'!$D$6:$D$405&gt;='Motor_Meciuri'!BN6))&gt;0)*('Istoric_Nativ'!$Q$6:$Q$405&gt;H18))/AL18)</x:f>
        <x:v>0</x:v>
      </x:c>
      <x:c r="R18" s="10" t="n">
        <x:f>IF(OR(NOT(AND(J18="PASS",'Calibrare_Linii'!U18="VALID")),AM18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O6)+((('Istoric_Nativ'!$E$6:$E$405='Input_Meci'!E6)+('Istoric_Nativ'!$F$6:$F$405='Input_Meci'!E6))&gt;0)*('Istoric_Nativ'!$D$6:$D$405&gt;='Motor_Meciuri'!BP6))&gt;0)*('Istoric_Nativ'!$Q$6:$Q$405&gt;H18))/AM18)</x:f>
        <x:v>0.025</x:v>
      </x:c>
      <x:c r="S18" s="10" t="n">
        <x:f>IF(M18="","",MAX(O18,P18,Q18,R18))</x:f>
        <x:v>0.03343859907229152</x:v>
      </x:c>
      <x:c r="T18" s="11" t="n">
        <x:f>IF(M18="","",MIN(100,S18*100*'Config_v6'!$B$44+MIN(100,L18/'Config_v6'!$B$13*100)*'Config_v6'!$B$45+(100-'Motor_Meciuri'!BF6)*'Config_v6'!$B$46+'Motor_Meciuri'!BH6*100*'Config_v6'!$B$47))</x:f>
        <x:v>11.345884897646716</x:v>
      </x:c>
      <x:c r="U18" s="2" t="n">
        <x:f>IF(T18="","",IF(T18&lt;=20,1,IF(T18&lt;=40,2,IF(T18&lt;=60,3,IF(T18&lt;=80,4,5)))))</x:f>
        <x:v>1</x:v>
      </x:c>
      <x:c r="V18" s="2" t="n">
        <x:f>IF(M18="","",MAX(0,'Motor_Meciuri'!BF6-IF(W18="OOS PENDING",'Config_v6'!$B$35,0)-IF(L18&gt;'Config_v6'!$B$12,'Config_v6'!$B$37,IF(L18&gt;'Config_v6'!$B$11,'Config_v6'!$B$36,0))))</x:f>
        <x:v>80</x:v>
      </x:c>
      <x:c r="W18" s="2" t="str">
        <x:f>IF(B18="","",IF(I18&lt;&gt;"READY","NOT RELEASED",IF(NOT(AND(J18="PASS",'Calibrare_Linii'!U18="VALID")),"INVALID",IF(NOT(AND('Calibrare_Linii'!S18="VALIDATED",AND('Calibrare_Linii'!H18=C18,ISNUMBER('Calibrare_Linii'!J18),'Calibrare_Linii'!J18&lt;='Input_Meci'!G6))),"OOS PENDING",IF(S18&lt;='Calibrare_Linii'!E18,"PASS",IF(S18&lt;='Calibrare_Linii'!F18,"PENALTY","WATCH"))))))</x:f>
        <x:v>OOS PENDING</x:v>
      </x:c>
      <x:c r="X18" s="2" t="str">
        <x:f>IF(M18="","",IF(AND(AND(J18="PASS",'Calibrare_Linii'!U18="VALID"),'Motor_Meciuri'!K6=12,'Motor_Meciuri'!L6=12,'Motor_Meciuri'!M6="NO",'Motor_Meciuri'!BL6='Motor_Meciuri'!C6,AB18&gt;='Config_v6'!$B$50,AN18&gt;='Config_v6'!$B$51,T18&lt;='Config_v6'!$B$52,L18&lt;='Config_v6'!$B$53,ISNUMBER('Calibrare_Linii'!E18),S18&lt;='Calibrare_Linii'!E18,SUM(AK18:AM18)&gt;0),"CANDIDATE","NO"))</x:f>
        <x:v>NO</x:v>
      </x:c>
      <x:c r="Y18" s="2" t="str">
        <x:f>IF(B18="","",IF(I18&lt;&gt;"READY","NOT RELEASED",IF(AND(X18="CANDIDATE",V18&gt;='Config_v6'!$B$51,W18="PASS",'Calibrare_Linii'!T18="VALIDATED",AND('Calibrare_Linii'!H18=C18,ISNUMBER('Calibrare_Linii'!J18),'Calibrare_Linii'!J18&lt;='Input_Meci'!G6)),"PASS",IF(X18="CANDIDATE","OOS PENDING","FAIL"))))</x:f>
        <x:v>FAIL</x:v>
      </x:c>
      <x:c r="Z18" s="2" t="n">
        <x:f>IF(B18="","",IF(I18&lt;&gt;"READY","",IF(OR(NOT(AND(J18="PASS",'Calibrare_Linii'!U18="VALID")),L18&gt;'Config_v6'!$B$13,W18="WATCH"),5,IF(Y18="PASS",1,MIN(5,MAX('Config_v6'!$B$42,U18)+IF(W18="PENALTY",1,0))))))</x:f>
        <x:v>2</x:v>
      </x:c>
      <x:c r="AA18" s="2" t="str">
        <x:f>IF(B18="","",IF(I18&lt;&gt;"READY","NOT RELEASED",IF(Z18=5,"NO BET",IF(OR(AB18&lt;'Config_v6'!$B$16,V18&lt;'Config_v6'!$B$18),"WATCH",IF(Z18=1,"DEFENSIV",IF(Z18=2,"PRUDENT",IF(Z18=3,"MODERAT","RIDICAT")))))))</x:f>
        <x:v>PRUDENT</x:v>
      </x:c>
      <x:c r="AB18" s="10" t="n">
        <x:f>IF(N18="","",MIN(N18,1-S18))</x:f>
        <x:v>0.873015840041703</x:v>
      </x:c>
      <x:c r="AC18" s="2" t="n">
        <x:f>IF(AD18&lt;&gt;1,"",COUNTIFS($Z$6:$Z$19,"&lt;"&amp;Z18,$AD$6:$AD$19,1)+COUNTIFS($Z$6:$Z$19,Z18,$AB$6:$AB$19,"&gt;"&amp;AB18,$AD$6:$AD$19,1)+COUNTIFS($Z$6:$Z$19,Z18,$AB$6:$AB$19,AB18,$V$6:$V$19,"&gt;"&amp;V18,$AD$6:$AD$19,1)+COUNTIFS($Z$6:Z18,Z18,$AB$6:AB18,AB18,$V$6:V18,V18,$AD$6:AD18,1))</x:f>
        <x:v>4</x:v>
      </x:c>
      <x:c r="AD18" s="2" t="n">
        <x:f>IF(OR(AA18="DEFENSIV",AA18="PRUDENT",AA18="MODERAT",AA18="RIDICAT"),1,0)</x:f>
        <x:v>1</x:v>
      </x:c>
      <x:c r="AE18" s="2" t="str">
        <x:f>IF(AD18&lt;&gt;1,"NO",IF(W18="PASS","YES",IF(W18="OOS PENDING","CONDITIONAL","NO")))</x:f>
        <x:v>CONDITIONAL</x:v>
      </x:c>
      <x:c r="AF18" s="2" t="n">
        <x:f>IF(AND(AD18=1,AC18=1,E18="LIVE"),1,0)</x:f>
        <x:v>0</x:v>
      </x:c>
      <x:c r="AG18" s="2" t="str">
        <x:f>IF(AF18&lt;&gt;1,"",'Dashboard'!P26)</x:f>
      </x:c>
      <x:c r="AH18" s="2" t="str">
        <x:f>IF(B18="","",IF(J18&lt;&gt;"PASS",'Motor_Meciuri'!J6,IF('Calibrare_Linii'!U18&lt;&gt;"VALID","Parametri linie invalizi",IF(L18&gt;'Config_v6'!$B$13,"Dispersie peste limita",IF(W18="WATCH","Failure peste limita",IF(AB18&lt;'Config_v6'!$B$16,"P finala sub prag",IF(V18&lt;'Config_v6'!$B$18,"Confidence sub prag",IF(E18="REPLAY","Exemplu retrospectiv; exclus din Top LIVE",IF(Y18="PASS","DEFENSIV validat",IF(W18="OOS PENDING","Eligibil; calibrare linie in monitorizare","Eligibil"))))))))))</x:f>
        <x:v>Exemplu retrospectiv; exclus din Top LIVE</x:v>
      </x:c>
      <x:c r="AI18" s="2" t="str">
        <x:f>IF(B18="","",'Calibrare_Linii'!V18)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16,5|1.000000|NA|NA</x:v>
      </x:c>
      <x:c r="AJ18" s="2" t="str">
        <x:f>IF(B18="","",IF(AND('Calibrare_Linii'!T18="VALIDATED",AND('Calibrare_Linii'!H18=C18,ISNUMBER('Calibrare_Linii'!J18),'Calibrare_Linii'!J18&lt;='Input_Meci'!G6)),"DEFENSIVE VALIDATED",IF(AND('Calibrare_Linii'!S18="VALIDATED",AND('Calibrare_Linii'!H18=C18,ISNUMBER('Calibrare_Linii'!J18),'Calibrare_Linii'!J18&lt;='Input_Meci'!G6)),"TAIL VALIDATED","OOS PENDING")))</x:f>
        <x:v>OOS PENDING</x:v>
      </x:c>
      <x:c r="AK18" s="2" t="n">
        <x:f>IF(J18&lt;&gt;"PASS",0,'Motor_Meciuri'!BR6)</x:f>
        <x:v>36</x:v>
      </x:c>
      <x:c r="AL18" s="2" t="n">
        <x:f>IF(J18&lt;&gt;"PASS",0,'Motor_Meciuri'!BS6)</x:f>
        <x:v>20</x:v>
      </x:c>
      <x:c r="AM18" s="2" t="n">
        <x:f>IF(J18&lt;&gt;"PASS",0,'Motor_Meciuri'!BT6)</x:f>
        <x:v>40</x:v>
      </x:c>
      <x:c r="AN18" s="2" t="n">
        <x:f>IF(M18="","",MAX(0,'Motor_Meciuri'!BF6-IF(L18&gt;'Config_v6'!$B$12,'Config_v6'!$B$37,IF(L18&gt;'Config_v6'!$B$11,'Config_v6'!$B$36,0))))</x:f>
        <x:v>90</x:v>
      </x:c>
    </x:row>
    <x:row r="19" ht="21" customHeight="1">
      <x:c r="A19" s="2" t="n">
        <x:v>1</x:v>
      </x:c>
      <x:c r="B19" s="2" t="str">
        <x:f>IF('Motor_Meciuri'!A6="","",'Motor_Meciuri'!A6)</x:f>
        <x:v>REPLAY_1</x:v>
      </x:c>
      <x:c r="C19" s="2" t="str">
        <x:f>IF(B19="","",'Motor_Meciuri'!B6)</x:f>
        <x:v>E0</x:v>
      </x:c>
      <x:c r="D19" s="2" t="str">
        <x:f>IF(B19="","",'Motor_Meciuri'!D6)</x:f>
        <x:v>Brighton – Man United</x:v>
      </x:c>
      <x:c r="E19" s="2" t="str">
        <x:f>IF(B19="","",'Motor_Meciuri'!E6)</x:f>
        <x:v>REPLAY</x:v>
      </x:c>
      <x:c r="F19" s="2" t="str">
        <x:v>U17,5</x:v>
      </x:c>
      <x:c r="G19" s="2" t="str">
        <x:v>UNDER</x:v>
      </x:c>
      <x:c r="H19" s="2" t="n">
        <x:v>17</x:v>
      </x:c>
      <x:c r="I19" s="2" t="str">
        <x:f>IF(B19="","",'Motor_Meciuri'!H6)</x:f>
        <x:v>READY</x:v>
      </x:c>
      <x:c r="J19" s="2" t="str">
        <x:f>IF(B19="","",'Motor_Meciuri'!I6)</x:f>
        <x:v>PASS</x:v>
      </x:c>
      <x:c r="K19" s="11" t="n">
        <x:f>IF(J19&lt;&gt;"PASS","",'Motor_Meciuri'!BD6)</x:f>
        <x:v>10.27195945945946</x:v>
      </x:c>
      <x:c r="L19" s="11" t="n">
        <x:f>IF(J19&lt;&gt;"PASS","",'Motor_Meciuri'!AU6)</x:f>
        <x:v>0.9007607192254518</x:v>
      </x:c>
      <x:c r="M19" s="10" t="n">
        <x:f>IF(NOT(AND(J19="PASS",'Calibrare_Linii'!U19="VALID")),"",'Distributie'!AO6)</x:f>
        <x:v>0.9819069423906173</x:v>
      </x:c>
      <x:c r="N19" s="10" t="n">
        <x:f>IF(M19="","",MAX(0.01,MIN(0.99,0.5+(M19-0.5)*'Motor_Meciuri'!BG6*'Calibrare_Linii'!D19)))</x:f>
        <x:v>0.8852846004412984</x:v>
      </x:c>
      <x:c r="O19" s="10" t="n">
        <x:f>IF(M19="","",1-M19)</x:f>
        <x:v>0.018093057609382734</x:v>
      </x:c>
      <x:c r="P19" s="10" t="n">
        <x:f>IF(OR(NOT(AND(J19="PASS",'Calibrare_Linii'!U19="VALID")),AK19=0),""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*('Istoric_Nativ'!$Q$6:$Q$405&gt;H19))/AK19)</x:f>
        <x:v>0</x:v>
      </x:c>
      <x:c r="Q19" s="10" t="n">
        <x:f>IF(OR(NOT(AND(J19="PASS",'Calibrare_Linii'!U19="VALID")),AL19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M6)+((('Istoric_Nativ'!$E$6:$E$405='Input_Meci'!E6)+('Istoric_Nativ'!$F$6:$F$405='Input_Meci'!E6))&gt;0)*('Istoric_Nativ'!$D$6:$D$405&gt;='Motor_Meciuri'!BN6))&gt;0)*('Istoric_Nativ'!$Q$6:$Q$405&gt;H19))/AL19)</x:f>
        <x:v>0</x:v>
      </x:c>
      <x:c r="R19" s="10" t="n">
        <x:f>IF(OR(NOT(AND(J19="PASS",'Calibrare_Linii'!U19="VALID")),AM19=0),""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'Motor_Meciuri'!BO6)+((('Istoric_Nativ'!$E$6:$E$405='Input_Meci'!E6)+('Istoric_Nativ'!$F$6:$F$405='Input_Meci'!E6))&gt;0)*('Istoric_Nativ'!$D$6:$D$405&gt;='Motor_Meciuri'!BP6))&gt;0)*('Istoric_Nativ'!$Q$6:$Q$405&gt;H19))/AM19)</x:f>
        <x:v>0</x:v>
      </x:c>
      <x:c r="S19" s="10" t="n">
        <x:f>IF(M19="","",MAX(O19,P19,Q19,R19))</x:f>
        <x:v>0.018093057609382734</x:v>
      </x:c>
      <x:c r="T19" s="11" t="n">
        <x:f>IF(M19="","",MIN(100,S19*100*'Config_v6'!$B$44+MIN(100,L19/'Config_v6'!$B$13*100)*'Config_v6'!$B$45+(100-'Motor_Meciuri'!BF6)*'Config_v6'!$B$46+'Motor_Meciuri'!BH6*100*'Config_v6'!$B$47))</x:f>
        <x:v>10.501880117186733</x:v>
      </x:c>
      <x:c r="U19" s="2" t="n">
        <x:f>IF(T19="","",IF(T19&lt;=20,1,IF(T19&lt;=40,2,IF(T19&lt;=60,3,IF(T19&lt;=80,4,5)))))</x:f>
        <x:v>1</x:v>
      </x:c>
      <x:c r="V19" s="2" t="n">
        <x:f>IF(M19="","",MAX(0,'Motor_Meciuri'!BF6-IF(W19="OOS PENDING",'Config_v6'!$B$35,0)-IF(L19&gt;'Config_v6'!$B$12,'Config_v6'!$B$37,IF(L19&gt;'Config_v6'!$B$11,'Config_v6'!$B$36,0))))</x:f>
        <x:v>80</x:v>
      </x:c>
      <x:c r="W19" s="2" t="str">
        <x:f>IF(B19="","",IF(I19&lt;&gt;"READY","NOT RELEASED",IF(NOT(AND(J19="PASS",'Calibrare_Linii'!U19="VALID")),"INVALID",IF(NOT(AND('Calibrare_Linii'!S19="VALIDATED",AND('Calibrare_Linii'!H19=C19,ISNUMBER('Calibrare_Linii'!J19),'Calibrare_Linii'!J19&lt;='Input_Meci'!G6))),"OOS PENDING",IF(S19&lt;='Calibrare_Linii'!E19,"PASS",IF(S19&lt;='Calibrare_Linii'!F19,"PENALTY","WATCH"))))))</x:f>
        <x:v>OOS PENDING</x:v>
      </x:c>
      <x:c r="X19" s="2" t="str">
        <x:f>IF(M19="","",IF(AND(AND(J19="PASS",'Calibrare_Linii'!U19="VALID"),'Motor_Meciuri'!K6=12,'Motor_Meciuri'!L6=12,'Motor_Meciuri'!M6="NO",'Motor_Meciuri'!BL6='Motor_Meciuri'!C6,AB19&gt;='Config_v6'!$B$50,AN19&gt;='Config_v6'!$B$51,T19&lt;='Config_v6'!$B$52,L19&lt;='Config_v6'!$B$53,ISNUMBER('Calibrare_Linii'!E19),S19&lt;='Calibrare_Linii'!E19,SUM(AK19:AM19)&gt;0),"CANDIDATE","NO"))</x:f>
        <x:v>NO</x:v>
      </x:c>
      <x:c r="Y19" s="2" t="str">
        <x:f>IF(B19="","",IF(I19&lt;&gt;"READY","NOT RELEASED",IF(AND(X19="CANDIDATE",V19&gt;='Config_v6'!$B$51,W19="PASS",'Calibrare_Linii'!T19="VALIDATED",AND('Calibrare_Linii'!H19=C19,ISNUMBER('Calibrare_Linii'!J19),'Calibrare_Linii'!J19&lt;='Input_Meci'!G6)),"PASS",IF(X19="CANDIDATE","OOS PENDING","FAIL"))))</x:f>
        <x:v>FAIL</x:v>
      </x:c>
      <x:c r="Z19" s="2" t="n">
        <x:f>IF(B19="","",IF(I19&lt;&gt;"READY","",IF(OR(NOT(AND(J19="PASS",'Calibrare_Linii'!U19="VALID")),L19&gt;'Config_v6'!$B$13,W19="WATCH"),5,IF(Y19="PASS",1,MIN(5,MAX('Config_v6'!$B$42,U19)+IF(W19="PENALTY",1,0))))))</x:f>
        <x:v>2</x:v>
      </x:c>
      <x:c r="AA19" s="2" t="str">
        <x:f>IF(B19="","",IF(I19&lt;&gt;"READY","NOT RELEASED",IF(Z19=5,"NO BET",IF(OR(AB19&lt;'Config_v6'!$B$16,V19&lt;'Config_v6'!$B$18),"WATCH",IF(Z19=1,"DEFENSIV",IF(Z19=2,"PRUDENT",IF(Z19=3,"MODERAT","RIDICAT")))))))</x:f>
        <x:v>PRUDENT</x:v>
      </x:c>
      <x:c r="AB19" s="10" t="n">
        <x:f>IF(N19="","",MIN(N19,1-S19))</x:f>
        <x:v>0.8852846004412984</x:v>
      </x:c>
      <x:c r="AC19" s="2" t="n">
        <x:f>IF(AD19&lt;&gt;1,"",COUNTIFS($Z$6:$Z$19,"&lt;"&amp;Z19,$AD$6:$AD$19,1)+COUNTIFS($Z$6:$Z$19,Z19,$AB$6:$AB$19,"&gt;"&amp;AB19,$AD$6:$AD$19,1)+COUNTIFS($Z$6:$Z$19,Z19,$AB$6:$AB$19,AB19,$V$6:$V$19,"&gt;"&amp;V19,$AD$6:$AD$19,1)+COUNTIFS($Z$6:Z19,Z19,$AB$6:AB19,AB19,$V$6:V19,V19,$AD$6:AD19,1))</x:f>
        <x:v>2</x:v>
      </x:c>
      <x:c r="AD19" s="2" t="n">
        <x:f>IF(OR(AA19="DEFENSIV",AA19="PRUDENT",AA19="MODERAT",AA19="RIDICAT"),1,0)</x:f>
        <x:v>1</x:v>
      </x:c>
      <x:c r="AE19" s="2" t="str">
        <x:f>IF(AD19&lt;&gt;1,"NO",IF(W19="PASS","YES",IF(W19="OOS PENDING","CONDITIONAL","NO")))</x:f>
        <x:v>CONDITIONAL</x:v>
      </x:c>
      <x:c r="AF19" s="2" t="n">
        <x:f>IF(AND(AD19=1,AC19=1,E19="LIVE"),1,0)</x:f>
        <x:v>0</x:v>
      </x:c>
      <x:c r="AG19" s="2" t="str">
        <x:f>IF(AF19&lt;&gt;1,"",'Dashboard'!P26)</x:f>
      </x:c>
      <x:c r="AH19" s="2" t="str">
        <x:f>IF(B19="","",IF(J19&lt;&gt;"PASS",'Motor_Meciuri'!J6,IF('Calibrare_Linii'!U19&lt;&gt;"VALID","Parametri linie invalizi",IF(L19&gt;'Config_v6'!$B$13,"Dispersie peste limita",IF(W19="WATCH","Failure peste limita",IF(AB19&lt;'Config_v6'!$B$16,"P finala sub prag",IF(V19&lt;'Config_v6'!$B$18,"Confidence sub prag",IF(E19="REPLAY","Exemplu retrospectiv; exclus din Top LIVE",IF(Y19="PASS","DEFENSIV validat",IF(W19="OOS PENDING","Eligibil; calibrare linie in monitorizare","Eligibil"))))))))))</x:f>
        <x:v>Exemplu retrospectiv; exclus din Top LIVE</x:v>
      </x:c>
      <x:c r="AI19" s="2" t="str">
        <x:f>IF(B19="","",'Calibrare_Linii'!V19)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17,5|1.000000|NA|NA</x:v>
      </x:c>
      <x:c r="AJ19" s="2" t="str">
        <x:f>IF(B19="","",IF(AND('Calibrare_Linii'!T19="VALIDATED",AND('Calibrare_Linii'!H19=C19,ISNUMBER('Calibrare_Linii'!J19),'Calibrare_Linii'!J19&lt;='Input_Meci'!G6)),"DEFENSIVE VALIDATED",IF(AND('Calibrare_Linii'!S19="VALIDATED",AND('Calibrare_Linii'!H19=C19,ISNUMBER('Calibrare_Linii'!J19),'Calibrare_Linii'!J19&lt;='Input_Meci'!G6)),"TAIL VALIDATED","OOS PENDING")))</x:f>
        <x:v>OOS PENDING</x:v>
      </x:c>
      <x:c r="AK19" s="2" t="n">
        <x:f>IF(J19&lt;&gt;"PASS",0,'Motor_Meciuri'!BR6)</x:f>
        <x:v>36</x:v>
      </x:c>
      <x:c r="AL19" s="2" t="n">
        <x:f>IF(J19&lt;&gt;"PASS",0,'Motor_Meciuri'!BS6)</x:f>
        <x:v>20</x:v>
      </x:c>
      <x:c r="AM19" s="2" t="n">
        <x:f>IF(J19&lt;&gt;"PASS",0,'Motor_Meciuri'!BT6)</x:f>
        <x:v>40</x:v>
      </x:c>
      <x:c r="AN19" s="2" t="n">
        <x:f>IF(M19="","",MAX(0,'Motor_Meciuri'!BF6-IF(L19&gt;'Config_v6'!$B$12,'Config_v6'!$B$37,IF(L19&gt;'Config_v6'!$B$11,'Config_v6'!$B$36,0))))</x:f>
        <x:v>90</x:v>
      </x:c>
    </x:row>
    <x:row r="20" ht="21" customHeight="1">
      <x:c r="A20" s="2" t="n">
        <x:v>2</x:v>
      </x:c>
      <x:c r="B20" s="2" t="str">
        <x:f>IF('Motor_Meciuri'!A7="","",'Motor_Meciuri'!A7)</x:f>
        <x:v>REPLAY_2</x:v>
      </x:c>
      <x:c r="C20" s="2" t="str">
        <x:f>IF(B20="","",'Motor_Meciuri'!B7)</x:f>
        <x:v>E0</x:v>
      </x:c>
      <x:c r="D20" s="2" t="str">
        <x:f>IF(B20="","",'Motor_Meciuri'!D7)</x:f>
        <x:v>Burnley – Wolves</x:v>
      </x:c>
      <x:c r="E20" s="2" t="str">
        <x:f>IF(B20="","",'Motor_Meciuri'!E7)</x:f>
        <x:v>REPLAY</x:v>
      </x:c>
      <x:c r="F20" s="2" t="str">
        <x:v>O3,5</x:v>
      </x:c>
      <x:c r="G20" s="2" t="str">
        <x:v>OVER</x:v>
      </x:c>
      <x:c r="H20" s="2" t="n">
        <x:v>3</x:v>
      </x:c>
      <x:c r="I20" s="2" t="str">
        <x:f>IF(B20="","",'Motor_Meciuri'!H7)</x:f>
        <x:v>READY</x:v>
      </x:c>
      <x:c r="J20" s="2" t="str">
        <x:f>IF(B20="","",'Motor_Meciuri'!I7)</x:f>
        <x:v>PASS</x:v>
      </x:c>
      <x:c r="K20" s="11" t="n">
        <x:f>IF(J20&lt;&gt;"PASS","",'Motor_Meciuri'!BD7)</x:f>
        <x:v>9.471621621621622</x:v>
      </x:c>
      <x:c r="L20" s="11" t="n">
        <x:f>IF(J20&lt;&gt;"PASS","",'Motor_Meciuri'!AU7)</x:f>
        <x:v>1.0431201550387579</x:v>
      </x:c>
      <x:c r="M20" s="10" t="n">
        <x:f>IF(NOT(AND(J20="PASS",'Calibrare_Linii'!U6="VALID")),"",1-'Distributie'!AA7)</x:f>
        <x:v>0.9848338521727148</x:v>
      </x:c>
      <x:c r="N20" s="10" t="n">
        <x:f>IF(M20="","",MAX(0.01,MIN(0.99,0.5+(M20-0.5)*'Motor_Meciuri'!BG7*'Calibrare_Linii'!D6)))</x:f>
        <x:v>0.8886185742090396</x:v>
      </x:c>
      <x:c r="O20" s="10" t="n">
        <x:f>IF(M20="","",1-M20)</x:f>
        <x:v>0.015166147827285203</x:v>
      </x:c>
      <x:c r="P20" s="10" t="n">
        <x:f>IF(OR(NOT(AND(J20="PASS",'Calibrare_Linii'!U6="VALID")),AK20=0),""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*('Istoric_Nativ'!$Q$6:$Q$405&lt;=H20))/AK20)</x:f>
        <x:v>0</x:v>
      </x:c>
      <x:c r="Q20" s="10" t="n">
        <x:f>IF(OR(NOT(AND(J20="PASS",'Calibrare_Linii'!U6="VALID")),AL20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M7)+((('Istoric_Nativ'!$E$6:$E$405='Input_Meci'!E7)+('Istoric_Nativ'!$F$6:$F$405='Input_Meci'!E7))&gt;0)*('Istoric_Nativ'!$D$6:$D$405&gt;='Motor_Meciuri'!BN7))&gt;0)*('Istoric_Nativ'!$Q$6:$Q$405&lt;=H20))/AL20)</x:f>
        <x:v>0</x:v>
      </x:c>
      <x:c r="R20" s="10" t="n">
        <x:f>IF(OR(NOT(AND(J20="PASS",'Calibrare_Linii'!U6="VALID")),AM20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O7)+((('Istoric_Nativ'!$E$6:$E$405='Input_Meci'!E7)+('Istoric_Nativ'!$F$6:$F$405='Input_Meci'!E7))&gt;0)*('Istoric_Nativ'!$D$6:$D$405&gt;='Motor_Meciuri'!BP7))&gt;0)*('Istoric_Nativ'!$Q$6:$Q$405&lt;=H20))/AM20)</x:f>
        <x:v>0.025</x:v>
      </x:c>
      <x:c r="S20" s="10" t="n">
        <x:f>IF(M20="","",MAX(O20,P20,Q20,R20))</x:f>
        <x:v>0.025</x:v>
      </x:c>
      <x:c r="T20" s="11" t="n">
        <x:f>IF(M20="","",MIN(100,S20*100*'Config_v6'!$B$44+MIN(100,L20/'Config_v6'!$B$13*100)*'Config_v6'!$B$45+(100-'Motor_Meciuri'!BF7)*'Config_v6'!$B$46+'Motor_Meciuri'!BH7*100*'Config_v6'!$B$47))</x:f>
        <x:v>11.997179155900069</x:v>
      </x:c>
      <x:c r="U20" s="2" t="n">
        <x:f>IF(T20="","",IF(T20&lt;=20,1,IF(T20&lt;=40,2,IF(T20&lt;=60,3,IF(T20&lt;=80,4,5)))))</x:f>
        <x:v>1</x:v>
      </x:c>
      <x:c r="V20" s="2" t="n">
        <x:f>IF(M20="","",MAX(0,'Motor_Meciuri'!BF7-IF(W20="OOS PENDING",'Config_v6'!$B$35,0)-IF(L20&gt;'Config_v6'!$B$12,'Config_v6'!$B$37,IF(L20&gt;'Config_v6'!$B$11,'Config_v6'!$B$36,0))))</x:f>
        <x:v>91</x:v>
      </x:c>
      <x:c r="W20" s="2" t="str">
        <x:f>IF(B20="","",IF(I20&lt;&gt;"READY","NOT RELEASED",IF(NOT(AND(J20="PASS",'Calibrare_Linii'!U6="VALID")),"INVALID",IF(NOT(TRUE),"OOS PENDING",IF(S20&lt;=IF(AND('Calibrare_Linii'!S6="VALIDATED",AND('Calibrare_Linii'!H6=C20,ISNUMBER('Calibrare_Linii'!J6),'Calibrare_Linii'!J6&lt;='Input_Meci'!G7)),'Calibrare_Linii'!E6,'Config_v6'!$B$26),"PASS",IF(S20&lt;=IF(AND('Calibrare_Linii'!S6="VALIDATED",AND('Calibrare_Linii'!H6=C20,ISNUMBER('Calibrare_Linii'!J6),'Calibrare_Linii'!J6&lt;='Input_Meci'!G7)),'Calibrare_Linii'!F6,'Config_v6'!$C$26),"PENALTY","WATCH"))))))</x:f>
        <x:v>PASS</x:v>
      </x:c>
      <x:c r="X20" s="2" t="str">
        <x:f>IF(M20="","",IF(AND(AND(J20="PASS",'Calibrare_Linii'!U6="VALID"),'Motor_Meciuri'!K7=12,'Motor_Meciuri'!L7=12,'Motor_Meciuri'!M7="NO",'Motor_Meciuri'!BL7='Motor_Meciuri'!C7,AB20&gt;='Config_v6'!$B$50,AN20&gt;='Config_v6'!$B$51,T20&lt;='Config_v6'!$B$52,L20&lt;='Config_v6'!$B$53,ISNUMBER('Calibrare_Linii'!E6),S20&lt;='Calibrare_Linii'!E6,SUM(AK20:AM20)&gt;0),"CANDIDATE","NO"))</x:f>
        <x:v>NO</x:v>
      </x:c>
      <x:c r="Y20" s="2" t="str">
        <x:f>IF(B20="","",IF(I20&lt;&gt;"READY","NOT RELEASED",IF(AND(X20="CANDIDATE",V20&gt;='Config_v6'!$B$51,W20="PASS",'Calibrare_Linii'!T6="VALIDATED",AND('Calibrare_Linii'!H6=C20,ISNUMBER('Calibrare_Linii'!J6),'Calibrare_Linii'!J6&lt;='Input_Meci'!G7)),"PASS",IF(X20="CANDIDATE","OOS PENDING","FAIL"))))</x:f>
        <x:v>FAIL</x:v>
      </x:c>
      <x:c r="Z20" s="2" t="n">
        <x:f>IF(B20="","",IF(I20&lt;&gt;"READY","",IF(OR(NOT(AND(J20="PASS",'Calibrare_Linii'!U6="VALID")),L20&gt;'Config_v6'!$B$13,W20="WATCH"),5,IF(Y20="PASS",1,MIN(5,MAX('Config_v6'!$B$42,U20)+IF(W20="PENALTY",1,0))))))</x:f>
        <x:v>2</x:v>
      </x:c>
      <x:c r="AA20" s="2" t="str">
        <x:f>IF(B20="","",IF(I20&lt;&gt;"READY","NOT RELEASED",IF(Z20=5,"NO BET",IF(OR(AB20&lt;'Config_v6'!$B$16,V20&lt;'Config_v6'!$B$18),"WATCH",IF(Z20=1,"DEFENSIV",IF(Z20=2,"PRUDENT",IF(Z20=3,"MODERAT","RIDICAT")))))))</x:f>
        <x:v>PRUDENT</x:v>
      </x:c>
      <x:c r="AB20" s="10" t="n">
        <x:f>IF(N20="","",MIN(N20,1-S20))</x:f>
        <x:v>0.8886185742090396</x:v>
      </x:c>
      <x:c r="AC20" s="2" t="n">
        <x:f>IF(AD20&lt;&gt;1,"",COUNTIFS($Z$20:$Z$33,"&lt;"&amp;Z20,$AD$20:$AD$33,1)+COUNTIFS($Z$20:$Z$33,Z20,$AB$20:$AB$33,"&gt;"&amp;AB20,$AD$20:$AD$33,1)+COUNTIFS($Z$20:$Z$33,Z20,$AB$20:$AB$33,AB20,$V$20:$V$33,"&gt;"&amp;V20,$AD$20:$AD$33,1)+COUNTIFS($Z$20:Z20,Z20,$AB$20:AB20,AB20,$V$20:V20,V20,$AD$20:AD20,1))</x:f>
        <x:v>2</x:v>
      </x:c>
      <x:c r="AD20" s="2" t="n">
        <x:f>IF(OR(AA20="DEFENSIV",AA20="PRUDENT",AA20="MODERAT",AA20="RIDICAT"),1,0)</x:f>
        <x:v>1</x:v>
      </x:c>
      <x:c r="AE20" s="2" t="str">
        <x:f>IF(AD20&lt;&gt;1,"NO",IF(W20="PASS","YES",IF(W20="OOS PENDING","CONDITIONAL","NO")))</x:f>
        <x:v>YES</x:v>
      </x:c>
      <x:c r="AF20" s="2" t="n">
        <x:f>IF(AND(AD20=1,AC20=1,E20="LIVE"),1,0)</x:f>
        <x:v>0</x:v>
      </x:c>
      <x:c r="AG20" s="2" t="str">
        <x:f>IF(AF20&lt;&gt;1,"",'Dashboard'!P27)</x:f>
      </x:c>
      <x:c r="AH20" s="2" t="str">
        <x:f>IF(B20="","",IF(J20&lt;&gt;"PASS",'Motor_Meciuri'!J7,IF('Calibrare_Linii'!U6&lt;&gt;"VALID","Parametri linie invalizi",IF(L20&gt;'Config_v6'!$B$13,"Dispersie peste limita",IF(W20="WATCH","Failure peste limita",IF(AB20&lt;'Config_v6'!$B$16,"P finala sub prag",IF(V20&lt;'Config_v6'!$B$18,"Confidence sub prag",IF(E20="REPLAY","Exemplu retrospectiv; exclus din Top LIVE",IF(Y20="PASS","DEFENSIV validat",IF(W20="OOS PENDING","Eligibil; calibrare linie in monitorizare","Eligibil"))))))))))</x:f>
        <x:v>Exemplu retrospectiv; exclus din Top LIVE</x:v>
      </x:c>
      <x:c r="AI20" s="2" t="str">
        <x:f>IF(B20="","",'Calibrare_Linii'!V6)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3,5|1.000000|0.050000|0.080000</x:v>
      </x:c>
      <x:c r="AJ20" s="2" t="str">
        <x:f>IF(B20="","",IF(AND('Calibrare_Linii'!T6="VALIDATED",AND('Calibrare_Linii'!H6=C20,ISNUMBER('Calibrare_Linii'!J6),'Calibrare_Linii'!J6&lt;='Input_Meci'!G7)),"DEFENSIVE VALIDATED",IF(AND('Calibrare_Linii'!S6="VALIDATED",AND('Calibrare_Linii'!H6=C20,ISNUMBER('Calibrare_Linii'!J6),'Calibrare_Linii'!J6&lt;='Input_Meci'!G7)),"TAIL VALIDATED","OOS PENDING")))</x:f>
        <x:v>OOS PENDING</x:v>
      </x:c>
      <x:c r="AK20" s="2" t="n">
        <x:f>IF(J20&lt;&gt;"PASS",0,'Motor_Meciuri'!BR7)</x:f>
        <x:v>36</x:v>
      </x:c>
      <x:c r="AL20" s="2" t="n">
        <x:f>IF(J20&lt;&gt;"PASS",0,'Motor_Meciuri'!BS7)</x:f>
        <x:v>20</x:v>
      </x:c>
      <x:c r="AM20" s="2" t="n">
        <x:f>IF(J20&lt;&gt;"PASS",0,'Motor_Meciuri'!BT7)</x:f>
        <x:v>40</x:v>
      </x:c>
      <x:c r="AN20" s="2" t="n">
        <x:f>IF(M20="","",MAX(0,'Motor_Meciuri'!BF7-IF(L20&gt;'Config_v6'!$B$12,'Config_v6'!$B$37,IF(L20&gt;'Config_v6'!$B$11,'Config_v6'!$B$36,0))))</x:f>
        <x:v>91</x:v>
      </x:c>
    </x:row>
    <x:row r="21" ht="21" customHeight="1">
      <x:c r="A21" s="2" t="n">
        <x:v>2</x:v>
      </x:c>
      <x:c r="B21" s="2" t="str">
        <x:f>IF('Motor_Meciuri'!A7="","",'Motor_Meciuri'!A7)</x:f>
        <x:v>REPLAY_2</x:v>
      </x:c>
      <x:c r="C21" s="2" t="str">
        <x:f>IF(B21="","",'Motor_Meciuri'!B7)</x:f>
        <x:v>E0</x:v>
      </x:c>
      <x:c r="D21" s="2" t="str">
        <x:f>IF(B21="","",'Motor_Meciuri'!D7)</x:f>
        <x:v>Burnley – Wolves</x:v>
      </x:c>
      <x:c r="E21" s="2" t="str">
        <x:f>IF(B21="","",'Motor_Meciuri'!E7)</x:f>
        <x:v>REPLAY</x:v>
      </x:c>
      <x:c r="F21" s="2" t="str">
        <x:v>O4,5</x:v>
      </x:c>
      <x:c r="G21" s="2" t="str">
        <x:v>OVER</x:v>
      </x:c>
      <x:c r="H21" s="2" t="n">
        <x:v>4</x:v>
      </x:c>
      <x:c r="I21" s="2" t="str">
        <x:f>IF(B21="","",'Motor_Meciuri'!H7)</x:f>
        <x:v>READY</x:v>
      </x:c>
      <x:c r="J21" s="2" t="str">
        <x:f>IF(B21="","",'Motor_Meciuri'!I7)</x:f>
        <x:v>PASS</x:v>
      </x:c>
      <x:c r="K21" s="11" t="n">
        <x:f>IF(J21&lt;&gt;"PASS","",'Motor_Meciuri'!BD7)</x:f>
        <x:v>9.471621621621622</x:v>
      </x:c>
      <x:c r="L21" s="11" t="n">
        <x:f>IF(J21&lt;&gt;"PASS","",'Motor_Meciuri'!AU7)</x:f>
        <x:v>1.0431201550387579</x:v>
      </x:c>
      <x:c r="M21" s="10" t="n">
        <x:f>IF(NOT(AND(J21="PASS",'Calibrare_Linii'!U7="VALID")),"",1-'Distributie'!AB7)</x:f>
        <x:v>0.9590104704917216</x:v>
      </x:c>
      <x:c r="N21" s="10" t="n">
        <x:f>IF(M21="","",MAX(0.01,MIN(0.99,0.5+(M21-0.5)*'Motor_Meciuri'!BG7*'Calibrare_Linii'!D7)))</x:f>
        <x:v>0.8679198426226394</x:v>
      </x:c>
      <x:c r="O21" s="10" t="n">
        <x:f>IF(M21="","",1-M21)</x:f>
        <x:v>0.04098952950827839</x:v>
      </x:c>
      <x:c r="P21" s="10" t="n">
        <x:f>IF(OR(NOT(AND(J21="PASS",'Calibrare_Linii'!U7="VALID")),AK21=0),""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*('Istoric_Nativ'!$Q$6:$Q$405&lt;=H21))/AK21)</x:f>
        <x:v>0.027777777777777776</x:v>
      </x:c>
      <x:c r="Q21" s="10" t="n">
        <x:f>IF(OR(NOT(AND(J21="PASS",'Calibrare_Linii'!U7="VALID")),AL21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M7)+((('Istoric_Nativ'!$E$6:$E$405='Input_Meci'!E7)+('Istoric_Nativ'!$F$6:$F$405='Input_Meci'!E7))&gt;0)*('Istoric_Nativ'!$D$6:$D$405&gt;='Motor_Meciuri'!BN7))&gt;0)*('Istoric_Nativ'!$Q$6:$Q$405&lt;=H21))/AL21)</x:f>
        <x:v>0</x:v>
      </x:c>
      <x:c r="R21" s="10" t="n">
        <x:f>IF(OR(NOT(AND(J21="PASS",'Calibrare_Linii'!U7="VALID")),AM21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O7)+((('Istoric_Nativ'!$E$6:$E$405='Input_Meci'!E7)+('Istoric_Nativ'!$F$6:$F$405='Input_Meci'!E7))&gt;0)*('Istoric_Nativ'!$D$6:$D$405&gt;='Motor_Meciuri'!BP7))&gt;0)*('Istoric_Nativ'!$Q$6:$Q$405&lt;=H21))/AM21)</x:f>
        <x:v>0.075</x:v>
      </x:c>
      <x:c r="S21" s="10" t="n">
        <x:f>IF(M21="","",MAX(O21,P21,Q21,R21))</x:f>
        <x:v>0.075</x:v>
      </x:c>
      <x:c r="T21" s="11" t="n">
        <x:f>IF(M21="","",MIN(100,S21*100*'Config_v6'!$B$44+MIN(100,L21/'Config_v6'!$B$13*100)*'Config_v6'!$B$45+(100-'Motor_Meciuri'!BF7)*'Config_v6'!$B$46+'Motor_Meciuri'!BH7*100*'Config_v6'!$B$47))</x:f>
        <x:v>14.747179155900069</x:v>
      </x:c>
      <x:c r="U21" s="2" t="n">
        <x:f>IF(T21="","",IF(T21&lt;=20,1,IF(T21&lt;=40,2,IF(T21&lt;=60,3,IF(T21&lt;=80,4,5)))))</x:f>
        <x:v>1</x:v>
      </x:c>
      <x:c r="V21" s="2" t="n">
        <x:f>IF(M21="","",MAX(0,'Motor_Meciuri'!BF7-IF(W21="OOS PENDING",'Config_v6'!$B$35,0)-IF(L21&gt;'Config_v6'!$B$12,'Config_v6'!$B$37,IF(L21&gt;'Config_v6'!$B$11,'Config_v6'!$B$36,0))))</x:f>
        <x:v>81</x:v>
      </x:c>
      <x:c r="W21" s="2" t="str">
        <x:f>IF(B21="","",IF(I21&lt;&gt;"READY","NOT RELEASED",IF(NOT(AND(J21="PASS",'Calibrare_Linii'!U7="VALID")),"INVALID",IF(NOT(AND('Calibrare_Linii'!S7="VALIDATED",AND('Calibrare_Linii'!H7=C21,ISNUMBER('Calibrare_Linii'!J7),'Calibrare_Linii'!J7&lt;='Input_Meci'!G7))),"OOS PENDING",IF(S21&lt;='Calibrare_Linii'!E7,"PASS",IF(S21&lt;='Calibrare_Linii'!F7,"PENALTY","WATCH"))))))</x:f>
        <x:v>OOS PENDING</x:v>
      </x:c>
      <x:c r="X21" s="2" t="str">
        <x:f>IF(M21="","",IF(AND(AND(J21="PASS",'Calibrare_Linii'!U7="VALID"),'Motor_Meciuri'!K7=12,'Motor_Meciuri'!L7=12,'Motor_Meciuri'!M7="NO",'Motor_Meciuri'!BL7='Motor_Meciuri'!C7,AB21&gt;='Config_v6'!$B$50,AN21&gt;='Config_v6'!$B$51,T21&lt;='Config_v6'!$B$52,L21&lt;='Config_v6'!$B$53,ISNUMBER('Calibrare_Linii'!E7),S21&lt;='Calibrare_Linii'!E7,SUM(AK21:AM21)&gt;0),"CANDIDATE","NO"))</x:f>
        <x:v>NO</x:v>
      </x:c>
      <x:c r="Y21" s="2" t="str">
        <x:f>IF(B21="","",IF(I21&lt;&gt;"READY","NOT RELEASED",IF(AND(X21="CANDIDATE",V21&gt;='Config_v6'!$B$51,W21="PASS",'Calibrare_Linii'!T7="VALIDATED",AND('Calibrare_Linii'!H7=C21,ISNUMBER('Calibrare_Linii'!J7),'Calibrare_Linii'!J7&lt;='Input_Meci'!G7)),"PASS",IF(X21="CANDIDATE","OOS PENDING","FAIL"))))</x:f>
        <x:v>FAIL</x:v>
      </x:c>
      <x:c r="Z21" s="2" t="n">
        <x:f>IF(B21="","",IF(I21&lt;&gt;"READY","",IF(OR(NOT(AND(J21="PASS",'Calibrare_Linii'!U7="VALID")),L21&gt;'Config_v6'!$B$13,W21="WATCH"),5,IF(Y21="PASS",1,MIN(5,MAX('Config_v6'!$B$42,U21)+IF(W21="PENALTY",1,0))))))</x:f>
        <x:v>2</x:v>
      </x:c>
      <x:c r="AA21" s="2" t="str">
        <x:f>IF(B21="","",IF(I21&lt;&gt;"READY","NOT RELEASED",IF(Z21=5,"NO BET",IF(OR(AB21&lt;'Config_v6'!$B$16,V21&lt;'Config_v6'!$B$18),"WATCH",IF(Z21=1,"DEFENSIV",IF(Z21=2,"PRUDENT",IF(Z21=3,"MODERAT","RIDICAT")))))))</x:f>
        <x:v>PRUDENT</x:v>
      </x:c>
      <x:c r="AB21" s="10" t="n">
        <x:f>IF(N21="","",MIN(N21,1-S21))</x:f>
        <x:v>0.8679198426226394</x:v>
      </x:c>
      <x:c r="AC21" s="2" t="n">
        <x:f>IF(AD21&lt;&gt;1,"",COUNTIFS($Z$20:$Z$33,"&lt;"&amp;Z21,$AD$20:$AD$33,1)+COUNTIFS($Z$20:$Z$33,Z21,$AB$20:$AB$33,"&gt;"&amp;AB21,$AD$20:$AD$33,1)+COUNTIFS($Z$20:$Z$33,Z21,$AB$20:$AB$33,AB21,$V$20:$V$33,"&gt;"&amp;V21,$AD$20:$AD$33,1)+COUNTIFS($Z$20:Z21,Z21,$AB$20:AB21,AB21,$V$20:V21,V21,$AD$20:AD21,1))</x:f>
        <x:v>5</x:v>
      </x:c>
      <x:c r="AD21" s="2" t="n">
        <x:f>IF(OR(AA21="DEFENSIV",AA21="PRUDENT",AA21="MODERAT",AA21="RIDICAT"),1,0)</x:f>
        <x:v>1</x:v>
      </x:c>
      <x:c r="AE21" s="2" t="str">
        <x:f>IF(AD21&lt;&gt;1,"NO",IF(W21="PASS","YES",IF(W21="OOS PENDING","CONDITIONAL","NO")))</x:f>
        <x:v>CONDITIONAL</x:v>
      </x:c>
      <x:c r="AF21" s="2" t="n">
        <x:f>IF(AND(AD21=1,AC21=1,E21="LIVE"),1,0)</x:f>
        <x:v>0</x:v>
      </x:c>
      <x:c r="AG21" s="2" t="str">
        <x:f>IF(AF21&lt;&gt;1,"",'Dashboard'!P27)</x:f>
      </x:c>
      <x:c r="AH21" s="2" t="str">
        <x:f>IF(B21="","",IF(J21&lt;&gt;"PASS",'Motor_Meciuri'!J7,IF('Calibrare_Linii'!U7&lt;&gt;"VALID","Parametri linie invalizi",IF(L21&gt;'Config_v6'!$B$13,"Dispersie peste limita",IF(W21="WATCH","Failure peste limita",IF(AB21&lt;'Config_v6'!$B$16,"P finala sub prag",IF(V21&lt;'Config_v6'!$B$18,"Confidence sub prag",IF(E21="REPLAY","Exemplu retrospectiv; exclus din Top LIVE",IF(Y21="PASS","DEFENSIV validat",IF(W21="OOS PENDING","Eligibil; calibrare linie in monitorizare","Eligibil"))))))))))</x:f>
        <x:v>Exemplu retrospectiv; exclus din Top LIVE</x:v>
      </x:c>
      <x:c r="AI21" s="2" t="str">
        <x:f>IF(B21="","",'Calibrare_Linii'!V7)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4,5|1.000000|NA|NA</x:v>
      </x:c>
      <x:c r="AJ21" s="2" t="str">
        <x:f>IF(B21="","",IF(AND('Calibrare_Linii'!T7="VALIDATED",AND('Calibrare_Linii'!H7=C21,ISNUMBER('Calibrare_Linii'!J7),'Calibrare_Linii'!J7&lt;='Input_Meci'!G7)),"DEFENSIVE VALIDATED",IF(AND('Calibrare_Linii'!S7="VALIDATED",AND('Calibrare_Linii'!H7=C21,ISNUMBER('Calibrare_Linii'!J7),'Calibrare_Linii'!J7&lt;='Input_Meci'!G7)),"TAIL VALIDATED","OOS PENDING")))</x:f>
        <x:v>OOS PENDING</x:v>
      </x:c>
      <x:c r="AK21" s="2" t="n">
        <x:f>IF(J21&lt;&gt;"PASS",0,'Motor_Meciuri'!BR7)</x:f>
        <x:v>36</x:v>
      </x:c>
      <x:c r="AL21" s="2" t="n">
        <x:f>IF(J21&lt;&gt;"PASS",0,'Motor_Meciuri'!BS7)</x:f>
        <x:v>20</x:v>
      </x:c>
      <x:c r="AM21" s="2" t="n">
        <x:f>IF(J21&lt;&gt;"PASS",0,'Motor_Meciuri'!BT7)</x:f>
        <x:v>40</x:v>
      </x:c>
      <x:c r="AN21" s="2" t="n">
        <x:f>IF(M21="","",MAX(0,'Motor_Meciuri'!BF7-IF(L21&gt;'Config_v6'!$B$12,'Config_v6'!$B$37,IF(L21&gt;'Config_v6'!$B$11,'Config_v6'!$B$36,0))))</x:f>
        <x:v>91</x:v>
      </x:c>
    </x:row>
    <x:row r="22" ht="21" customHeight="1">
      <x:c r="A22" s="2" t="n">
        <x:v>2</x:v>
      </x:c>
      <x:c r="B22" s="2" t="str">
        <x:f>IF('Motor_Meciuri'!A7="","",'Motor_Meciuri'!A7)</x:f>
        <x:v>REPLAY_2</x:v>
      </x:c>
      <x:c r="C22" s="2" t="str">
        <x:f>IF(B22="","",'Motor_Meciuri'!B7)</x:f>
        <x:v>E0</x:v>
      </x:c>
      <x:c r="D22" s="2" t="str">
        <x:f>IF(B22="","",'Motor_Meciuri'!D7)</x:f>
        <x:v>Burnley – Wolves</x:v>
      </x:c>
      <x:c r="E22" s="2" t="str">
        <x:f>IF(B22="","",'Motor_Meciuri'!E7)</x:f>
        <x:v>REPLAY</x:v>
      </x:c>
      <x:c r="F22" s="2" t="str">
        <x:v>O5,5</x:v>
      </x:c>
      <x:c r="G22" s="2" t="str">
        <x:v>OVER</x:v>
      </x:c>
      <x:c r="H22" s="2" t="n">
        <x:v>5</x:v>
      </x:c>
      <x:c r="I22" s="2" t="str">
        <x:f>IF(B22="","",'Motor_Meciuri'!H7)</x:f>
        <x:v>READY</x:v>
      </x:c>
      <x:c r="J22" s="2" t="str">
        <x:f>IF(B22="","",'Motor_Meciuri'!I7)</x:f>
        <x:v>PASS</x:v>
      </x:c>
      <x:c r="K22" s="11" t="n">
        <x:f>IF(J22&lt;&gt;"PASS","",'Motor_Meciuri'!BD7)</x:f>
        <x:v>9.471621621621622</x:v>
      </x:c>
      <x:c r="L22" s="11" t="n">
        <x:f>IF(J22&lt;&gt;"PASS","",'Motor_Meciuri'!AU7)</x:f>
        <x:v>1.0431201550387579</x:v>
      </x:c>
      <x:c r="M22" s="10" t="n">
        <x:f>IF(NOT(AND(J22="PASS",'Calibrare_Linii'!U8="VALID")),"",1-'Distributie'!AC7)</x:f>
        <x:v>0.9100926104371051</x:v>
      </x:c>
      <x:c r="N22" s="10" t="n">
        <x:f>IF(M22="","",MAX(0.01,MIN(0.99,0.5+(M22-0.5)*'Motor_Meciuri'!BG7*'Calibrare_Linii'!D8)))</x:f>
        <x:v>0.8287097318958616</x:v>
      </x:c>
      <x:c r="O22" s="10" t="n">
        <x:f>IF(M22="","",1-M22)</x:f>
        <x:v>0.0899073895628949</x:v>
      </x:c>
      <x:c r="P22" s="10" t="n">
        <x:f>IF(OR(NOT(AND(J22="PASS",'Calibrare_Linii'!U8="VALID")),AK22=0),""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*('Istoric_Nativ'!$Q$6:$Q$405&lt;=H22))/AK22)</x:f>
        <x:v>0.05555555555555555</x:v>
      </x:c>
      <x:c r="Q22" s="10" t="n">
        <x:f>IF(OR(NOT(AND(J22="PASS",'Calibrare_Linii'!U8="VALID")),AL22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M7)+((('Istoric_Nativ'!$E$6:$E$405='Input_Meci'!E7)+('Istoric_Nativ'!$F$6:$F$405='Input_Meci'!E7))&gt;0)*('Istoric_Nativ'!$D$6:$D$405&gt;='Motor_Meciuri'!BN7))&gt;0)*('Istoric_Nativ'!$Q$6:$Q$405&lt;=H22))/AL22)</x:f>
        <x:v>0.1</x:v>
      </x:c>
      <x:c r="R22" s="10" t="n">
        <x:f>IF(OR(NOT(AND(J22="PASS",'Calibrare_Linii'!U8="VALID")),AM22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O7)+((('Istoric_Nativ'!$E$6:$E$405='Input_Meci'!E7)+('Istoric_Nativ'!$F$6:$F$405='Input_Meci'!E7))&gt;0)*('Istoric_Nativ'!$D$6:$D$405&gt;='Motor_Meciuri'!BP7))&gt;0)*('Istoric_Nativ'!$Q$6:$Q$405&lt;=H22))/AM22)</x:f>
        <x:v>0.125</x:v>
      </x:c>
      <x:c r="S22" s="10" t="n">
        <x:f>IF(M22="","",MAX(O22,P22,Q22,R22))</x:f>
        <x:v>0.125</x:v>
      </x:c>
      <x:c r="T22" s="11" t="n">
        <x:f>IF(M22="","",MIN(100,S22*100*'Config_v6'!$B$44+MIN(100,L22/'Config_v6'!$B$13*100)*'Config_v6'!$B$45+(100-'Motor_Meciuri'!BF7)*'Config_v6'!$B$46+'Motor_Meciuri'!BH7*100*'Config_v6'!$B$47))</x:f>
        <x:v>17.49717915590007</x:v>
      </x:c>
      <x:c r="U22" s="2" t="n">
        <x:f>IF(T22="","",IF(T22&lt;=20,1,IF(T22&lt;=40,2,IF(T22&lt;=60,3,IF(T22&lt;=80,4,5)))))</x:f>
        <x:v>1</x:v>
      </x:c>
      <x:c r="V22" s="2" t="n">
        <x:f>IF(M22="","",MAX(0,'Motor_Meciuri'!BF7-IF(W22="OOS PENDING",'Config_v6'!$B$35,0)-IF(L22&gt;'Config_v6'!$B$12,'Config_v6'!$B$37,IF(L22&gt;'Config_v6'!$B$11,'Config_v6'!$B$36,0))))</x:f>
        <x:v>81</x:v>
      </x:c>
      <x:c r="W22" s="2" t="str">
        <x:f>IF(B22="","",IF(I22&lt;&gt;"READY","NOT RELEASED",IF(NOT(AND(J22="PASS",'Calibrare_Linii'!U8="VALID")),"INVALID",IF(NOT(AND('Calibrare_Linii'!S8="VALIDATED",AND('Calibrare_Linii'!H8=C22,ISNUMBER('Calibrare_Linii'!J8),'Calibrare_Linii'!J8&lt;='Input_Meci'!G7))),"OOS PENDING",IF(S22&lt;='Calibrare_Linii'!E8,"PASS",IF(S22&lt;='Calibrare_Linii'!F8,"PENALTY","WATCH"))))))</x:f>
        <x:v>OOS PENDING</x:v>
      </x:c>
      <x:c r="X22" s="2" t="str">
        <x:f>IF(M22="","",IF(AND(AND(J22="PASS",'Calibrare_Linii'!U8="VALID"),'Motor_Meciuri'!K7=12,'Motor_Meciuri'!L7=12,'Motor_Meciuri'!M7="NO",'Motor_Meciuri'!BL7='Motor_Meciuri'!C7,AB22&gt;='Config_v6'!$B$50,AN22&gt;='Config_v6'!$B$51,T22&lt;='Config_v6'!$B$52,L22&lt;='Config_v6'!$B$53,ISNUMBER('Calibrare_Linii'!E8),S22&lt;='Calibrare_Linii'!E8,SUM(AK22:AM22)&gt;0),"CANDIDATE","NO"))</x:f>
        <x:v>NO</x:v>
      </x:c>
      <x:c r="Y22" s="2" t="str">
        <x:f>IF(B22="","",IF(I22&lt;&gt;"READY","NOT RELEASED",IF(AND(X22="CANDIDATE",V22&gt;='Config_v6'!$B$51,W22="PASS",'Calibrare_Linii'!T8="VALIDATED",AND('Calibrare_Linii'!H8=C22,ISNUMBER('Calibrare_Linii'!J8),'Calibrare_Linii'!J8&lt;='Input_Meci'!G7)),"PASS",IF(X22="CANDIDATE","OOS PENDING","FAIL"))))</x:f>
        <x:v>FAIL</x:v>
      </x:c>
      <x:c r="Z22" s="2" t="n">
        <x:f>IF(B22="","",IF(I22&lt;&gt;"READY","",IF(OR(NOT(AND(J22="PASS",'Calibrare_Linii'!U8="VALID")),L22&gt;'Config_v6'!$B$13,W22="WATCH"),5,IF(Y22="PASS",1,MIN(5,MAX('Config_v6'!$B$42,U22)+IF(W22="PENALTY",1,0))))))</x:f>
        <x:v>2</x:v>
      </x:c>
      <x:c r="AA22" s="2" t="str">
        <x:f>IF(B22="","",IF(I22&lt;&gt;"READY","NOT RELEASED",IF(Z22=5,"NO BET",IF(OR(AB22&lt;'Config_v6'!$B$16,V22&lt;'Config_v6'!$B$18),"WATCH",IF(Z22=1,"DEFENSIV",IF(Z22=2,"PRUDENT",IF(Z22=3,"MODERAT","RIDICAT")))))))</x:f>
        <x:v>PRUDENT</x:v>
      </x:c>
      <x:c r="AB22" s="10" t="n">
        <x:f>IF(N22="","",MIN(N22,1-S22))</x:f>
        <x:v>0.8287097318958616</x:v>
      </x:c>
      <x:c r="AC22" s="2" t="n">
        <x:f>IF(AD22&lt;&gt;1,"",COUNTIFS($Z$20:$Z$33,"&lt;"&amp;Z22,$AD$20:$AD$33,1)+COUNTIFS($Z$20:$Z$33,Z22,$AB$20:$AB$33,"&gt;"&amp;AB22,$AD$20:$AD$33,1)+COUNTIFS($Z$20:$Z$33,Z22,$AB$20:$AB$33,AB22,$V$20:$V$33,"&gt;"&amp;V22,$AD$20:$AD$33,1)+COUNTIFS($Z$20:Z22,Z22,$AB$20:AB22,AB22,$V$20:V22,V22,$AD$20:AD22,1))</x:f>
        <x:v>7</x:v>
      </x:c>
      <x:c r="AD22" s="2" t="n">
        <x:f>IF(OR(AA22="DEFENSIV",AA22="PRUDENT",AA22="MODERAT",AA22="RIDICAT"),1,0)</x:f>
        <x:v>1</x:v>
      </x:c>
      <x:c r="AE22" s="2" t="str">
        <x:f>IF(AD22&lt;&gt;1,"NO",IF(W22="PASS","YES",IF(W22="OOS PENDING","CONDITIONAL","NO")))</x:f>
        <x:v>CONDITIONAL</x:v>
      </x:c>
      <x:c r="AF22" s="2" t="n">
        <x:f>IF(AND(AD22=1,AC22=1,E22="LIVE"),1,0)</x:f>
        <x:v>0</x:v>
      </x:c>
      <x:c r="AG22" s="2" t="str">
        <x:f>IF(AF22&lt;&gt;1,"",'Dashboard'!P27)</x:f>
      </x:c>
      <x:c r="AH22" s="2" t="str">
        <x:f>IF(B22="","",IF(J22&lt;&gt;"PASS",'Motor_Meciuri'!J7,IF('Calibrare_Linii'!U8&lt;&gt;"VALID","Parametri linie invalizi",IF(L22&gt;'Config_v6'!$B$13,"Dispersie peste limita",IF(W22="WATCH","Failure peste limita",IF(AB22&lt;'Config_v6'!$B$16,"P finala sub prag",IF(V22&lt;'Config_v6'!$B$18,"Confidence sub prag",IF(E22="REPLAY","Exemplu retrospectiv; exclus din Top LIVE",IF(Y22="PASS","DEFENSIV validat",IF(W22="OOS PENDING","Eligibil; calibrare linie in monitorizare","Eligibil"))))))))))</x:f>
        <x:v>Exemplu retrospectiv; exclus din Top LIVE</x:v>
      </x:c>
      <x:c r="AI22" s="2" t="str">
        <x:f>IF(B22="","",'Calibrare_Linii'!V8)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5,5|1.000000|NA|NA</x:v>
      </x:c>
      <x:c r="AJ22" s="2" t="str">
        <x:f>IF(B22="","",IF(AND('Calibrare_Linii'!T8="VALIDATED",AND('Calibrare_Linii'!H8=C22,ISNUMBER('Calibrare_Linii'!J8),'Calibrare_Linii'!J8&lt;='Input_Meci'!G7)),"DEFENSIVE VALIDATED",IF(AND('Calibrare_Linii'!S8="VALIDATED",AND('Calibrare_Linii'!H8=C22,ISNUMBER('Calibrare_Linii'!J8),'Calibrare_Linii'!J8&lt;='Input_Meci'!G7)),"TAIL VALIDATED","OOS PENDING")))</x:f>
        <x:v>OOS PENDING</x:v>
      </x:c>
      <x:c r="AK22" s="2" t="n">
        <x:f>IF(J22&lt;&gt;"PASS",0,'Motor_Meciuri'!BR7)</x:f>
        <x:v>36</x:v>
      </x:c>
      <x:c r="AL22" s="2" t="n">
        <x:f>IF(J22&lt;&gt;"PASS",0,'Motor_Meciuri'!BS7)</x:f>
        <x:v>20</x:v>
      </x:c>
      <x:c r="AM22" s="2" t="n">
        <x:f>IF(J22&lt;&gt;"PASS",0,'Motor_Meciuri'!BT7)</x:f>
        <x:v>40</x:v>
      </x:c>
      <x:c r="AN22" s="2" t="n">
        <x:f>IF(M22="","",MAX(0,'Motor_Meciuri'!BF7-IF(L22&gt;'Config_v6'!$B$12,'Config_v6'!$B$37,IF(L22&gt;'Config_v6'!$B$11,'Config_v6'!$B$36,0))))</x:f>
        <x:v>91</x:v>
      </x:c>
    </x:row>
    <x:row r="23" ht="21" customHeight="1">
      <x:c r="A23" s="2" t="n">
        <x:v>2</x:v>
      </x:c>
      <x:c r="B23" s="2" t="str">
        <x:f>IF('Motor_Meciuri'!A7="","",'Motor_Meciuri'!A7)</x:f>
        <x:v>REPLAY_2</x:v>
      </x:c>
      <x:c r="C23" s="2" t="str">
        <x:f>IF(B23="","",'Motor_Meciuri'!B7)</x:f>
        <x:v>E0</x:v>
      </x:c>
      <x:c r="D23" s="2" t="str">
        <x:f>IF(B23="","",'Motor_Meciuri'!D7)</x:f>
        <x:v>Burnley – Wolves</x:v>
      </x:c>
      <x:c r="E23" s="2" t="str">
        <x:f>IF(B23="","",'Motor_Meciuri'!E7)</x:f>
        <x:v>REPLAY</x:v>
      </x:c>
      <x:c r="F23" s="2" t="str">
        <x:v>O6,5</x:v>
      </x:c>
      <x:c r="G23" s="2" t="str">
        <x:v>OVER</x:v>
      </x:c>
      <x:c r="H23" s="2" t="n">
        <x:v>6</x:v>
      </x:c>
      <x:c r="I23" s="2" t="str">
        <x:f>IF(B23="","",'Motor_Meciuri'!H7)</x:f>
        <x:v>READY</x:v>
      </x:c>
      <x:c r="J23" s="2" t="str">
        <x:f>IF(B23="","",'Motor_Meciuri'!I7)</x:f>
        <x:v>PASS</x:v>
      </x:c>
      <x:c r="K23" s="11" t="n">
        <x:f>IF(J23&lt;&gt;"PASS","",'Motor_Meciuri'!BD7)</x:f>
        <x:v>9.471621621621622</x:v>
      </x:c>
      <x:c r="L23" s="11" t="n">
        <x:f>IF(J23&lt;&gt;"PASS","",'Motor_Meciuri'!AU7)</x:f>
        <x:v>1.0431201550387579</x:v>
      </x:c>
      <x:c r="M23" s="10" t="n">
        <x:f>IF(NOT(AND(J23="PASS",'Calibrare_Linii'!U9="VALID")),"",1-'Distributie'!AD7)</x:f>
        <x:v>0.8328707002743106</x:v>
      </x:c>
      <x:c r="N23" s="10" t="n">
        <x:f>IF(M23="","",MAX(0.01,MIN(0.99,0.5+(M23-0.5)*'Motor_Meciuri'!BG7*'Calibrare_Linii'!D9)))</x:f>
        <x:v>0.7668125098048737</x:v>
      </x:c>
      <x:c r="O23" s="10" t="n">
        <x:f>IF(M23="","",1-M23)</x:f>
        <x:v>0.16712929972568935</x:v>
      </x:c>
      <x:c r="P23" s="10" t="n">
        <x:f>IF(OR(NOT(AND(J23="PASS",'Calibrare_Linii'!U9="VALID")),AK23=0),""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*('Istoric_Nativ'!$Q$6:$Q$405&lt;=H23))/AK23)</x:f>
        <x:v>0.1111111111111111</x:v>
      </x:c>
      <x:c r="Q23" s="10" t="n">
        <x:f>IF(OR(NOT(AND(J23="PASS",'Calibrare_Linii'!U9="VALID")),AL23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M7)+((('Istoric_Nativ'!$E$6:$E$405='Input_Meci'!E7)+('Istoric_Nativ'!$F$6:$F$405='Input_Meci'!E7))&gt;0)*('Istoric_Nativ'!$D$6:$D$405&gt;='Motor_Meciuri'!BN7))&gt;0)*('Istoric_Nativ'!$Q$6:$Q$405&lt;=H23))/AL23)</x:f>
        <x:v>0.2</x:v>
      </x:c>
      <x:c r="R23" s="10" t="n">
        <x:f>IF(OR(NOT(AND(J23="PASS",'Calibrare_Linii'!U9="VALID")),AM23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O7)+((('Istoric_Nativ'!$E$6:$E$405='Input_Meci'!E7)+('Istoric_Nativ'!$F$6:$F$405='Input_Meci'!E7))&gt;0)*('Istoric_Nativ'!$D$6:$D$405&gt;='Motor_Meciuri'!BP7))&gt;0)*('Istoric_Nativ'!$Q$6:$Q$405&lt;=H23))/AM23)</x:f>
        <x:v>0.175</x:v>
      </x:c>
      <x:c r="S23" s="10" t="n">
        <x:f>IF(M23="","",MAX(O23,P23,Q23,R23))</x:f>
        <x:v>0.2</x:v>
      </x:c>
      <x:c r="T23" s="11" t="n">
        <x:f>IF(M23="","",MIN(100,S23*100*'Config_v6'!$B$44+MIN(100,L23/'Config_v6'!$B$13*100)*'Config_v6'!$B$45+(100-'Motor_Meciuri'!BF7)*'Config_v6'!$B$46+'Motor_Meciuri'!BH7*100*'Config_v6'!$B$47))</x:f>
        <x:v>21.62217915590007</x:v>
      </x:c>
      <x:c r="U23" s="2" t="n">
        <x:f>IF(T23="","",IF(T23&lt;=20,1,IF(T23&lt;=40,2,IF(T23&lt;=60,3,IF(T23&lt;=80,4,5)))))</x:f>
        <x:v>2</x:v>
      </x:c>
      <x:c r="V23" s="2" t="n">
        <x:f>IF(M23="","",MAX(0,'Motor_Meciuri'!BF7-IF(W23="OOS PENDING",'Config_v6'!$B$35,0)-IF(L23&gt;'Config_v6'!$B$12,'Config_v6'!$B$37,IF(L23&gt;'Config_v6'!$B$11,'Config_v6'!$B$36,0))))</x:f>
        <x:v>81</x:v>
      </x:c>
      <x:c r="W23" s="2" t="str">
        <x:f>IF(B23="","",IF(I23&lt;&gt;"READY","NOT RELEASED",IF(NOT(AND(J23="PASS",'Calibrare_Linii'!U9="VALID")),"INVALID",IF(NOT(AND('Calibrare_Linii'!S9="VALIDATED",AND('Calibrare_Linii'!H9=C23,ISNUMBER('Calibrare_Linii'!J9),'Calibrare_Linii'!J9&lt;='Input_Meci'!G7))),"OOS PENDING",IF(S23&lt;='Calibrare_Linii'!E9,"PASS",IF(S23&lt;='Calibrare_Linii'!F9,"PENALTY","WATCH"))))))</x:f>
        <x:v>OOS PENDING</x:v>
      </x:c>
      <x:c r="X23" s="2" t="str">
        <x:f>IF(M23="","",IF(AND(AND(J23="PASS",'Calibrare_Linii'!U9="VALID"),'Motor_Meciuri'!K7=12,'Motor_Meciuri'!L7=12,'Motor_Meciuri'!M7="NO",'Motor_Meciuri'!BL7='Motor_Meciuri'!C7,AB23&gt;='Config_v6'!$B$50,AN23&gt;='Config_v6'!$B$51,T23&lt;='Config_v6'!$B$52,L23&lt;='Config_v6'!$B$53,ISNUMBER('Calibrare_Linii'!E9),S23&lt;='Calibrare_Linii'!E9,SUM(AK23:AM23)&gt;0),"CANDIDATE","NO"))</x:f>
        <x:v>NO</x:v>
      </x:c>
      <x:c r="Y23" s="2" t="str">
        <x:f>IF(B23="","",IF(I23&lt;&gt;"READY","NOT RELEASED",IF(AND(X23="CANDIDATE",V23&gt;='Config_v6'!$B$51,W23="PASS",'Calibrare_Linii'!T9="VALIDATED",AND('Calibrare_Linii'!H9=C23,ISNUMBER('Calibrare_Linii'!J9),'Calibrare_Linii'!J9&lt;='Input_Meci'!G7)),"PASS",IF(X23="CANDIDATE","OOS PENDING","FAIL"))))</x:f>
        <x:v>FAIL</x:v>
      </x:c>
      <x:c r="Z23" s="2" t="n">
        <x:f>IF(B23="","",IF(I23&lt;&gt;"READY","",IF(OR(NOT(AND(J23="PASS",'Calibrare_Linii'!U9="VALID")),L23&gt;'Config_v6'!$B$13,W23="WATCH"),5,IF(Y23="PASS",1,MIN(5,MAX('Config_v6'!$B$42,U23)+IF(W23="PENALTY",1,0))))))</x:f>
        <x:v>2</x:v>
      </x:c>
      <x:c r="AA23" s="2" t="str">
        <x:f>IF(B23="","",IF(I23&lt;&gt;"READY","NOT RELEASED",IF(Z23=5,"NO BET",IF(OR(AB23&lt;'Config_v6'!$B$16,V23&lt;'Config_v6'!$B$18),"WATCH",IF(Z23=1,"DEFENSIV",IF(Z23=2,"PRUDENT",IF(Z23=3,"MODERAT","RIDICAT")))))))</x:f>
        <x:v>PRUDENT</x:v>
      </x:c>
      <x:c r="AB23" s="10" t="n">
        <x:f>IF(N23="","",MIN(N23,1-S23))</x:f>
        <x:v>0.7668125098048737</x:v>
      </x:c>
      <x:c r="AC23" s="2" t="n">
        <x:f>IF(AD23&lt;&gt;1,"",COUNTIFS($Z$20:$Z$33,"&lt;"&amp;Z23,$AD$20:$AD$33,1)+COUNTIFS($Z$20:$Z$33,Z23,$AB$20:$AB$33,"&gt;"&amp;AB23,$AD$20:$AD$33,1)+COUNTIFS($Z$20:$Z$33,Z23,$AB$20:$AB$33,AB23,$V$20:$V$33,"&gt;"&amp;V23,$AD$20:$AD$33,1)+COUNTIFS($Z$20:Z23,Z23,$AB$20:AB23,AB23,$V$20:V23,V23,$AD$20:AD23,1))</x:f>
        <x:v>10</x:v>
      </x:c>
      <x:c r="AD23" s="2" t="n">
        <x:f>IF(OR(AA23="DEFENSIV",AA23="PRUDENT",AA23="MODERAT",AA23="RIDICAT"),1,0)</x:f>
        <x:v>1</x:v>
      </x:c>
      <x:c r="AE23" s="2" t="str">
        <x:f>IF(AD23&lt;&gt;1,"NO",IF(W23="PASS","YES",IF(W23="OOS PENDING","CONDITIONAL","NO")))</x:f>
        <x:v>CONDITIONAL</x:v>
      </x:c>
      <x:c r="AF23" s="2" t="n">
        <x:f>IF(AND(AD23=1,AC23=1,E23="LIVE"),1,0)</x:f>
        <x:v>0</x:v>
      </x:c>
      <x:c r="AG23" s="2" t="str">
        <x:f>IF(AF23&lt;&gt;1,"",'Dashboard'!P27)</x:f>
      </x:c>
      <x:c r="AH23" s="2" t="str">
        <x:f>IF(B23="","",IF(J23&lt;&gt;"PASS",'Motor_Meciuri'!J7,IF('Calibrare_Linii'!U9&lt;&gt;"VALID","Parametri linie invalizi",IF(L23&gt;'Config_v6'!$B$13,"Dispersie peste limita",IF(W23="WATCH","Failure peste limita",IF(AB23&lt;'Config_v6'!$B$16,"P finala sub prag",IF(V23&lt;'Config_v6'!$B$18,"Confidence sub prag",IF(E23="REPLAY","Exemplu retrospectiv; exclus din Top LIVE",IF(Y23="PASS","DEFENSIV validat",IF(W23="OOS PENDING","Eligibil; calibrare linie in monitorizare","Eligibil"))))))))))</x:f>
        <x:v>Exemplu retrospectiv; exclus din Top LIVE</x:v>
      </x:c>
      <x:c r="AI23" s="2" t="str">
        <x:f>IF(B23="","",'Calibrare_Linii'!V9)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6,5|1.000000|NA|NA</x:v>
      </x:c>
      <x:c r="AJ23" s="2" t="str">
        <x:f>IF(B23="","",IF(AND('Calibrare_Linii'!T9="VALIDATED",AND('Calibrare_Linii'!H9=C23,ISNUMBER('Calibrare_Linii'!J9),'Calibrare_Linii'!J9&lt;='Input_Meci'!G7)),"DEFENSIVE VALIDATED",IF(AND('Calibrare_Linii'!S9="VALIDATED",AND('Calibrare_Linii'!H9=C23,ISNUMBER('Calibrare_Linii'!J9),'Calibrare_Linii'!J9&lt;='Input_Meci'!G7)),"TAIL VALIDATED","OOS PENDING")))</x:f>
        <x:v>OOS PENDING</x:v>
      </x:c>
      <x:c r="AK23" s="2" t="n">
        <x:f>IF(J23&lt;&gt;"PASS",0,'Motor_Meciuri'!BR7)</x:f>
        <x:v>36</x:v>
      </x:c>
      <x:c r="AL23" s="2" t="n">
        <x:f>IF(J23&lt;&gt;"PASS",0,'Motor_Meciuri'!BS7)</x:f>
        <x:v>20</x:v>
      </x:c>
      <x:c r="AM23" s="2" t="n">
        <x:f>IF(J23&lt;&gt;"PASS",0,'Motor_Meciuri'!BT7)</x:f>
        <x:v>40</x:v>
      </x:c>
      <x:c r="AN23" s="2" t="n">
        <x:f>IF(M23="","",MAX(0,'Motor_Meciuri'!BF7-IF(L23&gt;'Config_v6'!$B$12,'Config_v6'!$B$37,IF(L23&gt;'Config_v6'!$B$11,'Config_v6'!$B$36,0))))</x:f>
        <x:v>91</x:v>
      </x:c>
    </x:row>
    <x:row r="24" ht="21" customHeight="1">
      <x:c r="A24" s="2" t="n">
        <x:v>2</x:v>
      </x:c>
      <x:c r="B24" s="2" t="str">
        <x:f>IF('Motor_Meciuri'!A7="","",'Motor_Meciuri'!A7)</x:f>
        <x:v>REPLAY_2</x:v>
      </x:c>
      <x:c r="C24" s="2" t="str">
        <x:f>IF(B24="","",'Motor_Meciuri'!B7)</x:f>
        <x:v>E0</x:v>
      </x:c>
      <x:c r="D24" s="2" t="str">
        <x:f>IF(B24="","",'Motor_Meciuri'!D7)</x:f>
        <x:v>Burnley – Wolves</x:v>
      </x:c>
      <x:c r="E24" s="2" t="str">
        <x:f>IF(B24="","",'Motor_Meciuri'!E7)</x:f>
        <x:v>REPLAY</x:v>
      </x:c>
      <x:c r="F24" s="2" t="str">
        <x:v>O7,5</x:v>
      </x:c>
      <x:c r="G24" s="2" t="str">
        <x:v>OVER</x:v>
      </x:c>
      <x:c r="H24" s="2" t="n">
        <x:v>7</x:v>
      </x:c>
      <x:c r="I24" s="2" t="str">
        <x:f>IF(B24="","",'Motor_Meciuri'!H7)</x:f>
        <x:v>READY</x:v>
      </x:c>
      <x:c r="J24" s="2" t="str">
        <x:f>IF(B24="","",'Motor_Meciuri'!I7)</x:f>
        <x:v>PASS</x:v>
      </x:c>
      <x:c r="K24" s="11" t="n">
        <x:f>IF(J24&lt;&gt;"PASS","",'Motor_Meciuri'!BD7)</x:f>
        <x:v>9.471621621621622</x:v>
      </x:c>
      <x:c r="L24" s="11" t="n">
        <x:f>IF(J24&lt;&gt;"PASS","",'Motor_Meciuri'!AU7)</x:f>
        <x:v>1.0431201550387579</x:v>
      </x:c>
      <x:c r="M24" s="10" t="n">
        <x:f>IF(NOT(AND(J24="PASS",'Calibrare_Linii'!U10="VALID")),"",1-'Distributie'!AE7)</x:f>
        <x:v>0.7283825982799039</x:v>
      </x:c>
      <x:c r="N24" s="10" t="n">
        <x:f>IF(M24="","",MAX(0.01,MIN(0.99,0.5+(M24-0.5)*'Motor_Meciuri'!BG7*'Calibrare_Linii'!D10)))</x:f>
        <x:v>0.6830600716512569</x:v>
      </x:c>
      <x:c r="O24" s="10" t="n">
        <x:f>IF(M24="","",1-M24)</x:f>
        <x:v>0.2716174017200961</x:v>
      </x:c>
      <x:c r="P24" s="10" t="n">
        <x:f>IF(OR(NOT(AND(J24="PASS",'Calibrare_Linii'!U10="VALID")),AK24=0),""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*('Istoric_Nativ'!$Q$6:$Q$405&lt;=H24))/AK24)</x:f>
        <x:v>0.2777777777777778</x:v>
      </x:c>
      <x:c r="Q24" s="10" t="n">
        <x:f>IF(OR(NOT(AND(J24="PASS",'Calibrare_Linii'!U10="VALID")),AL24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M7)+((('Istoric_Nativ'!$E$6:$E$405='Input_Meci'!E7)+('Istoric_Nativ'!$F$6:$F$405='Input_Meci'!E7))&gt;0)*('Istoric_Nativ'!$D$6:$D$405&gt;='Motor_Meciuri'!BN7))&gt;0)*('Istoric_Nativ'!$Q$6:$Q$405&lt;=H24))/AL24)</x:f>
        <x:v>0.25</x:v>
      </x:c>
      <x:c r="R24" s="10" t="n">
        <x:f>IF(OR(NOT(AND(J24="PASS",'Calibrare_Linii'!U10="VALID")),AM24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O7)+((('Istoric_Nativ'!$E$6:$E$405='Input_Meci'!E7)+('Istoric_Nativ'!$F$6:$F$405='Input_Meci'!E7))&gt;0)*('Istoric_Nativ'!$D$6:$D$405&gt;='Motor_Meciuri'!BP7))&gt;0)*('Istoric_Nativ'!$Q$6:$Q$405&lt;=H24))/AM24)</x:f>
        <x:v>0.275</x:v>
      </x:c>
      <x:c r="S24" s="10" t="n">
        <x:f>IF(M24="","",MAX(O24,P24,Q24,R24))</x:f>
        <x:v>0.2777777777777778</x:v>
      </x:c>
      <x:c r="T24" s="11" t="n">
        <x:f>IF(M24="","",MIN(100,S24*100*'Config_v6'!$B$44+MIN(100,L24/'Config_v6'!$B$13*100)*'Config_v6'!$B$45+(100-'Motor_Meciuri'!BF7)*'Config_v6'!$B$46+'Motor_Meciuri'!BH7*100*'Config_v6'!$B$47))</x:f>
        <x:v>25.89995693367785</x:v>
      </x:c>
      <x:c r="U24" s="2" t="n">
        <x:f>IF(T24="","",IF(T24&lt;=20,1,IF(T24&lt;=40,2,IF(T24&lt;=60,3,IF(T24&lt;=80,4,5)))))</x:f>
        <x:v>2</x:v>
      </x:c>
      <x:c r="V24" s="2" t="n">
        <x:f>IF(M24="","",MAX(0,'Motor_Meciuri'!BF7-IF(W24="OOS PENDING",'Config_v6'!$B$35,0)-IF(L24&gt;'Config_v6'!$B$12,'Config_v6'!$B$37,IF(L24&gt;'Config_v6'!$B$11,'Config_v6'!$B$36,0))))</x:f>
        <x:v>81</x:v>
      </x:c>
      <x:c r="W24" s="2" t="str">
        <x:f>IF(B24="","",IF(I24&lt;&gt;"READY","NOT RELEASED",IF(NOT(AND(J24="PASS",'Calibrare_Linii'!U10="VALID")),"INVALID",IF(NOT(AND('Calibrare_Linii'!S10="VALIDATED",AND('Calibrare_Linii'!H10=C24,ISNUMBER('Calibrare_Linii'!J10),'Calibrare_Linii'!J10&lt;='Input_Meci'!G7))),"OOS PENDING",IF(S24&lt;='Calibrare_Linii'!E10,"PASS",IF(S24&lt;='Calibrare_Linii'!F10,"PENALTY","WATCH"))))))</x:f>
        <x:v>OOS PENDING</x:v>
      </x:c>
      <x:c r="X24" s="2" t="str">
        <x:f>IF(M24="","",IF(AND(AND(J24="PASS",'Calibrare_Linii'!U10="VALID"),'Motor_Meciuri'!K7=12,'Motor_Meciuri'!L7=12,'Motor_Meciuri'!M7="NO",'Motor_Meciuri'!BL7='Motor_Meciuri'!C7,AB24&gt;='Config_v6'!$B$50,AN24&gt;='Config_v6'!$B$51,T24&lt;='Config_v6'!$B$52,L24&lt;='Config_v6'!$B$53,ISNUMBER('Calibrare_Linii'!E10),S24&lt;='Calibrare_Linii'!E10,SUM(AK24:AM24)&gt;0),"CANDIDATE","NO"))</x:f>
        <x:v>NO</x:v>
      </x:c>
      <x:c r="Y24" s="2" t="str">
        <x:f>IF(B24="","",IF(I24&lt;&gt;"READY","NOT RELEASED",IF(AND(X24="CANDIDATE",V24&gt;='Config_v6'!$B$51,W24="PASS",'Calibrare_Linii'!T10="VALIDATED",AND('Calibrare_Linii'!H10=C24,ISNUMBER('Calibrare_Linii'!J10),'Calibrare_Linii'!J10&lt;='Input_Meci'!G7)),"PASS",IF(X24="CANDIDATE","OOS PENDING","FAIL"))))</x:f>
        <x:v>FAIL</x:v>
      </x:c>
      <x:c r="Z24" s="2" t="n">
        <x:f>IF(B24="","",IF(I24&lt;&gt;"READY","",IF(OR(NOT(AND(J24="PASS",'Calibrare_Linii'!U10="VALID")),L24&gt;'Config_v6'!$B$13,W24="WATCH"),5,IF(Y24="PASS",1,MIN(5,MAX('Config_v6'!$B$42,U24)+IF(W24="PENALTY",1,0))))))</x:f>
        <x:v>2</x:v>
      </x:c>
      <x:c r="AA24" s="2" t="str">
        <x:f>IF(B24="","",IF(I24&lt;&gt;"READY","NOT RELEASED",IF(Z24=5,"NO BET",IF(OR(AB24&lt;'Config_v6'!$B$16,V24&lt;'Config_v6'!$B$18),"WATCH",IF(Z24=1,"DEFENSIV",IF(Z24=2,"PRUDENT",IF(Z24=3,"MODERAT","RIDICAT")))))))</x:f>
        <x:v>WATCH</x:v>
      </x:c>
      <x:c r="AB24" s="10" t="n">
        <x:f>IF(N24="","",MIN(N24,1-S24))</x:f>
        <x:v>0.6830600716512569</x:v>
      </x:c>
      <x:c r="AC24" s="2" t="str">
        <x:f>IF(AD24&lt;&gt;1,"",COUNTIFS($Z$20:$Z$33,"&lt;"&amp;Z24,$AD$20:$AD$33,1)+COUNTIFS($Z$20:$Z$33,Z24,$AB$20:$AB$33,"&gt;"&amp;AB24,$AD$20:$AD$33,1)+COUNTIFS($Z$20:$Z$33,Z24,$AB$20:$AB$33,AB24,$V$20:$V$33,"&gt;"&amp;V24,$AD$20:$AD$33,1)+COUNTIFS($Z$20:Z24,Z24,$AB$20:AB24,AB24,$V$20:V24,V24,$AD$20:AD24,1))</x:f>
      </x:c>
      <x:c r="AD24" s="2" t="n">
        <x:f>IF(OR(AA24="DEFENSIV",AA24="PRUDENT",AA24="MODERAT",AA24="RIDICAT"),1,0)</x:f>
        <x:v>0</x:v>
      </x:c>
      <x:c r="AE24" s="2" t="str">
        <x:f>IF(AD24&lt;&gt;1,"NO",IF(W24="PASS","YES",IF(W24="OOS PENDING","CONDITIONAL","NO")))</x:f>
        <x:v>NO</x:v>
      </x:c>
      <x:c r="AF24" s="2" t="n">
        <x:f>IF(AND(AD24=1,AC24=1,E24="LIVE"),1,0)</x:f>
        <x:v>0</x:v>
      </x:c>
      <x:c r="AG24" s="2" t="str">
        <x:f>IF(AF24&lt;&gt;1,"",'Dashboard'!P27)</x:f>
      </x:c>
      <x:c r="AH24" s="2" t="str">
        <x:f>IF(B24="","",IF(J24&lt;&gt;"PASS",'Motor_Meciuri'!J7,IF('Calibrare_Linii'!U10&lt;&gt;"VALID","Parametri linie invalizi",IF(L24&gt;'Config_v6'!$B$13,"Dispersie peste limita",IF(W24="WATCH","Failure peste limita",IF(AB24&lt;'Config_v6'!$B$16,"P finala sub prag",IF(V24&lt;'Config_v6'!$B$18,"Confidence sub prag",IF(E24="REPLAY","Exemplu retrospectiv; exclus din Top LIVE",IF(Y24="PASS","DEFENSIV validat",IF(W24="OOS PENDING","Eligibil; calibrare linie in monitorizare","Eligibil"))))))))))</x:f>
        <x:v>P finala sub prag</x:v>
      </x:c>
      <x:c r="AI24" s="2" t="str">
        <x:f>IF(B24="","",'Calibrare_Linii'!V10)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7,5|1.000000|NA|NA</x:v>
      </x:c>
      <x:c r="AJ24" s="2" t="str">
        <x:f>IF(B24="","",IF(AND('Calibrare_Linii'!T10="VALIDATED",AND('Calibrare_Linii'!H10=C24,ISNUMBER('Calibrare_Linii'!J10),'Calibrare_Linii'!J10&lt;='Input_Meci'!G7)),"DEFENSIVE VALIDATED",IF(AND('Calibrare_Linii'!S10="VALIDATED",AND('Calibrare_Linii'!H10=C24,ISNUMBER('Calibrare_Linii'!J10),'Calibrare_Linii'!J10&lt;='Input_Meci'!G7)),"TAIL VALIDATED","OOS PENDING")))</x:f>
        <x:v>OOS PENDING</x:v>
      </x:c>
      <x:c r="AK24" s="2" t="n">
        <x:f>IF(J24&lt;&gt;"PASS",0,'Motor_Meciuri'!BR7)</x:f>
        <x:v>36</x:v>
      </x:c>
      <x:c r="AL24" s="2" t="n">
        <x:f>IF(J24&lt;&gt;"PASS",0,'Motor_Meciuri'!BS7)</x:f>
        <x:v>20</x:v>
      </x:c>
      <x:c r="AM24" s="2" t="n">
        <x:f>IF(J24&lt;&gt;"PASS",0,'Motor_Meciuri'!BT7)</x:f>
        <x:v>40</x:v>
      </x:c>
      <x:c r="AN24" s="2" t="n">
        <x:f>IF(M24="","",MAX(0,'Motor_Meciuri'!BF7-IF(L24&gt;'Config_v6'!$B$12,'Config_v6'!$B$37,IF(L24&gt;'Config_v6'!$B$11,'Config_v6'!$B$36,0))))</x:f>
        <x:v>91</x:v>
      </x:c>
    </x:row>
    <x:row r="25" ht="21" customHeight="1">
      <x:c r="A25" s="2" t="n">
        <x:v>2</x:v>
      </x:c>
      <x:c r="B25" s="2" t="str">
        <x:f>IF('Motor_Meciuri'!A7="","",'Motor_Meciuri'!A7)</x:f>
        <x:v>REPLAY_2</x:v>
      </x:c>
      <x:c r="C25" s="2" t="str">
        <x:f>IF(B25="","",'Motor_Meciuri'!B7)</x:f>
        <x:v>E0</x:v>
      </x:c>
      <x:c r="D25" s="2" t="str">
        <x:f>IF(B25="","",'Motor_Meciuri'!D7)</x:f>
        <x:v>Burnley – Wolves</x:v>
      </x:c>
      <x:c r="E25" s="2" t="str">
        <x:f>IF(B25="","",'Motor_Meciuri'!E7)</x:f>
        <x:v>REPLAY</x:v>
      </x:c>
      <x:c r="F25" s="2" t="str">
        <x:v>O8,5</x:v>
      </x:c>
      <x:c r="G25" s="2" t="str">
        <x:v>OVER</x:v>
      </x:c>
      <x:c r="H25" s="2" t="n">
        <x:v>8</x:v>
      </x:c>
      <x:c r="I25" s="2" t="str">
        <x:f>IF(B25="","",'Motor_Meciuri'!H7)</x:f>
        <x:v>READY</x:v>
      </x:c>
      <x:c r="J25" s="2" t="str">
        <x:f>IF(B25="","",'Motor_Meciuri'!I7)</x:f>
        <x:v>PASS</x:v>
      </x:c>
      <x:c r="K25" s="11" t="n">
        <x:f>IF(J25&lt;&gt;"PASS","",'Motor_Meciuri'!BD7)</x:f>
        <x:v>9.471621621621622</x:v>
      </x:c>
      <x:c r="L25" s="11" t="n">
        <x:f>IF(J25&lt;&gt;"PASS","",'Motor_Meciuri'!AU7)</x:f>
        <x:v>1.0431201550387579</x:v>
      </x:c>
      <x:c r="M25" s="10" t="n">
        <x:f>IF(NOT(AND(J25="PASS",'Calibrare_Linii'!U11="VALID")),"",1-'Distributie'!AF7)</x:f>
        <x:v>0.6046736275233505</x:v>
      </x:c>
      <x:c r="N25" s="10" t="n">
        <x:f>IF(M25="","",MAX(0.01,MIN(0.99,0.5+(M25-0.5)*'Motor_Meciuri'!BG7*'Calibrare_Linii'!D11)))</x:f>
        <x:v>0.5839011461413416</x:v>
      </x:c>
      <x:c r="O25" s="10" t="n">
        <x:f>IF(M25="","",1-M25)</x:f>
        <x:v>0.3953263724766495</x:v>
      </x:c>
      <x:c r="P25" s="10" t="n">
        <x:f>IF(OR(NOT(AND(J25="PASS",'Calibrare_Linii'!U11="VALID")),AK25=0),""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*('Istoric_Nativ'!$Q$6:$Q$405&lt;=H25))/AK25)</x:f>
        <x:v>0.3611111111111111</x:v>
      </x:c>
      <x:c r="Q25" s="10" t="n">
        <x:f>IF(OR(NOT(AND(J25="PASS",'Calibrare_Linii'!U11="VALID")),AL25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M7)+((('Istoric_Nativ'!$E$6:$E$405='Input_Meci'!E7)+('Istoric_Nativ'!$F$6:$F$405='Input_Meci'!E7))&gt;0)*('Istoric_Nativ'!$D$6:$D$405&gt;='Motor_Meciuri'!BN7))&gt;0)*('Istoric_Nativ'!$Q$6:$Q$405&lt;=H25))/AL25)</x:f>
        <x:v>0.35</x:v>
      </x:c>
      <x:c r="R25" s="10" t="n">
        <x:f>IF(OR(NOT(AND(J25="PASS",'Calibrare_Linii'!U11="VALID")),AM25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O7)+((('Istoric_Nativ'!$E$6:$E$405='Input_Meci'!E7)+('Istoric_Nativ'!$F$6:$F$405='Input_Meci'!E7))&gt;0)*('Istoric_Nativ'!$D$6:$D$405&gt;='Motor_Meciuri'!BP7))&gt;0)*('Istoric_Nativ'!$Q$6:$Q$405&lt;=H25))/AM25)</x:f>
        <x:v>0.375</x:v>
      </x:c>
      <x:c r="S25" s="10" t="n">
        <x:f>IF(M25="","",MAX(O25,P25,Q25,R25))</x:f>
        <x:v>0.3953263724766495</x:v>
      </x:c>
      <x:c r="T25" s="11" t="n">
        <x:f>IF(M25="","",MIN(100,S25*100*'Config_v6'!$B$44+MIN(100,L25/'Config_v6'!$B$13*100)*'Config_v6'!$B$45+(100-'Motor_Meciuri'!BF7)*'Config_v6'!$B$46+'Motor_Meciuri'!BH7*100*'Config_v6'!$B$47))</x:f>
        <x:v>32.3651296421158</x:v>
      </x:c>
      <x:c r="U25" s="2" t="n">
        <x:f>IF(T25="","",IF(T25&lt;=20,1,IF(T25&lt;=40,2,IF(T25&lt;=60,3,IF(T25&lt;=80,4,5)))))</x:f>
        <x:v>2</x:v>
      </x:c>
      <x:c r="V25" s="2" t="n">
        <x:f>IF(M25="","",MAX(0,'Motor_Meciuri'!BF7-IF(W25="OOS PENDING",'Config_v6'!$B$35,0)-IF(L25&gt;'Config_v6'!$B$12,'Config_v6'!$B$37,IF(L25&gt;'Config_v6'!$B$11,'Config_v6'!$B$36,0))))</x:f>
        <x:v>81</x:v>
      </x:c>
      <x:c r="W25" s="2" t="str">
        <x:f>IF(B25="","",IF(I25&lt;&gt;"READY","NOT RELEASED",IF(NOT(AND(J25="PASS",'Calibrare_Linii'!U11="VALID")),"INVALID",IF(NOT(AND('Calibrare_Linii'!S11="VALIDATED",AND('Calibrare_Linii'!H11=C25,ISNUMBER('Calibrare_Linii'!J11),'Calibrare_Linii'!J11&lt;='Input_Meci'!G7))),"OOS PENDING",IF(S25&lt;='Calibrare_Linii'!E11,"PASS",IF(S25&lt;='Calibrare_Linii'!F11,"PENALTY","WATCH"))))))</x:f>
        <x:v>OOS PENDING</x:v>
      </x:c>
      <x:c r="X25" s="2" t="str">
        <x:f>IF(M25="","",IF(AND(AND(J25="PASS",'Calibrare_Linii'!U11="VALID"),'Motor_Meciuri'!K7=12,'Motor_Meciuri'!L7=12,'Motor_Meciuri'!M7="NO",'Motor_Meciuri'!BL7='Motor_Meciuri'!C7,AB25&gt;='Config_v6'!$B$50,AN25&gt;='Config_v6'!$B$51,T25&lt;='Config_v6'!$B$52,L25&lt;='Config_v6'!$B$53,ISNUMBER('Calibrare_Linii'!E11),S25&lt;='Calibrare_Linii'!E11,SUM(AK25:AM25)&gt;0),"CANDIDATE","NO"))</x:f>
        <x:v>NO</x:v>
      </x:c>
      <x:c r="Y25" s="2" t="str">
        <x:f>IF(B25="","",IF(I25&lt;&gt;"READY","NOT RELEASED",IF(AND(X25="CANDIDATE",V25&gt;='Config_v6'!$B$51,W25="PASS",'Calibrare_Linii'!T11="VALIDATED",AND('Calibrare_Linii'!H11=C25,ISNUMBER('Calibrare_Linii'!J11),'Calibrare_Linii'!J11&lt;='Input_Meci'!G7)),"PASS",IF(X25="CANDIDATE","OOS PENDING","FAIL"))))</x:f>
        <x:v>FAIL</x:v>
      </x:c>
      <x:c r="Z25" s="2" t="n">
        <x:f>IF(B25="","",IF(I25&lt;&gt;"READY","",IF(OR(NOT(AND(J25="PASS",'Calibrare_Linii'!U11="VALID")),L25&gt;'Config_v6'!$B$13,W25="WATCH"),5,IF(Y25="PASS",1,MIN(5,MAX('Config_v6'!$B$42,U25)+IF(W25="PENALTY",1,0))))))</x:f>
        <x:v>2</x:v>
      </x:c>
      <x:c r="AA25" s="2" t="str">
        <x:f>IF(B25="","",IF(I25&lt;&gt;"READY","NOT RELEASED",IF(Z25=5,"NO BET",IF(OR(AB25&lt;'Config_v6'!$B$16,V25&lt;'Config_v6'!$B$18),"WATCH",IF(Z25=1,"DEFENSIV",IF(Z25=2,"PRUDENT",IF(Z25=3,"MODERAT","RIDICAT")))))))</x:f>
        <x:v>WATCH</x:v>
      </x:c>
      <x:c r="AB25" s="10" t="n">
        <x:f>IF(N25="","",MIN(N25,1-S25))</x:f>
        <x:v>0.5839011461413416</x:v>
      </x:c>
      <x:c r="AC25" s="2" t="str">
        <x:f>IF(AD25&lt;&gt;1,"",COUNTIFS($Z$20:$Z$33,"&lt;"&amp;Z25,$AD$20:$AD$33,1)+COUNTIFS($Z$20:$Z$33,Z25,$AB$20:$AB$33,"&gt;"&amp;AB25,$AD$20:$AD$33,1)+COUNTIFS($Z$20:$Z$33,Z25,$AB$20:$AB$33,AB25,$V$20:$V$33,"&gt;"&amp;V25,$AD$20:$AD$33,1)+COUNTIFS($Z$20:Z25,Z25,$AB$20:AB25,AB25,$V$20:V25,V25,$AD$20:AD25,1))</x:f>
      </x:c>
      <x:c r="AD25" s="2" t="n">
        <x:f>IF(OR(AA25="DEFENSIV",AA25="PRUDENT",AA25="MODERAT",AA25="RIDICAT"),1,0)</x:f>
        <x:v>0</x:v>
      </x:c>
      <x:c r="AE25" s="2" t="str">
        <x:f>IF(AD25&lt;&gt;1,"NO",IF(W25="PASS","YES",IF(W25="OOS PENDING","CONDITIONAL","NO")))</x:f>
        <x:v>NO</x:v>
      </x:c>
      <x:c r="AF25" s="2" t="n">
        <x:f>IF(AND(AD25=1,AC25=1,E25="LIVE"),1,0)</x:f>
        <x:v>0</x:v>
      </x:c>
      <x:c r="AG25" s="2" t="str">
        <x:f>IF(AF25&lt;&gt;1,"",'Dashboard'!P27)</x:f>
      </x:c>
      <x:c r="AH25" s="2" t="str">
        <x:f>IF(B25="","",IF(J25&lt;&gt;"PASS",'Motor_Meciuri'!J7,IF('Calibrare_Linii'!U11&lt;&gt;"VALID","Parametri linie invalizi",IF(L25&gt;'Config_v6'!$B$13,"Dispersie peste limita",IF(W25="WATCH","Failure peste limita",IF(AB25&lt;'Config_v6'!$B$16,"P finala sub prag",IF(V25&lt;'Config_v6'!$B$18,"Confidence sub prag",IF(E25="REPLAY","Exemplu retrospectiv; exclus din Top LIVE",IF(Y25="PASS","DEFENSIV validat",IF(W25="OOS PENDING","Eligibil; calibrare linie in monitorizare","Eligibil"))))))))))</x:f>
        <x:v>P finala sub prag</x:v>
      </x:c>
      <x:c r="AI25" s="2" t="str">
        <x:f>IF(B25="","",'Calibrare_Linii'!V11)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8,5|1.000000|NA|NA</x:v>
      </x:c>
      <x:c r="AJ25" s="2" t="str">
        <x:f>IF(B25="","",IF(AND('Calibrare_Linii'!T11="VALIDATED",AND('Calibrare_Linii'!H11=C25,ISNUMBER('Calibrare_Linii'!J11),'Calibrare_Linii'!J11&lt;='Input_Meci'!G7)),"DEFENSIVE VALIDATED",IF(AND('Calibrare_Linii'!S11="VALIDATED",AND('Calibrare_Linii'!H11=C25,ISNUMBER('Calibrare_Linii'!J11),'Calibrare_Linii'!J11&lt;='Input_Meci'!G7)),"TAIL VALIDATED","OOS PENDING")))</x:f>
        <x:v>OOS PENDING</x:v>
      </x:c>
      <x:c r="AK25" s="2" t="n">
        <x:f>IF(J25&lt;&gt;"PASS",0,'Motor_Meciuri'!BR7)</x:f>
        <x:v>36</x:v>
      </x:c>
      <x:c r="AL25" s="2" t="n">
        <x:f>IF(J25&lt;&gt;"PASS",0,'Motor_Meciuri'!BS7)</x:f>
        <x:v>20</x:v>
      </x:c>
      <x:c r="AM25" s="2" t="n">
        <x:f>IF(J25&lt;&gt;"PASS",0,'Motor_Meciuri'!BT7)</x:f>
        <x:v>40</x:v>
      </x:c>
      <x:c r="AN25" s="2" t="n">
        <x:f>IF(M25="","",MAX(0,'Motor_Meciuri'!BF7-IF(L25&gt;'Config_v6'!$B$12,'Config_v6'!$B$37,IF(L25&gt;'Config_v6'!$B$11,'Config_v6'!$B$36,0))))</x:f>
        <x:v>91</x:v>
      </x:c>
    </x:row>
    <x:row r="26" ht="21" customHeight="1">
      <x:c r="A26" s="2" t="n">
        <x:v>2</x:v>
      </x:c>
      <x:c r="B26" s="2" t="str">
        <x:f>IF('Motor_Meciuri'!A7="","",'Motor_Meciuri'!A7)</x:f>
        <x:v>REPLAY_2</x:v>
      </x:c>
      <x:c r="C26" s="2" t="str">
        <x:f>IF(B26="","",'Motor_Meciuri'!B7)</x:f>
        <x:v>E0</x:v>
      </x:c>
      <x:c r="D26" s="2" t="str">
        <x:f>IF(B26="","",'Motor_Meciuri'!D7)</x:f>
        <x:v>Burnley – Wolves</x:v>
      </x:c>
      <x:c r="E26" s="2" t="str">
        <x:f>IF(B26="","",'Motor_Meciuri'!E7)</x:f>
        <x:v>REPLAY</x:v>
      </x:c>
      <x:c r="F26" s="2" t="str">
        <x:v>U10,5</x:v>
      </x:c>
      <x:c r="G26" s="2" t="str">
        <x:v>UNDER</x:v>
      </x:c>
      <x:c r="H26" s="2" t="n">
        <x:v>10</x:v>
      </x:c>
      <x:c r="I26" s="2" t="str">
        <x:f>IF(B26="","",'Motor_Meciuri'!H7)</x:f>
        <x:v>READY</x:v>
      </x:c>
      <x:c r="J26" s="2" t="str">
        <x:f>IF(B26="","",'Motor_Meciuri'!I7)</x:f>
        <x:v>PASS</x:v>
      </x:c>
      <x:c r="K26" s="11" t="n">
        <x:f>IF(J26&lt;&gt;"PASS","",'Motor_Meciuri'!BD7)</x:f>
        <x:v>9.471621621621622</x:v>
      </x:c>
      <x:c r="L26" s="11" t="n">
        <x:f>IF(J26&lt;&gt;"PASS","",'Motor_Meciuri'!AU7)</x:f>
        <x:v>1.0431201550387579</x:v>
      </x:c>
      <x:c r="M26" s="10" t="n">
        <x:f>IF(NOT(AND(J26="PASS",'Calibrare_Linii'!U12="VALID")),"",'Distributie'!AH7)</x:f>
        <x:v>0.6488305649215592</x:v>
      </x:c>
      <x:c r="N26" s="10" t="n">
        <x:f>IF(M26="","",MAX(0.01,MIN(0.99,0.5+(M26-0.5)*'Motor_Meciuri'!BG7*'Calibrare_Linii'!D12)))</x:f>
        <x:v>0.6192951393128758</x:v>
      </x:c>
      <x:c r="O26" s="10" t="n">
        <x:f>IF(M26="","",1-M26)</x:f>
        <x:v>0.3511694350784408</x:v>
      </x:c>
      <x:c r="P26" s="10" t="n">
        <x:f>IF(OR(NOT(AND(J26="PASS",'Calibrare_Linii'!U12="VALID")),AK26=0),""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*('Istoric_Nativ'!$Q$6:$Q$405&gt;H26))/AK26)</x:f>
        <x:v>0.3611111111111111</x:v>
      </x:c>
      <x:c r="Q26" s="10" t="n">
        <x:f>IF(OR(NOT(AND(J26="PASS",'Calibrare_Linii'!U12="VALID")),AL26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M7)+((('Istoric_Nativ'!$E$6:$E$405='Input_Meci'!E7)+('Istoric_Nativ'!$F$6:$F$405='Input_Meci'!E7))&gt;0)*('Istoric_Nativ'!$D$6:$D$405&gt;='Motor_Meciuri'!BN7))&gt;0)*('Istoric_Nativ'!$Q$6:$Q$405&gt;H26))/AL26)</x:f>
        <x:v>0.3</x:v>
      </x:c>
      <x:c r="R26" s="10" t="n">
        <x:f>IF(OR(NOT(AND(J26="PASS",'Calibrare_Linii'!U12="VALID")),AM26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O7)+((('Istoric_Nativ'!$E$6:$E$405='Input_Meci'!E7)+('Istoric_Nativ'!$F$6:$F$405='Input_Meci'!E7))&gt;0)*('Istoric_Nativ'!$D$6:$D$405&gt;='Motor_Meciuri'!BP7))&gt;0)*('Istoric_Nativ'!$Q$6:$Q$405&gt;H26))/AM26)</x:f>
        <x:v>0.3</x:v>
      </x:c>
      <x:c r="S26" s="10" t="n">
        <x:f>IF(M26="","",MAX(O26,P26,Q26,R26))</x:f>
        <x:v>0.3611111111111111</x:v>
      </x:c>
      <x:c r="T26" s="11" t="n">
        <x:f>IF(M26="","",MIN(100,S26*100*'Config_v6'!$B$44+MIN(100,L26/'Config_v6'!$B$13*100)*'Config_v6'!$B$45+(100-'Motor_Meciuri'!BF7)*'Config_v6'!$B$46+'Motor_Meciuri'!BH7*100*'Config_v6'!$B$47))</x:f>
        <x:v>30.48329026701118</x:v>
      </x:c>
      <x:c r="U26" s="2" t="n">
        <x:f>IF(T26="","",IF(T26&lt;=20,1,IF(T26&lt;=40,2,IF(T26&lt;=60,3,IF(T26&lt;=80,4,5)))))</x:f>
        <x:v>2</x:v>
      </x:c>
      <x:c r="V26" s="2" t="n">
        <x:f>IF(M26="","",MAX(0,'Motor_Meciuri'!BF7-IF(W26="OOS PENDING",'Config_v6'!$B$35,0)-IF(L26&gt;'Config_v6'!$B$12,'Config_v6'!$B$37,IF(L26&gt;'Config_v6'!$B$11,'Config_v6'!$B$36,0))))</x:f>
        <x:v>81</x:v>
      </x:c>
      <x:c r="W26" s="2" t="str">
        <x:f>IF(B26="","",IF(I26&lt;&gt;"READY","NOT RELEASED",IF(NOT(AND(J26="PASS",'Calibrare_Linii'!U12="VALID")),"INVALID",IF(NOT(AND('Calibrare_Linii'!S12="VALIDATED",AND('Calibrare_Linii'!H12=C26,ISNUMBER('Calibrare_Linii'!J12),'Calibrare_Linii'!J12&lt;='Input_Meci'!G7))),"OOS PENDING",IF(S26&lt;='Calibrare_Linii'!E12,"PASS",IF(S26&lt;='Calibrare_Linii'!F12,"PENALTY","WATCH"))))))</x:f>
        <x:v>OOS PENDING</x:v>
      </x:c>
      <x:c r="X26" s="2" t="str">
        <x:f>IF(M26="","",IF(AND(AND(J26="PASS",'Calibrare_Linii'!U12="VALID"),'Motor_Meciuri'!K7=12,'Motor_Meciuri'!L7=12,'Motor_Meciuri'!M7="NO",'Motor_Meciuri'!BL7='Motor_Meciuri'!C7,AB26&gt;='Config_v6'!$B$50,AN26&gt;='Config_v6'!$B$51,T26&lt;='Config_v6'!$B$52,L26&lt;='Config_v6'!$B$53,ISNUMBER('Calibrare_Linii'!E12),S26&lt;='Calibrare_Linii'!E12,SUM(AK26:AM26)&gt;0),"CANDIDATE","NO"))</x:f>
        <x:v>NO</x:v>
      </x:c>
      <x:c r="Y26" s="2" t="str">
        <x:f>IF(B26="","",IF(I26&lt;&gt;"READY","NOT RELEASED",IF(AND(X26="CANDIDATE",V26&gt;='Config_v6'!$B$51,W26="PASS",'Calibrare_Linii'!T12="VALIDATED",AND('Calibrare_Linii'!H12=C26,ISNUMBER('Calibrare_Linii'!J12),'Calibrare_Linii'!J12&lt;='Input_Meci'!G7)),"PASS",IF(X26="CANDIDATE","OOS PENDING","FAIL"))))</x:f>
        <x:v>FAIL</x:v>
      </x:c>
      <x:c r="Z26" s="2" t="n">
        <x:f>IF(B26="","",IF(I26&lt;&gt;"READY","",IF(OR(NOT(AND(J26="PASS",'Calibrare_Linii'!U12="VALID")),L26&gt;'Config_v6'!$B$13,W26="WATCH"),5,IF(Y26="PASS",1,MIN(5,MAX('Config_v6'!$B$42,U26)+IF(W26="PENALTY",1,0))))))</x:f>
        <x:v>2</x:v>
      </x:c>
      <x:c r="AA26" s="2" t="str">
        <x:f>IF(B26="","",IF(I26&lt;&gt;"READY","NOT RELEASED",IF(Z26=5,"NO BET",IF(OR(AB26&lt;'Config_v6'!$B$16,V26&lt;'Config_v6'!$B$18),"WATCH",IF(Z26=1,"DEFENSIV",IF(Z26=2,"PRUDENT",IF(Z26=3,"MODERAT","RIDICAT")))))))</x:f>
        <x:v>WATCH</x:v>
      </x:c>
      <x:c r="AB26" s="10" t="n">
        <x:f>IF(N26="","",MIN(N26,1-S26))</x:f>
        <x:v>0.6192951393128758</x:v>
      </x:c>
      <x:c r="AC26" s="2" t="str">
        <x:f>IF(AD26&lt;&gt;1,"",COUNTIFS($Z$20:$Z$33,"&lt;"&amp;Z26,$AD$20:$AD$33,1)+COUNTIFS($Z$20:$Z$33,Z26,$AB$20:$AB$33,"&gt;"&amp;AB26,$AD$20:$AD$33,1)+COUNTIFS($Z$20:$Z$33,Z26,$AB$20:$AB$33,AB26,$V$20:$V$33,"&gt;"&amp;V26,$AD$20:$AD$33,1)+COUNTIFS($Z$20:Z26,Z26,$AB$20:AB26,AB26,$V$20:V26,V26,$AD$20:AD26,1))</x:f>
      </x:c>
      <x:c r="AD26" s="2" t="n">
        <x:f>IF(OR(AA26="DEFENSIV",AA26="PRUDENT",AA26="MODERAT",AA26="RIDICAT"),1,0)</x:f>
        <x:v>0</x:v>
      </x:c>
      <x:c r="AE26" s="2" t="str">
        <x:f>IF(AD26&lt;&gt;1,"NO",IF(W26="PASS","YES",IF(W26="OOS PENDING","CONDITIONAL","NO")))</x:f>
        <x:v>NO</x:v>
      </x:c>
      <x:c r="AF26" s="2" t="n">
        <x:f>IF(AND(AD26=1,AC26=1,E26="LIVE"),1,0)</x:f>
        <x:v>0</x:v>
      </x:c>
      <x:c r="AG26" s="2" t="str">
        <x:f>IF(AF26&lt;&gt;1,"",'Dashboard'!P27)</x:f>
      </x:c>
      <x:c r="AH26" s="2" t="str">
        <x:f>IF(B26="","",IF(J26&lt;&gt;"PASS",'Motor_Meciuri'!J7,IF('Calibrare_Linii'!U12&lt;&gt;"VALID","Parametri linie invalizi",IF(L26&gt;'Config_v6'!$B$13,"Dispersie peste limita",IF(W26="WATCH","Failure peste limita",IF(AB26&lt;'Config_v6'!$B$16,"P finala sub prag",IF(V26&lt;'Config_v6'!$B$18,"Confidence sub prag",IF(E26="REPLAY","Exemplu retrospectiv; exclus din Top LIVE",IF(Y26="PASS","DEFENSIV validat",IF(W26="OOS PENDING","Eligibil; calibrare linie in monitorizare","Eligibil"))))))))))</x:f>
        <x:v>P finala sub prag</x:v>
      </x:c>
      <x:c r="AI26" s="2" t="str">
        <x:f>IF(B26="","",'Calibrare_Linii'!V12)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10,5|1.000000|NA|NA</x:v>
      </x:c>
      <x:c r="AJ26" s="2" t="str">
        <x:f>IF(B26="","",IF(AND('Calibrare_Linii'!T12="VALIDATED",AND('Calibrare_Linii'!H12=C26,ISNUMBER('Calibrare_Linii'!J12),'Calibrare_Linii'!J12&lt;='Input_Meci'!G7)),"DEFENSIVE VALIDATED",IF(AND('Calibrare_Linii'!S12="VALIDATED",AND('Calibrare_Linii'!H12=C26,ISNUMBER('Calibrare_Linii'!J12),'Calibrare_Linii'!J12&lt;='Input_Meci'!G7)),"TAIL VALIDATED","OOS PENDING")))</x:f>
        <x:v>OOS PENDING</x:v>
      </x:c>
      <x:c r="AK26" s="2" t="n">
        <x:f>IF(J26&lt;&gt;"PASS",0,'Motor_Meciuri'!BR7)</x:f>
        <x:v>36</x:v>
      </x:c>
      <x:c r="AL26" s="2" t="n">
        <x:f>IF(J26&lt;&gt;"PASS",0,'Motor_Meciuri'!BS7)</x:f>
        <x:v>20</x:v>
      </x:c>
      <x:c r="AM26" s="2" t="n">
        <x:f>IF(J26&lt;&gt;"PASS",0,'Motor_Meciuri'!BT7)</x:f>
        <x:v>40</x:v>
      </x:c>
      <x:c r="AN26" s="2" t="n">
        <x:f>IF(M26="","",MAX(0,'Motor_Meciuri'!BF7-IF(L26&gt;'Config_v6'!$B$12,'Config_v6'!$B$37,IF(L26&gt;'Config_v6'!$B$11,'Config_v6'!$B$36,0))))</x:f>
        <x:v>91</x:v>
      </x:c>
    </x:row>
    <x:row r="27" ht="21" customHeight="1">
      <x:c r="A27" s="2" t="n">
        <x:v>2</x:v>
      </x:c>
      <x:c r="B27" s="2" t="str">
        <x:f>IF('Motor_Meciuri'!A7="","",'Motor_Meciuri'!A7)</x:f>
        <x:v>REPLAY_2</x:v>
      </x:c>
      <x:c r="C27" s="2" t="str">
        <x:f>IF(B27="","",'Motor_Meciuri'!B7)</x:f>
        <x:v>E0</x:v>
      </x:c>
      <x:c r="D27" s="2" t="str">
        <x:f>IF(B27="","",'Motor_Meciuri'!D7)</x:f>
        <x:v>Burnley – Wolves</x:v>
      </x:c>
      <x:c r="E27" s="2" t="str">
        <x:f>IF(B27="","",'Motor_Meciuri'!E7)</x:f>
        <x:v>REPLAY</x:v>
      </x:c>
      <x:c r="F27" s="2" t="str">
        <x:v>U11,5</x:v>
      </x:c>
      <x:c r="G27" s="2" t="str">
        <x:v>UNDER</x:v>
      </x:c>
      <x:c r="H27" s="2" t="n">
        <x:v>11</x:v>
      </x:c>
      <x:c r="I27" s="2" t="str">
        <x:f>IF(B27="","",'Motor_Meciuri'!H7)</x:f>
        <x:v>READY</x:v>
      </x:c>
      <x:c r="J27" s="2" t="str">
        <x:f>IF(B27="","",'Motor_Meciuri'!I7)</x:f>
        <x:v>PASS</x:v>
      </x:c>
      <x:c r="K27" s="11" t="n">
        <x:f>IF(J27&lt;&gt;"PASS","",'Motor_Meciuri'!BD7)</x:f>
        <x:v>9.471621621621622</x:v>
      </x:c>
      <x:c r="L27" s="11" t="n">
        <x:f>IF(J27&lt;&gt;"PASS","",'Motor_Meciuri'!AU7)</x:f>
        <x:v>1.0431201550387579</x:v>
      </x:c>
      <x:c r="M27" s="10" t="n">
        <x:f>IF(NOT(AND(J27="PASS",'Calibrare_Linii'!U13="VALID")),"",'Distributie'!AI7)</x:f>
        <x:v>0.7550096600227494</x:v>
      </x:c>
      <x:c r="N27" s="10" t="n">
        <x:f>IF(M27="","",MAX(0.01,MIN(0.99,0.5+(M27-0.5)*'Motor_Meciuri'!BG7*'Calibrare_Linii'!D13)))</x:f>
        <x:v>0.7044029929912348</x:v>
      </x:c>
      <x:c r="O27" s="10" t="n">
        <x:f>IF(M27="","",1-M27)</x:f>
        <x:v>0.24499033997725062</x:v>
      </x:c>
      <x:c r="P27" s="10" t="n">
        <x:f>IF(OR(NOT(AND(J27="PASS",'Calibrare_Linii'!U13="VALID")),AK27=0),""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*('Istoric_Nativ'!$Q$6:$Q$405&gt;H27))/AK27)</x:f>
        <x:v>0.2222222222222222</x:v>
      </x:c>
      <x:c r="Q27" s="10" t="n">
        <x:f>IF(OR(NOT(AND(J27="PASS",'Calibrare_Linii'!U13="VALID")),AL27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M7)+((('Istoric_Nativ'!$E$6:$E$405='Input_Meci'!E7)+('Istoric_Nativ'!$F$6:$F$405='Input_Meci'!E7))&gt;0)*('Istoric_Nativ'!$D$6:$D$405&gt;='Motor_Meciuri'!BN7))&gt;0)*('Istoric_Nativ'!$Q$6:$Q$405&gt;H27))/AL27)</x:f>
        <x:v>0.25</x:v>
      </x:c>
      <x:c r="R27" s="10" t="n">
        <x:f>IF(OR(NOT(AND(J27="PASS",'Calibrare_Linii'!U13="VALID")),AM27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O7)+((('Istoric_Nativ'!$E$6:$E$405='Input_Meci'!E7)+('Istoric_Nativ'!$F$6:$F$405='Input_Meci'!E7))&gt;0)*('Istoric_Nativ'!$D$6:$D$405&gt;='Motor_Meciuri'!BP7))&gt;0)*('Istoric_Nativ'!$Q$6:$Q$405&gt;H27))/AM27)</x:f>
        <x:v>0.2</x:v>
      </x:c>
      <x:c r="S27" s="10" t="n">
        <x:f>IF(M27="","",MAX(O27,P27,Q27,R27))</x:f>
        <x:v>0.25</x:v>
      </x:c>
      <x:c r="T27" s="11" t="n">
        <x:f>IF(M27="","",MIN(100,S27*100*'Config_v6'!$B$44+MIN(100,L27/'Config_v6'!$B$13*100)*'Config_v6'!$B$45+(100-'Motor_Meciuri'!BF7)*'Config_v6'!$B$46+'Motor_Meciuri'!BH7*100*'Config_v6'!$B$47))</x:f>
        <x:v>24.37217915590007</x:v>
      </x:c>
      <x:c r="U27" s="2" t="n">
        <x:f>IF(T27="","",IF(T27&lt;=20,1,IF(T27&lt;=40,2,IF(T27&lt;=60,3,IF(T27&lt;=80,4,5)))))</x:f>
        <x:v>2</x:v>
      </x:c>
      <x:c r="V27" s="2" t="n">
        <x:f>IF(M27="","",MAX(0,'Motor_Meciuri'!BF7-IF(W27="OOS PENDING",'Config_v6'!$B$35,0)-IF(L27&gt;'Config_v6'!$B$12,'Config_v6'!$B$37,IF(L27&gt;'Config_v6'!$B$11,'Config_v6'!$B$36,0))))</x:f>
        <x:v>81</x:v>
      </x:c>
      <x:c r="W27" s="2" t="str">
        <x:f>IF(B27="","",IF(I27&lt;&gt;"READY","NOT RELEASED",IF(NOT(AND(J27="PASS",'Calibrare_Linii'!U13="VALID")),"INVALID",IF(NOT(AND('Calibrare_Linii'!S13="VALIDATED",AND('Calibrare_Linii'!H13=C27,ISNUMBER('Calibrare_Linii'!J13),'Calibrare_Linii'!J13&lt;='Input_Meci'!G7))),"OOS PENDING",IF(S27&lt;='Calibrare_Linii'!E13,"PASS",IF(S27&lt;='Calibrare_Linii'!F13,"PENALTY","WATCH"))))))</x:f>
        <x:v>OOS PENDING</x:v>
      </x:c>
      <x:c r="X27" s="2" t="str">
        <x:f>IF(M27="","",IF(AND(AND(J27="PASS",'Calibrare_Linii'!U13="VALID"),'Motor_Meciuri'!K7=12,'Motor_Meciuri'!L7=12,'Motor_Meciuri'!M7="NO",'Motor_Meciuri'!BL7='Motor_Meciuri'!C7,AB27&gt;='Config_v6'!$B$50,AN27&gt;='Config_v6'!$B$51,T27&lt;='Config_v6'!$B$52,L27&lt;='Config_v6'!$B$53,ISNUMBER('Calibrare_Linii'!E13),S27&lt;='Calibrare_Linii'!E13,SUM(AK27:AM27)&gt;0),"CANDIDATE","NO"))</x:f>
        <x:v>NO</x:v>
      </x:c>
      <x:c r="Y27" s="2" t="str">
        <x:f>IF(B27="","",IF(I27&lt;&gt;"READY","NOT RELEASED",IF(AND(X27="CANDIDATE",V27&gt;='Config_v6'!$B$51,W27="PASS",'Calibrare_Linii'!T13="VALIDATED",AND('Calibrare_Linii'!H13=C27,ISNUMBER('Calibrare_Linii'!J13),'Calibrare_Linii'!J13&lt;='Input_Meci'!G7)),"PASS",IF(X27="CANDIDATE","OOS PENDING","FAIL"))))</x:f>
        <x:v>FAIL</x:v>
      </x:c>
      <x:c r="Z27" s="2" t="n">
        <x:f>IF(B27="","",IF(I27&lt;&gt;"READY","",IF(OR(NOT(AND(J27="PASS",'Calibrare_Linii'!U13="VALID")),L27&gt;'Config_v6'!$B$13,W27="WATCH"),5,IF(Y27="PASS",1,MIN(5,MAX('Config_v6'!$B$42,U27)+IF(W27="PENALTY",1,0))))))</x:f>
        <x:v>2</x:v>
      </x:c>
      <x:c r="AA27" s="2" t="str">
        <x:f>IF(B27="","",IF(I27&lt;&gt;"READY","NOT RELEASED",IF(Z27=5,"NO BET",IF(OR(AB27&lt;'Config_v6'!$B$16,V27&lt;'Config_v6'!$B$18),"WATCH",IF(Z27=1,"DEFENSIV",IF(Z27=2,"PRUDENT",IF(Z27=3,"MODERAT","RIDICAT")))))))</x:f>
        <x:v>WATCH</x:v>
      </x:c>
      <x:c r="AB27" s="10" t="n">
        <x:f>IF(N27="","",MIN(N27,1-S27))</x:f>
        <x:v>0.7044029929912348</x:v>
      </x:c>
      <x:c r="AC27" s="2" t="str">
        <x:f>IF(AD27&lt;&gt;1,"",COUNTIFS($Z$20:$Z$33,"&lt;"&amp;Z27,$AD$20:$AD$33,1)+COUNTIFS($Z$20:$Z$33,Z27,$AB$20:$AB$33,"&gt;"&amp;AB27,$AD$20:$AD$33,1)+COUNTIFS($Z$20:$Z$33,Z27,$AB$20:$AB$33,AB27,$V$20:$V$33,"&gt;"&amp;V27,$AD$20:$AD$33,1)+COUNTIFS($Z$20:Z27,Z27,$AB$20:AB27,AB27,$V$20:V27,V27,$AD$20:AD27,1))</x:f>
      </x:c>
      <x:c r="AD27" s="2" t="n">
        <x:f>IF(OR(AA27="DEFENSIV",AA27="PRUDENT",AA27="MODERAT",AA27="RIDICAT"),1,0)</x:f>
        <x:v>0</x:v>
      </x:c>
      <x:c r="AE27" s="2" t="str">
        <x:f>IF(AD27&lt;&gt;1,"NO",IF(W27="PASS","YES",IF(W27="OOS PENDING","CONDITIONAL","NO")))</x:f>
        <x:v>NO</x:v>
      </x:c>
      <x:c r="AF27" s="2" t="n">
        <x:f>IF(AND(AD27=1,AC27=1,E27="LIVE"),1,0)</x:f>
        <x:v>0</x:v>
      </x:c>
      <x:c r="AG27" s="2" t="str">
        <x:f>IF(AF27&lt;&gt;1,"",'Dashboard'!P27)</x:f>
      </x:c>
      <x:c r="AH27" s="2" t="str">
        <x:f>IF(B27="","",IF(J27&lt;&gt;"PASS",'Motor_Meciuri'!J7,IF('Calibrare_Linii'!U13&lt;&gt;"VALID","Parametri linie invalizi",IF(L27&gt;'Config_v6'!$B$13,"Dispersie peste limita",IF(W27="WATCH","Failure peste limita",IF(AB27&lt;'Config_v6'!$B$16,"P finala sub prag",IF(V27&lt;'Config_v6'!$B$18,"Confidence sub prag",IF(E27="REPLAY","Exemplu retrospectiv; exclus din Top LIVE",IF(Y27="PASS","DEFENSIV validat",IF(W27="OOS PENDING","Eligibil; calibrare linie in monitorizare","Eligibil"))))))))))</x:f>
        <x:v>P finala sub prag</x:v>
      </x:c>
      <x:c r="AI27" s="2" t="str">
        <x:f>IF(B27="","",'Calibrare_Linii'!V13)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11,5|1.000000|NA|NA</x:v>
      </x:c>
      <x:c r="AJ27" s="2" t="str">
        <x:f>IF(B27="","",IF(AND('Calibrare_Linii'!T13="VALIDATED",AND('Calibrare_Linii'!H13=C27,ISNUMBER('Calibrare_Linii'!J13),'Calibrare_Linii'!J13&lt;='Input_Meci'!G7)),"DEFENSIVE VALIDATED",IF(AND('Calibrare_Linii'!S13="VALIDATED",AND('Calibrare_Linii'!H13=C27,ISNUMBER('Calibrare_Linii'!J13),'Calibrare_Linii'!J13&lt;='Input_Meci'!G7)),"TAIL VALIDATED","OOS PENDING")))</x:f>
        <x:v>OOS PENDING</x:v>
      </x:c>
      <x:c r="AK27" s="2" t="n">
        <x:f>IF(J27&lt;&gt;"PASS",0,'Motor_Meciuri'!BR7)</x:f>
        <x:v>36</x:v>
      </x:c>
      <x:c r="AL27" s="2" t="n">
        <x:f>IF(J27&lt;&gt;"PASS",0,'Motor_Meciuri'!BS7)</x:f>
        <x:v>20</x:v>
      </x:c>
      <x:c r="AM27" s="2" t="n">
        <x:f>IF(J27&lt;&gt;"PASS",0,'Motor_Meciuri'!BT7)</x:f>
        <x:v>40</x:v>
      </x:c>
      <x:c r="AN27" s="2" t="n">
        <x:f>IF(M27="","",MAX(0,'Motor_Meciuri'!BF7-IF(L27&gt;'Config_v6'!$B$12,'Config_v6'!$B$37,IF(L27&gt;'Config_v6'!$B$11,'Config_v6'!$B$36,0))))</x:f>
        <x:v>91</x:v>
      </x:c>
    </x:row>
    <x:row r="28" ht="21" customHeight="1">
      <x:c r="A28" s="2" t="n">
        <x:v>2</x:v>
      </x:c>
      <x:c r="B28" s="2" t="str">
        <x:f>IF('Motor_Meciuri'!A7="","",'Motor_Meciuri'!A7)</x:f>
        <x:v>REPLAY_2</x:v>
      </x:c>
      <x:c r="C28" s="2" t="str">
        <x:f>IF(B28="","",'Motor_Meciuri'!B7)</x:f>
        <x:v>E0</x:v>
      </x:c>
      <x:c r="D28" s="2" t="str">
        <x:f>IF(B28="","",'Motor_Meciuri'!D7)</x:f>
        <x:v>Burnley – Wolves</x:v>
      </x:c>
      <x:c r="E28" s="2" t="str">
        <x:f>IF(B28="","",'Motor_Meciuri'!E7)</x:f>
        <x:v>REPLAY</x:v>
      </x:c>
      <x:c r="F28" s="2" t="str">
        <x:v>U12,5</x:v>
      </x:c>
      <x:c r="G28" s="2" t="str">
        <x:v>UNDER</x:v>
      </x:c>
      <x:c r="H28" s="2" t="n">
        <x:v>12</x:v>
      </x:c>
      <x:c r="I28" s="2" t="str">
        <x:f>IF(B28="","",'Motor_Meciuri'!H7)</x:f>
        <x:v>READY</x:v>
      </x:c>
      <x:c r="J28" s="2" t="str">
        <x:f>IF(B28="","",'Motor_Meciuri'!I7)</x:f>
        <x:v>PASS</x:v>
      </x:c>
      <x:c r="K28" s="11" t="n">
        <x:f>IF(J28&lt;&gt;"PASS","",'Motor_Meciuri'!BD7)</x:f>
        <x:v>9.471621621621622</x:v>
      </x:c>
      <x:c r="L28" s="11" t="n">
        <x:f>IF(J28&lt;&gt;"PASS","",'Motor_Meciuri'!AU7)</x:f>
        <x:v>1.0431201550387579</x:v>
      </x:c>
      <x:c r="M28" s="10" t="n">
        <x:f>IF(NOT(AND(J28="PASS",'Calibrare_Linii'!U14="VALID")),"",'Distributie'!AJ7)</x:f>
        <x:v>0.8388170110998037</x:v>
      </x:c>
      <x:c r="N28" s="10" t="n">
        <x:f>IF(M28="","",MAX(0.01,MIN(0.99,0.5+(M28-0.5)*'Motor_Meciuri'!BG7*'Calibrare_Linii'!D14)))</x:f>
        <x:v>0.7715787752470475</x:v>
      </x:c>
      <x:c r="O28" s="10" t="n">
        <x:f>IF(M28="","",1-M28)</x:f>
        <x:v>0.16118298890019633</x:v>
      </x:c>
      <x:c r="P28" s="10" t="n">
        <x:f>IF(OR(NOT(AND(J28="PASS",'Calibrare_Linii'!U14="VALID")),AK28=0),""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*('Istoric_Nativ'!$Q$6:$Q$405&gt;H28))/AK28)</x:f>
        <x:v>0.16666666666666666</x:v>
      </x:c>
      <x:c r="Q28" s="10" t="n">
        <x:f>IF(OR(NOT(AND(J28="PASS",'Calibrare_Linii'!U14="VALID")),AL28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M7)+((('Istoric_Nativ'!$E$6:$E$405='Input_Meci'!E7)+('Istoric_Nativ'!$F$6:$F$405='Input_Meci'!E7))&gt;0)*('Istoric_Nativ'!$D$6:$D$405&gt;='Motor_Meciuri'!BN7))&gt;0)*('Istoric_Nativ'!$Q$6:$Q$405&gt;H28))/AL28)</x:f>
        <x:v>0.15</x:v>
      </x:c>
      <x:c r="R28" s="10" t="n">
        <x:f>IF(OR(NOT(AND(J28="PASS",'Calibrare_Linii'!U14="VALID")),AM28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O7)+((('Istoric_Nativ'!$E$6:$E$405='Input_Meci'!E7)+('Istoric_Nativ'!$F$6:$F$405='Input_Meci'!E7))&gt;0)*('Istoric_Nativ'!$D$6:$D$405&gt;='Motor_Meciuri'!BP7))&gt;0)*('Istoric_Nativ'!$Q$6:$Q$405&gt;H28))/AM28)</x:f>
        <x:v>0.125</x:v>
      </x:c>
      <x:c r="S28" s="10" t="n">
        <x:f>IF(M28="","",MAX(O28,P28,Q28,R28))</x:f>
        <x:v>0.16666666666666666</x:v>
      </x:c>
      <x:c r="T28" s="11" t="n">
        <x:f>IF(M28="","",MIN(100,S28*100*'Config_v6'!$B$44+MIN(100,L28/'Config_v6'!$B$13*100)*'Config_v6'!$B$45+(100-'Motor_Meciuri'!BF7)*'Config_v6'!$B$46+'Motor_Meciuri'!BH7*100*'Config_v6'!$B$47))</x:f>
        <x:v>19.788845822566735</x:v>
      </x:c>
      <x:c r="U28" s="2" t="n">
        <x:f>IF(T28="","",IF(T28&lt;=20,1,IF(T28&lt;=40,2,IF(T28&lt;=60,3,IF(T28&lt;=80,4,5)))))</x:f>
        <x:v>1</x:v>
      </x:c>
      <x:c r="V28" s="2" t="n">
        <x:f>IF(M28="","",MAX(0,'Motor_Meciuri'!BF7-IF(W28="OOS PENDING",'Config_v6'!$B$35,0)-IF(L28&gt;'Config_v6'!$B$12,'Config_v6'!$B$37,IF(L28&gt;'Config_v6'!$B$11,'Config_v6'!$B$36,0))))</x:f>
        <x:v>81</x:v>
      </x:c>
      <x:c r="W28" s="2" t="str">
        <x:f>IF(B28="","",IF(I28&lt;&gt;"READY","NOT RELEASED",IF(NOT(AND(J28="PASS",'Calibrare_Linii'!U14="VALID")),"INVALID",IF(NOT(AND('Calibrare_Linii'!S14="VALIDATED",AND('Calibrare_Linii'!H14=C28,ISNUMBER('Calibrare_Linii'!J14),'Calibrare_Linii'!J14&lt;='Input_Meci'!G7))),"OOS PENDING",IF(S28&lt;='Calibrare_Linii'!E14,"PASS",IF(S28&lt;='Calibrare_Linii'!F14,"PENALTY","WATCH"))))))</x:f>
        <x:v>OOS PENDING</x:v>
      </x:c>
      <x:c r="X28" s="2" t="str">
        <x:f>IF(M28="","",IF(AND(AND(J28="PASS",'Calibrare_Linii'!U14="VALID"),'Motor_Meciuri'!K7=12,'Motor_Meciuri'!L7=12,'Motor_Meciuri'!M7="NO",'Motor_Meciuri'!BL7='Motor_Meciuri'!C7,AB28&gt;='Config_v6'!$B$50,AN28&gt;='Config_v6'!$B$51,T28&lt;='Config_v6'!$B$52,L28&lt;='Config_v6'!$B$53,ISNUMBER('Calibrare_Linii'!E14),S28&lt;='Calibrare_Linii'!E14,SUM(AK28:AM28)&gt;0),"CANDIDATE","NO"))</x:f>
        <x:v>NO</x:v>
      </x:c>
      <x:c r="Y28" s="2" t="str">
        <x:f>IF(B28="","",IF(I28&lt;&gt;"READY","NOT RELEASED",IF(AND(X28="CANDIDATE",V28&gt;='Config_v6'!$B$51,W28="PASS",'Calibrare_Linii'!T14="VALIDATED",AND('Calibrare_Linii'!H14=C28,ISNUMBER('Calibrare_Linii'!J14),'Calibrare_Linii'!J14&lt;='Input_Meci'!G7)),"PASS",IF(X28="CANDIDATE","OOS PENDING","FAIL"))))</x:f>
        <x:v>FAIL</x:v>
      </x:c>
      <x:c r="Z28" s="2" t="n">
        <x:f>IF(B28="","",IF(I28&lt;&gt;"READY","",IF(OR(NOT(AND(J28="PASS",'Calibrare_Linii'!U14="VALID")),L28&gt;'Config_v6'!$B$13,W28="WATCH"),5,IF(Y28="PASS",1,MIN(5,MAX('Config_v6'!$B$42,U28)+IF(W28="PENALTY",1,0))))))</x:f>
        <x:v>2</x:v>
      </x:c>
      <x:c r="AA28" s="2" t="str">
        <x:f>IF(B28="","",IF(I28&lt;&gt;"READY","NOT RELEASED",IF(Z28=5,"NO BET",IF(OR(AB28&lt;'Config_v6'!$B$16,V28&lt;'Config_v6'!$B$18),"WATCH",IF(Z28=1,"DEFENSIV",IF(Z28=2,"PRUDENT",IF(Z28=3,"MODERAT","RIDICAT")))))))</x:f>
        <x:v>PRUDENT</x:v>
      </x:c>
      <x:c r="AB28" s="10" t="n">
        <x:f>IF(N28="","",MIN(N28,1-S28))</x:f>
        <x:v>0.7715787752470475</x:v>
      </x:c>
      <x:c r="AC28" s="2" t="n">
        <x:f>IF(AD28&lt;&gt;1,"",COUNTIFS($Z$20:$Z$33,"&lt;"&amp;Z28,$AD$20:$AD$33,1)+COUNTIFS($Z$20:$Z$33,Z28,$AB$20:$AB$33,"&gt;"&amp;AB28,$AD$20:$AD$33,1)+COUNTIFS($Z$20:$Z$33,Z28,$AB$20:$AB$33,AB28,$V$20:$V$33,"&gt;"&amp;V28,$AD$20:$AD$33,1)+COUNTIFS($Z$20:Z28,Z28,$AB$20:AB28,AB28,$V$20:V28,V28,$AD$20:AD28,1))</x:f>
        <x:v>9</x:v>
      </x:c>
      <x:c r="AD28" s="2" t="n">
        <x:f>IF(OR(AA28="DEFENSIV",AA28="PRUDENT",AA28="MODERAT",AA28="RIDICAT"),1,0)</x:f>
        <x:v>1</x:v>
      </x:c>
      <x:c r="AE28" s="2" t="str">
        <x:f>IF(AD28&lt;&gt;1,"NO",IF(W28="PASS","YES",IF(W28="OOS PENDING","CONDITIONAL","NO")))</x:f>
        <x:v>CONDITIONAL</x:v>
      </x:c>
      <x:c r="AF28" s="2" t="n">
        <x:f>IF(AND(AD28=1,AC28=1,E28="LIVE"),1,0)</x:f>
        <x:v>0</x:v>
      </x:c>
      <x:c r="AG28" s="2" t="str">
        <x:f>IF(AF28&lt;&gt;1,"",'Dashboard'!P27)</x:f>
      </x:c>
      <x:c r="AH28" s="2" t="str">
        <x:f>IF(B28="","",IF(J28&lt;&gt;"PASS",'Motor_Meciuri'!J7,IF('Calibrare_Linii'!U14&lt;&gt;"VALID","Parametri linie invalizi",IF(L28&gt;'Config_v6'!$B$13,"Dispersie peste limita",IF(W28="WATCH","Failure peste limita",IF(AB28&lt;'Config_v6'!$B$16,"P finala sub prag",IF(V28&lt;'Config_v6'!$B$18,"Confidence sub prag",IF(E28="REPLAY","Exemplu retrospectiv; exclus din Top LIVE",IF(Y28="PASS","DEFENSIV validat",IF(W28="OOS PENDING","Eligibil; calibrare linie in monitorizare","Eligibil"))))))))))</x:f>
        <x:v>Exemplu retrospectiv; exclus din Top LIVE</x:v>
      </x:c>
      <x:c r="AI28" s="2" t="str">
        <x:f>IF(B28="","",'Calibrare_Linii'!V14)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12,5|1.000000|NA|NA</x:v>
      </x:c>
      <x:c r="AJ28" s="2" t="str">
        <x:f>IF(B28="","",IF(AND('Calibrare_Linii'!T14="VALIDATED",AND('Calibrare_Linii'!H14=C28,ISNUMBER('Calibrare_Linii'!J14),'Calibrare_Linii'!J14&lt;='Input_Meci'!G7)),"DEFENSIVE VALIDATED",IF(AND('Calibrare_Linii'!S14="VALIDATED",AND('Calibrare_Linii'!H14=C28,ISNUMBER('Calibrare_Linii'!J14),'Calibrare_Linii'!J14&lt;='Input_Meci'!G7)),"TAIL VALIDATED","OOS PENDING")))</x:f>
        <x:v>OOS PENDING</x:v>
      </x:c>
      <x:c r="AK28" s="2" t="n">
        <x:f>IF(J28&lt;&gt;"PASS",0,'Motor_Meciuri'!BR7)</x:f>
        <x:v>36</x:v>
      </x:c>
      <x:c r="AL28" s="2" t="n">
        <x:f>IF(J28&lt;&gt;"PASS",0,'Motor_Meciuri'!BS7)</x:f>
        <x:v>20</x:v>
      </x:c>
      <x:c r="AM28" s="2" t="n">
        <x:f>IF(J28&lt;&gt;"PASS",0,'Motor_Meciuri'!BT7)</x:f>
        <x:v>40</x:v>
      </x:c>
      <x:c r="AN28" s="2" t="n">
        <x:f>IF(M28="","",MAX(0,'Motor_Meciuri'!BF7-IF(L28&gt;'Config_v6'!$B$12,'Config_v6'!$B$37,IF(L28&gt;'Config_v6'!$B$11,'Config_v6'!$B$36,0))))</x:f>
        <x:v>91</x:v>
      </x:c>
    </x:row>
    <x:row r="29" ht="21" customHeight="1">
      <x:c r="A29" s="2" t="n">
        <x:v>2</x:v>
      </x:c>
      <x:c r="B29" s="2" t="str">
        <x:f>IF('Motor_Meciuri'!A7="","",'Motor_Meciuri'!A7)</x:f>
        <x:v>REPLAY_2</x:v>
      </x:c>
      <x:c r="C29" s="2" t="str">
        <x:f>IF(B29="","",'Motor_Meciuri'!B7)</x:f>
        <x:v>E0</x:v>
      </x:c>
      <x:c r="D29" s="2" t="str">
        <x:f>IF(B29="","",'Motor_Meciuri'!D7)</x:f>
        <x:v>Burnley – Wolves</x:v>
      </x:c>
      <x:c r="E29" s="2" t="str">
        <x:f>IF(B29="","",'Motor_Meciuri'!E7)</x:f>
        <x:v>REPLAY</x:v>
      </x:c>
      <x:c r="F29" s="2" t="str">
        <x:v>U13,5</x:v>
      </x:c>
      <x:c r="G29" s="2" t="str">
        <x:v>UNDER</x:v>
      </x:c>
      <x:c r="H29" s="2" t="n">
        <x:v>13</x:v>
      </x:c>
      <x:c r="I29" s="2" t="str">
        <x:f>IF(B29="","",'Motor_Meciuri'!H7)</x:f>
        <x:v>READY</x:v>
      </x:c>
      <x:c r="J29" s="2" t="str">
        <x:f>IF(B29="","",'Motor_Meciuri'!I7)</x:f>
        <x:v>PASS</x:v>
      </x:c>
      <x:c r="K29" s="11" t="n">
        <x:f>IF(J29&lt;&gt;"PASS","",'Motor_Meciuri'!BD7)</x:f>
        <x:v>9.471621621621622</x:v>
      </x:c>
      <x:c r="L29" s="11" t="n">
        <x:f>IF(J29&lt;&gt;"PASS","",'Motor_Meciuri'!AU7)</x:f>
        <x:v>1.0431201550387579</x:v>
      </x:c>
      <x:c r="M29" s="10" t="n">
        <x:f>IF(NOT(AND(J29="PASS",'Calibrare_Linii'!U15="VALID")),"",'Distributie'!AK7)</x:f>
        <x:v>0.8998778971392084</x:v>
      </x:c>
      <x:c r="N29" s="10" t="n">
        <x:f>IF(M29="","",MAX(0.01,MIN(0.99,0.5+(M29-0.5)*'Motor_Meciuri'!BG7*'Calibrare_Linii'!D15)))</x:f>
        <x:v>0.8205221284519325</x:v>
      </x:c>
      <x:c r="O29" s="10" t="n">
        <x:f>IF(M29="","",1-M29)</x:f>
        <x:v>0.1001221028607916</x:v>
      </x:c>
      <x:c r="P29" s="10" t="n">
        <x:f>IF(OR(NOT(AND(J29="PASS",'Calibrare_Linii'!U15="VALID")),AK29=0),""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*('Istoric_Nativ'!$Q$6:$Q$405&gt;H29))/AK29)</x:f>
        <x:v>0.1388888888888889</x:v>
      </x:c>
      <x:c r="Q29" s="10" t="n">
        <x:f>IF(OR(NOT(AND(J29="PASS",'Calibrare_Linii'!U15="VALID")),AL29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M7)+((('Istoric_Nativ'!$E$6:$E$405='Input_Meci'!E7)+('Istoric_Nativ'!$F$6:$F$405='Input_Meci'!E7))&gt;0)*('Istoric_Nativ'!$D$6:$D$405&gt;='Motor_Meciuri'!BN7))&gt;0)*('Istoric_Nativ'!$Q$6:$Q$405&gt;H29))/AL29)</x:f>
        <x:v>0.05</x:v>
      </x:c>
      <x:c r="R29" s="10" t="n">
        <x:f>IF(OR(NOT(AND(J29="PASS",'Calibrare_Linii'!U15="VALID")),AM29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O7)+((('Istoric_Nativ'!$E$6:$E$405='Input_Meci'!E7)+('Istoric_Nativ'!$F$6:$F$405='Input_Meci'!E7))&gt;0)*('Istoric_Nativ'!$D$6:$D$405&gt;='Motor_Meciuri'!BP7))&gt;0)*('Istoric_Nativ'!$Q$6:$Q$405&gt;H29))/AM29)</x:f>
        <x:v>0.05</x:v>
      </x:c>
      <x:c r="S29" s="10" t="n">
        <x:f>IF(M29="","",MAX(O29,P29,Q29,R29))</x:f>
        <x:v>0.1388888888888889</x:v>
      </x:c>
      <x:c r="T29" s="11" t="n">
        <x:f>IF(M29="","",MIN(100,S29*100*'Config_v6'!$B$44+MIN(100,L29/'Config_v6'!$B$13*100)*'Config_v6'!$B$45+(100-'Motor_Meciuri'!BF7)*'Config_v6'!$B$46+'Motor_Meciuri'!BH7*100*'Config_v6'!$B$47))</x:f>
        <x:v>18.26106804478896</x:v>
      </x:c>
      <x:c r="U29" s="2" t="n">
        <x:f>IF(T29="","",IF(T29&lt;=20,1,IF(T29&lt;=40,2,IF(T29&lt;=60,3,IF(T29&lt;=80,4,5)))))</x:f>
        <x:v>1</x:v>
      </x:c>
      <x:c r="V29" s="2" t="n">
        <x:f>IF(M29="","",MAX(0,'Motor_Meciuri'!BF7-IF(W29="OOS PENDING",'Config_v6'!$B$35,0)-IF(L29&gt;'Config_v6'!$B$12,'Config_v6'!$B$37,IF(L29&gt;'Config_v6'!$B$11,'Config_v6'!$B$36,0))))</x:f>
        <x:v>81</x:v>
      </x:c>
      <x:c r="W29" s="2" t="str">
        <x:f>IF(B29="","",IF(I29&lt;&gt;"READY","NOT RELEASED",IF(NOT(AND(J29="PASS",'Calibrare_Linii'!U15="VALID")),"INVALID",IF(NOT(AND('Calibrare_Linii'!S15="VALIDATED",AND('Calibrare_Linii'!H15=C29,ISNUMBER('Calibrare_Linii'!J15),'Calibrare_Linii'!J15&lt;='Input_Meci'!G7))),"OOS PENDING",IF(S29&lt;='Calibrare_Linii'!E15,"PASS",IF(S29&lt;='Calibrare_Linii'!F15,"PENALTY","WATCH"))))))</x:f>
        <x:v>OOS PENDING</x:v>
      </x:c>
      <x:c r="X29" s="2" t="str">
        <x:f>IF(M29="","",IF(AND(AND(J29="PASS",'Calibrare_Linii'!U15="VALID"),'Motor_Meciuri'!K7=12,'Motor_Meciuri'!L7=12,'Motor_Meciuri'!M7="NO",'Motor_Meciuri'!BL7='Motor_Meciuri'!C7,AB29&gt;='Config_v6'!$B$50,AN29&gt;='Config_v6'!$B$51,T29&lt;='Config_v6'!$B$52,L29&lt;='Config_v6'!$B$53,ISNUMBER('Calibrare_Linii'!E15),S29&lt;='Calibrare_Linii'!E15,SUM(AK29:AM29)&gt;0),"CANDIDATE","NO"))</x:f>
        <x:v>NO</x:v>
      </x:c>
      <x:c r="Y29" s="2" t="str">
        <x:f>IF(B29="","",IF(I29&lt;&gt;"READY","NOT RELEASED",IF(AND(X29="CANDIDATE",V29&gt;='Config_v6'!$B$51,W29="PASS",'Calibrare_Linii'!T15="VALIDATED",AND('Calibrare_Linii'!H15=C29,ISNUMBER('Calibrare_Linii'!J15),'Calibrare_Linii'!J15&lt;='Input_Meci'!G7)),"PASS",IF(X29="CANDIDATE","OOS PENDING","FAIL"))))</x:f>
        <x:v>FAIL</x:v>
      </x:c>
      <x:c r="Z29" s="2" t="n">
        <x:f>IF(B29="","",IF(I29&lt;&gt;"READY","",IF(OR(NOT(AND(J29="PASS",'Calibrare_Linii'!U15="VALID")),L29&gt;'Config_v6'!$B$13,W29="WATCH"),5,IF(Y29="PASS",1,MIN(5,MAX('Config_v6'!$B$42,U29)+IF(W29="PENALTY",1,0))))))</x:f>
        <x:v>2</x:v>
      </x:c>
      <x:c r="AA29" s="2" t="str">
        <x:f>IF(B29="","",IF(I29&lt;&gt;"READY","NOT RELEASED",IF(Z29=5,"NO BET",IF(OR(AB29&lt;'Config_v6'!$B$16,V29&lt;'Config_v6'!$B$18),"WATCH",IF(Z29=1,"DEFENSIV",IF(Z29=2,"PRUDENT",IF(Z29=3,"MODERAT","RIDICAT")))))))</x:f>
        <x:v>PRUDENT</x:v>
      </x:c>
      <x:c r="AB29" s="10" t="n">
        <x:f>IF(N29="","",MIN(N29,1-S29))</x:f>
        <x:v>0.8205221284519325</x:v>
      </x:c>
      <x:c r="AC29" s="2" t="n">
        <x:f>IF(AD29&lt;&gt;1,"",COUNTIFS($Z$20:$Z$33,"&lt;"&amp;Z29,$AD$20:$AD$33,1)+COUNTIFS($Z$20:$Z$33,Z29,$AB$20:$AB$33,"&gt;"&amp;AB29,$AD$20:$AD$33,1)+COUNTIFS($Z$20:$Z$33,Z29,$AB$20:$AB$33,AB29,$V$20:$V$33,"&gt;"&amp;V29,$AD$20:$AD$33,1)+COUNTIFS($Z$20:Z29,Z29,$AB$20:AB29,AB29,$V$20:V29,V29,$AD$20:AD29,1))</x:f>
        <x:v>8</x:v>
      </x:c>
      <x:c r="AD29" s="2" t="n">
        <x:f>IF(OR(AA29="DEFENSIV",AA29="PRUDENT",AA29="MODERAT",AA29="RIDICAT"),1,0)</x:f>
        <x:v>1</x:v>
      </x:c>
      <x:c r="AE29" s="2" t="str">
        <x:f>IF(AD29&lt;&gt;1,"NO",IF(W29="PASS","YES",IF(W29="OOS PENDING","CONDITIONAL","NO")))</x:f>
        <x:v>CONDITIONAL</x:v>
      </x:c>
      <x:c r="AF29" s="2" t="n">
        <x:f>IF(AND(AD29=1,AC29=1,E29="LIVE"),1,0)</x:f>
        <x:v>0</x:v>
      </x:c>
      <x:c r="AG29" s="2" t="str">
        <x:f>IF(AF29&lt;&gt;1,"",'Dashboard'!P27)</x:f>
      </x:c>
      <x:c r="AH29" s="2" t="str">
        <x:f>IF(B29="","",IF(J29&lt;&gt;"PASS",'Motor_Meciuri'!J7,IF('Calibrare_Linii'!U15&lt;&gt;"VALID","Parametri linie invalizi",IF(L29&gt;'Config_v6'!$B$13,"Dispersie peste limita",IF(W29="WATCH","Failure peste limita",IF(AB29&lt;'Config_v6'!$B$16,"P finala sub prag",IF(V29&lt;'Config_v6'!$B$18,"Confidence sub prag",IF(E29="REPLAY","Exemplu retrospectiv; exclus din Top LIVE",IF(Y29="PASS","DEFENSIV validat",IF(W29="OOS PENDING","Eligibil; calibrare linie in monitorizare","Eligibil"))))))))))</x:f>
        <x:v>Exemplu retrospectiv; exclus din Top LIVE</x:v>
      </x:c>
      <x:c r="AI29" s="2" t="str">
        <x:f>IF(B29="","",'Calibrare_Linii'!V15)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13,5|1.000000|NA|NA</x:v>
      </x:c>
      <x:c r="AJ29" s="2" t="str">
        <x:f>IF(B29="","",IF(AND('Calibrare_Linii'!T15="VALIDATED",AND('Calibrare_Linii'!H15=C29,ISNUMBER('Calibrare_Linii'!J15),'Calibrare_Linii'!J15&lt;='Input_Meci'!G7)),"DEFENSIVE VALIDATED",IF(AND('Calibrare_Linii'!S15="VALIDATED",AND('Calibrare_Linii'!H15=C29,ISNUMBER('Calibrare_Linii'!J15),'Calibrare_Linii'!J15&lt;='Input_Meci'!G7)),"TAIL VALIDATED","OOS PENDING")))</x:f>
        <x:v>OOS PENDING</x:v>
      </x:c>
      <x:c r="AK29" s="2" t="n">
        <x:f>IF(J29&lt;&gt;"PASS",0,'Motor_Meciuri'!BR7)</x:f>
        <x:v>36</x:v>
      </x:c>
      <x:c r="AL29" s="2" t="n">
        <x:f>IF(J29&lt;&gt;"PASS",0,'Motor_Meciuri'!BS7)</x:f>
        <x:v>20</x:v>
      </x:c>
      <x:c r="AM29" s="2" t="n">
        <x:f>IF(J29&lt;&gt;"PASS",0,'Motor_Meciuri'!BT7)</x:f>
        <x:v>40</x:v>
      </x:c>
      <x:c r="AN29" s="2" t="n">
        <x:f>IF(M29="","",MAX(0,'Motor_Meciuri'!BF7-IF(L29&gt;'Config_v6'!$B$12,'Config_v6'!$B$37,IF(L29&gt;'Config_v6'!$B$11,'Config_v6'!$B$36,0))))</x:f>
        <x:v>91</x:v>
      </x:c>
    </x:row>
    <x:row r="30" ht="21" customHeight="1">
      <x:c r="A30" s="2" t="n">
        <x:v>2</x:v>
      </x:c>
      <x:c r="B30" s="2" t="str">
        <x:f>IF('Motor_Meciuri'!A7="","",'Motor_Meciuri'!A7)</x:f>
        <x:v>REPLAY_2</x:v>
      </x:c>
      <x:c r="C30" s="2" t="str">
        <x:f>IF(B30="","",'Motor_Meciuri'!B7)</x:f>
        <x:v>E0</x:v>
      </x:c>
      <x:c r="D30" s="2" t="str">
        <x:f>IF(B30="","",'Motor_Meciuri'!D7)</x:f>
        <x:v>Burnley – Wolves</x:v>
      </x:c>
      <x:c r="E30" s="2" t="str">
        <x:f>IF(B30="","",'Motor_Meciuri'!E7)</x:f>
        <x:v>REPLAY</x:v>
      </x:c>
      <x:c r="F30" s="2" t="str">
        <x:v>U14,5</x:v>
      </x:c>
      <x:c r="G30" s="2" t="str">
        <x:v>UNDER</x:v>
      </x:c>
      <x:c r="H30" s="2" t="n">
        <x:v>14</x:v>
      </x:c>
      <x:c r="I30" s="2" t="str">
        <x:f>IF(B30="","",'Motor_Meciuri'!H7)</x:f>
        <x:v>READY</x:v>
      </x:c>
      <x:c r="J30" s="2" t="str">
        <x:f>IF(B30="","",'Motor_Meciuri'!I7)</x:f>
        <x:v>PASS</x:v>
      </x:c>
      <x:c r="K30" s="11" t="n">
        <x:f>IF(J30&lt;&gt;"PASS","",'Motor_Meciuri'!BD7)</x:f>
        <x:v>9.471621621621622</x:v>
      </x:c>
      <x:c r="L30" s="11" t="n">
        <x:f>IF(J30&lt;&gt;"PASS","",'Motor_Meciuri'!AU7)</x:f>
        <x:v>1.0431201550387579</x:v>
      </x:c>
      <x:c r="M30" s="10" t="n">
        <x:f>IF(NOT(AND(J30="PASS",'Calibrare_Linii'!U16="VALID")),"",'Distributie'!AL7)</x:f>
        <x:v>0.9411882977425085</x:v>
      </x:c>
      <x:c r="N30" s="10" t="n">
        <x:f>IF(M30="","",MAX(0.01,MIN(0.99,0.5+(M30-0.5)*'Motor_Meciuri'!BG7*'Calibrare_Linii'!D16)))</x:f>
        <x:v>0.8536344800555076</x:v>
      </x:c>
      <x:c r="O30" s="10" t="n">
        <x:f>IF(M30="","",1-M30)</x:f>
        <x:v>0.05881170225749155</x:v>
      </x:c>
      <x:c r="P30" s="10" t="n">
        <x:f>IF(OR(NOT(AND(J30="PASS",'Calibrare_Linii'!U16="VALID")),AK30=0),""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*('Istoric_Nativ'!$Q$6:$Q$405&gt;H30))/AK30)</x:f>
        <x:v>0.027777777777777776</x:v>
      </x:c>
      <x:c r="Q30" s="10" t="n">
        <x:f>IF(OR(NOT(AND(J30="PASS",'Calibrare_Linii'!U16="VALID")),AL30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M7)+((('Istoric_Nativ'!$E$6:$E$405='Input_Meci'!E7)+('Istoric_Nativ'!$F$6:$F$405='Input_Meci'!E7))&gt;0)*('Istoric_Nativ'!$D$6:$D$405&gt;='Motor_Meciuri'!BN7))&gt;0)*('Istoric_Nativ'!$Q$6:$Q$405&gt;H30))/AL30)</x:f>
        <x:v>0</x:v>
      </x:c>
      <x:c r="R30" s="10" t="n">
        <x:f>IF(OR(NOT(AND(J30="PASS",'Calibrare_Linii'!U16="VALID")),AM30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O7)+((('Istoric_Nativ'!$E$6:$E$405='Input_Meci'!E7)+('Istoric_Nativ'!$F$6:$F$405='Input_Meci'!E7))&gt;0)*('Istoric_Nativ'!$D$6:$D$405&gt;='Motor_Meciuri'!BP7))&gt;0)*('Istoric_Nativ'!$Q$6:$Q$405&gt;H30))/AM30)</x:f>
        <x:v>0</x:v>
      </x:c>
      <x:c r="S30" s="10" t="n">
        <x:f>IF(M30="","",MAX(O30,P30,Q30,R30))</x:f>
        <x:v>0.05881170225749155</x:v>
      </x:c>
      <x:c r="T30" s="11" t="n">
        <x:f>IF(M30="","",MIN(100,S30*100*'Config_v6'!$B$44+MIN(100,L30/'Config_v6'!$B$13*100)*'Config_v6'!$B$45+(100-'Motor_Meciuri'!BF7)*'Config_v6'!$B$46+'Motor_Meciuri'!BH7*100*'Config_v6'!$B$47))</x:f>
        <x:v>13.856822780062105</x:v>
      </x:c>
      <x:c r="U30" s="2" t="n">
        <x:f>IF(T30="","",IF(T30&lt;=20,1,IF(T30&lt;=40,2,IF(T30&lt;=60,3,IF(T30&lt;=80,4,5)))))</x:f>
        <x:v>1</x:v>
      </x:c>
      <x:c r="V30" s="2" t="n">
        <x:f>IF(M30="","",MAX(0,'Motor_Meciuri'!BF7-IF(W30="OOS PENDING",'Config_v6'!$B$35,0)-IF(L30&gt;'Config_v6'!$B$12,'Config_v6'!$B$37,IF(L30&gt;'Config_v6'!$B$11,'Config_v6'!$B$36,0))))</x:f>
        <x:v>81</x:v>
      </x:c>
      <x:c r="W30" s="2" t="str">
        <x:f>IF(B30="","",IF(I30&lt;&gt;"READY","NOT RELEASED",IF(NOT(AND(J30="PASS",'Calibrare_Linii'!U16="VALID")),"INVALID",IF(NOT(AND('Calibrare_Linii'!S16="VALIDATED",AND('Calibrare_Linii'!H16=C30,ISNUMBER('Calibrare_Linii'!J16),'Calibrare_Linii'!J16&lt;='Input_Meci'!G7))),"OOS PENDING",IF(S30&lt;='Calibrare_Linii'!E16,"PASS",IF(S30&lt;='Calibrare_Linii'!F16,"PENALTY","WATCH"))))))</x:f>
        <x:v>OOS PENDING</x:v>
      </x:c>
      <x:c r="X30" s="2" t="str">
        <x:f>IF(M30="","",IF(AND(AND(J30="PASS",'Calibrare_Linii'!U16="VALID"),'Motor_Meciuri'!K7=12,'Motor_Meciuri'!L7=12,'Motor_Meciuri'!M7="NO",'Motor_Meciuri'!BL7='Motor_Meciuri'!C7,AB30&gt;='Config_v6'!$B$50,AN30&gt;='Config_v6'!$B$51,T30&lt;='Config_v6'!$B$52,L30&lt;='Config_v6'!$B$53,ISNUMBER('Calibrare_Linii'!E16),S30&lt;='Calibrare_Linii'!E16,SUM(AK30:AM30)&gt;0),"CANDIDATE","NO"))</x:f>
        <x:v>NO</x:v>
      </x:c>
      <x:c r="Y30" s="2" t="str">
        <x:f>IF(B30="","",IF(I30&lt;&gt;"READY","NOT RELEASED",IF(AND(X30="CANDIDATE",V30&gt;='Config_v6'!$B$51,W30="PASS",'Calibrare_Linii'!T16="VALIDATED",AND('Calibrare_Linii'!H16=C30,ISNUMBER('Calibrare_Linii'!J16),'Calibrare_Linii'!J16&lt;='Input_Meci'!G7)),"PASS",IF(X30="CANDIDATE","OOS PENDING","FAIL"))))</x:f>
        <x:v>FAIL</x:v>
      </x:c>
      <x:c r="Z30" s="2" t="n">
        <x:f>IF(B30="","",IF(I30&lt;&gt;"READY","",IF(OR(NOT(AND(J30="PASS",'Calibrare_Linii'!U16="VALID")),L30&gt;'Config_v6'!$B$13,W30="WATCH"),5,IF(Y30="PASS",1,MIN(5,MAX('Config_v6'!$B$42,U30)+IF(W30="PENALTY",1,0))))))</x:f>
        <x:v>2</x:v>
      </x:c>
      <x:c r="AA30" s="2" t="str">
        <x:f>IF(B30="","",IF(I30&lt;&gt;"READY","NOT RELEASED",IF(Z30=5,"NO BET",IF(OR(AB30&lt;'Config_v6'!$B$16,V30&lt;'Config_v6'!$B$18),"WATCH",IF(Z30=1,"DEFENSIV",IF(Z30=2,"PRUDENT",IF(Z30=3,"MODERAT","RIDICAT")))))))</x:f>
        <x:v>PRUDENT</x:v>
      </x:c>
      <x:c r="AB30" s="10" t="n">
        <x:f>IF(N30="","",MIN(N30,1-S30))</x:f>
        <x:v>0.8536344800555076</x:v>
      </x:c>
      <x:c r="AC30" s="2" t="n">
        <x:f>IF(AD30&lt;&gt;1,"",COUNTIFS($Z$20:$Z$33,"&lt;"&amp;Z30,$AD$20:$AD$33,1)+COUNTIFS($Z$20:$Z$33,Z30,$AB$20:$AB$33,"&gt;"&amp;AB30,$AD$20:$AD$33,1)+COUNTIFS($Z$20:$Z$33,Z30,$AB$20:$AB$33,AB30,$V$20:$V$33,"&gt;"&amp;V30,$AD$20:$AD$33,1)+COUNTIFS($Z$20:Z30,Z30,$AB$20:AB30,AB30,$V$20:V30,V30,$AD$20:AD30,1))</x:f>
        <x:v>6</x:v>
      </x:c>
      <x:c r="AD30" s="2" t="n">
        <x:f>IF(OR(AA30="DEFENSIV",AA30="PRUDENT",AA30="MODERAT",AA30="RIDICAT"),1,0)</x:f>
        <x:v>1</x:v>
      </x:c>
      <x:c r="AE30" s="2" t="str">
        <x:f>IF(AD30&lt;&gt;1,"NO",IF(W30="PASS","YES",IF(W30="OOS PENDING","CONDITIONAL","NO")))</x:f>
        <x:v>CONDITIONAL</x:v>
      </x:c>
      <x:c r="AF30" s="2" t="n">
        <x:f>IF(AND(AD30=1,AC30=1,E30="LIVE"),1,0)</x:f>
        <x:v>0</x:v>
      </x:c>
      <x:c r="AG30" s="2" t="str">
        <x:f>IF(AF30&lt;&gt;1,"",'Dashboard'!P27)</x:f>
      </x:c>
      <x:c r="AH30" s="2" t="str">
        <x:f>IF(B30="","",IF(J30&lt;&gt;"PASS",'Motor_Meciuri'!J7,IF('Calibrare_Linii'!U16&lt;&gt;"VALID","Parametri linie invalizi",IF(L30&gt;'Config_v6'!$B$13,"Dispersie peste limita",IF(W30="WATCH","Failure peste limita",IF(AB30&lt;'Config_v6'!$B$16,"P finala sub prag",IF(V30&lt;'Config_v6'!$B$18,"Confidence sub prag",IF(E30="REPLAY","Exemplu retrospectiv; exclus din Top LIVE",IF(Y30="PASS","DEFENSIV validat",IF(W30="OOS PENDING","Eligibil; calibrare linie in monitorizare","Eligibil"))))))))))</x:f>
        <x:v>Exemplu retrospectiv; exclus din Top LIVE</x:v>
      </x:c>
      <x:c r="AI30" s="2" t="str">
        <x:f>IF(B30="","",'Calibrare_Linii'!V16)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14,5|1.000000|NA|NA</x:v>
      </x:c>
      <x:c r="AJ30" s="2" t="str">
        <x:f>IF(B30="","",IF(AND('Calibrare_Linii'!T16="VALIDATED",AND('Calibrare_Linii'!H16=C30,ISNUMBER('Calibrare_Linii'!J16),'Calibrare_Linii'!J16&lt;='Input_Meci'!G7)),"DEFENSIVE VALIDATED",IF(AND('Calibrare_Linii'!S16="VALIDATED",AND('Calibrare_Linii'!H16=C30,ISNUMBER('Calibrare_Linii'!J16),'Calibrare_Linii'!J16&lt;='Input_Meci'!G7)),"TAIL VALIDATED","OOS PENDING")))</x:f>
        <x:v>OOS PENDING</x:v>
      </x:c>
      <x:c r="AK30" s="2" t="n">
        <x:f>IF(J30&lt;&gt;"PASS",0,'Motor_Meciuri'!BR7)</x:f>
        <x:v>36</x:v>
      </x:c>
      <x:c r="AL30" s="2" t="n">
        <x:f>IF(J30&lt;&gt;"PASS",0,'Motor_Meciuri'!BS7)</x:f>
        <x:v>20</x:v>
      </x:c>
      <x:c r="AM30" s="2" t="n">
        <x:f>IF(J30&lt;&gt;"PASS",0,'Motor_Meciuri'!BT7)</x:f>
        <x:v>40</x:v>
      </x:c>
      <x:c r="AN30" s="2" t="n">
        <x:f>IF(M30="","",MAX(0,'Motor_Meciuri'!BF7-IF(L30&gt;'Config_v6'!$B$12,'Config_v6'!$B$37,IF(L30&gt;'Config_v6'!$B$11,'Config_v6'!$B$36,0))))</x:f>
        <x:v>91</x:v>
      </x:c>
    </x:row>
    <x:row r="31" ht="21" customHeight="1">
      <x:c r="A31" s="2" t="n">
        <x:v>2</x:v>
      </x:c>
      <x:c r="B31" s="2" t="str">
        <x:f>IF('Motor_Meciuri'!A7="","",'Motor_Meciuri'!A7)</x:f>
        <x:v>REPLAY_2</x:v>
      </x:c>
      <x:c r="C31" s="2" t="str">
        <x:f>IF(B31="","",'Motor_Meciuri'!B7)</x:f>
        <x:v>E0</x:v>
      </x:c>
      <x:c r="D31" s="2" t="str">
        <x:f>IF(B31="","",'Motor_Meciuri'!D7)</x:f>
        <x:v>Burnley – Wolves</x:v>
      </x:c>
      <x:c r="E31" s="2" t="str">
        <x:f>IF(B31="","",'Motor_Meciuri'!E7)</x:f>
        <x:v>REPLAY</x:v>
      </x:c>
      <x:c r="F31" s="2" t="str">
        <x:v>U15,5</x:v>
      </x:c>
      <x:c r="G31" s="2" t="str">
        <x:v>UNDER</x:v>
      </x:c>
      <x:c r="H31" s="2" t="n">
        <x:v>15</x:v>
      </x:c>
      <x:c r="I31" s="2" t="str">
        <x:f>IF(B31="","",'Motor_Meciuri'!H7)</x:f>
        <x:v>READY</x:v>
      </x:c>
      <x:c r="J31" s="2" t="str">
        <x:f>IF(B31="","",'Motor_Meciuri'!I7)</x:f>
        <x:v>PASS</x:v>
      </x:c>
      <x:c r="K31" s="11" t="n">
        <x:f>IF(J31&lt;&gt;"PASS","",'Motor_Meciuri'!BD7)</x:f>
        <x:v>9.471621621621622</x:v>
      </x:c>
      <x:c r="L31" s="11" t="n">
        <x:f>IF(J31&lt;&gt;"PASS","",'Motor_Meciuri'!AU7)</x:f>
        <x:v>1.0431201550387579</x:v>
      </x:c>
      <x:c r="M31" s="10" t="n">
        <x:f>IF(NOT(AND(J31="PASS",'Calibrare_Linii'!U17="VALID")),"",'Distributie'!AM7)</x:f>
        <x:v>0.9672733966459796</x:v>
      </x:c>
      <x:c r="N31" s="10" t="n">
        <x:f>IF(M31="","",MAX(0.01,MIN(0.99,0.5+(M31-0.5)*'Motor_Meciuri'!BG7*'Calibrare_Linii'!D17)))</x:f>
        <x:v>0.874542991081585</x:v>
      </x:c>
      <x:c r="O31" s="10" t="n">
        <x:f>IF(M31="","",1-M31)</x:f>
        <x:v>0.032726603354020445</x:v>
      </x:c>
      <x:c r="P31" s="10" t="n">
        <x:f>IF(OR(NOT(AND(J31="PASS",'Calibrare_Linii'!U17="VALID")),AK31=0),""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*('Istoric_Nativ'!$Q$6:$Q$405&gt;H31))/AK31)</x:f>
        <x:v>0.027777777777777776</x:v>
      </x:c>
      <x:c r="Q31" s="10" t="n">
        <x:f>IF(OR(NOT(AND(J31="PASS",'Calibrare_Linii'!U17="VALID")),AL31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M7)+((('Istoric_Nativ'!$E$6:$E$405='Input_Meci'!E7)+('Istoric_Nativ'!$F$6:$F$405='Input_Meci'!E7))&gt;0)*('Istoric_Nativ'!$D$6:$D$405&gt;='Motor_Meciuri'!BN7))&gt;0)*('Istoric_Nativ'!$Q$6:$Q$405&gt;H31))/AL31)</x:f>
        <x:v>0</x:v>
      </x:c>
      <x:c r="R31" s="10" t="n">
        <x:f>IF(OR(NOT(AND(J31="PASS",'Calibrare_Linii'!U17="VALID")),AM31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O7)+((('Istoric_Nativ'!$E$6:$E$405='Input_Meci'!E7)+('Istoric_Nativ'!$F$6:$F$405='Input_Meci'!E7))&gt;0)*('Istoric_Nativ'!$D$6:$D$405&gt;='Motor_Meciuri'!BP7))&gt;0)*('Istoric_Nativ'!$Q$6:$Q$405&gt;H31))/AM31)</x:f>
        <x:v>0</x:v>
      </x:c>
      <x:c r="S31" s="10" t="n">
        <x:f>IF(M31="","",MAX(O31,P31,Q31,R31))</x:f>
        <x:v>0.032726603354020445</x:v>
      </x:c>
      <x:c r="T31" s="11" t="n">
        <x:f>IF(M31="","",MIN(100,S31*100*'Config_v6'!$B$44+MIN(100,L31/'Config_v6'!$B$13*100)*'Config_v6'!$B$45+(100-'Motor_Meciuri'!BF7)*'Config_v6'!$B$46+'Motor_Meciuri'!BH7*100*'Config_v6'!$B$47))</x:f>
        <x:v>12.422142340371193</x:v>
      </x:c>
      <x:c r="U31" s="2" t="n">
        <x:f>IF(T31="","",IF(T31&lt;=20,1,IF(T31&lt;=40,2,IF(T31&lt;=60,3,IF(T31&lt;=80,4,5)))))</x:f>
        <x:v>1</x:v>
      </x:c>
      <x:c r="V31" s="2" t="n">
        <x:f>IF(M31="","",MAX(0,'Motor_Meciuri'!BF7-IF(W31="OOS PENDING",'Config_v6'!$B$35,0)-IF(L31&gt;'Config_v6'!$B$12,'Config_v6'!$B$37,IF(L31&gt;'Config_v6'!$B$11,'Config_v6'!$B$36,0))))</x:f>
        <x:v>81</x:v>
      </x:c>
      <x:c r="W31" s="2" t="str">
        <x:f>IF(B31="","",IF(I31&lt;&gt;"READY","NOT RELEASED",IF(NOT(AND(J31="PASS",'Calibrare_Linii'!U17="VALID")),"INVALID",IF(NOT(AND('Calibrare_Linii'!S17="VALIDATED",AND('Calibrare_Linii'!H17=C31,ISNUMBER('Calibrare_Linii'!J17),'Calibrare_Linii'!J17&lt;='Input_Meci'!G7))),"OOS PENDING",IF(S31&lt;='Calibrare_Linii'!E17,"PASS",IF(S31&lt;='Calibrare_Linii'!F17,"PENALTY","WATCH"))))))</x:f>
        <x:v>OOS PENDING</x:v>
      </x:c>
      <x:c r="X31" s="2" t="str">
        <x:f>IF(M31="","",IF(AND(AND(J31="PASS",'Calibrare_Linii'!U17="VALID"),'Motor_Meciuri'!K7=12,'Motor_Meciuri'!L7=12,'Motor_Meciuri'!M7="NO",'Motor_Meciuri'!BL7='Motor_Meciuri'!C7,AB31&gt;='Config_v6'!$B$50,AN31&gt;='Config_v6'!$B$51,T31&lt;='Config_v6'!$B$52,L31&lt;='Config_v6'!$B$53,ISNUMBER('Calibrare_Linii'!E17),S31&lt;='Calibrare_Linii'!E17,SUM(AK31:AM31)&gt;0),"CANDIDATE","NO"))</x:f>
        <x:v>NO</x:v>
      </x:c>
      <x:c r="Y31" s="2" t="str">
        <x:f>IF(B31="","",IF(I31&lt;&gt;"READY","NOT RELEASED",IF(AND(X31="CANDIDATE",V31&gt;='Config_v6'!$B$51,W31="PASS",'Calibrare_Linii'!T17="VALIDATED",AND('Calibrare_Linii'!H17=C31,ISNUMBER('Calibrare_Linii'!J17),'Calibrare_Linii'!J17&lt;='Input_Meci'!G7)),"PASS",IF(X31="CANDIDATE","OOS PENDING","FAIL"))))</x:f>
        <x:v>FAIL</x:v>
      </x:c>
      <x:c r="Z31" s="2" t="n">
        <x:f>IF(B31="","",IF(I31&lt;&gt;"READY","",IF(OR(NOT(AND(J31="PASS",'Calibrare_Linii'!U17="VALID")),L31&gt;'Config_v6'!$B$13,W31="WATCH"),5,IF(Y31="PASS",1,MIN(5,MAX('Config_v6'!$B$42,U31)+IF(W31="PENALTY",1,0))))))</x:f>
        <x:v>2</x:v>
      </x:c>
      <x:c r="AA31" s="2" t="str">
        <x:f>IF(B31="","",IF(I31&lt;&gt;"READY","NOT RELEASED",IF(Z31=5,"NO BET",IF(OR(AB31&lt;'Config_v6'!$B$16,V31&lt;'Config_v6'!$B$18),"WATCH",IF(Z31=1,"DEFENSIV",IF(Z31=2,"PRUDENT",IF(Z31=3,"MODERAT","RIDICAT")))))))</x:f>
        <x:v>PRUDENT</x:v>
      </x:c>
      <x:c r="AB31" s="10" t="n">
        <x:f>IF(N31="","",MIN(N31,1-S31))</x:f>
        <x:v>0.874542991081585</x:v>
      </x:c>
      <x:c r="AC31" s="2" t="n">
        <x:f>IF(AD31&lt;&gt;1,"",COUNTIFS($Z$20:$Z$33,"&lt;"&amp;Z31,$AD$20:$AD$33,1)+COUNTIFS($Z$20:$Z$33,Z31,$AB$20:$AB$33,"&gt;"&amp;AB31,$AD$20:$AD$33,1)+COUNTIFS($Z$20:$Z$33,Z31,$AB$20:$AB$33,AB31,$V$20:$V$33,"&gt;"&amp;V31,$AD$20:$AD$33,1)+COUNTIFS($Z$20:Z31,Z31,$AB$20:AB31,AB31,$V$20:V31,V31,$AD$20:AD31,1))</x:f>
        <x:v>4</x:v>
      </x:c>
      <x:c r="AD31" s="2" t="n">
        <x:f>IF(OR(AA31="DEFENSIV",AA31="PRUDENT",AA31="MODERAT",AA31="RIDICAT"),1,0)</x:f>
        <x:v>1</x:v>
      </x:c>
      <x:c r="AE31" s="2" t="str">
        <x:f>IF(AD31&lt;&gt;1,"NO",IF(W31="PASS","YES",IF(W31="OOS PENDING","CONDITIONAL","NO")))</x:f>
        <x:v>CONDITIONAL</x:v>
      </x:c>
      <x:c r="AF31" s="2" t="n">
        <x:f>IF(AND(AD31=1,AC31=1,E31="LIVE"),1,0)</x:f>
        <x:v>0</x:v>
      </x:c>
      <x:c r="AG31" s="2" t="str">
        <x:f>IF(AF31&lt;&gt;1,"",'Dashboard'!P27)</x:f>
      </x:c>
      <x:c r="AH31" s="2" t="str">
        <x:f>IF(B31="","",IF(J31&lt;&gt;"PASS",'Motor_Meciuri'!J7,IF('Calibrare_Linii'!U17&lt;&gt;"VALID","Parametri linie invalizi",IF(L31&gt;'Config_v6'!$B$13,"Dispersie peste limita",IF(W31="WATCH","Failure peste limita",IF(AB31&lt;'Config_v6'!$B$16,"P finala sub prag",IF(V31&lt;'Config_v6'!$B$18,"Confidence sub prag",IF(E31="REPLAY","Exemplu retrospectiv; exclus din Top LIVE",IF(Y31="PASS","DEFENSIV validat",IF(W31="OOS PENDING","Eligibil; calibrare linie in monitorizare","Eligibil"))))))))))</x:f>
        <x:v>Exemplu retrospectiv; exclus din Top LIVE</x:v>
      </x:c>
      <x:c r="AI31" s="2" t="str">
        <x:f>IF(B31="","",'Calibrare_Linii'!V17)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15,5|1.000000|NA|NA</x:v>
      </x:c>
      <x:c r="AJ31" s="2" t="str">
        <x:f>IF(B31="","",IF(AND('Calibrare_Linii'!T17="VALIDATED",AND('Calibrare_Linii'!H17=C31,ISNUMBER('Calibrare_Linii'!J17),'Calibrare_Linii'!J17&lt;='Input_Meci'!G7)),"DEFENSIVE VALIDATED",IF(AND('Calibrare_Linii'!S17="VALIDATED",AND('Calibrare_Linii'!H17=C31,ISNUMBER('Calibrare_Linii'!J17),'Calibrare_Linii'!J17&lt;='Input_Meci'!G7)),"TAIL VALIDATED","OOS PENDING")))</x:f>
        <x:v>OOS PENDING</x:v>
      </x:c>
      <x:c r="AK31" s="2" t="n">
        <x:f>IF(J31&lt;&gt;"PASS",0,'Motor_Meciuri'!BR7)</x:f>
        <x:v>36</x:v>
      </x:c>
      <x:c r="AL31" s="2" t="n">
        <x:f>IF(J31&lt;&gt;"PASS",0,'Motor_Meciuri'!BS7)</x:f>
        <x:v>20</x:v>
      </x:c>
      <x:c r="AM31" s="2" t="n">
        <x:f>IF(J31&lt;&gt;"PASS",0,'Motor_Meciuri'!BT7)</x:f>
        <x:v>40</x:v>
      </x:c>
      <x:c r="AN31" s="2" t="n">
        <x:f>IF(M31="","",MAX(0,'Motor_Meciuri'!BF7-IF(L31&gt;'Config_v6'!$B$12,'Config_v6'!$B$37,IF(L31&gt;'Config_v6'!$B$11,'Config_v6'!$B$36,0))))</x:f>
        <x:v>91</x:v>
      </x:c>
    </x:row>
    <x:row r="32" ht="21" customHeight="1">
      <x:c r="A32" s="2" t="n">
        <x:v>2</x:v>
      </x:c>
      <x:c r="B32" s="2" t="str">
        <x:f>IF('Motor_Meciuri'!A7="","",'Motor_Meciuri'!A7)</x:f>
        <x:v>REPLAY_2</x:v>
      </x:c>
      <x:c r="C32" s="2" t="str">
        <x:f>IF(B32="","",'Motor_Meciuri'!B7)</x:f>
        <x:v>E0</x:v>
      </x:c>
      <x:c r="D32" s="2" t="str">
        <x:f>IF(B32="","",'Motor_Meciuri'!D7)</x:f>
        <x:v>Burnley – Wolves</x:v>
      </x:c>
      <x:c r="E32" s="2" t="str">
        <x:f>IF(B32="","",'Motor_Meciuri'!E7)</x:f>
        <x:v>REPLAY</x:v>
      </x:c>
      <x:c r="F32" s="2" t="str">
        <x:v>U16,5</x:v>
      </x:c>
      <x:c r="G32" s="2" t="str">
        <x:v>UNDER</x:v>
      </x:c>
      <x:c r="H32" s="2" t="n">
        <x:v>16</x:v>
      </x:c>
      <x:c r="I32" s="2" t="str">
        <x:f>IF(B32="","",'Motor_Meciuri'!H7)</x:f>
        <x:v>READY</x:v>
      </x:c>
      <x:c r="J32" s="2" t="str">
        <x:f>IF(B32="","",'Motor_Meciuri'!I7)</x:f>
        <x:v>PASS</x:v>
      </x:c>
      <x:c r="K32" s="11" t="n">
        <x:f>IF(J32&lt;&gt;"PASS","",'Motor_Meciuri'!BD7)</x:f>
        <x:v>9.471621621621622</x:v>
      </x:c>
      <x:c r="L32" s="11" t="n">
        <x:f>IF(J32&lt;&gt;"PASS","",'Motor_Meciuri'!AU7)</x:f>
        <x:v>1.0431201550387579</x:v>
      </x:c>
      <x:c r="M32" s="10" t="n">
        <x:f>IF(NOT(AND(J32="PASS",'Calibrare_Linii'!U18="VALID")),"",'Distributie'!AN7)</x:f>
        <x:v>0.9827151583194955</x:v>
      </x:c>
      <x:c r="N32" s="10" t="n">
        <x:f>IF(M32="","",MAX(0.01,MIN(0.99,0.5+(M32-0.5)*'Motor_Meciuri'!BG7*'Calibrare_Linii'!D18)))</x:f>
        <x:v>0.8869203351509916</x:v>
      </x:c>
      <x:c r="O32" s="10" t="n">
        <x:f>IF(M32="","",1-M32)</x:f>
        <x:v>0.01728484168050448</x:v>
      </x:c>
      <x:c r="P32" s="10" t="n">
        <x:f>IF(OR(NOT(AND(J32="PASS",'Calibrare_Linii'!U18="VALID")),AK32=0),""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*('Istoric_Nativ'!$Q$6:$Q$405&gt;H32))/AK32)</x:f>
        <x:v>0.027777777777777776</x:v>
      </x:c>
      <x:c r="Q32" s="10" t="n">
        <x:f>IF(OR(NOT(AND(J32="PASS",'Calibrare_Linii'!U18="VALID")),AL32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M7)+((('Istoric_Nativ'!$E$6:$E$405='Input_Meci'!E7)+('Istoric_Nativ'!$F$6:$F$405='Input_Meci'!E7))&gt;0)*('Istoric_Nativ'!$D$6:$D$405&gt;='Motor_Meciuri'!BN7))&gt;0)*('Istoric_Nativ'!$Q$6:$Q$405&gt;H32))/AL32)</x:f>
        <x:v>0</x:v>
      </x:c>
      <x:c r="R32" s="10" t="n">
        <x:f>IF(OR(NOT(AND(J32="PASS",'Calibrare_Linii'!U18="VALID")),AM32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O7)+((('Istoric_Nativ'!$E$6:$E$405='Input_Meci'!E7)+('Istoric_Nativ'!$F$6:$F$405='Input_Meci'!E7))&gt;0)*('Istoric_Nativ'!$D$6:$D$405&gt;='Motor_Meciuri'!BP7))&gt;0)*('Istoric_Nativ'!$Q$6:$Q$405&gt;H32))/AM32)</x:f>
        <x:v>0</x:v>
      </x:c>
      <x:c r="S32" s="10" t="n">
        <x:f>IF(M32="","",MAX(O32,P32,Q32,R32))</x:f>
        <x:v>0.027777777777777776</x:v>
      </x:c>
      <x:c r="T32" s="11" t="n">
        <x:f>IF(M32="","",MIN(100,S32*100*'Config_v6'!$B$44+MIN(100,L32/'Config_v6'!$B$13*100)*'Config_v6'!$B$45+(100-'Motor_Meciuri'!BF7)*'Config_v6'!$B$46+'Motor_Meciuri'!BH7*100*'Config_v6'!$B$47))</x:f>
        <x:v>12.149956933677847</x:v>
      </x:c>
      <x:c r="U32" s="2" t="n">
        <x:f>IF(T32="","",IF(T32&lt;=20,1,IF(T32&lt;=40,2,IF(T32&lt;=60,3,IF(T32&lt;=80,4,5)))))</x:f>
        <x:v>1</x:v>
      </x:c>
      <x:c r="V32" s="2" t="n">
        <x:f>IF(M32="","",MAX(0,'Motor_Meciuri'!BF7-IF(W32="OOS PENDING",'Config_v6'!$B$35,0)-IF(L32&gt;'Config_v6'!$B$12,'Config_v6'!$B$37,IF(L32&gt;'Config_v6'!$B$11,'Config_v6'!$B$36,0))))</x:f>
        <x:v>81</x:v>
      </x:c>
      <x:c r="W32" s="2" t="str">
        <x:f>IF(B32="","",IF(I32&lt;&gt;"READY","NOT RELEASED",IF(NOT(AND(J32="PASS",'Calibrare_Linii'!U18="VALID")),"INVALID",IF(NOT(AND('Calibrare_Linii'!S18="VALIDATED",AND('Calibrare_Linii'!H18=C32,ISNUMBER('Calibrare_Linii'!J18),'Calibrare_Linii'!J18&lt;='Input_Meci'!G7))),"OOS PENDING",IF(S32&lt;='Calibrare_Linii'!E18,"PASS",IF(S32&lt;='Calibrare_Linii'!F18,"PENALTY","WATCH"))))))</x:f>
        <x:v>OOS PENDING</x:v>
      </x:c>
      <x:c r="X32" s="2" t="str">
        <x:f>IF(M32="","",IF(AND(AND(J32="PASS",'Calibrare_Linii'!U18="VALID"),'Motor_Meciuri'!K7=12,'Motor_Meciuri'!L7=12,'Motor_Meciuri'!M7="NO",'Motor_Meciuri'!BL7='Motor_Meciuri'!C7,AB32&gt;='Config_v6'!$B$50,AN32&gt;='Config_v6'!$B$51,T32&lt;='Config_v6'!$B$52,L32&lt;='Config_v6'!$B$53,ISNUMBER('Calibrare_Linii'!E18),S32&lt;='Calibrare_Linii'!E18,SUM(AK32:AM32)&gt;0),"CANDIDATE","NO"))</x:f>
        <x:v>NO</x:v>
      </x:c>
      <x:c r="Y32" s="2" t="str">
        <x:f>IF(B32="","",IF(I32&lt;&gt;"READY","NOT RELEASED",IF(AND(X32="CANDIDATE",V32&gt;='Config_v6'!$B$51,W32="PASS",'Calibrare_Linii'!T18="VALIDATED",AND('Calibrare_Linii'!H18=C32,ISNUMBER('Calibrare_Linii'!J18),'Calibrare_Linii'!J18&lt;='Input_Meci'!G7)),"PASS",IF(X32="CANDIDATE","OOS PENDING","FAIL"))))</x:f>
        <x:v>FAIL</x:v>
      </x:c>
      <x:c r="Z32" s="2" t="n">
        <x:f>IF(B32="","",IF(I32&lt;&gt;"READY","",IF(OR(NOT(AND(J32="PASS",'Calibrare_Linii'!U18="VALID")),L32&gt;'Config_v6'!$B$13,W32="WATCH"),5,IF(Y32="PASS",1,MIN(5,MAX('Config_v6'!$B$42,U32)+IF(W32="PENALTY",1,0))))))</x:f>
        <x:v>2</x:v>
      </x:c>
      <x:c r="AA32" s="2" t="str">
        <x:f>IF(B32="","",IF(I32&lt;&gt;"READY","NOT RELEASED",IF(Z32=5,"NO BET",IF(OR(AB32&lt;'Config_v6'!$B$16,V32&lt;'Config_v6'!$B$18),"WATCH",IF(Z32=1,"DEFENSIV",IF(Z32=2,"PRUDENT",IF(Z32=3,"MODERAT","RIDICAT")))))))</x:f>
        <x:v>PRUDENT</x:v>
      </x:c>
      <x:c r="AB32" s="10" t="n">
        <x:f>IF(N32="","",MIN(N32,1-S32))</x:f>
        <x:v>0.8869203351509916</x:v>
      </x:c>
      <x:c r="AC32" s="2" t="n">
        <x:f>IF(AD32&lt;&gt;1,"",COUNTIFS($Z$20:$Z$33,"&lt;"&amp;Z32,$AD$20:$AD$33,1)+COUNTIFS($Z$20:$Z$33,Z32,$AB$20:$AB$33,"&gt;"&amp;AB32,$AD$20:$AD$33,1)+COUNTIFS($Z$20:$Z$33,Z32,$AB$20:$AB$33,AB32,$V$20:$V$33,"&gt;"&amp;V32,$AD$20:$AD$33,1)+COUNTIFS($Z$20:Z32,Z32,$AB$20:AB32,AB32,$V$20:V32,V32,$AD$20:AD32,1))</x:f>
        <x:v>3</x:v>
      </x:c>
      <x:c r="AD32" s="2" t="n">
        <x:f>IF(OR(AA32="DEFENSIV",AA32="PRUDENT",AA32="MODERAT",AA32="RIDICAT"),1,0)</x:f>
        <x:v>1</x:v>
      </x:c>
      <x:c r="AE32" s="2" t="str">
        <x:f>IF(AD32&lt;&gt;1,"NO",IF(W32="PASS","YES",IF(W32="OOS PENDING","CONDITIONAL","NO")))</x:f>
        <x:v>CONDITIONAL</x:v>
      </x:c>
      <x:c r="AF32" s="2" t="n">
        <x:f>IF(AND(AD32=1,AC32=1,E32="LIVE"),1,0)</x:f>
        <x:v>0</x:v>
      </x:c>
      <x:c r="AG32" s="2" t="str">
        <x:f>IF(AF32&lt;&gt;1,"",'Dashboard'!P27)</x:f>
      </x:c>
      <x:c r="AH32" s="2" t="str">
        <x:f>IF(B32="","",IF(J32&lt;&gt;"PASS",'Motor_Meciuri'!J7,IF('Calibrare_Linii'!U18&lt;&gt;"VALID","Parametri linie invalizi",IF(L32&gt;'Config_v6'!$B$13,"Dispersie peste limita",IF(W32="WATCH","Failure peste limita",IF(AB32&lt;'Config_v6'!$B$16,"P finala sub prag",IF(V32&lt;'Config_v6'!$B$18,"Confidence sub prag",IF(E32="REPLAY","Exemplu retrospectiv; exclus din Top LIVE",IF(Y32="PASS","DEFENSIV validat",IF(W32="OOS PENDING","Eligibil; calibrare linie in monitorizare","Eligibil"))))))))))</x:f>
        <x:v>Exemplu retrospectiv; exclus din Top LIVE</x:v>
      </x:c>
      <x:c r="AI32" s="2" t="str">
        <x:f>IF(B32="","",'Calibrare_Linii'!V18)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16,5|1.000000|NA|NA</x:v>
      </x:c>
      <x:c r="AJ32" s="2" t="str">
        <x:f>IF(B32="","",IF(AND('Calibrare_Linii'!T18="VALIDATED",AND('Calibrare_Linii'!H18=C32,ISNUMBER('Calibrare_Linii'!J18),'Calibrare_Linii'!J18&lt;='Input_Meci'!G7)),"DEFENSIVE VALIDATED",IF(AND('Calibrare_Linii'!S18="VALIDATED",AND('Calibrare_Linii'!H18=C32,ISNUMBER('Calibrare_Linii'!J18),'Calibrare_Linii'!J18&lt;='Input_Meci'!G7)),"TAIL VALIDATED","OOS PENDING")))</x:f>
        <x:v>OOS PENDING</x:v>
      </x:c>
      <x:c r="AK32" s="2" t="n">
        <x:f>IF(J32&lt;&gt;"PASS",0,'Motor_Meciuri'!BR7)</x:f>
        <x:v>36</x:v>
      </x:c>
      <x:c r="AL32" s="2" t="n">
        <x:f>IF(J32&lt;&gt;"PASS",0,'Motor_Meciuri'!BS7)</x:f>
        <x:v>20</x:v>
      </x:c>
      <x:c r="AM32" s="2" t="n">
        <x:f>IF(J32&lt;&gt;"PASS",0,'Motor_Meciuri'!BT7)</x:f>
        <x:v>40</x:v>
      </x:c>
      <x:c r="AN32" s="2" t="n">
        <x:f>IF(M32="","",MAX(0,'Motor_Meciuri'!BF7-IF(L32&gt;'Config_v6'!$B$12,'Config_v6'!$B$37,IF(L32&gt;'Config_v6'!$B$11,'Config_v6'!$B$36,0))))</x:f>
        <x:v>91</x:v>
      </x:c>
    </x:row>
    <x:row r="33" ht="21" customHeight="1">
      <x:c r="A33" s="2" t="n">
        <x:v>2</x:v>
      </x:c>
      <x:c r="B33" s="2" t="str">
        <x:f>IF('Motor_Meciuri'!A7="","",'Motor_Meciuri'!A7)</x:f>
        <x:v>REPLAY_2</x:v>
      </x:c>
      <x:c r="C33" s="2" t="str">
        <x:f>IF(B33="","",'Motor_Meciuri'!B7)</x:f>
        <x:v>E0</x:v>
      </x:c>
      <x:c r="D33" s="2" t="str">
        <x:f>IF(B33="","",'Motor_Meciuri'!D7)</x:f>
        <x:v>Burnley – Wolves</x:v>
      </x:c>
      <x:c r="E33" s="2" t="str">
        <x:f>IF(B33="","",'Motor_Meciuri'!E7)</x:f>
        <x:v>REPLAY</x:v>
      </x:c>
      <x:c r="F33" s="2" t="str">
        <x:v>U17,5</x:v>
      </x:c>
      <x:c r="G33" s="2" t="str">
        <x:v>UNDER</x:v>
      </x:c>
      <x:c r="H33" s="2" t="n">
        <x:v>17</x:v>
      </x:c>
      <x:c r="I33" s="2" t="str">
        <x:f>IF(B33="","",'Motor_Meciuri'!H7)</x:f>
        <x:v>READY</x:v>
      </x:c>
      <x:c r="J33" s="2" t="str">
        <x:f>IF(B33="","",'Motor_Meciuri'!I7)</x:f>
        <x:v>PASS</x:v>
      </x:c>
      <x:c r="K33" s="11" t="n">
        <x:f>IF(J33&lt;&gt;"PASS","",'Motor_Meciuri'!BD7)</x:f>
        <x:v>9.471621621621622</x:v>
      </x:c>
      <x:c r="L33" s="11" t="n">
        <x:f>IF(J33&lt;&gt;"PASS","",'Motor_Meciuri'!AU7)</x:f>
        <x:v>1.0431201550387579</x:v>
      </x:c>
      <x:c r="M33" s="10" t="n">
        <x:f>IF(NOT(AND(J33="PASS",'Calibrare_Linii'!U19="VALID")),"",'Distributie'!AO7)</x:f>
        <x:v>0.9913186008926015</x:v>
      </x:c>
      <x:c r="N33" s="10" t="n">
        <x:f>IF(M33="","",MAX(0.01,MIN(0.99,0.5+(M33-0.5)*'Motor_Meciuri'!BG7*'Calibrare_Linii'!D19)))</x:f>
        <x:v>0.8938164245454647</x:v>
      </x:c>
      <x:c r="O33" s="10" t="n">
        <x:f>IF(M33="","",1-M33)</x:f>
        <x:v>0.008681399107398513</x:v>
      </x:c>
      <x:c r="P33" s="10" t="n">
        <x:f>IF(OR(NOT(AND(J33="PASS",'Calibrare_Linii'!U19="VALID")),AK33=0),""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*('Istoric_Nativ'!$Q$6:$Q$405&gt;H33))/AK33)</x:f>
        <x:v>0.027777777777777776</x:v>
      </x:c>
      <x:c r="Q33" s="10" t="n">
        <x:f>IF(OR(NOT(AND(J33="PASS",'Calibrare_Linii'!U19="VALID")),AL33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M7)+((('Istoric_Nativ'!$E$6:$E$405='Input_Meci'!E7)+('Istoric_Nativ'!$F$6:$F$405='Input_Meci'!E7))&gt;0)*('Istoric_Nativ'!$D$6:$D$405&gt;='Motor_Meciuri'!BN7))&gt;0)*('Istoric_Nativ'!$Q$6:$Q$405&gt;H33))/AL33)</x:f>
        <x:v>0</x:v>
      </x:c>
      <x:c r="R33" s="10" t="n">
        <x:f>IF(OR(NOT(AND(J33="PASS",'Calibrare_Linii'!U19="VALID")),AM33=0),""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'Motor_Meciuri'!BO7)+((('Istoric_Nativ'!$E$6:$E$405='Input_Meci'!E7)+('Istoric_Nativ'!$F$6:$F$405='Input_Meci'!E7))&gt;0)*('Istoric_Nativ'!$D$6:$D$405&gt;='Motor_Meciuri'!BP7))&gt;0)*('Istoric_Nativ'!$Q$6:$Q$405&gt;H33))/AM33)</x:f>
        <x:v>0</x:v>
      </x:c>
      <x:c r="S33" s="10" t="n">
        <x:f>IF(M33="","",MAX(O33,P33,Q33,R33))</x:f>
        <x:v>0.027777777777777776</x:v>
      </x:c>
      <x:c r="T33" s="11" t="n">
        <x:f>IF(M33="","",MIN(100,S33*100*'Config_v6'!$B$44+MIN(100,L33/'Config_v6'!$B$13*100)*'Config_v6'!$B$45+(100-'Motor_Meciuri'!BF7)*'Config_v6'!$B$46+'Motor_Meciuri'!BH7*100*'Config_v6'!$B$47))</x:f>
        <x:v>12.149956933677847</x:v>
      </x:c>
      <x:c r="U33" s="2" t="n">
        <x:f>IF(T33="","",IF(T33&lt;=20,1,IF(T33&lt;=40,2,IF(T33&lt;=60,3,IF(T33&lt;=80,4,5)))))</x:f>
        <x:v>1</x:v>
      </x:c>
      <x:c r="V33" s="2" t="n">
        <x:f>IF(M33="","",MAX(0,'Motor_Meciuri'!BF7-IF(W33="OOS PENDING",'Config_v6'!$B$35,0)-IF(L33&gt;'Config_v6'!$B$12,'Config_v6'!$B$37,IF(L33&gt;'Config_v6'!$B$11,'Config_v6'!$B$36,0))))</x:f>
        <x:v>81</x:v>
      </x:c>
      <x:c r="W33" s="2" t="str">
        <x:f>IF(B33="","",IF(I33&lt;&gt;"READY","NOT RELEASED",IF(NOT(AND(J33="PASS",'Calibrare_Linii'!U19="VALID")),"INVALID",IF(NOT(AND('Calibrare_Linii'!S19="VALIDATED",AND('Calibrare_Linii'!H19=C33,ISNUMBER('Calibrare_Linii'!J19),'Calibrare_Linii'!J19&lt;='Input_Meci'!G7))),"OOS PENDING",IF(S33&lt;='Calibrare_Linii'!E19,"PASS",IF(S33&lt;='Calibrare_Linii'!F19,"PENALTY","WATCH"))))))</x:f>
        <x:v>OOS PENDING</x:v>
      </x:c>
      <x:c r="X33" s="2" t="str">
        <x:f>IF(M33="","",IF(AND(AND(J33="PASS",'Calibrare_Linii'!U19="VALID"),'Motor_Meciuri'!K7=12,'Motor_Meciuri'!L7=12,'Motor_Meciuri'!M7="NO",'Motor_Meciuri'!BL7='Motor_Meciuri'!C7,AB33&gt;='Config_v6'!$B$50,AN33&gt;='Config_v6'!$B$51,T33&lt;='Config_v6'!$B$52,L33&lt;='Config_v6'!$B$53,ISNUMBER('Calibrare_Linii'!E19),S33&lt;='Calibrare_Linii'!E19,SUM(AK33:AM33)&gt;0),"CANDIDATE","NO"))</x:f>
        <x:v>NO</x:v>
      </x:c>
      <x:c r="Y33" s="2" t="str">
        <x:f>IF(B33="","",IF(I33&lt;&gt;"READY","NOT RELEASED",IF(AND(X33="CANDIDATE",V33&gt;='Config_v6'!$B$51,W33="PASS",'Calibrare_Linii'!T19="VALIDATED",AND('Calibrare_Linii'!H19=C33,ISNUMBER('Calibrare_Linii'!J19),'Calibrare_Linii'!J19&lt;='Input_Meci'!G7)),"PASS",IF(X33="CANDIDATE","OOS PENDING","FAIL"))))</x:f>
        <x:v>FAIL</x:v>
      </x:c>
      <x:c r="Z33" s="2" t="n">
        <x:f>IF(B33="","",IF(I33&lt;&gt;"READY","",IF(OR(NOT(AND(J33="PASS",'Calibrare_Linii'!U19="VALID")),L33&gt;'Config_v6'!$B$13,W33="WATCH"),5,IF(Y33="PASS",1,MIN(5,MAX('Config_v6'!$B$42,U33)+IF(W33="PENALTY",1,0))))))</x:f>
        <x:v>2</x:v>
      </x:c>
      <x:c r="AA33" s="2" t="str">
        <x:f>IF(B33="","",IF(I33&lt;&gt;"READY","NOT RELEASED",IF(Z33=5,"NO BET",IF(OR(AB33&lt;'Config_v6'!$B$16,V33&lt;'Config_v6'!$B$18),"WATCH",IF(Z33=1,"DEFENSIV",IF(Z33=2,"PRUDENT",IF(Z33=3,"MODERAT","RIDICAT")))))))</x:f>
        <x:v>PRUDENT</x:v>
      </x:c>
      <x:c r="AB33" s="10" t="n">
        <x:f>IF(N33="","",MIN(N33,1-S33))</x:f>
        <x:v>0.8938164245454647</x:v>
      </x:c>
      <x:c r="AC33" s="2" t="n">
        <x:f>IF(AD33&lt;&gt;1,"",COUNTIFS($Z$20:$Z$33,"&lt;"&amp;Z33,$AD$20:$AD$33,1)+COUNTIFS($Z$20:$Z$33,Z33,$AB$20:$AB$33,"&gt;"&amp;AB33,$AD$20:$AD$33,1)+COUNTIFS($Z$20:$Z$33,Z33,$AB$20:$AB$33,AB33,$V$20:$V$33,"&gt;"&amp;V33,$AD$20:$AD$33,1)+COUNTIFS($Z$20:Z33,Z33,$AB$20:AB33,AB33,$V$20:V33,V33,$AD$20:AD33,1))</x:f>
        <x:v>1</x:v>
      </x:c>
      <x:c r="AD33" s="2" t="n">
        <x:f>IF(OR(AA33="DEFENSIV",AA33="PRUDENT",AA33="MODERAT",AA33="RIDICAT"),1,0)</x:f>
        <x:v>1</x:v>
      </x:c>
      <x:c r="AE33" s="2" t="str">
        <x:f>IF(AD33&lt;&gt;1,"NO",IF(W33="PASS","YES",IF(W33="OOS PENDING","CONDITIONAL","NO")))</x:f>
        <x:v>CONDITIONAL</x:v>
      </x:c>
      <x:c r="AF33" s="2" t="n">
        <x:f>IF(AND(AD33=1,AC33=1,E33="LIVE"),1,0)</x:f>
        <x:v>0</x:v>
      </x:c>
      <x:c r="AG33" s="2" t="str">
        <x:f>IF(AF33&lt;&gt;1,"",'Dashboard'!P27)</x:f>
      </x:c>
      <x:c r="AH33" s="2" t="str">
        <x:f>IF(B33="","",IF(J33&lt;&gt;"PASS",'Motor_Meciuri'!J7,IF('Calibrare_Linii'!U19&lt;&gt;"VALID","Parametri linie invalizi",IF(L33&gt;'Config_v6'!$B$13,"Dispersie peste limita",IF(W33="WATCH","Failure peste limita",IF(AB33&lt;'Config_v6'!$B$16,"P finala sub prag",IF(V33&lt;'Config_v6'!$B$18,"Confidence sub prag",IF(E33="REPLAY","Exemplu retrospectiv; exclus din Top LIVE",IF(Y33="PASS","DEFENSIV validat",IF(W33="OOS PENDING","Eligibil; calibrare linie in monitorizare","Eligibil"))))))))))</x:f>
        <x:v>Exemplu retrospectiv; exclus din Top LIVE</x:v>
      </x:c>
      <x:c r="AI33" s="2" t="str">
        <x:f>IF(B33="","",'Calibrare_Linii'!V19)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17,5|1.000000|NA|NA</x:v>
      </x:c>
      <x:c r="AJ33" s="2" t="str">
        <x:f>IF(B33="","",IF(AND('Calibrare_Linii'!T19="VALIDATED",AND('Calibrare_Linii'!H19=C33,ISNUMBER('Calibrare_Linii'!J19),'Calibrare_Linii'!J19&lt;='Input_Meci'!G7)),"DEFENSIVE VALIDATED",IF(AND('Calibrare_Linii'!S19="VALIDATED",AND('Calibrare_Linii'!H19=C33,ISNUMBER('Calibrare_Linii'!J19),'Calibrare_Linii'!J19&lt;='Input_Meci'!G7)),"TAIL VALIDATED","OOS PENDING")))</x:f>
        <x:v>OOS PENDING</x:v>
      </x:c>
      <x:c r="AK33" s="2" t="n">
        <x:f>IF(J33&lt;&gt;"PASS",0,'Motor_Meciuri'!BR7)</x:f>
        <x:v>36</x:v>
      </x:c>
      <x:c r="AL33" s="2" t="n">
        <x:f>IF(J33&lt;&gt;"PASS",0,'Motor_Meciuri'!BS7)</x:f>
        <x:v>20</x:v>
      </x:c>
      <x:c r="AM33" s="2" t="n">
        <x:f>IF(J33&lt;&gt;"PASS",0,'Motor_Meciuri'!BT7)</x:f>
        <x:v>40</x:v>
      </x:c>
      <x:c r="AN33" s="2" t="n">
        <x:f>IF(M33="","",MAX(0,'Motor_Meciuri'!BF7-IF(L33&gt;'Config_v6'!$B$12,'Config_v6'!$B$37,IF(L33&gt;'Config_v6'!$B$11,'Config_v6'!$B$36,0))))</x:f>
        <x:v>91</x:v>
      </x:c>
    </x:row>
    <x:row r="34" ht="21" customHeight="1">
      <x:c r="A34" s="2" t="n">
        <x:v>3</x:v>
      </x:c>
      <x:c r="B34" s="2" t="str">
        <x:f>IF('Motor_Meciuri'!A8="","",'Motor_Meciuri'!A8)</x:f>
        <x:v>REPLAY_3</x:v>
      </x:c>
      <x:c r="C34" s="2" t="str">
        <x:f>IF(B34="","",'Motor_Meciuri'!B8)</x:f>
        <x:v>E0</x:v>
      </x:c>
      <x:c r="D34" s="2" t="str">
        <x:f>IF(B34="","",'Motor_Meciuri'!D8)</x:f>
        <x:v>Crystal Palace – Arsenal</x:v>
      </x:c>
      <x:c r="E34" s="2" t="str">
        <x:f>IF(B34="","",'Motor_Meciuri'!E8)</x:f>
        <x:v>REPLAY</x:v>
      </x:c>
      <x:c r="F34" s="2" t="str">
        <x:v>O3,5</x:v>
      </x:c>
      <x:c r="G34" s="2" t="str">
        <x:v>OVER</x:v>
      </x:c>
      <x:c r="H34" s="2" t="n">
        <x:v>3</x:v>
      </x:c>
      <x:c r="I34" s="2" t="str">
        <x:f>IF(B34="","",'Motor_Meciuri'!H8)</x:f>
        <x:v>READY</x:v>
      </x:c>
      <x:c r="J34" s="2" t="str">
        <x:f>IF(B34="","",'Motor_Meciuri'!I8)</x:f>
        <x:v>PASS</x:v>
      </x:c>
      <x:c r="K34" s="11" t="n">
        <x:f>IF(J34&lt;&gt;"PASS","",'Motor_Meciuri'!BD8)</x:f>
        <x:v>9.505743243243243</x:v>
      </x:c>
      <x:c r="L34" s="11" t="n">
        <x:f>IF(J34&lt;&gt;"PASS","",'Motor_Meciuri'!AU8)</x:f>
        <x:v>1.3207885304659515</x:v>
      </x:c>
      <x:c r="M34" s="10" t="n">
        <x:f>IF(NOT(AND(J34="PASS",'Calibrare_Linii'!U6="VALID")),"",1-'Distributie'!AA8)</x:f>
        <x:v>0.9725695938562594</x:v>
      </x:c>
      <x:c r="N34" s="10" t="n">
        <x:f>IF(M34="","",MAX(0.01,MIN(0.99,0.5+(M34-0.5)*'Motor_Meciuri'!BG8*'Calibrare_Linii'!D6)))</x:f>
        <x:v>0.8589284207736754</x:v>
      </x:c>
      <x:c r="O34" s="10" t="n">
        <x:f>IF(M34="","",1-M34)</x:f>
        <x:v>0.027430406143740593</x:v>
      </x:c>
      <x:c r="P34" s="10" t="n">
        <x:f>IF(OR(NOT(AND(J34="PASS",'Calibrare_Linii'!U6="VALID")),AK34=0),""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*('Istoric_Nativ'!$Q$6:$Q$405&lt;=H34))/AK34)</x:f>
        <x:v>0</x:v>
      </x:c>
      <x:c r="Q34" s="10" t="n">
        <x:f>IF(OR(NOT(AND(J34="PASS",'Calibrare_Linii'!U6="VALID")),AL34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M8)+((('Istoric_Nativ'!$E$6:$E$405='Input_Meci'!E8)+('Istoric_Nativ'!$F$6:$F$405='Input_Meci'!E8))&gt;0)*('Istoric_Nativ'!$D$6:$D$405&gt;='Motor_Meciuri'!BN8))&gt;0)*('Istoric_Nativ'!$Q$6:$Q$405&lt;=H34))/AL34)</x:f>
        <x:v>0</x:v>
      </x:c>
      <x:c r="R34" s="10" t="n">
        <x:f>IF(OR(NOT(AND(J34="PASS",'Calibrare_Linii'!U6="VALID")),AM34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O8)+((('Istoric_Nativ'!$E$6:$E$405='Input_Meci'!E8)+('Istoric_Nativ'!$F$6:$F$405='Input_Meci'!E8))&gt;0)*('Istoric_Nativ'!$D$6:$D$405&gt;='Motor_Meciuri'!BP8))&gt;0)*('Istoric_Nativ'!$Q$6:$Q$405&lt;=H34))/AM34)</x:f>
        <x:v>0.025</x:v>
      </x:c>
      <x:c r="S34" s="10" t="n">
        <x:f>IF(M34="","",MAX(O34,P34,Q34,R34))</x:f>
        <x:v>0.027430406143740593</x:v>
      </x:c>
      <x:c r="T34" s="11" t="n">
        <x:f>IF(M34="","",MIN(100,S34*100*'Config_v6'!$B$44+MIN(100,L34/'Config_v6'!$B$13*100)*'Config_v6'!$B$45+(100-'Motor_Meciuri'!BF8)*'Config_v6'!$B$46+'Motor_Meciuri'!BH8*100*'Config_v6'!$B$47))</x:f>
        <x:v>14.749014830936414</x:v>
      </x:c>
      <x:c r="U34" s="2" t="n">
        <x:f>IF(T34="","",IF(T34&lt;=20,1,IF(T34&lt;=40,2,IF(T34&lt;=60,3,IF(T34&lt;=80,4,5)))))</x:f>
        <x:v>1</x:v>
      </x:c>
      <x:c r="V34" s="2" t="n">
        <x:f>IF(M34="","",MAX(0,'Motor_Meciuri'!BF8-IF(W34="OOS PENDING",'Config_v6'!$B$35,0)-IF(L34&gt;'Config_v6'!$B$12,'Config_v6'!$B$37,IF(L34&gt;'Config_v6'!$B$11,'Config_v6'!$B$36,0))))</x:f>
        <x:v>90</x:v>
      </x:c>
      <x:c r="W34" s="2" t="str">
        <x:f>IF(B34="","",IF(I34&lt;&gt;"READY","NOT RELEASED",IF(NOT(AND(J34="PASS",'Calibrare_Linii'!U6="VALID")),"INVALID",IF(NOT(TRUE),"OOS PENDING",IF(S34&lt;=IF(AND('Calibrare_Linii'!S6="VALIDATED",AND('Calibrare_Linii'!H6=C34,ISNUMBER('Calibrare_Linii'!J6),'Calibrare_Linii'!J6&lt;='Input_Meci'!G8)),'Calibrare_Linii'!E6,'Config_v6'!$B$26),"PASS",IF(S34&lt;=IF(AND('Calibrare_Linii'!S6="VALIDATED",AND('Calibrare_Linii'!H6=C34,ISNUMBER('Calibrare_Linii'!J6),'Calibrare_Linii'!J6&lt;='Input_Meci'!G8)),'Calibrare_Linii'!F6,'Config_v6'!$C$26),"PENALTY","WATCH"))))))</x:f>
        <x:v>PASS</x:v>
      </x:c>
      <x:c r="X34" s="2" t="str">
        <x:f>IF(M34="","",IF(AND(AND(J34="PASS",'Calibrare_Linii'!U6="VALID"),'Motor_Meciuri'!K8=12,'Motor_Meciuri'!L8=12,'Motor_Meciuri'!M8="NO",'Motor_Meciuri'!BL8='Motor_Meciuri'!C8,AB34&gt;='Config_v6'!$B$50,AN34&gt;='Config_v6'!$B$51,T34&lt;='Config_v6'!$B$52,L34&lt;='Config_v6'!$B$53,ISNUMBER('Calibrare_Linii'!E6),S34&lt;='Calibrare_Linii'!E6,SUM(AK34:AM34)&gt;0),"CANDIDATE","NO"))</x:f>
        <x:v>NO</x:v>
      </x:c>
      <x:c r="Y34" s="2" t="str">
        <x:f>IF(B34="","",IF(I34&lt;&gt;"READY","NOT RELEASED",IF(AND(X34="CANDIDATE",V34&gt;='Config_v6'!$B$51,W34="PASS",'Calibrare_Linii'!T6="VALIDATED",AND('Calibrare_Linii'!H6=C34,ISNUMBER('Calibrare_Linii'!J6),'Calibrare_Linii'!J6&lt;='Input_Meci'!G8)),"PASS",IF(X34="CANDIDATE","OOS PENDING","FAIL"))))</x:f>
        <x:v>FAIL</x:v>
      </x:c>
      <x:c r="Z34" s="2" t="n">
        <x:f>IF(B34="","",IF(I34&lt;&gt;"READY","",IF(OR(NOT(AND(J34="PASS",'Calibrare_Linii'!U6="VALID")),L34&gt;'Config_v6'!$B$13,W34="WATCH"),5,IF(Y34="PASS",1,MIN(5,MAX('Config_v6'!$B$42,U34)+IF(W34="PENALTY",1,0))))))</x:f>
        <x:v>2</x:v>
      </x:c>
      <x:c r="AA34" s="2" t="str">
        <x:f>IF(B34="","",IF(I34&lt;&gt;"READY","NOT RELEASED",IF(Z34=5,"NO BET",IF(OR(AB34&lt;'Config_v6'!$B$16,V34&lt;'Config_v6'!$B$18),"WATCH",IF(Z34=1,"DEFENSIV",IF(Z34=2,"PRUDENT",IF(Z34=3,"MODERAT","RIDICAT")))))))</x:f>
        <x:v>PRUDENT</x:v>
      </x:c>
      <x:c r="AB34" s="10" t="n">
        <x:f>IF(N34="","",MIN(N34,1-S34))</x:f>
        <x:v>0.8589284207736754</x:v>
      </x:c>
      <x:c r="AC34" s="2" t="n">
        <x:f>IF(AD34&lt;&gt;1,"",COUNTIFS($Z$34:$Z$47,"&lt;"&amp;Z34,$AD$34:$AD$47,1)+COUNTIFS($Z$34:$Z$47,Z34,$AB$34:$AB$47,"&gt;"&amp;AB34,$AD$34:$AD$47,1)+COUNTIFS($Z$34:$Z$47,Z34,$AB$34:$AB$47,AB34,$V$34:$V$47,"&gt;"&amp;V34,$AD$34:$AD$47,1)+COUNTIFS($Z$34:Z34,Z34,$AB$34:AB34,AB34,$V$34:V34,V34,$AD$34:AD34,1))</x:f>
        <x:v>2</x:v>
      </x:c>
      <x:c r="AD34" s="2" t="n">
        <x:f>IF(OR(AA34="DEFENSIV",AA34="PRUDENT",AA34="MODERAT",AA34="RIDICAT"),1,0)</x:f>
        <x:v>1</x:v>
      </x:c>
      <x:c r="AE34" s="2" t="str">
        <x:f>IF(AD34&lt;&gt;1,"NO",IF(W34="PASS","YES",IF(W34="OOS PENDING","CONDITIONAL","NO")))</x:f>
        <x:v>YES</x:v>
      </x:c>
      <x:c r="AF34" s="2" t="n">
        <x:f>IF(AND(AD34=1,AC34=1,E34="LIVE"),1,0)</x:f>
        <x:v>0</x:v>
      </x:c>
      <x:c r="AG34" s="2" t="str">
        <x:f>IF(AF34&lt;&gt;1,"",'Dashboard'!P28)</x:f>
      </x:c>
      <x:c r="AH34" s="2" t="str">
        <x:f>IF(B34="","",IF(J34&lt;&gt;"PASS",'Motor_Meciuri'!J8,IF('Calibrare_Linii'!U6&lt;&gt;"VALID","Parametri linie invalizi",IF(L34&gt;'Config_v6'!$B$13,"Dispersie peste limita",IF(W34="WATCH","Failure peste limita",IF(AB34&lt;'Config_v6'!$B$16,"P finala sub prag",IF(V34&lt;'Config_v6'!$B$18,"Confidence sub prag",IF(E34="REPLAY","Exemplu retrospectiv; exclus din Top LIVE",IF(Y34="PASS","DEFENSIV validat",IF(W34="OOS PENDING","Eligibil; calibrare linie in monitorizare","Eligibil"))))))))))</x:f>
        <x:v>Exemplu retrospectiv; exclus din Top LIVE</x:v>
      </x:c>
      <x:c r="AI34" s="2" t="str">
        <x:f>IF(B34="","",'Calibrare_Linii'!V6)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3,5|1.000000|0.050000|0.080000</x:v>
      </x:c>
      <x:c r="AJ34" s="2" t="str">
        <x:f>IF(B34="","",IF(AND('Calibrare_Linii'!T6="VALIDATED",AND('Calibrare_Linii'!H6=C34,ISNUMBER('Calibrare_Linii'!J6),'Calibrare_Linii'!J6&lt;='Input_Meci'!G8)),"DEFENSIVE VALIDATED",IF(AND('Calibrare_Linii'!S6="VALIDATED",AND('Calibrare_Linii'!H6=C34,ISNUMBER('Calibrare_Linii'!J6),'Calibrare_Linii'!J6&lt;='Input_Meci'!G8)),"TAIL VALIDATED","OOS PENDING")))</x:f>
        <x:v>OOS PENDING</x:v>
      </x:c>
      <x:c r="AK34" s="2" t="n">
        <x:f>IF(J34&lt;&gt;"PASS",0,'Motor_Meciuri'!BR8)</x:f>
        <x:v>36</x:v>
      </x:c>
      <x:c r="AL34" s="2" t="n">
        <x:f>IF(J34&lt;&gt;"PASS",0,'Motor_Meciuri'!BS8)</x:f>
        <x:v>20</x:v>
      </x:c>
      <x:c r="AM34" s="2" t="n">
        <x:f>IF(J34&lt;&gt;"PASS",0,'Motor_Meciuri'!BT8)</x:f>
        <x:v>40</x:v>
      </x:c>
      <x:c r="AN34" s="2" t="n">
        <x:f>IF(M34="","",MAX(0,'Motor_Meciuri'!BF8-IF(L34&gt;'Config_v6'!$B$12,'Config_v6'!$B$37,IF(L34&gt;'Config_v6'!$B$11,'Config_v6'!$B$36,0))))</x:f>
        <x:v>90</x:v>
      </x:c>
    </x:row>
    <x:row r="35" ht="21" customHeight="1">
      <x:c r="A35" s="2" t="n">
        <x:v>3</x:v>
      </x:c>
      <x:c r="B35" s="2" t="str">
        <x:f>IF('Motor_Meciuri'!A8="","",'Motor_Meciuri'!A8)</x:f>
        <x:v>REPLAY_3</x:v>
      </x:c>
      <x:c r="C35" s="2" t="str">
        <x:f>IF(B35="","",'Motor_Meciuri'!B8)</x:f>
        <x:v>E0</x:v>
      </x:c>
      <x:c r="D35" s="2" t="str">
        <x:f>IF(B35="","",'Motor_Meciuri'!D8)</x:f>
        <x:v>Crystal Palace – Arsenal</x:v>
      </x:c>
      <x:c r="E35" s="2" t="str">
        <x:f>IF(B35="","",'Motor_Meciuri'!E8)</x:f>
        <x:v>REPLAY</x:v>
      </x:c>
      <x:c r="F35" s="2" t="str">
        <x:v>O4,5</x:v>
      </x:c>
      <x:c r="G35" s="2" t="str">
        <x:v>OVER</x:v>
      </x:c>
      <x:c r="H35" s="2" t="n">
        <x:v>4</x:v>
      </x:c>
      <x:c r="I35" s="2" t="str">
        <x:f>IF(B35="","",'Motor_Meciuri'!H8)</x:f>
        <x:v>READY</x:v>
      </x:c>
      <x:c r="J35" s="2" t="str">
        <x:f>IF(B35="","",'Motor_Meciuri'!I8)</x:f>
        <x:v>PASS</x:v>
      </x:c>
      <x:c r="K35" s="11" t="n">
        <x:f>IF(J35&lt;&gt;"PASS","",'Motor_Meciuri'!BD8)</x:f>
        <x:v>9.505743243243243</x:v>
      </x:c>
      <x:c r="L35" s="11" t="n">
        <x:f>IF(J35&lt;&gt;"PASS","",'Motor_Meciuri'!AU8)</x:f>
        <x:v>1.3207885304659515</x:v>
      </x:c>
      <x:c r="M35" s="10" t="n">
        <x:f>IF(NOT(AND(J35="PASS",'Calibrare_Linii'!U7="VALID")),"",1-'Distributie'!AB8)</x:f>
        <x:v>0.9367209822461907</x:v>
      </x:c>
      <x:c r="N35" s="10" t="n">
        <x:f>IF(M35="","",MAX(0.01,MIN(0.99,0.5+(M35-0.5)*'Motor_Meciuri'!BG8*'Calibrare_Linii'!D7)))</x:f>
        <x:v>0.831700504040538</x:v>
      </x:c>
      <x:c r="O35" s="10" t="n">
        <x:f>IF(M35="","",1-M35)</x:f>
        <x:v>0.06327901775380929</x:v>
      </x:c>
      <x:c r="P35" s="10" t="n">
        <x:f>IF(OR(NOT(AND(J35="PASS",'Calibrare_Linii'!U7="VALID")),AK35=0),""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*('Istoric_Nativ'!$Q$6:$Q$405&lt;=H35))/AK35)</x:f>
        <x:v>0.1111111111111111</x:v>
      </x:c>
      <x:c r="Q35" s="10" t="n">
        <x:f>IF(OR(NOT(AND(J35="PASS",'Calibrare_Linii'!U7="VALID")),AL35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M8)+((('Istoric_Nativ'!$E$6:$E$405='Input_Meci'!E8)+('Istoric_Nativ'!$F$6:$F$405='Input_Meci'!E8))&gt;0)*('Istoric_Nativ'!$D$6:$D$405&gt;='Motor_Meciuri'!BN8))&gt;0)*('Istoric_Nativ'!$Q$6:$Q$405&lt;=H35))/AL35)</x:f>
        <x:v>0</x:v>
      </x:c>
      <x:c r="R35" s="10" t="n">
        <x:f>IF(OR(NOT(AND(J35="PASS",'Calibrare_Linii'!U7="VALID")),AM35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O8)+((('Istoric_Nativ'!$E$6:$E$405='Input_Meci'!E8)+('Istoric_Nativ'!$F$6:$F$405='Input_Meci'!E8))&gt;0)*('Istoric_Nativ'!$D$6:$D$405&gt;='Motor_Meciuri'!BP8))&gt;0)*('Istoric_Nativ'!$Q$6:$Q$405&lt;=H35))/AM35)</x:f>
        <x:v>0.05</x:v>
      </x:c>
      <x:c r="S35" s="10" t="n">
        <x:f>IF(M35="","",MAX(O35,P35,Q35,R35))</x:f>
        <x:v>0.1111111111111111</x:v>
      </x:c>
      <x:c r="T35" s="11" t="n">
        <x:f>IF(M35="","",MIN(100,S35*100*'Config_v6'!$B$44+MIN(100,L35/'Config_v6'!$B$13*100)*'Config_v6'!$B$45+(100-'Motor_Meciuri'!BF8)*'Config_v6'!$B$46+'Motor_Meciuri'!BH8*100*'Config_v6'!$B$47))</x:f>
        <x:v>19.351453604141792</x:v>
      </x:c>
      <x:c r="U35" s="2" t="n">
        <x:f>IF(T35="","",IF(T35&lt;=20,1,IF(T35&lt;=40,2,IF(T35&lt;=60,3,IF(T35&lt;=80,4,5)))))</x:f>
        <x:v>1</x:v>
      </x:c>
      <x:c r="V35" s="2" t="n">
        <x:f>IF(M35="","",MAX(0,'Motor_Meciuri'!BF8-IF(W35="OOS PENDING",'Config_v6'!$B$35,0)-IF(L35&gt;'Config_v6'!$B$12,'Config_v6'!$B$37,IF(L35&gt;'Config_v6'!$B$11,'Config_v6'!$B$36,0))))</x:f>
        <x:v>80</x:v>
      </x:c>
      <x:c r="W35" s="2" t="str">
        <x:f>IF(B35="","",IF(I35&lt;&gt;"READY","NOT RELEASED",IF(NOT(AND(J35="PASS",'Calibrare_Linii'!U7="VALID")),"INVALID",IF(NOT(AND('Calibrare_Linii'!S7="VALIDATED",AND('Calibrare_Linii'!H7=C35,ISNUMBER('Calibrare_Linii'!J7),'Calibrare_Linii'!J7&lt;='Input_Meci'!G8))),"OOS PENDING",IF(S35&lt;='Calibrare_Linii'!E7,"PASS",IF(S35&lt;='Calibrare_Linii'!F7,"PENALTY","WATCH"))))))</x:f>
        <x:v>OOS PENDING</x:v>
      </x:c>
      <x:c r="X35" s="2" t="str">
        <x:f>IF(M35="","",IF(AND(AND(J35="PASS",'Calibrare_Linii'!U7="VALID"),'Motor_Meciuri'!K8=12,'Motor_Meciuri'!L8=12,'Motor_Meciuri'!M8="NO",'Motor_Meciuri'!BL8='Motor_Meciuri'!C8,AB35&gt;='Config_v6'!$B$50,AN35&gt;='Config_v6'!$B$51,T35&lt;='Config_v6'!$B$52,L35&lt;='Config_v6'!$B$53,ISNUMBER('Calibrare_Linii'!E7),S35&lt;='Calibrare_Linii'!E7,SUM(AK35:AM35)&gt;0),"CANDIDATE","NO"))</x:f>
        <x:v>NO</x:v>
      </x:c>
      <x:c r="Y35" s="2" t="str">
        <x:f>IF(B35="","",IF(I35&lt;&gt;"READY","NOT RELEASED",IF(AND(X35="CANDIDATE",V35&gt;='Config_v6'!$B$51,W35="PASS",'Calibrare_Linii'!T7="VALIDATED",AND('Calibrare_Linii'!H7=C35,ISNUMBER('Calibrare_Linii'!J7),'Calibrare_Linii'!J7&lt;='Input_Meci'!G8)),"PASS",IF(X35="CANDIDATE","OOS PENDING","FAIL"))))</x:f>
        <x:v>FAIL</x:v>
      </x:c>
      <x:c r="Z35" s="2" t="n">
        <x:f>IF(B35="","",IF(I35&lt;&gt;"READY","",IF(OR(NOT(AND(J35="PASS",'Calibrare_Linii'!U7="VALID")),L35&gt;'Config_v6'!$B$13,W35="WATCH"),5,IF(Y35="PASS",1,MIN(5,MAX('Config_v6'!$B$42,U35)+IF(W35="PENALTY",1,0))))))</x:f>
        <x:v>2</x:v>
      </x:c>
      <x:c r="AA35" s="2" t="str">
        <x:f>IF(B35="","",IF(I35&lt;&gt;"READY","NOT RELEASED",IF(Z35=5,"NO BET",IF(OR(AB35&lt;'Config_v6'!$B$16,V35&lt;'Config_v6'!$B$18),"WATCH",IF(Z35=1,"DEFENSIV",IF(Z35=2,"PRUDENT",IF(Z35=3,"MODERAT","RIDICAT")))))))</x:f>
        <x:v>PRUDENT</x:v>
      </x:c>
      <x:c r="AB35" s="10" t="n">
        <x:f>IF(N35="","",MIN(N35,1-S35))</x:f>
        <x:v>0.831700504040538</x:v>
      </x:c>
      <x:c r="AC35" s="2" t="n">
        <x:f>IF(AD35&lt;&gt;1,"",COUNTIFS($Z$34:$Z$47,"&lt;"&amp;Z35,$AD$34:$AD$47,1)+COUNTIFS($Z$34:$Z$47,Z35,$AB$34:$AB$47,"&gt;"&amp;AB35,$AD$34:$AD$47,1)+COUNTIFS($Z$34:$Z$47,Z35,$AB$34:$AB$47,AB35,$V$34:$V$47,"&gt;"&amp;V35,$AD$34:$AD$47,1)+COUNTIFS($Z$34:Z35,Z35,$AB$34:AB35,AB35,$V$34:V35,V35,$AD$34:AD35,1))</x:f>
        <x:v>5</x:v>
      </x:c>
      <x:c r="AD35" s="2" t="n">
        <x:f>IF(OR(AA35="DEFENSIV",AA35="PRUDENT",AA35="MODERAT",AA35="RIDICAT"),1,0)</x:f>
        <x:v>1</x:v>
      </x:c>
      <x:c r="AE35" s="2" t="str">
        <x:f>IF(AD35&lt;&gt;1,"NO",IF(W35="PASS","YES",IF(W35="OOS PENDING","CONDITIONAL","NO")))</x:f>
        <x:v>CONDITIONAL</x:v>
      </x:c>
      <x:c r="AF35" s="2" t="n">
        <x:f>IF(AND(AD35=1,AC35=1,E35="LIVE"),1,0)</x:f>
        <x:v>0</x:v>
      </x:c>
      <x:c r="AG35" s="2" t="str">
        <x:f>IF(AF35&lt;&gt;1,"",'Dashboard'!P28)</x:f>
      </x:c>
      <x:c r="AH35" s="2" t="str">
        <x:f>IF(B35="","",IF(J35&lt;&gt;"PASS",'Motor_Meciuri'!J8,IF('Calibrare_Linii'!U7&lt;&gt;"VALID","Parametri linie invalizi",IF(L35&gt;'Config_v6'!$B$13,"Dispersie peste limita",IF(W35="WATCH","Failure peste limita",IF(AB35&lt;'Config_v6'!$B$16,"P finala sub prag",IF(V35&lt;'Config_v6'!$B$18,"Confidence sub prag",IF(E35="REPLAY","Exemplu retrospectiv; exclus din Top LIVE",IF(Y35="PASS","DEFENSIV validat",IF(W35="OOS PENDING","Eligibil; calibrare linie in monitorizare","Eligibil"))))))))))</x:f>
        <x:v>Exemplu retrospectiv; exclus din Top LIVE</x:v>
      </x:c>
      <x:c r="AI35" s="2" t="str">
        <x:f>IF(B35="","",'Calibrare_Linii'!V7)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4,5|1.000000|NA|NA</x:v>
      </x:c>
      <x:c r="AJ35" s="2" t="str">
        <x:f>IF(B35="","",IF(AND('Calibrare_Linii'!T7="VALIDATED",AND('Calibrare_Linii'!H7=C35,ISNUMBER('Calibrare_Linii'!J7),'Calibrare_Linii'!J7&lt;='Input_Meci'!G8)),"DEFENSIVE VALIDATED",IF(AND('Calibrare_Linii'!S7="VALIDATED",AND('Calibrare_Linii'!H7=C35,ISNUMBER('Calibrare_Linii'!J7),'Calibrare_Linii'!J7&lt;='Input_Meci'!G8)),"TAIL VALIDATED","OOS PENDING")))</x:f>
        <x:v>OOS PENDING</x:v>
      </x:c>
      <x:c r="AK35" s="2" t="n">
        <x:f>IF(J35&lt;&gt;"PASS",0,'Motor_Meciuri'!BR8)</x:f>
        <x:v>36</x:v>
      </x:c>
      <x:c r="AL35" s="2" t="n">
        <x:f>IF(J35&lt;&gt;"PASS",0,'Motor_Meciuri'!BS8)</x:f>
        <x:v>20</x:v>
      </x:c>
      <x:c r="AM35" s="2" t="n">
        <x:f>IF(J35&lt;&gt;"PASS",0,'Motor_Meciuri'!BT8)</x:f>
        <x:v>40</x:v>
      </x:c>
      <x:c r="AN35" s="2" t="n">
        <x:f>IF(M35="","",MAX(0,'Motor_Meciuri'!BF8-IF(L35&gt;'Config_v6'!$B$12,'Config_v6'!$B$37,IF(L35&gt;'Config_v6'!$B$11,'Config_v6'!$B$36,0))))</x:f>
        <x:v>90</x:v>
      </x:c>
    </x:row>
    <x:row r="36" ht="21" customHeight="1">
      <x:c r="A36" s="2" t="n">
        <x:v>3</x:v>
      </x:c>
      <x:c r="B36" s="2" t="str">
        <x:f>IF('Motor_Meciuri'!A8="","",'Motor_Meciuri'!A8)</x:f>
        <x:v>REPLAY_3</x:v>
      </x:c>
      <x:c r="C36" s="2" t="str">
        <x:f>IF(B36="","",'Motor_Meciuri'!B8)</x:f>
        <x:v>E0</x:v>
      </x:c>
      <x:c r="D36" s="2" t="str">
        <x:f>IF(B36="","",'Motor_Meciuri'!D8)</x:f>
        <x:v>Crystal Palace – Arsenal</x:v>
      </x:c>
      <x:c r="E36" s="2" t="str">
        <x:f>IF(B36="","",'Motor_Meciuri'!E8)</x:f>
        <x:v>REPLAY</x:v>
      </x:c>
      <x:c r="F36" s="2" t="str">
        <x:v>O5,5</x:v>
      </x:c>
      <x:c r="G36" s="2" t="str">
        <x:v>OVER</x:v>
      </x:c>
      <x:c r="H36" s="2" t="n">
        <x:v>5</x:v>
      </x:c>
      <x:c r="I36" s="2" t="str">
        <x:f>IF(B36="","",'Motor_Meciuri'!H8)</x:f>
        <x:v>READY</x:v>
      </x:c>
      <x:c r="J36" s="2" t="str">
        <x:f>IF(B36="","",'Motor_Meciuri'!I8)</x:f>
        <x:v>PASS</x:v>
      </x:c>
      <x:c r="K36" s="11" t="n">
        <x:f>IF(J36&lt;&gt;"PASS","",'Motor_Meciuri'!BD8)</x:f>
        <x:v>9.505743243243243</x:v>
      </x:c>
      <x:c r="L36" s="11" t="n">
        <x:f>IF(J36&lt;&gt;"PASS","",'Motor_Meciuri'!AU8)</x:f>
        <x:v>1.3207885304659515</x:v>
      </x:c>
      <x:c r="M36" s="10" t="n">
        <x:f>IF(NOT(AND(J36="PASS",'Calibrare_Linii'!U8="VALID")),"",1-'Distributie'!AC8)</x:f>
        <x:v>0.878281235542573</x:v>
      </x:c>
      <x:c r="N36" s="10" t="n">
        <x:f>IF(M36="","",MAX(0.01,MIN(0.99,0.5+(M36-0.5)*'Motor_Meciuri'!BG8*'Calibrare_Linii'!D8)))</x:f>
        <x:v>0.7873140554254727</x:v>
      </x:c>
      <x:c r="O36" s="10" t="n">
        <x:f>IF(M36="","",1-M36)</x:f>
        <x:v>0.12171876445742702</x:v>
      </x:c>
      <x:c r="P36" s="10" t="n">
        <x:f>IF(OR(NOT(AND(J36="PASS",'Calibrare_Linii'!U8="VALID")),AK36=0),""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*('Istoric_Nativ'!$Q$6:$Q$405&lt;=H36))/AK36)</x:f>
        <x:v>0.16666666666666666</x:v>
      </x:c>
      <x:c r="Q36" s="10" t="n">
        <x:f>IF(OR(NOT(AND(J36="PASS",'Calibrare_Linii'!U8="VALID")),AL36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M8)+((('Istoric_Nativ'!$E$6:$E$405='Input_Meci'!E8)+('Istoric_Nativ'!$F$6:$F$405='Input_Meci'!E8))&gt;0)*('Istoric_Nativ'!$D$6:$D$405&gt;='Motor_Meciuri'!BN8))&gt;0)*('Istoric_Nativ'!$Q$6:$Q$405&lt;=H36))/AL36)</x:f>
        <x:v>0</x:v>
      </x:c>
      <x:c r="R36" s="10" t="n">
        <x:f>IF(OR(NOT(AND(J36="PASS",'Calibrare_Linii'!U8="VALID")),AM36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O8)+((('Istoric_Nativ'!$E$6:$E$405='Input_Meci'!E8)+('Istoric_Nativ'!$F$6:$F$405='Input_Meci'!E8))&gt;0)*('Istoric_Nativ'!$D$6:$D$405&gt;='Motor_Meciuri'!BP8))&gt;0)*('Istoric_Nativ'!$Q$6:$Q$405&lt;=H36))/AM36)</x:f>
        <x:v>0.075</x:v>
      </x:c>
      <x:c r="S36" s="10" t="n">
        <x:f>IF(M36="","",MAX(O36,P36,Q36,R36))</x:f>
        <x:v>0.16666666666666666</x:v>
      </x:c>
      <x:c r="T36" s="11" t="n">
        <x:f>IF(M36="","",MIN(100,S36*100*'Config_v6'!$B$44+MIN(100,L36/'Config_v6'!$B$13*100)*'Config_v6'!$B$45+(100-'Motor_Meciuri'!BF8)*'Config_v6'!$B$46+'Motor_Meciuri'!BH8*100*'Config_v6'!$B$47))</x:f>
        <x:v>22.407009159697346</x:v>
      </x:c>
      <x:c r="U36" s="2" t="n">
        <x:f>IF(T36="","",IF(T36&lt;=20,1,IF(T36&lt;=40,2,IF(T36&lt;=60,3,IF(T36&lt;=80,4,5)))))</x:f>
        <x:v>2</x:v>
      </x:c>
      <x:c r="V36" s="2" t="n">
        <x:f>IF(M36="","",MAX(0,'Motor_Meciuri'!BF8-IF(W36="OOS PENDING",'Config_v6'!$B$35,0)-IF(L36&gt;'Config_v6'!$B$12,'Config_v6'!$B$37,IF(L36&gt;'Config_v6'!$B$11,'Config_v6'!$B$36,0))))</x:f>
        <x:v>80</x:v>
      </x:c>
      <x:c r="W36" s="2" t="str">
        <x:f>IF(B36="","",IF(I36&lt;&gt;"READY","NOT RELEASED",IF(NOT(AND(J36="PASS",'Calibrare_Linii'!U8="VALID")),"INVALID",IF(NOT(AND('Calibrare_Linii'!S8="VALIDATED",AND('Calibrare_Linii'!H8=C36,ISNUMBER('Calibrare_Linii'!J8),'Calibrare_Linii'!J8&lt;='Input_Meci'!G8))),"OOS PENDING",IF(S36&lt;='Calibrare_Linii'!E8,"PASS",IF(S36&lt;='Calibrare_Linii'!F8,"PENALTY","WATCH"))))))</x:f>
        <x:v>OOS PENDING</x:v>
      </x:c>
      <x:c r="X36" s="2" t="str">
        <x:f>IF(M36="","",IF(AND(AND(J36="PASS",'Calibrare_Linii'!U8="VALID"),'Motor_Meciuri'!K8=12,'Motor_Meciuri'!L8=12,'Motor_Meciuri'!M8="NO",'Motor_Meciuri'!BL8='Motor_Meciuri'!C8,AB36&gt;='Config_v6'!$B$50,AN36&gt;='Config_v6'!$B$51,T36&lt;='Config_v6'!$B$52,L36&lt;='Config_v6'!$B$53,ISNUMBER('Calibrare_Linii'!E8),S36&lt;='Calibrare_Linii'!E8,SUM(AK36:AM36)&gt;0),"CANDIDATE","NO"))</x:f>
        <x:v>NO</x:v>
      </x:c>
      <x:c r="Y36" s="2" t="str">
        <x:f>IF(B36="","",IF(I36&lt;&gt;"READY","NOT RELEASED",IF(AND(X36="CANDIDATE",V36&gt;='Config_v6'!$B$51,W36="PASS",'Calibrare_Linii'!T8="VALIDATED",AND('Calibrare_Linii'!H8=C36,ISNUMBER('Calibrare_Linii'!J8),'Calibrare_Linii'!J8&lt;='Input_Meci'!G8)),"PASS",IF(X36="CANDIDATE","OOS PENDING","FAIL"))))</x:f>
        <x:v>FAIL</x:v>
      </x:c>
      <x:c r="Z36" s="2" t="n">
        <x:f>IF(B36="","",IF(I36&lt;&gt;"READY","",IF(OR(NOT(AND(J36="PASS",'Calibrare_Linii'!U8="VALID")),L36&gt;'Config_v6'!$B$13,W36="WATCH"),5,IF(Y36="PASS",1,MIN(5,MAX('Config_v6'!$B$42,U36)+IF(W36="PENALTY",1,0))))))</x:f>
        <x:v>2</x:v>
      </x:c>
      <x:c r="AA36" s="2" t="str">
        <x:f>IF(B36="","",IF(I36&lt;&gt;"READY","NOT RELEASED",IF(Z36=5,"NO BET",IF(OR(AB36&lt;'Config_v6'!$B$16,V36&lt;'Config_v6'!$B$18),"WATCH",IF(Z36=1,"DEFENSIV",IF(Z36=2,"PRUDENT",IF(Z36=3,"MODERAT","RIDICAT")))))))</x:f>
        <x:v>PRUDENT</x:v>
      </x:c>
      <x:c r="AB36" s="10" t="n">
        <x:f>IF(N36="","",MIN(N36,1-S36))</x:f>
        <x:v>0.7873140554254727</x:v>
      </x:c>
      <x:c r="AC36" s="2" t="n">
        <x:f>IF(AD36&lt;&gt;1,"",COUNTIFS($Z$34:$Z$47,"&lt;"&amp;Z36,$AD$34:$AD$47,1)+COUNTIFS($Z$34:$Z$47,Z36,$AB$34:$AB$47,"&gt;"&amp;AB36,$AD$34:$AD$47,1)+COUNTIFS($Z$34:$Z$47,Z36,$AB$34:$AB$47,AB36,$V$34:$V$47,"&gt;"&amp;V36,$AD$34:$AD$47,1)+COUNTIFS($Z$34:Z36,Z36,$AB$34:AB36,AB36,$V$34:V36,V36,$AD$34:AD36,1))</x:f>
        <x:v>7</x:v>
      </x:c>
      <x:c r="AD36" s="2" t="n">
        <x:f>IF(OR(AA36="DEFENSIV",AA36="PRUDENT",AA36="MODERAT",AA36="RIDICAT"),1,0)</x:f>
        <x:v>1</x:v>
      </x:c>
      <x:c r="AE36" s="2" t="str">
        <x:f>IF(AD36&lt;&gt;1,"NO",IF(W36="PASS","YES",IF(W36="OOS PENDING","CONDITIONAL","NO")))</x:f>
        <x:v>CONDITIONAL</x:v>
      </x:c>
      <x:c r="AF36" s="2" t="n">
        <x:f>IF(AND(AD36=1,AC36=1,E36="LIVE"),1,0)</x:f>
        <x:v>0</x:v>
      </x:c>
      <x:c r="AG36" s="2" t="str">
        <x:f>IF(AF36&lt;&gt;1,"",'Dashboard'!P28)</x:f>
      </x:c>
      <x:c r="AH36" s="2" t="str">
        <x:f>IF(B36="","",IF(J36&lt;&gt;"PASS",'Motor_Meciuri'!J8,IF('Calibrare_Linii'!U8&lt;&gt;"VALID","Parametri linie invalizi",IF(L36&gt;'Config_v6'!$B$13,"Dispersie peste limita",IF(W36="WATCH","Failure peste limita",IF(AB36&lt;'Config_v6'!$B$16,"P finala sub prag",IF(V36&lt;'Config_v6'!$B$18,"Confidence sub prag",IF(E36="REPLAY","Exemplu retrospectiv; exclus din Top LIVE",IF(Y36="PASS","DEFENSIV validat",IF(W36="OOS PENDING","Eligibil; calibrare linie in monitorizare","Eligibil"))))))))))</x:f>
        <x:v>Exemplu retrospectiv; exclus din Top LIVE</x:v>
      </x:c>
      <x:c r="AI36" s="2" t="str">
        <x:f>IF(B36="","",'Calibrare_Linii'!V8)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5,5|1.000000|NA|NA</x:v>
      </x:c>
      <x:c r="AJ36" s="2" t="str">
        <x:f>IF(B36="","",IF(AND('Calibrare_Linii'!T8="VALIDATED",AND('Calibrare_Linii'!H8=C36,ISNUMBER('Calibrare_Linii'!J8),'Calibrare_Linii'!J8&lt;='Input_Meci'!G8)),"DEFENSIVE VALIDATED",IF(AND('Calibrare_Linii'!S8="VALIDATED",AND('Calibrare_Linii'!H8=C36,ISNUMBER('Calibrare_Linii'!J8),'Calibrare_Linii'!J8&lt;='Input_Meci'!G8)),"TAIL VALIDATED","OOS PENDING")))</x:f>
        <x:v>OOS PENDING</x:v>
      </x:c>
      <x:c r="AK36" s="2" t="n">
        <x:f>IF(J36&lt;&gt;"PASS",0,'Motor_Meciuri'!BR8)</x:f>
        <x:v>36</x:v>
      </x:c>
      <x:c r="AL36" s="2" t="n">
        <x:f>IF(J36&lt;&gt;"PASS",0,'Motor_Meciuri'!BS8)</x:f>
        <x:v>20</x:v>
      </x:c>
      <x:c r="AM36" s="2" t="n">
        <x:f>IF(J36&lt;&gt;"PASS",0,'Motor_Meciuri'!BT8)</x:f>
        <x:v>40</x:v>
      </x:c>
      <x:c r="AN36" s="2" t="n">
        <x:f>IF(M36="","",MAX(0,'Motor_Meciuri'!BF8-IF(L36&gt;'Config_v6'!$B$12,'Config_v6'!$B$37,IF(L36&gt;'Config_v6'!$B$11,'Config_v6'!$B$36,0))))</x:f>
        <x:v>90</x:v>
      </x:c>
    </x:row>
    <x:row r="37" ht="21" customHeight="1">
      <x:c r="A37" s="2" t="n">
        <x:v>3</x:v>
      </x:c>
      <x:c r="B37" s="2" t="str">
        <x:f>IF('Motor_Meciuri'!A8="","",'Motor_Meciuri'!A8)</x:f>
        <x:v>REPLAY_3</x:v>
      </x:c>
      <x:c r="C37" s="2" t="str">
        <x:f>IF(B37="","",'Motor_Meciuri'!B8)</x:f>
        <x:v>E0</x:v>
      </x:c>
      <x:c r="D37" s="2" t="str">
        <x:f>IF(B37="","",'Motor_Meciuri'!D8)</x:f>
        <x:v>Crystal Palace – Arsenal</x:v>
      </x:c>
      <x:c r="E37" s="2" t="str">
        <x:f>IF(B37="","",'Motor_Meciuri'!E8)</x:f>
        <x:v>REPLAY</x:v>
      </x:c>
      <x:c r="F37" s="2" t="str">
        <x:v>O6,5</x:v>
      </x:c>
      <x:c r="G37" s="2" t="str">
        <x:v>OVER</x:v>
      </x:c>
      <x:c r="H37" s="2" t="n">
        <x:v>6</x:v>
      </x:c>
      <x:c r="I37" s="2" t="str">
        <x:f>IF(B37="","",'Motor_Meciuri'!H8)</x:f>
        <x:v>READY</x:v>
      </x:c>
      <x:c r="J37" s="2" t="str">
        <x:f>IF(B37="","",'Motor_Meciuri'!I8)</x:f>
        <x:v>PASS</x:v>
      </x:c>
      <x:c r="K37" s="11" t="n">
        <x:f>IF(J37&lt;&gt;"PASS","",'Motor_Meciuri'!BD8)</x:f>
        <x:v>9.505743243243243</x:v>
      </x:c>
      <x:c r="L37" s="11" t="n">
        <x:f>IF(J37&lt;&gt;"PASS","",'Motor_Meciuri'!AU8)</x:f>
        <x:v>1.3207885304659515</x:v>
      </x:c>
      <x:c r="M37" s="10" t="n">
        <x:f>IF(NOT(AND(J37="PASS",'Calibrare_Linii'!U9="VALID")),"",1-'Distributie'!AD8)</x:f>
        <x:v>0.7964949592143412</x:v>
      </x:c>
      <x:c r="N37" s="10" t="n">
        <x:f>IF(M37="","",MAX(0.01,MIN(0.99,0.5+(M37-0.5)*'Motor_Meciuri'!BG8*'Calibrare_Linii'!D9)))</x:f>
        <x:v>0.7251953338972725</x:v>
      </x:c>
      <x:c r="O37" s="10" t="n">
        <x:f>IF(M37="","",1-M37)</x:f>
        <x:v>0.2035050407856588</x:v>
      </x:c>
      <x:c r="P37" s="10" t="n">
        <x:f>IF(OR(NOT(AND(J37="PASS",'Calibrare_Linii'!U9="VALID")),AK37=0),""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*('Istoric_Nativ'!$Q$6:$Q$405&lt;=H37))/AK37)</x:f>
        <x:v>0.25</x:v>
      </x:c>
      <x:c r="Q37" s="10" t="n">
        <x:f>IF(OR(NOT(AND(J37="PASS",'Calibrare_Linii'!U9="VALID")),AL37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M8)+((('Istoric_Nativ'!$E$6:$E$405='Input_Meci'!E8)+('Istoric_Nativ'!$F$6:$F$405='Input_Meci'!E8))&gt;0)*('Istoric_Nativ'!$D$6:$D$405&gt;='Motor_Meciuri'!BN8))&gt;0)*('Istoric_Nativ'!$Q$6:$Q$405&lt;=H37))/AL37)</x:f>
        <x:v>0.1</x:v>
      </x:c>
      <x:c r="R37" s="10" t="n">
        <x:f>IF(OR(NOT(AND(J37="PASS",'Calibrare_Linii'!U9="VALID")),AM37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O8)+((('Istoric_Nativ'!$E$6:$E$405='Input_Meci'!E8)+('Istoric_Nativ'!$F$6:$F$405='Input_Meci'!E8))&gt;0)*('Istoric_Nativ'!$D$6:$D$405&gt;='Motor_Meciuri'!BP8))&gt;0)*('Istoric_Nativ'!$Q$6:$Q$405&lt;=H37))/AM37)</x:f>
        <x:v>0.15</x:v>
      </x:c>
      <x:c r="S37" s="10" t="n">
        <x:f>IF(M37="","",MAX(O37,P37,Q37,R37))</x:f>
        <x:v>0.25</x:v>
      </x:c>
      <x:c r="T37" s="11" t="n">
        <x:f>IF(M37="","",MIN(100,S37*100*'Config_v6'!$B$44+MIN(100,L37/'Config_v6'!$B$13*100)*'Config_v6'!$B$45+(100-'Motor_Meciuri'!BF8)*'Config_v6'!$B$46+'Motor_Meciuri'!BH8*100*'Config_v6'!$B$47))</x:f>
        <x:v>26.99034249303068</x:v>
      </x:c>
      <x:c r="U37" s="2" t="n">
        <x:f>IF(T37="","",IF(T37&lt;=20,1,IF(T37&lt;=40,2,IF(T37&lt;=60,3,IF(T37&lt;=80,4,5)))))</x:f>
        <x:v>2</x:v>
      </x:c>
      <x:c r="V37" s="2" t="n">
        <x:f>IF(M37="","",MAX(0,'Motor_Meciuri'!BF8-IF(W37="OOS PENDING",'Config_v6'!$B$35,0)-IF(L37&gt;'Config_v6'!$B$12,'Config_v6'!$B$37,IF(L37&gt;'Config_v6'!$B$11,'Config_v6'!$B$36,0))))</x:f>
        <x:v>80</x:v>
      </x:c>
      <x:c r="W37" s="2" t="str">
        <x:f>IF(B37="","",IF(I37&lt;&gt;"READY","NOT RELEASED",IF(NOT(AND(J37="PASS",'Calibrare_Linii'!U9="VALID")),"INVALID",IF(NOT(AND('Calibrare_Linii'!S9="VALIDATED",AND('Calibrare_Linii'!H9=C37,ISNUMBER('Calibrare_Linii'!J9),'Calibrare_Linii'!J9&lt;='Input_Meci'!G8))),"OOS PENDING",IF(S37&lt;='Calibrare_Linii'!E9,"PASS",IF(S37&lt;='Calibrare_Linii'!F9,"PENALTY","WATCH"))))))</x:f>
        <x:v>OOS PENDING</x:v>
      </x:c>
      <x:c r="X37" s="2" t="str">
        <x:f>IF(M37="","",IF(AND(AND(J37="PASS",'Calibrare_Linii'!U9="VALID"),'Motor_Meciuri'!K8=12,'Motor_Meciuri'!L8=12,'Motor_Meciuri'!M8="NO",'Motor_Meciuri'!BL8='Motor_Meciuri'!C8,AB37&gt;='Config_v6'!$B$50,AN37&gt;='Config_v6'!$B$51,T37&lt;='Config_v6'!$B$52,L37&lt;='Config_v6'!$B$53,ISNUMBER('Calibrare_Linii'!E9),S37&lt;='Calibrare_Linii'!E9,SUM(AK37:AM37)&gt;0),"CANDIDATE","NO"))</x:f>
        <x:v>NO</x:v>
      </x:c>
      <x:c r="Y37" s="2" t="str">
        <x:f>IF(B37="","",IF(I37&lt;&gt;"READY","NOT RELEASED",IF(AND(X37="CANDIDATE",V37&gt;='Config_v6'!$B$51,W37="PASS",'Calibrare_Linii'!T9="VALIDATED",AND('Calibrare_Linii'!H9=C37,ISNUMBER('Calibrare_Linii'!J9),'Calibrare_Linii'!J9&lt;='Input_Meci'!G8)),"PASS",IF(X37="CANDIDATE","OOS PENDING","FAIL"))))</x:f>
        <x:v>FAIL</x:v>
      </x:c>
      <x:c r="Z37" s="2" t="n">
        <x:f>IF(B37="","",IF(I37&lt;&gt;"READY","",IF(OR(NOT(AND(J37="PASS",'Calibrare_Linii'!U9="VALID")),L37&gt;'Config_v6'!$B$13,W37="WATCH"),5,IF(Y37="PASS",1,MIN(5,MAX('Config_v6'!$B$42,U37)+IF(W37="PENALTY",1,0))))))</x:f>
        <x:v>2</x:v>
      </x:c>
      <x:c r="AA37" s="2" t="str">
        <x:f>IF(B37="","",IF(I37&lt;&gt;"READY","NOT RELEASED",IF(Z37=5,"NO BET",IF(OR(AB37&lt;'Config_v6'!$B$16,V37&lt;'Config_v6'!$B$18),"WATCH",IF(Z37=1,"DEFENSIV",IF(Z37=2,"PRUDENT",IF(Z37=3,"MODERAT","RIDICAT")))))))</x:f>
        <x:v>PRUDENT</x:v>
      </x:c>
      <x:c r="AB37" s="10" t="n">
        <x:f>IF(N37="","",MIN(N37,1-S37))</x:f>
        <x:v>0.7251953338972725</x:v>
      </x:c>
      <x:c r="AC37" s="2" t="n">
        <x:f>IF(AD37&lt;&gt;1,"",COUNTIFS($Z$34:$Z$47,"&lt;"&amp;Z37,$AD$34:$AD$47,1)+COUNTIFS($Z$34:$Z$47,Z37,$AB$34:$AB$47,"&gt;"&amp;AB37,$AD$34:$AD$47,1)+COUNTIFS($Z$34:$Z$47,Z37,$AB$34:$AB$47,AB37,$V$34:$V$47,"&gt;"&amp;V37,$AD$34:$AD$47,1)+COUNTIFS($Z$34:Z37,Z37,$AB$34:AB37,AB37,$V$34:V37,V37,$AD$34:AD37,1))</x:f>
        <x:v>9</x:v>
      </x:c>
      <x:c r="AD37" s="2" t="n">
        <x:f>IF(OR(AA37="DEFENSIV",AA37="PRUDENT",AA37="MODERAT",AA37="RIDICAT"),1,0)</x:f>
        <x:v>1</x:v>
      </x:c>
      <x:c r="AE37" s="2" t="str">
        <x:f>IF(AD37&lt;&gt;1,"NO",IF(W37="PASS","YES",IF(W37="OOS PENDING","CONDITIONAL","NO")))</x:f>
        <x:v>CONDITIONAL</x:v>
      </x:c>
      <x:c r="AF37" s="2" t="n">
        <x:f>IF(AND(AD37=1,AC37=1,E37="LIVE"),1,0)</x:f>
        <x:v>0</x:v>
      </x:c>
      <x:c r="AG37" s="2" t="str">
        <x:f>IF(AF37&lt;&gt;1,"",'Dashboard'!P28)</x:f>
      </x:c>
      <x:c r="AH37" s="2" t="str">
        <x:f>IF(B37="","",IF(J37&lt;&gt;"PASS",'Motor_Meciuri'!J8,IF('Calibrare_Linii'!U9&lt;&gt;"VALID","Parametri linie invalizi",IF(L37&gt;'Config_v6'!$B$13,"Dispersie peste limita",IF(W37="WATCH","Failure peste limita",IF(AB37&lt;'Config_v6'!$B$16,"P finala sub prag",IF(V37&lt;'Config_v6'!$B$18,"Confidence sub prag",IF(E37="REPLAY","Exemplu retrospectiv; exclus din Top LIVE",IF(Y37="PASS","DEFENSIV validat",IF(W37="OOS PENDING","Eligibil; calibrare linie in monitorizare","Eligibil"))))))))))</x:f>
        <x:v>Exemplu retrospectiv; exclus din Top LIVE</x:v>
      </x:c>
      <x:c r="AI37" s="2" t="str">
        <x:f>IF(B37="","",'Calibrare_Linii'!V9)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6,5|1.000000|NA|NA</x:v>
      </x:c>
      <x:c r="AJ37" s="2" t="str">
        <x:f>IF(B37="","",IF(AND('Calibrare_Linii'!T9="VALIDATED",AND('Calibrare_Linii'!H9=C37,ISNUMBER('Calibrare_Linii'!J9),'Calibrare_Linii'!J9&lt;='Input_Meci'!G8)),"DEFENSIVE VALIDATED",IF(AND('Calibrare_Linii'!S9="VALIDATED",AND('Calibrare_Linii'!H9=C37,ISNUMBER('Calibrare_Linii'!J9),'Calibrare_Linii'!J9&lt;='Input_Meci'!G8)),"TAIL VALIDATED","OOS PENDING")))</x:f>
        <x:v>OOS PENDING</x:v>
      </x:c>
      <x:c r="AK37" s="2" t="n">
        <x:f>IF(J37&lt;&gt;"PASS",0,'Motor_Meciuri'!BR8)</x:f>
        <x:v>36</x:v>
      </x:c>
      <x:c r="AL37" s="2" t="n">
        <x:f>IF(J37&lt;&gt;"PASS",0,'Motor_Meciuri'!BS8)</x:f>
        <x:v>20</x:v>
      </x:c>
      <x:c r="AM37" s="2" t="n">
        <x:f>IF(J37&lt;&gt;"PASS",0,'Motor_Meciuri'!BT8)</x:f>
        <x:v>40</x:v>
      </x:c>
      <x:c r="AN37" s="2" t="n">
        <x:f>IF(M37="","",MAX(0,'Motor_Meciuri'!BF8-IF(L37&gt;'Config_v6'!$B$12,'Config_v6'!$B$37,IF(L37&gt;'Config_v6'!$B$11,'Config_v6'!$B$36,0))))</x:f>
        <x:v>90</x:v>
      </x:c>
    </x:row>
    <x:row r="38" ht="21" customHeight="1">
      <x:c r="A38" s="2" t="n">
        <x:v>3</x:v>
      </x:c>
      <x:c r="B38" s="2" t="str">
        <x:f>IF('Motor_Meciuri'!A8="","",'Motor_Meciuri'!A8)</x:f>
        <x:v>REPLAY_3</x:v>
      </x:c>
      <x:c r="C38" s="2" t="str">
        <x:f>IF(B38="","",'Motor_Meciuri'!B8)</x:f>
        <x:v>E0</x:v>
      </x:c>
      <x:c r="D38" s="2" t="str">
        <x:f>IF(B38="","",'Motor_Meciuri'!D8)</x:f>
        <x:v>Crystal Palace – Arsenal</x:v>
      </x:c>
      <x:c r="E38" s="2" t="str">
        <x:f>IF(B38="","",'Motor_Meciuri'!E8)</x:f>
        <x:v>REPLAY</x:v>
      </x:c>
      <x:c r="F38" s="2" t="str">
        <x:v>O7,5</x:v>
      </x:c>
      <x:c r="G38" s="2" t="str">
        <x:v>OVER</x:v>
      </x:c>
      <x:c r="H38" s="2" t="n">
        <x:v>7</x:v>
      </x:c>
      <x:c r="I38" s="2" t="str">
        <x:f>IF(B38="","",'Motor_Meciuri'!H8)</x:f>
        <x:v>READY</x:v>
      </x:c>
      <x:c r="J38" s="2" t="str">
        <x:f>IF(B38="","",'Motor_Meciuri'!I8)</x:f>
        <x:v>PASS</x:v>
      </x:c>
      <x:c r="K38" s="11" t="n">
        <x:f>IF(J38&lt;&gt;"PASS","",'Motor_Meciuri'!BD8)</x:f>
        <x:v>9.505743243243243</x:v>
      </x:c>
      <x:c r="L38" s="11" t="n">
        <x:f>IF(J38&lt;&gt;"PASS","",'Motor_Meciuri'!AU8)</x:f>
        <x:v>1.3207885304659515</x:v>
      </x:c>
      <x:c r="M38" s="10" t="n">
        <x:f>IF(NOT(AND(J38="PASS",'Calibrare_Linii'!U10="VALID")),"",1-'Distributie'!AE8)</x:f>
        <x:v>0.6955115579273944</x:v>
      </x:c>
      <x:c r="N38" s="10" t="n">
        <x:f>IF(M38="","",MAX(0.01,MIN(0.99,0.5+(M38-0.5)*'Motor_Meciuri'!BG8*'Calibrare_Linii'!D10)))</x:f>
        <x:v>0.6484959160348042</x:v>
      </x:c>
      <x:c r="O38" s="10" t="n">
        <x:f>IF(M38="","",1-M38)</x:f>
        <x:v>0.3044884420726056</x:v>
      </x:c>
      <x:c r="P38" s="10" t="n">
        <x:f>IF(OR(NOT(AND(J38="PASS",'Calibrare_Linii'!U10="VALID")),AK38=0),""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*('Istoric_Nativ'!$Q$6:$Q$405&lt;=H38))/AK38)</x:f>
        <x:v>0.3888888888888889</x:v>
      </x:c>
      <x:c r="Q38" s="10" t="n">
        <x:f>IF(OR(NOT(AND(J38="PASS",'Calibrare_Linii'!U10="VALID")),AL38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M8)+((('Istoric_Nativ'!$E$6:$E$405='Input_Meci'!E8)+('Istoric_Nativ'!$F$6:$F$405='Input_Meci'!E8))&gt;0)*('Istoric_Nativ'!$D$6:$D$405&gt;='Motor_Meciuri'!BN8))&gt;0)*('Istoric_Nativ'!$Q$6:$Q$405&lt;=H38))/AL38)</x:f>
        <x:v>0.3</x:v>
      </x:c>
      <x:c r="R38" s="10" t="n">
        <x:f>IF(OR(NOT(AND(J38="PASS",'Calibrare_Linii'!U10="VALID")),AM38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O8)+((('Istoric_Nativ'!$E$6:$E$405='Input_Meci'!E8)+('Istoric_Nativ'!$F$6:$F$405='Input_Meci'!E8))&gt;0)*('Istoric_Nativ'!$D$6:$D$405&gt;='Motor_Meciuri'!BP8))&gt;0)*('Istoric_Nativ'!$Q$6:$Q$405&lt;=H38))/AM38)</x:f>
        <x:v>0.325</x:v>
      </x:c>
      <x:c r="S38" s="10" t="n">
        <x:f>IF(M38="","",MAX(O38,P38,Q38,R38))</x:f>
        <x:v>0.3888888888888889</x:v>
      </x:c>
      <x:c r="T38" s="11" t="n">
        <x:f>IF(M38="","",MIN(100,S38*100*'Config_v6'!$B$44+MIN(100,L38/'Config_v6'!$B$13*100)*'Config_v6'!$B$45+(100-'Motor_Meciuri'!BF8)*'Config_v6'!$B$46+'Motor_Meciuri'!BH8*100*'Config_v6'!$B$47))</x:f>
        <x:v>34.629231381919574</x:v>
      </x:c>
      <x:c r="U38" s="2" t="n">
        <x:f>IF(T38="","",IF(T38&lt;=20,1,IF(T38&lt;=40,2,IF(T38&lt;=60,3,IF(T38&lt;=80,4,5)))))</x:f>
        <x:v>2</x:v>
      </x:c>
      <x:c r="V38" s="2" t="n">
        <x:f>IF(M38="","",MAX(0,'Motor_Meciuri'!BF8-IF(W38="OOS PENDING",'Config_v6'!$B$35,0)-IF(L38&gt;'Config_v6'!$B$12,'Config_v6'!$B$37,IF(L38&gt;'Config_v6'!$B$11,'Config_v6'!$B$36,0))))</x:f>
        <x:v>80</x:v>
      </x:c>
      <x:c r="W38" s="2" t="str">
        <x:f>IF(B38="","",IF(I38&lt;&gt;"READY","NOT RELEASED",IF(NOT(AND(J38="PASS",'Calibrare_Linii'!U10="VALID")),"INVALID",IF(NOT(AND('Calibrare_Linii'!S10="VALIDATED",AND('Calibrare_Linii'!H10=C38,ISNUMBER('Calibrare_Linii'!J10),'Calibrare_Linii'!J10&lt;='Input_Meci'!G8))),"OOS PENDING",IF(S38&lt;='Calibrare_Linii'!E10,"PASS",IF(S38&lt;='Calibrare_Linii'!F10,"PENALTY","WATCH"))))))</x:f>
        <x:v>OOS PENDING</x:v>
      </x:c>
      <x:c r="X38" s="2" t="str">
        <x:f>IF(M38="","",IF(AND(AND(J38="PASS",'Calibrare_Linii'!U10="VALID"),'Motor_Meciuri'!K8=12,'Motor_Meciuri'!L8=12,'Motor_Meciuri'!M8="NO",'Motor_Meciuri'!BL8='Motor_Meciuri'!C8,AB38&gt;='Config_v6'!$B$50,AN38&gt;='Config_v6'!$B$51,T38&lt;='Config_v6'!$B$52,L38&lt;='Config_v6'!$B$53,ISNUMBER('Calibrare_Linii'!E10),S38&lt;='Calibrare_Linii'!E10,SUM(AK38:AM38)&gt;0),"CANDIDATE","NO"))</x:f>
        <x:v>NO</x:v>
      </x:c>
      <x:c r="Y38" s="2" t="str">
        <x:f>IF(B38="","",IF(I38&lt;&gt;"READY","NOT RELEASED",IF(AND(X38="CANDIDATE",V38&gt;='Config_v6'!$B$51,W38="PASS",'Calibrare_Linii'!T10="VALIDATED",AND('Calibrare_Linii'!H10=C38,ISNUMBER('Calibrare_Linii'!J10),'Calibrare_Linii'!J10&lt;='Input_Meci'!G8)),"PASS",IF(X38="CANDIDATE","OOS PENDING","FAIL"))))</x:f>
        <x:v>FAIL</x:v>
      </x:c>
      <x:c r="Z38" s="2" t="n">
        <x:f>IF(B38="","",IF(I38&lt;&gt;"READY","",IF(OR(NOT(AND(J38="PASS",'Calibrare_Linii'!U10="VALID")),L38&gt;'Config_v6'!$B$13,W38="WATCH"),5,IF(Y38="PASS",1,MIN(5,MAX('Config_v6'!$B$42,U38)+IF(W38="PENALTY",1,0))))))</x:f>
        <x:v>2</x:v>
      </x:c>
      <x:c r="AA38" s="2" t="str">
        <x:f>IF(B38="","",IF(I38&lt;&gt;"READY","NOT RELEASED",IF(Z38=5,"NO BET",IF(OR(AB38&lt;'Config_v6'!$B$16,V38&lt;'Config_v6'!$B$18),"WATCH",IF(Z38=1,"DEFENSIV",IF(Z38=2,"PRUDENT",IF(Z38=3,"MODERAT","RIDICAT")))))))</x:f>
        <x:v>WATCH</x:v>
      </x:c>
      <x:c r="AB38" s="10" t="n">
        <x:f>IF(N38="","",MIN(N38,1-S38))</x:f>
        <x:v>0.6111111111111112</x:v>
      </x:c>
      <x:c r="AC38" s="2" t="str">
        <x:f>IF(AD38&lt;&gt;1,"",COUNTIFS($Z$34:$Z$47,"&lt;"&amp;Z38,$AD$34:$AD$47,1)+COUNTIFS($Z$34:$Z$47,Z38,$AB$34:$AB$47,"&gt;"&amp;AB38,$AD$34:$AD$47,1)+COUNTIFS($Z$34:$Z$47,Z38,$AB$34:$AB$47,AB38,$V$34:$V$47,"&gt;"&amp;V38,$AD$34:$AD$47,1)+COUNTIFS($Z$34:Z38,Z38,$AB$34:AB38,AB38,$V$34:V38,V38,$AD$34:AD38,1))</x:f>
      </x:c>
      <x:c r="AD38" s="2" t="n">
        <x:f>IF(OR(AA38="DEFENSIV",AA38="PRUDENT",AA38="MODERAT",AA38="RIDICAT"),1,0)</x:f>
        <x:v>0</x:v>
      </x:c>
      <x:c r="AE38" s="2" t="str">
        <x:f>IF(AD38&lt;&gt;1,"NO",IF(W38="PASS","YES",IF(W38="OOS PENDING","CONDITIONAL","NO")))</x:f>
        <x:v>NO</x:v>
      </x:c>
      <x:c r="AF38" s="2" t="n">
        <x:f>IF(AND(AD38=1,AC38=1,E38="LIVE"),1,0)</x:f>
        <x:v>0</x:v>
      </x:c>
      <x:c r="AG38" s="2" t="str">
        <x:f>IF(AF38&lt;&gt;1,"",'Dashboard'!P28)</x:f>
      </x:c>
      <x:c r="AH38" s="2" t="str">
        <x:f>IF(B38="","",IF(J38&lt;&gt;"PASS",'Motor_Meciuri'!J8,IF('Calibrare_Linii'!U10&lt;&gt;"VALID","Parametri linie invalizi",IF(L38&gt;'Config_v6'!$B$13,"Dispersie peste limita",IF(W38="WATCH","Failure peste limita",IF(AB38&lt;'Config_v6'!$B$16,"P finala sub prag",IF(V38&lt;'Config_v6'!$B$18,"Confidence sub prag",IF(E38="REPLAY","Exemplu retrospectiv; exclus din Top LIVE",IF(Y38="PASS","DEFENSIV validat",IF(W38="OOS PENDING","Eligibil; calibrare linie in monitorizare","Eligibil"))))))))))</x:f>
        <x:v>P finala sub prag</x:v>
      </x:c>
      <x:c r="AI38" s="2" t="str">
        <x:f>IF(B38="","",'Calibrare_Linii'!V10)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7,5|1.000000|NA|NA</x:v>
      </x:c>
      <x:c r="AJ38" s="2" t="str">
        <x:f>IF(B38="","",IF(AND('Calibrare_Linii'!T10="VALIDATED",AND('Calibrare_Linii'!H10=C38,ISNUMBER('Calibrare_Linii'!J10),'Calibrare_Linii'!J10&lt;='Input_Meci'!G8)),"DEFENSIVE VALIDATED",IF(AND('Calibrare_Linii'!S10="VALIDATED",AND('Calibrare_Linii'!H10=C38,ISNUMBER('Calibrare_Linii'!J10),'Calibrare_Linii'!J10&lt;='Input_Meci'!G8)),"TAIL VALIDATED","OOS PENDING")))</x:f>
        <x:v>OOS PENDING</x:v>
      </x:c>
      <x:c r="AK38" s="2" t="n">
        <x:f>IF(J38&lt;&gt;"PASS",0,'Motor_Meciuri'!BR8)</x:f>
        <x:v>36</x:v>
      </x:c>
      <x:c r="AL38" s="2" t="n">
        <x:f>IF(J38&lt;&gt;"PASS",0,'Motor_Meciuri'!BS8)</x:f>
        <x:v>20</x:v>
      </x:c>
      <x:c r="AM38" s="2" t="n">
        <x:f>IF(J38&lt;&gt;"PASS",0,'Motor_Meciuri'!BT8)</x:f>
        <x:v>40</x:v>
      </x:c>
      <x:c r="AN38" s="2" t="n">
        <x:f>IF(M38="","",MAX(0,'Motor_Meciuri'!BF8-IF(L38&gt;'Config_v6'!$B$12,'Config_v6'!$B$37,IF(L38&gt;'Config_v6'!$B$11,'Config_v6'!$B$36,0))))</x:f>
        <x:v>90</x:v>
      </x:c>
    </x:row>
    <x:row r="39" ht="21" customHeight="1">
      <x:c r="A39" s="2" t="n">
        <x:v>3</x:v>
      </x:c>
      <x:c r="B39" s="2" t="str">
        <x:f>IF('Motor_Meciuri'!A8="","",'Motor_Meciuri'!A8)</x:f>
        <x:v>REPLAY_3</x:v>
      </x:c>
      <x:c r="C39" s="2" t="str">
        <x:f>IF(B39="","",'Motor_Meciuri'!B8)</x:f>
        <x:v>E0</x:v>
      </x:c>
      <x:c r="D39" s="2" t="str">
        <x:f>IF(B39="","",'Motor_Meciuri'!D8)</x:f>
        <x:v>Crystal Palace – Arsenal</x:v>
      </x:c>
      <x:c r="E39" s="2" t="str">
        <x:f>IF(B39="","",'Motor_Meciuri'!E8)</x:f>
        <x:v>REPLAY</x:v>
      </x:c>
      <x:c r="F39" s="2" t="str">
        <x:v>O8,5</x:v>
      </x:c>
      <x:c r="G39" s="2" t="str">
        <x:v>OVER</x:v>
      </x:c>
      <x:c r="H39" s="2" t="n">
        <x:v>8</x:v>
      </x:c>
      <x:c r="I39" s="2" t="str">
        <x:f>IF(B39="","",'Motor_Meciuri'!H8)</x:f>
        <x:v>READY</x:v>
      </x:c>
      <x:c r="J39" s="2" t="str">
        <x:f>IF(B39="","",'Motor_Meciuri'!I8)</x:f>
        <x:v>PASS</x:v>
      </x:c>
      <x:c r="K39" s="11" t="n">
        <x:f>IF(J39&lt;&gt;"PASS","",'Motor_Meciuri'!BD8)</x:f>
        <x:v>9.505743243243243</x:v>
      </x:c>
      <x:c r="L39" s="11" t="n">
        <x:f>IF(J39&lt;&gt;"PASS","",'Motor_Meciuri'!AU8)</x:f>
        <x:v>1.3207885304659515</x:v>
      </x:c>
      <x:c r="M39" s="10" t="n">
        <x:f>IF(NOT(AND(J39="PASS",'Calibrare_Linii'!U11="VALID")),"",1-'Distributie'!AF8)</x:f>
        <x:v>0.5833046324195393</x:v>
      </x:c>
      <x:c r="N39" s="10" t="n">
        <x:f>IF(M39="","",MAX(0.01,MIN(0.99,0.5+(M39-0.5)*'Motor_Meciuri'!BG8*'Calibrare_Linii'!D11)))</x:f>
        <x:v>0.5632719509384506</x:v>
      </x:c>
      <x:c r="O39" s="10" t="n">
        <x:f>IF(M39="","",1-M39)</x:f>
        <x:v>0.41669536758046066</x:v>
      </x:c>
      <x:c r="P39" s="10" t="n">
        <x:f>IF(OR(NOT(AND(J39="PASS",'Calibrare_Linii'!U11="VALID")),AK39=0),""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*('Istoric_Nativ'!$Q$6:$Q$405&lt;=H39))/AK39)</x:f>
        <x:v>0.5</x:v>
      </x:c>
      <x:c r="Q39" s="10" t="n">
        <x:f>IF(OR(NOT(AND(J39="PASS",'Calibrare_Linii'!U11="VALID")),AL39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M8)+((('Istoric_Nativ'!$E$6:$E$405='Input_Meci'!E8)+('Istoric_Nativ'!$F$6:$F$405='Input_Meci'!E8))&gt;0)*('Istoric_Nativ'!$D$6:$D$405&gt;='Motor_Meciuri'!BN8))&gt;0)*('Istoric_Nativ'!$Q$6:$Q$405&lt;=H39))/AL39)</x:f>
        <x:v>0.4</x:v>
      </x:c>
      <x:c r="R39" s="10" t="n">
        <x:f>IF(OR(NOT(AND(J39="PASS",'Calibrare_Linii'!U11="VALID")),AM39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O8)+((('Istoric_Nativ'!$E$6:$E$405='Input_Meci'!E8)+('Istoric_Nativ'!$F$6:$F$405='Input_Meci'!E8))&gt;0)*('Istoric_Nativ'!$D$6:$D$405&gt;='Motor_Meciuri'!BP8))&gt;0)*('Istoric_Nativ'!$Q$6:$Q$405&lt;=H39))/AM39)</x:f>
        <x:v>0.4</x:v>
      </x:c>
      <x:c r="S39" s="10" t="n">
        <x:f>IF(M39="","",MAX(O39,P39,Q39,R39))</x:f>
        <x:v>0.5</x:v>
      </x:c>
      <x:c r="T39" s="11" t="n">
        <x:f>IF(M39="","",MIN(100,S39*100*'Config_v6'!$B$44+MIN(100,L39/'Config_v6'!$B$13*100)*'Config_v6'!$B$45+(100-'Motor_Meciuri'!BF8)*'Config_v6'!$B$46+'Motor_Meciuri'!BH8*100*'Config_v6'!$B$47))</x:f>
        <x:v>40.74034249303068</x:v>
      </x:c>
      <x:c r="U39" s="2" t="n">
        <x:f>IF(T39="","",IF(T39&lt;=20,1,IF(T39&lt;=40,2,IF(T39&lt;=60,3,IF(T39&lt;=80,4,5)))))</x:f>
        <x:v>3</x:v>
      </x:c>
      <x:c r="V39" s="2" t="n">
        <x:f>IF(M39="","",MAX(0,'Motor_Meciuri'!BF8-IF(W39="OOS PENDING",'Config_v6'!$B$35,0)-IF(L39&gt;'Config_v6'!$B$12,'Config_v6'!$B$37,IF(L39&gt;'Config_v6'!$B$11,'Config_v6'!$B$36,0))))</x:f>
        <x:v>80</x:v>
      </x:c>
      <x:c r="W39" s="2" t="str">
        <x:f>IF(B39="","",IF(I39&lt;&gt;"READY","NOT RELEASED",IF(NOT(AND(J39="PASS",'Calibrare_Linii'!U11="VALID")),"INVALID",IF(NOT(AND('Calibrare_Linii'!S11="VALIDATED",AND('Calibrare_Linii'!H11=C39,ISNUMBER('Calibrare_Linii'!J11),'Calibrare_Linii'!J11&lt;='Input_Meci'!G8))),"OOS PENDING",IF(S39&lt;='Calibrare_Linii'!E11,"PASS",IF(S39&lt;='Calibrare_Linii'!F11,"PENALTY","WATCH"))))))</x:f>
        <x:v>OOS PENDING</x:v>
      </x:c>
      <x:c r="X39" s="2" t="str">
        <x:f>IF(M39="","",IF(AND(AND(J39="PASS",'Calibrare_Linii'!U11="VALID"),'Motor_Meciuri'!K8=12,'Motor_Meciuri'!L8=12,'Motor_Meciuri'!M8="NO",'Motor_Meciuri'!BL8='Motor_Meciuri'!C8,AB39&gt;='Config_v6'!$B$50,AN39&gt;='Config_v6'!$B$51,T39&lt;='Config_v6'!$B$52,L39&lt;='Config_v6'!$B$53,ISNUMBER('Calibrare_Linii'!E11),S39&lt;='Calibrare_Linii'!E11,SUM(AK39:AM39)&gt;0),"CANDIDATE","NO"))</x:f>
        <x:v>NO</x:v>
      </x:c>
      <x:c r="Y39" s="2" t="str">
        <x:f>IF(B39="","",IF(I39&lt;&gt;"READY","NOT RELEASED",IF(AND(X39="CANDIDATE",V39&gt;='Config_v6'!$B$51,W39="PASS",'Calibrare_Linii'!T11="VALIDATED",AND('Calibrare_Linii'!H11=C39,ISNUMBER('Calibrare_Linii'!J11),'Calibrare_Linii'!J11&lt;='Input_Meci'!G8)),"PASS",IF(X39="CANDIDATE","OOS PENDING","FAIL"))))</x:f>
        <x:v>FAIL</x:v>
      </x:c>
      <x:c r="Z39" s="2" t="n">
        <x:f>IF(B39="","",IF(I39&lt;&gt;"READY","",IF(OR(NOT(AND(J39="PASS",'Calibrare_Linii'!U11="VALID")),L39&gt;'Config_v6'!$B$13,W39="WATCH"),5,IF(Y39="PASS",1,MIN(5,MAX('Config_v6'!$B$42,U39)+IF(W39="PENALTY",1,0))))))</x:f>
        <x:v>3</x:v>
      </x:c>
      <x:c r="AA39" s="2" t="str">
        <x:f>IF(B39="","",IF(I39&lt;&gt;"READY","NOT RELEASED",IF(Z39=5,"NO BET",IF(OR(AB39&lt;'Config_v6'!$B$16,V39&lt;'Config_v6'!$B$18),"WATCH",IF(Z39=1,"DEFENSIV",IF(Z39=2,"PRUDENT",IF(Z39=3,"MODERAT","RIDICAT")))))))</x:f>
        <x:v>WATCH</x:v>
      </x:c>
      <x:c r="AB39" s="10" t="n">
        <x:f>IF(N39="","",MIN(N39,1-S39))</x:f>
        <x:v>0.5</x:v>
      </x:c>
      <x:c r="AC39" s="2" t="str">
        <x:f>IF(AD39&lt;&gt;1,"",COUNTIFS($Z$34:$Z$47,"&lt;"&amp;Z39,$AD$34:$AD$47,1)+COUNTIFS($Z$34:$Z$47,Z39,$AB$34:$AB$47,"&gt;"&amp;AB39,$AD$34:$AD$47,1)+COUNTIFS($Z$34:$Z$47,Z39,$AB$34:$AB$47,AB39,$V$34:$V$47,"&gt;"&amp;V39,$AD$34:$AD$47,1)+COUNTIFS($Z$34:Z39,Z39,$AB$34:AB39,AB39,$V$34:V39,V39,$AD$34:AD39,1))</x:f>
      </x:c>
      <x:c r="AD39" s="2" t="n">
        <x:f>IF(OR(AA39="DEFENSIV",AA39="PRUDENT",AA39="MODERAT",AA39="RIDICAT"),1,0)</x:f>
        <x:v>0</x:v>
      </x:c>
      <x:c r="AE39" s="2" t="str">
        <x:f>IF(AD39&lt;&gt;1,"NO",IF(W39="PASS","YES",IF(W39="OOS PENDING","CONDITIONAL","NO")))</x:f>
        <x:v>NO</x:v>
      </x:c>
      <x:c r="AF39" s="2" t="n">
        <x:f>IF(AND(AD39=1,AC39=1,E39="LIVE"),1,0)</x:f>
        <x:v>0</x:v>
      </x:c>
      <x:c r="AG39" s="2" t="str">
        <x:f>IF(AF39&lt;&gt;1,"",'Dashboard'!P28)</x:f>
      </x:c>
      <x:c r="AH39" s="2" t="str">
        <x:f>IF(B39="","",IF(J39&lt;&gt;"PASS",'Motor_Meciuri'!J8,IF('Calibrare_Linii'!U11&lt;&gt;"VALID","Parametri linie invalizi",IF(L39&gt;'Config_v6'!$B$13,"Dispersie peste limita",IF(W39="WATCH","Failure peste limita",IF(AB39&lt;'Config_v6'!$B$16,"P finala sub prag",IF(V39&lt;'Config_v6'!$B$18,"Confidence sub prag",IF(E39="REPLAY","Exemplu retrospectiv; exclus din Top LIVE",IF(Y39="PASS","DEFENSIV validat",IF(W39="OOS PENDING","Eligibil; calibrare linie in monitorizare","Eligibil"))))))))))</x:f>
        <x:v>P finala sub prag</x:v>
      </x:c>
      <x:c r="AI39" s="2" t="str">
        <x:f>IF(B39="","",'Calibrare_Linii'!V11)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8,5|1.000000|NA|NA</x:v>
      </x:c>
      <x:c r="AJ39" s="2" t="str">
        <x:f>IF(B39="","",IF(AND('Calibrare_Linii'!T11="VALIDATED",AND('Calibrare_Linii'!H11=C39,ISNUMBER('Calibrare_Linii'!J11),'Calibrare_Linii'!J11&lt;='Input_Meci'!G8)),"DEFENSIVE VALIDATED",IF(AND('Calibrare_Linii'!S11="VALIDATED",AND('Calibrare_Linii'!H11=C39,ISNUMBER('Calibrare_Linii'!J11),'Calibrare_Linii'!J11&lt;='Input_Meci'!G8)),"TAIL VALIDATED","OOS PENDING")))</x:f>
        <x:v>OOS PENDING</x:v>
      </x:c>
      <x:c r="AK39" s="2" t="n">
        <x:f>IF(J39&lt;&gt;"PASS",0,'Motor_Meciuri'!BR8)</x:f>
        <x:v>36</x:v>
      </x:c>
      <x:c r="AL39" s="2" t="n">
        <x:f>IF(J39&lt;&gt;"PASS",0,'Motor_Meciuri'!BS8)</x:f>
        <x:v>20</x:v>
      </x:c>
      <x:c r="AM39" s="2" t="n">
        <x:f>IF(J39&lt;&gt;"PASS",0,'Motor_Meciuri'!BT8)</x:f>
        <x:v>40</x:v>
      </x:c>
      <x:c r="AN39" s="2" t="n">
        <x:f>IF(M39="","",MAX(0,'Motor_Meciuri'!BF8-IF(L39&gt;'Config_v6'!$B$12,'Config_v6'!$B$37,IF(L39&gt;'Config_v6'!$B$11,'Config_v6'!$B$36,0))))</x:f>
        <x:v>90</x:v>
      </x:c>
    </x:row>
    <x:row r="40" ht="21" customHeight="1">
      <x:c r="A40" s="2" t="n">
        <x:v>3</x:v>
      </x:c>
      <x:c r="B40" s="2" t="str">
        <x:f>IF('Motor_Meciuri'!A8="","",'Motor_Meciuri'!A8)</x:f>
        <x:v>REPLAY_3</x:v>
      </x:c>
      <x:c r="C40" s="2" t="str">
        <x:f>IF(B40="","",'Motor_Meciuri'!B8)</x:f>
        <x:v>E0</x:v>
      </x:c>
      <x:c r="D40" s="2" t="str">
        <x:f>IF(B40="","",'Motor_Meciuri'!D8)</x:f>
        <x:v>Crystal Palace – Arsenal</x:v>
      </x:c>
      <x:c r="E40" s="2" t="str">
        <x:f>IF(B40="","",'Motor_Meciuri'!E8)</x:f>
        <x:v>REPLAY</x:v>
      </x:c>
      <x:c r="F40" s="2" t="str">
        <x:v>U10,5</x:v>
      </x:c>
      <x:c r="G40" s="2" t="str">
        <x:v>UNDER</x:v>
      </x:c>
      <x:c r="H40" s="2" t="n">
        <x:v>10</x:v>
      </x:c>
      <x:c r="I40" s="2" t="str">
        <x:f>IF(B40="","",'Motor_Meciuri'!H8)</x:f>
        <x:v>READY</x:v>
      </x:c>
      <x:c r="J40" s="2" t="str">
        <x:f>IF(B40="","",'Motor_Meciuri'!I8)</x:f>
        <x:v>PASS</x:v>
      </x:c>
      <x:c r="K40" s="11" t="n">
        <x:f>IF(J40&lt;&gt;"PASS","",'Motor_Meciuri'!BD8)</x:f>
        <x:v>9.505743243243243</x:v>
      </x:c>
      <x:c r="L40" s="11" t="n">
        <x:f>IF(J40&lt;&gt;"PASS","",'Motor_Meciuri'!AU8)</x:f>
        <x:v>1.3207885304659515</x:v>
      </x:c>
      <x:c r="M40" s="10" t="n">
        <x:f>IF(NOT(AND(J40="PASS",'Calibrare_Linii'!U12="VALID")),"",'Distributie'!AH8)</x:f>
        <x:v>0.637434146611185</x:v>
      </x:c>
      <x:c r="N40" s="10" t="n">
        <x:f>IF(M40="","",MAX(0.01,MIN(0.99,0.5+(M40-0.5)*'Motor_Meciuri'!BG8*'Calibrare_Linii'!D12)))</x:f>
        <x:v>0.6043846702048603</x:v>
      </x:c>
      <x:c r="O40" s="10" t="n">
        <x:f>IF(M40="","",1-M40)</x:f>
        <x:v>0.362565853388815</x:v>
      </x:c>
      <x:c r="P40" s="10" t="n">
        <x:f>IF(OR(NOT(AND(J40="PASS",'Calibrare_Linii'!U12="VALID")),AK40=0),""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*('Istoric_Nativ'!$Q$6:$Q$405&gt;H40))/AK40)</x:f>
        <x:v>0.3333333333333333</x:v>
      </x:c>
      <x:c r="Q40" s="10" t="n">
        <x:f>IF(OR(NOT(AND(J40="PASS",'Calibrare_Linii'!U12="VALID")),AL40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M8)+((('Istoric_Nativ'!$E$6:$E$405='Input_Meci'!E8)+('Istoric_Nativ'!$F$6:$F$405='Input_Meci'!E8))&gt;0)*('Istoric_Nativ'!$D$6:$D$405&gt;='Motor_Meciuri'!BN8))&gt;0)*('Istoric_Nativ'!$Q$6:$Q$405&gt;H40))/AL40)</x:f>
        <x:v>0.45</x:v>
      </x:c>
      <x:c r="R40" s="10" t="n">
        <x:f>IF(OR(NOT(AND(J40="PASS",'Calibrare_Linii'!U12="VALID")),AM40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O8)+((('Istoric_Nativ'!$E$6:$E$405='Input_Meci'!E8)+('Istoric_Nativ'!$F$6:$F$405='Input_Meci'!E8))&gt;0)*('Istoric_Nativ'!$D$6:$D$405&gt;='Motor_Meciuri'!BP8))&gt;0)*('Istoric_Nativ'!$Q$6:$Q$405&gt;H40))/AM40)</x:f>
        <x:v>0.375</x:v>
      </x:c>
      <x:c r="S40" s="10" t="n">
        <x:f>IF(M40="","",MAX(O40,P40,Q40,R40))</x:f>
        <x:v>0.45</x:v>
      </x:c>
      <x:c r="T40" s="11" t="n">
        <x:f>IF(M40="","",MIN(100,S40*100*'Config_v6'!$B$44+MIN(100,L40/'Config_v6'!$B$13*100)*'Config_v6'!$B$45+(100-'Motor_Meciuri'!BF8)*'Config_v6'!$B$46+'Motor_Meciuri'!BH8*100*'Config_v6'!$B$47))</x:f>
        <x:v>37.99034249303068</x:v>
      </x:c>
      <x:c r="U40" s="2" t="n">
        <x:f>IF(T40="","",IF(T40&lt;=20,1,IF(T40&lt;=40,2,IF(T40&lt;=60,3,IF(T40&lt;=80,4,5)))))</x:f>
        <x:v>2</x:v>
      </x:c>
      <x:c r="V40" s="2" t="n">
        <x:f>IF(M40="","",MAX(0,'Motor_Meciuri'!BF8-IF(W40="OOS PENDING",'Config_v6'!$B$35,0)-IF(L40&gt;'Config_v6'!$B$12,'Config_v6'!$B$37,IF(L40&gt;'Config_v6'!$B$11,'Config_v6'!$B$36,0))))</x:f>
        <x:v>80</x:v>
      </x:c>
      <x:c r="W40" s="2" t="str">
        <x:f>IF(B40="","",IF(I40&lt;&gt;"READY","NOT RELEASED",IF(NOT(AND(J40="PASS",'Calibrare_Linii'!U12="VALID")),"INVALID",IF(NOT(AND('Calibrare_Linii'!S12="VALIDATED",AND('Calibrare_Linii'!H12=C40,ISNUMBER('Calibrare_Linii'!J12),'Calibrare_Linii'!J12&lt;='Input_Meci'!G8))),"OOS PENDING",IF(S40&lt;='Calibrare_Linii'!E12,"PASS",IF(S40&lt;='Calibrare_Linii'!F12,"PENALTY","WATCH"))))))</x:f>
        <x:v>OOS PENDING</x:v>
      </x:c>
      <x:c r="X40" s="2" t="str">
        <x:f>IF(M40="","",IF(AND(AND(J40="PASS",'Calibrare_Linii'!U12="VALID"),'Motor_Meciuri'!K8=12,'Motor_Meciuri'!L8=12,'Motor_Meciuri'!M8="NO",'Motor_Meciuri'!BL8='Motor_Meciuri'!C8,AB40&gt;='Config_v6'!$B$50,AN40&gt;='Config_v6'!$B$51,T40&lt;='Config_v6'!$B$52,L40&lt;='Config_v6'!$B$53,ISNUMBER('Calibrare_Linii'!E12),S40&lt;='Calibrare_Linii'!E12,SUM(AK40:AM40)&gt;0),"CANDIDATE","NO"))</x:f>
        <x:v>NO</x:v>
      </x:c>
      <x:c r="Y40" s="2" t="str">
        <x:f>IF(B40="","",IF(I40&lt;&gt;"READY","NOT RELEASED",IF(AND(X40="CANDIDATE",V40&gt;='Config_v6'!$B$51,W40="PASS",'Calibrare_Linii'!T12="VALIDATED",AND('Calibrare_Linii'!H12=C40,ISNUMBER('Calibrare_Linii'!J12),'Calibrare_Linii'!J12&lt;='Input_Meci'!G8)),"PASS",IF(X40="CANDIDATE","OOS PENDING","FAIL"))))</x:f>
        <x:v>FAIL</x:v>
      </x:c>
      <x:c r="Z40" s="2" t="n">
        <x:f>IF(B40="","",IF(I40&lt;&gt;"READY","",IF(OR(NOT(AND(J40="PASS",'Calibrare_Linii'!U12="VALID")),L40&gt;'Config_v6'!$B$13,W40="WATCH"),5,IF(Y40="PASS",1,MIN(5,MAX('Config_v6'!$B$42,U40)+IF(W40="PENALTY",1,0))))))</x:f>
        <x:v>2</x:v>
      </x:c>
      <x:c r="AA40" s="2" t="str">
        <x:f>IF(B40="","",IF(I40&lt;&gt;"READY","NOT RELEASED",IF(Z40=5,"NO BET",IF(OR(AB40&lt;'Config_v6'!$B$16,V40&lt;'Config_v6'!$B$18),"WATCH",IF(Z40=1,"DEFENSIV",IF(Z40=2,"PRUDENT",IF(Z40=3,"MODERAT","RIDICAT")))))))</x:f>
        <x:v>WATCH</x:v>
      </x:c>
      <x:c r="AB40" s="10" t="n">
        <x:f>IF(N40="","",MIN(N40,1-S40))</x:f>
        <x:v>0.55</x:v>
      </x:c>
      <x:c r="AC40" s="2" t="str">
        <x:f>IF(AD40&lt;&gt;1,"",COUNTIFS($Z$34:$Z$47,"&lt;"&amp;Z40,$AD$34:$AD$47,1)+COUNTIFS($Z$34:$Z$47,Z40,$AB$34:$AB$47,"&gt;"&amp;AB40,$AD$34:$AD$47,1)+COUNTIFS($Z$34:$Z$47,Z40,$AB$34:$AB$47,AB40,$V$34:$V$47,"&gt;"&amp;V40,$AD$34:$AD$47,1)+COUNTIFS($Z$34:Z40,Z40,$AB$34:AB40,AB40,$V$34:V40,V40,$AD$34:AD40,1))</x:f>
      </x:c>
      <x:c r="AD40" s="2" t="n">
        <x:f>IF(OR(AA40="DEFENSIV",AA40="PRUDENT",AA40="MODERAT",AA40="RIDICAT"),1,0)</x:f>
        <x:v>0</x:v>
      </x:c>
      <x:c r="AE40" s="2" t="str">
        <x:f>IF(AD40&lt;&gt;1,"NO",IF(W40="PASS","YES",IF(W40="OOS PENDING","CONDITIONAL","NO")))</x:f>
        <x:v>NO</x:v>
      </x:c>
      <x:c r="AF40" s="2" t="n">
        <x:f>IF(AND(AD40=1,AC40=1,E40="LIVE"),1,0)</x:f>
        <x:v>0</x:v>
      </x:c>
      <x:c r="AG40" s="2" t="str">
        <x:f>IF(AF40&lt;&gt;1,"",'Dashboard'!P28)</x:f>
      </x:c>
      <x:c r="AH40" s="2" t="str">
        <x:f>IF(B40="","",IF(J40&lt;&gt;"PASS",'Motor_Meciuri'!J8,IF('Calibrare_Linii'!U12&lt;&gt;"VALID","Parametri linie invalizi",IF(L40&gt;'Config_v6'!$B$13,"Dispersie peste limita",IF(W40="WATCH","Failure peste limita",IF(AB40&lt;'Config_v6'!$B$16,"P finala sub prag",IF(V40&lt;'Config_v6'!$B$18,"Confidence sub prag",IF(E40="REPLAY","Exemplu retrospectiv; exclus din Top LIVE",IF(Y40="PASS","DEFENSIV validat",IF(W40="OOS PENDING","Eligibil; calibrare linie in monitorizare","Eligibil"))))))))))</x:f>
        <x:v>P finala sub prag</x:v>
      </x:c>
      <x:c r="AI40" s="2" t="str">
        <x:f>IF(B40="","",'Calibrare_Linii'!V12)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10,5|1.000000|NA|NA</x:v>
      </x:c>
      <x:c r="AJ40" s="2" t="str">
        <x:f>IF(B40="","",IF(AND('Calibrare_Linii'!T12="VALIDATED",AND('Calibrare_Linii'!H12=C40,ISNUMBER('Calibrare_Linii'!J12),'Calibrare_Linii'!J12&lt;='Input_Meci'!G8)),"DEFENSIVE VALIDATED",IF(AND('Calibrare_Linii'!S12="VALIDATED",AND('Calibrare_Linii'!H12=C40,ISNUMBER('Calibrare_Linii'!J12),'Calibrare_Linii'!J12&lt;='Input_Meci'!G8)),"TAIL VALIDATED","OOS PENDING")))</x:f>
        <x:v>OOS PENDING</x:v>
      </x:c>
      <x:c r="AK40" s="2" t="n">
        <x:f>IF(J40&lt;&gt;"PASS",0,'Motor_Meciuri'!BR8)</x:f>
        <x:v>36</x:v>
      </x:c>
      <x:c r="AL40" s="2" t="n">
        <x:f>IF(J40&lt;&gt;"PASS",0,'Motor_Meciuri'!BS8)</x:f>
        <x:v>20</x:v>
      </x:c>
      <x:c r="AM40" s="2" t="n">
        <x:f>IF(J40&lt;&gt;"PASS",0,'Motor_Meciuri'!BT8)</x:f>
        <x:v>40</x:v>
      </x:c>
      <x:c r="AN40" s="2" t="n">
        <x:f>IF(M40="","",MAX(0,'Motor_Meciuri'!BF8-IF(L40&gt;'Config_v6'!$B$12,'Config_v6'!$B$37,IF(L40&gt;'Config_v6'!$B$11,'Config_v6'!$B$36,0))))</x:f>
        <x:v>90</x:v>
      </x:c>
    </x:row>
    <x:row r="41" ht="21" customHeight="1">
      <x:c r="A41" s="2" t="n">
        <x:v>3</x:v>
      </x:c>
      <x:c r="B41" s="2" t="str">
        <x:f>IF('Motor_Meciuri'!A8="","",'Motor_Meciuri'!A8)</x:f>
        <x:v>REPLAY_3</x:v>
      </x:c>
      <x:c r="C41" s="2" t="str">
        <x:f>IF(B41="","",'Motor_Meciuri'!B8)</x:f>
        <x:v>E0</x:v>
      </x:c>
      <x:c r="D41" s="2" t="str">
        <x:f>IF(B41="","",'Motor_Meciuri'!D8)</x:f>
        <x:v>Crystal Palace – Arsenal</x:v>
      </x:c>
      <x:c r="E41" s="2" t="str">
        <x:f>IF(B41="","",'Motor_Meciuri'!E8)</x:f>
        <x:v>REPLAY</x:v>
      </x:c>
      <x:c r="F41" s="2" t="str">
        <x:v>U11,5</x:v>
      </x:c>
      <x:c r="G41" s="2" t="str">
        <x:v>UNDER</x:v>
      </x:c>
      <x:c r="H41" s="2" t="n">
        <x:v>11</x:v>
      </x:c>
      <x:c r="I41" s="2" t="str">
        <x:f>IF(B41="","",'Motor_Meciuri'!H8)</x:f>
        <x:v>READY</x:v>
      </x:c>
      <x:c r="J41" s="2" t="str">
        <x:f>IF(B41="","",'Motor_Meciuri'!I8)</x:f>
        <x:v>PASS</x:v>
      </x:c>
      <x:c r="K41" s="11" t="n">
        <x:f>IF(J41&lt;&gt;"PASS","",'Motor_Meciuri'!BD8)</x:f>
        <x:v>9.505743243243243</x:v>
      </x:c>
      <x:c r="L41" s="11" t="n">
        <x:f>IF(J41&lt;&gt;"PASS","",'Motor_Meciuri'!AU8)</x:f>
        <x:v>1.3207885304659515</x:v>
      </x:c>
      <x:c r="M41" s="10" t="n">
        <x:f>IF(NOT(AND(J41="PASS",'Calibrare_Linii'!U13="VALID")),"",'Distributie'!AI8)</x:f>
        <x:v>0.7309474627618129</x:v>
      </x:c>
      <x:c r="N41" s="10" t="n">
        <x:f>IF(M41="","",MAX(0.01,MIN(0.99,0.5+(M41-0.5)*'Motor_Meciuri'!BG8*'Calibrare_Linii'!D13)))</x:f>
        <x:v>0.675410371654166</x:v>
      </x:c>
      <x:c r="O41" s="10" t="n">
        <x:f>IF(M41="","",1-M41)</x:f>
        <x:v>0.2690525372381871</x:v>
      </x:c>
      <x:c r="P41" s="10" t="n">
        <x:f>IF(OR(NOT(AND(J41="PASS",'Calibrare_Linii'!U13="VALID")),AK41=0),""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*('Istoric_Nativ'!$Q$6:$Q$405&gt;H41))/AK41)</x:f>
        <x:v>0.2222222222222222</x:v>
      </x:c>
      <x:c r="Q41" s="10" t="n">
        <x:f>IF(OR(NOT(AND(J41="PASS",'Calibrare_Linii'!U13="VALID")),AL41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M8)+((('Istoric_Nativ'!$E$6:$E$405='Input_Meci'!E8)+('Istoric_Nativ'!$F$6:$F$405='Input_Meci'!E8))&gt;0)*('Istoric_Nativ'!$D$6:$D$405&gt;='Motor_Meciuri'!BN8))&gt;0)*('Istoric_Nativ'!$Q$6:$Q$405&gt;H41))/AL41)</x:f>
        <x:v>0.3</x:v>
      </x:c>
      <x:c r="R41" s="10" t="n">
        <x:f>IF(OR(NOT(AND(J41="PASS",'Calibrare_Linii'!U13="VALID")),AM41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O8)+((('Istoric_Nativ'!$E$6:$E$405='Input_Meci'!E8)+('Istoric_Nativ'!$F$6:$F$405='Input_Meci'!E8))&gt;0)*('Istoric_Nativ'!$D$6:$D$405&gt;='Motor_Meciuri'!BP8))&gt;0)*('Istoric_Nativ'!$Q$6:$Q$405&gt;H41))/AM41)</x:f>
        <x:v>0.275</x:v>
      </x:c>
      <x:c r="S41" s="10" t="n">
        <x:f>IF(M41="","",MAX(O41,P41,Q41,R41))</x:f>
        <x:v>0.3</x:v>
      </x:c>
      <x:c r="T41" s="11" t="n">
        <x:f>IF(M41="","",MIN(100,S41*100*'Config_v6'!$B$44+MIN(100,L41/'Config_v6'!$B$13*100)*'Config_v6'!$B$45+(100-'Motor_Meciuri'!BF8)*'Config_v6'!$B$46+'Motor_Meciuri'!BH8*100*'Config_v6'!$B$47))</x:f>
        <x:v>29.74034249303068</x:v>
      </x:c>
      <x:c r="U41" s="2" t="n">
        <x:f>IF(T41="","",IF(T41&lt;=20,1,IF(T41&lt;=40,2,IF(T41&lt;=60,3,IF(T41&lt;=80,4,5)))))</x:f>
        <x:v>2</x:v>
      </x:c>
      <x:c r="V41" s="2" t="n">
        <x:f>IF(M41="","",MAX(0,'Motor_Meciuri'!BF8-IF(W41="OOS PENDING",'Config_v6'!$B$35,0)-IF(L41&gt;'Config_v6'!$B$12,'Config_v6'!$B$37,IF(L41&gt;'Config_v6'!$B$11,'Config_v6'!$B$36,0))))</x:f>
        <x:v>80</x:v>
      </x:c>
      <x:c r="W41" s="2" t="str">
        <x:f>IF(B41="","",IF(I41&lt;&gt;"READY","NOT RELEASED",IF(NOT(AND(J41="PASS",'Calibrare_Linii'!U13="VALID")),"INVALID",IF(NOT(AND('Calibrare_Linii'!S13="VALIDATED",AND('Calibrare_Linii'!H13=C41,ISNUMBER('Calibrare_Linii'!J13),'Calibrare_Linii'!J13&lt;='Input_Meci'!G8))),"OOS PENDING",IF(S41&lt;='Calibrare_Linii'!E13,"PASS",IF(S41&lt;='Calibrare_Linii'!F13,"PENALTY","WATCH"))))))</x:f>
        <x:v>OOS PENDING</x:v>
      </x:c>
      <x:c r="X41" s="2" t="str">
        <x:f>IF(M41="","",IF(AND(AND(J41="PASS",'Calibrare_Linii'!U13="VALID"),'Motor_Meciuri'!K8=12,'Motor_Meciuri'!L8=12,'Motor_Meciuri'!M8="NO",'Motor_Meciuri'!BL8='Motor_Meciuri'!C8,AB41&gt;='Config_v6'!$B$50,AN41&gt;='Config_v6'!$B$51,T41&lt;='Config_v6'!$B$52,L41&lt;='Config_v6'!$B$53,ISNUMBER('Calibrare_Linii'!E13),S41&lt;='Calibrare_Linii'!E13,SUM(AK41:AM41)&gt;0),"CANDIDATE","NO"))</x:f>
        <x:v>NO</x:v>
      </x:c>
      <x:c r="Y41" s="2" t="str">
        <x:f>IF(B41="","",IF(I41&lt;&gt;"READY","NOT RELEASED",IF(AND(X41="CANDIDATE",V41&gt;='Config_v6'!$B$51,W41="PASS",'Calibrare_Linii'!T13="VALIDATED",AND('Calibrare_Linii'!H13=C41,ISNUMBER('Calibrare_Linii'!J13),'Calibrare_Linii'!J13&lt;='Input_Meci'!G8)),"PASS",IF(X41="CANDIDATE","OOS PENDING","FAIL"))))</x:f>
        <x:v>FAIL</x:v>
      </x:c>
      <x:c r="Z41" s="2" t="n">
        <x:f>IF(B41="","",IF(I41&lt;&gt;"READY","",IF(OR(NOT(AND(J41="PASS",'Calibrare_Linii'!U13="VALID")),L41&gt;'Config_v6'!$B$13,W41="WATCH"),5,IF(Y41="PASS",1,MIN(5,MAX('Config_v6'!$B$42,U41)+IF(W41="PENALTY",1,0))))))</x:f>
        <x:v>2</x:v>
      </x:c>
      <x:c r="AA41" s="2" t="str">
        <x:f>IF(B41="","",IF(I41&lt;&gt;"READY","NOT RELEASED",IF(Z41=5,"NO BET",IF(OR(AB41&lt;'Config_v6'!$B$16,V41&lt;'Config_v6'!$B$18),"WATCH",IF(Z41=1,"DEFENSIV",IF(Z41=2,"PRUDENT",IF(Z41=3,"MODERAT","RIDICAT")))))))</x:f>
        <x:v>WATCH</x:v>
      </x:c>
      <x:c r="AB41" s="10" t="n">
        <x:f>IF(N41="","",MIN(N41,1-S41))</x:f>
        <x:v>0.675410371654166</x:v>
      </x:c>
      <x:c r="AC41" s="2" t="str">
        <x:f>IF(AD41&lt;&gt;1,"",COUNTIFS($Z$34:$Z$47,"&lt;"&amp;Z41,$AD$34:$AD$47,1)+COUNTIFS($Z$34:$Z$47,Z41,$AB$34:$AB$47,"&gt;"&amp;AB41,$AD$34:$AD$47,1)+COUNTIFS($Z$34:$Z$47,Z41,$AB$34:$AB$47,AB41,$V$34:$V$47,"&gt;"&amp;V41,$AD$34:$AD$47,1)+COUNTIFS($Z$34:Z41,Z41,$AB$34:AB41,AB41,$V$34:V41,V41,$AD$34:AD41,1))</x:f>
      </x:c>
      <x:c r="AD41" s="2" t="n">
        <x:f>IF(OR(AA41="DEFENSIV",AA41="PRUDENT",AA41="MODERAT",AA41="RIDICAT"),1,0)</x:f>
        <x:v>0</x:v>
      </x:c>
      <x:c r="AE41" s="2" t="str">
        <x:f>IF(AD41&lt;&gt;1,"NO",IF(W41="PASS","YES",IF(W41="OOS PENDING","CONDITIONAL","NO")))</x:f>
        <x:v>NO</x:v>
      </x:c>
      <x:c r="AF41" s="2" t="n">
        <x:f>IF(AND(AD41=1,AC41=1,E41="LIVE"),1,0)</x:f>
        <x:v>0</x:v>
      </x:c>
      <x:c r="AG41" s="2" t="str">
        <x:f>IF(AF41&lt;&gt;1,"",'Dashboard'!P28)</x:f>
      </x:c>
      <x:c r="AH41" s="2" t="str">
        <x:f>IF(B41="","",IF(J41&lt;&gt;"PASS",'Motor_Meciuri'!J8,IF('Calibrare_Linii'!U13&lt;&gt;"VALID","Parametri linie invalizi",IF(L41&gt;'Config_v6'!$B$13,"Dispersie peste limita",IF(W41="WATCH","Failure peste limita",IF(AB41&lt;'Config_v6'!$B$16,"P finala sub prag",IF(V41&lt;'Config_v6'!$B$18,"Confidence sub prag",IF(E41="REPLAY","Exemplu retrospectiv; exclus din Top LIVE",IF(Y41="PASS","DEFENSIV validat",IF(W41="OOS PENDING","Eligibil; calibrare linie in monitorizare","Eligibil"))))))))))</x:f>
        <x:v>P finala sub prag</x:v>
      </x:c>
      <x:c r="AI41" s="2" t="str">
        <x:f>IF(B41="","",'Calibrare_Linii'!V13)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11,5|1.000000|NA|NA</x:v>
      </x:c>
      <x:c r="AJ41" s="2" t="str">
        <x:f>IF(B41="","",IF(AND('Calibrare_Linii'!T13="VALIDATED",AND('Calibrare_Linii'!H13=C41,ISNUMBER('Calibrare_Linii'!J13),'Calibrare_Linii'!J13&lt;='Input_Meci'!G8)),"DEFENSIVE VALIDATED",IF(AND('Calibrare_Linii'!S13="VALIDATED",AND('Calibrare_Linii'!H13=C41,ISNUMBER('Calibrare_Linii'!J13),'Calibrare_Linii'!J13&lt;='Input_Meci'!G8)),"TAIL VALIDATED","OOS PENDING")))</x:f>
        <x:v>OOS PENDING</x:v>
      </x:c>
      <x:c r="AK41" s="2" t="n">
        <x:f>IF(J41&lt;&gt;"PASS",0,'Motor_Meciuri'!BR8)</x:f>
        <x:v>36</x:v>
      </x:c>
      <x:c r="AL41" s="2" t="n">
        <x:f>IF(J41&lt;&gt;"PASS",0,'Motor_Meciuri'!BS8)</x:f>
        <x:v>20</x:v>
      </x:c>
      <x:c r="AM41" s="2" t="n">
        <x:f>IF(J41&lt;&gt;"PASS",0,'Motor_Meciuri'!BT8)</x:f>
        <x:v>40</x:v>
      </x:c>
      <x:c r="AN41" s="2" t="n">
        <x:f>IF(M41="","",MAX(0,'Motor_Meciuri'!BF8-IF(L41&gt;'Config_v6'!$B$12,'Config_v6'!$B$37,IF(L41&gt;'Config_v6'!$B$11,'Config_v6'!$B$36,0))))</x:f>
        <x:v>90</x:v>
      </x:c>
    </x:row>
    <x:row r="42" ht="21" customHeight="1">
      <x:c r="A42" s="2" t="n">
        <x:v>3</x:v>
      </x:c>
      <x:c r="B42" s="2" t="str">
        <x:f>IF('Motor_Meciuri'!A8="","",'Motor_Meciuri'!A8)</x:f>
        <x:v>REPLAY_3</x:v>
      </x:c>
      <x:c r="C42" s="2" t="str">
        <x:f>IF(B42="","",'Motor_Meciuri'!B8)</x:f>
        <x:v>E0</x:v>
      </x:c>
      <x:c r="D42" s="2" t="str">
        <x:f>IF(B42="","",'Motor_Meciuri'!D8)</x:f>
        <x:v>Crystal Palace – Arsenal</x:v>
      </x:c>
      <x:c r="E42" s="2" t="str">
        <x:f>IF(B42="","",'Motor_Meciuri'!E8)</x:f>
        <x:v>REPLAY</x:v>
      </x:c>
      <x:c r="F42" s="2" t="str">
        <x:v>U12,5</x:v>
      </x:c>
      <x:c r="G42" s="2" t="str">
        <x:v>UNDER</x:v>
      </x:c>
      <x:c r="H42" s="2" t="n">
        <x:v>12</x:v>
      </x:c>
      <x:c r="I42" s="2" t="str">
        <x:f>IF(B42="","",'Motor_Meciuri'!H8)</x:f>
        <x:v>READY</x:v>
      </x:c>
      <x:c r="J42" s="2" t="str">
        <x:f>IF(B42="","",'Motor_Meciuri'!I8)</x:f>
        <x:v>PASS</x:v>
      </x:c>
      <x:c r="K42" s="11" t="n">
        <x:f>IF(J42&lt;&gt;"PASS","",'Motor_Meciuri'!BD8)</x:f>
        <x:v>9.505743243243243</x:v>
      </x:c>
      <x:c r="L42" s="11" t="n">
        <x:f>IF(J42&lt;&gt;"PASS","",'Motor_Meciuri'!AU8)</x:f>
        <x:v>1.3207885304659515</x:v>
      </x:c>
      <x:c r="M42" s="10" t="n">
        <x:f>IF(NOT(AND(J42="PASS",'Calibrare_Linii'!U14="VALID")),"",'Distributie'!AJ8)</x:f>
        <x:v>0.8078890118662738</x:v>
      </x:c>
      <x:c r="N42" s="10" t="n">
        <x:f>IF(M42="","",MAX(0.01,MIN(0.99,0.5+(M42-0.5)*'Motor_Meciuri'!BG8*'Calibrare_Linii'!D14)))</x:f>
        <x:v>0.7338494017377316</x:v>
      </x:c>
      <x:c r="O42" s="10" t="n">
        <x:f>IF(M42="","",1-M42)</x:f>
        <x:v>0.19211098813372618</x:v>
      </x:c>
      <x:c r="P42" s="10" t="n">
        <x:f>IF(OR(NOT(AND(J42="PASS",'Calibrare_Linii'!U14="VALID")),AK42=0),""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*('Istoric_Nativ'!$Q$6:$Q$405&gt;H42))/AK42)</x:f>
        <x:v>0.16666666666666666</x:v>
      </x:c>
      <x:c r="Q42" s="10" t="n">
        <x:f>IF(OR(NOT(AND(J42="PASS",'Calibrare_Linii'!U14="VALID")),AL42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M8)+((('Istoric_Nativ'!$E$6:$E$405='Input_Meci'!E8)+('Istoric_Nativ'!$F$6:$F$405='Input_Meci'!E8))&gt;0)*('Istoric_Nativ'!$D$6:$D$405&gt;='Motor_Meciuri'!BN8))&gt;0)*('Istoric_Nativ'!$Q$6:$Q$405&gt;H42))/AL42)</x:f>
        <x:v>0.3</x:v>
      </x:c>
      <x:c r="R42" s="10" t="n">
        <x:f>IF(OR(NOT(AND(J42="PASS",'Calibrare_Linii'!U14="VALID")),AM42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O8)+((('Istoric_Nativ'!$E$6:$E$405='Input_Meci'!E8)+('Istoric_Nativ'!$F$6:$F$405='Input_Meci'!E8))&gt;0)*('Istoric_Nativ'!$D$6:$D$405&gt;='Motor_Meciuri'!BP8))&gt;0)*('Istoric_Nativ'!$Q$6:$Q$405&gt;H42))/AM42)</x:f>
        <x:v>0.225</x:v>
      </x:c>
      <x:c r="S42" s="10" t="n">
        <x:f>IF(M42="","",MAX(O42,P42,Q42,R42))</x:f>
        <x:v>0.3</x:v>
      </x:c>
      <x:c r="T42" s="11" t="n">
        <x:f>IF(M42="","",MIN(100,S42*100*'Config_v6'!$B$44+MIN(100,L42/'Config_v6'!$B$13*100)*'Config_v6'!$B$45+(100-'Motor_Meciuri'!BF8)*'Config_v6'!$B$46+'Motor_Meciuri'!BH8*100*'Config_v6'!$B$47))</x:f>
        <x:v>29.74034249303068</x:v>
      </x:c>
      <x:c r="U42" s="2" t="n">
        <x:f>IF(T42="","",IF(T42&lt;=20,1,IF(T42&lt;=40,2,IF(T42&lt;=60,3,IF(T42&lt;=80,4,5)))))</x:f>
        <x:v>2</x:v>
      </x:c>
      <x:c r="V42" s="2" t="n">
        <x:f>IF(M42="","",MAX(0,'Motor_Meciuri'!BF8-IF(W42="OOS PENDING",'Config_v6'!$B$35,0)-IF(L42&gt;'Config_v6'!$B$12,'Config_v6'!$B$37,IF(L42&gt;'Config_v6'!$B$11,'Config_v6'!$B$36,0))))</x:f>
        <x:v>80</x:v>
      </x:c>
      <x:c r="W42" s="2" t="str">
        <x:f>IF(B42="","",IF(I42&lt;&gt;"READY","NOT RELEASED",IF(NOT(AND(J42="PASS",'Calibrare_Linii'!U14="VALID")),"INVALID",IF(NOT(AND('Calibrare_Linii'!S14="VALIDATED",AND('Calibrare_Linii'!H14=C42,ISNUMBER('Calibrare_Linii'!J14),'Calibrare_Linii'!J14&lt;='Input_Meci'!G8))),"OOS PENDING",IF(S42&lt;='Calibrare_Linii'!E14,"PASS",IF(S42&lt;='Calibrare_Linii'!F14,"PENALTY","WATCH"))))))</x:f>
        <x:v>OOS PENDING</x:v>
      </x:c>
      <x:c r="X42" s="2" t="str">
        <x:f>IF(M42="","",IF(AND(AND(J42="PASS",'Calibrare_Linii'!U14="VALID"),'Motor_Meciuri'!K8=12,'Motor_Meciuri'!L8=12,'Motor_Meciuri'!M8="NO",'Motor_Meciuri'!BL8='Motor_Meciuri'!C8,AB42&gt;='Config_v6'!$B$50,AN42&gt;='Config_v6'!$B$51,T42&lt;='Config_v6'!$B$52,L42&lt;='Config_v6'!$B$53,ISNUMBER('Calibrare_Linii'!E14),S42&lt;='Calibrare_Linii'!E14,SUM(AK42:AM42)&gt;0),"CANDIDATE","NO"))</x:f>
        <x:v>NO</x:v>
      </x:c>
      <x:c r="Y42" s="2" t="str">
        <x:f>IF(B42="","",IF(I42&lt;&gt;"READY","NOT RELEASED",IF(AND(X42="CANDIDATE",V42&gt;='Config_v6'!$B$51,W42="PASS",'Calibrare_Linii'!T14="VALIDATED",AND('Calibrare_Linii'!H14=C42,ISNUMBER('Calibrare_Linii'!J14),'Calibrare_Linii'!J14&lt;='Input_Meci'!G8)),"PASS",IF(X42="CANDIDATE","OOS PENDING","FAIL"))))</x:f>
        <x:v>FAIL</x:v>
      </x:c>
      <x:c r="Z42" s="2" t="n">
        <x:f>IF(B42="","",IF(I42&lt;&gt;"READY","",IF(OR(NOT(AND(J42="PASS",'Calibrare_Linii'!U14="VALID")),L42&gt;'Config_v6'!$B$13,W42="WATCH"),5,IF(Y42="PASS",1,MIN(5,MAX('Config_v6'!$B$42,U42)+IF(W42="PENALTY",1,0))))))</x:f>
        <x:v>2</x:v>
      </x:c>
      <x:c r="AA42" s="2" t="str">
        <x:f>IF(B42="","",IF(I42&lt;&gt;"READY","NOT RELEASED",IF(Z42=5,"NO BET",IF(OR(AB42&lt;'Config_v6'!$B$16,V42&lt;'Config_v6'!$B$18),"WATCH",IF(Z42=1,"DEFENSIV",IF(Z42=2,"PRUDENT",IF(Z42=3,"MODERAT","RIDICAT")))))))</x:f>
        <x:v>WATCH</x:v>
      </x:c>
      <x:c r="AB42" s="10" t="n">
        <x:f>IF(N42="","",MIN(N42,1-S42))</x:f>
        <x:v>0.7</x:v>
      </x:c>
      <x:c r="AC42" s="2" t="str">
        <x:f>IF(AD42&lt;&gt;1,"",COUNTIFS($Z$34:$Z$47,"&lt;"&amp;Z42,$AD$34:$AD$47,1)+COUNTIFS($Z$34:$Z$47,Z42,$AB$34:$AB$47,"&gt;"&amp;AB42,$AD$34:$AD$47,1)+COUNTIFS($Z$34:$Z$47,Z42,$AB$34:$AB$47,AB42,$V$34:$V$47,"&gt;"&amp;V42,$AD$34:$AD$47,1)+COUNTIFS($Z$34:Z42,Z42,$AB$34:AB42,AB42,$V$34:V42,V42,$AD$34:AD42,1))</x:f>
      </x:c>
      <x:c r="AD42" s="2" t="n">
        <x:f>IF(OR(AA42="DEFENSIV",AA42="PRUDENT",AA42="MODERAT",AA42="RIDICAT"),1,0)</x:f>
        <x:v>0</x:v>
      </x:c>
      <x:c r="AE42" s="2" t="str">
        <x:f>IF(AD42&lt;&gt;1,"NO",IF(W42="PASS","YES",IF(W42="OOS PENDING","CONDITIONAL","NO")))</x:f>
        <x:v>NO</x:v>
      </x:c>
      <x:c r="AF42" s="2" t="n">
        <x:f>IF(AND(AD42=1,AC42=1,E42="LIVE"),1,0)</x:f>
        <x:v>0</x:v>
      </x:c>
      <x:c r="AG42" s="2" t="str">
        <x:f>IF(AF42&lt;&gt;1,"",'Dashboard'!P28)</x:f>
      </x:c>
      <x:c r="AH42" s="2" t="str">
        <x:f>IF(B42="","",IF(J42&lt;&gt;"PASS",'Motor_Meciuri'!J8,IF('Calibrare_Linii'!U14&lt;&gt;"VALID","Parametri linie invalizi",IF(L42&gt;'Config_v6'!$B$13,"Dispersie peste limita",IF(W42="WATCH","Failure peste limita",IF(AB42&lt;'Config_v6'!$B$16,"P finala sub prag",IF(V42&lt;'Config_v6'!$B$18,"Confidence sub prag",IF(E42="REPLAY","Exemplu retrospectiv; exclus din Top LIVE",IF(Y42="PASS","DEFENSIV validat",IF(W42="OOS PENDING","Eligibil; calibrare linie in monitorizare","Eligibil"))))))))))</x:f>
        <x:v>P finala sub prag</x:v>
      </x:c>
      <x:c r="AI42" s="2" t="str">
        <x:f>IF(B42="","",'Calibrare_Linii'!V14)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12,5|1.000000|NA|NA</x:v>
      </x:c>
      <x:c r="AJ42" s="2" t="str">
        <x:f>IF(B42="","",IF(AND('Calibrare_Linii'!T14="VALIDATED",AND('Calibrare_Linii'!H14=C42,ISNUMBER('Calibrare_Linii'!J14),'Calibrare_Linii'!J14&lt;='Input_Meci'!G8)),"DEFENSIVE VALIDATED",IF(AND('Calibrare_Linii'!S14="VALIDATED",AND('Calibrare_Linii'!H14=C42,ISNUMBER('Calibrare_Linii'!J14),'Calibrare_Linii'!J14&lt;='Input_Meci'!G8)),"TAIL VALIDATED","OOS PENDING")))</x:f>
        <x:v>OOS PENDING</x:v>
      </x:c>
      <x:c r="AK42" s="2" t="n">
        <x:f>IF(J42&lt;&gt;"PASS",0,'Motor_Meciuri'!BR8)</x:f>
        <x:v>36</x:v>
      </x:c>
      <x:c r="AL42" s="2" t="n">
        <x:f>IF(J42&lt;&gt;"PASS",0,'Motor_Meciuri'!BS8)</x:f>
        <x:v>20</x:v>
      </x:c>
      <x:c r="AM42" s="2" t="n">
        <x:f>IF(J42&lt;&gt;"PASS",0,'Motor_Meciuri'!BT8)</x:f>
        <x:v>40</x:v>
      </x:c>
      <x:c r="AN42" s="2" t="n">
        <x:f>IF(M42="","",MAX(0,'Motor_Meciuri'!BF8-IF(L42&gt;'Config_v6'!$B$12,'Config_v6'!$B$37,IF(L42&gt;'Config_v6'!$B$11,'Config_v6'!$B$36,0))))</x:f>
        <x:v>90</x:v>
      </x:c>
    </x:row>
    <x:row r="43" ht="21" customHeight="1">
      <x:c r="A43" s="2" t="n">
        <x:v>3</x:v>
      </x:c>
      <x:c r="B43" s="2" t="str">
        <x:f>IF('Motor_Meciuri'!A8="","",'Motor_Meciuri'!A8)</x:f>
        <x:v>REPLAY_3</x:v>
      </x:c>
      <x:c r="C43" s="2" t="str">
        <x:f>IF(B43="","",'Motor_Meciuri'!B8)</x:f>
        <x:v>E0</x:v>
      </x:c>
      <x:c r="D43" s="2" t="str">
        <x:f>IF(B43="","",'Motor_Meciuri'!D8)</x:f>
        <x:v>Crystal Palace – Arsenal</x:v>
      </x:c>
      <x:c r="E43" s="2" t="str">
        <x:f>IF(B43="","",'Motor_Meciuri'!E8)</x:f>
        <x:v>REPLAY</x:v>
      </x:c>
      <x:c r="F43" s="2" t="str">
        <x:v>U13,5</x:v>
      </x:c>
      <x:c r="G43" s="2" t="str">
        <x:v>UNDER</x:v>
      </x:c>
      <x:c r="H43" s="2" t="n">
        <x:v>13</x:v>
      </x:c>
      <x:c r="I43" s="2" t="str">
        <x:f>IF(B43="","",'Motor_Meciuri'!H8)</x:f>
        <x:v>READY</x:v>
      </x:c>
      <x:c r="J43" s="2" t="str">
        <x:f>IF(B43="","",'Motor_Meciuri'!I8)</x:f>
        <x:v>PASS</x:v>
      </x:c>
      <x:c r="K43" s="11" t="n">
        <x:f>IF(J43&lt;&gt;"PASS","",'Motor_Meciuri'!BD8)</x:f>
        <x:v>9.505743243243243</x:v>
      </x:c>
      <x:c r="L43" s="11" t="n">
        <x:f>IF(J43&lt;&gt;"PASS","",'Motor_Meciuri'!AU8)</x:f>
        <x:v>1.3207885304659515</x:v>
      </x:c>
      <x:c r="M43" s="10" t="n">
        <x:f>IF(NOT(AND(J43="PASS",'Calibrare_Linii'!U15="VALID")),"",'Distributie'!AK8)</x:f>
        <x:v>0.8677822182157632</x:v>
      </x:c>
      <x:c r="N43" s="10" t="n">
        <x:f>IF(M43="","",MAX(0.01,MIN(0.99,0.5+(M43-0.5)*'Motor_Meciuri'!BG8*'Calibrare_Linii'!D15)))</x:f>
        <x:v>0.7793397892903275</x:v>
      </x:c>
      <x:c r="O43" s="10" t="n">
        <x:f>IF(M43="","",1-M43)</x:f>
        <x:v>0.13221778178423682</x:v>
      </x:c>
      <x:c r="P43" s="10" t="n">
        <x:f>IF(OR(NOT(AND(J43="PASS",'Calibrare_Linii'!U15="VALID")),AK43=0),""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*('Istoric_Nativ'!$Q$6:$Q$405&gt;H43))/AK43)</x:f>
        <x:v>0.1111111111111111</x:v>
      </x:c>
      <x:c r="Q43" s="10" t="n">
        <x:f>IF(OR(NOT(AND(J43="PASS",'Calibrare_Linii'!U15="VALID")),AL43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M8)+((('Istoric_Nativ'!$E$6:$E$405='Input_Meci'!E8)+('Istoric_Nativ'!$F$6:$F$405='Input_Meci'!E8))&gt;0)*('Istoric_Nativ'!$D$6:$D$405&gt;='Motor_Meciuri'!BN8))&gt;0)*('Istoric_Nativ'!$Q$6:$Q$405&gt;H43))/AL43)</x:f>
        <x:v>0.1</x:v>
      </x:c>
      <x:c r="R43" s="10" t="n">
        <x:f>IF(OR(NOT(AND(J43="PASS",'Calibrare_Linii'!U15="VALID")),AM43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O8)+((('Istoric_Nativ'!$E$6:$E$405='Input_Meci'!E8)+('Istoric_Nativ'!$F$6:$F$405='Input_Meci'!E8))&gt;0)*('Istoric_Nativ'!$D$6:$D$405&gt;='Motor_Meciuri'!BP8))&gt;0)*('Istoric_Nativ'!$Q$6:$Q$405&gt;H43))/AM43)</x:f>
        <x:v>0.1</x:v>
      </x:c>
      <x:c r="S43" s="10" t="n">
        <x:f>IF(M43="","",MAX(O43,P43,Q43,R43))</x:f>
        <x:v>0.13221778178423682</x:v>
      </x:c>
      <x:c r="T43" s="11" t="n">
        <x:f>IF(M43="","",MIN(100,S43*100*'Config_v6'!$B$44+MIN(100,L43/'Config_v6'!$B$13*100)*'Config_v6'!$B$45+(100-'Motor_Meciuri'!BF8)*'Config_v6'!$B$46+'Motor_Meciuri'!BH8*100*'Config_v6'!$B$47))</x:f>
        <x:v>20.512320491163706</x:v>
      </x:c>
      <x:c r="U43" s="2" t="n">
        <x:f>IF(T43="","",IF(T43&lt;=20,1,IF(T43&lt;=40,2,IF(T43&lt;=60,3,IF(T43&lt;=80,4,5)))))</x:f>
        <x:v>2</x:v>
      </x:c>
      <x:c r="V43" s="2" t="n">
        <x:f>IF(M43="","",MAX(0,'Motor_Meciuri'!BF8-IF(W43="OOS PENDING",'Config_v6'!$B$35,0)-IF(L43&gt;'Config_v6'!$B$12,'Config_v6'!$B$37,IF(L43&gt;'Config_v6'!$B$11,'Config_v6'!$B$36,0))))</x:f>
        <x:v>80</x:v>
      </x:c>
      <x:c r="W43" s="2" t="str">
        <x:f>IF(B43="","",IF(I43&lt;&gt;"READY","NOT RELEASED",IF(NOT(AND(J43="PASS",'Calibrare_Linii'!U15="VALID")),"INVALID",IF(NOT(AND('Calibrare_Linii'!S15="VALIDATED",AND('Calibrare_Linii'!H15=C43,ISNUMBER('Calibrare_Linii'!J15),'Calibrare_Linii'!J15&lt;='Input_Meci'!G8))),"OOS PENDING",IF(S43&lt;='Calibrare_Linii'!E15,"PASS",IF(S43&lt;='Calibrare_Linii'!F15,"PENALTY","WATCH"))))))</x:f>
        <x:v>OOS PENDING</x:v>
      </x:c>
      <x:c r="X43" s="2" t="str">
        <x:f>IF(M43="","",IF(AND(AND(J43="PASS",'Calibrare_Linii'!U15="VALID"),'Motor_Meciuri'!K8=12,'Motor_Meciuri'!L8=12,'Motor_Meciuri'!M8="NO",'Motor_Meciuri'!BL8='Motor_Meciuri'!C8,AB43&gt;='Config_v6'!$B$50,AN43&gt;='Config_v6'!$B$51,T43&lt;='Config_v6'!$B$52,L43&lt;='Config_v6'!$B$53,ISNUMBER('Calibrare_Linii'!E15),S43&lt;='Calibrare_Linii'!E15,SUM(AK43:AM43)&gt;0),"CANDIDATE","NO"))</x:f>
        <x:v>NO</x:v>
      </x:c>
      <x:c r="Y43" s="2" t="str">
        <x:f>IF(B43="","",IF(I43&lt;&gt;"READY","NOT RELEASED",IF(AND(X43="CANDIDATE",V43&gt;='Config_v6'!$B$51,W43="PASS",'Calibrare_Linii'!T15="VALIDATED",AND('Calibrare_Linii'!H15=C43,ISNUMBER('Calibrare_Linii'!J15),'Calibrare_Linii'!J15&lt;='Input_Meci'!G8)),"PASS",IF(X43="CANDIDATE","OOS PENDING","FAIL"))))</x:f>
        <x:v>FAIL</x:v>
      </x:c>
      <x:c r="Z43" s="2" t="n">
        <x:f>IF(B43="","",IF(I43&lt;&gt;"READY","",IF(OR(NOT(AND(J43="PASS",'Calibrare_Linii'!U15="VALID")),L43&gt;'Config_v6'!$B$13,W43="WATCH"),5,IF(Y43="PASS",1,MIN(5,MAX('Config_v6'!$B$42,U43)+IF(W43="PENALTY",1,0))))))</x:f>
        <x:v>2</x:v>
      </x:c>
      <x:c r="AA43" s="2" t="str">
        <x:f>IF(B43="","",IF(I43&lt;&gt;"READY","NOT RELEASED",IF(Z43=5,"NO BET",IF(OR(AB43&lt;'Config_v6'!$B$16,V43&lt;'Config_v6'!$B$18),"WATCH",IF(Z43=1,"DEFENSIV",IF(Z43=2,"PRUDENT",IF(Z43=3,"MODERAT","RIDICAT")))))))</x:f>
        <x:v>PRUDENT</x:v>
      </x:c>
      <x:c r="AB43" s="10" t="n">
        <x:f>IF(N43="","",MIN(N43,1-S43))</x:f>
        <x:v>0.7793397892903275</x:v>
      </x:c>
      <x:c r="AC43" s="2" t="n">
        <x:f>IF(AD43&lt;&gt;1,"",COUNTIFS($Z$34:$Z$47,"&lt;"&amp;Z43,$AD$34:$AD$47,1)+COUNTIFS($Z$34:$Z$47,Z43,$AB$34:$AB$47,"&gt;"&amp;AB43,$AD$34:$AD$47,1)+COUNTIFS($Z$34:$Z$47,Z43,$AB$34:$AB$47,AB43,$V$34:$V$47,"&gt;"&amp;V43,$AD$34:$AD$47,1)+COUNTIFS($Z$34:Z43,Z43,$AB$34:AB43,AB43,$V$34:V43,V43,$AD$34:AD43,1))</x:f>
        <x:v>8</x:v>
      </x:c>
      <x:c r="AD43" s="2" t="n">
        <x:f>IF(OR(AA43="DEFENSIV",AA43="PRUDENT",AA43="MODERAT",AA43="RIDICAT"),1,0)</x:f>
        <x:v>1</x:v>
      </x:c>
      <x:c r="AE43" s="2" t="str">
        <x:f>IF(AD43&lt;&gt;1,"NO",IF(W43="PASS","YES",IF(W43="OOS PENDING","CONDITIONAL","NO")))</x:f>
        <x:v>CONDITIONAL</x:v>
      </x:c>
      <x:c r="AF43" s="2" t="n">
        <x:f>IF(AND(AD43=1,AC43=1,E43="LIVE"),1,0)</x:f>
        <x:v>0</x:v>
      </x:c>
      <x:c r="AG43" s="2" t="str">
        <x:f>IF(AF43&lt;&gt;1,"",'Dashboard'!P28)</x:f>
      </x:c>
      <x:c r="AH43" s="2" t="str">
        <x:f>IF(B43="","",IF(J43&lt;&gt;"PASS",'Motor_Meciuri'!J8,IF('Calibrare_Linii'!U15&lt;&gt;"VALID","Parametri linie invalizi",IF(L43&gt;'Config_v6'!$B$13,"Dispersie peste limita",IF(W43="WATCH","Failure peste limita",IF(AB43&lt;'Config_v6'!$B$16,"P finala sub prag",IF(V43&lt;'Config_v6'!$B$18,"Confidence sub prag",IF(E43="REPLAY","Exemplu retrospectiv; exclus din Top LIVE",IF(Y43="PASS","DEFENSIV validat",IF(W43="OOS PENDING","Eligibil; calibrare linie in monitorizare","Eligibil"))))))))))</x:f>
        <x:v>Exemplu retrospectiv; exclus din Top LIVE</x:v>
      </x:c>
      <x:c r="AI43" s="2" t="str">
        <x:f>IF(B43="","",'Calibrare_Linii'!V15)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13,5|1.000000|NA|NA</x:v>
      </x:c>
      <x:c r="AJ43" s="2" t="str">
        <x:f>IF(B43="","",IF(AND('Calibrare_Linii'!T15="VALIDATED",AND('Calibrare_Linii'!H15=C43,ISNUMBER('Calibrare_Linii'!J15),'Calibrare_Linii'!J15&lt;='Input_Meci'!G8)),"DEFENSIVE VALIDATED",IF(AND('Calibrare_Linii'!S15="VALIDATED",AND('Calibrare_Linii'!H15=C43,ISNUMBER('Calibrare_Linii'!J15),'Calibrare_Linii'!J15&lt;='Input_Meci'!G8)),"TAIL VALIDATED","OOS PENDING")))</x:f>
        <x:v>OOS PENDING</x:v>
      </x:c>
      <x:c r="AK43" s="2" t="n">
        <x:f>IF(J43&lt;&gt;"PASS",0,'Motor_Meciuri'!BR8)</x:f>
        <x:v>36</x:v>
      </x:c>
      <x:c r="AL43" s="2" t="n">
        <x:f>IF(J43&lt;&gt;"PASS",0,'Motor_Meciuri'!BS8)</x:f>
        <x:v>20</x:v>
      </x:c>
      <x:c r="AM43" s="2" t="n">
        <x:f>IF(J43&lt;&gt;"PASS",0,'Motor_Meciuri'!BT8)</x:f>
        <x:v>40</x:v>
      </x:c>
      <x:c r="AN43" s="2" t="n">
        <x:f>IF(M43="","",MAX(0,'Motor_Meciuri'!BF8-IF(L43&gt;'Config_v6'!$B$12,'Config_v6'!$B$37,IF(L43&gt;'Config_v6'!$B$11,'Config_v6'!$B$36,0))))</x:f>
        <x:v>90</x:v>
      </x:c>
    </x:row>
    <x:row r="44" ht="21" customHeight="1">
      <x:c r="A44" s="2" t="n">
        <x:v>3</x:v>
      </x:c>
      <x:c r="B44" s="2" t="str">
        <x:f>IF('Motor_Meciuri'!A8="","",'Motor_Meciuri'!A8)</x:f>
        <x:v>REPLAY_3</x:v>
      </x:c>
      <x:c r="C44" s="2" t="str">
        <x:f>IF(B44="","",'Motor_Meciuri'!B8)</x:f>
        <x:v>E0</x:v>
      </x:c>
      <x:c r="D44" s="2" t="str">
        <x:f>IF(B44="","",'Motor_Meciuri'!D8)</x:f>
        <x:v>Crystal Palace – Arsenal</x:v>
      </x:c>
      <x:c r="E44" s="2" t="str">
        <x:f>IF(B44="","",'Motor_Meciuri'!E8)</x:f>
        <x:v>REPLAY</x:v>
      </x:c>
      <x:c r="F44" s="2" t="str">
        <x:v>U14,5</x:v>
      </x:c>
      <x:c r="G44" s="2" t="str">
        <x:v>UNDER</x:v>
      </x:c>
      <x:c r="H44" s="2" t="n">
        <x:v>14</x:v>
      </x:c>
      <x:c r="I44" s="2" t="str">
        <x:f>IF(B44="","",'Motor_Meciuri'!H8)</x:f>
        <x:v>READY</x:v>
      </x:c>
      <x:c r="J44" s="2" t="str">
        <x:f>IF(B44="","",'Motor_Meciuri'!I8)</x:f>
        <x:v>PASS</x:v>
      </x:c>
      <x:c r="K44" s="11" t="n">
        <x:f>IF(J44&lt;&gt;"PASS","",'Motor_Meciuri'!BD8)</x:f>
        <x:v>9.505743243243243</x:v>
      </x:c>
      <x:c r="L44" s="11" t="n">
        <x:f>IF(J44&lt;&gt;"PASS","",'Motor_Meciuri'!AU8)</x:f>
        <x:v>1.3207885304659515</x:v>
      </x:c>
      <x:c r="M44" s="10" t="n">
        <x:f>IF(NOT(AND(J44="PASS",'Calibrare_Linii'!U16="VALID")),"",'Distributie'!AL8)</x:f>
        <x:v>0.9121271418521499</x:v>
      </x:c>
      <x:c r="N44" s="10" t="n">
        <x:f>IF(M44="","",MAX(0.01,MIN(0.99,0.5+(M44-0.5)*'Motor_Meciuri'!BG8*'Calibrare_Linii'!D16)))</x:f>
        <x:v>0.8130208674152541</x:v>
      </x:c>
      <x:c r="O44" s="10" t="n">
        <x:f>IF(M44="","",1-M44)</x:f>
        <x:v>0.08787285814785006</x:v>
      </x:c>
      <x:c r="P44" s="10" t="n">
        <x:f>IF(OR(NOT(AND(J44="PASS",'Calibrare_Linii'!U16="VALID")),AK44=0),""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*('Istoric_Nativ'!$Q$6:$Q$405&gt;H44))/AK44)</x:f>
        <x:v>0.1111111111111111</x:v>
      </x:c>
      <x:c r="Q44" s="10" t="n">
        <x:f>IF(OR(NOT(AND(J44="PASS",'Calibrare_Linii'!U16="VALID")),AL44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M8)+((('Istoric_Nativ'!$E$6:$E$405='Input_Meci'!E8)+('Istoric_Nativ'!$F$6:$F$405='Input_Meci'!E8))&gt;0)*('Istoric_Nativ'!$D$6:$D$405&gt;='Motor_Meciuri'!BN8))&gt;0)*('Istoric_Nativ'!$Q$6:$Q$405&gt;H44))/AL44)</x:f>
        <x:v>0.1</x:v>
      </x:c>
      <x:c r="R44" s="10" t="n">
        <x:f>IF(OR(NOT(AND(J44="PASS",'Calibrare_Linii'!U16="VALID")),AM44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O8)+((('Istoric_Nativ'!$E$6:$E$405='Input_Meci'!E8)+('Istoric_Nativ'!$F$6:$F$405='Input_Meci'!E8))&gt;0)*('Istoric_Nativ'!$D$6:$D$405&gt;='Motor_Meciuri'!BP8))&gt;0)*('Istoric_Nativ'!$Q$6:$Q$405&gt;H44))/AM44)</x:f>
        <x:v>0.075</x:v>
      </x:c>
      <x:c r="S44" s="10" t="n">
        <x:f>IF(M44="","",MAX(O44,P44,Q44,R44))</x:f>
        <x:v>0.1111111111111111</x:v>
      </x:c>
      <x:c r="T44" s="11" t="n">
        <x:f>IF(M44="","",MIN(100,S44*100*'Config_v6'!$B$44+MIN(100,L44/'Config_v6'!$B$13*100)*'Config_v6'!$B$45+(100-'Motor_Meciuri'!BF8)*'Config_v6'!$B$46+'Motor_Meciuri'!BH8*100*'Config_v6'!$B$47))</x:f>
        <x:v>19.351453604141792</x:v>
      </x:c>
      <x:c r="U44" s="2" t="n">
        <x:f>IF(T44="","",IF(T44&lt;=20,1,IF(T44&lt;=40,2,IF(T44&lt;=60,3,IF(T44&lt;=80,4,5)))))</x:f>
        <x:v>1</x:v>
      </x:c>
      <x:c r="V44" s="2" t="n">
        <x:f>IF(M44="","",MAX(0,'Motor_Meciuri'!BF8-IF(W44="OOS PENDING",'Config_v6'!$B$35,0)-IF(L44&gt;'Config_v6'!$B$12,'Config_v6'!$B$37,IF(L44&gt;'Config_v6'!$B$11,'Config_v6'!$B$36,0))))</x:f>
        <x:v>80</x:v>
      </x:c>
      <x:c r="W44" s="2" t="str">
        <x:f>IF(B44="","",IF(I44&lt;&gt;"READY","NOT RELEASED",IF(NOT(AND(J44="PASS",'Calibrare_Linii'!U16="VALID")),"INVALID",IF(NOT(AND('Calibrare_Linii'!S16="VALIDATED",AND('Calibrare_Linii'!H16=C44,ISNUMBER('Calibrare_Linii'!J16),'Calibrare_Linii'!J16&lt;='Input_Meci'!G8))),"OOS PENDING",IF(S44&lt;='Calibrare_Linii'!E16,"PASS",IF(S44&lt;='Calibrare_Linii'!F16,"PENALTY","WATCH"))))))</x:f>
        <x:v>OOS PENDING</x:v>
      </x:c>
      <x:c r="X44" s="2" t="str">
        <x:f>IF(M44="","",IF(AND(AND(J44="PASS",'Calibrare_Linii'!U16="VALID"),'Motor_Meciuri'!K8=12,'Motor_Meciuri'!L8=12,'Motor_Meciuri'!M8="NO",'Motor_Meciuri'!BL8='Motor_Meciuri'!C8,AB44&gt;='Config_v6'!$B$50,AN44&gt;='Config_v6'!$B$51,T44&lt;='Config_v6'!$B$52,L44&lt;='Config_v6'!$B$53,ISNUMBER('Calibrare_Linii'!E16),S44&lt;='Calibrare_Linii'!E16,SUM(AK44:AM44)&gt;0),"CANDIDATE","NO"))</x:f>
        <x:v>NO</x:v>
      </x:c>
      <x:c r="Y44" s="2" t="str">
        <x:f>IF(B44="","",IF(I44&lt;&gt;"READY","NOT RELEASED",IF(AND(X44="CANDIDATE",V44&gt;='Config_v6'!$B$51,W44="PASS",'Calibrare_Linii'!T16="VALIDATED",AND('Calibrare_Linii'!H16=C44,ISNUMBER('Calibrare_Linii'!J16),'Calibrare_Linii'!J16&lt;='Input_Meci'!G8)),"PASS",IF(X44="CANDIDATE","OOS PENDING","FAIL"))))</x:f>
        <x:v>FAIL</x:v>
      </x:c>
      <x:c r="Z44" s="2" t="n">
        <x:f>IF(B44="","",IF(I44&lt;&gt;"READY","",IF(OR(NOT(AND(J44="PASS",'Calibrare_Linii'!U16="VALID")),L44&gt;'Config_v6'!$B$13,W44="WATCH"),5,IF(Y44="PASS",1,MIN(5,MAX('Config_v6'!$B$42,U44)+IF(W44="PENALTY",1,0))))))</x:f>
        <x:v>2</x:v>
      </x:c>
      <x:c r="AA44" s="2" t="str">
        <x:f>IF(B44="","",IF(I44&lt;&gt;"READY","NOT RELEASED",IF(Z44=5,"NO BET",IF(OR(AB44&lt;'Config_v6'!$B$16,V44&lt;'Config_v6'!$B$18),"WATCH",IF(Z44=1,"DEFENSIV",IF(Z44=2,"PRUDENT",IF(Z44=3,"MODERAT","RIDICAT")))))))</x:f>
        <x:v>PRUDENT</x:v>
      </x:c>
      <x:c r="AB44" s="10" t="n">
        <x:f>IF(N44="","",MIN(N44,1-S44))</x:f>
        <x:v>0.8130208674152541</x:v>
      </x:c>
      <x:c r="AC44" s="2" t="n">
        <x:f>IF(AD44&lt;&gt;1,"",COUNTIFS($Z$34:$Z$47,"&lt;"&amp;Z44,$AD$34:$AD$47,1)+COUNTIFS($Z$34:$Z$47,Z44,$AB$34:$AB$47,"&gt;"&amp;AB44,$AD$34:$AD$47,1)+COUNTIFS($Z$34:$Z$47,Z44,$AB$34:$AB$47,AB44,$V$34:$V$47,"&gt;"&amp;V44,$AD$34:$AD$47,1)+COUNTIFS($Z$34:Z44,Z44,$AB$34:AB44,AB44,$V$34:V44,V44,$AD$34:AD44,1))</x:f>
        <x:v>6</x:v>
      </x:c>
      <x:c r="AD44" s="2" t="n">
        <x:f>IF(OR(AA44="DEFENSIV",AA44="PRUDENT",AA44="MODERAT",AA44="RIDICAT"),1,0)</x:f>
        <x:v>1</x:v>
      </x:c>
      <x:c r="AE44" s="2" t="str">
        <x:f>IF(AD44&lt;&gt;1,"NO",IF(W44="PASS","YES",IF(W44="OOS PENDING","CONDITIONAL","NO")))</x:f>
        <x:v>CONDITIONAL</x:v>
      </x:c>
      <x:c r="AF44" s="2" t="n">
        <x:f>IF(AND(AD44=1,AC44=1,E44="LIVE"),1,0)</x:f>
        <x:v>0</x:v>
      </x:c>
      <x:c r="AG44" s="2" t="str">
        <x:f>IF(AF44&lt;&gt;1,"",'Dashboard'!P28)</x:f>
      </x:c>
      <x:c r="AH44" s="2" t="str">
        <x:f>IF(B44="","",IF(J44&lt;&gt;"PASS",'Motor_Meciuri'!J8,IF('Calibrare_Linii'!U16&lt;&gt;"VALID","Parametri linie invalizi",IF(L44&gt;'Config_v6'!$B$13,"Dispersie peste limita",IF(W44="WATCH","Failure peste limita",IF(AB44&lt;'Config_v6'!$B$16,"P finala sub prag",IF(V44&lt;'Config_v6'!$B$18,"Confidence sub prag",IF(E44="REPLAY","Exemplu retrospectiv; exclus din Top LIVE",IF(Y44="PASS","DEFENSIV validat",IF(W44="OOS PENDING","Eligibil; calibrare linie in monitorizare","Eligibil"))))))))))</x:f>
        <x:v>Exemplu retrospectiv; exclus din Top LIVE</x:v>
      </x:c>
      <x:c r="AI44" s="2" t="str">
        <x:f>IF(B44="","",'Calibrare_Linii'!V16)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14,5|1.000000|NA|NA</x:v>
      </x:c>
      <x:c r="AJ44" s="2" t="str">
        <x:f>IF(B44="","",IF(AND('Calibrare_Linii'!T16="VALIDATED",AND('Calibrare_Linii'!H16=C44,ISNUMBER('Calibrare_Linii'!J16),'Calibrare_Linii'!J16&lt;='Input_Meci'!G8)),"DEFENSIVE VALIDATED",IF(AND('Calibrare_Linii'!S16="VALIDATED",AND('Calibrare_Linii'!H16=C44,ISNUMBER('Calibrare_Linii'!J16),'Calibrare_Linii'!J16&lt;='Input_Meci'!G8)),"TAIL VALIDATED","OOS PENDING")))</x:f>
        <x:v>OOS PENDING</x:v>
      </x:c>
      <x:c r="AK44" s="2" t="n">
        <x:f>IF(J44&lt;&gt;"PASS",0,'Motor_Meciuri'!BR8)</x:f>
        <x:v>36</x:v>
      </x:c>
      <x:c r="AL44" s="2" t="n">
        <x:f>IF(J44&lt;&gt;"PASS",0,'Motor_Meciuri'!BS8)</x:f>
        <x:v>20</x:v>
      </x:c>
      <x:c r="AM44" s="2" t="n">
        <x:f>IF(J44&lt;&gt;"PASS",0,'Motor_Meciuri'!BT8)</x:f>
        <x:v>40</x:v>
      </x:c>
      <x:c r="AN44" s="2" t="n">
        <x:f>IF(M44="","",MAX(0,'Motor_Meciuri'!BF8-IF(L44&gt;'Config_v6'!$B$12,'Config_v6'!$B$37,IF(L44&gt;'Config_v6'!$B$11,'Config_v6'!$B$36,0))))</x:f>
        <x:v>90</x:v>
      </x:c>
    </x:row>
    <x:row r="45" ht="21" customHeight="1">
      <x:c r="A45" s="2" t="n">
        <x:v>3</x:v>
      </x:c>
      <x:c r="B45" s="2" t="str">
        <x:f>IF('Motor_Meciuri'!A8="","",'Motor_Meciuri'!A8)</x:f>
        <x:v>REPLAY_3</x:v>
      </x:c>
      <x:c r="C45" s="2" t="str">
        <x:f>IF(B45="","",'Motor_Meciuri'!B8)</x:f>
        <x:v>E0</x:v>
      </x:c>
      <x:c r="D45" s="2" t="str">
        <x:f>IF(B45="","",'Motor_Meciuri'!D8)</x:f>
        <x:v>Crystal Palace – Arsenal</x:v>
      </x:c>
      <x:c r="E45" s="2" t="str">
        <x:f>IF(B45="","",'Motor_Meciuri'!E8)</x:f>
        <x:v>REPLAY</x:v>
      </x:c>
      <x:c r="F45" s="2" t="str">
        <x:v>U15,5</x:v>
      </x:c>
      <x:c r="G45" s="2" t="str">
        <x:v>UNDER</x:v>
      </x:c>
      <x:c r="H45" s="2" t="n">
        <x:v>15</x:v>
      </x:c>
      <x:c r="I45" s="2" t="str">
        <x:f>IF(B45="","",'Motor_Meciuri'!H8)</x:f>
        <x:v>READY</x:v>
      </x:c>
      <x:c r="J45" s="2" t="str">
        <x:f>IF(B45="","",'Motor_Meciuri'!I8)</x:f>
        <x:v>PASS</x:v>
      </x:c>
      <x:c r="K45" s="11" t="n">
        <x:f>IF(J45&lt;&gt;"PASS","",'Motor_Meciuri'!BD8)</x:f>
        <x:v>9.505743243243243</x:v>
      </x:c>
      <x:c r="L45" s="11" t="n">
        <x:f>IF(J45&lt;&gt;"PASS","",'Motor_Meciuri'!AU8)</x:f>
        <x:v>1.3207885304659515</x:v>
      </x:c>
      <x:c r="M45" s="10" t="n">
        <x:f>IF(NOT(AND(J45="PASS",'Calibrare_Linii'!U17="VALID")),"",'Distributie'!AM8)</x:f>
        <x:v>0.9434987370816682</x:v>
      </x:c>
      <x:c r="N45" s="10" t="n">
        <x:f>IF(M45="","",MAX(0.01,MIN(0.99,0.5+(M45-0.5)*'Motor_Meciuri'!BG8*'Calibrare_Linii'!D17)))</x:f>
        <x:v>0.836848378281954</x:v>
      </x:c>
      <x:c r="O45" s="10" t="n">
        <x:f>IF(M45="","",1-M45)</x:f>
        <x:v>0.056501262918331796</x:v>
      </x:c>
      <x:c r="P45" s="10" t="n">
        <x:f>IF(OR(NOT(AND(J45="PASS",'Calibrare_Linii'!U17="VALID")),AK45=0),""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*('Istoric_Nativ'!$Q$6:$Q$405&gt;H45))/AK45)</x:f>
        <x:v>0.08333333333333333</x:v>
      </x:c>
      <x:c r="Q45" s="10" t="n">
        <x:f>IF(OR(NOT(AND(J45="PASS",'Calibrare_Linii'!U17="VALID")),AL45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M8)+((('Istoric_Nativ'!$E$6:$E$405='Input_Meci'!E8)+('Istoric_Nativ'!$F$6:$F$405='Input_Meci'!E8))&gt;0)*('Istoric_Nativ'!$D$6:$D$405&gt;='Motor_Meciuri'!BN8))&gt;0)*('Istoric_Nativ'!$Q$6:$Q$405&gt;H45))/AL45)</x:f>
        <x:v>0</x:v>
      </x:c>
      <x:c r="R45" s="10" t="n">
        <x:f>IF(OR(NOT(AND(J45="PASS",'Calibrare_Linii'!U17="VALID")),AM45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O8)+((('Istoric_Nativ'!$E$6:$E$405='Input_Meci'!E8)+('Istoric_Nativ'!$F$6:$F$405='Input_Meci'!E8))&gt;0)*('Istoric_Nativ'!$D$6:$D$405&gt;='Motor_Meciuri'!BP8))&gt;0)*('Istoric_Nativ'!$Q$6:$Q$405&gt;H45))/AM45)</x:f>
        <x:v>0.025</x:v>
      </x:c>
      <x:c r="S45" s="10" t="n">
        <x:f>IF(M45="","",MAX(O45,P45,Q45,R45))</x:f>
        <x:v>0.08333333333333333</x:v>
      </x:c>
      <x:c r="T45" s="11" t="n">
        <x:f>IF(M45="","",MIN(100,S45*100*'Config_v6'!$B$44+MIN(100,L45/'Config_v6'!$B$13*100)*'Config_v6'!$B$45+(100-'Motor_Meciuri'!BF8)*'Config_v6'!$B$46+'Motor_Meciuri'!BH8*100*'Config_v6'!$B$47))</x:f>
        <x:v>17.823675826364013</x:v>
      </x:c>
      <x:c r="U45" s="2" t="n">
        <x:f>IF(T45="","",IF(T45&lt;=20,1,IF(T45&lt;=40,2,IF(T45&lt;=60,3,IF(T45&lt;=80,4,5)))))</x:f>
        <x:v>1</x:v>
      </x:c>
      <x:c r="V45" s="2" t="n">
        <x:f>IF(M45="","",MAX(0,'Motor_Meciuri'!BF8-IF(W45="OOS PENDING",'Config_v6'!$B$35,0)-IF(L45&gt;'Config_v6'!$B$12,'Config_v6'!$B$37,IF(L45&gt;'Config_v6'!$B$11,'Config_v6'!$B$36,0))))</x:f>
        <x:v>80</x:v>
      </x:c>
      <x:c r="W45" s="2" t="str">
        <x:f>IF(B45="","",IF(I45&lt;&gt;"READY","NOT RELEASED",IF(NOT(AND(J45="PASS",'Calibrare_Linii'!U17="VALID")),"INVALID",IF(NOT(AND('Calibrare_Linii'!S17="VALIDATED",AND('Calibrare_Linii'!H17=C45,ISNUMBER('Calibrare_Linii'!J17),'Calibrare_Linii'!J17&lt;='Input_Meci'!G8))),"OOS PENDING",IF(S45&lt;='Calibrare_Linii'!E17,"PASS",IF(S45&lt;='Calibrare_Linii'!F17,"PENALTY","WATCH"))))))</x:f>
        <x:v>OOS PENDING</x:v>
      </x:c>
      <x:c r="X45" s="2" t="str">
        <x:f>IF(M45="","",IF(AND(AND(J45="PASS",'Calibrare_Linii'!U17="VALID"),'Motor_Meciuri'!K8=12,'Motor_Meciuri'!L8=12,'Motor_Meciuri'!M8="NO",'Motor_Meciuri'!BL8='Motor_Meciuri'!C8,AB45&gt;='Config_v6'!$B$50,AN45&gt;='Config_v6'!$B$51,T45&lt;='Config_v6'!$B$52,L45&lt;='Config_v6'!$B$53,ISNUMBER('Calibrare_Linii'!E17),S45&lt;='Calibrare_Linii'!E17,SUM(AK45:AM45)&gt;0),"CANDIDATE","NO"))</x:f>
        <x:v>NO</x:v>
      </x:c>
      <x:c r="Y45" s="2" t="str">
        <x:f>IF(B45="","",IF(I45&lt;&gt;"READY","NOT RELEASED",IF(AND(X45="CANDIDATE",V45&gt;='Config_v6'!$B$51,W45="PASS",'Calibrare_Linii'!T17="VALIDATED",AND('Calibrare_Linii'!H17=C45,ISNUMBER('Calibrare_Linii'!J17),'Calibrare_Linii'!J17&lt;='Input_Meci'!G8)),"PASS",IF(X45="CANDIDATE","OOS PENDING","FAIL"))))</x:f>
        <x:v>FAIL</x:v>
      </x:c>
      <x:c r="Z45" s="2" t="n">
        <x:f>IF(B45="","",IF(I45&lt;&gt;"READY","",IF(OR(NOT(AND(J45="PASS",'Calibrare_Linii'!U17="VALID")),L45&gt;'Config_v6'!$B$13,W45="WATCH"),5,IF(Y45="PASS",1,MIN(5,MAX('Config_v6'!$B$42,U45)+IF(W45="PENALTY",1,0))))))</x:f>
        <x:v>2</x:v>
      </x:c>
      <x:c r="AA45" s="2" t="str">
        <x:f>IF(B45="","",IF(I45&lt;&gt;"READY","NOT RELEASED",IF(Z45=5,"NO BET",IF(OR(AB45&lt;'Config_v6'!$B$16,V45&lt;'Config_v6'!$B$18),"WATCH",IF(Z45=1,"DEFENSIV",IF(Z45=2,"PRUDENT",IF(Z45=3,"MODERAT","RIDICAT")))))))</x:f>
        <x:v>PRUDENT</x:v>
      </x:c>
      <x:c r="AB45" s="10" t="n">
        <x:f>IF(N45="","",MIN(N45,1-S45))</x:f>
        <x:v>0.836848378281954</x:v>
      </x:c>
      <x:c r="AC45" s="2" t="n">
        <x:f>IF(AD45&lt;&gt;1,"",COUNTIFS($Z$34:$Z$47,"&lt;"&amp;Z45,$AD$34:$AD$47,1)+COUNTIFS($Z$34:$Z$47,Z45,$AB$34:$AB$47,"&gt;"&amp;AB45,$AD$34:$AD$47,1)+COUNTIFS($Z$34:$Z$47,Z45,$AB$34:$AB$47,AB45,$V$34:$V$47,"&gt;"&amp;V45,$AD$34:$AD$47,1)+COUNTIFS($Z$34:Z45,Z45,$AB$34:AB45,AB45,$V$34:V45,V45,$AD$34:AD45,1))</x:f>
        <x:v>4</x:v>
      </x:c>
      <x:c r="AD45" s="2" t="n">
        <x:f>IF(OR(AA45="DEFENSIV",AA45="PRUDENT",AA45="MODERAT",AA45="RIDICAT"),1,0)</x:f>
        <x:v>1</x:v>
      </x:c>
      <x:c r="AE45" s="2" t="str">
        <x:f>IF(AD45&lt;&gt;1,"NO",IF(W45="PASS","YES",IF(W45="OOS PENDING","CONDITIONAL","NO")))</x:f>
        <x:v>CONDITIONAL</x:v>
      </x:c>
      <x:c r="AF45" s="2" t="n">
        <x:f>IF(AND(AD45=1,AC45=1,E45="LIVE"),1,0)</x:f>
        <x:v>0</x:v>
      </x:c>
      <x:c r="AG45" s="2" t="str">
        <x:f>IF(AF45&lt;&gt;1,"",'Dashboard'!P28)</x:f>
      </x:c>
      <x:c r="AH45" s="2" t="str">
        <x:f>IF(B45="","",IF(J45&lt;&gt;"PASS",'Motor_Meciuri'!J8,IF('Calibrare_Linii'!U17&lt;&gt;"VALID","Parametri linie invalizi",IF(L45&gt;'Config_v6'!$B$13,"Dispersie peste limita",IF(W45="WATCH","Failure peste limita",IF(AB45&lt;'Config_v6'!$B$16,"P finala sub prag",IF(V45&lt;'Config_v6'!$B$18,"Confidence sub prag",IF(E45="REPLAY","Exemplu retrospectiv; exclus din Top LIVE",IF(Y45="PASS","DEFENSIV validat",IF(W45="OOS PENDING","Eligibil; calibrare linie in monitorizare","Eligibil"))))))))))</x:f>
        <x:v>Exemplu retrospectiv; exclus din Top LIVE</x:v>
      </x:c>
      <x:c r="AI45" s="2" t="str">
        <x:f>IF(B45="","",'Calibrare_Linii'!V17)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15,5|1.000000|NA|NA</x:v>
      </x:c>
      <x:c r="AJ45" s="2" t="str">
        <x:f>IF(B45="","",IF(AND('Calibrare_Linii'!T17="VALIDATED",AND('Calibrare_Linii'!H17=C45,ISNUMBER('Calibrare_Linii'!J17),'Calibrare_Linii'!J17&lt;='Input_Meci'!G8)),"DEFENSIVE VALIDATED",IF(AND('Calibrare_Linii'!S17="VALIDATED",AND('Calibrare_Linii'!H17=C45,ISNUMBER('Calibrare_Linii'!J17),'Calibrare_Linii'!J17&lt;='Input_Meci'!G8)),"TAIL VALIDATED","OOS PENDING")))</x:f>
        <x:v>OOS PENDING</x:v>
      </x:c>
      <x:c r="AK45" s="2" t="n">
        <x:f>IF(J45&lt;&gt;"PASS",0,'Motor_Meciuri'!BR8)</x:f>
        <x:v>36</x:v>
      </x:c>
      <x:c r="AL45" s="2" t="n">
        <x:f>IF(J45&lt;&gt;"PASS",0,'Motor_Meciuri'!BS8)</x:f>
        <x:v>20</x:v>
      </x:c>
      <x:c r="AM45" s="2" t="n">
        <x:f>IF(J45&lt;&gt;"PASS",0,'Motor_Meciuri'!BT8)</x:f>
        <x:v>40</x:v>
      </x:c>
      <x:c r="AN45" s="2" t="n">
        <x:f>IF(M45="","",MAX(0,'Motor_Meciuri'!BF8-IF(L45&gt;'Config_v6'!$B$12,'Config_v6'!$B$37,IF(L45&gt;'Config_v6'!$B$11,'Config_v6'!$B$36,0))))</x:f>
        <x:v>90</x:v>
      </x:c>
    </x:row>
    <x:row r="46" ht="21" customHeight="1">
      <x:c r="A46" s="2" t="n">
        <x:v>3</x:v>
      </x:c>
      <x:c r="B46" s="2" t="str">
        <x:f>IF('Motor_Meciuri'!A8="","",'Motor_Meciuri'!A8)</x:f>
        <x:v>REPLAY_3</x:v>
      </x:c>
      <x:c r="C46" s="2" t="str">
        <x:f>IF(B46="","",'Motor_Meciuri'!B8)</x:f>
        <x:v>E0</x:v>
      </x:c>
      <x:c r="D46" s="2" t="str">
        <x:f>IF(B46="","",'Motor_Meciuri'!D8)</x:f>
        <x:v>Crystal Palace – Arsenal</x:v>
      </x:c>
      <x:c r="E46" s="2" t="str">
        <x:f>IF(B46="","",'Motor_Meciuri'!E8)</x:f>
        <x:v>REPLAY</x:v>
      </x:c>
      <x:c r="F46" s="2" t="str">
        <x:v>U16,5</x:v>
      </x:c>
      <x:c r="G46" s="2" t="str">
        <x:v>UNDER</x:v>
      </x:c>
      <x:c r="H46" s="2" t="n">
        <x:v>16</x:v>
      </x:c>
      <x:c r="I46" s="2" t="str">
        <x:f>IF(B46="","",'Motor_Meciuri'!H8)</x:f>
        <x:v>READY</x:v>
      </x:c>
      <x:c r="J46" s="2" t="str">
        <x:f>IF(B46="","",'Motor_Meciuri'!I8)</x:f>
        <x:v>PASS</x:v>
      </x:c>
      <x:c r="K46" s="11" t="n">
        <x:f>IF(J46&lt;&gt;"PASS","",'Motor_Meciuri'!BD8)</x:f>
        <x:v>9.505743243243243</x:v>
      </x:c>
      <x:c r="L46" s="11" t="n">
        <x:f>IF(J46&lt;&gt;"PASS","",'Motor_Meciuri'!AU8)</x:f>
        <x:v>1.3207885304659515</x:v>
      </x:c>
      <x:c r="M46" s="10" t="n">
        <x:f>IF(NOT(AND(J46="PASS",'Calibrare_Linii'!U18="VALID")),"",'Distributie'!AN8)</x:f>
        <x:v>0.9647877995861486</x:v>
      </x:c>
      <x:c r="N46" s="10" t="n">
        <x:f>IF(M46="","",MAX(0.01,MIN(0.99,0.5+(M46-0.5)*'Motor_Meciuri'!BG8*'Calibrare_Linii'!D18)))</x:f>
        <x:v>0.8530179534806694</x:v>
      </x:c>
      <x:c r="O46" s="10" t="n">
        <x:f>IF(M46="","",1-M46)</x:f>
        <x:v>0.035212200413851424</x:v>
      </x:c>
      <x:c r="P46" s="10" t="n">
        <x:f>IF(OR(NOT(AND(J46="PASS",'Calibrare_Linii'!U18="VALID")),AK46=0),""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*('Istoric_Nativ'!$Q$6:$Q$405&gt;H46))/AK46)</x:f>
        <x:v>0.027777777777777776</x:v>
      </x:c>
      <x:c r="Q46" s="10" t="n">
        <x:f>IF(OR(NOT(AND(J46="PASS",'Calibrare_Linii'!U18="VALID")),AL46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M8)+((('Istoric_Nativ'!$E$6:$E$405='Input_Meci'!E8)+('Istoric_Nativ'!$F$6:$F$405='Input_Meci'!E8))&gt;0)*('Istoric_Nativ'!$D$6:$D$405&gt;='Motor_Meciuri'!BN8))&gt;0)*('Istoric_Nativ'!$Q$6:$Q$405&gt;H46))/AL46)</x:f>
        <x:v>0</x:v>
      </x:c>
      <x:c r="R46" s="10" t="n">
        <x:f>IF(OR(NOT(AND(J46="PASS",'Calibrare_Linii'!U18="VALID")),AM46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O8)+((('Istoric_Nativ'!$E$6:$E$405='Input_Meci'!E8)+('Istoric_Nativ'!$F$6:$F$405='Input_Meci'!E8))&gt;0)*('Istoric_Nativ'!$D$6:$D$405&gt;='Motor_Meciuri'!BP8))&gt;0)*('Istoric_Nativ'!$Q$6:$Q$405&gt;H46))/AM46)</x:f>
        <x:v>0</x:v>
      </x:c>
      <x:c r="S46" s="10" t="n">
        <x:f>IF(M46="","",MAX(O46,P46,Q46,R46))</x:f>
        <x:v>0.035212200413851424</x:v>
      </x:c>
      <x:c r="T46" s="11" t="n">
        <x:f>IF(M46="","",MIN(100,S46*100*'Config_v6'!$B$44+MIN(100,L46/'Config_v6'!$B$13*100)*'Config_v6'!$B$45+(100-'Motor_Meciuri'!BF8)*'Config_v6'!$B$46+'Motor_Meciuri'!BH8*100*'Config_v6'!$B$47))</x:f>
        <x:v>15.17701351579251</x:v>
      </x:c>
      <x:c r="U46" s="2" t="n">
        <x:f>IF(T46="","",IF(T46&lt;=20,1,IF(T46&lt;=40,2,IF(T46&lt;=60,3,IF(T46&lt;=80,4,5)))))</x:f>
        <x:v>1</x:v>
      </x:c>
      <x:c r="V46" s="2" t="n">
        <x:f>IF(M46="","",MAX(0,'Motor_Meciuri'!BF8-IF(W46="OOS PENDING",'Config_v6'!$B$35,0)-IF(L46&gt;'Config_v6'!$B$12,'Config_v6'!$B$37,IF(L46&gt;'Config_v6'!$B$11,'Config_v6'!$B$36,0))))</x:f>
        <x:v>80</x:v>
      </x:c>
      <x:c r="W46" s="2" t="str">
        <x:f>IF(B46="","",IF(I46&lt;&gt;"READY","NOT RELEASED",IF(NOT(AND(J46="PASS",'Calibrare_Linii'!U18="VALID")),"INVALID",IF(NOT(AND('Calibrare_Linii'!S18="VALIDATED",AND('Calibrare_Linii'!H18=C46,ISNUMBER('Calibrare_Linii'!J18),'Calibrare_Linii'!J18&lt;='Input_Meci'!G8))),"OOS PENDING",IF(S46&lt;='Calibrare_Linii'!E18,"PASS",IF(S46&lt;='Calibrare_Linii'!F18,"PENALTY","WATCH"))))))</x:f>
        <x:v>OOS PENDING</x:v>
      </x:c>
      <x:c r="X46" s="2" t="str">
        <x:f>IF(M46="","",IF(AND(AND(J46="PASS",'Calibrare_Linii'!U18="VALID"),'Motor_Meciuri'!K8=12,'Motor_Meciuri'!L8=12,'Motor_Meciuri'!M8="NO",'Motor_Meciuri'!BL8='Motor_Meciuri'!C8,AB46&gt;='Config_v6'!$B$50,AN46&gt;='Config_v6'!$B$51,T46&lt;='Config_v6'!$B$52,L46&lt;='Config_v6'!$B$53,ISNUMBER('Calibrare_Linii'!E18),S46&lt;='Calibrare_Linii'!E18,SUM(AK46:AM46)&gt;0),"CANDIDATE","NO"))</x:f>
        <x:v>NO</x:v>
      </x:c>
      <x:c r="Y46" s="2" t="str">
        <x:f>IF(B46="","",IF(I46&lt;&gt;"READY","NOT RELEASED",IF(AND(X46="CANDIDATE",V46&gt;='Config_v6'!$B$51,W46="PASS",'Calibrare_Linii'!T18="VALIDATED",AND('Calibrare_Linii'!H18=C46,ISNUMBER('Calibrare_Linii'!J18),'Calibrare_Linii'!J18&lt;='Input_Meci'!G8)),"PASS",IF(X46="CANDIDATE","OOS PENDING","FAIL"))))</x:f>
        <x:v>FAIL</x:v>
      </x:c>
      <x:c r="Z46" s="2" t="n">
        <x:f>IF(B46="","",IF(I46&lt;&gt;"READY","",IF(OR(NOT(AND(J46="PASS",'Calibrare_Linii'!U18="VALID")),L46&gt;'Config_v6'!$B$13,W46="WATCH"),5,IF(Y46="PASS",1,MIN(5,MAX('Config_v6'!$B$42,U46)+IF(W46="PENALTY",1,0))))))</x:f>
        <x:v>2</x:v>
      </x:c>
      <x:c r="AA46" s="2" t="str">
        <x:f>IF(B46="","",IF(I46&lt;&gt;"READY","NOT RELEASED",IF(Z46=5,"NO BET",IF(OR(AB46&lt;'Config_v6'!$B$16,V46&lt;'Config_v6'!$B$18),"WATCH",IF(Z46=1,"DEFENSIV",IF(Z46=2,"PRUDENT",IF(Z46=3,"MODERAT","RIDICAT")))))))</x:f>
        <x:v>PRUDENT</x:v>
      </x:c>
      <x:c r="AB46" s="10" t="n">
        <x:f>IF(N46="","",MIN(N46,1-S46))</x:f>
        <x:v>0.8530179534806694</x:v>
      </x:c>
      <x:c r="AC46" s="2" t="n">
        <x:f>IF(AD46&lt;&gt;1,"",COUNTIFS($Z$34:$Z$47,"&lt;"&amp;Z46,$AD$34:$AD$47,1)+COUNTIFS($Z$34:$Z$47,Z46,$AB$34:$AB$47,"&gt;"&amp;AB46,$AD$34:$AD$47,1)+COUNTIFS($Z$34:$Z$47,Z46,$AB$34:$AB$47,AB46,$V$34:$V$47,"&gt;"&amp;V46,$AD$34:$AD$47,1)+COUNTIFS($Z$34:Z46,Z46,$AB$34:AB46,AB46,$V$34:V46,V46,$AD$34:AD46,1))</x:f>
        <x:v>3</x:v>
      </x:c>
      <x:c r="AD46" s="2" t="n">
        <x:f>IF(OR(AA46="DEFENSIV",AA46="PRUDENT",AA46="MODERAT",AA46="RIDICAT"),1,0)</x:f>
        <x:v>1</x:v>
      </x:c>
      <x:c r="AE46" s="2" t="str">
        <x:f>IF(AD46&lt;&gt;1,"NO",IF(W46="PASS","YES",IF(W46="OOS PENDING","CONDITIONAL","NO")))</x:f>
        <x:v>CONDITIONAL</x:v>
      </x:c>
      <x:c r="AF46" s="2" t="n">
        <x:f>IF(AND(AD46=1,AC46=1,E46="LIVE"),1,0)</x:f>
        <x:v>0</x:v>
      </x:c>
      <x:c r="AG46" s="2" t="str">
        <x:f>IF(AF46&lt;&gt;1,"",'Dashboard'!P28)</x:f>
      </x:c>
      <x:c r="AH46" s="2" t="str">
        <x:f>IF(B46="","",IF(J46&lt;&gt;"PASS",'Motor_Meciuri'!J8,IF('Calibrare_Linii'!U18&lt;&gt;"VALID","Parametri linie invalizi",IF(L46&gt;'Config_v6'!$B$13,"Dispersie peste limita",IF(W46="WATCH","Failure peste limita",IF(AB46&lt;'Config_v6'!$B$16,"P finala sub prag",IF(V46&lt;'Config_v6'!$B$18,"Confidence sub prag",IF(E46="REPLAY","Exemplu retrospectiv; exclus din Top LIVE",IF(Y46="PASS","DEFENSIV validat",IF(W46="OOS PENDING","Eligibil; calibrare linie in monitorizare","Eligibil"))))))))))</x:f>
        <x:v>Exemplu retrospectiv; exclus din Top LIVE</x:v>
      </x:c>
      <x:c r="AI46" s="2" t="str">
        <x:f>IF(B46="","",'Calibrare_Linii'!V18)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16,5|1.000000|NA|NA</x:v>
      </x:c>
      <x:c r="AJ46" s="2" t="str">
        <x:f>IF(B46="","",IF(AND('Calibrare_Linii'!T18="VALIDATED",AND('Calibrare_Linii'!H18=C46,ISNUMBER('Calibrare_Linii'!J18),'Calibrare_Linii'!J18&lt;='Input_Meci'!G8)),"DEFENSIVE VALIDATED",IF(AND('Calibrare_Linii'!S18="VALIDATED",AND('Calibrare_Linii'!H18=C46,ISNUMBER('Calibrare_Linii'!J18),'Calibrare_Linii'!J18&lt;='Input_Meci'!G8)),"TAIL VALIDATED","OOS PENDING")))</x:f>
        <x:v>OOS PENDING</x:v>
      </x:c>
      <x:c r="AK46" s="2" t="n">
        <x:f>IF(J46&lt;&gt;"PASS",0,'Motor_Meciuri'!BR8)</x:f>
        <x:v>36</x:v>
      </x:c>
      <x:c r="AL46" s="2" t="n">
        <x:f>IF(J46&lt;&gt;"PASS",0,'Motor_Meciuri'!BS8)</x:f>
        <x:v>20</x:v>
      </x:c>
      <x:c r="AM46" s="2" t="n">
        <x:f>IF(J46&lt;&gt;"PASS",0,'Motor_Meciuri'!BT8)</x:f>
        <x:v>40</x:v>
      </x:c>
      <x:c r="AN46" s="2" t="n">
        <x:f>IF(M46="","",MAX(0,'Motor_Meciuri'!BF8-IF(L46&gt;'Config_v6'!$B$12,'Config_v6'!$B$37,IF(L46&gt;'Config_v6'!$B$11,'Config_v6'!$B$36,0))))</x:f>
        <x:v>90</x:v>
      </x:c>
    </x:row>
    <x:row r="47" ht="21" customHeight="1">
      <x:c r="A47" s="2" t="n">
        <x:v>3</x:v>
      </x:c>
      <x:c r="B47" s="2" t="str">
        <x:f>IF('Motor_Meciuri'!A8="","",'Motor_Meciuri'!A8)</x:f>
        <x:v>REPLAY_3</x:v>
      </x:c>
      <x:c r="C47" s="2" t="str">
        <x:f>IF(B47="","",'Motor_Meciuri'!B8)</x:f>
        <x:v>E0</x:v>
      </x:c>
      <x:c r="D47" s="2" t="str">
        <x:f>IF(B47="","",'Motor_Meciuri'!D8)</x:f>
        <x:v>Crystal Palace – Arsenal</x:v>
      </x:c>
      <x:c r="E47" s="2" t="str">
        <x:f>IF(B47="","",'Motor_Meciuri'!E8)</x:f>
        <x:v>REPLAY</x:v>
      </x:c>
      <x:c r="F47" s="2" t="str">
        <x:v>U17,5</x:v>
      </x:c>
      <x:c r="G47" s="2" t="str">
        <x:v>UNDER</x:v>
      </x:c>
      <x:c r="H47" s="2" t="n">
        <x:v>17</x:v>
      </x:c>
      <x:c r="I47" s="2" t="str">
        <x:f>IF(B47="","",'Motor_Meciuri'!H8)</x:f>
        <x:v>READY</x:v>
      </x:c>
      <x:c r="J47" s="2" t="str">
        <x:f>IF(B47="","",'Motor_Meciuri'!I8)</x:f>
        <x:v>PASS</x:v>
      </x:c>
      <x:c r="K47" s="11" t="n">
        <x:f>IF(J47&lt;&gt;"PASS","",'Motor_Meciuri'!BD8)</x:f>
        <x:v>9.505743243243243</x:v>
      </x:c>
      <x:c r="L47" s="11" t="n">
        <x:f>IF(J47&lt;&gt;"PASS","",'Motor_Meciuri'!AU8)</x:f>
        <x:v>1.3207885304659515</x:v>
      </x:c>
      <x:c r="M47" s="10" t="n">
        <x:f>IF(NOT(AND(J47="PASS",'Calibrare_Linii'!U19="VALID")),"",'Distributie'!AO8)</x:f>
        <x:v>0.9786930997819769</x:v>
      </x:c>
      <x:c r="N47" s="10" t="n">
        <x:f>IF(M47="","",MAX(0.01,MIN(0.99,0.5+(M47-0.5)*'Motor_Meciuri'!BG8*'Calibrare_Linii'!D19)))</x:f>
        <x:v>0.863579376611906</x:v>
      </x:c>
      <x:c r="O47" s="10" t="n">
        <x:f>IF(M47="","",1-M47)</x:f>
        <x:v>0.02130690021802306</x:v>
      </x:c>
      <x:c r="P47" s="10" t="n">
        <x:f>IF(OR(NOT(AND(J47="PASS",'Calibrare_Linii'!U19="VALID")),AK47=0),""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*('Istoric_Nativ'!$Q$6:$Q$405&gt;H47))/AK47)</x:f>
        <x:v>0.027777777777777776</x:v>
      </x:c>
      <x:c r="Q47" s="10" t="n">
        <x:f>IF(OR(NOT(AND(J47="PASS",'Calibrare_Linii'!U19="VALID")),AL47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M8)+((('Istoric_Nativ'!$E$6:$E$405='Input_Meci'!E8)+('Istoric_Nativ'!$F$6:$F$405='Input_Meci'!E8))&gt;0)*('Istoric_Nativ'!$D$6:$D$405&gt;='Motor_Meciuri'!BN8))&gt;0)*('Istoric_Nativ'!$Q$6:$Q$405&gt;H47))/AL47)</x:f>
        <x:v>0</x:v>
      </x:c>
      <x:c r="R47" s="10" t="n">
        <x:f>IF(OR(NOT(AND(J47="PASS",'Calibrare_Linii'!U19="VALID")),AM47=0),""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'Motor_Meciuri'!BO8)+((('Istoric_Nativ'!$E$6:$E$405='Input_Meci'!E8)+('Istoric_Nativ'!$F$6:$F$405='Input_Meci'!E8))&gt;0)*('Istoric_Nativ'!$D$6:$D$405&gt;='Motor_Meciuri'!BP8))&gt;0)*('Istoric_Nativ'!$Q$6:$Q$405&gt;H47))/AM47)</x:f>
        <x:v>0</x:v>
      </x:c>
      <x:c r="S47" s="10" t="n">
        <x:f>IF(M47="","",MAX(O47,P47,Q47,R47))</x:f>
        <x:v>0.027777777777777776</x:v>
      </x:c>
      <x:c r="T47" s="11" t="n">
        <x:f>IF(M47="","",MIN(100,S47*100*'Config_v6'!$B$44+MIN(100,L47/'Config_v6'!$B$13*100)*'Config_v6'!$B$45+(100-'Motor_Meciuri'!BF8)*'Config_v6'!$B$46+'Motor_Meciuri'!BH8*100*'Config_v6'!$B$47))</x:f>
        <x:v>14.76812027080846</x:v>
      </x:c>
      <x:c r="U47" s="2" t="n">
        <x:f>IF(T47="","",IF(T47&lt;=20,1,IF(T47&lt;=40,2,IF(T47&lt;=60,3,IF(T47&lt;=80,4,5)))))</x:f>
        <x:v>1</x:v>
      </x:c>
      <x:c r="V47" s="2" t="n">
        <x:f>IF(M47="","",MAX(0,'Motor_Meciuri'!BF8-IF(W47="OOS PENDING",'Config_v6'!$B$35,0)-IF(L47&gt;'Config_v6'!$B$12,'Config_v6'!$B$37,IF(L47&gt;'Config_v6'!$B$11,'Config_v6'!$B$36,0))))</x:f>
        <x:v>80</x:v>
      </x:c>
      <x:c r="W47" s="2" t="str">
        <x:f>IF(B47="","",IF(I47&lt;&gt;"READY","NOT RELEASED",IF(NOT(AND(J47="PASS",'Calibrare_Linii'!U19="VALID")),"INVALID",IF(NOT(AND('Calibrare_Linii'!S19="VALIDATED",AND('Calibrare_Linii'!H19=C47,ISNUMBER('Calibrare_Linii'!J19),'Calibrare_Linii'!J19&lt;='Input_Meci'!G8))),"OOS PENDING",IF(S47&lt;='Calibrare_Linii'!E19,"PASS",IF(S47&lt;='Calibrare_Linii'!F19,"PENALTY","WATCH"))))))</x:f>
        <x:v>OOS PENDING</x:v>
      </x:c>
      <x:c r="X47" s="2" t="str">
        <x:f>IF(M47="","",IF(AND(AND(J47="PASS",'Calibrare_Linii'!U19="VALID"),'Motor_Meciuri'!K8=12,'Motor_Meciuri'!L8=12,'Motor_Meciuri'!M8="NO",'Motor_Meciuri'!BL8='Motor_Meciuri'!C8,AB47&gt;='Config_v6'!$B$50,AN47&gt;='Config_v6'!$B$51,T47&lt;='Config_v6'!$B$52,L47&lt;='Config_v6'!$B$53,ISNUMBER('Calibrare_Linii'!E19),S47&lt;='Calibrare_Linii'!E19,SUM(AK47:AM47)&gt;0),"CANDIDATE","NO"))</x:f>
        <x:v>NO</x:v>
      </x:c>
      <x:c r="Y47" s="2" t="str">
        <x:f>IF(B47="","",IF(I47&lt;&gt;"READY","NOT RELEASED",IF(AND(X47="CANDIDATE",V47&gt;='Config_v6'!$B$51,W47="PASS",'Calibrare_Linii'!T19="VALIDATED",AND('Calibrare_Linii'!H19=C47,ISNUMBER('Calibrare_Linii'!J19),'Calibrare_Linii'!J19&lt;='Input_Meci'!G8)),"PASS",IF(X47="CANDIDATE","OOS PENDING","FAIL"))))</x:f>
        <x:v>FAIL</x:v>
      </x:c>
      <x:c r="Z47" s="2" t="n">
        <x:f>IF(B47="","",IF(I47&lt;&gt;"READY","",IF(OR(NOT(AND(J47="PASS",'Calibrare_Linii'!U19="VALID")),L47&gt;'Config_v6'!$B$13,W47="WATCH"),5,IF(Y47="PASS",1,MIN(5,MAX('Config_v6'!$B$42,U47)+IF(W47="PENALTY",1,0))))))</x:f>
        <x:v>2</x:v>
      </x:c>
      <x:c r="AA47" s="2" t="str">
        <x:f>IF(B47="","",IF(I47&lt;&gt;"READY","NOT RELEASED",IF(Z47=5,"NO BET",IF(OR(AB47&lt;'Config_v6'!$B$16,V47&lt;'Config_v6'!$B$18),"WATCH",IF(Z47=1,"DEFENSIV",IF(Z47=2,"PRUDENT",IF(Z47=3,"MODERAT","RIDICAT")))))))</x:f>
        <x:v>PRUDENT</x:v>
      </x:c>
      <x:c r="AB47" s="10" t="n">
        <x:f>IF(N47="","",MIN(N47,1-S47))</x:f>
        <x:v>0.863579376611906</x:v>
      </x:c>
      <x:c r="AC47" s="2" t="n">
        <x:f>IF(AD47&lt;&gt;1,"",COUNTIFS($Z$34:$Z$47,"&lt;"&amp;Z47,$AD$34:$AD$47,1)+COUNTIFS($Z$34:$Z$47,Z47,$AB$34:$AB$47,"&gt;"&amp;AB47,$AD$34:$AD$47,1)+COUNTIFS($Z$34:$Z$47,Z47,$AB$34:$AB$47,AB47,$V$34:$V$47,"&gt;"&amp;V47,$AD$34:$AD$47,1)+COUNTIFS($Z$34:Z47,Z47,$AB$34:AB47,AB47,$V$34:V47,V47,$AD$34:AD47,1))</x:f>
        <x:v>1</x:v>
      </x:c>
      <x:c r="AD47" s="2" t="n">
        <x:f>IF(OR(AA47="DEFENSIV",AA47="PRUDENT",AA47="MODERAT",AA47="RIDICAT"),1,0)</x:f>
        <x:v>1</x:v>
      </x:c>
      <x:c r="AE47" s="2" t="str">
        <x:f>IF(AD47&lt;&gt;1,"NO",IF(W47="PASS","YES",IF(W47="OOS PENDING","CONDITIONAL","NO")))</x:f>
        <x:v>CONDITIONAL</x:v>
      </x:c>
      <x:c r="AF47" s="2" t="n">
        <x:f>IF(AND(AD47=1,AC47=1,E47="LIVE"),1,0)</x:f>
        <x:v>0</x:v>
      </x:c>
      <x:c r="AG47" s="2" t="str">
        <x:f>IF(AF47&lt;&gt;1,"",'Dashboard'!P28)</x:f>
      </x:c>
      <x:c r="AH47" s="2" t="str">
        <x:f>IF(B47="","",IF(J47&lt;&gt;"PASS",'Motor_Meciuri'!J8,IF('Calibrare_Linii'!U19&lt;&gt;"VALID","Parametri linie invalizi",IF(L47&gt;'Config_v6'!$B$13,"Dispersie peste limita",IF(W47="WATCH","Failure peste limita",IF(AB47&lt;'Config_v6'!$B$16,"P finala sub prag",IF(V47&lt;'Config_v6'!$B$18,"Confidence sub prag",IF(E47="REPLAY","Exemplu retrospectiv; exclus din Top LIVE",IF(Y47="PASS","DEFENSIV validat",IF(W47="OOS PENDING","Eligibil; calibrare linie in monitorizare","Eligibil"))))))))))</x:f>
        <x:v>Exemplu retrospectiv; exclus din Top LIVE</x:v>
      </x:c>
      <x:c r="AI47" s="2" t="str">
        <x:f>IF(B47="","",'Calibrare_Linii'!V19)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17,5|1.000000|NA|NA</x:v>
      </x:c>
      <x:c r="AJ47" s="2" t="str">
        <x:f>IF(B47="","",IF(AND('Calibrare_Linii'!T19="VALIDATED",AND('Calibrare_Linii'!H19=C47,ISNUMBER('Calibrare_Linii'!J19),'Calibrare_Linii'!J19&lt;='Input_Meci'!G8)),"DEFENSIVE VALIDATED",IF(AND('Calibrare_Linii'!S19="VALIDATED",AND('Calibrare_Linii'!H19=C47,ISNUMBER('Calibrare_Linii'!J19),'Calibrare_Linii'!J19&lt;='Input_Meci'!G8)),"TAIL VALIDATED","OOS PENDING")))</x:f>
        <x:v>OOS PENDING</x:v>
      </x:c>
      <x:c r="AK47" s="2" t="n">
        <x:f>IF(J47&lt;&gt;"PASS",0,'Motor_Meciuri'!BR8)</x:f>
        <x:v>36</x:v>
      </x:c>
      <x:c r="AL47" s="2" t="n">
        <x:f>IF(J47&lt;&gt;"PASS",0,'Motor_Meciuri'!BS8)</x:f>
        <x:v>20</x:v>
      </x:c>
      <x:c r="AM47" s="2" t="n">
        <x:f>IF(J47&lt;&gt;"PASS",0,'Motor_Meciuri'!BT8)</x:f>
        <x:v>40</x:v>
      </x:c>
      <x:c r="AN47" s="2" t="n">
        <x:f>IF(M47="","",MAX(0,'Motor_Meciuri'!BF8-IF(L47&gt;'Config_v6'!$B$12,'Config_v6'!$B$37,IF(L47&gt;'Config_v6'!$B$11,'Config_v6'!$B$36,0))))</x:f>
        <x:v>90</x:v>
      </x:c>
    </x:row>
    <x:row r="48" ht="21" customHeight="1">
      <x:c r="A48" s="2" t="n">
        <x:v>4</x:v>
      </x:c>
      <x:c r="B48" s="2" t="str">
        <x:f>IF('Motor_Meciuri'!A9="","",'Motor_Meciuri'!A9)</x:f>
      </x:c>
      <x:c r="C48" s="2" t="str">
        <x:f>IF(B48="","",'Motor_Meciuri'!B9)</x:f>
      </x:c>
      <x:c r="D48" s="2" t="str">
        <x:f>IF(B48="","",'Motor_Meciuri'!D9)</x:f>
      </x:c>
      <x:c r="E48" s="2" t="str">
        <x:f>IF(B48="","",'Motor_Meciuri'!E9)</x:f>
      </x:c>
      <x:c r="F48" s="2" t="str">
        <x:v>O3,5</x:v>
      </x:c>
      <x:c r="G48" s="2" t="str">
        <x:v>OVER</x:v>
      </x:c>
      <x:c r="H48" s="2" t="n">
        <x:v>3</x:v>
      </x:c>
      <x:c r="I48" s="2" t="str">
        <x:f>IF(B48="","",'Motor_Meciuri'!H9)</x:f>
      </x:c>
      <x:c r="J48" s="2" t="str">
        <x:f>IF(B48="","",'Motor_Meciuri'!I9)</x:f>
      </x:c>
      <x:c r="K48" s="11" t="str">
        <x:f>IF(J48&lt;&gt;"PASS","",'Motor_Meciuri'!BD9)</x:f>
      </x:c>
      <x:c r="L48" s="11" t="str">
        <x:f>IF(J48&lt;&gt;"PASS","",'Motor_Meciuri'!AU9)</x:f>
      </x:c>
      <x:c r="M48" s="10" t="str">
        <x:f>IF(NOT(AND(J48="PASS",'Calibrare_Linii'!U6="VALID")),"",1-'Distributie'!AA9)</x:f>
      </x:c>
      <x:c r="N48" s="10" t="str">
        <x:f>IF(M48="","",MAX(0.01,MIN(0.99,0.5+(M48-0.5)*'Motor_Meciuri'!BG9*'Calibrare_Linii'!D6)))</x:f>
      </x:c>
      <x:c r="O48" s="10" t="str">
        <x:f>IF(M48="","",1-M48)</x:f>
      </x:c>
      <x:c r="P48" s="10" t="str">
        <x:f>IF(OR(NOT(AND(J48="PASS",'Calibrare_Linii'!U6="VALID")),AK48=0),""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*('Istoric_Nativ'!$Q$6:$Q$405&lt;=H48))/AK48)</x:f>
      </x:c>
      <x:c r="Q48" s="10" t="str">
        <x:f>IF(OR(NOT(AND(J48="PASS",'Calibrare_Linii'!U6="VALID")),AL48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M9)+((('Istoric_Nativ'!$E$6:$E$405='Input_Meci'!E9)+('Istoric_Nativ'!$F$6:$F$405='Input_Meci'!E9))&gt;0)*('Istoric_Nativ'!$D$6:$D$405&gt;='Motor_Meciuri'!BN9))&gt;0)*('Istoric_Nativ'!$Q$6:$Q$405&lt;=H48))/AL48)</x:f>
      </x:c>
      <x:c r="R48" s="10" t="str">
        <x:f>IF(OR(NOT(AND(J48="PASS",'Calibrare_Linii'!U6="VALID")),AM48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O9)+((('Istoric_Nativ'!$E$6:$E$405='Input_Meci'!E9)+('Istoric_Nativ'!$F$6:$F$405='Input_Meci'!E9))&gt;0)*('Istoric_Nativ'!$D$6:$D$405&gt;='Motor_Meciuri'!BP9))&gt;0)*('Istoric_Nativ'!$Q$6:$Q$405&lt;=H48))/AM48)</x:f>
      </x:c>
      <x:c r="S48" s="10" t="str">
        <x:f>IF(M48="","",MAX(O48,P48,Q48,R48))</x:f>
      </x:c>
      <x:c r="T48" s="11" t="str">
        <x:f>IF(M48="","",MIN(100,S48*100*'Config_v6'!$B$44+MIN(100,L48/'Config_v6'!$B$13*100)*'Config_v6'!$B$45+(100-'Motor_Meciuri'!BF9)*'Config_v6'!$B$46+'Motor_Meciuri'!BH9*100*'Config_v6'!$B$47))</x:f>
      </x:c>
      <x:c r="U48" s="2" t="str">
        <x:f>IF(T48="","",IF(T48&lt;=20,1,IF(T48&lt;=40,2,IF(T48&lt;=60,3,IF(T48&lt;=80,4,5)))))</x:f>
      </x:c>
      <x:c r="V48" s="2" t="str">
        <x:f>IF(M48="","",MAX(0,'Motor_Meciuri'!BF9-IF(W48="OOS PENDING",'Config_v6'!$B$35,0)-IF(L48&gt;'Config_v6'!$B$12,'Config_v6'!$B$37,IF(L48&gt;'Config_v6'!$B$11,'Config_v6'!$B$36,0))))</x:f>
      </x:c>
      <x:c r="W48" s="2" t="str">
        <x:f>IF(B48="","",IF(I48&lt;&gt;"READY","NOT RELEASED",IF(NOT(AND(J48="PASS",'Calibrare_Linii'!U6="VALID")),"INVALID",IF(NOT(TRUE),"OOS PENDING",IF(S48&lt;=IF(AND('Calibrare_Linii'!S6="VALIDATED",AND('Calibrare_Linii'!H6=C48,ISNUMBER('Calibrare_Linii'!J6),'Calibrare_Linii'!J6&lt;='Input_Meci'!G9)),'Calibrare_Linii'!E6,'Config_v6'!$B$26),"PASS",IF(S48&lt;=IF(AND('Calibrare_Linii'!S6="VALIDATED",AND('Calibrare_Linii'!H6=C48,ISNUMBER('Calibrare_Linii'!J6),'Calibrare_Linii'!J6&lt;='Input_Meci'!G9)),'Calibrare_Linii'!F6,'Config_v6'!$C$26),"PENALTY","WATCH"))))))</x:f>
      </x:c>
      <x:c r="X48" s="2" t="str">
        <x:f>IF(M48="","",IF(AND(AND(J48="PASS",'Calibrare_Linii'!U6="VALID"),'Motor_Meciuri'!K9=12,'Motor_Meciuri'!L9=12,'Motor_Meciuri'!M9="NO",'Motor_Meciuri'!BL9='Motor_Meciuri'!C9,AB48&gt;='Config_v6'!$B$50,AN48&gt;='Config_v6'!$B$51,T48&lt;='Config_v6'!$B$52,L48&lt;='Config_v6'!$B$53,ISNUMBER('Calibrare_Linii'!E6),S48&lt;='Calibrare_Linii'!E6,SUM(AK48:AM48)&gt;0),"CANDIDATE","NO"))</x:f>
      </x:c>
      <x:c r="Y48" s="2" t="str">
        <x:f>IF(B48="","",IF(I48&lt;&gt;"READY","NOT RELEASED",IF(AND(X48="CANDIDATE",V48&gt;='Config_v6'!$B$51,W48="PASS",'Calibrare_Linii'!T6="VALIDATED",AND('Calibrare_Linii'!H6=C48,ISNUMBER('Calibrare_Linii'!J6),'Calibrare_Linii'!J6&lt;='Input_Meci'!G9)),"PASS",IF(X48="CANDIDATE","OOS PENDING","FAIL"))))</x:f>
      </x:c>
      <x:c r="Z48" s="2" t="str">
        <x:f>IF(B48="","",IF(I48&lt;&gt;"READY","",IF(OR(NOT(AND(J48="PASS",'Calibrare_Linii'!U6="VALID")),L48&gt;'Config_v6'!$B$13,W48="WATCH"),5,IF(Y48="PASS",1,MIN(5,MAX('Config_v6'!$B$42,U48)+IF(W48="PENALTY",1,0))))))</x:f>
      </x:c>
      <x:c r="AA48" s="2" t="str">
        <x:f>IF(B48="","",IF(I48&lt;&gt;"READY","NOT RELEASED",IF(Z48=5,"NO BET",IF(OR(AB48&lt;'Config_v6'!$B$16,V48&lt;'Config_v6'!$B$18),"WATCH",IF(Z48=1,"DEFENSIV",IF(Z48=2,"PRUDENT",IF(Z48=3,"MODERAT","RIDICAT")))))))</x:f>
      </x:c>
      <x:c r="AB48" s="10" t="str">
        <x:f>IF(N48="","",MIN(N48,1-S48))</x:f>
      </x:c>
      <x:c r="AC48" s="2" t="str">
        <x:f>IF(AD48&lt;&gt;1,"",COUNTIFS($Z$48:$Z$61,"&lt;"&amp;Z48,$AD$48:$AD$61,1)+COUNTIFS($Z$48:$Z$61,Z48,$AB$48:$AB$61,"&gt;"&amp;AB48,$AD$48:$AD$61,1)+COUNTIFS($Z$48:$Z$61,Z48,$AB$48:$AB$61,AB48,$V$48:$V$61,"&gt;"&amp;V48,$AD$48:$AD$61,1)+COUNTIFS($Z$48:Z48,Z48,$AB$48:AB48,AB48,$V$48:V48,V48,$AD$48:AD48,1))</x:f>
      </x:c>
      <x:c r="AD48" s="2" t="n">
        <x:f>IF(OR(AA48="DEFENSIV",AA48="PRUDENT",AA48="MODERAT",AA48="RIDICAT"),1,0)</x:f>
        <x:v>0</x:v>
      </x:c>
      <x:c r="AE48" s="2" t="str">
        <x:f>IF(AD48&lt;&gt;1,"NO",IF(W48="PASS","YES",IF(W48="OOS PENDING","CONDITIONAL","NO")))</x:f>
        <x:v>NO</x:v>
      </x:c>
      <x:c r="AF48" s="2" t="n">
        <x:f>IF(AND(AD48=1,AC48=1,E48="LIVE"),1,0)</x:f>
        <x:v>0</x:v>
      </x:c>
      <x:c r="AG48" s="2" t="str">
        <x:f>IF(AF48&lt;&gt;1,"",'Dashboard'!P29)</x:f>
      </x:c>
      <x:c r="AH48" s="2" t="str">
        <x:f>IF(B48="","",IF(J48&lt;&gt;"PASS",'Motor_Meciuri'!J9,IF('Calibrare_Linii'!U6&lt;&gt;"VALID","Parametri linie invalizi",IF(L48&gt;'Config_v6'!$B$13,"Dispersie peste limita",IF(W48="WATCH","Failure peste limita",IF(AB48&lt;'Config_v6'!$B$16,"P finala sub prag",IF(V48&lt;'Config_v6'!$B$18,"Confidence sub prag",IF(E48="REPLAY","Exemplu retrospectiv; exclus din Top LIVE",IF(Y48="PASS","DEFENSIV validat",IF(W48="OOS PENDING","Eligibil; calibrare linie in monitorizare","Eligibil"))))))))))</x:f>
      </x:c>
      <x:c r="AI48" s="2" t="str">
        <x:f>IF(B48="","",'Calibrare_Linii'!V6)</x:f>
      </x:c>
      <x:c r="AJ48" s="2" t="str">
        <x:f>IF(B48="","",IF(AND('Calibrare_Linii'!T6="VALIDATED",AND('Calibrare_Linii'!H6=C48,ISNUMBER('Calibrare_Linii'!J6),'Calibrare_Linii'!J6&lt;='Input_Meci'!G9)),"DEFENSIVE VALIDATED",IF(AND('Calibrare_Linii'!S6="VALIDATED",AND('Calibrare_Linii'!H6=C48,ISNUMBER('Calibrare_Linii'!J6),'Calibrare_Linii'!J6&lt;='Input_Meci'!G9)),"TAIL VALIDATED","OOS PENDING")))</x:f>
      </x:c>
      <x:c r="AK48" s="2" t="n">
        <x:f>IF(J48&lt;&gt;"PASS",0,'Motor_Meciuri'!BR9)</x:f>
        <x:v>0</x:v>
      </x:c>
      <x:c r="AL48" s="2" t="n">
        <x:f>IF(J48&lt;&gt;"PASS",0,'Motor_Meciuri'!BS9)</x:f>
        <x:v>0</x:v>
      </x:c>
      <x:c r="AM48" s="2" t="n">
        <x:f>IF(J48&lt;&gt;"PASS",0,'Motor_Meciuri'!BT9)</x:f>
        <x:v>0</x:v>
      </x:c>
      <x:c r="AN48" s="2" t="str">
        <x:f>IF(M48="","",MAX(0,'Motor_Meciuri'!BF9-IF(L48&gt;'Config_v6'!$B$12,'Config_v6'!$B$37,IF(L48&gt;'Config_v6'!$B$11,'Config_v6'!$B$36,0))))</x:f>
      </x:c>
    </x:row>
    <x:row r="49" ht="21" customHeight="1">
      <x:c r="A49" s="2" t="n">
        <x:v>4</x:v>
      </x:c>
      <x:c r="B49" s="2" t="str">
        <x:f>IF('Motor_Meciuri'!A9="","",'Motor_Meciuri'!A9)</x:f>
      </x:c>
      <x:c r="C49" s="2" t="str">
        <x:f>IF(B49="","",'Motor_Meciuri'!B9)</x:f>
      </x:c>
      <x:c r="D49" s="2" t="str">
        <x:f>IF(B49="","",'Motor_Meciuri'!D9)</x:f>
      </x:c>
      <x:c r="E49" s="2" t="str">
        <x:f>IF(B49="","",'Motor_Meciuri'!E9)</x:f>
      </x:c>
      <x:c r="F49" s="2" t="str">
        <x:v>O4,5</x:v>
      </x:c>
      <x:c r="G49" s="2" t="str">
        <x:v>OVER</x:v>
      </x:c>
      <x:c r="H49" s="2" t="n">
        <x:v>4</x:v>
      </x:c>
      <x:c r="I49" s="2" t="str">
        <x:f>IF(B49="","",'Motor_Meciuri'!H9)</x:f>
      </x:c>
      <x:c r="J49" s="2" t="str">
        <x:f>IF(B49="","",'Motor_Meciuri'!I9)</x:f>
      </x:c>
      <x:c r="K49" s="11" t="str">
        <x:f>IF(J49&lt;&gt;"PASS","",'Motor_Meciuri'!BD9)</x:f>
      </x:c>
      <x:c r="L49" s="11" t="str">
        <x:f>IF(J49&lt;&gt;"PASS","",'Motor_Meciuri'!AU9)</x:f>
      </x:c>
      <x:c r="M49" s="10" t="str">
        <x:f>IF(NOT(AND(J49="PASS",'Calibrare_Linii'!U7="VALID")),"",1-'Distributie'!AB9)</x:f>
      </x:c>
      <x:c r="N49" s="10" t="str">
        <x:f>IF(M49="","",MAX(0.01,MIN(0.99,0.5+(M49-0.5)*'Motor_Meciuri'!BG9*'Calibrare_Linii'!D7)))</x:f>
      </x:c>
      <x:c r="O49" s="10" t="str">
        <x:f>IF(M49="","",1-M49)</x:f>
      </x:c>
      <x:c r="P49" s="10" t="str">
        <x:f>IF(OR(NOT(AND(J49="PASS",'Calibrare_Linii'!U7="VALID")),AK49=0),""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*('Istoric_Nativ'!$Q$6:$Q$405&lt;=H49))/AK49)</x:f>
      </x:c>
      <x:c r="Q49" s="10" t="str">
        <x:f>IF(OR(NOT(AND(J49="PASS",'Calibrare_Linii'!U7="VALID")),AL49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M9)+((('Istoric_Nativ'!$E$6:$E$405='Input_Meci'!E9)+('Istoric_Nativ'!$F$6:$F$405='Input_Meci'!E9))&gt;0)*('Istoric_Nativ'!$D$6:$D$405&gt;='Motor_Meciuri'!BN9))&gt;0)*('Istoric_Nativ'!$Q$6:$Q$405&lt;=H49))/AL49)</x:f>
      </x:c>
      <x:c r="R49" s="10" t="str">
        <x:f>IF(OR(NOT(AND(J49="PASS",'Calibrare_Linii'!U7="VALID")),AM49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O9)+((('Istoric_Nativ'!$E$6:$E$405='Input_Meci'!E9)+('Istoric_Nativ'!$F$6:$F$405='Input_Meci'!E9))&gt;0)*('Istoric_Nativ'!$D$6:$D$405&gt;='Motor_Meciuri'!BP9))&gt;0)*('Istoric_Nativ'!$Q$6:$Q$405&lt;=H49))/AM49)</x:f>
      </x:c>
      <x:c r="S49" s="10" t="str">
        <x:f>IF(M49="","",MAX(O49,P49,Q49,R49))</x:f>
      </x:c>
      <x:c r="T49" s="11" t="str">
        <x:f>IF(M49="","",MIN(100,S49*100*'Config_v6'!$B$44+MIN(100,L49/'Config_v6'!$B$13*100)*'Config_v6'!$B$45+(100-'Motor_Meciuri'!BF9)*'Config_v6'!$B$46+'Motor_Meciuri'!BH9*100*'Config_v6'!$B$47))</x:f>
      </x:c>
      <x:c r="U49" s="2" t="str">
        <x:f>IF(T49="","",IF(T49&lt;=20,1,IF(T49&lt;=40,2,IF(T49&lt;=60,3,IF(T49&lt;=80,4,5)))))</x:f>
      </x:c>
      <x:c r="V49" s="2" t="str">
        <x:f>IF(M49="","",MAX(0,'Motor_Meciuri'!BF9-IF(W49="OOS PENDING",'Config_v6'!$B$35,0)-IF(L49&gt;'Config_v6'!$B$12,'Config_v6'!$B$37,IF(L49&gt;'Config_v6'!$B$11,'Config_v6'!$B$36,0))))</x:f>
      </x:c>
      <x:c r="W49" s="2" t="str">
        <x:f>IF(B49="","",IF(I49&lt;&gt;"READY","NOT RELEASED",IF(NOT(AND(J49="PASS",'Calibrare_Linii'!U7="VALID")),"INVALID",IF(NOT(AND('Calibrare_Linii'!S7="VALIDATED",AND('Calibrare_Linii'!H7=C49,ISNUMBER('Calibrare_Linii'!J7),'Calibrare_Linii'!J7&lt;='Input_Meci'!G9))),"OOS PENDING",IF(S49&lt;='Calibrare_Linii'!E7,"PASS",IF(S49&lt;='Calibrare_Linii'!F7,"PENALTY","WATCH"))))))</x:f>
      </x:c>
      <x:c r="X49" s="2" t="str">
        <x:f>IF(M49="","",IF(AND(AND(J49="PASS",'Calibrare_Linii'!U7="VALID"),'Motor_Meciuri'!K9=12,'Motor_Meciuri'!L9=12,'Motor_Meciuri'!M9="NO",'Motor_Meciuri'!BL9='Motor_Meciuri'!C9,AB49&gt;='Config_v6'!$B$50,AN49&gt;='Config_v6'!$B$51,T49&lt;='Config_v6'!$B$52,L49&lt;='Config_v6'!$B$53,ISNUMBER('Calibrare_Linii'!E7),S49&lt;='Calibrare_Linii'!E7,SUM(AK49:AM49)&gt;0),"CANDIDATE","NO"))</x:f>
      </x:c>
      <x:c r="Y49" s="2" t="str">
        <x:f>IF(B49="","",IF(I49&lt;&gt;"READY","NOT RELEASED",IF(AND(X49="CANDIDATE",V49&gt;='Config_v6'!$B$51,W49="PASS",'Calibrare_Linii'!T7="VALIDATED",AND('Calibrare_Linii'!H7=C49,ISNUMBER('Calibrare_Linii'!J7),'Calibrare_Linii'!J7&lt;='Input_Meci'!G9)),"PASS",IF(X49="CANDIDATE","OOS PENDING","FAIL"))))</x:f>
      </x:c>
      <x:c r="Z49" s="2" t="str">
        <x:f>IF(B49="","",IF(I49&lt;&gt;"READY","",IF(OR(NOT(AND(J49="PASS",'Calibrare_Linii'!U7="VALID")),L49&gt;'Config_v6'!$B$13,W49="WATCH"),5,IF(Y49="PASS",1,MIN(5,MAX('Config_v6'!$B$42,U49)+IF(W49="PENALTY",1,0))))))</x:f>
      </x:c>
      <x:c r="AA49" s="2" t="str">
        <x:f>IF(B49="","",IF(I49&lt;&gt;"READY","NOT RELEASED",IF(Z49=5,"NO BET",IF(OR(AB49&lt;'Config_v6'!$B$16,V49&lt;'Config_v6'!$B$18),"WATCH",IF(Z49=1,"DEFENSIV",IF(Z49=2,"PRUDENT",IF(Z49=3,"MODERAT","RIDICAT")))))))</x:f>
      </x:c>
      <x:c r="AB49" s="10" t="str">
        <x:f>IF(N49="","",MIN(N49,1-S49))</x:f>
      </x:c>
      <x:c r="AC49" s="2" t="str">
        <x:f>IF(AD49&lt;&gt;1,"",COUNTIFS($Z$48:$Z$61,"&lt;"&amp;Z49,$AD$48:$AD$61,1)+COUNTIFS($Z$48:$Z$61,Z49,$AB$48:$AB$61,"&gt;"&amp;AB49,$AD$48:$AD$61,1)+COUNTIFS($Z$48:$Z$61,Z49,$AB$48:$AB$61,AB49,$V$48:$V$61,"&gt;"&amp;V49,$AD$48:$AD$61,1)+COUNTIFS($Z$48:Z49,Z49,$AB$48:AB49,AB49,$V$48:V49,V49,$AD$48:AD49,1))</x:f>
      </x:c>
      <x:c r="AD49" s="2" t="n">
        <x:f>IF(OR(AA49="DEFENSIV",AA49="PRUDENT",AA49="MODERAT",AA49="RIDICAT"),1,0)</x:f>
        <x:v>0</x:v>
      </x:c>
      <x:c r="AE49" s="2" t="str">
        <x:f>IF(AD49&lt;&gt;1,"NO",IF(W49="PASS","YES",IF(W49="OOS PENDING","CONDITIONAL","NO")))</x:f>
        <x:v>NO</x:v>
      </x:c>
      <x:c r="AF49" s="2" t="n">
        <x:f>IF(AND(AD49=1,AC49=1,E49="LIVE"),1,0)</x:f>
        <x:v>0</x:v>
      </x:c>
      <x:c r="AG49" s="2" t="str">
        <x:f>IF(AF49&lt;&gt;1,"",'Dashboard'!P29)</x:f>
      </x:c>
      <x:c r="AH49" s="2" t="str">
        <x:f>IF(B49="","",IF(J49&lt;&gt;"PASS",'Motor_Meciuri'!J9,IF('Calibrare_Linii'!U7&lt;&gt;"VALID","Parametri linie invalizi",IF(L49&gt;'Config_v6'!$B$13,"Dispersie peste limita",IF(W49="WATCH","Failure peste limita",IF(AB49&lt;'Config_v6'!$B$16,"P finala sub prag",IF(V49&lt;'Config_v6'!$B$18,"Confidence sub prag",IF(E49="REPLAY","Exemplu retrospectiv; exclus din Top LIVE",IF(Y49="PASS","DEFENSIV validat",IF(W49="OOS PENDING","Eligibil; calibrare linie in monitorizare","Eligibil"))))))))))</x:f>
      </x:c>
      <x:c r="AI49" s="2" t="str">
        <x:f>IF(B49="","",'Calibrare_Linii'!V7)</x:f>
      </x:c>
      <x:c r="AJ49" s="2" t="str">
        <x:f>IF(B49="","",IF(AND('Calibrare_Linii'!T7="VALIDATED",AND('Calibrare_Linii'!H7=C49,ISNUMBER('Calibrare_Linii'!J7),'Calibrare_Linii'!J7&lt;='Input_Meci'!G9)),"DEFENSIVE VALIDATED",IF(AND('Calibrare_Linii'!S7="VALIDATED",AND('Calibrare_Linii'!H7=C49,ISNUMBER('Calibrare_Linii'!J7),'Calibrare_Linii'!J7&lt;='Input_Meci'!G9)),"TAIL VALIDATED","OOS PENDING")))</x:f>
      </x:c>
      <x:c r="AK49" s="2" t="n">
        <x:f>IF(J49&lt;&gt;"PASS",0,'Motor_Meciuri'!BR9)</x:f>
        <x:v>0</x:v>
      </x:c>
      <x:c r="AL49" s="2" t="n">
        <x:f>IF(J49&lt;&gt;"PASS",0,'Motor_Meciuri'!BS9)</x:f>
        <x:v>0</x:v>
      </x:c>
      <x:c r="AM49" s="2" t="n">
        <x:f>IF(J49&lt;&gt;"PASS",0,'Motor_Meciuri'!BT9)</x:f>
        <x:v>0</x:v>
      </x:c>
      <x:c r="AN49" s="2" t="str">
        <x:f>IF(M49="","",MAX(0,'Motor_Meciuri'!BF9-IF(L49&gt;'Config_v6'!$B$12,'Config_v6'!$B$37,IF(L49&gt;'Config_v6'!$B$11,'Config_v6'!$B$36,0))))</x:f>
      </x:c>
    </x:row>
    <x:row r="50" ht="21" customHeight="1">
      <x:c r="A50" s="2" t="n">
        <x:v>4</x:v>
      </x:c>
      <x:c r="B50" s="2" t="str">
        <x:f>IF('Motor_Meciuri'!A9="","",'Motor_Meciuri'!A9)</x:f>
      </x:c>
      <x:c r="C50" s="2" t="str">
        <x:f>IF(B50="","",'Motor_Meciuri'!B9)</x:f>
      </x:c>
      <x:c r="D50" s="2" t="str">
        <x:f>IF(B50="","",'Motor_Meciuri'!D9)</x:f>
      </x:c>
      <x:c r="E50" s="2" t="str">
        <x:f>IF(B50="","",'Motor_Meciuri'!E9)</x:f>
      </x:c>
      <x:c r="F50" s="2" t="str">
        <x:v>O5,5</x:v>
      </x:c>
      <x:c r="G50" s="2" t="str">
        <x:v>OVER</x:v>
      </x:c>
      <x:c r="H50" s="2" t="n">
        <x:v>5</x:v>
      </x:c>
      <x:c r="I50" s="2" t="str">
        <x:f>IF(B50="","",'Motor_Meciuri'!H9)</x:f>
      </x:c>
      <x:c r="J50" s="2" t="str">
        <x:f>IF(B50="","",'Motor_Meciuri'!I9)</x:f>
      </x:c>
      <x:c r="K50" s="11" t="str">
        <x:f>IF(J50&lt;&gt;"PASS","",'Motor_Meciuri'!BD9)</x:f>
      </x:c>
      <x:c r="L50" s="11" t="str">
        <x:f>IF(J50&lt;&gt;"PASS","",'Motor_Meciuri'!AU9)</x:f>
      </x:c>
      <x:c r="M50" s="10" t="str">
        <x:f>IF(NOT(AND(J50="PASS",'Calibrare_Linii'!U8="VALID")),"",1-'Distributie'!AC9)</x:f>
      </x:c>
      <x:c r="N50" s="10" t="str">
        <x:f>IF(M50="","",MAX(0.01,MIN(0.99,0.5+(M50-0.5)*'Motor_Meciuri'!BG9*'Calibrare_Linii'!D8)))</x:f>
      </x:c>
      <x:c r="O50" s="10" t="str">
        <x:f>IF(M50="","",1-M50)</x:f>
      </x:c>
      <x:c r="P50" s="10" t="str">
        <x:f>IF(OR(NOT(AND(J50="PASS",'Calibrare_Linii'!U8="VALID")),AK50=0),""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*('Istoric_Nativ'!$Q$6:$Q$405&lt;=H50))/AK50)</x:f>
      </x:c>
      <x:c r="Q50" s="10" t="str">
        <x:f>IF(OR(NOT(AND(J50="PASS",'Calibrare_Linii'!U8="VALID")),AL50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M9)+((('Istoric_Nativ'!$E$6:$E$405='Input_Meci'!E9)+('Istoric_Nativ'!$F$6:$F$405='Input_Meci'!E9))&gt;0)*('Istoric_Nativ'!$D$6:$D$405&gt;='Motor_Meciuri'!BN9))&gt;0)*('Istoric_Nativ'!$Q$6:$Q$405&lt;=H50))/AL50)</x:f>
      </x:c>
      <x:c r="R50" s="10" t="str">
        <x:f>IF(OR(NOT(AND(J50="PASS",'Calibrare_Linii'!U8="VALID")),AM50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O9)+((('Istoric_Nativ'!$E$6:$E$405='Input_Meci'!E9)+('Istoric_Nativ'!$F$6:$F$405='Input_Meci'!E9))&gt;0)*('Istoric_Nativ'!$D$6:$D$405&gt;='Motor_Meciuri'!BP9))&gt;0)*('Istoric_Nativ'!$Q$6:$Q$405&lt;=H50))/AM50)</x:f>
      </x:c>
      <x:c r="S50" s="10" t="str">
        <x:f>IF(M50="","",MAX(O50,P50,Q50,R50))</x:f>
      </x:c>
      <x:c r="T50" s="11" t="str">
        <x:f>IF(M50="","",MIN(100,S50*100*'Config_v6'!$B$44+MIN(100,L50/'Config_v6'!$B$13*100)*'Config_v6'!$B$45+(100-'Motor_Meciuri'!BF9)*'Config_v6'!$B$46+'Motor_Meciuri'!BH9*100*'Config_v6'!$B$47))</x:f>
      </x:c>
      <x:c r="U50" s="2" t="str">
        <x:f>IF(T50="","",IF(T50&lt;=20,1,IF(T50&lt;=40,2,IF(T50&lt;=60,3,IF(T50&lt;=80,4,5)))))</x:f>
      </x:c>
      <x:c r="V50" s="2" t="str">
        <x:f>IF(M50="","",MAX(0,'Motor_Meciuri'!BF9-IF(W50="OOS PENDING",'Config_v6'!$B$35,0)-IF(L50&gt;'Config_v6'!$B$12,'Config_v6'!$B$37,IF(L50&gt;'Config_v6'!$B$11,'Config_v6'!$B$36,0))))</x:f>
      </x:c>
      <x:c r="W50" s="2" t="str">
        <x:f>IF(B50="","",IF(I50&lt;&gt;"READY","NOT RELEASED",IF(NOT(AND(J50="PASS",'Calibrare_Linii'!U8="VALID")),"INVALID",IF(NOT(AND('Calibrare_Linii'!S8="VALIDATED",AND('Calibrare_Linii'!H8=C50,ISNUMBER('Calibrare_Linii'!J8),'Calibrare_Linii'!J8&lt;='Input_Meci'!G9))),"OOS PENDING",IF(S50&lt;='Calibrare_Linii'!E8,"PASS",IF(S50&lt;='Calibrare_Linii'!F8,"PENALTY","WATCH"))))))</x:f>
      </x:c>
      <x:c r="X50" s="2" t="str">
        <x:f>IF(M50="","",IF(AND(AND(J50="PASS",'Calibrare_Linii'!U8="VALID"),'Motor_Meciuri'!K9=12,'Motor_Meciuri'!L9=12,'Motor_Meciuri'!M9="NO",'Motor_Meciuri'!BL9='Motor_Meciuri'!C9,AB50&gt;='Config_v6'!$B$50,AN50&gt;='Config_v6'!$B$51,T50&lt;='Config_v6'!$B$52,L50&lt;='Config_v6'!$B$53,ISNUMBER('Calibrare_Linii'!E8),S50&lt;='Calibrare_Linii'!E8,SUM(AK50:AM50)&gt;0),"CANDIDATE","NO"))</x:f>
      </x:c>
      <x:c r="Y50" s="2" t="str">
        <x:f>IF(B50="","",IF(I50&lt;&gt;"READY","NOT RELEASED",IF(AND(X50="CANDIDATE",V50&gt;='Config_v6'!$B$51,W50="PASS",'Calibrare_Linii'!T8="VALIDATED",AND('Calibrare_Linii'!H8=C50,ISNUMBER('Calibrare_Linii'!J8),'Calibrare_Linii'!J8&lt;='Input_Meci'!G9)),"PASS",IF(X50="CANDIDATE","OOS PENDING","FAIL"))))</x:f>
      </x:c>
      <x:c r="Z50" s="2" t="str">
        <x:f>IF(B50="","",IF(I50&lt;&gt;"READY","",IF(OR(NOT(AND(J50="PASS",'Calibrare_Linii'!U8="VALID")),L50&gt;'Config_v6'!$B$13,W50="WATCH"),5,IF(Y50="PASS",1,MIN(5,MAX('Config_v6'!$B$42,U50)+IF(W50="PENALTY",1,0))))))</x:f>
      </x:c>
      <x:c r="AA50" s="2" t="str">
        <x:f>IF(B50="","",IF(I50&lt;&gt;"READY","NOT RELEASED",IF(Z50=5,"NO BET",IF(OR(AB50&lt;'Config_v6'!$B$16,V50&lt;'Config_v6'!$B$18),"WATCH",IF(Z50=1,"DEFENSIV",IF(Z50=2,"PRUDENT",IF(Z50=3,"MODERAT","RIDICAT")))))))</x:f>
      </x:c>
      <x:c r="AB50" s="10" t="str">
        <x:f>IF(N50="","",MIN(N50,1-S50))</x:f>
      </x:c>
      <x:c r="AC50" s="2" t="str">
        <x:f>IF(AD50&lt;&gt;1,"",COUNTIFS($Z$48:$Z$61,"&lt;"&amp;Z50,$AD$48:$AD$61,1)+COUNTIFS($Z$48:$Z$61,Z50,$AB$48:$AB$61,"&gt;"&amp;AB50,$AD$48:$AD$61,1)+COUNTIFS($Z$48:$Z$61,Z50,$AB$48:$AB$61,AB50,$V$48:$V$61,"&gt;"&amp;V50,$AD$48:$AD$61,1)+COUNTIFS($Z$48:Z50,Z50,$AB$48:AB50,AB50,$V$48:V50,V50,$AD$48:AD50,1))</x:f>
      </x:c>
      <x:c r="AD50" s="2" t="n">
        <x:f>IF(OR(AA50="DEFENSIV",AA50="PRUDENT",AA50="MODERAT",AA50="RIDICAT"),1,0)</x:f>
        <x:v>0</x:v>
      </x:c>
      <x:c r="AE50" s="2" t="str">
        <x:f>IF(AD50&lt;&gt;1,"NO",IF(W50="PASS","YES",IF(W50="OOS PENDING","CONDITIONAL","NO")))</x:f>
        <x:v>NO</x:v>
      </x:c>
      <x:c r="AF50" s="2" t="n">
        <x:f>IF(AND(AD50=1,AC50=1,E50="LIVE"),1,0)</x:f>
        <x:v>0</x:v>
      </x:c>
      <x:c r="AG50" s="2" t="str">
        <x:f>IF(AF50&lt;&gt;1,"",'Dashboard'!P29)</x:f>
      </x:c>
      <x:c r="AH50" s="2" t="str">
        <x:f>IF(B50="","",IF(J50&lt;&gt;"PASS",'Motor_Meciuri'!J9,IF('Calibrare_Linii'!U8&lt;&gt;"VALID","Parametri linie invalizi",IF(L50&gt;'Config_v6'!$B$13,"Dispersie peste limita",IF(W50="WATCH","Failure peste limita",IF(AB50&lt;'Config_v6'!$B$16,"P finala sub prag",IF(V50&lt;'Config_v6'!$B$18,"Confidence sub prag",IF(E50="REPLAY","Exemplu retrospectiv; exclus din Top LIVE",IF(Y50="PASS","DEFENSIV validat",IF(W50="OOS PENDING","Eligibil; calibrare linie in monitorizare","Eligibil"))))))))))</x:f>
      </x:c>
      <x:c r="AI50" s="2" t="str">
        <x:f>IF(B50="","",'Calibrare_Linii'!V8)</x:f>
      </x:c>
      <x:c r="AJ50" s="2" t="str">
        <x:f>IF(B50="","",IF(AND('Calibrare_Linii'!T8="VALIDATED",AND('Calibrare_Linii'!H8=C50,ISNUMBER('Calibrare_Linii'!J8),'Calibrare_Linii'!J8&lt;='Input_Meci'!G9)),"DEFENSIVE VALIDATED",IF(AND('Calibrare_Linii'!S8="VALIDATED",AND('Calibrare_Linii'!H8=C50,ISNUMBER('Calibrare_Linii'!J8),'Calibrare_Linii'!J8&lt;='Input_Meci'!G9)),"TAIL VALIDATED","OOS PENDING")))</x:f>
      </x:c>
      <x:c r="AK50" s="2" t="n">
        <x:f>IF(J50&lt;&gt;"PASS",0,'Motor_Meciuri'!BR9)</x:f>
        <x:v>0</x:v>
      </x:c>
      <x:c r="AL50" s="2" t="n">
        <x:f>IF(J50&lt;&gt;"PASS",0,'Motor_Meciuri'!BS9)</x:f>
        <x:v>0</x:v>
      </x:c>
      <x:c r="AM50" s="2" t="n">
        <x:f>IF(J50&lt;&gt;"PASS",0,'Motor_Meciuri'!BT9)</x:f>
        <x:v>0</x:v>
      </x:c>
      <x:c r="AN50" s="2" t="str">
        <x:f>IF(M50="","",MAX(0,'Motor_Meciuri'!BF9-IF(L50&gt;'Config_v6'!$B$12,'Config_v6'!$B$37,IF(L50&gt;'Config_v6'!$B$11,'Config_v6'!$B$36,0))))</x:f>
      </x:c>
    </x:row>
    <x:row r="51" ht="21" customHeight="1">
      <x:c r="A51" s="2" t="n">
        <x:v>4</x:v>
      </x:c>
      <x:c r="B51" s="2" t="str">
        <x:f>IF('Motor_Meciuri'!A9="","",'Motor_Meciuri'!A9)</x:f>
      </x:c>
      <x:c r="C51" s="2" t="str">
        <x:f>IF(B51="","",'Motor_Meciuri'!B9)</x:f>
      </x:c>
      <x:c r="D51" s="2" t="str">
        <x:f>IF(B51="","",'Motor_Meciuri'!D9)</x:f>
      </x:c>
      <x:c r="E51" s="2" t="str">
        <x:f>IF(B51="","",'Motor_Meciuri'!E9)</x:f>
      </x:c>
      <x:c r="F51" s="2" t="str">
        <x:v>O6,5</x:v>
      </x:c>
      <x:c r="G51" s="2" t="str">
        <x:v>OVER</x:v>
      </x:c>
      <x:c r="H51" s="2" t="n">
        <x:v>6</x:v>
      </x:c>
      <x:c r="I51" s="2" t="str">
        <x:f>IF(B51="","",'Motor_Meciuri'!H9)</x:f>
      </x:c>
      <x:c r="J51" s="2" t="str">
        <x:f>IF(B51="","",'Motor_Meciuri'!I9)</x:f>
      </x:c>
      <x:c r="K51" s="11" t="str">
        <x:f>IF(J51&lt;&gt;"PASS","",'Motor_Meciuri'!BD9)</x:f>
      </x:c>
      <x:c r="L51" s="11" t="str">
        <x:f>IF(J51&lt;&gt;"PASS","",'Motor_Meciuri'!AU9)</x:f>
      </x:c>
      <x:c r="M51" s="10" t="str">
        <x:f>IF(NOT(AND(J51="PASS",'Calibrare_Linii'!U9="VALID")),"",1-'Distributie'!AD9)</x:f>
      </x:c>
      <x:c r="N51" s="10" t="str">
        <x:f>IF(M51="","",MAX(0.01,MIN(0.99,0.5+(M51-0.5)*'Motor_Meciuri'!BG9*'Calibrare_Linii'!D9)))</x:f>
      </x:c>
      <x:c r="O51" s="10" t="str">
        <x:f>IF(M51="","",1-M51)</x:f>
      </x:c>
      <x:c r="P51" s="10" t="str">
        <x:f>IF(OR(NOT(AND(J51="PASS",'Calibrare_Linii'!U9="VALID")),AK51=0),""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*('Istoric_Nativ'!$Q$6:$Q$405&lt;=H51))/AK51)</x:f>
      </x:c>
      <x:c r="Q51" s="10" t="str">
        <x:f>IF(OR(NOT(AND(J51="PASS",'Calibrare_Linii'!U9="VALID")),AL51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M9)+((('Istoric_Nativ'!$E$6:$E$405='Input_Meci'!E9)+('Istoric_Nativ'!$F$6:$F$405='Input_Meci'!E9))&gt;0)*('Istoric_Nativ'!$D$6:$D$405&gt;='Motor_Meciuri'!BN9))&gt;0)*('Istoric_Nativ'!$Q$6:$Q$405&lt;=H51))/AL51)</x:f>
      </x:c>
      <x:c r="R51" s="10" t="str">
        <x:f>IF(OR(NOT(AND(J51="PASS",'Calibrare_Linii'!U9="VALID")),AM51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O9)+((('Istoric_Nativ'!$E$6:$E$405='Input_Meci'!E9)+('Istoric_Nativ'!$F$6:$F$405='Input_Meci'!E9))&gt;0)*('Istoric_Nativ'!$D$6:$D$405&gt;='Motor_Meciuri'!BP9))&gt;0)*('Istoric_Nativ'!$Q$6:$Q$405&lt;=H51))/AM51)</x:f>
      </x:c>
      <x:c r="S51" s="10" t="str">
        <x:f>IF(M51="","",MAX(O51,P51,Q51,R51))</x:f>
      </x:c>
      <x:c r="T51" s="11" t="str">
        <x:f>IF(M51="","",MIN(100,S51*100*'Config_v6'!$B$44+MIN(100,L51/'Config_v6'!$B$13*100)*'Config_v6'!$B$45+(100-'Motor_Meciuri'!BF9)*'Config_v6'!$B$46+'Motor_Meciuri'!BH9*100*'Config_v6'!$B$47))</x:f>
      </x:c>
      <x:c r="U51" s="2" t="str">
        <x:f>IF(T51="","",IF(T51&lt;=20,1,IF(T51&lt;=40,2,IF(T51&lt;=60,3,IF(T51&lt;=80,4,5)))))</x:f>
      </x:c>
      <x:c r="V51" s="2" t="str">
        <x:f>IF(M51="","",MAX(0,'Motor_Meciuri'!BF9-IF(W51="OOS PENDING",'Config_v6'!$B$35,0)-IF(L51&gt;'Config_v6'!$B$12,'Config_v6'!$B$37,IF(L51&gt;'Config_v6'!$B$11,'Config_v6'!$B$36,0))))</x:f>
      </x:c>
      <x:c r="W51" s="2" t="str">
        <x:f>IF(B51="","",IF(I51&lt;&gt;"READY","NOT RELEASED",IF(NOT(AND(J51="PASS",'Calibrare_Linii'!U9="VALID")),"INVALID",IF(NOT(AND('Calibrare_Linii'!S9="VALIDATED",AND('Calibrare_Linii'!H9=C51,ISNUMBER('Calibrare_Linii'!J9),'Calibrare_Linii'!J9&lt;='Input_Meci'!G9))),"OOS PENDING",IF(S51&lt;='Calibrare_Linii'!E9,"PASS",IF(S51&lt;='Calibrare_Linii'!F9,"PENALTY","WATCH"))))))</x:f>
      </x:c>
      <x:c r="X51" s="2" t="str">
        <x:f>IF(M51="","",IF(AND(AND(J51="PASS",'Calibrare_Linii'!U9="VALID"),'Motor_Meciuri'!K9=12,'Motor_Meciuri'!L9=12,'Motor_Meciuri'!M9="NO",'Motor_Meciuri'!BL9='Motor_Meciuri'!C9,AB51&gt;='Config_v6'!$B$50,AN51&gt;='Config_v6'!$B$51,T51&lt;='Config_v6'!$B$52,L51&lt;='Config_v6'!$B$53,ISNUMBER('Calibrare_Linii'!E9),S51&lt;='Calibrare_Linii'!E9,SUM(AK51:AM51)&gt;0),"CANDIDATE","NO"))</x:f>
      </x:c>
      <x:c r="Y51" s="2" t="str">
        <x:f>IF(B51="","",IF(I51&lt;&gt;"READY","NOT RELEASED",IF(AND(X51="CANDIDATE",V51&gt;='Config_v6'!$B$51,W51="PASS",'Calibrare_Linii'!T9="VALIDATED",AND('Calibrare_Linii'!H9=C51,ISNUMBER('Calibrare_Linii'!J9),'Calibrare_Linii'!J9&lt;='Input_Meci'!G9)),"PASS",IF(X51="CANDIDATE","OOS PENDING","FAIL"))))</x:f>
      </x:c>
      <x:c r="Z51" s="2" t="str">
        <x:f>IF(B51="","",IF(I51&lt;&gt;"READY","",IF(OR(NOT(AND(J51="PASS",'Calibrare_Linii'!U9="VALID")),L51&gt;'Config_v6'!$B$13,W51="WATCH"),5,IF(Y51="PASS",1,MIN(5,MAX('Config_v6'!$B$42,U51)+IF(W51="PENALTY",1,0))))))</x:f>
      </x:c>
      <x:c r="AA51" s="2" t="str">
        <x:f>IF(B51="","",IF(I51&lt;&gt;"READY","NOT RELEASED",IF(Z51=5,"NO BET",IF(OR(AB51&lt;'Config_v6'!$B$16,V51&lt;'Config_v6'!$B$18),"WATCH",IF(Z51=1,"DEFENSIV",IF(Z51=2,"PRUDENT",IF(Z51=3,"MODERAT","RIDICAT")))))))</x:f>
      </x:c>
      <x:c r="AB51" s="10" t="str">
        <x:f>IF(N51="","",MIN(N51,1-S51))</x:f>
      </x:c>
      <x:c r="AC51" s="2" t="str">
        <x:f>IF(AD51&lt;&gt;1,"",COUNTIFS($Z$48:$Z$61,"&lt;"&amp;Z51,$AD$48:$AD$61,1)+COUNTIFS($Z$48:$Z$61,Z51,$AB$48:$AB$61,"&gt;"&amp;AB51,$AD$48:$AD$61,1)+COUNTIFS($Z$48:$Z$61,Z51,$AB$48:$AB$61,AB51,$V$48:$V$61,"&gt;"&amp;V51,$AD$48:$AD$61,1)+COUNTIFS($Z$48:Z51,Z51,$AB$48:AB51,AB51,$V$48:V51,V51,$AD$48:AD51,1))</x:f>
      </x:c>
      <x:c r="AD51" s="2" t="n">
        <x:f>IF(OR(AA51="DEFENSIV",AA51="PRUDENT",AA51="MODERAT",AA51="RIDICAT"),1,0)</x:f>
        <x:v>0</x:v>
      </x:c>
      <x:c r="AE51" s="2" t="str">
        <x:f>IF(AD51&lt;&gt;1,"NO",IF(W51="PASS","YES",IF(W51="OOS PENDING","CONDITIONAL","NO")))</x:f>
        <x:v>NO</x:v>
      </x:c>
      <x:c r="AF51" s="2" t="n">
        <x:f>IF(AND(AD51=1,AC51=1,E51="LIVE"),1,0)</x:f>
        <x:v>0</x:v>
      </x:c>
      <x:c r="AG51" s="2" t="str">
        <x:f>IF(AF51&lt;&gt;1,"",'Dashboard'!P29)</x:f>
      </x:c>
      <x:c r="AH51" s="2" t="str">
        <x:f>IF(B51="","",IF(J51&lt;&gt;"PASS",'Motor_Meciuri'!J9,IF('Calibrare_Linii'!U9&lt;&gt;"VALID","Parametri linie invalizi",IF(L51&gt;'Config_v6'!$B$13,"Dispersie peste limita",IF(W51="WATCH","Failure peste limita",IF(AB51&lt;'Config_v6'!$B$16,"P finala sub prag",IF(V51&lt;'Config_v6'!$B$18,"Confidence sub prag",IF(E51="REPLAY","Exemplu retrospectiv; exclus din Top LIVE",IF(Y51="PASS","DEFENSIV validat",IF(W51="OOS PENDING","Eligibil; calibrare linie in monitorizare","Eligibil"))))))))))</x:f>
      </x:c>
      <x:c r="AI51" s="2" t="str">
        <x:f>IF(B51="","",'Calibrare_Linii'!V9)</x:f>
      </x:c>
      <x:c r="AJ51" s="2" t="str">
        <x:f>IF(B51="","",IF(AND('Calibrare_Linii'!T9="VALIDATED",AND('Calibrare_Linii'!H9=C51,ISNUMBER('Calibrare_Linii'!J9),'Calibrare_Linii'!J9&lt;='Input_Meci'!G9)),"DEFENSIVE VALIDATED",IF(AND('Calibrare_Linii'!S9="VALIDATED",AND('Calibrare_Linii'!H9=C51,ISNUMBER('Calibrare_Linii'!J9),'Calibrare_Linii'!J9&lt;='Input_Meci'!G9)),"TAIL VALIDATED","OOS PENDING")))</x:f>
      </x:c>
      <x:c r="AK51" s="2" t="n">
        <x:f>IF(J51&lt;&gt;"PASS",0,'Motor_Meciuri'!BR9)</x:f>
        <x:v>0</x:v>
      </x:c>
      <x:c r="AL51" s="2" t="n">
        <x:f>IF(J51&lt;&gt;"PASS",0,'Motor_Meciuri'!BS9)</x:f>
        <x:v>0</x:v>
      </x:c>
      <x:c r="AM51" s="2" t="n">
        <x:f>IF(J51&lt;&gt;"PASS",0,'Motor_Meciuri'!BT9)</x:f>
        <x:v>0</x:v>
      </x:c>
      <x:c r="AN51" s="2" t="str">
        <x:f>IF(M51="","",MAX(0,'Motor_Meciuri'!BF9-IF(L51&gt;'Config_v6'!$B$12,'Config_v6'!$B$37,IF(L51&gt;'Config_v6'!$B$11,'Config_v6'!$B$36,0))))</x:f>
      </x:c>
    </x:row>
    <x:row r="52" ht="21" customHeight="1">
      <x:c r="A52" s="2" t="n">
        <x:v>4</x:v>
      </x:c>
      <x:c r="B52" s="2" t="str">
        <x:f>IF('Motor_Meciuri'!A9="","",'Motor_Meciuri'!A9)</x:f>
      </x:c>
      <x:c r="C52" s="2" t="str">
        <x:f>IF(B52="","",'Motor_Meciuri'!B9)</x:f>
      </x:c>
      <x:c r="D52" s="2" t="str">
        <x:f>IF(B52="","",'Motor_Meciuri'!D9)</x:f>
      </x:c>
      <x:c r="E52" s="2" t="str">
        <x:f>IF(B52="","",'Motor_Meciuri'!E9)</x:f>
      </x:c>
      <x:c r="F52" s="2" t="str">
        <x:v>O7,5</x:v>
      </x:c>
      <x:c r="G52" s="2" t="str">
        <x:v>OVER</x:v>
      </x:c>
      <x:c r="H52" s="2" t="n">
        <x:v>7</x:v>
      </x:c>
      <x:c r="I52" s="2" t="str">
        <x:f>IF(B52="","",'Motor_Meciuri'!H9)</x:f>
      </x:c>
      <x:c r="J52" s="2" t="str">
        <x:f>IF(B52="","",'Motor_Meciuri'!I9)</x:f>
      </x:c>
      <x:c r="K52" s="11" t="str">
        <x:f>IF(J52&lt;&gt;"PASS","",'Motor_Meciuri'!BD9)</x:f>
      </x:c>
      <x:c r="L52" s="11" t="str">
        <x:f>IF(J52&lt;&gt;"PASS","",'Motor_Meciuri'!AU9)</x:f>
      </x:c>
      <x:c r="M52" s="10" t="str">
        <x:f>IF(NOT(AND(J52="PASS",'Calibrare_Linii'!U10="VALID")),"",1-'Distributie'!AE9)</x:f>
      </x:c>
      <x:c r="N52" s="10" t="str">
        <x:f>IF(M52="","",MAX(0.01,MIN(0.99,0.5+(M52-0.5)*'Motor_Meciuri'!BG9*'Calibrare_Linii'!D10)))</x:f>
      </x:c>
      <x:c r="O52" s="10" t="str">
        <x:f>IF(M52="","",1-M52)</x:f>
      </x:c>
      <x:c r="P52" s="10" t="str">
        <x:f>IF(OR(NOT(AND(J52="PASS",'Calibrare_Linii'!U10="VALID")),AK52=0),""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*('Istoric_Nativ'!$Q$6:$Q$405&lt;=H52))/AK52)</x:f>
      </x:c>
      <x:c r="Q52" s="10" t="str">
        <x:f>IF(OR(NOT(AND(J52="PASS",'Calibrare_Linii'!U10="VALID")),AL52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M9)+((('Istoric_Nativ'!$E$6:$E$405='Input_Meci'!E9)+('Istoric_Nativ'!$F$6:$F$405='Input_Meci'!E9))&gt;0)*('Istoric_Nativ'!$D$6:$D$405&gt;='Motor_Meciuri'!BN9))&gt;0)*('Istoric_Nativ'!$Q$6:$Q$405&lt;=H52))/AL52)</x:f>
      </x:c>
      <x:c r="R52" s="10" t="str">
        <x:f>IF(OR(NOT(AND(J52="PASS",'Calibrare_Linii'!U10="VALID")),AM52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O9)+((('Istoric_Nativ'!$E$6:$E$405='Input_Meci'!E9)+('Istoric_Nativ'!$F$6:$F$405='Input_Meci'!E9))&gt;0)*('Istoric_Nativ'!$D$6:$D$405&gt;='Motor_Meciuri'!BP9))&gt;0)*('Istoric_Nativ'!$Q$6:$Q$405&lt;=H52))/AM52)</x:f>
      </x:c>
      <x:c r="S52" s="10" t="str">
        <x:f>IF(M52="","",MAX(O52,P52,Q52,R52))</x:f>
      </x:c>
      <x:c r="T52" s="11" t="str">
        <x:f>IF(M52="","",MIN(100,S52*100*'Config_v6'!$B$44+MIN(100,L52/'Config_v6'!$B$13*100)*'Config_v6'!$B$45+(100-'Motor_Meciuri'!BF9)*'Config_v6'!$B$46+'Motor_Meciuri'!BH9*100*'Config_v6'!$B$47))</x:f>
      </x:c>
      <x:c r="U52" s="2" t="str">
        <x:f>IF(T52="","",IF(T52&lt;=20,1,IF(T52&lt;=40,2,IF(T52&lt;=60,3,IF(T52&lt;=80,4,5)))))</x:f>
      </x:c>
      <x:c r="V52" s="2" t="str">
        <x:f>IF(M52="","",MAX(0,'Motor_Meciuri'!BF9-IF(W52="OOS PENDING",'Config_v6'!$B$35,0)-IF(L52&gt;'Config_v6'!$B$12,'Config_v6'!$B$37,IF(L52&gt;'Config_v6'!$B$11,'Config_v6'!$B$36,0))))</x:f>
      </x:c>
      <x:c r="W52" s="2" t="str">
        <x:f>IF(B52="","",IF(I52&lt;&gt;"READY","NOT RELEASED",IF(NOT(AND(J52="PASS",'Calibrare_Linii'!U10="VALID")),"INVALID",IF(NOT(AND('Calibrare_Linii'!S10="VALIDATED",AND('Calibrare_Linii'!H10=C52,ISNUMBER('Calibrare_Linii'!J10),'Calibrare_Linii'!J10&lt;='Input_Meci'!G9))),"OOS PENDING",IF(S52&lt;='Calibrare_Linii'!E10,"PASS",IF(S52&lt;='Calibrare_Linii'!F10,"PENALTY","WATCH"))))))</x:f>
      </x:c>
      <x:c r="X52" s="2" t="str">
        <x:f>IF(M52="","",IF(AND(AND(J52="PASS",'Calibrare_Linii'!U10="VALID"),'Motor_Meciuri'!K9=12,'Motor_Meciuri'!L9=12,'Motor_Meciuri'!M9="NO",'Motor_Meciuri'!BL9='Motor_Meciuri'!C9,AB52&gt;='Config_v6'!$B$50,AN52&gt;='Config_v6'!$B$51,T52&lt;='Config_v6'!$B$52,L52&lt;='Config_v6'!$B$53,ISNUMBER('Calibrare_Linii'!E10),S52&lt;='Calibrare_Linii'!E10,SUM(AK52:AM52)&gt;0),"CANDIDATE","NO"))</x:f>
      </x:c>
      <x:c r="Y52" s="2" t="str">
        <x:f>IF(B52="","",IF(I52&lt;&gt;"READY","NOT RELEASED",IF(AND(X52="CANDIDATE",V52&gt;='Config_v6'!$B$51,W52="PASS",'Calibrare_Linii'!T10="VALIDATED",AND('Calibrare_Linii'!H10=C52,ISNUMBER('Calibrare_Linii'!J10),'Calibrare_Linii'!J10&lt;='Input_Meci'!G9)),"PASS",IF(X52="CANDIDATE","OOS PENDING","FAIL"))))</x:f>
      </x:c>
      <x:c r="Z52" s="2" t="str">
        <x:f>IF(B52="","",IF(I52&lt;&gt;"READY","",IF(OR(NOT(AND(J52="PASS",'Calibrare_Linii'!U10="VALID")),L52&gt;'Config_v6'!$B$13,W52="WATCH"),5,IF(Y52="PASS",1,MIN(5,MAX('Config_v6'!$B$42,U52)+IF(W52="PENALTY",1,0))))))</x:f>
      </x:c>
      <x:c r="AA52" s="2" t="str">
        <x:f>IF(B52="","",IF(I52&lt;&gt;"READY","NOT RELEASED",IF(Z52=5,"NO BET",IF(OR(AB52&lt;'Config_v6'!$B$16,V52&lt;'Config_v6'!$B$18),"WATCH",IF(Z52=1,"DEFENSIV",IF(Z52=2,"PRUDENT",IF(Z52=3,"MODERAT","RIDICAT")))))))</x:f>
      </x:c>
      <x:c r="AB52" s="10" t="str">
        <x:f>IF(N52="","",MIN(N52,1-S52))</x:f>
      </x:c>
      <x:c r="AC52" s="2" t="str">
        <x:f>IF(AD52&lt;&gt;1,"",COUNTIFS($Z$48:$Z$61,"&lt;"&amp;Z52,$AD$48:$AD$61,1)+COUNTIFS($Z$48:$Z$61,Z52,$AB$48:$AB$61,"&gt;"&amp;AB52,$AD$48:$AD$61,1)+COUNTIFS($Z$48:$Z$61,Z52,$AB$48:$AB$61,AB52,$V$48:$V$61,"&gt;"&amp;V52,$AD$48:$AD$61,1)+COUNTIFS($Z$48:Z52,Z52,$AB$48:AB52,AB52,$V$48:V52,V52,$AD$48:AD52,1))</x:f>
      </x:c>
      <x:c r="AD52" s="2" t="n">
        <x:f>IF(OR(AA52="DEFENSIV",AA52="PRUDENT",AA52="MODERAT",AA52="RIDICAT"),1,0)</x:f>
        <x:v>0</x:v>
      </x:c>
      <x:c r="AE52" s="2" t="str">
        <x:f>IF(AD52&lt;&gt;1,"NO",IF(W52="PASS","YES",IF(W52="OOS PENDING","CONDITIONAL","NO")))</x:f>
        <x:v>NO</x:v>
      </x:c>
      <x:c r="AF52" s="2" t="n">
        <x:f>IF(AND(AD52=1,AC52=1,E52="LIVE"),1,0)</x:f>
        <x:v>0</x:v>
      </x:c>
      <x:c r="AG52" s="2" t="str">
        <x:f>IF(AF52&lt;&gt;1,"",'Dashboard'!P29)</x:f>
      </x:c>
      <x:c r="AH52" s="2" t="str">
        <x:f>IF(B52="","",IF(J52&lt;&gt;"PASS",'Motor_Meciuri'!J9,IF('Calibrare_Linii'!U10&lt;&gt;"VALID","Parametri linie invalizi",IF(L52&gt;'Config_v6'!$B$13,"Dispersie peste limita",IF(W52="WATCH","Failure peste limita",IF(AB52&lt;'Config_v6'!$B$16,"P finala sub prag",IF(V52&lt;'Config_v6'!$B$18,"Confidence sub prag",IF(E52="REPLAY","Exemplu retrospectiv; exclus din Top LIVE",IF(Y52="PASS","DEFENSIV validat",IF(W52="OOS PENDING","Eligibil; calibrare linie in monitorizare","Eligibil"))))))))))</x:f>
      </x:c>
      <x:c r="AI52" s="2" t="str">
        <x:f>IF(B52="","",'Calibrare_Linii'!V10)</x:f>
      </x:c>
      <x:c r="AJ52" s="2" t="str">
        <x:f>IF(B52="","",IF(AND('Calibrare_Linii'!T10="VALIDATED",AND('Calibrare_Linii'!H10=C52,ISNUMBER('Calibrare_Linii'!J10),'Calibrare_Linii'!J10&lt;='Input_Meci'!G9)),"DEFENSIVE VALIDATED",IF(AND('Calibrare_Linii'!S10="VALIDATED",AND('Calibrare_Linii'!H10=C52,ISNUMBER('Calibrare_Linii'!J10),'Calibrare_Linii'!J10&lt;='Input_Meci'!G9)),"TAIL VALIDATED","OOS PENDING")))</x:f>
      </x:c>
      <x:c r="AK52" s="2" t="n">
        <x:f>IF(J52&lt;&gt;"PASS",0,'Motor_Meciuri'!BR9)</x:f>
        <x:v>0</x:v>
      </x:c>
      <x:c r="AL52" s="2" t="n">
        <x:f>IF(J52&lt;&gt;"PASS",0,'Motor_Meciuri'!BS9)</x:f>
        <x:v>0</x:v>
      </x:c>
      <x:c r="AM52" s="2" t="n">
        <x:f>IF(J52&lt;&gt;"PASS",0,'Motor_Meciuri'!BT9)</x:f>
        <x:v>0</x:v>
      </x:c>
      <x:c r="AN52" s="2" t="str">
        <x:f>IF(M52="","",MAX(0,'Motor_Meciuri'!BF9-IF(L52&gt;'Config_v6'!$B$12,'Config_v6'!$B$37,IF(L52&gt;'Config_v6'!$B$11,'Config_v6'!$B$36,0))))</x:f>
      </x:c>
    </x:row>
    <x:row r="53" ht="21" customHeight="1">
      <x:c r="A53" s="2" t="n">
        <x:v>4</x:v>
      </x:c>
      <x:c r="B53" s="2" t="str">
        <x:f>IF('Motor_Meciuri'!A9="","",'Motor_Meciuri'!A9)</x:f>
      </x:c>
      <x:c r="C53" s="2" t="str">
        <x:f>IF(B53="","",'Motor_Meciuri'!B9)</x:f>
      </x:c>
      <x:c r="D53" s="2" t="str">
        <x:f>IF(B53="","",'Motor_Meciuri'!D9)</x:f>
      </x:c>
      <x:c r="E53" s="2" t="str">
        <x:f>IF(B53="","",'Motor_Meciuri'!E9)</x:f>
      </x:c>
      <x:c r="F53" s="2" t="str">
        <x:v>O8,5</x:v>
      </x:c>
      <x:c r="G53" s="2" t="str">
        <x:v>OVER</x:v>
      </x:c>
      <x:c r="H53" s="2" t="n">
        <x:v>8</x:v>
      </x:c>
      <x:c r="I53" s="2" t="str">
        <x:f>IF(B53="","",'Motor_Meciuri'!H9)</x:f>
      </x:c>
      <x:c r="J53" s="2" t="str">
        <x:f>IF(B53="","",'Motor_Meciuri'!I9)</x:f>
      </x:c>
      <x:c r="K53" s="11" t="str">
        <x:f>IF(J53&lt;&gt;"PASS","",'Motor_Meciuri'!BD9)</x:f>
      </x:c>
      <x:c r="L53" s="11" t="str">
        <x:f>IF(J53&lt;&gt;"PASS","",'Motor_Meciuri'!AU9)</x:f>
      </x:c>
      <x:c r="M53" s="10" t="str">
        <x:f>IF(NOT(AND(J53="PASS",'Calibrare_Linii'!U11="VALID")),"",1-'Distributie'!AF9)</x:f>
      </x:c>
      <x:c r="N53" s="10" t="str">
        <x:f>IF(M53="","",MAX(0.01,MIN(0.99,0.5+(M53-0.5)*'Motor_Meciuri'!BG9*'Calibrare_Linii'!D11)))</x:f>
      </x:c>
      <x:c r="O53" s="10" t="str">
        <x:f>IF(M53="","",1-M53)</x:f>
      </x:c>
      <x:c r="P53" s="10" t="str">
        <x:f>IF(OR(NOT(AND(J53="PASS",'Calibrare_Linii'!U11="VALID")),AK53=0),""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*('Istoric_Nativ'!$Q$6:$Q$405&lt;=H53))/AK53)</x:f>
      </x:c>
      <x:c r="Q53" s="10" t="str">
        <x:f>IF(OR(NOT(AND(J53="PASS",'Calibrare_Linii'!U11="VALID")),AL53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M9)+((('Istoric_Nativ'!$E$6:$E$405='Input_Meci'!E9)+('Istoric_Nativ'!$F$6:$F$405='Input_Meci'!E9))&gt;0)*('Istoric_Nativ'!$D$6:$D$405&gt;='Motor_Meciuri'!BN9))&gt;0)*('Istoric_Nativ'!$Q$6:$Q$405&lt;=H53))/AL53)</x:f>
      </x:c>
      <x:c r="R53" s="10" t="str">
        <x:f>IF(OR(NOT(AND(J53="PASS",'Calibrare_Linii'!U11="VALID")),AM53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O9)+((('Istoric_Nativ'!$E$6:$E$405='Input_Meci'!E9)+('Istoric_Nativ'!$F$6:$F$405='Input_Meci'!E9))&gt;0)*('Istoric_Nativ'!$D$6:$D$405&gt;='Motor_Meciuri'!BP9))&gt;0)*('Istoric_Nativ'!$Q$6:$Q$405&lt;=H53))/AM53)</x:f>
      </x:c>
      <x:c r="S53" s="10" t="str">
        <x:f>IF(M53="","",MAX(O53,P53,Q53,R53))</x:f>
      </x:c>
      <x:c r="T53" s="11" t="str">
        <x:f>IF(M53="","",MIN(100,S53*100*'Config_v6'!$B$44+MIN(100,L53/'Config_v6'!$B$13*100)*'Config_v6'!$B$45+(100-'Motor_Meciuri'!BF9)*'Config_v6'!$B$46+'Motor_Meciuri'!BH9*100*'Config_v6'!$B$47))</x:f>
      </x:c>
      <x:c r="U53" s="2" t="str">
        <x:f>IF(T53="","",IF(T53&lt;=20,1,IF(T53&lt;=40,2,IF(T53&lt;=60,3,IF(T53&lt;=80,4,5)))))</x:f>
      </x:c>
      <x:c r="V53" s="2" t="str">
        <x:f>IF(M53="","",MAX(0,'Motor_Meciuri'!BF9-IF(W53="OOS PENDING",'Config_v6'!$B$35,0)-IF(L53&gt;'Config_v6'!$B$12,'Config_v6'!$B$37,IF(L53&gt;'Config_v6'!$B$11,'Config_v6'!$B$36,0))))</x:f>
      </x:c>
      <x:c r="W53" s="2" t="str">
        <x:f>IF(B53="","",IF(I53&lt;&gt;"READY","NOT RELEASED",IF(NOT(AND(J53="PASS",'Calibrare_Linii'!U11="VALID")),"INVALID",IF(NOT(AND('Calibrare_Linii'!S11="VALIDATED",AND('Calibrare_Linii'!H11=C53,ISNUMBER('Calibrare_Linii'!J11),'Calibrare_Linii'!J11&lt;='Input_Meci'!G9))),"OOS PENDING",IF(S53&lt;='Calibrare_Linii'!E11,"PASS",IF(S53&lt;='Calibrare_Linii'!F11,"PENALTY","WATCH"))))))</x:f>
      </x:c>
      <x:c r="X53" s="2" t="str">
        <x:f>IF(M53="","",IF(AND(AND(J53="PASS",'Calibrare_Linii'!U11="VALID"),'Motor_Meciuri'!K9=12,'Motor_Meciuri'!L9=12,'Motor_Meciuri'!M9="NO",'Motor_Meciuri'!BL9='Motor_Meciuri'!C9,AB53&gt;='Config_v6'!$B$50,AN53&gt;='Config_v6'!$B$51,T53&lt;='Config_v6'!$B$52,L53&lt;='Config_v6'!$B$53,ISNUMBER('Calibrare_Linii'!E11),S53&lt;='Calibrare_Linii'!E11,SUM(AK53:AM53)&gt;0),"CANDIDATE","NO"))</x:f>
      </x:c>
      <x:c r="Y53" s="2" t="str">
        <x:f>IF(B53="","",IF(I53&lt;&gt;"READY","NOT RELEASED",IF(AND(X53="CANDIDATE",V53&gt;='Config_v6'!$B$51,W53="PASS",'Calibrare_Linii'!T11="VALIDATED",AND('Calibrare_Linii'!H11=C53,ISNUMBER('Calibrare_Linii'!J11),'Calibrare_Linii'!J11&lt;='Input_Meci'!G9)),"PASS",IF(X53="CANDIDATE","OOS PENDING","FAIL"))))</x:f>
      </x:c>
      <x:c r="Z53" s="2" t="str">
        <x:f>IF(B53="","",IF(I53&lt;&gt;"READY","",IF(OR(NOT(AND(J53="PASS",'Calibrare_Linii'!U11="VALID")),L53&gt;'Config_v6'!$B$13,W53="WATCH"),5,IF(Y53="PASS",1,MIN(5,MAX('Config_v6'!$B$42,U53)+IF(W53="PENALTY",1,0))))))</x:f>
      </x:c>
      <x:c r="AA53" s="2" t="str">
        <x:f>IF(B53="","",IF(I53&lt;&gt;"READY","NOT RELEASED",IF(Z53=5,"NO BET",IF(OR(AB53&lt;'Config_v6'!$B$16,V53&lt;'Config_v6'!$B$18),"WATCH",IF(Z53=1,"DEFENSIV",IF(Z53=2,"PRUDENT",IF(Z53=3,"MODERAT","RIDICAT")))))))</x:f>
      </x:c>
      <x:c r="AB53" s="10" t="str">
        <x:f>IF(N53="","",MIN(N53,1-S53))</x:f>
      </x:c>
      <x:c r="AC53" s="2" t="str">
        <x:f>IF(AD53&lt;&gt;1,"",COUNTIFS($Z$48:$Z$61,"&lt;"&amp;Z53,$AD$48:$AD$61,1)+COUNTIFS($Z$48:$Z$61,Z53,$AB$48:$AB$61,"&gt;"&amp;AB53,$AD$48:$AD$61,1)+COUNTIFS($Z$48:$Z$61,Z53,$AB$48:$AB$61,AB53,$V$48:$V$61,"&gt;"&amp;V53,$AD$48:$AD$61,1)+COUNTIFS($Z$48:Z53,Z53,$AB$48:AB53,AB53,$V$48:V53,V53,$AD$48:AD53,1))</x:f>
      </x:c>
      <x:c r="AD53" s="2" t="n">
        <x:f>IF(OR(AA53="DEFENSIV",AA53="PRUDENT",AA53="MODERAT",AA53="RIDICAT"),1,0)</x:f>
        <x:v>0</x:v>
      </x:c>
      <x:c r="AE53" s="2" t="str">
        <x:f>IF(AD53&lt;&gt;1,"NO",IF(W53="PASS","YES",IF(W53="OOS PENDING","CONDITIONAL","NO")))</x:f>
        <x:v>NO</x:v>
      </x:c>
      <x:c r="AF53" s="2" t="n">
        <x:f>IF(AND(AD53=1,AC53=1,E53="LIVE"),1,0)</x:f>
        <x:v>0</x:v>
      </x:c>
      <x:c r="AG53" s="2" t="str">
        <x:f>IF(AF53&lt;&gt;1,"",'Dashboard'!P29)</x:f>
      </x:c>
      <x:c r="AH53" s="2" t="str">
        <x:f>IF(B53="","",IF(J53&lt;&gt;"PASS",'Motor_Meciuri'!J9,IF('Calibrare_Linii'!U11&lt;&gt;"VALID","Parametri linie invalizi",IF(L53&gt;'Config_v6'!$B$13,"Dispersie peste limita",IF(W53="WATCH","Failure peste limita",IF(AB53&lt;'Config_v6'!$B$16,"P finala sub prag",IF(V53&lt;'Config_v6'!$B$18,"Confidence sub prag",IF(E53="REPLAY","Exemplu retrospectiv; exclus din Top LIVE",IF(Y53="PASS","DEFENSIV validat",IF(W53="OOS PENDING","Eligibil; calibrare linie in monitorizare","Eligibil"))))))))))</x:f>
      </x:c>
      <x:c r="AI53" s="2" t="str">
        <x:f>IF(B53="","",'Calibrare_Linii'!V11)</x:f>
      </x:c>
      <x:c r="AJ53" s="2" t="str">
        <x:f>IF(B53="","",IF(AND('Calibrare_Linii'!T11="VALIDATED",AND('Calibrare_Linii'!H11=C53,ISNUMBER('Calibrare_Linii'!J11),'Calibrare_Linii'!J11&lt;='Input_Meci'!G9)),"DEFENSIVE VALIDATED",IF(AND('Calibrare_Linii'!S11="VALIDATED",AND('Calibrare_Linii'!H11=C53,ISNUMBER('Calibrare_Linii'!J11),'Calibrare_Linii'!J11&lt;='Input_Meci'!G9)),"TAIL VALIDATED","OOS PENDING")))</x:f>
      </x:c>
      <x:c r="AK53" s="2" t="n">
        <x:f>IF(J53&lt;&gt;"PASS",0,'Motor_Meciuri'!BR9)</x:f>
        <x:v>0</x:v>
      </x:c>
      <x:c r="AL53" s="2" t="n">
        <x:f>IF(J53&lt;&gt;"PASS",0,'Motor_Meciuri'!BS9)</x:f>
        <x:v>0</x:v>
      </x:c>
      <x:c r="AM53" s="2" t="n">
        <x:f>IF(J53&lt;&gt;"PASS",0,'Motor_Meciuri'!BT9)</x:f>
        <x:v>0</x:v>
      </x:c>
      <x:c r="AN53" s="2" t="str">
        <x:f>IF(M53="","",MAX(0,'Motor_Meciuri'!BF9-IF(L53&gt;'Config_v6'!$B$12,'Config_v6'!$B$37,IF(L53&gt;'Config_v6'!$B$11,'Config_v6'!$B$36,0))))</x:f>
      </x:c>
    </x:row>
    <x:row r="54" ht="21" customHeight="1">
      <x:c r="A54" s="2" t="n">
        <x:v>4</x:v>
      </x:c>
      <x:c r="B54" s="2" t="str">
        <x:f>IF('Motor_Meciuri'!A9="","",'Motor_Meciuri'!A9)</x:f>
      </x:c>
      <x:c r="C54" s="2" t="str">
        <x:f>IF(B54="","",'Motor_Meciuri'!B9)</x:f>
      </x:c>
      <x:c r="D54" s="2" t="str">
        <x:f>IF(B54="","",'Motor_Meciuri'!D9)</x:f>
      </x:c>
      <x:c r="E54" s="2" t="str">
        <x:f>IF(B54="","",'Motor_Meciuri'!E9)</x:f>
      </x:c>
      <x:c r="F54" s="2" t="str">
        <x:v>U10,5</x:v>
      </x:c>
      <x:c r="G54" s="2" t="str">
        <x:v>UNDER</x:v>
      </x:c>
      <x:c r="H54" s="2" t="n">
        <x:v>10</x:v>
      </x:c>
      <x:c r="I54" s="2" t="str">
        <x:f>IF(B54="","",'Motor_Meciuri'!H9)</x:f>
      </x:c>
      <x:c r="J54" s="2" t="str">
        <x:f>IF(B54="","",'Motor_Meciuri'!I9)</x:f>
      </x:c>
      <x:c r="K54" s="11" t="str">
        <x:f>IF(J54&lt;&gt;"PASS","",'Motor_Meciuri'!BD9)</x:f>
      </x:c>
      <x:c r="L54" s="11" t="str">
        <x:f>IF(J54&lt;&gt;"PASS","",'Motor_Meciuri'!AU9)</x:f>
      </x:c>
      <x:c r="M54" s="10" t="str">
        <x:f>IF(NOT(AND(J54="PASS",'Calibrare_Linii'!U12="VALID")),"",'Distributie'!AH9)</x:f>
      </x:c>
      <x:c r="N54" s="10" t="str">
        <x:f>IF(M54="","",MAX(0.01,MIN(0.99,0.5+(M54-0.5)*'Motor_Meciuri'!BG9*'Calibrare_Linii'!D12)))</x:f>
      </x:c>
      <x:c r="O54" s="10" t="str">
        <x:f>IF(M54="","",1-M54)</x:f>
      </x:c>
      <x:c r="P54" s="10" t="str">
        <x:f>IF(OR(NOT(AND(J54="PASS",'Calibrare_Linii'!U12="VALID")),AK54=0),""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*('Istoric_Nativ'!$Q$6:$Q$405&gt;H54))/AK54)</x:f>
      </x:c>
      <x:c r="Q54" s="10" t="str">
        <x:f>IF(OR(NOT(AND(J54="PASS",'Calibrare_Linii'!U12="VALID")),AL54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M9)+((('Istoric_Nativ'!$E$6:$E$405='Input_Meci'!E9)+('Istoric_Nativ'!$F$6:$F$405='Input_Meci'!E9))&gt;0)*('Istoric_Nativ'!$D$6:$D$405&gt;='Motor_Meciuri'!BN9))&gt;0)*('Istoric_Nativ'!$Q$6:$Q$405&gt;H54))/AL54)</x:f>
      </x:c>
      <x:c r="R54" s="10" t="str">
        <x:f>IF(OR(NOT(AND(J54="PASS",'Calibrare_Linii'!U12="VALID")),AM54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O9)+((('Istoric_Nativ'!$E$6:$E$405='Input_Meci'!E9)+('Istoric_Nativ'!$F$6:$F$405='Input_Meci'!E9))&gt;0)*('Istoric_Nativ'!$D$6:$D$405&gt;='Motor_Meciuri'!BP9))&gt;0)*('Istoric_Nativ'!$Q$6:$Q$405&gt;H54))/AM54)</x:f>
      </x:c>
      <x:c r="S54" s="10" t="str">
        <x:f>IF(M54="","",MAX(O54,P54,Q54,R54))</x:f>
      </x:c>
      <x:c r="T54" s="11" t="str">
        <x:f>IF(M54="","",MIN(100,S54*100*'Config_v6'!$B$44+MIN(100,L54/'Config_v6'!$B$13*100)*'Config_v6'!$B$45+(100-'Motor_Meciuri'!BF9)*'Config_v6'!$B$46+'Motor_Meciuri'!BH9*100*'Config_v6'!$B$47))</x:f>
      </x:c>
      <x:c r="U54" s="2" t="str">
        <x:f>IF(T54="","",IF(T54&lt;=20,1,IF(T54&lt;=40,2,IF(T54&lt;=60,3,IF(T54&lt;=80,4,5)))))</x:f>
      </x:c>
      <x:c r="V54" s="2" t="str">
        <x:f>IF(M54="","",MAX(0,'Motor_Meciuri'!BF9-IF(W54="OOS PENDING",'Config_v6'!$B$35,0)-IF(L54&gt;'Config_v6'!$B$12,'Config_v6'!$B$37,IF(L54&gt;'Config_v6'!$B$11,'Config_v6'!$B$36,0))))</x:f>
      </x:c>
      <x:c r="W54" s="2" t="str">
        <x:f>IF(B54="","",IF(I54&lt;&gt;"READY","NOT RELEASED",IF(NOT(AND(J54="PASS",'Calibrare_Linii'!U12="VALID")),"INVALID",IF(NOT(AND('Calibrare_Linii'!S12="VALIDATED",AND('Calibrare_Linii'!H12=C54,ISNUMBER('Calibrare_Linii'!J12),'Calibrare_Linii'!J12&lt;='Input_Meci'!G9))),"OOS PENDING",IF(S54&lt;='Calibrare_Linii'!E12,"PASS",IF(S54&lt;='Calibrare_Linii'!F12,"PENALTY","WATCH"))))))</x:f>
      </x:c>
      <x:c r="X54" s="2" t="str">
        <x:f>IF(M54="","",IF(AND(AND(J54="PASS",'Calibrare_Linii'!U12="VALID"),'Motor_Meciuri'!K9=12,'Motor_Meciuri'!L9=12,'Motor_Meciuri'!M9="NO",'Motor_Meciuri'!BL9='Motor_Meciuri'!C9,AB54&gt;='Config_v6'!$B$50,AN54&gt;='Config_v6'!$B$51,T54&lt;='Config_v6'!$B$52,L54&lt;='Config_v6'!$B$53,ISNUMBER('Calibrare_Linii'!E12),S54&lt;='Calibrare_Linii'!E12,SUM(AK54:AM54)&gt;0),"CANDIDATE","NO"))</x:f>
      </x:c>
      <x:c r="Y54" s="2" t="str">
        <x:f>IF(B54="","",IF(I54&lt;&gt;"READY","NOT RELEASED",IF(AND(X54="CANDIDATE",V54&gt;='Config_v6'!$B$51,W54="PASS",'Calibrare_Linii'!T12="VALIDATED",AND('Calibrare_Linii'!H12=C54,ISNUMBER('Calibrare_Linii'!J12),'Calibrare_Linii'!J12&lt;='Input_Meci'!G9)),"PASS",IF(X54="CANDIDATE","OOS PENDING","FAIL"))))</x:f>
      </x:c>
      <x:c r="Z54" s="2" t="str">
        <x:f>IF(B54="","",IF(I54&lt;&gt;"READY","",IF(OR(NOT(AND(J54="PASS",'Calibrare_Linii'!U12="VALID")),L54&gt;'Config_v6'!$B$13,W54="WATCH"),5,IF(Y54="PASS",1,MIN(5,MAX('Config_v6'!$B$42,U54)+IF(W54="PENALTY",1,0))))))</x:f>
      </x:c>
      <x:c r="AA54" s="2" t="str">
        <x:f>IF(B54="","",IF(I54&lt;&gt;"READY","NOT RELEASED",IF(Z54=5,"NO BET",IF(OR(AB54&lt;'Config_v6'!$B$16,V54&lt;'Config_v6'!$B$18),"WATCH",IF(Z54=1,"DEFENSIV",IF(Z54=2,"PRUDENT",IF(Z54=3,"MODERAT","RIDICAT")))))))</x:f>
      </x:c>
      <x:c r="AB54" s="10" t="str">
        <x:f>IF(N54="","",MIN(N54,1-S54))</x:f>
      </x:c>
      <x:c r="AC54" s="2" t="str">
        <x:f>IF(AD54&lt;&gt;1,"",COUNTIFS($Z$48:$Z$61,"&lt;"&amp;Z54,$AD$48:$AD$61,1)+COUNTIFS($Z$48:$Z$61,Z54,$AB$48:$AB$61,"&gt;"&amp;AB54,$AD$48:$AD$61,1)+COUNTIFS($Z$48:$Z$61,Z54,$AB$48:$AB$61,AB54,$V$48:$V$61,"&gt;"&amp;V54,$AD$48:$AD$61,1)+COUNTIFS($Z$48:Z54,Z54,$AB$48:AB54,AB54,$V$48:V54,V54,$AD$48:AD54,1))</x:f>
      </x:c>
      <x:c r="AD54" s="2" t="n">
        <x:f>IF(OR(AA54="DEFENSIV",AA54="PRUDENT",AA54="MODERAT",AA54="RIDICAT"),1,0)</x:f>
        <x:v>0</x:v>
      </x:c>
      <x:c r="AE54" s="2" t="str">
        <x:f>IF(AD54&lt;&gt;1,"NO",IF(W54="PASS","YES",IF(W54="OOS PENDING","CONDITIONAL","NO")))</x:f>
        <x:v>NO</x:v>
      </x:c>
      <x:c r="AF54" s="2" t="n">
        <x:f>IF(AND(AD54=1,AC54=1,E54="LIVE"),1,0)</x:f>
        <x:v>0</x:v>
      </x:c>
      <x:c r="AG54" s="2" t="str">
        <x:f>IF(AF54&lt;&gt;1,"",'Dashboard'!P29)</x:f>
      </x:c>
      <x:c r="AH54" s="2" t="str">
        <x:f>IF(B54="","",IF(J54&lt;&gt;"PASS",'Motor_Meciuri'!J9,IF('Calibrare_Linii'!U12&lt;&gt;"VALID","Parametri linie invalizi",IF(L54&gt;'Config_v6'!$B$13,"Dispersie peste limita",IF(W54="WATCH","Failure peste limita",IF(AB54&lt;'Config_v6'!$B$16,"P finala sub prag",IF(V54&lt;'Config_v6'!$B$18,"Confidence sub prag",IF(E54="REPLAY","Exemplu retrospectiv; exclus din Top LIVE",IF(Y54="PASS","DEFENSIV validat",IF(W54="OOS PENDING","Eligibil; calibrare linie in monitorizare","Eligibil"))))))))))</x:f>
      </x:c>
      <x:c r="AI54" s="2" t="str">
        <x:f>IF(B54="","",'Calibrare_Linii'!V12)</x:f>
      </x:c>
      <x:c r="AJ54" s="2" t="str">
        <x:f>IF(B54="","",IF(AND('Calibrare_Linii'!T12="VALIDATED",AND('Calibrare_Linii'!H12=C54,ISNUMBER('Calibrare_Linii'!J12),'Calibrare_Linii'!J12&lt;='Input_Meci'!G9)),"DEFENSIVE VALIDATED",IF(AND('Calibrare_Linii'!S12="VALIDATED",AND('Calibrare_Linii'!H12=C54,ISNUMBER('Calibrare_Linii'!J12),'Calibrare_Linii'!J12&lt;='Input_Meci'!G9)),"TAIL VALIDATED","OOS PENDING")))</x:f>
      </x:c>
      <x:c r="AK54" s="2" t="n">
        <x:f>IF(J54&lt;&gt;"PASS",0,'Motor_Meciuri'!BR9)</x:f>
        <x:v>0</x:v>
      </x:c>
      <x:c r="AL54" s="2" t="n">
        <x:f>IF(J54&lt;&gt;"PASS",0,'Motor_Meciuri'!BS9)</x:f>
        <x:v>0</x:v>
      </x:c>
      <x:c r="AM54" s="2" t="n">
        <x:f>IF(J54&lt;&gt;"PASS",0,'Motor_Meciuri'!BT9)</x:f>
        <x:v>0</x:v>
      </x:c>
      <x:c r="AN54" s="2" t="str">
        <x:f>IF(M54="","",MAX(0,'Motor_Meciuri'!BF9-IF(L54&gt;'Config_v6'!$B$12,'Config_v6'!$B$37,IF(L54&gt;'Config_v6'!$B$11,'Config_v6'!$B$36,0))))</x:f>
      </x:c>
    </x:row>
    <x:row r="55" ht="21" customHeight="1">
      <x:c r="A55" s="2" t="n">
        <x:v>4</x:v>
      </x:c>
      <x:c r="B55" s="2" t="str">
        <x:f>IF('Motor_Meciuri'!A9="","",'Motor_Meciuri'!A9)</x:f>
      </x:c>
      <x:c r="C55" s="2" t="str">
        <x:f>IF(B55="","",'Motor_Meciuri'!B9)</x:f>
      </x:c>
      <x:c r="D55" s="2" t="str">
        <x:f>IF(B55="","",'Motor_Meciuri'!D9)</x:f>
      </x:c>
      <x:c r="E55" s="2" t="str">
        <x:f>IF(B55="","",'Motor_Meciuri'!E9)</x:f>
      </x:c>
      <x:c r="F55" s="2" t="str">
        <x:v>U11,5</x:v>
      </x:c>
      <x:c r="G55" s="2" t="str">
        <x:v>UNDER</x:v>
      </x:c>
      <x:c r="H55" s="2" t="n">
        <x:v>11</x:v>
      </x:c>
      <x:c r="I55" s="2" t="str">
        <x:f>IF(B55="","",'Motor_Meciuri'!H9)</x:f>
      </x:c>
      <x:c r="J55" s="2" t="str">
        <x:f>IF(B55="","",'Motor_Meciuri'!I9)</x:f>
      </x:c>
      <x:c r="K55" s="11" t="str">
        <x:f>IF(J55&lt;&gt;"PASS","",'Motor_Meciuri'!BD9)</x:f>
      </x:c>
      <x:c r="L55" s="11" t="str">
        <x:f>IF(J55&lt;&gt;"PASS","",'Motor_Meciuri'!AU9)</x:f>
      </x:c>
      <x:c r="M55" s="10" t="str">
        <x:f>IF(NOT(AND(J55="PASS",'Calibrare_Linii'!U13="VALID")),"",'Distributie'!AI9)</x:f>
      </x:c>
      <x:c r="N55" s="10" t="str">
        <x:f>IF(M55="","",MAX(0.01,MIN(0.99,0.5+(M55-0.5)*'Motor_Meciuri'!BG9*'Calibrare_Linii'!D13)))</x:f>
      </x:c>
      <x:c r="O55" s="10" t="str">
        <x:f>IF(M55="","",1-M55)</x:f>
      </x:c>
      <x:c r="P55" s="10" t="str">
        <x:f>IF(OR(NOT(AND(J55="PASS",'Calibrare_Linii'!U13="VALID")),AK55=0),""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*('Istoric_Nativ'!$Q$6:$Q$405&gt;H55))/AK55)</x:f>
      </x:c>
      <x:c r="Q55" s="10" t="str">
        <x:f>IF(OR(NOT(AND(J55="PASS",'Calibrare_Linii'!U13="VALID")),AL55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M9)+((('Istoric_Nativ'!$E$6:$E$405='Input_Meci'!E9)+('Istoric_Nativ'!$F$6:$F$405='Input_Meci'!E9))&gt;0)*('Istoric_Nativ'!$D$6:$D$405&gt;='Motor_Meciuri'!BN9))&gt;0)*('Istoric_Nativ'!$Q$6:$Q$405&gt;H55))/AL55)</x:f>
      </x:c>
      <x:c r="R55" s="10" t="str">
        <x:f>IF(OR(NOT(AND(J55="PASS",'Calibrare_Linii'!U13="VALID")),AM55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O9)+((('Istoric_Nativ'!$E$6:$E$405='Input_Meci'!E9)+('Istoric_Nativ'!$F$6:$F$405='Input_Meci'!E9))&gt;0)*('Istoric_Nativ'!$D$6:$D$405&gt;='Motor_Meciuri'!BP9))&gt;0)*('Istoric_Nativ'!$Q$6:$Q$405&gt;H55))/AM55)</x:f>
      </x:c>
      <x:c r="S55" s="10" t="str">
        <x:f>IF(M55="","",MAX(O55,P55,Q55,R55))</x:f>
      </x:c>
      <x:c r="T55" s="11" t="str">
        <x:f>IF(M55="","",MIN(100,S55*100*'Config_v6'!$B$44+MIN(100,L55/'Config_v6'!$B$13*100)*'Config_v6'!$B$45+(100-'Motor_Meciuri'!BF9)*'Config_v6'!$B$46+'Motor_Meciuri'!BH9*100*'Config_v6'!$B$47))</x:f>
      </x:c>
      <x:c r="U55" s="2" t="str">
        <x:f>IF(T55="","",IF(T55&lt;=20,1,IF(T55&lt;=40,2,IF(T55&lt;=60,3,IF(T55&lt;=80,4,5)))))</x:f>
      </x:c>
      <x:c r="V55" s="2" t="str">
        <x:f>IF(M55="","",MAX(0,'Motor_Meciuri'!BF9-IF(W55="OOS PENDING",'Config_v6'!$B$35,0)-IF(L55&gt;'Config_v6'!$B$12,'Config_v6'!$B$37,IF(L55&gt;'Config_v6'!$B$11,'Config_v6'!$B$36,0))))</x:f>
      </x:c>
      <x:c r="W55" s="2" t="str">
        <x:f>IF(B55="","",IF(I55&lt;&gt;"READY","NOT RELEASED",IF(NOT(AND(J55="PASS",'Calibrare_Linii'!U13="VALID")),"INVALID",IF(NOT(AND('Calibrare_Linii'!S13="VALIDATED",AND('Calibrare_Linii'!H13=C55,ISNUMBER('Calibrare_Linii'!J13),'Calibrare_Linii'!J13&lt;='Input_Meci'!G9))),"OOS PENDING",IF(S55&lt;='Calibrare_Linii'!E13,"PASS",IF(S55&lt;='Calibrare_Linii'!F13,"PENALTY","WATCH"))))))</x:f>
      </x:c>
      <x:c r="X55" s="2" t="str">
        <x:f>IF(M55="","",IF(AND(AND(J55="PASS",'Calibrare_Linii'!U13="VALID"),'Motor_Meciuri'!K9=12,'Motor_Meciuri'!L9=12,'Motor_Meciuri'!M9="NO",'Motor_Meciuri'!BL9='Motor_Meciuri'!C9,AB55&gt;='Config_v6'!$B$50,AN55&gt;='Config_v6'!$B$51,T55&lt;='Config_v6'!$B$52,L55&lt;='Config_v6'!$B$53,ISNUMBER('Calibrare_Linii'!E13),S55&lt;='Calibrare_Linii'!E13,SUM(AK55:AM55)&gt;0),"CANDIDATE","NO"))</x:f>
      </x:c>
      <x:c r="Y55" s="2" t="str">
        <x:f>IF(B55="","",IF(I55&lt;&gt;"READY","NOT RELEASED",IF(AND(X55="CANDIDATE",V55&gt;='Config_v6'!$B$51,W55="PASS",'Calibrare_Linii'!T13="VALIDATED",AND('Calibrare_Linii'!H13=C55,ISNUMBER('Calibrare_Linii'!J13),'Calibrare_Linii'!J13&lt;='Input_Meci'!G9)),"PASS",IF(X55="CANDIDATE","OOS PENDING","FAIL"))))</x:f>
      </x:c>
      <x:c r="Z55" s="2" t="str">
        <x:f>IF(B55="","",IF(I55&lt;&gt;"READY","",IF(OR(NOT(AND(J55="PASS",'Calibrare_Linii'!U13="VALID")),L55&gt;'Config_v6'!$B$13,W55="WATCH"),5,IF(Y55="PASS",1,MIN(5,MAX('Config_v6'!$B$42,U55)+IF(W55="PENALTY",1,0))))))</x:f>
      </x:c>
      <x:c r="AA55" s="2" t="str">
        <x:f>IF(B55="","",IF(I55&lt;&gt;"READY","NOT RELEASED",IF(Z55=5,"NO BET",IF(OR(AB55&lt;'Config_v6'!$B$16,V55&lt;'Config_v6'!$B$18),"WATCH",IF(Z55=1,"DEFENSIV",IF(Z55=2,"PRUDENT",IF(Z55=3,"MODERAT","RIDICAT")))))))</x:f>
      </x:c>
      <x:c r="AB55" s="10" t="str">
        <x:f>IF(N55="","",MIN(N55,1-S55))</x:f>
      </x:c>
      <x:c r="AC55" s="2" t="str">
        <x:f>IF(AD55&lt;&gt;1,"",COUNTIFS($Z$48:$Z$61,"&lt;"&amp;Z55,$AD$48:$AD$61,1)+COUNTIFS($Z$48:$Z$61,Z55,$AB$48:$AB$61,"&gt;"&amp;AB55,$AD$48:$AD$61,1)+COUNTIFS($Z$48:$Z$61,Z55,$AB$48:$AB$61,AB55,$V$48:$V$61,"&gt;"&amp;V55,$AD$48:$AD$61,1)+COUNTIFS($Z$48:Z55,Z55,$AB$48:AB55,AB55,$V$48:V55,V55,$AD$48:AD55,1))</x:f>
      </x:c>
      <x:c r="AD55" s="2" t="n">
        <x:f>IF(OR(AA55="DEFENSIV",AA55="PRUDENT",AA55="MODERAT",AA55="RIDICAT"),1,0)</x:f>
        <x:v>0</x:v>
      </x:c>
      <x:c r="AE55" s="2" t="str">
        <x:f>IF(AD55&lt;&gt;1,"NO",IF(W55="PASS","YES",IF(W55="OOS PENDING","CONDITIONAL","NO")))</x:f>
        <x:v>NO</x:v>
      </x:c>
      <x:c r="AF55" s="2" t="n">
        <x:f>IF(AND(AD55=1,AC55=1,E55="LIVE"),1,0)</x:f>
        <x:v>0</x:v>
      </x:c>
      <x:c r="AG55" s="2" t="str">
        <x:f>IF(AF55&lt;&gt;1,"",'Dashboard'!P29)</x:f>
      </x:c>
      <x:c r="AH55" s="2" t="str">
        <x:f>IF(B55="","",IF(J55&lt;&gt;"PASS",'Motor_Meciuri'!J9,IF('Calibrare_Linii'!U13&lt;&gt;"VALID","Parametri linie invalizi",IF(L55&gt;'Config_v6'!$B$13,"Dispersie peste limita",IF(W55="WATCH","Failure peste limita",IF(AB55&lt;'Config_v6'!$B$16,"P finala sub prag",IF(V55&lt;'Config_v6'!$B$18,"Confidence sub prag",IF(E55="REPLAY","Exemplu retrospectiv; exclus din Top LIVE",IF(Y55="PASS","DEFENSIV validat",IF(W55="OOS PENDING","Eligibil; calibrare linie in monitorizare","Eligibil"))))))))))</x:f>
      </x:c>
      <x:c r="AI55" s="2" t="str">
        <x:f>IF(B55="","",'Calibrare_Linii'!V13)</x:f>
      </x:c>
      <x:c r="AJ55" s="2" t="str">
        <x:f>IF(B55="","",IF(AND('Calibrare_Linii'!T13="VALIDATED",AND('Calibrare_Linii'!H13=C55,ISNUMBER('Calibrare_Linii'!J13),'Calibrare_Linii'!J13&lt;='Input_Meci'!G9)),"DEFENSIVE VALIDATED",IF(AND('Calibrare_Linii'!S13="VALIDATED",AND('Calibrare_Linii'!H13=C55,ISNUMBER('Calibrare_Linii'!J13),'Calibrare_Linii'!J13&lt;='Input_Meci'!G9)),"TAIL VALIDATED","OOS PENDING")))</x:f>
      </x:c>
      <x:c r="AK55" s="2" t="n">
        <x:f>IF(J55&lt;&gt;"PASS",0,'Motor_Meciuri'!BR9)</x:f>
        <x:v>0</x:v>
      </x:c>
      <x:c r="AL55" s="2" t="n">
        <x:f>IF(J55&lt;&gt;"PASS",0,'Motor_Meciuri'!BS9)</x:f>
        <x:v>0</x:v>
      </x:c>
      <x:c r="AM55" s="2" t="n">
        <x:f>IF(J55&lt;&gt;"PASS",0,'Motor_Meciuri'!BT9)</x:f>
        <x:v>0</x:v>
      </x:c>
      <x:c r="AN55" s="2" t="str">
        <x:f>IF(M55="","",MAX(0,'Motor_Meciuri'!BF9-IF(L55&gt;'Config_v6'!$B$12,'Config_v6'!$B$37,IF(L55&gt;'Config_v6'!$B$11,'Config_v6'!$B$36,0))))</x:f>
      </x:c>
    </x:row>
    <x:row r="56" ht="21" customHeight="1">
      <x:c r="A56" s="2" t="n">
        <x:v>4</x:v>
      </x:c>
      <x:c r="B56" s="2" t="str">
        <x:f>IF('Motor_Meciuri'!A9="","",'Motor_Meciuri'!A9)</x:f>
      </x:c>
      <x:c r="C56" s="2" t="str">
        <x:f>IF(B56="","",'Motor_Meciuri'!B9)</x:f>
      </x:c>
      <x:c r="D56" s="2" t="str">
        <x:f>IF(B56="","",'Motor_Meciuri'!D9)</x:f>
      </x:c>
      <x:c r="E56" s="2" t="str">
        <x:f>IF(B56="","",'Motor_Meciuri'!E9)</x:f>
      </x:c>
      <x:c r="F56" s="2" t="str">
        <x:v>U12,5</x:v>
      </x:c>
      <x:c r="G56" s="2" t="str">
        <x:v>UNDER</x:v>
      </x:c>
      <x:c r="H56" s="2" t="n">
        <x:v>12</x:v>
      </x:c>
      <x:c r="I56" s="2" t="str">
        <x:f>IF(B56="","",'Motor_Meciuri'!H9)</x:f>
      </x:c>
      <x:c r="J56" s="2" t="str">
        <x:f>IF(B56="","",'Motor_Meciuri'!I9)</x:f>
      </x:c>
      <x:c r="K56" s="11" t="str">
        <x:f>IF(J56&lt;&gt;"PASS","",'Motor_Meciuri'!BD9)</x:f>
      </x:c>
      <x:c r="L56" s="11" t="str">
        <x:f>IF(J56&lt;&gt;"PASS","",'Motor_Meciuri'!AU9)</x:f>
      </x:c>
      <x:c r="M56" s="10" t="str">
        <x:f>IF(NOT(AND(J56="PASS",'Calibrare_Linii'!U14="VALID")),"",'Distributie'!AJ9)</x:f>
      </x:c>
      <x:c r="N56" s="10" t="str">
        <x:f>IF(M56="","",MAX(0.01,MIN(0.99,0.5+(M56-0.5)*'Motor_Meciuri'!BG9*'Calibrare_Linii'!D14)))</x:f>
      </x:c>
      <x:c r="O56" s="10" t="str">
        <x:f>IF(M56="","",1-M56)</x:f>
      </x:c>
      <x:c r="P56" s="10" t="str">
        <x:f>IF(OR(NOT(AND(J56="PASS",'Calibrare_Linii'!U14="VALID")),AK56=0),""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*('Istoric_Nativ'!$Q$6:$Q$405&gt;H56))/AK56)</x:f>
      </x:c>
      <x:c r="Q56" s="10" t="str">
        <x:f>IF(OR(NOT(AND(J56="PASS",'Calibrare_Linii'!U14="VALID")),AL56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M9)+((('Istoric_Nativ'!$E$6:$E$405='Input_Meci'!E9)+('Istoric_Nativ'!$F$6:$F$405='Input_Meci'!E9))&gt;0)*('Istoric_Nativ'!$D$6:$D$405&gt;='Motor_Meciuri'!BN9))&gt;0)*('Istoric_Nativ'!$Q$6:$Q$405&gt;H56))/AL56)</x:f>
      </x:c>
      <x:c r="R56" s="10" t="str">
        <x:f>IF(OR(NOT(AND(J56="PASS",'Calibrare_Linii'!U14="VALID")),AM56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O9)+((('Istoric_Nativ'!$E$6:$E$405='Input_Meci'!E9)+('Istoric_Nativ'!$F$6:$F$405='Input_Meci'!E9))&gt;0)*('Istoric_Nativ'!$D$6:$D$405&gt;='Motor_Meciuri'!BP9))&gt;0)*('Istoric_Nativ'!$Q$6:$Q$405&gt;H56))/AM56)</x:f>
      </x:c>
      <x:c r="S56" s="10" t="str">
        <x:f>IF(M56="","",MAX(O56,P56,Q56,R56))</x:f>
      </x:c>
      <x:c r="T56" s="11" t="str">
        <x:f>IF(M56="","",MIN(100,S56*100*'Config_v6'!$B$44+MIN(100,L56/'Config_v6'!$B$13*100)*'Config_v6'!$B$45+(100-'Motor_Meciuri'!BF9)*'Config_v6'!$B$46+'Motor_Meciuri'!BH9*100*'Config_v6'!$B$47))</x:f>
      </x:c>
      <x:c r="U56" s="2" t="str">
        <x:f>IF(T56="","",IF(T56&lt;=20,1,IF(T56&lt;=40,2,IF(T56&lt;=60,3,IF(T56&lt;=80,4,5)))))</x:f>
      </x:c>
      <x:c r="V56" s="2" t="str">
        <x:f>IF(M56="","",MAX(0,'Motor_Meciuri'!BF9-IF(W56="OOS PENDING",'Config_v6'!$B$35,0)-IF(L56&gt;'Config_v6'!$B$12,'Config_v6'!$B$37,IF(L56&gt;'Config_v6'!$B$11,'Config_v6'!$B$36,0))))</x:f>
      </x:c>
      <x:c r="W56" s="2" t="str">
        <x:f>IF(B56="","",IF(I56&lt;&gt;"READY","NOT RELEASED",IF(NOT(AND(J56="PASS",'Calibrare_Linii'!U14="VALID")),"INVALID",IF(NOT(AND('Calibrare_Linii'!S14="VALIDATED",AND('Calibrare_Linii'!H14=C56,ISNUMBER('Calibrare_Linii'!J14),'Calibrare_Linii'!J14&lt;='Input_Meci'!G9))),"OOS PENDING",IF(S56&lt;='Calibrare_Linii'!E14,"PASS",IF(S56&lt;='Calibrare_Linii'!F14,"PENALTY","WATCH"))))))</x:f>
      </x:c>
      <x:c r="X56" s="2" t="str">
        <x:f>IF(M56="","",IF(AND(AND(J56="PASS",'Calibrare_Linii'!U14="VALID"),'Motor_Meciuri'!K9=12,'Motor_Meciuri'!L9=12,'Motor_Meciuri'!M9="NO",'Motor_Meciuri'!BL9='Motor_Meciuri'!C9,AB56&gt;='Config_v6'!$B$50,AN56&gt;='Config_v6'!$B$51,T56&lt;='Config_v6'!$B$52,L56&lt;='Config_v6'!$B$53,ISNUMBER('Calibrare_Linii'!E14),S56&lt;='Calibrare_Linii'!E14,SUM(AK56:AM56)&gt;0),"CANDIDATE","NO"))</x:f>
      </x:c>
      <x:c r="Y56" s="2" t="str">
        <x:f>IF(B56="","",IF(I56&lt;&gt;"READY","NOT RELEASED",IF(AND(X56="CANDIDATE",V56&gt;='Config_v6'!$B$51,W56="PASS",'Calibrare_Linii'!T14="VALIDATED",AND('Calibrare_Linii'!H14=C56,ISNUMBER('Calibrare_Linii'!J14),'Calibrare_Linii'!J14&lt;='Input_Meci'!G9)),"PASS",IF(X56="CANDIDATE","OOS PENDING","FAIL"))))</x:f>
      </x:c>
      <x:c r="Z56" s="2" t="str">
        <x:f>IF(B56="","",IF(I56&lt;&gt;"READY","",IF(OR(NOT(AND(J56="PASS",'Calibrare_Linii'!U14="VALID")),L56&gt;'Config_v6'!$B$13,W56="WATCH"),5,IF(Y56="PASS",1,MIN(5,MAX('Config_v6'!$B$42,U56)+IF(W56="PENALTY",1,0))))))</x:f>
      </x:c>
      <x:c r="AA56" s="2" t="str">
        <x:f>IF(B56="","",IF(I56&lt;&gt;"READY","NOT RELEASED",IF(Z56=5,"NO BET",IF(OR(AB56&lt;'Config_v6'!$B$16,V56&lt;'Config_v6'!$B$18),"WATCH",IF(Z56=1,"DEFENSIV",IF(Z56=2,"PRUDENT",IF(Z56=3,"MODERAT","RIDICAT")))))))</x:f>
      </x:c>
      <x:c r="AB56" s="10" t="str">
        <x:f>IF(N56="","",MIN(N56,1-S56))</x:f>
      </x:c>
      <x:c r="AC56" s="2" t="str">
        <x:f>IF(AD56&lt;&gt;1,"",COUNTIFS($Z$48:$Z$61,"&lt;"&amp;Z56,$AD$48:$AD$61,1)+COUNTIFS($Z$48:$Z$61,Z56,$AB$48:$AB$61,"&gt;"&amp;AB56,$AD$48:$AD$61,1)+COUNTIFS($Z$48:$Z$61,Z56,$AB$48:$AB$61,AB56,$V$48:$V$61,"&gt;"&amp;V56,$AD$48:$AD$61,1)+COUNTIFS($Z$48:Z56,Z56,$AB$48:AB56,AB56,$V$48:V56,V56,$AD$48:AD56,1))</x:f>
      </x:c>
      <x:c r="AD56" s="2" t="n">
        <x:f>IF(OR(AA56="DEFENSIV",AA56="PRUDENT",AA56="MODERAT",AA56="RIDICAT"),1,0)</x:f>
        <x:v>0</x:v>
      </x:c>
      <x:c r="AE56" s="2" t="str">
        <x:f>IF(AD56&lt;&gt;1,"NO",IF(W56="PASS","YES",IF(W56="OOS PENDING","CONDITIONAL","NO")))</x:f>
        <x:v>NO</x:v>
      </x:c>
      <x:c r="AF56" s="2" t="n">
        <x:f>IF(AND(AD56=1,AC56=1,E56="LIVE"),1,0)</x:f>
        <x:v>0</x:v>
      </x:c>
      <x:c r="AG56" s="2" t="str">
        <x:f>IF(AF56&lt;&gt;1,"",'Dashboard'!P29)</x:f>
      </x:c>
      <x:c r="AH56" s="2" t="str">
        <x:f>IF(B56="","",IF(J56&lt;&gt;"PASS",'Motor_Meciuri'!J9,IF('Calibrare_Linii'!U14&lt;&gt;"VALID","Parametri linie invalizi",IF(L56&gt;'Config_v6'!$B$13,"Dispersie peste limita",IF(W56="WATCH","Failure peste limita",IF(AB56&lt;'Config_v6'!$B$16,"P finala sub prag",IF(V56&lt;'Config_v6'!$B$18,"Confidence sub prag",IF(E56="REPLAY","Exemplu retrospectiv; exclus din Top LIVE",IF(Y56="PASS","DEFENSIV validat",IF(W56="OOS PENDING","Eligibil; calibrare linie in monitorizare","Eligibil"))))))))))</x:f>
      </x:c>
      <x:c r="AI56" s="2" t="str">
        <x:f>IF(B56="","",'Calibrare_Linii'!V14)</x:f>
      </x:c>
      <x:c r="AJ56" s="2" t="str">
        <x:f>IF(B56="","",IF(AND('Calibrare_Linii'!T14="VALIDATED",AND('Calibrare_Linii'!H14=C56,ISNUMBER('Calibrare_Linii'!J14),'Calibrare_Linii'!J14&lt;='Input_Meci'!G9)),"DEFENSIVE VALIDATED",IF(AND('Calibrare_Linii'!S14="VALIDATED",AND('Calibrare_Linii'!H14=C56,ISNUMBER('Calibrare_Linii'!J14),'Calibrare_Linii'!J14&lt;='Input_Meci'!G9)),"TAIL VALIDATED","OOS PENDING")))</x:f>
      </x:c>
      <x:c r="AK56" s="2" t="n">
        <x:f>IF(J56&lt;&gt;"PASS",0,'Motor_Meciuri'!BR9)</x:f>
        <x:v>0</x:v>
      </x:c>
      <x:c r="AL56" s="2" t="n">
        <x:f>IF(J56&lt;&gt;"PASS",0,'Motor_Meciuri'!BS9)</x:f>
        <x:v>0</x:v>
      </x:c>
      <x:c r="AM56" s="2" t="n">
        <x:f>IF(J56&lt;&gt;"PASS",0,'Motor_Meciuri'!BT9)</x:f>
        <x:v>0</x:v>
      </x:c>
      <x:c r="AN56" s="2" t="str">
        <x:f>IF(M56="","",MAX(0,'Motor_Meciuri'!BF9-IF(L56&gt;'Config_v6'!$B$12,'Config_v6'!$B$37,IF(L56&gt;'Config_v6'!$B$11,'Config_v6'!$B$36,0))))</x:f>
      </x:c>
    </x:row>
    <x:row r="57" ht="21" customHeight="1">
      <x:c r="A57" s="2" t="n">
        <x:v>4</x:v>
      </x:c>
      <x:c r="B57" s="2" t="str">
        <x:f>IF('Motor_Meciuri'!A9="","",'Motor_Meciuri'!A9)</x:f>
      </x:c>
      <x:c r="C57" s="2" t="str">
        <x:f>IF(B57="","",'Motor_Meciuri'!B9)</x:f>
      </x:c>
      <x:c r="D57" s="2" t="str">
        <x:f>IF(B57="","",'Motor_Meciuri'!D9)</x:f>
      </x:c>
      <x:c r="E57" s="2" t="str">
        <x:f>IF(B57="","",'Motor_Meciuri'!E9)</x:f>
      </x:c>
      <x:c r="F57" s="2" t="str">
        <x:v>U13,5</x:v>
      </x:c>
      <x:c r="G57" s="2" t="str">
        <x:v>UNDER</x:v>
      </x:c>
      <x:c r="H57" s="2" t="n">
        <x:v>13</x:v>
      </x:c>
      <x:c r="I57" s="2" t="str">
        <x:f>IF(B57="","",'Motor_Meciuri'!H9)</x:f>
      </x:c>
      <x:c r="J57" s="2" t="str">
        <x:f>IF(B57="","",'Motor_Meciuri'!I9)</x:f>
      </x:c>
      <x:c r="K57" s="11" t="str">
        <x:f>IF(J57&lt;&gt;"PASS","",'Motor_Meciuri'!BD9)</x:f>
      </x:c>
      <x:c r="L57" s="11" t="str">
        <x:f>IF(J57&lt;&gt;"PASS","",'Motor_Meciuri'!AU9)</x:f>
      </x:c>
      <x:c r="M57" s="10" t="str">
        <x:f>IF(NOT(AND(J57="PASS",'Calibrare_Linii'!U15="VALID")),"",'Distributie'!AK9)</x:f>
      </x:c>
      <x:c r="N57" s="10" t="str">
        <x:f>IF(M57="","",MAX(0.01,MIN(0.99,0.5+(M57-0.5)*'Motor_Meciuri'!BG9*'Calibrare_Linii'!D15)))</x:f>
      </x:c>
      <x:c r="O57" s="10" t="str">
        <x:f>IF(M57="","",1-M57)</x:f>
      </x:c>
      <x:c r="P57" s="10" t="str">
        <x:f>IF(OR(NOT(AND(J57="PASS",'Calibrare_Linii'!U15="VALID")),AK57=0),""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*('Istoric_Nativ'!$Q$6:$Q$405&gt;H57))/AK57)</x:f>
      </x:c>
      <x:c r="Q57" s="10" t="str">
        <x:f>IF(OR(NOT(AND(J57="PASS",'Calibrare_Linii'!U15="VALID")),AL57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M9)+((('Istoric_Nativ'!$E$6:$E$405='Input_Meci'!E9)+('Istoric_Nativ'!$F$6:$F$405='Input_Meci'!E9))&gt;0)*('Istoric_Nativ'!$D$6:$D$405&gt;='Motor_Meciuri'!BN9))&gt;0)*('Istoric_Nativ'!$Q$6:$Q$405&gt;H57))/AL57)</x:f>
      </x:c>
      <x:c r="R57" s="10" t="str">
        <x:f>IF(OR(NOT(AND(J57="PASS",'Calibrare_Linii'!U15="VALID")),AM57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O9)+((('Istoric_Nativ'!$E$6:$E$405='Input_Meci'!E9)+('Istoric_Nativ'!$F$6:$F$405='Input_Meci'!E9))&gt;0)*('Istoric_Nativ'!$D$6:$D$405&gt;='Motor_Meciuri'!BP9))&gt;0)*('Istoric_Nativ'!$Q$6:$Q$405&gt;H57))/AM57)</x:f>
      </x:c>
      <x:c r="S57" s="10" t="str">
        <x:f>IF(M57="","",MAX(O57,P57,Q57,R57))</x:f>
      </x:c>
      <x:c r="T57" s="11" t="str">
        <x:f>IF(M57="","",MIN(100,S57*100*'Config_v6'!$B$44+MIN(100,L57/'Config_v6'!$B$13*100)*'Config_v6'!$B$45+(100-'Motor_Meciuri'!BF9)*'Config_v6'!$B$46+'Motor_Meciuri'!BH9*100*'Config_v6'!$B$47))</x:f>
      </x:c>
      <x:c r="U57" s="2" t="str">
        <x:f>IF(T57="","",IF(T57&lt;=20,1,IF(T57&lt;=40,2,IF(T57&lt;=60,3,IF(T57&lt;=80,4,5)))))</x:f>
      </x:c>
      <x:c r="V57" s="2" t="str">
        <x:f>IF(M57="","",MAX(0,'Motor_Meciuri'!BF9-IF(W57="OOS PENDING",'Config_v6'!$B$35,0)-IF(L57&gt;'Config_v6'!$B$12,'Config_v6'!$B$37,IF(L57&gt;'Config_v6'!$B$11,'Config_v6'!$B$36,0))))</x:f>
      </x:c>
      <x:c r="W57" s="2" t="str">
        <x:f>IF(B57="","",IF(I57&lt;&gt;"READY","NOT RELEASED",IF(NOT(AND(J57="PASS",'Calibrare_Linii'!U15="VALID")),"INVALID",IF(NOT(AND('Calibrare_Linii'!S15="VALIDATED",AND('Calibrare_Linii'!H15=C57,ISNUMBER('Calibrare_Linii'!J15),'Calibrare_Linii'!J15&lt;='Input_Meci'!G9))),"OOS PENDING",IF(S57&lt;='Calibrare_Linii'!E15,"PASS",IF(S57&lt;='Calibrare_Linii'!F15,"PENALTY","WATCH"))))))</x:f>
      </x:c>
      <x:c r="X57" s="2" t="str">
        <x:f>IF(M57="","",IF(AND(AND(J57="PASS",'Calibrare_Linii'!U15="VALID"),'Motor_Meciuri'!K9=12,'Motor_Meciuri'!L9=12,'Motor_Meciuri'!M9="NO",'Motor_Meciuri'!BL9='Motor_Meciuri'!C9,AB57&gt;='Config_v6'!$B$50,AN57&gt;='Config_v6'!$B$51,T57&lt;='Config_v6'!$B$52,L57&lt;='Config_v6'!$B$53,ISNUMBER('Calibrare_Linii'!E15),S57&lt;='Calibrare_Linii'!E15,SUM(AK57:AM57)&gt;0),"CANDIDATE","NO"))</x:f>
      </x:c>
      <x:c r="Y57" s="2" t="str">
        <x:f>IF(B57="","",IF(I57&lt;&gt;"READY","NOT RELEASED",IF(AND(X57="CANDIDATE",V57&gt;='Config_v6'!$B$51,W57="PASS",'Calibrare_Linii'!T15="VALIDATED",AND('Calibrare_Linii'!H15=C57,ISNUMBER('Calibrare_Linii'!J15),'Calibrare_Linii'!J15&lt;='Input_Meci'!G9)),"PASS",IF(X57="CANDIDATE","OOS PENDING","FAIL"))))</x:f>
      </x:c>
      <x:c r="Z57" s="2" t="str">
        <x:f>IF(B57="","",IF(I57&lt;&gt;"READY","",IF(OR(NOT(AND(J57="PASS",'Calibrare_Linii'!U15="VALID")),L57&gt;'Config_v6'!$B$13,W57="WATCH"),5,IF(Y57="PASS",1,MIN(5,MAX('Config_v6'!$B$42,U57)+IF(W57="PENALTY",1,0))))))</x:f>
      </x:c>
      <x:c r="AA57" s="2" t="str">
        <x:f>IF(B57="","",IF(I57&lt;&gt;"READY","NOT RELEASED",IF(Z57=5,"NO BET",IF(OR(AB57&lt;'Config_v6'!$B$16,V57&lt;'Config_v6'!$B$18),"WATCH",IF(Z57=1,"DEFENSIV",IF(Z57=2,"PRUDENT",IF(Z57=3,"MODERAT","RIDICAT")))))))</x:f>
      </x:c>
      <x:c r="AB57" s="10" t="str">
        <x:f>IF(N57="","",MIN(N57,1-S57))</x:f>
      </x:c>
      <x:c r="AC57" s="2" t="str">
        <x:f>IF(AD57&lt;&gt;1,"",COUNTIFS($Z$48:$Z$61,"&lt;"&amp;Z57,$AD$48:$AD$61,1)+COUNTIFS($Z$48:$Z$61,Z57,$AB$48:$AB$61,"&gt;"&amp;AB57,$AD$48:$AD$61,1)+COUNTIFS($Z$48:$Z$61,Z57,$AB$48:$AB$61,AB57,$V$48:$V$61,"&gt;"&amp;V57,$AD$48:$AD$61,1)+COUNTIFS($Z$48:Z57,Z57,$AB$48:AB57,AB57,$V$48:V57,V57,$AD$48:AD57,1))</x:f>
      </x:c>
      <x:c r="AD57" s="2" t="n">
        <x:f>IF(OR(AA57="DEFENSIV",AA57="PRUDENT",AA57="MODERAT",AA57="RIDICAT"),1,0)</x:f>
        <x:v>0</x:v>
      </x:c>
      <x:c r="AE57" s="2" t="str">
        <x:f>IF(AD57&lt;&gt;1,"NO",IF(W57="PASS","YES",IF(W57="OOS PENDING","CONDITIONAL","NO")))</x:f>
        <x:v>NO</x:v>
      </x:c>
      <x:c r="AF57" s="2" t="n">
        <x:f>IF(AND(AD57=1,AC57=1,E57="LIVE"),1,0)</x:f>
        <x:v>0</x:v>
      </x:c>
      <x:c r="AG57" s="2" t="str">
        <x:f>IF(AF57&lt;&gt;1,"",'Dashboard'!P29)</x:f>
      </x:c>
      <x:c r="AH57" s="2" t="str">
        <x:f>IF(B57="","",IF(J57&lt;&gt;"PASS",'Motor_Meciuri'!J9,IF('Calibrare_Linii'!U15&lt;&gt;"VALID","Parametri linie invalizi",IF(L57&gt;'Config_v6'!$B$13,"Dispersie peste limita",IF(W57="WATCH","Failure peste limita",IF(AB57&lt;'Config_v6'!$B$16,"P finala sub prag",IF(V57&lt;'Config_v6'!$B$18,"Confidence sub prag",IF(E57="REPLAY","Exemplu retrospectiv; exclus din Top LIVE",IF(Y57="PASS","DEFENSIV validat",IF(W57="OOS PENDING","Eligibil; calibrare linie in monitorizare","Eligibil"))))))))))</x:f>
      </x:c>
      <x:c r="AI57" s="2" t="str">
        <x:f>IF(B57="","",'Calibrare_Linii'!V15)</x:f>
      </x:c>
      <x:c r="AJ57" s="2" t="str">
        <x:f>IF(B57="","",IF(AND('Calibrare_Linii'!T15="VALIDATED",AND('Calibrare_Linii'!H15=C57,ISNUMBER('Calibrare_Linii'!J15),'Calibrare_Linii'!J15&lt;='Input_Meci'!G9)),"DEFENSIVE VALIDATED",IF(AND('Calibrare_Linii'!S15="VALIDATED",AND('Calibrare_Linii'!H15=C57,ISNUMBER('Calibrare_Linii'!J15),'Calibrare_Linii'!J15&lt;='Input_Meci'!G9)),"TAIL VALIDATED","OOS PENDING")))</x:f>
      </x:c>
      <x:c r="AK57" s="2" t="n">
        <x:f>IF(J57&lt;&gt;"PASS",0,'Motor_Meciuri'!BR9)</x:f>
        <x:v>0</x:v>
      </x:c>
      <x:c r="AL57" s="2" t="n">
        <x:f>IF(J57&lt;&gt;"PASS",0,'Motor_Meciuri'!BS9)</x:f>
        <x:v>0</x:v>
      </x:c>
      <x:c r="AM57" s="2" t="n">
        <x:f>IF(J57&lt;&gt;"PASS",0,'Motor_Meciuri'!BT9)</x:f>
        <x:v>0</x:v>
      </x:c>
      <x:c r="AN57" s="2" t="str">
        <x:f>IF(M57="","",MAX(0,'Motor_Meciuri'!BF9-IF(L57&gt;'Config_v6'!$B$12,'Config_v6'!$B$37,IF(L57&gt;'Config_v6'!$B$11,'Config_v6'!$B$36,0))))</x:f>
      </x:c>
    </x:row>
    <x:row r="58" ht="21" customHeight="1">
      <x:c r="A58" s="2" t="n">
        <x:v>4</x:v>
      </x:c>
      <x:c r="B58" s="2" t="str">
        <x:f>IF('Motor_Meciuri'!A9="","",'Motor_Meciuri'!A9)</x:f>
      </x:c>
      <x:c r="C58" s="2" t="str">
        <x:f>IF(B58="","",'Motor_Meciuri'!B9)</x:f>
      </x:c>
      <x:c r="D58" s="2" t="str">
        <x:f>IF(B58="","",'Motor_Meciuri'!D9)</x:f>
      </x:c>
      <x:c r="E58" s="2" t="str">
        <x:f>IF(B58="","",'Motor_Meciuri'!E9)</x:f>
      </x:c>
      <x:c r="F58" s="2" t="str">
        <x:v>U14,5</x:v>
      </x:c>
      <x:c r="G58" s="2" t="str">
        <x:v>UNDER</x:v>
      </x:c>
      <x:c r="H58" s="2" t="n">
        <x:v>14</x:v>
      </x:c>
      <x:c r="I58" s="2" t="str">
        <x:f>IF(B58="","",'Motor_Meciuri'!H9)</x:f>
      </x:c>
      <x:c r="J58" s="2" t="str">
        <x:f>IF(B58="","",'Motor_Meciuri'!I9)</x:f>
      </x:c>
      <x:c r="K58" s="11" t="str">
        <x:f>IF(J58&lt;&gt;"PASS","",'Motor_Meciuri'!BD9)</x:f>
      </x:c>
      <x:c r="L58" s="11" t="str">
        <x:f>IF(J58&lt;&gt;"PASS","",'Motor_Meciuri'!AU9)</x:f>
      </x:c>
      <x:c r="M58" s="10" t="str">
        <x:f>IF(NOT(AND(J58="PASS",'Calibrare_Linii'!U16="VALID")),"",'Distributie'!AL9)</x:f>
      </x:c>
      <x:c r="N58" s="10" t="str">
        <x:f>IF(M58="","",MAX(0.01,MIN(0.99,0.5+(M58-0.5)*'Motor_Meciuri'!BG9*'Calibrare_Linii'!D16)))</x:f>
      </x:c>
      <x:c r="O58" s="10" t="str">
        <x:f>IF(M58="","",1-M58)</x:f>
      </x:c>
      <x:c r="P58" s="10" t="str">
        <x:f>IF(OR(NOT(AND(J58="PASS",'Calibrare_Linii'!U16="VALID")),AK58=0),""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*('Istoric_Nativ'!$Q$6:$Q$405&gt;H58))/AK58)</x:f>
      </x:c>
      <x:c r="Q58" s="10" t="str">
        <x:f>IF(OR(NOT(AND(J58="PASS",'Calibrare_Linii'!U16="VALID")),AL58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M9)+((('Istoric_Nativ'!$E$6:$E$405='Input_Meci'!E9)+('Istoric_Nativ'!$F$6:$F$405='Input_Meci'!E9))&gt;0)*('Istoric_Nativ'!$D$6:$D$405&gt;='Motor_Meciuri'!BN9))&gt;0)*('Istoric_Nativ'!$Q$6:$Q$405&gt;H58))/AL58)</x:f>
      </x:c>
      <x:c r="R58" s="10" t="str">
        <x:f>IF(OR(NOT(AND(J58="PASS",'Calibrare_Linii'!U16="VALID")),AM58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O9)+((('Istoric_Nativ'!$E$6:$E$405='Input_Meci'!E9)+('Istoric_Nativ'!$F$6:$F$405='Input_Meci'!E9))&gt;0)*('Istoric_Nativ'!$D$6:$D$405&gt;='Motor_Meciuri'!BP9))&gt;0)*('Istoric_Nativ'!$Q$6:$Q$405&gt;H58))/AM58)</x:f>
      </x:c>
      <x:c r="S58" s="10" t="str">
        <x:f>IF(M58="","",MAX(O58,P58,Q58,R58))</x:f>
      </x:c>
      <x:c r="T58" s="11" t="str">
        <x:f>IF(M58="","",MIN(100,S58*100*'Config_v6'!$B$44+MIN(100,L58/'Config_v6'!$B$13*100)*'Config_v6'!$B$45+(100-'Motor_Meciuri'!BF9)*'Config_v6'!$B$46+'Motor_Meciuri'!BH9*100*'Config_v6'!$B$47))</x:f>
      </x:c>
      <x:c r="U58" s="2" t="str">
        <x:f>IF(T58="","",IF(T58&lt;=20,1,IF(T58&lt;=40,2,IF(T58&lt;=60,3,IF(T58&lt;=80,4,5)))))</x:f>
      </x:c>
      <x:c r="V58" s="2" t="str">
        <x:f>IF(M58="","",MAX(0,'Motor_Meciuri'!BF9-IF(W58="OOS PENDING",'Config_v6'!$B$35,0)-IF(L58&gt;'Config_v6'!$B$12,'Config_v6'!$B$37,IF(L58&gt;'Config_v6'!$B$11,'Config_v6'!$B$36,0))))</x:f>
      </x:c>
      <x:c r="W58" s="2" t="str">
        <x:f>IF(B58="","",IF(I58&lt;&gt;"READY","NOT RELEASED",IF(NOT(AND(J58="PASS",'Calibrare_Linii'!U16="VALID")),"INVALID",IF(NOT(AND('Calibrare_Linii'!S16="VALIDATED",AND('Calibrare_Linii'!H16=C58,ISNUMBER('Calibrare_Linii'!J16),'Calibrare_Linii'!J16&lt;='Input_Meci'!G9))),"OOS PENDING",IF(S58&lt;='Calibrare_Linii'!E16,"PASS",IF(S58&lt;='Calibrare_Linii'!F16,"PENALTY","WATCH"))))))</x:f>
      </x:c>
      <x:c r="X58" s="2" t="str">
        <x:f>IF(M58="","",IF(AND(AND(J58="PASS",'Calibrare_Linii'!U16="VALID"),'Motor_Meciuri'!K9=12,'Motor_Meciuri'!L9=12,'Motor_Meciuri'!M9="NO",'Motor_Meciuri'!BL9='Motor_Meciuri'!C9,AB58&gt;='Config_v6'!$B$50,AN58&gt;='Config_v6'!$B$51,T58&lt;='Config_v6'!$B$52,L58&lt;='Config_v6'!$B$53,ISNUMBER('Calibrare_Linii'!E16),S58&lt;='Calibrare_Linii'!E16,SUM(AK58:AM58)&gt;0),"CANDIDATE","NO"))</x:f>
      </x:c>
      <x:c r="Y58" s="2" t="str">
        <x:f>IF(B58="","",IF(I58&lt;&gt;"READY","NOT RELEASED",IF(AND(X58="CANDIDATE",V58&gt;='Config_v6'!$B$51,W58="PASS",'Calibrare_Linii'!T16="VALIDATED",AND('Calibrare_Linii'!H16=C58,ISNUMBER('Calibrare_Linii'!J16),'Calibrare_Linii'!J16&lt;='Input_Meci'!G9)),"PASS",IF(X58="CANDIDATE","OOS PENDING","FAIL"))))</x:f>
      </x:c>
      <x:c r="Z58" s="2" t="str">
        <x:f>IF(B58="","",IF(I58&lt;&gt;"READY","",IF(OR(NOT(AND(J58="PASS",'Calibrare_Linii'!U16="VALID")),L58&gt;'Config_v6'!$B$13,W58="WATCH"),5,IF(Y58="PASS",1,MIN(5,MAX('Config_v6'!$B$42,U58)+IF(W58="PENALTY",1,0))))))</x:f>
      </x:c>
      <x:c r="AA58" s="2" t="str">
        <x:f>IF(B58="","",IF(I58&lt;&gt;"READY","NOT RELEASED",IF(Z58=5,"NO BET",IF(OR(AB58&lt;'Config_v6'!$B$16,V58&lt;'Config_v6'!$B$18),"WATCH",IF(Z58=1,"DEFENSIV",IF(Z58=2,"PRUDENT",IF(Z58=3,"MODERAT","RIDICAT")))))))</x:f>
      </x:c>
      <x:c r="AB58" s="10" t="str">
        <x:f>IF(N58="","",MIN(N58,1-S58))</x:f>
      </x:c>
      <x:c r="AC58" s="2" t="str">
        <x:f>IF(AD58&lt;&gt;1,"",COUNTIFS($Z$48:$Z$61,"&lt;"&amp;Z58,$AD$48:$AD$61,1)+COUNTIFS($Z$48:$Z$61,Z58,$AB$48:$AB$61,"&gt;"&amp;AB58,$AD$48:$AD$61,1)+COUNTIFS($Z$48:$Z$61,Z58,$AB$48:$AB$61,AB58,$V$48:$V$61,"&gt;"&amp;V58,$AD$48:$AD$61,1)+COUNTIFS($Z$48:Z58,Z58,$AB$48:AB58,AB58,$V$48:V58,V58,$AD$48:AD58,1))</x:f>
      </x:c>
      <x:c r="AD58" s="2" t="n">
        <x:f>IF(OR(AA58="DEFENSIV",AA58="PRUDENT",AA58="MODERAT",AA58="RIDICAT"),1,0)</x:f>
        <x:v>0</x:v>
      </x:c>
      <x:c r="AE58" s="2" t="str">
        <x:f>IF(AD58&lt;&gt;1,"NO",IF(W58="PASS","YES",IF(W58="OOS PENDING","CONDITIONAL","NO")))</x:f>
        <x:v>NO</x:v>
      </x:c>
      <x:c r="AF58" s="2" t="n">
        <x:f>IF(AND(AD58=1,AC58=1,E58="LIVE"),1,0)</x:f>
        <x:v>0</x:v>
      </x:c>
      <x:c r="AG58" s="2" t="str">
        <x:f>IF(AF58&lt;&gt;1,"",'Dashboard'!P29)</x:f>
      </x:c>
      <x:c r="AH58" s="2" t="str">
        <x:f>IF(B58="","",IF(J58&lt;&gt;"PASS",'Motor_Meciuri'!J9,IF('Calibrare_Linii'!U16&lt;&gt;"VALID","Parametri linie invalizi",IF(L58&gt;'Config_v6'!$B$13,"Dispersie peste limita",IF(W58="WATCH","Failure peste limita",IF(AB58&lt;'Config_v6'!$B$16,"P finala sub prag",IF(V58&lt;'Config_v6'!$B$18,"Confidence sub prag",IF(E58="REPLAY","Exemplu retrospectiv; exclus din Top LIVE",IF(Y58="PASS","DEFENSIV validat",IF(W58="OOS PENDING","Eligibil; calibrare linie in monitorizare","Eligibil"))))))))))</x:f>
      </x:c>
      <x:c r="AI58" s="2" t="str">
        <x:f>IF(B58="","",'Calibrare_Linii'!V16)</x:f>
      </x:c>
      <x:c r="AJ58" s="2" t="str">
        <x:f>IF(B58="","",IF(AND('Calibrare_Linii'!T16="VALIDATED",AND('Calibrare_Linii'!H16=C58,ISNUMBER('Calibrare_Linii'!J16),'Calibrare_Linii'!J16&lt;='Input_Meci'!G9)),"DEFENSIVE VALIDATED",IF(AND('Calibrare_Linii'!S16="VALIDATED",AND('Calibrare_Linii'!H16=C58,ISNUMBER('Calibrare_Linii'!J16),'Calibrare_Linii'!J16&lt;='Input_Meci'!G9)),"TAIL VALIDATED","OOS PENDING")))</x:f>
      </x:c>
      <x:c r="AK58" s="2" t="n">
        <x:f>IF(J58&lt;&gt;"PASS",0,'Motor_Meciuri'!BR9)</x:f>
        <x:v>0</x:v>
      </x:c>
      <x:c r="AL58" s="2" t="n">
        <x:f>IF(J58&lt;&gt;"PASS",0,'Motor_Meciuri'!BS9)</x:f>
        <x:v>0</x:v>
      </x:c>
      <x:c r="AM58" s="2" t="n">
        <x:f>IF(J58&lt;&gt;"PASS",0,'Motor_Meciuri'!BT9)</x:f>
        <x:v>0</x:v>
      </x:c>
      <x:c r="AN58" s="2" t="str">
        <x:f>IF(M58="","",MAX(0,'Motor_Meciuri'!BF9-IF(L58&gt;'Config_v6'!$B$12,'Config_v6'!$B$37,IF(L58&gt;'Config_v6'!$B$11,'Config_v6'!$B$36,0))))</x:f>
      </x:c>
    </x:row>
    <x:row r="59" ht="21" customHeight="1">
      <x:c r="A59" s="2" t="n">
        <x:v>4</x:v>
      </x:c>
      <x:c r="B59" s="2" t="str">
        <x:f>IF('Motor_Meciuri'!A9="","",'Motor_Meciuri'!A9)</x:f>
      </x:c>
      <x:c r="C59" s="2" t="str">
        <x:f>IF(B59="","",'Motor_Meciuri'!B9)</x:f>
      </x:c>
      <x:c r="D59" s="2" t="str">
        <x:f>IF(B59="","",'Motor_Meciuri'!D9)</x:f>
      </x:c>
      <x:c r="E59" s="2" t="str">
        <x:f>IF(B59="","",'Motor_Meciuri'!E9)</x:f>
      </x:c>
      <x:c r="F59" s="2" t="str">
        <x:v>U15,5</x:v>
      </x:c>
      <x:c r="G59" s="2" t="str">
        <x:v>UNDER</x:v>
      </x:c>
      <x:c r="H59" s="2" t="n">
        <x:v>15</x:v>
      </x:c>
      <x:c r="I59" s="2" t="str">
        <x:f>IF(B59="","",'Motor_Meciuri'!H9)</x:f>
      </x:c>
      <x:c r="J59" s="2" t="str">
        <x:f>IF(B59="","",'Motor_Meciuri'!I9)</x:f>
      </x:c>
      <x:c r="K59" s="11" t="str">
        <x:f>IF(J59&lt;&gt;"PASS","",'Motor_Meciuri'!BD9)</x:f>
      </x:c>
      <x:c r="L59" s="11" t="str">
        <x:f>IF(J59&lt;&gt;"PASS","",'Motor_Meciuri'!AU9)</x:f>
      </x:c>
      <x:c r="M59" s="10" t="str">
        <x:f>IF(NOT(AND(J59="PASS",'Calibrare_Linii'!U17="VALID")),"",'Distributie'!AM9)</x:f>
      </x:c>
      <x:c r="N59" s="10" t="str">
        <x:f>IF(M59="","",MAX(0.01,MIN(0.99,0.5+(M59-0.5)*'Motor_Meciuri'!BG9*'Calibrare_Linii'!D17)))</x:f>
      </x:c>
      <x:c r="O59" s="10" t="str">
        <x:f>IF(M59="","",1-M59)</x:f>
      </x:c>
      <x:c r="P59" s="10" t="str">
        <x:f>IF(OR(NOT(AND(J59="PASS",'Calibrare_Linii'!U17="VALID")),AK59=0),""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*('Istoric_Nativ'!$Q$6:$Q$405&gt;H59))/AK59)</x:f>
      </x:c>
      <x:c r="Q59" s="10" t="str">
        <x:f>IF(OR(NOT(AND(J59="PASS",'Calibrare_Linii'!U17="VALID")),AL59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M9)+((('Istoric_Nativ'!$E$6:$E$405='Input_Meci'!E9)+('Istoric_Nativ'!$F$6:$F$405='Input_Meci'!E9))&gt;0)*('Istoric_Nativ'!$D$6:$D$405&gt;='Motor_Meciuri'!BN9))&gt;0)*('Istoric_Nativ'!$Q$6:$Q$405&gt;H59))/AL59)</x:f>
      </x:c>
      <x:c r="R59" s="10" t="str">
        <x:f>IF(OR(NOT(AND(J59="PASS",'Calibrare_Linii'!U17="VALID")),AM59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O9)+((('Istoric_Nativ'!$E$6:$E$405='Input_Meci'!E9)+('Istoric_Nativ'!$F$6:$F$405='Input_Meci'!E9))&gt;0)*('Istoric_Nativ'!$D$6:$D$405&gt;='Motor_Meciuri'!BP9))&gt;0)*('Istoric_Nativ'!$Q$6:$Q$405&gt;H59))/AM59)</x:f>
      </x:c>
      <x:c r="S59" s="10" t="str">
        <x:f>IF(M59="","",MAX(O59,P59,Q59,R59))</x:f>
      </x:c>
      <x:c r="T59" s="11" t="str">
        <x:f>IF(M59="","",MIN(100,S59*100*'Config_v6'!$B$44+MIN(100,L59/'Config_v6'!$B$13*100)*'Config_v6'!$B$45+(100-'Motor_Meciuri'!BF9)*'Config_v6'!$B$46+'Motor_Meciuri'!BH9*100*'Config_v6'!$B$47))</x:f>
      </x:c>
      <x:c r="U59" s="2" t="str">
        <x:f>IF(T59="","",IF(T59&lt;=20,1,IF(T59&lt;=40,2,IF(T59&lt;=60,3,IF(T59&lt;=80,4,5)))))</x:f>
      </x:c>
      <x:c r="V59" s="2" t="str">
        <x:f>IF(M59="","",MAX(0,'Motor_Meciuri'!BF9-IF(W59="OOS PENDING",'Config_v6'!$B$35,0)-IF(L59&gt;'Config_v6'!$B$12,'Config_v6'!$B$37,IF(L59&gt;'Config_v6'!$B$11,'Config_v6'!$B$36,0))))</x:f>
      </x:c>
      <x:c r="W59" s="2" t="str">
        <x:f>IF(B59="","",IF(I59&lt;&gt;"READY","NOT RELEASED",IF(NOT(AND(J59="PASS",'Calibrare_Linii'!U17="VALID")),"INVALID",IF(NOT(AND('Calibrare_Linii'!S17="VALIDATED",AND('Calibrare_Linii'!H17=C59,ISNUMBER('Calibrare_Linii'!J17),'Calibrare_Linii'!J17&lt;='Input_Meci'!G9))),"OOS PENDING",IF(S59&lt;='Calibrare_Linii'!E17,"PASS",IF(S59&lt;='Calibrare_Linii'!F17,"PENALTY","WATCH"))))))</x:f>
      </x:c>
      <x:c r="X59" s="2" t="str">
        <x:f>IF(M59="","",IF(AND(AND(J59="PASS",'Calibrare_Linii'!U17="VALID"),'Motor_Meciuri'!K9=12,'Motor_Meciuri'!L9=12,'Motor_Meciuri'!M9="NO",'Motor_Meciuri'!BL9='Motor_Meciuri'!C9,AB59&gt;='Config_v6'!$B$50,AN59&gt;='Config_v6'!$B$51,T59&lt;='Config_v6'!$B$52,L59&lt;='Config_v6'!$B$53,ISNUMBER('Calibrare_Linii'!E17),S59&lt;='Calibrare_Linii'!E17,SUM(AK59:AM59)&gt;0),"CANDIDATE","NO"))</x:f>
      </x:c>
      <x:c r="Y59" s="2" t="str">
        <x:f>IF(B59="","",IF(I59&lt;&gt;"READY","NOT RELEASED",IF(AND(X59="CANDIDATE",V59&gt;='Config_v6'!$B$51,W59="PASS",'Calibrare_Linii'!T17="VALIDATED",AND('Calibrare_Linii'!H17=C59,ISNUMBER('Calibrare_Linii'!J17),'Calibrare_Linii'!J17&lt;='Input_Meci'!G9)),"PASS",IF(X59="CANDIDATE","OOS PENDING","FAIL"))))</x:f>
      </x:c>
      <x:c r="Z59" s="2" t="str">
        <x:f>IF(B59="","",IF(I59&lt;&gt;"READY","",IF(OR(NOT(AND(J59="PASS",'Calibrare_Linii'!U17="VALID")),L59&gt;'Config_v6'!$B$13,W59="WATCH"),5,IF(Y59="PASS",1,MIN(5,MAX('Config_v6'!$B$42,U59)+IF(W59="PENALTY",1,0))))))</x:f>
      </x:c>
      <x:c r="AA59" s="2" t="str">
        <x:f>IF(B59="","",IF(I59&lt;&gt;"READY","NOT RELEASED",IF(Z59=5,"NO BET",IF(OR(AB59&lt;'Config_v6'!$B$16,V59&lt;'Config_v6'!$B$18),"WATCH",IF(Z59=1,"DEFENSIV",IF(Z59=2,"PRUDENT",IF(Z59=3,"MODERAT","RIDICAT")))))))</x:f>
      </x:c>
      <x:c r="AB59" s="10" t="str">
        <x:f>IF(N59="","",MIN(N59,1-S59))</x:f>
      </x:c>
      <x:c r="AC59" s="2" t="str">
        <x:f>IF(AD59&lt;&gt;1,"",COUNTIFS($Z$48:$Z$61,"&lt;"&amp;Z59,$AD$48:$AD$61,1)+COUNTIFS($Z$48:$Z$61,Z59,$AB$48:$AB$61,"&gt;"&amp;AB59,$AD$48:$AD$61,1)+COUNTIFS($Z$48:$Z$61,Z59,$AB$48:$AB$61,AB59,$V$48:$V$61,"&gt;"&amp;V59,$AD$48:$AD$61,1)+COUNTIFS($Z$48:Z59,Z59,$AB$48:AB59,AB59,$V$48:V59,V59,$AD$48:AD59,1))</x:f>
      </x:c>
      <x:c r="AD59" s="2" t="n">
        <x:f>IF(OR(AA59="DEFENSIV",AA59="PRUDENT",AA59="MODERAT",AA59="RIDICAT"),1,0)</x:f>
        <x:v>0</x:v>
      </x:c>
      <x:c r="AE59" s="2" t="str">
        <x:f>IF(AD59&lt;&gt;1,"NO",IF(W59="PASS","YES",IF(W59="OOS PENDING","CONDITIONAL","NO")))</x:f>
        <x:v>NO</x:v>
      </x:c>
      <x:c r="AF59" s="2" t="n">
        <x:f>IF(AND(AD59=1,AC59=1,E59="LIVE"),1,0)</x:f>
        <x:v>0</x:v>
      </x:c>
      <x:c r="AG59" s="2" t="str">
        <x:f>IF(AF59&lt;&gt;1,"",'Dashboard'!P29)</x:f>
      </x:c>
      <x:c r="AH59" s="2" t="str">
        <x:f>IF(B59="","",IF(J59&lt;&gt;"PASS",'Motor_Meciuri'!J9,IF('Calibrare_Linii'!U17&lt;&gt;"VALID","Parametri linie invalizi",IF(L59&gt;'Config_v6'!$B$13,"Dispersie peste limita",IF(W59="WATCH","Failure peste limita",IF(AB59&lt;'Config_v6'!$B$16,"P finala sub prag",IF(V59&lt;'Config_v6'!$B$18,"Confidence sub prag",IF(E59="REPLAY","Exemplu retrospectiv; exclus din Top LIVE",IF(Y59="PASS","DEFENSIV validat",IF(W59="OOS PENDING","Eligibil; calibrare linie in monitorizare","Eligibil"))))))))))</x:f>
      </x:c>
      <x:c r="AI59" s="2" t="str">
        <x:f>IF(B59="","",'Calibrare_Linii'!V17)</x:f>
      </x:c>
      <x:c r="AJ59" s="2" t="str">
        <x:f>IF(B59="","",IF(AND('Calibrare_Linii'!T17="VALIDATED",AND('Calibrare_Linii'!H17=C59,ISNUMBER('Calibrare_Linii'!J17),'Calibrare_Linii'!J17&lt;='Input_Meci'!G9)),"DEFENSIVE VALIDATED",IF(AND('Calibrare_Linii'!S17="VALIDATED",AND('Calibrare_Linii'!H17=C59,ISNUMBER('Calibrare_Linii'!J17),'Calibrare_Linii'!J17&lt;='Input_Meci'!G9)),"TAIL VALIDATED","OOS PENDING")))</x:f>
      </x:c>
      <x:c r="AK59" s="2" t="n">
        <x:f>IF(J59&lt;&gt;"PASS",0,'Motor_Meciuri'!BR9)</x:f>
        <x:v>0</x:v>
      </x:c>
      <x:c r="AL59" s="2" t="n">
        <x:f>IF(J59&lt;&gt;"PASS",0,'Motor_Meciuri'!BS9)</x:f>
        <x:v>0</x:v>
      </x:c>
      <x:c r="AM59" s="2" t="n">
        <x:f>IF(J59&lt;&gt;"PASS",0,'Motor_Meciuri'!BT9)</x:f>
        <x:v>0</x:v>
      </x:c>
      <x:c r="AN59" s="2" t="str">
        <x:f>IF(M59="","",MAX(0,'Motor_Meciuri'!BF9-IF(L59&gt;'Config_v6'!$B$12,'Config_v6'!$B$37,IF(L59&gt;'Config_v6'!$B$11,'Config_v6'!$B$36,0))))</x:f>
      </x:c>
    </x:row>
    <x:row r="60" ht="21" customHeight="1">
      <x:c r="A60" s="2" t="n">
        <x:v>4</x:v>
      </x:c>
      <x:c r="B60" s="2" t="str">
        <x:f>IF('Motor_Meciuri'!A9="","",'Motor_Meciuri'!A9)</x:f>
      </x:c>
      <x:c r="C60" s="2" t="str">
        <x:f>IF(B60="","",'Motor_Meciuri'!B9)</x:f>
      </x:c>
      <x:c r="D60" s="2" t="str">
        <x:f>IF(B60="","",'Motor_Meciuri'!D9)</x:f>
      </x:c>
      <x:c r="E60" s="2" t="str">
        <x:f>IF(B60="","",'Motor_Meciuri'!E9)</x:f>
      </x:c>
      <x:c r="F60" s="2" t="str">
        <x:v>U16,5</x:v>
      </x:c>
      <x:c r="G60" s="2" t="str">
        <x:v>UNDER</x:v>
      </x:c>
      <x:c r="H60" s="2" t="n">
        <x:v>16</x:v>
      </x:c>
      <x:c r="I60" s="2" t="str">
        <x:f>IF(B60="","",'Motor_Meciuri'!H9)</x:f>
      </x:c>
      <x:c r="J60" s="2" t="str">
        <x:f>IF(B60="","",'Motor_Meciuri'!I9)</x:f>
      </x:c>
      <x:c r="K60" s="11" t="str">
        <x:f>IF(J60&lt;&gt;"PASS","",'Motor_Meciuri'!BD9)</x:f>
      </x:c>
      <x:c r="L60" s="11" t="str">
        <x:f>IF(J60&lt;&gt;"PASS","",'Motor_Meciuri'!AU9)</x:f>
      </x:c>
      <x:c r="M60" s="10" t="str">
        <x:f>IF(NOT(AND(J60="PASS",'Calibrare_Linii'!U18="VALID")),"",'Distributie'!AN9)</x:f>
      </x:c>
      <x:c r="N60" s="10" t="str">
        <x:f>IF(M60="","",MAX(0.01,MIN(0.99,0.5+(M60-0.5)*'Motor_Meciuri'!BG9*'Calibrare_Linii'!D18)))</x:f>
      </x:c>
      <x:c r="O60" s="10" t="str">
        <x:f>IF(M60="","",1-M60)</x:f>
      </x:c>
      <x:c r="P60" s="10" t="str">
        <x:f>IF(OR(NOT(AND(J60="PASS",'Calibrare_Linii'!U18="VALID")),AK60=0),""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*('Istoric_Nativ'!$Q$6:$Q$405&gt;H60))/AK60)</x:f>
      </x:c>
      <x:c r="Q60" s="10" t="str">
        <x:f>IF(OR(NOT(AND(J60="PASS",'Calibrare_Linii'!U18="VALID")),AL60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M9)+((('Istoric_Nativ'!$E$6:$E$405='Input_Meci'!E9)+('Istoric_Nativ'!$F$6:$F$405='Input_Meci'!E9))&gt;0)*('Istoric_Nativ'!$D$6:$D$405&gt;='Motor_Meciuri'!BN9))&gt;0)*('Istoric_Nativ'!$Q$6:$Q$405&gt;H60))/AL60)</x:f>
      </x:c>
      <x:c r="R60" s="10" t="str">
        <x:f>IF(OR(NOT(AND(J60="PASS",'Calibrare_Linii'!U18="VALID")),AM60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O9)+((('Istoric_Nativ'!$E$6:$E$405='Input_Meci'!E9)+('Istoric_Nativ'!$F$6:$F$405='Input_Meci'!E9))&gt;0)*('Istoric_Nativ'!$D$6:$D$405&gt;='Motor_Meciuri'!BP9))&gt;0)*('Istoric_Nativ'!$Q$6:$Q$405&gt;H60))/AM60)</x:f>
      </x:c>
      <x:c r="S60" s="10" t="str">
        <x:f>IF(M60="","",MAX(O60,P60,Q60,R60))</x:f>
      </x:c>
      <x:c r="T60" s="11" t="str">
        <x:f>IF(M60="","",MIN(100,S60*100*'Config_v6'!$B$44+MIN(100,L60/'Config_v6'!$B$13*100)*'Config_v6'!$B$45+(100-'Motor_Meciuri'!BF9)*'Config_v6'!$B$46+'Motor_Meciuri'!BH9*100*'Config_v6'!$B$47))</x:f>
      </x:c>
      <x:c r="U60" s="2" t="str">
        <x:f>IF(T60="","",IF(T60&lt;=20,1,IF(T60&lt;=40,2,IF(T60&lt;=60,3,IF(T60&lt;=80,4,5)))))</x:f>
      </x:c>
      <x:c r="V60" s="2" t="str">
        <x:f>IF(M60="","",MAX(0,'Motor_Meciuri'!BF9-IF(W60="OOS PENDING",'Config_v6'!$B$35,0)-IF(L60&gt;'Config_v6'!$B$12,'Config_v6'!$B$37,IF(L60&gt;'Config_v6'!$B$11,'Config_v6'!$B$36,0))))</x:f>
      </x:c>
      <x:c r="W60" s="2" t="str">
        <x:f>IF(B60="","",IF(I60&lt;&gt;"READY","NOT RELEASED",IF(NOT(AND(J60="PASS",'Calibrare_Linii'!U18="VALID")),"INVALID",IF(NOT(AND('Calibrare_Linii'!S18="VALIDATED",AND('Calibrare_Linii'!H18=C60,ISNUMBER('Calibrare_Linii'!J18),'Calibrare_Linii'!J18&lt;='Input_Meci'!G9))),"OOS PENDING",IF(S60&lt;='Calibrare_Linii'!E18,"PASS",IF(S60&lt;='Calibrare_Linii'!F18,"PENALTY","WATCH"))))))</x:f>
      </x:c>
      <x:c r="X60" s="2" t="str">
        <x:f>IF(M60="","",IF(AND(AND(J60="PASS",'Calibrare_Linii'!U18="VALID"),'Motor_Meciuri'!K9=12,'Motor_Meciuri'!L9=12,'Motor_Meciuri'!M9="NO",'Motor_Meciuri'!BL9='Motor_Meciuri'!C9,AB60&gt;='Config_v6'!$B$50,AN60&gt;='Config_v6'!$B$51,T60&lt;='Config_v6'!$B$52,L60&lt;='Config_v6'!$B$53,ISNUMBER('Calibrare_Linii'!E18),S60&lt;='Calibrare_Linii'!E18,SUM(AK60:AM60)&gt;0),"CANDIDATE","NO"))</x:f>
      </x:c>
      <x:c r="Y60" s="2" t="str">
        <x:f>IF(B60="","",IF(I60&lt;&gt;"READY","NOT RELEASED",IF(AND(X60="CANDIDATE",V60&gt;='Config_v6'!$B$51,W60="PASS",'Calibrare_Linii'!T18="VALIDATED",AND('Calibrare_Linii'!H18=C60,ISNUMBER('Calibrare_Linii'!J18),'Calibrare_Linii'!J18&lt;='Input_Meci'!G9)),"PASS",IF(X60="CANDIDATE","OOS PENDING","FAIL"))))</x:f>
      </x:c>
      <x:c r="Z60" s="2" t="str">
        <x:f>IF(B60="","",IF(I60&lt;&gt;"READY","",IF(OR(NOT(AND(J60="PASS",'Calibrare_Linii'!U18="VALID")),L60&gt;'Config_v6'!$B$13,W60="WATCH"),5,IF(Y60="PASS",1,MIN(5,MAX('Config_v6'!$B$42,U60)+IF(W60="PENALTY",1,0))))))</x:f>
      </x:c>
      <x:c r="AA60" s="2" t="str">
        <x:f>IF(B60="","",IF(I60&lt;&gt;"READY","NOT RELEASED",IF(Z60=5,"NO BET",IF(OR(AB60&lt;'Config_v6'!$B$16,V60&lt;'Config_v6'!$B$18),"WATCH",IF(Z60=1,"DEFENSIV",IF(Z60=2,"PRUDENT",IF(Z60=3,"MODERAT","RIDICAT")))))))</x:f>
      </x:c>
      <x:c r="AB60" s="10" t="str">
        <x:f>IF(N60="","",MIN(N60,1-S60))</x:f>
      </x:c>
      <x:c r="AC60" s="2" t="str">
        <x:f>IF(AD60&lt;&gt;1,"",COUNTIFS($Z$48:$Z$61,"&lt;"&amp;Z60,$AD$48:$AD$61,1)+COUNTIFS($Z$48:$Z$61,Z60,$AB$48:$AB$61,"&gt;"&amp;AB60,$AD$48:$AD$61,1)+COUNTIFS($Z$48:$Z$61,Z60,$AB$48:$AB$61,AB60,$V$48:$V$61,"&gt;"&amp;V60,$AD$48:$AD$61,1)+COUNTIFS($Z$48:Z60,Z60,$AB$48:AB60,AB60,$V$48:V60,V60,$AD$48:AD60,1))</x:f>
      </x:c>
      <x:c r="AD60" s="2" t="n">
        <x:f>IF(OR(AA60="DEFENSIV",AA60="PRUDENT",AA60="MODERAT",AA60="RIDICAT"),1,0)</x:f>
        <x:v>0</x:v>
      </x:c>
      <x:c r="AE60" s="2" t="str">
        <x:f>IF(AD60&lt;&gt;1,"NO",IF(W60="PASS","YES",IF(W60="OOS PENDING","CONDITIONAL","NO")))</x:f>
        <x:v>NO</x:v>
      </x:c>
      <x:c r="AF60" s="2" t="n">
        <x:f>IF(AND(AD60=1,AC60=1,E60="LIVE"),1,0)</x:f>
        <x:v>0</x:v>
      </x:c>
      <x:c r="AG60" s="2" t="str">
        <x:f>IF(AF60&lt;&gt;1,"",'Dashboard'!P29)</x:f>
      </x:c>
      <x:c r="AH60" s="2" t="str">
        <x:f>IF(B60="","",IF(J60&lt;&gt;"PASS",'Motor_Meciuri'!J9,IF('Calibrare_Linii'!U18&lt;&gt;"VALID","Parametri linie invalizi",IF(L60&gt;'Config_v6'!$B$13,"Dispersie peste limita",IF(W60="WATCH","Failure peste limita",IF(AB60&lt;'Config_v6'!$B$16,"P finala sub prag",IF(V60&lt;'Config_v6'!$B$18,"Confidence sub prag",IF(E60="REPLAY","Exemplu retrospectiv; exclus din Top LIVE",IF(Y60="PASS","DEFENSIV validat",IF(W60="OOS PENDING","Eligibil; calibrare linie in monitorizare","Eligibil"))))))))))</x:f>
      </x:c>
      <x:c r="AI60" s="2" t="str">
        <x:f>IF(B60="","",'Calibrare_Linii'!V18)</x:f>
      </x:c>
      <x:c r="AJ60" s="2" t="str">
        <x:f>IF(B60="","",IF(AND('Calibrare_Linii'!T18="VALIDATED",AND('Calibrare_Linii'!H18=C60,ISNUMBER('Calibrare_Linii'!J18),'Calibrare_Linii'!J18&lt;='Input_Meci'!G9)),"DEFENSIVE VALIDATED",IF(AND('Calibrare_Linii'!S18="VALIDATED",AND('Calibrare_Linii'!H18=C60,ISNUMBER('Calibrare_Linii'!J18),'Calibrare_Linii'!J18&lt;='Input_Meci'!G9)),"TAIL VALIDATED","OOS PENDING")))</x:f>
      </x:c>
      <x:c r="AK60" s="2" t="n">
        <x:f>IF(J60&lt;&gt;"PASS",0,'Motor_Meciuri'!BR9)</x:f>
        <x:v>0</x:v>
      </x:c>
      <x:c r="AL60" s="2" t="n">
        <x:f>IF(J60&lt;&gt;"PASS",0,'Motor_Meciuri'!BS9)</x:f>
        <x:v>0</x:v>
      </x:c>
      <x:c r="AM60" s="2" t="n">
        <x:f>IF(J60&lt;&gt;"PASS",0,'Motor_Meciuri'!BT9)</x:f>
        <x:v>0</x:v>
      </x:c>
      <x:c r="AN60" s="2" t="str">
        <x:f>IF(M60="","",MAX(0,'Motor_Meciuri'!BF9-IF(L60&gt;'Config_v6'!$B$12,'Config_v6'!$B$37,IF(L60&gt;'Config_v6'!$B$11,'Config_v6'!$B$36,0))))</x:f>
      </x:c>
    </x:row>
    <x:row r="61" ht="21" customHeight="1">
      <x:c r="A61" s="2" t="n">
        <x:v>4</x:v>
      </x:c>
      <x:c r="B61" s="2" t="str">
        <x:f>IF('Motor_Meciuri'!A9="","",'Motor_Meciuri'!A9)</x:f>
      </x:c>
      <x:c r="C61" s="2" t="str">
        <x:f>IF(B61="","",'Motor_Meciuri'!B9)</x:f>
      </x:c>
      <x:c r="D61" s="2" t="str">
        <x:f>IF(B61="","",'Motor_Meciuri'!D9)</x:f>
      </x:c>
      <x:c r="E61" s="2" t="str">
        <x:f>IF(B61="","",'Motor_Meciuri'!E9)</x:f>
      </x:c>
      <x:c r="F61" s="2" t="str">
        <x:v>U17,5</x:v>
      </x:c>
      <x:c r="G61" s="2" t="str">
        <x:v>UNDER</x:v>
      </x:c>
      <x:c r="H61" s="2" t="n">
        <x:v>17</x:v>
      </x:c>
      <x:c r="I61" s="2" t="str">
        <x:f>IF(B61="","",'Motor_Meciuri'!H9)</x:f>
      </x:c>
      <x:c r="J61" s="2" t="str">
        <x:f>IF(B61="","",'Motor_Meciuri'!I9)</x:f>
      </x:c>
      <x:c r="K61" s="11" t="str">
        <x:f>IF(J61&lt;&gt;"PASS","",'Motor_Meciuri'!BD9)</x:f>
      </x:c>
      <x:c r="L61" s="11" t="str">
        <x:f>IF(J61&lt;&gt;"PASS","",'Motor_Meciuri'!AU9)</x:f>
      </x:c>
      <x:c r="M61" s="10" t="str">
        <x:f>IF(NOT(AND(J61="PASS",'Calibrare_Linii'!U19="VALID")),"",'Distributie'!AO9)</x:f>
      </x:c>
      <x:c r="N61" s="10" t="str">
        <x:f>IF(M61="","",MAX(0.01,MIN(0.99,0.5+(M61-0.5)*'Motor_Meciuri'!BG9*'Calibrare_Linii'!D19)))</x:f>
      </x:c>
      <x:c r="O61" s="10" t="str">
        <x:f>IF(M61="","",1-M61)</x:f>
      </x:c>
      <x:c r="P61" s="10" t="str">
        <x:f>IF(OR(NOT(AND(J61="PASS",'Calibrare_Linii'!U19="VALID")),AK61=0),""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*('Istoric_Nativ'!$Q$6:$Q$405&gt;H61))/AK61)</x:f>
      </x:c>
      <x:c r="Q61" s="10" t="str">
        <x:f>IF(OR(NOT(AND(J61="PASS",'Calibrare_Linii'!U19="VALID")),AL61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M9)+((('Istoric_Nativ'!$E$6:$E$405='Input_Meci'!E9)+('Istoric_Nativ'!$F$6:$F$405='Input_Meci'!E9))&gt;0)*('Istoric_Nativ'!$D$6:$D$405&gt;='Motor_Meciuri'!BN9))&gt;0)*('Istoric_Nativ'!$Q$6:$Q$405&gt;H61))/AL61)</x:f>
      </x:c>
      <x:c r="R61" s="10" t="str">
        <x:f>IF(OR(NOT(AND(J61="PASS",'Calibrare_Linii'!U19="VALID")),AM61=0),""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'Motor_Meciuri'!BO9)+((('Istoric_Nativ'!$E$6:$E$405='Input_Meci'!E9)+('Istoric_Nativ'!$F$6:$F$405='Input_Meci'!E9))&gt;0)*('Istoric_Nativ'!$D$6:$D$405&gt;='Motor_Meciuri'!BP9))&gt;0)*('Istoric_Nativ'!$Q$6:$Q$405&gt;H61))/AM61)</x:f>
      </x:c>
      <x:c r="S61" s="10" t="str">
        <x:f>IF(M61="","",MAX(O61,P61,Q61,R61))</x:f>
      </x:c>
      <x:c r="T61" s="11" t="str">
        <x:f>IF(M61="","",MIN(100,S61*100*'Config_v6'!$B$44+MIN(100,L61/'Config_v6'!$B$13*100)*'Config_v6'!$B$45+(100-'Motor_Meciuri'!BF9)*'Config_v6'!$B$46+'Motor_Meciuri'!BH9*100*'Config_v6'!$B$47))</x:f>
      </x:c>
      <x:c r="U61" s="2" t="str">
        <x:f>IF(T61="","",IF(T61&lt;=20,1,IF(T61&lt;=40,2,IF(T61&lt;=60,3,IF(T61&lt;=80,4,5)))))</x:f>
      </x:c>
      <x:c r="V61" s="2" t="str">
        <x:f>IF(M61="","",MAX(0,'Motor_Meciuri'!BF9-IF(W61="OOS PENDING",'Config_v6'!$B$35,0)-IF(L61&gt;'Config_v6'!$B$12,'Config_v6'!$B$37,IF(L61&gt;'Config_v6'!$B$11,'Config_v6'!$B$36,0))))</x:f>
      </x:c>
      <x:c r="W61" s="2" t="str">
        <x:f>IF(B61="","",IF(I61&lt;&gt;"READY","NOT RELEASED",IF(NOT(AND(J61="PASS",'Calibrare_Linii'!U19="VALID")),"INVALID",IF(NOT(AND('Calibrare_Linii'!S19="VALIDATED",AND('Calibrare_Linii'!H19=C61,ISNUMBER('Calibrare_Linii'!J19),'Calibrare_Linii'!J19&lt;='Input_Meci'!G9))),"OOS PENDING",IF(S61&lt;='Calibrare_Linii'!E19,"PASS",IF(S61&lt;='Calibrare_Linii'!F19,"PENALTY","WATCH"))))))</x:f>
      </x:c>
      <x:c r="X61" s="2" t="str">
        <x:f>IF(M61="","",IF(AND(AND(J61="PASS",'Calibrare_Linii'!U19="VALID"),'Motor_Meciuri'!K9=12,'Motor_Meciuri'!L9=12,'Motor_Meciuri'!M9="NO",'Motor_Meciuri'!BL9='Motor_Meciuri'!C9,AB61&gt;='Config_v6'!$B$50,AN61&gt;='Config_v6'!$B$51,T61&lt;='Config_v6'!$B$52,L61&lt;='Config_v6'!$B$53,ISNUMBER('Calibrare_Linii'!E19),S61&lt;='Calibrare_Linii'!E19,SUM(AK61:AM61)&gt;0),"CANDIDATE","NO"))</x:f>
      </x:c>
      <x:c r="Y61" s="2" t="str">
        <x:f>IF(B61="","",IF(I61&lt;&gt;"READY","NOT RELEASED",IF(AND(X61="CANDIDATE",V61&gt;='Config_v6'!$B$51,W61="PASS",'Calibrare_Linii'!T19="VALIDATED",AND('Calibrare_Linii'!H19=C61,ISNUMBER('Calibrare_Linii'!J19),'Calibrare_Linii'!J19&lt;='Input_Meci'!G9)),"PASS",IF(X61="CANDIDATE","OOS PENDING","FAIL"))))</x:f>
      </x:c>
      <x:c r="Z61" s="2" t="str">
        <x:f>IF(B61="","",IF(I61&lt;&gt;"READY","",IF(OR(NOT(AND(J61="PASS",'Calibrare_Linii'!U19="VALID")),L61&gt;'Config_v6'!$B$13,W61="WATCH"),5,IF(Y61="PASS",1,MIN(5,MAX('Config_v6'!$B$42,U61)+IF(W61="PENALTY",1,0))))))</x:f>
      </x:c>
      <x:c r="AA61" s="2" t="str">
        <x:f>IF(B61="","",IF(I61&lt;&gt;"READY","NOT RELEASED",IF(Z61=5,"NO BET",IF(OR(AB61&lt;'Config_v6'!$B$16,V61&lt;'Config_v6'!$B$18),"WATCH",IF(Z61=1,"DEFENSIV",IF(Z61=2,"PRUDENT",IF(Z61=3,"MODERAT","RIDICAT")))))))</x:f>
      </x:c>
      <x:c r="AB61" s="10" t="str">
        <x:f>IF(N61="","",MIN(N61,1-S61))</x:f>
      </x:c>
      <x:c r="AC61" s="2" t="str">
        <x:f>IF(AD61&lt;&gt;1,"",COUNTIFS($Z$48:$Z$61,"&lt;"&amp;Z61,$AD$48:$AD$61,1)+COUNTIFS($Z$48:$Z$61,Z61,$AB$48:$AB$61,"&gt;"&amp;AB61,$AD$48:$AD$61,1)+COUNTIFS($Z$48:$Z$61,Z61,$AB$48:$AB$61,AB61,$V$48:$V$61,"&gt;"&amp;V61,$AD$48:$AD$61,1)+COUNTIFS($Z$48:Z61,Z61,$AB$48:AB61,AB61,$V$48:V61,V61,$AD$48:AD61,1))</x:f>
      </x:c>
      <x:c r="AD61" s="2" t="n">
        <x:f>IF(OR(AA61="DEFENSIV",AA61="PRUDENT",AA61="MODERAT",AA61="RIDICAT"),1,0)</x:f>
        <x:v>0</x:v>
      </x:c>
      <x:c r="AE61" s="2" t="str">
        <x:f>IF(AD61&lt;&gt;1,"NO",IF(W61="PASS","YES",IF(W61="OOS PENDING","CONDITIONAL","NO")))</x:f>
        <x:v>NO</x:v>
      </x:c>
      <x:c r="AF61" s="2" t="n">
        <x:f>IF(AND(AD61=1,AC61=1,E61="LIVE"),1,0)</x:f>
        <x:v>0</x:v>
      </x:c>
      <x:c r="AG61" s="2" t="str">
        <x:f>IF(AF61&lt;&gt;1,"",'Dashboard'!P29)</x:f>
      </x:c>
      <x:c r="AH61" s="2" t="str">
        <x:f>IF(B61="","",IF(J61&lt;&gt;"PASS",'Motor_Meciuri'!J9,IF('Calibrare_Linii'!U19&lt;&gt;"VALID","Parametri linie invalizi",IF(L61&gt;'Config_v6'!$B$13,"Dispersie peste limita",IF(W61="WATCH","Failure peste limita",IF(AB61&lt;'Config_v6'!$B$16,"P finala sub prag",IF(V61&lt;'Config_v6'!$B$18,"Confidence sub prag",IF(E61="REPLAY","Exemplu retrospectiv; exclus din Top LIVE",IF(Y61="PASS","DEFENSIV validat",IF(W61="OOS PENDING","Eligibil; calibrare linie in monitorizare","Eligibil"))))))))))</x:f>
      </x:c>
      <x:c r="AI61" s="2" t="str">
        <x:f>IF(B61="","",'Calibrare_Linii'!V19)</x:f>
      </x:c>
      <x:c r="AJ61" s="2" t="str">
        <x:f>IF(B61="","",IF(AND('Calibrare_Linii'!T19="VALIDATED",AND('Calibrare_Linii'!H19=C61,ISNUMBER('Calibrare_Linii'!J19),'Calibrare_Linii'!J19&lt;='Input_Meci'!G9)),"DEFENSIVE VALIDATED",IF(AND('Calibrare_Linii'!S19="VALIDATED",AND('Calibrare_Linii'!H19=C61,ISNUMBER('Calibrare_Linii'!J19),'Calibrare_Linii'!J19&lt;='Input_Meci'!G9)),"TAIL VALIDATED","OOS PENDING")))</x:f>
      </x:c>
      <x:c r="AK61" s="2" t="n">
        <x:f>IF(J61&lt;&gt;"PASS",0,'Motor_Meciuri'!BR9)</x:f>
        <x:v>0</x:v>
      </x:c>
      <x:c r="AL61" s="2" t="n">
        <x:f>IF(J61&lt;&gt;"PASS",0,'Motor_Meciuri'!BS9)</x:f>
        <x:v>0</x:v>
      </x:c>
      <x:c r="AM61" s="2" t="n">
        <x:f>IF(J61&lt;&gt;"PASS",0,'Motor_Meciuri'!BT9)</x:f>
        <x:v>0</x:v>
      </x:c>
      <x:c r="AN61" s="2" t="str">
        <x:f>IF(M61="","",MAX(0,'Motor_Meciuri'!BF9-IF(L61&gt;'Config_v6'!$B$12,'Config_v6'!$B$37,IF(L61&gt;'Config_v6'!$B$11,'Config_v6'!$B$36,0))))</x:f>
      </x:c>
    </x:row>
    <x:row r="62" ht="21" customHeight="1">
      <x:c r="A62" s="2" t="n">
        <x:v>5</x:v>
      </x:c>
      <x:c r="B62" s="2" t="str">
        <x:f>IF('Motor_Meciuri'!A10="","",'Motor_Meciuri'!A10)</x:f>
      </x:c>
      <x:c r="C62" s="2" t="str">
        <x:f>IF(B62="","",'Motor_Meciuri'!B10)</x:f>
      </x:c>
      <x:c r="D62" s="2" t="str">
        <x:f>IF(B62="","",'Motor_Meciuri'!D10)</x:f>
      </x:c>
      <x:c r="E62" s="2" t="str">
        <x:f>IF(B62="","",'Motor_Meciuri'!E10)</x:f>
      </x:c>
      <x:c r="F62" s="2" t="str">
        <x:v>O3,5</x:v>
      </x:c>
      <x:c r="G62" s="2" t="str">
        <x:v>OVER</x:v>
      </x:c>
      <x:c r="H62" s="2" t="n">
        <x:v>3</x:v>
      </x:c>
      <x:c r="I62" s="2" t="str">
        <x:f>IF(B62="","",'Motor_Meciuri'!H10)</x:f>
      </x:c>
      <x:c r="J62" s="2" t="str">
        <x:f>IF(B62="","",'Motor_Meciuri'!I10)</x:f>
      </x:c>
      <x:c r="K62" s="11" t="str">
        <x:f>IF(J62&lt;&gt;"PASS","",'Motor_Meciuri'!BD10)</x:f>
      </x:c>
      <x:c r="L62" s="11" t="str">
        <x:f>IF(J62&lt;&gt;"PASS","",'Motor_Meciuri'!AU10)</x:f>
      </x:c>
      <x:c r="M62" s="10" t="str">
        <x:f>IF(NOT(AND(J62="PASS",'Calibrare_Linii'!U6="VALID")),"",1-'Distributie'!AA10)</x:f>
      </x:c>
      <x:c r="N62" s="10" t="str">
        <x:f>IF(M62="","",MAX(0.01,MIN(0.99,0.5+(M62-0.5)*'Motor_Meciuri'!BG10*'Calibrare_Linii'!D6)))</x:f>
      </x:c>
      <x:c r="O62" s="10" t="str">
        <x:f>IF(M62="","",1-M62)</x:f>
      </x:c>
      <x:c r="P62" s="10" t="str">
        <x:f>IF(OR(NOT(AND(J62="PASS",'Calibrare_Linii'!U6="VALID")),AK62=0),""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*('Istoric_Nativ'!$Q$6:$Q$405&lt;=H62))/AK62)</x:f>
      </x:c>
      <x:c r="Q62" s="10" t="str">
        <x:f>IF(OR(NOT(AND(J62="PASS",'Calibrare_Linii'!U6="VALID")),AL62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M10)+((('Istoric_Nativ'!$E$6:$E$405='Input_Meci'!E10)+('Istoric_Nativ'!$F$6:$F$405='Input_Meci'!E10))&gt;0)*('Istoric_Nativ'!$D$6:$D$405&gt;='Motor_Meciuri'!BN10))&gt;0)*('Istoric_Nativ'!$Q$6:$Q$405&lt;=H62))/AL62)</x:f>
      </x:c>
      <x:c r="R62" s="10" t="str">
        <x:f>IF(OR(NOT(AND(J62="PASS",'Calibrare_Linii'!U6="VALID")),AM62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O10)+((('Istoric_Nativ'!$E$6:$E$405='Input_Meci'!E10)+('Istoric_Nativ'!$F$6:$F$405='Input_Meci'!E10))&gt;0)*('Istoric_Nativ'!$D$6:$D$405&gt;='Motor_Meciuri'!BP10))&gt;0)*('Istoric_Nativ'!$Q$6:$Q$405&lt;=H62))/AM62)</x:f>
      </x:c>
      <x:c r="S62" s="10" t="str">
        <x:f>IF(M62="","",MAX(O62,P62,Q62,R62))</x:f>
      </x:c>
      <x:c r="T62" s="11" t="str">
        <x:f>IF(M62="","",MIN(100,S62*100*'Config_v6'!$B$44+MIN(100,L62/'Config_v6'!$B$13*100)*'Config_v6'!$B$45+(100-'Motor_Meciuri'!BF10)*'Config_v6'!$B$46+'Motor_Meciuri'!BH10*100*'Config_v6'!$B$47))</x:f>
      </x:c>
      <x:c r="U62" s="2" t="str">
        <x:f>IF(T62="","",IF(T62&lt;=20,1,IF(T62&lt;=40,2,IF(T62&lt;=60,3,IF(T62&lt;=80,4,5)))))</x:f>
      </x:c>
      <x:c r="V62" s="2" t="str">
        <x:f>IF(M62="","",MAX(0,'Motor_Meciuri'!BF10-IF(W62="OOS PENDING",'Config_v6'!$B$35,0)-IF(L62&gt;'Config_v6'!$B$12,'Config_v6'!$B$37,IF(L62&gt;'Config_v6'!$B$11,'Config_v6'!$B$36,0))))</x:f>
      </x:c>
      <x:c r="W62" s="2" t="str">
        <x:f>IF(B62="","",IF(I62&lt;&gt;"READY","NOT RELEASED",IF(NOT(AND(J62="PASS",'Calibrare_Linii'!U6="VALID")),"INVALID",IF(NOT(TRUE),"OOS PENDING",IF(S62&lt;=IF(AND('Calibrare_Linii'!S6="VALIDATED",AND('Calibrare_Linii'!H6=C62,ISNUMBER('Calibrare_Linii'!J6),'Calibrare_Linii'!J6&lt;='Input_Meci'!G10)),'Calibrare_Linii'!E6,'Config_v6'!$B$26),"PASS",IF(S62&lt;=IF(AND('Calibrare_Linii'!S6="VALIDATED",AND('Calibrare_Linii'!H6=C62,ISNUMBER('Calibrare_Linii'!J6),'Calibrare_Linii'!J6&lt;='Input_Meci'!G10)),'Calibrare_Linii'!F6,'Config_v6'!$C$26),"PENALTY","WATCH"))))))</x:f>
      </x:c>
      <x:c r="X62" s="2" t="str">
        <x:f>IF(M62="","",IF(AND(AND(J62="PASS",'Calibrare_Linii'!U6="VALID"),'Motor_Meciuri'!K10=12,'Motor_Meciuri'!L10=12,'Motor_Meciuri'!M10="NO",'Motor_Meciuri'!BL10='Motor_Meciuri'!C10,AB62&gt;='Config_v6'!$B$50,AN62&gt;='Config_v6'!$B$51,T62&lt;='Config_v6'!$B$52,L62&lt;='Config_v6'!$B$53,ISNUMBER('Calibrare_Linii'!E6),S62&lt;='Calibrare_Linii'!E6,SUM(AK62:AM62)&gt;0),"CANDIDATE","NO"))</x:f>
      </x:c>
      <x:c r="Y62" s="2" t="str">
        <x:f>IF(B62="","",IF(I62&lt;&gt;"READY","NOT RELEASED",IF(AND(X62="CANDIDATE",V62&gt;='Config_v6'!$B$51,W62="PASS",'Calibrare_Linii'!T6="VALIDATED",AND('Calibrare_Linii'!H6=C62,ISNUMBER('Calibrare_Linii'!J6),'Calibrare_Linii'!J6&lt;='Input_Meci'!G10)),"PASS",IF(X62="CANDIDATE","OOS PENDING","FAIL"))))</x:f>
      </x:c>
      <x:c r="Z62" s="2" t="str">
        <x:f>IF(B62="","",IF(I62&lt;&gt;"READY","",IF(OR(NOT(AND(J62="PASS",'Calibrare_Linii'!U6="VALID")),L62&gt;'Config_v6'!$B$13,W62="WATCH"),5,IF(Y62="PASS",1,MIN(5,MAX('Config_v6'!$B$42,U62)+IF(W62="PENALTY",1,0))))))</x:f>
      </x:c>
      <x:c r="AA62" s="2" t="str">
        <x:f>IF(B62="","",IF(I62&lt;&gt;"READY","NOT RELEASED",IF(Z62=5,"NO BET",IF(OR(AB62&lt;'Config_v6'!$B$16,V62&lt;'Config_v6'!$B$18),"WATCH",IF(Z62=1,"DEFENSIV",IF(Z62=2,"PRUDENT",IF(Z62=3,"MODERAT","RIDICAT")))))))</x:f>
      </x:c>
      <x:c r="AB62" s="10" t="str">
        <x:f>IF(N62="","",MIN(N62,1-S62))</x:f>
      </x:c>
      <x:c r="AC62" s="2" t="str">
        <x:f>IF(AD62&lt;&gt;1,"",COUNTIFS($Z$62:$Z$75,"&lt;"&amp;Z62,$AD$62:$AD$75,1)+COUNTIFS($Z$62:$Z$75,Z62,$AB$62:$AB$75,"&gt;"&amp;AB62,$AD$62:$AD$75,1)+COUNTIFS($Z$62:$Z$75,Z62,$AB$62:$AB$75,AB62,$V$62:$V$75,"&gt;"&amp;V62,$AD$62:$AD$75,1)+COUNTIFS($Z$62:Z62,Z62,$AB$62:AB62,AB62,$V$62:V62,V62,$AD$62:AD62,1))</x:f>
      </x:c>
      <x:c r="AD62" s="2" t="n">
        <x:f>IF(OR(AA62="DEFENSIV",AA62="PRUDENT",AA62="MODERAT",AA62="RIDICAT"),1,0)</x:f>
        <x:v>0</x:v>
      </x:c>
      <x:c r="AE62" s="2" t="str">
        <x:f>IF(AD62&lt;&gt;1,"NO",IF(W62="PASS","YES",IF(W62="OOS PENDING","CONDITIONAL","NO")))</x:f>
        <x:v>NO</x:v>
      </x:c>
      <x:c r="AF62" s="2" t="n">
        <x:f>IF(AND(AD62=1,AC62=1,E62="LIVE"),1,0)</x:f>
        <x:v>0</x:v>
      </x:c>
      <x:c r="AG62" s="2" t="str">
        <x:f>IF(AF62&lt;&gt;1,"",'Dashboard'!P30)</x:f>
      </x:c>
      <x:c r="AH62" s="2" t="str">
        <x:f>IF(B62="","",IF(J62&lt;&gt;"PASS",'Motor_Meciuri'!J10,IF('Calibrare_Linii'!U6&lt;&gt;"VALID","Parametri linie invalizi",IF(L62&gt;'Config_v6'!$B$13,"Dispersie peste limita",IF(W62="WATCH","Failure peste limita",IF(AB62&lt;'Config_v6'!$B$16,"P finala sub prag",IF(V62&lt;'Config_v6'!$B$18,"Confidence sub prag",IF(E62="REPLAY","Exemplu retrospectiv; exclus din Top LIVE",IF(Y62="PASS","DEFENSIV validat",IF(W62="OOS PENDING","Eligibil; calibrare linie in monitorizare","Eligibil"))))))))))</x:f>
      </x:c>
      <x:c r="AI62" s="2" t="str">
        <x:f>IF(B62="","",'Calibrare_Linii'!V6)</x:f>
      </x:c>
      <x:c r="AJ62" s="2" t="str">
        <x:f>IF(B62="","",IF(AND('Calibrare_Linii'!T6="VALIDATED",AND('Calibrare_Linii'!H6=C62,ISNUMBER('Calibrare_Linii'!J6),'Calibrare_Linii'!J6&lt;='Input_Meci'!G10)),"DEFENSIVE VALIDATED",IF(AND('Calibrare_Linii'!S6="VALIDATED",AND('Calibrare_Linii'!H6=C62,ISNUMBER('Calibrare_Linii'!J6),'Calibrare_Linii'!J6&lt;='Input_Meci'!G10)),"TAIL VALIDATED","OOS PENDING")))</x:f>
      </x:c>
      <x:c r="AK62" s="2" t="n">
        <x:f>IF(J62&lt;&gt;"PASS",0,'Motor_Meciuri'!BR10)</x:f>
        <x:v>0</x:v>
      </x:c>
      <x:c r="AL62" s="2" t="n">
        <x:f>IF(J62&lt;&gt;"PASS",0,'Motor_Meciuri'!BS10)</x:f>
        <x:v>0</x:v>
      </x:c>
      <x:c r="AM62" s="2" t="n">
        <x:f>IF(J62&lt;&gt;"PASS",0,'Motor_Meciuri'!BT10)</x:f>
        <x:v>0</x:v>
      </x:c>
      <x:c r="AN62" s="2" t="str">
        <x:f>IF(M62="","",MAX(0,'Motor_Meciuri'!BF10-IF(L62&gt;'Config_v6'!$B$12,'Config_v6'!$B$37,IF(L62&gt;'Config_v6'!$B$11,'Config_v6'!$B$36,0))))</x:f>
      </x:c>
    </x:row>
    <x:row r="63" ht="21" customHeight="1">
      <x:c r="A63" s="2" t="n">
        <x:v>5</x:v>
      </x:c>
      <x:c r="B63" s="2" t="str">
        <x:f>IF('Motor_Meciuri'!A10="","",'Motor_Meciuri'!A10)</x:f>
      </x:c>
      <x:c r="C63" s="2" t="str">
        <x:f>IF(B63="","",'Motor_Meciuri'!B10)</x:f>
      </x:c>
      <x:c r="D63" s="2" t="str">
        <x:f>IF(B63="","",'Motor_Meciuri'!D10)</x:f>
      </x:c>
      <x:c r="E63" s="2" t="str">
        <x:f>IF(B63="","",'Motor_Meciuri'!E10)</x:f>
      </x:c>
      <x:c r="F63" s="2" t="str">
        <x:v>O4,5</x:v>
      </x:c>
      <x:c r="G63" s="2" t="str">
        <x:v>OVER</x:v>
      </x:c>
      <x:c r="H63" s="2" t="n">
        <x:v>4</x:v>
      </x:c>
      <x:c r="I63" s="2" t="str">
        <x:f>IF(B63="","",'Motor_Meciuri'!H10)</x:f>
      </x:c>
      <x:c r="J63" s="2" t="str">
        <x:f>IF(B63="","",'Motor_Meciuri'!I10)</x:f>
      </x:c>
      <x:c r="K63" s="11" t="str">
        <x:f>IF(J63&lt;&gt;"PASS","",'Motor_Meciuri'!BD10)</x:f>
      </x:c>
      <x:c r="L63" s="11" t="str">
        <x:f>IF(J63&lt;&gt;"PASS","",'Motor_Meciuri'!AU10)</x:f>
      </x:c>
      <x:c r="M63" s="10" t="str">
        <x:f>IF(NOT(AND(J63="PASS",'Calibrare_Linii'!U7="VALID")),"",1-'Distributie'!AB10)</x:f>
      </x:c>
      <x:c r="N63" s="10" t="str">
        <x:f>IF(M63="","",MAX(0.01,MIN(0.99,0.5+(M63-0.5)*'Motor_Meciuri'!BG10*'Calibrare_Linii'!D7)))</x:f>
      </x:c>
      <x:c r="O63" s="10" t="str">
        <x:f>IF(M63="","",1-M63)</x:f>
      </x:c>
      <x:c r="P63" s="10" t="str">
        <x:f>IF(OR(NOT(AND(J63="PASS",'Calibrare_Linii'!U7="VALID")),AK63=0),""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*('Istoric_Nativ'!$Q$6:$Q$405&lt;=H63))/AK63)</x:f>
      </x:c>
      <x:c r="Q63" s="10" t="str">
        <x:f>IF(OR(NOT(AND(J63="PASS",'Calibrare_Linii'!U7="VALID")),AL63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M10)+((('Istoric_Nativ'!$E$6:$E$405='Input_Meci'!E10)+('Istoric_Nativ'!$F$6:$F$405='Input_Meci'!E10))&gt;0)*('Istoric_Nativ'!$D$6:$D$405&gt;='Motor_Meciuri'!BN10))&gt;0)*('Istoric_Nativ'!$Q$6:$Q$405&lt;=H63))/AL63)</x:f>
      </x:c>
      <x:c r="R63" s="10" t="str">
        <x:f>IF(OR(NOT(AND(J63="PASS",'Calibrare_Linii'!U7="VALID")),AM63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O10)+((('Istoric_Nativ'!$E$6:$E$405='Input_Meci'!E10)+('Istoric_Nativ'!$F$6:$F$405='Input_Meci'!E10))&gt;0)*('Istoric_Nativ'!$D$6:$D$405&gt;='Motor_Meciuri'!BP10))&gt;0)*('Istoric_Nativ'!$Q$6:$Q$405&lt;=H63))/AM63)</x:f>
      </x:c>
      <x:c r="S63" s="10" t="str">
        <x:f>IF(M63="","",MAX(O63,P63,Q63,R63))</x:f>
      </x:c>
      <x:c r="T63" s="11" t="str">
        <x:f>IF(M63="","",MIN(100,S63*100*'Config_v6'!$B$44+MIN(100,L63/'Config_v6'!$B$13*100)*'Config_v6'!$B$45+(100-'Motor_Meciuri'!BF10)*'Config_v6'!$B$46+'Motor_Meciuri'!BH10*100*'Config_v6'!$B$47))</x:f>
      </x:c>
      <x:c r="U63" s="2" t="str">
        <x:f>IF(T63="","",IF(T63&lt;=20,1,IF(T63&lt;=40,2,IF(T63&lt;=60,3,IF(T63&lt;=80,4,5)))))</x:f>
      </x:c>
      <x:c r="V63" s="2" t="str">
        <x:f>IF(M63="","",MAX(0,'Motor_Meciuri'!BF10-IF(W63="OOS PENDING",'Config_v6'!$B$35,0)-IF(L63&gt;'Config_v6'!$B$12,'Config_v6'!$B$37,IF(L63&gt;'Config_v6'!$B$11,'Config_v6'!$B$36,0))))</x:f>
      </x:c>
      <x:c r="W63" s="2" t="str">
        <x:f>IF(B63="","",IF(I63&lt;&gt;"READY","NOT RELEASED",IF(NOT(AND(J63="PASS",'Calibrare_Linii'!U7="VALID")),"INVALID",IF(NOT(AND('Calibrare_Linii'!S7="VALIDATED",AND('Calibrare_Linii'!H7=C63,ISNUMBER('Calibrare_Linii'!J7),'Calibrare_Linii'!J7&lt;='Input_Meci'!G10))),"OOS PENDING",IF(S63&lt;='Calibrare_Linii'!E7,"PASS",IF(S63&lt;='Calibrare_Linii'!F7,"PENALTY","WATCH"))))))</x:f>
      </x:c>
      <x:c r="X63" s="2" t="str">
        <x:f>IF(M63="","",IF(AND(AND(J63="PASS",'Calibrare_Linii'!U7="VALID"),'Motor_Meciuri'!K10=12,'Motor_Meciuri'!L10=12,'Motor_Meciuri'!M10="NO",'Motor_Meciuri'!BL10='Motor_Meciuri'!C10,AB63&gt;='Config_v6'!$B$50,AN63&gt;='Config_v6'!$B$51,T63&lt;='Config_v6'!$B$52,L63&lt;='Config_v6'!$B$53,ISNUMBER('Calibrare_Linii'!E7),S63&lt;='Calibrare_Linii'!E7,SUM(AK63:AM63)&gt;0),"CANDIDATE","NO"))</x:f>
      </x:c>
      <x:c r="Y63" s="2" t="str">
        <x:f>IF(B63="","",IF(I63&lt;&gt;"READY","NOT RELEASED",IF(AND(X63="CANDIDATE",V63&gt;='Config_v6'!$B$51,W63="PASS",'Calibrare_Linii'!T7="VALIDATED",AND('Calibrare_Linii'!H7=C63,ISNUMBER('Calibrare_Linii'!J7),'Calibrare_Linii'!J7&lt;='Input_Meci'!G10)),"PASS",IF(X63="CANDIDATE","OOS PENDING","FAIL"))))</x:f>
      </x:c>
      <x:c r="Z63" s="2" t="str">
        <x:f>IF(B63="","",IF(I63&lt;&gt;"READY","",IF(OR(NOT(AND(J63="PASS",'Calibrare_Linii'!U7="VALID")),L63&gt;'Config_v6'!$B$13,W63="WATCH"),5,IF(Y63="PASS",1,MIN(5,MAX('Config_v6'!$B$42,U63)+IF(W63="PENALTY",1,0))))))</x:f>
      </x:c>
      <x:c r="AA63" s="2" t="str">
        <x:f>IF(B63="","",IF(I63&lt;&gt;"READY","NOT RELEASED",IF(Z63=5,"NO BET",IF(OR(AB63&lt;'Config_v6'!$B$16,V63&lt;'Config_v6'!$B$18),"WATCH",IF(Z63=1,"DEFENSIV",IF(Z63=2,"PRUDENT",IF(Z63=3,"MODERAT","RIDICAT")))))))</x:f>
      </x:c>
      <x:c r="AB63" s="10" t="str">
        <x:f>IF(N63="","",MIN(N63,1-S63))</x:f>
      </x:c>
      <x:c r="AC63" s="2" t="str">
        <x:f>IF(AD63&lt;&gt;1,"",COUNTIFS($Z$62:$Z$75,"&lt;"&amp;Z63,$AD$62:$AD$75,1)+COUNTIFS($Z$62:$Z$75,Z63,$AB$62:$AB$75,"&gt;"&amp;AB63,$AD$62:$AD$75,1)+COUNTIFS($Z$62:$Z$75,Z63,$AB$62:$AB$75,AB63,$V$62:$V$75,"&gt;"&amp;V63,$AD$62:$AD$75,1)+COUNTIFS($Z$62:Z63,Z63,$AB$62:AB63,AB63,$V$62:V63,V63,$AD$62:AD63,1))</x:f>
      </x:c>
      <x:c r="AD63" s="2" t="n">
        <x:f>IF(OR(AA63="DEFENSIV",AA63="PRUDENT",AA63="MODERAT",AA63="RIDICAT"),1,0)</x:f>
        <x:v>0</x:v>
      </x:c>
      <x:c r="AE63" s="2" t="str">
        <x:f>IF(AD63&lt;&gt;1,"NO",IF(W63="PASS","YES",IF(W63="OOS PENDING","CONDITIONAL","NO")))</x:f>
        <x:v>NO</x:v>
      </x:c>
      <x:c r="AF63" s="2" t="n">
        <x:f>IF(AND(AD63=1,AC63=1,E63="LIVE"),1,0)</x:f>
        <x:v>0</x:v>
      </x:c>
      <x:c r="AG63" s="2" t="str">
        <x:f>IF(AF63&lt;&gt;1,"",'Dashboard'!P30)</x:f>
      </x:c>
      <x:c r="AH63" s="2" t="str">
        <x:f>IF(B63="","",IF(J63&lt;&gt;"PASS",'Motor_Meciuri'!J10,IF('Calibrare_Linii'!U7&lt;&gt;"VALID","Parametri linie invalizi",IF(L63&gt;'Config_v6'!$B$13,"Dispersie peste limita",IF(W63="WATCH","Failure peste limita",IF(AB63&lt;'Config_v6'!$B$16,"P finala sub prag",IF(V63&lt;'Config_v6'!$B$18,"Confidence sub prag",IF(E63="REPLAY","Exemplu retrospectiv; exclus din Top LIVE",IF(Y63="PASS","DEFENSIV validat",IF(W63="OOS PENDING","Eligibil; calibrare linie in monitorizare","Eligibil"))))))))))</x:f>
      </x:c>
      <x:c r="AI63" s="2" t="str">
        <x:f>IF(B63="","",'Calibrare_Linii'!V7)</x:f>
      </x:c>
      <x:c r="AJ63" s="2" t="str">
        <x:f>IF(B63="","",IF(AND('Calibrare_Linii'!T7="VALIDATED",AND('Calibrare_Linii'!H7=C63,ISNUMBER('Calibrare_Linii'!J7),'Calibrare_Linii'!J7&lt;='Input_Meci'!G10)),"DEFENSIVE VALIDATED",IF(AND('Calibrare_Linii'!S7="VALIDATED",AND('Calibrare_Linii'!H7=C63,ISNUMBER('Calibrare_Linii'!J7),'Calibrare_Linii'!J7&lt;='Input_Meci'!G10)),"TAIL VALIDATED","OOS PENDING")))</x:f>
      </x:c>
      <x:c r="AK63" s="2" t="n">
        <x:f>IF(J63&lt;&gt;"PASS",0,'Motor_Meciuri'!BR10)</x:f>
        <x:v>0</x:v>
      </x:c>
      <x:c r="AL63" s="2" t="n">
        <x:f>IF(J63&lt;&gt;"PASS",0,'Motor_Meciuri'!BS10)</x:f>
        <x:v>0</x:v>
      </x:c>
      <x:c r="AM63" s="2" t="n">
        <x:f>IF(J63&lt;&gt;"PASS",0,'Motor_Meciuri'!BT10)</x:f>
        <x:v>0</x:v>
      </x:c>
      <x:c r="AN63" s="2" t="str">
        <x:f>IF(M63="","",MAX(0,'Motor_Meciuri'!BF10-IF(L63&gt;'Config_v6'!$B$12,'Config_v6'!$B$37,IF(L63&gt;'Config_v6'!$B$11,'Config_v6'!$B$36,0))))</x:f>
      </x:c>
    </x:row>
    <x:row r="64" ht="21" customHeight="1">
      <x:c r="A64" s="2" t="n">
        <x:v>5</x:v>
      </x:c>
      <x:c r="B64" s="2" t="str">
        <x:f>IF('Motor_Meciuri'!A10="","",'Motor_Meciuri'!A10)</x:f>
      </x:c>
      <x:c r="C64" s="2" t="str">
        <x:f>IF(B64="","",'Motor_Meciuri'!B10)</x:f>
      </x:c>
      <x:c r="D64" s="2" t="str">
        <x:f>IF(B64="","",'Motor_Meciuri'!D10)</x:f>
      </x:c>
      <x:c r="E64" s="2" t="str">
        <x:f>IF(B64="","",'Motor_Meciuri'!E10)</x:f>
      </x:c>
      <x:c r="F64" s="2" t="str">
        <x:v>O5,5</x:v>
      </x:c>
      <x:c r="G64" s="2" t="str">
        <x:v>OVER</x:v>
      </x:c>
      <x:c r="H64" s="2" t="n">
        <x:v>5</x:v>
      </x:c>
      <x:c r="I64" s="2" t="str">
        <x:f>IF(B64="","",'Motor_Meciuri'!H10)</x:f>
      </x:c>
      <x:c r="J64" s="2" t="str">
        <x:f>IF(B64="","",'Motor_Meciuri'!I10)</x:f>
      </x:c>
      <x:c r="K64" s="11" t="str">
        <x:f>IF(J64&lt;&gt;"PASS","",'Motor_Meciuri'!BD10)</x:f>
      </x:c>
      <x:c r="L64" s="11" t="str">
        <x:f>IF(J64&lt;&gt;"PASS","",'Motor_Meciuri'!AU10)</x:f>
      </x:c>
      <x:c r="M64" s="10" t="str">
        <x:f>IF(NOT(AND(J64="PASS",'Calibrare_Linii'!U8="VALID")),"",1-'Distributie'!AC10)</x:f>
      </x:c>
      <x:c r="N64" s="10" t="str">
        <x:f>IF(M64="","",MAX(0.01,MIN(0.99,0.5+(M64-0.5)*'Motor_Meciuri'!BG10*'Calibrare_Linii'!D8)))</x:f>
      </x:c>
      <x:c r="O64" s="10" t="str">
        <x:f>IF(M64="","",1-M64)</x:f>
      </x:c>
      <x:c r="P64" s="10" t="str">
        <x:f>IF(OR(NOT(AND(J64="PASS",'Calibrare_Linii'!U8="VALID")),AK64=0),""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*('Istoric_Nativ'!$Q$6:$Q$405&lt;=H64))/AK64)</x:f>
      </x:c>
      <x:c r="Q64" s="10" t="str">
        <x:f>IF(OR(NOT(AND(J64="PASS",'Calibrare_Linii'!U8="VALID")),AL64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M10)+((('Istoric_Nativ'!$E$6:$E$405='Input_Meci'!E10)+('Istoric_Nativ'!$F$6:$F$405='Input_Meci'!E10))&gt;0)*('Istoric_Nativ'!$D$6:$D$405&gt;='Motor_Meciuri'!BN10))&gt;0)*('Istoric_Nativ'!$Q$6:$Q$405&lt;=H64))/AL64)</x:f>
      </x:c>
      <x:c r="R64" s="10" t="str">
        <x:f>IF(OR(NOT(AND(J64="PASS",'Calibrare_Linii'!U8="VALID")),AM64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O10)+((('Istoric_Nativ'!$E$6:$E$405='Input_Meci'!E10)+('Istoric_Nativ'!$F$6:$F$405='Input_Meci'!E10))&gt;0)*('Istoric_Nativ'!$D$6:$D$405&gt;='Motor_Meciuri'!BP10))&gt;0)*('Istoric_Nativ'!$Q$6:$Q$405&lt;=H64))/AM64)</x:f>
      </x:c>
      <x:c r="S64" s="10" t="str">
        <x:f>IF(M64="","",MAX(O64,P64,Q64,R64))</x:f>
      </x:c>
      <x:c r="T64" s="11" t="str">
        <x:f>IF(M64="","",MIN(100,S64*100*'Config_v6'!$B$44+MIN(100,L64/'Config_v6'!$B$13*100)*'Config_v6'!$B$45+(100-'Motor_Meciuri'!BF10)*'Config_v6'!$B$46+'Motor_Meciuri'!BH10*100*'Config_v6'!$B$47))</x:f>
      </x:c>
      <x:c r="U64" s="2" t="str">
        <x:f>IF(T64="","",IF(T64&lt;=20,1,IF(T64&lt;=40,2,IF(T64&lt;=60,3,IF(T64&lt;=80,4,5)))))</x:f>
      </x:c>
      <x:c r="V64" s="2" t="str">
        <x:f>IF(M64="","",MAX(0,'Motor_Meciuri'!BF10-IF(W64="OOS PENDING",'Config_v6'!$B$35,0)-IF(L64&gt;'Config_v6'!$B$12,'Config_v6'!$B$37,IF(L64&gt;'Config_v6'!$B$11,'Config_v6'!$B$36,0))))</x:f>
      </x:c>
      <x:c r="W64" s="2" t="str">
        <x:f>IF(B64="","",IF(I64&lt;&gt;"READY","NOT RELEASED",IF(NOT(AND(J64="PASS",'Calibrare_Linii'!U8="VALID")),"INVALID",IF(NOT(AND('Calibrare_Linii'!S8="VALIDATED",AND('Calibrare_Linii'!H8=C64,ISNUMBER('Calibrare_Linii'!J8),'Calibrare_Linii'!J8&lt;='Input_Meci'!G10))),"OOS PENDING",IF(S64&lt;='Calibrare_Linii'!E8,"PASS",IF(S64&lt;='Calibrare_Linii'!F8,"PENALTY","WATCH"))))))</x:f>
      </x:c>
      <x:c r="X64" s="2" t="str">
        <x:f>IF(M64="","",IF(AND(AND(J64="PASS",'Calibrare_Linii'!U8="VALID"),'Motor_Meciuri'!K10=12,'Motor_Meciuri'!L10=12,'Motor_Meciuri'!M10="NO",'Motor_Meciuri'!BL10='Motor_Meciuri'!C10,AB64&gt;='Config_v6'!$B$50,AN64&gt;='Config_v6'!$B$51,T64&lt;='Config_v6'!$B$52,L64&lt;='Config_v6'!$B$53,ISNUMBER('Calibrare_Linii'!E8),S64&lt;='Calibrare_Linii'!E8,SUM(AK64:AM64)&gt;0),"CANDIDATE","NO"))</x:f>
      </x:c>
      <x:c r="Y64" s="2" t="str">
        <x:f>IF(B64="","",IF(I64&lt;&gt;"READY","NOT RELEASED",IF(AND(X64="CANDIDATE",V64&gt;='Config_v6'!$B$51,W64="PASS",'Calibrare_Linii'!T8="VALIDATED",AND('Calibrare_Linii'!H8=C64,ISNUMBER('Calibrare_Linii'!J8),'Calibrare_Linii'!J8&lt;='Input_Meci'!G10)),"PASS",IF(X64="CANDIDATE","OOS PENDING","FAIL"))))</x:f>
      </x:c>
      <x:c r="Z64" s="2" t="str">
        <x:f>IF(B64="","",IF(I64&lt;&gt;"READY","",IF(OR(NOT(AND(J64="PASS",'Calibrare_Linii'!U8="VALID")),L64&gt;'Config_v6'!$B$13,W64="WATCH"),5,IF(Y64="PASS",1,MIN(5,MAX('Config_v6'!$B$42,U64)+IF(W64="PENALTY",1,0))))))</x:f>
      </x:c>
      <x:c r="AA64" s="2" t="str">
        <x:f>IF(B64="","",IF(I64&lt;&gt;"READY","NOT RELEASED",IF(Z64=5,"NO BET",IF(OR(AB64&lt;'Config_v6'!$B$16,V64&lt;'Config_v6'!$B$18),"WATCH",IF(Z64=1,"DEFENSIV",IF(Z64=2,"PRUDENT",IF(Z64=3,"MODERAT","RIDICAT")))))))</x:f>
      </x:c>
      <x:c r="AB64" s="10" t="str">
        <x:f>IF(N64="","",MIN(N64,1-S64))</x:f>
      </x:c>
      <x:c r="AC64" s="2" t="str">
        <x:f>IF(AD64&lt;&gt;1,"",COUNTIFS($Z$62:$Z$75,"&lt;"&amp;Z64,$AD$62:$AD$75,1)+COUNTIFS($Z$62:$Z$75,Z64,$AB$62:$AB$75,"&gt;"&amp;AB64,$AD$62:$AD$75,1)+COUNTIFS($Z$62:$Z$75,Z64,$AB$62:$AB$75,AB64,$V$62:$V$75,"&gt;"&amp;V64,$AD$62:$AD$75,1)+COUNTIFS($Z$62:Z64,Z64,$AB$62:AB64,AB64,$V$62:V64,V64,$AD$62:AD64,1))</x:f>
      </x:c>
      <x:c r="AD64" s="2" t="n">
        <x:f>IF(OR(AA64="DEFENSIV",AA64="PRUDENT",AA64="MODERAT",AA64="RIDICAT"),1,0)</x:f>
        <x:v>0</x:v>
      </x:c>
      <x:c r="AE64" s="2" t="str">
        <x:f>IF(AD64&lt;&gt;1,"NO",IF(W64="PASS","YES",IF(W64="OOS PENDING","CONDITIONAL","NO")))</x:f>
        <x:v>NO</x:v>
      </x:c>
      <x:c r="AF64" s="2" t="n">
        <x:f>IF(AND(AD64=1,AC64=1,E64="LIVE"),1,0)</x:f>
        <x:v>0</x:v>
      </x:c>
      <x:c r="AG64" s="2" t="str">
        <x:f>IF(AF64&lt;&gt;1,"",'Dashboard'!P30)</x:f>
      </x:c>
      <x:c r="AH64" s="2" t="str">
        <x:f>IF(B64="","",IF(J64&lt;&gt;"PASS",'Motor_Meciuri'!J10,IF('Calibrare_Linii'!U8&lt;&gt;"VALID","Parametri linie invalizi",IF(L64&gt;'Config_v6'!$B$13,"Dispersie peste limita",IF(W64="WATCH","Failure peste limita",IF(AB64&lt;'Config_v6'!$B$16,"P finala sub prag",IF(V64&lt;'Config_v6'!$B$18,"Confidence sub prag",IF(E64="REPLAY","Exemplu retrospectiv; exclus din Top LIVE",IF(Y64="PASS","DEFENSIV validat",IF(W64="OOS PENDING","Eligibil; calibrare linie in monitorizare","Eligibil"))))))))))</x:f>
      </x:c>
      <x:c r="AI64" s="2" t="str">
        <x:f>IF(B64="","",'Calibrare_Linii'!V8)</x:f>
      </x:c>
      <x:c r="AJ64" s="2" t="str">
        <x:f>IF(B64="","",IF(AND('Calibrare_Linii'!T8="VALIDATED",AND('Calibrare_Linii'!H8=C64,ISNUMBER('Calibrare_Linii'!J8),'Calibrare_Linii'!J8&lt;='Input_Meci'!G10)),"DEFENSIVE VALIDATED",IF(AND('Calibrare_Linii'!S8="VALIDATED",AND('Calibrare_Linii'!H8=C64,ISNUMBER('Calibrare_Linii'!J8),'Calibrare_Linii'!J8&lt;='Input_Meci'!G10)),"TAIL VALIDATED","OOS PENDING")))</x:f>
      </x:c>
      <x:c r="AK64" s="2" t="n">
        <x:f>IF(J64&lt;&gt;"PASS",0,'Motor_Meciuri'!BR10)</x:f>
        <x:v>0</x:v>
      </x:c>
      <x:c r="AL64" s="2" t="n">
        <x:f>IF(J64&lt;&gt;"PASS",0,'Motor_Meciuri'!BS10)</x:f>
        <x:v>0</x:v>
      </x:c>
      <x:c r="AM64" s="2" t="n">
        <x:f>IF(J64&lt;&gt;"PASS",0,'Motor_Meciuri'!BT10)</x:f>
        <x:v>0</x:v>
      </x:c>
      <x:c r="AN64" s="2" t="str">
        <x:f>IF(M64="","",MAX(0,'Motor_Meciuri'!BF10-IF(L64&gt;'Config_v6'!$B$12,'Config_v6'!$B$37,IF(L64&gt;'Config_v6'!$B$11,'Config_v6'!$B$36,0))))</x:f>
      </x:c>
    </x:row>
    <x:row r="65" ht="21" customHeight="1">
      <x:c r="A65" s="2" t="n">
        <x:v>5</x:v>
      </x:c>
      <x:c r="B65" s="2" t="str">
        <x:f>IF('Motor_Meciuri'!A10="","",'Motor_Meciuri'!A10)</x:f>
      </x:c>
      <x:c r="C65" s="2" t="str">
        <x:f>IF(B65="","",'Motor_Meciuri'!B10)</x:f>
      </x:c>
      <x:c r="D65" s="2" t="str">
        <x:f>IF(B65="","",'Motor_Meciuri'!D10)</x:f>
      </x:c>
      <x:c r="E65" s="2" t="str">
        <x:f>IF(B65="","",'Motor_Meciuri'!E10)</x:f>
      </x:c>
      <x:c r="F65" s="2" t="str">
        <x:v>O6,5</x:v>
      </x:c>
      <x:c r="G65" s="2" t="str">
        <x:v>OVER</x:v>
      </x:c>
      <x:c r="H65" s="2" t="n">
        <x:v>6</x:v>
      </x:c>
      <x:c r="I65" s="2" t="str">
        <x:f>IF(B65="","",'Motor_Meciuri'!H10)</x:f>
      </x:c>
      <x:c r="J65" s="2" t="str">
        <x:f>IF(B65="","",'Motor_Meciuri'!I10)</x:f>
      </x:c>
      <x:c r="K65" s="11" t="str">
        <x:f>IF(J65&lt;&gt;"PASS","",'Motor_Meciuri'!BD10)</x:f>
      </x:c>
      <x:c r="L65" s="11" t="str">
        <x:f>IF(J65&lt;&gt;"PASS","",'Motor_Meciuri'!AU10)</x:f>
      </x:c>
      <x:c r="M65" s="10" t="str">
        <x:f>IF(NOT(AND(J65="PASS",'Calibrare_Linii'!U9="VALID")),"",1-'Distributie'!AD10)</x:f>
      </x:c>
      <x:c r="N65" s="10" t="str">
        <x:f>IF(M65="","",MAX(0.01,MIN(0.99,0.5+(M65-0.5)*'Motor_Meciuri'!BG10*'Calibrare_Linii'!D9)))</x:f>
      </x:c>
      <x:c r="O65" s="10" t="str">
        <x:f>IF(M65="","",1-M65)</x:f>
      </x:c>
      <x:c r="P65" s="10" t="str">
        <x:f>IF(OR(NOT(AND(J65="PASS",'Calibrare_Linii'!U9="VALID")),AK65=0),""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*('Istoric_Nativ'!$Q$6:$Q$405&lt;=H65))/AK65)</x:f>
      </x:c>
      <x:c r="Q65" s="10" t="str">
        <x:f>IF(OR(NOT(AND(J65="PASS",'Calibrare_Linii'!U9="VALID")),AL65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M10)+((('Istoric_Nativ'!$E$6:$E$405='Input_Meci'!E10)+('Istoric_Nativ'!$F$6:$F$405='Input_Meci'!E10))&gt;0)*('Istoric_Nativ'!$D$6:$D$405&gt;='Motor_Meciuri'!BN10))&gt;0)*('Istoric_Nativ'!$Q$6:$Q$405&lt;=H65))/AL65)</x:f>
      </x:c>
      <x:c r="R65" s="10" t="str">
        <x:f>IF(OR(NOT(AND(J65="PASS",'Calibrare_Linii'!U9="VALID")),AM65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O10)+((('Istoric_Nativ'!$E$6:$E$405='Input_Meci'!E10)+('Istoric_Nativ'!$F$6:$F$405='Input_Meci'!E10))&gt;0)*('Istoric_Nativ'!$D$6:$D$405&gt;='Motor_Meciuri'!BP10))&gt;0)*('Istoric_Nativ'!$Q$6:$Q$405&lt;=H65))/AM65)</x:f>
      </x:c>
      <x:c r="S65" s="10" t="str">
        <x:f>IF(M65="","",MAX(O65,P65,Q65,R65))</x:f>
      </x:c>
      <x:c r="T65" s="11" t="str">
        <x:f>IF(M65="","",MIN(100,S65*100*'Config_v6'!$B$44+MIN(100,L65/'Config_v6'!$B$13*100)*'Config_v6'!$B$45+(100-'Motor_Meciuri'!BF10)*'Config_v6'!$B$46+'Motor_Meciuri'!BH10*100*'Config_v6'!$B$47))</x:f>
      </x:c>
      <x:c r="U65" s="2" t="str">
        <x:f>IF(T65="","",IF(T65&lt;=20,1,IF(T65&lt;=40,2,IF(T65&lt;=60,3,IF(T65&lt;=80,4,5)))))</x:f>
      </x:c>
      <x:c r="V65" s="2" t="str">
        <x:f>IF(M65="","",MAX(0,'Motor_Meciuri'!BF10-IF(W65="OOS PENDING",'Config_v6'!$B$35,0)-IF(L65&gt;'Config_v6'!$B$12,'Config_v6'!$B$37,IF(L65&gt;'Config_v6'!$B$11,'Config_v6'!$B$36,0))))</x:f>
      </x:c>
      <x:c r="W65" s="2" t="str">
        <x:f>IF(B65="","",IF(I65&lt;&gt;"READY","NOT RELEASED",IF(NOT(AND(J65="PASS",'Calibrare_Linii'!U9="VALID")),"INVALID",IF(NOT(AND('Calibrare_Linii'!S9="VALIDATED",AND('Calibrare_Linii'!H9=C65,ISNUMBER('Calibrare_Linii'!J9),'Calibrare_Linii'!J9&lt;='Input_Meci'!G10))),"OOS PENDING",IF(S65&lt;='Calibrare_Linii'!E9,"PASS",IF(S65&lt;='Calibrare_Linii'!F9,"PENALTY","WATCH"))))))</x:f>
      </x:c>
      <x:c r="X65" s="2" t="str">
        <x:f>IF(M65="","",IF(AND(AND(J65="PASS",'Calibrare_Linii'!U9="VALID"),'Motor_Meciuri'!K10=12,'Motor_Meciuri'!L10=12,'Motor_Meciuri'!M10="NO",'Motor_Meciuri'!BL10='Motor_Meciuri'!C10,AB65&gt;='Config_v6'!$B$50,AN65&gt;='Config_v6'!$B$51,T65&lt;='Config_v6'!$B$52,L65&lt;='Config_v6'!$B$53,ISNUMBER('Calibrare_Linii'!E9),S65&lt;='Calibrare_Linii'!E9,SUM(AK65:AM65)&gt;0),"CANDIDATE","NO"))</x:f>
      </x:c>
      <x:c r="Y65" s="2" t="str">
        <x:f>IF(B65="","",IF(I65&lt;&gt;"READY","NOT RELEASED",IF(AND(X65="CANDIDATE",V65&gt;='Config_v6'!$B$51,W65="PASS",'Calibrare_Linii'!T9="VALIDATED",AND('Calibrare_Linii'!H9=C65,ISNUMBER('Calibrare_Linii'!J9),'Calibrare_Linii'!J9&lt;='Input_Meci'!G10)),"PASS",IF(X65="CANDIDATE","OOS PENDING","FAIL"))))</x:f>
      </x:c>
      <x:c r="Z65" s="2" t="str">
        <x:f>IF(B65="","",IF(I65&lt;&gt;"READY","",IF(OR(NOT(AND(J65="PASS",'Calibrare_Linii'!U9="VALID")),L65&gt;'Config_v6'!$B$13,W65="WATCH"),5,IF(Y65="PASS",1,MIN(5,MAX('Config_v6'!$B$42,U65)+IF(W65="PENALTY",1,0))))))</x:f>
      </x:c>
      <x:c r="AA65" s="2" t="str">
        <x:f>IF(B65="","",IF(I65&lt;&gt;"READY","NOT RELEASED",IF(Z65=5,"NO BET",IF(OR(AB65&lt;'Config_v6'!$B$16,V65&lt;'Config_v6'!$B$18),"WATCH",IF(Z65=1,"DEFENSIV",IF(Z65=2,"PRUDENT",IF(Z65=3,"MODERAT","RIDICAT")))))))</x:f>
      </x:c>
      <x:c r="AB65" s="10" t="str">
        <x:f>IF(N65="","",MIN(N65,1-S65))</x:f>
      </x:c>
      <x:c r="AC65" s="2" t="str">
        <x:f>IF(AD65&lt;&gt;1,"",COUNTIFS($Z$62:$Z$75,"&lt;"&amp;Z65,$AD$62:$AD$75,1)+COUNTIFS($Z$62:$Z$75,Z65,$AB$62:$AB$75,"&gt;"&amp;AB65,$AD$62:$AD$75,1)+COUNTIFS($Z$62:$Z$75,Z65,$AB$62:$AB$75,AB65,$V$62:$V$75,"&gt;"&amp;V65,$AD$62:$AD$75,1)+COUNTIFS($Z$62:Z65,Z65,$AB$62:AB65,AB65,$V$62:V65,V65,$AD$62:AD65,1))</x:f>
      </x:c>
      <x:c r="AD65" s="2" t="n">
        <x:f>IF(OR(AA65="DEFENSIV",AA65="PRUDENT",AA65="MODERAT",AA65="RIDICAT"),1,0)</x:f>
        <x:v>0</x:v>
      </x:c>
      <x:c r="AE65" s="2" t="str">
        <x:f>IF(AD65&lt;&gt;1,"NO",IF(W65="PASS","YES",IF(W65="OOS PENDING","CONDITIONAL","NO")))</x:f>
        <x:v>NO</x:v>
      </x:c>
      <x:c r="AF65" s="2" t="n">
        <x:f>IF(AND(AD65=1,AC65=1,E65="LIVE"),1,0)</x:f>
        <x:v>0</x:v>
      </x:c>
      <x:c r="AG65" s="2" t="str">
        <x:f>IF(AF65&lt;&gt;1,"",'Dashboard'!P30)</x:f>
      </x:c>
      <x:c r="AH65" s="2" t="str">
        <x:f>IF(B65="","",IF(J65&lt;&gt;"PASS",'Motor_Meciuri'!J10,IF('Calibrare_Linii'!U9&lt;&gt;"VALID","Parametri linie invalizi",IF(L65&gt;'Config_v6'!$B$13,"Dispersie peste limita",IF(W65="WATCH","Failure peste limita",IF(AB65&lt;'Config_v6'!$B$16,"P finala sub prag",IF(V65&lt;'Config_v6'!$B$18,"Confidence sub prag",IF(E65="REPLAY","Exemplu retrospectiv; exclus din Top LIVE",IF(Y65="PASS","DEFENSIV validat",IF(W65="OOS PENDING","Eligibil; calibrare linie in monitorizare","Eligibil"))))))))))</x:f>
      </x:c>
      <x:c r="AI65" s="2" t="str">
        <x:f>IF(B65="","",'Calibrare_Linii'!V9)</x:f>
      </x:c>
      <x:c r="AJ65" s="2" t="str">
        <x:f>IF(B65="","",IF(AND('Calibrare_Linii'!T9="VALIDATED",AND('Calibrare_Linii'!H9=C65,ISNUMBER('Calibrare_Linii'!J9),'Calibrare_Linii'!J9&lt;='Input_Meci'!G10)),"DEFENSIVE VALIDATED",IF(AND('Calibrare_Linii'!S9="VALIDATED",AND('Calibrare_Linii'!H9=C65,ISNUMBER('Calibrare_Linii'!J9),'Calibrare_Linii'!J9&lt;='Input_Meci'!G10)),"TAIL VALIDATED","OOS PENDING")))</x:f>
      </x:c>
      <x:c r="AK65" s="2" t="n">
        <x:f>IF(J65&lt;&gt;"PASS",0,'Motor_Meciuri'!BR10)</x:f>
        <x:v>0</x:v>
      </x:c>
      <x:c r="AL65" s="2" t="n">
        <x:f>IF(J65&lt;&gt;"PASS",0,'Motor_Meciuri'!BS10)</x:f>
        <x:v>0</x:v>
      </x:c>
      <x:c r="AM65" s="2" t="n">
        <x:f>IF(J65&lt;&gt;"PASS",0,'Motor_Meciuri'!BT10)</x:f>
        <x:v>0</x:v>
      </x:c>
      <x:c r="AN65" s="2" t="str">
        <x:f>IF(M65="","",MAX(0,'Motor_Meciuri'!BF10-IF(L65&gt;'Config_v6'!$B$12,'Config_v6'!$B$37,IF(L65&gt;'Config_v6'!$B$11,'Config_v6'!$B$36,0))))</x:f>
      </x:c>
    </x:row>
    <x:row r="66" ht="21" customHeight="1">
      <x:c r="A66" s="2" t="n">
        <x:v>5</x:v>
      </x:c>
      <x:c r="B66" s="2" t="str">
        <x:f>IF('Motor_Meciuri'!A10="","",'Motor_Meciuri'!A10)</x:f>
      </x:c>
      <x:c r="C66" s="2" t="str">
        <x:f>IF(B66="","",'Motor_Meciuri'!B10)</x:f>
      </x:c>
      <x:c r="D66" s="2" t="str">
        <x:f>IF(B66="","",'Motor_Meciuri'!D10)</x:f>
      </x:c>
      <x:c r="E66" s="2" t="str">
        <x:f>IF(B66="","",'Motor_Meciuri'!E10)</x:f>
      </x:c>
      <x:c r="F66" s="2" t="str">
        <x:v>O7,5</x:v>
      </x:c>
      <x:c r="G66" s="2" t="str">
        <x:v>OVER</x:v>
      </x:c>
      <x:c r="H66" s="2" t="n">
        <x:v>7</x:v>
      </x:c>
      <x:c r="I66" s="2" t="str">
        <x:f>IF(B66="","",'Motor_Meciuri'!H10)</x:f>
      </x:c>
      <x:c r="J66" s="2" t="str">
        <x:f>IF(B66="","",'Motor_Meciuri'!I10)</x:f>
      </x:c>
      <x:c r="K66" s="11" t="str">
        <x:f>IF(J66&lt;&gt;"PASS","",'Motor_Meciuri'!BD10)</x:f>
      </x:c>
      <x:c r="L66" s="11" t="str">
        <x:f>IF(J66&lt;&gt;"PASS","",'Motor_Meciuri'!AU10)</x:f>
      </x:c>
      <x:c r="M66" s="10" t="str">
        <x:f>IF(NOT(AND(J66="PASS",'Calibrare_Linii'!U10="VALID")),"",1-'Distributie'!AE10)</x:f>
      </x:c>
      <x:c r="N66" s="10" t="str">
        <x:f>IF(M66="","",MAX(0.01,MIN(0.99,0.5+(M66-0.5)*'Motor_Meciuri'!BG10*'Calibrare_Linii'!D10)))</x:f>
      </x:c>
      <x:c r="O66" s="10" t="str">
        <x:f>IF(M66="","",1-M66)</x:f>
      </x:c>
      <x:c r="P66" s="10" t="str">
        <x:f>IF(OR(NOT(AND(J66="PASS",'Calibrare_Linii'!U10="VALID")),AK66=0),""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*('Istoric_Nativ'!$Q$6:$Q$405&lt;=H66))/AK66)</x:f>
      </x:c>
      <x:c r="Q66" s="10" t="str">
        <x:f>IF(OR(NOT(AND(J66="PASS",'Calibrare_Linii'!U10="VALID")),AL66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M10)+((('Istoric_Nativ'!$E$6:$E$405='Input_Meci'!E10)+('Istoric_Nativ'!$F$6:$F$405='Input_Meci'!E10))&gt;0)*('Istoric_Nativ'!$D$6:$D$405&gt;='Motor_Meciuri'!BN10))&gt;0)*('Istoric_Nativ'!$Q$6:$Q$405&lt;=H66))/AL66)</x:f>
      </x:c>
      <x:c r="R66" s="10" t="str">
        <x:f>IF(OR(NOT(AND(J66="PASS",'Calibrare_Linii'!U10="VALID")),AM66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O10)+((('Istoric_Nativ'!$E$6:$E$405='Input_Meci'!E10)+('Istoric_Nativ'!$F$6:$F$405='Input_Meci'!E10))&gt;0)*('Istoric_Nativ'!$D$6:$D$405&gt;='Motor_Meciuri'!BP10))&gt;0)*('Istoric_Nativ'!$Q$6:$Q$405&lt;=H66))/AM66)</x:f>
      </x:c>
      <x:c r="S66" s="10" t="str">
        <x:f>IF(M66="","",MAX(O66,P66,Q66,R66))</x:f>
      </x:c>
      <x:c r="T66" s="11" t="str">
        <x:f>IF(M66="","",MIN(100,S66*100*'Config_v6'!$B$44+MIN(100,L66/'Config_v6'!$B$13*100)*'Config_v6'!$B$45+(100-'Motor_Meciuri'!BF10)*'Config_v6'!$B$46+'Motor_Meciuri'!BH10*100*'Config_v6'!$B$47))</x:f>
      </x:c>
      <x:c r="U66" s="2" t="str">
        <x:f>IF(T66="","",IF(T66&lt;=20,1,IF(T66&lt;=40,2,IF(T66&lt;=60,3,IF(T66&lt;=80,4,5)))))</x:f>
      </x:c>
      <x:c r="V66" s="2" t="str">
        <x:f>IF(M66="","",MAX(0,'Motor_Meciuri'!BF10-IF(W66="OOS PENDING",'Config_v6'!$B$35,0)-IF(L66&gt;'Config_v6'!$B$12,'Config_v6'!$B$37,IF(L66&gt;'Config_v6'!$B$11,'Config_v6'!$B$36,0))))</x:f>
      </x:c>
      <x:c r="W66" s="2" t="str">
        <x:f>IF(B66="","",IF(I66&lt;&gt;"READY","NOT RELEASED",IF(NOT(AND(J66="PASS",'Calibrare_Linii'!U10="VALID")),"INVALID",IF(NOT(AND('Calibrare_Linii'!S10="VALIDATED",AND('Calibrare_Linii'!H10=C66,ISNUMBER('Calibrare_Linii'!J10),'Calibrare_Linii'!J10&lt;='Input_Meci'!G10))),"OOS PENDING",IF(S66&lt;='Calibrare_Linii'!E10,"PASS",IF(S66&lt;='Calibrare_Linii'!F10,"PENALTY","WATCH"))))))</x:f>
      </x:c>
      <x:c r="X66" s="2" t="str">
        <x:f>IF(M66="","",IF(AND(AND(J66="PASS",'Calibrare_Linii'!U10="VALID"),'Motor_Meciuri'!K10=12,'Motor_Meciuri'!L10=12,'Motor_Meciuri'!M10="NO",'Motor_Meciuri'!BL10='Motor_Meciuri'!C10,AB66&gt;='Config_v6'!$B$50,AN66&gt;='Config_v6'!$B$51,T66&lt;='Config_v6'!$B$52,L66&lt;='Config_v6'!$B$53,ISNUMBER('Calibrare_Linii'!E10),S66&lt;='Calibrare_Linii'!E10,SUM(AK66:AM66)&gt;0),"CANDIDATE","NO"))</x:f>
      </x:c>
      <x:c r="Y66" s="2" t="str">
        <x:f>IF(B66="","",IF(I66&lt;&gt;"READY","NOT RELEASED",IF(AND(X66="CANDIDATE",V66&gt;='Config_v6'!$B$51,W66="PASS",'Calibrare_Linii'!T10="VALIDATED",AND('Calibrare_Linii'!H10=C66,ISNUMBER('Calibrare_Linii'!J10),'Calibrare_Linii'!J10&lt;='Input_Meci'!G10)),"PASS",IF(X66="CANDIDATE","OOS PENDING","FAIL"))))</x:f>
      </x:c>
      <x:c r="Z66" s="2" t="str">
        <x:f>IF(B66="","",IF(I66&lt;&gt;"READY","",IF(OR(NOT(AND(J66="PASS",'Calibrare_Linii'!U10="VALID")),L66&gt;'Config_v6'!$B$13,W66="WATCH"),5,IF(Y66="PASS",1,MIN(5,MAX('Config_v6'!$B$42,U66)+IF(W66="PENALTY",1,0))))))</x:f>
      </x:c>
      <x:c r="AA66" s="2" t="str">
        <x:f>IF(B66="","",IF(I66&lt;&gt;"READY","NOT RELEASED",IF(Z66=5,"NO BET",IF(OR(AB66&lt;'Config_v6'!$B$16,V66&lt;'Config_v6'!$B$18),"WATCH",IF(Z66=1,"DEFENSIV",IF(Z66=2,"PRUDENT",IF(Z66=3,"MODERAT","RIDICAT")))))))</x:f>
      </x:c>
      <x:c r="AB66" s="10" t="str">
        <x:f>IF(N66="","",MIN(N66,1-S66))</x:f>
      </x:c>
      <x:c r="AC66" s="2" t="str">
        <x:f>IF(AD66&lt;&gt;1,"",COUNTIFS($Z$62:$Z$75,"&lt;"&amp;Z66,$AD$62:$AD$75,1)+COUNTIFS($Z$62:$Z$75,Z66,$AB$62:$AB$75,"&gt;"&amp;AB66,$AD$62:$AD$75,1)+COUNTIFS($Z$62:$Z$75,Z66,$AB$62:$AB$75,AB66,$V$62:$V$75,"&gt;"&amp;V66,$AD$62:$AD$75,1)+COUNTIFS($Z$62:Z66,Z66,$AB$62:AB66,AB66,$V$62:V66,V66,$AD$62:AD66,1))</x:f>
      </x:c>
      <x:c r="AD66" s="2" t="n">
        <x:f>IF(OR(AA66="DEFENSIV",AA66="PRUDENT",AA66="MODERAT",AA66="RIDICAT"),1,0)</x:f>
        <x:v>0</x:v>
      </x:c>
      <x:c r="AE66" s="2" t="str">
        <x:f>IF(AD66&lt;&gt;1,"NO",IF(W66="PASS","YES",IF(W66="OOS PENDING","CONDITIONAL","NO")))</x:f>
        <x:v>NO</x:v>
      </x:c>
      <x:c r="AF66" s="2" t="n">
        <x:f>IF(AND(AD66=1,AC66=1,E66="LIVE"),1,0)</x:f>
        <x:v>0</x:v>
      </x:c>
      <x:c r="AG66" s="2" t="str">
        <x:f>IF(AF66&lt;&gt;1,"",'Dashboard'!P30)</x:f>
      </x:c>
      <x:c r="AH66" s="2" t="str">
        <x:f>IF(B66="","",IF(J66&lt;&gt;"PASS",'Motor_Meciuri'!J10,IF('Calibrare_Linii'!U10&lt;&gt;"VALID","Parametri linie invalizi",IF(L66&gt;'Config_v6'!$B$13,"Dispersie peste limita",IF(W66="WATCH","Failure peste limita",IF(AB66&lt;'Config_v6'!$B$16,"P finala sub prag",IF(V66&lt;'Config_v6'!$B$18,"Confidence sub prag",IF(E66="REPLAY","Exemplu retrospectiv; exclus din Top LIVE",IF(Y66="PASS","DEFENSIV validat",IF(W66="OOS PENDING","Eligibil; calibrare linie in monitorizare","Eligibil"))))))))))</x:f>
      </x:c>
      <x:c r="AI66" s="2" t="str">
        <x:f>IF(B66="","",'Calibrare_Linii'!V10)</x:f>
      </x:c>
      <x:c r="AJ66" s="2" t="str">
        <x:f>IF(B66="","",IF(AND('Calibrare_Linii'!T10="VALIDATED",AND('Calibrare_Linii'!H10=C66,ISNUMBER('Calibrare_Linii'!J10),'Calibrare_Linii'!J10&lt;='Input_Meci'!G10)),"DEFENSIVE VALIDATED",IF(AND('Calibrare_Linii'!S10="VALIDATED",AND('Calibrare_Linii'!H10=C66,ISNUMBER('Calibrare_Linii'!J10),'Calibrare_Linii'!J10&lt;='Input_Meci'!G10)),"TAIL VALIDATED","OOS PENDING")))</x:f>
      </x:c>
      <x:c r="AK66" s="2" t="n">
        <x:f>IF(J66&lt;&gt;"PASS",0,'Motor_Meciuri'!BR10)</x:f>
        <x:v>0</x:v>
      </x:c>
      <x:c r="AL66" s="2" t="n">
        <x:f>IF(J66&lt;&gt;"PASS",0,'Motor_Meciuri'!BS10)</x:f>
        <x:v>0</x:v>
      </x:c>
      <x:c r="AM66" s="2" t="n">
        <x:f>IF(J66&lt;&gt;"PASS",0,'Motor_Meciuri'!BT10)</x:f>
        <x:v>0</x:v>
      </x:c>
      <x:c r="AN66" s="2" t="str">
        <x:f>IF(M66="","",MAX(0,'Motor_Meciuri'!BF10-IF(L66&gt;'Config_v6'!$B$12,'Config_v6'!$B$37,IF(L66&gt;'Config_v6'!$B$11,'Config_v6'!$B$36,0))))</x:f>
      </x:c>
    </x:row>
    <x:row r="67" ht="21" customHeight="1">
      <x:c r="A67" s="2" t="n">
        <x:v>5</x:v>
      </x:c>
      <x:c r="B67" s="2" t="str">
        <x:f>IF('Motor_Meciuri'!A10="","",'Motor_Meciuri'!A10)</x:f>
      </x:c>
      <x:c r="C67" s="2" t="str">
        <x:f>IF(B67="","",'Motor_Meciuri'!B10)</x:f>
      </x:c>
      <x:c r="D67" s="2" t="str">
        <x:f>IF(B67="","",'Motor_Meciuri'!D10)</x:f>
      </x:c>
      <x:c r="E67" s="2" t="str">
        <x:f>IF(B67="","",'Motor_Meciuri'!E10)</x:f>
      </x:c>
      <x:c r="F67" s="2" t="str">
        <x:v>O8,5</x:v>
      </x:c>
      <x:c r="G67" s="2" t="str">
        <x:v>OVER</x:v>
      </x:c>
      <x:c r="H67" s="2" t="n">
        <x:v>8</x:v>
      </x:c>
      <x:c r="I67" s="2" t="str">
        <x:f>IF(B67="","",'Motor_Meciuri'!H10)</x:f>
      </x:c>
      <x:c r="J67" s="2" t="str">
        <x:f>IF(B67="","",'Motor_Meciuri'!I10)</x:f>
      </x:c>
      <x:c r="K67" s="11" t="str">
        <x:f>IF(J67&lt;&gt;"PASS","",'Motor_Meciuri'!BD10)</x:f>
      </x:c>
      <x:c r="L67" s="11" t="str">
        <x:f>IF(J67&lt;&gt;"PASS","",'Motor_Meciuri'!AU10)</x:f>
      </x:c>
      <x:c r="M67" s="10" t="str">
        <x:f>IF(NOT(AND(J67="PASS",'Calibrare_Linii'!U11="VALID")),"",1-'Distributie'!AF10)</x:f>
      </x:c>
      <x:c r="N67" s="10" t="str">
        <x:f>IF(M67="","",MAX(0.01,MIN(0.99,0.5+(M67-0.5)*'Motor_Meciuri'!BG10*'Calibrare_Linii'!D11)))</x:f>
      </x:c>
      <x:c r="O67" s="10" t="str">
        <x:f>IF(M67="","",1-M67)</x:f>
      </x:c>
      <x:c r="P67" s="10" t="str">
        <x:f>IF(OR(NOT(AND(J67="PASS",'Calibrare_Linii'!U11="VALID")),AK67=0),""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*('Istoric_Nativ'!$Q$6:$Q$405&lt;=H67))/AK67)</x:f>
      </x:c>
      <x:c r="Q67" s="10" t="str">
        <x:f>IF(OR(NOT(AND(J67="PASS",'Calibrare_Linii'!U11="VALID")),AL67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M10)+((('Istoric_Nativ'!$E$6:$E$405='Input_Meci'!E10)+('Istoric_Nativ'!$F$6:$F$405='Input_Meci'!E10))&gt;0)*('Istoric_Nativ'!$D$6:$D$405&gt;='Motor_Meciuri'!BN10))&gt;0)*('Istoric_Nativ'!$Q$6:$Q$405&lt;=H67))/AL67)</x:f>
      </x:c>
      <x:c r="R67" s="10" t="str">
        <x:f>IF(OR(NOT(AND(J67="PASS",'Calibrare_Linii'!U11="VALID")),AM67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O10)+((('Istoric_Nativ'!$E$6:$E$405='Input_Meci'!E10)+('Istoric_Nativ'!$F$6:$F$405='Input_Meci'!E10))&gt;0)*('Istoric_Nativ'!$D$6:$D$405&gt;='Motor_Meciuri'!BP10))&gt;0)*('Istoric_Nativ'!$Q$6:$Q$405&lt;=H67))/AM67)</x:f>
      </x:c>
      <x:c r="S67" s="10" t="str">
        <x:f>IF(M67="","",MAX(O67,P67,Q67,R67))</x:f>
      </x:c>
      <x:c r="T67" s="11" t="str">
        <x:f>IF(M67="","",MIN(100,S67*100*'Config_v6'!$B$44+MIN(100,L67/'Config_v6'!$B$13*100)*'Config_v6'!$B$45+(100-'Motor_Meciuri'!BF10)*'Config_v6'!$B$46+'Motor_Meciuri'!BH10*100*'Config_v6'!$B$47))</x:f>
      </x:c>
      <x:c r="U67" s="2" t="str">
        <x:f>IF(T67="","",IF(T67&lt;=20,1,IF(T67&lt;=40,2,IF(T67&lt;=60,3,IF(T67&lt;=80,4,5)))))</x:f>
      </x:c>
      <x:c r="V67" s="2" t="str">
        <x:f>IF(M67="","",MAX(0,'Motor_Meciuri'!BF10-IF(W67="OOS PENDING",'Config_v6'!$B$35,0)-IF(L67&gt;'Config_v6'!$B$12,'Config_v6'!$B$37,IF(L67&gt;'Config_v6'!$B$11,'Config_v6'!$B$36,0))))</x:f>
      </x:c>
      <x:c r="W67" s="2" t="str">
        <x:f>IF(B67="","",IF(I67&lt;&gt;"READY","NOT RELEASED",IF(NOT(AND(J67="PASS",'Calibrare_Linii'!U11="VALID")),"INVALID",IF(NOT(AND('Calibrare_Linii'!S11="VALIDATED",AND('Calibrare_Linii'!H11=C67,ISNUMBER('Calibrare_Linii'!J11),'Calibrare_Linii'!J11&lt;='Input_Meci'!G10))),"OOS PENDING",IF(S67&lt;='Calibrare_Linii'!E11,"PASS",IF(S67&lt;='Calibrare_Linii'!F11,"PENALTY","WATCH"))))))</x:f>
      </x:c>
      <x:c r="X67" s="2" t="str">
        <x:f>IF(M67="","",IF(AND(AND(J67="PASS",'Calibrare_Linii'!U11="VALID"),'Motor_Meciuri'!K10=12,'Motor_Meciuri'!L10=12,'Motor_Meciuri'!M10="NO",'Motor_Meciuri'!BL10='Motor_Meciuri'!C10,AB67&gt;='Config_v6'!$B$50,AN67&gt;='Config_v6'!$B$51,T67&lt;='Config_v6'!$B$52,L67&lt;='Config_v6'!$B$53,ISNUMBER('Calibrare_Linii'!E11),S67&lt;='Calibrare_Linii'!E11,SUM(AK67:AM67)&gt;0),"CANDIDATE","NO"))</x:f>
      </x:c>
      <x:c r="Y67" s="2" t="str">
        <x:f>IF(B67="","",IF(I67&lt;&gt;"READY","NOT RELEASED",IF(AND(X67="CANDIDATE",V67&gt;='Config_v6'!$B$51,W67="PASS",'Calibrare_Linii'!T11="VALIDATED",AND('Calibrare_Linii'!H11=C67,ISNUMBER('Calibrare_Linii'!J11),'Calibrare_Linii'!J11&lt;='Input_Meci'!G10)),"PASS",IF(X67="CANDIDATE","OOS PENDING","FAIL"))))</x:f>
      </x:c>
      <x:c r="Z67" s="2" t="str">
        <x:f>IF(B67="","",IF(I67&lt;&gt;"READY","",IF(OR(NOT(AND(J67="PASS",'Calibrare_Linii'!U11="VALID")),L67&gt;'Config_v6'!$B$13,W67="WATCH"),5,IF(Y67="PASS",1,MIN(5,MAX('Config_v6'!$B$42,U67)+IF(W67="PENALTY",1,0))))))</x:f>
      </x:c>
      <x:c r="AA67" s="2" t="str">
        <x:f>IF(B67="","",IF(I67&lt;&gt;"READY","NOT RELEASED",IF(Z67=5,"NO BET",IF(OR(AB67&lt;'Config_v6'!$B$16,V67&lt;'Config_v6'!$B$18),"WATCH",IF(Z67=1,"DEFENSIV",IF(Z67=2,"PRUDENT",IF(Z67=3,"MODERAT","RIDICAT")))))))</x:f>
      </x:c>
      <x:c r="AB67" s="10" t="str">
        <x:f>IF(N67="","",MIN(N67,1-S67))</x:f>
      </x:c>
      <x:c r="AC67" s="2" t="str">
        <x:f>IF(AD67&lt;&gt;1,"",COUNTIFS($Z$62:$Z$75,"&lt;"&amp;Z67,$AD$62:$AD$75,1)+COUNTIFS($Z$62:$Z$75,Z67,$AB$62:$AB$75,"&gt;"&amp;AB67,$AD$62:$AD$75,1)+COUNTIFS($Z$62:$Z$75,Z67,$AB$62:$AB$75,AB67,$V$62:$V$75,"&gt;"&amp;V67,$AD$62:$AD$75,1)+COUNTIFS($Z$62:Z67,Z67,$AB$62:AB67,AB67,$V$62:V67,V67,$AD$62:AD67,1))</x:f>
      </x:c>
      <x:c r="AD67" s="2" t="n">
        <x:f>IF(OR(AA67="DEFENSIV",AA67="PRUDENT",AA67="MODERAT",AA67="RIDICAT"),1,0)</x:f>
        <x:v>0</x:v>
      </x:c>
      <x:c r="AE67" s="2" t="str">
        <x:f>IF(AD67&lt;&gt;1,"NO",IF(W67="PASS","YES",IF(W67="OOS PENDING","CONDITIONAL","NO")))</x:f>
        <x:v>NO</x:v>
      </x:c>
      <x:c r="AF67" s="2" t="n">
        <x:f>IF(AND(AD67=1,AC67=1,E67="LIVE"),1,0)</x:f>
        <x:v>0</x:v>
      </x:c>
      <x:c r="AG67" s="2" t="str">
        <x:f>IF(AF67&lt;&gt;1,"",'Dashboard'!P30)</x:f>
      </x:c>
      <x:c r="AH67" s="2" t="str">
        <x:f>IF(B67="","",IF(J67&lt;&gt;"PASS",'Motor_Meciuri'!J10,IF('Calibrare_Linii'!U11&lt;&gt;"VALID","Parametri linie invalizi",IF(L67&gt;'Config_v6'!$B$13,"Dispersie peste limita",IF(W67="WATCH","Failure peste limita",IF(AB67&lt;'Config_v6'!$B$16,"P finala sub prag",IF(V67&lt;'Config_v6'!$B$18,"Confidence sub prag",IF(E67="REPLAY","Exemplu retrospectiv; exclus din Top LIVE",IF(Y67="PASS","DEFENSIV validat",IF(W67="OOS PENDING","Eligibil; calibrare linie in monitorizare","Eligibil"))))))))))</x:f>
      </x:c>
      <x:c r="AI67" s="2" t="str">
        <x:f>IF(B67="","",'Calibrare_Linii'!V11)</x:f>
      </x:c>
      <x:c r="AJ67" s="2" t="str">
        <x:f>IF(B67="","",IF(AND('Calibrare_Linii'!T11="VALIDATED",AND('Calibrare_Linii'!H11=C67,ISNUMBER('Calibrare_Linii'!J11),'Calibrare_Linii'!J11&lt;='Input_Meci'!G10)),"DEFENSIVE VALIDATED",IF(AND('Calibrare_Linii'!S11="VALIDATED",AND('Calibrare_Linii'!H11=C67,ISNUMBER('Calibrare_Linii'!J11),'Calibrare_Linii'!J11&lt;='Input_Meci'!G10)),"TAIL VALIDATED","OOS PENDING")))</x:f>
      </x:c>
      <x:c r="AK67" s="2" t="n">
        <x:f>IF(J67&lt;&gt;"PASS",0,'Motor_Meciuri'!BR10)</x:f>
        <x:v>0</x:v>
      </x:c>
      <x:c r="AL67" s="2" t="n">
        <x:f>IF(J67&lt;&gt;"PASS",0,'Motor_Meciuri'!BS10)</x:f>
        <x:v>0</x:v>
      </x:c>
      <x:c r="AM67" s="2" t="n">
        <x:f>IF(J67&lt;&gt;"PASS",0,'Motor_Meciuri'!BT10)</x:f>
        <x:v>0</x:v>
      </x:c>
      <x:c r="AN67" s="2" t="str">
        <x:f>IF(M67="","",MAX(0,'Motor_Meciuri'!BF10-IF(L67&gt;'Config_v6'!$B$12,'Config_v6'!$B$37,IF(L67&gt;'Config_v6'!$B$11,'Config_v6'!$B$36,0))))</x:f>
      </x:c>
    </x:row>
    <x:row r="68" ht="21" customHeight="1">
      <x:c r="A68" s="2" t="n">
        <x:v>5</x:v>
      </x:c>
      <x:c r="B68" s="2" t="str">
        <x:f>IF('Motor_Meciuri'!A10="","",'Motor_Meciuri'!A10)</x:f>
      </x:c>
      <x:c r="C68" s="2" t="str">
        <x:f>IF(B68="","",'Motor_Meciuri'!B10)</x:f>
      </x:c>
      <x:c r="D68" s="2" t="str">
        <x:f>IF(B68="","",'Motor_Meciuri'!D10)</x:f>
      </x:c>
      <x:c r="E68" s="2" t="str">
        <x:f>IF(B68="","",'Motor_Meciuri'!E10)</x:f>
      </x:c>
      <x:c r="F68" s="2" t="str">
        <x:v>U10,5</x:v>
      </x:c>
      <x:c r="G68" s="2" t="str">
        <x:v>UNDER</x:v>
      </x:c>
      <x:c r="H68" s="2" t="n">
        <x:v>10</x:v>
      </x:c>
      <x:c r="I68" s="2" t="str">
        <x:f>IF(B68="","",'Motor_Meciuri'!H10)</x:f>
      </x:c>
      <x:c r="J68" s="2" t="str">
        <x:f>IF(B68="","",'Motor_Meciuri'!I10)</x:f>
      </x:c>
      <x:c r="K68" s="11" t="str">
        <x:f>IF(J68&lt;&gt;"PASS","",'Motor_Meciuri'!BD10)</x:f>
      </x:c>
      <x:c r="L68" s="11" t="str">
        <x:f>IF(J68&lt;&gt;"PASS","",'Motor_Meciuri'!AU10)</x:f>
      </x:c>
      <x:c r="M68" s="10" t="str">
        <x:f>IF(NOT(AND(J68="PASS",'Calibrare_Linii'!U12="VALID")),"",'Distributie'!AH10)</x:f>
      </x:c>
      <x:c r="N68" s="10" t="str">
        <x:f>IF(M68="","",MAX(0.01,MIN(0.99,0.5+(M68-0.5)*'Motor_Meciuri'!BG10*'Calibrare_Linii'!D12)))</x:f>
      </x:c>
      <x:c r="O68" s="10" t="str">
        <x:f>IF(M68="","",1-M68)</x:f>
      </x:c>
      <x:c r="P68" s="10" t="str">
        <x:f>IF(OR(NOT(AND(J68="PASS",'Calibrare_Linii'!U12="VALID")),AK68=0),""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*('Istoric_Nativ'!$Q$6:$Q$405&gt;H68))/AK68)</x:f>
      </x:c>
      <x:c r="Q68" s="10" t="str">
        <x:f>IF(OR(NOT(AND(J68="PASS",'Calibrare_Linii'!U12="VALID")),AL68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M10)+((('Istoric_Nativ'!$E$6:$E$405='Input_Meci'!E10)+('Istoric_Nativ'!$F$6:$F$405='Input_Meci'!E10))&gt;0)*('Istoric_Nativ'!$D$6:$D$405&gt;='Motor_Meciuri'!BN10))&gt;0)*('Istoric_Nativ'!$Q$6:$Q$405&gt;H68))/AL68)</x:f>
      </x:c>
      <x:c r="R68" s="10" t="str">
        <x:f>IF(OR(NOT(AND(J68="PASS",'Calibrare_Linii'!U12="VALID")),AM68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O10)+((('Istoric_Nativ'!$E$6:$E$405='Input_Meci'!E10)+('Istoric_Nativ'!$F$6:$F$405='Input_Meci'!E10))&gt;0)*('Istoric_Nativ'!$D$6:$D$405&gt;='Motor_Meciuri'!BP10))&gt;0)*('Istoric_Nativ'!$Q$6:$Q$405&gt;H68))/AM68)</x:f>
      </x:c>
      <x:c r="S68" s="10" t="str">
        <x:f>IF(M68="","",MAX(O68,P68,Q68,R68))</x:f>
      </x:c>
      <x:c r="T68" s="11" t="str">
        <x:f>IF(M68="","",MIN(100,S68*100*'Config_v6'!$B$44+MIN(100,L68/'Config_v6'!$B$13*100)*'Config_v6'!$B$45+(100-'Motor_Meciuri'!BF10)*'Config_v6'!$B$46+'Motor_Meciuri'!BH10*100*'Config_v6'!$B$47))</x:f>
      </x:c>
      <x:c r="U68" s="2" t="str">
        <x:f>IF(T68="","",IF(T68&lt;=20,1,IF(T68&lt;=40,2,IF(T68&lt;=60,3,IF(T68&lt;=80,4,5)))))</x:f>
      </x:c>
      <x:c r="V68" s="2" t="str">
        <x:f>IF(M68="","",MAX(0,'Motor_Meciuri'!BF10-IF(W68="OOS PENDING",'Config_v6'!$B$35,0)-IF(L68&gt;'Config_v6'!$B$12,'Config_v6'!$B$37,IF(L68&gt;'Config_v6'!$B$11,'Config_v6'!$B$36,0))))</x:f>
      </x:c>
      <x:c r="W68" s="2" t="str">
        <x:f>IF(B68="","",IF(I68&lt;&gt;"READY","NOT RELEASED",IF(NOT(AND(J68="PASS",'Calibrare_Linii'!U12="VALID")),"INVALID",IF(NOT(AND('Calibrare_Linii'!S12="VALIDATED",AND('Calibrare_Linii'!H12=C68,ISNUMBER('Calibrare_Linii'!J12),'Calibrare_Linii'!J12&lt;='Input_Meci'!G10))),"OOS PENDING",IF(S68&lt;='Calibrare_Linii'!E12,"PASS",IF(S68&lt;='Calibrare_Linii'!F12,"PENALTY","WATCH"))))))</x:f>
      </x:c>
      <x:c r="X68" s="2" t="str">
        <x:f>IF(M68="","",IF(AND(AND(J68="PASS",'Calibrare_Linii'!U12="VALID"),'Motor_Meciuri'!K10=12,'Motor_Meciuri'!L10=12,'Motor_Meciuri'!M10="NO",'Motor_Meciuri'!BL10='Motor_Meciuri'!C10,AB68&gt;='Config_v6'!$B$50,AN68&gt;='Config_v6'!$B$51,T68&lt;='Config_v6'!$B$52,L68&lt;='Config_v6'!$B$53,ISNUMBER('Calibrare_Linii'!E12),S68&lt;='Calibrare_Linii'!E12,SUM(AK68:AM68)&gt;0),"CANDIDATE","NO"))</x:f>
      </x:c>
      <x:c r="Y68" s="2" t="str">
        <x:f>IF(B68="","",IF(I68&lt;&gt;"READY","NOT RELEASED",IF(AND(X68="CANDIDATE",V68&gt;='Config_v6'!$B$51,W68="PASS",'Calibrare_Linii'!T12="VALIDATED",AND('Calibrare_Linii'!H12=C68,ISNUMBER('Calibrare_Linii'!J12),'Calibrare_Linii'!J12&lt;='Input_Meci'!G10)),"PASS",IF(X68="CANDIDATE","OOS PENDING","FAIL"))))</x:f>
      </x:c>
      <x:c r="Z68" s="2" t="str">
        <x:f>IF(B68="","",IF(I68&lt;&gt;"READY","",IF(OR(NOT(AND(J68="PASS",'Calibrare_Linii'!U12="VALID")),L68&gt;'Config_v6'!$B$13,W68="WATCH"),5,IF(Y68="PASS",1,MIN(5,MAX('Config_v6'!$B$42,U68)+IF(W68="PENALTY",1,0))))))</x:f>
      </x:c>
      <x:c r="AA68" s="2" t="str">
        <x:f>IF(B68="","",IF(I68&lt;&gt;"READY","NOT RELEASED",IF(Z68=5,"NO BET",IF(OR(AB68&lt;'Config_v6'!$B$16,V68&lt;'Config_v6'!$B$18),"WATCH",IF(Z68=1,"DEFENSIV",IF(Z68=2,"PRUDENT",IF(Z68=3,"MODERAT","RIDICAT")))))))</x:f>
      </x:c>
      <x:c r="AB68" s="10" t="str">
        <x:f>IF(N68="","",MIN(N68,1-S68))</x:f>
      </x:c>
      <x:c r="AC68" s="2" t="str">
        <x:f>IF(AD68&lt;&gt;1,"",COUNTIFS($Z$62:$Z$75,"&lt;"&amp;Z68,$AD$62:$AD$75,1)+COUNTIFS($Z$62:$Z$75,Z68,$AB$62:$AB$75,"&gt;"&amp;AB68,$AD$62:$AD$75,1)+COUNTIFS($Z$62:$Z$75,Z68,$AB$62:$AB$75,AB68,$V$62:$V$75,"&gt;"&amp;V68,$AD$62:$AD$75,1)+COUNTIFS($Z$62:Z68,Z68,$AB$62:AB68,AB68,$V$62:V68,V68,$AD$62:AD68,1))</x:f>
      </x:c>
      <x:c r="AD68" s="2" t="n">
        <x:f>IF(OR(AA68="DEFENSIV",AA68="PRUDENT",AA68="MODERAT",AA68="RIDICAT"),1,0)</x:f>
        <x:v>0</x:v>
      </x:c>
      <x:c r="AE68" s="2" t="str">
        <x:f>IF(AD68&lt;&gt;1,"NO",IF(W68="PASS","YES",IF(W68="OOS PENDING","CONDITIONAL","NO")))</x:f>
        <x:v>NO</x:v>
      </x:c>
      <x:c r="AF68" s="2" t="n">
        <x:f>IF(AND(AD68=1,AC68=1,E68="LIVE"),1,0)</x:f>
        <x:v>0</x:v>
      </x:c>
      <x:c r="AG68" s="2" t="str">
        <x:f>IF(AF68&lt;&gt;1,"",'Dashboard'!P30)</x:f>
      </x:c>
      <x:c r="AH68" s="2" t="str">
        <x:f>IF(B68="","",IF(J68&lt;&gt;"PASS",'Motor_Meciuri'!J10,IF('Calibrare_Linii'!U12&lt;&gt;"VALID","Parametri linie invalizi",IF(L68&gt;'Config_v6'!$B$13,"Dispersie peste limita",IF(W68="WATCH","Failure peste limita",IF(AB68&lt;'Config_v6'!$B$16,"P finala sub prag",IF(V68&lt;'Config_v6'!$B$18,"Confidence sub prag",IF(E68="REPLAY","Exemplu retrospectiv; exclus din Top LIVE",IF(Y68="PASS","DEFENSIV validat",IF(W68="OOS PENDING","Eligibil; calibrare linie in monitorizare","Eligibil"))))))))))</x:f>
      </x:c>
      <x:c r="AI68" s="2" t="str">
        <x:f>IF(B68="","",'Calibrare_Linii'!V12)</x:f>
      </x:c>
      <x:c r="AJ68" s="2" t="str">
        <x:f>IF(B68="","",IF(AND('Calibrare_Linii'!T12="VALIDATED",AND('Calibrare_Linii'!H12=C68,ISNUMBER('Calibrare_Linii'!J12),'Calibrare_Linii'!J12&lt;='Input_Meci'!G10)),"DEFENSIVE VALIDATED",IF(AND('Calibrare_Linii'!S12="VALIDATED",AND('Calibrare_Linii'!H12=C68,ISNUMBER('Calibrare_Linii'!J12),'Calibrare_Linii'!J12&lt;='Input_Meci'!G10)),"TAIL VALIDATED","OOS PENDING")))</x:f>
      </x:c>
      <x:c r="AK68" s="2" t="n">
        <x:f>IF(J68&lt;&gt;"PASS",0,'Motor_Meciuri'!BR10)</x:f>
        <x:v>0</x:v>
      </x:c>
      <x:c r="AL68" s="2" t="n">
        <x:f>IF(J68&lt;&gt;"PASS",0,'Motor_Meciuri'!BS10)</x:f>
        <x:v>0</x:v>
      </x:c>
      <x:c r="AM68" s="2" t="n">
        <x:f>IF(J68&lt;&gt;"PASS",0,'Motor_Meciuri'!BT10)</x:f>
        <x:v>0</x:v>
      </x:c>
      <x:c r="AN68" s="2" t="str">
        <x:f>IF(M68="","",MAX(0,'Motor_Meciuri'!BF10-IF(L68&gt;'Config_v6'!$B$12,'Config_v6'!$B$37,IF(L68&gt;'Config_v6'!$B$11,'Config_v6'!$B$36,0))))</x:f>
      </x:c>
    </x:row>
    <x:row r="69" ht="21" customHeight="1">
      <x:c r="A69" s="2" t="n">
        <x:v>5</x:v>
      </x:c>
      <x:c r="B69" s="2" t="str">
        <x:f>IF('Motor_Meciuri'!A10="","",'Motor_Meciuri'!A10)</x:f>
      </x:c>
      <x:c r="C69" s="2" t="str">
        <x:f>IF(B69="","",'Motor_Meciuri'!B10)</x:f>
      </x:c>
      <x:c r="D69" s="2" t="str">
        <x:f>IF(B69="","",'Motor_Meciuri'!D10)</x:f>
      </x:c>
      <x:c r="E69" s="2" t="str">
        <x:f>IF(B69="","",'Motor_Meciuri'!E10)</x:f>
      </x:c>
      <x:c r="F69" s="2" t="str">
        <x:v>U11,5</x:v>
      </x:c>
      <x:c r="G69" s="2" t="str">
        <x:v>UNDER</x:v>
      </x:c>
      <x:c r="H69" s="2" t="n">
        <x:v>11</x:v>
      </x:c>
      <x:c r="I69" s="2" t="str">
        <x:f>IF(B69="","",'Motor_Meciuri'!H10)</x:f>
      </x:c>
      <x:c r="J69" s="2" t="str">
        <x:f>IF(B69="","",'Motor_Meciuri'!I10)</x:f>
      </x:c>
      <x:c r="K69" s="11" t="str">
        <x:f>IF(J69&lt;&gt;"PASS","",'Motor_Meciuri'!BD10)</x:f>
      </x:c>
      <x:c r="L69" s="11" t="str">
        <x:f>IF(J69&lt;&gt;"PASS","",'Motor_Meciuri'!AU10)</x:f>
      </x:c>
      <x:c r="M69" s="10" t="str">
        <x:f>IF(NOT(AND(J69="PASS",'Calibrare_Linii'!U13="VALID")),"",'Distributie'!AI10)</x:f>
      </x:c>
      <x:c r="N69" s="10" t="str">
        <x:f>IF(M69="","",MAX(0.01,MIN(0.99,0.5+(M69-0.5)*'Motor_Meciuri'!BG10*'Calibrare_Linii'!D13)))</x:f>
      </x:c>
      <x:c r="O69" s="10" t="str">
        <x:f>IF(M69="","",1-M69)</x:f>
      </x:c>
      <x:c r="P69" s="10" t="str">
        <x:f>IF(OR(NOT(AND(J69="PASS",'Calibrare_Linii'!U13="VALID")),AK69=0),""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*('Istoric_Nativ'!$Q$6:$Q$405&gt;H69))/AK69)</x:f>
      </x:c>
      <x:c r="Q69" s="10" t="str">
        <x:f>IF(OR(NOT(AND(J69="PASS",'Calibrare_Linii'!U13="VALID")),AL69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M10)+((('Istoric_Nativ'!$E$6:$E$405='Input_Meci'!E10)+('Istoric_Nativ'!$F$6:$F$405='Input_Meci'!E10))&gt;0)*('Istoric_Nativ'!$D$6:$D$405&gt;='Motor_Meciuri'!BN10))&gt;0)*('Istoric_Nativ'!$Q$6:$Q$405&gt;H69))/AL69)</x:f>
      </x:c>
      <x:c r="R69" s="10" t="str">
        <x:f>IF(OR(NOT(AND(J69="PASS",'Calibrare_Linii'!U13="VALID")),AM69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O10)+((('Istoric_Nativ'!$E$6:$E$405='Input_Meci'!E10)+('Istoric_Nativ'!$F$6:$F$405='Input_Meci'!E10))&gt;0)*('Istoric_Nativ'!$D$6:$D$405&gt;='Motor_Meciuri'!BP10))&gt;0)*('Istoric_Nativ'!$Q$6:$Q$405&gt;H69))/AM69)</x:f>
      </x:c>
      <x:c r="S69" s="10" t="str">
        <x:f>IF(M69="","",MAX(O69,P69,Q69,R69))</x:f>
      </x:c>
      <x:c r="T69" s="11" t="str">
        <x:f>IF(M69="","",MIN(100,S69*100*'Config_v6'!$B$44+MIN(100,L69/'Config_v6'!$B$13*100)*'Config_v6'!$B$45+(100-'Motor_Meciuri'!BF10)*'Config_v6'!$B$46+'Motor_Meciuri'!BH10*100*'Config_v6'!$B$47))</x:f>
      </x:c>
      <x:c r="U69" s="2" t="str">
        <x:f>IF(T69="","",IF(T69&lt;=20,1,IF(T69&lt;=40,2,IF(T69&lt;=60,3,IF(T69&lt;=80,4,5)))))</x:f>
      </x:c>
      <x:c r="V69" s="2" t="str">
        <x:f>IF(M69="","",MAX(0,'Motor_Meciuri'!BF10-IF(W69="OOS PENDING",'Config_v6'!$B$35,0)-IF(L69&gt;'Config_v6'!$B$12,'Config_v6'!$B$37,IF(L69&gt;'Config_v6'!$B$11,'Config_v6'!$B$36,0))))</x:f>
      </x:c>
      <x:c r="W69" s="2" t="str">
        <x:f>IF(B69="","",IF(I69&lt;&gt;"READY","NOT RELEASED",IF(NOT(AND(J69="PASS",'Calibrare_Linii'!U13="VALID")),"INVALID",IF(NOT(AND('Calibrare_Linii'!S13="VALIDATED",AND('Calibrare_Linii'!H13=C69,ISNUMBER('Calibrare_Linii'!J13),'Calibrare_Linii'!J13&lt;='Input_Meci'!G10))),"OOS PENDING",IF(S69&lt;='Calibrare_Linii'!E13,"PASS",IF(S69&lt;='Calibrare_Linii'!F13,"PENALTY","WATCH"))))))</x:f>
      </x:c>
      <x:c r="X69" s="2" t="str">
        <x:f>IF(M69="","",IF(AND(AND(J69="PASS",'Calibrare_Linii'!U13="VALID"),'Motor_Meciuri'!K10=12,'Motor_Meciuri'!L10=12,'Motor_Meciuri'!M10="NO",'Motor_Meciuri'!BL10='Motor_Meciuri'!C10,AB69&gt;='Config_v6'!$B$50,AN69&gt;='Config_v6'!$B$51,T69&lt;='Config_v6'!$B$52,L69&lt;='Config_v6'!$B$53,ISNUMBER('Calibrare_Linii'!E13),S69&lt;='Calibrare_Linii'!E13,SUM(AK69:AM69)&gt;0),"CANDIDATE","NO"))</x:f>
      </x:c>
      <x:c r="Y69" s="2" t="str">
        <x:f>IF(B69="","",IF(I69&lt;&gt;"READY","NOT RELEASED",IF(AND(X69="CANDIDATE",V69&gt;='Config_v6'!$B$51,W69="PASS",'Calibrare_Linii'!T13="VALIDATED",AND('Calibrare_Linii'!H13=C69,ISNUMBER('Calibrare_Linii'!J13),'Calibrare_Linii'!J13&lt;='Input_Meci'!G10)),"PASS",IF(X69="CANDIDATE","OOS PENDING","FAIL"))))</x:f>
      </x:c>
      <x:c r="Z69" s="2" t="str">
        <x:f>IF(B69="","",IF(I69&lt;&gt;"READY","",IF(OR(NOT(AND(J69="PASS",'Calibrare_Linii'!U13="VALID")),L69&gt;'Config_v6'!$B$13,W69="WATCH"),5,IF(Y69="PASS",1,MIN(5,MAX('Config_v6'!$B$42,U69)+IF(W69="PENALTY",1,0))))))</x:f>
      </x:c>
      <x:c r="AA69" s="2" t="str">
        <x:f>IF(B69="","",IF(I69&lt;&gt;"READY","NOT RELEASED",IF(Z69=5,"NO BET",IF(OR(AB69&lt;'Config_v6'!$B$16,V69&lt;'Config_v6'!$B$18),"WATCH",IF(Z69=1,"DEFENSIV",IF(Z69=2,"PRUDENT",IF(Z69=3,"MODERAT","RIDICAT")))))))</x:f>
      </x:c>
      <x:c r="AB69" s="10" t="str">
        <x:f>IF(N69="","",MIN(N69,1-S69))</x:f>
      </x:c>
      <x:c r="AC69" s="2" t="str">
        <x:f>IF(AD69&lt;&gt;1,"",COUNTIFS($Z$62:$Z$75,"&lt;"&amp;Z69,$AD$62:$AD$75,1)+COUNTIFS($Z$62:$Z$75,Z69,$AB$62:$AB$75,"&gt;"&amp;AB69,$AD$62:$AD$75,1)+COUNTIFS($Z$62:$Z$75,Z69,$AB$62:$AB$75,AB69,$V$62:$V$75,"&gt;"&amp;V69,$AD$62:$AD$75,1)+COUNTIFS($Z$62:Z69,Z69,$AB$62:AB69,AB69,$V$62:V69,V69,$AD$62:AD69,1))</x:f>
      </x:c>
      <x:c r="AD69" s="2" t="n">
        <x:f>IF(OR(AA69="DEFENSIV",AA69="PRUDENT",AA69="MODERAT",AA69="RIDICAT"),1,0)</x:f>
        <x:v>0</x:v>
      </x:c>
      <x:c r="AE69" s="2" t="str">
        <x:f>IF(AD69&lt;&gt;1,"NO",IF(W69="PASS","YES",IF(W69="OOS PENDING","CONDITIONAL","NO")))</x:f>
        <x:v>NO</x:v>
      </x:c>
      <x:c r="AF69" s="2" t="n">
        <x:f>IF(AND(AD69=1,AC69=1,E69="LIVE"),1,0)</x:f>
        <x:v>0</x:v>
      </x:c>
      <x:c r="AG69" s="2" t="str">
        <x:f>IF(AF69&lt;&gt;1,"",'Dashboard'!P30)</x:f>
      </x:c>
      <x:c r="AH69" s="2" t="str">
        <x:f>IF(B69="","",IF(J69&lt;&gt;"PASS",'Motor_Meciuri'!J10,IF('Calibrare_Linii'!U13&lt;&gt;"VALID","Parametri linie invalizi",IF(L69&gt;'Config_v6'!$B$13,"Dispersie peste limita",IF(W69="WATCH","Failure peste limita",IF(AB69&lt;'Config_v6'!$B$16,"P finala sub prag",IF(V69&lt;'Config_v6'!$B$18,"Confidence sub prag",IF(E69="REPLAY","Exemplu retrospectiv; exclus din Top LIVE",IF(Y69="PASS","DEFENSIV validat",IF(W69="OOS PENDING","Eligibil; calibrare linie in monitorizare","Eligibil"))))))))))</x:f>
      </x:c>
      <x:c r="AI69" s="2" t="str">
        <x:f>IF(B69="","",'Calibrare_Linii'!V13)</x:f>
      </x:c>
      <x:c r="AJ69" s="2" t="str">
        <x:f>IF(B69="","",IF(AND('Calibrare_Linii'!T13="VALIDATED",AND('Calibrare_Linii'!H13=C69,ISNUMBER('Calibrare_Linii'!J13),'Calibrare_Linii'!J13&lt;='Input_Meci'!G10)),"DEFENSIVE VALIDATED",IF(AND('Calibrare_Linii'!S13="VALIDATED",AND('Calibrare_Linii'!H13=C69,ISNUMBER('Calibrare_Linii'!J13),'Calibrare_Linii'!J13&lt;='Input_Meci'!G10)),"TAIL VALIDATED","OOS PENDING")))</x:f>
      </x:c>
      <x:c r="AK69" s="2" t="n">
        <x:f>IF(J69&lt;&gt;"PASS",0,'Motor_Meciuri'!BR10)</x:f>
        <x:v>0</x:v>
      </x:c>
      <x:c r="AL69" s="2" t="n">
        <x:f>IF(J69&lt;&gt;"PASS",0,'Motor_Meciuri'!BS10)</x:f>
        <x:v>0</x:v>
      </x:c>
      <x:c r="AM69" s="2" t="n">
        <x:f>IF(J69&lt;&gt;"PASS",0,'Motor_Meciuri'!BT10)</x:f>
        <x:v>0</x:v>
      </x:c>
      <x:c r="AN69" s="2" t="str">
        <x:f>IF(M69="","",MAX(0,'Motor_Meciuri'!BF10-IF(L69&gt;'Config_v6'!$B$12,'Config_v6'!$B$37,IF(L69&gt;'Config_v6'!$B$11,'Config_v6'!$B$36,0))))</x:f>
      </x:c>
    </x:row>
    <x:row r="70" ht="21" customHeight="1">
      <x:c r="A70" s="2" t="n">
        <x:v>5</x:v>
      </x:c>
      <x:c r="B70" s="2" t="str">
        <x:f>IF('Motor_Meciuri'!A10="","",'Motor_Meciuri'!A10)</x:f>
      </x:c>
      <x:c r="C70" s="2" t="str">
        <x:f>IF(B70="","",'Motor_Meciuri'!B10)</x:f>
      </x:c>
      <x:c r="D70" s="2" t="str">
        <x:f>IF(B70="","",'Motor_Meciuri'!D10)</x:f>
      </x:c>
      <x:c r="E70" s="2" t="str">
        <x:f>IF(B70="","",'Motor_Meciuri'!E10)</x:f>
      </x:c>
      <x:c r="F70" s="2" t="str">
        <x:v>U12,5</x:v>
      </x:c>
      <x:c r="G70" s="2" t="str">
        <x:v>UNDER</x:v>
      </x:c>
      <x:c r="H70" s="2" t="n">
        <x:v>12</x:v>
      </x:c>
      <x:c r="I70" s="2" t="str">
        <x:f>IF(B70="","",'Motor_Meciuri'!H10)</x:f>
      </x:c>
      <x:c r="J70" s="2" t="str">
        <x:f>IF(B70="","",'Motor_Meciuri'!I10)</x:f>
      </x:c>
      <x:c r="K70" s="11" t="str">
        <x:f>IF(J70&lt;&gt;"PASS","",'Motor_Meciuri'!BD10)</x:f>
      </x:c>
      <x:c r="L70" s="11" t="str">
        <x:f>IF(J70&lt;&gt;"PASS","",'Motor_Meciuri'!AU10)</x:f>
      </x:c>
      <x:c r="M70" s="10" t="str">
        <x:f>IF(NOT(AND(J70="PASS",'Calibrare_Linii'!U14="VALID")),"",'Distributie'!AJ10)</x:f>
      </x:c>
      <x:c r="N70" s="10" t="str">
        <x:f>IF(M70="","",MAX(0.01,MIN(0.99,0.5+(M70-0.5)*'Motor_Meciuri'!BG10*'Calibrare_Linii'!D14)))</x:f>
      </x:c>
      <x:c r="O70" s="10" t="str">
        <x:f>IF(M70="","",1-M70)</x:f>
      </x:c>
      <x:c r="P70" s="10" t="str">
        <x:f>IF(OR(NOT(AND(J70="PASS",'Calibrare_Linii'!U14="VALID")),AK70=0),""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*('Istoric_Nativ'!$Q$6:$Q$405&gt;H70))/AK70)</x:f>
      </x:c>
      <x:c r="Q70" s="10" t="str">
        <x:f>IF(OR(NOT(AND(J70="PASS",'Calibrare_Linii'!U14="VALID")),AL70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M10)+((('Istoric_Nativ'!$E$6:$E$405='Input_Meci'!E10)+('Istoric_Nativ'!$F$6:$F$405='Input_Meci'!E10))&gt;0)*('Istoric_Nativ'!$D$6:$D$405&gt;='Motor_Meciuri'!BN10))&gt;0)*('Istoric_Nativ'!$Q$6:$Q$405&gt;H70))/AL70)</x:f>
      </x:c>
      <x:c r="R70" s="10" t="str">
        <x:f>IF(OR(NOT(AND(J70="PASS",'Calibrare_Linii'!U14="VALID")),AM70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O10)+((('Istoric_Nativ'!$E$6:$E$405='Input_Meci'!E10)+('Istoric_Nativ'!$F$6:$F$405='Input_Meci'!E10))&gt;0)*('Istoric_Nativ'!$D$6:$D$405&gt;='Motor_Meciuri'!BP10))&gt;0)*('Istoric_Nativ'!$Q$6:$Q$405&gt;H70))/AM70)</x:f>
      </x:c>
      <x:c r="S70" s="10" t="str">
        <x:f>IF(M70="","",MAX(O70,P70,Q70,R70))</x:f>
      </x:c>
      <x:c r="T70" s="11" t="str">
        <x:f>IF(M70="","",MIN(100,S70*100*'Config_v6'!$B$44+MIN(100,L70/'Config_v6'!$B$13*100)*'Config_v6'!$B$45+(100-'Motor_Meciuri'!BF10)*'Config_v6'!$B$46+'Motor_Meciuri'!BH10*100*'Config_v6'!$B$47))</x:f>
      </x:c>
      <x:c r="U70" s="2" t="str">
        <x:f>IF(T70="","",IF(T70&lt;=20,1,IF(T70&lt;=40,2,IF(T70&lt;=60,3,IF(T70&lt;=80,4,5)))))</x:f>
      </x:c>
      <x:c r="V70" s="2" t="str">
        <x:f>IF(M70="","",MAX(0,'Motor_Meciuri'!BF10-IF(W70="OOS PENDING",'Config_v6'!$B$35,0)-IF(L70&gt;'Config_v6'!$B$12,'Config_v6'!$B$37,IF(L70&gt;'Config_v6'!$B$11,'Config_v6'!$B$36,0))))</x:f>
      </x:c>
      <x:c r="W70" s="2" t="str">
        <x:f>IF(B70="","",IF(I70&lt;&gt;"READY","NOT RELEASED",IF(NOT(AND(J70="PASS",'Calibrare_Linii'!U14="VALID")),"INVALID",IF(NOT(AND('Calibrare_Linii'!S14="VALIDATED",AND('Calibrare_Linii'!H14=C70,ISNUMBER('Calibrare_Linii'!J14),'Calibrare_Linii'!J14&lt;='Input_Meci'!G10))),"OOS PENDING",IF(S70&lt;='Calibrare_Linii'!E14,"PASS",IF(S70&lt;='Calibrare_Linii'!F14,"PENALTY","WATCH"))))))</x:f>
      </x:c>
      <x:c r="X70" s="2" t="str">
        <x:f>IF(M70="","",IF(AND(AND(J70="PASS",'Calibrare_Linii'!U14="VALID"),'Motor_Meciuri'!K10=12,'Motor_Meciuri'!L10=12,'Motor_Meciuri'!M10="NO",'Motor_Meciuri'!BL10='Motor_Meciuri'!C10,AB70&gt;='Config_v6'!$B$50,AN70&gt;='Config_v6'!$B$51,T70&lt;='Config_v6'!$B$52,L70&lt;='Config_v6'!$B$53,ISNUMBER('Calibrare_Linii'!E14),S70&lt;='Calibrare_Linii'!E14,SUM(AK70:AM70)&gt;0),"CANDIDATE","NO"))</x:f>
      </x:c>
      <x:c r="Y70" s="2" t="str">
        <x:f>IF(B70="","",IF(I70&lt;&gt;"READY","NOT RELEASED",IF(AND(X70="CANDIDATE",V70&gt;='Config_v6'!$B$51,W70="PASS",'Calibrare_Linii'!T14="VALIDATED",AND('Calibrare_Linii'!H14=C70,ISNUMBER('Calibrare_Linii'!J14),'Calibrare_Linii'!J14&lt;='Input_Meci'!G10)),"PASS",IF(X70="CANDIDATE","OOS PENDING","FAIL"))))</x:f>
      </x:c>
      <x:c r="Z70" s="2" t="str">
        <x:f>IF(B70="","",IF(I70&lt;&gt;"READY","",IF(OR(NOT(AND(J70="PASS",'Calibrare_Linii'!U14="VALID")),L70&gt;'Config_v6'!$B$13,W70="WATCH"),5,IF(Y70="PASS",1,MIN(5,MAX('Config_v6'!$B$42,U70)+IF(W70="PENALTY",1,0))))))</x:f>
      </x:c>
      <x:c r="AA70" s="2" t="str">
        <x:f>IF(B70="","",IF(I70&lt;&gt;"READY","NOT RELEASED",IF(Z70=5,"NO BET",IF(OR(AB70&lt;'Config_v6'!$B$16,V70&lt;'Config_v6'!$B$18),"WATCH",IF(Z70=1,"DEFENSIV",IF(Z70=2,"PRUDENT",IF(Z70=3,"MODERAT","RIDICAT")))))))</x:f>
      </x:c>
      <x:c r="AB70" s="10" t="str">
        <x:f>IF(N70="","",MIN(N70,1-S70))</x:f>
      </x:c>
      <x:c r="AC70" s="2" t="str">
        <x:f>IF(AD70&lt;&gt;1,"",COUNTIFS($Z$62:$Z$75,"&lt;"&amp;Z70,$AD$62:$AD$75,1)+COUNTIFS($Z$62:$Z$75,Z70,$AB$62:$AB$75,"&gt;"&amp;AB70,$AD$62:$AD$75,1)+COUNTIFS($Z$62:$Z$75,Z70,$AB$62:$AB$75,AB70,$V$62:$V$75,"&gt;"&amp;V70,$AD$62:$AD$75,1)+COUNTIFS($Z$62:Z70,Z70,$AB$62:AB70,AB70,$V$62:V70,V70,$AD$62:AD70,1))</x:f>
      </x:c>
      <x:c r="AD70" s="2" t="n">
        <x:f>IF(OR(AA70="DEFENSIV",AA70="PRUDENT",AA70="MODERAT",AA70="RIDICAT"),1,0)</x:f>
        <x:v>0</x:v>
      </x:c>
      <x:c r="AE70" s="2" t="str">
        <x:f>IF(AD70&lt;&gt;1,"NO",IF(W70="PASS","YES",IF(W70="OOS PENDING","CONDITIONAL","NO")))</x:f>
        <x:v>NO</x:v>
      </x:c>
      <x:c r="AF70" s="2" t="n">
        <x:f>IF(AND(AD70=1,AC70=1,E70="LIVE"),1,0)</x:f>
        <x:v>0</x:v>
      </x:c>
      <x:c r="AG70" s="2" t="str">
        <x:f>IF(AF70&lt;&gt;1,"",'Dashboard'!P30)</x:f>
      </x:c>
      <x:c r="AH70" s="2" t="str">
        <x:f>IF(B70="","",IF(J70&lt;&gt;"PASS",'Motor_Meciuri'!J10,IF('Calibrare_Linii'!U14&lt;&gt;"VALID","Parametri linie invalizi",IF(L70&gt;'Config_v6'!$B$13,"Dispersie peste limita",IF(W70="WATCH","Failure peste limita",IF(AB70&lt;'Config_v6'!$B$16,"P finala sub prag",IF(V70&lt;'Config_v6'!$B$18,"Confidence sub prag",IF(E70="REPLAY","Exemplu retrospectiv; exclus din Top LIVE",IF(Y70="PASS","DEFENSIV validat",IF(W70="OOS PENDING","Eligibil; calibrare linie in monitorizare","Eligibil"))))))))))</x:f>
      </x:c>
      <x:c r="AI70" s="2" t="str">
        <x:f>IF(B70="","",'Calibrare_Linii'!V14)</x:f>
      </x:c>
      <x:c r="AJ70" s="2" t="str">
        <x:f>IF(B70="","",IF(AND('Calibrare_Linii'!T14="VALIDATED",AND('Calibrare_Linii'!H14=C70,ISNUMBER('Calibrare_Linii'!J14),'Calibrare_Linii'!J14&lt;='Input_Meci'!G10)),"DEFENSIVE VALIDATED",IF(AND('Calibrare_Linii'!S14="VALIDATED",AND('Calibrare_Linii'!H14=C70,ISNUMBER('Calibrare_Linii'!J14),'Calibrare_Linii'!J14&lt;='Input_Meci'!G10)),"TAIL VALIDATED","OOS PENDING")))</x:f>
      </x:c>
      <x:c r="AK70" s="2" t="n">
        <x:f>IF(J70&lt;&gt;"PASS",0,'Motor_Meciuri'!BR10)</x:f>
        <x:v>0</x:v>
      </x:c>
      <x:c r="AL70" s="2" t="n">
        <x:f>IF(J70&lt;&gt;"PASS",0,'Motor_Meciuri'!BS10)</x:f>
        <x:v>0</x:v>
      </x:c>
      <x:c r="AM70" s="2" t="n">
        <x:f>IF(J70&lt;&gt;"PASS",0,'Motor_Meciuri'!BT10)</x:f>
        <x:v>0</x:v>
      </x:c>
      <x:c r="AN70" s="2" t="str">
        <x:f>IF(M70="","",MAX(0,'Motor_Meciuri'!BF10-IF(L70&gt;'Config_v6'!$B$12,'Config_v6'!$B$37,IF(L70&gt;'Config_v6'!$B$11,'Config_v6'!$B$36,0))))</x:f>
      </x:c>
    </x:row>
    <x:row r="71" ht="21" customHeight="1">
      <x:c r="A71" s="2" t="n">
        <x:v>5</x:v>
      </x:c>
      <x:c r="B71" s="2" t="str">
        <x:f>IF('Motor_Meciuri'!A10="","",'Motor_Meciuri'!A10)</x:f>
      </x:c>
      <x:c r="C71" s="2" t="str">
        <x:f>IF(B71="","",'Motor_Meciuri'!B10)</x:f>
      </x:c>
      <x:c r="D71" s="2" t="str">
        <x:f>IF(B71="","",'Motor_Meciuri'!D10)</x:f>
      </x:c>
      <x:c r="E71" s="2" t="str">
        <x:f>IF(B71="","",'Motor_Meciuri'!E10)</x:f>
      </x:c>
      <x:c r="F71" s="2" t="str">
        <x:v>U13,5</x:v>
      </x:c>
      <x:c r="G71" s="2" t="str">
        <x:v>UNDER</x:v>
      </x:c>
      <x:c r="H71" s="2" t="n">
        <x:v>13</x:v>
      </x:c>
      <x:c r="I71" s="2" t="str">
        <x:f>IF(B71="","",'Motor_Meciuri'!H10)</x:f>
      </x:c>
      <x:c r="J71" s="2" t="str">
        <x:f>IF(B71="","",'Motor_Meciuri'!I10)</x:f>
      </x:c>
      <x:c r="K71" s="11" t="str">
        <x:f>IF(J71&lt;&gt;"PASS","",'Motor_Meciuri'!BD10)</x:f>
      </x:c>
      <x:c r="L71" s="11" t="str">
        <x:f>IF(J71&lt;&gt;"PASS","",'Motor_Meciuri'!AU10)</x:f>
      </x:c>
      <x:c r="M71" s="10" t="str">
        <x:f>IF(NOT(AND(J71="PASS",'Calibrare_Linii'!U15="VALID")),"",'Distributie'!AK10)</x:f>
      </x:c>
      <x:c r="N71" s="10" t="str">
        <x:f>IF(M71="","",MAX(0.01,MIN(0.99,0.5+(M71-0.5)*'Motor_Meciuri'!BG10*'Calibrare_Linii'!D15)))</x:f>
      </x:c>
      <x:c r="O71" s="10" t="str">
        <x:f>IF(M71="","",1-M71)</x:f>
      </x:c>
      <x:c r="P71" s="10" t="str">
        <x:f>IF(OR(NOT(AND(J71="PASS",'Calibrare_Linii'!U15="VALID")),AK71=0),""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*('Istoric_Nativ'!$Q$6:$Q$405&gt;H71))/AK71)</x:f>
      </x:c>
      <x:c r="Q71" s="10" t="str">
        <x:f>IF(OR(NOT(AND(J71="PASS",'Calibrare_Linii'!U15="VALID")),AL71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M10)+((('Istoric_Nativ'!$E$6:$E$405='Input_Meci'!E10)+('Istoric_Nativ'!$F$6:$F$405='Input_Meci'!E10))&gt;0)*('Istoric_Nativ'!$D$6:$D$405&gt;='Motor_Meciuri'!BN10))&gt;0)*('Istoric_Nativ'!$Q$6:$Q$405&gt;H71))/AL71)</x:f>
      </x:c>
      <x:c r="R71" s="10" t="str">
        <x:f>IF(OR(NOT(AND(J71="PASS",'Calibrare_Linii'!U15="VALID")),AM71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O10)+((('Istoric_Nativ'!$E$6:$E$405='Input_Meci'!E10)+('Istoric_Nativ'!$F$6:$F$405='Input_Meci'!E10))&gt;0)*('Istoric_Nativ'!$D$6:$D$405&gt;='Motor_Meciuri'!BP10))&gt;0)*('Istoric_Nativ'!$Q$6:$Q$405&gt;H71))/AM71)</x:f>
      </x:c>
      <x:c r="S71" s="10" t="str">
        <x:f>IF(M71="","",MAX(O71,P71,Q71,R71))</x:f>
      </x:c>
      <x:c r="T71" s="11" t="str">
        <x:f>IF(M71="","",MIN(100,S71*100*'Config_v6'!$B$44+MIN(100,L71/'Config_v6'!$B$13*100)*'Config_v6'!$B$45+(100-'Motor_Meciuri'!BF10)*'Config_v6'!$B$46+'Motor_Meciuri'!BH10*100*'Config_v6'!$B$47))</x:f>
      </x:c>
      <x:c r="U71" s="2" t="str">
        <x:f>IF(T71="","",IF(T71&lt;=20,1,IF(T71&lt;=40,2,IF(T71&lt;=60,3,IF(T71&lt;=80,4,5)))))</x:f>
      </x:c>
      <x:c r="V71" s="2" t="str">
        <x:f>IF(M71="","",MAX(0,'Motor_Meciuri'!BF10-IF(W71="OOS PENDING",'Config_v6'!$B$35,0)-IF(L71&gt;'Config_v6'!$B$12,'Config_v6'!$B$37,IF(L71&gt;'Config_v6'!$B$11,'Config_v6'!$B$36,0))))</x:f>
      </x:c>
      <x:c r="W71" s="2" t="str">
        <x:f>IF(B71="","",IF(I71&lt;&gt;"READY","NOT RELEASED",IF(NOT(AND(J71="PASS",'Calibrare_Linii'!U15="VALID")),"INVALID",IF(NOT(AND('Calibrare_Linii'!S15="VALIDATED",AND('Calibrare_Linii'!H15=C71,ISNUMBER('Calibrare_Linii'!J15),'Calibrare_Linii'!J15&lt;='Input_Meci'!G10))),"OOS PENDING",IF(S71&lt;='Calibrare_Linii'!E15,"PASS",IF(S71&lt;='Calibrare_Linii'!F15,"PENALTY","WATCH"))))))</x:f>
      </x:c>
      <x:c r="X71" s="2" t="str">
        <x:f>IF(M71="","",IF(AND(AND(J71="PASS",'Calibrare_Linii'!U15="VALID"),'Motor_Meciuri'!K10=12,'Motor_Meciuri'!L10=12,'Motor_Meciuri'!M10="NO",'Motor_Meciuri'!BL10='Motor_Meciuri'!C10,AB71&gt;='Config_v6'!$B$50,AN71&gt;='Config_v6'!$B$51,T71&lt;='Config_v6'!$B$52,L71&lt;='Config_v6'!$B$53,ISNUMBER('Calibrare_Linii'!E15),S71&lt;='Calibrare_Linii'!E15,SUM(AK71:AM71)&gt;0),"CANDIDATE","NO"))</x:f>
      </x:c>
      <x:c r="Y71" s="2" t="str">
        <x:f>IF(B71="","",IF(I71&lt;&gt;"READY","NOT RELEASED",IF(AND(X71="CANDIDATE",V71&gt;='Config_v6'!$B$51,W71="PASS",'Calibrare_Linii'!T15="VALIDATED",AND('Calibrare_Linii'!H15=C71,ISNUMBER('Calibrare_Linii'!J15),'Calibrare_Linii'!J15&lt;='Input_Meci'!G10)),"PASS",IF(X71="CANDIDATE","OOS PENDING","FAIL"))))</x:f>
      </x:c>
      <x:c r="Z71" s="2" t="str">
        <x:f>IF(B71="","",IF(I71&lt;&gt;"READY","",IF(OR(NOT(AND(J71="PASS",'Calibrare_Linii'!U15="VALID")),L71&gt;'Config_v6'!$B$13,W71="WATCH"),5,IF(Y71="PASS",1,MIN(5,MAX('Config_v6'!$B$42,U71)+IF(W71="PENALTY",1,0))))))</x:f>
      </x:c>
      <x:c r="AA71" s="2" t="str">
        <x:f>IF(B71="","",IF(I71&lt;&gt;"READY","NOT RELEASED",IF(Z71=5,"NO BET",IF(OR(AB71&lt;'Config_v6'!$B$16,V71&lt;'Config_v6'!$B$18),"WATCH",IF(Z71=1,"DEFENSIV",IF(Z71=2,"PRUDENT",IF(Z71=3,"MODERAT","RIDICAT")))))))</x:f>
      </x:c>
      <x:c r="AB71" s="10" t="str">
        <x:f>IF(N71="","",MIN(N71,1-S71))</x:f>
      </x:c>
      <x:c r="AC71" s="2" t="str">
        <x:f>IF(AD71&lt;&gt;1,"",COUNTIFS($Z$62:$Z$75,"&lt;"&amp;Z71,$AD$62:$AD$75,1)+COUNTIFS($Z$62:$Z$75,Z71,$AB$62:$AB$75,"&gt;"&amp;AB71,$AD$62:$AD$75,1)+COUNTIFS($Z$62:$Z$75,Z71,$AB$62:$AB$75,AB71,$V$62:$V$75,"&gt;"&amp;V71,$AD$62:$AD$75,1)+COUNTIFS($Z$62:Z71,Z71,$AB$62:AB71,AB71,$V$62:V71,V71,$AD$62:AD71,1))</x:f>
      </x:c>
      <x:c r="AD71" s="2" t="n">
        <x:f>IF(OR(AA71="DEFENSIV",AA71="PRUDENT",AA71="MODERAT",AA71="RIDICAT"),1,0)</x:f>
        <x:v>0</x:v>
      </x:c>
      <x:c r="AE71" s="2" t="str">
        <x:f>IF(AD71&lt;&gt;1,"NO",IF(W71="PASS","YES",IF(W71="OOS PENDING","CONDITIONAL","NO")))</x:f>
        <x:v>NO</x:v>
      </x:c>
      <x:c r="AF71" s="2" t="n">
        <x:f>IF(AND(AD71=1,AC71=1,E71="LIVE"),1,0)</x:f>
        <x:v>0</x:v>
      </x:c>
      <x:c r="AG71" s="2" t="str">
        <x:f>IF(AF71&lt;&gt;1,"",'Dashboard'!P30)</x:f>
      </x:c>
      <x:c r="AH71" s="2" t="str">
        <x:f>IF(B71="","",IF(J71&lt;&gt;"PASS",'Motor_Meciuri'!J10,IF('Calibrare_Linii'!U15&lt;&gt;"VALID","Parametri linie invalizi",IF(L71&gt;'Config_v6'!$B$13,"Dispersie peste limita",IF(W71="WATCH","Failure peste limita",IF(AB71&lt;'Config_v6'!$B$16,"P finala sub prag",IF(V71&lt;'Config_v6'!$B$18,"Confidence sub prag",IF(E71="REPLAY","Exemplu retrospectiv; exclus din Top LIVE",IF(Y71="PASS","DEFENSIV validat",IF(W71="OOS PENDING","Eligibil; calibrare linie in monitorizare","Eligibil"))))))))))</x:f>
      </x:c>
      <x:c r="AI71" s="2" t="str">
        <x:f>IF(B71="","",'Calibrare_Linii'!V15)</x:f>
      </x:c>
      <x:c r="AJ71" s="2" t="str">
        <x:f>IF(B71="","",IF(AND('Calibrare_Linii'!T15="VALIDATED",AND('Calibrare_Linii'!H15=C71,ISNUMBER('Calibrare_Linii'!J15),'Calibrare_Linii'!J15&lt;='Input_Meci'!G10)),"DEFENSIVE VALIDATED",IF(AND('Calibrare_Linii'!S15="VALIDATED",AND('Calibrare_Linii'!H15=C71,ISNUMBER('Calibrare_Linii'!J15),'Calibrare_Linii'!J15&lt;='Input_Meci'!G10)),"TAIL VALIDATED","OOS PENDING")))</x:f>
      </x:c>
      <x:c r="AK71" s="2" t="n">
        <x:f>IF(J71&lt;&gt;"PASS",0,'Motor_Meciuri'!BR10)</x:f>
        <x:v>0</x:v>
      </x:c>
      <x:c r="AL71" s="2" t="n">
        <x:f>IF(J71&lt;&gt;"PASS",0,'Motor_Meciuri'!BS10)</x:f>
        <x:v>0</x:v>
      </x:c>
      <x:c r="AM71" s="2" t="n">
        <x:f>IF(J71&lt;&gt;"PASS",0,'Motor_Meciuri'!BT10)</x:f>
        <x:v>0</x:v>
      </x:c>
      <x:c r="AN71" s="2" t="str">
        <x:f>IF(M71="","",MAX(0,'Motor_Meciuri'!BF10-IF(L71&gt;'Config_v6'!$B$12,'Config_v6'!$B$37,IF(L71&gt;'Config_v6'!$B$11,'Config_v6'!$B$36,0))))</x:f>
      </x:c>
    </x:row>
    <x:row r="72" ht="21" customHeight="1">
      <x:c r="A72" s="2" t="n">
        <x:v>5</x:v>
      </x:c>
      <x:c r="B72" s="2" t="str">
        <x:f>IF('Motor_Meciuri'!A10="","",'Motor_Meciuri'!A10)</x:f>
      </x:c>
      <x:c r="C72" s="2" t="str">
        <x:f>IF(B72="","",'Motor_Meciuri'!B10)</x:f>
      </x:c>
      <x:c r="D72" s="2" t="str">
        <x:f>IF(B72="","",'Motor_Meciuri'!D10)</x:f>
      </x:c>
      <x:c r="E72" s="2" t="str">
        <x:f>IF(B72="","",'Motor_Meciuri'!E10)</x:f>
      </x:c>
      <x:c r="F72" s="2" t="str">
        <x:v>U14,5</x:v>
      </x:c>
      <x:c r="G72" s="2" t="str">
        <x:v>UNDER</x:v>
      </x:c>
      <x:c r="H72" s="2" t="n">
        <x:v>14</x:v>
      </x:c>
      <x:c r="I72" s="2" t="str">
        <x:f>IF(B72="","",'Motor_Meciuri'!H10)</x:f>
      </x:c>
      <x:c r="J72" s="2" t="str">
        <x:f>IF(B72="","",'Motor_Meciuri'!I10)</x:f>
      </x:c>
      <x:c r="K72" s="11" t="str">
        <x:f>IF(J72&lt;&gt;"PASS","",'Motor_Meciuri'!BD10)</x:f>
      </x:c>
      <x:c r="L72" s="11" t="str">
        <x:f>IF(J72&lt;&gt;"PASS","",'Motor_Meciuri'!AU10)</x:f>
      </x:c>
      <x:c r="M72" s="10" t="str">
        <x:f>IF(NOT(AND(J72="PASS",'Calibrare_Linii'!U16="VALID")),"",'Distributie'!AL10)</x:f>
      </x:c>
      <x:c r="N72" s="10" t="str">
        <x:f>IF(M72="","",MAX(0.01,MIN(0.99,0.5+(M72-0.5)*'Motor_Meciuri'!BG10*'Calibrare_Linii'!D16)))</x:f>
      </x:c>
      <x:c r="O72" s="10" t="str">
        <x:f>IF(M72="","",1-M72)</x:f>
      </x:c>
      <x:c r="P72" s="10" t="str">
        <x:f>IF(OR(NOT(AND(J72="PASS",'Calibrare_Linii'!U16="VALID")),AK72=0),""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*('Istoric_Nativ'!$Q$6:$Q$405&gt;H72))/AK72)</x:f>
      </x:c>
      <x:c r="Q72" s="10" t="str">
        <x:f>IF(OR(NOT(AND(J72="PASS",'Calibrare_Linii'!U16="VALID")),AL72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M10)+((('Istoric_Nativ'!$E$6:$E$405='Input_Meci'!E10)+('Istoric_Nativ'!$F$6:$F$405='Input_Meci'!E10))&gt;0)*('Istoric_Nativ'!$D$6:$D$405&gt;='Motor_Meciuri'!BN10))&gt;0)*('Istoric_Nativ'!$Q$6:$Q$405&gt;H72))/AL72)</x:f>
      </x:c>
      <x:c r="R72" s="10" t="str">
        <x:f>IF(OR(NOT(AND(J72="PASS",'Calibrare_Linii'!U16="VALID")),AM72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O10)+((('Istoric_Nativ'!$E$6:$E$405='Input_Meci'!E10)+('Istoric_Nativ'!$F$6:$F$405='Input_Meci'!E10))&gt;0)*('Istoric_Nativ'!$D$6:$D$405&gt;='Motor_Meciuri'!BP10))&gt;0)*('Istoric_Nativ'!$Q$6:$Q$405&gt;H72))/AM72)</x:f>
      </x:c>
      <x:c r="S72" s="10" t="str">
        <x:f>IF(M72="","",MAX(O72,P72,Q72,R72))</x:f>
      </x:c>
      <x:c r="T72" s="11" t="str">
        <x:f>IF(M72="","",MIN(100,S72*100*'Config_v6'!$B$44+MIN(100,L72/'Config_v6'!$B$13*100)*'Config_v6'!$B$45+(100-'Motor_Meciuri'!BF10)*'Config_v6'!$B$46+'Motor_Meciuri'!BH10*100*'Config_v6'!$B$47))</x:f>
      </x:c>
      <x:c r="U72" s="2" t="str">
        <x:f>IF(T72="","",IF(T72&lt;=20,1,IF(T72&lt;=40,2,IF(T72&lt;=60,3,IF(T72&lt;=80,4,5)))))</x:f>
      </x:c>
      <x:c r="V72" s="2" t="str">
        <x:f>IF(M72="","",MAX(0,'Motor_Meciuri'!BF10-IF(W72="OOS PENDING",'Config_v6'!$B$35,0)-IF(L72&gt;'Config_v6'!$B$12,'Config_v6'!$B$37,IF(L72&gt;'Config_v6'!$B$11,'Config_v6'!$B$36,0))))</x:f>
      </x:c>
      <x:c r="W72" s="2" t="str">
        <x:f>IF(B72="","",IF(I72&lt;&gt;"READY","NOT RELEASED",IF(NOT(AND(J72="PASS",'Calibrare_Linii'!U16="VALID")),"INVALID",IF(NOT(AND('Calibrare_Linii'!S16="VALIDATED",AND('Calibrare_Linii'!H16=C72,ISNUMBER('Calibrare_Linii'!J16),'Calibrare_Linii'!J16&lt;='Input_Meci'!G10))),"OOS PENDING",IF(S72&lt;='Calibrare_Linii'!E16,"PASS",IF(S72&lt;='Calibrare_Linii'!F16,"PENALTY","WATCH"))))))</x:f>
      </x:c>
      <x:c r="X72" s="2" t="str">
        <x:f>IF(M72="","",IF(AND(AND(J72="PASS",'Calibrare_Linii'!U16="VALID"),'Motor_Meciuri'!K10=12,'Motor_Meciuri'!L10=12,'Motor_Meciuri'!M10="NO",'Motor_Meciuri'!BL10='Motor_Meciuri'!C10,AB72&gt;='Config_v6'!$B$50,AN72&gt;='Config_v6'!$B$51,T72&lt;='Config_v6'!$B$52,L72&lt;='Config_v6'!$B$53,ISNUMBER('Calibrare_Linii'!E16),S72&lt;='Calibrare_Linii'!E16,SUM(AK72:AM72)&gt;0),"CANDIDATE","NO"))</x:f>
      </x:c>
      <x:c r="Y72" s="2" t="str">
        <x:f>IF(B72="","",IF(I72&lt;&gt;"READY","NOT RELEASED",IF(AND(X72="CANDIDATE",V72&gt;='Config_v6'!$B$51,W72="PASS",'Calibrare_Linii'!T16="VALIDATED",AND('Calibrare_Linii'!H16=C72,ISNUMBER('Calibrare_Linii'!J16),'Calibrare_Linii'!J16&lt;='Input_Meci'!G10)),"PASS",IF(X72="CANDIDATE","OOS PENDING","FAIL"))))</x:f>
      </x:c>
      <x:c r="Z72" s="2" t="str">
        <x:f>IF(B72="","",IF(I72&lt;&gt;"READY","",IF(OR(NOT(AND(J72="PASS",'Calibrare_Linii'!U16="VALID")),L72&gt;'Config_v6'!$B$13,W72="WATCH"),5,IF(Y72="PASS",1,MIN(5,MAX('Config_v6'!$B$42,U72)+IF(W72="PENALTY",1,0))))))</x:f>
      </x:c>
      <x:c r="AA72" s="2" t="str">
        <x:f>IF(B72="","",IF(I72&lt;&gt;"READY","NOT RELEASED",IF(Z72=5,"NO BET",IF(OR(AB72&lt;'Config_v6'!$B$16,V72&lt;'Config_v6'!$B$18),"WATCH",IF(Z72=1,"DEFENSIV",IF(Z72=2,"PRUDENT",IF(Z72=3,"MODERAT","RIDICAT")))))))</x:f>
      </x:c>
      <x:c r="AB72" s="10" t="str">
        <x:f>IF(N72="","",MIN(N72,1-S72))</x:f>
      </x:c>
      <x:c r="AC72" s="2" t="str">
        <x:f>IF(AD72&lt;&gt;1,"",COUNTIFS($Z$62:$Z$75,"&lt;"&amp;Z72,$AD$62:$AD$75,1)+COUNTIFS($Z$62:$Z$75,Z72,$AB$62:$AB$75,"&gt;"&amp;AB72,$AD$62:$AD$75,1)+COUNTIFS($Z$62:$Z$75,Z72,$AB$62:$AB$75,AB72,$V$62:$V$75,"&gt;"&amp;V72,$AD$62:$AD$75,1)+COUNTIFS($Z$62:Z72,Z72,$AB$62:AB72,AB72,$V$62:V72,V72,$AD$62:AD72,1))</x:f>
      </x:c>
      <x:c r="AD72" s="2" t="n">
        <x:f>IF(OR(AA72="DEFENSIV",AA72="PRUDENT",AA72="MODERAT",AA72="RIDICAT"),1,0)</x:f>
        <x:v>0</x:v>
      </x:c>
      <x:c r="AE72" s="2" t="str">
        <x:f>IF(AD72&lt;&gt;1,"NO",IF(W72="PASS","YES",IF(W72="OOS PENDING","CONDITIONAL","NO")))</x:f>
        <x:v>NO</x:v>
      </x:c>
      <x:c r="AF72" s="2" t="n">
        <x:f>IF(AND(AD72=1,AC72=1,E72="LIVE"),1,0)</x:f>
        <x:v>0</x:v>
      </x:c>
      <x:c r="AG72" s="2" t="str">
        <x:f>IF(AF72&lt;&gt;1,"",'Dashboard'!P30)</x:f>
      </x:c>
      <x:c r="AH72" s="2" t="str">
        <x:f>IF(B72="","",IF(J72&lt;&gt;"PASS",'Motor_Meciuri'!J10,IF('Calibrare_Linii'!U16&lt;&gt;"VALID","Parametri linie invalizi",IF(L72&gt;'Config_v6'!$B$13,"Dispersie peste limita",IF(W72="WATCH","Failure peste limita",IF(AB72&lt;'Config_v6'!$B$16,"P finala sub prag",IF(V72&lt;'Config_v6'!$B$18,"Confidence sub prag",IF(E72="REPLAY","Exemplu retrospectiv; exclus din Top LIVE",IF(Y72="PASS","DEFENSIV validat",IF(W72="OOS PENDING","Eligibil; calibrare linie in monitorizare","Eligibil"))))))))))</x:f>
      </x:c>
      <x:c r="AI72" s="2" t="str">
        <x:f>IF(B72="","",'Calibrare_Linii'!V16)</x:f>
      </x:c>
      <x:c r="AJ72" s="2" t="str">
        <x:f>IF(B72="","",IF(AND('Calibrare_Linii'!T16="VALIDATED",AND('Calibrare_Linii'!H16=C72,ISNUMBER('Calibrare_Linii'!J16),'Calibrare_Linii'!J16&lt;='Input_Meci'!G10)),"DEFENSIVE VALIDATED",IF(AND('Calibrare_Linii'!S16="VALIDATED",AND('Calibrare_Linii'!H16=C72,ISNUMBER('Calibrare_Linii'!J16),'Calibrare_Linii'!J16&lt;='Input_Meci'!G10)),"TAIL VALIDATED","OOS PENDING")))</x:f>
      </x:c>
      <x:c r="AK72" s="2" t="n">
        <x:f>IF(J72&lt;&gt;"PASS",0,'Motor_Meciuri'!BR10)</x:f>
        <x:v>0</x:v>
      </x:c>
      <x:c r="AL72" s="2" t="n">
        <x:f>IF(J72&lt;&gt;"PASS",0,'Motor_Meciuri'!BS10)</x:f>
        <x:v>0</x:v>
      </x:c>
      <x:c r="AM72" s="2" t="n">
        <x:f>IF(J72&lt;&gt;"PASS",0,'Motor_Meciuri'!BT10)</x:f>
        <x:v>0</x:v>
      </x:c>
      <x:c r="AN72" s="2" t="str">
        <x:f>IF(M72="","",MAX(0,'Motor_Meciuri'!BF10-IF(L72&gt;'Config_v6'!$B$12,'Config_v6'!$B$37,IF(L72&gt;'Config_v6'!$B$11,'Config_v6'!$B$36,0))))</x:f>
      </x:c>
    </x:row>
    <x:row r="73" ht="21" customHeight="1">
      <x:c r="A73" s="2" t="n">
        <x:v>5</x:v>
      </x:c>
      <x:c r="B73" s="2" t="str">
        <x:f>IF('Motor_Meciuri'!A10="","",'Motor_Meciuri'!A10)</x:f>
      </x:c>
      <x:c r="C73" s="2" t="str">
        <x:f>IF(B73="","",'Motor_Meciuri'!B10)</x:f>
      </x:c>
      <x:c r="D73" s="2" t="str">
        <x:f>IF(B73="","",'Motor_Meciuri'!D10)</x:f>
      </x:c>
      <x:c r="E73" s="2" t="str">
        <x:f>IF(B73="","",'Motor_Meciuri'!E10)</x:f>
      </x:c>
      <x:c r="F73" s="2" t="str">
        <x:v>U15,5</x:v>
      </x:c>
      <x:c r="G73" s="2" t="str">
        <x:v>UNDER</x:v>
      </x:c>
      <x:c r="H73" s="2" t="n">
        <x:v>15</x:v>
      </x:c>
      <x:c r="I73" s="2" t="str">
        <x:f>IF(B73="","",'Motor_Meciuri'!H10)</x:f>
      </x:c>
      <x:c r="J73" s="2" t="str">
        <x:f>IF(B73="","",'Motor_Meciuri'!I10)</x:f>
      </x:c>
      <x:c r="K73" s="11" t="str">
        <x:f>IF(J73&lt;&gt;"PASS","",'Motor_Meciuri'!BD10)</x:f>
      </x:c>
      <x:c r="L73" s="11" t="str">
        <x:f>IF(J73&lt;&gt;"PASS","",'Motor_Meciuri'!AU10)</x:f>
      </x:c>
      <x:c r="M73" s="10" t="str">
        <x:f>IF(NOT(AND(J73="PASS",'Calibrare_Linii'!U17="VALID")),"",'Distributie'!AM10)</x:f>
      </x:c>
      <x:c r="N73" s="10" t="str">
        <x:f>IF(M73="","",MAX(0.01,MIN(0.99,0.5+(M73-0.5)*'Motor_Meciuri'!BG10*'Calibrare_Linii'!D17)))</x:f>
      </x:c>
      <x:c r="O73" s="10" t="str">
        <x:f>IF(M73="","",1-M73)</x:f>
      </x:c>
      <x:c r="P73" s="10" t="str">
        <x:f>IF(OR(NOT(AND(J73="PASS",'Calibrare_Linii'!U17="VALID")),AK73=0),""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*('Istoric_Nativ'!$Q$6:$Q$405&gt;H73))/AK73)</x:f>
      </x:c>
      <x:c r="Q73" s="10" t="str">
        <x:f>IF(OR(NOT(AND(J73="PASS",'Calibrare_Linii'!U17="VALID")),AL73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M10)+((('Istoric_Nativ'!$E$6:$E$405='Input_Meci'!E10)+('Istoric_Nativ'!$F$6:$F$405='Input_Meci'!E10))&gt;0)*('Istoric_Nativ'!$D$6:$D$405&gt;='Motor_Meciuri'!BN10))&gt;0)*('Istoric_Nativ'!$Q$6:$Q$405&gt;H73))/AL73)</x:f>
      </x:c>
      <x:c r="R73" s="10" t="str">
        <x:f>IF(OR(NOT(AND(J73="PASS",'Calibrare_Linii'!U17="VALID")),AM73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O10)+((('Istoric_Nativ'!$E$6:$E$405='Input_Meci'!E10)+('Istoric_Nativ'!$F$6:$F$405='Input_Meci'!E10))&gt;0)*('Istoric_Nativ'!$D$6:$D$405&gt;='Motor_Meciuri'!BP10))&gt;0)*('Istoric_Nativ'!$Q$6:$Q$405&gt;H73))/AM73)</x:f>
      </x:c>
      <x:c r="S73" s="10" t="str">
        <x:f>IF(M73="","",MAX(O73,P73,Q73,R73))</x:f>
      </x:c>
      <x:c r="T73" s="11" t="str">
        <x:f>IF(M73="","",MIN(100,S73*100*'Config_v6'!$B$44+MIN(100,L73/'Config_v6'!$B$13*100)*'Config_v6'!$B$45+(100-'Motor_Meciuri'!BF10)*'Config_v6'!$B$46+'Motor_Meciuri'!BH10*100*'Config_v6'!$B$47))</x:f>
      </x:c>
      <x:c r="U73" s="2" t="str">
        <x:f>IF(T73="","",IF(T73&lt;=20,1,IF(T73&lt;=40,2,IF(T73&lt;=60,3,IF(T73&lt;=80,4,5)))))</x:f>
      </x:c>
      <x:c r="V73" s="2" t="str">
        <x:f>IF(M73="","",MAX(0,'Motor_Meciuri'!BF10-IF(W73="OOS PENDING",'Config_v6'!$B$35,0)-IF(L73&gt;'Config_v6'!$B$12,'Config_v6'!$B$37,IF(L73&gt;'Config_v6'!$B$11,'Config_v6'!$B$36,0))))</x:f>
      </x:c>
      <x:c r="W73" s="2" t="str">
        <x:f>IF(B73="","",IF(I73&lt;&gt;"READY","NOT RELEASED",IF(NOT(AND(J73="PASS",'Calibrare_Linii'!U17="VALID")),"INVALID",IF(NOT(AND('Calibrare_Linii'!S17="VALIDATED",AND('Calibrare_Linii'!H17=C73,ISNUMBER('Calibrare_Linii'!J17),'Calibrare_Linii'!J17&lt;='Input_Meci'!G10))),"OOS PENDING",IF(S73&lt;='Calibrare_Linii'!E17,"PASS",IF(S73&lt;='Calibrare_Linii'!F17,"PENALTY","WATCH"))))))</x:f>
      </x:c>
      <x:c r="X73" s="2" t="str">
        <x:f>IF(M73="","",IF(AND(AND(J73="PASS",'Calibrare_Linii'!U17="VALID"),'Motor_Meciuri'!K10=12,'Motor_Meciuri'!L10=12,'Motor_Meciuri'!M10="NO",'Motor_Meciuri'!BL10='Motor_Meciuri'!C10,AB73&gt;='Config_v6'!$B$50,AN73&gt;='Config_v6'!$B$51,T73&lt;='Config_v6'!$B$52,L73&lt;='Config_v6'!$B$53,ISNUMBER('Calibrare_Linii'!E17),S73&lt;='Calibrare_Linii'!E17,SUM(AK73:AM73)&gt;0),"CANDIDATE","NO"))</x:f>
      </x:c>
      <x:c r="Y73" s="2" t="str">
        <x:f>IF(B73="","",IF(I73&lt;&gt;"READY","NOT RELEASED",IF(AND(X73="CANDIDATE",V73&gt;='Config_v6'!$B$51,W73="PASS",'Calibrare_Linii'!T17="VALIDATED",AND('Calibrare_Linii'!H17=C73,ISNUMBER('Calibrare_Linii'!J17),'Calibrare_Linii'!J17&lt;='Input_Meci'!G10)),"PASS",IF(X73="CANDIDATE","OOS PENDING","FAIL"))))</x:f>
      </x:c>
      <x:c r="Z73" s="2" t="str">
        <x:f>IF(B73="","",IF(I73&lt;&gt;"READY","",IF(OR(NOT(AND(J73="PASS",'Calibrare_Linii'!U17="VALID")),L73&gt;'Config_v6'!$B$13,W73="WATCH"),5,IF(Y73="PASS",1,MIN(5,MAX('Config_v6'!$B$42,U73)+IF(W73="PENALTY",1,0))))))</x:f>
      </x:c>
      <x:c r="AA73" s="2" t="str">
        <x:f>IF(B73="","",IF(I73&lt;&gt;"READY","NOT RELEASED",IF(Z73=5,"NO BET",IF(OR(AB73&lt;'Config_v6'!$B$16,V73&lt;'Config_v6'!$B$18),"WATCH",IF(Z73=1,"DEFENSIV",IF(Z73=2,"PRUDENT",IF(Z73=3,"MODERAT","RIDICAT")))))))</x:f>
      </x:c>
      <x:c r="AB73" s="10" t="str">
        <x:f>IF(N73="","",MIN(N73,1-S73))</x:f>
      </x:c>
      <x:c r="AC73" s="2" t="str">
        <x:f>IF(AD73&lt;&gt;1,"",COUNTIFS($Z$62:$Z$75,"&lt;"&amp;Z73,$AD$62:$AD$75,1)+COUNTIFS($Z$62:$Z$75,Z73,$AB$62:$AB$75,"&gt;"&amp;AB73,$AD$62:$AD$75,1)+COUNTIFS($Z$62:$Z$75,Z73,$AB$62:$AB$75,AB73,$V$62:$V$75,"&gt;"&amp;V73,$AD$62:$AD$75,1)+COUNTIFS($Z$62:Z73,Z73,$AB$62:AB73,AB73,$V$62:V73,V73,$AD$62:AD73,1))</x:f>
      </x:c>
      <x:c r="AD73" s="2" t="n">
        <x:f>IF(OR(AA73="DEFENSIV",AA73="PRUDENT",AA73="MODERAT",AA73="RIDICAT"),1,0)</x:f>
        <x:v>0</x:v>
      </x:c>
      <x:c r="AE73" s="2" t="str">
        <x:f>IF(AD73&lt;&gt;1,"NO",IF(W73="PASS","YES",IF(W73="OOS PENDING","CONDITIONAL","NO")))</x:f>
        <x:v>NO</x:v>
      </x:c>
      <x:c r="AF73" s="2" t="n">
        <x:f>IF(AND(AD73=1,AC73=1,E73="LIVE"),1,0)</x:f>
        <x:v>0</x:v>
      </x:c>
      <x:c r="AG73" s="2" t="str">
        <x:f>IF(AF73&lt;&gt;1,"",'Dashboard'!P30)</x:f>
      </x:c>
      <x:c r="AH73" s="2" t="str">
        <x:f>IF(B73="","",IF(J73&lt;&gt;"PASS",'Motor_Meciuri'!J10,IF('Calibrare_Linii'!U17&lt;&gt;"VALID","Parametri linie invalizi",IF(L73&gt;'Config_v6'!$B$13,"Dispersie peste limita",IF(W73="WATCH","Failure peste limita",IF(AB73&lt;'Config_v6'!$B$16,"P finala sub prag",IF(V73&lt;'Config_v6'!$B$18,"Confidence sub prag",IF(E73="REPLAY","Exemplu retrospectiv; exclus din Top LIVE",IF(Y73="PASS","DEFENSIV validat",IF(W73="OOS PENDING","Eligibil; calibrare linie in monitorizare","Eligibil"))))))))))</x:f>
      </x:c>
      <x:c r="AI73" s="2" t="str">
        <x:f>IF(B73="","",'Calibrare_Linii'!V17)</x:f>
      </x:c>
      <x:c r="AJ73" s="2" t="str">
        <x:f>IF(B73="","",IF(AND('Calibrare_Linii'!T17="VALIDATED",AND('Calibrare_Linii'!H17=C73,ISNUMBER('Calibrare_Linii'!J17),'Calibrare_Linii'!J17&lt;='Input_Meci'!G10)),"DEFENSIVE VALIDATED",IF(AND('Calibrare_Linii'!S17="VALIDATED",AND('Calibrare_Linii'!H17=C73,ISNUMBER('Calibrare_Linii'!J17),'Calibrare_Linii'!J17&lt;='Input_Meci'!G10)),"TAIL VALIDATED","OOS PENDING")))</x:f>
      </x:c>
      <x:c r="AK73" s="2" t="n">
        <x:f>IF(J73&lt;&gt;"PASS",0,'Motor_Meciuri'!BR10)</x:f>
        <x:v>0</x:v>
      </x:c>
      <x:c r="AL73" s="2" t="n">
        <x:f>IF(J73&lt;&gt;"PASS",0,'Motor_Meciuri'!BS10)</x:f>
        <x:v>0</x:v>
      </x:c>
      <x:c r="AM73" s="2" t="n">
        <x:f>IF(J73&lt;&gt;"PASS",0,'Motor_Meciuri'!BT10)</x:f>
        <x:v>0</x:v>
      </x:c>
      <x:c r="AN73" s="2" t="str">
        <x:f>IF(M73="","",MAX(0,'Motor_Meciuri'!BF10-IF(L73&gt;'Config_v6'!$B$12,'Config_v6'!$B$37,IF(L73&gt;'Config_v6'!$B$11,'Config_v6'!$B$36,0))))</x:f>
      </x:c>
    </x:row>
    <x:row r="74" ht="21" customHeight="1">
      <x:c r="A74" s="2" t="n">
        <x:v>5</x:v>
      </x:c>
      <x:c r="B74" s="2" t="str">
        <x:f>IF('Motor_Meciuri'!A10="","",'Motor_Meciuri'!A10)</x:f>
      </x:c>
      <x:c r="C74" s="2" t="str">
        <x:f>IF(B74="","",'Motor_Meciuri'!B10)</x:f>
      </x:c>
      <x:c r="D74" s="2" t="str">
        <x:f>IF(B74="","",'Motor_Meciuri'!D10)</x:f>
      </x:c>
      <x:c r="E74" s="2" t="str">
        <x:f>IF(B74="","",'Motor_Meciuri'!E10)</x:f>
      </x:c>
      <x:c r="F74" s="2" t="str">
        <x:v>U16,5</x:v>
      </x:c>
      <x:c r="G74" s="2" t="str">
        <x:v>UNDER</x:v>
      </x:c>
      <x:c r="H74" s="2" t="n">
        <x:v>16</x:v>
      </x:c>
      <x:c r="I74" s="2" t="str">
        <x:f>IF(B74="","",'Motor_Meciuri'!H10)</x:f>
      </x:c>
      <x:c r="J74" s="2" t="str">
        <x:f>IF(B74="","",'Motor_Meciuri'!I10)</x:f>
      </x:c>
      <x:c r="K74" s="11" t="str">
        <x:f>IF(J74&lt;&gt;"PASS","",'Motor_Meciuri'!BD10)</x:f>
      </x:c>
      <x:c r="L74" s="11" t="str">
        <x:f>IF(J74&lt;&gt;"PASS","",'Motor_Meciuri'!AU10)</x:f>
      </x:c>
      <x:c r="M74" s="10" t="str">
        <x:f>IF(NOT(AND(J74="PASS",'Calibrare_Linii'!U18="VALID")),"",'Distributie'!AN10)</x:f>
      </x:c>
      <x:c r="N74" s="10" t="str">
        <x:f>IF(M74="","",MAX(0.01,MIN(0.99,0.5+(M74-0.5)*'Motor_Meciuri'!BG10*'Calibrare_Linii'!D18)))</x:f>
      </x:c>
      <x:c r="O74" s="10" t="str">
        <x:f>IF(M74="","",1-M74)</x:f>
      </x:c>
      <x:c r="P74" s="10" t="str">
        <x:f>IF(OR(NOT(AND(J74="PASS",'Calibrare_Linii'!U18="VALID")),AK74=0),""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*('Istoric_Nativ'!$Q$6:$Q$405&gt;H74))/AK74)</x:f>
      </x:c>
      <x:c r="Q74" s="10" t="str">
        <x:f>IF(OR(NOT(AND(J74="PASS",'Calibrare_Linii'!U18="VALID")),AL74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M10)+((('Istoric_Nativ'!$E$6:$E$405='Input_Meci'!E10)+('Istoric_Nativ'!$F$6:$F$405='Input_Meci'!E10))&gt;0)*('Istoric_Nativ'!$D$6:$D$405&gt;='Motor_Meciuri'!BN10))&gt;0)*('Istoric_Nativ'!$Q$6:$Q$405&gt;H74))/AL74)</x:f>
      </x:c>
      <x:c r="R74" s="10" t="str">
        <x:f>IF(OR(NOT(AND(J74="PASS",'Calibrare_Linii'!U18="VALID")),AM74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O10)+((('Istoric_Nativ'!$E$6:$E$405='Input_Meci'!E10)+('Istoric_Nativ'!$F$6:$F$405='Input_Meci'!E10))&gt;0)*('Istoric_Nativ'!$D$6:$D$405&gt;='Motor_Meciuri'!BP10))&gt;0)*('Istoric_Nativ'!$Q$6:$Q$405&gt;H74))/AM74)</x:f>
      </x:c>
      <x:c r="S74" s="10" t="str">
        <x:f>IF(M74="","",MAX(O74,P74,Q74,R74))</x:f>
      </x:c>
      <x:c r="T74" s="11" t="str">
        <x:f>IF(M74="","",MIN(100,S74*100*'Config_v6'!$B$44+MIN(100,L74/'Config_v6'!$B$13*100)*'Config_v6'!$B$45+(100-'Motor_Meciuri'!BF10)*'Config_v6'!$B$46+'Motor_Meciuri'!BH10*100*'Config_v6'!$B$47))</x:f>
      </x:c>
      <x:c r="U74" s="2" t="str">
        <x:f>IF(T74="","",IF(T74&lt;=20,1,IF(T74&lt;=40,2,IF(T74&lt;=60,3,IF(T74&lt;=80,4,5)))))</x:f>
      </x:c>
      <x:c r="V74" s="2" t="str">
        <x:f>IF(M74="","",MAX(0,'Motor_Meciuri'!BF10-IF(W74="OOS PENDING",'Config_v6'!$B$35,0)-IF(L74&gt;'Config_v6'!$B$12,'Config_v6'!$B$37,IF(L74&gt;'Config_v6'!$B$11,'Config_v6'!$B$36,0))))</x:f>
      </x:c>
      <x:c r="W74" s="2" t="str">
        <x:f>IF(B74="","",IF(I74&lt;&gt;"READY","NOT RELEASED",IF(NOT(AND(J74="PASS",'Calibrare_Linii'!U18="VALID")),"INVALID",IF(NOT(AND('Calibrare_Linii'!S18="VALIDATED",AND('Calibrare_Linii'!H18=C74,ISNUMBER('Calibrare_Linii'!J18),'Calibrare_Linii'!J18&lt;='Input_Meci'!G10))),"OOS PENDING",IF(S74&lt;='Calibrare_Linii'!E18,"PASS",IF(S74&lt;='Calibrare_Linii'!F18,"PENALTY","WATCH"))))))</x:f>
      </x:c>
      <x:c r="X74" s="2" t="str">
        <x:f>IF(M74="","",IF(AND(AND(J74="PASS",'Calibrare_Linii'!U18="VALID"),'Motor_Meciuri'!K10=12,'Motor_Meciuri'!L10=12,'Motor_Meciuri'!M10="NO",'Motor_Meciuri'!BL10='Motor_Meciuri'!C10,AB74&gt;='Config_v6'!$B$50,AN74&gt;='Config_v6'!$B$51,T74&lt;='Config_v6'!$B$52,L74&lt;='Config_v6'!$B$53,ISNUMBER('Calibrare_Linii'!E18),S74&lt;='Calibrare_Linii'!E18,SUM(AK74:AM74)&gt;0),"CANDIDATE","NO"))</x:f>
      </x:c>
      <x:c r="Y74" s="2" t="str">
        <x:f>IF(B74="","",IF(I74&lt;&gt;"READY","NOT RELEASED",IF(AND(X74="CANDIDATE",V74&gt;='Config_v6'!$B$51,W74="PASS",'Calibrare_Linii'!T18="VALIDATED",AND('Calibrare_Linii'!H18=C74,ISNUMBER('Calibrare_Linii'!J18),'Calibrare_Linii'!J18&lt;='Input_Meci'!G10)),"PASS",IF(X74="CANDIDATE","OOS PENDING","FAIL"))))</x:f>
      </x:c>
      <x:c r="Z74" s="2" t="str">
        <x:f>IF(B74="","",IF(I74&lt;&gt;"READY","",IF(OR(NOT(AND(J74="PASS",'Calibrare_Linii'!U18="VALID")),L74&gt;'Config_v6'!$B$13,W74="WATCH"),5,IF(Y74="PASS",1,MIN(5,MAX('Config_v6'!$B$42,U74)+IF(W74="PENALTY",1,0))))))</x:f>
      </x:c>
      <x:c r="AA74" s="2" t="str">
        <x:f>IF(B74="","",IF(I74&lt;&gt;"READY","NOT RELEASED",IF(Z74=5,"NO BET",IF(OR(AB74&lt;'Config_v6'!$B$16,V74&lt;'Config_v6'!$B$18),"WATCH",IF(Z74=1,"DEFENSIV",IF(Z74=2,"PRUDENT",IF(Z74=3,"MODERAT","RIDICAT")))))))</x:f>
      </x:c>
      <x:c r="AB74" s="10" t="str">
        <x:f>IF(N74="","",MIN(N74,1-S74))</x:f>
      </x:c>
      <x:c r="AC74" s="2" t="str">
        <x:f>IF(AD74&lt;&gt;1,"",COUNTIFS($Z$62:$Z$75,"&lt;"&amp;Z74,$AD$62:$AD$75,1)+COUNTIFS($Z$62:$Z$75,Z74,$AB$62:$AB$75,"&gt;"&amp;AB74,$AD$62:$AD$75,1)+COUNTIFS($Z$62:$Z$75,Z74,$AB$62:$AB$75,AB74,$V$62:$V$75,"&gt;"&amp;V74,$AD$62:$AD$75,1)+COUNTIFS($Z$62:Z74,Z74,$AB$62:AB74,AB74,$V$62:V74,V74,$AD$62:AD74,1))</x:f>
      </x:c>
      <x:c r="AD74" s="2" t="n">
        <x:f>IF(OR(AA74="DEFENSIV",AA74="PRUDENT",AA74="MODERAT",AA74="RIDICAT"),1,0)</x:f>
        <x:v>0</x:v>
      </x:c>
      <x:c r="AE74" s="2" t="str">
        <x:f>IF(AD74&lt;&gt;1,"NO",IF(W74="PASS","YES",IF(W74="OOS PENDING","CONDITIONAL","NO")))</x:f>
        <x:v>NO</x:v>
      </x:c>
      <x:c r="AF74" s="2" t="n">
        <x:f>IF(AND(AD74=1,AC74=1,E74="LIVE"),1,0)</x:f>
        <x:v>0</x:v>
      </x:c>
      <x:c r="AG74" s="2" t="str">
        <x:f>IF(AF74&lt;&gt;1,"",'Dashboard'!P30)</x:f>
      </x:c>
      <x:c r="AH74" s="2" t="str">
        <x:f>IF(B74="","",IF(J74&lt;&gt;"PASS",'Motor_Meciuri'!J10,IF('Calibrare_Linii'!U18&lt;&gt;"VALID","Parametri linie invalizi",IF(L74&gt;'Config_v6'!$B$13,"Dispersie peste limita",IF(W74="WATCH","Failure peste limita",IF(AB74&lt;'Config_v6'!$B$16,"P finala sub prag",IF(V74&lt;'Config_v6'!$B$18,"Confidence sub prag",IF(E74="REPLAY","Exemplu retrospectiv; exclus din Top LIVE",IF(Y74="PASS","DEFENSIV validat",IF(W74="OOS PENDING","Eligibil; calibrare linie in monitorizare","Eligibil"))))))))))</x:f>
      </x:c>
      <x:c r="AI74" s="2" t="str">
        <x:f>IF(B74="","",'Calibrare_Linii'!V18)</x:f>
      </x:c>
      <x:c r="AJ74" s="2" t="str">
        <x:f>IF(B74="","",IF(AND('Calibrare_Linii'!T18="VALIDATED",AND('Calibrare_Linii'!H18=C74,ISNUMBER('Calibrare_Linii'!J18),'Calibrare_Linii'!J18&lt;='Input_Meci'!G10)),"DEFENSIVE VALIDATED",IF(AND('Calibrare_Linii'!S18="VALIDATED",AND('Calibrare_Linii'!H18=C74,ISNUMBER('Calibrare_Linii'!J18),'Calibrare_Linii'!J18&lt;='Input_Meci'!G10)),"TAIL VALIDATED","OOS PENDING")))</x:f>
      </x:c>
      <x:c r="AK74" s="2" t="n">
        <x:f>IF(J74&lt;&gt;"PASS",0,'Motor_Meciuri'!BR10)</x:f>
        <x:v>0</x:v>
      </x:c>
      <x:c r="AL74" s="2" t="n">
        <x:f>IF(J74&lt;&gt;"PASS",0,'Motor_Meciuri'!BS10)</x:f>
        <x:v>0</x:v>
      </x:c>
      <x:c r="AM74" s="2" t="n">
        <x:f>IF(J74&lt;&gt;"PASS",0,'Motor_Meciuri'!BT10)</x:f>
        <x:v>0</x:v>
      </x:c>
      <x:c r="AN74" s="2" t="str">
        <x:f>IF(M74="","",MAX(0,'Motor_Meciuri'!BF10-IF(L74&gt;'Config_v6'!$B$12,'Config_v6'!$B$37,IF(L74&gt;'Config_v6'!$B$11,'Config_v6'!$B$36,0))))</x:f>
      </x:c>
    </x:row>
    <x:row r="75" ht="21" customHeight="1">
      <x:c r="A75" s="2" t="n">
        <x:v>5</x:v>
      </x:c>
      <x:c r="B75" s="2" t="str">
        <x:f>IF('Motor_Meciuri'!A10="","",'Motor_Meciuri'!A10)</x:f>
      </x:c>
      <x:c r="C75" s="2" t="str">
        <x:f>IF(B75="","",'Motor_Meciuri'!B10)</x:f>
      </x:c>
      <x:c r="D75" s="2" t="str">
        <x:f>IF(B75="","",'Motor_Meciuri'!D10)</x:f>
      </x:c>
      <x:c r="E75" s="2" t="str">
        <x:f>IF(B75="","",'Motor_Meciuri'!E10)</x:f>
      </x:c>
      <x:c r="F75" s="2" t="str">
        <x:v>U17,5</x:v>
      </x:c>
      <x:c r="G75" s="2" t="str">
        <x:v>UNDER</x:v>
      </x:c>
      <x:c r="H75" s="2" t="n">
        <x:v>17</x:v>
      </x:c>
      <x:c r="I75" s="2" t="str">
        <x:f>IF(B75="","",'Motor_Meciuri'!H10)</x:f>
      </x:c>
      <x:c r="J75" s="2" t="str">
        <x:f>IF(B75="","",'Motor_Meciuri'!I10)</x:f>
      </x:c>
      <x:c r="K75" s="11" t="str">
        <x:f>IF(J75&lt;&gt;"PASS","",'Motor_Meciuri'!BD10)</x:f>
      </x:c>
      <x:c r="L75" s="11" t="str">
        <x:f>IF(J75&lt;&gt;"PASS","",'Motor_Meciuri'!AU10)</x:f>
      </x:c>
      <x:c r="M75" s="10" t="str">
        <x:f>IF(NOT(AND(J75="PASS",'Calibrare_Linii'!U19="VALID")),"",'Distributie'!AO10)</x:f>
      </x:c>
      <x:c r="N75" s="10" t="str">
        <x:f>IF(M75="","",MAX(0.01,MIN(0.99,0.5+(M75-0.5)*'Motor_Meciuri'!BG10*'Calibrare_Linii'!D19)))</x:f>
      </x:c>
      <x:c r="O75" s="10" t="str">
        <x:f>IF(M75="","",1-M75)</x:f>
      </x:c>
      <x:c r="P75" s="10" t="str">
        <x:f>IF(OR(NOT(AND(J75="PASS",'Calibrare_Linii'!U19="VALID")),AK75=0),""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*('Istoric_Nativ'!$Q$6:$Q$405&gt;H75))/AK75)</x:f>
      </x:c>
      <x:c r="Q75" s="10" t="str">
        <x:f>IF(OR(NOT(AND(J75="PASS",'Calibrare_Linii'!U19="VALID")),AL75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M10)+((('Istoric_Nativ'!$E$6:$E$405='Input_Meci'!E10)+('Istoric_Nativ'!$F$6:$F$405='Input_Meci'!E10))&gt;0)*('Istoric_Nativ'!$D$6:$D$405&gt;='Motor_Meciuri'!BN10))&gt;0)*('Istoric_Nativ'!$Q$6:$Q$405&gt;H75))/AL75)</x:f>
      </x:c>
      <x:c r="R75" s="10" t="str">
        <x:f>IF(OR(NOT(AND(J75="PASS",'Calibrare_Linii'!U19="VALID")),AM75=0),""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'Motor_Meciuri'!BO10)+((('Istoric_Nativ'!$E$6:$E$405='Input_Meci'!E10)+('Istoric_Nativ'!$F$6:$F$405='Input_Meci'!E10))&gt;0)*('Istoric_Nativ'!$D$6:$D$405&gt;='Motor_Meciuri'!BP10))&gt;0)*('Istoric_Nativ'!$Q$6:$Q$405&gt;H75))/AM75)</x:f>
      </x:c>
      <x:c r="S75" s="10" t="str">
        <x:f>IF(M75="","",MAX(O75,P75,Q75,R75))</x:f>
      </x:c>
      <x:c r="T75" s="11" t="str">
        <x:f>IF(M75="","",MIN(100,S75*100*'Config_v6'!$B$44+MIN(100,L75/'Config_v6'!$B$13*100)*'Config_v6'!$B$45+(100-'Motor_Meciuri'!BF10)*'Config_v6'!$B$46+'Motor_Meciuri'!BH10*100*'Config_v6'!$B$47))</x:f>
      </x:c>
      <x:c r="U75" s="2" t="str">
        <x:f>IF(T75="","",IF(T75&lt;=20,1,IF(T75&lt;=40,2,IF(T75&lt;=60,3,IF(T75&lt;=80,4,5)))))</x:f>
      </x:c>
      <x:c r="V75" s="2" t="str">
        <x:f>IF(M75="","",MAX(0,'Motor_Meciuri'!BF10-IF(W75="OOS PENDING",'Config_v6'!$B$35,0)-IF(L75&gt;'Config_v6'!$B$12,'Config_v6'!$B$37,IF(L75&gt;'Config_v6'!$B$11,'Config_v6'!$B$36,0))))</x:f>
      </x:c>
      <x:c r="W75" s="2" t="str">
        <x:f>IF(B75="","",IF(I75&lt;&gt;"READY","NOT RELEASED",IF(NOT(AND(J75="PASS",'Calibrare_Linii'!U19="VALID")),"INVALID",IF(NOT(AND('Calibrare_Linii'!S19="VALIDATED",AND('Calibrare_Linii'!H19=C75,ISNUMBER('Calibrare_Linii'!J19),'Calibrare_Linii'!J19&lt;='Input_Meci'!G10))),"OOS PENDING",IF(S75&lt;='Calibrare_Linii'!E19,"PASS",IF(S75&lt;='Calibrare_Linii'!F19,"PENALTY","WATCH"))))))</x:f>
      </x:c>
      <x:c r="X75" s="2" t="str">
        <x:f>IF(M75="","",IF(AND(AND(J75="PASS",'Calibrare_Linii'!U19="VALID"),'Motor_Meciuri'!K10=12,'Motor_Meciuri'!L10=12,'Motor_Meciuri'!M10="NO",'Motor_Meciuri'!BL10='Motor_Meciuri'!C10,AB75&gt;='Config_v6'!$B$50,AN75&gt;='Config_v6'!$B$51,T75&lt;='Config_v6'!$B$52,L75&lt;='Config_v6'!$B$53,ISNUMBER('Calibrare_Linii'!E19),S75&lt;='Calibrare_Linii'!E19,SUM(AK75:AM75)&gt;0),"CANDIDATE","NO"))</x:f>
      </x:c>
      <x:c r="Y75" s="2" t="str">
        <x:f>IF(B75="","",IF(I75&lt;&gt;"READY","NOT RELEASED",IF(AND(X75="CANDIDATE",V75&gt;='Config_v6'!$B$51,W75="PASS",'Calibrare_Linii'!T19="VALIDATED",AND('Calibrare_Linii'!H19=C75,ISNUMBER('Calibrare_Linii'!J19),'Calibrare_Linii'!J19&lt;='Input_Meci'!G10)),"PASS",IF(X75="CANDIDATE","OOS PENDING","FAIL"))))</x:f>
      </x:c>
      <x:c r="Z75" s="2" t="str">
        <x:f>IF(B75="","",IF(I75&lt;&gt;"READY","",IF(OR(NOT(AND(J75="PASS",'Calibrare_Linii'!U19="VALID")),L75&gt;'Config_v6'!$B$13,W75="WATCH"),5,IF(Y75="PASS",1,MIN(5,MAX('Config_v6'!$B$42,U75)+IF(W75="PENALTY",1,0))))))</x:f>
      </x:c>
      <x:c r="AA75" s="2" t="str">
        <x:f>IF(B75="","",IF(I75&lt;&gt;"READY","NOT RELEASED",IF(Z75=5,"NO BET",IF(OR(AB75&lt;'Config_v6'!$B$16,V75&lt;'Config_v6'!$B$18),"WATCH",IF(Z75=1,"DEFENSIV",IF(Z75=2,"PRUDENT",IF(Z75=3,"MODERAT","RIDICAT")))))))</x:f>
      </x:c>
      <x:c r="AB75" s="10" t="str">
        <x:f>IF(N75="","",MIN(N75,1-S75))</x:f>
      </x:c>
      <x:c r="AC75" s="2" t="str">
        <x:f>IF(AD75&lt;&gt;1,"",COUNTIFS($Z$62:$Z$75,"&lt;"&amp;Z75,$AD$62:$AD$75,1)+COUNTIFS($Z$62:$Z$75,Z75,$AB$62:$AB$75,"&gt;"&amp;AB75,$AD$62:$AD$75,1)+COUNTIFS($Z$62:$Z$75,Z75,$AB$62:$AB$75,AB75,$V$62:$V$75,"&gt;"&amp;V75,$AD$62:$AD$75,1)+COUNTIFS($Z$62:Z75,Z75,$AB$62:AB75,AB75,$V$62:V75,V75,$AD$62:AD75,1))</x:f>
      </x:c>
      <x:c r="AD75" s="2" t="n">
        <x:f>IF(OR(AA75="DEFENSIV",AA75="PRUDENT",AA75="MODERAT",AA75="RIDICAT"),1,0)</x:f>
        <x:v>0</x:v>
      </x:c>
      <x:c r="AE75" s="2" t="str">
        <x:f>IF(AD75&lt;&gt;1,"NO",IF(W75="PASS","YES",IF(W75="OOS PENDING","CONDITIONAL","NO")))</x:f>
        <x:v>NO</x:v>
      </x:c>
      <x:c r="AF75" s="2" t="n">
        <x:f>IF(AND(AD75=1,AC75=1,E75="LIVE"),1,0)</x:f>
        <x:v>0</x:v>
      </x:c>
      <x:c r="AG75" s="2" t="str">
        <x:f>IF(AF75&lt;&gt;1,"",'Dashboard'!P30)</x:f>
      </x:c>
      <x:c r="AH75" s="2" t="str">
        <x:f>IF(B75="","",IF(J75&lt;&gt;"PASS",'Motor_Meciuri'!J10,IF('Calibrare_Linii'!U19&lt;&gt;"VALID","Parametri linie invalizi",IF(L75&gt;'Config_v6'!$B$13,"Dispersie peste limita",IF(W75="WATCH","Failure peste limita",IF(AB75&lt;'Config_v6'!$B$16,"P finala sub prag",IF(V75&lt;'Config_v6'!$B$18,"Confidence sub prag",IF(E75="REPLAY","Exemplu retrospectiv; exclus din Top LIVE",IF(Y75="PASS","DEFENSIV validat",IF(W75="OOS PENDING","Eligibil; calibrare linie in monitorizare","Eligibil"))))))))))</x:f>
      </x:c>
      <x:c r="AI75" s="2" t="str">
        <x:f>IF(B75="","",'Calibrare_Linii'!V19)</x:f>
      </x:c>
      <x:c r="AJ75" s="2" t="str">
        <x:f>IF(B75="","",IF(AND('Calibrare_Linii'!T19="VALIDATED",AND('Calibrare_Linii'!H19=C75,ISNUMBER('Calibrare_Linii'!J19),'Calibrare_Linii'!J19&lt;='Input_Meci'!G10)),"DEFENSIVE VALIDATED",IF(AND('Calibrare_Linii'!S19="VALIDATED",AND('Calibrare_Linii'!H19=C75,ISNUMBER('Calibrare_Linii'!J19),'Calibrare_Linii'!J19&lt;='Input_Meci'!G10)),"TAIL VALIDATED","OOS PENDING")))</x:f>
      </x:c>
      <x:c r="AK75" s="2" t="n">
        <x:f>IF(J75&lt;&gt;"PASS",0,'Motor_Meciuri'!BR10)</x:f>
        <x:v>0</x:v>
      </x:c>
      <x:c r="AL75" s="2" t="n">
        <x:f>IF(J75&lt;&gt;"PASS",0,'Motor_Meciuri'!BS10)</x:f>
        <x:v>0</x:v>
      </x:c>
      <x:c r="AM75" s="2" t="n">
        <x:f>IF(J75&lt;&gt;"PASS",0,'Motor_Meciuri'!BT10)</x:f>
        <x:v>0</x:v>
      </x:c>
      <x:c r="AN75" s="2" t="str">
        <x:f>IF(M75="","",MAX(0,'Motor_Meciuri'!BF10-IF(L75&gt;'Config_v6'!$B$12,'Config_v6'!$B$37,IF(L75&gt;'Config_v6'!$B$11,'Config_v6'!$B$36,0))))</x:f>
      </x:c>
    </x:row>
    <x:row r="76" ht="21" customHeight="1">
      <x:c r="A76" s="2" t="n">
        <x:v>6</x:v>
      </x:c>
      <x:c r="B76" s="2" t="str">
        <x:f>IF('Motor_Meciuri'!A11="","",'Motor_Meciuri'!A11)</x:f>
      </x:c>
      <x:c r="C76" s="2" t="str">
        <x:f>IF(B76="","",'Motor_Meciuri'!B11)</x:f>
      </x:c>
      <x:c r="D76" s="2" t="str">
        <x:f>IF(B76="","",'Motor_Meciuri'!D11)</x:f>
      </x:c>
      <x:c r="E76" s="2" t="str">
        <x:f>IF(B76="","",'Motor_Meciuri'!E11)</x:f>
      </x:c>
      <x:c r="F76" s="2" t="str">
        <x:v>O3,5</x:v>
      </x:c>
      <x:c r="G76" s="2" t="str">
        <x:v>OVER</x:v>
      </x:c>
      <x:c r="H76" s="2" t="n">
        <x:v>3</x:v>
      </x:c>
      <x:c r="I76" s="2" t="str">
        <x:f>IF(B76="","",'Motor_Meciuri'!H11)</x:f>
      </x:c>
      <x:c r="J76" s="2" t="str">
        <x:f>IF(B76="","",'Motor_Meciuri'!I11)</x:f>
      </x:c>
      <x:c r="K76" s="11" t="str">
        <x:f>IF(J76&lt;&gt;"PASS","",'Motor_Meciuri'!BD11)</x:f>
      </x:c>
      <x:c r="L76" s="11" t="str">
        <x:f>IF(J76&lt;&gt;"PASS","",'Motor_Meciuri'!AU11)</x:f>
      </x:c>
      <x:c r="M76" s="10" t="str">
        <x:f>IF(NOT(AND(J76="PASS",'Calibrare_Linii'!U6="VALID")),"",1-'Distributie'!AA11)</x:f>
      </x:c>
      <x:c r="N76" s="10" t="str">
        <x:f>IF(M76="","",MAX(0.01,MIN(0.99,0.5+(M76-0.5)*'Motor_Meciuri'!BG11*'Calibrare_Linii'!D6)))</x:f>
      </x:c>
      <x:c r="O76" s="10" t="str">
        <x:f>IF(M76="","",1-M76)</x:f>
      </x:c>
      <x:c r="P76" s="10" t="str">
        <x:f>IF(OR(NOT(AND(J76="PASS",'Calibrare_Linii'!U6="VALID")),AK76=0),""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*('Istoric_Nativ'!$Q$6:$Q$405&lt;=H76))/AK76)</x:f>
      </x:c>
      <x:c r="Q76" s="10" t="str">
        <x:f>IF(OR(NOT(AND(J76="PASS",'Calibrare_Linii'!U6="VALID")),AL76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M11)+((('Istoric_Nativ'!$E$6:$E$405='Input_Meci'!E11)+('Istoric_Nativ'!$F$6:$F$405='Input_Meci'!E11))&gt;0)*('Istoric_Nativ'!$D$6:$D$405&gt;='Motor_Meciuri'!BN11))&gt;0)*('Istoric_Nativ'!$Q$6:$Q$405&lt;=H76))/AL76)</x:f>
      </x:c>
      <x:c r="R76" s="10" t="str">
        <x:f>IF(OR(NOT(AND(J76="PASS",'Calibrare_Linii'!U6="VALID")),AM76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O11)+((('Istoric_Nativ'!$E$6:$E$405='Input_Meci'!E11)+('Istoric_Nativ'!$F$6:$F$405='Input_Meci'!E11))&gt;0)*('Istoric_Nativ'!$D$6:$D$405&gt;='Motor_Meciuri'!BP11))&gt;0)*('Istoric_Nativ'!$Q$6:$Q$405&lt;=H76))/AM76)</x:f>
      </x:c>
      <x:c r="S76" s="10" t="str">
        <x:f>IF(M76="","",MAX(O76,P76,Q76,R76))</x:f>
      </x:c>
      <x:c r="T76" s="11" t="str">
        <x:f>IF(M76="","",MIN(100,S76*100*'Config_v6'!$B$44+MIN(100,L76/'Config_v6'!$B$13*100)*'Config_v6'!$B$45+(100-'Motor_Meciuri'!BF11)*'Config_v6'!$B$46+'Motor_Meciuri'!BH11*100*'Config_v6'!$B$47))</x:f>
      </x:c>
      <x:c r="U76" s="2" t="str">
        <x:f>IF(T76="","",IF(T76&lt;=20,1,IF(T76&lt;=40,2,IF(T76&lt;=60,3,IF(T76&lt;=80,4,5)))))</x:f>
      </x:c>
      <x:c r="V76" s="2" t="str">
        <x:f>IF(M76="","",MAX(0,'Motor_Meciuri'!BF11-IF(W76="OOS PENDING",'Config_v6'!$B$35,0)-IF(L76&gt;'Config_v6'!$B$12,'Config_v6'!$B$37,IF(L76&gt;'Config_v6'!$B$11,'Config_v6'!$B$36,0))))</x:f>
      </x:c>
      <x:c r="W76" s="2" t="str">
        <x:f>IF(B76="","",IF(I76&lt;&gt;"READY","NOT RELEASED",IF(NOT(AND(J76="PASS",'Calibrare_Linii'!U6="VALID")),"INVALID",IF(NOT(TRUE),"OOS PENDING",IF(S76&lt;=IF(AND('Calibrare_Linii'!S6="VALIDATED",AND('Calibrare_Linii'!H6=C76,ISNUMBER('Calibrare_Linii'!J6),'Calibrare_Linii'!J6&lt;='Input_Meci'!G11)),'Calibrare_Linii'!E6,'Config_v6'!$B$26),"PASS",IF(S76&lt;=IF(AND('Calibrare_Linii'!S6="VALIDATED",AND('Calibrare_Linii'!H6=C76,ISNUMBER('Calibrare_Linii'!J6),'Calibrare_Linii'!J6&lt;='Input_Meci'!G11)),'Calibrare_Linii'!F6,'Config_v6'!$C$26),"PENALTY","WATCH"))))))</x:f>
      </x:c>
      <x:c r="X76" s="2" t="str">
        <x:f>IF(M76="","",IF(AND(AND(J76="PASS",'Calibrare_Linii'!U6="VALID"),'Motor_Meciuri'!K11=12,'Motor_Meciuri'!L11=12,'Motor_Meciuri'!M11="NO",'Motor_Meciuri'!BL11='Motor_Meciuri'!C11,AB76&gt;='Config_v6'!$B$50,AN76&gt;='Config_v6'!$B$51,T76&lt;='Config_v6'!$B$52,L76&lt;='Config_v6'!$B$53,ISNUMBER('Calibrare_Linii'!E6),S76&lt;='Calibrare_Linii'!E6,SUM(AK76:AM76)&gt;0),"CANDIDATE","NO"))</x:f>
      </x:c>
      <x:c r="Y76" s="2" t="str">
        <x:f>IF(B76="","",IF(I76&lt;&gt;"READY","NOT RELEASED",IF(AND(X76="CANDIDATE",V76&gt;='Config_v6'!$B$51,W76="PASS",'Calibrare_Linii'!T6="VALIDATED",AND('Calibrare_Linii'!H6=C76,ISNUMBER('Calibrare_Linii'!J6),'Calibrare_Linii'!J6&lt;='Input_Meci'!G11)),"PASS",IF(X76="CANDIDATE","OOS PENDING","FAIL"))))</x:f>
      </x:c>
      <x:c r="Z76" s="2" t="str">
        <x:f>IF(B76="","",IF(I76&lt;&gt;"READY","",IF(OR(NOT(AND(J76="PASS",'Calibrare_Linii'!U6="VALID")),L76&gt;'Config_v6'!$B$13,W76="WATCH"),5,IF(Y76="PASS",1,MIN(5,MAX('Config_v6'!$B$42,U76)+IF(W76="PENALTY",1,0))))))</x:f>
      </x:c>
      <x:c r="AA76" s="2" t="str">
        <x:f>IF(B76="","",IF(I76&lt;&gt;"READY","NOT RELEASED",IF(Z76=5,"NO BET",IF(OR(AB76&lt;'Config_v6'!$B$16,V76&lt;'Config_v6'!$B$18),"WATCH",IF(Z76=1,"DEFENSIV",IF(Z76=2,"PRUDENT",IF(Z76=3,"MODERAT","RIDICAT")))))))</x:f>
      </x:c>
      <x:c r="AB76" s="10" t="str">
        <x:f>IF(N76="","",MIN(N76,1-S76))</x:f>
      </x:c>
      <x:c r="AC76" s="2" t="str">
        <x:f>IF(AD76&lt;&gt;1,"",COUNTIFS($Z$76:$Z$89,"&lt;"&amp;Z76,$AD$76:$AD$89,1)+COUNTIFS($Z$76:$Z$89,Z76,$AB$76:$AB$89,"&gt;"&amp;AB76,$AD$76:$AD$89,1)+COUNTIFS($Z$76:$Z$89,Z76,$AB$76:$AB$89,AB76,$V$76:$V$89,"&gt;"&amp;V76,$AD$76:$AD$89,1)+COUNTIFS($Z$76:Z76,Z76,$AB$76:AB76,AB76,$V$76:V76,V76,$AD$76:AD76,1))</x:f>
      </x:c>
      <x:c r="AD76" s="2" t="n">
        <x:f>IF(OR(AA76="DEFENSIV",AA76="PRUDENT",AA76="MODERAT",AA76="RIDICAT"),1,0)</x:f>
        <x:v>0</x:v>
      </x:c>
      <x:c r="AE76" s="2" t="str">
        <x:f>IF(AD76&lt;&gt;1,"NO",IF(W76="PASS","YES",IF(W76="OOS PENDING","CONDITIONAL","NO")))</x:f>
        <x:v>NO</x:v>
      </x:c>
      <x:c r="AF76" s="2" t="n">
        <x:f>IF(AND(AD76=1,AC76=1,E76="LIVE"),1,0)</x:f>
        <x:v>0</x:v>
      </x:c>
      <x:c r="AG76" s="2" t="str">
        <x:f>IF(AF76&lt;&gt;1,"",'Dashboard'!P31)</x:f>
      </x:c>
      <x:c r="AH76" s="2" t="str">
        <x:f>IF(B76="","",IF(J76&lt;&gt;"PASS",'Motor_Meciuri'!J11,IF('Calibrare_Linii'!U6&lt;&gt;"VALID","Parametri linie invalizi",IF(L76&gt;'Config_v6'!$B$13,"Dispersie peste limita",IF(W76="WATCH","Failure peste limita",IF(AB76&lt;'Config_v6'!$B$16,"P finala sub prag",IF(V76&lt;'Config_v6'!$B$18,"Confidence sub prag",IF(E76="REPLAY","Exemplu retrospectiv; exclus din Top LIVE",IF(Y76="PASS","DEFENSIV validat",IF(W76="OOS PENDING","Eligibil; calibrare linie in monitorizare","Eligibil"))))))))))</x:f>
      </x:c>
      <x:c r="AI76" s="2" t="str">
        <x:f>IF(B76="","",'Calibrare_Linii'!V6)</x:f>
      </x:c>
      <x:c r="AJ76" s="2" t="str">
        <x:f>IF(B76="","",IF(AND('Calibrare_Linii'!T6="VALIDATED",AND('Calibrare_Linii'!H6=C76,ISNUMBER('Calibrare_Linii'!J6),'Calibrare_Linii'!J6&lt;='Input_Meci'!G11)),"DEFENSIVE VALIDATED",IF(AND('Calibrare_Linii'!S6="VALIDATED",AND('Calibrare_Linii'!H6=C76,ISNUMBER('Calibrare_Linii'!J6),'Calibrare_Linii'!J6&lt;='Input_Meci'!G11)),"TAIL VALIDATED","OOS PENDING")))</x:f>
      </x:c>
      <x:c r="AK76" s="2" t="n">
        <x:f>IF(J76&lt;&gt;"PASS",0,'Motor_Meciuri'!BR11)</x:f>
        <x:v>0</x:v>
      </x:c>
      <x:c r="AL76" s="2" t="n">
        <x:f>IF(J76&lt;&gt;"PASS",0,'Motor_Meciuri'!BS11)</x:f>
        <x:v>0</x:v>
      </x:c>
      <x:c r="AM76" s="2" t="n">
        <x:f>IF(J76&lt;&gt;"PASS",0,'Motor_Meciuri'!BT11)</x:f>
        <x:v>0</x:v>
      </x:c>
      <x:c r="AN76" s="2" t="str">
        <x:f>IF(M76="","",MAX(0,'Motor_Meciuri'!BF11-IF(L76&gt;'Config_v6'!$B$12,'Config_v6'!$B$37,IF(L76&gt;'Config_v6'!$B$11,'Config_v6'!$B$36,0))))</x:f>
      </x:c>
    </x:row>
    <x:row r="77" ht="21" customHeight="1">
      <x:c r="A77" s="2" t="n">
        <x:v>6</x:v>
      </x:c>
      <x:c r="B77" s="2" t="str">
        <x:f>IF('Motor_Meciuri'!A11="","",'Motor_Meciuri'!A11)</x:f>
      </x:c>
      <x:c r="C77" s="2" t="str">
        <x:f>IF(B77="","",'Motor_Meciuri'!B11)</x:f>
      </x:c>
      <x:c r="D77" s="2" t="str">
        <x:f>IF(B77="","",'Motor_Meciuri'!D11)</x:f>
      </x:c>
      <x:c r="E77" s="2" t="str">
        <x:f>IF(B77="","",'Motor_Meciuri'!E11)</x:f>
      </x:c>
      <x:c r="F77" s="2" t="str">
        <x:v>O4,5</x:v>
      </x:c>
      <x:c r="G77" s="2" t="str">
        <x:v>OVER</x:v>
      </x:c>
      <x:c r="H77" s="2" t="n">
        <x:v>4</x:v>
      </x:c>
      <x:c r="I77" s="2" t="str">
        <x:f>IF(B77="","",'Motor_Meciuri'!H11)</x:f>
      </x:c>
      <x:c r="J77" s="2" t="str">
        <x:f>IF(B77="","",'Motor_Meciuri'!I11)</x:f>
      </x:c>
      <x:c r="K77" s="11" t="str">
        <x:f>IF(J77&lt;&gt;"PASS","",'Motor_Meciuri'!BD11)</x:f>
      </x:c>
      <x:c r="L77" s="11" t="str">
        <x:f>IF(J77&lt;&gt;"PASS","",'Motor_Meciuri'!AU11)</x:f>
      </x:c>
      <x:c r="M77" s="10" t="str">
        <x:f>IF(NOT(AND(J77="PASS",'Calibrare_Linii'!U7="VALID")),"",1-'Distributie'!AB11)</x:f>
      </x:c>
      <x:c r="N77" s="10" t="str">
        <x:f>IF(M77="","",MAX(0.01,MIN(0.99,0.5+(M77-0.5)*'Motor_Meciuri'!BG11*'Calibrare_Linii'!D7)))</x:f>
      </x:c>
      <x:c r="O77" s="10" t="str">
        <x:f>IF(M77="","",1-M77)</x:f>
      </x:c>
      <x:c r="P77" s="10" t="str">
        <x:f>IF(OR(NOT(AND(J77="PASS",'Calibrare_Linii'!U7="VALID")),AK77=0),""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*('Istoric_Nativ'!$Q$6:$Q$405&lt;=H77))/AK77)</x:f>
      </x:c>
      <x:c r="Q77" s="10" t="str">
        <x:f>IF(OR(NOT(AND(J77="PASS",'Calibrare_Linii'!U7="VALID")),AL77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M11)+((('Istoric_Nativ'!$E$6:$E$405='Input_Meci'!E11)+('Istoric_Nativ'!$F$6:$F$405='Input_Meci'!E11))&gt;0)*('Istoric_Nativ'!$D$6:$D$405&gt;='Motor_Meciuri'!BN11))&gt;0)*('Istoric_Nativ'!$Q$6:$Q$405&lt;=H77))/AL77)</x:f>
      </x:c>
      <x:c r="R77" s="10" t="str">
        <x:f>IF(OR(NOT(AND(J77="PASS",'Calibrare_Linii'!U7="VALID")),AM77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O11)+((('Istoric_Nativ'!$E$6:$E$405='Input_Meci'!E11)+('Istoric_Nativ'!$F$6:$F$405='Input_Meci'!E11))&gt;0)*('Istoric_Nativ'!$D$6:$D$405&gt;='Motor_Meciuri'!BP11))&gt;0)*('Istoric_Nativ'!$Q$6:$Q$405&lt;=H77))/AM77)</x:f>
      </x:c>
      <x:c r="S77" s="10" t="str">
        <x:f>IF(M77="","",MAX(O77,P77,Q77,R77))</x:f>
      </x:c>
      <x:c r="T77" s="11" t="str">
        <x:f>IF(M77="","",MIN(100,S77*100*'Config_v6'!$B$44+MIN(100,L77/'Config_v6'!$B$13*100)*'Config_v6'!$B$45+(100-'Motor_Meciuri'!BF11)*'Config_v6'!$B$46+'Motor_Meciuri'!BH11*100*'Config_v6'!$B$47))</x:f>
      </x:c>
      <x:c r="U77" s="2" t="str">
        <x:f>IF(T77="","",IF(T77&lt;=20,1,IF(T77&lt;=40,2,IF(T77&lt;=60,3,IF(T77&lt;=80,4,5)))))</x:f>
      </x:c>
      <x:c r="V77" s="2" t="str">
        <x:f>IF(M77="","",MAX(0,'Motor_Meciuri'!BF11-IF(W77="OOS PENDING",'Config_v6'!$B$35,0)-IF(L77&gt;'Config_v6'!$B$12,'Config_v6'!$B$37,IF(L77&gt;'Config_v6'!$B$11,'Config_v6'!$B$36,0))))</x:f>
      </x:c>
      <x:c r="W77" s="2" t="str">
        <x:f>IF(B77="","",IF(I77&lt;&gt;"READY","NOT RELEASED",IF(NOT(AND(J77="PASS",'Calibrare_Linii'!U7="VALID")),"INVALID",IF(NOT(AND('Calibrare_Linii'!S7="VALIDATED",AND('Calibrare_Linii'!H7=C77,ISNUMBER('Calibrare_Linii'!J7),'Calibrare_Linii'!J7&lt;='Input_Meci'!G11))),"OOS PENDING",IF(S77&lt;='Calibrare_Linii'!E7,"PASS",IF(S77&lt;='Calibrare_Linii'!F7,"PENALTY","WATCH"))))))</x:f>
      </x:c>
      <x:c r="X77" s="2" t="str">
        <x:f>IF(M77="","",IF(AND(AND(J77="PASS",'Calibrare_Linii'!U7="VALID"),'Motor_Meciuri'!K11=12,'Motor_Meciuri'!L11=12,'Motor_Meciuri'!M11="NO",'Motor_Meciuri'!BL11='Motor_Meciuri'!C11,AB77&gt;='Config_v6'!$B$50,AN77&gt;='Config_v6'!$B$51,T77&lt;='Config_v6'!$B$52,L77&lt;='Config_v6'!$B$53,ISNUMBER('Calibrare_Linii'!E7),S77&lt;='Calibrare_Linii'!E7,SUM(AK77:AM77)&gt;0),"CANDIDATE","NO"))</x:f>
      </x:c>
      <x:c r="Y77" s="2" t="str">
        <x:f>IF(B77="","",IF(I77&lt;&gt;"READY","NOT RELEASED",IF(AND(X77="CANDIDATE",V77&gt;='Config_v6'!$B$51,W77="PASS",'Calibrare_Linii'!T7="VALIDATED",AND('Calibrare_Linii'!H7=C77,ISNUMBER('Calibrare_Linii'!J7),'Calibrare_Linii'!J7&lt;='Input_Meci'!G11)),"PASS",IF(X77="CANDIDATE","OOS PENDING","FAIL"))))</x:f>
      </x:c>
      <x:c r="Z77" s="2" t="str">
        <x:f>IF(B77="","",IF(I77&lt;&gt;"READY","",IF(OR(NOT(AND(J77="PASS",'Calibrare_Linii'!U7="VALID")),L77&gt;'Config_v6'!$B$13,W77="WATCH"),5,IF(Y77="PASS",1,MIN(5,MAX('Config_v6'!$B$42,U77)+IF(W77="PENALTY",1,0))))))</x:f>
      </x:c>
      <x:c r="AA77" s="2" t="str">
        <x:f>IF(B77="","",IF(I77&lt;&gt;"READY","NOT RELEASED",IF(Z77=5,"NO BET",IF(OR(AB77&lt;'Config_v6'!$B$16,V77&lt;'Config_v6'!$B$18),"WATCH",IF(Z77=1,"DEFENSIV",IF(Z77=2,"PRUDENT",IF(Z77=3,"MODERAT","RIDICAT")))))))</x:f>
      </x:c>
      <x:c r="AB77" s="10" t="str">
        <x:f>IF(N77="","",MIN(N77,1-S77))</x:f>
      </x:c>
      <x:c r="AC77" s="2" t="str">
        <x:f>IF(AD77&lt;&gt;1,"",COUNTIFS($Z$76:$Z$89,"&lt;"&amp;Z77,$AD$76:$AD$89,1)+COUNTIFS($Z$76:$Z$89,Z77,$AB$76:$AB$89,"&gt;"&amp;AB77,$AD$76:$AD$89,1)+COUNTIFS($Z$76:$Z$89,Z77,$AB$76:$AB$89,AB77,$V$76:$V$89,"&gt;"&amp;V77,$AD$76:$AD$89,1)+COUNTIFS($Z$76:Z77,Z77,$AB$76:AB77,AB77,$V$76:V77,V77,$AD$76:AD77,1))</x:f>
      </x:c>
      <x:c r="AD77" s="2" t="n">
        <x:f>IF(OR(AA77="DEFENSIV",AA77="PRUDENT",AA77="MODERAT",AA77="RIDICAT"),1,0)</x:f>
        <x:v>0</x:v>
      </x:c>
      <x:c r="AE77" s="2" t="str">
        <x:f>IF(AD77&lt;&gt;1,"NO",IF(W77="PASS","YES",IF(W77="OOS PENDING","CONDITIONAL","NO")))</x:f>
        <x:v>NO</x:v>
      </x:c>
      <x:c r="AF77" s="2" t="n">
        <x:f>IF(AND(AD77=1,AC77=1,E77="LIVE"),1,0)</x:f>
        <x:v>0</x:v>
      </x:c>
      <x:c r="AG77" s="2" t="str">
        <x:f>IF(AF77&lt;&gt;1,"",'Dashboard'!P31)</x:f>
      </x:c>
      <x:c r="AH77" s="2" t="str">
        <x:f>IF(B77="","",IF(J77&lt;&gt;"PASS",'Motor_Meciuri'!J11,IF('Calibrare_Linii'!U7&lt;&gt;"VALID","Parametri linie invalizi",IF(L77&gt;'Config_v6'!$B$13,"Dispersie peste limita",IF(W77="WATCH","Failure peste limita",IF(AB77&lt;'Config_v6'!$B$16,"P finala sub prag",IF(V77&lt;'Config_v6'!$B$18,"Confidence sub prag",IF(E77="REPLAY","Exemplu retrospectiv; exclus din Top LIVE",IF(Y77="PASS","DEFENSIV validat",IF(W77="OOS PENDING","Eligibil; calibrare linie in monitorizare","Eligibil"))))))))))</x:f>
      </x:c>
      <x:c r="AI77" s="2" t="str">
        <x:f>IF(B77="","",'Calibrare_Linii'!V7)</x:f>
      </x:c>
      <x:c r="AJ77" s="2" t="str">
        <x:f>IF(B77="","",IF(AND('Calibrare_Linii'!T7="VALIDATED",AND('Calibrare_Linii'!H7=C77,ISNUMBER('Calibrare_Linii'!J7),'Calibrare_Linii'!J7&lt;='Input_Meci'!G11)),"DEFENSIVE VALIDATED",IF(AND('Calibrare_Linii'!S7="VALIDATED",AND('Calibrare_Linii'!H7=C77,ISNUMBER('Calibrare_Linii'!J7),'Calibrare_Linii'!J7&lt;='Input_Meci'!G11)),"TAIL VALIDATED","OOS PENDING")))</x:f>
      </x:c>
      <x:c r="AK77" s="2" t="n">
        <x:f>IF(J77&lt;&gt;"PASS",0,'Motor_Meciuri'!BR11)</x:f>
        <x:v>0</x:v>
      </x:c>
      <x:c r="AL77" s="2" t="n">
        <x:f>IF(J77&lt;&gt;"PASS",0,'Motor_Meciuri'!BS11)</x:f>
        <x:v>0</x:v>
      </x:c>
      <x:c r="AM77" s="2" t="n">
        <x:f>IF(J77&lt;&gt;"PASS",0,'Motor_Meciuri'!BT11)</x:f>
        <x:v>0</x:v>
      </x:c>
      <x:c r="AN77" s="2" t="str">
        <x:f>IF(M77="","",MAX(0,'Motor_Meciuri'!BF11-IF(L77&gt;'Config_v6'!$B$12,'Config_v6'!$B$37,IF(L77&gt;'Config_v6'!$B$11,'Config_v6'!$B$36,0))))</x:f>
      </x:c>
    </x:row>
    <x:row r="78" ht="21" customHeight="1">
      <x:c r="A78" s="2" t="n">
        <x:v>6</x:v>
      </x:c>
      <x:c r="B78" s="2" t="str">
        <x:f>IF('Motor_Meciuri'!A11="","",'Motor_Meciuri'!A11)</x:f>
      </x:c>
      <x:c r="C78" s="2" t="str">
        <x:f>IF(B78="","",'Motor_Meciuri'!B11)</x:f>
      </x:c>
      <x:c r="D78" s="2" t="str">
        <x:f>IF(B78="","",'Motor_Meciuri'!D11)</x:f>
      </x:c>
      <x:c r="E78" s="2" t="str">
        <x:f>IF(B78="","",'Motor_Meciuri'!E11)</x:f>
      </x:c>
      <x:c r="F78" s="2" t="str">
        <x:v>O5,5</x:v>
      </x:c>
      <x:c r="G78" s="2" t="str">
        <x:v>OVER</x:v>
      </x:c>
      <x:c r="H78" s="2" t="n">
        <x:v>5</x:v>
      </x:c>
      <x:c r="I78" s="2" t="str">
        <x:f>IF(B78="","",'Motor_Meciuri'!H11)</x:f>
      </x:c>
      <x:c r="J78" s="2" t="str">
        <x:f>IF(B78="","",'Motor_Meciuri'!I11)</x:f>
      </x:c>
      <x:c r="K78" s="11" t="str">
        <x:f>IF(J78&lt;&gt;"PASS","",'Motor_Meciuri'!BD11)</x:f>
      </x:c>
      <x:c r="L78" s="11" t="str">
        <x:f>IF(J78&lt;&gt;"PASS","",'Motor_Meciuri'!AU11)</x:f>
      </x:c>
      <x:c r="M78" s="10" t="str">
        <x:f>IF(NOT(AND(J78="PASS",'Calibrare_Linii'!U8="VALID")),"",1-'Distributie'!AC11)</x:f>
      </x:c>
      <x:c r="N78" s="10" t="str">
        <x:f>IF(M78="","",MAX(0.01,MIN(0.99,0.5+(M78-0.5)*'Motor_Meciuri'!BG11*'Calibrare_Linii'!D8)))</x:f>
      </x:c>
      <x:c r="O78" s="10" t="str">
        <x:f>IF(M78="","",1-M78)</x:f>
      </x:c>
      <x:c r="P78" s="10" t="str">
        <x:f>IF(OR(NOT(AND(J78="PASS",'Calibrare_Linii'!U8="VALID")),AK78=0),""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*('Istoric_Nativ'!$Q$6:$Q$405&lt;=H78))/AK78)</x:f>
      </x:c>
      <x:c r="Q78" s="10" t="str">
        <x:f>IF(OR(NOT(AND(J78="PASS",'Calibrare_Linii'!U8="VALID")),AL78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M11)+((('Istoric_Nativ'!$E$6:$E$405='Input_Meci'!E11)+('Istoric_Nativ'!$F$6:$F$405='Input_Meci'!E11))&gt;0)*('Istoric_Nativ'!$D$6:$D$405&gt;='Motor_Meciuri'!BN11))&gt;0)*('Istoric_Nativ'!$Q$6:$Q$405&lt;=H78))/AL78)</x:f>
      </x:c>
      <x:c r="R78" s="10" t="str">
        <x:f>IF(OR(NOT(AND(J78="PASS",'Calibrare_Linii'!U8="VALID")),AM78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O11)+((('Istoric_Nativ'!$E$6:$E$405='Input_Meci'!E11)+('Istoric_Nativ'!$F$6:$F$405='Input_Meci'!E11))&gt;0)*('Istoric_Nativ'!$D$6:$D$405&gt;='Motor_Meciuri'!BP11))&gt;0)*('Istoric_Nativ'!$Q$6:$Q$405&lt;=H78))/AM78)</x:f>
      </x:c>
      <x:c r="S78" s="10" t="str">
        <x:f>IF(M78="","",MAX(O78,P78,Q78,R78))</x:f>
      </x:c>
      <x:c r="T78" s="11" t="str">
        <x:f>IF(M78="","",MIN(100,S78*100*'Config_v6'!$B$44+MIN(100,L78/'Config_v6'!$B$13*100)*'Config_v6'!$B$45+(100-'Motor_Meciuri'!BF11)*'Config_v6'!$B$46+'Motor_Meciuri'!BH11*100*'Config_v6'!$B$47))</x:f>
      </x:c>
      <x:c r="U78" s="2" t="str">
        <x:f>IF(T78="","",IF(T78&lt;=20,1,IF(T78&lt;=40,2,IF(T78&lt;=60,3,IF(T78&lt;=80,4,5)))))</x:f>
      </x:c>
      <x:c r="V78" s="2" t="str">
        <x:f>IF(M78="","",MAX(0,'Motor_Meciuri'!BF11-IF(W78="OOS PENDING",'Config_v6'!$B$35,0)-IF(L78&gt;'Config_v6'!$B$12,'Config_v6'!$B$37,IF(L78&gt;'Config_v6'!$B$11,'Config_v6'!$B$36,0))))</x:f>
      </x:c>
      <x:c r="W78" s="2" t="str">
        <x:f>IF(B78="","",IF(I78&lt;&gt;"READY","NOT RELEASED",IF(NOT(AND(J78="PASS",'Calibrare_Linii'!U8="VALID")),"INVALID",IF(NOT(AND('Calibrare_Linii'!S8="VALIDATED",AND('Calibrare_Linii'!H8=C78,ISNUMBER('Calibrare_Linii'!J8),'Calibrare_Linii'!J8&lt;='Input_Meci'!G11))),"OOS PENDING",IF(S78&lt;='Calibrare_Linii'!E8,"PASS",IF(S78&lt;='Calibrare_Linii'!F8,"PENALTY","WATCH"))))))</x:f>
      </x:c>
      <x:c r="X78" s="2" t="str">
        <x:f>IF(M78="","",IF(AND(AND(J78="PASS",'Calibrare_Linii'!U8="VALID"),'Motor_Meciuri'!K11=12,'Motor_Meciuri'!L11=12,'Motor_Meciuri'!M11="NO",'Motor_Meciuri'!BL11='Motor_Meciuri'!C11,AB78&gt;='Config_v6'!$B$50,AN78&gt;='Config_v6'!$B$51,T78&lt;='Config_v6'!$B$52,L78&lt;='Config_v6'!$B$53,ISNUMBER('Calibrare_Linii'!E8),S78&lt;='Calibrare_Linii'!E8,SUM(AK78:AM78)&gt;0),"CANDIDATE","NO"))</x:f>
      </x:c>
      <x:c r="Y78" s="2" t="str">
        <x:f>IF(B78="","",IF(I78&lt;&gt;"READY","NOT RELEASED",IF(AND(X78="CANDIDATE",V78&gt;='Config_v6'!$B$51,W78="PASS",'Calibrare_Linii'!T8="VALIDATED",AND('Calibrare_Linii'!H8=C78,ISNUMBER('Calibrare_Linii'!J8),'Calibrare_Linii'!J8&lt;='Input_Meci'!G11)),"PASS",IF(X78="CANDIDATE","OOS PENDING","FAIL"))))</x:f>
      </x:c>
      <x:c r="Z78" s="2" t="str">
        <x:f>IF(B78="","",IF(I78&lt;&gt;"READY","",IF(OR(NOT(AND(J78="PASS",'Calibrare_Linii'!U8="VALID")),L78&gt;'Config_v6'!$B$13,W78="WATCH"),5,IF(Y78="PASS",1,MIN(5,MAX('Config_v6'!$B$42,U78)+IF(W78="PENALTY",1,0))))))</x:f>
      </x:c>
      <x:c r="AA78" s="2" t="str">
        <x:f>IF(B78="","",IF(I78&lt;&gt;"READY","NOT RELEASED",IF(Z78=5,"NO BET",IF(OR(AB78&lt;'Config_v6'!$B$16,V78&lt;'Config_v6'!$B$18),"WATCH",IF(Z78=1,"DEFENSIV",IF(Z78=2,"PRUDENT",IF(Z78=3,"MODERAT","RIDICAT")))))))</x:f>
      </x:c>
      <x:c r="AB78" s="10" t="str">
        <x:f>IF(N78="","",MIN(N78,1-S78))</x:f>
      </x:c>
      <x:c r="AC78" s="2" t="str">
        <x:f>IF(AD78&lt;&gt;1,"",COUNTIFS($Z$76:$Z$89,"&lt;"&amp;Z78,$AD$76:$AD$89,1)+COUNTIFS($Z$76:$Z$89,Z78,$AB$76:$AB$89,"&gt;"&amp;AB78,$AD$76:$AD$89,1)+COUNTIFS($Z$76:$Z$89,Z78,$AB$76:$AB$89,AB78,$V$76:$V$89,"&gt;"&amp;V78,$AD$76:$AD$89,1)+COUNTIFS($Z$76:Z78,Z78,$AB$76:AB78,AB78,$V$76:V78,V78,$AD$76:AD78,1))</x:f>
      </x:c>
      <x:c r="AD78" s="2" t="n">
        <x:f>IF(OR(AA78="DEFENSIV",AA78="PRUDENT",AA78="MODERAT",AA78="RIDICAT"),1,0)</x:f>
        <x:v>0</x:v>
      </x:c>
      <x:c r="AE78" s="2" t="str">
        <x:f>IF(AD78&lt;&gt;1,"NO",IF(W78="PASS","YES",IF(W78="OOS PENDING","CONDITIONAL","NO")))</x:f>
        <x:v>NO</x:v>
      </x:c>
      <x:c r="AF78" s="2" t="n">
        <x:f>IF(AND(AD78=1,AC78=1,E78="LIVE"),1,0)</x:f>
        <x:v>0</x:v>
      </x:c>
      <x:c r="AG78" s="2" t="str">
        <x:f>IF(AF78&lt;&gt;1,"",'Dashboard'!P31)</x:f>
      </x:c>
      <x:c r="AH78" s="2" t="str">
        <x:f>IF(B78="","",IF(J78&lt;&gt;"PASS",'Motor_Meciuri'!J11,IF('Calibrare_Linii'!U8&lt;&gt;"VALID","Parametri linie invalizi",IF(L78&gt;'Config_v6'!$B$13,"Dispersie peste limita",IF(W78="WATCH","Failure peste limita",IF(AB78&lt;'Config_v6'!$B$16,"P finala sub prag",IF(V78&lt;'Config_v6'!$B$18,"Confidence sub prag",IF(E78="REPLAY","Exemplu retrospectiv; exclus din Top LIVE",IF(Y78="PASS","DEFENSIV validat",IF(W78="OOS PENDING","Eligibil; calibrare linie in monitorizare","Eligibil"))))))))))</x:f>
      </x:c>
      <x:c r="AI78" s="2" t="str">
        <x:f>IF(B78="","",'Calibrare_Linii'!V8)</x:f>
      </x:c>
      <x:c r="AJ78" s="2" t="str">
        <x:f>IF(B78="","",IF(AND('Calibrare_Linii'!T8="VALIDATED",AND('Calibrare_Linii'!H8=C78,ISNUMBER('Calibrare_Linii'!J8),'Calibrare_Linii'!J8&lt;='Input_Meci'!G11)),"DEFENSIVE VALIDATED",IF(AND('Calibrare_Linii'!S8="VALIDATED",AND('Calibrare_Linii'!H8=C78,ISNUMBER('Calibrare_Linii'!J8),'Calibrare_Linii'!J8&lt;='Input_Meci'!G11)),"TAIL VALIDATED","OOS PENDING")))</x:f>
      </x:c>
      <x:c r="AK78" s="2" t="n">
        <x:f>IF(J78&lt;&gt;"PASS",0,'Motor_Meciuri'!BR11)</x:f>
        <x:v>0</x:v>
      </x:c>
      <x:c r="AL78" s="2" t="n">
        <x:f>IF(J78&lt;&gt;"PASS",0,'Motor_Meciuri'!BS11)</x:f>
        <x:v>0</x:v>
      </x:c>
      <x:c r="AM78" s="2" t="n">
        <x:f>IF(J78&lt;&gt;"PASS",0,'Motor_Meciuri'!BT11)</x:f>
        <x:v>0</x:v>
      </x:c>
      <x:c r="AN78" s="2" t="str">
        <x:f>IF(M78="","",MAX(0,'Motor_Meciuri'!BF11-IF(L78&gt;'Config_v6'!$B$12,'Config_v6'!$B$37,IF(L78&gt;'Config_v6'!$B$11,'Config_v6'!$B$36,0))))</x:f>
      </x:c>
    </x:row>
    <x:row r="79" ht="21" customHeight="1">
      <x:c r="A79" s="2" t="n">
        <x:v>6</x:v>
      </x:c>
      <x:c r="B79" s="2" t="str">
        <x:f>IF('Motor_Meciuri'!A11="","",'Motor_Meciuri'!A11)</x:f>
      </x:c>
      <x:c r="C79" s="2" t="str">
        <x:f>IF(B79="","",'Motor_Meciuri'!B11)</x:f>
      </x:c>
      <x:c r="D79" s="2" t="str">
        <x:f>IF(B79="","",'Motor_Meciuri'!D11)</x:f>
      </x:c>
      <x:c r="E79" s="2" t="str">
        <x:f>IF(B79="","",'Motor_Meciuri'!E11)</x:f>
      </x:c>
      <x:c r="F79" s="2" t="str">
        <x:v>O6,5</x:v>
      </x:c>
      <x:c r="G79" s="2" t="str">
        <x:v>OVER</x:v>
      </x:c>
      <x:c r="H79" s="2" t="n">
        <x:v>6</x:v>
      </x:c>
      <x:c r="I79" s="2" t="str">
        <x:f>IF(B79="","",'Motor_Meciuri'!H11)</x:f>
      </x:c>
      <x:c r="J79" s="2" t="str">
        <x:f>IF(B79="","",'Motor_Meciuri'!I11)</x:f>
      </x:c>
      <x:c r="K79" s="11" t="str">
        <x:f>IF(J79&lt;&gt;"PASS","",'Motor_Meciuri'!BD11)</x:f>
      </x:c>
      <x:c r="L79" s="11" t="str">
        <x:f>IF(J79&lt;&gt;"PASS","",'Motor_Meciuri'!AU11)</x:f>
      </x:c>
      <x:c r="M79" s="10" t="str">
        <x:f>IF(NOT(AND(J79="PASS",'Calibrare_Linii'!U9="VALID")),"",1-'Distributie'!AD11)</x:f>
      </x:c>
      <x:c r="N79" s="10" t="str">
        <x:f>IF(M79="","",MAX(0.01,MIN(0.99,0.5+(M79-0.5)*'Motor_Meciuri'!BG11*'Calibrare_Linii'!D9)))</x:f>
      </x:c>
      <x:c r="O79" s="10" t="str">
        <x:f>IF(M79="","",1-M79)</x:f>
      </x:c>
      <x:c r="P79" s="10" t="str">
        <x:f>IF(OR(NOT(AND(J79="PASS",'Calibrare_Linii'!U9="VALID")),AK79=0),""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*('Istoric_Nativ'!$Q$6:$Q$405&lt;=H79))/AK79)</x:f>
      </x:c>
      <x:c r="Q79" s="10" t="str">
        <x:f>IF(OR(NOT(AND(J79="PASS",'Calibrare_Linii'!U9="VALID")),AL79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M11)+((('Istoric_Nativ'!$E$6:$E$405='Input_Meci'!E11)+('Istoric_Nativ'!$F$6:$F$405='Input_Meci'!E11))&gt;0)*('Istoric_Nativ'!$D$6:$D$405&gt;='Motor_Meciuri'!BN11))&gt;0)*('Istoric_Nativ'!$Q$6:$Q$405&lt;=H79))/AL79)</x:f>
      </x:c>
      <x:c r="R79" s="10" t="str">
        <x:f>IF(OR(NOT(AND(J79="PASS",'Calibrare_Linii'!U9="VALID")),AM79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O11)+((('Istoric_Nativ'!$E$6:$E$405='Input_Meci'!E11)+('Istoric_Nativ'!$F$6:$F$405='Input_Meci'!E11))&gt;0)*('Istoric_Nativ'!$D$6:$D$405&gt;='Motor_Meciuri'!BP11))&gt;0)*('Istoric_Nativ'!$Q$6:$Q$405&lt;=H79))/AM79)</x:f>
      </x:c>
      <x:c r="S79" s="10" t="str">
        <x:f>IF(M79="","",MAX(O79,P79,Q79,R79))</x:f>
      </x:c>
      <x:c r="T79" s="11" t="str">
        <x:f>IF(M79="","",MIN(100,S79*100*'Config_v6'!$B$44+MIN(100,L79/'Config_v6'!$B$13*100)*'Config_v6'!$B$45+(100-'Motor_Meciuri'!BF11)*'Config_v6'!$B$46+'Motor_Meciuri'!BH11*100*'Config_v6'!$B$47))</x:f>
      </x:c>
      <x:c r="U79" s="2" t="str">
        <x:f>IF(T79="","",IF(T79&lt;=20,1,IF(T79&lt;=40,2,IF(T79&lt;=60,3,IF(T79&lt;=80,4,5)))))</x:f>
      </x:c>
      <x:c r="V79" s="2" t="str">
        <x:f>IF(M79="","",MAX(0,'Motor_Meciuri'!BF11-IF(W79="OOS PENDING",'Config_v6'!$B$35,0)-IF(L79&gt;'Config_v6'!$B$12,'Config_v6'!$B$37,IF(L79&gt;'Config_v6'!$B$11,'Config_v6'!$B$36,0))))</x:f>
      </x:c>
      <x:c r="W79" s="2" t="str">
        <x:f>IF(B79="","",IF(I79&lt;&gt;"READY","NOT RELEASED",IF(NOT(AND(J79="PASS",'Calibrare_Linii'!U9="VALID")),"INVALID",IF(NOT(AND('Calibrare_Linii'!S9="VALIDATED",AND('Calibrare_Linii'!H9=C79,ISNUMBER('Calibrare_Linii'!J9),'Calibrare_Linii'!J9&lt;='Input_Meci'!G11))),"OOS PENDING",IF(S79&lt;='Calibrare_Linii'!E9,"PASS",IF(S79&lt;='Calibrare_Linii'!F9,"PENALTY","WATCH"))))))</x:f>
      </x:c>
      <x:c r="X79" s="2" t="str">
        <x:f>IF(M79="","",IF(AND(AND(J79="PASS",'Calibrare_Linii'!U9="VALID"),'Motor_Meciuri'!K11=12,'Motor_Meciuri'!L11=12,'Motor_Meciuri'!M11="NO",'Motor_Meciuri'!BL11='Motor_Meciuri'!C11,AB79&gt;='Config_v6'!$B$50,AN79&gt;='Config_v6'!$B$51,T79&lt;='Config_v6'!$B$52,L79&lt;='Config_v6'!$B$53,ISNUMBER('Calibrare_Linii'!E9),S79&lt;='Calibrare_Linii'!E9,SUM(AK79:AM79)&gt;0),"CANDIDATE","NO"))</x:f>
      </x:c>
      <x:c r="Y79" s="2" t="str">
        <x:f>IF(B79="","",IF(I79&lt;&gt;"READY","NOT RELEASED",IF(AND(X79="CANDIDATE",V79&gt;='Config_v6'!$B$51,W79="PASS",'Calibrare_Linii'!T9="VALIDATED",AND('Calibrare_Linii'!H9=C79,ISNUMBER('Calibrare_Linii'!J9),'Calibrare_Linii'!J9&lt;='Input_Meci'!G11)),"PASS",IF(X79="CANDIDATE","OOS PENDING","FAIL"))))</x:f>
      </x:c>
      <x:c r="Z79" s="2" t="str">
        <x:f>IF(B79="","",IF(I79&lt;&gt;"READY","",IF(OR(NOT(AND(J79="PASS",'Calibrare_Linii'!U9="VALID")),L79&gt;'Config_v6'!$B$13,W79="WATCH"),5,IF(Y79="PASS",1,MIN(5,MAX('Config_v6'!$B$42,U79)+IF(W79="PENALTY",1,0))))))</x:f>
      </x:c>
      <x:c r="AA79" s="2" t="str">
        <x:f>IF(B79="","",IF(I79&lt;&gt;"READY","NOT RELEASED",IF(Z79=5,"NO BET",IF(OR(AB79&lt;'Config_v6'!$B$16,V79&lt;'Config_v6'!$B$18),"WATCH",IF(Z79=1,"DEFENSIV",IF(Z79=2,"PRUDENT",IF(Z79=3,"MODERAT","RIDICAT")))))))</x:f>
      </x:c>
      <x:c r="AB79" s="10" t="str">
        <x:f>IF(N79="","",MIN(N79,1-S79))</x:f>
      </x:c>
      <x:c r="AC79" s="2" t="str">
        <x:f>IF(AD79&lt;&gt;1,"",COUNTIFS($Z$76:$Z$89,"&lt;"&amp;Z79,$AD$76:$AD$89,1)+COUNTIFS($Z$76:$Z$89,Z79,$AB$76:$AB$89,"&gt;"&amp;AB79,$AD$76:$AD$89,1)+COUNTIFS($Z$76:$Z$89,Z79,$AB$76:$AB$89,AB79,$V$76:$V$89,"&gt;"&amp;V79,$AD$76:$AD$89,1)+COUNTIFS($Z$76:Z79,Z79,$AB$76:AB79,AB79,$V$76:V79,V79,$AD$76:AD79,1))</x:f>
      </x:c>
      <x:c r="AD79" s="2" t="n">
        <x:f>IF(OR(AA79="DEFENSIV",AA79="PRUDENT",AA79="MODERAT",AA79="RIDICAT"),1,0)</x:f>
        <x:v>0</x:v>
      </x:c>
      <x:c r="AE79" s="2" t="str">
        <x:f>IF(AD79&lt;&gt;1,"NO",IF(W79="PASS","YES",IF(W79="OOS PENDING","CONDITIONAL","NO")))</x:f>
        <x:v>NO</x:v>
      </x:c>
      <x:c r="AF79" s="2" t="n">
        <x:f>IF(AND(AD79=1,AC79=1,E79="LIVE"),1,0)</x:f>
        <x:v>0</x:v>
      </x:c>
      <x:c r="AG79" s="2" t="str">
        <x:f>IF(AF79&lt;&gt;1,"",'Dashboard'!P31)</x:f>
      </x:c>
      <x:c r="AH79" s="2" t="str">
        <x:f>IF(B79="","",IF(J79&lt;&gt;"PASS",'Motor_Meciuri'!J11,IF('Calibrare_Linii'!U9&lt;&gt;"VALID","Parametri linie invalizi",IF(L79&gt;'Config_v6'!$B$13,"Dispersie peste limita",IF(W79="WATCH","Failure peste limita",IF(AB79&lt;'Config_v6'!$B$16,"P finala sub prag",IF(V79&lt;'Config_v6'!$B$18,"Confidence sub prag",IF(E79="REPLAY","Exemplu retrospectiv; exclus din Top LIVE",IF(Y79="PASS","DEFENSIV validat",IF(W79="OOS PENDING","Eligibil; calibrare linie in monitorizare","Eligibil"))))))))))</x:f>
      </x:c>
      <x:c r="AI79" s="2" t="str">
        <x:f>IF(B79="","",'Calibrare_Linii'!V9)</x:f>
      </x:c>
      <x:c r="AJ79" s="2" t="str">
        <x:f>IF(B79="","",IF(AND('Calibrare_Linii'!T9="VALIDATED",AND('Calibrare_Linii'!H9=C79,ISNUMBER('Calibrare_Linii'!J9),'Calibrare_Linii'!J9&lt;='Input_Meci'!G11)),"DEFENSIVE VALIDATED",IF(AND('Calibrare_Linii'!S9="VALIDATED",AND('Calibrare_Linii'!H9=C79,ISNUMBER('Calibrare_Linii'!J9),'Calibrare_Linii'!J9&lt;='Input_Meci'!G11)),"TAIL VALIDATED","OOS PENDING")))</x:f>
      </x:c>
      <x:c r="AK79" s="2" t="n">
        <x:f>IF(J79&lt;&gt;"PASS",0,'Motor_Meciuri'!BR11)</x:f>
        <x:v>0</x:v>
      </x:c>
      <x:c r="AL79" s="2" t="n">
        <x:f>IF(J79&lt;&gt;"PASS",0,'Motor_Meciuri'!BS11)</x:f>
        <x:v>0</x:v>
      </x:c>
      <x:c r="AM79" s="2" t="n">
        <x:f>IF(J79&lt;&gt;"PASS",0,'Motor_Meciuri'!BT11)</x:f>
        <x:v>0</x:v>
      </x:c>
      <x:c r="AN79" s="2" t="str">
        <x:f>IF(M79="","",MAX(0,'Motor_Meciuri'!BF11-IF(L79&gt;'Config_v6'!$B$12,'Config_v6'!$B$37,IF(L79&gt;'Config_v6'!$B$11,'Config_v6'!$B$36,0))))</x:f>
      </x:c>
    </x:row>
    <x:row r="80" ht="21" customHeight="1">
      <x:c r="A80" s="2" t="n">
        <x:v>6</x:v>
      </x:c>
      <x:c r="B80" s="2" t="str">
        <x:f>IF('Motor_Meciuri'!A11="","",'Motor_Meciuri'!A11)</x:f>
      </x:c>
      <x:c r="C80" s="2" t="str">
        <x:f>IF(B80="","",'Motor_Meciuri'!B11)</x:f>
      </x:c>
      <x:c r="D80" s="2" t="str">
        <x:f>IF(B80="","",'Motor_Meciuri'!D11)</x:f>
      </x:c>
      <x:c r="E80" s="2" t="str">
        <x:f>IF(B80="","",'Motor_Meciuri'!E11)</x:f>
      </x:c>
      <x:c r="F80" s="2" t="str">
        <x:v>O7,5</x:v>
      </x:c>
      <x:c r="G80" s="2" t="str">
        <x:v>OVER</x:v>
      </x:c>
      <x:c r="H80" s="2" t="n">
        <x:v>7</x:v>
      </x:c>
      <x:c r="I80" s="2" t="str">
        <x:f>IF(B80="","",'Motor_Meciuri'!H11)</x:f>
      </x:c>
      <x:c r="J80" s="2" t="str">
        <x:f>IF(B80="","",'Motor_Meciuri'!I11)</x:f>
      </x:c>
      <x:c r="K80" s="11" t="str">
        <x:f>IF(J80&lt;&gt;"PASS","",'Motor_Meciuri'!BD11)</x:f>
      </x:c>
      <x:c r="L80" s="11" t="str">
        <x:f>IF(J80&lt;&gt;"PASS","",'Motor_Meciuri'!AU11)</x:f>
      </x:c>
      <x:c r="M80" s="10" t="str">
        <x:f>IF(NOT(AND(J80="PASS",'Calibrare_Linii'!U10="VALID")),"",1-'Distributie'!AE11)</x:f>
      </x:c>
      <x:c r="N80" s="10" t="str">
        <x:f>IF(M80="","",MAX(0.01,MIN(0.99,0.5+(M80-0.5)*'Motor_Meciuri'!BG11*'Calibrare_Linii'!D10)))</x:f>
      </x:c>
      <x:c r="O80" s="10" t="str">
        <x:f>IF(M80="","",1-M80)</x:f>
      </x:c>
      <x:c r="P80" s="10" t="str">
        <x:f>IF(OR(NOT(AND(J80="PASS",'Calibrare_Linii'!U10="VALID")),AK80=0),""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*('Istoric_Nativ'!$Q$6:$Q$405&lt;=H80))/AK80)</x:f>
      </x:c>
      <x:c r="Q80" s="10" t="str">
        <x:f>IF(OR(NOT(AND(J80="PASS",'Calibrare_Linii'!U10="VALID")),AL80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M11)+((('Istoric_Nativ'!$E$6:$E$405='Input_Meci'!E11)+('Istoric_Nativ'!$F$6:$F$405='Input_Meci'!E11))&gt;0)*('Istoric_Nativ'!$D$6:$D$405&gt;='Motor_Meciuri'!BN11))&gt;0)*('Istoric_Nativ'!$Q$6:$Q$405&lt;=H80))/AL80)</x:f>
      </x:c>
      <x:c r="R80" s="10" t="str">
        <x:f>IF(OR(NOT(AND(J80="PASS",'Calibrare_Linii'!U10="VALID")),AM80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O11)+((('Istoric_Nativ'!$E$6:$E$405='Input_Meci'!E11)+('Istoric_Nativ'!$F$6:$F$405='Input_Meci'!E11))&gt;0)*('Istoric_Nativ'!$D$6:$D$405&gt;='Motor_Meciuri'!BP11))&gt;0)*('Istoric_Nativ'!$Q$6:$Q$405&lt;=H80))/AM80)</x:f>
      </x:c>
      <x:c r="S80" s="10" t="str">
        <x:f>IF(M80="","",MAX(O80,P80,Q80,R80))</x:f>
      </x:c>
      <x:c r="T80" s="11" t="str">
        <x:f>IF(M80="","",MIN(100,S80*100*'Config_v6'!$B$44+MIN(100,L80/'Config_v6'!$B$13*100)*'Config_v6'!$B$45+(100-'Motor_Meciuri'!BF11)*'Config_v6'!$B$46+'Motor_Meciuri'!BH11*100*'Config_v6'!$B$47))</x:f>
      </x:c>
      <x:c r="U80" s="2" t="str">
        <x:f>IF(T80="","",IF(T80&lt;=20,1,IF(T80&lt;=40,2,IF(T80&lt;=60,3,IF(T80&lt;=80,4,5)))))</x:f>
      </x:c>
      <x:c r="V80" s="2" t="str">
        <x:f>IF(M80="","",MAX(0,'Motor_Meciuri'!BF11-IF(W80="OOS PENDING",'Config_v6'!$B$35,0)-IF(L80&gt;'Config_v6'!$B$12,'Config_v6'!$B$37,IF(L80&gt;'Config_v6'!$B$11,'Config_v6'!$B$36,0))))</x:f>
      </x:c>
      <x:c r="W80" s="2" t="str">
        <x:f>IF(B80="","",IF(I80&lt;&gt;"READY","NOT RELEASED",IF(NOT(AND(J80="PASS",'Calibrare_Linii'!U10="VALID")),"INVALID",IF(NOT(AND('Calibrare_Linii'!S10="VALIDATED",AND('Calibrare_Linii'!H10=C80,ISNUMBER('Calibrare_Linii'!J10),'Calibrare_Linii'!J10&lt;='Input_Meci'!G11))),"OOS PENDING",IF(S80&lt;='Calibrare_Linii'!E10,"PASS",IF(S80&lt;='Calibrare_Linii'!F10,"PENALTY","WATCH"))))))</x:f>
      </x:c>
      <x:c r="X80" s="2" t="str">
        <x:f>IF(M80="","",IF(AND(AND(J80="PASS",'Calibrare_Linii'!U10="VALID"),'Motor_Meciuri'!K11=12,'Motor_Meciuri'!L11=12,'Motor_Meciuri'!M11="NO",'Motor_Meciuri'!BL11='Motor_Meciuri'!C11,AB80&gt;='Config_v6'!$B$50,AN80&gt;='Config_v6'!$B$51,T80&lt;='Config_v6'!$B$52,L80&lt;='Config_v6'!$B$53,ISNUMBER('Calibrare_Linii'!E10),S80&lt;='Calibrare_Linii'!E10,SUM(AK80:AM80)&gt;0),"CANDIDATE","NO"))</x:f>
      </x:c>
      <x:c r="Y80" s="2" t="str">
        <x:f>IF(B80="","",IF(I80&lt;&gt;"READY","NOT RELEASED",IF(AND(X80="CANDIDATE",V80&gt;='Config_v6'!$B$51,W80="PASS",'Calibrare_Linii'!T10="VALIDATED",AND('Calibrare_Linii'!H10=C80,ISNUMBER('Calibrare_Linii'!J10),'Calibrare_Linii'!J10&lt;='Input_Meci'!G11)),"PASS",IF(X80="CANDIDATE","OOS PENDING","FAIL"))))</x:f>
      </x:c>
      <x:c r="Z80" s="2" t="str">
        <x:f>IF(B80="","",IF(I80&lt;&gt;"READY","",IF(OR(NOT(AND(J80="PASS",'Calibrare_Linii'!U10="VALID")),L80&gt;'Config_v6'!$B$13,W80="WATCH"),5,IF(Y80="PASS",1,MIN(5,MAX('Config_v6'!$B$42,U80)+IF(W80="PENALTY",1,0))))))</x:f>
      </x:c>
      <x:c r="AA80" s="2" t="str">
        <x:f>IF(B80="","",IF(I80&lt;&gt;"READY","NOT RELEASED",IF(Z80=5,"NO BET",IF(OR(AB80&lt;'Config_v6'!$B$16,V80&lt;'Config_v6'!$B$18),"WATCH",IF(Z80=1,"DEFENSIV",IF(Z80=2,"PRUDENT",IF(Z80=3,"MODERAT","RIDICAT")))))))</x:f>
      </x:c>
      <x:c r="AB80" s="10" t="str">
        <x:f>IF(N80="","",MIN(N80,1-S80))</x:f>
      </x:c>
      <x:c r="AC80" s="2" t="str">
        <x:f>IF(AD80&lt;&gt;1,"",COUNTIFS($Z$76:$Z$89,"&lt;"&amp;Z80,$AD$76:$AD$89,1)+COUNTIFS($Z$76:$Z$89,Z80,$AB$76:$AB$89,"&gt;"&amp;AB80,$AD$76:$AD$89,1)+COUNTIFS($Z$76:$Z$89,Z80,$AB$76:$AB$89,AB80,$V$76:$V$89,"&gt;"&amp;V80,$AD$76:$AD$89,1)+COUNTIFS($Z$76:Z80,Z80,$AB$76:AB80,AB80,$V$76:V80,V80,$AD$76:AD80,1))</x:f>
      </x:c>
      <x:c r="AD80" s="2" t="n">
        <x:f>IF(OR(AA80="DEFENSIV",AA80="PRUDENT",AA80="MODERAT",AA80="RIDICAT"),1,0)</x:f>
        <x:v>0</x:v>
      </x:c>
      <x:c r="AE80" s="2" t="str">
        <x:f>IF(AD80&lt;&gt;1,"NO",IF(W80="PASS","YES",IF(W80="OOS PENDING","CONDITIONAL","NO")))</x:f>
        <x:v>NO</x:v>
      </x:c>
      <x:c r="AF80" s="2" t="n">
        <x:f>IF(AND(AD80=1,AC80=1,E80="LIVE"),1,0)</x:f>
        <x:v>0</x:v>
      </x:c>
      <x:c r="AG80" s="2" t="str">
        <x:f>IF(AF80&lt;&gt;1,"",'Dashboard'!P31)</x:f>
      </x:c>
      <x:c r="AH80" s="2" t="str">
        <x:f>IF(B80="","",IF(J80&lt;&gt;"PASS",'Motor_Meciuri'!J11,IF('Calibrare_Linii'!U10&lt;&gt;"VALID","Parametri linie invalizi",IF(L80&gt;'Config_v6'!$B$13,"Dispersie peste limita",IF(W80="WATCH","Failure peste limita",IF(AB80&lt;'Config_v6'!$B$16,"P finala sub prag",IF(V80&lt;'Config_v6'!$B$18,"Confidence sub prag",IF(E80="REPLAY","Exemplu retrospectiv; exclus din Top LIVE",IF(Y80="PASS","DEFENSIV validat",IF(W80="OOS PENDING","Eligibil; calibrare linie in monitorizare","Eligibil"))))))))))</x:f>
      </x:c>
      <x:c r="AI80" s="2" t="str">
        <x:f>IF(B80="","",'Calibrare_Linii'!V10)</x:f>
      </x:c>
      <x:c r="AJ80" s="2" t="str">
        <x:f>IF(B80="","",IF(AND('Calibrare_Linii'!T10="VALIDATED",AND('Calibrare_Linii'!H10=C80,ISNUMBER('Calibrare_Linii'!J10),'Calibrare_Linii'!J10&lt;='Input_Meci'!G11)),"DEFENSIVE VALIDATED",IF(AND('Calibrare_Linii'!S10="VALIDATED",AND('Calibrare_Linii'!H10=C80,ISNUMBER('Calibrare_Linii'!J10),'Calibrare_Linii'!J10&lt;='Input_Meci'!G11)),"TAIL VALIDATED","OOS PENDING")))</x:f>
      </x:c>
      <x:c r="AK80" s="2" t="n">
        <x:f>IF(J80&lt;&gt;"PASS",0,'Motor_Meciuri'!BR11)</x:f>
        <x:v>0</x:v>
      </x:c>
      <x:c r="AL80" s="2" t="n">
        <x:f>IF(J80&lt;&gt;"PASS",0,'Motor_Meciuri'!BS11)</x:f>
        <x:v>0</x:v>
      </x:c>
      <x:c r="AM80" s="2" t="n">
        <x:f>IF(J80&lt;&gt;"PASS",0,'Motor_Meciuri'!BT11)</x:f>
        <x:v>0</x:v>
      </x:c>
      <x:c r="AN80" s="2" t="str">
        <x:f>IF(M80="","",MAX(0,'Motor_Meciuri'!BF11-IF(L80&gt;'Config_v6'!$B$12,'Config_v6'!$B$37,IF(L80&gt;'Config_v6'!$B$11,'Config_v6'!$B$36,0))))</x:f>
      </x:c>
    </x:row>
    <x:row r="81" ht="21" customHeight="1">
      <x:c r="A81" s="2" t="n">
        <x:v>6</x:v>
      </x:c>
      <x:c r="B81" s="2" t="str">
        <x:f>IF('Motor_Meciuri'!A11="","",'Motor_Meciuri'!A11)</x:f>
      </x:c>
      <x:c r="C81" s="2" t="str">
        <x:f>IF(B81="","",'Motor_Meciuri'!B11)</x:f>
      </x:c>
      <x:c r="D81" s="2" t="str">
        <x:f>IF(B81="","",'Motor_Meciuri'!D11)</x:f>
      </x:c>
      <x:c r="E81" s="2" t="str">
        <x:f>IF(B81="","",'Motor_Meciuri'!E11)</x:f>
      </x:c>
      <x:c r="F81" s="2" t="str">
        <x:v>O8,5</x:v>
      </x:c>
      <x:c r="G81" s="2" t="str">
        <x:v>OVER</x:v>
      </x:c>
      <x:c r="H81" s="2" t="n">
        <x:v>8</x:v>
      </x:c>
      <x:c r="I81" s="2" t="str">
        <x:f>IF(B81="","",'Motor_Meciuri'!H11)</x:f>
      </x:c>
      <x:c r="J81" s="2" t="str">
        <x:f>IF(B81="","",'Motor_Meciuri'!I11)</x:f>
      </x:c>
      <x:c r="K81" s="11" t="str">
        <x:f>IF(J81&lt;&gt;"PASS","",'Motor_Meciuri'!BD11)</x:f>
      </x:c>
      <x:c r="L81" s="11" t="str">
        <x:f>IF(J81&lt;&gt;"PASS","",'Motor_Meciuri'!AU11)</x:f>
      </x:c>
      <x:c r="M81" s="10" t="str">
        <x:f>IF(NOT(AND(J81="PASS",'Calibrare_Linii'!U11="VALID")),"",1-'Distributie'!AF11)</x:f>
      </x:c>
      <x:c r="N81" s="10" t="str">
        <x:f>IF(M81="","",MAX(0.01,MIN(0.99,0.5+(M81-0.5)*'Motor_Meciuri'!BG11*'Calibrare_Linii'!D11)))</x:f>
      </x:c>
      <x:c r="O81" s="10" t="str">
        <x:f>IF(M81="","",1-M81)</x:f>
      </x:c>
      <x:c r="P81" s="10" t="str">
        <x:f>IF(OR(NOT(AND(J81="PASS",'Calibrare_Linii'!U11="VALID")),AK81=0),""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*('Istoric_Nativ'!$Q$6:$Q$405&lt;=H81))/AK81)</x:f>
      </x:c>
      <x:c r="Q81" s="10" t="str">
        <x:f>IF(OR(NOT(AND(J81="PASS",'Calibrare_Linii'!U11="VALID")),AL81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M11)+((('Istoric_Nativ'!$E$6:$E$405='Input_Meci'!E11)+('Istoric_Nativ'!$F$6:$F$405='Input_Meci'!E11))&gt;0)*('Istoric_Nativ'!$D$6:$D$405&gt;='Motor_Meciuri'!BN11))&gt;0)*('Istoric_Nativ'!$Q$6:$Q$405&lt;=H81))/AL81)</x:f>
      </x:c>
      <x:c r="R81" s="10" t="str">
        <x:f>IF(OR(NOT(AND(J81="PASS",'Calibrare_Linii'!U11="VALID")),AM81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O11)+((('Istoric_Nativ'!$E$6:$E$405='Input_Meci'!E11)+('Istoric_Nativ'!$F$6:$F$405='Input_Meci'!E11))&gt;0)*('Istoric_Nativ'!$D$6:$D$405&gt;='Motor_Meciuri'!BP11))&gt;0)*('Istoric_Nativ'!$Q$6:$Q$405&lt;=H81))/AM81)</x:f>
      </x:c>
      <x:c r="S81" s="10" t="str">
        <x:f>IF(M81="","",MAX(O81,P81,Q81,R81))</x:f>
      </x:c>
      <x:c r="T81" s="11" t="str">
        <x:f>IF(M81="","",MIN(100,S81*100*'Config_v6'!$B$44+MIN(100,L81/'Config_v6'!$B$13*100)*'Config_v6'!$B$45+(100-'Motor_Meciuri'!BF11)*'Config_v6'!$B$46+'Motor_Meciuri'!BH11*100*'Config_v6'!$B$47))</x:f>
      </x:c>
      <x:c r="U81" s="2" t="str">
        <x:f>IF(T81="","",IF(T81&lt;=20,1,IF(T81&lt;=40,2,IF(T81&lt;=60,3,IF(T81&lt;=80,4,5)))))</x:f>
      </x:c>
      <x:c r="V81" s="2" t="str">
        <x:f>IF(M81="","",MAX(0,'Motor_Meciuri'!BF11-IF(W81="OOS PENDING",'Config_v6'!$B$35,0)-IF(L81&gt;'Config_v6'!$B$12,'Config_v6'!$B$37,IF(L81&gt;'Config_v6'!$B$11,'Config_v6'!$B$36,0))))</x:f>
      </x:c>
      <x:c r="W81" s="2" t="str">
        <x:f>IF(B81="","",IF(I81&lt;&gt;"READY","NOT RELEASED",IF(NOT(AND(J81="PASS",'Calibrare_Linii'!U11="VALID")),"INVALID",IF(NOT(AND('Calibrare_Linii'!S11="VALIDATED",AND('Calibrare_Linii'!H11=C81,ISNUMBER('Calibrare_Linii'!J11),'Calibrare_Linii'!J11&lt;='Input_Meci'!G11))),"OOS PENDING",IF(S81&lt;='Calibrare_Linii'!E11,"PASS",IF(S81&lt;='Calibrare_Linii'!F11,"PENALTY","WATCH"))))))</x:f>
      </x:c>
      <x:c r="X81" s="2" t="str">
        <x:f>IF(M81="","",IF(AND(AND(J81="PASS",'Calibrare_Linii'!U11="VALID"),'Motor_Meciuri'!K11=12,'Motor_Meciuri'!L11=12,'Motor_Meciuri'!M11="NO",'Motor_Meciuri'!BL11='Motor_Meciuri'!C11,AB81&gt;='Config_v6'!$B$50,AN81&gt;='Config_v6'!$B$51,T81&lt;='Config_v6'!$B$52,L81&lt;='Config_v6'!$B$53,ISNUMBER('Calibrare_Linii'!E11),S81&lt;='Calibrare_Linii'!E11,SUM(AK81:AM81)&gt;0),"CANDIDATE","NO"))</x:f>
      </x:c>
      <x:c r="Y81" s="2" t="str">
        <x:f>IF(B81="","",IF(I81&lt;&gt;"READY","NOT RELEASED",IF(AND(X81="CANDIDATE",V81&gt;='Config_v6'!$B$51,W81="PASS",'Calibrare_Linii'!T11="VALIDATED",AND('Calibrare_Linii'!H11=C81,ISNUMBER('Calibrare_Linii'!J11),'Calibrare_Linii'!J11&lt;='Input_Meci'!G11)),"PASS",IF(X81="CANDIDATE","OOS PENDING","FAIL"))))</x:f>
      </x:c>
      <x:c r="Z81" s="2" t="str">
        <x:f>IF(B81="","",IF(I81&lt;&gt;"READY","",IF(OR(NOT(AND(J81="PASS",'Calibrare_Linii'!U11="VALID")),L81&gt;'Config_v6'!$B$13,W81="WATCH"),5,IF(Y81="PASS",1,MIN(5,MAX('Config_v6'!$B$42,U81)+IF(W81="PENALTY",1,0))))))</x:f>
      </x:c>
      <x:c r="AA81" s="2" t="str">
        <x:f>IF(B81="","",IF(I81&lt;&gt;"READY","NOT RELEASED",IF(Z81=5,"NO BET",IF(OR(AB81&lt;'Config_v6'!$B$16,V81&lt;'Config_v6'!$B$18),"WATCH",IF(Z81=1,"DEFENSIV",IF(Z81=2,"PRUDENT",IF(Z81=3,"MODERAT","RIDICAT")))))))</x:f>
      </x:c>
      <x:c r="AB81" s="10" t="str">
        <x:f>IF(N81="","",MIN(N81,1-S81))</x:f>
      </x:c>
      <x:c r="AC81" s="2" t="str">
        <x:f>IF(AD81&lt;&gt;1,"",COUNTIFS($Z$76:$Z$89,"&lt;"&amp;Z81,$AD$76:$AD$89,1)+COUNTIFS($Z$76:$Z$89,Z81,$AB$76:$AB$89,"&gt;"&amp;AB81,$AD$76:$AD$89,1)+COUNTIFS($Z$76:$Z$89,Z81,$AB$76:$AB$89,AB81,$V$76:$V$89,"&gt;"&amp;V81,$AD$76:$AD$89,1)+COUNTIFS($Z$76:Z81,Z81,$AB$76:AB81,AB81,$V$76:V81,V81,$AD$76:AD81,1))</x:f>
      </x:c>
      <x:c r="AD81" s="2" t="n">
        <x:f>IF(OR(AA81="DEFENSIV",AA81="PRUDENT",AA81="MODERAT",AA81="RIDICAT"),1,0)</x:f>
        <x:v>0</x:v>
      </x:c>
      <x:c r="AE81" s="2" t="str">
        <x:f>IF(AD81&lt;&gt;1,"NO",IF(W81="PASS","YES",IF(W81="OOS PENDING","CONDITIONAL","NO")))</x:f>
        <x:v>NO</x:v>
      </x:c>
      <x:c r="AF81" s="2" t="n">
        <x:f>IF(AND(AD81=1,AC81=1,E81="LIVE"),1,0)</x:f>
        <x:v>0</x:v>
      </x:c>
      <x:c r="AG81" s="2" t="str">
        <x:f>IF(AF81&lt;&gt;1,"",'Dashboard'!P31)</x:f>
      </x:c>
      <x:c r="AH81" s="2" t="str">
        <x:f>IF(B81="","",IF(J81&lt;&gt;"PASS",'Motor_Meciuri'!J11,IF('Calibrare_Linii'!U11&lt;&gt;"VALID","Parametri linie invalizi",IF(L81&gt;'Config_v6'!$B$13,"Dispersie peste limita",IF(W81="WATCH","Failure peste limita",IF(AB81&lt;'Config_v6'!$B$16,"P finala sub prag",IF(V81&lt;'Config_v6'!$B$18,"Confidence sub prag",IF(E81="REPLAY","Exemplu retrospectiv; exclus din Top LIVE",IF(Y81="PASS","DEFENSIV validat",IF(W81="OOS PENDING","Eligibil; calibrare linie in monitorizare","Eligibil"))))))))))</x:f>
      </x:c>
      <x:c r="AI81" s="2" t="str">
        <x:f>IF(B81="","",'Calibrare_Linii'!V11)</x:f>
      </x:c>
      <x:c r="AJ81" s="2" t="str">
        <x:f>IF(B81="","",IF(AND('Calibrare_Linii'!T11="VALIDATED",AND('Calibrare_Linii'!H11=C81,ISNUMBER('Calibrare_Linii'!J11),'Calibrare_Linii'!J11&lt;='Input_Meci'!G11)),"DEFENSIVE VALIDATED",IF(AND('Calibrare_Linii'!S11="VALIDATED",AND('Calibrare_Linii'!H11=C81,ISNUMBER('Calibrare_Linii'!J11),'Calibrare_Linii'!J11&lt;='Input_Meci'!G11)),"TAIL VALIDATED","OOS PENDING")))</x:f>
      </x:c>
      <x:c r="AK81" s="2" t="n">
        <x:f>IF(J81&lt;&gt;"PASS",0,'Motor_Meciuri'!BR11)</x:f>
        <x:v>0</x:v>
      </x:c>
      <x:c r="AL81" s="2" t="n">
        <x:f>IF(J81&lt;&gt;"PASS",0,'Motor_Meciuri'!BS11)</x:f>
        <x:v>0</x:v>
      </x:c>
      <x:c r="AM81" s="2" t="n">
        <x:f>IF(J81&lt;&gt;"PASS",0,'Motor_Meciuri'!BT11)</x:f>
        <x:v>0</x:v>
      </x:c>
      <x:c r="AN81" s="2" t="str">
        <x:f>IF(M81="","",MAX(0,'Motor_Meciuri'!BF11-IF(L81&gt;'Config_v6'!$B$12,'Config_v6'!$B$37,IF(L81&gt;'Config_v6'!$B$11,'Config_v6'!$B$36,0))))</x:f>
      </x:c>
    </x:row>
    <x:row r="82" ht="21" customHeight="1">
      <x:c r="A82" s="2" t="n">
        <x:v>6</x:v>
      </x:c>
      <x:c r="B82" s="2" t="str">
        <x:f>IF('Motor_Meciuri'!A11="","",'Motor_Meciuri'!A11)</x:f>
      </x:c>
      <x:c r="C82" s="2" t="str">
        <x:f>IF(B82="","",'Motor_Meciuri'!B11)</x:f>
      </x:c>
      <x:c r="D82" s="2" t="str">
        <x:f>IF(B82="","",'Motor_Meciuri'!D11)</x:f>
      </x:c>
      <x:c r="E82" s="2" t="str">
        <x:f>IF(B82="","",'Motor_Meciuri'!E11)</x:f>
      </x:c>
      <x:c r="F82" s="2" t="str">
        <x:v>U10,5</x:v>
      </x:c>
      <x:c r="G82" s="2" t="str">
        <x:v>UNDER</x:v>
      </x:c>
      <x:c r="H82" s="2" t="n">
        <x:v>10</x:v>
      </x:c>
      <x:c r="I82" s="2" t="str">
        <x:f>IF(B82="","",'Motor_Meciuri'!H11)</x:f>
      </x:c>
      <x:c r="J82" s="2" t="str">
        <x:f>IF(B82="","",'Motor_Meciuri'!I11)</x:f>
      </x:c>
      <x:c r="K82" s="11" t="str">
        <x:f>IF(J82&lt;&gt;"PASS","",'Motor_Meciuri'!BD11)</x:f>
      </x:c>
      <x:c r="L82" s="11" t="str">
        <x:f>IF(J82&lt;&gt;"PASS","",'Motor_Meciuri'!AU11)</x:f>
      </x:c>
      <x:c r="M82" s="10" t="str">
        <x:f>IF(NOT(AND(J82="PASS",'Calibrare_Linii'!U12="VALID")),"",'Distributie'!AH11)</x:f>
      </x:c>
      <x:c r="N82" s="10" t="str">
        <x:f>IF(M82="","",MAX(0.01,MIN(0.99,0.5+(M82-0.5)*'Motor_Meciuri'!BG11*'Calibrare_Linii'!D12)))</x:f>
      </x:c>
      <x:c r="O82" s="10" t="str">
        <x:f>IF(M82="","",1-M82)</x:f>
      </x:c>
      <x:c r="P82" s="10" t="str">
        <x:f>IF(OR(NOT(AND(J82="PASS",'Calibrare_Linii'!U12="VALID")),AK82=0),""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*('Istoric_Nativ'!$Q$6:$Q$405&gt;H82))/AK82)</x:f>
      </x:c>
      <x:c r="Q82" s="10" t="str">
        <x:f>IF(OR(NOT(AND(J82="PASS",'Calibrare_Linii'!U12="VALID")),AL82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M11)+((('Istoric_Nativ'!$E$6:$E$405='Input_Meci'!E11)+('Istoric_Nativ'!$F$6:$F$405='Input_Meci'!E11))&gt;0)*('Istoric_Nativ'!$D$6:$D$405&gt;='Motor_Meciuri'!BN11))&gt;0)*('Istoric_Nativ'!$Q$6:$Q$405&gt;H82))/AL82)</x:f>
      </x:c>
      <x:c r="R82" s="10" t="str">
        <x:f>IF(OR(NOT(AND(J82="PASS",'Calibrare_Linii'!U12="VALID")),AM82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O11)+((('Istoric_Nativ'!$E$6:$E$405='Input_Meci'!E11)+('Istoric_Nativ'!$F$6:$F$405='Input_Meci'!E11))&gt;0)*('Istoric_Nativ'!$D$6:$D$405&gt;='Motor_Meciuri'!BP11))&gt;0)*('Istoric_Nativ'!$Q$6:$Q$405&gt;H82))/AM82)</x:f>
      </x:c>
      <x:c r="S82" s="10" t="str">
        <x:f>IF(M82="","",MAX(O82,P82,Q82,R82))</x:f>
      </x:c>
      <x:c r="T82" s="11" t="str">
        <x:f>IF(M82="","",MIN(100,S82*100*'Config_v6'!$B$44+MIN(100,L82/'Config_v6'!$B$13*100)*'Config_v6'!$B$45+(100-'Motor_Meciuri'!BF11)*'Config_v6'!$B$46+'Motor_Meciuri'!BH11*100*'Config_v6'!$B$47))</x:f>
      </x:c>
      <x:c r="U82" s="2" t="str">
        <x:f>IF(T82="","",IF(T82&lt;=20,1,IF(T82&lt;=40,2,IF(T82&lt;=60,3,IF(T82&lt;=80,4,5)))))</x:f>
      </x:c>
      <x:c r="V82" s="2" t="str">
        <x:f>IF(M82="","",MAX(0,'Motor_Meciuri'!BF11-IF(W82="OOS PENDING",'Config_v6'!$B$35,0)-IF(L82&gt;'Config_v6'!$B$12,'Config_v6'!$B$37,IF(L82&gt;'Config_v6'!$B$11,'Config_v6'!$B$36,0))))</x:f>
      </x:c>
      <x:c r="W82" s="2" t="str">
        <x:f>IF(B82="","",IF(I82&lt;&gt;"READY","NOT RELEASED",IF(NOT(AND(J82="PASS",'Calibrare_Linii'!U12="VALID")),"INVALID",IF(NOT(AND('Calibrare_Linii'!S12="VALIDATED",AND('Calibrare_Linii'!H12=C82,ISNUMBER('Calibrare_Linii'!J12),'Calibrare_Linii'!J12&lt;='Input_Meci'!G11))),"OOS PENDING",IF(S82&lt;='Calibrare_Linii'!E12,"PASS",IF(S82&lt;='Calibrare_Linii'!F12,"PENALTY","WATCH"))))))</x:f>
      </x:c>
      <x:c r="X82" s="2" t="str">
        <x:f>IF(M82="","",IF(AND(AND(J82="PASS",'Calibrare_Linii'!U12="VALID"),'Motor_Meciuri'!K11=12,'Motor_Meciuri'!L11=12,'Motor_Meciuri'!M11="NO",'Motor_Meciuri'!BL11='Motor_Meciuri'!C11,AB82&gt;='Config_v6'!$B$50,AN82&gt;='Config_v6'!$B$51,T82&lt;='Config_v6'!$B$52,L82&lt;='Config_v6'!$B$53,ISNUMBER('Calibrare_Linii'!E12),S82&lt;='Calibrare_Linii'!E12,SUM(AK82:AM82)&gt;0),"CANDIDATE","NO"))</x:f>
      </x:c>
      <x:c r="Y82" s="2" t="str">
        <x:f>IF(B82="","",IF(I82&lt;&gt;"READY","NOT RELEASED",IF(AND(X82="CANDIDATE",V82&gt;='Config_v6'!$B$51,W82="PASS",'Calibrare_Linii'!T12="VALIDATED",AND('Calibrare_Linii'!H12=C82,ISNUMBER('Calibrare_Linii'!J12),'Calibrare_Linii'!J12&lt;='Input_Meci'!G11)),"PASS",IF(X82="CANDIDATE","OOS PENDING","FAIL"))))</x:f>
      </x:c>
      <x:c r="Z82" s="2" t="str">
        <x:f>IF(B82="","",IF(I82&lt;&gt;"READY","",IF(OR(NOT(AND(J82="PASS",'Calibrare_Linii'!U12="VALID")),L82&gt;'Config_v6'!$B$13,W82="WATCH"),5,IF(Y82="PASS",1,MIN(5,MAX('Config_v6'!$B$42,U82)+IF(W82="PENALTY",1,0))))))</x:f>
      </x:c>
      <x:c r="AA82" s="2" t="str">
        <x:f>IF(B82="","",IF(I82&lt;&gt;"READY","NOT RELEASED",IF(Z82=5,"NO BET",IF(OR(AB82&lt;'Config_v6'!$B$16,V82&lt;'Config_v6'!$B$18),"WATCH",IF(Z82=1,"DEFENSIV",IF(Z82=2,"PRUDENT",IF(Z82=3,"MODERAT","RIDICAT")))))))</x:f>
      </x:c>
      <x:c r="AB82" s="10" t="str">
        <x:f>IF(N82="","",MIN(N82,1-S82))</x:f>
      </x:c>
      <x:c r="AC82" s="2" t="str">
        <x:f>IF(AD82&lt;&gt;1,"",COUNTIFS($Z$76:$Z$89,"&lt;"&amp;Z82,$AD$76:$AD$89,1)+COUNTIFS($Z$76:$Z$89,Z82,$AB$76:$AB$89,"&gt;"&amp;AB82,$AD$76:$AD$89,1)+COUNTIFS($Z$76:$Z$89,Z82,$AB$76:$AB$89,AB82,$V$76:$V$89,"&gt;"&amp;V82,$AD$76:$AD$89,1)+COUNTIFS($Z$76:Z82,Z82,$AB$76:AB82,AB82,$V$76:V82,V82,$AD$76:AD82,1))</x:f>
      </x:c>
      <x:c r="AD82" s="2" t="n">
        <x:f>IF(OR(AA82="DEFENSIV",AA82="PRUDENT",AA82="MODERAT",AA82="RIDICAT"),1,0)</x:f>
        <x:v>0</x:v>
      </x:c>
      <x:c r="AE82" s="2" t="str">
        <x:f>IF(AD82&lt;&gt;1,"NO",IF(W82="PASS","YES",IF(W82="OOS PENDING","CONDITIONAL","NO")))</x:f>
        <x:v>NO</x:v>
      </x:c>
      <x:c r="AF82" s="2" t="n">
        <x:f>IF(AND(AD82=1,AC82=1,E82="LIVE"),1,0)</x:f>
        <x:v>0</x:v>
      </x:c>
      <x:c r="AG82" s="2" t="str">
        <x:f>IF(AF82&lt;&gt;1,"",'Dashboard'!P31)</x:f>
      </x:c>
      <x:c r="AH82" s="2" t="str">
        <x:f>IF(B82="","",IF(J82&lt;&gt;"PASS",'Motor_Meciuri'!J11,IF('Calibrare_Linii'!U12&lt;&gt;"VALID","Parametri linie invalizi",IF(L82&gt;'Config_v6'!$B$13,"Dispersie peste limita",IF(W82="WATCH","Failure peste limita",IF(AB82&lt;'Config_v6'!$B$16,"P finala sub prag",IF(V82&lt;'Config_v6'!$B$18,"Confidence sub prag",IF(E82="REPLAY","Exemplu retrospectiv; exclus din Top LIVE",IF(Y82="PASS","DEFENSIV validat",IF(W82="OOS PENDING","Eligibil; calibrare linie in monitorizare","Eligibil"))))))))))</x:f>
      </x:c>
      <x:c r="AI82" s="2" t="str">
        <x:f>IF(B82="","",'Calibrare_Linii'!V12)</x:f>
      </x:c>
      <x:c r="AJ82" s="2" t="str">
        <x:f>IF(B82="","",IF(AND('Calibrare_Linii'!T12="VALIDATED",AND('Calibrare_Linii'!H12=C82,ISNUMBER('Calibrare_Linii'!J12),'Calibrare_Linii'!J12&lt;='Input_Meci'!G11)),"DEFENSIVE VALIDATED",IF(AND('Calibrare_Linii'!S12="VALIDATED",AND('Calibrare_Linii'!H12=C82,ISNUMBER('Calibrare_Linii'!J12),'Calibrare_Linii'!J12&lt;='Input_Meci'!G11)),"TAIL VALIDATED","OOS PENDING")))</x:f>
      </x:c>
      <x:c r="AK82" s="2" t="n">
        <x:f>IF(J82&lt;&gt;"PASS",0,'Motor_Meciuri'!BR11)</x:f>
        <x:v>0</x:v>
      </x:c>
      <x:c r="AL82" s="2" t="n">
        <x:f>IF(J82&lt;&gt;"PASS",0,'Motor_Meciuri'!BS11)</x:f>
        <x:v>0</x:v>
      </x:c>
      <x:c r="AM82" s="2" t="n">
        <x:f>IF(J82&lt;&gt;"PASS",0,'Motor_Meciuri'!BT11)</x:f>
        <x:v>0</x:v>
      </x:c>
      <x:c r="AN82" s="2" t="str">
        <x:f>IF(M82="","",MAX(0,'Motor_Meciuri'!BF11-IF(L82&gt;'Config_v6'!$B$12,'Config_v6'!$B$37,IF(L82&gt;'Config_v6'!$B$11,'Config_v6'!$B$36,0))))</x:f>
      </x:c>
    </x:row>
    <x:row r="83" ht="21" customHeight="1">
      <x:c r="A83" s="2" t="n">
        <x:v>6</x:v>
      </x:c>
      <x:c r="B83" s="2" t="str">
        <x:f>IF('Motor_Meciuri'!A11="","",'Motor_Meciuri'!A11)</x:f>
      </x:c>
      <x:c r="C83" s="2" t="str">
        <x:f>IF(B83="","",'Motor_Meciuri'!B11)</x:f>
      </x:c>
      <x:c r="D83" s="2" t="str">
        <x:f>IF(B83="","",'Motor_Meciuri'!D11)</x:f>
      </x:c>
      <x:c r="E83" s="2" t="str">
        <x:f>IF(B83="","",'Motor_Meciuri'!E11)</x:f>
      </x:c>
      <x:c r="F83" s="2" t="str">
        <x:v>U11,5</x:v>
      </x:c>
      <x:c r="G83" s="2" t="str">
        <x:v>UNDER</x:v>
      </x:c>
      <x:c r="H83" s="2" t="n">
        <x:v>11</x:v>
      </x:c>
      <x:c r="I83" s="2" t="str">
        <x:f>IF(B83="","",'Motor_Meciuri'!H11)</x:f>
      </x:c>
      <x:c r="J83" s="2" t="str">
        <x:f>IF(B83="","",'Motor_Meciuri'!I11)</x:f>
      </x:c>
      <x:c r="K83" s="11" t="str">
        <x:f>IF(J83&lt;&gt;"PASS","",'Motor_Meciuri'!BD11)</x:f>
      </x:c>
      <x:c r="L83" s="11" t="str">
        <x:f>IF(J83&lt;&gt;"PASS","",'Motor_Meciuri'!AU11)</x:f>
      </x:c>
      <x:c r="M83" s="10" t="str">
        <x:f>IF(NOT(AND(J83="PASS",'Calibrare_Linii'!U13="VALID")),"",'Distributie'!AI11)</x:f>
      </x:c>
      <x:c r="N83" s="10" t="str">
        <x:f>IF(M83="","",MAX(0.01,MIN(0.99,0.5+(M83-0.5)*'Motor_Meciuri'!BG11*'Calibrare_Linii'!D13)))</x:f>
      </x:c>
      <x:c r="O83" s="10" t="str">
        <x:f>IF(M83="","",1-M83)</x:f>
      </x:c>
      <x:c r="P83" s="10" t="str">
        <x:f>IF(OR(NOT(AND(J83="PASS",'Calibrare_Linii'!U13="VALID")),AK83=0),""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*('Istoric_Nativ'!$Q$6:$Q$405&gt;H83))/AK83)</x:f>
      </x:c>
      <x:c r="Q83" s="10" t="str">
        <x:f>IF(OR(NOT(AND(J83="PASS",'Calibrare_Linii'!U13="VALID")),AL83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M11)+((('Istoric_Nativ'!$E$6:$E$405='Input_Meci'!E11)+('Istoric_Nativ'!$F$6:$F$405='Input_Meci'!E11))&gt;0)*('Istoric_Nativ'!$D$6:$D$405&gt;='Motor_Meciuri'!BN11))&gt;0)*('Istoric_Nativ'!$Q$6:$Q$405&gt;H83))/AL83)</x:f>
      </x:c>
      <x:c r="R83" s="10" t="str">
        <x:f>IF(OR(NOT(AND(J83="PASS",'Calibrare_Linii'!U13="VALID")),AM83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O11)+((('Istoric_Nativ'!$E$6:$E$405='Input_Meci'!E11)+('Istoric_Nativ'!$F$6:$F$405='Input_Meci'!E11))&gt;0)*('Istoric_Nativ'!$D$6:$D$405&gt;='Motor_Meciuri'!BP11))&gt;0)*('Istoric_Nativ'!$Q$6:$Q$405&gt;H83))/AM83)</x:f>
      </x:c>
      <x:c r="S83" s="10" t="str">
        <x:f>IF(M83="","",MAX(O83,P83,Q83,R83))</x:f>
      </x:c>
      <x:c r="T83" s="11" t="str">
        <x:f>IF(M83="","",MIN(100,S83*100*'Config_v6'!$B$44+MIN(100,L83/'Config_v6'!$B$13*100)*'Config_v6'!$B$45+(100-'Motor_Meciuri'!BF11)*'Config_v6'!$B$46+'Motor_Meciuri'!BH11*100*'Config_v6'!$B$47))</x:f>
      </x:c>
      <x:c r="U83" s="2" t="str">
        <x:f>IF(T83="","",IF(T83&lt;=20,1,IF(T83&lt;=40,2,IF(T83&lt;=60,3,IF(T83&lt;=80,4,5)))))</x:f>
      </x:c>
      <x:c r="V83" s="2" t="str">
        <x:f>IF(M83="","",MAX(0,'Motor_Meciuri'!BF11-IF(W83="OOS PENDING",'Config_v6'!$B$35,0)-IF(L83&gt;'Config_v6'!$B$12,'Config_v6'!$B$37,IF(L83&gt;'Config_v6'!$B$11,'Config_v6'!$B$36,0))))</x:f>
      </x:c>
      <x:c r="W83" s="2" t="str">
        <x:f>IF(B83="","",IF(I83&lt;&gt;"READY","NOT RELEASED",IF(NOT(AND(J83="PASS",'Calibrare_Linii'!U13="VALID")),"INVALID",IF(NOT(AND('Calibrare_Linii'!S13="VALIDATED",AND('Calibrare_Linii'!H13=C83,ISNUMBER('Calibrare_Linii'!J13),'Calibrare_Linii'!J13&lt;='Input_Meci'!G11))),"OOS PENDING",IF(S83&lt;='Calibrare_Linii'!E13,"PASS",IF(S83&lt;='Calibrare_Linii'!F13,"PENALTY","WATCH"))))))</x:f>
      </x:c>
      <x:c r="X83" s="2" t="str">
        <x:f>IF(M83="","",IF(AND(AND(J83="PASS",'Calibrare_Linii'!U13="VALID"),'Motor_Meciuri'!K11=12,'Motor_Meciuri'!L11=12,'Motor_Meciuri'!M11="NO",'Motor_Meciuri'!BL11='Motor_Meciuri'!C11,AB83&gt;='Config_v6'!$B$50,AN83&gt;='Config_v6'!$B$51,T83&lt;='Config_v6'!$B$52,L83&lt;='Config_v6'!$B$53,ISNUMBER('Calibrare_Linii'!E13),S83&lt;='Calibrare_Linii'!E13,SUM(AK83:AM83)&gt;0),"CANDIDATE","NO"))</x:f>
      </x:c>
      <x:c r="Y83" s="2" t="str">
        <x:f>IF(B83="","",IF(I83&lt;&gt;"READY","NOT RELEASED",IF(AND(X83="CANDIDATE",V83&gt;='Config_v6'!$B$51,W83="PASS",'Calibrare_Linii'!T13="VALIDATED",AND('Calibrare_Linii'!H13=C83,ISNUMBER('Calibrare_Linii'!J13),'Calibrare_Linii'!J13&lt;='Input_Meci'!G11)),"PASS",IF(X83="CANDIDATE","OOS PENDING","FAIL"))))</x:f>
      </x:c>
      <x:c r="Z83" s="2" t="str">
        <x:f>IF(B83="","",IF(I83&lt;&gt;"READY","",IF(OR(NOT(AND(J83="PASS",'Calibrare_Linii'!U13="VALID")),L83&gt;'Config_v6'!$B$13,W83="WATCH"),5,IF(Y83="PASS",1,MIN(5,MAX('Config_v6'!$B$42,U83)+IF(W83="PENALTY",1,0))))))</x:f>
      </x:c>
      <x:c r="AA83" s="2" t="str">
        <x:f>IF(B83="","",IF(I83&lt;&gt;"READY","NOT RELEASED",IF(Z83=5,"NO BET",IF(OR(AB83&lt;'Config_v6'!$B$16,V83&lt;'Config_v6'!$B$18),"WATCH",IF(Z83=1,"DEFENSIV",IF(Z83=2,"PRUDENT",IF(Z83=3,"MODERAT","RIDICAT")))))))</x:f>
      </x:c>
      <x:c r="AB83" s="10" t="str">
        <x:f>IF(N83="","",MIN(N83,1-S83))</x:f>
      </x:c>
      <x:c r="AC83" s="2" t="str">
        <x:f>IF(AD83&lt;&gt;1,"",COUNTIFS($Z$76:$Z$89,"&lt;"&amp;Z83,$AD$76:$AD$89,1)+COUNTIFS($Z$76:$Z$89,Z83,$AB$76:$AB$89,"&gt;"&amp;AB83,$AD$76:$AD$89,1)+COUNTIFS($Z$76:$Z$89,Z83,$AB$76:$AB$89,AB83,$V$76:$V$89,"&gt;"&amp;V83,$AD$76:$AD$89,1)+COUNTIFS($Z$76:Z83,Z83,$AB$76:AB83,AB83,$V$76:V83,V83,$AD$76:AD83,1))</x:f>
      </x:c>
      <x:c r="AD83" s="2" t="n">
        <x:f>IF(OR(AA83="DEFENSIV",AA83="PRUDENT",AA83="MODERAT",AA83="RIDICAT"),1,0)</x:f>
        <x:v>0</x:v>
      </x:c>
      <x:c r="AE83" s="2" t="str">
        <x:f>IF(AD83&lt;&gt;1,"NO",IF(W83="PASS","YES",IF(W83="OOS PENDING","CONDITIONAL","NO")))</x:f>
        <x:v>NO</x:v>
      </x:c>
      <x:c r="AF83" s="2" t="n">
        <x:f>IF(AND(AD83=1,AC83=1,E83="LIVE"),1,0)</x:f>
        <x:v>0</x:v>
      </x:c>
      <x:c r="AG83" s="2" t="str">
        <x:f>IF(AF83&lt;&gt;1,"",'Dashboard'!P31)</x:f>
      </x:c>
      <x:c r="AH83" s="2" t="str">
        <x:f>IF(B83="","",IF(J83&lt;&gt;"PASS",'Motor_Meciuri'!J11,IF('Calibrare_Linii'!U13&lt;&gt;"VALID","Parametri linie invalizi",IF(L83&gt;'Config_v6'!$B$13,"Dispersie peste limita",IF(W83="WATCH","Failure peste limita",IF(AB83&lt;'Config_v6'!$B$16,"P finala sub prag",IF(V83&lt;'Config_v6'!$B$18,"Confidence sub prag",IF(E83="REPLAY","Exemplu retrospectiv; exclus din Top LIVE",IF(Y83="PASS","DEFENSIV validat",IF(W83="OOS PENDING","Eligibil; calibrare linie in monitorizare","Eligibil"))))))))))</x:f>
      </x:c>
      <x:c r="AI83" s="2" t="str">
        <x:f>IF(B83="","",'Calibrare_Linii'!V13)</x:f>
      </x:c>
      <x:c r="AJ83" s="2" t="str">
        <x:f>IF(B83="","",IF(AND('Calibrare_Linii'!T13="VALIDATED",AND('Calibrare_Linii'!H13=C83,ISNUMBER('Calibrare_Linii'!J13),'Calibrare_Linii'!J13&lt;='Input_Meci'!G11)),"DEFENSIVE VALIDATED",IF(AND('Calibrare_Linii'!S13="VALIDATED",AND('Calibrare_Linii'!H13=C83,ISNUMBER('Calibrare_Linii'!J13),'Calibrare_Linii'!J13&lt;='Input_Meci'!G11)),"TAIL VALIDATED","OOS PENDING")))</x:f>
      </x:c>
      <x:c r="AK83" s="2" t="n">
        <x:f>IF(J83&lt;&gt;"PASS",0,'Motor_Meciuri'!BR11)</x:f>
        <x:v>0</x:v>
      </x:c>
      <x:c r="AL83" s="2" t="n">
        <x:f>IF(J83&lt;&gt;"PASS",0,'Motor_Meciuri'!BS11)</x:f>
        <x:v>0</x:v>
      </x:c>
      <x:c r="AM83" s="2" t="n">
        <x:f>IF(J83&lt;&gt;"PASS",0,'Motor_Meciuri'!BT11)</x:f>
        <x:v>0</x:v>
      </x:c>
      <x:c r="AN83" s="2" t="str">
        <x:f>IF(M83="","",MAX(0,'Motor_Meciuri'!BF11-IF(L83&gt;'Config_v6'!$B$12,'Config_v6'!$B$37,IF(L83&gt;'Config_v6'!$B$11,'Config_v6'!$B$36,0))))</x:f>
      </x:c>
    </x:row>
    <x:row r="84" ht="21" customHeight="1">
      <x:c r="A84" s="2" t="n">
        <x:v>6</x:v>
      </x:c>
      <x:c r="B84" s="2" t="str">
        <x:f>IF('Motor_Meciuri'!A11="","",'Motor_Meciuri'!A11)</x:f>
      </x:c>
      <x:c r="C84" s="2" t="str">
        <x:f>IF(B84="","",'Motor_Meciuri'!B11)</x:f>
      </x:c>
      <x:c r="D84" s="2" t="str">
        <x:f>IF(B84="","",'Motor_Meciuri'!D11)</x:f>
      </x:c>
      <x:c r="E84" s="2" t="str">
        <x:f>IF(B84="","",'Motor_Meciuri'!E11)</x:f>
      </x:c>
      <x:c r="F84" s="2" t="str">
        <x:v>U12,5</x:v>
      </x:c>
      <x:c r="G84" s="2" t="str">
        <x:v>UNDER</x:v>
      </x:c>
      <x:c r="H84" s="2" t="n">
        <x:v>12</x:v>
      </x:c>
      <x:c r="I84" s="2" t="str">
        <x:f>IF(B84="","",'Motor_Meciuri'!H11)</x:f>
      </x:c>
      <x:c r="J84" s="2" t="str">
        <x:f>IF(B84="","",'Motor_Meciuri'!I11)</x:f>
      </x:c>
      <x:c r="K84" s="11" t="str">
        <x:f>IF(J84&lt;&gt;"PASS","",'Motor_Meciuri'!BD11)</x:f>
      </x:c>
      <x:c r="L84" s="11" t="str">
        <x:f>IF(J84&lt;&gt;"PASS","",'Motor_Meciuri'!AU11)</x:f>
      </x:c>
      <x:c r="M84" s="10" t="str">
        <x:f>IF(NOT(AND(J84="PASS",'Calibrare_Linii'!U14="VALID")),"",'Distributie'!AJ11)</x:f>
      </x:c>
      <x:c r="N84" s="10" t="str">
        <x:f>IF(M84="","",MAX(0.01,MIN(0.99,0.5+(M84-0.5)*'Motor_Meciuri'!BG11*'Calibrare_Linii'!D14)))</x:f>
      </x:c>
      <x:c r="O84" s="10" t="str">
        <x:f>IF(M84="","",1-M84)</x:f>
      </x:c>
      <x:c r="P84" s="10" t="str">
        <x:f>IF(OR(NOT(AND(J84="PASS",'Calibrare_Linii'!U14="VALID")),AK84=0),""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*('Istoric_Nativ'!$Q$6:$Q$405&gt;H84))/AK84)</x:f>
      </x:c>
      <x:c r="Q84" s="10" t="str">
        <x:f>IF(OR(NOT(AND(J84="PASS",'Calibrare_Linii'!U14="VALID")),AL84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M11)+((('Istoric_Nativ'!$E$6:$E$405='Input_Meci'!E11)+('Istoric_Nativ'!$F$6:$F$405='Input_Meci'!E11))&gt;0)*('Istoric_Nativ'!$D$6:$D$405&gt;='Motor_Meciuri'!BN11))&gt;0)*('Istoric_Nativ'!$Q$6:$Q$405&gt;H84))/AL84)</x:f>
      </x:c>
      <x:c r="R84" s="10" t="str">
        <x:f>IF(OR(NOT(AND(J84="PASS",'Calibrare_Linii'!U14="VALID")),AM84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O11)+((('Istoric_Nativ'!$E$6:$E$405='Input_Meci'!E11)+('Istoric_Nativ'!$F$6:$F$405='Input_Meci'!E11))&gt;0)*('Istoric_Nativ'!$D$6:$D$405&gt;='Motor_Meciuri'!BP11))&gt;0)*('Istoric_Nativ'!$Q$6:$Q$405&gt;H84))/AM84)</x:f>
      </x:c>
      <x:c r="S84" s="10" t="str">
        <x:f>IF(M84="","",MAX(O84,P84,Q84,R84))</x:f>
      </x:c>
      <x:c r="T84" s="11" t="str">
        <x:f>IF(M84="","",MIN(100,S84*100*'Config_v6'!$B$44+MIN(100,L84/'Config_v6'!$B$13*100)*'Config_v6'!$B$45+(100-'Motor_Meciuri'!BF11)*'Config_v6'!$B$46+'Motor_Meciuri'!BH11*100*'Config_v6'!$B$47))</x:f>
      </x:c>
      <x:c r="U84" s="2" t="str">
        <x:f>IF(T84="","",IF(T84&lt;=20,1,IF(T84&lt;=40,2,IF(T84&lt;=60,3,IF(T84&lt;=80,4,5)))))</x:f>
      </x:c>
      <x:c r="V84" s="2" t="str">
        <x:f>IF(M84="","",MAX(0,'Motor_Meciuri'!BF11-IF(W84="OOS PENDING",'Config_v6'!$B$35,0)-IF(L84&gt;'Config_v6'!$B$12,'Config_v6'!$B$37,IF(L84&gt;'Config_v6'!$B$11,'Config_v6'!$B$36,0))))</x:f>
      </x:c>
      <x:c r="W84" s="2" t="str">
        <x:f>IF(B84="","",IF(I84&lt;&gt;"READY","NOT RELEASED",IF(NOT(AND(J84="PASS",'Calibrare_Linii'!U14="VALID")),"INVALID",IF(NOT(AND('Calibrare_Linii'!S14="VALIDATED",AND('Calibrare_Linii'!H14=C84,ISNUMBER('Calibrare_Linii'!J14),'Calibrare_Linii'!J14&lt;='Input_Meci'!G11))),"OOS PENDING",IF(S84&lt;='Calibrare_Linii'!E14,"PASS",IF(S84&lt;='Calibrare_Linii'!F14,"PENALTY","WATCH"))))))</x:f>
      </x:c>
      <x:c r="X84" s="2" t="str">
        <x:f>IF(M84="","",IF(AND(AND(J84="PASS",'Calibrare_Linii'!U14="VALID"),'Motor_Meciuri'!K11=12,'Motor_Meciuri'!L11=12,'Motor_Meciuri'!M11="NO",'Motor_Meciuri'!BL11='Motor_Meciuri'!C11,AB84&gt;='Config_v6'!$B$50,AN84&gt;='Config_v6'!$B$51,T84&lt;='Config_v6'!$B$52,L84&lt;='Config_v6'!$B$53,ISNUMBER('Calibrare_Linii'!E14),S84&lt;='Calibrare_Linii'!E14,SUM(AK84:AM84)&gt;0),"CANDIDATE","NO"))</x:f>
      </x:c>
      <x:c r="Y84" s="2" t="str">
        <x:f>IF(B84="","",IF(I84&lt;&gt;"READY","NOT RELEASED",IF(AND(X84="CANDIDATE",V84&gt;='Config_v6'!$B$51,W84="PASS",'Calibrare_Linii'!T14="VALIDATED",AND('Calibrare_Linii'!H14=C84,ISNUMBER('Calibrare_Linii'!J14),'Calibrare_Linii'!J14&lt;='Input_Meci'!G11)),"PASS",IF(X84="CANDIDATE","OOS PENDING","FAIL"))))</x:f>
      </x:c>
      <x:c r="Z84" s="2" t="str">
        <x:f>IF(B84="","",IF(I84&lt;&gt;"READY","",IF(OR(NOT(AND(J84="PASS",'Calibrare_Linii'!U14="VALID")),L84&gt;'Config_v6'!$B$13,W84="WATCH"),5,IF(Y84="PASS",1,MIN(5,MAX('Config_v6'!$B$42,U84)+IF(W84="PENALTY",1,0))))))</x:f>
      </x:c>
      <x:c r="AA84" s="2" t="str">
        <x:f>IF(B84="","",IF(I84&lt;&gt;"READY","NOT RELEASED",IF(Z84=5,"NO BET",IF(OR(AB84&lt;'Config_v6'!$B$16,V84&lt;'Config_v6'!$B$18),"WATCH",IF(Z84=1,"DEFENSIV",IF(Z84=2,"PRUDENT",IF(Z84=3,"MODERAT","RIDICAT")))))))</x:f>
      </x:c>
      <x:c r="AB84" s="10" t="str">
        <x:f>IF(N84="","",MIN(N84,1-S84))</x:f>
      </x:c>
      <x:c r="AC84" s="2" t="str">
        <x:f>IF(AD84&lt;&gt;1,"",COUNTIFS($Z$76:$Z$89,"&lt;"&amp;Z84,$AD$76:$AD$89,1)+COUNTIFS($Z$76:$Z$89,Z84,$AB$76:$AB$89,"&gt;"&amp;AB84,$AD$76:$AD$89,1)+COUNTIFS($Z$76:$Z$89,Z84,$AB$76:$AB$89,AB84,$V$76:$V$89,"&gt;"&amp;V84,$AD$76:$AD$89,1)+COUNTIFS($Z$76:Z84,Z84,$AB$76:AB84,AB84,$V$76:V84,V84,$AD$76:AD84,1))</x:f>
      </x:c>
      <x:c r="AD84" s="2" t="n">
        <x:f>IF(OR(AA84="DEFENSIV",AA84="PRUDENT",AA84="MODERAT",AA84="RIDICAT"),1,0)</x:f>
        <x:v>0</x:v>
      </x:c>
      <x:c r="AE84" s="2" t="str">
        <x:f>IF(AD84&lt;&gt;1,"NO",IF(W84="PASS","YES",IF(W84="OOS PENDING","CONDITIONAL","NO")))</x:f>
        <x:v>NO</x:v>
      </x:c>
      <x:c r="AF84" s="2" t="n">
        <x:f>IF(AND(AD84=1,AC84=1,E84="LIVE"),1,0)</x:f>
        <x:v>0</x:v>
      </x:c>
      <x:c r="AG84" s="2" t="str">
        <x:f>IF(AF84&lt;&gt;1,"",'Dashboard'!P31)</x:f>
      </x:c>
      <x:c r="AH84" s="2" t="str">
        <x:f>IF(B84="","",IF(J84&lt;&gt;"PASS",'Motor_Meciuri'!J11,IF('Calibrare_Linii'!U14&lt;&gt;"VALID","Parametri linie invalizi",IF(L84&gt;'Config_v6'!$B$13,"Dispersie peste limita",IF(W84="WATCH","Failure peste limita",IF(AB84&lt;'Config_v6'!$B$16,"P finala sub prag",IF(V84&lt;'Config_v6'!$B$18,"Confidence sub prag",IF(E84="REPLAY","Exemplu retrospectiv; exclus din Top LIVE",IF(Y84="PASS","DEFENSIV validat",IF(W84="OOS PENDING","Eligibil; calibrare linie in monitorizare","Eligibil"))))))))))</x:f>
      </x:c>
      <x:c r="AI84" s="2" t="str">
        <x:f>IF(B84="","",'Calibrare_Linii'!V14)</x:f>
      </x:c>
      <x:c r="AJ84" s="2" t="str">
        <x:f>IF(B84="","",IF(AND('Calibrare_Linii'!T14="VALIDATED",AND('Calibrare_Linii'!H14=C84,ISNUMBER('Calibrare_Linii'!J14),'Calibrare_Linii'!J14&lt;='Input_Meci'!G11)),"DEFENSIVE VALIDATED",IF(AND('Calibrare_Linii'!S14="VALIDATED",AND('Calibrare_Linii'!H14=C84,ISNUMBER('Calibrare_Linii'!J14),'Calibrare_Linii'!J14&lt;='Input_Meci'!G11)),"TAIL VALIDATED","OOS PENDING")))</x:f>
      </x:c>
      <x:c r="AK84" s="2" t="n">
        <x:f>IF(J84&lt;&gt;"PASS",0,'Motor_Meciuri'!BR11)</x:f>
        <x:v>0</x:v>
      </x:c>
      <x:c r="AL84" s="2" t="n">
        <x:f>IF(J84&lt;&gt;"PASS",0,'Motor_Meciuri'!BS11)</x:f>
        <x:v>0</x:v>
      </x:c>
      <x:c r="AM84" s="2" t="n">
        <x:f>IF(J84&lt;&gt;"PASS",0,'Motor_Meciuri'!BT11)</x:f>
        <x:v>0</x:v>
      </x:c>
      <x:c r="AN84" s="2" t="str">
        <x:f>IF(M84="","",MAX(0,'Motor_Meciuri'!BF11-IF(L84&gt;'Config_v6'!$B$12,'Config_v6'!$B$37,IF(L84&gt;'Config_v6'!$B$11,'Config_v6'!$B$36,0))))</x:f>
      </x:c>
    </x:row>
    <x:row r="85" ht="21" customHeight="1">
      <x:c r="A85" s="2" t="n">
        <x:v>6</x:v>
      </x:c>
      <x:c r="B85" s="2" t="str">
        <x:f>IF('Motor_Meciuri'!A11="","",'Motor_Meciuri'!A11)</x:f>
      </x:c>
      <x:c r="C85" s="2" t="str">
        <x:f>IF(B85="","",'Motor_Meciuri'!B11)</x:f>
      </x:c>
      <x:c r="D85" s="2" t="str">
        <x:f>IF(B85="","",'Motor_Meciuri'!D11)</x:f>
      </x:c>
      <x:c r="E85" s="2" t="str">
        <x:f>IF(B85="","",'Motor_Meciuri'!E11)</x:f>
      </x:c>
      <x:c r="F85" s="2" t="str">
        <x:v>U13,5</x:v>
      </x:c>
      <x:c r="G85" s="2" t="str">
        <x:v>UNDER</x:v>
      </x:c>
      <x:c r="H85" s="2" t="n">
        <x:v>13</x:v>
      </x:c>
      <x:c r="I85" s="2" t="str">
        <x:f>IF(B85="","",'Motor_Meciuri'!H11)</x:f>
      </x:c>
      <x:c r="J85" s="2" t="str">
        <x:f>IF(B85="","",'Motor_Meciuri'!I11)</x:f>
      </x:c>
      <x:c r="K85" s="11" t="str">
        <x:f>IF(J85&lt;&gt;"PASS","",'Motor_Meciuri'!BD11)</x:f>
      </x:c>
      <x:c r="L85" s="11" t="str">
        <x:f>IF(J85&lt;&gt;"PASS","",'Motor_Meciuri'!AU11)</x:f>
      </x:c>
      <x:c r="M85" s="10" t="str">
        <x:f>IF(NOT(AND(J85="PASS",'Calibrare_Linii'!U15="VALID")),"",'Distributie'!AK11)</x:f>
      </x:c>
      <x:c r="N85" s="10" t="str">
        <x:f>IF(M85="","",MAX(0.01,MIN(0.99,0.5+(M85-0.5)*'Motor_Meciuri'!BG11*'Calibrare_Linii'!D15)))</x:f>
      </x:c>
      <x:c r="O85" s="10" t="str">
        <x:f>IF(M85="","",1-M85)</x:f>
      </x:c>
      <x:c r="P85" s="10" t="str">
        <x:f>IF(OR(NOT(AND(J85="PASS",'Calibrare_Linii'!U15="VALID")),AK85=0),""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*('Istoric_Nativ'!$Q$6:$Q$405&gt;H85))/AK85)</x:f>
      </x:c>
      <x:c r="Q85" s="10" t="str">
        <x:f>IF(OR(NOT(AND(J85="PASS",'Calibrare_Linii'!U15="VALID")),AL85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M11)+((('Istoric_Nativ'!$E$6:$E$405='Input_Meci'!E11)+('Istoric_Nativ'!$F$6:$F$405='Input_Meci'!E11))&gt;0)*('Istoric_Nativ'!$D$6:$D$405&gt;='Motor_Meciuri'!BN11))&gt;0)*('Istoric_Nativ'!$Q$6:$Q$405&gt;H85))/AL85)</x:f>
      </x:c>
      <x:c r="R85" s="10" t="str">
        <x:f>IF(OR(NOT(AND(J85="PASS",'Calibrare_Linii'!U15="VALID")),AM85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O11)+((('Istoric_Nativ'!$E$6:$E$405='Input_Meci'!E11)+('Istoric_Nativ'!$F$6:$F$405='Input_Meci'!E11))&gt;0)*('Istoric_Nativ'!$D$6:$D$405&gt;='Motor_Meciuri'!BP11))&gt;0)*('Istoric_Nativ'!$Q$6:$Q$405&gt;H85))/AM85)</x:f>
      </x:c>
      <x:c r="S85" s="10" t="str">
        <x:f>IF(M85="","",MAX(O85,P85,Q85,R85))</x:f>
      </x:c>
      <x:c r="T85" s="11" t="str">
        <x:f>IF(M85="","",MIN(100,S85*100*'Config_v6'!$B$44+MIN(100,L85/'Config_v6'!$B$13*100)*'Config_v6'!$B$45+(100-'Motor_Meciuri'!BF11)*'Config_v6'!$B$46+'Motor_Meciuri'!BH11*100*'Config_v6'!$B$47))</x:f>
      </x:c>
      <x:c r="U85" s="2" t="str">
        <x:f>IF(T85="","",IF(T85&lt;=20,1,IF(T85&lt;=40,2,IF(T85&lt;=60,3,IF(T85&lt;=80,4,5)))))</x:f>
      </x:c>
      <x:c r="V85" s="2" t="str">
        <x:f>IF(M85="","",MAX(0,'Motor_Meciuri'!BF11-IF(W85="OOS PENDING",'Config_v6'!$B$35,0)-IF(L85&gt;'Config_v6'!$B$12,'Config_v6'!$B$37,IF(L85&gt;'Config_v6'!$B$11,'Config_v6'!$B$36,0))))</x:f>
      </x:c>
      <x:c r="W85" s="2" t="str">
        <x:f>IF(B85="","",IF(I85&lt;&gt;"READY","NOT RELEASED",IF(NOT(AND(J85="PASS",'Calibrare_Linii'!U15="VALID")),"INVALID",IF(NOT(AND('Calibrare_Linii'!S15="VALIDATED",AND('Calibrare_Linii'!H15=C85,ISNUMBER('Calibrare_Linii'!J15),'Calibrare_Linii'!J15&lt;='Input_Meci'!G11))),"OOS PENDING",IF(S85&lt;='Calibrare_Linii'!E15,"PASS",IF(S85&lt;='Calibrare_Linii'!F15,"PENALTY","WATCH"))))))</x:f>
      </x:c>
      <x:c r="X85" s="2" t="str">
        <x:f>IF(M85="","",IF(AND(AND(J85="PASS",'Calibrare_Linii'!U15="VALID"),'Motor_Meciuri'!K11=12,'Motor_Meciuri'!L11=12,'Motor_Meciuri'!M11="NO",'Motor_Meciuri'!BL11='Motor_Meciuri'!C11,AB85&gt;='Config_v6'!$B$50,AN85&gt;='Config_v6'!$B$51,T85&lt;='Config_v6'!$B$52,L85&lt;='Config_v6'!$B$53,ISNUMBER('Calibrare_Linii'!E15),S85&lt;='Calibrare_Linii'!E15,SUM(AK85:AM85)&gt;0),"CANDIDATE","NO"))</x:f>
      </x:c>
      <x:c r="Y85" s="2" t="str">
        <x:f>IF(B85="","",IF(I85&lt;&gt;"READY","NOT RELEASED",IF(AND(X85="CANDIDATE",V85&gt;='Config_v6'!$B$51,W85="PASS",'Calibrare_Linii'!T15="VALIDATED",AND('Calibrare_Linii'!H15=C85,ISNUMBER('Calibrare_Linii'!J15),'Calibrare_Linii'!J15&lt;='Input_Meci'!G11)),"PASS",IF(X85="CANDIDATE","OOS PENDING","FAIL"))))</x:f>
      </x:c>
      <x:c r="Z85" s="2" t="str">
        <x:f>IF(B85="","",IF(I85&lt;&gt;"READY","",IF(OR(NOT(AND(J85="PASS",'Calibrare_Linii'!U15="VALID")),L85&gt;'Config_v6'!$B$13,W85="WATCH"),5,IF(Y85="PASS",1,MIN(5,MAX('Config_v6'!$B$42,U85)+IF(W85="PENALTY",1,0))))))</x:f>
      </x:c>
      <x:c r="AA85" s="2" t="str">
        <x:f>IF(B85="","",IF(I85&lt;&gt;"READY","NOT RELEASED",IF(Z85=5,"NO BET",IF(OR(AB85&lt;'Config_v6'!$B$16,V85&lt;'Config_v6'!$B$18),"WATCH",IF(Z85=1,"DEFENSIV",IF(Z85=2,"PRUDENT",IF(Z85=3,"MODERAT","RIDICAT")))))))</x:f>
      </x:c>
      <x:c r="AB85" s="10" t="str">
        <x:f>IF(N85="","",MIN(N85,1-S85))</x:f>
      </x:c>
      <x:c r="AC85" s="2" t="str">
        <x:f>IF(AD85&lt;&gt;1,"",COUNTIFS($Z$76:$Z$89,"&lt;"&amp;Z85,$AD$76:$AD$89,1)+COUNTIFS($Z$76:$Z$89,Z85,$AB$76:$AB$89,"&gt;"&amp;AB85,$AD$76:$AD$89,1)+COUNTIFS($Z$76:$Z$89,Z85,$AB$76:$AB$89,AB85,$V$76:$V$89,"&gt;"&amp;V85,$AD$76:$AD$89,1)+COUNTIFS($Z$76:Z85,Z85,$AB$76:AB85,AB85,$V$76:V85,V85,$AD$76:AD85,1))</x:f>
      </x:c>
      <x:c r="AD85" s="2" t="n">
        <x:f>IF(OR(AA85="DEFENSIV",AA85="PRUDENT",AA85="MODERAT",AA85="RIDICAT"),1,0)</x:f>
        <x:v>0</x:v>
      </x:c>
      <x:c r="AE85" s="2" t="str">
        <x:f>IF(AD85&lt;&gt;1,"NO",IF(W85="PASS","YES",IF(W85="OOS PENDING","CONDITIONAL","NO")))</x:f>
        <x:v>NO</x:v>
      </x:c>
      <x:c r="AF85" s="2" t="n">
        <x:f>IF(AND(AD85=1,AC85=1,E85="LIVE"),1,0)</x:f>
        <x:v>0</x:v>
      </x:c>
      <x:c r="AG85" s="2" t="str">
        <x:f>IF(AF85&lt;&gt;1,"",'Dashboard'!P31)</x:f>
      </x:c>
      <x:c r="AH85" s="2" t="str">
        <x:f>IF(B85="","",IF(J85&lt;&gt;"PASS",'Motor_Meciuri'!J11,IF('Calibrare_Linii'!U15&lt;&gt;"VALID","Parametri linie invalizi",IF(L85&gt;'Config_v6'!$B$13,"Dispersie peste limita",IF(W85="WATCH","Failure peste limita",IF(AB85&lt;'Config_v6'!$B$16,"P finala sub prag",IF(V85&lt;'Config_v6'!$B$18,"Confidence sub prag",IF(E85="REPLAY","Exemplu retrospectiv; exclus din Top LIVE",IF(Y85="PASS","DEFENSIV validat",IF(W85="OOS PENDING","Eligibil; calibrare linie in monitorizare","Eligibil"))))))))))</x:f>
      </x:c>
      <x:c r="AI85" s="2" t="str">
        <x:f>IF(B85="","",'Calibrare_Linii'!V15)</x:f>
      </x:c>
      <x:c r="AJ85" s="2" t="str">
        <x:f>IF(B85="","",IF(AND('Calibrare_Linii'!T15="VALIDATED",AND('Calibrare_Linii'!H15=C85,ISNUMBER('Calibrare_Linii'!J15),'Calibrare_Linii'!J15&lt;='Input_Meci'!G11)),"DEFENSIVE VALIDATED",IF(AND('Calibrare_Linii'!S15="VALIDATED",AND('Calibrare_Linii'!H15=C85,ISNUMBER('Calibrare_Linii'!J15),'Calibrare_Linii'!J15&lt;='Input_Meci'!G11)),"TAIL VALIDATED","OOS PENDING")))</x:f>
      </x:c>
      <x:c r="AK85" s="2" t="n">
        <x:f>IF(J85&lt;&gt;"PASS",0,'Motor_Meciuri'!BR11)</x:f>
        <x:v>0</x:v>
      </x:c>
      <x:c r="AL85" s="2" t="n">
        <x:f>IF(J85&lt;&gt;"PASS",0,'Motor_Meciuri'!BS11)</x:f>
        <x:v>0</x:v>
      </x:c>
      <x:c r="AM85" s="2" t="n">
        <x:f>IF(J85&lt;&gt;"PASS",0,'Motor_Meciuri'!BT11)</x:f>
        <x:v>0</x:v>
      </x:c>
      <x:c r="AN85" s="2" t="str">
        <x:f>IF(M85="","",MAX(0,'Motor_Meciuri'!BF11-IF(L85&gt;'Config_v6'!$B$12,'Config_v6'!$B$37,IF(L85&gt;'Config_v6'!$B$11,'Config_v6'!$B$36,0))))</x:f>
      </x:c>
    </x:row>
    <x:row r="86" ht="21" customHeight="1">
      <x:c r="A86" s="2" t="n">
        <x:v>6</x:v>
      </x:c>
      <x:c r="B86" s="2" t="str">
        <x:f>IF('Motor_Meciuri'!A11="","",'Motor_Meciuri'!A11)</x:f>
      </x:c>
      <x:c r="C86" s="2" t="str">
        <x:f>IF(B86="","",'Motor_Meciuri'!B11)</x:f>
      </x:c>
      <x:c r="D86" s="2" t="str">
        <x:f>IF(B86="","",'Motor_Meciuri'!D11)</x:f>
      </x:c>
      <x:c r="E86" s="2" t="str">
        <x:f>IF(B86="","",'Motor_Meciuri'!E11)</x:f>
      </x:c>
      <x:c r="F86" s="2" t="str">
        <x:v>U14,5</x:v>
      </x:c>
      <x:c r="G86" s="2" t="str">
        <x:v>UNDER</x:v>
      </x:c>
      <x:c r="H86" s="2" t="n">
        <x:v>14</x:v>
      </x:c>
      <x:c r="I86" s="2" t="str">
        <x:f>IF(B86="","",'Motor_Meciuri'!H11)</x:f>
      </x:c>
      <x:c r="J86" s="2" t="str">
        <x:f>IF(B86="","",'Motor_Meciuri'!I11)</x:f>
      </x:c>
      <x:c r="K86" s="11" t="str">
        <x:f>IF(J86&lt;&gt;"PASS","",'Motor_Meciuri'!BD11)</x:f>
      </x:c>
      <x:c r="L86" s="11" t="str">
        <x:f>IF(J86&lt;&gt;"PASS","",'Motor_Meciuri'!AU11)</x:f>
      </x:c>
      <x:c r="M86" s="10" t="str">
        <x:f>IF(NOT(AND(J86="PASS",'Calibrare_Linii'!U16="VALID")),"",'Distributie'!AL11)</x:f>
      </x:c>
      <x:c r="N86" s="10" t="str">
        <x:f>IF(M86="","",MAX(0.01,MIN(0.99,0.5+(M86-0.5)*'Motor_Meciuri'!BG11*'Calibrare_Linii'!D16)))</x:f>
      </x:c>
      <x:c r="O86" s="10" t="str">
        <x:f>IF(M86="","",1-M86)</x:f>
      </x:c>
      <x:c r="P86" s="10" t="str">
        <x:f>IF(OR(NOT(AND(J86="PASS",'Calibrare_Linii'!U16="VALID")),AK86=0),""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*('Istoric_Nativ'!$Q$6:$Q$405&gt;H86))/AK86)</x:f>
      </x:c>
      <x:c r="Q86" s="10" t="str">
        <x:f>IF(OR(NOT(AND(J86="PASS",'Calibrare_Linii'!U16="VALID")),AL86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M11)+((('Istoric_Nativ'!$E$6:$E$405='Input_Meci'!E11)+('Istoric_Nativ'!$F$6:$F$405='Input_Meci'!E11))&gt;0)*('Istoric_Nativ'!$D$6:$D$405&gt;='Motor_Meciuri'!BN11))&gt;0)*('Istoric_Nativ'!$Q$6:$Q$405&gt;H86))/AL86)</x:f>
      </x:c>
      <x:c r="R86" s="10" t="str">
        <x:f>IF(OR(NOT(AND(J86="PASS",'Calibrare_Linii'!U16="VALID")),AM86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O11)+((('Istoric_Nativ'!$E$6:$E$405='Input_Meci'!E11)+('Istoric_Nativ'!$F$6:$F$405='Input_Meci'!E11))&gt;0)*('Istoric_Nativ'!$D$6:$D$405&gt;='Motor_Meciuri'!BP11))&gt;0)*('Istoric_Nativ'!$Q$6:$Q$405&gt;H86))/AM86)</x:f>
      </x:c>
      <x:c r="S86" s="10" t="str">
        <x:f>IF(M86="","",MAX(O86,P86,Q86,R86))</x:f>
      </x:c>
      <x:c r="T86" s="11" t="str">
        <x:f>IF(M86="","",MIN(100,S86*100*'Config_v6'!$B$44+MIN(100,L86/'Config_v6'!$B$13*100)*'Config_v6'!$B$45+(100-'Motor_Meciuri'!BF11)*'Config_v6'!$B$46+'Motor_Meciuri'!BH11*100*'Config_v6'!$B$47))</x:f>
      </x:c>
      <x:c r="U86" s="2" t="str">
        <x:f>IF(T86="","",IF(T86&lt;=20,1,IF(T86&lt;=40,2,IF(T86&lt;=60,3,IF(T86&lt;=80,4,5)))))</x:f>
      </x:c>
      <x:c r="V86" s="2" t="str">
        <x:f>IF(M86="","",MAX(0,'Motor_Meciuri'!BF11-IF(W86="OOS PENDING",'Config_v6'!$B$35,0)-IF(L86&gt;'Config_v6'!$B$12,'Config_v6'!$B$37,IF(L86&gt;'Config_v6'!$B$11,'Config_v6'!$B$36,0))))</x:f>
      </x:c>
      <x:c r="W86" s="2" t="str">
        <x:f>IF(B86="","",IF(I86&lt;&gt;"READY","NOT RELEASED",IF(NOT(AND(J86="PASS",'Calibrare_Linii'!U16="VALID")),"INVALID",IF(NOT(AND('Calibrare_Linii'!S16="VALIDATED",AND('Calibrare_Linii'!H16=C86,ISNUMBER('Calibrare_Linii'!J16),'Calibrare_Linii'!J16&lt;='Input_Meci'!G11))),"OOS PENDING",IF(S86&lt;='Calibrare_Linii'!E16,"PASS",IF(S86&lt;='Calibrare_Linii'!F16,"PENALTY","WATCH"))))))</x:f>
      </x:c>
      <x:c r="X86" s="2" t="str">
        <x:f>IF(M86="","",IF(AND(AND(J86="PASS",'Calibrare_Linii'!U16="VALID"),'Motor_Meciuri'!K11=12,'Motor_Meciuri'!L11=12,'Motor_Meciuri'!M11="NO",'Motor_Meciuri'!BL11='Motor_Meciuri'!C11,AB86&gt;='Config_v6'!$B$50,AN86&gt;='Config_v6'!$B$51,T86&lt;='Config_v6'!$B$52,L86&lt;='Config_v6'!$B$53,ISNUMBER('Calibrare_Linii'!E16),S86&lt;='Calibrare_Linii'!E16,SUM(AK86:AM86)&gt;0),"CANDIDATE","NO"))</x:f>
      </x:c>
      <x:c r="Y86" s="2" t="str">
        <x:f>IF(B86="","",IF(I86&lt;&gt;"READY","NOT RELEASED",IF(AND(X86="CANDIDATE",V86&gt;='Config_v6'!$B$51,W86="PASS",'Calibrare_Linii'!T16="VALIDATED",AND('Calibrare_Linii'!H16=C86,ISNUMBER('Calibrare_Linii'!J16),'Calibrare_Linii'!J16&lt;='Input_Meci'!G11)),"PASS",IF(X86="CANDIDATE","OOS PENDING","FAIL"))))</x:f>
      </x:c>
      <x:c r="Z86" s="2" t="str">
        <x:f>IF(B86="","",IF(I86&lt;&gt;"READY","",IF(OR(NOT(AND(J86="PASS",'Calibrare_Linii'!U16="VALID")),L86&gt;'Config_v6'!$B$13,W86="WATCH"),5,IF(Y86="PASS",1,MIN(5,MAX('Config_v6'!$B$42,U86)+IF(W86="PENALTY",1,0))))))</x:f>
      </x:c>
      <x:c r="AA86" s="2" t="str">
        <x:f>IF(B86="","",IF(I86&lt;&gt;"READY","NOT RELEASED",IF(Z86=5,"NO BET",IF(OR(AB86&lt;'Config_v6'!$B$16,V86&lt;'Config_v6'!$B$18),"WATCH",IF(Z86=1,"DEFENSIV",IF(Z86=2,"PRUDENT",IF(Z86=3,"MODERAT","RIDICAT")))))))</x:f>
      </x:c>
      <x:c r="AB86" s="10" t="str">
        <x:f>IF(N86="","",MIN(N86,1-S86))</x:f>
      </x:c>
      <x:c r="AC86" s="2" t="str">
        <x:f>IF(AD86&lt;&gt;1,"",COUNTIFS($Z$76:$Z$89,"&lt;"&amp;Z86,$AD$76:$AD$89,1)+COUNTIFS($Z$76:$Z$89,Z86,$AB$76:$AB$89,"&gt;"&amp;AB86,$AD$76:$AD$89,1)+COUNTIFS($Z$76:$Z$89,Z86,$AB$76:$AB$89,AB86,$V$76:$V$89,"&gt;"&amp;V86,$AD$76:$AD$89,1)+COUNTIFS($Z$76:Z86,Z86,$AB$76:AB86,AB86,$V$76:V86,V86,$AD$76:AD86,1))</x:f>
      </x:c>
      <x:c r="AD86" s="2" t="n">
        <x:f>IF(OR(AA86="DEFENSIV",AA86="PRUDENT",AA86="MODERAT",AA86="RIDICAT"),1,0)</x:f>
        <x:v>0</x:v>
      </x:c>
      <x:c r="AE86" s="2" t="str">
        <x:f>IF(AD86&lt;&gt;1,"NO",IF(W86="PASS","YES",IF(W86="OOS PENDING","CONDITIONAL","NO")))</x:f>
        <x:v>NO</x:v>
      </x:c>
      <x:c r="AF86" s="2" t="n">
        <x:f>IF(AND(AD86=1,AC86=1,E86="LIVE"),1,0)</x:f>
        <x:v>0</x:v>
      </x:c>
      <x:c r="AG86" s="2" t="str">
        <x:f>IF(AF86&lt;&gt;1,"",'Dashboard'!P31)</x:f>
      </x:c>
      <x:c r="AH86" s="2" t="str">
        <x:f>IF(B86="","",IF(J86&lt;&gt;"PASS",'Motor_Meciuri'!J11,IF('Calibrare_Linii'!U16&lt;&gt;"VALID","Parametri linie invalizi",IF(L86&gt;'Config_v6'!$B$13,"Dispersie peste limita",IF(W86="WATCH","Failure peste limita",IF(AB86&lt;'Config_v6'!$B$16,"P finala sub prag",IF(V86&lt;'Config_v6'!$B$18,"Confidence sub prag",IF(E86="REPLAY","Exemplu retrospectiv; exclus din Top LIVE",IF(Y86="PASS","DEFENSIV validat",IF(W86="OOS PENDING","Eligibil; calibrare linie in monitorizare","Eligibil"))))))))))</x:f>
      </x:c>
      <x:c r="AI86" s="2" t="str">
        <x:f>IF(B86="","",'Calibrare_Linii'!V16)</x:f>
      </x:c>
      <x:c r="AJ86" s="2" t="str">
        <x:f>IF(B86="","",IF(AND('Calibrare_Linii'!T16="VALIDATED",AND('Calibrare_Linii'!H16=C86,ISNUMBER('Calibrare_Linii'!J16),'Calibrare_Linii'!J16&lt;='Input_Meci'!G11)),"DEFENSIVE VALIDATED",IF(AND('Calibrare_Linii'!S16="VALIDATED",AND('Calibrare_Linii'!H16=C86,ISNUMBER('Calibrare_Linii'!J16),'Calibrare_Linii'!J16&lt;='Input_Meci'!G11)),"TAIL VALIDATED","OOS PENDING")))</x:f>
      </x:c>
      <x:c r="AK86" s="2" t="n">
        <x:f>IF(J86&lt;&gt;"PASS",0,'Motor_Meciuri'!BR11)</x:f>
        <x:v>0</x:v>
      </x:c>
      <x:c r="AL86" s="2" t="n">
        <x:f>IF(J86&lt;&gt;"PASS",0,'Motor_Meciuri'!BS11)</x:f>
        <x:v>0</x:v>
      </x:c>
      <x:c r="AM86" s="2" t="n">
        <x:f>IF(J86&lt;&gt;"PASS",0,'Motor_Meciuri'!BT11)</x:f>
        <x:v>0</x:v>
      </x:c>
      <x:c r="AN86" s="2" t="str">
        <x:f>IF(M86="","",MAX(0,'Motor_Meciuri'!BF11-IF(L86&gt;'Config_v6'!$B$12,'Config_v6'!$B$37,IF(L86&gt;'Config_v6'!$B$11,'Config_v6'!$B$36,0))))</x:f>
      </x:c>
    </x:row>
    <x:row r="87" ht="21" customHeight="1">
      <x:c r="A87" s="2" t="n">
        <x:v>6</x:v>
      </x:c>
      <x:c r="B87" s="2" t="str">
        <x:f>IF('Motor_Meciuri'!A11="","",'Motor_Meciuri'!A11)</x:f>
      </x:c>
      <x:c r="C87" s="2" t="str">
        <x:f>IF(B87="","",'Motor_Meciuri'!B11)</x:f>
      </x:c>
      <x:c r="D87" s="2" t="str">
        <x:f>IF(B87="","",'Motor_Meciuri'!D11)</x:f>
      </x:c>
      <x:c r="E87" s="2" t="str">
        <x:f>IF(B87="","",'Motor_Meciuri'!E11)</x:f>
      </x:c>
      <x:c r="F87" s="2" t="str">
        <x:v>U15,5</x:v>
      </x:c>
      <x:c r="G87" s="2" t="str">
        <x:v>UNDER</x:v>
      </x:c>
      <x:c r="H87" s="2" t="n">
        <x:v>15</x:v>
      </x:c>
      <x:c r="I87" s="2" t="str">
        <x:f>IF(B87="","",'Motor_Meciuri'!H11)</x:f>
      </x:c>
      <x:c r="J87" s="2" t="str">
        <x:f>IF(B87="","",'Motor_Meciuri'!I11)</x:f>
      </x:c>
      <x:c r="K87" s="11" t="str">
        <x:f>IF(J87&lt;&gt;"PASS","",'Motor_Meciuri'!BD11)</x:f>
      </x:c>
      <x:c r="L87" s="11" t="str">
        <x:f>IF(J87&lt;&gt;"PASS","",'Motor_Meciuri'!AU11)</x:f>
      </x:c>
      <x:c r="M87" s="10" t="str">
        <x:f>IF(NOT(AND(J87="PASS",'Calibrare_Linii'!U17="VALID")),"",'Distributie'!AM11)</x:f>
      </x:c>
      <x:c r="N87" s="10" t="str">
        <x:f>IF(M87="","",MAX(0.01,MIN(0.99,0.5+(M87-0.5)*'Motor_Meciuri'!BG11*'Calibrare_Linii'!D17)))</x:f>
      </x:c>
      <x:c r="O87" s="10" t="str">
        <x:f>IF(M87="","",1-M87)</x:f>
      </x:c>
      <x:c r="P87" s="10" t="str">
        <x:f>IF(OR(NOT(AND(J87="PASS",'Calibrare_Linii'!U17="VALID")),AK87=0),""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*('Istoric_Nativ'!$Q$6:$Q$405&gt;H87))/AK87)</x:f>
      </x:c>
      <x:c r="Q87" s="10" t="str">
        <x:f>IF(OR(NOT(AND(J87="PASS",'Calibrare_Linii'!U17="VALID")),AL87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M11)+((('Istoric_Nativ'!$E$6:$E$405='Input_Meci'!E11)+('Istoric_Nativ'!$F$6:$F$405='Input_Meci'!E11))&gt;0)*('Istoric_Nativ'!$D$6:$D$405&gt;='Motor_Meciuri'!BN11))&gt;0)*('Istoric_Nativ'!$Q$6:$Q$405&gt;H87))/AL87)</x:f>
      </x:c>
      <x:c r="R87" s="10" t="str">
        <x:f>IF(OR(NOT(AND(J87="PASS",'Calibrare_Linii'!U17="VALID")),AM87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O11)+((('Istoric_Nativ'!$E$6:$E$405='Input_Meci'!E11)+('Istoric_Nativ'!$F$6:$F$405='Input_Meci'!E11))&gt;0)*('Istoric_Nativ'!$D$6:$D$405&gt;='Motor_Meciuri'!BP11))&gt;0)*('Istoric_Nativ'!$Q$6:$Q$405&gt;H87))/AM87)</x:f>
      </x:c>
      <x:c r="S87" s="10" t="str">
        <x:f>IF(M87="","",MAX(O87,P87,Q87,R87))</x:f>
      </x:c>
      <x:c r="T87" s="11" t="str">
        <x:f>IF(M87="","",MIN(100,S87*100*'Config_v6'!$B$44+MIN(100,L87/'Config_v6'!$B$13*100)*'Config_v6'!$B$45+(100-'Motor_Meciuri'!BF11)*'Config_v6'!$B$46+'Motor_Meciuri'!BH11*100*'Config_v6'!$B$47))</x:f>
      </x:c>
      <x:c r="U87" s="2" t="str">
        <x:f>IF(T87="","",IF(T87&lt;=20,1,IF(T87&lt;=40,2,IF(T87&lt;=60,3,IF(T87&lt;=80,4,5)))))</x:f>
      </x:c>
      <x:c r="V87" s="2" t="str">
        <x:f>IF(M87="","",MAX(0,'Motor_Meciuri'!BF11-IF(W87="OOS PENDING",'Config_v6'!$B$35,0)-IF(L87&gt;'Config_v6'!$B$12,'Config_v6'!$B$37,IF(L87&gt;'Config_v6'!$B$11,'Config_v6'!$B$36,0))))</x:f>
      </x:c>
      <x:c r="W87" s="2" t="str">
        <x:f>IF(B87="","",IF(I87&lt;&gt;"READY","NOT RELEASED",IF(NOT(AND(J87="PASS",'Calibrare_Linii'!U17="VALID")),"INVALID",IF(NOT(AND('Calibrare_Linii'!S17="VALIDATED",AND('Calibrare_Linii'!H17=C87,ISNUMBER('Calibrare_Linii'!J17),'Calibrare_Linii'!J17&lt;='Input_Meci'!G11))),"OOS PENDING",IF(S87&lt;='Calibrare_Linii'!E17,"PASS",IF(S87&lt;='Calibrare_Linii'!F17,"PENALTY","WATCH"))))))</x:f>
      </x:c>
      <x:c r="X87" s="2" t="str">
        <x:f>IF(M87="","",IF(AND(AND(J87="PASS",'Calibrare_Linii'!U17="VALID"),'Motor_Meciuri'!K11=12,'Motor_Meciuri'!L11=12,'Motor_Meciuri'!M11="NO",'Motor_Meciuri'!BL11='Motor_Meciuri'!C11,AB87&gt;='Config_v6'!$B$50,AN87&gt;='Config_v6'!$B$51,T87&lt;='Config_v6'!$B$52,L87&lt;='Config_v6'!$B$53,ISNUMBER('Calibrare_Linii'!E17),S87&lt;='Calibrare_Linii'!E17,SUM(AK87:AM87)&gt;0),"CANDIDATE","NO"))</x:f>
      </x:c>
      <x:c r="Y87" s="2" t="str">
        <x:f>IF(B87="","",IF(I87&lt;&gt;"READY","NOT RELEASED",IF(AND(X87="CANDIDATE",V87&gt;='Config_v6'!$B$51,W87="PASS",'Calibrare_Linii'!T17="VALIDATED",AND('Calibrare_Linii'!H17=C87,ISNUMBER('Calibrare_Linii'!J17),'Calibrare_Linii'!J17&lt;='Input_Meci'!G11)),"PASS",IF(X87="CANDIDATE","OOS PENDING","FAIL"))))</x:f>
      </x:c>
      <x:c r="Z87" s="2" t="str">
        <x:f>IF(B87="","",IF(I87&lt;&gt;"READY","",IF(OR(NOT(AND(J87="PASS",'Calibrare_Linii'!U17="VALID")),L87&gt;'Config_v6'!$B$13,W87="WATCH"),5,IF(Y87="PASS",1,MIN(5,MAX('Config_v6'!$B$42,U87)+IF(W87="PENALTY",1,0))))))</x:f>
      </x:c>
      <x:c r="AA87" s="2" t="str">
        <x:f>IF(B87="","",IF(I87&lt;&gt;"READY","NOT RELEASED",IF(Z87=5,"NO BET",IF(OR(AB87&lt;'Config_v6'!$B$16,V87&lt;'Config_v6'!$B$18),"WATCH",IF(Z87=1,"DEFENSIV",IF(Z87=2,"PRUDENT",IF(Z87=3,"MODERAT","RIDICAT")))))))</x:f>
      </x:c>
      <x:c r="AB87" s="10" t="str">
        <x:f>IF(N87="","",MIN(N87,1-S87))</x:f>
      </x:c>
      <x:c r="AC87" s="2" t="str">
        <x:f>IF(AD87&lt;&gt;1,"",COUNTIFS($Z$76:$Z$89,"&lt;"&amp;Z87,$AD$76:$AD$89,1)+COUNTIFS($Z$76:$Z$89,Z87,$AB$76:$AB$89,"&gt;"&amp;AB87,$AD$76:$AD$89,1)+COUNTIFS($Z$76:$Z$89,Z87,$AB$76:$AB$89,AB87,$V$76:$V$89,"&gt;"&amp;V87,$AD$76:$AD$89,1)+COUNTIFS($Z$76:Z87,Z87,$AB$76:AB87,AB87,$V$76:V87,V87,$AD$76:AD87,1))</x:f>
      </x:c>
      <x:c r="AD87" s="2" t="n">
        <x:f>IF(OR(AA87="DEFENSIV",AA87="PRUDENT",AA87="MODERAT",AA87="RIDICAT"),1,0)</x:f>
        <x:v>0</x:v>
      </x:c>
      <x:c r="AE87" s="2" t="str">
        <x:f>IF(AD87&lt;&gt;1,"NO",IF(W87="PASS","YES",IF(W87="OOS PENDING","CONDITIONAL","NO")))</x:f>
        <x:v>NO</x:v>
      </x:c>
      <x:c r="AF87" s="2" t="n">
        <x:f>IF(AND(AD87=1,AC87=1,E87="LIVE"),1,0)</x:f>
        <x:v>0</x:v>
      </x:c>
      <x:c r="AG87" s="2" t="str">
        <x:f>IF(AF87&lt;&gt;1,"",'Dashboard'!P31)</x:f>
      </x:c>
      <x:c r="AH87" s="2" t="str">
        <x:f>IF(B87="","",IF(J87&lt;&gt;"PASS",'Motor_Meciuri'!J11,IF('Calibrare_Linii'!U17&lt;&gt;"VALID","Parametri linie invalizi",IF(L87&gt;'Config_v6'!$B$13,"Dispersie peste limita",IF(W87="WATCH","Failure peste limita",IF(AB87&lt;'Config_v6'!$B$16,"P finala sub prag",IF(V87&lt;'Config_v6'!$B$18,"Confidence sub prag",IF(E87="REPLAY","Exemplu retrospectiv; exclus din Top LIVE",IF(Y87="PASS","DEFENSIV validat",IF(W87="OOS PENDING","Eligibil; calibrare linie in monitorizare","Eligibil"))))))))))</x:f>
      </x:c>
      <x:c r="AI87" s="2" t="str">
        <x:f>IF(B87="","",'Calibrare_Linii'!V17)</x:f>
      </x:c>
      <x:c r="AJ87" s="2" t="str">
        <x:f>IF(B87="","",IF(AND('Calibrare_Linii'!T17="VALIDATED",AND('Calibrare_Linii'!H17=C87,ISNUMBER('Calibrare_Linii'!J17),'Calibrare_Linii'!J17&lt;='Input_Meci'!G11)),"DEFENSIVE VALIDATED",IF(AND('Calibrare_Linii'!S17="VALIDATED",AND('Calibrare_Linii'!H17=C87,ISNUMBER('Calibrare_Linii'!J17),'Calibrare_Linii'!J17&lt;='Input_Meci'!G11)),"TAIL VALIDATED","OOS PENDING")))</x:f>
      </x:c>
      <x:c r="AK87" s="2" t="n">
        <x:f>IF(J87&lt;&gt;"PASS",0,'Motor_Meciuri'!BR11)</x:f>
        <x:v>0</x:v>
      </x:c>
      <x:c r="AL87" s="2" t="n">
        <x:f>IF(J87&lt;&gt;"PASS",0,'Motor_Meciuri'!BS11)</x:f>
        <x:v>0</x:v>
      </x:c>
      <x:c r="AM87" s="2" t="n">
        <x:f>IF(J87&lt;&gt;"PASS",0,'Motor_Meciuri'!BT11)</x:f>
        <x:v>0</x:v>
      </x:c>
      <x:c r="AN87" s="2" t="str">
        <x:f>IF(M87="","",MAX(0,'Motor_Meciuri'!BF11-IF(L87&gt;'Config_v6'!$B$12,'Config_v6'!$B$37,IF(L87&gt;'Config_v6'!$B$11,'Config_v6'!$B$36,0))))</x:f>
      </x:c>
    </x:row>
    <x:row r="88" ht="21" customHeight="1">
      <x:c r="A88" s="2" t="n">
        <x:v>6</x:v>
      </x:c>
      <x:c r="B88" s="2" t="str">
        <x:f>IF('Motor_Meciuri'!A11="","",'Motor_Meciuri'!A11)</x:f>
      </x:c>
      <x:c r="C88" s="2" t="str">
        <x:f>IF(B88="","",'Motor_Meciuri'!B11)</x:f>
      </x:c>
      <x:c r="D88" s="2" t="str">
        <x:f>IF(B88="","",'Motor_Meciuri'!D11)</x:f>
      </x:c>
      <x:c r="E88" s="2" t="str">
        <x:f>IF(B88="","",'Motor_Meciuri'!E11)</x:f>
      </x:c>
      <x:c r="F88" s="2" t="str">
        <x:v>U16,5</x:v>
      </x:c>
      <x:c r="G88" s="2" t="str">
        <x:v>UNDER</x:v>
      </x:c>
      <x:c r="H88" s="2" t="n">
        <x:v>16</x:v>
      </x:c>
      <x:c r="I88" s="2" t="str">
        <x:f>IF(B88="","",'Motor_Meciuri'!H11)</x:f>
      </x:c>
      <x:c r="J88" s="2" t="str">
        <x:f>IF(B88="","",'Motor_Meciuri'!I11)</x:f>
      </x:c>
      <x:c r="K88" s="11" t="str">
        <x:f>IF(J88&lt;&gt;"PASS","",'Motor_Meciuri'!BD11)</x:f>
      </x:c>
      <x:c r="L88" s="11" t="str">
        <x:f>IF(J88&lt;&gt;"PASS","",'Motor_Meciuri'!AU11)</x:f>
      </x:c>
      <x:c r="M88" s="10" t="str">
        <x:f>IF(NOT(AND(J88="PASS",'Calibrare_Linii'!U18="VALID")),"",'Distributie'!AN11)</x:f>
      </x:c>
      <x:c r="N88" s="10" t="str">
        <x:f>IF(M88="","",MAX(0.01,MIN(0.99,0.5+(M88-0.5)*'Motor_Meciuri'!BG11*'Calibrare_Linii'!D18)))</x:f>
      </x:c>
      <x:c r="O88" s="10" t="str">
        <x:f>IF(M88="","",1-M88)</x:f>
      </x:c>
      <x:c r="P88" s="10" t="str">
        <x:f>IF(OR(NOT(AND(J88="PASS",'Calibrare_Linii'!U18="VALID")),AK88=0),""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*('Istoric_Nativ'!$Q$6:$Q$405&gt;H88))/AK88)</x:f>
      </x:c>
      <x:c r="Q88" s="10" t="str">
        <x:f>IF(OR(NOT(AND(J88="PASS",'Calibrare_Linii'!U18="VALID")),AL88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M11)+((('Istoric_Nativ'!$E$6:$E$405='Input_Meci'!E11)+('Istoric_Nativ'!$F$6:$F$405='Input_Meci'!E11))&gt;0)*('Istoric_Nativ'!$D$6:$D$405&gt;='Motor_Meciuri'!BN11))&gt;0)*('Istoric_Nativ'!$Q$6:$Q$405&gt;H88))/AL88)</x:f>
      </x:c>
      <x:c r="R88" s="10" t="str">
        <x:f>IF(OR(NOT(AND(J88="PASS",'Calibrare_Linii'!U18="VALID")),AM88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O11)+((('Istoric_Nativ'!$E$6:$E$405='Input_Meci'!E11)+('Istoric_Nativ'!$F$6:$F$405='Input_Meci'!E11))&gt;0)*('Istoric_Nativ'!$D$6:$D$405&gt;='Motor_Meciuri'!BP11))&gt;0)*('Istoric_Nativ'!$Q$6:$Q$405&gt;H88))/AM88)</x:f>
      </x:c>
      <x:c r="S88" s="10" t="str">
        <x:f>IF(M88="","",MAX(O88,P88,Q88,R88))</x:f>
      </x:c>
      <x:c r="T88" s="11" t="str">
        <x:f>IF(M88="","",MIN(100,S88*100*'Config_v6'!$B$44+MIN(100,L88/'Config_v6'!$B$13*100)*'Config_v6'!$B$45+(100-'Motor_Meciuri'!BF11)*'Config_v6'!$B$46+'Motor_Meciuri'!BH11*100*'Config_v6'!$B$47))</x:f>
      </x:c>
      <x:c r="U88" s="2" t="str">
        <x:f>IF(T88="","",IF(T88&lt;=20,1,IF(T88&lt;=40,2,IF(T88&lt;=60,3,IF(T88&lt;=80,4,5)))))</x:f>
      </x:c>
      <x:c r="V88" s="2" t="str">
        <x:f>IF(M88="","",MAX(0,'Motor_Meciuri'!BF11-IF(W88="OOS PENDING",'Config_v6'!$B$35,0)-IF(L88&gt;'Config_v6'!$B$12,'Config_v6'!$B$37,IF(L88&gt;'Config_v6'!$B$11,'Config_v6'!$B$36,0))))</x:f>
      </x:c>
      <x:c r="W88" s="2" t="str">
        <x:f>IF(B88="","",IF(I88&lt;&gt;"READY","NOT RELEASED",IF(NOT(AND(J88="PASS",'Calibrare_Linii'!U18="VALID")),"INVALID",IF(NOT(AND('Calibrare_Linii'!S18="VALIDATED",AND('Calibrare_Linii'!H18=C88,ISNUMBER('Calibrare_Linii'!J18),'Calibrare_Linii'!J18&lt;='Input_Meci'!G11))),"OOS PENDING",IF(S88&lt;='Calibrare_Linii'!E18,"PASS",IF(S88&lt;='Calibrare_Linii'!F18,"PENALTY","WATCH"))))))</x:f>
      </x:c>
      <x:c r="X88" s="2" t="str">
        <x:f>IF(M88="","",IF(AND(AND(J88="PASS",'Calibrare_Linii'!U18="VALID"),'Motor_Meciuri'!K11=12,'Motor_Meciuri'!L11=12,'Motor_Meciuri'!M11="NO",'Motor_Meciuri'!BL11='Motor_Meciuri'!C11,AB88&gt;='Config_v6'!$B$50,AN88&gt;='Config_v6'!$B$51,T88&lt;='Config_v6'!$B$52,L88&lt;='Config_v6'!$B$53,ISNUMBER('Calibrare_Linii'!E18),S88&lt;='Calibrare_Linii'!E18,SUM(AK88:AM88)&gt;0),"CANDIDATE","NO"))</x:f>
      </x:c>
      <x:c r="Y88" s="2" t="str">
        <x:f>IF(B88="","",IF(I88&lt;&gt;"READY","NOT RELEASED",IF(AND(X88="CANDIDATE",V88&gt;='Config_v6'!$B$51,W88="PASS",'Calibrare_Linii'!T18="VALIDATED",AND('Calibrare_Linii'!H18=C88,ISNUMBER('Calibrare_Linii'!J18),'Calibrare_Linii'!J18&lt;='Input_Meci'!G11)),"PASS",IF(X88="CANDIDATE","OOS PENDING","FAIL"))))</x:f>
      </x:c>
      <x:c r="Z88" s="2" t="str">
        <x:f>IF(B88="","",IF(I88&lt;&gt;"READY","",IF(OR(NOT(AND(J88="PASS",'Calibrare_Linii'!U18="VALID")),L88&gt;'Config_v6'!$B$13,W88="WATCH"),5,IF(Y88="PASS",1,MIN(5,MAX('Config_v6'!$B$42,U88)+IF(W88="PENALTY",1,0))))))</x:f>
      </x:c>
      <x:c r="AA88" s="2" t="str">
        <x:f>IF(B88="","",IF(I88&lt;&gt;"READY","NOT RELEASED",IF(Z88=5,"NO BET",IF(OR(AB88&lt;'Config_v6'!$B$16,V88&lt;'Config_v6'!$B$18),"WATCH",IF(Z88=1,"DEFENSIV",IF(Z88=2,"PRUDENT",IF(Z88=3,"MODERAT","RIDICAT")))))))</x:f>
      </x:c>
      <x:c r="AB88" s="10" t="str">
        <x:f>IF(N88="","",MIN(N88,1-S88))</x:f>
      </x:c>
      <x:c r="AC88" s="2" t="str">
        <x:f>IF(AD88&lt;&gt;1,"",COUNTIFS($Z$76:$Z$89,"&lt;"&amp;Z88,$AD$76:$AD$89,1)+COUNTIFS($Z$76:$Z$89,Z88,$AB$76:$AB$89,"&gt;"&amp;AB88,$AD$76:$AD$89,1)+COUNTIFS($Z$76:$Z$89,Z88,$AB$76:$AB$89,AB88,$V$76:$V$89,"&gt;"&amp;V88,$AD$76:$AD$89,1)+COUNTIFS($Z$76:Z88,Z88,$AB$76:AB88,AB88,$V$76:V88,V88,$AD$76:AD88,1))</x:f>
      </x:c>
      <x:c r="AD88" s="2" t="n">
        <x:f>IF(OR(AA88="DEFENSIV",AA88="PRUDENT",AA88="MODERAT",AA88="RIDICAT"),1,0)</x:f>
        <x:v>0</x:v>
      </x:c>
      <x:c r="AE88" s="2" t="str">
        <x:f>IF(AD88&lt;&gt;1,"NO",IF(W88="PASS","YES",IF(W88="OOS PENDING","CONDITIONAL","NO")))</x:f>
        <x:v>NO</x:v>
      </x:c>
      <x:c r="AF88" s="2" t="n">
        <x:f>IF(AND(AD88=1,AC88=1,E88="LIVE"),1,0)</x:f>
        <x:v>0</x:v>
      </x:c>
      <x:c r="AG88" s="2" t="str">
        <x:f>IF(AF88&lt;&gt;1,"",'Dashboard'!P31)</x:f>
      </x:c>
      <x:c r="AH88" s="2" t="str">
        <x:f>IF(B88="","",IF(J88&lt;&gt;"PASS",'Motor_Meciuri'!J11,IF('Calibrare_Linii'!U18&lt;&gt;"VALID","Parametri linie invalizi",IF(L88&gt;'Config_v6'!$B$13,"Dispersie peste limita",IF(W88="WATCH","Failure peste limita",IF(AB88&lt;'Config_v6'!$B$16,"P finala sub prag",IF(V88&lt;'Config_v6'!$B$18,"Confidence sub prag",IF(E88="REPLAY","Exemplu retrospectiv; exclus din Top LIVE",IF(Y88="PASS","DEFENSIV validat",IF(W88="OOS PENDING","Eligibil; calibrare linie in monitorizare","Eligibil"))))))))))</x:f>
      </x:c>
      <x:c r="AI88" s="2" t="str">
        <x:f>IF(B88="","",'Calibrare_Linii'!V18)</x:f>
      </x:c>
      <x:c r="AJ88" s="2" t="str">
        <x:f>IF(B88="","",IF(AND('Calibrare_Linii'!T18="VALIDATED",AND('Calibrare_Linii'!H18=C88,ISNUMBER('Calibrare_Linii'!J18),'Calibrare_Linii'!J18&lt;='Input_Meci'!G11)),"DEFENSIVE VALIDATED",IF(AND('Calibrare_Linii'!S18="VALIDATED",AND('Calibrare_Linii'!H18=C88,ISNUMBER('Calibrare_Linii'!J18),'Calibrare_Linii'!J18&lt;='Input_Meci'!G11)),"TAIL VALIDATED","OOS PENDING")))</x:f>
      </x:c>
      <x:c r="AK88" s="2" t="n">
        <x:f>IF(J88&lt;&gt;"PASS",0,'Motor_Meciuri'!BR11)</x:f>
        <x:v>0</x:v>
      </x:c>
      <x:c r="AL88" s="2" t="n">
        <x:f>IF(J88&lt;&gt;"PASS",0,'Motor_Meciuri'!BS11)</x:f>
        <x:v>0</x:v>
      </x:c>
      <x:c r="AM88" s="2" t="n">
        <x:f>IF(J88&lt;&gt;"PASS",0,'Motor_Meciuri'!BT11)</x:f>
        <x:v>0</x:v>
      </x:c>
      <x:c r="AN88" s="2" t="str">
        <x:f>IF(M88="","",MAX(0,'Motor_Meciuri'!BF11-IF(L88&gt;'Config_v6'!$B$12,'Config_v6'!$B$37,IF(L88&gt;'Config_v6'!$B$11,'Config_v6'!$B$36,0))))</x:f>
      </x:c>
    </x:row>
    <x:row r="89" ht="21" customHeight="1">
      <x:c r="A89" s="2" t="n">
        <x:v>6</x:v>
      </x:c>
      <x:c r="B89" s="2" t="str">
        <x:f>IF('Motor_Meciuri'!A11="","",'Motor_Meciuri'!A11)</x:f>
      </x:c>
      <x:c r="C89" s="2" t="str">
        <x:f>IF(B89="","",'Motor_Meciuri'!B11)</x:f>
      </x:c>
      <x:c r="D89" s="2" t="str">
        <x:f>IF(B89="","",'Motor_Meciuri'!D11)</x:f>
      </x:c>
      <x:c r="E89" s="2" t="str">
        <x:f>IF(B89="","",'Motor_Meciuri'!E11)</x:f>
      </x:c>
      <x:c r="F89" s="2" t="str">
        <x:v>U17,5</x:v>
      </x:c>
      <x:c r="G89" s="2" t="str">
        <x:v>UNDER</x:v>
      </x:c>
      <x:c r="H89" s="2" t="n">
        <x:v>17</x:v>
      </x:c>
      <x:c r="I89" s="2" t="str">
        <x:f>IF(B89="","",'Motor_Meciuri'!H11)</x:f>
      </x:c>
      <x:c r="J89" s="2" t="str">
        <x:f>IF(B89="","",'Motor_Meciuri'!I11)</x:f>
      </x:c>
      <x:c r="K89" s="11" t="str">
        <x:f>IF(J89&lt;&gt;"PASS","",'Motor_Meciuri'!BD11)</x:f>
      </x:c>
      <x:c r="L89" s="11" t="str">
        <x:f>IF(J89&lt;&gt;"PASS","",'Motor_Meciuri'!AU11)</x:f>
      </x:c>
      <x:c r="M89" s="10" t="str">
        <x:f>IF(NOT(AND(J89="PASS",'Calibrare_Linii'!U19="VALID")),"",'Distributie'!AO11)</x:f>
      </x:c>
      <x:c r="N89" s="10" t="str">
        <x:f>IF(M89="","",MAX(0.01,MIN(0.99,0.5+(M89-0.5)*'Motor_Meciuri'!BG11*'Calibrare_Linii'!D19)))</x:f>
      </x:c>
      <x:c r="O89" s="10" t="str">
        <x:f>IF(M89="","",1-M89)</x:f>
      </x:c>
      <x:c r="P89" s="10" t="str">
        <x:f>IF(OR(NOT(AND(J89="PASS",'Calibrare_Linii'!U19="VALID")),AK89=0),""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*('Istoric_Nativ'!$Q$6:$Q$405&gt;H89))/AK89)</x:f>
      </x:c>
      <x:c r="Q89" s="10" t="str">
        <x:f>IF(OR(NOT(AND(J89="PASS",'Calibrare_Linii'!U19="VALID")),AL89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M11)+((('Istoric_Nativ'!$E$6:$E$405='Input_Meci'!E11)+('Istoric_Nativ'!$F$6:$F$405='Input_Meci'!E11))&gt;0)*('Istoric_Nativ'!$D$6:$D$405&gt;='Motor_Meciuri'!BN11))&gt;0)*('Istoric_Nativ'!$Q$6:$Q$405&gt;H89))/AL89)</x:f>
      </x:c>
      <x:c r="R89" s="10" t="str">
        <x:f>IF(OR(NOT(AND(J89="PASS",'Calibrare_Linii'!U19="VALID")),AM89=0),""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'Motor_Meciuri'!BO11)+((('Istoric_Nativ'!$E$6:$E$405='Input_Meci'!E11)+('Istoric_Nativ'!$F$6:$F$405='Input_Meci'!E11))&gt;0)*('Istoric_Nativ'!$D$6:$D$405&gt;='Motor_Meciuri'!BP11))&gt;0)*('Istoric_Nativ'!$Q$6:$Q$405&gt;H89))/AM89)</x:f>
      </x:c>
      <x:c r="S89" s="10" t="str">
        <x:f>IF(M89="","",MAX(O89,P89,Q89,R89))</x:f>
      </x:c>
      <x:c r="T89" s="11" t="str">
        <x:f>IF(M89="","",MIN(100,S89*100*'Config_v6'!$B$44+MIN(100,L89/'Config_v6'!$B$13*100)*'Config_v6'!$B$45+(100-'Motor_Meciuri'!BF11)*'Config_v6'!$B$46+'Motor_Meciuri'!BH11*100*'Config_v6'!$B$47))</x:f>
      </x:c>
      <x:c r="U89" s="2" t="str">
        <x:f>IF(T89="","",IF(T89&lt;=20,1,IF(T89&lt;=40,2,IF(T89&lt;=60,3,IF(T89&lt;=80,4,5)))))</x:f>
      </x:c>
      <x:c r="V89" s="2" t="str">
        <x:f>IF(M89="","",MAX(0,'Motor_Meciuri'!BF11-IF(W89="OOS PENDING",'Config_v6'!$B$35,0)-IF(L89&gt;'Config_v6'!$B$12,'Config_v6'!$B$37,IF(L89&gt;'Config_v6'!$B$11,'Config_v6'!$B$36,0))))</x:f>
      </x:c>
      <x:c r="W89" s="2" t="str">
        <x:f>IF(B89="","",IF(I89&lt;&gt;"READY","NOT RELEASED",IF(NOT(AND(J89="PASS",'Calibrare_Linii'!U19="VALID")),"INVALID",IF(NOT(AND('Calibrare_Linii'!S19="VALIDATED",AND('Calibrare_Linii'!H19=C89,ISNUMBER('Calibrare_Linii'!J19),'Calibrare_Linii'!J19&lt;='Input_Meci'!G11))),"OOS PENDING",IF(S89&lt;='Calibrare_Linii'!E19,"PASS",IF(S89&lt;='Calibrare_Linii'!F19,"PENALTY","WATCH"))))))</x:f>
      </x:c>
      <x:c r="X89" s="2" t="str">
        <x:f>IF(M89="","",IF(AND(AND(J89="PASS",'Calibrare_Linii'!U19="VALID"),'Motor_Meciuri'!K11=12,'Motor_Meciuri'!L11=12,'Motor_Meciuri'!M11="NO",'Motor_Meciuri'!BL11='Motor_Meciuri'!C11,AB89&gt;='Config_v6'!$B$50,AN89&gt;='Config_v6'!$B$51,T89&lt;='Config_v6'!$B$52,L89&lt;='Config_v6'!$B$53,ISNUMBER('Calibrare_Linii'!E19),S89&lt;='Calibrare_Linii'!E19,SUM(AK89:AM89)&gt;0),"CANDIDATE","NO"))</x:f>
      </x:c>
      <x:c r="Y89" s="2" t="str">
        <x:f>IF(B89="","",IF(I89&lt;&gt;"READY","NOT RELEASED",IF(AND(X89="CANDIDATE",V89&gt;='Config_v6'!$B$51,W89="PASS",'Calibrare_Linii'!T19="VALIDATED",AND('Calibrare_Linii'!H19=C89,ISNUMBER('Calibrare_Linii'!J19),'Calibrare_Linii'!J19&lt;='Input_Meci'!G11)),"PASS",IF(X89="CANDIDATE","OOS PENDING","FAIL"))))</x:f>
      </x:c>
      <x:c r="Z89" s="2" t="str">
        <x:f>IF(B89="","",IF(I89&lt;&gt;"READY","",IF(OR(NOT(AND(J89="PASS",'Calibrare_Linii'!U19="VALID")),L89&gt;'Config_v6'!$B$13,W89="WATCH"),5,IF(Y89="PASS",1,MIN(5,MAX('Config_v6'!$B$42,U89)+IF(W89="PENALTY",1,0))))))</x:f>
      </x:c>
      <x:c r="AA89" s="2" t="str">
        <x:f>IF(B89="","",IF(I89&lt;&gt;"READY","NOT RELEASED",IF(Z89=5,"NO BET",IF(OR(AB89&lt;'Config_v6'!$B$16,V89&lt;'Config_v6'!$B$18),"WATCH",IF(Z89=1,"DEFENSIV",IF(Z89=2,"PRUDENT",IF(Z89=3,"MODERAT","RIDICAT")))))))</x:f>
      </x:c>
      <x:c r="AB89" s="10" t="str">
        <x:f>IF(N89="","",MIN(N89,1-S89))</x:f>
      </x:c>
      <x:c r="AC89" s="2" t="str">
        <x:f>IF(AD89&lt;&gt;1,"",COUNTIFS($Z$76:$Z$89,"&lt;"&amp;Z89,$AD$76:$AD$89,1)+COUNTIFS($Z$76:$Z$89,Z89,$AB$76:$AB$89,"&gt;"&amp;AB89,$AD$76:$AD$89,1)+COUNTIFS($Z$76:$Z$89,Z89,$AB$76:$AB$89,AB89,$V$76:$V$89,"&gt;"&amp;V89,$AD$76:$AD$89,1)+COUNTIFS($Z$76:Z89,Z89,$AB$76:AB89,AB89,$V$76:V89,V89,$AD$76:AD89,1))</x:f>
      </x:c>
      <x:c r="AD89" s="2" t="n">
        <x:f>IF(OR(AA89="DEFENSIV",AA89="PRUDENT",AA89="MODERAT",AA89="RIDICAT"),1,0)</x:f>
        <x:v>0</x:v>
      </x:c>
      <x:c r="AE89" s="2" t="str">
        <x:f>IF(AD89&lt;&gt;1,"NO",IF(W89="PASS","YES",IF(W89="OOS PENDING","CONDITIONAL","NO")))</x:f>
        <x:v>NO</x:v>
      </x:c>
      <x:c r="AF89" s="2" t="n">
        <x:f>IF(AND(AD89=1,AC89=1,E89="LIVE"),1,0)</x:f>
        <x:v>0</x:v>
      </x:c>
      <x:c r="AG89" s="2" t="str">
        <x:f>IF(AF89&lt;&gt;1,"",'Dashboard'!P31)</x:f>
      </x:c>
      <x:c r="AH89" s="2" t="str">
        <x:f>IF(B89="","",IF(J89&lt;&gt;"PASS",'Motor_Meciuri'!J11,IF('Calibrare_Linii'!U19&lt;&gt;"VALID","Parametri linie invalizi",IF(L89&gt;'Config_v6'!$B$13,"Dispersie peste limita",IF(W89="WATCH","Failure peste limita",IF(AB89&lt;'Config_v6'!$B$16,"P finala sub prag",IF(V89&lt;'Config_v6'!$B$18,"Confidence sub prag",IF(E89="REPLAY","Exemplu retrospectiv; exclus din Top LIVE",IF(Y89="PASS","DEFENSIV validat",IF(W89="OOS PENDING","Eligibil; calibrare linie in monitorizare","Eligibil"))))))))))</x:f>
      </x:c>
      <x:c r="AI89" s="2" t="str">
        <x:f>IF(B89="","",'Calibrare_Linii'!V19)</x:f>
      </x:c>
      <x:c r="AJ89" s="2" t="str">
        <x:f>IF(B89="","",IF(AND('Calibrare_Linii'!T19="VALIDATED",AND('Calibrare_Linii'!H19=C89,ISNUMBER('Calibrare_Linii'!J19),'Calibrare_Linii'!J19&lt;='Input_Meci'!G11)),"DEFENSIVE VALIDATED",IF(AND('Calibrare_Linii'!S19="VALIDATED",AND('Calibrare_Linii'!H19=C89,ISNUMBER('Calibrare_Linii'!J19),'Calibrare_Linii'!J19&lt;='Input_Meci'!G11)),"TAIL VALIDATED","OOS PENDING")))</x:f>
      </x:c>
      <x:c r="AK89" s="2" t="n">
        <x:f>IF(J89&lt;&gt;"PASS",0,'Motor_Meciuri'!BR11)</x:f>
        <x:v>0</x:v>
      </x:c>
      <x:c r="AL89" s="2" t="n">
        <x:f>IF(J89&lt;&gt;"PASS",0,'Motor_Meciuri'!BS11)</x:f>
        <x:v>0</x:v>
      </x:c>
      <x:c r="AM89" s="2" t="n">
        <x:f>IF(J89&lt;&gt;"PASS",0,'Motor_Meciuri'!BT11)</x:f>
        <x:v>0</x:v>
      </x:c>
      <x:c r="AN89" s="2" t="str">
        <x:f>IF(M89="","",MAX(0,'Motor_Meciuri'!BF11-IF(L89&gt;'Config_v6'!$B$12,'Config_v6'!$B$37,IF(L89&gt;'Config_v6'!$B$11,'Config_v6'!$B$36,0))))</x:f>
      </x:c>
    </x:row>
    <x:row r="90" ht="21" customHeight="1">
      <x:c r="A90" s="2" t="n">
        <x:v>7</x:v>
      </x:c>
      <x:c r="B90" s="2" t="str">
        <x:f>IF('Motor_Meciuri'!A12="","",'Motor_Meciuri'!A12)</x:f>
      </x:c>
      <x:c r="C90" s="2" t="str">
        <x:f>IF(B90="","",'Motor_Meciuri'!B12)</x:f>
      </x:c>
      <x:c r="D90" s="2" t="str">
        <x:f>IF(B90="","",'Motor_Meciuri'!D12)</x:f>
      </x:c>
      <x:c r="E90" s="2" t="str">
        <x:f>IF(B90="","",'Motor_Meciuri'!E12)</x:f>
      </x:c>
      <x:c r="F90" s="2" t="str">
        <x:v>O3,5</x:v>
      </x:c>
      <x:c r="G90" s="2" t="str">
        <x:v>OVER</x:v>
      </x:c>
      <x:c r="H90" s="2" t="n">
        <x:v>3</x:v>
      </x:c>
      <x:c r="I90" s="2" t="str">
        <x:f>IF(B90="","",'Motor_Meciuri'!H12)</x:f>
      </x:c>
      <x:c r="J90" s="2" t="str">
        <x:f>IF(B90="","",'Motor_Meciuri'!I12)</x:f>
      </x:c>
      <x:c r="K90" s="11" t="str">
        <x:f>IF(J90&lt;&gt;"PASS","",'Motor_Meciuri'!BD12)</x:f>
      </x:c>
      <x:c r="L90" s="11" t="str">
        <x:f>IF(J90&lt;&gt;"PASS","",'Motor_Meciuri'!AU12)</x:f>
      </x:c>
      <x:c r="M90" s="10" t="str">
        <x:f>IF(NOT(AND(J90="PASS",'Calibrare_Linii'!U6="VALID")),"",1-'Distributie'!AA12)</x:f>
      </x:c>
      <x:c r="N90" s="10" t="str">
        <x:f>IF(M90="","",MAX(0.01,MIN(0.99,0.5+(M90-0.5)*'Motor_Meciuri'!BG12*'Calibrare_Linii'!D6)))</x:f>
      </x:c>
      <x:c r="O90" s="10" t="str">
        <x:f>IF(M90="","",1-M90)</x:f>
      </x:c>
      <x:c r="P90" s="10" t="str">
        <x:f>IF(OR(NOT(AND(J90="PASS",'Calibrare_Linii'!U6="VALID")),AK90=0),""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*('Istoric_Nativ'!$Q$6:$Q$405&lt;=H90))/AK90)</x:f>
      </x:c>
      <x:c r="Q90" s="10" t="str">
        <x:f>IF(OR(NOT(AND(J90="PASS",'Calibrare_Linii'!U6="VALID")),AL90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M12)+((('Istoric_Nativ'!$E$6:$E$405='Input_Meci'!E12)+('Istoric_Nativ'!$F$6:$F$405='Input_Meci'!E12))&gt;0)*('Istoric_Nativ'!$D$6:$D$405&gt;='Motor_Meciuri'!BN12))&gt;0)*('Istoric_Nativ'!$Q$6:$Q$405&lt;=H90))/AL90)</x:f>
      </x:c>
      <x:c r="R90" s="10" t="str">
        <x:f>IF(OR(NOT(AND(J90="PASS",'Calibrare_Linii'!U6="VALID")),AM90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O12)+((('Istoric_Nativ'!$E$6:$E$405='Input_Meci'!E12)+('Istoric_Nativ'!$F$6:$F$405='Input_Meci'!E12))&gt;0)*('Istoric_Nativ'!$D$6:$D$405&gt;='Motor_Meciuri'!BP12))&gt;0)*('Istoric_Nativ'!$Q$6:$Q$405&lt;=H90))/AM90)</x:f>
      </x:c>
      <x:c r="S90" s="10" t="str">
        <x:f>IF(M90="","",MAX(O90,P90,Q90,R90))</x:f>
      </x:c>
      <x:c r="T90" s="11" t="str">
        <x:f>IF(M90="","",MIN(100,S90*100*'Config_v6'!$B$44+MIN(100,L90/'Config_v6'!$B$13*100)*'Config_v6'!$B$45+(100-'Motor_Meciuri'!BF12)*'Config_v6'!$B$46+'Motor_Meciuri'!BH12*100*'Config_v6'!$B$47))</x:f>
      </x:c>
      <x:c r="U90" s="2" t="str">
        <x:f>IF(T90="","",IF(T90&lt;=20,1,IF(T90&lt;=40,2,IF(T90&lt;=60,3,IF(T90&lt;=80,4,5)))))</x:f>
      </x:c>
      <x:c r="V90" s="2" t="str">
        <x:f>IF(M90="","",MAX(0,'Motor_Meciuri'!BF12-IF(W90="OOS PENDING",'Config_v6'!$B$35,0)-IF(L90&gt;'Config_v6'!$B$12,'Config_v6'!$B$37,IF(L90&gt;'Config_v6'!$B$11,'Config_v6'!$B$36,0))))</x:f>
      </x:c>
      <x:c r="W90" s="2" t="str">
        <x:f>IF(B90="","",IF(I90&lt;&gt;"READY","NOT RELEASED",IF(NOT(AND(J90="PASS",'Calibrare_Linii'!U6="VALID")),"INVALID",IF(NOT(TRUE),"OOS PENDING",IF(S90&lt;=IF(AND('Calibrare_Linii'!S6="VALIDATED",AND('Calibrare_Linii'!H6=C90,ISNUMBER('Calibrare_Linii'!J6),'Calibrare_Linii'!J6&lt;='Input_Meci'!G12)),'Calibrare_Linii'!E6,'Config_v6'!$B$26),"PASS",IF(S90&lt;=IF(AND('Calibrare_Linii'!S6="VALIDATED",AND('Calibrare_Linii'!H6=C90,ISNUMBER('Calibrare_Linii'!J6),'Calibrare_Linii'!J6&lt;='Input_Meci'!G12)),'Calibrare_Linii'!F6,'Config_v6'!$C$26),"PENALTY","WATCH"))))))</x:f>
      </x:c>
      <x:c r="X90" s="2" t="str">
        <x:f>IF(M90="","",IF(AND(AND(J90="PASS",'Calibrare_Linii'!U6="VALID"),'Motor_Meciuri'!K12=12,'Motor_Meciuri'!L12=12,'Motor_Meciuri'!M12="NO",'Motor_Meciuri'!BL12='Motor_Meciuri'!C12,AB90&gt;='Config_v6'!$B$50,AN90&gt;='Config_v6'!$B$51,T90&lt;='Config_v6'!$B$52,L90&lt;='Config_v6'!$B$53,ISNUMBER('Calibrare_Linii'!E6),S90&lt;='Calibrare_Linii'!E6,SUM(AK90:AM90)&gt;0),"CANDIDATE","NO"))</x:f>
      </x:c>
      <x:c r="Y90" s="2" t="str">
        <x:f>IF(B90="","",IF(I90&lt;&gt;"READY","NOT RELEASED",IF(AND(X90="CANDIDATE",V90&gt;='Config_v6'!$B$51,W90="PASS",'Calibrare_Linii'!T6="VALIDATED",AND('Calibrare_Linii'!H6=C90,ISNUMBER('Calibrare_Linii'!J6),'Calibrare_Linii'!J6&lt;='Input_Meci'!G12)),"PASS",IF(X90="CANDIDATE","OOS PENDING","FAIL"))))</x:f>
      </x:c>
      <x:c r="Z90" s="2" t="str">
        <x:f>IF(B90="","",IF(I90&lt;&gt;"READY","",IF(OR(NOT(AND(J90="PASS",'Calibrare_Linii'!U6="VALID")),L90&gt;'Config_v6'!$B$13,W90="WATCH"),5,IF(Y90="PASS",1,MIN(5,MAX('Config_v6'!$B$42,U90)+IF(W90="PENALTY",1,0))))))</x:f>
      </x:c>
      <x:c r="AA90" s="2" t="str">
        <x:f>IF(B90="","",IF(I90&lt;&gt;"READY","NOT RELEASED",IF(Z90=5,"NO BET",IF(OR(AB90&lt;'Config_v6'!$B$16,V90&lt;'Config_v6'!$B$18),"WATCH",IF(Z90=1,"DEFENSIV",IF(Z90=2,"PRUDENT",IF(Z90=3,"MODERAT","RIDICAT")))))))</x:f>
      </x:c>
      <x:c r="AB90" s="10" t="str">
        <x:f>IF(N90="","",MIN(N90,1-S90))</x:f>
      </x:c>
      <x:c r="AC90" s="2" t="str">
        <x:f>IF(AD90&lt;&gt;1,"",COUNTIFS($Z$90:$Z$103,"&lt;"&amp;Z90,$AD$90:$AD$103,1)+COUNTIFS($Z$90:$Z$103,Z90,$AB$90:$AB$103,"&gt;"&amp;AB90,$AD$90:$AD$103,1)+COUNTIFS($Z$90:$Z$103,Z90,$AB$90:$AB$103,AB90,$V$90:$V$103,"&gt;"&amp;V90,$AD$90:$AD$103,1)+COUNTIFS($Z$90:Z90,Z90,$AB$90:AB90,AB90,$V$90:V90,V90,$AD$90:AD90,1))</x:f>
      </x:c>
      <x:c r="AD90" s="2" t="n">
        <x:f>IF(OR(AA90="DEFENSIV",AA90="PRUDENT",AA90="MODERAT",AA90="RIDICAT"),1,0)</x:f>
        <x:v>0</x:v>
      </x:c>
      <x:c r="AE90" s="2" t="str">
        <x:f>IF(AD90&lt;&gt;1,"NO",IF(W90="PASS","YES",IF(W90="OOS PENDING","CONDITIONAL","NO")))</x:f>
        <x:v>NO</x:v>
      </x:c>
      <x:c r="AF90" s="2" t="n">
        <x:f>IF(AND(AD90=1,AC90=1,E90="LIVE"),1,0)</x:f>
        <x:v>0</x:v>
      </x:c>
      <x:c r="AG90" s="2" t="str">
        <x:f>IF(AF90&lt;&gt;1,"",'Dashboard'!P32)</x:f>
      </x:c>
      <x:c r="AH90" s="2" t="str">
        <x:f>IF(B90="","",IF(J90&lt;&gt;"PASS",'Motor_Meciuri'!J12,IF('Calibrare_Linii'!U6&lt;&gt;"VALID","Parametri linie invalizi",IF(L90&gt;'Config_v6'!$B$13,"Dispersie peste limita",IF(W90="WATCH","Failure peste limita",IF(AB90&lt;'Config_v6'!$B$16,"P finala sub prag",IF(V90&lt;'Config_v6'!$B$18,"Confidence sub prag",IF(E90="REPLAY","Exemplu retrospectiv; exclus din Top LIVE",IF(Y90="PASS","DEFENSIV validat",IF(W90="OOS PENDING","Eligibil; calibrare linie in monitorizare","Eligibil"))))))))))</x:f>
      </x:c>
      <x:c r="AI90" s="2" t="str">
        <x:f>IF(B90="","",'Calibrare_Linii'!V6)</x:f>
      </x:c>
      <x:c r="AJ90" s="2" t="str">
        <x:f>IF(B90="","",IF(AND('Calibrare_Linii'!T6="VALIDATED",AND('Calibrare_Linii'!H6=C90,ISNUMBER('Calibrare_Linii'!J6),'Calibrare_Linii'!J6&lt;='Input_Meci'!G12)),"DEFENSIVE VALIDATED",IF(AND('Calibrare_Linii'!S6="VALIDATED",AND('Calibrare_Linii'!H6=C90,ISNUMBER('Calibrare_Linii'!J6),'Calibrare_Linii'!J6&lt;='Input_Meci'!G12)),"TAIL VALIDATED","OOS PENDING")))</x:f>
      </x:c>
      <x:c r="AK90" s="2" t="n">
        <x:f>IF(J90&lt;&gt;"PASS",0,'Motor_Meciuri'!BR12)</x:f>
        <x:v>0</x:v>
      </x:c>
      <x:c r="AL90" s="2" t="n">
        <x:f>IF(J90&lt;&gt;"PASS",0,'Motor_Meciuri'!BS12)</x:f>
        <x:v>0</x:v>
      </x:c>
      <x:c r="AM90" s="2" t="n">
        <x:f>IF(J90&lt;&gt;"PASS",0,'Motor_Meciuri'!BT12)</x:f>
        <x:v>0</x:v>
      </x:c>
      <x:c r="AN90" s="2" t="str">
        <x:f>IF(M90="","",MAX(0,'Motor_Meciuri'!BF12-IF(L90&gt;'Config_v6'!$B$12,'Config_v6'!$B$37,IF(L90&gt;'Config_v6'!$B$11,'Config_v6'!$B$36,0))))</x:f>
      </x:c>
    </x:row>
    <x:row r="91" ht="21" customHeight="1">
      <x:c r="A91" s="2" t="n">
        <x:v>7</x:v>
      </x:c>
      <x:c r="B91" s="2" t="str">
        <x:f>IF('Motor_Meciuri'!A12="","",'Motor_Meciuri'!A12)</x:f>
      </x:c>
      <x:c r="C91" s="2" t="str">
        <x:f>IF(B91="","",'Motor_Meciuri'!B12)</x:f>
      </x:c>
      <x:c r="D91" s="2" t="str">
        <x:f>IF(B91="","",'Motor_Meciuri'!D12)</x:f>
      </x:c>
      <x:c r="E91" s="2" t="str">
        <x:f>IF(B91="","",'Motor_Meciuri'!E12)</x:f>
      </x:c>
      <x:c r="F91" s="2" t="str">
        <x:v>O4,5</x:v>
      </x:c>
      <x:c r="G91" s="2" t="str">
        <x:v>OVER</x:v>
      </x:c>
      <x:c r="H91" s="2" t="n">
        <x:v>4</x:v>
      </x:c>
      <x:c r="I91" s="2" t="str">
        <x:f>IF(B91="","",'Motor_Meciuri'!H12)</x:f>
      </x:c>
      <x:c r="J91" s="2" t="str">
        <x:f>IF(B91="","",'Motor_Meciuri'!I12)</x:f>
      </x:c>
      <x:c r="K91" s="11" t="str">
        <x:f>IF(J91&lt;&gt;"PASS","",'Motor_Meciuri'!BD12)</x:f>
      </x:c>
      <x:c r="L91" s="11" t="str">
        <x:f>IF(J91&lt;&gt;"PASS","",'Motor_Meciuri'!AU12)</x:f>
      </x:c>
      <x:c r="M91" s="10" t="str">
        <x:f>IF(NOT(AND(J91="PASS",'Calibrare_Linii'!U7="VALID")),"",1-'Distributie'!AB12)</x:f>
      </x:c>
      <x:c r="N91" s="10" t="str">
        <x:f>IF(M91="","",MAX(0.01,MIN(0.99,0.5+(M91-0.5)*'Motor_Meciuri'!BG12*'Calibrare_Linii'!D7)))</x:f>
      </x:c>
      <x:c r="O91" s="10" t="str">
        <x:f>IF(M91="","",1-M91)</x:f>
      </x:c>
      <x:c r="P91" s="10" t="str">
        <x:f>IF(OR(NOT(AND(J91="PASS",'Calibrare_Linii'!U7="VALID")),AK91=0),""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*('Istoric_Nativ'!$Q$6:$Q$405&lt;=H91))/AK91)</x:f>
      </x:c>
      <x:c r="Q91" s="10" t="str">
        <x:f>IF(OR(NOT(AND(J91="PASS",'Calibrare_Linii'!U7="VALID")),AL91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M12)+((('Istoric_Nativ'!$E$6:$E$405='Input_Meci'!E12)+('Istoric_Nativ'!$F$6:$F$405='Input_Meci'!E12))&gt;0)*('Istoric_Nativ'!$D$6:$D$405&gt;='Motor_Meciuri'!BN12))&gt;0)*('Istoric_Nativ'!$Q$6:$Q$405&lt;=H91))/AL91)</x:f>
      </x:c>
      <x:c r="R91" s="10" t="str">
        <x:f>IF(OR(NOT(AND(J91="PASS",'Calibrare_Linii'!U7="VALID")),AM91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O12)+((('Istoric_Nativ'!$E$6:$E$405='Input_Meci'!E12)+('Istoric_Nativ'!$F$6:$F$405='Input_Meci'!E12))&gt;0)*('Istoric_Nativ'!$D$6:$D$405&gt;='Motor_Meciuri'!BP12))&gt;0)*('Istoric_Nativ'!$Q$6:$Q$405&lt;=H91))/AM91)</x:f>
      </x:c>
      <x:c r="S91" s="10" t="str">
        <x:f>IF(M91="","",MAX(O91,P91,Q91,R91))</x:f>
      </x:c>
      <x:c r="T91" s="11" t="str">
        <x:f>IF(M91="","",MIN(100,S91*100*'Config_v6'!$B$44+MIN(100,L91/'Config_v6'!$B$13*100)*'Config_v6'!$B$45+(100-'Motor_Meciuri'!BF12)*'Config_v6'!$B$46+'Motor_Meciuri'!BH12*100*'Config_v6'!$B$47))</x:f>
      </x:c>
      <x:c r="U91" s="2" t="str">
        <x:f>IF(T91="","",IF(T91&lt;=20,1,IF(T91&lt;=40,2,IF(T91&lt;=60,3,IF(T91&lt;=80,4,5)))))</x:f>
      </x:c>
      <x:c r="V91" s="2" t="str">
        <x:f>IF(M91="","",MAX(0,'Motor_Meciuri'!BF12-IF(W91="OOS PENDING",'Config_v6'!$B$35,0)-IF(L91&gt;'Config_v6'!$B$12,'Config_v6'!$B$37,IF(L91&gt;'Config_v6'!$B$11,'Config_v6'!$B$36,0))))</x:f>
      </x:c>
      <x:c r="W91" s="2" t="str">
        <x:f>IF(B91="","",IF(I91&lt;&gt;"READY","NOT RELEASED",IF(NOT(AND(J91="PASS",'Calibrare_Linii'!U7="VALID")),"INVALID",IF(NOT(AND('Calibrare_Linii'!S7="VALIDATED",AND('Calibrare_Linii'!H7=C91,ISNUMBER('Calibrare_Linii'!J7),'Calibrare_Linii'!J7&lt;='Input_Meci'!G12))),"OOS PENDING",IF(S91&lt;='Calibrare_Linii'!E7,"PASS",IF(S91&lt;='Calibrare_Linii'!F7,"PENALTY","WATCH"))))))</x:f>
      </x:c>
      <x:c r="X91" s="2" t="str">
        <x:f>IF(M91="","",IF(AND(AND(J91="PASS",'Calibrare_Linii'!U7="VALID"),'Motor_Meciuri'!K12=12,'Motor_Meciuri'!L12=12,'Motor_Meciuri'!M12="NO",'Motor_Meciuri'!BL12='Motor_Meciuri'!C12,AB91&gt;='Config_v6'!$B$50,AN91&gt;='Config_v6'!$B$51,T91&lt;='Config_v6'!$B$52,L91&lt;='Config_v6'!$B$53,ISNUMBER('Calibrare_Linii'!E7),S91&lt;='Calibrare_Linii'!E7,SUM(AK91:AM91)&gt;0),"CANDIDATE","NO"))</x:f>
      </x:c>
      <x:c r="Y91" s="2" t="str">
        <x:f>IF(B91="","",IF(I91&lt;&gt;"READY","NOT RELEASED",IF(AND(X91="CANDIDATE",V91&gt;='Config_v6'!$B$51,W91="PASS",'Calibrare_Linii'!T7="VALIDATED",AND('Calibrare_Linii'!H7=C91,ISNUMBER('Calibrare_Linii'!J7),'Calibrare_Linii'!J7&lt;='Input_Meci'!G12)),"PASS",IF(X91="CANDIDATE","OOS PENDING","FAIL"))))</x:f>
      </x:c>
      <x:c r="Z91" s="2" t="str">
        <x:f>IF(B91="","",IF(I91&lt;&gt;"READY","",IF(OR(NOT(AND(J91="PASS",'Calibrare_Linii'!U7="VALID")),L91&gt;'Config_v6'!$B$13,W91="WATCH"),5,IF(Y91="PASS",1,MIN(5,MAX('Config_v6'!$B$42,U91)+IF(W91="PENALTY",1,0))))))</x:f>
      </x:c>
      <x:c r="AA91" s="2" t="str">
        <x:f>IF(B91="","",IF(I91&lt;&gt;"READY","NOT RELEASED",IF(Z91=5,"NO BET",IF(OR(AB91&lt;'Config_v6'!$B$16,V91&lt;'Config_v6'!$B$18),"WATCH",IF(Z91=1,"DEFENSIV",IF(Z91=2,"PRUDENT",IF(Z91=3,"MODERAT","RIDICAT")))))))</x:f>
      </x:c>
      <x:c r="AB91" s="10" t="str">
        <x:f>IF(N91="","",MIN(N91,1-S91))</x:f>
      </x:c>
      <x:c r="AC91" s="2" t="str">
        <x:f>IF(AD91&lt;&gt;1,"",COUNTIFS($Z$90:$Z$103,"&lt;"&amp;Z91,$AD$90:$AD$103,1)+COUNTIFS($Z$90:$Z$103,Z91,$AB$90:$AB$103,"&gt;"&amp;AB91,$AD$90:$AD$103,1)+COUNTIFS($Z$90:$Z$103,Z91,$AB$90:$AB$103,AB91,$V$90:$V$103,"&gt;"&amp;V91,$AD$90:$AD$103,1)+COUNTIFS($Z$90:Z91,Z91,$AB$90:AB91,AB91,$V$90:V91,V91,$AD$90:AD91,1))</x:f>
      </x:c>
      <x:c r="AD91" s="2" t="n">
        <x:f>IF(OR(AA91="DEFENSIV",AA91="PRUDENT",AA91="MODERAT",AA91="RIDICAT"),1,0)</x:f>
        <x:v>0</x:v>
      </x:c>
      <x:c r="AE91" s="2" t="str">
        <x:f>IF(AD91&lt;&gt;1,"NO",IF(W91="PASS","YES",IF(W91="OOS PENDING","CONDITIONAL","NO")))</x:f>
        <x:v>NO</x:v>
      </x:c>
      <x:c r="AF91" s="2" t="n">
        <x:f>IF(AND(AD91=1,AC91=1,E91="LIVE"),1,0)</x:f>
        <x:v>0</x:v>
      </x:c>
      <x:c r="AG91" s="2" t="str">
        <x:f>IF(AF91&lt;&gt;1,"",'Dashboard'!P32)</x:f>
      </x:c>
      <x:c r="AH91" s="2" t="str">
        <x:f>IF(B91="","",IF(J91&lt;&gt;"PASS",'Motor_Meciuri'!J12,IF('Calibrare_Linii'!U7&lt;&gt;"VALID","Parametri linie invalizi",IF(L91&gt;'Config_v6'!$B$13,"Dispersie peste limita",IF(W91="WATCH","Failure peste limita",IF(AB91&lt;'Config_v6'!$B$16,"P finala sub prag",IF(V91&lt;'Config_v6'!$B$18,"Confidence sub prag",IF(E91="REPLAY","Exemplu retrospectiv; exclus din Top LIVE",IF(Y91="PASS","DEFENSIV validat",IF(W91="OOS PENDING","Eligibil; calibrare linie in monitorizare","Eligibil"))))))))))</x:f>
      </x:c>
      <x:c r="AI91" s="2" t="str">
        <x:f>IF(B91="","",'Calibrare_Linii'!V7)</x:f>
      </x:c>
      <x:c r="AJ91" s="2" t="str">
        <x:f>IF(B91="","",IF(AND('Calibrare_Linii'!T7="VALIDATED",AND('Calibrare_Linii'!H7=C91,ISNUMBER('Calibrare_Linii'!J7),'Calibrare_Linii'!J7&lt;='Input_Meci'!G12)),"DEFENSIVE VALIDATED",IF(AND('Calibrare_Linii'!S7="VALIDATED",AND('Calibrare_Linii'!H7=C91,ISNUMBER('Calibrare_Linii'!J7),'Calibrare_Linii'!J7&lt;='Input_Meci'!G12)),"TAIL VALIDATED","OOS PENDING")))</x:f>
      </x:c>
      <x:c r="AK91" s="2" t="n">
        <x:f>IF(J91&lt;&gt;"PASS",0,'Motor_Meciuri'!BR12)</x:f>
        <x:v>0</x:v>
      </x:c>
      <x:c r="AL91" s="2" t="n">
        <x:f>IF(J91&lt;&gt;"PASS",0,'Motor_Meciuri'!BS12)</x:f>
        <x:v>0</x:v>
      </x:c>
      <x:c r="AM91" s="2" t="n">
        <x:f>IF(J91&lt;&gt;"PASS",0,'Motor_Meciuri'!BT12)</x:f>
        <x:v>0</x:v>
      </x:c>
      <x:c r="AN91" s="2" t="str">
        <x:f>IF(M91="","",MAX(0,'Motor_Meciuri'!BF12-IF(L91&gt;'Config_v6'!$B$12,'Config_v6'!$B$37,IF(L91&gt;'Config_v6'!$B$11,'Config_v6'!$B$36,0))))</x:f>
      </x:c>
    </x:row>
    <x:row r="92" ht="21" customHeight="1">
      <x:c r="A92" s="2" t="n">
        <x:v>7</x:v>
      </x:c>
      <x:c r="B92" s="2" t="str">
        <x:f>IF('Motor_Meciuri'!A12="","",'Motor_Meciuri'!A12)</x:f>
      </x:c>
      <x:c r="C92" s="2" t="str">
        <x:f>IF(B92="","",'Motor_Meciuri'!B12)</x:f>
      </x:c>
      <x:c r="D92" s="2" t="str">
        <x:f>IF(B92="","",'Motor_Meciuri'!D12)</x:f>
      </x:c>
      <x:c r="E92" s="2" t="str">
        <x:f>IF(B92="","",'Motor_Meciuri'!E12)</x:f>
      </x:c>
      <x:c r="F92" s="2" t="str">
        <x:v>O5,5</x:v>
      </x:c>
      <x:c r="G92" s="2" t="str">
        <x:v>OVER</x:v>
      </x:c>
      <x:c r="H92" s="2" t="n">
        <x:v>5</x:v>
      </x:c>
      <x:c r="I92" s="2" t="str">
        <x:f>IF(B92="","",'Motor_Meciuri'!H12)</x:f>
      </x:c>
      <x:c r="J92" s="2" t="str">
        <x:f>IF(B92="","",'Motor_Meciuri'!I12)</x:f>
      </x:c>
      <x:c r="K92" s="11" t="str">
        <x:f>IF(J92&lt;&gt;"PASS","",'Motor_Meciuri'!BD12)</x:f>
      </x:c>
      <x:c r="L92" s="11" t="str">
        <x:f>IF(J92&lt;&gt;"PASS","",'Motor_Meciuri'!AU12)</x:f>
      </x:c>
      <x:c r="M92" s="10" t="str">
        <x:f>IF(NOT(AND(J92="PASS",'Calibrare_Linii'!U8="VALID")),"",1-'Distributie'!AC12)</x:f>
      </x:c>
      <x:c r="N92" s="10" t="str">
        <x:f>IF(M92="","",MAX(0.01,MIN(0.99,0.5+(M92-0.5)*'Motor_Meciuri'!BG12*'Calibrare_Linii'!D8)))</x:f>
      </x:c>
      <x:c r="O92" s="10" t="str">
        <x:f>IF(M92="","",1-M92)</x:f>
      </x:c>
      <x:c r="P92" s="10" t="str">
        <x:f>IF(OR(NOT(AND(J92="PASS",'Calibrare_Linii'!U8="VALID")),AK92=0),""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*('Istoric_Nativ'!$Q$6:$Q$405&lt;=H92))/AK92)</x:f>
      </x:c>
      <x:c r="Q92" s="10" t="str">
        <x:f>IF(OR(NOT(AND(J92="PASS",'Calibrare_Linii'!U8="VALID")),AL92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M12)+((('Istoric_Nativ'!$E$6:$E$405='Input_Meci'!E12)+('Istoric_Nativ'!$F$6:$F$405='Input_Meci'!E12))&gt;0)*('Istoric_Nativ'!$D$6:$D$405&gt;='Motor_Meciuri'!BN12))&gt;0)*('Istoric_Nativ'!$Q$6:$Q$405&lt;=H92))/AL92)</x:f>
      </x:c>
      <x:c r="R92" s="10" t="str">
        <x:f>IF(OR(NOT(AND(J92="PASS",'Calibrare_Linii'!U8="VALID")),AM92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O12)+((('Istoric_Nativ'!$E$6:$E$405='Input_Meci'!E12)+('Istoric_Nativ'!$F$6:$F$405='Input_Meci'!E12))&gt;0)*('Istoric_Nativ'!$D$6:$D$405&gt;='Motor_Meciuri'!BP12))&gt;0)*('Istoric_Nativ'!$Q$6:$Q$405&lt;=H92))/AM92)</x:f>
      </x:c>
      <x:c r="S92" s="10" t="str">
        <x:f>IF(M92="","",MAX(O92,P92,Q92,R92))</x:f>
      </x:c>
      <x:c r="T92" s="11" t="str">
        <x:f>IF(M92="","",MIN(100,S92*100*'Config_v6'!$B$44+MIN(100,L92/'Config_v6'!$B$13*100)*'Config_v6'!$B$45+(100-'Motor_Meciuri'!BF12)*'Config_v6'!$B$46+'Motor_Meciuri'!BH12*100*'Config_v6'!$B$47))</x:f>
      </x:c>
      <x:c r="U92" s="2" t="str">
        <x:f>IF(T92="","",IF(T92&lt;=20,1,IF(T92&lt;=40,2,IF(T92&lt;=60,3,IF(T92&lt;=80,4,5)))))</x:f>
      </x:c>
      <x:c r="V92" s="2" t="str">
        <x:f>IF(M92="","",MAX(0,'Motor_Meciuri'!BF12-IF(W92="OOS PENDING",'Config_v6'!$B$35,0)-IF(L92&gt;'Config_v6'!$B$12,'Config_v6'!$B$37,IF(L92&gt;'Config_v6'!$B$11,'Config_v6'!$B$36,0))))</x:f>
      </x:c>
      <x:c r="W92" s="2" t="str">
        <x:f>IF(B92="","",IF(I92&lt;&gt;"READY","NOT RELEASED",IF(NOT(AND(J92="PASS",'Calibrare_Linii'!U8="VALID")),"INVALID",IF(NOT(AND('Calibrare_Linii'!S8="VALIDATED",AND('Calibrare_Linii'!H8=C92,ISNUMBER('Calibrare_Linii'!J8),'Calibrare_Linii'!J8&lt;='Input_Meci'!G12))),"OOS PENDING",IF(S92&lt;='Calibrare_Linii'!E8,"PASS",IF(S92&lt;='Calibrare_Linii'!F8,"PENALTY","WATCH"))))))</x:f>
      </x:c>
      <x:c r="X92" s="2" t="str">
        <x:f>IF(M92="","",IF(AND(AND(J92="PASS",'Calibrare_Linii'!U8="VALID"),'Motor_Meciuri'!K12=12,'Motor_Meciuri'!L12=12,'Motor_Meciuri'!M12="NO",'Motor_Meciuri'!BL12='Motor_Meciuri'!C12,AB92&gt;='Config_v6'!$B$50,AN92&gt;='Config_v6'!$B$51,T92&lt;='Config_v6'!$B$52,L92&lt;='Config_v6'!$B$53,ISNUMBER('Calibrare_Linii'!E8),S92&lt;='Calibrare_Linii'!E8,SUM(AK92:AM92)&gt;0),"CANDIDATE","NO"))</x:f>
      </x:c>
      <x:c r="Y92" s="2" t="str">
        <x:f>IF(B92="","",IF(I92&lt;&gt;"READY","NOT RELEASED",IF(AND(X92="CANDIDATE",V92&gt;='Config_v6'!$B$51,W92="PASS",'Calibrare_Linii'!T8="VALIDATED",AND('Calibrare_Linii'!H8=C92,ISNUMBER('Calibrare_Linii'!J8),'Calibrare_Linii'!J8&lt;='Input_Meci'!G12)),"PASS",IF(X92="CANDIDATE","OOS PENDING","FAIL"))))</x:f>
      </x:c>
      <x:c r="Z92" s="2" t="str">
        <x:f>IF(B92="","",IF(I92&lt;&gt;"READY","",IF(OR(NOT(AND(J92="PASS",'Calibrare_Linii'!U8="VALID")),L92&gt;'Config_v6'!$B$13,W92="WATCH"),5,IF(Y92="PASS",1,MIN(5,MAX('Config_v6'!$B$42,U92)+IF(W92="PENALTY",1,0))))))</x:f>
      </x:c>
      <x:c r="AA92" s="2" t="str">
        <x:f>IF(B92="","",IF(I92&lt;&gt;"READY","NOT RELEASED",IF(Z92=5,"NO BET",IF(OR(AB92&lt;'Config_v6'!$B$16,V92&lt;'Config_v6'!$B$18),"WATCH",IF(Z92=1,"DEFENSIV",IF(Z92=2,"PRUDENT",IF(Z92=3,"MODERAT","RIDICAT")))))))</x:f>
      </x:c>
      <x:c r="AB92" s="10" t="str">
        <x:f>IF(N92="","",MIN(N92,1-S92))</x:f>
      </x:c>
      <x:c r="AC92" s="2" t="str">
        <x:f>IF(AD92&lt;&gt;1,"",COUNTIFS($Z$90:$Z$103,"&lt;"&amp;Z92,$AD$90:$AD$103,1)+COUNTIFS($Z$90:$Z$103,Z92,$AB$90:$AB$103,"&gt;"&amp;AB92,$AD$90:$AD$103,1)+COUNTIFS($Z$90:$Z$103,Z92,$AB$90:$AB$103,AB92,$V$90:$V$103,"&gt;"&amp;V92,$AD$90:$AD$103,1)+COUNTIFS($Z$90:Z92,Z92,$AB$90:AB92,AB92,$V$90:V92,V92,$AD$90:AD92,1))</x:f>
      </x:c>
      <x:c r="AD92" s="2" t="n">
        <x:f>IF(OR(AA92="DEFENSIV",AA92="PRUDENT",AA92="MODERAT",AA92="RIDICAT"),1,0)</x:f>
        <x:v>0</x:v>
      </x:c>
      <x:c r="AE92" s="2" t="str">
        <x:f>IF(AD92&lt;&gt;1,"NO",IF(W92="PASS","YES",IF(W92="OOS PENDING","CONDITIONAL","NO")))</x:f>
        <x:v>NO</x:v>
      </x:c>
      <x:c r="AF92" s="2" t="n">
        <x:f>IF(AND(AD92=1,AC92=1,E92="LIVE"),1,0)</x:f>
        <x:v>0</x:v>
      </x:c>
      <x:c r="AG92" s="2" t="str">
        <x:f>IF(AF92&lt;&gt;1,"",'Dashboard'!P32)</x:f>
      </x:c>
      <x:c r="AH92" s="2" t="str">
        <x:f>IF(B92="","",IF(J92&lt;&gt;"PASS",'Motor_Meciuri'!J12,IF('Calibrare_Linii'!U8&lt;&gt;"VALID","Parametri linie invalizi",IF(L92&gt;'Config_v6'!$B$13,"Dispersie peste limita",IF(W92="WATCH","Failure peste limita",IF(AB92&lt;'Config_v6'!$B$16,"P finala sub prag",IF(V92&lt;'Config_v6'!$B$18,"Confidence sub prag",IF(E92="REPLAY","Exemplu retrospectiv; exclus din Top LIVE",IF(Y92="PASS","DEFENSIV validat",IF(W92="OOS PENDING","Eligibil; calibrare linie in monitorizare","Eligibil"))))))))))</x:f>
      </x:c>
      <x:c r="AI92" s="2" t="str">
        <x:f>IF(B92="","",'Calibrare_Linii'!V8)</x:f>
      </x:c>
      <x:c r="AJ92" s="2" t="str">
        <x:f>IF(B92="","",IF(AND('Calibrare_Linii'!T8="VALIDATED",AND('Calibrare_Linii'!H8=C92,ISNUMBER('Calibrare_Linii'!J8),'Calibrare_Linii'!J8&lt;='Input_Meci'!G12)),"DEFENSIVE VALIDATED",IF(AND('Calibrare_Linii'!S8="VALIDATED",AND('Calibrare_Linii'!H8=C92,ISNUMBER('Calibrare_Linii'!J8),'Calibrare_Linii'!J8&lt;='Input_Meci'!G12)),"TAIL VALIDATED","OOS PENDING")))</x:f>
      </x:c>
      <x:c r="AK92" s="2" t="n">
        <x:f>IF(J92&lt;&gt;"PASS",0,'Motor_Meciuri'!BR12)</x:f>
        <x:v>0</x:v>
      </x:c>
      <x:c r="AL92" s="2" t="n">
        <x:f>IF(J92&lt;&gt;"PASS",0,'Motor_Meciuri'!BS12)</x:f>
        <x:v>0</x:v>
      </x:c>
      <x:c r="AM92" s="2" t="n">
        <x:f>IF(J92&lt;&gt;"PASS",0,'Motor_Meciuri'!BT12)</x:f>
        <x:v>0</x:v>
      </x:c>
      <x:c r="AN92" s="2" t="str">
        <x:f>IF(M92="","",MAX(0,'Motor_Meciuri'!BF12-IF(L92&gt;'Config_v6'!$B$12,'Config_v6'!$B$37,IF(L92&gt;'Config_v6'!$B$11,'Config_v6'!$B$36,0))))</x:f>
      </x:c>
    </x:row>
    <x:row r="93" ht="21" customHeight="1">
      <x:c r="A93" s="2" t="n">
        <x:v>7</x:v>
      </x:c>
      <x:c r="B93" s="2" t="str">
        <x:f>IF('Motor_Meciuri'!A12="","",'Motor_Meciuri'!A12)</x:f>
      </x:c>
      <x:c r="C93" s="2" t="str">
        <x:f>IF(B93="","",'Motor_Meciuri'!B12)</x:f>
      </x:c>
      <x:c r="D93" s="2" t="str">
        <x:f>IF(B93="","",'Motor_Meciuri'!D12)</x:f>
      </x:c>
      <x:c r="E93" s="2" t="str">
        <x:f>IF(B93="","",'Motor_Meciuri'!E12)</x:f>
      </x:c>
      <x:c r="F93" s="2" t="str">
        <x:v>O6,5</x:v>
      </x:c>
      <x:c r="G93" s="2" t="str">
        <x:v>OVER</x:v>
      </x:c>
      <x:c r="H93" s="2" t="n">
        <x:v>6</x:v>
      </x:c>
      <x:c r="I93" s="2" t="str">
        <x:f>IF(B93="","",'Motor_Meciuri'!H12)</x:f>
      </x:c>
      <x:c r="J93" s="2" t="str">
        <x:f>IF(B93="","",'Motor_Meciuri'!I12)</x:f>
      </x:c>
      <x:c r="K93" s="11" t="str">
        <x:f>IF(J93&lt;&gt;"PASS","",'Motor_Meciuri'!BD12)</x:f>
      </x:c>
      <x:c r="L93" s="11" t="str">
        <x:f>IF(J93&lt;&gt;"PASS","",'Motor_Meciuri'!AU12)</x:f>
      </x:c>
      <x:c r="M93" s="10" t="str">
        <x:f>IF(NOT(AND(J93="PASS",'Calibrare_Linii'!U9="VALID")),"",1-'Distributie'!AD12)</x:f>
      </x:c>
      <x:c r="N93" s="10" t="str">
        <x:f>IF(M93="","",MAX(0.01,MIN(0.99,0.5+(M93-0.5)*'Motor_Meciuri'!BG12*'Calibrare_Linii'!D9)))</x:f>
      </x:c>
      <x:c r="O93" s="10" t="str">
        <x:f>IF(M93="","",1-M93)</x:f>
      </x:c>
      <x:c r="P93" s="10" t="str">
        <x:f>IF(OR(NOT(AND(J93="PASS",'Calibrare_Linii'!U9="VALID")),AK93=0),""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*('Istoric_Nativ'!$Q$6:$Q$405&lt;=H93))/AK93)</x:f>
      </x:c>
      <x:c r="Q93" s="10" t="str">
        <x:f>IF(OR(NOT(AND(J93="PASS",'Calibrare_Linii'!U9="VALID")),AL93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M12)+((('Istoric_Nativ'!$E$6:$E$405='Input_Meci'!E12)+('Istoric_Nativ'!$F$6:$F$405='Input_Meci'!E12))&gt;0)*('Istoric_Nativ'!$D$6:$D$405&gt;='Motor_Meciuri'!BN12))&gt;0)*('Istoric_Nativ'!$Q$6:$Q$405&lt;=H93))/AL93)</x:f>
      </x:c>
      <x:c r="R93" s="10" t="str">
        <x:f>IF(OR(NOT(AND(J93="PASS",'Calibrare_Linii'!U9="VALID")),AM93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O12)+((('Istoric_Nativ'!$E$6:$E$405='Input_Meci'!E12)+('Istoric_Nativ'!$F$6:$F$405='Input_Meci'!E12))&gt;0)*('Istoric_Nativ'!$D$6:$D$405&gt;='Motor_Meciuri'!BP12))&gt;0)*('Istoric_Nativ'!$Q$6:$Q$405&lt;=H93))/AM93)</x:f>
      </x:c>
      <x:c r="S93" s="10" t="str">
        <x:f>IF(M93="","",MAX(O93,P93,Q93,R93))</x:f>
      </x:c>
      <x:c r="T93" s="11" t="str">
        <x:f>IF(M93="","",MIN(100,S93*100*'Config_v6'!$B$44+MIN(100,L93/'Config_v6'!$B$13*100)*'Config_v6'!$B$45+(100-'Motor_Meciuri'!BF12)*'Config_v6'!$B$46+'Motor_Meciuri'!BH12*100*'Config_v6'!$B$47))</x:f>
      </x:c>
      <x:c r="U93" s="2" t="str">
        <x:f>IF(T93="","",IF(T93&lt;=20,1,IF(T93&lt;=40,2,IF(T93&lt;=60,3,IF(T93&lt;=80,4,5)))))</x:f>
      </x:c>
      <x:c r="V93" s="2" t="str">
        <x:f>IF(M93="","",MAX(0,'Motor_Meciuri'!BF12-IF(W93="OOS PENDING",'Config_v6'!$B$35,0)-IF(L93&gt;'Config_v6'!$B$12,'Config_v6'!$B$37,IF(L93&gt;'Config_v6'!$B$11,'Config_v6'!$B$36,0))))</x:f>
      </x:c>
      <x:c r="W93" s="2" t="str">
        <x:f>IF(B93="","",IF(I93&lt;&gt;"READY","NOT RELEASED",IF(NOT(AND(J93="PASS",'Calibrare_Linii'!U9="VALID")),"INVALID",IF(NOT(AND('Calibrare_Linii'!S9="VALIDATED",AND('Calibrare_Linii'!H9=C93,ISNUMBER('Calibrare_Linii'!J9),'Calibrare_Linii'!J9&lt;='Input_Meci'!G12))),"OOS PENDING",IF(S93&lt;='Calibrare_Linii'!E9,"PASS",IF(S93&lt;='Calibrare_Linii'!F9,"PENALTY","WATCH"))))))</x:f>
      </x:c>
      <x:c r="X93" s="2" t="str">
        <x:f>IF(M93="","",IF(AND(AND(J93="PASS",'Calibrare_Linii'!U9="VALID"),'Motor_Meciuri'!K12=12,'Motor_Meciuri'!L12=12,'Motor_Meciuri'!M12="NO",'Motor_Meciuri'!BL12='Motor_Meciuri'!C12,AB93&gt;='Config_v6'!$B$50,AN93&gt;='Config_v6'!$B$51,T93&lt;='Config_v6'!$B$52,L93&lt;='Config_v6'!$B$53,ISNUMBER('Calibrare_Linii'!E9),S93&lt;='Calibrare_Linii'!E9,SUM(AK93:AM93)&gt;0),"CANDIDATE","NO"))</x:f>
      </x:c>
      <x:c r="Y93" s="2" t="str">
        <x:f>IF(B93="","",IF(I93&lt;&gt;"READY","NOT RELEASED",IF(AND(X93="CANDIDATE",V93&gt;='Config_v6'!$B$51,W93="PASS",'Calibrare_Linii'!T9="VALIDATED",AND('Calibrare_Linii'!H9=C93,ISNUMBER('Calibrare_Linii'!J9),'Calibrare_Linii'!J9&lt;='Input_Meci'!G12)),"PASS",IF(X93="CANDIDATE","OOS PENDING","FAIL"))))</x:f>
      </x:c>
      <x:c r="Z93" s="2" t="str">
        <x:f>IF(B93="","",IF(I93&lt;&gt;"READY","",IF(OR(NOT(AND(J93="PASS",'Calibrare_Linii'!U9="VALID")),L93&gt;'Config_v6'!$B$13,W93="WATCH"),5,IF(Y93="PASS",1,MIN(5,MAX('Config_v6'!$B$42,U93)+IF(W93="PENALTY",1,0))))))</x:f>
      </x:c>
      <x:c r="AA93" s="2" t="str">
        <x:f>IF(B93="","",IF(I93&lt;&gt;"READY","NOT RELEASED",IF(Z93=5,"NO BET",IF(OR(AB93&lt;'Config_v6'!$B$16,V93&lt;'Config_v6'!$B$18),"WATCH",IF(Z93=1,"DEFENSIV",IF(Z93=2,"PRUDENT",IF(Z93=3,"MODERAT","RIDICAT")))))))</x:f>
      </x:c>
      <x:c r="AB93" s="10" t="str">
        <x:f>IF(N93="","",MIN(N93,1-S93))</x:f>
      </x:c>
      <x:c r="AC93" s="2" t="str">
        <x:f>IF(AD93&lt;&gt;1,"",COUNTIFS($Z$90:$Z$103,"&lt;"&amp;Z93,$AD$90:$AD$103,1)+COUNTIFS($Z$90:$Z$103,Z93,$AB$90:$AB$103,"&gt;"&amp;AB93,$AD$90:$AD$103,1)+COUNTIFS($Z$90:$Z$103,Z93,$AB$90:$AB$103,AB93,$V$90:$V$103,"&gt;"&amp;V93,$AD$90:$AD$103,1)+COUNTIFS($Z$90:Z93,Z93,$AB$90:AB93,AB93,$V$90:V93,V93,$AD$90:AD93,1))</x:f>
      </x:c>
      <x:c r="AD93" s="2" t="n">
        <x:f>IF(OR(AA93="DEFENSIV",AA93="PRUDENT",AA93="MODERAT",AA93="RIDICAT"),1,0)</x:f>
        <x:v>0</x:v>
      </x:c>
      <x:c r="AE93" s="2" t="str">
        <x:f>IF(AD93&lt;&gt;1,"NO",IF(W93="PASS","YES",IF(W93="OOS PENDING","CONDITIONAL","NO")))</x:f>
        <x:v>NO</x:v>
      </x:c>
      <x:c r="AF93" s="2" t="n">
        <x:f>IF(AND(AD93=1,AC93=1,E93="LIVE"),1,0)</x:f>
        <x:v>0</x:v>
      </x:c>
      <x:c r="AG93" s="2" t="str">
        <x:f>IF(AF93&lt;&gt;1,"",'Dashboard'!P32)</x:f>
      </x:c>
      <x:c r="AH93" s="2" t="str">
        <x:f>IF(B93="","",IF(J93&lt;&gt;"PASS",'Motor_Meciuri'!J12,IF('Calibrare_Linii'!U9&lt;&gt;"VALID","Parametri linie invalizi",IF(L93&gt;'Config_v6'!$B$13,"Dispersie peste limita",IF(W93="WATCH","Failure peste limita",IF(AB93&lt;'Config_v6'!$B$16,"P finala sub prag",IF(V93&lt;'Config_v6'!$B$18,"Confidence sub prag",IF(E93="REPLAY","Exemplu retrospectiv; exclus din Top LIVE",IF(Y93="PASS","DEFENSIV validat",IF(W93="OOS PENDING","Eligibil; calibrare linie in monitorizare","Eligibil"))))))))))</x:f>
      </x:c>
      <x:c r="AI93" s="2" t="str">
        <x:f>IF(B93="","",'Calibrare_Linii'!V9)</x:f>
      </x:c>
      <x:c r="AJ93" s="2" t="str">
        <x:f>IF(B93="","",IF(AND('Calibrare_Linii'!T9="VALIDATED",AND('Calibrare_Linii'!H9=C93,ISNUMBER('Calibrare_Linii'!J9),'Calibrare_Linii'!J9&lt;='Input_Meci'!G12)),"DEFENSIVE VALIDATED",IF(AND('Calibrare_Linii'!S9="VALIDATED",AND('Calibrare_Linii'!H9=C93,ISNUMBER('Calibrare_Linii'!J9),'Calibrare_Linii'!J9&lt;='Input_Meci'!G12)),"TAIL VALIDATED","OOS PENDING")))</x:f>
      </x:c>
      <x:c r="AK93" s="2" t="n">
        <x:f>IF(J93&lt;&gt;"PASS",0,'Motor_Meciuri'!BR12)</x:f>
        <x:v>0</x:v>
      </x:c>
      <x:c r="AL93" s="2" t="n">
        <x:f>IF(J93&lt;&gt;"PASS",0,'Motor_Meciuri'!BS12)</x:f>
        <x:v>0</x:v>
      </x:c>
      <x:c r="AM93" s="2" t="n">
        <x:f>IF(J93&lt;&gt;"PASS",0,'Motor_Meciuri'!BT12)</x:f>
        <x:v>0</x:v>
      </x:c>
      <x:c r="AN93" s="2" t="str">
        <x:f>IF(M93="","",MAX(0,'Motor_Meciuri'!BF12-IF(L93&gt;'Config_v6'!$B$12,'Config_v6'!$B$37,IF(L93&gt;'Config_v6'!$B$11,'Config_v6'!$B$36,0))))</x:f>
      </x:c>
    </x:row>
    <x:row r="94" ht="21" customHeight="1">
      <x:c r="A94" s="2" t="n">
        <x:v>7</x:v>
      </x:c>
      <x:c r="B94" s="2" t="str">
        <x:f>IF('Motor_Meciuri'!A12="","",'Motor_Meciuri'!A12)</x:f>
      </x:c>
      <x:c r="C94" s="2" t="str">
        <x:f>IF(B94="","",'Motor_Meciuri'!B12)</x:f>
      </x:c>
      <x:c r="D94" s="2" t="str">
        <x:f>IF(B94="","",'Motor_Meciuri'!D12)</x:f>
      </x:c>
      <x:c r="E94" s="2" t="str">
        <x:f>IF(B94="","",'Motor_Meciuri'!E12)</x:f>
      </x:c>
      <x:c r="F94" s="2" t="str">
        <x:v>O7,5</x:v>
      </x:c>
      <x:c r="G94" s="2" t="str">
        <x:v>OVER</x:v>
      </x:c>
      <x:c r="H94" s="2" t="n">
        <x:v>7</x:v>
      </x:c>
      <x:c r="I94" s="2" t="str">
        <x:f>IF(B94="","",'Motor_Meciuri'!H12)</x:f>
      </x:c>
      <x:c r="J94" s="2" t="str">
        <x:f>IF(B94="","",'Motor_Meciuri'!I12)</x:f>
      </x:c>
      <x:c r="K94" s="11" t="str">
        <x:f>IF(J94&lt;&gt;"PASS","",'Motor_Meciuri'!BD12)</x:f>
      </x:c>
      <x:c r="L94" s="11" t="str">
        <x:f>IF(J94&lt;&gt;"PASS","",'Motor_Meciuri'!AU12)</x:f>
      </x:c>
      <x:c r="M94" s="10" t="str">
        <x:f>IF(NOT(AND(J94="PASS",'Calibrare_Linii'!U10="VALID")),"",1-'Distributie'!AE12)</x:f>
      </x:c>
      <x:c r="N94" s="10" t="str">
        <x:f>IF(M94="","",MAX(0.01,MIN(0.99,0.5+(M94-0.5)*'Motor_Meciuri'!BG12*'Calibrare_Linii'!D10)))</x:f>
      </x:c>
      <x:c r="O94" s="10" t="str">
        <x:f>IF(M94="","",1-M94)</x:f>
      </x:c>
      <x:c r="P94" s="10" t="str">
        <x:f>IF(OR(NOT(AND(J94="PASS",'Calibrare_Linii'!U10="VALID")),AK94=0),""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*('Istoric_Nativ'!$Q$6:$Q$405&lt;=H94))/AK94)</x:f>
      </x:c>
      <x:c r="Q94" s="10" t="str">
        <x:f>IF(OR(NOT(AND(J94="PASS",'Calibrare_Linii'!U10="VALID")),AL94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M12)+((('Istoric_Nativ'!$E$6:$E$405='Input_Meci'!E12)+('Istoric_Nativ'!$F$6:$F$405='Input_Meci'!E12))&gt;0)*('Istoric_Nativ'!$D$6:$D$405&gt;='Motor_Meciuri'!BN12))&gt;0)*('Istoric_Nativ'!$Q$6:$Q$405&lt;=H94))/AL94)</x:f>
      </x:c>
      <x:c r="R94" s="10" t="str">
        <x:f>IF(OR(NOT(AND(J94="PASS",'Calibrare_Linii'!U10="VALID")),AM94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O12)+((('Istoric_Nativ'!$E$6:$E$405='Input_Meci'!E12)+('Istoric_Nativ'!$F$6:$F$405='Input_Meci'!E12))&gt;0)*('Istoric_Nativ'!$D$6:$D$405&gt;='Motor_Meciuri'!BP12))&gt;0)*('Istoric_Nativ'!$Q$6:$Q$405&lt;=H94))/AM94)</x:f>
      </x:c>
      <x:c r="S94" s="10" t="str">
        <x:f>IF(M94="","",MAX(O94,P94,Q94,R94))</x:f>
      </x:c>
      <x:c r="T94" s="11" t="str">
        <x:f>IF(M94="","",MIN(100,S94*100*'Config_v6'!$B$44+MIN(100,L94/'Config_v6'!$B$13*100)*'Config_v6'!$B$45+(100-'Motor_Meciuri'!BF12)*'Config_v6'!$B$46+'Motor_Meciuri'!BH12*100*'Config_v6'!$B$47))</x:f>
      </x:c>
      <x:c r="U94" s="2" t="str">
        <x:f>IF(T94="","",IF(T94&lt;=20,1,IF(T94&lt;=40,2,IF(T94&lt;=60,3,IF(T94&lt;=80,4,5)))))</x:f>
      </x:c>
      <x:c r="V94" s="2" t="str">
        <x:f>IF(M94="","",MAX(0,'Motor_Meciuri'!BF12-IF(W94="OOS PENDING",'Config_v6'!$B$35,0)-IF(L94&gt;'Config_v6'!$B$12,'Config_v6'!$B$37,IF(L94&gt;'Config_v6'!$B$11,'Config_v6'!$B$36,0))))</x:f>
      </x:c>
      <x:c r="W94" s="2" t="str">
        <x:f>IF(B94="","",IF(I94&lt;&gt;"READY","NOT RELEASED",IF(NOT(AND(J94="PASS",'Calibrare_Linii'!U10="VALID")),"INVALID",IF(NOT(AND('Calibrare_Linii'!S10="VALIDATED",AND('Calibrare_Linii'!H10=C94,ISNUMBER('Calibrare_Linii'!J10),'Calibrare_Linii'!J10&lt;='Input_Meci'!G12))),"OOS PENDING",IF(S94&lt;='Calibrare_Linii'!E10,"PASS",IF(S94&lt;='Calibrare_Linii'!F10,"PENALTY","WATCH"))))))</x:f>
      </x:c>
      <x:c r="X94" s="2" t="str">
        <x:f>IF(M94="","",IF(AND(AND(J94="PASS",'Calibrare_Linii'!U10="VALID"),'Motor_Meciuri'!K12=12,'Motor_Meciuri'!L12=12,'Motor_Meciuri'!M12="NO",'Motor_Meciuri'!BL12='Motor_Meciuri'!C12,AB94&gt;='Config_v6'!$B$50,AN94&gt;='Config_v6'!$B$51,T94&lt;='Config_v6'!$B$52,L94&lt;='Config_v6'!$B$53,ISNUMBER('Calibrare_Linii'!E10),S94&lt;='Calibrare_Linii'!E10,SUM(AK94:AM94)&gt;0),"CANDIDATE","NO"))</x:f>
      </x:c>
      <x:c r="Y94" s="2" t="str">
        <x:f>IF(B94="","",IF(I94&lt;&gt;"READY","NOT RELEASED",IF(AND(X94="CANDIDATE",V94&gt;='Config_v6'!$B$51,W94="PASS",'Calibrare_Linii'!T10="VALIDATED",AND('Calibrare_Linii'!H10=C94,ISNUMBER('Calibrare_Linii'!J10),'Calibrare_Linii'!J10&lt;='Input_Meci'!G12)),"PASS",IF(X94="CANDIDATE","OOS PENDING","FAIL"))))</x:f>
      </x:c>
      <x:c r="Z94" s="2" t="str">
        <x:f>IF(B94="","",IF(I94&lt;&gt;"READY","",IF(OR(NOT(AND(J94="PASS",'Calibrare_Linii'!U10="VALID")),L94&gt;'Config_v6'!$B$13,W94="WATCH"),5,IF(Y94="PASS",1,MIN(5,MAX('Config_v6'!$B$42,U94)+IF(W94="PENALTY",1,0))))))</x:f>
      </x:c>
      <x:c r="AA94" s="2" t="str">
        <x:f>IF(B94="","",IF(I94&lt;&gt;"READY","NOT RELEASED",IF(Z94=5,"NO BET",IF(OR(AB94&lt;'Config_v6'!$B$16,V94&lt;'Config_v6'!$B$18),"WATCH",IF(Z94=1,"DEFENSIV",IF(Z94=2,"PRUDENT",IF(Z94=3,"MODERAT","RIDICAT")))))))</x:f>
      </x:c>
      <x:c r="AB94" s="10" t="str">
        <x:f>IF(N94="","",MIN(N94,1-S94))</x:f>
      </x:c>
      <x:c r="AC94" s="2" t="str">
        <x:f>IF(AD94&lt;&gt;1,"",COUNTIFS($Z$90:$Z$103,"&lt;"&amp;Z94,$AD$90:$AD$103,1)+COUNTIFS($Z$90:$Z$103,Z94,$AB$90:$AB$103,"&gt;"&amp;AB94,$AD$90:$AD$103,1)+COUNTIFS($Z$90:$Z$103,Z94,$AB$90:$AB$103,AB94,$V$90:$V$103,"&gt;"&amp;V94,$AD$90:$AD$103,1)+COUNTIFS($Z$90:Z94,Z94,$AB$90:AB94,AB94,$V$90:V94,V94,$AD$90:AD94,1))</x:f>
      </x:c>
      <x:c r="AD94" s="2" t="n">
        <x:f>IF(OR(AA94="DEFENSIV",AA94="PRUDENT",AA94="MODERAT",AA94="RIDICAT"),1,0)</x:f>
        <x:v>0</x:v>
      </x:c>
      <x:c r="AE94" s="2" t="str">
        <x:f>IF(AD94&lt;&gt;1,"NO",IF(W94="PASS","YES",IF(W94="OOS PENDING","CONDITIONAL","NO")))</x:f>
        <x:v>NO</x:v>
      </x:c>
      <x:c r="AF94" s="2" t="n">
        <x:f>IF(AND(AD94=1,AC94=1,E94="LIVE"),1,0)</x:f>
        <x:v>0</x:v>
      </x:c>
      <x:c r="AG94" s="2" t="str">
        <x:f>IF(AF94&lt;&gt;1,"",'Dashboard'!P32)</x:f>
      </x:c>
      <x:c r="AH94" s="2" t="str">
        <x:f>IF(B94="","",IF(J94&lt;&gt;"PASS",'Motor_Meciuri'!J12,IF('Calibrare_Linii'!U10&lt;&gt;"VALID","Parametri linie invalizi",IF(L94&gt;'Config_v6'!$B$13,"Dispersie peste limita",IF(W94="WATCH","Failure peste limita",IF(AB94&lt;'Config_v6'!$B$16,"P finala sub prag",IF(V94&lt;'Config_v6'!$B$18,"Confidence sub prag",IF(E94="REPLAY","Exemplu retrospectiv; exclus din Top LIVE",IF(Y94="PASS","DEFENSIV validat",IF(W94="OOS PENDING","Eligibil; calibrare linie in monitorizare","Eligibil"))))))))))</x:f>
      </x:c>
      <x:c r="AI94" s="2" t="str">
        <x:f>IF(B94="","",'Calibrare_Linii'!V10)</x:f>
      </x:c>
      <x:c r="AJ94" s="2" t="str">
        <x:f>IF(B94="","",IF(AND('Calibrare_Linii'!T10="VALIDATED",AND('Calibrare_Linii'!H10=C94,ISNUMBER('Calibrare_Linii'!J10),'Calibrare_Linii'!J10&lt;='Input_Meci'!G12)),"DEFENSIVE VALIDATED",IF(AND('Calibrare_Linii'!S10="VALIDATED",AND('Calibrare_Linii'!H10=C94,ISNUMBER('Calibrare_Linii'!J10),'Calibrare_Linii'!J10&lt;='Input_Meci'!G12)),"TAIL VALIDATED","OOS PENDING")))</x:f>
      </x:c>
      <x:c r="AK94" s="2" t="n">
        <x:f>IF(J94&lt;&gt;"PASS",0,'Motor_Meciuri'!BR12)</x:f>
        <x:v>0</x:v>
      </x:c>
      <x:c r="AL94" s="2" t="n">
        <x:f>IF(J94&lt;&gt;"PASS",0,'Motor_Meciuri'!BS12)</x:f>
        <x:v>0</x:v>
      </x:c>
      <x:c r="AM94" s="2" t="n">
        <x:f>IF(J94&lt;&gt;"PASS",0,'Motor_Meciuri'!BT12)</x:f>
        <x:v>0</x:v>
      </x:c>
      <x:c r="AN94" s="2" t="str">
        <x:f>IF(M94="","",MAX(0,'Motor_Meciuri'!BF12-IF(L94&gt;'Config_v6'!$B$12,'Config_v6'!$B$37,IF(L94&gt;'Config_v6'!$B$11,'Config_v6'!$B$36,0))))</x:f>
      </x:c>
    </x:row>
    <x:row r="95" ht="21" customHeight="1">
      <x:c r="A95" s="2" t="n">
        <x:v>7</x:v>
      </x:c>
      <x:c r="B95" s="2" t="str">
        <x:f>IF('Motor_Meciuri'!A12="","",'Motor_Meciuri'!A12)</x:f>
      </x:c>
      <x:c r="C95" s="2" t="str">
        <x:f>IF(B95="","",'Motor_Meciuri'!B12)</x:f>
      </x:c>
      <x:c r="D95" s="2" t="str">
        <x:f>IF(B95="","",'Motor_Meciuri'!D12)</x:f>
      </x:c>
      <x:c r="E95" s="2" t="str">
        <x:f>IF(B95="","",'Motor_Meciuri'!E12)</x:f>
      </x:c>
      <x:c r="F95" s="2" t="str">
        <x:v>O8,5</x:v>
      </x:c>
      <x:c r="G95" s="2" t="str">
        <x:v>OVER</x:v>
      </x:c>
      <x:c r="H95" s="2" t="n">
        <x:v>8</x:v>
      </x:c>
      <x:c r="I95" s="2" t="str">
        <x:f>IF(B95="","",'Motor_Meciuri'!H12)</x:f>
      </x:c>
      <x:c r="J95" s="2" t="str">
        <x:f>IF(B95="","",'Motor_Meciuri'!I12)</x:f>
      </x:c>
      <x:c r="K95" s="11" t="str">
        <x:f>IF(J95&lt;&gt;"PASS","",'Motor_Meciuri'!BD12)</x:f>
      </x:c>
      <x:c r="L95" s="11" t="str">
        <x:f>IF(J95&lt;&gt;"PASS","",'Motor_Meciuri'!AU12)</x:f>
      </x:c>
      <x:c r="M95" s="10" t="str">
        <x:f>IF(NOT(AND(J95="PASS",'Calibrare_Linii'!U11="VALID")),"",1-'Distributie'!AF12)</x:f>
      </x:c>
      <x:c r="N95" s="10" t="str">
        <x:f>IF(M95="","",MAX(0.01,MIN(0.99,0.5+(M95-0.5)*'Motor_Meciuri'!BG12*'Calibrare_Linii'!D11)))</x:f>
      </x:c>
      <x:c r="O95" s="10" t="str">
        <x:f>IF(M95="","",1-M95)</x:f>
      </x:c>
      <x:c r="P95" s="10" t="str">
        <x:f>IF(OR(NOT(AND(J95="PASS",'Calibrare_Linii'!U11="VALID")),AK95=0),""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*('Istoric_Nativ'!$Q$6:$Q$405&lt;=H95))/AK95)</x:f>
      </x:c>
      <x:c r="Q95" s="10" t="str">
        <x:f>IF(OR(NOT(AND(J95="PASS",'Calibrare_Linii'!U11="VALID")),AL95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M12)+((('Istoric_Nativ'!$E$6:$E$405='Input_Meci'!E12)+('Istoric_Nativ'!$F$6:$F$405='Input_Meci'!E12))&gt;0)*('Istoric_Nativ'!$D$6:$D$405&gt;='Motor_Meciuri'!BN12))&gt;0)*('Istoric_Nativ'!$Q$6:$Q$405&lt;=H95))/AL95)</x:f>
      </x:c>
      <x:c r="R95" s="10" t="str">
        <x:f>IF(OR(NOT(AND(J95="PASS",'Calibrare_Linii'!U11="VALID")),AM95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O12)+((('Istoric_Nativ'!$E$6:$E$405='Input_Meci'!E12)+('Istoric_Nativ'!$F$6:$F$405='Input_Meci'!E12))&gt;0)*('Istoric_Nativ'!$D$6:$D$405&gt;='Motor_Meciuri'!BP12))&gt;0)*('Istoric_Nativ'!$Q$6:$Q$405&lt;=H95))/AM95)</x:f>
      </x:c>
      <x:c r="S95" s="10" t="str">
        <x:f>IF(M95="","",MAX(O95,P95,Q95,R95))</x:f>
      </x:c>
      <x:c r="T95" s="11" t="str">
        <x:f>IF(M95="","",MIN(100,S95*100*'Config_v6'!$B$44+MIN(100,L95/'Config_v6'!$B$13*100)*'Config_v6'!$B$45+(100-'Motor_Meciuri'!BF12)*'Config_v6'!$B$46+'Motor_Meciuri'!BH12*100*'Config_v6'!$B$47))</x:f>
      </x:c>
      <x:c r="U95" s="2" t="str">
        <x:f>IF(T95="","",IF(T95&lt;=20,1,IF(T95&lt;=40,2,IF(T95&lt;=60,3,IF(T95&lt;=80,4,5)))))</x:f>
      </x:c>
      <x:c r="V95" s="2" t="str">
        <x:f>IF(M95="","",MAX(0,'Motor_Meciuri'!BF12-IF(W95="OOS PENDING",'Config_v6'!$B$35,0)-IF(L95&gt;'Config_v6'!$B$12,'Config_v6'!$B$37,IF(L95&gt;'Config_v6'!$B$11,'Config_v6'!$B$36,0))))</x:f>
      </x:c>
      <x:c r="W95" s="2" t="str">
        <x:f>IF(B95="","",IF(I95&lt;&gt;"READY","NOT RELEASED",IF(NOT(AND(J95="PASS",'Calibrare_Linii'!U11="VALID")),"INVALID",IF(NOT(AND('Calibrare_Linii'!S11="VALIDATED",AND('Calibrare_Linii'!H11=C95,ISNUMBER('Calibrare_Linii'!J11),'Calibrare_Linii'!J11&lt;='Input_Meci'!G12))),"OOS PENDING",IF(S95&lt;='Calibrare_Linii'!E11,"PASS",IF(S95&lt;='Calibrare_Linii'!F11,"PENALTY","WATCH"))))))</x:f>
      </x:c>
      <x:c r="X95" s="2" t="str">
        <x:f>IF(M95="","",IF(AND(AND(J95="PASS",'Calibrare_Linii'!U11="VALID"),'Motor_Meciuri'!K12=12,'Motor_Meciuri'!L12=12,'Motor_Meciuri'!M12="NO",'Motor_Meciuri'!BL12='Motor_Meciuri'!C12,AB95&gt;='Config_v6'!$B$50,AN95&gt;='Config_v6'!$B$51,T95&lt;='Config_v6'!$B$52,L95&lt;='Config_v6'!$B$53,ISNUMBER('Calibrare_Linii'!E11),S95&lt;='Calibrare_Linii'!E11,SUM(AK95:AM95)&gt;0),"CANDIDATE","NO"))</x:f>
      </x:c>
      <x:c r="Y95" s="2" t="str">
        <x:f>IF(B95="","",IF(I95&lt;&gt;"READY","NOT RELEASED",IF(AND(X95="CANDIDATE",V95&gt;='Config_v6'!$B$51,W95="PASS",'Calibrare_Linii'!T11="VALIDATED",AND('Calibrare_Linii'!H11=C95,ISNUMBER('Calibrare_Linii'!J11),'Calibrare_Linii'!J11&lt;='Input_Meci'!G12)),"PASS",IF(X95="CANDIDATE","OOS PENDING","FAIL"))))</x:f>
      </x:c>
      <x:c r="Z95" s="2" t="str">
        <x:f>IF(B95="","",IF(I95&lt;&gt;"READY","",IF(OR(NOT(AND(J95="PASS",'Calibrare_Linii'!U11="VALID")),L95&gt;'Config_v6'!$B$13,W95="WATCH"),5,IF(Y95="PASS",1,MIN(5,MAX('Config_v6'!$B$42,U95)+IF(W95="PENALTY",1,0))))))</x:f>
      </x:c>
      <x:c r="AA95" s="2" t="str">
        <x:f>IF(B95="","",IF(I95&lt;&gt;"READY","NOT RELEASED",IF(Z95=5,"NO BET",IF(OR(AB95&lt;'Config_v6'!$B$16,V95&lt;'Config_v6'!$B$18),"WATCH",IF(Z95=1,"DEFENSIV",IF(Z95=2,"PRUDENT",IF(Z95=3,"MODERAT","RIDICAT")))))))</x:f>
      </x:c>
      <x:c r="AB95" s="10" t="str">
        <x:f>IF(N95="","",MIN(N95,1-S95))</x:f>
      </x:c>
      <x:c r="AC95" s="2" t="str">
        <x:f>IF(AD95&lt;&gt;1,"",COUNTIFS($Z$90:$Z$103,"&lt;"&amp;Z95,$AD$90:$AD$103,1)+COUNTIFS($Z$90:$Z$103,Z95,$AB$90:$AB$103,"&gt;"&amp;AB95,$AD$90:$AD$103,1)+COUNTIFS($Z$90:$Z$103,Z95,$AB$90:$AB$103,AB95,$V$90:$V$103,"&gt;"&amp;V95,$AD$90:$AD$103,1)+COUNTIFS($Z$90:Z95,Z95,$AB$90:AB95,AB95,$V$90:V95,V95,$AD$90:AD95,1))</x:f>
      </x:c>
      <x:c r="AD95" s="2" t="n">
        <x:f>IF(OR(AA95="DEFENSIV",AA95="PRUDENT",AA95="MODERAT",AA95="RIDICAT"),1,0)</x:f>
        <x:v>0</x:v>
      </x:c>
      <x:c r="AE95" s="2" t="str">
        <x:f>IF(AD95&lt;&gt;1,"NO",IF(W95="PASS","YES",IF(W95="OOS PENDING","CONDITIONAL","NO")))</x:f>
        <x:v>NO</x:v>
      </x:c>
      <x:c r="AF95" s="2" t="n">
        <x:f>IF(AND(AD95=1,AC95=1,E95="LIVE"),1,0)</x:f>
        <x:v>0</x:v>
      </x:c>
      <x:c r="AG95" s="2" t="str">
        <x:f>IF(AF95&lt;&gt;1,"",'Dashboard'!P32)</x:f>
      </x:c>
      <x:c r="AH95" s="2" t="str">
        <x:f>IF(B95="","",IF(J95&lt;&gt;"PASS",'Motor_Meciuri'!J12,IF('Calibrare_Linii'!U11&lt;&gt;"VALID","Parametri linie invalizi",IF(L95&gt;'Config_v6'!$B$13,"Dispersie peste limita",IF(W95="WATCH","Failure peste limita",IF(AB95&lt;'Config_v6'!$B$16,"P finala sub prag",IF(V95&lt;'Config_v6'!$B$18,"Confidence sub prag",IF(E95="REPLAY","Exemplu retrospectiv; exclus din Top LIVE",IF(Y95="PASS","DEFENSIV validat",IF(W95="OOS PENDING","Eligibil; calibrare linie in monitorizare","Eligibil"))))))))))</x:f>
      </x:c>
      <x:c r="AI95" s="2" t="str">
        <x:f>IF(B95="","",'Calibrare_Linii'!V11)</x:f>
      </x:c>
      <x:c r="AJ95" s="2" t="str">
        <x:f>IF(B95="","",IF(AND('Calibrare_Linii'!T11="VALIDATED",AND('Calibrare_Linii'!H11=C95,ISNUMBER('Calibrare_Linii'!J11),'Calibrare_Linii'!J11&lt;='Input_Meci'!G12)),"DEFENSIVE VALIDATED",IF(AND('Calibrare_Linii'!S11="VALIDATED",AND('Calibrare_Linii'!H11=C95,ISNUMBER('Calibrare_Linii'!J11),'Calibrare_Linii'!J11&lt;='Input_Meci'!G12)),"TAIL VALIDATED","OOS PENDING")))</x:f>
      </x:c>
      <x:c r="AK95" s="2" t="n">
        <x:f>IF(J95&lt;&gt;"PASS",0,'Motor_Meciuri'!BR12)</x:f>
        <x:v>0</x:v>
      </x:c>
      <x:c r="AL95" s="2" t="n">
        <x:f>IF(J95&lt;&gt;"PASS",0,'Motor_Meciuri'!BS12)</x:f>
        <x:v>0</x:v>
      </x:c>
      <x:c r="AM95" s="2" t="n">
        <x:f>IF(J95&lt;&gt;"PASS",0,'Motor_Meciuri'!BT12)</x:f>
        <x:v>0</x:v>
      </x:c>
      <x:c r="AN95" s="2" t="str">
        <x:f>IF(M95="","",MAX(0,'Motor_Meciuri'!BF12-IF(L95&gt;'Config_v6'!$B$12,'Config_v6'!$B$37,IF(L95&gt;'Config_v6'!$B$11,'Config_v6'!$B$36,0))))</x:f>
      </x:c>
    </x:row>
    <x:row r="96" ht="21" customHeight="1">
      <x:c r="A96" s="2" t="n">
        <x:v>7</x:v>
      </x:c>
      <x:c r="B96" s="2" t="str">
        <x:f>IF('Motor_Meciuri'!A12="","",'Motor_Meciuri'!A12)</x:f>
      </x:c>
      <x:c r="C96" s="2" t="str">
        <x:f>IF(B96="","",'Motor_Meciuri'!B12)</x:f>
      </x:c>
      <x:c r="D96" s="2" t="str">
        <x:f>IF(B96="","",'Motor_Meciuri'!D12)</x:f>
      </x:c>
      <x:c r="E96" s="2" t="str">
        <x:f>IF(B96="","",'Motor_Meciuri'!E12)</x:f>
      </x:c>
      <x:c r="F96" s="2" t="str">
        <x:v>U10,5</x:v>
      </x:c>
      <x:c r="G96" s="2" t="str">
        <x:v>UNDER</x:v>
      </x:c>
      <x:c r="H96" s="2" t="n">
        <x:v>10</x:v>
      </x:c>
      <x:c r="I96" s="2" t="str">
        <x:f>IF(B96="","",'Motor_Meciuri'!H12)</x:f>
      </x:c>
      <x:c r="J96" s="2" t="str">
        <x:f>IF(B96="","",'Motor_Meciuri'!I12)</x:f>
      </x:c>
      <x:c r="K96" s="11" t="str">
        <x:f>IF(J96&lt;&gt;"PASS","",'Motor_Meciuri'!BD12)</x:f>
      </x:c>
      <x:c r="L96" s="11" t="str">
        <x:f>IF(J96&lt;&gt;"PASS","",'Motor_Meciuri'!AU12)</x:f>
      </x:c>
      <x:c r="M96" s="10" t="str">
        <x:f>IF(NOT(AND(J96="PASS",'Calibrare_Linii'!U12="VALID")),"",'Distributie'!AH12)</x:f>
      </x:c>
      <x:c r="N96" s="10" t="str">
        <x:f>IF(M96="","",MAX(0.01,MIN(0.99,0.5+(M96-0.5)*'Motor_Meciuri'!BG12*'Calibrare_Linii'!D12)))</x:f>
      </x:c>
      <x:c r="O96" s="10" t="str">
        <x:f>IF(M96="","",1-M96)</x:f>
      </x:c>
      <x:c r="P96" s="10" t="str">
        <x:f>IF(OR(NOT(AND(J96="PASS",'Calibrare_Linii'!U12="VALID")),AK96=0),""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*('Istoric_Nativ'!$Q$6:$Q$405&gt;H96))/AK96)</x:f>
      </x:c>
      <x:c r="Q96" s="10" t="str">
        <x:f>IF(OR(NOT(AND(J96="PASS",'Calibrare_Linii'!U12="VALID")),AL96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M12)+((('Istoric_Nativ'!$E$6:$E$405='Input_Meci'!E12)+('Istoric_Nativ'!$F$6:$F$405='Input_Meci'!E12))&gt;0)*('Istoric_Nativ'!$D$6:$D$405&gt;='Motor_Meciuri'!BN12))&gt;0)*('Istoric_Nativ'!$Q$6:$Q$405&gt;H96))/AL96)</x:f>
      </x:c>
      <x:c r="R96" s="10" t="str">
        <x:f>IF(OR(NOT(AND(J96="PASS",'Calibrare_Linii'!U12="VALID")),AM96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O12)+((('Istoric_Nativ'!$E$6:$E$405='Input_Meci'!E12)+('Istoric_Nativ'!$F$6:$F$405='Input_Meci'!E12))&gt;0)*('Istoric_Nativ'!$D$6:$D$405&gt;='Motor_Meciuri'!BP12))&gt;0)*('Istoric_Nativ'!$Q$6:$Q$405&gt;H96))/AM96)</x:f>
      </x:c>
      <x:c r="S96" s="10" t="str">
        <x:f>IF(M96="","",MAX(O96,P96,Q96,R96))</x:f>
      </x:c>
      <x:c r="T96" s="11" t="str">
        <x:f>IF(M96="","",MIN(100,S96*100*'Config_v6'!$B$44+MIN(100,L96/'Config_v6'!$B$13*100)*'Config_v6'!$B$45+(100-'Motor_Meciuri'!BF12)*'Config_v6'!$B$46+'Motor_Meciuri'!BH12*100*'Config_v6'!$B$47))</x:f>
      </x:c>
      <x:c r="U96" s="2" t="str">
        <x:f>IF(T96="","",IF(T96&lt;=20,1,IF(T96&lt;=40,2,IF(T96&lt;=60,3,IF(T96&lt;=80,4,5)))))</x:f>
      </x:c>
      <x:c r="V96" s="2" t="str">
        <x:f>IF(M96="","",MAX(0,'Motor_Meciuri'!BF12-IF(W96="OOS PENDING",'Config_v6'!$B$35,0)-IF(L96&gt;'Config_v6'!$B$12,'Config_v6'!$B$37,IF(L96&gt;'Config_v6'!$B$11,'Config_v6'!$B$36,0))))</x:f>
      </x:c>
      <x:c r="W96" s="2" t="str">
        <x:f>IF(B96="","",IF(I96&lt;&gt;"READY","NOT RELEASED",IF(NOT(AND(J96="PASS",'Calibrare_Linii'!U12="VALID")),"INVALID",IF(NOT(AND('Calibrare_Linii'!S12="VALIDATED",AND('Calibrare_Linii'!H12=C96,ISNUMBER('Calibrare_Linii'!J12),'Calibrare_Linii'!J12&lt;='Input_Meci'!G12))),"OOS PENDING",IF(S96&lt;='Calibrare_Linii'!E12,"PASS",IF(S96&lt;='Calibrare_Linii'!F12,"PENALTY","WATCH"))))))</x:f>
      </x:c>
      <x:c r="X96" s="2" t="str">
        <x:f>IF(M96="","",IF(AND(AND(J96="PASS",'Calibrare_Linii'!U12="VALID"),'Motor_Meciuri'!K12=12,'Motor_Meciuri'!L12=12,'Motor_Meciuri'!M12="NO",'Motor_Meciuri'!BL12='Motor_Meciuri'!C12,AB96&gt;='Config_v6'!$B$50,AN96&gt;='Config_v6'!$B$51,T96&lt;='Config_v6'!$B$52,L96&lt;='Config_v6'!$B$53,ISNUMBER('Calibrare_Linii'!E12),S96&lt;='Calibrare_Linii'!E12,SUM(AK96:AM96)&gt;0),"CANDIDATE","NO"))</x:f>
      </x:c>
      <x:c r="Y96" s="2" t="str">
        <x:f>IF(B96="","",IF(I96&lt;&gt;"READY","NOT RELEASED",IF(AND(X96="CANDIDATE",V96&gt;='Config_v6'!$B$51,W96="PASS",'Calibrare_Linii'!T12="VALIDATED",AND('Calibrare_Linii'!H12=C96,ISNUMBER('Calibrare_Linii'!J12),'Calibrare_Linii'!J12&lt;='Input_Meci'!G12)),"PASS",IF(X96="CANDIDATE","OOS PENDING","FAIL"))))</x:f>
      </x:c>
      <x:c r="Z96" s="2" t="str">
        <x:f>IF(B96="","",IF(I96&lt;&gt;"READY","",IF(OR(NOT(AND(J96="PASS",'Calibrare_Linii'!U12="VALID")),L96&gt;'Config_v6'!$B$13,W96="WATCH"),5,IF(Y96="PASS",1,MIN(5,MAX('Config_v6'!$B$42,U96)+IF(W96="PENALTY",1,0))))))</x:f>
      </x:c>
      <x:c r="AA96" s="2" t="str">
        <x:f>IF(B96="","",IF(I96&lt;&gt;"READY","NOT RELEASED",IF(Z96=5,"NO BET",IF(OR(AB96&lt;'Config_v6'!$B$16,V96&lt;'Config_v6'!$B$18),"WATCH",IF(Z96=1,"DEFENSIV",IF(Z96=2,"PRUDENT",IF(Z96=3,"MODERAT","RIDICAT")))))))</x:f>
      </x:c>
      <x:c r="AB96" s="10" t="str">
        <x:f>IF(N96="","",MIN(N96,1-S96))</x:f>
      </x:c>
      <x:c r="AC96" s="2" t="str">
        <x:f>IF(AD96&lt;&gt;1,"",COUNTIFS($Z$90:$Z$103,"&lt;"&amp;Z96,$AD$90:$AD$103,1)+COUNTIFS($Z$90:$Z$103,Z96,$AB$90:$AB$103,"&gt;"&amp;AB96,$AD$90:$AD$103,1)+COUNTIFS($Z$90:$Z$103,Z96,$AB$90:$AB$103,AB96,$V$90:$V$103,"&gt;"&amp;V96,$AD$90:$AD$103,1)+COUNTIFS($Z$90:Z96,Z96,$AB$90:AB96,AB96,$V$90:V96,V96,$AD$90:AD96,1))</x:f>
      </x:c>
      <x:c r="AD96" s="2" t="n">
        <x:f>IF(OR(AA96="DEFENSIV",AA96="PRUDENT",AA96="MODERAT",AA96="RIDICAT"),1,0)</x:f>
        <x:v>0</x:v>
      </x:c>
      <x:c r="AE96" s="2" t="str">
        <x:f>IF(AD96&lt;&gt;1,"NO",IF(W96="PASS","YES",IF(W96="OOS PENDING","CONDITIONAL","NO")))</x:f>
        <x:v>NO</x:v>
      </x:c>
      <x:c r="AF96" s="2" t="n">
        <x:f>IF(AND(AD96=1,AC96=1,E96="LIVE"),1,0)</x:f>
        <x:v>0</x:v>
      </x:c>
      <x:c r="AG96" s="2" t="str">
        <x:f>IF(AF96&lt;&gt;1,"",'Dashboard'!P32)</x:f>
      </x:c>
      <x:c r="AH96" s="2" t="str">
        <x:f>IF(B96="","",IF(J96&lt;&gt;"PASS",'Motor_Meciuri'!J12,IF('Calibrare_Linii'!U12&lt;&gt;"VALID","Parametri linie invalizi",IF(L96&gt;'Config_v6'!$B$13,"Dispersie peste limita",IF(W96="WATCH","Failure peste limita",IF(AB96&lt;'Config_v6'!$B$16,"P finala sub prag",IF(V96&lt;'Config_v6'!$B$18,"Confidence sub prag",IF(E96="REPLAY","Exemplu retrospectiv; exclus din Top LIVE",IF(Y96="PASS","DEFENSIV validat",IF(W96="OOS PENDING","Eligibil; calibrare linie in monitorizare","Eligibil"))))))))))</x:f>
      </x:c>
      <x:c r="AI96" s="2" t="str">
        <x:f>IF(B96="","",'Calibrare_Linii'!V12)</x:f>
      </x:c>
      <x:c r="AJ96" s="2" t="str">
        <x:f>IF(B96="","",IF(AND('Calibrare_Linii'!T12="VALIDATED",AND('Calibrare_Linii'!H12=C96,ISNUMBER('Calibrare_Linii'!J12),'Calibrare_Linii'!J12&lt;='Input_Meci'!G12)),"DEFENSIVE VALIDATED",IF(AND('Calibrare_Linii'!S12="VALIDATED",AND('Calibrare_Linii'!H12=C96,ISNUMBER('Calibrare_Linii'!J12),'Calibrare_Linii'!J12&lt;='Input_Meci'!G12)),"TAIL VALIDATED","OOS PENDING")))</x:f>
      </x:c>
      <x:c r="AK96" s="2" t="n">
        <x:f>IF(J96&lt;&gt;"PASS",0,'Motor_Meciuri'!BR12)</x:f>
        <x:v>0</x:v>
      </x:c>
      <x:c r="AL96" s="2" t="n">
        <x:f>IF(J96&lt;&gt;"PASS",0,'Motor_Meciuri'!BS12)</x:f>
        <x:v>0</x:v>
      </x:c>
      <x:c r="AM96" s="2" t="n">
        <x:f>IF(J96&lt;&gt;"PASS",0,'Motor_Meciuri'!BT12)</x:f>
        <x:v>0</x:v>
      </x:c>
      <x:c r="AN96" s="2" t="str">
        <x:f>IF(M96="","",MAX(0,'Motor_Meciuri'!BF12-IF(L96&gt;'Config_v6'!$B$12,'Config_v6'!$B$37,IF(L96&gt;'Config_v6'!$B$11,'Config_v6'!$B$36,0))))</x:f>
      </x:c>
    </x:row>
    <x:row r="97" ht="21" customHeight="1">
      <x:c r="A97" s="2" t="n">
        <x:v>7</x:v>
      </x:c>
      <x:c r="B97" s="2" t="str">
        <x:f>IF('Motor_Meciuri'!A12="","",'Motor_Meciuri'!A12)</x:f>
      </x:c>
      <x:c r="C97" s="2" t="str">
        <x:f>IF(B97="","",'Motor_Meciuri'!B12)</x:f>
      </x:c>
      <x:c r="D97" s="2" t="str">
        <x:f>IF(B97="","",'Motor_Meciuri'!D12)</x:f>
      </x:c>
      <x:c r="E97" s="2" t="str">
        <x:f>IF(B97="","",'Motor_Meciuri'!E12)</x:f>
      </x:c>
      <x:c r="F97" s="2" t="str">
        <x:v>U11,5</x:v>
      </x:c>
      <x:c r="G97" s="2" t="str">
        <x:v>UNDER</x:v>
      </x:c>
      <x:c r="H97" s="2" t="n">
        <x:v>11</x:v>
      </x:c>
      <x:c r="I97" s="2" t="str">
        <x:f>IF(B97="","",'Motor_Meciuri'!H12)</x:f>
      </x:c>
      <x:c r="J97" s="2" t="str">
        <x:f>IF(B97="","",'Motor_Meciuri'!I12)</x:f>
      </x:c>
      <x:c r="K97" s="11" t="str">
        <x:f>IF(J97&lt;&gt;"PASS","",'Motor_Meciuri'!BD12)</x:f>
      </x:c>
      <x:c r="L97" s="11" t="str">
        <x:f>IF(J97&lt;&gt;"PASS","",'Motor_Meciuri'!AU12)</x:f>
      </x:c>
      <x:c r="M97" s="10" t="str">
        <x:f>IF(NOT(AND(J97="PASS",'Calibrare_Linii'!U13="VALID")),"",'Distributie'!AI12)</x:f>
      </x:c>
      <x:c r="N97" s="10" t="str">
        <x:f>IF(M97="","",MAX(0.01,MIN(0.99,0.5+(M97-0.5)*'Motor_Meciuri'!BG12*'Calibrare_Linii'!D13)))</x:f>
      </x:c>
      <x:c r="O97" s="10" t="str">
        <x:f>IF(M97="","",1-M97)</x:f>
      </x:c>
      <x:c r="P97" s="10" t="str">
        <x:f>IF(OR(NOT(AND(J97="PASS",'Calibrare_Linii'!U13="VALID")),AK97=0),""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*('Istoric_Nativ'!$Q$6:$Q$405&gt;H97))/AK97)</x:f>
      </x:c>
      <x:c r="Q97" s="10" t="str">
        <x:f>IF(OR(NOT(AND(J97="PASS",'Calibrare_Linii'!U13="VALID")),AL97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M12)+((('Istoric_Nativ'!$E$6:$E$405='Input_Meci'!E12)+('Istoric_Nativ'!$F$6:$F$405='Input_Meci'!E12))&gt;0)*('Istoric_Nativ'!$D$6:$D$405&gt;='Motor_Meciuri'!BN12))&gt;0)*('Istoric_Nativ'!$Q$6:$Q$405&gt;H97))/AL97)</x:f>
      </x:c>
      <x:c r="R97" s="10" t="str">
        <x:f>IF(OR(NOT(AND(J97="PASS",'Calibrare_Linii'!U13="VALID")),AM97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O12)+((('Istoric_Nativ'!$E$6:$E$405='Input_Meci'!E12)+('Istoric_Nativ'!$F$6:$F$405='Input_Meci'!E12))&gt;0)*('Istoric_Nativ'!$D$6:$D$405&gt;='Motor_Meciuri'!BP12))&gt;0)*('Istoric_Nativ'!$Q$6:$Q$405&gt;H97))/AM97)</x:f>
      </x:c>
      <x:c r="S97" s="10" t="str">
        <x:f>IF(M97="","",MAX(O97,P97,Q97,R97))</x:f>
      </x:c>
      <x:c r="T97" s="11" t="str">
        <x:f>IF(M97="","",MIN(100,S97*100*'Config_v6'!$B$44+MIN(100,L97/'Config_v6'!$B$13*100)*'Config_v6'!$B$45+(100-'Motor_Meciuri'!BF12)*'Config_v6'!$B$46+'Motor_Meciuri'!BH12*100*'Config_v6'!$B$47))</x:f>
      </x:c>
      <x:c r="U97" s="2" t="str">
        <x:f>IF(T97="","",IF(T97&lt;=20,1,IF(T97&lt;=40,2,IF(T97&lt;=60,3,IF(T97&lt;=80,4,5)))))</x:f>
      </x:c>
      <x:c r="V97" s="2" t="str">
        <x:f>IF(M97="","",MAX(0,'Motor_Meciuri'!BF12-IF(W97="OOS PENDING",'Config_v6'!$B$35,0)-IF(L97&gt;'Config_v6'!$B$12,'Config_v6'!$B$37,IF(L97&gt;'Config_v6'!$B$11,'Config_v6'!$B$36,0))))</x:f>
      </x:c>
      <x:c r="W97" s="2" t="str">
        <x:f>IF(B97="","",IF(I97&lt;&gt;"READY","NOT RELEASED",IF(NOT(AND(J97="PASS",'Calibrare_Linii'!U13="VALID")),"INVALID",IF(NOT(AND('Calibrare_Linii'!S13="VALIDATED",AND('Calibrare_Linii'!H13=C97,ISNUMBER('Calibrare_Linii'!J13),'Calibrare_Linii'!J13&lt;='Input_Meci'!G12))),"OOS PENDING",IF(S97&lt;='Calibrare_Linii'!E13,"PASS",IF(S97&lt;='Calibrare_Linii'!F13,"PENALTY","WATCH"))))))</x:f>
      </x:c>
      <x:c r="X97" s="2" t="str">
        <x:f>IF(M97="","",IF(AND(AND(J97="PASS",'Calibrare_Linii'!U13="VALID"),'Motor_Meciuri'!K12=12,'Motor_Meciuri'!L12=12,'Motor_Meciuri'!M12="NO",'Motor_Meciuri'!BL12='Motor_Meciuri'!C12,AB97&gt;='Config_v6'!$B$50,AN97&gt;='Config_v6'!$B$51,T97&lt;='Config_v6'!$B$52,L97&lt;='Config_v6'!$B$53,ISNUMBER('Calibrare_Linii'!E13),S97&lt;='Calibrare_Linii'!E13,SUM(AK97:AM97)&gt;0),"CANDIDATE","NO"))</x:f>
      </x:c>
      <x:c r="Y97" s="2" t="str">
        <x:f>IF(B97="","",IF(I97&lt;&gt;"READY","NOT RELEASED",IF(AND(X97="CANDIDATE",V97&gt;='Config_v6'!$B$51,W97="PASS",'Calibrare_Linii'!T13="VALIDATED",AND('Calibrare_Linii'!H13=C97,ISNUMBER('Calibrare_Linii'!J13),'Calibrare_Linii'!J13&lt;='Input_Meci'!G12)),"PASS",IF(X97="CANDIDATE","OOS PENDING","FAIL"))))</x:f>
      </x:c>
      <x:c r="Z97" s="2" t="str">
        <x:f>IF(B97="","",IF(I97&lt;&gt;"READY","",IF(OR(NOT(AND(J97="PASS",'Calibrare_Linii'!U13="VALID")),L97&gt;'Config_v6'!$B$13,W97="WATCH"),5,IF(Y97="PASS",1,MIN(5,MAX('Config_v6'!$B$42,U97)+IF(W97="PENALTY",1,0))))))</x:f>
      </x:c>
      <x:c r="AA97" s="2" t="str">
        <x:f>IF(B97="","",IF(I97&lt;&gt;"READY","NOT RELEASED",IF(Z97=5,"NO BET",IF(OR(AB97&lt;'Config_v6'!$B$16,V97&lt;'Config_v6'!$B$18),"WATCH",IF(Z97=1,"DEFENSIV",IF(Z97=2,"PRUDENT",IF(Z97=3,"MODERAT","RIDICAT")))))))</x:f>
      </x:c>
      <x:c r="AB97" s="10" t="str">
        <x:f>IF(N97="","",MIN(N97,1-S97))</x:f>
      </x:c>
      <x:c r="AC97" s="2" t="str">
        <x:f>IF(AD97&lt;&gt;1,"",COUNTIFS($Z$90:$Z$103,"&lt;"&amp;Z97,$AD$90:$AD$103,1)+COUNTIFS($Z$90:$Z$103,Z97,$AB$90:$AB$103,"&gt;"&amp;AB97,$AD$90:$AD$103,1)+COUNTIFS($Z$90:$Z$103,Z97,$AB$90:$AB$103,AB97,$V$90:$V$103,"&gt;"&amp;V97,$AD$90:$AD$103,1)+COUNTIFS($Z$90:Z97,Z97,$AB$90:AB97,AB97,$V$90:V97,V97,$AD$90:AD97,1))</x:f>
      </x:c>
      <x:c r="AD97" s="2" t="n">
        <x:f>IF(OR(AA97="DEFENSIV",AA97="PRUDENT",AA97="MODERAT",AA97="RIDICAT"),1,0)</x:f>
        <x:v>0</x:v>
      </x:c>
      <x:c r="AE97" s="2" t="str">
        <x:f>IF(AD97&lt;&gt;1,"NO",IF(W97="PASS","YES",IF(W97="OOS PENDING","CONDITIONAL","NO")))</x:f>
        <x:v>NO</x:v>
      </x:c>
      <x:c r="AF97" s="2" t="n">
        <x:f>IF(AND(AD97=1,AC97=1,E97="LIVE"),1,0)</x:f>
        <x:v>0</x:v>
      </x:c>
      <x:c r="AG97" s="2" t="str">
        <x:f>IF(AF97&lt;&gt;1,"",'Dashboard'!P32)</x:f>
      </x:c>
      <x:c r="AH97" s="2" t="str">
        <x:f>IF(B97="","",IF(J97&lt;&gt;"PASS",'Motor_Meciuri'!J12,IF('Calibrare_Linii'!U13&lt;&gt;"VALID","Parametri linie invalizi",IF(L97&gt;'Config_v6'!$B$13,"Dispersie peste limita",IF(W97="WATCH","Failure peste limita",IF(AB97&lt;'Config_v6'!$B$16,"P finala sub prag",IF(V97&lt;'Config_v6'!$B$18,"Confidence sub prag",IF(E97="REPLAY","Exemplu retrospectiv; exclus din Top LIVE",IF(Y97="PASS","DEFENSIV validat",IF(W97="OOS PENDING","Eligibil; calibrare linie in monitorizare","Eligibil"))))))))))</x:f>
      </x:c>
      <x:c r="AI97" s="2" t="str">
        <x:f>IF(B97="","",'Calibrare_Linii'!V13)</x:f>
      </x:c>
      <x:c r="AJ97" s="2" t="str">
        <x:f>IF(B97="","",IF(AND('Calibrare_Linii'!T13="VALIDATED",AND('Calibrare_Linii'!H13=C97,ISNUMBER('Calibrare_Linii'!J13),'Calibrare_Linii'!J13&lt;='Input_Meci'!G12)),"DEFENSIVE VALIDATED",IF(AND('Calibrare_Linii'!S13="VALIDATED",AND('Calibrare_Linii'!H13=C97,ISNUMBER('Calibrare_Linii'!J13),'Calibrare_Linii'!J13&lt;='Input_Meci'!G12)),"TAIL VALIDATED","OOS PENDING")))</x:f>
      </x:c>
      <x:c r="AK97" s="2" t="n">
        <x:f>IF(J97&lt;&gt;"PASS",0,'Motor_Meciuri'!BR12)</x:f>
        <x:v>0</x:v>
      </x:c>
      <x:c r="AL97" s="2" t="n">
        <x:f>IF(J97&lt;&gt;"PASS",0,'Motor_Meciuri'!BS12)</x:f>
        <x:v>0</x:v>
      </x:c>
      <x:c r="AM97" s="2" t="n">
        <x:f>IF(J97&lt;&gt;"PASS",0,'Motor_Meciuri'!BT12)</x:f>
        <x:v>0</x:v>
      </x:c>
      <x:c r="AN97" s="2" t="str">
        <x:f>IF(M97="","",MAX(0,'Motor_Meciuri'!BF12-IF(L97&gt;'Config_v6'!$B$12,'Config_v6'!$B$37,IF(L97&gt;'Config_v6'!$B$11,'Config_v6'!$B$36,0))))</x:f>
      </x:c>
    </x:row>
    <x:row r="98" ht="21" customHeight="1">
      <x:c r="A98" s="2" t="n">
        <x:v>7</x:v>
      </x:c>
      <x:c r="B98" s="2" t="str">
        <x:f>IF('Motor_Meciuri'!A12="","",'Motor_Meciuri'!A12)</x:f>
      </x:c>
      <x:c r="C98" s="2" t="str">
        <x:f>IF(B98="","",'Motor_Meciuri'!B12)</x:f>
      </x:c>
      <x:c r="D98" s="2" t="str">
        <x:f>IF(B98="","",'Motor_Meciuri'!D12)</x:f>
      </x:c>
      <x:c r="E98" s="2" t="str">
        <x:f>IF(B98="","",'Motor_Meciuri'!E12)</x:f>
      </x:c>
      <x:c r="F98" s="2" t="str">
        <x:v>U12,5</x:v>
      </x:c>
      <x:c r="G98" s="2" t="str">
        <x:v>UNDER</x:v>
      </x:c>
      <x:c r="H98" s="2" t="n">
        <x:v>12</x:v>
      </x:c>
      <x:c r="I98" s="2" t="str">
        <x:f>IF(B98="","",'Motor_Meciuri'!H12)</x:f>
      </x:c>
      <x:c r="J98" s="2" t="str">
        <x:f>IF(B98="","",'Motor_Meciuri'!I12)</x:f>
      </x:c>
      <x:c r="K98" s="11" t="str">
        <x:f>IF(J98&lt;&gt;"PASS","",'Motor_Meciuri'!BD12)</x:f>
      </x:c>
      <x:c r="L98" s="11" t="str">
        <x:f>IF(J98&lt;&gt;"PASS","",'Motor_Meciuri'!AU12)</x:f>
      </x:c>
      <x:c r="M98" s="10" t="str">
        <x:f>IF(NOT(AND(J98="PASS",'Calibrare_Linii'!U14="VALID")),"",'Distributie'!AJ12)</x:f>
      </x:c>
      <x:c r="N98" s="10" t="str">
        <x:f>IF(M98="","",MAX(0.01,MIN(0.99,0.5+(M98-0.5)*'Motor_Meciuri'!BG12*'Calibrare_Linii'!D14)))</x:f>
      </x:c>
      <x:c r="O98" s="10" t="str">
        <x:f>IF(M98="","",1-M98)</x:f>
      </x:c>
      <x:c r="P98" s="10" t="str">
        <x:f>IF(OR(NOT(AND(J98="PASS",'Calibrare_Linii'!U14="VALID")),AK98=0),""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*('Istoric_Nativ'!$Q$6:$Q$405&gt;H98))/AK98)</x:f>
      </x:c>
      <x:c r="Q98" s="10" t="str">
        <x:f>IF(OR(NOT(AND(J98="PASS",'Calibrare_Linii'!U14="VALID")),AL98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M12)+((('Istoric_Nativ'!$E$6:$E$405='Input_Meci'!E12)+('Istoric_Nativ'!$F$6:$F$405='Input_Meci'!E12))&gt;0)*('Istoric_Nativ'!$D$6:$D$405&gt;='Motor_Meciuri'!BN12))&gt;0)*('Istoric_Nativ'!$Q$6:$Q$405&gt;H98))/AL98)</x:f>
      </x:c>
      <x:c r="R98" s="10" t="str">
        <x:f>IF(OR(NOT(AND(J98="PASS",'Calibrare_Linii'!U14="VALID")),AM98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O12)+((('Istoric_Nativ'!$E$6:$E$405='Input_Meci'!E12)+('Istoric_Nativ'!$F$6:$F$405='Input_Meci'!E12))&gt;0)*('Istoric_Nativ'!$D$6:$D$405&gt;='Motor_Meciuri'!BP12))&gt;0)*('Istoric_Nativ'!$Q$6:$Q$405&gt;H98))/AM98)</x:f>
      </x:c>
      <x:c r="S98" s="10" t="str">
        <x:f>IF(M98="","",MAX(O98,P98,Q98,R98))</x:f>
      </x:c>
      <x:c r="T98" s="11" t="str">
        <x:f>IF(M98="","",MIN(100,S98*100*'Config_v6'!$B$44+MIN(100,L98/'Config_v6'!$B$13*100)*'Config_v6'!$B$45+(100-'Motor_Meciuri'!BF12)*'Config_v6'!$B$46+'Motor_Meciuri'!BH12*100*'Config_v6'!$B$47))</x:f>
      </x:c>
      <x:c r="U98" s="2" t="str">
        <x:f>IF(T98="","",IF(T98&lt;=20,1,IF(T98&lt;=40,2,IF(T98&lt;=60,3,IF(T98&lt;=80,4,5)))))</x:f>
      </x:c>
      <x:c r="V98" s="2" t="str">
        <x:f>IF(M98="","",MAX(0,'Motor_Meciuri'!BF12-IF(W98="OOS PENDING",'Config_v6'!$B$35,0)-IF(L98&gt;'Config_v6'!$B$12,'Config_v6'!$B$37,IF(L98&gt;'Config_v6'!$B$11,'Config_v6'!$B$36,0))))</x:f>
      </x:c>
      <x:c r="W98" s="2" t="str">
        <x:f>IF(B98="","",IF(I98&lt;&gt;"READY","NOT RELEASED",IF(NOT(AND(J98="PASS",'Calibrare_Linii'!U14="VALID")),"INVALID",IF(NOT(AND('Calibrare_Linii'!S14="VALIDATED",AND('Calibrare_Linii'!H14=C98,ISNUMBER('Calibrare_Linii'!J14),'Calibrare_Linii'!J14&lt;='Input_Meci'!G12))),"OOS PENDING",IF(S98&lt;='Calibrare_Linii'!E14,"PASS",IF(S98&lt;='Calibrare_Linii'!F14,"PENALTY","WATCH"))))))</x:f>
      </x:c>
      <x:c r="X98" s="2" t="str">
        <x:f>IF(M98="","",IF(AND(AND(J98="PASS",'Calibrare_Linii'!U14="VALID"),'Motor_Meciuri'!K12=12,'Motor_Meciuri'!L12=12,'Motor_Meciuri'!M12="NO",'Motor_Meciuri'!BL12='Motor_Meciuri'!C12,AB98&gt;='Config_v6'!$B$50,AN98&gt;='Config_v6'!$B$51,T98&lt;='Config_v6'!$B$52,L98&lt;='Config_v6'!$B$53,ISNUMBER('Calibrare_Linii'!E14),S98&lt;='Calibrare_Linii'!E14,SUM(AK98:AM98)&gt;0),"CANDIDATE","NO"))</x:f>
      </x:c>
      <x:c r="Y98" s="2" t="str">
        <x:f>IF(B98="","",IF(I98&lt;&gt;"READY","NOT RELEASED",IF(AND(X98="CANDIDATE",V98&gt;='Config_v6'!$B$51,W98="PASS",'Calibrare_Linii'!T14="VALIDATED",AND('Calibrare_Linii'!H14=C98,ISNUMBER('Calibrare_Linii'!J14),'Calibrare_Linii'!J14&lt;='Input_Meci'!G12)),"PASS",IF(X98="CANDIDATE","OOS PENDING","FAIL"))))</x:f>
      </x:c>
      <x:c r="Z98" s="2" t="str">
        <x:f>IF(B98="","",IF(I98&lt;&gt;"READY","",IF(OR(NOT(AND(J98="PASS",'Calibrare_Linii'!U14="VALID")),L98&gt;'Config_v6'!$B$13,W98="WATCH"),5,IF(Y98="PASS",1,MIN(5,MAX('Config_v6'!$B$42,U98)+IF(W98="PENALTY",1,0))))))</x:f>
      </x:c>
      <x:c r="AA98" s="2" t="str">
        <x:f>IF(B98="","",IF(I98&lt;&gt;"READY","NOT RELEASED",IF(Z98=5,"NO BET",IF(OR(AB98&lt;'Config_v6'!$B$16,V98&lt;'Config_v6'!$B$18),"WATCH",IF(Z98=1,"DEFENSIV",IF(Z98=2,"PRUDENT",IF(Z98=3,"MODERAT","RIDICAT")))))))</x:f>
      </x:c>
      <x:c r="AB98" s="10" t="str">
        <x:f>IF(N98="","",MIN(N98,1-S98))</x:f>
      </x:c>
      <x:c r="AC98" s="2" t="str">
        <x:f>IF(AD98&lt;&gt;1,"",COUNTIFS($Z$90:$Z$103,"&lt;"&amp;Z98,$AD$90:$AD$103,1)+COUNTIFS($Z$90:$Z$103,Z98,$AB$90:$AB$103,"&gt;"&amp;AB98,$AD$90:$AD$103,1)+COUNTIFS($Z$90:$Z$103,Z98,$AB$90:$AB$103,AB98,$V$90:$V$103,"&gt;"&amp;V98,$AD$90:$AD$103,1)+COUNTIFS($Z$90:Z98,Z98,$AB$90:AB98,AB98,$V$90:V98,V98,$AD$90:AD98,1))</x:f>
      </x:c>
      <x:c r="AD98" s="2" t="n">
        <x:f>IF(OR(AA98="DEFENSIV",AA98="PRUDENT",AA98="MODERAT",AA98="RIDICAT"),1,0)</x:f>
        <x:v>0</x:v>
      </x:c>
      <x:c r="AE98" s="2" t="str">
        <x:f>IF(AD98&lt;&gt;1,"NO",IF(W98="PASS","YES",IF(W98="OOS PENDING","CONDITIONAL","NO")))</x:f>
        <x:v>NO</x:v>
      </x:c>
      <x:c r="AF98" s="2" t="n">
        <x:f>IF(AND(AD98=1,AC98=1,E98="LIVE"),1,0)</x:f>
        <x:v>0</x:v>
      </x:c>
      <x:c r="AG98" s="2" t="str">
        <x:f>IF(AF98&lt;&gt;1,"",'Dashboard'!P32)</x:f>
      </x:c>
      <x:c r="AH98" s="2" t="str">
        <x:f>IF(B98="","",IF(J98&lt;&gt;"PASS",'Motor_Meciuri'!J12,IF('Calibrare_Linii'!U14&lt;&gt;"VALID","Parametri linie invalizi",IF(L98&gt;'Config_v6'!$B$13,"Dispersie peste limita",IF(W98="WATCH","Failure peste limita",IF(AB98&lt;'Config_v6'!$B$16,"P finala sub prag",IF(V98&lt;'Config_v6'!$B$18,"Confidence sub prag",IF(E98="REPLAY","Exemplu retrospectiv; exclus din Top LIVE",IF(Y98="PASS","DEFENSIV validat",IF(W98="OOS PENDING","Eligibil; calibrare linie in monitorizare","Eligibil"))))))))))</x:f>
      </x:c>
      <x:c r="AI98" s="2" t="str">
        <x:f>IF(B98="","",'Calibrare_Linii'!V14)</x:f>
      </x:c>
      <x:c r="AJ98" s="2" t="str">
        <x:f>IF(B98="","",IF(AND('Calibrare_Linii'!T14="VALIDATED",AND('Calibrare_Linii'!H14=C98,ISNUMBER('Calibrare_Linii'!J14),'Calibrare_Linii'!J14&lt;='Input_Meci'!G12)),"DEFENSIVE VALIDATED",IF(AND('Calibrare_Linii'!S14="VALIDATED",AND('Calibrare_Linii'!H14=C98,ISNUMBER('Calibrare_Linii'!J14),'Calibrare_Linii'!J14&lt;='Input_Meci'!G12)),"TAIL VALIDATED","OOS PENDING")))</x:f>
      </x:c>
      <x:c r="AK98" s="2" t="n">
        <x:f>IF(J98&lt;&gt;"PASS",0,'Motor_Meciuri'!BR12)</x:f>
        <x:v>0</x:v>
      </x:c>
      <x:c r="AL98" s="2" t="n">
        <x:f>IF(J98&lt;&gt;"PASS",0,'Motor_Meciuri'!BS12)</x:f>
        <x:v>0</x:v>
      </x:c>
      <x:c r="AM98" s="2" t="n">
        <x:f>IF(J98&lt;&gt;"PASS",0,'Motor_Meciuri'!BT12)</x:f>
        <x:v>0</x:v>
      </x:c>
      <x:c r="AN98" s="2" t="str">
        <x:f>IF(M98="","",MAX(0,'Motor_Meciuri'!BF12-IF(L98&gt;'Config_v6'!$B$12,'Config_v6'!$B$37,IF(L98&gt;'Config_v6'!$B$11,'Config_v6'!$B$36,0))))</x:f>
      </x:c>
    </x:row>
    <x:row r="99" ht="21" customHeight="1">
      <x:c r="A99" s="2" t="n">
        <x:v>7</x:v>
      </x:c>
      <x:c r="B99" s="2" t="str">
        <x:f>IF('Motor_Meciuri'!A12="","",'Motor_Meciuri'!A12)</x:f>
      </x:c>
      <x:c r="C99" s="2" t="str">
        <x:f>IF(B99="","",'Motor_Meciuri'!B12)</x:f>
      </x:c>
      <x:c r="D99" s="2" t="str">
        <x:f>IF(B99="","",'Motor_Meciuri'!D12)</x:f>
      </x:c>
      <x:c r="E99" s="2" t="str">
        <x:f>IF(B99="","",'Motor_Meciuri'!E12)</x:f>
      </x:c>
      <x:c r="F99" s="2" t="str">
        <x:v>U13,5</x:v>
      </x:c>
      <x:c r="G99" s="2" t="str">
        <x:v>UNDER</x:v>
      </x:c>
      <x:c r="H99" s="2" t="n">
        <x:v>13</x:v>
      </x:c>
      <x:c r="I99" s="2" t="str">
        <x:f>IF(B99="","",'Motor_Meciuri'!H12)</x:f>
      </x:c>
      <x:c r="J99" s="2" t="str">
        <x:f>IF(B99="","",'Motor_Meciuri'!I12)</x:f>
      </x:c>
      <x:c r="K99" s="11" t="str">
        <x:f>IF(J99&lt;&gt;"PASS","",'Motor_Meciuri'!BD12)</x:f>
      </x:c>
      <x:c r="L99" s="11" t="str">
        <x:f>IF(J99&lt;&gt;"PASS","",'Motor_Meciuri'!AU12)</x:f>
      </x:c>
      <x:c r="M99" s="10" t="str">
        <x:f>IF(NOT(AND(J99="PASS",'Calibrare_Linii'!U15="VALID")),"",'Distributie'!AK12)</x:f>
      </x:c>
      <x:c r="N99" s="10" t="str">
        <x:f>IF(M99="","",MAX(0.01,MIN(0.99,0.5+(M99-0.5)*'Motor_Meciuri'!BG12*'Calibrare_Linii'!D15)))</x:f>
      </x:c>
      <x:c r="O99" s="10" t="str">
        <x:f>IF(M99="","",1-M99)</x:f>
      </x:c>
      <x:c r="P99" s="10" t="str">
        <x:f>IF(OR(NOT(AND(J99="PASS",'Calibrare_Linii'!U15="VALID")),AK99=0),""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*('Istoric_Nativ'!$Q$6:$Q$405&gt;H99))/AK99)</x:f>
      </x:c>
      <x:c r="Q99" s="10" t="str">
        <x:f>IF(OR(NOT(AND(J99="PASS",'Calibrare_Linii'!U15="VALID")),AL99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M12)+((('Istoric_Nativ'!$E$6:$E$405='Input_Meci'!E12)+('Istoric_Nativ'!$F$6:$F$405='Input_Meci'!E12))&gt;0)*('Istoric_Nativ'!$D$6:$D$405&gt;='Motor_Meciuri'!BN12))&gt;0)*('Istoric_Nativ'!$Q$6:$Q$405&gt;H99))/AL99)</x:f>
      </x:c>
      <x:c r="R99" s="10" t="str">
        <x:f>IF(OR(NOT(AND(J99="PASS",'Calibrare_Linii'!U15="VALID")),AM99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O12)+((('Istoric_Nativ'!$E$6:$E$405='Input_Meci'!E12)+('Istoric_Nativ'!$F$6:$F$405='Input_Meci'!E12))&gt;0)*('Istoric_Nativ'!$D$6:$D$405&gt;='Motor_Meciuri'!BP12))&gt;0)*('Istoric_Nativ'!$Q$6:$Q$405&gt;H99))/AM99)</x:f>
      </x:c>
      <x:c r="S99" s="10" t="str">
        <x:f>IF(M99="","",MAX(O99,P99,Q99,R99))</x:f>
      </x:c>
      <x:c r="T99" s="11" t="str">
        <x:f>IF(M99="","",MIN(100,S99*100*'Config_v6'!$B$44+MIN(100,L99/'Config_v6'!$B$13*100)*'Config_v6'!$B$45+(100-'Motor_Meciuri'!BF12)*'Config_v6'!$B$46+'Motor_Meciuri'!BH12*100*'Config_v6'!$B$47))</x:f>
      </x:c>
      <x:c r="U99" s="2" t="str">
        <x:f>IF(T99="","",IF(T99&lt;=20,1,IF(T99&lt;=40,2,IF(T99&lt;=60,3,IF(T99&lt;=80,4,5)))))</x:f>
      </x:c>
      <x:c r="V99" s="2" t="str">
        <x:f>IF(M99="","",MAX(0,'Motor_Meciuri'!BF12-IF(W99="OOS PENDING",'Config_v6'!$B$35,0)-IF(L99&gt;'Config_v6'!$B$12,'Config_v6'!$B$37,IF(L99&gt;'Config_v6'!$B$11,'Config_v6'!$B$36,0))))</x:f>
      </x:c>
      <x:c r="W99" s="2" t="str">
        <x:f>IF(B99="","",IF(I99&lt;&gt;"READY","NOT RELEASED",IF(NOT(AND(J99="PASS",'Calibrare_Linii'!U15="VALID")),"INVALID",IF(NOT(AND('Calibrare_Linii'!S15="VALIDATED",AND('Calibrare_Linii'!H15=C99,ISNUMBER('Calibrare_Linii'!J15),'Calibrare_Linii'!J15&lt;='Input_Meci'!G12))),"OOS PENDING",IF(S99&lt;='Calibrare_Linii'!E15,"PASS",IF(S99&lt;='Calibrare_Linii'!F15,"PENALTY","WATCH"))))))</x:f>
      </x:c>
      <x:c r="X99" s="2" t="str">
        <x:f>IF(M99="","",IF(AND(AND(J99="PASS",'Calibrare_Linii'!U15="VALID"),'Motor_Meciuri'!K12=12,'Motor_Meciuri'!L12=12,'Motor_Meciuri'!M12="NO",'Motor_Meciuri'!BL12='Motor_Meciuri'!C12,AB99&gt;='Config_v6'!$B$50,AN99&gt;='Config_v6'!$B$51,T99&lt;='Config_v6'!$B$52,L99&lt;='Config_v6'!$B$53,ISNUMBER('Calibrare_Linii'!E15),S99&lt;='Calibrare_Linii'!E15,SUM(AK99:AM99)&gt;0),"CANDIDATE","NO"))</x:f>
      </x:c>
      <x:c r="Y99" s="2" t="str">
        <x:f>IF(B99="","",IF(I99&lt;&gt;"READY","NOT RELEASED",IF(AND(X99="CANDIDATE",V99&gt;='Config_v6'!$B$51,W99="PASS",'Calibrare_Linii'!T15="VALIDATED",AND('Calibrare_Linii'!H15=C99,ISNUMBER('Calibrare_Linii'!J15),'Calibrare_Linii'!J15&lt;='Input_Meci'!G12)),"PASS",IF(X99="CANDIDATE","OOS PENDING","FAIL"))))</x:f>
      </x:c>
      <x:c r="Z99" s="2" t="str">
        <x:f>IF(B99="","",IF(I99&lt;&gt;"READY","",IF(OR(NOT(AND(J99="PASS",'Calibrare_Linii'!U15="VALID")),L99&gt;'Config_v6'!$B$13,W99="WATCH"),5,IF(Y99="PASS",1,MIN(5,MAX('Config_v6'!$B$42,U99)+IF(W99="PENALTY",1,0))))))</x:f>
      </x:c>
      <x:c r="AA99" s="2" t="str">
        <x:f>IF(B99="","",IF(I99&lt;&gt;"READY","NOT RELEASED",IF(Z99=5,"NO BET",IF(OR(AB99&lt;'Config_v6'!$B$16,V99&lt;'Config_v6'!$B$18),"WATCH",IF(Z99=1,"DEFENSIV",IF(Z99=2,"PRUDENT",IF(Z99=3,"MODERAT","RIDICAT")))))))</x:f>
      </x:c>
      <x:c r="AB99" s="10" t="str">
        <x:f>IF(N99="","",MIN(N99,1-S99))</x:f>
      </x:c>
      <x:c r="AC99" s="2" t="str">
        <x:f>IF(AD99&lt;&gt;1,"",COUNTIFS($Z$90:$Z$103,"&lt;"&amp;Z99,$AD$90:$AD$103,1)+COUNTIFS($Z$90:$Z$103,Z99,$AB$90:$AB$103,"&gt;"&amp;AB99,$AD$90:$AD$103,1)+COUNTIFS($Z$90:$Z$103,Z99,$AB$90:$AB$103,AB99,$V$90:$V$103,"&gt;"&amp;V99,$AD$90:$AD$103,1)+COUNTIFS($Z$90:Z99,Z99,$AB$90:AB99,AB99,$V$90:V99,V99,$AD$90:AD99,1))</x:f>
      </x:c>
      <x:c r="AD99" s="2" t="n">
        <x:f>IF(OR(AA99="DEFENSIV",AA99="PRUDENT",AA99="MODERAT",AA99="RIDICAT"),1,0)</x:f>
        <x:v>0</x:v>
      </x:c>
      <x:c r="AE99" s="2" t="str">
        <x:f>IF(AD99&lt;&gt;1,"NO",IF(W99="PASS","YES",IF(W99="OOS PENDING","CONDITIONAL","NO")))</x:f>
        <x:v>NO</x:v>
      </x:c>
      <x:c r="AF99" s="2" t="n">
        <x:f>IF(AND(AD99=1,AC99=1,E99="LIVE"),1,0)</x:f>
        <x:v>0</x:v>
      </x:c>
      <x:c r="AG99" s="2" t="str">
        <x:f>IF(AF99&lt;&gt;1,"",'Dashboard'!P32)</x:f>
      </x:c>
      <x:c r="AH99" s="2" t="str">
        <x:f>IF(B99="","",IF(J99&lt;&gt;"PASS",'Motor_Meciuri'!J12,IF('Calibrare_Linii'!U15&lt;&gt;"VALID","Parametri linie invalizi",IF(L99&gt;'Config_v6'!$B$13,"Dispersie peste limita",IF(W99="WATCH","Failure peste limita",IF(AB99&lt;'Config_v6'!$B$16,"P finala sub prag",IF(V99&lt;'Config_v6'!$B$18,"Confidence sub prag",IF(E99="REPLAY","Exemplu retrospectiv; exclus din Top LIVE",IF(Y99="PASS","DEFENSIV validat",IF(W99="OOS PENDING","Eligibil; calibrare linie in monitorizare","Eligibil"))))))))))</x:f>
      </x:c>
      <x:c r="AI99" s="2" t="str">
        <x:f>IF(B99="","",'Calibrare_Linii'!V15)</x:f>
      </x:c>
      <x:c r="AJ99" s="2" t="str">
        <x:f>IF(B99="","",IF(AND('Calibrare_Linii'!T15="VALIDATED",AND('Calibrare_Linii'!H15=C99,ISNUMBER('Calibrare_Linii'!J15),'Calibrare_Linii'!J15&lt;='Input_Meci'!G12)),"DEFENSIVE VALIDATED",IF(AND('Calibrare_Linii'!S15="VALIDATED",AND('Calibrare_Linii'!H15=C99,ISNUMBER('Calibrare_Linii'!J15),'Calibrare_Linii'!J15&lt;='Input_Meci'!G12)),"TAIL VALIDATED","OOS PENDING")))</x:f>
      </x:c>
      <x:c r="AK99" s="2" t="n">
        <x:f>IF(J99&lt;&gt;"PASS",0,'Motor_Meciuri'!BR12)</x:f>
        <x:v>0</x:v>
      </x:c>
      <x:c r="AL99" s="2" t="n">
        <x:f>IF(J99&lt;&gt;"PASS",0,'Motor_Meciuri'!BS12)</x:f>
        <x:v>0</x:v>
      </x:c>
      <x:c r="AM99" s="2" t="n">
        <x:f>IF(J99&lt;&gt;"PASS",0,'Motor_Meciuri'!BT12)</x:f>
        <x:v>0</x:v>
      </x:c>
      <x:c r="AN99" s="2" t="str">
        <x:f>IF(M99="","",MAX(0,'Motor_Meciuri'!BF12-IF(L99&gt;'Config_v6'!$B$12,'Config_v6'!$B$37,IF(L99&gt;'Config_v6'!$B$11,'Config_v6'!$B$36,0))))</x:f>
      </x:c>
    </x:row>
    <x:row r="100" ht="21" customHeight="1">
      <x:c r="A100" s="2" t="n">
        <x:v>7</x:v>
      </x:c>
      <x:c r="B100" s="2" t="str">
        <x:f>IF('Motor_Meciuri'!A12="","",'Motor_Meciuri'!A12)</x:f>
      </x:c>
      <x:c r="C100" s="2" t="str">
        <x:f>IF(B100="","",'Motor_Meciuri'!B12)</x:f>
      </x:c>
      <x:c r="D100" s="2" t="str">
        <x:f>IF(B100="","",'Motor_Meciuri'!D12)</x:f>
      </x:c>
      <x:c r="E100" s="2" t="str">
        <x:f>IF(B100="","",'Motor_Meciuri'!E12)</x:f>
      </x:c>
      <x:c r="F100" s="2" t="str">
        <x:v>U14,5</x:v>
      </x:c>
      <x:c r="G100" s="2" t="str">
        <x:v>UNDER</x:v>
      </x:c>
      <x:c r="H100" s="2" t="n">
        <x:v>14</x:v>
      </x:c>
      <x:c r="I100" s="2" t="str">
        <x:f>IF(B100="","",'Motor_Meciuri'!H12)</x:f>
      </x:c>
      <x:c r="J100" s="2" t="str">
        <x:f>IF(B100="","",'Motor_Meciuri'!I12)</x:f>
      </x:c>
      <x:c r="K100" s="11" t="str">
        <x:f>IF(J100&lt;&gt;"PASS","",'Motor_Meciuri'!BD12)</x:f>
      </x:c>
      <x:c r="L100" s="11" t="str">
        <x:f>IF(J100&lt;&gt;"PASS","",'Motor_Meciuri'!AU12)</x:f>
      </x:c>
      <x:c r="M100" s="10" t="str">
        <x:f>IF(NOT(AND(J100="PASS",'Calibrare_Linii'!U16="VALID")),"",'Distributie'!AL12)</x:f>
      </x:c>
      <x:c r="N100" s="10" t="str">
        <x:f>IF(M100="","",MAX(0.01,MIN(0.99,0.5+(M100-0.5)*'Motor_Meciuri'!BG12*'Calibrare_Linii'!D16)))</x:f>
      </x:c>
      <x:c r="O100" s="10" t="str">
        <x:f>IF(M100="","",1-M100)</x:f>
      </x:c>
      <x:c r="P100" s="10" t="str">
        <x:f>IF(OR(NOT(AND(J100="PASS",'Calibrare_Linii'!U16="VALID")),AK100=0),""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*('Istoric_Nativ'!$Q$6:$Q$405&gt;H100))/AK100)</x:f>
      </x:c>
      <x:c r="Q100" s="10" t="str">
        <x:f>IF(OR(NOT(AND(J100="PASS",'Calibrare_Linii'!U16="VALID")),AL100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M12)+((('Istoric_Nativ'!$E$6:$E$405='Input_Meci'!E12)+('Istoric_Nativ'!$F$6:$F$405='Input_Meci'!E12))&gt;0)*('Istoric_Nativ'!$D$6:$D$405&gt;='Motor_Meciuri'!BN12))&gt;0)*('Istoric_Nativ'!$Q$6:$Q$405&gt;H100))/AL100)</x:f>
      </x:c>
      <x:c r="R100" s="10" t="str">
        <x:f>IF(OR(NOT(AND(J100="PASS",'Calibrare_Linii'!U16="VALID")),AM100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O12)+((('Istoric_Nativ'!$E$6:$E$405='Input_Meci'!E12)+('Istoric_Nativ'!$F$6:$F$405='Input_Meci'!E12))&gt;0)*('Istoric_Nativ'!$D$6:$D$405&gt;='Motor_Meciuri'!BP12))&gt;0)*('Istoric_Nativ'!$Q$6:$Q$405&gt;H100))/AM100)</x:f>
      </x:c>
      <x:c r="S100" s="10" t="str">
        <x:f>IF(M100="","",MAX(O100,P100,Q100,R100))</x:f>
      </x:c>
      <x:c r="T100" s="11" t="str">
        <x:f>IF(M100="","",MIN(100,S100*100*'Config_v6'!$B$44+MIN(100,L100/'Config_v6'!$B$13*100)*'Config_v6'!$B$45+(100-'Motor_Meciuri'!BF12)*'Config_v6'!$B$46+'Motor_Meciuri'!BH12*100*'Config_v6'!$B$47))</x:f>
      </x:c>
      <x:c r="U100" s="2" t="str">
        <x:f>IF(T100="","",IF(T100&lt;=20,1,IF(T100&lt;=40,2,IF(T100&lt;=60,3,IF(T100&lt;=80,4,5)))))</x:f>
      </x:c>
      <x:c r="V100" s="2" t="str">
        <x:f>IF(M100="","",MAX(0,'Motor_Meciuri'!BF12-IF(W100="OOS PENDING",'Config_v6'!$B$35,0)-IF(L100&gt;'Config_v6'!$B$12,'Config_v6'!$B$37,IF(L100&gt;'Config_v6'!$B$11,'Config_v6'!$B$36,0))))</x:f>
      </x:c>
      <x:c r="W100" s="2" t="str">
        <x:f>IF(B100="","",IF(I100&lt;&gt;"READY","NOT RELEASED",IF(NOT(AND(J100="PASS",'Calibrare_Linii'!U16="VALID")),"INVALID",IF(NOT(AND('Calibrare_Linii'!S16="VALIDATED",AND('Calibrare_Linii'!H16=C100,ISNUMBER('Calibrare_Linii'!J16),'Calibrare_Linii'!J16&lt;='Input_Meci'!G12))),"OOS PENDING",IF(S100&lt;='Calibrare_Linii'!E16,"PASS",IF(S100&lt;='Calibrare_Linii'!F16,"PENALTY","WATCH"))))))</x:f>
      </x:c>
      <x:c r="X100" s="2" t="str">
        <x:f>IF(M100="","",IF(AND(AND(J100="PASS",'Calibrare_Linii'!U16="VALID"),'Motor_Meciuri'!K12=12,'Motor_Meciuri'!L12=12,'Motor_Meciuri'!M12="NO",'Motor_Meciuri'!BL12='Motor_Meciuri'!C12,AB100&gt;='Config_v6'!$B$50,AN100&gt;='Config_v6'!$B$51,T100&lt;='Config_v6'!$B$52,L100&lt;='Config_v6'!$B$53,ISNUMBER('Calibrare_Linii'!E16),S100&lt;='Calibrare_Linii'!E16,SUM(AK100:AM100)&gt;0),"CANDIDATE","NO"))</x:f>
      </x:c>
      <x:c r="Y100" s="2" t="str">
        <x:f>IF(B100="","",IF(I100&lt;&gt;"READY","NOT RELEASED",IF(AND(X100="CANDIDATE",V100&gt;='Config_v6'!$B$51,W100="PASS",'Calibrare_Linii'!T16="VALIDATED",AND('Calibrare_Linii'!H16=C100,ISNUMBER('Calibrare_Linii'!J16),'Calibrare_Linii'!J16&lt;='Input_Meci'!G12)),"PASS",IF(X100="CANDIDATE","OOS PENDING","FAIL"))))</x:f>
      </x:c>
      <x:c r="Z100" s="2" t="str">
        <x:f>IF(B100="","",IF(I100&lt;&gt;"READY","",IF(OR(NOT(AND(J100="PASS",'Calibrare_Linii'!U16="VALID")),L100&gt;'Config_v6'!$B$13,W100="WATCH"),5,IF(Y100="PASS",1,MIN(5,MAX('Config_v6'!$B$42,U100)+IF(W100="PENALTY",1,0))))))</x:f>
      </x:c>
      <x:c r="AA100" s="2" t="str">
        <x:f>IF(B100="","",IF(I100&lt;&gt;"READY","NOT RELEASED",IF(Z100=5,"NO BET",IF(OR(AB100&lt;'Config_v6'!$B$16,V100&lt;'Config_v6'!$B$18),"WATCH",IF(Z100=1,"DEFENSIV",IF(Z100=2,"PRUDENT",IF(Z100=3,"MODERAT","RIDICAT")))))))</x:f>
      </x:c>
      <x:c r="AB100" s="10" t="str">
        <x:f>IF(N100="","",MIN(N100,1-S100))</x:f>
      </x:c>
      <x:c r="AC100" s="2" t="str">
        <x:f>IF(AD100&lt;&gt;1,"",COUNTIFS($Z$90:$Z$103,"&lt;"&amp;Z100,$AD$90:$AD$103,1)+COUNTIFS($Z$90:$Z$103,Z100,$AB$90:$AB$103,"&gt;"&amp;AB100,$AD$90:$AD$103,1)+COUNTIFS($Z$90:$Z$103,Z100,$AB$90:$AB$103,AB100,$V$90:$V$103,"&gt;"&amp;V100,$AD$90:$AD$103,1)+COUNTIFS($Z$90:Z100,Z100,$AB$90:AB100,AB100,$V$90:V100,V100,$AD$90:AD100,1))</x:f>
      </x:c>
      <x:c r="AD100" s="2" t="n">
        <x:f>IF(OR(AA100="DEFENSIV",AA100="PRUDENT",AA100="MODERAT",AA100="RIDICAT"),1,0)</x:f>
        <x:v>0</x:v>
      </x:c>
      <x:c r="AE100" s="2" t="str">
        <x:f>IF(AD100&lt;&gt;1,"NO",IF(W100="PASS","YES",IF(W100="OOS PENDING","CONDITIONAL","NO")))</x:f>
        <x:v>NO</x:v>
      </x:c>
      <x:c r="AF100" s="2" t="n">
        <x:f>IF(AND(AD100=1,AC100=1,E100="LIVE"),1,0)</x:f>
        <x:v>0</x:v>
      </x:c>
      <x:c r="AG100" s="2" t="str">
        <x:f>IF(AF100&lt;&gt;1,"",'Dashboard'!P32)</x:f>
      </x:c>
      <x:c r="AH100" s="2" t="str">
        <x:f>IF(B100="","",IF(J100&lt;&gt;"PASS",'Motor_Meciuri'!J12,IF('Calibrare_Linii'!U16&lt;&gt;"VALID","Parametri linie invalizi",IF(L100&gt;'Config_v6'!$B$13,"Dispersie peste limita",IF(W100="WATCH","Failure peste limita",IF(AB100&lt;'Config_v6'!$B$16,"P finala sub prag",IF(V100&lt;'Config_v6'!$B$18,"Confidence sub prag",IF(E100="REPLAY","Exemplu retrospectiv; exclus din Top LIVE",IF(Y100="PASS","DEFENSIV validat",IF(W100="OOS PENDING","Eligibil; calibrare linie in monitorizare","Eligibil"))))))))))</x:f>
      </x:c>
      <x:c r="AI100" s="2" t="str">
        <x:f>IF(B100="","",'Calibrare_Linii'!V16)</x:f>
      </x:c>
      <x:c r="AJ100" s="2" t="str">
        <x:f>IF(B100="","",IF(AND('Calibrare_Linii'!T16="VALIDATED",AND('Calibrare_Linii'!H16=C100,ISNUMBER('Calibrare_Linii'!J16),'Calibrare_Linii'!J16&lt;='Input_Meci'!G12)),"DEFENSIVE VALIDATED",IF(AND('Calibrare_Linii'!S16="VALIDATED",AND('Calibrare_Linii'!H16=C100,ISNUMBER('Calibrare_Linii'!J16),'Calibrare_Linii'!J16&lt;='Input_Meci'!G12)),"TAIL VALIDATED","OOS PENDING")))</x:f>
      </x:c>
      <x:c r="AK100" s="2" t="n">
        <x:f>IF(J100&lt;&gt;"PASS",0,'Motor_Meciuri'!BR12)</x:f>
        <x:v>0</x:v>
      </x:c>
      <x:c r="AL100" s="2" t="n">
        <x:f>IF(J100&lt;&gt;"PASS",0,'Motor_Meciuri'!BS12)</x:f>
        <x:v>0</x:v>
      </x:c>
      <x:c r="AM100" s="2" t="n">
        <x:f>IF(J100&lt;&gt;"PASS",0,'Motor_Meciuri'!BT12)</x:f>
        <x:v>0</x:v>
      </x:c>
      <x:c r="AN100" s="2" t="str">
        <x:f>IF(M100="","",MAX(0,'Motor_Meciuri'!BF12-IF(L100&gt;'Config_v6'!$B$12,'Config_v6'!$B$37,IF(L100&gt;'Config_v6'!$B$11,'Config_v6'!$B$36,0))))</x:f>
      </x:c>
    </x:row>
    <x:row r="101" ht="21" customHeight="1">
      <x:c r="A101" s="2" t="n">
        <x:v>7</x:v>
      </x:c>
      <x:c r="B101" s="2" t="str">
        <x:f>IF('Motor_Meciuri'!A12="","",'Motor_Meciuri'!A12)</x:f>
      </x:c>
      <x:c r="C101" s="2" t="str">
        <x:f>IF(B101="","",'Motor_Meciuri'!B12)</x:f>
      </x:c>
      <x:c r="D101" s="2" t="str">
        <x:f>IF(B101="","",'Motor_Meciuri'!D12)</x:f>
      </x:c>
      <x:c r="E101" s="2" t="str">
        <x:f>IF(B101="","",'Motor_Meciuri'!E12)</x:f>
      </x:c>
      <x:c r="F101" s="2" t="str">
        <x:v>U15,5</x:v>
      </x:c>
      <x:c r="G101" s="2" t="str">
        <x:v>UNDER</x:v>
      </x:c>
      <x:c r="H101" s="2" t="n">
        <x:v>15</x:v>
      </x:c>
      <x:c r="I101" s="2" t="str">
        <x:f>IF(B101="","",'Motor_Meciuri'!H12)</x:f>
      </x:c>
      <x:c r="J101" s="2" t="str">
        <x:f>IF(B101="","",'Motor_Meciuri'!I12)</x:f>
      </x:c>
      <x:c r="K101" s="11" t="str">
        <x:f>IF(J101&lt;&gt;"PASS","",'Motor_Meciuri'!BD12)</x:f>
      </x:c>
      <x:c r="L101" s="11" t="str">
        <x:f>IF(J101&lt;&gt;"PASS","",'Motor_Meciuri'!AU12)</x:f>
      </x:c>
      <x:c r="M101" s="10" t="str">
        <x:f>IF(NOT(AND(J101="PASS",'Calibrare_Linii'!U17="VALID")),"",'Distributie'!AM12)</x:f>
      </x:c>
      <x:c r="N101" s="10" t="str">
        <x:f>IF(M101="","",MAX(0.01,MIN(0.99,0.5+(M101-0.5)*'Motor_Meciuri'!BG12*'Calibrare_Linii'!D17)))</x:f>
      </x:c>
      <x:c r="O101" s="10" t="str">
        <x:f>IF(M101="","",1-M101)</x:f>
      </x:c>
      <x:c r="P101" s="10" t="str">
        <x:f>IF(OR(NOT(AND(J101="PASS",'Calibrare_Linii'!U17="VALID")),AK101=0),""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*('Istoric_Nativ'!$Q$6:$Q$405&gt;H101))/AK101)</x:f>
      </x:c>
      <x:c r="Q101" s="10" t="str">
        <x:f>IF(OR(NOT(AND(J101="PASS",'Calibrare_Linii'!U17="VALID")),AL101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M12)+((('Istoric_Nativ'!$E$6:$E$405='Input_Meci'!E12)+('Istoric_Nativ'!$F$6:$F$405='Input_Meci'!E12))&gt;0)*('Istoric_Nativ'!$D$6:$D$405&gt;='Motor_Meciuri'!BN12))&gt;0)*('Istoric_Nativ'!$Q$6:$Q$405&gt;H101))/AL101)</x:f>
      </x:c>
      <x:c r="R101" s="10" t="str">
        <x:f>IF(OR(NOT(AND(J101="PASS",'Calibrare_Linii'!U17="VALID")),AM101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O12)+((('Istoric_Nativ'!$E$6:$E$405='Input_Meci'!E12)+('Istoric_Nativ'!$F$6:$F$405='Input_Meci'!E12))&gt;0)*('Istoric_Nativ'!$D$6:$D$405&gt;='Motor_Meciuri'!BP12))&gt;0)*('Istoric_Nativ'!$Q$6:$Q$405&gt;H101))/AM101)</x:f>
      </x:c>
      <x:c r="S101" s="10" t="str">
        <x:f>IF(M101="","",MAX(O101,P101,Q101,R101))</x:f>
      </x:c>
      <x:c r="T101" s="11" t="str">
        <x:f>IF(M101="","",MIN(100,S101*100*'Config_v6'!$B$44+MIN(100,L101/'Config_v6'!$B$13*100)*'Config_v6'!$B$45+(100-'Motor_Meciuri'!BF12)*'Config_v6'!$B$46+'Motor_Meciuri'!BH12*100*'Config_v6'!$B$47))</x:f>
      </x:c>
      <x:c r="U101" s="2" t="str">
        <x:f>IF(T101="","",IF(T101&lt;=20,1,IF(T101&lt;=40,2,IF(T101&lt;=60,3,IF(T101&lt;=80,4,5)))))</x:f>
      </x:c>
      <x:c r="V101" s="2" t="str">
        <x:f>IF(M101="","",MAX(0,'Motor_Meciuri'!BF12-IF(W101="OOS PENDING",'Config_v6'!$B$35,0)-IF(L101&gt;'Config_v6'!$B$12,'Config_v6'!$B$37,IF(L101&gt;'Config_v6'!$B$11,'Config_v6'!$B$36,0))))</x:f>
      </x:c>
      <x:c r="W101" s="2" t="str">
        <x:f>IF(B101="","",IF(I101&lt;&gt;"READY","NOT RELEASED",IF(NOT(AND(J101="PASS",'Calibrare_Linii'!U17="VALID")),"INVALID",IF(NOT(AND('Calibrare_Linii'!S17="VALIDATED",AND('Calibrare_Linii'!H17=C101,ISNUMBER('Calibrare_Linii'!J17),'Calibrare_Linii'!J17&lt;='Input_Meci'!G12))),"OOS PENDING",IF(S101&lt;='Calibrare_Linii'!E17,"PASS",IF(S101&lt;='Calibrare_Linii'!F17,"PENALTY","WATCH"))))))</x:f>
      </x:c>
      <x:c r="X101" s="2" t="str">
        <x:f>IF(M101="","",IF(AND(AND(J101="PASS",'Calibrare_Linii'!U17="VALID"),'Motor_Meciuri'!K12=12,'Motor_Meciuri'!L12=12,'Motor_Meciuri'!M12="NO",'Motor_Meciuri'!BL12='Motor_Meciuri'!C12,AB101&gt;='Config_v6'!$B$50,AN101&gt;='Config_v6'!$B$51,T101&lt;='Config_v6'!$B$52,L101&lt;='Config_v6'!$B$53,ISNUMBER('Calibrare_Linii'!E17),S101&lt;='Calibrare_Linii'!E17,SUM(AK101:AM101)&gt;0),"CANDIDATE","NO"))</x:f>
      </x:c>
      <x:c r="Y101" s="2" t="str">
        <x:f>IF(B101="","",IF(I101&lt;&gt;"READY","NOT RELEASED",IF(AND(X101="CANDIDATE",V101&gt;='Config_v6'!$B$51,W101="PASS",'Calibrare_Linii'!T17="VALIDATED",AND('Calibrare_Linii'!H17=C101,ISNUMBER('Calibrare_Linii'!J17),'Calibrare_Linii'!J17&lt;='Input_Meci'!G12)),"PASS",IF(X101="CANDIDATE","OOS PENDING","FAIL"))))</x:f>
      </x:c>
      <x:c r="Z101" s="2" t="str">
        <x:f>IF(B101="","",IF(I101&lt;&gt;"READY","",IF(OR(NOT(AND(J101="PASS",'Calibrare_Linii'!U17="VALID")),L101&gt;'Config_v6'!$B$13,W101="WATCH"),5,IF(Y101="PASS",1,MIN(5,MAX('Config_v6'!$B$42,U101)+IF(W101="PENALTY",1,0))))))</x:f>
      </x:c>
      <x:c r="AA101" s="2" t="str">
        <x:f>IF(B101="","",IF(I101&lt;&gt;"READY","NOT RELEASED",IF(Z101=5,"NO BET",IF(OR(AB101&lt;'Config_v6'!$B$16,V101&lt;'Config_v6'!$B$18),"WATCH",IF(Z101=1,"DEFENSIV",IF(Z101=2,"PRUDENT",IF(Z101=3,"MODERAT","RIDICAT")))))))</x:f>
      </x:c>
      <x:c r="AB101" s="10" t="str">
        <x:f>IF(N101="","",MIN(N101,1-S101))</x:f>
      </x:c>
      <x:c r="AC101" s="2" t="str">
        <x:f>IF(AD101&lt;&gt;1,"",COUNTIFS($Z$90:$Z$103,"&lt;"&amp;Z101,$AD$90:$AD$103,1)+COUNTIFS($Z$90:$Z$103,Z101,$AB$90:$AB$103,"&gt;"&amp;AB101,$AD$90:$AD$103,1)+COUNTIFS($Z$90:$Z$103,Z101,$AB$90:$AB$103,AB101,$V$90:$V$103,"&gt;"&amp;V101,$AD$90:$AD$103,1)+COUNTIFS($Z$90:Z101,Z101,$AB$90:AB101,AB101,$V$90:V101,V101,$AD$90:AD101,1))</x:f>
      </x:c>
      <x:c r="AD101" s="2" t="n">
        <x:f>IF(OR(AA101="DEFENSIV",AA101="PRUDENT",AA101="MODERAT",AA101="RIDICAT"),1,0)</x:f>
        <x:v>0</x:v>
      </x:c>
      <x:c r="AE101" s="2" t="str">
        <x:f>IF(AD101&lt;&gt;1,"NO",IF(W101="PASS","YES",IF(W101="OOS PENDING","CONDITIONAL","NO")))</x:f>
        <x:v>NO</x:v>
      </x:c>
      <x:c r="AF101" s="2" t="n">
        <x:f>IF(AND(AD101=1,AC101=1,E101="LIVE"),1,0)</x:f>
        <x:v>0</x:v>
      </x:c>
      <x:c r="AG101" s="2" t="str">
        <x:f>IF(AF101&lt;&gt;1,"",'Dashboard'!P32)</x:f>
      </x:c>
      <x:c r="AH101" s="2" t="str">
        <x:f>IF(B101="","",IF(J101&lt;&gt;"PASS",'Motor_Meciuri'!J12,IF('Calibrare_Linii'!U17&lt;&gt;"VALID","Parametri linie invalizi",IF(L101&gt;'Config_v6'!$B$13,"Dispersie peste limita",IF(W101="WATCH","Failure peste limita",IF(AB101&lt;'Config_v6'!$B$16,"P finala sub prag",IF(V101&lt;'Config_v6'!$B$18,"Confidence sub prag",IF(E101="REPLAY","Exemplu retrospectiv; exclus din Top LIVE",IF(Y101="PASS","DEFENSIV validat",IF(W101="OOS PENDING","Eligibil; calibrare linie in monitorizare","Eligibil"))))))))))</x:f>
      </x:c>
      <x:c r="AI101" s="2" t="str">
        <x:f>IF(B101="","",'Calibrare_Linii'!V17)</x:f>
      </x:c>
      <x:c r="AJ101" s="2" t="str">
        <x:f>IF(B101="","",IF(AND('Calibrare_Linii'!T17="VALIDATED",AND('Calibrare_Linii'!H17=C101,ISNUMBER('Calibrare_Linii'!J17),'Calibrare_Linii'!J17&lt;='Input_Meci'!G12)),"DEFENSIVE VALIDATED",IF(AND('Calibrare_Linii'!S17="VALIDATED",AND('Calibrare_Linii'!H17=C101,ISNUMBER('Calibrare_Linii'!J17),'Calibrare_Linii'!J17&lt;='Input_Meci'!G12)),"TAIL VALIDATED","OOS PENDING")))</x:f>
      </x:c>
      <x:c r="AK101" s="2" t="n">
        <x:f>IF(J101&lt;&gt;"PASS",0,'Motor_Meciuri'!BR12)</x:f>
        <x:v>0</x:v>
      </x:c>
      <x:c r="AL101" s="2" t="n">
        <x:f>IF(J101&lt;&gt;"PASS",0,'Motor_Meciuri'!BS12)</x:f>
        <x:v>0</x:v>
      </x:c>
      <x:c r="AM101" s="2" t="n">
        <x:f>IF(J101&lt;&gt;"PASS",0,'Motor_Meciuri'!BT12)</x:f>
        <x:v>0</x:v>
      </x:c>
      <x:c r="AN101" s="2" t="str">
        <x:f>IF(M101="","",MAX(0,'Motor_Meciuri'!BF12-IF(L101&gt;'Config_v6'!$B$12,'Config_v6'!$B$37,IF(L101&gt;'Config_v6'!$B$11,'Config_v6'!$B$36,0))))</x:f>
      </x:c>
    </x:row>
    <x:row r="102" ht="21" customHeight="1">
      <x:c r="A102" s="2" t="n">
        <x:v>7</x:v>
      </x:c>
      <x:c r="B102" s="2" t="str">
        <x:f>IF('Motor_Meciuri'!A12="","",'Motor_Meciuri'!A12)</x:f>
      </x:c>
      <x:c r="C102" s="2" t="str">
        <x:f>IF(B102="","",'Motor_Meciuri'!B12)</x:f>
      </x:c>
      <x:c r="D102" s="2" t="str">
        <x:f>IF(B102="","",'Motor_Meciuri'!D12)</x:f>
      </x:c>
      <x:c r="E102" s="2" t="str">
        <x:f>IF(B102="","",'Motor_Meciuri'!E12)</x:f>
      </x:c>
      <x:c r="F102" s="2" t="str">
        <x:v>U16,5</x:v>
      </x:c>
      <x:c r="G102" s="2" t="str">
        <x:v>UNDER</x:v>
      </x:c>
      <x:c r="H102" s="2" t="n">
        <x:v>16</x:v>
      </x:c>
      <x:c r="I102" s="2" t="str">
        <x:f>IF(B102="","",'Motor_Meciuri'!H12)</x:f>
      </x:c>
      <x:c r="J102" s="2" t="str">
        <x:f>IF(B102="","",'Motor_Meciuri'!I12)</x:f>
      </x:c>
      <x:c r="K102" s="11" t="str">
        <x:f>IF(J102&lt;&gt;"PASS","",'Motor_Meciuri'!BD12)</x:f>
      </x:c>
      <x:c r="L102" s="11" t="str">
        <x:f>IF(J102&lt;&gt;"PASS","",'Motor_Meciuri'!AU12)</x:f>
      </x:c>
      <x:c r="M102" s="10" t="str">
        <x:f>IF(NOT(AND(J102="PASS",'Calibrare_Linii'!U18="VALID")),"",'Distributie'!AN12)</x:f>
      </x:c>
      <x:c r="N102" s="10" t="str">
        <x:f>IF(M102="","",MAX(0.01,MIN(0.99,0.5+(M102-0.5)*'Motor_Meciuri'!BG12*'Calibrare_Linii'!D18)))</x:f>
      </x:c>
      <x:c r="O102" s="10" t="str">
        <x:f>IF(M102="","",1-M102)</x:f>
      </x:c>
      <x:c r="P102" s="10" t="str">
        <x:f>IF(OR(NOT(AND(J102="PASS",'Calibrare_Linii'!U18="VALID")),AK102=0),""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*('Istoric_Nativ'!$Q$6:$Q$405&gt;H102))/AK102)</x:f>
      </x:c>
      <x:c r="Q102" s="10" t="str">
        <x:f>IF(OR(NOT(AND(J102="PASS",'Calibrare_Linii'!U18="VALID")),AL102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M12)+((('Istoric_Nativ'!$E$6:$E$405='Input_Meci'!E12)+('Istoric_Nativ'!$F$6:$F$405='Input_Meci'!E12))&gt;0)*('Istoric_Nativ'!$D$6:$D$405&gt;='Motor_Meciuri'!BN12))&gt;0)*('Istoric_Nativ'!$Q$6:$Q$405&gt;H102))/AL102)</x:f>
      </x:c>
      <x:c r="R102" s="10" t="str">
        <x:f>IF(OR(NOT(AND(J102="PASS",'Calibrare_Linii'!U18="VALID")),AM102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O12)+((('Istoric_Nativ'!$E$6:$E$405='Input_Meci'!E12)+('Istoric_Nativ'!$F$6:$F$405='Input_Meci'!E12))&gt;0)*('Istoric_Nativ'!$D$6:$D$405&gt;='Motor_Meciuri'!BP12))&gt;0)*('Istoric_Nativ'!$Q$6:$Q$405&gt;H102))/AM102)</x:f>
      </x:c>
      <x:c r="S102" s="10" t="str">
        <x:f>IF(M102="","",MAX(O102,P102,Q102,R102))</x:f>
      </x:c>
      <x:c r="T102" s="11" t="str">
        <x:f>IF(M102="","",MIN(100,S102*100*'Config_v6'!$B$44+MIN(100,L102/'Config_v6'!$B$13*100)*'Config_v6'!$B$45+(100-'Motor_Meciuri'!BF12)*'Config_v6'!$B$46+'Motor_Meciuri'!BH12*100*'Config_v6'!$B$47))</x:f>
      </x:c>
      <x:c r="U102" s="2" t="str">
        <x:f>IF(T102="","",IF(T102&lt;=20,1,IF(T102&lt;=40,2,IF(T102&lt;=60,3,IF(T102&lt;=80,4,5)))))</x:f>
      </x:c>
      <x:c r="V102" s="2" t="str">
        <x:f>IF(M102="","",MAX(0,'Motor_Meciuri'!BF12-IF(W102="OOS PENDING",'Config_v6'!$B$35,0)-IF(L102&gt;'Config_v6'!$B$12,'Config_v6'!$B$37,IF(L102&gt;'Config_v6'!$B$11,'Config_v6'!$B$36,0))))</x:f>
      </x:c>
      <x:c r="W102" s="2" t="str">
        <x:f>IF(B102="","",IF(I102&lt;&gt;"READY","NOT RELEASED",IF(NOT(AND(J102="PASS",'Calibrare_Linii'!U18="VALID")),"INVALID",IF(NOT(AND('Calibrare_Linii'!S18="VALIDATED",AND('Calibrare_Linii'!H18=C102,ISNUMBER('Calibrare_Linii'!J18),'Calibrare_Linii'!J18&lt;='Input_Meci'!G12))),"OOS PENDING",IF(S102&lt;='Calibrare_Linii'!E18,"PASS",IF(S102&lt;='Calibrare_Linii'!F18,"PENALTY","WATCH"))))))</x:f>
      </x:c>
      <x:c r="X102" s="2" t="str">
        <x:f>IF(M102="","",IF(AND(AND(J102="PASS",'Calibrare_Linii'!U18="VALID"),'Motor_Meciuri'!K12=12,'Motor_Meciuri'!L12=12,'Motor_Meciuri'!M12="NO",'Motor_Meciuri'!BL12='Motor_Meciuri'!C12,AB102&gt;='Config_v6'!$B$50,AN102&gt;='Config_v6'!$B$51,T102&lt;='Config_v6'!$B$52,L102&lt;='Config_v6'!$B$53,ISNUMBER('Calibrare_Linii'!E18),S102&lt;='Calibrare_Linii'!E18,SUM(AK102:AM102)&gt;0),"CANDIDATE","NO"))</x:f>
      </x:c>
      <x:c r="Y102" s="2" t="str">
        <x:f>IF(B102="","",IF(I102&lt;&gt;"READY","NOT RELEASED",IF(AND(X102="CANDIDATE",V102&gt;='Config_v6'!$B$51,W102="PASS",'Calibrare_Linii'!T18="VALIDATED",AND('Calibrare_Linii'!H18=C102,ISNUMBER('Calibrare_Linii'!J18),'Calibrare_Linii'!J18&lt;='Input_Meci'!G12)),"PASS",IF(X102="CANDIDATE","OOS PENDING","FAIL"))))</x:f>
      </x:c>
      <x:c r="Z102" s="2" t="str">
        <x:f>IF(B102="","",IF(I102&lt;&gt;"READY","",IF(OR(NOT(AND(J102="PASS",'Calibrare_Linii'!U18="VALID")),L102&gt;'Config_v6'!$B$13,W102="WATCH"),5,IF(Y102="PASS",1,MIN(5,MAX('Config_v6'!$B$42,U102)+IF(W102="PENALTY",1,0))))))</x:f>
      </x:c>
      <x:c r="AA102" s="2" t="str">
        <x:f>IF(B102="","",IF(I102&lt;&gt;"READY","NOT RELEASED",IF(Z102=5,"NO BET",IF(OR(AB102&lt;'Config_v6'!$B$16,V102&lt;'Config_v6'!$B$18),"WATCH",IF(Z102=1,"DEFENSIV",IF(Z102=2,"PRUDENT",IF(Z102=3,"MODERAT","RIDICAT")))))))</x:f>
      </x:c>
      <x:c r="AB102" s="10" t="str">
        <x:f>IF(N102="","",MIN(N102,1-S102))</x:f>
      </x:c>
      <x:c r="AC102" s="2" t="str">
        <x:f>IF(AD102&lt;&gt;1,"",COUNTIFS($Z$90:$Z$103,"&lt;"&amp;Z102,$AD$90:$AD$103,1)+COUNTIFS($Z$90:$Z$103,Z102,$AB$90:$AB$103,"&gt;"&amp;AB102,$AD$90:$AD$103,1)+COUNTIFS($Z$90:$Z$103,Z102,$AB$90:$AB$103,AB102,$V$90:$V$103,"&gt;"&amp;V102,$AD$90:$AD$103,1)+COUNTIFS($Z$90:Z102,Z102,$AB$90:AB102,AB102,$V$90:V102,V102,$AD$90:AD102,1))</x:f>
      </x:c>
      <x:c r="AD102" s="2" t="n">
        <x:f>IF(OR(AA102="DEFENSIV",AA102="PRUDENT",AA102="MODERAT",AA102="RIDICAT"),1,0)</x:f>
        <x:v>0</x:v>
      </x:c>
      <x:c r="AE102" s="2" t="str">
        <x:f>IF(AD102&lt;&gt;1,"NO",IF(W102="PASS","YES",IF(W102="OOS PENDING","CONDITIONAL","NO")))</x:f>
        <x:v>NO</x:v>
      </x:c>
      <x:c r="AF102" s="2" t="n">
        <x:f>IF(AND(AD102=1,AC102=1,E102="LIVE"),1,0)</x:f>
        <x:v>0</x:v>
      </x:c>
      <x:c r="AG102" s="2" t="str">
        <x:f>IF(AF102&lt;&gt;1,"",'Dashboard'!P32)</x:f>
      </x:c>
      <x:c r="AH102" s="2" t="str">
        <x:f>IF(B102="","",IF(J102&lt;&gt;"PASS",'Motor_Meciuri'!J12,IF('Calibrare_Linii'!U18&lt;&gt;"VALID","Parametri linie invalizi",IF(L102&gt;'Config_v6'!$B$13,"Dispersie peste limita",IF(W102="WATCH","Failure peste limita",IF(AB102&lt;'Config_v6'!$B$16,"P finala sub prag",IF(V102&lt;'Config_v6'!$B$18,"Confidence sub prag",IF(E102="REPLAY","Exemplu retrospectiv; exclus din Top LIVE",IF(Y102="PASS","DEFENSIV validat",IF(W102="OOS PENDING","Eligibil; calibrare linie in monitorizare","Eligibil"))))))))))</x:f>
      </x:c>
      <x:c r="AI102" s="2" t="str">
        <x:f>IF(B102="","",'Calibrare_Linii'!V18)</x:f>
      </x:c>
      <x:c r="AJ102" s="2" t="str">
        <x:f>IF(B102="","",IF(AND('Calibrare_Linii'!T18="VALIDATED",AND('Calibrare_Linii'!H18=C102,ISNUMBER('Calibrare_Linii'!J18),'Calibrare_Linii'!J18&lt;='Input_Meci'!G12)),"DEFENSIVE VALIDATED",IF(AND('Calibrare_Linii'!S18="VALIDATED",AND('Calibrare_Linii'!H18=C102,ISNUMBER('Calibrare_Linii'!J18),'Calibrare_Linii'!J18&lt;='Input_Meci'!G12)),"TAIL VALIDATED","OOS PENDING")))</x:f>
      </x:c>
      <x:c r="AK102" s="2" t="n">
        <x:f>IF(J102&lt;&gt;"PASS",0,'Motor_Meciuri'!BR12)</x:f>
        <x:v>0</x:v>
      </x:c>
      <x:c r="AL102" s="2" t="n">
        <x:f>IF(J102&lt;&gt;"PASS",0,'Motor_Meciuri'!BS12)</x:f>
        <x:v>0</x:v>
      </x:c>
      <x:c r="AM102" s="2" t="n">
        <x:f>IF(J102&lt;&gt;"PASS",0,'Motor_Meciuri'!BT12)</x:f>
        <x:v>0</x:v>
      </x:c>
      <x:c r="AN102" s="2" t="str">
        <x:f>IF(M102="","",MAX(0,'Motor_Meciuri'!BF12-IF(L102&gt;'Config_v6'!$B$12,'Config_v6'!$B$37,IF(L102&gt;'Config_v6'!$B$11,'Config_v6'!$B$36,0))))</x:f>
      </x:c>
    </x:row>
    <x:row r="103" ht="21" customHeight="1">
      <x:c r="A103" s="2" t="n">
        <x:v>7</x:v>
      </x:c>
      <x:c r="B103" s="2" t="str">
        <x:f>IF('Motor_Meciuri'!A12="","",'Motor_Meciuri'!A12)</x:f>
      </x:c>
      <x:c r="C103" s="2" t="str">
        <x:f>IF(B103="","",'Motor_Meciuri'!B12)</x:f>
      </x:c>
      <x:c r="D103" s="2" t="str">
        <x:f>IF(B103="","",'Motor_Meciuri'!D12)</x:f>
      </x:c>
      <x:c r="E103" s="2" t="str">
        <x:f>IF(B103="","",'Motor_Meciuri'!E12)</x:f>
      </x:c>
      <x:c r="F103" s="2" t="str">
        <x:v>U17,5</x:v>
      </x:c>
      <x:c r="G103" s="2" t="str">
        <x:v>UNDER</x:v>
      </x:c>
      <x:c r="H103" s="2" t="n">
        <x:v>17</x:v>
      </x:c>
      <x:c r="I103" s="2" t="str">
        <x:f>IF(B103="","",'Motor_Meciuri'!H12)</x:f>
      </x:c>
      <x:c r="J103" s="2" t="str">
        <x:f>IF(B103="","",'Motor_Meciuri'!I12)</x:f>
      </x:c>
      <x:c r="K103" s="11" t="str">
        <x:f>IF(J103&lt;&gt;"PASS","",'Motor_Meciuri'!BD12)</x:f>
      </x:c>
      <x:c r="L103" s="11" t="str">
        <x:f>IF(J103&lt;&gt;"PASS","",'Motor_Meciuri'!AU12)</x:f>
      </x:c>
      <x:c r="M103" s="10" t="str">
        <x:f>IF(NOT(AND(J103="PASS",'Calibrare_Linii'!U19="VALID")),"",'Distributie'!AO12)</x:f>
      </x:c>
      <x:c r="N103" s="10" t="str">
        <x:f>IF(M103="","",MAX(0.01,MIN(0.99,0.5+(M103-0.5)*'Motor_Meciuri'!BG12*'Calibrare_Linii'!D19)))</x:f>
      </x:c>
      <x:c r="O103" s="10" t="str">
        <x:f>IF(M103="","",1-M103)</x:f>
      </x:c>
      <x:c r="P103" s="10" t="str">
        <x:f>IF(OR(NOT(AND(J103="PASS",'Calibrare_Linii'!U19="VALID")),AK103=0),""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*('Istoric_Nativ'!$Q$6:$Q$405&gt;H103))/AK103)</x:f>
      </x:c>
      <x:c r="Q103" s="10" t="str">
        <x:f>IF(OR(NOT(AND(J103="PASS",'Calibrare_Linii'!U19="VALID")),AL103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M12)+((('Istoric_Nativ'!$E$6:$E$405='Input_Meci'!E12)+('Istoric_Nativ'!$F$6:$F$405='Input_Meci'!E12))&gt;0)*('Istoric_Nativ'!$D$6:$D$405&gt;='Motor_Meciuri'!BN12))&gt;0)*('Istoric_Nativ'!$Q$6:$Q$405&gt;H103))/AL103)</x:f>
      </x:c>
      <x:c r="R103" s="10" t="str">
        <x:f>IF(OR(NOT(AND(J103="PASS",'Calibrare_Linii'!U19="VALID")),AM103=0),""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'Motor_Meciuri'!BO12)+((('Istoric_Nativ'!$E$6:$E$405='Input_Meci'!E12)+('Istoric_Nativ'!$F$6:$F$405='Input_Meci'!E12))&gt;0)*('Istoric_Nativ'!$D$6:$D$405&gt;='Motor_Meciuri'!BP12))&gt;0)*('Istoric_Nativ'!$Q$6:$Q$405&gt;H103))/AM103)</x:f>
      </x:c>
      <x:c r="S103" s="10" t="str">
        <x:f>IF(M103="","",MAX(O103,P103,Q103,R103))</x:f>
      </x:c>
      <x:c r="T103" s="11" t="str">
        <x:f>IF(M103="","",MIN(100,S103*100*'Config_v6'!$B$44+MIN(100,L103/'Config_v6'!$B$13*100)*'Config_v6'!$B$45+(100-'Motor_Meciuri'!BF12)*'Config_v6'!$B$46+'Motor_Meciuri'!BH12*100*'Config_v6'!$B$47))</x:f>
      </x:c>
      <x:c r="U103" s="2" t="str">
        <x:f>IF(T103="","",IF(T103&lt;=20,1,IF(T103&lt;=40,2,IF(T103&lt;=60,3,IF(T103&lt;=80,4,5)))))</x:f>
      </x:c>
      <x:c r="V103" s="2" t="str">
        <x:f>IF(M103="","",MAX(0,'Motor_Meciuri'!BF12-IF(W103="OOS PENDING",'Config_v6'!$B$35,0)-IF(L103&gt;'Config_v6'!$B$12,'Config_v6'!$B$37,IF(L103&gt;'Config_v6'!$B$11,'Config_v6'!$B$36,0))))</x:f>
      </x:c>
      <x:c r="W103" s="2" t="str">
        <x:f>IF(B103="","",IF(I103&lt;&gt;"READY","NOT RELEASED",IF(NOT(AND(J103="PASS",'Calibrare_Linii'!U19="VALID")),"INVALID",IF(NOT(AND('Calibrare_Linii'!S19="VALIDATED",AND('Calibrare_Linii'!H19=C103,ISNUMBER('Calibrare_Linii'!J19),'Calibrare_Linii'!J19&lt;='Input_Meci'!G12))),"OOS PENDING",IF(S103&lt;='Calibrare_Linii'!E19,"PASS",IF(S103&lt;='Calibrare_Linii'!F19,"PENALTY","WATCH"))))))</x:f>
      </x:c>
      <x:c r="X103" s="2" t="str">
        <x:f>IF(M103="","",IF(AND(AND(J103="PASS",'Calibrare_Linii'!U19="VALID"),'Motor_Meciuri'!K12=12,'Motor_Meciuri'!L12=12,'Motor_Meciuri'!M12="NO",'Motor_Meciuri'!BL12='Motor_Meciuri'!C12,AB103&gt;='Config_v6'!$B$50,AN103&gt;='Config_v6'!$B$51,T103&lt;='Config_v6'!$B$52,L103&lt;='Config_v6'!$B$53,ISNUMBER('Calibrare_Linii'!E19),S103&lt;='Calibrare_Linii'!E19,SUM(AK103:AM103)&gt;0),"CANDIDATE","NO"))</x:f>
      </x:c>
      <x:c r="Y103" s="2" t="str">
        <x:f>IF(B103="","",IF(I103&lt;&gt;"READY","NOT RELEASED",IF(AND(X103="CANDIDATE",V103&gt;='Config_v6'!$B$51,W103="PASS",'Calibrare_Linii'!T19="VALIDATED",AND('Calibrare_Linii'!H19=C103,ISNUMBER('Calibrare_Linii'!J19),'Calibrare_Linii'!J19&lt;='Input_Meci'!G12)),"PASS",IF(X103="CANDIDATE","OOS PENDING","FAIL"))))</x:f>
      </x:c>
      <x:c r="Z103" s="2" t="str">
        <x:f>IF(B103="","",IF(I103&lt;&gt;"READY","",IF(OR(NOT(AND(J103="PASS",'Calibrare_Linii'!U19="VALID")),L103&gt;'Config_v6'!$B$13,W103="WATCH"),5,IF(Y103="PASS",1,MIN(5,MAX('Config_v6'!$B$42,U103)+IF(W103="PENALTY",1,0))))))</x:f>
      </x:c>
      <x:c r="AA103" s="2" t="str">
        <x:f>IF(B103="","",IF(I103&lt;&gt;"READY","NOT RELEASED",IF(Z103=5,"NO BET",IF(OR(AB103&lt;'Config_v6'!$B$16,V103&lt;'Config_v6'!$B$18),"WATCH",IF(Z103=1,"DEFENSIV",IF(Z103=2,"PRUDENT",IF(Z103=3,"MODERAT","RIDICAT")))))))</x:f>
      </x:c>
      <x:c r="AB103" s="10" t="str">
        <x:f>IF(N103="","",MIN(N103,1-S103))</x:f>
      </x:c>
      <x:c r="AC103" s="2" t="str">
        <x:f>IF(AD103&lt;&gt;1,"",COUNTIFS($Z$90:$Z$103,"&lt;"&amp;Z103,$AD$90:$AD$103,1)+COUNTIFS($Z$90:$Z$103,Z103,$AB$90:$AB$103,"&gt;"&amp;AB103,$AD$90:$AD$103,1)+COUNTIFS($Z$90:$Z$103,Z103,$AB$90:$AB$103,AB103,$V$90:$V$103,"&gt;"&amp;V103,$AD$90:$AD$103,1)+COUNTIFS($Z$90:Z103,Z103,$AB$90:AB103,AB103,$V$90:V103,V103,$AD$90:AD103,1))</x:f>
      </x:c>
      <x:c r="AD103" s="2" t="n">
        <x:f>IF(OR(AA103="DEFENSIV",AA103="PRUDENT",AA103="MODERAT",AA103="RIDICAT"),1,0)</x:f>
        <x:v>0</x:v>
      </x:c>
      <x:c r="AE103" s="2" t="str">
        <x:f>IF(AD103&lt;&gt;1,"NO",IF(W103="PASS","YES",IF(W103="OOS PENDING","CONDITIONAL","NO")))</x:f>
        <x:v>NO</x:v>
      </x:c>
      <x:c r="AF103" s="2" t="n">
        <x:f>IF(AND(AD103=1,AC103=1,E103="LIVE"),1,0)</x:f>
        <x:v>0</x:v>
      </x:c>
      <x:c r="AG103" s="2" t="str">
        <x:f>IF(AF103&lt;&gt;1,"",'Dashboard'!P32)</x:f>
      </x:c>
      <x:c r="AH103" s="2" t="str">
        <x:f>IF(B103="","",IF(J103&lt;&gt;"PASS",'Motor_Meciuri'!J12,IF('Calibrare_Linii'!U19&lt;&gt;"VALID","Parametri linie invalizi",IF(L103&gt;'Config_v6'!$B$13,"Dispersie peste limita",IF(W103="WATCH","Failure peste limita",IF(AB103&lt;'Config_v6'!$B$16,"P finala sub prag",IF(V103&lt;'Config_v6'!$B$18,"Confidence sub prag",IF(E103="REPLAY","Exemplu retrospectiv; exclus din Top LIVE",IF(Y103="PASS","DEFENSIV validat",IF(W103="OOS PENDING","Eligibil; calibrare linie in monitorizare","Eligibil"))))))))))</x:f>
      </x:c>
      <x:c r="AI103" s="2" t="str">
        <x:f>IF(B103="","",'Calibrare_Linii'!V19)</x:f>
      </x:c>
      <x:c r="AJ103" s="2" t="str">
        <x:f>IF(B103="","",IF(AND('Calibrare_Linii'!T19="VALIDATED",AND('Calibrare_Linii'!H19=C103,ISNUMBER('Calibrare_Linii'!J19),'Calibrare_Linii'!J19&lt;='Input_Meci'!G12)),"DEFENSIVE VALIDATED",IF(AND('Calibrare_Linii'!S19="VALIDATED",AND('Calibrare_Linii'!H19=C103,ISNUMBER('Calibrare_Linii'!J19),'Calibrare_Linii'!J19&lt;='Input_Meci'!G12)),"TAIL VALIDATED","OOS PENDING")))</x:f>
      </x:c>
      <x:c r="AK103" s="2" t="n">
        <x:f>IF(J103&lt;&gt;"PASS",0,'Motor_Meciuri'!BR12)</x:f>
        <x:v>0</x:v>
      </x:c>
      <x:c r="AL103" s="2" t="n">
        <x:f>IF(J103&lt;&gt;"PASS",0,'Motor_Meciuri'!BS12)</x:f>
        <x:v>0</x:v>
      </x:c>
      <x:c r="AM103" s="2" t="n">
        <x:f>IF(J103&lt;&gt;"PASS",0,'Motor_Meciuri'!BT12)</x:f>
        <x:v>0</x:v>
      </x:c>
      <x:c r="AN103" s="2" t="str">
        <x:f>IF(M103="","",MAX(0,'Motor_Meciuri'!BF12-IF(L103&gt;'Config_v6'!$B$12,'Config_v6'!$B$37,IF(L103&gt;'Config_v6'!$B$11,'Config_v6'!$B$36,0))))</x:f>
      </x:c>
    </x:row>
    <x:row r="104" ht="21" customHeight="1">
      <x:c r="A104" s="2" t="n">
        <x:v>8</x:v>
      </x:c>
      <x:c r="B104" s="2" t="str">
        <x:f>IF('Motor_Meciuri'!A13="","",'Motor_Meciuri'!A13)</x:f>
      </x:c>
      <x:c r="C104" s="2" t="str">
        <x:f>IF(B104="","",'Motor_Meciuri'!B13)</x:f>
      </x:c>
      <x:c r="D104" s="2" t="str">
        <x:f>IF(B104="","",'Motor_Meciuri'!D13)</x:f>
      </x:c>
      <x:c r="E104" s="2" t="str">
        <x:f>IF(B104="","",'Motor_Meciuri'!E13)</x:f>
      </x:c>
      <x:c r="F104" s="2" t="str">
        <x:v>O3,5</x:v>
      </x:c>
      <x:c r="G104" s="2" t="str">
        <x:v>OVER</x:v>
      </x:c>
      <x:c r="H104" s="2" t="n">
        <x:v>3</x:v>
      </x:c>
      <x:c r="I104" s="2" t="str">
        <x:f>IF(B104="","",'Motor_Meciuri'!H13)</x:f>
      </x:c>
      <x:c r="J104" s="2" t="str">
        <x:f>IF(B104="","",'Motor_Meciuri'!I13)</x:f>
      </x:c>
      <x:c r="K104" s="11" t="str">
        <x:f>IF(J104&lt;&gt;"PASS","",'Motor_Meciuri'!BD13)</x:f>
      </x:c>
      <x:c r="L104" s="11" t="str">
        <x:f>IF(J104&lt;&gt;"PASS","",'Motor_Meciuri'!AU13)</x:f>
      </x:c>
      <x:c r="M104" s="10" t="str">
        <x:f>IF(NOT(AND(J104="PASS",'Calibrare_Linii'!U6="VALID")),"",1-'Distributie'!AA13)</x:f>
      </x:c>
      <x:c r="N104" s="10" t="str">
        <x:f>IF(M104="","",MAX(0.01,MIN(0.99,0.5+(M104-0.5)*'Motor_Meciuri'!BG13*'Calibrare_Linii'!D6)))</x:f>
      </x:c>
      <x:c r="O104" s="10" t="str">
        <x:f>IF(M104="","",1-M104)</x:f>
      </x:c>
      <x:c r="P104" s="10" t="str">
        <x:f>IF(OR(NOT(AND(J104="PASS",'Calibrare_Linii'!U6="VALID")),AK104=0),""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*('Istoric_Nativ'!$Q$6:$Q$405&lt;=H104))/AK104)</x:f>
      </x:c>
      <x:c r="Q104" s="10" t="str">
        <x:f>IF(OR(NOT(AND(J104="PASS",'Calibrare_Linii'!U6="VALID")),AL104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M13)+((('Istoric_Nativ'!$E$6:$E$405='Input_Meci'!E13)+('Istoric_Nativ'!$F$6:$F$405='Input_Meci'!E13))&gt;0)*('Istoric_Nativ'!$D$6:$D$405&gt;='Motor_Meciuri'!BN13))&gt;0)*('Istoric_Nativ'!$Q$6:$Q$405&lt;=H104))/AL104)</x:f>
      </x:c>
      <x:c r="R104" s="10" t="str">
        <x:f>IF(OR(NOT(AND(J104="PASS",'Calibrare_Linii'!U6="VALID")),AM104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O13)+((('Istoric_Nativ'!$E$6:$E$405='Input_Meci'!E13)+('Istoric_Nativ'!$F$6:$F$405='Input_Meci'!E13))&gt;0)*('Istoric_Nativ'!$D$6:$D$405&gt;='Motor_Meciuri'!BP13))&gt;0)*('Istoric_Nativ'!$Q$6:$Q$405&lt;=H104))/AM104)</x:f>
      </x:c>
      <x:c r="S104" s="10" t="str">
        <x:f>IF(M104="","",MAX(O104,P104,Q104,R104))</x:f>
      </x:c>
      <x:c r="T104" s="11" t="str">
        <x:f>IF(M104="","",MIN(100,S104*100*'Config_v6'!$B$44+MIN(100,L104/'Config_v6'!$B$13*100)*'Config_v6'!$B$45+(100-'Motor_Meciuri'!BF13)*'Config_v6'!$B$46+'Motor_Meciuri'!BH13*100*'Config_v6'!$B$47))</x:f>
      </x:c>
      <x:c r="U104" s="2" t="str">
        <x:f>IF(T104="","",IF(T104&lt;=20,1,IF(T104&lt;=40,2,IF(T104&lt;=60,3,IF(T104&lt;=80,4,5)))))</x:f>
      </x:c>
      <x:c r="V104" s="2" t="str">
        <x:f>IF(M104="","",MAX(0,'Motor_Meciuri'!BF13-IF(W104="OOS PENDING",'Config_v6'!$B$35,0)-IF(L104&gt;'Config_v6'!$B$12,'Config_v6'!$B$37,IF(L104&gt;'Config_v6'!$B$11,'Config_v6'!$B$36,0))))</x:f>
      </x:c>
      <x:c r="W104" s="2" t="str">
        <x:f>IF(B104="","",IF(I104&lt;&gt;"READY","NOT RELEASED",IF(NOT(AND(J104="PASS",'Calibrare_Linii'!U6="VALID")),"INVALID",IF(NOT(TRUE),"OOS PENDING",IF(S104&lt;=IF(AND('Calibrare_Linii'!S6="VALIDATED",AND('Calibrare_Linii'!H6=C104,ISNUMBER('Calibrare_Linii'!J6),'Calibrare_Linii'!J6&lt;='Input_Meci'!G13)),'Calibrare_Linii'!E6,'Config_v6'!$B$26),"PASS",IF(S104&lt;=IF(AND('Calibrare_Linii'!S6="VALIDATED",AND('Calibrare_Linii'!H6=C104,ISNUMBER('Calibrare_Linii'!J6),'Calibrare_Linii'!J6&lt;='Input_Meci'!G13)),'Calibrare_Linii'!F6,'Config_v6'!$C$26),"PENALTY","WATCH"))))))</x:f>
      </x:c>
      <x:c r="X104" s="2" t="str">
        <x:f>IF(M104="","",IF(AND(AND(J104="PASS",'Calibrare_Linii'!U6="VALID"),'Motor_Meciuri'!K13=12,'Motor_Meciuri'!L13=12,'Motor_Meciuri'!M13="NO",'Motor_Meciuri'!BL13='Motor_Meciuri'!C13,AB104&gt;='Config_v6'!$B$50,AN104&gt;='Config_v6'!$B$51,T104&lt;='Config_v6'!$B$52,L104&lt;='Config_v6'!$B$53,ISNUMBER('Calibrare_Linii'!E6),S104&lt;='Calibrare_Linii'!E6,SUM(AK104:AM104)&gt;0),"CANDIDATE","NO"))</x:f>
      </x:c>
      <x:c r="Y104" s="2" t="str">
        <x:f>IF(B104="","",IF(I104&lt;&gt;"READY","NOT RELEASED",IF(AND(X104="CANDIDATE",V104&gt;='Config_v6'!$B$51,W104="PASS",'Calibrare_Linii'!T6="VALIDATED",AND('Calibrare_Linii'!H6=C104,ISNUMBER('Calibrare_Linii'!J6),'Calibrare_Linii'!J6&lt;='Input_Meci'!G13)),"PASS",IF(X104="CANDIDATE","OOS PENDING","FAIL"))))</x:f>
      </x:c>
      <x:c r="Z104" s="2" t="str">
        <x:f>IF(B104="","",IF(I104&lt;&gt;"READY","",IF(OR(NOT(AND(J104="PASS",'Calibrare_Linii'!U6="VALID")),L104&gt;'Config_v6'!$B$13,W104="WATCH"),5,IF(Y104="PASS",1,MIN(5,MAX('Config_v6'!$B$42,U104)+IF(W104="PENALTY",1,0))))))</x:f>
      </x:c>
      <x:c r="AA104" s="2" t="str">
        <x:f>IF(B104="","",IF(I104&lt;&gt;"READY","NOT RELEASED",IF(Z104=5,"NO BET",IF(OR(AB104&lt;'Config_v6'!$B$16,V104&lt;'Config_v6'!$B$18),"WATCH",IF(Z104=1,"DEFENSIV",IF(Z104=2,"PRUDENT",IF(Z104=3,"MODERAT","RIDICAT")))))))</x:f>
      </x:c>
      <x:c r="AB104" s="10" t="str">
        <x:f>IF(N104="","",MIN(N104,1-S104))</x:f>
      </x:c>
      <x:c r="AC104" s="2" t="str">
        <x:f>IF(AD104&lt;&gt;1,"",COUNTIFS($Z$104:$Z$117,"&lt;"&amp;Z104,$AD$104:$AD$117,1)+COUNTIFS($Z$104:$Z$117,Z104,$AB$104:$AB$117,"&gt;"&amp;AB104,$AD$104:$AD$117,1)+COUNTIFS($Z$104:$Z$117,Z104,$AB$104:$AB$117,AB104,$V$104:$V$117,"&gt;"&amp;V104,$AD$104:$AD$117,1)+COUNTIFS($Z$104:Z104,Z104,$AB$104:AB104,AB104,$V$104:V104,V104,$AD$104:AD104,1))</x:f>
      </x:c>
      <x:c r="AD104" s="2" t="n">
        <x:f>IF(OR(AA104="DEFENSIV",AA104="PRUDENT",AA104="MODERAT",AA104="RIDICAT"),1,0)</x:f>
        <x:v>0</x:v>
      </x:c>
      <x:c r="AE104" s="2" t="str">
        <x:f>IF(AD104&lt;&gt;1,"NO",IF(W104="PASS","YES",IF(W104="OOS PENDING","CONDITIONAL","NO")))</x:f>
        <x:v>NO</x:v>
      </x:c>
      <x:c r="AF104" s="2" t="n">
        <x:f>IF(AND(AD104=1,AC104=1,E104="LIVE"),1,0)</x:f>
        <x:v>0</x:v>
      </x:c>
      <x:c r="AG104" s="2" t="str">
        <x:f>IF(AF104&lt;&gt;1,"",'Dashboard'!P33)</x:f>
      </x:c>
      <x:c r="AH104" s="2" t="str">
        <x:f>IF(B104="","",IF(J104&lt;&gt;"PASS",'Motor_Meciuri'!J13,IF('Calibrare_Linii'!U6&lt;&gt;"VALID","Parametri linie invalizi",IF(L104&gt;'Config_v6'!$B$13,"Dispersie peste limita",IF(W104="WATCH","Failure peste limita",IF(AB104&lt;'Config_v6'!$B$16,"P finala sub prag",IF(V104&lt;'Config_v6'!$B$18,"Confidence sub prag",IF(E104="REPLAY","Exemplu retrospectiv; exclus din Top LIVE",IF(Y104="PASS","DEFENSIV validat",IF(W104="OOS PENDING","Eligibil; calibrare linie in monitorizare","Eligibil"))))))))))</x:f>
      </x:c>
      <x:c r="AI104" s="2" t="str">
        <x:f>IF(B104="","",'Calibrare_Linii'!V6)</x:f>
      </x:c>
      <x:c r="AJ104" s="2" t="str">
        <x:f>IF(B104="","",IF(AND('Calibrare_Linii'!T6="VALIDATED",AND('Calibrare_Linii'!H6=C104,ISNUMBER('Calibrare_Linii'!J6),'Calibrare_Linii'!J6&lt;='Input_Meci'!G13)),"DEFENSIVE VALIDATED",IF(AND('Calibrare_Linii'!S6="VALIDATED",AND('Calibrare_Linii'!H6=C104,ISNUMBER('Calibrare_Linii'!J6),'Calibrare_Linii'!J6&lt;='Input_Meci'!G13)),"TAIL VALIDATED","OOS PENDING")))</x:f>
      </x:c>
      <x:c r="AK104" s="2" t="n">
        <x:f>IF(J104&lt;&gt;"PASS",0,'Motor_Meciuri'!BR13)</x:f>
        <x:v>0</x:v>
      </x:c>
      <x:c r="AL104" s="2" t="n">
        <x:f>IF(J104&lt;&gt;"PASS",0,'Motor_Meciuri'!BS13)</x:f>
        <x:v>0</x:v>
      </x:c>
      <x:c r="AM104" s="2" t="n">
        <x:f>IF(J104&lt;&gt;"PASS",0,'Motor_Meciuri'!BT13)</x:f>
        <x:v>0</x:v>
      </x:c>
      <x:c r="AN104" s="2" t="str">
        <x:f>IF(M104="","",MAX(0,'Motor_Meciuri'!BF13-IF(L104&gt;'Config_v6'!$B$12,'Config_v6'!$B$37,IF(L104&gt;'Config_v6'!$B$11,'Config_v6'!$B$36,0))))</x:f>
      </x:c>
    </x:row>
    <x:row r="105" ht="21" customHeight="1">
      <x:c r="A105" s="2" t="n">
        <x:v>8</x:v>
      </x:c>
      <x:c r="B105" s="2" t="str">
        <x:f>IF('Motor_Meciuri'!A13="","",'Motor_Meciuri'!A13)</x:f>
      </x:c>
      <x:c r="C105" s="2" t="str">
        <x:f>IF(B105="","",'Motor_Meciuri'!B13)</x:f>
      </x:c>
      <x:c r="D105" s="2" t="str">
        <x:f>IF(B105="","",'Motor_Meciuri'!D13)</x:f>
      </x:c>
      <x:c r="E105" s="2" t="str">
        <x:f>IF(B105="","",'Motor_Meciuri'!E13)</x:f>
      </x:c>
      <x:c r="F105" s="2" t="str">
        <x:v>O4,5</x:v>
      </x:c>
      <x:c r="G105" s="2" t="str">
        <x:v>OVER</x:v>
      </x:c>
      <x:c r="H105" s="2" t="n">
        <x:v>4</x:v>
      </x:c>
      <x:c r="I105" s="2" t="str">
        <x:f>IF(B105="","",'Motor_Meciuri'!H13)</x:f>
      </x:c>
      <x:c r="J105" s="2" t="str">
        <x:f>IF(B105="","",'Motor_Meciuri'!I13)</x:f>
      </x:c>
      <x:c r="K105" s="11" t="str">
        <x:f>IF(J105&lt;&gt;"PASS","",'Motor_Meciuri'!BD13)</x:f>
      </x:c>
      <x:c r="L105" s="11" t="str">
        <x:f>IF(J105&lt;&gt;"PASS","",'Motor_Meciuri'!AU13)</x:f>
      </x:c>
      <x:c r="M105" s="10" t="str">
        <x:f>IF(NOT(AND(J105="PASS",'Calibrare_Linii'!U7="VALID")),"",1-'Distributie'!AB13)</x:f>
      </x:c>
      <x:c r="N105" s="10" t="str">
        <x:f>IF(M105="","",MAX(0.01,MIN(0.99,0.5+(M105-0.5)*'Motor_Meciuri'!BG13*'Calibrare_Linii'!D7)))</x:f>
      </x:c>
      <x:c r="O105" s="10" t="str">
        <x:f>IF(M105="","",1-M105)</x:f>
      </x:c>
      <x:c r="P105" s="10" t="str">
        <x:f>IF(OR(NOT(AND(J105="PASS",'Calibrare_Linii'!U7="VALID")),AK105=0),""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*('Istoric_Nativ'!$Q$6:$Q$405&lt;=H105))/AK105)</x:f>
      </x:c>
      <x:c r="Q105" s="10" t="str">
        <x:f>IF(OR(NOT(AND(J105="PASS",'Calibrare_Linii'!U7="VALID")),AL105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M13)+((('Istoric_Nativ'!$E$6:$E$405='Input_Meci'!E13)+('Istoric_Nativ'!$F$6:$F$405='Input_Meci'!E13))&gt;0)*('Istoric_Nativ'!$D$6:$D$405&gt;='Motor_Meciuri'!BN13))&gt;0)*('Istoric_Nativ'!$Q$6:$Q$405&lt;=H105))/AL105)</x:f>
      </x:c>
      <x:c r="R105" s="10" t="str">
        <x:f>IF(OR(NOT(AND(J105="PASS",'Calibrare_Linii'!U7="VALID")),AM105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O13)+((('Istoric_Nativ'!$E$6:$E$405='Input_Meci'!E13)+('Istoric_Nativ'!$F$6:$F$405='Input_Meci'!E13))&gt;0)*('Istoric_Nativ'!$D$6:$D$405&gt;='Motor_Meciuri'!BP13))&gt;0)*('Istoric_Nativ'!$Q$6:$Q$405&lt;=H105))/AM105)</x:f>
      </x:c>
      <x:c r="S105" s="10" t="str">
        <x:f>IF(M105="","",MAX(O105,P105,Q105,R105))</x:f>
      </x:c>
      <x:c r="T105" s="11" t="str">
        <x:f>IF(M105="","",MIN(100,S105*100*'Config_v6'!$B$44+MIN(100,L105/'Config_v6'!$B$13*100)*'Config_v6'!$B$45+(100-'Motor_Meciuri'!BF13)*'Config_v6'!$B$46+'Motor_Meciuri'!BH13*100*'Config_v6'!$B$47))</x:f>
      </x:c>
      <x:c r="U105" s="2" t="str">
        <x:f>IF(T105="","",IF(T105&lt;=20,1,IF(T105&lt;=40,2,IF(T105&lt;=60,3,IF(T105&lt;=80,4,5)))))</x:f>
      </x:c>
      <x:c r="V105" s="2" t="str">
        <x:f>IF(M105="","",MAX(0,'Motor_Meciuri'!BF13-IF(W105="OOS PENDING",'Config_v6'!$B$35,0)-IF(L105&gt;'Config_v6'!$B$12,'Config_v6'!$B$37,IF(L105&gt;'Config_v6'!$B$11,'Config_v6'!$B$36,0))))</x:f>
      </x:c>
      <x:c r="W105" s="2" t="str">
        <x:f>IF(B105="","",IF(I105&lt;&gt;"READY","NOT RELEASED",IF(NOT(AND(J105="PASS",'Calibrare_Linii'!U7="VALID")),"INVALID",IF(NOT(AND('Calibrare_Linii'!S7="VALIDATED",AND('Calibrare_Linii'!H7=C105,ISNUMBER('Calibrare_Linii'!J7),'Calibrare_Linii'!J7&lt;='Input_Meci'!G13))),"OOS PENDING",IF(S105&lt;='Calibrare_Linii'!E7,"PASS",IF(S105&lt;='Calibrare_Linii'!F7,"PENALTY","WATCH"))))))</x:f>
      </x:c>
      <x:c r="X105" s="2" t="str">
        <x:f>IF(M105="","",IF(AND(AND(J105="PASS",'Calibrare_Linii'!U7="VALID"),'Motor_Meciuri'!K13=12,'Motor_Meciuri'!L13=12,'Motor_Meciuri'!M13="NO",'Motor_Meciuri'!BL13='Motor_Meciuri'!C13,AB105&gt;='Config_v6'!$B$50,AN105&gt;='Config_v6'!$B$51,T105&lt;='Config_v6'!$B$52,L105&lt;='Config_v6'!$B$53,ISNUMBER('Calibrare_Linii'!E7),S105&lt;='Calibrare_Linii'!E7,SUM(AK105:AM105)&gt;0),"CANDIDATE","NO"))</x:f>
      </x:c>
      <x:c r="Y105" s="2" t="str">
        <x:f>IF(B105="","",IF(I105&lt;&gt;"READY","NOT RELEASED",IF(AND(X105="CANDIDATE",V105&gt;='Config_v6'!$B$51,W105="PASS",'Calibrare_Linii'!T7="VALIDATED",AND('Calibrare_Linii'!H7=C105,ISNUMBER('Calibrare_Linii'!J7),'Calibrare_Linii'!J7&lt;='Input_Meci'!G13)),"PASS",IF(X105="CANDIDATE","OOS PENDING","FAIL"))))</x:f>
      </x:c>
      <x:c r="Z105" s="2" t="str">
        <x:f>IF(B105="","",IF(I105&lt;&gt;"READY","",IF(OR(NOT(AND(J105="PASS",'Calibrare_Linii'!U7="VALID")),L105&gt;'Config_v6'!$B$13,W105="WATCH"),5,IF(Y105="PASS",1,MIN(5,MAX('Config_v6'!$B$42,U105)+IF(W105="PENALTY",1,0))))))</x:f>
      </x:c>
      <x:c r="AA105" s="2" t="str">
        <x:f>IF(B105="","",IF(I105&lt;&gt;"READY","NOT RELEASED",IF(Z105=5,"NO BET",IF(OR(AB105&lt;'Config_v6'!$B$16,V105&lt;'Config_v6'!$B$18),"WATCH",IF(Z105=1,"DEFENSIV",IF(Z105=2,"PRUDENT",IF(Z105=3,"MODERAT","RIDICAT")))))))</x:f>
      </x:c>
      <x:c r="AB105" s="10" t="str">
        <x:f>IF(N105="","",MIN(N105,1-S105))</x:f>
      </x:c>
      <x:c r="AC105" s="2" t="str">
        <x:f>IF(AD105&lt;&gt;1,"",COUNTIFS($Z$104:$Z$117,"&lt;"&amp;Z105,$AD$104:$AD$117,1)+COUNTIFS($Z$104:$Z$117,Z105,$AB$104:$AB$117,"&gt;"&amp;AB105,$AD$104:$AD$117,1)+COUNTIFS($Z$104:$Z$117,Z105,$AB$104:$AB$117,AB105,$V$104:$V$117,"&gt;"&amp;V105,$AD$104:$AD$117,1)+COUNTIFS($Z$104:Z105,Z105,$AB$104:AB105,AB105,$V$104:V105,V105,$AD$104:AD105,1))</x:f>
      </x:c>
      <x:c r="AD105" s="2" t="n">
        <x:f>IF(OR(AA105="DEFENSIV",AA105="PRUDENT",AA105="MODERAT",AA105="RIDICAT"),1,0)</x:f>
        <x:v>0</x:v>
      </x:c>
      <x:c r="AE105" s="2" t="str">
        <x:f>IF(AD105&lt;&gt;1,"NO",IF(W105="PASS","YES",IF(W105="OOS PENDING","CONDITIONAL","NO")))</x:f>
        <x:v>NO</x:v>
      </x:c>
      <x:c r="AF105" s="2" t="n">
        <x:f>IF(AND(AD105=1,AC105=1,E105="LIVE"),1,0)</x:f>
        <x:v>0</x:v>
      </x:c>
      <x:c r="AG105" s="2" t="str">
        <x:f>IF(AF105&lt;&gt;1,"",'Dashboard'!P33)</x:f>
      </x:c>
      <x:c r="AH105" s="2" t="str">
        <x:f>IF(B105="","",IF(J105&lt;&gt;"PASS",'Motor_Meciuri'!J13,IF('Calibrare_Linii'!U7&lt;&gt;"VALID","Parametri linie invalizi",IF(L105&gt;'Config_v6'!$B$13,"Dispersie peste limita",IF(W105="WATCH","Failure peste limita",IF(AB105&lt;'Config_v6'!$B$16,"P finala sub prag",IF(V105&lt;'Config_v6'!$B$18,"Confidence sub prag",IF(E105="REPLAY","Exemplu retrospectiv; exclus din Top LIVE",IF(Y105="PASS","DEFENSIV validat",IF(W105="OOS PENDING","Eligibil; calibrare linie in monitorizare","Eligibil"))))))))))</x:f>
      </x:c>
      <x:c r="AI105" s="2" t="str">
        <x:f>IF(B105="","",'Calibrare_Linii'!V7)</x:f>
      </x:c>
      <x:c r="AJ105" s="2" t="str">
        <x:f>IF(B105="","",IF(AND('Calibrare_Linii'!T7="VALIDATED",AND('Calibrare_Linii'!H7=C105,ISNUMBER('Calibrare_Linii'!J7),'Calibrare_Linii'!J7&lt;='Input_Meci'!G13)),"DEFENSIVE VALIDATED",IF(AND('Calibrare_Linii'!S7="VALIDATED",AND('Calibrare_Linii'!H7=C105,ISNUMBER('Calibrare_Linii'!J7),'Calibrare_Linii'!J7&lt;='Input_Meci'!G13)),"TAIL VALIDATED","OOS PENDING")))</x:f>
      </x:c>
      <x:c r="AK105" s="2" t="n">
        <x:f>IF(J105&lt;&gt;"PASS",0,'Motor_Meciuri'!BR13)</x:f>
        <x:v>0</x:v>
      </x:c>
      <x:c r="AL105" s="2" t="n">
        <x:f>IF(J105&lt;&gt;"PASS",0,'Motor_Meciuri'!BS13)</x:f>
        <x:v>0</x:v>
      </x:c>
      <x:c r="AM105" s="2" t="n">
        <x:f>IF(J105&lt;&gt;"PASS",0,'Motor_Meciuri'!BT13)</x:f>
        <x:v>0</x:v>
      </x:c>
      <x:c r="AN105" s="2" t="str">
        <x:f>IF(M105="","",MAX(0,'Motor_Meciuri'!BF13-IF(L105&gt;'Config_v6'!$B$12,'Config_v6'!$B$37,IF(L105&gt;'Config_v6'!$B$11,'Config_v6'!$B$36,0))))</x:f>
      </x:c>
    </x:row>
    <x:row r="106" ht="21" customHeight="1">
      <x:c r="A106" s="2" t="n">
        <x:v>8</x:v>
      </x:c>
      <x:c r="B106" s="2" t="str">
        <x:f>IF('Motor_Meciuri'!A13="","",'Motor_Meciuri'!A13)</x:f>
      </x:c>
      <x:c r="C106" s="2" t="str">
        <x:f>IF(B106="","",'Motor_Meciuri'!B13)</x:f>
      </x:c>
      <x:c r="D106" s="2" t="str">
        <x:f>IF(B106="","",'Motor_Meciuri'!D13)</x:f>
      </x:c>
      <x:c r="E106" s="2" t="str">
        <x:f>IF(B106="","",'Motor_Meciuri'!E13)</x:f>
      </x:c>
      <x:c r="F106" s="2" t="str">
        <x:v>O5,5</x:v>
      </x:c>
      <x:c r="G106" s="2" t="str">
        <x:v>OVER</x:v>
      </x:c>
      <x:c r="H106" s="2" t="n">
        <x:v>5</x:v>
      </x:c>
      <x:c r="I106" s="2" t="str">
        <x:f>IF(B106="","",'Motor_Meciuri'!H13)</x:f>
      </x:c>
      <x:c r="J106" s="2" t="str">
        <x:f>IF(B106="","",'Motor_Meciuri'!I13)</x:f>
      </x:c>
      <x:c r="K106" s="11" t="str">
        <x:f>IF(J106&lt;&gt;"PASS","",'Motor_Meciuri'!BD13)</x:f>
      </x:c>
      <x:c r="L106" s="11" t="str">
        <x:f>IF(J106&lt;&gt;"PASS","",'Motor_Meciuri'!AU13)</x:f>
      </x:c>
      <x:c r="M106" s="10" t="str">
        <x:f>IF(NOT(AND(J106="PASS",'Calibrare_Linii'!U8="VALID")),"",1-'Distributie'!AC13)</x:f>
      </x:c>
      <x:c r="N106" s="10" t="str">
        <x:f>IF(M106="","",MAX(0.01,MIN(0.99,0.5+(M106-0.5)*'Motor_Meciuri'!BG13*'Calibrare_Linii'!D8)))</x:f>
      </x:c>
      <x:c r="O106" s="10" t="str">
        <x:f>IF(M106="","",1-M106)</x:f>
      </x:c>
      <x:c r="P106" s="10" t="str">
        <x:f>IF(OR(NOT(AND(J106="PASS",'Calibrare_Linii'!U8="VALID")),AK106=0),""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*('Istoric_Nativ'!$Q$6:$Q$405&lt;=H106))/AK106)</x:f>
      </x:c>
      <x:c r="Q106" s="10" t="str">
        <x:f>IF(OR(NOT(AND(J106="PASS",'Calibrare_Linii'!U8="VALID")),AL106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M13)+((('Istoric_Nativ'!$E$6:$E$405='Input_Meci'!E13)+('Istoric_Nativ'!$F$6:$F$405='Input_Meci'!E13))&gt;0)*('Istoric_Nativ'!$D$6:$D$405&gt;='Motor_Meciuri'!BN13))&gt;0)*('Istoric_Nativ'!$Q$6:$Q$405&lt;=H106))/AL106)</x:f>
      </x:c>
      <x:c r="R106" s="10" t="str">
        <x:f>IF(OR(NOT(AND(J106="PASS",'Calibrare_Linii'!U8="VALID")),AM106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O13)+((('Istoric_Nativ'!$E$6:$E$405='Input_Meci'!E13)+('Istoric_Nativ'!$F$6:$F$405='Input_Meci'!E13))&gt;0)*('Istoric_Nativ'!$D$6:$D$405&gt;='Motor_Meciuri'!BP13))&gt;0)*('Istoric_Nativ'!$Q$6:$Q$405&lt;=H106))/AM106)</x:f>
      </x:c>
      <x:c r="S106" s="10" t="str">
        <x:f>IF(M106="","",MAX(O106,P106,Q106,R106))</x:f>
      </x:c>
      <x:c r="T106" s="11" t="str">
        <x:f>IF(M106="","",MIN(100,S106*100*'Config_v6'!$B$44+MIN(100,L106/'Config_v6'!$B$13*100)*'Config_v6'!$B$45+(100-'Motor_Meciuri'!BF13)*'Config_v6'!$B$46+'Motor_Meciuri'!BH13*100*'Config_v6'!$B$47))</x:f>
      </x:c>
      <x:c r="U106" s="2" t="str">
        <x:f>IF(T106="","",IF(T106&lt;=20,1,IF(T106&lt;=40,2,IF(T106&lt;=60,3,IF(T106&lt;=80,4,5)))))</x:f>
      </x:c>
      <x:c r="V106" s="2" t="str">
        <x:f>IF(M106="","",MAX(0,'Motor_Meciuri'!BF13-IF(W106="OOS PENDING",'Config_v6'!$B$35,0)-IF(L106&gt;'Config_v6'!$B$12,'Config_v6'!$B$37,IF(L106&gt;'Config_v6'!$B$11,'Config_v6'!$B$36,0))))</x:f>
      </x:c>
      <x:c r="W106" s="2" t="str">
        <x:f>IF(B106="","",IF(I106&lt;&gt;"READY","NOT RELEASED",IF(NOT(AND(J106="PASS",'Calibrare_Linii'!U8="VALID")),"INVALID",IF(NOT(AND('Calibrare_Linii'!S8="VALIDATED",AND('Calibrare_Linii'!H8=C106,ISNUMBER('Calibrare_Linii'!J8),'Calibrare_Linii'!J8&lt;='Input_Meci'!G13))),"OOS PENDING",IF(S106&lt;='Calibrare_Linii'!E8,"PASS",IF(S106&lt;='Calibrare_Linii'!F8,"PENALTY","WATCH"))))))</x:f>
      </x:c>
      <x:c r="X106" s="2" t="str">
        <x:f>IF(M106="","",IF(AND(AND(J106="PASS",'Calibrare_Linii'!U8="VALID"),'Motor_Meciuri'!K13=12,'Motor_Meciuri'!L13=12,'Motor_Meciuri'!M13="NO",'Motor_Meciuri'!BL13='Motor_Meciuri'!C13,AB106&gt;='Config_v6'!$B$50,AN106&gt;='Config_v6'!$B$51,T106&lt;='Config_v6'!$B$52,L106&lt;='Config_v6'!$B$53,ISNUMBER('Calibrare_Linii'!E8),S106&lt;='Calibrare_Linii'!E8,SUM(AK106:AM106)&gt;0),"CANDIDATE","NO"))</x:f>
      </x:c>
      <x:c r="Y106" s="2" t="str">
        <x:f>IF(B106="","",IF(I106&lt;&gt;"READY","NOT RELEASED",IF(AND(X106="CANDIDATE",V106&gt;='Config_v6'!$B$51,W106="PASS",'Calibrare_Linii'!T8="VALIDATED",AND('Calibrare_Linii'!H8=C106,ISNUMBER('Calibrare_Linii'!J8),'Calibrare_Linii'!J8&lt;='Input_Meci'!G13)),"PASS",IF(X106="CANDIDATE","OOS PENDING","FAIL"))))</x:f>
      </x:c>
      <x:c r="Z106" s="2" t="str">
        <x:f>IF(B106="","",IF(I106&lt;&gt;"READY","",IF(OR(NOT(AND(J106="PASS",'Calibrare_Linii'!U8="VALID")),L106&gt;'Config_v6'!$B$13,W106="WATCH"),5,IF(Y106="PASS",1,MIN(5,MAX('Config_v6'!$B$42,U106)+IF(W106="PENALTY",1,0))))))</x:f>
      </x:c>
      <x:c r="AA106" s="2" t="str">
        <x:f>IF(B106="","",IF(I106&lt;&gt;"READY","NOT RELEASED",IF(Z106=5,"NO BET",IF(OR(AB106&lt;'Config_v6'!$B$16,V106&lt;'Config_v6'!$B$18),"WATCH",IF(Z106=1,"DEFENSIV",IF(Z106=2,"PRUDENT",IF(Z106=3,"MODERAT","RIDICAT")))))))</x:f>
      </x:c>
      <x:c r="AB106" s="10" t="str">
        <x:f>IF(N106="","",MIN(N106,1-S106))</x:f>
      </x:c>
      <x:c r="AC106" s="2" t="str">
        <x:f>IF(AD106&lt;&gt;1,"",COUNTIFS($Z$104:$Z$117,"&lt;"&amp;Z106,$AD$104:$AD$117,1)+COUNTIFS($Z$104:$Z$117,Z106,$AB$104:$AB$117,"&gt;"&amp;AB106,$AD$104:$AD$117,1)+COUNTIFS($Z$104:$Z$117,Z106,$AB$104:$AB$117,AB106,$V$104:$V$117,"&gt;"&amp;V106,$AD$104:$AD$117,1)+COUNTIFS($Z$104:Z106,Z106,$AB$104:AB106,AB106,$V$104:V106,V106,$AD$104:AD106,1))</x:f>
      </x:c>
      <x:c r="AD106" s="2" t="n">
        <x:f>IF(OR(AA106="DEFENSIV",AA106="PRUDENT",AA106="MODERAT",AA106="RIDICAT"),1,0)</x:f>
        <x:v>0</x:v>
      </x:c>
      <x:c r="AE106" s="2" t="str">
        <x:f>IF(AD106&lt;&gt;1,"NO",IF(W106="PASS","YES",IF(W106="OOS PENDING","CONDITIONAL","NO")))</x:f>
        <x:v>NO</x:v>
      </x:c>
      <x:c r="AF106" s="2" t="n">
        <x:f>IF(AND(AD106=1,AC106=1,E106="LIVE"),1,0)</x:f>
        <x:v>0</x:v>
      </x:c>
      <x:c r="AG106" s="2" t="str">
        <x:f>IF(AF106&lt;&gt;1,"",'Dashboard'!P33)</x:f>
      </x:c>
      <x:c r="AH106" s="2" t="str">
        <x:f>IF(B106="","",IF(J106&lt;&gt;"PASS",'Motor_Meciuri'!J13,IF('Calibrare_Linii'!U8&lt;&gt;"VALID","Parametri linie invalizi",IF(L106&gt;'Config_v6'!$B$13,"Dispersie peste limita",IF(W106="WATCH","Failure peste limita",IF(AB106&lt;'Config_v6'!$B$16,"P finala sub prag",IF(V106&lt;'Config_v6'!$B$18,"Confidence sub prag",IF(E106="REPLAY","Exemplu retrospectiv; exclus din Top LIVE",IF(Y106="PASS","DEFENSIV validat",IF(W106="OOS PENDING","Eligibil; calibrare linie in monitorizare","Eligibil"))))))))))</x:f>
      </x:c>
      <x:c r="AI106" s="2" t="str">
        <x:f>IF(B106="","",'Calibrare_Linii'!V8)</x:f>
      </x:c>
      <x:c r="AJ106" s="2" t="str">
        <x:f>IF(B106="","",IF(AND('Calibrare_Linii'!T8="VALIDATED",AND('Calibrare_Linii'!H8=C106,ISNUMBER('Calibrare_Linii'!J8),'Calibrare_Linii'!J8&lt;='Input_Meci'!G13)),"DEFENSIVE VALIDATED",IF(AND('Calibrare_Linii'!S8="VALIDATED",AND('Calibrare_Linii'!H8=C106,ISNUMBER('Calibrare_Linii'!J8),'Calibrare_Linii'!J8&lt;='Input_Meci'!G13)),"TAIL VALIDATED","OOS PENDING")))</x:f>
      </x:c>
      <x:c r="AK106" s="2" t="n">
        <x:f>IF(J106&lt;&gt;"PASS",0,'Motor_Meciuri'!BR13)</x:f>
        <x:v>0</x:v>
      </x:c>
      <x:c r="AL106" s="2" t="n">
        <x:f>IF(J106&lt;&gt;"PASS",0,'Motor_Meciuri'!BS13)</x:f>
        <x:v>0</x:v>
      </x:c>
      <x:c r="AM106" s="2" t="n">
        <x:f>IF(J106&lt;&gt;"PASS",0,'Motor_Meciuri'!BT13)</x:f>
        <x:v>0</x:v>
      </x:c>
      <x:c r="AN106" s="2" t="str">
        <x:f>IF(M106="","",MAX(0,'Motor_Meciuri'!BF13-IF(L106&gt;'Config_v6'!$B$12,'Config_v6'!$B$37,IF(L106&gt;'Config_v6'!$B$11,'Config_v6'!$B$36,0))))</x:f>
      </x:c>
    </x:row>
    <x:row r="107" ht="21" customHeight="1">
      <x:c r="A107" s="2" t="n">
        <x:v>8</x:v>
      </x:c>
      <x:c r="B107" s="2" t="str">
        <x:f>IF('Motor_Meciuri'!A13="","",'Motor_Meciuri'!A13)</x:f>
      </x:c>
      <x:c r="C107" s="2" t="str">
        <x:f>IF(B107="","",'Motor_Meciuri'!B13)</x:f>
      </x:c>
      <x:c r="D107" s="2" t="str">
        <x:f>IF(B107="","",'Motor_Meciuri'!D13)</x:f>
      </x:c>
      <x:c r="E107" s="2" t="str">
        <x:f>IF(B107="","",'Motor_Meciuri'!E13)</x:f>
      </x:c>
      <x:c r="F107" s="2" t="str">
        <x:v>O6,5</x:v>
      </x:c>
      <x:c r="G107" s="2" t="str">
        <x:v>OVER</x:v>
      </x:c>
      <x:c r="H107" s="2" t="n">
        <x:v>6</x:v>
      </x:c>
      <x:c r="I107" s="2" t="str">
        <x:f>IF(B107="","",'Motor_Meciuri'!H13)</x:f>
      </x:c>
      <x:c r="J107" s="2" t="str">
        <x:f>IF(B107="","",'Motor_Meciuri'!I13)</x:f>
      </x:c>
      <x:c r="K107" s="11" t="str">
        <x:f>IF(J107&lt;&gt;"PASS","",'Motor_Meciuri'!BD13)</x:f>
      </x:c>
      <x:c r="L107" s="11" t="str">
        <x:f>IF(J107&lt;&gt;"PASS","",'Motor_Meciuri'!AU13)</x:f>
      </x:c>
      <x:c r="M107" s="10" t="str">
        <x:f>IF(NOT(AND(J107="PASS",'Calibrare_Linii'!U9="VALID")),"",1-'Distributie'!AD13)</x:f>
      </x:c>
      <x:c r="N107" s="10" t="str">
        <x:f>IF(M107="","",MAX(0.01,MIN(0.99,0.5+(M107-0.5)*'Motor_Meciuri'!BG13*'Calibrare_Linii'!D9)))</x:f>
      </x:c>
      <x:c r="O107" s="10" t="str">
        <x:f>IF(M107="","",1-M107)</x:f>
      </x:c>
      <x:c r="P107" s="10" t="str">
        <x:f>IF(OR(NOT(AND(J107="PASS",'Calibrare_Linii'!U9="VALID")),AK107=0),""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*('Istoric_Nativ'!$Q$6:$Q$405&lt;=H107))/AK107)</x:f>
      </x:c>
      <x:c r="Q107" s="10" t="str">
        <x:f>IF(OR(NOT(AND(J107="PASS",'Calibrare_Linii'!U9="VALID")),AL107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M13)+((('Istoric_Nativ'!$E$6:$E$405='Input_Meci'!E13)+('Istoric_Nativ'!$F$6:$F$405='Input_Meci'!E13))&gt;0)*('Istoric_Nativ'!$D$6:$D$405&gt;='Motor_Meciuri'!BN13))&gt;0)*('Istoric_Nativ'!$Q$6:$Q$405&lt;=H107))/AL107)</x:f>
      </x:c>
      <x:c r="R107" s="10" t="str">
        <x:f>IF(OR(NOT(AND(J107="PASS",'Calibrare_Linii'!U9="VALID")),AM107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O13)+((('Istoric_Nativ'!$E$6:$E$405='Input_Meci'!E13)+('Istoric_Nativ'!$F$6:$F$405='Input_Meci'!E13))&gt;0)*('Istoric_Nativ'!$D$6:$D$405&gt;='Motor_Meciuri'!BP13))&gt;0)*('Istoric_Nativ'!$Q$6:$Q$405&lt;=H107))/AM107)</x:f>
      </x:c>
      <x:c r="S107" s="10" t="str">
        <x:f>IF(M107="","",MAX(O107,P107,Q107,R107))</x:f>
      </x:c>
      <x:c r="T107" s="11" t="str">
        <x:f>IF(M107="","",MIN(100,S107*100*'Config_v6'!$B$44+MIN(100,L107/'Config_v6'!$B$13*100)*'Config_v6'!$B$45+(100-'Motor_Meciuri'!BF13)*'Config_v6'!$B$46+'Motor_Meciuri'!BH13*100*'Config_v6'!$B$47))</x:f>
      </x:c>
      <x:c r="U107" s="2" t="str">
        <x:f>IF(T107="","",IF(T107&lt;=20,1,IF(T107&lt;=40,2,IF(T107&lt;=60,3,IF(T107&lt;=80,4,5)))))</x:f>
      </x:c>
      <x:c r="V107" s="2" t="str">
        <x:f>IF(M107="","",MAX(0,'Motor_Meciuri'!BF13-IF(W107="OOS PENDING",'Config_v6'!$B$35,0)-IF(L107&gt;'Config_v6'!$B$12,'Config_v6'!$B$37,IF(L107&gt;'Config_v6'!$B$11,'Config_v6'!$B$36,0))))</x:f>
      </x:c>
      <x:c r="W107" s="2" t="str">
        <x:f>IF(B107="","",IF(I107&lt;&gt;"READY","NOT RELEASED",IF(NOT(AND(J107="PASS",'Calibrare_Linii'!U9="VALID")),"INVALID",IF(NOT(AND('Calibrare_Linii'!S9="VALIDATED",AND('Calibrare_Linii'!H9=C107,ISNUMBER('Calibrare_Linii'!J9),'Calibrare_Linii'!J9&lt;='Input_Meci'!G13))),"OOS PENDING",IF(S107&lt;='Calibrare_Linii'!E9,"PASS",IF(S107&lt;='Calibrare_Linii'!F9,"PENALTY","WATCH"))))))</x:f>
      </x:c>
      <x:c r="X107" s="2" t="str">
        <x:f>IF(M107="","",IF(AND(AND(J107="PASS",'Calibrare_Linii'!U9="VALID"),'Motor_Meciuri'!K13=12,'Motor_Meciuri'!L13=12,'Motor_Meciuri'!M13="NO",'Motor_Meciuri'!BL13='Motor_Meciuri'!C13,AB107&gt;='Config_v6'!$B$50,AN107&gt;='Config_v6'!$B$51,T107&lt;='Config_v6'!$B$52,L107&lt;='Config_v6'!$B$53,ISNUMBER('Calibrare_Linii'!E9),S107&lt;='Calibrare_Linii'!E9,SUM(AK107:AM107)&gt;0),"CANDIDATE","NO"))</x:f>
      </x:c>
      <x:c r="Y107" s="2" t="str">
        <x:f>IF(B107="","",IF(I107&lt;&gt;"READY","NOT RELEASED",IF(AND(X107="CANDIDATE",V107&gt;='Config_v6'!$B$51,W107="PASS",'Calibrare_Linii'!T9="VALIDATED",AND('Calibrare_Linii'!H9=C107,ISNUMBER('Calibrare_Linii'!J9),'Calibrare_Linii'!J9&lt;='Input_Meci'!G13)),"PASS",IF(X107="CANDIDATE","OOS PENDING","FAIL"))))</x:f>
      </x:c>
      <x:c r="Z107" s="2" t="str">
        <x:f>IF(B107="","",IF(I107&lt;&gt;"READY","",IF(OR(NOT(AND(J107="PASS",'Calibrare_Linii'!U9="VALID")),L107&gt;'Config_v6'!$B$13,W107="WATCH"),5,IF(Y107="PASS",1,MIN(5,MAX('Config_v6'!$B$42,U107)+IF(W107="PENALTY",1,0))))))</x:f>
      </x:c>
      <x:c r="AA107" s="2" t="str">
        <x:f>IF(B107="","",IF(I107&lt;&gt;"READY","NOT RELEASED",IF(Z107=5,"NO BET",IF(OR(AB107&lt;'Config_v6'!$B$16,V107&lt;'Config_v6'!$B$18),"WATCH",IF(Z107=1,"DEFENSIV",IF(Z107=2,"PRUDENT",IF(Z107=3,"MODERAT","RIDICAT")))))))</x:f>
      </x:c>
      <x:c r="AB107" s="10" t="str">
        <x:f>IF(N107="","",MIN(N107,1-S107))</x:f>
      </x:c>
      <x:c r="AC107" s="2" t="str">
        <x:f>IF(AD107&lt;&gt;1,"",COUNTIFS($Z$104:$Z$117,"&lt;"&amp;Z107,$AD$104:$AD$117,1)+COUNTIFS($Z$104:$Z$117,Z107,$AB$104:$AB$117,"&gt;"&amp;AB107,$AD$104:$AD$117,1)+COUNTIFS($Z$104:$Z$117,Z107,$AB$104:$AB$117,AB107,$V$104:$V$117,"&gt;"&amp;V107,$AD$104:$AD$117,1)+COUNTIFS($Z$104:Z107,Z107,$AB$104:AB107,AB107,$V$104:V107,V107,$AD$104:AD107,1))</x:f>
      </x:c>
      <x:c r="AD107" s="2" t="n">
        <x:f>IF(OR(AA107="DEFENSIV",AA107="PRUDENT",AA107="MODERAT",AA107="RIDICAT"),1,0)</x:f>
        <x:v>0</x:v>
      </x:c>
      <x:c r="AE107" s="2" t="str">
        <x:f>IF(AD107&lt;&gt;1,"NO",IF(W107="PASS","YES",IF(W107="OOS PENDING","CONDITIONAL","NO")))</x:f>
        <x:v>NO</x:v>
      </x:c>
      <x:c r="AF107" s="2" t="n">
        <x:f>IF(AND(AD107=1,AC107=1,E107="LIVE"),1,0)</x:f>
        <x:v>0</x:v>
      </x:c>
      <x:c r="AG107" s="2" t="str">
        <x:f>IF(AF107&lt;&gt;1,"",'Dashboard'!P33)</x:f>
      </x:c>
      <x:c r="AH107" s="2" t="str">
        <x:f>IF(B107="","",IF(J107&lt;&gt;"PASS",'Motor_Meciuri'!J13,IF('Calibrare_Linii'!U9&lt;&gt;"VALID","Parametri linie invalizi",IF(L107&gt;'Config_v6'!$B$13,"Dispersie peste limita",IF(W107="WATCH","Failure peste limita",IF(AB107&lt;'Config_v6'!$B$16,"P finala sub prag",IF(V107&lt;'Config_v6'!$B$18,"Confidence sub prag",IF(E107="REPLAY","Exemplu retrospectiv; exclus din Top LIVE",IF(Y107="PASS","DEFENSIV validat",IF(W107="OOS PENDING","Eligibil; calibrare linie in monitorizare","Eligibil"))))))))))</x:f>
      </x:c>
      <x:c r="AI107" s="2" t="str">
        <x:f>IF(B107="","",'Calibrare_Linii'!V9)</x:f>
      </x:c>
      <x:c r="AJ107" s="2" t="str">
        <x:f>IF(B107="","",IF(AND('Calibrare_Linii'!T9="VALIDATED",AND('Calibrare_Linii'!H9=C107,ISNUMBER('Calibrare_Linii'!J9),'Calibrare_Linii'!J9&lt;='Input_Meci'!G13)),"DEFENSIVE VALIDATED",IF(AND('Calibrare_Linii'!S9="VALIDATED",AND('Calibrare_Linii'!H9=C107,ISNUMBER('Calibrare_Linii'!J9),'Calibrare_Linii'!J9&lt;='Input_Meci'!G13)),"TAIL VALIDATED","OOS PENDING")))</x:f>
      </x:c>
      <x:c r="AK107" s="2" t="n">
        <x:f>IF(J107&lt;&gt;"PASS",0,'Motor_Meciuri'!BR13)</x:f>
        <x:v>0</x:v>
      </x:c>
      <x:c r="AL107" s="2" t="n">
        <x:f>IF(J107&lt;&gt;"PASS",0,'Motor_Meciuri'!BS13)</x:f>
        <x:v>0</x:v>
      </x:c>
      <x:c r="AM107" s="2" t="n">
        <x:f>IF(J107&lt;&gt;"PASS",0,'Motor_Meciuri'!BT13)</x:f>
        <x:v>0</x:v>
      </x:c>
      <x:c r="AN107" s="2" t="str">
        <x:f>IF(M107="","",MAX(0,'Motor_Meciuri'!BF13-IF(L107&gt;'Config_v6'!$B$12,'Config_v6'!$B$37,IF(L107&gt;'Config_v6'!$B$11,'Config_v6'!$B$36,0))))</x:f>
      </x:c>
    </x:row>
    <x:row r="108" ht="21" customHeight="1">
      <x:c r="A108" s="2" t="n">
        <x:v>8</x:v>
      </x:c>
      <x:c r="B108" s="2" t="str">
        <x:f>IF('Motor_Meciuri'!A13="","",'Motor_Meciuri'!A13)</x:f>
      </x:c>
      <x:c r="C108" s="2" t="str">
        <x:f>IF(B108="","",'Motor_Meciuri'!B13)</x:f>
      </x:c>
      <x:c r="D108" s="2" t="str">
        <x:f>IF(B108="","",'Motor_Meciuri'!D13)</x:f>
      </x:c>
      <x:c r="E108" s="2" t="str">
        <x:f>IF(B108="","",'Motor_Meciuri'!E13)</x:f>
      </x:c>
      <x:c r="F108" s="2" t="str">
        <x:v>O7,5</x:v>
      </x:c>
      <x:c r="G108" s="2" t="str">
        <x:v>OVER</x:v>
      </x:c>
      <x:c r="H108" s="2" t="n">
        <x:v>7</x:v>
      </x:c>
      <x:c r="I108" s="2" t="str">
        <x:f>IF(B108="","",'Motor_Meciuri'!H13)</x:f>
      </x:c>
      <x:c r="J108" s="2" t="str">
        <x:f>IF(B108="","",'Motor_Meciuri'!I13)</x:f>
      </x:c>
      <x:c r="K108" s="11" t="str">
        <x:f>IF(J108&lt;&gt;"PASS","",'Motor_Meciuri'!BD13)</x:f>
      </x:c>
      <x:c r="L108" s="11" t="str">
        <x:f>IF(J108&lt;&gt;"PASS","",'Motor_Meciuri'!AU13)</x:f>
      </x:c>
      <x:c r="M108" s="10" t="str">
        <x:f>IF(NOT(AND(J108="PASS",'Calibrare_Linii'!U10="VALID")),"",1-'Distributie'!AE13)</x:f>
      </x:c>
      <x:c r="N108" s="10" t="str">
        <x:f>IF(M108="","",MAX(0.01,MIN(0.99,0.5+(M108-0.5)*'Motor_Meciuri'!BG13*'Calibrare_Linii'!D10)))</x:f>
      </x:c>
      <x:c r="O108" s="10" t="str">
        <x:f>IF(M108="","",1-M108)</x:f>
      </x:c>
      <x:c r="P108" s="10" t="str">
        <x:f>IF(OR(NOT(AND(J108="PASS",'Calibrare_Linii'!U10="VALID")),AK108=0),""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*('Istoric_Nativ'!$Q$6:$Q$405&lt;=H108))/AK108)</x:f>
      </x:c>
      <x:c r="Q108" s="10" t="str">
        <x:f>IF(OR(NOT(AND(J108="PASS",'Calibrare_Linii'!U10="VALID")),AL108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M13)+((('Istoric_Nativ'!$E$6:$E$405='Input_Meci'!E13)+('Istoric_Nativ'!$F$6:$F$405='Input_Meci'!E13))&gt;0)*('Istoric_Nativ'!$D$6:$D$405&gt;='Motor_Meciuri'!BN13))&gt;0)*('Istoric_Nativ'!$Q$6:$Q$405&lt;=H108))/AL108)</x:f>
      </x:c>
      <x:c r="R108" s="10" t="str">
        <x:f>IF(OR(NOT(AND(J108="PASS",'Calibrare_Linii'!U10="VALID")),AM108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O13)+((('Istoric_Nativ'!$E$6:$E$405='Input_Meci'!E13)+('Istoric_Nativ'!$F$6:$F$405='Input_Meci'!E13))&gt;0)*('Istoric_Nativ'!$D$6:$D$405&gt;='Motor_Meciuri'!BP13))&gt;0)*('Istoric_Nativ'!$Q$6:$Q$405&lt;=H108))/AM108)</x:f>
      </x:c>
      <x:c r="S108" s="10" t="str">
        <x:f>IF(M108="","",MAX(O108,P108,Q108,R108))</x:f>
      </x:c>
      <x:c r="T108" s="11" t="str">
        <x:f>IF(M108="","",MIN(100,S108*100*'Config_v6'!$B$44+MIN(100,L108/'Config_v6'!$B$13*100)*'Config_v6'!$B$45+(100-'Motor_Meciuri'!BF13)*'Config_v6'!$B$46+'Motor_Meciuri'!BH13*100*'Config_v6'!$B$47))</x:f>
      </x:c>
      <x:c r="U108" s="2" t="str">
        <x:f>IF(T108="","",IF(T108&lt;=20,1,IF(T108&lt;=40,2,IF(T108&lt;=60,3,IF(T108&lt;=80,4,5)))))</x:f>
      </x:c>
      <x:c r="V108" s="2" t="str">
        <x:f>IF(M108="","",MAX(0,'Motor_Meciuri'!BF13-IF(W108="OOS PENDING",'Config_v6'!$B$35,0)-IF(L108&gt;'Config_v6'!$B$12,'Config_v6'!$B$37,IF(L108&gt;'Config_v6'!$B$11,'Config_v6'!$B$36,0))))</x:f>
      </x:c>
      <x:c r="W108" s="2" t="str">
        <x:f>IF(B108="","",IF(I108&lt;&gt;"READY","NOT RELEASED",IF(NOT(AND(J108="PASS",'Calibrare_Linii'!U10="VALID")),"INVALID",IF(NOT(AND('Calibrare_Linii'!S10="VALIDATED",AND('Calibrare_Linii'!H10=C108,ISNUMBER('Calibrare_Linii'!J10),'Calibrare_Linii'!J10&lt;='Input_Meci'!G13))),"OOS PENDING",IF(S108&lt;='Calibrare_Linii'!E10,"PASS",IF(S108&lt;='Calibrare_Linii'!F10,"PENALTY","WATCH"))))))</x:f>
      </x:c>
      <x:c r="X108" s="2" t="str">
        <x:f>IF(M108="","",IF(AND(AND(J108="PASS",'Calibrare_Linii'!U10="VALID"),'Motor_Meciuri'!K13=12,'Motor_Meciuri'!L13=12,'Motor_Meciuri'!M13="NO",'Motor_Meciuri'!BL13='Motor_Meciuri'!C13,AB108&gt;='Config_v6'!$B$50,AN108&gt;='Config_v6'!$B$51,T108&lt;='Config_v6'!$B$52,L108&lt;='Config_v6'!$B$53,ISNUMBER('Calibrare_Linii'!E10),S108&lt;='Calibrare_Linii'!E10,SUM(AK108:AM108)&gt;0),"CANDIDATE","NO"))</x:f>
      </x:c>
      <x:c r="Y108" s="2" t="str">
        <x:f>IF(B108="","",IF(I108&lt;&gt;"READY","NOT RELEASED",IF(AND(X108="CANDIDATE",V108&gt;='Config_v6'!$B$51,W108="PASS",'Calibrare_Linii'!T10="VALIDATED",AND('Calibrare_Linii'!H10=C108,ISNUMBER('Calibrare_Linii'!J10),'Calibrare_Linii'!J10&lt;='Input_Meci'!G13)),"PASS",IF(X108="CANDIDATE","OOS PENDING","FAIL"))))</x:f>
      </x:c>
      <x:c r="Z108" s="2" t="str">
        <x:f>IF(B108="","",IF(I108&lt;&gt;"READY","",IF(OR(NOT(AND(J108="PASS",'Calibrare_Linii'!U10="VALID")),L108&gt;'Config_v6'!$B$13,W108="WATCH"),5,IF(Y108="PASS",1,MIN(5,MAX('Config_v6'!$B$42,U108)+IF(W108="PENALTY",1,0))))))</x:f>
      </x:c>
      <x:c r="AA108" s="2" t="str">
        <x:f>IF(B108="","",IF(I108&lt;&gt;"READY","NOT RELEASED",IF(Z108=5,"NO BET",IF(OR(AB108&lt;'Config_v6'!$B$16,V108&lt;'Config_v6'!$B$18),"WATCH",IF(Z108=1,"DEFENSIV",IF(Z108=2,"PRUDENT",IF(Z108=3,"MODERAT","RIDICAT")))))))</x:f>
      </x:c>
      <x:c r="AB108" s="10" t="str">
        <x:f>IF(N108="","",MIN(N108,1-S108))</x:f>
      </x:c>
      <x:c r="AC108" s="2" t="str">
        <x:f>IF(AD108&lt;&gt;1,"",COUNTIFS($Z$104:$Z$117,"&lt;"&amp;Z108,$AD$104:$AD$117,1)+COUNTIFS($Z$104:$Z$117,Z108,$AB$104:$AB$117,"&gt;"&amp;AB108,$AD$104:$AD$117,1)+COUNTIFS($Z$104:$Z$117,Z108,$AB$104:$AB$117,AB108,$V$104:$V$117,"&gt;"&amp;V108,$AD$104:$AD$117,1)+COUNTIFS($Z$104:Z108,Z108,$AB$104:AB108,AB108,$V$104:V108,V108,$AD$104:AD108,1))</x:f>
      </x:c>
      <x:c r="AD108" s="2" t="n">
        <x:f>IF(OR(AA108="DEFENSIV",AA108="PRUDENT",AA108="MODERAT",AA108="RIDICAT"),1,0)</x:f>
        <x:v>0</x:v>
      </x:c>
      <x:c r="AE108" s="2" t="str">
        <x:f>IF(AD108&lt;&gt;1,"NO",IF(W108="PASS","YES",IF(W108="OOS PENDING","CONDITIONAL","NO")))</x:f>
        <x:v>NO</x:v>
      </x:c>
      <x:c r="AF108" s="2" t="n">
        <x:f>IF(AND(AD108=1,AC108=1,E108="LIVE"),1,0)</x:f>
        <x:v>0</x:v>
      </x:c>
      <x:c r="AG108" s="2" t="str">
        <x:f>IF(AF108&lt;&gt;1,"",'Dashboard'!P33)</x:f>
      </x:c>
      <x:c r="AH108" s="2" t="str">
        <x:f>IF(B108="","",IF(J108&lt;&gt;"PASS",'Motor_Meciuri'!J13,IF('Calibrare_Linii'!U10&lt;&gt;"VALID","Parametri linie invalizi",IF(L108&gt;'Config_v6'!$B$13,"Dispersie peste limita",IF(W108="WATCH","Failure peste limita",IF(AB108&lt;'Config_v6'!$B$16,"P finala sub prag",IF(V108&lt;'Config_v6'!$B$18,"Confidence sub prag",IF(E108="REPLAY","Exemplu retrospectiv; exclus din Top LIVE",IF(Y108="PASS","DEFENSIV validat",IF(W108="OOS PENDING","Eligibil; calibrare linie in monitorizare","Eligibil"))))))))))</x:f>
      </x:c>
      <x:c r="AI108" s="2" t="str">
        <x:f>IF(B108="","",'Calibrare_Linii'!V10)</x:f>
      </x:c>
      <x:c r="AJ108" s="2" t="str">
        <x:f>IF(B108="","",IF(AND('Calibrare_Linii'!T10="VALIDATED",AND('Calibrare_Linii'!H10=C108,ISNUMBER('Calibrare_Linii'!J10),'Calibrare_Linii'!J10&lt;='Input_Meci'!G13)),"DEFENSIVE VALIDATED",IF(AND('Calibrare_Linii'!S10="VALIDATED",AND('Calibrare_Linii'!H10=C108,ISNUMBER('Calibrare_Linii'!J10),'Calibrare_Linii'!J10&lt;='Input_Meci'!G13)),"TAIL VALIDATED","OOS PENDING")))</x:f>
      </x:c>
      <x:c r="AK108" s="2" t="n">
        <x:f>IF(J108&lt;&gt;"PASS",0,'Motor_Meciuri'!BR13)</x:f>
        <x:v>0</x:v>
      </x:c>
      <x:c r="AL108" s="2" t="n">
        <x:f>IF(J108&lt;&gt;"PASS",0,'Motor_Meciuri'!BS13)</x:f>
        <x:v>0</x:v>
      </x:c>
      <x:c r="AM108" s="2" t="n">
        <x:f>IF(J108&lt;&gt;"PASS",0,'Motor_Meciuri'!BT13)</x:f>
        <x:v>0</x:v>
      </x:c>
      <x:c r="AN108" s="2" t="str">
        <x:f>IF(M108="","",MAX(0,'Motor_Meciuri'!BF13-IF(L108&gt;'Config_v6'!$B$12,'Config_v6'!$B$37,IF(L108&gt;'Config_v6'!$B$11,'Config_v6'!$B$36,0))))</x:f>
      </x:c>
    </x:row>
    <x:row r="109" ht="21" customHeight="1">
      <x:c r="A109" s="2" t="n">
        <x:v>8</x:v>
      </x:c>
      <x:c r="B109" s="2" t="str">
        <x:f>IF('Motor_Meciuri'!A13="","",'Motor_Meciuri'!A13)</x:f>
      </x:c>
      <x:c r="C109" s="2" t="str">
        <x:f>IF(B109="","",'Motor_Meciuri'!B13)</x:f>
      </x:c>
      <x:c r="D109" s="2" t="str">
        <x:f>IF(B109="","",'Motor_Meciuri'!D13)</x:f>
      </x:c>
      <x:c r="E109" s="2" t="str">
        <x:f>IF(B109="","",'Motor_Meciuri'!E13)</x:f>
      </x:c>
      <x:c r="F109" s="2" t="str">
        <x:v>O8,5</x:v>
      </x:c>
      <x:c r="G109" s="2" t="str">
        <x:v>OVER</x:v>
      </x:c>
      <x:c r="H109" s="2" t="n">
        <x:v>8</x:v>
      </x:c>
      <x:c r="I109" s="2" t="str">
        <x:f>IF(B109="","",'Motor_Meciuri'!H13)</x:f>
      </x:c>
      <x:c r="J109" s="2" t="str">
        <x:f>IF(B109="","",'Motor_Meciuri'!I13)</x:f>
      </x:c>
      <x:c r="K109" s="11" t="str">
        <x:f>IF(J109&lt;&gt;"PASS","",'Motor_Meciuri'!BD13)</x:f>
      </x:c>
      <x:c r="L109" s="11" t="str">
        <x:f>IF(J109&lt;&gt;"PASS","",'Motor_Meciuri'!AU13)</x:f>
      </x:c>
      <x:c r="M109" s="10" t="str">
        <x:f>IF(NOT(AND(J109="PASS",'Calibrare_Linii'!U11="VALID")),"",1-'Distributie'!AF13)</x:f>
      </x:c>
      <x:c r="N109" s="10" t="str">
        <x:f>IF(M109="","",MAX(0.01,MIN(0.99,0.5+(M109-0.5)*'Motor_Meciuri'!BG13*'Calibrare_Linii'!D11)))</x:f>
      </x:c>
      <x:c r="O109" s="10" t="str">
        <x:f>IF(M109="","",1-M109)</x:f>
      </x:c>
      <x:c r="P109" s="10" t="str">
        <x:f>IF(OR(NOT(AND(J109="PASS",'Calibrare_Linii'!U11="VALID")),AK109=0),""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*('Istoric_Nativ'!$Q$6:$Q$405&lt;=H109))/AK109)</x:f>
      </x:c>
      <x:c r="Q109" s="10" t="str">
        <x:f>IF(OR(NOT(AND(J109="PASS",'Calibrare_Linii'!U11="VALID")),AL109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M13)+((('Istoric_Nativ'!$E$6:$E$405='Input_Meci'!E13)+('Istoric_Nativ'!$F$6:$F$405='Input_Meci'!E13))&gt;0)*('Istoric_Nativ'!$D$6:$D$405&gt;='Motor_Meciuri'!BN13))&gt;0)*('Istoric_Nativ'!$Q$6:$Q$405&lt;=H109))/AL109)</x:f>
      </x:c>
      <x:c r="R109" s="10" t="str">
        <x:f>IF(OR(NOT(AND(J109="PASS",'Calibrare_Linii'!U11="VALID")),AM109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O13)+((('Istoric_Nativ'!$E$6:$E$405='Input_Meci'!E13)+('Istoric_Nativ'!$F$6:$F$405='Input_Meci'!E13))&gt;0)*('Istoric_Nativ'!$D$6:$D$405&gt;='Motor_Meciuri'!BP13))&gt;0)*('Istoric_Nativ'!$Q$6:$Q$405&lt;=H109))/AM109)</x:f>
      </x:c>
      <x:c r="S109" s="10" t="str">
        <x:f>IF(M109="","",MAX(O109,P109,Q109,R109))</x:f>
      </x:c>
      <x:c r="T109" s="11" t="str">
        <x:f>IF(M109="","",MIN(100,S109*100*'Config_v6'!$B$44+MIN(100,L109/'Config_v6'!$B$13*100)*'Config_v6'!$B$45+(100-'Motor_Meciuri'!BF13)*'Config_v6'!$B$46+'Motor_Meciuri'!BH13*100*'Config_v6'!$B$47))</x:f>
      </x:c>
      <x:c r="U109" s="2" t="str">
        <x:f>IF(T109="","",IF(T109&lt;=20,1,IF(T109&lt;=40,2,IF(T109&lt;=60,3,IF(T109&lt;=80,4,5)))))</x:f>
      </x:c>
      <x:c r="V109" s="2" t="str">
        <x:f>IF(M109="","",MAX(0,'Motor_Meciuri'!BF13-IF(W109="OOS PENDING",'Config_v6'!$B$35,0)-IF(L109&gt;'Config_v6'!$B$12,'Config_v6'!$B$37,IF(L109&gt;'Config_v6'!$B$11,'Config_v6'!$B$36,0))))</x:f>
      </x:c>
      <x:c r="W109" s="2" t="str">
        <x:f>IF(B109="","",IF(I109&lt;&gt;"READY","NOT RELEASED",IF(NOT(AND(J109="PASS",'Calibrare_Linii'!U11="VALID")),"INVALID",IF(NOT(AND('Calibrare_Linii'!S11="VALIDATED",AND('Calibrare_Linii'!H11=C109,ISNUMBER('Calibrare_Linii'!J11),'Calibrare_Linii'!J11&lt;='Input_Meci'!G13))),"OOS PENDING",IF(S109&lt;='Calibrare_Linii'!E11,"PASS",IF(S109&lt;='Calibrare_Linii'!F11,"PENALTY","WATCH"))))))</x:f>
      </x:c>
      <x:c r="X109" s="2" t="str">
        <x:f>IF(M109="","",IF(AND(AND(J109="PASS",'Calibrare_Linii'!U11="VALID"),'Motor_Meciuri'!K13=12,'Motor_Meciuri'!L13=12,'Motor_Meciuri'!M13="NO",'Motor_Meciuri'!BL13='Motor_Meciuri'!C13,AB109&gt;='Config_v6'!$B$50,AN109&gt;='Config_v6'!$B$51,T109&lt;='Config_v6'!$B$52,L109&lt;='Config_v6'!$B$53,ISNUMBER('Calibrare_Linii'!E11),S109&lt;='Calibrare_Linii'!E11,SUM(AK109:AM109)&gt;0),"CANDIDATE","NO"))</x:f>
      </x:c>
      <x:c r="Y109" s="2" t="str">
        <x:f>IF(B109="","",IF(I109&lt;&gt;"READY","NOT RELEASED",IF(AND(X109="CANDIDATE",V109&gt;='Config_v6'!$B$51,W109="PASS",'Calibrare_Linii'!T11="VALIDATED",AND('Calibrare_Linii'!H11=C109,ISNUMBER('Calibrare_Linii'!J11),'Calibrare_Linii'!J11&lt;='Input_Meci'!G13)),"PASS",IF(X109="CANDIDATE","OOS PENDING","FAIL"))))</x:f>
      </x:c>
      <x:c r="Z109" s="2" t="str">
        <x:f>IF(B109="","",IF(I109&lt;&gt;"READY","",IF(OR(NOT(AND(J109="PASS",'Calibrare_Linii'!U11="VALID")),L109&gt;'Config_v6'!$B$13,W109="WATCH"),5,IF(Y109="PASS",1,MIN(5,MAX('Config_v6'!$B$42,U109)+IF(W109="PENALTY",1,0))))))</x:f>
      </x:c>
      <x:c r="AA109" s="2" t="str">
        <x:f>IF(B109="","",IF(I109&lt;&gt;"READY","NOT RELEASED",IF(Z109=5,"NO BET",IF(OR(AB109&lt;'Config_v6'!$B$16,V109&lt;'Config_v6'!$B$18),"WATCH",IF(Z109=1,"DEFENSIV",IF(Z109=2,"PRUDENT",IF(Z109=3,"MODERAT","RIDICAT")))))))</x:f>
      </x:c>
      <x:c r="AB109" s="10" t="str">
        <x:f>IF(N109="","",MIN(N109,1-S109))</x:f>
      </x:c>
      <x:c r="AC109" s="2" t="str">
        <x:f>IF(AD109&lt;&gt;1,"",COUNTIFS($Z$104:$Z$117,"&lt;"&amp;Z109,$AD$104:$AD$117,1)+COUNTIFS($Z$104:$Z$117,Z109,$AB$104:$AB$117,"&gt;"&amp;AB109,$AD$104:$AD$117,1)+COUNTIFS($Z$104:$Z$117,Z109,$AB$104:$AB$117,AB109,$V$104:$V$117,"&gt;"&amp;V109,$AD$104:$AD$117,1)+COUNTIFS($Z$104:Z109,Z109,$AB$104:AB109,AB109,$V$104:V109,V109,$AD$104:AD109,1))</x:f>
      </x:c>
      <x:c r="AD109" s="2" t="n">
        <x:f>IF(OR(AA109="DEFENSIV",AA109="PRUDENT",AA109="MODERAT",AA109="RIDICAT"),1,0)</x:f>
        <x:v>0</x:v>
      </x:c>
      <x:c r="AE109" s="2" t="str">
        <x:f>IF(AD109&lt;&gt;1,"NO",IF(W109="PASS","YES",IF(W109="OOS PENDING","CONDITIONAL","NO")))</x:f>
        <x:v>NO</x:v>
      </x:c>
      <x:c r="AF109" s="2" t="n">
        <x:f>IF(AND(AD109=1,AC109=1,E109="LIVE"),1,0)</x:f>
        <x:v>0</x:v>
      </x:c>
      <x:c r="AG109" s="2" t="str">
        <x:f>IF(AF109&lt;&gt;1,"",'Dashboard'!P33)</x:f>
      </x:c>
      <x:c r="AH109" s="2" t="str">
        <x:f>IF(B109="","",IF(J109&lt;&gt;"PASS",'Motor_Meciuri'!J13,IF('Calibrare_Linii'!U11&lt;&gt;"VALID","Parametri linie invalizi",IF(L109&gt;'Config_v6'!$B$13,"Dispersie peste limita",IF(W109="WATCH","Failure peste limita",IF(AB109&lt;'Config_v6'!$B$16,"P finala sub prag",IF(V109&lt;'Config_v6'!$B$18,"Confidence sub prag",IF(E109="REPLAY","Exemplu retrospectiv; exclus din Top LIVE",IF(Y109="PASS","DEFENSIV validat",IF(W109="OOS PENDING","Eligibil; calibrare linie in monitorizare","Eligibil"))))))))))</x:f>
      </x:c>
      <x:c r="AI109" s="2" t="str">
        <x:f>IF(B109="","",'Calibrare_Linii'!V11)</x:f>
      </x:c>
      <x:c r="AJ109" s="2" t="str">
        <x:f>IF(B109="","",IF(AND('Calibrare_Linii'!T11="VALIDATED",AND('Calibrare_Linii'!H11=C109,ISNUMBER('Calibrare_Linii'!J11),'Calibrare_Linii'!J11&lt;='Input_Meci'!G13)),"DEFENSIVE VALIDATED",IF(AND('Calibrare_Linii'!S11="VALIDATED",AND('Calibrare_Linii'!H11=C109,ISNUMBER('Calibrare_Linii'!J11),'Calibrare_Linii'!J11&lt;='Input_Meci'!G13)),"TAIL VALIDATED","OOS PENDING")))</x:f>
      </x:c>
      <x:c r="AK109" s="2" t="n">
        <x:f>IF(J109&lt;&gt;"PASS",0,'Motor_Meciuri'!BR13)</x:f>
        <x:v>0</x:v>
      </x:c>
      <x:c r="AL109" s="2" t="n">
        <x:f>IF(J109&lt;&gt;"PASS",0,'Motor_Meciuri'!BS13)</x:f>
        <x:v>0</x:v>
      </x:c>
      <x:c r="AM109" s="2" t="n">
        <x:f>IF(J109&lt;&gt;"PASS",0,'Motor_Meciuri'!BT13)</x:f>
        <x:v>0</x:v>
      </x:c>
      <x:c r="AN109" s="2" t="str">
        <x:f>IF(M109="","",MAX(0,'Motor_Meciuri'!BF13-IF(L109&gt;'Config_v6'!$B$12,'Config_v6'!$B$37,IF(L109&gt;'Config_v6'!$B$11,'Config_v6'!$B$36,0))))</x:f>
      </x:c>
    </x:row>
    <x:row r="110" ht="21" customHeight="1">
      <x:c r="A110" s="2" t="n">
        <x:v>8</x:v>
      </x:c>
      <x:c r="B110" s="2" t="str">
        <x:f>IF('Motor_Meciuri'!A13="","",'Motor_Meciuri'!A13)</x:f>
      </x:c>
      <x:c r="C110" s="2" t="str">
        <x:f>IF(B110="","",'Motor_Meciuri'!B13)</x:f>
      </x:c>
      <x:c r="D110" s="2" t="str">
        <x:f>IF(B110="","",'Motor_Meciuri'!D13)</x:f>
      </x:c>
      <x:c r="E110" s="2" t="str">
        <x:f>IF(B110="","",'Motor_Meciuri'!E13)</x:f>
      </x:c>
      <x:c r="F110" s="2" t="str">
        <x:v>U10,5</x:v>
      </x:c>
      <x:c r="G110" s="2" t="str">
        <x:v>UNDER</x:v>
      </x:c>
      <x:c r="H110" s="2" t="n">
        <x:v>10</x:v>
      </x:c>
      <x:c r="I110" s="2" t="str">
        <x:f>IF(B110="","",'Motor_Meciuri'!H13)</x:f>
      </x:c>
      <x:c r="J110" s="2" t="str">
        <x:f>IF(B110="","",'Motor_Meciuri'!I13)</x:f>
      </x:c>
      <x:c r="K110" s="11" t="str">
        <x:f>IF(J110&lt;&gt;"PASS","",'Motor_Meciuri'!BD13)</x:f>
      </x:c>
      <x:c r="L110" s="11" t="str">
        <x:f>IF(J110&lt;&gt;"PASS","",'Motor_Meciuri'!AU13)</x:f>
      </x:c>
      <x:c r="M110" s="10" t="str">
        <x:f>IF(NOT(AND(J110="PASS",'Calibrare_Linii'!U12="VALID")),"",'Distributie'!AH13)</x:f>
      </x:c>
      <x:c r="N110" s="10" t="str">
        <x:f>IF(M110="","",MAX(0.01,MIN(0.99,0.5+(M110-0.5)*'Motor_Meciuri'!BG13*'Calibrare_Linii'!D12)))</x:f>
      </x:c>
      <x:c r="O110" s="10" t="str">
        <x:f>IF(M110="","",1-M110)</x:f>
      </x:c>
      <x:c r="P110" s="10" t="str">
        <x:f>IF(OR(NOT(AND(J110="PASS",'Calibrare_Linii'!U12="VALID")),AK110=0),""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*('Istoric_Nativ'!$Q$6:$Q$405&gt;H110))/AK110)</x:f>
      </x:c>
      <x:c r="Q110" s="10" t="str">
        <x:f>IF(OR(NOT(AND(J110="PASS",'Calibrare_Linii'!U12="VALID")),AL110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M13)+((('Istoric_Nativ'!$E$6:$E$405='Input_Meci'!E13)+('Istoric_Nativ'!$F$6:$F$405='Input_Meci'!E13))&gt;0)*('Istoric_Nativ'!$D$6:$D$405&gt;='Motor_Meciuri'!BN13))&gt;0)*('Istoric_Nativ'!$Q$6:$Q$405&gt;H110))/AL110)</x:f>
      </x:c>
      <x:c r="R110" s="10" t="str">
        <x:f>IF(OR(NOT(AND(J110="PASS",'Calibrare_Linii'!U12="VALID")),AM110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O13)+((('Istoric_Nativ'!$E$6:$E$405='Input_Meci'!E13)+('Istoric_Nativ'!$F$6:$F$405='Input_Meci'!E13))&gt;0)*('Istoric_Nativ'!$D$6:$D$405&gt;='Motor_Meciuri'!BP13))&gt;0)*('Istoric_Nativ'!$Q$6:$Q$405&gt;H110))/AM110)</x:f>
      </x:c>
      <x:c r="S110" s="10" t="str">
        <x:f>IF(M110="","",MAX(O110,P110,Q110,R110))</x:f>
      </x:c>
      <x:c r="T110" s="11" t="str">
        <x:f>IF(M110="","",MIN(100,S110*100*'Config_v6'!$B$44+MIN(100,L110/'Config_v6'!$B$13*100)*'Config_v6'!$B$45+(100-'Motor_Meciuri'!BF13)*'Config_v6'!$B$46+'Motor_Meciuri'!BH13*100*'Config_v6'!$B$47))</x:f>
      </x:c>
      <x:c r="U110" s="2" t="str">
        <x:f>IF(T110="","",IF(T110&lt;=20,1,IF(T110&lt;=40,2,IF(T110&lt;=60,3,IF(T110&lt;=80,4,5)))))</x:f>
      </x:c>
      <x:c r="V110" s="2" t="str">
        <x:f>IF(M110="","",MAX(0,'Motor_Meciuri'!BF13-IF(W110="OOS PENDING",'Config_v6'!$B$35,0)-IF(L110&gt;'Config_v6'!$B$12,'Config_v6'!$B$37,IF(L110&gt;'Config_v6'!$B$11,'Config_v6'!$B$36,0))))</x:f>
      </x:c>
      <x:c r="W110" s="2" t="str">
        <x:f>IF(B110="","",IF(I110&lt;&gt;"READY","NOT RELEASED",IF(NOT(AND(J110="PASS",'Calibrare_Linii'!U12="VALID")),"INVALID",IF(NOT(AND('Calibrare_Linii'!S12="VALIDATED",AND('Calibrare_Linii'!H12=C110,ISNUMBER('Calibrare_Linii'!J12),'Calibrare_Linii'!J12&lt;='Input_Meci'!G13))),"OOS PENDING",IF(S110&lt;='Calibrare_Linii'!E12,"PASS",IF(S110&lt;='Calibrare_Linii'!F12,"PENALTY","WATCH"))))))</x:f>
      </x:c>
      <x:c r="X110" s="2" t="str">
        <x:f>IF(M110="","",IF(AND(AND(J110="PASS",'Calibrare_Linii'!U12="VALID"),'Motor_Meciuri'!K13=12,'Motor_Meciuri'!L13=12,'Motor_Meciuri'!M13="NO",'Motor_Meciuri'!BL13='Motor_Meciuri'!C13,AB110&gt;='Config_v6'!$B$50,AN110&gt;='Config_v6'!$B$51,T110&lt;='Config_v6'!$B$52,L110&lt;='Config_v6'!$B$53,ISNUMBER('Calibrare_Linii'!E12),S110&lt;='Calibrare_Linii'!E12,SUM(AK110:AM110)&gt;0),"CANDIDATE","NO"))</x:f>
      </x:c>
      <x:c r="Y110" s="2" t="str">
        <x:f>IF(B110="","",IF(I110&lt;&gt;"READY","NOT RELEASED",IF(AND(X110="CANDIDATE",V110&gt;='Config_v6'!$B$51,W110="PASS",'Calibrare_Linii'!T12="VALIDATED",AND('Calibrare_Linii'!H12=C110,ISNUMBER('Calibrare_Linii'!J12),'Calibrare_Linii'!J12&lt;='Input_Meci'!G13)),"PASS",IF(X110="CANDIDATE","OOS PENDING","FAIL"))))</x:f>
      </x:c>
      <x:c r="Z110" s="2" t="str">
        <x:f>IF(B110="","",IF(I110&lt;&gt;"READY","",IF(OR(NOT(AND(J110="PASS",'Calibrare_Linii'!U12="VALID")),L110&gt;'Config_v6'!$B$13,W110="WATCH"),5,IF(Y110="PASS",1,MIN(5,MAX('Config_v6'!$B$42,U110)+IF(W110="PENALTY",1,0))))))</x:f>
      </x:c>
      <x:c r="AA110" s="2" t="str">
        <x:f>IF(B110="","",IF(I110&lt;&gt;"READY","NOT RELEASED",IF(Z110=5,"NO BET",IF(OR(AB110&lt;'Config_v6'!$B$16,V110&lt;'Config_v6'!$B$18),"WATCH",IF(Z110=1,"DEFENSIV",IF(Z110=2,"PRUDENT",IF(Z110=3,"MODERAT","RIDICAT")))))))</x:f>
      </x:c>
      <x:c r="AB110" s="10" t="str">
        <x:f>IF(N110="","",MIN(N110,1-S110))</x:f>
      </x:c>
      <x:c r="AC110" s="2" t="str">
        <x:f>IF(AD110&lt;&gt;1,"",COUNTIFS($Z$104:$Z$117,"&lt;"&amp;Z110,$AD$104:$AD$117,1)+COUNTIFS($Z$104:$Z$117,Z110,$AB$104:$AB$117,"&gt;"&amp;AB110,$AD$104:$AD$117,1)+COUNTIFS($Z$104:$Z$117,Z110,$AB$104:$AB$117,AB110,$V$104:$V$117,"&gt;"&amp;V110,$AD$104:$AD$117,1)+COUNTIFS($Z$104:Z110,Z110,$AB$104:AB110,AB110,$V$104:V110,V110,$AD$104:AD110,1))</x:f>
      </x:c>
      <x:c r="AD110" s="2" t="n">
        <x:f>IF(OR(AA110="DEFENSIV",AA110="PRUDENT",AA110="MODERAT",AA110="RIDICAT"),1,0)</x:f>
        <x:v>0</x:v>
      </x:c>
      <x:c r="AE110" s="2" t="str">
        <x:f>IF(AD110&lt;&gt;1,"NO",IF(W110="PASS","YES",IF(W110="OOS PENDING","CONDITIONAL","NO")))</x:f>
        <x:v>NO</x:v>
      </x:c>
      <x:c r="AF110" s="2" t="n">
        <x:f>IF(AND(AD110=1,AC110=1,E110="LIVE"),1,0)</x:f>
        <x:v>0</x:v>
      </x:c>
      <x:c r="AG110" s="2" t="str">
        <x:f>IF(AF110&lt;&gt;1,"",'Dashboard'!P33)</x:f>
      </x:c>
      <x:c r="AH110" s="2" t="str">
        <x:f>IF(B110="","",IF(J110&lt;&gt;"PASS",'Motor_Meciuri'!J13,IF('Calibrare_Linii'!U12&lt;&gt;"VALID","Parametri linie invalizi",IF(L110&gt;'Config_v6'!$B$13,"Dispersie peste limita",IF(W110="WATCH","Failure peste limita",IF(AB110&lt;'Config_v6'!$B$16,"P finala sub prag",IF(V110&lt;'Config_v6'!$B$18,"Confidence sub prag",IF(E110="REPLAY","Exemplu retrospectiv; exclus din Top LIVE",IF(Y110="PASS","DEFENSIV validat",IF(W110="OOS PENDING","Eligibil; calibrare linie in monitorizare","Eligibil"))))))))))</x:f>
      </x:c>
      <x:c r="AI110" s="2" t="str">
        <x:f>IF(B110="","",'Calibrare_Linii'!V12)</x:f>
      </x:c>
      <x:c r="AJ110" s="2" t="str">
        <x:f>IF(B110="","",IF(AND('Calibrare_Linii'!T12="VALIDATED",AND('Calibrare_Linii'!H12=C110,ISNUMBER('Calibrare_Linii'!J12),'Calibrare_Linii'!J12&lt;='Input_Meci'!G13)),"DEFENSIVE VALIDATED",IF(AND('Calibrare_Linii'!S12="VALIDATED",AND('Calibrare_Linii'!H12=C110,ISNUMBER('Calibrare_Linii'!J12),'Calibrare_Linii'!J12&lt;='Input_Meci'!G13)),"TAIL VALIDATED","OOS PENDING")))</x:f>
      </x:c>
      <x:c r="AK110" s="2" t="n">
        <x:f>IF(J110&lt;&gt;"PASS",0,'Motor_Meciuri'!BR13)</x:f>
        <x:v>0</x:v>
      </x:c>
      <x:c r="AL110" s="2" t="n">
        <x:f>IF(J110&lt;&gt;"PASS",0,'Motor_Meciuri'!BS13)</x:f>
        <x:v>0</x:v>
      </x:c>
      <x:c r="AM110" s="2" t="n">
        <x:f>IF(J110&lt;&gt;"PASS",0,'Motor_Meciuri'!BT13)</x:f>
        <x:v>0</x:v>
      </x:c>
      <x:c r="AN110" s="2" t="str">
        <x:f>IF(M110="","",MAX(0,'Motor_Meciuri'!BF13-IF(L110&gt;'Config_v6'!$B$12,'Config_v6'!$B$37,IF(L110&gt;'Config_v6'!$B$11,'Config_v6'!$B$36,0))))</x:f>
      </x:c>
    </x:row>
    <x:row r="111" ht="21" customHeight="1">
      <x:c r="A111" s="2" t="n">
        <x:v>8</x:v>
      </x:c>
      <x:c r="B111" s="2" t="str">
        <x:f>IF('Motor_Meciuri'!A13="","",'Motor_Meciuri'!A13)</x:f>
      </x:c>
      <x:c r="C111" s="2" t="str">
        <x:f>IF(B111="","",'Motor_Meciuri'!B13)</x:f>
      </x:c>
      <x:c r="D111" s="2" t="str">
        <x:f>IF(B111="","",'Motor_Meciuri'!D13)</x:f>
      </x:c>
      <x:c r="E111" s="2" t="str">
        <x:f>IF(B111="","",'Motor_Meciuri'!E13)</x:f>
      </x:c>
      <x:c r="F111" s="2" t="str">
        <x:v>U11,5</x:v>
      </x:c>
      <x:c r="G111" s="2" t="str">
        <x:v>UNDER</x:v>
      </x:c>
      <x:c r="H111" s="2" t="n">
        <x:v>11</x:v>
      </x:c>
      <x:c r="I111" s="2" t="str">
        <x:f>IF(B111="","",'Motor_Meciuri'!H13)</x:f>
      </x:c>
      <x:c r="J111" s="2" t="str">
        <x:f>IF(B111="","",'Motor_Meciuri'!I13)</x:f>
      </x:c>
      <x:c r="K111" s="11" t="str">
        <x:f>IF(J111&lt;&gt;"PASS","",'Motor_Meciuri'!BD13)</x:f>
      </x:c>
      <x:c r="L111" s="11" t="str">
        <x:f>IF(J111&lt;&gt;"PASS","",'Motor_Meciuri'!AU13)</x:f>
      </x:c>
      <x:c r="M111" s="10" t="str">
        <x:f>IF(NOT(AND(J111="PASS",'Calibrare_Linii'!U13="VALID")),"",'Distributie'!AI13)</x:f>
      </x:c>
      <x:c r="N111" s="10" t="str">
        <x:f>IF(M111="","",MAX(0.01,MIN(0.99,0.5+(M111-0.5)*'Motor_Meciuri'!BG13*'Calibrare_Linii'!D13)))</x:f>
      </x:c>
      <x:c r="O111" s="10" t="str">
        <x:f>IF(M111="","",1-M111)</x:f>
      </x:c>
      <x:c r="P111" s="10" t="str">
        <x:f>IF(OR(NOT(AND(J111="PASS",'Calibrare_Linii'!U13="VALID")),AK111=0),""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*('Istoric_Nativ'!$Q$6:$Q$405&gt;H111))/AK111)</x:f>
      </x:c>
      <x:c r="Q111" s="10" t="str">
        <x:f>IF(OR(NOT(AND(J111="PASS",'Calibrare_Linii'!U13="VALID")),AL111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M13)+((('Istoric_Nativ'!$E$6:$E$405='Input_Meci'!E13)+('Istoric_Nativ'!$F$6:$F$405='Input_Meci'!E13))&gt;0)*('Istoric_Nativ'!$D$6:$D$405&gt;='Motor_Meciuri'!BN13))&gt;0)*('Istoric_Nativ'!$Q$6:$Q$405&gt;H111))/AL111)</x:f>
      </x:c>
      <x:c r="R111" s="10" t="str">
        <x:f>IF(OR(NOT(AND(J111="PASS",'Calibrare_Linii'!U13="VALID")),AM111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O13)+((('Istoric_Nativ'!$E$6:$E$405='Input_Meci'!E13)+('Istoric_Nativ'!$F$6:$F$405='Input_Meci'!E13))&gt;0)*('Istoric_Nativ'!$D$6:$D$405&gt;='Motor_Meciuri'!BP13))&gt;0)*('Istoric_Nativ'!$Q$6:$Q$405&gt;H111))/AM111)</x:f>
      </x:c>
      <x:c r="S111" s="10" t="str">
        <x:f>IF(M111="","",MAX(O111,P111,Q111,R111))</x:f>
      </x:c>
      <x:c r="T111" s="11" t="str">
        <x:f>IF(M111="","",MIN(100,S111*100*'Config_v6'!$B$44+MIN(100,L111/'Config_v6'!$B$13*100)*'Config_v6'!$B$45+(100-'Motor_Meciuri'!BF13)*'Config_v6'!$B$46+'Motor_Meciuri'!BH13*100*'Config_v6'!$B$47))</x:f>
      </x:c>
      <x:c r="U111" s="2" t="str">
        <x:f>IF(T111="","",IF(T111&lt;=20,1,IF(T111&lt;=40,2,IF(T111&lt;=60,3,IF(T111&lt;=80,4,5)))))</x:f>
      </x:c>
      <x:c r="V111" s="2" t="str">
        <x:f>IF(M111="","",MAX(0,'Motor_Meciuri'!BF13-IF(W111="OOS PENDING",'Config_v6'!$B$35,0)-IF(L111&gt;'Config_v6'!$B$12,'Config_v6'!$B$37,IF(L111&gt;'Config_v6'!$B$11,'Config_v6'!$B$36,0))))</x:f>
      </x:c>
      <x:c r="W111" s="2" t="str">
        <x:f>IF(B111="","",IF(I111&lt;&gt;"READY","NOT RELEASED",IF(NOT(AND(J111="PASS",'Calibrare_Linii'!U13="VALID")),"INVALID",IF(NOT(AND('Calibrare_Linii'!S13="VALIDATED",AND('Calibrare_Linii'!H13=C111,ISNUMBER('Calibrare_Linii'!J13),'Calibrare_Linii'!J13&lt;='Input_Meci'!G13))),"OOS PENDING",IF(S111&lt;='Calibrare_Linii'!E13,"PASS",IF(S111&lt;='Calibrare_Linii'!F13,"PENALTY","WATCH"))))))</x:f>
      </x:c>
      <x:c r="X111" s="2" t="str">
        <x:f>IF(M111="","",IF(AND(AND(J111="PASS",'Calibrare_Linii'!U13="VALID"),'Motor_Meciuri'!K13=12,'Motor_Meciuri'!L13=12,'Motor_Meciuri'!M13="NO",'Motor_Meciuri'!BL13='Motor_Meciuri'!C13,AB111&gt;='Config_v6'!$B$50,AN111&gt;='Config_v6'!$B$51,T111&lt;='Config_v6'!$B$52,L111&lt;='Config_v6'!$B$53,ISNUMBER('Calibrare_Linii'!E13),S111&lt;='Calibrare_Linii'!E13,SUM(AK111:AM111)&gt;0),"CANDIDATE","NO"))</x:f>
      </x:c>
      <x:c r="Y111" s="2" t="str">
        <x:f>IF(B111="","",IF(I111&lt;&gt;"READY","NOT RELEASED",IF(AND(X111="CANDIDATE",V111&gt;='Config_v6'!$B$51,W111="PASS",'Calibrare_Linii'!T13="VALIDATED",AND('Calibrare_Linii'!H13=C111,ISNUMBER('Calibrare_Linii'!J13),'Calibrare_Linii'!J13&lt;='Input_Meci'!G13)),"PASS",IF(X111="CANDIDATE","OOS PENDING","FAIL"))))</x:f>
      </x:c>
      <x:c r="Z111" s="2" t="str">
        <x:f>IF(B111="","",IF(I111&lt;&gt;"READY","",IF(OR(NOT(AND(J111="PASS",'Calibrare_Linii'!U13="VALID")),L111&gt;'Config_v6'!$B$13,W111="WATCH"),5,IF(Y111="PASS",1,MIN(5,MAX('Config_v6'!$B$42,U111)+IF(W111="PENALTY",1,0))))))</x:f>
      </x:c>
      <x:c r="AA111" s="2" t="str">
        <x:f>IF(B111="","",IF(I111&lt;&gt;"READY","NOT RELEASED",IF(Z111=5,"NO BET",IF(OR(AB111&lt;'Config_v6'!$B$16,V111&lt;'Config_v6'!$B$18),"WATCH",IF(Z111=1,"DEFENSIV",IF(Z111=2,"PRUDENT",IF(Z111=3,"MODERAT","RIDICAT")))))))</x:f>
      </x:c>
      <x:c r="AB111" s="10" t="str">
        <x:f>IF(N111="","",MIN(N111,1-S111))</x:f>
      </x:c>
      <x:c r="AC111" s="2" t="str">
        <x:f>IF(AD111&lt;&gt;1,"",COUNTIFS($Z$104:$Z$117,"&lt;"&amp;Z111,$AD$104:$AD$117,1)+COUNTIFS($Z$104:$Z$117,Z111,$AB$104:$AB$117,"&gt;"&amp;AB111,$AD$104:$AD$117,1)+COUNTIFS($Z$104:$Z$117,Z111,$AB$104:$AB$117,AB111,$V$104:$V$117,"&gt;"&amp;V111,$AD$104:$AD$117,1)+COUNTIFS($Z$104:Z111,Z111,$AB$104:AB111,AB111,$V$104:V111,V111,$AD$104:AD111,1))</x:f>
      </x:c>
      <x:c r="AD111" s="2" t="n">
        <x:f>IF(OR(AA111="DEFENSIV",AA111="PRUDENT",AA111="MODERAT",AA111="RIDICAT"),1,0)</x:f>
        <x:v>0</x:v>
      </x:c>
      <x:c r="AE111" s="2" t="str">
        <x:f>IF(AD111&lt;&gt;1,"NO",IF(W111="PASS","YES",IF(W111="OOS PENDING","CONDITIONAL","NO")))</x:f>
        <x:v>NO</x:v>
      </x:c>
      <x:c r="AF111" s="2" t="n">
        <x:f>IF(AND(AD111=1,AC111=1,E111="LIVE"),1,0)</x:f>
        <x:v>0</x:v>
      </x:c>
      <x:c r="AG111" s="2" t="str">
        <x:f>IF(AF111&lt;&gt;1,"",'Dashboard'!P33)</x:f>
      </x:c>
      <x:c r="AH111" s="2" t="str">
        <x:f>IF(B111="","",IF(J111&lt;&gt;"PASS",'Motor_Meciuri'!J13,IF('Calibrare_Linii'!U13&lt;&gt;"VALID","Parametri linie invalizi",IF(L111&gt;'Config_v6'!$B$13,"Dispersie peste limita",IF(W111="WATCH","Failure peste limita",IF(AB111&lt;'Config_v6'!$B$16,"P finala sub prag",IF(V111&lt;'Config_v6'!$B$18,"Confidence sub prag",IF(E111="REPLAY","Exemplu retrospectiv; exclus din Top LIVE",IF(Y111="PASS","DEFENSIV validat",IF(W111="OOS PENDING","Eligibil; calibrare linie in monitorizare","Eligibil"))))))))))</x:f>
      </x:c>
      <x:c r="AI111" s="2" t="str">
        <x:f>IF(B111="","",'Calibrare_Linii'!V13)</x:f>
      </x:c>
      <x:c r="AJ111" s="2" t="str">
        <x:f>IF(B111="","",IF(AND('Calibrare_Linii'!T13="VALIDATED",AND('Calibrare_Linii'!H13=C111,ISNUMBER('Calibrare_Linii'!J13),'Calibrare_Linii'!J13&lt;='Input_Meci'!G13)),"DEFENSIVE VALIDATED",IF(AND('Calibrare_Linii'!S13="VALIDATED",AND('Calibrare_Linii'!H13=C111,ISNUMBER('Calibrare_Linii'!J13),'Calibrare_Linii'!J13&lt;='Input_Meci'!G13)),"TAIL VALIDATED","OOS PENDING")))</x:f>
      </x:c>
      <x:c r="AK111" s="2" t="n">
        <x:f>IF(J111&lt;&gt;"PASS",0,'Motor_Meciuri'!BR13)</x:f>
        <x:v>0</x:v>
      </x:c>
      <x:c r="AL111" s="2" t="n">
        <x:f>IF(J111&lt;&gt;"PASS",0,'Motor_Meciuri'!BS13)</x:f>
        <x:v>0</x:v>
      </x:c>
      <x:c r="AM111" s="2" t="n">
        <x:f>IF(J111&lt;&gt;"PASS",0,'Motor_Meciuri'!BT13)</x:f>
        <x:v>0</x:v>
      </x:c>
      <x:c r="AN111" s="2" t="str">
        <x:f>IF(M111="","",MAX(0,'Motor_Meciuri'!BF13-IF(L111&gt;'Config_v6'!$B$12,'Config_v6'!$B$37,IF(L111&gt;'Config_v6'!$B$11,'Config_v6'!$B$36,0))))</x:f>
      </x:c>
    </x:row>
    <x:row r="112" ht="21" customHeight="1">
      <x:c r="A112" s="2" t="n">
        <x:v>8</x:v>
      </x:c>
      <x:c r="B112" s="2" t="str">
        <x:f>IF('Motor_Meciuri'!A13="","",'Motor_Meciuri'!A13)</x:f>
      </x:c>
      <x:c r="C112" s="2" t="str">
        <x:f>IF(B112="","",'Motor_Meciuri'!B13)</x:f>
      </x:c>
      <x:c r="D112" s="2" t="str">
        <x:f>IF(B112="","",'Motor_Meciuri'!D13)</x:f>
      </x:c>
      <x:c r="E112" s="2" t="str">
        <x:f>IF(B112="","",'Motor_Meciuri'!E13)</x:f>
      </x:c>
      <x:c r="F112" s="2" t="str">
        <x:v>U12,5</x:v>
      </x:c>
      <x:c r="G112" s="2" t="str">
        <x:v>UNDER</x:v>
      </x:c>
      <x:c r="H112" s="2" t="n">
        <x:v>12</x:v>
      </x:c>
      <x:c r="I112" s="2" t="str">
        <x:f>IF(B112="","",'Motor_Meciuri'!H13)</x:f>
      </x:c>
      <x:c r="J112" s="2" t="str">
        <x:f>IF(B112="","",'Motor_Meciuri'!I13)</x:f>
      </x:c>
      <x:c r="K112" s="11" t="str">
        <x:f>IF(J112&lt;&gt;"PASS","",'Motor_Meciuri'!BD13)</x:f>
      </x:c>
      <x:c r="L112" s="11" t="str">
        <x:f>IF(J112&lt;&gt;"PASS","",'Motor_Meciuri'!AU13)</x:f>
      </x:c>
      <x:c r="M112" s="10" t="str">
        <x:f>IF(NOT(AND(J112="PASS",'Calibrare_Linii'!U14="VALID")),"",'Distributie'!AJ13)</x:f>
      </x:c>
      <x:c r="N112" s="10" t="str">
        <x:f>IF(M112="","",MAX(0.01,MIN(0.99,0.5+(M112-0.5)*'Motor_Meciuri'!BG13*'Calibrare_Linii'!D14)))</x:f>
      </x:c>
      <x:c r="O112" s="10" t="str">
        <x:f>IF(M112="","",1-M112)</x:f>
      </x:c>
      <x:c r="P112" s="10" t="str">
        <x:f>IF(OR(NOT(AND(J112="PASS",'Calibrare_Linii'!U14="VALID")),AK112=0),""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*('Istoric_Nativ'!$Q$6:$Q$405&gt;H112))/AK112)</x:f>
      </x:c>
      <x:c r="Q112" s="10" t="str">
        <x:f>IF(OR(NOT(AND(J112="PASS",'Calibrare_Linii'!U14="VALID")),AL112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M13)+((('Istoric_Nativ'!$E$6:$E$405='Input_Meci'!E13)+('Istoric_Nativ'!$F$6:$F$405='Input_Meci'!E13))&gt;0)*('Istoric_Nativ'!$D$6:$D$405&gt;='Motor_Meciuri'!BN13))&gt;0)*('Istoric_Nativ'!$Q$6:$Q$405&gt;H112))/AL112)</x:f>
      </x:c>
      <x:c r="R112" s="10" t="str">
        <x:f>IF(OR(NOT(AND(J112="PASS",'Calibrare_Linii'!U14="VALID")),AM112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O13)+((('Istoric_Nativ'!$E$6:$E$405='Input_Meci'!E13)+('Istoric_Nativ'!$F$6:$F$405='Input_Meci'!E13))&gt;0)*('Istoric_Nativ'!$D$6:$D$405&gt;='Motor_Meciuri'!BP13))&gt;0)*('Istoric_Nativ'!$Q$6:$Q$405&gt;H112))/AM112)</x:f>
      </x:c>
      <x:c r="S112" s="10" t="str">
        <x:f>IF(M112="","",MAX(O112,P112,Q112,R112))</x:f>
      </x:c>
      <x:c r="T112" s="11" t="str">
        <x:f>IF(M112="","",MIN(100,S112*100*'Config_v6'!$B$44+MIN(100,L112/'Config_v6'!$B$13*100)*'Config_v6'!$B$45+(100-'Motor_Meciuri'!BF13)*'Config_v6'!$B$46+'Motor_Meciuri'!BH13*100*'Config_v6'!$B$47))</x:f>
      </x:c>
      <x:c r="U112" s="2" t="str">
        <x:f>IF(T112="","",IF(T112&lt;=20,1,IF(T112&lt;=40,2,IF(T112&lt;=60,3,IF(T112&lt;=80,4,5)))))</x:f>
      </x:c>
      <x:c r="V112" s="2" t="str">
        <x:f>IF(M112="","",MAX(0,'Motor_Meciuri'!BF13-IF(W112="OOS PENDING",'Config_v6'!$B$35,0)-IF(L112&gt;'Config_v6'!$B$12,'Config_v6'!$B$37,IF(L112&gt;'Config_v6'!$B$11,'Config_v6'!$B$36,0))))</x:f>
      </x:c>
      <x:c r="W112" s="2" t="str">
        <x:f>IF(B112="","",IF(I112&lt;&gt;"READY","NOT RELEASED",IF(NOT(AND(J112="PASS",'Calibrare_Linii'!U14="VALID")),"INVALID",IF(NOT(AND('Calibrare_Linii'!S14="VALIDATED",AND('Calibrare_Linii'!H14=C112,ISNUMBER('Calibrare_Linii'!J14),'Calibrare_Linii'!J14&lt;='Input_Meci'!G13))),"OOS PENDING",IF(S112&lt;='Calibrare_Linii'!E14,"PASS",IF(S112&lt;='Calibrare_Linii'!F14,"PENALTY","WATCH"))))))</x:f>
      </x:c>
      <x:c r="X112" s="2" t="str">
        <x:f>IF(M112="","",IF(AND(AND(J112="PASS",'Calibrare_Linii'!U14="VALID"),'Motor_Meciuri'!K13=12,'Motor_Meciuri'!L13=12,'Motor_Meciuri'!M13="NO",'Motor_Meciuri'!BL13='Motor_Meciuri'!C13,AB112&gt;='Config_v6'!$B$50,AN112&gt;='Config_v6'!$B$51,T112&lt;='Config_v6'!$B$52,L112&lt;='Config_v6'!$B$53,ISNUMBER('Calibrare_Linii'!E14),S112&lt;='Calibrare_Linii'!E14,SUM(AK112:AM112)&gt;0),"CANDIDATE","NO"))</x:f>
      </x:c>
      <x:c r="Y112" s="2" t="str">
        <x:f>IF(B112="","",IF(I112&lt;&gt;"READY","NOT RELEASED",IF(AND(X112="CANDIDATE",V112&gt;='Config_v6'!$B$51,W112="PASS",'Calibrare_Linii'!T14="VALIDATED",AND('Calibrare_Linii'!H14=C112,ISNUMBER('Calibrare_Linii'!J14),'Calibrare_Linii'!J14&lt;='Input_Meci'!G13)),"PASS",IF(X112="CANDIDATE","OOS PENDING","FAIL"))))</x:f>
      </x:c>
      <x:c r="Z112" s="2" t="str">
        <x:f>IF(B112="","",IF(I112&lt;&gt;"READY","",IF(OR(NOT(AND(J112="PASS",'Calibrare_Linii'!U14="VALID")),L112&gt;'Config_v6'!$B$13,W112="WATCH"),5,IF(Y112="PASS",1,MIN(5,MAX('Config_v6'!$B$42,U112)+IF(W112="PENALTY",1,0))))))</x:f>
      </x:c>
      <x:c r="AA112" s="2" t="str">
        <x:f>IF(B112="","",IF(I112&lt;&gt;"READY","NOT RELEASED",IF(Z112=5,"NO BET",IF(OR(AB112&lt;'Config_v6'!$B$16,V112&lt;'Config_v6'!$B$18),"WATCH",IF(Z112=1,"DEFENSIV",IF(Z112=2,"PRUDENT",IF(Z112=3,"MODERAT","RIDICAT")))))))</x:f>
      </x:c>
      <x:c r="AB112" s="10" t="str">
        <x:f>IF(N112="","",MIN(N112,1-S112))</x:f>
      </x:c>
      <x:c r="AC112" s="2" t="str">
        <x:f>IF(AD112&lt;&gt;1,"",COUNTIFS($Z$104:$Z$117,"&lt;"&amp;Z112,$AD$104:$AD$117,1)+COUNTIFS($Z$104:$Z$117,Z112,$AB$104:$AB$117,"&gt;"&amp;AB112,$AD$104:$AD$117,1)+COUNTIFS($Z$104:$Z$117,Z112,$AB$104:$AB$117,AB112,$V$104:$V$117,"&gt;"&amp;V112,$AD$104:$AD$117,1)+COUNTIFS($Z$104:Z112,Z112,$AB$104:AB112,AB112,$V$104:V112,V112,$AD$104:AD112,1))</x:f>
      </x:c>
      <x:c r="AD112" s="2" t="n">
        <x:f>IF(OR(AA112="DEFENSIV",AA112="PRUDENT",AA112="MODERAT",AA112="RIDICAT"),1,0)</x:f>
        <x:v>0</x:v>
      </x:c>
      <x:c r="AE112" s="2" t="str">
        <x:f>IF(AD112&lt;&gt;1,"NO",IF(W112="PASS","YES",IF(W112="OOS PENDING","CONDITIONAL","NO")))</x:f>
        <x:v>NO</x:v>
      </x:c>
      <x:c r="AF112" s="2" t="n">
        <x:f>IF(AND(AD112=1,AC112=1,E112="LIVE"),1,0)</x:f>
        <x:v>0</x:v>
      </x:c>
      <x:c r="AG112" s="2" t="str">
        <x:f>IF(AF112&lt;&gt;1,"",'Dashboard'!P33)</x:f>
      </x:c>
      <x:c r="AH112" s="2" t="str">
        <x:f>IF(B112="","",IF(J112&lt;&gt;"PASS",'Motor_Meciuri'!J13,IF('Calibrare_Linii'!U14&lt;&gt;"VALID","Parametri linie invalizi",IF(L112&gt;'Config_v6'!$B$13,"Dispersie peste limita",IF(W112="WATCH","Failure peste limita",IF(AB112&lt;'Config_v6'!$B$16,"P finala sub prag",IF(V112&lt;'Config_v6'!$B$18,"Confidence sub prag",IF(E112="REPLAY","Exemplu retrospectiv; exclus din Top LIVE",IF(Y112="PASS","DEFENSIV validat",IF(W112="OOS PENDING","Eligibil; calibrare linie in monitorizare","Eligibil"))))))))))</x:f>
      </x:c>
      <x:c r="AI112" s="2" t="str">
        <x:f>IF(B112="","",'Calibrare_Linii'!V14)</x:f>
      </x:c>
      <x:c r="AJ112" s="2" t="str">
        <x:f>IF(B112="","",IF(AND('Calibrare_Linii'!T14="VALIDATED",AND('Calibrare_Linii'!H14=C112,ISNUMBER('Calibrare_Linii'!J14),'Calibrare_Linii'!J14&lt;='Input_Meci'!G13)),"DEFENSIVE VALIDATED",IF(AND('Calibrare_Linii'!S14="VALIDATED",AND('Calibrare_Linii'!H14=C112,ISNUMBER('Calibrare_Linii'!J14),'Calibrare_Linii'!J14&lt;='Input_Meci'!G13)),"TAIL VALIDATED","OOS PENDING")))</x:f>
      </x:c>
      <x:c r="AK112" s="2" t="n">
        <x:f>IF(J112&lt;&gt;"PASS",0,'Motor_Meciuri'!BR13)</x:f>
        <x:v>0</x:v>
      </x:c>
      <x:c r="AL112" s="2" t="n">
        <x:f>IF(J112&lt;&gt;"PASS",0,'Motor_Meciuri'!BS13)</x:f>
        <x:v>0</x:v>
      </x:c>
      <x:c r="AM112" s="2" t="n">
        <x:f>IF(J112&lt;&gt;"PASS",0,'Motor_Meciuri'!BT13)</x:f>
        <x:v>0</x:v>
      </x:c>
      <x:c r="AN112" s="2" t="str">
        <x:f>IF(M112="","",MAX(0,'Motor_Meciuri'!BF13-IF(L112&gt;'Config_v6'!$B$12,'Config_v6'!$B$37,IF(L112&gt;'Config_v6'!$B$11,'Config_v6'!$B$36,0))))</x:f>
      </x:c>
    </x:row>
    <x:row r="113" ht="21" customHeight="1">
      <x:c r="A113" s="2" t="n">
        <x:v>8</x:v>
      </x:c>
      <x:c r="B113" s="2" t="str">
        <x:f>IF('Motor_Meciuri'!A13="","",'Motor_Meciuri'!A13)</x:f>
      </x:c>
      <x:c r="C113" s="2" t="str">
        <x:f>IF(B113="","",'Motor_Meciuri'!B13)</x:f>
      </x:c>
      <x:c r="D113" s="2" t="str">
        <x:f>IF(B113="","",'Motor_Meciuri'!D13)</x:f>
      </x:c>
      <x:c r="E113" s="2" t="str">
        <x:f>IF(B113="","",'Motor_Meciuri'!E13)</x:f>
      </x:c>
      <x:c r="F113" s="2" t="str">
        <x:v>U13,5</x:v>
      </x:c>
      <x:c r="G113" s="2" t="str">
        <x:v>UNDER</x:v>
      </x:c>
      <x:c r="H113" s="2" t="n">
        <x:v>13</x:v>
      </x:c>
      <x:c r="I113" s="2" t="str">
        <x:f>IF(B113="","",'Motor_Meciuri'!H13)</x:f>
      </x:c>
      <x:c r="J113" s="2" t="str">
        <x:f>IF(B113="","",'Motor_Meciuri'!I13)</x:f>
      </x:c>
      <x:c r="K113" s="11" t="str">
        <x:f>IF(J113&lt;&gt;"PASS","",'Motor_Meciuri'!BD13)</x:f>
      </x:c>
      <x:c r="L113" s="11" t="str">
        <x:f>IF(J113&lt;&gt;"PASS","",'Motor_Meciuri'!AU13)</x:f>
      </x:c>
      <x:c r="M113" s="10" t="str">
        <x:f>IF(NOT(AND(J113="PASS",'Calibrare_Linii'!U15="VALID")),"",'Distributie'!AK13)</x:f>
      </x:c>
      <x:c r="N113" s="10" t="str">
        <x:f>IF(M113="","",MAX(0.01,MIN(0.99,0.5+(M113-0.5)*'Motor_Meciuri'!BG13*'Calibrare_Linii'!D15)))</x:f>
      </x:c>
      <x:c r="O113" s="10" t="str">
        <x:f>IF(M113="","",1-M113)</x:f>
      </x:c>
      <x:c r="P113" s="10" t="str">
        <x:f>IF(OR(NOT(AND(J113="PASS",'Calibrare_Linii'!U15="VALID")),AK113=0),""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*('Istoric_Nativ'!$Q$6:$Q$405&gt;H113))/AK113)</x:f>
      </x:c>
      <x:c r="Q113" s="10" t="str">
        <x:f>IF(OR(NOT(AND(J113="PASS",'Calibrare_Linii'!U15="VALID")),AL113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M13)+((('Istoric_Nativ'!$E$6:$E$405='Input_Meci'!E13)+('Istoric_Nativ'!$F$6:$F$405='Input_Meci'!E13))&gt;0)*('Istoric_Nativ'!$D$6:$D$405&gt;='Motor_Meciuri'!BN13))&gt;0)*('Istoric_Nativ'!$Q$6:$Q$405&gt;H113))/AL113)</x:f>
      </x:c>
      <x:c r="R113" s="10" t="str">
        <x:f>IF(OR(NOT(AND(J113="PASS",'Calibrare_Linii'!U15="VALID")),AM113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O13)+((('Istoric_Nativ'!$E$6:$E$405='Input_Meci'!E13)+('Istoric_Nativ'!$F$6:$F$405='Input_Meci'!E13))&gt;0)*('Istoric_Nativ'!$D$6:$D$405&gt;='Motor_Meciuri'!BP13))&gt;0)*('Istoric_Nativ'!$Q$6:$Q$405&gt;H113))/AM113)</x:f>
      </x:c>
      <x:c r="S113" s="10" t="str">
        <x:f>IF(M113="","",MAX(O113,P113,Q113,R113))</x:f>
      </x:c>
      <x:c r="T113" s="11" t="str">
        <x:f>IF(M113="","",MIN(100,S113*100*'Config_v6'!$B$44+MIN(100,L113/'Config_v6'!$B$13*100)*'Config_v6'!$B$45+(100-'Motor_Meciuri'!BF13)*'Config_v6'!$B$46+'Motor_Meciuri'!BH13*100*'Config_v6'!$B$47))</x:f>
      </x:c>
      <x:c r="U113" s="2" t="str">
        <x:f>IF(T113="","",IF(T113&lt;=20,1,IF(T113&lt;=40,2,IF(T113&lt;=60,3,IF(T113&lt;=80,4,5)))))</x:f>
      </x:c>
      <x:c r="V113" s="2" t="str">
        <x:f>IF(M113="","",MAX(0,'Motor_Meciuri'!BF13-IF(W113="OOS PENDING",'Config_v6'!$B$35,0)-IF(L113&gt;'Config_v6'!$B$12,'Config_v6'!$B$37,IF(L113&gt;'Config_v6'!$B$11,'Config_v6'!$B$36,0))))</x:f>
      </x:c>
      <x:c r="W113" s="2" t="str">
        <x:f>IF(B113="","",IF(I113&lt;&gt;"READY","NOT RELEASED",IF(NOT(AND(J113="PASS",'Calibrare_Linii'!U15="VALID")),"INVALID",IF(NOT(AND('Calibrare_Linii'!S15="VALIDATED",AND('Calibrare_Linii'!H15=C113,ISNUMBER('Calibrare_Linii'!J15),'Calibrare_Linii'!J15&lt;='Input_Meci'!G13))),"OOS PENDING",IF(S113&lt;='Calibrare_Linii'!E15,"PASS",IF(S113&lt;='Calibrare_Linii'!F15,"PENALTY","WATCH"))))))</x:f>
      </x:c>
      <x:c r="X113" s="2" t="str">
        <x:f>IF(M113="","",IF(AND(AND(J113="PASS",'Calibrare_Linii'!U15="VALID"),'Motor_Meciuri'!K13=12,'Motor_Meciuri'!L13=12,'Motor_Meciuri'!M13="NO",'Motor_Meciuri'!BL13='Motor_Meciuri'!C13,AB113&gt;='Config_v6'!$B$50,AN113&gt;='Config_v6'!$B$51,T113&lt;='Config_v6'!$B$52,L113&lt;='Config_v6'!$B$53,ISNUMBER('Calibrare_Linii'!E15),S113&lt;='Calibrare_Linii'!E15,SUM(AK113:AM113)&gt;0),"CANDIDATE","NO"))</x:f>
      </x:c>
      <x:c r="Y113" s="2" t="str">
        <x:f>IF(B113="","",IF(I113&lt;&gt;"READY","NOT RELEASED",IF(AND(X113="CANDIDATE",V113&gt;='Config_v6'!$B$51,W113="PASS",'Calibrare_Linii'!T15="VALIDATED",AND('Calibrare_Linii'!H15=C113,ISNUMBER('Calibrare_Linii'!J15),'Calibrare_Linii'!J15&lt;='Input_Meci'!G13)),"PASS",IF(X113="CANDIDATE","OOS PENDING","FAIL"))))</x:f>
      </x:c>
      <x:c r="Z113" s="2" t="str">
        <x:f>IF(B113="","",IF(I113&lt;&gt;"READY","",IF(OR(NOT(AND(J113="PASS",'Calibrare_Linii'!U15="VALID")),L113&gt;'Config_v6'!$B$13,W113="WATCH"),5,IF(Y113="PASS",1,MIN(5,MAX('Config_v6'!$B$42,U113)+IF(W113="PENALTY",1,0))))))</x:f>
      </x:c>
      <x:c r="AA113" s="2" t="str">
        <x:f>IF(B113="","",IF(I113&lt;&gt;"READY","NOT RELEASED",IF(Z113=5,"NO BET",IF(OR(AB113&lt;'Config_v6'!$B$16,V113&lt;'Config_v6'!$B$18),"WATCH",IF(Z113=1,"DEFENSIV",IF(Z113=2,"PRUDENT",IF(Z113=3,"MODERAT","RIDICAT")))))))</x:f>
      </x:c>
      <x:c r="AB113" s="10" t="str">
        <x:f>IF(N113="","",MIN(N113,1-S113))</x:f>
      </x:c>
      <x:c r="AC113" s="2" t="str">
        <x:f>IF(AD113&lt;&gt;1,"",COUNTIFS($Z$104:$Z$117,"&lt;"&amp;Z113,$AD$104:$AD$117,1)+COUNTIFS($Z$104:$Z$117,Z113,$AB$104:$AB$117,"&gt;"&amp;AB113,$AD$104:$AD$117,1)+COUNTIFS($Z$104:$Z$117,Z113,$AB$104:$AB$117,AB113,$V$104:$V$117,"&gt;"&amp;V113,$AD$104:$AD$117,1)+COUNTIFS($Z$104:Z113,Z113,$AB$104:AB113,AB113,$V$104:V113,V113,$AD$104:AD113,1))</x:f>
      </x:c>
      <x:c r="AD113" s="2" t="n">
        <x:f>IF(OR(AA113="DEFENSIV",AA113="PRUDENT",AA113="MODERAT",AA113="RIDICAT"),1,0)</x:f>
        <x:v>0</x:v>
      </x:c>
      <x:c r="AE113" s="2" t="str">
        <x:f>IF(AD113&lt;&gt;1,"NO",IF(W113="PASS","YES",IF(W113="OOS PENDING","CONDITIONAL","NO")))</x:f>
        <x:v>NO</x:v>
      </x:c>
      <x:c r="AF113" s="2" t="n">
        <x:f>IF(AND(AD113=1,AC113=1,E113="LIVE"),1,0)</x:f>
        <x:v>0</x:v>
      </x:c>
      <x:c r="AG113" s="2" t="str">
        <x:f>IF(AF113&lt;&gt;1,"",'Dashboard'!P33)</x:f>
      </x:c>
      <x:c r="AH113" s="2" t="str">
        <x:f>IF(B113="","",IF(J113&lt;&gt;"PASS",'Motor_Meciuri'!J13,IF('Calibrare_Linii'!U15&lt;&gt;"VALID","Parametri linie invalizi",IF(L113&gt;'Config_v6'!$B$13,"Dispersie peste limita",IF(W113="WATCH","Failure peste limita",IF(AB113&lt;'Config_v6'!$B$16,"P finala sub prag",IF(V113&lt;'Config_v6'!$B$18,"Confidence sub prag",IF(E113="REPLAY","Exemplu retrospectiv; exclus din Top LIVE",IF(Y113="PASS","DEFENSIV validat",IF(W113="OOS PENDING","Eligibil; calibrare linie in monitorizare","Eligibil"))))))))))</x:f>
      </x:c>
      <x:c r="AI113" s="2" t="str">
        <x:f>IF(B113="","",'Calibrare_Linii'!V15)</x:f>
      </x:c>
      <x:c r="AJ113" s="2" t="str">
        <x:f>IF(B113="","",IF(AND('Calibrare_Linii'!T15="VALIDATED",AND('Calibrare_Linii'!H15=C113,ISNUMBER('Calibrare_Linii'!J15),'Calibrare_Linii'!J15&lt;='Input_Meci'!G13)),"DEFENSIVE VALIDATED",IF(AND('Calibrare_Linii'!S15="VALIDATED",AND('Calibrare_Linii'!H15=C113,ISNUMBER('Calibrare_Linii'!J15),'Calibrare_Linii'!J15&lt;='Input_Meci'!G13)),"TAIL VALIDATED","OOS PENDING")))</x:f>
      </x:c>
      <x:c r="AK113" s="2" t="n">
        <x:f>IF(J113&lt;&gt;"PASS",0,'Motor_Meciuri'!BR13)</x:f>
        <x:v>0</x:v>
      </x:c>
      <x:c r="AL113" s="2" t="n">
        <x:f>IF(J113&lt;&gt;"PASS",0,'Motor_Meciuri'!BS13)</x:f>
        <x:v>0</x:v>
      </x:c>
      <x:c r="AM113" s="2" t="n">
        <x:f>IF(J113&lt;&gt;"PASS",0,'Motor_Meciuri'!BT13)</x:f>
        <x:v>0</x:v>
      </x:c>
      <x:c r="AN113" s="2" t="str">
        <x:f>IF(M113="","",MAX(0,'Motor_Meciuri'!BF13-IF(L113&gt;'Config_v6'!$B$12,'Config_v6'!$B$37,IF(L113&gt;'Config_v6'!$B$11,'Config_v6'!$B$36,0))))</x:f>
      </x:c>
    </x:row>
    <x:row r="114" ht="21" customHeight="1">
      <x:c r="A114" s="2" t="n">
        <x:v>8</x:v>
      </x:c>
      <x:c r="B114" s="2" t="str">
        <x:f>IF('Motor_Meciuri'!A13="","",'Motor_Meciuri'!A13)</x:f>
      </x:c>
      <x:c r="C114" s="2" t="str">
        <x:f>IF(B114="","",'Motor_Meciuri'!B13)</x:f>
      </x:c>
      <x:c r="D114" s="2" t="str">
        <x:f>IF(B114="","",'Motor_Meciuri'!D13)</x:f>
      </x:c>
      <x:c r="E114" s="2" t="str">
        <x:f>IF(B114="","",'Motor_Meciuri'!E13)</x:f>
      </x:c>
      <x:c r="F114" s="2" t="str">
        <x:v>U14,5</x:v>
      </x:c>
      <x:c r="G114" s="2" t="str">
        <x:v>UNDER</x:v>
      </x:c>
      <x:c r="H114" s="2" t="n">
        <x:v>14</x:v>
      </x:c>
      <x:c r="I114" s="2" t="str">
        <x:f>IF(B114="","",'Motor_Meciuri'!H13)</x:f>
      </x:c>
      <x:c r="J114" s="2" t="str">
        <x:f>IF(B114="","",'Motor_Meciuri'!I13)</x:f>
      </x:c>
      <x:c r="K114" s="11" t="str">
        <x:f>IF(J114&lt;&gt;"PASS","",'Motor_Meciuri'!BD13)</x:f>
      </x:c>
      <x:c r="L114" s="11" t="str">
        <x:f>IF(J114&lt;&gt;"PASS","",'Motor_Meciuri'!AU13)</x:f>
      </x:c>
      <x:c r="M114" s="10" t="str">
        <x:f>IF(NOT(AND(J114="PASS",'Calibrare_Linii'!U16="VALID")),"",'Distributie'!AL13)</x:f>
      </x:c>
      <x:c r="N114" s="10" t="str">
        <x:f>IF(M114="","",MAX(0.01,MIN(0.99,0.5+(M114-0.5)*'Motor_Meciuri'!BG13*'Calibrare_Linii'!D16)))</x:f>
      </x:c>
      <x:c r="O114" s="10" t="str">
        <x:f>IF(M114="","",1-M114)</x:f>
      </x:c>
      <x:c r="P114" s="10" t="str">
        <x:f>IF(OR(NOT(AND(J114="PASS",'Calibrare_Linii'!U16="VALID")),AK114=0),""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*('Istoric_Nativ'!$Q$6:$Q$405&gt;H114))/AK114)</x:f>
      </x:c>
      <x:c r="Q114" s="10" t="str">
        <x:f>IF(OR(NOT(AND(J114="PASS",'Calibrare_Linii'!U16="VALID")),AL114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M13)+((('Istoric_Nativ'!$E$6:$E$405='Input_Meci'!E13)+('Istoric_Nativ'!$F$6:$F$405='Input_Meci'!E13))&gt;0)*('Istoric_Nativ'!$D$6:$D$405&gt;='Motor_Meciuri'!BN13))&gt;0)*('Istoric_Nativ'!$Q$6:$Q$405&gt;H114))/AL114)</x:f>
      </x:c>
      <x:c r="R114" s="10" t="str">
        <x:f>IF(OR(NOT(AND(J114="PASS",'Calibrare_Linii'!U16="VALID")),AM114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O13)+((('Istoric_Nativ'!$E$6:$E$405='Input_Meci'!E13)+('Istoric_Nativ'!$F$6:$F$405='Input_Meci'!E13))&gt;0)*('Istoric_Nativ'!$D$6:$D$405&gt;='Motor_Meciuri'!BP13))&gt;0)*('Istoric_Nativ'!$Q$6:$Q$405&gt;H114))/AM114)</x:f>
      </x:c>
      <x:c r="S114" s="10" t="str">
        <x:f>IF(M114="","",MAX(O114,P114,Q114,R114))</x:f>
      </x:c>
      <x:c r="T114" s="11" t="str">
        <x:f>IF(M114="","",MIN(100,S114*100*'Config_v6'!$B$44+MIN(100,L114/'Config_v6'!$B$13*100)*'Config_v6'!$B$45+(100-'Motor_Meciuri'!BF13)*'Config_v6'!$B$46+'Motor_Meciuri'!BH13*100*'Config_v6'!$B$47))</x:f>
      </x:c>
      <x:c r="U114" s="2" t="str">
        <x:f>IF(T114="","",IF(T114&lt;=20,1,IF(T114&lt;=40,2,IF(T114&lt;=60,3,IF(T114&lt;=80,4,5)))))</x:f>
      </x:c>
      <x:c r="V114" s="2" t="str">
        <x:f>IF(M114="","",MAX(0,'Motor_Meciuri'!BF13-IF(W114="OOS PENDING",'Config_v6'!$B$35,0)-IF(L114&gt;'Config_v6'!$B$12,'Config_v6'!$B$37,IF(L114&gt;'Config_v6'!$B$11,'Config_v6'!$B$36,0))))</x:f>
      </x:c>
      <x:c r="W114" s="2" t="str">
        <x:f>IF(B114="","",IF(I114&lt;&gt;"READY","NOT RELEASED",IF(NOT(AND(J114="PASS",'Calibrare_Linii'!U16="VALID")),"INVALID",IF(NOT(AND('Calibrare_Linii'!S16="VALIDATED",AND('Calibrare_Linii'!H16=C114,ISNUMBER('Calibrare_Linii'!J16),'Calibrare_Linii'!J16&lt;='Input_Meci'!G13))),"OOS PENDING",IF(S114&lt;='Calibrare_Linii'!E16,"PASS",IF(S114&lt;='Calibrare_Linii'!F16,"PENALTY","WATCH"))))))</x:f>
      </x:c>
      <x:c r="X114" s="2" t="str">
        <x:f>IF(M114="","",IF(AND(AND(J114="PASS",'Calibrare_Linii'!U16="VALID"),'Motor_Meciuri'!K13=12,'Motor_Meciuri'!L13=12,'Motor_Meciuri'!M13="NO",'Motor_Meciuri'!BL13='Motor_Meciuri'!C13,AB114&gt;='Config_v6'!$B$50,AN114&gt;='Config_v6'!$B$51,T114&lt;='Config_v6'!$B$52,L114&lt;='Config_v6'!$B$53,ISNUMBER('Calibrare_Linii'!E16),S114&lt;='Calibrare_Linii'!E16,SUM(AK114:AM114)&gt;0),"CANDIDATE","NO"))</x:f>
      </x:c>
      <x:c r="Y114" s="2" t="str">
        <x:f>IF(B114="","",IF(I114&lt;&gt;"READY","NOT RELEASED",IF(AND(X114="CANDIDATE",V114&gt;='Config_v6'!$B$51,W114="PASS",'Calibrare_Linii'!T16="VALIDATED",AND('Calibrare_Linii'!H16=C114,ISNUMBER('Calibrare_Linii'!J16),'Calibrare_Linii'!J16&lt;='Input_Meci'!G13)),"PASS",IF(X114="CANDIDATE","OOS PENDING","FAIL"))))</x:f>
      </x:c>
      <x:c r="Z114" s="2" t="str">
        <x:f>IF(B114="","",IF(I114&lt;&gt;"READY","",IF(OR(NOT(AND(J114="PASS",'Calibrare_Linii'!U16="VALID")),L114&gt;'Config_v6'!$B$13,W114="WATCH"),5,IF(Y114="PASS",1,MIN(5,MAX('Config_v6'!$B$42,U114)+IF(W114="PENALTY",1,0))))))</x:f>
      </x:c>
      <x:c r="AA114" s="2" t="str">
        <x:f>IF(B114="","",IF(I114&lt;&gt;"READY","NOT RELEASED",IF(Z114=5,"NO BET",IF(OR(AB114&lt;'Config_v6'!$B$16,V114&lt;'Config_v6'!$B$18),"WATCH",IF(Z114=1,"DEFENSIV",IF(Z114=2,"PRUDENT",IF(Z114=3,"MODERAT","RIDICAT")))))))</x:f>
      </x:c>
      <x:c r="AB114" s="10" t="str">
        <x:f>IF(N114="","",MIN(N114,1-S114))</x:f>
      </x:c>
      <x:c r="AC114" s="2" t="str">
        <x:f>IF(AD114&lt;&gt;1,"",COUNTIFS($Z$104:$Z$117,"&lt;"&amp;Z114,$AD$104:$AD$117,1)+COUNTIFS($Z$104:$Z$117,Z114,$AB$104:$AB$117,"&gt;"&amp;AB114,$AD$104:$AD$117,1)+COUNTIFS($Z$104:$Z$117,Z114,$AB$104:$AB$117,AB114,$V$104:$V$117,"&gt;"&amp;V114,$AD$104:$AD$117,1)+COUNTIFS($Z$104:Z114,Z114,$AB$104:AB114,AB114,$V$104:V114,V114,$AD$104:AD114,1))</x:f>
      </x:c>
      <x:c r="AD114" s="2" t="n">
        <x:f>IF(OR(AA114="DEFENSIV",AA114="PRUDENT",AA114="MODERAT",AA114="RIDICAT"),1,0)</x:f>
        <x:v>0</x:v>
      </x:c>
      <x:c r="AE114" s="2" t="str">
        <x:f>IF(AD114&lt;&gt;1,"NO",IF(W114="PASS","YES",IF(W114="OOS PENDING","CONDITIONAL","NO")))</x:f>
        <x:v>NO</x:v>
      </x:c>
      <x:c r="AF114" s="2" t="n">
        <x:f>IF(AND(AD114=1,AC114=1,E114="LIVE"),1,0)</x:f>
        <x:v>0</x:v>
      </x:c>
      <x:c r="AG114" s="2" t="str">
        <x:f>IF(AF114&lt;&gt;1,"",'Dashboard'!P33)</x:f>
      </x:c>
      <x:c r="AH114" s="2" t="str">
        <x:f>IF(B114="","",IF(J114&lt;&gt;"PASS",'Motor_Meciuri'!J13,IF('Calibrare_Linii'!U16&lt;&gt;"VALID","Parametri linie invalizi",IF(L114&gt;'Config_v6'!$B$13,"Dispersie peste limita",IF(W114="WATCH","Failure peste limita",IF(AB114&lt;'Config_v6'!$B$16,"P finala sub prag",IF(V114&lt;'Config_v6'!$B$18,"Confidence sub prag",IF(E114="REPLAY","Exemplu retrospectiv; exclus din Top LIVE",IF(Y114="PASS","DEFENSIV validat",IF(W114="OOS PENDING","Eligibil; calibrare linie in monitorizare","Eligibil"))))))))))</x:f>
      </x:c>
      <x:c r="AI114" s="2" t="str">
        <x:f>IF(B114="","",'Calibrare_Linii'!V16)</x:f>
      </x:c>
      <x:c r="AJ114" s="2" t="str">
        <x:f>IF(B114="","",IF(AND('Calibrare_Linii'!T16="VALIDATED",AND('Calibrare_Linii'!H16=C114,ISNUMBER('Calibrare_Linii'!J16),'Calibrare_Linii'!J16&lt;='Input_Meci'!G13)),"DEFENSIVE VALIDATED",IF(AND('Calibrare_Linii'!S16="VALIDATED",AND('Calibrare_Linii'!H16=C114,ISNUMBER('Calibrare_Linii'!J16),'Calibrare_Linii'!J16&lt;='Input_Meci'!G13)),"TAIL VALIDATED","OOS PENDING")))</x:f>
      </x:c>
      <x:c r="AK114" s="2" t="n">
        <x:f>IF(J114&lt;&gt;"PASS",0,'Motor_Meciuri'!BR13)</x:f>
        <x:v>0</x:v>
      </x:c>
      <x:c r="AL114" s="2" t="n">
        <x:f>IF(J114&lt;&gt;"PASS",0,'Motor_Meciuri'!BS13)</x:f>
        <x:v>0</x:v>
      </x:c>
      <x:c r="AM114" s="2" t="n">
        <x:f>IF(J114&lt;&gt;"PASS",0,'Motor_Meciuri'!BT13)</x:f>
        <x:v>0</x:v>
      </x:c>
      <x:c r="AN114" s="2" t="str">
        <x:f>IF(M114="","",MAX(0,'Motor_Meciuri'!BF13-IF(L114&gt;'Config_v6'!$B$12,'Config_v6'!$B$37,IF(L114&gt;'Config_v6'!$B$11,'Config_v6'!$B$36,0))))</x:f>
      </x:c>
    </x:row>
    <x:row r="115" ht="21" customHeight="1">
      <x:c r="A115" s="2" t="n">
        <x:v>8</x:v>
      </x:c>
      <x:c r="B115" s="2" t="str">
        <x:f>IF('Motor_Meciuri'!A13="","",'Motor_Meciuri'!A13)</x:f>
      </x:c>
      <x:c r="C115" s="2" t="str">
        <x:f>IF(B115="","",'Motor_Meciuri'!B13)</x:f>
      </x:c>
      <x:c r="D115" s="2" t="str">
        <x:f>IF(B115="","",'Motor_Meciuri'!D13)</x:f>
      </x:c>
      <x:c r="E115" s="2" t="str">
        <x:f>IF(B115="","",'Motor_Meciuri'!E13)</x:f>
      </x:c>
      <x:c r="F115" s="2" t="str">
        <x:v>U15,5</x:v>
      </x:c>
      <x:c r="G115" s="2" t="str">
        <x:v>UNDER</x:v>
      </x:c>
      <x:c r="H115" s="2" t="n">
        <x:v>15</x:v>
      </x:c>
      <x:c r="I115" s="2" t="str">
        <x:f>IF(B115="","",'Motor_Meciuri'!H13)</x:f>
      </x:c>
      <x:c r="J115" s="2" t="str">
        <x:f>IF(B115="","",'Motor_Meciuri'!I13)</x:f>
      </x:c>
      <x:c r="K115" s="11" t="str">
        <x:f>IF(J115&lt;&gt;"PASS","",'Motor_Meciuri'!BD13)</x:f>
      </x:c>
      <x:c r="L115" s="11" t="str">
        <x:f>IF(J115&lt;&gt;"PASS","",'Motor_Meciuri'!AU13)</x:f>
      </x:c>
      <x:c r="M115" s="10" t="str">
        <x:f>IF(NOT(AND(J115="PASS",'Calibrare_Linii'!U17="VALID")),"",'Distributie'!AM13)</x:f>
      </x:c>
      <x:c r="N115" s="10" t="str">
        <x:f>IF(M115="","",MAX(0.01,MIN(0.99,0.5+(M115-0.5)*'Motor_Meciuri'!BG13*'Calibrare_Linii'!D17)))</x:f>
      </x:c>
      <x:c r="O115" s="10" t="str">
        <x:f>IF(M115="","",1-M115)</x:f>
      </x:c>
      <x:c r="P115" s="10" t="str">
        <x:f>IF(OR(NOT(AND(J115="PASS",'Calibrare_Linii'!U17="VALID")),AK115=0),""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*('Istoric_Nativ'!$Q$6:$Q$405&gt;H115))/AK115)</x:f>
      </x:c>
      <x:c r="Q115" s="10" t="str">
        <x:f>IF(OR(NOT(AND(J115="PASS",'Calibrare_Linii'!U17="VALID")),AL115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M13)+((('Istoric_Nativ'!$E$6:$E$405='Input_Meci'!E13)+('Istoric_Nativ'!$F$6:$F$405='Input_Meci'!E13))&gt;0)*('Istoric_Nativ'!$D$6:$D$405&gt;='Motor_Meciuri'!BN13))&gt;0)*('Istoric_Nativ'!$Q$6:$Q$405&gt;H115))/AL115)</x:f>
      </x:c>
      <x:c r="R115" s="10" t="str">
        <x:f>IF(OR(NOT(AND(J115="PASS",'Calibrare_Linii'!U17="VALID")),AM115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O13)+((('Istoric_Nativ'!$E$6:$E$405='Input_Meci'!E13)+('Istoric_Nativ'!$F$6:$F$405='Input_Meci'!E13))&gt;0)*('Istoric_Nativ'!$D$6:$D$405&gt;='Motor_Meciuri'!BP13))&gt;0)*('Istoric_Nativ'!$Q$6:$Q$405&gt;H115))/AM115)</x:f>
      </x:c>
      <x:c r="S115" s="10" t="str">
        <x:f>IF(M115="","",MAX(O115,P115,Q115,R115))</x:f>
      </x:c>
      <x:c r="T115" s="11" t="str">
        <x:f>IF(M115="","",MIN(100,S115*100*'Config_v6'!$B$44+MIN(100,L115/'Config_v6'!$B$13*100)*'Config_v6'!$B$45+(100-'Motor_Meciuri'!BF13)*'Config_v6'!$B$46+'Motor_Meciuri'!BH13*100*'Config_v6'!$B$47))</x:f>
      </x:c>
      <x:c r="U115" s="2" t="str">
        <x:f>IF(T115="","",IF(T115&lt;=20,1,IF(T115&lt;=40,2,IF(T115&lt;=60,3,IF(T115&lt;=80,4,5)))))</x:f>
      </x:c>
      <x:c r="V115" s="2" t="str">
        <x:f>IF(M115="","",MAX(0,'Motor_Meciuri'!BF13-IF(W115="OOS PENDING",'Config_v6'!$B$35,0)-IF(L115&gt;'Config_v6'!$B$12,'Config_v6'!$B$37,IF(L115&gt;'Config_v6'!$B$11,'Config_v6'!$B$36,0))))</x:f>
      </x:c>
      <x:c r="W115" s="2" t="str">
        <x:f>IF(B115="","",IF(I115&lt;&gt;"READY","NOT RELEASED",IF(NOT(AND(J115="PASS",'Calibrare_Linii'!U17="VALID")),"INVALID",IF(NOT(AND('Calibrare_Linii'!S17="VALIDATED",AND('Calibrare_Linii'!H17=C115,ISNUMBER('Calibrare_Linii'!J17),'Calibrare_Linii'!J17&lt;='Input_Meci'!G13))),"OOS PENDING",IF(S115&lt;='Calibrare_Linii'!E17,"PASS",IF(S115&lt;='Calibrare_Linii'!F17,"PENALTY","WATCH"))))))</x:f>
      </x:c>
      <x:c r="X115" s="2" t="str">
        <x:f>IF(M115="","",IF(AND(AND(J115="PASS",'Calibrare_Linii'!U17="VALID"),'Motor_Meciuri'!K13=12,'Motor_Meciuri'!L13=12,'Motor_Meciuri'!M13="NO",'Motor_Meciuri'!BL13='Motor_Meciuri'!C13,AB115&gt;='Config_v6'!$B$50,AN115&gt;='Config_v6'!$B$51,T115&lt;='Config_v6'!$B$52,L115&lt;='Config_v6'!$B$53,ISNUMBER('Calibrare_Linii'!E17),S115&lt;='Calibrare_Linii'!E17,SUM(AK115:AM115)&gt;0),"CANDIDATE","NO"))</x:f>
      </x:c>
      <x:c r="Y115" s="2" t="str">
        <x:f>IF(B115="","",IF(I115&lt;&gt;"READY","NOT RELEASED",IF(AND(X115="CANDIDATE",V115&gt;='Config_v6'!$B$51,W115="PASS",'Calibrare_Linii'!T17="VALIDATED",AND('Calibrare_Linii'!H17=C115,ISNUMBER('Calibrare_Linii'!J17),'Calibrare_Linii'!J17&lt;='Input_Meci'!G13)),"PASS",IF(X115="CANDIDATE","OOS PENDING","FAIL"))))</x:f>
      </x:c>
      <x:c r="Z115" s="2" t="str">
        <x:f>IF(B115="","",IF(I115&lt;&gt;"READY","",IF(OR(NOT(AND(J115="PASS",'Calibrare_Linii'!U17="VALID")),L115&gt;'Config_v6'!$B$13,W115="WATCH"),5,IF(Y115="PASS",1,MIN(5,MAX('Config_v6'!$B$42,U115)+IF(W115="PENALTY",1,0))))))</x:f>
      </x:c>
      <x:c r="AA115" s="2" t="str">
        <x:f>IF(B115="","",IF(I115&lt;&gt;"READY","NOT RELEASED",IF(Z115=5,"NO BET",IF(OR(AB115&lt;'Config_v6'!$B$16,V115&lt;'Config_v6'!$B$18),"WATCH",IF(Z115=1,"DEFENSIV",IF(Z115=2,"PRUDENT",IF(Z115=3,"MODERAT","RIDICAT")))))))</x:f>
      </x:c>
      <x:c r="AB115" s="10" t="str">
        <x:f>IF(N115="","",MIN(N115,1-S115))</x:f>
      </x:c>
      <x:c r="AC115" s="2" t="str">
        <x:f>IF(AD115&lt;&gt;1,"",COUNTIFS($Z$104:$Z$117,"&lt;"&amp;Z115,$AD$104:$AD$117,1)+COUNTIFS($Z$104:$Z$117,Z115,$AB$104:$AB$117,"&gt;"&amp;AB115,$AD$104:$AD$117,1)+COUNTIFS($Z$104:$Z$117,Z115,$AB$104:$AB$117,AB115,$V$104:$V$117,"&gt;"&amp;V115,$AD$104:$AD$117,1)+COUNTIFS($Z$104:Z115,Z115,$AB$104:AB115,AB115,$V$104:V115,V115,$AD$104:AD115,1))</x:f>
      </x:c>
      <x:c r="AD115" s="2" t="n">
        <x:f>IF(OR(AA115="DEFENSIV",AA115="PRUDENT",AA115="MODERAT",AA115="RIDICAT"),1,0)</x:f>
        <x:v>0</x:v>
      </x:c>
      <x:c r="AE115" s="2" t="str">
        <x:f>IF(AD115&lt;&gt;1,"NO",IF(W115="PASS","YES",IF(W115="OOS PENDING","CONDITIONAL","NO")))</x:f>
        <x:v>NO</x:v>
      </x:c>
      <x:c r="AF115" s="2" t="n">
        <x:f>IF(AND(AD115=1,AC115=1,E115="LIVE"),1,0)</x:f>
        <x:v>0</x:v>
      </x:c>
      <x:c r="AG115" s="2" t="str">
        <x:f>IF(AF115&lt;&gt;1,"",'Dashboard'!P33)</x:f>
      </x:c>
      <x:c r="AH115" s="2" t="str">
        <x:f>IF(B115="","",IF(J115&lt;&gt;"PASS",'Motor_Meciuri'!J13,IF('Calibrare_Linii'!U17&lt;&gt;"VALID","Parametri linie invalizi",IF(L115&gt;'Config_v6'!$B$13,"Dispersie peste limita",IF(W115="WATCH","Failure peste limita",IF(AB115&lt;'Config_v6'!$B$16,"P finala sub prag",IF(V115&lt;'Config_v6'!$B$18,"Confidence sub prag",IF(E115="REPLAY","Exemplu retrospectiv; exclus din Top LIVE",IF(Y115="PASS","DEFENSIV validat",IF(W115="OOS PENDING","Eligibil; calibrare linie in monitorizare","Eligibil"))))))))))</x:f>
      </x:c>
      <x:c r="AI115" s="2" t="str">
        <x:f>IF(B115="","",'Calibrare_Linii'!V17)</x:f>
      </x:c>
      <x:c r="AJ115" s="2" t="str">
        <x:f>IF(B115="","",IF(AND('Calibrare_Linii'!T17="VALIDATED",AND('Calibrare_Linii'!H17=C115,ISNUMBER('Calibrare_Linii'!J17),'Calibrare_Linii'!J17&lt;='Input_Meci'!G13)),"DEFENSIVE VALIDATED",IF(AND('Calibrare_Linii'!S17="VALIDATED",AND('Calibrare_Linii'!H17=C115,ISNUMBER('Calibrare_Linii'!J17),'Calibrare_Linii'!J17&lt;='Input_Meci'!G13)),"TAIL VALIDATED","OOS PENDING")))</x:f>
      </x:c>
      <x:c r="AK115" s="2" t="n">
        <x:f>IF(J115&lt;&gt;"PASS",0,'Motor_Meciuri'!BR13)</x:f>
        <x:v>0</x:v>
      </x:c>
      <x:c r="AL115" s="2" t="n">
        <x:f>IF(J115&lt;&gt;"PASS",0,'Motor_Meciuri'!BS13)</x:f>
        <x:v>0</x:v>
      </x:c>
      <x:c r="AM115" s="2" t="n">
        <x:f>IF(J115&lt;&gt;"PASS",0,'Motor_Meciuri'!BT13)</x:f>
        <x:v>0</x:v>
      </x:c>
      <x:c r="AN115" s="2" t="str">
        <x:f>IF(M115="","",MAX(0,'Motor_Meciuri'!BF13-IF(L115&gt;'Config_v6'!$B$12,'Config_v6'!$B$37,IF(L115&gt;'Config_v6'!$B$11,'Config_v6'!$B$36,0))))</x:f>
      </x:c>
    </x:row>
    <x:row r="116" ht="21" customHeight="1">
      <x:c r="A116" s="2" t="n">
        <x:v>8</x:v>
      </x:c>
      <x:c r="B116" s="2" t="str">
        <x:f>IF('Motor_Meciuri'!A13="","",'Motor_Meciuri'!A13)</x:f>
      </x:c>
      <x:c r="C116" s="2" t="str">
        <x:f>IF(B116="","",'Motor_Meciuri'!B13)</x:f>
      </x:c>
      <x:c r="D116" s="2" t="str">
        <x:f>IF(B116="","",'Motor_Meciuri'!D13)</x:f>
      </x:c>
      <x:c r="E116" s="2" t="str">
        <x:f>IF(B116="","",'Motor_Meciuri'!E13)</x:f>
      </x:c>
      <x:c r="F116" s="2" t="str">
        <x:v>U16,5</x:v>
      </x:c>
      <x:c r="G116" s="2" t="str">
        <x:v>UNDER</x:v>
      </x:c>
      <x:c r="H116" s="2" t="n">
        <x:v>16</x:v>
      </x:c>
      <x:c r="I116" s="2" t="str">
        <x:f>IF(B116="","",'Motor_Meciuri'!H13)</x:f>
      </x:c>
      <x:c r="J116" s="2" t="str">
        <x:f>IF(B116="","",'Motor_Meciuri'!I13)</x:f>
      </x:c>
      <x:c r="K116" s="11" t="str">
        <x:f>IF(J116&lt;&gt;"PASS","",'Motor_Meciuri'!BD13)</x:f>
      </x:c>
      <x:c r="L116" s="11" t="str">
        <x:f>IF(J116&lt;&gt;"PASS","",'Motor_Meciuri'!AU13)</x:f>
      </x:c>
      <x:c r="M116" s="10" t="str">
        <x:f>IF(NOT(AND(J116="PASS",'Calibrare_Linii'!U18="VALID")),"",'Distributie'!AN13)</x:f>
      </x:c>
      <x:c r="N116" s="10" t="str">
        <x:f>IF(M116="","",MAX(0.01,MIN(0.99,0.5+(M116-0.5)*'Motor_Meciuri'!BG13*'Calibrare_Linii'!D18)))</x:f>
      </x:c>
      <x:c r="O116" s="10" t="str">
        <x:f>IF(M116="","",1-M116)</x:f>
      </x:c>
      <x:c r="P116" s="10" t="str">
        <x:f>IF(OR(NOT(AND(J116="PASS",'Calibrare_Linii'!U18="VALID")),AK116=0),""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*('Istoric_Nativ'!$Q$6:$Q$405&gt;H116))/AK116)</x:f>
      </x:c>
      <x:c r="Q116" s="10" t="str">
        <x:f>IF(OR(NOT(AND(J116="PASS",'Calibrare_Linii'!U18="VALID")),AL116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M13)+((('Istoric_Nativ'!$E$6:$E$405='Input_Meci'!E13)+('Istoric_Nativ'!$F$6:$F$405='Input_Meci'!E13))&gt;0)*('Istoric_Nativ'!$D$6:$D$405&gt;='Motor_Meciuri'!BN13))&gt;0)*('Istoric_Nativ'!$Q$6:$Q$405&gt;H116))/AL116)</x:f>
      </x:c>
      <x:c r="R116" s="10" t="str">
        <x:f>IF(OR(NOT(AND(J116="PASS",'Calibrare_Linii'!U18="VALID")),AM116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O13)+((('Istoric_Nativ'!$E$6:$E$405='Input_Meci'!E13)+('Istoric_Nativ'!$F$6:$F$405='Input_Meci'!E13))&gt;0)*('Istoric_Nativ'!$D$6:$D$405&gt;='Motor_Meciuri'!BP13))&gt;0)*('Istoric_Nativ'!$Q$6:$Q$405&gt;H116))/AM116)</x:f>
      </x:c>
      <x:c r="S116" s="10" t="str">
        <x:f>IF(M116="","",MAX(O116,P116,Q116,R116))</x:f>
      </x:c>
      <x:c r="T116" s="11" t="str">
        <x:f>IF(M116="","",MIN(100,S116*100*'Config_v6'!$B$44+MIN(100,L116/'Config_v6'!$B$13*100)*'Config_v6'!$B$45+(100-'Motor_Meciuri'!BF13)*'Config_v6'!$B$46+'Motor_Meciuri'!BH13*100*'Config_v6'!$B$47))</x:f>
      </x:c>
      <x:c r="U116" s="2" t="str">
        <x:f>IF(T116="","",IF(T116&lt;=20,1,IF(T116&lt;=40,2,IF(T116&lt;=60,3,IF(T116&lt;=80,4,5)))))</x:f>
      </x:c>
      <x:c r="V116" s="2" t="str">
        <x:f>IF(M116="","",MAX(0,'Motor_Meciuri'!BF13-IF(W116="OOS PENDING",'Config_v6'!$B$35,0)-IF(L116&gt;'Config_v6'!$B$12,'Config_v6'!$B$37,IF(L116&gt;'Config_v6'!$B$11,'Config_v6'!$B$36,0))))</x:f>
      </x:c>
      <x:c r="W116" s="2" t="str">
        <x:f>IF(B116="","",IF(I116&lt;&gt;"READY","NOT RELEASED",IF(NOT(AND(J116="PASS",'Calibrare_Linii'!U18="VALID")),"INVALID",IF(NOT(AND('Calibrare_Linii'!S18="VALIDATED",AND('Calibrare_Linii'!H18=C116,ISNUMBER('Calibrare_Linii'!J18),'Calibrare_Linii'!J18&lt;='Input_Meci'!G13))),"OOS PENDING",IF(S116&lt;='Calibrare_Linii'!E18,"PASS",IF(S116&lt;='Calibrare_Linii'!F18,"PENALTY","WATCH"))))))</x:f>
      </x:c>
      <x:c r="X116" s="2" t="str">
        <x:f>IF(M116="","",IF(AND(AND(J116="PASS",'Calibrare_Linii'!U18="VALID"),'Motor_Meciuri'!K13=12,'Motor_Meciuri'!L13=12,'Motor_Meciuri'!M13="NO",'Motor_Meciuri'!BL13='Motor_Meciuri'!C13,AB116&gt;='Config_v6'!$B$50,AN116&gt;='Config_v6'!$B$51,T116&lt;='Config_v6'!$B$52,L116&lt;='Config_v6'!$B$53,ISNUMBER('Calibrare_Linii'!E18),S116&lt;='Calibrare_Linii'!E18,SUM(AK116:AM116)&gt;0),"CANDIDATE","NO"))</x:f>
      </x:c>
      <x:c r="Y116" s="2" t="str">
        <x:f>IF(B116="","",IF(I116&lt;&gt;"READY","NOT RELEASED",IF(AND(X116="CANDIDATE",V116&gt;='Config_v6'!$B$51,W116="PASS",'Calibrare_Linii'!T18="VALIDATED",AND('Calibrare_Linii'!H18=C116,ISNUMBER('Calibrare_Linii'!J18),'Calibrare_Linii'!J18&lt;='Input_Meci'!G13)),"PASS",IF(X116="CANDIDATE","OOS PENDING","FAIL"))))</x:f>
      </x:c>
      <x:c r="Z116" s="2" t="str">
        <x:f>IF(B116="","",IF(I116&lt;&gt;"READY","",IF(OR(NOT(AND(J116="PASS",'Calibrare_Linii'!U18="VALID")),L116&gt;'Config_v6'!$B$13,W116="WATCH"),5,IF(Y116="PASS",1,MIN(5,MAX('Config_v6'!$B$42,U116)+IF(W116="PENALTY",1,0))))))</x:f>
      </x:c>
      <x:c r="AA116" s="2" t="str">
        <x:f>IF(B116="","",IF(I116&lt;&gt;"READY","NOT RELEASED",IF(Z116=5,"NO BET",IF(OR(AB116&lt;'Config_v6'!$B$16,V116&lt;'Config_v6'!$B$18),"WATCH",IF(Z116=1,"DEFENSIV",IF(Z116=2,"PRUDENT",IF(Z116=3,"MODERAT","RIDICAT")))))))</x:f>
      </x:c>
      <x:c r="AB116" s="10" t="str">
        <x:f>IF(N116="","",MIN(N116,1-S116))</x:f>
      </x:c>
      <x:c r="AC116" s="2" t="str">
        <x:f>IF(AD116&lt;&gt;1,"",COUNTIFS($Z$104:$Z$117,"&lt;"&amp;Z116,$AD$104:$AD$117,1)+COUNTIFS($Z$104:$Z$117,Z116,$AB$104:$AB$117,"&gt;"&amp;AB116,$AD$104:$AD$117,1)+COUNTIFS($Z$104:$Z$117,Z116,$AB$104:$AB$117,AB116,$V$104:$V$117,"&gt;"&amp;V116,$AD$104:$AD$117,1)+COUNTIFS($Z$104:Z116,Z116,$AB$104:AB116,AB116,$V$104:V116,V116,$AD$104:AD116,1))</x:f>
      </x:c>
      <x:c r="AD116" s="2" t="n">
        <x:f>IF(OR(AA116="DEFENSIV",AA116="PRUDENT",AA116="MODERAT",AA116="RIDICAT"),1,0)</x:f>
        <x:v>0</x:v>
      </x:c>
      <x:c r="AE116" s="2" t="str">
        <x:f>IF(AD116&lt;&gt;1,"NO",IF(W116="PASS","YES",IF(W116="OOS PENDING","CONDITIONAL","NO")))</x:f>
        <x:v>NO</x:v>
      </x:c>
      <x:c r="AF116" s="2" t="n">
        <x:f>IF(AND(AD116=1,AC116=1,E116="LIVE"),1,0)</x:f>
        <x:v>0</x:v>
      </x:c>
      <x:c r="AG116" s="2" t="str">
        <x:f>IF(AF116&lt;&gt;1,"",'Dashboard'!P33)</x:f>
      </x:c>
      <x:c r="AH116" s="2" t="str">
        <x:f>IF(B116="","",IF(J116&lt;&gt;"PASS",'Motor_Meciuri'!J13,IF('Calibrare_Linii'!U18&lt;&gt;"VALID","Parametri linie invalizi",IF(L116&gt;'Config_v6'!$B$13,"Dispersie peste limita",IF(W116="WATCH","Failure peste limita",IF(AB116&lt;'Config_v6'!$B$16,"P finala sub prag",IF(V116&lt;'Config_v6'!$B$18,"Confidence sub prag",IF(E116="REPLAY","Exemplu retrospectiv; exclus din Top LIVE",IF(Y116="PASS","DEFENSIV validat",IF(W116="OOS PENDING","Eligibil; calibrare linie in monitorizare","Eligibil"))))))))))</x:f>
      </x:c>
      <x:c r="AI116" s="2" t="str">
        <x:f>IF(B116="","",'Calibrare_Linii'!V18)</x:f>
      </x:c>
      <x:c r="AJ116" s="2" t="str">
        <x:f>IF(B116="","",IF(AND('Calibrare_Linii'!T18="VALIDATED",AND('Calibrare_Linii'!H18=C116,ISNUMBER('Calibrare_Linii'!J18),'Calibrare_Linii'!J18&lt;='Input_Meci'!G13)),"DEFENSIVE VALIDATED",IF(AND('Calibrare_Linii'!S18="VALIDATED",AND('Calibrare_Linii'!H18=C116,ISNUMBER('Calibrare_Linii'!J18),'Calibrare_Linii'!J18&lt;='Input_Meci'!G13)),"TAIL VALIDATED","OOS PENDING")))</x:f>
      </x:c>
      <x:c r="AK116" s="2" t="n">
        <x:f>IF(J116&lt;&gt;"PASS",0,'Motor_Meciuri'!BR13)</x:f>
        <x:v>0</x:v>
      </x:c>
      <x:c r="AL116" s="2" t="n">
        <x:f>IF(J116&lt;&gt;"PASS",0,'Motor_Meciuri'!BS13)</x:f>
        <x:v>0</x:v>
      </x:c>
      <x:c r="AM116" s="2" t="n">
        <x:f>IF(J116&lt;&gt;"PASS",0,'Motor_Meciuri'!BT13)</x:f>
        <x:v>0</x:v>
      </x:c>
      <x:c r="AN116" s="2" t="str">
        <x:f>IF(M116="","",MAX(0,'Motor_Meciuri'!BF13-IF(L116&gt;'Config_v6'!$B$12,'Config_v6'!$B$37,IF(L116&gt;'Config_v6'!$B$11,'Config_v6'!$B$36,0))))</x:f>
      </x:c>
    </x:row>
    <x:row r="117" ht="21" customHeight="1">
      <x:c r="A117" s="2" t="n">
        <x:v>8</x:v>
      </x:c>
      <x:c r="B117" s="2" t="str">
        <x:f>IF('Motor_Meciuri'!A13="","",'Motor_Meciuri'!A13)</x:f>
      </x:c>
      <x:c r="C117" s="2" t="str">
        <x:f>IF(B117="","",'Motor_Meciuri'!B13)</x:f>
      </x:c>
      <x:c r="D117" s="2" t="str">
        <x:f>IF(B117="","",'Motor_Meciuri'!D13)</x:f>
      </x:c>
      <x:c r="E117" s="2" t="str">
        <x:f>IF(B117="","",'Motor_Meciuri'!E13)</x:f>
      </x:c>
      <x:c r="F117" s="2" t="str">
        <x:v>U17,5</x:v>
      </x:c>
      <x:c r="G117" s="2" t="str">
        <x:v>UNDER</x:v>
      </x:c>
      <x:c r="H117" s="2" t="n">
        <x:v>17</x:v>
      </x:c>
      <x:c r="I117" s="2" t="str">
        <x:f>IF(B117="","",'Motor_Meciuri'!H13)</x:f>
      </x:c>
      <x:c r="J117" s="2" t="str">
        <x:f>IF(B117="","",'Motor_Meciuri'!I13)</x:f>
      </x:c>
      <x:c r="K117" s="11" t="str">
        <x:f>IF(J117&lt;&gt;"PASS","",'Motor_Meciuri'!BD13)</x:f>
      </x:c>
      <x:c r="L117" s="11" t="str">
        <x:f>IF(J117&lt;&gt;"PASS","",'Motor_Meciuri'!AU13)</x:f>
      </x:c>
      <x:c r="M117" s="10" t="str">
        <x:f>IF(NOT(AND(J117="PASS",'Calibrare_Linii'!U19="VALID")),"",'Distributie'!AO13)</x:f>
      </x:c>
      <x:c r="N117" s="10" t="str">
        <x:f>IF(M117="","",MAX(0.01,MIN(0.99,0.5+(M117-0.5)*'Motor_Meciuri'!BG13*'Calibrare_Linii'!D19)))</x:f>
      </x:c>
      <x:c r="O117" s="10" t="str">
        <x:f>IF(M117="","",1-M117)</x:f>
      </x:c>
      <x:c r="P117" s="10" t="str">
        <x:f>IF(OR(NOT(AND(J117="PASS",'Calibrare_Linii'!U19="VALID")),AK117=0),""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*('Istoric_Nativ'!$Q$6:$Q$405&gt;H117))/AK117)</x:f>
      </x:c>
      <x:c r="Q117" s="10" t="str">
        <x:f>IF(OR(NOT(AND(J117="PASS",'Calibrare_Linii'!U19="VALID")),AL117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M13)+((('Istoric_Nativ'!$E$6:$E$405='Input_Meci'!E13)+('Istoric_Nativ'!$F$6:$F$405='Input_Meci'!E13))&gt;0)*('Istoric_Nativ'!$D$6:$D$405&gt;='Motor_Meciuri'!BN13))&gt;0)*('Istoric_Nativ'!$Q$6:$Q$405&gt;H117))/AL117)</x:f>
      </x:c>
      <x:c r="R117" s="10" t="str">
        <x:f>IF(OR(NOT(AND(J117="PASS",'Calibrare_Linii'!U19="VALID")),AM117=0),""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'Motor_Meciuri'!BO13)+((('Istoric_Nativ'!$E$6:$E$405='Input_Meci'!E13)+('Istoric_Nativ'!$F$6:$F$405='Input_Meci'!E13))&gt;0)*('Istoric_Nativ'!$D$6:$D$405&gt;='Motor_Meciuri'!BP13))&gt;0)*('Istoric_Nativ'!$Q$6:$Q$405&gt;H117))/AM117)</x:f>
      </x:c>
      <x:c r="S117" s="10" t="str">
        <x:f>IF(M117="","",MAX(O117,P117,Q117,R117))</x:f>
      </x:c>
      <x:c r="T117" s="11" t="str">
        <x:f>IF(M117="","",MIN(100,S117*100*'Config_v6'!$B$44+MIN(100,L117/'Config_v6'!$B$13*100)*'Config_v6'!$B$45+(100-'Motor_Meciuri'!BF13)*'Config_v6'!$B$46+'Motor_Meciuri'!BH13*100*'Config_v6'!$B$47))</x:f>
      </x:c>
      <x:c r="U117" s="2" t="str">
        <x:f>IF(T117="","",IF(T117&lt;=20,1,IF(T117&lt;=40,2,IF(T117&lt;=60,3,IF(T117&lt;=80,4,5)))))</x:f>
      </x:c>
      <x:c r="V117" s="2" t="str">
        <x:f>IF(M117="","",MAX(0,'Motor_Meciuri'!BF13-IF(W117="OOS PENDING",'Config_v6'!$B$35,0)-IF(L117&gt;'Config_v6'!$B$12,'Config_v6'!$B$37,IF(L117&gt;'Config_v6'!$B$11,'Config_v6'!$B$36,0))))</x:f>
      </x:c>
      <x:c r="W117" s="2" t="str">
        <x:f>IF(B117="","",IF(I117&lt;&gt;"READY","NOT RELEASED",IF(NOT(AND(J117="PASS",'Calibrare_Linii'!U19="VALID")),"INVALID",IF(NOT(AND('Calibrare_Linii'!S19="VALIDATED",AND('Calibrare_Linii'!H19=C117,ISNUMBER('Calibrare_Linii'!J19),'Calibrare_Linii'!J19&lt;='Input_Meci'!G13))),"OOS PENDING",IF(S117&lt;='Calibrare_Linii'!E19,"PASS",IF(S117&lt;='Calibrare_Linii'!F19,"PENALTY","WATCH"))))))</x:f>
      </x:c>
      <x:c r="X117" s="2" t="str">
        <x:f>IF(M117="","",IF(AND(AND(J117="PASS",'Calibrare_Linii'!U19="VALID"),'Motor_Meciuri'!K13=12,'Motor_Meciuri'!L13=12,'Motor_Meciuri'!M13="NO",'Motor_Meciuri'!BL13='Motor_Meciuri'!C13,AB117&gt;='Config_v6'!$B$50,AN117&gt;='Config_v6'!$B$51,T117&lt;='Config_v6'!$B$52,L117&lt;='Config_v6'!$B$53,ISNUMBER('Calibrare_Linii'!E19),S117&lt;='Calibrare_Linii'!E19,SUM(AK117:AM117)&gt;0),"CANDIDATE","NO"))</x:f>
      </x:c>
      <x:c r="Y117" s="2" t="str">
        <x:f>IF(B117="","",IF(I117&lt;&gt;"READY","NOT RELEASED",IF(AND(X117="CANDIDATE",V117&gt;='Config_v6'!$B$51,W117="PASS",'Calibrare_Linii'!T19="VALIDATED",AND('Calibrare_Linii'!H19=C117,ISNUMBER('Calibrare_Linii'!J19),'Calibrare_Linii'!J19&lt;='Input_Meci'!G13)),"PASS",IF(X117="CANDIDATE","OOS PENDING","FAIL"))))</x:f>
      </x:c>
      <x:c r="Z117" s="2" t="str">
        <x:f>IF(B117="","",IF(I117&lt;&gt;"READY","",IF(OR(NOT(AND(J117="PASS",'Calibrare_Linii'!U19="VALID")),L117&gt;'Config_v6'!$B$13,W117="WATCH"),5,IF(Y117="PASS",1,MIN(5,MAX('Config_v6'!$B$42,U117)+IF(W117="PENALTY",1,0))))))</x:f>
      </x:c>
      <x:c r="AA117" s="2" t="str">
        <x:f>IF(B117="","",IF(I117&lt;&gt;"READY","NOT RELEASED",IF(Z117=5,"NO BET",IF(OR(AB117&lt;'Config_v6'!$B$16,V117&lt;'Config_v6'!$B$18),"WATCH",IF(Z117=1,"DEFENSIV",IF(Z117=2,"PRUDENT",IF(Z117=3,"MODERAT","RIDICAT")))))))</x:f>
      </x:c>
      <x:c r="AB117" s="10" t="str">
        <x:f>IF(N117="","",MIN(N117,1-S117))</x:f>
      </x:c>
      <x:c r="AC117" s="2" t="str">
        <x:f>IF(AD117&lt;&gt;1,"",COUNTIFS($Z$104:$Z$117,"&lt;"&amp;Z117,$AD$104:$AD$117,1)+COUNTIFS($Z$104:$Z$117,Z117,$AB$104:$AB$117,"&gt;"&amp;AB117,$AD$104:$AD$117,1)+COUNTIFS($Z$104:$Z$117,Z117,$AB$104:$AB$117,AB117,$V$104:$V$117,"&gt;"&amp;V117,$AD$104:$AD$117,1)+COUNTIFS($Z$104:Z117,Z117,$AB$104:AB117,AB117,$V$104:V117,V117,$AD$104:AD117,1))</x:f>
      </x:c>
      <x:c r="AD117" s="2" t="n">
        <x:f>IF(OR(AA117="DEFENSIV",AA117="PRUDENT",AA117="MODERAT",AA117="RIDICAT"),1,0)</x:f>
        <x:v>0</x:v>
      </x:c>
      <x:c r="AE117" s="2" t="str">
        <x:f>IF(AD117&lt;&gt;1,"NO",IF(W117="PASS","YES",IF(W117="OOS PENDING","CONDITIONAL","NO")))</x:f>
        <x:v>NO</x:v>
      </x:c>
      <x:c r="AF117" s="2" t="n">
        <x:f>IF(AND(AD117=1,AC117=1,E117="LIVE"),1,0)</x:f>
        <x:v>0</x:v>
      </x:c>
      <x:c r="AG117" s="2" t="str">
        <x:f>IF(AF117&lt;&gt;1,"",'Dashboard'!P33)</x:f>
      </x:c>
      <x:c r="AH117" s="2" t="str">
        <x:f>IF(B117="","",IF(J117&lt;&gt;"PASS",'Motor_Meciuri'!J13,IF('Calibrare_Linii'!U19&lt;&gt;"VALID","Parametri linie invalizi",IF(L117&gt;'Config_v6'!$B$13,"Dispersie peste limita",IF(W117="WATCH","Failure peste limita",IF(AB117&lt;'Config_v6'!$B$16,"P finala sub prag",IF(V117&lt;'Config_v6'!$B$18,"Confidence sub prag",IF(E117="REPLAY","Exemplu retrospectiv; exclus din Top LIVE",IF(Y117="PASS","DEFENSIV validat",IF(W117="OOS PENDING","Eligibil; calibrare linie in monitorizare","Eligibil"))))))))))</x:f>
      </x:c>
      <x:c r="AI117" s="2" t="str">
        <x:f>IF(B117="","",'Calibrare_Linii'!V19)</x:f>
      </x:c>
      <x:c r="AJ117" s="2" t="str">
        <x:f>IF(B117="","",IF(AND('Calibrare_Linii'!T19="VALIDATED",AND('Calibrare_Linii'!H19=C117,ISNUMBER('Calibrare_Linii'!J19),'Calibrare_Linii'!J19&lt;='Input_Meci'!G13)),"DEFENSIVE VALIDATED",IF(AND('Calibrare_Linii'!S19="VALIDATED",AND('Calibrare_Linii'!H19=C117,ISNUMBER('Calibrare_Linii'!J19),'Calibrare_Linii'!J19&lt;='Input_Meci'!G13)),"TAIL VALIDATED","OOS PENDING")))</x:f>
      </x:c>
      <x:c r="AK117" s="2" t="n">
        <x:f>IF(J117&lt;&gt;"PASS",0,'Motor_Meciuri'!BR13)</x:f>
        <x:v>0</x:v>
      </x:c>
      <x:c r="AL117" s="2" t="n">
        <x:f>IF(J117&lt;&gt;"PASS",0,'Motor_Meciuri'!BS13)</x:f>
        <x:v>0</x:v>
      </x:c>
      <x:c r="AM117" s="2" t="n">
        <x:f>IF(J117&lt;&gt;"PASS",0,'Motor_Meciuri'!BT13)</x:f>
        <x:v>0</x:v>
      </x:c>
      <x:c r="AN117" s="2" t="str">
        <x:f>IF(M117="","",MAX(0,'Motor_Meciuri'!BF13-IF(L117&gt;'Config_v6'!$B$12,'Config_v6'!$B$37,IF(L117&gt;'Config_v6'!$B$11,'Config_v6'!$B$36,0))))</x:f>
      </x:c>
    </x:row>
    <x:row r="118" ht="21" customHeight="1">
      <x:c r="A118" s="2" t="n">
        <x:v>9</x:v>
      </x:c>
      <x:c r="B118" s="2" t="str">
        <x:f>IF('Motor_Meciuri'!A14="","",'Motor_Meciuri'!A14)</x:f>
      </x:c>
      <x:c r="C118" s="2" t="str">
        <x:f>IF(B118="","",'Motor_Meciuri'!B14)</x:f>
      </x:c>
      <x:c r="D118" s="2" t="str">
        <x:f>IF(B118="","",'Motor_Meciuri'!D14)</x:f>
      </x:c>
      <x:c r="E118" s="2" t="str">
        <x:f>IF(B118="","",'Motor_Meciuri'!E14)</x:f>
      </x:c>
      <x:c r="F118" s="2" t="str">
        <x:v>O3,5</x:v>
      </x:c>
      <x:c r="G118" s="2" t="str">
        <x:v>OVER</x:v>
      </x:c>
      <x:c r="H118" s="2" t="n">
        <x:v>3</x:v>
      </x:c>
      <x:c r="I118" s="2" t="str">
        <x:f>IF(B118="","",'Motor_Meciuri'!H14)</x:f>
      </x:c>
      <x:c r="J118" s="2" t="str">
        <x:f>IF(B118="","",'Motor_Meciuri'!I14)</x:f>
      </x:c>
      <x:c r="K118" s="11" t="str">
        <x:f>IF(J118&lt;&gt;"PASS","",'Motor_Meciuri'!BD14)</x:f>
      </x:c>
      <x:c r="L118" s="11" t="str">
        <x:f>IF(J118&lt;&gt;"PASS","",'Motor_Meciuri'!AU14)</x:f>
      </x:c>
      <x:c r="M118" s="10" t="str">
        <x:f>IF(NOT(AND(J118="PASS",'Calibrare_Linii'!U6="VALID")),"",1-'Distributie'!AA14)</x:f>
      </x:c>
      <x:c r="N118" s="10" t="str">
        <x:f>IF(M118="","",MAX(0.01,MIN(0.99,0.5+(M118-0.5)*'Motor_Meciuri'!BG14*'Calibrare_Linii'!D6)))</x:f>
      </x:c>
      <x:c r="O118" s="10" t="str">
        <x:f>IF(M118="","",1-M118)</x:f>
      </x:c>
      <x:c r="P118" s="10" t="str">
        <x:f>IF(OR(NOT(AND(J118="PASS",'Calibrare_Linii'!U6="VALID")),AK118=0),""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*('Istoric_Nativ'!$Q$6:$Q$405&lt;=H118))/AK118)</x:f>
      </x:c>
      <x:c r="Q118" s="10" t="str">
        <x:f>IF(OR(NOT(AND(J118="PASS",'Calibrare_Linii'!U6="VALID")),AL118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M14)+((('Istoric_Nativ'!$E$6:$E$405='Input_Meci'!E14)+('Istoric_Nativ'!$F$6:$F$405='Input_Meci'!E14))&gt;0)*('Istoric_Nativ'!$D$6:$D$405&gt;='Motor_Meciuri'!BN14))&gt;0)*('Istoric_Nativ'!$Q$6:$Q$405&lt;=H118))/AL118)</x:f>
      </x:c>
      <x:c r="R118" s="10" t="str">
        <x:f>IF(OR(NOT(AND(J118="PASS",'Calibrare_Linii'!U6="VALID")),AM118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O14)+((('Istoric_Nativ'!$E$6:$E$405='Input_Meci'!E14)+('Istoric_Nativ'!$F$6:$F$405='Input_Meci'!E14))&gt;0)*('Istoric_Nativ'!$D$6:$D$405&gt;='Motor_Meciuri'!BP14))&gt;0)*('Istoric_Nativ'!$Q$6:$Q$405&lt;=H118))/AM118)</x:f>
      </x:c>
      <x:c r="S118" s="10" t="str">
        <x:f>IF(M118="","",MAX(O118,P118,Q118,R118))</x:f>
      </x:c>
      <x:c r="T118" s="11" t="str">
        <x:f>IF(M118="","",MIN(100,S118*100*'Config_v6'!$B$44+MIN(100,L118/'Config_v6'!$B$13*100)*'Config_v6'!$B$45+(100-'Motor_Meciuri'!BF14)*'Config_v6'!$B$46+'Motor_Meciuri'!BH14*100*'Config_v6'!$B$47))</x:f>
      </x:c>
      <x:c r="U118" s="2" t="str">
        <x:f>IF(T118="","",IF(T118&lt;=20,1,IF(T118&lt;=40,2,IF(T118&lt;=60,3,IF(T118&lt;=80,4,5)))))</x:f>
      </x:c>
      <x:c r="V118" s="2" t="str">
        <x:f>IF(M118="","",MAX(0,'Motor_Meciuri'!BF14-IF(W118="OOS PENDING",'Config_v6'!$B$35,0)-IF(L118&gt;'Config_v6'!$B$12,'Config_v6'!$B$37,IF(L118&gt;'Config_v6'!$B$11,'Config_v6'!$B$36,0))))</x:f>
      </x:c>
      <x:c r="W118" s="2" t="str">
        <x:f>IF(B118="","",IF(I118&lt;&gt;"READY","NOT RELEASED",IF(NOT(AND(J118="PASS",'Calibrare_Linii'!U6="VALID")),"INVALID",IF(NOT(TRUE),"OOS PENDING",IF(S118&lt;=IF(AND('Calibrare_Linii'!S6="VALIDATED",AND('Calibrare_Linii'!H6=C118,ISNUMBER('Calibrare_Linii'!J6),'Calibrare_Linii'!J6&lt;='Input_Meci'!G14)),'Calibrare_Linii'!E6,'Config_v6'!$B$26),"PASS",IF(S118&lt;=IF(AND('Calibrare_Linii'!S6="VALIDATED",AND('Calibrare_Linii'!H6=C118,ISNUMBER('Calibrare_Linii'!J6),'Calibrare_Linii'!J6&lt;='Input_Meci'!G14)),'Calibrare_Linii'!F6,'Config_v6'!$C$26),"PENALTY","WATCH"))))))</x:f>
      </x:c>
      <x:c r="X118" s="2" t="str">
        <x:f>IF(M118="","",IF(AND(AND(J118="PASS",'Calibrare_Linii'!U6="VALID"),'Motor_Meciuri'!K14=12,'Motor_Meciuri'!L14=12,'Motor_Meciuri'!M14="NO",'Motor_Meciuri'!BL14='Motor_Meciuri'!C14,AB118&gt;='Config_v6'!$B$50,AN118&gt;='Config_v6'!$B$51,T118&lt;='Config_v6'!$B$52,L118&lt;='Config_v6'!$B$53,ISNUMBER('Calibrare_Linii'!E6),S118&lt;='Calibrare_Linii'!E6,SUM(AK118:AM118)&gt;0),"CANDIDATE","NO"))</x:f>
      </x:c>
      <x:c r="Y118" s="2" t="str">
        <x:f>IF(B118="","",IF(I118&lt;&gt;"READY","NOT RELEASED",IF(AND(X118="CANDIDATE",V118&gt;='Config_v6'!$B$51,W118="PASS",'Calibrare_Linii'!T6="VALIDATED",AND('Calibrare_Linii'!H6=C118,ISNUMBER('Calibrare_Linii'!J6),'Calibrare_Linii'!J6&lt;='Input_Meci'!G14)),"PASS",IF(X118="CANDIDATE","OOS PENDING","FAIL"))))</x:f>
      </x:c>
      <x:c r="Z118" s="2" t="str">
        <x:f>IF(B118="","",IF(I118&lt;&gt;"READY","",IF(OR(NOT(AND(J118="PASS",'Calibrare_Linii'!U6="VALID")),L118&gt;'Config_v6'!$B$13,W118="WATCH"),5,IF(Y118="PASS",1,MIN(5,MAX('Config_v6'!$B$42,U118)+IF(W118="PENALTY",1,0))))))</x:f>
      </x:c>
      <x:c r="AA118" s="2" t="str">
        <x:f>IF(B118="","",IF(I118&lt;&gt;"READY","NOT RELEASED",IF(Z118=5,"NO BET",IF(OR(AB118&lt;'Config_v6'!$B$16,V118&lt;'Config_v6'!$B$18),"WATCH",IF(Z118=1,"DEFENSIV",IF(Z118=2,"PRUDENT",IF(Z118=3,"MODERAT","RIDICAT")))))))</x:f>
      </x:c>
      <x:c r="AB118" s="10" t="str">
        <x:f>IF(N118="","",MIN(N118,1-S118))</x:f>
      </x:c>
      <x:c r="AC118" s="2" t="str">
        <x:f>IF(AD118&lt;&gt;1,"",COUNTIFS($Z$118:$Z$131,"&lt;"&amp;Z118,$AD$118:$AD$131,1)+COUNTIFS($Z$118:$Z$131,Z118,$AB$118:$AB$131,"&gt;"&amp;AB118,$AD$118:$AD$131,1)+COUNTIFS($Z$118:$Z$131,Z118,$AB$118:$AB$131,AB118,$V$118:$V$131,"&gt;"&amp;V118,$AD$118:$AD$131,1)+COUNTIFS($Z$118:Z118,Z118,$AB$118:AB118,AB118,$V$118:V118,V118,$AD$118:AD118,1))</x:f>
      </x:c>
      <x:c r="AD118" s="2" t="n">
        <x:f>IF(OR(AA118="DEFENSIV",AA118="PRUDENT",AA118="MODERAT",AA118="RIDICAT"),1,0)</x:f>
        <x:v>0</x:v>
      </x:c>
      <x:c r="AE118" s="2" t="str">
        <x:f>IF(AD118&lt;&gt;1,"NO",IF(W118="PASS","YES",IF(W118="OOS PENDING","CONDITIONAL","NO")))</x:f>
        <x:v>NO</x:v>
      </x:c>
      <x:c r="AF118" s="2" t="n">
        <x:f>IF(AND(AD118=1,AC118=1,E118="LIVE"),1,0)</x:f>
        <x:v>0</x:v>
      </x:c>
      <x:c r="AG118" s="2" t="str">
        <x:f>IF(AF118&lt;&gt;1,"",'Dashboard'!P34)</x:f>
      </x:c>
      <x:c r="AH118" s="2" t="str">
        <x:f>IF(B118="","",IF(J118&lt;&gt;"PASS",'Motor_Meciuri'!J14,IF('Calibrare_Linii'!U6&lt;&gt;"VALID","Parametri linie invalizi",IF(L118&gt;'Config_v6'!$B$13,"Dispersie peste limita",IF(W118="WATCH","Failure peste limita",IF(AB118&lt;'Config_v6'!$B$16,"P finala sub prag",IF(V118&lt;'Config_v6'!$B$18,"Confidence sub prag",IF(E118="REPLAY","Exemplu retrospectiv; exclus din Top LIVE",IF(Y118="PASS","DEFENSIV validat",IF(W118="OOS PENDING","Eligibil; calibrare linie in monitorizare","Eligibil"))))))))))</x:f>
      </x:c>
      <x:c r="AI118" s="2" t="str">
        <x:f>IF(B118="","",'Calibrare_Linii'!V6)</x:f>
      </x:c>
      <x:c r="AJ118" s="2" t="str">
        <x:f>IF(B118="","",IF(AND('Calibrare_Linii'!T6="VALIDATED",AND('Calibrare_Linii'!H6=C118,ISNUMBER('Calibrare_Linii'!J6),'Calibrare_Linii'!J6&lt;='Input_Meci'!G14)),"DEFENSIVE VALIDATED",IF(AND('Calibrare_Linii'!S6="VALIDATED",AND('Calibrare_Linii'!H6=C118,ISNUMBER('Calibrare_Linii'!J6),'Calibrare_Linii'!J6&lt;='Input_Meci'!G14)),"TAIL VALIDATED","OOS PENDING")))</x:f>
      </x:c>
      <x:c r="AK118" s="2" t="n">
        <x:f>IF(J118&lt;&gt;"PASS",0,'Motor_Meciuri'!BR14)</x:f>
        <x:v>0</x:v>
      </x:c>
      <x:c r="AL118" s="2" t="n">
        <x:f>IF(J118&lt;&gt;"PASS",0,'Motor_Meciuri'!BS14)</x:f>
        <x:v>0</x:v>
      </x:c>
      <x:c r="AM118" s="2" t="n">
        <x:f>IF(J118&lt;&gt;"PASS",0,'Motor_Meciuri'!BT14)</x:f>
        <x:v>0</x:v>
      </x:c>
      <x:c r="AN118" s="2" t="str">
        <x:f>IF(M118="","",MAX(0,'Motor_Meciuri'!BF14-IF(L118&gt;'Config_v6'!$B$12,'Config_v6'!$B$37,IF(L118&gt;'Config_v6'!$B$11,'Config_v6'!$B$36,0))))</x:f>
      </x:c>
    </x:row>
    <x:row r="119" ht="21" customHeight="1">
      <x:c r="A119" s="2" t="n">
        <x:v>9</x:v>
      </x:c>
      <x:c r="B119" s="2" t="str">
        <x:f>IF('Motor_Meciuri'!A14="","",'Motor_Meciuri'!A14)</x:f>
      </x:c>
      <x:c r="C119" s="2" t="str">
        <x:f>IF(B119="","",'Motor_Meciuri'!B14)</x:f>
      </x:c>
      <x:c r="D119" s="2" t="str">
        <x:f>IF(B119="","",'Motor_Meciuri'!D14)</x:f>
      </x:c>
      <x:c r="E119" s="2" t="str">
        <x:f>IF(B119="","",'Motor_Meciuri'!E14)</x:f>
      </x:c>
      <x:c r="F119" s="2" t="str">
        <x:v>O4,5</x:v>
      </x:c>
      <x:c r="G119" s="2" t="str">
        <x:v>OVER</x:v>
      </x:c>
      <x:c r="H119" s="2" t="n">
        <x:v>4</x:v>
      </x:c>
      <x:c r="I119" s="2" t="str">
        <x:f>IF(B119="","",'Motor_Meciuri'!H14)</x:f>
      </x:c>
      <x:c r="J119" s="2" t="str">
        <x:f>IF(B119="","",'Motor_Meciuri'!I14)</x:f>
      </x:c>
      <x:c r="K119" s="11" t="str">
        <x:f>IF(J119&lt;&gt;"PASS","",'Motor_Meciuri'!BD14)</x:f>
      </x:c>
      <x:c r="L119" s="11" t="str">
        <x:f>IF(J119&lt;&gt;"PASS","",'Motor_Meciuri'!AU14)</x:f>
      </x:c>
      <x:c r="M119" s="10" t="str">
        <x:f>IF(NOT(AND(J119="PASS",'Calibrare_Linii'!U7="VALID")),"",1-'Distributie'!AB14)</x:f>
      </x:c>
      <x:c r="N119" s="10" t="str">
        <x:f>IF(M119="","",MAX(0.01,MIN(0.99,0.5+(M119-0.5)*'Motor_Meciuri'!BG14*'Calibrare_Linii'!D7)))</x:f>
      </x:c>
      <x:c r="O119" s="10" t="str">
        <x:f>IF(M119="","",1-M119)</x:f>
      </x:c>
      <x:c r="P119" s="10" t="str">
        <x:f>IF(OR(NOT(AND(J119="PASS",'Calibrare_Linii'!U7="VALID")),AK119=0),""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*('Istoric_Nativ'!$Q$6:$Q$405&lt;=H119))/AK119)</x:f>
      </x:c>
      <x:c r="Q119" s="10" t="str">
        <x:f>IF(OR(NOT(AND(J119="PASS",'Calibrare_Linii'!U7="VALID")),AL119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M14)+((('Istoric_Nativ'!$E$6:$E$405='Input_Meci'!E14)+('Istoric_Nativ'!$F$6:$F$405='Input_Meci'!E14))&gt;0)*('Istoric_Nativ'!$D$6:$D$405&gt;='Motor_Meciuri'!BN14))&gt;0)*('Istoric_Nativ'!$Q$6:$Q$405&lt;=H119))/AL119)</x:f>
      </x:c>
      <x:c r="R119" s="10" t="str">
        <x:f>IF(OR(NOT(AND(J119="PASS",'Calibrare_Linii'!U7="VALID")),AM119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O14)+((('Istoric_Nativ'!$E$6:$E$405='Input_Meci'!E14)+('Istoric_Nativ'!$F$6:$F$405='Input_Meci'!E14))&gt;0)*('Istoric_Nativ'!$D$6:$D$405&gt;='Motor_Meciuri'!BP14))&gt;0)*('Istoric_Nativ'!$Q$6:$Q$405&lt;=H119))/AM119)</x:f>
      </x:c>
      <x:c r="S119" s="10" t="str">
        <x:f>IF(M119="","",MAX(O119,P119,Q119,R119))</x:f>
      </x:c>
      <x:c r="T119" s="11" t="str">
        <x:f>IF(M119="","",MIN(100,S119*100*'Config_v6'!$B$44+MIN(100,L119/'Config_v6'!$B$13*100)*'Config_v6'!$B$45+(100-'Motor_Meciuri'!BF14)*'Config_v6'!$B$46+'Motor_Meciuri'!BH14*100*'Config_v6'!$B$47))</x:f>
      </x:c>
      <x:c r="U119" s="2" t="str">
        <x:f>IF(T119="","",IF(T119&lt;=20,1,IF(T119&lt;=40,2,IF(T119&lt;=60,3,IF(T119&lt;=80,4,5)))))</x:f>
      </x:c>
      <x:c r="V119" s="2" t="str">
        <x:f>IF(M119="","",MAX(0,'Motor_Meciuri'!BF14-IF(W119="OOS PENDING",'Config_v6'!$B$35,0)-IF(L119&gt;'Config_v6'!$B$12,'Config_v6'!$B$37,IF(L119&gt;'Config_v6'!$B$11,'Config_v6'!$B$36,0))))</x:f>
      </x:c>
      <x:c r="W119" s="2" t="str">
        <x:f>IF(B119="","",IF(I119&lt;&gt;"READY","NOT RELEASED",IF(NOT(AND(J119="PASS",'Calibrare_Linii'!U7="VALID")),"INVALID",IF(NOT(AND('Calibrare_Linii'!S7="VALIDATED",AND('Calibrare_Linii'!H7=C119,ISNUMBER('Calibrare_Linii'!J7),'Calibrare_Linii'!J7&lt;='Input_Meci'!G14))),"OOS PENDING",IF(S119&lt;='Calibrare_Linii'!E7,"PASS",IF(S119&lt;='Calibrare_Linii'!F7,"PENALTY","WATCH"))))))</x:f>
      </x:c>
      <x:c r="X119" s="2" t="str">
        <x:f>IF(M119="","",IF(AND(AND(J119="PASS",'Calibrare_Linii'!U7="VALID"),'Motor_Meciuri'!K14=12,'Motor_Meciuri'!L14=12,'Motor_Meciuri'!M14="NO",'Motor_Meciuri'!BL14='Motor_Meciuri'!C14,AB119&gt;='Config_v6'!$B$50,AN119&gt;='Config_v6'!$B$51,T119&lt;='Config_v6'!$B$52,L119&lt;='Config_v6'!$B$53,ISNUMBER('Calibrare_Linii'!E7),S119&lt;='Calibrare_Linii'!E7,SUM(AK119:AM119)&gt;0),"CANDIDATE","NO"))</x:f>
      </x:c>
      <x:c r="Y119" s="2" t="str">
        <x:f>IF(B119="","",IF(I119&lt;&gt;"READY","NOT RELEASED",IF(AND(X119="CANDIDATE",V119&gt;='Config_v6'!$B$51,W119="PASS",'Calibrare_Linii'!T7="VALIDATED",AND('Calibrare_Linii'!H7=C119,ISNUMBER('Calibrare_Linii'!J7),'Calibrare_Linii'!J7&lt;='Input_Meci'!G14)),"PASS",IF(X119="CANDIDATE","OOS PENDING","FAIL"))))</x:f>
      </x:c>
      <x:c r="Z119" s="2" t="str">
        <x:f>IF(B119="","",IF(I119&lt;&gt;"READY","",IF(OR(NOT(AND(J119="PASS",'Calibrare_Linii'!U7="VALID")),L119&gt;'Config_v6'!$B$13,W119="WATCH"),5,IF(Y119="PASS",1,MIN(5,MAX('Config_v6'!$B$42,U119)+IF(W119="PENALTY",1,0))))))</x:f>
      </x:c>
      <x:c r="AA119" s="2" t="str">
        <x:f>IF(B119="","",IF(I119&lt;&gt;"READY","NOT RELEASED",IF(Z119=5,"NO BET",IF(OR(AB119&lt;'Config_v6'!$B$16,V119&lt;'Config_v6'!$B$18),"WATCH",IF(Z119=1,"DEFENSIV",IF(Z119=2,"PRUDENT",IF(Z119=3,"MODERAT","RIDICAT")))))))</x:f>
      </x:c>
      <x:c r="AB119" s="10" t="str">
        <x:f>IF(N119="","",MIN(N119,1-S119))</x:f>
      </x:c>
      <x:c r="AC119" s="2" t="str">
        <x:f>IF(AD119&lt;&gt;1,"",COUNTIFS($Z$118:$Z$131,"&lt;"&amp;Z119,$AD$118:$AD$131,1)+COUNTIFS($Z$118:$Z$131,Z119,$AB$118:$AB$131,"&gt;"&amp;AB119,$AD$118:$AD$131,1)+COUNTIFS($Z$118:$Z$131,Z119,$AB$118:$AB$131,AB119,$V$118:$V$131,"&gt;"&amp;V119,$AD$118:$AD$131,1)+COUNTIFS($Z$118:Z119,Z119,$AB$118:AB119,AB119,$V$118:V119,V119,$AD$118:AD119,1))</x:f>
      </x:c>
      <x:c r="AD119" s="2" t="n">
        <x:f>IF(OR(AA119="DEFENSIV",AA119="PRUDENT",AA119="MODERAT",AA119="RIDICAT"),1,0)</x:f>
        <x:v>0</x:v>
      </x:c>
      <x:c r="AE119" s="2" t="str">
        <x:f>IF(AD119&lt;&gt;1,"NO",IF(W119="PASS","YES",IF(W119="OOS PENDING","CONDITIONAL","NO")))</x:f>
        <x:v>NO</x:v>
      </x:c>
      <x:c r="AF119" s="2" t="n">
        <x:f>IF(AND(AD119=1,AC119=1,E119="LIVE"),1,0)</x:f>
        <x:v>0</x:v>
      </x:c>
      <x:c r="AG119" s="2" t="str">
        <x:f>IF(AF119&lt;&gt;1,"",'Dashboard'!P34)</x:f>
      </x:c>
      <x:c r="AH119" s="2" t="str">
        <x:f>IF(B119="","",IF(J119&lt;&gt;"PASS",'Motor_Meciuri'!J14,IF('Calibrare_Linii'!U7&lt;&gt;"VALID","Parametri linie invalizi",IF(L119&gt;'Config_v6'!$B$13,"Dispersie peste limita",IF(W119="WATCH","Failure peste limita",IF(AB119&lt;'Config_v6'!$B$16,"P finala sub prag",IF(V119&lt;'Config_v6'!$B$18,"Confidence sub prag",IF(E119="REPLAY","Exemplu retrospectiv; exclus din Top LIVE",IF(Y119="PASS","DEFENSIV validat",IF(W119="OOS PENDING","Eligibil; calibrare linie in monitorizare","Eligibil"))))))))))</x:f>
      </x:c>
      <x:c r="AI119" s="2" t="str">
        <x:f>IF(B119="","",'Calibrare_Linii'!V7)</x:f>
      </x:c>
      <x:c r="AJ119" s="2" t="str">
        <x:f>IF(B119="","",IF(AND('Calibrare_Linii'!T7="VALIDATED",AND('Calibrare_Linii'!H7=C119,ISNUMBER('Calibrare_Linii'!J7),'Calibrare_Linii'!J7&lt;='Input_Meci'!G14)),"DEFENSIVE VALIDATED",IF(AND('Calibrare_Linii'!S7="VALIDATED",AND('Calibrare_Linii'!H7=C119,ISNUMBER('Calibrare_Linii'!J7),'Calibrare_Linii'!J7&lt;='Input_Meci'!G14)),"TAIL VALIDATED","OOS PENDING")))</x:f>
      </x:c>
      <x:c r="AK119" s="2" t="n">
        <x:f>IF(J119&lt;&gt;"PASS",0,'Motor_Meciuri'!BR14)</x:f>
        <x:v>0</x:v>
      </x:c>
      <x:c r="AL119" s="2" t="n">
        <x:f>IF(J119&lt;&gt;"PASS",0,'Motor_Meciuri'!BS14)</x:f>
        <x:v>0</x:v>
      </x:c>
      <x:c r="AM119" s="2" t="n">
        <x:f>IF(J119&lt;&gt;"PASS",0,'Motor_Meciuri'!BT14)</x:f>
        <x:v>0</x:v>
      </x:c>
      <x:c r="AN119" s="2" t="str">
        <x:f>IF(M119="","",MAX(0,'Motor_Meciuri'!BF14-IF(L119&gt;'Config_v6'!$B$12,'Config_v6'!$B$37,IF(L119&gt;'Config_v6'!$B$11,'Config_v6'!$B$36,0))))</x:f>
      </x:c>
    </x:row>
    <x:row r="120" ht="21" customHeight="1">
      <x:c r="A120" s="2" t="n">
        <x:v>9</x:v>
      </x:c>
      <x:c r="B120" s="2" t="str">
        <x:f>IF('Motor_Meciuri'!A14="","",'Motor_Meciuri'!A14)</x:f>
      </x:c>
      <x:c r="C120" s="2" t="str">
        <x:f>IF(B120="","",'Motor_Meciuri'!B14)</x:f>
      </x:c>
      <x:c r="D120" s="2" t="str">
        <x:f>IF(B120="","",'Motor_Meciuri'!D14)</x:f>
      </x:c>
      <x:c r="E120" s="2" t="str">
        <x:f>IF(B120="","",'Motor_Meciuri'!E14)</x:f>
      </x:c>
      <x:c r="F120" s="2" t="str">
        <x:v>O5,5</x:v>
      </x:c>
      <x:c r="G120" s="2" t="str">
        <x:v>OVER</x:v>
      </x:c>
      <x:c r="H120" s="2" t="n">
        <x:v>5</x:v>
      </x:c>
      <x:c r="I120" s="2" t="str">
        <x:f>IF(B120="","",'Motor_Meciuri'!H14)</x:f>
      </x:c>
      <x:c r="J120" s="2" t="str">
        <x:f>IF(B120="","",'Motor_Meciuri'!I14)</x:f>
      </x:c>
      <x:c r="K120" s="11" t="str">
        <x:f>IF(J120&lt;&gt;"PASS","",'Motor_Meciuri'!BD14)</x:f>
      </x:c>
      <x:c r="L120" s="11" t="str">
        <x:f>IF(J120&lt;&gt;"PASS","",'Motor_Meciuri'!AU14)</x:f>
      </x:c>
      <x:c r="M120" s="10" t="str">
        <x:f>IF(NOT(AND(J120="PASS",'Calibrare_Linii'!U8="VALID")),"",1-'Distributie'!AC14)</x:f>
      </x:c>
      <x:c r="N120" s="10" t="str">
        <x:f>IF(M120="","",MAX(0.01,MIN(0.99,0.5+(M120-0.5)*'Motor_Meciuri'!BG14*'Calibrare_Linii'!D8)))</x:f>
      </x:c>
      <x:c r="O120" s="10" t="str">
        <x:f>IF(M120="","",1-M120)</x:f>
      </x:c>
      <x:c r="P120" s="10" t="str">
        <x:f>IF(OR(NOT(AND(J120="PASS",'Calibrare_Linii'!U8="VALID")),AK120=0),""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*('Istoric_Nativ'!$Q$6:$Q$405&lt;=H120))/AK120)</x:f>
      </x:c>
      <x:c r="Q120" s="10" t="str">
        <x:f>IF(OR(NOT(AND(J120="PASS",'Calibrare_Linii'!U8="VALID")),AL120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M14)+((('Istoric_Nativ'!$E$6:$E$405='Input_Meci'!E14)+('Istoric_Nativ'!$F$6:$F$405='Input_Meci'!E14))&gt;0)*('Istoric_Nativ'!$D$6:$D$405&gt;='Motor_Meciuri'!BN14))&gt;0)*('Istoric_Nativ'!$Q$6:$Q$405&lt;=H120))/AL120)</x:f>
      </x:c>
      <x:c r="R120" s="10" t="str">
        <x:f>IF(OR(NOT(AND(J120="PASS",'Calibrare_Linii'!U8="VALID")),AM120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O14)+((('Istoric_Nativ'!$E$6:$E$405='Input_Meci'!E14)+('Istoric_Nativ'!$F$6:$F$405='Input_Meci'!E14))&gt;0)*('Istoric_Nativ'!$D$6:$D$405&gt;='Motor_Meciuri'!BP14))&gt;0)*('Istoric_Nativ'!$Q$6:$Q$405&lt;=H120))/AM120)</x:f>
      </x:c>
      <x:c r="S120" s="10" t="str">
        <x:f>IF(M120="","",MAX(O120,P120,Q120,R120))</x:f>
      </x:c>
      <x:c r="T120" s="11" t="str">
        <x:f>IF(M120="","",MIN(100,S120*100*'Config_v6'!$B$44+MIN(100,L120/'Config_v6'!$B$13*100)*'Config_v6'!$B$45+(100-'Motor_Meciuri'!BF14)*'Config_v6'!$B$46+'Motor_Meciuri'!BH14*100*'Config_v6'!$B$47))</x:f>
      </x:c>
      <x:c r="U120" s="2" t="str">
        <x:f>IF(T120="","",IF(T120&lt;=20,1,IF(T120&lt;=40,2,IF(T120&lt;=60,3,IF(T120&lt;=80,4,5)))))</x:f>
      </x:c>
      <x:c r="V120" s="2" t="str">
        <x:f>IF(M120="","",MAX(0,'Motor_Meciuri'!BF14-IF(W120="OOS PENDING",'Config_v6'!$B$35,0)-IF(L120&gt;'Config_v6'!$B$12,'Config_v6'!$B$37,IF(L120&gt;'Config_v6'!$B$11,'Config_v6'!$B$36,0))))</x:f>
      </x:c>
      <x:c r="W120" s="2" t="str">
        <x:f>IF(B120="","",IF(I120&lt;&gt;"READY","NOT RELEASED",IF(NOT(AND(J120="PASS",'Calibrare_Linii'!U8="VALID")),"INVALID",IF(NOT(AND('Calibrare_Linii'!S8="VALIDATED",AND('Calibrare_Linii'!H8=C120,ISNUMBER('Calibrare_Linii'!J8),'Calibrare_Linii'!J8&lt;='Input_Meci'!G14))),"OOS PENDING",IF(S120&lt;='Calibrare_Linii'!E8,"PASS",IF(S120&lt;='Calibrare_Linii'!F8,"PENALTY","WATCH"))))))</x:f>
      </x:c>
      <x:c r="X120" s="2" t="str">
        <x:f>IF(M120="","",IF(AND(AND(J120="PASS",'Calibrare_Linii'!U8="VALID"),'Motor_Meciuri'!K14=12,'Motor_Meciuri'!L14=12,'Motor_Meciuri'!M14="NO",'Motor_Meciuri'!BL14='Motor_Meciuri'!C14,AB120&gt;='Config_v6'!$B$50,AN120&gt;='Config_v6'!$B$51,T120&lt;='Config_v6'!$B$52,L120&lt;='Config_v6'!$B$53,ISNUMBER('Calibrare_Linii'!E8),S120&lt;='Calibrare_Linii'!E8,SUM(AK120:AM120)&gt;0),"CANDIDATE","NO"))</x:f>
      </x:c>
      <x:c r="Y120" s="2" t="str">
        <x:f>IF(B120="","",IF(I120&lt;&gt;"READY","NOT RELEASED",IF(AND(X120="CANDIDATE",V120&gt;='Config_v6'!$B$51,W120="PASS",'Calibrare_Linii'!T8="VALIDATED",AND('Calibrare_Linii'!H8=C120,ISNUMBER('Calibrare_Linii'!J8),'Calibrare_Linii'!J8&lt;='Input_Meci'!G14)),"PASS",IF(X120="CANDIDATE","OOS PENDING","FAIL"))))</x:f>
      </x:c>
      <x:c r="Z120" s="2" t="str">
        <x:f>IF(B120="","",IF(I120&lt;&gt;"READY","",IF(OR(NOT(AND(J120="PASS",'Calibrare_Linii'!U8="VALID")),L120&gt;'Config_v6'!$B$13,W120="WATCH"),5,IF(Y120="PASS",1,MIN(5,MAX('Config_v6'!$B$42,U120)+IF(W120="PENALTY",1,0))))))</x:f>
      </x:c>
      <x:c r="AA120" s="2" t="str">
        <x:f>IF(B120="","",IF(I120&lt;&gt;"READY","NOT RELEASED",IF(Z120=5,"NO BET",IF(OR(AB120&lt;'Config_v6'!$B$16,V120&lt;'Config_v6'!$B$18),"WATCH",IF(Z120=1,"DEFENSIV",IF(Z120=2,"PRUDENT",IF(Z120=3,"MODERAT","RIDICAT")))))))</x:f>
      </x:c>
      <x:c r="AB120" s="10" t="str">
        <x:f>IF(N120="","",MIN(N120,1-S120))</x:f>
      </x:c>
      <x:c r="AC120" s="2" t="str">
        <x:f>IF(AD120&lt;&gt;1,"",COUNTIFS($Z$118:$Z$131,"&lt;"&amp;Z120,$AD$118:$AD$131,1)+COUNTIFS($Z$118:$Z$131,Z120,$AB$118:$AB$131,"&gt;"&amp;AB120,$AD$118:$AD$131,1)+COUNTIFS($Z$118:$Z$131,Z120,$AB$118:$AB$131,AB120,$V$118:$V$131,"&gt;"&amp;V120,$AD$118:$AD$131,1)+COUNTIFS($Z$118:Z120,Z120,$AB$118:AB120,AB120,$V$118:V120,V120,$AD$118:AD120,1))</x:f>
      </x:c>
      <x:c r="AD120" s="2" t="n">
        <x:f>IF(OR(AA120="DEFENSIV",AA120="PRUDENT",AA120="MODERAT",AA120="RIDICAT"),1,0)</x:f>
        <x:v>0</x:v>
      </x:c>
      <x:c r="AE120" s="2" t="str">
        <x:f>IF(AD120&lt;&gt;1,"NO",IF(W120="PASS","YES",IF(W120="OOS PENDING","CONDITIONAL","NO")))</x:f>
        <x:v>NO</x:v>
      </x:c>
      <x:c r="AF120" s="2" t="n">
        <x:f>IF(AND(AD120=1,AC120=1,E120="LIVE"),1,0)</x:f>
        <x:v>0</x:v>
      </x:c>
      <x:c r="AG120" s="2" t="str">
        <x:f>IF(AF120&lt;&gt;1,"",'Dashboard'!P34)</x:f>
      </x:c>
      <x:c r="AH120" s="2" t="str">
        <x:f>IF(B120="","",IF(J120&lt;&gt;"PASS",'Motor_Meciuri'!J14,IF('Calibrare_Linii'!U8&lt;&gt;"VALID","Parametri linie invalizi",IF(L120&gt;'Config_v6'!$B$13,"Dispersie peste limita",IF(W120="WATCH","Failure peste limita",IF(AB120&lt;'Config_v6'!$B$16,"P finala sub prag",IF(V120&lt;'Config_v6'!$B$18,"Confidence sub prag",IF(E120="REPLAY","Exemplu retrospectiv; exclus din Top LIVE",IF(Y120="PASS","DEFENSIV validat",IF(W120="OOS PENDING","Eligibil; calibrare linie in monitorizare","Eligibil"))))))))))</x:f>
      </x:c>
      <x:c r="AI120" s="2" t="str">
        <x:f>IF(B120="","",'Calibrare_Linii'!V8)</x:f>
      </x:c>
      <x:c r="AJ120" s="2" t="str">
        <x:f>IF(B120="","",IF(AND('Calibrare_Linii'!T8="VALIDATED",AND('Calibrare_Linii'!H8=C120,ISNUMBER('Calibrare_Linii'!J8),'Calibrare_Linii'!J8&lt;='Input_Meci'!G14)),"DEFENSIVE VALIDATED",IF(AND('Calibrare_Linii'!S8="VALIDATED",AND('Calibrare_Linii'!H8=C120,ISNUMBER('Calibrare_Linii'!J8),'Calibrare_Linii'!J8&lt;='Input_Meci'!G14)),"TAIL VALIDATED","OOS PENDING")))</x:f>
      </x:c>
      <x:c r="AK120" s="2" t="n">
        <x:f>IF(J120&lt;&gt;"PASS",0,'Motor_Meciuri'!BR14)</x:f>
        <x:v>0</x:v>
      </x:c>
      <x:c r="AL120" s="2" t="n">
        <x:f>IF(J120&lt;&gt;"PASS",0,'Motor_Meciuri'!BS14)</x:f>
        <x:v>0</x:v>
      </x:c>
      <x:c r="AM120" s="2" t="n">
        <x:f>IF(J120&lt;&gt;"PASS",0,'Motor_Meciuri'!BT14)</x:f>
        <x:v>0</x:v>
      </x:c>
      <x:c r="AN120" s="2" t="str">
        <x:f>IF(M120="","",MAX(0,'Motor_Meciuri'!BF14-IF(L120&gt;'Config_v6'!$B$12,'Config_v6'!$B$37,IF(L120&gt;'Config_v6'!$B$11,'Config_v6'!$B$36,0))))</x:f>
      </x:c>
    </x:row>
    <x:row r="121" ht="21" customHeight="1">
      <x:c r="A121" s="2" t="n">
        <x:v>9</x:v>
      </x:c>
      <x:c r="B121" s="2" t="str">
        <x:f>IF('Motor_Meciuri'!A14="","",'Motor_Meciuri'!A14)</x:f>
      </x:c>
      <x:c r="C121" s="2" t="str">
        <x:f>IF(B121="","",'Motor_Meciuri'!B14)</x:f>
      </x:c>
      <x:c r="D121" s="2" t="str">
        <x:f>IF(B121="","",'Motor_Meciuri'!D14)</x:f>
      </x:c>
      <x:c r="E121" s="2" t="str">
        <x:f>IF(B121="","",'Motor_Meciuri'!E14)</x:f>
      </x:c>
      <x:c r="F121" s="2" t="str">
        <x:v>O6,5</x:v>
      </x:c>
      <x:c r="G121" s="2" t="str">
        <x:v>OVER</x:v>
      </x:c>
      <x:c r="H121" s="2" t="n">
        <x:v>6</x:v>
      </x:c>
      <x:c r="I121" s="2" t="str">
        <x:f>IF(B121="","",'Motor_Meciuri'!H14)</x:f>
      </x:c>
      <x:c r="J121" s="2" t="str">
        <x:f>IF(B121="","",'Motor_Meciuri'!I14)</x:f>
      </x:c>
      <x:c r="K121" s="11" t="str">
        <x:f>IF(J121&lt;&gt;"PASS","",'Motor_Meciuri'!BD14)</x:f>
      </x:c>
      <x:c r="L121" s="11" t="str">
        <x:f>IF(J121&lt;&gt;"PASS","",'Motor_Meciuri'!AU14)</x:f>
      </x:c>
      <x:c r="M121" s="10" t="str">
        <x:f>IF(NOT(AND(J121="PASS",'Calibrare_Linii'!U9="VALID")),"",1-'Distributie'!AD14)</x:f>
      </x:c>
      <x:c r="N121" s="10" t="str">
        <x:f>IF(M121="","",MAX(0.01,MIN(0.99,0.5+(M121-0.5)*'Motor_Meciuri'!BG14*'Calibrare_Linii'!D9)))</x:f>
      </x:c>
      <x:c r="O121" s="10" t="str">
        <x:f>IF(M121="","",1-M121)</x:f>
      </x:c>
      <x:c r="P121" s="10" t="str">
        <x:f>IF(OR(NOT(AND(J121="PASS",'Calibrare_Linii'!U9="VALID")),AK121=0),""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*('Istoric_Nativ'!$Q$6:$Q$405&lt;=H121))/AK121)</x:f>
      </x:c>
      <x:c r="Q121" s="10" t="str">
        <x:f>IF(OR(NOT(AND(J121="PASS",'Calibrare_Linii'!U9="VALID")),AL121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M14)+((('Istoric_Nativ'!$E$6:$E$405='Input_Meci'!E14)+('Istoric_Nativ'!$F$6:$F$405='Input_Meci'!E14))&gt;0)*('Istoric_Nativ'!$D$6:$D$405&gt;='Motor_Meciuri'!BN14))&gt;0)*('Istoric_Nativ'!$Q$6:$Q$405&lt;=H121))/AL121)</x:f>
      </x:c>
      <x:c r="R121" s="10" t="str">
        <x:f>IF(OR(NOT(AND(J121="PASS",'Calibrare_Linii'!U9="VALID")),AM121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O14)+((('Istoric_Nativ'!$E$6:$E$405='Input_Meci'!E14)+('Istoric_Nativ'!$F$6:$F$405='Input_Meci'!E14))&gt;0)*('Istoric_Nativ'!$D$6:$D$405&gt;='Motor_Meciuri'!BP14))&gt;0)*('Istoric_Nativ'!$Q$6:$Q$405&lt;=H121))/AM121)</x:f>
      </x:c>
      <x:c r="S121" s="10" t="str">
        <x:f>IF(M121="","",MAX(O121,P121,Q121,R121))</x:f>
      </x:c>
      <x:c r="T121" s="11" t="str">
        <x:f>IF(M121="","",MIN(100,S121*100*'Config_v6'!$B$44+MIN(100,L121/'Config_v6'!$B$13*100)*'Config_v6'!$B$45+(100-'Motor_Meciuri'!BF14)*'Config_v6'!$B$46+'Motor_Meciuri'!BH14*100*'Config_v6'!$B$47))</x:f>
      </x:c>
      <x:c r="U121" s="2" t="str">
        <x:f>IF(T121="","",IF(T121&lt;=20,1,IF(T121&lt;=40,2,IF(T121&lt;=60,3,IF(T121&lt;=80,4,5)))))</x:f>
      </x:c>
      <x:c r="V121" s="2" t="str">
        <x:f>IF(M121="","",MAX(0,'Motor_Meciuri'!BF14-IF(W121="OOS PENDING",'Config_v6'!$B$35,0)-IF(L121&gt;'Config_v6'!$B$12,'Config_v6'!$B$37,IF(L121&gt;'Config_v6'!$B$11,'Config_v6'!$B$36,0))))</x:f>
      </x:c>
      <x:c r="W121" s="2" t="str">
        <x:f>IF(B121="","",IF(I121&lt;&gt;"READY","NOT RELEASED",IF(NOT(AND(J121="PASS",'Calibrare_Linii'!U9="VALID")),"INVALID",IF(NOT(AND('Calibrare_Linii'!S9="VALIDATED",AND('Calibrare_Linii'!H9=C121,ISNUMBER('Calibrare_Linii'!J9),'Calibrare_Linii'!J9&lt;='Input_Meci'!G14))),"OOS PENDING",IF(S121&lt;='Calibrare_Linii'!E9,"PASS",IF(S121&lt;='Calibrare_Linii'!F9,"PENALTY","WATCH"))))))</x:f>
      </x:c>
      <x:c r="X121" s="2" t="str">
        <x:f>IF(M121="","",IF(AND(AND(J121="PASS",'Calibrare_Linii'!U9="VALID"),'Motor_Meciuri'!K14=12,'Motor_Meciuri'!L14=12,'Motor_Meciuri'!M14="NO",'Motor_Meciuri'!BL14='Motor_Meciuri'!C14,AB121&gt;='Config_v6'!$B$50,AN121&gt;='Config_v6'!$B$51,T121&lt;='Config_v6'!$B$52,L121&lt;='Config_v6'!$B$53,ISNUMBER('Calibrare_Linii'!E9),S121&lt;='Calibrare_Linii'!E9,SUM(AK121:AM121)&gt;0),"CANDIDATE","NO"))</x:f>
      </x:c>
      <x:c r="Y121" s="2" t="str">
        <x:f>IF(B121="","",IF(I121&lt;&gt;"READY","NOT RELEASED",IF(AND(X121="CANDIDATE",V121&gt;='Config_v6'!$B$51,W121="PASS",'Calibrare_Linii'!T9="VALIDATED",AND('Calibrare_Linii'!H9=C121,ISNUMBER('Calibrare_Linii'!J9),'Calibrare_Linii'!J9&lt;='Input_Meci'!G14)),"PASS",IF(X121="CANDIDATE","OOS PENDING","FAIL"))))</x:f>
      </x:c>
      <x:c r="Z121" s="2" t="str">
        <x:f>IF(B121="","",IF(I121&lt;&gt;"READY","",IF(OR(NOT(AND(J121="PASS",'Calibrare_Linii'!U9="VALID")),L121&gt;'Config_v6'!$B$13,W121="WATCH"),5,IF(Y121="PASS",1,MIN(5,MAX('Config_v6'!$B$42,U121)+IF(W121="PENALTY",1,0))))))</x:f>
      </x:c>
      <x:c r="AA121" s="2" t="str">
        <x:f>IF(B121="","",IF(I121&lt;&gt;"READY","NOT RELEASED",IF(Z121=5,"NO BET",IF(OR(AB121&lt;'Config_v6'!$B$16,V121&lt;'Config_v6'!$B$18),"WATCH",IF(Z121=1,"DEFENSIV",IF(Z121=2,"PRUDENT",IF(Z121=3,"MODERAT","RIDICAT")))))))</x:f>
      </x:c>
      <x:c r="AB121" s="10" t="str">
        <x:f>IF(N121="","",MIN(N121,1-S121))</x:f>
      </x:c>
      <x:c r="AC121" s="2" t="str">
        <x:f>IF(AD121&lt;&gt;1,"",COUNTIFS($Z$118:$Z$131,"&lt;"&amp;Z121,$AD$118:$AD$131,1)+COUNTIFS($Z$118:$Z$131,Z121,$AB$118:$AB$131,"&gt;"&amp;AB121,$AD$118:$AD$131,1)+COUNTIFS($Z$118:$Z$131,Z121,$AB$118:$AB$131,AB121,$V$118:$V$131,"&gt;"&amp;V121,$AD$118:$AD$131,1)+COUNTIFS($Z$118:Z121,Z121,$AB$118:AB121,AB121,$V$118:V121,V121,$AD$118:AD121,1))</x:f>
      </x:c>
      <x:c r="AD121" s="2" t="n">
        <x:f>IF(OR(AA121="DEFENSIV",AA121="PRUDENT",AA121="MODERAT",AA121="RIDICAT"),1,0)</x:f>
        <x:v>0</x:v>
      </x:c>
      <x:c r="AE121" s="2" t="str">
        <x:f>IF(AD121&lt;&gt;1,"NO",IF(W121="PASS","YES",IF(W121="OOS PENDING","CONDITIONAL","NO")))</x:f>
        <x:v>NO</x:v>
      </x:c>
      <x:c r="AF121" s="2" t="n">
        <x:f>IF(AND(AD121=1,AC121=1,E121="LIVE"),1,0)</x:f>
        <x:v>0</x:v>
      </x:c>
      <x:c r="AG121" s="2" t="str">
        <x:f>IF(AF121&lt;&gt;1,"",'Dashboard'!P34)</x:f>
      </x:c>
      <x:c r="AH121" s="2" t="str">
        <x:f>IF(B121="","",IF(J121&lt;&gt;"PASS",'Motor_Meciuri'!J14,IF('Calibrare_Linii'!U9&lt;&gt;"VALID","Parametri linie invalizi",IF(L121&gt;'Config_v6'!$B$13,"Dispersie peste limita",IF(W121="WATCH","Failure peste limita",IF(AB121&lt;'Config_v6'!$B$16,"P finala sub prag",IF(V121&lt;'Config_v6'!$B$18,"Confidence sub prag",IF(E121="REPLAY","Exemplu retrospectiv; exclus din Top LIVE",IF(Y121="PASS","DEFENSIV validat",IF(W121="OOS PENDING","Eligibil; calibrare linie in monitorizare","Eligibil"))))))))))</x:f>
      </x:c>
      <x:c r="AI121" s="2" t="str">
        <x:f>IF(B121="","",'Calibrare_Linii'!V9)</x:f>
      </x:c>
      <x:c r="AJ121" s="2" t="str">
        <x:f>IF(B121="","",IF(AND('Calibrare_Linii'!T9="VALIDATED",AND('Calibrare_Linii'!H9=C121,ISNUMBER('Calibrare_Linii'!J9),'Calibrare_Linii'!J9&lt;='Input_Meci'!G14)),"DEFENSIVE VALIDATED",IF(AND('Calibrare_Linii'!S9="VALIDATED",AND('Calibrare_Linii'!H9=C121,ISNUMBER('Calibrare_Linii'!J9),'Calibrare_Linii'!J9&lt;='Input_Meci'!G14)),"TAIL VALIDATED","OOS PENDING")))</x:f>
      </x:c>
      <x:c r="AK121" s="2" t="n">
        <x:f>IF(J121&lt;&gt;"PASS",0,'Motor_Meciuri'!BR14)</x:f>
        <x:v>0</x:v>
      </x:c>
      <x:c r="AL121" s="2" t="n">
        <x:f>IF(J121&lt;&gt;"PASS",0,'Motor_Meciuri'!BS14)</x:f>
        <x:v>0</x:v>
      </x:c>
      <x:c r="AM121" s="2" t="n">
        <x:f>IF(J121&lt;&gt;"PASS",0,'Motor_Meciuri'!BT14)</x:f>
        <x:v>0</x:v>
      </x:c>
      <x:c r="AN121" s="2" t="str">
        <x:f>IF(M121="","",MAX(0,'Motor_Meciuri'!BF14-IF(L121&gt;'Config_v6'!$B$12,'Config_v6'!$B$37,IF(L121&gt;'Config_v6'!$B$11,'Config_v6'!$B$36,0))))</x:f>
      </x:c>
    </x:row>
    <x:row r="122" ht="21" customHeight="1">
      <x:c r="A122" s="2" t="n">
        <x:v>9</x:v>
      </x:c>
      <x:c r="B122" s="2" t="str">
        <x:f>IF('Motor_Meciuri'!A14="","",'Motor_Meciuri'!A14)</x:f>
      </x:c>
      <x:c r="C122" s="2" t="str">
        <x:f>IF(B122="","",'Motor_Meciuri'!B14)</x:f>
      </x:c>
      <x:c r="D122" s="2" t="str">
        <x:f>IF(B122="","",'Motor_Meciuri'!D14)</x:f>
      </x:c>
      <x:c r="E122" s="2" t="str">
        <x:f>IF(B122="","",'Motor_Meciuri'!E14)</x:f>
      </x:c>
      <x:c r="F122" s="2" t="str">
        <x:v>O7,5</x:v>
      </x:c>
      <x:c r="G122" s="2" t="str">
        <x:v>OVER</x:v>
      </x:c>
      <x:c r="H122" s="2" t="n">
        <x:v>7</x:v>
      </x:c>
      <x:c r="I122" s="2" t="str">
        <x:f>IF(B122="","",'Motor_Meciuri'!H14)</x:f>
      </x:c>
      <x:c r="J122" s="2" t="str">
        <x:f>IF(B122="","",'Motor_Meciuri'!I14)</x:f>
      </x:c>
      <x:c r="K122" s="11" t="str">
        <x:f>IF(J122&lt;&gt;"PASS","",'Motor_Meciuri'!BD14)</x:f>
      </x:c>
      <x:c r="L122" s="11" t="str">
        <x:f>IF(J122&lt;&gt;"PASS","",'Motor_Meciuri'!AU14)</x:f>
      </x:c>
      <x:c r="M122" s="10" t="str">
        <x:f>IF(NOT(AND(J122="PASS",'Calibrare_Linii'!U10="VALID")),"",1-'Distributie'!AE14)</x:f>
      </x:c>
      <x:c r="N122" s="10" t="str">
        <x:f>IF(M122="","",MAX(0.01,MIN(0.99,0.5+(M122-0.5)*'Motor_Meciuri'!BG14*'Calibrare_Linii'!D10)))</x:f>
      </x:c>
      <x:c r="O122" s="10" t="str">
        <x:f>IF(M122="","",1-M122)</x:f>
      </x:c>
      <x:c r="P122" s="10" t="str">
        <x:f>IF(OR(NOT(AND(J122="PASS",'Calibrare_Linii'!U10="VALID")),AK122=0),""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*('Istoric_Nativ'!$Q$6:$Q$405&lt;=H122))/AK122)</x:f>
      </x:c>
      <x:c r="Q122" s="10" t="str">
        <x:f>IF(OR(NOT(AND(J122="PASS",'Calibrare_Linii'!U10="VALID")),AL122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M14)+((('Istoric_Nativ'!$E$6:$E$405='Input_Meci'!E14)+('Istoric_Nativ'!$F$6:$F$405='Input_Meci'!E14))&gt;0)*('Istoric_Nativ'!$D$6:$D$405&gt;='Motor_Meciuri'!BN14))&gt;0)*('Istoric_Nativ'!$Q$6:$Q$405&lt;=H122))/AL122)</x:f>
      </x:c>
      <x:c r="R122" s="10" t="str">
        <x:f>IF(OR(NOT(AND(J122="PASS",'Calibrare_Linii'!U10="VALID")),AM122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O14)+((('Istoric_Nativ'!$E$6:$E$405='Input_Meci'!E14)+('Istoric_Nativ'!$F$6:$F$405='Input_Meci'!E14))&gt;0)*('Istoric_Nativ'!$D$6:$D$405&gt;='Motor_Meciuri'!BP14))&gt;0)*('Istoric_Nativ'!$Q$6:$Q$405&lt;=H122))/AM122)</x:f>
      </x:c>
      <x:c r="S122" s="10" t="str">
        <x:f>IF(M122="","",MAX(O122,P122,Q122,R122))</x:f>
      </x:c>
      <x:c r="T122" s="11" t="str">
        <x:f>IF(M122="","",MIN(100,S122*100*'Config_v6'!$B$44+MIN(100,L122/'Config_v6'!$B$13*100)*'Config_v6'!$B$45+(100-'Motor_Meciuri'!BF14)*'Config_v6'!$B$46+'Motor_Meciuri'!BH14*100*'Config_v6'!$B$47))</x:f>
      </x:c>
      <x:c r="U122" s="2" t="str">
        <x:f>IF(T122="","",IF(T122&lt;=20,1,IF(T122&lt;=40,2,IF(T122&lt;=60,3,IF(T122&lt;=80,4,5)))))</x:f>
      </x:c>
      <x:c r="V122" s="2" t="str">
        <x:f>IF(M122="","",MAX(0,'Motor_Meciuri'!BF14-IF(W122="OOS PENDING",'Config_v6'!$B$35,0)-IF(L122&gt;'Config_v6'!$B$12,'Config_v6'!$B$37,IF(L122&gt;'Config_v6'!$B$11,'Config_v6'!$B$36,0))))</x:f>
      </x:c>
      <x:c r="W122" s="2" t="str">
        <x:f>IF(B122="","",IF(I122&lt;&gt;"READY","NOT RELEASED",IF(NOT(AND(J122="PASS",'Calibrare_Linii'!U10="VALID")),"INVALID",IF(NOT(AND('Calibrare_Linii'!S10="VALIDATED",AND('Calibrare_Linii'!H10=C122,ISNUMBER('Calibrare_Linii'!J10),'Calibrare_Linii'!J10&lt;='Input_Meci'!G14))),"OOS PENDING",IF(S122&lt;='Calibrare_Linii'!E10,"PASS",IF(S122&lt;='Calibrare_Linii'!F10,"PENALTY","WATCH"))))))</x:f>
      </x:c>
      <x:c r="X122" s="2" t="str">
        <x:f>IF(M122="","",IF(AND(AND(J122="PASS",'Calibrare_Linii'!U10="VALID"),'Motor_Meciuri'!K14=12,'Motor_Meciuri'!L14=12,'Motor_Meciuri'!M14="NO",'Motor_Meciuri'!BL14='Motor_Meciuri'!C14,AB122&gt;='Config_v6'!$B$50,AN122&gt;='Config_v6'!$B$51,T122&lt;='Config_v6'!$B$52,L122&lt;='Config_v6'!$B$53,ISNUMBER('Calibrare_Linii'!E10),S122&lt;='Calibrare_Linii'!E10,SUM(AK122:AM122)&gt;0),"CANDIDATE","NO"))</x:f>
      </x:c>
      <x:c r="Y122" s="2" t="str">
        <x:f>IF(B122="","",IF(I122&lt;&gt;"READY","NOT RELEASED",IF(AND(X122="CANDIDATE",V122&gt;='Config_v6'!$B$51,W122="PASS",'Calibrare_Linii'!T10="VALIDATED",AND('Calibrare_Linii'!H10=C122,ISNUMBER('Calibrare_Linii'!J10),'Calibrare_Linii'!J10&lt;='Input_Meci'!G14)),"PASS",IF(X122="CANDIDATE","OOS PENDING","FAIL"))))</x:f>
      </x:c>
      <x:c r="Z122" s="2" t="str">
        <x:f>IF(B122="","",IF(I122&lt;&gt;"READY","",IF(OR(NOT(AND(J122="PASS",'Calibrare_Linii'!U10="VALID")),L122&gt;'Config_v6'!$B$13,W122="WATCH"),5,IF(Y122="PASS",1,MIN(5,MAX('Config_v6'!$B$42,U122)+IF(W122="PENALTY",1,0))))))</x:f>
      </x:c>
      <x:c r="AA122" s="2" t="str">
        <x:f>IF(B122="","",IF(I122&lt;&gt;"READY","NOT RELEASED",IF(Z122=5,"NO BET",IF(OR(AB122&lt;'Config_v6'!$B$16,V122&lt;'Config_v6'!$B$18),"WATCH",IF(Z122=1,"DEFENSIV",IF(Z122=2,"PRUDENT",IF(Z122=3,"MODERAT","RIDICAT")))))))</x:f>
      </x:c>
      <x:c r="AB122" s="10" t="str">
        <x:f>IF(N122="","",MIN(N122,1-S122))</x:f>
      </x:c>
      <x:c r="AC122" s="2" t="str">
        <x:f>IF(AD122&lt;&gt;1,"",COUNTIFS($Z$118:$Z$131,"&lt;"&amp;Z122,$AD$118:$AD$131,1)+COUNTIFS($Z$118:$Z$131,Z122,$AB$118:$AB$131,"&gt;"&amp;AB122,$AD$118:$AD$131,1)+COUNTIFS($Z$118:$Z$131,Z122,$AB$118:$AB$131,AB122,$V$118:$V$131,"&gt;"&amp;V122,$AD$118:$AD$131,1)+COUNTIFS($Z$118:Z122,Z122,$AB$118:AB122,AB122,$V$118:V122,V122,$AD$118:AD122,1))</x:f>
      </x:c>
      <x:c r="AD122" s="2" t="n">
        <x:f>IF(OR(AA122="DEFENSIV",AA122="PRUDENT",AA122="MODERAT",AA122="RIDICAT"),1,0)</x:f>
        <x:v>0</x:v>
      </x:c>
      <x:c r="AE122" s="2" t="str">
        <x:f>IF(AD122&lt;&gt;1,"NO",IF(W122="PASS","YES",IF(W122="OOS PENDING","CONDITIONAL","NO")))</x:f>
        <x:v>NO</x:v>
      </x:c>
      <x:c r="AF122" s="2" t="n">
        <x:f>IF(AND(AD122=1,AC122=1,E122="LIVE"),1,0)</x:f>
        <x:v>0</x:v>
      </x:c>
      <x:c r="AG122" s="2" t="str">
        <x:f>IF(AF122&lt;&gt;1,"",'Dashboard'!P34)</x:f>
      </x:c>
      <x:c r="AH122" s="2" t="str">
        <x:f>IF(B122="","",IF(J122&lt;&gt;"PASS",'Motor_Meciuri'!J14,IF('Calibrare_Linii'!U10&lt;&gt;"VALID","Parametri linie invalizi",IF(L122&gt;'Config_v6'!$B$13,"Dispersie peste limita",IF(W122="WATCH","Failure peste limita",IF(AB122&lt;'Config_v6'!$B$16,"P finala sub prag",IF(V122&lt;'Config_v6'!$B$18,"Confidence sub prag",IF(E122="REPLAY","Exemplu retrospectiv; exclus din Top LIVE",IF(Y122="PASS","DEFENSIV validat",IF(W122="OOS PENDING","Eligibil; calibrare linie in monitorizare","Eligibil"))))))))))</x:f>
      </x:c>
      <x:c r="AI122" s="2" t="str">
        <x:f>IF(B122="","",'Calibrare_Linii'!V10)</x:f>
      </x:c>
      <x:c r="AJ122" s="2" t="str">
        <x:f>IF(B122="","",IF(AND('Calibrare_Linii'!T10="VALIDATED",AND('Calibrare_Linii'!H10=C122,ISNUMBER('Calibrare_Linii'!J10),'Calibrare_Linii'!J10&lt;='Input_Meci'!G14)),"DEFENSIVE VALIDATED",IF(AND('Calibrare_Linii'!S10="VALIDATED",AND('Calibrare_Linii'!H10=C122,ISNUMBER('Calibrare_Linii'!J10),'Calibrare_Linii'!J10&lt;='Input_Meci'!G14)),"TAIL VALIDATED","OOS PENDING")))</x:f>
      </x:c>
      <x:c r="AK122" s="2" t="n">
        <x:f>IF(J122&lt;&gt;"PASS",0,'Motor_Meciuri'!BR14)</x:f>
        <x:v>0</x:v>
      </x:c>
      <x:c r="AL122" s="2" t="n">
        <x:f>IF(J122&lt;&gt;"PASS",0,'Motor_Meciuri'!BS14)</x:f>
        <x:v>0</x:v>
      </x:c>
      <x:c r="AM122" s="2" t="n">
        <x:f>IF(J122&lt;&gt;"PASS",0,'Motor_Meciuri'!BT14)</x:f>
        <x:v>0</x:v>
      </x:c>
      <x:c r="AN122" s="2" t="str">
        <x:f>IF(M122="","",MAX(0,'Motor_Meciuri'!BF14-IF(L122&gt;'Config_v6'!$B$12,'Config_v6'!$B$37,IF(L122&gt;'Config_v6'!$B$11,'Config_v6'!$B$36,0))))</x:f>
      </x:c>
    </x:row>
    <x:row r="123" ht="21" customHeight="1">
      <x:c r="A123" s="2" t="n">
        <x:v>9</x:v>
      </x:c>
      <x:c r="B123" s="2" t="str">
        <x:f>IF('Motor_Meciuri'!A14="","",'Motor_Meciuri'!A14)</x:f>
      </x:c>
      <x:c r="C123" s="2" t="str">
        <x:f>IF(B123="","",'Motor_Meciuri'!B14)</x:f>
      </x:c>
      <x:c r="D123" s="2" t="str">
        <x:f>IF(B123="","",'Motor_Meciuri'!D14)</x:f>
      </x:c>
      <x:c r="E123" s="2" t="str">
        <x:f>IF(B123="","",'Motor_Meciuri'!E14)</x:f>
      </x:c>
      <x:c r="F123" s="2" t="str">
        <x:v>O8,5</x:v>
      </x:c>
      <x:c r="G123" s="2" t="str">
        <x:v>OVER</x:v>
      </x:c>
      <x:c r="H123" s="2" t="n">
        <x:v>8</x:v>
      </x:c>
      <x:c r="I123" s="2" t="str">
        <x:f>IF(B123="","",'Motor_Meciuri'!H14)</x:f>
      </x:c>
      <x:c r="J123" s="2" t="str">
        <x:f>IF(B123="","",'Motor_Meciuri'!I14)</x:f>
      </x:c>
      <x:c r="K123" s="11" t="str">
        <x:f>IF(J123&lt;&gt;"PASS","",'Motor_Meciuri'!BD14)</x:f>
      </x:c>
      <x:c r="L123" s="11" t="str">
        <x:f>IF(J123&lt;&gt;"PASS","",'Motor_Meciuri'!AU14)</x:f>
      </x:c>
      <x:c r="M123" s="10" t="str">
        <x:f>IF(NOT(AND(J123="PASS",'Calibrare_Linii'!U11="VALID")),"",1-'Distributie'!AF14)</x:f>
      </x:c>
      <x:c r="N123" s="10" t="str">
        <x:f>IF(M123="","",MAX(0.01,MIN(0.99,0.5+(M123-0.5)*'Motor_Meciuri'!BG14*'Calibrare_Linii'!D11)))</x:f>
      </x:c>
      <x:c r="O123" s="10" t="str">
        <x:f>IF(M123="","",1-M123)</x:f>
      </x:c>
      <x:c r="P123" s="10" t="str">
        <x:f>IF(OR(NOT(AND(J123="PASS",'Calibrare_Linii'!U11="VALID")),AK123=0),""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*('Istoric_Nativ'!$Q$6:$Q$405&lt;=H123))/AK123)</x:f>
      </x:c>
      <x:c r="Q123" s="10" t="str">
        <x:f>IF(OR(NOT(AND(J123="PASS",'Calibrare_Linii'!U11="VALID")),AL123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M14)+((('Istoric_Nativ'!$E$6:$E$405='Input_Meci'!E14)+('Istoric_Nativ'!$F$6:$F$405='Input_Meci'!E14))&gt;0)*('Istoric_Nativ'!$D$6:$D$405&gt;='Motor_Meciuri'!BN14))&gt;0)*('Istoric_Nativ'!$Q$6:$Q$405&lt;=H123))/AL123)</x:f>
      </x:c>
      <x:c r="R123" s="10" t="str">
        <x:f>IF(OR(NOT(AND(J123="PASS",'Calibrare_Linii'!U11="VALID")),AM123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O14)+((('Istoric_Nativ'!$E$6:$E$405='Input_Meci'!E14)+('Istoric_Nativ'!$F$6:$F$405='Input_Meci'!E14))&gt;0)*('Istoric_Nativ'!$D$6:$D$405&gt;='Motor_Meciuri'!BP14))&gt;0)*('Istoric_Nativ'!$Q$6:$Q$405&lt;=H123))/AM123)</x:f>
      </x:c>
      <x:c r="S123" s="10" t="str">
        <x:f>IF(M123="","",MAX(O123,P123,Q123,R123))</x:f>
      </x:c>
      <x:c r="T123" s="11" t="str">
        <x:f>IF(M123="","",MIN(100,S123*100*'Config_v6'!$B$44+MIN(100,L123/'Config_v6'!$B$13*100)*'Config_v6'!$B$45+(100-'Motor_Meciuri'!BF14)*'Config_v6'!$B$46+'Motor_Meciuri'!BH14*100*'Config_v6'!$B$47))</x:f>
      </x:c>
      <x:c r="U123" s="2" t="str">
        <x:f>IF(T123="","",IF(T123&lt;=20,1,IF(T123&lt;=40,2,IF(T123&lt;=60,3,IF(T123&lt;=80,4,5)))))</x:f>
      </x:c>
      <x:c r="V123" s="2" t="str">
        <x:f>IF(M123="","",MAX(0,'Motor_Meciuri'!BF14-IF(W123="OOS PENDING",'Config_v6'!$B$35,0)-IF(L123&gt;'Config_v6'!$B$12,'Config_v6'!$B$37,IF(L123&gt;'Config_v6'!$B$11,'Config_v6'!$B$36,0))))</x:f>
      </x:c>
      <x:c r="W123" s="2" t="str">
        <x:f>IF(B123="","",IF(I123&lt;&gt;"READY","NOT RELEASED",IF(NOT(AND(J123="PASS",'Calibrare_Linii'!U11="VALID")),"INVALID",IF(NOT(AND('Calibrare_Linii'!S11="VALIDATED",AND('Calibrare_Linii'!H11=C123,ISNUMBER('Calibrare_Linii'!J11),'Calibrare_Linii'!J11&lt;='Input_Meci'!G14))),"OOS PENDING",IF(S123&lt;='Calibrare_Linii'!E11,"PASS",IF(S123&lt;='Calibrare_Linii'!F11,"PENALTY","WATCH"))))))</x:f>
      </x:c>
      <x:c r="X123" s="2" t="str">
        <x:f>IF(M123="","",IF(AND(AND(J123="PASS",'Calibrare_Linii'!U11="VALID"),'Motor_Meciuri'!K14=12,'Motor_Meciuri'!L14=12,'Motor_Meciuri'!M14="NO",'Motor_Meciuri'!BL14='Motor_Meciuri'!C14,AB123&gt;='Config_v6'!$B$50,AN123&gt;='Config_v6'!$B$51,T123&lt;='Config_v6'!$B$52,L123&lt;='Config_v6'!$B$53,ISNUMBER('Calibrare_Linii'!E11),S123&lt;='Calibrare_Linii'!E11,SUM(AK123:AM123)&gt;0),"CANDIDATE","NO"))</x:f>
      </x:c>
      <x:c r="Y123" s="2" t="str">
        <x:f>IF(B123="","",IF(I123&lt;&gt;"READY","NOT RELEASED",IF(AND(X123="CANDIDATE",V123&gt;='Config_v6'!$B$51,W123="PASS",'Calibrare_Linii'!T11="VALIDATED",AND('Calibrare_Linii'!H11=C123,ISNUMBER('Calibrare_Linii'!J11),'Calibrare_Linii'!J11&lt;='Input_Meci'!G14)),"PASS",IF(X123="CANDIDATE","OOS PENDING","FAIL"))))</x:f>
      </x:c>
      <x:c r="Z123" s="2" t="str">
        <x:f>IF(B123="","",IF(I123&lt;&gt;"READY","",IF(OR(NOT(AND(J123="PASS",'Calibrare_Linii'!U11="VALID")),L123&gt;'Config_v6'!$B$13,W123="WATCH"),5,IF(Y123="PASS",1,MIN(5,MAX('Config_v6'!$B$42,U123)+IF(W123="PENALTY",1,0))))))</x:f>
      </x:c>
      <x:c r="AA123" s="2" t="str">
        <x:f>IF(B123="","",IF(I123&lt;&gt;"READY","NOT RELEASED",IF(Z123=5,"NO BET",IF(OR(AB123&lt;'Config_v6'!$B$16,V123&lt;'Config_v6'!$B$18),"WATCH",IF(Z123=1,"DEFENSIV",IF(Z123=2,"PRUDENT",IF(Z123=3,"MODERAT","RIDICAT")))))))</x:f>
      </x:c>
      <x:c r="AB123" s="10" t="str">
        <x:f>IF(N123="","",MIN(N123,1-S123))</x:f>
      </x:c>
      <x:c r="AC123" s="2" t="str">
        <x:f>IF(AD123&lt;&gt;1,"",COUNTIFS($Z$118:$Z$131,"&lt;"&amp;Z123,$AD$118:$AD$131,1)+COUNTIFS($Z$118:$Z$131,Z123,$AB$118:$AB$131,"&gt;"&amp;AB123,$AD$118:$AD$131,1)+COUNTIFS($Z$118:$Z$131,Z123,$AB$118:$AB$131,AB123,$V$118:$V$131,"&gt;"&amp;V123,$AD$118:$AD$131,1)+COUNTIFS($Z$118:Z123,Z123,$AB$118:AB123,AB123,$V$118:V123,V123,$AD$118:AD123,1))</x:f>
      </x:c>
      <x:c r="AD123" s="2" t="n">
        <x:f>IF(OR(AA123="DEFENSIV",AA123="PRUDENT",AA123="MODERAT",AA123="RIDICAT"),1,0)</x:f>
        <x:v>0</x:v>
      </x:c>
      <x:c r="AE123" s="2" t="str">
        <x:f>IF(AD123&lt;&gt;1,"NO",IF(W123="PASS","YES",IF(W123="OOS PENDING","CONDITIONAL","NO")))</x:f>
        <x:v>NO</x:v>
      </x:c>
      <x:c r="AF123" s="2" t="n">
        <x:f>IF(AND(AD123=1,AC123=1,E123="LIVE"),1,0)</x:f>
        <x:v>0</x:v>
      </x:c>
      <x:c r="AG123" s="2" t="str">
        <x:f>IF(AF123&lt;&gt;1,"",'Dashboard'!P34)</x:f>
      </x:c>
      <x:c r="AH123" s="2" t="str">
        <x:f>IF(B123="","",IF(J123&lt;&gt;"PASS",'Motor_Meciuri'!J14,IF('Calibrare_Linii'!U11&lt;&gt;"VALID","Parametri linie invalizi",IF(L123&gt;'Config_v6'!$B$13,"Dispersie peste limita",IF(W123="WATCH","Failure peste limita",IF(AB123&lt;'Config_v6'!$B$16,"P finala sub prag",IF(V123&lt;'Config_v6'!$B$18,"Confidence sub prag",IF(E123="REPLAY","Exemplu retrospectiv; exclus din Top LIVE",IF(Y123="PASS","DEFENSIV validat",IF(W123="OOS PENDING","Eligibil; calibrare linie in monitorizare","Eligibil"))))))))))</x:f>
      </x:c>
      <x:c r="AI123" s="2" t="str">
        <x:f>IF(B123="","",'Calibrare_Linii'!V11)</x:f>
      </x:c>
      <x:c r="AJ123" s="2" t="str">
        <x:f>IF(B123="","",IF(AND('Calibrare_Linii'!T11="VALIDATED",AND('Calibrare_Linii'!H11=C123,ISNUMBER('Calibrare_Linii'!J11),'Calibrare_Linii'!J11&lt;='Input_Meci'!G14)),"DEFENSIVE VALIDATED",IF(AND('Calibrare_Linii'!S11="VALIDATED",AND('Calibrare_Linii'!H11=C123,ISNUMBER('Calibrare_Linii'!J11),'Calibrare_Linii'!J11&lt;='Input_Meci'!G14)),"TAIL VALIDATED","OOS PENDING")))</x:f>
      </x:c>
      <x:c r="AK123" s="2" t="n">
        <x:f>IF(J123&lt;&gt;"PASS",0,'Motor_Meciuri'!BR14)</x:f>
        <x:v>0</x:v>
      </x:c>
      <x:c r="AL123" s="2" t="n">
        <x:f>IF(J123&lt;&gt;"PASS",0,'Motor_Meciuri'!BS14)</x:f>
        <x:v>0</x:v>
      </x:c>
      <x:c r="AM123" s="2" t="n">
        <x:f>IF(J123&lt;&gt;"PASS",0,'Motor_Meciuri'!BT14)</x:f>
        <x:v>0</x:v>
      </x:c>
      <x:c r="AN123" s="2" t="str">
        <x:f>IF(M123="","",MAX(0,'Motor_Meciuri'!BF14-IF(L123&gt;'Config_v6'!$B$12,'Config_v6'!$B$37,IF(L123&gt;'Config_v6'!$B$11,'Config_v6'!$B$36,0))))</x:f>
      </x:c>
    </x:row>
    <x:row r="124" ht="21" customHeight="1">
      <x:c r="A124" s="2" t="n">
        <x:v>9</x:v>
      </x:c>
      <x:c r="B124" s="2" t="str">
        <x:f>IF('Motor_Meciuri'!A14="","",'Motor_Meciuri'!A14)</x:f>
      </x:c>
      <x:c r="C124" s="2" t="str">
        <x:f>IF(B124="","",'Motor_Meciuri'!B14)</x:f>
      </x:c>
      <x:c r="D124" s="2" t="str">
        <x:f>IF(B124="","",'Motor_Meciuri'!D14)</x:f>
      </x:c>
      <x:c r="E124" s="2" t="str">
        <x:f>IF(B124="","",'Motor_Meciuri'!E14)</x:f>
      </x:c>
      <x:c r="F124" s="2" t="str">
        <x:v>U10,5</x:v>
      </x:c>
      <x:c r="G124" s="2" t="str">
        <x:v>UNDER</x:v>
      </x:c>
      <x:c r="H124" s="2" t="n">
        <x:v>10</x:v>
      </x:c>
      <x:c r="I124" s="2" t="str">
        <x:f>IF(B124="","",'Motor_Meciuri'!H14)</x:f>
      </x:c>
      <x:c r="J124" s="2" t="str">
        <x:f>IF(B124="","",'Motor_Meciuri'!I14)</x:f>
      </x:c>
      <x:c r="K124" s="11" t="str">
        <x:f>IF(J124&lt;&gt;"PASS","",'Motor_Meciuri'!BD14)</x:f>
      </x:c>
      <x:c r="L124" s="11" t="str">
        <x:f>IF(J124&lt;&gt;"PASS","",'Motor_Meciuri'!AU14)</x:f>
      </x:c>
      <x:c r="M124" s="10" t="str">
        <x:f>IF(NOT(AND(J124="PASS",'Calibrare_Linii'!U12="VALID")),"",'Distributie'!AH14)</x:f>
      </x:c>
      <x:c r="N124" s="10" t="str">
        <x:f>IF(M124="","",MAX(0.01,MIN(0.99,0.5+(M124-0.5)*'Motor_Meciuri'!BG14*'Calibrare_Linii'!D12)))</x:f>
      </x:c>
      <x:c r="O124" s="10" t="str">
        <x:f>IF(M124="","",1-M124)</x:f>
      </x:c>
      <x:c r="P124" s="10" t="str">
        <x:f>IF(OR(NOT(AND(J124="PASS",'Calibrare_Linii'!U12="VALID")),AK124=0),""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*('Istoric_Nativ'!$Q$6:$Q$405&gt;H124))/AK124)</x:f>
      </x:c>
      <x:c r="Q124" s="10" t="str">
        <x:f>IF(OR(NOT(AND(J124="PASS",'Calibrare_Linii'!U12="VALID")),AL124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M14)+((('Istoric_Nativ'!$E$6:$E$405='Input_Meci'!E14)+('Istoric_Nativ'!$F$6:$F$405='Input_Meci'!E14))&gt;0)*('Istoric_Nativ'!$D$6:$D$405&gt;='Motor_Meciuri'!BN14))&gt;0)*('Istoric_Nativ'!$Q$6:$Q$405&gt;H124))/AL124)</x:f>
      </x:c>
      <x:c r="R124" s="10" t="str">
        <x:f>IF(OR(NOT(AND(J124="PASS",'Calibrare_Linii'!U12="VALID")),AM124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O14)+((('Istoric_Nativ'!$E$6:$E$405='Input_Meci'!E14)+('Istoric_Nativ'!$F$6:$F$405='Input_Meci'!E14))&gt;0)*('Istoric_Nativ'!$D$6:$D$405&gt;='Motor_Meciuri'!BP14))&gt;0)*('Istoric_Nativ'!$Q$6:$Q$405&gt;H124))/AM124)</x:f>
      </x:c>
      <x:c r="S124" s="10" t="str">
        <x:f>IF(M124="","",MAX(O124,P124,Q124,R124))</x:f>
      </x:c>
      <x:c r="T124" s="11" t="str">
        <x:f>IF(M124="","",MIN(100,S124*100*'Config_v6'!$B$44+MIN(100,L124/'Config_v6'!$B$13*100)*'Config_v6'!$B$45+(100-'Motor_Meciuri'!BF14)*'Config_v6'!$B$46+'Motor_Meciuri'!BH14*100*'Config_v6'!$B$47))</x:f>
      </x:c>
      <x:c r="U124" s="2" t="str">
        <x:f>IF(T124="","",IF(T124&lt;=20,1,IF(T124&lt;=40,2,IF(T124&lt;=60,3,IF(T124&lt;=80,4,5)))))</x:f>
      </x:c>
      <x:c r="V124" s="2" t="str">
        <x:f>IF(M124="","",MAX(0,'Motor_Meciuri'!BF14-IF(W124="OOS PENDING",'Config_v6'!$B$35,0)-IF(L124&gt;'Config_v6'!$B$12,'Config_v6'!$B$37,IF(L124&gt;'Config_v6'!$B$11,'Config_v6'!$B$36,0))))</x:f>
      </x:c>
      <x:c r="W124" s="2" t="str">
        <x:f>IF(B124="","",IF(I124&lt;&gt;"READY","NOT RELEASED",IF(NOT(AND(J124="PASS",'Calibrare_Linii'!U12="VALID")),"INVALID",IF(NOT(AND('Calibrare_Linii'!S12="VALIDATED",AND('Calibrare_Linii'!H12=C124,ISNUMBER('Calibrare_Linii'!J12),'Calibrare_Linii'!J12&lt;='Input_Meci'!G14))),"OOS PENDING",IF(S124&lt;='Calibrare_Linii'!E12,"PASS",IF(S124&lt;='Calibrare_Linii'!F12,"PENALTY","WATCH"))))))</x:f>
      </x:c>
      <x:c r="X124" s="2" t="str">
        <x:f>IF(M124="","",IF(AND(AND(J124="PASS",'Calibrare_Linii'!U12="VALID"),'Motor_Meciuri'!K14=12,'Motor_Meciuri'!L14=12,'Motor_Meciuri'!M14="NO",'Motor_Meciuri'!BL14='Motor_Meciuri'!C14,AB124&gt;='Config_v6'!$B$50,AN124&gt;='Config_v6'!$B$51,T124&lt;='Config_v6'!$B$52,L124&lt;='Config_v6'!$B$53,ISNUMBER('Calibrare_Linii'!E12),S124&lt;='Calibrare_Linii'!E12,SUM(AK124:AM124)&gt;0),"CANDIDATE","NO"))</x:f>
      </x:c>
      <x:c r="Y124" s="2" t="str">
        <x:f>IF(B124="","",IF(I124&lt;&gt;"READY","NOT RELEASED",IF(AND(X124="CANDIDATE",V124&gt;='Config_v6'!$B$51,W124="PASS",'Calibrare_Linii'!T12="VALIDATED",AND('Calibrare_Linii'!H12=C124,ISNUMBER('Calibrare_Linii'!J12),'Calibrare_Linii'!J12&lt;='Input_Meci'!G14)),"PASS",IF(X124="CANDIDATE","OOS PENDING","FAIL"))))</x:f>
      </x:c>
      <x:c r="Z124" s="2" t="str">
        <x:f>IF(B124="","",IF(I124&lt;&gt;"READY","",IF(OR(NOT(AND(J124="PASS",'Calibrare_Linii'!U12="VALID")),L124&gt;'Config_v6'!$B$13,W124="WATCH"),5,IF(Y124="PASS",1,MIN(5,MAX('Config_v6'!$B$42,U124)+IF(W124="PENALTY",1,0))))))</x:f>
      </x:c>
      <x:c r="AA124" s="2" t="str">
        <x:f>IF(B124="","",IF(I124&lt;&gt;"READY","NOT RELEASED",IF(Z124=5,"NO BET",IF(OR(AB124&lt;'Config_v6'!$B$16,V124&lt;'Config_v6'!$B$18),"WATCH",IF(Z124=1,"DEFENSIV",IF(Z124=2,"PRUDENT",IF(Z124=3,"MODERAT","RIDICAT")))))))</x:f>
      </x:c>
      <x:c r="AB124" s="10" t="str">
        <x:f>IF(N124="","",MIN(N124,1-S124))</x:f>
      </x:c>
      <x:c r="AC124" s="2" t="str">
        <x:f>IF(AD124&lt;&gt;1,"",COUNTIFS($Z$118:$Z$131,"&lt;"&amp;Z124,$AD$118:$AD$131,1)+COUNTIFS($Z$118:$Z$131,Z124,$AB$118:$AB$131,"&gt;"&amp;AB124,$AD$118:$AD$131,1)+COUNTIFS($Z$118:$Z$131,Z124,$AB$118:$AB$131,AB124,$V$118:$V$131,"&gt;"&amp;V124,$AD$118:$AD$131,1)+COUNTIFS($Z$118:Z124,Z124,$AB$118:AB124,AB124,$V$118:V124,V124,$AD$118:AD124,1))</x:f>
      </x:c>
      <x:c r="AD124" s="2" t="n">
        <x:f>IF(OR(AA124="DEFENSIV",AA124="PRUDENT",AA124="MODERAT",AA124="RIDICAT"),1,0)</x:f>
        <x:v>0</x:v>
      </x:c>
      <x:c r="AE124" s="2" t="str">
        <x:f>IF(AD124&lt;&gt;1,"NO",IF(W124="PASS","YES",IF(W124="OOS PENDING","CONDITIONAL","NO")))</x:f>
        <x:v>NO</x:v>
      </x:c>
      <x:c r="AF124" s="2" t="n">
        <x:f>IF(AND(AD124=1,AC124=1,E124="LIVE"),1,0)</x:f>
        <x:v>0</x:v>
      </x:c>
      <x:c r="AG124" s="2" t="str">
        <x:f>IF(AF124&lt;&gt;1,"",'Dashboard'!P34)</x:f>
      </x:c>
      <x:c r="AH124" s="2" t="str">
        <x:f>IF(B124="","",IF(J124&lt;&gt;"PASS",'Motor_Meciuri'!J14,IF('Calibrare_Linii'!U12&lt;&gt;"VALID","Parametri linie invalizi",IF(L124&gt;'Config_v6'!$B$13,"Dispersie peste limita",IF(W124="WATCH","Failure peste limita",IF(AB124&lt;'Config_v6'!$B$16,"P finala sub prag",IF(V124&lt;'Config_v6'!$B$18,"Confidence sub prag",IF(E124="REPLAY","Exemplu retrospectiv; exclus din Top LIVE",IF(Y124="PASS","DEFENSIV validat",IF(W124="OOS PENDING","Eligibil; calibrare linie in monitorizare","Eligibil"))))))))))</x:f>
      </x:c>
      <x:c r="AI124" s="2" t="str">
        <x:f>IF(B124="","",'Calibrare_Linii'!V12)</x:f>
      </x:c>
      <x:c r="AJ124" s="2" t="str">
        <x:f>IF(B124="","",IF(AND('Calibrare_Linii'!T12="VALIDATED",AND('Calibrare_Linii'!H12=C124,ISNUMBER('Calibrare_Linii'!J12),'Calibrare_Linii'!J12&lt;='Input_Meci'!G14)),"DEFENSIVE VALIDATED",IF(AND('Calibrare_Linii'!S12="VALIDATED",AND('Calibrare_Linii'!H12=C124,ISNUMBER('Calibrare_Linii'!J12),'Calibrare_Linii'!J12&lt;='Input_Meci'!G14)),"TAIL VALIDATED","OOS PENDING")))</x:f>
      </x:c>
      <x:c r="AK124" s="2" t="n">
        <x:f>IF(J124&lt;&gt;"PASS",0,'Motor_Meciuri'!BR14)</x:f>
        <x:v>0</x:v>
      </x:c>
      <x:c r="AL124" s="2" t="n">
        <x:f>IF(J124&lt;&gt;"PASS",0,'Motor_Meciuri'!BS14)</x:f>
        <x:v>0</x:v>
      </x:c>
      <x:c r="AM124" s="2" t="n">
        <x:f>IF(J124&lt;&gt;"PASS",0,'Motor_Meciuri'!BT14)</x:f>
        <x:v>0</x:v>
      </x:c>
      <x:c r="AN124" s="2" t="str">
        <x:f>IF(M124="","",MAX(0,'Motor_Meciuri'!BF14-IF(L124&gt;'Config_v6'!$B$12,'Config_v6'!$B$37,IF(L124&gt;'Config_v6'!$B$11,'Config_v6'!$B$36,0))))</x:f>
      </x:c>
    </x:row>
    <x:row r="125" ht="21" customHeight="1">
      <x:c r="A125" s="2" t="n">
        <x:v>9</x:v>
      </x:c>
      <x:c r="B125" s="2" t="str">
        <x:f>IF('Motor_Meciuri'!A14="","",'Motor_Meciuri'!A14)</x:f>
      </x:c>
      <x:c r="C125" s="2" t="str">
        <x:f>IF(B125="","",'Motor_Meciuri'!B14)</x:f>
      </x:c>
      <x:c r="D125" s="2" t="str">
        <x:f>IF(B125="","",'Motor_Meciuri'!D14)</x:f>
      </x:c>
      <x:c r="E125" s="2" t="str">
        <x:f>IF(B125="","",'Motor_Meciuri'!E14)</x:f>
      </x:c>
      <x:c r="F125" s="2" t="str">
        <x:v>U11,5</x:v>
      </x:c>
      <x:c r="G125" s="2" t="str">
        <x:v>UNDER</x:v>
      </x:c>
      <x:c r="H125" s="2" t="n">
        <x:v>11</x:v>
      </x:c>
      <x:c r="I125" s="2" t="str">
        <x:f>IF(B125="","",'Motor_Meciuri'!H14)</x:f>
      </x:c>
      <x:c r="J125" s="2" t="str">
        <x:f>IF(B125="","",'Motor_Meciuri'!I14)</x:f>
      </x:c>
      <x:c r="K125" s="11" t="str">
        <x:f>IF(J125&lt;&gt;"PASS","",'Motor_Meciuri'!BD14)</x:f>
      </x:c>
      <x:c r="L125" s="11" t="str">
        <x:f>IF(J125&lt;&gt;"PASS","",'Motor_Meciuri'!AU14)</x:f>
      </x:c>
      <x:c r="M125" s="10" t="str">
        <x:f>IF(NOT(AND(J125="PASS",'Calibrare_Linii'!U13="VALID")),"",'Distributie'!AI14)</x:f>
      </x:c>
      <x:c r="N125" s="10" t="str">
        <x:f>IF(M125="","",MAX(0.01,MIN(0.99,0.5+(M125-0.5)*'Motor_Meciuri'!BG14*'Calibrare_Linii'!D13)))</x:f>
      </x:c>
      <x:c r="O125" s="10" t="str">
        <x:f>IF(M125="","",1-M125)</x:f>
      </x:c>
      <x:c r="P125" s="10" t="str">
        <x:f>IF(OR(NOT(AND(J125="PASS",'Calibrare_Linii'!U13="VALID")),AK125=0),""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*('Istoric_Nativ'!$Q$6:$Q$405&gt;H125))/AK125)</x:f>
      </x:c>
      <x:c r="Q125" s="10" t="str">
        <x:f>IF(OR(NOT(AND(J125="PASS",'Calibrare_Linii'!U13="VALID")),AL125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M14)+((('Istoric_Nativ'!$E$6:$E$405='Input_Meci'!E14)+('Istoric_Nativ'!$F$6:$F$405='Input_Meci'!E14))&gt;0)*('Istoric_Nativ'!$D$6:$D$405&gt;='Motor_Meciuri'!BN14))&gt;0)*('Istoric_Nativ'!$Q$6:$Q$405&gt;H125))/AL125)</x:f>
      </x:c>
      <x:c r="R125" s="10" t="str">
        <x:f>IF(OR(NOT(AND(J125="PASS",'Calibrare_Linii'!U13="VALID")),AM125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O14)+((('Istoric_Nativ'!$E$6:$E$405='Input_Meci'!E14)+('Istoric_Nativ'!$F$6:$F$405='Input_Meci'!E14))&gt;0)*('Istoric_Nativ'!$D$6:$D$405&gt;='Motor_Meciuri'!BP14))&gt;0)*('Istoric_Nativ'!$Q$6:$Q$405&gt;H125))/AM125)</x:f>
      </x:c>
      <x:c r="S125" s="10" t="str">
        <x:f>IF(M125="","",MAX(O125,P125,Q125,R125))</x:f>
      </x:c>
      <x:c r="T125" s="11" t="str">
        <x:f>IF(M125="","",MIN(100,S125*100*'Config_v6'!$B$44+MIN(100,L125/'Config_v6'!$B$13*100)*'Config_v6'!$B$45+(100-'Motor_Meciuri'!BF14)*'Config_v6'!$B$46+'Motor_Meciuri'!BH14*100*'Config_v6'!$B$47))</x:f>
      </x:c>
      <x:c r="U125" s="2" t="str">
        <x:f>IF(T125="","",IF(T125&lt;=20,1,IF(T125&lt;=40,2,IF(T125&lt;=60,3,IF(T125&lt;=80,4,5)))))</x:f>
      </x:c>
      <x:c r="V125" s="2" t="str">
        <x:f>IF(M125="","",MAX(0,'Motor_Meciuri'!BF14-IF(W125="OOS PENDING",'Config_v6'!$B$35,0)-IF(L125&gt;'Config_v6'!$B$12,'Config_v6'!$B$37,IF(L125&gt;'Config_v6'!$B$11,'Config_v6'!$B$36,0))))</x:f>
      </x:c>
      <x:c r="W125" s="2" t="str">
        <x:f>IF(B125="","",IF(I125&lt;&gt;"READY","NOT RELEASED",IF(NOT(AND(J125="PASS",'Calibrare_Linii'!U13="VALID")),"INVALID",IF(NOT(AND('Calibrare_Linii'!S13="VALIDATED",AND('Calibrare_Linii'!H13=C125,ISNUMBER('Calibrare_Linii'!J13),'Calibrare_Linii'!J13&lt;='Input_Meci'!G14))),"OOS PENDING",IF(S125&lt;='Calibrare_Linii'!E13,"PASS",IF(S125&lt;='Calibrare_Linii'!F13,"PENALTY","WATCH"))))))</x:f>
      </x:c>
      <x:c r="X125" s="2" t="str">
        <x:f>IF(M125="","",IF(AND(AND(J125="PASS",'Calibrare_Linii'!U13="VALID"),'Motor_Meciuri'!K14=12,'Motor_Meciuri'!L14=12,'Motor_Meciuri'!M14="NO",'Motor_Meciuri'!BL14='Motor_Meciuri'!C14,AB125&gt;='Config_v6'!$B$50,AN125&gt;='Config_v6'!$B$51,T125&lt;='Config_v6'!$B$52,L125&lt;='Config_v6'!$B$53,ISNUMBER('Calibrare_Linii'!E13),S125&lt;='Calibrare_Linii'!E13,SUM(AK125:AM125)&gt;0),"CANDIDATE","NO"))</x:f>
      </x:c>
      <x:c r="Y125" s="2" t="str">
        <x:f>IF(B125="","",IF(I125&lt;&gt;"READY","NOT RELEASED",IF(AND(X125="CANDIDATE",V125&gt;='Config_v6'!$B$51,W125="PASS",'Calibrare_Linii'!T13="VALIDATED",AND('Calibrare_Linii'!H13=C125,ISNUMBER('Calibrare_Linii'!J13),'Calibrare_Linii'!J13&lt;='Input_Meci'!G14)),"PASS",IF(X125="CANDIDATE","OOS PENDING","FAIL"))))</x:f>
      </x:c>
      <x:c r="Z125" s="2" t="str">
        <x:f>IF(B125="","",IF(I125&lt;&gt;"READY","",IF(OR(NOT(AND(J125="PASS",'Calibrare_Linii'!U13="VALID")),L125&gt;'Config_v6'!$B$13,W125="WATCH"),5,IF(Y125="PASS",1,MIN(5,MAX('Config_v6'!$B$42,U125)+IF(W125="PENALTY",1,0))))))</x:f>
      </x:c>
      <x:c r="AA125" s="2" t="str">
        <x:f>IF(B125="","",IF(I125&lt;&gt;"READY","NOT RELEASED",IF(Z125=5,"NO BET",IF(OR(AB125&lt;'Config_v6'!$B$16,V125&lt;'Config_v6'!$B$18),"WATCH",IF(Z125=1,"DEFENSIV",IF(Z125=2,"PRUDENT",IF(Z125=3,"MODERAT","RIDICAT")))))))</x:f>
      </x:c>
      <x:c r="AB125" s="10" t="str">
        <x:f>IF(N125="","",MIN(N125,1-S125))</x:f>
      </x:c>
      <x:c r="AC125" s="2" t="str">
        <x:f>IF(AD125&lt;&gt;1,"",COUNTIFS($Z$118:$Z$131,"&lt;"&amp;Z125,$AD$118:$AD$131,1)+COUNTIFS($Z$118:$Z$131,Z125,$AB$118:$AB$131,"&gt;"&amp;AB125,$AD$118:$AD$131,1)+COUNTIFS($Z$118:$Z$131,Z125,$AB$118:$AB$131,AB125,$V$118:$V$131,"&gt;"&amp;V125,$AD$118:$AD$131,1)+COUNTIFS($Z$118:Z125,Z125,$AB$118:AB125,AB125,$V$118:V125,V125,$AD$118:AD125,1))</x:f>
      </x:c>
      <x:c r="AD125" s="2" t="n">
        <x:f>IF(OR(AA125="DEFENSIV",AA125="PRUDENT",AA125="MODERAT",AA125="RIDICAT"),1,0)</x:f>
        <x:v>0</x:v>
      </x:c>
      <x:c r="AE125" s="2" t="str">
        <x:f>IF(AD125&lt;&gt;1,"NO",IF(W125="PASS","YES",IF(W125="OOS PENDING","CONDITIONAL","NO")))</x:f>
        <x:v>NO</x:v>
      </x:c>
      <x:c r="AF125" s="2" t="n">
        <x:f>IF(AND(AD125=1,AC125=1,E125="LIVE"),1,0)</x:f>
        <x:v>0</x:v>
      </x:c>
      <x:c r="AG125" s="2" t="str">
        <x:f>IF(AF125&lt;&gt;1,"",'Dashboard'!P34)</x:f>
      </x:c>
      <x:c r="AH125" s="2" t="str">
        <x:f>IF(B125="","",IF(J125&lt;&gt;"PASS",'Motor_Meciuri'!J14,IF('Calibrare_Linii'!U13&lt;&gt;"VALID","Parametri linie invalizi",IF(L125&gt;'Config_v6'!$B$13,"Dispersie peste limita",IF(W125="WATCH","Failure peste limita",IF(AB125&lt;'Config_v6'!$B$16,"P finala sub prag",IF(V125&lt;'Config_v6'!$B$18,"Confidence sub prag",IF(E125="REPLAY","Exemplu retrospectiv; exclus din Top LIVE",IF(Y125="PASS","DEFENSIV validat",IF(W125="OOS PENDING","Eligibil; calibrare linie in monitorizare","Eligibil"))))))))))</x:f>
      </x:c>
      <x:c r="AI125" s="2" t="str">
        <x:f>IF(B125="","",'Calibrare_Linii'!V13)</x:f>
      </x:c>
      <x:c r="AJ125" s="2" t="str">
        <x:f>IF(B125="","",IF(AND('Calibrare_Linii'!T13="VALIDATED",AND('Calibrare_Linii'!H13=C125,ISNUMBER('Calibrare_Linii'!J13),'Calibrare_Linii'!J13&lt;='Input_Meci'!G14)),"DEFENSIVE VALIDATED",IF(AND('Calibrare_Linii'!S13="VALIDATED",AND('Calibrare_Linii'!H13=C125,ISNUMBER('Calibrare_Linii'!J13),'Calibrare_Linii'!J13&lt;='Input_Meci'!G14)),"TAIL VALIDATED","OOS PENDING")))</x:f>
      </x:c>
      <x:c r="AK125" s="2" t="n">
        <x:f>IF(J125&lt;&gt;"PASS",0,'Motor_Meciuri'!BR14)</x:f>
        <x:v>0</x:v>
      </x:c>
      <x:c r="AL125" s="2" t="n">
        <x:f>IF(J125&lt;&gt;"PASS",0,'Motor_Meciuri'!BS14)</x:f>
        <x:v>0</x:v>
      </x:c>
      <x:c r="AM125" s="2" t="n">
        <x:f>IF(J125&lt;&gt;"PASS",0,'Motor_Meciuri'!BT14)</x:f>
        <x:v>0</x:v>
      </x:c>
      <x:c r="AN125" s="2" t="str">
        <x:f>IF(M125="","",MAX(0,'Motor_Meciuri'!BF14-IF(L125&gt;'Config_v6'!$B$12,'Config_v6'!$B$37,IF(L125&gt;'Config_v6'!$B$11,'Config_v6'!$B$36,0))))</x:f>
      </x:c>
    </x:row>
    <x:row r="126" ht="21" customHeight="1">
      <x:c r="A126" s="2" t="n">
        <x:v>9</x:v>
      </x:c>
      <x:c r="B126" s="2" t="str">
        <x:f>IF('Motor_Meciuri'!A14="","",'Motor_Meciuri'!A14)</x:f>
      </x:c>
      <x:c r="C126" s="2" t="str">
        <x:f>IF(B126="","",'Motor_Meciuri'!B14)</x:f>
      </x:c>
      <x:c r="D126" s="2" t="str">
        <x:f>IF(B126="","",'Motor_Meciuri'!D14)</x:f>
      </x:c>
      <x:c r="E126" s="2" t="str">
        <x:f>IF(B126="","",'Motor_Meciuri'!E14)</x:f>
      </x:c>
      <x:c r="F126" s="2" t="str">
        <x:v>U12,5</x:v>
      </x:c>
      <x:c r="G126" s="2" t="str">
        <x:v>UNDER</x:v>
      </x:c>
      <x:c r="H126" s="2" t="n">
        <x:v>12</x:v>
      </x:c>
      <x:c r="I126" s="2" t="str">
        <x:f>IF(B126="","",'Motor_Meciuri'!H14)</x:f>
      </x:c>
      <x:c r="J126" s="2" t="str">
        <x:f>IF(B126="","",'Motor_Meciuri'!I14)</x:f>
      </x:c>
      <x:c r="K126" s="11" t="str">
        <x:f>IF(J126&lt;&gt;"PASS","",'Motor_Meciuri'!BD14)</x:f>
      </x:c>
      <x:c r="L126" s="11" t="str">
        <x:f>IF(J126&lt;&gt;"PASS","",'Motor_Meciuri'!AU14)</x:f>
      </x:c>
      <x:c r="M126" s="10" t="str">
        <x:f>IF(NOT(AND(J126="PASS",'Calibrare_Linii'!U14="VALID")),"",'Distributie'!AJ14)</x:f>
      </x:c>
      <x:c r="N126" s="10" t="str">
        <x:f>IF(M126="","",MAX(0.01,MIN(0.99,0.5+(M126-0.5)*'Motor_Meciuri'!BG14*'Calibrare_Linii'!D14)))</x:f>
      </x:c>
      <x:c r="O126" s="10" t="str">
        <x:f>IF(M126="","",1-M126)</x:f>
      </x:c>
      <x:c r="P126" s="10" t="str">
        <x:f>IF(OR(NOT(AND(J126="PASS",'Calibrare_Linii'!U14="VALID")),AK126=0),""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*('Istoric_Nativ'!$Q$6:$Q$405&gt;H126))/AK126)</x:f>
      </x:c>
      <x:c r="Q126" s="10" t="str">
        <x:f>IF(OR(NOT(AND(J126="PASS",'Calibrare_Linii'!U14="VALID")),AL126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M14)+((('Istoric_Nativ'!$E$6:$E$405='Input_Meci'!E14)+('Istoric_Nativ'!$F$6:$F$405='Input_Meci'!E14))&gt;0)*('Istoric_Nativ'!$D$6:$D$405&gt;='Motor_Meciuri'!BN14))&gt;0)*('Istoric_Nativ'!$Q$6:$Q$405&gt;H126))/AL126)</x:f>
      </x:c>
      <x:c r="R126" s="10" t="str">
        <x:f>IF(OR(NOT(AND(J126="PASS",'Calibrare_Linii'!U14="VALID")),AM126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O14)+((('Istoric_Nativ'!$E$6:$E$405='Input_Meci'!E14)+('Istoric_Nativ'!$F$6:$F$405='Input_Meci'!E14))&gt;0)*('Istoric_Nativ'!$D$6:$D$405&gt;='Motor_Meciuri'!BP14))&gt;0)*('Istoric_Nativ'!$Q$6:$Q$405&gt;H126))/AM126)</x:f>
      </x:c>
      <x:c r="S126" s="10" t="str">
        <x:f>IF(M126="","",MAX(O126,P126,Q126,R126))</x:f>
      </x:c>
      <x:c r="T126" s="11" t="str">
        <x:f>IF(M126="","",MIN(100,S126*100*'Config_v6'!$B$44+MIN(100,L126/'Config_v6'!$B$13*100)*'Config_v6'!$B$45+(100-'Motor_Meciuri'!BF14)*'Config_v6'!$B$46+'Motor_Meciuri'!BH14*100*'Config_v6'!$B$47))</x:f>
      </x:c>
      <x:c r="U126" s="2" t="str">
        <x:f>IF(T126="","",IF(T126&lt;=20,1,IF(T126&lt;=40,2,IF(T126&lt;=60,3,IF(T126&lt;=80,4,5)))))</x:f>
      </x:c>
      <x:c r="V126" s="2" t="str">
        <x:f>IF(M126="","",MAX(0,'Motor_Meciuri'!BF14-IF(W126="OOS PENDING",'Config_v6'!$B$35,0)-IF(L126&gt;'Config_v6'!$B$12,'Config_v6'!$B$37,IF(L126&gt;'Config_v6'!$B$11,'Config_v6'!$B$36,0))))</x:f>
      </x:c>
      <x:c r="W126" s="2" t="str">
        <x:f>IF(B126="","",IF(I126&lt;&gt;"READY","NOT RELEASED",IF(NOT(AND(J126="PASS",'Calibrare_Linii'!U14="VALID")),"INVALID",IF(NOT(AND('Calibrare_Linii'!S14="VALIDATED",AND('Calibrare_Linii'!H14=C126,ISNUMBER('Calibrare_Linii'!J14),'Calibrare_Linii'!J14&lt;='Input_Meci'!G14))),"OOS PENDING",IF(S126&lt;='Calibrare_Linii'!E14,"PASS",IF(S126&lt;='Calibrare_Linii'!F14,"PENALTY","WATCH"))))))</x:f>
      </x:c>
      <x:c r="X126" s="2" t="str">
        <x:f>IF(M126="","",IF(AND(AND(J126="PASS",'Calibrare_Linii'!U14="VALID"),'Motor_Meciuri'!K14=12,'Motor_Meciuri'!L14=12,'Motor_Meciuri'!M14="NO",'Motor_Meciuri'!BL14='Motor_Meciuri'!C14,AB126&gt;='Config_v6'!$B$50,AN126&gt;='Config_v6'!$B$51,T126&lt;='Config_v6'!$B$52,L126&lt;='Config_v6'!$B$53,ISNUMBER('Calibrare_Linii'!E14),S126&lt;='Calibrare_Linii'!E14,SUM(AK126:AM126)&gt;0),"CANDIDATE","NO"))</x:f>
      </x:c>
      <x:c r="Y126" s="2" t="str">
        <x:f>IF(B126="","",IF(I126&lt;&gt;"READY","NOT RELEASED",IF(AND(X126="CANDIDATE",V126&gt;='Config_v6'!$B$51,W126="PASS",'Calibrare_Linii'!T14="VALIDATED",AND('Calibrare_Linii'!H14=C126,ISNUMBER('Calibrare_Linii'!J14),'Calibrare_Linii'!J14&lt;='Input_Meci'!G14)),"PASS",IF(X126="CANDIDATE","OOS PENDING","FAIL"))))</x:f>
      </x:c>
      <x:c r="Z126" s="2" t="str">
        <x:f>IF(B126="","",IF(I126&lt;&gt;"READY","",IF(OR(NOT(AND(J126="PASS",'Calibrare_Linii'!U14="VALID")),L126&gt;'Config_v6'!$B$13,W126="WATCH"),5,IF(Y126="PASS",1,MIN(5,MAX('Config_v6'!$B$42,U126)+IF(W126="PENALTY",1,0))))))</x:f>
      </x:c>
      <x:c r="AA126" s="2" t="str">
        <x:f>IF(B126="","",IF(I126&lt;&gt;"READY","NOT RELEASED",IF(Z126=5,"NO BET",IF(OR(AB126&lt;'Config_v6'!$B$16,V126&lt;'Config_v6'!$B$18),"WATCH",IF(Z126=1,"DEFENSIV",IF(Z126=2,"PRUDENT",IF(Z126=3,"MODERAT","RIDICAT")))))))</x:f>
      </x:c>
      <x:c r="AB126" s="10" t="str">
        <x:f>IF(N126="","",MIN(N126,1-S126))</x:f>
      </x:c>
      <x:c r="AC126" s="2" t="str">
        <x:f>IF(AD126&lt;&gt;1,"",COUNTIFS($Z$118:$Z$131,"&lt;"&amp;Z126,$AD$118:$AD$131,1)+COUNTIFS($Z$118:$Z$131,Z126,$AB$118:$AB$131,"&gt;"&amp;AB126,$AD$118:$AD$131,1)+COUNTIFS($Z$118:$Z$131,Z126,$AB$118:$AB$131,AB126,$V$118:$V$131,"&gt;"&amp;V126,$AD$118:$AD$131,1)+COUNTIFS($Z$118:Z126,Z126,$AB$118:AB126,AB126,$V$118:V126,V126,$AD$118:AD126,1))</x:f>
      </x:c>
      <x:c r="AD126" s="2" t="n">
        <x:f>IF(OR(AA126="DEFENSIV",AA126="PRUDENT",AA126="MODERAT",AA126="RIDICAT"),1,0)</x:f>
        <x:v>0</x:v>
      </x:c>
      <x:c r="AE126" s="2" t="str">
        <x:f>IF(AD126&lt;&gt;1,"NO",IF(W126="PASS","YES",IF(W126="OOS PENDING","CONDITIONAL","NO")))</x:f>
        <x:v>NO</x:v>
      </x:c>
      <x:c r="AF126" s="2" t="n">
        <x:f>IF(AND(AD126=1,AC126=1,E126="LIVE"),1,0)</x:f>
        <x:v>0</x:v>
      </x:c>
      <x:c r="AG126" s="2" t="str">
        <x:f>IF(AF126&lt;&gt;1,"",'Dashboard'!P34)</x:f>
      </x:c>
      <x:c r="AH126" s="2" t="str">
        <x:f>IF(B126="","",IF(J126&lt;&gt;"PASS",'Motor_Meciuri'!J14,IF('Calibrare_Linii'!U14&lt;&gt;"VALID","Parametri linie invalizi",IF(L126&gt;'Config_v6'!$B$13,"Dispersie peste limita",IF(W126="WATCH","Failure peste limita",IF(AB126&lt;'Config_v6'!$B$16,"P finala sub prag",IF(V126&lt;'Config_v6'!$B$18,"Confidence sub prag",IF(E126="REPLAY","Exemplu retrospectiv; exclus din Top LIVE",IF(Y126="PASS","DEFENSIV validat",IF(W126="OOS PENDING","Eligibil; calibrare linie in monitorizare","Eligibil"))))))))))</x:f>
      </x:c>
      <x:c r="AI126" s="2" t="str">
        <x:f>IF(B126="","",'Calibrare_Linii'!V14)</x:f>
      </x:c>
      <x:c r="AJ126" s="2" t="str">
        <x:f>IF(B126="","",IF(AND('Calibrare_Linii'!T14="VALIDATED",AND('Calibrare_Linii'!H14=C126,ISNUMBER('Calibrare_Linii'!J14),'Calibrare_Linii'!J14&lt;='Input_Meci'!G14)),"DEFENSIVE VALIDATED",IF(AND('Calibrare_Linii'!S14="VALIDATED",AND('Calibrare_Linii'!H14=C126,ISNUMBER('Calibrare_Linii'!J14),'Calibrare_Linii'!J14&lt;='Input_Meci'!G14)),"TAIL VALIDATED","OOS PENDING")))</x:f>
      </x:c>
      <x:c r="AK126" s="2" t="n">
        <x:f>IF(J126&lt;&gt;"PASS",0,'Motor_Meciuri'!BR14)</x:f>
        <x:v>0</x:v>
      </x:c>
      <x:c r="AL126" s="2" t="n">
        <x:f>IF(J126&lt;&gt;"PASS",0,'Motor_Meciuri'!BS14)</x:f>
        <x:v>0</x:v>
      </x:c>
      <x:c r="AM126" s="2" t="n">
        <x:f>IF(J126&lt;&gt;"PASS",0,'Motor_Meciuri'!BT14)</x:f>
        <x:v>0</x:v>
      </x:c>
      <x:c r="AN126" s="2" t="str">
        <x:f>IF(M126="","",MAX(0,'Motor_Meciuri'!BF14-IF(L126&gt;'Config_v6'!$B$12,'Config_v6'!$B$37,IF(L126&gt;'Config_v6'!$B$11,'Config_v6'!$B$36,0))))</x:f>
      </x:c>
    </x:row>
    <x:row r="127" ht="21" customHeight="1">
      <x:c r="A127" s="2" t="n">
        <x:v>9</x:v>
      </x:c>
      <x:c r="B127" s="2" t="str">
        <x:f>IF('Motor_Meciuri'!A14="","",'Motor_Meciuri'!A14)</x:f>
      </x:c>
      <x:c r="C127" s="2" t="str">
        <x:f>IF(B127="","",'Motor_Meciuri'!B14)</x:f>
      </x:c>
      <x:c r="D127" s="2" t="str">
        <x:f>IF(B127="","",'Motor_Meciuri'!D14)</x:f>
      </x:c>
      <x:c r="E127" s="2" t="str">
        <x:f>IF(B127="","",'Motor_Meciuri'!E14)</x:f>
      </x:c>
      <x:c r="F127" s="2" t="str">
        <x:v>U13,5</x:v>
      </x:c>
      <x:c r="G127" s="2" t="str">
        <x:v>UNDER</x:v>
      </x:c>
      <x:c r="H127" s="2" t="n">
        <x:v>13</x:v>
      </x:c>
      <x:c r="I127" s="2" t="str">
        <x:f>IF(B127="","",'Motor_Meciuri'!H14)</x:f>
      </x:c>
      <x:c r="J127" s="2" t="str">
        <x:f>IF(B127="","",'Motor_Meciuri'!I14)</x:f>
      </x:c>
      <x:c r="K127" s="11" t="str">
        <x:f>IF(J127&lt;&gt;"PASS","",'Motor_Meciuri'!BD14)</x:f>
      </x:c>
      <x:c r="L127" s="11" t="str">
        <x:f>IF(J127&lt;&gt;"PASS","",'Motor_Meciuri'!AU14)</x:f>
      </x:c>
      <x:c r="M127" s="10" t="str">
        <x:f>IF(NOT(AND(J127="PASS",'Calibrare_Linii'!U15="VALID")),"",'Distributie'!AK14)</x:f>
      </x:c>
      <x:c r="N127" s="10" t="str">
        <x:f>IF(M127="","",MAX(0.01,MIN(0.99,0.5+(M127-0.5)*'Motor_Meciuri'!BG14*'Calibrare_Linii'!D15)))</x:f>
      </x:c>
      <x:c r="O127" s="10" t="str">
        <x:f>IF(M127="","",1-M127)</x:f>
      </x:c>
      <x:c r="P127" s="10" t="str">
        <x:f>IF(OR(NOT(AND(J127="PASS",'Calibrare_Linii'!U15="VALID")),AK127=0),""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*('Istoric_Nativ'!$Q$6:$Q$405&gt;H127))/AK127)</x:f>
      </x:c>
      <x:c r="Q127" s="10" t="str">
        <x:f>IF(OR(NOT(AND(J127="PASS",'Calibrare_Linii'!U15="VALID")),AL127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M14)+((('Istoric_Nativ'!$E$6:$E$405='Input_Meci'!E14)+('Istoric_Nativ'!$F$6:$F$405='Input_Meci'!E14))&gt;0)*('Istoric_Nativ'!$D$6:$D$405&gt;='Motor_Meciuri'!BN14))&gt;0)*('Istoric_Nativ'!$Q$6:$Q$405&gt;H127))/AL127)</x:f>
      </x:c>
      <x:c r="R127" s="10" t="str">
        <x:f>IF(OR(NOT(AND(J127="PASS",'Calibrare_Linii'!U15="VALID")),AM127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O14)+((('Istoric_Nativ'!$E$6:$E$405='Input_Meci'!E14)+('Istoric_Nativ'!$F$6:$F$405='Input_Meci'!E14))&gt;0)*('Istoric_Nativ'!$D$6:$D$405&gt;='Motor_Meciuri'!BP14))&gt;0)*('Istoric_Nativ'!$Q$6:$Q$405&gt;H127))/AM127)</x:f>
      </x:c>
      <x:c r="S127" s="10" t="str">
        <x:f>IF(M127="","",MAX(O127,P127,Q127,R127))</x:f>
      </x:c>
      <x:c r="T127" s="11" t="str">
        <x:f>IF(M127="","",MIN(100,S127*100*'Config_v6'!$B$44+MIN(100,L127/'Config_v6'!$B$13*100)*'Config_v6'!$B$45+(100-'Motor_Meciuri'!BF14)*'Config_v6'!$B$46+'Motor_Meciuri'!BH14*100*'Config_v6'!$B$47))</x:f>
      </x:c>
      <x:c r="U127" s="2" t="str">
        <x:f>IF(T127="","",IF(T127&lt;=20,1,IF(T127&lt;=40,2,IF(T127&lt;=60,3,IF(T127&lt;=80,4,5)))))</x:f>
      </x:c>
      <x:c r="V127" s="2" t="str">
        <x:f>IF(M127="","",MAX(0,'Motor_Meciuri'!BF14-IF(W127="OOS PENDING",'Config_v6'!$B$35,0)-IF(L127&gt;'Config_v6'!$B$12,'Config_v6'!$B$37,IF(L127&gt;'Config_v6'!$B$11,'Config_v6'!$B$36,0))))</x:f>
      </x:c>
      <x:c r="W127" s="2" t="str">
        <x:f>IF(B127="","",IF(I127&lt;&gt;"READY","NOT RELEASED",IF(NOT(AND(J127="PASS",'Calibrare_Linii'!U15="VALID")),"INVALID",IF(NOT(AND('Calibrare_Linii'!S15="VALIDATED",AND('Calibrare_Linii'!H15=C127,ISNUMBER('Calibrare_Linii'!J15),'Calibrare_Linii'!J15&lt;='Input_Meci'!G14))),"OOS PENDING",IF(S127&lt;='Calibrare_Linii'!E15,"PASS",IF(S127&lt;='Calibrare_Linii'!F15,"PENALTY","WATCH"))))))</x:f>
      </x:c>
      <x:c r="X127" s="2" t="str">
        <x:f>IF(M127="","",IF(AND(AND(J127="PASS",'Calibrare_Linii'!U15="VALID"),'Motor_Meciuri'!K14=12,'Motor_Meciuri'!L14=12,'Motor_Meciuri'!M14="NO",'Motor_Meciuri'!BL14='Motor_Meciuri'!C14,AB127&gt;='Config_v6'!$B$50,AN127&gt;='Config_v6'!$B$51,T127&lt;='Config_v6'!$B$52,L127&lt;='Config_v6'!$B$53,ISNUMBER('Calibrare_Linii'!E15),S127&lt;='Calibrare_Linii'!E15,SUM(AK127:AM127)&gt;0),"CANDIDATE","NO"))</x:f>
      </x:c>
      <x:c r="Y127" s="2" t="str">
        <x:f>IF(B127="","",IF(I127&lt;&gt;"READY","NOT RELEASED",IF(AND(X127="CANDIDATE",V127&gt;='Config_v6'!$B$51,W127="PASS",'Calibrare_Linii'!T15="VALIDATED",AND('Calibrare_Linii'!H15=C127,ISNUMBER('Calibrare_Linii'!J15),'Calibrare_Linii'!J15&lt;='Input_Meci'!G14)),"PASS",IF(X127="CANDIDATE","OOS PENDING","FAIL"))))</x:f>
      </x:c>
      <x:c r="Z127" s="2" t="str">
        <x:f>IF(B127="","",IF(I127&lt;&gt;"READY","",IF(OR(NOT(AND(J127="PASS",'Calibrare_Linii'!U15="VALID")),L127&gt;'Config_v6'!$B$13,W127="WATCH"),5,IF(Y127="PASS",1,MIN(5,MAX('Config_v6'!$B$42,U127)+IF(W127="PENALTY",1,0))))))</x:f>
      </x:c>
      <x:c r="AA127" s="2" t="str">
        <x:f>IF(B127="","",IF(I127&lt;&gt;"READY","NOT RELEASED",IF(Z127=5,"NO BET",IF(OR(AB127&lt;'Config_v6'!$B$16,V127&lt;'Config_v6'!$B$18),"WATCH",IF(Z127=1,"DEFENSIV",IF(Z127=2,"PRUDENT",IF(Z127=3,"MODERAT","RIDICAT")))))))</x:f>
      </x:c>
      <x:c r="AB127" s="10" t="str">
        <x:f>IF(N127="","",MIN(N127,1-S127))</x:f>
      </x:c>
      <x:c r="AC127" s="2" t="str">
        <x:f>IF(AD127&lt;&gt;1,"",COUNTIFS($Z$118:$Z$131,"&lt;"&amp;Z127,$AD$118:$AD$131,1)+COUNTIFS($Z$118:$Z$131,Z127,$AB$118:$AB$131,"&gt;"&amp;AB127,$AD$118:$AD$131,1)+COUNTIFS($Z$118:$Z$131,Z127,$AB$118:$AB$131,AB127,$V$118:$V$131,"&gt;"&amp;V127,$AD$118:$AD$131,1)+COUNTIFS($Z$118:Z127,Z127,$AB$118:AB127,AB127,$V$118:V127,V127,$AD$118:AD127,1))</x:f>
      </x:c>
      <x:c r="AD127" s="2" t="n">
        <x:f>IF(OR(AA127="DEFENSIV",AA127="PRUDENT",AA127="MODERAT",AA127="RIDICAT"),1,0)</x:f>
        <x:v>0</x:v>
      </x:c>
      <x:c r="AE127" s="2" t="str">
        <x:f>IF(AD127&lt;&gt;1,"NO",IF(W127="PASS","YES",IF(W127="OOS PENDING","CONDITIONAL","NO")))</x:f>
        <x:v>NO</x:v>
      </x:c>
      <x:c r="AF127" s="2" t="n">
        <x:f>IF(AND(AD127=1,AC127=1,E127="LIVE"),1,0)</x:f>
        <x:v>0</x:v>
      </x:c>
      <x:c r="AG127" s="2" t="str">
        <x:f>IF(AF127&lt;&gt;1,"",'Dashboard'!P34)</x:f>
      </x:c>
      <x:c r="AH127" s="2" t="str">
        <x:f>IF(B127="","",IF(J127&lt;&gt;"PASS",'Motor_Meciuri'!J14,IF('Calibrare_Linii'!U15&lt;&gt;"VALID","Parametri linie invalizi",IF(L127&gt;'Config_v6'!$B$13,"Dispersie peste limita",IF(W127="WATCH","Failure peste limita",IF(AB127&lt;'Config_v6'!$B$16,"P finala sub prag",IF(V127&lt;'Config_v6'!$B$18,"Confidence sub prag",IF(E127="REPLAY","Exemplu retrospectiv; exclus din Top LIVE",IF(Y127="PASS","DEFENSIV validat",IF(W127="OOS PENDING","Eligibil; calibrare linie in monitorizare","Eligibil"))))))))))</x:f>
      </x:c>
      <x:c r="AI127" s="2" t="str">
        <x:f>IF(B127="","",'Calibrare_Linii'!V15)</x:f>
      </x:c>
      <x:c r="AJ127" s="2" t="str">
        <x:f>IF(B127="","",IF(AND('Calibrare_Linii'!T15="VALIDATED",AND('Calibrare_Linii'!H15=C127,ISNUMBER('Calibrare_Linii'!J15),'Calibrare_Linii'!J15&lt;='Input_Meci'!G14)),"DEFENSIVE VALIDATED",IF(AND('Calibrare_Linii'!S15="VALIDATED",AND('Calibrare_Linii'!H15=C127,ISNUMBER('Calibrare_Linii'!J15),'Calibrare_Linii'!J15&lt;='Input_Meci'!G14)),"TAIL VALIDATED","OOS PENDING")))</x:f>
      </x:c>
      <x:c r="AK127" s="2" t="n">
        <x:f>IF(J127&lt;&gt;"PASS",0,'Motor_Meciuri'!BR14)</x:f>
        <x:v>0</x:v>
      </x:c>
      <x:c r="AL127" s="2" t="n">
        <x:f>IF(J127&lt;&gt;"PASS",0,'Motor_Meciuri'!BS14)</x:f>
        <x:v>0</x:v>
      </x:c>
      <x:c r="AM127" s="2" t="n">
        <x:f>IF(J127&lt;&gt;"PASS",0,'Motor_Meciuri'!BT14)</x:f>
        <x:v>0</x:v>
      </x:c>
      <x:c r="AN127" s="2" t="str">
        <x:f>IF(M127="","",MAX(0,'Motor_Meciuri'!BF14-IF(L127&gt;'Config_v6'!$B$12,'Config_v6'!$B$37,IF(L127&gt;'Config_v6'!$B$11,'Config_v6'!$B$36,0))))</x:f>
      </x:c>
    </x:row>
    <x:row r="128" ht="21" customHeight="1">
      <x:c r="A128" s="2" t="n">
        <x:v>9</x:v>
      </x:c>
      <x:c r="B128" s="2" t="str">
        <x:f>IF('Motor_Meciuri'!A14="","",'Motor_Meciuri'!A14)</x:f>
      </x:c>
      <x:c r="C128" s="2" t="str">
        <x:f>IF(B128="","",'Motor_Meciuri'!B14)</x:f>
      </x:c>
      <x:c r="D128" s="2" t="str">
        <x:f>IF(B128="","",'Motor_Meciuri'!D14)</x:f>
      </x:c>
      <x:c r="E128" s="2" t="str">
        <x:f>IF(B128="","",'Motor_Meciuri'!E14)</x:f>
      </x:c>
      <x:c r="F128" s="2" t="str">
        <x:v>U14,5</x:v>
      </x:c>
      <x:c r="G128" s="2" t="str">
        <x:v>UNDER</x:v>
      </x:c>
      <x:c r="H128" s="2" t="n">
        <x:v>14</x:v>
      </x:c>
      <x:c r="I128" s="2" t="str">
        <x:f>IF(B128="","",'Motor_Meciuri'!H14)</x:f>
      </x:c>
      <x:c r="J128" s="2" t="str">
        <x:f>IF(B128="","",'Motor_Meciuri'!I14)</x:f>
      </x:c>
      <x:c r="K128" s="11" t="str">
        <x:f>IF(J128&lt;&gt;"PASS","",'Motor_Meciuri'!BD14)</x:f>
      </x:c>
      <x:c r="L128" s="11" t="str">
        <x:f>IF(J128&lt;&gt;"PASS","",'Motor_Meciuri'!AU14)</x:f>
      </x:c>
      <x:c r="M128" s="10" t="str">
        <x:f>IF(NOT(AND(J128="PASS",'Calibrare_Linii'!U16="VALID")),"",'Distributie'!AL14)</x:f>
      </x:c>
      <x:c r="N128" s="10" t="str">
        <x:f>IF(M128="","",MAX(0.01,MIN(0.99,0.5+(M128-0.5)*'Motor_Meciuri'!BG14*'Calibrare_Linii'!D16)))</x:f>
      </x:c>
      <x:c r="O128" s="10" t="str">
        <x:f>IF(M128="","",1-M128)</x:f>
      </x:c>
      <x:c r="P128" s="10" t="str">
        <x:f>IF(OR(NOT(AND(J128="PASS",'Calibrare_Linii'!U16="VALID")),AK128=0),""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*('Istoric_Nativ'!$Q$6:$Q$405&gt;H128))/AK128)</x:f>
      </x:c>
      <x:c r="Q128" s="10" t="str">
        <x:f>IF(OR(NOT(AND(J128="PASS",'Calibrare_Linii'!U16="VALID")),AL128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M14)+((('Istoric_Nativ'!$E$6:$E$405='Input_Meci'!E14)+('Istoric_Nativ'!$F$6:$F$405='Input_Meci'!E14))&gt;0)*('Istoric_Nativ'!$D$6:$D$405&gt;='Motor_Meciuri'!BN14))&gt;0)*('Istoric_Nativ'!$Q$6:$Q$405&gt;H128))/AL128)</x:f>
      </x:c>
      <x:c r="R128" s="10" t="str">
        <x:f>IF(OR(NOT(AND(J128="PASS",'Calibrare_Linii'!U16="VALID")),AM128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O14)+((('Istoric_Nativ'!$E$6:$E$405='Input_Meci'!E14)+('Istoric_Nativ'!$F$6:$F$405='Input_Meci'!E14))&gt;0)*('Istoric_Nativ'!$D$6:$D$405&gt;='Motor_Meciuri'!BP14))&gt;0)*('Istoric_Nativ'!$Q$6:$Q$405&gt;H128))/AM128)</x:f>
      </x:c>
      <x:c r="S128" s="10" t="str">
        <x:f>IF(M128="","",MAX(O128,P128,Q128,R128))</x:f>
      </x:c>
      <x:c r="T128" s="11" t="str">
        <x:f>IF(M128="","",MIN(100,S128*100*'Config_v6'!$B$44+MIN(100,L128/'Config_v6'!$B$13*100)*'Config_v6'!$B$45+(100-'Motor_Meciuri'!BF14)*'Config_v6'!$B$46+'Motor_Meciuri'!BH14*100*'Config_v6'!$B$47))</x:f>
      </x:c>
      <x:c r="U128" s="2" t="str">
        <x:f>IF(T128="","",IF(T128&lt;=20,1,IF(T128&lt;=40,2,IF(T128&lt;=60,3,IF(T128&lt;=80,4,5)))))</x:f>
      </x:c>
      <x:c r="V128" s="2" t="str">
        <x:f>IF(M128="","",MAX(0,'Motor_Meciuri'!BF14-IF(W128="OOS PENDING",'Config_v6'!$B$35,0)-IF(L128&gt;'Config_v6'!$B$12,'Config_v6'!$B$37,IF(L128&gt;'Config_v6'!$B$11,'Config_v6'!$B$36,0))))</x:f>
      </x:c>
      <x:c r="W128" s="2" t="str">
        <x:f>IF(B128="","",IF(I128&lt;&gt;"READY","NOT RELEASED",IF(NOT(AND(J128="PASS",'Calibrare_Linii'!U16="VALID")),"INVALID",IF(NOT(AND('Calibrare_Linii'!S16="VALIDATED",AND('Calibrare_Linii'!H16=C128,ISNUMBER('Calibrare_Linii'!J16),'Calibrare_Linii'!J16&lt;='Input_Meci'!G14))),"OOS PENDING",IF(S128&lt;='Calibrare_Linii'!E16,"PASS",IF(S128&lt;='Calibrare_Linii'!F16,"PENALTY","WATCH"))))))</x:f>
      </x:c>
      <x:c r="X128" s="2" t="str">
        <x:f>IF(M128="","",IF(AND(AND(J128="PASS",'Calibrare_Linii'!U16="VALID"),'Motor_Meciuri'!K14=12,'Motor_Meciuri'!L14=12,'Motor_Meciuri'!M14="NO",'Motor_Meciuri'!BL14='Motor_Meciuri'!C14,AB128&gt;='Config_v6'!$B$50,AN128&gt;='Config_v6'!$B$51,T128&lt;='Config_v6'!$B$52,L128&lt;='Config_v6'!$B$53,ISNUMBER('Calibrare_Linii'!E16),S128&lt;='Calibrare_Linii'!E16,SUM(AK128:AM128)&gt;0),"CANDIDATE","NO"))</x:f>
      </x:c>
      <x:c r="Y128" s="2" t="str">
        <x:f>IF(B128="","",IF(I128&lt;&gt;"READY","NOT RELEASED",IF(AND(X128="CANDIDATE",V128&gt;='Config_v6'!$B$51,W128="PASS",'Calibrare_Linii'!T16="VALIDATED",AND('Calibrare_Linii'!H16=C128,ISNUMBER('Calibrare_Linii'!J16),'Calibrare_Linii'!J16&lt;='Input_Meci'!G14)),"PASS",IF(X128="CANDIDATE","OOS PENDING","FAIL"))))</x:f>
      </x:c>
      <x:c r="Z128" s="2" t="str">
        <x:f>IF(B128="","",IF(I128&lt;&gt;"READY","",IF(OR(NOT(AND(J128="PASS",'Calibrare_Linii'!U16="VALID")),L128&gt;'Config_v6'!$B$13,W128="WATCH"),5,IF(Y128="PASS",1,MIN(5,MAX('Config_v6'!$B$42,U128)+IF(W128="PENALTY",1,0))))))</x:f>
      </x:c>
      <x:c r="AA128" s="2" t="str">
        <x:f>IF(B128="","",IF(I128&lt;&gt;"READY","NOT RELEASED",IF(Z128=5,"NO BET",IF(OR(AB128&lt;'Config_v6'!$B$16,V128&lt;'Config_v6'!$B$18),"WATCH",IF(Z128=1,"DEFENSIV",IF(Z128=2,"PRUDENT",IF(Z128=3,"MODERAT","RIDICAT")))))))</x:f>
      </x:c>
      <x:c r="AB128" s="10" t="str">
        <x:f>IF(N128="","",MIN(N128,1-S128))</x:f>
      </x:c>
      <x:c r="AC128" s="2" t="str">
        <x:f>IF(AD128&lt;&gt;1,"",COUNTIFS($Z$118:$Z$131,"&lt;"&amp;Z128,$AD$118:$AD$131,1)+COUNTIFS($Z$118:$Z$131,Z128,$AB$118:$AB$131,"&gt;"&amp;AB128,$AD$118:$AD$131,1)+COUNTIFS($Z$118:$Z$131,Z128,$AB$118:$AB$131,AB128,$V$118:$V$131,"&gt;"&amp;V128,$AD$118:$AD$131,1)+COUNTIFS($Z$118:Z128,Z128,$AB$118:AB128,AB128,$V$118:V128,V128,$AD$118:AD128,1))</x:f>
      </x:c>
      <x:c r="AD128" s="2" t="n">
        <x:f>IF(OR(AA128="DEFENSIV",AA128="PRUDENT",AA128="MODERAT",AA128="RIDICAT"),1,0)</x:f>
        <x:v>0</x:v>
      </x:c>
      <x:c r="AE128" s="2" t="str">
        <x:f>IF(AD128&lt;&gt;1,"NO",IF(W128="PASS","YES",IF(W128="OOS PENDING","CONDITIONAL","NO")))</x:f>
        <x:v>NO</x:v>
      </x:c>
      <x:c r="AF128" s="2" t="n">
        <x:f>IF(AND(AD128=1,AC128=1,E128="LIVE"),1,0)</x:f>
        <x:v>0</x:v>
      </x:c>
      <x:c r="AG128" s="2" t="str">
        <x:f>IF(AF128&lt;&gt;1,"",'Dashboard'!P34)</x:f>
      </x:c>
      <x:c r="AH128" s="2" t="str">
        <x:f>IF(B128="","",IF(J128&lt;&gt;"PASS",'Motor_Meciuri'!J14,IF('Calibrare_Linii'!U16&lt;&gt;"VALID","Parametri linie invalizi",IF(L128&gt;'Config_v6'!$B$13,"Dispersie peste limita",IF(W128="WATCH","Failure peste limita",IF(AB128&lt;'Config_v6'!$B$16,"P finala sub prag",IF(V128&lt;'Config_v6'!$B$18,"Confidence sub prag",IF(E128="REPLAY","Exemplu retrospectiv; exclus din Top LIVE",IF(Y128="PASS","DEFENSIV validat",IF(W128="OOS PENDING","Eligibil; calibrare linie in monitorizare","Eligibil"))))))))))</x:f>
      </x:c>
      <x:c r="AI128" s="2" t="str">
        <x:f>IF(B128="","",'Calibrare_Linii'!V16)</x:f>
      </x:c>
      <x:c r="AJ128" s="2" t="str">
        <x:f>IF(B128="","",IF(AND('Calibrare_Linii'!T16="VALIDATED",AND('Calibrare_Linii'!H16=C128,ISNUMBER('Calibrare_Linii'!J16),'Calibrare_Linii'!J16&lt;='Input_Meci'!G14)),"DEFENSIVE VALIDATED",IF(AND('Calibrare_Linii'!S16="VALIDATED",AND('Calibrare_Linii'!H16=C128,ISNUMBER('Calibrare_Linii'!J16),'Calibrare_Linii'!J16&lt;='Input_Meci'!G14)),"TAIL VALIDATED","OOS PENDING")))</x:f>
      </x:c>
      <x:c r="AK128" s="2" t="n">
        <x:f>IF(J128&lt;&gt;"PASS",0,'Motor_Meciuri'!BR14)</x:f>
        <x:v>0</x:v>
      </x:c>
      <x:c r="AL128" s="2" t="n">
        <x:f>IF(J128&lt;&gt;"PASS",0,'Motor_Meciuri'!BS14)</x:f>
        <x:v>0</x:v>
      </x:c>
      <x:c r="AM128" s="2" t="n">
        <x:f>IF(J128&lt;&gt;"PASS",0,'Motor_Meciuri'!BT14)</x:f>
        <x:v>0</x:v>
      </x:c>
      <x:c r="AN128" s="2" t="str">
        <x:f>IF(M128="","",MAX(0,'Motor_Meciuri'!BF14-IF(L128&gt;'Config_v6'!$B$12,'Config_v6'!$B$37,IF(L128&gt;'Config_v6'!$B$11,'Config_v6'!$B$36,0))))</x:f>
      </x:c>
    </x:row>
    <x:row r="129" ht="21" customHeight="1">
      <x:c r="A129" s="2" t="n">
        <x:v>9</x:v>
      </x:c>
      <x:c r="B129" s="2" t="str">
        <x:f>IF('Motor_Meciuri'!A14="","",'Motor_Meciuri'!A14)</x:f>
      </x:c>
      <x:c r="C129" s="2" t="str">
        <x:f>IF(B129="","",'Motor_Meciuri'!B14)</x:f>
      </x:c>
      <x:c r="D129" s="2" t="str">
        <x:f>IF(B129="","",'Motor_Meciuri'!D14)</x:f>
      </x:c>
      <x:c r="E129" s="2" t="str">
        <x:f>IF(B129="","",'Motor_Meciuri'!E14)</x:f>
      </x:c>
      <x:c r="F129" s="2" t="str">
        <x:v>U15,5</x:v>
      </x:c>
      <x:c r="G129" s="2" t="str">
        <x:v>UNDER</x:v>
      </x:c>
      <x:c r="H129" s="2" t="n">
        <x:v>15</x:v>
      </x:c>
      <x:c r="I129" s="2" t="str">
        <x:f>IF(B129="","",'Motor_Meciuri'!H14)</x:f>
      </x:c>
      <x:c r="J129" s="2" t="str">
        <x:f>IF(B129="","",'Motor_Meciuri'!I14)</x:f>
      </x:c>
      <x:c r="K129" s="11" t="str">
        <x:f>IF(J129&lt;&gt;"PASS","",'Motor_Meciuri'!BD14)</x:f>
      </x:c>
      <x:c r="L129" s="11" t="str">
        <x:f>IF(J129&lt;&gt;"PASS","",'Motor_Meciuri'!AU14)</x:f>
      </x:c>
      <x:c r="M129" s="10" t="str">
        <x:f>IF(NOT(AND(J129="PASS",'Calibrare_Linii'!U17="VALID")),"",'Distributie'!AM14)</x:f>
      </x:c>
      <x:c r="N129" s="10" t="str">
        <x:f>IF(M129="","",MAX(0.01,MIN(0.99,0.5+(M129-0.5)*'Motor_Meciuri'!BG14*'Calibrare_Linii'!D17)))</x:f>
      </x:c>
      <x:c r="O129" s="10" t="str">
        <x:f>IF(M129="","",1-M129)</x:f>
      </x:c>
      <x:c r="P129" s="10" t="str">
        <x:f>IF(OR(NOT(AND(J129="PASS",'Calibrare_Linii'!U17="VALID")),AK129=0),""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*('Istoric_Nativ'!$Q$6:$Q$405&gt;H129))/AK129)</x:f>
      </x:c>
      <x:c r="Q129" s="10" t="str">
        <x:f>IF(OR(NOT(AND(J129="PASS",'Calibrare_Linii'!U17="VALID")),AL129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M14)+((('Istoric_Nativ'!$E$6:$E$405='Input_Meci'!E14)+('Istoric_Nativ'!$F$6:$F$405='Input_Meci'!E14))&gt;0)*('Istoric_Nativ'!$D$6:$D$405&gt;='Motor_Meciuri'!BN14))&gt;0)*('Istoric_Nativ'!$Q$6:$Q$405&gt;H129))/AL129)</x:f>
      </x:c>
      <x:c r="R129" s="10" t="str">
        <x:f>IF(OR(NOT(AND(J129="PASS",'Calibrare_Linii'!U17="VALID")),AM129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O14)+((('Istoric_Nativ'!$E$6:$E$405='Input_Meci'!E14)+('Istoric_Nativ'!$F$6:$F$405='Input_Meci'!E14))&gt;0)*('Istoric_Nativ'!$D$6:$D$405&gt;='Motor_Meciuri'!BP14))&gt;0)*('Istoric_Nativ'!$Q$6:$Q$405&gt;H129))/AM129)</x:f>
      </x:c>
      <x:c r="S129" s="10" t="str">
        <x:f>IF(M129="","",MAX(O129,P129,Q129,R129))</x:f>
      </x:c>
      <x:c r="T129" s="11" t="str">
        <x:f>IF(M129="","",MIN(100,S129*100*'Config_v6'!$B$44+MIN(100,L129/'Config_v6'!$B$13*100)*'Config_v6'!$B$45+(100-'Motor_Meciuri'!BF14)*'Config_v6'!$B$46+'Motor_Meciuri'!BH14*100*'Config_v6'!$B$47))</x:f>
      </x:c>
      <x:c r="U129" s="2" t="str">
        <x:f>IF(T129="","",IF(T129&lt;=20,1,IF(T129&lt;=40,2,IF(T129&lt;=60,3,IF(T129&lt;=80,4,5)))))</x:f>
      </x:c>
      <x:c r="V129" s="2" t="str">
        <x:f>IF(M129="","",MAX(0,'Motor_Meciuri'!BF14-IF(W129="OOS PENDING",'Config_v6'!$B$35,0)-IF(L129&gt;'Config_v6'!$B$12,'Config_v6'!$B$37,IF(L129&gt;'Config_v6'!$B$11,'Config_v6'!$B$36,0))))</x:f>
      </x:c>
      <x:c r="W129" s="2" t="str">
        <x:f>IF(B129="","",IF(I129&lt;&gt;"READY","NOT RELEASED",IF(NOT(AND(J129="PASS",'Calibrare_Linii'!U17="VALID")),"INVALID",IF(NOT(AND('Calibrare_Linii'!S17="VALIDATED",AND('Calibrare_Linii'!H17=C129,ISNUMBER('Calibrare_Linii'!J17),'Calibrare_Linii'!J17&lt;='Input_Meci'!G14))),"OOS PENDING",IF(S129&lt;='Calibrare_Linii'!E17,"PASS",IF(S129&lt;='Calibrare_Linii'!F17,"PENALTY","WATCH"))))))</x:f>
      </x:c>
      <x:c r="X129" s="2" t="str">
        <x:f>IF(M129="","",IF(AND(AND(J129="PASS",'Calibrare_Linii'!U17="VALID"),'Motor_Meciuri'!K14=12,'Motor_Meciuri'!L14=12,'Motor_Meciuri'!M14="NO",'Motor_Meciuri'!BL14='Motor_Meciuri'!C14,AB129&gt;='Config_v6'!$B$50,AN129&gt;='Config_v6'!$B$51,T129&lt;='Config_v6'!$B$52,L129&lt;='Config_v6'!$B$53,ISNUMBER('Calibrare_Linii'!E17),S129&lt;='Calibrare_Linii'!E17,SUM(AK129:AM129)&gt;0),"CANDIDATE","NO"))</x:f>
      </x:c>
      <x:c r="Y129" s="2" t="str">
        <x:f>IF(B129="","",IF(I129&lt;&gt;"READY","NOT RELEASED",IF(AND(X129="CANDIDATE",V129&gt;='Config_v6'!$B$51,W129="PASS",'Calibrare_Linii'!T17="VALIDATED",AND('Calibrare_Linii'!H17=C129,ISNUMBER('Calibrare_Linii'!J17),'Calibrare_Linii'!J17&lt;='Input_Meci'!G14)),"PASS",IF(X129="CANDIDATE","OOS PENDING","FAIL"))))</x:f>
      </x:c>
      <x:c r="Z129" s="2" t="str">
        <x:f>IF(B129="","",IF(I129&lt;&gt;"READY","",IF(OR(NOT(AND(J129="PASS",'Calibrare_Linii'!U17="VALID")),L129&gt;'Config_v6'!$B$13,W129="WATCH"),5,IF(Y129="PASS",1,MIN(5,MAX('Config_v6'!$B$42,U129)+IF(W129="PENALTY",1,0))))))</x:f>
      </x:c>
      <x:c r="AA129" s="2" t="str">
        <x:f>IF(B129="","",IF(I129&lt;&gt;"READY","NOT RELEASED",IF(Z129=5,"NO BET",IF(OR(AB129&lt;'Config_v6'!$B$16,V129&lt;'Config_v6'!$B$18),"WATCH",IF(Z129=1,"DEFENSIV",IF(Z129=2,"PRUDENT",IF(Z129=3,"MODERAT","RIDICAT")))))))</x:f>
      </x:c>
      <x:c r="AB129" s="10" t="str">
        <x:f>IF(N129="","",MIN(N129,1-S129))</x:f>
      </x:c>
      <x:c r="AC129" s="2" t="str">
        <x:f>IF(AD129&lt;&gt;1,"",COUNTIFS($Z$118:$Z$131,"&lt;"&amp;Z129,$AD$118:$AD$131,1)+COUNTIFS($Z$118:$Z$131,Z129,$AB$118:$AB$131,"&gt;"&amp;AB129,$AD$118:$AD$131,1)+COUNTIFS($Z$118:$Z$131,Z129,$AB$118:$AB$131,AB129,$V$118:$V$131,"&gt;"&amp;V129,$AD$118:$AD$131,1)+COUNTIFS($Z$118:Z129,Z129,$AB$118:AB129,AB129,$V$118:V129,V129,$AD$118:AD129,1))</x:f>
      </x:c>
      <x:c r="AD129" s="2" t="n">
        <x:f>IF(OR(AA129="DEFENSIV",AA129="PRUDENT",AA129="MODERAT",AA129="RIDICAT"),1,0)</x:f>
        <x:v>0</x:v>
      </x:c>
      <x:c r="AE129" s="2" t="str">
        <x:f>IF(AD129&lt;&gt;1,"NO",IF(W129="PASS","YES",IF(W129="OOS PENDING","CONDITIONAL","NO")))</x:f>
        <x:v>NO</x:v>
      </x:c>
      <x:c r="AF129" s="2" t="n">
        <x:f>IF(AND(AD129=1,AC129=1,E129="LIVE"),1,0)</x:f>
        <x:v>0</x:v>
      </x:c>
      <x:c r="AG129" s="2" t="str">
        <x:f>IF(AF129&lt;&gt;1,"",'Dashboard'!P34)</x:f>
      </x:c>
      <x:c r="AH129" s="2" t="str">
        <x:f>IF(B129="","",IF(J129&lt;&gt;"PASS",'Motor_Meciuri'!J14,IF('Calibrare_Linii'!U17&lt;&gt;"VALID","Parametri linie invalizi",IF(L129&gt;'Config_v6'!$B$13,"Dispersie peste limita",IF(W129="WATCH","Failure peste limita",IF(AB129&lt;'Config_v6'!$B$16,"P finala sub prag",IF(V129&lt;'Config_v6'!$B$18,"Confidence sub prag",IF(E129="REPLAY","Exemplu retrospectiv; exclus din Top LIVE",IF(Y129="PASS","DEFENSIV validat",IF(W129="OOS PENDING","Eligibil; calibrare linie in monitorizare","Eligibil"))))))))))</x:f>
      </x:c>
      <x:c r="AI129" s="2" t="str">
        <x:f>IF(B129="","",'Calibrare_Linii'!V17)</x:f>
      </x:c>
      <x:c r="AJ129" s="2" t="str">
        <x:f>IF(B129="","",IF(AND('Calibrare_Linii'!T17="VALIDATED",AND('Calibrare_Linii'!H17=C129,ISNUMBER('Calibrare_Linii'!J17),'Calibrare_Linii'!J17&lt;='Input_Meci'!G14)),"DEFENSIVE VALIDATED",IF(AND('Calibrare_Linii'!S17="VALIDATED",AND('Calibrare_Linii'!H17=C129,ISNUMBER('Calibrare_Linii'!J17),'Calibrare_Linii'!J17&lt;='Input_Meci'!G14)),"TAIL VALIDATED","OOS PENDING")))</x:f>
      </x:c>
      <x:c r="AK129" s="2" t="n">
        <x:f>IF(J129&lt;&gt;"PASS",0,'Motor_Meciuri'!BR14)</x:f>
        <x:v>0</x:v>
      </x:c>
      <x:c r="AL129" s="2" t="n">
        <x:f>IF(J129&lt;&gt;"PASS",0,'Motor_Meciuri'!BS14)</x:f>
        <x:v>0</x:v>
      </x:c>
      <x:c r="AM129" s="2" t="n">
        <x:f>IF(J129&lt;&gt;"PASS",0,'Motor_Meciuri'!BT14)</x:f>
        <x:v>0</x:v>
      </x:c>
      <x:c r="AN129" s="2" t="str">
        <x:f>IF(M129="","",MAX(0,'Motor_Meciuri'!BF14-IF(L129&gt;'Config_v6'!$B$12,'Config_v6'!$B$37,IF(L129&gt;'Config_v6'!$B$11,'Config_v6'!$B$36,0))))</x:f>
      </x:c>
    </x:row>
    <x:row r="130" ht="21" customHeight="1">
      <x:c r="A130" s="2" t="n">
        <x:v>9</x:v>
      </x:c>
      <x:c r="B130" s="2" t="str">
        <x:f>IF('Motor_Meciuri'!A14="","",'Motor_Meciuri'!A14)</x:f>
      </x:c>
      <x:c r="C130" s="2" t="str">
        <x:f>IF(B130="","",'Motor_Meciuri'!B14)</x:f>
      </x:c>
      <x:c r="D130" s="2" t="str">
        <x:f>IF(B130="","",'Motor_Meciuri'!D14)</x:f>
      </x:c>
      <x:c r="E130" s="2" t="str">
        <x:f>IF(B130="","",'Motor_Meciuri'!E14)</x:f>
      </x:c>
      <x:c r="F130" s="2" t="str">
        <x:v>U16,5</x:v>
      </x:c>
      <x:c r="G130" s="2" t="str">
        <x:v>UNDER</x:v>
      </x:c>
      <x:c r="H130" s="2" t="n">
        <x:v>16</x:v>
      </x:c>
      <x:c r="I130" s="2" t="str">
        <x:f>IF(B130="","",'Motor_Meciuri'!H14)</x:f>
      </x:c>
      <x:c r="J130" s="2" t="str">
        <x:f>IF(B130="","",'Motor_Meciuri'!I14)</x:f>
      </x:c>
      <x:c r="K130" s="11" t="str">
        <x:f>IF(J130&lt;&gt;"PASS","",'Motor_Meciuri'!BD14)</x:f>
      </x:c>
      <x:c r="L130" s="11" t="str">
        <x:f>IF(J130&lt;&gt;"PASS","",'Motor_Meciuri'!AU14)</x:f>
      </x:c>
      <x:c r="M130" s="10" t="str">
        <x:f>IF(NOT(AND(J130="PASS",'Calibrare_Linii'!U18="VALID")),"",'Distributie'!AN14)</x:f>
      </x:c>
      <x:c r="N130" s="10" t="str">
        <x:f>IF(M130="","",MAX(0.01,MIN(0.99,0.5+(M130-0.5)*'Motor_Meciuri'!BG14*'Calibrare_Linii'!D18)))</x:f>
      </x:c>
      <x:c r="O130" s="10" t="str">
        <x:f>IF(M130="","",1-M130)</x:f>
      </x:c>
      <x:c r="P130" s="10" t="str">
        <x:f>IF(OR(NOT(AND(J130="PASS",'Calibrare_Linii'!U18="VALID")),AK130=0),""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*('Istoric_Nativ'!$Q$6:$Q$405&gt;H130))/AK130)</x:f>
      </x:c>
      <x:c r="Q130" s="10" t="str">
        <x:f>IF(OR(NOT(AND(J130="PASS",'Calibrare_Linii'!U18="VALID")),AL130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M14)+((('Istoric_Nativ'!$E$6:$E$405='Input_Meci'!E14)+('Istoric_Nativ'!$F$6:$F$405='Input_Meci'!E14))&gt;0)*('Istoric_Nativ'!$D$6:$D$405&gt;='Motor_Meciuri'!BN14))&gt;0)*('Istoric_Nativ'!$Q$6:$Q$405&gt;H130))/AL130)</x:f>
      </x:c>
      <x:c r="R130" s="10" t="str">
        <x:f>IF(OR(NOT(AND(J130="PASS",'Calibrare_Linii'!U18="VALID")),AM130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O14)+((('Istoric_Nativ'!$E$6:$E$405='Input_Meci'!E14)+('Istoric_Nativ'!$F$6:$F$405='Input_Meci'!E14))&gt;0)*('Istoric_Nativ'!$D$6:$D$405&gt;='Motor_Meciuri'!BP14))&gt;0)*('Istoric_Nativ'!$Q$6:$Q$405&gt;H130))/AM130)</x:f>
      </x:c>
      <x:c r="S130" s="10" t="str">
        <x:f>IF(M130="","",MAX(O130,P130,Q130,R130))</x:f>
      </x:c>
      <x:c r="T130" s="11" t="str">
        <x:f>IF(M130="","",MIN(100,S130*100*'Config_v6'!$B$44+MIN(100,L130/'Config_v6'!$B$13*100)*'Config_v6'!$B$45+(100-'Motor_Meciuri'!BF14)*'Config_v6'!$B$46+'Motor_Meciuri'!BH14*100*'Config_v6'!$B$47))</x:f>
      </x:c>
      <x:c r="U130" s="2" t="str">
        <x:f>IF(T130="","",IF(T130&lt;=20,1,IF(T130&lt;=40,2,IF(T130&lt;=60,3,IF(T130&lt;=80,4,5)))))</x:f>
      </x:c>
      <x:c r="V130" s="2" t="str">
        <x:f>IF(M130="","",MAX(0,'Motor_Meciuri'!BF14-IF(W130="OOS PENDING",'Config_v6'!$B$35,0)-IF(L130&gt;'Config_v6'!$B$12,'Config_v6'!$B$37,IF(L130&gt;'Config_v6'!$B$11,'Config_v6'!$B$36,0))))</x:f>
      </x:c>
      <x:c r="W130" s="2" t="str">
        <x:f>IF(B130="","",IF(I130&lt;&gt;"READY","NOT RELEASED",IF(NOT(AND(J130="PASS",'Calibrare_Linii'!U18="VALID")),"INVALID",IF(NOT(AND('Calibrare_Linii'!S18="VALIDATED",AND('Calibrare_Linii'!H18=C130,ISNUMBER('Calibrare_Linii'!J18),'Calibrare_Linii'!J18&lt;='Input_Meci'!G14))),"OOS PENDING",IF(S130&lt;='Calibrare_Linii'!E18,"PASS",IF(S130&lt;='Calibrare_Linii'!F18,"PENALTY","WATCH"))))))</x:f>
      </x:c>
      <x:c r="X130" s="2" t="str">
        <x:f>IF(M130="","",IF(AND(AND(J130="PASS",'Calibrare_Linii'!U18="VALID"),'Motor_Meciuri'!K14=12,'Motor_Meciuri'!L14=12,'Motor_Meciuri'!M14="NO",'Motor_Meciuri'!BL14='Motor_Meciuri'!C14,AB130&gt;='Config_v6'!$B$50,AN130&gt;='Config_v6'!$B$51,T130&lt;='Config_v6'!$B$52,L130&lt;='Config_v6'!$B$53,ISNUMBER('Calibrare_Linii'!E18),S130&lt;='Calibrare_Linii'!E18,SUM(AK130:AM130)&gt;0),"CANDIDATE","NO"))</x:f>
      </x:c>
      <x:c r="Y130" s="2" t="str">
        <x:f>IF(B130="","",IF(I130&lt;&gt;"READY","NOT RELEASED",IF(AND(X130="CANDIDATE",V130&gt;='Config_v6'!$B$51,W130="PASS",'Calibrare_Linii'!T18="VALIDATED",AND('Calibrare_Linii'!H18=C130,ISNUMBER('Calibrare_Linii'!J18),'Calibrare_Linii'!J18&lt;='Input_Meci'!G14)),"PASS",IF(X130="CANDIDATE","OOS PENDING","FAIL"))))</x:f>
      </x:c>
      <x:c r="Z130" s="2" t="str">
        <x:f>IF(B130="","",IF(I130&lt;&gt;"READY","",IF(OR(NOT(AND(J130="PASS",'Calibrare_Linii'!U18="VALID")),L130&gt;'Config_v6'!$B$13,W130="WATCH"),5,IF(Y130="PASS",1,MIN(5,MAX('Config_v6'!$B$42,U130)+IF(W130="PENALTY",1,0))))))</x:f>
      </x:c>
      <x:c r="AA130" s="2" t="str">
        <x:f>IF(B130="","",IF(I130&lt;&gt;"READY","NOT RELEASED",IF(Z130=5,"NO BET",IF(OR(AB130&lt;'Config_v6'!$B$16,V130&lt;'Config_v6'!$B$18),"WATCH",IF(Z130=1,"DEFENSIV",IF(Z130=2,"PRUDENT",IF(Z130=3,"MODERAT","RIDICAT")))))))</x:f>
      </x:c>
      <x:c r="AB130" s="10" t="str">
        <x:f>IF(N130="","",MIN(N130,1-S130))</x:f>
      </x:c>
      <x:c r="AC130" s="2" t="str">
        <x:f>IF(AD130&lt;&gt;1,"",COUNTIFS($Z$118:$Z$131,"&lt;"&amp;Z130,$AD$118:$AD$131,1)+COUNTIFS($Z$118:$Z$131,Z130,$AB$118:$AB$131,"&gt;"&amp;AB130,$AD$118:$AD$131,1)+COUNTIFS($Z$118:$Z$131,Z130,$AB$118:$AB$131,AB130,$V$118:$V$131,"&gt;"&amp;V130,$AD$118:$AD$131,1)+COUNTIFS($Z$118:Z130,Z130,$AB$118:AB130,AB130,$V$118:V130,V130,$AD$118:AD130,1))</x:f>
      </x:c>
      <x:c r="AD130" s="2" t="n">
        <x:f>IF(OR(AA130="DEFENSIV",AA130="PRUDENT",AA130="MODERAT",AA130="RIDICAT"),1,0)</x:f>
        <x:v>0</x:v>
      </x:c>
      <x:c r="AE130" s="2" t="str">
        <x:f>IF(AD130&lt;&gt;1,"NO",IF(W130="PASS","YES",IF(W130="OOS PENDING","CONDITIONAL","NO")))</x:f>
        <x:v>NO</x:v>
      </x:c>
      <x:c r="AF130" s="2" t="n">
        <x:f>IF(AND(AD130=1,AC130=1,E130="LIVE"),1,0)</x:f>
        <x:v>0</x:v>
      </x:c>
      <x:c r="AG130" s="2" t="str">
        <x:f>IF(AF130&lt;&gt;1,"",'Dashboard'!P34)</x:f>
      </x:c>
      <x:c r="AH130" s="2" t="str">
        <x:f>IF(B130="","",IF(J130&lt;&gt;"PASS",'Motor_Meciuri'!J14,IF('Calibrare_Linii'!U18&lt;&gt;"VALID","Parametri linie invalizi",IF(L130&gt;'Config_v6'!$B$13,"Dispersie peste limita",IF(W130="WATCH","Failure peste limita",IF(AB130&lt;'Config_v6'!$B$16,"P finala sub prag",IF(V130&lt;'Config_v6'!$B$18,"Confidence sub prag",IF(E130="REPLAY","Exemplu retrospectiv; exclus din Top LIVE",IF(Y130="PASS","DEFENSIV validat",IF(W130="OOS PENDING","Eligibil; calibrare linie in monitorizare","Eligibil"))))))))))</x:f>
      </x:c>
      <x:c r="AI130" s="2" t="str">
        <x:f>IF(B130="","",'Calibrare_Linii'!V18)</x:f>
      </x:c>
      <x:c r="AJ130" s="2" t="str">
        <x:f>IF(B130="","",IF(AND('Calibrare_Linii'!T18="VALIDATED",AND('Calibrare_Linii'!H18=C130,ISNUMBER('Calibrare_Linii'!J18),'Calibrare_Linii'!J18&lt;='Input_Meci'!G14)),"DEFENSIVE VALIDATED",IF(AND('Calibrare_Linii'!S18="VALIDATED",AND('Calibrare_Linii'!H18=C130,ISNUMBER('Calibrare_Linii'!J18),'Calibrare_Linii'!J18&lt;='Input_Meci'!G14)),"TAIL VALIDATED","OOS PENDING")))</x:f>
      </x:c>
      <x:c r="AK130" s="2" t="n">
        <x:f>IF(J130&lt;&gt;"PASS",0,'Motor_Meciuri'!BR14)</x:f>
        <x:v>0</x:v>
      </x:c>
      <x:c r="AL130" s="2" t="n">
        <x:f>IF(J130&lt;&gt;"PASS",0,'Motor_Meciuri'!BS14)</x:f>
        <x:v>0</x:v>
      </x:c>
      <x:c r="AM130" s="2" t="n">
        <x:f>IF(J130&lt;&gt;"PASS",0,'Motor_Meciuri'!BT14)</x:f>
        <x:v>0</x:v>
      </x:c>
      <x:c r="AN130" s="2" t="str">
        <x:f>IF(M130="","",MAX(0,'Motor_Meciuri'!BF14-IF(L130&gt;'Config_v6'!$B$12,'Config_v6'!$B$37,IF(L130&gt;'Config_v6'!$B$11,'Config_v6'!$B$36,0))))</x:f>
      </x:c>
    </x:row>
    <x:row r="131" ht="21" customHeight="1">
      <x:c r="A131" s="2" t="n">
        <x:v>9</x:v>
      </x:c>
      <x:c r="B131" s="2" t="str">
        <x:f>IF('Motor_Meciuri'!A14="","",'Motor_Meciuri'!A14)</x:f>
      </x:c>
      <x:c r="C131" s="2" t="str">
        <x:f>IF(B131="","",'Motor_Meciuri'!B14)</x:f>
      </x:c>
      <x:c r="D131" s="2" t="str">
        <x:f>IF(B131="","",'Motor_Meciuri'!D14)</x:f>
      </x:c>
      <x:c r="E131" s="2" t="str">
        <x:f>IF(B131="","",'Motor_Meciuri'!E14)</x:f>
      </x:c>
      <x:c r="F131" s="2" t="str">
        <x:v>U17,5</x:v>
      </x:c>
      <x:c r="G131" s="2" t="str">
        <x:v>UNDER</x:v>
      </x:c>
      <x:c r="H131" s="2" t="n">
        <x:v>17</x:v>
      </x:c>
      <x:c r="I131" s="2" t="str">
        <x:f>IF(B131="","",'Motor_Meciuri'!H14)</x:f>
      </x:c>
      <x:c r="J131" s="2" t="str">
        <x:f>IF(B131="","",'Motor_Meciuri'!I14)</x:f>
      </x:c>
      <x:c r="K131" s="11" t="str">
        <x:f>IF(J131&lt;&gt;"PASS","",'Motor_Meciuri'!BD14)</x:f>
      </x:c>
      <x:c r="L131" s="11" t="str">
        <x:f>IF(J131&lt;&gt;"PASS","",'Motor_Meciuri'!AU14)</x:f>
      </x:c>
      <x:c r="M131" s="10" t="str">
        <x:f>IF(NOT(AND(J131="PASS",'Calibrare_Linii'!U19="VALID")),"",'Distributie'!AO14)</x:f>
      </x:c>
      <x:c r="N131" s="10" t="str">
        <x:f>IF(M131="","",MAX(0.01,MIN(0.99,0.5+(M131-0.5)*'Motor_Meciuri'!BG14*'Calibrare_Linii'!D19)))</x:f>
      </x:c>
      <x:c r="O131" s="10" t="str">
        <x:f>IF(M131="","",1-M131)</x:f>
      </x:c>
      <x:c r="P131" s="10" t="str">
        <x:f>IF(OR(NOT(AND(J131="PASS",'Calibrare_Linii'!U19="VALID")),AK131=0),""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*('Istoric_Nativ'!$Q$6:$Q$405&gt;H131))/AK131)</x:f>
      </x:c>
      <x:c r="Q131" s="10" t="str">
        <x:f>IF(OR(NOT(AND(J131="PASS",'Calibrare_Linii'!U19="VALID")),AL131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M14)+((('Istoric_Nativ'!$E$6:$E$405='Input_Meci'!E14)+('Istoric_Nativ'!$F$6:$F$405='Input_Meci'!E14))&gt;0)*('Istoric_Nativ'!$D$6:$D$405&gt;='Motor_Meciuri'!BN14))&gt;0)*('Istoric_Nativ'!$Q$6:$Q$405&gt;H131))/AL131)</x:f>
      </x:c>
      <x:c r="R131" s="10" t="str">
        <x:f>IF(OR(NOT(AND(J131="PASS",'Calibrare_Linii'!U19="VALID")),AM131=0),""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'Motor_Meciuri'!BO14)+((('Istoric_Nativ'!$E$6:$E$405='Input_Meci'!E14)+('Istoric_Nativ'!$F$6:$F$405='Input_Meci'!E14))&gt;0)*('Istoric_Nativ'!$D$6:$D$405&gt;='Motor_Meciuri'!BP14))&gt;0)*('Istoric_Nativ'!$Q$6:$Q$405&gt;H131))/AM131)</x:f>
      </x:c>
      <x:c r="S131" s="10" t="str">
        <x:f>IF(M131="","",MAX(O131,P131,Q131,R131))</x:f>
      </x:c>
      <x:c r="T131" s="11" t="str">
        <x:f>IF(M131="","",MIN(100,S131*100*'Config_v6'!$B$44+MIN(100,L131/'Config_v6'!$B$13*100)*'Config_v6'!$B$45+(100-'Motor_Meciuri'!BF14)*'Config_v6'!$B$46+'Motor_Meciuri'!BH14*100*'Config_v6'!$B$47))</x:f>
      </x:c>
      <x:c r="U131" s="2" t="str">
        <x:f>IF(T131="","",IF(T131&lt;=20,1,IF(T131&lt;=40,2,IF(T131&lt;=60,3,IF(T131&lt;=80,4,5)))))</x:f>
      </x:c>
      <x:c r="V131" s="2" t="str">
        <x:f>IF(M131="","",MAX(0,'Motor_Meciuri'!BF14-IF(W131="OOS PENDING",'Config_v6'!$B$35,0)-IF(L131&gt;'Config_v6'!$B$12,'Config_v6'!$B$37,IF(L131&gt;'Config_v6'!$B$11,'Config_v6'!$B$36,0))))</x:f>
      </x:c>
      <x:c r="W131" s="2" t="str">
        <x:f>IF(B131="","",IF(I131&lt;&gt;"READY","NOT RELEASED",IF(NOT(AND(J131="PASS",'Calibrare_Linii'!U19="VALID")),"INVALID",IF(NOT(AND('Calibrare_Linii'!S19="VALIDATED",AND('Calibrare_Linii'!H19=C131,ISNUMBER('Calibrare_Linii'!J19),'Calibrare_Linii'!J19&lt;='Input_Meci'!G14))),"OOS PENDING",IF(S131&lt;='Calibrare_Linii'!E19,"PASS",IF(S131&lt;='Calibrare_Linii'!F19,"PENALTY","WATCH"))))))</x:f>
      </x:c>
      <x:c r="X131" s="2" t="str">
        <x:f>IF(M131="","",IF(AND(AND(J131="PASS",'Calibrare_Linii'!U19="VALID"),'Motor_Meciuri'!K14=12,'Motor_Meciuri'!L14=12,'Motor_Meciuri'!M14="NO",'Motor_Meciuri'!BL14='Motor_Meciuri'!C14,AB131&gt;='Config_v6'!$B$50,AN131&gt;='Config_v6'!$B$51,T131&lt;='Config_v6'!$B$52,L131&lt;='Config_v6'!$B$53,ISNUMBER('Calibrare_Linii'!E19),S131&lt;='Calibrare_Linii'!E19,SUM(AK131:AM131)&gt;0),"CANDIDATE","NO"))</x:f>
      </x:c>
      <x:c r="Y131" s="2" t="str">
        <x:f>IF(B131="","",IF(I131&lt;&gt;"READY","NOT RELEASED",IF(AND(X131="CANDIDATE",V131&gt;='Config_v6'!$B$51,W131="PASS",'Calibrare_Linii'!T19="VALIDATED",AND('Calibrare_Linii'!H19=C131,ISNUMBER('Calibrare_Linii'!J19),'Calibrare_Linii'!J19&lt;='Input_Meci'!G14)),"PASS",IF(X131="CANDIDATE","OOS PENDING","FAIL"))))</x:f>
      </x:c>
      <x:c r="Z131" s="2" t="str">
        <x:f>IF(B131="","",IF(I131&lt;&gt;"READY","",IF(OR(NOT(AND(J131="PASS",'Calibrare_Linii'!U19="VALID")),L131&gt;'Config_v6'!$B$13,W131="WATCH"),5,IF(Y131="PASS",1,MIN(5,MAX('Config_v6'!$B$42,U131)+IF(W131="PENALTY",1,0))))))</x:f>
      </x:c>
      <x:c r="AA131" s="2" t="str">
        <x:f>IF(B131="","",IF(I131&lt;&gt;"READY","NOT RELEASED",IF(Z131=5,"NO BET",IF(OR(AB131&lt;'Config_v6'!$B$16,V131&lt;'Config_v6'!$B$18),"WATCH",IF(Z131=1,"DEFENSIV",IF(Z131=2,"PRUDENT",IF(Z131=3,"MODERAT","RIDICAT")))))))</x:f>
      </x:c>
      <x:c r="AB131" s="10" t="str">
        <x:f>IF(N131="","",MIN(N131,1-S131))</x:f>
      </x:c>
      <x:c r="AC131" s="2" t="str">
        <x:f>IF(AD131&lt;&gt;1,"",COUNTIFS($Z$118:$Z$131,"&lt;"&amp;Z131,$AD$118:$AD$131,1)+COUNTIFS($Z$118:$Z$131,Z131,$AB$118:$AB$131,"&gt;"&amp;AB131,$AD$118:$AD$131,1)+COUNTIFS($Z$118:$Z$131,Z131,$AB$118:$AB$131,AB131,$V$118:$V$131,"&gt;"&amp;V131,$AD$118:$AD$131,1)+COUNTIFS($Z$118:Z131,Z131,$AB$118:AB131,AB131,$V$118:V131,V131,$AD$118:AD131,1))</x:f>
      </x:c>
      <x:c r="AD131" s="2" t="n">
        <x:f>IF(OR(AA131="DEFENSIV",AA131="PRUDENT",AA131="MODERAT",AA131="RIDICAT"),1,0)</x:f>
        <x:v>0</x:v>
      </x:c>
      <x:c r="AE131" s="2" t="str">
        <x:f>IF(AD131&lt;&gt;1,"NO",IF(W131="PASS","YES",IF(W131="OOS PENDING","CONDITIONAL","NO")))</x:f>
        <x:v>NO</x:v>
      </x:c>
      <x:c r="AF131" s="2" t="n">
        <x:f>IF(AND(AD131=1,AC131=1,E131="LIVE"),1,0)</x:f>
        <x:v>0</x:v>
      </x:c>
      <x:c r="AG131" s="2" t="str">
        <x:f>IF(AF131&lt;&gt;1,"",'Dashboard'!P34)</x:f>
      </x:c>
      <x:c r="AH131" s="2" t="str">
        <x:f>IF(B131="","",IF(J131&lt;&gt;"PASS",'Motor_Meciuri'!J14,IF('Calibrare_Linii'!U19&lt;&gt;"VALID","Parametri linie invalizi",IF(L131&gt;'Config_v6'!$B$13,"Dispersie peste limita",IF(W131="WATCH","Failure peste limita",IF(AB131&lt;'Config_v6'!$B$16,"P finala sub prag",IF(V131&lt;'Config_v6'!$B$18,"Confidence sub prag",IF(E131="REPLAY","Exemplu retrospectiv; exclus din Top LIVE",IF(Y131="PASS","DEFENSIV validat",IF(W131="OOS PENDING","Eligibil; calibrare linie in monitorizare","Eligibil"))))))))))</x:f>
      </x:c>
      <x:c r="AI131" s="2" t="str">
        <x:f>IF(B131="","",'Calibrare_Linii'!V19)</x:f>
      </x:c>
      <x:c r="AJ131" s="2" t="str">
        <x:f>IF(B131="","",IF(AND('Calibrare_Linii'!T19="VALIDATED",AND('Calibrare_Linii'!H19=C131,ISNUMBER('Calibrare_Linii'!J19),'Calibrare_Linii'!J19&lt;='Input_Meci'!G14)),"DEFENSIVE VALIDATED",IF(AND('Calibrare_Linii'!S19="VALIDATED",AND('Calibrare_Linii'!H19=C131,ISNUMBER('Calibrare_Linii'!J19),'Calibrare_Linii'!J19&lt;='Input_Meci'!G14)),"TAIL VALIDATED","OOS PENDING")))</x:f>
      </x:c>
      <x:c r="AK131" s="2" t="n">
        <x:f>IF(J131&lt;&gt;"PASS",0,'Motor_Meciuri'!BR14)</x:f>
        <x:v>0</x:v>
      </x:c>
      <x:c r="AL131" s="2" t="n">
        <x:f>IF(J131&lt;&gt;"PASS",0,'Motor_Meciuri'!BS14)</x:f>
        <x:v>0</x:v>
      </x:c>
      <x:c r="AM131" s="2" t="n">
        <x:f>IF(J131&lt;&gt;"PASS",0,'Motor_Meciuri'!BT14)</x:f>
        <x:v>0</x:v>
      </x:c>
      <x:c r="AN131" s="2" t="str">
        <x:f>IF(M131="","",MAX(0,'Motor_Meciuri'!BF14-IF(L131&gt;'Config_v6'!$B$12,'Config_v6'!$B$37,IF(L131&gt;'Config_v6'!$B$11,'Config_v6'!$B$36,0))))</x:f>
      </x:c>
    </x:row>
    <x:row r="132" ht="21" customHeight="1">
      <x:c r="A132" s="2" t="n">
        <x:v>10</x:v>
      </x:c>
      <x:c r="B132" s="2" t="str">
        <x:f>IF('Motor_Meciuri'!A15="","",'Motor_Meciuri'!A15)</x:f>
      </x:c>
      <x:c r="C132" s="2" t="str">
        <x:f>IF(B132="","",'Motor_Meciuri'!B15)</x:f>
      </x:c>
      <x:c r="D132" s="2" t="str">
        <x:f>IF(B132="","",'Motor_Meciuri'!D15)</x:f>
      </x:c>
      <x:c r="E132" s="2" t="str">
        <x:f>IF(B132="","",'Motor_Meciuri'!E15)</x:f>
      </x:c>
      <x:c r="F132" s="2" t="str">
        <x:v>O3,5</x:v>
      </x:c>
      <x:c r="G132" s="2" t="str">
        <x:v>OVER</x:v>
      </x:c>
      <x:c r="H132" s="2" t="n">
        <x:v>3</x:v>
      </x:c>
      <x:c r="I132" s="2" t="str">
        <x:f>IF(B132="","",'Motor_Meciuri'!H15)</x:f>
      </x:c>
      <x:c r="J132" s="2" t="str">
        <x:f>IF(B132="","",'Motor_Meciuri'!I15)</x:f>
      </x:c>
      <x:c r="K132" s="11" t="str">
        <x:f>IF(J132&lt;&gt;"PASS","",'Motor_Meciuri'!BD15)</x:f>
      </x:c>
      <x:c r="L132" s="11" t="str">
        <x:f>IF(J132&lt;&gt;"PASS","",'Motor_Meciuri'!AU15)</x:f>
      </x:c>
      <x:c r="M132" s="10" t="str">
        <x:f>IF(NOT(AND(J132="PASS",'Calibrare_Linii'!U6="VALID")),"",1-'Distributie'!AA15)</x:f>
      </x:c>
      <x:c r="N132" s="10" t="str">
        <x:f>IF(M132="","",MAX(0.01,MIN(0.99,0.5+(M132-0.5)*'Motor_Meciuri'!BG15*'Calibrare_Linii'!D6)))</x:f>
      </x:c>
      <x:c r="O132" s="10" t="str">
        <x:f>IF(M132="","",1-M132)</x:f>
      </x:c>
      <x:c r="P132" s="10" t="str">
        <x:f>IF(OR(NOT(AND(J132="PASS",'Calibrare_Linii'!U6="VALID")),AK132=0),""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*('Istoric_Nativ'!$Q$6:$Q$405&lt;=H132))/AK132)</x:f>
      </x:c>
      <x:c r="Q132" s="10" t="str">
        <x:f>IF(OR(NOT(AND(J132="PASS",'Calibrare_Linii'!U6="VALID")),AL132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M15)+((('Istoric_Nativ'!$E$6:$E$405='Input_Meci'!E15)+('Istoric_Nativ'!$F$6:$F$405='Input_Meci'!E15))&gt;0)*('Istoric_Nativ'!$D$6:$D$405&gt;='Motor_Meciuri'!BN15))&gt;0)*('Istoric_Nativ'!$Q$6:$Q$405&lt;=H132))/AL132)</x:f>
      </x:c>
      <x:c r="R132" s="10" t="str">
        <x:f>IF(OR(NOT(AND(J132="PASS",'Calibrare_Linii'!U6="VALID")),AM132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O15)+((('Istoric_Nativ'!$E$6:$E$405='Input_Meci'!E15)+('Istoric_Nativ'!$F$6:$F$405='Input_Meci'!E15))&gt;0)*('Istoric_Nativ'!$D$6:$D$405&gt;='Motor_Meciuri'!BP15))&gt;0)*('Istoric_Nativ'!$Q$6:$Q$405&lt;=H132))/AM132)</x:f>
      </x:c>
      <x:c r="S132" s="10" t="str">
        <x:f>IF(M132="","",MAX(O132,P132,Q132,R132))</x:f>
      </x:c>
      <x:c r="T132" s="11" t="str">
        <x:f>IF(M132="","",MIN(100,S132*100*'Config_v6'!$B$44+MIN(100,L132/'Config_v6'!$B$13*100)*'Config_v6'!$B$45+(100-'Motor_Meciuri'!BF15)*'Config_v6'!$B$46+'Motor_Meciuri'!BH15*100*'Config_v6'!$B$47))</x:f>
      </x:c>
      <x:c r="U132" s="2" t="str">
        <x:f>IF(T132="","",IF(T132&lt;=20,1,IF(T132&lt;=40,2,IF(T132&lt;=60,3,IF(T132&lt;=80,4,5)))))</x:f>
      </x:c>
      <x:c r="V132" s="2" t="str">
        <x:f>IF(M132="","",MAX(0,'Motor_Meciuri'!BF15-IF(W132="OOS PENDING",'Config_v6'!$B$35,0)-IF(L132&gt;'Config_v6'!$B$12,'Config_v6'!$B$37,IF(L132&gt;'Config_v6'!$B$11,'Config_v6'!$B$36,0))))</x:f>
      </x:c>
      <x:c r="W132" s="2" t="str">
        <x:f>IF(B132="","",IF(I132&lt;&gt;"READY","NOT RELEASED",IF(NOT(AND(J132="PASS",'Calibrare_Linii'!U6="VALID")),"INVALID",IF(NOT(TRUE),"OOS PENDING",IF(S132&lt;=IF(AND('Calibrare_Linii'!S6="VALIDATED",AND('Calibrare_Linii'!H6=C132,ISNUMBER('Calibrare_Linii'!J6),'Calibrare_Linii'!J6&lt;='Input_Meci'!G15)),'Calibrare_Linii'!E6,'Config_v6'!$B$26),"PASS",IF(S132&lt;=IF(AND('Calibrare_Linii'!S6="VALIDATED",AND('Calibrare_Linii'!H6=C132,ISNUMBER('Calibrare_Linii'!J6),'Calibrare_Linii'!J6&lt;='Input_Meci'!G15)),'Calibrare_Linii'!F6,'Config_v6'!$C$26),"PENALTY","WATCH"))))))</x:f>
      </x:c>
      <x:c r="X132" s="2" t="str">
        <x:f>IF(M132="","",IF(AND(AND(J132="PASS",'Calibrare_Linii'!U6="VALID"),'Motor_Meciuri'!K15=12,'Motor_Meciuri'!L15=12,'Motor_Meciuri'!M15="NO",'Motor_Meciuri'!BL15='Motor_Meciuri'!C15,AB132&gt;='Config_v6'!$B$50,AN132&gt;='Config_v6'!$B$51,T132&lt;='Config_v6'!$B$52,L132&lt;='Config_v6'!$B$53,ISNUMBER('Calibrare_Linii'!E6),S132&lt;='Calibrare_Linii'!E6,SUM(AK132:AM132)&gt;0),"CANDIDATE","NO"))</x:f>
      </x:c>
      <x:c r="Y132" s="2" t="str">
        <x:f>IF(B132="","",IF(I132&lt;&gt;"READY","NOT RELEASED",IF(AND(X132="CANDIDATE",V132&gt;='Config_v6'!$B$51,W132="PASS",'Calibrare_Linii'!T6="VALIDATED",AND('Calibrare_Linii'!H6=C132,ISNUMBER('Calibrare_Linii'!J6),'Calibrare_Linii'!J6&lt;='Input_Meci'!G15)),"PASS",IF(X132="CANDIDATE","OOS PENDING","FAIL"))))</x:f>
      </x:c>
      <x:c r="Z132" s="2" t="str">
        <x:f>IF(B132="","",IF(I132&lt;&gt;"READY","",IF(OR(NOT(AND(J132="PASS",'Calibrare_Linii'!U6="VALID")),L132&gt;'Config_v6'!$B$13,W132="WATCH"),5,IF(Y132="PASS",1,MIN(5,MAX('Config_v6'!$B$42,U132)+IF(W132="PENALTY",1,0))))))</x:f>
      </x:c>
      <x:c r="AA132" s="2" t="str">
        <x:f>IF(B132="","",IF(I132&lt;&gt;"READY","NOT RELEASED",IF(Z132=5,"NO BET",IF(OR(AB132&lt;'Config_v6'!$B$16,V132&lt;'Config_v6'!$B$18),"WATCH",IF(Z132=1,"DEFENSIV",IF(Z132=2,"PRUDENT",IF(Z132=3,"MODERAT","RIDICAT")))))))</x:f>
      </x:c>
      <x:c r="AB132" s="10" t="str">
        <x:f>IF(N132="","",MIN(N132,1-S132))</x:f>
      </x:c>
      <x:c r="AC132" s="2" t="str">
        <x:f>IF(AD132&lt;&gt;1,"",COUNTIFS($Z$132:$Z$145,"&lt;"&amp;Z132,$AD$132:$AD$145,1)+COUNTIFS($Z$132:$Z$145,Z132,$AB$132:$AB$145,"&gt;"&amp;AB132,$AD$132:$AD$145,1)+COUNTIFS($Z$132:$Z$145,Z132,$AB$132:$AB$145,AB132,$V$132:$V$145,"&gt;"&amp;V132,$AD$132:$AD$145,1)+COUNTIFS($Z$132:Z132,Z132,$AB$132:AB132,AB132,$V$132:V132,V132,$AD$132:AD132,1))</x:f>
      </x:c>
      <x:c r="AD132" s="2" t="n">
        <x:f>IF(OR(AA132="DEFENSIV",AA132="PRUDENT",AA132="MODERAT",AA132="RIDICAT"),1,0)</x:f>
        <x:v>0</x:v>
      </x:c>
      <x:c r="AE132" s="2" t="str">
        <x:f>IF(AD132&lt;&gt;1,"NO",IF(W132="PASS","YES",IF(W132="OOS PENDING","CONDITIONAL","NO")))</x:f>
        <x:v>NO</x:v>
      </x:c>
      <x:c r="AF132" s="2" t="n">
        <x:f>IF(AND(AD132=1,AC132=1,E132="LIVE"),1,0)</x:f>
        <x:v>0</x:v>
      </x:c>
      <x:c r="AG132" s="2" t="str">
        <x:f>IF(AF132&lt;&gt;1,"",'Dashboard'!P35)</x:f>
      </x:c>
      <x:c r="AH132" s="2" t="str">
        <x:f>IF(B132="","",IF(J132&lt;&gt;"PASS",'Motor_Meciuri'!J15,IF('Calibrare_Linii'!U6&lt;&gt;"VALID","Parametri linie invalizi",IF(L132&gt;'Config_v6'!$B$13,"Dispersie peste limita",IF(W132="WATCH","Failure peste limita",IF(AB132&lt;'Config_v6'!$B$16,"P finala sub prag",IF(V132&lt;'Config_v6'!$B$18,"Confidence sub prag",IF(E132="REPLAY","Exemplu retrospectiv; exclus din Top LIVE",IF(Y132="PASS","DEFENSIV validat",IF(W132="OOS PENDING","Eligibil; calibrare linie in monitorizare","Eligibil"))))))))))</x:f>
      </x:c>
      <x:c r="AI132" s="2" t="str">
        <x:f>IF(B132="","",'Calibrare_Linii'!V6)</x:f>
      </x:c>
      <x:c r="AJ132" s="2" t="str">
        <x:f>IF(B132="","",IF(AND('Calibrare_Linii'!T6="VALIDATED",AND('Calibrare_Linii'!H6=C132,ISNUMBER('Calibrare_Linii'!J6),'Calibrare_Linii'!J6&lt;='Input_Meci'!G15)),"DEFENSIVE VALIDATED",IF(AND('Calibrare_Linii'!S6="VALIDATED",AND('Calibrare_Linii'!H6=C132,ISNUMBER('Calibrare_Linii'!J6),'Calibrare_Linii'!J6&lt;='Input_Meci'!G15)),"TAIL VALIDATED","OOS PENDING")))</x:f>
      </x:c>
      <x:c r="AK132" s="2" t="n">
        <x:f>IF(J132&lt;&gt;"PASS",0,'Motor_Meciuri'!BR15)</x:f>
        <x:v>0</x:v>
      </x:c>
      <x:c r="AL132" s="2" t="n">
        <x:f>IF(J132&lt;&gt;"PASS",0,'Motor_Meciuri'!BS15)</x:f>
        <x:v>0</x:v>
      </x:c>
      <x:c r="AM132" s="2" t="n">
        <x:f>IF(J132&lt;&gt;"PASS",0,'Motor_Meciuri'!BT15)</x:f>
        <x:v>0</x:v>
      </x:c>
      <x:c r="AN132" s="2" t="str">
        <x:f>IF(M132="","",MAX(0,'Motor_Meciuri'!BF15-IF(L132&gt;'Config_v6'!$B$12,'Config_v6'!$B$37,IF(L132&gt;'Config_v6'!$B$11,'Config_v6'!$B$36,0))))</x:f>
      </x:c>
    </x:row>
    <x:row r="133" ht="21" customHeight="1">
      <x:c r="A133" s="2" t="n">
        <x:v>10</x:v>
      </x:c>
      <x:c r="B133" s="2" t="str">
        <x:f>IF('Motor_Meciuri'!A15="","",'Motor_Meciuri'!A15)</x:f>
      </x:c>
      <x:c r="C133" s="2" t="str">
        <x:f>IF(B133="","",'Motor_Meciuri'!B15)</x:f>
      </x:c>
      <x:c r="D133" s="2" t="str">
        <x:f>IF(B133="","",'Motor_Meciuri'!D15)</x:f>
      </x:c>
      <x:c r="E133" s="2" t="str">
        <x:f>IF(B133="","",'Motor_Meciuri'!E15)</x:f>
      </x:c>
      <x:c r="F133" s="2" t="str">
        <x:v>O4,5</x:v>
      </x:c>
      <x:c r="G133" s="2" t="str">
        <x:v>OVER</x:v>
      </x:c>
      <x:c r="H133" s="2" t="n">
        <x:v>4</x:v>
      </x:c>
      <x:c r="I133" s="2" t="str">
        <x:f>IF(B133="","",'Motor_Meciuri'!H15)</x:f>
      </x:c>
      <x:c r="J133" s="2" t="str">
        <x:f>IF(B133="","",'Motor_Meciuri'!I15)</x:f>
      </x:c>
      <x:c r="K133" s="11" t="str">
        <x:f>IF(J133&lt;&gt;"PASS","",'Motor_Meciuri'!BD15)</x:f>
      </x:c>
      <x:c r="L133" s="11" t="str">
        <x:f>IF(J133&lt;&gt;"PASS","",'Motor_Meciuri'!AU15)</x:f>
      </x:c>
      <x:c r="M133" s="10" t="str">
        <x:f>IF(NOT(AND(J133="PASS",'Calibrare_Linii'!U7="VALID")),"",1-'Distributie'!AB15)</x:f>
      </x:c>
      <x:c r="N133" s="10" t="str">
        <x:f>IF(M133="","",MAX(0.01,MIN(0.99,0.5+(M133-0.5)*'Motor_Meciuri'!BG15*'Calibrare_Linii'!D7)))</x:f>
      </x:c>
      <x:c r="O133" s="10" t="str">
        <x:f>IF(M133="","",1-M133)</x:f>
      </x:c>
      <x:c r="P133" s="10" t="str">
        <x:f>IF(OR(NOT(AND(J133="PASS",'Calibrare_Linii'!U7="VALID")),AK133=0),""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*('Istoric_Nativ'!$Q$6:$Q$405&lt;=H133))/AK133)</x:f>
      </x:c>
      <x:c r="Q133" s="10" t="str">
        <x:f>IF(OR(NOT(AND(J133="PASS",'Calibrare_Linii'!U7="VALID")),AL133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M15)+((('Istoric_Nativ'!$E$6:$E$405='Input_Meci'!E15)+('Istoric_Nativ'!$F$6:$F$405='Input_Meci'!E15))&gt;0)*('Istoric_Nativ'!$D$6:$D$405&gt;='Motor_Meciuri'!BN15))&gt;0)*('Istoric_Nativ'!$Q$6:$Q$405&lt;=H133))/AL133)</x:f>
      </x:c>
      <x:c r="R133" s="10" t="str">
        <x:f>IF(OR(NOT(AND(J133="PASS",'Calibrare_Linii'!U7="VALID")),AM133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O15)+((('Istoric_Nativ'!$E$6:$E$405='Input_Meci'!E15)+('Istoric_Nativ'!$F$6:$F$405='Input_Meci'!E15))&gt;0)*('Istoric_Nativ'!$D$6:$D$405&gt;='Motor_Meciuri'!BP15))&gt;0)*('Istoric_Nativ'!$Q$6:$Q$405&lt;=H133))/AM133)</x:f>
      </x:c>
      <x:c r="S133" s="10" t="str">
        <x:f>IF(M133="","",MAX(O133,P133,Q133,R133))</x:f>
      </x:c>
      <x:c r="T133" s="11" t="str">
        <x:f>IF(M133="","",MIN(100,S133*100*'Config_v6'!$B$44+MIN(100,L133/'Config_v6'!$B$13*100)*'Config_v6'!$B$45+(100-'Motor_Meciuri'!BF15)*'Config_v6'!$B$46+'Motor_Meciuri'!BH15*100*'Config_v6'!$B$47))</x:f>
      </x:c>
      <x:c r="U133" s="2" t="str">
        <x:f>IF(T133="","",IF(T133&lt;=20,1,IF(T133&lt;=40,2,IF(T133&lt;=60,3,IF(T133&lt;=80,4,5)))))</x:f>
      </x:c>
      <x:c r="V133" s="2" t="str">
        <x:f>IF(M133="","",MAX(0,'Motor_Meciuri'!BF15-IF(W133="OOS PENDING",'Config_v6'!$B$35,0)-IF(L133&gt;'Config_v6'!$B$12,'Config_v6'!$B$37,IF(L133&gt;'Config_v6'!$B$11,'Config_v6'!$B$36,0))))</x:f>
      </x:c>
      <x:c r="W133" s="2" t="str">
        <x:f>IF(B133="","",IF(I133&lt;&gt;"READY","NOT RELEASED",IF(NOT(AND(J133="PASS",'Calibrare_Linii'!U7="VALID")),"INVALID",IF(NOT(AND('Calibrare_Linii'!S7="VALIDATED",AND('Calibrare_Linii'!H7=C133,ISNUMBER('Calibrare_Linii'!J7),'Calibrare_Linii'!J7&lt;='Input_Meci'!G15))),"OOS PENDING",IF(S133&lt;='Calibrare_Linii'!E7,"PASS",IF(S133&lt;='Calibrare_Linii'!F7,"PENALTY","WATCH"))))))</x:f>
      </x:c>
      <x:c r="X133" s="2" t="str">
        <x:f>IF(M133="","",IF(AND(AND(J133="PASS",'Calibrare_Linii'!U7="VALID"),'Motor_Meciuri'!K15=12,'Motor_Meciuri'!L15=12,'Motor_Meciuri'!M15="NO",'Motor_Meciuri'!BL15='Motor_Meciuri'!C15,AB133&gt;='Config_v6'!$B$50,AN133&gt;='Config_v6'!$B$51,T133&lt;='Config_v6'!$B$52,L133&lt;='Config_v6'!$B$53,ISNUMBER('Calibrare_Linii'!E7),S133&lt;='Calibrare_Linii'!E7,SUM(AK133:AM133)&gt;0),"CANDIDATE","NO"))</x:f>
      </x:c>
      <x:c r="Y133" s="2" t="str">
        <x:f>IF(B133="","",IF(I133&lt;&gt;"READY","NOT RELEASED",IF(AND(X133="CANDIDATE",V133&gt;='Config_v6'!$B$51,W133="PASS",'Calibrare_Linii'!T7="VALIDATED",AND('Calibrare_Linii'!H7=C133,ISNUMBER('Calibrare_Linii'!J7),'Calibrare_Linii'!J7&lt;='Input_Meci'!G15)),"PASS",IF(X133="CANDIDATE","OOS PENDING","FAIL"))))</x:f>
      </x:c>
      <x:c r="Z133" s="2" t="str">
        <x:f>IF(B133="","",IF(I133&lt;&gt;"READY","",IF(OR(NOT(AND(J133="PASS",'Calibrare_Linii'!U7="VALID")),L133&gt;'Config_v6'!$B$13,W133="WATCH"),5,IF(Y133="PASS",1,MIN(5,MAX('Config_v6'!$B$42,U133)+IF(W133="PENALTY",1,0))))))</x:f>
      </x:c>
      <x:c r="AA133" s="2" t="str">
        <x:f>IF(B133="","",IF(I133&lt;&gt;"READY","NOT RELEASED",IF(Z133=5,"NO BET",IF(OR(AB133&lt;'Config_v6'!$B$16,V133&lt;'Config_v6'!$B$18),"WATCH",IF(Z133=1,"DEFENSIV",IF(Z133=2,"PRUDENT",IF(Z133=3,"MODERAT","RIDICAT")))))))</x:f>
      </x:c>
      <x:c r="AB133" s="10" t="str">
        <x:f>IF(N133="","",MIN(N133,1-S133))</x:f>
      </x:c>
      <x:c r="AC133" s="2" t="str">
        <x:f>IF(AD133&lt;&gt;1,"",COUNTIFS($Z$132:$Z$145,"&lt;"&amp;Z133,$AD$132:$AD$145,1)+COUNTIFS($Z$132:$Z$145,Z133,$AB$132:$AB$145,"&gt;"&amp;AB133,$AD$132:$AD$145,1)+COUNTIFS($Z$132:$Z$145,Z133,$AB$132:$AB$145,AB133,$V$132:$V$145,"&gt;"&amp;V133,$AD$132:$AD$145,1)+COUNTIFS($Z$132:Z133,Z133,$AB$132:AB133,AB133,$V$132:V133,V133,$AD$132:AD133,1))</x:f>
      </x:c>
      <x:c r="AD133" s="2" t="n">
        <x:f>IF(OR(AA133="DEFENSIV",AA133="PRUDENT",AA133="MODERAT",AA133="RIDICAT"),1,0)</x:f>
        <x:v>0</x:v>
      </x:c>
      <x:c r="AE133" s="2" t="str">
        <x:f>IF(AD133&lt;&gt;1,"NO",IF(W133="PASS","YES",IF(W133="OOS PENDING","CONDITIONAL","NO")))</x:f>
        <x:v>NO</x:v>
      </x:c>
      <x:c r="AF133" s="2" t="n">
        <x:f>IF(AND(AD133=1,AC133=1,E133="LIVE"),1,0)</x:f>
        <x:v>0</x:v>
      </x:c>
      <x:c r="AG133" s="2" t="str">
        <x:f>IF(AF133&lt;&gt;1,"",'Dashboard'!P35)</x:f>
      </x:c>
      <x:c r="AH133" s="2" t="str">
        <x:f>IF(B133="","",IF(J133&lt;&gt;"PASS",'Motor_Meciuri'!J15,IF('Calibrare_Linii'!U7&lt;&gt;"VALID","Parametri linie invalizi",IF(L133&gt;'Config_v6'!$B$13,"Dispersie peste limita",IF(W133="WATCH","Failure peste limita",IF(AB133&lt;'Config_v6'!$B$16,"P finala sub prag",IF(V133&lt;'Config_v6'!$B$18,"Confidence sub prag",IF(E133="REPLAY","Exemplu retrospectiv; exclus din Top LIVE",IF(Y133="PASS","DEFENSIV validat",IF(W133="OOS PENDING","Eligibil; calibrare linie in monitorizare","Eligibil"))))))))))</x:f>
      </x:c>
      <x:c r="AI133" s="2" t="str">
        <x:f>IF(B133="","",'Calibrare_Linii'!V7)</x:f>
      </x:c>
      <x:c r="AJ133" s="2" t="str">
        <x:f>IF(B133="","",IF(AND('Calibrare_Linii'!T7="VALIDATED",AND('Calibrare_Linii'!H7=C133,ISNUMBER('Calibrare_Linii'!J7),'Calibrare_Linii'!J7&lt;='Input_Meci'!G15)),"DEFENSIVE VALIDATED",IF(AND('Calibrare_Linii'!S7="VALIDATED",AND('Calibrare_Linii'!H7=C133,ISNUMBER('Calibrare_Linii'!J7),'Calibrare_Linii'!J7&lt;='Input_Meci'!G15)),"TAIL VALIDATED","OOS PENDING")))</x:f>
      </x:c>
      <x:c r="AK133" s="2" t="n">
        <x:f>IF(J133&lt;&gt;"PASS",0,'Motor_Meciuri'!BR15)</x:f>
        <x:v>0</x:v>
      </x:c>
      <x:c r="AL133" s="2" t="n">
        <x:f>IF(J133&lt;&gt;"PASS",0,'Motor_Meciuri'!BS15)</x:f>
        <x:v>0</x:v>
      </x:c>
      <x:c r="AM133" s="2" t="n">
        <x:f>IF(J133&lt;&gt;"PASS",0,'Motor_Meciuri'!BT15)</x:f>
        <x:v>0</x:v>
      </x:c>
      <x:c r="AN133" s="2" t="str">
        <x:f>IF(M133="","",MAX(0,'Motor_Meciuri'!BF15-IF(L133&gt;'Config_v6'!$B$12,'Config_v6'!$B$37,IF(L133&gt;'Config_v6'!$B$11,'Config_v6'!$B$36,0))))</x:f>
      </x:c>
    </x:row>
    <x:row r="134" ht="21" customHeight="1">
      <x:c r="A134" s="2" t="n">
        <x:v>10</x:v>
      </x:c>
      <x:c r="B134" s="2" t="str">
        <x:f>IF('Motor_Meciuri'!A15="","",'Motor_Meciuri'!A15)</x:f>
      </x:c>
      <x:c r="C134" s="2" t="str">
        <x:f>IF(B134="","",'Motor_Meciuri'!B15)</x:f>
      </x:c>
      <x:c r="D134" s="2" t="str">
        <x:f>IF(B134="","",'Motor_Meciuri'!D15)</x:f>
      </x:c>
      <x:c r="E134" s="2" t="str">
        <x:f>IF(B134="","",'Motor_Meciuri'!E15)</x:f>
      </x:c>
      <x:c r="F134" s="2" t="str">
        <x:v>O5,5</x:v>
      </x:c>
      <x:c r="G134" s="2" t="str">
        <x:v>OVER</x:v>
      </x:c>
      <x:c r="H134" s="2" t="n">
        <x:v>5</x:v>
      </x:c>
      <x:c r="I134" s="2" t="str">
        <x:f>IF(B134="","",'Motor_Meciuri'!H15)</x:f>
      </x:c>
      <x:c r="J134" s="2" t="str">
        <x:f>IF(B134="","",'Motor_Meciuri'!I15)</x:f>
      </x:c>
      <x:c r="K134" s="11" t="str">
        <x:f>IF(J134&lt;&gt;"PASS","",'Motor_Meciuri'!BD15)</x:f>
      </x:c>
      <x:c r="L134" s="11" t="str">
        <x:f>IF(J134&lt;&gt;"PASS","",'Motor_Meciuri'!AU15)</x:f>
      </x:c>
      <x:c r="M134" s="10" t="str">
        <x:f>IF(NOT(AND(J134="PASS",'Calibrare_Linii'!U8="VALID")),"",1-'Distributie'!AC15)</x:f>
      </x:c>
      <x:c r="N134" s="10" t="str">
        <x:f>IF(M134="","",MAX(0.01,MIN(0.99,0.5+(M134-0.5)*'Motor_Meciuri'!BG15*'Calibrare_Linii'!D8)))</x:f>
      </x:c>
      <x:c r="O134" s="10" t="str">
        <x:f>IF(M134="","",1-M134)</x:f>
      </x:c>
      <x:c r="P134" s="10" t="str">
        <x:f>IF(OR(NOT(AND(J134="PASS",'Calibrare_Linii'!U8="VALID")),AK134=0),""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*('Istoric_Nativ'!$Q$6:$Q$405&lt;=H134))/AK134)</x:f>
      </x:c>
      <x:c r="Q134" s="10" t="str">
        <x:f>IF(OR(NOT(AND(J134="PASS",'Calibrare_Linii'!U8="VALID")),AL134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M15)+((('Istoric_Nativ'!$E$6:$E$405='Input_Meci'!E15)+('Istoric_Nativ'!$F$6:$F$405='Input_Meci'!E15))&gt;0)*('Istoric_Nativ'!$D$6:$D$405&gt;='Motor_Meciuri'!BN15))&gt;0)*('Istoric_Nativ'!$Q$6:$Q$405&lt;=H134))/AL134)</x:f>
      </x:c>
      <x:c r="R134" s="10" t="str">
        <x:f>IF(OR(NOT(AND(J134="PASS",'Calibrare_Linii'!U8="VALID")),AM134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O15)+((('Istoric_Nativ'!$E$6:$E$405='Input_Meci'!E15)+('Istoric_Nativ'!$F$6:$F$405='Input_Meci'!E15))&gt;0)*('Istoric_Nativ'!$D$6:$D$405&gt;='Motor_Meciuri'!BP15))&gt;0)*('Istoric_Nativ'!$Q$6:$Q$405&lt;=H134))/AM134)</x:f>
      </x:c>
      <x:c r="S134" s="10" t="str">
        <x:f>IF(M134="","",MAX(O134,P134,Q134,R134))</x:f>
      </x:c>
      <x:c r="T134" s="11" t="str">
        <x:f>IF(M134="","",MIN(100,S134*100*'Config_v6'!$B$44+MIN(100,L134/'Config_v6'!$B$13*100)*'Config_v6'!$B$45+(100-'Motor_Meciuri'!BF15)*'Config_v6'!$B$46+'Motor_Meciuri'!BH15*100*'Config_v6'!$B$47))</x:f>
      </x:c>
      <x:c r="U134" s="2" t="str">
        <x:f>IF(T134="","",IF(T134&lt;=20,1,IF(T134&lt;=40,2,IF(T134&lt;=60,3,IF(T134&lt;=80,4,5)))))</x:f>
      </x:c>
      <x:c r="V134" s="2" t="str">
        <x:f>IF(M134="","",MAX(0,'Motor_Meciuri'!BF15-IF(W134="OOS PENDING",'Config_v6'!$B$35,0)-IF(L134&gt;'Config_v6'!$B$12,'Config_v6'!$B$37,IF(L134&gt;'Config_v6'!$B$11,'Config_v6'!$B$36,0))))</x:f>
      </x:c>
      <x:c r="W134" s="2" t="str">
        <x:f>IF(B134="","",IF(I134&lt;&gt;"READY","NOT RELEASED",IF(NOT(AND(J134="PASS",'Calibrare_Linii'!U8="VALID")),"INVALID",IF(NOT(AND('Calibrare_Linii'!S8="VALIDATED",AND('Calibrare_Linii'!H8=C134,ISNUMBER('Calibrare_Linii'!J8),'Calibrare_Linii'!J8&lt;='Input_Meci'!G15))),"OOS PENDING",IF(S134&lt;='Calibrare_Linii'!E8,"PASS",IF(S134&lt;='Calibrare_Linii'!F8,"PENALTY","WATCH"))))))</x:f>
      </x:c>
      <x:c r="X134" s="2" t="str">
        <x:f>IF(M134="","",IF(AND(AND(J134="PASS",'Calibrare_Linii'!U8="VALID"),'Motor_Meciuri'!K15=12,'Motor_Meciuri'!L15=12,'Motor_Meciuri'!M15="NO",'Motor_Meciuri'!BL15='Motor_Meciuri'!C15,AB134&gt;='Config_v6'!$B$50,AN134&gt;='Config_v6'!$B$51,T134&lt;='Config_v6'!$B$52,L134&lt;='Config_v6'!$B$53,ISNUMBER('Calibrare_Linii'!E8),S134&lt;='Calibrare_Linii'!E8,SUM(AK134:AM134)&gt;0),"CANDIDATE","NO"))</x:f>
      </x:c>
      <x:c r="Y134" s="2" t="str">
        <x:f>IF(B134="","",IF(I134&lt;&gt;"READY","NOT RELEASED",IF(AND(X134="CANDIDATE",V134&gt;='Config_v6'!$B$51,W134="PASS",'Calibrare_Linii'!T8="VALIDATED",AND('Calibrare_Linii'!H8=C134,ISNUMBER('Calibrare_Linii'!J8),'Calibrare_Linii'!J8&lt;='Input_Meci'!G15)),"PASS",IF(X134="CANDIDATE","OOS PENDING","FAIL"))))</x:f>
      </x:c>
      <x:c r="Z134" s="2" t="str">
        <x:f>IF(B134="","",IF(I134&lt;&gt;"READY","",IF(OR(NOT(AND(J134="PASS",'Calibrare_Linii'!U8="VALID")),L134&gt;'Config_v6'!$B$13,W134="WATCH"),5,IF(Y134="PASS",1,MIN(5,MAX('Config_v6'!$B$42,U134)+IF(W134="PENALTY",1,0))))))</x:f>
      </x:c>
      <x:c r="AA134" s="2" t="str">
        <x:f>IF(B134="","",IF(I134&lt;&gt;"READY","NOT RELEASED",IF(Z134=5,"NO BET",IF(OR(AB134&lt;'Config_v6'!$B$16,V134&lt;'Config_v6'!$B$18),"WATCH",IF(Z134=1,"DEFENSIV",IF(Z134=2,"PRUDENT",IF(Z134=3,"MODERAT","RIDICAT")))))))</x:f>
      </x:c>
      <x:c r="AB134" s="10" t="str">
        <x:f>IF(N134="","",MIN(N134,1-S134))</x:f>
      </x:c>
      <x:c r="AC134" s="2" t="str">
        <x:f>IF(AD134&lt;&gt;1,"",COUNTIFS($Z$132:$Z$145,"&lt;"&amp;Z134,$AD$132:$AD$145,1)+COUNTIFS($Z$132:$Z$145,Z134,$AB$132:$AB$145,"&gt;"&amp;AB134,$AD$132:$AD$145,1)+COUNTIFS($Z$132:$Z$145,Z134,$AB$132:$AB$145,AB134,$V$132:$V$145,"&gt;"&amp;V134,$AD$132:$AD$145,1)+COUNTIFS($Z$132:Z134,Z134,$AB$132:AB134,AB134,$V$132:V134,V134,$AD$132:AD134,1))</x:f>
      </x:c>
      <x:c r="AD134" s="2" t="n">
        <x:f>IF(OR(AA134="DEFENSIV",AA134="PRUDENT",AA134="MODERAT",AA134="RIDICAT"),1,0)</x:f>
        <x:v>0</x:v>
      </x:c>
      <x:c r="AE134" s="2" t="str">
        <x:f>IF(AD134&lt;&gt;1,"NO",IF(W134="PASS","YES",IF(W134="OOS PENDING","CONDITIONAL","NO")))</x:f>
        <x:v>NO</x:v>
      </x:c>
      <x:c r="AF134" s="2" t="n">
        <x:f>IF(AND(AD134=1,AC134=1,E134="LIVE"),1,0)</x:f>
        <x:v>0</x:v>
      </x:c>
      <x:c r="AG134" s="2" t="str">
        <x:f>IF(AF134&lt;&gt;1,"",'Dashboard'!P35)</x:f>
      </x:c>
      <x:c r="AH134" s="2" t="str">
        <x:f>IF(B134="","",IF(J134&lt;&gt;"PASS",'Motor_Meciuri'!J15,IF('Calibrare_Linii'!U8&lt;&gt;"VALID","Parametri linie invalizi",IF(L134&gt;'Config_v6'!$B$13,"Dispersie peste limita",IF(W134="WATCH","Failure peste limita",IF(AB134&lt;'Config_v6'!$B$16,"P finala sub prag",IF(V134&lt;'Config_v6'!$B$18,"Confidence sub prag",IF(E134="REPLAY","Exemplu retrospectiv; exclus din Top LIVE",IF(Y134="PASS","DEFENSIV validat",IF(W134="OOS PENDING","Eligibil; calibrare linie in monitorizare","Eligibil"))))))))))</x:f>
      </x:c>
      <x:c r="AI134" s="2" t="str">
        <x:f>IF(B134="","",'Calibrare_Linii'!V8)</x:f>
      </x:c>
      <x:c r="AJ134" s="2" t="str">
        <x:f>IF(B134="","",IF(AND('Calibrare_Linii'!T8="VALIDATED",AND('Calibrare_Linii'!H8=C134,ISNUMBER('Calibrare_Linii'!J8),'Calibrare_Linii'!J8&lt;='Input_Meci'!G15)),"DEFENSIVE VALIDATED",IF(AND('Calibrare_Linii'!S8="VALIDATED",AND('Calibrare_Linii'!H8=C134,ISNUMBER('Calibrare_Linii'!J8),'Calibrare_Linii'!J8&lt;='Input_Meci'!G15)),"TAIL VALIDATED","OOS PENDING")))</x:f>
      </x:c>
      <x:c r="AK134" s="2" t="n">
        <x:f>IF(J134&lt;&gt;"PASS",0,'Motor_Meciuri'!BR15)</x:f>
        <x:v>0</x:v>
      </x:c>
      <x:c r="AL134" s="2" t="n">
        <x:f>IF(J134&lt;&gt;"PASS",0,'Motor_Meciuri'!BS15)</x:f>
        <x:v>0</x:v>
      </x:c>
      <x:c r="AM134" s="2" t="n">
        <x:f>IF(J134&lt;&gt;"PASS",0,'Motor_Meciuri'!BT15)</x:f>
        <x:v>0</x:v>
      </x:c>
      <x:c r="AN134" s="2" t="str">
        <x:f>IF(M134="","",MAX(0,'Motor_Meciuri'!BF15-IF(L134&gt;'Config_v6'!$B$12,'Config_v6'!$B$37,IF(L134&gt;'Config_v6'!$B$11,'Config_v6'!$B$36,0))))</x:f>
      </x:c>
    </x:row>
    <x:row r="135" ht="21" customHeight="1">
      <x:c r="A135" s="2" t="n">
        <x:v>10</x:v>
      </x:c>
      <x:c r="B135" s="2" t="str">
        <x:f>IF('Motor_Meciuri'!A15="","",'Motor_Meciuri'!A15)</x:f>
      </x:c>
      <x:c r="C135" s="2" t="str">
        <x:f>IF(B135="","",'Motor_Meciuri'!B15)</x:f>
      </x:c>
      <x:c r="D135" s="2" t="str">
        <x:f>IF(B135="","",'Motor_Meciuri'!D15)</x:f>
      </x:c>
      <x:c r="E135" s="2" t="str">
        <x:f>IF(B135="","",'Motor_Meciuri'!E15)</x:f>
      </x:c>
      <x:c r="F135" s="2" t="str">
        <x:v>O6,5</x:v>
      </x:c>
      <x:c r="G135" s="2" t="str">
        <x:v>OVER</x:v>
      </x:c>
      <x:c r="H135" s="2" t="n">
        <x:v>6</x:v>
      </x:c>
      <x:c r="I135" s="2" t="str">
        <x:f>IF(B135="","",'Motor_Meciuri'!H15)</x:f>
      </x:c>
      <x:c r="J135" s="2" t="str">
        <x:f>IF(B135="","",'Motor_Meciuri'!I15)</x:f>
      </x:c>
      <x:c r="K135" s="11" t="str">
        <x:f>IF(J135&lt;&gt;"PASS","",'Motor_Meciuri'!BD15)</x:f>
      </x:c>
      <x:c r="L135" s="11" t="str">
        <x:f>IF(J135&lt;&gt;"PASS","",'Motor_Meciuri'!AU15)</x:f>
      </x:c>
      <x:c r="M135" s="10" t="str">
        <x:f>IF(NOT(AND(J135="PASS",'Calibrare_Linii'!U9="VALID")),"",1-'Distributie'!AD15)</x:f>
      </x:c>
      <x:c r="N135" s="10" t="str">
        <x:f>IF(M135="","",MAX(0.01,MIN(0.99,0.5+(M135-0.5)*'Motor_Meciuri'!BG15*'Calibrare_Linii'!D9)))</x:f>
      </x:c>
      <x:c r="O135" s="10" t="str">
        <x:f>IF(M135="","",1-M135)</x:f>
      </x:c>
      <x:c r="P135" s="10" t="str">
        <x:f>IF(OR(NOT(AND(J135="PASS",'Calibrare_Linii'!U9="VALID")),AK135=0),""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*('Istoric_Nativ'!$Q$6:$Q$405&lt;=H135))/AK135)</x:f>
      </x:c>
      <x:c r="Q135" s="10" t="str">
        <x:f>IF(OR(NOT(AND(J135="PASS",'Calibrare_Linii'!U9="VALID")),AL135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M15)+((('Istoric_Nativ'!$E$6:$E$405='Input_Meci'!E15)+('Istoric_Nativ'!$F$6:$F$405='Input_Meci'!E15))&gt;0)*('Istoric_Nativ'!$D$6:$D$405&gt;='Motor_Meciuri'!BN15))&gt;0)*('Istoric_Nativ'!$Q$6:$Q$405&lt;=H135))/AL135)</x:f>
      </x:c>
      <x:c r="R135" s="10" t="str">
        <x:f>IF(OR(NOT(AND(J135="PASS",'Calibrare_Linii'!U9="VALID")),AM135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O15)+((('Istoric_Nativ'!$E$6:$E$405='Input_Meci'!E15)+('Istoric_Nativ'!$F$6:$F$405='Input_Meci'!E15))&gt;0)*('Istoric_Nativ'!$D$6:$D$405&gt;='Motor_Meciuri'!BP15))&gt;0)*('Istoric_Nativ'!$Q$6:$Q$405&lt;=H135))/AM135)</x:f>
      </x:c>
      <x:c r="S135" s="10" t="str">
        <x:f>IF(M135="","",MAX(O135,P135,Q135,R135))</x:f>
      </x:c>
      <x:c r="T135" s="11" t="str">
        <x:f>IF(M135="","",MIN(100,S135*100*'Config_v6'!$B$44+MIN(100,L135/'Config_v6'!$B$13*100)*'Config_v6'!$B$45+(100-'Motor_Meciuri'!BF15)*'Config_v6'!$B$46+'Motor_Meciuri'!BH15*100*'Config_v6'!$B$47))</x:f>
      </x:c>
      <x:c r="U135" s="2" t="str">
        <x:f>IF(T135="","",IF(T135&lt;=20,1,IF(T135&lt;=40,2,IF(T135&lt;=60,3,IF(T135&lt;=80,4,5)))))</x:f>
      </x:c>
      <x:c r="V135" s="2" t="str">
        <x:f>IF(M135="","",MAX(0,'Motor_Meciuri'!BF15-IF(W135="OOS PENDING",'Config_v6'!$B$35,0)-IF(L135&gt;'Config_v6'!$B$12,'Config_v6'!$B$37,IF(L135&gt;'Config_v6'!$B$11,'Config_v6'!$B$36,0))))</x:f>
      </x:c>
      <x:c r="W135" s="2" t="str">
        <x:f>IF(B135="","",IF(I135&lt;&gt;"READY","NOT RELEASED",IF(NOT(AND(J135="PASS",'Calibrare_Linii'!U9="VALID")),"INVALID",IF(NOT(AND('Calibrare_Linii'!S9="VALIDATED",AND('Calibrare_Linii'!H9=C135,ISNUMBER('Calibrare_Linii'!J9),'Calibrare_Linii'!J9&lt;='Input_Meci'!G15))),"OOS PENDING",IF(S135&lt;='Calibrare_Linii'!E9,"PASS",IF(S135&lt;='Calibrare_Linii'!F9,"PENALTY","WATCH"))))))</x:f>
      </x:c>
      <x:c r="X135" s="2" t="str">
        <x:f>IF(M135="","",IF(AND(AND(J135="PASS",'Calibrare_Linii'!U9="VALID"),'Motor_Meciuri'!K15=12,'Motor_Meciuri'!L15=12,'Motor_Meciuri'!M15="NO",'Motor_Meciuri'!BL15='Motor_Meciuri'!C15,AB135&gt;='Config_v6'!$B$50,AN135&gt;='Config_v6'!$B$51,T135&lt;='Config_v6'!$B$52,L135&lt;='Config_v6'!$B$53,ISNUMBER('Calibrare_Linii'!E9),S135&lt;='Calibrare_Linii'!E9,SUM(AK135:AM135)&gt;0),"CANDIDATE","NO"))</x:f>
      </x:c>
      <x:c r="Y135" s="2" t="str">
        <x:f>IF(B135="","",IF(I135&lt;&gt;"READY","NOT RELEASED",IF(AND(X135="CANDIDATE",V135&gt;='Config_v6'!$B$51,W135="PASS",'Calibrare_Linii'!T9="VALIDATED",AND('Calibrare_Linii'!H9=C135,ISNUMBER('Calibrare_Linii'!J9),'Calibrare_Linii'!J9&lt;='Input_Meci'!G15)),"PASS",IF(X135="CANDIDATE","OOS PENDING","FAIL"))))</x:f>
      </x:c>
      <x:c r="Z135" s="2" t="str">
        <x:f>IF(B135="","",IF(I135&lt;&gt;"READY","",IF(OR(NOT(AND(J135="PASS",'Calibrare_Linii'!U9="VALID")),L135&gt;'Config_v6'!$B$13,W135="WATCH"),5,IF(Y135="PASS",1,MIN(5,MAX('Config_v6'!$B$42,U135)+IF(W135="PENALTY",1,0))))))</x:f>
      </x:c>
      <x:c r="AA135" s="2" t="str">
        <x:f>IF(B135="","",IF(I135&lt;&gt;"READY","NOT RELEASED",IF(Z135=5,"NO BET",IF(OR(AB135&lt;'Config_v6'!$B$16,V135&lt;'Config_v6'!$B$18),"WATCH",IF(Z135=1,"DEFENSIV",IF(Z135=2,"PRUDENT",IF(Z135=3,"MODERAT","RIDICAT")))))))</x:f>
      </x:c>
      <x:c r="AB135" s="10" t="str">
        <x:f>IF(N135="","",MIN(N135,1-S135))</x:f>
      </x:c>
      <x:c r="AC135" s="2" t="str">
        <x:f>IF(AD135&lt;&gt;1,"",COUNTIFS($Z$132:$Z$145,"&lt;"&amp;Z135,$AD$132:$AD$145,1)+COUNTIFS($Z$132:$Z$145,Z135,$AB$132:$AB$145,"&gt;"&amp;AB135,$AD$132:$AD$145,1)+COUNTIFS($Z$132:$Z$145,Z135,$AB$132:$AB$145,AB135,$V$132:$V$145,"&gt;"&amp;V135,$AD$132:$AD$145,1)+COUNTIFS($Z$132:Z135,Z135,$AB$132:AB135,AB135,$V$132:V135,V135,$AD$132:AD135,1))</x:f>
      </x:c>
      <x:c r="AD135" s="2" t="n">
        <x:f>IF(OR(AA135="DEFENSIV",AA135="PRUDENT",AA135="MODERAT",AA135="RIDICAT"),1,0)</x:f>
        <x:v>0</x:v>
      </x:c>
      <x:c r="AE135" s="2" t="str">
        <x:f>IF(AD135&lt;&gt;1,"NO",IF(W135="PASS","YES",IF(W135="OOS PENDING","CONDITIONAL","NO")))</x:f>
        <x:v>NO</x:v>
      </x:c>
      <x:c r="AF135" s="2" t="n">
        <x:f>IF(AND(AD135=1,AC135=1,E135="LIVE"),1,0)</x:f>
        <x:v>0</x:v>
      </x:c>
      <x:c r="AG135" s="2" t="str">
        <x:f>IF(AF135&lt;&gt;1,"",'Dashboard'!P35)</x:f>
      </x:c>
      <x:c r="AH135" s="2" t="str">
        <x:f>IF(B135="","",IF(J135&lt;&gt;"PASS",'Motor_Meciuri'!J15,IF('Calibrare_Linii'!U9&lt;&gt;"VALID","Parametri linie invalizi",IF(L135&gt;'Config_v6'!$B$13,"Dispersie peste limita",IF(W135="WATCH","Failure peste limita",IF(AB135&lt;'Config_v6'!$B$16,"P finala sub prag",IF(V135&lt;'Config_v6'!$B$18,"Confidence sub prag",IF(E135="REPLAY","Exemplu retrospectiv; exclus din Top LIVE",IF(Y135="PASS","DEFENSIV validat",IF(W135="OOS PENDING","Eligibil; calibrare linie in monitorizare","Eligibil"))))))))))</x:f>
      </x:c>
      <x:c r="AI135" s="2" t="str">
        <x:f>IF(B135="","",'Calibrare_Linii'!V9)</x:f>
      </x:c>
      <x:c r="AJ135" s="2" t="str">
        <x:f>IF(B135="","",IF(AND('Calibrare_Linii'!T9="VALIDATED",AND('Calibrare_Linii'!H9=C135,ISNUMBER('Calibrare_Linii'!J9),'Calibrare_Linii'!J9&lt;='Input_Meci'!G15)),"DEFENSIVE VALIDATED",IF(AND('Calibrare_Linii'!S9="VALIDATED",AND('Calibrare_Linii'!H9=C135,ISNUMBER('Calibrare_Linii'!J9),'Calibrare_Linii'!J9&lt;='Input_Meci'!G15)),"TAIL VALIDATED","OOS PENDING")))</x:f>
      </x:c>
      <x:c r="AK135" s="2" t="n">
        <x:f>IF(J135&lt;&gt;"PASS",0,'Motor_Meciuri'!BR15)</x:f>
        <x:v>0</x:v>
      </x:c>
      <x:c r="AL135" s="2" t="n">
        <x:f>IF(J135&lt;&gt;"PASS",0,'Motor_Meciuri'!BS15)</x:f>
        <x:v>0</x:v>
      </x:c>
      <x:c r="AM135" s="2" t="n">
        <x:f>IF(J135&lt;&gt;"PASS",0,'Motor_Meciuri'!BT15)</x:f>
        <x:v>0</x:v>
      </x:c>
      <x:c r="AN135" s="2" t="str">
        <x:f>IF(M135="","",MAX(0,'Motor_Meciuri'!BF15-IF(L135&gt;'Config_v6'!$B$12,'Config_v6'!$B$37,IF(L135&gt;'Config_v6'!$B$11,'Config_v6'!$B$36,0))))</x:f>
      </x:c>
    </x:row>
    <x:row r="136" ht="21" customHeight="1">
      <x:c r="A136" s="2" t="n">
        <x:v>10</x:v>
      </x:c>
      <x:c r="B136" s="2" t="str">
        <x:f>IF('Motor_Meciuri'!A15="","",'Motor_Meciuri'!A15)</x:f>
      </x:c>
      <x:c r="C136" s="2" t="str">
        <x:f>IF(B136="","",'Motor_Meciuri'!B15)</x:f>
      </x:c>
      <x:c r="D136" s="2" t="str">
        <x:f>IF(B136="","",'Motor_Meciuri'!D15)</x:f>
      </x:c>
      <x:c r="E136" s="2" t="str">
        <x:f>IF(B136="","",'Motor_Meciuri'!E15)</x:f>
      </x:c>
      <x:c r="F136" s="2" t="str">
        <x:v>O7,5</x:v>
      </x:c>
      <x:c r="G136" s="2" t="str">
        <x:v>OVER</x:v>
      </x:c>
      <x:c r="H136" s="2" t="n">
        <x:v>7</x:v>
      </x:c>
      <x:c r="I136" s="2" t="str">
        <x:f>IF(B136="","",'Motor_Meciuri'!H15)</x:f>
      </x:c>
      <x:c r="J136" s="2" t="str">
        <x:f>IF(B136="","",'Motor_Meciuri'!I15)</x:f>
      </x:c>
      <x:c r="K136" s="11" t="str">
        <x:f>IF(J136&lt;&gt;"PASS","",'Motor_Meciuri'!BD15)</x:f>
      </x:c>
      <x:c r="L136" s="11" t="str">
        <x:f>IF(J136&lt;&gt;"PASS","",'Motor_Meciuri'!AU15)</x:f>
      </x:c>
      <x:c r="M136" s="10" t="str">
        <x:f>IF(NOT(AND(J136="PASS",'Calibrare_Linii'!U10="VALID")),"",1-'Distributie'!AE15)</x:f>
      </x:c>
      <x:c r="N136" s="10" t="str">
        <x:f>IF(M136="","",MAX(0.01,MIN(0.99,0.5+(M136-0.5)*'Motor_Meciuri'!BG15*'Calibrare_Linii'!D10)))</x:f>
      </x:c>
      <x:c r="O136" s="10" t="str">
        <x:f>IF(M136="","",1-M136)</x:f>
      </x:c>
      <x:c r="P136" s="10" t="str">
        <x:f>IF(OR(NOT(AND(J136="PASS",'Calibrare_Linii'!U10="VALID")),AK136=0),""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*('Istoric_Nativ'!$Q$6:$Q$405&lt;=H136))/AK136)</x:f>
      </x:c>
      <x:c r="Q136" s="10" t="str">
        <x:f>IF(OR(NOT(AND(J136="PASS",'Calibrare_Linii'!U10="VALID")),AL136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M15)+((('Istoric_Nativ'!$E$6:$E$405='Input_Meci'!E15)+('Istoric_Nativ'!$F$6:$F$405='Input_Meci'!E15))&gt;0)*('Istoric_Nativ'!$D$6:$D$405&gt;='Motor_Meciuri'!BN15))&gt;0)*('Istoric_Nativ'!$Q$6:$Q$405&lt;=H136))/AL136)</x:f>
      </x:c>
      <x:c r="R136" s="10" t="str">
        <x:f>IF(OR(NOT(AND(J136="PASS",'Calibrare_Linii'!U10="VALID")),AM136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O15)+((('Istoric_Nativ'!$E$6:$E$405='Input_Meci'!E15)+('Istoric_Nativ'!$F$6:$F$405='Input_Meci'!E15))&gt;0)*('Istoric_Nativ'!$D$6:$D$405&gt;='Motor_Meciuri'!BP15))&gt;0)*('Istoric_Nativ'!$Q$6:$Q$405&lt;=H136))/AM136)</x:f>
      </x:c>
      <x:c r="S136" s="10" t="str">
        <x:f>IF(M136="","",MAX(O136,P136,Q136,R136))</x:f>
      </x:c>
      <x:c r="T136" s="11" t="str">
        <x:f>IF(M136="","",MIN(100,S136*100*'Config_v6'!$B$44+MIN(100,L136/'Config_v6'!$B$13*100)*'Config_v6'!$B$45+(100-'Motor_Meciuri'!BF15)*'Config_v6'!$B$46+'Motor_Meciuri'!BH15*100*'Config_v6'!$B$47))</x:f>
      </x:c>
      <x:c r="U136" s="2" t="str">
        <x:f>IF(T136="","",IF(T136&lt;=20,1,IF(T136&lt;=40,2,IF(T136&lt;=60,3,IF(T136&lt;=80,4,5)))))</x:f>
      </x:c>
      <x:c r="V136" s="2" t="str">
        <x:f>IF(M136="","",MAX(0,'Motor_Meciuri'!BF15-IF(W136="OOS PENDING",'Config_v6'!$B$35,0)-IF(L136&gt;'Config_v6'!$B$12,'Config_v6'!$B$37,IF(L136&gt;'Config_v6'!$B$11,'Config_v6'!$B$36,0))))</x:f>
      </x:c>
      <x:c r="W136" s="2" t="str">
        <x:f>IF(B136="","",IF(I136&lt;&gt;"READY","NOT RELEASED",IF(NOT(AND(J136="PASS",'Calibrare_Linii'!U10="VALID")),"INVALID",IF(NOT(AND('Calibrare_Linii'!S10="VALIDATED",AND('Calibrare_Linii'!H10=C136,ISNUMBER('Calibrare_Linii'!J10),'Calibrare_Linii'!J10&lt;='Input_Meci'!G15))),"OOS PENDING",IF(S136&lt;='Calibrare_Linii'!E10,"PASS",IF(S136&lt;='Calibrare_Linii'!F10,"PENALTY","WATCH"))))))</x:f>
      </x:c>
      <x:c r="X136" s="2" t="str">
        <x:f>IF(M136="","",IF(AND(AND(J136="PASS",'Calibrare_Linii'!U10="VALID"),'Motor_Meciuri'!K15=12,'Motor_Meciuri'!L15=12,'Motor_Meciuri'!M15="NO",'Motor_Meciuri'!BL15='Motor_Meciuri'!C15,AB136&gt;='Config_v6'!$B$50,AN136&gt;='Config_v6'!$B$51,T136&lt;='Config_v6'!$B$52,L136&lt;='Config_v6'!$B$53,ISNUMBER('Calibrare_Linii'!E10),S136&lt;='Calibrare_Linii'!E10,SUM(AK136:AM136)&gt;0),"CANDIDATE","NO"))</x:f>
      </x:c>
      <x:c r="Y136" s="2" t="str">
        <x:f>IF(B136="","",IF(I136&lt;&gt;"READY","NOT RELEASED",IF(AND(X136="CANDIDATE",V136&gt;='Config_v6'!$B$51,W136="PASS",'Calibrare_Linii'!T10="VALIDATED",AND('Calibrare_Linii'!H10=C136,ISNUMBER('Calibrare_Linii'!J10),'Calibrare_Linii'!J10&lt;='Input_Meci'!G15)),"PASS",IF(X136="CANDIDATE","OOS PENDING","FAIL"))))</x:f>
      </x:c>
      <x:c r="Z136" s="2" t="str">
        <x:f>IF(B136="","",IF(I136&lt;&gt;"READY","",IF(OR(NOT(AND(J136="PASS",'Calibrare_Linii'!U10="VALID")),L136&gt;'Config_v6'!$B$13,W136="WATCH"),5,IF(Y136="PASS",1,MIN(5,MAX('Config_v6'!$B$42,U136)+IF(W136="PENALTY",1,0))))))</x:f>
      </x:c>
      <x:c r="AA136" s="2" t="str">
        <x:f>IF(B136="","",IF(I136&lt;&gt;"READY","NOT RELEASED",IF(Z136=5,"NO BET",IF(OR(AB136&lt;'Config_v6'!$B$16,V136&lt;'Config_v6'!$B$18),"WATCH",IF(Z136=1,"DEFENSIV",IF(Z136=2,"PRUDENT",IF(Z136=3,"MODERAT","RIDICAT")))))))</x:f>
      </x:c>
      <x:c r="AB136" s="10" t="str">
        <x:f>IF(N136="","",MIN(N136,1-S136))</x:f>
      </x:c>
      <x:c r="AC136" s="2" t="str">
        <x:f>IF(AD136&lt;&gt;1,"",COUNTIFS($Z$132:$Z$145,"&lt;"&amp;Z136,$AD$132:$AD$145,1)+COUNTIFS($Z$132:$Z$145,Z136,$AB$132:$AB$145,"&gt;"&amp;AB136,$AD$132:$AD$145,1)+COUNTIFS($Z$132:$Z$145,Z136,$AB$132:$AB$145,AB136,$V$132:$V$145,"&gt;"&amp;V136,$AD$132:$AD$145,1)+COUNTIFS($Z$132:Z136,Z136,$AB$132:AB136,AB136,$V$132:V136,V136,$AD$132:AD136,1))</x:f>
      </x:c>
      <x:c r="AD136" s="2" t="n">
        <x:f>IF(OR(AA136="DEFENSIV",AA136="PRUDENT",AA136="MODERAT",AA136="RIDICAT"),1,0)</x:f>
        <x:v>0</x:v>
      </x:c>
      <x:c r="AE136" s="2" t="str">
        <x:f>IF(AD136&lt;&gt;1,"NO",IF(W136="PASS","YES",IF(W136="OOS PENDING","CONDITIONAL","NO")))</x:f>
        <x:v>NO</x:v>
      </x:c>
      <x:c r="AF136" s="2" t="n">
        <x:f>IF(AND(AD136=1,AC136=1,E136="LIVE"),1,0)</x:f>
        <x:v>0</x:v>
      </x:c>
      <x:c r="AG136" s="2" t="str">
        <x:f>IF(AF136&lt;&gt;1,"",'Dashboard'!P35)</x:f>
      </x:c>
      <x:c r="AH136" s="2" t="str">
        <x:f>IF(B136="","",IF(J136&lt;&gt;"PASS",'Motor_Meciuri'!J15,IF('Calibrare_Linii'!U10&lt;&gt;"VALID","Parametri linie invalizi",IF(L136&gt;'Config_v6'!$B$13,"Dispersie peste limita",IF(W136="WATCH","Failure peste limita",IF(AB136&lt;'Config_v6'!$B$16,"P finala sub prag",IF(V136&lt;'Config_v6'!$B$18,"Confidence sub prag",IF(E136="REPLAY","Exemplu retrospectiv; exclus din Top LIVE",IF(Y136="PASS","DEFENSIV validat",IF(W136="OOS PENDING","Eligibil; calibrare linie in monitorizare","Eligibil"))))))))))</x:f>
      </x:c>
      <x:c r="AI136" s="2" t="str">
        <x:f>IF(B136="","",'Calibrare_Linii'!V10)</x:f>
      </x:c>
      <x:c r="AJ136" s="2" t="str">
        <x:f>IF(B136="","",IF(AND('Calibrare_Linii'!T10="VALIDATED",AND('Calibrare_Linii'!H10=C136,ISNUMBER('Calibrare_Linii'!J10),'Calibrare_Linii'!J10&lt;='Input_Meci'!G15)),"DEFENSIVE VALIDATED",IF(AND('Calibrare_Linii'!S10="VALIDATED",AND('Calibrare_Linii'!H10=C136,ISNUMBER('Calibrare_Linii'!J10),'Calibrare_Linii'!J10&lt;='Input_Meci'!G15)),"TAIL VALIDATED","OOS PENDING")))</x:f>
      </x:c>
      <x:c r="AK136" s="2" t="n">
        <x:f>IF(J136&lt;&gt;"PASS",0,'Motor_Meciuri'!BR15)</x:f>
        <x:v>0</x:v>
      </x:c>
      <x:c r="AL136" s="2" t="n">
        <x:f>IF(J136&lt;&gt;"PASS",0,'Motor_Meciuri'!BS15)</x:f>
        <x:v>0</x:v>
      </x:c>
      <x:c r="AM136" s="2" t="n">
        <x:f>IF(J136&lt;&gt;"PASS",0,'Motor_Meciuri'!BT15)</x:f>
        <x:v>0</x:v>
      </x:c>
      <x:c r="AN136" s="2" t="str">
        <x:f>IF(M136="","",MAX(0,'Motor_Meciuri'!BF15-IF(L136&gt;'Config_v6'!$B$12,'Config_v6'!$B$37,IF(L136&gt;'Config_v6'!$B$11,'Config_v6'!$B$36,0))))</x:f>
      </x:c>
    </x:row>
    <x:row r="137" ht="21" customHeight="1">
      <x:c r="A137" s="2" t="n">
        <x:v>10</x:v>
      </x:c>
      <x:c r="B137" s="2" t="str">
        <x:f>IF('Motor_Meciuri'!A15="","",'Motor_Meciuri'!A15)</x:f>
      </x:c>
      <x:c r="C137" s="2" t="str">
        <x:f>IF(B137="","",'Motor_Meciuri'!B15)</x:f>
      </x:c>
      <x:c r="D137" s="2" t="str">
        <x:f>IF(B137="","",'Motor_Meciuri'!D15)</x:f>
      </x:c>
      <x:c r="E137" s="2" t="str">
        <x:f>IF(B137="","",'Motor_Meciuri'!E15)</x:f>
      </x:c>
      <x:c r="F137" s="2" t="str">
        <x:v>O8,5</x:v>
      </x:c>
      <x:c r="G137" s="2" t="str">
        <x:v>OVER</x:v>
      </x:c>
      <x:c r="H137" s="2" t="n">
        <x:v>8</x:v>
      </x:c>
      <x:c r="I137" s="2" t="str">
        <x:f>IF(B137="","",'Motor_Meciuri'!H15)</x:f>
      </x:c>
      <x:c r="J137" s="2" t="str">
        <x:f>IF(B137="","",'Motor_Meciuri'!I15)</x:f>
      </x:c>
      <x:c r="K137" s="11" t="str">
        <x:f>IF(J137&lt;&gt;"PASS","",'Motor_Meciuri'!BD15)</x:f>
      </x:c>
      <x:c r="L137" s="11" t="str">
        <x:f>IF(J137&lt;&gt;"PASS","",'Motor_Meciuri'!AU15)</x:f>
      </x:c>
      <x:c r="M137" s="10" t="str">
        <x:f>IF(NOT(AND(J137="PASS",'Calibrare_Linii'!U11="VALID")),"",1-'Distributie'!AF15)</x:f>
      </x:c>
      <x:c r="N137" s="10" t="str">
        <x:f>IF(M137="","",MAX(0.01,MIN(0.99,0.5+(M137-0.5)*'Motor_Meciuri'!BG15*'Calibrare_Linii'!D11)))</x:f>
      </x:c>
      <x:c r="O137" s="10" t="str">
        <x:f>IF(M137="","",1-M137)</x:f>
      </x:c>
      <x:c r="P137" s="10" t="str">
        <x:f>IF(OR(NOT(AND(J137="PASS",'Calibrare_Linii'!U11="VALID")),AK137=0),""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*('Istoric_Nativ'!$Q$6:$Q$405&lt;=H137))/AK137)</x:f>
      </x:c>
      <x:c r="Q137" s="10" t="str">
        <x:f>IF(OR(NOT(AND(J137="PASS",'Calibrare_Linii'!U11="VALID")),AL137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M15)+((('Istoric_Nativ'!$E$6:$E$405='Input_Meci'!E15)+('Istoric_Nativ'!$F$6:$F$405='Input_Meci'!E15))&gt;0)*('Istoric_Nativ'!$D$6:$D$405&gt;='Motor_Meciuri'!BN15))&gt;0)*('Istoric_Nativ'!$Q$6:$Q$405&lt;=H137))/AL137)</x:f>
      </x:c>
      <x:c r="R137" s="10" t="str">
        <x:f>IF(OR(NOT(AND(J137="PASS",'Calibrare_Linii'!U11="VALID")),AM137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O15)+((('Istoric_Nativ'!$E$6:$E$405='Input_Meci'!E15)+('Istoric_Nativ'!$F$6:$F$405='Input_Meci'!E15))&gt;0)*('Istoric_Nativ'!$D$6:$D$405&gt;='Motor_Meciuri'!BP15))&gt;0)*('Istoric_Nativ'!$Q$6:$Q$405&lt;=H137))/AM137)</x:f>
      </x:c>
      <x:c r="S137" s="10" t="str">
        <x:f>IF(M137="","",MAX(O137,P137,Q137,R137))</x:f>
      </x:c>
      <x:c r="T137" s="11" t="str">
        <x:f>IF(M137="","",MIN(100,S137*100*'Config_v6'!$B$44+MIN(100,L137/'Config_v6'!$B$13*100)*'Config_v6'!$B$45+(100-'Motor_Meciuri'!BF15)*'Config_v6'!$B$46+'Motor_Meciuri'!BH15*100*'Config_v6'!$B$47))</x:f>
      </x:c>
      <x:c r="U137" s="2" t="str">
        <x:f>IF(T137="","",IF(T137&lt;=20,1,IF(T137&lt;=40,2,IF(T137&lt;=60,3,IF(T137&lt;=80,4,5)))))</x:f>
      </x:c>
      <x:c r="V137" s="2" t="str">
        <x:f>IF(M137="","",MAX(0,'Motor_Meciuri'!BF15-IF(W137="OOS PENDING",'Config_v6'!$B$35,0)-IF(L137&gt;'Config_v6'!$B$12,'Config_v6'!$B$37,IF(L137&gt;'Config_v6'!$B$11,'Config_v6'!$B$36,0))))</x:f>
      </x:c>
      <x:c r="W137" s="2" t="str">
        <x:f>IF(B137="","",IF(I137&lt;&gt;"READY","NOT RELEASED",IF(NOT(AND(J137="PASS",'Calibrare_Linii'!U11="VALID")),"INVALID",IF(NOT(AND('Calibrare_Linii'!S11="VALIDATED",AND('Calibrare_Linii'!H11=C137,ISNUMBER('Calibrare_Linii'!J11),'Calibrare_Linii'!J11&lt;='Input_Meci'!G15))),"OOS PENDING",IF(S137&lt;='Calibrare_Linii'!E11,"PASS",IF(S137&lt;='Calibrare_Linii'!F11,"PENALTY","WATCH"))))))</x:f>
      </x:c>
      <x:c r="X137" s="2" t="str">
        <x:f>IF(M137="","",IF(AND(AND(J137="PASS",'Calibrare_Linii'!U11="VALID"),'Motor_Meciuri'!K15=12,'Motor_Meciuri'!L15=12,'Motor_Meciuri'!M15="NO",'Motor_Meciuri'!BL15='Motor_Meciuri'!C15,AB137&gt;='Config_v6'!$B$50,AN137&gt;='Config_v6'!$B$51,T137&lt;='Config_v6'!$B$52,L137&lt;='Config_v6'!$B$53,ISNUMBER('Calibrare_Linii'!E11),S137&lt;='Calibrare_Linii'!E11,SUM(AK137:AM137)&gt;0),"CANDIDATE","NO"))</x:f>
      </x:c>
      <x:c r="Y137" s="2" t="str">
        <x:f>IF(B137="","",IF(I137&lt;&gt;"READY","NOT RELEASED",IF(AND(X137="CANDIDATE",V137&gt;='Config_v6'!$B$51,W137="PASS",'Calibrare_Linii'!T11="VALIDATED",AND('Calibrare_Linii'!H11=C137,ISNUMBER('Calibrare_Linii'!J11),'Calibrare_Linii'!J11&lt;='Input_Meci'!G15)),"PASS",IF(X137="CANDIDATE","OOS PENDING","FAIL"))))</x:f>
      </x:c>
      <x:c r="Z137" s="2" t="str">
        <x:f>IF(B137="","",IF(I137&lt;&gt;"READY","",IF(OR(NOT(AND(J137="PASS",'Calibrare_Linii'!U11="VALID")),L137&gt;'Config_v6'!$B$13,W137="WATCH"),5,IF(Y137="PASS",1,MIN(5,MAX('Config_v6'!$B$42,U137)+IF(W137="PENALTY",1,0))))))</x:f>
      </x:c>
      <x:c r="AA137" s="2" t="str">
        <x:f>IF(B137="","",IF(I137&lt;&gt;"READY","NOT RELEASED",IF(Z137=5,"NO BET",IF(OR(AB137&lt;'Config_v6'!$B$16,V137&lt;'Config_v6'!$B$18),"WATCH",IF(Z137=1,"DEFENSIV",IF(Z137=2,"PRUDENT",IF(Z137=3,"MODERAT","RIDICAT")))))))</x:f>
      </x:c>
      <x:c r="AB137" s="10" t="str">
        <x:f>IF(N137="","",MIN(N137,1-S137))</x:f>
      </x:c>
      <x:c r="AC137" s="2" t="str">
        <x:f>IF(AD137&lt;&gt;1,"",COUNTIFS($Z$132:$Z$145,"&lt;"&amp;Z137,$AD$132:$AD$145,1)+COUNTIFS($Z$132:$Z$145,Z137,$AB$132:$AB$145,"&gt;"&amp;AB137,$AD$132:$AD$145,1)+COUNTIFS($Z$132:$Z$145,Z137,$AB$132:$AB$145,AB137,$V$132:$V$145,"&gt;"&amp;V137,$AD$132:$AD$145,1)+COUNTIFS($Z$132:Z137,Z137,$AB$132:AB137,AB137,$V$132:V137,V137,$AD$132:AD137,1))</x:f>
      </x:c>
      <x:c r="AD137" s="2" t="n">
        <x:f>IF(OR(AA137="DEFENSIV",AA137="PRUDENT",AA137="MODERAT",AA137="RIDICAT"),1,0)</x:f>
        <x:v>0</x:v>
      </x:c>
      <x:c r="AE137" s="2" t="str">
        <x:f>IF(AD137&lt;&gt;1,"NO",IF(W137="PASS","YES",IF(W137="OOS PENDING","CONDITIONAL","NO")))</x:f>
        <x:v>NO</x:v>
      </x:c>
      <x:c r="AF137" s="2" t="n">
        <x:f>IF(AND(AD137=1,AC137=1,E137="LIVE"),1,0)</x:f>
        <x:v>0</x:v>
      </x:c>
      <x:c r="AG137" s="2" t="str">
        <x:f>IF(AF137&lt;&gt;1,"",'Dashboard'!P35)</x:f>
      </x:c>
      <x:c r="AH137" s="2" t="str">
        <x:f>IF(B137="","",IF(J137&lt;&gt;"PASS",'Motor_Meciuri'!J15,IF('Calibrare_Linii'!U11&lt;&gt;"VALID","Parametri linie invalizi",IF(L137&gt;'Config_v6'!$B$13,"Dispersie peste limita",IF(W137="WATCH","Failure peste limita",IF(AB137&lt;'Config_v6'!$B$16,"P finala sub prag",IF(V137&lt;'Config_v6'!$B$18,"Confidence sub prag",IF(E137="REPLAY","Exemplu retrospectiv; exclus din Top LIVE",IF(Y137="PASS","DEFENSIV validat",IF(W137="OOS PENDING","Eligibil; calibrare linie in monitorizare","Eligibil"))))))))))</x:f>
      </x:c>
      <x:c r="AI137" s="2" t="str">
        <x:f>IF(B137="","",'Calibrare_Linii'!V11)</x:f>
      </x:c>
      <x:c r="AJ137" s="2" t="str">
        <x:f>IF(B137="","",IF(AND('Calibrare_Linii'!T11="VALIDATED",AND('Calibrare_Linii'!H11=C137,ISNUMBER('Calibrare_Linii'!J11),'Calibrare_Linii'!J11&lt;='Input_Meci'!G15)),"DEFENSIVE VALIDATED",IF(AND('Calibrare_Linii'!S11="VALIDATED",AND('Calibrare_Linii'!H11=C137,ISNUMBER('Calibrare_Linii'!J11),'Calibrare_Linii'!J11&lt;='Input_Meci'!G15)),"TAIL VALIDATED","OOS PENDING")))</x:f>
      </x:c>
      <x:c r="AK137" s="2" t="n">
        <x:f>IF(J137&lt;&gt;"PASS",0,'Motor_Meciuri'!BR15)</x:f>
        <x:v>0</x:v>
      </x:c>
      <x:c r="AL137" s="2" t="n">
        <x:f>IF(J137&lt;&gt;"PASS",0,'Motor_Meciuri'!BS15)</x:f>
        <x:v>0</x:v>
      </x:c>
      <x:c r="AM137" s="2" t="n">
        <x:f>IF(J137&lt;&gt;"PASS",0,'Motor_Meciuri'!BT15)</x:f>
        <x:v>0</x:v>
      </x:c>
      <x:c r="AN137" s="2" t="str">
        <x:f>IF(M137="","",MAX(0,'Motor_Meciuri'!BF15-IF(L137&gt;'Config_v6'!$B$12,'Config_v6'!$B$37,IF(L137&gt;'Config_v6'!$B$11,'Config_v6'!$B$36,0))))</x:f>
      </x:c>
    </x:row>
    <x:row r="138" ht="21" customHeight="1">
      <x:c r="A138" s="2" t="n">
        <x:v>10</x:v>
      </x:c>
      <x:c r="B138" s="2" t="str">
        <x:f>IF('Motor_Meciuri'!A15="","",'Motor_Meciuri'!A15)</x:f>
      </x:c>
      <x:c r="C138" s="2" t="str">
        <x:f>IF(B138="","",'Motor_Meciuri'!B15)</x:f>
      </x:c>
      <x:c r="D138" s="2" t="str">
        <x:f>IF(B138="","",'Motor_Meciuri'!D15)</x:f>
      </x:c>
      <x:c r="E138" s="2" t="str">
        <x:f>IF(B138="","",'Motor_Meciuri'!E15)</x:f>
      </x:c>
      <x:c r="F138" s="2" t="str">
        <x:v>U10,5</x:v>
      </x:c>
      <x:c r="G138" s="2" t="str">
        <x:v>UNDER</x:v>
      </x:c>
      <x:c r="H138" s="2" t="n">
        <x:v>10</x:v>
      </x:c>
      <x:c r="I138" s="2" t="str">
        <x:f>IF(B138="","",'Motor_Meciuri'!H15)</x:f>
      </x:c>
      <x:c r="J138" s="2" t="str">
        <x:f>IF(B138="","",'Motor_Meciuri'!I15)</x:f>
      </x:c>
      <x:c r="K138" s="11" t="str">
        <x:f>IF(J138&lt;&gt;"PASS","",'Motor_Meciuri'!BD15)</x:f>
      </x:c>
      <x:c r="L138" s="11" t="str">
        <x:f>IF(J138&lt;&gt;"PASS","",'Motor_Meciuri'!AU15)</x:f>
      </x:c>
      <x:c r="M138" s="10" t="str">
        <x:f>IF(NOT(AND(J138="PASS",'Calibrare_Linii'!U12="VALID")),"",'Distributie'!AH15)</x:f>
      </x:c>
      <x:c r="N138" s="10" t="str">
        <x:f>IF(M138="","",MAX(0.01,MIN(0.99,0.5+(M138-0.5)*'Motor_Meciuri'!BG15*'Calibrare_Linii'!D12)))</x:f>
      </x:c>
      <x:c r="O138" s="10" t="str">
        <x:f>IF(M138="","",1-M138)</x:f>
      </x:c>
      <x:c r="P138" s="10" t="str">
        <x:f>IF(OR(NOT(AND(J138="PASS",'Calibrare_Linii'!U12="VALID")),AK138=0),""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*('Istoric_Nativ'!$Q$6:$Q$405&gt;H138))/AK138)</x:f>
      </x:c>
      <x:c r="Q138" s="10" t="str">
        <x:f>IF(OR(NOT(AND(J138="PASS",'Calibrare_Linii'!U12="VALID")),AL138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M15)+((('Istoric_Nativ'!$E$6:$E$405='Input_Meci'!E15)+('Istoric_Nativ'!$F$6:$F$405='Input_Meci'!E15))&gt;0)*('Istoric_Nativ'!$D$6:$D$405&gt;='Motor_Meciuri'!BN15))&gt;0)*('Istoric_Nativ'!$Q$6:$Q$405&gt;H138))/AL138)</x:f>
      </x:c>
      <x:c r="R138" s="10" t="str">
        <x:f>IF(OR(NOT(AND(J138="PASS",'Calibrare_Linii'!U12="VALID")),AM138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O15)+((('Istoric_Nativ'!$E$6:$E$405='Input_Meci'!E15)+('Istoric_Nativ'!$F$6:$F$405='Input_Meci'!E15))&gt;0)*('Istoric_Nativ'!$D$6:$D$405&gt;='Motor_Meciuri'!BP15))&gt;0)*('Istoric_Nativ'!$Q$6:$Q$405&gt;H138))/AM138)</x:f>
      </x:c>
      <x:c r="S138" s="10" t="str">
        <x:f>IF(M138="","",MAX(O138,P138,Q138,R138))</x:f>
      </x:c>
      <x:c r="T138" s="11" t="str">
        <x:f>IF(M138="","",MIN(100,S138*100*'Config_v6'!$B$44+MIN(100,L138/'Config_v6'!$B$13*100)*'Config_v6'!$B$45+(100-'Motor_Meciuri'!BF15)*'Config_v6'!$B$46+'Motor_Meciuri'!BH15*100*'Config_v6'!$B$47))</x:f>
      </x:c>
      <x:c r="U138" s="2" t="str">
        <x:f>IF(T138="","",IF(T138&lt;=20,1,IF(T138&lt;=40,2,IF(T138&lt;=60,3,IF(T138&lt;=80,4,5)))))</x:f>
      </x:c>
      <x:c r="V138" s="2" t="str">
        <x:f>IF(M138="","",MAX(0,'Motor_Meciuri'!BF15-IF(W138="OOS PENDING",'Config_v6'!$B$35,0)-IF(L138&gt;'Config_v6'!$B$12,'Config_v6'!$B$37,IF(L138&gt;'Config_v6'!$B$11,'Config_v6'!$B$36,0))))</x:f>
      </x:c>
      <x:c r="W138" s="2" t="str">
        <x:f>IF(B138="","",IF(I138&lt;&gt;"READY","NOT RELEASED",IF(NOT(AND(J138="PASS",'Calibrare_Linii'!U12="VALID")),"INVALID",IF(NOT(AND('Calibrare_Linii'!S12="VALIDATED",AND('Calibrare_Linii'!H12=C138,ISNUMBER('Calibrare_Linii'!J12),'Calibrare_Linii'!J12&lt;='Input_Meci'!G15))),"OOS PENDING",IF(S138&lt;='Calibrare_Linii'!E12,"PASS",IF(S138&lt;='Calibrare_Linii'!F12,"PENALTY","WATCH"))))))</x:f>
      </x:c>
      <x:c r="X138" s="2" t="str">
        <x:f>IF(M138="","",IF(AND(AND(J138="PASS",'Calibrare_Linii'!U12="VALID"),'Motor_Meciuri'!K15=12,'Motor_Meciuri'!L15=12,'Motor_Meciuri'!M15="NO",'Motor_Meciuri'!BL15='Motor_Meciuri'!C15,AB138&gt;='Config_v6'!$B$50,AN138&gt;='Config_v6'!$B$51,T138&lt;='Config_v6'!$B$52,L138&lt;='Config_v6'!$B$53,ISNUMBER('Calibrare_Linii'!E12),S138&lt;='Calibrare_Linii'!E12,SUM(AK138:AM138)&gt;0),"CANDIDATE","NO"))</x:f>
      </x:c>
      <x:c r="Y138" s="2" t="str">
        <x:f>IF(B138="","",IF(I138&lt;&gt;"READY","NOT RELEASED",IF(AND(X138="CANDIDATE",V138&gt;='Config_v6'!$B$51,W138="PASS",'Calibrare_Linii'!T12="VALIDATED",AND('Calibrare_Linii'!H12=C138,ISNUMBER('Calibrare_Linii'!J12),'Calibrare_Linii'!J12&lt;='Input_Meci'!G15)),"PASS",IF(X138="CANDIDATE","OOS PENDING","FAIL"))))</x:f>
      </x:c>
      <x:c r="Z138" s="2" t="str">
        <x:f>IF(B138="","",IF(I138&lt;&gt;"READY","",IF(OR(NOT(AND(J138="PASS",'Calibrare_Linii'!U12="VALID")),L138&gt;'Config_v6'!$B$13,W138="WATCH"),5,IF(Y138="PASS",1,MIN(5,MAX('Config_v6'!$B$42,U138)+IF(W138="PENALTY",1,0))))))</x:f>
      </x:c>
      <x:c r="AA138" s="2" t="str">
        <x:f>IF(B138="","",IF(I138&lt;&gt;"READY","NOT RELEASED",IF(Z138=5,"NO BET",IF(OR(AB138&lt;'Config_v6'!$B$16,V138&lt;'Config_v6'!$B$18),"WATCH",IF(Z138=1,"DEFENSIV",IF(Z138=2,"PRUDENT",IF(Z138=3,"MODERAT","RIDICAT")))))))</x:f>
      </x:c>
      <x:c r="AB138" s="10" t="str">
        <x:f>IF(N138="","",MIN(N138,1-S138))</x:f>
      </x:c>
      <x:c r="AC138" s="2" t="str">
        <x:f>IF(AD138&lt;&gt;1,"",COUNTIFS($Z$132:$Z$145,"&lt;"&amp;Z138,$AD$132:$AD$145,1)+COUNTIFS($Z$132:$Z$145,Z138,$AB$132:$AB$145,"&gt;"&amp;AB138,$AD$132:$AD$145,1)+COUNTIFS($Z$132:$Z$145,Z138,$AB$132:$AB$145,AB138,$V$132:$V$145,"&gt;"&amp;V138,$AD$132:$AD$145,1)+COUNTIFS($Z$132:Z138,Z138,$AB$132:AB138,AB138,$V$132:V138,V138,$AD$132:AD138,1))</x:f>
      </x:c>
      <x:c r="AD138" s="2" t="n">
        <x:f>IF(OR(AA138="DEFENSIV",AA138="PRUDENT",AA138="MODERAT",AA138="RIDICAT"),1,0)</x:f>
        <x:v>0</x:v>
      </x:c>
      <x:c r="AE138" s="2" t="str">
        <x:f>IF(AD138&lt;&gt;1,"NO",IF(W138="PASS","YES",IF(W138="OOS PENDING","CONDITIONAL","NO")))</x:f>
        <x:v>NO</x:v>
      </x:c>
      <x:c r="AF138" s="2" t="n">
        <x:f>IF(AND(AD138=1,AC138=1,E138="LIVE"),1,0)</x:f>
        <x:v>0</x:v>
      </x:c>
      <x:c r="AG138" s="2" t="str">
        <x:f>IF(AF138&lt;&gt;1,"",'Dashboard'!P35)</x:f>
      </x:c>
      <x:c r="AH138" s="2" t="str">
        <x:f>IF(B138="","",IF(J138&lt;&gt;"PASS",'Motor_Meciuri'!J15,IF('Calibrare_Linii'!U12&lt;&gt;"VALID","Parametri linie invalizi",IF(L138&gt;'Config_v6'!$B$13,"Dispersie peste limita",IF(W138="WATCH","Failure peste limita",IF(AB138&lt;'Config_v6'!$B$16,"P finala sub prag",IF(V138&lt;'Config_v6'!$B$18,"Confidence sub prag",IF(E138="REPLAY","Exemplu retrospectiv; exclus din Top LIVE",IF(Y138="PASS","DEFENSIV validat",IF(W138="OOS PENDING","Eligibil; calibrare linie in monitorizare","Eligibil"))))))))))</x:f>
      </x:c>
      <x:c r="AI138" s="2" t="str">
        <x:f>IF(B138="","",'Calibrare_Linii'!V12)</x:f>
      </x:c>
      <x:c r="AJ138" s="2" t="str">
        <x:f>IF(B138="","",IF(AND('Calibrare_Linii'!T12="VALIDATED",AND('Calibrare_Linii'!H12=C138,ISNUMBER('Calibrare_Linii'!J12),'Calibrare_Linii'!J12&lt;='Input_Meci'!G15)),"DEFENSIVE VALIDATED",IF(AND('Calibrare_Linii'!S12="VALIDATED",AND('Calibrare_Linii'!H12=C138,ISNUMBER('Calibrare_Linii'!J12),'Calibrare_Linii'!J12&lt;='Input_Meci'!G15)),"TAIL VALIDATED","OOS PENDING")))</x:f>
      </x:c>
      <x:c r="AK138" s="2" t="n">
        <x:f>IF(J138&lt;&gt;"PASS",0,'Motor_Meciuri'!BR15)</x:f>
        <x:v>0</x:v>
      </x:c>
      <x:c r="AL138" s="2" t="n">
        <x:f>IF(J138&lt;&gt;"PASS",0,'Motor_Meciuri'!BS15)</x:f>
        <x:v>0</x:v>
      </x:c>
      <x:c r="AM138" s="2" t="n">
        <x:f>IF(J138&lt;&gt;"PASS",0,'Motor_Meciuri'!BT15)</x:f>
        <x:v>0</x:v>
      </x:c>
      <x:c r="AN138" s="2" t="str">
        <x:f>IF(M138="","",MAX(0,'Motor_Meciuri'!BF15-IF(L138&gt;'Config_v6'!$B$12,'Config_v6'!$B$37,IF(L138&gt;'Config_v6'!$B$11,'Config_v6'!$B$36,0))))</x:f>
      </x:c>
    </x:row>
    <x:row r="139" ht="21" customHeight="1">
      <x:c r="A139" s="2" t="n">
        <x:v>10</x:v>
      </x:c>
      <x:c r="B139" s="2" t="str">
        <x:f>IF('Motor_Meciuri'!A15="","",'Motor_Meciuri'!A15)</x:f>
      </x:c>
      <x:c r="C139" s="2" t="str">
        <x:f>IF(B139="","",'Motor_Meciuri'!B15)</x:f>
      </x:c>
      <x:c r="D139" s="2" t="str">
        <x:f>IF(B139="","",'Motor_Meciuri'!D15)</x:f>
      </x:c>
      <x:c r="E139" s="2" t="str">
        <x:f>IF(B139="","",'Motor_Meciuri'!E15)</x:f>
      </x:c>
      <x:c r="F139" s="2" t="str">
        <x:v>U11,5</x:v>
      </x:c>
      <x:c r="G139" s="2" t="str">
        <x:v>UNDER</x:v>
      </x:c>
      <x:c r="H139" s="2" t="n">
        <x:v>11</x:v>
      </x:c>
      <x:c r="I139" s="2" t="str">
        <x:f>IF(B139="","",'Motor_Meciuri'!H15)</x:f>
      </x:c>
      <x:c r="J139" s="2" t="str">
        <x:f>IF(B139="","",'Motor_Meciuri'!I15)</x:f>
      </x:c>
      <x:c r="K139" s="11" t="str">
        <x:f>IF(J139&lt;&gt;"PASS","",'Motor_Meciuri'!BD15)</x:f>
      </x:c>
      <x:c r="L139" s="11" t="str">
        <x:f>IF(J139&lt;&gt;"PASS","",'Motor_Meciuri'!AU15)</x:f>
      </x:c>
      <x:c r="M139" s="10" t="str">
        <x:f>IF(NOT(AND(J139="PASS",'Calibrare_Linii'!U13="VALID")),"",'Distributie'!AI15)</x:f>
      </x:c>
      <x:c r="N139" s="10" t="str">
        <x:f>IF(M139="","",MAX(0.01,MIN(0.99,0.5+(M139-0.5)*'Motor_Meciuri'!BG15*'Calibrare_Linii'!D13)))</x:f>
      </x:c>
      <x:c r="O139" s="10" t="str">
        <x:f>IF(M139="","",1-M139)</x:f>
      </x:c>
      <x:c r="P139" s="10" t="str">
        <x:f>IF(OR(NOT(AND(J139="PASS",'Calibrare_Linii'!U13="VALID")),AK139=0),""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*('Istoric_Nativ'!$Q$6:$Q$405&gt;H139))/AK139)</x:f>
      </x:c>
      <x:c r="Q139" s="10" t="str">
        <x:f>IF(OR(NOT(AND(J139="PASS",'Calibrare_Linii'!U13="VALID")),AL139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M15)+((('Istoric_Nativ'!$E$6:$E$405='Input_Meci'!E15)+('Istoric_Nativ'!$F$6:$F$405='Input_Meci'!E15))&gt;0)*('Istoric_Nativ'!$D$6:$D$405&gt;='Motor_Meciuri'!BN15))&gt;0)*('Istoric_Nativ'!$Q$6:$Q$405&gt;H139))/AL139)</x:f>
      </x:c>
      <x:c r="R139" s="10" t="str">
        <x:f>IF(OR(NOT(AND(J139="PASS",'Calibrare_Linii'!U13="VALID")),AM139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O15)+((('Istoric_Nativ'!$E$6:$E$405='Input_Meci'!E15)+('Istoric_Nativ'!$F$6:$F$405='Input_Meci'!E15))&gt;0)*('Istoric_Nativ'!$D$6:$D$405&gt;='Motor_Meciuri'!BP15))&gt;0)*('Istoric_Nativ'!$Q$6:$Q$405&gt;H139))/AM139)</x:f>
      </x:c>
      <x:c r="S139" s="10" t="str">
        <x:f>IF(M139="","",MAX(O139,P139,Q139,R139))</x:f>
      </x:c>
      <x:c r="T139" s="11" t="str">
        <x:f>IF(M139="","",MIN(100,S139*100*'Config_v6'!$B$44+MIN(100,L139/'Config_v6'!$B$13*100)*'Config_v6'!$B$45+(100-'Motor_Meciuri'!BF15)*'Config_v6'!$B$46+'Motor_Meciuri'!BH15*100*'Config_v6'!$B$47))</x:f>
      </x:c>
      <x:c r="U139" s="2" t="str">
        <x:f>IF(T139="","",IF(T139&lt;=20,1,IF(T139&lt;=40,2,IF(T139&lt;=60,3,IF(T139&lt;=80,4,5)))))</x:f>
      </x:c>
      <x:c r="V139" s="2" t="str">
        <x:f>IF(M139="","",MAX(0,'Motor_Meciuri'!BF15-IF(W139="OOS PENDING",'Config_v6'!$B$35,0)-IF(L139&gt;'Config_v6'!$B$12,'Config_v6'!$B$37,IF(L139&gt;'Config_v6'!$B$11,'Config_v6'!$B$36,0))))</x:f>
      </x:c>
      <x:c r="W139" s="2" t="str">
        <x:f>IF(B139="","",IF(I139&lt;&gt;"READY","NOT RELEASED",IF(NOT(AND(J139="PASS",'Calibrare_Linii'!U13="VALID")),"INVALID",IF(NOT(AND('Calibrare_Linii'!S13="VALIDATED",AND('Calibrare_Linii'!H13=C139,ISNUMBER('Calibrare_Linii'!J13),'Calibrare_Linii'!J13&lt;='Input_Meci'!G15))),"OOS PENDING",IF(S139&lt;='Calibrare_Linii'!E13,"PASS",IF(S139&lt;='Calibrare_Linii'!F13,"PENALTY","WATCH"))))))</x:f>
      </x:c>
      <x:c r="X139" s="2" t="str">
        <x:f>IF(M139="","",IF(AND(AND(J139="PASS",'Calibrare_Linii'!U13="VALID"),'Motor_Meciuri'!K15=12,'Motor_Meciuri'!L15=12,'Motor_Meciuri'!M15="NO",'Motor_Meciuri'!BL15='Motor_Meciuri'!C15,AB139&gt;='Config_v6'!$B$50,AN139&gt;='Config_v6'!$B$51,T139&lt;='Config_v6'!$B$52,L139&lt;='Config_v6'!$B$53,ISNUMBER('Calibrare_Linii'!E13),S139&lt;='Calibrare_Linii'!E13,SUM(AK139:AM139)&gt;0),"CANDIDATE","NO"))</x:f>
      </x:c>
      <x:c r="Y139" s="2" t="str">
        <x:f>IF(B139="","",IF(I139&lt;&gt;"READY","NOT RELEASED",IF(AND(X139="CANDIDATE",V139&gt;='Config_v6'!$B$51,W139="PASS",'Calibrare_Linii'!T13="VALIDATED",AND('Calibrare_Linii'!H13=C139,ISNUMBER('Calibrare_Linii'!J13),'Calibrare_Linii'!J13&lt;='Input_Meci'!G15)),"PASS",IF(X139="CANDIDATE","OOS PENDING","FAIL"))))</x:f>
      </x:c>
      <x:c r="Z139" s="2" t="str">
        <x:f>IF(B139="","",IF(I139&lt;&gt;"READY","",IF(OR(NOT(AND(J139="PASS",'Calibrare_Linii'!U13="VALID")),L139&gt;'Config_v6'!$B$13,W139="WATCH"),5,IF(Y139="PASS",1,MIN(5,MAX('Config_v6'!$B$42,U139)+IF(W139="PENALTY",1,0))))))</x:f>
      </x:c>
      <x:c r="AA139" s="2" t="str">
        <x:f>IF(B139="","",IF(I139&lt;&gt;"READY","NOT RELEASED",IF(Z139=5,"NO BET",IF(OR(AB139&lt;'Config_v6'!$B$16,V139&lt;'Config_v6'!$B$18),"WATCH",IF(Z139=1,"DEFENSIV",IF(Z139=2,"PRUDENT",IF(Z139=3,"MODERAT","RIDICAT")))))))</x:f>
      </x:c>
      <x:c r="AB139" s="10" t="str">
        <x:f>IF(N139="","",MIN(N139,1-S139))</x:f>
      </x:c>
      <x:c r="AC139" s="2" t="str">
        <x:f>IF(AD139&lt;&gt;1,"",COUNTIFS($Z$132:$Z$145,"&lt;"&amp;Z139,$AD$132:$AD$145,1)+COUNTIFS($Z$132:$Z$145,Z139,$AB$132:$AB$145,"&gt;"&amp;AB139,$AD$132:$AD$145,1)+COUNTIFS($Z$132:$Z$145,Z139,$AB$132:$AB$145,AB139,$V$132:$V$145,"&gt;"&amp;V139,$AD$132:$AD$145,1)+COUNTIFS($Z$132:Z139,Z139,$AB$132:AB139,AB139,$V$132:V139,V139,$AD$132:AD139,1))</x:f>
      </x:c>
      <x:c r="AD139" s="2" t="n">
        <x:f>IF(OR(AA139="DEFENSIV",AA139="PRUDENT",AA139="MODERAT",AA139="RIDICAT"),1,0)</x:f>
        <x:v>0</x:v>
      </x:c>
      <x:c r="AE139" s="2" t="str">
        <x:f>IF(AD139&lt;&gt;1,"NO",IF(W139="PASS","YES",IF(W139="OOS PENDING","CONDITIONAL","NO")))</x:f>
        <x:v>NO</x:v>
      </x:c>
      <x:c r="AF139" s="2" t="n">
        <x:f>IF(AND(AD139=1,AC139=1,E139="LIVE"),1,0)</x:f>
        <x:v>0</x:v>
      </x:c>
      <x:c r="AG139" s="2" t="str">
        <x:f>IF(AF139&lt;&gt;1,"",'Dashboard'!P35)</x:f>
      </x:c>
      <x:c r="AH139" s="2" t="str">
        <x:f>IF(B139="","",IF(J139&lt;&gt;"PASS",'Motor_Meciuri'!J15,IF('Calibrare_Linii'!U13&lt;&gt;"VALID","Parametri linie invalizi",IF(L139&gt;'Config_v6'!$B$13,"Dispersie peste limita",IF(W139="WATCH","Failure peste limita",IF(AB139&lt;'Config_v6'!$B$16,"P finala sub prag",IF(V139&lt;'Config_v6'!$B$18,"Confidence sub prag",IF(E139="REPLAY","Exemplu retrospectiv; exclus din Top LIVE",IF(Y139="PASS","DEFENSIV validat",IF(W139="OOS PENDING","Eligibil; calibrare linie in monitorizare","Eligibil"))))))))))</x:f>
      </x:c>
      <x:c r="AI139" s="2" t="str">
        <x:f>IF(B139="","",'Calibrare_Linii'!V13)</x:f>
      </x:c>
      <x:c r="AJ139" s="2" t="str">
        <x:f>IF(B139="","",IF(AND('Calibrare_Linii'!T13="VALIDATED",AND('Calibrare_Linii'!H13=C139,ISNUMBER('Calibrare_Linii'!J13),'Calibrare_Linii'!J13&lt;='Input_Meci'!G15)),"DEFENSIVE VALIDATED",IF(AND('Calibrare_Linii'!S13="VALIDATED",AND('Calibrare_Linii'!H13=C139,ISNUMBER('Calibrare_Linii'!J13),'Calibrare_Linii'!J13&lt;='Input_Meci'!G15)),"TAIL VALIDATED","OOS PENDING")))</x:f>
      </x:c>
      <x:c r="AK139" s="2" t="n">
        <x:f>IF(J139&lt;&gt;"PASS",0,'Motor_Meciuri'!BR15)</x:f>
        <x:v>0</x:v>
      </x:c>
      <x:c r="AL139" s="2" t="n">
        <x:f>IF(J139&lt;&gt;"PASS",0,'Motor_Meciuri'!BS15)</x:f>
        <x:v>0</x:v>
      </x:c>
      <x:c r="AM139" s="2" t="n">
        <x:f>IF(J139&lt;&gt;"PASS",0,'Motor_Meciuri'!BT15)</x:f>
        <x:v>0</x:v>
      </x:c>
      <x:c r="AN139" s="2" t="str">
        <x:f>IF(M139="","",MAX(0,'Motor_Meciuri'!BF15-IF(L139&gt;'Config_v6'!$B$12,'Config_v6'!$B$37,IF(L139&gt;'Config_v6'!$B$11,'Config_v6'!$B$36,0))))</x:f>
      </x:c>
    </x:row>
    <x:row r="140" ht="21" customHeight="1">
      <x:c r="A140" s="2" t="n">
        <x:v>10</x:v>
      </x:c>
      <x:c r="B140" s="2" t="str">
        <x:f>IF('Motor_Meciuri'!A15="","",'Motor_Meciuri'!A15)</x:f>
      </x:c>
      <x:c r="C140" s="2" t="str">
        <x:f>IF(B140="","",'Motor_Meciuri'!B15)</x:f>
      </x:c>
      <x:c r="D140" s="2" t="str">
        <x:f>IF(B140="","",'Motor_Meciuri'!D15)</x:f>
      </x:c>
      <x:c r="E140" s="2" t="str">
        <x:f>IF(B140="","",'Motor_Meciuri'!E15)</x:f>
      </x:c>
      <x:c r="F140" s="2" t="str">
        <x:v>U12,5</x:v>
      </x:c>
      <x:c r="G140" s="2" t="str">
        <x:v>UNDER</x:v>
      </x:c>
      <x:c r="H140" s="2" t="n">
        <x:v>12</x:v>
      </x:c>
      <x:c r="I140" s="2" t="str">
        <x:f>IF(B140="","",'Motor_Meciuri'!H15)</x:f>
      </x:c>
      <x:c r="J140" s="2" t="str">
        <x:f>IF(B140="","",'Motor_Meciuri'!I15)</x:f>
      </x:c>
      <x:c r="K140" s="11" t="str">
        <x:f>IF(J140&lt;&gt;"PASS","",'Motor_Meciuri'!BD15)</x:f>
      </x:c>
      <x:c r="L140" s="11" t="str">
        <x:f>IF(J140&lt;&gt;"PASS","",'Motor_Meciuri'!AU15)</x:f>
      </x:c>
      <x:c r="M140" s="10" t="str">
        <x:f>IF(NOT(AND(J140="PASS",'Calibrare_Linii'!U14="VALID")),"",'Distributie'!AJ15)</x:f>
      </x:c>
      <x:c r="N140" s="10" t="str">
        <x:f>IF(M140="","",MAX(0.01,MIN(0.99,0.5+(M140-0.5)*'Motor_Meciuri'!BG15*'Calibrare_Linii'!D14)))</x:f>
      </x:c>
      <x:c r="O140" s="10" t="str">
        <x:f>IF(M140="","",1-M140)</x:f>
      </x:c>
      <x:c r="P140" s="10" t="str">
        <x:f>IF(OR(NOT(AND(J140="PASS",'Calibrare_Linii'!U14="VALID")),AK140=0),""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*('Istoric_Nativ'!$Q$6:$Q$405&gt;H140))/AK140)</x:f>
      </x:c>
      <x:c r="Q140" s="10" t="str">
        <x:f>IF(OR(NOT(AND(J140="PASS",'Calibrare_Linii'!U14="VALID")),AL140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M15)+((('Istoric_Nativ'!$E$6:$E$405='Input_Meci'!E15)+('Istoric_Nativ'!$F$6:$F$405='Input_Meci'!E15))&gt;0)*('Istoric_Nativ'!$D$6:$D$405&gt;='Motor_Meciuri'!BN15))&gt;0)*('Istoric_Nativ'!$Q$6:$Q$405&gt;H140))/AL140)</x:f>
      </x:c>
      <x:c r="R140" s="10" t="str">
        <x:f>IF(OR(NOT(AND(J140="PASS",'Calibrare_Linii'!U14="VALID")),AM140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O15)+((('Istoric_Nativ'!$E$6:$E$405='Input_Meci'!E15)+('Istoric_Nativ'!$F$6:$F$405='Input_Meci'!E15))&gt;0)*('Istoric_Nativ'!$D$6:$D$405&gt;='Motor_Meciuri'!BP15))&gt;0)*('Istoric_Nativ'!$Q$6:$Q$405&gt;H140))/AM140)</x:f>
      </x:c>
      <x:c r="S140" s="10" t="str">
        <x:f>IF(M140="","",MAX(O140,P140,Q140,R140))</x:f>
      </x:c>
      <x:c r="T140" s="11" t="str">
        <x:f>IF(M140="","",MIN(100,S140*100*'Config_v6'!$B$44+MIN(100,L140/'Config_v6'!$B$13*100)*'Config_v6'!$B$45+(100-'Motor_Meciuri'!BF15)*'Config_v6'!$B$46+'Motor_Meciuri'!BH15*100*'Config_v6'!$B$47))</x:f>
      </x:c>
      <x:c r="U140" s="2" t="str">
        <x:f>IF(T140="","",IF(T140&lt;=20,1,IF(T140&lt;=40,2,IF(T140&lt;=60,3,IF(T140&lt;=80,4,5)))))</x:f>
      </x:c>
      <x:c r="V140" s="2" t="str">
        <x:f>IF(M140="","",MAX(0,'Motor_Meciuri'!BF15-IF(W140="OOS PENDING",'Config_v6'!$B$35,0)-IF(L140&gt;'Config_v6'!$B$12,'Config_v6'!$B$37,IF(L140&gt;'Config_v6'!$B$11,'Config_v6'!$B$36,0))))</x:f>
      </x:c>
      <x:c r="W140" s="2" t="str">
        <x:f>IF(B140="","",IF(I140&lt;&gt;"READY","NOT RELEASED",IF(NOT(AND(J140="PASS",'Calibrare_Linii'!U14="VALID")),"INVALID",IF(NOT(AND('Calibrare_Linii'!S14="VALIDATED",AND('Calibrare_Linii'!H14=C140,ISNUMBER('Calibrare_Linii'!J14),'Calibrare_Linii'!J14&lt;='Input_Meci'!G15))),"OOS PENDING",IF(S140&lt;='Calibrare_Linii'!E14,"PASS",IF(S140&lt;='Calibrare_Linii'!F14,"PENALTY","WATCH"))))))</x:f>
      </x:c>
      <x:c r="X140" s="2" t="str">
        <x:f>IF(M140="","",IF(AND(AND(J140="PASS",'Calibrare_Linii'!U14="VALID"),'Motor_Meciuri'!K15=12,'Motor_Meciuri'!L15=12,'Motor_Meciuri'!M15="NO",'Motor_Meciuri'!BL15='Motor_Meciuri'!C15,AB140&gt;='Config_v6'!$B$50,AN140&gt;='Config_v6'!$B$51,T140&lt;='Config_v6'!$B$52,L140&lt;='Config_v6'!$B$53,ISNUMBER('Calibrare_Linii'!E14),S140&lt;='Calibrare_Linii'!E14,SUM(AK140:AM140)&gt;0),"CANDIDATE","NO"))</x:f>
      </x:c>
      <x:c r="Y140" s="2" t="str">
        <x:f>IF(B140="","",IF(I140&lt;&gt;"READY","NOT RELEASED",IF(AND(X140="CANDIDATE",V140&gt;='Config_v6'!$B$51,W140="PASS",'Calibrare_Linii'!T14="VALIDATED",AND('Calibrare_Linii'!H14=C140,ISNUMBER('Calibrare_Linii'!J14),'Calibrare_Linii'!J14&lt;='Input_Meci'!G15)),"PASS",IF(X140="CANDIDATE","OOS PENDING","FAIL"))))</x:f>
      </x:c>
      <x:c r="Z140" s="2" t="str">
        <x:f>IF(B140="","",IF(I140&lt;&gt;"READY","",IF(OR(NOT(AND(J140="PASS",'Calibrare_Linii'!U14="VALID")),L140&gt;'Config_v6'!$B$13,W140="WATCH"),5,IF(Y140="PASS",1,MIN(5,MAX('Config_v6'!$B$42,U140)+IF(W140="PENALTY",1,0))))))</x:f>
      </x:c>
      <x:c r="AA140" s="2" t="str">
        <x:f>IF(B140="","",IF(I140&lt;&gt;"READY","NOT RELEASED",IF(Z140=5,"NO BET",IF(OR(AB140&lt;'Config_v6'!$B$16,V140&lt;'Config_v6'!$B$18),"WATCH",IF(Z140=1,"DEFENSIV",IF(Z140=2,"PRUDENT",IF(Z140=3,"MODERAT","RIDICAT")))))))</x:f>
      </x:c>
      <x:c r="AB140" s="10" t="str">
        <x:f>IF(N140="","",MIN(N140,1-S140))</x:f>
      </x:c>
      <x:c r="AC140" s="2" t="str">
        <x:f>IF(AD140&lt;&gt;1,"",COUNTIFS($Z$132:$Z$145,"&lt;"&amp;Z140,$AD$132:$AD$145,1)+COUNTIFS($Z$132:$Z$145,Z140,$AB$132:$AB$145,"&gt;"&amp;AB140,$AD$132:$AD$145,1)+COUNTIFS($Z$132:$Z$145,Z140,$AB$132:$AB$145,AB140,$V$132:$V$145,"&gt;"&amp;V140,$AD$132:$AD$145,1)+COUNTIFS($Z$132:Z140,Z140,$AB$132:AB140,AB140,$V$132:V140,V140,$AD$132:AD140,1))</x:f>
      </x:c>
      <x:c r="AD140" s="2" t="n">
        <x:f>IF(OR(AA140="DEFENSIV",AA140="PRUDENT",AA140="MODERAT",AA140="RIDICAT"),1,0)</x:f>
        <x:v>0</x:v>
      </x:c>
      <x:c r="AE140" s="2" t="str">
        <x:f>IF(AD140&lt;&gt;1,"NO",IF(W140="PASS","YES",IF(W140="OOS PENDING","CONDITIONAL","NO")))</x:f>
        <x:v>NO</x:v>
      </x:c>
      <x:c r="AF140" s="2" t="n">
        <x:f>IF(AND(AD140=1,AC140=1,E140="LIVE"),1,0)</x:f>
        <x:v>0</x:v>
      </x:c>
      <x:c r="AG140" s="2" t="str">
        <x:f>IF(AF140&lt;&gt;1,"",'Dashboard'!P35)</x:f>
      </x:c>
      <x:c r="AH140" s="2" t="str">
        <x:f>IF(B140="","",IF(J140&lt;&gt;"PASS",'Motor_Meciuri'!J15,IF('Calibrare_Linii'!U14&lt;&gt;"VALID","Parametri linie invalizi",IF(L140&gt;'Config_v6'!$B$13,"Dispersie peste limita",IF(W140="WATCH","Failure peste limita",IF(AB140&lt;'Config_v6'!$B$16,"P finala sub prag",IF(V140&lt;'Config_v6'!$B$18,"Confidence sub prag",IF(E140="REPLAY","Exemplu retrospectiv; exclus din Top LIVE",IF(Y140="PASS","DEFENSIV validat",IF(W140="OOS PENDING","Eligibil; calibrare linie in monitorizare","Eligibil"))))))))))</x:f>
      </x:c>
      <x:c r="AI140" s="2" t="str">
        <x:f>IF(B140="","",'Calibrare_Linii'!V14)</x:f>
      </x:c>
      <x:c r="AJ140" s="2" t="str">
        <x:f>IF(B140="","",IF(AND('Calibrare_Linii'!T14="VALIDATED",AND('Calibrare_Linii'!H14=C140,ISNUMBER('Calibrare_Linii'!J14),'Calibrare_Linii'!J14&lt;='Input_Meci'!G15)),"DEFENSIVE VALIDATED",IF(AND('Calibrare_Linii'!S14="VALIDATED",AND('Calibrare_Linii'!H14=C140,ISNUMBER('Calibrare_Linii'!J14),'Calibrare_Linii'!J14&lt;='Input_Meci'!G15)),"TAIL VALIDATED","OOS PENDING")))</x:f>
      </x:c>
      <x:c r="AK140" s="2" t="n">
        <x:f>IF(J140&lt;&gt;"PASS",0,'Motor_Meciuri'!BR15)</x:f>
        <x:v>0</x:v>
      </x:c>
      <x:c r="AL140" s="2" t="n">
        <x:f>IF(J140&lt;&gt;"PASS",0,'Motor_Meciuri'!BS15)</x:f>
        <x:v>0</x:v>
      </x:c>
      <x:c r="AM140" s="2" t="n">
        <x:f>IF(J140&lt;&gt;"PASS",0,'Motor_Meciuri'!BT15)</x:f>
        <x:v>0</x:v>
      </x:c>
      <x:c r="AN140" s="2" t="str">
        <x:f>IF(M140="","",MAX(0,'Motor_Meciuri'!BF15-IF(L140&gt;'Config_v6'!$B$12,'Config_v6'!$B$37,IF(L140&gt;'Config_v6'!$B$11,'Config_v6'!$B$36,0))))</x:f>
      </x:c>
    </x:row>
    <x:row r="141" ht="21" customHeight="1">
      <x:c r="A141" s="2" t="n">
        <x:v>10</x:v>
      </x:c>
      <x:c r="B141" s="2" t="str">
        <x:f>IF('Motor_Meciuri'!A15="","",'Motor_Meciuri'!A15)</x:f>
      </x:c>
      <x:c r="C141" s="2" t="str">
        <x:f>IF(B141="","",'Motor_Meciuri'!B15)</x:f>
      </x:c>
      <x:c r="D141" s="2" t="str">
        <x:f>IF(B141="","",'Motor_Meciuri'!D15)</x:f>
      </x:c>
      <x:c r="E141" s="2" t="str">
        <x:f>IF(B141="","",'Motor_Meciuri'!E15)</x:f>
      </x:c>
      <x:c r="F141" s="2" t="str">
        <x:v>U13,5</x:v>
      </x:c>
      <x:c r="G141" s="2" t="str">
        <x:v>UNDER</x:v>
      </x:c>
      <x:c r="H141" s="2" t="n">
        <x:v>13</x:v>
      </x:c>
      <x:c r="I141" s="2" t="str">
        <x:f>IF(B141="","",'Motor_Meciuri'!H15)</x:f>
      </x:c>
      <x:c r="J141" s="2" t="str">
        <x:f>IF(B141="","",'Motor_Meciuri'!I15)</x:f>
      </x:c>
      <x:c r="K141" s="11" t="str">
        <x:f>IF(J141&lt;&gt;"PASS","",'Motor_Meciuri'!BD15)</x:f>
      </x:c>
      <x:c r="L141" s="11" t="str">
        <x:f>IF(J141&lt;&gt;"PASS","",'Motor_Meciuri'!AU15)</x:f>
      </x:c>
      <x:c r="M141" s="10" t="str">
        <x:f>IF(NOT(AND(J141="PASS",'Calibrare_Linii'!U15="VALID")),"",'Distributie'!AK15)</x:f>
      </x:c>
      <x:c r="N141" s="10" t="str">
        <x:f>IF(M141="","",MAX(0.01,MIN(0.99,0.5+(M141-0.5)*'Motor_Meciuri'!BG15*'Calibrare_Linii'!D15)))</x:f>
      </x:c>
      <x:c r="O141" s="10" t="str">
        <x:f>IF(M141="","",1-M141)</x:f>
      </x:c>
      <x:c r="P141" s="10" t="str">
        <x:f>IF(OR(NOT(AND(J141="PASS",'Calibrare_Linii'!U15="VALID")),AK141=0),""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*('Istoric_Nativ'!$Q$6:$Q$405&gt;H141))/AK141)</x:f>
      </x:c>
      <x:c r="Q141" s="10" t="str">
        <x:f>IF(OR(NOT(AND(J141="PASS",'Calibrare_Linii'!U15="VALID")),AL141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M15)+((('Istoric_Nativ'!$E$6:$E$405='Input_Meci'!E15)+('Istoric_Nativ'!$F$6:$F$405='Input_Meci'!E15))&gt;0)*('Istoric_Nativ'!$D$6:$D$405&gt;='Motor_Meciuri'!BN15))&gt;0)*('Istoric_Nativ'!$Q$6:$Q$405&gt;H141))/AL141)</x:f>
      </x:c>
      <x:c r="R141" s="10" t="str">
        <x:f>IF(OR(NOT(AND(J141="PASS",'Calibrare_Linii'!U15="VALID")),AM141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O15)+((('Istoric_Nativ'!$E$6:$E$405='Input_Meci'!E15)+('Istoric_Nativ'!$F$6:$F$405='Input_Meci'!E15))&gt;0)*('Istoric_Nativ'!$D$6:$D$405&gt;='Motor_Meciuri'!BP15))&gt;0)*('Istoric_Nativ'!$Q$6:$Q$405&gt;H141))/AM141)</x:f>
      </x:c>
      <x:c r="S141" s="10" t="str">
        <x:f>IF(M141="","",MAX(O141,P141,Q141,R141))</x:f>
      </x:c>
      <x:c r="T141" s="11" t="str">
        <x:f>IF(M141="","",MIN(100,S141*100*'Config_v6'!$B$44+MIN(100,L141/'Config_v6'!$B$13*100)*'Config_v6'!$B$45+(100-'Motor_Meciuri'!BF15)*'Config_v6'!$B$46+'Motor_Meciuri'!BH15*100*'Config_v6'!$B$47))</x:f>
      </x:c>
      <x:c r="U141" s="2" t="str">
        <x:f>IF(T141="","",IF(T141&lt;=20,1,IF(T141&lt;=40,2,IF(T141&lt;=60,3,IF(T141&lt;=80,4,5)))))</x:f>
      </x:c>
      <x:c r="V141" s="2" t="str">
        <x:f>IF(M141="","",MAX(0,'Motor_Meciuri'!BF15-IF(W141="OOS PENDING",'Config_v6'!$B$35,0)-IF(L141&gt;'Config_v6'!$B$12,'Config_v6'!$B$37,IF(L141&gt;'Config_v6'!$B$11,'Config_v6'!$B$36,0))))</x:f>
      </x:c>
      <x:c r="W141" s="2" t="str">
        <x:f>IF(B141="","",IF(I141&lt;&gt;"READY","NOT RELEASED",IF(NOT(AND(J141="PASS",'Calibrare_Linii'!U15="VALID")),"INVALID",IF(NOT(AND('Calibrare_Linii'!S15="VALIDATED",AND('Calibrare_Linii'!H15=C141,ISNUMBER('Calibrare_Linii'!J15),'Calibrare_Linii'!J15&lt;='Input_Meci'!G15))),"OOS PENDING",IF(S141&lt;='Calibrare_Linii'!E15,"PASS",IF(S141&lt;='Calibrare_Linii'!F15,"PENALTY","WATCH"))))))</x:f>
      </x:c>
      <x:c r="X141" s="2" t="str">
        <x:f>IF(M141="","",IF(AND(AND(J141="PASS",'Calibrare_Linii'!U15="VALID"),'Motor_Meciuri'!K15=12,'Motor_Meciuri'!L15=12,'Motor_Meciuri'!M15="NO",'Motor_Meciuri'!BL15='Motor_Meciuri'!C15,AB141&gt;='Config_v6'!$B$50,AN141&gt;='Config_v6'!$B$51,T141&lt;='Config_v6'!$B$52,L141&lt;='Config_v6'!$B$53,ISNUMBER('Calibrare_Linii'!E15),S141&lt;='Calibrare_Linii'!E15,SUM(AK141:AM141)&gt;0),"CANDIDATE","NO"))</x:f>
      </x:c>
      <x:c r="Y141" s="2" t="str">
        <x:f>IF(B141="","",IF(I141&lt;&gt;"READY","NOT RELEASED",IF(AND(X141="CANDIDATE",V141&gt;='Config_v6'!$B$51,W141="PASS",'Calibrare_Linii'!T15="VALIDATED",AND('Calibrare_Linii'!H15=C141,ISNUMBER('Calibrare_Linii'!J15),'Calibrare_Linii'!J15&lt;='Input_Meci'!G15)),"PASS",IF(X141="CANDIDATE","OOS PENDING","FAIL"))))</x:f>
      </x:c>
      <x:c r="Z141" s="2" t="str">
        <x:f>IF(B141="","",IF(I141&lt;&gt;"READY","",IF(OR(NOT(AND(J141="PASS",'Calibrare_Linii'!U15="VALID")),L141&gt;'Config_v6'!$B$13,W141="WATCH"),5,IF(Y141="PASS",1,MIN(5,MAX('Config_v6'!$B$42,U141)+IF(W141="PENALTY",1,0))))))</x:f>
      </x:c>
      <x:c r="AA141" s="2" t="str">
        <x:f>IF(B141="","",IF(I141&lt;&gt;"READY","NOT RELEASED",IF(Z141=5,"NO BET",IF(OR(AB141&lt;'Config_v6'!$B$16,V141&lt;'Config_v6'!$B$18),"WATCH",IF(Z141=1,"DEFENSIV",IF(Z141=2,"PRUDENT",IF(Z141=3,"MODERAT","RIDICAT")))))))</x:f>
      </x:c>
      <x:c r="AB141" s="10" t="str">
        <x:f>IF(N141="","",MIN(N141,1-S141))</x:f>
      </x:c>
      <x:c r="AC141" s="2" t="str">
        <x:f>IF(AD141&lt;&gt;1,"",COUNTIFS($Z$132:$Z$145,"&lt;"&amp;Z141,$AD$132:$AD$145,1)+COUNTIFS($Z$132:$Z$145,Z141,$AB$132:$AB$145,"&gt;"&amp;AB141,$AD$132:$AD$145,1)+COUNTIFS($Z$132:$Z$145,Z141,$AB$132:$AB$145,AB141,$V$132:$V$145,"&gt;"&amp;V141,$AD$132:$AD$145,1)+COUNTIFS($Z$132:Z141,Z141,$AB$132:AB141,AB141,$V$132:V141,V141,$AD$132:AD141,1))</x:f>
      </x:c>
      <x:c r="AD141" s="2" t="n">
        <x:f>IF(OR(AA141="DEFENSIV",AA141="PRUDENT",AA141="MODERAT",AA141="RIDICAT"),1,0)</x:f>
        <x:v>0</x:v>
      </x:c>
      <x:c r="AE141" s="2" t="str">
        <x:f>IF(AD141&lt;&gt;1,"NO",IF(W141="PASS","YES",IF(W141="OOS PENDING","CONDITIONAL","NO")))</x:f>
        <x:v>NO</x:v>
      </x:c>
      <x:c r="AF141" s="2" t="n">
        <x:f>IF(AND(AD141=1,AC141=1,E141="LIVE"),1,0)</x:f>
        <x:v>0</x:v>
      </x:c>
      <x:c r="AG141" s="2" t="str">
        <x:f>IF(AF141&lt;&gt;1,"",'Dashboard'!P35)</x:f>
      </x:c>
      <x:c r="AH141" s="2" t="str">
        <x:f>IF(B141="","",IF(J141&lt;&gt;"PASS",'Motor_Meciuri'!J15,IF('Calibrare_Linii'!U15&lt;&gt;"VALID","Parametri linie invalizi",IF(L141&gt;'Config_v6'!$B$13,"Dispersie peste limita",IF(W141="WATCH","Failure peste limita",IF(AB141&lt;'Config_v6'!$B$16,"P finala sub prag",IF(V141&lt;'Config_v6'!$B$18,"Confidence sub prag",IF(E141="REPLAY","Exemplu retrospectiv; exclus din Top LIVE",IF(Y141="PASS","DEFENSIV validat",IF(W141="OOS PENDING","Eligibil; calibrare linie in monitorizare","Eligibil"))))))))))</x:f>
      </x:c>
      <x:c r="AI141" s="2" t="str">
        <x:f>IF(B141="","",'Calibrare_Linii'!V15)</x:f>
      </x:c>
      <x:c r="AJ141" s="2" t="str">
        <x:f>IF(B141="","",IF(AND('Calibrare_Linii'!T15="VALIDATED",AND('Calibrare_Linii'!H15=C141,ISNUMBER('Calibrare_Linii'!J15),'Calibrare_Linii'!J15&lt;='Input_Meci'!G15)),"DEFENSIVE VALIDATED",IF(AND('Calibrare_Linii'!S15="VALIDATED",AND('Calibrare_Linii'!H15=C141,ISNUMBER('Calibrare_Linii'!J15),'Calibrare_Linii'!J15&lt;='Input_Meci'!G15)),"TAIL VALIDATED","OOS PENDING")))</x:f>
      </x:c>
      <x:c r="AK141" s="2" t="n">
        <x:f>IF(J141&lt;&gt;"PASS",0,'Motor_Meciuri'!BR15)</x:f>
        <x:v>0</x:v>
      </x:c>
      <x:c r="AL141" s="2" t="n">
        <x:f>IF(J141&lt;&gt;"PASS",0,'Motor_Meciuri'!BS15)</x:f>
        <x:v>0</x:v>
      </x:c>
      <x:c r="AM141" s="2" t="n">
        <x:f>IF(J141&lt;&gt;"PASS",0,'Motor_Meciuri'!BT15)</x:f>
        <x:v>0</x:v>
      </x:c>
      <x:c r="AN141" s="2" t="str">
        <x:f>IF(M141="","",MAX(0,'Motor_Meciuri'!BF15-IF(L141&gt;'Config_v6'!$B$12,'Config_v6'!$B$37,IF(L141&gt;'Config_v6'!$B$11,'Config_v6'!$B$36,0))))</x:f>
      </x:c>
    </x:row>
    <x:row r="142" ht="21" customHeight="1">
      <x:c r="A142" s="2" t="n">
        <x:v>10</x:v>
      </x:c>
      <x:c r="B142" s="2" t="str">
        <x:f>IF('Motor_Meciuri'!A15="","",'Motor_Meciuri'!A15)</x:f>
      </x:c>
      <x:c r="C142" s="2" t="str">
        <x:f>IF(B142="","",'Motor_Meciuri'!B15)</x:f>
      </x:c>
      <x:c r="D142" s="2" t="str">
        <x:f>IF(B142="","",'Motor_Meciuri'!D15)</x:f>
      </x:c>
      <x:c r="E142" s="2" t="str">
        <x:f>IF(B142="","",'Motor_Meciuri'!E15)</x:f>
      </x:c>
      <x:c r="F142" s="2" t="str">
        <x:v>U14,5</x:v>
      </x:c>
      <x:c r="G142" s="2" t="str">
        <x:v>UNDER</x:v>
      </x:c>
      <x:c r="H142" s="2" t="n">
        <x:v>14</x:v>
      </x:c>
      <x:c r="I142" s="2" t="str">
        <x:f>IF(B142="","",'Motor_Meciuri'!H15)</x:f>
      </x:c>
      <x:c r="J142" s="2" t="str">
        <x:f>IF(B142="","",'Motor_Meciuri'!I15)</x:f>
      </x:c>
      <x:c r="K142" s="11" t="str">
        <x:f>IF(J142&lt;&gt;"PASS","",'Motor_Meciuri'!BD15)</x:f>
      </x:c>
      <x:c r="L142" s="11" t="str">
        <x:f>IF(J142&lt;&gt;"PASS","",'Motor_Meciuri'!AU15)</x:f>
      </x:c>
      <x:c r="M142" s="10" t="str">
        <x:f>IF(NOT(AND(J142="PASS",'Calibrare_Linii'!U16="VALID")),"",'Distributie'!AL15)</x:f>
      </x:c>
      <x:c r="N142" s="10" t="str">
        <x:f>IF(M142="","",MAX(0.01,MIN(0.99,0.5+(M142-0.5)*'Motor_Meciuri'!BG15*'Calibrare_Linii'!D16)))</x:f>
      </x:c>
      <x:c r="O142" s="10" t="str">
        <x:f>IF(M142="","",1-M142)</x:f>
      </x:c>
      <x:c r="P142" s="10" t="str">
        <x:f>IF(OR(NOT(AND(J142="PASS",'Calibrare_Linii'!U16="VALID")),AK142=0),""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*('Istoric_Nativ'!$Q$6:$Q$405&gt;H142))/AK142)</x:f>
      </x:c>
      <x:c r="Q142" s="10" t="str">
        <x:f>IF(OR(NOT(AND(J142="PASS",'Calibrare_Linii'!U16="VALID")),AL142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M15)+((('Istoric_Nativ'!$E$6:$E$405='Input_Meci'!E15)+('Istoric_Nativ'!$F$6:$F$405='Input_Meci'!E15))&gt;0)*('Istoric_Nativ'!$D$6:$D$405&gt;='Motor_Meciuri'!BN15))&gt;0)*('Istoric_Nativ'!$Q$6:$Q$405&gt;H142))/AL142)</x:f>
      </x:c>
      <x:c r="R142" s="10" t="str">
        <x:f>IF(OR(NOT(AND(J142="PASS",'Calibrare_Linii'!U16="VALID")),AM142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O15)+((('Istoric_Nativ'!$E$6:$E$405='Input_Meci'!E15)+('Istoric_Nativ'!$F$6:$F$405='Input_Meci'!E15))&gt;0)*('Istoric_Nativ'!$D$6:$D$405&gt;='Motor_Meciuri'!BP15))&gt;0)*('Istoric_Nativ'!$Q$6:$Q$405&gt;H142))/AM142)</x:f>
      </x:c>
      <x:c r="S142" s="10" t="str">
        <x:f>IF(M142="","",MAX(O142,P142,Q142,R142))</x:f>
      </x:c>
      <x:c r="T142" s="11" t="str">
        <x:f>IF(M142="","",MIN(100,S142*100*'Config_v6'!$B$44+MIN(100,L142/'Config_v6'!$B$13*100)*'Config_v6'!$B$45+(100-'Motor_Meciuri'!BF15)*'Config_v6'!$B$46+'Motor_Meciuri'!BH15*100*'Config_v6'!$B$47))</x:f>
      </x:c>
      <x:c r="U142" s="2" t="str">
        <x:f>IF(T142="","",IF(T142&lt;=20,1,IF(T142&lt;=40,2,IF(T142&lt;=60,3,IF(T142&lt;=80,4,5)))))</x:f>
      </x:c>
      <x:c r="V142" s="2" t="str">
        <x:f>IF(M142="","",MAX(0,'Motor_Meciuri'!BF15-IF(W142="OOS PENDING",'Config_v6'!$B$35,0)-IF(L142&gt;'Config_v6'!$B$12,'Config_v6'!$B$37,IF(L142&gt;'Config_v6'!$B$11,'Config_v6'!$B$36,0))))</x:f>
      </x:c>
      <x:c r="W142" s="2" t="str">
        <x:f>IF(B142="","",IF(I142&lt;&gt;"READY","NOT RELEASED",IF(NOT(AND(J142="PASS",'Calibrare_Linii'!U16="VALID")),"INVALID",IF(NOT(AND('Calibrare_Linii'!S16="VALIDATED",AND('Calibrare_Linii'!H16=C142,ISNUMBER('Calibrare_Linii'!J16),'Calibrare_Linii'!J16&lt;='Input_Meci'!G15))),"OOS PENDING",IF(S142&lt;='Calibrare_Linii'!E16,"PASS",IF(S142&lt;='Calibrare_Linii'!F16,"PENALTY","WATCH"))))))</x:f>
      </x:c>
      <x:c r="X142" s="2" t="str">
        <x:f>IF(M142="","",IF(AND(AND(J142="PASS",'Calibrare_Linii'!U16="VALID"),'Motor_Meciuri'!K15=12,'Motor_Meciuri'!L15=12,'Motor_Meciuri'!M15="NO",'Motor_Meciuri'!BL15='Motor_Meciuri'!C15,AB142&gt;='Config_v6'!$B$50,AN142&gt;='Config_v6'!$B$51,T142&lt;='Config_v6'!$B$52,L142&lt;='Config_v6'!$B$53,ISNUMBER('Calibrare_Linii'!E16),S142&lt;='Calibrare_Linii'!E16,SUM(AK142:AM142)&gt;0),"CANDIDATE","NO"))</x:f>
      </x:c>
      <x:c r="Y142" s="2" t="str">
        <x:f>IF(B142="","",IF(I142&lt;&gt;"READY","NOT RELEASED",IF(AND(X142="CANDIDATE",V142&gt;='Config_v6'!$B$51,W142="PASS",'Calibrare_Linii'!T16="VALIDATED",AND('Calibrare_Linii'!H16=C142,ISNUMBER('Calibrare_Linii'!J16),'Calibrare_Linii'!J16&lt;='Input_Meci'!G15)),"PASS",IF(X142="CANDIDATE","OOS PENDING","FAIL"))))</x:f>
      </x:c>
      <x:c r="Z142" s="2" t="str">
        <x:f>IF(B142="","",IF(I142&lt;&gt;"READY","",IF(OR(NOT(AND(J142="PASS",'Calibrare_Linii'!U16="VALID")),L142&gt;'Config_v6'!$B$13,W142="WATCH"),5,IF(Y142="PASS",1,MIN(5,MAX('Config_v6'!$B$42,U142)+IF(W142="PENALTY",1,0))))))</x:f>
      </x:c>
      <x:c r="AA142" s="2" t="str">
        <x:f>IF(B142="","",IF(I142&lt;&gt;"READY","NOT RELEASED",IF(Z142=5,"NO BET",IF(OR(AB142&lt;'Config_v6'!$B$16,V142&lt;'Config_v6'!$B$18),"WATCH",IF(Z142=1,"DEFENSIV",IF(Z142=2,"PRUDENT",IF(Z142=3,"MODERAT","RIDICAT")))))))</x:f>
      </x:c>
      <x:c r="AB142" s="10" t="str">
        <x:f>IF(N142="","",MIN(N142,1-S142))</x:f>
      </x:c>
      <x:c r="AC142" s="2" t="str">
        <x:f>IF(AD142&lt;&gt;1,"",COUNTIFS($Z$132:$Z$145,"&lt;"&amp;Z142,$AD$132:$AD$145,1)+COUNTIFS($Z$132:$Z$145,Z142,$AB$132:$AB$145,"&gt;"&amp;AB142,$AD$132:$AD$145,1)+COUNTIFS($Z$132:$Z$145,Z142,$AB$132:$AB$145,AB142,$V$132:$V$145,"&gt;"&amp;V142,$AD$132:$AD$145,1)+COUNTIFS($Z$132:Z142,Z142,$AB$132:AB142,AB142,$V$132:V142,V142,$AD$132:AD142,1))</x:f>
      </x:c>
      <x:c r="AD142" s="2" t="n">
        <x:f>IF(OR(AA142="DEFENSIV",AA142="PRUDENT",AA142="MODERAT",AA142="RIDICAT"),1,0)</x:f>
        <x:v>0</x:v>
      </x:c>
      <x:c r="AE142" s="2" t="str">
        <x:f>IF(AD142&lt;&gt;1,"NO",IF(W142="PASS","YES",IF(W142="OOS PENDING","CONDITIONAL","NO")))</x:f>
        <x:v>NO</x:v>
      </x:c>
      <x:c r="AF142" s="2" t="n">
        <x:f>IF(AND(AD142=1,AC142=1,E142="LIVE"),1,0)</x:f>
        <x:v>0</x:v>
      </x:c>
      <x:c r="AG142" s="2" t="str">
        <x:f>IF(AF142&lt;&gt;1,"",'Dashboard'!P35)</x:f>
      </x:c>
      <x:c r="AH142" s="2" t="str">
        <x:f>IF(B142="","",IF(J142&lt;&gt;"PASS",'Motor_Meciuri'!J15,IF('Calibrare_Linii'!U16&lt;&gt;"VALID","Parametri linie invalizi",IF(L142&gt;'Config_v6'!$B$13,"Dispersie peste limita",IF(W142="WATCH","Failure peste limita",IF(AB142&lt;'Config_v6'!$B$16,"P finala sub prag",IF(V142&lt;'Config_v6'!$B$18,"Confidence sub prag",IF(E142="REPLAY","Exemplu retrospectiv; exclus din Top LIVE",IF(Y142="PASS","DEFENSIV validat",IF(W142="OOS PENDING","Eligibil; calibrare linie in monitorizare","Eligibil"))))))))))</x:f>
      </x:c>
      <x:c r="AI142" s="2" t="str">
        <x:f>IF(B142="","",'Calibrare_Linii'!V16)</x:f>
      </x:c>
      <x:c r="AJ142" s="2" t="str">
        <x:f>IF(B142="","",IF(AND('Calibrare_Linii'!T16="VALIDATED",AND('Calibrare_Linii'!H16=C142,ISNUMBER('Calibrare_Linii'!J16),'Calibrare_Linii'!J16&lt;='Input_Meci'!G15)),"DEFENSIVE VALIDATED",IF(AND('Calibrare_Linii'!S16="VALIDATED",AND('Calibrare_Linii'!H16=C142,ISNUMBER('Calibrare_Linii'!J16),'Calibrare_Linii'!J16&lt;='Input_Meci'!G15)),"TAIL VALIDATED","OOS PENDING")))</x:f>
      </x:c>
      <x:c r="AK142" s="2" t="n">
        <x:f>IF(J142&lt;&gt;"PASS",0,'Motor_Meciuri'!BR15)</x:f>
        <x:v>0</x:v>
      </x:c>
      <x:c r="AL142" s="2" t="n">
        <x:f>IF(J142&lt;&gt;"PASS",0,'Motor_Meciuri'!BS15)</x:f>
        <x:v>0</x:v>
      </x:c>
      <x:c r="AM142" s="2" t="n">
        <x:f>IF(J142&lt;&gt;"PASS",0,'Motor_Meciuri'!BT15)</x:f>
        <x:v>0</x:v>
      </x:c>
      <x:c r="AN142" s="2" t="str">
        <x:f>IF(M142="","",MAX(0,'Motor_Meciuri'!BF15-IF(L142&gt;'Config_v6'!$B$12,'Config_v6'!$B$37,IF(L142&gt;'Config_v6'!$B$11,'Config_v6'!$B$36,0))))</x:f>
      </x:c>
    </x:row>
    <x:row r="143" ht="21" customHeight="1">
      <x:c r="A143" s="2" t="n">
        <x:v>10</x:v>
      </x:c>
      <x:c r="B143" s="2" t="str">
        <x:f>IF('Motor_Meciuri'!A15="","",'Motor_Meciuri'!A15)</x:f>
      </x:c>
      <x:c r="C143" s="2" t="str">
        <x:f>IF(B143="","",'Motor_Meciuri'!B15)</x:f>
      </x:c>
      <x:c r="D143" s="2" t="str">
        <x:f>IF(B143="","",'Motor_Meciuri'!D15)</x:f>
      </x:c>
      <x:c r="E143" s="2" t="str">
        <x:f>IF(B143="","",'Motor_Meciuri'!E15)</x:f>
      </x:c>
      <x:c r="F143" s="2" t="str">
        <x:v>U15,5</x:v>
      </x:c>
      <x:c r="G143" s="2" t="str">
        <x:v>UNDER</x:v>
      </x:c>
      <x:c r="H143" s="2" t="n">
        <x:v>15</x:v>
      </x:c>
      <x:c r="I143" s="2" t="str">
        <x:f>IF(B143="","",'Motor_Meciuri'!H15)</x:f>
      </x:c>
      <x:c r="J143" s="2" t="str">
        <x:f>IF(B143="","",'Motor_Meciuri'!I15)</x:f>
      </x:c>
      <x:c r="K143" s="11" t="str">
        <x:f>IF(J143&lt;&gt;"PASS","",'Motor_Meciuri'!BD15)</x:f>
      </x:c>
      <x:c r="L143" s="11" t="str">
        <x:f>IF(J143&lt;&gt;"PASS","",'Motor_Meciuri'!AU15)</x:f>
      </x:c>
      <x:c r="M143" s="10" t="str">
        <x:f>IF(NOT(AND(J143="PASS",'Calibrare_Linii'!U17="VALID")),"",'Distributie'!AM15)</x:f>
      </x:c>
      <x:c r="N143" s="10" t="str">
        <x:f>IF(M143="","",MAX(0.01,MIN(0.99,0.5+(M143-0.5)*'Motor_Meciuri'!BG15*'Calibrare_Linii'!D17)))</x:f>
      </x:c>
      <x:c r="O143" s="10" t="str">
        <x:f>IF(M143="","",1-M143)</x:f>
      </x:c>
      <x:c r="P143" s="10" t="str">
        <x:f>IF(OR(NOT(AND(J143="PASS",'Calibrare_Linii'!U17="VALID")),AK143=0),""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*('Istoric_Nativ'!$Q$6:$Q$405&gt;H143))/AK143)</x:f>
      </x:c>
      <x:c r="Q143" s="10" t="str">
        <x:f>IF(OR(NOT(AND(J143="PASS",'Calibrare_Linii'!U17="VALID")),AL143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M15)+((('Istoric_Nativ'!$E$6:$E$405='Input_Meci'!E15)+('Istoric_Nativ'!$F$6:$F$405='Input_Meci'!E15))&gt;0)*('Istoric_Nativ'!$D$6:$D$405&gt;='Motor_Meciuri'!BN15))&gt;0)*('Istoric_Nativ'!$Q$6:$Q$405&gt;H143))/AL143)</x:f>
      </x:c>
      <x:c r="R143" s="10" t="str">
        <x:f>IF(OR(NOT(AND(J143="PASS",'Calibrare_Linii'!U17="VALID")),AM143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O15)+((('Istoric_Nativ'!$E$6:$E$405='Input_Meci'!E15)+('Istoric_Nativ'!$F$6:$F$405='Input_Meci'!E15))&gt;0)*('Istoric_Nativ'!$D$6:$D$405&gt;='Motor_Meciuri'!BP15))&gt;0)*('Istoric_Nativ'!$Q$6:$Q$405&gt;H143))/AM143)</x:f>
      </x:c>
      <x:c r="S143" s="10" t="str">
        <x:f>IF(M143="","",MAX(O143,P143,Q143,R143))</x:f>
      </x:c>
      <x:c r="T143" s="11" t="str">
        <x:f>IF(M143="","",MIN(100,S143*100*'Config_v6'!$B$44+MIN(100,L143/'Config_v6'!$B$13*100)*'Config_v6'!$B$45+(100-'Motor_Meciuri'!BF15)*'Config_v6'!$B$46+'Motor_Meciuri'!BH15*100*'Config_v6'!$B$47))</x:f>
      </x:c>
      <x:c r="U143" s="2" t="str">
        <x:f>IF(T143="","",IF(T143&lt;=20,1,IF(T143&lt;=40,2,IF(T143&lt;=60,3,IF(T143&lt;=80,4,5)))))</x:f>
      </x:c>
      <x:c r="V143" s="2" t="str">
        <x:f>IF(M143="","",MAX(0,'Motor_Meciuri'!BF15-IF(W143="OOS PENDING",'Config_v6'!$B$35,0)-IF(L143&gt;'Config_v6'!$B$12,'Config_v6'!$B$37,IF(L143&gt;'Config_v6'!$B$11,'Config_v6'!$B$36,0))))</x:f>
      </x:c>
      <x:c r="W143" s="2" t="str">
        <x:f>IF(B143="","",IF(I143&lt;&gt;"READY","NOT RELEASED",IF(NOT(AND(J143="PASS",'Calibrare_Linii'!U17="VALID")),"INVALID",IF(NOT(AND('Calibrare_Linii'!S17="VALIDATED",AND('Calibrare_Linii'!H17=C143,ISNUMBER('Calibrare_Linii'!J17),'Calibrare_Linii'!J17&lt;='Input_Meci'!G15))),"OOS PENDING",IF(S143&lt;='Calibrare_Linii'!E17,"PASS",IF(S143&lt;='Calibrare_Linii'!F17,"PENALTY","WATCH"))))))</x:f>
      </x:c>
      <x:c r="X143" s="2" t="str">
        <x:f>IF(M143="","",IF(AND(AND(J143="PASS",'Calibrare_Linii'!U17="VALID"),'Motor_Meciuri'!K15=12,'Motor_Meciuri'!L15=12,'Motor_Meciuri'!M15="NO",'Motor_Meciuri'!BL15='Motor_Meciuri'!C15,AB143&gt;='Config_v6'!$B$50,AN143&gt;='Config_v6'!$B$51,T143&lt;='Config_v6'!$B$52,L143&lt;='Config_v6'!$B$53,ISNUMBER('Calibrare_Linii'!E17),S143&lt;='Calibrare_Linii'!E17,SUM(AK143:AM143)&gt;0),"CANDIDATE","NO"))</x:f>
      </x:c>
      <x:c r="Y143" s="2" t="str">
        <x:f>IF(B143="","",IF(I143&lt;&gt;"READY","NOT RELEASED",IF(AND(X143="CANDIDATE",V143&gt;='Config_v6'!$B$51,W143="PASS",'Calibrare_Linii'!T17="VALIDATED",AND('Calibrare_Linii'!H17=C143,ISNUMBER('Calibrare_Linii'!J17),'Calibrare_Linii'!J17&lt;='Input_Meci'!G15)),"PASS",IF(X143="CANDIDATE","OOS PENDING","FAIL"))))</x:f>
      </x:c>
      <x:c r="Z143" s="2" t="str">
        <x:f>IF(B143="","",IF(I143&lt;&gt;"READY","",IF(OR(NOT(AND(J143="PASS",'Calibrare_Linii'!U17="VALID")),L143&gt;'Config_v6'!$B$13,W143="WATCH"),5,IF(Y143="PASS",1,MIN(5,MAX('Config_v6'!$B$42,U143)+IF(W143="PENALTY",1,0))))))</x:f>
      </x:c>
      <x:c r="AA143" s="2" t="str">
        <x:f>IF(B143="","",IF(I143&lt;&gt;"READY","NOT RELEASED",IF(Z143=5,"NO BET",IF(OR(AB143&lt;'Config_v6'!$B$16,V143&lt;'Config_v6'!$B$18),"WATCH",IF(Z143=1,"DEFENSIV",IF(Z143=2,"PRUDENT",IF(Z143=3,"MODERAT","RIDICAT")))))))</x:f>
      </x:c>
      <x:c r="AB143" s="10" t="str">
        <x:f>IF(N143="","",MIN(N143,1-S143))</x:f>
      </x:c>
      <x:c r="AC143" s="2" t="str">
        <x:f>IF(AD143&lt;&gt;1,"",COUNTIFS($Z$132:$Z$145,"&lt;"&amp;Z143,$AD$132:$AD$145,1)+COUNTIFS($Z$132:$Z$145,Z143,$AB$132:$AB$145,"&gt;"&amp;AB143,$AD$132:$AD$145,1)+COUNTIFS($Z$132:$Z$145,Z143,$AB$132:$AB$145,AB143,$V$132:$V$145,"&gt;"&amp;V143,$AD$132:$AD$145,1)+COUNTIFS($Z$132:Z143,Z143,$AB$132:AB143,AB143,$V$132:V143,V143,$AD$132:AD143,1))</x:f>
      </x:c>
      <x:c r="AD143" s="2" t="n">
        <x:f>IF(OR(AA143="DEFENSIV",AA143="PRUDENT",AA143="MODERAT",AA143="RIDICAT"),1,0)</x:f>
        <x:v>0</x:v>
      </x:c>
      <x:c r="AE143" s="2" t="str">
        <x:f>IF(AD143&lt;&gt;1,"NO",IF(W143="PASS","YES",IF(W143="OOS PENDING","CONDITIONAL","NO")))</x:f>
        <x:v>NO</x:v>
      </x:c>
      <x:c r="AF143" s="2" t="n">
        <x:f>IF(AND(AD143=1,AC143=1,E143="LIVE"),1,0)</x:f>
        <x:v>0</x:v>
      </x:c>
      <x:c r="AG143" s="2" t="str">
        <x:f>IF(AF143&lt;&gt;1,"",'Dashboard'!P35)</x:f>
      </x:c>
      <x:c r="AH143" s="2" t="str">
        <x:f>IF(B143="","",IF(J143&lt;&gt;"PASS",'Motor_Meciuri'!J15,IF('Calibrare_Linii'!U17&lt;&gt;"VALID","Parametri linie invalizi",IF(L143&gt;'Config_v6'!$B$13,"Dispersie peste limita",IF(W143="WATCH","Failure peste limita",IF(AB143&lt;'Config_v6'!$B$16,"P finala sub prag",IF(V143&lt;'Config_v6'!$B$18,"Confidence sub prag",IF(E143="REPLAY","Exemplu retrospectiv; exclus din Top LIVE",IF(Y143="PASS","DEFENSIV validat",IF(W143="OOS PENDING","Eligibil; calibrare linie in monitorizare","Eligibil"))))))))))</x:f>
      </x:c>
      <x:c r="AI143" s="2" t="str">
        <x:f>IF(B143="","",'Calibrare_Linii'!V17)</x:f>
      </x:c>
      <x:c r="AJ143" s="2" t="str">
        <x:f>IF(B143="","",IF(AND('Calibrare_Linii'!T17="VALIDATED",AND('Calibrare_Linii'!H17=C143,ISNUMBER('Calibrare_Linii'!J17),'Calibrare_Linii'!J17&lt;='Input_Meci'!G15)),"DEFENSIVE VALIDATED",IF(AND('Calibrare_Linii'!S17="VALIDATED",AND('Calibrare_Linii'!H17=C143,ISNUMBER('Calibrare_Linii'!J17),'Calibrare_Linii'!J17&lt;='Input_Meci'!G15)),"TAIL VALIDATED","OOS PENDING")))</x:f>
      </x:c>
      <x:c r="AK143" s="2" t="n">
        <x:f>IF(J143&lt;&gt;"PASS",0,'Motor_Meciuri'!BR15)</x:f>
        <x:v>0</x:v>
      </x:c>
      <x:c r="AL143" s="2" t="n">
        <x:f>IF(J143&lt;&gt;"PASS",0,'Motor_Meciuri'!BS15)</x:f>
        <x:v>0</x:v>
      </x:c>
      <x:c r="AM143" s="2" t="n">
        <x:f>IF(J143&lt;&gt;"PASS",0,'Motor_Meciuri'!BT15)</x:f>
        <x:v>0</x:v>
      </x:c>
      <x:c r="AN143" s="2" t="str">
        <x:f>IF(M143="","",MAX(0,'Motor_Meciuri'!BF15-IF(L143&gt;'Config_v6'!$B$12,'Config_v6'!$B$37,IF(L143&gt;'Config_v6'!$B$11,'Config_v6'!$B$36,0))))</x:f>
      </x:c>
    </x:row>
    <x:row r="144" ht="21" customHeight="1">
      <x:c r="A144" s="2" t="n">
        <x:v>10</x:v>
      </x:c>
      <x:c r="B144" s="2" t="str">
        <x:f>IF('Motor_Meciuri'!A15="","",'Motor_Meciuri'!A15)</x:f>
      </x:c>
      <x:c r="C144" s="2" t="str">
        <x:f>IF(B144="","",'Motor_Meciuri'!B15)</x:f>
      </x:c>
      <x:c r="D144" s="2" t="str">
        <x:f>IF(B144="","",'Motor_Meciuri'!D15)</x:f>
      </x:c>
      <x:c r="E144" s="2" t="str">
        <x:f>IF(B144="","",'Motor_Meciuri'!E15)</x:f>
      </x:c>
      <x:c r="F144" s="2" t="str">
        <x:v>U16,5</x:v>
      </x:c>
      <x:c r="G144" s="2" t="str">
        <x:v>UNDER</x:v>
      </x:c>
      <x:c r="H144" s="2" t="n">
        <x:v>16</x:v>
      </x:c>
      <x:c r="I144" s="2" t="str">
        <x:f>IF(B144="","",'Motor_Meciuri'!H15)</x:f>
      </x:c>
      <x:c r="J144" s="2" t="str">
        <x:f>IF(B144="","",'Motor_Meciuri'!I15)</x:f>
      </x:c>
      <x:c r="K144" s="11" t="str">
        <x:f>IF(J144&lt;&gt;"PASS","",'Motor_Meciuri'!BD15)</x:f>
      </x:c>
      <x:c r="L144" s="11" t="str">
        <x:f>IF(J144&lt;&gt;"PASS","",'Motor_Meciuri'!AU15)</x:f>
      </x:c>
      <x:c r="M144" s="10" t="str">
        <x:f>IF(NOT(AND(J144="PASS",'Calibrare_Linii'!U18="VALID")),"",'Distributie'!AN15)</x:f>
      </x:c>
      <x:c r="N144" s="10" t="str">
        <x:f>IF(M144="","",MAX(0.01,MIN(0.99,0.5+(M144-0.5)*'Motor_Meciuri'!BG15*'Calibrare_Linii'!D18)))</x:f>
      </x:c>
      <x:c r="O144" s="10" t="str">
        <x:f>IF(M144="","",1-M144)</x:f>
      </x:c>
      <x:c r="P144" s="10" t="str">
        <x:f>IF(OR(NOT(AND(J144="PASS",'Calibrare_Linii'!U18="VALID")),AK144=0),""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*('Istoric_Nativ'!$Q$6:$Q$405&gt;H144))/AK144)</x:f>
      </x:c>
      <x:c r="Q144" s="10" t="str">
        <x:f>IF(OR(NOT(AND(J144="PASS",'Calibrare_Linii'!U18="VALID")),AL144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M15)+((('Istoric_Nativ'!$E$6:$E$405='Input_Meci'!E15)+('Istoric_Nativ'!$F$6:$F$405='Input_Meci'!E15))&gt;0)*('Istoric_Nativ'!$D$6:$D$405&gt;='Motor_Meciuri'!BN15))&gt;0)*('Istoric_Nativ'!$Q$6:$Q$405&gt;H144))/AL144)</x:f>
      </x:c>
      <x:c r="R144" s="10" t="str">
        <x:f>IF(OR(NOT(AND(J144="PASS",'Calibrare_Linii'!U18="VALID")),AM144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O15)+((('Istoric_Nativ'!$E$6:$E$405='Input_Meci'!E15)+('Istoric_Nativ'!$F$6:$F$405='Input_Meci'!E15))&gt;0)*('Istoric_Nativ'!$D$6:$D$405&gt;='Motor_Meciuri'!BP15))&gt;0)*('Istoric_Nativ'!$Q$6:$Q$405&gt;H144))/AM144)</x:f>
      </x:c>
      <x:c r="S144" s="10" t="str">
        <x:f>IF(M144="","",MAX(O144,P144,Q144,R144))</x:f>
      </x:c>
      <x:c r="T144" s="11" t="str">
        <x:f>IF(M144="","",MIN(100,S144*100*'Config_v6'!$B$44+MIN(100,L144/'Config_v6'!$B$13*100)*'Config_v6'!$B$45+(100-'Motor_Meciuri'!BF15)*'Config_v6'!$B$46+'Motor_Meciuri'!BH15*100*'Config_v6'!$B$47))</x:f>
      </x:c>
      <x:c r="U144" s="2" t="str">
        <x:f>IF(T144="","",IF(T144&lt;=20,1,IF(T144&lt;=40,2,IF(T144&lt;=60,3,IF(T144&lt;=80,4,5)))))</x:f>
      </x:c>
      <x:c r="V144" s="2" t="str">
        <x:f>IF(M144="","",MAX(0,'Motor_Meciuri'!BF15-IF(W144="OOS PENDING",'Config_v6'!$B$35,0)-IF(L144&gt;'Config_v6'!$B$12,'Config_v6'!$B$37,IF(L144&gt;'Config_v6'!$B$11,'Config_v6'!$B$36,0))))</x:f>
      </x:c>
      <x:c r="W144" s="2" t="str">
        <x:f>IF(B144="","",IF(I144&lt;&gt;"READY","NOT RELEASED",IF(NOT(AND(J144="PASS",'Calibrare_Linii'!U18="VALID")),"INVALID",IF(NOT(AND('Calibrare_Linii'!S18="VALIDATED",AND('Calibrare_Linii'!H18=C144,ISNUMBER('Calibrare_Linii'!J18),'Calibrare_Linii'!J18&lt;='Input_Meci'!G15))),"OOS PENDING",IF(S144&lt;='Calibrare_Linii'!E18,"PASS",IF(S144&lt;='Calibrare_Linii'!F18,"PENALTY","WATCH"))))))</x:f>
      </x:c>
      <x:c r="X144" s="2" t="str">
        <x:f>IF(M144="","",IF(AND(AND(J144="PASS",'Calibrare_Linii'!U18="VALID"),'Motor_Meciuri'!K15=12,'Motor_Meciuri'!L15=12,'Motor_Meciuri'!M15="NO",'Motor_Meciuri'!BL15='Motor_Meciuri'!C15,AB144&gt;='Config_v6'!$B$50,AN144&gt;='Config_v6'!$B$51,T144&lt;='Config_v6'!$B$52,L144&lt;='Config_v6'!$B$53,ISNUMBER('Calibrare_Linii'!E18),S144&lt;='Calibrare_Linii'!E18,SUM(AK144:AM144)&gt;0),"CANDIDATE","NO"))</x:f>
      </x:c>
      <x:c r="Y144" s="2" t="str">
        <x:f>IF(B144="","",IF(I144&lt;&gt;"READY","NOT RELEASED",IF(AND(X144="CANDIDATE",V144&gt;='Config_v6'!$B$51,W144="PASS",'Calibrare_Linii'!T18="VALIDATED",AND('Calibrare_Linii'!H18=C144,ISNUMBER('Calibrare_Linii'!J18),'Calibrare_Linii'!J18&lt;='Input_Meci'!G15)),"PASS",IF(X144="CANDIDATE","OOS PENDING","FAIL"))))</x:f>
      </x:c>
      <x:c r="Z144" s="2" t="str">
        <x:f>IF(B144="","",IF(I144&lt;&gt;"READY","",IF(OR(NOT(AND(J144="PASS",'Calibrare_Linii'!U18="VALID")),L144&gt;'Config_v6'!$B$13,W144="WATCH"),5,IF(Y144="PASS",1,MIN(5,MAX('Config_v6'!$B$42,U144)+IF(W144="PENALTY",1,0))))))</x:f>
      </x:c>
      <x:c r="AA144" s="2" t="str">
        <x:f>IF(B144="","",IF(I144&lt;&gt;"READY","NOT RELEASED",IF(Z144=5,"NO BET",IF(OR(AB144&lt;'Config_v6'!$B$16,V144&lt;'Config_v6'!$B$18),"WATCH",IF(Z144=1,"DEFENSIV",IF(Z144=2,"PRUDENT",IF(Z144=3,"MODERAT","RIDICAT")))))))</x:f>
      </x:c>
      <x:c r="AB144" s="10" t="str">
        <x:f>IF(N144="","",MIN(N144,1-S144))</x:f>
      </x:c>
      <x:c r="AC144" s="2" t="str">
        <x:f>IF(AD144&lt;&gt;1,"",COUNTIFS($Z$132:$Z$145,"&lt;"&amp;Z144,$AD$132:$AD$145,1)+COUNTIFS($Z$132:$Z$145,Z144,$AB$132:$AB$145,"&gt;"&amp;AB144,$AD$132:$AD$145,1)+COUNTIFS($Z$132:$Z$145,Z144,$AB$132:$AB$145,AB144,$V$132:$V$145,"&gt;"&amp;V144,$AD$132:$AD$145,1)+COUNTIFS($Z$132:Z144,Z144,$AB$132:AB144,AB144,$V$132:V144,V144,$AD$132:AD144,1))</x:f>
      </x:c>
      <x:c r="AD144" s="2" t="n">
        <x:f>IF(OR(AA144="DEFENSIV",AA144="PRUDENT",AA144="MODERAT",AA144="RIDICAT"),1,0)</x:f>
        <x:v>0</x:v>
      </x:c>
      <x:c r="AE144" s="2" t="str">
        <x:f>IF(AD144&lt;&gt;1,"NO",IF(W144="PASS","YES",IF(W144="OOS PENDING","CONDITIONAL","NO")))</x:f>
        <x:v>NO</x:v>
      </x:c>
      <x:c r="AF144" s="2" t="n">
        <x:f>IF(AND(AD144=1,AC144=1,E144="LIVE"),1,0)</x:f>
        <x:v>0</x:v>
      </x:c>
      <x:c r="AG144" s="2" t="str">
        <x:f>IF(AF144&lt;&gt;1,"",'Dashboard'!P35)</x:f>
      </x:c>
      <x:c r="AH144" s="2" t="str">
        <x:f>IF(B144="","",IF(J144&lt;&gt;"PASS",'Motor_Meciuri'!J15,IF('Calibrare_Linii'!U18&lt;&gt;"VALID","Parametri linie invalizi",IF(L144&gt;'Config_v6'!$B$13,"Dispersie peste limita",IF(W144="WATCH","Failure peste limita",IF(AB144&lt;'Config_v6'!$B$16,"P finala sub prag",IF(V144&lt;'Config_v6'!$B$18,"Confidence sub prag",IF(E144="REPLAY","Exemplu retrospectiv; exclus din Top LIVE",IF(Y144="PASS","DEFENSIV validat",IF(W144="OOS PENDING","Eligibil; calibrare linie in monitorizare","Eligibil"))))))))))</x:f>
      </x:c>
      <x:c r="AI144" s="2" t="str">
        <x:f>IF(B144="","",'Calibrare_Linii'!V18)</x:f>
      </x:c>
      <x:c r="AJ144" s="2" t="str">
        <x:f>IF(B144="","",IF(AND('Calibrare_Linii'!T18="VALIDATED",AND('Calibrare_Linii'!H18=C144,ISNUMBER('Calibrare_Linii'!J18),'Calibrare_Linii'!J18&lt;='Input_Meci'!G15)),"DEFENSIVE VALIDATED",IF(AND('Calibrare_Linii'!S18="VALIDATED",AND('Calibrare_Linii'!H18=C144,ISNUMBER('Calibrare_Linii'!J18),'Calibrare_Linii'!J18&lt;='Input_Meci'!G15)),"TAIL VALIDATED","OOS PENDING")))</x:f>
      </x:c>
      <x:c r="AK144" s="2" t="n">
        <x:f>IF(J144&lt;&gt;"PASS",0,'Motor_Meciuri'!BR15)</x:f>
        <x:v>0</x:v>
      </x:c>
      <x:c r="AL144" s="2" t="n">
        <x:f>IF(J144&lt;&gt;"PASS",0,'Motor_Meciuri'!BS15)</x:f>
        <x:v>0</x:v>
      </x:c>
      <x:c r="AM144" s="2" t="n">
        <x:f>IF(J144&lt;&gt;"PASS",0,'Motor_Meciuri'!BT15)</x:f>
        <x:v>0</x:v>
      </x:c>
      <x:c r="AN144" s="2" t="str">
        <x:f>IF(M144="","",MAX(0,'Motor_Meciuri'!BF15-IF(L144&gt;'Config_v6'!$B$12,'Config_v6'!$B$37,IF(L144&gt;'Config_v6'!$B$11,'Config_v6'!$B$36,0))))</x:f>
      </x:c>
    </x:row>
    <x:row r="145" ht="21" customHeight="1">
      <x:c r="A145" s="2" t="n">
        <x:v>10</x:v>
      </x:c>
      <x:c r="B145" s="2" t="str">
        <x:f>IF('Motor_Meciuri'!A15="","",'Motor_Meciuri'!A15)</x:f>
      </x:c>
      <x:c r="C145" s="2" t="str">
        <x:f>IF(B145="","",'Motor_Meciuri'!B15)</x:f>
      </x:c>
      <x:c r="D145" s="2" t="str">
        <x:f>IF(B145="","",'Motor_Meciuri'!D15)</x:f>
      </x:c>
      <x:c r="E145" s="2" t="str">
        <x:f>IF(B145="","",'Motor_Meciuri'!E15)</x:f>
      </x:c>
      <x:c r="F145" s="2" t="str">
        <x:v>U17,5</x:v>
      </x:c>
      <x:c r="G145" s="2" t="str">
        <x:v>UNDER</x:v>
      </x:c>
      <x:c r="H145" s="2" t="n">
        <x:v>17</x:v>
      </x:c>
      <x:c r="I145" s="2" t="str">
        <x:f>IF(B145="","",'Motor_Meciuri'!H15)</x:f>
      </x:c>
      <x:c r="J145" s="2" t="str">
        <x:f>IF(B145="","",'Motor_Meciuri'!I15)</x:f>
      </x:c>
      <x:c r="K145" s="11" t="str">
        <x:f>IF(J145&lt;&gt;"PASS","",'Motor_Meciuri'!BD15)</x:f>
      </x:c>
      <x:c r="L145" s="11" t="str">
        <x:f>IF(J145&lt;&gt;"PASS","",'Motor_Meciuri'!AU15)</x:f>
      </x:c>
      <x:c r="M145" s="10" t="str">
        <x:f>IF(NOT(AND(J145="PASS",'Calibrare_Linii'!U19="VALID")),"",'Distributie'!AO15)</x:f>
      </x:c>
      <x:c r="N145" s="10" t="str">
        <x:f>IF(M145="","",MAX(0.01,MIN(0.99,0.5+(M145-0.5)*'Motor_Meciuri'!BG15*'Calibrare_Linii'!D19)))</x:f>
      </x:c>
      <x:c r="O145" s="10" t="str">
        <x:f>IF(M145="","",1-M145)</x:f>
      </x:c>
      <x:c r="P145" s="10" t="str">
        <x:f>IF(OR(NOT(AND(J145="PASS",'Calibrare_Linii'!U19="VALID")),AK145=0),""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*('Istoric_Nativ'!$Q$6:$Q$405&gt;H145))/AK145)</x:f>
      </x:c>
      <x:c r="Q145" s="10" t="str">
        <x:f>IF(OR(NOT(AND(J145="PASS",'Calibrare_Linii'!U19="VALID")),AL145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M15)+((('Istoric_Nativ'!$E$6:$E$405='Input_Meci'!E15)+('Istoric_Nativ'!$F$6:$F$405='Input_Meci'!E15))&gt;0)*('Istoric_Nativ'!$D$6:$D$405&gt;='Motor_Meciuri'!BN15))&gt;0)*('Istoric_Nativ'!$Q$6:$Q$405&gt;H145))/AL145)</x:f>
      </x:c>
      <x:c r="R145" s="10" t="str">
        <x:f>IF(OR(NOT(AND(J145="PASS",'Calibrare_Linii'!U19="VALID")),AM145=0),""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'Motor_Meciuri'!BO15)+((('Istoric_Nativ'!$E$6:$E$405='Input_Meci'!E15)+('Istoric_Nativ'!$F$6:$F$405='Input_Meci'!E15))&gt;0)*('Istoric_Nativ'!$D$6:$D$405&gt;='Motor_Meciuri'!BP15))&gt;0)*('Istoric_Nativ'!$Q$6:$Q$405&gt;H145))/AM145)</x:f>
      </x:c>
      <x:c r="S145" s="10" t="str">
        <x:f>IF(M145="","",MAX(O145,P145,Q145,R145))</x:f>
      </x:c>
      <x:c r="T145" s="11" t="str">
        <x:f>IF(M145="","",MIN(100,S145*100*'Config_v6'!$B$44+MIN(100,L145/'Config_v6'!$B$13*100)*'Config_v6'!$B$45+(100-'Motor_Meciuri'!BF15)*'Config_v6'!$B$46+'Motor_Meciuri'!BH15*100*'Config_v6'!$B$47))</x:f>
      </x:c>
      <x:c r="U145" s="2" t="str">
        <x:f>IF(T145="","",IF(T145&lt;=20,1,IF(T145&lt;=40,2,IF(T145&lt;=60,3,IF(T145&lt;=80,4,5)))))</x:f>
      </x:c>
      <x:c r="V145" s="2" t="str">
        <x:f>IF(M145="","",MAX(0,'Motor_Meciuri'!BF15-IF(W145="OOS PENDING",'Config_v6'!$B$35,0)-IF(L145&gt;'Config_v6'!$B$12,'Config_v6'!$B$37,IF(L145&gt;'Config_v6'!$B$11,'Config_v6'!$B$36,0))))</x:f>
      </x:c>
      <x:c r="W145" s="2" t="str">
        <x:f>IF(B145="","",IF(I145&lt;&gt;"READY","NOT RELEASED",IF(NOT(AND(J145="PASS",'Calibrare_Linii'!U19="VALID")),"INVALID",IF(NOT(AND('Calibrare_Linii'!S19="VALIDATED",AND('Calibrare_Linii'!H19=C145,ISNUMBER('Calibrare_Linii'!J19),'Calibrare_Linii'!J19&lt;='Input_Meci'!G15))),"OOS PENDING",IF(S145&lt;='Calibrare_Linii'!E19,"PASS",IF(S145&lt;='Calibrare_Linii'!F19,"PENALTY","WATCH"))))))</x:f>
      </x:c>
      <x:c r="X145" s="2" t="str">
        <x:f>IF(M145="","",IF(AND(AND(J145="PASS",'Calibrare_Linii'!U19="VALID"),'Motor_Meciuri'!K15=12,'Motor_Meciuri'!L15=12,'Motor_Meciuri'!M15="NO",'Motor_Meciuri'!BL15='Motor_Meciuri'!C15,AB145&gt;='Config_v6'!$B$50,AN145&gt;='Config_v6'!$B$51,T145&lt;='Config_v6'!$B$52,L145&lt;='Config_v6'!$B$53,ISNUMBER('Calibrare_Linii'!E19),S145&lt;='Calibrare_Linii'!E19,SUM(AK145:AM145)&gt;0),"CANDIDATE","NO"))</x:f>
      </x:c>
      <x:c r="Y145" s="2" t="str">
        <x:f>IF(B145="","",IF(I145&lt;&gt;"READY","NOT RELEASED",IF(AND(X145="CANDIDATE",V145&gt;='Config_v6'!$B$51,W145="PASS",'Calibrare_Linii'!T19="VALIDATED",AND('Calibrare_Linii'!H19=C145,ISNUMBER('Calibrare_Linii'!J19),'Calibrare_Linii'!J19&lt;='Input_Meci'!G15)),"PASS",IF(X145="CANDIDATE","OOS PENDING","FAIL"))))</x:f>
      </x:c>
      <x:c r="Z145" s="2" t="str">
        <x:f>IF(B145="","",IF(I145&lt;&gt;"READY","",IF(OR(NOT(AND(J145="PASS",'Calibrare_Linii'!U19="VALID")),L145&gt;'Config_v6'!$B$13,W145="WATCH"),5,IF(Y145="PASS",1,MIN(5,MAX('Config_v6'!$B$42,U145)+IF(W145="PENALTY",1,0))))))</x:f>
      </x:c>
      <x:c r="AA145" s="2" t="str">
        <x:f>IF(B145="","",IF(I145&lt;&gt;"READY","NOT RELEASED",IF(Z145=5,"NO BET",IF(OR(AB145&lt;'Config_v6'!$B$16,V145&lt;'Config_v6'!$B$18),"WATCH",IF(Z145=1,"DEFENSIV",IF(Z145=2,"PRUDENT",IF(Z145=3,"MODERAT","RIDICAT")))))))</x:f>
      </x:c>
      <x:c r="AB145" s="10" t="str">
        <x:f>IF(N145="","",MIN(N145,1-S145))</x:f>
      </x:c>
      <x:c r="AC145" s="2" t="str">
        <x:f>IF(AD145&lt;&gt;1,"",COUNTIFS($Z$132:$Z$145,"&lt;"&amp;Z145,$AD$132:$AD$145,1)+COUNTIFS($Z$132:$Z$145,Z145,$AB$132:$AB$145,"&gt;"&amp;AB145,$AD$132:$AD$145,1)+COUNTIFS($Z$132:$Z$145,Z145,$AB$132:$AB$145,AB145,$V$132:$V$145,"&gt;"&amp;V145,$AD$132:$AD$145,1)+COUNTIFS($Z$132:Z145,Z145,$AB$132:AB145,AB145,$V$132:V145,V145,$AD$132:AD145,1))</x:f>
      </x:c>
      <x:c r="AD145" s="2" t="n">
        <x:f>IF(OR(AA145="DEFENSIV",AA145="PRUDENT",AA145="MODERAT",AA145="RIDICAT"),1,0)</x:f>
        <x:v>0</x:v>
      </x:c>
      <x:c r="AE145" s="2" t="str">
        <x:f>IF(AD145&lt;&gt;1,"NO",IF(W145="PASS","YES",IF(W145="OOS PENDING","CONDITIONAL","NO")))</x:f>
        <x:v>NO</x:v>
      </x:c>
      <x:c r="AF145" s="2" t="n">
        <x:f>IF(AND(AD145=1,AC145=1,E145="LIVE"),1,0)</x:f>
        <x:v>0</x:v>
      </x:c>
      <x:c r="AG145" s="2" t="str">
        <x:f>IF(AF145&lt;&gt;1,"",'Dashboard'!P35)</x:f>
      </x:c>
      <x:c r="AH145" s="2" t="str">
        <x:f>IF(B145="","",IF(J145&lt;&gt;"PASS",'Motor_Meciuri'!J15,IF('Calibrare_Linii'!U19&lt;&gt;"VALID","Parametri linie invalizi",IF(L145&gt;'Config_v6'!$B$13,"Dispersie peste limita",IF(W145="WATCH","Failure peste limita",IF(AB145&lt;'Config_v6'!$B$16,"P finala sub prag",IF(V145&lt;'Config_v6'!$B$18,"Confidence sub prag",IF(E145="REPLAY","Exemplu retrospectiv; exclus din Top LIVE",IF(Y145="PASS","DEFENSIV validat",IF(W145="OOS PENDING","Eligibil; calibrare linie in monitorizare","Eligibil"))))))))))</x:f>
      </x:c>
      <x:c r="AI145" s="2" t="str">
        <x:f>IF(B145="","",'Calibrare_Linii'!V19)</x:f>
      </x:c>
      <x:c r="AJ145" s="2" t="str">
        <x:f>IF(B145="","",IF(AND('Calibrare_Linii'!T19="VALIDATED",AND('Calibrare_Linii'!H19=C145,ISNUMBER('Calibrare_Linii'!J19),'Calibrare_Linii'!J19&lt;='Input_Meci'!G15)),"DEFENSIVE VALIDATED",IF(AND('Calibrare_Linii'!S19="VALIDATED",AND('Calibrare_Linii'!H19=C145,ISNUMBER('Calibrare_Linii'!J19),'Calibrare_Linii'!J19&lt;='Input_Meci'!G15)),"TAIL VALIDATED","OOS PENDING")))</x:f>
      </x:c>
      <x:c r="AK145" s="2" t="n">
        <x:f>IF(J145&lt;&gt;"PASS",0,'Motor_Meciuri'!BR15)</x:f>
        <x:v>0</x:v>
      </x:c>
      <x:c r="AL145" s="2" t="n">
        <x:f>IF(J145&lt;&gt;"PASS",0,'Motor_Meciuri'!BS15)</x:f>
        <x:v>0</x:v>
      </x:c>
      <x:c r="AM145" s="2" t="n">
        <x:f>IF(J145&lt;&gt;"PASS",0,'Motor_Meciuri'!BT15)</x:f>
        <x:v>0</x:v>
      </x:c>
      <x:c r="AN145" s="2" t="str">
        <x:f>IF(M145="","",MAX(0,'Motor_Meciuri'!BF15-IF(L145&gt;'Config_v6'!$B$12,'Config_v6'!$B$37,IF(L145&gt;'Config_v6'!$B$11,'Config_v6'!$B$36,0))))</x:f>
      </x:c>
    </x:row>
    <x:row r="146" ht="21" customHeight="1">
      <x:c r="A146" s="2" t="n">
        <x:v>11</x:v>
      </x:c>
      <x:c r="B146" s="2" t="str">
        <x:f>IF('Motor_Meciuri'!A16="","",'Motor_Meciuri'!A16)</x:f>
      </x:c>
      <x:c r="C146" s="2" t="str">
        <x:f>IF(B146="","",'Motor_Meciuri'!B16)</x:f>
      </x:c>
      <x:c r="D146" s="2" t="str">
        <x:f>IF(B146="","",'Motor_Meciuri'!D16)</x:f>
      </x:c>
      <x:c r="E146" s="2" t="str">
        <x:f>IF(B146="","",'Motor_Meciuri'!E16)</x:f>
      </x:c>
      <x:c r="F146" s="2" t="str">
        <x:v>O3,5</x:v>
      </x:c>
      <x:c r="G146" s="2" t="str">
        <x:v>OVER</x:v>
      </x:c>
      <x:c r="H146" s="2" t="n">
        <x:v>3</x:v>
      </x:c>
      <x:c r="I146" s="2" t="str">
        <x:f>IF(B146="","",'Motor_Meciuri'!H16)</x:f>
      </x:c>
      <x:c r="J146" s="2" t="str">
        <x:f>IF(B146="","",'Motor_Meciuri'!I16)</x:f>
      </x:c>
      <x:c r="K146" s="11" t="str">
        <x:f>IF(J146&lt;&gt;"PASS","",'Motor_Meciuri'!BD16)</x:f>
      </x:c>
      <x:c r="L146" s="11" t="str">
        <x:f>IF(J146&lt;&gt;"PASS","",'Motor_Meciuri'!AU16)</x:f>
      </x:c>
      <x:c r="M146" s="10" t="str">
        <x:f>IF(NOT(AND(J146="PASS",'Calibrare_Linii'!U6="VALID")),"",1-'Distributie'!AA16)</x:f>
      </x:c>
      <x:c r="N146" s="10" t="str">
        <x:f>IF(M146="","",MAX(0.01,MIN(0.99,0.5+(M146-0.5)*'Motor_Meciuri'!BG16*'Calibrare_Linii'!D6)))</x:f>
      </x:c>
      <x:c r="O146" s="10" t="str">
        <x:f>IF(M146="","",1-M146)</x:f>
      </x:c>
      <x:c r="P146" s="10" t="str">
        <x:f>IF(OR(NOT(AND(J146="PASS",'Calibrare_Linii'!U6="VALID")),AK146=0),""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*('Istoric_Nativ'!$Q$6:$Q$405&lt;=H146))/AK146)</x:f>
      </x:c>
      <x:c r="Q146" s="10" t="str">
        <x:f>IF(OR(NOT(AND(J146="PASS",'Calibrare_Linii'!U6="VALID")),AL146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M16)+((('Istoric_Nativ'!$E$6:$E$405='Input_Meci'!E16)+('Istoric_Nativ'!$F$6:$F$405='Input_Meci'!E16))&gt;0)*('Istoric_Nativ'!$D$6:$D$405&gt;='Motor_Meciuri'!BN16))&gt;0)*('Istoric_Nativ'!$Q$6:$Q$405&lt;=H146))/AL146)</x:f>
      </x:c>
      <x:c r="R146" s="10" t="str">
        <x:f>IF(OR(NOT(AND(J146="PASS",'Calibrare_Linii'!U6="VALID")),AM146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O16)+((('Istoric_Nativ'!$E$6:$E$405='Input_Meci'!E16)+('Istoric_Nativ'!$F$6:$F$405='Input_Meci'!E16))&gt;0)*('Istoric_Nativ'!$D$6:$D$405&gt;='Motor_Meciuri'!BP16))&gt;0)*('Istoric_Nativ'!$Q$6:$Q$405&lt;=H146))/AM146)</x:f>
      </x:c>
      <x:c r="S146" s="10" t="str">
        <x:f>IF(M146="","",MAX(O146,P146,Q146,R146))</x:f>
      </x:c>
      <x:c r="T146" s="11" t="str">
        <x:f>IF(M146="","",MIN(100,S146*100*'Config_v6'!$B$44+MIN(100,L146/'Config_v6'!$B$13*100)*'Config_v6'!$B$45+(100-'Motor_Meciuri'!BF16)*'Config_v6'!$B$46+'Motor_Meciuri'!BH16*100*'Config_v6'!$B$47))</x:f>
      </x:c>
      <x:c r="U146" s="2" t="str">
        <x:f>IF(T146="","",IF(T146&lt;=20,1,IF(T146&lt;=40,2,IF(T146&lt;=60,3,IF(T146&lt;=80,4,5)))))</x:f>
      </x:c>
      <x:c r="V146" s="2" t="str">
        <x:f>IF(M146="","",MAX(0,'Motor_Meciuri'!BF16-IF(W146="OOS PENDING",'Config_v6'!$B$35,0)-IF(L146&gt;'Config_v6'!$B$12,'Config_v6'!$B$37,IF(L146&gt;'Config_v6'!$B$11,'Config_v6'!$B$36,0))))</x:f>
      </x:c>
      <x:c r="W146" s="2" t="str">
        <x:f>IF(B146="","",IF(I146&lt;&gt;"READY","NOT RELEASED",IF(NOT(AND(J146="PASS",'Calibrare_Linii'!U6="VALID")),"INVALID",IF(NOT(TRUE),"OOS PENDING",IF(S146&lt;=IF(AND('Calibrare_Linii'!S6="VALIDATED",AND('Calibrare_Linii'!H6=C146,ISNUMBER('Calibrare_Linii'!J6),'Calibrare_Linii'!J6&lt;='Input_Meci'!G16)),'Calibrare_Linii'!E6,'Config_v6'!$B$26),"PASS",IF(S146&lt;=IF(AND('Calibrare_Linii'!S6="VALIDATED",AND('Calibrare_Linii'!H6=C146,ISNUMBER('Calibrare_Linii'!J6),'Calibrare_Linii'!J6&lt;='Input_Meci'!G16)),'Calibrare_Linii'!F6,'Config_v6'!$C$26),"PENALTY","WATCH"))))))</x:f>
      </x:c>
      <x:c r="X146" s="2" t="str">
        <x:f>IF(M146="","",IF(AND(AND(J146="PASS",'Calibrare_Linii'!U6="VALID"),'Motor_Meciuri'!K16=12,'Motor_Meciuri'!L16=12,'Motor_Meciuri'!M16="NO",'Motor_Meciuri'!BL16='Motor_Meciuri'!C16,AB146&gt;='Config_v6'!$B$50,AN146&gt;='Config_v6'!$B$51,T146&lt;='Config_v6'!$B$52,L146&lt;='Config_v6'!$B$53,ISNUMBER('Calibrare_Linii'!E6),S146&lt;='Calibrare_Linii'!E6,SUM(AK146:AM146)&gt;0),"CANDIDATE","NO"))</x:f>
      </x:c>
      <x:c r="Y146" s="2" t="str">
        <x:f>IF(B146="","",IF(I146&lt;&gt;"READY","NOT RELEASED",IF(AND(X146="CANDIDATE",V146&gt;='Config_v6'!$B$51,W146="PASS",'Calibrare_Linii'!T6="VALIDATED",AND('Calibrare_Linii'!H6=C146,ISNUMBER('Calibrare_Linii'!J6),'Calibrare_Linii'!J6&lt;='Input_Meci'!G16)),"PASS",IF(X146="CANDIDATE","OOS PENDING","FAIL"))))</x:f>
      </x:c>
      <x:c r="Z146" s="2" t="str">
        <x:f>IF(B146="","",IF(I146&lt;&gt;"READY","",IF(OR(NOT(AND(J146="PASS",'Calibrare_Linii'!U6="VALID")),L146&gt;'Config_v6'!$B$13,W146="WATCH"),5,IF(Y146="PASS",1,MIN(5,MAX('Config_v6'!$B$42,U146)+IF(W146="PENALTY",1,0))))))</x:f>
      </x:c>
      <x:c r="AA146" s="2" t="str">
        <x:f>IF(B146="","",IF(I146&lt;&gt;"READY","NOT RELEASED",IF(Z146=5,"NO BET",IF(OR(AB146&lt;'Config_v6'!$B$16,V146&lt;'Config_v6'!$B$18),"WATCH",IF(Z146=1,"DEFENSIV",IF(Z146=2,"PRUDENT",IF(Z146=3,"MODERAT","RIDICAT")))))))</x:f>
      </x:c>
      <x:c r="AB146" s="10" t="str">
        <x:f>IF(N146="","",MIN(N146,1-S146))</x:f>
      </x:c>
      <x:c r="AC146" s="2" t="str">
        <x:f>IF(AD146&lt;&gt;1,"",COUNTIFS($Z$146:$Z$159,"&lt;"&amp;Z146,$AD$146:$AD$159,1)+COUNTIFS($Z$146:$Z$159,Z146,$AB$146:$AB$159,"&gt;"&amp;AB146,$AD$146:$AD$159,1)+COUNTIFS($Z$146:$Z$159,Z146,$AB$146:$AB$159,AB146,$V$146:$V$159,"&gt;"&amp;V146,$AD$146:$AD$159,1)+COUNTIFS($Z$146:Z146,Z146,$AB$146:AB146,AB146,$V$146:V146,V146,$AD$146:AD146,1))</x:f>
      </x:c>
      <x:c r="AD146" s="2" t="n">
        <x:f>IF(OR(AA146="DEFENSIV",AA146="PRUDENT",AA146="MODERAT",AA146="RIDICAT"),1,0)</x:f>
        <x:v>0</x:v>
      </x:c>
      <x:c r="AE146" s="2" t="str">
        <x:f>IF(AD146&lt;&gt;1,"NO",IF(W146="PASS","YES",IF(W146="OOS PENDING","CONDITIONAL","NO")))</x:f>
        <x:v>NO</x:v>
      </x:c>
      <x:c r="AF146" s="2" t="n">
        <x:f>IF(AND(AD146=1,AC146=1,E146="LIVE"),1,0)</x:f>
        <x:v>0</x:v>
      </x:c>
      <x:c r="AG146" s="2" t="str">
        <x:f>IF(AF146&lt;&gt;1,"",'Dashboard'!P36)</x:f>
      </x:c>
      <x:c r="AH146" s="2" t="str">
        <x:f>IF(B146="","",IF(J146&lt;&gt;"PASS",'Motor_Meciuri'!J16,IF('Calibrare_Linii'!U6&lt;&gt;"VALID","Parametri linie invalizi",IF(L146&gt;'Config_v6'!$B$13,"Dispersie peste limita",IF(W146="WATCH","Failure peste limita",IF(AB146&lt;'Config_v6'!$B$16,"P finala sub prag",IF(V146&lt;'Config_v6'!$B$18,"Confidence sub prag",IF(E146="REPLAY","Exemplu retrospectiv; exclus din Top LIVE",IF(Y146="PASS","DEFENSIV validat",IF(W146="OOS PENDING","Eligibil; calibrare linie in monitorizare","Eligibil"))))))))))</x:f>
      </x:c>
      <x:c r="AI146" s="2" t="str">
        <x:f>IF(B146="","",'Calibrare_Linii'!V6)</x:f>
      </x:c>
      <x:c r="AJ146" s="2" t="str">
        <x:f>IF(B146="","",IF(AND('Calibrare_Linii'!T6="VALIDATED",AND('Calibrare_Linii'!H6=C146,ISNUMBER('Calibrare_Linii'!J6),'Calibrare_Linii'!J6&lt;='Input_Meci'!G16)),"DEFENSIVE VALIDATED",IF(AND('Calibrare_Linii'!S6="VALIDATED",AND('Calibrare_Linii'!H6=C146,ISNUMBER('Calibrare_Linii'!J6),'Calibrare_Linii'!J6&lt;='Input_Meci'!G16)),"TAIL VALIDATED","OOS PENDING")))</x:f>
      </x:c>
      <x:c r="AK146" s="2" t="n">
        <x:f>IF(J146&lt;&gt;"PASS",0,'Motor_Meciuri'!BR16)</x:f>
        <x:v>0</x:v>
      </x:c>
      <x:c r="AL146" s="2" t="n">
        <x:f>IF(J146&lt;&gt;"PASS",0,'Motor_Meciuri'!BS16)</x:f>
        <x:v>0</x:v>
      </x:c>
      <x:c r="AM146" s="2" t="n">
        <x:f>IF(J146&lt;&gt;"PASS",0,'Motor_Meciuri'!BT16)</x:f>
        <x:v>0</x:v>
      </x:c>
      <x:c r="AN146" s="2" t="str">
        <x:f>IF(M146="","",MAX(0,'Motor_Meciuri'!BF16-IF(L146&gt;'Config_v6'!$B$12,'Config_v6'!$B$37,IF(L146&gt;'Config_v6'!$B$11,'Config_v6'!$B$36,0))))</x:f>
      </x:c>
    </x:row>
    <x:row r="147" ht="21" customHeight="1">
      <x:c r="A147" s="2" t="n">
        <x:v>11</x:v>
      </x:c>
      <x:c r="B147" s="2" t="str">
        <x:f>IF('Motor_Meciuri'!A16="","",'Motor_Meciuri'!A16)</x:f>
      </x:c>
      <x:c r="C147" s="2" t="str">
        <x:f>IF(B147="","",'Motor_Meciuri'!B16)</x:f>
      </x:c>
      <x:c r="D147" s="2" t="str">
        <x:f>IF(B147="","",'Motor_Meciuri'!D16)</x:f>
      </x:c>
      <x:c r="E147" s="2" t="str">
        <x:f>IF(B147="","",'Motor_Meciuri'!E16)</x:f>
      </x:c>
      <x:c r="F147" s="2" t="str">
        <x:v>O4,5</x:v>
      </x:c>
      <x:c r="G147" s="2" t="str">
        <x:v>OVER</x:v>
      </x:c>
      <x:c r="H147" s="2" t="n">
        <x:v>4</x:v>
      </x:c>
      <x:c r="I147" s="2" t="str">
        <x:f>IF(B147="","",'Motor_Meciuri'!H16)</x:f>
      </x:c>
      <x:c r="J147" s="2" t="str">
        <x:f>IF(B147="","",'Motor_Meciuri'!I16)</x:f>
      </x:c>
      <x:c r="K147" s="11" t="str">
        <x:f>IF(J147&lt;&gt;"PASS","",'Motor_Meciuri'!BD16)</x:f>
      </x:c>
      <x:c r="L147" s="11" t="str">
        <x:f>IF(J147&lt;&gt;"PASS","",'Motor_Meciuri'!AU16)</x:f>
      </x:c>
      <x:c r="M147" s="10" t="str">
        <x:f>IF(NOT(AND(J147="PASS",'Calibrare_Linii'!U7="VALID")),"",1-'Distributie'!AB16)</x:f>
      </x:c>
      <x:c r="N147" s="10" t="str">
        <x:f>IF(M147="","",MAX(0.01,MIN(0.99,0.5+(M147-0.5)*'Motor_Meciuri'!BG16*'Calibrare_Linii'!D7)))</x:f>
      </x:c>
      <x:c r="O147" s="10" t="str">
        <x:f>IF(M147="","",1-M147)</x:f>
      </x:c>
      <x:c r="P147" s="10" t="str">
        <x:f>IF(OR(NOT(AND(J147="PASS",'Calibrare_Linii'!U7="VALID")),AK147=0),""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*('Istoric_Nativ'!$Q$6:$Q$405&lt;=H147))/AK147)</x:f>
      </x:c>
      <x:c r="Q147" s="10" t="str">
        <x:f>IF(OR(NOT(AND(J147="PASS",'Calibrare_Linii'!U7="VALID")),AL147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M16)+((('Istoric_Nativ'!$E$6:$E$405='Input_Meci'!E16)+('Istoric_Nativ'!$F$6:$F$405='Input_Meci'!E16))&gt;0)*('Istoric_Nativ'!$D$6:$D$405&gt;='Motor_Meciuri'!BN16))&gt;0)*('Istoric_Nativ'!$Q$6:$Q$405&lt;=H147))/AL147)</x:f>
      </x:c>
      <x:c r="R147" s="10" t="str">
        <x:f>IF(OR(NOT(AND(J147="PASS",'Calibrare_Linii'!U7="VALID")),AM147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O16)+((('Istoric_Nativ'!$E$6:$E$405='Input_Meci'!E16)+('Istoric_Nativ'!$F$6:$F$405='Input_Meci'!E16))&gt;0)*('Istoric_Nativ'!$D$6:$D$405&gt;='Motor_Meciuri'!BP16))&gt;0)*('Istoric_Nativ'!$Q$6:$Q$405&lt;=H147))/AM147)</x:f>
      </x:c>
      <x:c r="S147" s="10" t="str">
        <x:f>IF(M147="","",MAX(O147,P147,Q147,R147))</x:f>
      </x:c>
      <x:c r="T147" s="11" t="str">
        <x:f>IF(M147="","",MIN(100,S147*100*'Config_v6'!$B$44+MIN(100,L147/'Config_v6'!$B$13*100)*'Config_v6'!$B$45+(100-'Motor_Meciuri'!BF16)*'Config_v6'!$B$46+'Motor_Meciuri'!BH16*100*'Config_v6'!$B$47))</x:f>
      </x:c>
      <x:c r="U147" s="2" t="str">
        <x:f>IF(T147="","",IF(T147&lt;=20,1,IF(T147&lt;=40,2,IF(T147&lt;=60,3,IF(T147&lt;=80,4,5)))))</x:f>
      </x:c>
      <x:c r="V147" s="2" t="str">
        <x:f>IF(M147="","",MAX(0,'Motor_Meciuri'!BF16-IF(W147="OOS PENDING",'Config_v6'!$B$35,0)-IF(L147&gt;'Config_v6'!$B$12,'Config_v6'!$B$37,IF(L147&gt;'Config_v6'!$B$11,'Config_v6'!$B$36,0))))</x:f>
      </x:c>
      <x:c r="W147" s="2" t="str">
        <x:f>IF(B147="","",IF(I147&lt;&gt;"READY","NOT RELEASED",IF(NOT(AND(J147="PASS",'Calibrare_Linii'!U7="VALID")),"INVALID",IF(NOT(AND('Calibrare_Linii'!S7="VALIDATED",AND('Calibrare_Linii'!H7=C147,ISNUMBER('Calibrare_Linii'!J7),'Calibrare_Linii'!J7&lt;='Input_Meci'!G16))),"OOS PENDING",IF(S147&lt;='Calibrare_Linii'!E7,"PASS",IF(S147&lt;='Calibrare_Linii'!F7,"PENALTY","WATCH"))))))</x:f>
      </x:c>
      <x:c r="X147" s="2" t="str">
        <x:f>IF(M147="","",IF(AND(AND(J147="PASS",'Calibrare_Linii'!U7="VALID"),'Motor_Meciuri'!K16=12,'Motor_Meciuri'!L16=12,'Motor_Meciuri'!M16="NO",'Motor_Meciuri'!BL16='Motor_Meciuri'!C16,AB147&gt;='Config_v6'!$B$50,AN147&gt;='Config_v6'!$B$51,T147&lt;='Config_v6'!$B$52,L147&lt;='Config_v6'!$B$53,ISNUMBER('Calibrare_Linii'!E7),S147&lt;='Calibrare_Linii'!E7,SUM(AK147:AM147)&gt;0),"CANDIDATE","NO"))</x:f>
      </x:c>
      <x:c r="Y147" s="2" t="str">
        <x:f>IF(B147="","",IF(I147&lt;&gt;"READY","NOT RELEASED",IF(AND(X147="CANDIDATE",V147&gt;='Config_v6'!$B$51,W147="PASS",'Calibrare_Linii'!T7="VALIDATED",AND('Calibrare_Linii'!H7=C147,ISNUMBER('Calibrare_Linii'!J7),'Calibrare_Linii'!J7&lt;='Input_Meci'!G16)),"PASS",IF(X147="CANDIDATE","OOS PENDING","FAIL"))))</x:f>
      </x:c>
      <x:c r="Z147" s="2" t="str">
        <x:f>IF(B147="","",IF(I147&lt;&gt;"READY","",IF(OR(NOT(AND(J147="PASS",'Calibrare_Linii'!U7="VALID")),L147&gt;'Config_v6'!$B$13,W147="WATCH"),5,IF(Y147="PASS",1,MIN(5,MAX('Config_v6'!$B$42,U147)+IF(W147="PENALTY",1,0))))))</x:f>
      </x:c>
      <x:c r="AA147" s="2" t="str">
        <x:f>IF(B147="","",IF(I147&lt;&gt;"READY","NOT RELEASED",IF(Z147=5,"NO BET",IF(OR(AB147&lt;'Config_v6'!$B$16,V147&lt;'Config_v6'!$B$18),"WATCH",IF(Z147=1,"DEFENSIV",IF(Z147=2,"PRUDENT",IF(Z147=3,"MODERAT","RIDICAT")))))))</x:f>
      </x:c>
      <x:c r="AB147" s="10" t="str">
        <x:f>IF(N147="","",MIN(N147,1-S147))</x:f>
      </x:c>
      <x:c r="AC147" s="2" t="str">
        <x:f>IF(AD147&lt;&gt;1,"",COUNTIFS($Z$146:$Z$159,"&lt;"&amp;Z147,$AD$146:$AD$159,1)+COUNTIFS($Z$146:$Z$159,Z147,$AB$146:$AB$159,"&gt;"&amp;AB147,$AD$146:$AD$159,1)+COUNTIFS($Z$146:$Z$159,Z147,$AB$146:$AB$159,AB147,$V$146:$V$159,"&gt;"&amp;V147,$AD$146:$AD$159,1)+COUNTIFS($Z$146:Z147,Z147,$AB$146:AB147,AB147,$V$146:V147,V147,$AD$146:AD147,1))</x:f>
      </x:c>
      <x:c r="AD147" s="2" t="n">
        <x:f>IF(OR(AA147="DEFENSIV",AA147="PRUDENT",AA147="MODERAT",AA147="RIDICAT"),1,0)</x:f>
        <x:v>0</x:v>
      </x:c>
      <x:c r="AE147" s="2" t="str">
        <x:f>IF(AD147&lt;&gt;1,"NO",IF(W147="PASS","YES",IF(W147="OOS PENDING","CONDITIONAL","NO")))</x:f>
        <x:v>NO</x:v>
      </x:c>
      <x:c r="AF147" s="2" t="n">
        <x:f>IF(AND(AD147=1,AC147=1,E147="LIVE"),1,0)</x:f>
        <x:v>0</x:v>
      </x:c>
      <x:c r="AG147" s="2" t="str">
        <x:f>IF(AF147&lt;&gt;1,"",'Dashboard'!P36)</x:f>
      </x:c>
      <x:c r="AH147" s="2" t="str">
        <x:f>IF(B147="","",IF(J147&lt;&gt;"PASS",'Motor_Meciuri'!J16,IF('Calibrare_Linii'!U7&lt;&gt;"VALID","Parametri linie invalizi",IF(L147&gt;'Config_v6'!$B$13,"Dispersie peste limita",IF(W147="WATCH","Failure peste limita",IF(AB147&lt;'Config_v6'!$B$16,"P finala sub prag",IF(V147&lt;'Config_v6'!$B$18,"Confidence sub prag",IF(E147="REPLAY","Exemplu retrospectiv; exclus din Top LIVE",IF(Y147="PASS","DEFENSIV validat",IF(W147="OOS PENDING","Eligibil; calibrare linie in monitorizare","Eligibil"))))))))))</x:f>
      </x:c>
      <x:c r="AI147" s="2" t="str">
        <x:f>IF(B147="","",'Calibrare_Linii'!V7)</x:f>
      </x:c>
      <x:c r="AJ147" s="2" t="str">
        <x:f>IF(B147="","",IF(AND('Calibrare_Linii'!T7="VALIDATED",AND('Calibrare_Linii'!H7=C147,ISNUMBER('Calibrare_Linii'!J7),'Calibrare_Linii'!J7&lt;='Input_Meci'!G16)),"DEFENSIVE VALIDATED",IF(AND('Calibrare_Linii'!S7="VALIDATED",AND('Calibrare_Linii'!H7=C147,ISNUMBER('Calibrare_Linii'!J7),'Calibrare_Linii'!J7&lt;='Input_Meci'!G16)),"TAIL VALIDATED","OOS PENDING")))</x:f>
      </x:c>
      <x:c r="AK147" s="2" t="n">
        <x:f>IF(J147&lt;&gt;"PASS",0,'Motor_Meciuri'!BR16)</x:f>
        <x:v>0</x:v>
      </x:c>
      <x:c r="AL147" s="2" t="n">
        <x:f>IF(J147&lt;&gt;"PASS",0,'Motor_Meciuri'!BS16)</x:f>
        <x:v>0</x:v>
      </x:c>
      <x:c r="AM147" s="2" t="n">
        <x:f>IF(J147&lt;&gt;"PASS",0,'Motor_Meciuri'!BT16)</x:f>
        <x:v>0</x:v>
      </x:c>
      <x:c r="AN147" s="2" t="str">
        <x:f>IF(M147="","",MAX(0,'Motor_Meciuri'!BF16-IF(L147&gt;'Config_v6'!$B$12,'Config_v6'!$B$37,IF(L147&gt;'Config_v6'!$B$11,'Config_v6'!$B$36,0))))</x:f>
      </x:c>
    </x:row>
    <x:row r="148" ht="21" customHeight="1">
      <x:c r="A148" s="2" t="n">
        <x:v>11</x:v>
      </x:c>
      <x:c r="B148" s="2" t="str">
        <x:f>IF('Motor_Meciuri'!A16="","",'Motor_Meciuri'!A16)</x:f>
      </x:c>
      <x:c r="C148" s="2" t="str">
        <x:f>IF(B148="","",'Motor_Meciuri'!B16)</x:f>
      </x:c>
      <x:c r="D148" s="2" t="str">
        <x:f>IF(B148="","",'Motor_Meciuri'!D16)</x:f>
      </x:c>
      <x:c r="E148" s="2" t="str">
        <x:f>IF(B148="","",'Motor_Meciuri'!E16)</x:f>
      </x:c>
      <x:c r="F148" s="2" t="str">
        <x:v>O5,5</x:v>
      </x:c>
      <x:c r="G148" s="2" t="str">
        <x:v>OVER</x:v>
      </x:c>
      <x:c r="H148" s="2" t="n">
        <x:v>5</x:v>
      </x:c>
      <x:c r="I148" s="2" t="str">
        <x:f>IF(B148="","",'Motor_Meciuri'!H16)</x:f>
      </x:c>
      <x:c r="J148" s="2" t="str">
        <x:f>IF(B148="","",'Motor_Meciuri'!I16)</x:f>
      </x:c>
      <x:c r="K148" s="11" t="str">
        <x:f>IF(J148&lt;&gt;"PASS","",'Motor_Meciuri'!BD16)</x:f>
      </x:c>
      <x:c r="L148" s="11" t="str">
        <x:f>IF(J148&lt;&gt;"PASS","",'Motor_Meciuri'!AU16)</x:f>
      </x:c>
      <x:c r="M148" s="10" t="str">
        <x:f>IF(NOT(AND(J148="PASS",'Calibrare_Linii'!U8="VALID")),"",1-'Distributie'!AC16)</x:f>
      </x:c>
      <x:c r="N148" s="10" t="str">
        <x:f>IF(M148="","",MAX(0.01,MIN(0.99,0.5+(M148-0.5)*'Motor_Meciuri'!BG16*'Calibrare_Linii'!D8)))</x:f>
      </x:c>
      <x:c r="O148" s="10" t="str">
        <x:f>IF(M148="","",1-M148)</x:f>
      </x:c>
      <x:c r="P148" s="10" t="str">
        <x:f>IF(OR(NOT(AND(J148="PASS",'Calibrare_Linii'!U8="VALID")),AK148=0),""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*('Istoric_Nativ'!$Q$6:$Q$405&lt;=H148))/AK148)</x:f>
      </x:c>
      <x:c r="Q148" s="10" t="str">
        <x:f>IF(OR(NOT(AND(J148="PASS",'Calibrare_Linii'!U8="VALID")),AL148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M16)+((('Istoric_Nativ'!$E$6:$E$405='Input_Meci'!E16)+('Istoric_Nativ'!$F$6:$F$405='Input_Meci'!E16))&gt;0)*('Istoric_Nativ'!$D$6:$D$405&gt;='Motor_Meciuri'!BN16))&gt;0)*('Istoric_Nativ'!$Q$6:$Q$405&lt;=H148))/AL148)</x:f>
      </x:c>
      <x:c r="R148" s="10" t="str">
        <x:f>IF(OR(NOT(AND(J148="PASS",'Calibrare_Linii'!U8="VALID")),AM148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O16)+((('Istoric_Nativ'!$E$6:$E$405='Input_Meci'!E16)+('Istoric_Nativ'!$F$6:$F$405='Input_Meci'!E16))&gt;0)*('Istoric_Nativ'!$D$6:$D$405&gt;='Motor_Meciuri'!BP16))&gt;0)*('Istoric_Nativ'!$Q$6:$Q$405&lt;=H148))/AM148)</x:f>
      </x:c>
      <x:c r="S148" s="10" t="str">
        <x:f>IF(M148="","",MAX(O148,P148,Q148,R148))</x:f>
      </x:c>
      <x:c r="T148" s="11" t="str">
        <x:f>IF(M148="","",MIN(100,S148*100*'Config_v6'!$B$44+MIN(100,L148/'Config_v6'!$B$13*100)*'Config_v6'!$B$45+(100-'Motor_Meciuri'!BF16)*'Config_v6'!$B$46+'Motor_Meciuri'!BH16*100*'Config_v6'!$B$47))</x:f>
      </x:c>
      <x:c r="U148" s="2" t="str">
        <x:f>IF(T148="","",IF(T148&lt;=20,1,IF(T148&lt;=40,2,IF(T148&lt;=60,3,IF(T148&lt;=80,4,5)))))</x:f>
      </x:c>
      <x:c r="V148" s="2" t="str">
        <x:f>IF(M148="","",MAX(0,'Motor_Meciuri'!BF16-IF(W148="OOS PENDING",'Config_v6'!$B$35,0)-IF(L148&gt;'Config_v6'!$B$12,'Config_v6'!$B$37,IF(L148&gt;'Config_v6'!$B$11,'Config_v6'!$B$36,0))))</x:f>
      </x:c>
      <x:c r="W148" s="2" t="str">
        <x:f>IF(B148="","",IF(I148&lt;&gt;"READY","NOT RELEASED",IF(NOT(AND(J148="PASS",'Calibrare_Linii'!U8="VALID")),"INVALID",IF(NOT(AND('Calibrare_Linii'!S8="VALIDATED",AND('Calibrare_Linii'!H8=C148,ISNUMBER('Calibrare_Linii'!J8),'Calibrare_Linii'!J8&lt;='Input_Meci'!G16))),"OOS PENDING",IF(S148&lt;='Calibrare_Linii'!E8,"PASS",IF(S148&lt;='Calibrare_Linii'!F8,"PENALTY","WATCH"))))))</x:f>
      </x:c>
      <x:c r="X148" s="2" t="str">
        <x:f>IF(M148="","",IF(AND(AND(J148="PASS",'Calibrare_Linii'!U8="VALID"),'Motor_Meciuri'!K16=12,'Motor_Meciuri'!L16=12,'Motor_Meciuri'!M16="NO",'Motor_Meciuri'!BL16='Motor_Meciuri'!C16,AB148&gt;='Config_v6'!$B$50,AN148&gt;='Config_v6'!$B$51,T148&lt;='Config_v6'!$B$52,L148&lt;='Config_v6'!$B$53,ISNUMBER('Calibrare_Linii'!E8),S148&lt;='Calibrare_Linii'!E8,SUM(AK148:AM148)&gt;0),"CANDIDATE","NO"))</x:f>
      </x:c>
      <x:c r="Y148" s="2" t="str">
        <x:f>IF(B148="","",IF(I148&lt;&gt;"READY","NOT RELEASED",IF(AND(X148="CANDIDATE",V148&gt;='Config_v6'!$B$51,W148="PASS",'Calibrare_Linii'!T8="VALIDATED",AND('Calibrare_Linii'!H8=C148,ISNUMBER('Calibrare_Linii'!J8),'Calibrare_Linii'!J8&lt;='Input_Meci'!G16)),"PASS",IF(X148="CANDIDATE","OOS PENDING","FAIL"))))</x:f>
      </x:c>
      <x:c r="Z148" s="2" t="str">
        <x:f>IF(B148="","",IF(I148&lt;&gt;"READY","",IF(OR(NOT(AND(J148="PASS",'Calibrare_Linii'!U8="VALID")),L148&gt;'Config_v6'!$B$13,W148="WATCH"),5,IF(Y148="PASS",1,MIN(5,MAX('Config_v6'!$B$42,U148)+IF(W148="PENALTY",1,0))))))</x:f>
      </x:c>
      <x:c r="AA148" s="2" t="str">
        <x:f>IF(B148="","",IF(I148&lt;&gt;"READY","NOT RELEASED",IF(Z148=5,"NO BET",IF(OR(AB148&lt;'Config_v6'!$B$16,V148&lt;'Config_v6'!$B$18),"WATCH",IF(Z148=1,"DEFENSIV",IF(Z148=2,"PRUDENT",IF(Z148=3,"MODERAT","RIDICAT")))))))</x:f>
      </x:c>
      <x:c r="AB148" s="10" t="str">
        <x:f>IF(N148="","",MIN(N148,1-S148))</x:f>
      </x:c>
      <x:c r="AC148" s="2" t="str">
        <x:f>IF(AD148&lt;&gt;1,"",COUNTIFS($Z$146:$Z$159,"&lt;"&amp;Z148,$AD$146:$AD$159,1)+COUNTIFS($Z$146:$Z$159,Z148,$AB$146:$AB$159,"&gt;"&amp;AB148,$AD$146:$AD$159,1)+COUNTIFS($Z$146:$Z$159,Z148,$AB$146:$AB$159,AB148,$V$146:$V$159,"&gt;"&amp;V148,$AD$146:$AD$159,1)+COUNTIFS($Z$146:Z148,Z148,$AB$146:AB148,AB148,$V$146:V148,V148,$AD$146:AD148,1))</x:f>
      </x:c>
      <x:c r="AD148" s="2" t="n">
        <x:f>IF(OR(AA148="DEFENSIV",AA148="PRUDENT",AA148="MODERAT",AA148="RIDICAT"),1,0)</x:f>
        <x:v>0</x:v>
      </x:c>
      <x:c r="AE148" s="2" t="str">
        <x:f>IF(AD148&lt;&gt;1,"NO",IF(W148="PASS","YES",IF(W148="OOS PENDING","CONDITIONAL","NO")))</x:f>
        <x:v>NO</x:v>
      </x:c>
      <x:c r="AF148" s="2" t="n">
        <x:f>IF(AND(AD148=1,AC148=1,E148="LIVE"),1,0)</x:f>
        <x:v>0</x:v>
      </x:c>
      <x:c r="AG148" s="2" t="str">
        <x:f>IF(AF148&lt;&gt;1,"",'Dashboard'!P36)</x:f>
      </x:c>
      <x:c r="AH148" s="2" t="str">
        <x:f>IF(B148="","",IF(J148&lt;&gt;"PASS",'Motor_Meciuri'!J16,IF('Calibrare_Linii'!U8&lt;&gt;"VALID","Parametri linie invalizi",IF(L148&gt;'Config_v6'!$B$13,"Dispersie peste limita",IF(W148="WATCH","Failure peste limita",IF(AB148&lt;'Config_v6'!$B$16,"P finala sub prag",IF(V148&lt;'Config_v6'!$B$18,"Confidence sub prag",IF(E148="REPLAY","Exemplu retrospectiv; exclus din Top LIVE",IF(Y148="PASS","DEFENSIV validat",IF(W148="OOS PENDING","Eligibil; calibrare linie in monitorizare","Eligibil"))))))))))</x:f>
      </x:c>
      <x:c r="AI148" s="2" t="str">
        <x:f>IF(B148="","",'Calibrare_Linii'!V8)</x:f>
      </x:c>
      <x:c r="AJ148" s="2" t="str">
        <x:f>IF(B148="","",IF(AND('Calibrare_Linii'!T8="VALIDATED",AND('Calibrare_Linii'!H8=C148,ISNUMBER('Calibrare_Linii'!J8),'Calibrare_Linii'!J8&lt;='Input_Meci'!G16)),"DEFENSIVE VALIDATED",IF(AND('Calibrare_Linii'!S8="VALIDATED",AND('Calibrare_Linii'!H8=C148,ISNUMBER('Calibrare_Linii'!J8),'Calibrare_Linii'!J8&lt;='Input_Meci'!G16)),"TAIL VALIDATED","OOS PENDING")))</x:f>
      </x:c>
      <x:c r="AK148" s="2" t="n">
        <x:f>IF(J148&lt;&gt;"PASS",0,'Motor_Meciuri'!BR16)</x:f>
        <x:v>0</x:v>
      </x:c>
      <x:c r="AL148" s="2" t="n">
        <x:f>IF(J148&lt;&gt;"PASS",0,'Motor_Meciuri'!BS16)</x:f>
        <x:v>0</x:v>
      </x:c>
      <x:c r="AM148" s="2" t="n">
        <x:f>IF(J148&lt;&gt;"PASS",0,'Motor_Meciuri'!BT16)</x:f>
        <x:v>0</x:v>
      </x:c>
      <x:c r="AN148" s="2" t="str">
        <x:f>IF(M148="","",MAX(0,'Motor_Meciuri'!BF16-IF(L148&gt;'Config_v6'!$B$12,'Config_v6'!$B$37,IF(L148&gt;'Config_v6'!$B$11,'Config_v6'!$B$36,0))))</x:f>
      </x:c>
    </x:row>
    <x:row r="149" ht="21" customHeight="1">
      <x:c r="A149" s="2" t="n">
        <x:v>11</x:v>
      </x:c>
      <x:c r="B149" s="2" t="str">
        <x:f>IF('Motor_Meciuri'!A16="","",'Motor_Meciuri'!A16)</x:f>
      </x:c>
      <x:c r="C149" s="2" t="str">
        <x:f>IF(B149="","",'Motor_Meciuri'!B16)</x:f>
      </x:c>
      <x:c r="D149" s="2" t="str">
        <x:f>IF(B149="","",'Motor_Meciuri'!D16)</x:f>
      </x:c>
      <x:c r="E149" s="2" t="str">
        <x:f>IF(B149="","",'Motor_Meciuri'!E16)</x:f>
      </x:c>
      <x:c r="F149" s="2" t="str">
        <x:v>O6,5</x:v>
      </x:c>
      <x:c r="G149" s="2" t="str">
        <x:v>OVER</x:v>
      </x:c>
      <x:c r="H149" s="2" t="n">
        <x:v>6</x:v>
      </x:c>
      <x:c r="I149" s="2" t="str">
        <x:f>IF(B149="","",'Motor_Meciuri'!H16)</x:f>
      </x:c>
      <x:c r="J149" s="2" t="str">
        <x:f>IF(B149="","",'Motor_Meciuri'!I16)</x:f>
      </x:c>
      <x:c r="K149" s="11" t="str">
        <x:f>IF(J149&lt;&gt;"PASS","",'Motor_Meciuri'!BD16)</x:f>
      </x:c>
      <x:c r="L149" s="11" t="str">
        <x:f>IF(J149&lt;&gt;"PASS","",'Motor_Meciuri'!AU16)</x:f>
      </x:c>
      <x:c r="M149" s="10" t="str">
        <x:f>IF(NOT(AND(J149="PASS",'Calibrare_Linii'!U9="VALID")),"",1-'Distributie'!AD16)</x:f>
      </x:c>
      <x:c r="N149" s="10" t="str">
        <x:f>IF(M149="","",MAX(0.01,MIN(0.99,0.5+(M149-0.5)*'Motor_Meciuri'!BG16*'Calibrare_Linii'!D9)))</x:f>
      </x:c>
      <x:c r="O149" s="10" t="str">
        <x:f>IF(M149="","",1-M149)</x:f>
      </x:c>
      <x:c r="P149" s="10" t="str">
        <x:f>IF(OR(NOT(AND(J149="PASS",'Calibrare_Linii'!U9="VALID")),AK149=0),""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*('Istoric_Nativ'!$Q$6:$Q$405&lt;=H149))/AK149)</x:f>
      </x:c>
      <x:c r="Q149" s="10" t="str">
        <x:f>IF(OR(NOT(AND(J149="PASS",'Calibrare_Linii'!U9="VALID")),AL149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M16)+((('Istoric_Nativ'!$E$6:$E$405='Input_Meci'!E16)+('Istoric_Nativ'!$F$6:$F$405='Input_Meci'!E16))&gt;0)*('Istoric_Nativ'!$D$6:$D$405&gt;='Motor_Meciuri'!BN16))&gt;0)*('Istoric_Nativ'!$Q$6:$Q$405&lt;=H149))/AL149)</x:f>
      </x:c>
      <x:c r="R149" s="10" t="str">
        <x:f>IF(OR(NOT(AND(J149="PASS",'Calibrare_Linii'!U9="VALID")),AM149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O16)+((('Istoric_Nativ'!$E$6:$E$405='Input_Meci'!E16)+('Istoric_Nativ'!$F$6:$F$405='Input_Meci'!E16))&gt;0)*('Istoric_Nativ'!$D$6:$D$405&gt;='Motor_Meciuri'!BP16))&gt;0)*('Istoric_Nativ'!$Q$6:$Q$405&lt;=H149))/AM149)</x:f>
      </x:c>
      <x:c r="S149" s="10" t="str">
        <x:f>IF(M149="","",MAX(O149,P149,Q149,R149))</x:f>
      </x:c>
      <x:c r="T149" s="11" t="str">
        <x:f>IF(M149="","",MIN(100,S149*100*'Config_v6'!$B$44+MIN(100,L149/'Config_v6'!$B$13*100)*'Config_v6'!$B$45+(100-'Motor_Meciuri'!BF16)*'Config_v6'!$B$46+'Motor_Meciuri'!BH16*100*'Config_v6'!$B$47))</x:f>
      </x:c>
      <x:c r="U149" s="2" t="str">
        <x:f>IF(T149="","",IF(T149&lt;=20,1,IF(T149&lt;=40,2,IF(T149&lt;=60,3,IF(T149&lt;=80,4,5)))))</x:f>
      </x:c>
      <x:c r="V149" s="2" t="str">
        <x:f>IF(M149="","",MAX(0,'Motor_Meciuri'!BF16-IF(W149="OOS PENDING",'Config_v6'!$B$35,0)-IF(L149&gt;'Config_v6'!$B$12,'Config_v6'!$B$37,IF(L149&gt;'Config_v6'!$B$11,'Config_v6'!$B$36,0))))</x:f>
      </x:c>
      <x:c r="W149" s="2" t="str">
        <x:f>IF(B149="","",IF(I149&lt;&gt;"READY","NOT RELEASED",IF(NOT(AND(J149="PASS",'Calibrare_Linii'!U9="VALID")),"INVALID",IF(NOT(AND('Calibrare_Linii'!S9="VALIDATED",AND('Calibrare_Linii'!H9=C149,ISNUMBER('Calibrare_Linii'!J9),'Calibrare_Linii'!J9&lt;='Input_Meci'!G16))),"OOS PENDING",IF(S149&lt;='Calibrare_Linii'!E9,"PASS",IF(S149&lt;='Calibrare_Linii'!F9,"PENALTY","WATCH"))))))</x:f>
      </x:c>
      <x:c r="X149" s="2" t="str">
        <x:f>IF(M149="","",IF(AND(AND(J149="PASS",'Calibrare_Linii'!U9="VALID"),'Motor_Meciuri'!K16=12,'Motor_Meciuri'!L16=12,'Motor_Meciuri'!M16="NO",'Motor_Meciuri'!BL16='Motor_Meciuri'!C16,AB149&gt;='Config_v6'!$B$50,AN149&gt;='Config_v6'!$B$51,T149&lt;='Config_v6'!$B$52,L149&lt;='Config_v6'!$B$53,ISNUMBER('Calibrare_Linii'!E9),S149&lt;='Calibrare_Linii'!E9,SUM(AK149:AM149)&gt;0),"CANDIDATE","NO"))</x:f>
      </x:c>
      <x:c r="Y149" s="2" t="str">
        <x:f>IF(B149="","",IF(I149&lt;&gt;"READY","NOT RELEASED",IF(AND(X149="CANDIDATE",V149&gt;='Config_v6'!$B$51,W149="PASS",'Calibrare_Linii'!T9="VALIDATED",AND('Calibrare_Linii'!H9=C149,ISNUMBER('Calibrare_Linii'!J9),'Calibrare_Linii'!J9&lt;='Input_Meci'!G16)),"PASS",IF(X149="CANDIDATE","OOS PENDING","FAIL"))))</x:f>
      </x:c>
      <x:c r="Z149" s="2" t="str">
        <x:f>IF(B149="","",IF(I149&lt;&gt;"READY","",IF(OR(NOT(AND(J149="PASS",'Calibrare_Linii'!U9="VALID")),L149&gt;'Config_v6'!$B$13,W149="WATCH"),5,IF(Y149="PASS",1,MIN(5,MAX('Config_v6'!$B$42,U149)+IF(W149="PENALTY",1,0))))))</x:f>
      </x:c>
      <x:c r="AA149" s="2" t="str">
        <x:f>IF(B149="","",IF(I149&lt;&gt;"READY","NOT RELEASED",IF(Z149=5,"NO BET",IF(OR(AB149&lt;'Config_v6'!$B$16,V149&lt;'Config_v6'!$B$18),"WATCH",IF(Z149=1,"DEFENSIV",IF(Z149=2,"PRUDENT",IF(Z149=3,"MODERAT","RIDICAT")))))))</x:f>
      </x:c>
      <x:c r="AB149" s="10" t="str">
        <x:f>IF(N149="","",MIN(N149,1-S149))</x:f>
      </x:c>
      <x:c r="AC149" s="2" t="str">
        <x:f>IF(AD149&lt;&gt;1,"",COUNTIFS($Z$146:$Z$159,"&lt;"&amp;Z149,$AD$146:$AD$159,1)+COUNTIFS($Z$146:$Z$159,Z149,$AB$146:$AB$159,"&gt;"&amp;AB149,$AD$146:$AD$159,1)+COUNTIFS($Z$146:$Z$159,Z149,$AB$146:$AB$159,AB149,$V$146:$V$159,"&gt;"&amp;V149,$AD$146:$AD$159,1)+COUNTIFS($Z$146:Z149,Z149,$AB$146:AB149,AB149,$V$146:V149,V149,$AD$146:AD149,1))</x:f>
      </x:c>
      <x:c r="AD149" s="2" t="n">
        <x:f>IF(OR(AA149="DEFENSIV",AA149="PRUDENT",AA149="MODERAT",AA149="RIDICAT"),1,0)</x:f>
        <x:v>0</x:v>
      </x:c>
      <x:c r="AE149" s="2" t="str">
        <x:f>IF(AD149&lt;&gt;1,"NO",IF(W149="PASS","YES",IF(W149="OOS PENDING","CONDITIONAL","NO")))</x:f>
        <x:v>NO</x:v>
      </x:c>
      <x:c r="AF149" s="2" t="n">
        <x:f>IF(AND(AD149=1,AC149=1,E149="LIVE"),1,0)</x:f>
        <x:v>0</x:v>
      </x:c>
      <x:c r="AG149" s="2" t="str">
        <x:f>IF(AF149&lt;&gt;1,"",'Dashboard'!P36)</x:f>
      </x:c>
      <x:c r="AH149" s="2" t="str">
        <x:f>IF(B149="","",IF(J149&lt;&gt;"PASS",'Motor_Meciuri'!J16,IF('Calibrare_Linii'!U9&lt;&gt;"VALID","Parametri linie invalizi",IF(L149&gt;'Config_v6'!$B$13,"Dispersie peste limita",IF(W149="WATCH","Failure peste limita",IF(AB149&lt;'Config_v6'!$B$16,"P finala sub prag",IF(V149&lt;'Config_v6'!$B$18,"Confidence sub prag",IF(E149="REPLAY","Exemplu retrospectiv; exclus din Top LIVE",IF(Y149="PASS","DEFENSIV validat",IF(W149="OOS PENDING","Eligibil; calibrare linie in monitorizare","Eligibil"))))))))))</x:f>
      </x:c>
      <x:c r="AI149" s="2" t="str">
        <x:f>IF(B149="","",'Calibrare_Linii'!V9)</x:f>
      </x:c>
      <x:c r="AJ149" s="2" t="str">
        <x:f>IF(B149="","",IF(AND('Calibrare_Linii'!T9="VALIDATED",AND('Calibrare_Linii'!H9=C149,ISNUMBER('Calibrare_Linii'!J9),'Calibrare_Linii'!J9&lt;='Input_Meci'!G16)),"DEFENSIVE VALIDATED",IF(AND('Calibrare_Linii'!S9="VALIDATED",AND('Calibrare_Linii'!H9=C149,ISNUMBER('Calibrare_Linii'!J9),'Calibrare_Linii'!J9&lt;='Input_Meci'!G16)),"TAIL VALIDATED","OOS PENDING")))</x:f>
      </x:c>
      <x:c r="AK149" s="2" t="n">
        <x:f>IF(J149&lt;&gt;"PASS",0,'Motor_Meciuri'!BR16)</x:f>
        <x:v>0</x:v>
      </x:c>
      <x:c r="AL149" s="2" t="n">
        <x:f>IF(J149&lt;&gt;"PASS",0,'Motor_Meciuri'!BS16)</x:f>
        <x:v>0</x:v>
      </x:c>
      <x:c r="AM149" s="2" t="n">
        <x:f>IF(J149&lt;&gt;"PASS",0,'Motor_Meciuri'!BT16)</x:f>
        <x:v>0</x:v>
      </x:c>
      <x:c r="AN149" s="2" t="str">
        <x:f>IF(M149="","",MAX(0,'Motor_Meciuri'!BF16-IF(L149&gt;'Config_v6'!$B$12,'Config_v6'!$B$37,IF(L149&gt;'Config_v6'!$B$11,'Config_v6'!$B$36,0))))</x:f>
      </x:c>
    </x:row>
    <x:row r="150" ht="21" customHeight="1">
      <x:c r="A150" s="2" t="n">
        <x:v>11</x:v>
      </x:c>
      <x:c r="B150" s="2" t="str">
        <x:f>IF('Motor_Meciuri'!A16="","",'Motor_Meciuri'!A16)</x:f>
      </x:c>
      <x:c r="C150" s="2" t="str">
        <x:f>IF(B150="","",'Motor_Meciuri'!B16)</x:f>
      </x:c>
      <x:c r="D150" s="2" t="str">
        <x:f>IF(B150="","",'Motor_Meciuri'!D16)</x:f>
      </x:c>
      <x:c r="E150" s="2" t="str">
        <x:f>IF(B150="","",'Motor_Meciuri'!E16)</x:f>
      </x:c>
      <x:c r="F150" s="2" t="str">
        <x:v>O7,5</x:v>
      </x:c>
      <x:c r="G150" s="2" t="str">
        <x:v>OVER</x:v>
      </x:c>
      <x:c r="H150" s="2" t="n">
        <x:v>7</x:v>
      </x:c>
      <x:c r="I150" s="2" t="str">
        <x:f>IF(B150="","",'Motor_Meciuri'!H16)</x:f>
      </x:c>
      <x:c r="J150" s="2" t="str">
        <x:f>IF(B150="","",'Motor_Meciuri'!I16)</x:f>
      </x:c>
      <x:c r="K150" s="11" t="str">
        <x:f>IF(J150&lt;&gt;"PASS","",'Motor_Meciuri'!BD16)</x:f>
      </x:c>
      <x:c r="L150" s="11" t="str">
        <x:f>IF(J150&lt;&gt;"PASS","",'Motor_Meciuri'!AU16)</x:f>
      </x:c>
      <x:c r="M150" s="10" t="str">
        <x:f>IF(NOT(AND(J150="PASS",'Calibrare_Linii'!U10="VALID")),"",1-'Distributie'!AE16)</x:f>
      </x:c>
      <x:c r="N150" s="10" t="str">
        <x:f>IF(M150="","",MAX(0.01,MIN(0.99,0.5+(M150-0.5)*'Motor_Meciuri'!BG16*'Calibrare_Linii'!D10)))</x:f>
      </x:c>
      <x:c r="O150" s="10" t="str">
        <x:f>IF(M150="","",1-M150)</x:f>
      </x:c>
      <x:c r="P150" s="10" t="str">
        <x:f>IF(OR(NOT(AND(J150="PASS",'Calibrare_Linii'!U10="VALID")),AK150=0),""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*('Istoric_Nativ'!$Q$6:$Q$405&lt;=H150))/AK150)</x:f>
      </x:c>
      <x:c r="Q150" s="10" t="str">
        <x:f>IF(OR(NOT(AND(J150="PASS",'Calibrare_Linii'!U10="VALID")),AL150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M16)+((('Istoric_Nativ'!$E$6:$E$405='Input_Meci'!E16)+('Istoric_Nativ'!$F$6:$F$405='Input_Meci'!E16))&gt;0)*('Istoric_Nativ'!$D$6:$D$405&gt;='Motor_Meciuri'!BN16))&gt;0)*('Istoric_Nativ'!$Q$6:$Q$405&lt;=H150))/AL150)</x:f>
      </x:c>
      <x:c r="R150" s="10" t="str">
        <x:f>IF(OR(NOT(AND(J150="PASS",'Calibrare_Linii'!U10="VALID")),AM150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O16)+((('Istoric_Nativ'!$E$6:$E$405='Input_Meci'!E16)+('Istoric_Nativ'!$F$6:$F$405='Input_Meci'!E16))&gt;0)*('Istoric_Nativ'!$D$6:$D$405&gt;='Motor_Meciuri'!BP16))&gt;0)*('Istoric_Nativ'!$Q$6:$Q$405&lt;=H150))/AM150)</x:f>
      </x:c>
      <x:c r="S150" s="10" t="str">
        <x:f>IF(M150="","",MAX(O150,P150,Q150,R150))</x:f>
      </x:c>
      <x:c r="T150" s="11" t="str">
        <x:f>IF(M150="","",MIN(100,S150*100*'Config_v6'!$B$44+MIN(100,L150/'Config_v6'!$B$13*100)*'Config_v6'!$B$45+(100-'Motor_Meciuri'!BF16)*'Config_v6'!$B$46+'Motor_Meciuri'!BH16*100*'Config_v6'!$B$47))</x:f>
      </x:c>
      <x:c r="U150" s="2" t="str">
        <x:f>IF(T150="","",IF(T150&lt;=20,1,IF(T150&lt;=40,2,IF(T150&lt;=60,3,IF(T150&lt;=80,4,5)))))</x:f>
      </x:c>
      <x:c r="V150" s="2" t="str">
        <x:f>IF(M150="","",MAX(0,'Motor_Meciuri'!BF16-IF(W150="OOS PENDING",'Config_v6'!$B$35,0)-IF(L150&gt;'Config_v6'!$B$12,'Config_v6'!$B$37,IF(L150&gt;'Config_v6'!$B$11,'Config_v6'!$B$36,0))))</x:f>
      </x:c>
      <x:c r="W150" s="2" t="str">
        <x:f>IF(B150="","",IF(I150&lt;&gt;"READY","NOT RELEASED",IF(NOT(AND(J150="PASS",'Calibrare_Linii'!U10="VALID")),"INVALID",IF(NOT(AND('Calibrare_Linii'!S10="VALIDATED",AND('Calibrare_Linii'!H10=C150,ISNUMBER('Calibrare_Linii'!J10),'Calibrare_Linii'!J10&lt;='Input_Meci'!G16))),"OOS PENDING",IF(S150&lt;='Calibrare_Linii'!E10,"PASS",IF(S150&lt;='Calibrare_Linii'!F10,"PENALTY","WATCH"))))))</x:f>
      </x:c>
      <x:c r="X150" s="2" t="str">
        <x:f>IF(M150="","",IF(AND(AND(J150="PASS",'Calibrare_Linii'!U10="VALID"),'Motor_Meciuri'!K16=12,'Motor_Meciuri'!L16=12,'Motor_Meciuri'!M16="NO",'Motor_Meciuri'!BL16='Motor_Meciuri'!C16,AB150&gt;='Config_v6'!$B$50,AN150&gt;='Config_v6'!$B$51,T150&lt;='Config_v6'!$B$52,L150&lt;='Config_v6'!$B$53,ISNUMBER('Calibrare_Linii'!E10),S150&lt;='Calibrare_Linii'!E10,SUM(AK150:AM150)&gt;0),"CANDIDATE","NO"))</x:f>
      </x:c>
      <x:c r="Y150" s="2" t="str">
        <x:f>IF(B150="","",IF(I150&lt;&gt;"READY","NOT RELEASED",IF(AND(X150="CANDIDATE",V150&gt;='Config_v6'!$B$51,W150="PASS",'Calibrare_Linii'!T10="VALIDATED",AND('Calibrare_Linii'!H10=C150,ISNUMBER('Calibrare_Linii'!J10),'Calibrare_Linii'!J10&lt;='Input_Meci'!G16)),"PASS",IF(X150="CANDIDATE","OOS PENDING","FAIL"))))</x:f>
      </x:c>
      <x:c r="Z150" s="2" t="str">
        <x:f>IF(B150="","",IF(I150&lt;&gt;"READY","",IF(OR(NOT(AND(J150="PASS",'Calibrare_Linii'!U10="VALID")),L150&gt;'Config_v6'!$B$13,W150="WATCH"),5,IF(Y150="PASS",1,MIN(5,MAX('Config_v6'!$B$42,U150)+IF(W150="PENALTY",1,0))))))</x:f>
      </x:c>
      <x:c r="AA150" s="2" t="str">
        <x:f>IF(B150="","",IF(I150&lt;&gt;"READY","NOT RELEASED",IF(Z150=5,"NO BET",IF(OR(AB150&lt;'Config_v6'!$B$16,V150&lt;'Config_v6'!$B$18),"WATCH",IF(Z150=1,"DEFENSIV",IF(Z150=2,"PRUDENT",IF(Z150=3,"MODERAT","RIDICAT")))))))</x:f>
      </x:c>
      <x:c r="AB150" s="10" t="str">
        <x:f>IF(N150="","",MIN(N150,1-S150))</x:f>
      </x:c>
      <x:c r="AC150" s="2" t="str">
        <x:f>IF(AD150&lt;&gt;1,"",COUNTIFS($Z$146:$Z$159,"&lt;"&amp;Z150,$AD$146:$AD$159,1)+COUNTIFS($Z$146:$Z$159,Z150,$AB$146:$AB$159,"&gt;"&amp;AB150,$AD$146:$AD$159,1)+COUNTIFS($Z$146:$Z$159,Z150,$AB$146:$AB$159,AB150,$V$146:$V$159,"&gt;"&amp;V150,$AD$146:$AD$159,1)+COUNTIFS($Z$146:Z150,Z150,$AB$146:AB150,AB150,$V$146:V150,V150,$AD$146:AD150,1))</x:f>
      </x:c>
      <x:c r="AD150" s="2" t="n">
        <x:f>IF(OR(AA150="DEFENSIV",AA150="PRUDENT",AA150="MODERAT",AA150="RIDICAT"),1,0)</x:f>
        <x:v>0</x:v>
      </x:c>
      <x:c r="AE150" s="2" t="str">
        <x:f>IF(AD150&lt;&gt;1,"NO",IF(W150="PASS","YES",IF(W150="OOS PENDING","CONDITIONAL","NO")))</x:f>
        <x:v>NO</x:v>
      </x:c>
      <x:c r="AF150" s="2" t="n">
        <x:f>IF(AND(AD150=1,AC150=1,E150="LIVE"),1,0)</x:f>
        <x:v>0</x:v>
      </x:c>
      <x:c r="AG150" s="2" t="str">
        <x:f>IF(AF150&lt;&gt;1,"",'Dashboard'!P36)</x:f>
      </x:c>
      <x:c r="AH150" s="2" t="str">
        <x:f>IF(B150="","",IF(J150&lt;&gt;"PASS",'Motor_Meciuri'!J16,IF('Calibrare_Linii'!U10&lt;&gt;"VALID","Parametri linie invalizi",IF(L150&gt;'Config_v6'!$B$13,"Dispersie peste limita",IF(W150="WATCH","Failure peste limita",IF(AB150&lt;'Config_v6'!$B$16,"P finala sub prag",IF(V150&lt;'Config_v6'!$B$18,"Confidence sub prag",IF(E150="REPLAY","Exemplu retrospectiv; exclus din Top LIVE",IF(Y150="PASS","DEFENSIV validat",IF(W150="OOS PENDING","Eligibil; calibrare linie in monitorizare","Eligibil"))))))))))</x:f>
      </x:c>
      <x:c r="AI150" s="2" t="str">
        <x:f>IF(B150="","",'Calibrare_Linii'!V10)</x:f>
      </x:c>
      <x:c r="AJ150" s="2" t="str">
        <x:f>IF(B150="","",IF(AND('Calibrare_Linii'!T10="VALIDATED",AND('Calibrare_Linii'!H10=C150,ISNUMBER('Calibrare_Linii'!J10),'Calibrare_Linii'!J10&lt;='Input_Meci'!G16)),"DEFENSIVE VALIDATED",IF(AND('Calibrare_Linii'!S10="VALIDATED",AND('Calibrare_Linii'!H10=C150,ISNUMBER('Calibrare_Linii'!J10),'Calibrare_Linii'!J10&lt;='Input_Meci'!G16)),"TAIL VALIDATED","OOS PENDING")))</x:f>
      </x:c>
      <x:c r="AK150" s="2" t="n">
        <x:f>IF(J150&lt;&gt;"PASS",0,'Motor_Meciuri'!BR16)</x:f>
        <x:v>0</x:v>
      </x:c>
      <x:c r="AL150" s="2" t="n">
        <x:f>IF(J150&lt;&gt;"PASS",0,'Motor_Meciuri'!BS16)</x:f>
        <x:v>0</x:v>
      </x:c>
      <x:c r="AM150" s="2" t="n">
        <x:f>IF(J150&lt;&gt;"PASS",0,'Motor_Meciuri'!BT16)</x:f>
        <x:v>0</x:v>
      </x:c>
      <x:c r="AN150" s="2" t="str">
        <x:f>IF(M150="","",MAX(0,'Motor_Meciuri'!BF16-IF(L150&gt;'Config_v6'!$B$12,'Config_v6'!$B$37,IF(L150&gt;'Config_v6'!$B$11,'Config_v6'!$B$36,0))))</x:f>
      </x:c>
    </x:row>
    <x:row r="151" ht="21" customHeight="1">
      <x:c r="A151" s="2" t="n">
        <x:v>11</x:v>
      </x:c>
      <x:c r="B151" s="2" t="str">
        <x:f>IF('Motor_Meciuri'!A16="","",'Motor_Meciuri'!A16)</x:f>
      </x:c>
      <x:c r="C151" s="2" t="str">
        <x:f>IF(B151="","",'Motor_Meciuri'!B16)</x:f>
      </x:c>
      <x:c r="D151" s="2" t="str">
        <x:f>IF(B151="","",'Motor_Meciuri'!D16)</x:f>
      </x:c>
      <x:c r="E151" s="2" t="str">
        <x:f>IF(B151="","",'Motor_Meciuri'!E16)</x:f>
      </x:c>
      <x:c r="F151" s="2" t="str">
        <x:v>O8,5</x:v>
      </x:c>
      <x:c r="G151" s="2" t="str">
        <x:v>OVER</x:v>
      </x:c>
      <x:c r="H151" s="2" t="n">
        <x:v>8</x:v>
      </x:c>
      <x:c r="I151" s="2" t="str">
        <x:f>IF(B151="","",'Motor_Meciuri'!H16)</x:f>
      </x:c>
      <x:c r="J151" s="2" t="str">
        <x:f>IF(B151="","",'Motor_Meciuri'!I16)</x:f>
      </x:c>
      <x:c r="K151" s="11" t="str">
        <x:f>IF(J151&lt;&gt;"PASS","",'Motor_Meciuri'!BD16)</x:f>
      </x:c>
      <x:c r="L151" s="11" t="str">
        <x:f>IF(J151&lt;&gt;"PASS","",'Motor_Meciuri'!AU16)</x:f>
      </x:c>
      <x:c r="M151" s="10" t="str">
        <x:f>IF(NOT(AND(J151="PASS",'Calibrare_Linii'!U11="VALID")),"",1-'Distributie'!AF16)</x:f>
      </x:c>
      <x:c r="N151" s="10" t="str">
        <x:f>IF(M151="","",MAX(0.01,MIN(0.99,0.5+(M151-0.5)*'Motor_Meciuri'!BG16*'Calibrare_Linii'!D11)))</x:f>
      </x:c>
      <x:c r="O151" s="10" t="str">
        <x:f>IF(M151="","",1-M151)</x:f>
      </x:c>
      <x:c r="P151" s="10" t="str">
        <x:f>IF(OR(NOT(AND(J151="PASS",'Calibrare_Linii'!U11="VALID")),AK151=0),""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*('Istoric_Nativ'!$Q$6:$Q$405&lt;=H151))/AK151)</x:f>
      </x:c>
      <x:c r="Q151" s="10" t="str">
        <x:f>IF(OR(NOT(AND(J151="PASS",'Calibrare_Linii'!U11="VALID")),AL151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M16)+((('Istoric_Nativ'!$E$6:$E$405='Input_Meci'!E16)+('Istoric_Nativ'!$F$6:$F$405='Input_Meci'!E16))&gt;0)*('Istoric_Nativ'!$D$6:$D$405&gt;='Motor_Meciuri'!BN16))&gt;0)*('Istoric_Nativ'!$Q$6:$Q$405&lt;=H151))/AL151)</x:f>
      </x:c>
      <x:c r="R151" s="10" t="str">
        <x:f>IF(OR(NOT(AND(J151="PASS",'Calibrare_Linii'!U11="VALID")),AM151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O16)+((('Istoric_Nativ'!$E$6:$E$405='Input_Meci'!E16)+('Istoric_Nativ'!$F$6:$F$405='Input_Meci'!E16))&gt;0)*('Istoric_Nativ'!$D$6:$D$405&gt;='Motor_Meciuri'!BP16))&gt;0)*('Istoric_Nativ'!$Q$6:$Q$405&lt;=H151))/AM151)</x:f>
      </x:c>
      <x:c r="S151" s="10" t="str">
        <x:f>IF(M151="","",MAX(O151,P151,Q151,R151))</x:f>
      </x:c>
      <x:c r="T151" s="11" t="str">
        <x:f>IF(M151="","",MIN(100,S151*100*'Config_v6'!$B$44+MIN(100,L151/'Config_v6'!$B$13*100)*'Config_v6'!$B$45+(100-'Motor_Meciuri'!BF16)*'Config_v6'!$B$46+'Motor_Meciuri'!BH16*100*'Config_v6'!$B$47))</x:f>
      </x:c>
      <x:c r="U151" s="2" t="str">
        <x:f>IF(T151="","",IF(T151&lt;=20,1,IF(T151&lt;=40,2,IF(T151&lt;=60,3,IF(T151&lt;=80,4,5)))))</x:f>
      </x:c>
      <x:c r="V151" s="2" t="str">
        <x:f>IF(M151="","",MAX(0,'Motor_Meciuri'!BF16-IF(W151="OOS PENDING",'Config_v6'!$B$35,0)-IF(L151&gt;'Config_v6'!$B$12,'Config_v6'!$B$37,IF(L151&gt;'Config_v6'!$B$11,'Config_v6'!$B$36,0))))</x:f>
      </x:c>
      <x:c r="W151" s="2" t="str">
        <x:f>IF(B151="","",IF(I151&lt;&gt;"READY","NOT RELEASED",IF(NOT(AND(J151="PASS",'Calibrare_Linii'!U11="VALID")),"INVALID",IF(NOT(AND('Calibrare_Linii'!S11="VALIDATED",AND('Calibrare_Linii'!H11=C151,ISNUMBER('Calibrare_Linii'!J11),'Calibrare_Linii'!J11&lt;='Input_Meci'!G16))),"OOS PENDING",IF(S151&lt;='Calibrare_Linii'!E11,"PASS",IF(S151&lt;='Calibrare_Linii'!F11,"PENALTY","WATCH"))))))</x:f>
      </x:c>
      <x:c r="X151" s="2" t="str">
        <x:f>IF(M151="","",IF(AND(AND(J151="PASS",'Calibrare_Linii'!U11="VALID"),'Motor_Meciuri'!K16=12,'Motor_Meciuri'!L16=12,'Motor_Meciuri'!M16="NO",'Motor_Meciuri'!BL16='Motor_Meciuri'!C16,AB151&gt;='Config_v6'!$B$50,AN151&gt;='Config_v6'!$B$51,T151&lt;='Config_v6'!$B$52,L151&lt;='Config_v6'!$B$53,ISNUMBER('Calibrare_Linii'!E11),S151&lt;='Calibrare_Linii'!E11,SUM(AK151:AM151)&gt;0),"CANDIDATE","NO"))</x:f>
      </x:c>
      <x:c r="Y151" s="2" t="str">
        <x:f>IF(B151="","",IF(I151&lt;&gt;"READY","NOT RELEASED",IF(AND(X151="CANDIDATE",V151&gt;='Config_v6'!$B$51,W151="PASS",'Calibrare_Linii'!T11="VALIDATED",AND('Calibrare_Linii'!H11=C151,ISNUMBER('Calibrare_Linii'!J11),'Calibrare_Linii'!J11&lt;='Input_Meci'!G16)),"PASS",IF(X151="CANDIDATE","OOS PENDING","FAIL"))))</x:f>
      </x:c>
      <x:c r="Z151" s="2" t="str">
        <x:f>IF(B151="","",IF(I151&lt;&gt;"READY","",IF(OR(NOT(AND(J151="PASS",'Calibrare_Linii'!U11="VALID")),L151&gt;'Config_v6'!$B$13,W151="WATCH"),5,IF(Y151="PASS",1,MIN(5,MAX('Config_v6'!$B$42,U151)+IF(W151="PENALTY",1,0))))))</x:f>
      </x:c>
      <x:c r="AA151" s="2" t="str">
        <x:f>IF(B151="","",IF(I151&lt;&gt;"READY","NOT RELEASED",IF(Z151=5,"NO BET",IF(OR(AB151&lt;'Config_v6'!$B$16,V151&lt;'Config_v6'!$B$18),"WATCH",IF(Z151=1,"DEFENSIV",IF(Z151=2,"PRUDENT",IF(Z151=3,"MODERAT","RIDICAT")))))))</x:f>
      </x:c>
      <x:c r="AB151" s="10" t="str">
        <x:f>IF(N151="","",MIN(N151,1-S151))</x:f>
      </x:c>
      <x:c r="AC151" s="2" t="str">
        <x:f>IF(AD151&lt;&gt;1,"",COUNTIFS($Z$146:$Z$159,"&lt;"&amp;Z151,$AD$146:$AD$159,1)+COUNTIFS($Z$146:$Z$159,Z151,$AB$146:$AB$159,"&gt;"&amp;AB151,$AD$146:$AD$159,1)+COUNTIFS($Z$146:$Z$159,Z151,$AB$146:$AB$159,AB151,$V$146:$V$159,"&gt;"&amp;V151,$AD$146:$AD$159,1)+COUNTIFS($Z$146:Z151,Z151,$AB$146:AB151,AB151,$V$146:V151,V151,$AD$146:AD151,1))</x:f>
      </x:c>
      <x:c r="AD151" s="2" t="n">
        <x:f>IF(OR(AA151="DEFENSIV",AA151="PRUDENT",AA151="MODERAT",AA151="RIDICAT"),1,0)</x:f>
        <x:v>0</x:v>
      </x:c>
      <x:c r="AE151" s="2" t="str">
        <x:f>IF(AD151&lt;&gt;1,"NO",IF(W151="PASS","YES",IF(W151="OOS PENDING","CONDITIONAL","NO")))</x:f>
        <x:v>NO</x:v>
      </x:c>
      <x:c r="AF151" s="2" t="n">
        <x:f>IF(AND(AD151=1,AC151=1,E151="LIVE"),1,0)</x:f>
        <x:v>0</x:v>
      </x:c>
      <x:c r="AG151" s="2" t="str">
        <x:f>IF(AF151&lt;&gt;1,"",'Dashboard'!P36)</x:f>
      </x:c>
      <x:c r="AH151" s="2" t="str">
        <x:f>IF(B151="","",IF(J151&lt;&gt;"PASS",'Motor_Meciuri'!J16,IF('Calibrare_Linii'!U11&lt;&gt;"VALID","Parametri linie invalizi",IF(L151&gt;'Config_v6'!$B$13,"Dispersie peste limita",IF(W151="WATCH","Failure peste limita",IF(AB151&lt;'Config_v6'!$B$16,"P finala sub prag",IF(V151&lt;'Config_v6'!$B$18,"Confidence sub prag",IF(E151="REPLAY","Exemplu retrospectiv; exclus din Top LIVE",IF(Y151="PASS","DEFENSIV validat",IF(W151="OOS PENDING","Eligibil; calibrare linie in monitorizare","Eligibil"))))))))))</x:f>
      </x:c>
      <x:c r="AI151" s="2" t="str">
        <x:f>IF(B151="","",'Calibrare_Linii'!V11)</x:f>
      </x:c>
      <x:c r="AJ151" s="2" t="str">
        <x:f>IF(B151="","",IF(AND('Calibrare_Linii'!T11="VALIDATED",AND('Calibrare_Linii'!H11=C151,ISNUMBER('Calibrare_Linii'!J11),'Calibrare_Linii'!J11&lt;='Input_Meci'!G16)),"DEFENSIVE VALIDATED",IF(AND('Calibrare_Linii'!S11="VALIDATED",AND('Calibrare_Linii'!H11=C151,ISNUMBER('Calibrare_Linii'!J11),'Calibrare_Linii'!J11&lt;='Input_Meci'!G16)),"TAIL VALIDATED","OOS PENDING")))</x:f>
      </x:c>
      <x:c r="AK151" s="2" t="n">
        <x:f>IF(J151&lt;&gt;"PASS",0,'Motor_Meciuri'!BR16)</x:f>
        <x:v>0</x:v>
      </x:c>
      <x:c r="AL151" s="2" t="n">
        <x:f>IF(J151&lt;&gt;"PASS",0,'Motor_Meciuri'!BS16)</x:f>
        <x:v>0</x:v>
      </x:c>
      <x:c r="AM151" s="2" t="n">
        <x:f>IF(J151&lt;&gt;"PASS",0,'Motor_Meciuri'!BT16)</x:f>
        <x:v>0</x:v>
      </x:c>
      <x:c r="AN151" s="2" t="str">
        <x:f>IF(M151="","",MAX(0,'Motor_Meciuri'!BF16-IF(L151&gt;'Config_v6'!$B$12,'Config_v6'!$B$37,IF(L151&gt;'Config_v6'!$B$11,'Config_v6'!$B$36,0))))</x:f>
      </x:c>
    </x:row>
    <x:row r="152" ht="21" customHeight="1">
      <x:c r="A152" s="2" t="n">
        <x:v>11</x:v>
      </x:c>
      <x:c r="B152" s="2" t="str">
        <x:f>IF('Motor_Meciuri'!A16="","",'Motor_Meciuri'!A16)</x:f>
      </x:c>
      <x:c r="C152" s="2" t="str">
        <x:f>IF(B152="","",'Motor_Meciuri'!B16)</x:f>
      </x:c>
      <x:c r="D152" s="2" t="str">
        <x:f>IF(B152="","",'Motor_Meciuri'!D16)</x:f>
      </x:c>
      <x:c r="E152" s="2" t="str">
        <x:f>IF(B152="","",'Motor_Meciuri'!E16)</x:f>
      </x:c>
      <x:c r="F152" s="2" t="str">
        <x:v>U10,5</x:v>
      </x:c>
      <x:c r="G152" s="2" t="str">
        <x:v>UNDER</x:v>
      </x:c>
      <x:c r="H152" s="2" t="n">
        <x:v>10</x:v>
      </x:c>
      <x:c r="I152" s="2" t="str">
        <x:f>IF(B152="","",'Motor_Meciuri'!H16)</x:f>
      </x:c>
      <x:c r="J152" s="2" t="str">
        <x:f>IF(B152="","",'Motor_Meciuri'!I16)</x:f>
      </x:c>
      <x:c r="K152" s="11" t="str">
        <x:f>IF(J152&lt;&gt;"PASS","",'Motor_Meciuri'!BD16)</x:f>
      </x:c>
      <x:c r="L152" s="11" t="str">
        <x:f>IF(J152&lt;&gt;"PASS","",'Motor_Meciuri'!AU16)</x:f>
      </x:c>
      <x:c r="M152" s="10" t="str">
        <x:f>IF(NOT(AND(J152="PASS",'Calibrare_Linii'!U12="VALID")),"",'Distributie'!AH16)</x:f>
      </x:c>
      <x:c r="N152" s="10" t="str">
        <x:f>IF(M152="","",MAX(0.01,MIN(0.99,0.5+(M152-0.5)*'Motor_Meciuri'!BG16*'Calibrare_Linii'!D12)))</x:f>
      </x:c>
      <x:c r="O152" s="10" t="str">
        <x:f>IF(M152="","",1-M152)</x:f>
      </x:c>
      <x:c r="P152" s="10" t="str">
        <x:f>IF(OR(NOT(AND(J152="PASS",'Calibrare_Linii'!U12="VALID")),AK152=0),""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*('Istoric_Nativ'!$Q$6:$Q$405&gt;H152))/AK152)</x:f>
      </x:c>
      <x:c r="Q152" s="10" t="str">
        <x:f>IF(OR(NOT(AND(J152="PASS",'Calibrare_Linii'!U12="VALID")),AL152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M16)+((('Istoric_Nativ'!$E$6:$E$405='Input_Meci'!E16)+('Istoric_Nativ'!$F$6:$F$405='Input_Meci'!E16))&gt;0)*('Istoric_Nativ'!$D$6:$D$405&gt;='Motor_Meciuri'!BN16))&gt;0)*('Istoric_Nativ'!$Q$6:$Q$405&gt;H152))/AL152)</x:f>
      </x:c>
      <x:c r="R152" s="10" t="str">
        <x:f>IF(OR(NOT(AND(J152="PASS",'Calibrare_Linii'!U12="VALID")),AM152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O16)+((('Istoric_Nativ'!$E$6:$E$405='Input_Meci'!E16)+('Istoric_Nativ'!$F$6:$F$405='Input_Meci'!E16))&gt;0)*('Istoric_Nativ'!$D$6:$D$405&gt;='Motor_Meciuri'!BP16))&gt;0)*('Istoric_Nativ'!$Q$6:$Q$405&gt;H152))/AM152)</x:f>
      </x:c>
      <x:c r="S152" s="10" t="str">
        <x:f>IF(M152="","",MAX(O152,P152,Q152,R152))</x:f>
      </x:c>
      <x:c r="T152" s="11" t="str">
        <x:f>IF(M152="","",MIN(100,S152*100*'Config_v6'!$B$44+MIN(100,L152/'Config_v6'!$B$13*100)*'Config_v6'!$B$45+(100-'Motor_Meciuri'!BF16)*'Config_v6'!$B$46+'Motor_Meciuri'!BH16*100*'Config_v6'!$B$47))</x:f>
      </x:c>
      <x:c r="U152" s="2" t="str">
        <x:f>IF(T152="","",IF(T152&lt;=20,1,IF(T152&lt;=40,2,IF(T152&lt;=60,3,IF(T152&lt;=80,4,5)))))</x:f>
      </x:c>
      <x:c r="V152" s="2" t="str">
        <x:f>IF(M152="","",MAX(0,'Motor_Meciuri'!BF16-IF(W152="OOS PENDING",'Config_v6'!$B$35,0)-IF(L152&gt;'Config_v6'!$B$12,'Config_v6'!$B$37,IF(L152&gt;'Config_v6'!$B$11,'Config_v6'!$B$36,0))))</x:f>
      </x:c>
      <x:c r="W152" s="2" t="str">
        <x:f>IF(B152="","",IF(I152&lt;&gt;"READY","NOT RELEASED",IF(NOT(AND(J152="PASS",'Calibrare_Linii'!U12="VALID")),"INVALID",IF(NOT(AND('Calibrare_Linii'!S12="VALIDATED",AND('Calibrare_Linii'!H12=C152,ISNUMBER('Calibrare_Linii'!J12),'Calibrare_Linii'!J12&lt;='Input_Meci'!G16))),"OOS PENDING",IF(S152&lt;='Calibrare_Linii'!E12,"PASS",IF(S152&lt;='Calibrare_Linii'!F12,"PENALTY","WATCH"))))))</x:f>
      </x:c>
      <x:c r="X152" s="2" t="str">
        <x:f>IF(M152="","",IF(AND(AND(J152="PASS",'Calibrare_Linii'!U12="VALID"),'Motor_Meciuri'!K16=12,'Motor_Meciuri'!L16=12,'Motor_Meciuri'!M16="NO",'Motor_Meciuri'!BL16='Motor_Meciuri'!C16,AB152&gt;='Config_v6'!$B$50,AN152&gt;='Config_v6'!$B$51,T152&lt;='Config_v6'!$B$52,L152&lt;='Config_v6'!$B$53,ISNUMBER('Calibrare_Linii'!E12),S152&lt;='Calibrare_Linii'!E12,SUM(AK152:AM152)&gt;0),"CANDIDATE","NO"))</x:f>
      </x:c>
      <x:c r="Y152" s="2" t="str">
        <x:f>IF(B152="","",IF(I152&lt;&gt;"READY","NOT RELEASED",IF(AND(X152="CANDIDATE",V152&gt;='Config_v6'!$B$51,W152="PASS",'Calibrare_Linii'!T12="VALIDATED",AND('Calibrare_Linii'!H12=C152,ISNUMBER('Calibrare_Linii'!J12),'Calibrare_Linii'!J12&lt;='Input_Meci'!G16)),"PASS",IF(X152="CANDIDATE","OOS PENDING","FAIL"))))</x:f>
      </x:c>
      <x:c r="Z152" s="2" t="str">
        <x:f>IF(B152="","",IF(I152&lt;&gt;"READY","",IF(OR(NOT(AND(J152="PASS",'Calibrare_Linii'!U12="VALID")),L152&gt;'Config_v6'!$B$13,W152="WATCH"),5,IF(Y152="PASS",1,MIN(5,MAX('Config_v6'!$B$42,U152)+IF(W152="PENALTY",1,0))))))</x:f>
      </x:c>
      <x:c r="AA152" s="2" t="str">
        <x:f>IF(B152="","",IF(I152&lt;&gt;"READY","NOT RELEASED",IF(Z152=5,"NO BET",IF(OR(AB152&lt;'Config_v6'!$B$16,V152&lt;'Config_v6'!$B$18),"WATCH",IF(Z152=1,"DEFENSIV",IF(Z152=2,"PRUDENT",IF(Z152=3,"MODERAT","RIDICAT")))))))</x:f>
      </x:c>
      <x:c r="AB152" s="10" t="str">
        <x:f>IF(N152="","",MIN(N152,1-S152))</x:f>
      </x:c>
      <x:c r="AC152" s="2" t="str">
        <x:f>IF(AD152&lt;&gt;1,"",COUNTIFS($Z$146:$Z$159,"&lt;"&amp;Z152,$AD$146:$AD$159,1)+COUNTIFS($Z$146:$Z$159,Z152,$AB$146:$AB$159,"&gt;"&amp;AB152,$AD$146:$AD$159,1)+COUNTIFS($Z$146:$Z$159,Z152,$AB$146:$AB$159,AB152,$V$146:$V$159,"&gt;"&amp;V152,$AD$146:$AD$159,1)+COUNTIFS($Z$146:Z152,Z152,$AB$146:AB152,AB152,$V$146:V152,V152,$AD$146:AD152,1))</x:f>
      </x:c>
      <x:c r="AD152" s="2" t="n">
        <x:f>IF(OR(AA152="DEFENSIV",AA152="PRUDENT",AA152="MODERAT",AA152="RIDICAT"),1,0)</x:f>
        <x:v>0</x:v>
      </x:c>
      <x:c r="AE152" s="2" t="str">
        <x:f>IF(AD152&lt;&gt;1,"NO",IF(W152="PASS","YES",IF(W152="OOS PENDING","CONDITIONAL","NO")))</x:f>
        <x:v>NO</x:v>
      </x:c>
      <x:c r="AF152" s="2" t="n">
        <x:f>IF(AND(AD152=1,AC152=1,E152="LIVE"),1,0)</x:f>
        <x:v>0</x:v>
      </x:c>
      <x:c r="AG152" s="2" t="str">
        <x:f>IF(AF152&lt;&gt;1,"",'Dashboard'!P36)</x:f>
      </x:c>
      <x:c r="AH152" s="2" t="str">
        <x:f>IF(B152="","",IF(J152&lt;&gt;"PASS",'Motor_Meciuri'!J16,IF('Calibrare_Linii'!U12&lt;&gt;"VALID","Parametri linie invalizi",IF(L152&gt;'Config_v6'!$B$13,"Dispersie peste limita",IF(W152="WATCH","Failure peste limita",IF(AB152&lt;'Config_v6'!$B$16,"P finala sub prag",IF(V152&lt;'Config_v6'!$B$18,"Confidence sub prag",IF(E152="REPLAY","Exemplu retrospectiv; exclus din Top LIVE",IF(Y152="PASS","DEFENSIV validat",IF(W152="OOS PENDING","Eligibil; calibrare linie in monitorizare","Eligibil"))))))))))</x:f>
      </x:c>
      <x:c r="AI152" s="2" t="str">
        <x:f>IF(B152="","",'Calibrare_Linii'!V12)</x:f>
      </x:c>
      <x:c r="AJ152" s="2" t="str">
        <x:f>IF(B152="","",IF(AND('Calibrare_Linii'!T12="VALIDATED",AND('Calibrare_Linii'!H12=C152,ISNUMBER('Calibrare_Linii'!J12),'Calibrare_Linii'!J12&lt;='Input_Meci'!G16)),"DEFENSIVE VALIDATED",IF(AND('Calibrare_Linii'!S12="VALIDATED",AND('Calibrare_Linii'!H12=C152,ISNUMBER('Calibrare_Linii'!J12),'Calibrare_Linii'!J12&lt;='Input_Meci'!G16)),"TAIL VALIDATED","OOS PENDING")))</x:f>
      </x:c>
      <x:c r="AK152" s="2" t="n">
        <x:f>IF(J152&lt;&gt;"PASS",0,'Motor_Meciuri'!BR16)</x:f>
        <x:v>0</x:v>
      </x:c>
      <x:c r="AL152" s="2" t="n">
        <x:f>IF(J152&lt;&gt;"PASS",0,'Motor_Meciuri'!BS16)</x:f>
        <x:v>0</x:v>
      </x:c>
      <x:c r="AM152" s="2" t="n">
        <x:f>IF(J152&lt;&gt;"PASS",0,'Motor_Meciuri'!BT16)</x:f>
        <x:v>0</x:v>
      </x:c>
      <x:c r="AN152" s="2" t="str">
        <x:f>IF(M152="","",MAX(0,'Motor_Meciuri'!BF16-IF(L152&gt;'Config_v6'!$B$12,'Config_v6'!$B$37,IF(L152&gt;'Config_v6'!$B$11,'Config_v6'!$B$36,0))))</x:f>
      </x:c>
    </x:row>
    <x:row r="153" ht="21" customHeight="1">
      <x:c r="A153" s="2" t="n">
        <x:v>11</x:v>
      </x:c>
      <x:c r="B153" s="2" t="str">
        <x:f>IF('Motor_Meciuri'!A16="","",'Motor_Meciuri'!A16)</x:f>
      </x:c>
      <x:c r="C153" s="2" t="str">
        <x:f>IF(B153="","",'Motor_Meciuri'!B16)</x:f>
      </x:c>
      <x:c r="D153" s="2" t="str">
        <x:f>IF(B153="","",'Motor_Meciuri'!D16)</x:f>
      </x:c>
      <x:c r="E153" s="2" t="str">
        <x:f>IF(B153="","",'Motor_Meciuri'!E16)</x:f>
      </x:c>
      <x:c r="F153" s="2" t="str">
        <x:v>U11,5</x:v>
      </x:c>
      <x:c r="G153" s="2" t="str">
        <x:v>UNDER</x:v>
      </x:c>
      <x:c r="H153" s="2" t="n">
        <x:v>11</x:v>
      </x:c>
      <x:c r="I153" s="2" t="str">
        <x:f>IF(B153="","",'Motor_Meciuri'!H16)</x:f>
      </x:c>
      <x:c r="J153" s="2" t="str">
        <x:f>IF(B153="","",'Motor_Meciuri'!I16)</x:f>
      </x:c>
      <x:c r="K153" s="11" t="str">
        <x:f>IF(J153&lt;&gt;"PASS","",'Motor_Meciuri'!BD16)</x:f>
      </x:c>
      <x:c r="L153" s="11" t="str">
        <x:f>IF(J153&lt;&gt;"PASS","",'Motor_Meciuri'!AU16)</x:f>
      </x:c>
      <x:c r="M153" s="10" t="str">
        <x:f>IF(NOT(AND(J153="PASS",'Calibrare_Linii'!U13="VALID")),"",'Distributie'!AI16)</x:f>
      </x:c>
      <x:c r="N153" s="10" t="str">
        <x:f>IF(M153="","",MAX(0.01,MIN(0.99,0.5+(M153-0.5)*'Motor_Meciuri'!BG16*'Calibrare_Linii'!D13)))</x:f>
      </x:c>
      <x:c r="O153" s="10" t="str">
        <x:f>IF(M153="","",1-M153)</x:f>
      </x:c>
      <x:c r="P153" s="10" t="str">
        <x:f>IF(OR(NOT(AND(J153="PASS",'Calibrare_Linii'!U13="VALID")),AK153=0),""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*('Istoric_Nativ'!$Q$6:$Q$405&gt;H153))/AK153)</x:f>
      </x:c>
      <x:c r="Q153" s="10" t="str">
        <x:f>IF(OR(NOT(AND(J153="PASS",'Calibrare_Linii'!U13="VALID")),AL153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M16)+((('Istoric_Nativ'!$E$6:$E$405='Input_Meci'!E16)+('Istoric_Nativ'!$F$6:$F$405='Input_Meci'!E16))&gt;0)*('Istoric_Nativ'!$D$6:$D$405&gt;='Motor_Meciuri'!BN16))&gt;0)*('Istoric_Nativ'!$Q$6:$Q$405&gt;H153))/AL153)</x:f>
      </x:c>
      <x:c r="R153" s="10" t="str">
        <x:f>IF(OR(NOT(AND(J153="PASS",'Calibrare_Linii'!U13="VALID")),AM153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O16)+((('Istoric_Nativ'!$E$6:$E$405='Input_Meci'!E16)+('Istoric_Nativ'!$F$6:$F$405='Input_Meci'!E16))&gt;0)*('Istoric_Nativ'!$D$6:$D$405&gt;='Motor_Meciuri'!BP16))&gt;0)*('Istoric_Nativ'!$Q$6:$Q$405&gt;H153))/AM153)</x:f>
      </x:c>
      <x:c r="S153" s="10" t="str">
        <x:f>IF(M153="","",MAX(O153,P153,Q153,R153))</x:f>
      </x:c>
      <x:c r="T153" s="11" t="str">
        <x:f>IF(M153="","",MIN(100,S153*100*'Config_v6'!$B$44+MIN(100,L153/'Config_v6'!$B$13*100)*'Config_v6'!$B$45+(100-'Motor_Meciuri'!BF16)*'Config_v6'!$B$46+'Motor_Meciuri'!BH16*100*'Config_v6'!$B$47))</x:f>
      </x:c>
      <x:c r="U153" s="2" t="str">
        <x:f>IF(T153="","",IF(T153&lt;=20,1,IF(T153&lt;=40,2,IF(T153&lt;=60,3,IF(T153&lt;=80,4,5)))))</x:f>
      </x:c>
      <x:c r="V153" s="2" t="str">
        <x:f>IF(M153="","",MAX(0,'Motor_Meciuri'!BF16-IF(W153="OOS PENDING",'Config_v6'!$B$35,0)-IF(L153&gt;'Config_v6'!$B$12,'Config_v6'!$B$37,IF(L153&gt;'Config_v6'!$B$11,'Config_v6'!$B$36,0))))</x:f>
      </x:c>
      <x:c r="W153" s="2" t="str">
        <x:f>IF(B153="","",IF(I153&lt;&gt;"READY","NOT RELEASED",IF(NOT(AND(J153="PASS",'Calibrare_Linii'!U13="VALID")),"INVALID",IF(NOT(AND('Calibrare_Linii'!S13="VALIDATED",AND('Calibrare_Linii'!H13=C153,ISNUMBER('Calibrare_Linii'!J13),'Calibrare_Linii'!J13&lt;='Input_Meci'!G16))),"OOS PENDING",IF(S153&lt;='Calibrare_Linii'!E13,"PASS",IF(S153&lt;='Calibrare_Linii'!F13,"PENALTY","WATCH"))))))</x:f>
      </x:c>
      <x:c r="X153" s="2" t="str">
        <x:f>IF(M153="","",IF(AND(AND(J153="PASS",'Calibrare_Linii'!U13="VALID"),'Motor_Meciuri'!K16=12,'Motor_Meciuri'!L16=12,'Motor_Meciuri'!M16="NO",'Motor_Meciuri'!BL16='Motor_Meciuri'!C16,AB153&gt;='Config_v6'!$B$50,AN153&gt;='Config_v6'!$B$51,T153&lt;='Config_v6'!$B$52,L153&lt;='Config_v6'!$B$53,ISNUMBER('Calibrare_Linii'!E13),S153&lt;='Calibrare_Linii'!E13,SUM(AK153:AM153)&gt;0),"CANDIDATE","NO"))</x:f>
      </x:c>
      <x:c r="Y153" s="2" t="str">
        <x:f>IF(B153="","",IF(I153&lt;&gt;"READY","NOT RELEASED",IF(AND(X153="CANDIDATE",V153&gt;='Config_v6'!$B$51,W153="PASS",'Calibrare_Linii'!T13="VALIDATED",AND('Calibrare_Linii'!H13=C153,ISNUMBER('Calibrare_Linii'!J13),'Calibrare_Linii'!J13&lt;='Input_Meci'!G16)),"PASS",IF(X153="CANDIDATE","OOS PENDING","FAIL"))))</x:f>
      </x:c>
      <x:c r="Z153" s="2" t="str">
        <x:f>IF(B153="","",IF(I153&lt;&gt;"READY","",IF(OR(NOT(AND(J153="PASS",'Calibrare_Linii'!U13="VALID")),L153&gt;'Config_v6'!$B$13,W153="WATCH"),5,IF(Y153="PASS",1,MIN(5,MAX('Config_v6'!$B$42,U153)+IF(W153="PENALTY",1,0))))))</x:f>
      </x:c>
      <x:c r="AA153" s="2" t="str">
        <x:f>IF(B153="","",IF(I153&lt;&gt;"READY","NOT RELEASED",IF(Z153=5,"NO BET",IF(OR(AB153&lt;'Config_v6'!$B$16,V153&lt;'Config_v6'!$B$18),"WATCH",IF(Z153=1,"DEFENSIV",IF(Z153=2,"PRUDENT",IF(Z153=3,"MODERAT","RIDICAT")))))))</x:f>
      </x:c>
      <x:c r="AB153" s="10" t="str">
        <x:f>IF(N153="","",MIN(N153,1-S153))</x:f>
      </x:c>
      <x:c r="AC153" s="2" t="str">
        <x:f>IF(AD153&lt;&gt;1,"",COUNTIFS($Z$146:$Z$159,"&lt;"&amp;Z153,$AD$146:$AD$159,1)+COUNTIFS($Z$146:$Z$159,Z153,$AB$146:$AB$159,"&gt;"&amp;AB153,$AD$146:$AD$159,1)+COUNTIFS($Z$146:$Z$159,Z153,$AB$146:$AB$159,AB153,$V$146:$V$159,"&gt;"&amp;V153,$AD$146:$AD$159,1)+COUNTIFS($Z$146:Z153,Z153,$AB$146:AB153,AB153,$V$146:V153,V153,$AD$146:AD153,1))</x:f>
      </x:c>
      <x:c r="AD153" s="2" t="n">
        <x:f>IF(OR(AA153="DEFENSIV",AA153="PRUDENT",AA153="MODERAT",AA153="RIDICAT"),1,0)</x:f>
        <x:v>0</x:v>
      </x:c>
      <x:c r="AE153" s="2" t="str">
        <x:f>IF(AD153&lt;&gt;1,"NO",IF(W153="PASS","YES",IF(W153="OOS PENDING","CONDITIONAL","NO")))</x:f>
        <x:v>NO</x:v>
      </x:c>
      <x:c r="AF153" s="2" t="n">
        <x:f>IF(AND(AD153=1,AC153=1,E153="LIVE"),1,0)</x:f>
        <x:v>0</x:v>
      </x:c>
      <x:c r="AG153" s="2" t="str">
        <x:f>IF(AF153&lt;&gt;1,"",'Dashboard'!P36)</x:f>
      </x:c>
      <x:c r="AH153" s="2" t="str">
        <x:f>IF(B153="","",IF(J153&lt;&gt;"PASS",'Motor_Meciuri'!J16,IF('Calibrare_Linii'!U13&lt;&gt;"VALID","Parametri linie invalizi",IF(L153&gt;'Config_v6'!$B$13,"Dispersie peste limita",IF(W153="WATCH","Failure peste limita",IF(AB153&lt;'Config_v6'!$B$16,"P finala sub prag",IF(V153&lt;'Config_v6'!$B$18,"Confidence sub prag",IF(E153="REPLAY","Exemplu retrospectiv; exclus din Top LIVE",IF(Y153="PASS","DEFENSIV validat",IF(W153="OOS PENDING","Eligibil; calibrare linie in monitorizare","Eligibil"))))))))))</x:f>
      </x:c>
      <x:c r="AI153" s="2" t="str">
        <x:f>IF(B153="","",'Calibrare_Linii'!V13)</x:f>
      </x:c>
      <x:c r="AJ153" s="2" t="str">
        <x:f>IF(B153="","",IF(AND('Calibrare_Linii'!T13="VALIDATED",AND('Calibrare_Linii'!H13=C153,ISNUMBER('Calibrare_Linii'!J13),'Calibrare_Linii'!J13&lt;='Input_Meci'!G16)),"DEFENSIVE VALIDATED",IF(AND('Calibrare_Linii'!S13="VALIDATED",AND('Calibrare_Linii'!H13=C153,ISNUMBER('Calibrare_Linii'!J13),'Calibrare_Linii'!J13&lt;='Input_Meci'!G16)),"TAIL VALIDATED","OOS PENDING")))</x:f>
      </x:c>
      <x:c r="AK153" s="2" t="n">
        <x:f>IF(J153&lt;&gt;"PASS",0,'Motor_Meciuri'!BR16)</x:f>
        <x:v>0</x:v>
      </x:c>
      <x:c r="AL153" s="2" t="n">
        <x:f>IF(J153&lt;&gt;"PASS",0,'Motor_Meciuri'!BS16)</x:f>
        <x:v>0</x:v>
      </x:c>
      <x:c r="AM153" s="2" t="n">
        <x:f>IF(J153&lt;&gt;"PASS",0,'Motor_Meciuri'!BT16)</x:f>
        <x:v>0</x:v>
      </x:c>
      <x:c r="AN153" s="2" t="str">
        <x:f>IF(M153="","",MAX(0,'Motor_Meciuri'!BF16-IF(L153&gt;'Config_v6'!$B$12,'Config_v6'!$B$37,IF(L153&gt;'Config_v6'!$B$11,'Config_v6'!$B$36,0))))</x:f>
      </x:c>
    </x:row>
    <x:row r="154" ht="21" customHeight="1">
      <x:c r="A154" s="2" t="n">
        <x:v>11</x:v>
      </x:c>
      <x:c r="B154" s="2" t="str">
        <x:f>IF('Motor_Meciuri'!A16="","",'Motor_Meciuri'!A16)</x:f>
      </x:c>
      <x:c r="C154" s="2" t="str">
        <x:f>IF(B154="","",'Motor_Meciuri'!B16)</x:f>
      </x:c>
      <x:c r="D154" s="2" t="str">
        <x:f>IF(B154="","",'Motor_Meciuri'!D16)</x:f>
      </x:c>
      <x:c r="E154" s="2" t="str">
        <x:f>IF(B154="","",'Motor_Meciuri'!E16)</x:f>
      </x:c>
      <x:c r="F154" s="2" t="str">
        <x:v>U12,5</x:v>
      </x:c>
      <x:c r="G154" s="2" t="str">
        <x:v>UNDER</x:v>
      </x:c>
      <x:c r="H154" s="2" t="n">
        <x:v>12</x:v>
      </x:c>
      <x:c r="I154" s="2" t="str">
        <x:f>IF(B154="","",'Motor_Meciuri'!H16)</x:f>
      </x:c>
      <x:c r="J154" s="2" t="str">
        <x:f>IF(B154="","",'Motor_Meciuri'!I16)</x:f>
      </x:c>
      <x:c r="K154" s="11" t="str">
        <x:f>IF(J154&lt;&gt;"PASS","",'Motor_Meciuri'!BD16)</x:f>
      </x:c>
      <x:c r="L154" s="11" t="str">
        <x:f>IF(J154&lt;&gt;"PASS","",'Motor_Meciuri'!AU16)</x:f>
      </x:c>
      <x:c r="M154" s="10" t="str">
        <x:f>IF(NOT(AND(J154="PASS",'Calibrare_Linii'!U14="VALID")),"",'Distributie'!AJ16)</x:f>
      </x:c>
      <x:c r="N154" s="10" t="str">
        <x:f>IF(M154="","",MAX(0.01,MIN(0.99,0.5+(M154-0.5)*'Motor_Meciuri'!BG16*'Calibrare_Linii'!D14)))</x:f>
      </x:c>
      <x:c r="O154" s="10" t="str">
        <x:f>IF(M154="","",1-M154)</x:f>
      </x:c>
      <x:c r="P154" s="10" t="str">
        <x:f>IF(OR(NOT(AND(J154="PASS",'Calibrare_Linii'!U14="VALID")),AK154=0),""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*('Istoric_Nativ'!$Q$6:$Q$405&gt;H154))/AK154)</x:f>
      </x:c>
      <x:c r="Q154" s="10" t="str">
        <x:f>IF(OR(NOT(AND(J154="PASS",'Calibrare_Linii'!U14="VALID")),AL154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M16)+((('Istoric_Nativ'!$E$6:$E$405='Input_Meci'!E16)+('Istoric_Nativ'!$F$6:$F$405='Input_Meci'!E16))&gt;0)*('Istoric_Nativ'!$D$6:$D$405&gt;='Motor_Meciuri'!BN16))&gt;0)*('Istoric_Nativ'!$Q$6:$Q$405&gt;H154))/AL154)</x:f>
      </x:c>
      <x:c r="R154" s="10" t="str">
        <x:f>IF(OR(NOT(AND(J154="PASS",'Calibrare_Linii'!U14="VALID")),AM154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O16)+((('Istoric_Nativ'!$E$6:$E$405='Input_Meci'!E16)+('Istoric_Nativ'!$F$6:$F$405='Input_Meci'!E16))&gt;0)*('Istoric_Nativ'!$D$6:$D$405&gt;='Motor_Meciuri'!BP16))&gt;0)*('Istoric_Nativ'!$Q$6:$Q$405&gt;H154))/AM154)</x:f>
      </x:c>
      <x:c r="S154" s="10" t="str">
        <x:f>IF(M154="","",MAX(O154,P154,Q154,R154))</x:f>
      </x:c>
      <x:c r="T154" s="11" t="str">
        <x:f>IF(M154="","",MIN(100,S154*100*'Config_v6'!$B$44+MIN(100,L154/'Config_v6'!$B$13*100)*'Config_v6'!$B$45+(100-'Motor_Meciuri'!BF16)*'Config_v6'!$B$46+'Motor_Meciuri'!BH16*100*'Config_v6'!$B$47))</x:f>
      </x:c>
      <x:c r="U154" s="2" t="str">
        <x:f>IF(T154="","",IF(T154&lt;=20,1,IF(T154&lt;=40,2,IF(T154&lt;=60,3,IF(T154&lt;=80,4,5)))))</x:f>
      </x:c>
      <x:c r="V154" s="2" t="str">
        <x:f>IF(M154="","",MAX(0,'Motor_Meciuri'!BF16-IF(W154="OOS PENDING",'Config_v6'!$B$35,0)-IF(L154&gt;'Config_v6'!$B$12,'Config_v6'!$B$37,IF(L154&gt;'Config_v6'!$B$11,'Config_v6'!$B$36,0))))</x:f>
      </x:c>
      <x:c r="W154" s="2" t="str">
        <x:f>IF(B154="","",IF(I154&lt;&gt;"READY","NOT RELEASED",IF(NOT(AND(J154="PASS",'Calibrare_Linii'!U14="VALID")),"INVALID",IF(NOT(AND('Calibrare_Linii'!S14="VALIDATED",AND('Calibrare_Linii'!H14=C154,ISNUMBER('Calibrare_Linii'!J14),'Calibrare_Linii'!J14&lt;='Input_Meci'!G16))),"OOS PENDING",IF(S154&lt;='Calibrare_Linii'!E14,"PASS",IF(S154&lt;='Calibrare_Linii'!F14,"PENALTY","WATCH"))))))</x:f>
      </x:c>
      <x:c r="X154" s="2" t="str">
        <x:f>IF(M154="","",IF(AND(AND(J154="PASS",'Calibrare_Linii'!U14="VALID"),'Motor_Meciuri'!K16=12,'Motor_Meciuri'!L16=12,'Motor_Meciuri'!M16="NO",'Motor_Meciuri'!BL16='Motor_Meciuri'!C16,AB154&gt;='Config_v6'!$B$50,AN154&gt;='Config_v6'!$B$51,T154&lt;='Config_v6'!$B$52,L154&lt;='Config_v6'!$B$53,ISNUMBER('Calibrare_Linii'!E14),S154&lt;='Calibrare_Linii'!E14,SUM(AK154:AM154)&gt;0),"CANDIDATE","NO"))</x:f>
      </x:c>
      <x:c r="Y154" s="2" t="str">
        <x:f>IF(B154="","",IF(I154&lt;&gt;"READY","NOT RELEASED",IF(AND(X154="CANDIDATE",V154&gt;='Config_v6'!$B$51,W154="PASS",'Calibrare_Linii'!T14="VALIDATED",AND('Calibrare_Linii'!H14=C154,ISNUMBER('Calibrare_Linii'!J14),'Calibrare_Linii'!J14&lt;='Input_Meci'!G16)),"PASS",IF(X154="CANDIDATE","OOS PENDING","FAIL"))))</x:f>
      </x:c>
      <x:c r="Z154" s="2" t="str">
        <x:f>IF(B154="","",IF(I154&lt;&gt;"READY","",IF(OR(NOT(AND(J154="PASS",'Calibrare_Linii'!U14="VALID")),L154&gt;'Config_v6'!$B$13,W154="WATCH"),5,IF(Y154="PASS",1,MIN(5,MAX('Config_v6'!$B$42,U154)+IF(W154="PENALTY",1,0))))))</x:f>
      </x:c>
      <x:c r="AA154" s="2" t="str">
        <x:f>IF(B154="","",IF(I154&lt;&gt;"READY","NOT RELEASED",IF(Z154=5,"NO BET",IF(OR(AB154&lt;'Config_v6'!$B$16,V154&lt;'Config_v6'!$B$18),"WATCH",IF(Z154=1,"DEFENSIV",IF(Z154=2,"PRUDENT",IF(Z154=3,"MODERAT","RIDICAT")))))))</x:f>
      </x:c>
      <x:c r="AB154" s="10" t="str">
        <x:f>IF(N154="","",MIN(N154,1-S154))</x:f>
      </x:c>
      <x:c r="AC154" s="2" t="str">
        <x:f>IF(AD154&lt;&gt;1,"",COUNTIFS($Z$146:$Z$159,"&lt;"&amp;Z154,$AD$146:$AD$159,1)+COUNTIFS($Z$146:$Z$159,Z154,$AB$146:$AB$159,"&gt;"&amp;AB154,$AD$146:$AD$159,1)+COUNTIFS($Z$146:$Z$159,Z154,$AB$146:$AB$159,AB154,$V$146:$V$159,"&gt;"&amp;V154,$AD$146:$AD$159,1)+COUNTIFS($Z$146:Z154,Z154,$AB$146:AB154,AB154,$V$146:V154,V154,$AD$146:AD154,1))</x:f>
      </x:c>
      <x:c r="AD154" s="2" t="n">
        <x:f>IF(OR(AA154="DEFENSIV",AA154="PRUDENT",AA154="MODERAT",AA154="RIDICAT"),1,0)</x:f>
        <x:v>0</x:v>
      </x:c>
      <x:c r="AE154" s="2" t="str">
        <x:f>IF(AD154&lt;&gt;1,"NO",IF(W154="PASS","YES",IF(W154="OOS PENDING","CONDITIONAL","NO")))</x:f>
        <x:v>NO</x:v>
      </x:c>
      <x:c r="AF154" s="2" t="n">
        <x:f>IF(AND(AD154=1,AC154=1,E154="LIVE"),1,0)</x:f>
        <x:v>0</x:v>
      </x:c>
      <x:c r="AG154" s="2" t="str">
        <x:f>IF(AF154&lt;&gt;1,"",'Dashboard'!P36)</x:f>
      </x:c>
      <x:c r="AH154" s="2" t="str">
        <x:f>IF(B154="","",IF(J154&lt;&gt;"PASS",'Motor_Meciuri'!J16,IF('Calibrare_Linii'!U14&lt;&gt;"VALID","Parametri linie invalizi",IF(L154&gt;'Config_v6'!$B$13,"Dispersie peste limita",IF(W154="WATCH","Failure peste limita",IF(AB154&lt;'Config_v6'!$B$16,"P finala sub prag",IF(V154&lt;'Config_v6'!$B$18,"Confidence sub prag",IF(E154="REPLAY","Exemplu retrospectiv; exclus din Top LIVE",IF(Y154="PASS","DEFENSIV validat",IF(W154="OOS PENDING","Eligibil; calibrare linie in monitorizare","Eligibil"))))))))))</x:f>
      </x:c>
      <x:c r="AI154" s="2" t="str">
        <x:f>IF(B154="","",'Calibrare_Linii'!V14)</x:f>
      </x:c>
      <x:c r="AJ154" s="2" t="str">
        <x:f>IF(B154="","",IF(AND('Calibrare_Linii'!T14="VALIDATED",AND('Calibrare_Linii'!H14=C154,ISNUMBER('Calibrare_Linii'!J14),'Calibrare_Linii'!J14&lt;='Input_Meci'!G16)),"DEFENSIVE VALIDATED",IF(AND('Calibrare_Linii'!S14="VALIDATED",AND('Calibrare_Linii'!H14=C154,ISNUMBER('Calibrare_Linii'!J14),'Calibrare_Linii'!J14&lt;='Input_Meci'!G16)),"TAIL VALIDATED","OOS PENDING")))</x:f>
      </x:c>
      <x:c r="AK154" s="2" t="n">
        <x:f>IF(J154&lt;&gt;"PASS",0,'Motor_Meciuri'!BR16)</x:f>
        <x:v>0</x:v>
      </x:c>
      <x:c r="AL154" s="2" t="n">
        <x:f>IF(J154&lt;&gt;"PASS",0,'Motor_Meciuri'!BS16)</x:f>
        <x:v>0</x:v>
      </x:c>
      <x:c r="AM154" s="2" t="n">
        <x:f>IF(J154&lt;&gt;"PASS",0,'Motor_Meciuri'!BT16)</x:f>
        <x:v>0</x:v>
      </x:c>
      <x:c r="AN154" s="2" t="str">
        <x:f>IF(M154="","",MAX(0,'Motor_Meciuri'!BF16-IF(L154&gt;'Config_v6'!$B$12,'Config_v6'!$B$37,IF(L154&gt;'Config_v6'!$B$11,'Config_v6'!$B$36,0))))</x:f>
      </x:c>
    </x:row>
    <x:row r="155" ht="21" customHeight="1">
      <x:c r="A155" s="2" t="n">
        <x:v>11</x:v>
      </x:c>
      <x:c r="B155" s="2" t="str">
        <x:f>IF('Motor_Meciuri'!A16="","",'Motor_Meciuri'!A16)</x:f>
      </x:c>
      <x:c r="C155" s="2" t="str">
        <x:f>IF(B155="","",'Motor_Meciuri'!B16)</x:f>
      </x:c>
      <x:c r="D155" s="2" t="str">
        <x:f>IF(B155="","",'Motor_Meciuri'!D16)</x:f>
      </x:c>
      <x:c r="E155" s="2" t="str">
        <x:f>IF(B155="","",'Motor_Meciuri'!E16)</x:f>
      </x:c>
      <x:c r="F155" s="2" t="str">
        <x:v>U13,5</x:v>
      </x:c>
      <x:c r="G155" s="2" t="str">
        <x:v>UNDER</x:v>
      </x:c>
      <x:c r="H155" s="2" t="n">
        <x:v>13</x:v>
      </x:c>
      <x:c r="I155" s="2" t="str">
        <x:f>IF(B155="","",'Motor_Meciuri'!H16)</x:f>
      </x:c>
      <x:c r="J155" s="2" t="str">
        <x:f>IF(B155="","",'Motor_Meciuri'!I16)</x:f>
      </x:c>
      <x:c r="K155" s="11" t="str">
        <x:f>IF(J155&lt;&gt;"PASS","",'Motor_Meciuri'!BD16)</x:f>
      </x:c>
      <x:c r="L155" s="11" t="str">
        <x:f>IF(J155&lt;&gt;"PASS","",'Motor_Meciuri'!AU16)</x:f>
      </x:c>
      <x:c r="M155" s="10" t="str">
        <x:f>IF(NOT(AND(J155="PASS",'Calibrare_Linii'!U15="VALID")),"",'Distributie'!AK16)</x:f>
      </x:c>
      <x:c r="N155" s="10" t="str">
        <x:f>IF(M155="","",MAX(0.01,MIN(0.99,0.5+(M155-0.5)*'Motor_Meciuri'!BG16*'Calibrare_Linii'!D15)))</x:f>
      </x:c>
      <x:c r="O155" s="10" t="str">
        <x:f>IF(M155="","",1-M155)</x:f>
      </x:c>
      <x:c r="P155" s="10" t="str">
        <x:f>IF(OR(NOT(AND(J155="PASS",'Calibrare_Linii'!U15="VALID")),AK155=0),""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*('Istoric_Nativ'!$Q$6:$Q$405&gt;H155))/AK155)</x:f>
      </x:c>
      <x:c r="Q155" s="10" t="str">
        <x:f>IF(OR(NOT(AND(J155="PASS",'Calibrare_Linii'!U15="VALID")),AL155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M16)+((('Istoric_Nativ'!$E$6:$E$405='Input_Meci'!E16)+('Istoric_Nativ'!$F$6:$F$405='Input_Meci'!E16))&gt;0)*('Istoric_Nativ'!$D$6:$D$405&gt;='Motor_Meciuri'!BN16))&gt;0)*('Istoric_Nativ'!$Q$6:$Q$405&gt;H155))/AL155)</x:f>
      </x:c>
      <x:c r="R155" s="10" t="str">
        <x:f>IF(OR(NOT(AND(J155="PASS",'Calibrare_Linii'!U15="VALID")),AM155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O16)+((('Istoric_Nativ'!$E$6:$E$405='Input_Meci'!E16)+('Istoric_Nativ'!$F$6:$F$405='Input_Meci'!E16))&gt;0)*('Istoric_Nativ'!$D$6:$D$405&gt;='Motor_Meciuri'!BP16))&gt;0)*('Istoric_Nativ'!$Q$6:$Q$405&gt;H155))/AM155)</x:f>
      </x:c>
      <x:c r="S155" s="10" t="str">
        <x:f>IF(M155="","",MAX(O155,P155,Q155,R155))</x:f>
      </x:c>
      <x:c r="T155" s="11" t="str">
        <x:f>IF(M155="","",MIN(100,S155*100*'Config_v6'!$B$44+MIN(100,L155/'Config_v6'!$B$13*100)*'Config_v6'!$B$45+(100-'Motor_Meciuri'!BF16)*'Config_v6'!$B$46+'Motor_Meciuri'!BH16*100*'Config_v6'!$B$47))</x:f>
      </x:c>
      <x:c r="U155" s="2" t="str">
        <x:f>IF(T155="","",IF(T155&lt;=20,1,IF(T155&lt;=40,2,IF(T155&lt;=60,3,IF(T155&lt;=80,4,5)))))</x:f>
      </x:c>
      <x:c r="V155" s="2" t="str">
        <x:f>IF(M155="","",MAX(0,'Motor_Meciuri'!BF16-IF(W155="OOS PENDING",'Config_v6'!$B$35,0)-IF(L155&gt;'Config_v6'!$B$12,'Config_v6'!$B$37,IF(L155&gt;'Config_v6'!$B$11,'Config_v6'!$B$36,0))))</x:f>
      </x:c>
      <x:c r="W155" s="2" t="str">
        <x:f>IF(B155="","",IF(I155&lt;&gt;"READY","NOT RELEASED",IF(NOT(AND(J155="PASS",'Calibrare_Linii'!U15="VALID")),"INVALID",IF(NOT(AND('Calibrare_Linii'!S15="VALIDATED",AND('Calibrare_Linii'!H15=C155,ISNUMBER('Calibrare_Linii'!J15),'Calibrare_Linii'!J15&lt;='Input_Meci'!G16))),"OOS PENDING",IF(S155&lt;='Calibrare_Linii'!E15,"PASS",IF(S155&lt;='Calibrare_Linii'!F15,"PENALTY","WATCH"))))))</x:f>
      </x:c>
      <x:c r="X155" s="2" t="str">
        <x:f>IF(M155="","",IF(AND(AND(J155="PASS",'Calibrare_Linii'!U15="VALID"),'Motor_Meciuri'!K16=12,'Motor_Meciuri'!L16=12,'Motor_Meciuri'!M16="NO",'Motor_Meciuri'!BL16='Motor_Meciuri'!C16,AB155&gt;='Config_v6'!$B$50,AN155&gt;='Config_v6'!$B$51,T155&lt;='Config_v6'!$B$52,L155&lt;='Config_v6'!$B$53,ISNUMBER('Calibrare_Linii'!E15),S155&lt;='Calibrare_Linii'!E15,SUM(AK155:AM155)&gt;0),"CANDIDATE","NO"))</x:f>
      </x:c>
      <x:c r="Y155" s="2" t="str">
        <x:f>IF(B155="","",IF(I155&lt;&gt;"READY","NOT RELEASED",IF(AND(X155="CANDIDATE",V155&gt;='Config_v6'!$B$51,W155="PASS",'Calibrare_Linii'!T15="VALIDATED",AND('Calibrare_Linii'!H15=C155,ISNUMBER('Calibrare_Linii'!J15),'Calibrare_Linii'!J15&lt;='Input_Meci'!G16)),"PASS",IF(X155="CANDIDATE","OOS PENDING","FAIL"))))</x:f>
      </x:c>
      <x:c r="Z155" s="2" t="str">
        <x:f>IF(B155="","",IF(I155&lt;&gt;"READY","",IF(OR(NOT(AND(J155="PASS",'Calibrare_Linii'!U15="VALID")),L155&gt;'Config_v6'!$B$13,W155="WATCH"),5,IF(Y155="PASS",1,MIN(5,MAX('Config_v6'!$B$42,U155)+IF(W155="PENALTY",1,0))))))</x:f>
      </x:c>
      <x:c r="AA155" s="2" t="str">
        <x:f>IF(B155="","",IF(I155&lt;&gt;"READY","NOT RELEASED",IF(Z155=5,"NO BET",IF(OR(AB155&lt;'Config_v6'!$B$16,V155&lt;'Config_v6'!$B$18),"WATCH",IF(Z155=1,"DEFENSIV",IF(Z155=2,"PRUDENT",IF(Z155=3,"MODERAT","RIDICAT")))))))</x:f>
      </x:c>
      <x:c r="AB155" s="10" t="str">
        <x:f>IF(N155="","",MIN(N155,1-S155))</x:f>
      </x:c>
      <x:c r="AC155" s="2" t="str">
        <x:f>IF(AD155&lt;&gt;1,"",COUNTIFS($Z$146:$Z$159,"&lt;"&amp;Z155,$AD$146:$AD$159,1)+COUNTIFS($Z$146:$Z$159,Z155,$AB$146:$AB$159,"&gt;"&amp;AB155,$AD$146:$AD$159,1)+COUNTIFS($Z$146:$Z$159,Z155,$AB$146:$AB$159,AB155,$V$146:$V$159,"&gt;"&amp;V155,$AD$146:$AD$159,1)+COUNTIFS($Z$146:Z155,Z155,$AB$146:AB155,AB155,$V$146:V155,V155,$AD$146:AD155,1))</x:f>
      </x:c>
      <x:c r="AD155" s="2" t="n">
        <x:f>IF(OR(AA155="DEFENSIV",AA155="PRUDENT",AA155="MODERAT",AA155="RIDICAT"),1,0)</x:f>
        <x:v>0</x:v>
      </x:c>
      <x:c r="AE155" s="2" t="str">
        <x:f>IF(AD155&lt;&gt;1,"NO",IF(W155="PASS","YES",IF(W155="OOS PENDING","CONDITIONAL","NO")))</x:f>
        <x:v>NO</x:v>
      </x:c>
      <x:c r="AF155" s="2" t="n">
        <x:f>IF(AND(AD155=1,AC155=1,E155="LIVE"),1,0)</x:f>
        <x:v>0</x:v>
      </x:c>
      <x:c r="AG155" s="2" t="str">
        <x:f>IF(AF155&lt;&gt;1,"",'Dashboard'!P36)</x:f>
      </x:c>
      <x:c r="AH155" s="2" t="str">
        <x:f>IF(B155="","",IF(J155&lt;&gt;"PASS",'Motor_Meciuri'!J16,IF('Calibrare_Linii'!U15&lt;&gt;"VALID","Parametri linie invalizi",IF(L155&gt;'Config_v6'!$B$13,"Dispersie peste limita",IF(W155="WATCH","Failure peste limita",IF(AB155&lt;'Config_v6'!$B$16,"P finala sub prag",IF(V155&lt;'Config_v6'!$B$18,"Confidence sub prag",IF(E155="REPLAY","Exemplu retrospectiv; exclus din Top LIVE",IF(Y155="PASS","DEFENSIV validat",IF(W155="OOS PENDING","Eligibil; calibrare linie in monitorizare","Eligibil"))))))))))</x:f>
      </x:c>
      <x:c r="AI155" s="2" t="str">
        <x:f>IF(B155="","",'Calibrare_Linii'!V15)</x:f>
      </x:c>
      <x:c r="AJ155" s="2" t="str">
        <x:f>IF(B155="","",IF(AND('Calibrare_Linii'!T15="VALIDATED",AND('Calibrare_Linii'!H15=C155,ISNUMBER('Calibrare_Linii'!J15),'Calibrare_Linii'!J15&lt;='Input_Meci'!G16)),"DEFENSIVE VALIDATED",IF(AND('Calibrare_Linii'!S15="VALIDATED",AND('Calibrare_Linii'!H15=C155,ISNUMBER('Calibrare_Linii'!J15),'Calibrare_Linii'!J15&lt;='Input_Meci'!G16)),"TAIL VALIDATED","OOS PENDING")))</x:f>
      </x:c>
      <x:c r="AK155" s="2" t="n">
        <x:f>IF(J155&lt;&gt;"PASS",0,'Motor_Meciuri'!BR16)</x:f>
        <x:v>0</x:v>
      </x:c>
      <x:c r="AL155" s="2" t="n">
        <x:f>IF(J155&lt;&gt;"PASS",0,'Motor_Meciuri'!BS16)</x:f>
        <x:v>0</x:v>
      </x:c>
      <x:c r="AM155" s="2" t="n">
        <x:f>IF(J155&lt;&gt;"PASS",0,'Motor_Meciuri'!BT16)</x:f>
        <x:v>0</x:v>
      </x:c>
      <x:c r="AN155" s="2" t="str">
        <x:f>IF(M155="","",MAX(0,'Motor_Meciuri'!BF16-IF(L155&gt;'Config_v6'!$B$12,'Config_v6'!$B$37,IF(L155&gt;'Config_v6'!$B$11,'Config_v6'!$B$36,0))))</x:f>
      </x:c>
    </x:row>
    <x:row r="156" ht="21" customHeight="1">
      <x:c r="A156" s="2" t="n">
        <x:v>11</x:v>
      </x:c>
      <x:c r="B156" s="2" t="str">
        <x:f>IF('Motor_Meciuri'!A16="","",'Motor_Meciuri'!A16)</x:f>
      </x:c>
      <x:c r="C156" s="2" t="str">
        <x:f>IF(B156="","",'Motor_Meciuri'!B16)</x:f>
      </x:c>
      <x:c r="D156" s="2" t="str">
        <x:f>IF(B156="","",'Motor_Meciuri'!D16)</x:f>
      </x:c>
      <x:c r="E156" s="2" t="str">
        <x:f>IF(B156="","",'Motor_Meciuri'!E16)</x:f>
      </x:c>
      <x:c r="F156" s="2" t="str">
        <x:v>U14,5</x:v>
      </x:c>
      <x:c r="G156" s="2" t="str">
        <x:v>UNDER</x:v>
      </x:c>
      <x:c r="H156" s="2" t="n">
        <x:v>14</x:v>
      </x:c>
      <x:c r="I156" s="2" t="str">
        <x:f>IF(B156="","",'Motor_Meciuri'!H16)</x:f>
      </x:c>
      <x:c r="J156" s="2" t="str">
        <x:f>IF(B156="","",'Motor_Meciuri'!I16)</x:f>
      </x:c>
      <x:c r="K156" s="11" t="str">
        <x:f>IF(J156&lt;&gt;"PASS","",'Motor_Meciuri'!BD16)</x:f>
      </x:c>
      <x:c r="L156" s="11" t="str">
        <x:f>IF(J156&lt;&gt;"PASS","",'Motor_Meciuri'!AU16)</x:f>
      </x:c>
      <x:c r="M156" s="10" t="str">
        <x:f>IF(NOT(AND(J156="PASS",'Calibrare_Linii'!U16="VALID")),"",'Distributie'!AL16)</x:f>
      </x:c>
      <x:c r="N156" s="10" t="str">
        <x:f>IF(M156="","",MAX(0.01,MIN(0.99,0.5+(M156-0.5)*'Motor_Meciuri'!BG16*'Calibrare_Linii'!D16)))</x:f>
      </x:c>
      <x:c r="O156" s="10" t="str">
        <x:f>IF(M156="","",1-M156)</x:f>
      </x:c>
      <x:c r="P156" s="10" t="str">
        <x:f>IF(OR(NOT(AND(J156="PASS",'Calibrare_Linii'!U16="VALID")),AK156=0),""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*('Istoric_Nativ'!$Q$6:$Q$405&gt;H156))/AK156)</x:f>
      </x:c>
      <x:c r="Q156" s="10" t="str">
        <x:f>IF(OR(NOT(AND(J156="PASS",'Calibrare_Linii'!U16="VALID")),AL156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M16)+((('Istoric_Nativ'!$E$6:$E$405='Input_Meci'!E16)+('Istoric_Nativ'!$F$6:$F$405='Input_Meci'!E16))&gt;0)*('Istoric_Nativ'!$D$6:$D$405&gt;='Motor_Meciuri'!BN16))&gt;0)*('Istoric_Nativ'!$Q$6:$Q$405&gt;H156))/AL156)</x:f>
      </x:c>
      <x:c r="R156" s="10" t="str">
        <x:f>IF(OR(NOT(AND(J156="PASS",'Calibrare_Linii'!U16="VALID")),AM156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O16)+((('Istoric_Nativ'!$E$6:$E$405='Input_Meci'!E16)+('Istoric_Nativ'!$F$6:$F$405='Input_Meci'!E16))&gt;0)*('Istoric_Nativ'!$D$6:$D$405&gt;='Motor_Meciuri'!BP16))&gt;0)*('Istoric_Nativ'!$Q$6:$Q$405&gt;H156))/AM156)</x:f>
      </x:c>
      <x:c r="S156" s="10" t="str">
        <x:f>IF(M156="","",MAX(O156,P156,Q156,R156))</x:f>
      </x:c>
      <x:c r="T156" s="11" t="str">
        <x:f>IF(M156="","",MIN(100,S156*100*'Config_v6'!$B$44+MIN(100,L156/'Config_v6'!$B$13*100)*'Config_v6'!$B$45+(100-'Motor_Meciuri'!BF16)*'Config_v6'!$B$46+'Motor_Meciuri'!BH16*100*'Config_v6'!$B$47))</x:f>
      </x:c>
      <x:c r="U156" s="2" t="str">
        <x:f>IF(T156="","",IF(T156&lt;=20,1,IF(T156&lt;=40,2,IF(T156&lt;=60,3,IF(T156&lt;=80,4,5)))))</x:f>
      </x:c>
      <x:c r="V156" s="2" t="str">
        <x:f>IF(M156="","",MAX(0,'Motor_Meciuri'!BF16-IF(W156="OOS PENDING",'Config_v6'!$B$35,0)-IF(L156&gt;'Config_v6'!$B$12,'Config_v6'!$B$37,IF(L156&gt;'Config_v6'!$B$11,'Config_v6'!$B$36,0))))</x:f>
      </x:c>
      <x:c r="W156" s="2" t="str">
        <x:f>IF(B156="","",IF(I156&lt;&gt;"READY","NOT RELEASED",IF(NOT(AND(J156="PASS",'Calibrare_Linii'!U16="VALID")),"INVALID",IF(NOT(AND('Calibrare_Linii'!S16="VALIDATED",AND('Calibrare_Linii'!H16=C156,ISNUMBER('Calibrare_Linii'!J16),'Calibrare_Linii'!J16&lt;='Input_Meci'!G16))),"OOS PENDING",IF(S156&lt;='Calibrare_Linii'!E16,"PASS",IF(S156&lt;='Calibrare_Linii'!F16,"PENALTY","WATCH"))))))</x:f>
      </x:c>
      <x:c r="X156" s="2" t="str">
        <x:f>IF(M156="","",IF(AND(AND(J156="PASS",'Calibrare_Linii'!U16="VALID"),'Motor_Meciuri'!K16=12,'Motor_Meciuri'!L16=12,'Motor_Meciuri'!M16="NO",'Motor_Meciuri'!BL16='Motor_Meciuri'!C16,AB156&gt;='Config_v6'!$B$50,AN156&gt;='Config_v6'!$B$51,T156&lt;='Config_v6'!$B$52,L156&lt;='Config_v6'!$B$53,ISNUMBER('Calibrare_Linii'!E16),S156&lt;='Calibrare_Linii'!E16,SUM(AK156:AM156)&gt;0),"CANDIDATE","NO"))</x:f>
      </x:c>
      <x:c r="Y156" s="2" t="str">
        <x:f>IF(B156="","",IF(I156&lt;&gt;"READY","NOT RELEASED",IF(AND(X156="CANDIDATE",V156&gt;='Config_v6'!$B$51,W156="PASS",'Calibrare_Linii'!T16="VALIDATED",AND('Calibrare_Linii'!H16=C156,ISNUMBER('Calibrare_Linii'!J16),'Calibrare_Linii'!J16&lt;='Input_Meci'!G16)),"PASS",IF(X156="CANDIDATE","OOS PENDING","FAIL"))))</x:f>
      </x:c>
      <x:c r="Z156" s="2" t="str">
        <x:f>IF(B156="","",IF(I156&lt;&gt;"READY","",IF(OR(NOT(AND(J156="PASS",'Calibrare_Linii'!U16="VALID")),L156&gt;'Config_v6'!$B$13,W156="WATCH"),5,IF(Y156="PASS",1,MIN(5,MAX('Config_v6'!$B$42,U156)+IF(W156="PENALTY",1,0))))))</x:f>
      </x:c>
      <x:c r="AA156" s="2" t="str">
        <x:f>IF(B156="","",IF(I156&lt;&gt;"READY","NOT RELEASED",IF(Z156=5,"NO BET",IF(OR(AB156&lt;'Config_v6'!$B$16,V156&lt;'Config_v6'!$B$18),"WATCH",IF(Z156=1,"DEFENSIV",IF(Z156=2,"PRUDENT",IF(Z156=3,"MODERAT","RIDICAT")))))))</x:f>
      </x:c>
      <x:c r="AB156" s="10" t="str">
        <x:f>IF(N156="","",MIN(N156,1-S156))</x:f>
      </x:c>
      <x:c r="AC156" s="2" t="str">
        <x:f>IF(AD156&lt;&gt;1,"",COUNTIFS($Z$146:$Z$159,"&lt;"&amp;Z156,$AD$146:$AD$159,1)+COUNTIFS($Z$146:$Z$159,Z156,$AB$146:$AB$159,"&gt;"&amp;AB156,$AD$146:$AD$159,1)+COUNTIFS($Z$146:$Z$159,Z156,$AB$146:$AB$159,AB156,$V$146:$V$159,"&gt;"&amp;V156,$AD$146:$AD$159,1)+COUNTIFS($Z$146:Z156,Z156,$AB$146:AB156,AB156,$V$146:V156,V156,$AD$146:AD156,1))</x:f>
      </x:c>
      <x:c r="AD156" s="2" t="n">
        <x:f>IF(OR(AA156="DEFENSIV",AA156="PRUDENT",AA156="MODERAT",AA156="RIDICAT"),1,0)</x:f>
        <x:v>0</x:v>
      </x:c>
      <x:c r="AE156" s="2" t="str">
        <x:f>IF(AD156&lt;&gt;1,"NO",IF(W156="PASS","YES",IF(W156="OOS PENDING","CONDITIONAL","NO")))</x:f>
        <x:v>NO</x:v>
      </x:c>
      <x:c r="AF156" s="2" t="n">
        <x:f>IF(AND(AD156=1,AC156=1,E156="LIVE"),1,0)</x:f>
        <x:v>0</x:v>
      </x:c>
      <x:c r="AG156" s="2" t="str">
        <x:f>IF(AF156&lt;&gt;1,"",'Dashboard'!P36)</x:f>
      </x:c>
      <x:c r="AH156" s="2" t="str">
        <x:f>IF(B156="","",IF(J156&lt;&gt;"PASS",'Motor_Meciuri'!J16,IF('Calibrare_Linii'!U16&lt;&gt;"VALID","Parametri linie invalizi",IF(L156&gt;'Config_v6'!$B$13,"Dispersie peste limita",IF(W156="WATCH","Failure peste limita",IF(AB156&lt;'Config_v6'!$B$16,"P finala sub prag",IF(V156&lt;'Config_v6'!$B$18,"Confidence sub prag",IF(E156="REPLAY","Exemplu retrospectiv; exclus din Top LIVE",IF(Y156="PASS","DEFENSIV validat",IF(W156="OOS PENDING","Eligibil; calibrare linie in monitorizare","Eligibil"))))))))))</x:f>
      </x:c>
      <x:c r="AI156" s="2" t="str">
        <x:f>IF(B156="","",'Calibrare_Linii'!V16)</x:f>
      </x:c>
      <x:c r="AJ156" s="2" t="str">
        <x:f>IF(B156="","",IF(AND('Calibrare_Linii'!T16="VALIDATED",AND('Calibrare_Linii'!H16=C156,ISNUMBER('Calibrare_Linii'!J16),'Calibrare_Linii'!J16&lt;='Input_Meci'!G16)),"DEFENSIVE VALIDATED",IF(AND('Calibrare_Linii'!S16="VALIDATED",AND('Calibrare_Linii'!H16=C156,ISNUMBER('Calibrare_Linii'!J16),'Calibrare_Linii'!J16&lt;='Input_Meci'!G16)),"TAIL VALIDATED","OOS PENDING")))</x:f>
      </x:c>
      <x:c r="AK156" s="2" t="n">
        <x:f>IF(J156&lt;&gt;"PASS",0,'Motor_Meciuri'!BR16)</x:f>
        <x:v>0</x:v>
      </x:c>
      <x:c r="AL156" s="2" t="n">
        <x:f>IF(J156&lt;&gt;"PASS",0,'Motor_Meciuri'!BS16)</x:f>
        <x:v>0</x:v>
      </x:c>
      <x:c r="AM156" s="2" t="n">
        <x:f>IF(J156&lt;&gt;"PASS",0,'Motor_Meciuri'!BT16)</x:f>
        <x:v>0</x:v>
      </x:c>
      <x:c r="AN156" s="2" t="str">
        <x:f>IF(M156="","",MAX(0,'Motor_Meciuri'!BF16-IF(L156&gt;'Config_v6'!$B$12,'Config_v6'!$B$37,IF(L156&gt;'Config_v6'!$B$11,'Config_v6'!$B$36,0))))</x:f>
      </x:c>
    </x:row>
    <x:row r="157" ht="21" customHeight="1">
      <x:c r="A157" s="2" t="n">
        <x:v>11</x:v>
      </x:c>
      <x:c r="B157" s="2" t="str">
        <x:f>IF('Motor_Meciuri'!A16="","",'Motor_Meciuri'!A16)</x:f>
      </x:c>
      <x:c r="C157" s="2" t="str">
        <x:f>IF(B157="","",'Motor_Meciuri'!B16)</x:f>
      </x:c>
      <x:c r="D157" s="2" t="str">
        <x:f>IF(B157="","",'Motor_Meciuri'!D16)</x:f>
      </x:c>
      <x:c r="E157" s="2" t="str">
        <x:f>IF(B157="","",'Motor_Meciuri'!E16)</x:f>
      </x:c>
      <x:c r="F157" s="2" t="str">
        <x:v>U15,5</x:v>
      </x:c>
      <x:c r="G157" s="2" t="str">
        <x:v>UNDER</x:v>
      </x:c>
      <x:c r="H157" s="2" t="n">
        <x:v>15</x:v>
      </x:c>
      <x:c r="I157" s="2" t="str">
        <x:f>IF(B157="","",'Motor_Meciuri'!H16)</x:f>
      </x:c>
      <x:c r="J157" s="2" t="str">
        <x:f>IF(B157="","",'Motor_Meciuri'!I16)</x:f>
      </x:c>
      <x:c r="K157" s="11" t="str">
        <x:f>IF(J157&lt;&gt;"PASS","",'Motor_Meciuri'!BD16)</x:f>
      </x:c>
      <x:c r="L157" s="11" t="str">
        <x:f>IF(J157&lt;&gt;"PASS","",'Motor_Meciuri'!AU16)</x:f>
      </x:c>
      <x:c r="M157" s="10" t="str">
        <x:f>IF(NOT(AND(J157="PASS",'Calibrare_Linii'!U17="VALID")),"",'Distributie'!AM16)</x:f>
      </x:c>
      <x:c r="N157" s="10" t="str">
        <x:f>IF(M157="","",MAX(0.01,MIN(0.99,0.5+(M157-0.5)*'Motor_Meciuri'!BG16*'Calibrare_Linii'!D17)))</x:f>
      </x:c>
      <x:c r="O157" s="10" t="str">
        <x:f>IF(M157="","",1-M157)</x:f>
      </x:c>
      <x:c r="P157" s="10" t="str">
        <x:f>IF(OR(NOT(AND(J157="PASS",'Calibrare_Linii'!U17="VALID")),AK157=0),""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*('Istoric_Nativ'!$Q$6:$Q$405&gt;H157))/AK157)</x:f>
      </x:c>
      <x:c r="Q157" s="10" t="str">
        <x:f>IF(OR(NOT(AND(J157="PASS",'Calibrare_Linii'!U17="VALID")),AL157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M16)+((('Istoric_Nativ'!$E$6:$E$405='Input_Meci'!E16)+('Istoric_Nativ'!$F$6:$F$405='Input_Meci'!E16))&gt;0)*('Istoric_Nativ'!$D$6:$D$405&gt;='Motor_Meciuri'!BN16))&gt;0)*('Istoric_Nativ'!$Q$6:$Q$405&gt;H157))/AL157)</x:f>
      </x:c>
      <x:c r="R157" s="10" t="str">
        <x:f>IF(OR(NOT(AND(J157="PASS",'Calibrare_Linii'!U17="VALID")),AM157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O16)+((('Istoric_Nativ'!$E$6:$E$405='Input_Meci'!E16)+('Istoric_Nativ'!$F$6:$F$405='Input_Meci'!E16))&gt;0)*('Istoric_Nativ'!$D$6:$D$405&gt;='Motor_Meciuri'!BP16))&gt;0)*('Istoric_Nativ'!$Q$6:$Q$405&gt;H157))/AM157)</x:f>
      </x:c>
      <x:c r="S157" s="10" t="str">
        <x:f>IF(M157="","",MAX(O157,P157,Q157,R157))</x:f>
      </x:c>
      <x:c r="T157" s="11" t="str">
        <x:f>IF(M157="","",MIN(100,S157*100*'Config_v6'!$B$44+MIN(100,L157/'Config_v6'!$B$13*100)*'Config_v6'!$B$45+(100-'Motor_Meciuri'!BF16)*'Config_v6'!$B$46+'Motor_Meciuri'!BH16*100*'Config_v6'!$B$47))</x:f>
      </x:c>
      <x:c r="U157" s="2" t="str">
        <x:f>IF(T157="","",IF(T157&lt;=20,1,IF(T157&lt;=40,2,IF(T157&lt;=60,3,IF(T157&lt;=80,4,5)))))</x:f>
      </x:c>
      <x:c r="V157" s="2" t="str">
        <x:f>IF(M157="","",MAX(0,'Motor_Meciuri'!BF16-IF(W157="OOS PENDING",'Config_v6'!$B$35,0)-IF(L157&gt;'Config_v6'!$B$12,'Config_v6'!$B$37,IF(L157&gt;'Config_v6'!$B$11,'Config_v6'!$B$36,0))))</x:f>
      </x:c>
      <x:c r="W157" s="2" t="str">
        <x:f>IF(B157="","",IF(I157&lt;&gt;"READY","NOT RELEASED",IF(NOT(AND(J157="PASS",'Calibrare_Linii'!U17="VALID")),"INVALID",IF(NOT(AND('Calibrare_Linii'!S17="VALIDATED",AND('Calibrare_Linii'!H17=C157,ISNUMBER('Calibrare_Linii'!J17),'Calibrare_Linii'!J17&lt;='Input_Meci'!G16))),"OOS PENDING",IF(S157&lt;='Calibrare_Linii'!E17,"PASS",IF(S157&lt;='Calibrare_Linii'!F17,"PENALTY","WATCH"))))))</x:f>
      </x:c>
      <x:c r="X157" s="2" t="str">
        <x:f>IF(M157="","",IF(AND(AND(J157="PASS",'Calibrare_Linii'!U17="VALID"),'Motor_Meciuri'!K16=12,'Motor_Meciuri'!L16=12,'Motor_Meciuri'!M16="NO",'Motor_Meciuri'!BL16='Motor_Meciuri'!C16,AB157&gt;='Config_v6'!$B$50,AN157&gt;='Config_v6'!$B$51,T157&lt;='Config_v6'!$B$52,L157&lt;='Config_v6'!$B$53,ISNUMBER('Calibrare_Linii'!E17),S157&lt;='Calibrare_Linii'!E17,SUM(AK157:AM157)&gt;0),"CANDIDATE","NO"))</x:f>
      </x:c>
      <x:c r="Y157" s="2" t="str">
        <x:f>IF(B157="","",IF(I157&lt;&gt;"READY","NOT RELEASED",IF(AND(X157="CANDIDATE",V157&gt;='Config_v6'!$B$51,W157="PASS",'Calibrare_Linii'!T17="VALIDATED",AND('Calibrare_Linii'!H17=C157,ISNUMBER('Calibrare_Linii'!J17),'Calibrare_Linii'!J17&lt;='Input_Meci'!G16)),"PASS",IF(X157="CANDIDATE","OOS PENDING","FAIL"))))</x:f>
      </x:c>
      <x:c r="Z157" s="2" t="str">
        <x:f>IF(B157="","",IF(I157&lt;&gt;"READY","",IF(OR(NOT(AND(J157="PASS",'Calibrare_Linii'!U17="VALID")),L157&gt;'Config_v6'!$B$13,W157="WATCH"),5,IF(Y157="PASS",1,MIN(5,MAX('Config_v6'!$B$42,U157)+IF(W157="PENALTY",1,0))))))</x:f>
      </x:c>
      <x:c r="AA157" s="2" t="str">
        <x:f>IF(B157="","",IF(I157&lt;&gt;"READY","NOT RELEASED",IF(Z157=5,"NO BET",IF(OR(AB157&lt;'Config_v6'!$B$16,V157&lt;'Config_v6'!$B$18),"WATCH",IF(Z157=1,"DEFENSIV",IF(Z157=2,"PRUDENT",IF(Z157=3,"MODERAT","RIDICAT")))))))</x:f>
      </x:c>
      <x:c r="AB157" s="10" t="str">
        <x:f>IF(N157="","",MIN(N157,1-S157))</x:f>
      </x:c>
      <x:c r="AC157" s="2" t="str">
        <x:f>IF(AD157&lt;&gt;1,"",COUNTIFS($Z$146:$Z$159,"&lt;"&amp;Z157,$AD$146:$AD$159,1)+COUNTIFS($Z$146:$Z$159,Z157,$AB$146:$AB$159,"&gt;"&amp;AB157,$AD$146:$AD$159,1)+COUNTIFS($Z$146:$Z$159,Z157,$AB$146:$AB$159,AB157,$V$146:$V$159,"&gt;"&amp;V157,$AD$146:$AD$159,1)+COUNTIFS($Z$146:Z157,Z157,$AB$146:AB157,AB157,$V$146:V157,V157,$AD$146:AD157,1))</x:f>
      </x:c>
      <x:c r="AD157" s="2" t="n">
        <x:f>IF(OR(AA157="DEFENSIV",AA157="PRUDENT",AA157="MODERAT",AA157="RIDICAT"),1,0)</x:f>
        <x:v>0</x:v>
      </x:c>
      <x:c r="AE157" s="2" t="str">
        <x:f>IF(AD157&lt;&gt;1,"NO",IF(W157="PASS","YES",IF(W157="OOS PENDING","CONDITIONAL","NO")))</x:f>
        <x:v>NO</x:v>
      </x:c>
      <x:c r="AF157" s="2" t="n">
        <x:f>IF(AND(AD157=1,AC157=1,E157="LIVE"),1,0)</x:f>
        <x:v>0</x:v>
      </x:c>
      <x:c r="AG157" s="2" t="str">
        <x:f>IF(AF157&lt;&gt;1,"",'Dashboard'!P36)</x:f>
      </x:c>
      <x:c r="AH157" s="2" t="str">
        <x:f>IF(B157="","",IF(J157&lt;&gt;"PASS",'Motor_Meciuri'!J16,IF('Calibrare_Linii'!U17&lt;&gt;"VALID","Parametri linie invalizi",IF(L157&gt;'Config_v6'!$B$13,"Dispersie peste limita",IF(W157="WATCH","Failure peste limita",IF(AB157&lt;'Config_v6'!$B$16,"P finala sub prag",IF(V157&lt;'Config_v6'!$B$18,"Confidence sub prag",IF(E157="REPLAY","Exemplu retrospectiv; exclus din Top LIVE",IF(Y157="PASS","DEFENSIV validat",IF(W157="OOS PENDING","Eligibil; calibrare linie in monitorizare","Eligibil"))))))))))</x:f>
      </x:c>
      <x:c r="AI157" s="2" t="str">
        <x:f>IF(B157="","",'Calibrare_Linii'!V17)</x:f>
      </x:c>
      <x:c r="AJ157" s="2" t="str">
        <x:f>IF(B157="","",IF(AND('Calibrare_Linii'!T17="VALIDATED",AND('Calibrare_Linii'!H17=C157,ISNUMBER('Calibrare_Linii'!J17),'Calibrare_Linii'!J17&lt;='Input_Meci'!G16)),"DEFENSIVE VALIDATED",IF(AND('Calibrare_Linii'!S17="VALIDATED",AND('Calibrare_Linii'!H17=C157,ISNUMBER('Calibrare_Linii'!J17),'Calibrare_Linii'!J17&lt;='Input_Meci'!G16)),"TAIL VALIDATED","OOS PENDING")))</x:f>
      </x:c>
      <x:c r="AK157" s="2" t="n">
        <x:f>IF(J157&lt;&gt;"PASS",0,'Motor_Meciuri'!BR16)</x:f>
        <x:v>0</x:v>
      </x:c>
      <x:c r="AL157" s="2" t="n">
        <x:f>IF(J157&lt;&gt;"PASS",0,'Motor_Meciuri'!BS16)</x:f>
        <x:v>0</x:v>
      </x:c>
      <x:c r="AM157" s="2" t="n">
        <x:f>IF(J157&lt;&gt;"PASS",0,'Motor_Meciuri'!BT16)</x:f>
        <x:v>0</x:v>
      </x:c>
      <x:c r="AN157" s="2" t="str">
        <x:f>IF(M157="","",MAX(0,'Motor_Meciuri'!BF16-IF(L157&gt;'Config_v6'!$B$12,'Config_v6'!$B$37,IF(L157&gt;'Config_v6'!$B$11,'Config_v6'!$B$36,0))))</x:f>
      </x:c>
    </x:row>
    <x:row r="158" ht="21" customHeight="1">
      <x:c r="A158" s="2" t="n">
        <x:v>11</x:v>
      </x:c>
      <x:c r="B158" s="2" t="str">
        <x:f>IF('Motor_Meciuri'!A16="","",'Motor_Meciuri'!A16)</x:f>
      </x:c>
      <x:c r="C158" s="2" t="str">
        <x:f>IF(B158="","",'Motor_Meciuri'!B16)</x:f>
      </x:c>
      <x:c r="D158" s="2" t="str">
        <x:f>IF(B158="","",'Motor_Meciuri'!D16)</x:f>
      </x:c>
      <x:c r="E158" s="2" t="str">
        <x:f>IF(B158="","",'Motor_Meciuri'!E16)</x:f>
      </x:c>
      <x:c r="F158" s="2" t="str">
        <x:v>U16,5</x:v>
      </x:c>
      <x:c r="G158" s="2" t="str">
        <x:v>UNDER</x:v>
      </x:c>
      <x:c r="H158" s="2" t="n">
        <x:v>16</x:v>
      </x:c>
      <x:c r="I158" s="2" t="str">
        <x:f>IF(B158="","",'Motor_Meciuri'!H16)</x:f>
      </x:c>
      <x:c r="J158" s="2" t="str">
        <x:f>IF(B158="","",'Motor_Meciuri'!I16)</x:f>
      </x:c>
      <x:c r="K158" s="11" t="str">
        <x:f>IF(J158&lt;&gt;"PASS","",'Motor_Meciuri'!BD16)</x:f>
      </x:c>
      <x:c r="L158" s="11" t="str">
        <x:f>IF(J158&lt;&gt;"PASS","",'Motor_Meciuri'!AU16)</x:f>
      </x:c>
      <x:c r="M158" s="10" t="str">
        <x:f>IF(NOT(AND(J158="PASS",'Calibrare_Linii'!U18="VALID")),"",'Distributie'!AN16)</x:f>
      </x:c>
      <x:c r="N158" s="10" t="str">
        <x:f>IF(M158="","",MAX(0.01,MIN(0.99,0.5+(M158-0.5)*'Motor_Meciuri'!BG16*'Calibrare_Linii'!D18)))</x:f>
      </x:c>
      <x:c r="O158" s="10" t="str">
        <x:f>IF(M158="","",1-M158)</x:f>
      </x:c>
      <x:c r="P158" s="10" t="str">
        <x:f>IF(OR(NOT(AND(J158="PASS",'Calibrare_Linii'!U18="VALID")),AK158=0),""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*('Istoric_Nativ'!$Q$6:$Q$405&gt;H158))/AK158)</x:f>
      </x:c>
      <x:c r="Q158" s="10" t="str">
        <x:f>IF(OR(NOT(AND(J158="PASS",'Calibrare_Linii'!U18="VALID")),AL158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M16)+((('Istoric_Nativ'!$E$6:$E$405='Input_Meci'!E16)+('Istoric_Nativ'!$F$6:$F$405='Input_Meci'!E16))&gt;0)*('Istoric_Nativ'!$D$6:$D$405&gt;='Motor_Meciuri'!BN16))&gt;0)*('Istoric_Nativ'!$Q$6:$Q$405&gt;H158))/AL158)</x:f>
      </x:c>
      <x:c r="R158" s="10" t="str">
        <x:f>IF(OR(NOT(AND(J158="PASS",'Calibrare_Linii'!U18="VALID")),AM158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O16)+((('Istoric_Nativ'!$E$6:$E$405='Input_Meci'!E16)+('Istoric_Nativ'!$F$6:$F$405='Input_Meci'!E16))&gt;0)*('Istoric_Nativ'!$D$6:$D$405&gt;='Motor_Meciuri'!BP16))&gt;0)*('Istoric_Nativ'!$Q$6:$Q$405&gt;H158))/AM158)</x:f>
      </x:c>
      <x:c r="S158" s="10" t="str">
        <x:f>IF(M158="","",MAX(O158,P158,Q158,R158))</x:f>
      </x:c>
      <x:c r="T158" s="11" t="str">
        <x:f>IF(M158="","",MIN(100,S158*100*'Config_v6'!$B$44+MIN(100,L158/'Config_v6'!$B$13*100)*'Config_v6'!$B$45+(100-'Motor_Meciuri'!BF16)*'Config_v6'!$B$46+'Motor_Meciuri'!BH16*100*'Config_v6'!$B$47))</x:f>
      </x:c>
      <x:c r="U158" s="2" t="str">
        <x:f>IF(T158="","",IF(T158&lt;=20,1,IF(T158&lt;=40,2,IF(T158&lt;=60,3,IF(T158&lt;=80,4,5)))))</x:f>
      </x:c>
      <x:c r="V158" s="2" t="str">
        <x:f>IF(M158="","",MAX(0,'Motor_Meciuri'!BF16-IF(W158="OOS PENDING",'Config_v6'!$B$35,0)-IF(L158&gt;'Config_v6'!$B$12,'Config_v6'!$B$37,IF(L158&gt;'Config_v6'!$B$11,'Config_v6'!$B$36,0))))</x:f>
      </x:c>
      <x:c r="W158" s="2" t="str">
        <x:f>IF(B158="","",IF(I158&lt;&gt;"READY","NOT RELEASED",IF(NOT(AND(J158="PASS",'Calibrare_Linii'!U18="VALID")),"INVALID",IF(NOT(AND('Calibrare_Linii'!S18="VALIDATED",AND('Calibrare_Linii'!H18=C158,ISNUMBER('Calibrare_Linii'!J18),'Calibrare_Linii'!J18&lt;='Input_Meci'!G16))),"OOS PENDING",IF(S158&lt;='Calibrare_Linii'!E18,"PASS",IF(S158&lt;='Calibrare_Linii'!F18,"PENALTY","WATCH"))))))</x:f>
      </x:c>
      <x:c r="X158" s="2" t="str">
        <x:f>IF(M158="","",IF(AND(AND(J158="PASS",'Calibrare_Linii'!U18="VALID"),'Motor_Meciuri'!K16=12,'Motor_Meciuri'!L16=12,'Motor_Meciuri'!M16="NO",'Motor_Meciuri'!BL16='Motor_Meciuri'!C16,AB158&gt;='Config_v6'!$B$50,AN158&gt;='Config_v6'!$B$51,T158&lt;='Config_v6'!$B$52,L158&lt;='Config_v6'!$B$53,ISNUMBER('Calibrare_Linii'!E18),S158&lt;='Calibrare_Linii'!E18,SUM(AK158:AM158)&gt;0),"CANDIDATE","NO"))</x:f>
      </x:c>
      <x:c r="Y158" s="2" t="str">
        <x:f>IF(B158="","",IF(I158&lt;&gt;"READY","NOT RELEASED",IF(AND(X158="CANDIDATE",V158&gt;='Config_v6'!$B$51,W158="PASS",'Calibrare_Linii'!T18="VALIDATED",AND('Calibrare_Linii'!H18=C158,ISNUMBER('Calibrare_Linii'!J18),'Calibrare_Linii'!J18&lt;='Input_Meci'!G16)),"PASS",IF(X158="CANDIDATE","OOS PENDING","FAIL"))))</x:f>
      </x:c>
      <x:c r="Z158" s="2" t="str">
        <x:f>IF(B158="","",IF(I158&lt;&gt;"READY","",IF(OR(NOT(AND(J158="PASS",'Calibrare_Linii'!U18="VALID")),L158&gt;'Config_v6'!$B$13,W158="WATCH"),5,IF(Y158="PASS",1,MIN(5,MAX('Config_v6'!$B$42,U158)+IF(W158="PENALTY",1,0))))))</x:f>
      </x:c>
      <x:c r="AA158" s="2" t="str">
        <x:f>IF(B158="","",IF(I158&lt;&gt;"READY","NOT RELEASED",IF(Z158=5,"NO BET",IF(OR(AB158&lt;'Config_v6'!$B$16,V158&lt;'Config_v6'!$B$18),"WATCH",IF(Z158=1,"DEFENSIV",IF(Z158=2,"PRUDENT",IF(Z158=3,"MODERAT","RIDICAT")))))))</x:f>
      </x:c>
      <x:c r="AB158" s="10" t="str">
        <x:f>IF(N158="","",MIN(N158,1-S158))</x:f>
      </x:c>
      <x:c r="AC158" s="2" t="str">
        <x:f>IF(AD158&lt;&gt;1,"",COUNTIFS($Z$146:$Z$159,"&lt;"&amp;Z158,$AD$146:$AD$159,1)+COUNTIFS($Z$146:$Z$159,Z158,$AB$146:$AB$159,"&gt;"&amp;AB158,$AD$146:$AD$159,1)+COUNTIFS($Z$146:$Z$159,Z158,$AB$146:$AB$159,AB158,$V$146:$V$159,"&gt;"&amp;V158,$AD$146:$AD$159,1)+COUNTIFS($Z$146:Z158,Z158,$AB$146:AB158,AB158,$V$146:V158,V158,$AD$146:AD158,1))</x:f>
      </x:c>
      <x:c r="AD158" s="2" t="n">
        <x:f>IF(OR(AA158="DEFENSIV",AA158="PRUDENT",AA158="MODERAT",AA158="RIDICAT"),1,0)</x:f>
        <x:v>0</x:v>
      </x:c>
      <x:c r="AE158" s="2" t="str">
        <x:f>IF(AD158&lt;&gt;1,"NO",IF(W158="PASS","YES",IF(W158="OOS PENDING","CONDITIONAL","NO")))</x:f>
        <x:v>NO</x:v>
      </x:c>
      <x:c r="AF158" s="2" t="n">
        <x:f>IF(AND(AD158=1,AC158=1,E158="LIVE"),1,0)</x:f>
        <x:v>0</x:v>
      </x:c>
      <x:c r="AG158" s="2" t="str">
        <x:f>IF(AF158&lt;&gt;1,"",'Dashboard'!P36)</x:f>
      </x:c>
      <x:c r="AH158" s="2" t="str">
        <x:f>IF(B158="","",IF(J158&lt;&gt;"PASS",'Motor_Meciuri'!J16,IF('Calibrare_Linii'!U18&lt;&gt;"VALID","Parametri linie invalizi",IF(L158&gt;'Config_v6'!$B$13,"Dispersie peste limita",IF(W158="WATCH","Failure peste limita",IF(AB158&lt;'Config_v6'!$B$16,"P finala sub prag",IF(V158&lt;'Config_v6'!$B$18,"Confidence sub prag",IF(E158="REPLAY","Exemplu retrospectiv; exclus din Top LIVE",IF(Y158="PASS","DEFENSIV validat",IF(W158="OOS PENDING","Eligibil; calibrare linie in monitorizare","Eligibil"))))))))))</x:f>
      </x:c>
      <x:c r="AI158" s="2" t="str">
        <x:f>IF(B158="","",'Calibrare_Linii'!V18)</x:f>
      </x:c>
      <x:c r="AJ158" s="2" t="str">
        <x:f>IF(B158="","",IF(AND('Calibrare_Linii'!T18="VALIDATED",AND('Calibrare_Linii'!H18=C158,ISNUMBER('Calibrare_Linii'!J18),'Calibrare_Linii'!J18&lt;='Input_Meci'!G16)),"DEFENSIVE VALIDATED",IF(AND('Calibrare_Linii'!S18="VALIDATED",AND('Calibrare_Linii'!H18=C158,ISNUMBER('Calibrare_Linii'!J18),'Calibrare_Linii'!J18&lt;='Input_Meci'!G16)),"TAIL VALIDATED","OOS PENDING")))</x:f>
      </x:c>
      <x:c r="AK158" s="2" t="n">
        <x:f>IF(J158&lt;&gt;"PASS",0,'Motor_Meciuri'!BR16)</x:f>
        <x:v>0</x:v>
      </x:c>
      <x:c r="AL158" s="2" t="n">
        <x:f>IF(J158&lt;&gt;"PASS",0,'Motor_Meciuri'!BS16)</x:f>
        <x:v>0</x:v>
      </x:c>
      <x:c r="AM158" s="2" t="n">
        <x:f>IF(J158&lt;&gt;"PASS",0,'Motor_Meciuri'!BT16)</x:f>
        <x:v>0</x:v>
      </x:c>
      <x:c r="AN158" s="2" t="str">
        <x:f>IF(M158="","",MAX(0,'Motor_Meciuri'!BF16-IF(L158&gt;'Config_v6'!$B$12,'Config_v6'!$B$37,IF(L158&gt;'Config_v6'!$B$11,'Config_v6'!$B$36,0))))</x:f>
      </x:c>
    </x:row>
    <x:row r="159" ht="21" customHeight="1">
      <x:c r="A159" s="2" t="n">
        <x:v>11</x:v>
      </x:c>
      <x:c r="B159" s="2" t="str">
        <x:f>IF('Motor_Meciuri'!A16="","",'Motor_Meciuri'!A16)</x:f>
      </x:c>
      <x:c r="C159" s="2" t="str">
        <x:f>IF(B159="","",'Motor_Meciuri'!B16)</x:f>
      </x:c>
      <x:c r="D159" s="2" t="str">
        <x:f>IF(B159="","",'Motor_Meciuri'!D16)</x:f>
      </x:c>
      <x:c r="E159" s="2" t="str">
        <x:f>IF(B159="","",'Motor_Meciuri'!E16)</x:f>
      </x:c>
      <x:c r="F159" s="2" t="str">
        <x:v>U17,5</x:v>
      </x:c>
      <x:c r="G159" s="2" t="str">
        <x:v>UNDER</x:v>
      </x:c>
      <x:c r="H159" s="2" t="n">
        <x:v>17</x:v>
      </x:c>
      <x:c r="I159" s="2" t="str">
        <x:f>IF(B159="","",'Motor_Meciuri'!H16)</x:f>
      </x:c>
      <x:c r="J159" s="2" t="str">
        <x:f>IF(B159="","",'Motor_Meciuri'!I16)</x:f>
      </x:c>
      <x:c r="K159" s="11" t="str">
        <x:f>IF(J159&lt;&gt;"PASS","",'Motor_Meciuri'!BD16)</x:f>
      </x:c>
      <x:c r="L159" s="11" t="str">
        <x:f>IF(J159&lt;&gt;"PASS","",'Motor_Meciuri'!AU16)</x:f>
      </x:c>
      <x:c r="M159" s="10" t="str">
        <x:f>IF(NOT(AND(J159="PASS",'Calibrare_Linii'!U19="VALID")),"",'Distributie'!AO16)</x:f>
      </x:c>
      <x:c r="N159" s="10" t="str">
        <x:f>IF(M159="","",MAX(0.01,MIN(0.99,0.5+(M159-0.5)*'Motor_Meciuri'!BG16*'Calibrare_Linii'!D19)))</x:f>
      </x:c>
      <x:c r="O159" s="10" t="str">
        <x:f>IF(M159="","",1-M159)</x:f>
      </x:c>
      <x:c r="P159" s="10" t="str">
        <x:f>IF(OR(NOT(AND(J159="PASS",'Calibrare_Linii'!U19="VALID")),AK159=0),""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*('Istoric_Nativ'!$Q$6:$Q$405&gt;H159))/AK159)</x:f>
      </x:c>
      <x:c r="Q159" s="10" t="str">
        <x:f>IF(OR(NOT(AND(J159="PASS",'Calibrare_Linii'!U19="VALID")),AL159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M16)+((('Istoric_Nativ'!$E$6:$E$405='Input_Meci'!E16)+('Istoric_Nativ'!$F$6:$F$405='Input_Meci'!E16))&gt;0)*('Istoric_Nativ'!$D$6:$D$405&gt;='Motor_Meciuri'!BN16))&gt;0)*('Istoric_Nativ'!$Q$6:$Q$405&gt;H159))/AL159)</x:f>
      </x:c>
      <x:c r="R159" s="10" t="str">
        <x:f>IF(OR(NOT(AND(J159="PASS",'Calibrare_Linii'!U19="VALID")),AM159=0),""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'Motor_Meciuri'!BO16)+((('Istoric_Nativ'!$E$6:$E$405='Input_Meci'!E16)+('Istoric_Nativ'!$F$6:$F$405='Input_Meci'!E16))&gt;0)*('Istoric_Nativ'!$D$6:$D$405&gt;='Motor_Meciuri'!BP16))&gt;0)*('Istoric_Nativ'!$Q$6:$Q$405&gt;H159))/AM159)</x:f>
      </x:c>
      <x:c r="S159" s="10" t="str">
        <x:f>IF(M159="","",MAX(O159,P159,Q159,R159))</x:f>
      </x:c>
      <x:c r="T159" s="11" t="str">
        <x:f>IF(M159="","",MIN(100,S159*100*'Config_v6'!$B$44+MIN(100,L159/'Config_v6'!$B$13*100)*'Config_v6'!$B$45+(100-'Motor_Meciuri'!BF16)*'Config_v6'!$B$46+'Motor_Meciuri'!BH16*100*'Config_v6'!$B$47))</x:f>
      </x:c>
      <x:c r="U159" s="2" t="str">
        <x:f>IF(T159="","",IF(T159&lt;=20,1,IF(T159&lt;=40,2,IF(T159&lt;=60,3,IF(T159&lt;=80,4,5)))))</x:f>
      </x:c>
      <x:c r="V159" s="2" t="str">
        <x:f>IF(M159="","",MAX(0,'Motor_Meciuri'!BF16-IF(W159="OOS PENDING",'Config_v6'!$B$35,0)-IF(L159&gt;'Config_v6'!$B$12,'Config_v6'!$B$37,IF(L159&gt;'Config_v6'!$B$11,'Config_v6'!$B$36,0))))</x:f>
      </x:c>
      <x:c r="W159" s="2" t="str">
        <x:f>IF(B159="","",IF(I159&lt;&gt;"READY","NOT RELEASED",IF(NOT(AND(J159="PASS",'Calibrare_Linii'!U19="VALID")),"INVALID",IF(NOT(AND('Calibrare_Linii'!S19="VALIDATED",AND('Calibrare_Linii'!H19=C159,ISNUMBER('Calibrare_Linii'!J19),'Calibrare_Linii'!J19&lt;='Input_Meci'!G16))),"OOS PENDING",IF(S159&lt;='Calibrare_Linii'!E19,"PASS",IF(S159&lt;='Calibrare_Linii'!F19,"PENALTY","WATCH"))))))</x:f>
      </x:c>
      <x:c r="X159" s="2" t="str">
        <x:f>IF(M159="","",IF(AND(AND(J159="PASS",'Calibrare_Linii'!U19="VALID"),'Motor_Meciuri'!K16=12,'Motor_Meciuri'!L16=12,'Motor_Meciuri'!M16="NO",'Motor_Meciuri'!BL16='Motor_Meciuri'!C16,AB159&gt;='Config_v6'!$B$50,AN159&gt;='Config_v6'!$B$51,T159&lt;='Config_v6'!$B$52,L159&lt;='Config_v6'!$B$53,ISNUMBER('Calibrare_Linii'!E19),S159&lt;='Calibrare_Linii'!E19,SUM(AK159:AM159)&gt;0),"CANDIDATE","NO"))</x:f>
      </x:c>
      <x:c r="Y159" s="2" t="str">
        <x:f>IF(B159="","",IF(I159&lt;&gt;"READY","NOT RELEASED",IF(AND(X159="CANDIDATE",V159&gt;='Config_v6'!$B$51,W159="PASS",'Calibrare_Linii'!T19="VALIDATED",AND('Calibrare_Linii'!H19=C159,ISNUMBER('Calibrare_Linii'!J19),'Calibrare_Linii'!J19&lt;='Input_Meci'!G16)),"PASS",IF(X159="CANDIDATE","OOS PENDING","FAIL"))))</x:f>
      </x:c>
      <x:c r="Z159" s="2" t="str">
        <x:f>IF(B159="","",IF(I159&lt;&gt;"READY","",IF(OR(NOT(AND(J159="PASS",'Calibrare_Linii'!U19="VALID")),L159&gt;'Config_v6'!$B$13,W159="WATCH"),5,IF(Y159="PASS",1,MIN(5,MAX('Config_v6'!$B$42,U159)+IF(W159="PENALTY",1,0))))))</x:f>
      </x:c>
      <x:c r="AA159" s="2" t="str">
        <x:f>IF(B159="","",IF(I159&lt;&gt;"READY","NOT RELEASED",IF(Z159=5,"NO BET",IF(OR(AB159&lt;'Config_v6'!$B$16,V159&lt;'Config_v6'!$B$18),"WATCH",IF(Z159=1,"DEFENSIV",IF(Z159=2,"PRUDENT",IF(Z159=3,"MODERAT","RIDICAT")))))))</x:f>
      </x:c>
      <x:c r="AB159" s="10" t="str">
        <x:f>IF(N159="","",MIN(N159,1-S159))</x:f>
      </x:c>
      <x:c r="AC159" s="2" t="str">
        <x:f>IF(AD159&lt;&gt;1,"",COUNTIFS($Z$146:$Z$159,"&lt;"&amp;Z159,$AD$146:$AD$159,1)+COUNTIFS($Z$146:$Z$159,Z159,$AB$146:$AB$159,"&gt;"&amp;AB159,$AD$146:$AD$159,1)+COUNTIFS($Z$146:$Z$159,Z159,$AB$146:$AB$159,AB159,$V$146:$V$159,"&gt;"&amp;V159,$AD$146:$AD$159,1)+COUNTIFS($Z$146:Z159,Z159,$AB$146:AB159,AB159,$V$146:V159,V159,$AD$146:AD159,1))</x:f>
      </x:c>
      <x:c r="AD159" s="2" t="n">
        <x:f>IF(OR(AA159="DEFENSIV",AA159="PRUDENT",AA159="MODERAT",AA159="RIDICAT"),1,0)</x:f>
        <x:v>0</x:v>
      </x:c>
      <x:c r="AE159" s="2" t="str">
        <x:f>IF(AD159&lt;&gt;1,"NO",IF(W159="PASS","YES",IF(W159="OOS PENDING","CONDITIONAL","NO")))</x:f>
        <x:v>NO</x:v>
      </x:c>
      <x:c r="AF159" s="2" t="n">
        <x:f>IF(AND(AD159=1,AC159=1,E159="LIVE"),1,0)</x:f>
        <x:v>0</x:v>
      </x:c>
      <x:c r="AG159" s="2" t="str">
        <x:f>IF(AF159&lt;&gt;1,"",'Dashboard'!P36)</x:f>
      </x:c>
      <x:c r="AH159" s="2" t="str">
        <x:f>IF(B159="","",IF(J159&lt;&gt;"PASS",'Motor_Meciuri'!J16,IF('Calibrare_Linii'!U19&lt;&gt;"VALID","Parametri linie invalizi",IF(L159&gt;'Config_v6'!$B$13,"Dispersie peste limita",IF(W159="WATCH","Failure peste limita",IF(AB159&lt;'Config_v6'!$B$16,"P finala sub prag",IF(V159&lt;'Config_v6'!$B$18,"Confidence sub prag",IF(E159="REPLAY","Exemplu retrospectiv; exclus din Top LIVE",IF(Y159="PASS","DEFENSIV validat",IF(W159="OOS PENDING","Eligibil; calibrare linie in monitorizare","Eligibil"))))))))))</x:f>
      </x:c>
      <x:c r="AI159" s="2" t="str">
        <x:f>IF(B159="","",'Calibrare_Linii'!V19)</x:f>
      </x:c>
      <x:c r="AJ159" s="2" t="str">
        <x:f>IF(B159="","",IF(AND('Calibrare_Linii'!T19="VALIDATED",AND('Calibrare_Linii'!H19=C159,ISNUMBER('Calibrare_Linii'!J19),'Calibrare_Linii'!J19&lt;='Input_Meci'!G16)),"DEFENSIVE VALIDATED",IF(AND('Calibrare_Linii'!S19="VALIDATED",AND('Calibrare_Linii'!H19=C159,ISNUMBER('Calibrare_Linii'!J19),'Calibrare_Linii'!J19&lt;='Input_Meci'!G16)),"TAIL VALIDATED","OOS PENDING")))</x:f>
      </x:c>
      <x:c r="AK159" s="2" t="n">
        <x:f>IF(J159&lt;&gt;"PASS",0,'Motor_Meciuri'!BR16)</x:f>
        <x:v>0</x:v>
      </x:c>
      <x:c r="AL159" s="2" t="n">
        <x:f>IF(J159&lt;&gt;"PASS",0,'Motor_Meciuri'!BS16)</x:f>
        <x:v>0</x:v>
      </x:c>
      <x:c r="AM159" s="2" t="n">
        <x:f>IF(J159&lt;&gt;"PASS",0,'Motor_Meciuri'!BT16)</x:f>
        <x:v>0</x:v>
      </x:c>
      <x:c r="AN159" s="2" t="str">
        <x:f>IF(M159="","",MAX(0,'Motor_Meciuri'!BF16-IF(L159&gt;'Config_v6'!$B$12,'Config_v6'!$B$37,IF(L159&gt;'Config_v6'!$B$11,'Config_v6'!$B$36,0))))</x:f>
      </x:c>
    </x:row>
    <x:row r="160" ht="21" customHeight="1">
      <x:c r="A160" s="2" t="n">
        <x:v>12</x:v>
      </x:c>
      <x:c r="B160" s="2" t="str">
        <x:f>IF('Motor_Meciuri'!A17="","",'Motor_Meciuri'!A17)</x:f>
      </x:c>
      <x:c r="C160" s="2" t="str">
        <x:f>IF(B160="","",'Motor_Meciuri'!B17)</x:f>
      </x:c>
      <x:c r="D160" s="2" t="str">
        <x:f>IF(B160="","",'Motor_Meciuri'!D17)</x:f>
      </x:c>
      <x:c r="E160" s="2" t="str">
        <x:f>IF(B160="","",'Motor_Meciuri'!E17)</x:f>
      </x:c>
      <x:c r="F160" s="2" t="str">
        <x:v>O3,5</x:v>
      </x:c>
      <x:c r="G160" s="2" t="str">
        <x:v>OVER</x:v>
      </x:c>
      <x:c r="H160" s="2" t="n">
        <x:v>3</x:v>
      </x:c>
      <x:c r="I160" s="2" t="str">
        <x:f>IF(B160="","",'Motor_Meciuri'!H17)</x:f>
      </x:c>
      <x:c r="J160" s="2" t="str">
        <x:f>IF(B160="","",'Motor_Meciuri'!I17)</x:f>
      </x:c>
      <x:c r="K160" s="11" t="str">
        <x:f>IF(J160&lt;&gt;"PASS","",'Motor_Meciuri'!BD17)</x:f>
      </x:c>
      <x:c r="L160" s="11" t="str">
        <x:f>IF(J160&lt;&gt;"PASS","",'Motor_Meciuri'!AU17)</x:f>
      </x:c>
      <x:c r="M160" s="10" t="str">
        <x:f>IF(NOT(AND(J160="PASS",'Calibrare_Linii'!U6="VALID")),"",1-'Distributie'!AA17)</x:f>
      </x:c>
      <x:c r="N160" s="10" t="str">
        <x:f>IF(M160="","",MAX(0.01,MIN(0.99,0.5+(M160-0.5)*'Motor_Meciuri'!BG17*'Calibrare_Linii'!D6)))</x:f>
      </x:c>
      <x:c r="O160" s="10" t="str">
        <x:f>IF(M160="","",1-M160)</x:f>
      </x:c>
      <x:c r="P160" s="10" t="str">
        <x:f>IF(OR(NOT(AND(J160="PASS",'Calibrare_Linii'!U6="VALID")),AK160=0),""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*('Istoric_Nativ'!$Q$6:$Q$405&lt;=H160))/AK160)</x:f>
      </x:c>
      <x:c r="Q160" s="10" t="str">
        <x:f>IF(OR(NOT(AND(J160="PASS",'Calibrare_Linii'!U6="VALID")),AL160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M17)+((('Istoric_Nativ'!$E$6:$E$405='Input_Meci'!E17)+('Istoric_Nativ'!$F$6:$F$405='Input_Meci'!E17))&gt;0)*('Istoric_Nativ'!$D$6:$D$405&gt;='Motor_Meciuri'!BN17))&gt;0)*('Istoric_Nativ'!$Q$6:$Q$405&lt;=H160))/AL160)</x:f>
      </x:c>
      <x:c r="R160" s="10" t="str">
        <x:f>IF(OR(NOT(AND(J160="PASS",'Calibrare_Linii'!U6="VALID")),AM160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O17)+((('Istoric_Nativ'!$E$6:$E$405='Input_Meci'!E17)+('Istoric_Nativ'!$F$6:$F$405='Input_Meci'!E17))&gt;0)*('Istoric_Nativ'!$D$6:$D$405&gt;='Motor_Meciuri'!BP17))&gt;0)*('Istoric_Nativ'!$Q$6:$Q$405&lt;=H160))/AM160)</x:f>
      </x:c>
      <x:c r="S160" s="10" t="str">
        <x:f>IF(M160="","",MAX(O160,P160,Q160,R160))</x:f>
      </x:c>
      <x:c r="T160" s="11" t="str">
        <x:f>IF(M160="","",MIN(100,S160*100*'Config_v6'!$B$44+MIN(100,L160/'Config_v6'!$B$13*100)*'Config_v6'!$B$45+(100-'Motor_Meciuri'!BF17)*'Config_v6'!$B$46+'Motor_Meciuri'!BH17*100*'Config_v6'!$B$47))</x:f>
      </x:c>
      <x:c r="U160" s="2" t="str">
        <x:f>IF(T160="","",IF(T160&lt;=20,1,IF(T160&lt;=40,2,IF(T160&lt;=60,3,IF(T160&lt;=80,4,5)))))</x:f>
      </x:c>
      <x:c r="V160" s="2" t="str">
        <x:f>IF(M160="","",MAX(0,'Motor_Meciuri'!BF17-IF(W160="OOS PENDING",'Config_v6'!$B$35,0)-IF(L160&gt;'Config_v6'!$B$12,'Config_v6'!$B$37,IF(L160&gt;'Config_v6'!$B$11,'Config_v6'!$B$36,0))))</x:f>
      </x:c>
      <x:c r="W160" s="2" t="str">
        <x:f>IF(B160="","",IF(I160&lt;&gt;"READY","NOT RELEASED",IF(NOT(AND(J160="PASS",'Calibrare_Linii'!U6="VALID")),"INVALID",IF(NOT(TRUE),"OOS PENDING",IF(S160&lt;=IF(AND('Calibrare_Linii'!S6="VALIDATED",AND('Calibrare_Linii'!H6=C160,ISNUMBER('Calibrare_Linii'!J6),'Calibrare_Linii'!J6&lt;='Input_Meci'!G17)),'Calibrare_Linii'!E6,'Config_v6'!$B$26),"PASS",IF(S160&lt;=IF(AND('Calibrare_Linii'!S6="VALIDATED",AND('Calibrare_Linii'!H6=C160,ISNUMBER('Calibrare_Linii'!J6),'Calibrare_Linii'!J6&lt;='Input_Meci'!G17)),'Calibrare_Linii'!F6,'Config_v6'!$C$26),"PENALTY","WATCH"))))))</x:f>
      </x:c>
      <x:c r="X160" s="2" t="str">
        <x:f>IF(M160="","",IF(AND(AND(J160="PASS",'Calibrare_Linii'!U6="VALID"),'Motor_Meciuri'!K17=12,'Motor_Meciuri'!L17=12,'Motor_Meciuri'!M17="NO",'Motor_Meciuri'!BL17='Motor_Meciuri'!C17,AB160&gt;='Config_v6'!$B$50,AN160&gt;='Config_v6'!$B$51,T160&lt;='Config_v6'!$B$52,L160&lt;='Config_v6'!$B$53,ISNUMBER('Calibrare_Linii'!E6),S160&lt;='Calibrare_Linii'!E6,SUM(AK160:AM160)&gt;0),"CANDIDATE","NO"))</x:f>
      </x:c>
      <x:c r="Y160" s="2" t="str">
        <x:f>IF(B160="","",IF(I160&lt;&gt;"READY","NOT RELEASED",IF(AND(X160="CANDIDATE",V160&gt;='Config_v6'!$B$51,W160="PASS",'Calibrare_Linii'!T6="VALIDATED",AND('Calibrare_Linii'!H6=C160,ISNUMBER('Calibrare_Linii'!J6),'Calibrare_Linii'!J6&lt;='Input_Meci'!G17)),"PASS",IF(X160="CANDIDATE","OOS PENDING","FAIL"))))</x:f>
      </x:c>
      <x:c r="Z160" s="2" t="str">
        <x:f>IF(B160="","",IF(I160&lt;&gt;"READY","",IF(OR(NOT(AND(J160="PASS",'Calibrare_Linii'!U6="VALID")),L160&gt;'Config_v6'!$B$13,W160="WATCH"),5,IF(Y160="PASS",1,MIN(5,MAX('Config_v6'!$B$42,U160)+IF(W160="PENALTY",1,0))))))</x:f>
      </x:c>
      <x:c r="AA160" s="2" t="str">
        <x:f>IF(B160="","",IF(I160&lt;&gt;"READY","NOT RELEASED",IF(Z160=5,"NO BET",IF(OR(AB160&lt;'Config_v6'!$B$16,V160&lt;'Config_v6'!$B$18),"WATCH",IF(Z160=1,"DEFENSIV",IF(Z160=2,"PRUDENT",IF(Z160=3,"MODERAT","RIDICAT")))))))</x:f>
      </x:c>
      <x:c r="AB160" s="10" t="str">
        <x:f>IF(N160="","",MIN(N160,1-S160))</x:f>
      </x:c>
      <x:c r="AC160" s="2" t="str">
        <x:f>IF(AD160&lt;&gt;1,"",COUNTIFS($Z$160:$Z$173,"&lt;"&amp;Z160,$AD$160:$AD$173,1)+COUNTIFS($Z$160:$Z$173,Z160,$AB$160:$AB$173,"&gt;"&amp;AB160,$AD$160:$AD$173,1)+COUNTIFS($Z$160:$Z$173,Z160,$AB$160:$AB$173,AB160,$V$160:$V$173,"&gt;"&amp;V160,$AD$160:$AD$173,1)+COUNTIFS($Z$160:Z160,Z160,$AB$160:AB160,AB160,$V$160:V160,V160,$AD$160:AD160,1))</x:f>
      </x:c>
      <x:c r="AD160" s="2" t="n">
        <x:f>IF(OR(AA160="DEFENSIV",AA160="PRUDENT",AA160="MODERAT",AA160="RIDICAT"),1,0)</x:f>
        <x:v>0</x:v>
      </x:c>
      <x:c r="AE160" s="2" t="str">
        <x:f>IF(AD160&lt;&gt;1,"NO",IF(W160="PASS","YES",IF(W160="OOS PENDING","CONDITIONAL","NO")))</x:f>
        <x:v>NO</x:v>
      </x:c>
      <x:c r="AF160" s="2" t="n">
        <x:f>IF(AND(AD160=1,AC160=1,E160="LIVE"),1,0)</x:f>
        <x:v>0</x:v>
      </x:c>
      <x:c r="AG160" s="2" t="str">
        <x:f>IF(AF160&lt;&gt;1,"",'Dashboard'!P37)</x:f>
      </x:c>
      <x:c r="AH160" s="2" t="str">
        <x:f>IF(B160="","",IF(J160&lt;&gt;"PASS",'Motor_Meciuri'!J17,IF('Calibrare_Linii'!U6&lt;&gt;"VALID","Parametri linie invalizi",IF(L160&gt;'Config_v6'!$B$13,"Dispersie peste limita",IF(W160="WATCH","Failure peste limita",IF(AB160&lt;'Config_v6'!$B$16,"P finala sub prag",IF(V160&lt;'Config_v6'!$B$18,"Confidence sub prag",IF(E160="REPLAY","Exemplu retrospectiv; exclus din Top LIVE",IF(Y160="PASS","DEFENSIV validat",IF(W160="OOS PENDING","Eligibil; calibrare linie in monitorizare","Eligibil"))))))))))</x:f>
      </x:c>
      <x:c r="AI160" s="2" t="str">
        <x:f>IF(B160="","",'Calibrare_Linii'!V6)</x:f>
      </x:c>
      <x:c r="AJ160" s="2" t="str">
        <x:f>IF(B160="","",IF(AND('Calibrare_Linii'!T6="VALIDATED",AND('Calibrare_Linii'!H6=C160,ISNUMBER('Calibrare_Linii'!J6),'Calibrare_Linii'!J6&lt;='Input_Meci'!G17)),"DEFENSIVE VALIDATED",IF(AND('Calibrare_Linii'!S6="VALIDATED",AND('Calibrare_Linii'!H6=C160,ISNUMBER('Calibrare_Linii'!J6),'Calibrare_Linii'!J6&lt;='Input_Meci'!G17)),"TAIL VALIDATED","OOS PENDING")))</x:f>
      </x:c>
      <x:c r="AK160" s="2" t="n">
        <x:f>IF(J160&lt;&gt;"PASS",0,'Motor_Meciuri'!BR17)</x:f>
        <x:v>0</x:v>
      </x:c>
      <x:c r="AL160" s="2" t="n">
        <x:f>IF(J160&lt;&gt;"PASS",0,'Motor_Meciuri'!BS17)</x:f>
        <x:v>0</x:v>
      </x:c>
      <x:c r="AM160" s="2" t="n">
        <x:f>IF(J160&lt;&gt;"PASS",0,'Motor_Meciuri'!BT17)</x:f>
        <x:v>0</x:v>
      </x:c>
      <x:c r="AN160" s="2" t="str">
        <x:f>IF(M160="","",MAX(0,'Motor_Meciuri'!BF17-IF(L160&gt;'Config_v6'!$B$12,'Config_v6'!$B$37,IF(L160&gt;'Config_v6'!$B$11,'Config_v6'!$B$36,0))))</x:f>
      </x:c>
    </x:row>
    <x:row r="161" ht="21" customHeight="1">
      <x:c r="A161" s="2" t="n">
        <x:v>12</x:v>
      </x:c>
      <x:c r="B161" s="2" t="str">
        <x:f>IF('Motor_Meciuri'!A17="","",'Motor_Meciuri'!A17)</x:f>
      </x:c>
      <x:c r="C161" s="2" t="str">
        <x:f>IF(B161="","",'Motor_Meciuri'!B17)</x:f>
      </x:c>
      <x:c r="D161" s="2" t="str">
        <x:f>IF(B161="","",'Motor_Meciuri'!D17)</x:f>
      </x:c>
      <x:c r="E161" s="2" t="str">
        <x:f>IF(B161="","",'Motor_Meciuri'!E17)</x:f>
      </x:c>
      <x:c r="F161" s="2" t="str">
        <x:v>O4,5</x:v>
      </x:c>
      <x:c r="G161" s="2" t="str">
        <x:v>OVER</x:v>
      </x:c>
      <x:c r="H161" s="2" t="n">
        <x:v>4</x:v>
      </x:c>
      <x:c r="I161" s="2" t="str">
        <x:f>IF(B161="","",'Motor_Meciuri'!H17)</x:f>
      </x:c>
      <x:c r="J161" s="2" t="str">
        <x:f>IF(B161="","",'Motor_Meciuri'!I17)</x:f>
      </x:c>
      <x:c r="K161" s="11" t="str">
        <x:f>IF(J161&lt;&gt;"PASS","",'Motor_Meciuri'!BD17)</x:f>
      </x:c>
      <x:c r="L161" s="11" t="str">
        <x:f>IF(J161&lt;&gt;"PASS","",'Motor_Meciuri'!AU17)</x:f>
      </x:c>
      <x:c r="M161" s="10" t="str">
        <x:f>IF(NOT(AND(J161="PASS",'Calibrare_Linii'!U7="VALID")),"",1-'Distributie'!AB17)</x:f>
      </x:c>
      <x:c r="N161" s="10" t="str">
        <x:f>IF(M161="","",MAX(0.01,MIN(0.99,0.5+(M161-0.5)*'Motor_Meciuri'!BG17*'Calibrare_Linii'!D7)))</x:f>
      </x:c>
      <x:c r="O161" s="10" t="str">
        <x:f>IF(M161="","",1-M161)</x:f>
      </x:c>
      <x:c r="P161" s="10" t="str">
        <x:f>IF(OR(NOT(AND(J161="PASS",'Calibrare_Linii'!U7="VALID")),AK161=0),""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*('Istoric_Nativ'!$Q$6:$Q$405&lt;=H161))/AK161)</x:f>
      </x:c>
      <x:c r="Q161" s="10" t="str">
        <x:f>IF(OR(NOT(AND(J161="PASS",'Calibrare_Linii'!U7="VALID")),AL161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M17)+((('Istoric_Nativ'!$E$6:$E$405='Input_Meci'!E17)+('Istoric_Nativ'!$F$6:$F$405='Input_Meci'!E17))&gt;0)*('Istoric_Nativ'!$D$6:$D$405&gt;='Motor_Meciuri'!BN17))&gt;0)*('Istoric_Nativ'!$Q$6:$Q$405&lt;=H161))/AL161)</x:f>
      </x:c>
      <x:c r="R161" s="10" t="str">
        <x:f>IF(OR(NOT(AND(J161="PASS",'Calibrare_Linii'!U7="VALID")),AM161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O17)+((('Istoric_Nativ'!$E$6:$E$405='Input_Meci'!E17)+('Istoric_Nativ'!$F$6:$F$405='Input_Meci'!E17))&gt;0)*('Istoric_Nativ'!$D$6:$D$405&gt;='Motor_Meciuri'!BP17))&gt;0)*('Istoric_Nativ'!$Q$6:$Q$405&lt;=H161))/AM161)</x:f>
      </x:c>
      <x:c r="S161" s="10" t="str">
        <x:f>IF(M161="","",MAX(O161,P161,Q161,R161))</x:f>
      </x:c>
      <x:c r="T161" s="11" t="str">
        <x:f>IF(M161="","",MIN(100,S161*100*'Config_v6'!$B$44+MIN(100,L161/'Config_v6'!$B$13*100)*'Config_v6'!$B$45+(100-'Motor_Meciuri'!BF17)*'Config_v6'!$B$46+'Motor_Meciuri'!BH17*100*'Config_v6'!$B$47))</x:f>
      </x:c>
      <x:c r="U161" s="2" t="str">
        <x:f>IF(T161="","",IF(T161&lt;=20,1,IF(T161&lt;=40,2,IF(T161&lt;=60,3,IF(T161&lt;=80,4,5)))))</x:f>
      </x:c>
      <x:c r="V161" s="2" t="str">
        <x:f>IF(M161="","",MAX(0,'Motor_Meciuri'!BF17-IF(W161="OOS PENDING",'Config_v6'!$B$35,0)-IF(L161&gt;'Config_v6'!$B$12,'Config_v6'!$B$37,IF(L161&gt;'Config_v6'!$B$11,'Config_v6'!$B$36,0))))</x:f>
      </x:c>
      <x:c r="W161" s="2" t="str">
        <x:f>IF(B161="","",IF(I161&lt;&gt;"READY","NOT RELEASED",IF(NOT(AND(J161="PASS",'Calibrare_Linii'!U7="VALID")),"INVALID",IF(NOT(AND('Calibrare_Linii'!S7="VALIDATED",AND('Calibrare_Linii'!H7=C161,ISNUMBER('Calibrare_Linii'!J7),'Calibrare_Linii'!J7&lt;='Input_Meci'!G17))),"OOS PENDING",IF(S161&lt;='Calibrare_Linii'!E7,"PASS",IF(S161&lt;='Calibrare_Linii'!F7,"PENALTY","WATCH"))))))</x:f>
      </x:c>
      <x:c r="X161" s="2" t="str">
        <x:f>IF(M161="","",IF(AND(AND(J161="PASS",'Calibrare_Linii'!U7="VALID"),'Motor_Meciuri'!K17=12,'Motor_Meciuri'!L17=12,'Motor_Meciuri'!M17="NO",'Motor_Meciuri'!BL17='Motor_Meciuri'!C17,AB161&gt;='Config_v6'!$B$50,AN161&gt;='Config_v6'!$B$51,T161&lt;='Config_v6'!$B$52,L161&lt;='Config_v6'!$B$53,ISNUMBER('Calibrare_Linii'!E7),S161&lt;='Calibrare_Linii'!E7,SUM(AK161:AM161)&gt;0),"CANDIDATE","NO"))</x:f>
      </x:c>
      <x:c r="Y161" s="2" t="str">
        <x:f>IF(B161="","",IF(I161&lt;&gt;"READY","NOT RELEASED",IF(AND(X161="CANDIDATE",V161&gt;='Config_v6'!$B$51,W161="PASS",'Calibrare_Linii'!T7="VALIDATED",AND('Calibrare_Linii'!H7=C161,ISNUMBER('Calibrare_Linii'!J7),'Calibrare_Linii'!J7&lt;='Input_Meci'!G17)),"PASS",IF(X161="CANDIDATE","OOS PENDING","FAIL"))))</x:f>
      </x:c>
      <x:c r="Z161" s="2" t="str">
        <x:f>IF(B161="","",IF(I161&lt;&gt;"READY","",IF(OR(NOT(AND(J161="PASS",'Calibrare_Linii'!U7="VALID")),L161&gt;'Config_v6'!$B$13,W161="WATCH"),5,IF(Y161="PASS",1,MIN(5,MAX('Config_v6'!$B$42,U161)+IF(W161="PENALTY",1,0))))))</x:f>
      </x:c>
      <x:c r="AA161" s="2" t="str">
        <x:f>IF(B161="","",IF(I161&lt;&gt;"READY","NOT RELEASED",IF(Z161=5,"NO BET",IF(OR(AB161&lt;'Config_v6'!$B$16,V161&lt;'Config_v6'!$B$18),"WATCH",IF(Z161=1,"DEFENSIV",IF(Z161=2,"PRUDENT",IF(Z161=3,"MODERAT","RIDICAT")))))))</x:f>
      </x:c>
      <x:c r="AB161" s="10" t="str">
        <x:f>IF(N161="","",MIN(N161,1-S161))</x:f>
      </x:c>
      <x:c r="AC161" s="2" t="str">
        <x:f>IF(AD161&lt;&gt;1,"",COUNTIFS($Z$160:$Z$173,"&lt;"&amp;Z161,$AD$160:$AD$173,1)+COUNTIFS($Z$160:$Z$173,Z161,$AB$160:$AB$173,"&gt;"&amp;AB161,$AD$160:$AD$173,1)+COUNTIFS($Z$160:$Z$173,Z161,$AB$160:$AB$173,AB161,$V$160:$V$173,"&gt;"&amp;V161,$AD$160:$AD$173,1)+COUNTIFS($Z$160:Z161,Z161,$AB$160:AB161,AB161,$V$160:V161,V161,$AD$160:AD161,1))</x:f>
      </x:c>
      <x:c r="AD161" s="2" t="n">
        <x:f>IF(OR(AA161="DEFENSIV",AA161="PRUDENT",AA161="MODERAT",AA161="RIDICAT"),1,0)</x:f>
        <x:v>0</x:v>
      </x:c>
      <x:c r="AE161" s="2" t="str">
        <x:f>IF(AD161&lt;&gt;1,"NO",IF(W161="PASS","YES",IF(W161="OOS PENDING","CONDITIONAL","NO")))</x:f>
        <x:v>NO</x:v>
      </x:c>
      <x:c r="AF161" s="2" t="n">
        <x:f>IF(AND(AD161=1,AC161=1,E161="LIVE"),1,0)</x:f>
        <x:v>0</x:v>
      </x:c>
      <x:c r="AG161" s="2" t="str">
        <x:f>IF(AF161&lt;&gt;1,"",'Dashboard'!P37)</x:f>
      </x:c>
      <x:c r="AH161" s="2" t="str">
        <x:f>IF(B161="","",IF(J161&lt;&gt;"PASS",'Motor_Meciuri'!J17,IF('Calibrare_Linii'!U7&lt;&gt;"VALID","Parametri linie invalizi",IF(L161&gt;'Config_v6'!$B$13,"Dispersie peste limita",IF(W161="WATCH","Failure peste limita",IF(AB161&lt;'Config_v6'!$B$16,"P finala sub prag",IF(V161&lt;'Config_v6'!$B$18,"Confidence sub prag",IF(E161="REPLAY","Exemplu retrospectiv; exclus din Top LIVE",IF(Y161="PASS","DEFENSIV validat",IF(W161="OOS PENDING","Eligibil; calibrare linie in monitorizare","Eligibil"))))))))))</x:f>
      </x:c>
      <x:c r="AI161" s="2" t="str">
        <x:f>IF(B161="","",'Calibrare_Linii'!V7)</x:f>
      </x:c>
      <x:c r="AJ161" s="2" t="str">
        <x:f>IF(B161="","",IF(AND('Calibrare_Linii'!T7="VALIDATED",AND('Calibrare_Linii'!H7=C161,ISNUMBER('Calibrare_Linii'!J7),'Calibrare_Linii'!J7&lt;='Input_Meci'!G17)),"DEFENSIVE VALIDATED",IF(AND('Calibrare_Linii'!S7="VALIDATED",AND('Calibrare_Linii'!H7=C161,ISNUMBER('Calibrare_Linii'!J7),'Calibrare_Linii'!J7&lt;='Input_Meci'!G17)),"TAIL VALIDATED","OOS PENDING")))</x:f>
      </x:c>
      <x:c r="AK161" s="2" t="n">
        <x:f>IF(J161&lt;&gt;"PASS",0,'Motor_Meciuri'!BR17)</x:f>
        <x:v>0</x:v>
      </x:c>
      <x:c r="AL161" s="2" t="n">
        <x:f>IF(J161&lt;&gt;"PASS",0,'Motor_Meciuri'!BS17)</x:f>
        <x:v>0</x:v>
      </x:c>
      <x:c r="AM161" s="2" t="n">
        <x:f>IF(J161&lt;&gt;"PASS",0,'Motor_Meciuri'!BT17)</x:f>
        <x:v>0</x:v>
      </x:c>
      <x:c r="AN161" s="2" t="str">
        <x:f>IF(M161="","",MAX(0,'Motor_Meciuri'!BF17-IF(L161&gt;'Config_v6'!$B$12,'Config_v6'!$B$37,IF(L161&gt;'Config_v6'!$B$11,'Config_v6'!$B$36,0))))</x:f>
      </x:c>
    </x:row>
    <x:row r="162" ht="21" customHeight="1">
      <x:c r="A162" s="2" t="n">
        <x:v>12</x:v>
      </x:c>
      <x:c r="B162" s="2" t="str">
        <x:f>IF('Motor_Meciuri'!A17="","",'Motor_Meciuri'!A17)</x:f>
      </x:c>
      <x:c r="C162" s="2" t="str">
        <x:f>IF(B162="","",'Motor_Meciuri'!B17)</x:f>
      </x:c>
      <x:c r="D162" s="2" t="str">
        <x:f>IF(B162="","",'Motor_Meciuri'!D17)</x:f>
      </x:c>
      <x:c r="E162" s="2" t="str">
        <x:f>IF(B162="","",'Motor_Meciuri'!E17)</x:f>
      </x:c>
      <x:c r="F162" s="2" t="str">
        <x:v>O5,5</x:v>
      </x:c>
      <x:c r="G162" s="2" t="str">
        <x:v>OVER</x:v>
      </x:c>
      <x:c r="H162" s="2" t="n">
        <x:v>5</x:v>
      </x:c>
      <x:c r="I162" s="2" t="str">
        <x:f>IF(B162="","",'Motor_Meciuri'!H17)</x:f>
      </x:c>
      <x:c r="J162" s="2" t="str">
        <x:f>IF(B162="","",'Motor_Meciuri'!I17)</x:f>
      </x:c>
      <x:c r="K162" s="11" t="str">
        <x:f>IF(J162&lt;&gt;"PASS","",'Motor_Meciuri'!BD17)</x:f>
      </x:c>
      <x:c r="L162" s="11" t="str">
        <x:f>IF(J162&lt;&gt;"PASS","",'Motor_Meciuri'!AU17)</x:f>
      </x:c>
      <x:c r="M162" s="10" t="str">
        <x:f>IF(NOT(AND(J162="PASS",'Calibrare_Linii'!U8="VALID")),"",1-'Distributie'!AC17)</x:f>
      </x:c>
      <x:c r="N162" s="10" t="str">
        <x:f>IF(M162="","",MAX(0.01,MIN(0.99,0.5+(M162-0.5)*'Motor_Meciuri'!BG17*'Calibrare_Linii'!D8)))</x:f>
      </x:c>
      <x:c r="O162" s="10" t="str">
        <x:f>IF(M162="","",1-M162)</x:f>
      </x:c>
      <x:c r="P162" s="10" t="str">
        <x:f>IF(OR(NOT(AND(J162="PASS",'Calibrare_Linii'!U8="VALID")),AK162=0),""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*('Istoric_Nativ'!$Q$6:$Q$405&lt;=H162))/AK162)</x:f>
      </x:c>
      <x:c r="Q162" s="10" t="str">
        <x:f>IF(OR(NOT(AND(J162="PASS",'Calibrare_Linii'!U8="VALID")),AL162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M17)+((('Istoric_Nativ'!$E$6:$E$405='Input_Meci'!E17)+('Istoric_Nativ'!$F$6:$F$405='Input_Meci'!E17))&gt;0)*('Istoric_Nativ'!$D$6:$D$405&gt;='Motor_Meciuri'!BN17))&gt;0)*('Istoric_Nativ'!$Q$6:$Q$405&lt;=H162))/AL162)</x:f>
      </x:c>
      <x:c r="R162" s="10" t="str">
        <x:f>IF(OR(NOT(AND(J162="PASS",'Calibrare_Linii'!U8="VALID")),AM162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O17)+((('Istoric_Nativ'!$E$6:$E$405='Input_Meci'!E17)+('Istoric_Nativ'!$F$6:$F$405='Input_Meci'!E17))&gt;0)*('Istoric_Nativ'!$D$6:$D$405&gt;='Motor_Meciuri'!BP17))&gt;0)*('Istoric_Nativ'!$Q$6:$Q$405&lt;=H162))/AM162)</x:f>
      </x:c>
      <x:c r="S162" s="10" t="str">
        <x:f>IF(M162="","",MAX(O162,P162,Q162,R162))</x:f>
      </x:c>
      <x:c r="T162" s="11" t="str">
        <x:f>IF(M162="","",MIN(100,S162*100*'Config_v6'!$B$44+MIN(100,L162/'Config_v6'!$B$13*100)*'Config_v6'!$B$45+(100-'Motor_Meciuri'!BF17)*'Config_v6'!$B$46+'Motor_Meciuri'!BH17*100*'Config_v6'!$B$47))</x:f>
      </x:c>
      <x:c r="U162" s="2" t="str">
        <x:f>IF(T162="","",IF(T162&lt;=20,1,IF(T162&lt;=40,2,IF(T162&lt;=60,3,IF(T162&lt;=80,4,5)))))</x:f>
      </x:c>
      <x:c r="V162" s="2" t="str">
        <x:f>IF(M162="","",MAX(0,'Motor_Meciuri'!BF17-IF(W162="OOS PENDING",'Config_v6'!$B$35,0)-IF(L162&gt;'Config_v6'!$B$12,'Config_v6'!$B$37,IF(L162&gt;'Config_v6'!$B$11,'Config_v6'!$B$36,0))))</x:f>
      </x:c>
      <x:c r="W162" s="2" t="str">
        <x:f>IF(B162="","",IF(I162&lt;&gt;"READY","NOT RELEASED",IF(NOT(AND(J162="PASS",'Calibrare_Linii'!U8="VALID")),"INVALID",IF(NOT(AND('Calibrare_Linii'!S8="VALIDATED",AND('Calibrare_Linii'!H8=C162,ISNUMBER('Calibrare_Linii'!J8),'Calibrare_Linii'!J8&lt;='Input_Meci'!G17))),"OOS PENDING",IF(S162&lt;='Calibrare_Linii'!E8,"PASS",IF(S162&lt;='Calibrare_Linii'!F8,"PENALTY","WATCH"))))))</x:f>
      </x:c>
      <x:c r="X162" s="2" t="str">
        <x:f>IF(M162="","",IF(AND(AND(J162="PASS",'Calibrare_Linii'!U8="VALID"),'Motor_Meciuri'!K17=12,'Motor_Meciuri'!L17=12,'Motor_Meciuri'!M17="NO",'Motor_Meciuri'!BL17='Motor_Meciuri'!C17,AB162&gt;='Config_v6'!$B$50,AN162&gt;='Config_v6'!$B$51,T162&lt;='Config_v6'!$B$52,L162&lt;='Config_v6'!$B$53,ISNUMBER('Calibrare_Linii'!E8),S162&lt;='Calibrare_Linii'!E8,SUM(AK162:AM162)&gt;0),"CANDIDATE","NO"))</x:f>
      </x:c>
      <x:c r="Y162" s="2" t="str">
        <x:f>IF(B162="","",IF(I162&lt;&gt;"READY","NOT RELEASED",IF(AND(X162="CANDIDATE",V162&gt;='Config_v6'!$B$51,W162="PASS",'Calibrare_Linii'!T8="VALIDATED",AND('Calibrare_Linii'!H8=C162,ISNUMBER('Calibrare_Linii'!J8),'Calibrare_Linii'!J8&lt;='Input_Meci'!G17)),"PASS",IF(X162="CANDIDATE","OOS PENDING","FAIL"))))</x:f>
      </x:c>
      <x:c r="Z162" s="2" t="str">
        <x:f>IF(B162="","",IF(I162&lt;&gt;"READY","",IF(OR(NOT(AND(J162="PASS",'Calibrare_Linii'!U8="VALID")),L162&gt;'Config_v6'!$B$13,W162="WATCH"),5,IF(Y162="PASS",1,MIN(5,MAX('Config_v6'!$B$42,U162)+IF(W162="PENALTY",1,0))))))</x:f>
      </x:c>
      <x:c r="AA162" s="2" t="str">
        <x:f>IF(B162="","",IF(I162&lt;&gt;"READY","NOT RELEASED",IF(Z162=5,"NO BET",IF(OR(AB162&lt;'Config_v6'!$B$16,V162&lt;'Config_v6'!$B$18),"WATCH",IF(Z162=1,"DEFENSIV",IF(Z162=2,"PRUDENT",IF(Z162=3,"MODERAT","RIDICAT")))))))</x:f>
      </x:c>
      <x:c r="AB162" s="10" t="str">
        <x:f>IF(N162="","",MIN(N162,1-S162))</x:f>
      </x:c>
      <x:c r="AC162" s="2" t="str">
        <x:f>IF(AD162&lt;&gt;1,"",COUNTIFS($Z$160:$Z$173,"&lt;"&amp;Z162,$AD$160:$AD$173,1)+COUNTIFS($Z$160:$Z$173,Z162,$AB$160:$AB$173,"&gt;"&amp;AB162,$AD$160:$AD$173,1)+COUNTIFS($Z$160:$Z$173,Z162,$AB$160:$AB$173,AB162,$V$160:$V$173,"&gt;"&amp;V162,$AD$160:$AD$173,1)+COUNTIFS($Z$160:Z162,Z162,$AB$160:AB162,AB162,$V$160:V162,V162,$AD$160:AD162,1))</x:f>
      </x:c>
      <x:c r="AD162" s="2" t="n">
        <x:f>IF(OR(AA162="DEFENSIV",AA162="PRUDENT",AA162="MODERAT",AA162="RIDICAT"),1,0)</x:f>
        <x:v>0</x:v>
      </x:c>
      <x:c r="AE162" s="2" t="str">
        <x:f>IF(AD162&lt;&gt;1,"NO",IF(W162="PASS","YES",IF(W162="OOS PENDING","CONDITIONAL","NO")))</x:f>
        <x:v>NO</x:v>
      </x:c>
      <x:c r="AF162" s="2" t="n">
        <x:f>IF(AND(AD162=1,AC162=1,E162="LIVE"),1,0)</x:f>
        <x:v>0</x:v>
      </x:c>
      <x:c r="AG162" s="2" t="str">
        <x:f>IF(AF162&lt;&gt;1,"",'Dashboard'!P37)</x:f>
      </x:c>
      <x:c r="AH162" s="2" t="str">
        <x:f>IF(B162="","",IF(J162&lt;&gt;"PASS",'Motor_Meciuri'!J17,IF('Calibrare_Linii'!U8&lt;&gt;"VALID","Parametri linie invalizi",IF(L162&gt;'Config_v6'!$B$13,"Dispersie peste limita",IF(W162="WATCH","Failure peste limita",IF(AB162&lt;'Config_v6'!$B$16,"P finala sub prag",IF(V162&lt;'Config_v6'!$B$18,"Confidence sub prag",IF(E162="REPLAY","Exemplu retrospectiv; exclus din Top LIVE",IF(Y162="PASS","DEFENSIV validat",IF(W162="OOS PENDING","Eligibil; calibrare linie in monitorizare","Eligibil"))))))))))</x:f>
      </x:c>
      <x:c r="AI162" s="2" t="str">
        <x:f>IF(B162="","",'Calibrare_Linii'!V8)</x:f>
      </x:c>
      <x:c r="AJ162" s="2" t="str">
        <x:f>IF(B162="","",IF(AND('Calibrare_Linii'!T8="VALIDATED",AND('Calibrare_Linii'!H8=C162,ISNUMBER('Calibrare_Linii'!J8),'Calibrare_Linii'!J8&lt;='Input_Meci'!G17)),"DEFENSIVE VALIDATED",IF(AND('Calibrare_Linii'!S8="VALIDATED",AND('Calibrare_Linii'!H8=C162,ISNUMBER('Calibrare_Linii'!J8),'Calibrare_Linii'!J8&lt;='Input_Meci'!G17)),"TAIL VALIDATED","OOS PENDING")))</x:f>
      </x:c>
      <x:c r="AK162" s="2" t="n">
        <x:f>IF(J162&lt;&gt;"PASS",0,'Motor_Meciuri'!BR17)</x:f>
        <x:v>0</x:v>
      </x:c>
      <x:c r="AL162" s="2" t="n">
        <x:f>IF(J162&lt;&gt;"PASS",0,'Motor_Meciuri'!BS17)</x:f>
        <x:v>0</x:v>
      </x:c>
      <x:c r="AM162" s="2" t="n">
        <x:f>IF(J162&lt;&gt;"PASS",0,'Motor_Meciuri'!BT17)</x:f>
        <x:v>0</x:v>
      </x:c>
      <x:c r="AN162" s="2" t="str">
        <x:f>IF(M162="","",MAX(0,'Motor_Meciuri'!BF17-IF(L162&gt;'Config_v6'!$B$12,'Config_v6'!$B$37,IF(L162&gt;'Config_v6'!$B$11,'Config_v6'!$B$36,0))))</x:f>
      </x:c>
    </x:row>
    <x:row r="163" ht="21" customHeight="1">
      <x:c r="A163" s="2" t="n">
        <x:v>12</x:v>
      </x:c>
      <x:c r="B163" s="2" t="str">
        <x:f>IF('Motor_Meciuri'!A17="","",'Motor_Meciuri'!A17)</x:f>
      </x:c>
      <x:c r="C163" s="2" t="str">
        <x:f>IF(B163="","",'Motor_Meciuri'!B17)</x:f>
      </x:c>
      <x:c r="D163" s="2" t="str">
        <x:f>IF(B163="","",'Motor_Meciuri'!D17)</x:f>
      </x:c>
      <x:c r="E163" s="2" t="str">
        <x:f>IF(B163="","",'Motor_Meciuri'!E17)</x:f>
      </x:c>
      <x:c r="F163" s="2" t="str">
        <x:v>O6,5</x:v>
      </x:c>
      <x:c r="G163" s="2" t="str">
        <x:v>OVER</x:v>
      </x:c>
      <x:c r="H163" s="2" t="n">
        <x:v>6</x:v>
      </x:c>
      <x:c r="I163" s="2" t="str">
        <x:f>IF(B163="","",'Motor_Meciuri'!H17)</x:f>
      </x:c>
      <x:c r="J163" s="2" t="str">
        <x:f>IF(B163="","",'Motor_Meciuri'!I17)</x:f>
      </x:c>
      <x:c r="K163" s="11" t="str">
        <x:f>IF(J163&lt;&gt;"PASS","",'Motor_Meciuri'!BD17)</x:f>
      </x:c>
      <x:c r="L163" s="11" t="str">
        <x:f>IF(J163&lt;&gt;"PASS","",'Motor_Meciuri'!AU17)</x:f>
      </x:c>
      <x:c r="M163" s="10" t="str">
        <x:f>IF(NOT(AND(J163="PASS",'Calibrare_Linii'!U9="VALID")),"",1-'Distributie'!AD17)</x:f>
      </x:c>
      <x:c r="N163" s="10" t="str">
        <x:f>IF(M163="","",MAX(0.01,MIN(0.99,0.5+(M163-0.5)*'Motor_Meciuri'!BG17*'Calibrare_Linii'!D9)))</x:f>
      </x:c>
      <x:c r="O163" s="10" t="str">
        <x:f>IF(M163="","",1-M163)</x:f>
      </x:c>
      <x:c r="P163" s="10" t="str">
        <x:f>IF(OR(NOT(AND(J163="PASS",'Calibrare_Linii'!U9="VALID")),AK163=0),""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*('Istoric_Nativ'!$Q$6:$Q$405&lt;=H163))/AK163)</x:f>
      </x:c>
      <x:c r="Q163" s="10" t="str">
        <x:f>IF(OR(NOT(AND(J163="PASS",'Calibrare_Linii'!U9="VALID")),AL163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M17)+((('Istoric_Nativ'!$E$6:$E$405='Input_Meci'!E17)+('Istoric_Nativ'!$F$6:$F$405='Input_Meci'!E17))&gt;0)*('Istoric_Nativ'!$D$6:$D$405&gt;='Motor_Meciuri'!BN17))&gt;0)*('Istoric_Nativ'!$Q$6:$Q$405&lt;=H163))/AL163)</x:f>
      </x:c>
      <x:c r="R163" s="10" t="str">
        <x:f>IF(OR(NOT(AND(J163="PASS",'Calibrare_Linii'!U9="VALID")),AM163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O17)+((('Istoric_Nativ'!$E$6:$E$405='Input_Meci'!E17)+('Istoric_Nativ'!$F$6:$F$405='Input_Meci'!E17))&gt;0)*('Istoric_Nativ'!$D$6:$D$405&gt;='Motor_Meciuri'!BP17))&gt;0)*('Istoric_Nativ'!$Q$6:$Q$405&lt;=H163))/AM163)</x:f>
      </x:c>
      <x:c r="S163" s="10" t="str">
        <x:f>IF(M163="","",MAX(O163,P163,Q163,R163))</x:f>
      </x:c>
      <x:c r="T163" s="11" t="str">
        <x:f>IF(M163="","",MIN(100,S163*100*'Config_v6'!$B$44+MIN(100,L163/'Config_v6'!$B$13*100)*'Config_v6'!$B$45+(100-'Motor_Meciuri'!BF17)*'Config_v6'!$B$46+'Motor_Meciuri'!BH17*100*'Config_v6'!$B$47))</x:f>
      </x:c>
      <x:c r="U163" s="2" t="str">
        <x:f>IF(T163="","",IF(T163&lt;=20,1,IF(T163&lt;=40,2,IF(T163&lt;=60,3,IF(T163&lt;=80,4,5)))))</x:f>
      </x:c>
      <x:c r="V163" s="2" t="str">
        <x:f>IF(M163="","",MAX(0,'Motor_Meciuri'!BF17-IF(W163="OOS PENDING",'Config_v6'!$B$35,0)-IF(L163&gt;'Config_v6'!$B$12,'Config_v6'!$B$37,IF(L163&gt;'Config_v6'!$B$11,'Config_v6'!$B$36,0))))</x:f>
      </x:c>
      <x:c r="W163" s="2" t="str">
        <x:f>IF(B163="","",IF(I163&lt;&gt;"READY","NOT RELEASED",IF(NOT(AND(J163="PASS",'Calibrare_Linii'!U9="VALID")),"INVALID",IF(NOT(AND('Calibrare_Linii'!S9="VALIDATED",AND('Calibrare_Linii'!H9=C163,ISNUMBER('Calibrare_Linii'!J9),'Calibrare_Linii'!J9&lt;='Input_Meci'!G17))),"OOS PENDING",IF(S163&lt;='Calibrare_Linii'!E9,"PASS",IF(S163&lt;='Calibrare_Linii'!F9,"PENALTY","WATCH"))))))</x:f>
      </x:c>
      <x:c r="X163" s="2" t="str">
        <x:f>IF(M163="","",IF(AND(AND(J163="PASS",'Calibrare_Linii'!U9="VALID"),'Motor_Meciuri'!K17=12,'Motor_Meciuri'!L17=12,'Motor_Meciuri'!M17="NO",'Motor_Meciuri'!BL17='Motor_Meciuri'!C17,AB163&gt;='Config_v6'!$B$50,AN163&gt;='Config_v6'!$B$51,T163&lt;='Config_v6'!$B$52,L163&lt;='Config_v6'!$B$53,ISNUMBER('Calibrare_Linii'!E9),S163&lt;='Calibrare_Linii'!E9,SUM(AK163:AM163)&gt;0),"CANDIDATE","NO"))</x:f>
      </x:c>
      <x:c r="Y163" s="2" t="str">
        <x:f>IF(B163="","",IF(I163&lt;&gt;"READY","NOT RELEASED",IF(AND(X163="CANDIDATE",V163&gt;='Config_v6'!$B$51,W163="PASS",'Calibrare_Linii'!T9="VALIDATED",AND('Calibrare_Linii'!H9=C163,ISNUMBER('Calibrare_Linii'!J9),'Calibrare_Linii'!J9&lt;='Input_Meci'!G17)),"PASS",IF(X163="CANDIDATE","OOS PENDING","FAIL"))))</x:f>
      </x:c>
      <x:c r="Z163" s="2" t="str">
        <x:f>IF(B163="","",IF(I163&lt;&gt;"READY","",IF(OR(NOT(AND(J163="PASS",'Calibrare_Linii'!U9="VALID")),L163&gt;'Config_v6'!$B$13,W163="WATCH"),5,IF(Y163="PASS",1,MIN(5,MAX('Config_v6'!$B$42,U163)+IF(W163="PENALTY",1,0))))))</x:f>
      </x:c>
      <x:c r="AA163" s="2" t="str">
        <x:f>IF(B163="","",IF(I163&lt;&gt;"READY","NOT RELEASED",IF(Z163=5,"NO BET",IF(OR(AB163&lt;'Config_v6'!$B$16,V163&lt;'Config_v6'!$B$18),"WATCH",IF(Z163=1,"DEFENSIV",IF(Z163=2,"PRUDENT",IF(Z163=3,"MODERAT","RIDICAT")))))))</x:f>
      </x:c>
      <x:c r="AB163" s="10" t="str">
        <x:f>IF(N163="","",MIN(N163,1-S163))</x:f>
      </x:c>
      <x:c r="AC163" s="2" t="str">
        <x:f>IF(AD163&lt;&gt;1,"",COUNTIFS($Z$160:$Z$173,"&lt;"&amp;Z163,$AD$160:$AD$173,1)+COUNTIFS($Z$160:$Z$173,Z163,$AB$160:$AB$173,"&gt;"&amp;AB163,$AD$160:$AD$173,1)+COUNTIFS($Z$160:$Z$173,Z163,$AB$160:$AB$173,AB163,$V$160:$V$173,"&gt;"&amp;V163,$AD$160:$AD$173,1)+COUNTIFS($Z$160:Z163,Z163,$AB$160:AB163,AB163,$V$160:V163,V163,$AD$160:AD163,1))</x:f>
      </x:c>
      <x:c r="AD163" s="2" t="n">
        <x:f>IF(OR(AA163="DEFENSIV",AA163="PRUDENT",AA163="MODERAT",AA163="RIDICAT"),1,0)</x:f>
        <x:v>0</x:v>
      </x:c>
      <x:c r="AE163" s="2" t="str">
        <x:f>IF(AD163&lt;&gt;1,"NO",IF(W163="PASS","YES",IF(W163="OOS PENDING","CONDITIONAL","NO")))</x:f>
        <x:v>NO</x:v>
      </x:c>
      <x:c r="AF163" s="2" t="n">
        <x:f>IF(AND(AD163=1,AC163=1,E163="LIVE"),1,0)</x:f>
        <x:v>0</x:v>
      </x:c>
      <x:c r="AG163" s="2" t="str">
        <x:f>IF(AF163&lt;&gt;1,"",'Dashboard'!P37)</x:f>
      </x:c>
      <x:c r="AH163" s="2" t="str">
        <x:f>IF(B163="","",IF(J163&lt;&gt;"PASS",'Motor_Meciuri'!J17,IF('Calibrare_Linii'!U9&lt;&gt;"VALID","Parametri linie invalizi",IF(L163&gt;'Config_v6'!$B$13,"Dispersie peste limita",IF(W163="WATCH","Failure peste limita",IF(AB163&lt;'Config_v6'!$B$16,"P finala sub prag",IF(V163&lt;'Config_v6'!$B$18,"Confidence sub prag",IF(E163="REPLAY","Exemplu retrospectiv; exclus din Top LIVE",IF(Y163="PASS","DEFENSIV validat",IF(W163="OOS PENDING","Eligibil; calibrare linie in monitorizare","Eligibil"))))))))))</x:f>
      </x:c>
      <x:c r="AI163" s="2" t="str">
        <x:f>IF(B163="","",'Calibrare_Linii'!V9)</x:f>
      </x:c>
      <x:c r="AJ163" s="2" t="str">
        <x:f>IF(B163="","",IF(AND('Calibrare_Linii'!T9="VALIDATED",AND('Calibrare_Linii'!H9=C163,ISNUMBER('Calibrare_Linii'!J9),'Calibrare_Linii'!J9&lt;='Input_Meci'!G17)),"DEFENSIVE VALIDATED",IF(AND('Calibrare_Linii'!S9="VALIDATED",AND('Calibrare_Linii'!H9=C163,ISNUMBER('Calibrare_Linii'!J9),'Calibrare_Linii'!J9&lt;='Input_Meci'!G17)),"TAIL VALIDATED","OOS PENDING")))</x:f>
      </x:c>
      <x:c r="AK163" s="2" t="n">
        <x:f>IF(J163&lt;&gt;"PASS",0,'Motor_Meciuri'!BR17)</x:f>
        <x:v>0</x:v>
      </x:c>
      <x:c r="AL163" s="2" t="n">
        <x:f>IF(J163&lt;&gt;"PASS",0,'Motor_Meciuri'!BS17)</x:f>
        <x:v>0</x:v>
      </x:c>
      <x:c r="AM163" s="2" t="n">
        <x:f>IF(J163&lt;&gt;"PASS",0,'Motor_Meciuri'!BT17)</x:f>
        <x:v>0</x:v>
      </x:c>
      <x:c r="AN163" s="2" t="str">
        <x:f>IF(M163="","",MAX(0,'Motor_Meciuri'!BF17-IF(L163&gt;'Config_v6'!$B$12,'Config_v6'!$B$37,IF(L163&gt;'Config_v6'!$B$11,'Config_v6'!$B$36,0))))</x:f>
      </x:c>
    </x:row>
    <x:row r="164" ht="21" customHeight="1">
      <x:c r="A164" s="2" t="n">
        <x:v>12</x:v>
      </x:c>
      <x:c r="B164" s="2" t="str">
        <x:f>IF('Motor_Meciuri'!A17="","",'Motor_Meciuri'!A17)</x:f>
      </x:c>
      <x:c r="C164" s="2" t="str">
        <x:f>IF(B164="","",'Motor_Meciuri'!B17)</x:f>
      </x:c>
      <x:c r="D164" s="2" t="str">
        <x:f>IF(B164="","",'Motor_Meciuri'!D17)</x:f>
      </x:c>
      <x:c r="E164" s="2" t="str">
        <x:f>IF(B164="","",'Motor_Meciuri'!E17)</x:f>
      </x:c>
      <x:c r="F164" s="2" t="str">
        <x:v>O7,5</x:v>
      </x:c>
      <x:c r="G164" s="2" t="str">
        <x:v>OVER</x:v>
      </x:c>
      <x:c r="H164" s="2" t="n">
        <x:v>7</x:v>
      </x:c>
      <x:c r="I164" s="2" t="str">
        <x:f>IF(B164="","",'Motor_Meciuri'!H17)</x:f>
      </x:c>
      <x:c r="J164" s="2" t="str">
        <x:f>IF(B164="","",'Motor_Meciuri'!I17)</x:f>
      </x:c>
      <x:c r="K164" s="11" t="str">
        <x:f>IF(J164&lt;&gt;"PASS","",'Motor_Meciuri'!BD17)</x:f>
      </x:c>
      <x:c r="L164" s="11" t="str">
        <x:f>IF(J164&lt;&gt;"PASS","",'Motor_Meciuri'!AU17)</x:f>
      </x:c>
      <x:c r="M164" s="10" t="str">
        <x:f>IF(NOT(AND(J164="PASS",'Calibrare_Linii'!U10="VALID")),"",1-'Distributie'!AE17)</x:f>
      </x:c>
      <x:c r="N164" s="10" t="str">
        <x:f>IF(M164="","",MAX(0.01,MIN(0.99,0.5+(M164-0.5)*'Motor_Meciuri'!BG17*'Calibrare_Linii'!D10)))</x:f>
      </x:c>
      <x:c r="O164" s="10" t="str">
        <x:f>IF(M164="","",1-M164)</x:f>
      </x:c>
      <x:c r="P164" s="10" t="str">
        <x:f>IF(OR(NOT(AND(J164="PASS",'Calibrare_Linii'!U10="VALID")),AK164=0),""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*('Istoric_Nativ'!$Q$6:$Q$405&lt;=H164))/AK164)</x:f>
      </x:c>
      <x:c r="Q164" s="10" t="str">
        <x:f>IF(OR(NOT(AND(J164="PASS",'Calibrare_Linii'!U10="VALID")),AL164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M17)+((('Istoric_Nativ'!$E$6:$E$405='Input_Meci'!E17)+('Istoric_Nativ'!$F$6:$F$405='Input_Meci'!E17))&gt;0)*('Istoric_Nativ'!$D$6:$D$405&gt;='Motor_Meciuri'!BN17))&gt;0)*('Istoric_Nativ'!$Q$6:$Q$405&lt;=H164))/AL164)</x:f>
      </x:c>
      <x:c r="R164" s="10" t="str">
        <x:f>IF(OR(NOT(AND(J164="PASS",'Calibrare_Linii'!U10="VALID")),AM164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O17)+((('Istoric_Nativ'!$E$6:$E$405='Input_Meci'!E17)+('Istoric_Nativ'!$F$6:$F$405='Input_Meci'!E17))&gt;0)*('Istoric_Nativ'!$D$6:$D$405&gt;='Motor_Meciuri'!BP17))&gt;0)*('Istoric_Nativ'!$Q$6:$Q$405&lt;=H164))/AM164)</x:f>
      </x:c>
      <x:c r="S164" s="10" t="str">
        <x:f>IF(M164="","",MAX(O164,P164,Q164,R164))</x:f>
      </x:c>
      <x:c r="T164" s="11" t="str">
        <x:f>IF(M164="","",MIN(100,S164*100*'Config_v6'!$B$44+MIN(100,L164/'Config_v6'!$B$13*100)*'Config_v6'!$B$45+(100-'Motor_Meciuri'!BF17)*'Config_v6'!$B$46+'Motor_Meciuri'!BH17*100*'Config_v6'!$B$47))</x:f>
      </x:c>
      <x:c r="U164" s="2" t="str">
        <x:f>IF(T164="","",IF(T164&lt;=20,1,IF(T164&lt;=40,2,IF(T164&lt;=60,3,IF(T164&lt;=80,4,5)))))</x:f>
      </x:c>
      <x:c r="V164" s="2" t="str">
        <x:f>IF(M164="","",MAX(0,'Motor_Meciuri'!BF17-IF(W164="OOS PENDING",'Config_v6'!$B$35,0)-IF(L164&gt;'Config_v6'!$B$12,'Config_v6'!$B$37,IF(L164&gt;'Config_v6'!$B$11,'Config_v6'!$B$36,0))))</x:f>
      </x:c>
      <x:c r="W164" s="2" t="str">
        <x:f>IF(B164="","",IF(I164&lt;&gt;"READY","NOT RELEASED",IF(NOT(AND(J164="PASS",'Calibrare_Linii'!U10="VALID")),"INVALID",IF(NOT(AND('Calibrare_Linii'!S10="VALIDATED",AND('Calibrare_Linii'!H10=C164,ISNUMBER('Calibrare_Linii'!J10),'Calibrare_Linii'!J10&lt;='Input_Meci'!G17))),"OOS PENDING",IF(S164&lt;='Calibrare_Linii'!E10,"PASS",IF(S164&lt;='Calibrare_Linii'!F10,"PENALTY","WATCH"))))))</x:f>
      </x:c>
      <x:c r="X164" s="2" t="str">
        <x:f>IF(M164="","",IF(AND(AND(J164="PASS",'Calibrare_Linii'!U10="VALID"),'Motor_Meciuri'!K17=12,'Motor_Meciuri'!L17=12,'Motor_Meciuri'!M17="NO",'Motor_Meciuri'!BL17='Motor_Meciuri'!C17,AB164&gt;='Config_v6'!$B$50,AN164&gt;='Config_v6'!$B$51,T164&lt;='Config_v6'!$B$52,L164&lt;='Config_v6'!$B$53,ISNUMBER('Calibrare_Linii'!E10),S164&lt;='Calibrare_Linii'!E10,SUM(AK164:AM164)&gt;0),"CANDIDATE","NO"))</x:f>
      </x:c>
      <x:c r="Y164" s="2" t="str">
        <x:f>IF(B164="","",IF(I164&lt;&gt;"READY","NOT RELEASED",IF(AND(X164="CANDIDATE",V164&gt;='Config_v6'!$B$51,W164="PASS",'Calibrare_Linii'!T10="VALIDATED",AND('Calibrare_Linii'!H10=C164,ISNUMBER('Calibrare_Linii'!J10),'Calibrare_Linii'!J10&lt;='Input_Meci'!G17)),"PASS",IF(X164="CANDIDATE","OOS PENDING","FAIL"))))</x:f>
      </x:c>
      <x:c r="Z164" s="2" t="str">
        <x:f>IF(B164="","",IF(I164&lt;&gt;"READY","",IF(OR(NOT(AND(J164="PASS",'Calibrare_Linii'!U10="VALID")),L164&gt;'Config_v6'!$B$13,W164="WATCH"),5,IF(Y164="PASS",1,MIN(5,MAX('Config_v6'!$B$42,U164)+IF(W164="PENALTY",1,0))))))</x:f>
      </x:c>
      <x:c r="AA164" s="2" t="str">
        <x:f>IF(B164="","",IF(I164&lt;&gt;"READY","NOT RELEASED",IF(Z164=5,"NO BET",IF(OR(AB164&lt;'Config_v6'!$B$16,V164&lt;'Config_v6'!$B$18),"WATCH",IF(Z164=1,"DEFENSIV",IF(Z164=2,"PRUDENT",IF(Z164=3,"MODERAT","RIDICAT")))))))</x:f>
      </x:c>
      <x:c r="AB164" s="10" t="str">
        <x:f>IF(N164="","",MIN(N164,1-S164))</x:f>
      </x:c>
      <x:c r="AC164" s="2" t="str">
        <x:f>IF(AD164&lt;&gt;1,"",COUNTIFS($Z$160:$Z$173,"&lt;"&amp;Z164,$AD$160:$AD$173,1)+COUNTIFS($Z$160:$Z$173,Z164,$AB$160:$AB$173,"&gt;"&amp;AB164,$AD$160:$AD$173,1)+COUNTIFS($Z$160:$Z$173,Z164,$AB$160:$AB$173,AB164,$V$160:$V$173,"&gt;"&amp;V164,$AD$160:$AD$173,1)+COUNTIFS($Z$160:Z164,Z164,$AB$160:AB164,AB164,$V$160:V164,V164,$AD$160:AD164,1))</x:f>
      </x:c>
      <x:c r="AD164" s="2" t="n">
        <x:f>IF(OR(AA164="DEFENSIV",AA164="PRUDENT",AA164="MODERAT",AA164="RIDICAT"),1,0)</x:f>
        <x:v>0</x:v>
      </x:c>
      <x:c r="AE164" s="2" t="str">
        <x:f>IF(AD164&lt;&gt;1,"NO",IF(W164="PASS","YES",IF(W164="OOS PENDING","CONDITIONAL","NO")))</x:f>
        <x:v>NO</x:v>
      </x:c>
      <x:c r="AF164" s="2" t="n">
        <x:f>IF(AND(AD164=1,AC164=1,E164="LIVE"),1,0)</x:f>
        <x:v>0</x:v>
      </x:c>
      <x:c r="AG164" s="2" t="str">
        <x:f>IF(AF164&lt;&gt;1,"",'Dashboard'!P37)</x:f>
      </x:c>
      <x:c r="AH164" s="2" t="str">
        <x:f>IF(B164="","",IF(J164&lt;&gt;"PASS",'Motor_Meciuri'!J17,IF('Calibrare_Linii'!U10&lt;&gt;"VALID","Parametri linie invalizi",IF(L164&gt;'Config_v6'!$B$13,"Dispersie peste limita",IF(W164="WATCH","Failure peste limita",IF(AB164&lt;'Config_v6'!$B$16,"P finala sub prag",IF(V164&lt;'Config_v6'!$B$18,"Confidence sub prag",IF(E164="REPLAY","Exemplu retrospectiv; exclus din Top LIVE",IF(Y164="PASS","DEFENSIV validat",IF(W164="OOS PENDING","Eligibil; calibrare linie in monitorizare","Eligibil"))))))))))</x:f>
      </x:c>
      <x:c r="AI164" s="2" t="str">
        <x:f>IF(B164="","",'Calibrare_Linii'!V10)</x:f>
      </x:c>
      <x:c r="AJ164" s="2" t="str">
        <x:f>IF(B164="","",IF(AND('Calibrare_Linii'!T10="VALIDATED",AND('Calibrare_Linii'!H10=C164,ISNUMBER('Calibrare_Linii'!J10),'Calibrare_Linii'!J10&lt;='Input_Meci'!G17)),"DEFENSIVE VALIDATED",IF(AND('Calibrare_Linii'!S10="VALIDATED",AND('Calibrare_Linii'!H10=C164,ISNUMBER('Calibrare_Linii'!J10),'Calibrare_Linii'!J10&lt;='Input_Meci'!G17)),"TAIL VALIDATED","OOS PENDING")))</x:f>
      </x:c>
      <x:c r="AK164" s="2" t="n">
        <x:f>IF(J164&lt;&gt;"PASS",0,'Motor_Meciuri'!BR17)</x:f>
        <x:v>0</x:v>
      </x:c>
      <x:c r="AL164" s="2" t="n">
        <x:f>IF(J164&lt;&gt;"PASS",0,'Motor_Meciuri'!BS17)</x:f>
        <x:v>0</x:v>
      </x:c>
      <x:c r="AM164" s="2" t="n">
        <x:f>IF(J164&lt;&gt;"PASS",0,'Motor_Meciuri'!BT17)</x:f>
        <x:v>0</x:v>
      </x:c>
      <x:c r="AN164" s="2" t="str">
        <x:f>IF(M164="","",MAX(0,'Motor_Meciuri'!BF17-IF(L164&gt;'Config_v6'!$B$12,'Config_v6'!$B$37,IF(L164&gt;'Config_v6'!$B$11,'Config_v6'!$B$36,0))))</x:f>
      </x:c>
    </x:row>
    <x:row r="165" ht="21" customHeight="1">
      <x:c r="A165" s="2" t="n">
        <x:v>12</x:v>
      </x:c>
      <x:c r="B165" s="2" t="str">
        <x:f>IF('Motor_Meciuri'!A17="","",'Motor_Meciuri'!A17)</x:f>
      </x:c>
      <x:c r="C165" s="2" t="str">
        <x:f>IF(B165="","",'Motor_Meciuri'!B17)</x:f>
      </x:c>
      <x:c r="D165" s="2" t="str">
        <x:f>IF(B165="","",'Motor_Meciuri'!D17)</x:f>
      </x:c>
      <x:c r="E165" s="2" t="str">
        <x:f>IF(B165="","",'Motor_Meciuri'!E17)</x:f>
      </x:c>
      <x:c r="F165" s="2" t="str">
        <x:v>O8,5</x:v>
      </x:c>
      <x:c r="G165" s="2" t="str">
        <x:v>OVER</x:v>
      </x:c>
      <x:c r="H165" s="2" t="n">
        <x:v>8</x:v>
      </x:c>
      <x:c r="I165" s="2" t="str">
        <x:f>IF(B165="","",'Motor_Meciuri'!H17)</x:f>
      </x:c>
      <x:c r="J165" s="2" t="str">
        <x:f>IF(B165="","",'Motor_Meciuri'!I17)</x:f>
      </x:c>
      <x:c r="K165" s="11" t="str">
        <x:f>IF(J165&lt;&gt;"PASS","",'Motor_Meciuri'!BD17)</x:f>
      </x:c>
      <x:c r="L165" s="11" t="str">
        <x:f>IF(J165&lt;&gt;"PASS","",'Motor_Meciuri'!AU17)</x:f>
      </x:c>
      <x:c r="M165" s="10" t="str">
        <x:f>IF(NOT(AND(J165="PASS",'Calibrare_Linii'!U11="VALID")),"",1-'Distributie'!AF17)</x:f>
      </x:c>
      <x:c r="N165" s="10" t="str">
        <x:f>IF(M165="","",MAX(0.01,MIN(0.99,0.5+(M165-0.5)*'Motor_Meciuri'!BG17*'Calibrare_Linii'!D11)))</x:f>
      </x:c>
      <x:c r="O165" s="10" t="str">
        <x:f>IF(M165="","",1-M165)</x:f>
      </x:c>
      <x:c r="P165" s="10" t="str">
        <x:f>IF(OR(NOT(AND(J165="PASS",'Calibrare_Linii'!U11="VALID")),AK165=0),""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*('Istoric_Nativ'!$Q$6:$Q$405&lt;=H165))/AK165)</x:f>
      </x:c>
      <x:c r="Q165" s="10" t="str">
        <x:f>IF(OR(NOT(AND(J165="PASS",'Calibrare_Linii'!U11="VALID")),AL165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M17)+((('Istoric_Nativ'!$E$6:$E$405='Input_Meci'!E17)+('Istoric_Nativ'!$F$6:$F$405='Input_Meci'!E17))&gt;0)*('Istoric_Nativ'!$D$6:$D$405&gt;='Motor_Meciuri'!BN17))&gt;0)*('Istoric_Nativ'!$Q$6:$Q$405&lt;=H165))/AL165)</x:f>
      </x:c>
      <x:c r="R165" s="10" t="str">
        <x:f>IF(OR(NOT(AND(J165="PASS",'Calibrare_Linii'!U11="VALID")),AM165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O17)+((('Istoric_Nativ'!$E$6:$E$405='Input_Meci'!E17)+('Istoric_Nativ'!$F$6:$F$405='Input_Meci'!E17))&gt;0)*('Istoric_Nativ'!$D$6:$D$405&gt;='Motor_Meciuri'!BP17))&gt;0)*('Istoric_Nativ'!$Q$6:$Q$405&lt;=H165))/AM165)</x:f>
      </x:c>
      <x:c r="S165" s="10" t="str">
        <x:f>IF(M165="","",MAX(O165,P165,Q165,R165))</x:f>
      </x:c>
      <x:c r="T165" s="11" t="str">
        <x:f>IF(M165="","",MIN(100,S165*100*'Config_v6'!$B$44+MIN(100,L165/'Config_v6'!$B$13*100)*'Config_v6'!$B$45+(100-'Motor_Meciuri'!BF17)*'Config_v6'!$B$46+'Motor_Meciuri'!BH17*100*'Config_v6'!$B$47))</x:f>
      </x:c>
      <x:c r="U165" s="2" t="str">
        <x:f>IF(T165="","",IF(T165&lt;=20,1,IF(T165&lt;=40,2,IF(T165&lt;=60,3,IF(T165&lt;=80,4,5)))))</x:f>
      </x:c>
      <x:c r="V165" s="2" t="str">
        <x:f>IF(M165="","",MAX(0,'Motor_Meciuri'!BF17-IF(W165="OOS PENDING",'Config_v6'!$B$35,0)-IF(L165&gt;'Config_v6'!$B$12,'Config_v6'!$B$37,IF(L165&gt;'Config_v6'!$B$11,'Config_v6'!$B$36,0))))</x:f>
      </x:c>
      <x:c r="W165" s="2" t="str">
        <x:f>IF(B165="","",IF(I165&lt;&gt;"READY","NOT RELEASED",IF(NOT(AND(J165="PASS",'Calibrare_Linii'!U11="VALID")),"INVALID",IF(NOT(AND('Calibrare_Linii'!S11="VALIDATED",AND('Calibrare_Linii'!H11=C165,ISNUMBER('Calibrare_Linii'!J11),'Calibrare_Linii'!J11&lt;='Input_Meci'!G17))),"OOS PENDING",IF(S165&lt;='Calibrare_Linii'!E11,"PASS",IF(S165&lt;='Calibrare_Linii'!F11,"PENALTY","WATCH"))))))</x:f>
      </x:c>
      <x:c r="X165" s="2" t="str">
        <x:f>IF(M165="","",IF(AND(AND(J165="PASS",'Calibrare_Linii'!U11="VALID"),'Motor_Meciuri'!K17=12,'Motor_Meciuri'!L17=12,'Motor_Meciuri'!M17="NO",'Motor_Meciuri'!BL17='Motor_Meciuri'!C17,AB165&gt;='Config_v6'!$B$50,AN165&gt;='Config_v6'!$B$51,T165&lt;='Config_v6'!$B$52,L165&lt;='Config_v6'!$B$53,ISNUMBER('Calibrare_Linii'!E11),S165&lt;='Calibrare_Linii'!E11,SUM(AK165:AM165)&gt;0),"CANDIDATE","NO"))</x:f>
      </x:c>
      <x:c r="Y165" s="2" t="str">
        <x:f>IF(B165="","",IF(I165&lt;&gt;"READY","NOT RELEASED",IF(AND(X165="CANDIDATE",V165&gt;='Config_v6'!$B$51,W165="PASS",'Calibrare_Linii'!T11="VALIDATED",AND('Calibrare_Linii'!H11=C165,ISNUMBER('Calibrare_Linii'!J11),'Calibrare_Linii'!J11&lt;='Input_Meci'!G17)),"PASS",IF(X165="CANDIDATE","OOS PENDING","FAIL"))))</x:f>
      </x:c>
      <x:c r="Z165" s="2" t="str">
        <x:f>IF(B165="","",IF(I165&lt;&gt;"READY","",IF(OR(NOT(AND(J165="PASS",'Calibrare_Linii'!U11="VALID")),L165&gt;'Config_v6'!$B$13,W165="WATCH"),5,IF(Y165="PASS",1,MIN(5,MAX('Config_v6'!$B$42,U165)+IF(W165="PENALTY",1,0))))))</x:f>
      </x:c>
      <x:c r="AA165" s="2" t="str">
        <x:f>IF(B165="","",IF(I165&lt;&gt;"READY","NOT RELEASED",IF(Z165=5,"NO BET",IF(OR(AB165&lt;'Config_v6'!$B$16,V165&lt;'Config_v6'!$B$18),"WATCH",IF(Z165=1,"DEFENSIV",IF(Z165=2,"PRUDENT",IF(Z165=3,"MODERAT","RIDICAT")))))))</x:f>
      </x:c>
      <x:c r="AB165" s="10" t="str">
        <x:f>IF(N165="","",MIN(N165,1-S165))</x:f>
      </x:c>
      <x:c r="AC165" s="2" t="str">
        <x:f>IF(AD165&lt;&gt;1,"",COUNTIFS($Z$160:$Z$173,"&lt;"&amp;Z165,$AD$160:$AD$173,1)+COUNTIFS($Z$160:$Z$173,Z165,$AB$160:$AB$173,"&gt;"&amp;AB165,$AD$160:$AD$173,1)+COUNTIFS($Z$160:$Z$173,Z165,$AB$160:$AB$173,AB165,$V$160:$V$173,"&gt;"&amp;V165,$AD$160:$AD$173,1)+COUNTIFS($Z$160:Z165,Z165,$AB$160:AB165,AB165,$V$160:V165,V165,$AD$160:AD165,1))</x:f>
      </x:c>
      <x:c r="AD165" s="2" t="n">
        <x:f>IF(OR(AA165="DEFENSIV",AA165="PRUDENT",AA165="MODERAT",AA165="RIDICAT"),1,0)</x:f>
        <x:v>0</x:v>
      </x:c>
      <x:c r="AE165" s="2" t="str">
        <x:f>IF(AD165&lt;&gt;1,"NO",IF(W165="PASS","YES",IF(W165="OOS PENDING","CONDITIONAL","NO")))</x:f>
        <x:v>NO</x:v>
      </x:c>
      <x:c r="AF165" s="2" t="n">
        <x:f>IF(AND(AD165=1,AC165=1,E165="LIVE"),1,0)</x:f>
        <x:v>0</x:v>
      </x:c>
      <x:c r="AG165" s="2" t="str">
        <x:f>IF(AF165&lt;&gt;1,"",'Dashboard'!P37)</x:f>
      </x:c>
      <x:c r="AH165" s="2" t="str">
        <x:f>IF(B165="","",IF(J165&lt;&gt;"PASS",'Motor_Meciuri'!J17,IF('Calibrare_Linii'!U11&lt;&gt;"VALID","Parametri linie invalizi",IF(L165&gt;'Config_v6'!$B$13,"Dispersie peste limita",IF(W165="WATCH","Failure peste limita",IF(AB165&lt;'Config_v6'!$B$16,"P finala sub prag",IF(V165&lt;'Config_v6'!$B$18,"Confidence sub prag",IF(E165="REPLAY","Exemplu retrospectiv; exclus din Top LIVE",IF(Y165="PASS","DEFENSIV validat",IF(W165="OOS PENDING","Eligibil; calibrare linie in monitorizare","Eligibil"))))))))))</x:f>
      </x:c>
      <x:c r="AI165" s="2" t="str">
        <x:f>IF(B165="","",'Calibrare_Linii'!V11)</x:f>
      </x:c>
      <x:c r="AJ165" s="2" t="str">
        <x:f>IF(B165="","",IF(AND('Calibrare_Linii'!T11="VALIDATED",AND('Calibrare_Linii'!H11=C165,ISNUMBER('Calibrare_Linii'!J11),'Calibrare_Linii'!J11&lt;='Input_Meci'!G17)),"DEFENSIVE VALIDATED",IF(AND('Calibrare_Linii'!S11="VALIDATED",AND('Calibrare_Linii'!H11=C165,ISNUMBER('Calibrare_Linii'!J11),'Calibrare_Linii'!J11&lt;='Input_Meci'!G17)),"TAIL VALIDATED","OOS PENDING")))</x:f>
      </x:c>
      <x:c r="AK165" s="2" t="n">
        <x:f>IF(J165&lt;&gt;"PASS",0,'Motor_Meciuri'!BR17)</x:f>
        <x:v>0</x:v>
      </x:c>
      <x:c r="AL165" s="2" t="n">
        <x:f>IF(J165&lt;&gt;"PASS",0,'Motor_Meciuri'!BS17)</x:f>
        <x:v>0</x:v>
      </x:c>
      <x:c r="AM165" s="2" t="n">
        <x:f>IF(J165&lt;&gt;"PASS",0,'Motor_Meciuri'!BT17)</x:f>
        <x:v>0</x:v>
      </x:c>
      <x:c r="AN165" s="2" t="str">
        <x:f>IF(M165="","",MAX(0,'Motor_Meciuri'!BF17-IF(L165&gt;'Config_v6'!$B$12,'Config_v6'!$B$37,IF(L165&gt;'Config_v6'!$B$11,'Config_v6'!$B$36,0))))</x:f>
      </x:c>
    </x:row>
    <x:row r="166" ht="21" customHeight="1">
      <x:c r="A166" s="2" t="n">
        <x:v>12</x:v>
      </x:c>
      <x:c r="B166" s="2" t="str">
        <x:f>IF('Motor_Meciuri'!A17="","",'Motor_Meciuri'!A17)</x:f>
      </x:c>
      <x:c r="C166" s="2" t="str">
        <x:f>IF(B166="","",'Motor_Meciuri'!B17)</x:f>
      </x:c>
      <x:c r="D166" s="2" t="str">
        <x:f>IF(B166="","",'Motor_Meciuri'!D17)</x:f>
      </x:c>
      <x:c r="E166" s="2" t="str">
        <x:f>IF(B166="","",'Motor_Meciuri'!E17)</x:f>
      </x:c>
      <x:c r="F166" s="2" t="str">
        <x:v>U10,5</x:v>
      </x:c>
      <x:c r="G166" s="2" t="str">
        <x:v>UNDER</x:v>
      </x:c>
      <x:c r="H166" s="2" t="n">
        <x:v>10</x:v>
      </x:c>
      <x:c r="I166" s="2" t="str">
        <x:f>IF(B166="","",'Motor_Meciuri'!H17)</x:f>
      </x:c>
      <x:c r="J166" s="2" t="str">
        <x:f>IF(B166="","",'Motor_Meciuri'!I17)</x:f>
      </x:c>
      <x:c r="K166" s="11" t="str">
        <x:f>IF(J166&lt;&gt;"PASS","",'Motor_Meciuri'!BD17)</x:f>
      </x:c>
      <x:c r="L166" s="11" t="str">
        <x:f>IF(J166&lt;&gt;"PASS","",'Motor_Meciuri'!AU17)</x:f>
      </x:c>
      <x:c r="M166" s="10" t="str">
        <x:f>IF(NOT(AND(J166="PASS",'Calibrare_Linii'!U12="VALID")),"",'Distributie'!AH17)</x:f>
      </x:c>
      <x:c r="N166" s="10" t="str">
        <x:f>IF(M166="","",MAX(0.01,MIN(0.99,0.5+(M166-0.5)*'Motor_Meciuri'!BG17*'Calibrare_Linii'!D12)))</x:f>
      </x:c>
      <x:c r="O166" s="10" t="str">
        <x:f>IF(M166="","",1-M166)</x:f>
      </x:c>
      <x:c r="P166" s="10" t="str">
        <x:f>IF(OR(NOT(AND(J166="PASS",'Calibrare_Linii'!U12="VALID")),AK166=0),""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*('Istoric_Nativ'!$Q$6:$Q$405&gt;H166))/AK166)</x:f>
      </x:c>
      <x:c r="Q166" s="10" t="str">
        <x:f>IF(OR(NOT(AND(J166="PASS",'Calibrare_Linii'!U12="VALID")),AL166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M17)+((('Istoric_Nativ'!$E$6:$E$405='Input_Meci'!E17)+('Istoric_Nativ'!$F$6:$F$405='Input_Meci'!E17))&gt;0)*('Istoric_Nativ'!$D$6:$D$405&gt;='Motor_Meciuri'!BN17))&gt;0)*('Istoric_Nativ'!$Q$6:$Q$405&gt;H166))/AL166)</x:f>
      </x:c>
      <x:c r="R166" s="10" t="str">
        <x:f>IF(OR(NOT(AND(J166="PASS",'Calibrare_Linii'!U12="VALID")),AM166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O17)+((('Istoric_Nativ'!$E$6:$E$405='Input_Meci'!E17)+('Istoric_Nativ'!$F$6:$F$405='Input_Meci'!E17))&gt;0)*('Istoric_Nativ'!$D$6:$D$405&gt;='Motor_Meciuri'!BP17))&gt;0)*('Istoric_Nativ'!$Q$6:$Q$405&gt;H166))/AM166)</x:f>
      </x:c>
      <x:c r="S166" s="10" t="str">
        <x:f>IF(M166="","",MAX(O166,P166,Q166,R166))</x:f>
      </x:c>
      <x:c r="T166" s="11" t="str">
        <x:f>IF(M166="","",MIN(100,S166*100*'Config_v6'!$B$44+MIN(100,L166/'Config_v6'!$B$13*100)*'Config_v6'!$B$45+(100-'Motor_Meciuri'!BF17)*'Config_v6'!$B$46+'Motor_Meciuri'!BH17*100*'Config_v6'!$B$47))</x:f>
      </x:c>
      <x:c r="U166" s="2" t="str">
        <x:f>IF(T166="","",IF(T166&lt;=20,1,IF(T166&lt;=40,2,IF(T166&lt;=60,3,IF(T166&lt;=80,4,5)))))</x:f>
      </x:c>
      <x:c r="V166" s="2" t="str">
        <x:f>IF(M166="","",MAX(0,'Motor_Meciuri'!BF17-IF(W166="OOS PENDING",'Config_v6'!$B$35,0)-IF(L166&gt;'Config_v6'!$B$12,'Config_v6'!$B$37,IF(L166&gt;'Config_v6'!$B$11,'Config_v6'!$B$36,0))))</x:f>
      </x:c>
      <x:c r="W166" s="2" t="str">
        <x:f>IF(B166="","",IF(I166&lt;&gt;"READY","NOT RELEASED",IF(NOT(AND(J166="PASS",'Calibrare_Linii'!U12="VALID")),"INVALID",IF(NOT(AND('Calibrare_Linii'!S12="VALIDATED",AND('Calibrare_Linii'!H12=C166,ISNUMBER('Calibrare_Linii'!J12),'Calibrare_Linii'!J12&lt;='Input_Meci'!G17))),"OOS PENDING",IF(S166&lt;='Calibrare_Linii'!E12,"PASS",IF(S166&lt;='Calibrare_Linii'!F12,"PENALTY","WATCH"))))))</x:f>
      </x:c>
      <x:c r="X166" s="2" t="str">
        <x:f>IF(M166="","",IF(AND(AND(J166="PASS",'Calibrare_Linii'!U12="VALID"),'Motor_Meciuri'!K17=12,'Motor_Meciuri'!L17=12,'Motor_Meciuri'!M17="NO",'Motor_Meciuri'!BL17='Motor_Meciuri'!C17,AB166&gt;='Config_v6'!$B$50,AN166&gt;='Config_v6'!$B$51,T166&lt;='Config_v6'!$B$52,L166&lt;='Config_v6'!$B$53,ISNUMBER('Calibrare_Linii'!E12),S166&lt;='Calibrare_Linii'!E12,SUM(AK166:AM166)&gt;0),"CANDIDATE","NO"))</x:f>
      </x:c>
      <x:c r="Y166" s="2" t="str">
        <x:f>IF(B166="","",IF(I166&lt;&gt;"READY","NOT RELEASED",IF(AND(X166="CANDIDATE",V166&gt;='Config_v6'!$B$51,W166="PASS",'Calibrare_Linii'!T12="VALIDATED",AND('Calibrare_Linii'!H12=C166,ISNUMBER('Calibrare_Linii'!J12),'Calibrare_Linii'!J12&lt;='Input_Meci'!G17)),"PASS",IF(X166="CANDIDATE","OOS PENDING","FAIL"))))</x:f>
      </x:c>
      <x:c r="Z166" s="2" t="str">
        <x:f>IF(B166="","",IF(I166&lt;&gt;"READY","",IF(OR(NOT(AND(J166="PASS",'Calibrare_Linii'!U12="VALID")),L166&gt;'Config_v6'!$B$13,W166="WATCH"),5,IF(Y166="PASS",1,MIN(5,MAX('Config_v6'!$B$42,U166)+IF(W166="PENALTY",1,0))))))</x:f>
      </x:c>
      <x:c r="AA166" s="2" t="str">
        <x:f>IF(B166="","",IF(I166&lt;&gt;"READY","NOT RELEASED",IF(Z166=5,"NO BET",IF(OR(AB166&lt;'Config_v6'!$B$16,V166&lt;'Config_v6'!$B$18),"WATCH",IF(Z166=1,"DEFENSIV",IF(Z166=2,"PRUDENT",IF(Z166=3,"MODERAT","RIDICAT")))))))</x:f>
      </x:c>
      <x:c r="AB166" s="10" t="str">
        <x:f>IF(N166="","",MIN(N166,1-S166))</x:f>
      </x:c>
      <x:c r="AC166" s="2" t="str">
        <x:f>IF(AD166&lt;&gt;1,"",COUNTIFS($Z$160:$Z$173,"&lt;"&amp;Z166,$AD$160:$AD$173,1)+COUNTIFS($Z$160:$Z$173,Z166,$AB$160:$AB$173,"&gt;"&amp;AB166,$AD$160:$AD$173,1)+COUNTIFS($Z$160:$Z$173,Z166,$AB$160:$AB$173,AB166,$V$160:$V$173,"&gt;"&amp;V166,$AD$160:$AD$173,1)+COUNTIFS($Z$160:Z166,Z166,$AB$160:AB166,AB166,$V$160:V166,V166,$AD$160:AD166,1))</x:f>
      </x:c>
      <x:c r="AD166" s="2" t="n">
        <x:f>IF(OR(AA166="DEFENSIV",AA166="PRUDENT",AA166="MODERAT",AA166="RIDICAT"),1,0)</x:f>
        <x:v>0</x:v>
      </x:c>
      <x:c r="AE166" s="2" t="str">
        <x:f>IF(AD166&lt;&gt;1,"NO",IF(W166="PASS","YES",IF(W166="OOS PENDING","CONDITIONAL","NO")))</x:f>
        <x:v>NO</x:v>
      </x:c>
      <x:c r="AF166" s="2" t="n">
        <x:f>IF(AND(AD166=1,AC166=1,E166="LIVE"),1,0)</x:f>
        <x:v>0</x:v>
      </x:c>
      <x:c r="AG166" s="2" t="str">
        <x:f>IF(AF166&lt;&gt;1,"",'Dashboard'!P37)</x:f>
      </x:c>
      <x:c r="AH166" s="2" t="str">
        <x:f>IF(B166="","",IF(J166&lt;&gt;"PASS",'Motor_Meciuri'!J17,IF('Calibrare_Linii'!U12&lt;&gt;"VALID","Parametri linie invalizi",IF(L166&gt;'Config_v6'!$B$13,"Dispersie peste limita",IF(W166="WATCH","Failure peste limita",IF(AB166&lt;'Config_v6'!$B$16,"P finala sub prag",IF(V166&lt;'Config_v6'!$B$18,"Confidence sub prag",IF(E166="REPLAY","Exemplu retrospectiv; exclus din Top LIVE",IF(Y166="PASS","DEFENSIV validat",IF(W166="OOS PENDING","Eligibil; calibrare linie in monitorizare","Eligibil"))))))))))</x:f>
      </x:c>
      <x:c r="AI166" s="2" t="str">
        <x:f>IF(B166="","",'Calibrare_Linii'!V12)</x:f>
      </x:c>
      <x:c r="AJ166" s="2" t="str">
        <x:f>IF(B166="","",IF(AND('Calibrare_Linii'!T12="VALIDATED",AND('Calibrare_Linii'!H12=C166,ISNUMBER('Calibrare_Linii'!J12),'Calibrare_Linii'!J12&lt;='Input_Meci'!G17)),"DEFENSIVE VALIDATED",IF(AND('Calibrare_Linii'!S12="VALIDATED",AND('Calibrare_Linii'!H12=C166,ISNUMBER('Calibrare_Linii'!J12),'Calibrare_Linii'!J12&lt;='Input_Meci'!G17)),"TAIL VALIDATED","OOS PENDING")))</x:f>
      </x:c>
      <x:c r="AK166" s="2" t="n">
        <x:f>IF(J166&lt;&gt;"PASS",0,'Motor_Meciuri'!BR17)</x:f>
        <x:v>0</x:v>
      </x:c>
      <x:c r="AL166" s="2" t="n">
        <x:f>IF(J166&lt;&gt;"PASS",0,'Motor_Meciuri'!BS17)</x:f>
        <x:v>0</x:v>
      </x:c>
      <x:c r="AM166" s="2" t="n">
        <x:f>IF(J166&lt;&gt;"PASS",0,'Motor_Meciuri'!BT17)</x:f>
        <x:v>0</x:v>
      </x:c>
      <x:c r="AN166" s="2" t="str">
        <x:f>IF(M166="","",MAX(0,'Motor_Meciuri'!BF17-IF(L166&gt;'Config_v6'!$B$12,'Config_v6'!$B$37,IF(L166&gt;'Config_v6'!$B$11,'Config_v6'!$B$36,0))))</x:f>
      </x:c>
    </x:row>
    <x:row r="167" ht="21" customHeight="1">
      <x:c r="A167" s="2" t="n">
        <x:v>12</x:v>
      </x:c>
      <x:c r="B167" s="2" t="str">
        <x:f>IF('Motor_Meciuri'!A17="","",'Motor_Meciuri'!A17)</x:f>
      </x:c>
      <x:c r="C167" s="2" t="str">
        <x:f>IF(B167="","",'Motor_Meciuri'!B17)</x:f>
      </x:c>
      <x:c r="D167" s="2" t="str">
        <x:f>IF(B167="","",'Motor_Meciuri'!D17)</x:f>
      </x:c>
      <x:c r="E167" s="2" t="str">
        <x:f>IF(B167="","",'Motor_Meciuri'!E17)</x:f>
      </x:c>
      <x:c r="F167" s="2" t="str">
        <x:v>U11,5</x:v>
      </x:c>
      <x:c r="G167" s="2" t="str">
        <x:v>UNDER</x:v>
      </x:c>
      <x:c r="H167" s="2" t="n">
        <x:v>11</x:v>
      </x:c>
      <x:c r="I167" s="2" t="str">
        <x:f>IF(B167="","",'Motor_Meciuri'!H17)</x:f>
      </x:c>
      <x:c r="J167" s="2" t="str">
        <x:f>IF(B167="","",'Motor_Meciuri'!I17)</x:f>
      </x:c>
      <x:c r="K167" s="11" t="str">
        <x:f>IF(J167&lt;&gt;"PASS","",'Motor_Meciuri'!BD17)</x:f>
      </x:c>
      <x:c r="L167" s="11" t="str">
        <x:f>IF(J167&lt;&gt;"PASS","",'Motor_Meciuri'!AU17)</x:f>
      </x:c>
      <x:c r="M167" s="10" t="str">
        <x:f>IF(NOT(AND(J167="PASS",'Calibrare_Linii'!U13="VALID")),"",'Distributie'!AI17)</x:f>
      </x:c>
      <x:c r="N167" s="10" t="str">
        <x:f>IF(M167="","",MAX(0.01,MIN(0.99,0.5+(M167-0.5)*'Motor_Meciuri'!BG17*'Calibrare_Linii'!D13)))</x:f>
      </x:c>
      <x:c r="O167" s="10" t="str">
        <x:f>IF(M167="","",1-M167)</x:f>
      </x:c>
      <x:c r="P167" s="10" t="str">
        <x:f>IF(OR(NOT(AND(J167="PASS",'Calibrare_Linii'!U13="VALID")),AK167=0),""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*('Istoric_Nativ'!$Q$6:$Q$405&gt;H167))/AK167)</x:f>
      </x:c>
      <x:c r="Q167" s="10" t="str">
        <x:f>IF(OR(NOT(AND(J167="PASS",'Calibrare_Linii'!U13="VALID")),AL167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M17)+((('Istoric_Nativ'!$E$6:$E$405='Input_Meci'!E17)+('Istoric_Nativ'!$F$6:$F$405='Input_Meci'!E17))&gt;0)*('Istoric_Nativ'!$D$6:$D$405&gt;='Motor_Meciuri'!BN17))&gt;0)*('Istoric_Nativ'!$Q$6:$Q$405&gt;H167))/AL167)</x:f>
      </x:c>
      <x:c r="R167" s="10" t="str">
        <x:f>IF(OR(NOT(AND(J167="PASS",'Calibrare_Linii'!U13="VALID")),AM167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O17)+((('Istoric_Nativ'!$E$6:$E$405='Input_Meci'!E17)+('Istoric_Nativ'!$F$6:$F$405='Input_Meci'!E17))&gt;0)*('Istoric_Nativ'!$D$6:$D$405&gt;='Motor_Meciuri'!BP17))&gt;0)*('Istoric_Nativ'!$Q$6:$Q$405&gt;H167))/AM167)</x:f>
      </x:c>
      <x:c r="S167" s="10" t="str">
        <x:f>IF(M167="","",MAX(O167,P167,Q167,R167))</x:f>
      </x:c>
      <x:c r="T167" s="11" t="str">
        <x:f>IF(M167="","",MIN(100,S167*100*'Config_v6'!$B$44+MIN(100,L167/'Config_v6'!$B$13*100)*'Config_v6'!$B$45+(100-'Motor_Meciuri'!BF17)*'Config_v6'!$B$46+'Motor_Meciuri'!BH17*100*'Config_v6'!$B$47))</x:f>
      </x:c>
      <x:c r="U167" s="2" t="str">
        <x:f>IF(T167="","",IF(T167&lt;=20,1,IF(T167&lt;=40,2,IF(T167&lt;=60,3,IF(T167&lt;=80,4,5)))))</x:f>
      </x:c>
      <x:c r="V167" s="2" t="str">
        <x:f>IF(M167="","",MAX(0,'Motor_Meciuri'!BF17-IF(W167="OOS PENDING",'Config_v6'!$B$35,0)-IF(L167&gt;'Config_v6'!$B$12,'Config_v6'!$B$37,IF(L167&gt;'Config_v6'!$B$11,'Config_v6'!$B$36,0))))</x:f>
      </x:c>
      <x:c r="W167" s="2" t="str">
        <x:f>IF(B167="","",IF(I167&lt;&gt;"READY","NOT RELEASED",IF(NOT(AND(J167="PASS",'Calibrare_Linii'!U13="VALID")),"INVALID",IF(NOT(AND('Calibrare_Linii'!S13="VALIDATED",AND('Calibrare_Linii'!H13=C167,ISNUMBER('Calibrare_Linii'!J13),'Calibrare_Linii'!J13&lt;='Input_Meci'!G17))),"OOS PENDING",IF(S167&lt;='Calibrare_Linii'!E13,"PASS",IF(S167&lt;='Calibrare_Linii'!F13,"PENALTY","WATCH"))))))</x:f>
      </x:c>
      <x:c r="X167" s="2" t="str">
        <x:f>IF(M167="","",IF(AND(AND(J167="PASS",'Calibrare_Linii'!U13="VALID"),'Motor_Meciuri'!K17=12,'Motor_Meciuri'!L17=12,'Motor_Meciuri'!M17="NO",'Motor_Meciuri'!BL17='Motor_Meciuri'!C17,AB167&gt;='Config_v6'!$B$50,AN167&gt;='Config_v6'!$B$51,T167&lt;='Config_v6'!$B$52,L167&lt;='Config_v6'!$B$53,ISNUMBER('Calibrare_Linii'!E13),S167&lt;='Calibrare_Linii'!E13,SUM(AK167:AM167)&gt;0),"CANDIDATE","NO"))</x:f>
      </x:c>
      <x:c r="Y167" s="2" t="str">
        <x:f>IF(B167="","",IF(I167&lt;&gt;"READY","NOT RELEASED",IF(AND(X167="CANDIDATE",V167&gt;='Config_v6'!$B$51,W167="PASS",'Calibrare_Linii'!T13="VALIDATED",AND('Calibrare_Linii'!H13=C167,ISNUMBER('Calibrare_Linii'!J13),'Calibrare_Linii'!J13&lt;='Input_Meci'!G17)),"PASS",IF(X167="CANDIDATE","OOS PENDING","FAIL"))))</x:f>
      </x:c>
      <x:c r="Z167" s="2" t="str">
        <x:f>IF(B167="","",IF(I167&lt;&gt;"READY","",IF(OR(NOT(AND(J167="PASS",'Calibrare_Linii'!U13="VALID")),L167&gt;'Config_v6'!$B$13,W167="WATCH"),5,IF(Y167="PASS",1,MIN(5,MAX('Config_v6'!$B$42,U167)+IF(W167="PENALTY",1,0))))))</x:f>
      </x:c>
      <x:c r="AA167" s="2" t="str">
        <x:f>IF(B167="","",IF(I167&lt;&gt;"READY","NOT RELEASED",IF(Z167=5,"NO BET",IF(OR(AB167&lt;'Config_v6'!$B$16,V167&lt;'Config_v6'!$B$18),"WATCH",IF(Z167=1,"DEFENSIV",IF(Z167=2,"PRUDENT",IF(Z167=3,"MODERAT","RIDICAT")))))))</x:f>
      </x:c>
      <x:c r="AB167" s="10" t="str">
        <x:f>IF(N167="","",MIN(N167,1-S167))</x:f>
      </x:c>
      <x:c r="AC167" s="2" t="str">
        <x:f>IF(AD167&lt;&gt;1,"",COUNTIFS($Z$160:$Z$173,"&lt;"&amp;Z167,$AD$160:$AD$173,1)+COUNTIFS($Z$160:$Z$173,Z167,$AB$160:$AB$173,"&gt;"&amp;AB167,$AD$160:$AD$173,1)+COUNTIFS($Z$160:$Z$173,Z167,$AB$160:$AB$173,AB167,$V$160:$V$173,"&gt;"&amp;V167,$AD$160:$AD$173,1)+COUNTIFS($Z$160:Z167,Z167,$AB$160:AB167,AB167,$V$160:V167,V167,$AD$160:AD167,1))</x:f>
      </x:c>
      <x:c r="AD167" s="2" t="n">
        <x:f>IF(OR(AA167="DEFENSIV",AA167="PRUDENT",AA167="MODERAT",AA167="RIDICAT"),1,0)</x:f>
        <x:v>0</x:v>
      </x:c>
      <x:c r="AE167" s="2" t="str">
        <x:f>IF(AD167&lt;&gt;1,"NO",IF(W167="PASS","YES",IF(W167="OOS PENDING","CONDITIONAL","NO")))</x:f>
        <x:v>NO</x:v>
      </x:c>
      <x:c r="AF167" s="2" t="n">
        <x:f>IF(AND(AD167=1,AC167=1,E167="LIVE"),1,0)</x:f>
        <x:v>0</x:v>
      </x:c>
      <x:c r="AG167" s="2" t="str">
        <x:f>IF(AF167&lt;&gt;1,"",'Dashboard'!P37)</x:f>
      </x:c>
      <x:c r="AH167" s="2" t="str">
        <x:f>IF(B167="","",IF(J167&lt;&gt;"PASS",'Motor_Meciuri'!J17,IF('Calibrare_Linii'!U13&lt;&gt;"VALID","Parametri linie invalizi",IF(L167&gt;'Config_v6'!$B$13,"Dispersie peste limita",IF(W167="WATCH","Failure peste limita",IF(AB167&lt;'Config_v6'!$B$16,"P finala sub prag",IF(V167&lt;'Config_v6'!$B$18,"Confidence sub prag",IF(E167="REPLAY","Exemplu retrospectiv; exclus din Top LIVE",IF(Y167="PASS","DEFENSIV validat",IF(W167="OOS PENDING","Eligibil; calibrare linie in monitorizare","Eligibil"))))))))))</x:f>
      </x:c>
      <x:c r="AI167" s="2" t="str">
        <x:f>IF(B167="","",'Calibrare_Linii'!V13)</x:f>
      </x:c>
      <x:c r="AJ167" s="2" t="str">
        <x:f>IF(B167="","",IF(AND('Calibrare_Linii'!T13="VALIDATED",AND('Calibrare_Linii'!H13=C167,ISNUMBER('Calibrare_Linii'!J13),'Calibrare_Linii'!J13&lt;='Input_Meci'!G17)),"DEFENSIVE VALIDATED",IF(AND('Calibrare_Linii'!S13="VALIDATED",AND('Calibrare_Linii'!H13=C167,ISNUMBER('Calibrare_Linii'!J13),'Calibrare_Linii'!J13&lt;='Input_Meci'!G17)),"TAIL VALIDATED","OOS PENDING")))</x:f>
      </x:c>
      <x:c r="AK167" s="2" t="n">
        <x:f>IF(J167&lt;&gt;"PASS",0,'Motor_Meciuri'!BR17)</x:f>
        <x:v>0</x:v>
      </x:c>
      <x:c r="AL167" s="2" t="n">
        <x:f>IF(J167&lt;&gt;"PASS",0,'Motor_Meciuri'!BS17)</x:f>
        <x:v>0</x:v>
      </x:c>
      <x:c r="AM167" s="2" t="n">
        <x:f>IF(J167&lt;&gt;"PASS",0,'Motor_Meciuri'!BT17)</x:f>
        <x:v>0</x:v>
      </x:c>
      <x:c r="AN167" s="2" t="str">
        <x:f>IF(M167="","",MAX(0,'Motor_Meciuri'!BF17-IF(L167&gt;'Config_v6'!$B$12,'Config_v6'!$B$37,IF(L167&gt;'Config_v6'!$B$11,'Config_v6'!$B$36,0))))</x:f>
      </x:c>
    </x:row>
    <x:row r="168" ht="21" customHeight="1">
      <x:c r="A168" s="2" t="n">
        <x:v>12</x:v>
      </x:c>
      <x:c r="B168" s="2" t="str">
        <x:f>IF('Motor_Meciuri'!A17="","",'Motor_Meciuri'!A17)</x:f>
      </x:c>
      <x:c r="C168" s="2" t="str">
        <x:f>IF(B168="","",'Motor_Meciuri'!B17)</x:f>
      </x:c>
      <x:c r="D168" s="2" t="str">
        <x:f>IF(B168="","",'Motor_Meciuri'!D17)</x:f>
      </x:c>
      <x:c r="E168" s="2" t="str">
        <x:f>IF(B168="","",'Motor_Meciuri'!E17)</x:f>
      </x:c>
      <x:c r="F168" s="2" t="str">
        <x:v>U12,5</x:v>
      </x:c>
      <x:c r="G168" s="2" t="str">
        <x:v>UNDER</x:v>
      </x:c>
      <x:c r="H168" s="2" t="n">
        <x:v>12</x:v>
      </x:c>
      <x:c r="I168" s="2" t="str">
        <x:f>IF(B168="","",'Motor_Meciuri'!H17)</x:f>
      </x:c>
      <x:c r="J168" s="2" t="str">
        <x:f>IF(B168="","",'Motor_Meciuri'!I17)</x:f>
      </x:c>
      <x:c r="K168" s="11" t="str">
        <x:f>IF(J168&lt;&gt;"PASS","",'Motor_Meciuri'!BD17)</x:f>
      </x:c>
      <x:c r="L168" s="11" t="str">
        <x:f>IF(J168&lt;&gt;"PASS","",'Motor_Meciuri'!AU17)</x:f>
      </x:c>
      <x:c r="M168" s="10" t="str">
        <x:f>IF(NOT(AND(J168="PASS",'Calibrare_Linii'!U14="VALID")),"",'Distributie'!AJ17)</x:f>
      </x:c>
      <x:c r="N168" s="10" t="str">
        <x:f>IF(M168="","",MAX(0.01,MIN(0.99,0.5+(M168-0.5)*'Motor_Meciuri'!BG17*'Calibrare_Linii'!D14)))</x:f>
      </x:c>
      <x:c r="O168" s="10" t="str">
        <x:f>IF(M168="","",1-M168)</x:f>
      </x:c>
      <x:c r="P168" s="10" t="str">
        <x:f>IF(OR(NOT(AND(J168="PASS",'Calibrare_Linii'!U14="VALID")),AK168=0),""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*('Istoric_Nativ'!$Q$6:$Q$405&gt;H168))/AK168)</x:f>
      </x:c>
      <x:c r="Q168" s="10" t="str">
        <x:f>IF(OR(NOT(AND(J168="PASS",'Calibrare_Linii'!U14="VALID")),AL168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M17)+((('Istoric_Nativ'!$E$6:$E$405='Input_Meci'!E17)+('Istoric_Nativ'!$F$6:$F$405='Input_Meci'!E17))&gt;0)*('Istoric_Nativ'!$D$6:$D$405&gt;='Motor_Meciuri'!BN17))&gt;0)*('Istoric_Nativ'!$Q$6:$Q$405&gt;H168))/AL168)</x:f>
      </x:c>
      <x:c r="R168" s="10" t="str">
        <x:f>IF(OR(NOT(AND(J168="PASS",'Calibrare_Linii'!U14="VALID")),AM168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O17)+((('Istoric_Nativ'!$E$6:$E$405='Input_Meci'!E17)+('Istoric_Nativ'!$F$6:$F$405='Input_Meci'!E17))&gt;0)*('Istoric_Nativ'!$D$6:$D$405&gt;='Motor_Meciuri'!BP17))&gt;0)*('Istoric_Nativ'!$Q$6:$Q$405&gt;H168))/AM168)</x:f>
      </x:c>
      <x:c r="S168" s="10" t="str">
        <x:f>IF(M168="","",MAX(O168,P168,Q168,R168))</x:f>
      </x:c>
      <x:c r="T168" s="11" t="str">
        <x:f>IF(M168="","",MIN(100,S168*100*'Config_v6'!$B$44+MIN(100,L168/'Config_v6'!$B$13*100)*'Config_v6'!$B$45+(100-'Motor_Meciuri'!BF17)*'Config_v6'!$B$46+'Motor_Meciuri'!BH17*100*'Config_v6'!$B$47))</x:f>
      </x:c>
      <x:c r="U168" s="2" t="str">
        <x:f>IF(T168="","",IF(T168&lt;=20,1,IF(T168&lt;=40,2,IF(T168&lt;=60,3,IF(T168&lt;=80,4,5)))))</x:f>
      </x:c>
      <x:c r="V168" s="2" t="str">
        <x:f>IF(M168="","",MAX(0,'Motor_Meciuri'!BF17-IF(W168="OOS PENDING",'Config_v6'!$B$35,0)-IF(L168&gt;'Config_v6'!$B$12,'Config_v6'!$B$37,IF(L168&gt;'Config_v6'!$B$11,'Config_v6'!$B$36,0))))</x:f>
      </x:c>
      <x:c r="W168" s="2" t="str">
        <x:f>IF(B168="","",IF(I168&lt;&gt;"READY","NOT RELEASED",IF(NOT(AND(J168="PASS",'Calibrare_Linii'!U14="VALID")),"INVALID",IF(NOT(AND('Calibrare_Linii'!S14="VALIDATED",AND('Calibrare_Linii'!H14=C168,ISNUMBER('Calibrare_Linii'!J14),'Calibrare_Linii'!J14&lt;='Input_Meci'!G17))),"OOS PENDING",IF(S168&lt;='Calibrare_Linii'!E14,"PASS",IF(S168&lt;='Calibrare_Linii'!F14,"PENALTY","WATCH"))))))</x:f>
      </x:c>
      <x:c r="X168" s="2" t="str">
        <x:f>IF(M168="","",IF(AND(AND(J168="PASS",'Calibrare_Linii'!U14="VALID"),'Motor_Meciuri'!K17=12,'Motor_Meciuri'!L17=12,'Motor_Meciuri'!M17="NO",'Motor_Meciuri'!BL17='Motor_Meciuri'!C17,AB168&gt;='Config_v6'!$B$50,AN168&gt;='Config_v6'!$B$51,T168&lt;='Config_v6'!$B$52,L168&lt;='Config_v6'!$B$53,ISNUMBER('Calibrare_Linii'!E14),S168&lt;='Calibrare_Linii'!E14,SUM(AK168:AM168)&gt;0),"CANDIDATE","NO"))</x:f>
      </x:c>
      <x:c r="Y168" s="2" t="str">
        <x:f>IF(B168="","",IF(I168&lt;&gt;"READY","NOT RELEASED",IF(AND(X168="CANDIDATE",V168&gt;='Config_v6'!$B$51,W168="PASS",'Calibrare_Linii'!T14="VALIDATED",AND('Calibrare_Linii'!H14=C168,ISNUMBER('Calibrare_Linii'!J14),'Calibrare_Linii'!J14&lt;='Input_Meci'!G17)),"PASS",IF(X168="CANDIDATE","OOS PENDING","FAIL"))))</x:f>
      </x:c>
      <x:c r="Z168" s="2" t="str">
        <x:f>IF(B168="","",IF(I168&lt;&gt;"READY","",IF(OR(NOT(AND(J168="PASS",'Calibrare_Linii'!U14="VALID")),L168&gt;'Config_v6'!$B$13,W168="WATCH"),5,IF(Y168="PASS",1,MIN(5,MAX('Config_v6'!$B$42,U168)+IF(W168="PENALTY",1,0))))))</x:f>
      </x:c>
      <x:c r="AA168" s="2" t="str">
        <x:f>IF(B168="","",IF(I168&lt;&gt;"READY","NOT RELEASED",IF(Z168=5,"NO BET",IF(OR(AB168&lt;'Config_v6'!$B$16,V168&lt;'Config_v6'!$B$18),"WATCH",IF(Z168=1,"DEFENSIV",IF(Z168=2,"PRUDENT",IF(Z168=3,"MODERAT","RIDICAT")))))))</x:f>
      </x:c>
      <x:c r="AB168" s="10" t="str">
        <x:f>IF(N168="","",MIN(N168,1-S168))</x:f>
      </x:c>
      <x:c r="AC168" s="2" t="str">
        <x:f>IF(AD168&lt;&gt;1,"",COUNTIFS($Z$160:$Z$173,"&lt;"&amp;Z168,$AD$160:$AD$173,1)+COUNTIFS($Z$160:$Z$173,Z168,$AB$160:$AB$173,"&gt;"&amp;AB168,$AD$160:$AD$173,1)+COUNTIFS($Z$160:$Z$173,Z168,$AB$160:$AB$173,AB168,$V$160:$V$173,"&gt;"&amp;V168,$AD$160:$AD$173,1)+COUNTIFS($Z$160:Z168,Z168,$AB$160:AB168,AB168,$V$160:V168,V168,$AD$160:AD168,1))</x:f>
      </x:c>
      <x:c r="AD168" s="2" t="n">
        <x:f>IF(OR(AA168="DEFENSIV",AA168="PRUDENT",AA168="MODERAT",AA168="RIDICAT"),1,0)</x:f>
        <x:v>0</x:v>
      </x:c>
      <x:c r="AE168" s="2" t="str">
        <x:f>IF(AD168&lt;&gt;1,"NO",IF(W168="PASS","YES",IF(W168="OOS PENDING","CONDITIONAL","NO")))</x:f>
        <x:v>NO</x:v>
      </x:c>
      <x:c r="AF168" s="2" t="n">
        <x:f>IF(AND(AD168=1,AC168=1,E168="LIVE"),1,0)</x:f>
        <x:v>0</x:v>
      </x:c>
      <x:c r="AG168" s="2" t="str">
        <x:f>IF(AF168&lt;&gt;1,"",'Dashboard'!P37)</x:f>
      </x:c>
      <x:c r="AH168" s="2" t="str">
        <x:f>IF(B168="","",IF(J168&lt;&gt;"PASS",'Motor_Meciuri'!J17,IF('Calibrare_Linii'!U14&lt;&gt;"VALID","Parametri linie invalizi",IF(L168&gt;'Config_v6'!$B$13,"Dispersie peste limita",IF(W168="WATCH","Failure peste limita",IF(AB168&lt;'Config_v6'!$B$16,"P finala sub prag",IF(V168&lt;'Config_v6'!$B$18,"Confidence sub prag",IF(E168="REPLAY","Exemplu retrospectiv; exclus din Top LIVE",IF(Y168="PASS","DEFENSIV validat",IF(W168="OOS PENDING","Eligibil; calibrare linie in monitorizare","Eligibil"))))))))))</x:f>
      </x:c>
      <x:c r="AI168" s="2" t="str">
        <x:f>IF(B168="","",'Calibrare_Linii'!V14)</x:f>
      </x:c>
      <x:c r="AJ168" s="2" t="str">
        <x:f>IF(B168="","",IF(AND('Calibrare_Linii'!T14="VALIDATED",AND('Calibrare_Linii'!H14=C168,ISNUMBER('Calibrare_Linii'!J14),'Calibrare_Linii'!J14&lt;='Input_Meci'!G17)),"DEFENSIVE VALIDATED",IF(AND('Calibrare_Linii'!S14="VALIDATED",AND('Calibrare_Linii'!H14=C168,ISNUMBER('Calibrare_Linii'!J14),'Calibrare_Linii'!J14&lt;='Input_Meci'!G17)),"TAIL VALIDATED","OOS PENDING")))</x:f>
      </x:c>
      <x:c r="AK168" s="2" t="n">
        <x:f>IF(J168&lt;&gt;"PASS",0,'Motor_Meciuri'!BR17)</x:f>
        <x:v>0</x:v>
      </x:c>
      <x:c r="AL168" s="2" t="n">
        <x:f>IF(J168&lt;&gt;"PASS",0,'Motor_Meciuri'!BS17)</x:f>
        <x:v>0</x:v>
      </x:c>
      <x:c r="AM168" s="2" t="n">
        <x:f>IF(J168&lt;&gt;"PASS",0,'Motor_Meciuri'!BT17)</x:f>
        <x:v>0</x:v>
      </x:c>
      <x:c r="AN168" s="2" t="str">
        <x:f>IF(M168="","",MAX(0,'Motor_Meciuri'!BF17-IF(L168&gt;'Config_v6'!$B$12,'Config_v6'!$B$37,IF(L168&gt;'Config_v6'!$B$11,'Config_v6'!$B$36,0))))</x:f>
      </x:c>
    </x:row>
    <x:row r="169" ht="21" customHeight="1">
      <x:c r="A169" s="2" t="n">
        <x:v>12</x:v>
      </x:c>
      <x:c r="B169" s="2" t="str">
        <x:f>IF('Motor_Meciuri'!A17="","",'Motor_Meciuri'!A17)</x:f>
      </x:c>
      <x:c r="C169" s="2" t="str">
        <x:f>IF(B169="","",'Motor_Meciuri'!B17)</x:f>
      </x:c>
      <x:c r="D169" s="2" t="str">
        <x:f>IF(B169="","",'Motor_Meciuri'!D17)</x:f>
      </x:c>
      <x:c r="E169" s="2" t="str">
        <x:f>IF(B169="","",'Motor_Meciuri'!E17)</x:f>
      </x:c>
      <x:c r="F169" s="2" t="str">
        <x:v>U13,5</x:v>
      </x:c>
      <x:c r="G169" s="2" t="str">
        <x:v>UNDER</x:v>
      </x:c>
      <x:c r="H169" s="2" t="n">
        <x:v>13</x:v>
      </x:c>
      <x:c r="I169" s="2" t="str">
        <x:f>IF(B169="","",'Motor_Meciuri'!H17)</x:f>
      </x:c>
      <x:c r="J169" s="2" t="str">
        <x:f>IF(B169="","",'Motor_Meciuri'!I17)</x:f>
      </x:c>
      <x:c r="K169" s="11" t="str">
        <x:f>IF(J169&lt;&gt;"PASS","",'Motor_Meciuri'!BD17)</x:f>
      </x:c>
      <x:c r="L169" s="11" t="str">
        <x:f>IF(J169&lt;&gt;"PASS","",'Motor_Meciuri'!AU17)</x:f>
      </x:c>
      <x:c r="M169" s="10" t="str">
        <x:f>IF(NOT(AND(J169="PASS",'Calibrare_Linii'!U15="VALID")),"",'Distributie'!AK17)</x:f>
      </x:c>
      <x:c r="N169" s="10" t="str">
        <x:f>IF(M169="","",MAX(0.01,MIN(0.99,0.5+(M169-0.5)*'Motor_Meciuri'!BG17*'Calibrare_Linii'!D15)))</x:f>
      </x:c>
      <x:c r="O169" s="10" t="str">
        <x:f>IF(M169="","",1-M169)</x:f>
      </x:c>
      <x:c r="P169" s="10" t="str">
        <x:f>IF(OR(NOT(AND(J169="PASS",'Calibrare_Linii'!U15="VALID")),AK169=0),""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*('Istoric_Nativ'!$Q$6:$Q$405&gt;H169))/AK169)</x:f>
      </x:c>
      <x:c r="Q169" s="10" t="str">
        <x:f>IF(OR(NOT(AND(J169="PASS",'Calibrare_Linii'!U15="VALID")),AL169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M17)+((('Istoric_Nativ'!$E$6:$E$405='Input_Meci'!E17)+('Istoric_Nativ'!$F$6:$F$405='Input_Meci'!E17))&gt;0)*('Istoric_Nativ'!$D$6:$D$405&gt;='Motor_Meciuri'!BN17))&gt;0)*('Istoric_Nativ'!$Q$6:$Q$405&gt;H169))/AL169)</x:f>
      </x:c>
      <x:c r="R169" s="10" t="str">
        <x:f>IF(OR(NOT(AND(J169="PASS",'Calibrare_Linii'!U15="VALID")),AM169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O17)+((('Istoric_Nativ'!$E$6:$E$405='Input_Meci'!E17)+('Istoric_Nativ'!$F$6:$F$405='Input_Meci'!E17))&gt;0)*('Istoric_Nativ'!$D$6:$D$405&gt;='Motor_Meciuri'!BP17))&gt;0)*('Istoric_Nativ'!$Q$6:$Q$405&gt;H169))/AM169)</x:f>
      </x:c>
      <x:c r="S169" s="10" t="str">
        <x:f>IF(M169="","",MAX(O169,P169,Q169,R169))</x:f>
      </x:c>
      <x:c r="T169" s="11" t="str">
        <x:f>IF(M169="","",MIN(100,S169*100*'Config_v6'!$B$44+MIN(100,L169/'Config_v6'!$B$13*100)*'Config_v6'!$B$45+(100-'Motor_Meciuri'!BF17)*'Config_v6'!$B$46+'Motor_Meciuri'!BH17*100*'Config_v6'!$B$47))</x:f>
      </x:c>
      <x:c r="U169" s="2" t="str">
        <x:f>IF(T169="","",IF(T169&lt;=20,1,IF(T169&lt;=40,2,IF(T169&lt;=60,3,IF(T169&lt;=80,4,5)))))</x:f>
      </x:c>
      <x:c r="V169" s="2" t="str">
        <x:f>IF(M169="","",MAX(0,'Motor_Meciuri'!BF17-IF(W169="OOS PENDING",'Config_v6'!$B$35,0)-IF(L169&gt;'Config_v6'!$B$12,'Config_v6'!$B$37,IF(L169&gt;'Config_v6'!$B$11,'Config_v6'!$B$36,0))))</x:f>
      </x:c>
      <x:c r="W169" s="2" t="str">
        <x:f>IF(B169="","",IF(I169&lt;&gt;"READY","NOT RELEASED",IF(NOT(AND(J169="PASS",'Calibrare_Linii'!U15="VALID")),"INVALID",IF(NOT(AND('Calibrare_Linii'!S15="VALIDATED",AND('Calibrare_Linii'!H15=C169,ISNUMBER('Calibrare_Linii'!J15),'Calibrare_Linii'!J15&lt;='Input_Meci'!G17))),"OOS PENDING",IF(S169&lt;='Calibrare_Linii'!E15,"PASS",IF(S169&lt;='Calibrare_Linii'!F15,"PENALTY","WATCH"))))))</x:f>
      </x:c>
      <x:c r="X169" s="2" t="str">
        <x:f>IF(M169="","",IF(AND(AND(J169="PASS",'Calibrare_Linii'!U15="VALID"),'Motor_Meciuri'!K17=12,'Motor_Meciuri'!L17=12,'Motor_Meciuri'!M17="NO",'Motor_Meciuri'!BL17='Motor_Meciuri'!C17,AB169&gt;='Config_v6'!$B$50,AN169&gt;='Config_v6'!$B$51,T169&lt;='Config_v6'!$B$52,L169&lt;='Config_v6'!$B$53,ISNUMBER('Calibrare_Linii'!E15),S169&lt;='Calibrare_Linii'!E15,SUM(AK169:AM169)&gt;0),"CANDIDATE","NO"))</x:f>
      </x:c>
      <x:c r="Y169" s="2" t="str">
        <x:f>IF(B169="","",IF(I169&lt;&gt;"READY","NOT RELEASED",IF(AND(X169="CANDIDATE",V169&gt;='Config_v6'!$B$51,W169="PASS",'Calibrare_Linii'!T15="VALIDATED",AND('Calibrare_Linii'!H15=C169,ISNUMBER('Calibrare_Linii'!J15),'Calibrare_Linii'!J15&lt;='Input_Meci'!G17)),"PASS",IF(X169="CANDIDATE","OOS PENDING","FAIL"))))</x:f>
      </x:c>
      <x:c r="Z169" s="2" t="str">
        <x:f>IF(B169="","",IF(I169&lt;&gt;"READY","",IF(OR(NOT(AND(J169="PASS",'Calibrare_Linii'!U15="VALID")),L169&gt;'Config_v6'!$B$13,W169="WATCH"),5,IF(Y169="PASS",1,MIN(5,MAX('Config_v6'!$B$42,U169)+IF(W169="PENALTY",1,0))))))</x:f>
      </x:c>
      <x:c r="AA169" s="2" t="str">
        <x:f>IF(B169="","",IF(I169&lt;&gt;"READY","NOT RELEASED",IF(Z169=5,"NO BET",IF(OR(AB169&lt;'Config_v6'!$B$16,V169&lt;'Config_v6'!$B$18),"WATCH",IF(Z169=1,"DEFENSIV",IF(Z169=2,"PRUDENT",IF(Z169=3,"MODERAT","RIDICAT")))))))</x:f>
      </x:c>
      <x:c r="AB169" s="10" t="str">
        <x:f>IF(N169="","",MIN(N169,1-S169))</x:f>
      </x:c>
      <x:c r="AC169" s="2" t="str">
        <x:f>IF(AD169&lt;&gt;1,"",COUNTIFS($Z$160:$Z$173,"&lt;"&amp;Z169,$AD$160:$AD$173,1)+COUNTIFS($Z$160:$Z$173,Z169,$AB$160:$AB$173,"&gt;"&amp;AB169,$AD$160:$AD$173,1)+COUNTIFS($Z$160:$Z$173,Z169,$AB$160:$AB$173,AB169,$V$160:$V$173,"&gt;"&amp;V169,$AD$160:$AD$173,1)+COUNTIFS($Z$160:Z169,Z169,$AB$160:AB169,AB169,$V$160:V169,V169,$AD$160:AD169,1))</x:f>
      </x:c>
      <x:c r="AD169" s="2" t="n">
        <x:f>IF(OR(AA169="DEFENSIV",AA169="PRUDENT",AA169="MODERAT",AA169="RIDICAT"),1,0)</x:f>
        <x:v>0</x:v>
      </x:c>
      <x:c r="AE169" s="2" t="str">
        <x:f>IF(AD169&lt;&gt;1,"NO",IF(W169="PASS","YES",IF(W169="OOS PENDING","CONDITIONAL","NO")))</x:f>
        <x:v>NO</x:v>
      </x:c>
      <x:c r="AF169" s="2" t="n">
        <x:f>IF(AND(AD169=1,AC169=1,E169="LIVE"),1,0)</x:f>
        <x:v>0</x:v>
      </x:c>
      <x:c r="AG169" s="2" t="str">
        <x:f>IF(AF169&lt;&gt;1,"",'Dashboard'!P37)</x:f>
      </x:c>
      <x:c r="AH169" s="2" t="str">
        <x:f>IF(B169="","",IF(J169&lt;&gt;"PASS",'Motor_Meciuri'!J17,IF('Calibrare_Linii'!U15&lt;&gt;"VALID","Parametri linie invalizi",IF(L169&gt;'Config_v6'!$B$13,"Dispersie peste limita",IF(W169="WATCH","Failure peste limita",IF(AB169&lt;'Config_v6'!$B$16,"P finala sub prag",IF(V169&lt;'Config_v6'!$B$18,"Confidence sub prag",IF(E169="REPLAY","Exemplu retrospectiv; exclus din Top LIVE",IF(Y169="PASS","DEFENSIV validat",IF(W169="OOS PENDING","Eligibil; calibrare linie in monitorizare","Eligibil"))))))))))</x:f>
      </x:c>
      <x:c r="AI169" s="2" t="str">
        <x:f>IF(B169="","",'Calibrare_Linii'!V15)</x:f>
      </x:c>
      <x:c r="AJ169" s="2" t="str">
        <x:f>IF(B169="","",IF(AND('Calibrare_Linii'!T15="VALIDATED",AND('Calibrare_Linii'!H15=C169,ISNUMBER('Calibrare_Linii'!J15),'Calibrare_Linii'!J15&lt;='Input_Meci'!G17)),"DEFENSIVE VALIDATED",IF(AND('Calibrare_Linii'!S15="VALIDATED",AND('Calibrare_Linii'!H15=C169,ISNUMBER('Calibrare_Linii'!J15),'Calibrare_Linii'!J15&lt;='Input_Meci'!G17)),"TAIL VALIDATED","OOS PENDING")))</x:f>
      </x:c>
      <x:c r="AK169" s="2" t="n">
        <x:f>IF(J169&lt;&gt;"PASS",0,'Motor_Meciuri'!BR17)</x:f>
        <x:v>0</x:v>
      </x:c>
      <x:c r="AL169" s="2" t="n">
        <x:f>IF(J169&lt;&gt;"PASS",0,'Motor_Meciuri'!BS17)</x:f>
        <x:v>0</x:v>
      </x:c>
      <x:c r="AM169" s="2" t="n">
        <x:f>IF(J169&lt;&gt;"PASS",0,'Motor_Meciuri'!BT17)</x:f>
        <x:v>0</x:v>
      </x:c>
      <x:c r="AN169" s="2" t="str">
        <x:f>IF(M169="","",MAX(0,'Motor_Meciuri'!BF17-IF(L169&gt;'Config_v6'!$B$12,'Config_v6'!$B$37,IF(L169&gt;'Config_v6'!$B$11,'Config_v6'!$B$36,0))))</x:f>
      </x:c>
    </x:row>
    <x:row r="170" ht="21" customHeight="1">
      <x:c r="A170" s="2" t="n">
        <x:v>12</x:v>
      </x:c>
      <x:c r="B170" s="2" t="str">
        <x:f>IF('Motor_Meciuri'!A17="","",'Motor_Meciuri'!A17)</x:f>
      </x:c>
      <x:c r="C170" s="2" t="str">
        <x:f>IF(B170="","",'Motor_Meciuri'!B17)</x:f>
      </x:c>
      <x:c r="D170" s="2" t="str">
        <x:f>IF(B170="","",'Motor_Meciuri'!D17)</x:f>
      </x:c>
      <x:c r="E170" s="2" t="str">
        <x:f>IF(B170="","",'Motor_Meciuri'!E17)</x:f>
      </x:c>
      <x:c r="F170" s="2" t="str">
        <x:v>U14,5</x:v>
      </x:c>
      <x:c r="G170" s="2" t="str">
        <x:v>UNDER</x:v>
      </x:c>
      <x:c r="H170" s="2" t="n">
        <x:v>14</x:v>
      </x:c>
      <x:c r="I170" s="2" t="str">
        <x:f>IF(B170="","",'Motor_Meciuri'!H17)</x:f>
      </x:c>
      <x:c r="J170" s="2" t="str">
        <x:f>IF(B170="","",'Motor_Meciuri'!I17)</x:f>
      </x:c>
      <x:c r="K170" s="11" t="str">
        <x:f>IF(J170&lt;&gt;"PASS","",'Motor_Meciuri'!BD17)</x:f>
      </x:c>
      <x:c r="L170" s="11" t="str">
        <x:f>IF(J170&lt;&gt;"PASS","",'Motor_Meciuri'!AU17)</x:f>
      </x:c>
      <x:c r="M170" s="10" t="str">
        <x:f>IF(NOT(AND(J170="PASS",'Calibrare_Linii'!U16="VALID")),"",'Distributie'!AL17)</x:f>
      </x:c>
      <x:c r="N170" s="10" t="str">
        <x:f>IF(M170="","",MAX(0.01,MIN(0.99,0.5+(M170-0.5)*'Motor_Meciuri'!BG17*'Calibrare_Linii'!D16)))</x:f>
      </x:c>
      <x:c r="O170" s="10" t="str">
        <x:f>IF(M170="","",1-M170)</x:f>
      </x:c>
      <x:c r="P170" s="10" t="str">
        <x:f>IF(OR(NOT(AND(J170="PASS",'Calibrare_Linii'!U16="VALID")),AK170=0),""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*('Istoric_Nativ'!$Q$6:$Q$405&gt;H170))/AK170)</x:f>
      </x:c>
      <x:c r="Q170" s="10" t="str">
        <x:f>IF(OR(NOT(AND(J170="PASS",'Calibrare_Linii'!U16="VALID")),AL170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M17)+((('Istoric_Nativ'!$E$6:$E$405='Input_Meci'!E17)+('Istoric_Nativ'!$F$6:$F$405='Input_Meci'!E17))&gt;0)*('Istoric_Nativ'!$D$6:$D$405&gt;='Motor_Meciuri'!BN17))&gt;0)*('Istoric_Nativ'!$Q$6:$Q$405&gt;H170))/AL170)</x:f>
      </x:c>
      <x:c r="R170" s="10" t="str">
        <x:f>IF(OR(NOT(AND(J170="PASS",'Calibrare_Linii'!U16="VALID")),AM170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O17)+((('Istoric_Nativ'!$E$6:$E$405='Input_Meci'!E17)+('Istoric_Nativ'!$F$6:$F$405='Input_Meci'!E17))&gt;0)*('Istoric_Nativ'!$D$6:$D$405&gt;='Motor_Meciuri'!BP17))&gt;0)*('Istoric_Nativ'!$Q$6:$Q$405&gt;H170))/AM170)</x:f>
      </x:c>
      <x:c r="S170" s="10" t="str">
        <x:f>IF(M170="","",MAX(O170,P170,Q170,R170))</x:f>
      </x:c>
      <x:c r="T170" s="11" t="str">
        <x:f>IF(M170="","",MIN(100,S170*100*'Config_v6'!$B$44+MIN(100,L170/'Config_v6'!$B$13*100)*'Config_v6'!$B$45+(100-'Motor_Meciuri'!BF17)*'Config_v6'!$B$46+'Motor_Meciuri'!BH17*100*'Config_v6'!$B$47))</x:f>
      </x:c>
      <x:c r="U170" s="2" t="str">
        <x:f>IF(T170="","",IF(T170&lt;=20,1,IF(T170&lt;=40,2,IF(T170&lt;=60,3,IF(T170&lt;=80,4,5)))))</x:f>
      </x:c>
      <x:c r="V170" s="2" t="str">
        <x:f>IF(M170="","",MAX(0,'Motor_Meciuri'!BF17-IF(W170="OOS PENDING",'Config_v6'!$B$35,0)-IF(L170&gt;'Config_v6'!$B$12,'Config_v6'!$B$37,IF(L170&gt;'Config_v6'!$B$11,'Config_v6'!$B$36,0))))</x:f>
      </x:c>
      <x:c r="W170" s="2" t="str">
        <x:f>IF(B170="","",IF(I170&lt;&gt;"READY","NOT RELEASED",IF(NOT(AND(J170="PASS",'Calibrare_Linii'!U16="VALID")),"INVALID",IF(NOT(AND('Calibrare_Linii'!S16="VALIDATED",AND('Calibrare_Linii'!H16=C170,ISNUMBER('Calibrare_Linii'!J16),'Calibrare_Linii'!J16&lt;='Input_Meci'!G17))),"OOS PENDING",IF(S170&lt;='Calibrare_Linii'!E16,"PASS",IF(S170&lt;='Calibrare_Linii'!F16,"PENALTY","WATCH"))))))</x:f>
      </x:c>
      <x:c r="X170" s="2" t="str">
        <x:f>IF(M170="","",IF(AND(AND(J170="PASS",'Calibrare_Linii'!U16="VALID"),'Motor_Meciuri'!K17=12,'Motor_Meciuri'!L17=12,'Motor_Meciuri'!M17="NO",'Motor_Meciuri'!BL17='Motor_Meciuri'!C17,AB170&gt;='Config_v6'!$B$50,AN170&gt;='Config_v6'!$B$51,T170&lt;='Config_v6'!$B$52,L170&lt;='Config_v6'!$B$53,ISNUMBER('Calibrare_Linii'!E16),S170&lt;='Calibrare_Linii'!E16,SUM(AK170:AM170)&gt;0),"CANDIDATE","NO"))</x:f>
      </x:c>
      <x:c r="Y170" s="2" t="str">
        <x:f>IF(B170="","",IF(I170&lt;&gt;"READY","NOT RELEASED",IF(AND(X170="CANDIDATE",V170&gt;='Config_v6'!$B$51,W170="PASS",'Calibrare_Linii'!T16="VALIDATED",AND('Calibrare_Linii'!H16=C170,ISNUMBER('Calibrare_Linii'!J16),'Calibrare_Linii'!J16&lt;='Input_Meci'!G17)),"PASS",IF(X170="CANDIDATE","OOS PENDING","FAIL"))))</x:f>
      </x:c>
      <x:c r="Z170" s="2" t="str">
        <x:f>IF(B170="","",IF(I170&lt;&gt;"READY","",IF(OR(NOT(AND(J170="PASS",'Calibrare_Linii'!U16="VALID")),L170&gt;'Config_v6'!$B$13,W170="WATCH"),5,IF(Y170="PASS",1,MIN(5,MAX('Config_v6'!$B$42,U170)+IF(W170="PENALTY",1,0))))))</x:f>
      </x:c>
      <x:c r="AA170" s="2" t="str">
        <x:f>IF(B170="","",IF(I170&lt;&gt;"READY","NOT RELEASED",IF(Z170=5,"NO BET",IF(OR(AB170&lt;'Config_v6'!$B$16,V170&lt;'Config_v6'!$B$18),"WATCH",IF(Z170=1,"DEFENSIV",IF(Z170=2,"PRUDENT",IF(Z170=3,"MODERAT","RIDICAT")))))))</x:f>
      </x:c>
      <x:c r="AB170" s="10" t="str">
        <x:f>IF(N170="","",MIN(N170,1-S170))</x:f>
      </x:c>
      <x:c r="AC170" s="2" t="str">
        <x:f>IF(AD170&lt;&gt;1,"",COUNTIFS($Z$160:$Z$173,"&lt;"&amp;Z170,$AD$160:$AD$173,1)+COUNTIFS($Z$160:$Z$173,Z170,$AB$160:$AB$173,"&gt;"&amp;AB170,$AD$160:$AD$173,1)+COUNTIFS($Z$160:$Z$173,Z170,$AB$160:$AB$173,AB170,$V$160:$V$173,"&gt;"&amp;V170,$AD$160:$AD$173,1)+COUNTIFS($Z$160:Z170,Z170,$AB$160:AB170,AB170,$V$160:V170,V170,$AD$160:AD170,1))</x:f>
      </x:c>
      <x:c r="AD170" s="2" t="n">
        <x:f>IF(OR(AA170="DEFENSIV",AA170="PRUDENT",AA170="MODERAT",AA170="RIDICAT"),1,0)</x:f>
        <x:v>0</x:v>
      </x:c>
      <x:c r="AE170" s="2" t="str">
        <x:f>IF(AD170&lt;&gt;1,"NO",IF(W170="PASS","YES",IF(W170="OOS PENDING","CONDITIONAL","NO")))</x:f>
        <x:v>NO</x:v>
      </x:c>
      <x:c r="AF170" s="2" t="n">
        <x:f>IF(AND(AD170=1,AC170=1,E170="LIVE"),1,0)</x:f>
        <x:v>0</x:v>
      </x:c>
      <x:c r="AG170" s="2" t="str">
        <x:f>IF(AF170&lt;&gt;1,"",'Dashboard'!P37)</x:f>
      </x:c>
      <x:c r="AH170" s="2" t="str">
        <x:f>IF(B170="","",IF(J170&lt;&gt;"PASS",'Motor_Meciuri'!J17,IF('Calibrare_Linii'!U16&lt;&gt;"VALID","Parametri linie invalizi",IF(L170&gt;'Config_v6'!$B$13,"Dispersie peste limita",IF(W170="WATCH","Failure peste limita",IF(AB170&lt;'Config_v6'!$B$16,"P finala sub prag",IF(V170&lt;'Config_v6'!$B$18,"Confidence sub prag",IF(E170="REPLAY","Exemplu retrospectiv; exclus din Top LIVE",IF(Y170="PASS","DEFENSIV validat",IF(W170="OOS PENDING","Eligibil; calibrare linie in monitorizare","Eligibil"))))))))))</x:f>
      </x:c>
      <x:c r="AI170" s="2" t="str">
        <x:f>IF(B170="","",'Calibrare_Linii'!V16)</x:f>
      </x:c>
      <x:c r="AJ170" s="2" t="str">
        <x:f>IF(B170="","",IF(AND('Calibrare_Linii'!T16="VALIDATED",AND('Calibrare_Linii'!H16=C170,ISNUMBER('Calibrare_Linii'!J16),'Calibrare_Linii'!J16&lt;='Input_Meci'!G17)),"DEFENSIVE VALIDATED",IF(AND('Calibrare_Linii'!S16="VALIDATED",AND('Calibrare_Linii'!H16=C170,ISNUMBER('Calibrare_Linii'!J16),'Calibrare_Linii'!J16&lt;='Input_Meci'!G17)),"TAIL VALIDATED","OOS PENDING")))</x:f>
      </x:c>
      <x:c r="AK170" s="2" t="n">
        <x:f>IF(J170&lt;&gt;"PASS",0,'Motor_Meciuri'!BR17)</x:f>
        <x:v>0</x:v>
      </x:c>
      <x:c r="AL170" s="2" t="n">
        <x:f>IF(J170&lt;&gt;"PASS",0,'Motor_Meciuri'!BS17)</x:f>
        <x:v>0</x:v>
      </x:c>
      <x:c r="AM170" s="2" t="n">
        <x:f>IF(J170&lt;&gt;"PASS",0,'Motor_Meciuri'!BT17)</x:f>
        <x:v>0</x:v>
      </x:c>
      <x:c r="AN170" s="2" t="str">
        <x:f>IF(M170="","",MAX(0,'Motor_Meciuri'!BF17-IF(L170&gt;'Config_v6'!$B$12,'Config_v6'!$B$37,IF(L170&gt;'Config_v6'!$B$11,'Config_v6'!$B$36,0))))</x:f>
      </x:c>
    </x:row>
    <x:row r="171" ht="21" customHeight="1">
      <x:c r="A171" s="2" t="n">
        <x:v>12</x:v>
      </x:c>
      <x:c r="B171" s="2" t="str">
        <x:f>IF('Motor_Meciuri'!A17="","",'Motor_Meciuri'!A17)</x:f>
      </x:c>
      <x:c r="C171" s="2" t="str">
        <x:f>IF(B171="","",'Motor_Meciuri'!B17)</x:f>
      </x:c>
      <x:c r="D171" s="2" t="str">
        <x:f>IF(B171="","",'Motor_Meciuri'!D17)</x:f>
      </x:c>
      <x:c r="E171" s="2" t="str">
        <x:f>IF(B171="","",'Motor_Meciuri'!E17)</x:f>
      </x:c>
      <x:c r="F171" s="2" t="str">
        <x:v>U15,5</x:v>
      </x:c>
      <x:c r="G171" s="2" t="str">
        <x:v>UNDER</x:v>
      </x:c>
      <x:c r="H171" s="2" t="n">
        <x:v>15</x:v>
      </x:c>
      <x:c r="I171" s="2" t="str">
        <x:f>IF(B171="","",'Motor_Meciuri'!H17)</x:f>
      </x:c>
      <x:c r="J171" s="2" t="str">
        <x:f>IF(B171="","",'Motor_Meciuri'!I17)</x:f>
      </x:c>
      <x:c r="K171" s="11" t="str">
        <x:f>IF(J171&lt;&gt;"PASS","",'Motor_Meciuri'!BD17)</x:f>
      </x:c>
      <x:c r="L171" s="11" t="str">
        <x:f>IF(J171&lt;&gt;"PASS","",'Motor_Meciuri'!AU17)</x:f>
      </x:c>
      <x:c r="M171" s="10" t="str">
        <x:f>IF(NOT(AND(J171="PASS",'Calibrare_Linii'!U17="VALID")),"",'Distributie'!AM17)</x:f>
      </x:c>
      <x:c r="N171" s="10" t="str">
        <x:f>IF(M171="","",MAX(0.01,MIN(0.99,0.5+(M171-0.5)*'Motor_Meciuri'!BG17*'Calibrare_Linii'!D17)))</x:f>
      </x:c>
      <x:c r="O171" s="10" t="str">
        <x:f>IF(M171="","",1-M171)</x:f>
      </x:c>
      <x:c r="P171" s="10" t="str">
        <x:f>IF(OR(NOT(AND(J171="PASS",'Calibrare_Linii'!U17="VALID")),AK171=0),""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*('Istoric_Nativ'!$Q$6:$Q$405&gt;H171))/AK171)</x:f>
      </x:c>
      <x:c r="Q171" s="10" t="str">
        <x:f>IF(OR(NOT(AND(J171="PASS",'Calibrare_Linii'!U17="VALID")),AL171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M17)+((('Istoric_Nativ'!$E$6:$E$405='Input_Meci'!E17)+('Istoric_Nativ'!$F$6:$F$405='Input_Meci'!E17))&gt;0)*('Istoric_Nativ'!$D$6:$D$405&gt;='Motor_Meciuri'!BN17))&gt;0)*('Istoric_Nativ'!$Q$6:$Q$405&gt;H171))/AL171)</x:f>
      </x:c>
      <x:c r="R171" s="10" t="str">
        <x:f>IF(OR(NOT(AND(J171="PASS",'Calibrare_Linii'!U17="VALID")),AM171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O17)+((('Istoric_Nativ'!$E$6:$E$405='Input_Meci'!E17)+('Istoric_Nativ'!$F$6:$F$405='Input_Meci'!E17))&gt;0)*('Istoric_Nativ'!$D$6:$D$405&gt;='Motor_Meciuri'!BP17))&gt;0)*('Istoric_Nativ'!$Q$6:$Q$405&gt;H171))/AM171)</x:f>
      </x:c>
      <x:c r="S171" s="10" t="str">
        <x:f>IF(M171="","",MAX(O171,P171,Q171,R171))</x:f>
      </x:c>
      <x:c r="T171" s="11" t="str">
        <x:f>IF(M171="","",MIN(100,S171*100*'Config_v6'!$B$44+MIN(100,L171/'Config_v6'!$B$13*100)*'Config_v6'!$B$45+(100-'Motor_Meciuri'!BF17)*'Config_v6'!$B$46+'Motor_Meciuri'!BH17*100*'Config_v6'!$B$47))</x:f>
      </x:c>
      <x:c r="U171" s="2" t="str">
        <x:f>IF(T171="","",IF(T171&lt;=20,1,IF(T171&lt;=40,2,IF(T171&lt;=60,3,IF(T171&lt;=80,4,5)))))</x:f>
      </x:c>
      <x:c r="V171" s="2" t="str">
        <x:f>IF(M171="","",MAX(0,'Motor_Meciuri'!BF17-IF(W171="OOS PENDING",'Config_v6'!$B$35,0)-IF(L171&gt;'Config_v6'!$B$12,'Config_v6'!$B$37,IF(L171&gt;'Config_v6'!$B$11,'Config_v6'!$B$36,0))))</x:f>
      </x:c>
      <x:c r="W171" s="2" t="str">
        <x:f>IF(B171="","",IF(I171&lt;&gt;"READY","NOT RELEASED",IF(NOT(AND(J171="PASS",'Calibrare_Linii'!U17="VALID")),"INVALID",IF(NOT(AND('Calibrare_Linii'!S17="VALIDATED",AND('Calibrare_Linii'!H17=C171,ISNUMBER('Calibrare_Linii'!J17),'Calibrare_Linii'!J17&lt;='Input_Meci'!G17))),"OOS PENDING",IF(S171&lt;='Calibrare_Linii'!E17,"PASS",IF(S171&lt;='Calibrare_Linii'!F17,"PENALTY","WATCH"))))))</x:f>
      </x:c>
      <x:c r="X171" s="2" t="str">
        <x:f>IF(M171="","",IF(AND(AND(J171="PASS",'Calibrare_Linii'!U17="VALID"),'Motor_Meciuri'!K17=12,'Motor_Meciuri'!L17=12,'Motor_Meciuri'!M17="NO",'Motor_Meciuri'!BL17='Motor_Meciuri'!C17,AB171&gt;='Config_v6'!$B$50,AN171&gt;='Config_v6'!$B$51,T171&lt;='Config_v6'!$B$52,L171&lt;='Config_v6'!$B$53,ISNUMBER('Calibrare_Linii'!E17),S171&lt;='Calibrare_Linii'!E17,SUM(AK171:AM171)&gt;0),"CANDIDATE","NO"))</x:f>
      </x:c>
      <x:c r="Y171" s="2" t="str">
        <x:f>IF(B171="","",IF(I171&lt;&gt;"READY","NOT RELEASED",IF(AND(X171="CANDIDATE",V171&gt;='Config_v6'!$B$51,W171="PASS",'Calibrare_Linii'!T17="VALIDATED",AND('Calibrare_Linii'!H17=C171,ISNUMBER('Calibrare_Linii'!J17),'Calibrare_Linii'!J17&lt;='Input_Meci'!G17)),"PASS",IF(X171="CANDIDATE","OOS PENDING","FAIL"))))</x:f>
      </x:c>
      <x:c r="Z171" s="2" t="str">
        <x:f>IF(B171="","",IF(I171&lt;&gt;"READY","",IF(OR(NOT(AND(J171="PASS",'Calibrare_Linii'!U17="VALID")),L171&gt;'Config_v6'!$B$13,W171="WATCH"),5,IF(Y171="PASS",1,MIN(5,MAX('Config_v6'!$B$42,U171)+IF(W171="PENALTY",1,0))))))</x:f>
      </x:c>
      <x:c r="AA171" s="2" t="str">
        <x:f>IF(B171="","",IF(I171&lt;&gt;"READY","NOT RELEASED",IF(Z171=5,"NO BET",IF(OR(AB171&lt;'Config_v6'!$B$16,V171&lt;'Config_v6'!$B$18),"WATCH",IF(Z171=1,"DEFENSIV",IF(Z171=2,"PRUDENT",IF(Z171=3,"MODERAT","RIDICAT")))))))</x:f>
      </x:c>
      <x:c r="AB171" s="10" t="str">
        <x:f>IF(N171="","",MIN(N171,1-S171))</x:f>
      </x:c>
      <x:c r="AC171" s="2" t="str">
        <x:f>IF(AD171&lt;&gt;1,"",COUNTIFS($Z$160:$Z$173,"&lt;"&amp;Z171,$AD$160:$AD$173,1)+COUNTIFS($Z$160:$Z$173,Z171,$AB$160:$AB$173,"&gt;"&amp;AB171,$AD$160:$AD$173,1)+COUNTIFS($Z$160:$Z$173,Z171,$AB$160:$AB$173,AB171,$V$160:$V$173,"&gt;"&amp;V171,$AD$160:$AD$173,1)+COUNTIFS($Z$160:Z171,Z171,$AB$160:AB171,AB171,$V$160:V171,V171,$AD$160:AD171,1))</x:f>
      </x:c>
      <x:c r="AD171" s="2" t="n">
        <x:f>IF(OR(AA171="DEFENSIV",AA171="PRUDENT",AA171="MODERAT",AA171="RIDICAT"),1,0)</x:f>
        <x:v>0</x:v>
      </x:c>
      <x:c r="AE171" s="2" t="str">
        <x:f>IF(AD171&lt;&gt;1,"NO",IF(W171="PASS","YES",IF(W171="OOS PENDING","CONDITIONAL","NO")))</x:f>
        <x:v>NO</x:v>
      </x:c>
      <x:c r="AF171" s="2" t="n">
        <x:f>IF(AND(AD171=1,AC171=1,E171="LIVE"),1,0)</x:f>
        <x:v>0</x:v>
      </x:c>
      <x:c r="AG171" s="2" t="str">
        <x:f>IF(AF171&lt;&gt;1,"",'Dashboard'!P37)</x:f>
      </x:c>
      <x:c r="AH171" s="2" t="str">
        <x:f>IF(B171="","",IF(J171&lt;&gt;"PASS",'Motor_Meciuri'!J17,IF('Calibrare_Linii'!U17&lt;&gt;"VALID","Parametri linie invalizi",IF(L171&gt;'Config_v6'!$B$13,"Dispersie peste limita",IF(W171="WATCH","Failure peste limita",IF(AB171&lt;'Config_v6'!$B$16,"P finala sub prag",IF(V171&lt;'Config_v6'!$B$18,"Confidence sub prag",IF(E171="REPLAY","Exemplu retrospectiv; exclus din Top LIVE",IF(Y171="PASS","DEFENSIV validat",IF(W171="OOS PENDING","Eligibil; calibrare linie in monitorizare","Eligibil"))))))))))</x:f>
      </x:c>
      <x:c r="AI171" s="2" t="str">
        <x:f>IF(B171="","",'Calibrare_Linii'!V17)</x:f>
      </x:c>
      <x:c r="AJ171" s="2" t="str">
        <x:f>IF(B171="","",IF(AND('Calibrare_Linii'!T17="VALIDATED",AND('Calibrare_Linii'!H17=C171,ISNUMBER('Calibrare_Linii'!J17),'Calibrare_Linii'!J17&lt;='Input_Meci'!G17)),"DEFENSIVE VALIDATED",IF(AND('Calibrare_Linii'!S17="VALIDATED",AND('Calibrare_Linii'!H17=C171,ISNUMBER('Calibrare_Linii'!J17),'Calibrare_Linii'!J17&lt;='Input_Meci'!G17)),"TAIL VALIDATED","OOS PENDING")))</x:f>
      </x:c>
      <x:c r="AK171" s="2" t="n">
        <x:f>IF(J171&lt;&gt;"PASS",0,'Motor_Meciuri'!BR17)</x:f>
        <x:v>0</x:v>
      </x:c>
      <x:c r="AL171" s="2" t="n">
        <x:f>IF(J171&lt;&gt;"PASS",0,'Motor_Meciuri'!BS17)</x:f>
        <x:v>0</x:v>
      </x:c>
      <x:c r="AM171" s="2" t="n">
        <x:f>IF(J171&lt;&gt;"PASS",0,'Motor_Meciuri'!BT17)</x:f>
        <x:v>0</x:v>
      </x:c>
      <x:c r="AN171" s="2" t="str">
        <x:f>IF(M171="","",MAX(0,'Motor_Meciuri'!BF17-IF(L171&gt;'Config_v6'!$B$12,'Config_v6'!$B$37,IF(L171&gt;'Config_v6'!$B$11,'Config_v6'!$B$36,0))))</x:f>
      </x:c>
    </x:row>
    <x:row r="172" ht="21" customHeight="1">
      <x:c r="A172" s="2" t="n">
        <x:v>12</x:v>
      </x:c>
      <x:c r="B172" s="2" t="str">
        <x:f>IF('Motor_Meciuri'!A17="","",'Motor_Meciuri'!A17)</x:f>
      </x:c>
      <x:c r="C172" s="2" t="str">
        <x:f>IF(B172="","",'Motor_Meciuri'!B17)</x:f>
      </x:c>
      <x:c r="D172" s="2" t="str">
        <x:f>IF(B172="","",'Motor_Meciuri'!D17)</x:f>
      </x:c>
      <x:c r="E172" s="2" t="str">
        <x:f>IF(B172="","",'Motor_Meciuri'!E17)</x:f>
      </x:c>
      <x:c r="F172" s="2" t="str">
        <x:v>U16,5</x:v>
      </x:c>
      <x:c r="G172" s="2" t="str">
        <x:v>UNDER</x:v>
      </x:c>
      <x:c r="H172" s="2" t="n">
        <x:v>16</x:v>
      </x:c>
      <x:c r="I172" s="2" t="str">
        <x:f>IF(B172="","",'Motor_Meciuri'!H17)</x:f>
      </x:c>
      <x:c r="J172" s="2" t="str">
        <x:f>IF(B172="","",'Motor_Meciuri'!I17)</x:f>
      </x:c>
      <x:c r="K172" s="11" t="str">
        <x:f>IF(J172&lt;&gt;"PASS","",'Motor_Meciuri'!BD17)</x:f>
      </x:c>
      <x:c r="L172" s="11" t="str">
        <x:f>IF(J172&lt;&gt;"PASS","",'Motor_Meciuri'!AU17)</x:f>
      </x:c>
      <x:c r="M172" s="10" t="str">
        <x:f>IF(NOT(AND(J172="PASS",'Calibrare_Linii'!U18="VALID")),"",'Distributie'!AN17)</x:f>
      </x:c>
      <x:c r="N172" s="10" t="str">
        <x:f>IF(M172="","",MAX(0.01,MIN(0.99,0.5+(M172-0.5)*'Motor_Meciuri'!BG17*'Calibrare_Linii'!D18)))</x:f>
      </x:c>
      <x:c r="O172" s="10" t="str">
        <x:f>IF(M172="","",1-M172)</x:f>
      </x:c>
      <x:c r="P172" s="10" t="str">
        <x:f>IF(OR(NOT(AND(J172="PASS",'Calibrare_Linii'!U18="VALID")),AK172=0),""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*('Istoric_Nativ'!$Q$6:$Q$405&gt;H172))/AK172)</x:f>
      </x:c>
      <x:c r="Q172" s="10" t="str">
        <x:f>IF(OR(NOT(AND(J172="PASS",'Calibrare_Linii'!U18="VALID")),AL172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M17)+((('Istoric_Nativ'!$E$6:$E$405='Input_Meci'!E17)+('Istoric_Nativ'!$F$6:$F$405='Input_Meci'!E17))&gt;0)*('Istoric_Nativ'!$D$6:$D$405&gt;='Motor_Meciuri'!BN17))&gt;0)*('Istoric_Nativ'!$Q$6:$Q$405&gt;H172))/AL172)</x:f>
      </x:c>
      <x:c r="R172" s="10" t="str">
        <x:f>IF(OR(NOT(AND(J172="PASS",'Calibrare_Linii'!U18="VALID")),AM172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O17)+((('Istoric_Nativ'!$E$6:$E$405='Input_Meci'!E17)+('Istoric_Nativ'!$F$6:$F$405='Input_Meci'!E17))&gt;0)*('Istoric_Nativ'!$D$6:$D$405&gt;='Motor_Meciuri'!BP17))&gt;0)*('Istoric_Nativ'!$Q$6:$Q$405&gt;H172))/AM172)</x:f>
      </x:c>
      <x:c r="S172" s="10" t="str">
        <x:f>IF(M172="","",MAX(O172,P172,Q172,R172))</x:f>
      </x:c>
      <x:c r="T172" s="11" t="str">
        <x:f>IF(M172="","",MIN(100,S172*100*'Config_v6'!$B$44+MIN(100,L172/'Config_v6'!$B$13*100)*'Config_v6'!$B$45+(100-'Motor_Meciuri'!BF17)*'Config_v6'!$B$46+'Motor_Meciuri'!BH17*100*'Config_v6'!$B$47))</x:f>
      </x:c>
      <x:c r="U172" s="2" t="str">
        <x:f>IF(T172="","",IF(T172&lt;=20,1,IF(T172&lt;=40,2,IF(T172&lt;=60,3,IF(T172&lt;=80,4,5)))))</x:f>
      </x:c>
      <x:c r="V172" s="2" t="str">
        <x:f>IF(M172="","",MAX(0,'Motor_Meciuri'!BF17-IF(W172="OOS PENDING",'Config_v6'!$B$35,0)-IF(L172&gt;'Config_v6'!$B$12,'Config_v6'!$B$37,IF(L172&gt;'Config_v6'!$B$11,'Config_v6'!$B$36,0))))</x:f>
      </x:c>
      <x:c r="W172" s="2" t="str">
        <x:f>IF(B172="","",IF(I172&lt;&gt;"READY","NOT RELEASED",IF(NOT(AND(J172="PASS",'Calibrare_Linii'!U18="VALID")),"INVALID",IF(NOT(AND('Calibrare_Linii'!S18="VALIDATED",AND('Calibrare_Linii'!H18=C172,ISNUMBER('Calibrare_Linii'!J18),'Calibrare_Linii'!J18&lt;='Input_Meci'!G17))),"OOS PENDING",IF(S172&lt;='Calibrare_Linii'!E18,"PASS",IF(S172&lt;='Calibrare_Linii'!F18,"PENALTY","WATCH"))))))</x:f>
      </x:c>
      <x:c r="X172" s="2" t="str">
        <x:f>IF(M172="","",IF(AND(AND(J172="PASS",'Calibrare_Linii'!U18="VALID"),'Motor_Meciuri'!K17=12,'Motor_Meciuri'!L17=12,'Motor_Meciuri'!M17="NO",'Motor_Meciuri'!BL17='Motor_Meciuri'!C17,AB172&gt;='Config_v6'!$B$50,AN172&gt;='Config_v6'!$B$51,T172&lt;='Config_v6'!$B$52,L172&lt;='Config_v6'!$B$53,ISNUMBER('Calibrare_Linii'!E18),S172&lt;='Calibrare_Linii'!E18,SUM(AK172:AM172)&gt;0),"CANDIDATE","NO"))</x:f>
      </x:c>
      <x:c r="Y172" s="2" t="str">
        <x:f>IF(B172="","",IF(I172&lt;&gt;"READY","NOT RELEASED",IF(AND(X172="CANDIDATE",V172&gt;='Config_v6'!$B$51,W172="PASS",'Calibrare_Linii'!T18="VALIDATED",AND('Calibrare_Linii'!H18=C172,ISNUMBER('Calibrare_Linii'!J18),'Calibrare_Linii'!J18&lt;='Input_Meci'!G17)),"PASS",IF(X172="CANDIDATE","OOS PENDING","FAIL"))))</x:f>
      </x:c>
      <x:c r="Z172" s="2" t="str">
        <x:f>IF(B172="","",IF(I172&lt;&gt;"READY","",IF(OR(NOT(AND(J172="PASS",'Calibrare_Linii'!U18="VALID")),L172&gt;'Config_v6'!$B$13,W172="WATCH"),5,IF(Y172="PASS",1,MIN(5,MAX('Config_v6'!$B$42,U172)+IF(W172="PENALTY",1,0))))))</x:f>
      </x:c>
      <x:c r="AA172" s="2" t="str">
        <x:f>IF(B172="","",IF(I172&lt;&gt;"READY","NOT RELEASED",IF(Z172=5,"NO BET",IF(OR(AB172&lt;'Config_v6'!$B$16,V172&lt;'Config_v6'!$B$18),"WATCH",IF(Z172=1,"DEFENSIV",IF(Z172=2,"PRUDENT",IF(Z172=3,"MODERAT","RIDICAT")))))))</x:f>
      </x:c>
      <x:c r="AB172" s="10" t="str">
        <x:f>IF(N172="","",MIN(N172,1-S172))</x:f>
      </x:c>
      <x:c r="AC172" s="2" t="str">
        <x:f>IF(AD172&lt;&gt;1,"",COUNTIFS($Z$160:$Z$173,"&lt;"&amp;Z172,$AD$160:$AD$173,1)+COUNTIFS($Z$160:$Z$173,Z172,$AB$160:$AB$173,"&gt;"&amp;AB172,$AD$160:$AD$173,1)+COUNTIFS($Z$160:$Z$173,Z172,$AB$160:$AB$173,AB172,$V$160:$V$173,"&gt;"&amp;V172,$AD$160:$AD$173,1)+COUNTIFS($Z$160:Z172,Z172,$AB$160:AB172,AB172,$V$160:V172,V172,$AD$160:AD172,1))</x:f>
      </x:c>
      <x:c r="AD172" s="2" t="n">
        <x:f>IF(OR(AA172="DEFENSIV",AA172="PRUDENT",AA172="MODERAT",AA172="RIDICAT"),1,0)</x:f>
        <x:v>0</x:v>
      </x:c>
      <x:c r="AE172" s="2" t="str">
        <x:f>IF(AD172&lt;&gt;1,"NO",IF(W172="PASS","YES",IF(W172="OOS PENDING","CONDITIONAL","NO")))</x:f>
        <x:v>NO</x:v>
      </x:c>
      <x:c r="AF172" s="2" t="n">
        <x:f>IF(AND(AD172=1,AC172=1,E172="LIVE"),1,0)</x:f>
        <x:v>0</x:v>
      </x:c>
      <x:c r="AG172" s="2" t="str">
        <x:f>IF(AF172&lt;&gt;1,"",'Dashboard'!P37)</x:f>
      </x:c>
      <x:c r="AH172" s="2" t="str">
        <x:f>IF(B172="","",IF(J172&lt;&gt;"PASS",'Motor_Meciuri'!J17,IF('Calibrare_Linii'!U18&lt;&gt;"VALID","Parametri linie invalizi",IF(L172&gt;'Config_v6'!$B$13,"Dispersie peste limita",IF(W172="WATCH","Failure peste limita",IF(AB172&lt;'Config_v6'!$B$16,"P finala sub prag",IF(V172&lt;'Config_v6'!$B$18,"Confidence sub prag",IF(E172="REPLAY","Exemplu retrospectiv; exclus din Top LIVE",IF(Y172="PASS","DEFENSIV validat",IF(W172="OOS PENDING","Eligibil; calibrare linie in monitorizare","Eligibil"))))))))))</x:f>
      </x:c>
      <x:c r="AI172" s="2" t="str">
        <x:f>IF(B172="","",'Calibrare_Linii'!V18)</x:f>
      </x:c>
      <x:c r="AJ172" s="2" t="str">
        <x:f>IF(B172="","",IF(AND('Calibrare_Linii'!T18="VALIDATED",AND('Calibrare_Linii'!H18=C172,ISNUMBER('Calibrare_Linii'!J18),'Calibrare_Linii'!J18&lt;='Input_Meci'!G17)),"DEFENSIVE VALIDATED",IF(AND('Calibrare_Linii'!S18="VALIDATED",AND('Calibrare_Linii'!H18=C172,ISNUMBER('Calibrare_Linii'!J18),'Calibrare_Linii'!J18&lt;='Input_Meci'!G17)),"TAIL VALIDATED","OOS PENDING")))</x:f>
      </x:c>
      <x:c r="AK172" s="2" t="n">
        <x:f>IF(J172&lt;&gt;"PASS",0,'Motor_Meciuri'!BR17)</x:f>
        <x:v>0</x:v>
      </x:c>
      <x:c r="AL172" s="2" t="n">
        <x:f>IF(J172&lt;&gt;"PASS",0,'Motor_Meciuri'!BS17)</x:f>
        <x:v>0</x:v>
      </x:c>
      <x:c r="AM172" s="2" t="n">
        <x:f>IF(J172&lt;&gt;"PASS",0,'Motor_Meciuri'!BT17)</x:f>
        <x:v>0</x:v>
      </x:c>
      <x:c r="AN172" s="2" t="str">
        <x:f>IF(M172="","",MAX(0,'Motor_Meciuri'!BF17-IF(L172&gt;'Config_v6'!$B$12,'Config_v6'!$B$37,IF(L172&gt;'Config_v6'!$B$11,'Config_v6'!$B$36,0))))</x:f>
      </x:c>
    </x:row>
    <x:row r="173" ht="21" customHeight="1">
      <x:c r="A173" s="2" t="n">
        <x:v>12</x:v>
      </x:c>
      <x:c r="B173" s="2" t="str">
        <x:f>IF('Motor_Meciuri'!A17="","",'Motor_Meciuri'!A17)</x:f>
      </x:c>
      <x:c r="C173" s="2" t="str">
        <x:f>IF(B173="","",'Motor_Meciuri'!B17)</x:f>
      </x:c>
      <x:c r="D173" s="2" t="str">
        <x:f>IF(B173="","",'Motor_Meciuri'!D17)</x:f>
      </x:c>
      <x:c r="E173" s="2" t="str">
        <x:f>IF(B173="","",'Motor_Meciuri'!E17)</x:f>
      </x:c>
      <x:c r="F173" s="2" t="str">
        <x:v>U17,5</x:v>
      </x:c>
      <x:c r="G173" s="2" t="str">
        <x:v>UNDER</x:v>
      </x:c>
      <x:c r="H173" s="2" t="n">
        <x:v>17</x:v>
      </x:c>
      <x:c r="I173" s="2" t="str">
        <x:f>IF(B173="","",'Motor_Meciuri'!H17)</x:f>
      </x:c>
      <x:c r="J173" s="2" t="str">
        <x:f>IF(B173="","",'Motor_Meciuri'!I17)</x:f>
      </x:c>
      <x:c r="K173" s="11" t="str">
        <x:f>IF(J173&lt;&gt;"PASS","",'Motor_Meciuri'!BD17)</x:f>
      </x:c>
      <x:c r="L173" s="11" t="str">
        <x:f>IF(J173&lt;&gt;"PASS","",'Motor_Meciuri'!AU17)</x:f>
      </x:c>
      <x:c r="M173" s="10" t="str">
        <x:f>IF(NOT(AND(J173="PASS",'Calibrare_Linii'!U19="VALID")),"",'Distributie'!AO17)</x:f>
      </x:c>
      <x:c r="N173" s="10" t="str">
        <x:f>IF(M173="","",MAX(0.01,MIN(0.99,0.5+(M173-0.5)*'Motor_Meciuri'!BG17*'Calibrare_Linii'!D19)))</x:f>
      </x:c>
      <x:c r="O173" s="10" t="str">
        <x:f>IF(M173="","",1-M173)</x:f>
      </x:c>
      <x:c r="P173" s="10" t="str">
        <x:f>IF(OR(NOT(AND(J173="PASS",'Calibrare_Linii'!U19="VALID")),AK173=0),""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*('Istoric_Nativ'!$Q$6:$Q$405&gt;H173))/AK173)</x:f>
      </x:c>
      <x:c r="Q173" s="10" t="str">
        <x:f>IF(OR(NOT(AND(J173="PASS",'Calibrare_Linii'!U19="VALID")),AL173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M17)+((('Istoric_Nativ'!$E$6:$E$405='Input_Meci'!E17)+('Istoric_Nativ'!$F$6:$F$405='Input_Meci'!E17))&gt;0)*('Istoric_Nativ'!$D$6:$D$405&gt;='Motor_Meciuri'!BN17))&gt;0)*('Istoric_Nativ'!$Q$6:$Q$405&gt;H173))/AL173)</x:f>
      </x:c>
      <x:c r="R173" s="10" t="str">
        <x:f>IF(OR(NOT(AND(J173="PASS",'Calibrare_Linii'!U19="VALID")),AM173=0),""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'Motor_Meciuri'!BO17)+((('Istoric_Nativ'!$E$6:$E$405='Input_Meci'!E17)+('Istoric_Nativ'!$F$6:$F$405='Input_Meci'!E17))&gt;0)*('Istoric_Nativ'!$D$6:$D$405&gt;='Motor_Meciuri'!BP17))&gt;0)*('Istoric_Nativ'!$Q$6:$Q$405&gt;H173))/AM173)</x:f>
      </x:c>
      <x:c r="S173" s="10" t="str">
        <x:f>IF(M173="","",MAX(O173,P173,Q173,R173))</x:f>
      </x:c>
      <x:c r="T173" s="11" t="str">
        <x:f>IF(M173="","",MIN(100,S173*100*'Config_v6'!$B$44+MIN(100,L173/'Config_v6'!$B$13*100)*'Config_v6'!$B$45+(100-'Motor_Meciuri'!BF17)*'Config_v6'!$B$46+'Motor_Meciuri'!BH17*100*'Config_v6'!$B$47))</x:f>
      </x:c>
      <x:c r="U173" s="2" t="str">
        <x:f>IF(T173="","",IF(T173&lt;=20,1,IF(T173&lt;=40,2,IF(T173&lt;=60,3,IF(T173&lt;=80,4,5)))))</x:f>
      </x:c>
      <x:c r="V173" s="2" t="str">
        <x:f>IF(M173="","",MAX(0,'Motor_Meciuri'!BF17-IF(W173="OOS PENDING",'Config_v6'!$B$35,0)-IF(L173&gt;'Config_v6'!$B$12,'Config_v6'!$B$37,IF(L173&gt;'Config_v6'!$B$11,'Config_v6'!$B$36,0))))</x:f>
      </x:c>
      <x:c r="W173" s="2" t="str">
        <x:f>IF(B173="","",IF(I173&lt;&gt;"READY","NOT RELEASED",IF(NOT(AND(J173="PASS",'Calibrare_Linii'!U19="VALID")),"INVALID",IF(NOT(AND('Calibrare_Linii'!S19="VALIDATED",AND('Calibrare_Linii'!H19=C173,ISNUMBER('Calibrare_Linii'!J19),'Calibrare_Linii'!J19&lt;='Input_Meci'!G17))),"OOS PENDING",IF(S173&lt;='Calibrare_Linii'!E19,"PASS",IF(S173&lt;='Calibrare_Linii'!F19,"PENALTY","WATCH"))))))</x:f>
      </x:c>
      <x:c r="X173" s="2" t="str">
        <x:f>IF(M173="","",IF(AND(AND(J173="PASS",'Calibrare_Linii'!U19="VALID"),'Motor_Meciuri'!K17=12,'Motor_Meciuri'!L17=12,'Motor_Meciuri'!M17="NO",'Motor_Meciuri'!BL17='Motor_Meciuri'!C17,AB173&gt;='Config_v6'!$B$50,AN173&gt;='Config_v6'!$B$51,T173&lt;='Config_v6'!$B$52,L173&lt;='Config_v6'!$B$53,ISNUMBER('Calibrare_Linii'!E19),S173&lt;='Calibrare_Linii'!E19,SUM(AK173:AM173)&gt;0),"CANDIDATE","NO"))</x:f>
      </x:c>
      <x:c r="Y173" s="2" t="str">
        <x:f>IF(B173="","",IF(I173&lt;&gt;"READY","NOT RELEASED",IF(AND(X173="CANDIDATE",V173&gt;='Config_v6'!$B$51,W173="PASS",'Calibrare_Linii'!T19="VALIDATED",AND('Calibrare_Linii'!H19=C173,ISNUMBER('Calibrare_Linii'!J19),'Calibrare_Linii'!J19&lt;='Input_Meci'!G17)),"PASS",IF(X173="CANDIDATE","OOS PENDING","FAIL"))))</x:f>
      </x:c>
      <x:c r="Z173" s="2" t="str">
        <x:f>IF(B173="","",IF(I173&lt;&gt;"READY","",IF(OR(NOT(AND(J173="PASS",'Calibrare_Linii'!U19="VALID")),L173&gt;'Config_v6'!$B$13,W173="WATCH"),5,IF(Y173="PASS",1,MIN(5,MAX('Config_v6'!$B$42,U173)+IF(W173="PENALTY",1,0))))))</x:f>
      </x:c>
      <x:c r="AA173" s="2" t="str">
        <x:f>IF(B173="","",IF(I173&lt;&gt;"READY","NOT RELEASED",IF(Z173=5,"NO BET",IF(OR(AB173&lt;'Config_v6'!$B$16,V173&lt;'Config_v6'!$B$18),"WATCH",IF(Z173=1,"DEFENSIV",IF(Z173=2,"PRUDENT",IF(Z173=3,"MODERAT","RIDICAT")))))))</x:f>
      </x:c>
      <x:c r="AB173" s="10" t="str">
        <x:f>IF(N173="","",MIN(N173,1-S173))</x:f>
      </x:c>
      <x:c r="AC173" s="2" t="str">
        <x:f>IF(AD173&lt;&gt;1,"",COUNTIFS($Z$160:$Z$173,"&lt;"&amp;Z173,$AD$160:$AD$173,1)+COUNTIFS($Z$160:$Z$173,Z173,$AB$160:$AB$173,"&gt;"&amp;AB173,$AD$160:$AD$173,1)+COUNTIFS($Z$160:$Z$173,Z173,$AB$160:$AB$173,AB173,$V$160:$V$173,"&gt;"&amp;V173,$AD$160:$AD$173,1)+COUNTIFS($Z$160:Z173,Z173,$AB$160:AB173,AB173,$V$160:V173,V173,$AD$160:AD173,1))</x:f>
      </x:c>
      <x:c r="AD173" s="2" t="n">
        <x:f>IF(OR(AA173="DEFENSIV",AA173="PRUDENT",AA173="MODERAT",AA173="RIDICAT"),1,0)</x:f>
        <x:v>0</x:v>
      </x:c>
      <x:c r="AE173" s="2" t="str">
        <x:f>IF(AD173&lt;&gt;1,"NO",IF(W173="PASS","YES",IF(W173="OOS PENDING","CONDITIONAL","NO")))</x:f>
        <x:v>NO</x:v>
      </x:c>
      <x:c r="AF173" s="2" t="n">
        <x:f>IF(AND(AD173=1,AC173=1,E173="LIVE"),1,0)</x:f>
        <x:v>0</x:v>
      </x:c>
      <x:c r="AG173" s="2" t="str">
        <x:f>IF(AF173&lt;&gt;1,"",'Dashboard'!P37)</x:f>
      </x:c>
      <x:c r="AH173" s="2" t="str">
        <x:f>IF(B173="","",IF(J173&lt;&gt;"PASS",'Motor_Meciuri'!J17,IF('Calibrare_Linii'!U19&lt;&gt;"VALID","Parametri linie invalizi",IF(L173&gt;'Config_v6'!$B$13,"Dispersie peste limita",IF(W173="WATCH","Failure peste limita",IF(AB173&lt;'Config_v6'!$B$16,"P finala sub prag",IF(V173&lt;'Config_v6'!$B$18,"Confidence sub prag",IF(E173="REPLAY","Exemplu retrospectiv; exclus din Top LIVE",IF(Y173="PASS","DEFENSIV validat",IF(W173="OOS PENDING","Eligibil; calibrare linie in monitorizare","Eligibil"))))))))))</x:f>
      </x:c>
      <x:c r="AI173" s="2" t="str">
        <x:f>IF(B173="","",'Calibrare_Linii'!V19)</x:f>
      </x:c>
      <x:c r="AJ173" s="2" t="str">
        <x:f>IF(B173="","",IF(AND('Calibrare_Linii'!T19="VALIDATED",AND('Calibrare_Linii'!H19=C173,ISNUMBER('Calibrare_Linii'!J19),'Calibrare_Linii'!J19&lt;='Input_Meci'!G17)),"DEFENSIVE VALIDATED",IF(AND('Calibrare_Linii'!S19="VALIDATED",AND('Calibrare_Linii'!H19=C173,ISNUMBER('Calibrare_Linii'!J19),'Calibrare_Linii'!J19&lt;='Input_Meci'!G17)),"TAIL VALIDATED","OOS PENDING")))</x:f>
      </x:c>
      <x:c r="AK173" s="2" t="n">
        <x:f>IF(J173&lt;&gt;"PASS",0,'Motor_Meciuri'!BR17)</x:f>
        <x:v>0</x:v>
      </x:c>
      <x:c r="AL173" s="2" t="n">
        <x:f>IF(J173&lt;&gt;"PASS",0,'Motor_Meciuri'!BS17)</x:f>
        <x:v>0</x:v>
      </x:c>
      <x:c r="AM173" s="2" t="n">
        <x:f>IF(J173&lt;&gt;"PASS",0,'Motor_Meciuri'!BT17)</x:f>
        <x:v>0</x:v>
      </x:c>
      <x:c r="AN173" s="2" t="str">
        <x:f>IF(M173="","",MAX(0,'Motor_Meciuri'!BF17-IF(L173&gt;'Config_v6'!$B$12,'Config_v6'!$B$37,IF(L173&gt;'Config_v6'!$B$11,'Config_v6'!$B$36,0))))</x:f>
      </x:c>
    </x:row>
    <x:row r="174" ht="21" customHeight="1">
      <x:c r="A174" s="2" t="n">
        <x:v>13</x:v>
      </x:c>
      <x:c r="B174" s="2" t="str">
        <x:f>IF('Motor_Meciuri'!A18="","",'Motor_Meciuri'!A18)</x:f>
      </x:c>
      <x:c r="C174" s="2" t="str">
        <x:f>IF(B174="","",'Motor_Meciuri'!B18)</x:f>
      </x:c>
      <x:c r="D174" s="2" t="str">
        <x:f>IF(B174="","",'Motor_Meciuri'!D18)</x:f>
      </x:c>
      <x:c r="E174" s="2" t="str">
        <x:f>IF(B174="","",'Motor_Meciuri'!E18)</x:f>
      </x:c>
      <x:c r="F174" s="2" t="str">
        <x:v>O3,5</x:v>
      </x:c>
      <x:c r="G174" s="2" t="str">
        <x:v>OVER</x:v>
      </x:c>
      <x:c r="H174" s="2" t="n">
        <x:v>3</x:v>
      </x:c>
      <x:c r="I174" s="2" t="str">
        <x:f>IF(B174="","",'Motor_Meciuri'!H18)</x:f>
      </x:c>
      <x:c r="J174" s="2" t="str">
        <x:f>IF(B174="","",'Motor_Meciuri'!I18)</x:f>
      </x:c>
      <x:c r="K174" s="11" t="str">
        <x:f>IF(J174&lt;&gt;"PASS","",'Motor_Meciuri'!BD18)</x:f>
      </x:c>
      <x:c r="L174" s="11" t="str">
        <x:f>IF(J174&lt;&gt;"PASS","",'Motor_Meciuri'!AU18)</x:f>
      </x:c>
      <x:c r="M174" s="10" t="str">
        <x:f>IF(NOT(AND(J174="PASS",'Calibrare_Linii'!U6="VALID")),"",1-'Distributie'!AA18)</x:f>
      </x:c>
      <x:c r="N174" s="10" t="str">
        <x:f>IF(M174="","",MAX(0.01,MIN(0.99,0.5+(M174-0.5)*'Motor_Meciuri'!BG18*'Calibrare_Linii'!D6)))</x:f>
      </x:c>
      <x:c r="O174" s="10" t="str">
        <x:f>IF(M174="","",1-M174)</x:f>
      </x:c>
      <x:c r="P174" s="10" t="str">
        <x:f>IF(OR(NOT(AND(J174="PASS",'Calibrare_Linii'!U6="VALID")),AK174=0),""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*('Istoric_Nativ'!$Q$6:$Q$405&lt;=H174))/AK174)</x:f>
      </x:c>
      <x:c r="Q174" s="10" t="str">
        <x:f>IF(OR(NOT(AND(J174="PASS",'Calibrare_Linii'!U6="VALID")),AL174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M18)+((('Istoric_Nativ'!$E$6:$E$405='Input_Meci'!E18)+('Istoric_Nativ'!$F$6:$F$405='Input_Meci'!E18))&gt;0)*('Istoric_Nativ'!$D$6:$D$405&gt;='Motor_Meciuri'!BN18))&gt;0)*('Istoric_Nativ'!$Q$6:$Q$405&lt;=H174))/AL174)</x:f>
      </x:c>
      <x:c r="R174" s="10" t="str">
        <x:f>IF(OR(NOT(AND(J174="PASS",'Calibrare_Linii'!U6="VALID")),AM174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O18)+((('Istoric_Nativ'!$E$6:$E$405='Input_Meci'!E18)+('Istoric_Nativ'!$F$6:$F$405='Input_Meci'!E18))&gt;0)*('Istoric_Nativ'!$D$6:$D$405&gt;='Motor_Meciuri'!BP18))&gt;0)*('Istoric_Nativ'!$Q$6:$Q$405&lt;=H174))/AM174)</x:f>
      </x:c>
      <x:c r="S174" s="10" t="str">
        <x:f>IF(M174="","",MAX(O174,P174,Q174,R174))</x:f>
      </x:c>
      <x:c r="T174" s="11" t="str">
        <x:f>IF(M174="","",MIN(100,S174*100*'Config_v6'!$B$44+MIN(100,L174/'Config_v6'!$B$13*100)*'Config_v6'!$B$45+(100-'Motor_Meciuri'!BF18)*'Config_v6'!$B$46+'Motor_Meciuri'!BH18*100*'Config_v6'!$B$47))</x:f>
      </x:c>
      <x:c r="U174" s="2" t="str">
        <x:f>IF(T174="","",IF(T174&lt;=20,1,IF(T174&lt;=40,2,IF(T174&lt;=60,3,IF(T174&lt;=80,4,5)))))</x:f>
      </x:c>
      <x:c r="V174" s="2" t="str">
        <x:f>IF(M174="","",MAX(0,'Motor_Meciuri'!BF18-IF(W174="OOS PENDING",'Config_v6'!$B$35,0)-IF(L174&gt;'Config_v6'!$B$12,'Config_v6'!$B$37,IF(L174&gt;'Config_v6'!$B$11,'Config_v6'!$B$36,0))))</x:f>
      </x:c>
      <x:c r="W174" s="2" t="str">
        <x:f>IF(B174="","",IF(I174&lt;&gt;"READY","NOT RELEASED",IF(NOT(AND(J174="PASS",'Calibrare_Linii'!U6="VALID")),"INVALID",IF(NOT(TRUE),"OOS PENDING",IF(S174&lt;=IF(AND('Calibrare_Linii'!S6="VALIDATED",AND('Calibrare_Linii'!H6=C174,ISNUMBER('Calibrare_Linii'!J6),'Calibrare_Linii'!J6&lt;='Input_Meci'!G18)),'Calibrare_Linii'!E6,'Config_v6'!$B$26),"PASS",IF(S174&lt;=IF(AND('Calibrare_Linii'!S6="VALIDATED",AND('Calibrare_Linii'!H6=C174,ISNUMBER('Calibrare_Linii'!J6),'Calibrare_Linii'!J6&lt;='Input_Meci'!G18)),'Calibrare_Linii'!F6,'Config_v6'!$C$26),"PENALTY","WATCH"))))))</x:f>
      </x:c>
      <x:c r="X174" s="2" t="str">
        <x:f>IF(M174="","",IF(AND(AND(J174="PASS",'Calibrare_Linii'!U6="VALID"),'Motor_Meciuri'!K18=12,'Motor_Meciuri'!L18=12,'Motor_Meciuri'!M18="NO",'Motor_Meciuri'!BL18='Motor_Meciuri'!C18,AB174&gt;='Config_v6'!$B$50,AN174&gt;='Config_v6'!$B$51,T174&lt;='Config_v6'!$B$52,L174&lt;='Config_v6'!$B$53,ISNUMBER('Calibrare_Linii'!E6),S174&lt;='Calibrare_Linii'!E6,SUM(AK174:AM174)&gt;0),"CANDIDATE","NO"))</x:f>
      </x:c>
      <x:c r="Y174" s="2" t="str">
        <x:f>IF(B174="","",IF(I174&lt;&gt;"READY","NOT RELEASED",IF(AND(X174="CANDIDATE",V174&gt;='Config_v6'!$B$51,W174="PASS",'Calibrare_Linii'!T6="VALIDATED",AND('Calibrare_Linii'!H6=C174,ISNUMBER('Calibrare_Linii'!J6),'Calibrare_Linii'!J6&lt;='Input_Meci'!G18)),"PASS",IF(X174="CANDIDATE","OOS PENDING","FAIL"))))</x:f>
      </x:c>
      <x:c r="Z174" s="2" t="str">
        <x:f>IF(B174="","",IF(I174&lt;&gt;"READY","",IF(OR(NOT(AND(J174="PASS",'Calibrare_Linii'!U6="VALID")),L174&gt;'Config_v6'!$B$13,W174="WATCH"),5,IF(Y174="PASS",1,MIN(5,MAX('Config_v6'!$B$42,U174)+IF(W174="PENALTY",1,0))))))</x:f>
      </x:c>
      <x:c r="AA174" s="2" t="str">
        <x:f>IF(B174="","",IF(I174&lt;&gt;"READY","NOT RELEASED",IF(Z174=5,"NO BET",IF(OR(AB174&lt;'Config_v6'!$B$16,V174&lt;'Config_v6'!$B$18),"WATCH",IF(Z174=1,"DEFENSIV",IF(Z174=2,"PRUDENT",IF(Z174=3,"MODERAT","RIDICAT")))))))</x:f>
      </x:c>
      <x:c r="AB174" s="10" t="str">
        <x:f>IF(N174="","",MIN(N174,1-S174))</x:f>
      </x:c>
      <x:c r="AC174" s="2" t="str">
        <x:f>IF(AD174&lt;&gt;1,"",COUNTIFS($Z$174:$Z$187,"&lt;"&amp;Z174,$AD$174:$AD$187,1)+COUNTIFS($Z$174:$Z$187,Z174,$AB$174:$AB$187,"&gt;"&amp;AB174,$AD$174:$AD$187,1)+COUNTIFS($Z$174:$Z$187,Z174,$AB$174:$AB$187,AB174,$V$174:$V$187,"&gt;"&amp;V174,$AD$174:$AD$187,1)+COUNTIFS($Z$174:Z174,Z174,$AB$174:AB174,AB174,$V$174:V174,V174,$AD$174:AD174,1))</x:f>
      </x:c>
      <x:c r="AD174" s="2" t="n">
        <x:f>IF(OR(AA174="DEFENSIV",AA174="PRUDENT",AA174="MODERAT",AA174="RIDICAT"),1,0)</x:f>
        <x:v>0</x:v>
      </x:c>
      <x:c r="AE174" s="2" t="str">
        <x:f>IF(AD174&lt;&gt;1,"NO",IF(W174="PASS","YES",IF(W174="OOS PENDING","CONDITIONAL","NO")))</x:f>
        <x:v>NO</x:v>
      </x:c>
      <x:c r="AF174" s="2" t="n">
        <x:f>IF(AND(AD174=1,AC174=1,E174="LIVE"),1,0)</x:f>
        <x:v>0</x:v>
      </x:c>
      <x:c r="AG174" s="2" t="str">
        <x:f>IF(AF174&lt;&gt;1,"",'Dashboard'!P38)</x:f>
      </x:c>
      <x:c r="AH174" s="2" t="str">
        <x:f>IF(B174="","",IF(J174&lt;&gt;"PASS",'Motor_Meciuri'!J18,IF('Calibrare_Linii'!U6&lt;&gt;"VALID","Parametri linie invalizi",IF(L174&gt;'Config_v6'!$B$13,"Dispersie peste limita",IF(W174="WATCH","Failure peste limita",IF(AB174&lt;'Config_v6'!$B$16,"P finala sub prag",IF(V174&lt;'Config_v6'!$B$18,"Confidence sub prag",IF(E174="REPLAY","Exemplu retrospectiv; exclus din Top LIVE",IF(Y174="PASS","DEFENSIV validat",IF(W174="OOS PENDING","Eligibil; calibrare linie in monitorizare","Eligibil"))))))))))</x:f>
      </x:c>
      <x:c r="AI174" s="2" t="str">
        <x:f>IF(B174="","",'Calibrare_Linii'!V6)</x:f>
      </x:c>
      <x:c r="AJ174" s="2" t="str">
        <x:f>IF(B174="","",IF(AND('Calibrare_Linii'!T6="VALIDATED",AND('Calibrare_Linii'!H6=C174,ISNUMBER('Calibrare_Linii'!J6),'Calibrare_Linii'!J6&lt;='Input_Meci'!G18)),"DEFENSIVE VALIDATED",IF(AND('Calibrare_Linii'!S6="VALIDATED",AND('Calibrare_Linii'!H6=C174,ISNUMBER('Calibrare_Linii'!J6),'Calibrare_Linii'!J6&lt;='Input_Meci'!G18)),"TAIL VALIDATED","OOS PENDING")))</x:f>
      </x:c>
      <x:c r="AK174" s="2" t="n">
        <x:f>IF(J174&lt;&gt;"PASS",0,'Motor_Meciuri'!BR18)</x:f>
        <x:v>0</x:v>
      </x:c>
      <x:c r="AL174" s="2" t="n">
        <x:f>IF(J174&lt;&gt;"PASS",0,'Motor_Meciuri'!BS18)</x:f>
        <x:v>0</x:v>
      </x:c>
      <x:c r="AM174" s="2" t="n">
        <x:f>IF(J174&lt;&gt;"PASS",0,'Motor_Meciuri'!BT18)</x:f>
        <x:v>0</x:v>
      </x:c>
      <x:c r="AN174" s="2" t="str">
        <x:f>IF(M174="","",MAX(0,'Motor_Meciuri'!BF18-IF(L174&gt;'Config_v6'!$B$12,'Config_v6'!$B$37,IF(L174&gt;'Config_v6'!$B$11,'Config_v6'!$B$36,0))))</x:f>
      </x:c>
    </x:row>
    <x:row r="175" ht="21" customHeight="1">
      <x:c r="A175" s="2" t="n">
        <x:v>13</x:v>
      </x:c>
      <x:c r="B175" s="2" t="str">
        <x:f>IF('Motor_Meciuri'!A18="","",'Motor_Meciuri'!A18)</x:f>
      </x:c>
      <x:c r="C175" s="2" t="str">
        <x:f>IF(B175="","",'Motor_Meciuri'!B18)</x:f>
      </x:c>
      <x:c r="D175" s="2" t="str">
        <x:f>IF(B175="","",'Motor_Meciuri'!D18)</x:f>
      </x:c>
      <x:c r="E175" s="2" t="str">
        <x:f>IF(B175="","",'Motor_Meciuri'!E18)</x:f>
      </x:c>
      <x:c r="F175" s="2" t="str">
        <x:v>O4,5</x:v>
      </x:c>
      <x:c r="G175" s="2" t="str">
        <x:v>OVER</x:v>
      </x:c>
      <x:c r="H175" s="2" t="n">
        <x:v>4</x:v>
      </x:c>
      <x:c r="I175" s="2" t="str">
        <x:f>IF(B175="","",'Motor_Meciuri'!H18)</x:f>
      </x:c>
      <x:c r="J175" s="2" t="str">
        <x:f>IF(B175="","",'Motor_Meciuri'!I18)</x:f>
      </x:c>
      <x:c r="K175" s="11" t="str">
        <x:f>IF(J175&lt;&gt;"PASS","",'Motor_Meciuri'!BD18)</x:f>
      </x:c>
      <x:c r="L175" s="11" t="str">
        <x:f>IF(J175&lt;&gt;"PASS","",'Motor_Meciuri'!AU18)</x:f>
      </x:c>
      <x:c r="M175" s="10" t="str">
        <x:f>IF(NOT(AND(J175="PASS",'Calibrare_Linii'!U7="VALID")),"",1-'Distributie'!AB18)</x:f>
      </x:c>
      <x:c r="N175" s="10" t="str">
        <x:f>IF(M175="","",MAX(0.01,MIN(0.99,0.5+(M175-0.5)*'Motor_Meciuri'!BG18*'Calibrare_Linii'!D7)))</x:f>
      </x:c>
      <x:c r="O175" s="10" t="str">
        <x:f>IF(M175="","",1-M175)</x:f>
      </x:c>
      <x:c r="P175" s="10" t="str">
        <x:f>IF(OR(NOT(AND(J175="PASS",'Calibrare_Linii'!U7="VALID")),AK175=0),""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*('Istoric_Nativ'!$Q$6:$Q$405&lt;=H175))/AK175)</x:f>
      </x:c>
      <x:c r="Q175" s="10" t="str">
        <x:f>IF(OR(NOT(AND(J175="PASS",'Calibrare_Linii'!U7="VALID")),AL175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M18)+((('Istoric_Nativ'!$E$6:$E$405='Input_Meci'!E18)+('Istoric_Nativ'!$F$6:$F$405='Input_Meci'!E18))&gt;0)*('Istoric_Nativ'!$D$6:$D$405&gt;='Motor_Meciuri'!BN18))&gt;0)*('Istoric_Nativ'!$Q$6:$Q$405&lt;=H175))/AL175)</x:f>
      </x:c>
      <x:c r="R175" s="10" t="str">
        <x:f>IF(OR(NOT(AND(J175="PASS",'Calibrare_Linii'!U7="VALID")),AM175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O18)+((('Istoric_Nativ'!$E$6:$E$405='Input_Meci'!E18)+('Istoric_Nativ'!$F$6:$F$405='Input_Meci'!E18))&gt;0)*('Istoric_Nativ'!$D$6:$D$405&gt;='Motor_Meciuri'!BP18))&gt;0)*('Istoric_Nativ'!$Q$6:$Q$405&lt;=H175))/AM175)</x:f>
      </x:c>
      <x:c r="S175" s="10" t="str">
        <x:f>IF(M175="","",MAX(O175,P175,Q175,R175))</x:f>
      </x:c>
      <x:c r="T175" s="11" t="str">
        <x:f>IF(M175="","",MIN(100,S175*100*'Config_v6'!$B$44+MIN(100,L175/'Config_v6'!$B$13*100)*'Config_v6'!$B$45+(100-'Motor_Meciuri'!BF18)*'Config_v6'!$B$46+'Motor_Meciuri'!BH18*100*'Config_v6'!$B$47))</x:f>
      </x:c>
      <x:c r="U175" s="2" t="str">
        <x:f>IF(T175="","",IF(T175&lt;=20,1,IF(T175&lt;=40,2,IF(T175&lt;=60,3,IF(T175&lt;=80,4,5)))))</x:f>
      </x:c>
      <x:c r="V175" s="2" t="str">
        <x:f>IF(M175="","",MAX(0,'Motor_Meciuri'!BF18-IF(W175="OOS PENDING",'Config_v6'!$B$35,0)-IF(L175&gt;'Config_v6'!$B$12,'Config_v6'!$B$37,IF(L175&gt;'Config_v6'!$B$11,'Config_v6'!$B$36,0))))</x:f>
      </x:c>
      <x:c r="W175" s="2" t="str">
        <x:f>IF(B175="","",IF(I175&lt;&gt;"READY","NOT RELEASED",IF(NOT(AND(J175="PASS",'Calibrare_Linii'!U7="VALID")),"INVALID",IF(NOT(AND('Calibrare_Linii'!S7="VALIDATED",AND('Calibrare_Linii'!H7=C175,ISNUMBER('Calibrare_Linii'!J7),'Calibrare_Linii'!J7&lt;='Input_Meci'!G18))),"OOS PENDING",IF(S175&lt;='Calibrare_Linii'!E7,"PASS",IF(S175&lt;='Calibrare_Linii'!F7,"PENALTY","WATCH"))))))</x:f>
      </x:c>
      <x:c r="X175" s="2" t="str">
        <x:f>IF(M175="","",IF(AND(AND(J175="PASS",'Calibrare_Linii'!U7="VALID"),'Motor_Meciuri'!K18=12,'Motor_Meciuri'!L18=12,'Motor_Meciuri'!M18="NO",'Motor_Meciuri'!BL18='Motor_Meciuri'!C18,AB175&gt;='Config_v6'!$B$50,AN175&gt;='Config_v6'!$B$51,T175&lt;='Config_v6'!$B$52,L175&lt;='Config_v6'!$B$53,ISNUMBER('Calibrare_Linii'!E7),S175&lt;='Calibrare_Linii'!E7,SUM(AK175:AM175)&gt;0),"CANDIDATE","NO"))</x:f>
      </x:c>
      <x:c r="Y175" s="2" t="str">
        <x:f>IF(B175="","",IF(I175&lt;&gt;"READY","NOT RELEASED",IF(AND(X175="CANDIDATE",V175&gt;='Config_v6'!$B$51,W175="PASS",'Calibrare_Linii'!T7="VALIDATED",AND('Calibrare_Linii'!H7=C175,ISNUMBER('Calibrare_Linii'!J7),'Calibrare_Linii'!J7&lt;='Input_Meci'!G18)),"PASS",IF(X175="CANDIDATE","OOS PENDING","FAIL"))))</x:f>
      </x:c>
      <x:c r="Z175" s="2" t="str">
        <x:f>IF(B175="","",IF(I175&lt;&gt;"READY","",IF(OR(NOT(AND(J175="PASS",'Calibrare_Linii'!U7="VALID")),L175&gt;'Config_v6'!$B$13,W175="WATCH"),5,IF(Y175="PASS",1,MIN(5,MAX('Config_v6'!$B$42,U175)+IF(W175="PENALTY",1,0))))))</x:f>
      </x:c>
      <x:c r="AA175" s="2" t="str">
        <x:f>IF(B175="","",IF(I175&lt;&gt;"READY","NOT RELEASED",IF(Z175=5,"NO BET",IF(OR(AB175&lt;'Config_v6'!$B$16,V175&lt;'Config_v6'!$B$18),"WATCH",IF(Z175=1,"DEFENSIV",IF(Z175=2,"PRUDENT",IF(Z175=3,"MODERAT","RIDICAT")))))))</x:f>
      </x:c>
      <x:c r="AB175" s="10" t="str">
        <x:f>IF(N175="","",MIN(N175,1-S175))</x:f>
      </x:c>
      <x:c r="AC175" s="2" t="str">
        <x:f>IF(AD175&lt;&gt;1,"",COUNTIFS($Z$174:$Z$187,"&lt;"&amp;Z175,$AD$174:$AD$187,1)+COUNTIFS($Z$174:$Z$187,Z175,$AB$174:$AB$187,"&gt;"&amp;AB175,$AD$174:$AD$187,1)+COUNTIFS($Z$174:$Z$187,Z175,$AB$174:$AB$187,AB175,$V$174:$V$187,"&gt;"&amp;V175,$AD$174:$AD$187,1)+COUNTIFS($Z$174:Z175,Z175,$AB$174:AB175,AB175,$V$174:V175,V175,$AD$174:AD175,1))</x:f>
      </x:c>
      <x:c r="AD175" s="2" t="n">
        <x:f>IF(OR(AA175="DEFENSIV",AA175="PRUDENT",AA175="MODERAT",AA175="RIDICAT"),1,0)</x:f>
        <x:v>0</x:v>
      </x:c>
      <x:c r="AE175" s="2" t="str">
        <x:f>IF(AD175&lt;&gt;1,"NO",IF(W175="PASS","YES",IF(W175="OOS PENDING","CONDITIONAL","NO")))</x:f>
        <x:v>NO</x:v>
      </x:c>
      <x:c r="AF175" s="2" t="n">
        <x:f>IF(AND(AD175=1,AC175=1,E175="LIVE"),1,0)</x:f>
        <x:v>0</x:v>
      </x:c>
      <x:c r="AG175" s="2" t="str">
        <x:f>IF(AF175&lt;&gt;1,"",'Dashboard'!P38)</x:f>
      </x:c>
      <x:c r="AH175" s="2" t="str">
        <x:f>IF(B175="","",IF(J175&lt;&gt;"PASS",'Motor_Meciuri'!J18,IF('Calibrare_Linii'!U7&lt;&gt;"VALID","Parametri linie invalizi",IF(L175&gt;'Config_v6'!$B$13,"Dispersie peste limita",IF(W175="WATCH","Failure peste limita",IF(AB175&lt;'Config_v6'!$B$16,"P finala sub prag",IF(V175&lt;'Config_v6'!$B$18,"Confidence sub prag",IF(E175="REPLAY","Exemplu retrospectiv; exclus din Top LIVE",IF(Y175="PASS","DEFENSIV validat",IF(W175="OOS PENDING","Eligibil; calibrare linie in monitorizare","Eligibil"))))))))))</x:f>
      </x:c>
      <x:c r="AI175" s="2" t="str">
        <x:f>IF(B175="","",'Calibrare_Linii'!V7)</x:f>
      </x:c>
      <x:c r="AJ175" s="2" t="str">
        <x:f>IF(B175="","",IF(AND('Calibrare_Linii'!T7="VALIDATED",AND('Calibrare_Linii'!H7=C175,ISNUMBER('Calibrare_Linii'!J7),'Calibrare_Linii'!J7&lt;='Input_Meci'!G18)),"DEFENSIVE VALIDATED",IF(AND('Calibrare_Linii'!S7="VALIDATED",AND('Calibrare_Linii'!H7=C175,ISNUMBER('Calibrare_Linii'!J7),'Calibrare_Linii'!J7&lt;='Input_Meci'!G18)),"TAIL VALIDATED","OOS PENDING")))</x:f>
      </x:c>
      <x:c r="AK175" s="2" t="n">
        <x:f>IF(J175&lt;&gt;"PASS",0,'Motor_Meciuri'!BR18)</x:f>
        <x:v>0</x:v>
      </x:c>
      <x:c r="AL175" s="2" t="n">
        <x:f>IF(J175&lt;&gt;"PASS",0,'Motor_Meciuri'!BS18)</x:f>
        <x:v>0</x:v>
      </x:c>
      <x:c r="AM175" s="2" t="n">
        <x:f>IF(J175&lt;&gt;"PASS",0,'Motor_Meciuri'!BT18)</x:f>
        <x:v>0</x:v>
      </x:c>
      <x:c r="AN175" s="2" t="str">
        <x:f>IF(M175="","",MAX(0,'Motor_Meciuri'!BF18-IF(L175&gt;'Config_v6'!$B$12,'Config_v6'!$B$37,IF(L175&gt;'Config_v6'!$B$11,'Config_v6'!$B$36,0))))</x:f>
      </x:c>
    </x:row>
    <x:row r="176" ht="21" customHeight="1">
      <x:c r="A176" s="2" t="n">
        <x:v>13</x:v>
      </x:c>
      <x:c r="B176" s="2" t="str">
        <x:f>IF('Motor_Meciuri'!A18="","",'Motor_Meciuri'!A18)</x:f>
      </x:c>
      <x:c r="C176" s="2" t="str">
        <x:f>IF(B176="","",'Motor_Meciuri'!B18)</x:f>
      </x:c>
      <x:c r="D176" s="2" t="str">
        <x:f>IF(B176="","",'Motor_Meciuri'!D18)</x:f>
      </x:c>
      <x:c r="E176" s="2" t="str">
        <x:f>IF(B176="","",'Motor_Meciuri'!E18)</x:f>
      </x:c>
      <x:c r="F176" s="2" t="str">
        <x:v>O5,5</x:v>
      </x:c>
      <x:c r="G176" s="2" t="str">
        <x:v>OVER</x:v>
      </x:c>
      <x:c r="H176" s="2" t="n">
        <x:v>5</x:v>
      </x:c>
      <x:c r="I176" s="2" t="str">
        <x:f>IF(B176="","",'Motor_Meciuri'!H18)</x:f>
      </x:c>
      <x:c r="J176" s="2" t="str">
        <x:f>IF(B176="","",'Motor_Meciuri'!I18)</x:f>
      </x:c>
      <x:c r="K176" s="11" t="str">
        <x:f>IF(J176&lt;&gt;"PASS","",'Motor_Meciuri'!BD18)</x:f>
      </x:c>
      <x:c r="L176" s="11" t="str">
        <x:f>IF(J176&lt;&gt;"PASS","",'Motor_Meciuri'!AU18)</x:f>
      </x:c>
      <x:c r="M176" s="10" t="str">
        <x:f>IF(NOT(AND(J176="PASS",'Calibrare_Linii'!U8="VALID")),"",1-'Distributie'!AC18)</x:f>
      </x:c>
      <x:c r="N176" s="10" t="str">
        <x:f>IF(M176="","",MAX(0.01,MIN(0.99,0.5+(M176-0.5)*'Motor_Meciuri'!BG18*'Calibrare_Linii'!D8)))</x:f>
      </x:c>
      <x:c r="O176" s="10" t="str">
        <x:f>IF(M176="","",1-M176)</x:f>
      </x:c>
      <x:c r="P176" s="10" t="str">
        <x:f>IF(OR(NOT(AND(J176="PASS",'Calibrare_Linii'!U8="VALID")),AK176=0),""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*('Istoric_Nativ'!$Q$6:$Q$405&lt;=H176))/AK176)</x:f>
      </x:c>
      <x:c r="Q176" s="10" t="str">
        <x:f>IF(OR(NOT(AND(J176="PASS",'Calibrare_Linii'!U8="VALID")),AL176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M18)+((('Istoric_Nativ'!$E$6:$E$405='Input_Meci'!E18)+('Istoric_Nativ'!$F$6:$F$405='Input_Meci'!E18))&gt;0)*('Istoric_Nativ'!$D$6:$D$405&gt;='Motor_Meciuri'!BN18))&gt;0)*('Istoric_Nativ'!$Q$6:$Q$405&lt;=H176))/AL176)</x:f>
      </x:c>
      <x:c r="R176" s="10" t="str">
        <x:f>IF(OR(NOT(AND(J176="PASS",'Calibrare_Linii'!U8="VALID")),AM176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O18)+((('Istoric_Nativ'!$E$6:$E$405='Input_Meci'!E18)+('Istoric_Nativ'!$F$6:$F$405='Input_Meci'!E18))&gt;0)*('Istoric_Nativ'!$D$6:$D$405&gt;='Motor_Meciuri'!BP18))&gt;0)*('Istoric_Nativ'!$Q$6:$Q$405&lt;=H176))/AM176)</x:f>
      </x:c>
      <x:c r="S176" s="10" t="str">
        <x:f>IF(M176="","",MAX(O176,P176,Q176,R176))</x:f>
      </x:c>
      <x:c r="T176" s="11" t="str">
        <x:f>IF(M176="","",MIN(100,S176*100*'Config_v6'!$B$44+MIN(100,L176/'Config_v6'!$B$13*100)*'Config_v6'!$B$45+(100-'Motor_Meciuri'!BF18)*'Config_v6'!$B$46+'Motor_Meciuri'!BH18*100*'Config_v6'!$B$47))</x:f>
      </x:c>
      <x:c r="U176" s="2" t="str">
        <x:f>IF(T176="","",IF(T176&lt;=20,1,IF(T176&lt;=40,2,IF(T176&lt;=60,3,IF(T176&lt;=80,4,5)))))</x:f>
      </x:c>
      <x:c r="V176" s="2" t="str">
        <x:f>IF(M176="","",MAX(0,'Motor_Meciuri'!BF18-IF(W176="OOS PENDING",'Config_v6'!$B$35,0)-IF(L176&gt;'Config_v6'!$B$12,'Config_v6'!$B$37,IF(L176&gt;'Config_v6'!$B$11,'Config_v6'!$B$36,0))))</x:f>
      </x:c>
      <x:c r="W176" s="2" t="str">
        <x:f>IF(B176="","",IF(I176&lt;&gt;"READY","NOT RELEASED",IF(NOT(AND(J176="PASS",'Calibrare_Linii'!U8="VALID")),"INVALID",IF(NOT(AND('Calibrare_Linii'!S8="VALIDATED",AND('Calibrare_Linii'!H8=C176,ISNUMBER('Calibrare_Linii'!J8),'Calibrare_Linii'!J8&lt;='Input_Meci'!G18))),"OOS PENDING",IF(S176&lt;='Calibrare_Linii'!E8,"PASS",IF(S176&lt;='Calibrare_Linii'!F8,"PENALTY","WATCH"))))))</x:f>
      </x:c>
      <x:c r="X176" s="2" t="str">
        <x:f>IF(M176="","",IF(AND(AND(J176="PASS",'Calibrare_Linii'!U8="VALID"),'Motor_Meciuri'!K18=12,'Motor_Meciuri'!L18=12,'Motor_Meciuri'!M18="NO",'Motor_Meciuri'!BL18='Motor_Meciuri'!C18,AB176&gt;='Config_v6'!$B$50,AN176&gt;='Config_v6'!$B$51,T176&lt;='Config_v6'!$B$52,L176&lt;='Config_v6'!$B$53,ISNUMBER('Calibrare_Linii'!E8),S176&lt;='Calibrare_Linii'!E8,SUM(AK176:AM176)&gt;0),"CANDIDATE","NO"))</x:f>
      </x:c>
      <x:c r="Y176" s="2" t="str">
        <x:f>IF(B176="","",IF(I176&lt;&gt;"READY","NOT RELEASED",IF(AND(X176="CANDIDATE",V176&gt;='Config_v6'!$B$51,W176="PASS",'Calibrare_Linii'!T8="VALIDATED",AND('Calibrare_Linii'!H8=C176,ISNUMBER('Calibrare_Linii'!J8),'Calibrare_Linii'!J8&lt;='Input_Meci'!G18)),"PASS",IF(X176="CANDIDATE","OOS PENDING","FAIL"))))</x:f>
      </x:c>
      <x:c r="Z176" s="2" t="str">
        <x:f>IF(B176="","",IF(I176&lt;&gt;"READY","",IF(OR(NOT(AND(J176="PASS",'Calibrare_Linii'!U8="VALID")),L176&gt;'Config_v6'!$B$13,W176="WATCH"),5,IF(Y176="PASS",1,MIN(5,MAX('Config_v6'!$B$42,U176)+IF(W176="PENALTY",1,0))))))</x:f>
      </x:c>
      <x:c r="AA176" s="2" t="str">
        <x:f>IF(B176="","",IF(I176&lt;&gt;"READY","NOT RELEASED",IF(Z176=5,"NO BET",IF(OR(AB176&lt;'Config_v6'!$B$16,V176&lt;'Config_v6'!$B$18),"WATCH",IF(Z176=1,"DEFENSIV",IF(Z176=2,"PRUDENT",IF(Z176=3,"MODERAT","RIDICAT")))))))</x:f>
      </x:c>
      <x:c r="AB176" s="10" t="str">
        <x:f>IF(N176="","",MIN(N176,1-S176))</x:f>
      </x:c>
      <x:c r="AC176" s="2" t="str">
        <x:f>IF(AD176&lt;&gt;1,"",COUNTIFS($Z$174:$Z$187,"&lt;"&amp;Z176,$AD$174:$AD$187,1)+COUNTIFS($Z$174:$Z$187,Z176,$AB$174:$AB$187,"&gt;"&amp;AB176,$AD$174:$AD$187,1)+COUNTIFS($Z$174:$Z$187,Z176,$AB$174:$AB$187,AB176,$V$174:$V$187,"&gt;"&amp;V176,$AD$174:$AD$187,1)+COUNTIFS($Z$174:Z176,Z176,$AB$174:AB176,AB176,$V$174:V176,V176,$AD$174:AD176,1))</x:f>
      </x:c>
      <x:c r="AD176" s="2" t="n">
        <x:f>IF(OR(AA176="DEFENSIV",AA176="PRUDENT",AA176="MODERAT",AA176="RIDICAT"),1,0)</x:f>
        <x:v>0</x:v>
      </x:c>
      <x:c r="AE176" s="2" t="str">
        <x:f>IF(AD176&lt;&gt;1,"NO",IF(W176="PASS","YES",IF(W176="OOS PENDING","CONDITIONAL","NO")))</x:f>
        <x:v>NO</x:v>
      </x:c>
      <x:c r="AF176" s="2" t="n">
        <x:f>IF(AND(AD176=1,AC176=1,E176="LIVE"),1,0)</x:f>
        <x:v>0</x:v>
      </x:c>
      <x:c r="AG176" s="2" t="str">
        <x:f>IF(AF176&lt;&gt;1,"",'Dashboard'!P38)</x:f>
      </x:c>
      <x:c r="AH176" s="2" t="str">
        <x:f>IF(B176="","",IF(J176&lt;&gt;"PASS",'Motor_Meciuri'!J18,IF('Calibrare_Linii'!U8&lt;&gt;"VALID","Parametri linie invalizi",IF(L176&gt;'Config_v6'!$B$13,"Dispersie peste limita",IF(W176="WATCH","Failure peste limita",IF(AB176&lt;'Config_v6'!$B$16,"P finala sub prag",IF(V176&lt;'Config_v6'!$B$18,"Confidence sub prag",IF(E176="REPLAY","Exemplu retrospectiv; exclus din Top LIVE",IF(Y176="PASS","DEFENSIV validat",IF(W176="OOS PENDING","Eligibil; calibrare linie in monitorizare","Eligibil"))))))))))</x:f>
      </x:c>
      <x:c r="AI176" s="2" t="str">
        <x:f>IF(B176="","",'Calibrare_Linii'!V8)</x:f>
      </x:c>
      <x:c r="AJ176" s="2" t="str">
        <x:f>IF(B176="","",IF(AND('Calibrare_Linii'!T8="VALIDATED",AND('Calibrare_Linii'!H8=C176,ISNUMBER('Calibrare_Linii'!J8),'Calibrare_Linii'!J8&lt;='Input_Meci'!G18)),"DEFENSIVE VALIDATED",IF(AND('Calibrare_Linii'!S8="VALIDATED",AND('Calibrare_Linii'!H8=C176,ISNUMBER('Calibrare_Linii'!J8),'Calibrare_Linii'!J8&lt;='Input_Meci'!G18)),"TAIL VALIDATED","OOS PENDING")))</x:f>
      </x:c>
      <x:c r="AK176" s="2" t="n">
        <x:f>IF(J176&lt;&gt;"PASS",0,'Motor_Meciuri'!BR18)</x:f>
        <x:v>0</x:v>
      </x:c>
      <x:c r="AL176" s="2" t="n">
        <x:f>IF(J176&lt;&gt;"PASS",0,'Motor_Meciuri'!BS18)</x:f>
        <x:v>0</x:v>
      </x:c>
      <x:c r="AM176" s="2" t="n">
        <x:f>IF(J176&lt;&gt;"PASS",0,'Motor_Meciuri'!BT18)</x:f>
        <x:v>0</x:v>
      </x:c>
      <x:c r="AN176" s="2" t="str">
        <x:f>IF(M176="","",MAX(0,'Motor_Meciuri'!BF18-IF(L176&gt;'Config_v6'!$B$12,'Config_v6'!$B$37,IF(L176&gt;'Config_v6'!$B$11,'Config_v6'!$B$36,0))))</x:f>
      </x:c>
    </x:row>
    <x:row r="177" ht="21" customHeight="1">
      <x:c r="A177" s="2" t="n">
        <x:v>13</x:v>
      </x:c>
      <x:c r="B177" s="2" t="str">
        <x:f>IF('Motor_Meciuri'!A18="","",'Motor_Meciuri'!A18)</x:f>
      </x:c>
      <x:c r="C177" s="2" t="str">
        <x:f>IF(B177="","",'Motor_Meciuri'!B18)</x:f>
      </x:c>
      <x:c r="D177" s="2" t="str">
        <x:f>IF(B177="","",'Motor_Meciuri'!D18)</x:f>
      </x:c>
      <x:c r="E177" s="2" t="str">
        <x:f>IF(B177="","",'Motor_Meciuri'!E18)</x:f>
      </x:c>
      <x:c r="F177" s="2" t="str">
        <x:v>O6,5</x:v>
      </x:c>
      <x:c r="G177" s="2" t="str">
        <x:v>OVER</x:v>
      </x:c>
      <x:c r="H177" s="2" t="n">
        <x:v>6</x:v>
      </x:c>
      <x:c r="I177" s="2" t="str">
        <x:f>IF(B177="","",'Motor_Meciuri'!H18)</x:f>
      </x:c>
      <x:c r="J177" s="2" t="str">
        <x:f>IF(B177="","",'Motor_Meciuri'!I18)</x:f>
      </x:c>
      <x:c r="K177" s="11" t="str">
        <x:f>IF(J177&lt;&gt;"PASS","",'Motor_Meciuri'!BD18)</x:f>
      </x:c>
      <x:c r="L177" s="11" t="str">
        <x:f>IF(J177&lt;&gt;"PASS","",'Motor_Meciuri'!AU18)</x:f>
      </x:c>
      <x:c r="M177" s="10" t="str">
        <x:f>IF(NOT(AND(J177="PASS",'Calibrare_Linii'!U9="VALID")),"",1-'Distributie'!AD18)</x:f>
      </x:c>
      <x:c r="N177" s="10" t="str">
        <x:f>IF(M177="","",MAX(0.01,MIN(0.99,0.5+(M177-0.5)*'Motor_Meciuri'!BG18*'Calibrare_Linii'!D9)))</x:f>
      </x:c>
      <x:c r="O177" s="10" t="str">
        <x:f>IF(M177="","",1-M177)</x:f>
      </x:c>
      <x:c r="P177" s="10" t="str">
        <x:f>IF(OR(NOT(AND(J177="PASS",'Calibrare_Linii'!U9="VALID")),AK177=0),""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*('Istoric_Nativ'!$Q$6:$Q$405&lt;=H177))/AK177)</x:f>
      </x:c>
      <x:c r="Q177" s="10" t="str">
        <x:f>IF(OR(NOT(AND(J177="PASS",'Calibrare_Linii'!U9="VALID")),AL177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M18)+((('Istoric_Nativ'!$E$6:$E$405='Input_Meci'!E18)+('Istoric_Nativ'!$F$6:$F$405='Input_Meci'!E18))&gt;0)*('Istoric_Nativ'!$D$6:$D$405&gt;='Motor_Meciuri'!BN18))&gt;0)*('Istoric_Nativ'!$Q$6:$Q$405&lt;=H177))/AL177)</x:f>
      </x:c>
      <x:c r="R177" s="10" t="str">
        <x:f>IF(OR(NOT(AND(J177="PASS",'Calibrare_Linii'!U9="VALID")),AM177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O18)+((('Istoric_Nativ'!$E$6:$E$405='Input_Meci'!E18)+('Istoric_Nativ'!$F$6:$F$405='Input_Meci'!E18))&gt;0)*('Istoric_Nativ'!$D$6:$D$405&gt;='Motor_Meciuri'!BP18))&gt;0)*('Istoric_Nativ'!$Q$6:$Q$405&lt;=H177))/AM177)</x:f>
      </x:c>
      <x:c r="S177" s="10" t="str">
        <x:f>IF(M177="","",MAX(O177,P177,Q177,R177))</x:f>
      </x:c>
      <x:c r="T177" s="11" t="str">
        <x:f>IF(M177="","",MIN(100,S177*100*'Config_v6'!$B$44+MIN(100,L177/'Config_v6'!$B$13*100)*'Config_v6'!$B$45+(100-'Motor_Meciuri'!BF18)*'Config_v6'!$B$46+'Motor_Meciuri'!BH18*100*'Config_v6'!$B$47))</x:f>
      </x:c>
      <x:c r="U177" s="2" t="str">
        <x:f>IF(T177="","",IF(T177&lt;=20,1,IF(T177&lt;=40,2,IF(T177&lt;=60,3,IF(T177&lt;=80,4,5)))))</x:f>
      </x:c>
      <x:c r="V177" s="2" t="str">
        <x:f>IF(M177="","",MAX(0,'Motor_Meciuri'!BF18-IF(W177="OOS PENDING",'Config_v6'!$B$35,0)-IF(L177&gt;'Config_v6'!$B$12,'Config_v6'!$B$37,IF(L177&gt;'Config_v6'!$B$11,'Config_v6'!$B$36,0))))</x:f>
      </x:c>
      <x:c r="W177" s="2" t="str">
        <x:f>IF(B177="","",IF(I177&lt;&gt;"READY","NOT RELEASED",IF(NOT(AND(J177="PASS",'Calibrare_Linii'!U9="VALID")),"INVALID",IF(NOT(AND('Calibrare_Linii'!S9="VALIDATED",AND('Calibrare_Linii'!H9=C177,ISNUMBER('Calibrare_Linii'!J9),'Calibrare_Linii'!J9&lt;='Input_Meci'!G18))),"OOS PENDING",IF(S177&lt;='Calibrare_Linii'!E9,"PASS",IF(S177&lt;='Calibrare_Linii'!F9,"PENALTY","WATCH"))))))</x:f>
      </x:c>
      <x:c r="X177" s="2" t="str">
        <x:f>IF(M177="","",IF(AND(AND(J177="PASS",'Calibrare_Linii'!U9="VALID"),'Motor_Meciuri'!K18=12,'Motor_Meciuri'!L18=12,'Motor_Meciuri'!M18="NO",'Motor_Meciuri'!BL18='Motor_Meciuri'!C18,AB177&gt;='Config_v6'!$B$50,AN177&gt;='Config_v6'!$B$51,T177&lt;='Config_v6'!$B$52,L177&lt;='Config_v6'!$B$53,ISNUMBER('Calibrare_Linii'!E9),S177&lt;='Calibrare_Linii'!E9,SUM(AK177:AM177)&gt;0),"CANDIDATE","NO"))</x:f>
      </x:c>
      <x:c r="Y177" s="2" t="str">
        <x:f>IF(B177="","",IF(I177&lt;&gt;"READY","NOT RELEASED",IF(AND(X177="CANDIDATE",V177&gt;='Config_v6'!$B$51,W177="PASS",'Calibrare_Linii'!T9="VALIDATED",AND('Calibrare_Linii'!H9=C177,ISNUMBER('Calibrare_Linii'!J9),'Calibrare_Linii'!J9&lt;='Input_Meci'!G18)),"PASS",IF(X177="CANDIDATE","OOS PENDING","FAIL"))))</x:f>
      </x:c>
      <x:c r="Z177" s="2" t="str">
        <x:f>IF(B177="","",IF(I177&lt;&gt;"READY","",IF(OR(NOT(AND(J177="PASS",'Calibrare_Linii'!U9="VALID")),L177&gt;'Config_v6'!$B$13,W177="WATCH"),5,IF(Y177="PASS",1,MIN(5,MAX('Config_v6'!$B$42,U177)+IF(W177="PENALTY",1,0))))))</x:f>
      </x:c>
      <x:c r="AA177" s="2" t="str">
        <x:f>IF(B177="","",IF(I177&lt;&gt;"READY","NOT RELEASED",IF(Z177=5,"NO BET",IF(OR(AB177&lt;'Config_v6'!$B$16,V177&lt;'Config_v6'!$B$18),"WATCH",IF(Z177=1,"DEFENSIV",IF(Z177=2,"PRUDENT",IF(Z177=3,"MODERAT","RIDICAT")))))))</x:f>
      </x:c>
      <x:c r="AB177" s="10" t="str">
        <x:f>IF(N177="","",MIN(N177,1-S177))</x:f>
      </x:c>
      <x:c r="AC177" s="2" t="str">
        <x:f>IF(AD177&lt;&gt;1,"",COUNTIFS($Z$174:$Z$187,"&lt;"&amp;Z177,$AD$174:$AD$187,1)+COUNTIFS($Z$174:$Z$187,Z177,$AB$174:$AB$187,"&gt;"&amp;AB177,$AD$174:$AD$187,1)+COUNTIFS($Z$174:$Z$187,Z177,$AB$174:$AB$187,AB177,$V$174:$V$187,"&gt;"&amp;V177,$AD$174:$AD$187,1)+COUNTIFS($Z$174:Z177,Z177,$AB$174:AB177,AB177,$V$174:V177,V177,$AD$174:AD177,1))</x:f>
      </x:c>
      <x:c r="AD177" s="2" t="n">
        <x:f>IF(OR(AA177="DEFENSIV",AA177="PRUDENT",AA177="MODERAT",AA177="RIDICAT"),1,0)</x:f>
        <x:v>0</x:v>
      </x:c>
      <x:c r="AE177" s="2" t="str">
        <x:f>IF(AD177&lt;&gt;1,"NO",IF(W177="PASS","YES",IF(W177="OOS PENDING","CONDITIONAL","NO")))</x:f>
        <x:v>NO</x:v>
      </x:c>
      <x:c r="AF177" s="2" t="n">
        <x:f>IF(AND(AD177=1,AC177=1,E177="LIVE"),1,0)</x:f>
        <x:v>0</x:v>
      </x:c>
      <x:c r="AG177" s="2" t="str">
        <x:f>IF(AF177&lt;&gt;1,"",'Dashboard'!P38)</x:f>
      </x:c>
      <x:c r="AH177" s="2" t="str">
        <x:f>IF(B177="","",IF(J177&lt;&gt;"PASS",'Motor_Meciuri'!J18,IF('Calibrare_Linii'!U9&lt;&gt;"VALID","Parametri linie invalizi",IF(L177&gt;'Config_v6'!$B$13,"Dispersie peste limita",IF(W177="WATCH","Failure peste limita",IF(AB177&lt;'Config_v6'!$B$16,"P finala sub prag",IF(V177&lt;'Config_v6'!$B$18,"Confidence sub prag",IF(E177="REPLAY","Exemplu retrospectiv; exclus din Top LIVE",IF(Y177="PASS","DEFENSIV validat",IF(W177="OOS PENDING","Eligibil; calibrare linie in monitorizare","Eligibil"))))))))))</x:f>
      </x:c>
      <x:c r="AI177" s="2" t="str">
        <x:f>IF(B177="","",'Calibrare_Linii'!V9)</x:f>
      </x:c>
      <x:c r="AJ177" s="2" t="str">
        <x:f>IF(B177="","",IF(AND('Calibrare_Linii'!T9="VALIDATED",AND('Calibrare_Linii'!H9=C177,ISNUMBER('Calibrare_Linii'!J9),'Calibrare_Linii'!J9&lt;='Input_Meci'!G18)),"DEFENSIVE VALIDATED",IF(AND('Calibrare_Linii'!S9="VALIDATED",AND('Calibrare_Linii'!H9=C177,ISNUMBER('Calibrare_Linii'!J9),'Calibrare_Linii'!J9&lt;='Input_Meci'!G18)),"TAIL VALIDATED","OOS PENDING")))</x:f>
      </x:c>
      <x:c r="AK177" s="2" t="n">
        <x:f>IF(J177&lt;&gt;"PASS",0,'Motor_Meciuri'!BR18)</x:f>
        <x:v>0</x:v>
      </x:c>
      <x:c r="AL177" s="2" t="n">
        <x:f>IF(J177&lt;&gt;"PASS",0,'Motor_Meciuri'!BS18)</x:f>
        <x:v>0</x:v>
      </x:c>
      <x:c r="AM177" s="2" t="n">
        <x:f>IF(J177&lt;&gt;"PASS",0,'Motor_Meciuri'!BT18)</x:f>
        <x:v>0</x:v>
      </x:c>
      <x:c r="AN177" s="2" t="str">
        <x:f>IF(M177="","",MAX(0,'Motor_Meciuri'!BF18-IF(L177&gt;'Config_v6'!$B$12,'Config_v6'!$B$37,IF(L177&gt;'Config_v6'!$B$11,'Config_v6'!$B$36,0))))</x:f>
      </x:c>
    </x:row>
    <x:row r="178" ht="21" customHeight="1">
      <x:c r="A178" s="2" t="n">
        <x:v>13</x:v>
      </x:c>
      <x:c r="B178" s="2" t="str">
        <x:f>IF('Motor_Meciuri'!A18="","",'Motor_Meciuri'!A18)</x:f>
      </x:c>
      <x:c r="C178" s="2" t="str">
        <x:f>IF(B178="","",'Motor_Meciuri'!B18)</x:f>
      </x:c>
      <x:c r="D178" s="2" t="str">
        <x:f>IF(B178="","",'Motor_Meciuri'!D18)</x:f>
      </x:c>
      <x:c r="E178" s="2" t="str">
        <x:f>IF(B178="","",'Motor_Meciuri'!E18)</x:f>
      </x:c>
      <x:c r="F178" s="2" t="str">
        <x:v>O7,5</x:v>
      </x:c>
      <x:c r="G178" s="2" t="str">
        <x:v>OVER</x:v>
      </x:c>
      <x:c r="H178" s="2" t="n">
        <x:v>7</x:v>
      </x:c>
      <x:c r="I178" s="2" t="str">
        <x:f>IF(B178="","",'Motor_Meciuri'!H18)</x:f>
      </x:c>
      <x:c r="J178" s="2" t="str">
        <x:f>IF(B178="","",'Motor_Meciuri'!I18)</x:f>
      </x:c>
      <x:c r="K178" s="11" t="str">
        <x:f>IF(J178&lt;&gt;"PASS","",'Motor_Meciuri'!BD18)</x:f>
      </x:c>
      <x:c r="L178" s="11" t="str">
        <x:f>IF(J178&lt;&gt;"PASS","",'Motor_Meciuri'!AU18)</x:f>
      </x:c>
      <x:c r="M178" s="10" t="str">
        <x:f>IF(NOT(AND(J178="PASS",'Calibrare_Linii'!U10="VALID")),"",1-'Distributie'!AE18)</x:f>
      </x:c>
      <x:c r="N178" s="10" t="str">
        <x:f>IF(M178="","",MAX(0.01,MIN(0.99,0.5+(M178-0.5)*'Motor_Meciuri'!BG18*'Calibrare_Linii'!D10)))</x:f>
      </x:c>
      <x:c r="O178" s="10" t="str">
        <x:f>IF(M178="","",1-M178)</x:f>
      </x:c>
      <x:c r="P178" s="10" t="str">
        <x:f>IF(OR(NOT(AND(J178="PASS",'Calibrare_Linii'!U10="VALID")),AK178=0),""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*('Istoric_Nativ'!$Q$6:$Q$405&lt;=H178))/AK178)</x:f>
      </x:c>
      <x:c r="Q178" s="10" t="str">
        <x:f>IF(OR(NOT(AND(J178="PASS",'Calibrare_Linii'!U10="VALID")),AL178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M18)+((('Istoric_Nativ'!$E$6:$E$405='Input_Meci'!E18)+('Istoric_Nativ'!$F$6:$F$405='Input_Meci'!E18))&gt;0)*('Istoric_Nativ'!$D$6:$D$405&gt;='Motor_Meciuri'!BN18))&gt;0)*('Istoric_Nativ'!$Q$6:$Q$405&lt;=H178))/AL178)</x:f>
      </x:c>
      <x:c r="R178" s="10" t="str">
        <x:f>IF(OR(NOT(AND(J178="PASS",'Calibrare_Linii'!U10="VALID")),AM178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O18)+((('Istoric_Nativ'!$E$6:$E$405='Input_Meci'!E18)+('Istoric_Nativ'!$F$6:$F$405='Input_Meci'!E18))&gt;0)*('Istoric_Nativ'!$D$6:$D$405&gt;='Motor_Meciuri'!BP18))&gt;0)*('Istoric_Nativ'!$Q$6:$Q$405&lt;=H178))/AM178)</x:f>
      </x:c>
      <x:c r="S178" s="10" t="str">
        <x:f>IF(M178="","",MAX(O178,P178,Q178,R178))</x:f>
      </x:c>
      <x:c r="T178" s="11" t="str">
        <x:f>IF(M178="","",MIN(100,S178*100*'Config_v6'!$B$44+MIN(100,L178/'Config_v6'!$B$13*100)*'Config_v6'!$B$45+(100-'Motor_Meciuri'!BF18)*'Config_v6'!$B$46+'Motor_Meciuri'!BH18*100*'Config_v6'!$B$47))</x:f>
      </x:c>
      <x:c r="U178" s="2" t="str">
        <x:f>IF(T178="","",IF(T178&lt;=20,1,IF(T178&lt;=40,2,IF(T178&lt;=60,3,IF(T178&lt;=80,4,5)))))</x:f>
      </x:c>
      <x:c r="V178" s="2" t="str">
        <x:f>IF(M178="","",MAX(0,'Motor_Meciuri'!BF18-IF(W178="OOS PENDING",'Config_v6'!$B$35,0)-IF(L178&gt;'Config_v6'!$B$12,'Config_v6'!$B$37,IF(L178&gt;'Config_v6'!$B$11,'Config_v6'!$B$36,0))))</x:f>
      </x:c>
      <x:c r="W178" s="2" t="str">
        <x:f>IF(B178="","",IF(I178&lt;&gt;"READY","NOT RELEASED",IF(NOT(AND(J178="PASS",'Calibrare_Linii'!U10="VALID")),"INVALID",IF(NOT(AND('Calibrare_Linii'!S10="VALIDATED",AND('Calibrare_Linii'!H10=C178,ISNUMBER('Calibrare_Linii'!J10),'Calibrare_Linii'!J10&lt;='Input_Meci'!G18))),"OOS PENDING",IF(S178&lt;='Calibrare_Linii'!E10,"PASS",IF(S178&lt;='Calibrare_Linii'!F10,"PENALTY","WATCH"))))))</x:f>
      </x:c>
      <x:c r="X178" s="2" t="str">
        <x:f>IF(M178="","",IF(AND(AND(J178="PASS",'Calibrare_Linii'!U10="VALID"),'Motor_Meciuri'!K18=12,'Motor_Meciuri'!L18=12,'Motor_Meciuri'!M18="NO",'Motor_Meciuri'!BL18='Motor_Meciuri'!C18,AB178&gt;='Config_v6'!$B$50,AN178&gt;='Config_v6'!$B$51,T178&lt;='Config_v6'!$B$52,L178&lt;='Config_v6'!$B$53,ISNUMBER('Calibrare_Linii'!E10),S178&lt;='Calibrare_Linii'!E10,SUM(AK178:AM178)&gt;0),"CANDIDATE","NO"))</x:f>
      </x:c>
      <x:c r="Y178" s="2" t="str">
        <x:f>IF(B178="","",IF(I178&lt;&gt;"READY","NOT RELEASED",IF(AND(X178="CANDIDATE",V178&gt;='Config_v6'!$B$51,W178="PASS",'Calibrare_Linii'!T10="VALIDATED",AND('Calibrare_Linii'!H10=C178,ISNUMBER('Calibrare_Linii'!J10),'Calibrare_Linii'!J10&lt;='Input_Meci'!G18)),"PASS",IF(X178="CANDIDATE","OOS PENDING","FAIL"))))</x:f>
      </x:c>
      <x:c r="Z178" s="2" t="str">
        <x:f>IF(B178="","",IF(I178&lt;&gt;"READY","",IF(OR(NOT(AND(J178="PASS",'Calibrare_Linii'!U10="VALID")),L178&gt;'Config_v6'!$B$13,W178="WATCH"),5,IF(Y178="PASS",1,MIN(5,MAX('Config_v6'!$B$42,U178)+IF(W178="PENALTY",1,0))))))</x:f>
      </x:c>
      <x:c r="AA178" s="2" t="str">
        <x:f>IF(B178="","",IF(I178&lt;&gt;"READY","NOT RELEASED",IF(Z178=5,"NO BET",IF(OR(AB178&lt;'Config_v6'!$B$16,V178&lt;'Config_v6'!$B$18),"WATCH",IF(Z178=1,"DEFENSIV",IF(Z178=2,"PRUDENT",IF(Z178=3,"MODERAT","RIDICAT")))))))</x:f>
      </x:c>
      <x:c r="AB178" s="10" t="str">
        <x:f>IF(N178="","",MIN(N178,1-S178))</x:f>
      </x:c>
      <x:c r="AC178" s="2" t="str">
        <x:f>IF(AD178&lt;&gt;1,"",COUNTIFS($Z$174:$Z$187,"&lt;"&amp;Z178,$AD$174:$AD$187,1)+COUNTIFS($Z$174:$Z$187,Z178,$AB$174:$AB$187,"&gt;"&amp;AB178,$AD$174:$AD$187,1)+COUNTIFS($Z$174:$Z$187,Z178,$AB$174:$AB$187,AB178,$V$174:$V$187,"&gt;"&amp;V178,$AD$174:$AD$187,1)+COUNTIFS($Z$174:Z178,Z178,$AB$174:AB178,AB178,$V$174:V178,V178,$AD$174:AD178,1))</x:f>
      </x:c>
      <x:c r="AD178" s="2" t="n">
        <x:f>IF(OR(AA178="DEFENSIV",AA178="PRUDENT",AA178="MODERAT",AA178="RIDICAT"),1,0)</x:f>
        <x:v>0</x:v>
      </x:c>
      <x:c r="AE178" s="2" t="str">
        <x:f>IF(AD178&lt;&gt;1,"NO",IF(W178="PASS","YES",IF(W178="OOS PENDING","CONDITIONAL","NO")))</x:f>
        <x:v>NO</x:v>
      </x:c>
      <x:c r="AF178" s="2" t="n">
        <x:f>IF(AND(AD178=1,AC178=1,E178="LIVE"),1,0)</x:f>
        <x:v>0</x:v>
      </x:c>
      <x:c r="AG178" s="2" t="str">
        <x:f>IF(AF178&lt;&gt;1,"",'Dashboard'!P38)</x:f>
      </x:c>
      <x:c r="AH178" s="2" t="str">
        <x:f>IF(B178="","",IF(J178&lt;&gt;"PASS",'Motor_Meciuri'!J18,IF('Calibrare_Linii'!U10&lt;&gt;"VALID","Parametri linie invalizi",IF(L178&gt;'Config_v6'!$B$13,"Dispersie peste limita",IF(W178="WATCH","Failure peste limita",IF(AB178&lt;'Config_v6'!$B$16,"P finala sub prag",IF(V178&lt;'Config_v6'!$B$18,"Confidence sub prag",IF(E178="REPLAY","Exemplu retrospectiv; exclus din Top LIVE",IF(Y178="PASS","DEFENSIV validat",IF(W178="OOS PENDING","Eligibil; calibrare linie in monitorizare","Eligibil"))))))))))</x:f>
      </x:c>
      <x:c r="AI178" s="2" t="str">
        <x:f>IF(B178="","",'Calibrare_Linii'!V10)</x:f>
      </x:c>
      <x:c r="AJ178" s="2" t="str">
        <x:f>IF(B178="","",IF(AND('Calibrare_Linii'!T10="VALIDATED",AND('Calibrare_Linii'!H10=C178,ISNUMBER('Calibrare_Linii'!J10),'Calibrare_Linii'!J10&lt;='Input_Meci'!G18)),"DEFENSIVE VALIDATED",IF(AND('Calibrare_Linii'!S10="VALIDATED",AND('Calibrare_Linii'!H10=C178,ISNUMBER('Calibrare_Linii'!J10),'Calibrare_Linii'!J10&lt;='Input_Meci'!G18)),"TAIL VALIDATED","OOS PENDING")))</x:f>
      </x:c>
      <x:c r="AK178" s="2" t="n">
        <x:f>IF(J178&lt;&gt;"PASS",0,'Motor_Meciuri'!BR18)</x:f>
        <x:v>0</x:v>
      </x:c>
      <x:c r="AL178" s="2" t="n">
        <x:f>IF(J178&lt;&gt;"PASS",0,'Motor_Meciuri'!BS18)</x:f>
        <x:v>0</x:v>
      </x:c>
      <x:c r="AM178" s="2" t="n">
        <x:f>IF(J178&lt;&gt;"PASS",0,'Motor_Meciuri'!BT18)</x:f>
        <x:v>0</x:v>
      </x:c>
      <x:c r="AN178" s="2" t="str">
        <x:f>IF(M178="","",MAX(0,'Motor_Meciuri'!BF18-IF(L178&gt;'Config_v6'!$B$12,'Config_v6'!$B$37,IF(L178&gt;'Config_v6'!$B$11,'Config_v6'!$B$36,0))))</x:f>
      </x:c>
    </x:row>
    <x:row r="179" ht="21" customHeight="1">
      <x:c r="A179" s="2" t="n">
        <x:v>13</x:v>
      </x:c>
      <x:c r="B179" s="2" t="str">
        <x:f>IF('Motor_Meciuri'!A18="","",'Motor_Meciuri'!A18)</x:f>
      </x:c>
      <x:c r="C179" s="2" t="str">
        <x:f>IF(B179="","",'Motor_Meciuri'!B18)</x:f>
      </x:c>
      <x:c r="D179" s="2" t="str">
        <x:f>IF(B179="","",'Motor_Meciuri'!D18)</x:f>
      </x:c>
      <x:c r="E179" s="2" t="str">
        <x:f>IF(B179="","",'Motor_Meciuri'!E18)</x:f>
      </x:c>
      <x:c r="F179" s="2" t="str">
        <x:v>O8,5</x:v>
      </x:c>
      <x:c r="G179" s="2" t="str">
        <x:v>OVER</x:v>
      </x:c>
      <x:c r="H179" s="2" t="n">
        <x:v>8</x:v>
      </x:c>
      <x:c r="I179" s="2" t="str">
        <x:f>IF(B179="","",'Motor_Meciuri'!H18)</x:f>
      </x:c>
      <x:c r="J179" s="2" t="str">
        <x:f>IF(B179="","",'Motor_Meciuri'!I18)</x:f>
      </x:c>
      <x:c r="K179" s="11" t="str">
        <x:f>IF(J179&lt;&gt;"PASS","",'Motor_Meciuri'!BD18)</x:f>
      </x:c>
      <x:c r="L179" s="11" t="str">
        <x:f>IF(J179&lt;&gt;"PASS","",'Motor_Meciuri'!AU18)</x:f>
      </x:c>
      <x:c r="M179" s="10" t="str">
        <x:f>IF(NOT(AND(J179="PASS",'Calibrare_Linii'!U11="VALID")),"",1-'Distributie'!AF18)</x:f>
      </x:c>
      <x:c r="N179" s="10" t="str">
        <x:f>IF(M179="","",MAX(0.01,MIN(0.99,0.5+(M179-0.5)*'Motor_Meciuri'!BG18*'Calibrare_Linii'!D11)))</x:f>
      </x:c>
      <x:c r="O179" s="10" t="str">
        <x:f>IF(M179="","",1-M179)</x:f>
      </x:c>
      <x:c r="P179" s="10" t="str">
        <x:f>IF(OR(NOT(AND(J179="PASS",'Calibrare_Linii'!U11="VALID")),AK179=0),""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*('Istoric_Nativ'!$Q$6:$Q$405&lt;=H179))/AK179)</x:f>
      </x:c>
      <x:c r="Q179" s="10" t="str">
        <x:f>IF(OR(NOT(AND(J179="PASS",'Calibrare_Linii'!U11="VALID")),AL179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M18)+((('Istoric_Nativ'!$E$6:$E$405='Input_Meci'!E18)+('Istoric_Nativ'!$F$6:$F$405='Input_Meci'!E18))&gt;0)*('Istoric_Nativ'!$D$6:$D$405&gt;='Motor_Meciuri'!BN18))&gt;0)*('Istoric_Nativ'!$Q$6:$Q$405&lt;=H179))/AL179)</x:f>
      </x:c>
      <x:c r="R179" s="10" t="str">
        <x:f>IF(OR(NOT(AND(J179="PASS",'Calibrare_Linii'!U11="VALID")),AM179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O18)+((('Istoric_Nativ'!$E$6:$E$405='Input_Meci'!E18)+('Istoric_Nativ'!$F$6:$F$405='Input_Meci'!E18))&gt;0)*('Istoric_Nativ'!$D$6:$D$405&gt;='Motor_Meciuri'!BP18))&gt;0)*('Istoric_Nativ'!$Q$6:$Q$405&lt;=H179))/AM179)</x:f>
      </x:c>
      <x:c r="S179" s="10" t="str">
        <x:f>IF(M179="","",MAX(O179,P179,Q179,R179))</x:f>
      </x:c>
      <x:c r="T179" s="11" t="str">
        <x:f>IF(M179="","",MIN(100,S179*100*'Config_v6'!$B$44+MIN(100,L179/'Config_v6'!$B$13*100)*'Config_v6'!$B$45+(100-'Motor_Meciuri'!BF18)*'Config_v6'!$B$46+'Motor_Meciuri'!BH18*100*'Config_v6'!$B$47))</x:f>
      </x:c>
      <x:c r="U179" s="2" t="str">
        <x:f>IF(T179="","",IF(T179&lt;=20,1,IF(T179&lt;=40,2,IF(T179&lt;=60,3,IF(T179&lt;=80,4,5)))))</x:f>
      </x:c>
      <x:c r="V179" s="2" t="str">
        <x:f>IF(M179="","",MAX(0,'Motor_Meciuri'!BF18-IF(W179="OOS PENDING",'Config_v6'!$B$35,0)-IF(L179&gt;'Config_v6'!$B$12,'Config_v6'!$B$37,IF(L179&gt;'Config_v6'!$B$11,'Config_v6'!$B$36,0))))</x:f>
      </x:c>
      <x:c r="W179" s="2" t="str">
        <x:f>IF(B179="","",IF(I179&lt;&gt;"READY","NOT RELEASED",IF(NOT(AND(J179="PASS",'Calibrare_Linii'!U11="VALID")),"INVALID",IF(NOT(AND('Calibrare_Linii'!S11="VALIDATED",AND('Calibrare_Linii'!H11=C179,ISNUMBER('Calibrare_Linii'!J11),'Calibrare_Linii'!J11&lt;='Input_Meci'!G18))),"OOS PENDING",IF(S179&lt;='Calibrare_Linii'!E11,"PASS",IF(S179&lt;='Calibrare_Linii'!F11,"PENALTY","WATCH"))))))</x:f>
      </x:c>
      <x:c r="X179" s="2" t="str">
        <x:f>IF(M179="","",IF(AND(AND(J179="PASS",'Calibrare_Linii'!U11="VALID"),'Motor_Meciuri'!K18=12,'Motor_Meciuri'!L18=12,'Motor_Meciuri'!M18="NO",'Motor_Meciuri'!BL18='Motor_Meciuri'!C18,AB179&gt;='Config_v6'!$B$50,AN179&gt;='Config_v6'!$B$51,T179&lt;='Config_v6'!$B$52,L179&lt;='Config_v6'!$B$53,ISNUMBER('Calibrare_Linii'!E11),S179&lt;='Calibrare_Linii'!E11,SUM(AK179:AM179)&gt;0),"CANDIDATE","NO"))</x:f>
      </x:c>
      <x:c r="Y179" s="2" t="str">
        <x:f>IF(B179="","",IF(I179&lt;&gt;"READY","NOT RELEASED",IF(AND(X179="CANDIDATE",V179&gt;='Config_v6'!$B$51,W179="PASS",'Calibrare_Linii'!T11="VALIDATED",AND('Calibrare_Linii'!H11=C179,ISNUMBER('Calibrare_Linii'!J11),'Calibrare_Linii'!J11&lt;='Input_Meci'!G18)),"PASS",IF(X179="CANDIDATE","OOS PENDING","FAIL"))))</x:f>
      </x:c>
      <x:c r="Z179" s="2" t="str">
        <x:f>IF(B179="","",IF(I179&lt;&gt;"READY","",IF(OR(NOT(AND(J179="PASS",'Calibrare_Linii'!U11="VALID")),L179&gt;'Config_v6'!$B$13,W179="WATCH"),5,IF(Y179="PASS",1,MIN(5,MAX('Config_v6'!$B$42,U179)+IF(W179="PENALTY",1,0))))))</x:f>
      </x:c>
      <x:c r="AA179" s="2" t="str">
        <x:f>IF(B179="","",IF(I179&lt;&gt;"READY","NOT RELEASED",IF(Z179=5,"NO BET",IF(OR(AB179&lt;'Config_v6'!$B$16,V179&lt;'Config_v6'!$B$18),"WATCH",IF(Z179=1,"DEFENSIV",IF(Z179=2,"PRUDENT",IF(Z179=3,"MODERAT","RIDICAT")))))))</x:f>
      </x:c>
      <x:c r="AB179" s="10" t="str">
        <x:f>IF(N179="","",MIN(N179,1-S179))</x:f>
      </x:c>
      <x:c r="AC179" s="2" t="str">
        <x:f>IF(AD179&lt;&gt;1,"",COUNTIFS($Z$174:$Z$187,"&lt;"&amp;Z179,$AD$174:$AD$187,1)+COUNTIFS($Z$174:$Z$187,Z179,$AB$174:$AB$187,"&gt;"&amp;AB179,$AD$174:$AD$187,1)+COUNTIFS($Z$174:$Z$187,Z179,$AB$174:$AB$187,AB179,$V$174:$V$187,"&gt;"&amp;V179,$AD$174:$AD$187,1)+COUNTIFS($Z$174:Z179,Z179,$AB$174:AB179,AB179,$V$174:V179,V179,$AD$174:AD179,1))</x:f>
      </x:c>
      <x:c r="AD179" s="2" t="n">
        <x:f>IF(OR(AA179="DEFENSIV",AA179="PRUDENT",AA179="MODERAT",AA179="RIDICAT"),1,0)</x:f>
        <x:v>0</x:v>
      </x:c>
      <x:c r="AE179" s="2" t="str">
        <x:f>IF(AD179&lt;&gt;1,"NO",IF(W179="PASS","YES",IF(W179="OOS PENDING","CONDITIONAL","NO")))</x:f>
        <x:v>NO</x:v>
      </x:c>
      <x:c r="AF179" s="2" t="n">
        <x:f>IF(AND(AD179=1,AC179=1,E179="LIVE"),1,0)</x:f>
        <x:v>0</x:v>
      </x:c>
      <x:c r="AG179" s="2" t="str">
        <x:f>IF(AF179&lt;&gt;1,"",'Dashboard'!P38)</x:f>
      </x:c>
      <x:c r="AH179" s="2" t="str">
        <x:f>IF(B179="","",IF(J179&lt;&gt;"PASS",'Motor_Meciuri'!J18,IF('Calibrare_Linii'!U11&lt;&gt;"VALID","Parametri linie invalizi",IF(L179&gt;'Config_v6'!$B$13,"Dispersie peste limita",IF(W179="WATCH","Failure peste limita",IF(AB179&lt;'Config_v6'!$B$16,"P finala sub prag",IF(V179&lt;'Config_v6'!$B$18,"Confidence sub prag",IF(E179="REPLAY","Exemplu retrospectiv; exclus din Top LIVE",IF(Y179="PASS","DEFENSIV validat",IF(W179="OOS PENDING","Eligibil; calibrare linie in monitorizare","Eligibil"))))))))))</x:f>
      </x:c>
      <x:c r="AI179" s="2" t="str">
        <x:f>IF(B179="","",'Calibrare_Linii'!V11)</x:f>
      </x:c>
      <x:c r="AJ179" s="2" t="str">
        <x:f>IF(B179="","",IF(AND('Calibrare_Linii'!T11="VALIDATED",AND('Calibrare_Linii'!H11=C179,ISNUMBER('Calibrare_Linii'!J11),'Calibrare_Linii'!J11&lt;='Input_Meci'!G18)),"DEFENSIVE VALIDATED",IF(AND('Calibrare_Linii'!S11="VALIDATED",AND('Calibrare_Linii'!H11=C179,ISNUMBER('Calibrare_Linii'!J11),'Calibrare_Linii'!J11&lt;='Input_Meci'!G18)),"TAIL VALIDATED","OOS PENDING")))</x:f>
      </x:c>
      <x:c r="AK179" s="2" t="n">
        <x:f>IF(J179&lt;&gt;"PASS",0,'Motor_Meciuri'!BR18)</x:f>
        <x:v>0</x:v>
      </x:c>
      <x:c r="AL179" s="2" t="n">
        <x:f>IF(J179&lt;&gt;"PASS",0,'Motor_Meciuri'!BS18)</x:f>
        <x:v>0</x:v>
      </x:c>
      <x:c r="AM179" s="2" t="n">
        <x:f>IF(J179&lt;&gt;"PASS",0,'Motor_Meciuri'!BT18)</x:f>
        <x:v>0</x:v>
      </x:c>
      <x:c r="AN179" s="2" t="str">
        <x:f>IF(M179="","",MAX(0,'Motor_Meciuri'!BF18-IF(L179&gt;'Config_v6'!$B$12,'Config_v6'!$B$37,IF(L179&gt;'Config_v6'!$B$11,'Config_v6'!$B$36,0))))</x:f>
      </x:c>
    </x:row>
    <x:row r="180" ht="21" customHeight="1">
      <x:c r="A180" s="2" t="n">
        <x:v>13</x:v>
      </x:c>
      <x:c r="B180" s="2" t="str">
        <x:f>IF('Motor_Meciuri'!A18="","",'Motor_Meciuri'!A18)</x:f>
      </x:c>
      <x:c r="C180" s="2" t="str">
        <x:f>IF(B180="","",'Motor_Meciuri'!B18)</x:f>
      </x:c>
      <x:c r="D180" s="2" t="str">
        <x:f>IF(B180="","",'Motor_Meciuri'!D18)</x:f>
      </x:c>
      <x:c r="E180" s="2" t="str">
        <x:f>IF(B180="","",'Motor_Meciuri'!E18)</x:f>
      </x:c>
      <x:c r="F180" s="2" t="str">
        <x:v>U10,5</x:v>
      </x:c>
      <x:c r="G180" s="2" t="str">
        <x:v>UNDER</x:v>
      </x:c>
      <x:c r="H180" s="2" t="n">
        <x:v>10</x:v>
      </x:c>
      <x:c r="I180" s="2" t="str">
        <x:f>IF(B180="","",'Motor_Meciuri'!H18)</x:f>
      </x:c>
      <x:c r="J180" s="2" t="str">
        <x:f>IF(B180="","",'Motor_Meciuri'!I18)</x:f>
      </x:c>
      <x:c r="K180" s="11" t="str">
        <x:f>IF(J180&lt;&gt;"PASS","",'Motor_Meciuri'!BD18)</x:f>
      </x:c>
      <x:c r="L180" s="11" t="str">
        <x:f>IF(J180&lt;&gt;"PASS","",'Motor_Meciuri'!AU18)</x:f>
      </x:c>
      <x:c r="M180" s="10" t="str">
        <x:f>IF(NOT(AND(J180="PASS",'Calibrare_Linii'!U12="VALID")),"",'Distributie'!AH18)</x:f>
      </x:c>
      <x:c r="N180" s="10" t="str">
        <x:f>IF(M180="","",MAX(0.01,MIN(0.99,0.5+(M180-0.5)*'Motor_Meciuri'!BG18*'Calibrare_Linii'!D12)))</x:f>
      </x:c>
      <x:c r="O180" s="10" t="str">
        <x:f>IF(M180="","",1-M180)</x:f>
      </x:c>
      <x:c r="P180" s="10" t="str">
        <x:f>IF(OR(NOT(AND(J180="PASS",'Calibrare_Linii'!U12="VALID")),AK180=0),""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*('Istoric_Nativ'!$Q$6:$Q$405&gt;H180))/AK180)</x:f>
      </x:c>
      <x:c r="Q180" s="10" t="str">
        <x:f>IF(OR(NOT(AND(J180="PASS",'Calibrare_Linii'!U12="VALID")),AL180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M18)+((('Istoric_Nativ'!$E$6:$E$405='Input_Meci'!E18)+('Istoric_Nativ'!$F$6:$F$405='Input_Meci'!E18))&gt;0)*('Istoric_Nativ'!$D$6:$D$405&gt;='Motor_Meciuri'!BN18))&gt;0)*('Istoric_Nativ'!$Q$6:$Q$405&gt;H180))/AL180)</x:f>
      </x:c>
      <x:c r="R180" s="10" t="str">
        <x:f>IF(OR(NOT(AND(J180="PASS",'Calibrare_Linii'!U12="VALID")),AM180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O18)+((('Istoric_Nativ'!$E$6:$E$405='Input_Meci'!E18)+('Istoric_Nativ'!$F$6:$F$405='Input_Meci'!E18))&gt;0)*('Istoric_Nativ'!$D$6:$D$405&gt;='Motor_Meciuri'!BP18))&gt;0)*('Istoric_Nativ'!$Q$6:$Q$405&gt;H180))/AM180)</x:f>
      </x:c>
      <x:c r="S180" s="10" t="str">
        <x:f>IF(M180="","",MAX(O180,P180,Q180,R180))</x:f>
      </x:c>
      <x:c r="T180" s="11" t="str">
        <x:f>IF(M180="","",MIN(100,S180*100*'Config_v6'!$B$44+MIN(100,L180/'Config_v6'!$B$13*100)*'Config_v6'!$B$45+(100-'Motor_Meciuri'!BF18)*'Config_v6'!$B$46+'Motor_Meciuri'!BH18*100*'Config_v6'!$B$47))</x:f>
      </x:c>
      <x:c r="U180" s="2" t="str">
        <x:f>IF(T180="","",IF(T180&lt;=20,1,IF(T180&lt;=40,2,IF(T180&lt;=60,3,IF(T180&lt;=80,4,5)))))</x:f>
      </x:c>
      <x:c r="V180" s="2" t="str">
        <x:f>IF(M180="","",MAX(0,'Motor_Meciuri'!BF18-IF(W180="OOS PENDING",'Config_v6'!$B$35,0)-IF(L180&gt;'Config_v6'!$B$12,'Config_v6'!$B$37,IF(L180&gt;'Config_v6'!$B$11,'Config_v6'!$B$36,0))))</x:f>
      </x:c>
      <x:c r="W180" s="2" t="str">
        <x:f>IF(B180="","",IF(I180&lt;&gt;"READY","NOT RELEASED",IF(NOT(AND(J180="PASS",'Calibrare_Linii'!U12="VALID")),"INVALID",IF(NOT(AND('Calibrare_Linii'!S12="VALIDATED",AND('Calibrare_Linii'!H12=C180,ISNUMBER('Calibrare_Linii'!J12),'Calibrare_Linii'!J12&lt;='Input_Meci'!G18))),"OOS PENDING",IF(S180&lt;='Calibrare_Linii'!E12,"PASS",IF(S180&lt;='Calibrare_Linii'!F12,"PENALTY","WATCH"))))))</x:f>
      </x:c>
      <x:c r="X180" s="2" t="str">
        <x:f>IF(M180="","",IF(AND(AND(J180="PASS",'Calibrare_Linii'!U12="VALID"),'Motor_Meciuri'!K18=12,'Motor_Meciuri'!L18=12,'Motor_Meciuri'!M18="NO",'Motor_Meciuri'!BL18='Motor_Meciuri'!C18,AB180&gt;='Config_v6'!$B$50,AN180&gt;='Config_v6'!$B$51,T180&lt;='Config_v6'!$B$52,L180&lt;='Config_v6'!$B$53,ISNUMBER('Calibrare_Linii'!E12),S180&lt;='Calibrare_Linii'!E12,SUM(AK180:AM180)&gt;0),"CANDIDATE","NO"))</x:f>
      </x:c>
      <x:c r="Y180" s="2" t="str">
        <x:f>IF(B180="","",IF(I180&lt;&gt;"READY","NOT RELEASED",IF(AND(X180="CANDIDATE",V180&gt;='Config_v6'!$B$51,W180="PASS",'Calibrare_Linii'!T12="VALIDATED",AND('Calibrare_Linii'!H12=C180,ISNUMBER('Calibrare_Linii'!J12),'Calibrare_Linii'!J12&lt;='Input_Meci'!G18)),"PASS",IF(X180="CANDIDATE","OOS PENDING","FAIL"))))</x:f>
      </x:c>
      <x:c r="Z180" s="2" t="str">
        <x:f>IF(B180="","",IF(I180&lt;&gt;"READY","",IF(OR(NOT(AND(J180="PASS",'Calibrare_Linii'!U12="VALID")),L180&gt;'Config_v6'!$B$13,W180="WATCH"),5,IF(Y180="PASS",1,MIN(5,MAX('Config_v6'!$B$42,U180)+IF(W180="PENALTY",1,0))))))</x:f>
      </x:c>
      <x:c r="AA180" s="2" t="str">
        <x:f>IF(B180="","",IF(I180&lt;&gt;"READY","NOT RELEASED",IF(Z180=5,"NO BET",IF(OR(AB180&lt;'Config_v6'!$B$16,V180&lt;'Config_v6'!$B$18),"WATCH",IF(Z180=1,"DEFENSIV",IF(Z180=2,"PRUDENT",IF(Z180=3,"MODERAT","RIDICAT")))))))</x:f>
      </x:c>
      <x:c r="AB180" s="10" t="str">
        <x:f>IF(N180="","",MIN(N180,1-S180))</x:f>
      </x:c>
      <x:c r="AC180" s="2" t="str">
        <x:f>IF(AD180&lt;&gt;1,"",COUNTIFS($Z$174:$Z$187,"&lt;"&amp;Z180,$AD$174:$AD$187,1)+COUNTIFS($Z$174:$Z$187,Z180,$AB$174:$AB$187,"&gt;"&amp;AB180,$AD$174:$AD$187,1)+COUNTIFS($Z$174:$Z$187,Z180,$AB$174:$AB$187,AB180,$V$174:$V$187,"&gt;"&amp;V180,$AD$174:$AD$187,1)+COUNTIFS($Z$174:Z180,Z180,$AB$174:AB180,AB180,$V$174:V180,V180,$AD$174:AD180,1))</x:f>
      </x:c>
      <x:c r="AD180" s="2" t="n">
        <x:f>IF(OR(AA180="DEFENSIV",AA180="PRUDENT",AA180="MODERAT",AA180="RIDICAT"),1,0)</x:f>
        <x:v>0</x:v>
      </x:c>
      <x:c r="AE180" s="2" t="str">
        <x:f>IF(AD180&lt;&gt;1,"NO",IF(W180="PASS","YES",IF(W180="OOS PENDING","CONDITIONAL","NO")))</x:f>
        <x:v>NO</x:v>
      </x:c>
      <x:c r="AF180" s="2" t="n">
        <x:f>IF(AND(AD180=1,AC180=1,E180="LIVE"),1,0)</x:f>
        <x:v>0</x:v>
      </x:c>
      <x:c r="AG180" s="2" t="str">
        <x:f>IF(AF180&lt;&gt;1,"",'Dashboard'!P38)</x:f>
      </x:c>
      <x:c r="AH180" s="2" t="str">
        <x:f>IF(B180="","",IF(J180&lt;&gt;"PASS",'Motor_Meciuri'!J18,IF('Calibrare_Linii'!U12&lt;&gt;"VALID","Parametri linie invalizi",IF(L180&gt;'Config_v6'!$B$13,"Dispersie peste limita",IF(W180="WATCH","Failure peste limita",IF(AB180&lt;'Config_v6'!$B$16,"P finala sub prag",IF(V180&lt;'Config_v6'!$B$18,"Confidence sub prag",IF(E180="REPLAY","Exemplu retrospectiv; exclus din Top LIVE",IF(Y180="PASS","DEFENSIV validat",IF(W180="OOS PENDING","Eligibil; calibrare linie in monitorizare","Eligibil"))))))))))</x:f>
      </x:c>
      <x:c r="AI180" s="2" t="str">
        <x:f>IF(B180="","",'Calibrare_Linii'!V12)</x:f>
      </x:c>
      <x:c r="AJ180" s="2" t="str">
        <x:f>IF(B180="","",IF(AND('Calibrare_Linii'!T12="VALIDATED",AND('Calibrare_Linii'!H12=C180,ISNUMBER('Calibrare_Linii'!J12),'Calibrare_Linii'!J12&lt;='Input_Meci'!G18)),"DEFENSIVE VALIDATED",IF(AND('Calibrare_Linii'!S12="VALIDATED",AND('Calibrare_Linii'!H12=C180,ISNUMBER('Calibrare_Linii'!J12),'Calibrare_Linii'!J12&lt;='Input_Meci'!G18)),"TAIL VALIDATED","OOS PENDING")))</x:f>
      </x:c>
      <x:c r="AK180" s="2" t="n">
        <x:f>IF(J180&lt;&gt;"PASS",0,'Motor_Meciuri'!BR18)</x:f>
        <x:v>0</x:v>
      </x:c>
      <x:c r="AL180" s="2" t="n">
        <x:f>IF(J180&lt;&gt;"PASS",0,'Motor_Meciuri'!BS18)</x:f>
        <x:v>0</x:v>
      </x:c>
      <x:c r="AM180" s="2" t="n">
        <x:f>IF(J180&lt;&gt;"PASS",0,'Motor_Meciuri'!BT18)</x:f>
        <x:v>0</x:v>
      </x:c>
      <x:c r="AN180" s="2" t="str">
        <x:f>IF(M180="","",MAX(0,'Motor_Meciuri'!BF18-IF(L180&gt;'Config_v6'!$B$12,'Config_v6'!$B$37,IF(L180&gt;'Config_v6'!$B$11,'Config_v6'!$B$36,0))))</x:f>
      </x:c>
    </x:row>
    <x:row r="181" ht="21" customHeight="1">
      <x:c r="A181" s="2" t="n">
        <x:v>13</x:v>
      </x:c>
      <x:c r="B181" s="2" t="str">
        <x:f>IF('Motor_Meciuri'!A18="","",'Motor_Meciuri'!A18)</x:f>
      </x:c>
      <x:c r="C181" s="2" t="str">
        <x:f>IF(B181="","",'Motor_Meciuri'!B18)</x:f>
      </x:c>
      <x:c r="D181" s="2" t="str">
        <x:f>IF(B181="","",'Motor_Meciuri'!D18)</x:f>
      </x:c>
      <x:c r="E181" s="2" t="str">
        <x:f>IF(B181="","",'Motor_Meciuri'!E18)</x:f>
      </x:c>
      <x:c r="F181" s="2" t="str">
        <x:v>U11,5</x:v>
      </x:c>
      <x:c r="G181" s="2" t="str">
        <x:v>UNDER</x:v>
      </x:c>
      <x:c r="H181" s="2" t="n">
        <x:v>11</x:v>
      </x:c>
      <x:c r="I181" s="2" t="str">
        <x:f>IF(B181="","",'Motor_Meciuri'!H18)</x:f>
      </x:c>
      <x:c r="J181" s="2" t="str">
        <x:f>IF(B181="","",'Motor_Meciuri'!I18)</x:f>
      </x:c>
      <x:c r="K181" s="11" t="str">
        <x:f>IF(J181&lt;&gt;"PASS","",'Motor_Meciuri'!BD18)</x:f>
      </x:c>
      <x:c r="L181" s="11" t="str">
        <x:f>IF(J181&lt;&gt;"PASS","",'Motor_Meciuri'!AU18)</x:f>
      </x:c>
      <x:c r="M181" s="10" t="str">
        <x:f>IF(NOT(AND(J181="PASS",'Calibrare_Linii'!U13="VALID")),"",'Distributie'!AI18)</x:f>
      </x:c>
      <x:c r="N181" s="10" t="str">
        <x:f>IF(M181="","",MAX(0.01,MIN(0.99,0.5+(M181-0.5)*'Motor_Meciuri'!BG18*'Calibrare_Linii'!D13)))</x:f>
      </x:c>
      <x:c r="O181" s="10" t="str">
        <x:f>IF(M181="","",1-M181)</x:f>
      </x:c>
      <x:c r="P181" s="10" t="str">
        <x:f>IF(OR(NOT(AND(J181="PASS",'Calibrare_Linii'!U13="VALID")),AK181=0),""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*('Istoric_Nativ'!$Q$6:$Q$405&gt;H181))/AK181)</x:f>
      </x:c>
      <x:c r="Q181" s="10" t="str">
        <x:f>IF(OR(NOT(AND(J181="PASS",'Calibrare_Linii'!U13="VALID")),AL181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M18)+((('Istoric_Nativ'!$E$6:$E$405='Input_Meci'!E18)+('Istoric_Nativ'!$F$6:$F$405='Input_Meci'!E18))&gt;0)*('Istoric_Nativ'!$D$6:$D$405&gt;='Motor_Meciuri'!BN18))&gt;0)*('Istoric_Nativ'!$Q$6:$Q$405&gt;H181))/AL181)</x:f>
      </x:c>
      <x:c r="R181" s="10" t="str">
        <x:f>IF(OR(NOT(AND(J181="PASS",'Calibrare_Linii'!U13="VALID")),AM181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O18)+((('Istoric_Nativ'!$E$6:$E$405='Input_Meci'!E18)+('Istoric_Nativ'!$F$6:$F$405='Input_Meci'!E18))&gt;0)*('Istoric_Nativ'!$D$6:$D$405&gt;='Motor_Meciuri'!BP18))&gt;0)*('Istoric_Nativ'!$Q$6:$Q$405&gt;H181))/AM181)</x:f>
      </x:c>
      <x:c r="S181" s="10" t="str">
        <x:f>IF(M181="","",MAX(O181,P181,Q181,R181))</x:f>
      </x:c>
      <x:c r="T181" s="11" t="str">
        <x:f>IF(M181="","",MIN(100,S181*100*'Config_v6'!$B$44+MIN(100,L181/'Config_v6'!$B$13*100)*'Config_v6'!$B$45+(100-'Motor_Meciuri'!BF18)*'Config_v6'!$B$46+'Motor_Meciuri'!BH18*100*'Config_v6'!$B$47))</x:f>
      </x:c>
      <x:c r="U181" s="2" t="str">
        <x:f>IF(T181="","",IF(T181&lt;=20,1,IF(T181&lt;=40,2,IF(T181&lt;=60,3,IF(T181&lt;=80,4,5)))))</x:f>
      </x:c>
      <x:c r="V181" s="2" t="str">
        <x:f>IF(M181="","",MAX(0,'Motor_Meciuri'!BF18-IF(W181="OOS PENDING",'Config_v6'!$B$35,0)-IF(L181&gt;'Config_v6'!$B$12,'Config_v6'!$B$37,IF(L181&gt;'Config_v6'!$B$11,'Config_v6'!$B$36,0))))</x:f>
      </x:c>
      <x:c r="W181" s="2" t="str">
        <x:f>IF(B181="","",IF(I181&lt;&gt;"READY","NOT RELEASED",IF(NOT(AND(J181="PASS",'Calibrare_Linii'!U13="VALID")),"INVALID",IF(NOT(AND('Calibrare_Linii'!S13="VALIDATED",AND('Calibrare_Linii'!H13=C181,ISNUMBER('Calibrare_Linii'!J13),'Calibrare_Linii'!J13&lt;='Input_Meci'!G18))),"OOS PENDING",IF(S181&lt;='Calibrare_Linii'!E13,"PASS",IF(S181&lt;='Calibrare_Linii'!F13,"PENALTY","WATCH"))))))</x:f>
      </x:c>
      <x:c r="X181" s="2" t="str">
        <x:f>IF(M181="","",IF(AND(AND(J181="PASS",'Calibrare_Linii'!U13="VALID"),'Motor_Meciuri'!K18=12,'Motor_Meciuri'!L18=12,'Motor_Meciuri'!M18="NO",'Motor_Meciuri'!BL18='Motor_Meciuri'!C18,AB181&gt;='Config_v6'!$B$50,AN181&gt;='Config_v6'!$B$51,T181&lt;='Config_v6'!$B$52,L181&lt;='Config_v6'!$B$53,ISNUMBER('Calibrare_Linii'!E13),S181&lt;='Calibrare_Linii'!E13,SUM(AK181:AM181)&gt;0),"CANDIDATE","NO"))</x:f>
      </x:c>
      <x:c r="Y181" s="2" t="str">
        <x:f>IF(B181="","",IF(I181&lt;&gt;"READY","NOT RELEASED",IF(AND(X181="CANDIDATE",V181&gt;='Config_v6'!$B$51,W181="PASS",'Calibrare_Linii'!T13="VALIDATED",AND('Calibrare_Linii'!H13=C181,ISNUMBER('Calibrare_Linii'!J13),'Calibrare_Linii'!J13&lt;='Input_Meci'!G18)),"PASS",IF(X181="CANDIDATE","OOS PENDING","FAIL"))))</x:f>
      </x:c>
      <x:c r="Z181" s="2" t="str">
        <x:f>IF(B181="","",IF(I181&lt;&gt;"READY","",IF(OR(NOT(AND(J181="PASS",'Calibrare_Linii'!U13="VALID")),L181&gt;'Config_v6'!$B$13,W181="WATCH"),5,IF(Y181="PASS",1,MIN(5,MAX('Config_v6'!$B$42,U181)+IF(W181="PENALTY",1,0))))))</x:f>
      </x:c>
      <x:c r="AA181" s="2" t="str">
        <x:f>IF(B181="","",IF(I181&lt;&gt;"READY","NOT RELEASED",IF(Z181=5,"NO BET",IF(OR(AB181&lt;'Config_v6'!$B$16,V181&lt;'Config_v6'!$B$18),"WATCH",IF(Z181=1,"DEFENSIV",IF(Z181=2,"PRUDENT",IF(Z181=3,"MODERAT","RIDICAT")))))))</x:f>
      </x:c>
      <x:c r="AB181" s="10" t="str">
        <x:f>IF(N181="","",MIN(N181,1-S181))</x:f>
      </x:c>
      <x:c r="AC181" s="2" t="str">
        <x:f>IF(AD181&lt;&gt;1,"",COUNTIFS($Z$174:$Z$187,"&lt;"&amp;Z181,$AD$174:$AD$187,1)+COUNTIFS($Z$174:$Z$187,Z181,$AB$174:$AB$187,"&gt;"&amp;AB181,$AD$174:$AD$187,1)+COUNTIFS($Z$174:$Z$187,Z181,$AB$174:$AB$187,AB181,$V$174:$V$187,"&gt;"&amp;V181,$AD$174:$AD$187,1)+COUNTIFS($Z$174:Z181,Z181,$AB$174:AB181,AB181,$V$174:V181,V181,$AD$174:AD181,1))</x:f>
      </x:c>
      <x:c r="AD181" s="2" t="n">
        <x:f>IF(OR(AA181="DEFENSIV",AA181="PRUDENT",AA181="MODERAT",AA181="RIDICAT"),1,0)</x:f>
        <x:v>0</x:v>
      </x:c>
      <x:c r="AE181" s="2" t="str">
        <x:f>IF(AD181&lt;&gt;1,"NO",IF(W181="PASS","YES",IF(W181="OOS PENDING","CONDITIONAL","NO")))</x:f>
        <x:v>NO</x:v>
      </x:c>
      <x:c r="AF181" s="2" t="n">
        <x:f>IF(AND(AD181=1,AC181=1,E181="LIVE"),1,0)</x:f>
        <x:v>0</x:v>
      </x:c>
      <x:c r="AG181" s="2" t="str">
        <x:f>IF(AF181&lt;&gt;1,"",'Dashboard'!P38)</x:f>
      </x:c>
      <x:c r="AH181" s="2" t="str">
        <x:f>IF(B181="","",IF(J181&lt;&gt;"PASS",'Motor_Meciuri'!J18,IF('Calibrare_Linii'!U13&lt;&gt;"VALID","Parametri linie invalizi",IF(L181&gt;'Config_v6'!$B$13,"Dispersie peste limita",IF(W181="WATCH","Failure peste limita",IF(AB181&lt;'Config_v6'!$B$16,"P finala sub prag",IF(V181&lt;'Config_v6'!$B$18,"Confidence sub prag",IF(E181="REPLAY","Exemplu retrospectiv; exclus din Top LIVE",IF(Y181="PASS","DEFENSIV validat",IF(W181="OOS PENDING","Eligibil; calibrare linie in monitorizare","Eligibil"))))))))))</x:f>
      </x:c>
      <x:c r="AI181" s="2" t="str">
        <x:f>IF(B181="","",'Calibrare_Linii'!V13)</x:f>
      </x:c>
      <x:c r="AJ181" s="2" t="str">
        <x:f>IF(B181="","",IF(AND('Calibrare_Linii'!T13="VALIDATED",AND('Calibrare_Linii'!H13=C181,ISNUMBER('Calibrare_Linii'!J13),'Calibrare_Linii'!J13&lt;='Input_Meci'!G18)),"DEFENSIVE VALIDATED",IF(AND('Calibrare_Linii'!S13="VALIDATED",AND('Calibrare_Linii'!H13=C181,ISNUMBER('Calibrare_Linii'!J13),'Calibrare_Linii'!J13&lt;='Input_Meci'!G18)),"TAIL VALIDATED","OOS PENDING")))</x:f>
      </x:c>
      <x:c r="AK181" s="2" t="n">
        <x:f>IF(J181&lt;&gt;"PASS",0,'Motor_Meciuri'!BR18)</x:f>
        <x:v>0</x:v>
      </x:c>
      <x:c r="AL181" s="2" t="n">
        <x:f>IF(J181&lt;&gt;"PASS",0,'Motor_Meciuri'!BS18)</x:f>
        <x:v>0</x:v>
      </x:c>
      <x:c r="AM181" s="2" t="n">
        <x:f>IF(J181&lt;&gt;"PASS",0,'Motor_Meciuri'!BT18)</x:f>
        <x:v>0</x:v>
      </x:c>
      <x:c r="AN181" s="2" t="str">
        <x:f>IF(M181="","",MAX(0,'Motor_Meciuri'!BF18-IF(L181&gt;'Config_v6'!$B$12,'Config_v6'!$B$37,IF(L181&gt;'Config_v6'!$B$11,'Config_v6'!$B$36,0))))</x:f>
      </x:c>
    </x:row>
    <x:row r="182" ht="21" customHeight="1">
      <x:c r="A182" s="2" t="n">
        <x:v>13</x:v>
      </x:c>
      <x:c r="B182" s="2" t="str">
        <x:f>IF('Motor_Meciuri'!A18="","",'Motor_Meciuri'!A18)</x:f>
      </x:c>
      <x:c r="C182" s="2" t="str">
        <x:f>IF(B182="","",'Motor_Meciuri'!B18)</x:f>
      </x:c>
      <x:c r="D182" s="2" t="str">
        <x:f>IF(B182="","",'Motor_Meciuri'!D18)</x:f>
      </x:c>
      <x:c r="E182" s="2" t="str">
        <x:f>IF(B182="","",'Motor_Meciuri'!E18)</x:f>
      </x:c>
      <x:c r="F182" s="2" t="str">
        <x:v>U12,5</x:v>
      </x:c>
      <x:c r="G182" s="2" t="str">
        <x:v>UNDER</x:v>
      </x:c>
      <x:c r="H182" s="2" t="n">
        <x:v>12</x:v>
      </x:c>
      <x:c r="I182" s="2" t="str">
        <x:f>IF(B182="","",'Motor_Meciuri'!H18)</x:f>
      </x:c>
      <x:c r="J182" s="2" t="str">
        <x:f>IF(B182="","",'Motor_Meciuri'!I18)</x:f>
      </x:c>
      <x:c r="K182" s="11" t="str">
        <x:f>IF(J182&lt;&gt;"PASS","",'Motor_Meciuri'!BD18)</x:f>
      </x:c>
      <x:c r="L182" s="11" t="str">
        <x:f>IF(J182&lt;&gt;"PASS","",'Motor_Meciuri'!AU18)</x:f>
      </x:c>
      <x:c r="M182" s="10" t="str">
        <x:f>IF(NOT(AND(J182="PASS",'Calibrare_Linii'!U14="VALID")),"",'Distributie'!AJ18)</x:f>
      </x:c>
      <x:c r="N182" s="10" t="str">
        <x:f>IF(M182="","",MAX(0.01,MIN(0.99,0.5+(M182-0.5)*'Motor_Meciuri'!BG18*'Calibrare_Linii'!D14)))</x:f>
      </x:c>
      <x:c r="O182" s="10" t="str">
        <x:f>IF(M182="","",1-M182)</x:f>
      </x:c>
      <x:c r="P182" s="10" t="str">
        <x:f>IF(OR(NOT(AND(J182="PASS",'Calibrare_Linii'!U14="VALID")),AK182=0),""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*('Istoric_Nativ'!$Q$6:$Q$405&gt;H182))/AK182)</x:f>
      </x:c>
      <x:c r="Q182" s="10" t="str">
        <x:f>IF(OR(NOT(AND(J182="PASS",'Calibrare_Linii'!U14="VALID")),AL182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M18)+((('Istoric_Nativ'!$E$6:$E$405='Input_Meci'!E18)+('Istoric_Nativ'!$F$6:$F$405='Input_Meci'!E18))&gt;0)*('Istoric_Nativ'!$D$6:$D$405&gt;='Motor_Meciuri'!BN18))&gt;0)*('Istoric_Nativ'!$Q$6:$Q$405&gt;H182))/AL182)</x:f>
      </x:c>
      <x:c r="R182" s="10" t="str">
        <x:f>IF(OR(NOT(AND(J182="PASS",'Calibrare_Linii'!U14="VALID")),AM182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O18)+((('Istoric_Nativ'!$E$6:$E$405='Input_Meci'!E18)+('Istoric_Nativ'!$F$6:$F$405='Input_Meci'!E18))&gt;0)*('Istoric_Nativ'!$D$6:$D$405&gt;='Motor_Meciuri'!BP18))&gt;0)*('Istoric_Nativ'!$Q$6:$Q$405&gt;H182))/AM182)</x:f>
      </x:c>
      <x:c r="S182" s="10" t="str">
        <x:f>IF(M182="","",MAX(O182,P182,Q182,R182))</x:f>
      </x:c>
      <x:c r="T182" s="11" t="str">
        <x:f>IF(M182="","",MIN(100,S182*100*'Config_v6'!$B$44+MIN(100,L182/'Config_v6'!$B$13*100)*'Config_v6'!$B$45+(100-'Motor_Meciuri'!BF18)*'Config_v6'!$B$46+'Motor_Meciuri'!BH18*100*'Config_v6'!$B$47))</x:f>
      </x:c>
      <x:c r="U182" s="2" t="str">
        <x:f>IF(T182="","",IF(T182&lt;=20,1,IF(T182&lt;=40,2,IF(T182&lt;=60,3,IF(T182&lt;=80,4,5)))))</x:f>
      </x:c>
      <x:c r="V182" s="2" t="str">
        <x:f>IF(M182="","",MAX(0,'Motor_Meciuri'!BF18-IF(W182="OOS PENDING",'Config_v6'!$B$35,0)-IF(L182&gt;'Config_v6'!$B$12,'Config_v6'!$B$37,IF(L182&gt;'Config_v6'!$B$11,'Config_v6'!$B$36,0))))</x:f>
      </x:c>
      <x:c r="W182" s="2" t="str">
        <x:f>IF(B182="","",IF(I182&lt;&gt;"READY","NOT RELEASED",IF(NOT(AND(J182="PASS",'Calibrare_Linii'!U14="VALID")),"INVALID",IF(NOT(AND('Calibrare_Linii'!S14="VALIDATED",AND('Calibrare_Linii'!H14=C182,ISNUMBER('Calibrare_Linii'!J14),'Calibrare_Linii'!J14&lt;='Input_Meci'!G18))),"OOS PENDING",IF(S182&lt;='Calibrare_Linii'!E14,"PASS",IF(S182&lt;='Calibrare_Linii'!F14,"PENALTY","WATCH"))))))</x:f>
      </x:c>
      <x:c r="X182" s="2" t="str">
        <x:f>IF(M182="","",IF(AND(AND(J182="PASS",'Calibrare_Linii'!U14="VALID"),'Motor_Meciuri'!K18=12,'Motor_Meciuri'!L18=12,'Motor_Meciuri'!M18="NO",'Motor_Meciuri'!BL18='Motor_Meciuri'!C18,AB182&gt;='Config_v6'!$B$50,AN182&gt;='Config_v6'!$B$51,T182&lt;='Config_v6'!$B$52,L182&lt;='Config_v6'!$B$53,ISNUMBER('Calibrare_Linii'!E14),S182&lt;='Calibrare_Linii'!E14,SUM(AK182:AM182)&gt;0),"CANDIDATE","NO"))</x:f>
      </x:c>
      <x:c r="Y182" s="2" t="str">
        <x:f>IF(B182="","",IF(I182&lt;&gt;"READY","NOT RELEASED",IF(AND(X182="CANDIDATE",V182&gt;='Config_v6'!$B$51,W182="PASS",'Calibrare_Linii'!T14="VALIDATED",AND('Calibrare_Linii'!H14=C182,ISNUMBER('Calibrare_Linii'!J14),'Calibrare_Linii'!J14&lt;='Input_Meci'!G18)),"PASS",IF(X182="CANDIDATE","OOS PENDING","FAIL"))))</x:f>
      </x:c>
      <x:c r="Z182" s="2" t="str">
        <x:f>IF(B182="","",IF(I182&lt;&gt;"READY","",IF(OR(NOT(AND(J182="PASS",'Calibrare_Linii'!U14="VALID")),L182&gt;'Config_v6'!$B$13,W182="WATCH"),5,IF(Y182="PASS",1,MIN(5,MAX('Config_v6'!$B$42,U182)+IF(W182="PENALTY",1,0))))))</x:f>
      </x:c>
      <x:c r="AA182" s="2" t="str">
        <x:f>IF(B182="","",IF(I182&lt;&gt;"READY","NOT RELEASED",IF(Z182=5,"NO BET",IF(OR(AB182&lt;'Config_v6'!$B$16,V182&lt;'Config_v6'!$B$18),"WATCH",IF(Z182=1,"DEFENSIV",IF(Z182=2,"PRUDENT",IF(Z182=3,"MODERAT","RIDICAT")))))))</x:f>
      </x:c>
      <x:c r="AB182" s="10" t="str">
        <x:f>IF(N182="","",MIN(N182,1-S182))</x:f>
      </x:c>
      <x:c r="AC182" s="2" t="str">
        <x:f>IF(AD182&lt;&gt;1,"",COUNTIFS($Z$174:$Z$187,"&lt;"&amp;Z182,$AD$174:$AD$187,1)+COUNTIFS($Z$174:$Z$187,Z182,$AB$174:$AB$187,"&gt;"&amp;AB182,$AD$174:$AD$187,1)+COUNTIFS($Z$174:$Z$187,Z182,$AB$174:$AB$187,AB182,$V$174:$V$187,"&gt;"&amp;V182,$AD$174:$AD$187,1)+COUNTIFS($Z$174:Z182,Z182,$AB$174:AB182,AB182,$V$174:V182,V182,$AD$174:AD182,1))</x:f>
      </x:c>
      <x:c r="AD182" s="2" t="n">
        <x:f>IF(OR(AA182="DEFENSIV",AA182="PRUDENT",AA182="MODERAT",AA182="RIDICAT"),1,0)</x:f>
        <x:v>0</x:v>
      </x:c>
      <x:c r="AE182" s="2" t="str">
        <x:f>IF(AD182&lt;&gt;1,"NO",IF(W182="PASS","YES",IF(W182="OOS PENDING","CONDITIONAL","NO")))</x:f>
        <x:v>NO</x:v>
      </x:c>
      <x:c r="AF182" s="2" t="n">
        <x:f>IF(AND(AD182=1,AC182=1,E182="LIVE"),1,0)</x:f>
        <x:v>0</x:v>
      </x:c>
      <x:c r="AG182" s="2" t="str">
        <x:f>IF(AF182&lt;&gt;1,"",'Dashboard'!P38)</x:f>
      </x:c>
      <x:c r="AH182" s="2" t="str">
        <x:f>IF(B182="","",IF(J182&lt;&gt;"PASS",'Motor_Meciuri'!J18,IF('Calibrare_Linii'!U14&lt;&gt;"VALID","Parametri linie invalizi",IF(L182&gt;'Config_v6'!$B$13,"Dispersie peste limita",IF(W182="WATCH","Failure peste limita",IF(AB182&lt;'Config_v6'!$B$16,"P finala sub prag",IF(V182&lt;'Config_v6'!$B$18,"Confidence sub prag",IF(E182="REPLAY","Exemplu retrospectiv; exclus din Top LIVE",IF(Y182="PASS","DEFENSIV validat",IF(W182="OOS PENDING","Eligibil; calibrare linie in monitorizare","Eligibil"))))))))))</x:f>
      </x:c>
      <x:c r="AI182" s="2" t="str">
        <x:f>IF(B182="","",'Calibrare_Linii'!V14)</x:f>
      </x:c>
      <x:c r="AJ182" s="2" t="str">
        <x:f>IF(B182="","",IF(AND('Calibrare_Linii'!T14="VALIDATED",AND('Calibrare_Linii'!H14=C182,ISNUMBER('Calibrare_Linii'!J14),'Calibrare_Linii'!J14&lt;='Input_Meci'!G18)),"DEFENSIVE VALIDATED",IF(AND('Calibrare_Linii'!S14="VALIDATED",AND('Calibrare_Linii'!H14=C182,ISNUMBER('Calibrare_Linii'!J14),'Calibrare_Linii'!J14&lt;='Input_Meci'!G18)),"TAIL VALIDATED","OOS PENDING")))</x:f>
      </x:c>
      <x:c r="AK182" s="2" t="n">
        <x:f>IF(J182&lt;&gt;"PASS",0,'Motor_Meciuri'!BR18)</x:f>
        <x:v>0</x:v>
      </x:c>
      <x:c r="AL182" s="2" t="n">
        <x:f>IF(J182&lt;&gt;"PASS",0,'Motor_Meciuri'!BS18)</x:f>
        <x:v>0</x:v>
      </x:c>
      <x:c r="AM182" s="2" t="n">
        <x:f>IF(J182&lt;&gt;"PASS",0,'Motor_Meciuri'!BT18)</x:f>
        <x:v>0</x:v>
      </x:c>
      <x:c r="AN182" s="2" t="str">
        <x:f>IF(M182="","",MAX(0,'Motor_Meciuri'!BF18-IF(L182&gt;'Config_v6'!$B$12,'Config_v6'!$B$37,IF(L182&gt;'Config_v6'!$B$11,'Config_v6'!$B$36,0))))</x:f>
      </x:c>
    </x:row>
    <x:row r="183" ht="21" customHeight="1">
      <x:c r="A183" s="2" t="n">
        <x:v>13</x:v>
      </x:c>
      <x:c r="B183" s="2" t="str">
        <x:f>IF('Motor_Meciuri'!A18="","",'Motor_Meciuri'!A18)</x:f>
      </x:c>
      <x:c r="C183" s="2" t="str">
        <x:f>IF(B183="","",'Motor_Meciuri'!B18)</x:f>
      </x:c>
      <x:c r="D183" s="2" t="str">
        <x:f>IF(B183="","",'Motor_Meciuri'!D18)</x:f>
      </x:c>
      <x:c r="E183" s="2" t="str">
        <x:f>IF(B183="","",'Motor_Meciuri'!E18)</x:f>
      </x:c>
      <x:c r="F183" s="2" t="str">
        <x:v>U13,5</x:v>
      </x:c>
      <x:c r="G183" s="2" t="str">
        <x:v>UNDER</x:v>
      </x:c>
      <x:c r="H183" s="2" t="n">
        <x:v>13</x:v>
      </x:c>
      <x:c r="I183" s="2" t="str">
        <x:f>IF(B183="","",'Motor_Meciuri'!H18)</x:f>
      </x:c>
      <x:c r="J183" s="2" t="str">
        <x:f>IF(B183="","",'Motor_Meciuri'!I18)</x:f>
      </x:c>
      <x:c r="K183" s="11" t="str">
        <x:f>IF(J183&lt;&gt;"PASS","",'Motor_Meciuri'!BD18)</x:f>
      </x:c>
      <x:c r="L183" s="11" t="str">
        <x:f>IF(J183&lt;&gt;"PASS","",'Motor_Meciuri'!AU18)</x:f>
      </x:c>
      <x:c r="M183" s="10" t="str">
        <x:f>IF(NOT(AND(J183="PASS",'Calibrare_Linii'!U15="VALID")),"",'Distributie'!AK18)</x:f>
      </x:c>
      <x:c r="N183" s="10" t="str">
        <x:f>IF(M183="","",MAX(0.01,MIN(0.99,0.5+(M183-0.5)*'Motor_Meciuri'!BG18*'Calibrare_Linii'!D15)))</x:f>
      </x:c>
      <x:c r="O183" s="10" t="str">
        <x:f>IF(M183="","",1-M183)</x:f>
      </x:c>
      <x:c r="P183" s="10" t="str">
        <x:f>IF(OR(NOT(AND(J183="PASS",'Calibrare_Linii'!U15="VALID")),AK183=0),""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*('Istoric_Nativ'!$Q$6:$Q$405&gt;H183))/AK183)</x:f>
      </x:c>
      <x:c r="Q183" s="10" t="str">
        <x:f>IF(OR(NOT(AND(J183="PASS",'Calibrare_Linii'!U15="VALID")),AL183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M18)+((('Istoric_Nativ'!$E$6:$E$405='Input_Meci'!E18)+('Istoric_Nativ'!$F$6:$F$405='Input_Meci'!E18))&gt;0)*('Istoric_Nativ'!$D$6:$D$405&gt;='Motor_Meciuri'!BN18))&gt;0)*('Istoric_Nativ'!$Q$6:$Q$405&gt;H183))/AL183)</x:f>
      </x:c>
      <x:c r="R183" s="10" t="str">
        <x:f>IF(OR(NOT(AND(J183="PASS",'Calibrare_Linii'!U15="VALID")),AM183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O18)+((('Istoric_Nativ'!$E$6:$E$405='Input_Meci'!E18)+('Istoric_Nativ'!$F$6:$F$405='Input_Meci'!E18))&gt;0)*('Istoric_Nativ'!$D$6:$D$405&gt;='Motor_Meciuri'!BP18))&gt;0)*('Istoric_Nativ'!$Q$6:$Q$405&gt;H183))/AM183)</x:f>
      </x:c>
      <x:c r="S183" s="10" t="str">
        <x:f>IF(M183="","",MAX(O183,P183,Q183,R183))</x:f>
      </x:c>
      <x:c r="T183" s="11" t="str">
        <x:f>IF(M183="","",MIN(100,S183*100*'Config_v6'!$B$44+MIN(100,L183/'Config_v6'!$B$13*100)*'Config_v6'!$B$45+(100-'Motor_Meciuri'!BF18)*'Config_v6'!$B$46+'Motor_Meciuri'!BH18*100*'Config_v6'!$B$47))</x:f>
      </x:c>
      <x:c r="U183" s="2" t="str">
        <x:f>IF(T183="","",IF(T183&lt;=20,1,IF(T183&lt;=40,2,IF(T183&lt;=60,3,IF(T183&lt;=80,4,5)))))</x:f>
      </x:c>
      <x:c r="V183" s="2" t="str">
        <x:f>IF(M183="","",MAX(0,'Motor_Meciuri'!BF18-IF(W183="OOS PENDING",'Config_v6'!$B$35,0)-IF(L183&gt;'Config_v6'!$B$12,'Config_v6'!$B$37,IF(L183&gt;'Config_v6'!$B$11,'Config_v6'!$B$36,0))))</x:f>
      </x:c>
      <x:c r="W183" s="2" t="str">
        <x:f>IF(B183="","",IF(I183&lt;&gt;"READY","NOT RELEASED",IF(NOT(AND(J183="PASS",'Calibrare_Linii'!U15="VALID")),"INVALID",IF(NOT(AND('Calibrare_Linii'!S15="VALIDATED",AND('Calibrare_Linii'!H15=C183,ISNUMBER('Calibrare_Linii'!J15),'Calibrare_Linii'!J15&lt;='Input_Meci'!G18))),"OOS PENDING",IF(S183&lt;='Calibrare_Linii'!E15,"PASS",IF(S183&lt;='Calibrare_Linii'!F15,"PENALTY","WATCH"))))))</x:f>
      </x:c>
      <x:c r="X183" s="2" t="str">
        <x:f>IF(M183="","",IF(AND(AND(J183="PASS",'Calibrare_Linii'!U15="VALID"),'Motor_Meciuri'!K18=12,'Motor_Meciuri'!L18=12,'Motor_Meciuri'!M18="NO",'Motor_Meciuri'!BL18='Motor_Meciuri'!C18,AB183&gt;='Config_v6'!$B$50,AN183&gt;='Config_v6'!$B$51,T183&lt;='Config_v6'!$B$52,L183&lt;='Config_v6'!$B$53,ISNUMBER('Calibrare_Linii'!E15),S183&lt;='Calibrare_Linii'!E15,SUM(AK183:AM183)&gt;0),"CANDIDATE","NO"))</x:f>
      </x:c>
      <x:c r="Y183" s="2" t="str">
        <x:f>IF(B183="","",IF(I183&lt;&gt;"READY","NOT RELEASED",IF(AND(X183="CANDIDATE",V183&gt;='Config_v6'!$B$51,W183="PASS",'Calibrare_Linii'!T15="VALIDATED",AND('Calibrare_Linii'!H15=C183,ISNUMBER('Calibrare_Linii'!J15),'Calibrare_Linii'!J15&lt;='Input_Meci'!G18)),"PASS",IF(X183="CANDIDATE","OOS PENDING","FAIL"))))</x:f>
      </x:c>
      <x:c r="Z183" s="2" t="str">
        <x:f>IF(B183="","",IF(I183&lt;&gt;"READY","",IF(OR(NOT(AND(J183="PASS",'Calibrare_Linii'!U15="VALID")),L183&gt;'Config_v6'!$B$13,W183="WATCH"),5,IF(Y183="PASS",1,MIN(5,MAX('Config_v6'!$B$42,U183)+IF(W183="PENALTY",1,0))))))</x:f>
      </x:c>
      <x:c r="AA183" s="2" t="str">
        <x:f>IF(B183="","",IF(I183&lt;&gt;"READY","NOT RELEASED",IF(Z183=5,"NO BET",IF(OR(AB183&lt;'Config_v6'!$B$16,V183&lt;'Config_v6'!$B$18),"WATCH",IF(Z183=1,"DEFENSIV",IF(Z183=2,"PRUDENT",IF(Z183=3,"MODERAT","RIDICAT")))))))</x:f>
      </x:c>
      <x:c r="AB183" s="10" t="str">
        <x:f>IF(N183="","",MIN(N183,1-S183))</x:f>
      </x:c>
      <x:c r="AC183" s="2" t="str">
        <x:f>IF(AD183&lt;&gt;1,"",COUNTIFS($Z$174:$Z$187,"&lt;"&amp;Z183,$AD$174:$AD$187,1)+COUNTIFS($Z$174:$Z$187,Z183,$AB$174:$AB$187,"&gt;"&amp;AB183,$AD$174:$AD$187,1)+COUNTIFS($Z$174:$Z$187,Z183,$AB$174:$AB$187,AB183,$V$174:$V$187,"&gt;"&amp;V183,$AD$174:$AD$187,1)+COUNTIFS($Z$174:Z183,Z183,$AB$174:AB183,AB183,$V$174:V183,V183,$AD$174:AD183,1))</x:f>
      </x:c>
      <x:c r="AD183" s="2" t="n">
        <x:f>IF(OR(AA183="DEFENSIV",AA183="PRUDENT",AA183="MODERAT",AA183="RIDICAT"),1,0)</x:f>
        <x:v>0</x:v>
      </x:c>
      <x:c r="AE183" s="2" t="str">
        <x:f>IF(AD183&lt;&gt;1,"NO",IF(W183="PASS","YES",IF(W183="OOS PENDING","CONDITIONAL","NO")))</x:f>
        <x:v>NO</x:v>
      </x:c>
      <x:c r="AF183" s="2" t="n">
        <x:f>IF(AND(AD183=1,AC183=1,E183="LIVE"),1,0)</x:f>
        <x:v>0</x:v>
      </x:c>
      <x:c r="AG183" s="2" t="str">
        <x:f>IF(AF183&lt;&gt;1,"",'Dashboard'!P38)</x:f>
      </x:c>
      <x:c r="AH183" s="2" t="str">
        <x:f>IF(B183="","",IF(J183&lt;&gt;"PASS",'Motor_Meciuri'!J18,IF('Calibrare_Linii'!U15&lt;&gt;"VALID","Parametri linie invalizi",IF(L183&gt;'Config_v6'!$B$13,"Dispersie peste limita",IF(W183="WATCH","Failure peste limita",IF(AB183&lt;'Config_v6'!$B$16,"P finala sub prag",IF(V183&lt;'Config_v6'!$B$18,"Confidence sub prag",IF(E183="REPLAY","Exemplu retrospectiv; exclus din Top LIVE",IF(Y183="PASS","DEFENSIV validat",IF(W183="OOS PENDING","Eligibil; calibrare linie in monitorizare","Eligibil"))))))))))</x:f>
      </x:c>
      <x:c r="AI183" s="2" t="str">
        <x:f>IF(B183="","",'Calibrare_Linii'!V15)</x:f>
      </x:c>
      <x:c r="AJ183" s="2" t="str">
        <x:f>IF(B183="","",IF(AND('Calibrare_Linii'!T15="VALIDATED",AND('Calibrare_Linii'!H15=C183,ISNUMBER('Calibrare_Linii'!J15),'Calibrare_Linii'!J15&lt;='Input_Meci'!G18)),"DEFENSIVE VALIDATED",IF(AND('Calibrare_Linii'!S15="VALIDATED",AND('Calibrare_Linii'!H15=C183,ISNUMBER('Calibrare_Linii'!J15),'Calibrare_Linii'!J15&lt;='Input_Meci'!G18)),"TAIL VALIDATED","OOS PENDING")))</x:f>
      </x:c>
      <x:c r="AK183" s="2" t="n">
        <x:f>IF(J183&lt;&gt;"PASS",0,'Motor_Meciuri'!BR18)</x:f>
        <x:v>0</x:v>
      </x:c>
      <x:c r="AL183" s="2" t="n">
        <x:f>IF(J183&lt;&gt;"PASS",0,'Motor_Meciuri'!BS18)</x:f>
        <x:v>0</x:v>
      </x:c>
      <x:c r="AM183" s="2" t="n">
        <x:f>IF(J183&lt;&gt;"PASS",0,'Motor_Meciuri'!BT18)</x:f>
        <x:v>0</x:v>
      </x:c>
      <x:c r="AN183" s="2" t="str">
        <x:f>IF(M183="","",MAX(0,'Motor_Meciuri'!BF18-IF(L183&gt;'Config_v6'!$B$12,'Config_v6'!$B$37,IF(L183&gt;'Config_v6'!$B$11,'Config_v6'!$B$36,0))))</x:f>
      </x:c>
    </x:row>
    <x:row r="184" ht="21" customHeight="1">
      <x:c r="A184" s="2" t="n">
        <x:v>13</x:v>
      </x:c>
      <x:c r="B184" s="2" t="str">
        <x:f>IF('Motor_Meciuri'!A18="","",'Motor_Meciuri'!A18)</x:f>
      </x:c>
      <x:c r="C184" s="2" t="str">
        <x:f>IF(B184="","",'Motor_Meciuri'!B18)</x:f>
      </x:c>
      <x:c r="D184" s="2" t="str">
        <x:f>IF(B184="","",'Motor_Meciuri'!D18)</x:f>
      </x:c>
      <x:c r="E184" s="2" t="str">
        <x:f>IF(B184="","",'Motor_Meciuri'!E18)</x:f>
      </x:c>
      <x:c r="F184" s="2" t="str">
        <x:v>U14,5</x:v>
      </x:c>
      <x:c r="G184" s="2" t="str">
        <x:v>UNDER</x:v>
      </x:c>
      <x:c r="H184" s="2" t="n">
        <x:v>14</x:v>
      </x:c>
      <x:c r="I184" s="2" t="str">
        <x:f>IF(B184="","",'Motor_Meciuri'!H18)</x:f>
      </x:c>
      <x:c r="J184" s="2" t="str">
        <x:f>IF(B184="","",'Motor_Meciuri'!I18)</x:f>
      </x:c>
      <x:c r="K184" s="11" t="str">
        <x:f>IF(J184&lt;&gt;"PASS","",'Motor_Meciuri'!BD18)</x:f>
      </x:c>
      <x:c r="L184" s="11" t="str">
        <x:f>IF(J184&lt;&gt;"PASS","",'Motor_Meciuri'!AU18)</x:f>
      </x:c>
      <x:c r="M184" s="10" t="str">
        <x:f>IF(NOT(AND(J184="PASS",'Calibrare_Linii'!U16="VALID")),"",'Distributie'!AL18)</x:f>
      </x:c>
      <x:c r="N184" s="10" t="str">
        <x:f>IF(M184="","",MAX(0.01,MIN(0.99,0.5+(M184-0.5)*'Motor_Meciuri'!BG18*'Calibrare_Linii'!D16)))</x:f>
      </x:c>
      <x:c r="O184" s="10" t="str">
        <x:f>IF(M184="","",1-M184)</x:f>
      </x:c>
      <x:c r="P184" s="10" t="str">
        <x:f>IF(OR(NOT(AND(J184="PASS",'Calibrare_Linii'!U16="VALID")),AK184=0),""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*('Istoric_Nativ'!$Q$6:$Q$405&gt;H184))/AK184)</x:f>
      </x:c>
      <x:c r="Q184" s="10" t="str">
        <x:f>IF(OR(NOT(AND(J184="PASS",'Calibrare_Linii'!U16="VALID")),AL184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M18)+((('Istoric_Nativ'!$E$6:$E$405='Input_Meci'!E18)+('Istoric_Nativ'!$F$6:$F$405='Input_Meci'!E18))&gt;0)*('Istoric_Nativ'!$D$6:$D$405&gt;='Motor_Meciuri'!BN18))&gt;0)*('Istoric_Nativ'!$Q$6:$Q$405&gt;H184))/AL184)</x:f>
      </x:c>
      <x:c r="R184" s="10" t="str">
        <x:f>IF(OR(NOT(AND(J184="PASS",'Calibrare_Linii'!U16="VALID")),AM184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O18)+((('Istoric_Nativ'!$E$6:$E$405='Input_Meci'!E18)+('Istoric_Nativ'!$F$6:$F$405='Input_Meci'!E18))&gt;0)*('Istoric_Nativ'!$D$6:$D$405&gt;='Motor_Meciuri'!BP18))&gt;0)*('Istoric_Nativ'!$Q$6:$Q$405&gt;H184))/AM184)</x:f>
      </x:c>
      <x:c r="S184" s="10" t="str">
        <x:f>IF(M184="","",MAX(O184,P184,Q184,R184))</x:f>
      </x:c>
      <x:c r="T184" s="11" t="str">
        <x:f>IF(M184="","",MIN(100,S184*100*'Config_v6'!$B$44+MIN(100,L184/'Config_v6'!$B$13*100)*'Config_v6'!$B$45+(100-'Motor_Meciuri'!BF18)*'Config_v6'!$B$46+'Motor_Meciuri'!BH18*100*'Config_v6'!$B$47))</x:f>
      </x:c>
      <x:c r="U184" s="2" t="str">
        <x:f>IF(T184="","",IF(T184&lt;=20,1,IF(T184&lt;=40,2,IF(T184&lt;=60,3,IF(T184&lt;=80,4,5)))))</x:f>
      </x:c>
      <x:c r="V184" s="2" t="str">
        <x:f>IF(M184="","",MAX(0,'Motor_Meciuri'!BF18-IF(W184="OOS PENDING",'Config_v6'!$B$35,0)-IF(L184&gt;'Config_v6'!$B$12,'Config_v6'!$B$37,IF(L184&gt;'Config_v6'!$B$11,'Config_v6'!$B$36,0))))</x:f>
      </x:c>
      <x:c r="W184" s="2" t="str">
        <x:f>IF(B184="","",IF(I184&lt;&gt;"READY","NOT RELEASED",IF(NOT(AND(J184="PASS",'Calibrare_Linii'!U16="VALID")),"INVALID",IF(NOT(AND('Calibrare_Linii'!S16="VALIDATED",AND('Calibrare_Linii'!H16=C184,ISNUMBER('Calibrare_Linii'!J16),'Calibrare_Linii'!J16&lt;='Input_Meci'!G18))),"OOS PENDING",IF(S184&lt;='Calibrare_Linii'!E16,"PASS",IF(S184&lt;='Calibrare_Linii'!F16,"PENALTY","WATCH"))))))</x:f>
      </x:c>
      <x:c r="X184" s="2" t="str">
        <x:f>IF(M184="","",IF(AND(AND(J184="PASS",'Calibrare_Linii'!U16="VALID"),'Motor_Meciuri'!K18=12,'Motor_Meciuri'!L18=12,'Motor_Meciuri'!M18="NO",'Motor_Meciuri'!BL18='Motor_Meciuri'!C18,AB184&gt;='Config_v6'!$B$50,AN184&gt;='Config_v6'!$B$51,T184&lt;='Config_v6'!$B$52,L184&lt;='Config_v6'!$B$53,ISNUMBER('Calibrare_Linii'!E16),S184&lt;='Calibrare_Linii'!E16,SUM(AK184:AM184)&gt;0),"CANDIDATE","NO"))</x:f>
      </x:c>
      <x:c r="Y184" s="2" t="str">
        <x:f>IF(B184="","",IF(I184&lt;&gt;"READY","NOT RELEASED",IF(AND(X184="CANDIDATE",V184&gt;='Config_v6'!$B$51,W184="PASS",'Calibrare_Linii'!T16="VALIDATED",AND('Calibrare_Linii'!H16=C184,ISNUMBER('Calibrare_Linii'!J16),'Calibrare_Linii'!J16&lt;='Input_Meci'!G18)),"PASS",IF(X184="CANDIDATE","OOS PENDING","FAIL"))))</x:f>
      </x:c>
      <x:c r="Z184" s="2" t="str">
        <x:f>IF(B184="","",IF(I184&lt;&gt;"READY","",IF(OR(NOT(AND(J184="PASS",'Calibrare_Linii'!U16="VALID")),L184&gt;'Config_v6'!$B$13,W184="WATCH"),5,IF(Y184="PASS",1,MIN(5,MAX('Config_v6'!$B$42,U184)+IF(W184="PENALTY",1,0))))))</x:f>
      </x:c>
      <x:c r="AA184" s="2" t="str">
        <x:f>IF(B184="","",IF(I184&lt;&gt;"READY","NOT RELEASED",IF(Z184=5,"NO BET",IF(OR(AB184&lt;'Config_v6'!$B$16,V184&lt;'Config_v6'!$B$18),"WATCH",IF(Z184=1,"DEFENSIV",IF(Z184=2,"PRUDENT",IF(Z184=3,"MODERAT","RIDICAT")))))))</x:f>
      </x:c>
      <x:c r="AB184" s="10" t="str">
        <x:f>IF(N184="","",MIN(N184,1-S184))</x:f>
      </x:c>
      <x:c r="AC184" s="2" t="str">
        <x:f>IF(AD184&lt;&gt;1,"",COUNTIFS($Z$174:$Z$187,"&lt;"&amp;Z184,$AD$174:$AD$187,1)+COUNTIFS($Z$174:$Z$187,Z184,$AB$174:$AB$187,"&gt;"&amp;AB184,$AD$174:$AD$187,1)+COUNTIFS($Z$174:$Z$187,Z184,$AB$174:$AB$187,AB184,$V$174:$V$187,"&gt;"&amp;V184,$AD$174:$AD$187,1)+COUNTIFS($Z$174:Z184,Z184,$AB$174:AB184,AB184,$V$174:V184,V184,$AD$174:AD184,1))</x:f>
      </x:c>
      <x:c r="AD184" s="2" t="n">
        <x:f>IF(OR(AA184="DEFENSIV",AA184="PRUDENT",AA184="MODERAT",AA184="RIDICAT"),1,0)</x:f>
        <x:v>0</x:v>
      </x:c>
      <x:c r="AE184" s="2" t="str">
        <x:f>IF(AD184&lt;&gt;1,"NO",IF(W184="PASS","YES",IF(W184="OOS PENDING","CONDITIONAL","NO")))</x:f>
        <x:v>NO</x:v>
      </x:c>
      <x:c r="AF184" s="2" t="n">
        <x:f>IF(AND(AD184=1,AC184=1,E184="LIVE"),1,0)</x:f>
        <x:v>0</x:v>
      </x:c>
      <x:c r="AG184" s="2" t="str">
        <x:f>IF(AF184&lt;&gt;1,"",'Dashboard'!P38)</x:f>
      </x:c>
      <x:c r="AH184" s="2" t="str">
        <x:f>IF(B184="","",IF(J184&lt;&gt;"PASS",'Motor_Meciuri'!J18,IF('Calibrare_Linii'!U16&lt;&gt;"VALID","Parametri linie invalizi",IF(L184&gt;'Config_v6'!$B$13,"Dispersie peste limita",IF(W184="WATCH","Failure peste limita",IF(AB184&lt;'Config_v6'!$B$16,"P finala sub prag",IF(V184&lt;'Config_v6'!$B$18,"Confidence sub prag",IF(E184="REPLAY","Exemplu retrospectiv; exclus din Top LIVE",IF(Y184="PASS","DEFENSIV validat",IF(W184="OOS PENDING","Eligibil; calibrare linie in monitorizare","Eligibil"))))))))))</x:f>
      </x:c>
      <x:c r="AI184" s="2" t="str">
        <x:f>IF(B184="","",'Calibrare_Linii'!V16)</x:f>
      </x:c>
      <x:c r="AJ184" s="2" t="str">
        <x:f>IF(B184="","",IF(AND('Calibrare_Linii'!T16="VALIDATED",AND('Calibrare_Linii'!H16=C184,ISNUMBER('Calibrare_Linii'!J16),'Calibrare_Linii'!J16&lt;='Input_Meci'!G18)),"DEFENSIVE VALIDATED",IF(AND('Calibrare_Linii'!S16="VALIDATED",AND('Calibrare_Linii'!H16=C184,ISNUMBER('Calibrare_Linii'!J16),'Calibrare_Linii'!J16&lt;='Input_Meci'!G18)),"TAIL VALIDATED","OOS PENDING")))</x:f>
      </x:c>
      <x:c r="AK184" s="2" t="n">
        <x:f>IF(J184&lt;&gt;"PASS",0,'Motor_Meciuri'!BR18)</x:f>
        <x:v>0</x:v>
      </x:c>
      <x:c r="AL184" s="2" t="n">
        <x:f>IF(J184&lt;&gt;"PASS",0,'Motor_Meciuri'!BS18)</x:f>
        <x:v>0</x:v>
      </x:c>
      <x:c r="AM184" s="2" t="n">
        <x:f>IF(J184&lt;&gt;"PASS",0,'Motor_Meciuri'!BT18)</x:f>
        <x:v>0</x:v>
      </x:c>
      <x:c r="AN184" s="2" t="str">
        <x:f>IF(M184="","",MAX(0,'Motor_Meciuri'!BF18-IF(L184&gt;'Config_v6'!$B$12,'Config_v6'!$B$37,IF(L184&gt;'Config_v6'!$B$11,'Config_v6'!$B$36,0))))</x:f>
      </x:c>
    </x:row>
    <x:row r="185" ht="21" customHeight="1">
      <x:c r="A185" s="2" t="n">
        <x:v>13</x:v>
      </x:c>
      <x:c r="B185" s="2" t="str">
        <x:f>IF('Motor_Meciuri'!A18="","",'Motor_Meciuri'!A18)</x:f>
      </x:c>
      <x:c r="C185" s="2" t="str">
        <x:f>IF(B185="","",'Motor_Meciuri'!B18)</x:f>
      </x:c>
      <x:c r="D185" s="2" t="str">
        <x:f>IF(B185="","",'Motor_Meciuri'!D18)</x:f>
      </x:c>
      <x:c r="E185" s="2" t="str">
        <x:f>IF(B185="","",'Motor_Meciuri'!E18)</x:f>
      </x:c>
      <x:c r="F185" s="2" t="str">
        <x:v>U15,5</x:v>
      </x:c>
      <x:c r="G185" s="2" t="str">
        <x:v>UNDER</x:v>
      </x:c>
      <x:c r="H185" s="2" t="n">
        <x:v>15</x:v>
      </x:c>
      <x:c r="I185" s="2" t="str">
        <x:f>IF(B185="","",'Motor_Meciuri'!H18)</x:f>
      </x:c>
      <x:c r="J185" s="2" t="str">
        <x:f>IF(B185="","",'Motor_Meciuri'!I18)</x:f>
      </x:c>
      <x:c r="K185" s="11" t="str">
        <x:f>IF(J185&lt;&gt;"PASS","",'Motor_Meciuri'!BD18)</x:f>
      </x:c>
      <x:c r="L185" s="11" t="str">
        <x:f>IF(J185&lt;&gt;"PASS","",'Motor_Meciuri'!AU18)</x:f>
      </x:c>
      <x:c r="M185" s="10" t="str">
        <x:f>IF(NOT(AND(J185="PASS",'Calibrare_Linii'!U17="VALID")),"",'Distributie'!AM18)</x:f>
      </x:c>
      <x:c r="N185" s="10" t="str">
        <x:f>IF(M185="","",MAX(0.01,MIN(0.99,0.5+(M185-0.5)*'Motor_Meciuri'!BG18*'Calibrare_Linii'!D17)))</x:f>
      </x:c>
      <x:c r="O185" s="10" t="str">
        <x:f>IF(M185="","",1-M185)</x:f>
      </x:c>
      <x:c r="P185" s="10" t="str">
        <x:f>IF(OR(NOT(AND(J185="PASS",'Calibrare_Linii'!U17="VALID")),AK185=0),""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*('Istoric_Nativ'!$Q$6:$Q$405&gt;H185))/AK185)</x:f>
      </x:c>
      <x:c r="Q185" s="10" t="str">
        <x:f>IF(OR(NOT(AND(J185="PASS",'Calibrare_Linii'!U17="VALID")),AL185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M18)+((('Istoric_Nativ'!$E$6:$E$405='Input_Meci'!E18)+('Istoric_Nativ'!$F$6:$F$405='Input_Meci'!E18))&gt;0)*('Istoric_Nativ'!$D$6:$D$405&gt;='Motor_Meciuri'!BN18))&gt;0)*('Istoric_Nativ'!$Q$6:$Q$405&gt;H185))/AL185)</x:f>
      </x:c>
      <x:c r="R185" s="10" t="str">
        <x:f>IF(OR(NOT(AND(J185="PASS",'Calibrare_Linii'!U17="VALID")),AM185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O18)+((('Istoric_Nativ'!$E$6:$E$405='Input_Meci'!E18)+('Istoric_Nativ'!$F$6:$F$405='Input_Meci'!E18))&gt;0)*('Istoric_Nativ'!$D$6:$D$405&gt;='Motor_Meciuri'!BP18))&gt;0)*('Istoric_Nativ'!$Q$6:$Q$405&gt;H185))/AM185)</x:f>
      </x:c>
      <x:c r="S185" s="10" t="str">
        <x:f>IF(M185="","",MAX(O185,P185,Q185,R185))</x:f>
      </x:c>
      <x:c r="T185" s="11" t="str">
        <x:f>IF(M185="","",MIN(100,S185*100*'Config_v6'!$B$44+MIN(100,L185/'Config_v6'!$B$13*100)*'Config_v6'!$B$45+(100-'Motor_Meciuri'!BF18)*'Config_v6'!$B$46+'Motor_Meciuri'!BH18*100*'Config_v6'!$B$47))</x:f>
      </x:c>
      <x:c r="U185" s="2" t="str">
        <x:f>IF(T185="","",IF(T185&lt;=20,1,IF(T185&lt;=40,2,IF(T185&lt;=60,3,IF(T185&lt;=80,4,5)))))</x:f>
      </x:c>
      <x:c r="V185" s="2" t="str">
        <x:f>IF(M185="","",MAX(0,'Motor_Meciuri'!BF18-IF(W185="OOS PENDING",'Config_v6'!$B$35,0)-IF(L185&gt;'Config_v6'!$B$12,'Config_v6'!$B$37,IF(L185&gt;'Config_v6'!$B$11,'Config_v6'!$B$36,0))))</x:f>
      </x:c>
      <x:c r="W185" s="2" t="str">
        <x:f>IF(B185="","",IF(I185&lt;&gt;"READY","NOT RELEASED",IF(NOT(AND(J185="PASS",'Calibrare_Linii'!U17="VALID")),"INVALID",IF(NOT(AND('Calibrare_Linii'!S17="VALIDATED",AND('Calibrare_Linii'!H17=C185,ISNUMBER('Calibrare_Linii'!J17),'Calibrare_Linii'!J17&lt;='Input_Meci'!G18))),"OOS PENDING",IF(S185&lt;='Calibrare_Linii'!E17,"PASS",IF(S185&lt;='Calibrare_Linii'!F17,"PENALTY","WATCH"))))))</x:f>
      </x:c>
      <x:c r="X185" s="2" t="str">
        <x:f>IF(M185="","",IF(AND(AND(J185="PASS",'Calibrare_Linii'!U17="VALID"),'Motor_Meciuri'!K18=12,'Motor_Meciuri'!L18=12,'Motor_Meciuri'!M18="NO",'Motor_Meciuri'!BL18='Motor_Meciuri'!C18,AB185&gt;='Config_v6'!$B$50,AN185&gt;='Config_v6'!$B$51,T185&lt;='Config_v6'!$B$52,L185&lt;='Config_v6'!$B$53,ISNUMBER('Calibrare_Linii'!E17),S185&lt;='Calibrare_Linii'!E17,SUM(AK185:AM185)&gt;0),"CANDIDATE","NO"))</x:f>
      </x:c>
      <x:c r="Y185" s="2" t="str">
        <x:f>IF(B185="","",IF(I185&lt;&gt;"READY","NOT RELEASED",IF(AND(X185="CANDIDATE",V185&gt;='Config_v6'!$B$51,W185="PASS",'Calibrare_Linii'!T17="VALIDATED",AND('Calibrare_Linii'!H17=C185,ISNUMBER('Calibrare_Linii'!J17),'Calibrare_Linii'!J17&lt;='Input_Meci'!G18)),"PASS",IF(X185="CANDIDATE","OOS PENDING","FAIL"))))</x:f>
      </x:c>
      <x:c r="Z185" s="2" t="str">
        <x:f>IF(B185="","",IF(I185&lt;&gt;"READY","",IF(OR(NOT(AND(J185="PASS",'Calibrare_Linii'!U17="VALID")),L185&gt;'Config_v6'!$B$13,W185="WATCH"),5,IF(Y185="PASS",1,MIN(5,MAX('Config_v6'!$B$42,U185)+IF(W185="PENALTY",1,0))))))</x:f>
      </x:c>
      <x:c r="AA185" s="2" t="str">
        <x:f>IF(B185="","",IF(I185&lt;&gt;"READY","NOT RELEASED",IF(Z185=5,"NO BET",IF(OR(AB185&lt;'Config_v6'!$B$16,V185&lt;'Config_v6'!$B$18),"WATCH",IF(Z185=1,"DEFENSIV",IF(Z185=2,"PRUDENT",IF(Z185=3,"MODERAT","RIDICAT")))))))</x:f>
      </x:c>
      <x:c r="AB185" s="10" t="str">
        <x:f>IF(N185="","",MIN(N185,1-S185))</x:f>
      </x:c>
      <x:c r="AC185" s="2" t="str">
        <x:f>IF(AD185&lt;&gt;1,"",COUNTIFS($Z$174:$Z$187,"&lt;"&amp;Z185,$AD$174:$AD$187,1)+COUNTIFS($Z$174:$Z$187,Z185,$AB$174:$AB$187,"&gt;"&amp;AB185,$AD$174:$AD$187,1)+COUNTIFS($Z$174:$Z$187,Z185,$AB$174:$AB$187,AB185,$V$174:$V$187,"&gt;"&amp;V185,$AD$174:$AD$187,1)+COUNTIFS($Z$174:Z185,Z185,$AB$174:AB185,AB185,$V$174:V185,V185,$AD$174:AD185,1))</x:f>
      </x:c>
      <x:c r="AD185" s="2" t="n">
        <x:f>IF(OR(AA185="DEFENSIV",AA185="PRUDENT",AA185="MODERAT",AA185="RIDICAT"),1,0)</x:f>
        <x:v>0</x:v>
      </x:c>
      <x:c r="AE185" s="2" t="str">
        <x:f>IF(AD185&lt;&gt;1,"NO",IF(W185="PASS","YES",IF(W185="OOS PENDING","CONDITIONAL","NO")))</x:f>
        <x:v>NO</x:v>
      </x:c>
      <x:c r="AF185" s="2" t="n">
        <x:f>IF(AND(AD185=1,AC185=1,E185="LIVE"),1,0)</x:f>
        <x:v>0</x:v>
      </x:c>
      <x:c r="AG185" s="2" t="str">
        <x:f>IF(AF185&lt;&gt;1,"",'Dashboard'!P38)</x:f>
      </x:c>
      <x:c r="AH185" s="2" t="str">
        <x:f>IF(B185="","",IF(J185&lt;&gt;"PASS",'Motor_Meciuri'!J18,IF('Calibrare_Linii'!U17&lt;&gt;"VALID","Parametri linie invalizi",IF(L185&gt;'Config_v6'!$B$13,"Dispersie peste limita",IF(W185="WATCH","Failure peste limita",IF(AB185&lt;'Config_v6'!$B$16,"P finala sub prag",IF(V185&lt;'Config_v6'!$B$18,"Confidence sub prag",IF(E185="REPLAY","Exemplu retrospectiv; exclus din Top LIVE",IF(Y185="PASS","DEFENSIV validat",IF(W185="OOS PENDING","Eligibil; calibrare linie in monitorizare","Eligibil"))))))))))</x:f>
      </x:c>
      <x:c r="AI185" s="2" t="str">
        <x:f>IF(B185="","",'Calibrare_Linii'!V17)</x:f>
      </x:c>
      <x:c r="AJ185" s="2" t="str">
        <x:f>IF(B185="","",IF(AND('Calibrare_Linii'!T17="VALIDATED",AND('Calibrare_Linii'!H17=C185,ISNUMBER('Calibrare_Linii'!J17),'Calibrare_Linii'!J17&lt;='Input_Meci'!G18)),"DEFENSIVE VALIDATED",IF(AND('Calibrare_Linii'!S17="VALIDATED",AND('Calibrare_Linii'!H17=C185,ISNUMBER('Calibrare_Linii'!J17),'Calibrare_Linii'!J17&lt;='Input_Meci'!G18)),"TAIL VALIDATED","OOS PENDING")))</x:f>
      </x:c>
      <x:c r="AK185" s="2" t="n">
        <x:f>IF(J185&lt;&gt;"PASS",0,'Motor_Meciuri'!BR18)</x:f>
        <x:v>0</x:v>
      </x:c>
      <x:c r="AL185" s="2" t="n">
        <x:f>IF(J185&lt;&gt;"PASS",0,'Motor_Meciuri'!BS18)</x:f>
        <x:v>0</x:v>
      </x:c>
      <x:c r="AM185" s="2" t="n">
        <x:f>IF(J185&lt;&gt;"PASS",0,'Motor_Meciuri'!BT18)</x:f>
        <x:v>0</x:v>
      </x:c>
      <x:c r="AN185" s="2" t="str">
        <x:f>IF(M185="","",MAX(0,'Motor_Meciuri'!BF18-IF(L185&gt;'Config_v6'!$B$12,'Config_v6'!$B$37,IF(L185&gt;'Config_v6'!$B$11,'Config_v6'!$B$36,0))))</x:f>
      </x:c>
    </x:row>
    <x:row r="186" ht="21" customHeight="1">
      <x:c r="A186" s="2" t="n">
        <x:v>13</x:v>
      </x:c>
      <x:c r="B186" s="2" t="str">
        <x:f>IF('Motor_Meciuri'!A18="","",'Motor_Meciuri'!A18)</x:f>
      </x:c>
      <x:c r="C186" s="2" t="str">
        <x:f>IF(B186="","",'Motor_Meciuri'!B18)</x:f>
      </x:c>
      <x:c r="D186" s="2" t="str">
        <x:f>IF(B186="","",'Motor_Meciuri'!D18)</x:f>
      </x:c>
      <x:c r="E186" s="2" t="str">
        <x:f>IF(B186="","",'Motor_Meciuri'!E18)</x:f>
      </x:c>
      <x:c r="F186" s="2" t="str">
        <x:v>U16,5</x:v>
      </x:c>
      <x:c r="G186" s="2" t="str">
        <x:v>UNDER</x:v>
      </x:c>
      <x:c r="H186" s="2" t="n">
        <x:v>16</x:v>
      </x:c>
      <x:c r="I186" s="2" t="str">
        <x:f>IF(B186="","",'Motor_Meciuri'!H18)</x:f>
      </x:c>
      <x:c r="J186" s="2" t="str">
        <x:f>IF(B186="","",'Motor_Meciuri'!I18)</x:f>
      </x:c>
      <x:c r="K186" s="11" t="str">
        <x:f>IF(J186&lt;&gt;"PASS","",'Motor_Meciuri'!BD18)</x:f>
      </x:c>
      <x:c r="L186" s="11" t="str">
        <x:f>IF(J186&lt;&gt;"PASS","",'Motor_Meciuri'!AU18)</x:f>
      </x:c>
      <x:c r="M186" s="10" t="str">
        <x:f>IF(NOT(AND(J186="PASS",'Calibrare_Linii'!U18="VALID")),"",'Distributie'!AN18)</x:f>
      </x:c>
      <x:c r="N186" s="10" t="str">
        <x:f>IF(M186="","",MAX(0.01,MIN(0.99,0.5+(M186-0.5)*'Motor_Meciuri'!BG18*'Calibrare_Linii'!D18)))</x:f>
      </x:c>
      <x:c r="O186" s="10" t="str">
        <x:f>IF(M186="","",1-M186)</x:f>
      </x:c>
      <x:c r="P186" s="10" t="str">
        <x:f>IF(OR(NOT(AND(J186="PASS",'Calibrare_Linii'!U18="VALID")),AK186=0),""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*('Istoric_Nativ'!$Q$6:$Q$405&gt;H186))/AK186)</x:f>
      </x:c>
      <x:c r="Q186" s="10" t="str">
        <x:f>IF(OR(NOT(AND(J186="PASS",'Calibrare_Linii'!U18="VALID")),AL186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M18)+((('Istoric_Nativ'!$E$6:$E$405='Input_Meci'!E18)+('Istoric_Nativ'!$F$6:$F$405='Input_Meci'!E18))&gt;0)*('Istoric_Nativ'!$D$6:$D$405&gt;='Motor_Meciuri'!BN18))&gt;0)*('Istoric_Nativ'!$Q$6:$Q$405&gt;H186))/AL186)</x:f>
      </x:c>
      <x:c r="R186" s="10" t="str">
        <x:f>IF(OR(NOT(AND(J186="PASS",'Calibrare_Linii'!U18="VALID")),AM186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O18)+((('Istoric_Nativ'!$E$6:$E$405='Input_Meci'!E18)+('Istoric_Nativ'!$F$6:$F$405='Input_Meci'!E18))&gt;0)*('Istoric_Nativ'!$D$6:$D$405&gt;='Motor_Meciuri'!BP18))&gt;0)*('Istoric_Nativ'!$Q$6:$Q$405&gt;H186))/AM186)</x:f>
      </x:c>
      <x:c r="S186" s="10" t="str">
        <x:f>IF(M186="","",MAX(O186,P186,Q186,R186))</x:f>
      </x:c>
      <x:c r="T186" s="11" t="str">
        <x:f>IF(M186="","",MIN(100,S186*100*'Config_v6'!$B$44+MIN(100,L186/'Config_v6'!$B$13*100)*'Config_v6'!$B$45+(100-'Motor_Meciuri'!BF18)*'Config_v6'!$B$46+'Motor_Meciuri'!BH18*100*'Config_v6'!$B$47))</x:f>
      </x:c>
      <x:c r="U186" s="2" t="str">
        <x:f>IF(T186="","",IF(T186&lt;=20,1,IF(T186&lt;=40,2,IF(T186&lt;=60,3,IF(T186&lt;=80,4,5)))))</x:f>
      </x:c>
      <x:c r="V186" s="2" t="str">
        <x:f>IF(M186="","",MAX(0,'Motor_Meciuri'!BF18-IF(W186="OOS PENDING",'Config_v6'!$B$35,0)-IF(L186&gt;'Config_v6'!$B$12,'Config_v6'!$B$37,IF(L186&gt;'Config_v6'!$B$11,'Config_v6'!$B$36,0))))</x:f>
      </x:c>
      <x:c r="W186" s="2" t="str">
        <x:f>IF(B186="","",IF(I186&lt;&gt;"READY","NOT RELEASED",IF(NOT(AND(J186="PASS",'Calibrare_Linii'!U18="VALID")),"INVALID",IF(NOT(AND('Calibrare_Linii'!S18="VALIDATED",AND('Calibrare_Linii'!H18=C186,ISNUMBER('Calibrare_Linii'!J18),'Calibrare_Linii'!J18&lt;='Input_Meci'!G18))),"OOS PENDING",IF(S186&lt;='Calibrare_Linii'!E18,"PASS",IF(S186&lt;='Calibrare_Linii'!F18,"PENALTY","WATCH"))))))</x:f>
      </x:c>
      <x:c r="X186" s="2" t="str">
        <x:f>IF(M186="","",IF(AND(AND(J186="PASS",'Calibrare_Linii'!U18="VALID"),'Motor_Meciuri'!K18=12,'Motor_Meciuri'!L18=12,'Motor_Meciuri'!M18="NO",'Motor_Meciuri'!BL18='Motor_Meciuri'!C18,AB186&gt;='Config_v6'!$B$50,AN186&gt;='Config_v6'!$B$51,T186&lt;='Config_v6'!$B$52,L186&lt;='Config_v6'!$B$53,ISNUMBER('Calibrare_Linii'!E18),S186&lt;='Calibrare_Linii'!E18,SUM(AK186:AM186)&gt;0),"CANDIDATE","NO"))</x:f>
      </x:c>
      <x:c r="Y186" s="2" t="str">
        <x:f>IF(B186="","",IF(I186&lt;&gt;"READY","NOT RELEASED",IF(AND(X186="CANDIDATE",V186&gt;='Config_v6'!$B$51,W186="PASS",'Calibrare_Linii'!T18="VALIDATED",AND('Calibrare_Linii'!H18=C186,ISNUMBER('Calibrare_Linii'!J18),'Calibrare_Linii'!J18&lt;='Input_Meci'!G18)),"PASS",IF(X186="CANDIDATE","OOS PENDING","FAIL"))))</x:f>
      </x:c>
      <x:c r="Z186" s="2" t="str">
        <x:f>IF(B186="","",IF(I186&lt;&gt;"READY","",IF(OR(NOT(AND(J186="PASS",'Calibrare_Linii'!U18="VALID")),L186&gt;'Config_v6'!$B$13,W186="WATCH"),5,IF(Y186="PASS",1,MIN(5,MAX('Config_v6'!$B$42,U186)+IF(W186="PENALTY",1,0))))))</x:f>
      </x:c>
      <x:c r="AA186" s="2" t="str">
        <x:f>IF(B186="","",IF(I186&lt;&gt;"READY","NOT RELEASED",IF(Z186=5,"NO BET",IF(OR(AB186&lt;'Config_v6'!$B$16,V186&lt;'Config_v6'!$B$18),"WATCH",IF(Z186=1,"DEFENSIV",IF(Z186=2,"PRUDENT",IF(Z186=3,"MODERAT","RIDICAT")))))))</x:f>
      </x:c>
      <x:c r="AB186" s="10" t="str">
        <x:f>IF(N186="","",MIN(N186,1-S186))</x:f>
      </x:c>
      <x:c r="AC186" s="2" t="str">
        <x:f>IF(AD186&lt;&gt;1,"",COUNTIFS($Z$174:$Z$187,"&lt;"&amp;Z186,$AD$174:$AD$187,1)+COUNTIFS($Z$174:$Z$187,Z186,$AB$174:$AB$187,"&gt;"&amp;AB186,$AD$174:$AD$187,1)+COUNTIFS($Z$174:$Z$187,Z186,$AB$174:$AB$187,AB186,$V$174:$V$187,"&gt;"&amp;V186,$AD$174:$AD$187,1)+COUNTIFS($Z$174:Z186,Z186,$AB$174:AB186,AB186,$V$174:V186,V186,$AD$174:AD186,1))</x:f>
      </x:c>
      <x:c r="AD186" s="2" t="n">
        <x:f>IF(OR(AA186="DEFENSIV",AA186="PRUDENT",AA186="MODERAT",AA186="RIDICAT"),1,0)</x:f>
        <x:v>0</x:v>
      </x:c>
      <x:c r="AE186" s="2" t="str">
        <x:f>IF(AD186&lt;&gt;1,"NO",IF(W186="PASS","YES",IF(W186="OOS PENDING","CONDITIONAL","NO")))</x:f>
        <x:v>NO</x:v>
      </x:c>
      <x:c r="AF186" s="2" t="n">
        <x:f>IF(AND(AD186=1,AC186=1,E186="LIVE"),1,0)</x:f>
        <x:v>0</x:v>
      </x:c>
      <x:c r="AG186" s="2" t="str">
        <x:f>IF(AF186&lt;&gt;1,"",'Dashboard'!P38)</x:f>
      </x:c>
      <x:c r="AH186" s="2" t="str">
        <x:f>IF(B186="","",IF(J186&lt;&gt;"PASS",'Motor_Meciuri'!J18,IF('Calibrare_Linii'!U18&lt;&gt;"VALID","Parametri linie invalizi",IF(L186&gt;'Config_v6'!$B$13,"Dispersie peste limita",IF(W186="WATCH","Failure peste limita",IF(AB186&lt;'Config_v6'!$B$16,"P finala sub prag",IF(V186&lt;'Config_v6'!$B$18,"Confidence sub prag",IF(E186="REPLAY","Exemplu retrospectiv; exclus din Top LIVE",IF(Y186="PASS","DEFENSIV validat",IF(W186="OOS PENDING","Eligibil; calibrare linie in monitorizare","Eligibil"))))))))))</x:f>
      </x:c>
      <x:c r="AI186" s="2" t="str">
        <x:f>IF(B186="","",'Calibrare_Linii'!V18)</x:f>
      </x:c>
      <x:c r="AJ186" s="2" t="str">
        <x:f>IF(B186="","",IF(AND('Calibrare_Linii'!T18="VALIDATED",AND('Calibrare_Linii'!H18=C186,ISNUMBER('Calibrare_Linii'!J18),'Calibrare_Linii'!J18&lt;='Input_Meci'!G18)),"DEFENSIVE VALIDATED",IF(AND('Calibrare_Linii'!S18="VALIDATED",AND('Calibrare_Linii'!H18=C186,ISNUMBER('Calibrare_Linii'!J18),'Calibrare_Linii'!J18&lt;='Input_Meci'!G18)),"TAIL VALIDATED","OOS PENDING")))</x:f>
      </x:c>
      <x:c r="AK186" s="2" t="n">
        <x:f>IF(J186&lt;&gt;"PASS",0,'Motor_Meciuri'!BR18)</x:f>
        <x:v>0</x:v>
      </x:c>
      <x:c r="AL186" s="2" t="n">
        <x:f>IF(J186&lt;&gt;"PASS",0,'Motor_Meciuri'!BS18)</x:f>
        <x:v>0</x:v>
      </x:c>
      <x:c r="AM186" s="2" t="n">
        <x:f>IF(J186&lt;&gt;"PASS",0,'Motor_Meciuri'!BT18)</x:f>
        <x:v>0</x:v>
      </x:c>
      <x:c r="AN186" s="2" t="str">
        <x:f>IF(M186="","",MAX(0,'Motor_Meciuri'!BF18-IF(L186&gt;'Config_v6'!$B$12,'Config_v6'!$B$37,IF(L186&gt;'Config_v6'!$B$11,'Config_v6'!$B$36,0))))</x:f>
      </x:c>
    </x:row>
    <x:row r="187" ht="21" customHeight="1">
      <x:c r="A187" s="2" t="n">
        <x:v>13</x:v>
      </x:c>
      <x:c r="B187" s="2" t="str">
        <x:f>IF('Motor_Meciuri'!A18="","",'Motor_Meciuri'!A18)</x:f>
      </x:c>
      <x:c r="C187" s="2" t="str">
        <x:f>IF(B187="","",'Motor_Meciuri'!B18)</x:f>
      </x:c>
      <x:c r="D187" s="2" t="str">
        <x:f>IF(B187="","",'Motor_Meciuri'!D18)</x:f>
      </x:c>
      <x:c r="E187" s="2" t="str">
        <x:f>IF(B187="","",'Motor_Meciuri'!E18)</x:f>
      </x:c>
      <x:c r="F187" s="2" t="str">
        <x:v>U17,5</x:v>
      </x:c>
      <x:c r="G187" s="2" t="str">
        <x:v>UNDER</x:v>
      </x:c>
      <x:c r="H187" s="2" t="n">
        <x:v>17</x:v>
      </x:c>
      <x:c r="I187" s="2" t="str">
        <x:f>IF(B187="","",'Motor_Meciuri'!H18)</x:f>
      </x:c>
      <x:c r="J187" s="2" t="str">
        <x:f>IF(B187="","",'Motor_Meciuri'!I18)</x:f>
      </x:c>
      <x:c r="K187" s="11" t="str">
        <x:f>IF(J187&lt;&gt;"PASS","",'Motor_Meciuri'!BD18)</x:f>
      </x:c>
      <x:c r="L187" s="11" t="str">
        <x:f>IF(J187&lt;&gt;"PASS","",'Motor_Meciuri'!AU18)</x:f>
      </x:c>
      <x:c r="M187" s="10" t="str">
        <x:f>IF(NOT(AND(J187="PASS",'Calibrare_Linii'!U19="VALID")),"",'Distributie'!AO18)</x:f>
      </x:c>
      <x:c r="N187" s="10" t="str">
        <x:f>IF(M187="","",MAX(0.01,MIN(0.99,0.5+(M187-0.5)*'Motor_Meciuri'!BG18*'Calibrare_Linii'!D19)))</x:f>
      </x:c>
      <x:c r="O187" s="10" t="str">
        <x:f>IF(M187="","",1-M187)</x:f>
      </x:c>
      <x:c r="P187" s="10" t="str">
        <x:f>IF(OR(NOT(AND(J187="PASS",'Calibrare_Linii'!U19="VALID")),AK187=0),""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*('Istoric_Nativ'!$Q$6:$Q$405&gt;H187))/AK187)</x:f>
      </x:c>
      <x:c r="Q187" s="10" t="str">
        <x:f>IF(OR(NOT(AND(J187="PASS",'Calibrare_Linii'!U19="VALID")),AL187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M18)+((('Istoric_Nativ'!$E$6:$E$405='Input_Meci'!E18)+('Istoric_Nativ'!$F$6:$F$405='Input_Meci'!E18))&gt;0)*('Istoric_Nativ'!$D$6:$D$405&gt;='Motor_Meciuri'!BN18))&gt;0)*('Istoric_Nativ'!$Q$6:$Q$405&gt;H187))/AL187)</x:f>
      </x:c>
      <x:c r="R187" s="10" t="str">
        <x:f>IF(OR(NOT(AND(J187="PASS",'Calibrare_Linii'!U19="VALID")),AM187=0),""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'Motor_Meciuri'!BO18)+((('Istoric_Nativ'!$E$6:$E$405='Input_Meci'!E18)+('Istoric_Nativ'!$F$6:$F$405='Input_Meci'!E18))&gt;0)*('Istoric_Nativ'!$D$6:$D$405&gt;='Motor_Meciuri'!BP18))&gt;0)*('Istoric_Nativ'!$Q$6:$Q$405&gt;H187))/AM187)</x:f>
      </x:c>
      <x:c r="S187" s="10" t="str">
        <x:f>IF(M187="","",MAX(O187,P187,Q187,R187))</x:f>
      </x:c>
      <x:c r="T187" s="11" t="str">
        <x:f>IF(M187="","",MIN(100,S187*100*'Config_v6'!$B$44+MIN(100,L187/'Config_v6'!$B$13*100)*'Config_v6'!$B$45+(100-'Motor_Meciuri'!BF18)*'Config_v6'!$B$46+'Motor_Meciuri'!BH18*100*'Config_v6'!$B$47))</x:f>
      </x:c>
      <x:c r="U187" s="2" t="str">
        <x:f>IF(T187="","",IF(T187&lt;=20,1,IF(T187&lt;=40,2,IF(T187&lt;=60,3,IF(T187&lt;=80,4,5)))))</x:f>
      </x:c>
      <x:c r="V187" s="2" t="str">
        <x:f>IF(M187="","",MAX(0,'Motor_Meciuri'!BF18-IF(W187="OOS PENDING",'Config_v6'!$B$35,0)-IF(L187&gt;'Config_v6'!$B$12,'Config_v6'!$B$37,IF(L187&gt;'Config_v6'!$B$11,'Config_v6'!$B$36,0))))</x:f>
      </x:c>
      <x:c r="W187" s="2" t="str">
        <x:f>IF(B187="","",IF(I187&lt;&gt;"READY","NOT RELEASED",IF(NOT(AND(J187="PASS",'Calibrare_Linii'!U19="VALID")),"INVALID",IF(NOT(AND('Calibrare_Linii'!S19="VALIDATED",AND('Calibrare_Linii'!H19=C187,ISNUMBER('Calibrare_Linii'!J19),'Calibrare_Linii'!J19&lt;='Input_Meci'!G18))),"OOS PENDING",IF(S187&lt;='Calibrare_Linii'!E19,"PASS",IF(S187&lt;='Calibrare_Linii'!F19,"PENALTY","WATCH"))))))</x:f>
      </x:c>
      <x:c r="X187" s="2" t="str">
        <x:f>IF(M187="","",IF(AND(AND(J187="PASS",'Calibrare_Linii'!U19="VALID"),'Motor_Meciuri'!K18=12,'Motor_Meciuri'!L18=12,'Motor_Meciuri'!M18="NO",'Motor_Meciuri'!BL18='Motor_Meciuri'!C18,AB187&gt;='Config_v6'!$B$50,AN187&gt;='Config_v6'!$B$51,T187&lt;='Config_v6'!$B$52,L187&lt;='Config_v6'!$B$53,ISNUMBER('Calibrare_Linii'!E19),S187&lt;='Calibrare_Linii'!E19,SUM(AK187:AM187)&gt;0),"CANDIDATE","NO"))</x:f>
      </x:c>
      <x:c r="Y187" s="2" t="str">
        <x:f>IF(B187="","",IF(I187&lt;&gt;"READY","NOT RELEASED",IF(AND(X187="CANDIDATE",V187&gt;='Config_v6'!$B$51,W187="PASS",'Calibrare_Linii'!T19="VALIDATED",AND('Calibrare_Linii'!H19=C187,ISNUMBER('Calibrare_Linii'!J19),'Calibrare_Linii'!J19&lt;='Input_Meci'!G18)),"PASS",IF(X187="CANDIDATE","OOS PENDING","FAIL"))))</x:f>
      </x:c>
      <x:c r="Z187" s="2" t="str">
        <x:f>IF(B187="","",IF(I187&lt;&gt;"READY","",IF(OR(NOT(AND(J187="PASS",'Calibrare_Linii'!U19="VALID")),L187&gt;'Config_v6'!$B$13,W187="WATCH"),5,IF(Y187="PASS",1,MIN(5,MAX('Config_v6'!$B$42,U187)+IF(W187="PENALTY",1,0))))))</x:f>
      </x:c>
      <x:c r="AA187" s="2" t="str">
        <x:f>IF(B187="","",IF(I187&lt;&gt;"READY","NOT RELEASED",IF(Z187=5,"NO BET",IF(OR(AB187&lt;'Config_v6'!$B$16,V187&lt;'Config_v6'!$B$18),"WATCH",IF(Z187=1,"DEFENSIV",IF(Z187=2,"PRUDENT",IF(Z187=3,"MODERAT","RIDICAT")))))))</x:f>
      </x:c>
      <x:c r="AB187" s="10" t="str">
        <x:f>IF(N187="","",MIN(N187,1-S187))</x:f>
      </x:c>
      <x:c r="AC187" s="2" t="str">
        <x:f>IF(AD187&lt;&gt;1,"",COUNTIFS($Z$174:$Z$187,"&lt;"&amp;Z187,$AD$174:$AD$187,1)+COUNTIFS($Z$174:$Z$187,Z187,$AB$174:$AB$187,"&gt;"&amp;AB187,$AD$174:$AD$187,1)+COUNTIFS($Z$174:$Z$187,Z187,$AB$174:$AB$187,AB187,$V$174:$V$187,"&gt;"&amp;V187,$AD$174:$AD$187,1)+COUNTIFS($Z$174:Z187,Z187,$AB$174:AB187,AB187,$V$174:V187,V187,$AD$174:AD187,1))</x:f>
      </x:c>
      <x:c r="AD187" s="2" t="n">
        <x:f>IF(OR(AA187="DEFENSIV",AA187="PRUDENT",AA187="MODERAT",AA187="RIDICAT"),1,0)</x:f>
        <x:v>0</x:v>
      </x:c>
      <x:c r="AE187" s="2" t="str">
        <x:f>IF(AD187&lt;&gt;1,"NO",IF(W187="PASS","YES",IF(W187="OOS PENDING","CONDITIONAL","NO")))</x:f>
        <x:v>NO</x:v>
      </x:c>
      <x:c r="AF187" s="2" t="n">
        <x:f>IF(AND(AD187=1,AC187=1,E187="LIVE"),1,0)</x:f>
        <x:v>0</x:v>
      </x:c>
      <x:c r="AG187" s="2" t="str">
        <x:f>IF(AF187&lt;&gt;1,"",'Dashboard'!P38)</x:f>
      </x:c>
      <x:c r="AH187" s="2" t="str">
        <x:f>IF(B187="","",IF(J187&lt;&gt;"PASS",'Motor_Meciuri'!J18,IF('Calibrare_Linii'!U19&lt;&gt;"VALID","Parametri linie invalizi",IF(L187&gt;'Config_v6'!$B$13,"Dispersie peste limita",IF(W187="WATCH","Failure peste limita",IF(AB187&lt;'Config_v6'!$B$16,"P finala sub prag",IF(V187&lt;'Config_v6'!$B$18,"Confidence sub prag",IF(E187="REPLAY","Exemplu retrospectiv; exclus din Top LIVE",IF(Y187="PASS","DEFENSIV validat",IF(W187="OOS PENDING","Eligibil; calibrare linie in monitorizare","Eligibil"))))))))))</x:f>
      </x:c>
      <x:c r="AI187" s="2" t="str">
        <x:f>IF(B187="","",'Calibrare_Linii'!V19)</x:f>
      </x:c>
      <x:c r="AJ187" s="2" t="str">
        <x:f>IF(B187="","",IF(AND('Calibrare_Linii'!T19="VALIDATED",AND('Calibrare_Linii'!H19=C187,ISNUMBER('Calibrare_Linii'!J19),'Calibrare_Linii'!J19&lt;='Input_Meci'!G18)),"DEFENSIVE VALIDATED",IF(AND('Calibrare_Linii'!S19="VALIDATED",AND('Calibrare_Linii'!H19=C187,ISNUMBER('Calibrare_Linii'!J19),'Calibrare_Linii'!J19&lt;='Input_Meci'!G18)),"TAIL VALIDATED","OOS PENDING")))</x:f>
      </x:c>
      <x:c r="AK187" s="2" t="n">
        <x:f>IF(J187&lt;&gt;"PASS",0,'Motor_Meciuri'!BR18)</x:f>
        <x:v>0</x:v>
      </x:c>
      <x:c r="AL187" s="2" t="n">
        <x:f>IF(J187&lt;&gt;"PASS",0,'Motor_Meciuri'!BS18)</x:f>
        <x:v>0</x:v>
      </x:c>
      <x:c r="AM187" s="2" t="n">
        <x:f>IF(J187&lt;&gt;"PASS",0,'Motor_Meciuri'!BT18)</x:f>
        <x:v>0</x:v>
      </x:c>
      <x:c r="AN187" s="2" t="str">
        <x:f>IF(M187="","",MAX(0,'Motor_Meciuri'!BF18-IF(L187&gt;'Config_v6'!$B$12,'Config_v6'!$B$37,IF(L187&gt;'Config_v6'!$B$11,'Config_v6'!$B$36,0))))</x:f>
      </x:c>
    </x:row>
    <x:row r="188" ht="21" customHeight="1">
      <x:c r="A188" s="2" t="n">
        <x:v>14</x:v>
      </x:c>
      <x:c r="B188" s="2" t="str">
        <x:f>IF('Motor_Meciuri'!A19="","",'Motor_Meciuri'!A19)</x:f>
      </x:c>
      <x:c r="C188" s="2" t="str">
        <x:f>IF(B188="","",'Motor_Meciuri'!B19)</x:f>
      </x:c>
      <x:c r="D188" s="2" t="str">
        <x:f>IF(B188="","",'Motor_Meciuri'!D19)</x:f>
      </x:c>
      <x:c r="E188" s="2" t="str">
        <x:f>IF(B188="","",'Motor_Meciuri'!E19)</x:f>
      </x:c>
      <x:c r="F188" s="2" t="str">
        <x:v>O3,5</x:v>
      </x:c>
      <x:c r="G188" s="2" t="str">
        <x:v>OVER</x:v>
      </x:c>
      <x:c r="H188" s="2" t="n">
        <x:v>3</x:v>
      </x:c>
      <x:c r="I188" s="2" t="str">
        <x:f>IF(B188="","",'Motor_Meciuri'!H19)</x:f>
      </x:c>
      <x:c r="J188" s="2" t="str">
        <x:f>IF(B188="","",'Motor_Meciuri'!I19)</x:f>
      </x:c>
      <x:c r="K188" s="11" t="str">
        <x:f>IF(J188&lt;&gt;"PASS","",'Motor_Meciuri'!BD19)</x:f>
      </x:c>
      <x:c r="L188" s="11" t="str">
        <x:f>IF(J188&lt;&gt;"PASS","",'Motor_Meciuri'!AU19)</x:f>
      </x:c>
      <x:c r="M188" s="10" t="str">
        <x:f>IF(NOT(AND(J188="PASS",'Calibrare_Linii'!U6="VALID")),"",1-'Distributie'!AA19)</x:f>
      </x:c>
      <x:c r="N188" s="10" t="str">
        <x:f>IF(M188="","",MAX(0.01,MIN(0.99,0.5+(M188-0.5)*'Motor_Meciuri'!BG19*'Calibrare_Linii'!D6)))</x:f>
      </x:c>
      <x:c r="O188" s="10" t="str">
        <x:f>IF(M188="","",1-M188)</x:f>
      </x:c>
      <x:c r="P188" s="10" t="str">
        <x:f>IF(OR(NOT(AND(J188="PASS",'Calibrare_Linii'!U6="VALID")),AK188=0),""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*('Istoric_Nativ'!$Q$6:$Q$405&lt;=H188))/AK188)</x:f>
      </x:c>
      <x:c r="Q188" s="10" t="str">
        <x:f>IF(OR(NOT(AND(J188="PASS",'Calibrare_Linii'!U6="VALID")),AL188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M19)+((('Istoric_Nativ'!$E$6:$E$405='Input_Meci'!E19)+('Istoric_Nativ'!$F$6:$F$405='Input_Meci'!E19))&gt;0)*('Istoric_Nativ'!$D$6:$D$405&gt;='Motor_Meciuri'!BN19))&gt;0)*('Istoric_Nativ'!$Q$6:$Q$405&lt;=H188))/AL188)</x:f>
      </x:c>
      <x:c r="R188" s="10" t="str">
        <x:f>IF(OR(NOT(AND(J188="PASS",'Calibrare_Linii'!U6="VALID")),AM188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O19)+((('Istoric_Nativ'!$E$6:$E$405='Input_Meci'!E19)+('Istoric_Nativ'!$F$6:$F$405='Input_Meci'!E19))&gt;0)*('Istoric_Nativ'!$D$6:$D$405&gt;='Motor_Meciuri'!BP19))&gt;0)*('Istoric_Nativ'!$Q$6:$Q$405&lt;=H188))/AM188)</x:f>
      </x:c>
      <x:c r="S188" s="10" t="str">
        <x:f>IF(M188="","",MAX(O188,P188,Q188,R188))</x:f>
      </x:c>
      <x:c r="T188" s="11" t="str">
        <x:f>IF(M188="","",MIN(100,S188*100*'Config_v6'!$B$44+MIN(100,L188/'Config_v6'!$B$13*100)*'Config_v6'!$B$45+(100-'Motor_Meciuri'!BF19)*'Config_v6'!$B$46+'Motor_Meciuri'!BH19*100*'Config_v6'!$B$47))</x:f>
      </x:c>
      <x:c r="U188" s="2" t="str">
        <x:f>IF(T188="","",IF(T188&lt;=20,1,IF(T188&lt;=40,2,IF(T188&lt;=60,3,IF(T188&lt;=80,4,5)))))</x:f>
      </x:c>
      <x:c r="V188" s="2" t="str">
        <x:f>IF(M188="","",MAX(0,'Motor_Meciuri'!BF19-IF(W188="OOS PENDING",'Config_v6'!$B$35,0)-IF(L188&gt;'Config_v6'!$B$12,'Config_v6'!$B$37,IF(L188&gt;'Config_v6'!$B$11,'Config_v6'!$B$36,0))))</x:f>
      </x:c>
      <x:c r="W188" s="2" t="str">
        <x:f>IF(B188="","",IF(I188&lt;&gt;"READY","NOT RELEASED",IF(NOT(AND(J188="PASS",'Calibrare_Linii'!U6="VALID")),"INVALID",IF(NOT(TRUE),"OOS PENDING",IF(S188&lt;=IF(AND('Calibrare_Linii'!S6="VALIDATED",AND('Calibrare_Linii'!H6=C188,ISNUMBER('Calibrare_Linii'!J6),'Calibrare_Linii'!J6&lt;='Input_Meci'!G19)),'Calibrare_Linii'!E6,'Config_v6'!$B$26),"PASS",IF(S188&lt;=IF(AND('Calibrare_Linii'!S6="VALIDATED",AND('Calibrare_Linii'!H6=C188,ISNUMBER('Calibrare_Linii'!J6),'Calibrare_Linii'!J6&lt;='Input_Meci'!G19)),'Calibrare_Linii'!F6,'Config_v6'!$C$26),"PENALTY","WATCH"))))))</x:f>
      </x:c>
      <x:c r="X188" s="2" t="str">
        <x:f>IF(M188="","",IF(AND(AND(J188="PASS",'Calibrare_Linii'!U6="VALID"),'Motor_Meciuri'!K19=12,'Motor_Meciuri'!L19=12,'Motor_Meciuri'!M19="NO",'Motor_Meciuri'!BL19='Motor_Meciuri'!C19,AB188&gt;='Config_v6'!$B$50,AN188&gt;='Config_v6'!$B$51,T188&lt;='Config_v6'!$B$52,L188&lt;='Config_v6'!$B$53,ISNUMBER('Calibrare_Linii'!E6),S188&lt;='Calibrare_Linii'!E6,SUM(AK188:AM188)&gt;0),"CANDIDATE","NO"))</x:f>
      </x:c>
      <x:c r="Y188" s="2" t="str">
        <x:f>IF(B188="","",IF(I188&lt;&gt;"READY","NOT RELEASED",IF(AND(X188="CANDIDATE",V188&gt;='Config_v6'!$B$51,W188="PASS",'Calibrare_Linii'!T6="VALIDATED",AND('Calibrare_Linii'!H6=C188,ISNUMBER('Calibrare_Linii'!J6),'Calibrare_Linii'!J6&lt;='Input_Meci'!G19)),"PASS",IF(X188="CANDIDATE","OOS PENDING","FAIL"))))</x:f>
      </x:c>
      <x:c r="Z188" s="2" t="str">
        <x:f>IF(B188="","",IF(I188&lt;&gt;"READY","",IF(OR(NOT(AND(J188="PASS",'Calibrare_Linii'!U6="VALID")),L188&gt;'Config_v6'!$B$13,W188="WATCH"),5,IF(Y188="PASS",1,MIN(5,MAX('Config_v6'!$B$42,U188)+IF(W188="PENALTY",1,0))))))</x:f>
      </x:c>
      <x:c r="AA188" s="2" t="str">
        <x:f>IF(B188="","",IF(I188&lt;&gt;"READY","NOT RELEASED",IF(Z188=5,"NO BET",IF(OR(AB188&lt;'Config_v6'!$B$16,V188&lt;'Config_v6'!$B$18),"WATCH",IF(Z188=1,"DEFENSIV",IF(Z188=2,"PRUDENT",IF(Z188=3,"MODERAT","RIDICAT")))))))</x:f>
      </x:c>
      <x:c r="AB188" s="10" t="str">
        <x:f>IF(N188="","",MIN(N188,1-S188))</x:f>
      </x:c>
      <x:c r="AC188" s="2" t="str">
        <x:f>IF(AD188&lt;&gt;1,"",COUNTIFS($Z$188:$Z$201,"&lt;"&amp;Z188,$AD$188:$AD$201,1)+COUNTIFS($Z$188:$Z$201,Z188,$AB$188:$AB$201,"&gt;"&amp;AB188,$AD$188:$AD$201,1)+COUNTIFS($Z$188:$Z$201,Z188,$AB$188:$AB$201,AB188,$V$188:$V$201,"&gt;"&amp;V188,$AD$188:$AD$201,1)+COUNTIFS($Z$188:Z188,Z188,$AB$188:AB188,AB188,$V$188:V188,V188,$AD$188:AD188,1))</x:f>
      </x:c>
      <x:c r="AD188" s="2" t="n">
        <x:f>IF(OR(AA188="DEFENSIV",AA188="PRUDENT",AA188="MODERAT",AA188="RIDICAT"),1,0)</x:f>
        <x:v>0</x:v>
      </x:c>
      <x:c r="AE188" s="2" t="str">
        <x:f>IF(AD188&lt;&gt;1,"NO",IF(W188="PASS","YES",IF(W188="OOS PENDING","CONDITIONAL","NO")))</x:f>
        <x:v>NO</x:v>
      </x:c>
      <x:c r="AF188" s="2" t="n">
        <x:f>IF(AND(AD188=1,AC188=1,E188="LIVE"),1,0)</x:f>
        <x:v>0</x:v>
      </x:c>
      <x:c r="AG188" s="2" t="str">
        <x:f>IF(AF188&lt;&gt;1,"",'Dashboard'!P39)</x:f>
      </x:c>
      <x:c r="AH188" s="2" t="str">
        <x:f>IF(B188="","",IF(J188&lt;&gt;"PASS",'Motor_Meciuri'!J19,IF('Calibrare_Linii'!U6&lt;&gt;"VALID","Parametri linie invalizi",IF(L188&gt;'Config_v6'!$B$13,"Dispersie peste limita",IF(W188="WATCH","Failure peste limita",IF(AB188&lt;'Config_v6'!$B$16,"P finala sub prag",IF(V188&lt;'Config_v6'!$B$18,"Confidence sub prag",IF(E188="REPLAY","Exemplu retrospectiv; exclus din Top LIVE",IF(Y188="PASS","DEFENSIV validat",IF(W188="OOS PENDING","Eligibil; calibrare linie in monitorizare","Eligibil"))))))))))</x:f>
      </x:c>
      <x:c r="AI188" s="2" t="str">
        <x:f>IF(B188="","",'Calibrare_Linii'!V6)</x:f>
      </x:c>
      <x:c r="AJ188" s="2" t="str">
        <x:f>IF(B188="","",IF(AND('Calibrare_Linii'!T6="VALIDATED",AND('Calibrare_Linii'!H6=C188,ISNUMBER('Calibrare_Linii'!J6),'Calibrare_Linii'!J6&lt;='Input_Meci'!G19)),"DEFENSIVE VALIDATED",IF(AND('Calibrare_Linii'!S6="VALIDATED",AND('Calibrare_Linii'!H6=C188,ISNUMBER('Calibrare_Linii'!J6),'Calibrare_Linii'!J6&lt;='Input_Meci'!G19)),"TAIL VALIDATED","OOS PENDING")))</x:f>
      </x:c>
      <x:c r="AK188" s="2" t="n">
        <x:f>IF(J188&lt;&gt;"PASS",0,'Motor_Meciuri'!BR19)</x:f>
        <x:v>0</x:v>
      </x:c>
      <x:c r="AL188" s="2" t="n">
        <x:f>IF(J188&lt;&gt;"PASS",0,'Motor_Meciuri'!BS19)</x:f>
        <x:v>0</x:v>
      </x:c>
      <x:c r="AM188" s="2" t="n">
        <x:f>IF(J188&lt;&gt;"PASS",0,'Motor_Meciuri'!BT19)</x:f>
        <x:v>0</x:v>
      </x:c>
      <x:c r="AN188" s="2" t="str">
        <x:f>IF(M188="","",MAX(0,'Motor_Meciuri'!BF19-IF(L188&gt;'Config_v6'!$B$12,'Config_v6'!$B$37,IF(L188&gt;'Config_v6'!$B$11,'Config_v6'!$B$36,0))))</x:f>
      </x:c>
    </x:row>
    <x:row r="189" ht="21" customHeight="1">
      <x:c r="A189" s="2" t="n">
        <x:v>14</x:v>
      </x:c>
      <x:c r="B189" s="2" t="str">
        <x:f>IF('Motor_Meciuri'!A19="","",'Motor_Meciuri'!A19)</x:f>
      </x:c>
      <x:c r="C189" s="2" t="str">
        <x:f>IF(B189="","",'Motor_Meciuri'!B19)</x:f>
      </x:c>
      <x:c r="D189" s="2" t="str">
        <x:f>IF(B189="","",'Motor_Meciuri'!D19)</x:f>
      </x:c>
      <x:c r="E189" s="2" t="str">
        <x:f>IF(B189="","",'Motor_Meciuri'!E19)</x:f>
      </x:c>
      <x:c r="F189" s="2" t="str">
        <x:v>O4,5</x:v>
      </x:c>
      <x:c r="G189" s="2" t="str">
        <x:v>OVER</x:v>
      </x:c>
      <x:c r="H189" s="2" t="n">
        <x:v>4</x:v>
      </x:c>
      <x:c r="I189" s="2" t="str">
        <x:f>IF(B189="","",'Motor_Meciuri'!H19)</x:f>
      </x:c>
      <x:c r="J189" s="2" t="str">
        <x:f>IF(B189="","",'Motor_Meciuri'!I19)</x:f>
      </x:c>
      <x:c r="K189" s="11" t="str">
        <x:f>IF(J189&lt;&gt;"PASS","",'Motor_Meciuri'!BD19)</x:f>
      </x:c>
      <x:c r="L189" s="11" t="str">
        <x:f>IF(J189&lt;&gt;"PASS","",'Motor_Meciuri'!AU19)</x:f>
      </x:c>
      <x:c r="M189" s="10" t="str">
        <x:f>IF(NOT(AND(J189="PASS",'Calibrare_Linii'!U7="VALID")),"",1-'Distributie'!AB19)</x:f>
      </x:c>
      <x:c r="N189" s="10" t="str">
        <x:f>IF(M189="","",MAX(0.01,MIN(0.99,0.5+(M189-0.5)*'Motor_Meciuri'!BG19*'Calibrare_Linii'!D7)))</x:f>
      </x:c>
      <x:c r="O189" s="10" t="str">
        <x:f>IF(M189="","",1-M189)</x:f>
      </x:c>
      <x:c r="P189" s="10" t="str">
        <x:f>IF(OR(NOT(AND(J189="PASS",'Calibrare_Linii'!U7="VALID")),AK189=0),""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*('Istoric_Nativ'!$Q$6:$Q$405&lt;=H189))/AK189)</x:f>
      </x:c>
      <x:c r="Q189" s="10" t="str">
        <x:f>IF(OR(NOT(AND(J189="PASS",'Calibrare_Linii'!U7="VALID")),AL189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M19)+((('Istoric_Nativ'!$E$6:$E$405='Input_Meci'!E19)+('Istoric_Nativ'!$F$6:$F$405='Input_Meci'!E19))&gt;0)*('Istoric_Nativ'!$D$6:$D$405&gt;='Motor_Meciuri'!BN19))&gt;0)*('Istoric_Nativ'!$Q$6:$Q$405&lt;=H189))/AL189)</x:f>
      </x:c>
      <x:c r="R189" s="10" t="str">
        <x:f>IF(OR(NOT(AND(J189="PASS",'Calibrare_Linii'!U7="VALID")),AM189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O19)+((('Istoric_Nativ'!$E$6:$E$405='Input_Meci'!E19)+('Istoric_Nativ'!$F$6:$F$405='Input_Meci'!E19))&gt;0)*('Istoric_Nativ'!$D$6:$D$405&gt;='Motor_Meciuri'!BP19))&gt;0)*('Istoric_Nativ'!$Q$6:$Q$405&lt;=H189))/AM189)</x:f>
      </x:c>
      <x:c r="S189" s="10" t="str">
        <x:f>IF(M189="","",MAX(O189,P189,Q189,R189))</x:f>
      </x:c>
      <x:c r="T189" s="11" t="str">
        <x:f>IF(M189="","",MIN(100,S189*100*'Config_v6'!$B$44+MIN(100,L189/'Config_v6'!$B$13*100)*'Config_v6'!$B$45+(100-'Motor_Meciuri'!BF19)*'Config_v6'!$B$46+'Motor_Meciuri'!BH19*100*'Config_v6'!$B$47))</x:f>
      </x:c>
      <x:c r="U189" s="2" t="str">
        <x:f>IF(T189="","",IF(T189&lt;=20,1,IF(T189&lt;=40,2,IF(T189&lt;=60,3,IF(T189&lt;=80,4,5)))))</x:f>
      </x:c>
      <x:c r="V189" s="2" t="str">
        <x:f>IF(M189="","",MAX(0,'Motor_Meciuri'!BF19-IF(W189="OOS PENDING",'Config_v6'!$B$35,0)-IF(L189&gt;'Config_v6'!$B$12,'Config_v6'!$B$37,IF(L189&gt;'Config_v6'!$B$11,'Config_v6'!$B$36,0))))</x:f>
      </x:c>
      <x:c r="W189" s="2" t="str">
        <x:f>IF(B189="","",IF(I189&lt;&gt;"READY","NOT RELEASED",IF(NOT(AND(J189="PASS",'Calibrare_Linii'!U7="VALID")),"INVALID",IF(NOT(AND('Calibrare_Linii'!S7="VALIDATED",AND('Calibrare_Linii'!H7=C189,ISNUMBER('Calibrare_Linii'!J7),'Calibrare_Linii'!J7&lt;='Input_Meci'!G19))),"OOS PENDING",IF(S189&lt;='Calibrare_Linii'!E7,"PASS",IF(S189&lt;='Calibrare_Linii'!F7,"PENALTY","WATCH"))))))</x:f>
      </x:c>
      <x:c r="X189" s="2" t="str">
        <x:f>IF(M189="","",IF(AND(AND(J189="PASS",'Calibrare_Linii'!U7="VALID"),'Motor_Meciuri'!K19=12,'Motor_Meciuri'!L19=12,'Motor_Meciuri'!M19="NO",'Motor_Meciuri'!BL19='Motor_Meciuri'!C19,AB189&gt;='Config_v6'!$B$50,AN189&gt;='Config_v6'!$B$51,T189&lt;='Config_v6'!$B$52,L189&lt;='Config_v6'!$B$53,ISNUMBER('Calibrare_Linii'!E7),S189&lt;='Calibrare_Linii'!E7,SUM(AK189:AM189)&gt;0),"CANDIDATE","NO"))</x:f>
      </x:c>
      <x:c r="Y189" s="2" t="str">
        <x:f>IF(B189="","",IF(I189&lt;&gt;"READY","NOT RELEASED",IF(AND(X189="CANDIDATE",V189&gt;='Config_v6'!$B$51,W189="PASS",'Calibrare_Linii'!T7="VALIDATED",AND('Calibrare_Linii'!H7=C189,ISNUMBER('Calibrare_Linii'!J7),'Calibrare_Linii'!J7&lt;='Input_Meci'!G19)),"PASS",IF(X189="CANDIDATE","OOS PENDING","FAIL"))))</x:f>
      </x:c>
      <x:c r="Z189" s="2" t="str">
        <x:f>IF(B189="","",IF(I189&lt;&gt;"READY","",IF(OR(NOT(AND(J189="PASS",'Calibrare_Linii'!U7="VALID")),L189&gt;'Config_v6'!$B$13,W189="WATCH"),5,IF(Y189="PASS",1,MIN(5,MAX('Config_v6'!$B$42,U189)+IF(W189="PENALTY",1,0))))))</x:f>
      </x:c>
      <x:c r="AA189" s="2" t="str">
        <x:f>IF(B189="","",IF(I189&lt;&gt;"READY","NOT RELEASED",IF(Z189=5,"NO BET",IF(OR(AB189&lt;'Config_v6'!$B$16,V189&lt;'Config_v6'!$B$18),"WATCH",IF(Z189=1,"DEFENSIV",IF(Z189=2,"PRUDENT",IF(Z189=3,"MODERAT","RIDICAT")))))))</x:f>
      </x:c>
      <x:c r="AB189" s="10" t="str">
        <x:f>IF(N189="","",MIN(N189,1-S189))</x:f>
      </x:c>
      <x:c r="AC189" s="2" t="str">
        <x:f>IF(AD189&lt;&gt;1,"",COUNTIFS($Z$188:$Z$201,"&lt;"&amp;Z189,$AD$188:$AD$201,1)+COUNTIFS($Z$188:$Z$201,Z189,$AB$188:$AB$201,"&gt;"&amp;AB189,$AD$188:$AD$201,1)+COUNTIFS($Z$188:$Z$201,Z189,$AB$188:$AB$201,AB189,$V$188:$V$201,"&gt;"&amp;V189,$AD$188:$AD$201,1)+COUNTIFS($Z$188:Z189,Z189,$AB$188:AB189,AB189,$V$188:V189,V189,$AD$188:AD189,1))</x:f>
      </x:c>
      <x:c r="AD189" s="2" t="n">
        <x:f>IF(OR(AA189="DEFENSIV",AA189="PRUDENT",AA189="MODERAT",AA189="RIDICAT"),1,0)</x:f>
        <x:v>0</x:v>
      </x:c>
      <x:c r="AE189" s="2" t="str">
        <x:f>IF(AD189&lt;&gt;1,"NO",IF(W189="PASS","YES",IF(W189="OOS PENDING","CONDITIONAL","NO")))</x:f>
        <x:v>NO</x:v>
      </x:c>
      <x:c r="AF189" s="2" t="n">
        <x:f>IF(AND(AD189=1,AC189=1,E189="LIVE"),1,0)</x:f>
        <x:v>0</x:v>
      </x:c>
      <x:c r="AG189" s="2" t="str">
        <x:f>IF(AF189&lt;&gt;1,"",'Dashboard'!P39)</x:f>
      </x:c>
      <x:c r="AH189" s="2" t="str">
        <x:f>IF(B189="","",IF(J189&lt;&gt;"PASS",'Motor_Meciuri'!J19,IF('Calibrare_Linii'!U7&lt;&gt;"VALID","Parametri linie invalizi",IF(L189&gt;'Config_v6'!$B$13,"Dispersie peste limita",IF(W189="WATCH","Failure peste limita",IF(AB189&lt;'Config_v6'!$B$16,"P finala sub prag",IF(V189&lt;'Config_v6'!$B$18,"Confidence sub prag",IF(E189="REPLAY","Exemplu retrospectiv; exclus din Top LIVE",IF(Y189="PASS","DEFENSIV validat",IF(W189="OOS PENDING","Eligibil; calibrare linie in monitorizare","Eligibil"))))))))))</x:f>
      </x:c>
      <x:c r="AI189" s="2" t="str">
        <x:f>IF(B189="","",'Calibrare_Linii'!V7)</x:f>
      </x:c>
      <x:c r="AJ189" s="2" t="str">
        <x:f>IF(B189="","",IF(AND('Calibrare_Linii'!T7="VALIDATED",AND('Calibrare_Linii'!H7=C189,ISNUMBER('Calibrare_Linii'!J7),'Calibrare_Linii'!J7&lt;='Input_Meci'!G19)),"DEFENSIVE VALIDATED",IF(AND('Calibrare_Linii'!S7="VALIDATED",AND('Calibrare_Linii'!H7=C189,ISNUMBER('Calibrare_Linii'!J7),'Calibrare_Linii'!J7&lt;='Input_Meci'!G19)),"TAIL VALIDATED","OOS PENDING")))</x:f>
      </x:c>
      <x:c r="AK189" s="2" t="n">
        <x:f>IF(J189&lt;&gt;"PASS",0,'Motor_Meciuri'!BR19)</x:f>
        <x:v>0</x:v>
      </x:c>
      <x:c r="AL189" s="2" t="n">
        <x:f>IF(J189&lt;&gt;"PASS",0,'Motor_Meciuri'!BS19)</x:f>
        <x:v>0</x:v>
      </x:c>
      <x:c r="AM189" s="2" t="n">
        <x:f>IF(J189&lt;&gt;"PASS",0,'Motor_Meciuri'!BT19)</x:f>
        <x:v>0</x:v>
      </x:c>
      <x:c r="AN189" s="2" t="str">
        <x:f>IF(M189="","",MAX(0,'Motor_Meciuri'!BF19-IF(L189&gt;'Config_v6'!$B$12,'Config_v6'!$B$37,IF(L189&gt;'Config_v6'!$B$11,'Config_v6'!$B$36,0))))</x:f>
      </x:c>
    </x:row>
    <x:row r="190" ht="21" customHeight="1">
      <x:c r="A190" s="2" t="n">
        <x:v>14</x:v>
      </x:c>
      <x:c r="B190" s="2" t="str">
        <x:f>IF('Motor_Meciuri'!A19="","",'Motor_Meciuri'!A19)</x:f>
      </x:c>
      <x:c r="C190" s="2" t="str">
        <x:f>IF(B190="","",'Motor_Meciuri'!B19)</x:f>
      </x:c>
      <x:c r="D190" s="2" t="str">
        <x:f>IF(B190="","",'Motor_Meciuri'!D19)</x:f>
      </x:c>
      <x:c r="E190" s="2" t="str">
        <x:f>IF(B190="","",'Motor_Meciuri'!E19)</x:f>
      </x:c>
      <x:c r="F190" s="2" t="str">
        <x:v>O5,5</x:v>
      </x:c>
      <x:c r="G190" s="2" t="str">
        <x:v>OVER</x:v>
      </x:c>
      <x:c r="H190" s="2" t="n">
        <x:v>5</x:v>
      </x:c>
      <x:c r="I190" s="2" t="str">
        <x:f>IF(B190="","",'Motor_Meciuri'!H19)</x:f>
      </x:c>
      <x:c r="J190" s="2" t="str">
        <x:f>IF(B190="","",'Motor_Meciuri'!I19)</x:f>
      </x:c>
      <x:c r="K190" s="11" t="str">
        <x:f>IF(J190&lt;&gt;"PASS","",'Motor_Meciuri'!BD19)</x:f>
      </x:c>
      <x:c r="L190" s="11" t="str">
        <x:f>IF(J190&lt;&gt;"PASS","",'Motor_Meciuri'!AU19)</x:f>
      </x:c>
      <x:c r="M190" s="10" t="str">
        <x:f>IF(NOT(AND(J190="PASS",'Calibrare_Linii'!U8="VALID")),"",1-'Distributie'!AC19)</x:f>
      </x:c>
      <x:c r="N190" s="10" t="str">
        <x:f>IF(M190="","",MAX(0.01,MIN(0.99,0.5+(M190-0.5)*'Motor_Meciuri'!BG19*'Calibrare_Linii'!D8)))</x:f>
      </x:c>
      <x:c r="O190" s="10" t="str">
        <x:f>IF(M190="","",1-M190)</x:f>
      </x:c>
      <x:c r="P190" s="10" t="str">
        <x:f>IF(OR(NOT(AND(J190="PASS",'Calibrare_Linii'!U8="VALID")),AK190=0),""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*('Istoric_Nativ'!$Q$6:$Q$405&lt;=H190))/AK190)</x:f>
      </x:c>
      <x:c r="Q190" s="10" t="str">
        <x:f>IF(OR(NOT(AND(J190="PASS",'Calibrare_Linii'!U8="VALID")),AL190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M19)+((('Istoric_Nativ'!$E$6:$E$405='Input_Meci'!E19)+('Istoric_Nativ'!$F$6:$F$405='Input_Meci'!E19))&gt;0)*('Istoric_Nativ'!$D$6:$D$405&gt;='Motor_Meciuri'!BN19))&gt;0)*('Istoric_Nativ'!$Q$6:$Q$405&lt;=H190))/AL190)</x:f>
      </x:c>
      <x:c r="R190" s="10" t="str">
        <x:f>IF(OR(NOT(AND(J190="PASS",'Calibrare_Linii'!U8="VALID")),AM190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O19)+((('Istoric_Nativ'!$E$6:$E$405='Input_Meci'!E19)+('Istoric_Nativ'!$F$6:$F$405='Input_Meci'!E19))&gt;0)*('Istoric_Nativ'!$D$6:$D$405&gt;='Motor_Meciuri'!BP19))&gt;0)*('Istoric_Nativ'!$Q$6:$Q$405&lt;=H190))/AM190)</x:f>
      </x:c>
      <x:c r="S190" s="10" t="str">
        <x:f>IF(M190="","",MAX(O190,P190,Q190,R190))</x:f>
      </x:c>
      <x:c r="T190" s="11" t="str">
        <x:f>IF(M190="","",MIN(100,S190*100*'Config_v6'!$B$44+MIN(100,L190/'Config_v6'!$B$13*100)*'Config_v6'!$B$45+(100-'Motor_Meciuri'!BF19)*'Config_v6'!$B$46+'Motor_Meciuri'!BH19*100*'Config_v6'!$B$47))</x:f>
      </x:c>
      <x:c r="U190" s="2" t="str">
        <x:f>IF(T190="","",IF(T190&lt;=20,1,IF(T190&lt;=40,2,IF(T190&lt;=60,3,IF(T190&lt;=80,4,5)))))</x:f>
      </x:c>
      <x:c r="V190" s="2" t="str">
        <x:f>IF(M190="","",MAX(0,'Motor_Meciuri'!BF19-IF(W190="OOS PENDING",'Config_v6'!$B$35,0)-IF(L190&gt;'Config_v6'!$B$12,'Config_v6'!$B$37,IF(L190&gt;'Config_v6'!$B$11,'Config_v6'!$B$36,0))))</x:f>
      </x:c>
      <x:c r="W190" s="2" t="str">
        <x:f>IF(B190="","",IF(I190&lt;&gt;"READY","NOT RELEASED",IF(NOT(AND(J190="PASS",'Calibrare_Linii'!U8="VALID")),"INVALID",IF(NOT(AND('Calibrare_Linii'!S8="VALIDATED",AND('Calibrare_Linii'!H8=C190,ISNUMBER('Calibrare_Linii'!J8),'Calibrare_Linii'!J8&lt;='Input_Meci'!G19))),"OOS PENDING",IF(S190&lt;='Calibrare_Linii'!E8,"PASS",IF(S190&lt;='Calibrare_Linii'!F8,"PENALTY","WATCH"))))))</x:f>
      </x:c>
      <x:c r="X190" s="2" t="str">
        <x:f>IF(M190="","",IF(AND(AND(J190="PASS",'Calibrare_Linii'!U8="VALID"),'Motor_Meciuri'!K19=12,'Motor_Meciuri'!L19=12,'Motor_Meciuri'!M19="NO",'Motor_Meciuri'!BL19='Motor_Meciuri'!C19,AB190&gt;='Config_v6'!$B$50,AN190&gt;='Config_v6'!$B$51,T190&lt;='Config_v6'!$B$52,L190&lt;='Config_v6'!$B$53,ISNUMBER('Calibrare_Linii'!E8),S190&lt;='Calibrare_Linii'!E8,SUM(AK190:AM190)&gt;0),"CANDIDATE","NO"))</x:f>
      </x:c>
      <x:c r="Y190" s="2" t="str">
        <x:f>IF(B190="","",IF(I190&lt;&gt;"READY","NOT RELEASED",IF(AND(X190="CANDIDATE",V190&gt;='Config_v6'!$B$51,W190="PASS",'Calibrare_Linii'!T8="VALIDATED",AND('Calibrare_Linii'!H8=C190,ISNUMBER('Calibrare_Linii'!J8),'Calibrare_Linii'!J8&lt;='Input_Meci'!G19)),"PASS",IF(X190="CANDIDATE","OOS PENDING","FAIL"))))</x:f>
      </x:c>
      <x:c r="Z190" s="2" t="str">
        <x:f>IF(B190="","",IF(I190&lt;&gt;"READY","",IF(OR(NOT(AND(J190="PASS",'Calibrare_Linii'!U8="VALID")),L190&gt;'Config_v6'!$B$13,W190="WATCH"),5,IF(Y190="PASS",1,MIN(5,MAX('Config_v6'!$B$42,U190)+IF(W190="PENALTY",1,0))))))</x:f>
      </x:c>
      <x:c r="AA190" s="2" t="str">
        <x:f>IF(B190="","",IF(I190&lt;&gt;"READY","NOT RELEASED",IF(Z190=5,"NO BET",IF(OR(AB190&lt;'Config_v6'!$B$16,V190&lt;'Config_v6'!$B$18),"WATCH",IF(Z190=1,"DEFENSIV",IF(Z190=2,"PRUDENT",IF(Z190=3,"MODERAT","RIDICAT")))))))</x:f>
      </x:c>
      <x:c r="AB190" s="10" t="str">
        <x:f>IF(N190="","",MIN(N190,1-S190))</x:f>
      </x:c>
      <x:c r="AC190" s="2" t="str">
        <x:f>IF(AD190&lt;&gt;1,"",COUNTIFS($Z$188:$Z$201,"&lt;"&amp;Z190,$AD$188:$AD$201,1)+COUNTIFS($Z$188:$Z$201,Z190,$AB$188:$AB$201,"&gt;"&amp;AB190,$AD$188:$AD$201,1)+COUNTIFS($Z$188:$Z$201,Z190,$AB$188:$AB$201,AB190,$V$188:$V$201,"&gt;"&amp;V190,$AD$188:$AD$201,1)+COUNTIFS($Z$188:Z190,Z190,$AB$188:AB190,AB190,$V$188:V190,V190,$AD$188:AD190,1))</x:f>
      </x:c>
      <x:c r="AD190" s="2" t="n">
        <x:f>IF(OR(AA190="DEFENSIV",AA190="PRUDENT",AA190="MODERAT",AA190="RIDICAT"),1,0)</x:f>
        <x:v>0</x:v>
      </x:c>
      <x:c r="AE190" s="2" t="str">
        <x:f>IF(AD190&lt;&gt;1,"NO",IF(W190="PASS","YES",IF(W190="OOS PENDING","CONDITIONAL","NO")))</x:f>
        <x:v>NO</x:v>
      </x:c>
      <x:c r="AF190" s="2" t="n">
        <x:f>IF(AND(AD190=1,AC190=1,E190="LIVE"),1,0)</x:f>
        <x:v>0</x:v>
      </x:c>
      <x:c r="AG190" s="2" t="str">
        <x:f>IF(AF190&lt;&gt;1,"",'Dashboard'!P39)</x:f>
      </x:c>
      <x:c r="AH190" s="2" t="str">
        <x:f>IF(B190="","",IF(J190&lt;&gt;"PASS",'Motor_Meciuri'!J19,IF('Calibrare_Linii'!U8&lt;&gt;"VALID","Parametri linie invalizi",IF(L190&gt;'Config_v6'!$B$13,"Dispersie peste limita",IF(W190="WATCH","Failure peste limita",IF(AB190&lt;'Config_v6'!$B$16,"P finala sub prag",IF(V190&lt;'Config_v6'!$B$18,"Confidence sub prag",IF(E190="REPLAY","Exemplu retrospectiv; exclus din Top LIVE",IF(Y190="PASS","DEFENSIV validat",IF(W190="OOS PENDING","Eligibil; calibrare linie in monitorizare","Eligibil"))))))))))</x:f>
      </x:c>
      <x:c r="AI190" s="2" t="str">
        <x:f>IF(B190="","",'Calibrare_Linii'!V8)</x:f>
      </x:c>
      <x:c r="AJ190" s="2" t="str">
        <x:f>IF(B190="","",IF(AND('Calibrare_Linii'!T8="VALIDATED",AND('Calibrare_Linii'!H8=C190,ISNUMBER('Calibrare_Linii'!J8),'Calibrare_Linii'!J8&lt;='Input_Meci'!G19)),"DEFENSIVE VALIDATED",IF(AND('Calibrare_Linii'!S8="VALIDATED",AND('Calibrare_Linii'!H8=C190,ISNUMBER('Calibrare_Linii'!J8),'Calibrare_Linii'!J8&lt;='Input_Meci'!G19)),"TAIL VALIDATED","OOS PENDING")))</x:f>
      </x:c>
      <x:c r="AK190" s="2" t="n">
        <x:f>IF(J190&lt;&gt;"PASS",0,'Motor_Meciuri'!BR19)</x:f>
        <x:v>0</x:v>
      </x:c>
      <x:c r="AL190" s="2" t="n">
        <x:f>IF(J190&lt;&gt;"PASS",0,'Motor_Meciuri'!BS19)</x:f>
        <x:v>0</x:v>
      </x:c>
      <x:c r="AM190" s="2" t="n">
        <x:f>IF(J190&lt;&gt;"PASS",0,'Motor_Meciuri'!BT19)</x:f>
        <x:v>0</x:v>
      </x:c>
      <x:c r="AN190" s="2" t="str">
        <x:f>IF(M190="","",MAX(0,'Motor_Meciuri'!BF19-IF(L190&gt;'Config_v6'!$B$12,'Config_v6'!$B$37,IF(L190&gt;'Config_v6'!$B$11,'Config_v6'!$B$36,0))))</x:f>
      </x:c>
    </x:row>
    <x:row r="191" ht="21" customHeight="1">
      <x:c r="A191" s="2" t="n">
        <x:v>14</x:v>
      </x:c>
      <x:c r="B191" s="2" t="str">
        <x:f>IF('Motor_Meciuri'!A19="","",'Motor_Meciuri'!A19)</x:f>
      </x:c>
      <x:c r="C191" s="2" t="str">
        <x:f>IF(B191="","",'Motor_Meciuri'!B19)</x:f>
      </x:c>
      <x:c r="D191" s="2" t="str">
        <x:f>IF(B191="","",'Motor_Meciuri'!D19)</x:f>
      </x:c>
      <x:c r="E191" s="2" t="str">
        <x:f>IF(B191="","",'Motor_Meciuri'!E19)</x:f>
      </x:c>
      <x:c r="F191" s="2" t="str">
        <x:v>O6,5</x:v>
      </x:c>
      <x:c r="G191" s="2" t="str">
        <x:v>OVER</x:v>
      </x:c>
      <x:c r="H191" s="2" t="n">
        <x:v>6</x:v>
      </x:c>
      <x:c r="I191" s="2" t="str">
        <x:f>IF(B191="","",'Motor_Meciuri'!H19)</x:f>
      </x:c>
      <x:c r="J191" s="2" t="str">
        <x:f>IF(B191="","",'Motor_Meciuri'!I19)</x:f>
      </x:c>
      <x:c r="K191" s="11" t="str">
        <x:f>IF(J191&lt;&gt;"PASS","",'Motor_Meciuri'!BD19)</x:f>
      </x:c>
      <x:c r="L191" s="11" t="str">
        <x:f>IF(J191&lt;&gt;"PASS","",'Motor_Meciuri'!AU19)</x:f>
      </x:c>
      <x:c r="M191" s="10" t="str">
        <x:f>IF(NOT(AND(J191="PASS",'Calibrare_Linii'!U9="VALID")),"",1-'Distributie'!AD19)</x:f>
      </x:c>
      <x:c r="N191" s="10" t="str">
        <x:f>IF(M191="","",MAX(0.01,MIN(0.99,0.5+(M191-0.5)*'Motor_Meciuri'!BG19*'Calibrare_Linii'!D9)))</x:f>
      </x:c>
      <x:c r="O191" s="10" t="str">
        <x:f>IF(M191="","",1-M191)</x:f>
      </x:c>
      <x:c r="P191" s="10" t="str">
        <x:f>IF(OR(NOT(AND(J191="PASS",'Calibrare_Linii'!U9="VALID")),AK191=0),""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*('Istoric_Nativ'!$Q$6:$Q$405&lt;=H191))/AK191)</x:f>
      </x:c>
      <x:c r="Q191" s="10" t="str">
        <x:f>IF(OR(NOT(AND(J191="PASS",'Calibrare_Linii'!U9="VALID")),AL191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M19)+((('Istoric_Nativ'!$E$6:$E$405='Input_Meci'!E19)+('Istoric_Nativ'!$F$6:$F$405='Input_Meci'!E19))&gt;0)*('Istoric_Nativ'!$D$6:$D$405&gt;='Motor_Meciuri'!BN19))&gt;0)*('Istoric_Nativ'!$Q$6:$Q$405&lt;=H191))/AL191)</x:f>
      </x:c>
      <x:c r="R191" s="10" t="str">
        <x:f>IF(OR(NOT(AND(J191="PASS",'Calibrare_Linii'!U9="VALID")),AM191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O19)+((('Istoric_Nativ'!$E$6:$E$405='Input_Meci'!E19)+('Istoric_Nativ'!$F$6:$F$405='Input_Meci'!E19))&gt;0)*('Istoric_Nativ'!$D$6:$D$405&gt;='Motor_Meciuri'!BP19))&gt;0)*('Istoric_Nativ'!$Q$6:$Q$405&lt;=H191))/AM191)</x:f>
      </x:c>
      <x:c r="S191" s="10" t="str">
        <x:f>IF(M191="","",MAX(O191,P191,Q191,R191))</x:f>
      </x:c>
      <x:c r="T191" s="11" t="str">
        <x:f>IF(M191="","",MIN(100,S191*100*'Config_v6'!$B$44+MIN(100,L191/'Config_v6'!$B$13*100)*'Config_v6'!$B$45+(100-'Motor_Meciuri'!BF19)*'Config_v6'!$B$46+'Motor_Meciuri'!BH19*100*'Config_v6'!$B$47))</x:f>
      </x:c>
      <x:c r="U191" s="2" t="str">
        <x:f>IF(T191="","",IF(T191&lt;=20,1,IF(T191&lt;=40,2,IF(T191&lt;=60,3,IF(T191&lt;=80,4,5)))))</x:f>
      </x:c>
      <x:c r="V191" s="2" t="str">
        <x:f>IF(M191="","",MAX(0,'Motor_Meciuri'!BF19-IF(W191="OOS PENDING",'Config_v6'!$B$35,0)-IF(L191&gt;'Config_v6'!$B$12,'Config_v6'!$B$37,IF(L191&gt;'Config_v6'!$B$11,'Config_v6'!$B$36,0))))</x:f>
      </x:c>
      <x:c r="W191" s="2" t="str">
        <x:f>IF(B191="","",IF(I191&lt;&gt;"READY","NOT RELEASED",IF(NOT(AND(J191="PASS",'Calibrare_Linii'!U9="VALID")),"INVALID",IF(NOT(AND('Calibrare_Linii'!S9="VALIDATED",AND('Calibrare_Linii'!H9=C191,ISNUMBER('Calibrare_Linii'!J9),'Calibrare_Linii'!J9&lt;='Input_Meci'!G19))),"OOS PENDING",IF(S191&lt;='Calibrare_Linii'!E9,"PASS",IF(S191&lt;='Calibrare_Linii'!F9,"PENALTY","WATCH"))))))</x:f>
      </x:c>
      <x:c r="X191" s="2" t="str">
        <x:f>IF(M191="","",IF(AND(AND(J191="PASS",'Calibrare_Linii'!U9="VALID"),'Motor_Meciuri'!K19=12,'Motor_Meciuri'!L19=12,'Motor_Meciuri'!M19="NO",'Motor_Meciuri'!BL19='Motor_Meciuri'!C19,AB191&gt;='Config_v6'!$B$50,AN191&gt;='Config_v6'!$B$51,T191&lt;='Config_v6'!$B$52,L191&lt;='Config_v6'!$B$53,ISNUMBER('Calibrare_Linii'!E9),S191&lt;='Calibrare_Linii'!E9,SUM(AK191:AM191)&gt;0),"CANDIDATE","NO"))</x:f>
      </x:c>
      <x:c r="Y191" s="2" t="str">
        <x:f>IF(B191="","",IF(I191&lt;&gt;"READY","NOT RELEASED",IF(AND(X191="CANDIDATE",V191&gt;='Config_v6'!$B$51,W191="PASS",'Calibrare_Linii'!T9="VALIDATED",AND('Calibrare_Linii'!H9=C191,ISNUMBER('Calibrare_Linii'!J9),'Calibrare_Linii'!J9&lt;='Input_Meci'!G19)),"PASS",IF(X191="CANDIDATE","OOS PENDING","FAIL"))))</x:f>
      </x:c>
      <x:c r="Z191" s="2" t="str">
        <x:f>IF(B191="","",IF(I191&lt;&gt;"READY","",IF(OR(NOT(AND(J191="PASS",'Calibrare_Linii'!U9="VALID")),L191&gt;'Config_v6'!$B$13,W191="WATCH"),5,IF(Y191="PASS",1,MIN(5,MAX('Config_v6'!$B$42,U191)+IF(W191="PENALTY",1,0))))))</x:f>
      </x:c>
      <x:c r="AA191" s="2" t="str">
        <x:f>IF(B191="","",IF(I191&lt;&gt;"READY","NOT RELEASED",IF(Z191=5,"NO BET",IF(OR(AB191&lt;'Config_v6'!$B$16,V191&lt;'Config_v6'!$B$18),"WATCH",IF(Z191=1,"DEFENSIV",IF(Z191=2,"PRUDENT",IF(Z191=3,"MODERAT","RIDICAT")))))))</x:f>
      </x:c>
      <x:c r="AB191" s="10" t="str">
        <x:f>IF(N191="","",MIN(N191,1-S191))</x:f>
      </x:c>
      <x:c r="AC191" s="2" t="str">
        <x:f>IF(AD191&lt;&gt;1,"",COUNTIFS($Z$188:$Z$201,"&lt;"&amp;Z191,$AD$188:$AD$201,1)+COUNTIFS($Z$188:$Z$201,Z191,$AB$188:$AB$201,"&gt;"&amp;AB191,$AD$188:$AD$201,1)+COUNTIFS($Z$188:$Z$201,Z191,$AB$188:$AB$201,AB191,$V$188:$V$201,"&gt;"&amp;V191,$AD$188:$AD$201,1)+COUNTIFS($Z$188:Z191,Z191,$AB$188:AB191,AB191,$V$188:V191,V191,$AD$188:AD191,1))</x:f>
      </x:c>
      <x:c r="AD191" s="2" t="n">
        <x:f>IF(OR(AA191="DEFENSIV",AA191="PRUDENT",AA191="MODERAT",AA191="RIDICAT"),1,0)</x:f>
        <x:v>0</x:v>
      </x:c>
      <x:c r="AE191" s="2" t="str">
        <x:f>IF(AD191&lt;&gt;1,"NO",IF(W191="PASS","YES",IF(W191="OOS PENDING","CONDITIONAL","NO")))</x:f>
        <x:v>NO</x:v>
      </x:c>
      <x:c r="AF191" s="2" t="n">
        <x:f>IF(AND(AD191=1,AC191=1,E191="LIVE"),1,0)</x:f>
        <x:v>0</x:v>
      </x:c>
      <x:c r="AG191" s="2" t="str">
        <x:f>IF(AF191&lt;&gt;1,"",'Dashboard'!P39)</x:f>
      </x:c>
      <x:c r="AH191" s="2" t="str">
        <x:f>IF(B191="","",IF(J191&lt;&gt;"PASS",'Motor_Meciuri'!J19,IF('Calibrare_Linii'!U9&lt;&gt;"VALID","Parametri linie invalizi",IF(L191&gt;'Config_v6'!$B$13,"Dispersie peste limita",IF(W191="WATCH","Failure peste limita",IF(AB191&lt;'Config_v6'!$B$16,"P finala sub prag",IF(V191&lt;'Config_v6'!$B$18,"Confidence sub prag",IF(E191="REPLAY","Exemplu retrospectiv; exclus din Top LIVE",IF(Y191="PASS","DEFENSIV validat",IF(W191="OOS PENDING","Eligibil; calibrare linie in monitorizare","Eligibil"))))))))))</x:f>
      </x:c>
      <x:c r="AI191" s="2" t="str">
        <x:f>IF(B191="","",'Calibrare_Linii'!V9)</x:f>
      </x:c>
      <x:c r="AJ191" s="2" t="str">
        <x:f>IF(B191="","",IF(AND('Calibrare_Linii'!T9="VALIDATED",AND('Calibrare_Linii'!H9=C191,ISNUMBER('Calibrare_Linii'!J9),'Calibrare_Linii'!J9&lt;='Input_Meci'!G19)),"DEFENSIVE VALIDATED",IF(AND('Calibrare_Linii'!S9="VALIDATED",AND('Calibrare_Linii'!H9=C191,ISNUMBER('Calibrare_Linii'!J9),'Calibrare_Linii'!J9&lt;='Input_Meci'!G19)),"TAIL VALIDATED","OOS PENDING")))</x:f>
      </x:c>
      <x:c r="AK191" s="2" t="n">
        <x:f>IF(J191&lt;&gt;"PASS",0,'Motor_Meciuri'!BR19)</x:f>
        <x:v>0</x:v>
      </x:c>
      <x:c r="AL191" s="2" t="n">
        <x:f>IF(J191&lt;&gt;"PASS",0,'Motor_Meciuri'!BS19)</x:f>
        <x:v>0</x:v>
      </x:c>
      <x:c r="AM191" s="2" t="n">
        <x:f>IF(J191&lt;&gt;"PASS",0,'Motor_Meciuri'!BT19)</x:f>
        <x:v>0</x:v>
      </x:c>
      <x:c r="AN191" s="2" t="str">
        <x:f>IF(M191="","",MAX(0,'Motor_Meciuri'!BF19-IF(L191&gt;'Config_v6'!$B$12,'Config_v6'!$B$37,IF(L191&gt;'Config_v6'!$B$11,'Config_v6'!$B$36,0))))</x:f>
      </x:c>
    </x:row>
    <x:row r="192" ht="21" customHeight="1">
      <x:c r="A192" s="2" t="n">
        <x:v>14</x:v>
      </x:c>
      <x:c r="B192" s="2" t="str">
        <x:f>IF('Motor_Meciuri'!A19="","",'Motor_Meciuri'!A19)</x:f>
      </x:c>
      <x:c r="C192" s="2" t="str">
        <x:f>IF(B192="","",'Motor_Meciuri'!B19)</x:f>
      </x:c>
      <x:c r="D192" s="2" t="str">
        <x:f>IF(B192="","",'Motor_Meciuri'!D19)</x:f>
      </x:c>
      <x:c r="E192" s="2" t="str">
        <x:f>IF(B192="","",'Motor_Meciuri'!E19)</x:f>
      </x:c>
      <x:c r="F192" s="2" t="str">
        <x:v>O7,5</x:v>
      </x:c>
      <x:c r="G192" s="2" t="str">
        <x:v>OVER</x:v>
      </x:c>
      <x:c r="H192" s="2" t="n">
        <x:v>7</x:v>
      </x:c>
      <x:c r="I192" s="2" t="str">
        <x:f>IF(B192="","",'Motor_Meciuri'!H19)</x:f>
      </x:c>
      <x:c r="J192" s="2" t="str">
        <x:f>IF(B192="","",'Motor_Meciuri'!I19)</x:f>
      </x:c>
      <x:c r="K192" s="11" t="str">
        <x:f>IF(J192&lt;&gt;"PASS","",'Motor_Meciuri'!BD19)</x:f>
      </x:c>
      <x:c r="L192" s="11" t="str">
        <x:f>IF(J192&lt;&gt;"PASS","",'Motor_Meciuri'!AU19)</x:f>
      </x:c>
      <x:c r="M192" s="10" t="str">
        <x:f>IF(NOT(AND(J192="PASS",'Calibrare_Linii'!U10="VALID")),"",1-'Distributie'!AE19)</x:f>
      </x:c>
      <x:c r="N192" s="10" t="str">
        <x:f>IF(M192="","",MAX(0.01,MIN(0.99,0.5+(M192-0.5)*'Motor_Meciuri'!BG19*'Calibrare_Linii'!D10)))</x:f>
      </x:c>
      <x:c r="O192" s="10" t="str">
        <x:f>IF(M192="","",1-M192)</x:f>
      </x:c>
      <x:c r="P192" s="10" t="str">
        <x:f>IF(OR(NOT(AND(J192="PASS",'Calibrare_Linii'!U10="VALID")),AK192=0),""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*('Istoric_Nativ'!$Q$6:$Q$405&lt;=H192))/AK192)</x:f>
      </x:c>
      <x:c r="Q192" s="10" t="str">
        <x:f>IF(OR(NOT(AND(J192="PASS",'Calibrare_Linii'!U10="VALID")),AL192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M19)+((('Istoric_Nativ'!$E$6:$E$405='Input_Meci'!E19)+('Istoric_Nativ'!$F$6:$F$405='Input_Meci'!E19))&gt;0)*('Istoric_Nativ'!$D$6:$D$405&gt;='Motor_Meciuri'!BN19))&gt;0)*('Istoric_Nativ'!$Q$6:$Q$405&lt;=H192))/AL192)</x:f>
      </x:c>
      <x:c r="R192" s="10" t="str">
        <x:f>IF(OR(NOT(AND(J192="PASS",'Calibrare_Linii'!U10="VALID")),AM192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O19)+((('Istoric_Nativ'!$E$6:$E$405='Input_Meci'!E19)+('Istoric_Nativ'!$F$6:$F$405='Input_Meci'!E19))&gt;0)*('Istoric_Nativ'!$D$6:$D$405&gt;='Motor_Meciuri'!BP19))&gt;0)*('Istoric_Nativ'!$Q$6:$Q$405&lt;=H192))/AM192)</x:f>
      </x:c>
      <x:c r="S192" s="10" t="str">
        <x:f>IF(M192="","",MAX(O192,P192,Q192,R192))</x:f>
      </x:c>
      <x:c r="T192" s="11" t="str">
        <x:f>IF(M192="","",MIN(100,S192*100*'Config_v6'!$B$44+MIN(100,L192/'Config_v6'!$B$13*100)*'Config_v6'!$B$45+(100-'Motor_Meciuri'!BF19)*'Config_v6'!$B$46+'Motor_Meciuri'!BH19*100*'Config_v6'!$B$47))</x:f>
      </x:c>
      <x:c r="U192" s="2" t="str">
        <x:f>IF(T192="","",IF(T192&lt;=20,1,IF(T192&lt;=40,2,IF(T192&lt;=60,3,IF(T192&lt;=80,4,5)))))</x:f>
      </x:c>
      <x:c r="V192" s="2" t="str">
        <x:f>IF(M192="","",MAX(0,'Motor_Meciuri'!BF19-IF(W192="OOS PENDING",'Config_v6'!$B$35,0)-IF(L192&gt;'Config_v6'!$B$12,'Config_v6'!$B$37,IF(L192&gt;'Config_v6'!$B$11,'Config_v6'!$B$36,0))))</x:f>
      </x:c>
      <x:c r="W192" s="2" t="str">
        <x:f>IF(B192="","",IF(I192&lt;&gt;"READY","NOT RELEASED",IF(NOT(AND(J192="PASS",'Calibrare_Linii'!U10="VALID")),"INVALID",IF(NOT(AND('Calibrare_Linii'!S10="VALIDATED",AND('Calibrare_Linii'!H10=C192,ISNUMBER('Calibrare_Linii'!J10),'Calibrare_Linii'!J10&lt;='Input_Meci'!G19))),"OOS PENDING",IF(S192&lt;='Calibrare_Linii'!E10,"PASS",IF(S192&lt;='Calibrare_Linii'!F10,"PENALTY","WATCH"))))))</x:f>
      </x:c>
      <x:c r="X192" s="2" t="str">
        <x:f>IF(M192="","",IF(AND(AND(J192="PASS",'Calibrare_Linii'!U10="VALID"),'Motor_Meciuri'!K19=12,'Motor_Meciuri'!L19=12,'Motor_Meciuri'!M19="NO",'Motor_Meciuri'!BL19='Motor_Meciuri'!C19,AB192&gt;='Config_v6'!$B$50,AN192&gt;='Config_v6'!$B$51,T192&lt;='Config_v6'!$B$52,L192&lt;='Config_v6'!$B$53,ISNUMBER('Calibrare_Linii'!E10),S192&lt;='Calibrare_Linii'!E10,SUM(AK192:AM192)&gt;0),"CANDIDATE","NO"))</x:f>
      </x:c>
      <x:c r="Y192" s="2" t="str">
        <x:f>IF(B192="","",IF(I192&lt;&gt;"READY","NOT RELEASED",IF(AND(X192="CANDIDATE",V192&gt;='Config_v6'!$B$51,W192="PASS",'Calibrare_Linii'!T10="VALIDATED",AND('Calibrare_Linii'!H10=C192,ISNUMBER('Calibrare_Linii'!J10),'Calibrare_Linii'!J10&lt;='Input_Meci'!G19)),"PASS",IF(X192="CANDIDATE","OOS PENDING","FAIL"))))</x:f>
      </x:c>
      <x:c r="Z192" s="2" t="str">
        <x:f>IF(B192="","",IF(I192&lt;&gt;"READY","",IF(OR(NOT(AND(J192="PASS",'Calibrare_Linii'!U10="VALID")),L192&gt;'Config_v6'!$B$13,W192="WATCH"),5,IF(Y192="PASS",1,MIN(5,MAX('Config_v6'!$B$42,U192)+IF(W192="PENALTY",1,0))))))</x:f>
      </x:c>
      <x:c r="AA192" s="2" t="str">
        <x:f>IF(B192="","",IF(I192&lt;&gt;"READY","NOT RELEASED",IF(Z192=5,"NO BET",IF(OR(AB192&lt;'Config_v6'!$B$16,V192&lt;'Config_v6'!$B$18),"WATCH",IF(Z192=1,"DEFENSIV",IF(Z192=2,"PRUDENT",IF(Z192=3,"MODERAT","RIDICAT")))))))</x:f>
      </x:c>
      <x:c r="AB192" s="10" t="str">
        <x:f>IF(N192="","",MIN(N192,1-S192))</x:f>
      </x:c>
      <x:c r="AC192" s="2" t="str">
        <x:f>IF(AD192&lt;&gt;1,"",COUNTIFS($Z$188:$Z$201,"&lt;"&amp;Z192,$AD$188:$AD$201,1)+COUNTIFS($Z$188:$Z$201,Z192,$AB$188:$AB$201,"&gt;"&amp;AB192,$AD$188:$AD$201,1)+COUNTIFS($Z$188:$Z$201,Z192,$AB$188:$AB$201,AB192,$V$188:$V$201,"&gt;"&amp;V192,$AD$188:$AD$201,1)+COUNTIFS($Z$188:Z192,Z192,$AB$188:AB192,AB192,$V$188:V192,V192,$AD$188:AD192,1))</x:f>
      </x:c>
      <x:c r="AD192" s="2" t="n">
        <x:f>IF(OR(AA192="DEFENSIV",AA192="PRUDENT",AA192="MODERAT",AA192="RIDICAT"),1,0)</x:f>
        <x:v>0</x:v>
      </x:c>
      <x:c r="AE192" s="2" t="str">
        <x:f>IF(AD192&lt;&gt;1,"NO",IF(W192="PASS","YES",IF(W192="OOS PENDING","CONDITIONAL","NO")))</x:f>
        <x:v>NO</x:v>
      </x:c>
      <x:c r="AF192" s="2" t="n">
        <x:f>IF(AND(AD192=1,AC192=1,E192="LIVE"),1,0)</x:f>
        <x:v>0</x:v>
      </x:c>
      <x:c r="AG192" s="2" t="str">
        <x:f>IF(AF192&lt;&gt;1,"",'Dashboard'!P39)</x:f>
      </x:c>
      <x:c r="AH192" s="2" t="str">
        <x:f>IF(B192="","",IF(J192&lt;&gt;"PASS",'Motor_Meciuri'!J19,IF('Calibrare_Linii'!U10&lt;&gt;"VALID","Parametri linie invalizi",IF(L192&gt;'Config_v6'!$B$13,"Dispersie peste limita",IF(W192="WATCH","Failure peste limita",IF(AB192&lt;'Config_v6'!$B$16,"P finala sub prag",IF(V192&lt;'Config_v6'!$B$18,"Confidence sub prag",IF(E192="REPLAY","Exemplu retrospectiv; exclus din Top LIVE",IF(Y192="PASS","DEFENSIV validat",IF(W192="OOS PENDING","Eligibil; calibrare linie in monitorizare","Eligibil"))))))))))</x:f>
      </x:c>
      <x:c r="AI192" s="2" t="str">
        <x:f>IF(B192="","",'Calibrare_Linii'!V10)</x:f>
      </x:c>
      <x:c r="AJ192" s="2" t="str">
        <x:f>IF(B192="","",IF(AND('Calibrare_Linii'!T10="VALIDATED",AND('Calibrare_Linii'!H10=C192,ISNUMBER('Calibrare_Linii'!J10),'Calibrare_Linii'!J10&lt;='Input_Meci'!G19)),"DEFENSIVE VALIDATED",IF(AND('Calibrare_Linii'!S10="VALIDATED",AND('Calibrare_Linii'!H10=C192,ISNUMBER('Calibrare_Linii'!J10),'Calibrare_Linii'!J10&lt;='Input_Meci'!G19)),"TAIL VALIDATED","OOS PENDING")))</x:f>
      </x:c>
      <x:c r="AK192" s="2" t="n">
        <x:f>IF(J192&lt;&gt;"PASS",0,'Motor_Meciuri'!BR19)</x:f>
        <x:v>0</x:v>
      </x:c>
      <x:c r="AL192" s="2" t="n">
        <x:f>IF(J192&lt;&gt;"PASS",0,'Motor_Meciuri'!BS19)</x:f>
        <x:v>0</x:v>
      </x:c>
      <x:c r="AM192" s="2" t="n">
        <x:f>IF(J192&lt;&gt;"PASS",0,'Motor_Meciuri'!BT19)</x:f>
        <x:v>0</x:v>
      </x:c>
      <x:c r="AN192" s="2" t="str">
        <x:f>IF(M192="","",MAX(0,'Motor_Meciuri'!BF19-IF(L192&gt;'Config_v6'!$B$12,'Config_v6'!$B$37,IF(L192&gt;'Config_v6'!$B$11,'Config_v6'!$B$36,0))))</x:f>
      </x:c>
    </x:row>
    <x:row r="193" ht="21" customHeight="1">
      <x:c r="A193" s="2" t="n">
        <x:v>14</x:v>
      </x:c>
      <x:c r="B193" s="2" t="str">
        <x:f>IF('Motor_Meciuri'!A19="","",'Motor_Meciuri'!A19)</x:f>
      </x:c>
      <x:c r="C193" s="2" t="str">
        <x:f>IF(B193="","",'Motor_Meciuri'!B19)</x:f>
      </x:c>
      <x:c r="D193" s="2" t="str">
        <x:f>IF(B193="","",'Motor_Meciuri'!D19)</x:f>
      </x:c>
      <x:c r="E193" s="2" t="str">
        <x:f>IF(B193="","",'Motor_Meciuri'!E19)</x:f>
      </x:c>
      <x:c r="F193" s="2" t="str">
        <x:v>O8,5</x:v>
      </x:c>
      <x:c r="G193" s="2" t="str">
        <x:v>OVER</x:v>
      </x:c>
      <x:c r="H193" s="2" t="n">
        <x:v>8</x:v>
      </x:c>
      <x:c r="I193" s="2" t="str">
        <x:f>IF(B193="","",'Motor_Meciuri'!H19)</x:f>
      </x:c>
      <x:c r="J193" s="2" t="str">
        <x:f>IF(B193="","",'Motor_Meciuri'!I19)</x:f>
      </x:c>
      <x:c r="K193" s="11" t="str">
        <x:f>IF(J193&lt;&gt;"PASS","",'Motor_Meciuri'!BD19)</x:f>
      </x:c>
      <x:c r="L193" s="11" t="str">
        <x:f>IF(J193&lt;&gt;"PASS","",'Motor_Meciuri'!AU19)</x:f>
      </x:c>
      <x:c r="M193" s="10" t="str">
        <x:f>IF(NOT(AND(J193="PASS",'Calibrare_Linii'!U11="VALID")),"",1-'Distributie'!AF19)</x:f>
      </x:c>
      <x:c r="N193" s="10" t="str">
        <x:f>IF(M193="","",MAX(0.01,MIN(0.99,0.5+(M193-0.5)*'Motor_Meciuri'!BG19*'Calibrare_Linii'!D11)))</x:f>
      </x:c>
      <x:c r="O193" s="10" t="str">
        <x:f>IF(M193="","",1-M193)</x:f>
      </x:c>
      <x:c r="P193" s="10" t="str">
        <x:f>IF(OR(NOT(AND(J193="PASS",'Calibrare_Linii'!U11="VALID")),AK193=0),""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*('Istoric_Nativ'!$Q$6:$Q$405&lt;=H193))/AK193)</x:f>
      </x:c>
      <x:c r="Q193" s="10" t="str">
        <x:f>IF(OR(NOT(AND(J193="PASS",'Calibrare_Linii'!U11="VALID")),AL193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M19)+((('Istoric_Nativ'!$E$6:$E$405='Input_Meci'!E19)+('Istoric_Nativ'!$F$6:$F$405='Input_Meci'!E19))&gt;0)*('Istoric_Nativ'!$D$6:$D$405&gt;='Motor_Meciuri'!BN19))&gt;0)*('Istoric_Nativ'!$Q$6:$Q$405&lt;=H193))/AL193)</x:f>
      </x:c>
      <x:c r="R193" s="10" t="str">
        <x:f>IF(OR(NOT(AND(J193="PASS",'Calibrare_Linii'!U11="VALID")),AM193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O19)+((('Istoric_Nativ'!$E$6:$E$405='Input_Meci'!E19)+('Istoric_Nativ'!$F$6:$F$405='Input_Meci'!E19))&gt;0)*('Istoric_Nativ'!$D$6:$D$405&gt;='Motor_Meciuri'!BP19))&gt;0)*('Istoric_Nativ'!$Q$6:$Q$405&lt;=H193))/AM193)</x:f>
      </x:c>
      <x:c r="S193" s="10" t="str">
        <x:f>IF(M193="","",MAX(O193,P193,Q193,R193))</x:f>
      </x:c>
      <x:c r="T193" s="11" t="str">
        <x:f>IF(M193="","",MIN(100,S193*100*'Config_v6'!$B$44+MIN(100,L193/'Config_v6'!$B$13*100)*'Config_v6'!$B$45+(100-'Motor_Meciuri'!BF19)*'Config_v6'!$B$46+'Motor_Meciuri'!BH19*100*'Config_v6'!$B$47))</x:f>
      </x:c>
      <x:c r="U193" s="2" t="str">
        <x:f>IF(T193="","",IF(T193&lt;=20,1,IF(T193&lt;=40,2,IF(T193&lt;=60,3,IF(T193&lt;=80,4,5)))))</x:f>
      </x:c>
      <x:c r="V193" s="2" t="str">
        <x:f>IF(M193="","",MAX(0,'Motor_Meciuri'!BF19-IF(W193="OOS PENDING",'Config_v6'!$B$35,0)-IF(L193&gt;'Config_v6'!$B$12,'Config_v6'!$B$37,IF(L193&gt;'Config_v6'!$B$11,'Config_v6'!$B$36,0))))</x:f>
      </x:c>
      <x:c r="W193" s="2" t="str">
        <x:f>IF(B193="","",IF(I193&lt;&gt;"READY","NOT RELEASED",IF(NOT(AND(J193="PASS",'Calibrare_Linii'!U11="VALID")),"INVALID",IF(NOT(AND('Calibrare_Linii'!S11="VALIDATED",AND('Calibrare_Linii'!H11=C193,ISNUMBER('Calibrare_Linii'!J11),'Calibrare_Linii'!J11&lt;='Input_Meci'!G19))),"OOS PENDING",IF(S193&lt;='Calibrare_Linii'!E11,"PASS",IF(S193&lt;='Calibrare_Linii'!F11,"PENALTY","WATCH"))))))</x:f>
      </x:c>
      <x:c r="X193" s="2" t="str">
        <x:f>IF(M193="","",IF(AND(AND(J193="PASS",'Calibrare_Linii'!U11="VALID"),'Motor_Meciuri'!K19=12,'Motor_Meciuri'!L19=12,'Motor_Meciuri'!M19="NO",'Motor_Meciuri'!BL19='Motor_Meciuri'!C19,AB193&gt;='Config_v6'!$B$50,AN193&gt;='Config_v6'!$B$51,T193&lt;='Config_v6'!$B$52,L193&lt;='Config_v6'!$B$53,ISNUMBER('Calibrare_Linii'!E11),S193&lt;='Calibrare_Linii'!E11,SUM(AK193:AM193)&gt;0),"CANDIDATE","NO"))</x:f>
      </x:c>
      <x:c r="Y193" s="2" t="str">
        <x:f>IF(B193="","",IF(I193&lt;&gt;"READY","NOT RELEASED",IF(AND(X193="CANDIDATE",V193&gt;='Config_v6'!$B$51,W193="PASS",'Calibrare_Linii'!T11="VALIDATED",AND('Calibrare_Linii'!H11=C193,ISNUMBER('Calibrare_Linii'!J11),'Calibrare_Linii'!J11&lt;='Input_Meci'!G19)),"PASS",IF(X193="CANDIDATE","OOS PENDING","FAIL"))))</x:f>
      </x:c>
      <x:c r="Z193" s="2" t="str">
        <x:f>IF(B193="","",IF(I193&lt;&gt;"READY","",IF(OR(NOT(AND(J193="PASS",'Calibrare_Linii'!U11="VALID")),L193&gt;'Config_v6'!$B$13,W193="WATCH"),5,IF(Y193="PASS",1,MIN(5,MAX('Config_v6'!$B$42,U193)+IF(W193="PENALTY",1,0))))))</x:f>
      </x:c>
      <x:c r="AA193" s="2" t="str">
        <x:f>IF(B193="","",IF(I193&lt;&gt;"READY","NOT RELEASED",IF(Z193=5,"NO BET",IF(OR(AB193&lt;'Config_v6'!$B$16,V193&lt;'Config_v6'!$B$18),"WATCH",IF(Z193=1,"DEFENSIV",IF(Z193=2,"PRUDENT",IF(Z193=3,"MODERAT","RIDICAT")))))))</x:f>
      </x:c>
      <x:c r="AB193" s="10" t="str">
        <x:f>IF(N193="","",MIN(N193,1-S193))</x:f>
      </x:c>
      <x:c r="AC193" s="2" t="str">
        <x:f>IF(AD193&lt;&gt;1,"",COUNTIFS($Z$188:$Z$201,"&lt;"&amp;Z193,$AD$188:$AD$201,1)+COUNTIFS($Z$188:$Z$201,Z193,$AB$188:$AB$201,"&gt;"&amp;AB193,$AD$188:$AD$201,1)+COUNTIFS($Z$188:$Z$201,Z193,$AB$188:$AB$201,AB193,$V$188:$V$201,"&gt;"&amp;V193,$AD$188:$AD$201,1)+COUNTIFS($Z$188:Z193,Z193,$AB$188:AB193,AB193,$V$188:V193,V193,$AD$188:AD193,1))</x:f>
      </x:c>
      <x:c r="AD193" s="2" t="n">
        <x:f>IF(OR(AA193="DEFENSIV",AA193="PRUDENT",AA193="MODERAT",AA193="RIDICAT"),1,0)</x:f>
        <x:v>0</x:v>
      </x:c>
      <x:c r="AE193" s="2" t="str">
        <x:f>IF(AD193&lt;&gt;1,"NO",IF(W193="PASS","YES",IF(W193="OOS PENDING","CONDITIONAL","NO")))</x:f>
        <x:v>NO</x:v>
      </x:c>
      <x:c r="AF193" s="2" t="n">
        <x:f>IF(AND(AD193=1,AC193=1,E193="LIVE"),1,0)</x:f>
        <x:v>0</x:v>
      </x:c>
      <x:c r="AG193" s="2" t="str">
        <x:f>IF(AF193&lt;&gt;1,"",'Dashboard'!P39)</x:f>
      </x:c>
      <x:c r="AH193" s="2" t="str">
        <x:f>IF(B193="","",IF(J193&lt;&gt;"PASS",'Motor_Meciuri'!J19,IF('Calibrare_Linii'!U11&lt;&gt;"VALID","Parametri linie invalizi",IF(L193&gt;'Config_v6'!$B$13,"Dispersie peste limita",IF(W193="WATCH","Failure peste limita",IF(AB193&lt;'Config_v6'!$B$16,"P finala sub prag",IF(V193&lt;'Config_v6'!$B$18,"Confidence sub prag",IF(E193="REPLAY","Exemplu retrospectiv; exclus din Top LIVE",IF(Y193="PASS","DEFENSIV validat",IF(W193="OOS PENDING","Eligibil; calibrare linie in monitorizare","Eligibil"))))))))))</x:f>
      </x:c>
      <x:c r="AI193" s="2" t="str">
        <x:f>IF(B193="","",'Calibrare_Linii'!V11)</x:f>
      </x:c>
      <x:c r="AJ193" s="2" t="str">
        <x:f>IF(B193="","",IF(AND('Calibrare_Linii'!T11="VALIDATED",AND('Calibrare_Linii'!H11=C193,ISNUMBER('Calibrare_Linii'!J11),'Calibrare_Linii'!J11&lt;='Input_Meci'!G19)),"DEFENSIVE VALIDATED",IF(AND('Calibrare_Linii'!S11="VALIDATED",AND('Calibrare_Linii'!H11=C193,ISNUMBER('Calibrare_Linii'!J11),'Calibrare_Linii'!J11&lt;='Input_Meci'!G19)),"TAIL VALIDATED","OOS PENDING")))</x:f>
      </x:c>
      <x:c r="AK193" s="2" t="n">
        <x:f>IF(J193&lt;&gt;"PASS",0,'Motor_Meciuri'!BR19)</x:f>
        <x:v>0</x:v>
      </x:c>
      <x:c r="AL193" s="2" t="n">
        <x:f>IF(J193&lt;&gt;"PASS",0,'Motor_Meciuri'!BS19)</x:f>
        <x:v>0</x:v>
      </x:c>
      <x:c r="AM193" s="2" t="n">
        <x:f>IF(J193&lt;&gt;"PASS",0,'Motor_Meciuri'!BT19)</x:f>
        <x:v>0</x:v>
      </x:c>
      <x:c r="AN193" s="2" t="str">
        <x:f>IF(M193="","",MAX(0,'Motor_Meciuri'!BF19-IF(L193&gt;'Config_v6'!$B$12,'Config_v6'!$B$37,IF(L193&gt;'Config_v6'!$B$11,'Config_v6'!$B$36,0))))</x:f>
      </x:c>
    </x:row>
    <x:row r="194" ht="21" customHeight="1">
      <x:c r="A194" s="2" t="n">
        <x:v>14</x:v>
      </x:c>
      <x:c r="B194" s="2" t="str">
        <x:f>IF('Motor_Meciuri'!A19="","",'Motor_Meciuri'!A19)</x:f>
      </x:c>
      <x:c r="C194" s="2" t="str">
        <x:f>IF(B194="","",'Motor_Meciuri'!B19)</x:f>
      </x:c>
      <x:c r="D194" s="2" t="str">
        <x:f>IF(B194="","",'Motor_Meciuri'!D19)</x:f>
      </x:c>
      <x:c r="E194" s="2" t="str">
        <x:f>IF(B194="","",'Motor_Meciuri'!E19)</x:f>
      </x:c>
      <x:c r="F194" s="2" t="str">
        <x:v>U10,5</x:v>
      </x:c>
      <x:c r="G194" s="2" t="str">
        <x:v>UNDER</x:v>
      </x:c>
      <x:c r="H194" s="2" t="n">
        <x:v>10</x:v>
      </x:c>
      <x:c r="I194" s="2" t="str">
        <x:f>IF(B194="","",'Motor_Meciuri'!H19)</x:f>
      </x:c>
      <x:c r="J194" s="2" t="str">
        <x:f>IF(B194="","",'Motor_Meciuri'!I19)</x:f>
      </x:c>
      <x:c r="K194" s="11" t="str">
        <x:f>IF(J194&lt;&gt;"PASS","",'Motor_Meciuri'!BD19)</x:f>
      </x:c>
      <x:c r="L194" s="11" t="str">
        <x:f>IF(J194&lt;&gt;"PASS","",'Motor_Meciuri'!AU19)</x:f>
      </x:c>
      <x:c r="M194" s="10" t="str">
        <x:f>IF(NOT(AND(J194="PASS",'Calibrare_Linii'!U12="VALID")),"",'Distributie'!AH19)</x:f>
      </x:c>
      <x:c r="N194" s="10" t="str">
        <x:f>IF(M194="","",MAX(0.01,MIN(0.99,0.5+(M194-0.5)*'Motor_Meciuri'!BG19*'Calibrare_Linii'!D12)))</x:f>
      </x:c>
      <x:c r="O194" s="10" t="str">
        <x:f>IF(M194="","",1-M194)</x:f>
      </x:c>
      <x:c r="P194" s="10" t="str">
        <x:f>IF(OR(NOT(AND(J194="PASS",'Calibrare_Linii'!U12="VALID")),AK194=0),""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*('Istoric_Nativ'!$Q$6:$Q$405&gt;H194))/AK194)</x:f>
      </x:c>
      <x:c r="Q194" s="10" t="str">
        <x:f>IF(OR(NOT(AND(J194="PASS",'Calibrare_Linii'!U12="VALID")),AL194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M19)+((('Istoric_Nativ'!$E$6:$E$405='Input_Meci'!E19)+('Istoric_Nativ'!$F$6:$F$405='Input_Meci'!E19))&gt;0)*('Istoric_Nativ'!$D$6:$D$405&gt;='Motor_Meciuri'!BN19))&gt;0)*('Istoric_Nativ'!$Q$6:$Q$405&gt;H194))/AL194)</x:f>
      </x:c>
      <x:c r="R194" s="10" t="str">
        <x:f>IF(OR(NOT(AND(J194="PASS",'Calibrare_Linii'!U12="VALID")),AM194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O19)+((('Istoric_Nativ'!$E$6:$E$405='Input_Meci'!E19)+('Istoric_Nativ'!$F$6:$F$405='Input_Meci'!E19))&gt;0)*('Istoric_Nativ'!$D$6:$D$405&gt;='Motor_Meciuri'!BP19))&gt;0)*('Istoric_Nativ'!$Q$6:$Q$405&gt;H194))/AM194)</x:f>
      </x:c>
      <x:c r="S194" s="10" t="str">
        <x:f>IF(M194="","",MAX(O194,P194,Q194,R194))</x:f>
      </x:c>
      <x:c r="T194" s="11" t="str">
        <x:f>IF(M194="","",MIN(100,S194*100*'Config_v6'!$B$44+MIN(100,L194/'Config_v6'!$B$13*100)*'Config_v6'!$B$45+(100-'Motor_Meciuri'!BF19)*'Config_v6'!$B$46+'Motor_Meciuri'!BH19*100*'Config_v6'!$B$47))</x:f>
      </x:c>
      <x:c r="U194" s="2" t="str">
        <x:f>IF(T194="","",IF(T194&lt;=20,1,IF(T194&lt;=40,2,IF(T194&lt;=60,3,IF(T194&lt;=80,4,5)))))</x:f>
      </x:c>
      <x:c r="V194" s="2" t="str">
        <x:f>IF(M194="","",MAX(0,'Motor_Meciuri'!BF19-IF(W194="OOS PENDING",'Config_v6'!$B$35,0)-IF(L194&gt;'Config_v6'!$B$12,'Config_v6'!$B$37,IF(L194&gt;'Config_v6'!$B$11,'Config_v6'!$B$36,0))))</x:f>
      </x:c>
      <x:c r="W194" s="2" t="str">
        <x:f>IF(B194="","",IF(I194&lt;&gt;"READY","NOT RELEASED",IF(NOT(AND(J194="PASS",'Calibrare_Linii'!U12="VALID")),"INVALID",IF(NOT(AND('Calibrare_Linii'!S12="VALIDATED",AND('Calibrare_Linii'!H12=C194,ISNUMBER('Calibrare_Linii'!J12),'Calibrare_Linii'!J12&lt;='Input_Meci'!G19))),"OOS PENDING",IF(S194&lt;='Calibrare_Linii'!E12,"PASS",IF(S194&lt;='Calibrare_Linii'!F12,"PENALTY","WATCH"))))))</x:f>
      </x:c>
      <x:c r="X194" s="2" t="str">
        <x:f>IF(M194="","",IF(AND(AND(J194="PASS",'Calibrare_Linii'!U12="VALID"),'Motor_Meciuri'!K19=12,'Motor_Meciuri'!L19=12,'Motor_Meciuri'!M19="NO",'Motor_Meciuri'!BL19='Motor_Meciuri'!C19,AB194&gt;='Config_v6'!$B$50,AN194&gt;='Config_v6'!$B$51,T194&lt;='Config_v6'!$B$52,L194&lt;='Config_v6'!$B$53,ISNUMBER('Calibrare_Linii'!E12),S194&lt;='Calibrare_Linii'!E12,SUM(AK194:AM194)&gt;0),"CANDIDATE","NO"))</x:f>
      </x:c>
      <x:c r="Y194" s="2" t="str">
        <x:f>IF(B194="","",IF(I194&lt;&gt;"READY","NOT RELEASED",IF(AND(X194="CANDIDATE",V194&gt;='Config_v6'!$B$51,W194="PASS",'Calibrare_Linii'!T12="VALIDATED",AND('Calibrare_Linii'!H12=C194,ISNUMBER('Calibrare_Linii'!J12),'Calibrare_Linii'!J12&lt;='Input_Meci'!G19)),"PASS",IF(X194="CANDIDATE","OOS PENDING","FAIL"))))</x:f>
      </x:c>
      <x:c r="Z194" s="2" t="str">
        <x:f>IF(B194="","",IF(I194&lt;&gt;"READY","",IF(OR(NOT(AND(J194="PASS",'Calibrare_Linii'!U12="VALID")),L194&gt;'Config_v6'!$B$13,W194="WATCH"),5,IF(Y194="PASS",1,MIN(5,MAX('Config_v6'!$B$42,U194)+IF(W194="PENALTY",1,0))))))</x:f>
      </x:c>
      <x:c r="AA194" s="2" t="str">
        <x:f>IF(B194="","",IF(I194&lt;&gt;"READY","NOT RELEASED",IF(Z194=5,"NO BET",IF(OR(AB194&lt;'Config_v6'!$B$16,V194&lt;'Config_v6'!$B$18),"WATCH",IF(Z194=1,"DEFENSIV",IF(Z194=2,"PRUDENT",IF(Z194=3,"MODERAT","RIDICAT")))))))</x:f>
      </x:c>
      <x:c r="AB194" s="10" t="str">
        <x:f>IF(N194="","",MIN(N194,1-S194))</x:f>
      </x:c>
      <x:c r="AC194" s="2" t="str">
        <x:f>IF(AD194&lt;&gt;1,"",COUNTIFS($Z$188:$Z$201,"&lt;"&amp;Z194,$AD$188:$AD$201,1)+COUNTIFS($Z$188:$Z$201,Z194,$AB$188:$AB$201,"&gt;"&amp;AB194,$AD$188:$AD$201,1)+COUNTIFS($Z$188:$Z$201,Z194,$AB$188:$AB$201,AB194,$V$188:$V$201,"&gt;"&amp;V194,$AD$188:$AD$201,1)+COUNTIFS($Z$188:Z194,Z194,$AB$188:AB194,AB194,$V$188:V194,V194,$AD$188:AD194,1))</x:f>
      </x:c>
      <x:c r="AD194" s="2" t="n">
        <x:f>IF(OR(AA194="DEFENSIV",AA194="PRUDENT",AA194="MODERAT",AA194="RIDICAT"),1,0)</x:f>
        <x:v>0</x:v>
      </x:c>
      <x:c r="AE194" s="2" t="str">
        <x:f>IF(AD194&lt;&gt;1,"NO",IF(W194="PASS","YES",IF(W194="OOS PENDING","CONDITIONAL","NO")))</x:f>
        <x:v>NO</x:v>
      </x:c>
      <x:c r="AF194" s="2" t="n">
        <x:f>IF(AND(AD194=1,AC194=1,E194="LIVE"),1,0)</x:f>
        <x:v>0</x:v>
      </x:c>
      <x:c r="AG194" s="2" t="str">
        <x:f>IF(AF194&lt;&gt;1,"",'Dashboard'!P39)</x:f>
      </x:c>
      <x:c r="AH194" s="2" t="str">
        <x:f>IF(B194="","",IF(J194&lt;&gt;"PASS",'Motor_Meciuri'!J19,IF('Calibrare_Linii'!U12&lt;&gt;"VALID","Parametri linie invalizi",IF(L194&gt;'Config_v6'!$B$13,"Dispersie peste limita",IF(W194="WATCH","Failure peste limita",IF(AB194&lt;'Config_v6'!$B$16,"P finala sub prag",IF(V194&lt;'Config_v6'!$B$18,"Confidence sub prag",IF(E194="REPLAY","Exemplu retrospectiv; exclus din Top LIVE",IF(Y194="PASS","DEFENSIV validat",IF(W194="OOS PENDING","Eligibil; calibrare linie in monitorizare","Eligibil"))))))))))</x:f>
      </x:c>
      <x:c r="AI194" s="2" t="str">
        <x:f>IF(B194="","",'Calibrare_Linii'!V12)</x:f>
      </x:c>
      <x:c r="AJ194" s="2" t="str">
        <x:f>IF(B194="","",IF(AND('Calibrare_Linii'!T12="VALIDATED",AND('Calibrare_Linii'!H12=C194,ISNUMBER('Calibrare_Linii'!J12),'Calibrare_Linii'!J12&lt;='Input_Meci'!G19)),"DEFENSIVE VALIDATED",IF(AND('Calibrare_Linii'!S12="VALIDATED",AND('Calibrare_Linii'!H12=C194,ISNUMBER('Calibrare_Linii'!J12),'Calibrare_Linii'!J12&lt;='Input_Meci'!G19)),"TAIL VALIDATED","OOS PENDING")))</x:f>
      </x:c>
      <x:c r="AK194" s="2" t="n">
        <x:f>IF(J194&lt;&gt;"PASS",0,'Motor_Meciuri'!BR19)</x:f>
        <x:v>0</x:v>
      </x:c>
      <x:c r="AL194" s="2" t="n">
        <x:f>IF(J194&lt;&gt;"PASS",0,'Motor_Meciuri'!BS19)</x:f>
        <x:v>0</x:v>
      </x:c>
      <x:c r="AM194" s="2" t="n">
        <x:f>IF(J194&lt;&gt;"PASS",0,'Motor_Meciuri'!BT19)</x:f>
        <x:v>0</x:v>
      </x:c>
      <x:c r="AN194" s="2" t="str">
        <x:f>IF(M194="","",MAX(0,'Motor_Meciuri'!BF19-IF(L194&gt;'Config_v6'!$B$12,'Config_v6'!$B$37,IF(L194&gt;'Config_v6'!$B$11,'Config_v6'!$B$36,0))))</x:f>
      </x:c>
    </x:row>
    <x:row r="195" ht="21" customHeight="1">
      <x:c r="A195" s="2" t="n">
        <x:v>14</x:v>
      </x:c>
      <x:c r="B195" s="2" t="str">
        <x:f>IF('Motor_Meciuri'!A19="","",'Motor_Meciuri'!A19)</x:f>
      </x:c>
      <x:c r="C195" s="2" t="str">
        <x:f>IF(B195="","",'Motor_Meciuri'!B19)</x:f>
      </x:c>
      <x:c r="D195" s="2" t="str">
        <x:f>IF(B195="","",'Motor_Meciuri'!D19)</x:f>
      </x:c>
      <x:c r="E195" s="2" t="str">
        <x:f>IF(B195="","",'Motor_Meciuri'!E19)</x:f>
      </x:c>
      <x:c r="F195" s="2" t="str">
        <x:v>U11,5</x:v>
      </x:c>
      <x:c r="G195" s="2" t="str">
        <x:v>UNDER</x:v>
      </x:c>
      <x:c r="H195" s="2" t="n">
        <x:v>11</x:v>
      </x:c>
      <x:c r="I195" s="2" t="str">
        <x:f>IF(B195="","",'Motor_Meciuri'!H19)</x:f>
      </x:c>
      <x:c r="J195" s="2" t="str">
        <x:f>IF(B195="","",'Motor_Meciuri'!I19)</x:f>
      </x:c>
      <x:c r="K195" s="11" t="str">
        <x:f>IF(J195&lt;&gt;"PASS","",'Motor_Meciuri'!BD19)</x:f>
      </x:c>
      <x:c r="L195" s="11" t="str">
        <x:f>IF(J195&lt;&gt;"PASS","",'Motor_Meciuri'!AU19)</x:f>
      </x:c>
      <x:c r="M195" s="10" t="str">
        <x:f>IF(NOT(AND(J195="PASS",'Calibrare_Linii'!U13="VALID")),"",'Distributie'!AI19)</x:f>
      </x:c>
      <x:c r="N195" s="10" t="str">
        <x:f>IF(M195="","",MAX(0.01,MIN(0.99,0.5+(M195-0.5)*'Motor_Meciuri'!BG19*'Calibrare_Linii'!D13)))</x:f>
      </x:c>
      <x:c r="O195" s="10" t="str">
        <x:f>IF(M195="","",1-M195)</x:f>
      </x:c>
      <x:c r="P195" s="10" t="str">
        <x:f>IF(OR(NOT(AND(J195="PASS",'Calibrare_Linii'!U13="VALID")),AK195=0),""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*('Istoric_Nativ'!$Q$6:$Q$405&gt;H195))/AK195)</x:f>
      </x:c>
      <x:c r="Q195" s="10" t="str">
        <x:f>IF(OR(NOT(AND(J195="PASS",'Calibrare_Linii'!U13="VALID")),AL195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M19)+((('Istoric_Nativ'!$E$6:$E$405='Input_Meci'!E19)+('Istoric_Nativ'!$F$6:$F$405='Input_Meci'!E19))&gt;0)*('Istoric_Nativ'!$D$6:$D$405&gt;='Motor_Meciuri'!BN19))&gt;0)*('Istoric_Nativ'!$Q$6:$Q$405&gt;H195))/AL195)</x:f>
      </x:c>
      <x:c r="R195" s="10" t="str">
        <x:f>IF(OR(NOT(AND(J195="PASS",'Calibrare_Linii'!U13="VALID")),AM195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O19)+((('Istoric_Nativ'!$E$6:$E$405='Input_Meci'!E19)+('Istoric_Nativ'!$F$6:$F$405='Input_Meci'!E19))&gt;0)*('Istoric_Nativ'!$D$6:$D$405&gt;='Motor_Meciuri'!BP19))&gt;0)*('Istoric_Nativ'!$Q$6:$Q$405&gt;H195))/AM195)</x:f>
      </x:c>
      <x:c r="S195" s="10" t="str">
        <x:f>IF(M195="","",MAX(O195,P195,Q195,R195))</x:f>
      </x:c>
      <x:c r="T195" s="11" t="str">
        <x:f>IF(M195="","",MIN(100,S195*100*'Config_v6'!$B$44+MIN(100,L195/'Config_v6'!$B$13*100)*'Config_v6'!$B$45+(100-'Motor_Meciuri'!BF19)*'Config_v6'!$B$46+'Motor_Meciuri'!BH19*100*'Config_v6'!$B$47))</x:f>
      </x:c>
      <x:c r="U195" s="2" t="str">
        <x:f>IF(T195="","",IF(T195&lt;=20,1,IF(T195&lt;=40,2,IF(T195&lt;=60,3,IF(T195&lt;=80,4,5)))))</x:f>
      </x:c>
      <x:c r="V195" s="2" t="str">
        <x:f>IF(M195="","",MAX(0,'Motor_Meciuri'!BF19-IF(W195="OOS PENDING",'Config_v6'!$B$35,0)-IF(L195&gt;'Config_v6'!$B$12,'Config_v6'!$B$37,IF(L195&gt;'Config_v6'!$B$11,'Config_v6'!$B$36,0))))</x:f>
      </x:c>
      <x:c r="W195" s="2" t="str">
        <x:f>IF(B195="","",IF(I195&lt;&gt;"READY","NOT RELEASED",IF(NOT(AND(J195="PASS",'Calibrare_Linii'!U13="VALID")),"INVALID",IF(NOT(AND('Calibrare_Linii'!S13="VALIDATED",AND('Calibrare_Linii'!H13=C195,ISNUMBER('Calibrare_Linii'!J13),'Calibrare_Linii'!J13&lt;='Input_Meci'!G19))),"OOS PENDING",IF(S195&lt;='Calibrare_Linii'!E13,"PASS",IF(S195&lt;='Calibrare_Linii'!F13,"PENALTY","WATCH"))))))</x:f>
      </x:c>
      <x:c r="X195" s="2" t="str">
        <x:f>IF(M195="","",IF(AND(AND(J195="PASS",'Calibrare_Linii'!U13="VALID"),'Motor_Meciuri'!K19=12,'Motor_Meciuri'!L19=12,'Motor_Meciuri'!M19="NO",'Motor_Meciuri'!BL19='Motor_Meciuri'!C19,AB195&gt;='Config_v6'!$B$50,AN195&gt;='Config_v6'!$B$51,T195&lt;='Config_v6'!$B$52,L195&lt;='Config_v6'!$B$53,ISNUMBER('Calibrare_Linii'!E13),S195&lt;='Calibrare_Linii'!E13,SUM(AK195:AM195)&gt;0),"CANDIDATE","NO"))</x:f>
      </x:c>
      <x:c r="Y195" s="2" t="str">
        <x:f>IF(B195="","",IF(I195&lt;&gt;"READY","NOT RELEASED",IF(AND(X195="CANDIDATE",V195&gt;='Config_v6'!$B$51,W195="PASS",'Calibrare_Linii'!T13="VALIDATED",AND('Calibrare_Linii'!H13=C195,ISNUMBER('Calibrare_Linii'!J13),'Calibrare_Linii'!J13&lt;='Input_Meci'!G19)),"PASS",IF(X195="CANDIDATE","OOS PENDING","FAIL"))))</x:f>
      </x:c>
      <x:c r="Z195" s="2" t="str">
        <x:f>IF(B195="","",IF(I195&lt;&gt;"READY","",IF(OR(NOT(AND(J195="PASS",'Calibrare_Linii'!U13="VALID")),L195&gt;'Config_v6'!$B$13,W195="WATCH"),5,IF(Y195="PASS",1,MIN(5,MAX('Config_v6'!$B$42,U195)+IF(W195="PENALTY",1,0))))))</x:f>
      </x:c>
      <x:c r="AA195" s="2" t="str">
        <x:f>IF(B195="","",IF(I195&lt;&gt;"READY","NOT RELEASED",IF(Z195=5,"NO BET",IF(OR(AB195&lt;'Config_v6'!$B$16,V195&lt;'Config_v6'!$B$18),"WATCH",IF(Z195=1,"DEFENSIV",IF(Z195=2,"PRUDENT",IF(Z195=3,"MODERAT","RIDICAT")))))))</x:f>
      </x:c>
      <x:c r="AB195" s="10" t="str">
        <x:f>IF(N195="","",MIN(N195,1-S195))</x:f>
      </x:c>
      <x:c r="AC195" s="2" t="str">
        <x:f>IF(AD195&lt;&gt;1,"",COUNTIFS($Z$188:$Z$201,"&lt;"&amp;Z195,$AD$188:$AD$201,1)+COUNTIFS($Z$188:$Z$201,Z195,$AB$188:$AB$201,"&gt;"&amp;AB195,$AD$188:$AD$201,1)+COUNTIFS($Z$188:$Z$201,Z195,$AB$188:$AB$201,AB195,$V$188:$V$201,"&gt;"&amp;V195,$AD$188:$AD$201,1)+COUNTIFS($Z$188:Z195,Z195,$AB$188:AB195,AB195,$V$188:V195,V195,$AD$188:AD195,1))</x:f>
      </x:c>
      <x:c r="AD195" s="2" t="n">
        <x:f>IF(OR(AA195="DEFENSIV",AA195="PRUDENT",AA195="MODERAT",AA195="RIDICAT"),1,0)</x:f>
        <x:v>0</x:v>
      </x:c>
      <x:c r="AE195" s="2" t="str">
        <x:f>IF(AD195&lt;&gt;1,"NO",IF(W195="PASS","YES",IF(W195="OOS PENDING","CONDITIONAL","NO")))</x:f>
        <x:v>NO</x:v>
      </x:c>
      <x:c r="AF195" s="2" t="n">
        <x:f>IF(AND(AD195=1,AC195=1,E195="LIVE"),1,0)</x:f>
        <x:v>0</x:v>
      </x:c>
      <x:c r="AG195" s="2" t="str">
        <x:f>IF(AF195&lt;&gt;1,"",'Dashboard'!P39)</x:f>
      </x:c>
      <x:c r="AH195" s="2" t="str">
        <x:f>IF(B195="","",IF(J195&lt;&gt;"PASS",'Motor_Meciuri'!J19,IF('Calibrare_Linii'!U13&lt;&gt;"VALID","Parametri linie invalizi",IF(L195&gt;'Config_v6'!$B$13,"Dispersie peste limita",IF(W195="WATCH","Failure peste limita",IF(AB195&lt;'Config_v6'!$B$16,"P finala sub prag",IF(V195&lt;'Config_v6'!$B$18,"Confidence sub prag",IF(E195="REPLAY","Exemplu retrospectiv; exclus din Top LIVE",IF(Y195="PASS","DEFENSIV validat",IF(W195="OOS PENDING","Eligibil; calibrare linie in monitorizare","Eligibil"))))))))))</x:f>
      </x:c>
      <x:c r="AI195" s="2" t="str">
        <x:f>IF(B195="","",'Calibrare_Linii'!V13)</x:f>
      </x:c>
      <x:c r="AJ195" s="2" t="str">
        <x:f>IF(B195="","",IF(AND('Calibrare_Linii'!T13="VALIDATED",AND('Calibrare_Linii'!H13=C195,ISNUMBER('Calibrare_Linii'!J13),'Calibrare_Linii'!J13&lt;='Input_Meci'!G19)),"DEFENSIVE VALIDATED",IF(AND('Calibrare_Linii'!S13="VALIDATED",AND('Calibrare_Linii'!H13=C195,ISNUMBER('Calibrare_Linii'!J13),'Calibrare_Linii'!J13&lt;='Input_Meci'!G19)),"TAIL VALIDATED","OOS PENDING")))</x:f>
      </x:c>
      <x:c r="AK195" s="2" t="n">
        <x:f>IF(J195&lt;&gt;"PASS",0,'Motor_Meciuri'!BR19)</x:f>
        <x:v>0</x:v>
      </x:c>
      <x:c r="AL195" s="2" t="n">
        <x:f>IF(J195&lt;&gt;"PASS",0,'Motor_Meciuri'!BS19)</x:f>
        <x:v>0</x:v>
      </x:c>
      <x:c r="AM195" s="2" t="n">
        <x:f>IF(J195&lt;&gt;"PASS",0,'Motor_Meciuri'!BT19)</x:f>
        <x:v>0</x:v>
      </x:c>
      <x:c r="AN195" s="2" t="str">
        <x:f>IF(M195="","",MAX(0,'Motor_Meciuri'!BF19-IF(L195&gt;'Config_v6'!$B$12,'Config_v6'!$B$37,IF(L195&gt;'Config_v6'!$B$11,'Config_v6'!$B$36,0))))</x:f>
      </x:c>
    </x:row>
    <x:row r="196" ht="21" customHeight="1">
      <x:c r="A196" s="2" t="n">
        <x:v>14</x:v>
      </x:c>
      <x:c r="B196" s="2" t="str">
        <x:f>IF('Motor_Meciuri'!A19="","",'Motor_Meciuri'!A19)</x:f>
      </x:c>
      <x:c r="C196" s="2" t="str">
        <x:f>IF(B196="","",'Motor_Meciuri'!B19)</x:f>
      </x:c>
      <x:c r="D196" s="2" t="str">
        <x:f>IF(B196="","",'Motor_Meciuri'!D19)</x:f>
      </x:c>
      <x:c r="E196" s="2" t="str">
        <x:f>IF(B196="","",'Motor_Meciuri'!E19)</x:f>
      </x:c>
      <x:c r="F196" s="2" t="str">
        <x:v>U12,5</x:v>
      </x:c>
      <x:c r="G196" s="2" t="str">
        <x:v>UNDER</x:v>
      </x:c>
      <x:c r="H196" s="2" t="n">
        <x:v>12</x:v>
      </x:c>
      <x:c r="I196" s="2" t="str">
        <x:f>IF(B196="","",'Motor_Meciuri'!H19)</x:f>
      </x:c>
      <x:c r="J196" s="2" t="str">
        <x:f>IF(B196="","",'Motor_Meciuri'!I19)</x:f>
      </x:c>
      <x:c r="K196" s="11" t="str">
        <x:f>IF(J196&lt;&gt;"PASS","",'Motor_Meciuri'!BD19)</x:f>
      </x:c>
      <x:c r="L196" s="11" t="str">
        <x:f>IF(J196&lt;&gt;"PASS","",'Motor_Meciuri'!AU19)</x:f>
      </x:c>
      <x:c r="M196" s="10" t="str">
        <x:f>IF(NOT(AND(J196="PASS",'Calibrare_Linii'!U14="VALID")),"",'Distributie'!AJ19)</x:f>
      </x:c>
      <x:c r="N196" s="10" t="str">
        <x:f>IF(M196="","",MAX(0.01,MIN(0.99,0.5+(M196-0.5)*'Motor_Meciuri'!BG19*'Calibrare_Linii'!D14)))</x:f>
      </x:c>
      <x:c r="O196" s="10" t="str">
        <x:f>IF(M196="","",1-M196)</x:f>
      </x:c>
      <x:c r="P196" s="10" t="str">
        <x:f>IF(OR(NOT(AND(J196="PASS",'Calibrare_Linii'!U14="VALID")),AK196=0),""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*('Istoric_Nativ'!$Q$6:$Q$405&gt;H196))/AK196)</x:f>
      </x:c>
      <x:c r="Q196" s="10" t="str">
        <x:f>IF(OR(NOT(AND(J196="PASS",'Calibrare_Linii'!U14="VALID")),AL196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M19)+((('Istoric_Nativ'!$E$6:$E$405='Input_Meci'!E19)+('Istoric_Nativ'!$F$6:$F$405='Input_Meci'!E19))&gt;0)*('Istoric_Nativ'!$D$6:$D$405&gt;='Motor_Meciuri'!BN19))&gt;0)*('Istoric_Nativ'!$Q$6:$Q$405&gt;H196))/AL196)</x:f>
      </x:c>
      <x:c r="R196" s="10" t="str">
        <x:f>IF(OR(NOT(AND(J196="PASS",'Calibrare_Linii'!U14="VALID")),AM196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O19)+((('Istoric_Nativ'!$E$6:$E$405='Input_Meci'!E19)+('Istoric_Nativ'!$F$6:$F$405='Input_Meci'!E19))&gt;0)*('Istoric_Nativ'!$D$6:$D$405&gt;='Motor_Meciuri'!BP19))&gt;0)*('Istoric_Nativ'!$Q$6:$Q$405&gt;H196))/AM196)</x:f>
      </x:c>
      <x:c r="S196" s="10" t="str">
        <x:f>IF(M196="","",MAX(O196,P196,Q196,R196))</x:f>
      </x:c>
      <x:c r="T196" s="11" t="str">
        <x:f>IF(M196="","",MIN(100,S196*100*'Config_v6'!$B$44+MIN(100,L196/'Config_v6'!$B$13*100)*'Config_v6'!$B$45+(100-'Motor_Meciuri'!BF19)*'Config_v6'!$B$46+'Motor_Meciuri'!BH19*100*'Config_v6'!$B$47))</x:f>
      </x:c>
      <x:c r="U196" s="2" t="str">
        <x:f>IF(T196="","",IF(T196&lt;=20,1,IF(T196&lt;=40,2,IF(T196&lt;=60,3,IF(T196&lt;=80,4,5)))))</x:f>
      </x:c>
      <x:c r="V196" s="2" t="str">
        <x:f>IF(M196="","",MAX(0,'Motor_Meciuri'!BF19-IF(W196="OOS PENDING",'Config_v6'!$B$35,0)-IF(L196&gt;'Config_v6'!$B$12,'Config_v6'!$B$37,IF(L196&gt;'Config_v6'!$B$11,'Config_v6'!$B$36,0))))</x:f>
      </x:c>
      <x:c r="W196" s="2" t="str">
        <x:f>IF(B196="","",IF(I196&lt;&gt;"READY","NOT RELEASED",IF(NOT(AND(J196="PASS",'Calibrare_Linii'!U14="VALID")),"INVALID",IF(NOT(AND('Calibrare_Linii'!S14="VALIDATED",AND('Calibrare_Linii'!H14=C196,ISNUMBER('Calibrare_Linii'!J14),'Calibrare_Linii'!J14&lt;='Input_Meci'!G19))),"OOS PENDING",IF(S196&lt;='Calibrare_Linii'!E14,"PASS",IF(S196&lt;='Calibrare_Linii'!F14,"PENALTY","WATCH"))))))</x:f>
      </x:c>
      <x:c r="X196" s="2" t="str">
        <x:f>IF(M196="","",IF(AND(AND(J196="PASS",'Calibrare_Linii'!U14="VALID"),'Motor_Meciuri'!K19=12,'Motor_Meciuri'!L19=12,'Motor_Meciuri'!M19="NO",'Motor_Meciuri'!BL19='Motor_Meciuri'!C19,AB196&gt;='Config_v6'!$B$50,AN196&gt;='Config_v6'!$B$51,T196&lt;='Config_v6'!$B$52,L196&lt;='Config_v6'!$B$53,ISNUMBER('Calibrare_Linii'!E14),S196&lt;='Calibrare_Linii'!E14,SUM(AK196:AM196)&gt;0),"CANDIDATE","NO"))</x:f>
      </x:c>
      <x:c r="Y196" s="2" t="str">
        <x:f>IF(B196="","",IF(I196&lt;&gt;"READY","NOT RELEASED",IF(AND(X196="CANDIDATE",V196&gt;='Config_v6'!$B$51,W196="PASS",'Calibrare_Linii'!T14="VALIDATED",AND('Calibrare_Linii'!H14=C196,ISNUMBER('Calibrare_Linii'!J14),'Calibrare_Linii'!J14&lt;='Input_Meci'!G19)),"PASS",IF(X196="CANDIDATE","OOS PENDING","FAIL"))))</x:f>
      </x:c>
      <x:c r="Z196" s="2" t="str">
        <x:f>IF(B196="","",IF(I196&lt;&gt;"READY","",IF(OR(NOT(AND(J196="PASS",'Calibrare_Linii'!U14="VALID")),L196&gt;'Config_v6'!$B$13,W196="WATCH"),5,IF(Y196="PASS",1,MIN(5,MAX('Config_v6'!$B$42,U196)+IF(W196="PENALTY",1,0))))))</x:f>
      </x:c>
      <x:c r="AA196" s="2" t="str">
        <x:f>IF(B196="","",IF(I196&lt;&gt;"READY","NOT RELEASED",IF(Z196=5,"NO BET",IF(OR(AB196&lt;'Config_v6'!$B$16,V196&lt;'Config_v6'!$B$18),"WATCH",IF(Z196=1,"DEFENSIV",IF(Z196=2,"PRUDENT",IF(Z196=3,"MODERAT","RIDICAT")))))))</x:f>
      </x:c>
      <x:c r="AB196" s="10" t="str">
        <x:f>IF(N196="","",MIN(N196,1-S196))</x:f>
      </x:c>
      <x:c r="AC196" s="2" t="str">
        <x:f>IF(AD196&lt;&gt;1,"",COUNTIFS($Z$188:$Z$201,"&lt;"&amp;Z196,$AD$188:$AD$201,1)+COUNTIFS($Z$188:$Z$201,Z196,$AB$188:$AB$201,"&gt;"&amp;AB196,$AD$188:$AD$201,1)+COUNTIFS($Z$188:$Z$201,Z196,$AB$188:$AB$201,AB196,$V$188:$V$201,"&gt;"&amp;V196,$AD$188:$AD$201,1)+COUNTIFS($Z$188:Z196,Z196,$AB$188:AB196,AB196,$V$188:V196,V196,$AD$188:AD196,1))</x:f>
      </x:c>
      <x:c r="AD196" s="2" t="n">
        <x:f>IF(OR(AA196="DEFENSIV",AA196="PRUDENT",AA196="MODERAT",AA196="RIDICAT"),1,0)</x:f>
        <x:v>0</x:v>
      </x:c>
      <x:c r="AE196" s="2" t="str">
        <x:f>IF(AD196&lt;&gt;1,"NO",IF(W196="PASS","YES",IF(W196="OOS PENDING","CONDITIONAL","NO")))</x:f>
        <x:v>NO</x:v>
      </x:c>
      <x:c r="AF196" s="2" t="n">
        <x:f>IF(AND(AD196=1,AC196=1,E196="LIVE"),1,0)</x:f>
        <x:v>0</x:v>
      </x:c>
      <x:c r="AG196" s="2" t="str">
        <x:f>IF(AF196&lt;&gt;1,"",'Dashboard'!P39)</x:f>
      </x:c>
      <x:c r="AH196" s="2" t="str">
        <x:f>IF(B196="","",IF(J196&lt;&gt;"PASS",'Motor_Meciuri'!J19,IF('Calibrare_Linii'!U14&lt;&gt;"VALID","Parametri linie invalizi",IF(L196&gt;'Config_v6'!$B$13,"Dispersie peste limita",IF(W196="WATCH","Failure peste limita",IF(AB196&lt;'Config_v6'!$B$16,"P finala sub prag",IF(V196&lt;'Config_v6'!$B$18,"Confidence sub prag",IF(E196="REPLAY","Exemplu retrospectiv; exclus din Top LIVE",IF(Y196="PASS","DEFENSIV validat",IF(W196="OOS PENDING","Eligibil; calibrare linie in monitorizare","Eligibil"))))))))))</x:f>
      </x:c>
      <x:c r="AI196" s="2" t="str">
        <x:f>IF(B196="","",'Calibrare_Linii'!V14)</x:f>
      </x:c>
      <x:c r="AJ196" s="2" t="str">
        <x:f>IF(B196="","",IF(AND('Calibrare_Linii'!T14="VALIDATED",AND('Calibrare_Linii'!H14=C196,ISNUMBER('Calibrare_Linii'!J14),'Calibrare_Linii'!J14&lt;='Input_Meci'!G19)),"DEFENSIVE VALIDATED",IF(AND('Calibrare_Linii'!S14="VALIDATED",AND('Calibrare_Linii'!H14=C196,ISNUMBER('Calibrare_Linii'!J14),'Calibrare_Linii'!J14&lt;='Input_Meci'!G19)),"TAIL VALIDATED","OOS PENDING")))</x:f>
      </x:c>
      <x:c r="AK196" s="2" t="n">
        <x:f>IF(J196&lt;&gt;"PASS",0,'Motor_Meciuri'!BR19)</x:f>
        <x:v>0</x:v>
      </x:c>
      <x:c r="AL196" s="2" t="n">
        <x:f>IF(J196&lt;&gt;"PASS",0,'Motor_Meciuri'!BS19)</x:f>
        <x:v>0</x:v>
      </x:c>
      <x:c r="AM196" s="2" t="n">
        <x:f>IF(J196&lt;&gt;"PASS",0,'Motor_Meciuri'!BT19)</x:f>
        <x:v>0</x:v>
      </x:c>
      <x:c r="AN196" s="2" t="str">
        <x:f>IF(M196="","",MAX(0,'Motor_Meciuri'!BF19-IF(L196&gt;'Config_v6'!$B$12,'Config_v6'!$B$37,IF(L196&gt;'Config_v6'!$B$11,'Config_v6'!$B$36,0))))</x:f>
      </x:c>
    </x:row>
    <x:row r="197" ht="21" customHeight="1">
      <x:c r="A197" s="2" t="n">
        <x:v>14</x:v>
      </x:c>
      <x:c r="B197" s="2" t="str">
        <x:f>IF('Motor_Meciuri'!A19="","",'Motor_Meciuri'!A19)</x:f>
      </x:c>
      <x:c r="C197" s="2" t="str">
        <x:f>IF(B197="","",'Motor_Meciuri'!B19)</x:f>
      </x:c>
      <x:c r="D197" s="2" t="str">
        <x:f>IF(B197="","",'Motor_Meciuri'!D19)</x:f>
      </x:c>
      <x:c r="E197" s="2" t="str">
        <x:f>IF(B197="","",'Motor_Meciuri'!E19)</x:f>
      </x:c>
      <x:c r="F197" s="2" t="str">
        <x:v>U13,5</x:v>
      </x:c>
      <x:c r="G197" s="2" t="str">
        <x:v>UNDER</x:v>
      </x:c>
      <x:c r="H197" s="2" t="n">
        <x:v>13</x:v>
      </x:c>
      <x:c r="I197" s="2" t="str">
        <x:f>IF(B197="","",'Motor_Meciuri'!H19)</x:f>
      </x:c>
      <x:c r="J197" s="2" t="str">
        <x:f>IF(B197="","",'Motor_Meciuri'!I19)</x:f>
      </x:c>
      <x:c r="K197" s="11" t="str">
        <x:f>IF(J197&lt;&gt;"PASS","",'Motor_Meciuri'!BD19)</x:f>
      </x:c>
      <x:c r="L197" s="11" t="str">
        <x:f>IF(J197&lt;&gt;"PASS","",'Motor_Meciuri'!AU19)</x:f>
      </x:c>
      <x:c r="M197" s="10" t="str">
        <x:f>IF(NOT(AND(J197="PASS",'Calibrare_Linii'!U15="VALID")),"",'Distributie'!AK19)</x:f>
      </x:c>
      <x:c r="N197" s="10" t="str">
        <x:f>IF(M197="","",MAX(0.01,MIN(0.99,0.5+(M197-0.5)*'Motor_Meciuri'!BG19*'Calibrare_Linii'!D15)))</x:f>
      </x:c>
      <x:c r="O197" s="10" t="str">
        <x:f>IF(M197="","",1-M197)</x:f>
      </x:c>
      <x:c r="P197" s="10" t="str">
        <x:f>IF(OR(NOT(AND(J197="PASS",'Calibrare_Linii'!U15="VALID")),AK197=0),""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*('Istoric_Nativ'!$Q$6:$Q$405&gt;H197))/AK197)</x:f>
      </x:c>
      <x:c r="Q197" s="10" t="str">
        <x:f>IF(OR(NOT(AND(J197="PASS",'Calibrare_Linii'!U15="VALID")),AL197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M19)+((('Istoric_Nativ'!$E$6:$E$405='Input_Meci'!E19)+('Istoric_Nativ'!$F$6:$F$405='Input_Meci'!E19))&gt;0)*('Istoric_Nativ'!$D$6:$D$405&gt;='Motor_Meciuri'!BN19))&gt;0)*('Istoric_Nativ'!$Q$6:$Q$405&gt;H197))/AL197)</x:f>
      </x:c>
      <x:c r="R197" s="10" t="str">
        <x:f>IF(OR(NOT(AND(J197="PASS",'Calibrare_Linii'!U15="VALID")),AM197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O19)+((('Istoric_Nativ'!$E$6:$E$405='Input_Meci'!E19)+('Istoric_Nativ'!$F$6:$F$405='Input_Meci'!E19))&gt;0)*('Istoric_Nativ'!$D$6:$D$405&gt;='Motor_Meciuri'!BP19))&gt;0)*('Istoric_Nativ'!$Q$6:$Q$405&gt;H197))/AM197)</x:f>
      </x:c>
      <x:c r="S197" s="10" t="str">
        <x:f>IF(M197="","",MAX(O197,P197,Q197,R197))</x:f>
      </x:c>
      <x:c r="T197" s="11" t="str">
        <x:f>IF(M197="","",MIN(100,S197*100*'Config_v6'!$B$44+MIN(100,L197/'Config_v6'!$B$13*100)*'Config_v6'!$B$45+(100-'Motor_Meciuri'!BF19)*'Config_v6'!$B$46+'Motor_Meciuri'!BH19*100*'Config_v6'!$B$47))</x:f>
      </x:c>
      <x:c r="U197" s="2" t="str">
        <x:f>IF(T197="","",IF(T197&lt;=20,1,IF(T197&lt;=40,2,IF(T197&lt;=60,3,IF(T197&lt;=80,4,5)))))</x:f>
      </x:c>
      <x:c r="V197" s="2" t="str">
        <x:f>IF(M197="","",MAX(0,'Motor_Meciuri'!BF19-IF(W197="OOS PENDING",'Config_v6'!$B$35,0)-IF(L197&gt;'Config_v6'!$B$12,'Config_v6'!$B$37,IF(L197&gt;'Config_v6'!$B$11,'Config_v6'!$B$36,0))))</x:f>
      </x:c>
      <x:c r="W197" s="2" t="str">
        <x:f>IF(B197="","",IF(I197&lt;&gt;"READY","NOT RELEASED",IF(NOT(AND(J197="PASS",'Calibrare_Linii'!U15="VALID")),"INVALID",IF(NOT(AND('Calibrare_Linii'!S15="VALIDATED",AND('Calibrare_Linii'!H15=C197,ISNUMBER('Calibrare_Linii'!J15),'Calibrare_Linii'!J15&lt;='Input_Meci'!G19))),"OOS PENDING",IF(S197&lt;='Calibrare_Linii'!E15,"PASS",IF(S197&lt;='Calibrare_Linii'!F15,"PENALTY","WATCH"))))))</x:f>
      </x:c>
      <x:c r="X197" s="2" t="str">
        <x:f>IF(M197="","",IF(AND(AND(J197="PASS",'Calibrare_Linii'!U15="VALID"),'Motor_Meciuri'!K19=12,'Motor_Meciuri'!L19=12,'Motor_Meciuri'!M19="NO",'Motor_Meciuri'!BL19='Motor_Meciuri'!C19,AB197&gt;='Config_v6'!$B$50,AN197&gt;='Config_v6'!$B$51,T197&lt;='Config_v6'!$B$52,L197&lt;='Config_v6'!$B$53,ISNUMBER('Calibrare_Linii'!E15),S197&lt;='Calibrare_Linii'!E15,SUM(AK197:AM197)&gt;0),"CANDIDATE","NO"))</x:f>
      </x:c>
      <x:c r="Y197" s="2" t="str">
        <x:f>IF(B197="","",IF(I197&lt;&gt;"READY","NOT RELEASED",IF(AND(X197="CANDIDATE",V197&gt;='Config_v6'!$B$51,W197="PASS",'Calibrare_Linii'!T15="VALIDATED",AND('Calibrare_Linii'!H15=C197,ISNUMBER('Calibrare_Linii'!J15),'Calibrare_Linii'!J15&lt;='Input_Meci'!G19)),"PASS",IF(X197="CANDIDATE","OOS PENDING","FAIL"))))</x:f>
      </x:c>
      <x:c r="Z197" s="2" t="str">
        <x:f>IF(B197="","",IF(I197&lt;&gt;"READY","",IF(OR(NOT(AND(J197="PASS",'Calibrare_Linii'!U15="VALID")),L197&gt;'Config_v6'!$B$13,W197="WATCH"),5,IF(Y197="PASS",1,MIN(5,MAX('Config_v6'!$B$42,U197)+IF(W197="PENALTY",1,0))))))</x:f>
      </x:c>
      <x:c r="AA197" s="2" t="str">
        <x:f>IF(B197="","",IF(I197&lt;&gt;"READY","NOT RELEASED",IF(Z197=5,"NO BET",IF(OR(AB197&lt;'Config_v6'!$B$16,V197&lt;'Config_v6'!$B$18),"WATCH",IF(Z197=1,"DEFENSIV",IF(Z197=2,"PRUDENT",IF(Z197=3,"MODERAT","RIDICAT")))))))</x:f>
      </x:c>
      <x:c r="AB197" s="10" t="str">
        <x:f>IF(N197="","",MIN(N197,1-S197))</x:f>
      </x:c>
      <x:c r="AC197" s="2" t="str">
        <x:f>IF(AD197&lt;&gt;1,"",COUNTIFS($Z$188:$Z$201,"&lt;"&amp;Z197,$AD$188:$AD$201,1)+COUNTIFS($Z$188:$Z$201,Z197,$AB$188:$AB$201,"&gt;"&amp;AB197,$AD$188:$AD$201,1)+COUNTIFS($Z$188:$Z$201,Z197,$AB$188:$AB$201,AB197,$V$188:$V$201,"&gt;"&amp;V197,$AD$188:$AD$201,1)+COUNTIFS($Z$188:Z197,Z197,$AB$188:AB197,AB197,$V$188:V197,V197,$AD$188:AD197,1))</x:f>
      </x:c>
      <x:c r="AD197" s="2" t="n">
        <x:f>IF(OR(AA197="DEFENSIV",AA197="PRUDENT",AA197="MODERAT",AA197="RIDICAT"),1,0)</x:f>
        <x:v>0</x:v>
      </x:c>
      <x:c r="AE197" s="2" t="str">
        <x:f>IF(AD197&lt;&gt;1,"NO",IF(W197="PASS","YES",IF(W197="OOS PENDING","CONDITIONAL","NO")))</x:f>
        <x:v>NO</x:v>
      </x:c>
      <x:c r="AF197" s="2" t="n">
        <x:f>IF(AND(AD197=1,AC197=1,E197="LIVE"),1,0)</x:f>
        <x:v>0</x:v>
      </x:c>
      <x:c r="AG197" s="2" t="str">
        <x:f>IF(AF197&lt;&gt;1,"",'Dashboard'!P39)</x:f>
      </x:c>
      <x:c r="AH197" s="2" t="str">
        <x:f>IF(B197="","",IF(J197&lt;&gt;"PASS",'Motor_Meciuri'!J19,IF('Calibrare_Linii'!U15&lt;&gt;"VALID","Parametri linie invalizi",IF(L197&gt;'Config_v6'!$B$13,"Dispersie peste limita",IF(W197="WATCH","Failure peste limita",IF(AB197&lt;'Config_v6'!$B$16,"P finala sub prag",IF(V197&lt;'Config_v6'!$B$18,"Confidence sub prag",IF(E197="REPLAY","Exemplu retrospectiv; exclus din Top LIVE",IF(Y197="PASS","DEFENSIV validat",IF(W197="OOS PENDING","Eligibil; calibrare linie in monitorizare","Eligibil"))))))))))</x:f>
      </x:c>
      <x:c r="AI197" s="2" t="str">
        <x:f>IF(B197="","",'Calibrare_Linii'!V15)</x:f>
      </x:c>
      <x:c r="AJ197" s="2" t="str">
        <x:f>IF(B197="","",IF(AND('Calibrare_Linii'!T15="VALIDATED",AND('Calibrare_Linii'!H15=C197,ISNUMBER('Calibrare_Linii'!J15),'Calibrare_Linii'!J15&lt;='Input_Meci'!G19)),"DEFENSIVE VALIDATED",IF(AND('Calibrare_Linii'!S15="VALIDATED",AND('Calibrare_Linii'!H15=C197,ISNUMBER('Calibrare_Linii'!J15),'Calibrare_Linii'!J15&lt;='Input_Meci'!G19)),"TAIL VALIDATED","OOS PENDING")))</x:f>
      </x:c>
      <x:c r="AK197" s="2" t="n">
        <x:f>IF(J197&lt;&gt;"PASS",0,'Motor_Meciuri'!BR19)</x:f>
        <x:v>0</x:v>
      </x:c>
      <x:c r="AL197" s="2" t="n">
        <x:f>IF(J197&lt;&gt;"PASS",0,'Motor_Meciuri'!BS19)</x:f>
        <x:v>0</x:v>
      </x:c>
      <x:c r="AM197" s="2" t="n">
        <x:f>IF(J197&lt;&gt;"PASS",0,'Motor_Meciuri'!BT19)</x:f>
        <x:v>0</x:v>
      </x:c>
      <x:c r="AN197" s="2" t="str">
        <x:f>IF(M197="","",MAX(0,'Motor_Meciuri'!BF19-IF(L197&gt;'Config_v6'!$B$12,'Config_v6'!$B$37,IF(L197&gt;'Config_v6'!$B$11,'Config_v6'!$B$36,0))))</x:f>
      </x:c>
    </x:row>
    <x:row r="198" ht="21" customHeight="1">
      <x:c r="A198" s="2" t="n">
        <x:v>14</x:v>
      </x:c>
      <x:c r="B198" s="2" t="str">
        <x:f>IF('Motor_Meciuri'!A19="","",'Motor_Meciuri'!A19)</x:f>
      </x:c>
      <x:c r="C198" s="2" t="str">
        <x:f>IF(B198="","",'Motor_Meciuri'!B19)</x:f>
      </x:c>
      <x:c r="D198" s="2" t="str">
        <x:f>IF(B198="","",'Motor_Meciuri'!D19)</x:f>
      </x:c>
      <x:c r="E198" s="2" t="str">
        <x:f>IF(B198="","",'Motor_Meciuri'!E19)</x:f>
      </x:c>
      <x:c r="F198" s="2" t="str">
        <x:v>U14,5</x:v>
      </x:c>
      <x:c r="G198" s="2" t="str">
        <x:v>UNDER</x:v>
      </x:c>
      <x:c r="H198" s="2" t="n">
        <x:v>14</x:v>
      </x:c>
      <x:c r="I198" s="2" t="str">
        <x:f>IF(B198="","",'Motor_Meciuri'!H19)</x:f>
      </x:c>
      <x:c r="J198" s="2" t="str">
        <x:f>IF(B198="","",'Motor_Meciuri'!I19)</x:f>
      </x:c>
      <x:c r="K198" s="11" t="str">
        <x:f>IF(J198&lt;&gt;"PASS","",'Motor_Meciuri'!BD19)</x:f>
      </x:c>
      <x:c r="L198" s="11" t="str">
        <x:f>IF(J198&lt;&gt;"PASS","",'Motor_Meciuri'!AU19)</x:f>
      </x:c>
      <x:c r="M198" s="10" t="str">
        <x:f>IF(NOT(AND(J198="PASS",'Calibrare_Linii'!U16="VALID")),"",'Distributie'!AL19)</x:f>
      </x:c>
      <x:c r="N198" s="10" t="str">
        <x:f>IF(M198="","",MAX(0.01,MIN(0.99,0.5+(M198-0.5)*'Motor_Meciuri'!BG19*'Calibrare_Linii'!D16)))</x:f>
      </x:c>
      <x:c r="O198" s="10" t="str">
        <x:f>IF(M198="","",1-M198)</x:f>
      </x:c>
      <x:c r="P198" s="10" t="str">
        <x:f>IF(OR(NOT(AND(J198="PASS",'Calibrare_Linii'!U16="VALID")),AK198=0),""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*('Istoric_Nativ'!$Q$6:$Q$405&gt;H198))/AK198)</x:f>
      </x:c>
      <x:c r="Q198" s="10" t="str">
        <x:f>IF(OR(NOT(AND(J198="PASS",'Calibrare_Linii'!U16="VALID")),AL198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M19)+((('Istoric_Nativ'!$E$6:$E$405='Input_Meci'!E19)+('Istoric_Nativ'!$F$6:$F$405='Input_Meci'!E19))&gt;0)*('Istoric_Nativ'!$D$6:$D$405&gt;='Motor_Meciuri'!BN19))&gt;0)*('Istoric_Nativ'!$Q$6:$Q$405&gt;H198))/AL198)</x:f>
      </x:c>
      <x:c r="R198" s="10" t="str">
        <x:f>IF(OR(NOT(AND(J198="PASS",'Calibrare_Linii'!U16="VALID")),AM198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O19)+((('Istoric_Nativ'!$E$6:$E$405='Input_Meci'!E19)+('Istoric_Nativ'!$F$6:$F$405='Input_Meci'!E19))&gt;0)*('Istoric_Nativ'!$D$6:$D$405&gt;='Motor_Meciuri'!BP19))&gt;0)*('Istoric_Nativ'!$Q$6:$Q$405&gt;H198))/AM198)</x:f>
      </x:c>
      <x:c r="S198" s="10" t="str">
        <x:f>IF(M198="","",MAX(O198,P198,Q198,R198))</x:f>
      </x:c>
      <x:c r="T198" s="11" t="str">
        <x:f>IF(M198="","",MIN(100,S198*100*'Config_v6'!$B$44+MIN(100,L198/'Config_v6'!$B$13*100)*'Config_v6'!$B$45+(100-'Motor_Meciuri'!BF19)*'Config_v6'!$B$46+'Motor_Meciuri'!BH19*100*'Config_v6'!$B$47))</x:f>
      </x:c>
      <x:c r="U198" s="2" t="str">
        <x:f>IF(T198="","",IF(T198&lt;=20,1,IF(T198&lt;=40,2,IF(T198&lt;=60,3,IF(T198&lt;=80,4,5)))))</x:f>
      </x:c>
      <x:c r="V198" s="2" t="str">
        <x:f>IF(M198="","",MAX(0,'Motor_Meciuri'!BF19-IF(W198="OOS PENDING",'Config_v6'!$B$35,0)-IF(L198&gt;'Config_v6'!$B$12,'Config_v6'!$B$37,IF(L198&gt;'Config_v6'!$B$11,'Config_v6'!$B$36,0))))</x:f>
      </x:c>
      <x:c r="W198" s="2" t="str">
        <x:f>IF(B198="","",IF(I198&lt;&gt;"READY","NOT RELEASED",IF(NOT(AND(J198="PASS",'Calibrare_Linii'!U16="VALID")),"INVALID",IF(NOT(AND('Calibrare_Linii'!S16="VALIDATED",AND('Calibrare_Linii'!H16=C198,ISNUMBER('Calibrare_Linii'!J16),'Calibrare_Linii'!J16&lt;='Input_Meci'!G19))),"OOS PENDING",IF(S198&lt;='Calibrare_Linii'!E16,"PASS",IF(S198&lt;='Calibrare_Linii'!F16,"PENALTY","WATCH"))))))</x:f>
      </x:c>
      <x:c r="X198" s="2" t="str">
        <x:f>IF(M198="","",IF(AND(AND(J198="PASS",'Calibrare_Linii'!U16="VALID"),'Motor_Meciuri'!K19=12,'Motor_Meciuri'!L19=12,'Motor_Meciuri'!M19="NO",'Motor_Meciuri'!BL19='Motor_Meciuri'!C19,AB198&gt;='Config_v6'!$B$50,AN198&gt;='Config_v6'!$B$51,T198&lt;='Config_v6'!$B$52,L198&lt;='Config_v6'!$B$53,ISNUMBER('Calibrare_Linii'!E16),S198&lt;='Calibrare_Linii'!E16,SUM(AK198:AM198)&gt;0),"CANDIDATE","NO"))</x:f>
      </x:c>
      <x:c r="Y198" s="2" t="str">
        <x:f>IF(B198="","",IF(I198&lt;&gt;"READY","NOT RELEASED",IF(AND(X198="CANDIDATE",V198&gt;='Config_v6'!$B$51,W198="PASS",'Calibrare_Linii'!T16="VALIDATED",AND('Calibrare_Linii'!H16=C198,ISNUMBER('Calibrare_Linii'!J16),'Calibrare_Linii'!J16&lt;='Input_Meci'!G19)),"PASS",IF(X198="CANDIDATE","OOS PENDING","FAIL"))))</x:f>
      </x:c>
      <x:c r="Z198" s="2" t="str">
        <x:f>IF(B198="","",IF(I198&lt;&gt;"READY","",IF(OR(NOT(AND(J198="PASS",'Calibrare_Linii'!U16="VALID")),L198&gt;'Config_v6'!$B$13,W198="WATCH"),5,IF(Y198="PASS",1,MIN(5,MAX('Config_v6'!$B$42,U198)+IF(W198="PENALTY",1,0))))))</x:f>
      </x:c>
      <x:c r="AA198" s="2" t="str">
        <x:f>IF(B198="","",IF(I198&lt;&gt;"READY","NOT RELEASED",IF(Z198=5,"NO BET",IF(OR(AB198&lt;'Config_v6'!$B$16,V198&lt;'Config_v6'!$B$18),"WATCH",IF(Z198=1,"DEFENSIV",IF(Z198=2,"PRUDENT",IF(Z198=3,"MODERAT","RIDICAT")))))))</x:f>
      </x:c>
      <x:c r="AB198" s="10" t="str">
        <x:f>IF(N198="","",MIN(N198,1-S198))</x:f>
      </x:c>
      <x:c r="AC198" s="2" t="str">
        <x:f>IF(AD198&lt;&gt;1,"",COUNTIFS($Z$188:$Z$201,"&lt;"&amp;Z198,$AD$188:$AD$201,1)+COUNTIFS($Z$188:$Z$201,Z198,$AB$188:$AB$201,"&gt;"&amp;AB198,$AD$188:$AD$201,1)+COUNTIFS($Z$188:$Z$201,Z198,$AB$188:$AB$201,AB198,$V$188:$V$201,"&gt;"&amp;V198,$AD$188:$AD$201,1)+COUNTIFS($Z$188:Z198,Z198,$AB$188:AB198,AB198,$V$188:V198,V198,$AD$188:AD198,1))</x:f>
      </x:c>
      <x:c r="AD198" s="2" t="n">
        <x:f>IF(OR(AA198="DEFENSIV",AA198="PRUDENT",AA198="MODERAT",AA198="RIDICAT"),1,0)</x:f>
        <x:v>0</x:v>
      </x:c>
      <x:c r="AE198" s="2" t="str">
        <x:f>IF(AD198&lt;&gt;1,"NO",IF(W198="PASS","YES",IF(W198="OOS PENDING","CONDITIONAL","NO")))</x:f>
        <x:v>NO</x:v>
      </x:c>
      <x:c r="AF198" s="2" t="n">
        <x:f>IF(AND(AD198=1,AC198=1,E198="LIVE"),1,0)</x:f>
        <x:v>0</x:v>
      </x:c>
      <x:c r="AG198" s="2" t="str">
        <x:f>IF(AF198&lt;&gt;1,"",'Dashboard'!P39)</x:f>
      </x:c>
      <x:c r="AH198" s="2" t="str">
        <x:f>IF(B198="","",IF(J198&lt;&gt;"PASS",'Motor_Meciuri'!J19,IF('Calibrare_Linii'!U16&lt;&gt;"VALID","Parametri linie invalizi",IF(L198&gt;'Config_v6'!$B$13,"Dispersie peste limita",IF(W198="WATCH","Failure peste limita",IF(AB198&lt;'Config_v6'!$B$16,"P finala sub prag",IF(V198&lt;'Config_v6'!$B$18,"Confidence sub prag",IF(E198="REPLAY","Exemplu retrospectiv; exclus din Top LIVE",IF(Y198="PASS","DEFENSIV validat",IF(W198="OOS PENDING","Eligibil; calibrare linie in monitorizare","Eligibil"))))))))))</x:f>
      </x:c>
      <x:c r="AI198" s="2" t="str">
        <x:f>IF(B198="","",'Calibrare_Linii'!V16)</x:f>
      </x:c>
      <x:c r="AJ198" s="2" t="str">
        <x:f>IF(B198="","",IF(AND('Calibrare_Linii'!T16="VALIDATED",AND('Calibrare_Linii'!H16=C198,ISNUMBER('Calibrare_Linii'!J16),'Calibrare_Linii'!J16&lt;='Input_Meci'!G19)),"DEFENSIVE VALIDATED",IF(AND('Calibrare_Linii'!S16="VALIDATED",AND('Calibrare_Linii'!H16=C198,ISNUMBER('Calibrare_Linii'!J16),'Calibrare_Linii'!J16&lt;='Input_Meci'!G19)),"TAIL VALIDATED","OOS PENDING")))</x:f>
      </x:c>
      <x:c r="AK198" s="2" t="n">
        <x:f>IF(J198&lt;&gt;"PASS",0,'Motor_Meciuri'!BR19)</x:f>
        <x:v>0</x:v>
      </x:c>
      <x:c r="AL198" s="2" t="n">
        <x:f>IF(J198&lt;&gt;"PASS",0,'Motor_Meciuri'!BS19)</x:f>
        <x:v>0</x:v>
      </x:c>
      <x:c r="AM198" s="2" t="n">
        <x:f>IF(J198&lt;&gt;"PASS",0,'Motor_Meciuri'!BT19)</x:f>
        <x:v>0</x:v>
      </x:c>
      <x:c r="AN198" s="2" t="str">
        <x:f>IF(M198="","",MAX(0,'Motor_Meciuri'!BF19-IF(L198&gt;'Config_v6'!$B$12,'Config_v6'!$B$37,IF(L198&gt;'Config_v6'!$B$11,'Config_v6'!$B$36,0))))</x:f>
      </x:c>
    </x:row>
    <x:row r="199" ht="21" customHeight="1">
      <x:c r="A199" s="2" t="n">
        <x:v>14</x:v>
      </x:c>
      <x:c r="B199" s="2" t="str">
        <x:f>IF('Motor_Meciuri'!A19="","",'Motor_Meciuri'!A19)</x:f>
      </x:c>
      <x:c r="C199" s="2" t="str">
        <x:f>IF(B199="","",'Motor_Meciuri'!B19)</x:f>
      </x:c>
      <x:c r="D199" s="2" t="str">
        <x:f>IF(B199="","",'Motor_Meciuri'!D19)</x:f>
      </x:c>
      <x:c r="E199" s="2" t="str">
        <x:f>IF(B199="","",'Motor_Meciuri'!E19)</x:f>
      </x:c>
      <x:c r="F199" s="2" t="str">
        <x:v>U15,5</x:v>
      </x:c>
      <x:c r="G199" s="2" t="str">
        <x:v>UNDER</x:v>
      </x:c>
      <x:c r="H199" s="2" t="n">
        <x:v>15</x:v>
      </x:c>
      <x:c r="I199" s="2" t="str">
        <x:f>IF(B199="","",'Motor_Meciuri'!H19)</x:f>
      </x:c>
      <x:c r="J199" s="2" t="str">
        <x:f>IF(B199="","",'Motor_Meciuri'!I19)</x:f>
      </x:c>
      <x:c r="K199" s="11" t="str">
        <x:f>IF(J199&lt;&gt;"PASS","",'Motor_Meciuri'!BD19)</x:f>
      </x:c>
      <x:c r="L199" s="11" t="str">
        <x:f>IF(J199&lt;&gt;"PASS","",'Motor_Meciuri'!AU19)</x:f>
      </x:c>
      <x:c r="M199" s="10" t="str">
        <x:f>IF(NOT(AND(J199="PASS",'Calibrare_Linii'!U17="VALID")),"",'Distributie'!AM19)</x:f>
      </x:c>
      <x:c r="N199" s="10" t="str">
        <x:f>IF(M199="","",MAX(0.01,MIN(0.99,0.5+(M199-0.5)*'Motor_Meciuri'!BG19*'Calibrare_Linii'!D17)))</x:f>
      </x:c>
      <x:c r="O199" s="10" t="str">
        <x:f>IF(M199="","",1-M199)</x:f>
      </x:c>
      <x:c r="P199" s="10" t="str">
        <x:f>IF(OR(NOT(AND(J199="PASS",'Calibrare_Linii'!U17="VALID")),AK199=0),""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*('Istoric_Nativ'!$Q$6:$Q$405&gt;H199))/AK199)</x:f>
      </x:c>
      <x:c r="Q199" s="10" t="str">
        <x:f>IF(OR(NOT(AND(J199="PASS",'Calibrare_Linii'!U17="VALID")),AL199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M19)+((('Istoric_Nativ'!$E$6:$E$405='Input_Meci'!E19)+('Istoric_Nativ'!$F$6:$F$405='Input_Meci'!E19))&gt;0)*('Istoric_Nativ'!$D$6:$D$405&gt;='Motor_Meciuri'!BN19))&gt;0)*('Istoric_Nativ'!$Q$6:$Q$405&gt;H199))/AL199)</x:f>
      </x:c>
      <x:c r="R199" s="10" t="str">
        <x:f>IF(OR(NOT(AND(J199="PASS",'Calibrare_Linii'!U17="VALID")),AM199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O19)+((('Istoric_Nativ'!$E$6:$E$405='Input_Meci'!E19)+('Istoric_Nativ'!$F$6:$F$405='Input_Meci'!E19))&gt;0)*('Istoric_Nativ'!$D$6:$D$405&gt;='Motor_Meciuri'!BP19))&gt;0)*('Istoric_Nativ'!$Q$6:$Q$405&gt;H199))/AM199)</x:f>
      </x:c>
      <x:c r="S199" s="10" t="str">
        <x:f>IF(M199="","",MAX(O199,P199,Q199,R199))</x:f>
      </x:c>
      <x:c r="T199" s="11" t="str">
        <x:f>IF(M199="","",MIN(100,S199*100*'Config_v6'!$B$44+MIN(100,L199/'Config_v6'!$B$13*100)*'Config_v6'!$B$45+(100-'Motor_Meciuri'!BF19)*'Config_v6'!$B$46+'Motor_Meciuri'!BH19*100*'Config_v6'!$B$47))</x:f>
      </x:c>
      <x:c r="U199" s="2" t="str">
        <x:f>IF(T199="","",IF(T199&lt;=20,1,IF(T199&lt;=40,2,IF(T199&lt;=60,3,IF(T199&lt;=80,4,5)))))</x:f>
      </x:c>
      <x:c r="V199" s="2" t="str">
        <x:f>IF(M199="","",MAX(0,'Motor_Meciuri'!BF19-IF(W199="OOS PENDING",'Config_v6'!$B$35,0)-IF(L199&gt;'Config_v6'!$B$12,'Config_v6'!$B$37,IF(L199&gt;'Config_v6'!$B$11,'Config_v6'!$B$36,0))))</x:f>
      </x:c>
      <x:c r="W199" s="2" t="str">
        <x:f>IF(B199="","",IF(I199&lt;&gt;"READY","NOT RELEASED",IF(NOT(AND(J199="PASS",'Calibrare_Linii'!U17="VALID")),"INVALID",IF(NOT(AND('Calibrare_Linii'!S17="VALIDATED",AND('Calibrare_Linii'!H17=C199,ISNUMBER('Calibrare_Linii'!J17),'Calibrare_Linii'!J17&lt;='Input_Meci'!G19))),"OOS PENDING",IF(S199&lt;='Calibrare_Linii'!E17,"PASS",IF(S199&lt;='Calibrare_Linii'!F17,"PENALTY","WATCH"))))))</x:f>
      </x:c>
      <x:c r="X199" s="2" t="str">
        <x:f>IF(M199="","",IF(AND(AND(J199="PASS",'Calibrare_Linii'!U17="VALID"),'Motor_Meciuri'!K19=12,'Motor_Meciuri'!L19=12,'Motor_Meciuri'!M19="NO",'Motor_Meciuri'!BL19='Motor_Meciuri'!C19,AB199&gt;='Config_v6'!$B$50,AN199&gt;='Config_v6'!$B$51,T199&lt;='Config_v6'!$B$52,L199&lt;='Config_v6'!$B$53,ISNUMBER('Calibrare_Linii'!E17),S199&lt;='Calibrare_Linii'!E17,SUM(AK199:AM199)&gt;0),"CANDIDATE","NO"))</x:f>
      </x:c>
      <x:c r="Y199" s="2" t="str">
        <x:f>IF(B199="","",IF(I199&lt;&gt;"READY","NOT RELEASED",IF(AND(X199="CANDIDATE",V199&gt;='Config_v6'!$B$51,W199="PASS",'Calibrare_Linii'!T17="VALIDATED",AND('Calibrare_Linii'!H17=C199,ISNUMBER('Calibrare_Linii'!J17),'Calibrare_Linii'!J17&lt;='Input_Meci'!G19)),"PASS",IF(X199="CANDIDATE","OOS PENDING","FAIL"))))</x:f>
      </x:c>
      <x:c r="Z199" s="2" t="str">
        <x:f>IF(B199="","",IF(I199&lt;&gt;"READY","",IF(OR(NOT(AND(J199="PASS",'Calibrare_Linii'!U17="VALID")),L199&gt;'Config_v6'!$B$13,W199="WATCH"),5,IF(Y199="PASS",1,MIN(5,MAX('Config_v6'!$B$42,U199)+IF(W199="PENALTY",1,0))))))</x:f>
      </x:c>
      <x:c r="AA199" s="2" t="str">
        <x:f>IF(B199="","",IF(I199&lt;&gt;"READY","NOT RELEASED",IF(Z199=5,"NO BET",IF(OR(AB199&lt;'Config_v6'!$B$16,V199&lt;'Config_v6'!$B$18),"WATCH",IF(Z199=1,"DEFENSIV",IF(Z199=2,"PRUDENT",IF(Z199=3,"MODERAT","RIDICAT")))))))</x:f>
      </x:c>
      <x:c r="AB199" s="10" t="str">
        <x:f>IF(N199="","",MIN(N199,1-S199))</x:f>
      </x:c>
      <x:c r="AC199" s="2" t="str">
        <x:f>IF(AD199&lt;&gt;1,"",COUNTIFS($Z$188:$Z$201,"&lt;"&amp;Z199,$AD$188:$AD$201,1)+COUNTIFS($Z$188:$Z$201,Z199,$AB$188:$AB$201,"&gt;"&amp;AB199,$AD$188:$AD$201,1)+COUNTIFS($Z$188:$Z$201,Z199,$AB$188:$AB$201,AB199,$V$188:$V$201,"&gt;"&amp;V199,$AD$188:$AD$201,1)+COUNTIFS($Z$188:Z199,Z199,$AB$188:AB199,AB199,$V$188:V199,V199,$AD$188:AD199,1))</x:f>
      </x:c>
      <x:c r="AD199" s="2" t="n">
        <x:f>IF(OR(AA199="DEFENSIV",AA199="PRUDENT",AA199="MODERAT",AA199="RIDICAT"),1,0)</x:f>
        <x:v>0</x:v>
      </x:c>
      <x:c r="AE199" s="2" t="str">
        <x:f>IF(AD199&lt;&gt;1,"NO",IF(W199="PASS","YES",IF(W199="OOS PENDING","CONDITIONAL","NO")))</x:f>
        <x:v>NO</x:v>
      </x:c>
      <x:c r="AF199" s="2" t="n">
        <x:f>IF(AND(AD199=1,AC199=1,E199="LIVE"),1,0)</x:f>
        <x:v>0</x:v>
      </x:c>
      <x:c r="AG199" s="2" t="str">
        <x:f>IF(AF199&lt;&gt;1,"",'Dashboard'!P39)</x:f>
      </x:c>
      <x:c r="AH199" s="2" t="str">
        <x:f>IF(B199="","",IF(J199&lt;&gt;"PASS",'Motor_Meciuri'!J19,IF('Calibrare_Linii'!U17&lt;&gt;"VALID","Parametri linie invalizi",IF(L199&gt;'Config_v6'!$B$13,"Dispersie peste limita",IF(W199="WATCH","Failure peste limita",IF(AB199&lt;'Config_v6'!$B$16,"P finala sub prag",IF(V199&lt;'Config_v6'!$B$18,"Confidence sub prag",IF(E199="REPLAY","Exemplu retrospectiv; exclus din Top LIVE",IF(Y199="PASS","DEFENSIV validat",IF(W199="OOS PENDING","Eligibil; calibrare linie in monitorizare","Eligibil"))))))))))</x:f>
      </x:c>
      <x:c r="AI199" s="2" t="str">
        <x:f>IF(B199="","",'Calibrare_Linii'!V17)</x:f>
      </x:c>
      <x:c r="AJ199" s="2" t="str">
        <x:f>IF(B199="","",IF(AND('Calibrare_Linii'!T17="VALIDATED",AND('Calibrare_Linii'!H17=C199,ISNUMBER('Calibrare_Linii'!J17),'Calibrare_Linii'!J17&lt;='Input_Meci'!G19)),"DEFENSIVE VALIDATED",IF(AND('Calibrare_Linii'!S17="VALIDATED",AND('Calibrare_Linii'!H17=C199,ISNUMBER('Calibrare_Linii'!J17),'Calibrare_Linii'!J17&lt;='Input_Meci'!G19)),"TAIL VALIDATED","OOS PENDING")))</x:f>
      </x:c>
      <x:c r="AK199" s="2" t="n">
        <x:f>IF(J199&lt;&gt;"PASS",0,'Motor_Meciuri'!BR19)</x:f>
        <x:v>0</x:v>
      </x:c>
      <x:c r="AL199" s="2" t="n">
        <x:f>IF(J199&lt;&gt;"PASS",0,'Motor_Meciuri'!BS19)</x:f>
        <x:v>0</x:v>
      </x:c>
      <x:c r="AM199" s="2" t="n">
        <x:f>IF(J199&lt;&gt;"PASS",0,'Motor_Meciuri'!BT19)</x:f>
        <x:v>0</x:v>
      </x:c>
      <x:c r="AN199" s="2" t="str">
        <x:f>IF(M199="","",MAX(0,'Motor_Meciuri'!BF19-IF(L199&gt;'Config_v6'!$B$12,'Config_v6'!$B$37,IF(L199&gt;'Config_v6'!$B$11,'Config_v6'!$B$36,0))))</x:f>
      </x:c>
    </x:row>
    <x:row r="200" ht="21" customHeight="1">
      <x:c r="A200" s="2" t="n">
        <x:v>14</x:v>
      </x:c>
      <x:c r="B200" s="2" t="str">
        <x:f>IF('Motor_Meciuri'!A19="","",'Motor_Meciuri'!A19)</x:f>
      </x:c>
      <x:c r="C200" s="2" t="str">
        <x:f>IF(B200="","",'Motor_Meciuri'!B19)</x:f>
      </x:c>
      <x:c r="D200" s="2" t="str">
        <x:f>IF(B200="","",'Motor_Meciuri'!D19)</x:f>
      </x:c>
      <x:c r="E200" s="2" t="str">
        <x:f>IF(B200="","",'Motor_Meciuri'!E19)</x:f>
      </x:c>
      <x:c r="F200" s="2" t="str">
        <x:v>U16,5</x:v>
      </x:c>
      <x:c r="G200" s="2" t="str">
        <x:v>UNDER</x:v>
      </x:c>
      <x:c r="H200" s="2" t="n">
        <x:v>16</x:v>
      </x:c>
      <x:c r="I200" s="2" t="str">
        <x:f>IF(B200="","",'Motor_Meciuri'!H19)</x:f>
      </x:c>
      <x:c r="J200" s="2" t="str">
        <x:f>IF(B200="","",'Motor_Meciuri'!I19)</x:f>
      </x:c>
      <x:c r="K200" s="11" t="str">
        <x:f>IF(J200&lt;&gt;"PASS","",'Motor_Meciuri'!BD19)</x:f>
      </x:c>
      <x:c r="L200" s="11" t="str">
        <x:f>IF(J200&lt;&gt;"PASS","",'Motor_Meciuri'!AU19)</x:f>
      </x:c>
      <x:c r="M200" s="10" t="str">
        <x:f>IF(NOT(AND(J200="PASS",'Calibrare_Linii'!U18="VALID")),"",'Distributie'!AN19)</x:f>
      </x:c>
      <x:c r="N200" s="10" t="str">
        <x:f>IF(M200="","",MAX(0.01,MIN(0.99,0.5+(M200-0.5)*'Motor_Meciuri'!BG19*'Calibrare_Linii'!D18)))</x:f>
      </x:c>
      <x:c r="O200" s="10" t="str">
        <x:f>IF(M200="","",1-M200)</x:f>
      </x:c>
      <x:c r="P200" s="10" t="str">
        <x:f>IF(OR(NOT(AND(J200="PASS",'Calibrare_Linii'!U18="VALID")),AK200=0),""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*('Istoric_Nativ'!$Q$6:$Q$405&gt;H200))/AK200)</x:f>
      </x:c>
      <x:c r="Q200" s="10" t="str">
        <x:f>IF(OR(NOT(AND(J200="PASS",'Calibrare_Linii'!U18="VALID")),AL200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M19)+((('Istoric_Nativ'!$E$6:$E$405='Input_Meci'!E19)+('Istoric_Nativ'!$F$6:$F$405='Input_Meci'!E19))&gt;0)*('Istoric_Nativ'!$D$6:$D$405&gt;='Motor_Meciuri'!BN19))&gt;0)*('Istoric_Nativ'!$Q$6:$Q$405&gt;H200))/AL200)</x:f>
      </x:c>
      <x:c r="R200" s="10" t="str">
        <x:f>IF(OR(NOT(AND(J200="PASS",'Calibrare_Linii'!U18="VALID")),AM200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O19)+((('Istoric_Nativ'!$E$6:$E$405='Input_Meci'!E19)+('Istoric_Nativ'!$F$6:$F$405='Input_Meci'!E19))&gt;0)*('Istoric_Nativ'!$D$6:$D$405&gt;='Motor_Meciuri'!BP19))&gt;0)*('Istoric_Nativ'!$Q$6:$Q$405&gt;H200))/AM200)</x:f>
      </x:c>
      <x:c r="S200" s="10" t="str">
        <x:f>IF(M200="","",MAX(O200,P200,Q200,R200))</x:f>
      </x:c>
      <x:c r="T200" s="11" t="str">
        <x:f>IF(M200="","",MIN(100,S200*100*'Config_v6'!$B$44+MIN(100,L200/'Config_v6'!$B$13*100)*'Config_v6'!$B$45+(100-'Motor_Meciuri'!BF19)*'Config_v6'!$B$46+'Motor_Meciuri'!BH19*100*'Config_v6'!$B$47))</x:f>
      </x:c>
      <x:c r="U200" s="2" t="str">
        <x:f>IF(T200="","",IF(T200&lt;=20,1,IF(T200&lt;=40,2,IF(T200&lt;=60,3,IF(T200&lt;=80,4,5)))))</x:f>
      </x:c>
      <x:c r="V200" s="2" t="str">
        <x:f>IF(M200="","",MAX(0,'Motor_Meciuri'!BF19-IF(W200="OOS PENDING",'Config_v6'!$B$35,0)-IF(L200&gt;'Config_v6'!$B$12,'Config_v6'!$B$37,IF(L200&gt;'Config_v6'!$B$11,'Config_v6'!$B$36,0))))</x:f>
      </x:c>
      <x:c r="W200" s="2" t="str">
        <x:f>IF(B200="","",IF(I200&lt;&gt;"READY","NOT RELEASED",IF(NOT(AND(J200="PASS",'Calibrare_Linii'!U18="VALID")),"INVALID",IF(NOT(AND('Calibrare_Linii'!S18="VALIDATED",AND('Calibrare_Linii'!H18=C200,ISNUMBER('Calibrare_Linii'!J18),'Calibrare_Linii'!J18&lt;='Input_Meci'!G19))),"OOS PENDING",IF(S200&lt;='Calibrare_Linii'!E18,"PASS",IF(S200&lt;='Calibrare_Linii'!F18,"PENALTY","WATCH"))))))</x:f>
      </x:c>
      <x:c r="X200" s="2" t="str">
        <x:f>IF(M200="","",IF(AND(AND(J200="PASS",'Calibrare_Linii'!U18="VALID"),'Motor_Meciuri'!K19=12,'Motor_Meciuri'!L19=12,'Motor_Meciuri'!M19="NO",'Motor_Meciuri'!BL19='Motor_Meciuri'!C19,AB200&gt;='Config_v6'!$B$50,AN200&gt;='Config_v6'!$B$51,T200&lt;='Config_v6'!$B$52,L200&lt;='Config_v6'!$B$53,ISNUMBER('Calibrare_Linii'!E18),S200&lt;='Calibrare_Linii'!E18,SUM(AK200:AM200)&gt;0),"CANDIDATE","NO"))</x:f>
      </x:c>
      <x:c r="Y200" s="2" t="str">
        <x:f>IF(B200="","",IF(I200&lt;&gt;"READY","NOT RELEASED",IF(AND(X200="CANDIDATE",V200&gt;='Config_v6'!$B$51,W200="PASS",'Calibrare_Linii'!T18="VALIDATED",AND('Calibrare_Linii'!H18=C200,ISNUMBER('Calibrare_Linii'!J18),'Calibrare_Linii'!J18&lt;='Input_Meci'!G19)),"PASS",IF(X200="CANDIDATE","OOS PENDING","FAIL"))))</x:f>
      </x:c>
      <x:c r="Z200" s="2" t="str">
        <x:f>IF(B200="","",IF(I200&lt;&gt;"READY","",IF(OR(NOT(AND(J200="PASS",'Calibrare_Linii'!U18="VALID")),L200&gt;'Config_v6'!$B$13,W200="WATCH"),5,IF(Y200="PASS",1,MIN(5,MAX('Config_v6'!$B$42,U200)+IF(W200="PENALTY",1,0))))))</x:f>
      </x:c>
      <x:c r="AA200" s="2" t="str">
        <x:f>IF(B200="","",IF(I200&lt;&gt;"READY","NOT RELEASED",IF(Z200=5,"NO BET",IF(OR(AB200&lt;'Config_v6'!$B$16,V200&lt;'Config_v6'!$B$18),"WATCH",IF(Z200=1,"DEFENSIV",IF(Z200=2,"PRUDENT",IF(Z200=3,"MODERAT","RIDICAT")))))))</x:f>
      </x:c>
      <x:c r="AB200" s="10" t="str">
        <x:f>IF(N200="","",MIN(N200,1-S200))</x:f>
      </x:c>
      <x:c r="AC200" s="2" t="str">
        <x:f>IF(AD200&lt;&gt;1,"",COUNTIFS($Z$188:$Z$201,"&lt;"&amp;Z200,$AD$188:$AD$201,1)+COUNTIFS($Z$188:$Z$201,Z200,$AB$188:$AB$201,"&gt;"&amp;AB200,$AD$188:$AD$201,1)+COUNTIFS($Z$188:$Z$201,Z200,$AB$188:$AB$201,AB200,$V$188:$V$201,"&gt;"&amp;V200,$AD$188:$AD$201,1)+COUNTIFS($Z$188:Z200,Z200,$AB$188:AB200,AB200,$V$188:V200,V200,$AD$188:AD200,1))</x:f>
      </x:c>
      <x:c r="AD200" s="2" t="n">
        <x:f>IF(OR(AA200="DEFENSIV",AA200="PRUDENT",AA200="MODERAT",AA200="RIDICAT"),1,0)</x:f>
        <x:v>0</x:v>
      </x:c>
      <x:c r="AE200" s="2" t="str">
        <x:f>IF(AD200&lt;&gt;1,"NO",IF(W200="PASS","YES",IF(W200="OOS PENDING","CONDITIONAL","NO")))</x:f>
        <x:v>NO</x:v>
      </x:c>
      <x:c r="AF200" s="2" t="n">
        <x:f>IF(AND(AD200=1,AC200=1,E200="LIVE"),1,0)</x:f>
        <x:v>0</x:v>
      </x:c>
      <x:c r="AG200" s="2" t="str">
        <x:f>IF(AF200&lt;&gt;1,"",'Dashboard'!P39)</x:f>
      </x:c>
      <x:c r="AH200" s="2" t="str">
        <x:f>IF(B200="","",IF(J200&lt;&gt;"PASS",'Motor_Meciuri'!J19,IF('Calibrare_Linii'!U18&lt;&gt;"VALID","Parametri linie invalizi",IF(L200&gt;'Config_v6'!$B$13,"Dispersie peste limita",IF(W200="WATCH","Failure peste limita",IF(AB200&lt;'Config_v6'!$B$16,"P finala sub prag",IF(V200&lt;'Config_v6'!$B$18,"Confidence sub prag",IF(E200="REPLAY","Exemplu retrospectiv; exclus din Top LIVE",IF(Y200="PASS","DEFENSIV validat",IF(W200="OOS PENDING","Eligibil; calibrare linie in monitorizare","Eligibil"))))))))))</x:f>
      </x:c>
      <x:c r="AI200" s="2" t="str">
        <x:f>IF(B200="","",'Calibrare_Linii'!V18)</x:f>
      </x:c>
      <x:c r="AJ200" s="2" t="str">
        <x:f>IF(B200="","",IF(AND('Calibrare_Linii'!T18="VALIDATED",AND('Calibrare_Linii'!H18=C200,ISNUMBER('Calibrare_Linii'!J18),'Calibrare_Linii'!J18&lt;='Input_Meci'!G19)),"DEFENSIVE VALIDATED",IF(AND('Calibrare_Linii'!S18="VALIDATED",AND('Calibrare_Linii'!H18=C200,ISNUMBER('Calibrare_Linii'!J18),'Calibrare_Linii'!J18&lt;='Input_Meci'!G19)),"TAIL VALIDATED","OOS PENDING")))</x:f>
      </x:c>
      <x:c r="AK200" s="2" t="n">
        <x:f>IF(J200&lt;&gt;"PASS",0,'Motor_Meciuri'!BR19)</x:f>
        <x:v>0</x:v>
      </x:c>
      <x:c r="AL200" s="2" t="n">
        <x:f>IF(J200&lt;&gt;"PASS",0,'Motor_Meciuri'!BS19)</x:f>
        <x:v>0</x:v>
      </x:c>
      <x:c r="AM200" s="2" t="n">
        <x:f>IF(J200&lt;&gt;"PASS",0,'Motor_Meciuri'!BT19)</x:f>
        <x:v>0</x:v>
      </x:c>
      <x:c r="AN200" s="2" t="str">
        <x:f>IF(M200="","",MAX(0,'Motor_Meciuri'!BF19-IF(L200&gt;'Config_v6'!$B$12,'Config_v6'!$B$37,IF(L200&gt;'Config_v6'!$B$11,'Config_v6'!$B$36,0))))</x:f>
      </x:c>
    </x:row>
    <x:row r="201" ht="21" customHeight="1">
      <x:c r="A201" s="2" t="n">
        <x:v>14</x:v>
      </x:c>
      <x:c r="B201" s="2" t="str">
        <x:f>IF('Motor_Meciuri'!A19="","",'Motor_Meciuri'!A19)</x:f>
      </x:c>
      <x:c r="C201" s="2" t="str">
        <x:f>IF(B201="","",'Motor_Meciuri'!B19)</x:f>
      </x:c>
      <x:c r="D201" s="2" t="str">
        <x:f>IF(B201="","",'Motor_Meciuri'!D19)</x:f>
      </x:c>
      <x:c r="E201" s="2" t="str">
        <x:f>IF(B201="","",'Motor_Meciuri'!E19)</x:f>
      </x:c>
      <x:c r="F201" s="2" t="str">
        <x:v>U17,5</x:v>
      </x:c>
      <x:c r="G201" s="2" t="str">
        <x:v>UNDER</x:v>
      </x:c>
      <x:c r="H201" s="2" t="n">
        <x:v>17</x:v>
      </x:c>
      <x:c r="I201" s="2" t="str">
        <x:f>IF(B201="","",'Motor_Meciuri'!H19)</x:f>
      </x:c>
      <x:c r="J201" s="2" t="str">
        <x:f>IF(B201="","",'Motor_Meciuri'!I19)</x:f>
      </x:c>
      <x:c r="K201" s="11" t="str">
        <x:f>IF(J201&lt;&gt;"PASS","",'Motor_Meciuri'!BD19)</x:f>
      </x:c>
      <x:c r="L201" s="11" t="str">
        <x:f>IF(J201&lt;&gt;"PASS","",'Motor_Meciuri'!AU19)</x:f>
      </x:c>
      <x:c r="M201" s="10" t="str">
        <x:f>IF(NOT(AND(J201="PASS",'Calibrare_Linii'!U19="VALID")),"",'Distributie'!AO19)</x:f>
      </x:c>
      <x:c r="N201" s="10" t="str">
        <x:f>IF(M201="","",MAX(0.01,MIN(0.99,0.5+(M201-0.5)*'Motor_Meciuri'!BG19*'Calibrare_Linii'!D19)))</x:f>
      </x:c>
      <x:c r="O201" s="10" t="str">
        <x:f>IF(M201="","",1-M201)</x:f>
      </x:c>
      <x:c r="P201" s="10" t="str">
        <x:f>IF(OR(NOT(AND(J201="PASS",'Calibrare_Linii'!U19="VALID")),AK201=0),""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*('Istoric_Nativ'!$Q$6:$Q$405&gt;H201))/AK201)</x:f>
      </x:c>
      <x:c r="Q201" s="10" t="str">
        <x:f>IF(OR(NOT(AND(J201="PASS",'Calibrare_Linii'!U19="VALID")),AL201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M19)+((('Istoric_Nativ'!$E$6:$E$405='Input_Meci'!E19)+('Istoric_Nativ'!$F$6:$F$405='Input_Meci'!E19))&gt;0)*('Istoric_Nativ'!$D$6:$D$405&gt;='Motor_Meciuri'!BN19))&gt;0)*('Istoric_Nativ'!$Q$6:$Q$405&gt;H201))/AL201)</x:f>
      </x:c>
      <x:c r="R201" s="10" t="str">
        <x:f>IF(OR(NOT(AND(J201="PASS",'Calibrare_Linii'!U19="VALID")),AM201=0),""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'Motor_Meciuri'!BO19)+((('Istoric_Nativ'!$E$6:$E$405='Input_Meci'!E19)+('Istoric_Nativ'!$F$6:$F$405='Input_Meci'!E19))&gt;0)*('Istoric_Nativ'!$D$6:$D$405&gt;='Motor_Meciuri'!BP19))&gt;0)*('Istoric_Nativ'!$Q$6:$Q$405&gt;H201))/AM201)</x:f>
      </x:c>
      <x:c r="S201" s="10" t="str">
        <x:f>IF(M201="","",MAX(O201,P201,Q201,R201))</x:f>
      </x:c>
      <x:c r="T201" s="11" t="str">
        <x:f>IF(M201="","",MIN(100,S201*100*'Config_v6'!$B$44+MIN(100,L201/'Config_v6'!$B$13*100)*'Config_v6'!$B$45+(100-'Motor_Meciuri'!BF19)*'Config_v6'!$B$46+'Motor_Meciuri'!BH19*100*'Config_v6'!$B$47))</x:f>
      </x:c>
      <x:c r="U201" s="2" t="str">
        <x:f>IF(T201="","",IF(T201&lt;=20,1,IF(T201&lt;=40,2,IF(T201&lt;=60,3,IF(T201&lt;=80,4,5)))))</x:f>
      </x:c>
      <x:c r="V201" s="2" t="str">
        <x:f>IF(M201="","",MAX(0,'Motor_Meciuri'!BF19-IF(W201="OOS PENDING",'Config_v6'!$B$35,0)-IF(L201&gt;'Config_v6'!$B$12,'Config_v6'!$B$37,IF(L201&gt;'Config_v6'!$B$11,'Config_v6'!$B$36,0))))</x:f>
      </x:c>
      <x:c r="W201" s="2" t="str">
        <x:f>IF(B201="","",IF(I201&lt;&gt;"READY","NOT RELEASED",IF(NOT(AND(J201="PASS",'Calibrare_Linii'!U19="VALID")),"INVALID",IF(NOT(AND('Calibrare_Linii'!S19="VALIDATED",AND('Calibrare_Linii'!H19=C201,ISNUMBER('Calibrare_Linii'!J19),'Calibrare_Linii'!J19&lt;='Input_Meci'!G19))),"OOS PENDING",IF(S201&lt;='Calibrare_Linii'!E19,"PASS",IF(S201&lt;='Calibrare_Linii'!F19,"PENALTY","WATCH"))))))</x:f>
      </x:c>
      <x:c r="X201" s="2" t="str">
        <x:f>IF(M201="","",IF(AND(AND(J201="PASS",'Calibrare_Linii'!U19="VALID"),'Motor_Meciuri'!K19=12,'Motor_Meciuri'!L19=12,'Motor_Meciuri'!M19="NO",'Motor_Meciuri'!BL19='Motor_Meciuri'!C19,AB201&gt;='Config_v6'!$B$50,AN201&gt;='Config_v6'!$B$51,T201&lt;='Config_v6'!$B$52,L201&lt;='Config_v6'!$B$53,ISNUMBER('Calibrare_Linii'!E19),S201&lt;='Calibrare_Linii'!E19,SUM(AK201:AM201)&gt;0),"CANDIDATE","NO"))</x:f>
      </x:c>
      <x:c r="Y201" s="2" t="str">
        <x:f>IF(B201="","",IF(I201&lt;&gt;"READY","NOT RELEASED",IF(AND(X201="CANDIDATE",V201&gt;='Config_v6'!$B$51,W201="PASS",'Calibrare_Linii'!T19="VALIDATED",AND('Calibrare_Linii'!H19=C201,ISNUMBER('Calibrare_Linii'!J19),'Calibrare_Linii'!J19&lt;='Input_Meci'!G19)),"PASS",IF(X201="CANDIDATE","OOS PENDING","FAIL"))))</x:f>
      </x:c>
      <x:c r="Z201" s="2" t="str">
        <x:f>IF(B201="","",IF(I201&lt;&gt;"READY","",IF(OR(NOT(AND(J201="PASS",'Calibrare_Linii'!U19="VALID")),L201&gt;'Config_v6'!$B$13,W201="WATCH"),5,IF(Y201="PASS",1,MIN(5,MAX('Config_v6'!$B$42,U201)+IF(W201="PENALTY",1,0))))))</x:f>
      </x:c>
      <x:c r="AA201" s="2" t="str">
        <x:f>IF(B201="","",IF(I201&lt;&gt;"READY","NOT RELEASED",IF(Z201=5,"NO BET",IF(OR(AB201&lt;'Config_v6'!$B$16,V201&lt;'Config_v6'!$B$18),"WATCH",IF(Z201=1,"DEFENSIV",IF(Z201=2,"PRUDENT",IF(Z201=3,"MODERAT","RIDICAT")))))))</x:f>
      </x:c>
      <x:c r="AB201" s="10" t="str">
        <x:f>IF(N201="","",MIN(N201,1-S201))</x:f>
      </x:c>
      <x:c r="AC201" s="2" t="str">
        <x:f>IF(AD201&lt;&gt;1,"",COUNTIFS($Z$188:$Z$201,"&lt;"&amp;Z201,$AD$188:$AD$201,1)+COUNTIFS($Z$188:$Z$201,Z201,$AB$188:$AB$201,"&gt;"&amp;AB201,$AD$188:$AD$201,1)+COUNTIFS($Z$188:$Z$201,Z201,$AB$188:$AB$201,AB201,$V$188:$V$201,"&gt;"&amp;V201,$AD$188:$AD$201,1)+COUNTIFS($Z$188:Z201,Z201,$AB$188:AB201,AB201,$V$188:V201,V201,$AD$188:AD201,1))</x:f>
      </x:c>
      <x:c r="AD201" s="2" t="n">
        <x:f>IF(OR(AA201="DEFENSIV",AA201="PRUDENT",AA201="MODERAT",AA201="RIDICAT"),1,0)</x:f>
        <x:v>0</x:v>
      </x:c>
      <x:c r="AE201" s="2" t="str">
        <x:f>IF(AD201&lt;&gt;1,"NO",IF(W201="PASS","YES",IF(W201="OOS PENDING","CONDITIONAL","NO")))</x:f>
        <x:v>NO</x:v>
      </x:c>
      <x:c r="AF201" s="2" t="n">
        <x:f>IF(AND(AD201=1,AC201=1,E201="LIVE"),1,0)</x:f>
        <x:v>0</x:v>
      </x:c>
      <x:c r="AG201" s="2" t="str">
        <x:f>IF(AF201&lt;&gt;1,"",'Dashboard'!P39)</x:f>
      </x:c>
      <x:c r="AH201" s="2" t="str">
        <x:f>IF(B201="","",IF(J201&lt;&gt;"PASS",'Motor_Meciuri'!J19,IF('Calibrare_Linii'!U19&lt;&gt;"VALID","Parametri linie invalizi",IF(L201&gt;'Config_v6'!$B$13,"Dispersie peste limita",IF(W201="WATCH","Failure peste limita",IF(AB201&lt;'Config_v6'!$B$16,"P finala sub prag",IF(V201&lt;'Config_v6'!$B$18,"Confidence sub prag",IF(E201="REPLAY","Exemplu retrospectiv; exclus din Top LIVE",IF(Y201="PASS","DEFENSIV validat",IF(W201="OOS PENDING","Eligibil; calibrare linie in monitorizare","Eligibil"))))))))))</x:f>
      </x:c>
      <x:c r="AI201" s="2" t="str">
        <x:f>IF(B201="","",'Calibrare_Linii'!V19)</x:f>
      </x:c>
      <x:c r="AJ201" s="2" t="str">
        <x:f>IF(B201="","",IF(AND('Calibrare_Linii'!T19="VALIDATED",AND('Calibrare_Linii'!H19=C201,ISNUMBER('Calibrare_Linii'!J19),'Calibrare_Linii'!J19&lt;='Input_Meci'!G19)),"DEFENSIVE VALIDATED",IF(AND('Calibrare_Linii'!S19="VALIDATED",AND('Calibrare_Linii'!H19=C201,ISNUMBER('Calibrare_Linii'!J19),'Calibrare_Linii'!J19&lt;='Input_Meci'!G19)),"TAIL VALIDATED","OOS PENDING")))</x:f>
      </x:c>
      <x:c r="AK201" s="2" t="n">
        <x:f>IF(J201&lt;&gt;"PASS",0,'Motor_Meciuri'!BR19)</x:f>
        <x:v>0</x:v>
      </x:c>
      <x:c r="AL201" s="2" t="n">
        <x:f>IF(J201&lt;&gt;"PASS",0,'Motor_Meciuri'!BS19)</x:f>
        <x:v>0</x:v>
      </x:c>
      <x:c r="AM201" s="2" t="n">
        <x:f>IF(J201&lt;&gt;"PASS",0,'Motor_Meciuri'!BT19)</x:f>
        <x:v>0</x:v>
      </x:c>
      <x:c r="AN201" s="2" t="str">
        <x:f>IF(M201="","",MAX(0,'Motor_Meciuri'!BF19-IF(L201&gt;'Config_v6'!$B$12,'Config_v6'!$B$37,IF(L201&gt;'Config_v6'!$B$11,'Config_v6'!$B$36,0))))</x:f>
      </x:c>
    </x:row>
    <x:row r="202" ht="21" customHeight="1">
      <x:c r="A202" s="2" t="n">
        <x:v>15</x:v>
      </x:c>
      <x:c r="B202" s="2" t="str">
        <x:f>IF('Motor_Meciuri'!A20="","",'Motor_Meciuri'!A20)</x:f>
      </x:c>
      <x:c r="C202" s="2" t="str">
        <x:f>IF(B202="","",'Motor_Meciuri'!B20)</x:f>
      </x:c>
      <x:c r="D202" s="2" t="str">
        <x:f>IF(B202="","",'Motor_Meciuri'!D20)</x:f>
      </x:c>
      <x:c r="E202" s="2" t="str">
        <x:f>IF(B202="","",'Motor_Meciuri'!E20)</x:f>
      </x:c>
      <x:c r="F202" s="2" t="str">
        <x:v>O3,5</x:v>
      </x:c>
      <x:c r="G202" s="2" t="str">
        <x:v>OVER</x:v>
      </x:c>
      <x:c r="H202" s="2" t="n">
        <x:v>3</x:v>
      </x:c>
      <x:c r="I202" s="2" t="str">
        <x:f>IF(B202="","",'Motor_Meciuri'!H20)</x:f>
      </x:c>
      <x:c r="J202" s="2" t="str">
        <x:f>IF(B202="","",'Motor_Meciuri'!I20)</x:f>
      </x:c>
      <x:c r="K202" s="11" t="str">
        <x:f>IF(J202&lt;&gt;"PASS","",'Motor_Meciuri'!BD20)</x:f>
      </x:c>
      <x:c r="L202" s="11" t="str">
        <x:f>IF(J202&lt;&gt;"PASS","",'Motor_Meciuri'!AU20)</x:f>
      </x:c>
      <x:c r="M202" s="10" t="str">
        <x:f>IF(NOT(AND(J202="PASS",'Calibrare_Linii'!U6="VALID")),"",1-'Distributie'!AA20)</x:f>
      </x:c>
      <x:c r="N202" s="10" t="str">
        <x:f>IF(M202="","",MAX(0.01,MIN(0.99,0.5+(M202-0.5)*'Motor_Meciuri'!BG20*'Calibrare_Linii'!D6)))</x:f>
      </x:c>
      <x:c r="O202" s="10" t="str">
        <x:f>IF(M202="","",1-M202)</x:f>
      </x:c>
      <x:c r="P202" s="10" t="str">
        <x:f>IF(OR(NOT(AND(J202="PASS",'Calibrare_Linii'!U6="VALID")),AK202=0),""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*('Istoric_Nativ'!$Q$6:$Q$405&lt;=H202))/AK202)</x:f>
      </x:c>
      <x:c r="Q202" s="10" t="str">
        <x:f>IF(OR(NOT(AND(J202="PASS",'Calibrare_Linii'!U6="VALID")),AL202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M20)+((('Istoric_Nativ'!$E$6:$E$405='Input_Meci'!E20)+('Istoric_Nativ'!$F$6:$F$405='Input_Meci'!E20))&gt;0)*('Istoric_Nativ'!$D$6:$D$405&gt;='Motor_Meciuri'!BN20))&gt;0)*('Istoric_Nativ'!$Q$6:$Q$405&lt;=H202))/AL202)</x:f>
      </x:c>
      <x:c r="R202" s="10" t="str">
        <x:f>IF(OR(NOT(AND(J202="PASS",'Calibrare_Linii'!U6="VALID")),AM202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O20)+((('Istoric_Nativ'!$E$6:$E$405='Input_Meci'!E20)+('Istoric_Nativ'!$F$6:$F$405='Input_Meci'!E20))&gt;0)*('Istoric_Nativ'!$D$6:$D$405&gt;='Motor_Meciuri'!BP20))&gt;0)*('Istoric_Nativ'!$Q$6:$Q$405&lt;=H202))/AM202)</x:f>
      </x:c>
      <x:c r="S202" s="10" t="str">
        <x:f>IF(M202="","",MAX(O202,P202,Q202,R202))</x:f>
      </x:c>
      <x:c r="T202" s="11" t="str">
        <x:f>IF(M202="","",MIN(100,S202*100*'Config_v6'!$B$44+MIN(100,L202/'Config_v6'!$B$13*100)*'Config_v6'!$B$45+(100-'Motor_Meciuri'!BF20)*'Config_v6'!$B$46+'Motor_Meciuri'!BH20*100*'Config_v6'!$B$47))</x:f>
      </x:c>
      <x:c r="U202" s="2" t="str">
        <x:f>IF(T202="","",IF(T202&lt;=20,1,IF(T202&lt;=40,2,IF(T202&lt;=60,3,IF(T202&lt;=80,4,5)))))</x:f>
      </x:c>
      <x:c r="V202" s="2" t="str">
        <x:f>IF(M202="","",MAX(0,'Motor_Meciuri'!BF20-IF(W202="OOS PENDING",'Config_v6'!$B$35,0)-IF(L202&gt;'Config_v6'!$B$12,'Config_v6'!$B$37,IF(L202&gt;'Config_v6'!$B$11,'Config_v6'!$B$36,0))))</x:f>
      </x:c>
      <x:c r="W202" s="2" t="str">
        <x:f>IF(B202="","",IF(I202&lt;&gt;"READY","NOT RELEASED",IF(NOT(AND(J202="PASS",'Calibrare_Linii'!U6="VALID")),"INVALID",IF(NOT(TRUE),"OOS PENDING",IF(S202&lt;=IF(AND('Calibrare_Linii'!S6="VALIDATED",AND('Calibrare_Linii'!H6=C202,ISNUMBER('Calibrare_Linii'!J6),'Calibrare_Linii'!J6&lt;='Input_Meci'!G20)),'Calibrare_Linii'!E6,'Config_v6'!$B$26),"PASS",IF(S202&lt;=IF(AND('Calibrare_Linii'!S6="VALIDATED",AND('Calibrare_Linii'!H6=C202,ISNUMBER('Calibrare_Linii'!J6),'Calibrare_Linii'!J6&lt;='Input_Meci'!G20)),'Calibrare_Linii'!F6,'Config_v6'!$C$26),"PENALTY","WATCH"))))))</x:f>
      </x:c>
      <x:c r="X202" s="2" t="str">
        <x:f>IF(M202="","",IF(AND(AND(J202="PASS",'Calibrare_Linii'!U6="VALID"),'Motor_Meciuri'!K20=12,'Motor_Meciuri'!L20=12,'Motor_Meciuri'!M20="NO",'Motor_Meciuri'!BL20='Motor_Meciuri'!C20,AB202&gt;='Config_v6'!$B$50,AN202&gt;='Config_v6'!$B$51,T202&lt;='Config_v6'!$B$52,L202&lt;='Config_v6'!$B$53,ISNUMBER('Calibrare_Linii'!E6),S202&lt;='Calibrare_Linii'!E6,SUM(AK202:AM202)&gt;0),"CANDIDATE","NO"))</x:f>
      </x:c>
      <x:c r="Y202" s="2" t="str">
        <x:f>IF(B202="","",IF(I202&lt;&gt;"READY","NOT RELEASED",IF(AND(X202="CANDIDATE",V202&gt;='Config_v6'!$B$51,W202="PASS",'Calibrare_Linii'!T6="VALIDATED",AND('Calibrare_Linii'!H6=C202,ISNUMBER('Calibrare_Linii'!J6),'Calibrare_Linii'!J6&lt;='Input_Meci'!G20)),"PASS",IF(X202="CANDIDATE","OOS PENDING","FAIL"))))</x:f>
      </x:c>
      <x:c r="Z202" s="2" t="str">
        <x:f>IF(B202="","",IF(I202&lt;&gt;"READY","",IF(OR(NOT(AND(J202="PASS",'Calibrare_Linii'!U6="VALID")),L202&gt;'Config_v6'!$B$13,W202="WATCH"),5,IF(Y202="PASS",1,MIN(5,MAX('Config_v6'!$B$42,U202)+IF(W202="PENALTY",1,0))))))</x:f>
      </x:c>
      <x:c r="AA202" s="2" t="str">
        <x:f>IF(B202="","",IF(I202&lt;&gt;"READY","NOT RELEASED",IF(Z202=5,"NO BET",IF(OR(AB202&lt;'Config_v6'!$B$16,V202&lt;'Config_v6'!$B$18),"WATCH",IF(Z202=1,"DEFENSIV",IF(Z202=2,"PRUDENT",IF(Z202=3,"MODERAT","RIDICAT")))))))</x:f>
      </x:c>
      <x:c r="AB202" s="10" t="str">
        <x:f>IF(N202="","",MIN(N202,1-S202))</x:f>
      </x:c>
      <x:c r="AC202" s="2" t="str">
        <x:f>IF(AD202&lt;&gt;1,"",COUNTIFS($Z$202:$Z$215,"&lt;"&amp;Z202,$AD$202:$AD$215,1)+COUNTIFS($Z$202:$Z$215,Z202,$AB$202:$AB$215,"&gt;"&amp;AB202,$AD$202:$AD$215,1)+COUNTIFS($Z$202:$Z$215,Z202,$AB$202:$AB$215,AB202,$V$202:$V$215,"&gt;"&amp;V202,$AD$202:$AD$215,1)+COUNTIFS($Z$202:Z202,Z202,$AB$202:AB202,AB202,$V$202:V202,V202,$AD$202:AD202,1))</x:f>
      </x:c>
      <x:c r="AD202" s="2" t="n">
        <x:f>IF(OR(AA202="DEFENSIV",AA202="PRUDENT",AA202="MODERAT",AA202="RIDICAT"),1,0)</x:f>
        <x:v>0</x:v>
      </x:c>
      <x:c r="AE202" s="2" t="str">
        <x:f>IF(AD202&lt;&gt;1,"NO",IF(W202="PASS","YES",IF(W202="OOS PENDING","CONDITIONAL","NO")))</x:f>
        <x:v>NO</x:v>
      </x:c>
      <x:c r="AF202" s="2" t="n">
        <x:f>IF(AND(AD202=1,AC202=1,E202="LIVE"),1,0)</x:f>
        <x:v>0</x:v>
      </x:c>
      <x:c r="AG202" s="2" t="str">
        <x:f>IF(AF202&lt;&gt;1,"",'Dashboard'!P40)</x:f>
      </x:c>
      <x:c r="AH202" s="2" t="str">
        <x:f>IF(B202="","",IF(J202&lt;&gt;"PASS",'Motor_Meciuri'!J20,IF('Calibrare_Linii'!U6&lt;&gt;"VALID","Parametri linie invalizi",IF(L202&gt;'Config_v6'!$B$13,"Dispersie peste limita",IF(W202="WATCH","Failure peste limita",IF(AB202&lt;'Config_v6'!$B$16,"P finala sub prag",IF(V202&lt;'Config_v6'!$B$18,"Confidence sub prag",IF(E202="REPLAY","Exemplu retrospectiv; exclus din Top LIVE",IF(Y202="PASS","DEFENSIV validat",IF(W202="OOS PENDING","Eligibil; calibrare linie in monitorizare","Eligibil"))))))))))</x:f>
      </x:c>
      <x:c r="AI202" s="2" t="str">
        <x:f>IF(B202="","",'Calibrare_Linii'!V6)</x:f>
      </x:c>
      <x:c r="AJ202" s="2" t="str">
        <x:f>IF(B202="","",IF(AND('Calibrare_Linii'!T6="VALIDATED",AND('Calibrare_Linii'!H6=C202,ISNUMBER('Calibrare_Linii'!J6),'Calibrare_Linii'!J6&lt;='Input_Meci'!G20)),"DEFENSIVE VALIDATED",IF(AND('Calibrare_Linii'!S6="VALIDATED",AND('Calibrare_Linii'!H6=C202,ISNUMBER('Calibrare_Linii'!J6),'Calibrare_Linii'!J6&lt;='Input_Meci'!G20)),"TAIL VALIDATED","OOS PENDING")))</x:f>
      </x:c>
      <x:c r="AK202" s="2" t="n">
        <x:f>IF(J202&lt;&gt;"PASS",0,'Motor_Meciuri'!BR20)</x:f>
        <x:v>0</x:v>
      </x:c>
      <x:c r="AL202" s="2" t="n">
        <x:f>IF(J202&lt;&gt;"PASS",0,'Motor_Meciuri'!BS20)</x:f>
        <x:v>0</x:v>
      </x:c>
      <x:c r="AM202" s="2" t="n">
        <x:f>IF(J202&lt;&gt;"PASS",0,'Motor_Meciuri'!BT20)</x:f>
        <x:v>0</x:v>
      </x:c>
      <x:c r="AN202" s="2" t="str">
        <x:f>IF(M202="","",MAX(0,'Motor_Meciuri'!BF20-IF(L202&gt;'Config_v6'!$B$12,'Config_v6'!$B$37,IF(L202&gt;'Config_v6'!$B$11,'Config_v6'!$B$36,0))))</x:f>
      </x:c>
    </x:row>
    <x:row r="203" ht="21" customHeight="1">
      <x:c r="A203" s="2" t="n">
        <x:v>15</x:v>
      </x:c>
      <x:c r="B203" s="2" t="str">
        <x:f>IF('Motor_Meciuri'!A20="","",'Motor_Meciuri'!A20)</x:f>
      </x:c>
      <x:c r="C203" s="2" t="str">
        <x:f>IF(B203="","",'Motor_Meciuri'!B20)</x:f>
      </x:c>
      <x:c r="D203" s="2" t="str">
        <x:f>IF(B203="","",'Motor_Meciuri'!D20)</x:f>
      </x:c>
      <x:c r="E203" s="2" t="str">
        <x:f>IF(B203="","",'Motor_Meciuri'!E20)</x:f>
      </x:c>
      <x:c r="F203" s="2" t="str">
        <x:v>O4,5</x:v>
      </x:c>
      <x:c r="G203" s="2" t="str">
        <x:v>OVER</x:v>
      </x:c>
      <x:c r="H203" s="2" t="n">
        <x:v>4</x:v>
      </x:c>
      <x:c r="I203" s="2" t="str">
        <x:f>IF(B203="","",'Motor_Meciuri'!H20)</x:f>
      </x:c>
      <x:c r="J203" s="2" t="str">
        <x:f>IF(B203="","",'Motor_Meciuri'!I20)</x:f>
      </x:c>
      <x:c r="K203" s="11" t="str">
        <x:f>IF(J203&lt;&gt;"PASS","",'Motor_Meciuri'!BD20)</x:f>
      </x:c>
      <x:c r="L203" s="11" t="str">
        <x:f>IF(J203&lt;&gt;"PASS","",'Motor_Meciuri'!AU20)</x:f>
      </x:c>
      <x:c r="M203" s="10" t="str">
        <x:f>IF(NOT(AND(J203="PASS",'Calibrare_Linii'!U7="VALID")),"",1-'Distributie'!AB20)</x:f>
      </x:c>
      <x:c r="N203" s="10" t="str">
        <x:f>IF(M203="","",MAX(0.01,MIN(0.99,0.5+(M203-0.5)*'Motor_Meciuri'!BG20*'Calibrare_Linii'!D7)))</x:f>
      </x:c>
      <x:c r="O203" s="10" t="str">
        <x:f>IF(M203="","",1-M203)</x:f>
      </x:c>
      <x:c r="P203" s="10" t="str">
        <x:f>IF(OR(NOT(AND(J203="PASS",'Calibrare_Linii'!U7="VALID")),AK203=0),""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*('Istoric_Nativ'!$Q$6:$Q$405&lt;=H203))/AK203)</x:f>
      </x:c>
      <x:c r="Q203" s="10" t="str">
        <x:f>IF(OR(NOT(AND(J203="PASS",'Calibrare_Linii'!U7="VALID")),AL203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M20)+((('Istoric_Nativ'!$E$6:$E$405='Input_Meci'!E20)+('Istoric_Nativ'!$F$6:$F$405='Input_Meci'!E20))&gt;0)*('Istoric_Nativ'!$D$6:$D$405&gt;='Motor_Meciuri'!BN20))&gt;0)*('Istoric_Nativ'!$Q$6:$Q$405&lt;=H203))/AL203)</x:f>
      </x:c>
      <x:c r="R203" s="10" t="str">
        <x:f>IF(OR(NOT(AND(J203="PASS",'Calibrare_Linii'!U7="VALID")),AM203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O20)+((('Istoric_Nativ'!$E$6:$E$405='Input_Meci'!E20)+('Istoric_Nativ'!$F$6:$F$405='Input_Meci'!E20))&gt;0)*('Istoric_Nativ'!$D$6:$D$405&gt;='Motor_Meciuri'!BP20))&gt;0)*('Istoric_Nativ'!$Q$6:$Q$405&lt;=H203))/AM203)</x:f>
      </x:c>
      <x:c r="S203" s="10" t="str">
        <x:f>IF(M203="","",MAX(O203,P203,Q203,R203))</x:f>
      </x:c>
      <x:c r="T203" s="11" t="str">
        <x:f>IF(M203="","",MIN(100,S203*100*'Config_v6'!$B$44+MIN(100,L203/'Config_v6'!$B$13*100)*'Config_v6'!$B$45+(100-'Motor_Meciuri'!BF20)*'Config_v6'!$B$46+'Motor_Meciuri'!BH20*100*'Config_v6'!$B$47))</x:f>
      </x:c>
      <x:c r="U203" s="2" t="str">
        <x:f>IF(T203="","",IF(T203&lt;=20,1,IF(T203&lt;=40,2,IF(T203&lt;=60,3,IF(T203&lt;=80,4,5)))))</x:f>
      </x:c>
      <x:c r="V203" s="2" t="str">
        <x:f>IF(M203="","",MAX(0,'Motor_Meciuri'!BF20-IF(W203="OOS PENDING",'Config_v6'!$B$35,0)-IF(L203&gt;'Config_v6'!$B$12,'Config_v6'!$B$37,IF(L203&gt;'Config_v6'!$B$11,'Config_v6'!$B$36,0))))</x:f>
      </x:c>
      <x:c r="W203" s="2" t="str">
        <x:f>IF(B203="","",IF(I203&lt;&gt;"READY","NOT RELEASED",IF(NOT(AND(J203="PASS",'Calibrare_Linii'!U7="VALID")),"INVALID",IF(NOT(AND('Calibrare_Linii'!S7="VALIDATED",AND('Calibrare_Linii'!H7=C203,ISNUMBER('Calibrare_Linii'!J7),'Calibrare_Linii'!J7&lt;='Input_Meci'!G20))),"OOS PENDING",IF(S203&lt;='Calibrare_Linii'!E7,"PASS",IF(S203&lt;='Calibrare_Linii'!F7,"PENALTY","WATCH"))))))</x:f>
      </x:c>
      <x:c r="X203" s="2" t="str">
        <x:f>IF(M203="","",IF(AND(AND(J203="PASS",'Calibrare_Linii'!U7="VALID"),'Motor_Meciuri'!K20=12,'Motor_Meciuri'!L20=12,'Motor_Meciuri'!M20="NO",'Motor_Meciuri'!BL20='Motor_Meciuri'!C20,AB203&gt;='Config_v6'!$B$50,AN203&gt;='Config_v6'!$B$51,T203&lt;='Config_v6'!$B$52,L203&lt;='Config_v6'!$B$53,ISNUMBER('Calibrare_Linii'!E7),S203&lt;='Calibrare_Linii'!E7,SUM(AK203:AM203)&gt;0),"CANDIDATE","NO"))</x:f>
      </x:c>
      <x:c r="Y203" s="2" t="str">
        <x:f>IF(B203="","",IF(I203&lt;&gt;"READY","NOT RELEASED",IF(AND(X203="CANDIDATE",V203&gt;='Config_v6'!$B$51,W203="PASS",'Calibrare_Linii'!T7="VALIDATED",AND('Calibrare_Linii'!H7=C203,ISNUMBER('Calibrare_Linii'!J7),'Calibrare_Linii'!J7&lt;='Input_Meci'!G20)),"PASS",IF(X203="CANDIDATE","OOS PENDING","FAIL"))))</x:f>
      </x:c>
      <x:c r="Z203" s="2" t="str">
        <x:f>IF(B203="","",IF(I203&lt;&gt;"READY","",IF(OR(NOT(AND(J203="PASS",'Calibrare_Linii'!U7="VALID")),L203&gt;'Config_v6'!$B$13,W203="WATCH"),5,IF(Y203="PASS",1,MIN(5,MAX('Config_v6'!$B$42,U203)+IF(W203="PENALTY",1,0))))))</x:f>
      </x:c>
      <x:c r="AA203" s="2" t="str">
        <x:f>IF(B203="","",IF(I203&lt;&gt;"READY","NOT RELEASED",IF(Z203=5,"NO BET",IF(OR(AB203&lt;'Config_v6'!$B$16,V203&lt;'Config_v6'!$B$18),"WATCH",IF(Z203=1,"DEFENSIV",IF(Z203=2,"PRUDENT",IF(Z203=3,"MODERAT","RIDICAT")))))))</x:f>
      </x:c>
      <x:c r="AB203" s="10" t="str">
        <x:f>IF(N203="","",MIN(N203,1-S203))</x:f>
      </x:c>
      <x:c r="AC203" s="2" t="str">
        <x:f>IF(AD203&lt;&gt;1,"",COUNTIFS($Z$202:$Z$215,"&lt;"&amp;Z203,$AD$202:$AD$215,1)+COUNTIFS($Z$202:$Z$215,Z203,$AB$202:$AB$215,"&gt;"&amp;AB203,$AD$202:$AD$215,1)+COUNTIFS($Z$202:$Z$215,Z203,$AB$202:$AB$215,AB203,$V$202:$V$215,"&gt;"&amp;V203,$AD$202:$AD$215,1)+COUNTIFS($Z$202:Z203,Z203,$AB$202:AB203,AB203,$V$202:V203,V203,$AD$202:AD203,1))</x:f>
      </x:c>
      <x:c r="AD203" s="2" t="n">
        <x:f>IF(OR(AA203="DEFENSIV",AA203="PRUDENT",AA203="MODERAT",AA203="RIDICAT"),1,0)</x:f>
        <x:v>0</x:v>
      </x:c>
      <x:c r="AE203" s="2" t="str">
        <x:f>IF(AD203&lt;&gt;1,"NO",IF(W203="PASS","YES",IF(W203="OOS PENDING","CONDITIONAL","NO")))</x:f>
        <x:v>NO</x:v>
      </x:c>
      <x:c r="AF203" s="2" t="n">
        <x:f>IF(AND(AD203=1,AC203=1,E203="LIVE"),1,0)</x:f>
        <x:v>0</x:v>
      </x:c>
      <x:c r="AG203" s="2" t="str">
        <x:f>IF(AF203&lt;&gt;1,"",'Dashboard'!P40)</x:f>
      </x:c>
      <x:c r="AH203" s="2" t="str">
        <x:f>IF(B203="","",IF(J203&lt;&gt;"PASS",'Motor_Meciuri'!J20,IF('Calibrare_Linii'!U7&lt;&gt;"VALID","Parametri linie invalizi",IF(L203&gt;'Config_v6'!$B$13,"Dispersie peste limita",IF(W203="WATCH","Failure peste limita",IF(AB203&lt;'Config_v6'!$B$16,"P finala sub prag",IF(V203&lt;'Config_v6'!$B$18,"Confidence sub prag",IF(E203="REPLAY","Exemplu retrospectiv; exclus din Top LIVE",IF(Y203="PASS","DEFENSIV validat",IF(W203="OOS PENDING","Eligibil; calibrare linie in monitorizare","Eligibil"))))))))))</x:f>
      </x:c>
      <x:c r="AI203" s="2" t="str">
        <x:f>IF(B203="","",'Calibrare_Linii'!V7)</x:f>
      </x:c>
      <x:c r="AJ203" s="2" t="str">
        <x:f>IF(B203="","",IF(AND('Calibrare_Linii'!T7="VALIDATED",AND('Calibrare_Linii'!H7=C203,ISNUMBER('Calibrare_Linii'!J7),'Calibrare_Linii'!J7&lt;='Input_Meci'!G20)),"DEFENSIVE VALIDATED",IF(AND('Calibrare_Linii'!S7="VALIDATED",AND('Calibrare_Linii'!H7=C203,ISNUMBER('Calibrare_Linii'!J7),'Calibrare_Linii'!J7&lt;='Input_Meci'!G20)),"TAIL VALIDATED","OOS PENDING")))</x:f>
      </x:c>
      <x:c r="AK203" s="2" t="n">
        <x:f>IF(J203&lt;&gt;"PASS",0,'Motor_Meciuri'!BR20)</x:f>
        <x:v>0</x:v>
      </x:c>
      <x:c r="AL203" s="2" t="n">
        <x:f>IF(J203&lt;&gt;"PASS",0,'Motor_Meciuri'!BS20)</x:f>
        <x:v>0</x:v>
      </x:c>
      <x:c r="AM203" s="2" t="n">
        <x:f>IF(J203&lt;&gt;"PASS",0,'Motor_Meciuri'!BT20)</x:f>
        <x:v>0</x:v>
      </x:c>
      <x:c r="AN203" s="2" t="str">
        <x:f>IF(M203="","",MAX(0,'Motor_Meciuri'!BF20-IF(L203&gt;'Config_v6'!$B$12,'Config_v6'!$B$37,IF(L203&gt;'Config_v6'!$B$11,'Config_v6'!$B$36,0))))</x:f>
      </x:c>
    </x:row>
    <x:row r="204" ht="21" customHeight="1">
      <x:c r="A204" s="2" t="n">
        <x:v>15</x:v>
      </x:c>
      <x:c r="B204" s="2" t="str">
        <x:f>IF('Motor_Meciuri'!A20="","",'Motor_Meciuri'!A20)</x:f>
      </x:c>
      <x:c r="C204" s="2" t="str">
        <x:f>IF(B204="","",'Motor_Meciuri'!B20)</x:f>
      </x:c>
      <x:c r="D204" s="2" t="str">
        <x:f>IF(B204="","",'Motor_Meciuri'!D20)</x:f>
      </x:c>
      <x:c r="E204" s="2" t="str">
        <x:f>IF(B204="","",'Motor_Meciuri'!E20)</x:f>
      </x:c>
      <x:c r="F204" s="2" t="str">
        <x:v>O5,5</x:v>
      </x:c>
      <x:c r="G204" s="2" t="str">
        <x:v>OVER</x:v>
      </x:c>
      <x:c r="H204" s="2" t="n">
        <x:v>5</x:v>
      </x:c>
      <x:c r="I204" s="2" t="str">
        <x:f>IF(B204="","",'Motor_Meciuri'!H20)</x:f>
      </x:c>
      <x:c r="J204" s="2" t="str">
        <x:f>IF(B204="","",'Motor_Meciuri'!I20)</x:f>
      </x:c>
      <x:c r="K204" s="11" t="str">
        <x:f>IF(J204&lt;&gt;"PASS","",'Motor_Meciuri'!BD20)</x:f>
      </x:c>
      <x:c r="L204" s="11" t="str">
        <x:f>IF(J204&lt;&gt;"PASS","",'Motor_Meciuri'!AU20)</x:f>
      </x:c>
      <x:c r="M204" s="10" t="str">
        <x:f>IF(NOT(AND(J204="PASS",'Calibrare_Linii'!U8="VALID")),"",1-'Distributie'!AC20)</x:f>
      </x:c>
      <x:c r="N204" s="10" t="str">
        <x:f>IF(M204="","",MAX(0.01,MIN(0.99,0.5+(M204-0.5)*'Motor_Meciuri'!BG20*'Calibrare_Linii'!D8)))</x:f>
      </x:c>
      <x:c r="O204" s="10" t="str">
        <x:f>IF(M204="","",1-M204)</x:f>
      </x:c>
      <x:c r="P204" s="10" t="str">
        <x:f>IF(OR(NOT(AND(J204="PASS",'Calibrare_Linii'!U8="VALID")),AK204=0),""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*('Istoric_Nativ'!$Q$6:$Q$405&lt;=H204))/AK204)</x:f>
      </x:c>
      <x:c r="Q204" s="10" t="str">
        <x:f>IF(OR(NOT(AND(J204="PASS",'Calibrare_Linii'!U8="VALID")),AL204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M20)+((('Istoric_Nativ'!$E$6:$E$405='Input_Meci'!E20)+('Istoric_Nativ'!$F$6:$F$405='Input_Meci'!E20))&gt;0)*('Istoric_Nativ'!$D$6:$D$405&gt;='Motor_Meciuri'!BN20))&gt;0)*('Istoric_Nativ'!$Q$6:$Q$405&lt;=H204))/AL204)</x:f>
      </x:c>
      <x:c r="R204" s="10" t="str">
        <x:f>IF(OR(NOT(AND(J204="PASS",'Calibrare_Linii'!U8="VALID")),AM204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O20)+((('Istoric_Nativ'!$E$6:$E$405='Input_Meci'!E20)+('Istoric_Nativ'!$F$6:$F$405='Input_Meci'!E20))&gt;0)*('Istoric_Nativ'!$D$6:$D$405&gt;='Motor_Meciuri'!BP20))&gt;0)*('Istoric_Nativ'!$Q$6:$Q$405&lt;=H204))/AM204)</x:f>
      </x:c>
      <x:c r="S204" s="10" t="str">
        <x:f>IF(M204="","",MAX(O204,P204,Q204,R204))</x:f>
      </x:c>
      <x:c r="T204" s="11" t="str">
        <x:f>IF(M204="","",MIN(100,S204*100*'Config_v6'!$B$44+MIN(100,L204/'Config_v6'!$B$13*100)*'Config_v6'!$B$45+(100-'Motor_Meciuri'!BF20)*'Config_v6'!$B$46+'Motor_Meciuri'!BH20*100*'Config_v6'!$B$47))</x:f>
      </x:c>
      <x:c r="U204" s="2" t="str">
        <x:f>IF(T204="","",IF(T204&lt;=20,1,IF(T204&lt;=40,2,IF(T204&lt;=60,3,IF(T204&lt;=80,4,5)))))</x:f>
      </x:c>
      <x:c r="V204" s="2" t="str">
        <x:f>IF(M204="","",MAX(0,'Motor_Meciuri'!BF20-IF(W204="OOS PENDING",'Config_v6'!$B$35,0)-IF(L204&gt;'Config_v6'!$B$12,'Config_v6'!$B$37,IF(L204&gt;'Config_v6'!$B$11,'Config_v6'!$B$36,0))))</x:f>
      </x:c>
      <x:c r="W204" s="2" t="str">
        <x:f>IF(B204="","",IF(I204&lt;&gt;"READY","NOT RELEASED",IF(NOT(AND(J204="PASS",'Calibrare_Linii'!U8="VALID")),"INVALID",IF(NOT(AND('Calibrare_Linii'!S8="VALIDATED",AND('Calibrare_Linii'!H8=C204,ISNUMBER('Calibrare_Linii'!J8),'Calibrare_Linii'!J8&lt;='Input_Meci'!G20))),"OOS PENDING",IF(S204&lt;='Calibrare_Linii'!E8,"PASS",IF(S204&lt;='Calibrare_Linii'!F8,"PENALTY","WATCH"))))))</x:f>
      </x:c>
      <x:c r="X204" s="2" t="str">
        <x:f>IF(M204="","",IF(AND(AND(J204="PASS",'Calibrare_Linii'!U8="VALID"),'Motor_Meciuri'!K20=12,'Motor_Meciuri'!L20=12,'Motor_Meciuri'!M20="NO",'Motor_Meciuri'!BL20='Motor_Meciuri'!C20,AB204&gt;='Config_v6'!$B$50,AN204&gt;='Config_v6'!$B$51,T204&lt;='Config_v6'!$B$52,L204&lt;='Config_v6'!$B$53,ISNUMBER('Calibrare_Linii'!E8),S204&lt;='Calibrare_Linii'!E8,SUM(AK204:AM204)&gt;0),"CANDIDATE","NO"))</x:f>
      </x:c>
      <x:c r="Y204" s="2" t="str">
        <x:f>IF(B204="","",IF(I204&lt;&gt;"READY","NOT RELEASED",IF(AND(X204="CANDIDATE",V204&gt;='Config_v6'!$B$51,W204="PASS",'Calibrare_Linii'!T8="VALIDATED",AND('Calibrare_Linii'!H8=C204,ISNUMBER('Calibrare_Linii'!J8),'Calibrare_Linii'!J8&lt;='Input_Meci'!G20)),"PASS",IF(X204="CANDIDATE","OOS PENDING","FAIL"))))</x:f>
      </x:c>
      <x:c r="Z204" s="2" t="str">
        <x:f>IF(B204="","",IF(I204&lt;&gt;"READY","",IF(OR(NOT(AND(J204="PASS",'Calibrare_Linii'!U8="VALID")),L204&gt;'Config_v6'!$B$13,W204="WATCH"),5,IF(Y204="PASS",1,MIN(5,MAX('Config_v6'!$B$42,U204)+IF(W204="PENALTY",1,0))))))</x:f>
      </x:c>
      <x:c r="AA204" s="2" t="str">
        <x:f>IF(B204="","",IF(I204&lt;&gt;"READY","NOT RELEASED",IF(Z204=5,"NO BET",IF(OR(AB204&lt;'Config_v6'!$B$16,V204&lt;'Config_v6'!$B$18),"WATCH",IF(Z204=1,"DEFENSIV",IF(Z204=2,"PRUDENT",IF(Z204=3,"MODERAT","RIDICAT")))))))</x:f>
      </x:c>
      <x:c r="AB204" s="10" t="str">
        <x:f>IF(N204="","",MIN(N204,1-S204))</x:f>
      </x:c>
      <x:c r="AC204" s="2" t="str">
        <x:f>IF(AD204&lt;&gt;1,"",COUNTIFS($Z$202:$Z$215,"&lt;"&amp;Z204,$AD$202:$AD$215,1)+COUNTIFS($Z$202:$Z$215,Z204,$AB$202:$AB$215,"&gt;"&amp;AB204,$AD$202:$AD$215,1)+COUNTIFS($Z$202:$Z$215,Z204,$AB$202:$AB$215,AB204,$V$202:$V$215,"&gt;"&amp;V204,$AD$202:$AD$215,1)+COUNTIFS($Z$202:Z204,Z204,$AB$202:AB204,AB204,$V$202:V204,V204,$AD$202:AD204,1))</x:f>
      </x:c>
      <x:c r="AD204" s="2" t="n">
        <x:f>IF(OR(AA204="DEFENSIV",AA204="PRUDENT",AA204="MODERAT",AA204="RIDICAT"),1,0)</x:f>
        <x:v>0</x:v>
      </x:c>
      <x:c r="AE204" s="2" t="str">
        <x:f>IF(AD204&lt;&gt;1,"NO",IF(W204="PASS","YES",IF(W204="OOS PENDING","CONDITIONAL","NO")))</x:f>
        <x:v>NO</x:v>
      </x:c>
      <x:c r="AF204" s="2" t="n">
        <x:f>IF(AND(AD204=1,AC204=1,E204="LIVE"),1,0)</x:f>
        <x:v>0</x:v>
      </x:c>
      <x:c r="AG204" s="2" t="str">
        <x:f>IF(AF204&lt;&gt;1,"",'Dashboard'!P40)</x:f>
      </x:c>
      <x:c r="AH204" s="2" t="str">
        <x:f>IF(B204="","",IF(J204&lt;&gt;"PASS",'Motor_Meciuri'!J20,IF('Calibrare_Linii'!U8&lt;&gt;"VALID","Parametri linie invalizi",IF(L204&gt;'Config_v6'!$B$13,"Dispersie peste limita",IF(W204="WATCH","Failure peste limita",IF(AB204&lt;'Config_v6'!$B$16,"P finala sub prag",IF(V204&lt;'Config_v6'!$B$18,"Confidence sub prag",IF(E204="REPLAY","Exemplu retrospectiv; exclus din Top LIVE",IF(Y204="PASS","DEFENSIV validat",IF(W204="OOS PENDING","Eligibil; calibrare linie in monitorizare","Eligibil"))))))))))</x:f>
      </x:c>
      <x:c r="AI204" s="2" t="str">
        <x:f>IF(B204="","",'Calibrare_Linii'!V8)</x:f>
      </x:c>
      <x:c r="AJ204" s="2" t="str">
        <x:f>IF(B204="","",IF(AND('Calibrare_Linii'!T8="VALIDATED",AND('Calibrare_Linii'!H8=C204,ISNUMBER('Calibrare_Linii'!J8),'Calibrare_Linii'!J8&lt;='Input_Meci'!G20)),"DEFENSIVE VALIDATED",IF(AND('Calibrare_Linii'!S8="VALIDATED",AND('Calibrare_Linii'!H8=C204,ISNUMBER('Calibrare_Linii'!J8),'Calibrare_Linii'!J8&lt;='Input_Meci'!G20)),"TAIL VALIDATED","OOS PENDING")))</x:f>
      </x:c>
      <x:c r="AK204" s="2" t="n">
        <x:f>IF(J204&lt;&gt;"PASS",0,'Motor_Meciuri'!BR20)</x:f>
        <x:v>0</x:v>
      </x:c>
      <x:c r="AL204" s="2" t="n">
        <x:f>IF(J204&lt;&gt;"PASS",0,'Motor_Meciuri'!BS20)</x:f>
        <x:v>0</x:v>
      </x:c>
      <x:c r="AM204" s="2" t="n">
        <x:f>IF(J204&lt;&gt;"PASS",0,'Motor_Meciuri'!BT20)</x:f>
        <x:v>0</x:v>
      </x:c>
      <x:c r="AN204" s="2" t="str">
        <x:f>IF(M204="","",MAX(0,'Motor_Meciuri'!BF20-IF(L204&gt;'Config_v6'!$B$12,'Config_v6'!$B$37,IF(L204&gt;'Config_v6'!$B$11,'Config_v6'!$B$36,0))))</x:f>
      </x:c>
    </x:row>
    <x:row r="205" ht="21" customHeight="1">
      <x:c r="A205" s="2" t="n">
        <x:v>15</x:v>
      </x:c>
      <x:c r="B205" s="2" t="str">
        <x:f>IF('Motor_Meciuri'!A20="","",'Motor_Meciuri'!A20)</x:f>
      </x:c>
      <x:c r="C205" s="2" t="str">
        <x:f>IF(B205="","",'Motor_Meciuri'!B20)</x:f>
      </x:c>
      <x:c r="D205" s="2" t="str">
        <x:f>IF(B205="","",'Motor_Meciuri'!D20)</x:f>
      </x:c>
      <x:c r="E205" s="2" t="str">
        <x:f>IF(B205="","",'Motor_Meciuri'!E20)</x:f>
      </x:c>
      <x:c r="F205" s="2" t="str">
        <x:v>O6,5</x:v>
      </x:c>
      <x:c r="G205" s="2" t="str">
        <x:v>OVER</x:v>
      </x:c>
      <x:c r="H205" s="2" t="n">
        <x:v>6</x:v>
      </x:c>
      <x:c r="I205" s="2" t="str">
        <x:f>IF(B205="","",'Motor_Meciuri'!H20)</x:f>
      </x:c>
      <x:c r="J205" s="2" t="str">
        <x:f>IF(B205="","",'Motor_Meciuri'!I20)</x:f>
      </x:c>
      <x:c r="K205" s="11" t="str">
        <x:f>IF(J205&lt;&gt;"PASS","",'Motor_Meciuri'!BD20)</x:f>
      </x:c>
      <x:c r="L205" s="11" t="str">
        <x:f>IF(J205&lt;&gt;"PASS","",'Motor_Meciuri'!AU20)</x:f>
      </x:c>
      <x:c r="M205" s="10" t="str">
        <x:f>IF(NOT(AND(J205="PASS",'Calibrare_Linii'!U9="VALID")),"",1-'Distributie'!AD20)</x:f>
      </x:c>
      <x:c r="N205" s="10" t="str">
        <x:f>IF(M205="","",MAX(0.01,MIN(0.99,0.5+(M205-0.5)*'Motor_Meciuri'!BG20*'Calibrare_Linii'!D9)))</x:f>
      </x:c>
      <x:c r="O205" s="10" t="str">
        <x:f>IF(M205="","",1-M205)</x:f>
      </x:c>
      <x:c r="P205" s="10" t="str">
        <x:f>IF(OR(NOT(AND(J205="PASS",'Calibrare_Linii'!U9="VALID")),AK205=0),""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*('Istoric_Nativ'!$Q$6:$Q$405&lt;=H205))/AK205)</x:f>
      </x:c>
      <x:c r="Q205" s="10" t="str">
        <x:f>IF(OR(NOT(AND(J205="PASS",'Calibrare_Linii'!U9="VALID")),AL205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M20)+((('Istoric_Nativ'!$E$6:$E$405='Input_Meci'!E20)+('Istoric_Nativ'!$F$6:$F$405='Input_Meci'!E20))&gt;0)*('Istoric_Nativ'!$D$6:$D$405&gt;='Motor_Meciuri'!BN20))&gt;0)*('Istoric_Nativ'!$Q$6:$Q$405&lt;=H205))/AL205)</x:f>
      </x:c>
      <x:c r="R205" s="10" t="str">
        <x:f>IF(OR(NOT(AND(J205="PASS",'Calibrare_Linii'!U9="VALID")),AM205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O20)+((('Istoric_Nativ'!$E$6:$E$405='Input_Meci'!E20)+('Istoric_Nativ'!$F$6:$F$405='Input_Meci'!E20))&gt;0)*('Istoric_Nativ'!$D$6:$D$405&gt;='Motor_Meciuri'!BP20))&gt;0)*('Istoric_Nativ'!$Q$6:$Q$405&lt;=H205))/AM205)</x:f>
      </x:c>
      <x:c r="S205" s="10" t="str">
        <x:f>IF(M205="","",MAX(O205,P205,Q205,R205))</x:f>
      </x:c>
      <x:c r="T205" s="11" t="str">
        <x:f>IF(M205="","",MIN(100,S205*100*'Config_v6'!$B$44+MIN(100,L205/'Config_v6'!$B$13*100)*'Config_v6'!$B$45+(100-'Motor_Meciuri'!BF20)*'Config_v6'!$B$46+'Motor_Meciuri'!BH20*100*'Config_v6'!$B$47))</x:f>
      </x:c>
      <x:c r="U205" s="2" t="str">
        <x:f>IF(T205="","",IF(T205&lt;=20,1,IF(T205&lt;=40,2,IF(T205&lt;=60,3,IF(T205&lt;=80,4,5)))))</x:f>
      </x:c>
      <x:c r="V205" s="2" t="str">
        <x:f>IF(M205="","",MAX(0,'Motor_Meciuri'!BF20-IF(W205="OOS PENDING",'Config_v6'!$B$35,0)-IF(L205&gt;'Config_v6'!$B$12,'Config_v6'!$B$37,IF(L205&gt;'Config_v6'!$B$11,'Config_v6'!$B$36,0))))</x:f>
      </x:c>
      <x:c r="W205" s="2" t="str">
        <x:f>IF(B205="","",IF(I205&lt;&gt;"READY","NOT RELEASED",IF(NOT(AND(J205="PASS",'Calibrare_Linii'!U9="VALID")),"INVALID",IF(NOT(AND('Calibrare_Linii'!S9="VALIDATED",AND('Calibrare_Linii'!H9=C205,ISNUMBER('Calibrare_Linii'!J9),'Calibrare_Linii'!J9&lt;='Input_Meci'!G20))),"OOS PENDING",IF(S205&lt;='Calibrare_Linii'!E9,"PASS",IF(S205&lt;='Calibrare_Linii'!F9,"PENALTY","WATCH"))))))</x:f>
      </x:c>
      <x:c r="X205" s="2" t="str">
        <x:f>IF(M205="","",IF(AND(AND(J205="PASS",'Calibrare_Linii'!U9="VALID"),'Motor_Meciuri'!K20=12,'Motor_Meciuri'!L20=12,'Motor_Meciuri'!M20="NO",'Motor_Meciuri'!BL20='Motor_Meciuri'!C20,AB205&gt;='Config_v6'!$B$50,AN205&gt;='Config_v6'!$B$51,T205&lt;='Config_v6'!$B$52,L205&lt;='Config_v6'!$B$53,ISNUMBER('Calibrare_Linii'!E9),S205&lt;='Calibrare_Linii'!E9,SUM(AK205:AM205)&gt;0),"CANDIDATE","NO"))</x:f>
      </x:c>
      <x:c r="Y205" s="2" t="str">
        <x:f>IF(B205="","",IF(I205&lt;&gt;"READY","NOT RELEASED",IF(AND(X205="CANDIDATE",V205&gt;='Config_v6'!$B$51,W205="PASS",'Calibrare_Linii'!T9="VALIDATED",AND('Calibrare_Linii'!H9=C205,ISNUMBER('Calibrare_Linii'!J9),'Calibrare_Linii'!J9&lt;='Input_Meci'!G20)),"PASS",IF(X205="CANDIDATE","OOS PENDING","FAIL"))))</x:f>
      </x:c>
      <x:c r="Z205" s="2" t="str">
        <x:f>IF(B205="","",IF(I205&lt;&gt;"READY","",IF(OR(NOT(AND(J205="PASS",'Calibrare_Linii'!U9="VALID")),L205&gt;'Config_v6'!$B$13,W205="WATCH"),5,IF(Y205="PASS",1,MIN(5,MAX('Config_v6'!$B$42,U205)+IF(W205="PENALTY",1,0))))))</x:f>
      </x:c>
      <x:c r="AA205" s="2" t="str">
        <x:f>IF(B205="","",IF(I205&lt;&gt;"READY","NOT RELEASED",IF(Z205=5,"NO BET",IF(OR(AB205&lt;'Config_v6'!$B$16,V205&lt;'Config_v6'!$B$18),"WATCH",IF(Z205=1,"DEFENSIV",IF(Z205=2,"PRUDENT",IF(Z205=3,"MODERAT","RIDICAT")))))))</x:f>
      </x:c>
      <x:c r="AB205" s="10" t="str">
        <x:f>IF(N205="","",MIN(N205,1-S205))</x:f>
      </x:c>
      <x:c r="AC205" s="2" t="str">
        <x:f>IF(AD205&lt;&gt;1,"",COUNTIFS($Z$202:$Z$215,"&lt;"&amp;Z205,$AD$202:$AD$215,1)+COUNTIFS($Z$202:$Z$215,Z205,$AB$202:$AB$215,"&gt;"&amp;AB205,$AD$202:$AD$215,1)+COUNTIFS($Z$202:$Z$215,Z205,$AB$202:$AB$215,AB205,$V$202:$V$215,"&gt;"&amp;V205,$AD$202:$AD$215,1)+COUNTIFS($Z$202:Z205,Z205,$AB$202:AB205,AB205,$V$202:V205,V205,$AD$202:AD205,1))</x:f>
      </x:c>
      <x:c r="AD205" s="2" t="n">
        <x:f>IF(OR(AA205="DEFENSIV",AA205="PRUDENT",AA205="MODERAT",AA205="RIDICAT"),1,0)</x:f>
        <x:v>0</x:v>
      </x:c>
      <x:c r="AE205" s="2" t="str">
        <x:f>IF(AD205&lt;&gt;1,"NO",IF(W205="PASS","YES",IF(W205="OOS PENDING","CONDITIONAL","NO")))</x:f>
        <x:v>NO</x:v>
      </x:c>
      <x:c r="AF205" s="2" t="n">
        <x:f>IF(AND(AD205=1,AC205=1,E205="LIVE"),1,0)</x:f>
        <x:v>0</x:v>
      </x:c>
      <x:c r="AG205" s="2" t="str">
        <x:f>IF(AF205&lt;&gt;1,"",'Dashboard'!P40)</x:f>
      </x:c>
      <x:c r="AH205" s="2" t="str">
        <x:f>IF(B205="","",IF(J205&lt;&gt;"PASS",'Motor_Meciuri'!J20,IF('Calibrare_Linii'!U9&lt;&gt;"VALID","Parametri linie invalizi",IF(L205&gt;'Config_v6'!$B$13,"Dispersie peste limita",IF(W205="WATCH","Failure peste limita",IF(AB205&lt;'Config_v6'!$B$16,"P finala sub prag",IF(V205&lt;'Config_v6'!$B$18,"Confidence sub prag",IF(E205="REPLAY","Exemplu retrospectiv; exclus din Top LIVE",IF(Y205="PASS","DEFENSIV validat",IF(W205="OOS PENDING","Eligibil; calibrare linie in monitorizare","Eligibil"))))))))))</x:f>
      </x:c>
      <x:c r="AI205" s="2" t="str">
        <x:f>IF(B205="","",'Calibrare_Linii'!V9)</x:f>
      </x:c>
      <x:c r="AJ205" s="2" t="str">
        <x:f>IF(B205="","",IF(AND('Calibrare_Linii'!T9="VALIDATED",AND('Calibrare_Linii'!H9=C205,ISNUMBER('Calibrare_Linii'!J9),'Calibrare_Linii'!J9&lt;='Input_Meci'!G20)),"DEFENSIVE VALIDATED",IF(AND('Calibrare_Linii'!S9="VALIDATED",AND('Calibrare_Linii'!H9=C205,ISNUMBER('Calibrare_Linii'!J9),'Calibrare_Linii'!J9&lt;='Input_Meci'!G20)),"TAIL VALIDATED","OOS PENDING")))</x:f>
      </x:c>
      <x:c r="AK205" s="2" t="n">
        <x:f>IF(J205&lt;&gt;"PASS",0,'Motor_Meciuri'!BR20)</x:f>
        <x:v>0</x:v>
      </x:c>
      <x:c r="AL205" s="2" t="n">
        <x:f>IF(J205&lt;&gt;"PASS",0,'Motor_Meciuri'!BS20)</x:f>
        <x:v>0</x:v>
      </x:c>
      <x:c r="AM205" s="2" t="n">
        <x:f>IF(J205&lt;&gt;"PASS",0,'Motor_Meciuri'!BT20)</x:f>
        <x:v>0</x:v>
      </x:c>
      <x:c r="AN205" s="2" t="str">
        <x:f>IF(M205="","",MAX(0,'Motor_Meciuri'!BF20-IF(L205&gt;'Config_v6'!$B$12,'Config_v6'!$B$37,IF(L205&gt;'Config_v6'!$B$11,'Config_v6'!$B$36,0))))</x:f>
      </x:c>
    </x:row>
    <x:row r="206" ht="21" customHeight="1">
      <x:c r="A206" s="2" t="n">
        <x:v>15</x:v>
      </x:c>
      <x:c r="B206" s="2" t="str">
        <x:f>IF('Motor_Meciuri'!A20="","",'Motor_Meciuri'!A20)</x:f>
      </x:c>
      <x:c r="C206" s="2" t="str">
        <x:f>IF(B206="","",'Motor_Meciuri'!B20)</x:f>
      </x:c>
      <x:c r="D206" s="2" t="str">
        <x:f>IF(B206="","",'Motor_Meciuri'!D20)</x:f>
      </x:c>
      <x:c r="E206" s="2" t="str">
        <x:f>IF(B206="","",'Motor_Meciuri'!E20)</x:f>
      </x:c>
      <x:c r="F206" s="2" t="str">
        <x:v>O7,5</x:v>
      </x:c>
      <x:c r="G206" s="2" t="str">
        <x:v>OVER</x:v>
      </x:c>
      <x:c r="H206" s="2" t="n">
        <x:v>7</x:v>
      </x:c>
      <x:c r="I206" s="2" t="str">
        <x:f>IF(B206="","",'Motor_Meciuri'!H20)</x:f>
      </x:c>
      <x:c r="J206" s="2" t="str">
        <x:f>IF(B206="","",'Motor_Meciuri'!I20)</x:f>
      </x:c>
      <x:c r="K206" s="11" t="str">
        <x:f>IF(J206&lt;&gt;"PASS","",'Motor_Meciuri'!BD20)</x:f>
      </x:c>
      <x:c r="L206" s="11" t="str">
        <x:f>IF(J206&lt;&gt;"PASS","",'Motor_Meciuri'!AU20)</x:f>
      </x:c>
      <x:c r="M206" s="10" t="str">
        <x:f>IF(NOT(AND(J206="PASS",'Calibrare_Linii'!U10="VALID")),"",1-'Distributie'!AE20)</x:f>
      </x:c>
      <x:c r="N206" s="10" t="str">
        <x:f>IF(M206="","",MAX(0.01,MIN(0.99,0.5+(M206-0.5)*'Motor_Meciuri'!BG20*'Calibrare_Linii'!D10)))</x:f>
      </x:c>
      <x:c r="O206" s="10" t="str">
        <x:f>IF(M206="","",1-M206)</x:f>
      </x:c>
      <x:c r="P206" s="10" t="str">
        <x:f>IF(OR(NOT(AND(J206="PASS",'Calibrare_Linii'!U10="VALID")),AK206=0),""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*('Istoric_Nativ'!$Q$6:$Q$405&lt;=H206))/AK206)</x:f>
      </x:c>
      <x:c r="Q206" s="10" t="str">
        <x:f>IF(OR(NOT(AND(J206="PASS",'Calibrare_Linii'!U10="VALID")),AL206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M20)+((('Istoric_Nativ'!$E$6:$E$405='Input_Meci'!E20)+('Istoric_Nativ'!$F$6:$F$405='Input_Meci'!E20))&gt;0)*('Istoric_Nativ'!$D$6:$D$405&gt;='Motor_Meciuri'!BN20))&gt;0)*('Istoric_Nativ'!$Q$6:$Q$405&lt;=H206))/AL206)</x:f>
      </x:c>
      <x:c r="R206" s="10" t="str">
        <x:f>IF(OR(NOT(AND(J206="PASS",'Calibrare_Linii'!U10="VALID")),AM206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O20)+((('Istoric_Nativ'!$E$6:$E$405='Input_Meci'!E20)+('Istoric_Nativ'!$F$6:$F$405='Input_Meci'!E20))&gt;0)*('Istoric_Nativ'!$D$6:$D$405&gt;='Motor_Meciuri'!BP20))&gt;0)*('Istoric_Nativ'!$Q$6:$Q$405&lt;=H206))/AM206)</x:f>
      </x:c>
      <x:c r="S206" s="10" t="str">
        <x:f>IF(M206="","",MAX(O206,P206,Q206,R206))</x:f>
      </x:c>
      <x:c r="T206" s="11" t="str">
        <x:f>IF(M206="","",MIN(100,S206*100*'Config_v6'!$B$44+MIN(100,L206/'Config_v6'!$B$13*100)*'Config_v6'!$B$45+(100-'Motor_Meciuri'!BF20)*'Config_v6'!$B$46+'Motor_Meciuri'!BH20*100*'Config_v6'!$B$47))</x:f>
      </x:c>
      <x:c r="U206" s="2" t="str">
        <x:f>IF(T206="","",IF(T206&lt;=20,1,IF(T206&lt;=40,2,IF(T206&lt;=60,3,IF(T206&lt;=80,4,5)))))</x:f>
      </x:c>
      <x:c r="V206" s="2" t="str">
        <x:f>IF(M206="","",MAX(0,'Motor_Meciuri'!BF20-IF(W206="OOS PENDING",'Config_v6'!$B$35,0)-IF(L206&gt;'Config_v6'!$B$12,'Config_v6'!$B$37,IF(L206&gt;'Config_v6'!$B$11,'Config_v6'!$B$36,0))))</x:f>
      </x:c>
      <x:c r="W206" s="2" t="str">
        <x:f>IF(B206="","",IF(I206&lt;&gt;"READY","NOT RELEASED",IF(NOT(AND(J206="PASS",'Calibrare_Linii'!U10="VALID")),"INVALID",IF(NOT(AND('Calibrare_Linii'!S10="VALIDATED",AND('Calibrare_Linii'!H10=C206,ISNUMBER('Calibrare_Linii'!J10),'Calibrare_Linii'!J10&lt;='Input_Meci'!G20))),"OOS PENDING",IF(S206&lt;='Calibrare_Linii'!E10,"PASS",IF(S206&lt;='Calibrare_Linii'!F10,"PENALTY","WATCH"))))))</x:f>
      </x:c>
      <x:c r="X206" s="2" t="str">
        <x:f>IF(M206="","",IF(AND(AND(J206="PASS",'Calibrare_Linii'!U10="VALID"),'Motor_Meciuri'!K20=12,'Motor_Meciuri'!L20=12,'Motor_Meciuri'!M20="NO",'Motor_Meciuri'!BL20='Motor_Meciuri'!C20,AB206&gt;='Config_v6'!$B$50,AN206&gt;='Config_v6'!$B$51,T206&lt;='Config_v6'!$B$52,L206&lt;='Config_v6'!$B$53,ISNUMBER('Calibrare_Linii'!E10),S206&lt;='Calibrare_Linii'!E10,SUM(AK206:AM206)&gt;0),"CANDIDATE","NO"))</x:f>
      </x:c>
      <x:c r="Y206" s="2" t="str">
        <x:f>IF(B206="","",IF(I206&lt;&gt;"READY","NOT RELEASED",IF(AND(X206="CANDIDATE",V206&gt;='Config_v6'!$B$51,W206="PASS",'Calibrare_Linii'!T10="VALIDATED",AND('Calibrare_Linii'!H10=C206,ISNUMBER('Calibrare_Linii'!J10),'Calibrare_Linii'!J10&lt;='Input_Meci'!G20)),"PASS",IF(X206="CANDIDATE","OOS PENDING","FAIL"))))</x:f>
      </x:c>
      <x:c r="Z206" s="2" t="str">
        <x:f>IF(B206="","",IF(I206&lt;&gt;"READY","",IF(OR(NOT(AND(J206="PASS",'Calibrare_Linii'!U10="VALID")),L206&gt;'Config_v6'!$B$13,W206="WATCH"),5,IF(Y206="PASS",1,MIN(5,MAX('Config_v6'!$B$42,U206)+IF(W206="PENALTY",1,0))))))</x:f>
      </x:c>
      <x:c r="AA206" s="2" t="str">
        <x:f>IF(B206="","",IF(I206&lt;&gt;"READY","NOT RELEASED",IF(Z206=5,"NO BET",IF(OR(AB206&lt;'Config_v6'!$B$16,V206&lt;'Config_v6'!$B$18),"WATCH",IF(Z206=1,"DEFENSIV",IF(Z206=2,"PRUDENT",IF(Z206=3,"MODERAT","RIDICAT")))))))</x:f>
      </x:c>
      <x:c r="AB206" s="10" t="str">
        <x:f>IF(N206="","",MIN(N206,1-S206))</x:f>
      </x:c>
      <x:c r="AC206" s="2" t="str">
        <x:f>IF(AD206&lt;&gt;1,"",COUNTIFS($Z$202:$Z$215,"&lt;"&amp;Z206,$AD$202:$AD$215,1)+COUNTIFS($Z$202:$Z$215,Z206,$AB$202:$AB$215,"&gt;"&amp;AB206,$AD$202:$AD$215,1)+COUNTIFS($Z$202:$Z$215,Z206,$AB$202:$AB$215,AB206,$V$202:$V$215,"&gt;"&amp;V206,$AD$202:$AD$215,1)+COUNTIFS($Z$202:Z206,Z206,$AB$202:AB206,AB206,$V$202:V206,V206,$AD$202:AD206,1))</x:f>
      </x:c>
      <x:c r="AD206" s="2" t="n">
        <x:f>IF(OR(AA206="DEFENSIV",AA206="PRUDENT",AA206="MODERAT",AA206="RIDICAT"),1,0)</x:f>
        <x:v>0</x:v>
      </x:c>
      <x:c r="AE206" s="2" t="str">
        <x:f>IF(AD206&lt;&gt;1,"NO",IF(W206="PASS","YES",IF(W206="OOS PENDING","CONDITIONAL","NO")))</x:f>
        <x:v>NO</x:v>
      </x:c>
      <x:c r="AF206" s="2" t="n">
        <x:f>IF(AND(AD206=1,AC206=1,E206="LIVE"),1,0)</x:f>
        <x:v>0</x:v>
      </x:c>
      <x:c r="AG206" s="2" t="str">
        <x:f>IF(AF206&lt;&gt;1,"",'Dashboard'!P40)</x:f>
      </x:c>
      <x:c r="AH206" s="2" t="str">
        <x:f>IF(B206="","",IF(J206&lt;&gt;"PASS",'Motor_Meciuri'!J20,IF('Calibrare_Linii'!U10&lt;&gt;"VALID","Parametri linie invalizi",IF(L206&gt;'Config_v6'!$B$13,"Dispersie peste limita",IF(W206="WATCH","Failure peste limita",IF(AB206&lt;'Config_v6'!$B$16,"P finala sub prag",IF(V206&lt;'Config_v6'!$B$18,"Confidence sub prag",IF(E206="REPLAY","Exemplu retrospectiv; exclus din Top LIVE",IF(Y206="PASS","DEFENSIV validat",IF(W206="OOS PENDING","Eligibil; calibrare linie in monitorizare","Eligibil"))))))))))</x:f>
      </x:c>
      <x:c r="AI206" s="2" t="str">
        <x:f>IF(B206="","",'Calibrare_Linii'!V10)</x:f>
      </x:c>
      <x:c r="AJ206" s="2" t="str">
        <x:f>IF(B206="","",IF(AND('Calibrare_Linii'!T10="VALIDATED",AND('Calibrare_Linii'!H10=C206,ISNUMBER('Calibrare_Linii'!J10),'Calibrare_Linii'!J10&lt;='Input_Meci'!G20)),"DEFENSIVE VALIDATED",IF(AND('Calibrare_Linii'!S10="VALIDATED",AND('Calibrare_Linii'!H10=C206,ISNUMBER('Calibrare_Linii'!J10),'Calibrare_Linii'!J10&lt;='Input_Meci'!G20)),"TAIL VALIDATED","OOS PENDING")))</x:f>
      </x:c>
      <x:c r="AK206" s="2" t="n">
        <x:f>IF(J206&lt;&gt;"PASS",0,'Motor_Meciuri'!BR20)</x:f>
        <x:v>0</x:v>
      </x:c>
      <x:c r="AL206" s="2" t="n">
        <x:f>IF(J206&lt;&gt;"PASS",0,'Motor_Meciuri'!BS20)</x:f>
        <x:v>0</x:v>
      </x:c>
      <x:c r="AM206" s="2" t="n">
        <x:f>IF(J206&lt;&gt;"PASS",0,'Motor_Meciuri'!BT20)</x:f>
        <x:v>0</x:v>
      </x:c>
      <x:c r="AN206" s="2" t="str">
        <x:f>IF(M206="","",MAX(0,'Motor_Meciuri'!BF20-IF(L206&gt;'Config_v6'!$B$12,'Config_v6'!$B$37,IF(L206&gt;'Config_v6'!$B$11,'Config_v6'!$B$36,0))))</x:f>
      </x:c>
    </x:row>
    <x:row r="207" ht="21" customHeight="1">
      <x:c r="A207" s="2" t="n">
        <x:v>15</x:v>
      </x:c>
      <x:c r="B207" s="2" t="str">
        <x:f>IF('Motor_Meciuri'!A20="","",'Motor_Meciuri'!A20)</x:f>
      </x:c>
      <x:c r="C207" s="2" t="str">
        <x:f>IF(B207="","",'Motor_Meciuri'!B20)</x:f>
      </x:c>
      <x:c r="D207" s="2" t="str">
        <x:f>IF(B207="","",'Motor_Meciuri'!D20)</x:f>
      </x:c>
      <x:c r="E207" s="2" t="str">
        <x:f>IF(B207="","",'Motor_Meciuri'!E20)</x:f>
      </x:c>
      <x:c r="F207" s="2" t="str">
        <x:v>O8,5</x:v>
      </x:c>
      <x:c r="G207" s="2" t="str">
        <x:v>OVER</x:v>
      </x:c>
      <x:c r="H207" s="2" t="n">
        <x:v>8</x:v>
      </x:c>
      <x:c r="I207" s="2" t="str">
        <x:f>IF(B207="","",'Motor_Meciuri'!H20)</x:f>
      </x:c>
      <x:c r="J207" s="2" t="str">
        <x:f>IF(B207="","",'Motor_Meciuri'!I20)</x:f>
      </x:c>
      <x:c r="K207" s="11" t="str">
        <x:f>IF(J207&lt;&gt;"PASS","",'Motor_Meciuri'!BD20)</x:f>
      </x:c>
      <x:c r="L207" s="11" t="str">
        <x:f>IF(J207&lt;&gt;"PASS","",'Motor_Meciuri'!AU20)</x:f>
      </x:c>
      <x:c r="M207" s="10" t="str">
        <x:f>IF(NOT(AND(J207="PASS",'Calibrare_Linii'!U11="VALID")),"",1-'Distributie'!AF20)</x:f>
      </x:c>
      <x:c r="N207" s="10" t="str">
        <x:f>IF(M207="","",MAX(0.01,MIN(0.99,0.5+(M207-0.5)*'Motor_Meciuri'!BG20*'Calibrare_Linii'!D11)))</x:f>
      </x:c>
      <x:c r="O207" s="10" t="str">
        <x:f>IF(M207="","",1-M207)</x:f>
      </x:c>
      <x:c r="P207" s="10" t="str">
        <x:f>IF(OR(NOT(AND(J207="PASS",'Calibrare_Linii'!U11="VALID")),AK207=0),""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*('Istoric_Nativ'!$Q$6:$Q$405&lt;=H207))/AK207)</x:f>
      </x:c>
      <x:c r="Q207" s="10" t="str">
        <x:f>IF(OR(NOT(AND(J207="PASS",'Calibrare_Linii'!U11="VALID")),AL207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M20)+((('Istoric_Nativ'!$E$6:$E$405='Input_Meci'!E20)+('Istoric_Nativ'!$F$6:$F$405='Input_Meci'!E20))&gt;0)*('Istoric_Nativ'!$D$6:$D$405&gt;='Motor_Meciuri'!BN20))&gt;0)*('Istoric_Nativ'!$Q$6:$Q$405&lt;=H207))/AL207)</x:f>
      </x:c>
      <x:c r="R207" s="10" t="str">
        <x:f>IF(OR(NOT(AND(J207="PASS",'Calibrare_Linii'!U11="VALID")),AM207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O20)+((('Istoric_Nativ'!$E$6:$E$405='Input_Meci'!E20)+('Istoric_Nativ'!$F$6:$F$405='Input_Meci'!E20))&gt;0)*('Istoric_Nativ'!$D$6:$D$405&gt;='Motor_Meciuri'!BP20))&gt;0)*('Istoric_Nativ'!$Q$6:$Q$405&lt;=H207))/AM207)</x:f>
      </x:c>
      <x:c r="S207" s="10" t="str">
        <x:f>IF(M207="","",MAX(O207,P207,Q207,R207))</x:f>
      </x:c>
      <x:c r="T207" s="11" t="str">
        <x:f>IF(M207="","",MIN(100,S207*100*'Config_v6'!$B$44+MIN(100,L207/'Config_v6'!$B$13*100)*'Config_v6'!$B$45+(100-'Motor_Meciuri'!BF20)*'Config_v6'!$B$46+'Motor_Meciuri'!BH20*100*'Config_v6'!$B$47))</x:f>
      </x:c>
      <x:c r="U207" s="2" t="str">
        <x:f>IF(T207="","",IF(T207&lt;=20,1,IF(T207&lt;=40,2,IF(T207&lt;=60,3,IF(T207&lt;=80,4,5)))))</x:f>
      </x:c>
      <x:c r="V207" s="2" t="str">
        <x:f>IF(M207="","",MAX(0,'Motor_Meciuri'!BF20-IF(W207="OOS PENDING",'Config_v6'!$B$35,0)-IF(L207&gt;'Config_v6'!$B$12,'Config_v6'!$B$37,IF(L207&gt;'Config_v6'!$B$11,'Config_v6'!$B$36,0))))</x:f>
      </x:c>
      <x:c r="W207" s="2" t="str">
        <x:f>IF(B207="","",IF(I207&lt;&gt;"READY","NOT RELEASED",IF(NOT(AND(J207="PASS",'Calibrare_Linii'!U11="VALID")),"INVALID",IF(NOT(AND('Calibrare_Linii'!S11="VALIDATED",AND('Calibrare_Linii'!H11=C207,ISNUMBER('Calibrare_Linii'!J11),'Calibrare_Linii'!J11&lt;='Input_Meci'!G20))),"OOS PENDING",IF(S207&lt;='Calibrare_Linii'!E11,"PASS",IF(S207&lt;='Calibrare_Linii'!F11,"PENALTY","WATCH"))))))</x:f>
      </x:c>
      <x:c r="X207" s="2" t="str">
        <x:f>IF(M207="","",IF(AND(AND(J207="PASS",'Calibrare_Linii'!U11="VALID"),'Motor_Meciuri'!K20=12,'Motor_Meciuri'!L20=12,'Motor_Meciuri'!M20="NO",'Motor_Meciuri'!BL20='Motor_Meciuri'!C20,AB207&gt;='Config_v6'!$B$50,AN207&gt;='Config_v6'!$B$51,T207&lt;='Config_v6'!$B$52,L207&lt;='Config_v6'!$B$53,ISNUMBER('Calibrare_Linii'!E11),S207&lt;='Calibrare_Linii'!E11,SUM(AK207:AM207)&gt;0),"CANDIDATE","NO"))</x:f>
      </x:c>
      <x:c r="Y207" s="2" t="str">
        <x:f>IF(B207="","",IF(I207&lt;&gt;"READY","NOT RELEASED",IF(AND(X207="CANDIDATE",V207&gt;='Config_v6'!$B$51,W207="PASS",'Calibrare_Linii'!T11="VALIDATED",AND('Calibrare_Linii'!H11=C207,ISNUMBER('Calibrare_Linii'!J11),'Calibrare_Linii'!J11&lt;='Input_Meci'!G20)),"PASS",IF(X207="CANDIDATE","OOS PENDING","FAIL"))))</x:f>
      </x:c>
      <x:c r="Z207" s="2" t="str">
        <x:f>IF(B207="","",IF(I207&lt;&gt;"READY","",IF(OR(NOT(AND(J207="PASS",'Calibrare_Linii'!U11="VALID")),L207&gt;'Config_v6'!$B$13,W207="WATCH"),5,IF(Y207="PASS",1,MIN(5,MAX('Config_v6'!$B$42,U207)+IF(W207="PENALTY",1,0))))))</x:f>
      </x:c>
      <x:c r="AA207" s="2" t="str">
        <x:f>IF(B207="","",IF(I207&lt;&gt;"READY","NOT RELEASED",IF(Z207=5,"NO BET",IF(OR(AB207&lt;'Config_v6'!$B$16,V207&lt;'Config_v6'!$B$18),"WATCH",IF(Z207=1,"DEFENSIV",IF(Z207=2,"PRUDENT",IF(Z207=3,"MODERAT","RIDICAT")))))))</x:f>
      </x:c>
      <x:c r="AB207" s="10" t="str">
        <x:f>IF(N207="","",MIN(N207,1-S207))</x:f>
      </x:c>
      <x:c r="AC207" s="2" t="str">
        <x:f>IF(AD207&lt;&gt;1,"",COUNTIFS($Z$202:$Z$215,"&lt;"&amp;Z207,$AD$202:$AD$215,1)+COUNTIFS($Z$202:$Z$215,Z207,$AB$202:$AB$215,"&gt;"&amp;AB207,$AD$202:$AD$215,1)+COUNTIFS($Z$202:$Z$215,Z207,$AB$202:$AB$215,AB207,$V$202:$V$215,"&gt;"&amp;V207,$AD$202:$AD$215,1)+COUNTIFS($Z$202:Z207,Z207,$AB$202:AB207,AB207,$V$202:V207,V207,$AD$202:AD207,1))</x:f>
      </x:c>
      <x:c r="AD207" s="2" t="n">
        <x:f>IF(OR(AA207="DEFENSIV",AA207="PRUDENT",AA207="MODERAT",AA207="RIDICAT"),1,0)</x:f>
        <x:v>0</x:v>
      </x:c>
      <x:c r="AE207" s="2" t="str">
        <x:f>IF(AD207&lt;&gt;1,"NO",IF(W207="PASS","YES",IF(W207="OOS PENDING","CONDITIONAL","NO")))</x:f>
        <x:v>NO</x:v>
      </x:c>
      <x:c r="AF207" s="2" t="n">
        <x:f>IF(AND(AD207=1,AC207=1,E207="LIVE"),1,0)</x:f>
        <x:v>0</x:v>
      </x:c>
      <x:c r="AG207" s="2" t="str">
        <x:f>IF(AF207&lt;&gt;1,"",'Dashboard'!P40)</x:f>
      </x:c>
      <x:c r="AH207" s="2" t="str">
        <x:f>IF(B207="","",IF(J207&lt;&gt;"PASS",'Motor_Meciuri'!J20,IF('Calibrare_Linii'!U11&lt;&gt;"VALID","Parametri linie invalizi",IF(L207&gt;'Config_v6'!$B$13,"Dispersie peste limita",IF(W207="WATCH","Failure peste limita",IF(AB207&lt;'Config_v6'!$B$16,"P finala sub prag",IF(V207&lt;'Config_v6'!$B$18,"Confidence sub prag",IF(E207="REPLAY","Exemplu retrospectiv; exclus din Top LIVE",IF(Y207="PASS","DEFENSIV validat",IF(W207="OOS PENDING","Eligibil; calibrare linie in monitorizare","Eligibil"))))))))))</x:f>
      </x:c>
      <x:c r="AI207" s="2" t="str">
        <x:f>IF(B207="","",'Calibrare_Linii'!V11)</x:f>
      </x:c>
      <x:c r="AJ207" s="2" t="str">
        <x:f>IF(B207="","",IF(AND('Calibrare_Linii'!T11="VALIDATED",AND('Calibrare_Linii'!H11=C207,ISNUMBER('Calibrare_Linii'!J11),'Calibrare_Linii'!J11&lt;='Input_Meci'!G20)),"DEFENSIVE VALIDATED",IF(AND('Calibrare_Linii'!S11="VALIDATED",AND('Calibrare_Linii'!H11=C207,ISNUMBER('Calibrare_Linii'!J11),'Calibrare_Linii'!J11&lt;='Input_Meci'!G20)),"TAIL VALIDATED","OOS PENDING")))</x:f>
      </x:c>
      <x:c r="AK207" s="2" t="n">
        <x:f>IF(J207&lt;&gt;"PASS",0,'Motor_Meciuri'!BR20)</x:f>
        <x:v>0</x:v>
      </x:c>
      <x:c r="AL207" s="2" t="n">
        <x:f>IF(J207&lt;&gt;"PASS",0,'Motor_Meciuri'!BS20)</x:f>
        <x:v>0</x:v>
      </x:c>
      <x:c r="AM207" s="2" t="n">
        <x:f>IF(J207&lt;&gt;"PASS",0,'Motor_Meciuri'!BT20)</x:f>
        <x:v>0</x:v>
      </x:c>
      <x:c r="AN207" s="2" t="str">
        <x:f>IF(M207="","",MAX(0,'Motor_Meciuri'!BF20-IF(L207&gt;'Config_v6'!$B$12,'Config_v6'!$B$37,IF(L207&gt;'Config_v6'!$B$11,'Config_v6'!$B$36,0))))</x:f>
      </x:c>
    </x:row>
    <x:row r="208" ht="21" customHeight="1">
      <x:c r="A208" s="2" t="n">
        <x:v>15</x:v>
      </x:c>
      <x:c r="B208" s="2" t="str">
        <x:f>IF('Motor_Meciuri'!A20="","",'Motor_Meciuri'!A20)</x:f>
      </x:c>
      <x:c r="C208" s="2" t="str">
        <x:f>IF(B208="","",'Motor_Meciuri'!B20)</x:f>
      </x:c>
      <x:c r="D208" s="2" t="str">
        <x:f>IF(B208="","",'Motor_Meciuri'!D20)</x:f>
      </x:c>
      <x:c r="E208" s="2" t="str">
        <x:f>IF(B208="","",'Motor_Meciuri'!E20)</x:f>
      </x:c>
      <x:c r="F208" s="2" t="str">
        <x:v>U10,5</x:v>
      </x:c>
      <x:c r="G208" s="2" t="str">
        <x:v>UNDER</x:v>
      </x:c>
      <x:c r="H208" s="2" t="n">
        <x:v>10</x:v>
      </x:c>
      <x:c r="I208" s="2" t="str">
        <x:f>IF(B208="","",'Motor_Meciuri'!H20)</x:f>
      </x:c>
      <x:c r="J208" s="2" t="str">
        <x:f>IF(B208="","",'Motor_Meciuri'!I20)</x:f>
      </x:c>
      <x:c r="K208" s="11" t="str">
        <x:f>IF(J208&lt;&gt;"PASS","",'Motor_Meciuri'!BD20)</x:f>
      </x:c>
      <x:c r="L208" s="11" t="str">
        <x:f>IF(J208&lt;&gt;"PASS","",'Motor_Meciuri'!AU20)</x:f>
      </x:c>
      <x:c r="M208" s="10" t="str">
        <x:f>IF(NOT(AND(J208="PASS",'Calibrare_Linii'!U12="VALID")),"",'Distributie'!AH20)</x:f>
      </x:c>
      <x:c r="N208" s="10" t="str">
        <x:f>IF(M208="","",MAX(0.01,MIN(0.99,0.5+(M208-0.5)*'Motor_Meciuri'!BG20*'Calibrare_Linii'!D12)))</x:f>
      </x:c>
      <x:c r="O208" s="10" t="str">
        <x:f>IF(M208="","",1-M208)</x:f>
      </x:c>
      <x:c r="P208" s="10" t="str">
        <x:f>IF(OR(NOT(AND(J208="PASS",'Calibrare_Linii'!U12="VALID")),AK208=0),""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*('Istoric_Nativ'!$Q$6:$Q$405&gt;H208))/AK208)</x:f>
      </x:c>
      <x:c r="Q208" s="10" t="str">
        <x:f>IF(OR(NOT(AND(J208="PASS",'Calibrare_Linii'!U12="VALID")),AL208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M20)+((('Istoric_Nativ'!$E$6:$E$405='Input_Meci'!E20)+('Istoric_Nativ'!$F$6:$F$405='Input_Meci'!E20))&gt;0)*('Istoric_Nativ'!$D$6:$D$405&gt;='Motor_Meciuri'!BN20))&gt;0)*('Istoric_Nativ'!$Q$6:$Q$405&gt;H208))/AL208)</x:f>
      </x:c>
      <x:c r="R208" s="10" t="str">
        <x:f>IF(OR(NOT(AND(J208="PASS",'Calibrare_Linii'!U12="VALID")),AM208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O20)+((('Istoric_Nativ'!$E$6:$E$405='Input_Meci'!E20)+('Istoric_Nativ'!$F$6:$F$405='Input_Meci'!E20))&gt;0)*('Istoric_Nativ'!$D$6:$D$405&gt;='Motor_Meciuri'!BP20))&gt;0)*('Istoric_Nativ'!$Q$6:$Q$405&gt;H208))/AM208)</x:f>
      </x:c>
      <x:c r="S208" s="10" t="str">
        <x:f>IF(M208="","",MAX(O208,P208,Q208,R208))</x:f>
      </x:c>
      <x:c r="T208" s="11" t="str">
        <x:f>IF(M208="","",MIN(100,S208*100*'Config_v6'!$B$44+MIN(100,L208/'Config_v6'!$B$13*100)*'Config_v6'!$B$45+(100-'Motor_Meciuri'!BF20)*'Config_v6'!$B$46+'Motor_Meciuri'!BH20*100*'Config_v6'!$B$47))</x:f>
      </x:c>
      <x:c r="U208" s="2" t="str">
        <x:f>IF(T208="","",IF(T208&lt;=20,1,IF(T208&lt;=40,2,IF(T208&lt;=60,3,IF(T208&lt;=80,4,5)))))</x:f>
      </x:c>
      <x:c r="V208" s="2" t="str">
        <x:f>IF(M208="","",MAX(0,'Motor_Meciuri'!BF20-IF(W208="OOS PENDING",'Config_v6'!$B$35,0)-IF(L208&gt;'Config_v6'!$B$12,'Config_v6'!$B$37,IF(L208&gt;'Config_v6'!$B$11,'Config_v6'!$B$36,0))))</x:f>
      </x:c>
      <x:c r="W208" s="2" t="str">
        <x:f>IF(B208="","",IF(I208&lt;&gt;"READY","NOT RELEASED",IF(NOT(AND(J208="PASS",'Calibrare_Linii'!U12="VALID")),"INVALID",IF(NOT(AND('Calibrare_Linii'!S12="VALIDATED",AND('Calibrare_Linii'!H12=C208,ISNUMBER('Calibrare_Linii'!J12),'Calibrare_Linii'!J12&lt;='Input_Meci'!G20))),"OOS PENDING",IF(S208&lt;='Calibrare_Linii'!E12,"PASS",IF(S208&lt;='Calibrare_Linii'!F12,"PENALTY","WATCH"))))))</x:f>
      </x:c>
      <x:c r="X208" s="2" t="str">
        <x:f>IF(M208="","",IF(AND(AND(J208="PASS",'Calibrare_Linii'!U12="VALID"),'Motor_Meciuri'!K20=12,'Motor_Meciuri'!L20=12,'Motor_Meciuri'!M20="NO",'Motor_Meciuri'!BL20='Motor_Meciuri'!C20,AB208&gt;='Config_v6'!$B$50,AN208&gt;='Config_v6'!$B$51,T208&lt;='Config_v6'!$B$52,L208&lt;='Config_v6'!$B$53,ISNUMBER('Calibrare_Linii'!E12),S208&lt;='Calibrare_Linii'!E12,SUM(AK208:AM208)&gt;0),"CANDIDATE","NO"))</x:f>
      </x:c>
      <x:c r="Y208" s="2" t="str">
        <x:f>IF(B208="","",IF(I208&lt;&gt;"READY","NOT RELEASED",IF(AND(X208="CANDIDATE",V208&gt;='Config_v6'!$B$51,W208="PASS",'Calibrare_Linii'!T12="VALIDATED",AND('Calibrare_Linii'!H12=C208,ISNUMBER('Calibrare_Linii'!J12),'Calibrare_Linii'!J12&lt;='Input_Meci'!G20)),"PASS",IF(X208="CANDIDATE","OOS PENDING","FAIL"))))</x:f>
      </x:c>
      <x:c r="Z208" s="2" t="str">
        <x:f>IF(B208="","",IF(I208&lt;&gt;"READY","",IF(OR(NOT(AND(J208="PASS",'Calibrare_Linii'!U12="VALID")),L208&gt;'Config_v6'!$B$13,W208="WATCH"),5,IF(Y208="PASS",1,MIN(5,MAX('Config_v6'!$B$42,U208)+IF(W208="PENALTY",1,0))))))</x:f>
      </x:c>
      <x:c r="AA208" s="2" t="str">
        <x:f>IF(B208="","",IF(I208&lt;&gt;"READY","NOT RELEASED",IF(Z208=5,"NO BET",IF(OR(AB208&lt;'Config_v6'!$B$16,V208&lt;'Config_v6'!$B$18),"WATCH",IF(Z208=1,"DEFENSIV",IF(Z208=2,"PRUDENT",IF(Z208=3,"MODERAT","RIDICAT")))))))</x:f>
      </x:c>
      <x:c r="AB208" s="10" t="str">
        <x:f>IF(N208="","",MIN(N208,1-S208))</x:f>
      </x:c>
      <x:c r="AC208" s="2" t="str">
        <x:f>IF(AD208&lt;&gt;1,"",COUNTIFS($Z$202:$Z$215,"&lt;"&amp;Z208,$AD$202:$AD$215,1)+COUNTIFS($Z$202:$Z$215,Z208,$AB$202:$AB$215,"&gt;"&amp;AB208,$AD$202:$AD$215,1)+COUNTIFS($Z$202:$Z$215,Z208,$AB$202:$AB$215,AB208,$V$202:$V$215,"&gt;"&amp;V208,$AD$202:$AD$215,1)+COUNTIFS($Z$202:Z208,Z208,$AB$202:AB208,AB208,$V$202:V208,V208,$AD$202:AD208,1))</x:f>
      </x:c>
      <x:c r="AD208" s="2" t="n">
        <x:f>IF(OR(AA208="DEFENSIV",AA208="PRUDENT",AA208="MODERAT",AA208="RIDICAT"),1,0)</x:f>
        <x:v>0</x:v>
      </x:c>
      <x:c r="AE208" s="2" t="str">
        <x:f>IF(AD208&lt;&gt;1,"NO",IF(W208="PASS","YES",IF(W208="OOS PENDING","CONDITIONAL","NO")))</x:f>
        <x:v>NO</x:v>
      </x:c>
      <x:c r="AF208" s="2" t="n">
        <x:f>IF(AND(AD208=1,AC208=1,E208="LIVE"),1,0)</x:f>
        <x:v>0</x:v>
      </x:c>
      <x:c r="AG208" s="2" t="str">
        <x:f>IF(AF208&lt;&gt;1,"",'Dashboard'!P40)</x:f>
      </x:c>
      <x:c r="AH208" s="2" t="str">
        <x:f>IF(B208="","",IF(J208&lt;&gt;"PASS",'Motor_Meciuri'!J20,IF('Calibrare_Linii'!U12&lt;&gt;"VALID","Parametri linie invalizi",IF(L208&gt;'Config_v6'!$B$13,"Dispersie peste limita",IF(W208="WATCH","Failure peste limita",IF(AB208&lt;'Config_v6'!$B$16,"P finala sub prag",IF(V208&lt;'Config_v6'!$B$18,"Confidence sub prag",IF(E208="REPLAY","Exemplu retrospectiv; exclus din Top LIVE",IF(Y208="PASS","DEFENSIV validat",IF(W208="OOS PENDING","Eligibil; calibrare linie in monitorizare","Eligibil"))))))))))</x:f>
      </x:c>
      <x:c r="AI208" s="2" t="str">
        <x:f>IF(B208="","",'Calibrare_Linii'!V12)</x:f>
      </x:c>
      <x:c r="AJ208" s="2" t="str">
        <x:f>IF(B208="","",IF(AND('Calibrare_Linii'!T12="VALIDATED",AND('Calibrare_Linii'!H12=C208,ISNUMBER('Calibrare_Linii'!J12),'Calibrare_Linii'!J12&lt;='Input_Meci'!G20)),"DEFENSIVE VALIDATED",IF(AND('Calibrare_Linii'!S12="VALIDATED",AND('Calibrare_Linii'!H12=C208,ISNUMBER('Calibrare_Linii'!J12),'Calibrare_Linii'!J12&lt;='Input_Meci'!G20)),"TAIL VALIDATED","OOS PENDING")))</x:f>
      </x:c>
      <x:c r="AK208" s="2" t="n">
        <x:f>IF(J208&lt;&gt;"PASS",0,'Motor_Meciuri'!BR20)</x:f>
        <x:v>0</x:v>
      </x:c>
      <x:c r="AL208" s="2" t="n">
        <x:f>IF(J208&lt;&gt;"PASS",0,'Motor_Meciuri'!BS20)</x:f>
        <x:v>0</x:v>
      </x:c>
      <x:c r="AM208" s="2" t="n">
        <x:f>IF(J208&lt;&gt;"PASS",0,'Motor_Meciuri'!BT20)</x:f>
        <x:v>0</x:v>
      </x:c>
      <x:c r="AN208" s="2" t="str">
        <x:f>IF(M208="","",MAX(0,'Motor_Meciuri'!BF20-IF(L208&gt;'Config_v6'!$B$12,'Config_v6'!$B$37,IF(L208&gt;'Config_v6'!$B$11,'Config_v6'!$B$36,0))))</x:f>
      </x:c>
    </x:row>
    <x:row r="209" ht="21" customHeight="1">
      <x:c r="A209" s="2" t="n">
        <x:v>15</x:v>
      </x:c>
      <x:c r="B209" s="2" t="str">
        <x:f>IF('Motor_Meciuri'!A20="","",'Motor_Meciuri'!A20)</x:f>
      </x:c>
      <x:c r="C209" s="2" t="str">
        <x:f>IF(B209="","",'Motor_Meciuri'!B20)</x:f>
      </x:c>
      <x:c r="D209" s="2" t="str">
        <x:f>IF(B209="","",'Motor_Meciuri'!D20)</x:f>
      </x:c>
      <x:c r="E209" s="2" t="str">
        <x:f>IF(B209="","",'Motor_Meciuri'!E20)</x:f>
      </x:c>
      <x:c r="F209" s="2" t="str">
        <x:v>U11,5</x:v>
      </x:c>
      <x:c r="G209" s="2" t="str">
        <x:v>UNDER</x:v>
      </x:c>
      <x:c r="H209" s="2" t="n">
        <x:v>11</x:v>
      </x:c>
      <x:c r="I209" s="2" t="str">
        <x:f>IF(B209="","",'Motor_Meciuri'!H20)</x:f>
      </x:c>
      <x:c r="J209" s="2" t="str">
        <x:f>IF(B209="","",'Motor_Meciuri'!I20)</x:f>
      </x:c>
      <x:c r="K209" s="11" t="str">
        <x:f>IF(J209&lt;&gt;"PASS","",'Motor_Meciuri'!BD20)</x:f>
      </x:c>
      <x:c r="L209" s="11" t="str">
        <x:f>IF(J209&lt;&gt;"PASS","",'Motor_Meciuri'!AU20)</x:f>
      </x:c>
      <x:c r="M209" s="10" t="str">
        <x:f>IF(NOT(AND(J209="PASS",'Calibrare_Linii'!U13="VALID")),"",'Distributie'!AI20)</x:f>
      </x:c>
      <x:c r="N209" s="10" t="str">
        <x:f>IF(M209="","",MAX(0.01,MIN(0.99,0.5+(M209-0.5)*'Motor_Meciuri'!BG20*'Calibrare_Linii'!D13)))</x:f>
      </x:c>
      <x:c r="O209" s="10" t="str">
        <x:f>IF(M209="","",1-M209)</x:f>
      </x:c>
      <x:c r="P209" s="10" t="str">
        <x:f>IF(OR(NOT(AND(J209="PASS",'Calibrare_Linii'!U13="VALID")),AK209=0),""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*('Istoric_Nativ'!$Q$6:$Q$405&gt;H209))/AK209)</x:f>
      </x:c>
      <x:c r="Q209" s="10" t="str">
        <x:f>IF(OR(NOT(AND(J209="PASS",'Calibrare_Linii'!U13="VALID")),AL209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M20)+((('Istoric_Nativ'!$E$6:$E$405='Input_Meci'!E20)+('Istoric_Nativ'!$F$6:$F$405='Input_Meci'!E20))&gt;0)*('Istoric_Nativ'!$D$6:$D$405&gt;='Motor_Meciuri'!BN20))&gt;0)*('Istoric_Nativ'!$Q$6:$Q$405&gt;H209))/AL209)</x:f>
      </x:c>
      <x:c r="R209" s="10" t="str">
        <x:f>IF(OR(NOT(AND(J209="PASS",'Calibrare_Linii'!U13="VALID")),AM209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O20)+((('Istoric_Nativ'!$E$6:$E$405='Input_Meci'!E20)+('Istoric_Nativ'!$F$6:$F$405='Input_Meci'!E20))&gt;0)*('Istoric_Nativ'!$D$6:$D$405&gt;='Motor_Meciuri'!BP20))&gt;0)*('Istoric_Nativ'!$Q$6:$Q$405&gt;H209))/AM209)</x:f>
      </x:c>
      <x:c r="S209" s="10" t="str">
        <x:f>IF(M209="","",MAX(O209,P209,Q209,R209))</x:f>
      </x:c>
      <x:c r="T209" s="11" t="str">
        <x:f>IF(M209="","",MIN(100,S209*100*'Config_v6'!$B$44+MIN(100,L209/'Config_v6'!$B$13*100)*'Config_v6'!$B$45+(100-'Motor_Meciuri'!BF20)*'Config_v6'!$B$46+'Motor_Meciuri'!BH20*100*'Config_v6'!$B$47))</x:f>
      </x:c>
      <x:c r="U209" s="2" t="str">
        <x:f>IF(T209="","",IF(T209&lt;=20,1,IF(T209&lt;=40,2,IF(T209&lt;=60,3,IF(T209&lt;=80,4,5)))))</x:f>
      </x:c>
      <x:c r="V209" s="2" t="str">
        <x:f>IF(M209="","",MAX(0,'Motor_Meciuri'!BF20-IF(W209="OOS PENDING",'Config_v6'!$B$35,0)-IF(L209&gt;'Config_v6'!$B$12,'Config_v6'!$B$37,IF(L209&gt;'Config_v6'!$B$11,'Config_v6'!$B$36,0))))</x:f>
      </x:c>
      <x:c r="W209" s="2" t="str">
        <x:f>IF(B209="","",IF(I209&lt;&gt;"READY","NOT RELEASED",IF(NOT(AND(J209="PASS",'Calibrare_Linii'!U13="VALID")),"INVALID",IF(NOT(AND('Calibrare_Linii'!S13="VALIDATED",AND('Calibrare_Linii'!H13=C209,ISNUMBER('Calibrare_Linii'!J13),'Calibrare_Linii'!J13&lt;='Input_Meci'!G20))),"OOS PENDING",IF(S209&lt;='Calibrare_Linii'!E13,"PASS",IF(S209&lt;='Calibrare_Linii'!F13,"PENALTY","WATCH"))))))</x:f>
      </x:c>
      <x:c r="X209" s="2" t="str">
        <x:f>IF(M209="","",IF(AND(AND(J209="PASS",'Calibrare_Linii'!U13="VALID"),'Motor_Meciuri'!K20=12,'Motor_Meciuri'!L20=12,'Motor_Meciuri'!M20="NO",'Motor_Meciuri'!BL20='Motor_Meciuri'!C20,AB209&gt;='Config_v6'!$B$50,AN209&gt;='Config_v6'!$B$51,T209&lt;='Config_v6'!$B$52,L209&lt;='Config_v6'!$B$53,ISNUMBER('Calibrare_Linii'!E13),S209&lt;='Calibrare_Linii'!E13,SUM(AK209:AM209)&gt;0),"CANDIDATE","NO"))</x:f>
      </x:c>
      <x:c r="Y209" s="2" t="str">
        <x:f>IF(B209="","",IF(I209&lt;&gt;"READY","NOT RELEASED",IF(AND(X209="CANDIDATE",V209&gt;='Config_v6'!$B$51,W209="PASS",'Calibrare_Linii'!T13="VALIDATED",AND('Calibrare_Linii'!H13=C209,ISNUMBER('Calibrare_Linii'!J13),'Calibrare_Linii'!J13&lt;='Input_Meci'!G20)),"PASS",IF(X209="CANDIDATE","OOS PENDING","FAIL"))))</x:f>
      </x:c>
      <x:c r="Z209" s="2" t="str">
        <x:f>IF(B209="","",IF(I209&lt;&gt;"READY","",IF(OR(NOT(AND(J209="PASS",'Calibrare_Linii'!U13="VALID")),L209&gt;'Config_v6'!$B$13,W209="WATCH"),5,IF(Y209="PASS",1,MIN(5,MAX('Config_v6'!$B$42,U209)+IF(W209="PENALTY",1,0))))))</x:f>
      </x:c>
      <x:c r="AA209" s="2" t="str">
        <x:f>IF(B209="","",IF(I209&lt;&gt;"READY","NOT RELEASED",IF(Z209=5,"NO BET",IF(OR(AB209&lt;'Config_v6'!$B$16,V209&lt;'Config_v6'!$B$18),"WATCH",IF(Z209=1,"DEFENSIV",IF(Z209=2,"PRUDENT",IF(Z209=3,"MODERAT","RIDICAT")))))))</x:f>
      </x:c>
      <x:c r="AB209" s="10" t="str">
        <x:f>IF(N209="","",MIN(N209,1-S209))</x:f>
      </x:c>
      <x:c r="AC209" s="2" t="str">
        <x:f>IF(AD209&lt;&gt;1,"",COUNTIFS($Z$202:$Z$215,"&lt;"&amp;Z209,$AD$202:$AD$215,1)+COUNTIFS($Z$202:$Z$215,Z209,$AB$202:$AB$215,"&gt;"&amp;AB209,$AD$202:$AD$215,1)+COUNTIFS($Z$202:$Z$215,Z209,$AB$202:$AB$215,AB209,$V$202:$V$215,"&gt;"&amp;V209,$AD$202:$AD$215,1)+COUNTIFS($Z$202:Z209,Z209,$AB$202:AB209,AB209,$V$202:V209,V209,$AD$202:AD209,1))</x:f>
      </x:c>
      <x:c r="AD209" s="2" t="n">
        <x:f>IF(OR(AA209="DEFENSIV",AA209="PRUDENT",AA209="MODERAT",AA209="RIDICAT"),1,0)</x:f>
        <x:v>0</x:v>
      </x:c>
      <x:c r="AE209" s="2" t="str">
        <x:f>IF(AD209&lt;&gt;1,"NO",IF(W209="PASS","YES",IF(W209="OOS PENDING","CONDITIONAL","NO")))</x:f>
        <x:v>NO</x:v>
      </x:c>
      <x:c r="AF209" s="2" t="n">
        <x:f>IF(AND(AD209=1,AC209=1,E209="LIVE"),1,0)</x:f>
        <x:v>0</x:v>
      </x:c>
      <x:c r="AG209" s="2" t="str">
        <x:f>IF(AF209&lt;&gt;1,"",'Dashboard'!P40)</x:f>
      </x:c>
      <x:c r="AH209" s="2" t="str">
        <x:f>IF(B209="","",IF(J209&lt;&gt;"PASS",'Motor_Meciuri'!J20,IF('Calibrare_Linii'!U13&lt;&gt;"VALID","Parametri linie invalizi",IF(L209&gt;'Config_v6'!$B$13,"Dispersie peste limita",IF(W209="WATCH","Failure peste limita",IF(AB209&lt;'Config_v6'!$B$16,"P finala sub prag",IF(V209&lt;'Config_v6'!$B$18,"Confidence sub prag",IF(E209="REPLAY","Exemplu retrospectiv; exclus din Top LIVE",IF(Y209="PASS","DEFENSIV validat",IF(W209="OOS PENDING","Eligibil; calibrare linie in monitorizare","Eligibil"))))))))))</x:f>
      </x:c>
      <x:c r="AI209" s="2" t="str">
        <x:f>IF(B209="","",'Calibrare_Linii'!V13)</x:f>
      </x:c>
      <x:c r="AJ209" s="2" t="str">
        <x:f>IF(B209="","",IF(AND('Calibrare_Linii'!T13="VALIDATED",AND('Calibrare_Linii'!H13=C209,ISNUMBER('Calibrare_Linii'!J13),'Calibrare_Linii'!J13&lt;='Input_Meci'!G20)),"DEFENSIVE VALIDATED",IF(AND('Calibrare_Linii'!S13="VALIDATED",AND('Calibrare_Linii'!H13=C209,ISNUMBER('Calibrare_Linii'!J13),'Calibrare_Linii'!J13&lt;='Input_Meci'!G20)),"TAIL VALIDATED","OOS PENDING")))</x:f>
      </x:c>
      <x:c r="AK209" s="2" t="n">
        <x:f>IF(J209&lt;&gt;"PASS",0,'Motor_Meciuri'!BR20)</x:f>
        <x:v>0</x:v>
      </x:c>
      <x:c r="AL209" s="2" t="n">
        <x:f>IF(J209&lt;&gt;"PASS",0,'Motor_Meciuri'!BS20)</x:f>
        <x:v>0</x:v>
      </x:c>
      <x:c r="AM209" s="2" t="n">
        <x:f>IF(J209&lt;&gt;"PASS",0,'Motor_Meciuri'!BT20)</x:f>
        <x:v>0</x:v>
      </x:c>
      <x:c r="AN209" s="2" t="str">
        <x:f>IF(M209="","",MAX(0,'Motor_Meciuri'!BF20-IF(L209&gt;'Config_v6'!$B$12,'Config_v6'!$B$37,IF(L209&gt;'Config_v6'!$B$11,'Config_v6'!$B$36,0))))</x:f>
      </x:c>
    </x:row>
    <x:row r="210" ht="21" customHeight="1">
      <x:c r="A210" s="2" t="n">
        <x:v>15</x:v>
      </x:c>
      <x:c r="B210" s="2" t="str">
        <x:f>IF('Motor_Meciuri'!A20="","",'Motor_Meciuri'!A20)</x:f>
      </x:c>
      <x:c r="C210" s="2" t="str">
        <x:f>IF(B210="","",'Motor_Meciuri'!B20)</x:f>
      </x:c>
      <x:c r="D210" s="2" t="str">
        <x:f>IF(B210="","",'Motor_Meciuri'!D20)</x:f>
      </x:c>
      <x:c r="E210" s="2" t="str">
        <x:f>IF(B210="","",'Motor_Meciuri'!E20)</x:f>
      </x:c>
      <x:c r="F210" s="2" t="str">
        <x:v>U12,5</x:v>
      </x:c>
      <x:c r="G210" s="2" t="str">
        <x:v>UNDER</x:v>
      </x:c>
      <x:c r="H210" s="2" t="n">
        <x:v>12</x:v>
      </x:c>
      <x:c r="I210" s="2" t="str">
        <x:f>IF(B210="","",'Motor_Meciuri'!H20)</x:f>
      </x:c>
      <x:c r="J210" s="2" t="str">
        <x:f>IF(B210="","",'Motor_Meciuri'!I20)</x:f>
      </x:c>
      <x:c r="K210" s="11" t="str">
        <x:f>IF(J210&lt;&gt;"PASS","",'Motor_Meciuri'!BD20)</x:f>
      </x:c>
      <x:c r="L210" s="11" t="str">
        <x:f>IF(J210&lt;&gt;"PASS","",'Motor_Meciuri'!AU20)</x:f>
      </x:c>
      <x:c r="M210" s="10" t="str">
        <x:f>IF(NOT(AND(J210="PASS",'Calibrare_Linii'!U14="VALID")),"",'Distributie'!AJ20)</x:f>
      </x:c>
      <x:c r="N210" s="10" t="str">
        <x:f>IF(M210="","",MAX(0.01,MIN(0.99,0.5+(M210-0.5)*'Motor_Meciuri'!BG20*'Calibrare_Linii'!D14)))</x:f>
      </x:c>
      <x:c r="O210" s="10" t="str">
        <x:f>IF(M210="","",1-M210)</x:f>
      </x:c>
      <x:c r="P210" s="10" t="str">
        <x:f>IF(OR(NOT(AND(J210="PASS",'Calibrare_Linii'!U14="VALID")),AK210=0),""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*('Istoric_Nativ'!$Q$6:$Q$405&gt;H210))/AK210)</x:f>
      </x:c>
      <x:c r="Q210" s="10" t="str">
        <x:f>IF(OR(NOT(AND(J210="PASS",'Calibrare_Linii'!U14="VALID")),AL210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M20)+((('Istoric_Nativ'!$E$6:$E$405='Input_Meci'!E20)+('Istoric_Nativ'!$F$6:$F$405='Input_Meci'!E20))&gt;0)*('Istoric_Nativ'!$D$6:$D$405&gt;='Motor_Meciuri'!BN20))&gt;0)*('Istoric_Nativ'!$Q$6:$Q$405&gt;H210))/AL210)</x:f>
      </x:c>
      <x:c r="R210" s="10" t="str">
        <x:f>IF(OR(NOT(AND(J210="PASS",'Calibrare_Linii'!U14="VALID")),AM210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O20)+((('Istoric_Nativ'!$E$6:$E$405='Input_Meci'!E20)+('Istoric_Nativ'!$F$6:$F$405='Input_Meci'!E20))&gt;0)*('Istoric_Nativ'!$D$6:$D$405&gt;='Motor_Meciuri'!BP20))&gt;0)*('Istoric_Nativ'!$Q$6:$Q$405&gt;H210))/AM210)</x:f>
      </x:c>
      <x:c r="S210" s="10" t="str">
        <x:f>IF(M210="","",MAX(O210,P210,Q210,R210))</x:f>
      </x:c>
      <x:c r="T210" s="11" t="str">
        <x:f>IF(M210="","",MIN(100,S210*100*'Config_v6'!$B$44+MIN(100,L210/'Config_v6'!$B$13*100)*'Config_v6'!$B$45+(100-'Motor_Meciuri'!BF20)*'Config_v6'!$B$46+'Motor_Meciuri'!BH20*100*'Config_v6'!$B$47))</x:f>
      </x:c>
      <x:c r="U210" s="2" t="str">
        <x:f>IF(T210="","",IF(T210&lt;=20,1,IF(T210&lt;=40,2,IF(T210&lt;=60,3,IF(T210&lt;=80,4,5)))))</x:f>
      </x:c>
      <x:c r="V210" s="2" t="str">
        <x:f>IF(M210="","",MAX(0,'Motor_Meciuri'!BF20-IF(W210="OOS PENDING",'Config_v6'!$B$35,0)-IF(L210&gt;'Config_v6'!$B$12,'Config_v6'!$B$37,IF(L210&gt;'Config_v6'!$B$11,'Config_v6'!$B$36,0))))</x:f>
      </x:c>
      <x:c r="W210" s="2" t="str">
        <x:f>IF(B210="","",IF(I210&lt;&gt;"READY","NOT RELEASED",IF(NOT(AND(J210="PASS",'Calibrare_Linii'!U14="VALID")),"INVALID",IF(NOT(AND('Calibrare_Linii'!S14="VALIDATED",AND('Calibrare_Linii'!H14=C210,ISNUMBER('Calibrare_Linii'!J14),'Calibrare_Linii'!J14&lt;='Input_Meci'!G20))),"OOS PENDING",IF(S210&lt;='Calibrare_Linii'!E14,"PASS",IF(S210&lt;='Calibrare_Linii'!F14,"PENALTY","WATCH"))))))</x:f>
      </x:c>
      <x:c r="X210" s="2" t="str">
        <x:f>IF(M210="","",IF(AND(AND(J210="PASS",'Calibrare_Linii'!U14="VALID"),'Motor_Meciuri'!K20=12,'Motor_Meciuri'!L20=12,'Motor_Meciuri'!M20="NO",'Motor_Meciuri'!BL20='Motor_Meciuri'!C20,AB210&gt;='Config_v6'!$B$50,AN210&gt;='Config_v6'!$B$51,T210&lt;='Config_v6'!$B$52,L210&lt;='Config_v6'!$B$53,ISNUMBER('Calibrare_Linii'!E14),S210&lt;='Calibrare_Linii'!E14,SUM(AK210:AM210)&gt;0),"CANDIDATE","NO"))</x:f>
      </x:c>
      <x:c r="Y210" s="2" t="str">
        <x:f>IF(B210="","",IF(I210&lt;&gt;"READY","NOT RELEASED",IF(AND(X210="CANDIDATE",V210&gt;='Config_v6'!$B$51,W210="PASS",'Calibrare_Linii'!T14="VALIDATED",AND('Calibrare_Linii'!H14=C210,ISNUMBER('Calibrare_Linii'!J14),'Calibrare_Linii'!J14&lt;='Input_Meci'!G20)),"PASS",IF(X210="CANDIDATE","OOS PENDING","FAIL"))))</x:f>
      </x:c>
      <x:c r="Z210" s="2" t="str">
        <x:f>IF(B210="","",IF(I210&lt;&gt;"READY","",IF(OR(NOT(AND(J210="PASS",'Calibrare_Linii'!U14="VALID")),L210&gt;'Config_v6'!$B$13,W210="WATCH"),5,IF(Y210="PASS",1,MIN(5,MAX('Config_v6'!$B$42,U210)+IF(W210="PENALTY",1,0))))))</x:f>
      </x:c>
      <x:c r="AA210" s="2" t="str">
        <x:f>IF(B210="","",IF(I210&lt;&gt;"READY","NOT RELEASED",IF(Z210=5,"NO BET",IF(OR(AB210&lt;'Config_v6'!$B$16,V210&lt;'Config_v6'!$B$18),"WATCH",IF(Z210=1,"DEFENSIV",IF(Z210=2,"PRUDENT",IF(Z210=3,"MODERAT","RIDICAT")))))))</x:f>
      </x:c>
      <x:c r="AB210" s="10" t="str">
        <x:f>IF(N210="","",MIN(N210,1-S210))</x:f>
      </x:c>
      <x:c r="AC210" s="2" t="str">
        <x:f>IF(AD210&lt;&gt;1,"",COUNTIFS($Z$202:$Z$215,"&lt;"&amp;Z210,$AD$202:$AD$215,1)+COUNTIFS($Z$202:$Z$215,Z210,$AB$202:$AB$215,"&gt;"&amp;AB210,$AD$202:$AD$215,1)+COUNTIFS($Z$202:$Z$215,Z210,$AB$202:$AB$215,AB210,$V$202:$V$215,"&gt;"&amp;V210,$AD$202:$AD$215,1)+COUNTIFS($Z$202:Z210,Z210,$AB$202:AB210,AB210,$V$202:V210,V210,$AD$202:AD210,1))</x:f>
      </x:c>
      <x:c r="AD210" s="2" t="n">
        <x:f>IF(OR(AA210="DEFENSIV",AA210="PRUDENT",AA210="MODERAT",AA210="RIDICAT"),1,0)</x:f>
        <x:v>0</x:v>
      </x:c>
      <x:c r="AE210" s="2" t="str">
        <x:f>IF(AD210&lt;&gt;1,"NO",IF(W210="PASS","YES",IF(W210="OOS PENDING","CONDITIONAL","NO")))</x:f>
        <x:v>NO</x:v>
      </x:c>
      <x:c r="AF210" s="2" t="n">
        <x:f>IF(AND(AD210=1,AC210=1,E210="LIVE"),1,0)</x:f>
        <x:v>0</x:v>
      </x:c>
      <x:c r="AG210" s="2" t="str">
        <x:f>IF(AF210&lt;&gt;1,"",'Dashboard'!P40)</x:f>
      </x:c>
      <x:c r="AH210" s="2" t="str">
        <x:f>IF(B210="","",IF(J210&lt;&gt;"PASS",'Motor_Meciuri'!J20,IF('Calibrare_Linii'!U14&lt;&gt;"VALID","Parametri linie invalizi",IF(L210&gt;'Config_v6'!$B$13,"Dispersie peste limita",IF(W210="WATCH","Failure peste limita",IF(AB210&lt;'Config_v6'!$B$16,"P finala sub prag",IF(V210&lt;'Config_v6'!$B$18,"Confidence sub prag",IF(E210="REPLAY","Exemplu retrospectiv; exclus din Top LIVE",IF(Y210="PASS","DEFENSIV validat",IF(W210="OOS PENDING","Eligibil; calibrare linie in monitorizare","Eligibil"))))))))))</x:f>
      </x:c>
      <x:c r="AI210" s="2" t="str">
        <x:f>IF(B210="","",'Calibrare_Linii'!V14)</x:f>
      </x:c>
      <x:c r="AJ210" s="2" t="str">
        <x:f>IF(B210="","",IF(AND('Calibrare_Linii'!T14="VALIDATED",AND('Calibrare_Linii'!H14=C210,ISNUMBER('Calibrare_Linii'!J14),'Calibrare_Linii'!J14&lt;='Input_Meci'!G20)),"DEFENSIVE VALIDATED",IF(AND('Calibrare_Linii'!S14="VALIDATED",AND('Calibrare_Linii'!H14=C210,ISNUMBER('Calibrare_Linii'!J14),'Calibrare_Linii'!J14&lt;='Input_Meci'!G20)),"TAIL VALIDATED","OOS PENDING")))</x:f>
      </x:c>
      <x:c r="AK210" s="2" t="n">
        <x:f>IF(J210&lt;&gt;"PASS",0,'Motor_Meciuri'!BR20)</x:f>
        <x:v>0</x:v>
      </x:c>
      <x:c r="AL210" s="2" t="n">
        <x:f>IF(J210&lt;&gt;"PASS",0,'Motor_Meciuri'!BS20)</x:f>
        <x:v>0</x:v>
      </x:c>
      <x:c r="AM210" s="2" t="n">
        <x:f>IF(J210&lt;&gt;"PASS",0,'Motor_Meciuri'!BT20)</x:f>
        <x:v>0</x:v>
      </x:c>
      <x:c r="AN210" s="2" t="str">
        <x:f>IF(M210="","",MAX(0,'Motor_Meciuri'!BF20-IF(L210&gt;'Config_v6'!$B$12,'Config_v6'!$B$37,IF(L210&gt;'Config_v6'!$B$11,'Config_v6'!$B$36,0))))</x:f>
      </x:c>
    </x:row>
    <x:row r="211" ht="21" customHeight="1">
      <x:c r="A211" s="2" t="n">
        <x:v>15</x:v>
      </x:c>
      <x:c r="B211" s="2" t="str">
        <x:f>IF('Motor_Meciuri'!A20="","",'Motor_Meciuri'!A20)</x:f>
      </x:c>
      <x:c r="C211" s="2" t="str">
        <x:f>IF(B211="","",'Motor_Meciuri'!B20)</x:f>
      </x:c>
      <x:c r="D211" s="2" t="str">
        <x:f>IF(B211="","",'Motor_Meciuri'!D20)</x:f>
      </x:c>
      <x:c r="E211" s="2" t="str">
        <x:f>IF(B211="","",'Motor_Meciuri'!E20)</x:f>
      </x:c>
      <x:c r="F211" s="2" t="str">
        <x:v>U13,5</x:v>
      </x:c>
      <x:c r="G211" s="2" t="str">
        <x:v>UNDER</x:v>
      </x:c>
      <x:c r="H211" s="2" t="n">
        <x:v>13</x:v>
      </x:c>
      <x:c r="I211" s="2" t="str">
        <x:f>IF(B211="","",'Motor_Meciuri'!H20)</x:f>
      </x:c>
      <x:c r="J211" s="2" t="str">
        <x:f>IF(B211="","",'Motor_Meciuri'!I20)</x:f>
      </x:c>
      <x:c r="K211" s="11" t="str">
        <x:f>IF(J211&lt;&gt;"PASS","",'Motor_Meciuri'!BD20)</x:f>
      </x:c>
      <x:c r="L211" s="11" t="str">
        <x:f>IF(J211&lt;&gt;"PASS","",'Motor_Meciuri'!AU20)</x:f>
      </x:c>
      <x:c r="M211" s="10" t="str">
        <x:f>IF(NOT(AND(J211="PASS",'Calibrare_Linii'!U15="VALID")),"",'Distributie'!AK20)</x:f>
      </x:c>
      <x:c r="N211" s="10" t="str">
        <x:f>IF(M211="","",MAX(0.01,MIN(0.99,0.5+(M211-0.5)*'Motor_Meciuri'!BG20*'Calibrare_Linii'!D15)))</x:f>
      </x:c>
      <x:c r="O211" s="10" t="str">
        <x:f>IF(M211="","",1-M211)</x:f>
      </x:c>
      <x:c r="P211" s="10" t="str">
        <x:f>IF(OR(NOT(AND(J211="PASS",'Calibrare_Linii'!U15="VALID")),AK211=0),""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*('Istoric_Nativ'!$Q$6:$Q$405&gt;H211))/AK211)</x:f>
      </x:c>
      <x:c r="Q211" s="10" t="str">
        <x:f>IF(OR(NOT(AND(J211="PASS",'Calibrare_Linii'!U15="VALID")),AL211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M20)+((('Istoric_Nativ'!$E$6:$E$405='Input_Meci'!E20)+('Istoric_Nativ'!$F$6:$F$405='Input_Meci'!E20))&gt;0)*('Istoric_Nativ'!$D$6:$D$405&gt;='Motor_Meciuri'!BN20))&gt;0)*('Istoric_Nativ'!$Q$6:$Q$405&gt;H211))/AL211)</x:f>
      </x:c>
      <x:c r="R211" s="10" t="str">
        <x:f>IF(OR(NOT(AND(J211="PASS",'Calibrare_Linii'!U15="VALID")),AM211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O20)+((('Istoric_Nativ'!$E$6:$E$405='Input_Meci'!E20)+('Istoric_Nativ'!$F$6:$F$405='Input_Meci'!E20))&gt;0)*('Istoric_Nativ'!$D$6:$D$405&gt;='Motor_Meciuri'!BP20))&gt;0)*('Istoric_Nativ'!$Q$6:$Q$405&gt;H211))/AM211)</x:f>
      </x:c>
      <x:c r="S211" s="10" t="str">
        <x:f>IF(M211="","",MAX(O211,P211,Q211,R211))</x:f>
      </x:c>
      <x:c r="T211" s="11" t="str">
        <x:f>IF(M211="","",MIN(100,S211*100*'Config_v6'!$B$44+MIN(100,L211/'Config_v6'!$B$13*100)*'Config_v6'!$B$45+(100-'Motor_Meciuri'!BF20)*'Config_v6'!$B$46+'Motor_Meciuri'!BH20*100*'Config_v6'!$B$47))</x:f>
      </x:c>
      <x:c r="U211" s="2" t="str">
        <x:f>IF(T211="","",IF(T211&lt;=20,1,IF(T211&lt;=40,2,IF(T211&lt;=60,3,IF(T211&lt;=80,4,5)))))</x:f>
      </x:c>
      <x:c r="V211" s="2" t="str">
        <x:f>IF(M211="","",MAX(0,'Motor_Meciuri'!BF20-IF(W211="OOS PENDING",'Config_v6'!$B$35,0)-IF(L211&gt;'Config_v6'!$B$12,'Config_v6'!$B$37,IF(L211&gt;'Config_v6'!$B$11,'Config_v6'!$B$36,0))))</x:f>
      </x:c>
      <x:c r="W211" s="2" t="str">
        <x:f>IF(B211="","",IF(I211&lt;&gt;"READY","NOT RELEASED",IF(NOT(AND(J211="PASS",'Calibrare_Linii'!U15="VALID")),"INVALID",IF(NOT(AND('Calibrare_Linii'!S15="VALIDATED",AND('Calibrare_Linii'!H15=C211,ISNUMBER('Calibrare_Linii'!J15),'Calibrare_Linii'!J15&lt;='Input_Meci'!G20))),"OOS PENDING",IF(S211&lt;='Calibrare_Linii'!E15,"PASS",IF(S211&lt;='Calibrare_Linii'!F15,"PENALTY","WATCH"))))))</x:f>
      </x:c>
      <x:c r="X211" s="2" t="str">
        <x:f>IF(M211="","",IF(AND(AND(J211="PASS",'Calibrare_Linii'!U15="VALID"),'Motor_Meciuri'!K20=12,'Motor_Meciuri'!L20=12,'Motor_Meciuri'!M20="NO",'Motor_Meciuri'!BL20='Motor_Meciuri'!C20,AB211&gt;='Config_v6'!$B$50,AN211&gt;='Config_v6'!$B$51,T211&lt;='Config_v6'!$B$52,L211&lt;='Config_v6'!$B$53,ISNUMBER('Calibrare_Linii'!E15),S211&lt;='Calibrare_Linii'!E15,SUM(AK211:AM211)&gt;0),"CANDIDATE","NO"))</x:f>
      </x:c>
      <x:c r="Y211" s="2" t="str">
        <x:f>IF(B211="","",IF(I211&lt;&gt;"READY","NOT RELEASED",IF(AND(X211="CANDIDATE",V211&gt;='Config_v6'!$B$51,W211="PASS",'Calibrare_Linii'!T15="VALIDATED",AND('Calibrare_Linii'!H15=C211,ISNUMBER('Calibrare_Linii'!J15),'Calibrare_Linii'!J15&lt;='Input_Meci'!G20)),"PASS",IF(X211="CANDIDATE","OOS PENDING","FAIL"))))</x:f>
      </x:c>
      <x:c r="Z211" s="2" t="str">
        <x:f>IF(B211="","",IF(I211&lt;&gt;"READY","",IF(OR(NOT(AND(J211="PASS",'Calibrare_Linii'!U15="VALID")),L211&gt;'Config_v6'!$B$13,W211="WATCH"),5,IF(Y211="PASS",1,MIN(5,MAX('Config_v6'!$B$42,U211)+IF(W211="PENALTY",1,0))))))</x:f>
      </x:c>
      <x:c r="AA211" s="2" t="str">
        <x:f>IF(B211="","",IF(I211&lt;&gt;"READY","NOT RELEASED",IF(Z211=5,"NO BET",IF(OR(AB211&lt;'Config_v6'!$B$16,V211&lt;'Config_v6'!$B$18),"WATCH",IF(Z211=1,"DEFENSIV",IF(Z211=2,"PRUDENT",IF(Z211=3,"MODERAT","RIDICAT")))))))</x:f>
      </x:c>
      <x:c r="AB211" s="10" t="str">
        <x:f>IF(N211="","",MIN(N211,1-S211))</x:f>
      </x:c>
      <x:c r="AC211" s="2" t="str">
        <x:f>IF(AD211&lt;&gt;1,"",COUNTIFS($Z$202:$Z$215,"&lt;"&amp;Z211,$AD$202:$AD$215,1)+COUNTIFS($Z$202:$Z$215,Z211,$AB$202:$AB$215,"&gt;"&amp;AB211,$AD$202:$AD$215,1)+COUNTIFS($Z$202:$Z$215,Z211,$AB$202:$AB$215,AB211,$V$202:$V$215,"&gt;"&amp;V211,$AD$202:$AD$215,1)+COUNTIFS($Z$202:Z211,Z211,$AB$202:AB211,AB211,$V$202:V211,V211,$AD$202:AD211,1))</x:f>
      </x:c>
      <x:c r="AD211" s="2" t="n">
        <x:f>IF(OR(AA211="DEFENSIV",AA211="PRUDENT",AA211="MODERAT",AA211="RIDICAT"),1,0)</x:f>
        <x:v>0</x:v>
      </x:c>
      <x:c r="AE211" s="2" t="str">
        <x:f>IF(AD211&lt;&gt;1,"NO",IF(W211="PASS","YES",IF(W211="OOS PENDING","CONDITIONAL","NO")))</x:f>
        <x:v>NO</x:v>
      </x:c>
      <x:c r="AF211" s="2" t="n">
        <x:f>IF(AND(AD211=1,AC211=1,E211="LIVE"),1,0)</x:f>
        <x:v>0</x:v>
      </x:c>
      <x:c r="AG211" s="2" t="str">
        <x:f>IF(AF211&lt;&gt;1,"",'Dashboard'!P40)</x:f>
      </x:c>
      <x:c r="AH211" s="2" t="str">
        <x:f>IF(B211="","",IF(J211&lt;&gt;"PASS",'Motor_Meciuri'!J20,IF('Calibrare_Linii'!U15&lt;&gt;"VALID","Parametri linie invalizi",IF(L211&gt;'Config_v6'!$B$13,"Dispersie peste limita",IF(W211="WATCH","Failure peste limita",IF(AB211&lt;'Config_v6'!$B$16,"P finala sub prag",IF(V211&lt;'Config_v6'!$B$18,"Confidence sub prag",IF(E211="REPLAY","Exemplu retrospectiv; exclus din Top LIVE",IF(Y211="PASS","DEFENSIV validat",IF(W211="OOS PENDING","Eligibil; calibrare linie in monitorizare","Eligibil"))))))))))</x:f>
      </x:c>
      <x:c r="AI211" s="2" t="str">
        <x:f>IF(B211="","",'Calibrare_Linii'!V15)</x:f>
      </x:c>
      <x:c r="AJ211" s="2" t="str">
        <x:f>IF(B211="","",IF(AND('Calibrare_Linii'!T15="VALIDATED",AND('Calibrare_Linii'!H15=C211,ISNUMBER('Calibrare_Linii'!J15),'Calibrare_Linii'!J15&lt;='Input_Meci'!G20)),"DEFENSIVE VALIDATED",IF(AND('Calibrare_Linii'!S15="VALIDATED",AND('Calibrare_Linii'!H15=C211,ISNUMBER('Calibrare_Linii'!J15),'Calibrare_Linii'!J15&lt;='Input_Meci'!G20)),"TAIL VALIDATED","OOS PENDING")))</x:f>
      </x:c>
      <x:c r="AK211" s="2" t="n">
        <x:f>IF(J211&lt;&gt;"PASS",0,'Motor_Meciuri'!BR20)</x:f>
        <x:v>0</x:v>
      </x:c>
      <x:c r="AL211" s="2" t="n">
        <x:f>IF(J211&lt;&gt;"PASS",0,'Motor_Meciuri'!BS20)</x:f>
        <x:v>0</x:v>
      </x:c>
      <x:c r="AM211" s="2" t="n">
        <x:f>IF(J211&lt;&gt;"PASS",0,'Motor_Meciuri'!BT20)</x:f>
        <x:v>0</x:v>
      </x:c>
      <x:c r="AN211" s="2" t="str">
        <x:f>IF(M211="","",MAX(0,'Motor_Meciuri'!BF20-IF(L211&gt;'Config_v6'!$B$12,'Config_v6'!$B$37,IF(L211&gt;'Config_v6'!$B$11,'Config_v6'!$B$36,0))))</x:f>
      </x:c>
    </x:row>
    <x:row r="212" ht="21" customHeight="1">
      <x:c r="A212" s="2" t="n">
        <x:v>15</x:v>
      </x:c>
      <x:c r="B212" s="2" t="str">
        <x:f>IF('Motor_Meciuri'!A20="","",'Motor_Meciuri'!A20)</x:f>
      </x:c>
      <x:c r="C212" s="2" t="str">
        <x:f>IF(B212="","",'Motor_Meciuri'!B20)</x:f>
      </x:c>
      <x:c r="D212" s="2" t="str">
        <x:f>IF(B212="","",'Motor_Meciuri'!D20)</x:f>
      </x:c>
      <x:c r="E212" s="2" t="str">
        <x:f>IF(B212="","",'Motor_Meciuri'!E20)</x:f>
      </x:c>
      <x:c r="F212" s="2" t="str">
        <x:v>U14,5</x:v>
      </x:c>
      <x:c r="G212" s="2" t="str">
        <x:v>UNDER</x:v>
      </x:c>
      <x:c r="H212" s="2" t="n">
        <x:v>14</x:v>
      </x:c>
      <x:c r="I212" s="2" t="str">
        <x:f>IF(B212="","",'Motor_Meciuri'!H20)</x:f>
      </x:c>
      <x:c r="J212" s="2" t="str">
        <x:f>IF(B212="","",'Motor_Meciuri'!I20)</x:f>
      </x:c>
      <x:c r="K212" s="11" t="str">
        <x:f>IF(J212&lt;&gt;"PASS","",'Motor_Meciuri'!BD20)</x:f>
      </x:c>
      <x:c r="L212" s="11" t="str">
        <x:f>IF(J212&lt;&gt;"PASS","",'Motor_Meciuri'!AU20)</x:f>
      </x:c>
      <x:c r="M212" s="10" t="str">
        <x:f>IF(NOT(AND(J212="PASS",'Calibrare_Linii'!U16="VALID")),"",'Distributie'!AL20)</x:f>
      </x:c>
      <x:c r="N212" s="10" t="str">
        <x:f>IF(M212="","",MAX(0.01,MIN(0.99,0.5+(M212-0.5)*'Motor_Meciuri'!BG20*'Calibrare_Linii'!D16)))</x:f>
      </x:c>
      <x:c r="O212" s="10" t="str">
        <x:f>IF(M212="","",1-M212)</x:f>
      </x:c>
      <x:c r="P212" s="10" t="str">
        <x:f>IF(OR(NOT(AND(J212="PASS",'Calibrare_Linii'!U16="VALID")),AK212=0),""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*('Istoric_Nativ'!$Q$6:$Q$405&gt;H212))/AK212)</x:f>
      </x:c>
      <x:c r="Q212" s="10" t="str">
        <x:f>IF(OR(NOT(AND(J212="PASS",'Calibrare_Linii'!U16="VALID")),AL212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M20)+((('Istoric_Nativ'!$E$6:$E$405='Input_Meci'!E20)+('Istoric_Nativ'!$F$6:$F$405='Input_Meci'!E20))&gt;0)*('Istoric_Nativ'!$D$6:$D$405&gt;='Motor_Meciuri'!BN20))&gt;0)*('Istoric_Nativ'!$Q$6:$Q$405&gt;H212))/AL212)</x:f>
      </x:c>
      <x:c r="R212" s="10" t="str">
        <x:f>IF(OR(NOT(AND(J212="PASS",'Calibrare_Linii'!U16="VALID")),AM212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O20)+((('Istoric_Nativ'!$E$6:$E$405='Input_Meci'!E20)+('Istoric_Nativ'!$F$6:$F$405='Input_Meci'!E20))&gt;0)*('Istoric_Nativ'!$D$6:$D$405&gt;='Motor_Meciuri'!BP20))&gt;0)*('Istoric_Nativ'!$Q$6:$Q$405&gt;H212))/AM212)</x:f>
      </x:c>
      <x:c r="S212" s="10" t="str">
        <x:f>IF(M212="","",MAX(O212,P212,Q212,R212))</x:f>
      </x:c>
      <x:c r="T212" s="11" t="str">
        <x:f>IF(M212="","",MIN(100,S212*100*'Config_v6'!$B$44+MIN(100,L212/'Config_v6'!$B$13*100)*'Config_v6'!$B$45+(100-'Motor_Meciuri'!BF20)*'Config_v6'!$B$46+'Motor_Meciuri'!BH20*100*'Config_v6'!$B$47))</x:f>
      </x:c>
      <x:c r="U212" s="2" t="str">
        <x:f>IF(T212="","",IF(T212&lt;=20,1,IF(T212&lt;=40,2,IF(T212&lt;=60,3,IF(T212&lt;=80,4,5)))))</x:f>
      </x:c>
      <x:c r="V212" s="2" t="str">
        <x:f>IF(M212="","",MAX(0,'Motor_Meciuri'!BF20-IF(W212="OOS PENDING",'Config_v6'!$B$35,0)-IF(L212&gt;'Config_v6'!$B$12,'Config_v6'!$B$37,IF(L212&gt;'Config_v6'!$B$11,'Config_v6'!$B$36,0))))</x:f>
      </x:c>
      <x:c r="W212" s="2" t="str">
        <x:f>IF(B212="","",IF(I212&lt;&gt;"READY","NOT RELEASED",IF(NOT(AND(J212="PASS",'Calibrare_Linii'!U16="VALID")),"INVALID",IF(NOT(AND('Calibrare_Linii'!S16="VALIDATED",AND('Calibrare_Linii'!H16=C212,ISNUMBER('Calibrare_Linii'!J16),'Calibrare_Linii'!J16&lt;='Input_Meci'!G20))),"OOS PENDING",IF(S212&lt;='Calibrare_Linii'!E16,"PASS",IF(S212&lt;='Calibrare_Linii'!F16,"PENALTY","WATCH"))))))</x:f>
      </x:c>
      <x:c r="X212" s="2" t="str">
        <x:f>IF(M212="","",IF(AND(AND(J212="PASS",'Calibrare_Linii'!U16="VALID"),'Motor_Meciuri'!K20=12,'Motor_Meciuri'!L20=12,'Motor_Meciuri'!M20="NO",'Motor_Meciuri'!BL20='Motor_Meciuri'!C20,AB212&gt;='Config_v6'!$B$50,AN212&gt;='Config_v6'!$B$51,T212&lt;='Config_v6'!$B$52,L212&lt;='Config_v6'!$B$53,ISNUMBER('Calibrare_Linii'!E16),S212&lt;='Calibrare_Linii'!E16,SUM(AK212:AM212)&gt;0),"CANDIDATE","NO"))</x:f>
      </x:c>
      <x:c r="Y212" s="2" t="str">
        <x:f>IF(B212="","",IF(I212&lt;&gt;"READY","NOT RELEASED",IF(AND(X212="CANDIDATE",V212&gt;='Config_v6'!$B$51,W212="PASS",'Calibrare_Linii'!T16="VALIDATED",AND('Calibrare_Linii'!H16=C212,ISNUMBER('Calibrare_Linii'!J16),'Calibrare_Linii'!J16&lt;='Input_Meci'!G20)),"PASS",IF(X212="CANDIDATE","OOS PENDING","FAIL"))))</x:f>
      </x:c>
      <x:c r="Z212" s="2" t="str">
        <x:f>IF(B212="","",IF(I212&lt;&gt;"READY","",IF(OR(NOT(AND(J212="PASS",'Calibrare_Linii'!U16="VALID")),L212&gt;'Config_v6'!$B$13,W212="WATCH"),5,IF(Y212="PASS",1,MIN(5,MAX('Config_v6'!$B$42,U212)+IF(W212="PENALTY",1,0))))))</x:f>
      </x:c>
      <x:c r="AA212" s="2" t="str">
        <x:f>IF(B212="","",IF(I212&lt;&gt;"READY","NOT RELEASED",IF(Z212=5,"NO BET",IF(OR(AB212&lt;'Config_v6'!$B$16,V212&lt;'Config_v6'!$B$18),"WATCH",IF(Z212=1,"DEFENSIV",IF(Z212=2,"PRUDENT",IF(Z212=3,"MODERAT","RIDICAT")))))))</x:f>
      </x:c>
      <x:c r="AB212" s="10" t="str">
        <x:f>IF(N212="","",MIN(N212,1-S212))</x:f>
      </x:c>
      <x:c r="AC212" s="2" t="str">
        <x:f>IF(AD212&lt;&gt;1,"",COUNTIFS($Z$202:$Z$215,"&lt;"&amp;Z212,$AD$202:$AD$215,1)+COUNTIFS($Z$202:$Z$215,Z212,$AB$202:$AB$215,"&gt;"&amp;AB212,$AD$202:$AD$215,1)+COUNTIFS($Z$202:$Z$215,Z212,$AB$202:$AB$215,AB212,$V$202:$V$215,"&gt;"&amp;V212,$AD$202:$AD$215,1)+COUNTIFS($Z$202:Z212,Z212,$AB$202:AB212,AB212,$V$202:V212,V212,$AD$202:AD212,1))</x:f>
      </x:c>
      <x:c r="AD212" s="2" t="n">
        <x:f>IF(OR(AA212="DEFENSIV",AA212="PRUDENT",AA212="MODERAT",AA212="RIDICAT"),1,0)</x:f>
        <x:v>0</x:v>
      </x:c>
      <x:c r="AE212" s="2" t="str">
        <x:f>IF(AD212&lt;&gt;1,"NO",IF(W212="PASS","YES",IF(W212="OOS PENDING","CONDITIONAL","NO")))</x:f>
        <x:v>NO</x:v>
      </x:c>
      <x:c r="AF212" s="2" t="n">
        <x:f>IF(AND(AD212=1,AC212=1,E212="LIVE"),1,0)</x:f>
        <x:v>0</x:v>
      </x:c>
      <x:c r="AG212" s="2" t="str">
        <x:f>IF(AF212&lt;&gt;1,"",'Dashboard'!P40)</x:f>
      </x:c>
      <x:c r="AH212" s="2" t="str">
        <x:f>IF(B212="","",IF(J212&lt;&gt;"PASS",'Motor_Meciuri'!J20,IF('Calibrare_Linii'!U16&lt;&gt;"VALID","Parametri linie invalizi",IF(L212&gt;'Config_v6'!$B$13,"Dispersie peste limita",IF(W212="WATCH","Failure peste limita",IF(AB212&lt;'Config_v6'!$B$16,"P finala sub prag",IF(V212&lt;'Config_v6'!$B$18,"Confidence sub prag",IF(E212="REPLAY","Exemplu retrospectiv; exclus din Top LIVE",IF(Y212="PASS","DEFENSIV validat",IF(W212="OOS PENDING","Eligibil; calibrare linie in monitorizare","Eligibil"))))))))))</x:f>
      </x:c>
      <x:c r="AI212" s="2" t="str">
        <x:f>IF(B212="","",'Calibrare_Linii'!V16)</x:f>
      </x:c>
      <x:c r="AJ212" s="2" t="str">
        <x:f>IF(B212="","",IF(AND('Calibrare_Linii'!T16="VALIDATED",AND('Calibrare_Linii'!H16=C212,ISNUMBER('Calibrare_Linii'!J16),'Calibrare_Linii'!J16&lt;='Input_Meci'!G20)),"DEFENSIVE VALIDATED",IF(AND('Calibrare_Linii'!S16="VALIDATED",AND('Calibrare_Linii'!H16=C212,ISNUMBER('Calibrare_Linii'!J16),'Calibrare_Linii'!J16&lt;='Input_Meci'!G20)),"TAIL VALIDATED","OOS PENDING")))</x:f>
      </x:c>
      <x:c r="AK212" s="2" t="n">
        <x:f>IF(J212&lt;&gt;"PASS",0,'Motor_Meciuri'!BR20)</x:f>
        <x:v>0</x:v>
      </x:c>
      <x:c r="AL212" s="2" t="n">
        <x:f>IF(J212&lt;&gt;"PASS",0,'Motor_Meciuri'!BS20)</x:f>
        <x:v>0</x:v>
      </x:c>
      <x:c r="AM212" s="2" t="n">
        <x:f>IF(J212&lt;&gt;"PASS",0,'Motor_Meciuri'!BT20)</x:f>
        <x:v>0</x:v>
      </x:c>
      <x:c r="AN212" s="2" t="str">
        <x:f>IF(M212="","",MAX(0,'Motor_Meciuri'!BF20-IF(L212&gt;'Config_v6'!$B$12,'Config_v6'!$B$37,IF(L212&gt;'Config_v6'!$B$11,'Config_v6'!$B$36,0))))</x:f>
      </x:c>
    </x:row>
    <x:row r="213" ht="21" customHeight="1">
      <x:c r="A213" s="2" t="n">
        <x:v>15</x:v>
      </x:c>
      <x:c r="B213" s="2" t="str">
        <x:f>IF('Motor_Meciuri'!A20="","",'Motor_Meciuri'!A20)</x:f>
      </x:c>
      <x:c r="C213" s="2" t="str">
        <x:f>IF(B213="","",'Motor_Meciuri'!B20)</x:f>
      </x:c>
      <x:c r="D213" s="2" t="str">
        <x:f>IF(B213="","",'Motor_Meciuri'!D20)</x:f>
      </x:c>
      <x:c r="E213" s="2" t="str">
        <x:f>IF(B213="","",'Motor_Meciuri'!E20)</x:f>
      </x:c>
      <x:c r="F213" s="2" t="str">
        <x:v>U15,5</x:v>
      </x:c>
      <x:c r="G213" s="2" t="str">
        <x:v>UNDER</x:v>
      </x:c>
      <x:c r="H213" s="2" t="n">
        <x:v>15</x:v>
      </x:c>
      <x:c r="I213" s="2" t="str">
        <x:f>IF(B213="","",'Motor_Meciuri'!H20)</x:f>
      </x:c>
      <x:c r="J213" s="2" t="str">
        <x:f>IF(B213="","",'Motor_Meciuri'!I20)</x:f>
      </x:c>
      <x:c r="K213" s="11" t="str">
        <x:f>IF(J213&lt;&gt;"PASS","",'Motor_Meciuri'!BD20)</x:f>
      </x:c>
      <x:c r="L213" s="11" t="str">
        <x:f>IF(J213&lt;&gt;"PASS","",'Motor_Meciuri'!AU20)</x:f>
      </x:c>
      <x:c r="M213" s="10" t="str">
        <x:f>IF(NOT(AND(J213="PASS",'Calibrare_Linii'!U17="VALID")),"",'Distributie'!AM20)</x:f>
      </x:c>
      <x:c r="N213" s="10" t="str">
        <x:f>IF(M213="","",MAX(0.01,MIN(0.99,0.5+(M213-0.5)*'Motor_Meciuri'!BG20*'Calibrare_Linii'!D17)))</x:f>
      </x:c>
      <x:c r="O213" s="10" t="str">
        <x:f>IF(M213="","",1-M213)</x:f>
      </x:c>
      <x:c r="P213" s="10" t="str">
        <x:f>IF(OR(NOT(AND(J213="PASS",'Calibrare_Linii'!U17="VALID")),AK213=0),""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*('Istoric_Nativ'!$Q$6:$Q$405&gt;H213))/AK213)</x:f>
      </x:c>
      <x:c r="Q213" s="10" t="str">
        <x:f>IF(OR(NOT(AND(J213="PASS",'Calibrare_Linii'!U17="VALID")),AL213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M20)+((('Istoric_Nativ'!$E$6:$E$405='Input_Meci'!E20)+('Istoric_Nativ'!$F$6:$F$405='Input_Meci'!E20))&gt;0)*('Istoric_Nativ'!$D$6:$D$405&gt;='Motor_Meciuri'!BN20))&gt;0)*('Istoric_Nativ'!$Q$6:$Q$405&gt;H213))/AL213)</x:f>
      </x:c>
      <x:c r="R213" s="10" t="str">
        <x:f>IF(OR(NOT(AND(J213="PASS",'Calibrare_Linii'!U17="VALID")),AM213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O20)+((('Istoric_Nativ'!$E$6:$E$405='Input_Meci'!E20)+('Istoric_Nativ'!$F$6:$F$405='Input_Meci'!E20))&gt;0)*('Istoric_Nativ'!$D$6:$D$405&gt;='Motor_Meciuri'!BP20))&gt;0)*('Istoric_Nativ'!$Q$6:$Q$405&gt;H213))/AM213)</x:f>
      </x:c>
      <x:c r="S213" s="10" t="str">
        <x:f>IF(M213="","",MAX(O213,P213,Q213,R213))</x:f>
      </x:c>
      <x:c r="T213" s="11" t="str">
        <x:f>IF(M213="","",MIN(100,S213*100*'Config_v6'!$B$44+MIN(100,L213/'Config_v6'!$B$13*100)*'Config_v6'!$B$45+(100-'Motor_Meciuri'!BF20)*'Config_v6'!$B$46+'Motor_Meciuri'!BH20*100*'Config_v6'!$B$47))</x:f>
      </x:c>
      <x:c r="U213" s="2" t="str">
        <x:f>IF(T213="","",IF(T213&lt;=20,1,IF(T213&lt;=40,2,IF(T213&lt;=60,3,IF(T213&lt;=80,4,5)))))</x:f>
      </x:c>
      <x:c r="V213" s="2" t="str">
        <x:f>IF(M213="","",MAX(0,'Motor_Meciuri'!BF20-IF(W213="OOS PENDING",'Config_v6'!$B$35,0)-IF(L213&gt;'Config_v6'!$B$12,'Config_v6'!$B$37,IF(L213&gt;'Config_v6'!$B$11,'Config_v6'!$B$36,0))))</x:f>
      </x:c>
      <x:c r="W213" s="2" t="str">
        <x:f>IF(B213="","",IF(I213&lt;&gt;"READY","NOT RELEASED",IF(NOT(AND(J213="PASS",'Calibrare_Linii'!U17="VALID")),"INVALID",IF(NOT(AND('Calibrare_Linii'!S17="VALIDATED",AND('Calibrare_Linii'!H17=C213,ISNUMBER('Calibrare_Linii'!J17),'Calibrare_Linii'!J17&lt;='Input_Meci'!G20))),"OOS PENDING",IF(S213&lt;='Calibrare_Linii'!E17,"PASS",IF(S213&lt;='Calibrare_Linii'!F17,"PENALTY","WATCH"))))))</x:f>
      </x:c>
      <x:c r="X213" s="2" t="str">
        <x:f>IF(M213="","",IF(AND(AND(J213="PASS",'Calibrare_Linii'!U17="VALID"),'Motor_Meciuri'!K20=12,'Motor_Meciuri'!L20=12,'Motor_Meciuri'!M20="NO",'Motor_Meciuri'!BL20='Motor_Meciuri'!C20,AB213&gt;='Config_v6'!$B$50,AN213&gt;='Config_v6'!$B$51,T213&lt;='Config_v6'!$B$52,L213&lt;='Config_v6'!$B$53,ISNUMBER('Calibrare_Linii'!E17),S213&lt;='Calibrare_Linii'!E17,SUM(AK213:AM213)&gt;0),"CANDIDATE","NO"))</x:f>
      </x:c>
      <x:c r="Y213" s="2" t="str">
        <x:f>IF(B213="","",IF(I213&lt;&gt;"READY","NOT RELEASED",IF(AND(X213="CANDIDATE",V213&gt;='Config_v6'!$B$51,W213="PASS",'Calibrare_Linii'!T17="VALIDATED",AND('Calibrare_Linii'!H17=C213,ISNUMBER('Calibrare_Linii'!J17),'Calibrare_Linii'!J17&lt;='Input_Meci'!G20)),"PASS",IF(X213="CANDIDATE","OOS PENDING","FAIL"))))</x:f>
      </x:c>
      <x:c r="Z213" s="2" t="str">
        <x:f>IF(B213="","",IF(I213&lt;&gt;"READY","",IF(OR(NOT(AND(J213="PASS",'Calibrare_Linii'!U17="VALID")),L213&gt;'Config_v6'!$B$13,W213="WATCH"),5,IF(Y213="PASS",1,MIN(5,MAX('Config_v6'!$B$42,U213)+IF(W213="PENALTY",1,0))))))</x:f>
      </x:c>
      <x:c r="AA213" s="2" t="str">
        <x:f>IF(B213="","",IF(I213&lt;&gt;"READY","NOT RELEASED",IF(Z213=5,"NO BET",IF(OR(AB213&lt;'Config_v6'!$B$16,V213&lt;'Config_v6'!$B$18),"WATCH",IF(Z213=1,"DEFENSIV",IF(Z213=2,"PRUDENT",IF(Z213=3,"MODERAT","RIDICAT")))))))</x:f>
      </x:c>
      <x:c r="AB213" s="10" t="str">
        <x:f>IF(N213="","",MIN(N213,1-S213))</x:f>
      </x:c>
      <x:c r="AC213" s="2" t="str">
        <x:f>IF(AD213&lt;&gt;1,"",COUNTIFS($Z$202:$Z$215,"&lt;"&amp;Z213,$AD$202:$AD$215,1)+COUNTIFS($Z$202:$Z$215,Z213,$AB$202:$AB$215,"&gt;"&amp;AB213,$AD$202:$AD$215,1)+COUNTIFS($Z$202:$Z$215,Z213,$AB$202:$AB$215,AB213,$V$202:$V$215,"&gt;"&amp;V213,$AD$202:$AD$215,1)+COUNTIFS($Z$202:Z213,Z213,$AB$202:AB213,AB213,$V$202:V213,V213,$AD$202:AD213,1))</x:f>
      </x:c>
      <x:c r="AD213" s="2" t="n">
        <x:f>IF(OR(AA213="DEFENSIV",AA213="PRUDENT",AA213="MODERAT",AA213="RIDICAT"),1,0)</x:f>
        <x:v>0</x:v>
      </x:c>
      <x:c r="AE213" s="2" t="str">
        <x:f>IF(AD213&lt;&gt;1,"NO",IF(W213="PASS","YES",IF(W213="OOS PENDING","CONDITIONAL","NO")))</x:f>
        <x:v>NO</x:v>
      </x:c>
      <x:c r="AF213" s="2" t="n">
        <x:f>IF(AND(AD213=1,AC213=1,E213="LIVE"),1,0)</x:f>
        <x:v>0</x:v>
      </x:c>
      <x:c r="AG213" s="2" t="str">
        <x:f>IF(AF213&lt;&gt;1,"",'Dashboard'!P40)</x:f>
      </x:c>
      <x:c r="AH213" s="2" t="str">
        <x:f>IF(B213="","",IF(J213&lt;&gt;"PASS",'Motor_Meciuri'!J20,IF('Calibrare_Linii'!U17&lt;&gt;"VALID","Parametri linie invalizi",IF(L213&gt;'Config_v6'!$B$13,"Dispersie peste limita",IF(W213="WATCH","Failure peste limita",IF(AB213&lt;'Config_v6'!$B$16,"P finala sub prag",IF(V213&lt;'Config_v6'!$B$18,"Confidence sub prag",IF(E213="REPLAY","Exemplu retrospectiv; exclus din Top LIVE",IF(Y213="PASS","DEFENSIV validat",IF(W213="OOS PENDING","Eligibil; calibrare linie in monitorizare","Eligibil"))))))))))</x:f>
      </x:c>
      <x:c r="AI213" s="2" t="str">
        <x:f>IF(B213="","",'Calibrare_Linii'!V17)</x:f>
      </x:c>
      <x:c r="AJ213" s="2" t="str">
        <x:f>IF(B213="","",IF(AND('Calibrare_Linii'!T17="VALIDATED",AND('Calibrare_Linii'!H17=C213,ISNUMBER('Calibrare_Linii'!J17),'Calibrare_Linii'!J17&lt;='Input_Meci'!G20)),"DEFENSIVE VALIDATED",IF(AND('Calibrare_Linii'!S17="VALIDATED",AND('Calibrare_Linii'!H17=C213,ISNUMBER('Calibrare_Linii'!J17),'Calibrare_Linii'!J17&lt;='Input_Meci'!G20)),"TAIL VALIDATED","OOS PENDING")))</x:f>
      </x:c>
      <x:c r="AK213" s="2" t="n">
        <x:f>IF(J213&lt;&gt;"PASS",0,'Motor_Meciuri'!BR20)</x:f>
        <x:v>0</x:v>
      </x:c>
      <x:c r="AL213" s="2" t="n">
        <x:f>IF(J213&lt;&gt;"PASS",0,'Motor_Meciuri'!BS20)</x:f>
        <x:v>0</x:v>
      </x:c>
      <x:c r="AM213" s="2" t="n">
        <x:f>IF(J213&lt;&gt;"PASS",0,'Motor_Meciuri'!BT20)</x:f>
        <x:v>0</x:v>
      </x:c>
      <x:c r="AN213" s="2" t="str">
        <x:f>IF(M213="","",MAX(0,'Motor_Meciuri'!BF20-IF(L213&gt;'Config_v6'!$B$12,'Config_v6'!$B$37,IF(L213&gt;'Config_v6'!$B$11,'Config_v6'!$B$36,0))))</x:f>
      </x:c>
    </x:row>
    <x:row r="214" ht="21" customHeight="1">
      <x:c r="A214" s="2" t="n">
        <x:v>15</x:v>
      </x:c>
      <x:c r="B214" s="2" t="str">
        <x:f>IF('Motor_Meciuri'!A20="","",'Motor_Meciuri'!A20)</x:f>
      </x:c>
      <x:c r="C214" s="2" t="str">
        <x:f>IF(B214="","",'Motor_Meciuri'!B20)</x:f>
      </x:c>
      <x:c r="D214" s="2" t="str">
        <x:f>IF(B214="","",'Motor_Meciuri'!D20)</x:f>
      </x:c>
      <x:c r="E214" s="2" t="str">
        <x:f>IF(B214="","",'Motor_Meciuri'!E20)</x:f>
      </x:c>
      <x:c r="F214" s="2" t="str">
        <x:v>U16,5</x:v>
      </x:c>
      <x:c r="G214" s="2" t="str">
        <x:v>UNDER</x:v>
      </x:c>
      <x:c r="H214" s="2" t="n">
        <x:v>16</x:v>
      </x:c>
      <x:c r="I214" s="2" t="str">
        <x:f>IF(B214="","",'Motor_Meciuri'!H20)</x:f>
      </x:c>
      <x:c r="J214" s="2" t="str">
        <x:f>IF(B214="","",'Motor_Meciuri'!I20)</x:f>
      </x:c>
      <x:c r="K214" s="11" t="str">
        <x:f>IF(J214&lt;&gt;"PASS","",'Motor_Meciuri'!BD20)</x:f>
      </x:c>
      <x:c r="L214" s="11" t="str">
        <x:f>IF(J214&lt;&gt;"PASS","",'Motor_Meciuri'!AU20)</x:f>
      </x:c>
      <x:c r="M214" s="10" t="str">
        <x:f>IF(NOT(AND(J214="PASS",'Calibrare_Linii'!U18="VALID")),"",'Distributie'!AN20)</x:f>
      </x:c>
      <x:c r="N214" s="10" t="str">
        <x:f>IF(M214="","",MAX(0.01,MIN(0.99,0.5+(M214-0.5)*'Motor_Meciuri'!BG20*'Calibrare_Linii'!D18)))</x:f>
      </x:c>
      <x:c r="O214" s="10" t="str">
        <x:f>IF(M214="","",1-M214)</x:f>
      </x:c>
      <x:c r="P214" s="10" t="str">
        <x:f>IF(OR(NOT(AND(J214="PASS",'Calibrare_Linii'!U18="VALID")),AK214=0),""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*('Istoric_Nativ'!$Q$6:$Q$405&gt;H214))/AK214)</x:f>
      </x:c>
      <x:c r="Q214" s="10" t="str">
        <x:f>IF(OR(NOT(AND(J214="PASS",'Calibrare_Linii'!U18="VALID")),AL214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M20)+((('Istoric_Nativ'!$E$6:$E$405='Input_Meci'!E20)+('Istoric_Nativ'!$F$6:$F$405='Input_Meci'!E20))&gt;0)*('Istoric_Nativ'!$D$6:$D$405&gt;='Motor_Meciuri'!BN20))&gt;0)*('Istoric_Nativ'!$Q$6:$Q$405&gt;H214))/AL214)</x:f>
      </x:c>
      <x:c r="R214" s="10" t="str">
        <x:f>IF(OR(NOT(AND(J214="PASS",'Calibrare_Linii'!U18="VALID")),AM214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O20)+((('Istoric_Nativ'!$E$6:$E$405='Input_Meci'!E20)+('Istoric_Nativ'!$F$6:$F$405='Input_Meci'!E20))&gt;0)*('Istoric_Nativ'!$D$6:$D$405&gt;='Motor_Meciuri'!BP20))&gt;0)*('Istoric_Nativ'!$Q$6:$Q$405&gt;H214))/AM214)</x:f>
      </x:c>
      <x:c r="S214" s="10" t="str">
        <x:f>IF(M214="","",MAX(O214,P214,Q214,R214))</x:f>
      </x:c>
      <x:c r="T214" s="11" t="str">
        <x:f>IF(M214="","",MIN(100,S214*100*'Config_v6'!$B$44+MIN(100,L214/'Config_v6'!$B$13*100)*'Config_v6'!$B$45+(100-'Motor_Meciuri'!BF20)*'Config_v6'!$B$46+'Motor_Meciuri'!BH20*100*'Config_v6'!$B$47))</x:f>
      </x:c>
      <x:c r="U214" s="2" t="str">
        <x:f>IF(T214="","",IF(T214&lt;=20,1,IF(T214&lt;=40,2,IF(T214&lt;=60,3,IF(T214&lt;=80,4,5)))))</x:f>
      </x:c>
      <x:c r="V214" s="2" t="str">
        <x:f>IF(M214="","",MAX(0,'Motor_Meciuri'!BF20-IF(W214="OOS PENDING",'Config_v6'!$B$35,0)-IF(L214&gt;'Config_v6'!$B$12,'Config_v6'!$B$37,IF(L214&gt;'Config_v6'!$B$11,'Config_v6'!$B$36,0))))</x:f>
      </x:c>
      <x:c r="W214" s="2" t="str">
        <x:f>IF(B214="","",IF(I214&lt;&gt;"READY","NOT RELEASED",IF(NOT(AND(J214="PASS",'Calibrare_Linii'!U18="VALID")),"INVALID",IF(NOT(AND('Calibrare_Linii'!S18="VALIDATED",AND('Calibrare_Linii'!H18=C214,ISNUMBER('Calibrare_Linii'!J18),'Calibrare_Linii'!J18&lt;='Input_Meci'!G20))),"OOS PENDING",IF(S214&lt;='Calibrare_Linii'!E18,"PASS",IF(S214&lt;='Calibrare_Linii'!F18,"PENALTY","WATCH"))))))</x:f>
      </x:c>
      <x:c r="X214" s="2" t="str">
        <x:f>IF(M214="","",IF(AND(AND(J214="PASS",'Calibrare_Linii'!U18="VALID"),'Motor_Meciuri'!K20=12,'Motor_Meciuri'!L20=12,'Motor_Meciuri'!M20="NO",'Motor_Meciuri'!BL20='Motor_Meciuri'!C20,AB214&gt;='Config_v6'!$B$50,AN214&gt;='Config_v6'!$B$51,T214&lt;='Config_v6'!$B$52,L214&lt;='Config_v6'!$B$53,ISNUMBER('Calibrare_Linii'!E18),S214&lt;='Calibrare_Linii'!E18,SUM(AK214:AM214)&gt;0),"CANDIDATE","NO"))</x:f>
      </x:c>
      <x:c r="Y214" s="2" t="str">
        <x:f>IF(B214="","",IF(I214&lt;&gt;"READY","NOT RELEASED",IF(AND(X214="CANDIDATE",V214&gt;='Config_v6'!$B$51,W214="PASS",'Calibrare_Linii'!T18="VALIDATED",AND('Calibrare_Linii'!H18=C214,ISNUMBER('Calibrare_Linii'!J18),'Calibrare_Linii'!J18&lt;='Input_Meci'!G20)),"PASS",IF(X214="CANDIDATE","OOS PENDING","FAIL"))))</x:f>
      </x:c>
      <x:c r="Z214" s="2" t="str">
        <x:f>IF(B214="","",IF(I214&lt;&gt;"READY","",IF(OR(NOT(AND(J214="PASS",'Calibrare_Linii'!U18="VALID")),L214&gt;'Config_v6'!$B$13,W214="WATCH"),5,IF(Y214="PASS",1,MIN(5,MAX('Config_v6'!$B$42,U214)+IF(W214="PENALTY",1,0))))))</x:f>
      </x:c>
      <x:c r="AA214" s="2" t="str">
        <x:f>IF(B214="","",IF(I214&lt;&gt;"READY","NOT RELEASED",IF(Z214=5,"NO BET",IF(OR(AB214&lt;'Config_v6'!$B$16,V214&lt;'Config_v6'!$B$18),"WATCH",IF(Z214=1,"DEFENSIV",IF(Z214=2,"PRUDENT",IF(Z214=3,"MODERAT","RIDICAT")))))))</x:f>
      </x:c>
      <x:c r="AB214" s="10" t="str">
        <x:f>IF(N214="","",MIN(N214,1-S214))</x:f>
      </x:c>
      <x:c r="AC214" s="2" t="str">
        <x:f>IF(AD214&lt;&gt;1,"",COUNTIFS($Z$202:$Z$215,"&lt;"&amp;Z214,$AD$202:$AD$215,1)+COUNTIFS($Z$202:$Z$215,Z214,$AB$202:$AB$215,"&gt;"&amp;AB214,$AD$202:$AD$215,1)+COUNTIFS($Z$202:$Z$215,Z214,$AB$202:$AB$215,AB214,$V$202:$V$215,"&gt;"&amp;V214,$AD$202:$AD$215,1)+COUNTIFS($Z$202:Z214,Z214,$AB$202:AB214,AB214,$V$202:V214,V214,$AD$202:AD214,1))</x:f>
      </x:c>
      <x:c r="AD214" s="2" t="n">
        <x:f>IF(OR(AA214="DEFENSIV",AA214="PRUDENT",AA214="MODERAT",AA214="RIDICAT"),1,0)</x:f>
        <x:v>0</x:v>
      </x:c>
      <x:c r="AE214" s="2" t="str">
        <x:f>IF(AD214&lt;&gt;1,"NO",IF(W214="PASS","YES",IF(W214="OOS PENDING","CONDITIONAL","NO")))</x:f>
        <x:v>NO</x:v>
      </x:c>
      <x:c r="AF214" s="2" t="n">
        <x:f>IF(AND(AD214=1,AC214=1,E214="LIVE"),1,0)</x:f>
        <x:v>0</x:v>
      </x:c>
      <x:c r="AG214" s="2" t="str">
        <x:f>IF(AF214&lt;&gt;1,"",'Dashboard'!P40)</x:f>
      </x:c>
      <x:c r="AH214" s="2" t="str">
        <x:f>IF(B214="","",IF(J214&lt;&gt;"PASS",'Motor_Meciuri'!J20,IF('Calibrare_Linii'!U18&lt;&gt;"VALID","Parametri linie invalizi",IF(L214&gt;'Config_v6'!$B$13,"Dispersie peste limita",IF(W214="WATCH","Failure peste limita",IF(AB214&lt;'Config_v6'!$B$16,"P finala sub prag",IF(V214&lt;'Config_v6'!$B$18,"Confidence sub prag",IF(E214="REPLAY","Exemplu retrospectiv; exclus din Top LIVE",IF(Y214="PASS","DEFENSIV validat",IF(W214="OOS PENDING","Eligibil; calibrare linie in monitorizare","Eligibil"))))))))))</x:f>
      </x:c>
      <x:c r="AI214" s="2" t="str">
        <x:f>IF(B214="","",'Calibrare_Linii'!V18)</x:f>
      </x:c>
      <x:c r="AJ214" s="2" t="str">
        <x:f>IF(B214="","",IF(AND('Calibrare_Linii'!T18="VALIDATED",AND('Calibrare_Linii'!H18=C214,ISNUMBER('Calibrare_Linii'!J18),'Calibrare_Linii'!J18&lt;='Input_Meci'!G20)),"DEFENSIVE VALIDATED",IF(AND('Calibrare_Linii'!S18="VALIDATED",AND('Calibrare_Linii'!H18=C214,ISNUMBER('Calibrare_Linii'!J18),'Calibrare_Linii'!J18&lt;='Input_Meci'!G20)),"TAIL VALIDATED","OOS PENDING")))</x:f>
      </x:c>
      <x:c r="AK214" s="2" t="n">
        <x:f>IF(J214&lt;&gt;"PASS",0,'Motor_Meciuri'!BR20)</x:f>
        <x:v>0</x:v>
      </x:c>
      <x:c r="AL214" s="2" t="n">
        <x:f>IF(J214&lt;&gt;"PASS",0,'Motor_Meciuri'!BS20)</x:f>
        <x:v>0</x:v>
      </x:c>
      <x:c r="AM214" s="2" t="n">
        <x:f>IF(J214&lt;&gt;"PASS",0,'Motor_Meciuri'!BT20)</x:f>
        <x:v>0</x:v>
      </x:c>
      <x:c r="AN214" s="2" t="str">
        <x:f>IF(M214="","",MAX(0,'Motor_Meciuri'!BF20-IF(L214&gt;'Config_v6'!$B$12,'Config_v6'!$B$37,IF(L214&gt;'Config_v6'!$B$11,'Config_v6'!$B$36,0))))</x:f>
      </x:c>
    </x:row>
    <x:row r="215" ht="21" customHeight="1">
      <x:c r="A215" s="2" t="n">
        <x:v>15</x:v>
      </x:c>
      <x:c r="B215" s="2" t="str">
        <x:f>IF('Motor_Meciuri'!A20="","",'Motor_Meciuri'!A20)</x:f>
      </x:c>
      <x:c r="C215" s="2" t="str">
        <x:f>IF(B215="","",'Motor_Meciuri'!B20)</x:f>
      </x:c>
      <x:c r="D215" s="2" t="str">
        <x:f>IF(B215="","",'Motor_Meciuri'!D20)</x:f>
      </x:c>
      <x:c r="E215" s="2" t="str">
        <x:f>IF(B215="","",'Motor_Meciuri'!E20)</x:f>
      </x:c>
      <x:c r="F215" s="2" t="str">
        <x:v>U17,5</x:v>
      </x:c>
      <x:c r="G215" s="2" t="str">
        <x:v>UNDER</x:v>
      </x:c>
      <x:c r="H215" s="2" t="n">
        <x:v>17</x:v>
      </x:c>
      <x:c r="I215" s="2" t="str">
        <x:f>IF(B215="","",'Motor_Meciuri'!H20)</x:f>
      </x:c>
      <x:c r="J215" s="2" t="str">
        <x:f>IF(B215="","",'Motor_Meciuri'!I20)</x:f>
      </x:c>
      <x:c r="K215" s="11" t="str">
        <x:f>IF(J215&lt;&gt;"PASS","",'Motor_Meciuri'!BD20)</x:f>
      </x:c>
      <x:c r="L215" s="11" t="str">
        <x:f>IF(J215&lt;&gt;"PASS","",'Motor_Meciuri'!AU20)</x:f>
      </x:c>
      <x:c r="M215" s="10" t="str">
        <x:f>IF(NOT(AND(J215="PASS",'Calibrare_Linii'!U19="VALID")),"",'Distributie'!AO20)</x:f>
      </x:c>
      <x:c r="N215" s="10" t="str">
        <x:f>IF(M215="","",MAX(0.01,MIN(0.99,0.5+(M215-0.5)*'Motor_Meciuri'!BG20*'Calibrare_Linii'!D19)))</x:f>
      </x:c>
      <x:c r="O215" s="10" t="str">
        <x:f>IF(M215="","",1-M215)</x:f>
      </x:c>
      <x:c r="P215" s="10" t="str">
        <x:f>IF(OR(NOT(AND(J215="PASS",'Calibrare_Linii'!U19="VALID")),AK215=0),""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*('Istoric_Nativ'!$Q$6:$Q$405&gt;H215))/AK215)</x:f>
      </x:c>
      <x:c r="Q215" s="10" t="str">
        <x:f>IF(OR(NOT(AND(J215="PASS",'Calibrare_Linii'!U19="VALID")),AL215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M20)+((('Istoric_Nativ'!$E$6:$E$405='Input_Meci'!E20)+('Istoric_Nativ'!$F$6:$F$405='Input_Meci'!E20))&gt;0)*('Istoric_Nativ'!$D$6:$D$405&gt;='Motor_Meciuri'!BN20))&gt;0)*('Istoric_Nativ'!$Q$6:$Q$405&gt;H215))/AL215)</x:f>
      </x:c>
      <x:c r="R215" s="10" t="str">
        <x:f>IF(OR(NOT(AND(J215="PASS",'Calibrare_Linii'!U19="VALID")),AM215=0),""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'Motor_Meciuri'!BO20)+((('Istoric_Nativ'!$E$6:$E$405='Input_Meci'!E20)+('Istoric_Nativ'!$F$6:$F$405='Input_Meci'!E20))&gt;0)*('Istoric_Nativ'!$D$6:$D$405&gt;='Motor_Meciuri'!BP20))&gt;0)*('Istoric_Nativ'!$Q$6:$Q$405&gt;H215))/AM215)</x:f>
      </x:c>
      <x:c r="S215" s="10" t="str">
        <x:f>IF(M215="","",MAX(O215,P215,Q215,R215))</x:f>
      </x:c>
      <x:c r="T215" s="11" t="str">
        <x:f>IF(M215="","",MIN(100,S215*100*'Config_v6'!$B$44+MIN(100,L215/'Config_v6'!$B$13*100)*'Config_v6'!$B$45+(100-'Motor_Meciuri'!BF20)*'Config_v6'!$B$46+'Motor_Meciuri'!BH20*100*'Config_v6'!$B$47))</x:f>
      </x:c>
      <x:c r="U215" s="2" t="str">
        <x:f>IF(T215="","",IF(T215&lt;=20,1,IF(T215&lt;=40,2,IF(T215&lt;=60,3,IF(T215&lt;=80,4,5)))))</x:f>
      </x:c>
      <x:c r="V215" s="2" t="str">
        <x:f>IF(M215="","",MAX(0,'Motor_Meciuri'!BF20-IF(W215="OOS PENDING",'Config_v6'!$B$35,0)-IF(L215&gt;'Config_v6'!$B$12,'Config_v6'!$B$37,IF(L215&gt;'Config_v6'!$B$11,'Config_v6'!$B$36,0))))</x:f>
      </x:c>
      <x:c r="W215" s="2" t="str">
        <x:f>IF(B215="","",IF(I215&lt;&gt;"READY","NOT RELEASED",IF(NOT(AND(J215="PASS",'Calibrare_Linii'!U19="VALID")),"INVALID",IF(NOT(AND('Calibrare_Linii'!S19="VALIDATED",AND('Calibrare_Linii'!H19=C215,ISNUMBER('Calibrare_Linii'!J19),'Calibrare_Linii'!J19&lt;='Input_Meci'!G20))),"OOS PENDING",IF(S215&lt;='Calibrare_Linii'!E19,"PASS",IF(S215&lt;='Calibrare_Linii'!F19,"PENALTY","WATCH"))))))</x:f>
      </x:c>
      <x:c r="X215" s="2" t="str">
        <x:f>IF(M215="","",IF(AND(AND(J215="PASS",'Calibrare_Linii'!U19="VALID"),'Motor_Meciuri'!K20=12,'Motor_Meciuri'!L20=12,'Motor_Meciuri'!M20="NO",'Motor_Meciuri'!BL20='Motor_Meciuri'!C20,AB215&gt;='Config_v6'!$B$50,AN215&gt;='Config_v6'!$B$51,T215&lt;='Config_v6'!$B$52,L215&lt;='Config_v6'!$B$53,ISNUMBER('Calibrare_Linii'!E19),S215&lt;='Calibrare_Linii'!E19,SUM(AK215:AM215)&gt;0),"CANDIDATE","NO"))</x:f>
      </x:c>
      <x:c r="Y215" s="2" t="str">
        <x:f>IF(B215="","",IF(I215&lt;&gt;"READY","NOT RELEASED",IF(AND(X215="CANDIDATE",V215&gt;='Config_v6'!$B$51,W215="PASS",'Calibrare_Linii'!T19="VALIDATED",AND('Calibrare_Linii'!H19=C215,ISNUMBER('Calibrare_Linii'!J19),'Calibrare_Linii'!J19&lt;='Input_Meci'!G20)),"PASS",IF(X215="CANDIDATE","OOS PENDING","FAIL"))))</x:f>
      </x:c>
      <x:c r="Z215" s="2" t="str">
        <x:f>IF(B215="","",IF(I215&lt;&gt;"READY","",IF(OR(NOT(AND(J215="PASS",'Calibrare_Linii'!U19="VALID")),L215&gt;'Config_v6'!$B$13,W215="WATCH"),5,IF(Y215="PASS",1,MIN(5,MAX('Config_v6'!$B$42,U215)+IF(W215="PENALTY",1,0))))))</x:f>
      </x:c>
      <x:c r="AA215" s="2" t="str">
        <x:f>IF(B215="","",IF(I215&lt;&gt;"READY","NOT RELEASED",IF(Z215=5,"NO BET",IF(OR(AB215&lt;'Config_v6'!$B$16,V215&lt;'Config_v6'!$B$18),"WATCH",IF(Z215=1,"DEFENSIV",IF(Z215=2,"PRUDENT",IF(Z215=3,"MODERAT","RIDICAT")))))))</x:f>
      </x:c>
      <x:c r="AB215" s="10" t="str">
        <x:f>IF(N215="","",MIN(N215,1-S215))</x:f>
      </x:c>
      <x:c r="AC215" s="2" t="str">
        <x:f>IF(AD215&lt;&gt;1,"",COUNTIFS($Z$202:$Z$215,"&lt;"&amp;Z215,$AD$202:$AD$215,1)+COUNTIFS($Z$202:$Z$215,Z215,$AB$202:$AB$215,"&gt;"&amp;AB215,$AD$202:$AD$215,1)+COUNTIFS($Z$202:$Z$215,Z215,$AB$202:$AB$215,AB215,$V$202:$V$215,"&gt;"&amp;V215,$AD$202:$AD$215,1)+COUNTIFS($Z$202:Z215,Z215,$AB$202:AB215,AB215,$V$202:V215,V215,$AD$202:AD215,1))</x:f>
      </x:c>
      <x:c r="AD215" s="2" t="n">
        <x:f>IF(OR(AA215="DEFENSIV",AA215="PRUDENT",AA215="MODERAT",AA215="RIDICAT"),1,0)</x:f>
        <x:v>0</x:v>
      </x:c>
      <x:c r="AE215" s="2" t="str">
        <x:f>IF(AD215&lt;&gt;1,"NO",IF(W215="PASS","YES",IF(W215="OOS PENDING","CONDITIONAL","NO")))</x:f>
        <x:v>NO</x:v>
      </x:c>
      <x:c r="AF215" s="2" t="n">
        <x:f>IF(AND(AD215=1,AC215=1,E215="LIVE"),1,0)</x:f>
        <x:v>0</x:v>
      </x:c>
      <x:c r="AG215" s="2" t="str">
        <x:f>IF(AF215&lt;&gt;1,"",'Dashboard'!P40)</x:f>
      </x:c>
      <x:c r="AH215" s="2" t="str">
        <x:f>IF(B215="","",IF(J215&lt;&gt;"PASS",'Motor_Meciuri'!J20,IF('Calibrare_Linii'!U19&lt;&gt;"VALID","Parametri linie invalizi",IF(L215&gt;'Config_v6'!$B$13,"Dispersie peste limita",IF(W215="WATCH","Failure peste limita",IF(AB215&lt;'Config_v6'!$B$16,"P finala sub prag",IF(V215&lt;'Config_v6'!$B$18,"Confidence sub prag",IF(E215="REPLAY","Exemplu retrospectiv; exclus din Top LIVE",IF(Y215="PASS","DEFENSIV validat",IF(W215="OOS PENDING","Eligibil; calibrare linie in monitorizare","Eligibil"))))))))))</x:f>
      </x:c>
      <x:c r="AI215" s="2" t="str">
        <x:f>IF(B215="","",'Calibrare_Linii'!V19)</x:f>
      </x:c>
      <x:c r="AJ215" s="2" t="str">
        <x:f>IF(B215="","",IF(AND('Calibrare_Linii'!T19="VALIDATED",AND('Calibrare_Linii'!H19=C215,ISNUMBER('Calibrare_Linii'!J19),'Calibrare_Linii'!J19&lt;='Input_Meci'!G20)),"DEFENSIVE VALIDATED",IF(AND('Calibrare_Linii'!S19="VALIDATED",AND('Calibrare_Linii'!H19=C215,ISNUMBER('Calibrare_Linii'!J19),'Calibrare_Linii'!J19&lt;='Input_Meci'!G20)),"TAIL VALIDATED","OOS PENDING")))</x:f>
      </x:c>
      <x:c r="AK215" s="2" t="n">
        <x:f>IF(J215&lt;&gt;"PASS",0,'Motor_Meciuri'!BR20)</x:f>
        <x:v>0</x:v>
      </x:c>
      <x:c r="AL215" s="2" t="n">
        <x:f>IF(J215&lt;&gt;"PASS",0,'Motor_Meciuri'!BS20)</x:f>
        <x:v>0</x:v>
      </x:c>
      <x:c r="AM215" s="2" t="n">
        <x:f>IF(J215&lt;&gt;"PASS",0,'Motor_Meciuri'!BT20)</x:f>
        <x:v>0</x:v>
      </x:c>
      <x:c r="AN215" s="2" t="str">
        <x:f>IF(M215="","",MAX(0,'Motor_Meciuri'!BF20-IF(L215&gt;'Config_v6'!$B$12,'Config_v6'!$B$37,IF(L215&gt;'Config_v6'!$B$11,'Config_v6'!$B$36,0))))</x:f>
      </x:c>
    </x:row>
    <x:row r="216" ht="21" customHeight="1">
      <x:c r="A216" s="2" t="n">
        <x:v>16</x:v>
      </x:c>
      <x:c r="B216" s="2" t="str">
        <x:f>IF('Motor_Meciuri'!A21="","",'Motor_Meciuri'!A21)</x:f>
      </x:c>
      <x:c r="C216" s="2" t="str">
        <x:f>IF(B216="","",'Motor_Meciuri'!B21)</x:f>
      </x:c>
      <x:c r="D216" s="2" t="str">
        <x:f>IF(B216="","",'Motor_Meciuri'!D21)</x:f>
      </x:c>
      <x:c r="E216" s="2" t="str">
        <x:f>IF(B216="","",'Motor_Meciuri'!E21)</x:f>
      </x:c>
      <x:c r="F216" s="2" t="str">
        <x:v>O3,5</x:v>
      </x:c>
      <x:c r="G216" s="2" t="str">
        <x:v>OVER</x:v>
      </x:c>
      <x:c r="H216" s="2" t="n">
        <x:v>3</x:v>
      </x:c>
      <x:c r="I216" s="2" t="str">
        <x:f>IF(B216="","",'Motor_Meciuri'!H21)</x:f>
      </x:c>
      <x:c r="J216" s="2" t="str">
        <x:f>IF(B216="","",'Motor_Meciuri'!I21)</x:f>
      </x:c>
      <x:c r="K216" s="11" t="str">
        <x:f>IF(J216&lt;&gt;"PASS","",'Motor_Meciuri'!BD21)</x:f>
      </x:c>
      <x:c r="L216" s="11" t="str">
        <x:f>IF(J216&lt;&gt;"PASS","",'Motor_Meciuri'!AU21)</x:f>
      </x:c>
      <x:c r="M216" s="10" t="str">
        <x:f>IF(NOT(AND(J216="PASS",'Calibrare_Linii'!U6="VALID")),"",1-'Distributie'!AA21)</x:f>
      </x:c>
      <x:c r="N216" s="10" t="str">
        <x:f>IF(M216="","",MAX(0.01,MIN(0.99,0.5+(M216-0.5)*'Motor_Meciuri'!BG21*'Calibrare_Linii'!D6)))</x:f>
      </x:c>
      <x:c r="O216" s="10" t="str">
        <x:f>IF(M216="","",1-M216)</x:f>
      </x:c>
      <x:c r="P216" s="10" t="str">
        <x:f>IF(OR(NOT(AND(J216="PASS",'Calibrare_Linii'!U6="VALID")),AK216=0),""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*('Istoric_Nativ'!$Q$6:$Q$405&lt;=H216))/AK216)</x:f>
      </x:c>
      <x:c r="Q216" s="10" t="str">
        <x:f>IF(OR(NOT(AND(J216="PASS",'Calibrare_Linii'!U6="VALID")),AL216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M21)+((('Istoric_Nativ'!$E$6:$E$405='Input_Meci'!E21)+('Istoric_Nativ'!$F$6:$F$405='Input_Meci'!E21))&gt;0)*('Istoric_Nativ'!$D$6:$D$405&gt;='Motor_Meciuri'!BN21))&gt;0)*('Istoric_Nativ'!$Q$6:$Q$405&lt;=H216))/AL216)</x:f>
      </x:c>
      <x:c r="R216" s="10" t="str">
        <x:f>IF(OR(NOT(AND(J216="PASS",'Calibrare_Linii'!U6="VALID")),AM216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O21)+((('Istoric_Nativ'!$E$6:$E$405='Input_Meci'!E21)+('Istoric_Nativ'!$F$6:$F$405='Input_Meci'!E21))&gt;0)*('Istoric_Nativ'!$D$6:$D$405&gt;='Motor_Meciuri'!BP21))&gt;0)*('Istoric_Nativ'!$Q$6:$Q$405&lt;=H216))/AM216)</x:f>
      </x:c>
      <x:c r="S216" s="10" t="str">
        <x:f>IF(M216="","",MAX(O216,P216,Q216,R216))</x:f>
      </x:c>
      <x:c r="T216" s="11" t="str">
        <x:f>IF(M216="","",MIN(100,S216*100*'Config_v6'!$B$44+MIN(100,L216/'Config_v6'!$B$13*100)*'Config_v6'!$B$45+(100-'Motor_Meciuri'!BF21)*'Config_v6'!$B$46+'Motor_Meciuri'!BH21*100*'Config_v6'!$B$47))</x:f>
      </x:c>
      <x:c r="U216" s="2" t="str">
        <x:f>IF(T216="","",IF(T216&lt;=20,1,IF(T216&lt;=40,2,IF(T216&lt;=60,3,IF(T216&lt;=80,4,5)))))</x:f>
      </x:c>
      <x:c r="V216" s="2" t="str">
        <x:f>IF(M216="","",MAX(0,'Motor_Meciuri'!BF21-IF(W216="OOS PENDING",'Config_v6'!$B$35,0)-IF(L216&gt;'Config_v6'!$B$12,'Config_v6'!$B$37,IF(L216&gt;'Config_v6'!$B$11,'Config_v6'!$B$36,0))))</x:f>
      </x:c>
      <x:c r="W216" s="2" t="str">
        <x:f>IF(B216="","",IF(I216&lt;&gt;"READY","NOT RELEASED",IF(NOT(AND(J216="PASS",'Calibrare_Linii'!U6="VALID")),"INVALID",IF(NOT(TRUE),"OOS PENDING",IF(S216&lt;=IF(AND('Calibrare_Linii'!S6="VALIDATED",AND('Calibrare_Linii'!H6=C216,ISNUMBER('Calibrare_Linii'!J6),'Calibrare_Linii'!J6&lt;='Input_Meci'!G21)),'Calibrare_Linii'!E6,'Config_v6'!$B$26),"PASS",IF(S216&lt;=IF(AND('Calibrare_Linii'!S6="VALIDATED",AND('Calibrare_Linii'!H6=C216,ISNUMBER('Calibrare_Linii'!J6),'Calibrare_Linii'!J6&lt;='Input_Meci'!G21)),'Calibrare_Linii'!F6,'Config_v6'!$C$26),"PENALTY","WATCH"))))))</x:f>
      </x:c>
      <x:c r="X216" s="2" t="str">
        <x:f>IF(M216="","",IF(AND(AND(J216="PASS",'Calibrare_Linii'!U6="VALID"),'Motor_Meciuri'!K21=12,'Motor_Meciuri'!L21=12,'Motor_Meciuri'!M21="NO",'Motor_Meciuri'!BL21='Motor_Meciuri'!C21,AB216&gt;='Config_v6'!$B$50,AN216&gt;='Config_v6'!$B$51,T216&lt;='Config_v6'!$B$52,L216&lt;='Config_v6'!$B$53,ISNUMBER('Calibrare_Linii'!E6),S216&lt;='Calibrare_Linii'!E6,SUM(AK216:AM216)&gt;0),"CANDIDATE","NO"))</x:f>
      </x:c>
      <x:c r="Y216" s="2" t="str">
        <x:f>IF(B216="","",IF(I216&lt;&gt;"READY","NOT RELEASED",IF(AND(X216="CANDIDATE",V216&gt;='Config_v6'!$B$51,W216="PASS",'Calibrare_Linii'!T6="VALIDATED",AND('Calibrare_Linii'!H6=C216,ISNUMBER('Calibrare_Linii'!J6),'Calibrare_Linii'!J6&lt;='Input_Meci'!G21)),"PASS",IF(X216="CANDIDATE","OOS PENDING","FAIL"))))</x:f>
      </x:c>
      <x:c r="Z216" s="2" t="str">
        <x:f>IF(B216="","",IF(I216&lt;&gt;"READY","",IF(OR(NOT(AND(J216="PASS",'Calibrare_Linii'!U6="VALID")),L216&gt;'Config_v6'!$B$13,W216="WATCH"),5,IF(Y216="PASS",1,MIN(5,MAX('Config_v6'!$B$42,U216)+IF(W216="PENALTY",1,0))))))</x:f>
      </x:c>
      <x:c r="AA216" s="2" t="str">
        <x:f>IF(B216="","",IF(I216&lt;&gt;"READY","NOT RELEASED",IF(Z216=5,"NO BET",IF(OR(AB216&lt;'Config_v6'!$B$16,V216&lt;'Config_v6'!$B$18),"WATCH",IF(Z216=1,"DEFENSIV",IF(Z216=2,"PRUDENT",IF(Z216=3,"MODERAT","RIDICAT")))))))</x:f>
      </x:c>
      <x:c r="AB216" s="10" t="str">
        <x:f>IF(N216="","",MIN(N216,1-S216))</x:f>
      </x:c>
      <x:c r="AC216" s="2" t="str">
        <x:f>IF(AD216&lt;&gt;1,"",COUNTIFS($Z$216:$Z$229,"&lt;"&amp;Z216,$AD$216:$AD$229,1)+COUNTIFS($Z$216:$Z$229,Z216,$AB$216:$AB$229,"&gt;"&amp;AB216,$AD$216:$AD$229,1)+COUNTIFS($Z$216:$Z$229,Z216,$AB$216:$AB$229,AB216,$V$216:$V$229,"&gt;"&amp;V216,$AD$216:$AD$229,1)+COUNTIFS($Z$216:Z216,Z216,$AB$216:AB216,AB216,$V$216:V216,V216,$AD$216:AD216,1))</x:f>
      </x:c>
      <x:c r="AD216" s="2" t="n">
        <x:f>IF(OR(AA216="DEFENSIV",AA216="PRUDENT",AA216="MODERAT",AA216="RIDICAT"),1,0)</x:f>
        <x:v>0</x:v>
      </x:c>
      <x:c r="AE216" s="2" t="str">
        <x:f>IF(AD216&lt;&gt;1,"NO",IF(W216="PASS","YES",IF(W216="OOS PENDING","CONDITIONAL","NO")))</x:f>
        <x:v>NO</x:v>
      </x:c>
      <x:c r="AF216" s="2" t="n">
        <x:f>IF(AND(AD216=1,AC216=1,E216="LIVE"),1,0)</x:f>
        <x:v>0</x:v>
      </x:c>
      <x:c r="AG216" s="2" t="str">
        <x:f>IF(AF216&lt;&gt;1,"",'Dashboard'!P41)</x:f>
      </x:c>
      <x:c r="AH216" s="2" t="str">
        <x:f>IF(B216="","",IF(J216&lt;&gt;"PASS",'Motor_Meciuri'!J21,IF('Calibrare_Linii'!U6&lt;&gt;"VALID","Parametri linie invalizi",IF(L216&gt;'Config_v6'!$B$13,"Dispersie peste limita",IF(W216="WATCH","Failure peste limita",IF(AB216&lt;'Config_v6'!$B$16,"P finala sub prag",IF(V216&lt;'Config_v6'!$B$18,"Confidence sub prag",IF(E216="REPLAY","Exemplu retrospectiv; exclus din Top LIVE",IF(Y216="PASS","DEFENSIV validat",IF(W216="OOS PENDING","Eligibil; calibrare linie in monitorizare","Eligibil"))))))))))</x:f>
      </x:c>
      <x:c r="AI216" s="2" t="str">
        <x:f>IF(B216="","",'Calibrare_Linii'!V6)</x:f>
      </x:c>
      <x:c r="AJ216" s="2" t="str">
        <x:f>IF(B216="","",IF(AND('Calibrare_Linii'!T6="VALIDATED",AND('Calibrare_Linii'!H6=C216,ISNUMBER('Calibrare_Linii'!J6),'Calibrare_Linii'!J6&lt;='Input_Meci'!G21)),"DEFENSIVE VALIDATED",IF(AND('Calibrare_Linii'!S6="VALIDATED",AND('Calibrare_Linii'!H6=C216,ISNUMBER('Calibrare_Linii'!J6),'Calibrare_Linii'!J6&lt;='Input_Meci'!G21)),"TAIL VALIDATED","OOS PENDING")))</x:f>
      </x:c>
      <x:c r="AK216" s="2" t="n">
        <x:f>IF(J216&lt;&gt;"PASS",0,'Motor_Meciuri'!BR21)</x:f>
        <x:v>0</x:v>
      </x:c>
      <x:c r="AL216" s="2" t="n">
        <x:f>IF(J216&lt;&gt;"PASS",0,'Motor_Meciuri'!BS21)</x:f>
        <x:v>0</x:v>
      </x:c>
      <x:c r="AM216" s="2" t="n">
        <x:f>IF(J216&lt;&gt;"PASS",0,'Motor_Meciuri'!BT21)</x:f>
        <x:v>0</x:v>
      </x:c>
      <x:c r="AN216" s="2" t="str">
        <x:f>IF(M216="","",MAX(0,'Motor_Meciuri'!BF21-IF(L216&gt;'Config_v6'!$B$12,'Config_v6'!$B$37,IF(L216&gt;'Config_v6'!$B$11,'Config_v6'!$B$36,0))))</x:f>
      </x:c>
    </x:row>
    <x:row r="217" ht="21" customHeight="1">
      <x:c r="A217" s="2" t="n">
        <x:v>16</x:v>
      </x:c>
      <x:c r="B217" s="2" t="str">
        <x:f>IF('Motor_Meciuri'!A21="","",'Motor_Meciuri'!A21)</x:f>
      </x:c>
      <x:c r="C217" s="2" t="str">
        <x:f>IF(B217="","",'Motor_Meciuri'!B21)</x:f>
      </x:c>
      <x:c r="D217" s="2" t="str">
        <x:f>IF(B217="","",'Motor_Meciuri'!D21)</x:f>
      </x:c>
      <x:c r="E217" s="2" t="str">
        <x:f>IF(B217="","",'Motor_Meciuri'!E21)</x:f>
      </x:c>
      <x:c r="F217" s="2" t="str">
        <x:v>O4,5</x:v>
      </x:c>
      <x:c r="G217" s="2" t="str">
        <x:v>OVER</x:v>
      </x:c>
      <x:c r="H217" s="2" t="n">
        <x:v>4</x:v>
      </x:c>
      <x:c r="I217" s="2" t="str">
        <x:f>IF(B217="","",'Motor_Meciuri'!H21)</x:f>
      </x:c>
      <x:c r="J217" s="2" t="str">
        <x:f>IF(B217="","",'Motor_Meciuri'!I21)</x:f>
      </x:c>
      <x:c r="K217" s="11" t="str">
        <x:f>IF(J217&lt;&gt;"PASS","",'Motor_Meciuri'!BD21)</x:f>
      </x:c>
      <x:c r="L217" s="11" t="str">
        <x:f>IF(J217&lt;&gt;"PASS","",'Motor_Meciuri'!AU21)</x:f>
      </x:c>
      <x:c r="M217" s="10" t="str">
        <x:f>IF(NOT(AND(J217="PASS",'Calibrare_Linii'!U7="VALID")),"",1-'Distributie'!AB21)</x:f>
      </x:c>
      <x:c r="N217" s="10" t="str">
        <x:f>IF(M217="","",MAX(0.01,MIN(0.99,0.5+(M217-0.5)*'Motor_Meciuri'!BG21*'Calibrare_Linii'!D7)))</x:f>
      </x:c>
      <x:c r="O217" s="10" t="str">
        <x:f>IF(M217="","",1-M217)</x:f>
      </x:c>
      <x:c r="P217" s="10" t="str">
        <x:f>IF(OR(NOT(AND(J217="PASS",'Calibrare_Linii'!U7="VALID")),AK217=0),""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*('Istoric_Nativ'!$Q$6:$Q$405&lt;=H217))/AK217)</x:f>
      </x:c>
      <x:c r="Q217" s="10" t="str">
        <x:f>IF(OR(NOT(AND(J217="PASS",'Calibrare_Linii'!U7="VALID")),AL217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M21)+((('Istoric_Nativ'!$E$6:$E$405='Input_Meci'!E21)+('Istoric_Nativ'!$F$6:$F$405='Input_Meci'!E21))&gt;0)*('Istoric_Nativ'!$D$6:$D$405&gt;='Motor_Meciuri'!BN21))&gt;0)*('Istoric_Nativ'!$Q$6:$Q$405&lt;=H217))/AL217)</x:f>
      </x:c>
      <x:c r="R217" s="10" t="str">
        <x:f>IF(OR(NOT(AND(J217="PASS",'Calibrare_Linii'!U7="VALID")),AM217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O21)+((('Istoric_Nativ'!$E$6:$E$405='Input_Meci'!E21)+('Istoric_Nativ'!$F$6:$F$405='Input_Meci'!E21))&gt;0)*('Istoric_Nativ'!$D$6:$D$405&gt;='Motor_Meciuri'!BP21))&gt;0)*('Istoric_Nativ'!$Q$6:$Q$405&lt;=H217))/AM217)</x:f>
      </x:c>
      <x:c r="S217" s="10" t="str">
        <x:f>IF(M217="","",MAX(O217,P217,Q217,R217))</x:f>
      </x:c>
      <x:c r="T217" s="11" t="str">
        <x:f>IF(M217="","",MIN(100,S217*100*'Config_v6'!$B$44+MIN(100,L217/'Config_v6'!$B$13*100)*'Config_v6'!$B$45+(100-'Motor_Meciuri'!BF21)*'Config_v6'!$B$46+'Motor_Meciuri'!BH21*100*'Config_v6'!$B$47))</x:f>
      </x:c>
      <x:c r="U217" s="2" t="str">
        <x:f>IF(T217="","",IF(T217&lt;=20,1,IF(T217&lt;=40,2,IF(T217&lt;=60,3,IF(T217&lt;=80,4,5)))))</x:f>
      </x:c>
      <x:c r="V217" s="2" t="str">
        <x:f>IF(M217="","",MAX(0,'Motor_Meciuri'!BF21-IF(W217="OOS PENDING",'Config_v6'!$B$35,0)-IF(L217&gt;'Config_v6'!$B$12,'Config_v6'!$B$37,IF(L217&gt;'Config_v6'!$B$11,'Config_v6'!$B$36,0))))</x:f>
      </x:c>
      <x:c r="W217" s="2" t="str">
        <x:f>IF(B217="","",IF(I217&lt;&gt;"READY","NOT RELEASED",IF(NOT(AND(J217="PASS",'Calibrare_Linii'!U7="VALID")),"INVALID",IF(NOT(AND('Calibrare_Linii'!S7="VALIDATED",AND('Calibrare_Linii'!H7=C217,ISNUMBER('Calibrare_Linii'!J7),'Calibrare_Linii'!J7&lt;='Input_Meci'!G21))),"OOS PENDING",IF(S217&lt;='Calibrare_Linii'!E7,"PASS",IF(S217&lt;='Calibrare_Linii'!F7,"PENALTY","WATCH"))))))</x:f>
      </x:c>
      <x:c r="X217" s="2" t="str">
        <x:f>IF(M217="","",IF(AND(AND(J217="PASS",'Calibrare_Linii'!U7="VALID"),'Motor_Meciuri'!K21=12,'Motor_Meciuri'!L21=12,'Motor_Meciuri'!M21="NO",'Motor_Meciuri'!BL21='Motor_Meciuri'!C21,AB217&gt;='Config_v6'!$B$50,AN217&gt;='Config_v6'!$B$51,T217&lt;='Config_v6'!$B$52,L217&lt;='Config_v6'!$B$53,ISNUMBER('Calibrare_Linii'!E7),S217&lt;='Calibrare_Linii'!E7,SUM(AK217:AM217)&gt;0),"CANDIDATE","NO"))</x:f>
      </x:c>
      <x:c r="Y217" s="2" t="str">
        <x:f>IF(B217="","",IF(I217&lt;&gt;"READY","NOT RELEASED",IF(AND(X217="CANDIDATE",V217&gt;='Config_v6'!$B$51,W217="PASS",'Calibrare_Linii'!T7="VALIDATED",AND('Calibrare_Linii'!H7=C217,ISNUMBER('Calibrare_Linii'!J7),'Calibrare_Linii'!J7&lt;='Input_Meci'!G21)),"PASS",IF(X217="CANDIDATE","OOS PENDING","FAIL"))))</x:f>
      </x:c>
      <x:c r="Z217" s="2" t="str">
        <x:f>IF(B217="","",IF(I217&lt;&gt;"READY","",IF(OR(NOT(AND(J217="PASS",'Calibrare_Linii'!U7="VALID")),L217&gt;'Config_v6'!$B$13,W217="WATCH"),5,IF(Y217="PASS",1,MIN(5,MAX('Config_v6'!$B$42,U217)+IF(W217="PENALTY",1,0))))))</x:f>
      </x:c>
      <x:c r="AA217" s="2" t="str">
        <x:f>IF(B217="","",IF(I217&lt;&gt;"READY","NOT RELEASED",IF(Z217=5,"NO BET",IF(OR(AB217&lt;'Config_v6'!$B$16,V217&lt;'Config_v6'!$B$18),"WATCH",IF(Z217=1,"DEFENSIV",IF(Z217=2,"PRUDENT",IF(Z217=3,"MODERAT","RIDICAT")))))))</x:f>
      </x:c>
      <x:c r="AB217" s="10" t="str">
        <x:f>IF(N217="","",MIN(N217,1-S217))</x:f>
      </x:c>
      <x:c r="AC217" s="2" t="str">
        <x:f>IF(AD217&lt;&gt;1,"",COUNTIFS($Z$216:$Z$229,"&lt;"&amp;Z217,$AD$216:$AD$229,1)+COUNTIFS($Z$216:$Z$229,Z217,$AB$216:$AB$229,"&gt;"&amp;AB217,$AD$216:$AD$229,1)+COUNTIFS($Z$216:$Z$229,Z217,$AB$216:$AB$229,AB217,$V$216:$V$229,"&gt;"&amp;V217,$AD$216:$AD$229,1)+COUNTIFS($Z$216:Z217,Z217,$AB$216:AB217,AB217,$V$216:V217,V217,$AD$216:AD217,1))</x:f>
      </x:c>
      <x:c r="AD217" s="2" t="n">
        <x:f>IF(OR(AA217="DEFENSIV",AA217="PRUDENT",AA217="MODERAT",AA217="RIDICAT"),1,0)</x:f>
        <x:v>0</x:v>
      </x:c>
      <x:c r="AE217" s="2" t="str">
        <x:f>IF(AD217&lt;&gt;1,"NO",IF(W217="PASS","YES",IF(W217="OOS PENDING","CONDITIONAL","NO")))</x:f>
        <x:v>NO</x:v>
      </x:c>
      <x:c r="AF217" s="2" t="n">
        <x:f>IF(AND(AD217=1,AC217=1,E217="LIVE"),1,0)</x:f>
        <x:v>0</x:v>
      </x:c>
      <x:c r="AG217" s="2" t="str">
        <x:f>IF(AF217&lt;&gt;1,"",'Dashboard'!P41)</x:f>
      </x:c>
      <x:c r="AH217" s="2" t="str">
        <x:f>IF(B217="","",IF(J217&lt;&gt;"PASS",'Motor_Meciuri'!J21,IF('Calibrare_Linii'!U7&lt;&gt;"VALID","Parametri linie invalizi",IF(L217&gt;'Config_v6'!$B$13,"Dispersie peste limita",IF(W217="WATCH","Failure peste limita",IF(AB217&lt;'Config_v6'!$B$16,"P finala sub prag",IF(V217&lt;'Config_v6'!$B$18,"Confidence sub prag",IF(E217="REPLAY","Exemplu retrospectiv; exclus din Top LIVE",IF(Y217="PASS","DEFENSIV validat",IF(W217="OOS PENDING","Eligibil; calibrare linie in monitorizare","Eligibil"))))))))))</x:f>
      </x:c>
      <x:c r="AI217" s="2" t="str">
        <x:f>IF(B217="","",'Calibrare_Linii'!V7)</x:f>
      </x:c>
      <x:c r="AJ217" s="2" t="str">
        <x:f>IF(B217="","",IF(AND('Calibrare_Linii'!T7="VALIDATED",AND('Calibrare_Linii'!H7=C217,ISNUMBER('Calibrare_Linii'!J7),'Calibrare_Linii'!J7&lt;='Input_Meci'!G21)),"DEFENSIVE VALIDATED",IF(AND('Calibrare_Linii'!S7="VALIDATED",AND('Calibrare_Linii'!H7=C217,ISNUMBER('Calibrare_Linii'!J7),'Calibrare_Linii'!J7&lt;='Input_Meci'!G21)),"TAIL VALIDATED","OOS PENDING")))</x:f>
      </x:c>
      <x:c r="AK217" s="2" t="n">
        <x:f>IF(J217&lt;&gt;"PASS",0,'Motor_Meciuri'!BR21)</x:f>
        <x:v>0</x:v>
      </x:c>
      <x:c r="AL217" s="2" t="n">
        <x:f>IF(J217&lt;&gt;"PASS",0,'Motor_Meciuri'!BS21)</x:f>
        <x:v>0</x:v>
      </x:c>
      <x:c r="AM217" s="2" t="n">
        <x:f>IF(J217&lt;&gt;"PASS",0,'Motor_Meciuri'!BT21)</x:f>
        <x:v>0</x:v>
      </x:c>
      <x:c r="AN217" s="2" t="str">
        <x:f>IF(M217="","",MAX(0,'Motor_Meciuri'!BF21-IF(L217&gt;'Config_v6'!$B$12,'Config_v6'!$B$37,IF(L217&gt;'Config_v6'!$B$11,'Config_v6'!$B$36,0))))</x:f>
      </x:c>
    </x:row>
    <x:row r="218" ht="21" customHeight="1">
      <x:c r="A218" s="2" t="n">
        <x:v>16</x:v>
      </x:c>
      <x:c r="B218" s="2" t="str">
        <x:f>IF('Motor_Meciuri'!A21="","",'Motor_Meciuri'!A21)</x:f>
      </x:c>
      <x:c r="C218" s="2" t="str">
        <x:f>IF(B218="","",'Motor_Meciuri'!B21)</x:f>
      </x:c>
      <x:c r="D218" s="2" t="str">
        <x:f>IF(B218="","",'Motor_Meciuri'!D21)</x:f>
      </x:c>
      <x:c r="E218" s="2" t="str">
        <x:f>IF(B218="","",'Motor_Meciuri'!E21)</x:f>
      </x:c>
      <x:c r="F218" s="2" t="str">
        <x:v>O5,5</x:v>
      </x:c>
      <x:c r="G218" s="2" t="str">
        <x:v>OVER</x:v>
      </x:c>
      <x:c r="H218" s="2" t="n">
        <x:v>5</x:v>
      </x:c>
      <x:c r="I218" s="2" t="str">
        <x:f>IF(B218="","",'Motor_Meciuri'!H21)</x:f>
      </x:c>
      <x:c r="J218" s="2" t="str">
        <x:f>IF(B218="","",'Motor_Meciuri'!I21)</x:f>
      </x:c>
      <x:c r="K218" s="11" t="str">
        <x:f>IF(J218&lt;&gt;"PASS","",'Motor_Meciuri'!BD21)</x:f>
      </x:c>
      <x:c r="L218" s="11" t="str">
        <x:f>IF(J218&lt;&gt;"PASS","",'Motor_Meciuri'!AU21)</x:f>
      </x:c>
      <x:c r="M218" s="10" t="str">
        <x:f>IF(NOT(AND(J218="PASS",'Calibrare_Linii'!U8="VALID")),"",1-'Distributie'!AC21)</x:f>
      </x:c>
      <x:c r="N218" s="10" t="str">
        <x:f>IF(M218="","",MAX(0.01,MIN(0.99,0.5+(M218-0.5)*'Motor_Meciuri'!BG21*'Calibrare_Linii'!D8)))</x:f>
      </x:c>
      <x:c r="O218" s="10" t="str">
        <x:f>IF(M218="","",1-M218)</x:f>
      </x:c>
      <x:c r="P218" s="10" t="str">
        <x:f>IF(OR(NOT(AND(J218="PASS",'Calibrare_Linii'!U8="VALID")),AK218=0),""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*('Istoric_Nativ'!$Q$6:$Q$405&lt;=H218))/AK218)</x:f>
      </x:c>
      <x:c r="Q218" s="10" t="str">
        <x:f>IF(OR(NOT(AND(J218="PASS",'Calibrare_Linii'!U8="VALID")),AL218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M21)+((('Istoric_Nativ'!$E$6:$E$405='Input_Meci'!E21)+('Istoric_Nativ'!$F$6:$F$405='Input_Meci'!E21))&gt;0)*('Istoric_Nativ'!$D$6:$D$405&gt;='Motor_Meciuri'!BN21))&gt;0)*('Istoric_Nativ'!$Q$6:$Q$405&lt;=H218))/AL218)</x:f>
      </x:c>
      <x:c r="R218" s="10" t="str">
        <x:f>IF(OR(NOT(AND(J218="PASS",'Calibrare_Linii'!U8="VALID")),AM218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O21)+((('Istoric_Nativ'!$E$6:$E$405='Input_Meci'!E21)+('Istoric_Nativ'!$F$6:$F$405='Input_Meci'!E21))&gt;0)*('Istoric_Nativ'!$D$6:$D$405&gt;='Motor_Meciuri'!BP21))&gt;0)*('Istoric_Nativ'!$Q$6:$Q$405&lt;=H218))/AM218)</x:f>
      </x:c>
      <x:c r="S218" s="10" t="str">
        <x:f>IF(M218="","",MAX(O218,P218,Q218,R218))</x:f>
      </x:c>
      <x:c r="T218" s="11" t="str">
        <x:f>IF(M218="","",MIN(100,S218*100*'Config_v6'!$B$44+MIN(100,L218/'Config_v6'!$B$13*100)*'Config_v6'!$B$45+(100-'Motor_Meciuri'!BF21)*'Config_v6'!$B$46+'Motor_Meciuri'!BH21*100*'Config_v6'!$B$47))</x:f>
      </x:c>
      <x:c r="U218" s="2" t="str">
        <x:f>IF(T218="","",IF(T218&lt;=20,1,IF(T218&lt;=40,2,IF(T218&lt;=60,3,IF(T218&lt;=80,4,5)))))</x:f>
      </x:c>
      <x:c r="V218" s="2" t="str">
        <x:f>IF(M218="","",MAX(0,'Motor_Meciuri'!BF21-IF(W218="OOS PENDING",'Config_v6'!$B$35,0)-IF(L218&gt;'Config_v6'!$B$12,'Config_v6'!$B$37,IF(L218&gt;'Config_v6'!$B$11,'Config_v6'!$B$36,0))))</x:f>
      </x:c>
      <x:c r="W218" s="2" t="str">
        <x:f>IF(B218="","",IF(I218&lt;&gt;"READY","NOT RELEASED",IF(NOT(AND(J218="PASS",'Calibrare_Linii'!U8="VALID")),"INVALID",IF(NOT(AND('Calibrare_Linii'!S8="VALIDATED",AND('Calibrare_Linii'!H8=C218,ISNUMBER('Calibrare_Linii'!J8),'Calibrare_Linii'!J8&lt;='Input_Meci'!G21))),"OOS PENDING",IF(S218&lt;='Calibrare_Linii'!E8,"PASS",IF(S218&lt;='Calibrare_Linii'!F8,"PENALTY","WATCH"))))))</x:f>
      </x:c>
      <x:c r="X218" s="2" t="str">
        <x:f>IF(M218="","",IF(AND(AND(J218="PASS",'Calibrare_Linii'!U8="VALID"),'Motor_Meciuri'!K21=12,'Motor_Meciuri'!L21=12,'Motor_Meciuri'!M21="NO",'Motor_Meciuri'!BL21='Motor_Meciuri'!C21,AB218&gt;='Config_v6'!$B$50,AN218&gt;='Config_v6'!$B$51,T218&lt;='Config_v6'!$B$52,L218&lt;='Config_v6'!$B$53,ISNUMBER('Calibrare_Linii'!E8),S218&lt;='Calibrare_Linii'!E8,SUM(AK218:AM218)&gt;0),"CANDIDATE","NO"))</x:f>
      </x:c>
      <x:c r="Y218" s="2" t="str">
        <x:f>IF(B218="","",IF(I218&lt;&gt;"READY","NOT RELEASED",IF(AND(X218="CANDIDATE",V218&gt;='Config_v6'!$B$51,W218="PASS",'Calibrare_Linii'!T8="VALIDATED",AND('Calibrare_Linii'!H8=C218,ISNUMBER('Calibrare_Linii'!J8),'Calibrare_Linii'!J8&lt;='Input_Meci'!G21)),"PASS",IF(X218="CANDIDATE","OOS PENDING","FAIL"))))</x:f>
      </x:c>
      <x:c r="Z218" s="2" t="str">
        <x:f>IF(B218="","",IF(I218&lt;&gt;"READY","",IF(OR(NOT(AND(J218="PASS",'Calibrare_Linii'!U8="VALID")),L218&gt;'Config_v6'!$B$13,W218="WATCH"),5,IF(Y218="PASS",1,MIN(5,MAX('Config_v6'!$B$42,U218)+IF(W218="PENALTY",1,0))))))</x:f>
      </x:c>
      <x:c r="AA218" s="2" t="str">
        <x:f>IF(B218="","",IF(I218&lt;&gt;"READY","NOT RELEASED",IF(Z218=5,"NO BET",IF(OR(AB218&lt;'Config_v6'!$B$16,V218&lt;'Config_v6'!$B$18),"WATCH",IF(Z218=1,"DEFENSIV",IF(Z218=2,"PRUDENT",IF(Z218=3,"MODERAT","RIDICAT")))))))</x:f>
      </x:c>
      <x:c r="AB218" s="10" t="str">
        <x:f>IF(N218="","",MIN(N218,1-S218))</x:f>
      </x:c>
      <x:c r="AC218" s="2" t="str">
        <x:f>IF(AD218&lt;&gt;1,"",COUNTIFS($Z$216:$Z$229,"&lt;"&amp;Z218,$AD$216:$AD$229,1)+COUNTIFS($Z$216:$Z$229,Z218,$AB$216:$AB$229,"&gt;"&amp;AB218,$AD$216:$AD$229,1)+COUNTIFS($Z$216:$Z$229,Z218,$AB$216:$AB$229,AB218,$V$216:$V$229,"&gt;"&amp;V218,$AD$216:$AD$229,1)+COUNTIFS($Z$216:Z218,Z218,$AB$216:AB218,AB218,$V$216:V218,V218,$AD$216:AD218,1))</x:f>
      </x:c>
      <x:c r="AD218" s="2" t="n">
        <x:f>IF(OR(AA218="DEFENSIV",AA218="PRUDENT",AA218="MODERAT",AA218="RIDICAT"),1,0)</x:f>
        <x:v>0</x:v>
      </x:c>
      <x:c r="AE218" s="2" t="str">
        <x:f>IF(AD218&lt;&gt;1,"NO",IF(W218="PASS","YES",IF(W218="OOS PENDING","CONDITIONAL","NO")))</x:f>
        <x:v>NO</x:v>
      </x:c>
      <x:c r="AF218" s="2" t="n">
        <x:f>IF(AND(AD218=1,AC218=1,E218="LIVE"),1,0)</x:f>
        <x:v>0</x:v>
      </x:c>
      <x:c r="AG218" s="2" t="str">
        <x:f>IF(AF218&lt;&gt;1,"",'Dashboard'!P41)</x:f>
      </x:c>
      <x:c r="AH218" s="2" t="str">
        <x:f>IF(B218="","",IF(J218&lt;&gt;"PASS",'Motor_Meciuri'!J21,IF('Calibrare_Linii'!U8&lt;&gt;"VALID","Parametri linie invalizi",IF(L218&gt;'Config_v6'!$B$13,"Dispersie peste limita",IF(W218="WATCH","Failure peste limita",IF(AB218&lt;'Config_v6'!$B$16,"P finala sub prag",IF(V218&lt;'Config_v6'!$B$18,"Confidence sub prag",IF(E218="REPLAY","Exemplu retrospectiv; exclus din Top LIVE",IF(Y218="PASS","DEFENSIV validat",IF(W218="OOS PENDING","Eligibil; calibrare linie in monitorizare","Eligibil"))))))))))</x:f>
      </x:c>
      <x:c r="AI218" s="2" t="str">
        <x:f>IF(B218="","",'Calibrare_Linii'!V8)</x:f>
      </x:c>
      <x:c r="AJ218" s="2" t="str">
        <x:f>IF(B218="","",IF(AND('Calibrare_Linii'!T8="VALIDATED",AND('Calibrare_Linii'!H8=C218,ISNUMBER('Calibrare_Linii'!J8),'Calibrare_Linii'!J8&lt;='Input_Meci'!G21)),"DEFENSIVE VALIDATED",IF(AND('Calibrare_Linii'!S8="VALIDATED",AND('Calibrare_Linii'!H8=C218,ISNUMBER('Calibrare_Linii'!J8),'Calibrare_Linii'!J8&lt;='Input_Meci'!G21)),"TAIL VALIDATED","OOS PENDING")))</x:f>
      </x:c>
      <x:c r="AK218" s="2" t="n">
        <x:f>IF(J218&lt;&gt;"PASS",0,'Motor_Meciuri'!BR21)</x:f>
        <x:v>0</x:v>
      </x:c>
      <x:c r="AL218" s="2" t="n">
        <x:f>IF(J218&lt;&gt;"PASS",0,'Motor_Meciuri'!BS21)</x:f>
        <x:v>0</x:v>
      </x:c>
      <x:c r="AM218" s="2" t="n">
        <x:f>IF(J218&lt;&gt;"PASS",0,'Motor_Meciuri'!BT21)</x:f>
        <x:v>0</x:v>
      </x:c>
      <x:c r="AN218" s="2" t="str">
        <x:f>IF(M218="","",MAX(0,'Motor_Meciuri'!BF21-IF(L218&gt;'Config_v6'!$B$12,'Config_v6'!$B$37,IF(L218&gt;'Config_v6'!$B$11,'Config_v6'!$B$36,0))))</x:f>
      </x:c>
    </x:row>
    <x:row r="219" ht="21" customHeight="1">
      <x:c r="A219" s="2" t="n">
        <x:v>16</x:v>
      </x:c>
      <x:c r="B219" s="2" t="str">
        <x:f>IF('Motor_Meciuri'!A21="","",'Motor_Meciuri'!A21)</x:f>
      </x:c>
      <x:c r="C219" s="2" t="str">
        <x:f>IF(B219="","",'Motor_Meciuri'!B21)</x:f>
      </x:c>
      <x:c r="D219" s="2" t="str">
        <x:f>IF(B219="","",'Motor_Meciuri'!D21)</x:f>
      </x:c>
      <x:c r="E219" s="2" t="str">
        <x:f>IF(B219="","",'Motor_Meciuri'!E21)</x:f>
      </x:c>
      <x:c r="F219" s="2" t="str">
        <x:v>O6,5</x:v>
      </x:c>
      <x:c r="G219" s="2" t="str">
        <x:v>OVER</x:v>
      </x:c>
      <x:c r="H219" s="2" t="n">
        <x:v>6</x:v>
      </x:c>
      <x:c r="I219" s="2" t="str">
        <x:f>IF(B219="","",'Motor_Meciuri'!H21)</x:f>
      </x:c>
      <x:c r="J219" s="2" t="str">
        <x:f>IF(B219="","",'Motor_Meciuri'!I21)</x:f>
      </x:c>
      <x:c r="K219" s="11" t="str">
        <x:f>IF(J219&lt;&gt;"PASS","",'Motor_Meciuri'!BD21)</x:f>
      </x:c>
      <x:c r="L219" s="11" t="str">
        <x:f>IF(J219&lt;&gt;"PASS","",'Motor_Meciuri'!AU21)</x:f>
      </x:c>
      <x:c r="M219" s="10" t="str">
        <x:f>IF(NOT(AND(J219="PASS",'Calibrare_Linii'!U9="VALID")),"",1-'Distributie'!AD21)</x:f>
      </x:c>
      <x:c r="N219" s="10" t="str">
        <x:f>IF(M219="","",MAX(0.01,MIN(0.99,0.5+(M219-0.5)*'Motor_Meciuri'!BG21*'Calibrare_Linii'!D9)))</x:f>
      </x:c>
      <x:c r="O219" s="10" t="str">
        <x:f>IF(M219="","",1-M219)</x:f>
      </x:c>
      <x:c r="P219" s="10" t="str">
        <x:f>IF(OR(NOT(AND(J219="PASS",'Calibrare_Linii'!U9="VALID")),AK219=0),""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*('Istoric_Nativ'!$Q$6:$Q$405&lt;=H219))/AK219)</x:f>
      </x:c>
      <x:c r="Q219" s="10" t="str">
        <x:f>IF(OR(NOT(AND(J219="PASS",'Calibrare_Linii'!U9="VALID")),AL219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M21)+((('Istoric_Nativ'!$E$6:$E$405='Input_Meci'!E21)+('Istoric_Nativ'!$F$6:$F$405='Input_Meci'!E21))&gt;0)*('Istoric_Nativ'!$D$6:$D$405&gt;='Motor_Meciuri'!BN21))&gt;0)*('Istoric_Nativ'!$Q$6:$Q$405&lt;=H219))/AL219)</x:f>
      </x:c>
      <x:c r="R219" s="10" t="str">
        <x:f>IF(OR(NOT(AND(J219="PASS",'Calibrare_Linii'!U9="VALID")),AM219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O21)+((('Istoric_Nativ'!$E$6:$E$405='Input_Meci'!E21)+('Istoric_Nativ'!$F$6:$F$405='Input_Meci'!E21))&gt;0)*('Istoric_Nativ'!$D$6:$D$405&gt;='Motor_Meciuri'!BP21))&gt;0)*('Istoric_Nativ'!$Q$6:$Q$405&lt;=H219))/AM219)</x:f>
      </x:c>
      <x:c r="S219" s="10" t="str">
        <x:f>IF(M219="","",MAX(O219,P219,Q219,R219))</x:f>
      </x:c>
      <x:c r="T219" s="11" t="str">
        <x:f>IF(M219="","",MIN(100,S219*100*'Config_v6'!$B$44+MIN(100,L219/'Config_v6'!$B$13*100)*'Config_v6'!$B$45+(100-'Motor_Meciuri'!BF21)*'Config_v6'!$B$46+'Motor_Meciuri'!BH21*100*'Config_v6'!$B$47))</x:f>
      </x:c>
      <x:c r="U219" s="2" t="str">
        <x:f>IF(T219="","",IF(T219&lt;=20,1,IF(T219&lt;=40,2,IF(T219&lt;=60,3,IF(T219&lt;=80,4,5)))))</x:f>
      </x:c>
      <x:c r="V219" s="2" t="str">
        <x:f>IF(M219="","",MAX(0,'Motor_Meciuri'!BF21-IF(W219="OOS PENDING",'Config_v6'!$B$35,0)-IF(L219&gt;'Config_v6'!$B$12,'Config_v6'!$B$37,IF(L219&gt;'Config_v6'!$B$11,'Config_v6'!$B$36,0))))</x:f>
      </x:c>
      <x:c r="W219" s="2" t="str">
        <x:f>IF(B219="","",IF(I219&lt;&gt;"READY","NOT RELEASED",IF(NOT(AND(J219="PASS",'Calibrare_Linii'!U9="VALID")),"INVALID",IF(NOT(AND('Calibrare_Linii'!S9="VALIDATED",AND('Calibrare_Linii'!H9=C219,ISNUMBER('Calibrare_Linii'!J9),'Calibrare_Linii'!J9&lt;='Input_Meci'!G21))),"OOS PENDING",IF(S219&lt;='Calibrare_Linii'!E9,"PASS",IF(S219&lt;='Calibrare_Linii'!F9,"PENALTY","WATCH"))))))</x:f>
      </x:c>
      <x:c r="X219" s="2" t="str">
        <x:f>IF(M219="","",IF(AND(AND(J219="PASS",'Calibrare_Linii'!U9="VALID"),'Motor_Meciuri'!K21=12,'Motor_Meciuri'!L21=12,'Motor_Meciuri'!M21="NO",'Motor_Meciuri'!BL21='Motor_Meciuri'!C21,AB219&gt;='Config_v6'!$B$50,AN219&gt;='Config_v6'!$B$51,T219&lt;='Config_v6'!$B$52,L219&lt;='Config_v6'!$B$53,ISNUMBER('Calibrare_Linii'!E9),S219&lt;='Calibrare_Linii'!E9,SUM(AK219:AM219)&gt;0),"CANDIDATE","NO"))</x:f>
      </x:c>
      <x:c r="Y219" s="2" t="str">
        <x:f>IF(B219="","",IF(I219&lt;&gt;"READY","NOT RELEASED",IF(AND(X219="CANDIDATE",V219&gt;='Config_v6'!$B$51,W219="PASS",'Calibrare_Linii'!T9="VALIDATED",AND('Calibrare_Linii'!H9=C219,ISNUMBER('Calibrare_Linii'!J9),'Calibrare_Linii'!J9&lt;='Input_Meci'!G21)),"PASS",IF(X219="CANDIDATE","OOS PENDING","FAIL"))))</x:f>
      </x:c>
      <x:c r="Z219" s="2" t="str">
        <x:f>IF(B219="","",IF(I219&lt;&gt;"READY","",IF(OR(NOT(AND(J219="PASS",'Calibrare_Linii'!U9="VALID")),L219&gt;'Config_v6'!$B$13,W219="WATCH"),5,IF(Y219="PASS",1,MIN(5,MAX('Config_v6'!$B$42,U219)+IF(W219="PENALTY",1,0))))))</x:f>
      </x:c>
      <x:c r="AA219" s="2" t="str">
        <x:f>IF(B219="","",IF(I219&lt;&gt;"READY","NOT RELEASED",IF(Z219=5,"NO BET",IF(OR(AB219&lt;'Config_v6'!$B$16,V219&lt;'Config_v6'!$B$18),"WATCH",IF(Z219=1,"DEFENSIV",IF(Z219=2,"PRUDENT",IF(Z219=3,"MODERAT","RIDICAT")))))))</x:f>
      </x:c>
      <x:c r="AB219" s="10" t="str">
        <x:f>IF(N219="","",MIN(N219,1-S219))</x:f>
      </x:c>
      <x:c r="AC219" s="2" t="str">
        <x:f>IF(AD219&lt;&gt;1,"",COUNTIFS($Z$216:$Z$229,"&lt;"&amp;Z219,$AD$216:$AD$229,1)+COUNTIFS($Z$216:$Z$229,Z219,$AB$216:$AB$229,"&gt;"&amp;AB219,$AD$216:$AD$229,1)+COUNTIFS($Z$216:$Z$229,Z219,$AB$216:$AB$229,AB219,$V$216:$V$229,"&gt;"&amp;V219,$AD$216:$AD$229,1)+COUNTIFS($Z$216:Z219,Z219,$AB$216:AB219,AB219,$V$216:V219,V219,$AD$216:AD219,1))</x:f>
      </x:c>
      <x:c r="AD219" s="2" t="n">
        <x:f>IF(OR(AA219="DEFENSIV",AA219="PRUDENT",AA219="MODERAT",AA219="RIDICAT"),1,0)</x:f>
        <x:v>0</x:v>
      </x:c>
      <x:c r="AE219" s="2" t="str">
        <x:f>IF(AD219&lt;&gt;1,"NO",IF(W219="PASS","YES",IF(W219="OOS PENDING","CONDITIONAL","NO")))</x:f>
        <x:v>NO</x:v>
      </x:c>
      <x:c r="AF219" s="2" t="n">
        <x:f>IF(AND(AD219=1,AC219=1,E219="LIVE"),1,0)</x:f>
        <x:v>0</x:v>
      </x:c>
      <x:c r="AG219" s="2" t="str">
        <x:f>IF(AF219&lt;&gt;1,"",'Dashboard'!P41)</x:f>
      </x:c>
      <x:c r="AH219" s="2" t="str">
        <x:f>IF(B219="","",IF(J219&lt;&gt;"PASS",'Motor_Meciuri'!J21,IF('Calibrare_Linii'!U9&lt;&gt;"VALID","Parametri linie invalizi",IF(L219&gt;'Config_v6'!$B$13,"Dispersie peste limita",IF(W219="WATCH","Failure peste limita",IF(AB219&lt;'Config_v6'!$B$16,"P finala sub prag",IF(V219&lt;'Config_v6'!$B$18,"Confidence sub prag",IF(E219="REPLAY","Exemplu retrospectiv; exclus din Top LIVE",IF(Y219="PASS","DEFENSIV validat",IF(W219="OOS PENDING","Eligibil; calibrare linie in monitorizare","Eligibil"))))))))))</x:f>
      </x:c>
      <x:c r="AI219" s="2" t="str">
        <x:f>IF(B219="","",'Calibrare_Linii'!V9)</x:f>
      </x:c>
      <x:c r="AJ219" s="2" t="str">
        <x:f>IF(B219="","",IF(AND('Calibrare_Linii'!T9="VALIDATED",AND('Calibrare_Linii'!H9=C219,ISNUMBER('Calibrare_Linii'!J9),'Calibrare_Linii'!J9&lt;='Input_Meci'!G21)),"DEFENSIVE VALIDATED",IF(AND('Calibrare_Linii'!S9="VALIDATED",AND('Calibrare_Linii'!H9=C219,ISNUMBER('Calibrare_Linii'!J9),'Calibrare_Linii'!J9&lt;='Input_Meci'!G21)),"TAIL VALIDATED","OOS PENDING")))</x:f>
      </x:c>
      <x:c r="AK219" s="2" t="n">
        <x:f>IF(J219&lt;&gt;"PASS",0,'Motor_Meciuri'!BR21)</x:f>
        <x:v>0</x:v>
      </x:c>
      <x:c r="AL219" s="2" t="n">
        <x:f>IF(J219&lt;&gt;"PASS",0,'Motor_Meciuri'!BS21)</x:f>
        <x:v>0</x:v>
      </x:c>
      <x:c r="AM219" s="2" t="n">
        <x:f>IF(J219&lt;&gt;"PASS",0,'Motor_Meciuri'!BT21)</x:f>
        <x:v>0</x:v>
      </x:c>
      <x:c r="AN219" s="2" t="str">
        <x:f>IF(M219="","",MAX(0,'Motor_Meciuri'!BF21-IF(L219&gt;'Config_v6'!$B$12,'Config_v6'!$B$37,IF(L219&gt;'Config_v6'!$B$11,'Config_v6'!$B$36,0))))</x:f>
      </x:c>
    </x:row>
    <x:row r="220" ht="21" customHeight="1">
      <x:c r="A220" s="2" t="n">
        <x:v>16</x:v>
      </x:c>
      <x:c r="B220" s="2" t="str">
        <x:f>IF('Motor_Meciuri'!A21="","",'Motor_Meciuri'!A21)</x:f>
      </x:c>
      <x:c r="C220" s="2" t="str">
        <x:f>IF(B220="","",'Motor_Meciuri'!B21)</x:f>
      </x:c>
      <x:c r="D220" s="2" t="str">
        <x:f>IF(B220="","",'Motor_Meciuri'!D21)</x:f>
      </x:c>
      <x:c r="E220" s="2" t="str">
        <x:f>IF(B220="","",'Motor_Meciuri'!E21)</x:f>
      </x:c>
      <x:c r="F220" s="2" t="str">
        <x:v>O7,5</x:v>
      </x:c>
      <x:c r="G220" s="2" t="str">
        <x:v>OVER</x:v>
      </x:c>
      <x:c r="H220" s="2" t="n">
        <x:v>7</x:v>
      </x:c>
      <x:c r="I220" s="2" t="str">
        <x:f>IF(B220="","",'Motor_Meciuri'!H21)</x:f>
      </x:c>
      <x:c r="J220" s="2" t="str">
        <x:f>IF(B220="","",'Motor_Meciuri'!I21)</x:f>
      </x:c>
      <x:c r="K220" s="11" t="str">
        <x:f>IF(J220&lt;&gt;"PASS","",'Motor_Meciuri'!BD21)</x:f>
      </x:c>
      <x:c r="L220" s="11" t="str">
        <x:f>IF(J220&lt;&gt;"PASS","",'Motor_Meciuri'!AU21)</x:f>
      </x:c>
      <x:c r="M220" s="10" t="str">
        <x:f>IF(NOT(AND(J220="PASS",'Calibrare_Linii'!U10="VALID")),"",1-'Distributie'!AE21)</x:f>
      </x:c>
      <x:c r="N220" s="10" t="str">
        <x:f>IF(M220="","",MAX(0.01,MIN(0.99,0.5+(M220-0.5)*'Motor_Meciuri'!BG21*'Calibrare_Linii'!D10)))</x:f>
      </x:c>
      <x:c r="O220" s="10" t="str">
        <x:f>IF(M220="","",1-M220)</x:f>
      </x:c>
      <x:c r="P220" s="10" t="str">
        <x:f>IF(OR(NOT(AND(J220="PASS",'Calibrare_Linii'!U10="VALID")),AK220=0),""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*('Istoric_Nativ'!$Q$6:$Q$405&lt;=H220))/AK220)</x:f>
      </x:c>
      <x:c r="Q220" s="10" t="str">
        <x:f>IF(OR(NOT(AND(J220="PASS",'Calibrare_Linii'!U10="VALID")),AL220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M21)+((('Istoric_Nativ'!$E$6:$E$405='Input_Meci'!E21)+('Istoric_Nativ'!$F$6:$F$405='Input_Meci'!E21))&gt;0)*('Istoric_Nativ'!$D$6:$D$405&gt;='Motor_Meciuri'!BN21))&gt;0)*('Istoric_Nativ'!$Q$6:$Q$405&lt;=H220))/AL220)</x:f>
      </x:c>
      <x:c r="R220" s="10" t="str">
        <x:f>IF(OR(NOT(AND(J220="PASS",'Calibrare_Linii'!U10="VALID")),AM220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O21)+((('Istoric_Nativ'!$E$6:$E$405='Input_Meci'!E21)+('Istoric_Nativ'!$F$6:$F$405='Input_Meci'!E21))&gt;0)*('Istoric_Nativ'!$D$6:$D$405&gt;='Motor_Meciuri'!BP21))&gt;0)*('Istoric_Nativ'!$Q$6:$Q$405&lt;=H220))/AM220)</x:f>
      </x:c>
      <x:c r="S220" s="10" t="str">
        <x:f>IF(M220="","",MAX(O220,P220,Q220,R220))</x:f>
      </x:c>
      <x:c r="T220" s="11" t="str">
        <x:f>IF(M220="","",MIN(100,S220*100*'Config_v6'!$B$44+MIN(100,L220/'Config_v6'!$B$13*100)*'Config_v6'!$B$45+(100-'Motor_Meciuri'!BF21)*'Config_v6'!$B$46+'Motor_Meciuri'!BH21*100*'Config_v6'!$B$47))</x:f>
      </x:c>
      <x:c r="U220" s="2" t="str">
        <x:f>IF(T220="","",IF(T220&lt;=20,1,IF(T220&lt;=40,2,IF(T220&lt;=60,3,IF(T220&lt;=80,4,5)))))</x:f>
      </x:c>
      <x:c r="V220" s="2" t="str">
        <x:f>IF(M220="","",MAX(0,'Motor_Meciuri'!BF21-IF(W220="OOS PENDING",'Config_v6'!$B$35,0)-IF(L220&gt;'Config_v6'!$B$12,'Config_v6'!$B$37,IF(L220&gt;'Config_v6'!$B$11,'Config_v6'!$B$36,0))))</x:f>
      </x:c>
      <x:c r="W220" s="2" t="str">
        <x:f>IF(B220="","",IF(I220&lt;&gt;"READY","NOT RELEASED",IF(NOT(AND(J220="PASS",'Calibrare_Linii'!U10="VALID")),"INVALID",IF(NOT(AND('Calibrare_Linii'!S10="VALIDATED",AND('Calibrare_Linii'!H10=C220,ISNUMBER('Calibrare_Linii'!J10),'Calibrare_Linii'!J10&lt;='Input_Meci'!G21))),"OOS PENDING",IF(S220&lt;='Calibrare_Linii'!E10,"PASS",IF(S220&lt;='Calibrare_Linii'!F10,"PENALTY","WATCH"))))))</x:f>
      </x:c>
      <x:c r="X220" s="2" t="str">
        <x:f>IF(M220="","",IF(AND(AND(J220="PASS",'Calibrare_Linii'!U10="VALID"),'Motor_Meciuri'!K21=12,'Motor_Meciuri'!L21=12,'Motor_Meciuri'!M21="NO",'Motor_Meciuri'!BL21='Motor_Meciuri'!C21,AB220&gt;='Config_v6'!$B$50,AN220&gt;='Config_v6'!$B$51,T220&lt;='Config_v6'!$B$52,L220&lt;='Config_v6'!$B$53,ISNUMBER('Calibrare_Linii'!E10),S220&lt;='Calibrare_Linii'!E10,SUM(AK220:AM220)&gt;0),"CANDIDATE","NO"))</x:f>
      </x:c>
      <x:c r="Y220" s="2" t="str">
        <x:f>IF(B220="","",IF(I220&lt;&gt;"READY","NOT RELEASED",IF(AND(X220="CANDIDATE",V220&gt;='Config_v6'!$B$51,W220="PASS",'Calibrare_Linii'!T10="VALIDATED",AND('Calibrare_Linii'!H10=C220,ISNUMBER('Calibrare_Linii'!J10),'Calibrare_Linii'!J10&lt;='Input_Meci'!G21)),"PASS",IF(X220="CANDIDATE","OOS PENDING","FAIL"))))</x:f>
      </x:c>
      <x:c r="Z220" s="2" t="str">
        <x:f>IF(B220="","",IF(I220&lt;&gt;"READY","",IF(OR(NOT(AND(J220="PASS",'Calibrare_Linii'!U10="VALID")),L220&gt;'Config_v6'!$B$13,W220="WATCH"),5,IF(Y220="PASS",1,MIN(5,MAX('Config_v6'!$B$42,U220)+IF(W220="PENALTY",1,0))))))</x:f>
      </x:c>
      <x:c r="AA220" s="2" t="str">
        <x:f>IF(B220="","",IF(I220&lt;&gt;"READY","NOT RELEASED",IF(Z220=5,"NO BET",IF(OR(AB220&lt;'Config_v6'!$B$16,V220&lt;'Config_v6'!$B$18),"WATCH",IF(Z220=1,"DEFENSIV",IF(Z220=2,"PRUDENT",IF(Z220=3,"MODERAT","RIDICAT")))))))</x:f>
      </x:c>
      <x:c r="AB220" s="10" t="str">
        <x:f>IF(N220="","",MIN(N220,1-S220))</x:f>
      </x:c>
      <x:c r="AC220" s="2" t="str">
        <x:f>IF(AD220&lt;&gt;1,"",COUNTIFS($Z$216:$Z$229,"&lt;"&amp;Z220,$AD$216:$AD$229,1)+COUNTIFS($Z$216:$Z$229,Z220,$AB$216:$AB$229,"&gt;"&amp;AB220,$AD$216:$AD$229,1)+COUNTIFS($Z$216:$Z$229,Z220,$AB$216:$AB$229,AB220,$V$216:$V$229,"&gt;"&amp;V220,$AD$216:$AD$229,1)+COUNTIFS($Z$216:Z220,Z220,$AB$216:AB220,AB220,$V$216:V220,V220,$AD$216:AD220,1))</x:f>
      </x:c>
      <x:c r="AD220" s="2" t="n">
        <x:f>IF(OR(AA220="DEFENSIV",AA220="PRUDENT",AA220="MODERAT",AA220="RIDICAT"),1,0)</x:f>
        <x:v>0</x:v>
      </x:c>
      <x:c r="AE220" s="2" t="str">
        <x:f>IF(AD220&lt;&gt;1,"NO",IF(W220="PASS","YES",IF(W220="OOS PENDING","CONDITIONAL","NO")))</x:f>
        <x:v>NO</x:v>
      </x:c>
      <x:c r="AF220" s="2" t="n">
        <x:f>IF(AND(AD220=1,AC220=1,E220="LIVE"),1,0)</x:f>
        <x:v>0</x:v>
      </x:c>
      <x:c r="AG220" s="2" t="str">
        <x:f>IF(AF220&lt;&gt;1,"",'Dashboard'!P41)</x:f>
      </x:c>
      <x:c r="AH220" s="2" t="str">
        <x:f>IF(B220="","",IF(J220&lt;&gt;"PASS",'Motor_Meciuri'!J21,IF('Calibrare_Linii'!U10&lt;&gt;"VALID","Parametri linie invalizi",IF(L220&gt;'Config_v6'!$B$13,"Dispersie peste limita",IF(W220="WATCH","Failure peste limita",IF(AB220&lt;'Config_v6'!$B$16,"P finala sub prag",IF(V220&lt;'Config_v6'!$B$18,"Confidence sub prag",IF(E220="REPLAY","Exemplu retrospectiv; exclus din Top LIVE",IF(Y220="PASS","DEFENSIV validat",IF(W220="OOS PENDING","Eligibil; calibrare linie in monitorizare","Eligibil"))))))))))</x:f>
      </x:c>
      <x:c r="AI220" s="2" t="str">
        <x:f>IF(B220="","",'Calibrare_Linii'!V10)</x:f>
      </x:c>
      <x:c r="AJ220" s="2" t="str">
        <x:f>IF(B220="","",IF(AND('Calibrare_Linii'!T10="VALIDATED",AND('Calibrare_Linii'!H10=C220,ISNUMBER('Calibrare_Linii'!J10),'Calibrare_Linii'!J10&lt;='Input_Meci'!G21)),"DEFENSIVE VALIDATED",IF(AND('Calibrare_Linii'!S10="VALIDATED",AND('Calibrare_Linii'!H10=C220,ISNUMBER('Calibrare_Linii'!J10),'Calibrare_Linii'!J10&lt;='Input_Meci'!G21)),"TAIL VALIDATED","OOS PENDING")))</x:f>
      </x:c>
      <x:c r="AK220" s="2" t="n">
        <x:f>IF(J220&lt;&gt;"PASS",0,'Motor_Meciuri'!BR21)</x:f>
        <x:v>0</x:v>
      </x:c>
      <x:c r="AL220" s="2" t="n">
        <x:f>IF(J220&lt;&gt;"PASS",0,'Motor_Meciuri'!BS21)</x:f>
        <x:v>0</x:v>
      </x:c>
      <x:c r="AM220" s="2" t="n">
        <x:f>IF(J220&lt;&gt;"PASS",0,'Motor_Meciuri'!BT21)</x:f>
        <x:v>0</x:v>
      </x:c>
      <x:c r="AN220" s="2" t="str">
        <x:f>IF(M220="","",MAX(0,'Motor_Meciuri'!BF21-IF(L220&gt;'Config_v6'!$B$12,'Config_v6'!$B$37,IF(L220&gt;'Config_v6'!$B$11,'Config_v6'!$B$36,0))))</x:f>
      </x:c>
    </x:row>
    <x:row r="221" ht="21" customHeight="1">
      <x:c r="A221" s="2" t="n">
        <x:v>16</x:v>
      </x:c>
      <x:c r="B221" s="2" t="str">
        <x:f>IF('Motor_Meciuri'!A21="","",'Motor_Meciuri'!A21)</x:f>
      </x:c>
      <x:c r="C221" s="2" t="str">
        <x:f>IF(B221="","",'Motor_Meciuri'!B21)</x:f>
      </x:c>
      <x:c r="D221" s="2" t="str">
        <x:f>IF(B221="","",'Motor_Meciuri'!D21)</x:f>
      </x:c>
      <x:c r="E221" s="2" t="str">
        <x:f>IF(B221="","",'Motor_Meciuri'!E21)</x:f>
      </x:c>
      <x:c r="F221" s="2" t="str">
        <x:v>O8,5</x:v>
      </x:c>
      <x:c r="G221" s="2" t="str">
        <x:v>OVER</x:v>
      </x:c>
      <x:c r="H221" s="2" t="n">
        <x:v>8</x:v>
      </x:c>
      <x:c r="I221" s="2" t="str">
        <x:f>IF(B221="","",'Motor_Meciuri'!H21)</x:f>
      </x:c>
      <x:c r="J221" s="2" t="str">
        <x:f>IF(B221="","",'Motor_Meciuri'!I21)</x:f>
      </x:c>
      <x:c r="K221" s="11" t="str">
        <x:f>IF(J221&lt;&gt;"PASS","",'Motor_Meciuri'!BD21)</x:f>
      </x:c>
      <x:c r="L221" s="11" t="str">
        <x:f>IF(J221&lt;&gt;"PASS","",'Motor_Meciuri'!AU21)</x:f>
      </x:c>
      <x:c r="M221" s="10" t="str">
        <x:f>IF(NOT(AND(J221="PASS",'Calibrare_Linii'!U11="VALID")),"",1-'Distributie'!AF21)</x:f>
      </x:c>
      <x:c r="N221" s="10" t="str">
        <x:f>IF(M221="","",MAX(0.01,MIN(0.99,0.5+(M221-0.5)*'Motor_Meciuri'!BG21*'Calibrare_Linii'!D11)))</x:f>
      </x:c>
      <x:c r="O221" s="10" t="str">
        <x:f>IF(M221="","",1-M221)</x:f>
      </x:c>
      <x:c r="P221" s="10" t="str">
        <x:f>IF(OR(NOT(AND(J221="PASS",'Calibrare_Linii'!U11="VALID")),AK221=0),""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*('Istoric_Nativ'!$Q$6:$Q$405&lt;=H221))/AK221)</x:f>
      </x:c>
      <x:c r="Q221" s="10" t="str">
        <x:f>IF(OR(NOT(AND(J221="PASS",'Calibrare_Linii'!U11="VALID")),AL221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M21)+((('Istoric_Nativ'!$E$6:$E$405='Input_Meci'!E21)+('Istoric_Nativ'!$F$6:$F$405='Input_Meci'!E21))&gt;0)*('Istoric_Nativ'!$D$6:$D$405&gt;='Motor_Meciuri'!BN21))&gt;0)*('Istoric_Nativ'!$Q$6:$Q$405&lt;=H221))/AL221)</x:f>
      </x:c>
      <x:c r="R221" s="10" t="str">
        <x:f>IF(OR(NOT(AND(J221="PASS",'Calibrare_Linii'!U11="VALID")),AM221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O21)+((('Istoric_Nativ'!$E$6:$E$405='Input_Meci'!E21)+('Istoric_Nativ'!$F$6:$F$405='Input_Meci'!E21))&gt;0)*('Istoric_Nativ'!$D$6:$D$405&gt;='Motor_Meciuri'!BP21))&gt;0)*('Istoric_Nativ'!$Q$6:$Q$405&lt;=H221))/AM221)</x:f>
      </x:c>
      <x:c r="S221" s="10" t="str">
        <x:f>IF(M221="","",MAX(O221,P221,Q221,R221))</x:f>
      </x:c>
      <x:c r="T221" s="11" t="str">
        <x:f>IF(M221="","",MIN(100,S221*100*'Config_v6'!$B$44+MIN(100,L221/'Config_v6'!$B$13*100)*'Config_v6'!$B$45+(100-'Motor_Meciuri'!BF21)*'Config_v6'!$B$46+'Motor_Meciuri'!BH21*100*'Config_v6'!$B$47))</x:f>
      </x:c>
      <x:c r="U221" s="2" t="str">
        <x:f>IF(T221="","",IF(T221&lt;=20,1,IF(T221&lt;=40,2,IF(T221&lt;=60,3,IF(T221&lt;=80,4,5)))))</x:f>
      </x:c>
      <x:c r="V221" s="2" t="str">
        <x:f>IF(M221="","",MAX(0,'Motor_Meciuri'!BF21-IF(W221="OOS PENDING",'Config_v6'!$B$35,0)-IF(L221&gt;'Config_v6'!$B$12,'Config_v6'!$B$37,IF(L221&gt;'Config_v6'!$B$11,'Config_v6'!$B$36,0))))</x:f>
      </x:c>
      <x:c r="W221" s="2" t="str">
        <x:f>IF(B221="","",IF(I221&lt;&gt;"READY","NOT RELEASED",IF(NOT(AND(J221="PASS",'Calibrare_Linii'!U11="VALID")),"INVALID",IF(NOT(AND('Calibrare_Linii'!S11="VALIDATED",AND('Calibrare_Linii'!H11=C221,ISNUMBER('Calibrare_Linii'!J11),'Calibrare_Linii'!J11&lt;='Input_Meci'!G21))),"OOS PENDING",IF(S221&lt;='Calibrare_Linii'!E11,"PASS",IF(S221&lt;='Calibrare_Linii'!F11,"PENALTY","WATCH"))))))</x:f>
      </x:c>
      <x:c r="X221" s="2" t="str">
        <x:f>IF(M221="","",IF(AND(AND(J221="PASS",'Calibrare_Linii'!U11="VALID"),'Motor_Meciuri'!K21=12,'Motor_Meciuri'!L21=12,'Motor_Meciuri'!M21="NO",'Motor_Meciuri'!BL21='Motor_Meciuri'!C21,AB221&gt;='Config_v6'!$B$50,AN221&gt;='Config_v6'!$B$51,T221&lt;='Config_v6'!$B$52,L221&lt;='Config_v6'!$B$53,ISNUMBER('Calibrare_Linii'!E11),S221&lt;='Calibrare_Linii'!E11,SUM(AK221:AM221)&gt;0),"CANDIDATE","NO"))</x:f>
      </x:c>
      <x:c r="Y221" s="2" t="str">
        <x:f>IF(B221="","",IF(I221&lt;&gt;"READY","NOT RELEASED",IF(AND(X221="CANDIDATE",V221&gt;='Config_v6'!$B$51,W221="PASS",'Calibrare_Linii'!T11="VALIDATED",AND('Calibrare_Linii'!H11=C221,ISNUMBER('Calibrare_Linii'!J11),'Calibrare_Linii'!J11&lt;='Input_Meci'!G21)),"PASS",IF(X221="CANDIDATE","OOS PENDING","FAIL"))))</x:f>
      </x:c>
      <x:c r="Z221" s="2" t="str">
        <x:f>IF(B221="","",IF(I221&lt;&gt;"READY","",IF(OR(NOT(AND(J221="PASS",'Calibrare_Linii'!U11="VALID")),L221&gt;'Config_v6'!$B$13,W221="WATCH"),5,IF(Y221="PASS",1,MIN(5,MAX('Config_v6'!$B$42,U221)+IF(W221="PENALTY",1,0))))))</x:f>
      </x:c>
      <x:c r="AA221" s="2" t="str">
        <x:f>IF(B221="","",IF(I221&lt;&gt;"READY","NOT RELEASED",IF(Z221=5,"NO BET",IF(OR(AB221&lt;'Config_v6'!$B$16,V221&lt;'Config_v6'!$B$18),"WATCH",IF(Z221=1,"DEFENSIV",IF(Z221=2,"PRUDENT",IF(Z221=3,"MODERAT","RIDICAT")))))))</x:f>
      </x:c>
      <x:c r="AB221" s="10" t="str">
        <x:f>IF(N221="","",MIN(N221,1-S221))</x:f>
      </x:c>
      <x:c r="AC221" s="2" t="str">
        <x:f>IF(AD221&lt;&gt;1,"",COUNTIFS($Z$216:$Z$229,"&lt;"&amp;Z221,$AD$216:$AD$229,1)+COUNTIFS($Z$216:$Z$229,Z221,$AB$216:$AB$229,"&gt;"&amp;AB221,$AD$216:$AD$229,1)+COUNTIFS($Z$216:$Z$229,Z221,$AB$216:$AB$229,AB221,$V$216:$V$229,"&gt;"&amp;V221,$AD$216:$AD$229,1)+COUNTIFS($Z$216:Z221,Z221,$AB$216:AB221,AB221,$V$216:V221,V221,$AD$216:AD221,1))</x:f>
      </x:c>
      <x:c r="AD221" s="2" t="n">
        <x:f>IF(OR(AA221="DEFENSIV",AA221="PRUDENT",AA221="MODERAT",AA221="RIDICAT"),1,0)</x:f>
        <x:v>0</x:v>
      </x:c>
      <x:c r="AE221" s="2" t="str">
        <x:f>IF(AD221&lt;&gt;1,"NO",IF(W221="PASS","YES",IF(W221="OOS PENDING","CONDITIONAL","NO")))</x:f>
        <x:v>NO</x:v>
      </x:c>
      <x:c r="AF221" s="2" t="n">
        <x:f>IF(AND(AD221=1,AC221=1,E221="LIVE"),1,0)</x:f>
        <x:v>0</x:v>
      </x:c>
      <x:c r="AG221" s="2" t="str">
        <x:f>IF(AF221&lt;&gt;1,"",'Dashboard'!P41)</x:f>
      </x:c>
      <x:c r="AH221" s="2" t="str">
        <x:f>IF(B221="","",IF(J221&lt;&gt;"PASS",'Motor_Meciuri'!J21,IF('Calibrare_Linii'!U11&lt;&gt;"VALID","Parametri linie invalizi",IF(L221&gt;'Config_v6'!$B$13,"Dispersie peste limita",IF(W221="WATCH","Failure peste limita",IF(AB221&lt;'Config_v6'!$B$16,"P finala sub prag",IF(V221&lt;'Config_v6'!$B$18,"Confidence sub prag",IF(E221="REPLAY","Exemplu retrospectiv; exclus din Top LIVE",IF(Y221="PASS","DEFENSIV validat",IF(W221="OOS PENDING","Eligibil; calibrare linie in monitorizare","Eligibil"))))))))))</x:f>
      </x:c>
      <x:c r="AI221" s="2" t="str">
        <x:f>IF(B221="","",'Calibrare_Linii'!V11)</x:f>
      </x:c>
      <x:c r="AJ221" s="2" t="str">
        <x:f>IF(B221="","",IF(AND('Calibrare_Linii'!T11="VALIDATED",AND('Calibrare_Linii'!H11=C221,ISNUMBER('Calibrare_Linii'!J11),'Calibrare_Linii'!J11&lt;='Input_Meci'!G21)),"DEFENSIVE VALIDATED",IF(AND('Calibrare_Linii'!S11="VALIDATED",AND('Calibrare_Linii'!H11=C221,ISNUMBER('Calibrare_Linii'!J11),'Calibrare_Linii'!J11&lt;='Input_Meci'!G21)),"TAIL VALIDATED","OOS PENDING")))</x:f>
      </x:c>
      <x:c r="AK221" s="2" t="n">
        <x:f>IF(J221&lt;&gt;"PASS",0,'Motor_Meciuri'!BR21)</x:f>
        <x:v>0</x:v>
      </x:c>
      <x:c r="AL221" s="2" t="n">
        <x:f>IF(J221&lt;&gt;"PASS",0,'Motor_Meciuri'!BS21)</x:f>
        <x:v>0</x:v>
      </x:c>
      <x:c r="AM221" s="2" t="n">
        <x:f>IF(J221&lt;&gt;"PASS",0,'Motor_Meciuri'!BT21)</x:f>
        <x:v>0</x:v>
      </x:c>
      <x:c r="AN221" s="2" t="str">
        <x:f>IF(M221="","",MAX(0,'Motor_Meciuri'!BF21-IF(L221&gt;'Config_v6'!$B$12,'Config_v6'!$B$37,IF(L221&gt;'Config_v6'!$B$11,'Config_v6'!$B$36,0))))</x:f>
      </x:c>
    </x:row>
    <x:row r="222" ht="21" customHeight="1">
      <x:c r="A222" s="2" t="n">
        <x:v>16</x:v>
      </x:c>
      <x:c r="B222" s="2" t="str">
        <x:f>IF('Motor_Meciuri'!A21="","",'Motor_Meciuri'!A21)</x:f>
      </x:c>
      <x:c r="C222" s="2" t="str">
        <x:f>IF(B222="","",'Motor_Meciuri'!B21)</x:f>
      </x:c>
      <x:c r="D222" s="2" t="str">
        <x:f>IF(B222="","",'Motor_Meciuri'!D21)</x:f>
      </x:c>
      <x:c r="E222" s="2" t="str">
        <x:f>IF(B222="","",'Motor_Meciuri'!E21)</x:f>
      </x:c>
      <x:c r="F222" s="2" t="str">
        <x:v>U10,5</x:v>
      </x:c>
      <x:c r="G222" s="2" t="str">
        <x:v>UNDER</x:v>
      </x:c>
      <x:c r="H222" s="2" t="n">
        <x:v>10</x:v>
      </x:c>
      <x:c r="I222" s="2" t="str">
        <x:f>IF(B222="","",'Motor_Meciuri'!H21)</x:f>
      </x:c>
      <x:c r="J222" s="2" t="str">
        <x:f>IF(B222="","",'Motor_Meciuri'!I21)</x:f>
      </x:c>
      <x:c r="K222" s="11" t="str">
        <x:f>IF(J222&lt;&gt;"PASS","",'Motor_Meciuri'!BD21)</x:f>
      </x:c>
      <x:c r="L222" s="11" t="str">
        <x:f>IF(J222&lt;&gt;"PASS","",'Motor_Meciuri'!AU21)</x:f>
      </x:c>
      <x:c r="M222" s="10" t="str">
        <x:f>IF(NOT(AND(J222="PASS",'Calibrare_Linii'!U12="VALID")),"",'Distributie'!AH21)</x:f>
      </x:c>
      <x:c r="N222" s="10" t="str">
        <x:f>IF(M222="","",MAX(0.01,MIN(0.99,0.5+(M222-0.5)*'Motor_Meciuri'!BG21*'Calibrare_Linii'!D12)))</x:f>
      </x:c>
      <x:c r="O222" s="10" t="str">
        <x:f>IF(M222="","",1-M222)</x:f>
      </x:c>
      <x:c r="P222" s="10" t="str">
        <x:f>IF(OR(NOT(AND(J222="PASS",'Calibrare_Linii'!U12="VALID")),AK222=0),""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*('Istoric_Nativ'!$Q$6:$Q$405&gt;H222))/AK222)</x:f>
      </x:c>
      <x:c r="Q222" s="10" t="str">
        <x:f>IF(OR(NOT(AND(J222="PASS",'Calibrare_Linii'!U12="VALID")),AL222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M21)+((('Istoric_Nativ'!$E$6:$E$405='Input_Meci'!E21)+('Istoric_Nativ'!$F$6:$F$405='Input_Meci'!E21))&gt;0)*('Istoric_Nativ'!$D$6:$D$405&gt;='Motor_Meciuri'!BN21))&gt;0)*('Istoric_Nativ'!$Q$6:$Q$405&gt;H222))/AL222)</x:f>
      </x:c>
      <x:c r="R222" s="10" t="str">
        <x:f>IF(OR(NOT(AND(J222="PASS",'Calibrare_Linii'!U12="VALID")),AM222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O21)+((('Istoric_Nativ'!$E$6:$E$405='Input_Meci'!E21)+('Istoric_Nativ'!$F$6:$F$405='Input_Meci'!E21))&gt;0)*('Istoric_Nativ'!$D$6:$D$405&gt;='Motor_Meciuri'!BP21))&gt;0)*('Istoric_Nativ'!$Q$6:$Q$405&gt;H222))/AM222)</x:f>
      </x:c>
      <x:c r="S222" s="10" t="str">
        <x:f>IF(M222="","",MAX(O222,P222,Q222,R222))</x:f>
      </x:c>
      <x:c r="T222" s="11" t="str">
        <x:f>IF(M222="","",MIN(100,S222*100*'Config_v6'!$B$44+MIN(100,L222/'Config_v6'!$B$13*100)*'Config_v6'!$B$45+(100-'Motor_Meciuri'!BF21)*'Config_v6'!$B$46+'Motor_Meciuri'!BH21*100*'Config_v6'!$B$47))</x:f>
      </x:c>
      <x:c r="U222" s="2" t="str">
        <x:f>IF(T222="","",IF(T222&lt;=20,1,IF(T222&lt;=40,2,IF(T222&lt;=60,3,IF(T222&lt;=80,4,5)))))</x:f>
      </x:c>
      <x:c r="V222" s="2" t="str">
        <x:f>IF(M222="","",MAX(0,'Motor_Meciuri'!BF21-IF(W222="OOS PENDING",'Config_v6'!$B$35,0)-IF(L222&gt;'Config_v6'!$B$12,'Config_v6'!$B$37,IF(L222&gt;'Config_v6'!$B$11,'Config_v6'!$B$36,0))))</x:f>
      </x:c>
      <x:c r="W222" s="2" t="str">
        <x:f>IF(B222="","",IF(I222&lt;&gt;"READY","NOT RELEASED",IF(NOT(AND(J222="PASS",'Calibrare_Linii'!U12="VALID")),"INVALID",IF(NOT(AND('Calibrare_Linii'!S12="VALIDATED",AND('Calibrare_Linii'!H12=C222,ISNUMBER('Calibrare_Linii'!J12),'Calibrare_Linii'!J12&lt;='Input_Meci'!G21))),"OOS PENDING",IF(S222&lt;='Calibrare_Linii'!E12,"PASS",IF(S222&lt;='Calibrare_Linii'!F12,"PENALTY","WATCH"))))))</x:f>
      </x:c>
      <x:c r="X222" s="2" t="str">
        <x:f>IF(M222="","",IF(AND(AND(J222="PASS",'Calibrare_Linii'!U12="VALID"),'Motor_Meciuri'!K21=12,'Motor_Meciuri'!L21=12,'Motor_Meciuri'!M21="NO",'Motor_Meciuri'!BL21='Motor_Meciuri'!C21,AB222&gt;='Config_v6'!$B$50,AN222&gt;='Config_v6'!$B$51,T222&lt;='Config_v6'!$B$52,L222&lt;='Config_v6'!$B$53,ISNUMBER('Calibrare_Linii'!E12),S222&lt;='Calibrare_Linii'!E12,SUM(AK222:AM222)&gt;0),"CANDIDATE","NO"))</x:f>
      </x:c>
      <x:c r="Y222" s="2" t="str">
        <x:f>IF(B222="","",IF(I222&lt;&gt;"READY","NOT RELEASED",IF(AND(X222="CANDIDATE",V222&gt;='Config_v6'!$B$51,W222="PASS",'Calibrare_Linii'!T12="VALIDATED",AND('Calibrare_Linii'!H12=C222,ISNUMBER('Calibrare_Linii'!J12),'Calibrare_Linii'!J12&lt;='Input_Meci'!G21)),"PASS",IF(X222="CANDIDATE","OOS PENDING","FAIL"))))</x:f>
      </x:c>
      <x:c r="Z222" s="2" t="str">
        <x:f>IF(B222="","",IF(I222&lt;&gt;"READY","",IF(OR(NOT(AND(J222="PASS",'Calibrare_Linii'!U12="VALID")),L222&gt;'Config_v6'!$B$13,W222="WATCH"),5,IF(Y222="PASS",1,MIN(5,MAX('Config_v6'!$B$42,U222)+IF(W222="PENALTY",1,0))))))</x:f>
      </x:c>
      <x:c r="AA222" s="2" t="str">
        <x:f>IF(B222="","",IF(I222&lt;&gt;"READY","NOT RELEASED",IF(Z222=5,"NO BET",IF(OR(AB222&lt;'Config_v6'!$B$16,V222&lt;'Config_v6'!$B$18),"WATCH",IF(Z222=1,"DEFENSIV",IF(Z222=2,"PRUDENT",IF(Z222=3,"MODERAT","RIDICAT")))))))</x:f>
      </x:c>
      <x:c r="AB222" s="10" t="str">
        <x:f>IF(N222="","",MIN(N222,1-S222))</x:f>
      </x:c>
      <x:c r="AC222" s="2" t="str">
        <x:f>IF(AD222&lt;&gt;1,"",COUNTIFS($Z$216:$Z$229,"&lt;"&amp;Z222,$AD$216:$AD$229,1)+COUNTIFS($Z$216:$Z$229,Z222,$AB$216:$AB$229,"&gt;"&amp;AB222,$AD$216:$AD$229,1)+COUNTIFS($Z$216:$Z$229,Z222,$AB$216:$AB$229,AB222,$V$216:$V$229,"&gt;"&amp;V222,$AD$216:$AD$229,1)+COUNTIFS($Z$216:Z222,Z222,$AB$216:AB222,AB222,$V$216:V222,V222,$AD$216:AD222,1))</x:f>
      </x:c>
      <x:c r="AD222" s="2" t="n">
        <x:f>IF(OR(AA222="DEFENSIV",AA222="PRUDENT",AA222="MODERAT",AA222="RIDICAT"),1,0)</x:f>
        <x:v>0</x:v>
      </x:c>
      <x:c r="AE222" s="2" t="str">
        <x:f>IF(AD222&lt;&gt;1,"NO",IF(W222="PASS","YES",IF(W222="OOS PENDING","CONDITIONAL","NO")))</x:f>
        <x:v>NO</x:v>
      </x:c>
      <x:c r="AF222" s="2" t="n">
        <x:f>IF(AND(AD222=1,AC222=1,E222="LIVE"),1,0)</x:f>
        <x:v>0</x:v>
      </x:c>
      <x:c r="AG222" s="2" t="str">
        <x:f>IF(AF222&lt;&gt;1,"",'Dashboard'!P41)</x:f>
      </x:c>
      <x:c r="AH222" s="2" t="str">
        <x:f>IF(B222="","",IF(J222&lt;&gt;"PASS",'Motor_Meciuri'!J21,IF('Calibrare_Linii'!U12&lt;&gt;"VALID","Parametri linie invalizi",IF(L222&gt;'Config_v6'!$B$13,"Dispersie peste limita",IF(W222="WATCH","Failure peste limita",IF(AB222&lt;'Config_v6'!$B$16,"P finala sub prag",IF(V222&lt;'Config_v6'!$B$18,"Confidence sub prag",IF(E222="REPLAY","Exemplu retrospectiv; exclus din Top LIVE",IF(Y222="PASS","DEFENSIV validat",IF(W222="OOS PENDING","Eligibil; calibrare linie in monitorizare","Eligibil"))))))))))</x:f>
      </x:c>
      <x:c r="AI222" s="2" t="str">
        <x:f>IF(B222="","",'Calibrare_Linii'!V12)</x:f>
      </x:c>
      <x:c r="AJ222" s="2" t="str">
        <x:f>IF(B222="","",IF(AND('Calibrare_Linii'!T12="VALIDATED",AND('Calibrare_Linii'!H12=C222,ISNUMBER('Calibrare_Linii'!J12),'Calibrare_Linii'!J12&lt;='Input_Meci'!G21)),"DEFENSIVE VALIDATED",IF(AND('Calibrare_Linii'!S12="VALIDATED",AND('Calibrare_Linii'!H12=C222,ISNUMBER('Calibrare_Linii'!J12),'Calibrare_Linii'!J12&lt;='Input_Meci'!G21)),"TAIL VALIDATED","OOS PENDING")))</x:f>
      </x:c>
      <x:c r="AK222" s="2" t="n">
        <x:f>IF(J222&lt;&gt;"PASS",0,'Motor_Meciuri'!BR21)</x:f>
        <x:v>0</x:v>
      </x:c>
      <x:c r="AL222" s="2" t="n">
        <x:f>IF(J222&lt;&gt;"PASS",0,'Motor_Meciuri'!BS21)</x:f>
        <x:v>0</x:v>
      </x:c>
      <x:c r="AM222" s="2" t="n">
        <x:f>IF(J222&lt;&gt;"PASS",0,'Motor_Meciuri'!BT21)</x:f>
        <x:v>0</x:v>
      </x:c>
      <x:c r="AN222" s="2" t="str">
        <x:f>IF(M222="","",MAX(0,'Motor_Meciuri'!BF21-IF(L222&gt;'Config_v6'!$B$12,'Config_v6'!$B$37,IF(L222&gt;'Config_v6'!$B$11,'Config_v6'!$B$36,0))))</x:f>
      </x:c>
    </x:row>
    <x:row r="223" ht="21" customHeight="1">
      <x:c r="A223" s="2" t="n">
        <x:v>16</x:v>
      </x:c>
      <x:c r="B223" s="2" t="str">
        <x:f>IF('Motor_Meciuri'!A21="","",'Motor_Meciuri'!A21)</x:f>
      </x:c>
      <x:c r="C223" s="2" t="str">
        <x:f>IF(B223="","",'Motor_Meciuri'!B21)</x:f>
      </x:c>
      <x:c r="D223" s="2" t="str">
        <x:f>IF(B223="","",'Motor_Meciuri'!D21)</x:f>
      </x:c>
      <x:c r="E223" s="2" t="str">
        <x:f>IF(B223="","",'Motor_Meciuri'!E21)</x:f>
      </x:c>
      <x:c r="F223" s="2" t="str">
        <x:v>U11,5</x:v>
      </x:c>
      <x:c r="G223" s="2" t="str">
        <x:v>UNDER</x:v>
      </x:c>
      <x:c r="H223" s="2" t="n">
        <x:v>11</x:v>
      </x:c>
      <x:c r="I223" s="2" t="str">
        <x:f>IF(B223="","",'Motor_Meciuri'!H21)</x:f>
      </x:c>
      <x:c r="J223" s="2" t="str">
        <x:f>IF(B223="","",'Motor_Meciuri'!I21)</x:f>
      </x:c>
      <x:c r="K223" s="11" t="str">
        <x:f>IF(J223&lt;&gt;"PASS","",'Motor_Meciuri'!BD21)</x:f>
      </x:c>
      <x:c r="L223" s="11" t="str">
        <x:f>IF(J223&lt;&gt;"PASS","",'Motor_Meciuri'!AU21)</x:f>
      </x:c>
      <x:c r="M223" s="10" t="str">
        <x:f>IF(NOT(AND(J223="PASS",'Calibrare_Linii'!U13="VALID")),"",'Distributie'!AI21)</x:f>
      </x:c>
      <x:c r="N223" s="10" t="str">
        <x:f>IF(M223="","",MAX(0.01,MIN(0.99,0.5+(M223-0.5)*'Motor_Meciuri'!BG21*'Calibrare_Linii'!D13)))</x:f>
      </x:c>
      <x:c r="O223" s="10" t="str">
        <x:f>IF(M223="","",1-M223)</x:f>
      </x:c>
      <x:c r="P223" s="10" t="str">
        <x:f>IF(OR(NOT(AND(J223="PASS",'Calibrare_Linii'!U13="VALID")),AK223=0),""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*('Istoric_Nativ'!$Q$6:$Q$405&gt;H223))/AK223)</x:f>
      </x:c>
      <x:c r="Q223" s="10" t="str">
        <x:f>IF(OR(NOT(AND(J223="PASS",'Calibrare_Linii'!U13="VALID")),AL223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M21)+((('Istoric_Nativ'!$E$6:$E$405='Input_Meci'!E21)+('Istoric_Nativ'!$F$6:$F$405='Input_Meci'!E21))&gt;0)*('Istoric_Nativ'!$D$6:$D$405&gt;='Motor_Meciuri'!BN21))&gt;0)*('Istoric_Nativ'!$Q$6:$Q$405&gt;H223))/AL223)</x:f>
      </x:c>
      <x:c r="R223" s="10" t="str">
        <x:f>IF(OR(NOT(AND(J223="PASS",'Calibrare_Linii'!U13="VALID")),AM223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O21)+((('Istoric_Nativ'!$E$6:$E$405='Input_Meci'!E21)+('Istoric_Nativ'!$F$6:$F$405='Input_Meci'!E21))&gt;0)*('Istoric_Nativ'!$D$6:$D$405&gt;='Motor_Meciuri'!BP21))&gt;0)*('Istoric_Nativ'!$Q$6:$Q$405&gt;H223))/AM223)</x:f>
      </x:c>
      <x:c r="S223" s="10" t="str">
        <x:f>IF(M223="","",MAX(O223,P223,Q223,R223))</x:f>
      </x:c>
      <x:c r="T223" s="11" t="str">
        <x:f>IF(M223="","",MIN(100,S223*100*'Config_v6'!$B$44+MIN(100,L223/'Config_v6'!$B$13*100)*'Config_v6'!$B$45+(100-'Motor_Meciuri'!BF21)*'Config_v6'!$B$46+'Motor_Meciuri'!BH21*100*'Config_v6'!$B$47))</x:f>
      </x:c>
      <x:c r="U223" s="2" t="str">
        <x:f>IF(T223="","",IF(T223&lt;=20,1,IF(T223&lt;=40,2,IF(T223&lt;=60,3,IF(T223&lt;=80,4,5)))))</x:f>
      </x:c>
      <x:c r="V223" s="2" t="str">
        <x:f>IF(M223="","",MAX(0,'Motor_Meciuri'!BF21-IF(W223="OOS PENDING",'Config_v6'!$B$35,0)-IF(L223&gt;'Config_v6'!$B$12,'Config_v6'!$B$37,IF(L223&gt;'Config_v6'!$B$11,'Config_v6'!$B$36,0))))</x:f>
      </x:c>
      <x:c r="W223" s="2" t="str">
        <x:f>IF(B223="","",IF(I223&lt;&gt;"READY","NOT RELEASED",IF(NOT(AND(J223="PASS",'Calibrare_Linii'!U13="VALID")),"INVALID",IF(NOT(AND('Calibrare_Linii'!S13="VALIDATED",AND('Calibrare_Linii'!H13=C223,ISNUMBER('Calibrare_Linii'!J13),'Calibrare_Linii'!J13&lt;='Input_Meci'!G21))),"OOS PENDING",IF(S223&lt;='Calibrare_Linii'!E13,"PASS",IF(S223&lt;='Calibrare_Linii'!F13,"PENALTY","WATCH"))))))</x:f>
      </x:c>
      <x:c r="X223" s="2" t="str">
        <x:f>IF(M223="","",IF(AND(AND(J223="PASS",'Calibrare_Linii'!U13="VALID"),'Motor_Meciuri'!K21=12,'Motor_Meciuri'!L21=12,'Motor_Meciuri'!M21="NO",'Motor_Meciuri'!BL21='Motor_Meciuri'!C21,AB223&gt;='Config_v6'!$B$50,AN223&gt;='Config_v6'!$B$51,T223&lt;='Config_v6'!$B$52,L223&lt;='Config_v6'!$B$53,ISNUMBER('Calibrare_Linii'!E13),S223&lt;='Calibrare_Linii'!E13,SUM(AK223:AM223)&gt;0),"CANDIDATE","NO"))</x:f>
      </x:c>
      <x:c r="Y223" s="2" t="str">
        <x:f>IF(B223="","",IF(I223&lt;&gt;"READY","NOT RELEASED",IF(AND(X223="CANDIDATE",V223&gt;='Config_v6'!$B$51,W223="PASS",'Calibrare_Linii'!T13="VALIDATED",AND('Calibrare_Linii'!H13=C223,ISNUMBER('Calibrare_Linii'!J13),'Calibrare_Linii'!J13&lt;='Input_Meci'!G21)),"PASS",IF(X223="CANDIDATE","OOS PENDING","FAIL"))))</x:f>
      </x:c>
      <x:c r="Z223" s="2" t="str">
        <x:f>IF(B223="","",IF(I223&lt;&gt;"READY","",IF(OR(NOT(AND(J223="PASS",'Calibrare_Linii'!U13="VALID")),L223&gt;'Config_v6'!$B$13,W223="WATCH"),5,IF(Y223="PASS",1,MIN(5,MAX('Config_v6'!$B$42,U223)+IF(W223="PENALTY",1,0))))))</x:f>
      </x:c>
      <x:c r="AA223" s="2" t="str">
        <x:f>IF(B223="","",IF(I223&lt;&gt;"READY","NOT RELEASED",IF(Z223=5,"NO BET",IF(OR(AB223&lt;'Config_v6'!$B$16,V223&lt;'Config_v6'!$B$18),"WATCH",IF(Z223=1,"DEFENSIV",IF(Z223=2,"PRUDENT",IF(Z223=3,"MODERAT","RIDICAT")))))))</x:f>
      </x:c>
      <x:c r="AB223" s="10" t="str">
        <x:f>IF(N223="","",MIN(N223,1-S223))</x:f>
      </x:c>
      <x:c r="AC223" s="2" t="str">
        <x:f>IF(AD223&lt;&gt;1,"",COUNTIFS($Z$216:$Z$229,"&lt;"&amp;Z223,$AD$216:$AD$229,1)+COUNTIFS($Z$216:$Z$229,Z223,$AB$216:$AB$229,"&gt;"&amp;AB223,$AD$216:$AD$229,1)+COUNTIFS($Z$216:$Z$229,Z223,$AB$216:$AB$229,AB223,$V$216:$V$229,"&gt;"&amp;V223,$AD$216:$AD$229,1)+COUNTIFS($Z$216:Z223,Z223,$AB$216:AB223,AB223,$V$216:V223,V223,$AD$216:AD223,1))</x:f>
      </x:c>
      <x:c r="AD223" s="2" t="n">
        <x:f>IF(OR(AA223="DEFENSIV",AA223="PRUDENT",AA223="MODERAT",AA223="RIDICAT"),1,0)</x:f>
        <x:v>0</x:v>
      </x:c>
      <x:c r="AE223" s="2" t="str">
        <x:f>IF(AD223&lt;&gt;1,"NO",IF(W223="PASS","YES",IF(W223="OOS PENDING","CONDITIONAL","NO")))</x:f>
        <x:v>NO</x:v>
      </x:c>
      <x:c r="AF223" s="2" t="n">
        <x:f>IF(AND(AD223=1,AC223=1,E223="LIVE"),1,0)</x:f>
        <x:v>0</x:v>
      </x:c>
      <x:c r="AG223" s="2" t="str">
        <x:f>IF(AF223&lt;&gt;1,"",'Dashboard'!P41)</x:f>
      </x:c>
      <x:c r="AH223" s="2" t="str">
        <x:f>IF(B223="","",IF(J223&lt;&gt;"PASS",'Motor_Meciuri'!J21,IF('Calibrare_Linii'!U13&lt;&gt;"VALID","Parametri linie invalizi",IF(L223&gt;'Config_v6'!$B$13,"Dispersie peste limita",IF(W223="WATCH","Failure peste limita",IF(AB223&lt;'Config_v6'!$B$16,"P finala sub prag",IF(V223&lt;'Config_v6'!$B$18,"Confidence sub prag",IF(E223="REPLAY","Exemplu retrospectiv; exclus din Top LIVE",IF(Y223="PASS","DEFENSIV validat",IF(W223="OOS PENDING","Eligibil; calibrare linie in monitorizare","Eligibil"))))))))))</x:f>
      </x:c>
      <x:c r="AI223" s="2" t="str">
        <x:f>IF(B223="","",'Calibrare_Linii'!V13)</x:f>
      </x:c>
      <x:c r="AJ223" s="2" t="str">
        <x:f>IF(B223="","",IF(AND('Calibrare_Linii'!T13="VALIDATED",AND('Calibrare_Linii'!H13=C223,ISNUMBER('Calibrare_Linii'!J13),'Calibrare_Linii'!J13&lt;='Input_Meci'!G21)),"DEFENSIVE VALIDATED",IF(AND('Calibrare_Linii'!S13="VALIDATED",AND('Calibrare_Linii'!H13=C223,ISNUMBER('Calibrare_Linii'!J13),'Calibrare_Linii'!J13&lt;='Input_Meci'!G21)),"TAIL VALIDATED","OOS PENDING")))</x:f>
      </x:c>
      <x:c r="AK223" s="2" t="n">
        <x:f>IF(J223&lt;&gt;"PASS",0,'Motor_Meciuri'!BR21)</x:f>
        <x:v>0</x:v>
      </x:c>
      <x:c r="AL223" s="2" t="n">
        <x:f>IF(J223&lt;&gt;"PASS",0,'Motor_Meciuri'!BS21)</x:f>
        <x:v>0</x:v>
      </x:c>
      <x:c r="AM223" s="2" t="n">
        <x:f>IF(J223&lt;&gt;"PASS",0,'Motor_Meciuri'!BT21)</x:f>
        <x:v>0</x:v>
      </x:c>
      <x:c r="AN223" s="2" t="str">
        <x:f>IF(M223="","",MAX(0,'Motor_Meciuri'!BF21-IF(L223&gt;'Config_v6'!$B$12,'Config_v6'!$B$37,IF(L223&gt;'Config_v6'!$B$11,'Config_v6'!$B$36,0))))</x:f>
      </x:c>
    </x:row>
    <x:row r="224" ht="21" customHeight="1">
      <x:c r="A224" s="2" t="n">
        <x:v>16</x:v>
      </x:c>
      <x:c r="B224" s="2" t="str">
        <x:f>IF('Motor_Meciuri'!A21="","",'Motor_Meciuri'!A21)</x:f>
      </x:c>
      <x:c r="C224" s="2" t="str">
        <x:f>IF(B224="","",'Motor_Meciuri'!B21)</x:f>
      </x:c>
      <x:c r="D224" s="2" t="str">
        <x:f>IF(B224="","",'Motor_Meciuri'!D21)</x:f>
      </x:c>
      <x:c r="E224" s="2" t="str">
        <x:f>IF(B224="","",'Motor_Meciuri'!E21)</x:f>
      </x:c>
      <x:c r="F224" s="2" t="str">
        <x:v>U12,5</x:v>
      </x:c>
      <x:c r="G224" s="2" t="str">
        <x:v>UNDER</x:v>
      </x:c>
      <x:c r="H224" s="2" t="n">
        <x:v>12</x:v>
      </x:c>
      <x:c r="I224" s="2" t="str">
        <x:f>IF(B224="","",'Motor_Meciuri'!H21)</x:f>
      </x:c>
      <x:c r="J224" s="2" t="str">
        <x:f>IF(B224="","",'Motor_Meciuri'!I21)</x:f>
      </x:c>
      <x:c r="K224" s="11" t="str">
        <x:f>IF(J224&lt;&gt;"PASS","",'Motor_Meciuri'!BD21)</x:f>
      </x:c>
      <x:c r="L224" s="11" t="str">
        <x:f>IF(J224&lt;&gt;"PASS","",'Motor_Meciuri'!AU21)</x:f>
      </x:c>
      <x:c r="M224" s="10" t="str">
        <x:f>IF(NOT(AND(J224="PASS",'Calibrare_Linii'!U14="VALID")),"",'Distributie'!AJ21)</x:f>
      </x:c>
      <x:c r="N224" s="10" t="str">
        <x:f>IF(M224="","",MAX(0.01,MIN(0.99,0.5+(M224-0.5)*'Motor_Meciuri'!BG21*'Calibrare_Linii'!D14)))</x:f>
      </x:c>
      <x:c r="O224" s="10" t="str">
        <x:f>IF(M224="","",1-M224)</x:f>
      </x:c>
      <x:c r="P224" s="10" t="str">
        <x:f>IF(OR(NOT(AND(J224="PASS",'Calibrare_Linii'!U14="VALID")),AK224=0),""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*('Istoric_Nativ'!$Q$6:$Q$405&gt;H224))/AK224)</x:f>
      </x:c>
      <x:c r="Q224" s="10" t="str">
        <x:f>IF(OR(NOT(AND(J224="PASS",'Calibrare_Linii'!U14="VALID")),AL224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M21)+((('Istoric_Nativ'!$E$6:$E$405='Input_Meci'!E21)+('Istoric_Nativ'!$F$6:$F$405='Input_Meci'!E21))&gt;0)*('Istoric_Nativ'!$D$6:$D$405&gt;='Motor_Meciuri'!BN21))&gt;0)*('Istoric_Nativ'!$Q$6:$Q$405&gt;H224))/AL224)</x:f>
      </x:c>
      <x:c r="R224" s="10" t="str">
        <x:f>IF(OR(NOT(AND(J224="PASS",'Calibrare_Linii'!U14="VALID")),AM224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O21)+((('Istoric_Nativ'!$E$6:$E$405='Input_Meci'!E21)+('Istoric_Nativ'!$F$6:$F$405='Input_Meci'!E21))&gt;0)*('Istoric_Nativ'!$D$6:$D$405&gt;='Motor_Meciuri'!BP21))&gt;0)*('Istoric_Nativ'!$Q$6:$Q$405&gt;H224))/AM224)</x:f>
      </x:c>
      <x:c r="S224" s="10" t="str">
        <x:f>IF(M224="","",MAX(O224,P224,Q224,R224))</x:f>
      </x:c>
      <x:c r="T224" s="11" t="str">
        <x:f>IF(M224="","",MIN(100,S224*100*'Config_v6'!$B$44+MIN(100,L224/'Config_v6'!$B$13*100)*'Config_v6'!$B$45+(100-'Motor_Meciuri'!BF21)*'Config_v6'!$B$46+'Motor_Meciuri'!BH21*100*'Config_v6'!$B$47))</x:f>
      </x:c>
      <x:c r="U224" s="2" t="str">
        <x:f>IF(T224="","",IF(T224&lt;=20,1,IF(T224&lt;=40,2,IF(T224&lt;=60,3,IF(T224&lt;=80,4,5)))))</x:f>
      </x:c>
      <x:c r="V224" s="2" t="str">
        <x:f>IF(M224="","",MAX(0,'Motor_Meciuri'!BF21-IF(W224="OOS PENDING",'Config_v6'!$B$35,0)-IF(L224&gt;'Config_v6'!$B$12,'Config_v6'!$B$37,IF(L224&gt;'Config_v6'!$B$11,'Config_v6'!$B$36,0))))</x:f>
      </x:c>
      <x:c r="W224" s="2" t="str">
        <x:f>IF(B224="","",IF(I224&lt;&gt;"READY","NOT RELEASED",IF(NOT(AND(J224="PASS",'Calibrare_Linii'!U14="VALID")),"INVALID",IF(NOT(AND('Calibrare_Linii'!S14="VALIDATED",AND('Calibrare_Linii'!H14=C224,ISNUMBER('Calibrare_Linii'!J14),'Calibrare_Linii'!J14&lt;='Input_Meci'!G21))),"OOS PENDING",IF(S224&lt;='Calibrare_Linii'!E14,"PASS",IF(S224&lt;='Calibrare_Linii'!F14,"PENALTY","WATCH"))))))</x:f>
      </x:c>
      <x:c r="X224" s="2" t="str">
        <x:f>IF(M224="","",IF(AND(AND(J224="PASS",'Calibrare_Linii'!U14="VALID"),'Motor_Meciuri'!K21=12,'Motor_Meciuri'!L21=12,'Motor_Meciuri'!M21="NO",'Motor_Meciuri'!BL21='Motor_Meciuri'!C21,AB224&gt;='Config_v6'!$B$50,AN224&gt;='Config_v6'!$B$51,T224&lt;='Config_v6'!$B$52,L224&lt;='Config_v6'!$B$53,ISNUMBER('Calibrare_Linii'!E14),S224&lt;='Calibrare_Linii'!E14,SUM(AK224:AM224)&gt;0),"CANDIDATE","NO"))</x:f>
      </x:c>
      <x:c r="Y224" s="2" t="str">
        <x:f>IF(B224="","",IF(I224&lt;&gt;"READY","NOT RELEASED",IF(AND(X224="CANDIDATE",V224&gt;='Config_v6'!$B$51,W224="PASS",'Calibrare_Linii'!T14="VALIDATED",AND('Calibrare_Linii'!H14=C224,ISNUMBER('Calibrare_Linii'!J14),'Calibrare_Linii'!J14&lt;='Input_Meci'!G21)),"PASS",IF(X224="CANDIDATE","OOS PENDING","FAIL"))))</x:f>
      </x:c>
      <x:c r="Z224" s="2" t="str">
        <x:f>IF(B224="","",IF(I224&lt;&gt;"READY","",IF(OR(NOT(AND(J224="PASS",'Calibrare_Linii'!U14="VALID")),L224&gt;'Config_v6'!$B$13,W224="WATCH"),5,IF(Y224="PASS",1,MIN(5,MAX('Config_v6'!$B$42,U224)+IF(W224="PENALTY",1,0))))))</x:f>
      </x:c>
      <x:c r="AA224" s="2" t="str">
        <x:f>IF(B224="","",IF(I224&lt;&gt;"READY","NOT RELEASED",IF(Z224=5,"NO BET",IF(OR(AB224&lt;'Config_v6'!$B$16,V224&lt;'Config_v6'!$B$18),"WATCH",IF(Z224=1,"DEFENSIV",IF(Z224=2,"PRUDENT",IF(Z224=3,"MODERAT","RIDICAT")))))))</x:f>
      </x:c>
      <x:c r="AB224" s="10" t="str">
        <x:f>IF(N224="","",MIN(N224,1-S224))</x:f>
      </x:c>
      <x:c r="AC224" s="2" t="str">
        <x:f>IF(AD224&lt;&gt;1,"",COUNTIFS($Z$216:$Z$229,"&lt;"&amp;Z224,$AD$216:$AD$229,1)+COUNTIFS($Z$216:$Z$229,Z224,$AB$216:$AB$229,"&gt;"&amp;AB224,$AD$216:$AD$229,1)+COUNTIFS($Z$216:$Z$229,Z224,$AB$216:$AB$229,AB224,$V$216:$V$229,"&gt;"&amp;V224,$AD$216:$AD$229,1)+COUNTIFS($Z$216:Z224,Z224,$AB$216:AB224,AB224,$V$216:V224,V224,$AD$216:AD224,1))</x:f>
      </x:c>
      <x:c r="AD224" s="2" t="n">
        <x:f>IF(OR(AA224="DEFENSIV",AA224="PRUDENT",AA224="MODERAT",AA224="RIDICAT"),1,0)</x:f>
        <x:v>0</x:v>
      </x:c>
      <x:c r="AE224" s="2" t="str">
        <x:f>IF(AD224&lt;&gt;1,"NO",IF(W224="PASS","YES",IF(W224="OOS PENDING","CONDITIONAL","NO")))</x:f>
        <x:v>NO</x:v>
      </x:c>
      <x:c r="AF224" s="2" t="n">
        <x:f>IF(AND(AD224=1,AC224=1,E224="LIVE"),1,0)</x:f>
        <x:v>0</x:v>
      </x:c>
      <x:c r="AG224" s="2" t="str">
        <x:f>IF(AF224&lt;&gt;1,"",'Dashboard'!P41)</x:f>
      </x:c>
      <x:c r="AH224" s="2" t="str">
        <x:f>IF(B224="","",IF(J224&lt;&gt;"PASS",'Motor_Meciuri'!J21,IF('Calibrare_Linii'!U14&lt;&gt;"VALID","Parametri linie invalizi",IF(L224&gt;'Config_v6'!$B$13,"Dispersie peste limita",IF(W224="WATCH","Failure peste limita",IF(AB224&lt;'Config_v6'!$B$16,"P finala sub prag",IF(V224&lt;'Config_v6'!$B$18,"Confidence sub prag",IF(E224="REPLAY","Exemplu retrospectiv; exclus din Top LIVE",IF(Y224="PASS","DEFENSIV validat",IF(W224="OOS PENDING","Eligibil; calibrare linie in monitorizare","Eligibil"))))))))))</x:f>
      </x:c>
      <x:c r="AI224" s="2" t="str">
        <x:f>IF(B224="","",'Calibrare_Linii'!V14)</x:f>
      </x:c>
      <x:c r="AJ224" s="2" t="str">
        <x:f>IF(B224="","",IF(AND('Calibrare_Linii'!T14="VALIDATED",AND('Calibrare_Linii'!H14=C224,ISNUMBER('Calibrare_Linii'!J14),'Calibrare_Linii'!J14&lt;='Input_Meci'!G21)),"DEFENSIVE VALIDATED",IF(AND('Calibrare_Linii'!S14="VALIDATED",AND('Calibrare_Linii'!H14=C224,ISNUMBER('Calibrare_Linii'!J14),'Calibrare_Linii'!J14&lt;='Input_Meci'!G21)),"TAIL VALIDATED","OOS PENDING")))</x:f>
      </x:c>
      <x:c r="AK224" s="2" t="n">
        <x:f>IF(J224&lt;&gt;"PASS",0,'Motor_Meciuri'!BR21)</x:f>
        <x:v>0</x:v>
      </x:c>
      <x:c r="AL224" s="2" t="n">
        <x:f>IF(J224&lt;&gt;"PASS",0,'Motor_Meciuri'!BS21)</x:f>
        <x:v>0</x:v>
      </x:c>
      <x:c r="AM224" s="2" t="n">
        <x:f>IF(J224&lt;&gt;"PASS",0,'Motor_Meciuri'!BT21)</x:f>
        <x:v>0</x:v>
      </x:c>
      <x:c r="AN224" s="2" t="str">
        <x:f>IF(M224="","",MAX(0,'Motor_Meciuri'!BF21-IF(L224&gt;'Config_v6'!$B$12,'Config_v6'!$B$37,IF(L224&gt;'Config_v6'!$B$11,'Config_v6'!$B$36,0))))</x:f>
      </x:c>
    </x:row>
    <x:row r="225" ht="21" customHeight="1">
      <x:c r="A225" s="2" t="n">
        <x:v>16</x:v>
      </x:c>
      <x:c r="B225" s="2" t="str">
        <x:f>IF('Motor_Meciuri'!A21="","",'Motor_Meciuri'!A21)</x:f>
      </x:c>
      <x:c r="C225" s="2" t="str">
        <x:f>IF(B225="","",'Motor_Meciuri'!B21)</x:f>
      </x:c>
      <x:c r="D225" s="2" t="str">
        <x:f>IF(B225="","",'Motor_Meciuri'!D21)</x:f>
      </x:c>
      <x:c r="E225" s="2" t="str">
        <x:f>IF(B225="","",'Motor_Meciuri'!E21)</x:f>
      </x:c>
      <x:c r="F225" s="2" t="str">
        <x:v>U13,5</x:v>
      </x:c>
      <x:c r="G225" s="2" t="str">
        <x:v>UNDER</x:v>
      </x:c>
      <x:c r="H225" s="2" t="n">
        <x:v>13</x:v>
      </x:c>
      <x:c r="I225" s="2" t="str">
        <x:f>IF(B225="","",'Motor_Meciuri'!H21)</x:f>
      </x:c>
      <x:c r="J225" s="2" t="str">
        <x:f>IF(B225="","",'Motor_Meciuri'!I21)</x:f>
      </x:c>
      <x:c r="K225" s="11" t="str">
        <x:f>IF(J225&lt;&gt;"PASS","",'Motor_Meciuri'!BD21)</x:f>
      </x:c>
      <x:c r="L225" s="11" t="str">
        <x:f>IF(J225&lt;&gt;"PASS","",'Motor_Meciuri'!AU21)</x:f>
      </x:c>
      <x:c r="M225" s="10" t="str">
        <x:f>IF(NOT(AND(J225="PASS",'Calibrare_Linii'!U15="VALID")),"",'Distributie'!AK21)</x:f>
      </x:c>
      <x:c r="N225" s="10" t="str">
        <x:f>IF(M225="","",MAX(0.01,MIN(0.99,0.5+(M225-0.5)*'Motor_Meciuri'!BG21*'Calibrare_Linii'!D15)))</x:f>
      </x:c>
      <x:c r="O225" s="10" t="str">
        <x:f>IF(M225="","",1-M225)</x:f>
      </x:c>
      <x:c r="P225" s="10" t="str">
        <x:f>IF(OR(NOT(AND(J225="PASS",'Calibrare_Linii'!U15="VALID")),AK225=0),""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*('Istoric_Nativ'!$Q$6:$Q$405&gt;H225))/AK225)</x:f>
      </x:c>
      <x:c r="Q225" s="10" t="str">
        <x:f>IF(OR(NOT(AND(J225="PASS",'Calibrare_Linii'!U15="VALID")),AL225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M21)+((('Istoric_Nativ'!$E$6:$E$405='Input_Meci'!E21)+('Istoric_Nativ'!$F$6:$F$405='Input_Meci'!E21))&gt;0)*('Istoric_Nativ'!$D$6:$D$405&gt;='Motor_Meciuri'!BN21))&gt;0)*('Istoric_Nativ'!$Q$6:$Q$405&gt;H225))/AL225)</x:f>
      </x:c>
      <x:c r="R225" s="10" t="str">
        <x:f>IF(OR(NOT(AND(J225="PASS",'Calibrare_Linii'!U15="VALID")),AM225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O21)+((('Istoric_Nativ'!$E$6:$E$405='Input_Meci'!E21)+('Istoric_Nativ'!$F$6:$F$405='Input_Meci'!E21))&gt;0)*('Istoric_Nativ'!$D$6:$D$405&gt;='Motor_Meciuri'!BP21))&gt;0)*('Istoric_Nativ'!$Q$6:$Q$405&gt;H225))/AM225)</x:f>
      </x:c>
      <x:c r="S225" s="10" t="str">
        <x:f>IF(M225="","",MAX(O225,P225,Q225,R225))</x:f>
      </x:c>
      <x:c r="T225" s="11" t="str">
        <x:f>IF(M225="","",MIN(100,S225*100*'Config_v6'!$B$44+MIN(100,L225/'Config_v6'!$B$13*100)*'Config_v6'!$B$45+(100-'Motor_Meciuri'!BF21)*'Config_v6'!$B$46+'Motor_Meciuri'!BH21*100*'Config_v6'!$B$47))</x:f>
      </x:c>
      <x:c r="U225" s="2" t="str">
        <x:f>IF(T225="","",IF(T225&lt;=20,1,IF(T225&lt;=40,2,IF(T225&lt;=60,3,IF(T225&lt;=80,4,5)))))</x:f>
      </x:c>
      <x:c r="V225" s="2" t="str">
        <x:f>IF(M225="","",MAX(0,'Motor_Meciuri'!BF21-IF(W225="OOS PENDING",'Config_v6'!$B$35,0)-IF(L225&gt;'Config_v6'!$B$12,'Config_v6'!$B$37,IF(L225&gt;'Config_v6'!$B$11,'Config_v6'!$B$36,0))))</x:f>
      </x:c>
      <x:c r="W225" s="2" t="str">
        <x:f>IF(B225="","",IF(I225&lt;&gt;"READY","NOT RELEASED",IF(NOT(AND(J225="PASS",'Calibrare_Linii'!U15="VALID")),"INVALID",IF(NOT(AND('Calibrare_Linii'!S15="VALIDATED",AND('Calibrare_Linii'!H15=C225,ISNUMBER('Calibrare_Linii'!J15),'Calibrare_Linii'!J15&lt;='Input_Meci'!G21))),"OOS PENDING",IF(S225&lt;='Calibrare_Linii'!E15,"PASS",IF(S225&lt;='Calibrare_Linii'!F15,"PENALTY","WATCH"))))))</x:f>
      </x:c>
      <x:c r="X225" s="2" t="str">
        <x:f>IF(M225="","",IF(AND(AND(J225="PASS",'Calibrare_Linii'!U15="VALID"),'Motor_Meciuri'!K21=12,'Motor_Meciuri'!L21=12,'Motor_Meciuri'!M21="NO",'Motor_Meciuri'!BL21='Motor_Meciuri'!C21,AB225&gt;='Config_v6'!$B$50,AN225&gt;='Config_v6'!$B$51,T225&lt;='Config_v6'!$B$52,L225&lt;='Config_v6'!$B$53,ISNUMBER('Calibrare_Linii'!E15),S225&lt;='Calibrare_Linii'!E15,SUM(AK225:AM225)&gt;0),"CANDIDATE","NO"))</x:f>
      </x:c>
      <x:c r="Y225" s="2" t="str">
        <x:f>IF(B225="","",IF(I225&lt;&gt;"READY","NOT RELEASED",IF(AND(X225="CANDIDATE",V225&gt;='Config_v6'!$B$51,W225="PASS",'Calibrare_Linii'!T15="VALIDATED",AND('Calibrare_Linii'!H15=C225,ISNUMBER('Calibrare_Linii'!J15),'Calibrare_Linii'!J15&lt;='Input_Meci'!G21)),"PASS",IF(X225="CANDIDATE","OOS PENDING","FAIL"))))</x:f>
      </x:c>
      <x:c r="Z225" s="2" t="str">
        <x:f>IF(B225="","",IF(I225&lt;&gt;"READY","",IF(OR(NOT(AND(J225="PASS",'Calibrare_Linii'!U15="VALID")),L225&gt;'Config_v6'!$B$13,W225="WATCH"),5,IF(Y225="PASS",1,MIN(5,MAX('Config_v6'!$B$42,U225)+IF(W225="PENALTY",1,0))))))</x:f>
      </x:c>
      <x:c r="AA225" s="2" t="str">
        <x:f>IF(B225="","",IF(I225&lt;&gt;"READY","NOT RELEASED",IF(Z225=5,"NO BET",IF(OR(AB225&lt;'Config_v6'!$B$16,V225&lt;'Config_v6'!$B$18),"WATCH",IF(Z225=1,"DEFENSIV",IF(Z225=2,"PRUDENT",IF(Z225=3,"MODERAT","RIDICAT")))))))</x:f>
      </x:c>
      <x:c r="AB225" s="10" t="str">
        <x:f>IF(N225="","",MIN(N225,1-S225))</x:f>
      </x:c>
      <x:c r="AC225" s="2" t="str">
        <x:f>IF(AD225&lt;&gt;1,"",COUNTIFS($Z$216:$Z$229,"&lt;"&amp;Z225,$AD$216:$AD$229,1)+COUNTIFS($Z$216:$Z$229,Z225,$AB$216:$AB$229,"&gt;"&amp;AB225,$AD$216:$AD$229,1)+COUNTIFS($Z$216:$Z$229,Z225,$AB$216:$AB$229,AB225,$V$216:$V$229,"&gt;"&amp;V225,$AD$216:$AD$229,1)+COUNTIFS($Z$216:Z225,Z225,$AB$216:AB225,AB225,$V$216:V225,V225,$AD$216:AD225,1))</x:f>
      </x:c>
      <x:c r="AD225" s="2" t="n">
        <x:f>IF(OR(AA225="DEFENSIV",AA225="PRUDENT",AA225="MODERAT",AA225="RIDICAT"),1,0)</x:f>
        <x:v>0</x:v>
      </x:c>
      <x:c r="AE225" s="2" t="str">
        <x:f>IF(AD225&lt;&gt;1,"NO",IF(W225="PASS","YES",IF(W225="OOS PENDING","CONDITIONAL","NO")))</x:f>
        <x:v>NO</x:v>
      </x:c>
      <x:c r="AF225" s="2" t="n">
        <x:f>IF(AND(AD225=1,AC225=1,E225="LIVE"),1,0)</x:f>
        <x:v>0</x:v>
      </x:c>
      <x:c r="AG225" s="2" t="str">
        <x:f>IF(AF225&lt;&gt;1,"",'Dashboard'!P41)</x:f>
      </x:c>
      <x:c r="AH225" s="2" t="str">
        <x:f>IF(B225="","",IF(J225&lt;&gt;"PASS",'Motor_Meciuri'!J21,IF('Calibrare_Linii'!U15&lt;&gt;"VALID","Parametri linie invalizi",IF(L225&gt;'Config_v6'!$B$13,"Dispersie peste limita",IF(W225="WATCH","Failure peste limita",IF(AB225&lt;'Config_v6'!$B$16,"P finala sub prag",IF(V225&lt;'Config_v6'!$B$18,"Confidence sub prag",IF(E225="REPLAY","Exemplu retrospectiv; exclus din Top LIVE",IF(Y225="PASS","DEFENSIV validat",IF(W225="OOS PENDING","Eligibil; calibrare linie in monitorizare","Eligibil"))))))))))</x:f>
      </x:c>
      <x:c r="AI225" s="2" t="str">
        <x:f>IF(B225="","",'Calibrare_Linii'!V15)</x:f>
      </x:c>
      <x:c r="AJ225" s="2" t="str">
        <x:f>IF(B225="","",IF(AND('Calibrare_Linii'!T15="VALIDATED",AND('Calibrare_Linii'!H15=C225,ISNUMBER('Calibrare_Linii'!J15),'Calibrare_Linii'!J15&lt;='Input_Meci'!G21)),"DEFENSIVE VALIDATED",IF(AND('Calibrare_Linii'!S15="VALIDATED",AND('Calibrare_Linii'!H15=C225,ISNUMBER('Calibrare_Linii'!J15),'Calibrare_Linii'!J15&lt;='Input_Meci'!G21)),"TAIL VALIDATED","OOS PENDING")))</x:f>
      </x:c>
      <x:c r="AK225" s="2" t="n">
        <x:f>IF(J225&lt;&gt;"PASS",0,'Motor_Meciuri'!BR21)</x:f>
        <x:v>0</x:v>
      </x:c>
      <x:c r="AL225" s="2" t="n">
        <x:f>IF(J225&lt;&gt;"PASS",0,'Motor_Meciuri'!BS21)</x:f>
        <x:v>0</x:v>
      </x:c>
      <x:c r="AM225" s="2" t="n">
        <x:f>IF(J225&lt;&gt;"PASS",0,'Motor_Meciuri'!BT21)</x:f>
        <x:v>0</x:v>
      </x:c>
      <x:c r="AN225" s="2" t="str">
        <x:f>IF(M225="","",MAX(0,'Motor_Meciuri'!BF21-IF(L225&gt;'Config_v6'!$B$12,'Config_v6'!$B$37,IF(L225&gt;'Config_v6'!$B$11,'Config_v6'!$B$36,0))))</x:f>
      </x:c>
    </x:row>
    <x:row r="226" ht="21" customHeight="1">
      <x:c r="A226" s="2" t="n">
        <x:v>16</x:v>
      </x:c>
      <x:c r="B226" s="2" t="str">
        <x:f>IF('Motor_Meciuri'!A21="","",'Motor_Meciuri'!A21)</x:f>
      </x:c>
      <x:c r="C226" s="2" t="str">
        <x:f>IF(B226="","",'Motor_Meciuri'!B21)</x:f>
      </x:c>
      <x:c r="D226" s="2" t="str">
        <x:f>IF(B226="","",'Motor_Meciuri'!D21)</x:f>
      </x:c>
      <x:c r="E226" s="2" t="str">
        <x:f>IF(B226="","",'Motor_Meciuri'!E21)</x:f>
      </x:c>
      <x:c r="F226" s="2" t="str">
        <x:v>U14,5</x:v>
      </x:c>
      <x:c r="G226" s="2" t="str">
        <x:v>UNDER</x:v>
      </x:c>
      <x:c r="H226" s="2" t="n">
        <x:v>14</x:v>
      </x:c>
      <x:c r="I226" s="2" t="str">
        <x:f>IF(B226="","",'Motor_Meciuri'!H21)</x:f>
      </x:c>
      <x:c r="J226" s="2" t="str">
        <x:f>IF(B226="","",'Motor_Meciuri'!I21)</x:f>
      </x:c>
      <x:c r="K226" s="11" t="str">
        <x:f>IF(J226&lt;&gt;"PASS","",'Motor_Meciuri'!BD21)</x:f>
      </x:c>
      <x:c r="L226" s="11" t="str">
        <x:f>IF(J226&lt;&gt;"PASS","",'Motor_Meciuri'!AU21)</x:f>
      </x:c>
      <x:c r="M226" s="10" t="str">
        <x:f>IF(NOT(AND(J226="PASS",'Calibrare_Linii'!U16="VALID")),"",'Distributie'!AL21)</x:f>
      </x:c>
      <x:c r="N226" s="10" t="str">
        <x:f>IF(M226="","",MAX(0.01,MIN(0.99,0.5+(M226-0.5)*'Motor_Meciuri'!BG21*'Calibrare_Linii'!D16)))</x:f>
      </x:c>
      <x:c r="O226" s="10" t="str">
        <x:f>IF(M226="","",1-M226)</x:f>
      </x:c>
      <x:c r="P226" s="10" t="str">
        <x:f>IF(OR(NOT(AND(J226="PASS",'Calibrare_Linii'!U16="VALID")),AK226=0),""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*('Istoric_Nativ'!$Q$6:$Q$405&gt;H226))/AK226)</x:f>
      </x:c>
      <x:c r="Q226" s="10" t="str">
        <x:f>IF(OR(NOT(AND(J226="PASS",'Calibrare_Linii'!U16="VALID")),AL226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M21)+((('Istoric_Nativ'!$E$6:$E$405='Input_Meci'!E21)+('Istoric_Nativ'!$F$6:$F$405='Input_Meci'!E21))&gt;0)*('Istoric_Nativ'!$D$6:$D$405&gt;='Motor_Meciuri'!BN21))&gt;0)*('Istoric_Nativ'!$Q$6:$Q$405&gt;H226))/AL226)</x:f>
      </x:c>
      <x:c r="R226" s="10" t="str">
        <x:f>IF(OR(NOT(AND(J226="PASS",'Calibrare_Linii'!U16="VALID")),AM226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O21)+((('Istoric_Nativ'!$E$6:$E$405='Input_Meci'!E21)+('Istoric_Nativ'!$F$6:$F$405='Input_Meci'!E21))&gt;0)*('Istoric_Nativ'!$D$6:$D$405&gt;='Motor_Meciuri'!BP21))&gt;0)*('Istoric_Nativ'!$Q$6:$Q$405&gt;H226))/AM226)</x:f>
      </x:c>
      <x:c r="S226" s="10" t="str">
        <x:f>IF(M226="","",MAX(O226,P226,Q226,R226))</x:f>
      </x:c>
      <x:c r="T226" s="11" t="str">
        <x:f>IF(M226="","",MIN(100,S226*100*'Config_v6'!$B$44+MIN(100,L226/'Config_v6'!$B$13*100)*'Config_v6'!$B$45+(100-'Motor_Meciuri'!BF21)*'Config_v6'!$B$46+'Motor_Meciuri'!BH21*100*'Config_v6'!$B$47))</x:f>
      </x:c>
      <x:c r="U226" s="2" t="str">
        <x:f>IF(T226="","",IF(T226&lt;=20,1,IF(T226&lt;=40,2,IF(T226&lt;=60,3,IF(T226&lt;=80,4,5)))))</x:f>
      </x:c>
      <x:c r="V226" s="2" t="str">
        <x:f>IF(M226="","",MAX(0,'Motor_Meciuri'!BF21-IF(W226="OOS PENDING",'Config_v6'!$B$35,0)-IF(L226&gt;'Config_v6'!$B$12,'Config_v6'!$B$37,IF(L226&gt;'Config_v6'!$B$11,'Config_v6'!$B$36,0))))</x:f>
      </x:c>
      <x:c r="W226" s="2" t="str">
        <x:f>IF(B226="","",IF(I226&lt;&gt;"READY","NOT RELEASED",IF(NOT(AND(J226="PASS",'Calibrare_Linii'!U16="VALID")),"INVALID",IF(NOT(AND('Calibrare_Linii'!S16="VALIDATED",AND('Calibrare_Linii'!H16=C226,ISNUMBER('Calibrare_Linii'!J16),'Calibrare_Linii'!J16&lt;='Input_Meci'!G21))),"OOS PENDING",IF(S226&lt;='Calibrare_Linii'!E16,"PASS",IF(S226&lt;='Calibrare_Linii'!F16,"PENALTY","WATCH"))))))</x:f>
      </x:c>
      <x:c r="X226" s="2" t="str">
        <x:f>IF(M226="","",IF(AND(AND(J226="PASS",'Calibrare_Linii'!U16="VALID"),'Motor_Meciuri'!K21=12,'Motor_Meciuri'!L21=12,'Motor_Meciuri'!M21="NO",'Motor_Meciuri'!BL21='Motor_Meciuri'!C21,AB226&gt;='Config_v6'!$B$50,AN226&gt;='Config_v6'!$B$51,T226&lt;='Config_v6'!$B$52,L226&lt;='Config_v6'!$B$53,ISNUMBER('Calibrare_Linii'!E16),S226&lt;='Calibrare_Linii'!E16,SUM(AK226:AM226)&gt;0),"CANDIDATE","NO"))</x:f>
      </x:c>
      <x:c r="Y226" s="2" t="str">
        <x:f>IF(B226="","",IF(I226&lt;&gt;"READY","NOT RELEASED",IF(AND(X226="CANDIDATE",V226&gt;='Config_v6'!$B$51,W226="PASS",'Calibrare_Linii'!T16="VALIDATED",AND('Calibrare_Linii'!H16=C226,ISNUMBER('Calibrare_Linii'!J16),'Calibrare_Linii'!J16&lt;='Input_Meci'!G21)),"PASS",IF(X226="CANDIDATE","OOS PENDING","FAIL"))))</x:f>
      </x:c>
      <x:c r="Z226" s="2" t="str">
        <x:f>IF(B226="","",IF(I226&lt;&gt;"READY","",IF(OR(NOT(AND(J226="PASS",'Calibrare_Linii'!U16="VALID")),L226&gt;'Config_v6'!$B$13,W226="WATCH"),5,IF(Y226="PASS",1,MIN(5,MAX('Config_v6'!$B$42,U226)+IF(W226="PENALTY",1,0))))))</x:f>
      </x:c>
      <x:c r="AA226" s="2" t="str">
        <x:f>IF(B226="","",IF(I226&lt;&gt;"READY","NOT RELEASED",IF(Z226=5,"NO BET",IF(OR(AB226&lt;'Config_v6'!$B$16,V226&lt;'Config_v6'!$B$18),"WATCH",IF(Z226=1,"DEFENSIV",IF(Z226=2,"PRUDENT",IF(Z226=3,"MODERAT","RIDICAT")))))))</x:f>
      </x:c>
      <x:c r="AB226" s="10" t="str">
        <x:f>IF(N226="","",MIN(N226,1-S226))</x:f>
      </x:c>
      <x:c r="AC226" s="2" t="str">
        <x:f>IF(AD226&lt;&gt;1,"",COUNTIFS($Z$216:$Z$229,"&lt;"&amp;Z226,$AD$216:$AD$229,1)+COUNTIFS($Z$216:$Z$229,Z226,$AB$216:$AB$229,"&gt;"&amp;AB226,$AD$216:$AD$229,1)+COUNTIFS($Z$216:$Z$229,Z226,$AB$216:$AB$229,AB226,$V$216:$V$229,"&gt;"&amp;V226,$AD$216:$AD$229,1)+COUNTIFS($Z$216:Z226,Z226,$AB$216:AB226,AB226,$V$216:V226,V226,$AD$216:AD226,1))</x:f>
      </x:c>
      <x:c r="AD226" s="2" t="n">
        <x:f>IF(OR(AA226="DEFENSIV",AA226="PRUDENT",AA226="MODERAT",AA226="RIDICAT"),1,0)</x:f>
        <x:v>0</x:v>
      </x:c>
      <x:c r="AE226" s="2" t="str">
        <x:f>IF(AD226&lt;&gt;1,"NO",IF(W226="PASS","YES",IF(W226="OOS PENDING","CONDITIONAL","NO")))</x:f>
        <x:v>NO</x:v>
      </x:c>
      <x:c r="AF226" s="2" t="n">
        <x:f>IF(AND(AD226=1,AC226=1,E226="LIVE"),1,0)</x:f>
        <x:v>0</x:v>
      </x:c>
      <x:c r="AG226" s="2" t="str">
        <x:f>IF(AF226&lt;&gt;1,"",'Dashboard'!P41)</x:f>
      </x:c>
      <x:c r="AH226" s="2" t="str">
        <x:f>IF(B226="","",IF(J226&lt;&gt;"PASS",'Motor_Meciuri'!J21,IF('Calibrare_Linii'!U16&lt;&gt;"VALID","Parametri linie invalizi",IF(L226&gt;'Config_v6'!$B$13,"Dispersie peste limita",IF(W226="WATCH","Failure peste limita",IF(AB226&lt;'Config_v6'!$B$16,"P finala sub prag",IF(V226&lt;'Config_v6'!$B$18,"Confidence sub prag",IF(E226="REPLAY","Exemplu retrospectiv; exclus din Top LIVE",IF(Y226="PASS","DEFENSIV validat",IF(W226="OOS PENDING","Eligibil; calibrare linie in monitorizare","Eligibil"))))))))))</x:f>
      </x:c>
      <x:c r="AI226" s="2" t="str">
        <x:f>IF(B226="","",'Calibrare_Linii'!V16)</x:f>
      </x:c>
      <x:c r="AJ226" s="2" t="str">
        <x:f>IF(B226="","",IF(AND('Calibrare_Linii'!T16="VALIDATED",AND('Calibrare_Linii'!H16=C226,ISNUMBER('Calibrare_Linii'!J16),'Calibrare_Linii'!J16&lt;='Input_Meci'!G21)),"DEFENSIVE VALIDATED",IF(AND('Calibrare_Linii'!S16="VALIDATED",AND('Calibrare_Linii'!H16=C226,ISNUMBER('Calibrare_Linii'!J16),'Calibrare_Linii'!J16&lt;='Input_Meci'!G21)),"TAIL VALIDATED","OOS PENDING")))</x:f>
      </x:c>
      <x:c r="AK226" s="2" t="n">
        <x:f>IF(J226&lt;&gt;"PASS",0,'Motor_Meciuri'!BR21)</x:f>
        <x:v>0</x:v>
      </x:c>
      <x:c r="AL226" s="2" t="n">
        <x:f>IF(J226&lt;&gt;"PASS",0,'Motor_Meciuri'!BS21)</x:f>
        <x:v>0</x:v>
      </x:c>
      <x:c r="AM226" s="2" t="n">
        <x:f>IF(J226&lt;&gt;"PASS",0,'Motor_Meciuri'!BT21)</x:f>
        <x:v>0</x:v>
      </x:c>
      <x:c r="AN226" s="2" t="str">
        <x:f>IF(M226="","",MAX(0,'Motor_Meciuri'!BF21-IF(L226&gt;'Config_v6'!$B$12,'Config_v6'!$B$37,IF(L226&gt;'Config_v6'!$B$11,'Config_v6'!$B$36,0))))</x:f>
      </x:c>
    </x:row>
    <x:row r="227" ht="21" customHeight="1">
      <x:c r="A227" s="2" t="n">
        <x:v>16</x:v>
      </x:c>
      <x:c r="B227" s="2" t="str">
        <x:f>IF('Motor_Meciuri'!A21="","",'Motor_Meciuri'!A21)</x:f>
      </x:c>
      <x:c r="C227" s="2" t="str">
        <x:f>IF(B227="","",'Motor_Meciuri'!B21)</x:f>
      </x:c>
      <x:c r="D227" s="2" t="str">
        <x:f>IF(B227="","",'Motor_Meciuri'!D21)</x:f>
      </x:c>
      <x:c r="E227" s="2" t="str">
        <x:f>IF(B227="","",'Motor_Meciuri'!E21)</x:f>
      </x:c>
      <x:c r="F227" s="2" t="str">
        <x:v>U15,5</x:v>
      </x:c>
      <x:c r="G227" s="2" t="str">
        <x:v>UNDER</x:v>
      </x:c>
      <x:c r="H227" s="2" t="n">
        <x:v>15</x:v>
      </x:c>
      <x:c r="I227" s="2" t="str">
        <x:f>IF(B227="","",'Motor_Meciuri'!H21)</x:f>
      </x:c>
      <x:c r="J227" s="2" t="str">
        <x:f>IF(B227="","",'Motor_Meciuri'!I21)</x:f>
      </x:c>
      <x:c r="K227" s="11" t="str">
        <x:f>IF(J227&lt;&gt;"PASS","",'Motor_Meciuri'!BD21)</x:f>
      </x:c>
      <x:c r="L227" s="11" t="str">
        <x:f>IF(J227&lt;&gt;"PASS","",'Motor_Meciuri'!AU21)</x:f>
      </x:c>
      <x:c r="M227" s="10" t="str">
        <x:f>IF(NOT(AND(J227="PASS",'Calibrare_Linii'!U17="VALID")),"",'Distributie'!AM21)</x:f>
      </x:c>
      <x:c r="N227" s="10" t="str">
        <x:f>IF(M227="","",MAX(0.01,MIN(0.99,0.5+(M227-0.5)*'Motor_Meciuri'!BG21*'Calibrare_Linii'!D17)))</x:f>
      </x:c>
      <x:c r="O227" s="10" t="str">
        <x:f>IF(M227="","",1-M227)</x:f>
      </x:c>
      <x:c r="P227" s="10" t="str">
        <x:f>IF(OR(NOT(AND(J227="PASS",'Calibrare_Linii'!U17="VALID")),AK227=0),""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*('Istoric_Nativ'!$Q$6:$Q$405&gt;H227))/AK227)</x:f>
      </x:c>
      <x:c r="Q227" s="10" t="str">
        <x:f>IF(OR(NOT(AND(J227="PASS",'Calibrare_Linii'!U17="VALID")),AL227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M21)+((('Istoric_Nativ'!$E$6:$E$405='Input_Meci'!E21)+('Istoric_Nativ'!$F$6:$F$405='Input_Meci'!E21))&gt;0)*('Istoric_Nativ'!$D$6:$D$405&gt;='Motor_Meciuri'!BN21))&gt;0)*('Istoric_Nativ'!$Q$6:$Q$405&gt;H227))/AL227)</x:f>
      </x:c>
      <x:c r="R227" s="10" t="str">
        <x:f>IF(OR(NOT(AND(J227="PASS",'Calibrare_Linii'!U17="VALID")),AM227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O21)+((('Istoric_Nativ'!$E$6:$E$405='Input_Meci'!E21)+('Istoric_Nativ'!$F$6:$F$405='Input_Meci'!E21))&gt;0)*('Istoric_Nativ'!$D$6:$D$405&gt;='Motor_Meciuri'!BP21))&gt;0)*('Istoric_Nativ'!$Q$6:$Q$405&gt;H227))/AM227)</x:f>
      </x:c>
      <x:c r="S227" s="10" t="str">
        <x:f>IF(M227="","",MAX(O227,P227,Q227,R227))</x:f>
      </x:c>
      <x:c r="T227" s="11" t="str">
        <x:f>IF(M227="","",MIN(100,S227*100*'Config_v6'!$B$44+MIN(100,L227/'Config_v6'!$B$13*100)*'Config_v6'!$B$45+(100-'Motor_Meciuri'!BF21)*'Config_v6'!$B$46+'Motor_Meciuri'!BH21*100*'Config_v6'!$B$47))</x:f>
      </x:c>
      <x:c r="U227" s="2" t="str">
        <x:f>IF(T227="","",IF(T227&lt;=20,1,IF(T227&lt;=40,2,IF(T227&lt;=60,3,IF(T227&lt;=80,4,5)))))</x:f>
      </x:c>
      <x:c r="V227" s="2" t="str">
        <x:f>IF(M227="","",MAX(0,'Motor_Meciuri'!BF21-IF(W227="OOS PENDING",'Config_v6'!$B$35,0)-IF(L227&gt;'Config_v6'!$B$12,'Config_v6'!$B$37,IF(L227&gt;'Config_v6'!$B$11,'Config_v6'!$B$36,0))))</x:f>
      </x:c>
      <x:c r="W227" s="2" t="str">
        <x:f>IF(B227="","",IF(I227&lt;&gt;"READY","NOT RELEASED",IF(NOT(AND(J227="PASS",'Calibrare_Linii'!U17="VALID")),"INVALID",IF(NOT(AND('Calibrare_Linii'!S17="VALIDATED",AND('Calibrare_Linii'!H17=C227,ISNUMBER('Calibrare_Linii'!J17),'Calibrare_Linii'!J17&lt;='Input_Meci'!G21))),"OOS PENDING",IF(S227&lt;='Calibrare_Linii'!E17,"PASS",IF(S227&lt;='Calibrare_Linii'!F17,"PENALTY","WATCH"))))))</x:f>
      </x:c>
      <x:c r="X227" s="2" t="str">
        <x:f>IF(M227="","",IF(AND(AND(J227="PASS",'Calibrare_Linii'!U17="VALID"),'Motor_Meciuri'!K21=12,'Motor_Meciuri'!L21=12,'Motor_Meciuri'!M21="NO",'Motor_Meciuri'!BL21='Motor_Meciuri'!C21,AB227&gt;='Config_v6'!$B$50,AN227&gt;='Config_v6'!$B$51,T227&lt;='Config_v6'!$B$52,L227&lt;='Config_v6'!$B$53,ISNUMBER('Calibrare_Linii'!E17),S227&lt;='Calibrare_Linii'!E17,SUM(AK227:AM227)&gt;0),"CANDIDATE","NO"))</x:f>
      </x:c>
      <x:c r="Y227" s="2" t="str">
        <x:f>IF(B227="","",IF(I227&lt;&gt;"READY","NOT RELEASED",IF(AND(X227="CANDIDATE",V227&gt;='Config_v6'!$B$51,W227="PASS",'Calibrare_Linii'!T17="VALIDATED",AND('Calibrare_Linii'!H17=C227,ISNUMBER('Calibrare_Linii'!J17),'Calibrare_Linii'!J17&lt;='Input_Meci'!G21)),"PASS",IF(X227="CANDIDATE","OOS PENDING","FAIL"))))</x:f>
      </x:c>
      <x:c r="Z227" s="2" t="str">
        <x:f>IF(B227="","",IF(I227&lt;&gt;"READY","",IF(OR(NOT(AND(J227="PASS",'Calibrare_Linii'!U17="VALID")),L227&gt;'Config_v6'!$B$13,W227="WATCH"),5,IF(Y227="PASS",1,MIN(5,MAX('Config_v6'!$B$42,U227)+IF(W227="PENALTY",1,0))))))</x:f>
      </x:c>
      <x:c r="AA227" s="2" t="str">
        <x:f>IF(B227="","",IF(I227&lt;&gt;"READY","NOT RELEASED",IF(Z227=5,"NO BET",IF(OR(AB227&lt;'Config_v6'!$B$16,V227&lt;'Config_v6'!$B$18),"WATCH",IF(Z227=1,"DEFENSIV",IF(Z227=2,"PRUDENT",IF(Z227=3,"MODERAT","RIDICAT")))))))</x:f>
      </x:c>
      <x:c r="AB227" s="10" t="str">
        <x:f>IF(N227="","",MIN(N227,1-S227))</x:f>
      </x:c>
      <x:c r="AC227" s="2" t="str">
        <x:f>IF(AD227&lt;&gt;1,"",COUNTIFS($Z$216:$Z$229,"&lt;"&amp;Z227,$AD$216:$AD$229,1)+COUNTIFS($Z$216:$Z$229,Z227,$AB$216:$AB$229,"&gt;"&amp;AB227,$AD$216:$AD$229,1)+COUNTIFS($Z$216:$Z$229,Z227,$AB$216:$AB$229,AB227,$V$216:$V$229,"&gt;"&amp;V227,$AD$216:$AD$229,1)+COUNTIFS($Z$216:Z227,Z227,$AB$216:AB227,AB227,$V$216:V227,V227,$AD$216:AD227,1))</x:f>
      </x:c>
      <x:c r="AD227" s="2" t="n">
        <x:f>IF(OR(AA227="DEFENSIV",AA227="PRUDENT",AA227="MODERAT",AA227="RIDICAT"),1,0)</x:f>
        <x:v>0</x:v>
      </x:c>
      <x:c r="AE227" s="2" t="str">
        <x:f>IF(AD227&lt;&gt;1,"NO",IF(W227="PASS","YES",IF(W227="OOS PENDING","CONDITIONAL","NO")))</x:f>
        <x:v>NO</x:v>
      </x:c>
      <x:c r="AF227" s="2" t="n">
        <x:f>IF(AND(AD227=1,AC227=1,E227="LIVE"),1,0)</x:f>
        <x:v>0</x:v>
      </x:c>
      <x:c r="AG227" s="2" t="str">
        <x:f>IF(AF227&lt;&gt;1,"",'Dashboard'!P41)</x:f>
      </x:c>
      <x:c r="AH227" s="2" t="str">
        <x:f>IF(B227="","",IF(J227&lt;&gt;"PASS",'Motor_Meciuri'!J21,IF('Calibrare_Linii'!U17&lt;&gt;"VALID","Parametri linie invalizi",IF(L227&gt;'Config_v6'!$B$13,"Dispersie peste limita",IF(W227="WATCH","Failure peste limita",IF(AB227&lt;'Config_v6'!$B$16,"P finala sub prag",IF(V227&lt;'Config_v6'!$B$18,"Confidence sub prag",IF(E227="REPLAY","Exemplu retrospectiv; exclus din Top LIVE",IF(Y227="PASS","DEFENSIV validat",IF(W227="OOS PENDING","Eligibil; calibrare linie in monitorizare","Eligibil"))))))))))</x:f>
      </x:c>
      <x:c r="AI227" s="2" t="str">
        <x:f>IF(B227="","",'Calibrare_Linii'!V17)</x:f>
      </x:c>
      <x:c r="AJ227" s="2" t="str">
        <x:f>IF(B227="","",IF(AND('Calibrare_Linii'!T17="VALIDATED",AND('Calibrare_Linii'!H17=C227,ISNUMBER('Calibrare_Linii'!J17),'Calibrare_Linii'!J17&lt;='Input_Meci'!G21)),"DEFENSIVE VALIDATED",IF(AND('Calibrare_Linii'!S17="VALIDATED",AND('Calibrare_Linii'!H17=C227,ISNUMBER('Calibrare_Linii'!J17),'Calibrare_Linii'!J17&lt;='Input_Meci'!G21)),"TAIL VALIDATED","OOS PENDING")))</x:f>
      </x:c>
      <x:c r="AK227" s="2" t="n">
        <x:f>IF(J227&lt;&gt;"PASS",0,'Motor_Meciuri'!BR21)</x:f>
        <x:v>0</x:v>
      </x:c>
      <x:c r="AL227" s="2" t="n">
        <x:f>IF(J227&lt;&gt;"PASS",0,'Motor_Meciuri'!BS21)</x:f>
        <x:v>0</x:v>
      </x:c>
      <x:c r="AM227" s="2" t="n">
        <x:f>IF(J227&lt;&gt;"PASS",0,'Motor_Meciuri'!BT21)</x:f>
        <x:v>0</x:v>
      </x:c>
      <x:c r="AN227" s="2" t="str">
        <x:f>IF(M227="","",MAX(0,'Motor_Meciuri'!BF21-IF(L227&gt;'Config_v6'!$B$12,'Config_v6'!$B$37,IF(L227&gt;'Config_v6'!$B$11,'Config_v6'!$B$36,0))))</x:f>
      </x:c>
    </x:row>
    <x:row r="228" ht="21" customHeight="1">
      <x:c r="A228" s="2" t="n">
        <x:v>16</x:v>
      </x:c>
      <x:c r="B228" s="2" t="str">
        <x:f>IF('Motor_Meciuri'!A21="","",'Motor_Meciuri'!A21)</x:f>
      </x:c>
      <x:c r="C228" s="2" t="str">
        <x:f>IF(B228="","",'Motor_Meciuri'!B21)</x:f>
      </x:c>
      <x:c r="D228" s="2" t="str">
        <x:f>IF(B228="","",'Motor_Meciuri'!D21)</x:f>
      </x:c>
      <x:c r="E228" s="2" t="str">
        <x:f>IF(B228="","",'Motor_Meciuri'!E21)</x:f>
      </x:c>
      <x:c r="F228" s="2" t="str">
        <x:v>U16,5</x:v>
      </x:c>
      <x:c r="G228" s="2" t="str">
        <x:v>UNDER</x:v>
      </x:c>
      <x:c r="H228" s="2" t="n">
        <x:v>16</x:v>
      </x:c>
      <x:c r="I228" s="2" t="str">
        <x:f>IF(B228="","",'Motor_Meciuri'!H21)</x:f>
      </x:c>
      <x:c r="J228" s="2" t="str">
        <x:f>IF(B228="","",'Motor_Meciuri'!I21)</x:f>
      </x:c>
      <x:c r="K228" s="11" t="str">
        <x:f>IF(J228&lt;&gt;"PASS","",'Motor_Meciuri'!BD21)</x:f>
      </x:c>
      <x:c r="L228" s="11" t="str">
        <x:f>IF(J228&lt;&gt;"PASS","",'Motor_Meciuri'!AU21)</x:f>
      </x:c>
      <x:c r="M228" s="10" t="str">
        <x:f>IF(NOT(AND(J228="PASS",'Calibrare_Linii'!U18="VALID")),"",'Distributie'!AN21)</x:f>
      </x:c>
      <x:c r="N228" s="10" t="str">
        <x:f>IF(M228="","",MAX(0.01,MIN(0.99,0.5+(M228-0.5)*'Motor_Meciuri'!BG21*'Calibrare_Linii'!D18)))</x:f>
      </x:c>
      <x:c r="O228" s="10" t="str">
        <x:f>IF(M228="","",1-M228)</x:f>
      </x:c>
      <x:c r="P228" s="10" t="str">
        <x:f>IF(OR(NOT(AND(J228="PASS",'Calibrare_Linii'!U18="VALID")),AK228=0),""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*('Istoric_Nativ'!$Q$6:$Q$405&gt;H228))/AK228)</x:f>
      </x:c>
      <x:c r="Q228" s="10" t="str">
        <x:f>IF(OR(NOT(AND(J228="PASS",'Calibrare_Linii'!U18="VALID")),AL228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M21)+((('Istoric_Nativ'!$E$6:$E$405='Input_Meci'!E21)+('Istoric_Nativ'!$F$6:$F$405='Input_Meci'!E21))&gt;0)*('Istoric_Nativ'!$D$6:$D$405&gt;='Motor_Meciuri'!BN21))&gt;0)*('Istoric_Nativ'!$Q$6:$Q$405&gt;H228))/AL228)</x:f>
      </x:c>
      <x:c r="R228" s="10" t="str">
        <x:f>IF(OR(NOT(AND(J228="PASS",'Calibrare_Linii'!U18="VALID")),AM228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O21)+((('Istoric_Nativ'!$E$6:$E$405='Input_Meci'!E21)+('Istoric_Nativ'!$F$6:$F$405='Input_Meci'!E21))&gt;0)*('Istoric_Nativ'!$D$6:$D$405&gt;='Motor_Meciuri'!BP21))&gt;0)*('Istoric_Nativ'!$Q$6:$Q$405&gt;H228))/AM228)</x:f>
      </x:c>
      <x:c r="S228" s="10" t="str">
        <x:f>IF(M228="","",MAX(O228,P228,Q228,R228))</x:f>
      </x:c>
      <x:c r="T228" s="11" t="str">
        <x:f>IF(M228="","",MIN(100,S228*100*'Config_v6'!$B$44+MIN(100,L228/'Config_v6'!$B$13*100)*'Config_v6'!$B$45+(100-'Motor_Meciuri'!BF21)*'Config_v6'!$B$46+'Motor_Meciuri'!BH21*100*'Config_v6'!$B$47))</x:f>
      </x:c>
      <x:c r="U228" s="2" t="str">
        <x:f>IF(T228="","",IF(T228&lt;=20,1,IF(T228&lt;=40,2,IF(T228&lt;=60,3,IF(T228&lt;=80,4,5)))))</x:f>
      </x:c>
      <x:c r="V228" s="2" t="str">
        <x:f>IF(M228="","",MAX(0,'Motor_Meciuri'!BF21-IF(W228="OOS PENDING",'Config_v6'!$B$35,0)-IF(L228&gt;'Config_v6'!$B$12,'Config_v6'!$B$37,IF(L228&gt;'Config_v6'!$B$11,'Config_v6'!$B$36,0))))</x:f>
      </x:c>
      <x:c r="W228" s="2" t="str">
        <x:f>IF(B228="","",IF(I228&lt;&gt;"READY","NOT RELEASED",IF(NOT(AND(J228="PASS",'Calibrare_Linii'!U18="VALID")),"INVALID",IF(NOT(AND('Calibrare_Linii'!S18="VALIDATED",AND('Calibrare_Linii'!H18=C228,ISNUMBER('Calibrare_Linii'!J18),'Calibrare_Linii'!J18&lt;='Input_Meci'!G21))),"OOS PENDING",IF(S228&lt;='Calibrare_Linii'!E18,"PASS",IF(S228&lt;='Calibrare_Linii'!F18,"PENALTY","WATCH"))))))</x:f>
      </x:c>
      <x:c r="X228" s="2" t="str">
        <x:f>IF(M228="","",IF(AND(AND(J228="PASS",'Calibrare_Linii'!U18="VALID"),'Motor_Meciuri'!K21=12,'Motor_Meciuri'!L21=12,'Motor_Meciuri'!M21="NO",'Motor_Meciuri'!BL21='Motor_Meciuri'!C21,AB228&gt;='Config_v6'!$B$50,AN228&gt;='Config_v6'!$B$51,T228&lt;='Config_v6'!$B$52,L228&lt;='Config_v6'!$B$53,ISNUMBER('Calibrare_Linii'!E18),S228&lt;='Calibrare_Linii'!E18,SUM(AK228:AM228)&gt;0),"CANDIDATE","NO"))</x:f>
      </x:c>
      <x:c r="Y228" s="2" t="str">
        <x:f>IF(B228="","",IF(I228&lt;&gt;"READY","NOT RELEASED",IF(AND(X228="CANDIDATE",V228&gt;='Config_v6'!$B$51,W228="PASS",'Calibrare_Linii'!T18="VALIDATED",AND('Calibrare_Linii'!H18=C228,ISNUMBER('Calibrare_Linii'!J18),'Calibrare_Linii'!J18&lt;='Input_Meci'!G21)),"PASS",IF(X228="CANDIDATE","OOS PENDING","FAIL"))))</x:f>
      </x:c>
      <x:c r="Z228" s="2" t="str">
        <x:f>IF(B228="","",IF(I228&lt;&gt;"READY","",IF(OR(NOT(AND(J228="PASS",'Calibrare_Linii'!U18="VALID")),L228&gt;'Config_v6'!$B$13,W228="WATCH"),5,IF(Y228="PASS",1,MIN(5,MAX('Config_v6'!$B$42,U228)+IF(W228="PENALTY",1,0))))))</x:f>
      </x:c>
      <x:c r="AA228" s="2" t="str">
        <x:f>IF(B228="","",IF(I228&lt;&gt;"READY","NOT RELEASED",IF(Z228=5,"NO BET",IF(OR(AB228&lt;'Config_v6'!$B$16,V228&lt;'Config_v6'!$B$18),"WATCH",IF(Z228=1,"DEFENSIV",IF(Z228=2,"PRUDENT",IF(Z228=3,"MODERAT","RIDICAT")))))))</x:f>
      </x:c>
      <x:c r="AB228" s="10" t="str">
        <x:f>IF(N228="","",MIN(N228,1-S228))</x:f>
      </x:c>
      <x:c r="AC228" s="2" t="str">
        <x:f>IF(AD228&lt;&gt;1,"",COUNTIFS($Z$216:$Z$229,"&lt;"&amp;Z228,$AD$216:$AD$229,1)+COUNTIFS($Z$216:$Z$229,Z228,$AB$216:$AB$229,"&gt;"&amp;AB228,$AD$216:$AD$229,1)+COUNTIFS($Z$216:$Z$229,Z228,$AB$216:$AB$229,AB228,$V$216:$V$229,"&gt;"&amp;V228,$AD$216:$AD$229,1)+COUNTIFS($Z$216:Z228,Z228,$AB$216:AB228,AB228,$V$216:V228,V228,$AD$216:AD228,1))</x:f>
      </x:c>
      <x:c r="AD228" s="2" t="n">
        <x:f>IF(OR(AA228="DEFENSIV",AA228="PRUDENT",AA228="MODERAT",AA228="RIDICAT"),1,0)</x:f>
        <x:v>0</x:v>
      </x:c>
      <x:c r="AE228" s="2" t="str">
        <x:f>IF(AD228&lt;&gt;1,"NO",IF(W228="PASS","YES",IF(W228="OOS PENDING","CONDITIONAL","NO")))</x:f>
        <x:v>NO</x:v>
      </x:c>
      <x:c r="AF228" s="2" t="n">
        <x:f>IF(AND(AD228=1,AC228=1,E228="LIVE"),1,0)</x:f>
        <x:v>0</x:v>
      </x:c>
      <x:c r="AG228" s="2" t="str">
        <x:f>IF(AF228&lt;&gt;1,"",'Dashboard'!P41)</x:f>
      </x:c>
      <x:c r="AH228" s="2" t="str">
        <x:f>IF(B228="","",IF(J228&lt;&gt;"PASS",'Motor_Meciuri'!J21,IF('Calibrare_Linii'!U18&lt;&gt;"VALID","Parametri linie invalizi",IF(L228&gt;'Config_v6'!$B$13,"Dispersie peste limita",IF(W228="WATCH","Failure peste limita",IF(AB228&lt;'Config_v6'!$B$16,"P finala sub prag",IF(V228&lt;'Config_v6'!$B$18,"Confidence sub prag",IF(E228="REPLAY","Exemplu retrospectiv; exclus din Top LIVE",IF(Y228="PASS","DEFENSIV validat",IF(W228="OOS PENDING","Eligibil; calibrare linie in monitorizare","Eligibil"))))))))))</x:f>
      </x:c>
      <x:c r="AI228" s="2" t="str">
        <x:f>IF(B228="","",'Calibrare_Linii'!V18)</x:f>
      </x:c>
      <x:c r="AJ228" s="2" t="str">
        <x:f>IF(B228="","",IF(AND('Calibrare_Linii'!T18="VALIDATED",AND('Calibrare_Linii'!H18=C228,ISNUMBER('Calibrare_Linii'!J18),'Calibrare_Linii'!J18&lt;='Input_Meci'!G21)),"DEFENSIVE VALIDATED",IF(AND('Calibrare_Linii'!S18="VALIDATED",AND('Calibrare_Linii'!H18=C228,ISNUMBER('Calibrare_Linii'!J18),'Calibrare_Linii'!J18&lt;='Input_Meci'!G21)),"TAIL VALIDATED","OOS PENDING")))</x:f>
      </x:c>
      <x:c r="AK228" s="2" t="n">
        <x:f>IF(J228&lt;&gt;"PASS",0,'Motor_Meciuri'!BR21)</x:f>
        <x:v>0</x:v>
      </x:c>
      <x:c r="AL228" s="2" t="n">
        <x:f>IF(J228&lt;&gt;"PASS",0,'Motor_Meciuri'!BS21)</x:f>
        <x:v>0</x:v>
      </x:c>
      <x:c r="AM228" s="2" t="n">
        <x:f>IF(J228&lt;&gt;"PASS",0,'Motor_Meciuri'!BT21)</x:f>
        <x:v>0</x:v>
      </x:c>
      <x:c r="AN228" s="2" t="str">
        <x:f>IF(M228="","",MAX(0,'Motor_Meciuri'!BF21-IF(L228&gt;'Config_v6'!$B$12,'Config_v6'!$B$37,IF(L228&gt;'Config_v6'!$B$11,'Config_v6'!$B$36,0))))</x:f>
      </x:c>
    </x:row>
    <x:row r="229" ht="21" customHeight="1">
      <x:c r="A229" s="2" t="n">
        <x:v>16</x:v>
      </x:c>
      <x:c r="B229" s="2" t="str">
        <x:f>IF('Motor_Meciuri'!A21="","",'Motor_Meciuri'!A21)</x:f>
      </x:c>
      <x:c r="C229" s="2" t="str">
        <x:f>IF(B229="","",'Motor_Meciuri'!B21)</x:f>
      </x:c>
      <x:c r="D229" s="2" t="str">
        <x:f>IF(B229="","",'Motor_Meciuri'!D21)</x:f>
      </x:c>
      <x:c r="E229" s="2" t="str">
        <x:f>IF(B229="","",'Motor_Meciuri'!E21)</x:f>
      </x:c>
      <x:c r="F229" s="2" t="str">
        <x:v>U17,5</x:v>
      </x:c>
      <x:c r="G229" s="2" t="str">
        <x:v>UNDER</x:v>
      </x:c>
      <x:c r="H229" s="2" t="n">
        <x:v>17</x:v>
      </x:c>
      <x:c r="I229" s="2" t="str">
        <x:f>IF(B229="","",'Motor_Meciuri'!H21)</x:f>
      </x:c>
      <x:c r="J229" s="2" t="str">
        <x:f>IF(B229="","",'Motor_Meciuri'!I21)</x:f>
      </x:c>
      <x:c r="K229" s="11" t="str">
        <x:f>IF(J229&lt;&gt;"PASS","",'Motor_Meciuri'!BD21)</x:f>
      </x:c>
      <x:c r="L229" s="11" t="str">
        <x:f>IF(J229&lt;&gt;"PASS","",'Motor_Meciuri'!AU21)</x:f>
      </x:c>
      <x:c r="M229" s="10" t="str">
        <x:f>IF(NOT(AND(J229="PASS",'Calibrare_Linii'!U19="VALID")),"",'Distributie'!AO21)</x:f>
      </x:c>
      <x:c r="N229" s="10" t="str">
        <x:f>IF(M229="","",MAX(0.01,MIN(0.99,0.5+(M229-0.5)*'Motor_Meciuri'!BG21*'Calibrare_Linii'!D19)))</x:f>
      </x:c>
      <x:c r="O229" s="10" t="str">
        <x:f>IF(M229="","",1-M229)</x:f>
      </x:c>
      <x:c r="P229" s="10" t="str">
        <x:f>IF(OR(NOT(AND(J229="PASS",'Calibrare_Linii'!U19="VALID")),AK229=0),""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*('Istoric_Nativ'!$Q$6:$Q$405&gt;H229))/AK229)</x:f>
      </x:c>
      <x:c r="Q229" s="10" t="str">
        <x:f>IF(OR(NOT(AND(J229="PASS",'Calibrare_Linii'!U19="VALID")),AL229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M21)+((('Istoric_Nativ'!$E$6:$E$405='Input_Meci'!E21)+('Istoric_Nativ'!$F$6:$F$405='Input_Meci'!E21))&gt;0)*('Istoric_Nativ'!$D$6:$D$405&gt;='Motor_Meciuri'!BN21))&gt;0)*('Istoric_Nativ'!$Q$6:$Q$405&gt;H229))/AL229)</x:f>
      </x:c>
      <x:c r="R229" s="10" t="str">
        <x:f>IF(OR(NOT(AND(J229="PASS",'Calibrare_Linii'!U19="VALID")),AM229=0),""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'Motor_Meciuri'!BO21)+((('Istoric_Nativ'!$E$6:$E$405='Input_Meci'!E21)+('Istoric_Nativ'!$F$6:$F$405='Input_Meci'!E21))&gt;0)*('Istoric_Nativ'!$D$6:$D$405&gt;='Motor_Meciuri'!BP21))&gt;0)*('Istoric_Nativ'!$Q$6:$Q$405&gt;H229))/AM229)</x:f>
      </x:c>
      <x:c r="S229" s="10" t="str">
        <x:f>IF(M229="","",MAX(O229,P229,Q229,R229))</x:f>
      </x:c>
      <x:c r="T229" s="11" t="str">
        <x:f>IF(M229="","",MIN(100,S229*100*'Config_v6'!$B$44+MIN(100,L229/'Config_v6'!$B$13*100)*'Config_v6'!$B$45+(100-'Motor_Meciuri'!BF21)*'Config_v6'!$B$46+'Motor_Meciuri'!BH21*100*'Config_v6'!$B$47))</x:f>
      </x:c>
      <x:c r="U229" s="2" t="str">
        <x:f>IF(T229="","",IF(T229&lt;=20,1,IF(T229&lt;=40,2,IF(T229&lt;=60,3,IF(T229&lt;=80,4,5)))))</x:f>
      </x:c>
      <x:c r="V229" s="2" t="str">
        <x:f>IF(M229="","",MAX(0,'Motor_Meciuri'!BF21-IF(W229="OOS PENDING",'Config_v6'!$B$35,0)-IF(L229&gt;'Config_v6'!$B$12,'Config_v6'!$B$37,IF(L229&gt;'Config_v6'!$B$11,'Config_v6'!$B$36,0))))</x:f>
      </x:c>
      <x:c r="W229" s="2" t="str">
        <x:f>IF(B229="","",IF(I229&lt;&gt;"READY","NOT RELEASED",IF(NOT(AND(J229="PASS",'Calibrare_Linii'!U19="VALID")),"INVALID",IF(NOT(AND('Calibrare_Linii'!S19="VALIDATED",AND('Calibrare_Linii'!H19=C229,ISNUMBER('Calibrare_Linii'!J19),'Calibrare_Linii'!J19&lt;='Input_Meci'!G21))),"OOS PENDING",IF(S229&lt;='Calibrare_Linii'!E19,"PASS",IF(S229&lt;='Calibrare_Linii'!F19,"PENALTY","WATCH"))))))</x:f>
      </x:c>
      <x:c r="X229" s="2" t="str">
        <x:f>IF(M229="","",IF(AND(AND(J229="PASS",'Calibrare_Linii'!U19="VALID"),'Motor_Meciuri'!K21=12,'Motor_Meciuri'!L21=12,'Motor_Meciuri'!M21="NO",'Motor_Meciuri'!BL21='Motor_Meciuri'!C21,AB229&gt;='Config_v6'!$B$50,AN229&gt;='Config_v6'!$B$51,T229&lt;='Config_v6'!$B$52,L229&lt;='Config_v6'!$B$53,ISNUMBER('Calibrare_Linii'!E19),S229&lt;='Calibrare_Linii'!E19,SUM(AK229:AM229)&gt;0),"CANDIDATE","NO"))</x:f>
      </x:c>
      <x:c r="Y229" s="2" t="str">
        <x:f>IF(B229="","",IF(I229&lt;&gt;"READY","NOT RELEASED",IF(AND(X229="CANDIDATE",V229&gt;='Config_v6'!$B$51,W229="PASS",'Calibrare_Linii'!T19="VALIDATED",AND('Calibrare_Linii'!H19=C229,ISNUMBER('Calibrare_Linii'!J19),'Calibrare_Linii'!J19&lt;='Input_Meci'!G21)),"PASS",IF(X229="CANDIDATE","OOS PENDING","FAIL"))))</x:f>
      </x:c>
      <x:c r="Z229" s="2" t="str">
        <x:f>IF(B229="","",IF(I229&lt;&gt;"READY","",IF(OR(NOT(AND(J229="PASS",'Calibrare_Linii'!U19="VALID")),L229&gt;'Config_v6'!$B$13,W229="WATCH"),5,IF(Y229="PASS",1,MIN(5,MAX('Config_v6'!$B$42,U229)+IF(W229="PENALTY",1,0))))))</x:f>
      </x:c>
      <x:c r="AA229" s="2" t="str">
        <x:f>IF(B229="","",IF(I229&lt;&gt;"READY","NOT RELEASED",IF(Z229=5,"NO BET",IF(OR(AB229&lt;'Config_v6'!$B$16,V229&lt;'Config_v6'!$B$18),"WATCH",IF(Z229=1,"DEFENSIV",IF(Z229=2,"PRUDENT",IF(Z229=3,"MODERAT","RIDICAT")))))))</x:f>
      </x:c>
      <x:c r="AB229" s="10" t="str">
        <x:f>IF(N229="","",MIN(N229,1-S229))</x:f>
      </x:c>
      <x:c r="AC229" s="2" t="str">
        <x:f>IF(AD229&lt;&gt;1,"",COUNTIFS($Z$216:$Z$229,"&lt;"&amp;Z229,$AD$216:$AD$229,1)+COUNTIFS($Z$216:$Z$229,Z229,$AB$216:$AB$229,"&gt;"&amp;AB229,$AD$216:$AD$229,1)+COUNTIFS($Z$216:$Z$229,Z229,$AB$216:$AB$229,AB229,$V$216:$V$229,"&gt;"&amp;V229,$AD$216:$AD$229,1)+COUNTIFS($Z$216:Z229,Z229,$AB$216:AB229,AB229,$V$216:V229,V229,$AD$216:AD229,1))</x:f>
      </x:c>
      <x:c r="AD229" s="2" t="n">
        <x:f>IF(OR(AA229="DEFENSIV",AA229="PRUDENT",AA229="MODERAT",AA229="RIDICAT"),1,0)</x:f>
        <x:v>0</x:v>
      </x:c>
      <x:c r="AE229" s="2" t="str">
        <x:f>IF(AD229&lt;&gt;1,"NO",IF(W229="PASS","YES",IF(W229="OOS PENDING","CONDITIONAL","NO")))</x:f>
        <x:v>NO</x:v>
      </x:c>
      <x:c r="AF229" s="2" t="n">
        <x:f>IF(AND(AD229=1,AC229=1,E229="LIVE"),1,0)</x:f>
        <x:v>0</x:v>
      </x:c>
      <x:c r="AG229" s="2" t="str">
        <x:f>IF(AF229&lt;&gt;1,"",'Dashboard'!P41)</x:f>
      </x:c>
      <x:c r="AH229" s="2" t="str">
        <x:f>IF(B229="","",IF(J229&lt;&gt;"PASS",'Motor_Meciuri'!J21,IF('Calibrare_Linii'!U19&lt;&gt;"VALID","Parametri linie invalizi",IF(L229&gt;'Config_v6'!$B$13,"Dispersie peste limita",IF(W229="WATCH","Failure peste limita",IF(AB229&lt;'Config_v6'!$B$16,"P finala sub prag",IF(V229&lt;'Config_v6'!$B$18,"Confidence sub prag",IF(E229="REPLAY","Exemplu retrospectiv; exclus din Top LIVE",IF(Y229="PASS","DEFENSIV validat",IF(W229="OOS PENDING","Eligibil; calibrare linie in monitorizare","Eligibil"))))))))))</x:f>
      </x:c>
      <x:c r="AI229" s="2" t="str">
        <x:f>IF(B229="","",'Calibrare_Linii'!V19)</x:f>
      </x:c>
      <x:c r="AJ229" s="2" t="str">
        <x:f>IF(B229="","",IF(AND('Calibrare_Linii'!T19="VALIDATED",AND('Calibrare_Linii'!H19=C229,ISNUMBER('Calibrare_Linii'!J19),'Calibrare_Linii'!J19&lt;='Input_Meci'!G21)),"DEFENSIVE VALIDATED",IF(AND('Calibrare_Linii'!S19="VALIDATED",AND('Calibrare_Linii'!H19=C229,ISNUMBER('Calibrare_Linii'!J19),'Calibrare_Linii'!J19&lt;='Input_Meci'!G21)),"TAIL VALIDATED","OOS PENDING")))</x:f>
      </x:c>
      <x:c r="AK229" s="2" t="n">
        <x:f>IF(J229&lt;&gt;"PASS",0,'Motor_Meciuri'!BR21)</x:f>
        <x:v>0</x:v>
      </x:c>
      <x:c r="AL229" s="2" t="n">
        <x:f>IF(J229&lt;&gt;"PASS",0,'Motor_Meciuri'!BS21)</x:f>
        <x:v>0</x:v>
      </x:c>
      <x:c r="AM229" s="2" t="n">
        <x:f>IF(J229&lt;&gt;"PASS",0,'Motor_Meciuri'!BT21)</x:f>
        <x:v>0</x:v>
      </x:c>
      <x:c r="AN229" s="2" t="str">
        <x:f>IF(M229="","",MAX(0,'Motor_Meciuri'!BF21-IF(L229&gt;'Config_v6'!$B$12,'Config_v6'!$B$37,IF(L229&gt;'Config_v6'!$B$11,'Config_v6'!$B$36,0))))</x:f>
      </x:c>
    </x:row>
    <x:row r="230" ht="21" customHeight="1">
      <x:c r="A230" s="2" t="n">
        <x:v>17</x:v>
      </x:c>
      <x:c r="B230" s="2" t="str">
        <x:f>IF('Motor_Meciuri'!A22="","",'Motor_Meciuri'!A22)</x:f>
      </x:c>
      <x:c r="C230" s="2" t="str">
        <x:f>IF(B230="","",'Motor_Meciuri'!B22)</x:f>
      </x:c>
      <x:c r="D230" s="2" t="str">
        <x:f>IF(B230="","",'Motor_Meciuri'!D22)</x:f>
      </x:c>
      <x:c r="E230" s="2" t="str">
        <x:f>IF(B230="","",'Motor_Meciuri'!E22)</x:f>
      </x:c>
      <x:c r="F230" s="2" t="str">
        <x:v>O3,5</x:v>
      </x:c>
      <x:c r="G230" s="2" t="str">
        <x:v>OVER</x:v>
      </x:c>
      <x:c r="H230" s="2" t="n">
        <x:v>3</x:v>
      </x:c>
      <x:c r="I230" s="2" t="str">
        <x:f>IF(B230="","",'Motor_Meciuri'!H22)</x:f>
      </x:c>
      <x:c r="J230" s="2" t="str">
        <x:f>IF(B230="","",'Motor_Meciuri'!I22)</x:f>
      </x:c>
      <x:c r="K230" s="11" t="str">
        <x:f>IF(J230&lt;&gt;"PASS","",'Motor_Meciuri'!BD22)</x:f>
      </x:c>
      <x:c r="L230" s="11" t="str">
        <x:f>IF(J230&lt;&gt;"PASS","",'Motor_Meciuri'!AU22)</x:f>
      </x:c>
      <x:c r="M230" s="10" t="str">
        <x:f>IF(NOT(AND(J230="PASS",'Calibrare_Linii'!U6="VALID")),"",1-'Distributie'!AA22)</x:f>
      </x:c>
      <x:c r="N230" s="10" t="str">
        <x:f>IF(M230="","",MAX(0.01,MIN(0.99,0.5+(M230-0.5)*'Motor_Meciuri'!BG22*'Calibrare_Linii'!D6)))</x:f>
      </x:c>
      <x:c r="O230" s="10" t="str">
        <x:f>IF(M230="","",1-M230)</x:f>
      </x:c>
      <x:c r="P230" s="10" t="str">
        <x:f>IF(OR(NOT(AND(J230="PASS",'Calibrare_Linii'!U6="VALID")),AK230=0),""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*('Istoric_Nativ'!$Q$6:$Q$405&lt;=H230))/AK230)</x:f>
      </x:c>
      <x:c r="Q230" s="10" t="str">
        <x:f>IF(OR(NOT(AND(J230="PASS",'Calibrare_Linii'!U6="VALID")),AL230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M22)+((('Istoric_Nativ'!$E$6:$E$405='Input_Meci'!E22)+('Istoric_Nativ'!$F$6:$F$405='Input_Meci'!E22))&gt;0)*('Istoric_Nativ'!$D$6:$D$405&gt;='Motor_Meciuri'!BN22))&gt;0)*('Istoric_Nativ'!$Q$6:$Q$405&lt;=H230))/AL230)</x:f>
      </x:c>
      <x:c r="R230" s="10" t="str">
        <x:f>IF(OR(NOT(AND(J230="PASS",'Calibrare_Linii'!U6="VALID")),AM230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O22)+((('Istoric_Nativ'!$E$6:$E$405='Input_Meci'!E22)+('Istoric_Nativ'!$F$6:$F$405='Input_Meci'!E22))&gt;0)*('Istoric_Nativ'!$D$6:$D$405&gt;='Motor_Meciuri'!BP22))&gt;0)*('Istoric_Nativ'!$Q$6:$Q$405&lt;=H230))/AM230)</x:f>
      </x:c>
      <x:c r="S230" s="10" t="str">
        <x:f>IF(M230="","",MAX(O230,P230,Q230,R230))</x:f>
      </x:c>
      <x:c r="T230" s="11" t="str">
        <x:f>IF(M230="","",MIN(100,S230*100*'Config_v6'!$B$44+MIN(100,L230/'Config_v6'!$B$13*100)*'Config_v6'!$B$45+(100-'Motor_Meciuri'!BF22)*'Config_v6'!$B$46+'Motor_Meciuri'!BH22*100*'Config_v6'!$B$47))</x:f>
      </x:c>
      <x:c r="U230" s="2" t="str">
        <x:f>IF(T230="","",IF(T230&lt;=20,1,IF(T230&lt;=40,2,IF(T230&lt;=60,3,IF(T230&lt;=80,4,5)))))</x:f>
      </x:c>
      <x:c r="V230" s="2" t="str">
        <x:f>IF(M230="","",MAX(0,'Motor_Meciuri'!BF22-IF(W230="OOS PENDING",'Config_v6'!$B$35,0)-IF(L230&gt;'Config_v6'!$B$12,'Config_v6'!$B$37,IF(L230&gt;'Config_v6'!$B$11,'Config_v6'!$B$36,0))))</x:f>
      </x:c>
      <x:c r="W230" s="2" t="str">
        <x:f>IF(B230="","",IF(I230&lt;&gt;"READY","NOT RELEASED",IF(NOT(AND(J230="PASS",'Calibrare_Linii'!U6="VALID")),"INVALID",IF(NOT(TRUE),"OOS PENDING",IF(S230&lt;=IF(AND('Calibrare_Linii'!S6="VALIDATED",AND('Calibrare_Linii'!H6=C230,ISNUMBER('Calibrare_Linii'!J6),'Calibrare_Linii'!J6&lt;='Input_Meci'!G22)),'Calibrare_Linii'!E6,'Config_v6'!$B$26),"PASS",IF(S230&lt;=IF(AND('Calibrare_Linii'!S6="VALIDATED",AND('Calibrare_Linii'!H6=C230,ISNUMBER('Calibrare_Linii'!J6),'Calibrare_Linii'!J6&lt;='Input_Meci'!G22)),'Calibrare_Linii'!F6,'Config_v6'!$C$26),"PENALTY","WATCH"))))))</x:f>
      </x:c>
      <x:c r="X230" s="2" t="str">
        <x:f>IF(M230="","",IF(AND(AND(J230="PASS",'Calibrare_Linii'!U6="VALID"),'Motor_Meciuri'!K22=12,'Motor_Meciuri'!L22=12,'Motor_Meciuri'!M22="NO",'Motor_Meciuri'!BL22='Motor_Meciuri'!C22,AB230&gt;='Config_v6'!$B$50,AN230&gt;='Config_v6'!$B$51,T230&lt;='Config_v6'!$B$52,L230&lt;='Config_v6'!$B$53,ISNUMBER('Calibrare_Linii'!E6),S230&lt;='Calibrare_Linii'!E6,SUM(AK230:AM230)&gt;0),"CANDIDATE","NO"))</x:f>
      </x:c>
      <x:c r="Y230" s="2" t="str">
        <x:f>IF(B230="","",IF(I230&lt;&gt;"READY","NOT RELEASED",IF(AND(X230="CANDIDATE",V230&gt;='Config_v6'!$B$51,W230="PASS",'Calibrare_Linii'!T6="VALIDATED",AND('Calibrare_Linii'!H6=C230,ISNUMBER('Calibrare_Linii'!J6),'Calibrare_Linii'!J6&lt;='Input_Meci'!G22)),"PASS",IF(X230="CANDIDATE","OOS PENDING","FAIL"))))</x:f>
      </x:c>
      <x:c r="Z230" s="2" t="str">
        <x:f>IF(B230="","",IF(I230&lt;&gt;"READY","",IF(OR(NOT(AND(J230="PASS",'Calibrare_Linii'!U6="VALID")),L230&gt;'Config_v6'!$B$13,W230="WATCH"),5,IF(Y230="PASS",1,MIN(5,MAX('Config_v6'!$B$42,U230)+IF(W230="PENALTY",1,0))))))</x:f>
      </x:c>
      <x:c r="AA230" s="2" t="str">
        <x:f>IF(B230="","",IF(I230&lt;&gt;"READY","NOT RELEASED",IF(Z230=5,"NO BET",IF(OR(AB230&lt;'Config_v6'!$B$16,V230&lt;'Config_v6'!$B$18),"WATCH",IF(Z230=1,"DEFENSIV",IF(Z230=2,"PRUDENT",IF(Z230=3,"MODERAT","RIDICAT")))))))</x:f>
      </x:c>
      <x:c r="AB230" s="10" t="str">
        <x:f>IF(N230="","",MIN(N230,1-S230))</x:f>
      </x:c>
      <x:c r="AC230" s="2" t="str">
        <x:f>IF(AD230&lt;&gt;1,"",COUNTIFS($Z$230:$Z$243,"&lt;"&amp;Z230,$AD$230:$AD$243,1)+COUNTIFS($Z$230:$Z$243,Z230,$AB$230:$AB$243,"&gt;"&amp;AB230,$AD$230:$AD$243,1)+COUNTIFS($Z$230:$Z$243,Z230,$AB$230:$AB$243,AB230,$V$230:$V$243,"&gt;"&amp;V230,$AD$230:$AD$243,1)+COUNTIFS($Z$230:Z230,Z230,$AB$230:AB230,AB230,$V$230:V230,V230,$AD$230:AD230,1))</x:f>
      </x:c>
      <x:c r="AD230" s="2" t="n">
        <x:f>IF(OR(AA230="DEFENSIV",AA230="PRUDENT",AA230="MODERAT",AA230="RIDICAT"),1,0)</x:f>
        <x:v>0</x:v>
      </x:c>
      <x:c r="AE230" s="2" t="str">
        <x:f>IF(AD230&lt;&gt;1,"NO",IF(W230="PASS","YES",IF(W230="OOS PENDING","CONDITIONAL","NO")))</x:f>
        <x:v>NO</x:v>
      </x:c>
      <x:c r="AF230" s="2" t="n">
        <x:f>IF(AND(AD230=1,AC230=1,E230="LIVE"),1,0)</x:f>
        <x:v>0</x:v>
      </x:c>
      <x:c r="AG230" s="2" t="str">
        <x:f>IF(AF230&lt;&gt;1,"",'Dashboard'!P42)</x:f>
      </x:c>
      <x:c r="AH230" s="2" t="str">
        <x:f>IF(B230="","",IF(J230&lt;&gt;"PASS",'Motor_Meciuri'!J22,IF('Calibrare_Linii'!U6&lt;&gt;"VALID","Parametri linie invalizi",IF(L230&gt;'Config_v6'!$B$13,"Dispersie peste limita",IF(W230="WATCH","Failure peste limita",IF(AB230&lt;'Config_v6'!$B$16,"P finala sub prag",IF(V230&lt;'Config_v6'!$B$18,"Confidence sub prag",IF(E230="REPLAY","Exemplu retrospectiv; exclus din Top LIVE",IF(Y230="PASS","DEFENSIV validat",IF(W230="OOS PENDING","Eligibil; calibrare linie in monitorizare","Eligibil"))))))))))</x:f>
      </x:c>
      <x:c r="AI230" s="2" t="str">
        <x:f>IF(B230="","",'Calibrare_Linii'!V6)</x:f>
      </x:c>
      <x:c r="AJ230" s="2" t="str">
        <x:f>IF(B230="","",IF(AND('Calibrare_Linii'!T6="VALIDATED",AND('Calibrare_Linii'!H6=C230,ISNUMBER('Calibrare_Linii'!J6),'Calibrare_Linii'!J6&lt;='Input_Meci'!G22)),"DEFENSIVE VALIDATED",IF(AND('Calibrare_Linii'!S6="VALIDATED",AND('Calibrare_Linii'!H6=C230,ISNUMBER('Calibrare_Linii'!J6),'Calibrare_Linii'!J6&lt;='Input_Meci'!G22)),"TAIL VALIDATED","OOS PENDING")))</x:f>
      </x:c>
      <x:c r="AK230" s="2" t="n">
        <x:f>IF(J230&lt;&gt;"PASS",0,'Motor_Meciuri'!BR22)</x:f>
        <x:v>0</x:v>
      </x:c>
      <x:c r="AL230" s="2" t="n">
        <x:f>IF(J230&lt;&gt;"PASS",0,'Motor_Meciuri'!BS22)</x:f>
        <x:v>0</x:v>
      </x:c>
      <x:c r="AM230" s="2" t="n">
        <x:f>IF(J230&lt;&gt;"PASS",0,'Motor_Meciuri'!BT22)</x:f>
        <x:v>0</x:v>
      </x:c>
      <x:c r="AN230" s="2" t="str">
        <x:f>IF(M230="","",MAX(0,'Motor_Meciuri'!BF22-IF(L230&gt;'Config_v6'!$B$12,'Config_v6'!$B$37,IF(L230&gt;'Config_v6'!$B$11,'Config_v6'!$B$36,0))))</x:f>
      </x:c>
    </x:row>
    <x:row r="231" ht="21" customHeight="1">
      <x:c r="A231" s="2" t="n">
        <x:v>17</x:v>
      </x:c>
      <x:c r="B231" s="2" t="str">
        <x:f>IF('Motor_Meciuri'!A22="","",'Motor_Meciuri'!A22)</x:f>
      </x:c>
      <x:c r="C231" s="2" t="str">
        <x:f>IF(B231="","",'Motor_Meciuri'!B22)</x:f>
      </x:c>
      <x:c r="D231" s="2" t="str">
        <x:f>IF(B231="","",'Motor_Meciuri'!D22)</x:f>
      </x:c>
      <x:c r="E231" s="2" t="str">
        <x:f>IF(B231="","",'Motor_Meciuri'!E22)</x:f>
      </x:c>
      <x:c r="F231" s="2" t="str">
        <x:v>O4,5</x:v>
      </x:c>
      <x:c r="G231" s="2" t="str">
        <x:v>OVER</x:v>
      </x:c>
      <x:c r="H231" s="2" t="n">
        <x:v>4</x:v>
      </x:c>
      <x:c r="I231" s="2" t="str">
        <x:f>IF(B231="","",'Motor_Meciuri'!H22)</x:f>
      </x:c>
      <x:c r="J231" s="2" t="str">
        <x:f>IF(B231="","",'Motor_Meciuri'!I22)</x:f>
      </x:c>
      <x:c r="K231" s="11" t="str">
        <x:f>IF(J231&lt;&gt;"PASS","",'Motor_Meciuri'!BD22)</x:f>
      </x:c>
      <x:c r="L231" s="11" t="str">
        <x:f>IF(J231&lt;&gt;"PASS","",'Motor_Meciuri'!AU22)</x:f>
      </x:c>
      <x:c r="M231" s="10" t="str">
        <x:f>IF(NOT(AND(J231="PASS",'Calibrare_Linii'!U7="VALID")),"",1-'Distributie'!AB22)</x:f>
      </x:c>
      <x:c r="N231" s="10" t="str">
        <x:f>IF(M231="","",MAX(0.01,MIN(0.99,0.5+(M231-0.5)*'Motor_Meciuri'!BG22*'Calibrare_Linii'!D7)))</x:f>
      </x:c>
      <x:c r="O231" s="10" t="str">
        <x:f>IF(M231="","",1-M231)</x:f>
      </x:c>
      <x:c r="P231" s="10" t="str">
        <x:f>IF(OR(NOT(AND(J231="PASS",'Calibrare_Linii'!U7="VALID")),AK231=0),""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*('Istoric_Nativ'!$Q$6:$Q$405&lt;=H231))/AK231)</x:f>
      </x:c>
      <x:c r="Q231" s="10" t="str">
        <x:f>IF(OR(NOT(AND(J231="PASS",'Calibrare_Linii'!U7="VALID")),AL231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M22)+((('Istoric_Nativ'!$E$6:$E$405='Input_Meci'!E22)+('Istoric_Nativ'!$F$6:$F$405='Input_Meci'!E22))&gt;0)*('Istoric_Nativ'!$D$6:$D$405&gt;='Motor_Meciuri'!BN22))&gt;0)*('Istoric_Nativ'!$Q$6:$Q$405&lt;=H231))/AL231)</x:f>
      </x:c>
      <x:c r="R231" s="10" t="str">
        <x:f>IF(OR(NOT(AND(J231="PASS",'Calibrare_Linii'!U7="VALID")),AM231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O22)+((('Istoric_Nativ'!$E$6:$E$405='Input_Meci'!E22)+('Istoric_Nativ'!$F$6:$F$405='Input_Meci'!E22))&gt;0)*('Istoric_Nativ'!$D$6:$D$405&gt;='Motor_Meciuri'!BP22))&gt;0)*('Istoric_Nativ'!$Q$6:$Q$405&lt;=H231))/AM231)</x:f>
      </x:c>
      <x:c r="S231" s="10" t="str">
        <x:f>IF(M231="","",MAX(O231,P231,Q231,R231))</x:f>
      </x:c>
      <x:c r="T231" s="11" t="str">
        <x:f>IF(M231="","",MIN(100,S231*100*'Config_v6'!$B$44+MIN(100,L231/'Config_v6'!$B$13*100)*'Config_v6'!$B$45+(100-'Motor_Meciuri'!BF22)*'Config_v6'!$B$46+'Motor_Meciuri'!BH22*100*'Config_v6'!$B$47))</x:f>
      </x:c>
      <x:c r="U231" s="2" t="str">
        <x:f>IF(T231="","",IF(T231&lt;=20,1,IF(T231&lt;=40,2,IF(T231&lt;=60,3,IF(T231&lt;=80,4,5)))))</x:f>
      </x:c>
      <x:c r="V231" s="2" t="str">
        <x:f>IF(M231="","",MAX(0,'Motor_Meciuri'!BF22-IF(W231="OOS PENDING",'Config_v6'!$B$35,0)-IF(L231&gt;'Config_v6'!$B$12,'Config_v6'!$B$37,IF(L231&gt;'Config_v6'!$B$11,'Config_v6'!$B$36,0))))</x:f>
      </x:c>
      <x:c r="W231" s="2" t="str">
        <x:f>IF(B231="","",IF(I231&lt;&gt;"READY","NOT RELEASED",IF(NOT(AND(J231="PASS",'Calibrare_Linii'!U7="VALID")),"INVALID",IF(NOT(AND('Calibrare_Linii'!S7="VALIDATED",AND('Calibrare_Linii'!H7=C231,ISNUMBER('Calibrare_Linii'!J7),'Calibrare_Linii'!J7&lt;='Input_Meci'!G22))),"OOS PENDING",IF(S231&lt;='Calibrare_Linii'!E7,"PASS",IF(S231&lt;='Calibrare_Linii'!F7,"PENALTY","WATCH"))))))</x:f>
      </x:c>
      <x:c r="X231" s="2" t="str">
        <x:f>IF(M231="","",IF(AND(AND(J231="PASS",'Calibrare_Linii'!U7="VALID"),'Motor_Meciuri'!K22=12,'Motor_Meciuri'!L22=12,'Motor_Meciuri'!M22="NO",'Motor_Meciuri'!BL22='Motor_Meciuri'!C22,AB231&gt;='Config_v6'!$B$50,AN231&gt;='Config_v6'!$B$51,T231&lt;='Config_v6'!$B$52,L231&lt;='Config_v6'!$B$53,ISNUMBER('Calibrare_Linii'!E7),S231&lt;='Calibrare_Linii'!E7,SUM(AK231:AM231)&gt;0),"CANDIDATE","NO"))</x:f>
      </x:c>
      <x:c r="Y231" s="2" t="str">
        <x:f>IF(B231="","",IF(I231&lt;&gt;"READY","NOT RELEASED",IF(AND(X231="CANDIDATE",V231&gt;='Config_v6'!$B$51,W231="PASS",'Calibrare_Linii'!T7="VALIDATED",AND('Calibrare_Linii'!H7=C231,ISNUMBER('Calibrare_Linii'!J7),'Calibrare_Linii'!J7&lt;='Input_Meci'!G22)),"PASS",IF(X231="CANDIDATE","OOS PENDING","FAIL"))))</x:f>
      </x:c>
      <x:c r="Z231" s="2" t="str">
        <x:f>IF(B231="","",IF(I231&lt;&gt;"READY","",IF(OR(NOT(AND(J231="PASS",'Calibrare_Linii'!U7="VALID")),L231&gt;'Config_v6'!$B$13,W231="WATCH"),5,IF(Y231="PASS",1,MIN(5,MAX('Config_v6'!$B$42,U231)+IF(W231="PENALTY",1,0))))))</x:f>
      </x:c>
      <x:c r="AA231" s="2" t="str">
        <x:f>IF(B231="","",IF(I231&lt;&gt;"READY","NOT RELEASED",IF(Z231=5,"NO BET",IF(OR(AB231&lt;'Config_v6'!$B$16,V231&lt;'Config_v6'!$B$18),"WATCH",IF(Z231=1,"DEFENSIV",IF(Z231=2,"PRUDENT",IF(Z231=3,"MODERAT","RIDICAT")))))))</x:f>
      </x:c>
      <x:c r="AB231" s="10" t="str">
        <x:f>IF(N231="","",MIN(N231,1-S231))</x:f>
      </x:c>
      <x:c r="AC231" s="2" t="str">
        <x:f>IF(AD231&lt;&gt;1,"",COUNTIFS($Z$230:$Z$243,"&lt;"&amp;Z231,$AD$230:$AD$243,1)+COUNTIFS($Z$230:$Z$243,Z231,$AB$230:$AB$243,"&gt;"&amp;AB231,$AD$230:$AD$243,1)+COUNTIFS($Z$230:$Z$243,Z231,$AB$230:$AB$243,AB231,$V$230:$V$243,"&gt;"&amp;V231,$AD$230:$AD$243,1)+COUNTIFS($Z$230:Z231,Z231,$AB$230:AB231,AB231,$V$230:V231,V231,$AD$230:AD231,1))</x:f>
      </x:c>
      <x:c r="AD231" s="2" t="n">
        <x:f>IF(OR(AA231="DEFENSIV",AA231="PRUDENT",AA231="MODERAT",AA231="RIDICAT"),1,0)</x:f>
        <x:v>0</x:v>
      </x:c>
      <x:c r="AE231" s="2" t="str">
        <x:f>IF(AD231&lt;&gt;1,"NO",IF(W231="PASS","YES",IF(W231="OOS PENDING","CONDITIONAL","NO")))</x:f>
        <x:v>NO</x:v>
      </x:c>
      <x:c r="AF231" s="2" t="n">
        <x:f>IF(AND(AD231=1,AC231=1,E231="LIVE"),1,0)</x:f>
        <x:v>0</x:v>
      </x:c>
      <x:c r="AG231" s="2" t="str">
        <x:f>IF(AF231&lt;&gt;1,"",'Dashboard'!P42)</x:f>
      </x:c>
      <x:c r="AH231" s="2" t="str">
        <x:f>IF(B231="","",IF(J231&lt;&gt;"PASS",'Motor_Meciuri'!J22,IF('Calibrare_Linii'!U7&lt;&gt;"VALID","Parametri linie invalizi",IF(L231&gt;'Config_v6'!$B$13,"Dispersie peste limita",IF(W231="WATCH","Failure peste limita",IF(AB231&lt;'Config_v6'!$B$16,"P finala sub prag",IF(V231&lt;'Config_v6'!$B$18,"Confidence sub prag",IF(E231="REPLAY","Exemplu retrospectiv; exclus din Top LIVE",IF(Y231="PASS","DEFENSIV validat",IF(W231="OOS PENDING","Eligibil; calibrare linie in monitorizare","Eligibil"))))))))))</x:f>
      </x:c>
      <x:c r="AI231" s="2" t="str">
        <x:f>IF(B231="","",'Calibrare_Linii'!V7)</x:f>
      </x:c>
      <x:c r="AJ231" s="2" t="str">
        <x:f>IF(B231="","",IF(AND('Calibrare_Linii'!T7="VALIDATED",AND('Calibrare_Linii'!H7=C231,ISNUMBER('Calibrare_Linii'!J7),'Calibrare_Linii'!J7&lt;='Input_Meci'!G22)),"DEFENSIVE VALIDATED",IF(AND('Calibrare_Linii'!S7="VALIDATED",AND('Calibrare_Linii'!H7=C231,ISNUMBER('Calibrare_Linii'!J7),'Calibrare_Linii'!J7&lt;='Input_Meci'!G22)),"TAIL VALIDATED","OOS PENDING")))</x:f>
      </x:c>
      <x:c r="AK231" s="2" t="n">
        <x:f>IF(J231&lt;&gt;"PASS",0,'Motor_Meciuri'!BR22)</x:f>
        <x:v>0</x:v>
      </x:c>
      <x:c r="AL231" s="2" t="n">
        <x:f>IF(J231&lt;&gt;"PASS",0,'Motor_Meciuri'!BS22)</x:f>
        <x:v>0</x:v>
      </x:c>
      <x:c r="AM231" s="2" t="n">
        <x:f>IF(J231&lt;&gt;"PASS",0,'Motor_Meciuri'!BT22)</x:f>
        <x:v>0</x:v>
      </x:c>
      <x:c r="AN231" s="2" t="str">
        <x:f>IF(M231="","",MAX(0,'Motor_Meciuri'!BF22-IF(L231&gt;'Config_v6'!$B$12,'Config_v6'!$B$37,IF(L231&gt;'Config_v6'!$B$11,'Config_v6'!$B$36,0))))</x:f>
      </x:c>
    </x:row>
    <x:row r="232" ht="21" customHeight="1">
      <x:c r="A232" s="2" t="n">
        <x:v>17</x:v>
      </x:c>
      <x:c r="B232" s="2" t="str">
        <x:f>IF('Motor_Meciuri'!A22="","",'Motor_Meciuri'!A22)</x:f>
      </x:c>
      <x:c r="C232" s="2" t="str">
        <x:f>IF(B232="","",'Motor_Meciuri'!B22)</x:f>
      </x:c>
      <x:c r="D232" s="2" t="str">
        <x:f>IF(B232="","",'Motor_Meciuri'!D22)</x:f>
      </x:c>
      <x:c r="E232" s="2" t="str">
        <x:f>IF(B232="","",'Motor_Meciuri'!E22)</x:f>
      </x:c>
      <x:c r="F232" s="2" t="str">
        <x:v>O5,5</x:v>
      </x:c>
      <x:c r="G232" s="2" t="str">
        <x:v>OVER</x:v>
      </x:c>
      <x:c r="H232" s="2" t="n">
        <x:v>5</x:v>
      </x:c>
      <x:c r="I232" s="2" t="str">
        <x:f>IF(B232="","",'Motor_Meciuri'!H22)</x:f>
      </x:c>
      <x:c r="J232" s="2" t="str">
        <x:f>IF(B232="","",'Motor_Meciuri'!I22)</x:f>
      </x:c>
      <x:c r="K232" s="11" t="str">
        <x:f>IF(J232&lt;&gt;"PASS","",'Motor_Meciuri'!BD22)</x:f>
      </x:c>
      <x:c r="L232" s="11" t="str">
        <x:f>IF(J232&lt;&gt;"PASS","",'Motor_Meciuri'!AU22)</x:f>
      </x:c>
      <x:c r="M232" s="10" t="str">
        <x:f>IF(NOT(AND(J232="PASS",'Calibrare_Linii'!U8="VALID")),"",1-'Distributie'!AC22)</x:f>
      </x:c>
      <x:c r="N232" s="10" t="str">
        <x:f>IF(M232="","",MAX(0.01,MIN(0.99,0.5+(M232-0.5)*'Motor_Meciuri'!BG22*'Calibrare_Linii'!D8)))</x:f>
      </x:c>
      <x:c r="O232" s="10" t="str">
        <x:f>IF(M232="","",1-M232)</x:f>
      </x:c>
      <x:c r="P232" s="10" t="str">
        <x:f>IF(OR(NOT(AND(J232="PASS",'Calibrare_Linii'!U8="VALID")),AK232=0),""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*('Istoric_Nativ'!$Q$6:$Q$405&lt;=H232))/AK232)</x:f>
      </x:c>
      <x:c r="Q232" s="10" t="str">
        <x:f>IF(OR(NOT(AND(J232="PASS",'Calibrare_Linii'!U8="VALID")),AL232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M22)+((('Istoric_Nativ'!$E$6:$E$405='Input_Meci'!E22)+('Istoric_Nativ'!$F$6:$F$405='Input_Meci'!E22))&gt;0)*('Istoric_Nativ'!$D$6:$D$405&gt;='Motor_Meciuri'!BN22))&gt;0)*('Istoric_Nativ'!$Q$6:$Q$405&lt;=H232))/AL232)</x:f>
      </x:c>
      <x:c r="R232" s="10" t="str">
        <x:f>IF(OR(NOT(AND(J232="PASS",'Calibrare_Linii'!U8="VALID")),AM232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O22)+((('Istoric_Nativ'!$E$6:$E$405='Input_Meci'!E22)+('Istoric_Nativ'!$F$6:$F$405='Input_Meci'!E22))&gt;0)*('Istoric_Nativ'!$D$6:$D$405&gt;='Motor_Meciuri'!BP22))&gt;0)*('Istoric_Nativ'!$Q$6:$Q$405&lt;=H232))/AM232)</x:f>
      </x:c>
      <x:c r="S232" s="10" t="str">
        <x:f>IF(M232="","",MAX(O232,P232,Q232,R232))</x:f>
      </x:c>
      <x:c r="T232" s="11" t="str">
        <x:f>IF(M232="","",MIN(100,S232*100*'Config_v6'!$B$44+MIN(100,L232/'Config_v6'!$B$13*100)*'Config_v6'!$B$45+(100-'Motor_Meciuri'!BF22)*'Config_v6'!$B$46+'Motor_Meciuri'!BH22*100*'Config_v6'!$B$47))</x:f>
      </x:c>
      <x:c r="U232" s="2" t="str">
        <x:f>IF(T232="","",IF(T232&lt;=20,1,IF(T232&lt;=40,2,IF(T232&lt;=60,3,IF(T232&lt;=80,4,5)))))</x:f>
      </x:c>
      <x:c r="V232" s="2" t="str">
        <x:f>IF(M232="","",MAX(0,'Motor_Meciuri'!BF22-IF(W232="OOS PENDING",'Config_v6'!$B$35,0)-IF(L232&gt;'Config_v6'!$B$12,'Config_v6'!$B$37,IF(L232&gt;'Config_v6'!$B$11,'Config_v6'!$B$36,0))))</x:f>
      </x:c>
      <x:c r="W232" s="2" t="str">
        <x:f>IF(B232="","",IF(I232&lt;&gt;"READY","NOT RELEASED",IF(NOT(AND(J232="PASS",'Calibrare_Linii'!U8="VALID")),"INVALID",IF(NOT(AND('Calibrare_Linii'!S8="VALIDATED",AND('Calibrare_Linii'!H8=C232,ISNUMBER('Calibrare_Linii'!J8),'Calibrare_Linii'!J8&lt;='Input_Meci'!G22))),"OOS PENDING",IF(S232&lt;='Calibrare_Linii'!E8,"PASS",IF(S232&lt;='Calibrare_Linii'!F8,"PENALTY","WATCH"))))))</x:f>
      </x:c>
      <x:c r="X232" s="2" t="str">
        <x:f>IF(M232="","",IF(AND(AND(J232="PASS",'Calibrare_Linii'!U8="VALID"),'Motor_Meciuri'!K22=12,'Motor_Meciuri'!L22=12,'Motor_Meciuri'!M22="NO",'Motor_Meciuri'!BL22='Motor_Meciuri'!C22,AB232&gt;='Config_v6'!$B$50,AN232&gt;='Config_v6'!$B$51,T232&lt;='Config_v6'!$B$52,L232&lt;='Config_v6'!$B$53,ISNUMBER('Calibrare_Linii'!E8),S232&lt;='Calibrare_Linii'!E8,SUM(AK232:AM232)&gt;0),"CANDIDATE","NO"))</x:f>
      </x:c>
      <x:c r="Y232" s="2" t="str">
        <x:f>IF(B232="","",IF(I232&lt;&gt;"READY","NOT RELEASED",IF(AND(X232="CANDIDATE",V232&gt;='Config_v6'!$B$51,W232="PASS",'Calibrare_Linii'!T8="VALIDATED",AND('Calibrare_Linii'!H8=C232,ISNUMBER('Calibrare_Linii'!J8),'Calibrare_Linii'!J8&lt;='Input_Meci'!G22)),"PASS",IF(X232="CANDIDATE","OOS PENDING","FAIL"))))</x:f>
      </x:c>
      <x:c r="Z232" s="2" t="str">
        <x:f>IF(B232="","",IF(I232&lt;&gt;"READY","",IF(OR(NOT(AND(J232="PASS",'Calibrare_Linii'!U8="VALID")),L232&gt;'Config_v6'!$B$13,W232="WATCH"),5,IF(Y232="PASS",1,MIN(5,MAX('Config_v6'!$B$42,U232)+IF(W232="PENALTY",1,0))))))</x:f>
      </x:c>
      <x:c r="AA232" s="2" t="str">
        <x:f>IF(B232="","",IF(I232&lt;&gt;"READY","NOT RELEASED",IF(Z232=5,"NO BET",IF(OR(AB232&lt;'Config_v6'!$B$16,V232&lt;'Config_v6'!$B$18),"WATCH",IF(Z232=1,"DEFENSIV",IF(Z232=2,"PRUDENT",IF(Z232=3,"MODERAT","RIDICAT")))))))</x:f>
      </x:c>
      <x:c r="AB232" s="10" t="str">
        <x:f>IF(N232="","",MIN(N232,1-S232))</x:f>
      </x:c>
      <x:c r="AC232" s="2" t="str">
        <x:f>IF(AD232&lt;&gt;1,"",COUNTIFS($Z$230:$Z$243,"&lt;"&amp;Z232,$AD$230:$AD$243,1)+COUNTIFS($Z$230:$Z$243,Z232,$AB$230:$AB$243,"&gt;"&amp;AB232,$AD$230:$AD$243,1)+COUNTIFS($Z$230:$Z$243,Z232,$AB$230:$AB$243,AB232,$V$230:$V$243,"&gt;"&amp;V232,$AD$230:$AD$243,1)+COUNTIFS($Z$230:Z232,Z232,$AB$230:AB232,AB232,$V$230:V232,V232,$AD$230:AD232,1))</x:f>
      </x:c>
      <x:c r="AD232" s="2" t="n">
        <x:f>IF(OR(AA232="DEFENSIV",AA232="PRUDENT",AA232="MODERAT",AA232="RIDICAT"),1,0)</x:f>
        <x:v>0</x:v>
      </x:c>
      <x:c r="AE232" s="2" t="str">
        <x:f>IF(AD232&lt;&gt;1,"NO",IF(W232="PASS","YES",IF(W232="OOS PENDING","CONDITIONAL","NO")))</x:f>
        <x:v>NO</x:v>
      </x:c>
      <x:c r="AF232" s="2" t="n">
        <x:f>IF(AND(AD232=1,AC232=1,E232="LIVE"),1,0)</x:f>
        <x:v>0</x:v>
      </x:c>
      <x:c r="AG232" s="2" t="str">
        <x:f>IF(AF232&lt;&gt;1,"",'Dashboard'!P42)</x:f>
      </x:c>
      <x:c r="AH232" s="2" t="str">
        <x:f>IF(B232="","",IF(J232&lt;&gt;"PASS",'Motor_Meciuri'!J22,IF('Calibrare_Linii'!U8&lt;&gt;"VALID","Parametri linie invalizi",IF(L232&gt;'Config_v6'!$B$13,"Dispersie peste limita",IF(W232="WATCH","Failure peste limita",IF(AB232&lt;'Config_v6'!$B$16,"P finala sub prag",IF(V232&lt;'Config_v6'!$B$18,"Confidence sub prag",IF(E232="REPLAY","Exemplu retrospectiv; exclus din Top LIVE",IF(Y232="PASS","DEFENSIV validat",IF(W232="OOS PENDING","Eligibil; calibrare linie in monitorizare","Eligibil"))))))))))</x:f>
      </x:c>
      <x:c r="AI232" s="2" t="str">
        <x:f>IF(B232="","",'Calibrare_Linii'!V8)</x:f>
      </x:c>
      <x:c r="AJ232" s="2" t="str">
        <x:f>IF(B232="","",IF(AND('Calibrare_Linii'!T8="VALIDATED",AND('Calibrare_Linii'!H8=C232,ISNUMBER('Calibrare_Linii'!J8),'Calibrare_Linii'!J8&lt;='Input_Meci'!G22)),"DEFENSIVE VALIDATED",IF(AND('Calibrare_Linii'!S8="VALIDATED",AND('Calibrare_Linii'!H8=C232,ISNUMBER('Calibrare_Linii'!J8),'Calibrare_Linii'!J8&lt;='Input_Meci'!G22)),"TAIL VALIDATED","OOS PENDING")))</x:f>
      </x:c>
      <x:c r="AK232" s="2" t="n">
        <x:f>IF(J232&lt;&gt;"PASS",0,'Motor_Meciuri'!BR22)</x:f>
        <x:v>0</x:v>
      </x:c>
      <x:c r="AL232" s="2" t="n">
        <x:f>IF(J232&lt;&gt;"PASS",0,'Motor_Meciuri'!BS22)</x:f>
        <x:v>0</x:v>
      </x:c>
      <x:c r="AM232" s="2" t="n">
        <x:f>IF(J232&lt;&gt;"PASS",0,'Motor_Meciuri'!BT22)</x:f>
        <x:v>0</x:v>
      </x:c>
      <x:c r="AN232" s="2" t="str">
        <x:f>IF(M232="","",MAX(0,'Motor_Meciuri'!BF22-IF(L232&gt;'Config_v6'!$B$12,'Config_v6'!$B$37,IF(L232&gt;'Config_v6'!$B$11,'Config_v6'!$B$36,0))))</x:f>
      </x:c>
    </x:row>
    <x:row r="233" ht="21" customHeight="1">
      <x:c r="A233" s="2" t="n">
        <x:v>17</x:v>
      </x:c>
      <x:c r="B233" s="2" t="str">
        <x:f>IF('Motor_Meciuri'!A22="","",'Motor_Meciuri'!A22)</x:f>
      </x:c>
      <x:c r="C233" s="2" t="str">
        <x:f>IF(B233="","",'Motor_Meciuri'!B22)</x:f>
      </x:c>
      <x:c r="D233" s="2" t="str">
        <x:f>IF(B233="","",'Motor_Meciuri'!D22)</x:f>
      </x:c>
      <x:c r="E233" s="2" t="str">
        <x:f>IF(B233="","",'Motor_Meciuri'!E22)</x:f>
      </x:c>
      <x:c r="F233" s="2" t="str">
        <x:v>O6,5</x:v>
      </x:c>
      <x:c r="G233" s="2" t="str">
        <x:v>OVER</x:v>
      </x:c>
      <x:c r="H233" s="2" t="n">
        <x:v>6</x:v>
      </x:c>
      <x:c r="I233" s="2" t="str">
        <x:f>IF(B233="","",'Motor_Meciuri'!H22)</x:f>
      </x:c>
      <x:c r="J233" s="2" t="str">
        <x:f>IF(B233="","",'Motor_Meciuri'!I22)</x:f>
      </x:c>
      <x:c r="K233" s="11" t="str">
        <x:f>IF(J233&lt;&gt;"PASS","",'Motor_Meciuri'!BD22)</x:f>
      </x:c>
      <x:c r="L233" s="11" t="str">
        <x:f>IF(J233&lt;&gt;"PASS","",'Motor_Meciuri'!AU22)</x:f>
      </x:c>
      <x:c r="M233" s="10" t="str">
        <x:f>IF(NOT(AND(J233="PASS",'Calibrare_Linii'!U9="VALID")),"",1-'Distributie'!AD22)</x:f>
      </x:c>
      <x:c r="N233" s="10" t="str">
        <x:f>IF(M233="","",MAX(0.01,MIN(0.99,0.5+(M233-0.5)*'Motor_Meciuri'!BG22*'Calibrare_Linii'!D9)))</x:f>
      </x:c>
      <x:c r="O233" s="10" t="str">
        <x:f>IF(M233="","",1-M233)</x:f>
      </x:c>
      <x:c r="P233" s="10" t="str">
        <x:f>IF(OR(NOT(AND(J233="PASS",'Calibrare_Linii'!U9="VALID")),AK233=0),""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*('Istoric_Nativ'!$Q$6:$Q$405&lt;=H233))/AK233)</x:f>
      </x:c>
      <x:c r="Q233" s="10" t="str">
        <x:f>IF(OR(NOT(AND(J233="PASS",'Calibrare_Linii'!U9="VALID")),AL233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M22)+((('Istoric_Nativ'!$E$6:$E$405='Input_Meci'!E22)+('Istoric_Nativ'!$F$6:$F$405='Input_Meci'!E22))&gt;0)*('Istoric_Nativ'!$D$6:$D$405&gt;='Motor_Meciuri'!BN22))&gt;0)*('Istoric_Nativ'!$Q$6:$Q$405&lt;=H233))/AL233)</x:f>
      </x:c>
      <x:c r="R233" s="10" t="str">
        <x:f>IF(OR(NOT(AND(J233="PASS",'Calibrare_Linii'!U9="VALID")),AM233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O22)+((('Istoric_Nativ'!$E$6:$E$405='Input_Meci'!E22)+('Istoric_Nativ'!$F$6:$F$405='Input_Meci'!E22))&gt;0)*('Istoric_Nativ'!$D$6:$D$405&gt;='Motor_Meciuri'!BP22))&gt;0)*('Istoric_Nativ'!$Q$6:$Q$405&lt;=H233))/AM233)</x:f>
      </x:c>
      <x:c r="S233" s="10" t="str">
        <x:f>IF(M233="","",MAX(O233,P233,Q233,R233))</x:f>
      </x:c>
      <x:c r="T233" s="11" t="str">
        <x:f>IF(M233="","",MIN(100,S233*100*'Config_v6'!$B$44+MIN(100,L233/'Config_v6'!$B$13*100)*'Config_v6'!$B$45+(100-'Motor_Meciuri'!BF22)*'Config_v6'!$B$46+'Motor_Meciuri'!BH22*100*'Config_v6'!$B$47))</x:f>
      </x:c>
      <x:c r="U233" s="2" t="str">
        <x:f>IF(T233="","",IF(T233&lt;=20,1,IF(T233&lt;=40,2,IF(T233&lt;=60,3,IF(T233&lt;=80,4,5)))))</x:f>
      </x:c>
      <x:c r="V233" s="2" t="str">
        <x:f>IF(M233="","",MAX(0,'Motor_Meciuri'!BF22-IF(W233="OOS PENDING",'Config_v6'!$B$35,0)-IF(L233&gt;'Config_v6'!$B$12,'Config_v6'!$B$37,IF(L233&gt;'Config_v6'!$B$11,'Config_v6'!$B$36,0))))</x:f>
      </x:c>
      <x:c r="W233" s="2" t="str">
        <x:f>IF(B233="","",IF(I233&lt;&gt;"READY","NOT RELEASED",IF(NOT(AND(J233="PASS",'Calibrare_Linii'!U9="VALID")),"INVALID",IF(NOT(AND('Calibrare_Linii'!S9="VALIDATED",AND('Calibrare_Linii'!H9=C233,ISNUMBER('Calibrare_Linii'!J9),'Calibrare_Linii'!J9&lt;='Input_Meci'!G22))),"OOS PENDING",IF(S233&lt;='Calibrare_Linii'!E9,"PASS",IF(S233&lt;='Calibrare_Linii'!F9,"PENALTY","WATCH"))))))</x:f>
      </x:c>
      <x:c r="X233" s="2" t="str">
        <x:f>IF(M233="","",IF(AND(AND(J233="PASS",'Calibrare_Linii'!U9="VALID"),'Motor_Meciuri'!K22=12,'Motor_Meciuri'!L22=12,'Motor_Meciuri'!M22="NO",'Motor_Meciuri'!BL22='Motor_Meciuri'!C22,AB233&gt;='Config_v6'!$B$50,AN233&gt;='Config_v6'!$B$51,T233&lt;='Config_v6'!$B$52,L233&lt;='Config_v6'!$B$53,ISNUMBER('Calibrare_Linii'!E9),S233&lt;='Calibrare_Linii'!E9,SUM(AK233:AM233)&gt;0),"CANDIDATE","NO"))</x:f>
      </x:c>
      <x:c r="Y233" s="2" t="str">
        <x:f>IF(B233="","",IF(I233&lt;&gt;"READY","NOT RELEASED",IF(AND(X233="CANDIDATE",V233&gt;='Config_v6'!$B$51,W233="PASS",'Calibrare_Linii'!T9="VALIDATED",AND('Calibrare_Linii'!H9=C233,ISNUMBER('Calibrare_Linii'!J9),'Calibrare_Linii'!J9&lt;='Input_Meci'!G22)),"PASS",IF(X233="CANDIDATE","OOS PENDING","FAIL"))))</x:f>
      </x:c>
      <x:c r="Z233" s="2" t="str">
        <x:f>IF(B233="","",IF(I233&lt;&gt;"READY","",IF(OR(NOT(AND(J233="PASS",'Calibrare_Linii'!U9="VALID")),L233&gt;'Config_v6'!$B$13,W233="WATCH"),5,IF(Y233="PASS",1,MIN(5,MAX('Config_v6'!$B$42,U233)+IF(W233="PENALTY",1,0))))))</x:f>
      </x:c>
      <x:c r="AA233" s="2" t="str">
        <x:f>IF(B233="","",IF(I233&lt;&gt;"READY","NOT RELEASED",IF(Z233=5,"NO BET",IF(OR(AB233&lt;'Config_v6'!$B$16,V233&lt;'Config_v6'!$B$18),"WATCH",IF(Z233=1,"DEFENSIV",IF(Z233=2,"PRUDENT",IF(Z233=3,"MODERAT","RIDICAT")))))))</x:f>
      </x:c>
      <x:c r="AB233" s="10" t="str">
        <x:f>IF(N233="","",MIN(N233,1-S233))</x:f>
      </x:c>
      <x:c r="AC233" s="2" t="str">
        <x:f>IF(AD233&lt;&gt;1,"",COUNTIFS($Z$230:$Z$243,"&lt;"&amp;Z233,$AD$230:$AD$243,1)+COUNTIFS($Z$230:$Z$243,Z233,$AB$230:$AB$243,"&gt;"&amp;AB233,$AD$230:$AD$243,1)+COUNTIFS($Z$230:$Z$243,Z233,$AB$230:$AB$243,AB233,$V$230:$V$243,"&gt;"&amp;V233,$AD$230:$AD$243,1)+COUNTIFS($Z$230:Z233,Z233,$AB$230:AB233,AB233,$V$230:V233,V233,$AD$230:AD233,1))</x:f>
      </x:c>
      <x:c r="AD233" s="2" t="n">
        <x:f>IF(OR(AA233="DEFENSIV",AA233="PRUDENT",AA233="MODERAT",AA233="RIDICAT"),1,0)</x:f>
        <x:v>0</x:v>
      </x:c>
      <x:c r="AE233" s="2" t="str">
        <x:f>IF(AD233&lt;&gt;1,"NO",IF(W233="PASS","YES",IF(W233="OOS PENDING","CONDITIONAL","NO")))</x:f>
        <x:v>NO</x:v>
      </x:c>
      <x:c r="AF233" s="2" t="n">
        <x:f>IF(AND(AD233=1,AC233=1,E233="LIVE"),1,0)</x:f>
        <x:v>0</x:v>
      </x:c>
      <x:c r="AG233" s="2" t="str">
        <x:f>IF(AF233&lt;&gt;1,"",'Dashboard'!P42)</x:f>
      </x:c>
      <x:c r="AH233" s="2" t="str">
        <x:f>IF(B233="","",IF(J233&lt;&gt;"PASS",'Motor_Meciuri'!J22,IF('Calibrare_Linii'!U9&lt;&gt;"VALID","Parametri linie invalizi",IF(L233&gt;'Config_v6'!$B$13,"Dispersie peste limita",IF(W233="WATCH","Failure peste limita",IF(AB233&lt;'Config_v6'!$B$16,"P finala sub prag",IF(V233&lt;'Config_v6'!$B$18,"Confidence sub prag",IF(E233="REPLAY","Exemplu retrospectiv; exclus din Top LIVE",IF(Y233="PASS","DEFENSIV validat",IF(W233="OOS PENDING","Eligibil; calibrare linie in monitorizare","Eligibil"))))))))))</x:f>
      </x:c>
      <x:c r="AI233" s="2" t="str">
        <x:f>IF(B233="","",'Calibrare_Linii'!V9)</x:f>
      </x:c>
      <x:c r="AJ233" s="2" t="str">
        <x:f>IF(B233="","",IF(AND('Calibrare_Linii'!T9="VALIDATED",AND('Calibrare_Linii'!H9=C233,ISNUMBER('Calibrare_Linii'!J9),'Calibrare_Linii'!J9&lt;='Input_Meci'!G22)),"DEFENSIVE VALIDATED",IF(AND('Calibrare_Linii'!S9="VALIDATED",AND('Calibrare_Linii'!H9=C233,ISNUMBER('Calibrare_Linii'!J9),'Calibrare_Linii'!J9&lt;='Input_Meci'!G22)),"TAIL VALIDATED","OOS PENDING")))</x:f>
      </x:c>
      <x:c r="AK233" s="2" t="n">
        <x:f>IF(J233&lt;&gt;"PASS",0,'Motor_Meciuri'!BR22)</x:f>
        <x:v>0</x:v>
      </x:c>
      <x:c r="AL233" s="2" t="n">
        <x:f>IF(J233&lt;&gt;"PASS",0,'Motor_Meciuri'!BS22)</x:f>
        <x:v>0</x:v>
      </x:c>
      <x:c r="AM233" s="2" t="n">
        <x:f>IF(J233&lt;&gt;"PASS",0,'Motor_Meciuri'!BT22)</x:f>
        <x:v>0</x:v>
      </x:c>
      <x:c r="AN233" s="2" t="str">
        <x:f>IF(M233="","",MAX(0,'Motor_Meciuri'!BF22-IF(L233&gt;'Config_v6'!$B$12,'Config_v6'!$B$37,IF(L233&gt;'Config_v6'!$B$11,'Config_v6'!$B$36,0))))</x:f>
      </x:c>
    </x:row>
    <x:row r="234" ht="21" customHeight="1">
      <x:c r="A234" s="2" t="n">
        <x:v>17</x:v>
      </x:c>
      <x:c r="B234" s="2" t="str">
        <x:f>IF('Motor_Meciuri'!A22="","",'Motor_Meciuri'!A22)</x:f>
      </x:c>
      <x:c r="C234" s="2" t="str">
        <x:f>IF(B234="","",'Motor_Meciuri'!B22)</x:f>
      </x:c>
      <x:c r="D234" s="2" t="str">
        <x:f>IF(B234="","",'Motor_Meciuri'!D22)</x:f>
      </x:c>
      <x:c r="E234" s="2" t="str">
        <x:f>IF(B234="","",'Motor_Meciuri'!E22)</x:f>
      </x:c>
      <x:c r="F234" s="2" t="str">
        <x:v>O7,5</x:v>
      </x:c>
      <x:c r="G234" s="2" t="str">
        <x:v>OVER</x:v>
      </x:c>
      <x:c r="H234" s="2" t="n">
        <x:v>7</x:v>
      </x:c>
      <x:c r="I234" s="2" t="str">
        <x:f>IF(B234="","",'Motor_Meciuri'!H22)</x:f>
      </x:c>
      <x:c r="J234" s="2" t="str">
        <x:f>IF(B234="","",'Motor_Meciuri'!I22)</x:f>
      </x:c>
      <x:c r="K234" s="11" t="str">
        <x:f>IF(J234&lt;&gt;"PASS","",'Motor_Meciuri'!BD22)</x:f>
      </x:c>
      <x:c r="L234" s="11" t="str">
        <x:f>IF(J234&lt;&gt;"PASS","",'Motor_Meciuri'!AU22)</x:f>
      </x:c>
      <x:c r="M234" s="10" t="str">
        <x:f>IF(NOT(AND(J234="PASS",'Calibrare_Linii'!U10="VALID")),"",1-'Distributie'!AE22)</x:f>
      </x:c>
      <x:c r="N234" s="10" t="str">
        <x:f>IF(M234="","",MAX(0.01,MIN(0.99,0.5+(M234-0.5)*'Motor_Meciuri'!BG22*'Calibrare_Linii'!D10)))</x:f>
      </x:c>
      <x:c r="O234" s="10" t="str">
        <x:f>IF(M234="","",1-M234)</x:f>
      </x:c>
      <x:c r="P234" s="10" t="str">
        <x:f>IF(OR(NOT(AND(J234="PASS",'Calibrare_Linii'!U10="VALID")),AK234=0),""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*('Istoric_Nativ'!$Q$6:$Q$405&lt;=H234))/AK234)</x:f>
      </x:c>
      <x:c r="Q234" s="10" t="str">
        <x:f>IF(OR(NOT(AND(J234="PASS",'Calibrare_Linii'!U10="VALID")),AL234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M22)+((('Istoric_Nativ'!$E$6:$E$405='Input_Meci'!E22)+('Istoric_Nativ'!$F$6:$F$405='Input_Meci'!E22))&gt;0)*('Istoric_Nativ'!$D$6:$D$405&gt;='Motor_Meciuri'!BN22))&gt;0)*('Istoric_Nativ'!$Q$6:$Q$405&lt;=H234))/AL234)</x:f>
      </x:c>
      <x:c r="R234" s="10" t="str">
        <x:f>IF(OR(NOT(AND(J234="PASS",'Calibrare_Linii'!U10="VALID")),AM234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O22)+((('Istoric_Nativ'!$E$6:$E$405='Input_Meci'!E22)+('Istoric_Nativ'!$F$6:$F$405='Input_Meci'!E22))&gt;0)*('Istoric_Nativ'!$D$6:$D$405&gt;='Motor_Meciuri'!BP22))&gt;0)*('Istoric_Nativ'!$Q$6:$Q$405&lt;=H234))/AM234)</x:f>
      </x:c>
      <x:c r="S234" s="10" t="str">
        <x:f>IF(M234="","",MAX(O234,P234,Q234,R234))</x:f>
      </x:c>
      <x:c r="T234" s="11" t="str">
        <x:f>IF(M234="","",MIN(100,S234*100*'Config_v6'!$B$44+MIN(100,L234/'Config_v6'!$B$13*100)*'Config_v6'!$B$45+(100-'Motor_Meciuri'!BF22)*'Config_v6'!$B$46+'Motor_Meciuri'!BH22*100*'Config_v6'!$B$47))</x:f>
      </x:c>
      <x:c r="U234" s="2" t="str">
        <x:f>IF(T234="","",IF(T234&lt;=20,1,IF(T234&lt;=40,2,IF(T234&lt;=60,3,IF(T234&lt;=80,4,5)))))</x:f>
      </x:c>
      <x:c r="V234" s="2" t="str">
        <x:f>IF(M234="","",MAX(0,'Motor_Meciuri'!BF22-IF(W234="OOS PENDING",'Config_v6'!$B$35,0)-IF(L234&gt;'Config_v6'!$B$12,'Config_v6'!$B$37,IF(L234&gt;'Config_v6'!$B$11,'Config_v6'!$B$36,0))))</x:f>
      </x:c>
      <x:c r="W234" s="2" t="str">
        <x:f>IF(B234="","",IF(I234&lt;&gt;"READY","NOT RELEASED",IF(NOT(AND(J234="PASS",'Calibrare_Linii'!U10="VALID")),"INVALID",IF(NOT(AND('Calibrare_Linii'!S10="VALIDATED",AND('Calibrare_Linii'!H10=C234,ISNUMBER('Calibrare_Linii'!J10),'Calibrare_Linii'!J10&lt;='Input_Meci'!G22))),"OOS PENDING",IF(S234&lt;='Calibrare_Linii'!E10,"PASS",IF(S234&lt;='Calibrare_Linii'!F10,"PENALTY","WATCH"))))))</x:f>
      </x:c>
      <x:c r="X234" s="2" t="str">
        <x:f>IF(M234="","",IF(AND(AND(J234="PASS",'Calibrare_Linii'!U10="VALID"),'Motor_Meciuri'!K22=12,'Motor_Meciuri'!L22=12,'Motor_Meciuri'!M22="NO",'Motor_Meciuri'!BL22='Motor_Meciuri'!C22,AB234&gt;='Config_v6'!$B$50,AN234&gt;='Config_v6'!$B$51,T234&lt;='Config_v6'!$B$52,L234&lt;='Config_v6'!$B$53,ISNUMBER('Calibrare_Linii'!E10),S234&lt;='Calibrare_Linii'!E10,SUM(AK234:AM234)&gt;0),"CANDIDATE","NO"))</x:f>
      </x:c>
      <x:c r="Y234" s="2" t="str">
        <x:f>IF(B234="","",IF(I234&lt;&gt;"READY","NOT RELEASED",IF(AND(X234="CANDIDATE",V234&gt;='Config_v6'!$B$51,W234="PASS",'Calibrare_Linii'!T10="VALIDATED",AND('Calibrare_Linii'!H10=C234,ISNUMBER('Calibrare_Linii'!J10),'Calibrare_Linii'!J10&lt;='Input_Meci'!G22)),"PASS",IF(X234="CANDIDATE","OOS PENDING","FAIL"))))</x:f>
      </x:c>
      <x:c r="Z234" s="2" t="str">
        <x:f>IF(B234="","",IF(I234&lt;&gt;"READY","",IF(OR(NOT(AND(J234="PASS",'Calibrare_Linii'!U10="VALID")),L234&gt;'Config_v6'!$B$13,W234="WATCH"),5,IF(Y234="PASS",1,MIN(5,MAX('Config_v6'!$B$42,U234)+IF(W234="PENALTY",1,0))))))</x:f>
      </x:c>
      <x:c r="AA234" s="2" t="str">
        <x:f>IF(B234="","",IF(I234&lt;&gt;"READY","NOT RELEASED",IF(Z234=5,"NO BET",IF(OR(AB234&lt;'Config_v6'!$B$16,V234&lt;'Config_v6'!$B$18),"WATCH",IF(Z234=1,"DEFENSIV",IF(Z234=2,"PRUDENT",IF(Z234=3,"MODERAT","RIDICAT")))))))</x:f>
      </x:c>
      <x:c r="AB234" s="10" t="str">
        <x:f>IF(N234="","",MIN(N234,1-S234))</x:f>
      </x:c>
      <x:c r="AC234" s="2" t="str">
        <x:f>IF(AD234&lt;&gt;1,"",COUNTIFS($Z$230:$Z$243,"&lt;"&amp;Z234,$AD$230:$AD$243,1)+COUNTIFS($Z$230:$Z$243,Z234,$AB$230:$AB$243,"&gt;"&amp;AB234,$AD$230:$AD$243,1)+COUNTIFS($Z$230:$Z$243,Z234,$AB$230:$AB$243,AB234,$V$230:$V$243,"&gt;"&amp;V234,$AD$230:$AD$243,1)+COUNTIFS($Z$230:Z234,Z234,$AB$230:AB234,AB234,$V$230:V234,V234,$AD$230:AD234,1))</x:f>
      </x:c>
      <x:c r="AD234" s="2" t="n">
        <x:f>IF(OR(AA234="DEFENSIV",AA234="PRUDENT",AA234="MODERAT",AA234="RIDICAT"),1,0)</x:f>
        <x:v>0</x:v>
      </x:c>
      <x:c r="AE234" s="2" t="str">
        <x:f>IF(AD234&lt;&gt;1,"NO",IF(W234="PASS","YES",IF(W234="OOS PENDING","CONDITIONAL","NO")))</x:f>
        <x:v>NO</x:v>
      </x:c>
      <x:c r="AF234" s="2" t="n">
        <x:f>IF(AND(AD234=1,AC234=1,E234="LIVE"),1,0)</x:f>
        <x:v>0</x:v>
      </x:c>
      <x:c r="AG234" s="2" t="str">
        <x:f>IF(AF234&lt;&gt;1,"",'Dashboard'!P42)</x:f>
      </x:c>
      <x:c r="AH234" s="2" t="str">
        <x:f>IF(B234="","",IF(J234&lt;&gt;"PASS",'Motor_Meciuri'!J22,IF('Calibrare_Linii'!U10&lt;&gt;"VALID","Parametri linie invalizi",IF(L234&gt;'Config_v6'!$B$13,"Dispersie peste limita",IF(W234="WATCH","Failure peste limita",IF(AB234&lt;'Config_v6'!$B$16,"P finala sub prag",IF(V234&lt;'Config_v6'!$B$18,"Confidence sub prag",IF(E234="REPLAY","Exemplu retrospectiv; exclus din Top LIVE",IF(Y234="PASS","DEFENSIV validat",IF(W234="OOS PENDING","Eligibil; calibrare linie in monitorizare","Eligibil"))))))))))</x:f>
      </x:c>
      <x:c r="AI234" s="2" t="str">
        <x:f>IF(B234="","",'Calibrare_Linii'!V10)</x:f>
      </x:c>
      <x:c r="AJ234" s="2" t="str">
        <x:f>IF(B234="","",IF(AND('Calibrare_Linii'!T10="VALIDATED",AND('Calibrare_Linii'!H10=C234,ISNUMBER('Calibrare_Linii'!J10),'Calibrare_Linii'!J10&lt;='Input_Meci'!G22)),"DEFENSIVE VALIDATED",IF(AND('Calibrare_Linii'!S10="VALIDATED",AND('Calibrare_Linii'!H10=C234,ISNUMBER('Calibrare_Linii'!J10),'Calibrare_Linii'!J10&lt;='Input_Meci'!G22)),"TAIL VALIDATED","OOS PENDING")))</x:f>
      </x:c>
      <x:c r="AK234" s="2" t="n">
        <x:f>IF(J234&lt;&gt;"PASS",0,'Motor_Meciuri'!BR22)</x:f>
        <x:v>0</x:v>
      </x:c>
      <x:c r="AL234" s="2" t="n">
        <x:f>IF(J234&lt;&gt;"PASS",0,'Motor_Meciuri'!BS22)</x:f>
        <x:v>0</x:v>
      </x:c>
      <x:c r="AM234" s="2" t="n">
        <x:f>IF(J234&lt;&gt;"PASS",0,'Motor_Meciuri'!BT22)</x:f>
        <x:v>0</x:v>
      </x:c>
      <x:c r="AN234" s="2" t="str">
        <x:f>IF(M234="","",MAX(0,'Motor_Meciuri'!BF22-IF(L234&gt;'Config_v6'!$B$12,'Config_v6'!$B$37,IF(L234&gt;'Config_v6'!$B$11,'Config_v6'!$B$36,0))))</x:f>
      </x:c>
    </x:row>
    <x:row r="235" ht="21" customHeight="1">
      <x:c r="A235" s="2" t="n">
        <x:v>17</x:v>
      </x:c>
      <x:c r="B235" s="2" t="str">
        <x:f>IF('Motor_Meciuri'!A22="","",'Motor_Meciuri'!A22)</x:f>
      </x:c>
      <x:c r="C235" s="2" t="str">
        <x:f>IF(B235="","",'Motor_Meciuri'!B22)</x:f>
      </x:c>
      <x:c r="D235" s="2" t="str">
        <x:f>IF(B235="","",'Motor_Meciuri'!D22)</x:f>
      </x:c>
      <x:c r="E235" s="2" t="str">
        <x:f>IF(B235="","",'Motor_Meciuri'!E22)</x:f>
      </x:c>
      <x:c r="F235" s="2" t="str">
        <x:v>O8,5</x:v>
      </x:c>
      <x:c r="G235" s="2" t="str">
        <x:v>OVER</x:v>
      </x:c>
      <x:c r="H235" s="2" t="n">
        <x:v>8</x:v>
      </x:c>
      <x:c r="I235" s="2" t="str">
        <x:f>IF(B235="","",'Motor_Meciuri'!H22)</x:f>
      </x:c>
      <x:c r="J235" s="2" t="str">
        <x:f>IF(B235="","",'Motor_Meciuri'!I22)</x:f>
      </x:c>
      <x:c r="K235" s="11" t="str">
        <x:f>IF(J235&lt;&gt;"PASS","",'Motor_Meciuri'!BD22)</x:f>
      </x:c>
      <x:c r="L235" s="11" t="str">
        <x:f>IF(J235&lt;&gt;"PASS","",'Motor_Meciuri'!AU22)</x:f>
      </x:c>
      <x:c r="M235" s="10" t="str">
        <x:f>IF(NOT(AND(J235="PASS",'Calibrare_Linii'!U11="VALID")),"",1-'Distributie'!AF22)</x:f>
      </x:c>
      <x:c r="N235" s="10" t="str">
        <x:f>IF(M235="","",MAX(0.01,MIN(0.99,0.5+(M235-0.5)*'Motor_Meciuri'!BG22*'Calibrare_Linii'!D11)))</x:f>
      </x:c>
      <x:c r="O235" s="10" t="str">
        <x:f>IF(M235="","",1-M235)</x:f>
      </x:c>
      <x:c r="P235" s="10" t="str">
        <x:f>IF(OR(NOT(AND(J235="PASS",'Calibrare_Linii'!U11="VALID")),AK235=0),""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*('Istoric_Nativ'!$Q$6:$Q$405&lt;=H235))/AK235)</x:f>
      </x:c>
      <x:c r="Q235" s="10" t="str">
        <x:f>IF(OR(NOT(AND(J235="PASS",'Calibrare_Linii'!U11="VALID")),AL235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M22)+((('Istoric_Nativ'!$E$6:$E$405='Input_Meci'!E22)+('Istoric_Nativ'!$F$6:$F$405='Input_Meci'!E22))&gt;0)*('Istoric_Nativ'!$D$6:$D$405&gt;='Motor_Meciuri'!BN22))&gt;0)*('Istoric_Nativ'!$Q$6:$Q$405&lt;=H235))/AL235)</x:f>
      </x:c>
      <x:c r="R235" s="10" t="str">
        <x:f>IF(OR(NOT(AND(J235="PASS",'Calibrare_Linii'!U11="VALID")),AM235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O22)+((('Istoric_Nativ'!$E$6:$E$405='Input_Meci'!E22)+('Istoric_Nativ'!$F$6:$F$405='Input_Meci'!E22))&gt;0)*('Istoric_Nativ'!$D$6:$D$405&gt;='Motor_Meciuri'!BP22))&gt;0)*('Istoric_Nativ'!$Q$6:$Q$405&lt;=H235))/AM235)</x:f>
      </x:c>
      <x:c r="S235" s="10" t="str">
        <x:f>IF(M235="","",MAX(O235,P235,Q235,R235))</x:f>
      </x:c>
      <x:c r="T235" s="11" t="str">
        <x:f>IF(M235="","",MIN(100,S235*100*'Config_v6'!$B$44+MIN(100,L235/'Config_v6'!$B$13*100)*'Config_v6'!$B$45+(100-'Motor_Meciuri'!BF22)*'Config_v6'!$B$46+'Motor_Meciuri'!BH22*100*'Config_v6'!$B$47))</x:f>
      </x:c>
      <x:c r="U235" s="2" t="str">
        <x:f>IF(T235="","",IF(T235&lt;=20,1,IF(T235&lt;=40,2,IF(T235&lt;=60,3,IF(T235&lt;=80,4,5)))))</x:f>
      </x:c>
      <x:c r="V235" s="2" t="str">
        <x:f>IF(M235="","",MAX(0,'Motor_Meciuri'!BF22-IF(W235="OOS PENDING",'Config_v6'!$B$35,0)-IF(L235&gt;'Config_v6'!$B$12,'Config_v6'!$B$37,IF(L235&gt;'Config_v6'!$B$11,'Config_v6'!$B$36,0))))</x:f>
      </x:c>
      <x:c r="W235" s="2" t="str">
        <x:f>IF(B235="","",IF(I235&lt;&gt;"READY","NOT RELEASED",IF(NOT(AND(J235="PASS",'Calibrare_Linii'!U11="VALID")),"INVALID",IF(NOT(AND('Calibrare_Linii'!S11="VALIDATED",AND('Calibrare_Linii'!H11=C235,ISNUMBER('Calibrare_Linii'!J11),'Calibrare_Linii'!J11&lt;='Input_Meci'!G22))),"OOS PENDING",IF(S235&lt;='Calibrare_Linii'!E11,"PASS",IF(S235&lt;='Calibrare_Linii'!F11,"PENALTY","WATCH"))))))</x:f>
      </x:c>
      <x:c r="X235" s="2" t="str">
        <x:f>IF(M235="","",IF(AND(AND(J235="PASS",'Calibrare_Linii'!U11="VALID"),'Motor_Meciuri'!K22=12,'Motor_Meciuri'!L22=12,'Motor_Meciuri'!M22="NO",'Motor_Meciuri'!BL22='Motor_Meciuri'!C22,AB235&gt;='Config_v6'!$B$50,AN235&gt;='Config_v6'!$B$51,T235&lt;='Config_v6'!$B$52,L235&lt;='Config_v6'!$B$53,ISNUMBER('Calibrare_Linii'!E11),S235&lt;='Calibrare_Linii'!E11,SUM(AK235:AM235)&gt;0),"CANDIDATE","NO"))</x:f>
      </x:c>
      <x:c r="Y235" s="2" t="str">
        <x:f>IF(B235="","",IF(I235&lt;&gt;"READY","NOT RELEASED",IF(AND(X235="CANDIDATE",V235&gt;='Config_v6'!$B$51,W235="PASS",'Calibrare_Linii'!T11="VALIDATED",AND('Calibrare_Linii'!H11=C235,ISNUMBER('Calibrare_Linii'!J11),'Calibrare_Linii'!J11&lt;='Input_Meci'!G22)),"PASS",IF(X235="CANDIDATE","OOS PENDING","FAIL"))))</x:f>
      </x:c>
      <x:c r="Z235" s="2" t="str">
        <x:f>IF(B235="","",IF(I235&lt;&gt;"READY","",IF(OR(NOT(AND(J235="PASS",'Calibrare_Linii'!U11="VALID")),L235&gt;'Config_v6'!$B$13,W235="WATCH"),5,IF(Y235="PASS",1,MIN(5,MAX('Config_v6'!$B$42,U235)+IF(W235="PENALTY",1,0))))))</x:f>
      </x:c>
      <x:c r="AA235" s="2" t="str">
        <x:f>IF(B235="","",IF(I235&lt;&gt;"READY","NOT RELEASED",IF(Z235=5,"NO BET",IF(OR(AB235&lt;'Config_v6'!$B$16,V235&lt;'Config_v6'!$B$18),"WATCH",IF(Z235=1,"DEFENSIV",IF(Z235=2,"PRUDENT",IF(Z235=3,"MODERAT","RIDICAT")))))))</x:f>
      </x:c>
      <x:c r="AB235" s="10" t="str">
        <x:f>IF(N235="","",MIN(N235,1-S235))</x:f>
      </x:c>
      <x:c r="AC235" s="2" t="str">
        <x:f>IF(AD235&lt;&gt;1,"",COUNTIFS($Z$230:$Z$243,"&lt;"&amp;Z235,$AD$230:$AD$243,1)+COUNTIFS($Z$230:$Z$243,Z235,$AB$230:$AB$243,"&gt;"&amp;AB235,$AD$230:$AD$243,1)+COUNTIFS($Z$230:$Z$243,Z235,$AB$230:$AB$243,AB235,$V$230:$V$243,"&gt;"&amp;V235,$AD$230:$AD$243,1)+COUNTIFS($Z$230:Z235,Z235,$AB$230:AB235,AB235,$V$230:V235,V235,$AD$230:AD235,1))</x:f>
      </x:c>
      <x:c r="AD235" s="2" t="n">
        <x:f>IF(OR(AA235="DEFENSIV",AA235="PRUDENT",AA235="MODERAT",AA235="RIDICAT"),1,0)</x:f>
        <x:v>0</x:v>
      </x:c>
      <x:c r="AE235" s="2" t="str">
        <x:f>IF(AD235&lt;&gt;1,"NO",IF(W235="PASS","YES",IF(W235="OOS PENDING","CONDITIONAL","NO")))</x:f>
        <x:v>NO</x:v>
      </x:c>
      <x:c r="AF235" s="2" t="n">
        <x:f>IF(AND(AD235=1,AC235=1,E235="LIVE"),1,0)</x:f>
        <x:v>0</x:v>
      </x:c>
      <x:c r="AG235" s="2" t="str">
        <x:f>IF(AF235&lt;&gt;1,"",'Dashboard'!P42)</x:f>
      </x:c>
      <x:c r="AH235" s="2" t="str">
        <x:f>IF(B235="","",IF(J235&lt;&gt;"PASS",'Motor_Meciuri'!J22,IF('Calibrare_Linii'!U11&lt;&gt;"VALID","Parametri linie invalizi",IF(L235&gt;'Config_v6'!$B$13,"Dispersie peste limita",IF(W235="WATCH","Failure peste limita",IF(AB235&lt;'Config_v6'!$B$16,"P finala sub prag",IF(V235&lt;'Config_v6'!$B$18,"Confidence sub prag",IF(E235="REPLAY","Exemplu retrospectiv; exclus din Top LIVE",IF(Y235="PASS","DEFENSIV validat",IF(W235="OOS PENDING","Eligibil; calibrare linie in monitorizare","Eligibil"))))))))))</x:f>
      </x:c>
      <x:c r="AI235" s="2" t="str">
        <x:f>IF(B235="","",'Calibrare_Linii'!V11)</x:f>
      </x:c>
      <x:c r="AJ235" s="2" t="str">
        <x:f>IF(B235="","",IF(AND('Calibrare_Linii'!T11="VALIDATED",AND('Calibrare_Linii'!H11=C235,ISNUMBER('Calibrare_Linii'!J11),'Calibrare_Linii'!J11&lt;='Input_Meci'!G22)),"DEFENSIVE VALIDATED",IF(AND('Calibrare_Linii'!S11="VALIDATED",AND('Calibrare_Linii'!H11=C235,ISNUMBER('Calibrare_Linii'!J11),'Calibrare_Linii'!J11&lt;='Input_Meci'!G22)),"TAIL VALIDATED","OOS PENDING")))</x:f>
      </x:c>
      <x:c r="AK235" s="2" t="n">
        <x:f>IF(J235&lt;&gt;"PASS",0,'Motor_Meciuri'!BR22)</x:f>
        <x:v>0</x:v>
      </x:c>
      <x:c r="AL235" s="2" t="n">
        <x:f>IF(J235&lt;&gt;"PASS",0,'Motor_Meciuri'!BS22)</x:f>
        <x:v>0</x:v>
      </x:c>
      <x:c r="AM235" s="2" t="n">
        <x:f>IF(J235&lt;&gt;"PASS",0,'Motor_Meciuri'!BT22)</x:f>
        <x:v>0</x:v>
      </x:c>
      <x:c r="AN235" s="2" t="str">
        <x:f>IF(M235="","",MAX(0,'Motor_Meciuri'!BF22-IF(L235&gt;'Config_v6'!$B$12,'Config_v6'!$B$37,IF(L235&gt;'Config_v6'!$B$11,'Config_v6'!$B$36,0))))</x:f>
      </x:c>
    </x:row>
    <x:row r="236" ht="21" customHeight="1">
      <x:c r="A236" s="2" t="n">
        <x:v>17</x:v>
      </x:c>
      <x:c r="B236" s="2" t="str">
        <x:f>IF('Motor_Meciuri'!A22="","",'Motor_Meciuri'!A22)</x:f>
      </x:c>
      <x:c r="C236" s="2" t="str">
        <x:f>IF(B236="","",'Motor_Meciuri'!B22)</x:f>
      </x:c>
      <x:c r="D236" s="2" t="str">
        <x:f>IF(B236="","",'Motor_Meciuri'!D22)</x:f>
      </x:c>
      <x:c r="E236" s="2" t="str">
        <x:f>IF(B236="","",'Motor_Meciuri'!E22)</x:f>
      </x:c>
      <x:c r="F236" s="2" t="str">
        <x:v>U10,5</x:v>
      </x:c>
      <x:c r="G236" s="2" t="str">
        <x:v>UNDER</x:v>
      </x:c>
      <x:c r="H236" s="2" t="n">
        <x:v>10</x:v>
      </x:c>
      <x:c r="I236" s="2" t="str">
        <x:f>IF(B236="","",'Motor_Meciuri'!H22)</x:f>
      </x:c>
      <x:c r="J236" s="2" t="str">
        <x:f>IF(B236="","",'Motor_Meciuri'!I22)</x:f>
      </x:c>
      <x:c r="K236" s="11" t="str">
        <x:f>IF(J236&lt;&gt;"PASS","",'Motor_Meciuri'!BD22)</x:f>
      </x:c>
      <x:c r="L236" s="11" t="str">
        <x:f>IF(J236&lt;&gt;"PASS","",'Motor_Meciuri'!AU22)</x:f>
      </x:c>
      <x:c r="M236" s="10" t="str">
        <x:f>IF(NOT(AND(J236="PASS",'Calibrare_Linii'!U12="VALID")),"",'Distributie'!AH22)</x:f>
      </x:c>
      <x:c r="N236" s="10" t="str">
        <x:f>IF(M236="","",MAX(0.01,MIN(0.99,0.5+(M236-0.5)*'Motor_Meciuri'!BG22*'Calibrare_Linii'!D12)))</x:f>
      </x:c>
      <x:c r="O236" s="10" t="str">
        <x:f>IF(M236="","",1-M236)</x:f>
      </x:c>
      <x:c r="P236" s="10" t="str">
        <x:f>IF(OR(NOT(AND(J236="PASS",'Calibrare_Linii'!U12="VALID")),AK236=0),""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*('Istoric_Nativ'!$Q$6:$Q$405&gt;H236))/AK236)</x:f>
      </x:c>
      <x:c r="Q236" s="10" t="str">
        <x:f>IF(OR(NOT(AND(J236="PASS",'Calibrare_Linii'!U12="VALID")),AL236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M22)+((('Istoric_Nativ'!$E$6:$E$405='Input_Meci'!E22)+('Istoric_Nativ'!$F$6:$F$405='Input_Meci'!E22))&gt;0)*('Istoric_Nativ'!$D$6:$D$405&gt;='Motor_Meciuri'!BN22))&gt;0)*('Istoric_Nativ'!$Q$6:$Q$405&gt;H236))/AL236)</x:f>
      </x:c>
      <x:c r="R236" s="10" t="str">
        <x:f>IF(OR(NOT(AND(J236="PASS",'Calibrare_Linii'!U12="VALID")),AM236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O22)+((('Istoric_Nativ'!$E$6:$E$405='Input_Meci'!E22)+('Istoric_Nativ'!$F$6:$F$405='Input_Meci'!E22))&gt;0)*('Istoric_Nativ'!$D$6:$D$405&gt;='Motor_Meciuri'!BP22))&gt;0)*('Istoric_Nativ'!$Q$6:$Q$405&gt;H236))/AM236)</x:f>
      </x:c>
      <x:c r="S236" s="10" t="str">
        <x:f>IF(M236="","",MAX(O236,P236,Q236,R236))</x:f>
      </x:c>
      <x:c r="T236" s="11" t="str">
        <x:f>IF(M236="","",MIN(100,S236*100*'Config_v6'!$B$44+MIN(100,L236/'Config_v6'!$B$13*100)*'Config_v6'!$B$45+(100-'Motor_Meciuri'!BF22)*'Config_v6'!$B$46+'Motor_Meciuri'!BH22*100*'Config_v6'!$B$47))</x:f>
      </x:c>
      <x:c r="U236" s="2" t="str">
        <x:f>IF(T236="","",IF(T236&lt;=20,1,IF(T236&lt;=40,2,IF(T236&lt;=60,3,IF(T236&lt;=80,4,5)))))</x:f>
      </x:c>
      <x:c r="V236" s="2" t="str">
        <x:f>IF(M236="","",MAX(0,'Motor_Meciuri'!BF22-IF(W236="OOS PENDING",'Config_v6'!$B$35,0)-IF(L236&gt;'Config_v6'!$B$12,'Config_v6'!$B$37,IF(L236&gt;'Config_v6'!$B$11,'Config_v6'!$B$36,0))))</x:f>
      </x:c>
      <x:c r="W236" s="2" t="str">
        <x:f>IF(B236="","",IF(I236&lt;&gt;"READY","NOT RELEASED",IF(NOT(AND(J236="PASS",'Calibrare_Linii'!U12="VALID")),"INVALID",IF(NOT(AND('Calibrare_Linii'!S12="VALIDATED",AND('Calibrare_Linii'!H12=C236,ISNUMBER('Calibrare_Linii'!J12),'Calibrare_Linii'!J12&lt;='Input_Meci'!G22))),"OOS PENDING",IF(S236&lt;='Calibrare_Linii'!E12,"PASS",IF(S236&lt;='Calibrare_Linii'!F12,"PENALTY","WATCH"))))))</x:f>
      </x:c>
      <x:c r="X236" s="2" t="str">
        <x:f>IF(M236="","",IF(AND(AND(J236="PASS",'Calibrare_Linii'!U12="VALID"),'Motor_Meciuri'!K22=12,'Motor_Meciuri'!L22=12,'Motor_Meciuri'!M22="NO",'Motor_Meciuri'!BL22='Motor_Meciuri'!C22,AB236&gt;='Config_v6'!$B$50,AN236&gt;='Config_v6'!$B$51,T236&lt;='Config_v6'!$B$52,L236&lt;='Config_v6'!$B$53,ISNUMBER('Calibrare_Linii'!E12),S236&lt;='Calibrare_Linii'!E12,SUM(AK236:AM236)&gt;0),"CANDIDATE","NO"))</x:f>
      </x:c>
      <x:c r="Y236" s="2" t="str">
        <x:f>IF(B236="","",IF(I236&lt;&gt;"READY","NOT RELEASED",IF(AND(X236="CANDIDATE",V236&gt;='Config_v6'!$B$51,W236="PASS",'Calibrare_Linii'!T12="VALIDATED",AND('Calibrare_Linii'!H12=C236,ISNUMBER('Calibrare_Linii'!J12),'Calibrare_Linii'!J12&lt;='Input_Meci'!G22)),"PASS",IF(X236="CANDIDATE","OOS PENDING","FAIL"))))</x:f>
      </x:c>
      <x:c r="Z236" s="2" t="str">
        <x:f>IF(B236="","",IF(I236&lt;&gt;"READY","",IF(OR(NOT(AND(J236="PASS",'Calibrare_Linii'!U12="VALID")),L236&gt;'Config_v6'!$B$13,W236="WATCH"),5,IF(Y236="PASS",1,MIN(5,MAX('Config_v6'!$B$42,U236)+IF(W236="PENALTY",1,0))))))</x:f>
      </x:c>
      <x:c r="AA236" s="2" t="str">
        <x:f>IF(B236="","",IF(I236&lt;&gt;"READY","NOT RELEASED",IF(Z236=5,"NO BET",IF(OR(AB236&lt;'Config_v6'!$B$16,V236&lt;'Config_v6'!$B$18),"WATCH",IF(Z236=1,"DEFENSIV",IF(Z236=2,"PRUDENT",IF(Z236=3,"MODERAT","RIDICAT")))))))</x:f>
      </x:c>
      <x:c r="AB236" s="10" t="str">
        <x:f>IF(N236="","",MIN(N236,1-S236))</x:f>
      </x:c>
      <x:c r="AC236" s="2" t="str">
        <x:f>IF(AD236&lt;&gt;1,"",COUNTIFS($Z$230:$Z$243,"&lt;"&amp;Z236,$AD$230:$AD$243,1)+COUNTIFS($Z$230:$Z$243,Z236,$AB$230:$AB$243,"&gt;"&amp;AB236,$AD$230:$AD$243,1)+COUNTIFS($Z$230:$Z$243,Z236,$AB$230:$AB$243,AB236,$V$230:$V$243,"&gt;"&amp;V236,$AD$230:$AD$243,1)+COUNTIFS($Z$230:Z236,Z236,$AB$230:AB236,AB236,$V$230:V236,V236,$AD$230:AD236,1))</x:f>
      </x:c>
      <x:c r="AD236" s="2" t="n">
        <x:f>IF(OR(AA236="DEFENSIV",AA236="PRUDENT",AA236="MODERAT",AA236="RIDICAT"),1,0)</x:f>
        <x:v>0</x:v>
      </x:c>
      <x:c r="AE236" s="2" t="str">
        <x:f>IF(AD236&lt;&gt;1,"NO",IF(W236="PASS","YES",IF(W236="OOS PENDING","CONDITIONAL","NO")))</x:f>
        <x:v>NO</x:v>
      </x:c>
      <x:c r="AF236" s="2" t="n">
        <x:f>IF(AND(AD236=1,AC236=1,E236="LIVE"),1,0)</x:f>
        <x:v>0</x:v>
      </x:c>
      <x:c r="AG236" s="2" t="str">
        <x:f>IF(AF236&lt;&gt;1,"",'Dashboard'!P42)</x:f>
      </x:c>
      <x:c r="AH236" s="2" t="str">
        <x:f>IF(B236="","",IF(J236&lt;&gt;"PASS",'Motor_Meciuri'!J22,IF('Calibrare_Linii'!U12&lt;&gt;"VALID","Parametri linie invalizi",IF(L236&gt;'Config_v6'!$B$13,"Dispersie peste limita",IF(W236="WATCH","Failure peste limita",IF(AB236&lt;'Config_v6'!$B$16,"P finala sub prag",IF(V236&lt;'Config_v6'!$B$18,"Confidence sub prag",IF(E236="REPLAY","Exemplu retrospectiv; exclus din Top LIVE",IF(Y236="PASS","DEFENSIV validat",IF(W236="OOS PENDING","Eligibil; calibrare linie in monitorizare","Eligibil"))))))))))</x:f>
      </x:c>
      <x:c r="AI236" s="2" t="str">
        <x:f>IF(B236="","",'Calibrare_Linii'!V12)</x:f>
      </x:c>
      <x:c r="AJ236" s="2" t="str">
        <x:f>IF(B236="","",IF(AND('Calibrare_Linii'!T12="VALIDATED",AND('Calibrare_Linii'!H12=C236,ISNUMBER('Calibrare_Linii'!J12),'Calibrare_Linii'!J12&lt;='Input_Meci'!G22)),"DEFENSIVE VALIDATED",IF(AND('Calibrare_Linii'!S12="VALIDATED",AND('Calibrare_Linii'!H12=C236,ISNUMBER('Calibrare_Linii'!J12),'Calibrare_Linii'!J12&lt;='Input_Meci'!G22)),"TAIL VALIDATED","OOS PENDING")))</x:f>
      </x:c>
      <x:c r="AK236" s="2" t="n">
        <x:f>IF(J236&lt;&gt;"PASS",0,'Motor_Meciuri'!BR22)</x:f>
        <x:v>0</x:v>
      </x:c>
      <x:c r="AL236" s="2" t="n">
        <x:f>IF(J236&lt;&gt;"PASS",0,'Motor_Meciuri'!BS22)</x:f>
        <x:v>0</x:v>
      </x:c>
      <x:c r="AM236" s="2" t="n">
        <x:f>IF(J236&lt;&gt;"PASS",0,'Motor_Meciuri'!BT22)</x:f>
        <x:v>0</x:v>
      </x:c>
      <x:c r="AN236" s="2" t="str">
        <x:f>IF(M236="","",MAX(0,'Motor_Meciuri'!BF22-IF(L236&gt;'Config_v6'!$B$12,'Config_v6'!$B$37,IF(L236&gt;'Config_v6'!$B$11,'Config_v6'!$B$36,0))))</x:f>
      </x:c>
    </x:row>
    <x:row r="237" ht="21" customHeight="1">
      <x:c r="A237" s="2" t="n">
        <x:v>17</x:v>
      </x:c>
      <x:c r="B237" s="2" t="str">
        <x:f>IF('Motor_Meciuri'!A22="","",'Motor_Meciuri'!A22)</x:f>
      </x:c>
      <x:c r="C237" s="2" t="str">
        <x:f>IF(B237="","",'Motor_Meciuri'!B22)</x:f>
      </x:c>
      <x:c r="D237" s="2" t="str">
        <x:f>IF(B237="","",'Motor_Meciuri'!D22)</x:f>
      </x:c>
      <x:c r="E237" s="2" t="str">
        <x:f>IF(B237="","",'Motor_Meciuri'!E22)</x:f>
      </x:c>
      <x:c r="F237" s="2" t="str">
        <x:v>U11,5</x:v>
      </x:c>
      <x:c r="G237" s="2" t="str">
        <x:v>UNDER</x:v>
      </x:c>
      <x:c r="H237" s="2" t="n">
        <x:v>11</x:v>
      </x:c>
      <x:c r="I237" s="2" t="str">
        <x:f>IF(B237="","",'Motor_Meciuri'!H22)</x:f>
      </x:c>
      <x:c r="J237" s="2" t="str">
        <x:f>IF(B237="","",'Motor_Meciuri'!I22)</x:f>
      </x:c>
      <x:c r="K237" s="11" t="str">
        <x:f>IF(J237&lt;&gt;"PASS","",'Motor_Meciuri'!BD22)</x:f>
      </x:c>
      <x:c r="L237" s="11" t="str">
        <x:f>IF(J237&lt;&gt;"PASS","",'Motor_Meciuri'!AU22)</x:f>
      </x:c>
      <x:c r="M237" s="10" t="str">
        <x:f>IF(NOT(AND(J237="PASS",'Calibrare_Linii'!U13="VALID")),"",'Distributie'!AI22)</x:f>
      </x:c>
      <x:c r="N237" s="10" t="str">
        <x:f>IF(M237="","",MAX(0.01,MIN(0.99,0.5+(M237-0.5)*'Motor_Meciuri'!BG22*'Calibrare_Linii'!D13)))</x:f>
      </x:c>
      <x:c r="O237" s="10" t="str">
        <x:f>IF(M237="","",1-M237)</x:f>
      </x:c>
      <x:c r="P237" s="10" t="str">
        <x:f>IF(OR(NOT(AND(J237="PASS",'Calibrare_Linii'!U13="VALID")),AK237=0),""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*('Istoric_Nativ'!$Q$6:$Q$405&gt;H237))/AK237)</x:f>
      </x:c>
      <x:c r="Q237" s="10" t="str">
        <x:f>IF(OR(NOT(AND(J237="PASS",'Calibrare_Linii'!U13="VALID")),AL237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M22)+((('Istoric_Nativ'!$E$6:$E$405='Input_Meci'!E22)+('Istoric_Nativ'!$F$6:$F$405='Input_Meci'!E22))&gt;0)*('Istoric_Nativ'!$D$6:$D$405&gt;='Motor_Meciuri'!BN22))&gt;0)*('Istoric_Nativ'!$Q$6:$Q$405&gt;H237))/AL237)</x:f>
      </x:c>
      <x:c r="R237" s="10" t="str">
        <x:f>IF(OR(NOT(AND(J237="PASS",'Calibrare_Linii'!U13="VALID")),AM237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O22)+((('Istoric_Nativ'!$E$6:$E$405='Input_Meci'!E22)+('Istoric_Nativ'!$F$6:$F$405='Input_Meci'!E22))&gt;0)*('Istoric_Nativ'!$D$6:$D$405&gt;='Motor_Meciuri'!BP22))&gt;0)*('Istoric_Nativ'!$Q$6:$Q$405&gt;H237))/AM237)</x:f>
      </x:c>
      <x:c r="S237" s="10" t="str">
        <x:f>IF(M237="","",MAX(O237,P237,Q237,R237))</x:f>
      </x:c>
      <x:c r="T237" s="11" t="str">
        <x:f>IF(M237="","",MIN(100,S237*100*'Config_v6'!$B$44+MIN(100,L237/'Config_v6'!$B$13*100)*'Config_v6'!$B$45+(100-'Motor_Meciuri'!BF22)*'Config_v6'!$B$46+'Motor_Meciuri'!BH22*100*'Config_v6'!$B$47))</x:f>
      </x:c>
      <x:c r="U237" s="2" t="str">
        <x:f>IF(T237="","",IF(T237&lt;=20,1,IF(T237&lt;=40,2,IF(T237&lt;=60,3,IF(T237&lt;=80,4,5)))))</x:f>
      </x:c>
      <x:c r="V237" s="2" t="str">
        <x:f>IF(M237="","",MAX(0,'Motor_Meciuri'!BF22-IF(W237="OOS PENDING",'Config_v6'!$B$35,0)-IF(L237&gt;'Config_v6'!$B$12,'Config_v6'!$B$37,IF(L237&gt;'Config_v6'!$B$11,'Config_v6'!$B$36,0))))</x:f>
      </x:c>
      <x:c r="W237" s="2" t="str">
        <x:f>IF(B237="","",IF(I237&lt;&gt;"READY","NOT RELEASED",IF(NOT(AND(J237="PASS",'Calibrare_Linii'!U13="VALID")),"INVALID",IF(NOT(AND('Calibrare_Linii'!S13="VALIDATED",AND('Calibrare_Linii'!H13=C237,ISNUMBER('Calibrare_Linii'!J13),'Calibrare_Linii'!J13&lt;='Input_Meci'!G22))),"OOS PENDING",IF(S237&lt;='Calibrare_Linii'!E13,"PASS",IF(S237&lt;='Calibrare_Linii'!F13,"PENALTY","WATCH"))))))</x:f>
      </x:c>
      <x:c r="X237" s="2" t="str">
        <x:f>IF(M237="","",IF(AND(AND(J237="PASS",'Calibrare_Linii'!U13="VALID"),'Motor_Meciuri'!K22=12,'Motor_Meciuri'!L22=12,'Motor_Meciuri'!M22="NO",'Motor_Meciuri'!BL22='Motor_Meciuri'!C22,AB237&gt;='Config_v6'!$B$50,AN237&gt;='Config_v6'!$B$51,T237&lt;='Config_v6'!$B$52,L237&lt;='Config_v6'!$B$53,ISNUMBER('Calibrare_Linii'!E13),S237&lt;='Calibrare_Linii'!E13,SUM(AK237:AM237)&gt;0),"CANDIDATE","NO"))</x:f>
      </x:c>
      <x:c r="Y237" s="2" t="str">
        <x:f>IF(B237="","",IF(I237&lt;&gt;"READY","NOT RELEASED",IF(AND(X237="CANDIDATE",V237&gt;='Config_v6'!$B$51,W237="PASS",'Calibrare_Linii'!T13="VALIDATED",AND('Calibrare_Linii'!H13=C237,ISNUMBER('Calibrare_Linii'!J13),'Calibrare_Linii'!J13&lt;='Input_Meci'!G22)),"PASS",IF(X237="CANDIDATE","OOS PENDING","FAIL"))))</x:f>
      </x:c>
      <x:c r="Z237" s="2" t="str">
        <x:f>IF(B237="","",IF(I237&lt;&gt;"READY","",IF(OR(NOT(AND(J237="PASS",'Calibrare_Linii'!U13="VALID")),L237&gt;'Config_v6'!$B$13,W237="WATCH"),5,IF(Y237="PASS",1,MIN(5,MAX('Config_v6'!$B$42,U237)+IF(W237="PENALTY",1,0))))))</x:f>
      </x:c>
      <x:c r="AA237" s="2" t="str">
        <x:f>IF(B237="","",IF(I237&lt;&gt;"READY","NOT RELEASED",IF(Z237=5,"NO BET",IF(OR(AB237&lt;'Config_v6'!$B$16,V237&lt;'Config_v6'!$B$18),"WATCH",IF(Z237=1,"DEFENSIV",IF(Z237=2,"PRUDENT",IF(Z237=3,"MODERAT","RIDICAT")))))))</x:f>
      </x:c>
      <x:c r="AB237" s="10" t="str">
        <x:f>IF(N237="","",MIN(N237,1-S237))</x:f>
      </x:c>
      <x:c r="AC237" s="2" t="str">
        <x:f>IF(AD237&lt;&gt;1,"",COUNTIFS($Z$230:$Z$243,"&lt;"&amp;Z237,$AD$230:$AD$243,1)+COUNTIFS($Z$230:$Z$243,Z237,$AB$230:$AB$243,"&gt;"&amp;AB237,$AD$230:$AD$243,1)+COUNTIFS($Z$230:$Z$243,Z237,$AB$230:$AB$243,AB237,$V$230:$V$243,"&gt;"&amp;V237,$AD$230:$AD$243,1)+COUNTIFS($Z$230:Z237,Z237,$AB$230:AB237,AB237,$V$230:V237,V237,$AD$230:AD237,1))</x:f>
      </x:c>
      <x:c r="AD237" s="2" t="n">
        <x:f>IF(OR(AA237="DEFENSIV",AA237="PRUDENT",AA237="MODERAT",AA237="RIDICAT"),1,0)</x:f>
        <x:v>0</x:v>
      </x:c>
      <x:c r="AE237" s="2" t="str">
        <x:f>IF(AD237&lt;&gt;1,"NO",IF(W237="PASS","YES",IF(W237="OOS PENDING","CONDITIONAL","NO")))</x:f>
        <x:v>NO</x:v>
      </x:c>
      <x:c r="AF237" s="2" t="n">
        <x:f>IF(AND(AD237=1,AC237=1,E237="LIVE"),1,0)</x:f>
        <x:v>0</x:v>
      </x:c>
      <x:c r="AG237" s="2" t="str">
        <x:f>IF(AF237&lt;&gt;1,"",'Dashboard'!P42)</x:f>
      </x:c>
      <x:c r="AH237" s="2" t="str">
        <x:f>IF(B237="","",IF(J237&lt;&gt;"PASS",'Motor_Meciuri'!J22,IF('Calibrare_Linii'!U13&lt;&gt;"VALID","Parametri linie invalizi",IF(L237&gt;'Config_v6'!$B$13,"Dispersie peste limita",IF(W237="WATCH","Failure peste limita",IF(AB237&lt;'Config_v6'!$B$16,"P finala sub prag",IF(V237&lt;'Config_v6'!$B$18,"Confidence sub prag",IF(E237="REPLAY","Exemplu retrospectiv; exclus din Top LIVE",IF(Y237="PASS","DEFENSIV validat",IF(W237="OOS PENDING","Eligibil; calibrare linie in monitorizare","Eligibil"))))))))))</x:f>
      </x:c>
      <x:c r="AI237" s="2" t="str">
        <x:f>IF(B237="","",'Calibrare_Linii'!V13)</x:f>
      </x:c>
      <x:c r="AJ237" s="2" t="str">
        <x:f>IF(B237="","",IF(AND('Calibrare_Linii'!T13="VALIDATED",AND('Calibrare_Linii'!H13=C237,ISNUMBER('Calibrare_Linii'!J13),'Calibrare_Linii'!J13&lt;='Input_Meci'!G22)),"DEFENSIVE VALIDATED",IF(AND('Calibrare_Linii'!S13="VALIDATED",AND('Calibrare_Linii'!H13=C237,ISNUMBER('Calibrare_Linii'!J13),'Calibrare_Linii'!J13&lt;='Input_Meci'!G22)),"TAIL VALIDATED","OOS PENDING")))</x:f>
      </x:c>
      <x:c r="AK237" s="2" t="n">
        <x:f>IF(J237&lt;&gt;"PASS",0,'Motor_Meciuri'!BR22)</x:f>
        <x:v>0</x:v>
      </x:c>
      <x:c r="AL237" s="2" t="n">
        <x:f>IF(J237&lt;&gt;"PASS",0,'Motor_Meciuri'!BS22)</x:f>
        <x:v>0</x:v>
      </x:c>
      <x:c r="AM237" s="2" t="n">
        <x:f>IF(J237&lt;&gt;"PASS",0,'Motor_Meciuri'!BT22)</x:f>
        <x:v>0</x:v>
      </x:c>
      <x:c r="AN237" s="2" t="str">
        <x:f>IF(M237="","",MAX(0,'Motor_Meciuri'!BF22-IF(L237&gt;'Config_v6'!$B$12,'Config_v6'!$B$37,IF(L237&gt;'Config_v6'!$B$11,'Config_v6'!$B$36,0))))</x:f>
      </x:c>
    </x:row>
    <x:row r="238" ht="21" customHeight="1">
      <x:c r="A238" s="2" t="n">
        <x:v>17</x:v>
      </x:c>
      <x:c r="B238" s="2" t="str">
        <x:f>IF('Motor_Meciuri'!A22="","",'Motor_Meciuri'!A22)</x:f>
      </x:c>
      <x:c r="C238" s="2" t="str">
        <x:f>IF(B238="","",'Motor_Meciuri'!B22)</x:f>
      </x:c>
      <x:c r="D238" s="2" t="str">
        <x:f>IF(B238="","",'Motor_Meciuri'!D22)</x:f>
      </x:c>
      <x:c r="E238" s="2" t="str">
        <x:f>IF(B238="","",'Motor_Meciuri'!E22)</x:f>
      </x:c>
      <x:c r="F238" s="2" t="str">
        <x:v>U12,5</x:v>
      </x:c>
      <x:c r="G238" s="2" t="str">
        <x:v>UNDER</x:v>
      </x:c>
      <x:c r="H238" s="2" t="n">
        <x:v>12</x:v>
      </x:c>
      <x:c r="I238" s="2" t="str">
        <x:f>IF(B238="","",'Motor_Meciuri'!H22)</x:f>
      </x:c>
      <x:c r="J238" s="2" t="str">
        <x:f>IF(B238="","",'Motor_Meciuri'!I22)</x:f>
      </x:c>
      <x:c r="K238" s="11" t="str">
        <x:f>IF(J238&lt;&gt;"PASS","",'Motor_Meciuri'!BD22)</x:f>
      </x:c>
      <x:c r="L238" s="11" t="str">
        <x:f>IF(J238&lt;&gt;"PASS","",'Motor_Meciuri'!AU22)</x:f>
      </x:c>
      <x:c r="M238" s="10" t="str">
        <x:f>IF(NOT(AND(J238="PASS",'Calibrare_Linii'!U14="VALID")),"",'Distributie'!AJ22)</x:f>
      </x:c>
      <x:c r="N238" s="10" t="str">
        <x:f>IF(M238="","",MAX(0.01,MIN(0.99,0.5+(M238-0.5)*'Motor_Meciuri'!BG22*'Calibrare_Linii'!D14)))</x:f>
      </x:c>
      <x:c r="O238" s="10" t="str">
        <x:f>IF(M238="","",1-M238)</x:f>
      </x:c>
      <x:c r="P238" s="10" t="str">
        <x:f>IF(OR(NOT(AND(J238="PASS",'Calibrare_Linii'!U14="VALID")),AK238=0),""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*('Istoric_Nativ'!$Q$6:$Q$405&gt;H238))/AK238)</x:f>
      </x:c>
      <x:c r="Q238" s="10" t="str">
        <x:f>IF(OR(NOT(AND(J238="PASS",'Calibrare_Linii'!U14="VALID")),AL238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M22)+((('Istoric_Nativ'!$E$6:$E$405='Input_Meci'!E22)+('Istoric_Nativ'!$F$6:$F$405='Input_Meci'!E22))&gt;0)*('Istoric_Nativ'!$D$6:$D$405&gt;='Motor_Meciuri'!BN22))&gt;0)*('Istoric_Nativ'!$Q$6:$Q$405&gt;H238))/AL238)</x:f>
      </x:c>
      <x:c r="R238" s="10" t="str">
        <x:f>IF(OR(NOT(AND(J238="PASS",'Calibrare_Linii'!U14="VALID")),AM238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O22)+((('Istoric_Nativ'!$E$6:$E$405='Input_Meci'!E22)+('Istoric_Nativ'!$F$6:$F$405='Input_Meci'!E22))&gt;0)*('Istoric_Nativ'!$D$6:$D$405&gt;='Motor_Meciuri'!BP22))&gt;0)*('Istoric_Nativ'!$Q$6:$Q$405&gt;H238))/AM238)</x:f>
      </x:c>
      <x:c r="S238" s="10" t="str">
        <x:f>IF(M238="","",MAX(O238,P238,Q238,R238))</x:f>
      </x:c>
      <x:c r="T238" s="11" t="str">
        <x:f>IF(M238="","",MIN(100,S238*100*'Config_v6'!$B$44+MIN(100,L238/'Config_v6'!$B$13*100)*'Config_v6'!$B$45+(100-'Motor_Meciuri'!BF22)*'Config_v6'!$B$46+'Motor_Meciuri'!BH22*100*'Config_v6'!$B$47))</x:f>
      </x:c>
      <x:c r="U238" s="2" t="str">
        <x:f>IF(T238="","",IF(T238&lt;=20,1,IF(T238&lt;=40,2,IF(T238&lt;=60,3,IF(T238&lt;=80,4,5)))))</x:f>
      </x:c>
      <x:c r="V238" s="2" t="str">
        <x:f>IF(M238="","",MAX(0,'Motor_Meciuri'!BF22-IF(W238="OOS PENDING",'Config_v6'!$B$35,0)-IF(L238&gt;'Config_v6'!$B$12,'Config_v6'!$B$37,IF(L238&gt;'Config_v6'!$B$11,'Config_v6'!$B$36,0))))</x:f>
      </x:c>
      <x:c r="W238" s="2" t="str">
        <x:f>IF(B238="","",IF(I238&lt;&gt;"READY","NOT RELEASED",IF(NOT(AND(J238="PASS",'Calibrare_Linii'!U14="VALID")),"INVALID",IF(NOT(AND('Calibrare_Linii'!S14="VALIDATED",AND('Calibrare_Linii'!H14=C238,ISNUMBER('Calibrare_Linii'!J14),'Calibrare_Linii'!J14&lt;='Input_Meci'!G22))),"OOS PENDING",IF(S238&lt;='Calibrare_Linii'!E14,"PASS",IF(S238&lt;='Calibrare_Linii'!F14,"PENALTY","WATCH"))))))</x:f>
      </x:c>
      <x:c r="X238" s="2" t="str">
        <x:f>IF(M238="","",IF(AND(AND(J238="PASS",'Calibrare_Linii'!U14="VALID"),'Motor_Meciuri'!K22=12,'Motor_Meciuri'!L22=12,'Motor_Meciuri'!M22="NO",'Motor_Meciuri'!BL22='Motor_Meciuri'!C22,AB238&gt;='Config_v6'!$B$50,AN238&gt;='Config_v6'!$B$51,T238&lt;='Config_v6'!$B$52,L238&lt;='Config_v6'!$B$53,ISNUMBER('Calibrare_Linii'!E14),S238&lt;='Calibrare_Linii'!E14,SUM(AK238:AM238)&gt;0),"CANDIDATE","NO"))</x:f>
      </x:c>
      <x:c r="Y238" s="2" t="str">
        <x:f>IF(B238="","",IF(I238&lt;&gt;"READY","NOT RELEASED",IF(AND(X238="CANDIDATE",V238&gt;='Config_v6'!$B$51,W238="PASS",'Calibrare_Linii'!T14="VALIDATED",AND('Calibrare_Linii'!H14=C238,ISNUMBER('Calibrare_Linii'!J14),'Calibrare_Linii'!J14&lt;='Input_Meci'!G22)),"PASS",IF(X238="CANDIDATE","OOS PENDING","FAIL"))))</x:f>
      </x:c>
      <x:c r="Z238" s="2" t="str">
        <x:f>IF(B238="","",IF(I238&lt;&gt;"READY","",IF(OR(NOT(AND(J238="PASS",'Calibrare_Linii'!U14="VALID")),L238&gt;'Config_v6'!$B$13,W238="WATCH"),5,IF(Y238="PASS",1,MIN(5,MAX('Config_v6'!$B$42,U238)+IF(W238="PENALTY",1,0))))))</x:f>
      </x:c>
      <x:c r="AA238" s="2" t="str">
        <x:f>IF(B238="","",IF(I238&lt;&gt;"READY","NOT RELEASED",IF(Z238=5,"NO BET",IF(OR(AB238&lt;'Config_v6'!$B$16,V238&lt;'Config_v6'!$B$18),"WATCH",IF(Z238=1,"DEFENSIV",IF(Z238=2,"PRUDENT",IF(Z238=3,"MODERAT","RIDICAT")))))))</x:f>
      </x:c>
      <x:c r="AB238" s="10" t="str">
        <x:f>IF(N238="","",MIN(N238,1-S238))</x:f>
      </x:c>
      <x:c r="AC238" s="2" t="str">
        <x:f>IF(AD238&lt;&gt;1,"",COUNTIFS($Z$230:$Z$243,"&lt;"&amp;Z238,$AD$230:$AD$243,1)+COUNTIFS($Z$230:$Z$243,Z238,$AB$230:$AB$243,"&gt;"&amp;AB238,$AD$230:$AD$243,1)+COUNTIFS($Z$230:$Z$243,Z238,$AB$230:$AB$243,AB238,$V$230:$V$243,"&gt;"&amp;V238,$AD$230:$AD$243,1)+COUNTIFS($Z$230:Z238,Z238,$AB$230:AB238,AB238,$V$230:V238,V238,$AD$230:AD238,1))</x:f>
      </x:c>
      <x:c r="AD238" s="2" t="n">
        <x:f>IF(OR(AA238="DEFENSIV",AA238="PRUDENT",AA238="MODERAT",AA238="RIDICAT"),1,0)</x:f>
        <x:v>0</x:v>
      </x:c>
      <x:c r="AE238" s="2" t="str">
        <x:f>IF(AD238&lt;&gt;1,"NO",IF(W238="PASS","YES",IF(W238="OOS PENDING","CONDITIONAL","NO")))</x:f>
        <x:v>NO</x:v>
      </x:c>
      <x:c r="AF238" s="2" t="n">
        <x:f>IF(AND(AD238=1,AC238=1,E238="LIVE"),1,0)</x:f>
        <x:v>0</x:v>
      </x:c>
      <x:c r="AG238" s="2" t="str">
        <x:f>IF(AF238&lt;&gt;1,"",'Dashboard'!P42)</x:f>
      </x:c>
      <x:c r="AH238" s="2" t="str">
        <x:f>IF(B238="","",IF(J238&lt;&gt;"PASS",'Motor_Meciuri'!J22,IF('Calibrare_Linii'!U14&lt;&gt;"VALID","Parametri linie invalizi",IF(L238&gt;'Config_v6'!$B$13,"Dispersie peste limita",IF(W238="WATCH","Failure peste limita",IF(AB238&lt;'Config_v6'!$B$16,"P finala sub prag",IF(V238&lt;'Config_v6'!$B$18,"Confidence sub prag",IF(E238="REPLAY","Exemplu retrospectiv; exclus din Top LIVE",IF(Y238="PASS","DEFENSIV validat",IF(W238="OOS PENDING","Eligibil; calibrare linie in monitorizare","Eligibil"))))))))))</x:f>
      </x:c>
      <x:c r="AI238" s="2" t="str">
        <x:f>IF(B238="","",'Calibrare_Linii'!V14)</x:f>
      </x:c>
      <x:c r="AJ238" s="2" t="str">
        <x:f>IF(B238="","",IF(AND('Calibrare_Linii'!T14="VALIDATED",AND('Calibrare_Linii'!H14=C238,ISNUMBER('Calibrare_Linii'!J14),'Calibrare_Linii'!J14&lt;='Input_Meci'!G22)),"DEFENSIVE VALIDATED",IF(AND('Calibrare_Linii'!S14="VALIDATED",AND('Calibrare_Linii'!H14=C238,ISNUMBER('Calibrare_Linii'!J14),'Calibrare_Linii'!J14&lt;='Input_Meci'!G22)),"TAIL VALIDATED","OOS PENDING")))</x:f>
      </x:c>
      <x:c r="AK238" s="2" t="n">
        <x:f>IF(J238&lt;&gt;"PASS",0,'Motor_Meciuri'!BR22)</x:f>
        <x:v>0</x:v>
      </x:c>
      <x:c r="AL238" s="2" t="n">
        <x:f>IF(J238&lt;&gt;"PASS",0,'Motor_Meciuri'!BS22)</x:f>
        <x:v>0</x:v>
      </x:c>
      <x:c r="AM238" s="2" t="n">
        <x:f>IF(J238&lt;&gt;"PASS",0,'Motor_Meciuri'!BT22)</x:f>
        <x:v>0</x:v>
      </x:c>
      <x:c r="AN238" s="2" t="str">
        <x:f>IF(M238="","",MAX(0,'Motor_Meciuri'!BF22-IF(L238&gt;'Config_v6'!$B$12,'Config_v6'!$B$37,IF(L238&gt;'Config_v6'!$B$11,'Config_v6'!$B$36,0))))</x:f>
      </x:c>
    </x:row>
    <x:row r="239" ht="21" customHeight="1">
      <x:c r="A239" s="2" t="n">
        <x:v>17</x:v>
      </x:c>
      <x:c r="B239" s="2" t="str">
        <x:f>IF('Motor_Meciuri'!A22="","",'Motor_Meciuri'!A22)</x:f>
      </x:c>
      <x:c r="C239" s="2" t="str">
        <x:f>IF(B239="","",'Motor_Meciuri'!B22)</x:f>
      </x:c>
      <x:c r="D239" s="2" t="str">
        <x:f>IF(B239="","",'Motor_Meciuri'!D22)</x:f>
      </x:c>
      <x:c r="E239" s="2" t="str">
        <x:f>IF(B239="","",'Motor_Meciuri'!E22)</x:f>
      </x:c>
      <x:c r="F239" s="2" t="str">
        <x:v>U13,5</x:v>
      </x:c>
      <x:c r="G239" s="2" t="str">
        <x:v>UNDER</x:v>
      </x:c>
      <x:c r="H239" s="2" t="n">
        <x:v>13</x:v>
      </x:c>
      <x:c r="I239" s="2" t="str">
        <x:f>IF(B239="","",'Motor_Meciuri'!H22)</x:f>
      </x:c>
      <x:c r="J239" s="2" t="str">
        <x:f>IF(B239="","",'Motor_Meciuri'!I22)</x:f>
      </x:c>
      <x:c r="K239" s="11" t="str">
        <x:f>IF(J239&lt;&gt;"PASS","",'Motor_Meciuri'!BD22)</x:f>
      </x:c>
      <x:c r="L239" s="11" t="str">
        <x:f>IF(J239&lt;&gt;"PASS","",'Motor_Meciuri'!AU22)</x:f>
      </x:c>
      <x:c r="M239" s="10" t="str">
        <x:f>IF(NOT(AND(J239="PASS",'Calibrare_Linii'!U15="VALID")),"",'Distributie'!AK22)</x:f>
      </x:c>
      <x:c r="N239" s="10" t="str">
        <x:f>IF(M239="","",MAX(0.01,MIN(0.99,0.5+(M239-0.5)*'Motor_Meciuri'!BG22*'Calibrare_Linii'!D15)))</x:f>
      </x:c>
      <x:c r="O239" s="10" t="str">
        <x:f>IF(M239="","",1-M239)</x:f>
      </x:c>
      <x:c r="P239" s="10" t="str">
        <x:f>IF(OR(NOT(AND(J239="PASS",'Calibrare_Linii'!U15="VALID")),AK239=0),""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*('Istoric_Nativ'!$Q$6:$Q$405&gt;H239))/AK239)</x:f>
      </x:c>
      <x:c r="Q239" s="10" t="str">
        <x:f>IF(OR(NOT(AND(J239="PASS",'Calibrare_Linii'!U15="VALID")),AL239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M22)+((('Istoric_Nativ'!$E$6:$E$405='Input_Meci'!E22)+('Istoric_Nativ'!$F$6:$F$405='Input_Meci'!E22))&gt;0)*('Istoric_Nativ'!$D$6:$D$405&gt;='Motor_Meciuri'!BN22))&gt;0)*('Istoric_Nativ'!$Q$6:$Q$405&gt;H239))/AL239)</x:f>
      </x:c>
      <x:c r="R239" s="10" t="str">
        <x:f>IF(OR(NOT(AND(J239="PASS",'Calibrare_Linii'!U15="VALID")),AM239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O22)+((('Istoric_Nativ'!$E$6:$E$405='Input_Meci'!E22)+('Istoric_Nativ'!$F$6:$F$405='Input_Meci'!E22))&gt;0)*('Istoric_Nativ'!$D$6:$D$405&gt;='Motor_Meciuri'!BP22))&gt;0)*('Istoric_Nativ'!$Q$6:$Q$405&gt;H239))/AM239)</x:f>
      </x:c>
      <x:c r="S239" s="10" t="str">
        <x:f>IF(M239="","",MAX(O239,P239,Q239,R239))</x:f>
      </x:c>
      <x:c r="T239" s="11" t="str">
        <x:f>IF(M239="","",MIN(100,S239*100*'Config_v6'!$B$44+MIN(100,L239/'Config_v6'!$B$13*100)*'Config_v6'!$B$45+(100-'Motor_Meciuri'!BF22)*'Config_v6'!$B$46+'Motor_Meciuri'!BH22*100*'Config_v6'!$B$47))</x:f>
      </x:c>
      <x:c r="U239" s="2" t="str">
        <x:f>IF(T239="","",IF(T239&lt;=20,1,IF(T239&lt;=40,2,IF(T239&lt;=60,3,IF(T239&lt;=80,4,5)))))</x:f>
      </x:c>
      <x:c r="V239" s="2" t="str">
        <x:f>IF(M239="","",MAX(0,'Motor_Meciuri'!BF22-IF(W239="OOS PENDING",'Config_v6'!$B$35,0)-IF(L239&gt;'Config_v6'!$B$12,'Config_v6'!$B$37,IF(L239&gt;'Config_v6'!$B$11,'Config_v6'!$B$36,0))))</x:f>
      </x:c>
      <x:c r="W239" s="2" t="str">
        <x:f>IF(B239="","",IF(I239&lt;&gt;"READY","NOT RELEASED",IF(NOT(AND(J239="PASS",'Calibrare_Linii'!U15="VALID")),"INVALID",IF(NOT(AND('Calibrare_Linii'!S15="VALIDATED",AND('Calibrare_Linii'!H15=C239,ISNUMBER('Calibrare_Linii'!J15),'Calibrare_Linii'!J15&lt;='Input_Meci'!G22))),"OOS PENDING",IF(S239&lt;='Calibrare_Linii'!E15,"PASS",IF(S239&lt;='Calibrare_Linii'!F15,"PENALTY","WATCH"))))))</x:f>
      </x:c>
      <x:c r="X239" s="2" t="str">
        <x:f>IF(M239="","",IF(AND(AND(J239="PASS",'Calibrare_Linii'!U15="VALID"),'Motor_Meciuri'!K22=12,'Motor_Meciuri'!L22=12,'Motor_Meciuri'!M22="NO",'Motor_Meciuri'!BL22='Motor_Meciuri'!C22,AB239&gt;='Config_v6'!$B$50,AN239&gt;='Config_v6'!$B$51,T239&lt;='Config_v6'!$B$52,L239&lt;='Config_v6'!$B$53,ISNUMBER('Calibrare_Linii'!E15),S239&lt;='Calibrare_Linii'!E15,SUM(AK239:AM239)&gt;0),"CANDIDATE","NO"))</x:f>
      </x:c>
      <x:c r="Y239" s="2" t="str">
        <x:f>IF(B239="","",IF(I239&lt;&gt;"READY","NOT RELEASED",IF(AND(X239="CANDIDATE",V239&gt;='Config_v6'!$B$51,W239="PASS",'Calibrare_Linii'!T15="VALIDATED",AND('Calibrare_Linii'!H15=C239,ISNUMBER('Calibrare_Linii'!J15),'Calibrare_Linii'!J15&lt;='Input_Meci'!G22)),"PASS",IF(X239="CANDIDATE","OOS PENDING","FAIL"))))</x:f>
      </x:c>
      <x:c r="Z239" s="2" t="str">
        <x:f>IF(B239="","",IF(I239&lt;&gt;"READY","",IF(OR(NOT(AND(J239="PASS",'Calibrare_Linii'!U15="VALID")),L239&gt;'Config_v6'!$B$13,W239="WATCH"),5,IF(Y239="PASS",1,MIN(5,MAX('Config_v6'!$B$42,U239)+IF(W239="PENALTY",1,0))))))</x:f>
      </x:c>
      <x:c r="AA239" s="2" t="str">
        <x:f>IF(B239="","",IF(I239&lt;&gt;"READY","NOT RELEASED",IF(Z239=5,"NO BET",IF(OR(AB239&lt;'Config_v6'!$B$16,V239&lt;'Config_v6'!$B$18),"WATCH",IF(Z239=1,"DEFENSIV",IF(Z239=2,"PRUDENT",IF(Z239=3,"MODERAT","RIDICAT")))))))</x:f>
      </x:c>
      <x:c r="AB239" s="10" t="str">
        <x:f>IF(N239="","",MIN(N239,1-S239))</x:f>
      </x:c>
      <x:c r="AC239" s="2" t="str">
        <x:f>IF(AD239&lt;&gt;1,"",COUNTIFS($Z$230:$Z$243,"&lt;"&amp;Z239,$AD$230:$AD$243,1)+COUNTIFS($Z$230:$Z$243,Z239,$AB$230:$AB$243,"&gt;"&amp;AB239,$AD$230:$AD$243,1)+COUNTIFS($Z$230:$Z$243,Z239,$AB$230:$AB$243,AB239,$V$230:$V$243,"&gt;"&amp;V239,$AD$230:$AD$243,1)+COUNTIFS($Z$230:Z239,Z239,$AB$230:AB239,AB239,$V$230:V239,V239,$AD$230:AD239,1))</x:f>
      </x:c>
      <x:c r="AD239" s="2" t="n">
        <x:f>IF(OR(AA239="DEFENSIV",AA239="PRUDENT",AA239="MODERAT",AA239="RIDICAT"),1,0)</x:f>
        <x:v>0</x:v>
      </x:c>
      <x:c r="AE239" s="2" t="str">
        <x:f>IF(AD239&lt;&gt;1,"NO",IF(W239="PASS","YES",IF(W239="OOS PENDING","CONDITIONAL","NO")))</x:f>
        <x:v>NO</x:v>
      </x:c>
      <x:c r="AF239" s="2" t="n">
        <x:f>IF(AND(AD239=1,AC239=1,E239="LIVE"),1,0)</x:f>
        <x:v>0</x:v>
      </x:c>
      <x:c r="AG239" s="2" t="str">
        <x:f>IF(AF239&lt;&gt;1,"",'Dashboard'!P42)</x:f>
      </x:c>
      <x:c r="AH239" s="2" t="str">
        <x:f>IF(B239="","",IF(J239&lt;&gt;"PASS",'Motor_Meciuri'!J22,IF('Calibrare_Linii'!U15&lt;&gt;"VALID","Parametri linie invalizi",IF(L239&gt;'Config_v6'!$B$13,"Dispersie peste limita",IF(W239="WATCH","Failure peste limita",IF(AB239&lt;'Config_v6'!$B$16,"P finala sub prag",IF(V239&lt;'Config_v6'!$B$18,"Confidence sub prag",IF(E239="REPLAY","Exemplu retrospectiv; exclus din Top LIVE",IF(Y239="PASS","DEFENSIV validat",IF(W239="OOS PENDING","Eligibil; calibrare linie in monitorizare","Eligibil"))))))))))</x:f>
      </x:c>
      <x:c r="AI239" s="2" t="str">
        <x:f>IF(B239="","",'Calibrare_Linii'!V15)</x:f>
      </x:c>
      <x:c r="AJ239" s="2" t="str">
        <x:f>IF(B239="","",IF(AND('Calibrare_Linii'!T15="VALIDATED",AND('Calibrare_Linii'!H15=C239,ISNUMBER('Calibrare_Linii'!J15),'Calibrare_Linii'!J15&lt;='Input_Meci'!G22)),"DEFENSIVE VALIDATED",IF(AND('Calibrare_Linii'!S15="VALIDATED",AND('Calibrare_Linii'!H15=C239,ISNUMBER('Calibrare_Linii'!J15),'Calibrare_Linii'!J15&lt;='Input_Meci'!G22)),"TAIL VALIDATED","OOS PENDING")))</x:f>
      </x:c>
      <x:c r="AK239" s="2" t="n">
        <x:f>IF(J239&lt;&gt;"PASS",0,'Motor_Meciuri'!BR22)</x:f>
        <x:v>0</x:v>
      </x:c>
      <x:c r="AL239" s="2" t="n">
        <x:f>IF(J239&lt;&gt;"PASS",0,'Motor_Meciuri'!BS22)</x:f>
        <x:v>0</x:v>
      </x:c>
      <x:c r="AM239" s="2" t="n">
        <x:f>IF(J239&lt;&gt;"PASS",0,'Motor_Meciuri'!BT22)</x:f>
        <x:v>0</x:v>
      </x:c>
      <x:c r="AN239" s="2" t="str">
        <x:f>IF(M239="","",MAX(0,'Motor_Meciuri'!BF22-IF(L239&gt;'Config_v6'!$B$12,'Config_v6'!$B$37,IF(L239&gt;'Config_v6'!$B$11,'Config_v6'!$B$36,0))))</x:f>
      </x:c>
    </x:row>
    <x:row r="240" ht="21" customHeight="1">
      <x:c r="A240" s="2" t="n">
        <x:v>17</x:v>
      </x:c>
      <x:c r="B240" s="2" t="str">
        <x:f>IF('Motor_Meciuri'!A22="","",'Motor_Meciuri'!A22)</x:f>
      </x:c>
      <x:c r="C240" s="2" t="str">
        <x:f>IF(B240="","",'Motor_Meciuri'!B22)</x:f>
      </x:c>
      <x:c r="D240" s="2" t="str">
        <x:f>IF(B240="","",'Motor_Meciuri'!D22)</x:f>
      </x:c>
      <x:c r="E240" s="2" t="str">
        <x:f>IF(B240="","",'Motor_Meciuri'!E22)</x:f>
      </x:c>
      <x:c r="F240" s="2" t="str">
        <x:v>U14,5</x:v>
      </x:c>
      <x:c r="G240" s="2" t="str">
        <x:v>UNDER</x:v>
      </x:c>
      <x:c r="H240" s="2" t="n">
        <x:v>14</x:v>
      </x:c>
      <x:c r="I240" s="2" t="str">
        <x:f>IF(B240="","",'Motor_Meciuri'!H22)</x:f>
      </x:c>
      <x:c r="J240" s="2" t="str">
        <x:f>IF(B240="","",'Motor_Meciuri'!I22)</x:f>
      </x:c>
      <x:c r="K240" s="11" t="str">
        <x:f>IF(J240&lt;&gt;"PASS","",'Motor_Meciuri'!BD22)</x:f>
      </x:c>
      <x:c r="L240" s="11" t="str">
        <x:f>IF(J240&lt;&gt;"PASS","",'Motor_Meciuri'!AU22)</x:f>
      </x:c>
      <x:c r="M240" s="10" t="str">
        <x:f>IF(NOT(AND(J240="PASS",'Calibrare_Linii'!U16="VALID")),"",'Distributie'!AL22)</x:f>
      </x:c>
      <x:c r="N240" s="10" t="str">
        <x:f>IF(M240="","",MAX(0.01,MIN(0.99,0.5+(M240-0.5)*'Motor_Meciuri'!BG22*'Calibrare_Linii'!D16)))</x:f>
      </x:c>
      <x:c r="O240" s="10" t="str">
        <x:f>IF(M240="","",1-M240)</x:f>
      </x:c>
      <x:c r="P240" s="10" t="str">
        <x:f>IF(OR(NOT(AND(J240="PASS",'Calibrare_Linii'!U16="VALID")),AK240=0),""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*('Istoric_Nativ'!$Q$6:$Q$405&gt;H240))/AK240)</x:f>
      </x:c>
      <x:c r="Q240" s="10" t="str">
        <x:f>IF(OR(NOT(AND(J240="PASS",'Calibrare_Linii'!U16="VALID")),AL240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M22)+((('Istoric_Nativ'!$E$6:$E$405='Input_Meci'!E22)+('Istoric_Nativ'!$F$6:$F$405='Input_Meci'!E22))&gt;0)*('Istoric_Nativ'!$D$6:$D$405&gt;='Motor_Meciuri'!BN22))&gt;0)*('Istoric_Nativ'!$Q$6:$Q$405&gt;H240))/AL240)</x:f>
      </x:c>
      <x:c r="R240" s="10" t="str">
        <x:f>IF(OR(NOT(AND(J240="PASS",'Calibrare_Linii'!U16="VALID")),AM240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O22)+((('Istoric_Nativ'!$E$6:$E$405='Input_Meci'!E22)+('Istoric_Nativ'!$F$6:$F$405='Input_Meci'!E22))&gt;0)*('Istoric_Nativ'!$D$6:$D$405&gt;='Motor_Meciuri'!BP22))&gt;0)*('Istoric_Nativ'!$Q$6:$Q$405&gt;H240))/AM240)</x:f>
      </x:c>
      <x:c r="S240" s="10" t="str">
        <x:f>IF(M240="","",MAX(O240,P240,Q240,R240))</x:f>
      </x:c>
      <x:c r="T240" s="11" t="str">
        <x:f>IF(M240="","",MIN(100,S240*100*'Config_v6'!$B$44+MIN(100,L240/'Config_v6'!$B$13*100)*'Config_v6'!$B$45+(100-'Motor_Meciuri'!BF22)*'Config_v6'!$B$46+'Motor_Meciuri'!BH22*100*'Config_v6'!$B$47))</x:f>
      </x:c>
      <x:c r="U240" s="2" t="str">
        <x:f>IF(T240="","",IF(T240&lt;=20,1,IF(T240&lt;=40,2,IF(T240&lt;=60,3,IF(T240&lt;=80,4,5)))))</x:f>
      </x:c>
      <x:c r="V240" s="2" t="str">
        <x:f>IF(M240="","",MAX(0,'Motor_Meciuri'!BF22-IF(W240="OOS PENDING",'Config_v6'!$B$35,0)-IF(L240&gt;'Config_v6'!$B$12,'Config_v6'!$B$37,IF(L240&gt;'Config_v6'!$B$11,'Config_v6'!$B$36,0))))</x:f>
      </x:c>
      <x:c r="W240" s="2" t="str">
        <x:f>IF(B240="","",IF(I240&lt;&gt;"READY","NOT RELEASED",IF(NOT(AND(J240="PASS",'Calibrare_Linii'!U16="VALID")),"INVALID",IF(NOT(AND('Calibrare_Linii'!S16="VALIDATED",AND('Calibrare_Linii'!H16=C240,ISNUMBER('Calibrare_Linii'!J16),'Calibrare_Linii'!J16&lt;='Input_Meci'!G22))),"OOS PENDING",IF(S240&lt;='Calibrare_Linii'!E16,"PASS",IF(S240&lt;='Calibrare_Linii'!F16,"PENALTY","WATCH"))))))</x:f>
      </x:c>
      <x:c r="X240" s="2" t="str">
        <x:f>IF(M240="","",IF(AND(AND(J240="PASS",'Calibrare_Linii'!U16="VALID"),'Motor_Meciuri'!K22=12,'Motor_Meciuri'!L22=12,'Motor_Meciuri'!M22="NO",'Motor_Meciuri'!BL22='Motor_Meciuri'!C22,AB240&gt;='Config_v6'!$B$50,AN240&gt;='Config_v6'!$B$51,T240&lt;='Config_v6'!$B$52,L240&lt;='Config_v6'!$B$53,ISNUMBER('Calibrare_Linii'!E16),S240&lt;='Calibrare_Linii'!E16,SUM(AK240:AM240)&gt;0),"CANDIDATE","NO"))</x:f>
      </x:c>
      <x:c r="Y240" s="2" t="str">
        <x:f>IF(B240="","",IF(I240&lt;&gt;"READY","NOT RELEASED",IF(AND(X240="CANDIDATE",V240&gt;='Config_v6'!$B$51,W240="PASS",'Calibrare_Linii'!T16="VALIDATED",AND('Calibrare_Linii'!H16=C240,ISNUMBER('Calibrare_Linii'!J16),'Calibrare_Linii'!J16&lt;='Input_Meci'!G22)),"PASS",IF(X240="CANDIDATE","OOS PENDING","FAIL"))))</x:f>
      </x:c>
      <x:c r="Z240" s="2" t="str">
        <x:f>IF(B240="","",IF(I240&lt;&gt;"READY","",IF(OR(NOT(AND(J240="PASS",'Calibrare_Linii'!U16="VALID")),L240&gt;'Config_v6'!$B$13,W240="WATCH"),5,IF(Y240="PASS",1,MIN(5,MAX('Config_v6'!$B$42,U240)+IF(W240="PENALTY",1,0))))))</x:f>
      </x:c>
      <x:c r="AA240" s="2" t="str">
        <x:f>IF(B240="","",IF(I240&lt;&gt;"READY","NOT RELEASED",IF(Z240=5,"NO BET",IF(OR(AB240&lt;'Config_v6'!$B$16,V240&lt;'Config_v6'!$B$18),"WATCH",IF(Z240=1,"DEFENSIV",IF(Z240=2,"PRUDENT",IF(Z240=3,"MODERAT","RIDICAT")))))))</x:f>
      </x:c>
      <x:c r="AB240" s="10" t="str">
        <x:f>IF(N240="","",MIN(N240,1-S240))</x:f>
      </x:c>
      <x:c r="AC240" s="2" t="str">
        <x:f>IF(AD240&lt;&gt;1,"",COUNTIFS($Z$230:$Z$243,"&lt;"&amp;Z240,$AD$230:$AD$243,1)+COUNTIFS($Z$230:$Z$243,Z240,$AB$230:$AB$243,"&gt;"&amp;AB240,$AD$230:$AD$243,1)+COUNTIFS($Z$230:$Z$243,Z240,$AB$230:$AB$243,AB240,$V$230:$V$243,"&gt;"&amp;V240,$AD$230:$AD$243,1)+COUNTIFS($Z$230:Z240,Z240,$AB$230:AB240,AB240,$V$230:V240,V240,$AD$230:AD240,1))</x:f>
      </x:c>
      <x:c r="AD240" s="2" t="n">
        <x:f>IF(OR(AA240="DEFENSIV",AA240="PRUDENT",AA240="MODERAT",AA240="RIDICAT"),1,0)</x:f>
        <x:v>0</x:v>
      </x:c>
      <x:c r="AE240" s="2" t="str">
        <x:f>IF(AD240&lt;&gt;1,"NO",IF(W240="PASS","YES",IF(W240="OOS PENDING","CONDITIONAL","NO")))</x:f>
        <x:v>NO</x:v>
      </x:c>
      <x:c r="AF240" s="2" t="n">
        <x:f>IF(AND(AD240=1,AC240=1,E240="LIVE"),1,0)</x:f>
        <x:v>0</x:v>
      </x:c>
      <x:c r="AG240" s="2" t="str">
        <x:f>IF(AF240&lt;&gt;1,"",'Dashboard'!P42)</x:f>
      </x:c>
      <x:c r="AH240" s="2" t="str">
        <x:f>IF(B240="","",IF(J240&lt;&gt;"PASS",'Motor_Meciuri'!J22,IF('Calibrare_Linii'!U16&lt;&gt;"VALID","Parametri linie invalizi",IF(L240&gt;'Config_v6'!$B$13,"Dispersie peste limita",IF(W240="WATCH","Failure peste limita",IF(AB240&lt;'Config_v6'!$B$16,"P finala sub prag",IF(V240&lt;'Config_v6'!$B$18,"Confidence sub prag",IF(E240="REPLAY","Exemplu retrospectiv; exclus din Top LIVE",IF(Y240="PASS","DEFENSIV validat",IF(W240="OOS PENDING","Eligibil; calibrare linie in monitorizare","Eligibil"))))))))))</x:f>
      </x:c>
      <x:c r="AI240" s="2" t="str">
        <x:f>IF(B240="","",'Calibrare_Linii'!V16)</x:f>
      </x:c>
      <x:c r="AJ240" s="2" t="str">
        <x:f>IF(B240="","",IF(AND('Calibrare_Linii'!T16="VALIDATED",AND('Calibrare_Linii'!H16=C240,ISNUMBER('Calibrare_Linii'!J16),'Calibrare_Linii'!J16&lt;='Input_Meci'!G22)),"DEFENSIVE VALIDATED",IF(AND('Calibrare_Linii'!S16="VALIDATED",AND('Calibrare_Linii'!H16=C240,ISNUMBER('Calibrare_Linii'!J16),'Calibrare_Linii'!J16&lt;='Input_Meci'!G22)),"TAIL VALIDATED","OOS PENDING")))</x:f>
      </x:c>
      <x:c r="AK240" s="2" t="n">
        <x:f>IF(J240&lt;&gt;"PASS",0,'Motor_Meciuri'!BR22)</x:f>
        <x:v>0</x:v>
      </x:c>
      <x:c r="AL240" s="2" t="n">
        <x:f>IF(J240&lt;&gt;"PASS",0,'Motor_Meciuri'!BS22)</x:f>
        <x:v>0</x:v>
      </x:c>
      <x:c r="AM240" s="2" t="n">
        <x:f>IF(J240&lt;&gt;"PASS",0,'Motor_Meciuri'!BT22)</x:f>
        <x:v>0</x:v>
      </x:c>
      <x:c r="AN240" s="2" t="str">
        <x:f>IF(M240="","",MAX(0,'Motor_Meciuri'!BF22-IF(L240&gt;'Config_v6'!$B$12,'Config_v6'!$B$37,IF(L240&gt;'Config_v6'!$B$11,'Config_v6'!$B$36,0))))</x:f>
      </x:c>
    </x:row>
    <x:row r="241" ht="21" customHeight="1">
      <x:c r="A241" s="2" t="n">
        <x:v>17</x:v>
      </x:c>
      <x:c r="B241" s="2" t="str">
        <x:f>IF('Motor_Meciuri'!A22="","",'Motor_Meciuri'!A22)</x:f>
      </x:c>
      <x:c r="C241" s="2" t="str">
        <x:f>IF(B241="","",'Motor_Meciuri'!B22)</x:f>
      </x:c>
      <x:c r="D241" s="2" t="str">
        <x:f>IF(B241="","",'Motor_Meciuri'!D22)</x:f>
      </x:c>
      <x:c r="E241" s="2" t="str">
        <x:f>IF(B241="","",'Motor_Meciuri'!E22)</x:f>
      </x:c>
      <x:c r="F241" s="2" t="str">
        <x:v>U15,5</x:v>
      </x:c>
      <x:c r="G241" s="2" t="str">
        <x:v>UNDER</x:v>
      </x:c>
      <x:c r="H241" s="2" t="n">
        <x:v>15</x:v>
      </x:c>
      <x:c r="I241" s="2" t="str">
        <x:f>IF(B241="","",'Motor_Meciuri'!H22)</x:f>
      </x:c>
      <x:c r="J241" s="2" t="str">
        <x:f>IF(B241="","",'Motor_Meciuri'!I22)</x:f>
      </x:c>
      <x:c r="K241" s="11" t="str">
        <x:f>IF(J241&lt;&gt;"PASS","",'Motor_Meciuri'!BD22)</x:f>
      </x:c>
      <x:c r="L241" s="11" t="str">
        <x:f>IF(J241&lt;&gt;"PASS","",'Motor_Meciuri'!AU22)</x:f>
      </x:c>
      <x:c r="M241" s="10" t="str">
        <x:f>IF(NOT(AND(J241="PASS",'Calibrare_Linii'!U17="VALID")),"",'Distributie'!AM22)</x:f>
      </x:c>
      <x:c r="N241" s="10" t="str">
        <x:f>IF(M241="","",MAX(0.01,MIN(0.99,0.5+(M241-0.5)*'Motor_Meciuri'!BG22*'Calibrare_Linii'!D17)))</x:f>
      </x:c>
      <x:c r="O241" s="10" t="str">
        <x:f>IF(M241="","",1-M241)</x:f>
      </x:c>
      <x:c r="P241" s="10" t="str">
        <x:f>IF(OR(NOT(AND(J241="PASS",'Calibrare_Linii'!U17="VALID")),AK241=0),""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*('Istoric_Nativ'!$Q$6:$Q$405&gt;H241))/AK241)</x:f>
      </x:c>
      <x:c r="Q241" s="10" t="str">
        <x:f>IF(OR(NOT(AND(J241="PASS",'Calibrare_Linii'!U17="VALID")),AL241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M22)+((('Istoric_Nativ'!$E$6:$E$405='Input_Meci'!E22)+('Istoric_Nativ'!$F$6:$F$405='Input_Meci'!E22))&gt;0)*('Istoric_Nativ'!$D$6:$D$405&gt;='Motor_Meciuri'!BN22))&gt;0)*('Istoric_Nativ'!$Q$6:$Q$405&gt;H241))/AL241)</x:f>
      </x:c>
      <x:c r="R241" s="10" t="str">
        <x:f>IF(OR(NOT(AND(J241="PASS",'Calibrare_Linii'!U17="VALID")),AM241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O22)+((('Istoric_Nativ'!$E$6:$E$405='Input_Meci'!E22)+('Istoric_Nativ'!$F$6:$F$405='Input_Meci'!E22))&gt;0)*('Istoric_Nativ'!$D$6:$D$405&gt;='Motor_Meciuri'!BP22))&gt;0)*('Istoric_Nativ'!$Q$6:$Q$405&gt;H241))/AM241)</x:f>
      </x:c>
      <x:c r="S241" s="10" t="str">
        <x:f>IF(M241="","",MAX(O241,P241,Q241,R241))</x:f>
      </x:c>
      <x:c r="T241" s="11" t="str">
        <x:f>IF(M241="","",MIN(100,S241*100*'Config_v6'!$B$44+MIN(100,L241/'Config_v6'!$B$13*100)*'Config_v6'!$B$45+(100-'Motor_Meciuri'!BF22)*'Config_v6'!$B$46+'Motor_Meciuri'!BH22*100*'Config_v6'!$B$47))</x:f>
      </x:c>
      <x:c r="U241" s="2" t="str">
        <x:f>IF(T241="","",IF(T241&lt;=20,1,IF(T241&lt;=40,2,IF(T241&lt;=60,3,IF(T241&lt;=80,4,5)))))</x:f>
      </x:c>
      <x:c r="V241" s="2" t="str">
        <x:f>IF(M241="","",MAX(0,'Motor_Meciuri'!BF22-IF(W241="OOS PENDING",'Config_v6'!$B$35,0)-IF(L241&gt;'Config_v6'!$B$12,'Config_v6'!$B$37,IF(L241&gt;'Config_v6'!$B$11,'Config_v6'!$B$36,0))))</x:f>
      </x:c>
      <x:c r="W241" s="2" t="str">
        <x:f>IF(B241="","",IF(I241&lt;&gt;"READY","NOT RELEASED",IF(NOT(AND(J241="PASS",'Calibrare_Linii'!U17="VALID")),"INVALID",IF(NOT(AND('Calibrare_Linii'!S17="VALIDATED",AND('Calibrare_Linii'!H17=C241,ISNUMBER('Calibrare_Linii'!J17),'Calibrare_Linii'!J17&lt;='Input_Meci'!G22))),"OOS PENDING",IF(S241&lt;='Calibrare_Linii'!E17,"PASS",IF(S241&lt;='Calibrare_Linii'!F17,"PENALTY","WATCH"))))))</x:f>
      </x:c>
      <x:c r="X241" s="2" t="str">
        <x:f>IF(M241="","",IF(AND(AND(J241="PASS",'Calibrare_Linii'!U17="VALID"),'Motor_Meciuri'!K22=12,'Motor_Meciuri'!L22=12,'Motor_Meciuri'!M22="NO",'Motor_Meciuri'!BL22='Motor_Meciuri'!C22,AB241&gt;='Config_v6'!$B$50,AN241&gt;='Config_v6'!$B$51,T241&lt;='Config_v6'!$B$52,L241&lt;='Config_v6'!$B$53,ISNUMBER('Calibrare_Linii'!E17),S241&lt;='Calibrare_Linii'!E17,SUM(AK241:AM241)&gt;0),"CANDIDATE","NO"))</x:f>
      </x:c>
      <x:c r="Y241" s="2" t="str">
        <x:f>IF(B241="","",IF(I241&lt;&gt;"READY","NOT RELEASED",IF(AND(X241="CANDIDATE",V241&gt;='Config_v6'!$B$51,W241="PASS",'Calibrare_Linii'!T17="VALIDATED",AND('Calibrare_Linii'!H17=C241,ISNUMBER('Calibrare_Linii'!J17),'Calibrare_Linii'!J17&lt;='Input_Meci'!G22)),"PASS",IF(X241="CANDIDATE","OOS PENDING","FAIL"))))</x:f>
      </x:c>
      <x:c r="Z241" s="2" t="str">
        <x:f>IF(B241="","",IF(I241&lt;&gt;"READY","",IF(OR(NOT(AND(J241="PASS",'Calibrare_Linii'!U17="VALID")),L241&gt;'Config_v6'!$B$13,W241="WATCH"),5,IF(Y241="PASS",1,MIN(5,MAX('Config_v6'!$B$42,U241)+IF(W241="PENALTY",1,0))))))</x:f>
      </x:c>
      <x:c r="AA241" s="2" t="str">
        <x:f>IF(B241="","",IF(I241&lt;&gt;"READY","NOT RELEASED",IF(Z241=5,"NO BET",IF(OR(AB241&lt;'Config_v6'!$B$16,V241&lt;'Config_v6'!$B$18),"WATCH",IF(Z241=1,"DEFENSIV",IF(Z241=2,"PRUDENT",IF(Z241=3,"MODERAT","RIDICAT")))))))</x:f>
      </x:c>
      <x:c r="AB241" s="10" t="str">
        <x:f>IF(N241="","",MIN(N241,1-S241))</x:f>
      </x:c>
      <x:c r="AC241" s="2" t="str">
        <x:f>IF(AD241&lt;&gt;1,"",COUNTIFS($Z$230:$Z$243,"&lt;"&amp;Z241,$AD$230:$AD$243,1)+COUNTIFS($Z$230:$Z$243,Z241,$AB$230:$AB$243,"&gt;"&amp;AB241,$AD$230:$AD$243,1)+COUNTIFS($Z$230:$Z$243,Z241,$AB$230:$AB$243,AB241,$V$230:$V$243,"&gt;"&amp;V241,$AD$230:$AD$243,1)+COUNTIFS($Z$230:Z241,Z241,$AB$230:AB241,AB241,$V$230:V241,V241,$AD$230:AD241,1))</x:f>
      </x:c>
      <x:c r="AD241" s="2" t="n">
        <x:f>IF(OR(AA241="DEFENSIV",AA241="PRUDENT",AA241="MODERAT",AA241="RIDICAT"),1,0)</x:f>
        <x:v>0</x:v>
      </x:c>
      <x:c r="AE241" s="2" t="str">
        <x:f>IF(AD241&lt;&gt;1,"NO",IF(W241="PASS","YES",IF(W241="OOS PENDING","CONDITIONAL","NO")))</x:f>
        <x:v>NO</x:v>
      </x:c>
      <x:c r="AF241" s="2" t="n">
        <x:f>IF(AND(AD241=1,AC241=1,E241="LIVE"),1,0)</x:f>
        <x:v>0</x:v>
      </x:c>
      <x:c r="AG241" s="2" t="str">
        <x:f>IF(AF241&lt;&gt;1,"",'Dashboard'!P42)</x:f>
      </x:c>
      <x:c r="AH241" s="2" t="str">
        <x:f>IF(B241="","",IF(J241&lt;&gt;"PASS",'Motor_Meciuri'!J22,IF('Calibrare_Linii'!U17&lt;&gt;"VALID","Parametri linie invalizi",IF(L241&gt;'Config_v6'!$B$13,"Dispersie peste limita",IF(W241="WATCH","Failure peste limita",IF(AB241&lt;'Config_v6'!$B$16,"P finala sub prag",IF(V241&lt;'Config_v6'!$B$18,"Confidence sub prag",IF(E241="REPLAY","Exemplu retrospectiv; exclus din Top LIVE",IF(Y241="PASS","DEFENSIV validat",IF(W241="OOS PENDING","Eligibil; calibrare linie in monitorizare","Eligibil"))))))))))</x:f>
      </x:c>
      <x:c r="AI241" s="2" t="str">
        <x:f>IF(B241="","",'Calibrare_Linii'!V17)</x:f>
      </x:c>
      <x:c r="AJ241" s="2" t="str">
        <x:f>IF(B241="","",IF(AND('Calibrare_Linii'!T17="VALIDATED",AND('Calibrare_Linii'!H17=C241,ISNUMBER('Calibrare_Linii'!J17),'Calibrare_Linii'!J17&lt;='Input_Meci'!G22)),"DEFENSIVE VALIDATED",IF(AND('Calibrare_Linii'!S17="VALIDATED",AND('Calibrare_Linii'!H17=C241,ISNUMBER('Calibrare_Linii'!J17),'Calibrare_Linii'!J17&lt;='Input_Meci'!G22)),"TAIL VALIDATED","OOS PENDING")))</x:f>
      </x:c>
      <x:c r="AK241" s="2" t="n">
        <x:f>IF(J241&lt;&gt;"PASS",0,'Motor_Meciuri'!BR22)</x:f>
        <x:v>0</x:v>
      </x:c>
      <x:c r="AL241" s="2" t="n">
        <x:f>IF(J241&lt;&gt;"PASS",0,'Motor_Meciuri'!BS22)</x:f>
        <x:v>0</x:v>
      </x:c>
      <x:c r="AM241" s="2" t="n">
        <x:f>IF(J241&lt;&gt;"PASS",0,'Motor_Meciuri'!BT22)</x:f>
        <x:v>0</x:v>
      </x:c>
      <x:c r="AN241" s="2" t="str">
        <x:f>IF(M241="","",MAX(0,'Motor_Meciuri'!BF22-IF(L241&gt;'Config_v6'!$B$12,'Config_v6'!$B$37,IF(L241&gt;'Config_v6'!$B$11,'Config_v6'!$B$36,0))))</x:f>
      </x:c>
    </x:row>
    <x:row r="242" ht="21" customHeight="1">
      <x:c r="A242" s="2" t="n">
        <x:v>17</x:v>
      </x:c>
      <x:c r="B242" s="2" t="str">
        <x:f>IF('Motor_Meciuri'!A22="","",'Motor_Meciuri'!A22)</x:f>
      </x:c>
      <x:c r="C242" s="2" t="str">
        <x:f>IF(B242="","",'Motor_Meciuri'!B22)</x:f>
      </x:c>
      <x:c r="D242" s="2" t="str">
        <x:f>IF(B242="","",'Motor_Meciuri'!D22)</x:f>
      </x:c>
      <x:c r="E242" s="2" t="str">
        <x:f>IF(B242="","",'Motor_Meciuri'!E22)</x:f>
      </x:c>
      <x:c r="F242" s="2" t="str">
        <x:v>U16,5</x:v>
      </x:c>
      <x:c r="G242" s="2" t="str">
        <x:v>UNDER</x:v>
      </x:c>
      <x:c r="H242" s="2" t="n">
        <x:v>16</x:v>
      </x:c>
      <x:c r="I242" s="2" t="str">
        <x:f>IF(B242="","",'Motor_Meciuri'!H22)</x:f>
      </x:c>
      <x:c r="J242" s="2" t="str">
        <x:f>IF(B242="","",'Motor_Meciuri'!I22)</x:f>
      </x:c>
      <x:c r="K242" s="11" t="str">
        <x:f>IF(J242&lt;&gt;"PASS","",'Motor_Meciuri'!BD22)</x:f>
      </x:c>
      <x:c r="L242" s="11" t="str">
        <x:f>IF(J242&lt;&gt;"PASS","",'Motor_Meciuri'!AU22)</x:f>
      </x:c>
      <x:c r="M242" s="10" t="str">
        <x:f>IF(NOT(AND(J242="PASS",'Calibrare_Linii'!U18="VALID")),"",'Distributie'!AN22)</x:f>
      </x:c>
      <x:c r="N242" s="10" t="str">
        <x:f>IF(M242="","",MAX(0.01,MIN(0.99,0.5+(M242-0.5)*'Motor_Meciuri'!BG22*'Calibrare_Linii'!D18)))</x:f>
      </x:c>
      <x:c r="O242" s="10" t="str">
        <x:f>IF(M242="","",1-M242)</x:f>
      </x:c>
      <x:c r="P242" s="10" t="str">
        <x:f>IF(OR(NOT(AND(J242="PASS",'Calibrare_Linii'!U18="VALID")),AK242=0),""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*('Istoric_Nativ'!$Q$6:$Q$405&gt;H242))/AK242)</x:f>
      </x:c>
      <x:c r="Q242" s="10" t="str">
        <x:f>IF(OR(NOT(AND(J242="PASS",'Calibrare_Linii'!U18="VALID")),AL242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M22)+((('Istoric_Nativ'!$E$6:$E$405='Input_Meci'!E22)+('Istoric_Nativ'!$F$6:$F$405='Input_Meci'!E22))&gt;0)*('Istoric_Nativ'!$D$6:$D$405&gt;='Motor_Meciuri'!BN22))&gt;0)*('Istoric_Nativ'!$Q$6:$Q$405&gt;H242))/AL242)</x:f>
      </x:c>
      <x:c r="R242" s="10" t="str">
        <x:f>IF(OR(NOT(AND(J242="PASS",'Calibrare_Linii'!U18="VALID")),AM242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O22)+((('Istoric_Nativ'!$E$6:$E$405='Input_Meci'!E22)+('Istoric_Nativ'!$F$6:$F$405='Input_Meci'!E22))&gt;0)*('Istoric_Nativ'!$D$6:$D$405&gt;='Motor_Meciuri'!BP22))&gt;0)*('Istoric_Nativ'!$Q$6:$Q$405&gt;H242))/AM242)</x:f>
      </x:c>
      <x:c r="S242" s="10" t="str">
        <x:f>IF(M242="","",MAX(O242,P242,Q242,R242))</x:f>
      </x:c>
      <x:c r="T242" s="11" t="str">
        <x:f>IF(M242="","",MIN(100,S242*100*'Config_v6'!$B$44+MIN(100,L242/'Config_v6'!$B$13*100)*'Config_v6'!$B$45+(100-'Motor_Meciuri'!BF22)*'Config_v6'!$B$46+'Motor_Meciuri'!BH22*100*'Config_v6'!$B$47))</x:f>
      </x:c>
      <x:c r="U242" s="2" t="str">
        <x:f>IF(T242="","",IF(T242&lt;=20,1,IF(T242&lt;=40,2,IF(T242&lt;=60,3,IF(T242&lt;=80,4,5)))))</x:f>
      </x:c>
      <x:c r="V242" s="2" t="str">
        <x:f>IF(M242="","",MAX(0,'Motor_Meciuri'!BF22-IF(W242="OOS PENDING",'Config_v6'!$B$35,0)-IF(L242&gt;'Config_v6'!$B$12,'Config_v6'!$B$37,IF(L242&gt;'Config_v6'!$B$11,'Config_v6'!$B$36,0))))</x:f>
      </x:c>
      <x:c r="W242" s="2" t="str">
        <x:f>IF(B242="","",IF(I242&lt;&gt;"READY","NOT RELEASED",IF(NOT(AND(J242="PASS",'Calibrare_Linii'!U18="VALID")),"INVALID",IF(NOT(AND('Calibrare_Linii'!S18="VALIDATED",AND('Calibrare_Linii'!H18=C242,ISNUMBER('Calibrare_Linii'!J18),'Calibrare_Linii'!J18&lt;='Input_Meci'!G22))),"OOS PENDING",IF(S242&lt;='Calibrare_Linii'!E18,"PASS",IF(S242&lt;='Calibrare_Linii'!F18,"PENALTY","WATCH"))))))</x:f>
      </x:c>
      <x:c r="X242" s="2" t="str">
        <x:f>IF(M242="","",IF(AND(AND(J242="PASS",'Calibrare_Linii'!U18="VALID"),'Motor_Meciuri'!K22=12,'Motor_Meciuri'!L22=12,'Motor_Meciuri'!M22="NO",'Motor_Meciuri'!BL22='Motor_Meciuri'!C22,AB242&gt;='Config_v6'!$B$50,AN242&gt;='Config_v6'!$B$51,T242&lt;='Config_v6'!$B$52,L242&lt;='Config_v6'!$B$53,ISNUMBER('Calibrare_Linii'!E18),S242&lt;='Calibrare_Linii'!E18,SUM(AK242:AM242)&gt;0),"CANDIDATE","NO"))</x:f>
      </x:c>
      <x:c r="Y242" s="2" t="str">
        <x:f>IF(B242="","",IF(I242&lt;&gt;"READY","NOT RELEASED",IF(AND(X242="CANDIDATE",V242&gt;='Config_v6'!$B$51,W242="PASS",'Calibrare_Linii'!T18="VALIDATED",AND('Calibrare_Linii'!H18=C242,ISNUMBER('Calibrare_Linii'!J18),'Calibrare_Linii'!J18&lt;='Input_Meci'!G22)),"PASS",IF(X242="CANDIDATE","OOS PENDING","FAIL"))))</x:f>
      </x:c>
      <x:c r="Z242" s="2" t="str">
        <x:f>IF(B242="","",IF(I242&lt;&gt;"READY","",IF(OR(NOT(AND(J242="PASS",'Calibrare_Linii'!U18="VALID")),L242&gt;'Config_v6'!$B$13,W242="WATCH"),5,IF(Y242="PASS",1,MIN(5,MAX('Config_v6'!$B$42,U242)+IF(W242="PENALTY",1,0))))))</x:f>
      </x:c>
      <x:c r="AA242" s="2" t="str">
        <x:f>IF(B242="","",IF(I242&lt;&gt;"READY","NOT RELEASED",IF(Z242=5,"NO BET",IF(OR(AB242&lt;'Config_v6'!$B$16,V242&lt;'Config_v6'!$B$18),"WATCH",IF(Z242=1,"DEFENSIV",IF(Z242=2,"PRUDENT",IF(Z242=3,"MODERAT","RIDICAT")))))))</x:f>
      </x:c>
      <x:c r="AB242" s="10" t="str">
        <x:f>IF(N242="","",MIN(N242,1-S242))</x:f>
      </x:c>
      <x:c r="AC242" s="2" t="str">
        <x:f>IF(AD242&lt;&gt;1,"",COUNTIFS($Z$230:$Z$243,"&lt;"&amp;Z242,$AD$230:$AD$243,1)+COUNTIFS($Z$230:$Z$243,Z242,$AB$230:$AB$243,"&gt;"&amp;AB242,$AD$230:$AD$243,1)+COUNTIFS($Z$230:$Z$243,Z242,$AB$230:$AB$243,AB242,$V$230:$V$243,"&gt;"&amp;V242,$AD$230:$AD$243,1)+COUNTIFS($Z$230:Z242,Z242,$AB$230:AB242,AB242,$V$230:V242,V242,$AD$230:AD242,1))</x:f>
      </x:c>
      <x:c r="AD242" s="2" t="n">
        <x:f>IF(OR(AA242="DEFENSIV",AA242="PRUDENT",AA242="MODERAT",AA242="RIDICAT"),1,0)</x:f>
        <x:v>0</x:v>
      </x:c>
      <x:c r="AE242" s="2" t="str">
        <x:f>IF(AD242&lt;&gt;1,"NO",IF(W242="PASS","YES",IF(W242="OOS PENDING","CONDITIONAL","NO")))</x:f>
        <x:v>NO</x:v>
      </x:c>
      <x:c r="AF242" s="2" t="n">
        <x:f>IF(AND(AD242=1,AC242=1,E242="LIVE"),1,0)</x:f>
        <x:v>0</x:v>
      </x:c>
      <x:c r="AG242" s="2" t="str">
        <x:f>IF(AF242&lt;&gt;1,"",'Dashboard'!P42)</x:f>
      </x:c>
      <x:c r="AH242" s="2" t="str">
        <x:f>IF(B242="","",IF(J242&lt;&gt;"PASS",'Motor_Meciuri'!J22,IF('Calibrare_Linii'!U18&lt;&gt;"VALID","Parametri linie invalizi",IF(L242&gt;'Config_v6'!$B$13,"Dispersie peste limita",IF(W242="WATCH","Failure peste limita",IF(AB242&lt;'Config_v6'!$B$16,"P finala sub prag",IF(V242&lt;'Config_v6'!$B$18,"Confidence sub prag",IF(E242="REPLAY","Exemplu retrospectiv; exclus din Top LIVE",IF(Y242="PASS","DEFENSIV validat",IF(W242="OOS PENDING","Eligibil; calibrare linie in monitorizare","Eligibil"))))))))))</x:f>
      </x:c>
      <x:c r="AI242" s="2" t="str">
        <x:f>IF(B242="","",'Calibrare_Linii'!V18)</x:f>
      </x:c>
      <x:c r="AJ242" s="2" t="str">
        <x:f>IF(B242="","",IF(AND('Calibrare_Linii'!T18="VALIDATED",AND('Calibrare_Linii'!H18=C242,ISNUMBER('Calibrare_Linii'!J18),'Calibrare_Linii'!J18&lt;='Input_Meci'!G22)),"DEFENSIVE VALIDATED",IF(AND('Calibrare_Linii'!S18="VALIDATED",AND('Calibrare_Linii'!H18=C242,ISNUMBER('Calibrare_Linii'!J18),'Calibrare_Linii'!J18&lt;='Input_Meci'!G22)),"TAIL VALIDATED","OOS PENDING")))</x:f>
      </x:c>
      <x:c r="AK242" s="2" t="n">
        <x:f>IF(J242&lt;&gt;"PASS",0,'Motor_Meciuri'!BR22)</x:f>
        <x:v>0</x:v>
      </x:c>
      <x:c r="AL242" s="2" t="n">
        <x:f>IF(J242&lt;&gt;"PASS",0,'Motor_Meciuri'!BS22)</x:f>
        <x:v>0</x:v>
      </x:c>
      <x:c r="AM242" s="2" t="n">
        <x:f>IF(J242&lt;&gt;"PASS",0,'Motor_Meciuri'!BT22)</x:f>
        <x:v>0</x:v>
      </x:c>
      <x:c r="AN242" s="2" t="str">
        <x:f>IF(M242="","",MAX(0,'Motor_Meciuri'!BF22-IF(L242&gt;'Config_v6'!$B$12,'Config_v6'!$B$37,IF(L242&gt;'Config_v6'!$B$11,'Config_v6'!$B$36,0))))</x:f>
      </x:c>
    </x:row>
    <x:row r="243" ht="21" customHeight="1">
      <x:c r="A243" s="2" t="n">
        <x:v>17</x:v>
      </x:c>
      <x:c r="B243" s="2" t="str">
        <x:f>IF('Motor_Meciuri'!A22="","",'Motor_Meciuri'!A22)</x:f>
      </x:c>
      <x:c r="C243" s="2" t="str">
        <x:f>IF(B243="","",'Motor_Meciuri'!B22)</x:f>
      </x:c>
      <x:c r="D243" s="2" t="str">
        <x:f>IF(B243="","",'Motor_Meciuri'!D22)</x:f>
      </x:c>
      <x:c r="E243" s="2" t="str">
        <x:f>IF(B243="","",'Motor_Meciuri'!E22)</x:f>
      </x:c>
      <x:c r="F243" s="2" t="str">
        <x:v>U17,5</x:v>
      </x:c>
      <x:c r="G243" s="2" t="str">
        <x:v>UNDER</x:v>
      </x:c>
      <x:c r="H243" s="2" t="n">
        <x:v>17</x:v>
      </x:c>
      <x:c r="I243" s="2" t="str">
        <x:f>IF(B243="","",'Motor_Meciuri'!H22)</x:f>
      </x:c>
      <x:c r="J243" s="2" t="str">
        <x:f>IF(B243="","",'Motor_Meciuri'!I22)</x:f>
      </x:c>
      <x:c r="K243" s="11" t="str">
        <x:f>IF(J243&lt;&gt;"PASS","",'Motor_Meciuri'!BD22)</x:f>
      </x:c>
      <x:c r="L243" s="11" t="str">
        <x:f>IF(J243&lt;&gt;"PASS","",'Motor_Meciuri'!AU22)</x:f>
      </x:c>
      <x:c r="M243" s="10" t="str">
        <x:f>IF(NOT(AND(J243="PASS",'Calibrare_Linii'!U19="VALID")),"",'Distributie'!AO22)</x:f>
      </x:c>
      <x:c r="N243" s="10" t="str">
        <x:f>IF(M243="","",MAX(0.01,MIN(0.99,0.5+(M243-0.5)*'Motor_Meciuri'!BG22*'Calibrare_Linii'!D19)))</x:f>
      </x:c>
      <x:c r="O243" s="10" t="str">
        <x:f>IF(M243="","",1-M243)</x:f>
      </x:c>
      <x:c r="P243" s="10" t="str">
        <x:f>IF(OR(NOT(AND(J243="PASS",'Calibrare_Linii'!U19="VALID")),AK243=0),""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*('Istoric_Nativ'!$Q$6:$Q$405&gt;H243))/AK243)</x:f>
      </x:c>
      <x:c r="Q243" s="10" t="str">
        <x:f>IF(OR(NOT(AND(J243="PASS",'Calibrare_Linii'!U19="VALID")),AL243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M22)+((('Istoric_Nativ'!$E$6:$E$405='Input_Meci'!E22)+('Istoric_Nativ'!$F$6:$F$405='Input_Meci'!E22))&gt;0)*('Istoric_Nativ'!$D$6:$D$405&gt;='Motor_Meciuri'!BN22))&gt;0)*('Istoric_Nativ'!$Q$6:$Q$405&gt;H243))/AL243)</x:f>
      </x:c>
      <x:c r="R243" s="10" t="str">
        <x:f>IF(OR(NOT(AND(J243="PASS",'Calibrare_Linii'!U19="VALID")),AM243=0),""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'Motor_Meciuri'!BO22)+((('Istoric_Nativ'!$E$6:$E$405='Input_Meci'!E22)+('Istoric_Nativ'!$F$6:$F$405='Input_Meci'!E22))&gt;0)*('Istoric_Nativ'!$D$6:$D$405&gt;='Motor_Meciuri'!BP22))&gt;0)*('Istoric_Nativ'!$Q$6:$Q$405&gt;H243))/AM243)</x:f>
      </x:c>
      <x:c r="S243" s="10" t="str">
        <x:f>IF(M243="","",MAX(O243,P243,Q243,R243))</x:f>
      </x:c>
      <x:c r="T243" s="11" t="str">
        <x:f>IF(M243="","",MIN(100,S243*100*'Config_v6'!$B$44+MIN(100,L243/'Config_v6'!$B$13*100)*'Config_v6'!$B$45+(100-'Motor_Meciuri'!BF22)*'Config_v6'!$B$46+'Motor_Meciuri'!BH22*100*'Config_v6'!$B$47))</x:f>
      </x:c>
      <x:c r="U243" s="2" t="str">
        <x:f>IF(T243="","",IF(T243&lt;=20,1,IF(T243&lt;=40,2,IF(T243&lt;=60,3,IF(T243&lt;=80,4,5)))))</x:f>
      </x:c>
      <x:c r="V243" s="2" t="str">
        <x:f>IF(M243="","",MAX(0,'Motor_Meciuri'!BF22-IF(W243="OOS PENDING",'Config_v6'!$B$35,0)-IF(L243&gt;'Config_v6'!$B$12,'Config_v6'!$B$37,IF(L243&gt;'Config_v6'!$B$11,'Config_v6'!$B$36,0))))</x:f>
      </x:c>
      <x:c r="W243" s="2" t="str">
        <x:f>IF(B243="","",IF(I243&lt;&gt;"READY","NOT RELEASED",IF(NOT(AND(J243="PASS",'Calibrare_Linii'!U19="VALID")),"INVALID",IF(NOT(AND('Calibrare_Linii'!S19="VALIDATED",AND('Calibrare_Linii'!H19=C243,ISNUMBER('Calibrare_Linii'!J19),'Calibrare_Linii'!J19&lt;='Input_Meci'!G22))),"OOS PENDING",IF(S243&lt;='Calibrare_Linii'!E19,"PASS",IF(S243&lt;='Calibrare_Linii'!F19,"PENALTY","WATCH"))))))</x:f>
      </x:c>
      <x:c r="X243" s="2" t="str">
        <x:f>IF(M243="","",IF(AND(AND(J243="PASS",'Calibrare_Linii'!U19="VALID"),'Motor_Meciuri'!K22=12,'Motor_Meciuri'!L22=12,'Motor_Meciuri'!M22="NO",'Motor_Meciuri'!BL22='Motor_Meciuri'!C22,AB243&gt;='Config_v6'!$B$50,AN243&gt;='Config_v6'!$B$51,T243&lt;='Config_v6'!$B$52,L243&lt;='Config_v6'!$B$53,ISNUMBER('Calibrare_Linii'!E19),S243&lt;='Calibrare_Linii'!E19,SUM(AK243:AM243)&gt;0),"CANDIDATE","NO"))</x:f>
      </x:c>
      <x:c r="Y243" s="2" t="str">
        <x:f>IF(B243="","",IF(I243&lt;&gt;"READY","NOT RELEASED",IF(AND(X243="CANDIDATE",V243&gt;='Config_v6'!$B$51,W243="PASS",'Calibrare_Linii'!T19="VALIDATED",AND('Calibrare_Linii'!H19=C243,ISNUMBER('Calibrare_Linii'!J19),'Calibrare_Linii'!J19&lt;='Input_Meci'!G22)),"PASS",IF(X243="CANDIDATE","OOS PENDING","FAIL"))))</x:f>
      </x:c>
      <x:c r="Z243" s="2" t="str">
        <x:f>IF(B243="","",IF(I243&lt;&gt;"READY","",IF(OR(NOT(AND(J243="PASS",'Calibrare_Linii'!U19="VALID")),L243&gt;'Config_v6'!$B$13,W243="WATCH"),5,IF(Y243="PASS",1,MIN(5,MAX('Config_v6'!$B$42,U243)+IF(W243="PENALTY",1,0))))))</x:f>
      </x:c>
      <x:c r="AA243" s="2" t="str">
        <x:f>IF(B243="","",IF(I243&lt;&gt;"READY","NOT RELEASED",IF(Z243=5,"NO BET",IF(OR(AB243&lt;'Config_v6'!$B$16,V243&lt;'Config_v6'!$B$18),"WATCH",IF(Z243=1,"DEFENSIV",IF(Z243=2,"PRUDENT",IF(Z243=3,"MODERAT","RIDICAT")))))))</x:f>
      </x:c>
      <x:c r="AB243" s="10" t="str">
        <x:f>IF(N243="","",MIN(N243,1-S243))</x:f>
      </x:c>
      <x:c r="AC243" s="2" t="str">
        <x:f>IF(AD243&lt;&gt;1,"",COUNTIFS($Z$230:$Z$243,"&lt;"&amp;Z243,$AD$230:$AD$243,1)+COUNTIFS($Z$230:$Z$243,Z243,$AB$230:$AB$243,"&gt;"&amp;AB243,$AD$230:$AD$243,1)+COUNTIFS($Z$230:$Z$243,Z243,$AB$230:$AB$243,AB243,$V$230:$V$243,"&gt;"&amp;V243,$AD$230:$AD$243,1)+COUNTIFS($Z$230:Z243,Z243,$AB$230:AB243,AB243,$V$230:V243,V243,$AD$230:AD243,1))</x:f>
      </x:c>
      <x:c r="AD243" s="2" t="n">
        <x:f>IF(OR(AA243="DEFENSIV",AA243="PRUDENT",AA243="MODERAT",AA243="RIDICAT"),1,0)</x:f>
        <x:v>0</x:v>
      </x:c>
      <x:c r="AE243" s="2" t="str">
        <x:f>IF(AD243&lt;&gt;1,"NO",IF(W243="PASS","YES",IF(W243="OOS PENDING","CONDITIONAL","NO")))</x:f>
        <x:v>NO</x:v>
      </x:c>
      <x:c r="AF243" s="2" t="n">
        <x:f>IF(AND(AD243=1,AC243=1,E243="LIVE"),1,0)</x:f>
        <x:v>0</x:v>
      </x:c>
      <x:c r="AG243" s="2" t="str">
        <x:f>IF(AF243&lt;&gt;1,"",'Dashboard'!P42)</x:f>
      </x:c>
      <x:c r="AH243" s="2" t="str">
        <x:f>IF(B243="","",IF(J243&lt;&gt;"PASS",'Motor_Meciuri'!J22,IF('Calibrare_Linii'!U19&lt;&gt;"VALID","Parametri linie invalizi",IF(L243&gt;'Config_v6'!$B$13,"Dispersie peste limita",IF(W243="WATCH","Failure peste limita",IF(AB243&lt;'Config_v6'!$B$16,"P finala sub prag",IF(V243&lt;'Config_v6'!$B$18,"Confidence sub prag",IF(E243="REPLAY","Exemplu retrospectiv; exclus din Top LIVE",IF(Y243="PASS","DEFENSIV validat",IF(W243="OOS PENDING","Eligibil; calibrare linie in monitorizare","Eligibil"))))))))))</x:f>
      </x:c>
      <x:c r="AI243" s="2" t="str">
        <x:f>IF(B243="","",'Calibrare_Linii'!V19)</x:f>
      </x:c>
      <x:c r="AJ243" s="2" t="str">
        <x:f>IF(B243="","",IF(AND('Calibrare_Linii'!T19="VALIDATED",AND('Calibrare_Linii'!H19=C243,ISNUMBER('Calibrare_Linii'!J19),'Calibrare_Linii'!J19&lt;='Input_Meci'!G22)),"DEFENSIVE VALIDATED",IF(AND('Calibrare_Linii'!S19="VALIDATED",AND('Calibrare_Linii'!H19=C243,ISNUMBER('Calibrare_Linii'!J19),'Calibrare_Linii'!J19&lt;='Input_Meci'!G22)),"TAIL VALIDATED","OOS PENDING")))</x:f>
      </x:c>
      <x:c r="AK243" s="2" t="n">
        <x:f>IF(J243&lt;&gt;"PASS",0,'Motor_Meciuri'!BR22)</x:f>
        <x:v>0</x:v>
      </x:c>
      <x:c r="AL243" s="2" t="n">
        <x:f>IF(J243&lt;&gt;"PASS",0,'Motor_Meciuri'!BS22)</x:f>
        <x:v>0</x:v>
      </x:c>
      <x:c r="AM243" s="2" t="n">
        <x:f>IF(J243&lt;&gt;"PASS",0,'Motor_Meciuri'!BT22)</x:f>
        <x:v>0</x:v>
      </x:c>
      <x:c r="AN243" s="2" t="str">
        <x:f>IF(M243="","",MAX(0,'Motor_Meciuri'!BF22-IF(L243&gt;'Config_v6'!$B$12,'Config_v6'!$B$37,IF(L243&gt;'Config_v6'!$B$11,'Config_v6'!$B$36,0))))</x:f>
      </x:c>
    </x:row>
    <x:row r="244" ht="21" customHeight="1">
      <x:c r="A244" s="2" t="n">
        <x:v>18</x:v>
      </x:c>
      <x:c r="B244" s="2" t="str">
        <x:f>IF('Motor_Meciuri'!A23="","",'Motor_Meciuri'!A23)</x:f>
      </x:c>
      <x:c r="C244" s="2" t="str">
        <x:f>IF(B244="","",'Motor_Meciuri'!B23)</x:f>
      </x:c>
      <x:c r="D244" s="2" t="str">
        <x:f>IF(B244="","",'Motor_Meciuri'!D23)</x:f>
      </x:c>
      <x:c r="E244" s="2" t="str">
        <x:f>IF(B244="","",'Motor_Meciuri'!E23)</x:f>
      </x:c>
      <x:c r="F244" s="2" t="str">
        <x:v>O3,5</x:v>
      </x:c>
      <x:c r="G244" s="2" t="str">
        <x:v>OVER</x:v>
      </x:c>
      <x:c r="H244" s="2" t="n">
        <x:v>3</x:v>
      </x:c>
      <x:c r="I244" s="2" t="str">
        <x:f>IF(B244="","",'Motor_Meciuri'!H23)</x:f>
      </x:c>
      <x:c r="J244" s="2" t="str">
        <x:f>IF(B244="","",'Motor_Meciuri'!I23)</x:f>
      </x:c>
      <x:c r="K244" s="11" t="str">
        <x:f>IF(J244&lt;&gt;"PASS","",'Motor_Meciuri'!BD23)</x:f>
      </x:c>
      <x:c r="L244" s="11" t="str">
        <x:f>IF(J244&lt;&gt;"PASS","",'Motor_Meciuri'!AU23)</x:f>
      </x:c>
      <x:c r="M244" s="10" t="str">
        <x:f>IF(NOT(AND(J244="PASS",'Calibrare_Linii'!U6="VALID")),"",1-'Distributie'!AA23)</x:f>
      </x:c>
      <x:c r="N244" s="10" t="str">
        <x:f>IF(M244="","",MAX(0.01,MIN(0.99,0.5+(M244-0.5)*'Motor_Meciuri'!BG23*'Calibrare_Linii'!D6)))</x:f>
      </x:c>
      <x:c r="O244" s="10" t="str">
        <x:f>IF(M244="","",1-M244)</x:f>
      </x:c>
      <x:c r="P244" s="10" t="str">
        <x:f>IF(OR(NOT(AND(J244="PASS",'Calibrare_Linii'!U6="VALID")),AK244=0),""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*('Istoric_Nativ'!$Q$6:$Q$405&lt;=H244))/AK244)</x:f>
      </x:c>
      <x:c r="Q244" s="10" t="str">
        <x:f>IF(OR(NOT(AND(J244="PASS",'Calibrare_Linii'!U6="VALID")),AL244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M23)+((('Istoric_Nativ'!$E$6:$E$405='Input_Meci'!E23)+('Istoric_Nativ'!$F$6:$F$405='Input_Meci'!E23))&gt;0)*('Istoric_Nativ'!$D$6:$D$405&gt;='Motor_Meciuri'!BN23))&gt;0)*('Istoric_Nativ'!$Q$6:$Q$405&lt;=H244))/AL244)</x:f>
      </x:c>
      <x:c r="R244" s="10" t="str">
        <x:f>IF(OR(NOT(AND(J244="PASS",'Calibrare_Linii'!U6="VALID")),AM244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O23)+((('Istoric_Nativ'!$E$6:$E$405='Input_Meci'!E23)+('Istoric_Nativ'!$F$6:$F$405='Input_Meci'!E23))&gt;0)*('Istoric_Nativ'!$D$6:$D$405&gt;='Motor_Meciuri'!BP23))&gt;0)*('Istoric_Nativ'!$Q$6:$Q$405&lt;=H244))/AM244)</x:f>
      </x:c>
      <x:c r="S244" s="10" t="str">
        <x:f>IF(M244="","",MAX(O244,P244,Q244,R244))</x:f>
      </x:c>
      <x:c r="T244" s="11" t="str">
        <x:f>IF(M244="","",MIN(100,S244*100*'Config_v6'!$B$44+MIN(100,L244/'Config_v6'!$B$13*100)*'Config_v6'!$B$45+(100-'Motor_Meciuri'!BF23)*'Config_v6'!$B$46+'Motor_Meciuri'!BH23*100*'Config_v6'!$B$47))</x:f>
      </x:c>
      <x:c r="U244" s="2" t="str">
        <x:f>IF(T244="","",IF(T244&lt;=20,1,IF(T244&lt;=40,2,IF(T244&lt;=60,3,IF(T244&lt;=80,4,5)))))</x:f>
      </x:c>
      <x:c r="V244" s="2" t="str">
        <x:f>IF(M244="","",MAX(0,'Motor_Meciuri'!BF23-IF(W244="OOS PENDING",'Config_v6'!$B$35,0)-IF(L244&gt;'Config_v6'!$B$12,'Config_v6'!$B$37,IF(L244&gt;'Config_v6'!$B$11,'Config_v6'!$B$36,0))))</x:f>
      </x:c>
      <x:c r="W244" s="2" t="str">
        <x:f>IF(B244="","",IF(I244&lt;&gt;"READY","NOT RELEASED",IF(NOT(AND(J244="PASS",'Calibrare_Linii'!U6="VALID")),"INVALID",IF(NOT(TRUE),"OOS PENDING",IF(S244&lt;=IF(AND('Calibrare_Linii'!S6="VALIDATED",AND('Calibrare_Linii'!H6=C244,ISNUMBER('Calibrare_Linii'!J6),'Calibrare_Linii'!J6&lt;='Input_Meci'!G23)),'Calibrare_Linii'!E6,'Config_v6'!$B$26),"PASS",IF(S244&lt;=IF(AND('Calibrare_Linii'!S6="VALIDATED",AND('Calibrare_Linii'!H6=C244,ISNUMBER('Calibrare_Linii'!J6),'Calibrare_Linii'!J6&lt;='Input_Meci'!G23)),'Calibrare_Linii'!F6,'Config_v6'!$C$26),"PENALTY","WATCH"))))))</x:f>
      </x:c>
      <x:c r="X244" s="2" t="str">
        <x:f>IF(M244="","",IF(AND(AND(J244="PASS",'Calibrare_Linii'!U6="VALID"),'Motor_Meciuri'!K23=12,'Motor_Meciuri'!L23=12,'Motor_Meciuri'!M23="NO",'Motor_Meciuri'!BL23='Motor_Meciuri'!C23,AB244&gt;='Config_v6'!$B$50,AN244&gt;='Config_v6'!$B$51,T244&lt;='Config_v6'!$B$52,L244&lt;='Config_v6'!$B$53,ISNUMBER('Calibrare_Linii'!E6),S244&lt;='Calibrare_Linii'!E6,SUM(AK244:AM244)&gt;0),"CANDIDATE","NO"))</x:f>
      </x:c>
      <x:c r="Y244" s="2" t="str">
        <x:f>IF(B244="","",IF(I244&lt;&gt;"READY","NOT RELEASED",IF(AND(X244="CANDIDATE",V244&gt;='Config_v6'!$B$51,W244="PASS",'Calibrare_Linii'!T6="VALIDATED",AND('Calibrare_Linii'!H6=C244,ISNUMBER('Calibrare_Linii'!J6),'Calibrare_Linii'!J6&lt;='Input_Meci'!G23)),"PASS",IF(X244="CANDIDATE","OOS PENDING","FAIL"))))</x:f>
      </x:c>
      <x:c r="Z244" s="2" t="str">
        <x:f>IF(B244="","",IF(I244&lt;&gt;"READY","",IF(OR(NOT(AND(J244="PASS",'Calibrare_Linii'!U6="VALID")),L244&gt;'Config_v6'!$B$13,W244="WATCH"),5,IF(Y244="PASS",1,MIN(5,MAX('Config_v6'!$B$42,U244)+IF(W244="PENALTY",1,0))))))</x:f>
      </x:c>
      <x:c r="AA244" s="2" t="str">
        <x:f>IF(B244="","",IF(I244&lt;&gt;"READY","NOT RELEASED",IF(Z244=5,"NO BET",IF(OR(AB244&lt;'Config_v6'!$B$16,V244&lt;'Config_v6'!$B$18),"WATCH",IF(Z244=1,"DEFENSIV",IF(Z244=2,"PRUDENT",IF(Z244=3,"MODERAT","RIDICAT")))))))</x:f>
      </x:c>
      <x:c r="AB244" s="10" t="str">
        <x:f>IF(N244="","",MIN(N244,1-S244))</x:f>
      </x:c>
      <x:c r="AC244" s="2" t="str">
        <x:f>IF(AD244&lt;&gt;1,"",COUNTIFS($Z$244:$Z$257,"&lt;"&amp;Z244,$AD$244:$AD$257,1)+COUNTIFS($Z$244:$Z$257,Z244,$AB$244:$AB$257,"&gt;"&amp;AB244,$AD$244:$AD$257,1)+COUNTIFS($Z$244:$Z$257,Z244,$AB$244:$AB$257,AB244,$V$244:$V$257,"&gt;"&amp;V244,$AD$244:$AD$257,1)+COUNTIFS($Z$244:Z244,Z244,$AB$244:AB244,AB244,$V$244:V244,V244,$AD$244:AD244,1))</x:f>
      </x:c>
      <x:c r="AD244" s="2" t="n">
        <x:f>IF(OR(AA244="DEFENSIV",AA244="PRUDENT",AA244="MODERAT",AA244="RIDICAT"),1,0)</x:f>
        <x:v>0</x:v>
      </x:c>
      <x:c r="AE244" s="2" t="str">
        <x:f>IF(AD244&lt;&gt;1,"NO",IF(W244="PASS","YES",IF(W244="OOS PENDING","CONDITIONAL","NO")))</x:f>
        <x:v>NO</x:v>
      </x:c>
      <x:c r="AF244" s="2" t="n">
        <x:f>IF(AND(AD244=1,AC244=1,E244="LIVE"),1,0)</x:f>
        <x:v>0</x:v>
      </x:c>
      <x:c r="AG244" s="2" t="str">
        <x:f>IF(AF244&lt;&gt;1,"",'Dashboard'!P43)</x:f>
      </x:c>
      <x:c r="AH244" s="2" t="str">
        <x:f>IF(B244="","",IF(J244&lt;&gt;"PASS",'Motor_Meciuri'!J23,IF('Calibrare_Linii'!U6&lt;&gt;"VALID","Parametri linie invalizi",IF(L244&gt;'Config_v6'!$B$13,"Dispersie peste limita",IF(W244="WATCH","Failure peste limita",IF(AB244&lt;'Config_v6'!$B$16,"P finala sub prag",IF(V244&lt;'Config_v6'!$B$18,"Confidence sub prag",IF(E244="REPLAY","Exemplu retrospectiv; exclus din Top LIVE",IF(Y244="PASS","DEFENSIV validat",IF(W244="OOS PENDING","Eligibil; calibrare linie in monitorizare","Eligibil"))))))))))</x:f>
      </x:c>
      <x:c r="AI244" s="2" t="str">
        <x:f>IF(B244="","",'Calibrare_Linii'!V6)</x:f>
      </x:c>
      <x:c r="AJ244" s="2" t="str">
        <x:f>IF(B244="","",IF(AND('Calibrare_Linii'!T6="VALIDATED",AND('Calibrare_Linii'!H6=C244,ISNUMBER('Calibrare_Linii'!J6),'Calibrare_Linii'!J6&lt;='Input_Meci'!G23)),"DEFENSIVE VALIDATED",IF(AND('Calibrare_Linii'!S6="VALIDATED",AND('Calibrare_Linii'!H6=C244,ISNUMBER('Calibrare_Linii'!J6),'Calibrare_Linii'!J6&lt;='Input_Meci'!G23)),"TAIL VALIDATED","OOS PENDING")))</x:f>
      </x:c>
      <x:c r="AK244" s="2" t="n">
        <x:f>IF(J244&lt;&gt;"PASS",0,'Motor_Meciuri'!BR23)</x:f>
        <x:v>0</x:v>
      </x:c>
      <x:c r="AL244" s="2" t="n">
        <x:f>IF(J244&lt;&gt;"PASS",0,'Motor_Meciuri'!BS23)</x:f>
        <x:v>0</x:v>
      </x:c>
      <x:c r="AM244" s="2" t="n">
        <x:f>IF(J244&lt;&gt;"PASS",0,'Motor_Meciuri'!BT23)</x:f>
        <x:v>0</x:v>
      </x:c>
      <x:c r="AN244" s="2" t="str">
        <x:f>IF(M244="","",MAX(0,'Motor_Meciuri'!BF23-IF(L244&gt;'Config_v6'!$B$12,'Config_v6'!$B$37,IF(L244&gt;'Config_v6'!$B$11,'Config_v6'!$B$36,0))))</x:f>
      </x:c>
    </x:row>
    <x:row r="245" ht="21" customHeight="1">
      <x:c r="A245" s="2" t="n">
        <x:v>18</x:v>
      </x:c>
      <x:c r="B245" s="2" t="str">
        <x:f>IF('Motor_Meciuri'!A23="","",'Motor_Meciuri'!A23)</x:f>
      </x:c>
      <x:c r="C245" s="2" t="str">
        <x:f>IF(B245="","",'Motor_Meciuri'!B23)</x:f>
      </x:c>
      <x:c r="D245" s="2" t="str">
        <x:f>IF(B245="","",'Motor_Meciuri'!D23)</x:f>
      </x:c>
      <x:c r="E245" s="2" t="str">
        <x:f>IF(B245="","",'Motor_Meciuri'!E23)</x:f>
      </x:c>
      <x:c r="F245" s="2" t="str">
        <x:v>O4,5</x:v>
      </x:c>
      <x:c r="G245" s="2" t="str">
        <x:v>OVER</x:v>
      </x:c>
      <x:c r="H245" s="2" t="n">
        <x:v>4</x:v>
      </x:c>
      <x:c r="I245" s="2" t="str">
        <x:f>IF(B245="","",'Motor_Meciuri'!H23)</x:f>
      </x:c>
      <x:c r="J245" s="2" t="str">
        <x:f>IF(B245="","",'Motor_Meciuri'!I23)</x:f>
      </x:c>
      <x:c r="K245" s="11" t="str">
        <x:f>IF(J245&lt;&gt;"PASS","",'Motor_Meciuri'!BD23)</x:f>
      </x:c>
      <x:c r="L245" s="11" t="str">
        <x:f>IF(J245&lt;&gt;"PASS","",'Motor_Meciuri'!AU23)</x:f>
      </x:c>
      <x:c r="M245" s="10" t="str">
        <x:f>IF(NOT(AND(J245="PASS",'Calibrare_Linii'!U7="VALID")),"",1-'Distributie'!AB23)</x:f>
      </x:c>
      <x:c r="N245" s="10" t="str">
        <x:f>IF(M245="","",MAX(0.01,MIN(0.99,0.5+(M245-0.5)*'Motor_Meciuri'!BG23*'Calibrare_Linii'!D7)))</x:f>
      </x:c>
      <x:c r="O245" s="10" t="str">
        <x:f>IF(M245="","",1-M245)</x:f>
      </x:c>
      <x:c r="P245" s="10" t="str">
        <x:f>IF(OR(NOT(AND(J245="PASS",'Calibrare_Linii'!U7="VALID")),AK245=0),""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*('Istoric_Nativ'!$Q$6:$Q$405&lt;=H245))/AK245)</x:f>
      </x:c>
      <x:c r="Q245" s="10" t="str">
        <x:f>IF(OR(NOT(AND(J245="PASS",'Calibrare_Linii'!U7="VALID")),AL245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M23)+((('Istoric_Nativ'!$E$6:$E$405='Input_Meci'!E23)+('Istoric_Nativ'!$F$6:$F$405='Input_Meci'!E23))&gt;0)*('Istoric_Nativ'!$D$6:$D$405&gt;='Motor_Meciuri'!BN23))&gt;0)*('Istoric_Nativ'!$Q$6:$Q$405&lt;=H245))/AL245)</x:f>
      </x:c>
      <x:c r="R245" s="10" t="str">
        <x:f>IF(OR(NOT(AND(J245="PASS",'Calibrare_Linii'!U7="VALID")),AM245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O23)+((('Istoric_Nativ'!$E$6:$E$405='Input_Meci'!E23)+('Istoric_Nativ'!$F$6:$F$405='Input_Meci'!E23))&gt;0)*('Istoric_Nativ'!$D$6:$D$405&gt;='Motor_Meciuri'!BP23))&gt;0)*('Istoric_Nativ'!$Q$6:$Q$405&lt;=H245))/AM245)</x:f>
      </x:c>
      <x:c r="S245" s="10" t="str">
        <x:f>IF(M245="","",MAX(O245,P245,Q245,R245))</x:f>
      </x:c>
      <x:c r="T245" s="11" t="str">
        <x:f>IF(M245="","",MIN(100,S245*100*'Config_v6'!$B$44+MIN(100,L245/'Config_v6'!$B$13*100)*'Config_v6'!$B$45+(100-'Motor_Meciuri'!BF23)*'Config_v6'!$B$46+'Motor_Meciuri'!BH23*100*'Config_v6'!$B$47))</x:f>
      </x:c>
      <x:c r="U245" s="2" t="str">
        <x:f>IF(T245="","",IF(T245&lt;=20,1,IF(T245&lt;=40,2,IF(T245&lt;=60,3,IF(T245&lt;=80,4,5)))))</x:f>
      </x:c>
      <x:c r="V245" s="2" t="str">
        <x:f>IF(M245="","",MAX(0,'Motor_Meciuri'!BF23-IF(W245="OOS PENDING",'Config_v6'!$B$35,0)-IF(L245&gt;'Config_v6'!$B$12,'Config_v6'!$B$37,IF(L245&gt;'Config_v6'!$B$11,'Config_v6'!$B$36,0))))</x:f>
      </x:c>
      <x:c r="W245" s="2" t="str">
        <x:f>IF(B245="","",IF(I245&lt;&gt;"READY","NOT RELEASED",IF(NOT(AND(J245="PASS",'Calibrare_Linii'!U7="VALID")),"INVALID",IF(NOT(AND('Calibrare_Linii'!S7="VALIDATED",AND('Calibrare_Linii'!H7=C245,ISNUMBER('Calibrare_Linii'!J7),'Calibrare_Linii'!J7&lt;='Input_Meci'!G23))),"OOS PENDING",IF(S245&lt;='Calibrare_Linii'!E7,"PASS",IF(S245&lt;='Calibrare_Linii'!F7,"PENALTY","WATCH"))))))</x:f>
      </x:c>
      <x:c r="X245" s="2" t="str">
        <x:f>IF(M245="","",IF(AND(AND(J245="PASS",'Calibrare_Linii'!U7="VALID"),'Motor_Meciuri'!K23=12,'Motor_Meciuri'!L23=12,'Motor_Meciuri'!M23="NO",'Motor_Meciuri'!BL23='Motor_Meciuri'!C23,AB245&gt;='Config_v6'!$B$50,AN245&gt;='Config_v6'!$B$51,T245&lt;='Config_v6'!$B$52,L245&lt;='Config_v6'!$B$53,ISNUMBER('Calibrare_Linii'!E7),S245&lt;='Calibrare_Linii'!E7,SUM(AK245:AM245)&gt;0),"CANDIDATE","NO"))</x:f>
      </x:c>
      <x:c r="Y245" s="2" t="str">
        <x:f>IF(B245="","",IF(I245&lt;&gt;"READY","NOT RELEASED",IF(AND(X245="CANDIDATE",V245&gt;='Config_v6'!$B$51,W245="PASS",'Calibrare_Linii'!T7="VALIDATED",AND('Calibrare_Linii'!H7=C245,ISNUMBER('Calibrare_Linii'!J7),'Calibrare_Linii'!J7&lt;='Input_Meci'!G23)),"PASS",IF(X245="CANDIDATE","OOS PENDING","FAIL"))))</x:f>
      </x:c>
      <x:c r="Z245" s="2" t="str">
        <x:f>IF(B245="","",IF(I245&lt;&gt;"READY","",IF(OR(NOT(AND(J245="PASS",'Calibrare_Linii'!U7="VALID")),L245&gt;'Config_v6'!$B$13,W245="WATCH"),5,IF(Y245="PASS",1,MIN(5,MAX('Config_v6'!$B$42,U245)+IF(W245="PENALTY",1,0))))))</x:f>
      </x:c>
      <x:c r="AA245" s="2" t="str">
        <x:f>IF(B245="","",IF(I245&lt;&gt;"READY","NOT RELEASED",IF(Z245=5,"NO BET",IF(OR(AB245&lt;'Config_v6'!$B$16,V245&lt;'Config_v6'!$B$18),"WATCH",IF(Z245=1,"DEFENSIV",IF(Z245=2,"PRUDENT",IF(Z245=3,"MODERAT","RIDICAT")))))))</x:f>
      </x:c>
      <x:c r="AB245" s="10" t="str">
        <x:f>IF(N245="","",MIN(N245,1-S245))</x:f>
      </x:c>
      <x:c r="AC245" s="2" t="str">
        <x:f>IF(AD245&lt;&gt;1,"",COUNTIFS($Z$244:$Z$257,"&lt;"&amp;Z245,$AD$244:$AD$257,1)+COUNTIFS($Z$244:$Z$257,Z245,$AB$244:$AB$257,"&gt;"&amp;AB245,$AD$244:$AD$257,1)+COUNTIFS($Z$244:$Z$257,Z245,$AB$244:$AB$257,AB245,$V$244:$V$257,"&gt;"&amp;V245,$AD$244:$AD$257,1)+COUNTIFS($Z$244:Z245,Z245,$AB$244:AB245,AB245,$V$244:V245,V245,$AD$244:AD245,1))</x:f>
      </x:c>
      <x:c r="AD245" s="2" t="n">
        <x:f>IF(OR(AA245="DEFENSIV",AA245="PRUDENT",AA245="MODERAT",AA245="RIDICAT"),1,0)</x:f>
        <x:v>0</x:v>
      </x:c>
      <x:c r="AE245" s="2" t="str">
        <x:f>IF(AD245&lt;&gt;1,"NO",IF(W245="PASS","YES",IF(W245="OOS PENDING","CONDITIONAL","NO")))</x:f>
        <x:v>NO</x:v>
      </x:c>
      <x:c r="AF245" s="2" t="n">
        <x:f>IF(AND(AD245=1,AC245=1,E245="LIVE"),1,0)</x:f>
        <x:v>0</x:v>
      </x:c>
      <x:c r="AG245" s="2" t="str">
        <x:f>IF(AF245&lt;&gt;1,"",'Dashboard'!P43)</x:f>
      </x:c>
      <x:c r="AH245" s="2" t="str">
        <x:f>IF(B245="","",IF(J245&lt;&gt;"PASS",'Motor_Meciuri'!J23,IF('Calibrare_Linii'!U7&lt;&gt;"VALID","Parametri linie invalizi",IF(L245&gt;'Config_v6'!$B$13,"Dispersie peste limita",IF(W245="WATCH","Failure peste limita",IF(AB245&lt;'Config_v6'!$B$16,"P finala sub prag",IF(V245&lt;'Config_v6'!$B$18,"Confidence sub prag",IF(E245="REPLAY","Exemplu retrospectiv; exclus din Top LIVE",IF(Y245="PASS","DEFENSIV validat",IF(W245="OOS PENDING","Eligibil; calibrare linie in monitorizare","Eligibil"))))))))))</x:f>
      </x:c>
      <x:c r="AI245" s="2" t="str">
        <x:f>IF(B245="","",'Calibrare_Linii'!V7)</x:f>
      </x:c>
      <x:c r="AJ245" s="2" t="str">
        <x:f>IF(B245="","",IF(AND('Calibrare_Linii'!T7="VALIDATED",AND('Calibrare_Linii'!H7=C245,ISNUMBER('Calibrare_Linii'!J7),'Calibrare_Linii'!J7&lt;='Input_Meci'!G23)),"DEFENSIVE VALIDATED",IF(AND('Calibrare_Linii'!S7="VALIDATED",AND('Calibrare_Linii'!H7=C245,ISNUMBER('Calibrare_Linii'!J7),'Calibrare_Linii'!J7&lt;='Input_Meci'!G23)),"TAIL VALIDATED","OOS PENDING")))</x:f>
      </x:c>
      <x:c r="AK245" s="2" t="n">
        <x:f>IF(J245&lt;&gt;"PASS",0,'Motor_Meciuri'!BR23)</x:f>
        <x:v>0</x:v>
      </x:c>
      <x:c r="AL245" s="2" t="n">
        <x:f>IF(J245&lt;&gt;"PASS",0,'Motor_Meciuri'!BS23)</x:f>
        <x:v>0</x:v>
      </x:c>
      <x:c r="AM245" s="2" t="n">
        <x:f>IF(J245&lt;&gt;"PASS",0,'Motor_Meciuri'!BT23)</x:f>
        <x:v>0</x:v>
      </x:c>
      <x:c r="AN245" s="2" t="str">
        <x:f>IF(M245="","",MAX(0,'Motor_Meciuri'!BF23-IF(L245&gt;'Config_v6'!$B$12,'Config_v6'!$B$37,IF(L245&gt;'Config_v6'!$B$11,'Config_v6'!$B$36,0))))</x:f>
      </x:c>
    </x:row>
    <x:row r="246" ht="21" customHeight="1">
      <x:c r="A246" s="2" t="n">
        <x:v>18</x:v>
      </x:c>
      <x:c r="B246" s="2" t="str">
        <x:f>IF('Motor_Meciuri'!A23="","",'Motor_Meciuri'!A23)</x:f>
      </x:c>
      <x:c r="C246" s="2" t="str">
        <x:f>IF(B246="","",'Motor_Meciuri'!B23)</x:f>
      </x:c>
      <x:c r="D246" s="2" t="str">
        <x:f>IF(B246="","",'Motor_Meciuri'!D23)</x:f>
      </x:c>
      <x:c r="E246" s="2" t="str">
        <x:f>IF(B246="","",'Motor_Meciuri'!E23)</x:f>
      </x:c>
      <x:c r="F246" s="2" t="str">
        <x:v>O5,5</x:v>
      </x:c>
      <x:c r="G246" s="2" t="str">
        <x:v>OVER</x:v>
      </x:c>
      <x:c r="H246" s="2" t="n">
        <x:v>5</x:v>
      </x:c>
      <x:c r="I246" s="2" t="str">
        <x:f>IF(B246="","",'Motor_Meciuri'!H23)</x:f>
      </x:c>
      <x:c r="J246" s="2" t="str">
        <x:f>IF(B246="","",'Motor_Meciuri'!I23)</x:f>
      </x:c>
      <x:c r="K246" s="11" t="str">
        <x:f>IF(J246&lt;&gt;"PASS","",'Motor_Meciuri'!BD23)</x:f>
      </x:c>
      <x:c r="L246" s="11" t="str">
        <x:f>IF(J246&lt;&gt;"PASS","",'Motor_Meciuri'!AU23)</x:f>
      </x:c>
      <x:c r="M246" s="10" t="str">
        <x:f>IF(NOT(AND(J246="PASS",'Calibrare_Linii'!U8="VALID")),"",1-'Distributie'!AC23)</x:f>
      </x:c>
      <x:c r="N246" s="10" t="str">
        <x:f>IF(M246="","",MAX(0.01,MIN(0.99,0.5+(M246-0.5)*'Motor_Meciuri'!BG23*'Calibrare_Linii'!D8)))</x:f>
      </x:c>
      <x:c r="O246" s="10" t="str">
        <x:f>IF(M246="","",1-M246)</x:f>
      </x:c>
      <x:c r="P246" s="10" t="str">
        <x:f>IF(OR(NOT(AND(J246="PASS",'Calibrare_Linii'!U8="VALID")),AK246=0),""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*('Istoric_Nativ'!$Q$6:$Q$405&lt;=H246))/AK246)</x:f>
      </x:c>
      <x:c r="Q246" s="10" t="str">
        <x:f>IF(OR(NOT(AND(J246="PASS",'Calibrare_Linii'!U8="VALID")),AL246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M23)+((('Istoric_Nativ'!$E$6:$E$405='Input_Meci'!E23)+('Istoric_Nativ'!$F$6:$F$405='Input_Meci'!E23))&gt;0)*('Istoric_Nativ'!$D$6:$D$405&gt;='Motor_Meciuri'!BN23))&gt;0)*('Istoric_Nativ'!$Q$6:$Q$405&lt;=H246))/AL246)</x:f>
      </x:c>
      <x:c r="R246" s="10" t="str">
        <x:f>IF(OR(NOT(AND(J246="PASS",'Calibrare_Linii'!U8="VALID")),AM246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O23)+((('Istoric_Nativ'!$E$6:$E$405='Input_Meci'!E23)+('Istoric_Nativ'!$F$6:$F$405='Input_Meci'!E23))&gt;0)*('Istoric_Nativ'!$D$6:$D$405&gt;='Motor_Meciuri'!BP23))&gt;0)*('Istoric_Nativ'!$Q$6:$Q$405&lt;=H246))/AM246)</x:f>
      </x:c>
      <x:c r="S246" s="10" t="str">
        <x:f>IF(M246="","",MAX(O246,P246,Q246,R246))</x:f>
      </x:c>
      <x:c r="T246" s="11" t="str">
        <x:f>IF(M246="","",MIN(100,S246*100*'Config_v6'!$B$44+MIN(100,L246/'Config_v6'!$B$13*100)*'Config_v6'!$B$45+(100-'Motor_Meciuri'!BF23)*'Config_v6'!$B$46+'Motor_Meciuri'!BH23*100*'Config_v6'!$B$47))</x:f>
      </x:c>
      <x:c r="U246" s="2" t="str">
        <x:f>IF(T246="","",IF(T246&lt;=20,1,IF(T246&lt;=40,2,IF(T246&lt;=60,3,IF(T246&lt;=80,4,5)))))</x:f>
      </x:c>
      <x:c r="V246" s="2" t="str">
        <x:f>IF(M246="","",MAX(0,'Motor_Meciuri'!BF23-IF(W246="OOS PENDING",'Config_v6'!$B$35,0)-IF(L246&gt;'Config_v6'!$B$12,'Config_v6'!$B$37,IF(L246&gt;'Config_v6'!$B$11,'Config_v6'!$B$36,0))))</x:f>
      </x:c>
      <x:c r="W246" s="2" t="str">
        <x:f>IF(B246="","",IF(I246&lt;&gt;"READY","NOT RELEASED",IF(NOT(AND(J246="PASS",'Calibrare_Linii'!U8="VALID")),"INVALID",IF(NOT(AND('Calibrare_Linii'!S8="VALIDATED",AND('Calibrare_Linii'!H8=C246,ISNUMBER('Calibrare_Linii'!J8),'Calibrare_Linii'!J8&lt;='Input_Meci'!G23))),"OOS PENDING",IF(S246&lt;='Calibrare_Linii'!E8,"PASS",IF(S246&lt;='Calibrare_Linii'!F8,"PENALTY","WATCH"))))))</x:f>
      </x:c>
      <x:c r="X246" s="2" t="str">
        <x:f>IF(M246="","",IF(AND(AND(J246="PASS",'Calibrare_Linii'!U8="VALID"),'Motor_Meciuri'!K23=12,'Motor_Meciuri'!L23=12,'Motor_Meciuri'!M23="NO",'Motor_Meciuri'!BL23='Motor_Meciuri'!C23,AB246&gt;='Config_v6'!$B$50,AN246&gt;='Config_v6'!$B$51,T246&lt;='Config_v6'!$B$52,L246&lt;='Config_v6'!$B$53,ISNUMBER('Calibrare_Linii'!E8),S246&lt;='Calibrare_Linii'!E8,SUM(AK246:AM246)&gt;0),"CANDIDATE","NO"))</x:f>
      </x:c>
      <x:c r="Y246" s="2" t="str">
        <x:f>IF(B246="","",IF(I246&lt;&gt;"READY","NOT RELEASED",IF(AND(X246="CANDIDATE",V246&gt;='Config_v6'!$B$51,W246="PASS",'Calibrare_Linii'!T8="VALIDATED",AND('Calibrare_Linii'!H8=C246,ISNUMBER('Calibrare_Linii'!J8),'Calibrare_Linii'!J8&lt;='Input_Meci'!G23)),"PASS",IF(X246="CANDIDATE","OOS PENDING","FAIL"))))</x:f>
      </x:c>
      <x:c r="Z246" s="2" t="str">
        <x:f>IF(B246="","",IF(I246&lt;&gt;"READY","",IF(OR(NOT(AND(J246="PASS",'Calibrare_Linii'!U8="VALID")),L246&gt;'Config_v6'!$B$13,W246="WATCH"),5,IF(Y246="PASS",1,MIN(5,MAX('Config_v6'!$B$42,U246)+IF(W246="PENALTY",1,0))))))</x:f>
      </x:c>
      <x:c r="AA246" s="2" t="str">
        <x:f>IF(B246="","",IF(I246&lt;&gt;"READY","NOT RELEASED",IF(Z246=5,"NO BET",IF(OR(AB246&lt;'Config_v6'!$B$16,V246&lt;'Config_v6'!$B$18),"WATCH",IF(Z246=1,"DEFENSIV",IF(Z246=2,"PRUDENT",IF(Z246=3,"MODERAT","RIDICAT")))))))</x:f>
      </x:c>
      <x:c r="AB246" s="10" t="str">
        <x:f>IF(N246="","",MIN(N246,1-S246))</x:f>
      </x:c>
      <x:c r="AC246" s="2" t="str">
        <x:f>IF(AD246&lt;&gt;1,"",COUNTIFS($Z$244:$Z$257,"&lt;"&amp;Z246,$AD$244:$AD$257,1)+COUNTIFS($Z$244:$Z$257,Z246,$AB$244:$AB$257,"&gt;"&amp;AB246,$AD$244:$AD$257,1)+COUNTIFS($Z$244:$Z$257,Z246,$AB$244:$AB$257,AB246,$V$244:$V$257,"&gt;"&amp;V246,$AD$244:$AD$257,1)+COUNTIFS($Z$244:Z246,Z246,$AB$244:AB246,AB246,$V$244:V246,V246,$AD$244:AD246,1))</x:f>
      </x:c>
      <x:c r="AD246" s="2" t="n">
        <x:f>IF(OR(AA246="DEFENSIV",AA246="PRUDENT",AA246="MODERAT",AA246="RIDICAT"),1,0)</x:f>
        <x:v>0</x:v>
      </x:c>
      <x:c r="AE246" s="2" t="str">
        <x:f>IF(AD246&lt;&gt;1,"NO",IF(W246="PASS","YES",IF(W246="OOS PENDING","CONDITIONAL","NO")))</x:f>
        <x:v>NO</x:v>
      </x:c>
      <x:c r="AF246" s="2" t="n">
        <x:f>IF(AND(AD246=1,AC246=1,E246="LIVE"),1,0)</x:f>
        <x:v>0</x:v>
      </x:c>
      <x:c r="AG246" s="2" t="str">
        <x:f>IF(AF246&lt;&gt;1,"",'Dashboard'!P43)</x:f>
      </x:c>
      <x:c r="AH246" s="2" t="str">
        <x:f>IF(B246="","",IF(J246&lt;&gt;"PASS",'Motor_Meciuri'!J23,IF('Calibrare_Linii'!U8&lt;&gt;"VALID","Parametri linie invalizi",IF(L246&gt;'Config_v6'!$B$13,"Dispersie peste limita",IF(W246="WATCH","Failure peste limita",IF(AB246&lt;'Config_v6'!$B$16,"P finala sub prag",IF(V246&lt;'Config_v6'!$B$18,"Confidence sub prag",IF(E246="REPLAY","Exemplu retrospectiv; exclus din Top LIVE",IF(Y246="PASS","DEFENSIV validat",IF(W246="OOS PENDING","Eligibil; calibrare linie in monitorizare","Eligibil"))))))))))</x:f>
      </x:c>
      <x:c r="AI246" s="2" t="str">
        <x:f>IF(B246="","",'Calibrare_Linii'!V8)</x:f>
      </x:c>
      <x:c r="AJ246" s="2" t="str">
        <x:f>IF(B246="","",IF(AND('Calibrare_Linii'!T8="VALIDATED",AND('Calibrare_Linii'!H8=C246,ISNUMBER('Calibrare_Linii'!J8),'Calibrare_Linii'!J8&lt;='Input_Meci'!G23)),"DEFENSIVE VALIDATED",IF(AND('Calibrare_Linii'!S8="VALIDATED",AND('Calibrare_Linii'!H8=C246,ISNUMBER('Calibrare_Linii'!J8),'Calibrare_Linii'!J8&lt;='Input_Meci'!G23)),"TAIL VALIDATED","OOS PENDING")))</x:f>
      </x:c>
      <x:c r="AK246" s="2" t="n">
        <x:f>IF(J246&lt;&gt;"PASS",0,'Motor_Meciuri'!BR23)</x:f>
        <x:v>0</x:v>
      </x:c>
      <x:c r="AL246" s="2" t="n">
        <x:f>IF(J246&lt;&gt;"PASS",0,'Motor_Meciuri'!BS23)</x:f>
        <x:v>0</x:v>
      </x:c>
      <x:c r="AM246" s="2" t="n">
        <x:f>IF(J246&lt;&gt;"PASS",0,'Motor_Meciuri'!BT23)</x:f>
        <x:v>0</x:v>
      </x:c>
      <x:c r="AN246" s="2" t="str">
        <x:f>IF(M246="","",MAX(0,'Motor_Meciuri'!BF23-IF(L246&gt;'Config_v6'!$B$12,'Config_v6'!$B$37,IF(L246&gt;'Config_v6'!$B$11,'Config_v6'!$B$36,0))))</x:f>
      </x:c>
    </x:row>
    <x:row r="247" ht="21" customHeight="1">
      <x:c r="A247" s="2" t="n">
        <x:v>18</x:v>
      </x:c>
      <x:c r="B247" s="2" t="str">
        <x:f>IF('Motor_Meciuri'!A23="","",'Motor_Meciuri'!A23)</x:f>
      </x:c>
      <x:c r="C247" s="2" t="str">
        <x:f>IF(B247="","",'Motor_Meciuri'!B23)</x:f>
      </x:c>
      <x:c r="D247" s="2" t="str">
        <x:f>IF(B247="","",'Motor_Meciuri'!D23)</x:f>
      </x:c>
      <x:c r="E247" s="2" t="str">
        <x:f>IF(B247="","",'Motor_Meciuri'!E23)</x:f>
      </x:c>
      <x:c r="F247" s="2" t="str">
        <x:v>O6,5</x:v>
      </x:c>
      <x:c r="G247" s="2" t="str">
        <x:v>OVER</x:v>
      </x:c>
      <x:c r="H247" s="2" t="n">
        <x:v>6</x:v>
      </x:c>
      <x:c r="I247" s="2" t="str">
        <x:f>IF(B247="","",'Motor_Meciuri'!H23)</x:f>
      </x:c>
      <x:c r="J247" s="2" t="str">
        <x:f>IF(B247="","",'Motor_Meciuri'!I23)</x:f>
      </x:c>
      <x:c r="K247" s="11" t="str">
        <x:f>IF(J247&lt;&gt;"PASS","",'Motor_Meciuri'!BD23)</x:f>
      </x:c>
      <x:c r="L247" s="11" t="str">
        <x:f>IF(J247&lt;&gt;"PASS","",'Motor_Meciuri'!AU23)</x:f>
      </x:c>
      <x:c r="M247" s="10" t="str">
        <x:f>IF(NOT(AND(J247="PASS",'Calibrare_Linii'!U9="VALID")),"",1-'Distributie'!AD23)</x:f>
      </x:c>
      <x:c r="N247" s="10" t="str">
        <x:f>IF(M247="","",MAX(0.01,MIN(0.99,0.5+(M247-0.5)*'Motor_Meciuri'!BG23*'Calibrare_Linii'!D9)))</x:f>
      </x:c>
      <x:c r="O247" s="10" t="str">
        <x:f>IF(M247="","",1-M247)</x:f>
      </x:c>
      <x:c r="P247" s="10" t="str">
        <x:f>IF(OR(NOT(AND(J247="PASS",'Calibrare_Linii'!U9="VALID")),AK247=0),""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*('Istoric_Nativ'!$Q$6:$Q$405&lt;=H247))/AK247)</x:f>
      </x:c>
      <x:c r="Q247" s="10" t="str">
        <x:f>IF(OR(NOT(AND(J247="PASS",'Calibrare_Linii'!U9="VALID")),AL247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M23)+((('Istoric_Nativ'!$E$6:$E$405='Input_Meci'!E23)+('Istoric_Nativ'!$F$6:$F$405='Input_Meci'!E23))&gt;0)*('Istoric_Nativ'!$D$6:$D$405&gt;='Motor_Meciuri'!BN23))&gt;0)*('Istoric_Nativ'!$Q$6:$Q$405&lt;=H247))/AL247)</x:f>
      </x:c>
      <x:c r="R247" s="10" t="str">
        <x:f>IF(OR(NOT(AND(J247="PASS",'Calibrare_Linii'!U9="VALID")),AM247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O23)+((('Istoric_Nativ'!$E$6:$E$405='Input_Meci'!E23)+('Istoric_Nativ'!$F$6:$F$405='Input_Meci'!E23))&gt;0)*('Istoric_Nativ'!$D$6:$D$405&gt;='Motor_Meciuri'!BP23))&gt;0)*('Istoric_Nativ'!$Q$6:$Q$405&lt;=H247))/AM247)</x:f>
      </x:c>
      <x:c r="S247" s="10" t="str">
        <x:f>IF(M247="","",MAX(O247,P247,Q247,R247))</x:f>
      </x:c>
      <x:c r="T247" s="11" t="str">
        <x:f>IF(M247="","",MIN(100,S247*100*'Config_v6'!$B$44+MIN(100,L247/'Config_v6'!$B$13*100)*'Config_v6'!$B$45+(100-'Motor_Meciuri'!BF23)*'Config_v6'!$B$46+'Motor_Meciuri'!BH23*100*'Config_v6'!$B$47))</x:f>
      </x:c>
      <x:c r="U247" s="2" t="str">
        <x:f>IF(T247="","",IF(T247&lt;=20,1,IF(T247&lt;=40,2,IF(T247&lt;=60,3,IF(T247&lt;=80,4,5)))))</x:f>
      </x:c>
      <x:c r="V247" s="2" t="str">
        <x:f>IF(M247="","",MAX(0,'Motor_Meciuri'!BF23-IF(W247="OOS PENDING",'Config_v6'!$B$35,0)-IF(L247&gt;'Config_v6'!$B$12,'Config_v6'!$B$37,IF(L247&gt;'Config_v6'!$B$11,'Config_v6'!$B$36,0))))</x:f>
      </x:c>
      <x:c r="W247" s="2" t="str">
        <x:f>IF(B247="","",IF(I247&lt;&gt;"READY","NOT RELEASED",IF(NOT(AND(J247="PASS",'Calibrare_Linii'!U9="VALID")),"INVALID",IF(NOT(AND('Calibrare_Linii'!S9="VALIDATED",AND('Calibrare_Linii'!H9=C247,ISNUMBER('Calibrare_Linii'!J9),'Calibrare_Linii'!J9&lt;='Input_Meci'!G23))),"OOS PENDING",IF(S247&lt;='Calibrare_Linii'!E9,"PASS",IF(S247&lt;='Calibrare_Linii'!F9,"PENALTY","WATCH"))))))</x:f>
      </x:c>
      <x:c r="X247" s="2" t="str">
        <x:f>IF(M247="","",IF(AND(AND(J247="PASS",'Calibrare_Linii'!U9="VALID"),'Motor_Meciuri'!K23=12,'Motor_Meciuri'!L23=12,'Motor_Meciuri'!M23="NO",'Motor_Meciuri'!BL23='Motor_Meciuri'!C23,AB247&gt;='Config_v6'!$B$50,AN247&gt;='Config_v6'!$B$51,T247&lt;='Config_v6'!$B$52,L247&lt;='Config_v6'!$B$53,ISNUMBER('Calibrare_Linii'!E9),S247&lt;='Calibrare_Linii'!E9,SUM(AK247:AM247)&gt;0),"CANDIDATE","NO"))</x:f>
      </x:c>
      <x:c r="Y247" s="2" t="str">
        <x:f>IF(B247="","",IF(I247&lt;&gt;"READY","NOT RELEASED",IF(AND(X247="CANDIDATE",V247&gt;='Config_v6'!$B$51,W247="PASS",'Calibrare_Linii'!T9="VALIDATED",AND('Calibrare_Linii'!H9=C247,ISNUMBER('Calibrare_Linii'!J9),'Calibrare_Linii'!J9&lt;='Input_Meci'!G23)),"PASS",IF(X247="CANDIDATE","OOS PENDING","FAIL"))))</x:f>
      </x:c>
      <x:c r="Z247" s="2" t="str">
        <x:f>IF(B247="","",IF(I247&lt;&gt;"READY","",IF(OR(NOT(AND(J247="PASS",'Calibrare_Linii'!U9="VALID")),L247&gt;'Config_v6'!$B$13,W247="WATCH"),5,IF(Y247="PASS",1,MIN(5,MAX('Config_v6'!$B$42,U247)+IF(W247="PENALTY",1,0))))))</x:f>
      </x:c>
      <x:c r="AA247" s="2" t="str">
        <x:f>IF(B247="","",IF(I247&lt;&gt;"READY","NOT RELEASED",IF(Z247=5,"NO BET",IF(OR(AB247&lt;'Config_v6'!$B$16,V247&lt;'Config_v6'!$B$18),"WATCH",IF(Z247=1,"DEFENSIV",IF(Z247=2,"PRUDENT",IF(Z247=3,"MODERAT","RIDICAT")))))))</x:f>
      </x:c>
      <x:c r="AB247" s="10" t="str">
        <x:f>IF(N247="","",MIN(N247,1-S247))</x:f>
      </x:c>
      <x:c r="AC247" s="2" t="str">
        <x:f>IF(AD247&lt;&gt;1,"",COUNTIFS($Z$244:$Z$257,"&lt;"&amp;Z247,$AD$244:$AD$257,1)+COUNTIFS($Z$244:$Z$257,Z247,$AB$244:$AB$257,"&gt;"&amp;AB247,$AD$244:$AD$257,1)+COUNTIFS($Z$244:$Z$257,Z247,$AB$244:$AB$257,AB247,$V$244:$V$257,"&gt;"&amp;V247,$AD$244:$AD$257,1)+COUNTIFS($Z$244:Z247,Z247,$AB$244:AB247,AB247,$V$244:V247,V247,$AD$244:AD247,1))</x:f>
      </x:c>
      <x:c r="AD247" s="2" t="n">
        <x:f>IF(OR(AA247="DEFENSIV",AA247="PRUDENT",AA247="MODERAT",AA247="RIDICAT"),1,0)</x:f>
        <x:v>0</x:v>
      </x:c>
      <x:c r="AE247" s="2" t="str">
        <x:f>IF(AD247&lt;&gt;1,"NO",IF(W247="PASS","YES",IF(W247="OOS PENDING","CONDITIONAL","NO")))</x:f>
        <x:v>NO</x:v>
      </x:c>
      <x:c r="AF247" s="2" t="n">
        <x:f>IF(AND(AD247=1,AC247=1,E247="LIVE"),1,0)</x:f>
        <x:v>0</x:v>
      </x:c>
      <x:c r="AG247" s="2" t="str">
        <x:f>IF(AF247&lt;&gt;1,"",'Dashboard'!P43)</x:f>
      </x:c>
      <x:c r="AH247" s="2" t="str">
        <x:f>IF(B247="","",IF(J247&lt;&gt;"PASS",'Motor_Meciuri'!J23,IF('Calibrare_Linii'!U9&lt;&gt;"VALID","Parametri linie invalizi",IF(L247&gt;'Config_v6'!$B$13,"Dispersie peste limita",IF(W247="WATCH","Failure peste limita",IF(AB247&lt;'Config_v6'!$B$16,"P finala sub prag",IF(V247&lt;'Config_v6'!$B$18,"Confidence sub prag",IF(E247="REPLAY","Exemplu retrospectiv; exclus din Top LIVE",IF(Y247="PASS","DEFENSIV validat",IF(W247="OOS PENDING","Eligibil; calibrare linie in monitorizare","Eligibil"))))))))))</x:f>
      </x:c>
      <x:c r="AI247" s="2" t="str">
        <x:f>IF(B247="","",'Calibrare_Linii'!V9)</x:f>
      </x:c>
      <x:c r="AJ247" s="2" t="str">
        <x:f>IF(B247="","",IF(AND('Calibrare_Linii'!T9="VALIDATED",AND('Calibrare_Linii'!H9=C247,ISNUMBER('Calibrare_Linii'!J9),'Calibrare_Linii'!J9&lt;='Input_Meci'!G23)),"DEFENSIVE VALIDATED",IF(AND('Calibrare_Linii'!S9="VALIDATED",AND('Calibrare_Linii'!H9=C247,ISNUMBER('Calibrare_Linii'!J9),'Calibrare_Linii'!J9&lt;='Input_Meci'!G23)),"TAIL VALIDATED","OOS PENDING")))</x:f>
      </x:c>
      <x:c r="AK247" s="2" t="n">
        <x:f>IF(J247&lt;&gt;"PASS",0,'Motor_Meciuri'!BR23)</x:f>
        <x:v>0</x:v>
      </x:c>
      <x:c r="AL247" s="2" t="n">
        <x:f>IF(J247&lt;&gt;"PASS",0,'Motor_Meciuri'!BS23)</x:f>
        <x:v>0</x:v>
      </x:c>
      <x:c r="AM247" s="2" t="n">
        <x:f>IF(J247&lt;&gt;"PASS",0,'Motor_Meciuri'!BT23)</x:f>
        <x:v>0</x:v>
      </x:c>
      <x:c r="AN247" s="2" t="str">
        <x:f>IF(M247="","",MAX(0,'Motor_Meciuri'!BF23-IF(L247&gt;'Config_v6'!$B$12,'Config_v6'!$B$37,IF(L247&gt;'Config_v6'!$B$11,'Config_v6'!$B$36,0))))</x:f>
      </x:c>
    </x:row>
    <x:row r="248" ht="21" customHeight="1">
      <x:c r="A248" s="2" t="n">
        <x:v>18</x:v>
      </x:c>
      <x:c r="B248" s="2" t="str">
        <x:f>IF('Motor_Meciuri'!A23="","",'Motor_Meciuri'!A23)</x:f>
      </x:c>
      <x:c r="C248" s="2" t="str">
        <x:f>IF(B248="","",'Motor_Meciuri'!B23)</x:f>
      </x:c>
      <x:c r="D248" s="2" t="str">
        <x:f>IF(B248="","",'Motor_Meciuri'!D23)</x:f>
      </x:c>
      <x:c r="E248" s="2" t="str">
        <x:f>IF(B248="","",'Motor_Meciuri'!E23)</x:f>
      </x:c>
      <x:c r="F248" s="2" t="str">
        <x:v>O7,5</x:v>
      </x:c>
      <x:c r="G248" s="2" t="str">
        <x:v>OVER</x:v>
      </x:c>
      <x:c r="H248" s="2" t="n">
        <x:v>7</x:v>
      </x:c>
      <x:c r="I248" s="2" t="str">
        <x:f>IF(B248="","",'Motor_Meciuri'!H23)</x:f>
      </x:c>
      <x:c r="J248" s="2" t="str">
        <x:f>IF(B248="","",'Motor_Meciuri'!I23)</x:f>
      </x:c>
      <x:c r="K248" s="11" t="str">
        <x:f>IF(J248&lt;&gt;"PASS","",'Motor_Meciuri'!BD23)</x:f>
      </x:c>
      <x:c r="L248" s="11" t="str">
        <x:f>IF(J248&lt;&gt;"PASS","",'Motor_Meciuri'!AU23)</x:f>
      </x:c>
      <x:c r="M248" s="10" t="str">
        <x:f>IF(NOT(AND(J248="PASS",'Calibrare_Linii'!U10="VALID")),"",1-'Distributie'!AE23)</x:f>
      </x:c>
      <x:c r="N248" s="10" t="str">
        <x:f>IF(M248="","",MAX(0.01,MIN(0.99,0.5+(M248-0.5)*'Motor_Meciuri'!BG23*'Calibrare_Linii'!D10)))</x:f>
      </x:c>
      <x:c r="O248" s="10" t="str">
        <x:f>IF(M248="","",1-M248)</x:f>
      </x:c>
      <x:c r="P248" s="10" t="str">
        <x:f>IF(OR(NOT(AND(J248="PASS",'Calibrare_Linii'!U10="VALID")),AK248=0),""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*('Istoric_Nativ'!$Q$6:$Q$405&lt;=H248))/AK248)</x:f>
      </x:c>
      <x:c r="Q248" s="10" t="str">
        <x:f>IF(OR(NOT(AND(J248="PASS",'Calibrare_Linii'!U10="VALID")),AL248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M23)+((('Istoric_Nativ'!$E$6:$E$405='Input_Meci'!E23)+('Istoric_Nativ'!$F$6:$F$405='Input_Meci'!E23))&gt;0)*('Istoric_Nativ'!$D$6:$D$405&gt;='Motor_Meciuri'!BN23))&gt;0)*('Istoric_Nativ'!$Q$6:$Q$405&lt;=H248))/AL248)</x:f>
      </x:c>
      <x:c r="R248" s="10" t="str">
        <x:f>IF(OR(NOT(AND(J248="PASS",'Calibrare_Linii'!U10="VALID")),AM248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O23)+((('Istoric_Nativ'!$E$6:$E$405='Input_Meci'!E23)+('Istoric_Nativ'!$F$6:$F$405='Input_Meci'!E23))&gt;0)*('Istoric_Nativ'!$D$6:$D$405&gt;='Motor_Meciuri'!BP23))&gt;0)*('Istoric_Nativ'!$Q$6:$Q$405&lt;=H248))/AM248)</x:f>
      </x:c>
      <x:c r="S248" s="10" t="str">
        <x:f>IF(M248="","",MAX(O248,P248,Q248,R248))</x:f>
      </x:c>
      <x:c r="T248" s="11" t="str">
        <x:f>IF(M248="","",MIN(100,S248*100*'Config_v6'!$B$44+MIN(100,L248/'Config_v6'!$B$13*100)*'Config_v6'!$B$45+(100-'Motor_Meciuri'!BF23)*'Config_v6'!$B$46+'Motor_Meciuri'!BH23*100*'Config_v6'!$B$47))</x:f>
      </x:c>
      <x:c r="U248" s="2" t="str">
        <x:f>IF(T248="","",IF(T248&lt;=20,1,IF(T248&lt;=40,2,IF(T248&lt;=60,3,IF(T248&lt;=80,4,5)))))</x:f>
      </x:c>
      <x:c r="V248" s="2" t="str">
        <x:f>IF(M248="","",MAX(0,'Motor_Meciuri'!BF23-IF(W248="OOS PENDING",'Config_v6'!$B$35,0)-IF(L248&gt;'Config_v6'!$B$12,'Config_v6'!$B$37,IF(L248&gt;'Config_v6'!$B$11,'Config_v6'!$B$36,0))))</x:f>
      </x:c>
      <x:c r="W248" s="2" t="str">
        <x:f>IF(B248="","",IF(I248&lt;&gt;"READY","NOT RELEASED",IF(NOT(AND(J248="PASS",'Calibrare_Linii'!U10="VALID")),"INVALID",IF(NOT(AND('Calibrare_Linii'!S10="VALIDATED",AND('Calibrare_Linii'!H10=C248,ISNUMBER('Calibrare_Linii'!J10),'Calibrare_Linii'!J10&lt;='Input_Meci'!G23))),"OOS PENDING",IF(S248&lt;='Calibrare_Linii'!E10,"PASS",IF(S248&lt;='Calibrare_Linii'!F10,"PENALTY","WATCH"))))))</x:f>
      </x:c>
      <x:c r="X248" s="2" t="str">
        <x:f>IF(M248="","",IF(AND(AND(J248="PASS",'Calibrare_Linii'!U10="VALID"),'Motor_Meciuri'!K23=12,'Motor_Meciuri'!L23=12,'Motor_Meciuri'!M23="NO",'Motor_Meciuri'!BL23='Motor_Meciuri'!C23,AB248&gt;='Config_v6'!$B$50,AN248&gt;='Config_v6'!$B$51,T248&lt;='Config_v6'!$B$52,L248&lt;='Config_v6'!$B$53,ISNUMBER('Calibrare_Linii'!E10),S248&lt;='Calibrare_Linii'!E10,SUM(AK248:AM248)&gt;0),"CANDIDATE","NO"))</x:f>
      </x:c>
      <x:c r="Y248" s="2" t="str">
        <x:f>IF(B248="","",IF(I248&lt;&gt;"READY","NOT RELEASED",IF(AND(X248="CANDIDATE",V248&gt;='Config_v6'!$B$51,W248="PASS",'Calibrare_Linii'!T10="VALIDATED",AND('Calibrare_Linii'!H10=C248,ISNUMBER('Calibrare_Linii'!J10),'Calibrare_Linii'!J10&lt;='Input_Meci'!G23)),"PASS",IF(X248="CANDIDATE","OOS PENDING","FAIL"))))</x:f>
      </x:c>
      <x:c r="Z248" s="2" t="str">
        <x:f>IF(B248="","",IF(I248&lt;&gt;"READY","",IF(OR(NOT(AND(J248="PASS",'Calibrare_Linii'!U10="VALID")),L248&gt;'Config_v6'!$B$13,W248="WATCH"),5,IF(Y248="PASS",1,MIN(5,MAX('Config_v6'!$B$42,U248)+IF(W248="PENALTY",1,0))))))</x:f>
      </x:c>
      <x:c r="AA248" s="2" t="str">
        <x:f>IF(B248="","",IF(I248&lt;&gt;"READY","NOT RELEASED",IF(Z248=5,"NO BET",IF(OR(AB248&lt;'Config_v6'!$B$16,V248&lt;'Config_v6'!$B$18),"WATCH",IF(Z248=1,"DEFENSIV",IF(Z248=2,"PRUDENT",IF(Z248=3,"MODERAT","RIDICAT")))))))</x:f>
      </x:c>
      <x:c r="AB248" s="10" t="str">
        <x:f>IF(N248="","",MIN(N248,1-S248))</x:f>
      </x:c>
      <x:c r="AC248" s="2" t="str">
        <x:f>IF(AD248&lt;&gt;1,"",COUNTIFS($Z$244:$Z$257,"&lt;"&amp;Z248,$AD$244:$AD$257,1)+COUNTIFS($Z$244:$Z$257,Z248,$AB$244:$AB$257,"&gt;"&amp;AB248,$AD$244:$AD$257,1)+COUNTIFS($Z$244:$Z$257,Z248,$AB$244:$AB$257,AB248,$V$244:$V$257,"&gt;"&amp;V248,$AD$244:$AD$257,1)+COUNTIFS($Z$244:Z248,Z248,$AB$244:AB248,AB248,$V$244:V248,V248,$AD$244:AD248,1))</x:f>
      </x:c>
      <x:c r="AD248" s="2" t="n">
        <x:f>IF(OR(AA248="DEFENSIV",AA248="PRUDENT",AA248="MODERAT",AA248="RIDICAT"),1,0)</x:f>
        <x:v>0</x:v>
      </x:c>
      <x:c r="AE248" s="2" t="str">
        <x:f>IF(AD248&lt;&gt;1,"NO",IF(W248="PASS","YES",IF(W248="OOS PENDING","CONDITIONAL","NO")))</x:f>
        <x:v>NO</x:v>
      </x:c>
      <x:c r="AF248" s="2" t="n">
        <x:f>IF(AND(AD248=1,AC248=1,E248="LIVE"),1,0)</x:f>
        <x:v>0</x:v>
      </x:c>
      <x:c r="AG248" s="2" t="str">
        <x:f>IF(AF248&lt;&gt;1,"",'Dashboard'!P43)</x:f>
      </x:c>
      <x:c r="AH248" s="2" t="str">
        <x:f>IF(B248="","",IF(J248&lt;&gt;"PASS",'Motor_Meciuri'!J23,IF('Calibrare_Linii'!U10&lt;&gt;"VALID","Parametri linie invalizi",IF(L248&gt;'Config_v6'!$B$13,"Dispersie peste limita",IF(W248="WATCH","Failure peste limita",IF(AB248&lt;'Config_v6'!$B$16,"P finala sub prag",IF(V248&lt;'Config_v6'!$B$18,"Confidence sub prag",IF(E248="REPLAY","Exemplu retrospectiv; exclus din Top LIVE",IF(Y248="PASS","DEFENSIV validat",IF(W248="OOS PENDING","Eligibil; calibrare linie in monitorizare","Eligibil"))))))))))</x:f>
      </x:c>
      <x:c r="AI248" s="2" t="str">
        <x:f>IF(B248="","",'Calibrare_Linii'!V10)</x:f>
      </x:c>
      <x:c r="AJ248" s="2" t="str">
        <x:f>IF(B248="","",IF(AND('Calibrare_Linii'!T10="VALIDATED",AND('Calibrare_Linii'!H10=C248,ISNUMBER('Calibrare_Linii'!J10),'Calibrare_Linii'!J10&lt;='Input_Meci'!G23)),"DEFENSIVE VALIDATED",IF(AND('Calibrare_Linii'!S10="VALIDATED",AND('Calibrare_Linii'!H10=C248,ISNUMBER('Calibrare_Linii'!J10),'Calibrare_Linii'!J10&lt;='Input_Meci'!G23)),"TAIL VALIDATED","OOS PENDING")))</x:f>
      </x:c>
      <x:c r="AK248" s="2" t="n">
        <x:f>IF(J248&lt;&gt;"PASS",0,'Motor_Meciuri'!BR23)</x:f>
        <x:v>0</x:v>
      </x:c>
      <x:c r="AL248" s="2" t="n">
        <x:f>IF(J248&lt;&gt;"PASS",0,'Motor_Meciuri'!BS23)</x:f>
        <x:v>0</x:v>
      </x:c>
      <x:c r="AM248" s="2" t="n">
        <x:f>IF(J248&lt;&gt;"PASS",0,'Motor_Meciuri'!BT23)</x:f>
        <x:v>0</x:v>
      </x:c>
      <x:c r="AN248" s="2" t="str">
        <x:f>IF(M248="","",MAX(0,'Motor_Meciuri'!BF23-IF(L248&gt;'Config_v6'!$B$12,'Config_v6'!$B$37,IF(L248&gt;'Config_v6'!$B$11,'Config_v6'!$B$36,0))))</x:f>
      </x:c>
    </x:row>
    <x:row r="249" ht="21" customHeight="1">
      <x:c r="A249" s="2" t="n">
        <x:v>18</x:v>
      </x:c>
      <x:c r="B249" s="2" t="str">
        <x:f>IF('Motor_Meciuri'!A23="","",'Motor_Meciuri'!A23)</x:f>
      </x:c>
      <x:c r="C249" s="2" t="str">
        <x:f>IF(B249="","",'Motor_Meciuri'!B23)</x:f>
      </x:c>
      <x:c r="D249" s="2" t="str">
        <x:f>IF(B249="","",'Motor_Meciuri'!D23)</x:f>
      </x:c>
      <x:c r="E249" s="2" t="str">
        <x:f>IF(B249="","",'Motor_Meciuri'!E23)</x:f>
      </x:c>
      <x:c r="F249" s="2" t="str">
        <x:v>O8,5</x:v>
      </x:c>
      <x:c r="G249" s="2" t="str">
        <x:v>OVER</x:v>
      </x:c>
      <x:c r="H249" s="2" t="n">
        <x:v>8</x:v>
      </x:c>
      <x:c r="I249" s="2" t="str">
        <x:f>IF(B249="","",'Motor_Meciuri'!H23)</x:f>
      </x:c>
      <x:c r="J249" s="2" t="str">
        <x:f>IF(B249="","",'Motor_Meciuri'!I23)</x:f>
      </x:c>
      <x:c r="K249" s="11" t="str">
        <x:f>IF(J249&lt;&gt;"PASS","",'Motor_Meciuri'!BD23)</x:f>
      </x:c>
      <x:c r="L249" s="11" t="str">
        <x:f>IF(J249&lt;&gt;"PASS","",'Motor_Meciuri'!AU23)</x:f>
      </x:c>
      <x:c r="M249" s="10" t="str">
        <x:f>IF(NOT(AND(J249="PASS",'Calibrare_Linii'!U11="VALID")),"",1-'Distributie'!AF23)</x:f>
      </x:c>
      <x:c r="N249" s="10" t="str">
        <x:f>IF(M249="","",MAX(0.01,MIN(0.99,0.5+(M249-0.5)*'Motor_Meciuri'!BG23*'Calibrare_Linii'!D11)))</x:f>
      </x:c>
      <x:c r="O249" s="10" t="str">
        <x:f>IF(M249="","",1-M249)</x:f>
      </x:c>
      <x:c r="P249" s="10" t="str">
        <x:f>IF(OR(NOT(AND(J249="PASS",'Calibrare_Linii'!U11="VALID")),AK249=0),""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*('Istoric_Nativ'!$Q$6:$Q$405&lt;=H249))/AK249)</x:f>
      </x:c>
      <x:c r="Q249" s="10" t="str">
        <x:f>IF(OR(NOT(AND(J249="PASS",'Calibrare_Linii'!U11="VALID")),AL249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M23)+((('Istoric_Nativ'!$E$6:$E$405='Input_Meci'!E23)+('Istoric_Nativ'!$F$6:$F$405='Input_Meci'!E23))&gt;0)*('Istoric_Nativ'!$D$6:$D$405&gt;='Motor_Meciuri'!BN23))&gt;0)*('Istoric_Nativ'!$Q$6:$Q$405&lt;=H249))/AL249)</x:f>
      </x:c>
      <x:c r="R249" s="10" t="str">
        <x:f>IF(OR(NOT(AND(J249="PASS",'Calibrare_Linii'!U11="VALID")),AM249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O23)+((('Istoric_Nativ'!$E$6:$E$405='Input_Meci'!E23)+('Istoric_Nativ'!$F$6:$F$405='Input_Meci'!E23))&gt;0)*('Istoric_Nativ'!$D$6:$D$405&gt;='Motor_Meciuri'!BP23))&gt;0)*('Istoric_Nativ'!$Q$6:$Q$405&lt;=H249))/AM249)</x:f>
      </x:c>
      <x:c r="S249" s="10" t="str">
        <x:f>IF(M249="","",MAX(O249,P249,Q249,R249))</x:f>
      </x:c>
      <x:c r="T249" s="11" t="str">
        <x:f>IF(M249="","",MIN(100,S249*100*'Config_v6'!$B$44+MIN(100,L249/'Config_v6'!$B$13*100)*'Config_v6'!$B$45+(100-'Motor_Meciuri'!BF23)*'Config_v6'!$B$46+'Motor_Meciuri'!BH23*100*'Config_v6'!$B$47))</x:f>
      </x:c>
      <x:c r="U249" s="2" t="str">
        <x:f>IF(T249="","",IF(T249&lt;=20,1,IF(T249&lt;=40,2,IF(T249&lt;=60,3,IF(T249&lt;=80,4,5)))))</x:f>
      </x:c>
      <x:c r="V249" s="2" t="str">
        <x:f>IF(M249="","",MAX(0,'Motor_Meciuri'!BF23-IF(W249="OOS PENDING",'Config_v6'!$B$35,0)-IF(L249&gt;'Config_v6'!$B$12,'Config_v6'!$B$37,IF(L249&gt;'Config_v6'!$B$11,'Config_v6'!$B$36,0))))</x:f>
      </x:c>
      <x:c r="W249" s="2" t="str">
        <x:f>IF(B249="","",IF(I249&lt;&gt;"READY","NOT RELEASED",IF(NOT(AND(J249="PASS",'Calibrare_Linii'!U11="VALID")),"INVALID",IF(NOT(AND('Calibrare_Linii'!S11="VALIDATED",AND('Calibrare_Linii'!H11=C249,ISNUMBER('Calibrare_Linii'!J11),'Calibrare_Linii'!J11&lt;='Input_Meci'!G23))),"OOS PENDING",IF(S249&lt;='Calibrare_Linii'!E11,"PASS",IF(S249&lt;='Calibrare_Linii'!F11,"PENALTY","WATCH"))))))</x:f>
      </x:c>
      <x:c r="X249" s="2" t="str">
        <x:f>IF(M249="","",IF(AND(AND(J249="PASS",'Calibrare_Linii'!U11="VALID"),'Motor_Meciuri'!K23=12,'Motor_Meciuri'!L23=12,'Motor_Meciuri'!M23="NO",'Motor_Meciuri'!BL23='Motor_Meciuri'!C23,AB249&gt;='Config_v6'!$B$50,AN249&gt;='Config_v6'!$B$51,T249&lt;='Config_v6'!$B$52,L249&lt;='Config_v6'!$B$53,ISNUMBER('Calibrare_Linii'!E11),S249&lt;='Calibrare_Linii'!E11,SUM(AK249:AM249)&gt;0),"CANDIDATE","NO"))</x:f>
      </x:c>
      <x:c r="Y249" s="2" t="str">
        <x:f>IF(B249="","",IF(I249&lt;&gt;"READY","NOT RELEASED",IF(AND(X249="CANDIDATE",V249&gt;='Config_v6'!$B$51,W249="PASS",'Calibrare_Linii'!T11="VALIDATED",AND('Calibrare_Linii'!H11=C249,ISNUMBER('Calibrare_Linii'!J11),'Calibrare_Linii'!J11&lt;='Input_Meci'!G23)),"PASS",IF(X249="CANDIDATE","OOS PENDING","FAIL"))))</x:f>
      </x:c>
      <x:c r="Z249" s="2" t="str">
        <x:f>IF(B249="","",IF(I249&lt;&gt;"READY","",IF(OR(NOT(AND(J249="PASS",'Calibrare_Linii'!U11="VALID")),L249&gt;'Config_v6'!$B$13,W249="WATCH"),5,IF(Y249="PASS",1,MIN(5,MAX('Config_v6'!$B$42,U249)+IF(W249="PENALTY",1,0))))))</x:f>
      </x:c>
      <x:c r="AA249" s="2" t="str">
        <x:f>IF(B249="","",IF(I249&lt;&gt;"READY","NOT RELEASED",IF(Z249=5,"NO BET",IF(OR(AB249&lt;'Config_v6'!$B$16,V249&lt;'Config_v6'!$B$18),"WATCH",IF(Z249=1,"DEFENSIV",IF(Z249=2,"PRUDENT",IF(Z249=3,"MODERAT","RIDICAT")))))))</x:f>
      </x:c>
      <x:c r="AB249" s="10" t="str">
        <x:f>IF(N249="","",MIN(N249,1-S249))</x:f>
      </x:c>
      <x:c r="AC249" s="2" t="str">
        <x:f>IF(AD249&lt;&gt;1,"",COUNTIFS($Z$244:$Z$257,"&lt;"&amp;Z249,$AD$244:$AD$257,1)+COUNTIFS($Z$244:$Z$257,Z249,$AB$244:$AB$257,"&gt;"&amp;AB249,$AD$244:$AD$257,1)+COUNTIFS($Z$244:$Z$257,Z249,$AB$244:$AB$257,AB249,$V$244:$V$257,"&gt;"&amp;V249,$AD$244:$AD$257,1)+COUNTIFS($Z$244:Z249,Z249,$AB$244:AB249,AB249,$V$244:V249,V249,$AD$244:AD249,1))</x:f>
      </x:c>
      <x:c r="AD249" s="2" t="n">
        <x:f>IF(OR(AA249="DEFENSIV",AA249="PRUDENT",AA249="MODERAT",AA249="RIDICAT"),1,0)</x:f>
        <x:v>0</x:v>
      </x:c>
      <x:c r="AE249" s="2" t="str">
        <x:f>IF(AD249&lt;&gt;1,"NO",IF(W249="PASS","YES",IF(W249="OOS PENDING","CONDITIONAL","NO")))</x:f>
        <x:v>NO</x:v>
      </x:c>
      <x:c r="AF249" s="2" t="n">
        <x:f>IF(AND(AD249=1,AC249=1,E249="LIVE"),1,0)</x:f>
        <x:v>0</x:v>
      </x:c>
      <x:c r="AG249" s="2" t="str">
        <x:f>IF(AF249&lt;&gt;1,"",'Dashboard'!P43)</x:f>
      </x:c>
      <x:c r="AH249" s="2" t="str">
        <x:f>IF(B249="","",IF(J249&lt;&gt;"PASS",'Motor_Meciuri'!J23,IF('Calibrare_Linii'!U11&lt;&gt;"VALID","Parametri linie invalizi",IF(L249&gt;'Config_v6'!$B$13,"Dispersie peste limita",IF(W249="WATCH","Failure peste limita",IF(AB249&lt;'Config_v6'!$B$16,"P finala sub prag",IF(V249&lt;'Config_v6'!$B$18,"Confidence sub prag",IF(E249="REPLAY","Exemplu retrospectiv; exclus din Top LIVE",IF(Y249="PASS","DEFENSIV validat",IF(W249="OOS PENDING","Eligibil; calibrare linie in monitorizare","Eligibil"))))))))))</x:f>
      </x:c>
      <x:c r="AI249" s="2" t="str">
        <x:f>IF(B249="","",'Calibrare_Linii'!V11)</x:f>
      </x:c>
      <x:c r="AJ249" s="2" t="str">
        <x:f>IF(B249="","",IF(AND('Calibrare_Linii'!T11="VALIDATED",AND('Calibrare_Linii'!H11=C249,ISNUMBER('Calibrare_Linii'!J11),'Calibrare_Linii'!J11&lt;='Input_Meci'!G23)),"DEFENSIVE VALIDATED",IF(AND('Calibrare_Linii'!S11="VALIDATED",AND('Calibrare_Linii'!H11=C249,ISNUMBER('Calibrare_Linii'!J11),'Calibrare_Linii'!J11&lt;='Input_Meci'!G23)),"TAIL VALIDATED","OOS PENDING")))</x:f>
      </x:c>
      <x:c r="AK249" s="2" t="n">
        <x:f>IF(J249&lt;&gt;"PASS",0,'Motor_Meciuri'!BR23)</x:f>
        <x:v>0</x:v>
      </x:c>
      <x:c r="AL249" s="2" t="n">
        <x:f>IF(J249&lt;&gt;"PASS",0,'Motor_Meciuri'!BS23)</x:f>
        <x:v>0</x:v>
      </x:c>
      <x:c r="AM249" s="2" t="n">
        <x:f>IF(J249&lt;&gt;"PASS",0,'Motor_Meciuri'!BT23)</x:f>
        <x:v>0</x:v>
      </x:c>
      <x:c r="AN249" s="2" t="str">
        <x:f>IF(M249="","",MAX(0,'Motor_Meciuri'!BF23-IF(L249&gt;'Config_v6'!$B$12,'Config_v6'!$B$37,IF(L249&gt;'Config_v6'!$B$11,'Config_v6'!$B$36,0))))</x:f>
      </x:c>
    </x:row>
    <x:row r="250" ht="21" customHeight="1">
      <x:c r="A250" s="2" t="n">
        <x:v>18</x:v>
      </x:c>
      <x:c r="B250" s="2" t="str">
        <x:f>IF('Motor_Meciuri'!A23="","",'Motor_Meciuri'!A23)</x:f>
      </x:c>
      <x:c r="C250" s="2" t="str">
        <x:f>IF(B250="","",'Motor_Meciuri'!B23)</x:f>
      </x:c>
      <x:c r="D250" s="2" t="str">
        <x:f>IF(B250="","",'Motor_Meciuri'!D23)</x:f>
      </x:c>
      <x:c r="E250" s="2" t="str">
        <x:f>IF(B250="","",'Motor_Meciuri'!E23)</x:f>
      </x:c>
      <x:c r="F250" s="2" t="str">
        <x:v>U10,5</x:v>
      </x:c>
      <x:c r="G250" s="2" t="str">
        <x:v>UNDER</x:v>
      </x:c>
      <x:c r="H250" s="2" t="n">
        <x:v>10</x:v>
      </x:c>
      <x:c r="I250" s="2" t="str">
        <x:f>IF(B250="","",'Motor_Meciuri'!H23)</x:f>
      </x:c>
      <x:c r="J250" s="2" t="str">
        <x:f>IF(B250="","",'Motor_Meciuri'!I23)</x:f>
      </x:c>
      <x:c r="K250" s="11" t="str">
        <x:f>IF(J250&lt;&gt;"PASS","",'Motor_Meciuri'!BD23)</x:f>
      </x:c>
      <x:c r="L250" s="11" t="str">
        <x:f>IF(J250&lt;&gt;"PASS","",'Motor_Meciuri'!AU23)</x:f>
      </x:c>
      <x:c r="M250" s="10" t="str">
        <x:f>IF(NOT(AND(J250="PASS",'Calibrare_Linii'!U12="VALID")),"",'Distributie'!AH23)</x:f>
      </x:c>
      <x:c r="N250" s="10" t="str">
        <x:f>IF(M250="","",MAX(0.01,MIN(0.99,0.5+(M250-0.5)*'Motor_Meciuri'!BG23*'Calibrare_Linii'!D12)))</x:f>
      </x:c>
      <x:c r="O250" s="10" t="str">
        <x:f>IF(M250="","",1-M250)</x:f>
      </x:c>
      <x:c r="P250" s="10" t="str">
        <x:f>IF(OR(NOT(AND(J250="PASS",'Calibrare_Linii'!U12="VALID")),AK250=0),""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*('Istoric_Nativ'!$Q$6:$Q$405&gt;H250))/AK250)</x:f>
      </x:c>
      <x:c r="Q250" s="10" t="str">
        <x:f>IF(OR(NOT(AND(J250="PASS",'Calibrare_Linii'!U12="VALID")),AL250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M23)+((('Istoric_Nativ'!$E$6:$E$405='Input_Meci'!E23)+('Istoric_Nativ'!$F$6:$F$405='Input_Meci'!E23))&gt;0)*('Istoric_Nativ'!$D$6:$D$405&gt;='Motor_Meciuri'!BN23))&gt;0)*('Istoric_Nativ'!$Q$6:$Q$405&gt;H250))/AL250)</x:f>
      </x:c>
      <x:c r="R250" s="10" t="str">
        <x:f>IF(OR(NOT(AND(J250="PASS",'Calibrare_Linii'!U12="VALID")),AM250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O23)+((('Istoric_Nativ'!$E$6:$E$405='Input_Meci'!E23)+('Istoric_Nativ'!$F$6:$F$405='Input_Meci'!E23))&gt;0)*('Istoric_Nativ'!$D$6:$D$405&gt;='Motor_Meciuri'!BP23))&gt;0)*('Istoric_Nativ'!$Q$6:$Q$405&gt;H250))/AM250)</x:f>
      </x:c>
      <x:c r="S250" s="10" t="str">
        <x:f>IF(M250="","",MAX(O250,P250,Q250,R250))</x:f>
      </x:c>
      <x:c r="T250" s="11" t="str">
        <x:f>IF(M250="","",MIN(100,S250*100*'Config_v6'!$B$44+MIN(100,L250/'Config_v6'!$B$13*100)*'Config_v6'!$B$45+(100-'Motor_Meciuri'!BF23)*'Config_v6'!$B$46+'Motor_Meciuri'!BH23*100*'Config_v6'!$B$47))</x:f>
      </x:c>
      <x:c r="U250" s="2" t="str">
        <x:f>IF(T250="","",IF(T250&lt;=20,1,IF(T250&lt;=40,2,IF(T250&lt;=60,3,IF(T250&lt;=80,4,5)))))</x:f>
      </x:c>
      <x:c r="V250" s="2" t="str">
        <x:f>IF(M250="","",MAX(0,'Motor_Meciuri'!BF23-IF(W250="OOS PENDING",'Config_v6'!$B$35,0)-IF(L250&gt;'Config_v6'!$B$12,'Config_v6'!$B$37,IF(L250&gt;'Config_v6'!$B$11,'Config_v6'!$B$36,0))))</x:f>
      </x:c>
      <x:c r="W250" s="2" t="str">
        <x:f>IF(B250="","",IF(I250&lt;&gt;"READY","NOT RELEASED",IF(NOT(AND(J250="PASS",'Calibrare_Linii'!U12="VALID")),"INVALID",IF(NOT(AND('Calibrare_Linii'!S12="VALIDATED",AND('Calibrare_Linii'!H12=C250,ISNUMBER('Calibrare_Linii'!J12),'Calibrare_Linii'!J12&lt;='Input_Meci'!G23))),"OOS PENDING",IF(S250&lt;='Calibrare_Linii'!E12,"PASS",IF(S250&lt;='Calibrare_Linii'!F12,"PENALTY","WATCH"))))))</x:f>
      </x:c>
      <x:c r="X250" s="2" t="str">
        <x:f>IF(M250="","",IF(AND(AND(J250="PASS",'Calibrare_Linii'!U12="VALID"),'Motor_Meciuri'!K23=12,'Motor_Meciuri'!L23=12,'Motor_Meciuri'!M23="NO",'Motor_Meciuri'!BL23='Motor_Meciuri'!C23,AB250&gt;='Config_v6'!$B$50,AN250&gt;='Config_v6'!$B$51,T250&lt;='Config_v6'!$B$52,L250&lt;='Config_v6'!$B$53,ISNUMBER('Calibrare_Linii'!E12),S250&lt;='Calibrare_Linii'!E12,SUM(AK250:AM250)&gt;0),"CANDIDATE","NO"))</x:f>
      </x:c>
      <x:c r="Y250" s="2" t="str">
        <x:f>IF(B250="","",IF(I250&lt;&gt;"READY","NOT RELEASED",IF(AND(X250="CANDIDATE",V250&gt;='Config_v6'!$B$51,W250="PASS",'Calibrare_Linii'!T12="VALIDATED",AND('Calibrare_Linii'!H12=C250,ISNUMBER('Calibrare_Linii'!J12),'Calibrare_Linii'!J12&lt;='Input_Meci'!G23)),"PASS",IF(X250="CANDIDATE","OOS PENDING","FAIL"))))</x:f>
      </x:c>
      <x:c r="Z250" s="2" t="str">
        <x:f>IF(B250="","",IF(I250&lt;&gt;"READY","",IF(OR(NOT(AND(J250="PASS",'Calibrare_Linii'!U12="VALID")),L250&gt;'Config_v6'!$B$13,W250="WATCH"),5,IF(Y250="PASS",1,MIN(5,MAX('Config_v6'!$B$42,U250)+IF(W250="PENALTY",1,0))))))</x:f>
      </x:c>
      <x:c r="AA250" s="2" t="str">
        <x:f>IF(B250="","",IF(I250&lt;&gt;"READY","NOT RELEASED",IF(Z250=5,"NO BET",IF(OR(AB250&lt;'Config_v6'!$B$16,V250&lt;'Config_v6'!$B$18),"WATCH",IF(Z250=1,"DEFENSIV",IF(Z250=2,"PRUDENT",IF(Z250=3,"MODERAT","RIDICAT")))))))</x:f>
      </x:c>
      <x:c r="AB250" s="10" t="str">
        <x:f>IF(N250="","",MIN(N250,1-S250))</x:f>
      </x:c>
      <x:c r="AC250" s="2" t="str">
        <x:f>IF(AD250&lt;&gt;1,"",COUNTIFS($Z$244:$Z$257,"&lt;"&amp;Z250,$AD$244:$AD$257,1)+COUNTIFS($Z$244:$Z$257,Z250,$AB$244:$AB$257,"&gt;"&amp;AB250,$AD$244:$AD$257,1)+COUNTIFS($Z$244:$Z$257,Z250,$AB$244:$AB$257,AB250,$V$244:$V$257,"&gt;"&amp;V250,$AD$244:$AD$257,1)+COUNTIFS($Z$244:Z250,Z250,$AB$244:AB250,AB250,$V$244:V250,V250,$AD$244:AD250,1))</x:f>
      </x:c>
      <x:c r="AD250" s="2" t="n">
        <x:f>IF(OR(AA250="DEFENSIV",AA250="PRUDENT",AA250="MODERAT",AA250="RIDICAT"),1,0)</x:f>
        <x:v>0</x:v>
      </x:c>
      <x:c r="AE250" s="2" t="str">
        <x:f>IF(AD250&lt;&gt;1,"NO",IF(W250="PASS","YES",IF(W250="OOS PENDING","CONDITIONAL","NO")))</x:f>
        <x:v>NO</x:v>
      </x:c>
      <x:c r="AF250" s="2" t="n">
        <x:f>IF(AND(AD250=1,AC250=1,E250="LIVE"),1,0)</x:f>
        <x:v>0</x:v>
      </x:c>
      <x:c r="AG250" s="2" t="str">
        <x:f>IF(AF250&lt;&gt;1,"",'Dashboard'!P43)</x:f>
      </x:c>
      <x:c r="AH250" s="2" t="str">
        <x:f>IF(B250="","",IF(J250&lt;&gt;"PASS",'Motor_Meciuri'!J23,IF('Calibrare_Linii'!U12&lt;&gt;"VALID","Parametri linie invalizi",IF(L250&gt;'Config_v6'!$B$13,"Dispersie peste limita",IF(W250="WATCH","Failure peste limita",IF(AB250&lt;'Config_v6'!$B$16,"P finala sub prag",IF(V250&lt;'Config_v6'!$B$18,"Confidence sub prag",IF(E250="REPLAY","Exemplu retrospectiv; exclus din Top LIVE",IF(Y250="PASS","DEFENSIV validat",IF(W250="OOS PENDING","Eligibil; calibrare linie in monitorizare","Eligibil"))))))))))</x:f>
      </x:c>
      <x:c r="AI250" s="2" t="str">
        <x:f>IF(B250="","",'Calibrare_Linii'!V12)</x:f>
      </x:c>
      <x:c r="AJ250" s="2" t="str">
        <x:f>IF(B250="","",IF(AND('Calibrare_Linii'!T12="VALIDATED",AND('Calibrare_Linii'!H12=C250,ISNUMBER('Calibrare_Linii'!J12),'Calibrare_Linii'!J12&lt;='Input_Meci'!G23)),"DEFENSIVE VALIDATED",IF(AND('Calibrare_Linii'!S12="VALIDATED",AND('Calibrare_Linii'!H12=C250,ISNUMBER('Calibrare_Linii'!J12),'Calibrare_Linii'!J12&lt;='Input_Meci'!G23)),"TAIL VALIDATED","OOS PENDING")))</x:f>
      </x:c>
      <x:c r="AK250" s="2" t="n">
        <x:f>IF(J250&lt;&gt;"PASS",0,'Motor_Meciuri'!BR23)</x:f>
        <x:v>0</x:v>
      </x:c>
      <x:c r="AL250" s="2" t="n">
        <x:f>IF(J250&lt;&gt;"PASS",0,'Motor_Meciuri'!BS23)</x:f>
        <x:v>0</x:v>
      </x:c>
      <x:c r="AM250" s="2" t="n">
        <x:f>IF(J250&lt;&gt;"PASS",0,'Motor_Meciuri'!BT23)</x:f>
        <x:v>0</x:v>
      </x:c>
      <x:c r="AN250" s="2" t="str">
        <x:f>IF(M250="","",MAX(0,'Motor_Meciuri'!BF23-IF(L250&gt;'Config_v6'!$B$12,'Config_v6'!$B$37,IF(L250&gt;'Config_v6'!$B$11,'Config_v6'!$B$36,0))))</x:f>
      </x:c>
    </x:row>
    <x:row r="251" ht="21" customHeight="1">
      <x:c r="A251" s="2" t="n">
        <x:v>18</x:v>
      </x:c>
      <x:c r="B251" s="2" t="str">
        <x:f>IF('Motor_Meciuri'!A23="","",'Motor_Meciuri'!A23)</x:f>
      </x:c>
      <x:c r="C251" s="2" t="str">
        <x:f>IF(B251="","",'Motor_Meciuri'!B23)</x:f>
      </x:c>
      <x:c r="D251" s="2" t="str">
        <x:f>IF(B251="","",'Motor_Meciuri'!D23)</x:f>
      </x:c>
      <x:c r="E251" s="2" t="str">
        <x:f>IF(B251="","",'Motor_Meciuri'!E23)</x:f>
      </x:c>
      <x:c r="F251" s="2" t="str">
        <x:v>U11,5</x:v>
      </x:c>
      <x:c r="G251" s="2" t="str">
        <x:v>UNDER</x:v>
      </x:c>
      <x:c r="H251" s="2" t="n">
        <x:v>11</x:v>
      </x:c>
      <x:c r="I251" s="2" t="str">
        <x:f>IF(B251="","",'Motor_Meciuri'!H23)</x:f>
      </x:c>
      <x:c r="J251" s="2" t="str">
        <x:f>IF(B251="","",'Motor_Meciuri'!I23)</x:f>
      </x:c>
      <x:c r="K251" s="11" t="str">
        <x:f>IF(J251&lt;&gt;"PASS","",'Motor_Meciuri'!BD23)</x:f>
      </x:c>
      <x:c r="L251" s="11" t="str">
        <x:f>IF(J251&lt;&gt;"PASS","",'Motor_Meciuri'!AU23)</x:f>
      </x:c>
      <x:c r="M251" s="10" t="str">
        <x:f>IF(NOT(AND(J251="PASS",'Calibrare_Linii'!U13="VALID")),"",'Distributie'!AI23)</x:f>
      </x:c>
      <x:c r="N251" s="10" t="str">
        <x:f>IF(M251="","",MAX(0.01,MIN(0.99,0.5+(M251-0.5)*'Motor_Meciuri'!BG23*'Calibrare_Linii'!D13)))</x:f>
      </x:c>
      <x:c r="O251" s="10" t="str">
        <x:f>IF(M251="","",1-M251)</x:f>
      </x:c>
      <x:c r="P251" s="10" t="str">
        <x:f>IF(OR(NOT(AND(J251="PASS",'Calibrare_Linii'!U13="VALID")),AK251=0),""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*('Istoric_Nativ'!$Q$6:$Q$405&gt;H251))/AK251)</x:f>
      </x:c>
      <x:c r="Q251" s="10" t="str">
        <x:f>IF(OR(NOT(AND(J251="PASS",'Calibrare_Linii'!U13="VALID")),AL251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M23)+((('Istoric_Nativ'!$E$6:$E$405='Input_Meci'!E23)+('Istoric_Nativ'!$F$6:$F$405='Input_Meci'!E23))&gt;0)*('Istoric_Nativ'!$D$6:$D$405&gt;='Motor_Meciuri'!BN23))&gt;0)*('Istoric_Nativ'!$Q$6:$Q$405&gt;H251))/AL251)</x:f>
      </x:c>
      <x:c r="R251" s="10" t="str">
        <x:f>IF(OR(NOT(AND(J251="PASS",'Calibrare_Linii'!U13="VALID")),AM251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O23)+((('Istoric_Nativ'!$E$6:$E$405='Input_Meci'!E23)+('Istoric_Nativ'!$F$6:$F$405='Input_Meci'!E23))&gt;0)*('Istoric_Nativ'!$D$6:$D$405&gt;='Motor_Meciuri'!BP23))&gt;0)*('Istoric_Nativ'!$Q$6:$Q$405&gt;H251))/AM251)</x:f>
      </x:c>
      <x:c r="S251" s="10" t="str">
        <x:f>IF(M251="","",MAX(O251,P251,Q251,R251))</x:f>
      </x:c>
      <x:c r="T251" s="11" t="str">
        <x:f>IF(M251="","",MIN(100,S251*100*'Config_v6'!$B$44+MIN(100,L251/'Config_v6'!$B$13*100)*'Config_v6'!$B$45+(100-'Motor_Meciuri'!BF23)*'Config_v6'!$B$46+'Motor_Meciuri'!BH23*100*'Config_v6'!$B$47))</x:f>
      </x:c>
      <x:c r="U251" s="2" t="str">
        <x:f>IF(T251="","",IF(T251&lt;=20,1,IF(T251&lt;=40,2,IF(T251&lt;=60,3,IF(T251&lt;=80,4,5)))))</x:f>
      </x:c>
      <x:c r="V251" s="2" t="str">
        <x:f>IF(M251="","",MAX(0,'Motor_Meciuri'!BF23-IF(W251="OOS PENDING",'Config_v6'!$B$35,0)-IF(L251&gt;'Config_v6'!$B$12,'Config_v6'!$B$37,IF(L251&gt;'Config_v6'!$B$11,'Config_v6'!$B$36,0))))</x:f>
      </x:c>
      <x:c r="W251" s="2" t="str">
        <x:f>IF(B251="","",IF(I251&lt;&gt;"READY","NOT RELEASED",IF(NOT(AND(J251="PASS",'Calibrare_Linii'!U13="VALID")),"INVALID",IF(NOT(AND('Calibrare_Linii'!S13="VALIDATED",AND('Calibrare_Linii'!H13=C251,ISNUMBER('Calibrare_Linii'!J13),'Calibrare_Linii'!J13&lt;='Input_Meci'!G23))),"OOS PENDING",IF(S251&lt;='Calibrare_Linii'!E13,"PASS",IF(S251&lt;='Calibrare_Linii'!F13,"PENALTY","WATCH"))))))</x:f>
      </x:c>
      <x:c r="X251" s="2" t="str">
        <x:f>IF(M251="","",IF(AND(AND(J251="PASS",'Calibrare_Linii'!U13="VALID"),'Motor_Meciuri'!K23=12,'Motor_Meciuri'!L23=12,'Motor_Meciuri'!M23="NO",'Motor_Meciuri'!BL23='Motor_Meciuri'!C23,AB251&gt;='Config_v6'!$B$50,AN251&gt;='Config_v6'!$B$51,T251&lt;='Config_v6'!$B$52,L251&lt;='Config_v6'!$B$53,ISNUMBER('Calibrare_Linii'!E13),S251&lt;='Calibrare_Linii'!E13,SUM(AK251:AM251)&gt;0),"CANDIDATE","NO"))</x:f>
      </x:c>
      <x:c r="Y251" s="2" t="str">
        <x:f>IF(B251="","",IF(I251&lt;&gt;"READY","NOT RELEASED",IF(AND(X251="CANDIDATE",V251&gt;='Config_v6'!$B$51,W251="PASS",'Calibrare_Linii'!T13="VALIDATED",AND('Calibrare_Linii'!H13=C251,ISNUMBER('Calibrare_Linii'!J13),'Calibrare_Linii'!J13&lt;='Input_Meci'!G23)),"PASS",IF(X251="CANDIDATE","OOS PENDING","FAIL"))))</x:f>
      </x:c>
      <x:c r="Z251" s="2" t="str">
        <x:f>IF(B251="","",IF(I251&lt;&gt;"READY","",IF(OR(NOT(AND(J251="PASS",'Calibrare_Linii'!U13="VALID")),L251&gt;'Config_v6'!$B$13,W251="WATCH"),5,IF(Y251="PASS",1,MIN(5,MAX('Config_v6'!$B$42,U251)+IF(W251="PENALTY",1,0))))))</x:f>
      </x:c>
      <x:c r="AA251" s="2" t="str">
        <x:f>IF(B251="","",IF(I251&lt;&gt;"READY","NOT RELEASED",IF(Z251=5,"NO BET",IF(OR(AB251&lt;'Config_v6'!$B$16,V251&lt;'Config_v6'!$B$18),"WATCH",IF(Z251=1,"DEFENSIV",IF(Z251=2,"PRUDENT",IF(Z251=3,"MODERAT","RIDICAT")))))))</x:f>
      </x:c>
      <x:c r="AB251" s="10" t="str">
        <x:f>IF(N251="","",MIN(N251,1-S251))</x:f>
      </x:c>
      <x:c r="AC251" s="2" t="str">
        <x:f>IF(AD251&lt;&gt;1,"",COUNTIFS($Z$244:$Z$257,"&lt;"&amp;Z251,$AD$244:$AD$257,1)+COUNTIFS($Z$244:$Z$257,Z251,$AB$244:$AB$257,"&gt;"&amp;AB251,$AD$244:$AD$257,1)+COUNTIFS($Z$244:$Z$257,Z251,$AB$244:$AB$257,AB251,$V$244:$V$257,"&gt;"&amp;V251,$AD$244:$AD$257,1)+COUNTIFS($Z$244:Z251,Z251,$AB$244:AB251,AB251,$V$244:V251,V251,$AD$244:AD251,1))</x:f>
      </x:c>
      <x:c r="AD251" s="2" t="n">
        <x:f>IF(OR(AA251="DEFENSIV",AA251="PRUDENT",AA251="MODERAT",AA251="RIDICAT"),1,0)</x:f>
        <x:v>0</x:v>
      </x:c>
      <x:c r="AE251" s="2" t="str">
        <x:f>IF(AD251&lt;&gt;1,"NO",IF(W251="PASS","YES",IF(W251="OOS PENDING","CONDITIONAL","NO")))</x:f>
        <x:v>NO</x:v>
      </x:c>
      <x:c r="AF251" s="2" t="n">
        <x:f>IF(AND(AD251=1,AC251=1,E251="LIVE"),1,0)</x:f>
        <x:v>0</x:v>
      </x:c>
      <x:c r="AG251" s="2" t="str">
        <x:f>IF(AF251&lt;&gt;1,"",'Dashboard'!P43)</x:f>
      </x:c>
      <x:c r="AH251" s="2" t="str">
        <x:f>IF(B251="","",IF(J251&lt;&gt;"PASS",'Motor_Meciuri'!J23,IF('Calibrare_Linii'!U13&lt;&gt;"VALID","Parametri linie invalizi",IF(L251&gt;'Config_v6'!$B$13,"Dispersie peste limita",IF(W251="WATCH","Failure peste limita",IF(AB251&lt;'Config_v6'!$B$16,"P finala sub prag",IF(V251&lt;'Config_v6'!$B$18,"Confidence sub prag",IF(E251="REPLAY","Exemplu retrospectiv; exclus din Top LIVE",IF(Y251="PASS","DEFENSIV validat",IF(W251="OOS PENDING","Eligibil; calibrare linie in monitorizare","Eligibil"))))))))))</x:f>
      </x:c>
      <x:c r="AI251" s="2" t="str">
        <x:f>IF(B251="","",'Calibrare_Linii'!V13)</x:f>
      </x:c>
      <x:c r="AJ251" s="2" t="str">
        <x:f>IF(B251="","",IF(AND('Calibrare_Linii'!T13="VALIDATED",AND('Calibrare_Linii'!H13=C251,ISNUMBER('Calibrare_Linii'!J13),'Calibrare_Linii'!J13&lt;='Input_Meci'!G23)),"DEFENSIVE VALIDATED",IF(AND('Calibrare_Linii'!S13="VALIDATED",AND('Calibrare_Linii'!H13=C251,ISNUMBER('Calibrare_Linii'!J13),'Calibrare_Linii'!J13&lt;='Input_Meci'!G23)),"TAIL VALIDATED","OOS PENDING")))</x:f>
      </x:c>
      <x:c r="AK251" s="2" t="n">
        <x:f>IF(J251&lt;&gt;"PASS",0,'Motor_Meciuri'!BR23)</x:f>
        <x:v>0</x:v>
      </x:c>
      <x:c r="AL251" s="2" t="n">
        <x:f>IF(J251&lt;&gt;"PASS",0,'Motor_Meciuri'!BS23)</x:f>
        <x:v>0</x:v>
      </x:c>
      <x:c r="AM251" s="2" t="n">
        <x:f>IF(J251&lt;&gt;"PASS",0,'Motor_Meciuri'!BT23)</x:f>
        <x:v>0</x:v>
      </x:c>
      <x:c r="AN251" s="2" t="str">
        <x:f>IF(M251="","",MAX(0,'Motor_Meciuri'!BF23-IF(L251&gt;'Config_v6'!$B$12,'Config_v6'!$B$37,IF(L251&gt;'Config_v6'!$B$11,'Config_v6'!$B$36,0))))</x:f>
      </x:c>
    </x:row>
    <x:row r="252" ht="21" customHeight="1">
      <x:c r="A252" s="2" t="n">
        <x:v>18</x:v>
      </x:c>
      <x:c r="B252" s="2" t="str">
        <x:f>IF('Motor_Meciuri'!A23="","",'Motor_Meciuri'!A23)</x:f>
      </x:c>
      <x:c r="C252" s="2" t="str">
        <x:f>IF(B252="","",'Motor_Meciuri'!B23)</x:f>
      </x:c>
      <x:c r="D252" s="2" t="str">
        <x:f>IF(B252="","",'Motor_Meciuri'!D23)</x:f>
      </x:c>
      <x:c r="E252" s="2" t="str">
        <x:f>IF(B252="","",'Motor_Meciuri'!E23)</x:f>
      </x:c>
      <x:c r="F252" s="2" t="str">
        <x:v>U12,5</x:v>
      </x:c>
      <x:c r="G252" s="2" t="str">
        <x:v>UNDER</x:v>
      </x:c>
      <x:c r="H252" s="2" t="n">
        <x:v>12</x:v>
      </x:c>
      <x:c r="I252" s="2" t="str">
        <x:f>IF(B252="","",'Motor_Meciuri'!H23)</x:f>
      </x:c>
      <x:c r="J252" s="2" t="str">
        <x:f>IF(B252="","",'Motor_Meciuri'!I23)</x:f>
      </x:c>
      <x:c r="K252" s="11" t="str">
        <x:f>IF(J252&lt;&gt;"PASS","",'Motor_Meciuri'!BD23)</x:f>
      </x:c>
      <x:c r="L252" s="11" t="str">
        <x:f>IF(J252&lt;&gt;"PASS","",'Motor_Meciuri'!AU23)</x:f>
      </x:c>
      <x:c r="M252" s="10" t="str">
        <x:f>IF(NOT(AND(J252="PASS",'Calibrare_Linii'!U14="VALID")),"",'Distributie'!AJ23)</x:f>
      </x:c>
      <x:c r="N252" s="10" t="str">
        <x:f>IF(M252="","",MAX(0.01,MIN(0.99,0.5+(M252-0.5)*'Motor_Meciuri'!BG23*'Calibrare_Linii'!D14)))</x:f>
      </x:c>
      <x:c r="O252" s="10" t="str">
        <x:f>IF(M252="","",1-M252)</x:f>
      </x:c>
      <x:c r="P252" s="10" t="str">
        <x:f>IF(OR(NOT(AND(J252="PASS",'Calibrare_Linii'!U14="VALID")),AK252=0),""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*('Istoric_Nativ'!$Q$6:$Q$405&gt;H252))/AK252)</x:f>
      </x:c>
      <x:c r="Q252" s="10" t="str">
        <x:f>IF(OR(NOT(AND(J252="PASS",'Calibrare_Linii'!U14="VALID")),AL252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M23)+((('Istoric_Nativ'!$E$6:$E$405='Input_Meci'!E23)+('Istoric_Nativ'!$F$6:$F$405='Input_Meci'!E23))&gt;0)*('Istoric_Nativ'!$D$6:$D$405&gt;='Motor_Meciuri'!BN23))&gt;0)*('Istoric_Nativ'!$Q$6:$Q$405&gt;H252))/AL252)</x:f>
      </x:c>
      <x:c r="R252" s="10" t="str">
        <x:f>IF(OR(NOT(AND(J252="PASS",'Calibrare_Linii'!U14="VALID")),AM252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O23)+((('Istoric_Nativ'!$E$6:$E$405='Input_Meci'!E23)+('Istoric_Nativ'!$F$6:$F$405='Input_Meci'!E23))&gt;0)*('Istoric_Nativ'!$D$6:$D$405&gt;='Motor_Meciuri'!BP23))&gt;0)*('Istoric_Nativ'!$Q$6:$Q$405&gt;H252))/AM252)</x:f>
      </x:c>
      <x:c r="S252" s="10" t="str">
        <x:f>IF(M252="","",MAX(O252,P252,Q252,R252))</x:f>
      </x:c>
      <x:c r="T252" s="11" t="str">
        <x:f>IF(M252="","",MIN(100,S252*100*'Config_v6'!$B$44+MIN(100,L252/'Config_v6'!$B$13*100)*'Config_v6'!$B$45+(100-'Motor_Meciuri'!BF23)*'Config_v6'!$B$46+'Motor_Meciuri'!BH23*100*'Config_v6'!$B$47))</x:f>
      </x:c>
      <x:c r="U252" s="2" t="str">
        <x:f>IF(T252="","",IF(T252&lt;=20,1,IF(T252&lt;=40,2,IF(T252&lt;=60,3,IF(T252&lt;=80,4,5)))))</x:f>
      </x:c>
      <x:c r="V252" s="2" t="str">
        <x:f>IF(M252="","",MAX(0,'Motor_Meciuri'!BF23-IF(W252="OOS PENDING",'Config_v6'!$B$35,0)-IF(L252&gt;'Config_v6'!$B$12,'Config_v6'!$B$37,IF(L252&gt;'Config_v6'!$B$11,'Config_v6'!$B$36,0))))</x:f>
      </x:c>
      <x:c r="W252" s="2" t="str">
        <x:f>IF(B252="","",IF(I252&lt;&gt;"READY","NOT RELEASED",IF(NOT(AND(J252="PASS",'Calibrare_Linii'!U14="VALID")),"INVALID",IF(NOT(AND('Calibrare_Linii'!S14="VALIDATED",AND('Calibrare_Linii'!H14=C252,ISNUMBER('Calibrare_Linii'!J14),'Calibrare_Linii'!J14&lt;='Input_Meci'!G23))),"OOS PENDING",IF(S252&lt;='Calibrare_Linii'!E14,"PASS",IF(S252&lt;='Calibrare_Linii'!F14,"PENALTY","WATCH"))))))</x:f>
      </x:c>
      <x:c r="X252" s="2" t="str">
        <x:f>IF(M252="","",IF(AND(AND(J252="PASS",'Calibrare_Linii'!U14="VALID"),'Motor_Meciuri'!K23=12,'Motor_Meciuri'!L23=12,'Motor_Meciuri'!M23="NO",'Motor_Meciuri'!BL23='Motor_Meciuri'!C23,AB252&gt;='Config_v6'!$B$50,AN252&gt;='Config_v6'!$B$51,T252&lt;='Config_v6'!$B$52,L252&lt;='Config_v6'!$B$53,ISNUMBER('Calibrare_Linii'!E14),S252&lt;='Calibrare_Linii'!E14,SUM(AK252:AM252)&gt;0),"CANDIDATE","NO"))</x:f>
      </x:c>
      <x:c r="Y252" s="2" t="str">
        <x:f>IF(B252="","",IF(I252&lt;&gt;"READY","NOT RELEASED",IF(AND(X252="CANDIDATE",V252&gt;='Config_v6'!$B$51,W252="PASS",'Calibrare_Linii'!T14="VALIDATED",AND('Calibrare_Linii'!H14=C252,ISNUMBER('Calibrare_Linii'!J14),'Calibrare_Linii'!J14&lt;='Input_Meci'!G23)),"PASS",IF(X252="CANDIDATE","OOS PENDING","FAIL"))))</x:f>
      </x:c>
      <x:c r="Z252" s="2" t="str">
        <x:f>IF(B252="","",IF(I252&lt;&gt;"READY","",IF(OR(NOT(AND(J252="PASS",'Calibrare_Linii'!U14="VALID")),L252&gt;'Config_v6'!$B$13,W252="WATCH"),5,IF(Y252="PASS",1,MIN(5,MAX('Config_v6'!$B$42,U252)+IF(W252="PENALTY",1,0))))))</x:f>
      </x:c>
      <x:c r="AA252" s="2" t="str">
        <x:f>IF(B252="","",IF(I252&lt;&gt;"READY","NOT RELEASED",IF(Z252=5,"NO BET",IF(OR(AB252&lt;'Config_v6'!$B$16,V252&lt;'Config_v6'!$B$18),"WATCH",IF(Z252=1,"DEFENSIV",IF(Z252=2,"PRUDENT",IF(Z252=3,"MODERAT","RIDICAT")))))))</x:f>
      </x:c>
      <x:c r="AB252" s="10" t="str">
        <x:f>IF(N252="","",MIN(N252,1-S252))</x:f>
      </x:c>
      <x:c r="AC252" s="2" t="str">
        <x:f>IF(AD252&lt;&gt;1,"",COUNTIFS($Z$244:$Z$257,"&lt;"&amp;Z252,$AD$244:$AD$257,1)+COUNTIFS($Z$244:$Z$257,Z252,$AB$244:$AB$257,"&gt;"&amp;AB252,$AD$244:$AD$257,1)+COUNTIFS($Z$244:$Z$257,Z252,$AB$244:$AB$257,AB252,$V$244:$V$257,"&gt;"&amp;V252,$AD$244:$AD$257,1)+COUNTIFS($Z$244:Z252,Z252,$AB$244:AB252,AB252,$V$244:V252,V252,$AD$244:AD252,1))</x:f>
      </x:c>
      <x:c r="AD252" s="2" t="n">
        <x:f>IF(OR(AA252="DEFENSIV",AA252="PRUDENT",AA252="MODERAT",AA252="RIDICAT"),1,0)</x:f>
        <x:v>0</x:v>
      </x:c>
      <x:c r="AE252" s="2" t="str">
        <x:f>IF(AD252&lt;&gt;1,"NO",IF(W252="PASS","YES",IF(W252="OOS PENDING","CONDITIONAL","NO")))</x:f>
        <x:v>NO</x:v>
      </x:c>
      <x:c r="AF252" s="2" t="n">
        <x:f>IF(AND(AD252=1,AC252=1,E252="LIVE"),1,0)</x:f>
        <x:v>0</x:v>
      </x:c>
      <x:c r="AG252" s="2" t="str">
        <x:f>IF(AF252&lt;&gt;1,"",'Dashboard'!P43)</x:f>
      </x:c>
      <x:c r="AH252" s="2" t="str">
        <x:f>IF(B252="","",IF(J252&lt;&gt;"PASS",'Motor_Meciuri'!J23,IF('Calibrare_Linii'!U14&lt;&gt;"VALID","Parametri linie invalizi",IF(L252&gt;'Config_v6'!$B$13,"Dispersie peste limita",IF(W252="WATCH","Failure peste limita",IF(AB252&lt;'Config_v6'!$B$16,"P finala sub prag",IF(V252&lt;'Config_v6'!$B$18,"Confidence sub prag",IF(E252="REPLAY","Exemplu retrospectiv; exclus din Top LIVE",IF(Y252="PASS","DEFENSIV validat",IF(W252="OOS PENDING","Eligibil; calibrare linie in monitorizare","Eligibil"))))))))))</x:f>
      </x:c>
      <x:c r="AI252" s="2" t="str">
        <x:f>IF(B252="","",'Calibrare_Linii'!V14)</x:f>
      </x:c>
      <x:c r="AJ252" s="2" t="str">
        <x:f>IF(B252="","",IF(AND('Calibrare_Linii'!T14="VALIDATED",AND('Calibrare_Linii'!H14=C252,ISNUMBER('Calibrare_Linii'!J14),'Calibrare_Linii'!J14&lt;='Input_Meci'!G23)),"DEFENSIVE VALIDATED",IF(AND('Calibrare_Linii'!S14="VALIDATED",AND('Calibrare_Linii'!H14=C252,ISNUMBER('Calibrare_Linii'!J14),'Calibrare_Linii'!J14&lt;='Input_Meci'!G23)),"TAIL VALIDATED","OOS PENDING")))</x:f>
      </x:c>
      <x:c r="AK252" s="2" t="n">
        <x:f>IF(J252&lt;&gt;"PASS",0,'Motor_Meciuri'!BR23)</x:f>
        <x:v>0</x:v>
      </x:c>
      <x:c r="AL252" s="2" t="n">
        <x:f>IF(J252&lt;&gt;"PASS",0,'Motor_Meciuri'!BS23)</x:f>
        <x:v>0</x:v>
      </x:c>
      <x:c r="AM252" s="2" t="n">
        <x:f>IF(J252&lt;&gt;"PASS",0,'Motor_Meciuri'!BT23)</x:f>
        <x:v>0</x:v>
      </x:c>
      <x:c r="AN252" s="2" t="str">
        <x:f>IF(M252="","",MAX(0,'Motor_Meciuri'!BF23-IF(L252&gt;'Config_v6'!$B$12,'Config_v6'!$B$37,IF(L252&gt;'Config_v6'!$B$11,'Config_v6'!$B$36,0))))</x:f>
      </x:c>
    </x:row>
    <x:row r="253" ht="21" customHeight="1">
      <x:c r="A253" s="2" t="n">
        <x:v>18</x:v>
      </x:c>
      <x:c r="B253" s="2" t="str">
        <x:f>IF('Motor_Meciuri'!A23="","",'Motor_Meciuri'!A23)</x:f>
      </x:c>
      <x:c r="C253" s="2" t="str">
        <x:f>IF(B253="","",'Motor_Meciuri'!B23)</x:f>
      </x:c>
      <x:c r="D253" s="2" t="str">
        <x:f>IF(B253="","",'Motor_Meciuri'!D23)</x:f>
      </x:c>
      <x:c r="E253" s="2" t="str">
        <x:f>IF(B253="","",'Motor_Meciuri'!E23)</x:f>
      </x:c>
      <x:c r="F253" s="2" t="str">
        <x:v>U13,5</x:v>
      </x:c>
      <x:c r="G253" s="2" t="str">
        <x:v>UNDER</x:v>
      </x:c>
      <x:c r="H253" s="2" t="n">
        <x:v>13</x:v>
      </x:c>
      <x:c r="I253" s="2" t="str">
        <x:f>IF(B253="","",'Motor_Meciuri'!H23)</x:f>
      </x:c>
      <x:c r="J253" s="2" t="str">
        <x:f>IF(B253="","",'Motor_Meciuri'!I23)</x:f>
      </x:c>
      <x:c r="K253" s="11" t="str">
        <x:f>IF(J253&lt;&gt;"PASS","",'Motor_Meciuri'!BD23)</x:f>
      </x:c>
      <x:c r="L253" s="11" t="str">
        <x:f>IF(J253&lt;&gt;"PASS","",'Motor_Meciuri'!AU23)</x:f>
      </x:c>
      <x:c r="M253" s="10" t="str">
        <x:f>IF(NOT(AND(J253="PASS",'Calibrare_Linii'!U15="VALID")),"",'Distributie'!AK23)</x:f>
      </x:c>
      <x:c r="N253" s="10" t="str">
        <x:f>IF(M253="","",MAX(0.01,MIN(0.99,0.5+(M253-0.5)*'Motor_Meciuri'!BG23*'Calibrare_Linii'!D15)))</x:f>
      </x:c>
      <x:c r="O253" s="10" t="str">
        <x:f>IF(M253="","",1-M253)</x:f>
      </x:c>
      <x:c r="P253" s="10" t="str">
        <x:f>IF(OR(NOT(AND(J253="PASS",'Calibrare_Linii'!U15="VALID")),AK253=0),""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*('Istoric_Nativ'!$Q$6:$Q$405&gt;H253))/AK253)</x:f>
      </x:c>
      <x:c r="Q253" s="10" t="str">
        <x:f>IF(OR(NOT(AND(J253="PASS",'Calibrare_Linii'!U15="VALID")),AL253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M23)+((('Istoric_Nativ'!$E$6:$E$405='Input_Meci'!E23)+('Istoric_Nativ'!$F$6:$F$405='Input_Meci'!E23))&gt;0)*('Istoric_Nativ'!$D$6:$D$405&gt;='Motor_Meciuri'!BN23))&gt;0)*('Istoric_Nativ'!$Q$6:$Q$405&gt;H253))/AL253)</x:f>
      </x:c>
      <x:c r="R253" s="10" t="str">
        <x:f>IF(OR(NOT(AND(J253="PASS",'Calibrare_Linii'!U15="VALID")),AM253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O23)+((('Istoric_Nativ'!$E$6:$E$405='Input_Meci'!E23)+('Istoric_Nativ'!$F$6:$F$405='Input_Meci'!E23))&gt;0)*('Istoric_Nativ'!$D$6:$D$405&gt;='Motor_Meciuri'!BP23))&gt;0)*('Istoric_Nativ'!$Q$6:$Q$405&gt;H253))/AM253)</x:f>
      </x:c>
      <x:c r="S253" s="10" t="str">
        <x:f>IF(M253="","",MAX(O253,P253,Q253,R253))</x:f>
      </x:c>
      <x:c r="T253" s="11" t="str">
        <x:f>IF(M253="","",MIN(100,S253*100*'Config_v6'!$B$44+MIN(100,L253/'Config_v6'!$B$13*100)*'Config_v6'!$B$45+(100-'Motor_Meciuri'!BF23)*'Config_v6'!$B$46+'Motor_Meciuri'!BH23*100*'Config_v6'!$B$47))</x:f>
      </x:c>
      <x:c r="U253" s="2" t="str">
        <x:f>IF(T253="","",IF(T253&lt;=20,1,IF(T253&lt;=40,2,IF(T253&lt;=60,3,IF(T253&lt;=80,4,5)))))</x:f>
      </x:c>
      <x:c r="V253" s="2" t="str">
        <x:f>IF(M253="","",MAX(0,'Motor_Meciuri'!BF23-IF(W253="OOS PENDING",'Config_v6'!$B$35,0)-IF(L253&gt;'Config_v6'!$B$12,'Config_v6'!$B$37,IF(L253&gt;'Config_v6'!$B$11,'Config_v6'!$B$36,0))))</x:f>
      </x:c>
      <x:c r="W253" s="2" t="str">
        <x:f>IF(B253="","",IF(I253&lt;&gt;"READY","NOT RELEASED",IF(NOT(AND(J253="PASS",'Calibrare_Linii'!U15="VALID")),"INVALID",IF(NOT(AND('Calibrare_Linii'!S15="VALIDATED",AND('Calibrare_Linii'!H15=C253,ISNUMBER('Calibrare_Linii'!J15),'Calibrare_Linii'!J15&lt;='Input_Meci'!G23))),"OOS PENDING",IF(S253&lt;='Calibrare_Linii'!E15,"PASS",IF(S253&lt;='Calibrare_Linii'!F15,"PENALTY","WATCH"))))))</x:f>
      </x:c>
      <x:c r="X253" s="2" t="str">
        <x:f>IF(M253="","",IF(AND(AND(J253="PASS",'Calibrare_Linii'!U15="VALID"),'Motor_Meciuri'!K23=12,'Motor_Meciuri'!L23=12,'Motor_Meciuri'!M23="NO",'Motor_Meciuri'!BL23='Motor_Meciuri'!C23,AB253&gt;='Config_v6'!$B$50,AN253&gt;='Config_v6'!$B$51,T253&lt;='Config_v6'!$B$52,L253&lt;='Config_v6'!$B$53,ISNUMBER('Calibrare_Linii'!E15),S253&lt;='Calibrare_Linii'!E15,SUM(AK253:AM253)&gt;0),"CANDIDATE","NO"))</x:f>
      </x:c>
      <x:c r="Y253" s="2" t="str">
        <x:f>IF(B253="","",IF(I253&lt;&gt;"READY","NOT RELEASED",IF(AND(X253="CANDIDATE",V253&gt;='Config_v6'!$B$51,W253="PASS",'Calibrare_Linii'!T15="VALIDATED",AND('Calibrare_Linii'!H15=C253,ISNUMBER('Calibrare_Linii'!J15),'Calibrare_Linii'!J15&lt;='Input_Meci'!G23)),"PASS",IF(X253="CANDIDATE","OOS PENDING","FAIL"))))</x:f>
      </x:c>
      <x:c r="Z253" s="2" t="str">
        <x:f>IF(B253="","",IF(I253&lt;&gt;"READY","",IF(OR(NOT(AND(J253="PASS",'Calibrare_Linii'!U15="VALID")),L253&gt;'Config_v6'!$B$13,W253="WATCH"),5,IF(Y253="PASS",1,MIN(5,MAX('Config_v6'!$B$42,U253)+IF(W253="PENALTY",1,0))))))</x:f>
      </x:c>
      <x:c r="AA253" s="2" t="str">
        <x:f>IF(B253="","",IF(I253&lt;&gt;"READY","NOT RELEASED",IF(Z253=5,"NO BET",IF(OR(AB253&lt;'Config_v6'!$B$16,V253&lt;'Config_v6'!$B$18),"WATCH",IF(Z253=1,"DEFENSIV",IF(Z253=2,"PRUDENT",IF(Z253=3,"MODERAT","RIDICAT")))))))</x:f>
      </x:c>
      <x:c r="AB253" s="10" t="str">
        <x:f>IF(N253="","",MIN(N253,1-S253))</x:f>
      </x:c>
      <x:c r="AC253" s="2" t="str">
        <x:f>IF(AD253&lt;&gt;1,"",COUNTIFS($Z$244:$Z$257,"&lt;"&amp;Z253,$AD$244:$AD$257,1)+COUNTIFS($Z$244:$Z$257,Z253,$AB$244:$AB$257,"&gt;"&amp;AB253,$AD$244:$AD$257,1)+COUNTIFS($Z$244:$Z$257,Z253,$AB$244:$AB$257,AB253,$V$244:$V$257,"&gt;"&amp;V253,$AD$244:$AD$257,1)+COUNTIFS($Z$244:Z253,Z253,$AB$244:AB253,AB253,$V$244:V253,V253,$AD$244:AD253,1))</x:f>
      </x:c>
      <x:c r="AD253" s="2" t="n">
        <x:f>IF(OR(AA253="DEFENSIV",AA253="PRUDENT",AA253="MODERAT",AA253="RIDICAT"),1,0)</x:f>
        <x:v>0</x:v>
      </x:c>
      <x:c r="AE253" s="2" t="str">
        <x:f>IF(AD253&lt;&gt;1,"NO",IF(W253="PASS","YES",IF(W253="OOS PENDING","CONDITIONAL","NO")))</x:f>
        <x:v>NO</x:v>
      </x:c>
      <x:c r="AF253" s="2" t="n">
        <x:f>IF(AND(AD253=1,AC253=1,E253="LIVE"),1,0)</x:f>
        <x:v>0</x:v>
      </x:c>
      <x:c r="AG253" s="2" t="str">
        <x:f>IF(AF253&lt;&gt;1,"",'Dashboard'!P43)</x:f>
      </x:c>
      <x:c r="AH253" s="2" t="str">
        <x:f>IF(B253="","",IF(J253&lt;&gt;"PASS",'Motor_Meciuri'!J23,IF('Calibrare_Linii'!U15&lt;&gt;"VALID","Parametri linie invalizi",IF(L253&gt;'Config_v6'!$B$13,"Dispersie peste limita",IF(W253="WATCH","Failure peste limita",IF(AB253&lt;'Config_v6'!$B$16,"P finala sub prag",IF(V253&lt;'Config_v6'!$B$18,"Confidence sub prag",IF(E253="REPLAY","Exemplu retrospectiv; exclus din Top LIVE",IF(Y253="PASS","DEFENSIV validat",IF(W253="OOS PENDING","Eligibil; calibrare linie in monitorizare","Eligibil"))))))))))</x:f>
      </x:c>
      <x:c r="AI253" s="2" t="str">
        <x:f>IF(B253="","",'Calibrare_Linii'!V15)</x:f>
      </x:c>
      <x:c r="AJ253" s="2" t="str">
        <x:f>IF(B253="","",IF(AND('Calibrare_Linii'!T15="VALIDATED",AND('Calibrare_Linii'!H15=C253,ISNUMBER('Calibrare_Linii'!J15),'Calibrare_Linii'!J15&lt;='Input_Meci'!G23)),"DEFENSIVE VALIDATED",IF(AND('Calibrare_Linii'!S15="VALIDATED",AND('Calibrare_Linii'!H15=C253,ISNUMBER('Calibrare_Linii'!J15),'Calibrare_Linii'!J15&lt;='Input_Meci'!G23)),"TAIL VALIDATED","OOS PENDING")))</x:f>
      </x:c>
      <x:c r="AK253" s="2" t="n">
        <x:f>IF(J253&lt;&gt;"PASS",0,'Motor_Meciuri'!BR23)</x:f>
        <x:v>0</x:v>
      </x:c>
      <x:c r="AL253" s="2" t="n">
        <x:f>IF(J253&lt;&gt;"PASS",0,'Motor_Meciuri'!BS23)</x:f>
        <x:v>0</x:v>
      </x:c>
      <x:c r="AM253" s="2" t="n">
        <x:f>IF(J253&lt;&gt;"PASS",0,'Motor_Meciuri'!BT23)</x:f>
        <x:v>0</x:v>
      </x:c>
      <x:c r="AN253" s="2" t="str">
        <x:f>IF(M253="","",MAX(0,'Motor_Meciuri'!BF23-IF(L253&gt;'Config_v6'!$B$12,'Config_v6'!$B$37,IF(L253&gt;'Config_v6'!$B$11,'Config_v6'!$B$36,0))))</x:f>
      </x:c>
    </x:row>
    <x:row r="254" ht="21" customHeight="1">
      <x:c r="A254" s="2" t="n">
        <x:v>18</x:v>
      </x:c>
      <x:c r="B254" s="2" t="str">
        <x:f>IF('Motor_Meciuri'!A23="","",'Motor_Meciuri'!A23)</x:f>
      </x:c>
      <x:c r="C254" s="2" t="str">
        <x:f>IF(B254="","",'Motor_Meciuri'!B23)</x:f>
      </x:c>
      <x:c r="D254" s="2" t="str">
        <x:f>IF(B254="","",'Motor_Meciuri'!D23)</x:f>
      </x:c>
      <x:c r="E254" s="2" t="str">
        <x:f>IF(B254="","",'Motor_Meciuri'!E23)</x:f>
      </x:c>
      <x:c r="F254" s="2" t="str">
        <x:v>U14,5</x:v>
      </x:c>
      <x:c r="G254" s="2" t="str">
        <x:v>UNDER</x:v>
      </x:c>
      <x:c r="H254" s="2" t="n">
        <x:v>14</x:v>
      </x:c>
      <x:c r="I254" s="2" t="str">
        <x:f>IF(B254="","",'Motor_Meciuri'!H23)</x:f>
      </x:c>
      <x:c r="J254" s="2" t="str">
        <x:f>IF(B254="","",'Motor_Meciuri'!I23)</x:f>
      </x:c>
      <x:c r="K254" s="11" t="str">
        <x:f>IF(J254&lt;&gt;"PASS","",'Motor_Meciuri'!BD23)</x:f>
      </x:c>
      <x:c r="L254" s="11" t="str">
        <x:f>IF(J254&lt;&gt;"PASS","",'Motor_Meciuri'!AU23)</x:f>
      </x:c>
      <x:c r="M254" s="10" t="str">
        <x:f>IF(NOT(AND(J254="PASS",'Calibrare_Linii'!U16="VALID")),"",'Distributie'!AL23)</x:f>
      </x:c>
      <x:c r="N254" s="10" t="str">
        <x:f>IF(M254="","",MAX(0.01,MIN(0.99,0.5+(M254-0.5)*'Motor_Meciuri'!BG23*'Calibrare_Linii'!D16)))</x:f>
      </x:c>
      <x:c r="O254" s="10" t="str">
        <x:f>IF(M254="","",1-M254)</x:f>
      </x:c>
      <x:c r="P254" s="10" t="str">
        <x:f>IF(OR(NOT(AND(J254="PASS",'Calibrare_Linii'!U16="VALID")),AK254=0),""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*('Istoric_Nativ'!$Q$6:$Q$405&gt;H254))/AK254)</x:f>
      </x:c>
      <x:c r="Q254" s="10" t="str">
        <x:f>IF(OR(NOT(AND(J254="PASS",'Calibrare_Linii'!U16="VALID")),AL254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M23)+((('Istoric_Nativ'!$E$6:$E$405='Input_Meci'!E23)+('Istoric_Nativ'!$F$6:$F$405='Input_Meci'!E23))&gt;0)*('Istoric_Nativ'!$D$6:$D$405&gt;='Motor_Meciuri'!BN23))&gt;0)*('Istoric_Nativ'!$Q$6:$Q$405&gt;H254))/AL254)</x:f>
      </x:c>
      <x:c r="R254" s="10" t="str">
        <x:f>IF(OR(NOT(AND(J254="PASS",'Calibrare_Linii'!U16="VALID")),AM254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O23)+((('Istoric_Nativ'!$E$6:$E$405='Input_Meci'!E23)+('Istoric_Nativ'!$F$6:$F$405='Input_Meci'!E23))&gt;0)*('Istoric_Nativ'!$D$6:$D$405&gt;='Motor_Meciuri'!BP23))&gt;0)*('Istoric_Nativ'!$Q$6:$Q$405&gt;H254))/AM254)</x:f>
      </x:c>
      <x:c r="S254" s="10" t="str">
        <x:f>IF(M254="","",MAX(O254,P254,Q254,R254))</x:f>
      </x:c>
      <x:c r="T254" s="11" t="str">
        <x:f>IF(M254="","",MIN(100,S254*100*'Config_v6'!$B$44+MIN(100,L254/'Config_v6'!$B$13*100)*'Config_v6'!$B$45+(100-'Motor_Meciuri'!BF23)*'Config_v6'!$B$46+'Motor_Meciuri'!BH23*100*'Config_v6'!$B$47))</x:f>
      </x:c>
      <x:c r="U254" s="2" t="str">
        <x:f>IF(T254="","",IF(T254&lt;=20,1,IF(T254&lt;=40,2,IF(T254&lt;=60,3,IF(T254&lt;=80,4,5)))))</x:f>
      </x:c>
      <x:c r="V254" s="2" t="str">
        <x:f>IF(M254="","",MAX(0,'Motor_Meciuri'!BF23-IF(W254="OOS PENDING",'Config_v6'!$B$35,0)-IF(L254&gt;'Config_v6'!$B$12,'Config_v6'!$B$37,IF(L254&gt;'Config_v6'!$B$11,'Config_v6'!$B$36,0))))</x:f>
      </x:c>
      <x:c r="W254" s="2" t="str">
        <x:f>IF(B254="","",IF(I254&lt;&gt;"READY","NOT RELEASED",IF(NOT(AND(J254="PASS",'Calibrare_Linii'!U16="VALID")),"INVALID",IF(NOT(AND('Calibrare_Linii'!S16="VALIDATED",AND('Calibrare_Linii'!H16=C254,ISNUMBER('Calibrare_Linii'!J16),'Calibrare_Linii'!J16&lt;='Input_Meci'!G23))),"OOS PENDING",IF(S254&lt;='Calibrare_Linii'!E16,"PASS",IF(S254&lt;='Calibrare_Linii'!F16,"PENALTY","WATCH"))))))</x:f>
      </x:c>
      <x:c r="X254" s="2" t="str">
        <x:f>IF(M254="","",IF(AND(AND(J254="PASS",'Calibrare_Linii'!U16="VALID"),'Motor_Meciuri'!K23=12,'Motor_Meciuri'!L23=12,'Motor_Meciuri'!M23="NO",'Motor_Meciuri'!BL23='Motor_Meciuri'!C23,AB254&gt;='Config_v6'!$B$50,AN254&gt;='Config_v6'!$B$51,T254&lt;='Config_v6'!$B$52,L254&lt;='Config_v6'!$B$53,ISNUMBER('Calibrare_Linii'!E16),S254&lt;='Calibrare_Linii'!E16,SUM(AK254:AM254)&gt;0),"CANDIDATE","NO"))</x:f>
      </x:c>
      <x:c r="Y254" s="2" t="str">
        <x:f>IF(B254="","",IF(I254&lt;&gt;"READY","NOT RELEASED",IF(AND(X254="CANDIDATE",V254&gt;='Config_v6'!$B$51,W254="PASS",'Calibrare_Linii'!T16="VALIDATED",AND('Calibrare_Linii'!H16=C254,ISNUMBER('Calibrare_Linii'!J16),'Calibrare_Linii'!J16&lt;='Input_Meci'!G23)),"PASS",IF(X254="CANDIDATE","OOS PENDING","FAIL"))))</x:f>
      </x:c>
      <x:c r="Z254" s="2" t="str">
        <x:f>IF(B254="","",IF(I254&lt;&gt;"READY","",IF(OR(NOT(AND(J254="PASS",'Calibrare_Linii'!U16="VALID")),L254&gt;'Config_v6'!$B$13,W254="WATCH"),5,IF(Y254="PASS",1,MIN(5,MAX('Config_v6'!$B$42,U254)+IF(W254="PENALTY",1,0))))))</x:f>
      </x:c>
      <x:c r="AA254" s="2" t="str">
        <x:f>IF(B254="","",IF(I254&lt;&gt;"READY","NOT RELEASED",IF(Z254=5,"NO BET",IF(OR(AB254&lt;'Config_v6'!$B$16,V254&lt;'Config_v6'!$B$18),"WATCH",IF(Z254=1,"DEFENSIV",IF(Z254=2,"PRUDENT",IF(Z254=3,"MODERAT","RIDICAT")))))))</x:f>
      </x:c>
      <x:c r="AB254" s="10" t="str">
        <x:f>IF(N254="","",MIN(N254,1-S254))</x:f>
      </x:c>
      <x:c r="AC254" s="2" t="str">
        <x:f>IF(AD254&lt;&gt;1,"",COUNTIFS($Z$244:$Z$257,"&lt;"&amp;Z254,$AD$244:$AD$257,1)+COUNTIFS($Z$244:$Z$257,Z254,$AB$244:$AB$257,"&gt;"&amp;AB254,$AD$244:$AD$257,1)+COUNTIFS($Z$244:$Z$257,Z254,$AB$244:$AB$257,AB254,$V$244:$V$257,"&gt;"&amp;V254,$AD$244:$AD$257,1)+COUNTIFS($Z$244:Z254,Z254,$AB$244:AB254,AB254,$V$244:V254,V254,$AD$244:AD254,1))</x:f>
      </x:c>
      <x:c r="AD254" s="2" t="n">
        <x:f>IF(OR(AA254="DEFENSIV",AA254="PRUDENT",AA254="MODERAT",AA254="RIDICAT"),1,0)</x:f>
        <x:v>0</x:v>
      </x:c>
      <x:c r="AE254" s="2" t="str">
        <x:f>IF(AD254&lt;&gt;1,"NO",IF(W254="PASS","YES",IF(W254="OOS PENDING","CONDITIONAL","NO")))</x:f>
        <x:v>NO</x:v>
      </x:c>
      <x:c r="AF254" s="2" t="n">
        <x:f>IF(AND(AD254=1,AC254=1,E254="LIVE"),1,0)</x:f>
        <x:v>0</x:v>
      </x:c>
      <x:c r="AG254" s="2" t="str">
        <x:f>IF(AF254&lt;&gt;1,"",'Dashboard'!P43)</x:f>
      </x:c>
      <x:c r="AH254" s="2" t="str">
        <x:f>IF(B254="","",IF(J254&lt;&gt;"PASS",'Motor_Meciuri'!J23,IF('Calibrare_Linii'!U16&lt;&gt;"VALID","Parametri linie invalizi",IF(L254&gt;'Config_v6'!$B$13,"Dispersie peste limita",IF(W254="WATCH","Failure peste limita",IF(AB254&lt;'Config_v6'!$B$16,"P finala sub prag",IF(V254&lt;'Config_v6'!$B$18,"Confidence sub prag",IF(E254="REPLAY","Exemplu retrospectiv; exclus din Top LIVE",IF(Y254="PASS","DEFENSIV validat",IF(W254="OOS PENDING","Eligibil; calibrare linie in monitorizare","Eligibil"))))))))))</x:f>
      </x:c>
      <x:c r="AI254" s="2" t="str">
        <x:f>IF(B254="","",'Calibrare_Linii'!V16)</x:f>
      </x:c>
      <x:c r="AJ254" s="2" t="str">
        <x:f>IF(B254="","",IF(AND('Calibrare_Linii'!T16="VALIDATED",AND('Calibrare_Linii'!H16=C254,ISNUMBER('Calibrare_Linii'!J16),'Calibrare_Linii'!J16&lt;='Input_Meci'!G23)),"DEFENSIVE VALIDATED",IF(AND('Calibrare_Linii'!S16="VALIDATED",AND('Calibrare_Linii'!H16=C254,ISNUMBER('Calibrare_Linii'!J16),'Calibrare_Linii'!J16&lt;='Input_Meci'!G23)),"TAIL VALIDATED","OOS PENDING")))</x:f>
      </x:c>
      <x:c r="AK254" s="2" t="n">
        <x:f>IF(J254&lt;&gt;"PASS",0,'Motor_Meciuri'!BR23)</x:f>
        <x:v>0</x:v>
      </x:c>
      <x:c r="AL254" s="2" t="n">
        <x:f>IF(J254&lt;&gt;"PASS",0,'Motor_Meciuri'!BS23)</x:f>
        <x:v>0</x:v>
      </x:c>
      <x:c r="AM254" s="2" t="n">
        <x:f>IF(J254&lt;&gt;"PASS",0,'Motor_Meciuri'!BT23)</x:f>
        <x:v>0</x:v>
      </x:c>
      <x:c r="AN254" s="2" t="str">
        <x:f>IF(M254="","",MAX(0,'Motor_Meciuri'!BF23-IF(L254&gt;'Config_v6'!$B$12,'Config_v6'!$B$37,IF(L254&gt;'Config_v6'!$B$11,'Config_v6'!$B$36,0))))</x:f>
      </x:c>
    </x:row>
    <x:row r="255" ht="21" customHeight="1">
      <x:c r="A255" s="2" t="n">
        <x:v>18</x:v>
      </x:c>
      <x:c r="B255" s="2" t="str">
        <x:f>IF('Motor_Meciuri'!A23="","",'Motor_Meciuri'!A23)</x:f>
      </x:c>
      <x:c r="C255" s="2" t="str">
        <x:f>IF(B255="","",'Motor_Meciuri'!B23)</x:f>
      </x:c>
      <x:c r="D255" s="2" t="str">
        <x:f>IF(B255="","",'Motor_Meciuri'!D23)</x:f>
      </x:c>
      <x:c r="E255" s="2" t="str">
        <x:f>IF(B255="","",'Motor_Meciuri'!E23)</x:f>
      </x:c>
      <x:c r="F255" s="2" t="str">
        <x:v>U15,5</x:v>
      </x:c>
      <x:c r="G255" s="2" t="str">
        <x:v>UNDER</x:v>
      </x:c>
      <x:c r="H255" s="2" t="n">
        <x:v>15</x:v>
      </x:c>
      <x:c r="I255" s="2" t="str">
        <x:f>IF(B255="","",'Motor_Meciuri'!H23)</x:f>
      </x:c>
      <x:c r="J255" s="2" t="str">
        <x:f>IF(B255="","",'Motor_Meciuri'!I23)</x:f>
      </x:c>
      <x:c r="K255" s="11" t="str">
        <x:f>IF(J255&lt;&gt;"PASS","",'Motor_Meciuri'!BD23)</x:f>
      </x:c>
      <x:c r="L255" s="11" t="str">
        <x:f>IF(J255&lt;&gt;"PASS","",'Motor_Meciuri'!AU23)</x:f>
      </x:c>
      <x:c r="M255" s="10" t="str">
        <x:f>IF(NOT(AND(J255="PASS",'Calibrare_Linii'!U17="VALID")),"",'Distributie'!AM23)</x:f>
      </x:c>
      <x:c r="N255" s="10" t="str">
        <x:f>IF(M255="","",MAX(0.01,MIN(0.99,0.5+(M255-0.5)*'Motor_Meciuri'!BG23*'Calibrare_Linii'!D17)))</x:f>
      </x:c>
      <x:c r="O255" s="10" t="str">
        <x:f>IF(M255="","",1-M255)</x:f>
      </x:c>
      <x:c r="P255" s="10" t="str">
        <x:f>IF(OR(NOT(AND(J255="PASS",'Calibrare_Linii'!U17="VALID")),AK255=0),""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*('Istoric_Nativ'!$Q$6:$Q$405&gt;H255))/AK255)</x:f>
      </x:c>
      <x:c r="Q255" s="10" t="str">
        <x:f>IF(OR(NOT(AND(J255="PASS",'Calibrare_Linii'!U17="VALID")),AL255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M23)+((('Istoric_Nativ'!$E$6:$E$405='Input_Meci'!E23)+('Istoric_Nativ'!$F$6:$F$405='Input_Meci'!E23))&gt;0)*('Istoric_Nativ'!$D$6:$D$405&gt;='Motor_Meciuri'!BN23))&gt;0)*('Istoric_Nativ'!$Q$6:$Q$405&gt;H255))/AL255)</x:f>
      </x:c>
      <x:c r="R255" s="10" t="str">
        <x:f>IF(OR(NOT(AND(J255="PASS",'Calibrare_Linii'!U17="VALID")),AM255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O23)+((('Istoric_Nativ'!$E$6:$E$405='Input_Meci'!E23)+('Istoric_Nativ'!$F$6:$F$405='Input_Meci'!E23))&gt;0)*('Istoric_Nativ'!$D$6:$D$405&gt;='Motor_Meciuri'!BP23))&gt;0)*('Istoric_Nativ'!$Q$6:$Q$405&gt;H255))/AM255)</x:f>
      </x:c>
      <x:c r="S255" s="10" t="str">
        <x:f>IF(M255="","",MAX(O255,P255,Q255,R255))</x:f>
      </x:c>
      <x:c r="T255" s="11" t="str">
        <x:f>IF(M255="","",MIN(100,S255*100*'Config_v6'!$B$44+MIN(100,L255/'Config_v6'!$B$13*100)*'Config_v6'!$B$45+(100-'Motor_Meciuri'!BF23)*'Config_v6'!$B$46+'Motor_Meciuri'!BH23*100*'Config_v6'!$B$47))</x:f>
      </x:c>
      <x:c r="U255" s="2" t="str">
        <x:f>IF(T255="","",IF(T255&lt;=20,1,IF(T255&lt;=40,2,IF(T255&lt;=60,3,IF(T255&lt;=80,4,5)))))</x:f>
      </x:c>
      <x:c r="V255" s="2" t="str">
        <x:f>IF(M255="","",MAX(0,'Motor_Meciuri'!BF23-IF(W255="OOS PENDING",'Config_v6'!$B$35,0)-IF(L255&gt;'Config_v6'!$B$12,'Config_v6'!$B$37,IF(L255&gt;'Config_v6'!$B$11,'Config_v6'!$B$36,0))))</x:f>
      </x:c>
      <x:c r="W255" s="2" t="str">
        <x:f>IF(B255="","",IF(I255&lt;&gt;"READY","NOT RELEASED",IF(NOT(AND(J255="PASS",'Calibrare_Linii'!U17="VALID")),"INVALID",IF(NOT(AND('Calibrare_Linii'!S17="VALIDATED",AND('Calibrare_Linii'!H17=C255,ISNUMBER('Calibrare_Linii'!J17),'Calibrare_Linii'!J17&lt;='Input_Meci'!G23))),"OOS PENDING",IF(S255&lt;='Calibrare_Linii'!E17,"PASS",IF(S255&lt;='Calibrare_Linii'!F17,"PENALTY","WATCH"))))))</x:f>
      </x:c>
      <x:c r="X255" s="2" t="str">
        <x:f>IF(M255="","",IF(AND(AND(J255="PASS",'Calibrare_Linii'!U17="VALID"),'Motor_Meciuri'!K23=12,'Motor_Meciuri'!L23=12,'Motor_Meciuri'!M23="NO",'Motor_Meciuri'!BL23='Motor_Meciuri'!C23,AB255&gt;='Config_v6'!$B$50,AN255&gt;='Config_v6'!$B$51,T255&lt;='Config_v6'!$B$52,L255&lt;='Config_v6'!$B$53,ISNUMBER('Calibrare_Linii'!E17),S255&lt;='Calibrare_Linii'!E17,SUM(AK255:AM255)&gt;0),"CANDIDATE","NO"))</x:f>
      </x:c>
      <x:c r="Y255" s="2" t="str">
        <x:f>IF(B255="","",IF(I255&lt;&gt;"READY","NOT RELEASED",IF(AND(X255="CANDIDATE",V255&gt;='Config_v6'!$B$51,W255="PASS",'Calibrare_Linii'!T17="VALIDATED",AND('Calibrare_Linii'!H17=C255,ISNUMBER('Calibrare_Linii'!J17),'Calibrare_Linii'!J17&lt;='Input_Meci'!G23)),"PASS",IF(X255="CANDIDATE","OOS PENDING","FAIL"))))</x:f>
      </x:c>
      <x:c r="Z255" s="2" t="str">
        <x:f>IF(B255="","",IF(I255&lt;&gt;"READY","",IF(OR(NOT(AND(J255="PASS",'Calibrare_Linii'!U17="VALID")),L255&gt;'Config_v6'!$B$13,W255="WATCH"),5,IF(Y255="PASS",1,MIN(5,MAX('Config_v6'!$B$42,U255)+IF(W255="PENALTY",1,0))))))</x:f>
      </x:c>
      <x:c r="AA255" s="2" t="str">
        <x:f>IF(B255="","",IF(I255&lt;&gt;"READY","NOT RELEASED",IF(Z255=5,"NO BET",IF(OR(AB255&lt;'Config_v6'!$B$16,V255&lt;'Config_v6'!$B$18),"WATCH",IF(Z255=1,"DEFENSIV",IF(Z255=2,"PRUDENT",IF(Z255=3,"MODERAT","RIDICAT")))))))</x:f>
      </x:c>
      <x:c r="AB255" s="10" t="str">
        <x:f>IF(N255="","",MIN(N255,1-S255))</x:f>
      </x:c>
      <x:c r="AC255" s="2" t="str">
        <x:f>IF(AD255&lt;&gt;1,"",COUNTIFS($Z$244:$Z$257,"&lt;"&amp;Z255,$AD$244:$AD$257,1)+COUNTIFS($Z$244:$Z$257,Z255,$AB$244:$AB$257,"&gt;"&amp;AB255,$AD$244:$AD$257,1)+COUNTIFS($Z$244:$Z$257,Z255,$AB$244:$AB$257,AB255,$V$244:$V$257,"&gt;"&amp;V255,$AD$244:$AD$257,1)+COUNTIFS($Z$244:Z255,Z255,$AB$244:AB255,AB255,$V$244:V255,V255,$AD$244:AD255,1))</x:f>
      </x:c>
      <x:c r="AD255" s="2" t="n">
        <x:f>IF(OR(AA255="DEFENSIV",AA255="PRUDENT",AA255="MODERAT",AA255="RIDICAT"),1,0)</x:f>
        <x:v>0</x:v>
      </x:c>
      <x:c r="AE255" s="2" t="str">
        <x:f>IF(AD255&lt;&gt;1,"NO",IF(W255="PASS","YES",IF(W255="OOS PENDING","CONDITIONAL","NO")))</x:f>
        <x:v>NO</x:v>
      </x:c>
      <x:c r="AF255" s="2" t="n">
        <x:f>IF(AND(AD255=1,AC255=1,E255="LIVE"),1,0)</x:f>
        <x:v>0</x:v>
      </x:c>
      <x:c r="AG255" s="2" t="str">
        <x:f>IF(AF255&lt;&gt;1,"",'Dashboard'!P43)</x:f>
      </x:c>
      <x:c r="AH255" s="2" t="str">
        <x:f>IF(B255="","",IF(J255&lt;&gt;"PASS",'Motor_Meciuri'!J23,IF('Calibrare_Linii'!U17&lt;&gt;"VALID","Parametri linie invalizi",IF(L255&gt;'Config_v6'!$B$13,"Dispersie peste limita",IF(W255="WATCH","Failure peste limita",IF(AB255&lt;'Config_v6'!$B$16,"P finala sub prag",IF(V255&lt;'Config_v6'!$B$18,"Confidence sub prag",IF(E255="REPLAY","Exemplu retrospectiv; exclus din Top LIVE",IF(Y255="PASS","DEFENSIV validat",IF(W255="OOS PENDING","Eligibil; calibrare linie in monitorizare","Eligibil"))))))))))</x:f>
      </x:c>
      <x:c r="AI255" s="2" t="str">
        <x:f>IF(B255="","",'Calibrare_Linii'!V17)</x:f>
      </x:c>
      <x:c r="AJ255" s="2" t="str">
        <x:f>IF(B255="","",IF(AND('Calibrare_Linii'!T17="VALIDATED",AND('Calibrare_Linii'!H17=C255,ISNUMBER('Calibrare_Linii'!J17),'Calibrare_Linii'!J17&lt;='Input_Meci'!G23)),"DEFENSIVE VALIDATED",IF(AND('Calibrare_Linii'!S17="VALIDATED",AND('Calibrare_Linii'!H17=C255,ISNUMBER('Calibrare_Linii'!J17),'Calibrare_Linii'!J17&lt;='Input_Meci'!G23)),"TAIL VALIDATED","OOS PENDING")))</x:f>
      </x:c>
      <x:c r="AK255" s="2" t="n">
        <x:f>IF(J255&lt;&gt;"PASS",0,'Motor_Meciuri'!BR23)</x:f>
        <x:v>0</x:v>
      </x:c>
      <x:c r="AL255" s="2" t="n">
        <x:f>IF(J255&lt;&gt;"PASS",0,'Motor_Meciuri'!BS23)</x:f>
        <x:v>0</x:v>
      </x:c>
      <x:c r="AM255" s="2" t="n">
        <x:f>IF(J255&lt;&gt;"PASS",0,'Motor_Meciuri'!BT23)</x:f>
        <x:v>0</x:v>
      </x:c>
      <x:c r="AN255" s="2" t="str">
        <x:f>IF(M255="","",MAX(0,'Motor_Meciuri'!BF23-IF(L255&gt;'Config_v6'!$B$12,'Config_v6'!$B$37,IF(L255&gt;'Config_v6'!$B$11,'Config_v6'!$B$36,0))))</x:f>
      </x:c>
    </x:row>
    <x:row r="256" ht="21" customHeight="1">
      <x:c r="A256" s="2" t="n">
        <x:v>18</x:v>
      </x:c>
      <x:c r="B256" s="2" t="str">
        <x:f>IF('Motor_Meciuri'!A23="","",'Motor_Meciuri'!A23)</x:f>
      </x:c>
      <x:c r="C256" s="2" t="str">
        <x:f>IF(B256="","",'Motor_Meciuri'!B23)</x:f>
      </x:c>
      <x:c r="D256" s="2" t="str">
        <x:f>IF(B256="","",'Motor_Meciuri'!D23)</x:f>
      </x:c>
      <x:c r="E256" s="2" t="str">
        <x:f>IF(B256="","",'Motor_Meciuri'!E23)</x:f>
      </x:c>
      <x:c r="F256" s="2" t="str">
        <x:v>U16,5</x:v>
      </x:c>
      <x:c r="G256" s="2" t="str">
        <x:v>UNDER</x:v>
      </x:c>
      <x:c r="H256" s="2" t="n">
        <x:v>16</x:v>
      </x:c>
      <x:c r="I256" s="2" t="str">
        <x:f>IF(B256="","",'Motor_Meciuri'!H23)</x:f>
      </x:c>
      <x:c r="J256" s="2" t="str">
        <x:f>IF(B256="","",'Motor_Meciuri'!I23)</x:f>
      </x:c>
      <x:c r="K256" s="11" t="str">
        <x:f>IF(J256&lt;&gt;"PASS","",'Motor_Meciuri'!BD23)</x:f>
      </x:c>
      <x:c r="L256" s="11" t="str">
        <x:f>IF(J256&lt;&gt;"PASS","",'Motor_Meciuri'!AU23)</x:f>
      </x:c>
      <x:c r="M256" s="10" t="str">
        <x:f>IF(NOT(AND(J256="PASS",'Calibrare_Linii'!U18="VALID")),"",'Distributie'!AN23)</x:f>
      </x:c>
      <x:c r="N256" s="10" t="str">
        <x:f>IF(M256="","",MAX(0.01,MIN(0.99,0.5+(M256-0.5)*'Motor_Meciuri'!BG23*'Calibrare_Linii'!D18)))</x:f>
      </x:c>
      <x:c r="O256" s="10" t="str">
        <x:f>IF(M256="","",1-M256)</x:f>
      </x:c>
      <x:c r="P256" s="10" t="str">
        <x:f>IF(OR(NOT(AND(J256="PASS",'Calibrare_Linii'!U18="VALID")),AK256=0),""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*('Istoric_Nativ'!$Q$6:$Q$405&gt;H256))/AK256)</x:f>
      </x:c>
      <x:c r="Q256" s="10" t="str">
        <x:f>IF(OR(NOT(AND(J256="PASS",'Calibrare_Linii'!U18="VALID")),AL256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M23)+((('Istoric_Nativ'!$E$6:$E$405='Input_Meci'!E23)+('Istoric_Nativ'!$F$6:$F$405='Input_Meci'!E23))&gt;0)*('Istoric_Nativ'!$D$6:$D$405&gt;='Motor_Meciuri'!BN23))&gt;0)*('Istoric_Nativ'!$Q$6:$Q$405&gt;H256))/AL256)</x:f>
      </x:c>
      <x:c r="R256" s="10" t="str">
        <x:f>IF(OR(NOT(AND(J256="PASS",'Calibrare_Linii'!U18="VALID")),AM256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O23)+((('Istoric_Nativ'!$E$6:$E$405='Input_Meci'!E23)+('Istoric_Nativ'!$F$6:$F$405='Input_Meci'!E23))&gt;0)*('Istoric_Nativ'!$D$6:$D$405&gt;='Motor_Meciuri'!BP23))&gt;0)*('Istoric_Nativ'!$Q$6:$Q$405&gt;H256))/AM256)</x:f>
      </x:c>
      <x:c r="S256" s="10" t="str">
        <x:f>IF(M256="","",MAX(O256,P256,Q256,R256))</x:f>
      </x:c>
      <x:c r="T256" s="11" t="str">
        <x:f>IF(M256="","",MIN(100,S256*100*'Config_v6'!$B$44+MIN(100,L256/'Config_v6'!$B$13*100)*'Config_v6'!$B$45+(100-'Motor_Meciuri'!BF23)*'Config_v6'!$B$46+'Motor_Meciuri'!BH23*100*'Config_v6'!$B$47))</x:f>
      </x:c>
      <x:c r="U256" s="2" t="str">
        <x:f>IF(T256="","",IF(T256&lt;=20,1,IF(T256&lt;=40,2,IF(T256&lt;=60,3,IF(T256&lt;=80,4,5)))))</x:f>
      </x:c>
      <x:c r="V256" s="2" t="str">
        <x:f>IF(M256="","",MAX(0,'Motor_Meciuri'!BF23-IF(W256="OOS PENDING",'Config_v6'!$B$35,0)-IF(L256&gt;'Config_v6'!$B$12,'Config_v6'!$B$37,IF(L256&gt;'Config_v6'!$B$11,'Config_v6'!$B$36,0))))</x:f>
      </x:c>
      <x:c r="W256" s="2" t="str">
        <x:f>IF(B256="","",IF(I256&lt;&gt;"READY","NOT RELEASED",IF(NOT(AND(J256="PASS",'Calibrare_Linii'!U18="VALID")),"INVALID",IF(NOT(AND('Calibrare_Linii'!S18="VALIDATED",AND('Calibrare_Linii'!H18=C256,ISNUMBER('Calibrare_Linii'!J18),'Calibrare_Linii'!J18&lt;='Input_Meci'!G23))),"OOS PENDING",IF(S256&lt;='Calibrare_Linii'!E18,"PASS",IF(S256&lt;='Calibrare_Linii'!F18,"PENALTY","WATCH"))))))</x:f>
      </x:c>
      <x:c r="X256" s="2" t="str">
        <x:f>IF(M256="","",IF(AND(AND(J256="PASS",'Calibrare_Linii'!U18="VALID"),'Motor_Meciuri'!K23=12,'Motor_Meciuri'!L23=12,'Motor_Meciuri'!M23="NO",'Motor_Meciuri'!BL23='Motor_Meciuri'!C23,AB256&gt;='Config_v6'!$B$50,AN256&gt;='Config_v6'!$B$51,T256&lt;='Config_v6'!$B$52,L256&lt;='Config_v6'!$B$53,ISNUMBER('Calibrare_Linii'!E18),S256&lt;='Calibrare_Linii'!E18,SUM(AK256:AM256)&gt;0),"CANDIDATE","NO"))</x:f>
      </x:c>
      <x:c r="Y256" s="2" t="str">
        <x:f>IF(B256="","",IF(I256&lt;&gt;"READY","NOT RELEASED",IF(AND(X256="CANDIDATE",V256&gt;='Config_v6'!$B$51,W256="PASS",'Calibrare_Linii'!T18="VALIDATED",AND('Calibrare_Linii'!H18=C256,ISNUMBER('Calibrare_Linii'!J18),'Calibrare_Linii'!J18&lt;='Input_Meci'!G23)),"PASS",IF(X256="CANDIDATE","OOS PENDING","FAIL"))))</x:f>
      </x:c>
      <x:c r="Z256" s="2" t="str">
        <x:f>IF(B256="","",IF(I256&lt;&gt;"READY","",IF(OR(NOT(AND(J256="PASS",'Calibrare_Linii'!U18="VALID")),L256&gt;'Config_v6'!$B$13,W256="WATCH"),5,IF(Y256="PASS",1,MIN(5,MAX('Config_v6'!$B$42,U256)+IF(W256="PENALTY",1,0))))))</x:f>
      </x:c>
      <x:c r="AA256" s="2" t="str">
        <x:f>IF(B256="","",IF(I256&lt;&gt;"READY","NOT RELEASED",IF(Z256=5,"NO BET",IF(OR(AB256&lt;'Config_v6'!$B$16,V256&lt;'Config_v6'!$B$18),"WATCH",IF(Z256=1,"DEFENSIV",IF(Z256=2,"PRUDENT",IF(Z256=3,"MODERAT","RIDICAT")))))))</x:f>
      </x:c>
      <x:c r="AB256" s="10" t="str">
        <x:f>IF(N256="","",MIN(N256,1-S256))</x:f>
      </x:c>
      <x:c r="AC256" s="2" t="str">
        <x:f>IF(AD256&lt;&gt;1,"",COUNTIFS($Z$244:$Z$257,"&lt;"&amp;Z256,$AD$244:$AD$257,1)+COUNTIFS($Z$244:$Z$257,Z256,$AB$244:$AB$257,"&gt;"&amp;AB256,$AD$244:$AD$257,1)+COUNTIFS($Z$244:$Z$257,Z256,$AB$244:$AB$257,AB256,$V$244:$V$257,"&gt;"&amp;V256,$AD$244:$AD$257,1)+COUNTIFS($Z$244:Z256,Z256,$AB$244:AB256,AB256,$V$244:V256,V256,$AD$244:AD256,1))</x:f>
      </x:c>
      <x:c r="AD256" s="2" t="n">
        <x:f>IF(OR(AA256="DEFENSIV",AA256="PRUDENT",AA256="MODERAT",AA256="RIDICAT"),1,0)</x:f>
        <x:v>0</x:v>
      </x:c>
      <x:c r="AE256" s="2" t="str">
        <x:f>IF(AD256&lt;&gt;1,"NO",IF(W256="PASS","YES",IF(W256="OOS PENDING","CONDITIONAL","NO")))</x:f>
        <x:v>NO</x:v>
      </x:c>
      <x:c r="AF256" s="2" t="n">
        <x:f>IF(AND(AD256=1,AC256=1,E256="LIVE"),1,0)</x:f>
        <x:v>0</x:v>
      </x:c>
      <x:c r="AG256" s="2" t="str">
        <x:f>IF(AF256&lt;&gt;1,"",'Dashboard'!P43)</x:f>
      </x:c>
      <x:c r="AH256" s="2" t="str">
        <x:f>IF(B256="","",IF(J256&lt;&gt;"PASS",'Motor_Meciuri'!J23,IF('Calibrare_Linii'!U18&lt;&gt;"VALID","Parametri linie invalizi",IF(L256&gt;'Config_v6'!$B$13,"Dispersie peste limita",IF(W256="WATCH","Failure peste limita",IF(AB256&lt;'Config_v6'!$B$16,"P finala sub prag",IF(V256&lt;'Config_v6'!$B$18,"Confidence sub prag",IF(E256="REPLAY","Exemplu retrospectiv; exclus din Top LIVE",IF(Y256="PASS","DEFENSIV validat",IF(W256="OOS PENDING","Eligibil; calibrare linie in monitorizare","Eligibil"))))))))))</x:f>
      </x:c>
      <x:c r="AI256" s="2" t="str">
        <x:f>IF(B256="","",'Calibrare_Linii'!V18)</x:f>
      </x:c>
      <x:c r="AJ256" s="2" t="str">
        <x:f>IF(B256="","",IF(AND('Calibrare_Linii'!T18="VALIDATED",AND('Calibrare_Linii'!H18=C256,ISNUMBER('Calibrare_Linii'!J18),'Calibrare_Linii'!J18&lt;='Input_Meci'!G23)),"DEFENSIVE VALIDATED",IF(AND('Calibrare_Linii'!S18="VALIDATED",AND('Calibrare_Linii'!H18=C256,ISNUMBER('Calibrare_Linii'!J18),'Calibrare_Linii'!J18&lt;='Input_Meci'!G23)),"TAIL VALIDATED","OOS PENDING")))</x:f>
      </x:c>
      <x:c r="AK256" s="2" t="n">
        <x:f>IF(J256&lt;&gt;"PASS",0,'Motor_Meciuri'!BR23)</x:f>
        <x:v>0</x:v>
      </x:c>
      <x:c r="AL256" s="2" t="n">
        <x:f>IF(J256&lt;&gt;"PASS",0,'Motor_Meciuri'!BS23)</x:f>
        <x:v>0</x:v>
      </x:c>
      <x:c r="AM256" s="2" t="n">
        <x:f>IF(J256&lt;&gt;"PASS",0,'Motor_Meciuri'!BT23)</x:f>
        <x:v>0</x:v>
      </x:c>
      <x:c r="AN256" s="2" t="str">
        <x:f>IF(M256="","",MAX(0,'Motor_Meciuri'!BF23-IF(L256&gt;'Config_v6'!$B$12,'Config_v6'!$B$37,IF(L256&gt;'Config_v6'!$B$11,'Config_v6'!$B$36,0))))</x:f>
      </x:c>
    </x:row>
    <x:row r="257" ht="21" customHeight="1">
      <x:c r="A257" s="2" t="n">
        <x:v>18</x:v>
      </x:c>
      <x:c r="B257" s="2" t="str">
        <x:f>IF('Motor_Meciuri'!A23="","",'Motor_Meciuri'!A23)</x:f>
      </x:c>
      <x:c r="C257" s="2" t="str">
        <x:f>IF(B257="","",'Motor_Meciuri'!B23)</x:f>
      </x:c>
      <x:c r="D257" s="2" t="str">
        <x:f>IF(B257="","",'Motor_Meciuri'!D23)</x:f>
      </x:c>
      <x:c r="E257" s="2" t="str">
        <x:f>IF(B257="","",'Motor_Meciuri'!E23)</x:f>
      </x:c>
      <x:c r="F257" s="2" t="str">
        <x:v>U17,5</x:v>
      </x:c>
      <x:c r="G257" s="2" t="str">
        <x:v>UNDER</x:v>
      </x:c>
      <x:c r="H257" s="2" t="n">
        <x:v>17</x:v>
      </x:c>
      <x:c r="I257" s="2" t="str">
        <x:f>IF(B257="","",'Motor_Meciuri'!H23)</x:f>
      </x:c>
      <x:c r="J257" s="2" t="str">
        <x:f>IF(B257="","",'Motor_Meciuri'!I23)</x:f>
      </x:c>
      <x:c r="K257" s="11" t="str">
        <x:f>IF(J257&lt;&gt;"PASS","",'Motor_Meciuri'!BD23)</x:f>
      </x:c>
      <x:c r="L257" s="11" t="str">
        <x:f>IF(J257&lt;&gt;"PASS","",'Motor_Meciuri'!AU23)</x:f>
      </x:c>
      <x:c r="M257" s="10" t="str">
        <x:f>IF(NOT(AND(J257="PASS",'Calibrare_Linii'!U19="VALID")),"",'Distributie'!AO23)</x:f>
      </x:c>
      <x:c r="N257" s="10" t="str">
        <x:f>IF(M257="","",MAX(0.01,MIN(0.99,0.5+(M257-0.5)*'Motor_Meciuri'!BG23*'Calibrare_Linii'!D19)))</x:f>
      </x:c>
      <x:c r="O257" s="10" t="str">
        <x:f>IF(M257="","",1-M257)</x:f>
      </x:c>
      <x:c r="P257" s="10" t="str">
        <x:f>IF(OR(NOT(AND(J257="PASS",'Calibrare_Linii'!U19="VALID")),AK257=0),""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*('Istoric_Nativ'!$Q$6:$Q$405&gt;H257))/AK257)</x:f>
      </x:c>
      <x:c r="Q257" s="10" t="str">
        <x:f>IF(OR(NOT(AND(J257="PASS",'Calibrare_Linii'!U19="VALID")),AL257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M23)+((('Istoric_Nativ'!$E$6:$E$405='Input_Meci'!E23)+('Istoric_Nativ'!$F$6:$F$405='Input_Meci'!E23))&gt;0)*('Istoric_Nativ'!$D$6:$D$405&gt;='Motor_Meciuri'!BN23))&gt;0)*('Istoric_Nativ'!$Q$6:$Q$405&gt;H257))/AL257)</x:f>
      </x:c>
      <x:c r="R257" s="10" t="str">
        <x:f>IF(OR(NOT(AND(J257="PASS",'Calibrare_Linii'!U19="VALID")),AM257=0),""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'Motor_Meciuri'!BO23)+((('Istoric_Nativ'!$E$6:$E$405='Input_Meci'!E23)+('Istoric_Nativ'!$F$6:$F$405='Input_Meci'!E23))&gt;0)*('Istoric_Nativ'!$D$6:$D$405&gt;='Motor_Meciuri'!BP23))&gt;0)*('Istoric_Nativ'!$Q$6:$Q$405&gt;H257))/AM257)</x:f>
      </x:c>
      <x:c r="S257" s="10" t="str">
        <x:f>IF(M257="","",MAX(O257,P257,Q257,R257))</x:f>
      </x:c>
      <x:c r="T257" s="11" t="str">
        <x:f>IF(M257="","",MIN(100,S257*100*'Config_v6'!$B$44+MIN(100,L257/'Config_v6'!$B$13*100)*'Config_v6'!$B$45+(100-'Motor_Meciuri'!BF23)*'Config_v6'!$B$46+'Motor_Meciuri'!BH23*100*'Config_v6'!$B$47))</x:f>
      </x:c>
      <x:c r="U257" s="2" t="str">
        <x:f>IF(T257="","",IF(T257&lt;=20,1,IF(T257&lt;=40,2,IF(T257&lt;=60,3,IF(T257&lt;=80,4,5)))))</x:f>
      </x:c>
      <x:c r="V257" s="2" t="str">
        <x:f>IF(M257="","",MAX(0,'Motor_Meciuri'!BF23-IF(W257="OOS PENDING",'Config_v6'!$B$35,0)-IF(L257&gt;'Config_v6'!$B$12,'Config_v6'!$B$37,IF(L257&gt;'Config_v6'!$B$11,'Config_v6'!$B$36,0))))</x:f>
      </x:c>
      <x:c r="W257" s="2" t="str">
        <x:f>IF(B257="","",IF(I257&lt;&gt;"READY","NOT RELEASED",IF(NOT(AND(J257="PASS",'Calibrare_Linii'!U19="VALID")),"INVALID",IF(NOT(AND('Calibrare_Linii'!S19="VALIDATED",AND('Calibrare_Linii'!H19=C257,ISNUMBER('Calibrare_Linii'!J19),'Calibrare_Linii'!J19&lt;='Input_Meci'!G23))),"OOS PENDING",IF(S257&lt;='Calibrare_Linii'!E19,"PASS",IF(S257&lt;='Calibrare_Linii'!F19,"PENALTY","WATCH"))))))</x:f>
      </x:c>
      <x:c r="X257" s="2" t="str">
        <x:f>IF(M257="","",IF(AND(AND(J257="PASS",'Calibrare_Linii'!U19="VALID"),'Motor_Meciuri'!K23=12,'Motor_Meciuri'!L23=12,'Motor_Meciuri'!M23="NO",'Motor_Meciuri'!BL23='Motor_Meciuri'!C23,AB257&gt;='Config_v6'!$B$50,AN257&gt;='Config_v6'!$B$51,T257&lt;='Config_v6'!$B$52,L257&lt;='Config_v6'!$B$53,ISNUMBER('Calibrare_Linii'!E19),S257&lt;='Calibrare_Linii'!E19,SUM(AK257:AM257)&gt;0),"CANDIDATE","NO"))</x:f>
      </x:c>
      <x:c r="Y257" s="2" t="str">
        <x:f>IF(B257="","",IF(I257&lt;&gt;"READY","NOT RELEASED",IF(AND(X257="CANDIDATE",V257&gt;='Config_v6'!$B$51,W257="PASS",'Calibrare_Linii'!T19="VALIDATED",AND('Calibrare_Linii'!H19=C257,ISNUMBER('Calibrare_Linii'!J19),'Calibrare_Linii'!J19&lt;='Input_Meci'!G23)),"PASS",IF(X257="CANDIDATE","OOS PENDING","FAIL"))))</x:f>
      </x:c>
      <x:c r="Z257" s="2" t="str">
        <x:f>IF(B257="","",IF(I257&lt;&gt;"READY","",IF(OR(NOT(AND(J257="PASS",'Calibrare_Linii'!U19="VALID")),L257&gt;'Config_v6'!$B$13,W257="WATCH"),5,IF(Y257="PASS",1,MIN(5,MAX('Config_v6'!$B$42,U257)+IF(W257="PENALTY",1,0))))))</x:f>
      </x:c>
      <x:c r="AA257" s="2" t="str">
        <x:f>IF(B257="","",IF(I257&lt;&gt;"READY","NOT RELEASED",IF(Z257=5,"NO BET",IF(OR(AB257&lt;'Config_v6'!$B$16,V257&lt;'Config_v6'!$B$18),"WATCH",IF(Z257=1,"DEFENSIV",IF(Z257=2,"PRUDENT",IF(Z257=3,"MODERAT","RIDICAT")))))))</x:f>
      </x:c>
      <x:c r="AB257" s="10" t="str">
        <x:f>IF(N257="","",MIN(N257,1-S257))</x:f>
      </x:c>
      <x:c r="AC257" s="2" t="str">
        <x:f>IF(AD257&lt;&gt;1,"",COUNTIFS($Z$244:$Z$257,"&lt;"&amp;Z257,$AD$244:$AD$257,1)+COUNTIFS($Z$244:$Z$257,Z257,$AB$244:$AB$257,"&gt;"&amp;AB257,$AD$244:$AD$257,1)+COUNTIFS($Z$244:$Z$257,Z257,$AB$244:$AB$257,AB257,$V$244:$V$257,"&gt;"&amp;V257,$AD$244:$AD$257,1)+COUNTIFS($Z$244:Z257,Z257,$AB$244:AB257,AB257,$V$244:V257,V257,$AD$244:AD257,1))</x:f>
      </x:c>
      <x:c r="AD257" s="2" t="n">
        <x:f>IF(OR(AA257="DEFENSIV",AA257="PRUDENT",AA257="MODERAT",AA257="RIDICAT"),1,0)</x:f>
        <x:v>0</x:v>
      </x:c>
      <x:c r="AE257" s="2" t="str">
        <x:f>IF(AD257&lt;&gt;1,"NO",IF(W257="PASS","YES",IF(W257="OOS PENDING","CONDITIONAL","NO")))</x:f>
        <x:v>NO</x:v>
      </x:c>
      <x:c r="AF257" s="2" t="n">
        <x:f>IF(AND(AD257=1,AC257=1,E257="LIVE"),1,0)</x:f>
        <x:v>0</x:v>
      </x:c>
      <x:c r="AG257" s="2" t="str">
        <x:f>IF(AF257&lt;&gt;1,"",'Dashboard'!P43)</x:f>
      </x:c>
      <x:c r="AH257" s="2" t="str">
        <x:f>IF(B257="","",IF(J257&lt;&gt;"PASS",'Motor_Meciuri'!J23,IF('Calibrare_Linii'!U19&lt;&gt;"VALID","Parametri linie invalizi",IF(L257&gt;'Config_v6'!$B$13,"Dispersie peste limita",IF(W257="WATCH","Failure peste limita",IF(AB257&lt;'Config_v6'!$B$16,"P finala sub prag",IF(V257&lt;'Config_v6'!$B$18,"Confidence sub prag",IF(E257="REPLAY","Exemplu retrospectiv; exclus din Top LIVE",IF(Y257="PASS","DEFENSIV validat",IF(W257="OOS PENDING","Eligibil; calibrare linie in monitorizare","Eligibil"))))))))))</x:f>
      </x:c>
      <x:c r="AI257" s="2" t="str">
        <x:f>IF(B257="","",'Calibrare_Linii'!V19)</x:f>
      </x:c>
      <x:c r="AJ257" s="2" t="str">
        <x:f>IF(B257="","",IF(AND('Calibrare_Linii'!T19="VALIDATED",AND('Calibrare_Linii'!H19=C257,ISNUMBER('Calibrare_Linii'!J19),'Calibrare_Linii'!J19&lt;='Input_Meci'!G23)),"DEFENSIVE VALIDATED",IF(AND('Calibrare_Linii'!S19="VALIDATED",AND('Calibrare_Linii'!H19=C257,ISNUMBER('Calibrare_Linii'!J19),'Calibrare_Linii'!J19&lt;='Input_Meci'!G23)),"TAIL VALIDATED","OOS PENDING")))</x:f>
      </x:c>
      <x:c r="AK257" s="2" t="n">
        <x:f>IF(J257&lt;&gt;"PASS",0,'Motor_Meciuri'!BR23)</x:f>
        <x:v>0</x:v>
      </x:c>
      <x:c r="AL257" s="2" t="n">
        <x:f>IF(J257&lt;&gt;"PASS",0,'Motor_Meciuri'!BS23)</x:f>
        <x:v>0</x:v>
      </x:c>
      <x:c r="AM257" s="2" t="n">
        <x:f>IF(J257&lt;&gt;"PASS",0,'Motor_Meciuri'!BT23)</x:f>
        <x:v>0</x:v>
      </x:c>
      <x:c r="AN257" s="2" t="str">
        <x:f>IF(M257="","",MAX(0,'Motor_Meciuri'!BF23-IF(L257&gt;'Config_v6'!$B$12,'Config_v6'!$B$37,IF(L257&gt;'Config_v6'!$B$11,'Config_v6'!$B$36,0))))</x:f>
      </x:c>
    </x:row>
    <x:row r="258" ht="21" customHeight="1">
      <x:c r="A258" s="2" t="n">
        <x:v>19</x:v>
      </x:c>
      <x:c r="B258" s="2" t="str">
        <x:f>IF('Motor_Meciuri'!A24="","",'Motor_Meciuri'!A24)</x:f>
      </x:c>
      <x:c r="C258" s="2" t="str">
        <x:f>IF(B258="","",'Motor_Meciuri'!B24)</x:f>
      </x:c>
      <x:c r="D258" s="2" t="str">
        <x:f>IF(B258="","",'Motor_Meciuri'!D24)</x:f>
      </x:c>
      <x:c r="E258" s="2" t="str">
        <x:f>IF(B258="","",'Motor_Meciuri'!E24)</x:f>
      </x:c>
      <x:c r="F258" s="2" t="str">
        <x:v>O3,5</x:v>
      </x:c>
      <x:c r="G258" s="2" t="str">
        <x:v>OVER</x:v>
      </x:c>
      <x:c r="H258" s="2" t="n">
        <x:v>3</x:v>
      </x:c>
      <x:c r="I258" s="2" t="str">
        <x:f>IF(B258="","",'Motor_Meciuri'!H24)</x:f>
      </x:c>
      <x:c r="J258" s="2" t="str">
        <x:f>IF(B258="","",'Motor_Meciuri'!I24)</x:f>
      </x:c>
      <x:c r="K258" s="11" t="str">
        <x:f>IF(J258&lt;&gt;"PASS","",'Motor_Meciuri'!BD24)</x:f>
      </x:c>
      <x:c r="L258" s="11" t="str">
        <x:f>IF(J258&lt;&gt;"PASS","",'Motor_Meciuri'!AU24)</x:f>
      </x:c>
      <x:c r="M258" s="10" t="str">
        <x:f>IF(NOT(AND(J258="PASS",'Calibrare_Linii'!U6="VALID")),"",1-'Distributie'!AA24)</x:f>
      </x:c>
      <x:c r="N258" s="10" t="str">
        <x:f>IF(M258="","",MAX(0.01,MIN(0.99,0.5+(M258-0.5)*'Motor_Meciuri'!BG24*'Calibrare_Linii'!D6)))</x:f>
      </x:c>
      <x:c r="O258" s="10" t="str">
        <x:f>IF(M258="","",1-M258)</x:f>
      </x:c>
      <x:c r="P258" s="10" t="str">
        <x:f>IF(OR(NOT(AND(J258="PASS",'Calibrare_Linii'!U6="VALID")),AK258=0),""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*('Istoric_Nativ'!$Q$6:$Q$405&lt;=H258))/AK258)</x:f>
      </x:c>
      <x:c r="Q258" s="10" t="str">
        <x:f>IF(OR(NOT(AND(J258="PASS",'Calibrare_Linii'!U6="VALID")),AL258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M24)+((('Istoric_Nativ'!$E$6:$E$405='Input_Meci'!E24)+('Istoric_Nativ'!$F$6:$F$405='Input_Meci'!E24))&gt;0)*('Istoric_Nativ'!$D$6:$D$405&gt;='Motor_Meciuri'!BN24))&gt;0)*('Istoric_Nativ'!$Q$6:$Q$405&lt;=H258))/AL258)</x:f>
      </x:c>
      <x:c r="R258" s="10" t="str">
        <x:f>IF(OR(NOT(AND(J258="PASS",'Calibrare_Linii'!U6="VALID")),AM258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O24)+((('Istoric_Nativ'!$E$6:$E$405='Input_Meci'!E24)+('Istoric_Nativ'!$F$6:$F$405='Input_Meci'!E24))&gt;0)*('Istoric_Nativ'!$D$6:$D$405&gt;='Motor_Meciuri'!BP24))&gt;0)*('Istoric_Nativ'!$Q$6:$Q$405&lt;=H258))/AM258)</x:f>
      </x:c>
      <x:c r="S258" s="10" t="str">
        <x:f>IF(M258="","",MAX(O258,P258,Q258,R258))</x:f>
      </x:c>
      <x:c r="T258" s="11" t="str">
        <x:f>IF(M258="","",MIN(100,S258*100*'Config_v6'!$B$44+MIN(100,L258/'Config_v6'!$B$13*100)*'Config_v6'!$B$45+(100-'Motor_Meciuri'!BF24)*'Config_v6'!$B$46+'Motor_Meciuri'!BH24*100*'Config_v6'!$B$47))</x:f>
      </x:c>
      <x:c r="U258" s="2" t="str">
        <x:f>IF(T258="","",IF(T258&lt;=20,1,IF(T258&lt;=40,2,IF(T258&lt;=60,3,IF(T258&lt;=80,4,5)))))</x:f>
      </x:c>
      <x:c r="V258" s="2" t="str">
        <x:f>IF(M258="","",MAX(0,'Motor_Meciuri'!BF24-IF(W258="OOS PENDING",'Config_v6'!$B$35,0)-IF(L258&gt;'Config_v6'!$B$12,'Config_v6'!$B$37,IF(L258&gt;'Config_v6'!$B$11,'Config_v6'!$B$36,0))))</x:f>
      </x:c>
      <x:c r="W258" s="2" t="str">
        <x:f>IF(B258="","",IF(I258&lt;&gt;"READY","NOT RELEASED",IF(NOT(AND(J258="PASS",'Calibrare_Linii'!U6="VALID")),"INVALID",IF(NOT(TRUE),"OOS PENDING",IF(S258&lt;=IF(AND('Calibrare_Linii'!S6="VALIDATED",AND('Calibrare_Linii'!H6=C258,ISNUMBER('Calibrare_Linii'!J6),'Calibrare_Linii'!J6&lt;='Input_Meci'!G24)),'Calibrare_Linii'!E6,'Config_v6'!$B$26),"PASS",IF(S258&lt;=IF(AND('Calibrare_Linii'!S6="VALIDATED",AND('Calibrare_Linii'!H6=C258,ISNUMBER('Calibrare_Linii'!J6),'Calibrare_Linii'!J6&lt;='Input_Meci'!G24)),'Calibrare_Linii'!F6,'Config_v6'!$C$26),"PENALTY","WATCH"))))))</x:f>
      </x:c>
      <x:c r="X258" s="2" t="str">
        <x:f>IF(M258="","",IF(AND(AND(J258="PASS",'Calibrare_Linii'!U6="VALID"),'Motor_Meciuri'!K24=12,'Motor_Meciuri'!L24=12,'Motor_Meciuri'!M24="NO",'Motor_Meciuri'!BL24='Motor_Meciuri'!C24,AB258&gt;='Config_v6'!$B$50,AN258&gt;='Config_v6'!$B$51,T258&lt;='Config_v6'!$B$52,L258&lt;='Config_v6'!$B$53,ISNUMBER('Calibrare_Linii'!E6),S258&lt;='Calibrare_Linii'!E6,SUM(AK258:AM258)&gt;0),"CANDIDATE","NO"))</x:f>
      </x:c>
      <x:c r="Y258" s="2" t="str">
        <x:f>IF(B258="","",IF(I258&lt;&gt;"READY","NOT RELEASED",IF(AND(X258="CANDIDATE",V258&gt;='Config_v6'!$B$51,W258="PASS",'Calibrare_Linii'!T6="VALIDATED",AND('Calibrare_Linii'!H6=C258,ISNUMBER('Calibrare_Linii'!J6),'Calibrare_Linii'!J6&lt;='Input_Meci'!G24)),"PASS",IF(X258="CANDIDATE","OOS PENDING","FAIL"))))</x:f>
      </x:c>
      <x:c r="Z258" s="2" t="str">
        <x:f>IF(B258="","",IF(I258&lt;&gt;"READY","",IF(OR(NOT(AND(J258="PASS",'Calibrare_Linii'!U6="VALID")),L258&gt;'Config_v6'!$B$13,W258="WATCH"),5,IF(Y258="PASS",1,MIN(5,MAX('Config_v6'!$B$42,U258)+IF(W258="PENALTY",1,0))))))</x:f>
      </x:c>
      <x:c r="AA258" s="2" t="str">
        <x:f>IF(B258="","",IF(I258&lt;&gt;"READY","NOT RELEASED",IF(Z258=5,"NO BET",IF(OR(AB258&lt;'Config_v6'!$B$16,V258&lt;'Config_v6'!$B$18),"WATCH",IF(Z258=1,"DEFENSIV",IF(Z258=2,"PRUDENT",IF(Z258=3,"MODERAT","RIDICAT")))))))</x:f>
      </x:c>
      <x:c r="AB258" s="10" t="str">
        <x:f>IF(N258="","",MIN(N258,1-S258))</x:f>
      </x:c>
      <x:c r="AC258" s="2" t="str">
        <x:f>IF(AD258&lt;&gt;1,"",COUNTIFS($Z$258:$Z$271,"&lt;"&amp;Z258,$AD$258:$AD$271,1)+COUNTIFS($Z$258:$Z$271,Z258,$AB$258:$AB$271,"&gt;"&amp;AB258,$AD$258:$AD$271,1)+COUNTIFS($Z$258:$Z$271,Z258,$AB$258:$AB$271,AB258,$V$258:$V$271,"&gt;"&amp;V258,$AD$258:$AD$271,1)+COUNTIFS($Z$258:Z258,Z258,$AB$258:AB258,AB258,$V$258:V258,V258,$AD$258:AD258,1))</x:f>
      </x:c>
      <x:c r="AD258" s="2" t="n">
        <x:f>IF(OR(AA258="DEFENSIV",AA258="PRUDENT",AA258="MODERAT",AA258="RIDICAT"),1,0)</x:f>
        <x:v>0</x:v>
      </x:c>
      <x:c r="AE258" s="2" t="str">
        <x:f>IF(AD258&lt;&gt;1,"NO",IF(W258="PASS","YES",IF(W258="OOS PENDING","CONDITIONAL","NO")))</x:f>
        <x:v>NO</x:v>
      </x:c>
      <x:c r="AF258" s="2" t="n">
        <x:f>IF(AND(AD258=1,AC258=1,E258="LIVE"),1,0)</x:f>
        <x:v>0</x:v>
      </x:c>
      <x:c r="AG258" s="2" t="str">
        <x:f>IF(AF258&lt;&gt;1,"",'Dashboard'!P44)</x:f>
      </x:c>
      <x:c r="AH258" s="2" t="str">
        <x:f>IF(B258="","",IF(J258&lt;&gt;"PASS",'Motor_Meciuri'!J24,IF('Calibrare_Linii'!U6&lt;&gt;"VALID","Parametri linie invalizi",IF(L258&gt;'Config_v6'!$B$13,"Dispersie peste limita",IF(W258="WATCH","Failure peste limita",IF(AB258&lt;'Config_v6'!$B$16,"P finala sub prag",IF(V258&lt;'Config_v6'!$B$18,"Confidence sub prag",IF(E258="REPLAY","Exemplu retrospectiv; exclus din Top LIVE",IF(Y258="PASS","DEFENSIV validat",IF(W258="OOS PENDING","Eligibil; calibrare linie in monitorizare","Eligibil"))))))))))</x:f>
      </x:c>
      <x:c r="AI258" s="2" t="str">
        <x:f>IF(B258="","",'Calibrare_Linii'!V6)</x:f>
      </x:c>
      <x:c r="AJ258" s="2" t="str">
        <x:f>IF(B258="","",IF(AND('Calibrare_Linii'!T6="VALIDATED",AND('Calibrare_Linii'!H6=C258,ISNUMBER('Calibrare_Linii'!J6),'Calibrare_Linii'!J6&lt;='Input_Meci'!G24)),"DEFENSIVE VALIDATED",IF(AND('Calibrare_Linii'!S6="VALIDATED",AND('Calibrare_Linii'!H6=C258,ISNUMBER('Calibrare_Linii'!J6),'Calibrare_Linii'!J6&lt;='Input_Meci'!G24)),"TAIL VALIDATED","OOS PENDING")))</x:f>
      </x:c>
      <x:c r="AK258" s="2" t="n">
        <x:f>IF(J258&lt;&gt;"PASS",0,'Motor_Meciuri'!BR24)</x:f>
        <x:v>0</x:v>
      </x:c>
      <x:c r="AL258" s="2" t="n">
        <x:f>IF(J258&lt;&gt;"PASS",0,'Motor_Meciuri'!BS24)</x:f>
        <x:v>0</x:v>
      </x:c>
      <x:c r="AM258" s="2" t="n">
        <x:f>IF(J258&lt;&gt;"PASS",0,'Motor_Meciuri'!BT24)</x:f>
        <x:v>0</x:v>
      </x:c>
      <x:c r="AN258" s="2" t="str">
        <x:f>IF(M258="","",MAX(0,'Motor_Meciuri'!BF24-IF(L258&gt;'Config_v6'!$B$12,'Config_v6'!$B$37,IF(L258&gt;'Config_v6'!$B$11,'Config_v6'!$B$36,0))))</x:f>
      </x:c>
    </x:row>
    <x:row r="259" ht="21" customHeight="1">
      <x:c r="A259" s="2" t="n">
        <x:v>19</x:v>
      </x:c>
      <x:c r="B259" s="2" t="str">
        <x:f>IF('Motor_Meciuri'!A24="","",'Motor_Meciuri'!A24)</x:f>
      </x:c>
      <x:c r="C259" s="2" t="str">
        <x:f>IF(B259="","",'Motor_Meciuri'!B24)</x:f>
      </x:c>
      <x:c r="D259" s="2" t="str">
        <x:f>IF(B259="","",'Motor_Meciuri'!D24)</x:f>
      </x:c>
      <x:c r="E259" s="2" t="str">
        <x:f>IF(B259="","",'Motor_Meciuri'!E24)</x:f>
      </x:c>
      <x:c r="F259" s="2" t="str">
        <x:v>O4,5</x:v>
      </x:c>
      <x:c r="G259" s="2" t="str">
        <x:v>OVER</x:v>
      </x:c>
      <x:c r="H259" s="2" t="n">
        <x:v>4</x:v>
      </x:c>
      <x:c r="I259" s="2" t="str">
        <x:f>IF(B259="","",'Motor_Meciuri'!H24)</x:f>
      </x:c>
      <x:c r="J259" s="2" t="str">
        <x:f>IF(B259="","",'Motor_Meciuri'!I24)</x:f>
      </x:c>
      <x:c r="K259" s="11" t="str">
        <x:f>IF(J259&lt;&gt;"PASS","",'Motor_Meciuri'!BD24)</x:f>
      </x:c>
      <x:c r="L259" s="11" t="str">
        <x:f>IF(J259&lt;&gt;"PASS","",'Motor_Meciuri'!AU24)</x:f>
      </x:c>
      <x:c r="M259" s="10" t="str">
        <x:f>IF(NOT(AND(J259="PASS",'Calibrare_Linii'!U7="VALID")),"",1-'Distributie'!AB24)</x:f>
      </x:c>
      <x:c r="N259" s="10" t="str">
        <x:f>IF(M259="","",MAX(0.01,MIN(0.99,0.5+(M259-0.5)*'Motor_Meciuri'!BG24*'Calibrare_Linii'!D7)))</x:f>
      </x:c>
      <x:c r="O259" s="10" t="str">
        <x:f>IF(M259="","",1-M259)</x:f>
      </x:c>
      <x:c r="P259" s="10" t="str">
        <x:f>IF(OR(NOT(AND(J259="PASS",'Calibrare_Linii'!U7="VALID")),AK259=0),""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*('Istoric_Nativ'!$Q$6:$Q$405&lt;=H259))/AK259)</x:f>
      </x:c>
      <x:c r="Q259" s="10" t="str">
        <x:f>IF(OR(NOT(AND(J259="PASS",'Calibrare_Linii'!U7="VALID")),AL259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M24)+((('Istoric_Nativ'!$E$6:$E$405='Input_Meci'!E24)+('Istoric_Nativ'!$F$6:$F$405='Input_Meci'!E24))&gt;0)*('Istoric_Nativ'!$D$6:$D$405&gt;='Motor_Meciuri'!BN24))&gt;0)*('Istoric_Nativ'!$Q$6:$Q$405&lt;=H259))/AL259)</x:f>
      </x:c>
      <x:c r="R259" s="10" t="str">
        <x:f>IF(OR(NOT(AND(J259="PASS",'Calibrare_Linii'!U7="VALID")),AM259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O24)+((('Istoric_Nativ'!$E$6:$E$405='Input_Meci'!E24)+('Istoric_Nativ'!$F$6:$F$405='Input_Meci'!E24))&gt;0)*('Istoric_Nativ'!$D$6:$D$405&gt;='Motor_Meciuri'!BP24))&gt;0)*('Istoric_Nativ'!$Q$6:$Q$405&lt;=H259))/AM259)</x:f>
      </x:c>
      <x:c r="S259" s="10" t="str">
        <x:f>IF(M259="","",MAX(O259,P259,Q259,R259))</x:f>
      </x:c>
      <x:c r="T259" s="11" t="str">
        <x:f>IF(M259="","",MIN(100,S259*100*'Config_v6'!$B$44+MIN(100,L259/'Config_v6'!$B$13*100)*'Config_v6'!$B$45+(100-'Motor_Meciuri'!BF24)*'Config_v6'!$B$46+'Motor_Meciuri'!BH24*100*'Config_v6'!$B$47))</x:f>
      </x:c>
      <x:c r="U259" s="2" t="str">
        <x:f>IF(T259="","",IF(T259&lt;=20,1,IF(T259&lt;=40,2,IF(T259&lt;=60,3,IF(T259&lt;=80,4,5)))))</x:f>
      </x:c>
      <x:c r="V259" s="2" t="str">
        <x:f>IF(M259="","",MAX(0,'Motor_Meciuri'!BF24-IF(W259="OOS PENDING",'Config_v6'!$B$35,0)-IF(L259&gt;'Config_v6'!$B$12,'Config_v6'!$B$37,IF(L259&gt;'Config_v6'!$B$11,'Config_v6'!$B$36,0))))</x:f>
      </x:c>
      <x:c r="W259" s="2" t="str">
        <x:f>IF(B259="","",IF(I259&lt;&gt;"READY","NOT RELEASED",IF(NOT(AND(J259="PASS",'Calibrare_Linii'!U7="VALID")),"INVALID",IF(NOT(AND('Calibrare_Linii'!S7="VALIDATED",AND('Calibrare_Linii'!H7=C259,ISNUMBER('Calibrare_Linii'!J7),'Calibrare_Linii'!J7&lt;='Input_Meci'!G24))),"OOS PENDING",IF(S259&lt;='Calibrare_Linii'!E7,"PASS",IF(S259&lt;='Calibrare_Linii'!F7,"PENALTY","WATCH"))))))</x:f>
      </x:c>
      <x:c r="X259" s="2" t="str">
        <x:f>IF(M259="","",IF(AND(AND(J259="PASS",'Calibrare_Linii'!U7="VALID"),'Motor_Meciuri'!K24=12,'Motor_Meciuri'!L24=12,'Motor_Meciuri'!M24="NO",'Motor_Meciuri'!BL24='Motor_Meciuri'!C24,AB259&gt;='Config_v6'!$B$50,AN259&gt;='Config_v6'!$B$51,T259&lt;='Config_v6'!$B$52,L259&lt;='Config_v6'!$B$53,ISNUMBER('Calibrare_Linii'!E7),S259&lt;='Calibrare_Linii'!E7,SUM(AK259:AM259)&gt;0),"CANDIDATE","NO"))</x:f>
      </x:c>
      <x:c r="Y259" s="2" t="str">
        <x:f>IF(B259="","",IF(I259&lt;&gt;"READY","NOT RELEASED",IF(AND(X259="CANDIDATE",V259&gt;='Config_v6'!$B$51,W259="PASS",'Calibrare_Linii'!T7="VALIDATED",AND('Calibrare_Linii'!H7=C259,ISNUMBER('Calibrare_Linii'!J7),'Calibrare_Linii'!J7&lt;='Input_Meci'!G24)),"PASS",IF(X259="CANDIDATE","OOS PENDING","FAIL"))))</x:f>
      </x:c>
      <x:c r="Z259" s="2" t="str">
        <x:f>IF(B259="","",IF(I259&lt;&gt;"READY","",IF(OR(NOT(AND(J259="PASS",'Calibrare_Linii'!U7="VALID")),L259&gt;'Config_v6'!$B$13,W259="WATCH"),5,IF(Y259="PASS",1,MIN(5,MAX('Config_v6'!$B$42,U259)+IF(W259="PENALTY",1,0))))))</x:f>
      </x:c>
      <x:c r="AA259" s="2" t="str">
        <x:f>IF(B259="","",IF(I259&lt;&gt;"READY","NOT RELEASED",IF(Z259=5,"NO BET",IF(OR(AB259&lt;'Config_v6'!$B$16,V259&lt;'Config_v6'!$B$18),"WATCH",IF(Z259=1,"DEFENSIV",IF(Z259=2,"PRUDENT",IF(Z259=3,"MODERAT","RIDICAT")))))))</x:f>
      </x:c>
      <x:c r="AB259" s="10" t="str">
        <x:f>IF(N259="","",MIN(N259,1-S259))</x:f>
      </x:c>
      <x:c r="AC259" s="2" t="str">
        <x:f>IF(AD259&lt;&gt;1,"",COUNTIFS($Z$258:$Z$271,"&lt;"&amp;Z259,$AD$258:$AD$271,1)+COUNTIFS($Z$258:$Z$271,Z259,$AB$258:$AB$271,"&gt;"&amp;AB259,$AD$258:$AD$271,1)+COUNTIFS($Z$258:$Z$271,Z259,$AB$258:$AB$271,AB259,$V$258:$V$271,"&gt;"&amp;V259,$AD$258:$AD$271,1)+COUNTIFS($Z$258:Z259,Z259,$AB$258:AB259,AB259,$V$258:V259,V259,$AD$258:AD259,1))</x:f>
      </x:c>
      <x:c r="AD259" s="2" t="n">
        <x:f>IF(OR(AA259="DEFENSIV",AA259="PRUDENT",AA259="MODERAT",AA259="RIDICAT"),1,0)</x:f>
        <x:v>0</x:v>
      </x:c>
      <x:c r="AE259" s="2" t="str">
        <x:f>IF(AD259&lt;&gt;1,"NO",IF(W259="PASS","YES",IF(W259="OOS PENDING","CONDITIONAL","NO")))</x:f>
        <x:v>NO</x:v>
      </x:c>
      <x:c r="AF259" s="2" t="n">
        <x:f>IF(AND(AD259=1,AC259=1,E259="LIVE"),1,0)</x:f>
        <x:v>0</x:v>
      </x:c>
      <x:c r="AG259" s="2" t="str">
        <x:f>IF(AF259&lt;&gt;1,"",'Dashboard'!P44)</x:f>
      </x:c>
      <x:c r="AH259" s="2" t="str">
        <x:f>IF(B259="","",IF(J259&lt;&gt;"PASS",'Motor_Meciuri'!J24,IF('Calibrare_Linii'!U7&lt;&gt;"VALID","Parametri linie invalizi",IF(L259&gt;'Config_v6'!$B$13,"Dispersie peste limita",IF(W259="WATCH","Failure peste limita",IF(AB259&lt;'Config_v6'!$B$16,"P finala sub prag",IF(V259&lt;'Config_v6'!$B$18,"Confidence sub prag",IF(E259="REPLAY","Exemplu retrospectiv; exclus din Top LIVE",IF(Y259="PASS","DEFENSIV validat",IF(W259="OOS PENDING","Eligibil; calibrare linie in monitorizare","Eligibil"))))))))))</x:f>
      </x:c>
      <x:c r="AI259" s="2" t="str">
        <x:f>IF(B259="","",'Calibrare_Linii'!V7)</x:f>
      </x:c>
      <x:c r="AJ259" s="2" t="str">
        <x:f>IF(B259="","",IF(AND('Calibrare_Linii'!T7="VALIDATED",AND('Calibrare_Linii'!H7=C259,ISNUMBER('Calibrare_Linii'!J7),'Calibrare_Linii'!J7&lt;='Input_Meci'!G24)),"DEFENSIVE VALIDATED",IF(AND('Calibrare_Linii'!S7="VALIDATED",AND('Calibrare_Linii'!H7=C259,ISNUMBER('Calibrare_Linii'!J7),'Calibrare_Linii'!J7&lt;='Input_Meci'!G24)),"TAIL VALIDATED","OOS PENDING")))</x:f>
      </x:c>
      <x:c r="AK259" s="2" t="n">
        <x:f>IF(J259&lt;&gt;"PASS",0,'Motor_Meciuri'!BR24)</x:f>
        <x:v>0</x:v>
      </x:c>
      <x:c r="AL259" s="2" t="n">
        <x:f>IF(J259&lt;&gt;"PASS",0,'Motor_Meciuri'!BS24)</x:f>
        <x:v>0</x:v>
      </x:c>
      <x:c r="AM259" s="2" t="n">
        <x:f>IF(J259&lt;&gt;"PASS",0,'Motor_Meciuri'!BT24)</x:f>
        <x:v>0</x:v>
      </x:c>
      <x:c r="AN259" s="2" t="str">
        <x:f>IF(M259="","",MAX(0,'Motor_Meciuri'!BF24-IF(L259&gt;'Config_v6'!$B$12,'Config_v6'!$B$37,IF(L259&gt;'Config_v6'!$B$11,'Config_v6'!$B$36,0))))</x:f>
      </x:c>
    </x:row>
    <x:row r="260" ht="21" customHeight="1">
      <x:c r="A260" s="2" t="n">
        <x:v>19</x:v>
      </x:c>
      <x:c r="B260" s="2" t="str">
        <x:f>IF('Motor_Meciuri'!A24="","",'Motor_Meciuri'!A24)</x:f>
      </x:c>
      <x:c r="C260" s="2" t="str">
        <x:f>IF(B260="","",'Motor_Meciuri'!B24)</x:f>
      </x:c>
      <x:c r="D260" s="2" t="str">
        <x:f>IF(B260="","",'Motor_Meciuri'!D24)</x:f>
      </x:c>
      <x:c r="E260" s="2" t="str">
        <x:f>IF(B260="","",'Motor_Meciuri'!E24)</x:f>
      </x:c>
      <x:c r="F260" s="2" t="str">
        <x:v>O5,5</x:v>
      </x:c>
      <x:c r="G260" s="2" t="str">
        <x:v>OVER</x:v>
      </x:c>
      <x:c r="H260" s="2" t="n">
        <x:v>5</x:v>
      </x:c>
      <x:c r="I260" s="2" t="str">
        <x:f>IF(B260="","",'Motor_Meciuri'!H24)</x:f>
      </x:c>
      <x:c r="J260" s="2" t="str">
        <x:f>IF(B260="","",'Motor_Meciuri'!I24)</x:f>
      </x:c>
      <x:c r="K260" s="11" t="str">
        <x:f>IF(J260&lt;&gt;"PASS","",'Motor_Meciuri'!BD24)</x:f>
      </x:c>
      <x:c r="L260" s="11" t="str">
        <x:f>IF(J260&lt;&gt;"PASS","",'Motor_Meciuri'!AU24)</x:f>
      </x:c>
      <x:c r="M260" s="10" t="str">
        <x:f>IF(NOT(AND(J260="PASS",'Calibrare_Linii'!U8="VALID")),"",1-'Distributie'!AC24)</x:f>
      </x:c>
      <x:c r="N260" s="10" t="str">
        <x:f>IF(M260="","",MAX(0.01,MIN(0.99,0.5+(M260-0.5)*'Motor_Meciuri'!BG24*'Calibrare_Linii'!D8)))</x:f>
      </x:c>
      <x:c r="O260" s="10" t="str">
        <x:f>IF(M260="","",1-M260)</x:f>
      </x:c>
      <x:c r="P260" s="10" t="str">
        <x:f>IF(OR(NOT(AND(J260="PASS",'Calibrare_Linii'!U8="VALID")),AK260=0),""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*('Istoric_Nativ'!$Q$6:$Q$405&lt;=H260))/AK260)</x:f>
      </x:c>
      <x:c r="Q260" s="10" t="str">
        <x:f>IF(OR(NOT(AND(J260="PASS",'Calibrare_Linii'!U8="VALID")),AL260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M24)+((('Istoric_Nativ'!$E$6:$E$405='Input_Meci'!E24)+('Istoric_Nativ'!$F$6:$F$405='Input_Meci'!E24))&gt;0)*('Istoric_Nativ'!$D$6:$D$405&gt;='Motor_Meciuri'!BN24))&gt;0)*('Istoric_Nativ'!$Q$6:$Q$405&lt;=H260))/AL260)</x:f>
      </x:c>
      <x:c r="R260" s="10" t="str">
        <x:f>IF(OR(NOT(AND(J260="PASS",'Calibrare_Linii'!U8="VALID")),AM260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O24)+((('Istoric_Nativ'!$E$6:$E$405='Input_Meci'!E24)+('Istoric_Nativ'!$F$6:$F$405='Input_Meci'!E24))&gt;0)*('Istoric_Nativ'!$D$6:$D$405&gt;='Motor_Meciuri'!BP24))&gt;0)*('Istoric_Nativ'!$Q$6:$Q$405&lt;=H260))/AM260)</x:f>
      </x:c>
      <x:c r="S260" s="10" t="str">
        <x:f>IF(M260="","",MAX(O260,P260,Q260,R260))</x:f>
      </x:c>
      <x:c r="T260" s="11" t="str">
        <x:f>IF(M260="","",MIN(100,S260*100*'Config_v6'!$B$44+MIN(100,L260/'Config_v6'!$B$13*100)*'Config_v6'!$B$45+(100-'Motor_Meciuri'!BF24)*'Config_v6'!$B$46+'Motor_Meciuri'!BH24*100*'Config_v6'!$B$47))</x:f>
      </x:c>
      <x:c r="U260" s="2" t="str">
        <x:f>IF(T260="","",IF(T260&lt;=20,1,IF(T260&lt;=40,2,IF(T260&lt;=60,3,IF(T260&lt;=80,4,5)))))</x:f>
      </x:c>
      <x:c r="V260" s="2" t="str">
        <x:f>IF(M260="","",MAX(0,'Motor_Meciuri'!BF24-IF(W260="OOS PENDING",'Config_v6'!$B$35,0)-IF(L260&gt;'Config_v6'!$B$12,'Config_v6'!$B$37,IF(L260&gt;'Config_v6'!$B$11,'Config_v6'!$B$36,0))))</x:f>
      </x:c>
      <x:c r="W260" s="2" t="str">
        <x:f>IF(B260="","",IF(I260&lt;&gt;"READY","NOT RELEASED",IF(NOT(AND(J260="PASS",'Calibrare_Linii'!U8="VALID")),"INVALID",IF(NOT(AND('Calibrare_Linii'!S8="VALIDATED",AND('Calibrare_Linii'!H8=C260,ISNUMBER('Calibrare_Linii'!J8),'Calibrare_Linii'!J8&lt;='Input_Meci'!G24))),"OOS PENDING",IF(S260&lt;='Calibrare_Linii'!E8,"PASS",IF(S260&lt;='Calibrare_Linii'!F8,"PENALTY","WATCH"))))))</x:f>
      </x:c>
      <x:c r="X260" s="2" t="str">
        <x:f>IF(M260="","",IF(AND(AND(J260="PASS",'Calibrare_Linii'!U8="VALID"),'Motor_Meciuri'!K24=12,'Motor_Meciuri'!L24=12,'Motor_Meciuri'!M24="NO",'Motor_Meciuri'!BL24='Motor_Meciuri'!C24,AB260&gt;='Config_v6'!$B$50,AN260&gt;='Config_v6'!$B$51,T260&lt;='Config_v6'!$B$52,L260&lt;='Config_v6'!$B$53,ISNUMBER('Calibrare_Linii'!E8),S260&lt;='Calibrare_Linii'!E8,SUM(AK260:AM260)&gt;0),"CANDIDATE","NO"))</x:f>
      </x:c>
      <x:c r="Y260" s="2" t="str">
        <x:f>IF(B260="","",IF(I260&lt;&gt;"READY","NOT RELEASED",IF(AND(X260="CANDIDATE",V260&gt;='Config_v6'!$B$51,W260="PASS",'Calibrare_Linii'!T8="VALIDATED",AND('Calibrare_Linii'!H8=C260,ISNUMBER('Calibrare_Linii'!J8),'Calibrare_Linii'!J8&lt;='Input_Meci'!G24)),"PASS",IF(X260="CANDIDATE","OOS PENDING","FAIL"))))</x:f>
      </x:c>
      <x:c r="Z260" s="2" t="str">
        <x:f>IF(B260="","",IF(I260&lt;&gt;"READY","",IF(OR(NOT(AND(J260="PASS",'Calibrare_Linii'!U8="VALID")),L260&gt;'Config_v6'!$B$13,W260="WATCH"),5,IF(Y260="PASS",1,MIN(5,MAX('Config_v6'!$B$42,U260)+IF(W260="PENALTY",1,0))))))</x:f>
      </x:c>
      <x:c r="AA260" s="2" t="str">
        <x:f>IF(B260="","",IF(I260&lt;&gt;"READY","NOT RELEASED",IF(Z260=5,"NO BET",IF(OR(AB260&lt;'Config_v6'!$B$16,V260&lt;'Config_v6'!$B$18),"WATCH",IF(Z260=1,"DEFENSIV",IF(Z260=2,"PRUDENT",IF(Z260=3,"MODERAT","RIDICAT")))))))</x:f>
      </x:c>
      <x:c r="AB260" s="10" t="str">
        <x:f>IF(N260="","",MIN(N260,1-S260))</x:f>
      </x:c>
      <x:c r="AC260" s="2" t="str">
        <x:f>IF(AD260&lt;&gt;1,"",COUNTIFS($Z$258:$Z$271,"&lt;"&amp;Z260,$AD$258:$AD$271,1)+COUNTIFS($Z$258:$Z$271,Z260,$AB$258:$AB$271,"&gt;"&amp;AB260,$AD$258:$AD$271,1)+COUNTIFS($Z$258:$Z$271,Z260,$AB$258:$AB$271,AB260,$V$258:$V$271,"&gt;"&amp;V260,$AD$258:$AD$271,1)+COUNTIFS($Z$258:Z260,Z260,$AB$258:AB260,AB260,$V$258:V260,V260,$AD$258:AD260,1))</x:f>
      </x:c>
      <x:c r="AD260" s="2" t="n">
        <x:f>IF(OR(AA260="DEFENSIV",AA260="PRUDENT",AA260="MODERAT",AA260="RIDICAT"),1,0)</x:f>
        <x:v>0</x:v>
      </x:c>
      <x:c r="AE260" s="2" t="str">
        <x:f>IF(AD260&lt;&gt;1,"NO",IF(W260="PASS","YES",IF(W260="OOS PENDING","CONDITIONAL","NO")))</x:f>
        <x:v>NO</x:v>
      </x:c>
      <x:c r="AF260" s="2" t="n">
        <x:f>IF(AND(AD260=1,AC260=1,E260="LIVE"),1,0)</x:f>
        <x:v>0</x:v>
      </x:c>
      <x:c r="AG260" s="2" t="str">
        <x:f>IF(AF260&lt;&gt;1,"",'Dashboard'!P44)</x:f>
      </x:c>
      <x:c r="AH260" s="2" t="str">
        <x:f>IF(B260="","",IF(J260&lt;&gt;"PASS",'Motor_Meciuri'!J24,IF('Calibrare_Linii'!U8&lt;&gt;"VALID","Parametri linie invalizi",IF(L260&gt;'Config_v6'!$B$13,"Dispersie peste limita",IF(W260="WATCH","Failure peste limita",IF(AB260&lt;'Config_v6'!$B$16,"P finala sub prag",IF(V260&lt;'Config_v6'!$B$18,"Confidence sub prag",IF(E260="REPLAY","Exemplu retrospectiv; exclus din Top LIVE",IF(Y260="PASS","DEFENSIV validat",IF(W260="OOS PENDING","Eligibil; calibrare linie in monitorizare","Eligibil"))))))))))</x:f>
      </x:c>
      <x:c r="AI260" s="2" t="str">
        <x:f>IF(B260="","",'Calibrare_Linii'!V8)</x:f>
      </x:c>
      <x:c r="AJ260" s="2" t="str">
        <x:f>IF(B260="","",IF(AND('Calibrare_Linii'!T8="VALIDATED",AND('Calibrare_Linii'!H8=C260,ISNUMBER('Calibrare_Linii'!J8),'Calibrare_Linii'!J8&lt;='Input_Meci'!G24)),"DEFENSIVE VALIDATED",IF(AND('Calibrare_Linii'!S8="VALIDATED",AND('Calibrare_Linii'!H8=C260,ISNUMBER('Calibrare_Linii'!J8),'Calibrare_Linii'!J8&lt;='Input_Meci'!G24)),"TAIL VALIDATED","OOS PENDING")))</x:f>
      </x:c>
      <x:c r="AK260" s="2" t="n">
        <x:f>IF(J260&lt;&gt;"PASS",0,'Motor_Meciuri'!BR24)</x:f>
        <x:v>0</x:v>
      </x:c>
      <x:c r="AL260" s="2" t="n">
        <x:f>IF(J260&lt;&gt;"PASS",0,'Motor_Meciuri'!BS24)</x:f>
        <x:v>0</x:v>
      </x:c>
      <x:c r="AM260" s="2" t="n">
        <x:f>IF(J260&lt;&gt;"PASS",0,'Motor_Meciuri'!BT24)</x:f>
        <x:v>0</x:v>
      </x:c>
      <x:c r="AN260" s="2" t="str">
        <x:f>IF(M260="","",MAX(0,'Motor_Meciuri'!BF24-IF(L260&gt;'Config_v6'!$B$12,'Config_v6'!$B$37,IF(L260&gt;'Config_v6'!$B$11,'Config_v6'!$B$36,0))))</x:f>
      </x:c>
    </x:row>
    <x:row r="261" ht="21" customHeight="1">
      <x:c r="A261" s="2" t="n">
        <x:v>19</x:v>
      </x:c>
      <x:c r="B261" s="2" t="str">
        <x:f>IF('Motor_Meciuri'!A24="","",'Motor_Meciuri'!A24)</x:f>
      </x:c>
      <x:c r="C261" s="2" t="str">
        <x:f>IF(B261="","",'Motor_Meciuri'!B24)</x:f>
      </x:c>
      <x:c r="D261" s="2" t="str">
        <x:f>IF(B261="","",'Motor_Meciuri'!D24)</x:f>
      </x:c>
      <x:c r="E261" s="2" t="str">
        <x:f>IF(B261="","",'Motor_Meciuri'!E24)</x:f>
      </x:c>
      <x:c r="F261" s="2" t="str">
        <x:v>O6,5</x:v>
      </x:c>
      <x:c r="G261" s="2" t="str">
        <x:v>OVER</x:v>
      </x:c>
      <x:c r="H261" s="2" t="n">
        <x:v>6</x:v>
      </x:c>
      <x:c r="I261" s="2" t="str">
        <x:f>IF(B261="","",'Motor_Meciuri'!H24)</x:f>
      </x:c>
      <x:c r="J261" s="2" t="str">
        <x:f>IF(B261="","",'Motor_Meciuri'!I24)</x:f>
      </x:c>
      <x:c r="K261" s="11" t="str">
        <x:f>IF(J261&lt;&gt;"PASS","",'Motor_Meciuri'!BD24)</x:f>
      </x:c>
      <x:c r="L261" s="11" t="str">
        <x:f>IF(J261&lt;&gt;"PASS","",'Motor_Meciuri'!AU24)</x:f>
      </x:c>
      <x:c r="M261" s="10" t="str">
        <x:f>IF(NOT(AND(J261="PASS",'Calibrare_Linii'!U9="VALID")),"",1-'Distributie'!AD24)</x:f>
      </x:c>
      <x:c r="N261" s="10" t="str">
        <x:f>IF(M261="","",MAX(0.01,MIN(0.99,0.5+(M261-0.5)*'Motor_Meciuri'!BG24*'Calibrare_Linii'!D9)))</x:f>
      </x:c>
      <x:c r="O261" s="10" t="str">
        <x:f>IF(M261="","",1-M261)</x:f>
      </x:c>
      <x:c r="P261" s="10" t="str">
        <x:f>IF(OR(NOT(AND(J261="PASS",'Calibrare_Linii'!U9="VALID")),AK261=0),""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*('Istoric_Nativ'!$Q$6:$Q$405&lt;=H261))/AK261)</x:f>
      </x:c>
      <x:c r="Q261" s="10" t="str">
        <x:f>IF(OR(NOT(AND(J261="PASS",'Calibrare_Linii'!U9="VALID")),AL261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M24)+((('Istoric_Nativ'!$E$6:$E$405='Input_Meci'!E24)+('Istoric_Nativ'!$F$6:$F$405='Input_Meci'!E24))&gt;0)*('Istoric_Nativ'!$D$6:$D$405&gt;='Motor_Meciuri'!BN24))&gt;0)*('Istoric_Nativ'!$Q$6:$Q$405&lt;=H261))/AL261)</x:f>
      </x:c>
      <x:c r="R261" s="10" t="str">
        <x:f>IF(OR(NOT(AND(J261="PASS",'Calibrare_Linii'!U9="VALID")),AM261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O24)+((('Istoric_Nativ'!$E$6:$E$405='Input_Meci'!E24)+('Istoric_Nativ'!$F$6:$F$405='Input_Meci'!E24))&gt;0)*('Istoric_Nativ'!$D$6:$D$405&gt;='Motor_Meciuri'!BP24))&gt;0)*('Istoric_Nativ'!$Q$6:$Q$405&lt;=H261))/AM261)</x:f>
      </x:c>
      <x:c r="S261" s="10" t="str">
        <x:f>IF(M261="","",MAX(O261,P261,Q261,R261))</x:f>
      </x:c>
      <x:c r="T261" s="11" t="str">
        <x:f>IF(M261="","",MIN(100,S261*100*'Config_v6'!$B$44+MIN(100,L261/'Config_v6'!$B$13*100)*'Config_v6'!$B$45+(100-'Motor_Meciuri'!BF24)*'Config_v6'!$B$46+'Motor_Meciuri'!BH24*100*'Config_v6'!$B$47))</x:f>
      </x:c>
      <x:c r="U261" s="2" t="str">
        <x:f>IF(T261="","",IF(T261&lt;=20,1,IF(T261&lt;=40,2,IF(T261&lt;=60,3,IF(T261&lt;=80,4,5)))))</x:f>
      </x:c>
      <x:c r="V261" s="2" t="str">
        <x:f>IF(M261="","",MAX(0,'Motor_Meciuri'!BF24-IF(W261="OOS PENDING",'Config_v6'!$B$35,0)-IF(L261&gt;'Config_v6'!$B$12,'Config_v6'!$B$37,IF(L261&gt;'Config_v6'!$B$11,'Config_v6'!$B$36,0))))</x:f>
      </x:c>
      <x:c r="W261" s="2" t="str">
        <x:f>IF(B261="","",IF(I261&lt;&gt;"READY","NOT RELEASED",IF(NOT(AND(J261="PASS",'Calibrare_Linii'!U9="VALID")),"INVALID",IF(NOT(AND('Calibrare_Linii'!S9="VALIDATED",AND('Calibrare_Linii'!H9=C261,ISNUMBER('Calibrare_Linii'!J9),'Calibrare_Linii'!J9&lt;='Input_Meci'!G24))),"OOS PENDING",IF(S261&lt;='Calibrare_Linii'!E9,"PASS",IF(S261&lt;='Calibrare_Linii'!F9,"PENALTY","WATCH"))))))</x:f>
      </x:c>
      <x:c r="X261" s="2" t="str">
        <x:f>IF(M261="","",IF(AND(AND(J261="PASS",'Calibrare_Linii'!U9="VALID"),'Motor_Meciuri'!K24=12,'Motor_Meciuri'!L24=12,'Motor_Meciuri'!M24="NO",'Motor_Meciuri'!BL24='Motor_Meciuri'!C24,AB261&gt;='Config_v6'!$B$50,AN261&gt;='Config_v6'!$B$51,T261&lt;='Config_v6'!$B$52,L261&lt;='Config_v6'!$B$53,ISNUMBER('Calibrare_Linii'!E9),S261&lt;='Calibrare_Linii'!E9,SUM(AK261:AM261)&gt;0),"CANDIDATE","NO"))</x:f>
      </x:c>
      <x:c r="Y261" s="2" t="str">
        <x:f>IF(B261="","",IF(I261&lt;&gt;"READY","NOT RELEASED",IF(AND(X261="CANDIDATE",V261&gt;='Config_v6'!$B$51,W261="PASS",'Calibrare_Linii'!T9="VALIDATED",AND('Calibrare_Linii'!H9=C261,ISNUMBER('Calibrare_Linii'!J9),'Calibrare_Linii'!J9&lt;='Input_Meci'!G24)),"PASS",IF(X261="CANDIDATE","OOS PENDING","FAIL"))))</x:f>
      </x:c>
      <x:c r="Z261" s="2" t="str">
        <x:f>IF(B261="","",IF(I261&lt;&gt;"READY","",IF(OR(NOT(AND(J261="PASS",'Calibrare_Linii'!U9="VALID")),L261&gt;'Config_v6'!$B$13,W261="WATCH"),5,IF(Y261="PASS",1,MIN(5,MAX('Config_v6'!$B$42,U261)+IF(W261="PENALTY",1,0))))))</x:f>
      </x:c>
      <x:c r="AA261" s="2" t="str">
        <x:f>IF(B261="","",IF(I261&lt;&gt;"READY","NOT RELEASED",IF(Z261=5,"NO BET",IF(OR(AB261&lt;'Config_v6'!$B$16,V261&lt;'Config_v6'!$B$18),"WATCH",IF(Z261=1,"DEFENSIV",IF(Z261=2,"PRUDENT",IF(Z261=3,"MODERAT","RIDICAT")))))))</x:f>
      </x:c>
      <x:c r="AB261" s="10" t="str">
        <x:f>IF(N261="","",MIN(N261,1-S261))</x:f>
      </x:c>
      <x:c r="AC261" s="2" t="str">
        <x:f>IF(AD261&lt;&gt;1,"",COUNTIFS($Z$258:$Z$271,"&lt;"&amp;Z261,$AD$258:$AD$271,1)+COUNTIFS($Z$258:$Z$271,Z261,$AB$258:$AB$271,"&gt;"&amp;AB261,$AD$258:$AD$271,1)+COUNTIFS($Z$258:$Z$271,Z261,$AB$258:$AB$271,AB261,$V$258:$V$271,"&gt;"&amp;V261,$AD$258:$AD$271,1)+COUNTIFS($Z$258:Z261,Z261,$AB$258:AB261,AB261,$V$258:V261,V261,$AD$258:AD261,1))</x:f>
      </x:c>
      <x:c r="AD261" s="2" t="n">
        <x:f>IF(OR(AA261="DEFENSIV",AA261="PRUDENT",AA261="MODERAT",AA261="RIDICAT"),1,0)</x:f>
        <x:v>0</x:v>
      </x:c>
      <x:c r="AE261" s="2" t="str">
        <x:f>IF(AD261&lt;&gt;1,"NO",IF(W261="PASS","YES",IF(W261="OOS PENDING","CONDITIONAL","NO")))</x:f>
        <x:v>NO</x:v>
      </x:c>
      <x:c r="AF261" s="2" t="n">
        <x:f>IF(AND(AD261=1,AC261=1,E261="LIVE"),1,0)</x:f>
        <x:v>0</x:v>
      </x:c>
      <x:c r="AG261" s="2" t="str">
        <x:f>IF(AF261&lt;&gt;1,"",'Dashboard'!P44)</x:f>
      </x:c>
      <x:c r="AH261" s="2" t="str">
        <x:f>IF(B261="","",IF(J261&lt;&gt;"PASS",'Motor_Meciuri'!J24,IF('Calibrare_Linii'!U9&lt;&gt;"VALID","Parametri linie invalizi",IF(L261&gt;'Config_v6'!$B$13,"Dispersie peste limita",IF(W261="WATCH","Failure peste limita",IF(AB261&lt;'Config_v6'!$B$16,"P finala sub prag",IF(V261&lt;'Config_v6'!$B$18,"Confidence sub prag",IF(E261="REPLAY","Exemplu retrospectiv; exclus din Top LIVE",IF(Y261="PASS","DEFENSIV validat",IF(W261="OOS PENDING","Eligibil; calibrare linie in monitorizare","Eligibil"))))))))))</x:f>
      </x:c>
      <x:c r="AI261" s="2" t="str">
        <x:f>IF(B261="","",'Calibrare_Linii'!V9)</x:f>
      </x:c>
      <x:c r="AJ261" s="2" t="str">
        <x:f>IF(B261="","",IF(AND('Calibrare_Linii'!T9="VALIDATED",AND('Calibrare_Linii'!H9=C261,ISNUMBER('Calibrare_Linii'!J9),'Calibrare_Linii'!J9&lt;='Input_Meci'!G24)),"DEFENSIVE VALIDATED",IF(AND('Calibrare_Linii'!S9="VALIDATED",AND('Calibrare_Linii'!H9=C261,ISNUMBER('Calibrare_Linii'!J9),'Calibrare_Linii'!J9&lt;='Input_Meci'!G24)),"TAIL VALIDATED","OOS PENDING")))</x:f>
      </x:c>
      <x:c r="AK261" s="2" t="n">
        <x:f>IF(J261&lt;&gt;"PASS",0,'Motor_Meciuri'!BR24)</x:f>
        <x:v>0</x:v>
      </x:c>
      <x:c r="AL261" s="2" t="n">
        <x:f>IF(J261&lt;&gt;"PASS",0,'Motor_Meciuri'!BS24)</x:f>
        <x:v>0</x:v>
      </x:c>
      <x:c r="AM261" s="2" t="n">
        <x:f>IF(J261&lt;&gt;"PASS",0,'Motor_Meciuri'!BT24)</x:f>
        <x:v>0</x:v>
      </x:c>
      <x:c r="AN261" s="2" t="str">
        <x:f>IF(M261="","",MAX(0,'Motor_Meciuri'!BF24-IF(L261&gt;'Config_v6'!$B$12,'Config_v6'!$B$37,IF(L261&gt;'Config_v6'!$B$11,'Config_v6'!$B$36,0))))</x:f>
      </x:c>
    </x:row>
    <x:row r="262" ht="21" customHeight="1">
      <x:c r="A262" s="2" t="n">
        <x:v>19</x:v>
      </x:c>
      <x:c r="B262" s="2" t="str">
        <x:f>IF('Motor_Meciuri'!A24="","",'Motor_Meciuri'!A24)</x:f>
      </x:c>
      <x:c r="C262" s="2" t="str">
        <x:f>IF(B262="","",'Motor_Meciuri'!B24)</x:f>
      </x:c>
      <x:c r="D262" s="2" t="str">
        <x:f>IF(B262="","",'Motor_Meciuri'!D24)</x:f>
      </x:c>
      <x:c r="E262" s="2" t="str">
        <x:f>IF(B262="","",'Motor_Meciuri'!E24)</x:f>
      </x:c>
      <x:c r="F262" s="2" t="str">
        <x:v>O7,5</x:v>
      </x:c>
      <x:c r="G262" s="2" t="str">
        <x:v>OVER</x:v>
      </x:c>
      <x:c r="H262" s="2" t="n">
        <x:v>7</x:v>
      </x:c>
      <x:c r="I262" s="2" t="str">
        <x:f>IF(B262="","",'Motor_Meciuri'!H24)</x:f>
      </x:c>
      <x:c r="J262" s="2" t="str">
        <x:f>IF(B262="","",'Motor_Meciuri'!I24)</x:f>
      </x:c>
      <x:c r="K262" s="11" t="str">
        <x:f>IF(J262&lt;&gt;"PASS","",'Motor_Meciuri'!BD24)</x:f>
      </x:c>
      <x:c r="L262" s="11" t="str">
        <x:f>IF(J262&lt;&gt;"PASS","",'Motor_Meciuri'!AU24)</x:f>
      </x:c>
      <x:c r="M262" s="10" t="str">
        <x:f>IF(NOT(AND(J262="PASS",'Calibrare_Linii'!U10="VALID")),"",1-'Distributie'!AE24)</x:f>
      </x:c>
      <x:c r="N262" s="10" t="str">
        <x:f>IF(M262="","",MAX(0.01,MIN(0.99,0.5+(M262-0.5)*'Motor_Meciuri'!BG24*'Calibrare_Linii'!D10)))</x:f>
      </x:c>
      <x:c r="O262" s="10" t="str">
        <x:f>IF(M262="","",1-M262)</x:f>
      </x:c>
      <x:c r="P262" s="10" t="str">
        <x:f>IF(OR(NOT(AND(J262="PASS",'Calibrare_Linii'!U10="VALID")),AK262=0),""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*('Istoric_Nativ'!$Q$6:$Q$405&lt;=H262))/AK262)</x:f>
      </x:c>
      <x:c r="Q262" s="10" t="str">
        <x:f>IF(OR(NOT(AND(J262="PASS",'Calibrare_Linii'!U10="VALID")),AL262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M24)+((('Istoric_Nativ'!$E$6:$E$405='Input_Meci'!E24)+('Istoric_Nativ'!$F$6:$F$405='Input_Meci'!E24))&gt;0)*('Istoric_Nativ'!$D$6:$D$405&gt;='Motor_Meciuri'!BN24))&gt;0)*('Istoric_Nativ'!$Q$6:$Q$405&lt;=H262))/AL262)</x:f>
      </x:c>
      <x:c r="R262" s="10" t="str">
        <x:f>IF(OR(NOT(AND(J262="PASS",'Calibrare_Linii'!U10="VALID")),AM262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O24)+((('Istoric_Nativ'!$E$6:$E$405='Input_Meci'!E24)+('Istoric_Nativ'!$F$6:$F$405='Input_Meci'!E24))&gt;0)*('Istoric_Nativ'!$D$6:$D$405&gt;='Motor_Meciuri'!BP24))&gt;0)*('Istoric_Nativ'!$Q$6:$Q$405&lt;=H262))/AM262)</x:f>
      </x:c>
      <x:c r="S262" s="10" t="str">
        <x:f>IF(M262="","",MAX(O262,P262,Q262,R262))</x:f>
      </x:c>
      <x:c r="T262" s="11" t="str">
        <x:f>IF(M262="","",MIN(100,S262*100*'Config_v6'!$B$44+MIN(100,L262/'Config_v6'!$B$13*100)*'Config_v6'!$B$45+(100-'Motor_Meciuri'!BF24)*'Config_v6'!$B$46+'Motor_Meciuri'!BH24*100*'Config_v6'!$B$47))</x:f>
      </x:c>
      <x:c r="U262" s="2" t="str">
        <x:f>IF(T262="","",IF(T262&lt;=20,1,IF(T262&lt;=40,2,IF(T262&lt;=60,3,IF(T262&lt;=80,4,5)))))</x:f>
      </x:c>
      <x:c r="V262" s="2" t="str">
        <x:f>IF(M262="","",MAX(0,'Motor_Meciuri'!BF24-IF(W262="OOS PENDING",'Config_v6'!$B$35,0)-IF(L262&gt;'Config_v6'!$B$12,'Config_v6'!$B$37,IF(L262&gt;'Config_v6'!$B$11,'Config_v6'!$B$36,0))))</x:f>
      </x:c>
      <x:c r="W262" s="2" t="str">
        <x:f>IF(B262="","",IF(I262&lt;&gt;"READY","NOT RELEASED",IF(NOT(AND(J262="PASS",'Calibrare_Linii'!U10="VALID")),"INVALID",IF(NOT(AND('Calibrare_Linii'!S10="VALIDATED",AND('Calibrare_Linii'!H10=C262,ISNUMBER('Calibrare_Linii'!J10),'Calibrare_Linii'!J10&lt;='Input_Meci'!G24))),"OOS PENDING",IF(S262&lt;='Calibrare_Linii'!E10,"PASS",IF(S262&lt;='Calibrare_Linii'!F10,"PENALTY","WATCH"))))))</x:f>
      </x:c>
      <x:c r="X262" s="2" t="str">
        <x:f>IF(M262="","",IF(AND(AND(J262="PASS",'Calibrare_Linii'!U10="VALID"),'Motor_Meciuri'!K24=12,'Motor_Meciuri'!L24=12,'Motor_Meciuri'!M24="NO",'Motor_Meciuri'!BL24='Motor_Meciuri'!C24,AB262&gt;='Config_v6'!$B$50,AN262&gt;='Config_v6'!$B$51,T262&lt;='Config_v6'!$B$52,L262&lt;='Config_v6'!$B$53,ISNUMBER('Calibrare_Linii'!E10),S262&lt;='Calibrare_Linii'!E10,SUM(AK262:AM262)&gt;0),"CANDIDATE","NO"))</x:f>
      </x:c>
      <x:c r="Y262" s="2" t="str">
        <x:f>IF(B262="","",IF(I262&lt;&gt;"READY","NOT RELEASED",IF(AND(X262="CANDIDATE",V262&gt;='Config_v6'!$B$51,W262="PASS",'Calibrare_Linii'!T10="VALIDATED",AND('Calibrare_Linii'!H10=C262,ISNUMBER('Calibrare_Linii'!J10),'Calibrare_Linii'!J10&lt;='Input_Meci'!G24)),"PASS",IF(X262="CANDIDATE","OOS PENDING","FAIL"))))</x:f>
      </x:c>
      <x:c r="Z262" s="2" t="str">
        <x:f>IF(B262="","",IF(I262&lt;&gt;"READY","",IF(OR(NOT(AND(J262="PASS",'Calibrare_Linii'!U10="VALID")),L262&gt;'Config_v6'!$B$13,W262="WATCH"),5,IF(Y262="PASS",1,MIN(5,MAX('Config_v6'!$B$42,U262)+IF(W262="PENALTY",1,0))))))</x:f>
      </x:c>
      <x:c r="AA262" s="2" t="str">
        <x:f>IF(B262="","",IF(I262&lt;&gt;"READY","NOT RELEASED",IF(Z262=5,"NO BET",IF(OR(AB262&lt;'Config_v6'!$B$16,V262&lt;'Config_v6'!$B$18),"WATCH",IF(Z262=1,"DEFENSIV",IF(Z262=2,"PRUDENT",IF(Z262=3,"MODERAT","RIDICAT")))))))</x:f>
      </x:c>
      <x:c r="AB262" s="10" t="str">
        <x:f>IF(N262="","",MIN(N262,1-S262))</x:f>
      </x:c>
      <x:c r="AC262" s="2" t="str">
        <x:f>IF(AD262&lt;&gt;1,"",COUNTIFS($Z$258:$Z$271,"&lt;"&amp;Z262,$AD$258:$AD$271,1)+COUNTIFS($Z$258:$Z$271,Z262,$AB$258:$AB$271,"&gt;"&amp;AB262,$AD$258:$AD$271,1)+COUNTIFS($Z$258:$Z$271,Z262,$AB$258:$AB$271,AB262,$V$258:$V$271,"&gt;"&amp;V262,$AD$258:$AD$271,1)+COUNTIFS($Z$258:Z262,Z262,$AB$258:AB262,AB262,$V$258:V262,V262,$AD$258:AD262,1))</x:f>
      </x:c>
      <x:c r="AD262" s="2" t="n">
        <x:f>IF(OR(AA262="DEFENSIV",AA262="PRUDENT",AA262="MODERAT",AA262="RIDICAT"),1,0)</x:f>
        <x:v>0</x:v>
      </x:c>
      <x:c r="AE262" s="2" t="str">
        <x:f>IF(AD262&lt;&gt;1,"NO",IF(W262="PASS","YES",IF(W262="OOS PENDING","CONDITIONAL","NO")))</x:f>
        <x:v>NO</x:v>
      </x:c>
      <x:c r="AF262" s="2" t="n">
        <x:f>IF(AND(AD262=1,AC262=1,E262="LIVE"),1,0)</x:f>
        <x:v>0</x:v>
      </x:c>
      <x:c r="AG262" s="2" t="str">
        <x:f>IF(AF262&lt;&gt;1,"",'Dashboard'!P44)</x:f>
      </x:c>
      <x:c r="AH262" s="2" t="str">
        <x:f>IF(B262="","",IF(J262&lt;&gt;"PASS",'Motor_Meciuri'!J24,IF('Calibrare_Linii'!U10&lt;&gt;"VALID","Parametri linie invalizi",IF(L262&gt;'Config_v6'!$B$13,"Dispersie peste limita",IF(W262="WATCH","Failure peste limita",IF(AB262&lt;'Config_v6'!$B$16,"P finala sub prag",IF(V262&lt;'Config_v6'!$B$18,"Confidence sub prag",IF(E262="REPLAY","Exemplu retrospectiv; exclus din Top LIVE",IF(Y262="PASS","DEFENSIV validat",IF(W262="OOS PENDING","Eligibil; calibrare linie in monitorizare","Eligibil"))))))))))</x:f>
      </x:c>
      <x:c r="AI262" s="2" t="str">
        <x:f>IF(B262="","",'Calibrare_Linii'!V10)</x:f>
      </x:c>
      <x:c r="AJ262" s="2" t="str">
        <x:f>IF(B262="","",IF(AND('Calibrare_Linii'!T10="VALIDATED",AND('Calibrare_Linii'!H10=C262,ISNUMBER('Calibrare_Linii'!J10),'Calibrare_Linii'!J10&lt;='Input_Meci'!G24)),"DEFENSIVE VALIDATED",IF(AND('Calibrare_Linii'!S10="VALIDATED",AND('Calibrare_Linii'!H10=C262,ISNUMBER('Calibrare_Linii'!J10),'Calibrare_Linii'!J10&lt;='Input_Meci'!G24)),"TAIL VALIDATED","OOS PENDING")))</x:f>
      </x:c>
      <x:c r="AK262" s="2" t="n">
        <x:f>IF(J262&lt;&gt;"PASS",0,'Motor_Meciuri'!BR24)</x:f>
        <x:v>0</x:v>
      </x:c>
      <x:c r="AL262" s="2" t="n">
        <x:f>IF(J262&lt;&gt;"PASS",0,'Motor_Meciuri'!BS24)</x:f>
        <x:v>0</x:v>
      </x:c>
      <x:c r="AM262" s="2" t="n">
        <x:f>IF(J262&lt;&gt;"PASS",0,'Motor_Meciuri'!BT24)</x:f>
        <x:v>0</x:v>
      </x:c>
      <x:c r="AN262" s="2" t="str">
        <x:f>IF(M262="","",MAX(0,'Motor_Meciuri'!BF24-IF(L262&gt;'Config_v6'!$B$12,'Config_v6'!$B$37,IF(L262&gt;'Config_v6'!$B$11,'Config_v6'!$B$36,0))))</x:f>
      </x:c>
    </x:row>
    <x:row r="263" ht="21" customHeight="1">
      <x:c r="A263" s="2" t="n">
        <x:v>19</x:v>
      </x:c>
      <x:c r="B263" s="2" t="str">
        <x:f>IF('Motor_Meciuri'!A24="","",'Motor_Meciuri'!A24)</x:f>
      </x:c>
      <x:c r="C263" s="2" t="str">
        <x:f>IF(B263="","",'Motor_Meciuri'!B24)</x:f>
      </x:c>
      <x:c r="D263" s="2" t="str">
        <x:f>IF(B263="","",'Motor_Meciuri'!D24)</x:f>
      </x:c>
      <x:c r="E263" s="2" t="str">
        <x:f>IF(B263="","",'Motor_Meciuri'!E24)</x:f>
      </x:c>
      <x:c r="F263" s="2" t="str">
        <x:v>O8,5</x:v>
      </x:c>
      <x:c r="G263" s="2" t="str">
        <x:v>OVER</x:v>
      </x:c>
      <x:c r="H263" s="2" t="n">
        <x:v>8</x:v>
      </x:c>
      <x:c r="I263" s="2" t="str">
        <x:f>IF(B263="","",'Motor_Meciuri'!H24)</x:f>
      </x:c>
      <x:c r="J263" s="2" t="str">
        <x:f>IF(B263="","",'Motor_Meciuri'!I24)</x:f>
      </x:c>
      <x:c r="K263" s="11" t="str">
        <x:f>IF(J263&lt;&gt;"PASS","",'Motor_Meciuri'!BD24)</x:f>
      </x:c>
      <x:c r="L263" s="11" t="str">
        <x:f>IF(J263&lt;&gt;"PASS","",'Motor_Meciuri'!AU24)</x:f>
      </x:c>
      <x:c r="M263" s="10" t="str">
        <x:f>IF(NOT(AND(J263="PASS",'Calibrare_Linii'!U11="VALID")),"",1-'Distributie'!AF24)</x:f>
      </x:c>
      <x:c r="N263" s="10" t="str">
        <x:f>IF(M263="","",MAX(0.01,MIN(0.99,0.5+(M263-0.5)*'Motor_Meciuri'!BG24*'Calibrare_Linii'!D11)))</x:f>
      </x:c>
      <x:c r="O263" s="10" t="str">
        <x:f>IF(M263="","",1-M263)</x:f>
      </x:c>
      <x:c r="P263" s="10" t="str">
        <x:f>IF(OR(NOT(AND(J263="PASS",'Calibrare_Linii'!U11="VALID")),AK263=0),""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*('Istoric_Nativ'!$Q$6:$Q$405&lt;=H263))/AK263)</x:f>
      </x:c>
      <x:c r="Q263" s="10" t="str">
        <x:f>IF(OR(NOT(AND(J263="PASS",'Calibrare_Linii'!U11="VALID")),AL263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M24)+((('Istoric_Nativ'!$E$6:$E$405='Input_Meci'!E24)+('Istoric_Nativ'!$F$6:$F$405='Input_Meci'!E24))&gt;0)*('Istoric_Nativ'!$D$6:$D$405&gt;='Motor_Meciuri'!BN24))&gt;0)*('Istoric_Nativ'!$Q$6:$Q$405&lt;=H263))/AL263)</x:f>
      </x:c>
      <x:c r="R263" s="10" t="str">
        <x:f>IF(OR(NOT(AND(J263="PASS",'Calibrare_Linii'!U11="VALID")),AM263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O24)+((('Istoric_Nativ'!$E$6:$E$405='Input_Meci'!E24)+('Istoric_Nativ'!$F$6:$F$405='Input_Meci'!E24))&gt;0)*('Istoric_Nativ'!$D$6:$D$405&gt;='Motor_Meciuri'!BP24))&gt;0)*('Istoric_Nativ'!$Q$6:$Q$405&lt;=H263))/AM263)</x:f>
      </x:c>
      <x:c r="S263" s="10" t="str">
        <x:f>IF(M263="","",MAX(O263,P263,Q263,R263))</x:f>
      </x:c>
      <x:c r="T263" s="11" t="str">
        <x:f>IF(M263="","",MIN(100,S263*100*'Config_v6'!$B$44+MIN(100,L263/'Config_v6'!$B$13*100)*'Config_v6'!$B$45+(100-'Motor_Meciuri'!BF24)*'Config_v6'!$B$46+'Motor_Meciuri'!BH24*100*'Config_v6'!$B$47))</x:f>
      </x:c>
      <x:c r="U263" s="2" t="str">
        <x:f>IF(T263="","",IF(T263&lt;=20,1,IF(T263&lt;=40,2,IF(T263&lt;=60,3,IF(T263&lt;=80,4,5)))))</x:f>
      </x:c>
      <x:c r="V263" s="2" t="str">
        <x:f>IF(M263="","",MAX(0,'Motor_Meciuri'!BF24-IF(W263="OOS PENDING",'Config_v6'!$B$35,0)-IF(L263&gt;'Config_v6'!$B$12,'Config_v6'!$B$37,IF(L263&gt;'Config_v6'!$B$11,'Config_v6'!$B$36,0))))</x:f>
      </x:c>
      <x:c r="W263" s="2" t="str">
        <x:f>IF(B263="","",IF(I263&lt;&gt;"READY","NOT RELEASED",IF(NOT(AND(J263="PASS",'Calibrare_Linii'!U11="VALID")),"INVALID",IF(NOT(AND('Calibrare_Linii'!S11="VALIDATED",AND('Calibrare_Linii'!H11=C263,ISNUMBER('Calibrare_Linii'!J11),'Calibrare_Linii'!J11&lt;='Input_Meci'!G24))),"OOS PENDING",IF(S263&lt;='Calibrare_Linii'!E11,"PASS",IF(S263&lt;='Calibrare_Linii'!F11,"PENALTY","WATCH"))))))</x:f>
      </x:c>
      <x:c r="X263" s="2" t="str">
        <x:f>IF(M263="","",IF(AND(AND(J263="PASS",'Calibrare_Linii'!U11="VALID"),'Motor_Meciuri'!K24=12,'Motor_Meciuri'!L24=12,'Motor_Meciuri'!M24="NO",'Motor_Meciuri'!BL24='Motor_Meciuri'!C24,AB263&gt;='Config_v6'!$B$50,AN263&gt;='Config_v6'!$B$51,T263&lt;='Config_v6'!$B$52,L263&lt;='Config_v6'!$B$53,ISNUMBER('Calibrare_Linii'!E11),S263&lt;='Calibrare_Linii'!E11,SUM(AK263:AM263)&gt;0),"CANDIDATE","NO"))</x:f>
      </x:c>
      <x:c r="Y263" s="2" t="str">
        <x:f>IF(B263="","",IF(I263&lt;&gt;"READY","NOT RELEASED",IF(AND(X263="CANDIDATE",V263&gt;='Config_v6'!$B$51,W263="PASS",'Calibrare_Linii'!T11="VALIDATED",AND('Calibrare_Linii'!H11=C263,ISNUMBER('Calibrare_Linii'!J11),'Calibrare_Linii'!J11&lt;='Input_Meci'!G24)),"PASS",IF(X263="CANDIDATE","OOS PENDING","FAIL"))))</x:f>
      </x:c>
      <x:c r="Z263" s="2" t="str">
        <x:f>IF(B263="","",IF(I263&lt;&gt;"READY","",IF(OR(NOT(AND(J263="PASS",'Calibrare_Linii'!U11="VALID")),L263&gt;'Config_v6'!$B$13,W263="WATCH"),5,IF(Y263="PASS",1,MIN(5,MAX('Config_v6'!$B$42,U263)+IF(W263="PENALTY",1,0))))))</x:f>
      </x:c>
      <x:c r="AA263" s="2" t="str">
        <x:f>IF(B263="","",IF(I263&lt;&gt;"READY","NOT RELEASED",IF(Z263=5,"NO BET",IF(OR(AB263&lt;'Config_v6'!$B$16,V263&lt;'Config_v6'!$B$18),"WATCH",IF(Z263=1,"DEFENSIV",IF(Z263=2,"PRUDENT",IF(Z263=3,"MODERAT","RIDICAT")))))))</x:f>
      </x:c>
      <x:c r="AB263" s="10" t="str">
        <x:f>IF(N263="","",MIN(N263,1-S263))</x:f>
      </x:c>
      <x:c r="AC263" s="2" t="str">
        <x:f>IF(AD263&lt;&gt;1,"",COUNTIFS($Z$258:$Z$271,"&lt;"&amp;Z263,$AD$258:$AD$271,1)+COUNTIFS($Z$258:$Z$271,Z263,$AB$258:$AB$271,"&gt;"&amp;AB263,$AD$258:$AD$271,1)+COUNTIFS($Z$258:$Z$271,Z263,$AB$258:$AB$271,AB263,$V$258:$V$271,"&gt;"&amp;V263,$AD$258:$AD$271,1)+COUNTIFS($Z$258:Z263,Z263,$AB$258:AB263,AB263,$V$258:V263,V263,$AD$258:AD263,1))</x:f>
      </x:c>
      <x:c r="AD263" s="2" t="n">
        <x:f>IF(OR(AA263="DEFENSIV",AA263="PRUDENT",AA263="MODERAT",AA263="RIDICAT"),1,0)</x:f>
        <x:v>0</x:v>
      </x:c>
      <x:c r="AE263" s="2" t="str">
        <x:f>IF(AD263&lt;&gt;1,"NO",IF(W263="PASS","YES",IF(W263="OOS PENDING","CONDITIONAL","NO")))</x:f>
        <x:v>NO</x:v>
      </x:c>
      <x:c r="AF263" s="2" t="n">
        <x:f>IF(AND(AD263=1,AC263=1,E263="LIVE"),1,0)</x:f>
        <x:v>0</x:v>
      </x:c>
      <x:c r="AG263" s="2" t="str">
        <x:f>IF(AF263&lt;&gt;1,"",'Dashboard'!P44)</x:f>
      </x:c>
      <x:c r="AH263" s="2" t="str">
        <x:f>IF(B263="","",IF(J263&lt;&gt;"PASS",'Motor_Meciuri'!J24,IF('Calibrare_Linii'!U11&lt;&gt;"VALID","Parametri linie invalizi",IF(L263&gt;'Config_v6'!$B$13,"Dispersie peste limita",IF(W263="WATCH","Failure peste limita",IF(AB263&lt;'Config_v6'!$B$16,"P finala sub prag",IF(V263&lt;'Config_v6'!$B$18,"Confidence sub prag",IF(E263="REPLAY","Exemplu retrospectiv; exclus din Top LIVE",IF(Y263="PASS","DEFENSIV validat",IF(W263="OOS PENDING","Eligibil; calibrare linie in monitorizare","Eligibil"))))))))))</x:f>
      </x:c>
      <x:c r="AI263" s="2" t="str">
        <x:f>IF(B263="","",'Calibrare_Linii'!V11)</x:f>
      </x:c>
      <x:c r="AJ263" s="2" t="str">
        <x:f>IF(B263="","",IF(AND('Calibrare_Linii'!T11="VALIDATED",AND('Calibrare_Linii'!H11=C263,ISNUMBER('Calibrare_Linii'!J11),'Calibrare_Linii'!J11&lt;='Input_Meci'!G24)),"DEFENSIVE VALIDATED",IF(AND('Calibrare_Linii'!S11="VALIDATED",AND('Calibrare_Linii'!H11=C263,ISNUMBER('Calibrare_Linii'!J11),'Calibrare_Linii'!J11&lt;='Input_Meci'!G24)),"TAIL VALIDATED","OOS PENDING")))</x:f>
      </x:c>
      <x:c r="AK263" s="2" t="n">
        <x:f>IF(J263&lt;&gt;"PASS",0,'Motor_Meciuri'!BR24)</x:f>
        <x:v>0</x:v>
      </x:c>
      <x:c r="AL263" s="2" t="n">
        <x:f>IF(J263&lt;&gt;"PASS",0,'Motor_Meciuri'!BS24)</x:f>
        <x:v>0</x:v>
      </x:c>
      <x:c r="AM263" s="2" t="n">
        <x:f>IF(J263&lt;&gt;"PASS",0,'Motor_Meciuri'!BT24)</x:f>
        <x:v>0</x:v>
      </x:c>
      <x:c r="AN263" s="2" t="str">
        <x:f>IF(M263="","",MAX(0,'Motor_Meciuri'!BF24-IF(L263&gt;'Config_v6'!$B$12,'Config_v6'!$B$37,IF(L263&gt;'Config_v6'!$B$11,'Config_v6'!$B$36,0))))</x:f>
      </x:c>
    </x:row>
    <x:row r="264" ht="21" customHeight="1">
      <x:c r="A264" s="2" t="n">
        <x:v>19</x:v>
      </x:c>
      <x:c r="B264" s="2" t="str">
        <x:f>IF('Motor_Meciuri'!A24="","",'Motor_Meciuri'!A24)</x:f>
      </x:c>
      <x:c r="C264" s="2" t="str">
        <x:f>IF(B264="","",'Motor_Meciuri'!B24)</x:f>
      </x:c>
      <x:c r="D264" s="2" t="str">
        <x:f>IF(B264="","",'Motor_Meciuri'!D24)</x:f>
      </x:c>
      <x:c r="E264" s="2" t="str">
        <x:f>IF(B264="","",'Motor_Meciuri'!E24)</x:f>
      </x:c>
      <x:c r="F264" s="2" t="str">
        <x:v>U10,5</x:v>
      </x:c>
      <x:c r="G264" s="2" t="str">
        <x:v>UNDER</x:v>
      </x:c>
      <x:c r="H264" s="2" t="n">
        <x:v>10</x:v>
      </x:c>
      <x:c r="I264" s="2" t="str">
        <x:f>IF(B264="","",'Motor_Meciuri'!H24)</x:f>
      </x:c>
      <x:c r="J264" s="2" t="str">
        <x:f>IF(B264="","",'Motor_Meciuri'!I24)</x:f>
      </x:c>
      <x:c r="K264" s="11" t="str">
        <x:f>IF(J264&lt;&gt;"PASS","",'Motor_Meciuri'!BD24)</x:f>
      </x:c>
      <x:c r="L264" s="11" t="str">
        <x:f>IF(J264&lt;&gt;"PASS","",'Motor_Meciuri'!AU24)</x:f>
      </x:c>
      <x:c r="M264" s="10" t="str">
        <x:f>IF(NOT(AND(J264="PASS",'Calibrare_Linii'!U12="VALID")),"",'Distributie'!AH24)</x:f>
      </x:c>
      <x:c r="N264" s="10" t="str">
        <x:f>IF(M264="","",MAX(0.01,MIN(0.99,0.5+(M264-0.5)*'Motor_Meciuri'!BG24*'Calibrare_Linii'!D12)))</x:f>
      </x:c>
      <x:c r="O264" s="10" t="str">
        <x:f>IF(M264="","",1-M264)</x:f>
      </x:c>
      <x:c r="P264" s="10" t="str">
        <x:f>IF(OR(NOT(AND(J264="PASS",'Calibrare_Linii'!U12="VALID")),AK264=0),""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*('Istoric_Nativ'!$Q$6:$Q$405&gt;H264))/AK264)</x:f>
      </x:c>
      <x:c r="Q264" s="10" t="str">
        <x:f>IF(OR(NOT(AND(J264="PASS",'Calibrare_Linii'!U12="VALID")),AL264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M24)+((('Istoric_Nativ'!$E$6:$E$405='Input_Meci'!E24)+('Istoric_Nativ'!$F$6:$F$405='Input_Meci'!E24))&gt;0)*('Istoric_Nativ'!$D$6:$D$405&gt;='Motor_Meciuri'!BN24))&gt;0)*('Istoric_Nativ'!$Q$6:$Q$405&gt;H264))/AL264)</x:f>
      </x:c>
      <x:c r="R264" s="10" t="str">
        <x:f>IF(OR(NOT(AND(J264="PASS",'Calibrare_Linii'!U12="VALID")),AM264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O24)+((('Istoric_Nativ'!$E$6:$E$405='Input_Meci'!E24)+('Istoric_Nativ'!$F$6:$F$405='Input_Meci'!E24))&gt;0)*('Istoric_Nativ'!$D$6:$D$405&gt;='Motor_Meciuri'!BP24))&gt;0)*('Istoric_Nativ'!$Q$6:$Q$405&gt;H264))/AM264)</x:f>
      </x:c>
      <x:c r="S264" s="10" t="str">
        <x:f>IF(M264="","",MAX(O264,P264,Q264,R264))</x:f>
      </x:c>
      <x:c r="T264" s="11" t="str">
        <x:f>IF(M264="","",MIN(100,S264*100*'Config_v6'!$B$44+MIN(100,L264/'Config_v6'!$B$13*100)*'Config_v6'!$B$45+(100-'Motor_Meciuri'!BF24)*'Config_v6'!$B$46+'Motor_Meciuri'!BH24*100*'Config_v6'!$B$47))</x:f>
      </x:c>
      <x:c r="U264" s="2" t="str">
        <x:f>IF(T264="","",IF(T264&lt;=20,1,IF(T264&lt;=40,2,IF(T264&lt;=60,3,IF(T264&lt;=80,4,5)))))</x:f>
      </x:c>
      <x:c r="V264" s="2" t="str">
        <x:f>IF(M264="","",MAX(0,'Motor_Meciuri'!BF24-IF(W264="OOS PENDING",'Config_v6'!$B$35,0)-IF(L264&gt;'Config_v6'!$B$12,'Config_v6'!$B$37,IF(L264&gt;'Config_v6'!$B$11,'Config_v6'!$B$36,0))))</x:f>
      </x:c>
      <x:c r="W264" s="2" t="str">
        <x:f>IF(B264="","",IF(I264&lt;&gt;"READY","NOT RELEASED",IF(NOT(AND(J264="PASS",'Calibrare_Linii'!U12="VALID")),"INVALID",IF(NOT(AND('Calibrare_Linii'!S12="VALIDATED",AND('Calibrare_Linii'!H12=C264,ISNUMBER('Calibrare_Linii'!J12),'Calibrare_Linii'!J12&lt;='Input_Meci'!G24))),"OOS PENDING",IF(S264&lt;='Calibrare_Linii'!E12,"PASS",IF(S264&lt;='Calibrare_Linii'!F12,"PENALTY","WATCH"))))))</x:f>
      </x:c>
      <x:c r="X264" s="2" t="str">
        <x:f>IF(M264="","",IF(AND(AND(J264="PASS",'Calibrare_Linii'!U12="VALID"),'Motor_Meciuri'!K24=12,'Motor_Meciuri'!L24=12,'Motor_Meciuri'!M24="NO",'Motor_Meciuri'!BL24='Motor_Meciuri'!C24,AB264&gt;='Config_v6'!$B$50,AN264&gt;='Config_v6'!$B$51,T264&lt;='Config_v6'!$B$52,L264&lt;='Config_v6'!$B$53,ISNUMBER('Calibrare_Linii'!E12),S264&lt;='Calibrare_Linii'!E12,SUM(AK264:AM264)&gt;0),"CANDIDATE","NO"))</x:f>
      </x:c>
      <x:c r="Y264" s="2" t="str">
        <x:f>IF(B264="","",IF(I264&lt;&gt;"READY","NOT RELEASED",IF(AND(X264="CANDIDATE",V264&gt;='Config_v6'!$B$51,W264="PASS",'Calibrare_Linii'!T12="VALIDATED",AND('Calibrare_Linii'!H12=C264,ISNUMBER('Calibrare_Linii'!J12),'Calibrare_Linii'!J12&lt;='Input_Meci'!G24)),"PASS",IF(X264="CANDIDATE","OOS PENDING","FAIL"))))</x:f>
      </x:c>
      <x:c r="Z264" s="2" t="str">
        <x:f>IF(B264="","",IF(I264&lt;&gt;"READY","",IF(OR(NOT(AND(J264="PASS",'Calibrare_Linii'!U12="VALID")),L264&gt;'Config_v6'!$B$13,W264="WATCH"),5,IF(Y264="PASS",1,MIN(5,MAX('Config_v6'!$B$42,U264)+IF(W264="PENALTY",1,0))))))</x:f>
      </x:c>
      <x:c r="AA264" s="2" t="str">
        <x:f>IF(B264="","",IF(I264&lt;&gt;"READY","NOT RELEASED",IF(Z264=5,"NO BET",IF(OR(AB264&lt;'Config_v6'!$B$16,V264&lt;'Config_v6'!$B$18),"WATCH",IF(Z264=1,"DEFENSIV",IF(Z264=2,"PRUDENT",IF(Z264=3,"MODERAT","RIDICAT")))))))</x:f>
      </x:c>
      <x:c r="AB264" s="10" t="str">
        <x:f>IF(N264="","",MIN(N264,1-S264))</x:f>
      </x:c>
      <x:c r="AC264" s="2" t="str">
        <x:f>IF(AD264&lt;&gt;1,"",COUNTIFS($Z$258:$Z$271,"&lt;"&amp;Z264,$AD$258:$AD$271,1)+COUNTIFS($Z$258:$Z$271,Z264,$AB$258:$AB$271,"&gt;"&amp;AB264,$AD$258:$AD$271,1)+COUNTIFS($Z$258:$Z$271,Z264,$AB$258:$AB$271,AB264,$V$258:$V$271,"&gt;"&amp;V264,$AD$258:$AD$271,1)+COUNTIFS($Z$258:Z264,Z264,$AB$258:AB264,AB264,$V$258:V264,V264,$AD$258:AD264,1))</x:f>
      </x:c>
      <x:c r="AD264" s="2" t="n">
        <x:f>IF(OR(AA264="DEFENSIV",AA264="PRUDENT",AA264="MODERAT",AA264="RIDICAT"),1,0)</x:f>
        <x:v>0</x:v>
      </x:c>
      <x:c r="AE264" s="2" t="str">
        <x:f>IF(AD264&lt;&gt;1,"NO",IF(W264="PASS","YES",IF(W264="OOS PENDING","CONDITIONAL","NO")))</x:f>
        <x:v>NO</x:v>
      </x:c>
      <x:c r="AF264" s="2" t="n">
        <x:f>IF(AND(AD264=1,AC264=1,E264="LIVE"),1,0)</x:f>
        <x:v>0</x:v>
      </x:c>
      <x:c r="AG264" s="2" t="str">
        <x:f>IF(AF264&lt;&gt;1,"",'Dashboard'!P44)</x:f>
      </x:c>
      <x:c r="AH264" s="2" t="str">
        <x:f>IF(B264="","",IF(J264&lt;&gt;"PASS",'Motor_Meciuri'!J24,IF('Calibrare_Linii'!U12&lt;&gt;"VALID","Parametri linie invalizi",IF(L264&gt;'Config_v6'!$B$13,"Dispersie peste limita",IF(W264="WATCH","Failure peste limita",IF(AB264&lt;'Config_v6'!$B$16,"P finala sub prag",IF(V264&lt;'Config_v6'!$B$18,"Confidence sub prag",IF(E264="REPLAY","Exemplu retrospectiv; exclus din Top LIVE",IF(Y264="PASS","DEFENSIV validat",IF(W264="OOS PENDING","Eligibil; calibrare linie in monitorizare","Eligibil"))))))))))</x:f>
      </x:c>
      <x:c r="AI264" s="2" t="str">
        <x:f>IF(B264="","",'Calibrare_Linii'!V12)</x:f>
      </x:c>
      <x:c r="AJ264" s="2" t="str">
        <x:f>IF(B264="","",IF(AND('Calibrare_Linii'!T12="VALIDATED",AND('Calibrare_Linii'!H12=C264,ISNUMBER('Calibrare_Linii'!J12),'Calibrare_Linii'!J12&lt;='Input_Meci'!G24)),"DEFENSIVE VALIDATED",IF(AND('Calibrare_Linii'!S12="VALIDATED",AND('Calibrare_Linii'!H12=C264,ISNUMBER('Calibrare_Linii'!J12),'Calibrare_Linii'!J12&lt;='Input_Meci'!G24)),"TAIL VALIDATED","OOS PENDING")))</x:f>
      </x:c>
      <x:c r="AK264" s="2" t="n">
        <x:f>IF(J264&lt;&gt;"PASS",0,'Motor_Meciuri'!BR24)</x:f>
        <x:v>0</x:v>
      </x:c>
      <x:c r="AL264" s="2" t="n">
        <x:f>IF(J264&lt;&gt;"PASS",0,'Motor_Meciuri'!BS24)</x:f>
        <x:v>0</x:v>
      </x:c>
      <x:c r="AM264" s="2" t="n">
        <x:f>IF(J264&lt;&gt;"PASS",0,'Motor_Meciuri'!BT24)</x:f>
        <x:v>0</x:v>
      </x:c>
      <x:c r="AN264" s="2" t="str">
        <x:f>IF(M264="","",MAX(0,'Motor_Meciuri'!BF24-IF(L264&gt;'Config_v6'!$B$12,'Config_v6'!$B$37,IF(L264&gt;'Config_v6'!$B$11,'Config_v6'!$B$36,0))))</x:f>
      </x:c>
    </x:row>
    <x:row r="265" ht="21" customHeight="1">
      <x:c r="A265" s="2" t="n">
        <x:v>19</x:v>
      </x:c>
      <x:c r="B265" s="2" t="str">
        <x:f>IF('Motor_Meciuri'!A24="","",'Motor_Meciuri'!A24)</x:f>
      </x:c>
      <x:c r="C265" s="2" t="str">
        <x:f>IF(B265="","",'Motor_Meciuri'!B24)</x:f>
      </x:c>
      <x:c r="D265" s="2" t="str">
        <x:f>IF(B265="","",'Motor_Meciuri'!D24)</x:f>
      </x:c>
      <x:c r="E265" s="2" t="str">
        <x:f>IF(B265="","",'Motor_Meciuri'!E24)</x:f>
      </x:c>
      <x:c r="F265" s="2" t="str">
        <x:v>U11,5</x:v>
      </x:c>
      <x:c r="G265" s="2" t="str">
        <x:v>UNDER</x:v>
      </x:c>
      <x:c r="H265" s="2" t="n">
        <x:v>11</x:v>
      </x:c>
      <x:c r="I265" s="2" t="str">
        <x:f>IF(B265="","",'Motor_Meciuri'!H24)</x:f>
      </x:c>
      <x:c r="J265" s="2" t="str">
        <x:f>IF(B265="","",'Motor_Meciuri'!I24)</x:f>
      </x:c>
      <x:c r="K265" s="11" t="str">
        <x:f>IF(J265&lt;&gt;"PASS","",'Motor_Meciuri'!BD24)</x:f>
      </x:c>
      <x:c r="L265" s="11" t="str">
        <x:f>IF(J265&lt;&gt;"PASS","",'Motor_Meciuri'!AU24)</x:f>
      </x:c>
      <x:c r="M265" s="10" t="str">
        <x:f>IF(NOT(AND(J265="PASS",'Calibrare_Linii'!U13="VALID")),"",'Distributie'!AI24)</x:f>
      </x:c>
      <x:c r="N265" s="10" t="str">
        <x:f>IF(M265="","",MAX(0.01,MIN(0.99,0.5+(M265-0.5)*'Motor_Meciuri'!BG24*'Calibrare_Linii'!D13)))</x:f>
      </x:c>
      <x:c r="O265" s="10" t="str">
        <x:f>IF(M265="","",1-M265)</x:f>
      </x:c>
      <x:c r="P265" s="10" t="str">
        <x:f>IF(OR(NOT(AND(J265="PASS",'Calibrare_Linii'!U13="VALID")),AK265=0),""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*('Istoric_Nativ'!$Q$6:$Q$405&gt;H265))/AK265)</x:f>
      </x:c>
      <x:c r="Q265" s="10" t="str">
        <x:f>IF(OR(NOT(AND(J265="PASS",'Calibrare_Linii'!U13="VALID")),AL265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M24)+((('Istoric_Nativ'!$E$6:$E$405='Input_Meci'!E24)+('Istoric_Nativ'!$F$6:$F$405='Input_Meci'!E24))&gt;0)*('Istoric_Nativ'!$D$6:$D$405&gt;='Motor_Meciuri'!BN24))&gt;0)*('Istoric_Nativ'!$Q$6:$Q$405&gt;H265))/AL265)</x:f>
      </x:c>
      <x:c r="R265" s="10" t="str">
        <x:f>IF(OR(NOT(AND(J265="PASS",'Calibrare_Linii'!U13="VALID")),AM265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O24)+((('Istoric_Nativ'!$E$6:$E$405='Input_Meci'!E24)+('Istoric_Nativ'!$F$6:$F$405='Input_Meci'!E24))&gt;0)*('Istoric_Nativ'!$D$6:$D$405&gt;='Motor_Meciuri'!BP24))&gt;0)*('Istoric_Nativ'!$Q$6:$Q$405&gt;H265))/AM265)</x:f>
      </x:c>
      <x:c r="S265" s="10" t="str">
        <x:f>IF(M265="","",MAX(O265,P265,Q265,R265))</x:f>
      </x:c>
      <x:c r="T265" s="11" t="str">
        <x:f>IF(M265="","",MIN(100,S265*100*'Config_v6'!$B$44+MIN(100,L265/'Config_v6'!$B$13*100)*'Config_v6'!$B$45+(100-'Motor_Meciuri'!BF24)*'Config_v6'!$B$46+'Motor_Meciuri'!BH24*100*'Config_v6'!$B$47))</x:f>
      </x:c>
      <x:c r="U265" s="2" t="str">
        <x:f>IF(T265="","",IF(T265&lt;=20,1,IF(T265&lt;=40,2,IF(T265&lt;=60,3,IF(T265&lt;=80,4,5)))))</x:f>
      </x:c>
      <x:c r="V265" s="2" t="str">
        <x:f>IF(M265="","",MAX(0,'Motor_Meciuri'!BF24-IF(W265="OOS PENDING",'Config_v6'!$B$35,0)-IF(L265&gt;'Config_v6'!$B$12,'Config_v6'!$B$37,IF(L265&gt;'Config_v6'!$B$11,'Config_v6'!$B$36,0))))</x:f>
      </x:c>
      <x:c r="W265" s="2" t="str">
        <x:f>IF(B265="","",IF(I265&lt;&gt;"READY","NOT RELEASED",IF(NOT(AND(J265="PASS",'Calibrare_Linii'!U13="VALID")),"INVALID",IF(NOT(AND('Calibrare_Linii'!S13="VALIDATED",AND('Calibrare_Linii'!H13=C265,ISNUMBER('Calibrare_Linii'!J13),'Calibrare_Linii'!J13&lt;='Input_Meci'!G24))),"OOS PENDING",IF(S265&lt;='Calibrare_Linii'!E13,"PASS",IF(S265&lt;='Calibrare_Linii'!F13,"PENALTY","WATCH"))))))</x:f>
      </x:c>
      <x:c r="X265" s="2" t="str">
        <x:f>IF(M265="","",IF(AND(AND(J265="PASS",'Calibrare_Linii'!U13="VALID"),'Motor_Meciuri'!K24=12,'Motor_Meciuri'!L24=12,'Motor_Meciuri'!M24="NO",'Motor_Meciuri'!BL24='Motor_Meciuri'!C24,AB265&gt;='Config_v6'!$B$50,AN265&gt;='Config_v6'!$B$51,T265&lt;='Config_v6'!$B$52,L265&lt;='Config_v6'!$B$53,ISNUMBER('Calibrare_Linii'!E13),S265&lt;='Calibrare_Linii'!E13,SUM(AK265:AM265)&gt;0),"CANDIDATE","NO"))</x:f>
      </x:c>
      <x:c r="Y265" s="2" t="str">
        <x:f>IF(B265="","",IF(I265&lt;&gt;"READY","NOT RELEASED",IF(AND(X265="CANDIDATE",V265&gt;='Config_v6'!$B$51,W265="PASS",'Calibrare_Linii'!T13="VALIDATED",AND('Calibrare_Linii'!H13=C265,ISNUMBER('Calibrare_Linii'!J13),'Calibrare_Linii'!J13&lt;='Input_Meci'!G24)),"PASS",IF(X265="CANDIDATE","OOS PENDING","FAIL"))))</x:f>
      </x:c>
      <x:c r="Z265" s="2" t="str">
        <x:f>IF(B265="","",IF(I265&lt;&gt;"READY","",IF(OR(NOT(AND(J265="PASS",'Calibrare_Linii'!U13="VALID")),L265&gt;'Config_v6'!$B$13,W265="WATCH"),5,IF(Y265="PASS",1,MIN(5,MAX('Config_v6'!$B$42,U265)+IF(W265="PENALTY",1,0))))))</x:f>
      </x:c>
      <x:c r="AA265" s="2" t="str">
        <x:f>IF(B265="","",IF(I265&lt;&gt;"READY","NOT RELEASED",IF(Z265=5,"NO BET",IF(OR(AB265&lt;'Config_v6'!$B$16,V265&lt;'Config_v6'!$B$18),"WATCH",IF(Z265=1,"DEFENSIV",IF(Z265=2,"PRUDENT",IF(Z265=3,"MODERAT","RIDICAT")))))))</x:f>
      </x:c>
      <x:c r="AB265" s="10" t="str">
        <x:f>IF(N265="","",MIN(N265,1-S265))</x:f>
      </x:c>
      <x:c r="AC265" s="2" t="str">
        <x:f>IF(AD265&lt;&gt;1,"",COUNTIFS($Z$258:$Z$271,"&lt;"&amp;Z265,$AD$258:$AD$271,1)+COUNTIFS($Z$258:$Z$271,Z265,$AB$258:$AB$271,"&gt;"&amp;AB265,$AD$258:$AD$271,1)+COUNTIFS($Z$258:$Z$271,Z265,$AB$258:$AB$271,AB265,$V$258:$V$271,"&gt;"&amp;V265,$AD$258:$AD$271,1)+COUNTIFS($Z$258:Z265,Z265,$AB$258:AB265,AB265,$V$258:V265,V265,$AD$258:AD265,1))</x:f>
      </x:c>
      <x:c r="AD265" s="2" t="n">
        <x:f>IF(OR(AA265="DEFENSIV",AA265="PRUDENT",AA265="MODERAT",AA265="RIDICAT"),1,0)</x:f>
        <x:v>0</x:v>
      </x:c>
      <x:c r="AE265" s="2" t="str">
        <x:f>IF(AD265&lt;&gt;1,"NO",IF(W265="PASS","YES",IF(W265="OOS PENDING","CONDITIONAL","NO")))</x:f>
        <x:v>NO</x:v>
      </x:c>
      <x:c r="AF265" s="2" t="n">
        <x:f>IF(AND(AD265=1,AC265=1,E265="LIVE"),1,0)</x:f>
        <x:v>0</x:v>
      </x:c>
      <x:c r="AG265" s="2" t="str">
        <x:f>IF(AF265&lt;&gt;1,"",'Dashboard'!P44)</x:f>
      </x:c>
      <x:c r="AH265" s="2" t="str">
        <x:f>IF(B265="","",IF(J265&lt;&gt;"PASS",'Motor_Meciuri'!J24,IF('Calibrare_Linii'!U13&lt;&gt;"VALID","Parametri linie invalizi",IF(L265&gt;'Config_v6'!$B$13,"Dispersie peste limita",IF(W265="WATCH","Failure peste limita",IF(AB265&lt;'Config_v6'!$B$16,"P finala sub prag",IF(V265&lt;'Config_v6'!$B$18,"Confidence sub prag",IF(E265="REPLAY","Exemplu retrospectiv; exclus din Top LIVE",IF(Y265="PASS","DEFENSIV validat",IF(W265="OOS PENDING","Eligibil; calibrare linie in monitorizare","Eligibil"))))))))))</x:f>
      </x:c>
      <x:c r="AI265" s="2" t="str">
        <x:f>IF(B265="","",'Calibrare_Linii'!V13)</x:f>
      </x:c>
      <x:c r="AJ265" s="2" t="str">
        <x:f>IF(B265="","",IF(AND('Calibrare_Linii'!T13="VALIDATED",AND('Calibrare_Linii'!H13=C265,ISNUMBER('Calibrare_Linii'!J13),'Calibrare_Linii'!J13&lt;='Input_Meci'!G24)),"DEFENSIVE VALIDATED",IF(AND('Calibrare_Linii'!S13="VALIDATED",AND('Calibrare_Linii'!H13=C265,ISNUMBER('Calibrare_Linii'!J13),'Calibrare_Linii'!J13&lt;='Input_Meci'!G24)),"TAIL VALIDATED","OOS PENDING")))</x:f>
      </x:c>
      <x:c r="AK265" s="2" t="n">
        <x:f>IF(J265&lt;&gt;"PASS",0,'Motor_Meciuri'!BR24)</x:f>
        <x:v>0</x:v>
      </x:c>
      <x:c r="AL265" s="2" t="n">
        <x:f>IF(J265&lt;&gt;"PASS",0,'Motor_Meciuri'!BS24)</x:f>
        <x:v>0</x:v>
      </x:c>
      <x:c r="AM265" s="2" t="n">
        <x:f>IF(J265&lt;&gt;"PASS",0,'Motor_Meciuri'!BT24)</x:f>
        <x:v>0</x:v>
      </x:c>
      <x:c r="AN265" s="2" t="str">
        <x:f>IF(M265="","",MAX(0,'Motor_Meciuri'!BF24-IF(L265&gt;'Config_v6'!$B$12,'Config_v6'!$B$37,IF(L265&gt;'Config_v6'!$B$11,'Config_v6'!$B$36,0))))</x:f>
      </x:c>
    </x:row>
    <x:row r="266" ht="21" customHeight="1">
      <x:c r="A266" s="2" t="n">
        <x:v>19</x:v>
      </x:c>
      <x:c r="B266" s="2" t="str">
        <x:f>IF('Motor_Meciuri'!A24="","",'Motor_Meciuri'!A24)</x:f>
      </x:c>
      <x:c r="C266" s="2" t="str">
        <x:f>IF(B266="","",'Motor_Meciuri'!B24)</x:f>
      </x:c>
      <x:c r="D266" s="2" t="str">
        <x:f>IF(B266="","",'Motor_Meciuri'!D24)</x:f>
      </x:c>
      <x:c r="E266" s="2" t="str">
        <x:f>IF(B266="","",'Motor_Meciuri'!E24)</x:f>
      </x:c>
      <x:c r="F266" s="2" t="str">
        <x:v>U12,5</x:v>
      </x:c>
      <x:c r="G266" s="2" t="str">
        <x:v>UNDER</x:v>
      </x:c>
      <x:c r="H266" s="2" t="n">
        <x:v>12</x:v>
      </x:c>
      <x:c r="I266" s="2" t="str">
        <x:f>IF(B266="","",'Motor_Meciuri'!H24)</x:f>
      </x:c>
      <x:c r="J266" s="2" t="str">
        <x:f>IF(B266="","",'Motor_Meciuri'!I24)</x:f>
      </x:c>
      <x:c r="K266" s="11" t="str">
        <x:f>IF(J266&lt;&gt;"PASS","",'Motor_Meciuri'!BD24)</x:f>
      </x:c>
      <x:c r="L266" s="11" t="str">
        <x:f>IF(J266&lt;&gt;"PASS","",'Motor_Meciuri'!AU24)</x:f>
      </x:c>
      <x:c r="M266" s="10" t="str">
        <x:f>IF(NOT(AND(J266="PASS",'Calibrare_Linii'!U14="VALID")),"",'Distributie'!AJ24)</x:f>
      </x:c>
      <x:c r="N266" s="10" t="str">
        <x:f>IF(M266="","",MAX(0.01,MIN(0.99,0.5+(M266-0.5)*'Motor_Meciuri'!BG24*'Calibrare_Linii'!D14)))</x:f>
      </x:c>
      <x:c r="O266" s="10" t="str">
        <x:f>IF(M266="","",1-M266)</x:f>
      </x:c>
      <x:c r="P266" s="10" t="str">
        <x:f>IF(OR(NOT(AND(J266="PASS",'Calibrare_Linii'!U14="VALID")),AK266=0),""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*('Istoric_Nativ'!$Q$6:$Q$405&gt;H266))/AK266)</x:f>
      </x:c>
      <x:c r="Q266" s="10" t="str">
        <x:f>IF(OR(NOT(AND(J266="PASS",'Calibrare_Linii'!U14="VALID")),AL266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M24)+((('Istoric_Nativ'!$E$6:$E$405='Input_Meci'!E24)+('Istoric_Nativ'!$F$6:$F$405='Input_Meci'!E24))&gt;0)*('Istoric_Nativ'!$D$6:$D$405&gt;='Motor_Meciuri'!BN24))&gt;0)*('Istoric_Nativ'!$Q$6:$Q$405&gt;H266))/AL266)</x:f>
      </x:c>
      <x:c r="R266" s="10" t="str">
        <x:f>IF(OR(NOT(AND(J266="PASS",'Calibrare_Linii'!U14="VALID")),AM266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O24)+((('Istoric_Nativ'!$E$6:$E$405='Input_Meci'!E24)+('Istoric_Nativ'!$F$6:$F$405='Input_Meci'!E24))&gt;0)*('Istoric_Nativ'!$D$6:$D$405&gt;='Motor_Meciuri'!BP24))&gt;0)*('Istoric_Nativ'!$Q$6:$Q$405&gt;H266))/AM266)</x:f>
      </x:c>
      <x:c r="S266" s="10" t="str">
        <x:f>IF(M266="","",MAX(O266,P266,Q266,R266))</x:f>
      </x:c>
      <x:c r="T266" s="11" t="str">
        <x:f>IF(M266="","",MIN(100,S266*100*'Config_v6'!$B$44+MIN(100,L266/'Config_v6'!$B$13*100)*'Config_v6'!$B$45+(100-'Motor_Meciuri'!BF24)*'Config_v6'!$B$46+'Motor_Meciuri'!BH24*100*'Config_v6'!$B$47))</x:f>
      </x:c>
      <x:c r="U266" s="2" t="str">
        <x:f>IF(T266="","",IF(T266&lt;=20,1,IF(T266&lt;=40,2,IF(T266&lt;=60,3,IF(T266&lt;=80,4,5)))))</x:f>
      </x:c>
      <x:c r="V266" s="2" t="str">
        <x:f>IF(M266="","",MAX(0,'Motor_Meciuri'!BF24-IF(W266="OOS PENDING",'Config_v6'!$B$35,0)-IF(L266&gt;'Config_v6'!$B$12,'Config_v6'!$B$37,IF(L266&gt;'Config_v6'!$B$11,'Config_v6'!$B$36,0))))</x:f>
      </x:c>
      <x:c r="W266" s="2" t="str">
        <x:f>IF(B266="","",IF(I266&lt;&gt;"READY","NOT RELEASED",IF(NOT(AND(J266="PASS",'Calibrare_Linii'!U14="VALID")),"INVALID",IF(NOT(AND('Calibrare_Linii'!S14="VALIDATED",AND('Calibrare_Linii'!H14=C266,ISNUMBER('Calibrare_Linii'!J14),'Calibrare_Linii'!J14&lt;='Input_Meci'!G24))),"OOS PENDING",IF(S266&lt;='Calibrare_Linii'!E14,"PASS",IF(S266&lt;='Calibrare_Linii'!F14,"PENALTY","WATCH"))))))</x:f>
      </x:c>
      <x:c r="X266" s="2" t="str">
        <x:f>IF(M266="","",IF(AND(AND(J266="PASS",'Calibrare_Linii'!U14="VALID"),'Motor_Meciuri'!K24=12,'Motor_Meciuri'!L24=12,'Motor_Meciuri'!M24="NO",'Motor_Meciuri'!BL24='Motor_Meciuri'!C24,AB266&gt;='Config_v6'!$B$50,AN266&gt;='Config_v6'!$B$51,T266&lt;='Config_v6'!$B$52,L266&lt;='Config_v6'!$B$53,ISNUMBER('Calibrare_Linii'!E14),S266&lt;='Calibrare_Linii'!E14,SUM(AK266:AM266)&gt;0),"CANDIDATE","NO"))</x:f>
      </x:c>
      <x:c r="Y266" s="2" t="str">
        <x:f>IF(B266="","",IF(I266&lt;&gt;"READY","NOT RELEASED",IF(AND(X266="CANDIDATE",V266&gt;='Config_v6'!$B$51,W266="PASS",'Calibrare_Linii'!T14="VALIDATED",AND('Calibrare_Linii'!H14=C266,ISNUMBER('Calibrare_Linii'!J14),'Calibrare_Linii'!J14&lt;='Input_Meci'!G24)),"PASS",IF(X266="CANDIDATE","OOS PENDING","FAIL"))))</x:f>
      </x:c>
      <x:c r="Z266" s="2" t="str">
        <x:f>IF(B266="","",IF(I266&lt;&gt;"READY","",IF(OR(NOT(AND(J266="PASS",'Calibrare_Linii'!U14="VALID")),L266&gt;'Config_v6'!$B$13,W266="WATCH"),5,IF(Y266="PASS",1,MIN(5,MAX('Config_v6'!$B$42,U266)+IF(W266="PENALTY",1,0))))))</x:f>
      </x:c>
      <x:c r="AA266" s="2" t="str">
        <x:f>IF(B266="","",IF(I266&lt;&gt;"READY","NOT RELEASED",IF(Z266=5,"NO BET",IF(OR(AB266&lt;'Config_v6'!$B$16,V266&lt;'Config_v6'!$B$18),"WATCH",IF(Z266=1,"DEFENSIV",IF(Z266=2,"PRUDENT",IF(Z266=3,"MODERAT","RIDICAT")))))))</x:f>
      </x:c>
      <x:c r="AB266" s="10" t="str">
        <x:f>IF(N266="","",MIN(N266,1-S266))</x:f>
      </x:c>
      <x:c r="AC266" s="2" t="str">
        <x:f>IF(AD266&lt;&gt;1,"",COUNTIFS($Z$258:$Z$271,"&lt;"&amp;Z266,$AD$258:$AD$271,1)+COUNTIFS($Z$258:$Z$271,Z266,$AB$258:$AB$271,"&gt;"&amp;AB266,$AD$258:$AD$271,1)+COUNTIFS($Z$258:$Z$271,Z266,$AB$258:$AB$271,AB266,$V$258:$V$271,"&gt;"&amp;V266,$AD$258:$AD$271,1)+COUNTIFS($Z$258:Z266,Z266,$AB$258:AB266,AB266,$V$258:V266,V266,$AD$258:AD266,1))</x:f>
      </x:c>
      <x:c r="AD266" s="2" t="n">
        <x:f>IF(OR(AA266="DEFENSIV",AA266="PRUDENT",AA266="MODERAT",AA266="RIDICAT"),1,0)</x:f>
        <x:v>0</x:v>
      </x:c>
      <x:c r="AE266" s="2" t="str">
        <x:f>IF(AD266&lt;&gt;1,"NO",IF(W266="PASS","YES",IF(W266="OOS PENDING","CONDITIONAL","NO")))</x:f>
        <x:v>NO</x:v>
      </x:c>
      <x:c r="AF266" s="2" t="n">
        <x:f>IF(AND(AD266=1,AC266=1,E266="LIVE"),1,0)</x:f>
        <x:v>0</x:v>
      </x:c>
      <x:c r="AG266" s="2" t="str">
        <x:f>IF(AF266&lt;&gt;1,"",'Dashboard'!P44)</x:f>
      </x:c>
      <x:c r="AH266" s="2" t="str">
        <x:f>IF(B266="","",IF(J266&lt;&gt;"PASS",'Motor_Meciuri'!J24,IF('Calibrare_Linii'!U14&lt;&gt;"VALID","Parametri linie invalizi",IF(L266&gt;'Config_v6'!$B$13,"Dispersie peste limita",IF(W266="WATCH","Failure peste limita",IF(AB266&lt;'Config_v6'!$B$16,"P finala sub prag",IF(V266&lt;'Config_v6'!$B$18,"Confidence sub prag",IF(E266="REPLAY","Exemplu retrospectiv; exclus din Top LIVE",IF(Y266="PASS","DEFENSIV validat",IF(W266="OOS PENDING","Eligibil; calibrare linie in monitorizare","Eligibil"))))))))))</x:f>
      </x:c>
      <x:c r="AI266" s="2" t="str">
        <x:f>IF(B266="","",'Calibrare_Linii'!V14)</x:f>
      </x:c>
      <x:c r="AJ266" s="2" t="str">
        <x:f>IF(B266="","",IF(AND('Calibrare_Linii'!T14="VALIDATED",AND('Calibrare_Linii'!H14=C266,ISNUMBER('Calibrare_Linii'!J14),'Calibrare_Linii'!J14&lt;='Input_Meci'!G24)),"DEFENSIVE VALIDATED",IF(AND('Calibrare_Linii'!S14="VALIDATED",AND('Calibrare_Linii'!H14=C266,ISNUMBER('Calibrare_Linii'!J14),'Calibrare_Linii'!J14&lt;='Input_Meci'!G24)),"TAIL VALIDATED","OOS PENDING")))</x:f>
      </x:c>
      <x:c r="AK266" s="2" t="n">
        <x:f>IF(J266&lt;&gt;"PASS",0,'Motor_Meciuri'!BR24)</x:f>
        <x:v>0</x:v>
      </x:c>
      <x:c r="AL266" s="2" t="n">
        <x:f>IF(J266&lt;&gt;"PASS",0,'Motor_Meciuri'!BS24)</x:f>
        <x:v>0</x:v>
      </x:c>
      <x:c r="AM266" s="2" t="n">
        <x:f>IF(J266&lt;&gt;"PASS",0,'Motor_Meciuri'!BT24)</x:f>
        <x:v>0</x:v>
      </x:c>
      <x:c r="AN266" s="2" t="str">
        <x:f>IF(M266="","",MAX(0,'Motor_Meciuri'!BF24-IF(L266&gt;'Config_v6'!$B$12,'Config_v6'!$B$37,IF(L266&gt;'Config_v6'!$B$11,'Config_v6'!$B$36,0))))</x:f>
      </x:c>
    </x:row>
    <x:row r="267" ht="21" customHeight="1">
      <x:c r="A267" s="2" t="n">
        <x:v>19</x:v>
      </x:c>
      <x:c r="B267" s="2" t="str">
        <x:f>IF('Motor_Meciuri'!A24="","",'Motor_Meciuri'!A24)</x:f>
      </x:c>
      <x:c r="C267" s="2" t="str">
        <x:f>IF(B267="","",'Motor_Meciuri'!B24)</x:f>
      </x:c>
      <x:c r="D267" s="2" t="str">
        <x:f>IF(B267="","",'Motor_Meciuri'!D24)</x:f>
      </x:c>
      <x:c r="E267" s="2" t="str">
        <x:f>IF(B267="","",'Motor_Meciuri'!E24)</x:f>
      </x:c>
      <x:c r="F267" s="2" t="str">
        <x:v>U13,5</x:v>
      </x:c>
      <x:c r="G267" s="2" t="str">
        <x:v>UNDER</x:v>
      </x:c>
      <x:c r="H267" s="2" t="n">
        <x:v>13</x:v>
      </x:c>
      <x:c r="I267" s="2" t="str">
        <x:f>IF(B267="","",'Motor_Meciuri'!H24)</x:f>
      </x:c>
      <x:c r="J267" s="2" t="str">
        <x:f>IF(B267="","",'Motor_Meciuri'!I24)</x:f>
      </x:c>
      <x:c r="K267" s="11" t="str">
        <x:f>IF(J267&lt;&gt;"PASS","",'Motor_Meciuri'!BD24)</x:f>
      </x:c>
      <x:c r="L267" s="11" t="str">
        <x:f>IF(J267&lt;&gt;"PASS","",'Motor_Meciuri'!AU24)</x:f>
      </x:c>
      <x:c r="M267" s="10" t="str">
        <x:f>IF(NOT(AND(J267="PASS",'Calibrare_Linii'!U15="VALID")),"",'Distributie'!AK24)</x:f>
      </x:c>
      <x:c r="N267" s="10" t="str">
        <x:f>IF(M267="","",MAX(0.01,MIN(0.99,0.5+(M267-0.5)*'Motor_Meciuri'!BG24*'Calibrare_Linii'!D15)))</x:f>
      </x:c>
      <x:c r="O267" s="10" t="str">
        <x:f>IF(M267="","",1-M267)</x:f>
      </x:c>
      <x:c r="P267" s="10" t="str">
        <x:f>IF(OR(NOT(AND(J267="PASS",'Calibrare_Linii'!U15="VALID")),AK267=0),""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*('Istoric_Nativ'!$Q$6:$Q$405&gt;H267))/AK267)</x:f>
      </x:c>
      <x:c r="Q267" s="10" t="str">
        <x:f>IF(OR(NOT(AND(J267="PASS",'Calibrare_Linii'!U15="VALID")),AL267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M24)+((('Istoric_Nativ'!$E$6:$E$405='Input_Meci'!E24)+('Istoric_Nativ'!$F$6:$F$405='Input_Meci'!E24))&gt;0)*('Istoric_Nativ'!$D$6:$D$405&gt;='Motor_Meciuri'!BN24))&gt;0)*('Istoric_Nativ'!$Q$6:$Q$405&gt;H267))/AL267)</x:f>
      </x:c>
      <x:c r="R267" s="10" t="str">
        <x:f>IF(OR(NOT(AND(J267="PASS",'Calibrare_Linii'!U15="VALID")),AM267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O24)+((('Istoric_Nativ'!$E$6:$E$405='Input_Meci'!E24)+('Istoric_Nativ'!$F$6:$F$405='Input_Meci'!E24))&gt;0)*('Istoric_Nativ'!$D$6:$D$405&gt;='Motor_Meciuri'!BP24))&gt;0)*('Istoric_Nativ'!$Q$6:$Q$405&gt;H267))/AM267)</x:f>
      </x:c>
      <x:c r="S267" s="10" t="str">
        <x:f>IF(M267="","",MAX(O267,P267,Q267,R267))</x:f>
      </x:c>
      <x:c r="T267" s="11" t="str">
        <x:f>IF(M267="","",MIN(100,S267*100*'Config_v6'!$B$44+MIN(100,L267/'Config_v6'!$B$13*100)*'Config_v6'!$B$45+(100-'Motor_Meciuri'!BF24)*'Config_v6'!$B$46+'Motor_Meciuri'!BH24*100*'Config_v6'!$B$47))</x:f>
      </x:c>
      <x:c r="U267" s="2" t="str">
        <x:f>IF(T267="","",IF(T267&lt;=20,1,IF(T267&lt;=40,2,IF(T267&lt;=60,3,IF(T267&lt;=80,4,5)))))</x:f>
      </x:c>
      <x:c r="V267" s="2" t="str">
        <x:f>IF(M267="","",MAX(0,'Motor_Meciuri'!BF24-IF(W267="OOS PENDING",'Config_v6'!$B$35,0)-IF(L267&gt;'Config_v6'!$B$12,'Config_v6'!$B$37,IF(L267&gt;'Config_v6'!$B$11,'Config_v6'!$B$36,0))))</x:f>
      </x:c>
      <x:c r="W267" s="2" t="str">
        <x:f>IF(B267="","",IF(I267&lt;&gt;"READY","NOT RELEASED",IF(NOT(AND(J267="PASS",'Calibrare_Linii'!U15="VALID")),"INVALID",IF(NOT(AND('Calibrare_Linii'!S15="VALIDATED",AND('Calibrare_Linii'!H15=C267,ISNUMBER('Calibrare_Linii'!J15),'Calibrare_Linii'!J15&lt;='Input_Meci'!G24))),"OOS PENDING",IF(S267&lt;='Calibrare_Linii'!E15,"PASS",IF(S267&lt;='Calibrare_Linii'!F15,"PENALTY","WATCH"))))))</x:f>
      </x:c>
      <x:c r="X267" s="2" t="str">
        <x:f>IF(M267="","",IF(AND(AND(J267="PASS",'Calibrare_Linii'!U15="VALID"),'Motor_Meciuri'!K24=12,'Motor_Meciuri'!L24=12,'Motor_Meciuri'!M24="NO",'Motor_Meciuri'!BL24='Motor_Meciuri'!C24,AB267&gt;='Config_v6'!$B$50,AN267&gt;='Config_v6'!$B$51,T267&lt;='Config_v6'!$B$52,L267&lt;='Config_v6'!$B$53,ISNUMBER('Calibrare_Linii'!E15),S267&lt;='Calibrare_Linii'!E15,SUM(AK267:AM267)&gt;0),"CANDIDATE","NO"))</x:f>
      </x:c>
      <x:c r="Y267" s="2" t="str">
        <x:f>IF(B267="","",IF(I267&lt;&gt;"READY","NOT RELEASED",IF(AND(X267="CANDIDATE",V267&gt;='Config_v6'!$B$51,W267="PASS",'Calibrare_Linii'!T15="VALIDATED",AND('Calibrare_Linii'!H15=C267,ISNUMBER('Calibrare_Linii'!J15),'Calibrare_Linii'!J15&lt;='Input_Meci'!G24)),"PASS",IF(X267="CANDIDATE","OOS PENDING","FAIL"))))</x:f>
      </x:c>
      <x:c r="Z267" s="2" t="str">
        <x:f>IF(B267="","",IF(I267&lt;&gt;"READY","",IF(OR(NOT(AND(J267="PASS",'Calibrare_Linii'!U15="VALID")),L267&gt;'Config_v6'!$B$13,W267="WATCH"),5,IF(Y267="PASS",1,MIN(5,MAX('Config_v6'!$B$42,U267)+IF(W267="PENALTY",1,0))))))</x:f>
      </x:c>
      <x:c r="AA267" s="2" t="str">
        <x:f>IF(B267="","",IF(I267&lt;&gt;"READY","NOT RELEASED",IF(Z267=5,"NO BET",IF(OR(AB267&lt;'Config_v6'!$B$16,V267&lt;'Config_v6'!$B$18),"WATCH",IF(Z267=1,"DEFENSIV",IF(Z267=2,"PRUDENT",IF(Z267=3,"MODERAT","RIDICAT")))))))</x:f>
      </x:c>
      <x:c r="AB267" s="10" t="str">
        <x:f>IF(N267="","",MIN(N267,1-S267))</x:f>
      </x:c>
      <x:c r="AC267" s="2" t="str">
        <x:f>IF(AD267&lt;&gt;1,"",COUNTIFS($Z$258:$Z$271,"&lt;"&amp;Z267,$AD$258:$AD$271,1)+COUNTIFS($Z$258:$Z$271,Z267,$AB$258:$AB$271,"&gt;"&amp;AB267,$AD$258:$AD$271,1)+COUNTIFS($Z$258:$Z$271,Z267,$AB$258:$AB$271,AB267,$V$258:$V$271,"&gt;"&amp;V267,$AD$258:$AD$271,1)+COUNTIFS($Z$258:Z267,Z267,$AB$258:AB267,AB267,$V$258:V267,V267,$AD$258:AD267,1))</x:f>
      </x:c>
      <x:c r="AD267" s="2" t="n">
        <x:f>IF(OR(AA267="DEFENSIV",AA267="PRUDENT",AA267="MODERAT",AA267="RIDICAT"),1,0)</x:f>
        <x:v>0</x:v>
      </x:c>
      <x:c r="AE267" s="2" t="str">
        <x:f>IF(AD267&lt;&gt;1,"NO",IF(W267="PASS","YES",IF(W267="OOS PENDING","CONDITIONAL","NO")))</x:f>
        <x:v>NO</x:v>
      </x:c>
      <x:c r="AF267" s="2" t="n">
        <x:f>IF(AND(AD267=1,AC267=1,E267="LIVE"),1,0)</x:f>
        <x:v>0</x:v>
      </x:c>
      <x:c r="AG267" s="2" t="str">
        <x:f>IF(AF267&lt;&gt;1,"",'Dashboard'!P44)</x:f>
      </x:c>
      <x:c r="AH267" s="2" t="str">
        <x:f>IF(B267="","",IF(J267&lt;&gt;"PASS",'Motor_Meciuri'!J24,IF('Calibrare_Linii'!U15&lt;&gt;"VALID","Parametri linie invalizi",IF(L267&gt;'Config_v6'!$B$13,"Dispersie peste limita",IF(W267="WATCH","Failure peste limita",IF(AB267&lt;'Config_v6'!$B$16,"P finala sub prag",IF(V267&lt;'Config_v6'!$B$18,"Confidence sub prag",IF(E267="REPLAY","Exemplu retrospectiv; exclus din Top LIVE",IF(Y267="PASS","DEFENSIV validat",IF(W267="OOS PENDING","Eligibil; calibrare linie in monitorizare","Eligibil"))))))))))</x:f>
      </x:c>
      <x:c r="AI267" s="2" t="str">
        <x:f>IF(B267="","",'Calibrare_Linii'!V15)</x:f>
      </x:c>
      <x:c r="AJ267" s="2" t="str">
        <x:f>IF(B267="","",IF(AND('Calibrare_Linii'!T15="VALIDATED",AND('Calibrare_Linii'!H15=C267,ISNUMBER('Calibrare_Linii'!J15),'Calibrare_Linii'!J15&lt;='Input_Meci'!G24)),"DEFENSIVE VALIDATED",IF(AND('Calibrare_Linii'!S15="VALIDATED",AND('Calibrare_Linii'!H15=C267,ISNUMBER('Calibrare_Linii'!J15),'Calibrare_Linii'!J15&lt;='Input_Meci'!G24)),"TAIL VALIDATED","OOS PENDING")))</x:f>
      </x:c>
      <x:c r="AK267" s="2" t="n">
        <x:f>IF(J267&lt;&gt;"PASS",0,'Motor_Meciuri'!BR24)</x:f>
        <x:v>0</x:v>
      </x:c>
      <x:c r="AL267" s="2" t="n">
        <x:f>IF(J267&lt;&gt;"PASS",0,'Motor_Meciuri'!BS24)</x:f>
        <x:v>0</x:v>
      </x:c>
      <x:c r="AM267" s="2" t="n">
        <x:f>IF(J267&lt;&gt;"PASS",0,'Motor_Meciuri'!BT24)</x:f>
        <x:v>0</x:v>
      </x:c>
      <x:c r="AN267" s="2" t="str">
        <x:f>IF(M267="","",MAX(0,'Motor_Meciuri'!BF24-IF(L267&gt;'Config_v6'!$B$12,'Config_v6'!$B$37,IF(L267&gt;'Config_v6'!$B$11,'Config_v6'!$B$36,0))))</x:f>
      </x:c>
    </x:row>
    <x:row r="268" ht="21" customHeight="1">
      <x:c r="A268" s="2" t="n">
        <x:v>19</x:v>
      </x:c>
      <x:c r="B268" s="2" t="str">
        <x:f>IF('Motor_Meciuri'!A24="","",'Motor_Meciuri'!A24)</x:f>
      </x:c>
      <x:c r="C268" s="2" t="str">
        <x:f>IF(B268="","",'Motor_Meciuri'!B24)</x:f>
      </x:c>
      <x:c r="D268" s="2" t="str">
        <x:f>IF(B268="","",'Motor_Meciuri'!D24)</x:f>
      </x:c>
      <x:c r="E268" s="2" t="str">
        <x:f>IF(B268="","",'Motor_Meciuri'!E24)</x:f>
      </x:c>
      <x:c r="F268" s="2" t="str">
        <x:v>U14,5</x:v>
      </x:c>
      <x:c r="G268" s="2" t="str">
        <x:v>UNDER</x:v>
      </x:c>
      <x:c r="H268" s="2" t="n">
        <x:v>14</x:v>
      </x:c>
      <x:c r="I268" s="2" t="str">
        <x:f>IF(B268="","",'Motor_Meciuri'!H24)</x:f>
      </x:c>
      <x:c r="J268" s="2" t="str">
        <x:f>IF(B268="","",'Motor_Meciuri'!I24)</x:f>
      </x:c>
      <x:c r="K268" s="11" t="str">
        <x:f>IF(J268&lt;&gt;"PASS","",'Motor_Meciuri'!BD24)</x:f>
      </x:c>
      <x:c r="L268" s="11" t="str">
        <x:f>IF(J268&lt;&gt;"PASS","",'Motor_Meciuri'!AU24)</x:f>
      </x:c>
      <x:c r="M268" s="10" t="str">
        <x:f>IF(NOT(AND(J268="PASS",'Calibrare_Linii'!U16="VALID")),"",'Distributie'!AL24)</x:f>
      </x:c>
      <x:c r="N268" s="10" t="str">
        <x:f>IF(M268="","",MAX(0.01,MIN(0.99,0.5+(M268-0.5)*'Motor_Meciuri'!BG24*'Calibrare_Linii'!D16)))</x:f>
      </x:c>
      <x:c r="O268" s="10" t="str">
        <x:f>IF(M268="","",1-M268)</x:f>
      </x:c>
      <x:c r="P268" s="10" t="str">
        <x:f>IF(OR(NOT(AND(J268="PASS",'Calibrare_Linii'!U16="VALID")),AK268=0),""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*('Istoric_Nativ'!$Q$6:$Q$405&gt;H268))/AK268)</x:f>
      </x:c>
      <x:c r="Q268" s="10" t="str">
        <x:f>IF(OR(NOT(AND(J268="PASS",'Calibrare_Linii'!U16="VALID")),AL268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M24)+((('Istoric_Nativ'!$E$6:$E$405='Input_Meci'!E24)+('Istoric_Nativ'!$F$6:$F$405='Input_Meci'!E24))&gt;0)*('Istoric_Nativ'!$D$6:$D$405&gt;='Motor_Meciuri'!BN24))&gt;0)*('Istoric_Nativ'!$Q$6:$Q$405&gt;H268))/AL268)</x:f>
      </x:c>
      <x:c r="R268" s="10" t="str">
        <x:f>IF(OR(NOT(AND(J268="PASS",'Calibrare_Linii'!U16="VALID")),AM268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O24)+((('Istoric_Nativ'!$E$6:$E$405='Input_Meci'!E24)+('Istoric_Nativ'!$F$6:$F$405='Input_Meci'!E24))&gt;0)*('Istoric_Nativ'!$D$6:$D$405&gt;='Motor_Meciuri'!BP24))&gt;0)*('Istoric_Nativ'!$Q$6:$Q$405&gt;H268))/AM268)</x:f>
      </x:c>
      <x:c r="S268" s="10" t="str">
        <x:f>IF(M268="","",MAX(O268,P268,Q268,R268))</x:f>
      </x:c>
      <x:c r="T268" s="11" t="str">
        <x:f>IF(M268="","",MIN(100,S268*100*'Config_v6'!$B$44+MIN(100,L268/'Config_v6'!$B$13*100)*'Config_v6'!$B$45+(100-'Motor_Meciuri'!BF24)*'Config_v6'!$B$46+'Motor_Meciuri'!BH24*100*'Config_v6'!$B$47))</x:f>
      </x:c>
      <x:c r="U268" s="2" t="str">
        <x:f>IF(T268="","",IF(T268&lt;=20,1,IF(T268&lt;=40,2,IF(T268&lt;=60,3,IF(T268&lt;=80,4,5)))))</x:f>
      </x:c>
      <x:c r="V268" s="2" t="str">
        <x:f>IF(M268="","",MAX(0,'Motor_Meciuri'!BF24-IF(W268="OOS PENDING",'Config_v6'!$B$35,0)-IF(L268&gt;'Config_v6'!$B$12,'Config_v6'!$B$37,IF(L268&gt;'Config_v6'!$B$11,'Config_v6'!$B$36,0))))</x:f>
      </x:c>
      <x:c r="W268" s="2" t="str">
        <x:f>IF(B268="","",IF(I268&lt;&gt;"READY","NOT RELEASED",IF(NOT(AND(J268="PASS",'Calibrare_Linii'!U16="VALID")),"INVALID",IF(NOT(AND('Calibrare_Linii'!S16="VALIDATED",AND('Calibrare_Linii'!H16=C268,ISNUMBER('Calibrare_Linii'!J16),'Calibrare_Linii'!J16&lt;='Input_Meci'!G24))),"OOS PENDING",IF(S268&lt;='Calibrare_Linii'!E16,"PASS",IF(S268&lt;='Calibrare_Linii'!F16,"PENALTY","WATCH"))))))</x:f>
      </x:c>
      <x:c r="X268" s="2" t="str">
        <x:f>IF(M268="","",IF(AND(AND(J268="PASS",'Calibrare_Linii'!U16="VALID"),'Motor_Meciuri'!K24=12,'Motor_Meciuri'!L24=12,'Motor_Meciuri'!M24="NO",'Motor_Meciuri'!BL24='Motor_Meciuri'!C24,AB268&gt;='Config_v6'!$B$50,AN268&gt;='Config_v6'!$B$51,T268&lt;='Config_v6'!$B$52,L268&lt;='Config_v6'!$B$53,ISNUMBER('Calibrare_Linii'!E16),S268&lt;='Calibrare_Linii'!E16,SUM(AK268:AM268)&gt;0),"CANDIDATE","NO"))</x:f>
      </x:c>
      <x:c r="Y268" s="2" t="str">
        <x:f>IF(B268="","",IF(I268&lt;&gt;"READY","NOT RELEASED",IF(AND(X268="CANDIDATE",V268&gt;='Config_v6'!$B$51,W268="PASS",'Calibrare_Linii'!T16="VALIDATED",AND('Calibrare_Linii'!H16=C268,ISNUMBER('Calibrare_Linii'!J16),'Calibrare_Linii'!J16&lt;='Input_Meci'!G24)),"PASS",IF(X268="CANDIDATE","OOS PENDING","FAIL"))))</x:f>
      </x:c>
      <x:c r="Z268" s="2" t="str">
        <x:f>IF(B268="","",IF(I268&lt;&gt;"READY","",IF(OR(NOT(AND(J268="PASS",'Calibrare_Linii'!U16="VALID")),L268&gt;'Config_v6'!$B$13,W268="WATCH"),5,IF(Y268="PASS",1,MIN(5,MAX('Config_v6'!$B$42,U268)+IF(W268="PENALTY",1,0))))))</x:f>
      </x:c>
      <x:c r="AA268" s="2" t="str">
        <x:f>IF(B268="","",IF(I268&lt;&gt;"READY","NOT RELEASED",IF(Z268=5,"NO BET",IF(OR(AB268&lt;'Config_v6'!$B$16,V268&lt;'Config_v6'!$B$18),"WATCH",IF(Z268=1,"DEFENSIV",IF(Z268=2,"PRUDENT",IF(Z268=3,"MODERAT","RIDICAT")))))))</x:f>
      </x:c>
      <x:c r="AB268" s="10" t="str">
        <x:f>IF(N268="","",MIN(N268,1-S268))</x:f>
      </x:c>
      <x:c r="AC268" s="2" t="str">
        <x:f>IF(AD268&lt;&gt;1,"",COUNTIFS($Z$258:$Z$271,"&lt;"&amp;Z268,$AD$258:$AD$271,1)+COUNTIFS($Z$258:$Z$271,Z268,$AB$258:$AB$271,"&gt;"&amp;AB268,$AD$258:$AD$271,1)+COUNTIFS($Z$258:$Z$271,Z268,$AB$258:$AB$271,AB268,$V$258:$V$271,"&gt;"&amp;V268,$AD$258:$AD$271,1)+COUNTIFS($Z$258:Z268,Z268,$AB$258:AB268,AB268,$V$258:V268,V268,$AD$258:AD268,1))</x:f>
      </x:c>
      <x:c r="AD268" s="2" t="n">
        <x:f>IF(OR(AA268="DEFENSIV",AA268="PRUDENT",AA268="MODERAT",AA268="RIDICAT"),1,0)</x:f>
        <x:v>0</x:v>
      </x:c>
      <x:c r="AE268" s="2" t="str">
        <x:f>IF(AD268&lt;&gt;1,"NO",IF(W268="PASS","YES",IF(W268="OOS PENDING","CONDITIONAL","NO")))</x:f>
        <x:v>NO</x:v>
      </x:c>
      <x:c r="AF268" s="2" t="n">
        <x:f>IF(AND(AD268=1,AC268=1,E268="LIVE"),1,0)</x:f>
        <x:v>0</x:v>
      </x:c>
      <x:c r="AG268" s="2" t="str">
        <x:f>IF(AF268&lt;&gt;1,"",'Dashboard'!P44)</x:f>
      </x:c>
      <x:c r="AH268" s="2" t="str">
        <x:f>IF(B268="","",IF(J268&lt;&gt;"PASS",'Motor_Meciuri'!J24,IF('Calibrare_Linii'!U16&lt;&gt;"VALID","Parametri linie invalizi",IF(L268&gt;'Config_v6'!$B$13,"Dispersie peste limita",IF(W268="WATCH","Failure peste limita",IF(AB268&lt;'Config_v6'!$B$16,"P finala sub prag",IF(V268&lt;'Config_v6'!$B$18,"Confidence sub prag",IF(E268="REPLAY","Exemplu retrospectiv; exclus din Top LIVE",IF(Y268="PASS","DEFENSIV validat",IF(W268="OOS PENDING","Eligibil; calibrare linie in monitorizare","Eligibil"))))))))))</x:f>
      </x:c>
      <x:c r="AI268" s="2" t="str">
        <x:f>IF(B268="","",'Calibrare_Linii'!V16)</x:f>
      </x:c>
      <x:c r="AJ268" s="2" t="str">
        <x:f>IF(B268="","",IF(AND('Calibrare_Linii'!T16="VALIDATED",AND('Calibrare_Linii'!H16=C268,ISNUMBER('Calibrare_Linii'!J16),'Calibrare_Linii'!J16&lt;='Input_Meci'!G24)),"DEFENSIVE VALIDATED",IF(AND('Calibrare_Linii'!S16="VALIDATED",AND('Calibrare_Linii'!H16=C268,ISNUMBER('Calibrare_Linii'!J16),'Calibrare_Linii'!J16&lt;='Input_Meci'!G24)),"TAIL VALIDATED","OOS PENDING")))</x:f>
      </x:c>
      <x:c r="AK268" s="2" t="n">
        <x:f>IF(J268&lt;&gt;"PASS",0,'Motor_Meciuri'!BR24)</x:f>
        <x:v>0</x:v>
      </x:c>
      <x:c r="AL268" s="2" t="n">
        <x:f>IF(J268&lt;&gt;"PASS",0,'Motor_Meciuri'!BS24)</x:f>
        <x:v>0</x:v>
      </x:c>
      <x:c r="AM268" s="2" t="n">
        <x:f>IF(J268&lt;&gt;"PASS",0,'Motor_Meciuri'!BT24)</x:f>
        <x:v>0</x:v>
      </x:c>
      <x:c r="AN268" s="2" t="str">
        <x:f>IF(M268="","",MAX(0,'Motor_Meciuri'!BF24-IF(L268&gt;'Config_v6'!$B$12,'Config_v6'!$B$37,IF(L268&gt;'Config_v6'!$B$11,'Config_v6'!$B$36,0))))</x:f>
      </x:c>
    </x:row>
    <x:row r="269" ht="21" customHeight="1">
      <x:c r="A269" s="2" t="n">
        <x:v>19</x:v>
      </x:c>
      <x:c r="B269" s="2" t="str">
        <x:f>IF('Motor_Meciuri'!A24="","",'Motor_Meciuri'!A24)</x:f>
      </x:c>
      <x:c r="C269" s="2" t="str">
        <x:f>IF(B269="","",'Motor_Meciuri'!B24)</x:f>
      </x:c>
      <x:c r="D269" s="2" t="str">
        <x:f>IF(B269="","",'Motor_Meciuri'!D24)</x:f>
      </x:c>
      <x:c r="E269" s="2" t="str">
        <x:f>IF(B269="","",'Motor_Meciuri'!E24)</x:f>
      </x:c>
      <x:c r="F269" s="2" t="str">
        <x:v>U15,5</x:v>
      </x:c>
      <x:c r="G269" s="2" t="str">
        <x:v>UNDER</x:v>
      </x:c>
      <x:c r="H269" s="2" t="n">
        <x:v>15</x:v>
      </x:c>
      <x:c r="I269" s="2" t="str">
        <x:f>IF(B269="","",'Motor_Meciuri'!H24)</x:f>
      </x:c>
      <x:c r="J269" s="2" t="str">
        <x:f>IF(B269="","",'Motor_Meciuri'!I24)</x:f>
      </x:c>
      <x:c r="K269" s="11" t="str">
        <x:f>IF(J269&lt;&gt;"PASS","",'Motor_Meciuri'!BD24)</x:f>
      </x:c>
      <x:c r="L269" s="11" t="str">
        <x:f>IF(J269&lt;&gt;"PASS","",'Motor_Meciuri'!AU24)</x:f>
      </x:c>
      <x:c r="M269" s="10" t="str">
        <x:f>IF(NOT(AND(J269="PASS",'Calibrare_Linii'!U17="VALID")),"",'Distributie'!AM24)</x:f>
      </x:c>
      <x:c r="N269" s="10" t="str">
        <x:f>IF(M269="","",MAX(0.01,MIN(0.99,0.5+(M269-0.5)*'Motor_Meciuri'!BG24*'Calibrare_Linii'!D17)))</x:f>
      </x:c>
      <x:c r="O269" s="10" t="str">
        <x:f>IF(M269="","",1-M269)</x:f>
      </x:c>
      <x:c r="P269" s="10" t="str">
        <x:f>IF(OR(NOT(AND(J269="PASS",'Calibrare_Linii'!U17="VALID")),AK269=0),""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*('Istoric_Nativ'!$Q$6:$Q$405&gt;H269))/AK269)</x:f>
      </x:c>
      <x:c r="Q269" s="10" t="str">
        <x:f>IF(OR(NOT(AND(J269="PASS",'Calibrare_Linii'!U17="VALID")),AL269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M24)+((('Istoric_Nativ'!$E$6:$E$405='Input_Meci'!E24)+('Istoric_Nativ'!$F$6:$F$405='Input_Meci'!E24))&gt;0)*('Istoric_Nativ'!$D$6:$D$405&gt;='Motor_Meciuri'!BN24))&gt;0)*('Istoric_Nativ'!$Q$6:$Q$405&gt;H269))/AL269)</x:f>
      </x:c>
      <x:c r="R269" s="10" t="str">
        <x:f>IF(OR(NOT(AND(J269="PASS",'Calibrare_Linii'!U17="VALID")),AM269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O24)+((('Istoric_Nativ'!$E$6:$E$405='Input_Meci'!E24)+('Istoric_Nativ'!$F$6:$F$405='Input_Meci'!E24))&gt;0)*('Istoric_Nativ'!$D$6:$D$405&gt;='Motor_Meciuri'!BP24))&gt;0)*('Istoric_Nativ'!$Q$6:$Q$405&gt;H269))/AM269)</x:f>
      </x:c>
      <x:c r="S269" s="10" t="str">
        <x:f>IF(M269="","",MAX(O269,P269,Q269,R269))</x:f>
      </x:c>
      <x:c r="T269" s="11" t="str">
        <x:f>IF(M269="","",MIN(100,S269*100*'Config_v6'!$B$44+MIN(100,L269/'Config_v6'!$B$13*100)*'Config_v6'!$B$45+(100-'Motor_Meciuri'!BF24)*'Config_v6'!$B$46+'Motor_Meciuri'!BH24*100*'Config_v6'!$B$47))</x:f>
      </x:c>
      <x:c r="U269" s="2" t="str">
        <x:f>IF(T269="","",IF(T269&lt;=20,1,IF(T269&lt;=40,2,IF(T269&lt;=60,3,IF(T269&lt;=80,4,5)))))</x:f>
      </x:c>
      <x:c r="V269" s="2" t="str">
        <x:f>IF(M269="","",MAX(0,'Motor_Meciuri'!BF24-IF(W269="OOS PENDING",'Config_v6'!$B$35,0)-IF(L269&gt;'Config_v6'!$B$12,'Config_v6'!$B$37,IF(L269&gt;'Config_v6'!$B$11,'Config_v6'!$B$36,0))))</x:f>
      </x:c>
      <x:c r="W269" s="2" t="str">
        <x:f>IF(B269="","",IF(I269&lt;&gt;"READY","NOT RELEASED",IF(NOT(AND(J269="PASS",'Calibrare_Linii'!U17="VALID")),"INVALID",IF(NOT(AND('Calibrare_Linii'!S17="VALIDATED",AND('Calibrare_Linii'!H17=C269,ISNUMBER('Calibrare_Linii'!J17),'Calibrare_Linii'!J17&lt;='Input_Meci'!G24))),"OOS PENDING",IF(S269&lt;='Calibrare_Linii'!E17,"PASS",IF(S269&lt;='Calibrare_Linii'!F17,"PENALTY","WATCH"))))))</x:f>
      </x:c>
      <x:c r="X269" s="2" t="str">
        <x:f>IF(M269="","",IF(AND(AND(J269="PASS",'Calibrare_Linii'!U17="VALID"),'Motor_Meciuri'!K24=12,'Motor_Meciuri'!L24=12,'Motor_Meciuri'!M24="NO",'Motor_Meciuri'!BL24='Motor_Meciuri'!C24,AB269&gt;='Config_v6'!$B$50,AN269&gt;='Config_v6'!$B$51,T269&lt;='Config_v6'!$B$52,L269&lt;='Config_v6'!$B$53,ISNUMBER('Calibrare_Linii'!E17),S269&lt;='Calibrare_Linii'!E17,SUM(AK269:AM269)&gt;0),"CANDIDATE","NO"))</x:f>
      </x:c>
      <x:c r="Y269" s="2" t="str">
        <x:f>IF(B269="","",IF(I269&lt;&gt;"READY","NOT RELEASED",IF(AND(X269="CANDIDATE",V269&gt;='Config_v6'!$B$51,W269="PASS",'Calibrare_Linii'!T17="VALIDATED",AND('Calibrare_Linii'!H17=C269,ISNUMBER('Calibrare_Linii'!J17),'Calibrare_Linii'!J17&lt;='Input_Meci'!G24)),"PASS",IF(X269="CANDIDATE","OOS PENDING","FAIL"))))</x:f>
      </x:c>
      <x:c r="Z269" s="2" t="str">
        <x:f>IF(B269="","",IF(I269&lt;&gt;"READY","",IF(OR(NOT(AND(J269="PASS",'Calibrare_Linii'!U17="VALID")),L269&gt;'Config_v6'!$B$13,W269="WATCH"),5,IF(Y269="PASS",1,MIN(5,MAX('Config_v6'!$B$42,U269)+IF(W269="PENALTY",1,0))))))</x:f>
      </x:c>
      <x:c r="AA269" s="2" t="str">
        <x:f>IF(B269="","",IF(I269&lt;&gt;"READY","NOT RELEASED",IF(Z269=5,"NO BET",IF(OR(AB269&lt;'Config_v6'!$B$16,V269&lt;'Config_v6'!$B$18),"WATCH",IF(Z269=1,"DEFENSIV",IF(Z269=2,"PRUDENT",IF(Z269=3,"MODERAT","RIDICAT")))))))</x:f>
      </x:c>
      <x:c r="AB269" s="10" t="str">
        <x:f>IF(N269="","",MIN(N269,1-S269))</x:f>
      </x:c>
      <x:c r="AC269" s="2" t="str">
        <x:f>IF(AD269&lt;&gt;1,"",COUNTIFS($Z$258:$Z$271,"&lt;"&amp;Z269,$AD$258:$AD$271,1)+COUNTIFS($Z$258:$Z$271,Z269,$AB$258:$AB$271,"&gt;"&amp;AB269,$AD$258:$AD$271,1)+COUNTIFS($Z$258:$Z$271,Z269,$AB$258:$AB$271,AB269,$V$258:$V$271,"&gt;"&amp;V269,$AD$258:$AD$271,1)+COUNTIFS($Z$258:Z269,Z269,$AB$258:AB269,AB269,$V$258:V269,V269,$AD$258:AD269,1))</x:f>
      </x:c>
      <x:c r="AD269" s="2" t="n">
        <x:f>IF(OR(AA269="DEFENSIV",AA269="PRUDENT",AA269="MODERAT",AA269="RIDICAT"),1,0)</x:f>
        <x:v>0</x:v>
      </x:c>
      <x:c r="AE269" s="2" t="str">
        <x:f>IF(AD269&lt;&gt;1,"NO",IF(W269="PASS","YES",IF(W269="OOS PENDING","CONDITIONAL","NO")))</x:f>
        <x:v>NO</x:v>
      </x:c>
      <x:c r="AF269" s="2" t="n">
        <x:f>IF(AND(AD269=1,AC269=1,E269="LIVE"),1,0)</x:f>
        <x:v>0</x:v>
      </x:c>
      <x:c r="AG269" s="2" t="str">
        <x:f>IF(AF269&lt;&gt;1,"",'Dashboard'!P44)</x:f>
      </x:c>
      <x:c r="AH269" s="2" t="str">
        <x:f>IF(B269="","",IF(J269&lt;&gt;"PASS",'Motor_Meciuri'!J24,IF('Calibrare_Linii'!U17&lt;&gt;"VALID","Parametri linie invalizi",IF(L269&gt;'Config_v6'!$B$13,"Dispersie peste limita",IF(W269="WATCH","Failure peste limita",IF(AB269&lt;'Config_v6'!$B$16,"P finala sub prag",IF(V269&lt;'Config_v6'!$B$18,"Confidence sub prag",IF(E269="REPLAY","Exemplu retrospectiv; exclus din Top LIVE",IF(Y269="PASS","DEFENSIV validat",IF(W269="OOS PENDING","Eligibil; calibrare linie in monitorizare","Eligibil"))))))))))</x:f>
      </x:c>
      <x:c r="AI269" s="2" t="str">
        <x:f>IF(B269="","",'Calibrare_Linii'!V17)</x:f>
      </x:c>
      <x:c r="AJ269" s="2" t="str">
        <x:f>IF(B269="","",IF(AND('Calibrare_Linii'!T17="VALIDATED",AND('Calibrare_Linii'!H17=C269,ISNUMBER('Calibrare_Linii'!J17),'Calibrare_Linii'!J17&lt;='Input_Meci'!G24)),"DEFENSIVE VALIDATED",IF(AND('Calibrare_Linii'!S17="VALIDATED",AND('Calibrare_Linii'!H17=C269,ISNUMBER('Calibrare_Linii'!J17),'Calibrare_Linii'!J17&lt;='Input_Meci'!G24)),"TAIL VALIDATED","OOS PENDING")))</x:f>
      </x:c>
      <x:c r="AK269" s="2" t="n">
        <x:f>IF(J269&lt;&gt;"PASS",0,'Motor_Meciuri'!BR24)</x:f>
        <x:v>0</x:v>
      </x:c>
      <x:c r="AL269" s="2" t="n">
        <x:f>IF(J269&lt;&gt;"PASS",0,'Motor_Meciuri'!BS24)</x:f>
        <x:v>0</x:v>
      </x:c>
      <x:c r="AM269" s="2" t="n">
        <x:f>IF(J269&lt;&gt;"PASS",0,'Motor_Meciuri'!BT24)</x:f>
        <x:v>0</x:v>
      </x:c>
      <x:c r="AN269" s="2" t="str">
        <x:f>IF(M269="","",MAX(0,'Motor_Meciuri'!BF24-IF(L269&gt;'Config_v6'!$B$12,'Config_v6'!$B$37,IF(L269&gt;'Config_v6'!$B$11,'Config_v6'!$B$36,0))))</x:f>
      </x:c>
    </x:row>
    <x:row r="270" ht="21" customHeight="1">
      <x:c r="A270" s="2" t="n">
        <x:v>19</x:v>
      </x:c>
      <x:c r="B270" s="2" t="str">
        <x:f>IF('Motor_Meciuri'!A24="","",'Motor_Meciuri'!A24)</x:f>
      </x:c>
      <x:c r="C270" s="2" t="str">
        <x:f>IF(B270="","",'Motor_Meciuri'!B24)</x:f>
      </x:c>
      <x:c r="D270" s="2" t="str">
        <x:f>IF(B270="","",'Motor_Meciuri'!D24)</x:f>
      </x:c>
      <x:c r="E270" s="2" t="str">
        <x:f>IF(B270="","",'Motor_Meciuri'!E24)</x:f>
      </x:c>
      <x:c r="F270" s="2" t="str">
        <x:v>U16,5</x:v>
      </x:c>
      <x:c r="G270" s="2" t="str">
        <x:v>UNDER</x:v>
      </x:c>
      <x:c r="H270" s="2" t="n">
        <x:v>16</x:v>
      </x:c>
      <x:c r="I270" s="2" t="str">
        <x:f>IF(B270="","",'Motor_Meciuri'!H24)</x:f>
      </x:c>
      <x:c r="J270" s="2" t="str">
        <x:f>IF(B270="","",'Motor_Meciuri'!I24)</x:f>
      </x:c>
      <x:c r="K270" s="11" t="str">
        <x:f>IF(J270&lt;&gt;"PASS","",'Motor_Meciuri'!BD24)</x:f>
      </x:c>
      <x:c r="L270" s="11" t="str">
        <x:f>IF(J270&lt;&gt;"PASS","",'Motor_Meciuri'!AU24)</x:f>
      </x:c>
      <x:c r="M270" s="10" t="str">
        <x:f>IF(NOT(AND(J270="PASS",'Calibrare_Linii'!U18="VALID")),"",'Distributie'!AN24)</x:f>
      </x:c>
      <x:c r="N270" s="10" t="str">
        <x:f>IF(M270="","",MAX(0.01,MIN(0.99,0.5+(M270-0.5)*'Motor_Meciuri'!BG24*'Calibrare_Linii'!D18)))</x:f>
      </x:c>
      <x:c r="O270" s="10" t="str">
        <x:f>IF(M270="","",1-M270)</x:f>
      </x:c>
      <x:c r="P270" s="10" t="str">
        <x:f>IF(OR(NOT(AND(J270="PASS",'Calibrare_Linii'!U18="VALID")),AK270=0),""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*('Istoric_Nativ'!$Q$6:$Q$405&gt;H270))/AK270)</x:f>
      </x:c>
      <x:c r="Q270" s="10" t="str">
        <x:f>IF(OR(NOT(AND(J270="PASS",'Calibrare_Linii'!U18="VALID")),AL270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M24)+((('Istoric_Nativ'!$E$6:$E$405='Input_Meci'!E24)+('Istoric_Nativ'!$F$6:$F$405='Input_Meci'!E24))&gt;0)*('Istoric_Nativ'!$D$6:$D$405&gt;='Motor_Meciuri'!BN24))&gt;0)*('Istoric_Nativ'!$Q$6:$Q$405&gt;H270))/AL270)</x:f>
      </x:c>
      <x:c r="R270" s="10" t="str">
        <x:f>IF(OR(NOT(AND(J270="PASS",'Calibrare_Linii'!U18="VALID")),AM270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O24)+((('Istoric_Nativ'!$E$6:$E$405='Input_Meci'!E24)+('Istoric_Nativ'!$F$6:$F$405='Input_Meci'!E24))&gt;0)*('Istoric_Nativ'!$D$6:$D$405&gt;='Motor_Meciuri'!BP24))&gt;0)*('Istoric_Nativ'!$Q$6:$Q$405&gt;H270))/AM270)</x:f>
      </x:c>
      <x:c r="S270" s="10" t="str">
        <x:f>IF(M270="","",MAX(O270,P270,Q270,R270))</x:f>
      </x:c>
      <x:c r="T270" s="11" t="str">
        <x:f>IF(M270="","",MIN(100,S270*100*'Config_v6'!$B$44+MIN(100,L270/'Config_v6'!$B$13*100)*'Config_v6'!$B$45+(100-'Motor_Meciuri'!BF24)*'Config_v6'!$B$46+'Motor_Meciuri'!BH24*100*'Config_v6'!$B$47))</x:f>
      </x:c>
      <x:c r="U270" s="2" t="str">
        <x:f>IF(T270="","",IF(T270&lt;=20,1,IF(T270&lt;=40,2,IF(T270&lt;=60,3,IF(T270&lt;=80,4,5)))))</x:f>
      </x:c>
      <x:c r="V270" s="2" t="str">
        <x:f>IF(M270="","",MAX(0,'Motor_Meciuri'!BF24-IF(W270="OOS PENDING",'Config_v6'!$B$35,0)-IF(L270&gt;'Config_v6'!$B$12,'Config_v6'!$B$37,IF(L270&gt;'Config_v6'!$B$11,'Config_v6'!$B$36,0))))</x:f>
      </x:c>
      <x:c r="W270" s="2" t="str">
        <x:f>IF(B270="","",IF(I270&lt;&gt;"READY","NOT RELEASED",IF(NOT(AND(J270="PASS",'Calibrare_Linii'!U18="VALID")),"INVALID",IF(NOT(AND('Calibrare_Linii'!S18="VALIDATED",AND('Calibrare_Linii'!H18=C270,ISNUMBER('Calibrare_Linii'!J18),'Calibrare_Linii'!J18&lt;='Input_Meci'!G24))),"OOS PENDING",IF(S270&lt;='Calibrare_Linii'!E18,"PASS",IF(S270&lt;='Calibrare_Linii'!F18,"PENALTY","WATCH"))))))</x:f>
      </x:c>
      <x:c r="X270" s="2" t="str">
        <x:f>IF(M270="","",IF(AND(AND(J270="PASS",'Calibrare_Linii'!U18="VALID"),'Motor_Meciuri'!K24=12,'Motor_Meciuri'!L24=12,'Motor_Meciuri'!M24="NO",'Motor_Meciuri'!BL24='Motor_Meciuri'!C24,AB270&gt;='Config_v6'!$B$50,AN270&gt;='Config_v6'!$B$51,T270&lt;='Config_v6'!$B$52,L270&lt;='Config_v6'!$B$53,ISNUMBER('Calibrare_Linii'!E18),S270&lt;='Calibrare_Linii'!E18,SUM(AK270:AM270)&gt;0),"CANDIDATE","NO"))</x:f>
      </x:c>
      <x:c r="Y270" s="2" t="str">
        <x:f>IF(B270="","",IF(I270&lt;&gt;"READY","NOT RELEASED",IF(AND(X270="CANDIDATE",V270&gt;='Config_v6'!$B$51,W270="PASS",'Calibrare_Linii'!T18="VALIDATED",AND('Calibrare_Linii'!H18=C270,ISNUMBER('Calibrare_Linii'!J18),'Calibrare_Linii'!J18&lt;='Input_Meci'!G24)),"PASS",IF(X270="CANDIDATE","OOS PENDING","FAIL"))))</x:f>
      </x:c>
      <x:c r="Z270" s="2" t="str">
        <x:f>IF(B270="","",IF(I270&lt;&gt;"READY","",IF(OR(NOT(AND(J270="PASS",'Calibrare_Linii'!U18="VALID")),L270&gt;'Config_v6'!$B$13,W270="WATCH"),5,IF(Y270="PASS",1,MIN(5,MAX('Config_v6'!$B$42,U270)+IF(W270="PENALTY",1,0))))))</x:f>
      </x:c>
      <x:c r="AA270" s="2" t="str">
        <x:f>IF(B270="","",IF(I270&lt;&gt;"READY","NOT RELEASED",IF(Z270=5,"NO BET",IF(OR(AB270&lt;'Config_v6'!$B$16,V270&lt;'Config_v6'!$B$18),"WATCH",IF(Z270=1,"DEFENSIV",IF(Z270=2,"PRUDENT",IF(Z270=3,"MODERAT","RIDICAT")))))))</x:f>
      </x:c>
      <x:c r="AB270" s="10" t="str">
        <x:f>IF(N270="","",MIN(N270,1-S270))</x:f>
      </x:c>
      <x:c r="AC270" s="2" t="str">
        <x:f>IF(AD270&lt;&gt;1,"",COUNTIFS($Z$258:$Z$271,"&lt;"&amp;Z270,$AD$258:$AD$271,1)+COUNTIFS($Z$258:$Z$271,Z270,$AB$258:$AB$271,"&gt;"&amp;AB270,$AD$258:$AD$271,1)+COUNTIFS($Z$258:$Z$271,Z270,$AB$258:$AB$271,AB270,$V$258:$V$271,"&gt;"&amp;V270,$AD$258:$AD$271,1)+COUNTIFS($Z$258:Z270,Z270,$AB$258:AB270,AB270,$V$258:V270,V270,$AD$258:AD270,1))</x:f>
      </x:c>
      <x:c r="AD270" s="2" t="n">
        <x:f>IF(OR(AA270="DEFENSIV",AA270="PRUDENT",AA270="MODERAT",AA270="RIDICAT"),1,0)</x:f>
        <x:v>0</x:v>
      </x:c>
      <x:c r="AE270" s="2" t="str">
        <x:f>IF(AD270&lt;&gt;1,"NO",IF(W270="PASS","YES",IF(W270="OOS PENDING","CONDITIONAL","NO")))</x:f>
        <x:v>NO</x:v>
      </x:c>
      <x:c r="AF270" s="2" t="n">
        <x:f>IF(AND(AD270=1,AC270=1,E270="LIVE"),1,0)</x:f>
        <x:v>0</x:v>
      </x:c>
      <x:c r="AG270" s="2" t="str">
        <x:f>IF(AF270&lt;&gt;1,"",'Dashboard'!P44)</x:f>
      </x:c>
      <x:c r="AH270" s="2" t="str">
        <x:f>IF(B270="","",IF(J270&lt;&gt;"PASS",'Motor_Meciuri'!J24,IF('Calibrare_Linii'!U18&lt;&gt;"VALID","Parametri linie invalizi",IF(L270&gt;'Config_v6'!$B$13,"Dispersie peste limita",IF(W270="WATCH","Failure peste limita",IF(AB270&lt;'Config_v6'!$B$16,"P finala sub prag",IF(V270&lt;'Config_v6'!$B$18,"Confidence sub prag",IF(E270="REPLAY","Exemplu retrospectiv; exclus din Top LIVE",IF(Y270="PASS","DEFENSIV validat",IF(W270="OOS PENDING","Eligibil; calibrare linie in monitorizare","Eligibil"))))))))))</x:f>
      </x:c>
      <x:c r="AI270" s="2" t="str">
        <x:f>IF(B270="","",'Calibrare_Linii'!V18)</x:f>
      </x:c>
      <x:c r="AJ270" s="2" t="str">
        <x:f>IF(B270="","",IF(AND('Calibrare_Linii'!T18="VALIDATED",AND('Calibrare_Linii'!H18=C270,ISNUMBER('Calibrare_Linii'!J18),'Calibrare_Linii'!J18&lt;='Input_Meci'!G24)),"DEFENSIVE VALIDATED",IF(AND('Calibrare_Linii'!S18="VALIDATED",AND('Calibrare_Linii'!H18=C270,ISNUMBER('Calibrare_Linii'!J18),'Calibrare_Linii'!J18&lt;='Input_Meci'!G24)),"TAIL VALIDATED","OOS PENDING")))</x:f>
      </x:c>
      <x:c r="AK270" s="2" t="n">
        <x:f>IF(J270&lt;&gt;"PASS",0,'Motor_Meciuri'!BR24)</x:f>
        <x:v>0</x:v>
      </x:c>
      <x:c r="AL270" s="2" t="n">
        <x:f>IF(J270&lt;&gt;"PASS",0,'Motor_Meciuri'!BS24)</x:f>
        <x:v>0</x:v>
      </x:c>
      <x:c r="AM270" s="2" t="n">
        <x:f>IF(J270&lt;&gt;"PASS",0,'Motor_Meciuri'!BT24)</x:f>
        <x:v>0</x:v>
      </x:c>
      <x:c r="AN270" s="2" t="str">
        <x:f>IF(M270="","",MAX(0,'Motor_Meciuri'!BF24-IF(L270&gt;'Config_v6'!$B$12,'Config_v6'!$B$37,IF(L270&gt;'Config_v6'!$B$11,'Config_v6'!$B$36,0))))</x:f>
      </x:c>
    </x:row>
    <x:row r="271" ht="21" customHeight="1">
      <x:c r="A271" s="2" t="n">
        <x:v>19</x:v>
      </x:c>
      <x:c r="B271" s="2" t="str">
        <x:f>IF('Motor_Meciuri'!A24="","",'Motor_Meciuri'!A24)</x:f>
      </x:c>
      <x:c r="C271" s="2" t="str">
        <x:f>IF(B271="","",'Motor_Meciuri'!B24)</x:f>
      </x:c>
      <x:c r="D271" s="2" t="str">
        <x:f>IF(B271="","",'Motor_Meciuri'!D24)</x:f>
      </x:c>
      <x:c r="E271" s="2" t="str">
        <x:f>IF(B271="","",'Motor_Meciuri'!E24)</x:f>
      </x:c>
      <x:c r="F271" s="2" t="str">
        <x:v>U17,5</x:v>
      </x:c>
      <x:c r="G271" s="2" t="str">
        <x:v>UNDER</x:v>
      </x:c>
      <x:c r="H271" s="2" t="n">
        <x:v>17</x:v>
      </x:c>
      <x:c r="I271" s="2" t="str">
        <x:f>IF(B271="","",'Motor_Meciuri'!H24)</x:f>
      </x:c>
      <x:c r="J271" s="2" t="str">
        <x:f>IF(B271="","",'Motor_Meciuri'!I24)</x:f>
      </x:c>
      <x:c r="K271" s="11" t="str">
        <x:f>IF(J271&lt;&gt;"PASS","",'Motor_Meciuri'!BD24)</x:f>
      </x:c>
      <x:c r="L271" s="11" t="str">
        <x:f>IF(J271&lt;&gt;"PASS","",'Motor_Meciuri'!AU24)</x:f>
      </x:c>
      <x:c r="M271" s="10" t="str">
        <x:f>IF(NOT(AND(J271="PASS",'Calibrare_Linii'!U19="VALID")),"",'Distributie'!AO24)</x:f>
      </x:c>
      <x:c r="N271" s="10" t="str">
        <x:f>IF(M271="","",MAX(0.01,MIN(0.99,0.5+(M271-0.5)*'Motor_Meciuri'!BG24*'Calibrare_Linii'!D19)))</x:f>
      </x:c>
      <x:c r="O271" s="10" t="str">
        <x:f>IF(M271="","",1-M271)</x:f>
      </x:c>
      <x:c r="P271" s="10" t="str">
        <x:f>IF(OR(NOT(AND(J271="PASS",'Calibrare_Linii'!U19="VALID")),AK271=0),""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*('Istoric_Nativ'!$Q$6:$Q$405&gt;H271))/AK271)</x:f>
      </x:c>
      <x:c r="Q271" s="10" t="str">
        <x:f>IF(OR(NOT(AND(J271="PASS",'Calibrare_Linii'!U19="VALID")),AL271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M24)+((('Istoric_Nativ'!$E$6:$E$405='Input_Meci'!E24)+('Istoric_Nativ'!$F$6:$F$405='Input_Meci'!E24))&gt;0)*('Istoric_Nativ'!$D$6:$D$405&gt;='Motor_Meciuri'!BN24))&gt;0)*('Istoric_Nativ'!$Q$6:$Q$405&gt;H271))/AL271)</x:f>
      </x:c>
      <x:c r="R271" s="10" t="str">
        <x:f>IF(OR(NOT(AND(J271="PASS",'Calibrare_Linii'!U19="VALID")),AM271=0),""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'Motor_Meciuri'!BO24)+((('Istoric_Nativ'!$E$6:$E$405='Input_Meci'!E24)+('Istoric_Nativ'!$F$6:$F$405='Input_Meci'!E24))&gt;0)*('Istoric_Nativ'!$D$6:$D$405&gt;='Motor_Meciuri'!BP24))&gt;0)*('Istoric_Nativ'!$Q$6:$Q$405&gt;H271))/AM271)</x:f>
      </x:c>
      <x:c r="S271" s="10" t="str">
        <x:f>IF(M271="","",MAX(O271,P271,Q271,R271))</x:f>
      </x:c>
      <x:c r="T271" s="11" t="str">
        <x:f>IF(M271="","",MIN(100,S271*100*'Config_v6'!$B$44+MIN(100,L271/'Config_v6'!$B$13*100)*'Config_v6'!$B$45+(100-'Motor_Meciuri'!BF24)*'Config_v6'!$B$46+'Motor_Meciuri'!BH24*100*'Config_v6'!$B$47))</x:f>
      </x:c>
      <x:c r="U271" s="2" t="str">
        <x:f>IF(T271="","",IF(T271&lt;=20,1,IF(T271&lt;=40,2,IF(T271&lt;=60,3,IF(T271&lt;=80,4,5)))))</x:f>
      </x:c>
      <x:c r="V271" s="2" t="str">
        <x:f>IF(M271="","",MAX(0,'Motor_Meciuri'!BF24-IF(W271="OOS PENDING",'Config_v6'!$B$35,0)-IF(L271&gt;'Config_v6'!$B$12,'Config_v6'!$B$37,IF(L271&gt;'Config_v6'!$B$11,'Config_v6'!$B$36,0))))</x:f>
      </x:c>
      <x:c r="W271" s="2" t="str">
        <x:f>IF(B271="","",IF(I271&lt;&gt;"READY","NOT RELEASED",IF(NOT(AND(J271="PASS",'Calibrare_Linii'!U19="VALID")),"INVALID",IF(NOT(AND('Calibrare_Linii'!S19="VALIDATED",AND('Calibrare_Linii'!H19=C271,ISNUMBER('Calibrare_Linii'!J19),'Calibrare_Linii'!J19&lt;='Input_Meci'!G24))),"OOS PENDING",IF(S271&lt;='Calibrare_Linii'!E19,"PASS",IF(S271&lt;='Calibrare_Linii'!F19,"PENALTY","WATCH"))))))</x:f>
      </x:c>
      <x:c r="X271" s="2" t="str">
        <x:f>IF(M271="","",IF(AND(AND(J271="PASS",'Calibrare_Linii'!U19="VALID"),'Motor_Meciuri'!K24=12,'Motor_Meciuri'!L24=12,'Motor_Meciuri'!M24="NO",'Motor_Meciuri'!BL24='Motor_Meciuri'!C24,AB271&gt;='Config_v6'!$B$50,AN271&gt;='Config_v6'!$B$51,T271&lt;='Config_v6'!$B$52,L271&lt;='Config_v6'!$B$53,ISNUMBER('Calibrare_Linii'!E19),S271&lt;='Calibrare_Linii'!E19,SUM(AK271:AM271)&gt;0),"CANDIDATE","NO"))</x:f>
      </x:c>
      <x:c r="Y271" s="2" t="str">
        <x:f>IF(B271="","",IF(I271&lt;&gt;"READY","NOT RELEASED",IF(AND(X271="CANDIDATE",V271&gt;='Config_v6'!$B$51,W271="PASS",'Calibrare_Linii'!T19="VALIDATED",AND('Calibrare_Linii'!H19=C271,ISNUMBER('Calibrare_Linii'!J19),'Calibrare_Linii'!J19&lt;='Input_Meci'!G24)),"PASS",IF(X271="CANDIDATE","OOS PENDING","FAIL"))))</x:f>
      </x:c>
      <x:c r="Z271" s="2" t="str">
        <x:f>IF(B271="","",IF(I271&lt;&gt;"READY","",IF(OR(NOT(AND(J271="PASS",'Calibrare_Linii'!U19="VALID")),L271&gt;'Config_v6'!$B$13,W271="WATCH"),5,IF(Y271="PASS",1,MIN(5,MAX('Config_v6'!$B$42,U271)+IF(W271="PENALTY",1,0))))))</x:f>
      </x:c>
      <x:c r="AA271" s="2" t="str">
        <x:f>IF(B271="","",IF(I271&lt;&gt;"READY","NOT RELEASED",IF(Z271=5,"NO BET",IF(OR(AB271&lt;'Config_v6'!$B$16,V271&lt;'Config_v6'!$B$18),"WATCH",IF(Z271=1,"DEFENSIV",IF(Z271=2,"PRUDENT",IF(Z271=3,"MODERAT","RIDICAT")))))))</x:f>
      </x:c>
      <x:c r="AB271" s="10" t="str">
        <x:f>IF(N271="","",MIN(N271,1-S271))</x:f>
      </x:c>
      <x:c r="AC271" s="2" t="str">
        <x:f>IF(AD271&lt;&gt;1,"",COUNTIFS($Z$258:$Z$271,"&lt;"&amp;Z271,$AD$258:$AD$271,1)+COUNTIFS($Z$258:$Z$271,Z271,$AB$258:$AB$271,"&gt;"&amp;AB271,$AD$258:$AD$271,1)+COUNTIFS($Z$258:$Z$271,Z271,$AB$258:$AB$271,AB271,$V$258:$V$271,"&gt;"&amp;V271,$AD$258:$AD$271,1)+COUNTIFS($Z$258:Z271,Z271,$AB$258:AB271,AB271,$V$258:V271,V271,$AD$258:AD271,1))</x:f>
      </x:c>
      <x:c r="AD271" s="2" t="n">
        <x:f>IF(OR(AA271="DEFENSIV",AA271="PRUDENT",AA271="MODERAT",AA271="RIDICAT"),1,0)</x:f>
        <x:v>0</x:v>
      </x:c>
      <x:c r="AE271" s="2" t="str">
        <x:f>IF(AD271&lt;&gt;1,"NO",IF(W271="PASS","YES",IF(W271="OOS PENDING","CONDITIONAL","NO")))</x:f>
        <x:v>NO</x:v>
      </x:c>
      <x:c r="AF271" s="2" t="n">
        <x:f>IF(AND(AD271=1,AC271=1,E271="LIVE"),1,0)</x:f>
        <x:v>0</x:v>
      </x:c>
      <x:c r="AG271" s="2" t="str">
        <x:f>IF(AF271&lt;&gt;1,"",'Dashboard'!P44)</x:f>
      </x:c>
      <x:c r="AH271" s="2" t="str">
        <x:f>IF(B271="","",IF(J271&lt;&gt;"PASS",'Motor_Meciuri'!J24,IF('Calibrare_Linii'!U19&lt;&gt;"VALID","Parametri linie invalizi",IF(L271&gt;'Config_v6'!$B$13,"Dispersie peste limita",IF(W271="WATCH","Failure peste limita",IF(AB271&lt;'Config_v6'!$B$16,"P finala sub prag",IF(V271&lt;'Config_v6'!$B$18,"Confidence sub prag",IF(E271="REPLAY","Exemplu retrospectiv; exclus din Top LIVE",IF(Y271="PASS","DEFENSIV validat",IF(W271="OOS PENDING","Eligibil; calibrare linie in monitorizare","Eligibil"))))))))))</x:f>
      </x:c>
      <x:c r="AI271" s="2" t="str">
        <x:f>IF(B271="","",'Calibrare_Linii'!V19)</x:f>
      </x:c>
      <x:c r="AJ271" s="2" t="str">
        <x:f>IF(B271="","",IF(AND('Calibrare_Linii'!T19="VALIDATED",AND('Calibrare_Linii'!H19=C271,ISNUMBER('Calibrare_Linii'!J19),'Calibrare_Linii'!J19&lt;='Input_Meci'!G24)),"DEFENSIVE VALIDATED",IF(AND('Calibrare_Linii'!S19="VALIDATED",AND('Calibrare_Linii'!H19=C271,ISNUMBER('Calibrare_Linii'!J19),'Calibrare_Linii'!J19&lt;='Input_Meci'!G24)),"TAIL VALIDATED","OOS PENDING")))</x:f>
      </x:c>
      <x:c r="AK271" s="2" t="n">
        <x:f>IF(J271&lt;&gt;"PASS",0,'Motor_Meciuri'!BR24)</x:f>
        <x:v>0</x:v>
      </x:c>
      <x:c r="AL271" s="2" t="n">
        <x:f>IF(J271&lt;&gt;"PASS",0,'Motor_Meciuri'!BS24)</x:f>
        <x:v>0</x:v>
      </x:c>
      <x:c r="AM271" s="2" t="n">
        <x:f>IF(J271&lt;&gt;"PASS",0,'Motor_Meciuri'!BT24)</x:f>
        <x:v>0</x:v>
      </x:c>
      <x:c r="AN271" s="2" t="str">
        <x:f>IF(M271="","",MAX(0,'Motor_Meciuri'!BF24-IF(L271&gt;'Config_v6'!$B$12,'Config_v6'!$B$37,IF(L271&gt;'Config_v6'!$B$11,'Config_v6'!$B$36,0))))</x:f>
      </x:c>
    </x:row>
    <x:row r="272" ht="21" customHeight="1">
      <x:c r="A272" s="2" t="n">
        <x:v>20</x:v>
      </x:c>
      <x:c r="B272" s="2" t="str">
        <x:f>IF('Motor_Meciuri'!A25="","",'Motor_Meciuri'!A25)</x:f>
      </x:c>
      <x:c r="C272" s="2" t="str">
        <x:f>IF(B272="","",'Motor_Meciuri'!B25)</x:f>
      </x:c>
      <x:c r="D272" s="2" t="str">
        <x:f>IF(B272="","",'Motor_Meciuri'!D25)</x:f>
      </x:c>
      <x:c r="E272" s="2" t="str">
        <x:f>IF(B272="","",'Motor_Meciuri'!E25)</x:f>
      </x:c>
      <x:c r="F272" s="2" t="str">
        <x:v>O3,5</x:v>
      </x:c>
      <x:c r="G272" s="2" t="str">
        <x:v>OVER</x:v>
      </x:c>
      <x:c r="H272" s="2" t="n">
        <x:v>3</x:v>
      </x:c>
      <x:c r="I272" s="2" t="str">
        <x:f>IF(B272="","",'Motor_Meciuri'!H25)</x:f>
      </x:c>
      <x:c r="J272" s="2" t="str">
        <x:f>IF(B272="","",'Motor_Meciuri'!I25)</x:f>
      </x:c>
      <x:c r="K272" s="11" t="str">
        <x:f>IF(J272&lt;&gt;"PASS","",'Motor_Meciuri'!BD25)</x:f>
      </x:c>
      <x:c r="L272" s="11" t="str">
        <x:f>IF(J272&lt;&gt;"PASS","",'Motor_Meciuri'!AU25)</x:f>
      </x:c>
      <x:c r="M272" s="10" t="str">
        <x:f>IF(NOT(AND(J272="PASS",'Calibrare_Linii'!U6="VALID")),"",1-'Distributie'!AA25)</x:f>
      </x:c>
      <x:c r="N272" s="10" t="str">
        <x:f>IF(M272="","",MAX(0.01,MIN(0.99,0.5+(M272-0.5)*'Motor_Meciuri'!BG25*'Calibrare_Linii'!D6)))</x:f>
      </x:c>
      <x:c r="O272" s="10" t="str">
        <x:f>IF(M272="","",1-M272)</x:f>
      </x:c>
      <x:c r="P272" s="10" t="str">
        <x:f>IF(OR(NOT(AND(J272="PASS",'Calibrare_Linii'!U6="VALID")),AK272=0),""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*('Istoric_Nativ'!$Q$6:$Q$405&lt;=H272))/AK272)</x:f>
      </x:c>
      <x:c r="Q272" s="10" t="str">
        <x:f>IF(OR(NOT(AND(J272="PASS",'Calibrare_Linii'!U6="VALID")),AL272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M25)+((('Istoric_Nativ'!$E$6:$E$405='Input_Meci'!E25)+('Istoric_Nativ'!$F$6:$F$405='Input_Meci'!E25))&gt;0)*('Istoric_Nativ'!$D$6:$D$405&gt;='Motor_Meciuri'!BN25))&gt;0)*('Istoric_Nativ'!$Q$6:$Q$405&lt;=H272))/AL272)</x:f>
      </x:c>
      <x:c r="R272" s="10" t="str">
        <x:f>IF(OR(NOT(AND(J272="PASS",'Calibrare_Linii'!U6="VALID")),AM272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O25)+((('Istoric_Nativ'!$E$6:$E$405='Input_Meci'!E25)+('Istoric_Nativ'!$F$6:$F$405='Input_Meci'!E25))&gt;0)*('Istoric_Nativ'!$D$6:$D$405&gt;='Motor_Meciuri'!BP25))&gt;0)*('Istoric_Nativ'!$Q$6:$Q$405&lt;=H272))/AM272)</x:f>
      </x:c>
      <x:c r="S272" s="10" t="str">
        <x:f>IF(M272="","",MAX(O272,P272,Q272,R272))</x:f>
      </x:c>
      <x:c r="T272" s="11" t="str">
        <x:f>IF(M272="","",MIN(100,S272*100*'Config_v6'!$B$44+MIN(100,L272/'Config_v6'!$B$13*100)*'Config_v6'!$B$45+(100-'Motor_Meciuri'!BF25)*'Config_v6'!$B$46+'Motor_Meciuri'!BH25*100*'Config_v6'!$B$47))</x:f>
      </x:c>
      <x:c r="U272" s="2" t="str">
        <x:f>IF(T272="","",IF(T272&lt;=20,1,IF(T272&lt;=40,2,IF(T272&lt;=60,3,IF(T272&lt;=80,4,5)))))</x:f>
      </x:c>
      <x:c r="V272" s="2" t="str">
        <x:f>IF(M272="","",MAX(0,'Motor_Meciuri'!BF25-IF(W272="OOS PENDING",'Config_v6'!$B$35,0)-IF(L272&gt;'Config_v6'!$B$12,'Config_v6'!$B$37,IF(L272&gt;'Config_v6'!$B$11,'Config_v6'!$B$36,0))))</x:f>
      </x:c>
      <x:c r="W272" s="2" t="str">
        <x:f>IF(B272="","",IF(I272&lt;&gt;"READY","NOT RELEASED",IF(NOT(AND(J272="PASS",'Calibrare_Linii'!U6="VALID")),"INVALID",IF(NOT(TRUE),"OOS PENDING",IF(S272&lt;=IF(AND('Calibrare_Linii'!S6="VALIDATED",AND('Calibrare_Linii'!H6=C272,ISNUMBER('Calibrare_Linii'!J6),'Calibrare_Linii'!J6&lt;='Input_Meci'!G25)),'Calibrare_Linii'!E6,'Config_v6'!$B$26),"PASS",IF(S272&lt;=IF(AND('Calibrare_Linii'!S6="VALIDATED",AND('Calibrare_Linii'!H6=C272,ISNUMBER('Calibrare_Linii'!J6),'Calibrare_Linii'!J6&lt;='Input_Meci'!G25)),'Calibrare_Linii'!F6,'Config_v6'!$C$26),"PENALTY","WATCH"))))))</x:f>
      </x:c>
      <x:c r="X272" s="2" t="str">
        <x:f>IF(M272="","",IF(AND(AND(J272="PASS",'Calibrare_Linii'!U6="VALID"),'Motor_Meciuri'!K25=12,'Motor_Meciuri'!L25=12,'Motor_Meciuri'!M25="NO",'Motor_Meciuri'!BL25='Motor_Meciuri'!C25,AB272&gt;='Config_v6'!$B$50,AN272&gt;='Config_v6'!$B$51,T272&lt;='Config_v6'!$B$52,L272&lt;='Config_v6'!$B$53,ISNUMBER('Calibrare_Linii'!E6),S272&lt;='Calibrare_Linii'!E6,SUM(AK272:AM272)&gt;0),"CANDIDATE","NO"))</x:f>
      </x:c>
      <x:c r="Y272" s="2" t="str">
        <x:f>IF(B272="","",IF(I272&lt;&gt;"READY","NOT RELEASED",IF(AND(X272="CANDIDATE",V272&gt;='Config_v6'!$B$51,W272="PASS",'Calibrare_Linii'!T6="VALIDATED",AND('Calibrare_Linii'!H6=C272,ISNUMBER('Calibrare_Linii'!J6),'Calibrare_Linii'!J6&lt;='Input_Meci'!G25)),"PASS",IF(X272="CANDIDATE","OOS PENDING","FAIL"))))</x:f>
      </x:c>
      <x:c r="Z272" s="2" t="str">
        <x:f>IF(B272="","",IF(I272&lt;&gt;"READY","",IF(OR(NOT(AND(J272="PASS",'Calibrare_Linii'!U6="VALID")),L272&gt;'Config_v6'!$B$13,W272="WATCH"),5,IF(Y272="PASS",1,MIN(5,MAX('Config_v6'!$B$42,U272)+IF(W272="PENALTY",1,0))))))</x:f>
      </x:c>
      <x:c r="AA272" s="2" t="str">
        <x:f>IF(B272="","",IF(I272&lt;&gt;"READY","NOT RELEASED",IF(Z272=5,"NO BET",IF(OR(AB272&lt;'Config_v6'!$B$16,V272&lt;'Config_v6'!$B$18),"WATCH",IF(Z272=1,"DEFENSIV",IF(Z272=2,"PRUDENT",IF(Z272=3,"MODERAT","RIDICAT")))))))</x:f>
      </x:c>
      <x:c r="AB272" s="10" t="str">
        <x:f>IF(N272="","",MIN(N272,1-S272))</x:f>
      </x:c>
      <x:c r="AC272" s="2" t="str">
        <x:f>IF(AD272&lt;&gt;1,"",COUNTIFS($Z$272:$Z$285,"&lt;"&amp;Z272,$AD$272:$AD$285,1)+COUNTIFS($Z$272:$Z$285,Z272,$AB$272:$AB$285,"&gt;"&amp;AB272,$AD$272:$AD$285,1)+COUNTIFS($Z$272:$Z$285,Z272,$AB$272:$AB$285,AB272,$V$272:$V$285,"&gt;"&amp;V272,$AD$272:$AD$285,1)+COUNTIFS($Z$272:Z272,Z272,$AB$272:AB272,AB272,$V$272:V272,V272,$AD$272:AD272,1))</x:f>
      </x:c>
      <x:c r="AD272" s="2" t="n">
        <x:f>IF(OR(AA272="DEFENSIV",AA272="PRUDENT",AA272="MODERAT",AA272="RIDICAT"),1,0)</x:f>
        <x:v>0</x:v>
      </x:c>
      <x:c r="AE272" s="2" t="str">
        <x:f>IF(AD272&lt;&gt;1,"NO",IF(W272="PASS","YES",IF(W272="OOS PENDING","CONDITIONAL","NO")))</x:f>
        <x:v>NO</x:v>
      </x:c>
      <x:c r="AF272" s="2" t="n">
        <x:f>IF(AND(AD272=1,AC272=1,E272="LIVE"),1,0)</x:f>
        <x:v>0</x:v>
      </x:c>
      <x:c r="AG272" s="2" t="str">
        <x:f>IF(AF272&lt;&gt;1,"",'Dashboard'!P45)</x:f>
      </x:c>
      <x:c r="AH272" s="2" t="str">
        <x:f>IF(B272="","",IF(J272&lt;&gt;"PASS",'Motor_Meciuri'!J25,IF('Calibrare_Linii'!U6&lt;&gt;"VALID","Parametri linie invalizi",IF(L272&gt;'Config_v6'!$B$13,"Dispersie peste limita",IF(W272="WATCH","Failure peste limita",IF(AB272&lt;'Config_v6'!$B$16,"P finala sub prag",IF(V272&lt;'Config_v6'!$B$18,"Confidence sub prag",IF(E272="REPLAY","Exemplu retrospectiv; exclus din Top LIVE",IF(Y272="PASS","DEFENSIV validat",IF(W272="OOS PENDING","Eligibil; calibrare linie in monitorizare","Eligibil"))))))))))</x:f>
      </x:c>
      <x:c r="AI272" s="2" t="str">
        <x:f>IF(B272="","",'Calibrare_Linii'!V6)</x:f>
      </x:c>
      <x:c r="AJ272" s="2" t="str">
        <x:f>IF(B272="","",IF(AND('Calibrare_Linii'!T6="VALIDATED",AND('Calibrare_Linii'!H6=C272,ISNUMBER('Calibrare_Linii'!J6),'Calibrare_Linii'!J6&lt;='Input_Meci'!G25)),"DEFENSIVE VALIDATED",IF(AND('Calibrare_Linii'!S6="VALIDATED",AND('Calibrare_Linii'!H6=C272,ISNUMBER('Calibrare_Linii'!J6),'Calibrare_Linii'!J6&lt;='Input_Meci'!G25)),"TAIL VALIDATED","OOS PENDING")))</x:f>
      </x:c>
      <x:c r="AK272" s="2" t="n">
        <x:f>IF(J272&lt;&gt;"PASS",0,'Motor_Meciuri'!BR25)</x:f>
        <x:v>0</x:v>
      </x:c>
      <x:c r="AL272" s="2" t="n">
        <x:f>IF(J272&lt;&gt;"PASS",0,'Motor_Meciuri'!BS25)</x:f>
        <x:v>0</x:v>
      </x:c>
      <x:c r="AM272" s="2" t="n">
        <x:f>IF(J272&lt;&gt;"PASS",0,'Motor_Meciuri'!BT25)</x:f>
        <x:v>0</x:v>
      </x:c>
      <x:c r="AN272" s="2" t="str">
        <x:f>IF(M272="","",MAX(0,'Motor_Meciuri'!BF25-IF(L272&gt;'Config_v6'!$B$12,'Config_v6'!$B$37,IF(L272&gt;'Config_v6'!$B$11,'Config_v6'!$B$36,0))))</x:f>
      </x:c>
    </x:row>
    <x:row r="273" ht="21" customHeight="1">
      <x:c r="A273" s="2" t="n">
        <x:v>20</x:v>
      </x:c>
      <x:c r="B273" s="2" t="str">
        <x:f>IF('Motor_Meciuri'!A25="","",'Motor_Meciuri'!A25)</x:f>
      </x:c>
      <x:c r="C273" s="2" t="str">
        <x:f>IF(B273="","",'Motor_Meciuri'!B25)</x:f>
      </x:c>
      <x:c r="D273" s="2" t="str">
        <x:f>IF(B273="","",'Motor_Meciuri'!D25)</x:f>
      </x:c>
      <x:c r="E273" s="2" t="str">
        <x:f>IF(B273="","",'Motor_Meciuri'!E25)</x:f>
      </x:c>
      <x:c r="F273" s="2" t="str">
        <x:v>O4,5</x:v>
      </x:c>
      <x:c r="G273" s="2" t="str">
        <x:v>OVER</x:v>
      </x:c>
      <x:c r="H273" s="2" t="n">
        <x:v>4</x:v>
      </x:c>
      <x:c r="I273" s="2" t="str">
        <x:f>IF(B273="","",'Motor_Meciuri'!H25)</x:f>
      </x:c>
      <x:c r="J273" s="2" t="str">
        <x:f>IF(B273="","",'Motor_Meciuri'!I25)</x:f>
      </x:c>
      <x:c r="K273" s="11" t="str">
        <x:f>IF(J273&lt;&gt;"PASS","",'Motor_Meciuri'!BD25)</x:f>
      </x:c>
      <x:c r="L273" s="11" t="str">
        <x:f>IF(J273&lt;&gt;"PASS","",'Motor_Meciuri'!AU25)</x:f>
      </x:c>
      <x:c r="M273" s="10" t="str">
        <x:f>IF(NOT(AND(J273="PASS",'Calibrare_Linii'!U7="VALID")),"",1-'Distributie'!AB25)</x:f>
      </x:c>
      <x:c r="N273" s="10" t="str">
        <x:f>IF(M273="","",MAX(0.01,MIN(0.99,0.5+(M273-0.5)*'Motor_Meciuri'!BG25*'Calibrare_Linii'!D7)))</x:f>
      </x:c>
      <x:c r="O273" s="10" t="str">
        <x:f>IF(M273="","",1-M273)</x:f>
      </x:c>
      <x:c r="P273" s="10" t="str">
        <x:f>IF(OR(NOT(AND(J273="PASS",'Calibrare_Linii'!U7="VALID")),AK273=0),""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*('Istoric_Nativ'!$Q$6:$Q$405&lt;=H273))/AK273)</x:f>
      </x:c>
      <x:c r="Q273" s="10" t="str">
        <x:f>IF(OR(NOT(AND(J273="PASS",'Calibrare_Linii'!U7="VALID")),AL273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M25)+((('Istoric_Nativ'!$E$6:$E$405='Input_Meci'!E25)+('Istoric_Nativ'!$F$6:$F$405='Input_Meci'!E25))&gt;0)*('Istoric_Nativ'!$D$6:$D$405&gt;='Motor_Meciuri'!BN25))&gt;0)*('Istoric_Nativ'!$Q$6:$Q$405&lt;=H273))/AL273)</x:f>
      </x:c>
      <x:c r="R273" s="10" t="str">
        <x:f>IF(OR(NOT(AND(J273="PASS",'Calibrare_Linii'!U7="VALID")),AM273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O25)+((('Istoric_Nativ'!$E$6:$E$405='Input_Meci'!E25)+('Istoric_Nativ'!$F$6:$F$405='Input_Meci'!E25))&gt;0)*('Istoric_Nativ'!$D$6:$D$405&gt;='Motor_Meciuri'!BP25))&gt;0)*('Istoric_Nativ'!$Q$6:$Q$405&lt;=H273))/AM273)</x:f>
      </x:c>
      <x:c r="S273" s="10" t="str">
        <x:f>IF(M273="","",MAX(O273,P273,Q273,R273))</x:f>
      </x:c>
      <x:c r="T273" s="11" t="str">
        <x:f>IF(M273="","",MIN(100,S273*100*'Config_v6'!$B$44+MIN(100,L273/'Config_v6'!$B$13*100)*'Config_v6'!$B$45+(100-'Motor_Meciuri'!BF25)*'Config_v6'!$B$46+'Motor_Meciuri'!BH25*100*'Config_v6'!$B$47))</x:f>
      </x:c>
      <x:c r="U273" s="2" t="str">
        <x:f>IF(T273="","",IF(T273&lt;=20,1,IF(T273&lt;=40,2,IF(T273&lt;=60,3,IF(T273&lt;=80,4,5)))))</x:f>
      </x:c>
      <x:c r="V273" s="2" t="str">
        <x:f>IF(M273="","",MAX(0,'Motor_Meciuri'!BF25-IF(W273="OOS PENDING",'Config_v6'!$B$35,0)-IF(L273&gt;'Config_v6'!$B$12,'Config_v6'!$B$37,IF(L273&gt;'Config_v6'!$B$11,'Config_v6'!$B$36,0))))</x:f>
      </x:c>
      <x:c r="W273" s="2" t="str">
        <x:f>IF(B273="","",IF(I273&lt;&gt;"READY","NOT RELEASED",IF(NOT(AND(J273="PASS",'Calibrare_Linii'!U7="VALID")),"INVALID",IF(NOT(AND('Calibrare_Linii'!S7="VALIDATED",AND('Calibrare_Linii'!H7=C273,ISNUMBER('Calibrare_Linii'!J7),'Calibrare_Linii'!J7&lt;='Input_Meci'!G25))),"OOS PENDING",IF(S273&lt;='Calibrare_Linii'!E7,"PASS",IF(S273&lt;='Calibrare_Linii'!F7,"PENALTY","WATCH"))))))</x:f>
      </x:c>
      <x:c r="X273" s="2" t="str">
        <x:f>IF(M273="","",IF(AND(AND(J273="PASS",'Calibrare_Linii'!U7="VALID"),'Motor_Meciuri'!K25=12,'Motor_Meciuri'!L25=12,'Motor_Meciuri'!M25="NO",'Motor_Meciuri'!BL25='Motor_Meciuri'!C25,AB273&gt;='Config_v6'!$B$50,AN273&gt;='Config_v6'!$B$51,T273&lt;='Config_v6'!$B$52,L273&lt;='Config_v6'!$B$53,ISNUMBER('Calibrare_Linii'!E7),S273&lt;='Calibrare_Linii'!E7,SUM(AK273:AM273)&gt;0),"CANDIDATE","NO"))</x:f>
      </x:c>
      <x:c r="Y273" s="2" t="str">
        <x:f>IF(B273="","",IF(I273&lt;&gt;"READY","NOT RELEASED",IF(AND(X273="CANDIDATE",V273&gt;='Config_v6'!$B$51,W273="PASS",'Calibrare_Linii'!T7="VALIDATED",AND('Calibrare_Linii'!H7=C273,ISNUMBER('Calibrare_Linii'!J7),'Calibrare_Linii'!J7&lt;='Input_Meci'!G25)),"PASS",IF(X273="CANDIDATE","OOS PENDING","FAIL"))))</x:f>
      </x:c>
      <x:c r="Z273" s="2" t="str">
        <x:f>IF(B273="","",IF(I273&lt;&gt;"READY","",IF(OR(NOT(AND(J273="PASS",'Calibrare_Linii'!U7="VALID")),L273&gt;'Config_v6'!$B$13,W273="WATCH"),5,IF(Y273="PASS",1,MIN(5,MAX('Config_v6'!$B$42,U273)+IF(W273="PENALTY",1,0))))))</x:f>
      </x:c>
      <x:c r="AA273" s="2" t="str">
        <x:f>IF(B273="","",IF(I273&lt;&gt;"READY","NOT RELEASED",IF(Z273=5,"NO BET",IF(OR(AB273&lt;'Config_v6'!$B$16,V273&lt;'Config_v6'!$B$18),"WATCH",IF(Z273=1,"DEFENSIV",IF(Z273=2,"PRUDENT",IF(Z273=3,"MODERAT","RIDICAT")))))))</x:f>
      </x:c>
      <x:c r="AB273" s="10" t="str">
        <x:f>IF(N273="","",MIN(N273,1-S273))</x:f>
      </x:c>
      <x:c r="AC273" s="2" t="str">
        <x:f>IF(AD273&lt;&gt;1,"",COUNTIFS($Z$272:$Z$285,"&lt;"&amp;Z273,$AD$272:$AD$285,1)+COUNTIFS($Z$272:$Z$285,Z273,$AB$272:$AB$285,"&gt;"&amp;AB273,$AD$272:$AD$285,1)+COUNTIFS($Z$272:$Z$285,Z273,$AB$272:$AB$285,AB273,$V$272:$V$285,"&gt;"&amp;V273,$AD$272:$AD$285,1)+COUNTIFS($Z$272:Z273,Z273,$AB$272:AB273,AB273,$V$272:V273,V273,$AD$272:AD273,1))</x:f>
      </x:c>
      <x:c r="AD273" s="2" t="n">
        <x:f>IF(OR(AA273="DEFENSIV",AA273="PRUDENT",AA273="MODERAT",AA273="RIDICAT"),1,0)</x:f>
        <x:v>0</x:v>
      </x:c>
      <x:c r="AE273" s="2" t="str">
        <x:f>IF(AD273&lt;&gt;1,"NO",IF(W273="PASS","YES",IF(W273="OOS PENDING","CONDITIONAL","NO")))</x:f>
        <x:v>NO</x:v>
      </x:c>
      <x:c r="AF273" s="2" t="n">
        <x:f>IF(AND(AD273=1,AC273=1,E273="LIVE"),1,0)</x:f>
        <x:v>0</x:v>
      </x:c>
      <x:c r="AG273" s="2" t="str">
        <x:f>IF(AF273&lt;&gt;1,"",'Dashboard'!P45)</x:f>
      </x:c>
      <x:c r="AH273" s="2" t="str">
        <x:f>IF(B273="","",IF(J273&lt;&gt;"PASS",'Motor_Meciuri'!J25,IF('Calibrare_Linii'!U7&lt;&gt;"VALID","Parametri linie invalizi",IF(L273&gt;'Config_v6'!$B$13,"Dispersie peste limita",IF(W273="WATCH","Failure peste limita",IF(AB273&lt;'Config_v6'!$B$16,"P finala sub prag",IF(V273&lt;'Config_v6'!$B$18,"Confidence sub prag",IF(E273="REPLAY","Exemplu retrospectiv; exclus din Top LIVE",IF(Y273="PASS","DEFENSIV validat",IF(W273="OOS PENDING","Eligibil; calibrare linie in monitorizare","Eligibil"))))))))))</x:f>
      </x:c>
      <x:c r="AI273" s="2" t="str">
        <x:f>IF(B273="","",'Calibrare_Linii'!V7)</x:f>
      </x:c>
      <x:c r="AJ273" s="2" t="str">
        <x:f>IF(B273="","",IF(AND('Calibrare_Linii'!T7="VALIDATED",AND('Calibrare_Linii'!H7=C273,ISNUMBER('Calibrare_Linii'!J7),'Calibrare_Linii'!J7&lt;='Input_Meci'!G25)),"DEFENSIVE VALIDATED",IF(AND('Calibrare_Linii'!S7="VALIDATED",AND('Calibrare_Linii'!H7=C273,ISNUMBER('Calibrare_Linii'!J7),'Calibrare_Linii'!J7&lt;='Input_Meci'!G25)),"TAIL VALIDATED","OOS PENDING")))</x:f>
      </x:c>
      <x:c r="AK273" s="2" t="n">
        <x:f>IF(J273&lt;&gt;"PASS",0,'Motor_Meciuri'!BR25)</x:f>
        <x:v>0</x:v>
      </x:c>
      <x:c r="AL273" s="2" t="n">
        <x:f>IF(J273&lt;&gt;"PASS",0,'Motor_Meciuri'!BS25)</x:f>
        <x:v>0</x:v>
      </x:c>
      <x:c r="AM273" s="2" t="n">
        <x:f>IF(J273&lt;&gt;"PASS",0,'Motor_Meciuri'!BT25)</x:f>
        <x:v>0</x:v>
      </x:c>
      <x:c r="AN273" s="2" t="str">
        <x:f>IF(M273="","",MAX(0,'Motor_Meciuri'!BF25-IF(L273&gt;'Config_v6'!$B$12,'Config_v6'!$B$37,IF(L273&gt;'Config_v6'!$B$11,'Config_v6'!$B$36,0))))</x:f>
      </x:c>
    </x:row>
    <x:row r="274" ht="21" customHeight="1">
      <x:c r="A274" s="2" t="n">
        <x:v>20</x:v>
      </x:c>
      <x:c r="B274" s="2" t="str">
        <x:f>IF('Motor_Meciuri'!A25="","",'Motor_Meciuri'!A25)</x:f>
      </x:c>
      <x:c r="C274" s="2" t="str">
        <x:f>IF(B274="","",'Motor_Meciuri'!B25)</x:f>
      </x:c>
      <x:c r="D274" s="2" t="str">
        <x:f>IF(B274="","",'Motor_Meciuri'!D25)</x:f>
      </x:c>
      <x:c r="E274" s="2" t="str">
        <x:f>IF(B274="","",'Motor_Meciuri'!E25)</x:f>
      </x:c>
      <x:c r="F274" s="2" t="str">
        <x:v>O5,5</x:v>
      </x:c>
      <x:c r="G274" s="2" t="str">
        <x:v>OVER</x:v>
      </x:c>
      <x:c r="H274" s="2" t="n">
        <x:v>5</x:v>
      </x:c>
      <x:c r="I274" s="2" t="str">
        <x:f>IF(B274="","",'Motor_Meciuri'!H25)</x:f>
      </x:c>
      <x:c r="J274" s="2" t="str">
        <x:f>IF(B274="","",'Motor_Meciuri'!I25)</x:f>
      </x:c>
      <x:c r="K274" s="11" t="str">
        <x:f>IF(J274&lt;&gt;"PASS","",'Motor_Meciuri'!BD25)</x:f>
      </x:c>
      <x:c r="L274" s="11" t="str">
        <x:f>IF(J274&lt;&gt;"PASS","",'Motor_Meciuri'!AU25)</x:f>
      </x:c>
      <x:c r="M274" s="10" t="str">
        <x:f>IF(NOT(AND(J274="PASS",'Calibrare_Linii'!U8="VALID")),"",1-'Distributie'!AC25)</x:f>
      </x:c>
      <x:c r="N274" s="10" t="str">
        <x:f>IF(M274="","",MAX(0.01,MIN(0.99,0.5+(M274-0.5)*'Motor_Meciuri'!BG25*'Calibrare_Linii'!D8)))</x:f>
      </x:c>
      <x:c r="O274" s="10" t="str">
        <x:f>IF(M274="","",1-M274)</x:f>
      </x:c>
      <x:c r="P274" s="10" t="str">
        <x:f>IF(OR(NOT(AND(J274="PASS",'Calibrare_Linii'!U8="VALID")),AK274=0),""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*('Istoric_Nativ'!$Q$6:$Q$405&lt;=H274))/AK274)</x:f>
      </x:c>
      <x:c r="Q274" s="10" t="str">
        <x:f>IF(OR(NOT(AND(J274="PASS",'Calibrare_Linii'!U8="VALID")),AL274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M25)+((('Istoric_Nativ'!$E$6:$E$405='Input_Meci'!E25)+('Istoric_Nativ'!$F$6:$F$405='Input_Meci'!E25))&gt;0)*('Istoric_Nativ'!$D$6:$D$405&gt;='Motor_Meciuri'!BN25))&gt;0)*('Istoric_Nativ'!$Q$6:$Q$405&lt;=H274))/AL274)</x:f>
      </x:c>
      <x:c r="R274" s="10" t="str">
        <x:f>IF(OR(NOT(AND(J274="PASS",'Calibrare_Linii'!U8="VALID")),AM274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O25)+((('Istoric_Nativ'!$E$6:$E$405='Input_Meci'!E25)+('Istoric_Nativ'!$F$6:$F$405='Input_Meci'!E25))&gt;0)*('Istoric_Nativ'!$D$6:$D$405&gt;='Motor_Meciuri'!BP25))&gt;0)*('Istoric_Nativ'!$Q$6:$Q$405&lt;=H274))/AM274)</x:f>
      </x:c>
      <x:c r="S274" s="10" t="str">
        <x:f>IF(M274="","",MAX(O274,P274,Q274,R274))</x:f>
      </x:c>
      <x:c r="T274" s="11" t="str">
        <x:f>IF(M274="","",MIN(100,S274*100*'Config_v6'!$B$44+MIN(100,L274/'Config_v6'!$B$13*100)*'Config_v6'!$B$45+(100-'Motor_Meciuri'!BF25)*'Config_v6'!$B$46+'Motor_Meciuri'!BH25*100*'Config_v6'!$B$47))</x:f>
      </x:c>
      <x:c r="U274" s="2" t="str">
        <x:f>IF(T274="","",IF(T274&lt;=20,1,IF(T274&lt;=40,2,IF(T274&lt;=60,3,IF(T274&lt;=80,4,5)))))</x:f>
      </x:c>
      <x:c r="V274" s="2" t="str">
        <x:f>IF(M274="","",MAX(0,'Motor_Meciuri'!BF25-IF(W274="OOS PENDING",'Config_v6'!$B$35,0)-IF(L274&gt;'Config_v6'!$B$12,'Config_v6'!$B$37,IF(L274&gt;'Config_v6'!$B$11,'Config_v6'!$B$36,0))))</x:f>
      </x:c>
      <x:c r="W274" s="2" t="str">
        <x:f>IF(B274="","",IF(I274&lt;&gt;"READY","NOT RELEASED",IF(NOT(AND(J274="PASS",'Calibrare_Linii'!U8="VALID")),"INVALID",IF(NOT(AND('Calibrare_Linii'!S8="VALIDATED",AND('Calibrare_Linii'!H8=C274,ISNUMBER('Calibrare_Linii'!J8),'Calibrare_Linii'!J8&lt;='Input_Meci'!G25))),"OOS PENDING",IF(S274&lt;='Calibrare_Linii'!E8,"PASS",IF(S274&lt;='Calibrare_Linii'!F8,"PENALTY","WATCH"))))))</x:f>
      </x:c>
      <x:c r="X274" s="2" t="str">
        <x:f>IF(M274="","",IF(AND(AND(J274="PASS",'Calibrare_Linii'!U8="VALID"),'Motor_Meciuri'!K25=12,'Motor_Meciuri'!L25=12,'Motor_Meciuri'!M25="NO",'Motor_Meciuri'!BL25='Motor_Meciuri'!C25,AB274&gt;='Config_v6'!$B$50,AN274&gt;='Config_v6'!$B$51,T274&lt;='Config_v6'!$B$52,L274&lt;='Config_v6'!$B$53,ISNUMBER('Calibrare_Linii'!E8),S274&lt;='Calibrare_Linii'!E8,SUM(AK274:AM274)&gt;0),"CANDIDATE","NO"))</x:f>
      </x:c>
      <x:c r="Y274" s="2" t="str">
        <x:f>IF(B274="","",IF(I274&lt;&gt;"READY","NOT RELEASED",IF(AND(X274="CANDIDATE",V274&gt;='Config_v6'!$B$51,W274="PASS",'Calibrare_Linii'!T8="VALIDATED",AND('Calibrare_Linii'!H8=C274,ISNUMBER('Calibrare_Linii'!J8),'Calibrare_Linii'!J8&lt;='Input_Meci'!G25)),"PASS",IF(X274="CANDIDATE","OOS PENDING","FAIL"))))</x:f>
      </x:c>
      <x:c r="Z274" s="2" t="str">
        <x:f>IF(B274="","",IF(I274&lt;&gt;"READY","",IF(OR(NOT(AND(J274="PASS",'Calibrare_Linii'!U8="VALID")),L274&gt;'Config_v6'!$B$13,W274="WATCH"),5,IF(Y274="PASS",1,MIN(5,MAX('Config_v6'!$B$42,U274)+IF(W274="PENALTY",1,0))))))</x:f>
      </x:c>
      <x:c r="AA274" s="2" t="str">
        <x:f>IF(B274="","",IF(I274&lt;&gt;"READY","NOT RELEASED",IF(Z274=5,"NO BET",IF(OR(AB274&lt;'Config_v6'!$B$16,V274&lt;'Config_v6'!$B$18),"WATCH",IF(Z274=1,"DEFENSIV",IF(Z274=2,"PRUDENT",IF(Z274=3,"MODERAT","RIDICAT")))))))</x:f>
      </x:c>
      <x:c r="AB274" s="10" t="str">
        <x:f>IF(N274="","",MIN(N274,1-S274))</x:f>
      </x:c>
      <x:c r="AC274" s="2" t="str">
        <x:f>IF(AD274&lt;&gt;1,"",COUNTIFS($Z$272:$Z$285,"&lt;"&amp;Z274,$AD$272:$AD$285,1)+COUNTIFS($Z$272:$Z$285,Z274,$AB$272:$AB$285,"&gt;"&amp;AB274,$AD$272:$AD$285,1)+COUNTIFS($Z$272:$Z$285,Z274,$AB$272:$AB$285,AB274,$V$272:$V$285,"&gt;"&amp;V274,$AD$272:$AD$285,1)+COUNTIFS($Z$272:Z274,Z274,$AB$272:AB274,AB274,$V$272:V274,V274,$AD$272:AD274,1))</x:f>
      </x:c>
      <x:c r="AD274" s="2" t="n">
        <x:f>IF(OR(AA274="DEFENSIV",AA274="PRUDENT",AA274="MODERAT",AA274="RIDICAT"),1,0)</x:f>
        <x:v>0</x:v>
      </x:c>
      <x:c r="AE274" s="2" t="str">
        <x:f>IF(AD274&lt;&gt;1,"NO",IF(W274="PASS","YES",IF(W274="OOS PENDING","CONDITIONAL","NO")))</x:f>
        <x:v>NO</x:v>
      </x:c>
      <x:c r="AF274" s="2" t="n">
        <x:f>IF(AND(AD274=1,AC274=1,E274="LIVE"),1,0)</x:f>
        <x:v>0</x:v>
      </x:c>
      <x:c r="AG274" s="2" t="str">
        <x:f>IF(AF274&lt;&gt;1,"",'Dashboard'!P45)</x:f>
      </x:c>
      <x:c r="AH274" s="2" t="str">
        <x:f>IF(B274="","",IF(J274&lt;&gt;"PASS",'Motor_Meciuri'!J25,IF('Calibrare_Linii'!U8&lt;&gt;"VALID","Parametri linie invalizi",IF(L274&gt;'Config_v6'!$B$13,"Dispersie peste limita",IF(W274="WATCH","Failure peste limita",IF(AB274&lt;'Config_v6'!$B$16,"P finala sub prag",IF(V274&lt;'Config_v6'!$B$18,"Confidence sub prag",IF(E274="REPLAY","Exemplu retrospectiv; exclus din Top LIVE",IF(Y274="PASS","DEFENSIV validat",IF(W274="OOS PENDING","Eligibil; calibrare linie in monitorizare","Eligibil"))))))))))</x:f>
      </x:c>
      <x:c r="AI274" s="2" t="str">
        <x:f>IF(B274="","",'Calibrare_Linii'!V8)</x:f>
      </x:c>
      <x:c r="AJ274" s="2" t="str">
        <x:f>IF(B274="","",IF(AND('Calibrare_Linii'!T8="VALIDATED",AND('Calibrare_Linii'!H8=C274,ISNUMBER('Calibrare_Linii'!J8),'Calibrare_Linii'!J8&lt;='Input_Meci'!G25)),"DEFENSIVE VALIDATED",IF(AND('Calibrare_Linii'!S8="VALIDATED",AND('Calibrare_Linii'!H8=C274,ISNUMBER('Calibrare_Linii'!J8),'Calibrare_Linii'!J8&lt;='Input_Meci'!G25)),"TAIL VALIDATED","OOS PENDING")))</x:f>
      </x:c>
      <x:c r="AK274" s="2" t="n">
        <x:f>IF(J274&lt;&gt;"PASS",0,'Motor_Meciuri'!BR25)</x:f>
        <x:v>0</x:v>
      </x:c>
      <x:c r="AL274" s="2" t="n">
        <x:f>IF(J274&lt;&gt;"PASS",0,'Motor_Meciuri'!BS25)</x:f>
        <x:v>0</x:v>
      </x:c>
      <x:c r="AM274" s="2" t="n">
        <x:f>IF(J274&lt;&gt;"PASS",0,'Motor_Meciuri'!BT25)</x:f>
        <x:v>0</x:v>
      </x:c>
      <x:c r="AN274" s="2" t="str">
        <x:f>IF(M274="","",MAX(0,'Motor_Meciuri'!BF25-IF(L274&gt;'Config_v6'!$B$12,'Config_v6'!$B$37,IF(L274&gt;'Config_v6'!$B$11,'Config_v6'!$B$36,0))))</x:f>
      </x:c>
    </x:row>
    <x:row r="275" ht="21" customHeight="1">
      <x:c r="A275" s="2" t="n">
        <x:v>20</x:v>
      </x:c>
      <x:c r="B275" s="2" t="str">
        <x:f>IF('Motor_Meciuri'!A25="","",'Motor_Meciuri'!A25)</x:f>
      </x:c>
      <x:c r="C275" s="2" t="str">
        <x:f>IF(B275="","",'Motor_Meciuri'!B25)</x:f>
      </x:c>
      <x:c r="D275" s="2" t="str">
        <x:f>IF(B275="","",'Motor_Meciuri'!D25)</x:f>
      </x:c>
      <x:c r="E275" s="2" t="str">
        <x:f>IF(B275="","",'Motor_Meciuri'!E25)</x:f>
      </x:c>
      <x:c r="F275" s="2" t="str">
        <x:v>O6,5</x:v>
      </x:c>
      <x:c r="G275" s="2" t="str">
        <x:v>OVER</x:v>
      </x:c>
      <x:c r="H275" s="2" t="n">
        <x:v>6</x:v>
      </x:c>
      <x:c r="I275" s="2" t="str">
        <x:f>IF(B275="","",'Motor_Meciuri'!H25)</x:f>
      </x:c>
      <x:c r="J275" s="2" t="str">
        <x:f>IF(B275="","",'Motor_Meciuri'!I25)</x:f>
      </x:c>
      <x:c r="K275" s="11" t="str">
        <x:f>IF(J275&lt;&gt;"PASS","",'Motor_Meciuri'!BD25)</x:f>
      </x:c>
      <x:c r="L275" s="11" t="str">
        <x:f>IF(J275&lt;&gt;"PASS","",'Motor_Meciuri'!AU25)</x:f>
      </x:c>
      <x:c r="M275" s="10" t="str">
        <x:f>IF(NOT(AND(J275="PASS",'Calibrare_Linii'!U9="VALID")),"",1-'Distributie'!AD25)</x:f>
      </x:c>
      <x:c r="N275" s="10" t="str">
        <x:f>IF(M275="","",MAX(0.01,MIN(0.99,0.5+(M275-0.5)*'Motor_Meciuri'!BG25*'Calibrare_Linii'!D9)))</x:f>
      </x:c>
      <x:c r="O275" s="10" t="str">
        <x:f>IF(M275="","",1-M275)</x:f>
      </x:c>
      <x:c r="P275" s="10" t="str">
        <x:f>IF(OR(NOT(AND(J275="PASS",'Calibrare_Linii'!U9="VALID")),AK275=0),""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*('Istoric_Nativ'!$Q$6:$Q$405&lt;=H275))/AK275)</x:f>
      </x:c>
      <x:c r="Q275" s="10" t="str">
        <x:f>IF(OR(NOT(AND(J275="PASS",'Calibrare_Linii'!U9="VALID")),AL275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M25)+((('Istoric_Nativ'!$E$6:$E$405='Input_Meci'!E25)+('Istoric_Nativ'!$F$6:$F$405='Input_Meci'!E25))&gt;0)*('Istoric_Nativ'!$D$6:$D$405&gt;='Motor_Meciuri'!BN25))&gt;0)*('Istoric_Nativ'!$Q$6:$Q$405&lt;=H275))/AL275)</x:f>
      </x:c>
      <x:c r="R275" s="10" t="str">
        <x:f>IF(OR(NOT(AND(J275="PASS",'Calibrare_Linii'!U9="VALID")),AM275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O25)+((('Istoric_Nativ'!$E$6:$E$405='Input_Meci'!E25)+('Istoric_Nativ'!$F$6:$F$405='Input_Meci'!E25))&gt;0)*('Istoric_Nativ'!$D$6:$D$405&gt;='Motor_Meciuri'!BP25))&gt;0)*('Istoric_Nativ'!$Q$6:$Q$405&lt;=H275))/AM275)</x:f>
      </x:c>
      <x:c r="S275" s="10" t="str">
        <x:f>IF(M275="","",MAX(O275,P275,Q275,R275))</x:f>
      </x:c>
      <x:c r="T275" s="11" t="str">
        <x:f>IF(M275="","",MIN(100,S275*100*'Config_v6'!$B$44+MIN(100,L275/'Config_v6'!$B$13*100)*'Config_v6'!$B$45+(100-'Motor_Meciuri'!BF25)*'Config_v6'!$B$46+'Motor_Meciuri'!BH25*100*'Config_v6'!$B$47))</x:f>
      </x:c>
      <x:c r="U275" s="2" t="str">
        <x:f>IF(T275="","",IF(T275&lt;=20,1,IF(T275&lt;=40,2,IF(T275&lt;=60,3,IF(T275&lt;=80,4,5)))))</x:f>
      </x:c>
      <x:c r="V275" s="2" t="str">
        <x:f>IF(M275="","",MAX(0,'Motor_Meciuri'!BF25-IF(W275="OOS PENDING",'Config_v6'!$B$35,0)-IF(L275&gt;'Config_v6'!$B$12,'Config_v6'!$B$37,IF(L275&gt;'Config_v6'!$B$11,'Config_v6'!$B$36,0))))</x:f>
      </x:c>
      <x:c r="W275" s="2" t="str">
        <x:f>IF(B275="","",IF(I275&lt;&gt;"READY","NOT RELEASED",IF(NOT(AND(J275="PASS",'Calibrare_Linii'!U9="VALID")),"INVALID",IF(NOT(AND('Calibrare_Linii'!S9="VALIDATED",AND('Calibrare_Linii'!H9=C275,ISNUMBER('Calibrare_Linii'!J9),'Calibrare_Linii'!J9&lt;='Input_Meci'!G25))),"OOS PENDING",IF(S275&lt;='Calibrare_Linii'!E9,"PASS",IF(S275&lt;='Calibrare_Linii'!F9,"PENALTY","WATCH"))))))</x:f>
      </x:c>
      <x:c r="X275" s="2" t="str">
        <x:f>IF(M275="","",IF(AND(AND(J275="PASS",'Calibrare_Linii'!U9="VALID"),'Motor_Meciuri'!K25=12,'Motor_Meciuri'!L25=12,'Motor_Meciuri'!M25="NO",'Motor_Meciuri'!BL25='Motor_Meciuri'!C25,AB275&gt;='Config_v6'!$B$50,AN275&gt;='Config_v6'!$B$51,T275&lt;='Config_v6'!$B$52,L275&lt;='Config_v6'!$B$53,ISNUMBER('Calibrare_Linii'!E9),S275&lt;='Calibrare_Linii'!E9,SUM(AK275:AM275)&gt;0),"CANDIDATE","NO"))</x:f>
      </x:c>
      <x:c r="Y275" s="2" t="str">
        <x:f>IF(B275="","",IF(I275&lt;&gt;"READY","NOT RELEASED",IF(AND(X275="CANDIDATE",V275&gt;='Config_v6'!$B$51,W275="PASS",'Calibrare_Linii'!T9="VALIDATED",AND('Calibrare_Linii'!H9=C275,ISNUMBER('Calibrare_Linii'!J9),'Calibrare_Linii'!J9&lt;='Input_Meci'!G25)),"PASS",IF(X275="CANDIDATE","OOS PENDING","FAIL"))))</x:f>
      </x:c>
      <x:c r="Z275" s="2" t="str">
        <x:f>IF(B275="","",IF(I275&lt;&gt;"READY","",IF(OR(NOT(AND(J275="PASS",'Calibrare_Linii'!U9="VALID")),L275&gt;'Config_v6'!$B$13,W275="WATCH"),5,IF(Y275="PASS",1,MIN(5,MAX('Config_v6'!$B$42,U275)+IF(W275="PENALTY",1,0))))))</x:f>
      </x:c>
      <x:c r="AA275" s="2" t="str">
        <x:f>IF(B275="","",IF(I275&lt;&gt;"READY","NOT RELEASED",IF(Z275=5,"NO BET",IF(OR(AB275&lt;'Config_v6'!$B$16,V275&lt;'Config_v6'!$B$18),"WATCH",IF(Z275=1,"DEFENSIV",IF(Z275=2,"PRUDENT",IF(Z275=3,"MODERAT","RIDICAT")))))))</x:f>
      </x:c>
      <x:c r="AB275" s="10" t="str">
        <x:f>IF(N275="","",MIN(N275,1-S275))</x:f>
      </x:c>
      <x:c r="AC275" s="2" t="str">
        <x:f>IF(AD275&lt;&gt;1,"",COUNTIFS($Z$272:$Z$285,"&lt;"&amp;Z275,$AD$272:$AD$285,1)+COUNTIFS($Z$272:$Z$285,Z275,$AB$272:$AB$285,"&gt;"&amp;AB275,$AD$272:$AD$285,1)+COUNTIFS($Z$272:$Z$285,Z275,$AB$272:$AB$285,AB275,$V$272:$V$285,"&gt;"&amp;V275,$AD$272:$AD$285,1)+COUNTIFS($Z$272:Z275,Z275,$AB$272:AB275,AB275,$V$272:V275,V275,$AD$272:AD275,1))</x:f>
      </x:c>
      <x:c r="AD275" s="2" t="n">
        <x:f>IF(OR(AA275="DEFENSIV",AA275="PRUDENT",AA275="MODERAT",AA275="RIDICAT"),1,0)</x:f>
        <x:v>0</x:v>
      </x:c>
      <x:c r="AE275" s="2" t="str">
        <x:f>IF(AD275&lt;&gt;1,"NO",IF(W275="PASS","YES",IF(W275="OOS PENDING","CONDITIONAL","NO")))</x:f>
        <x:v>NO</x:v>
      </x:c>
      <x:c r="AF275" s="2" t="n">
        <x:f>IF(AND(AD275=1,AC275=1,E275="LIVE"),1,0)</x:f>
        <x:v>0</x:v>
      </x:c>
      <x:c r="AG275" s="2" t="str">
        <x:f>IF(AF275&lt;&gt;1,"",'Dashboard'!P45)</x:f>
      </x:c>
      <x:c r="AH275" s="2" t="str">
        <x:f>IF(B275="","",IF(J275&lt;&gt;"PASS",'Motor_Meciuri'!J25,IF('Calibrare_Linii'!U9&lt;&gt;"VALID","Parametri linie invalizi",IF(L275&gt;'Config_v6'!$B$13,"Dispersie peste limita",IF(W275="WATCH","Failure peste limita",IF(AB275&lt;'Config_v6'!$B$16,"P finala sub prag",IF(V275&lt;'Config_v6'!$B$18,"Confidence sub prag",IF(E275="REPLAY","Exemplu retrospectiv; exclus din Top LIVE",IF(Y275="PASS","DEFENSIV validat",IF(W275="OOS PENDING","Eligibil; calibrare linie in monitorizare","Eligibil"))))))))))</x:f>
      </x:c>
      <x:c r="AI275" s="2" t="str">
        <x:f>IF(B275="","",'Calibrare_Linii'!V9)</x:f>
      </x:c>
      <x:c r="AJ275" s="2" t="str">
        <x:f>IF(B275="","",IF(AND('Calibrare_Linii'!T9="VALIDATED",AND('Calibrare_Linii'!H9=C275,ISNUMBER('Calibrare_Linii'!J9),'Calibrare_Linii'!J9&lt;='Input_Meci'!G25)),"DEFENSIVE VALIDATED",IF(AND('Calibrare_Linii'!S9="VALIDATED",AND('Calibrare_Linii'!H9=C275,ISNUMBER('Calibrare_Linii'!J9),'Calibrare_Linii'!J9&lt;='Input_Meci'!G25)),"TAIL VALIDATED","OOS PENDING")))</x:f>
      </x:c>
      <x:c r="AK275" s="2" t="n">
        <x:f>IF(J275&lt;&gt;"PASS",0,'Motor_Meciuri'!BR25)</x:f>
        <x:v>0</x:v>
      </x:c>
      <x:c r="AL275" s="2" t="n">
        <x:f>IF(J275&lt;&gt;"PASS",0,'Motor_Meciuri'!BS25)</x:f>
        <x:v>0</x:v>
      </x:c>
      <x:c r="AM275" s="2" t="n">
        <x:f>IF(J275&lt;&gt;"PASS",0,'Motor_Meciuri'!BT25)</x:f>
        <x:v>0</x:v>
      </x:c>
      <x:c r="AN275" s="2" t="str">
        <x:f>IF(M275="","",MAX(0,'Motor_Meciuri'!BF25-IF(L275&gt;'Config_v6'!$B$12,'Config_v6'!$B$37,IF(L275&gt;'Config_v6'!$B$11,'Config_v6'!$B$36,0))))</x:f>
      </x:c>
    </x:row>
    <x:row r="276" ht="21" customHeight="1">
      <x:c r="A276" s="2" t="n">
        <x:v>20</x:v>
      </x:c>
      <x:c r="B276" s="2" t="str">
        <x:f>IF('Motor_Meciuri'!A25="","",'Motor_Meciuri'!A25)</x:f>
      </x:c>
      <x:c r="C276" s="2" t="str">
        <x:f>IF(B276="","",'Motor_Meciuri'!B25)</x:f>
      </x:c>
      <x:c r="D276" s="2" t="str">
        <x:f>IF(B276="","",'Motor_Meciuri'!D25)</x:f>
      </x:c>
      <x:c r="E276" s="2" t="str">
        <x:f>IF(B276="","",'Motor_Meciuri'!E25)</x:f>
      </x:c>
      <x:c r="F276" s="2" t="str">
        <x:v>O7,5</x:v>
      </x:c>
      <x:c r="G276" s="2" t="str">
        <x:v>OVER</x:v>
      </x:c>
      <x:c r="H276" s="2" t="n">
        <x:v>7</x:v>
      </x:c>
      <x:c r="I276" s="2" t="str">
        <x:f>IF(B276="","",'Motor_Meciuri'!H25)</x:f>
      </x:c>
      <x:c r="J276" s="2" t="str">
        <x:f>IF(B276="","",'Motor_Meciuri'!I25)</x:f>
      </x:c>
      <x:c r="K276" s="11" t="str">
        <x:f>IF(J276&lt;&gt;"PASS","",'Motor_Meciuri'!BD25)</x:f>
      </x:c>
      <x:c r="L276" s="11" t="str">
        <x:f>IF(J276&lt;&gt;"PASS","",'Motor_Meciuri'!AU25)</x:f>
      </x:c>
      <x:c r="M276" s="10" t="str">
        <x:f>IF(NOT(AND(J276="PASS",'Calibrare_Linii'!U10="VALID")),"",1-'Distributie'!AE25)</x:f>
      </x:c>
      <x:c r="N276" s="10" t="str">
        <x:f>IF(M276="","",MAX(0.01,MIN(0.99,0.5+(M276-0.5)*'Motor_Meciuri'!BG25*'Calibrare_Linii'!D10)))</x:f>
      </x:c>
      <x:c r="O276" s="10" t="str">
        <x:f>IF(M276="","",1-M276)</x:f>
      </x:c>
      <x:c r="P276" s="10" t="str">
        <x:f>IF(OR(NOT(AND(J276="PASS",'Calibrare_Linii'!U10="VALID")),AK276=0),""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*('Istoric_Nativ'!$Q$6:$Q$405&lt;=H276))/AK276)</x:f>
      </x:c>
      <x:c r="Q276" s="10" t="str">
        <x:f>IF(OR(NOT(AND(J276="PASS",'Calibrare_Linii'!U10="VALID")),AL276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M25)+((('Istoric_Nativ'!$E$6:$E$405='Input_Meci'!E25)+('Istoric_Nativ'!$F$6:$F$405='Input_Meci'!E25))&gt;0)*('Istoric_Nativ'!$D$6:$D$405&gt;='Motor_Meciuri'!BN25))&gt;0)*('Istoric_Nativ'!$Q$6:$Q$405&lt;=H276))/AL276)</x:f>
      </x:c>
      <x:c r="R276" s="10" t="str">
        <x:f>IF(OR(NOT(AND(J276="PASS",'Calibrare_Linii'!U10="VALID")),AM276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O25)+((('Istoric_Nativ'!$E$6:$E$405='Input_Meci'!E25)+('Istoric_Nativ'!$F$6:$F$405='Input_Meci'!E25))&gt;0)*('Istoric_Nativ'!$D$6:$D$405&gt;='Motor_Meciuri'!BP25))&gt;0)*('Istoric_Nativ'!$Q$6:$Q$405&lt;=H276))/AM276)</x:f>
      </x:c>
      <x:c r="S276" s="10" t="str">
        <x:f>IF(M276="","",MAX(O276,P276,Q276,R276))</x:f>
      </x:c>
      <x:c r="T276" s="11" t="str">
        <x:f>IF(M276="","",MIN(100,S276*100*'Config_v6'!$B$44+MIN(100,L276/'Config_v6'!$B$13*100)*'Config_v6'!$B$45+(100-'Motor_Meciuri'!BF25)*'Config_v6'!$B$46+'Motor_Meciuri'!BH25*100*'Config_v6'!$B$47))</x:f>
      </x:c>
      <x:c r="U276" s="2" t="str">
        <x:f>IF(T276="","",IF(T276&lt;=20,1,IF(T276&lt;=40,2,IF(T276&lt;=60,3,IF(T276&lt;=80,4,5)))))</x:f>
      </x:c>
      <x:c r="V276" s="2" t="str">
        <x:f>IF(M276="","",MAX(0,'Motor_Meciuri'!BF25-IF(W276="OOS PENDING",'Config_v6'!$B$35,0)-IF(L276&gt;'Config_v6'!$B$12,'Config_v6'!$B$37,IF(L276&gt;'Config_v6'!$B$11,'Config_v6'!$B$36,0))))</x:f>
      </x:c>
      <x:c r="W276" s="2" t="str">
        <x:f>IF(B276="","",IF(I276&lt;&gt;"READY","NOT RELEASED",IF(NOT(AND(J276="PASS",'Calibrare_Linii'!U10="VALID")),"INVALID",IF(NOT(AND('Calibrare_Linii'!S10="VALIDATED",AND('Calibrare_Linii'!H10=C276,ISNUMBER('Calibrare_Linii'!J10),'Calibrare_Linii'!J10&lt;='Input_Meci'!G25))),"OOS PENDING",IF(S276&lt;='Calibrare_Linii'!E10,"PASS",IF(S276&lt;='Calibrare_Linii'!F10,"PENALTY","WATCH"))))))</x:f>
      </x:c>
      <x:c r="X276" s="2" t="str">
        <x:f>IF(M276="","",IF(AND(AND(J276="PASS",'Calibrare_Linii'!U10="VALID"),'Motor_Meciuri'!K25=12,'Motor_Meciuri'!L25=12,'Motor_Meciuri'!M25="NO",'Motor_Meciuri'!BL25='Motor_Meciuri'!C25,AB276&gt;='Config_v6'!$B$50,AN276&gt;='Config_v6'!$B$51,T276&lt;='Config_v6'!$B$52,L276&lt;='Config_v6'!$B$53,ISNUMBER('Calibrare_Linii'!E10),S276&lt;='Calibrare_Linii'!E10,SUM(AK276:AM276)&gt;0),"CANDIDATE","NO"))</x:f>
      </x:c>
      <x:c r="Y276" s="2" t="str">
        <x:f>IF(B276="","",IF(I276&lt;&gt;"READY","NOT RELEASED",IF(AND(X276="CANDIDATE",V276&gt;='Config_v6'!$B$51,W276="PASS",'Calibrare_Linii'!T10="VALIDATED",AND('Calibrare_Linii'!H10=C276,ISNUMBER('Calibrare_Linii'!J10),'Calibrare_Linii'!J10&lt;='Input_Meci'!G25)),"PASS",IF(X276="CANDIDATE","OOS PENDING","FAIL"))))</x:f>
      </x:c>
      <x:c r="Z276" s="2" t="str">
        <x:f>IF(B276="","",IF(I276&lt;&gt;"READY","",IF(OR(NOT(AND(J276="PASS",'Calibrare_Linii'!U10="VALID")),L276&gt;'Config_v6'!$B$13,W276="WATCH"),5,IF(Y276="PASS",1,MIN(5,MAX('Config_v6'!$B$42,U276)+IF(W276="PENALTY",1,0))))))</x:f>
      </x:c>
      <x:c r="AA276" s="2" t="str">
        <x:f>IF(B276="","",IF(I276&lt;&gt;"READY","NOT RELEASED",IF(Z276=5,"NO BET",IF(OR(AB276&lt;'Config_v6'!$B$16,V276&lt;'Config_v6'!$B$18),"WATCH",IF(Z276=1,"DEFENSIV",IF(Z276=2,"PRUDENT",IF(Z276=3,"MODERAT","RIDICAT")))))))</x:f>
      </x:c>
      <x:c r="AB276" s="10" t="str">
        <x:f>IF(N276="","",MIN(N276,1-S276))</x:f>
      </x:c>
      <x:c r="AC276" s="2" t="str">
        <x:f>IF(AD276&lt;&gt;1,"",COUNTIFS($Z$272:$Z$285,"&lt;"&amp;Z276,$AD$272:$AD$285,1)+COUNTIFS($Z$272:$Z$285,Z276,$AB$272:$AB$285,"&gt;"&amp;AB276,$AD$272:$AD$285,1)+COUNTIFS($Z$272:$Z$285,Z276,$AB$272:$AB$285,AB276,$V$272:$V$285,"&gt;"&amp;V276,$AD$272:$AD$285,1)+COUNTIFS($Z$272:Z276,Z276,$AB$272:AB276,AB276,$V$272:V276,V276,$AD$272:AD276,1))</x:f>
      </x:c>
      <x:c r="AD276" s="2" t="n">
        <x:f>IF(OR(AA276="DEFENSIV",AA276="PRUDENT",AA276="MODERAT",AA276="RIDICAT"),1,0)</x:f>
        <x:v>0</x:v>
      </x:c>
      <x:c r="AE276" s="2" t="str">
        <x:f>IF(AD276&lt;&gt;1,"NO",IF(W276="PASS","YES",IF(W276="OOS PENDING","CONDITIONAL","NO")))</x:f>
        <x:v>NO</x:v>
      </x:c>
      <x:c r="AF276" s="2" t="n">
        <x:f>IF(AND(AD276=1,AC276=1,E276="LIVE"),1,0)</x:f>
        <x:v>0</x:v>
      </x:c>
      <x:c r="AG276" s="2" t="str">
        <x:f>IF(AF276&lt;&gt;1,"",'Dashboard'!P45)</x:f>
      </x:c>
      <x:c r="AH276" s="2" t="str">
        <x:f>IF(B276="","",IF(J276&lt;&gt;"PASS",'Motor_Meciuri'!J25,IF('Calibrare_Linii'!U10&lt;&gt;"VALID","Parametri linie invalizi",IF(L276&gt;'Config_v6'!$B$13,"Dispersie peste limita",IF(W276="WATCH","Failure peste limita",IF(AB276&lt;'Config_v6'!$B$16,"P finala sub prag",IF(V276&lt;'Config_v6'!$B$18,"Confidence sub prag",IF(E276="REPLAY","Exemplu retrospectiv; exclus din Top LIVE",IF(Y276="PASS","DEFENSIV validat",IF(W276="OOS PENDING","Eligibil; calibrare linie in monitorizare","Eligibil"))))))))))</x:f>
      </x:c>
      <x:c r="AI276" s="2" t="str">
        <x:f>IF(B276="","",'Calibrare_Linii'!V10)</x:f>
      </x:c>
      <x:c r="AJ276" s="2" t="str">
        <x:f>IF(B276="","",IF(AND('Calibrare_Linii'!T10="VALIDATED",AND('Calibrare_Linii'!H10=C276,ISNUMBER('Calibrare_Linii'!J10),'Calibrare_Linii'!J10&lt;='Input_Meci'!G25)),"DEFENSIVE VALIDATED",IF(AND('Calibrare_Linii'!S10="VALIDATED",AND('Calibrare_Linii'!H10=C276,ISNUMBER('Calibrare_Linii'!J10),'Calibrare_Linii'!J10&lt;='Input_Meci'!G25)),"TAIL VALIDATED","OOS PENDING")))</x:f>
      </x:c>
      <x:c r="AK276" s="2" t="n">
        <x:f>IF(J276&lt;&gt;"PASS",0,'Motor_Meciuri'!BR25)</x:f>
        <x:v>0</x:v>
      </x:c>
      <x:c r="AL276" s="2" t="n">
        <x:f>IF(J276&lt;&gt;"PASS",0,'Motor_Meciuri'!BS25)</x:f>
        <x:v>0</x:v>
      </x:c>
      <x:c r="AM276" s="2" t="n">
        <x:f>IF(J276&lt;&gt;"PASS",0,'Motor_Meciuri'!BT25)</x:f>
        <x:v>0</x:v>
      </x:c>
      <x:c r="AN276" s="2" t="str">
        <x:f>IF(M276="","",MAX(0,'Motor_Meciuri'!BF25-IF(L276&gt;'Config_v6'!$B$12,'Config_v6'!$B$37,IF(L276&gt;'Config_v6'!$B$11,'Config_v6'!$B$36,0))))</x:f>
      </x:c>
    </x:row>
    <x:row r="277" ht="21" customHeight="1">
      <x:c r="A277" s="2" t="n">
        <x:v>20</x:v>
      </x:c>
      <x:c r="B277" s="2" t="str">
        <x:f>IF('Motor_Meciuri'!A25="","",'Motor_Meciuri'!A25)</x:f>
      </x:c>
      <x:c r="C277" s="2" t="str">
        <x:f>IF(B277="","",'Motor_Meciuri'!B25)</x:f>
      </x:c>
      <x:c r="D277" s="2" t="str">
        <x:f>IF(B277="","",'Motor_Meciuri'!D25)</x:f>
      </x:c>
      <x:c r="E277" s="2" t="str">
        <x:f>IF(B277="","",'Motor_Meciuri'!E25)</x:f>
      </x:c>
      <x:c r="F277" s="2" t="str">
        <x:v>O8,5</x:v>
      </x:c>
      <x:c r="G277" s="2" t="str">
        <x:v>OVER</x:v>
      </x:c>
      <x:c r="H277" s="2" t="n">
        <x:v>8</x:v>
      </x:c>
      <x:c r="I277" s="2" t="str">
        <x:f>IF(B277="","",'Motor_Meciuri'!H25)</x:f>
      </x:c>
      <x:c r="J277" s="2" t="str">
        <x:f>IF(B277="","",'Motor_Meciuri'!I25)</x:f>
      </x:c>
      <x:c r="K277" s="11" t="str">
        <x:f>IF(J277&lt;&gt;"PASS","",'Motor_Meciuri'!BD25)</x:f>
      </x:c>
      <x:c r="L277" s="11" t="str">
        <x:f>IF(J277&lt;&gt;"PASS","",'Motor_Meciuri'!AU25)</x:f>
      </x:c>
      <x:c r="M277" s="10" t="str">
        <x:f>IF(NOT(AND(J277="PASS",'Calibrare_Linii'!U11="VALID")),"",1-'Distributie'!AF25)</x:f>
      </x:c>
      <x:c r="N277" s="10" t="str">
        <x:f>IF(M277="","",MAX(0.01,MIN(0.99,0.5+(M277-0.5)*'Motor_Meciuri'!BG25*'Calibrare_Linii'!D11)))</x:f>
      </x:c>
      <x:c r="O277" s="10" t="str">
        <x:f>IF(M277="","",1-M277)</x:f>
      </x:c>
      <x:c r="P277" s="10" t="str">
        <x:f>IF(OR(NOT(AND(J277="PASS",'Calibrare_Linii'!U11="VALID")),AK277=0),""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*('Istoric_Nativ'!$Q$6:$Q$405&lt;=H277))/AK277)</x:f>
      </x:c>
      <x:c r="Q277" s="10" t="str">
        <x:f>IF(OR(NOT(AND(J277="PASS",'Calibrare_Linii'!U11="VALID")),AL277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M25)+((('Istoric_Nativ'!$E$6:$E$405='Input_Meci'!E25)+('Istoric_Nativ'!$F$6:$F$405='Input_Meci'!E25))&gt;0)*('Istoric_Nativ'!$D$6:$D$405&gt;='Motor_Meciuri'!BN25))&gt;0)*('Istoric_Nativ'!$Q$6:$Q$405&lt;=H277))/AL277)</x:f>
      </x:c>
      <x:c r="R277" s="10" t="str">
        <x:f>IF(OR(NOT(AND(J277="PASS",'Calibrare_Linii'!U11="VALID")),AM277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O25)+((('Istoric_Nativ'!$E$6:$E$405='Input_Meci'!E25)+('Istoric_Nativ'!$F$6:$F$405='Input_Meci'!E25))&gt;0)*('Istoric_Nativ'!$D$6:$D$405&gt;='Motor_Meciuri'!BP25))&gt;0)*('Istoric_Nativ'!$Q$6:$Q$405&lt;=H277))/AM277)</x:f>
      </x:c>
      <x:c r="S277" s="10" t="str">
        <x:f>IF(M277="","",MAX(O277,P277,Q277,R277))</x:f>
      </x:c>
      <x:c r="T277" s="11" t="str">
        <x:f>IF(M277="","",MIN(100,S277*100*'Config_v6'!$B$44+MIN(100,L277/'Config_v6'!$B$13*100)*'Config_v6'!$B$45+(100-'Motor_Meciuri'!BF25)*'Config_v6'!$B$46+'Motor_Meciuri'!BH25*100*'Config_v6'!$B$47))</x:f>
      </x:c>
      <x:c r="U277" s="2" t="str">
        <x:f>IF(T277="","",IF(T277&lt;=20,1,IF(T277&lt;=40,2,IF(T277&lt;=60,3,IF(T277&lt;=80,4,5)))))</x:f>
      </x:c>
      <x:c r="V277" s="2" t="str">
        <x:f>IF(M277="","",MAX(0,'Motor_Meciuri'!BF25-IF(W277="OOS PENDING",'Config_v6'!$B$35,0)-IF(L277&gt;'Config_v6'!$B$12,'Config_v6'!$B$37,IF(L277&gt;'Config_v6'!$B$11,'Config_v6'!$B$36,0))))</x:f>
      </x:c>
      <x:c r="W277" s="2" t="str">
        <x:f>IF(B277="","",IF(I277&lt;&gt;"READY","NOT RELEASED",IF(NOT(AND(J277="PASS",'Calibrare_Linii'!U11="VALID")),"INVALID",IF(NOT(AND('Calibrare_Linii'!S11="VALIDATED",AND('Calibrare_Linii'!H11=C277,ISNUMBER('Calibrare_Linii'!J11),'Calibrare_Linii'!J11&lt;='Input_Meci'!G25))),"OOS PENDING",IF(S277&lt;='Calibrare_Linii'!E11,"PASS",IF(S277&lt;='Calibrare_Linii'!F11,"PENALTY","WATCH"))))))</x:f>
      </x:c>
      <x:c r="X277" s="2" t="str">
        <x:f>IF(M277="","",IF(AND(AND(J277="PASS",'Calibrare_Linii'!U11="VALID"),'Motor_Meciuri'!K25=12,'Motor_Meciuri'!L25=12,'Motor_Meciuri'!M25="NO",'Motor_Meciuri'!BL25='Motor_Meciuri'!C25,AB277&gt;='Config_v6'!$B$50,AN277&gt;='Config_v6'!$B$51,T277&lt;='Config_v6'!$B$52,L277&lt;='Config_v6'!$B$53,ISNUMBER('Calibrare_Linii'!E11),S277&lt;='Calibrare_Linii'!E11,SUM(AK277:AM277)&gt;0),"CANDIDATE","NO"))</x:f>
      </x:c>
      <x:c r="Y277" s="2" t="str">
        <x:f>IF(B277="","",IF(I277&lt;&gt;"READY","NOT RELEASED",IF(AND(X277="CANDIDATE",V277&gt;='Config_v6'!$B$51,W277="PASS",'Calibrare_Linii'!T11="VALIDATED",AND('Calibrare_Linii'!H11=C277,ISNUMBER('Calibrare_Linii'!J11),'Calibrare_Linii'!J11&lt;='Input_Meci'!G25)),"PASS",IF(X277="CANDIDATE","OOS PENDING","FAIL"))))</x:f>
      </x:c>
      <x:c r="Z277" s="2" t="str">
        <x:f>IF(B277="","",IF(I277&lt;&gt;"READY","",IF(OR(NOT(AND(J277="PASS",'Calibrare_Linii'!U11="VALID")),L277&gt;'Config_v6'!$B$13,W277="WATCH"),5,IF(Y277="PASS",1,MIN(5,MAX('Config_v6'!$B$42,U277)+IF(W277="PENALTY",1,0))))))</x:f>
      </x:c>
      <x:c r="AA277" s="2" t="str">
        <x:f>IF(B277="","",IF(I277&lt;&gt;"READY","NOT RELEASED",IF(Z277=5,"NO BET",IF(OR(AB277&lt;'Config_v6'!$B$16,V277&lt;'Config_v6'!$B$18),"WATCH",IF(Z277=1,"DEFENSIV",IF(Z277=2,"PRUDENT",IF(Z277=3,"MODERAT","RIDICAT")))))))</x:f>
      </x:c>
      <x:c r="AB277" s="10" t="str">
        <x:f>IF(N277="","",MIN(N277,1-S277))</x:f>
      </x:c>
      <x:c r="AC277" s="2" t="str">
        <x:f>IF(AD277&lt;&gt;1,"",COUNTIFS($Z$272:$Z$285,"&lt;"&amp;Z277,$AD$272:$AD$285,1)+COUNTIFS($Z$272:$Z$285,Z277,$AB$272:$AB$285,"&gt;"&amp;AB277,$AD$272:$AD$285,1)+COUNTIFS($Z$272:$Z$285,Z277,$AB$272:$AB$285,AB277,$V$272:$V$285,"&gt;"&amp;V277,$AD$272:$AD$285,1)+COUNTIFS($Z$272:Z277,Z277,$AB$272:AB277,AB277,$V$272:V277,V277,$AD$272:AD277,1))</x:f>
      </x:c>
      <x:c r="AD277" s="2" t="n">
        <x:f>IF(OR(AA277="DEFENSIV",AA277="PRUDENT",AA277="MODERAT",AA277="RIDICAT"),1,0)</x:f>
        <x:v>0</x:v>
      </x:c>
      <x:c r="AE277" s="2" t="str">
        <x:f>IF(AD277&lt;&gt;1,"NO",IF(W277="PASS","YES",IF(W277="OOS PENDING","CONDITIONAL","NO")))</x:f>
        <x:v>NO</x:v>
      </x:c>
      <x:c r="AF277" s="2" t="n">
        <x:f>IF(AND(AD277=1,AC277=1,E277="LIVE"),1,0)</x:f>
        <x:v>0</x:v>
      </x:c>
      <x:c r="AG277" s="2" t="str">
        <x:f>IF(AF277&lt;&gt;1,"",'Dashboard'!P45)</x:f>
      </x:c>
      <x:c r="AH277" s="2" t="str">
        <x:f>IF(B277="","",IF(J277&lt;&gt;"PASS",'Motor_Meciuri'!J25,IF('Calibrare_Linii'!U11&lt;&gt;"VALID","Parametri linie invalizi",IF(L277&gt;'Config_v6'!$B$13,"Dispersie peste limita",IF(W277="WATCH","Failure peste limita",IF(AB277&lt;'Config_v6'!$B$16,"P finala sub prag",IF(V277&lt;'Config_v6'!$B$18,"Confidence sub prag",IF(E277="REPLAY","Exemplu retrospectiv; exclus din Top LIVE",IF(Y277="PASS","DEFENSIV validat",IF(W277="OOS PENDING","Eligibil; calibrare linie in monitorizare","Eligibil"))))))))))</x:f>
      </x:c>
      <x:c r="AI277" s="2" t="str">
        <x:f>IF(B277="","",'Calibrare_Linii'!V11)</x:f>
      </x:c>
      <x:c r="AJ277" s="2" t="str">
        <x:f>IF(B277="","",IF(AND('Calibrare_Linii'!T11="VALIDATED",AND('Calibrare_Linii'!H11=C277,ISNUMBER('Calibrare_Linii'!J11),'Calibrare_Linii'!J11&lt;='Input_Meci'!G25)),"DEFENSIVE VALIDATED",IF(AND('Calibrare_Linii'!S11="VALIDATED",AND('Calibrare_Linii'!H11=C277,ISNUMBER('Calibrare_Linii'!J11),'Calibrare_Linii'!J11&lt;='Input_Meci'!G25)),"TAIL VALIDATED","OOS PENDING")))</x:f>
      </x:c>
      <x:c r="AK277" s="2" t="n">
        <x:f>IF(J277&lt;&gt;"PASS",0,'Motor_Meciuri'!BR25)</x:f>
        <x:v>0</x:v>
      </x:c>
      <x:c r="AL277" s="2" t="n">
        <x:f>IF(J277&lt;&gt;"PASS",0,'Motor_Meciuri'!BS25)</x:f>
        <x:v>0</x:v>
      </x:c>
      <x:c r="AM277" s="2" t="n">
        <x:f>IF(J277&lt;&gt;"PASS",0,'Motor_Meciuri'!BT25)</x:f>
        <x:v>0</x:v>
      </x:c>
      <x:c r="AN277" s="2" t="str">
        <x:f>IF(M277="","",MAX(0,'Motor_Meciuri'!BF25-IF(L277&gt;'Config_v6'!$B$12,'Config_v6'!$B$37,IF(L277&gt;'Config_v6'!$B$11,'Config_v6'!$B$36,0))))</x:f>
      </x:c>
    </x:row>
    <x:row r="278" ht="21" customHeight="1">
      <x:c r="A278" s="2" t="n">
        <x:v>20</x:v>
      </x:c>
      <x:c r="B278" s="2" t="str">
        <x:f>IF('Motor_Meciuri'!A25="","",'Motor_Meciuri'!A25)</x:f>
      </x:c>
      <x:c r="C278" s="2" t="str">
        <x:f>IF(B278="","",'Motor_Meciuri'!B25)</x:f>
      </x:c>
      <x:c r="D278" s="2" t="str">
        <x:f>IF(B278="","",'Motor_Meciuri'!D25)</x:f>
      </x:c>
      <x:c r="E278" s="2" t="str">
        <x:f>IF(B278="","",'Motor_Meciuri'!E25)</x:f>
      </x:c>
      <x:c r="F278" s="2" t="str">
        <x:v>U10,5</x:v>
      </x:c>
      <x:c r="G278" s="2" t="str">
        <x:v>UNDER</x:v>
      </x:c>
      <x:c r="H278" s="2" t="n">
        <x:v>10</x:v>
      </x:c>
      <x:c r="I278" s="2" t="str">
        <x:f>IF(B278="","",'Motor_Meciuri'!H25)</x:f>
      </x:c>
      <x:c r="J278" s="2" t="str">
        <x:f>IF(B278="","",'Motor_Meciuri'!I25)</x:f>
      </x:c>
      <x:c r="K278" s="11" t="str">
        <x:f>IF(J278&lt;&gt;"PASS","",'Motor_Meciuri'!BD25)</x:f>
      </x:c>
      <x:c r="L278" s="11" t="str">
        <x:f>IF(J278&lt;&gt;"PASS","",'Motor_Meciuri'!AU25)</x:f>
      </x:c>
      <x:c r="M278" s="10" t="str">
        <x:f>IF(NOT(AND(J278="PASS",'Calibrare_Linii'!U12="VALID")),"",'Distributie'!AH25)</x:f>
      </x:c>
      <x:c r="N278" s="10" t="str">
        <x:f>IF(M278="","",MAX(0.01,MIN(0.99,0.5+(M278-0.5)*'Motor_Meciuri'!BG25*'Calibrare_Linii'!D12)))</x:f>
      </x:c>
      <x:c r="O278" s="10" t="str">
        <x:f>IF(M278="","",1-M278)</x:f>
      </x:c>
      <x:c r="P278" s="10" t="str">
        <x:f>IF(OR(NOT(AND(J278="PASS",'Calibrare_Linii'!U12="VALID")),AK278=0),""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*('Istoric_Nativ'!$Q$6:$Q$405&gt;H278))/AK278)</x:f>
      </x:c>
      <x:c r="Q278" s="10" t="str">
        <x:f>IF(OR(NOT(AND(J278="PASS",'Calibrare_Linii'!U12="VALID")),AL278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M25)+((('Istoric_Nativ'!$E$6:$E$405='Input_Meci'!E25)+('Istoric_Nativ'!$F$6:$F$405='Input_Meci'!E25))&gt;0)*('Istoric_Nativ'!$D$6:$D$405&gt;='Motor_Meciuri'!BN25))&gt;0)*('Istoric_Nativ'!$Q$6:$Q$405&gt;H278))/AL278)</x:f>
      </x:c>
      <x:c r="R278" s="10" t="str">
        <x:f>IF(OR(NOT(AND(J278="PASS",'Calibrare_Linii'!U12="VALID")),AM278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O25)+((('Istoric_Nativ'!$E$6:$E$405='Input_Meci'!E25)+('Istoric_Nativ'!$F$6:$F$405='Input_Meci'!E25))&gt;0)*('Istoric_Nativ'!$D$6:$D$405&gt;='Motor_Meciuri'!BP25))&gt;0)*('Istoric_Nativ'!$Q$6:$Q$405&gt;H278))/AM278)</x:f>
      </x:c>
      <x:c r="S278" s="10" t="str">
        <x:f>IF(M278="","",MAX(O278,P278,Q278,R278))</x:f>
      </x:c>
      <x:c r="T278" s="11" t="str">
        <x:f>IF(M278="","",MIN(100,S278*100*'Config_v6'!$B$44+MIN(100,L278/'Config_v6'!$B$13*100)*'Config_v6'!$B$45+(100-'Motor_Meciuri'!BF25)*'Config_v6'!$B$46+'Motor_Meciuri'!BH25*100*'Config_v6'!$B$47))</x:f>
      </x:c>
      <x:c r="U278" s="2" t="str">
        <x:f>IF(T278="","",IF(T278&lt;=20,1,IF(T278&lt;=40,2,IF(T278&lt;=60,3,IF(T278&lt;=80,4,5)))))</x:f>
      </x:c>
      <x:c r="V278" s="2" t="str">
        <x:f>IF(M278="","",MAX(0,'Motor_Meciuri'!BF25-IF(W278="OOS PENDING",'Config_v6'!$B$35,0)-IF(L278&gt;'Config_v6'!$B$12,'Config_v6'!$B$37,IF(L278&gt;'Config_v6'!$B$11,'Config_v6'!$B$36,0))))</x:f>
      </x:c>
      <x:c r="W278" s="2" t="str">
        <x:f>IF(B278="","",IF(I278&lt;&gt;"READY","NOT RELEASED",IF(NOT(AND(J278="PASS",'Calibrare_Linii'!U12="VALID")),"INVALID",IF(NOT(AND('Calibrare_Linii'!S12="VALIDATED",AND('Calibrare_Linii'!H12=C278,ISNUMBER('Calibrare_Linii'!J12),'Calibrare_Linii'!J12&lt;='Input_Meci'!G25))),"OOS PENDING",IF(S278&lt;='Calibrare_Linii'!E12,"PASS",IF(S278&lt;='Calibrare_Linii'!F12,"PENALTY","WATCH"))))))</x:f>
      </x:c>
      <x:c r="X278" s="2" t="str">
        <x:f>IF(M278="","",IF(AND(AND(J278="PASS",'Calibrare_Linii'!U12="VALID"),'Motor_Meciuri'!K25=12,'Motor_Meciuri'!L25=12,'Motor_Meciuri'!M25="NO",'Motor_Meciuri'!BL25='Motor_Meciuri'!C25,AB278&gt;='Config_v6'!$B$50,AN278&gt;='Config_v6'!$B$51,T278&lt;='Config_v6'!$B$52,L278&lt;='Config_v6'!$B$53,ISNUMBER('Calibrare_Linii'!E12),S278&lt;='Calibrare_Linii'!E12,SUM(AK278:AM278)&gt;0),"CANDIDATE","NO"))</x:f>
      </x:c>
      <x:c r="Y278" s="2" t="str">
        <x:f>IF(B278="","",IF(I278&lt;&gt;"READY","NOT RELEASED",IF(AND(X278="CANDIDATE",V278&gt;='Config_v6'!$B$51,W278="PASS",'Calibrare_Linii'!T12="VALIDATED",AND('Calibrare_Linii'!H12=C278,ISNUMBER('Calibrare_Linii'!J12),'Calibrare_Linii'!J12&lt;='Input_Meci'!G25)),"PASS",IF(X278="CANDIDATE","OOS PENDING","FAIL"))))</x:f>
      </x:c>
      <x:c r="Z278" s="2" t="str">
        <x:f>IF(B278="","",IF(I278&lt;&gt;"READY","",IF(OR(NOT(AND(J278="PASS",'Calibrare_Linii'!U12="VALID")),L278&gt;'Config_v6'!$B$13,W278="WATCH"),5,IF(Y278="PASS",1,MIN(5,MAX('Config_v6'!$B$42,U278)+IF(W278="PENALTY",1,0))))))</x:f>
      </x:c>
      <x:c r="AA278" s="2" t="str">
        <x:f>IF(B278="","",IF(I278&lt;&gt;"READY","NOT RELEASED",IF(Z278=5,"NO BET",IF(OR(AB278&lt;'Config_v6'!$B$16,V278&lt;'Config_v6'!$B$18),"WATCH",IF(Z278=1,"DEFENSIV",IF(Z278=2,"PRUDENT",IF(Z278=3,"MODERAT","RIDICAT")))))))</x:f>
      </x:c>
      <x:c r="AB278" s="10" t="str">
        <x:f>IF(N278="","",MIN(N278,1-S278))</x:f>
      </x:c>
      <x:c r="AC278" s="2" t="str">
        <x:f>IF(AD278&lt;&gt;1,"",COUNTIFS($Z$272:$Z$285,"&lt;"&amp;Z278,$AD$272:$AD$285,1)+COUNTIFS($Z$272:$Z$285,Z278,$AB$272:$AB$285,"&gt;"&amp;AB278,$AD$272:$AD$285,1)+COUNTIFS($Z$272:$Z$285,Z278,$AB$272:$AB$285,AB278,$V$272:$V$285,"&gt;"&amp;V278,$AD$272:$AD$285,1)+COUNTIFS($Z$272:Z278,Z278,$AB$272:AB278,AB278,$V$272:V278,V278,$AD$272:AD278,1))</x:f>
      </x:c>
      <x:c r="AD278" s="2" t="n">
        <x:f>IF(OR(AA278="DEFENSIV",AA278="PRUDENT",AA278="MODERAT",AA278="RIDICAT"),1,0)</x:f>
        <x:v>0</x:v>
      </x:c>
      <x:c r="AE278" s="2" t="str">
        <x:f>IF(AD278&lt;&gt;1,"NO",IF(W278="PASS","YES",IF(W278="OOS PENDING","CONDITIONAL","NO")))</x:f>
        <x:v>NO</x:v>
      </x:c>
      <x:c r="AF278" s="2" t="n">
        <x:f>IF(AND(AD278=1,AC278=1,E278="LIVE"),1,0)</x:f>
        <x:v>0</x:v>
      </x:c>
      <x:c r="AG278" s="2" t="str">
        <x:f>IF(AF278&lt;&gt;1,"",'Dashboard'!P45)</x:f>
      </x:c>
      <x:c r="AH278" s="2" t="str">
        <x:f>IF(B278="","",IF(J278&lt;&gt;"PASS",'Motor_Meciuri'!J25,IF('Calibrare_Linii'!U12&lt;&gt;"VALID","Parametri linie invalizi",IF(L278&gt;'Config_v6'!$B$13,"Dispersie peste limita",IF(W278="WATCH","Failure peste limita",IF(AB278&lt;'Config_v6'!$B$16,"P finala sub prag",IF(V278&lt;'Config_v6'!$B$18,"Confidence sub prag",IF(E278="REPLAY","Exemplu retrospectiv; exclus din Top LIVE",IF(Y278="PASS","DEFENSIV validat",IF(W278="OOS PENDING","Eligibil; calibrare linie in monitorizare","Eligibil"))))))))))</x:f>
      </x:c>
      <x:c r="AI278" s="2" t="str">
        <x:f>IF(B278="","",'Calibrare_Linii'!V12)</x:f>
      </x:c>
      <x:c r="AJ278" s="2" t="str">
        <x:f>IF(B278="","",IF(AND('Calibrare_Linii'!T12="VALIDATED",AND('Calibrare_Linii'!H12=C278,ISNUMBER('Calibrare_Linii'!J12),'Calibrare_Linii'!J12&lt;='Input_Meci'!G25)),"DEFENSIVE VALIDATED",IF(AND('Calibrare_Linii'!S12="VALIDATED",AND('Calibrare_Linii'!H12=C278,ISNUMBER('Calibrare_Linii'!J12),'Calibrare_Linii'!J12&lt;='Input_Meci'!G25)),"TAIL VALIDATED","OOS PENDING")))</x:f>
      </x:c>
      <x:c r="AK278" s="2" t="n">
        <x:f>IF(J278&lt;&gt;"PASS",0,'Motor_Meciuri'!BR25)</x:f>
        <x:v>0</x:v>
      </x:c>
      <x:c r="AL278" s="2" t="n">
        <x:f>IF(J278&lt;&gt;"PASS",0,'Motor_Meciuri'!BS25)</x:f>
        <x:v>0</x:v>
      </x:c>
      <x:c r="AM278" s="2" t="n">
        <x:f>IF(J278&lt;&gt;"PASS",0,'Motor_Meciuri'!BT25)</x:f>
        <x:v>0</x:v>
      </x:c>
      <x:c r="AN278" s="2" t="str">
        <x:f>IF(M278="","",MAX(0,'Motor_Meciuri'!BF25-IF(L278&gt;'Config_v6'!$B$12,'Config_v6'!$B$37,IF(L278&gt;'Config_v6'!$B$11,'Config_v6'!$B$36,0))))</x:f>
      </x:c>
    </x:row>
    <x:row r="279" ht="21" customHeight="1">
      <x:c r="A279" s="2" t="n">
        <x:v>20</x:v>
      </x:c>
      <x:c r="B279" s="2" t="str">
        <x:f>IF('Motor_Meciuri'!A25="","",'Motor_Meciuri'!A25)</x:f>
      </x:c>
      <x:c r="C279" s="2" t="str">
        <x:f>IF(B279="","",'Motor_Meciuri'!B25)</x:f>
      </x:c>
      <x:c r="D279" s="2" t="str">
        <x:f>IF(B279="","",'Motor_Meciuri'!D25)</x:f>
      </x:c>
      <x:c r="E279" s="2" t="str">
        <x:f>IF(B279="","",'Motor_Meciuri'!E25)</x:f>
      </x:c>
      <x:c r="F279" s="2" t="str">
        <x:v>U11,5</x:v>
      </x:c>
      <x:c r="G279" s="2" t="str">
        <x:v>UNDER</x:v>
      </x:c>
      <x:c r="H279" s="2" t="n">
        <x:v>11</x:v>
      </x:c>
      <x:c r="I279" s="2" t="str">
        <x:f>IF(B279="","",'Motor_Meciuri'!H25)</x:f>
      </x:c>
      <x:c r="J279" s="2" t="str">
        <x:f>IF(B279="","",'Motor_Meciuri'!I25)</x:f>
      </x:c>
      <x:c r="K279" s="11" t="str">
        <x:f>IF(J279&lt;&gt;"PASS","",'Motor_Meciuri'!BD25)</x:f>
      </x:c>
      <x:c r="L279" s="11" t="str">
        <x:f>IF(J279&lt;&gt;"PASS","",'Motor_Meciuri'!AU25)</x:f>
      </x:c>
      <x:c r="M279" s="10" t="str">
        <x:f>IF(NOT(AND(J279="PASS",'Calibrare_Linii'!U13="VALID")),"",'Distributie'!AI25)</x:f>
      </x:c>
      <x:c r="N279" s="10" t="str">
        <x:f>IF(M279="","",MAX(0.01,MIN(0.99,0.5+(M279-0.5)*'Motor_Meciuri'!BG25*'Calibrare_Linii'!D13)))</x:f>
      </x:c>
      <x:c r="O279" s="10" t="str">
        <x:f>IF(M279="","",1-M279)</x:f>
      </x:c>
      <x:c r="P279" s="10" t="str">
        <x:f>IF(OR(NOT(AND(J279="PASS",'Calibrare_Linii'!U13="VALID")),AK279=0),""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*('Istoric_Nativ'!$Q$6:$Q$405&gt;H279))/AK279)</x:f>
      </x:c>
      <x:c r="Q279" s="10" t="str">
        <x:f>IF(OR(NOT(AND(J279="PASS",'Calibrare_Linii'!U13="VALID")),AL279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M25)+((('Istoric_Nativ'!$E$6:$E$405='Input_Meci'!E25)+('Istoric_Nativ'!$F$6:$F$405='Input_Meci'!E25))&gt;0)*('Istoric_Nativ'!$D$6:$D$405&gt;='Motor_Meciuri'!BN25))&gt;0)*('Istoric_Nativ'!$Q$6:$Q$405&gt;H279))/AL279)</x:f>
      </x:c>
      <x:c r="R279" s="10" t="str">
        <x:f>IF(OR(NOT(AND(J279="PASS",'Calibrare_Linii'!U13="VALID")),AM279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O25)+((('Istoric_Nativ'!$E$6:$E$405='Input_Meci'!E25)+('Istoric_Nativ'!$F$6:$F$405='Input_Meci'!E25))&gt;0)*('Istoric_Nativ'!$D$6:$D$405&gt;='Motor_Meciuri'!BP25))&gt;0)*('Istoric_Nativ'!$Q$6:$Q$405&gt;H279))/AM279)</x:f>
      </x:c>
      <x:c r="S279" s="10" t="str">
        <x:f>IF(M279="","",MAX(O279,P279,Q279,R279))</x:f>
      </x:c>
      <x:c r="T279" s="11" t="str">
        <x:f>IF(M279="","",MIN(100,S279*100*'Config_v6'!$B$44+MIN(100,L279/'Config_v6'!$B$13*100)*'Config_v6'!$B$45+(100-'Motor_Meciuri'!BF25)*'Config_v6'!$B$46+'Motor_Meciuri'!BH25*100*'Config_v6'!$B$47))</x:f>
      </x:c>
      <x:c r="U279" s="2" t="str">
        <x:f>IF(T279="","",IF(T279&lt;=20,1,IF(T279&lt;=40,2,IF(T279&lt;=60,3,IF(T279&lt;=80,4,5)))))</x:f>
      </x:c>
      <x:c r="V279" s="2" t="str">
        <x:f>IF(M279="","",MAX(0,'Motor_Meciuri'!BF25-IF(W279="OOS PENDING",'Config_v6'!$B$35,0)-IF(L279&gt;'Config_v6'!$B$12,'Config_v6'!$B$37,IF(L279&gt;'Config_v6'!$B$11,'Config_v6'!$B$36,0))))</x:f>
      </x:c>
      <x:c r="W279" s="2" t="str">
        <x:f>IF(B279="","",IF(I279&lt;&gt;"READY","NOT RELEASED",IF(NOT(AND(J279="PASS",'Calibrare_Linii'!U13="VALID")),"INVALID",IF(NOT(AND('Calibrare_Linii'!S13="VALIDATED",AND('Calibrare_Linii'!H13=C279,ISNUMBER('Calibrare_Linii'!J13),'Calibrare_Linii'!J13&lt;='Input_Meci'!G25))),"OOS PENDING",IF(S279&lt;='Calibrare_Linii'!E13,"PASS",IF(S279&lt;='Calibrare_Linii'!F13,"PENALTY","WATCH"))))))</x:f>
      </x:c>
      <x:c r="X279" s="2" t="str">
        <x:f>IF(M279="","",IF(AND(AND(J279="PASS",'Calibrare_Linii'!U13="VALID"),'Motor_Meciuri'!K25=12,'Motor_Meciuri'!L25=12,'Motor_Meciuri'!M25="NO",'Motor_Meciuri'!BL25='Motor_Meciuri'!C25,AB279&gt;='Config_v6'!$B$50,AN279&gt;='Config_v6'!$B$51,T279&lt;='Config_v6'!$B$52,L279&lt;='Config_v6'!$B$53,ISNUMBER('Calibrare_Linii'!E13),S279&lt;='Calibrare_Linii'!E13,SUM(AK279:AM279)&gt;0),"CANDIDATE","NO"))</x:f>
      </x:c>
      <x:c r="Y279" s="2" t="str">
        <x:f>IF(B279="","",IF(I279&lt;&gt;"READY","NOT RELEASED",IF(AND(X279="CANDIDATE",V279&gt;='Config_v6'!$B$51,W279="PASS",'Calibrare_Linii'!T13="VALIDATED",AND('Calibrare_Linii'!H13=C279,ISNUMBER('Calibrare_Linii'!J13),'Calibrare_Linii'!J13&lt;='Input_Meci'!G25)),"PASS",IF(X279="CANDIDATE","OOS PENDING","FAIL"))))</x:f>
      </x:c>
      <x:c r="Z279" s="2" t="str">
        <x:f>IF(B279="","",IF(I279&lt;&gt;"READY","",IF(OR(NOT(AND(J279="PASS",'Calibrare_Linii'!U13="VALID")),L279&gt;'Config_v6'!$B$13,W279="WATCH"),5,IF(Y279="PASS",1,MIN(5,MAX('Config_v6'!$B$42,U279)+IF(W279="PENALTY",1,0))))))</x:f>
      </x:c>
      <x:c r="AA279" s="2" t="str">
        <x:f>IF(B279="","",IF(I279&lt;&gt;"READY","NOT RELEASED",IF(Z279=5,"NO BET",IF(OR(AB279&lt;'Config_v6'!$B$16,V279&lt;'Config_v6'!$B$18),"WATCH",IF(Z279=1,"DEFENSIV",IF(Z279=2,"PRUDENT",IF(Z279=3,"MODERAT","RIDICAT")))))))</x:f>
      </x:c>
      <x:c r="AB279" s="10" t="str">
        <x:f>IF(N279="","",MIN(N279,1-S279))</x:f>
      </x:c>
      <x:c r="AC279" s="2" t="str">
        <x:f>IF(AD279&lt;&gt;1,"",COUNTIFS($Z$272:$Z$285,"&lt;"&amp;Z279,$AD$272:$AD$285,1)+COUNTIFS($Z$272:$Z$285,Z279,$AB$272:$AB$285,"&gt;"&amp;AB279,$AD$272:$AD$285,1)+COUNTIFS($Z$272:$Z$285,Z279,$AB$272:$AB$285,AB279,$V$272:$V$285,"&gt;"&amp;V279,$AD$272:$AD$285,1)+COUNTIFS($Z$272:Z279,Z279,$AB$272:AB279,AB279,$V$272:V279,V279,$AD$272:AD279,1))</x:f>
      </x:c>
      <x:c r="AD279" s="2" t="n">
        <x:f>IF(OR(AA279="DEFENSIV",AA279="PRUDENT",AA279="MODERAT",AA279="RIDICAT"),1,0)</x:f>
        <x:v>0</x:v>
      </x:c>
      <x:c r="AE279" s="2" t="str">
        <x:f>IF(AD279&lt;&gt;1,"NO",IF(W279="PASS","YES",IF(W279="OOS PENDING","CONDITIONAL","NO")))</x:f>
        <x:v>NO</x:v>
      </x:c>
      <x:c r="AF279" s="2" t="n">
        <x:f>IF(AND(AD279=1,AC279=1,E279="LIVE"),1,0)</x:f>
        <x:v>0</x:v>
      </x:c>
      <x:c r="AG279" s="2" t="str">
        <x:f>IF(AF279&lt;&gt;1,"",'Dashboard'!P45)</x:f>
      </x:c>
      <x:c r="AH279" s="2" t="str">
        <x:f>IF(B279="","",IF(J279&lt;&gt;"PASS",'Motor_Meciuri'!J25,IF('Calibrare_Linii'!U13&lt;&gt;"VALID","Parametri linie invalizi",IF(L279&gt;'Config_v6'!$B$13,"Dispersie peste limita",IF(W279="WATCH","Failure peste limita",IF(AB279&lt;'Config_v6'!$B$16,"P finala sub prag",IF(V279&lt;'Config_v6'!$B$18,"Confidence sub prag",IF(E279="REPLAY","Exemplu retrospectiv; exclus din Top LIVE",IF(Y279="PASS","DEFENSIV validat",IF(W279="OOS PENDING","Eligibil; calibrare linie in monitorizare","Eligibil"))))))))))</x:f>
      </x:c>
      <x:c r="AI279" s="2" t="str">
        <x:f>IF(B279="","",'Calibrare_Linii'!V13)</x:f>
      </x:c>
      <x:c r="AJ279" s="2" t="str">
        <x:f>IF(B279="","",IF(AND('Calibrare_Linii'!T13="VALIDATED",AND('Calibrare_Linii'!H13=C279,ISNUMBER('Calibrare_Linii'!J13),'Calibrare_Linii'!J13&lt;='Input_Meci'!G25)),"DEFENSIVE VALIDATED",IF(AND('Calibrare_Linii'!S13="VALIDATED",AND('Calibrare_Linii'!H13=C279,ISNUMBER('Calibrare_Linii'!J13),'Calibrare_Linii'!J13&lt;='Input_Meci'!G25)),"TAIL VALIDATED","OOS PENDING")))</x:f>
      </x:c>
      <x:c r="AK279" s="2" t="n">
        <x:f>IF(J279&lt;&gt;"PASS",0,'Motor_Meciuri'!BR25)</x:f>
        <x:v>0</x:v>
      </x:c>
      <x:c r="AL279" s="2" t="n">
        <x:f>IF(J279&lt;&gt;"PASS",0,'Motor_Meciuri'!BS25)</x:f>
        <x:v>0</x:v>
      </x:c>
      <x:c r="AM279" s="2" t="n">
        <x:f>IF(J279&lt;&gt;"PASS",0,'Motor_Meciuri'!BT25)</x:f>
        <x:v>0</x:v>
      </x:c>
      <x:c r="AN279" s="2" t="str">
        <x:f>IF(M279="","",MAX(0,'Motor_Meciuri'!BF25-IF(L279&gt;'Config_v6'!$B$12,'Config_v6'!$B$37,IF(L279&gt;'Config_v6'!$B$11,'Config_v6'!$B$36,0))))</x:f>
      </x:c>
    </x:row>
    <x:row r="280" ht="21" customHeight="1">
      <x:c r="A280" s="2" t="n">
        <x:v>20</x:v>
      </x:c>
      <x:c r="B280" s="2" t="str">
        <x:f>IF('Motor_Meciuri'!A25="","",'Motor_Meciuri'!A25)</x:f>
      </x:c>
      <x:c r="C280" s="2" t="str">
        <x:f>IF(B280="","",'Motor_Meciuri'!B25)</x:f>
      </x:c>
      <x:c r="D280" s="2" t="str">
        <x:f>IF(B280="","",'Motor_Meciuri'!D25)</x:f>
      </x:c>
      <x:c r="E280" s="2" t="str">
        <x:f>IF(B280="","",'Motor_Meciuri'!E25)</x:f>
      </x:c>
      <x:c r="F280" s="2" t="str">
        <x:v>U12,5</x:v>
      </x:c>
      <x:c r="G280" s="2" t="str">
        <x:v>UNDER</x:v>
      </x:c>
      <x:c r="H280" s="2" t="n">
        <x:v>12</x:v>
      </x:c>
      <x:c r="I280" s="2" t="str">
        <x:f>IF(B280="","",'Motor_Meciuri'!H25)</x:f>
      </x:c>
      <x:c r="J280" s="2" t="str">
        <x:f>IF(B280="","",'Motor_Meciuri'!I25)</x:f>
      </x:c>
      <x:c r="K280" s="11" t="str">
        <x:f>IF(J280&lt;&gt;"PASS","",'Motor_Meciuri'!BD25)</x:f>
      </x:c>
      <x:c r="L280" s="11" t="str">
        <x:f>IF(J280&lt;&gt;"PASS","",'Motor_Meciuri'!AU25)</x:f>
      </x:c>
      <x:c r="M280" s="10" t="str">
        <x:f>IF(NOT(AND(J280="PASS",'Calibrare_Linii'!U14="VALID")),"",'Distributie'!AJ25)</x:f>
      </x:c>
      <x:c r="N280" s="10" t="str">
        <x:f>IF(M280="","",MAX(0.01,MIN(0.99,0.5+(M280-0.5)*'Motor_Meciuri'!BG25*'Calibrare_Linii'!D14)))</x:f>
      </x:c>
      <x:c r="O280" s="10" t="str">
        <x:f>IF(M280="","",1-M280)</x:f>
      </x:c>
      <x:c r="P280" s="10" t="str">
        <x:f>IF(OR(NOT(AND(J280="PASS",'Calibrare_Linii'!U14="VALID")),AK280=0),""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*('Istoric_Nativ'!$Q$6:$Q$405&gt;H280))/AK280)</x:f>
      </x:c>
      <x:c r="Q280" s="10" t="str">
        <x:f>IF(OR(NOT(AND(J280="PASS",'Calibrare_Linii'!U14="VALID")),AL280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M25)+((('Istoric_Nativ'!$E$6:$E$405='Input_Meci'!E25)+('Istoric_Nativ'!$F$6:$F$405='Input_Meci'!E25))&gt;0)*('Istoric_Nativ'!$D$6:$D$405&gt;='Motor_Meciuri'!BN25))&gt;0)*('Istoric_Nativ'!$Q$6:$Q$405&gt;H280))/AL280)</x:f>
      </x:c>
      <x:c r="R280" s="10" t="str">
        <x:f>IF(OR(NOT(AND(J280="PASS",'Calibrare_Linii'!U14="VALID")),AM280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O25)+((('Istoric_Nativ'!$E$6:$E$405='Input_Meci'!E25)+('Istoric_Nativ'!$F$6:$F$405='Input_Meci'!E25))&gt;0)*('Istoric_Nativ'!$D$6:$D$405&gt;='Motor_Meciuri'!BP25))&gt;0)*('Istoric_Nativ'!$Q$6:$Q$405&gt;H280))/AM280)</x:f>
      </x:c>
      <x:c r="S280" s="10" t="str">
        <x:f>IF(M280="","",MAX(O280,P280,Q280,R280))</x:f>
      </x:c>
      <x:c r="T280" s="11" t="str">
        <x:f>IF(M280="","",MIN(100,S280*100*'Config_v6'!$B$44+MIN(100,L280/'Config_v6'!$B$13*100)*'Config_v6'!$B$45+(100-'Motor_Meciuri'!BF25)*'Config_v6'!$B$46+'Motor_Meciuri'!BH25*100*'Config_v6'!$B$47))</x:f>
      </x:c>
      <x:c r="U280" s="2" t="str">
        <x:f>IF(T280="","",IF(T280&lt;=20,1,IF(T280&lt;=40,2,IF(T280&lt;=60,3,IF(T280&lt;=80,4,5)))))</x:f>
      </x:c>
      <x:c r="V280" s="2" t="str">
        <x:f>IF(M280="","",MAX(0,'Motor_Meciuri'!BF25-IF(W280="OOS PENDING",'Config_v6'!$B$35,0)-IF(L280&gt;'Config_v6'!$B$12,'Config_v6'!$B$37,IF(L280&gt;'Config_v6'!$B$11,'Config_v6'!$B$36,0))))</x:f>
      </x:c>
      <x:c r="W280" s="2" t="str">
        <x:f>IF(B280="","",IF(I280&lt;&gt;"READY","NOT RELEASED",IF(NOT(AND(J280="PASS",'Calibrare_Linii'!U14="VALID")),"INVALID",IF(NOT(AND('Calibrare_Linii'!S14="VALIDATED",AND('Calibrare_Linii'!H14=C280,ISNUMBER('Calibrare_Linii'!J14),'Calibrare_Linii'!J14&lt;='Input_Meci'!G25))),"OOS PENDING",IF(S280&lt;='Calibrare_Linii'!E14,"PASS",IF(S280&lt;='Calibrare_Linii'!F14,"PENALTY","WATCH"))))))</x:f>
      </x:c>
      <x:c r="X280" s="2" t="str">
        <x:f>IF(M280="","",IF(AND(AND(J280="PASS",'Calibrare_Linii'!U14="VALID"),'Motor_Meciuri'!K25=12,'Motor_Meciuri'!L25=12,'Motor_Meciuri'!M25="NO",'Motor_Meciuri'!BL25='Motor_Meciuri'!C25,AB280&gt;='Config_v6'!$B$50,AN280&gt;='Config_v6'!$B$51,T280&lt;='Config_v6'!$B$52,L280&lt;='Config_v6'!$B$53,ISNUMBER('Calibrare_Linii'!E14),S280&lt;='Calibrare_Linii'!E14,SUM(AK280:AM280)&gt;0),"CANDIDATE","NO"))</x:f>
      </x:c>
      <x:c r="Y280" s="2" t="str">
        <x:f>IF(B280="","",IF(I280&lt;&gt;"READY","NOT RELEASED",IF(AND(X280="CANDIDATE",V280&gt;='Config_v6'!$B$51,W280="PASS",'Calibrare_Linii'!T14="VALIDATED",AND('Calibrare_Linii'!H14=C280,ISNUMBER('Calibrare_Linii'!J14),'Calibrare_Linii'!J14&lt;='Input_Meci'!G25)),"PASS",IF(X280="CANDIDATE","OOS PENDING","FAIL"))))</x:f>
      </x:c>
      <x:c r="Z280" s="2" t="str">
        <x:f>IF(B280="","",IF(I280&lt;&gt;"READY","",IF(OR(NOT(AND(J280="PASS",'Calibrare_Linii'!U14="VALID")),L280&gt;'Config_v6'!$B$13,W280="WATCH"),5,IF(Y280="PASS",1,MIN(5,MAX('Config_v6'!$B$42,U280)+IF(W280="PENALTY",1,0))))))</x:f>
      </x:c>
      <x:c r="AA280" s="2" t="str">
        <x:f>IF(B280="","",IF(I280&lt;&gt;"READY","NOT RELEASED",IF(Z280=5,"NO BET",IF(OR(AB280&lt;'Config_v6'!$B$16,V280&lt;'Config_v6'!$B$18),"WATCH",IF(Z280=1,"DEFENSIV",IF(Z280=2,"PRUDENT",IF(Z280=3,"MODERAT","RIDICAT")))))))</x:f>
      </x:c>
      <x:c r="AB280" s="10" t="str">
        <x:f>IF(N280="","",MIN(N280,1-S280))</x:f>
      </x:c>
      <x:c r="AC280" s="2" t="str">
        <x:f>IF(AD280&lt;&gt;1,"",COUNTIFS($Z$272:$Z$285,"&lt;"&amp;Z280,$AD$272:$AD$285,1)+COUNTIFS($Z$272:$Z$285,Z280,$AB$272:$AB$285,"&gt;"&amp;AB280,$AD$272:$AD$285,1)+COUNTIFS($Z$272:$Z$285,Z280,$AB$272:$AB$285,AB280,$V$272:$V$285,"&gt;"&amp;V280,$AD$272:$AD$285,1)+COUNTIFS($Z$272:Z280,Z280,$AB$272:AB280,AB280,$V$272:V280,V280,$AD$272:AD280,1))</x:f>
      </x:c>
      <x:c r="AD280" s="2" t="n">
        <x:f>IF(OR(AA280="DEFENSIV",AA280="PRUDENT",AA280="MODERAT",AA280="RIDICAT"),1,0)</x:f>
        <x:v>0</x:v>
      </x:c>
      <x:c r="AE280" s="2" t="str">
        <x:f>IF(AD280&lt;&gt;1,"NO",IF(W280="PASS","YES",IF(W280="OOS PENDING","CONDITIONAL","NO")))</x:f>
        <x:v>NO</x:v>
      </x:c>
      <x:c r="AF280" s="2" t="n">
        <x:f>IF(AND(AD280=1,AC280=1,E280="LIVE"),1,0)</x:f>
        <x:v>0</x:v>
      </x:c>
      <x:c r="AG280" s="2" t="str">
        <x:f>IF(AF280&lt;&gt;1,"",'Dashboard'!P45)</x:f>
      </x:c>
      <x:c r="AH280" s="2" t="str">
        <x:f>IF(B280="","",IF(J280&lt;&gt;"PASS",'Motor_Meciuri'!J25,IF('Calibrare_Linii'!U14&lt;&gt;"VALID","Parametri linie invalizi",IF(L280&gt;'Config_v6'!$B$13,"Dispersie peste limita",IF(W280="WATCH","Failure peste limita",IF(AB280&lt;'Config_v6'!$B$16,"P finala sub prag",IF(V280&lt;'Config_v6'!$B$18,"Confidence sub prag",IF(E280="REPLAY","Exemplu retrospectiv; exclus din Top LIVE",IF(Y280="PASS","DEFENSIV validat",IF(W280="OOS PENDING","Eligibil; calibrare linie in monitorizare","Eligibil"))))))))))</x:f>
      </x:c>
      <x:c r="AI280" s="2" t="str">
        <x:f>IF(B280="","",'Calibrare_Linii'!V14)</x:f>
      </x:c>
      <x:c r="AJ280" s="2" t="str">
        <x:f>IF(B280="","",IF(AND('Calibrare_Linii'!T14="VALIDATED",AND('Calibrare_Linii'!H14=C280,ISNUMBER('Calibrare_Linii'!J14),'Calibrare_Linii'!J14&lt;='Input_Meci'!G25)),"DEFENSIVE VALIDATED",IF(AND('Calibrare_Linii'!S14="VALIDATED",AND('Calibrare_Linii'!H14=C280,ISNUMBER('Calibrare_Linii'!J14),'Calibrare_Linii'!J14&lt;='Input_Meci'!G25)),"TAIL VALIDATED","OOS PENDING")))</x:f>
      </x:c>
      <x:c r="AK280" s="2" t="n">
        <x:f>IF(J280&lt;&gt;"PASS",0,'Motor_Meciuri'!BR25)</x:f>
        <x:v>0</x:v>
      </x:c>
      <x:c r="AL280" s="2" t="n">
        <x:f>IF(J280&lt;&gt;"PASS",0,'Motor_Meciuri'!BS25)</x:f>
        <x:v>0</x:v>
      </x:c>
      <x:c r="AM280" s="2" t="n">
        <x:f>IF(J280&lt;&gt;"PASS",0,'Motor_Meciuri'!BT25)</x:f>
        <x:v>0</x:v>
      </x:c>
      <x:c r="AN280" s="2" t="str">
        <x:f>IF(M280="","",MAX(0,'Motor_Meciuri'!BF25-IF(L280&gt;'Config_v6'!$B$12,'Config_v6'!$B$37,IF(L280&gt;'Config_v6'!$B$11,'Config_v6'!$B$36,0))))</x:f>
      </x:c>
    </x:row>
    <x:row r="281" ht="21" customHeight="1">
      <x:c r="A281" s="2" t="n">
        <x:v>20</x:v>
      </x:c>
      <x:c r="B281" s="2" t="str">
        <x:f>IF('Motor_Meciuri'!A25="","",'Motor_Meciuri'!A25)</x:f>
      </x:c>
      <x:c r="C281" s="2" t="str">
        <x:f>IF(B281="","",'Motor_Meciuri'!B25)</x:f>
      </x:c>
      <x:c r="D281" s="2" t="str">
        <x:f>IF(B281="","",'Motor_Meciuri'!D25)</x:f>
      </x:c>
      <x:c r="E281" s="2" t="str">
        <x:f>IF(B281="","",'Motor_Meciuri'!E25)</x:f>
      </x:c>
      <x:c r="F281" s="2" t="str">
        <x:v>U13,5</x:v>
      </x:c>
      <x:c r="G281" s="2" t="str">
        <x:v>UNDER</x:v>
      </x:c>
      <x:c r="H281" s="2" t="n">
        <x:v>13</x:v>
      </x:c>
      <x:c r="I281" s="2" t="str">
        <x:f>IF(B281="","",'Motor_Meciuri'!H25)</x:f>
      </x:c>
      <x:c r="J281" s="2" t="str">
        <x:f>IF(B281="","",'Motor_Meciuri'!I25)</x:f>
      </x:c>
      <x:c r="K281" s="11" t="str">
        <x:f>IF(J281&lt;&gt;"PASS","",'Motor_Meciuri'!BD25)</x:f>
      </x:c>
      <x:c r="L281" s="11" t="str">
        <x:f>IF(J281&lt;&gt;"PASS","",'Motor_Meciuri'!AU25)</x:f>
      </x:c>
      <x:c r="M281" s="10" t="str">
        <x:f>IF(NOT(AND(J281="PASS",'Calibrare_Linii'!U15="VALID")),"",'Distributie'!AK25)</x:f>
      </x:c>
      <x:c r="N281" s="10" t="str">
        <x:f>IF(M281="","",MAX(0.01,MIN(0.99,0.5+(M281-0.5)*'Motor_Meciuri'!BG25*'Calibrare_Linii'!D15)))</x:f>
      </x:c>
      <x:c r="O281" s="10" t="str">
        <x:f>IF(M281="","",1-M281)</x:f>
      </x:c>
      <x:c r="P281" s="10" t="str">
        <x:f>IF(OR(NOT(AND(J281="PASS",'Calibrare_Linii'!U15="VALID")),AK281=0),""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*('Istoric_Nativ'!$Q$6:$Q$405&gt;H281))/AK281)</x:f>
      </x:c>
      <x:c r="Q281" s="10" t="str">
        <x:f>IF(OR(NOT(AND(J281="PASS",'Calibrare_Linii'!U15="VALID")),AL281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M25)+((('Istoric_Nativ'!$E$6:$E$405='Input_Meci'!E25)+('Istoric_Nativ'!$F$6:$F$405='Input_Meci'!E25))&gt;0)*('Istoric_Nativ'!$D$6:$D$405&gt;='Motor_Meciuri'!BN25))&gt;0)*('Istoric_Nativ'!$Q$6:$Q$405&gt;H281))/AL281)</x:f>
      </x:c>
      <x:c r="R281" s="10" t="str">
        <x:f>IF(OR(NOT(AND(J281="PASS",'Calibrare_Linii'!U15="VALID")),AM281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O25)+((('Istoric_Nativ'!$E$6:$E$405='Input_Meci'!E25)+('Istoric_Nativ'!$F$6:$F$405='Input_Meci'!E25))&gt;0)*('Istoric_Nativ'!$D$6:$D$405&gt;='Motor_Meciuri'!BP25))&gt;0)*('Istoric_Nativ'!$Q$6:$Q$405&gt;H281))/AM281)</x:f>
      </x:c>
      <x:c r="S281" s="10" t="str">
        <x:f>IF(M281="","",MAX(O281,P281,Q281,R281))</x:f>
      </x:c>
      <x:c r="T281" s="11" t="str">
        <x:f>IF(M281="","",MIN(100,S281*100*'Config_v6'!$B$44+MIN(100,L281/'Config_v6'!$B$13*100)*'Config_v6'!$B$45+(100-'Motor_Meciuri'!BF25)*'Config_v6'!$B$46+'Motor_Meciuri'!BH25*100*'Config_v6'!$B$47))</x:f>
      </x:c>
      <x:c r="U281" s="2" t="str">
        <x:f>IF(T281="","",IF(T281&lt;=20,1,IF(T281&lt;=40,2,IF(T281&lt;=60,3,IF(T281&lt;=80,4,5)))))</x:f>
      </x:c>
      <x:c r="V281" s="2" t="str">
        <x:f>IF(M281="","",MAX(0,'Motor_Meciuri'!BF25-IF(W281="OOS PENDING",'Config_v6'!$B$35,0)-IF(L281&gt;'Config_v6'!$B$12,'Config_v6'!$B$37,IF(L281&gt;'Config_v6'!$B$11,'Config_v6'!$B$36,0))))</x:f>
      </x:c>
      <x:c r="W281" s="2" t="str">
        <x:f>IF(B281="","",IF(I281&lt;&gt;"READY","NOT RELEASED",IF(NOT(AND(J281="PASS",'Calibrare_Linii'!U15="VALID")),"INVALID",IF(NOT(AND('Calibrare_Linii'!S15="VALIDATED",AND('Calibrare_Linii'!H15=C281,ISNUMBER('Calibrare_Linii'!J15),'Calibrare_Linii'!J15&lt;='Input_Meci'!G25))),"OOS PENDING",IF(S281&lt;='Calibrare_Linii'!E15,"PASS",IF(S281&lt;='Calibrare_Linii'!F15,"PENALTY","WATCH"))))))</x:f>
      </x:c>
      <x:c r="X281" s="2" t="str">
        <x:f>IF(M281="","",IF(AND(AND(J281="PASS",'Calibrare_Linii'!U15="VALID"),'Motor_Meciuri'!K25=12,'Motor_Meciuri'!L25=12,'Motor_Meciuri'!M25="NO",'Motor_Meciuri'!BL25='Motor_Meciuri'!C25,AB281&gt;='Config_v6'!$B$50,AN281&gt;='Config_v6'!$B$51,T281&lt;='Config_v6'!$B$52,L281&lt;='Config_v6'!$B$53,ISNUMBER('Calibrare_Linii'!E15),S281&lt;='Calibrare_Linii'!E15,SUM(AK281:AM281)&gt;0),"CANDIDATE","NO"))</x:f>
      </x:c>
      <x:c r="Y281" s="2" t="str">
        <x:f>IF(B281="","",IF(I281&lt;&gt;"READY","NOT RELEASED",IF(AND(X281="CANDIDATE",V281&gt;='Config_v6'!$B$51,W281="PASS",'Calibrare_Linii'!T15="VALIDATED",AND('Calibrare_Linii'!H15=C281,ISNUMBER('Calibrare_Linii'!J15),'Calibrare_Linii'!J15&lt;='Input_Meci'!G25)),"PASS",IF(X281="CANDIDATE","OOS PENDING","FAIL"))))</x:f>
      </x:c>
      <x:c r="Z281" s="2" t="str">
        <x:f>IF(B281="","",IF(I281&lt;&gt;"READY","",IF(OR(NOT(AND(J281="PASS",'Calibrare_Linii'!U15="VALID")),L281&gt;'Config_v6'!$B$13,W281="WATCH"),5,IF(Y281="PASS",1,MIN(5,MAX('Config_v6'!$B$42,U281)+IF(W281="PENALTY",1,0))))))</x:f>
      </x:c>
      <x:c r="AA281" s="2" t="str">
        <x:f>IF(B281="","",IF(I281&lt;&gt;"READY","NOT RELEASED",IF(Z281=5,"NO BET",IF(OR(AB281&lt;'Config_v6'!$B$16,V281&lt;'Config_v6'!$B$18),"WATCH",IF(Z281=1,"DEFENSIV",IF(Z281=2,"PRUDENT",IF(Z281=3,"MODERAT","RIDICAT")))))))</x:f>
      </x:c>
      <x:c r="AB281" s="10" t="str">
        <x:f>IF(N281="","",MIN(N281,1-S281))</x:f>
      </x:c>
      <x:c r="AC281" s="2" t="str">
        <x:f>IF(AD281&lt;&gt;1,"",COUNTIFS($Z$272:$Z$285,"&lt;"&amp;Z281,$AD$272:$AD$285,1)+COUNTIFS($Z$272:$Z$285,Z281,$AB$272:$AB$285,"&gt;"&amp;AB281,$AD$272:$AD$285,1)+COUNTIFS($Z$272:$Z$285,Z281,$AB$272:$AB$285,AB281,$V$272:$V$285,"&gt;"&amp;V281,$AD$272:$AD$285,1)+COUNTIFS($Z$272:Z281,Z281,$AB$272:AB281,AB281,$V$272:V281,V281,$AD$272:AD281,1))</x:f>
      </x:c>
      <x:c r="AD281" s="2" t="n">
        <x:f>IF(OR(AA281="DEFENSIV",AA281="PRUDENT",AA281="MODERAT",AA281="RIDICAT"),1,0)</x:f>
        <x:v>0</x:v>
      </x:c>
      <x:c r="AE281" s="2" t="str">
        <x:f>IF(AD281&lt;&gt;1,"NO",IF(W281="PASS","YES",IF(W281="OOS PENDING","CONDITIONAL","NO")))</x:f>
        <x:v>NO</x:v>
      </x:c>
      <x:c r="AF281" s="2" t="n">
        <x:f>IF(AND(AD281=1,AC281=1,E281="LIVE"),1,0)</x:f>
        <x:v>0</x:v>
      </x:c>
      <x:c r="AG281" s="2" t="str">
        <x:f>IF(AF281&lt;&gt;1,"",'Dashboard'!P45)</x:f>
      </x:c>
      <x:c r="AH281" s="2" t="str">
        <x:f>IF(B281="","",IF(J281&lt;&gt;"PASS",'Motor_Meciuri'!J25,IF('Calibrare_Linii'!U15&lt;&gt;"VALID","Parametri linie invalizi",IF(L281&gt;'Config_v6'!$B$13,"Dispersie peste limita",IF(W281="WATCH","Failure peste limita",IF(AB281&lt;'Config_v6'!$B$16,"P finala sub prag",IF(V281&lt;'Config_v6'!$B$18,"Confidence sub prag",IF(E281="REPLAY","Exemplu retrospectiv; exclus din Top LIVE",IF(Y281="PASS","DEFENSIV validat",IF(W281="OOS PENDING","Eligibil; calibrare linie in monitorizare","Eligibil"))))))))))</x:f>
      </x:c>
      <x:c r="AI281" s="2" t="str">
        <x:f>IF(B281="","",'Calibrare_Linii'!V15)</x:f>
      </x:c>
      <x:c r="AJ281" s="2" t="str">
        <x:f>IF(B281="","",IF(AND('Calibrare_Linii'!T15="VALIDATED",AND('Calibrare_Linii'!H15=C281,ISNUMBER('Calibrare_Linii'!J15),'Calibrare_Linii'!J15&lt;='Input_Meci'!G25)),"DEFENSIVE VALIDATED",IF(AND('Calibrare_Linii'!S15="VALIDATED",AND('Calibrare_Linii'!H15=C281,ISNUMBER('Calibrare_Linii'!J15),'Calibrare_Linii'!J15&lt;='Input_Meci'!G25)),"TAIL VALIDATED","OOS PENDING")))</x:f>
      </x:c>
      <x:c r="AK281" s="2" t="n">
        <x:f>IF(J281&lt;&gt;"PASS",0,'Motor_Meciuri'!BR25)</x:f>
        <x:v>0</x:v>
      </x:c>
      <x:c r="AL281" s="2" t="n">
        <x:f>IF(J281&lt;&gt;"PASS",0,'Motor_Meciuri'!BS25)</x:f>
        <x:v>0</x:v>
      </x:c>
      <x:c r="AM281" s="2" t="n">
        <x:f>IF(J281&lt;&gt;"PASS",0,'Motor_Meciuri'!BT25)</x:f>
        <x:v>0</x:v>
      </x:c>
      <x:c r="AN281" s="2" t="str">
        <x:f>IF(M281="","",MAX(0,'Motor_Meciuri'!BF25-IF(L281&gt;'Config_v6'!$B$12,'Config_v6'!$B$37,IF(L281&gt;'Config_v6'!$B$11,'Config_v6'!$B$36,0))))</x:f>
      </x:c>
    </x:row>
    <x:row r="282" ht="21" customHeight="1">
      <x:c r="A282" s="2" t="n">
        <x:v>20</x:v>
      </x:c>
      <x:c r="B282" s="2" t="str">
        <x:f>IF('Motor_Meciuri'!A25="","",'Motor_Meciuri'!A25)</x:f>
      </x:c>
      <x:c r="C282" s="2" t="str">
        <x:f>IF(B282="","",'Motor_Meciuri'!B25)</x:f>
      </x:c>
      <x:c r="D282" s="2" t="str">
        <x:f>IF(B282="","",'Motor_Meciuri'!D25)</x:f>
      </x:c>
      <x:c r="E282" s="2" t="str">
        <x:f>IF(B282="","",'Motor_Meciuri'!E25)</x:f>
      </x:c>
      <x:c r="F282" s="2" t="str">
        <x:v>U14,5</x:v>
      </x:c>
      <x:c r="G282" s="2" t="str">
        <x:v>UNDER</x:v>
      </x:c>
      <x:c r="H282" s="2" t="n">
        <x:v>14</x:v>
      </x:c>
      <x:c r="I282" s="2" t="str">
        <x:f>IF(B282="","",'Motor_Meciuri'!H25)</x:f>
      </x:c>
      <x:c r="J282" s="2" t="str">
        <x:f>IF(B282="","",'Motor_Meciuri'!I25)</x:f>
      </x:c>
      <x:c r="K282" s="11" t="str">
        <x:f>IF(J282&lt;&gt;"PASS","",'Motor_Meciuri'!BD25)</x:f>
      </x:c>
      <x:c r="L282" s="11" t="str">
        <x:f>IF(J282&lt;&gt;"PASS","",'Motor_Meciuri'!AU25)</x:f>
      </x:c>
      <x:c r="M282" s="10" t="str">
        <x:f>IF(NOT(AND(J282="PASS",'Calibrare_Linii'!U16="VALID")),"",'Distributie'!AL25)</x:f>
      </x:c>
      <x:c r="N282" s="10" t="str">
        <x:f>IF(M282="","",MAX(0.01,MIN(0.99,0.5+(M282-0.5)*'Motor_Meciuri'!BG25*'Calibrare_Linii'!D16)))</x:f>
      </x:c>
      <x:c r="O282" s="10" t="str">
        <x:f>IF(M282="","",1-M282)</x:f>
      </x:c>
      <x:c r="P282" s="10" t="str">
        <x:f>IF(OR(NOT(AND(J282="PASS",'Calibrare_Linii'!U16="VALID")),AK282=0),""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*('Istoric_Nativ'!$Q$6:$Q$405&gt;H282))/AK282)</x:f>
      </x:c>
      <x:c r="Q282" s="10" t="str">
        <x:f>IF(OR(NOT(AND(J282="PASS",'Calibrare_Linii'!U16="VALID")),AL282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M25)+((('Istoric_Nativ'!$E$6:$E$405='Input_Meci'!E25)+('Istoric_Nativ'!$F$6:$F$405='Input_Meci'!E25))&gt;0)*('Istoric_Nativ'!$D$6:$D$405&gt;='Motor_Meciuri'!BN25))&gt;0)*('Istoric_Nativ'!$Q$6:$Q$405&gt;H282))/AL282)</x:f>
      </x:c>
      <x:c r="R282" s="10" t="str">
        <x:f>IF(OR(NOT(AND(J282="PASS",'Calibrare_Linii'!U16="VALID")),AM282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O25)+((('Istoric_Nativ'!$E$6:$E$405='Input_Meci'!E25)+('Istoric_Nativ'!$F$6:$F$405='Input_Meci'!E25))&gt;0)*('Istoric_Nativ'!$D$6:$D$405&gt;='Motor_Meciuri'!BP25))&gt;0)*('Istoric_Nativ'!$Q$6:$Q$405&gt;H282))/AM282)</x:f>
      </x:c>
      <x:c r="S282" s="10" t="str">
        <x:f>IF(M282="","",MAX(O282,P282,Q282,R282))</x:f>
      </x:c>
      <x:c r="T282" s="11" t="str">
        <x:f>IF(M282="","",MIN(100,S282*100*'Config_v6'!$B$44+MIN(100,L282/'Config_v6'!$B$13*100)*'Config_v6'!$B$45+(100-'Motor_Meciuri'!BF25)*'Config_v6'!$B$46+'Motor_Meciuri'!BH25*100*'Config_v6'!$B$47))</x:f>
      </x:c>
      <x:c r="U282" s="2" t="str">
        <x:f>IF(T282="","",IF(T282&lt;=20,1,IF(T282&lt;=40,2,IF(T282&lt;=60,3,IF(T282&lt;=80,4,5)))))</x:f>
      </x:c>
      <x:c r="V282" s="2" t="str">
        <x:f>IF(M282="","",MAX(0,'Motor_Meciuri'!BF25-IF(W282="OOS PENDING",'Config_v6'!$B$35,0)-IF(L282&gt;'Config_v6'!$B$12,'Config_v6'!$B$37,IF(L282&gt;'Config_v6'!$B$11,'Config_v6'!$B$36,0))))</x:f>
      </x:c>
      <x:c r="W282" s="2" t="str">
        <x:f>IF(B282="","",IF(I282&lt;&gt;"READY","NOT RELEASED",IF(NOT(AND(J282="PASS",'Calibrare_Linii'!U16="VALID")),"INVALID",IF(NOT(AND('Calibrare_Linii'!S16="VALIDATED",AND('Calibrare_Linii'!H16=C282,ISNUMBER('Calibrare_Linii'!J16),'Calibrare_Linii'!J16&lt;='Input_Meci'!G25))),"OOS PENDING",IF(S282&lt;='Calibrare_Linii'!E16,"PASS",IF(S282&lt;='Calibrare_Linii'!F16,"PENALTY","WATCH"))))))</x:f>
      </x:c>
      <x:c r="X282" s="2" t="str">
        <x:f>IF(M282="","",IF(AND(AND(J282="PASS",'Calibrare_Linii'!U16="VALID"),'Motor_Meciuri'!K25=12,'Motor_Meciuri'!L25=12,'Motor_Meciuri'!M25="NO",'Motor_Meciuri'!BL25='Motor_Meciuri'!C25,AB282&gt;='Config_v6'!$B$50,AN282&gt;='Config_v6'!$B$51,T282&lt;='Config_v6'!$B$52,L282&lt;='Config_v6'!$B$53,ISNUMBER('Calibrare_Linii'!E16),S282&lt;='Calibrare_Linii'!E16,SUM(AK282:AM282)&gt;0),"CANDIDATE","NO"))</x:f>
      </x:c>
      <x:c r="Y282" s="2" t="str">
        <x:f>IF(B282="","",IF(I282&lt;&gt;"READY","NOT RELEASED",IF(AND(X282="CANDIDATE",V282&gt;='Config_v6'!$B$51,W282="PASS",'Calibrare_Linii'!T16="VALIDATED",AND('Calibrare_Linii'!H16=C282,ISNUMBER('Calibrare_Linii'!J16),'Calibrare_Linii'!J16&lt;='Input_Meci'!G25)),"PASS",IF(X282="CANDIDATE","OOS PENDING","FAIL"))))</x:f>
      </x:c>
      <x:c r="Z282" s="2" t="str">
        <x:f>IF(B282="","",IF(I282&lt;&gt;"READY","",IF(OR(NOT(AND(J282="PASS",'Calibrare_Linii'!U16="VALID")),L282&gt;'Config_v6'!$B$13,W282="WATCH"),5,IF(Y282="PASS",1,MIN(5,MAX('Config_v6'!$B$42,U282)+IF(W282="PENALTY",1,0))))))</x:f>
      </x:c>
      <x:c r="AA282" s="2" t="str">
        <x:f>IF(B282="","",IF(I282&lt;&gt;"READY","NOT RELEASED",IF(Z282=5,"NO BET",IF(OR(AB282&lt;'Config_v6'!$B$16,V282&lt;'Config_v6'!$B$18),"WATCH",IF(Z282=1,"DEFENSIV",IF(Z282=2,"PRUDENT",IF(Z282=3,"MODERAT","RIDICAT")))))))</x:f>
      </x:c>
      <x:c r="AB282" s="10" t="str">
        <x:f>IF(N282="","",MIN(N282,1-S282))</x:f>
      </x:c>
      <x:c r="AC282" s="2" t="str">
        <x:f>IF(AD282&lt;&gt;1,"",COUNTIFS($Z$272:$Z$285,"&lt;"&amp;Z282,$AD$272:$AD$285,1)+COUNTIFS($Z$272:$Z$285,Z282,$AB$272:$AB$285,"&gt;"&amp;AB282,$AD$272:$AD$285,1)+COUNTIFS($Z$272:$Z$285,Z282,$AB$272:$AB$285,AB282,$V$272:$V$285,"&gt;"&amp;V282,$AD$272:$AD$285,1)+COUNTIFS($Z$272:Z282,Z282,$AB$272:AB282,AB282,$V$272:V282,V282,$AD$272:AD282,1))</x:f>
      </x:c>
      <x:c r="AD282" s="2" t="n">
        <x:f>IF(OR(AA282="DEFENSIV",AA282="PRUDENT",AA282="MODERAT",AA282="RIDICAT"),1,0)</x:f>
        <x:v>0</x:v>
      </x:c>
      <x:c r="AE282" s="2" t="str">
        <x:f>IF(AD282&lt;&gt;1,"NO",IF(W282="PASS","YES",IF(W282="OOS PENDING","CONDITIONAL","NO")))</x:f>
        <x:v>NO</x:v>
      </x:c>
      <x:c r="AF282" s="2" t="n">
        <x:f>IF(AND(AD282=1,AC282=1,E282="LIVE"),1,0)</x:f>
        <x:v>0</x:v>
      </x:c>
      <x:c r="AG282" s="2" t="str">
        <x:f>IF(AF282&lt;&gt;1,"",'Dashboard'!P45)</x:f>
      </x:c>
      <x:c r="AH282" s="2" t="str">
        <x:f>IF(B282="","",IF(J282&lt;&gt;"PASS",'Motor_Meciuri'!J25,IF('Calibrare_Linii'!U16&lt;&gt;"VALID","Parametri linie invalizi",IF(L282&gt;'Config_v6'!$B$13,"Dispersie peste limita",IF(W282="WATCH","Failure peste limita",IF(AB282&lt;'Config_v6'!$B$16,"P finala sub prag",IF(V282&lt;'Config_v6'!$B$18,"Confidence sub prag",IF(E282="REPLAY","Exemplu retrospectiv; exclus din Top LIVE",IF(Y282="PASS","DEFENSIV validat",IF(W282="OOS PENDING","Eligibil; calibrare linie in monitorizare","Eligibil"))))))))))</x:f>
      </x:c>
      <x:c r="AI282" s="2" t="str">
        <x:f>IF(B282="","",'Calibrare_Linii'!V16)</x:f>
      </x:c>
      <x:c r="AJ282" s="2" t="str">
        <x:f>IF(B282="","",IF(AND('Calibrare_Linii'!T16="VALIDATED",AND('Calibrare_Linii'!H16=C282,ISNUMBER('Calibrare_Linii'!J16),'Calibrare_Linii'!J16&lt;='Input_Meci'!G25)),"DEFENSIVE VALIDATED",IF(AND('Calibrare_Linii'!S16="VALIDATED",AND('Calibrare_Linii'!H16=C282,ISNUMBER('Calibrare_Linii'!J16),'Calibrare_Linii'!J16&lt;='Input_Meci'!G25)),"TAIL VALIDATED","OOS PENDING")))</x:f>
      </x:c>
      <x:c r="AK282" s="2" t="n">
        <x:f>IF(J282&lt;&gt;"PASS",0,'Motor_Meciuri'!BR25)</x:f>
        <x:v>0</x:v>
      </x:c>
      <x:c r="AL282" s="2" t="n">
        <x:f>IF(J282&lt;&gt;"PASS",0,'Motor_Meciuri'!BS25)</x:f>
        <x:v>0</x:v>
      </x:c>
      <x:c r="AM282" s="2" t="n">
        <x:f>IF(J282&lt;&gt;"PASS",0,'Motor_Meciuri'!BT25)</x:f>
        <x:v>0</x:v>
      </x:c>
      <x:c r="AN282" s="2" t="str">
        <x:f>IF(M282="","",MAX(0,'Motor_Meciuri'!BF25-IF(L282&gt;'Config_v6'!$B$12,'Config_v6'!$B$37,IF(L282&gt;'Config_v6'!$B$11,'Config_v6'!$B$36,0))))</x:f>
      </x:c>
    </x:row>
    <x:row r="283" ht="21" customHeight="1">
      <x:c r="A283" s="2" t="n">
        <x:v>20</x:v>
      </x:c>
      <x:c r="B283" s="2" t="str">
        <x:f>IF('Motor_Meciuri'!A25="","",'Motor_Meciuri'!A25)</x:f>
      </x:c>
      <x:c r="C283" s="2" t="str">
        <x:f>IF(B283="","",'Motor_Meciuri'!B25)</x:f>
      </x:c>
      <x:c r="D283" s="2" t="str">
        <x:f>IF(B283="","",'Motor_Meciuri'!D25)</x:f>
      </x:c>
      <x:c r="E283" s="2" t="str">
        <x:f>IF(B283="","",'Motor_Meciuri'!E25)</x:f>
      </x:c>
      <x:c r="F283" s="2" t="str">
        <x:v>U15,5</x:v>
      </x:c>
      <x:c r="G283" s="2" t="str">
        <x:v>UNDER</x:v>
      </x:c>
      <x:c r="H283" s="2" t="n">
        <x:v>15</x:v>
      </x:c>
      <x:c r="I283" s="2" t="str">
        <x:f>IF(B283="","",'Motor_Meciuri'!H25)</x:f>
      </x:c>
      <x:c r="J283" s="2" t="str">
        <x:f>IF(B283="","",'Motor_Meciuri'!I25)</x:f>
      </x:c>
      <x:c r="K283" s="11" t="str">
        <x:f>IF(J283&lt;&gt;"PASS","",'Motor_Meciuri'!BD25)</x:f>
      </x:c>
      <x:c r="L283" s="11" t="str">
        <x:f>IF(J283&lt;&gt;"PASS","",'Motor_Meciuri'!AU25)</x:f>
      </x:c>
      <x:c r="M283" s="10" t="str">
        <x:f>IF(NOT(AND(J283="PASS",'Calibrare_Linii'!U17="VALID")),"",'Distributie'!AM25)</x:f>
      </x:c>
      <x:c r="N283" s="10" t="str">
        <x:f>IF(M283="","",MAX(0.01,MIN(0.99,0.5+(M283-0.5)*'Motor_Meciuri'!BG25*'Calibrare_Linii'!D17)))</x:f>
      </x:c>
      <x:c r="O283" s="10" t="str">
        <x:f>IF(M283="","",1-M283)</x:f>
      </x:c>
      <x:c r="P283" s="10" t="str">
        <x:f>IF(OR(NOT(AND(J283="PASS",'Calibrare_Linii'!U17="VALID")),AK283=0),""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*('Istoric_Nativ'!$Q$6:$Q$405&gt;H283))/AK283)</x:f>
      </x:c>
      <x:c r="Q283" s="10" t="str">
        <x:f>IF(OR(NOT(AND(J283="PASS",'Calibrare_Linii'!U17="VALID")),AL283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M25)+((('Istoric_Nativ'!$E$6:$E$405='Input_Meci'!E25)+('Istoric_Nativ'!$F$6:$F$405='Input_Meci'!E25))&gt;0)*('Istoric_Nativ'!$D$6:$D$405&gt;='Motor_Meciuri'!BN25))&gt;0)*('Istoric_Nativ'!$Q$6:$Q$405&gt;H283))/AL283)</x:f>
      </x:c>
      <x:c r="R283" s="10" t="str">
        <x:f>IF(OR(NOT(AND(J283="PASS",'Calibrare_Linii'!U17="VALID")),AM283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O25)+((('Istoric_Nativ'!$E$6:$E$405='Input_Meci'!E25)+('Istoric_Nativ'!$F$6:$F$405='Input_Meci'!E25))&gt;0)*('Istoric_Nativ'!$D$6:$D$405&gt;='Motor_Meciuri'!BP25))&gt;0)*('Istoric_Nativ'!$Q$6:$Q$405&gt;H283))/AM283)</x:f>
      </x:c>
      <x:c r="S283" s="10" t="str">
        <x:f>IF(M283="","",MAX(O283,P283,Q283,R283))</x:f>
      </x:c>
      <x:c r="T283" s="11" t="str">
        <x:f>IF(M283="","",MIN(100,S283*100*'Config_v6'!$B$44+MIN(100,L283/'Config_v6'!$B$13*100)*'Config_v6'!$B$45+(100-'Motor_Meciuri'!BF25)*'Config_v6'!$B$46+'Motor_Meciuri'!BH25*100*'Config_v6'!$B$47))</x:f>
      </x:c>
      <x:c r="U283" s="2" t="str">
        <x:f>IF(T283="","",IF(T283&lt;=20,1,IF(T283&lt;=40,2,IF(T283&lt;=60,3,IF(T283&lt;=80,4,5)))))</x:f>
      </x:c>
      <x:c r="V283" s="2" t="str">
        <x:f>IF(M283="","",MAX(0,'Motor_Meciuri'!BF25-IF(W283="OOS PENDING",'Config_v6'!$B$35,0)-IF(L283&gt;'Config_v6'!$B$12,'Config_v6'!$B$37,IF(L283&gt;'Config_v6'!$B$11,'Config_v6'!$B$36,0))))</x:f>
      </x:c>
      <x:c r="W283" s="2" t="str">
        <x:f>IF(B283="","",IF(I283&lt;&gt;"READY","NOT RELEASED",IF(NOT(AND(J283="PASS",'Calibrare_Linii'!U17="VALID")),"INVALID",IF(NOT(AND('Calibrare_Linii'!S17="VALIDATED",AND('Calibrare_Linii'!H17=C283,ISNUMBER('Calibrare_Linii'!J17),'Calibrare_Linii'!J17&lt;='Input_Meci'!G25))),"OOS PENDING",IF(S283&lt;='Calibrare_Linii'!E17,"PASS",IF(S283&lt;='Calibrare_Linii'!F17,"PENALTY","WATCH"))))))</x:f>
      </x:c>
      <x:c r="X283" s="2" t="str">
        <x:f>IF(M283="","",IF(AND(AND(J283="PASS",'Calibrare_Linii'!U17="VALID"),'Motor_Meciuri'!K25=12,'Motor_Meciuri'!L25=12,'Motor_Meciuri'!M25="NO",'Motor_Meciuri'!BL25='Motor_Meciuri'!C25,AB283&gt;='Config_v6'!$B$50,AN283&gt;='Config_v6'!$B$51,T283&lt;='Config_v6'!$B$52,L283&lt;='Config_v6'!$B$53,ISNUMBER('Calibrare_Linii'!E17),S283&lt;='Calibrare_Linii'!E17,SUM(AK283:AM283)&gt;0),"CANDIDATE","NO"))</x:f>
      </x:c>
      <x:c r="Y283" s="2" t="str">
        <x:f>IF(B283="","",IF(I283&lt;&gt;"READY","NOT RELEASED",IF(AND(X283="CANDIDATE",V283&gt;='Config_v6'!$B$51,W283="PASS",'Calibrare_Linii'!T17="VALIDATED",AND('Calibrare_Linii'!H17=C283,ISNUMBER('Calibrare_Linii'!J17),'Calibrare_Linii'!J17&lt;='Input_Meci'!G25)),"PASS",IF(X283="CANDIDATE","OOS PENDING","FAIL"))))</x:f>
      </x:c>
      <x:c r="Z283" s="2" t="str">
        <x:f>IF(B283="","",IF(I283&lt;&gt;"READY","",IF(OR(NOT(AND(J283="PASS",'Calibrare_Linii'!U17="VALID")),L283&gt;'Config_v6'!$B$13,W283="WATCH"),5,IF(Y283="PASS",1,MIN(5,MAX('Config_v6'!$B$42,U283)+IF(W283="PENALTY",1,0))))))</x:f>
      </x:c>
      <x:c r="AA283" s="2" t="str">
        <x:f>IF(B283="","",IF(I283&lt;&gt;"READY","NOT RELEASED",IF(Z283=5,"NO BET",IF(OR(AB283&lt;'Config_v6'!$B$16,V283&lt;'Config_v6'!$B$18),"WATCH",IF(Z283=1,"DEFENSIV",IF(Z283=2,"PRUDENT",IF(Z283=3,"MODERAT","RIDICAT")))))))</x:f>
      </x:c>
      <x:c r="AB283" s="10" t="str">
        <x:f>IF(N283="","",MIN(N283,1-S283))</x:f>
      </x:c>
      <x:c r="AC283" s="2" t="str">
        <x:f>IF(AD283&lt;&gt;1,"",COUNTIFS($Z$272:$Z$285,"&lt;"&amp;Z283,$AD$272:$AD$285,1)+COUNTIFS($Z$272:$Z$285,Z283,$AB$272:$AB$285,"&gt;"&amp;AB283,$AD$272:$AD$285,1)+COUNTIFS($Z$272:$Z$285,Z283,$AB$272:$AB$285,AB283,$V$272:$V$285,"&gt;"&amp;V283,$AD$272:$AD$285,1)+COUNTIFS($Z$272:Z283,Z283,$AB$272:AB283,AB283,$V$272:V283,V283,$AD$272:AD283,1))</x:f>
      </x:c>
      <x:c r="AD283" s="2" t="n">
        <x:f>IF(OR(AA283="DEFENSIV",AA283="PRUDENT",AA283="MODERAT",AA283="RIDICAT"),1,0)</x:f>
        <x:v>0</x:v>
      </x:c>
      <x:c r="AE283" s="2" t="str">
        <x:f>IF(AD283&lt;&gt;1,"NO",IF(W283="PASS","YES",IF(W283="OOS PENDING","CONDITIONAL","NO")))</x:f>
        <x:v>NO</x:v>
      </x:c>
      <x:c r="AF283" s="2" t="n">
        <x:f>IF(AND(AD283=1,AC283=1,E283="LIVE"),1,0)</x:f>
        <x:v>0</x:v>
      </x:c>
      <x:c r="AG283" s="2" t="str">
        <x:f>IF(AF283&lt;&gt;1,"",'Dashboard'!P45)</x:f>
      </x:c>
      <x:c r="AH283" s="2" t="str">
        <x:f>IF(B283="","",IF(J283&lt;&gt;"PASS",'Motor_Meciuri'!J25,IF('Calibrare_Linii'!U17&lt;&gt;"VALID","Parametri linie invalizi",IF(L283&gt;'Config_v6'!$B$13,"Dispersie peste limita",IF(W283="WATCH","Failure peste limita",IF(AB283&lt;'Config_v6'!$B$16,"P finala sub prag",IF(V283&lt;'Config_v6'!$B$18,"Confidence sub prag",IF(E283="REPLAY","Exemplu retrospectiv; exclus din Top LIVE",IF(Y283="PASS","DEFENSIV validat",IF(W283="OOS PENDING","Eligibil; calibrare linie in monitorizare","Eligibil"))))))))))</x:f>
      </x:c>
      <x:c r="AI283" s="2" t="str">
        <x:f>IF(B283="","",'Calibrare_Linii'!V17)</x:f>
      </x:c>
      <x:c r="AJ283" s="2" t="str">
        <x:f>IF(B283="","",IF(AND('Calibrare_Linii'!T17="VALIDATED",AND('Calibrare_Linii'!H17=C283,ISNUMBER('Calibrare_Linii'!J17),'Calibrare_Linii'!J17&lt;='Input_Meci'!G25)),"DEFENSIVE VALIDATED",IF(AND('Calibrare_Linii'!S17="VALIDATED",AND('Calibrare_Linii'!H17=C283,ISNUMBER('Calibrare_Linii'!J17),'Calibrare_Linii'!J17&lt;='Input_Meci'!G25)),"TAIL VALIDATED","OOS PENDING")))</x:f>
      </x:c>
      <x:c r="AK283" s="2" t="n">
        <x:f>IF(J283&lt;&gt;"PASS",0,'Motor_Meciuri'!BR25)</x:f>
        <x:v>0</x:v>
      </x:c>
      <x:c r="AL283" s="2" t="n">
        <x:f>IF(J283&lt;&gt;"PASS",0,'Motor_Meciuri'!BS25)</x:f>
        <x:v>0</x:v>
      </x:c>
      <x:c r="AM283" s="2" t="n">
        <x:f>IF(J283&lt;&gt;"PASS",0,'Motor_Meciuri'!BT25)</x:f>
        <x:v>0</x:v>
      </x:c>
      <x:c r="AN283" s="2" t="str">
        <x:f>IF(M283="","",MAX(0,'Motor_Meciuri'!BF25-IF(L283&gt;'Config_v6'!$B$12,'Config_v6'!$B$37,IF(L283&gt;'Config_v6'!$B$11,'Config_v6'!$B$36,0))))</x:f>
      </x:c>
    </x:row>
    <x:row r="284" ht="21" customHeight="1">
      <x:c r="A284" s="2" t="n">
        <x:v>20</x:v>
      </x:c>
      <x:c r="B284" s="2" t="str">
        <x:f>IF('Motor_Meciuri'!A25="","",'Motor_Meciuri'!A25)</x:f>
      </x:c>
      <x:c r="C284" s="2" t="str">
        <x:f>IF(B284="","",'Motor_Meciuri'!B25)</x:f>
      </x:c>
      <x:c r="D284" s="2" t="str">
        <x:f>IF(B284="","",'Motor_Meciuri'!D25)</x:f>
      </x:c>
      <x:c r="E284" s="2" t="str">
        <x:f>IF(B284="","",'Motor_Meciuri'!E25)</x:f>
      </x:c>
      <x:c r="F284" s="2" t="str">
        <x:v>U16,5</x:v>
      </x:c>
      <x:c r="G284" s="2" t="str">
        <x:v>UNDER</x:v>
      </x:c>
      <x:c r="H284" s="2" t="n">
        <x:v>16</x:v>
      </x:c>
      <x:c r="I284" s="2" t="str">
        <x:f>IF(B284="","",'Motor_Meciuri'!H25)</x:f>
      </x:c>
      <x:c r="J284" s="2" t="str">
        <x:f>IF(B284="","",'Motor_Meciuri'!I25)</x:f>
      </x:c>
      <x:c r="K284" s="11" t="str">
        <x:f>IF(J284&lt;&gt;"PASS","",'Motor_Meciuri'!BD25)</x:f>
      </x:c>
      <x:c r="L284" s="11" t="str">
        <x:f>IF(J284&lt;&gt;"PASS","",'Motor_Meciuri'!AU25)</x:f>
      </x:c>
      <x:c r="M284" s="10" t="str">
        <x:f>IF(NOT(AND(J284="PASS",'Calibrare_Linii'!U18="VALID")),"",'Distributie'!AN25)</x:f>
      </x:c>
      <x:c r="N284" s="10" t="str">
        <x:f>IF(M284="","",MAX(0.01,MIN(0.99,0.5+(M284-0.5)*'Motor_Meciuri'!BG25*'Calibrare_Linii'!D18)))</x:f>
      </x:c>
      <x:c r="O284" s="10" t="str">
        <x:f>IF(M284="","",1-M284)</x:f>
      </x:c>
      <x:c r="P284" s="10" t="str">
        <x:f>IF(OR(NOT(AND(J284="PASS",'Calibrare_Linii'!U18="VALID")),AK284=0),""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*('Istoric_Nativ'!$Q$6:$Q$405&gt;H284))/AK284)</x:f>
      </x:c>
      <x:c r="Q284" s="10" t="str">
        <x:f>IF(OR(NOT(AND(J284="PASS",'Calibrare_Linii'!U18="VALID")),AL284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M25)+((('Istoric_Nativ'!$E$6:$E$405='Input_Meci'!E25)+('Istoric_Nativ'!$F$6:$F$405='Input_Meci'!E25))&gt;0)*('Istoric_Nativ'!$D$6:$D$405&gt;='Motor_Meciuri'!BN25))&gt;0)*('Istoric_Nativ'!$Q$6:$Q$405&gt;H284))/AL284)</x:f>
      </x:c>
      <x:c r="R284" s="10" t="str">
        <x:f>IF(OR(NOT(AND(J284="PASS",'Calibrare_Linii'!U18="VALID")),AM284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O25)+((('Istoric_Nativ'!$E$6:$E$405='Input_Meci'!E25)+('Istoric_Nativ'!$F$6:$F$405='Input_Meci'!E25))&gt;0)*('Istoric_Nativ'!$D$6:$D$405&gt;='Motor_Meciuri'!BP25))&gt;0)*('Istoric_Nativ'!$Q$6:$Q$405&gt;H284))/AM284)</x:f>
      </x:c>
      <x:c r="S284" s="10" t="str">
        <x:f>IF(M284="","",MAX(O284,P284,Q284,R284))</x:f>
      </x:c>
      <x:c r="T284" s="11" t="str">
        <x:f>IF(M284="","",MIN(100,S284*100*'Config_v6'!$B$44+MIN(100,L284/'Config_v6'!$B$13*100)*'Config_v6'!$B$45+(100-'Motor_Meciuri'!BF25)*'Config_v6'!$B$46+'Motor_Meciuri'!BH25*100*'Config_v6'!$B$47))</x:f>
      </x:c>
      <x:c r="U284" s="2" t="str">
        <x:f>IF(T284="","",IF(T284&lt;=20,1,IF(T284&lt;=40,2,IF(T284&lt;=60,3,IF(T284&lt;=80,4,5)))))</x:f>
      </x:c>
      <x:c r="V284" s="2" t="str">
        <x:f>IF(M284="","",MAX(0,'Motor_Meciuri'!BF25-IF(W284="OOS PENDING",'Config_v6'!$B$35,0)-IF(L284&gt;'Config_v6'!$B$12,'Config_v6'!$B$37,IF(L284&gt;'Config_v6'!$B$11,'Config_v6'!$B$36,0))))</x:f>
      </x:c>
      <x:c r="W284" s="2" t="str">
        <x:f>IF(B284="","",IF(I284&lt;&gt;"READY","NOT RELEASED",IF(NOT(AND(J284="PASS",'Calibrare_Linii'!U18="VALID")),"INVALID",IF(NOT(AND('Calibrare_Linii'!S18="VALIDATED",AND('Calibrare_Linii'!H18=C284,ISNUMBER('Calibrare_Linii'!J18),'Calibrare_Linii'!J18&lt;='Input_Meci'!G25))),"OOS PENDING",IF(S284&lt;='Calibrare_Linii'!E18,"PASS",IF(S284&lt;='Calibrare_Linii'!F18,"PENALTY","WATCH"))))))</x:f>
      </x:c>
      <x:c r="X284" s="2" t="str">
        <x:f>IF(M284="","",IF(AND(AND(J284="PASS",'Calibrare_Linii'!U18="VALID"),'Motor_Meciuri'!K25=12,'Motor_Meciuri'!L25=12,'Motor_Meciuri'!M25="NO",'Motor_Meciuri'!BL25='Motor_Meciuri'!C25,AB284&gt;='Config_v6'!$B$50,AN284&gt;='Config_v6'!$B$51,T284&lt;='Config_v6'!$B$52,L284&lt;='Config_v6'!$B$53,ISNUMBER('Calibrare_Linii'!E18),S284&lt;='Calibrare_Linii'!E18,SUM(AK284:AM284)&gt;0),"CANDIDATE","NO"))</x:f>
      </x:c>
      <x:c r="Y284" s="2" t="str">
        <x:f>IF(B284="","",IF(I284&lt;&gt;"READY","NOT RELEASED",IF(AND(X284="CANDIDATE",V284&gt;='Config_v6'!$B$51,W284="PASS",'Calibrare_Linii'!T18="VALIDATED",AND('Calibrare_Linii'!H18=C284,ISNUMBER('Calibrare_Linii'!J18),'Calibrare_Linii'!J18&lt;='Input_Meci'!G25)),"PASS",IF(X284="CANDIDATE","OOS PENDING","FAIL"))))</x:f>
      </x:c>
      <x:c r="Z284" s="2" t="str">
        <x:f>IF(B284="","",IF(I284&lt;&gt;"READY","",IF(OR(NOT(AND(J284="PASS",'Calibrare_Linii'!U18="VALID")),L284&gt;'Config_v6'!$B$13,W284="WATCH"),5,IF(Y284="PASS",1,MIN(5,MAX('Config_v6'!$B$42,U284)+IF(W284="PENALTY",1,0))))))</x:f>
      </x:c>
      <x:c r="AA284" s="2" t="str">
        <x:f>IF(B284="","",IF(I284&lt;&gt;"READY","NOT RELEASED",IF(Z284=5,"NO BET",IF(OR(AB284&lt;'Config_v6'!$B$16,V284&lt;'Config_v6'!$B$18),"WATCH",IF(Z284=1,"DEFENSIV",IF(Z284=2,"PRUDENT",IF(Z284=3,"MODERAT","RIDICAT")))))))</x:f>
      </x:c>
      <x:c r="AB284" s="10" t="str">
        <x:f>IF(N284="","",MIN(N284,1-S284))</x:f>
      </x:c>
      <x:c r="AC284" s="2" t="str">
        <x:f>IF(AD284&lt;&gt;1,"",COUNTIFS($Z$272:$Z$285,"&lt;"&amp;Z284,$AD$272:$AD$285,1)+COUNTIFS($Z$272:$Z$285,Z284,$AB$272:$AB$285,"&gt;"&amp;AB284,$AD$272:$AD$285,1)+COUNTIFS($Z$272:$Z$285,Z284,$AB$272:$AB$285,AB284,$V$272:$V$285,"&gt;"&amp;V284,$AD$272:$AD$285,1)+COUNTIFS($Z$272:Z284,Z284,$AB$272:AB284,AB284,$V$272:V284,V284,$AD$272:AD284,1))</x:f>
      </x:c>
      <x:c r="AD284" s="2" t="n">
        <x:f>IF(OR(AA284="DEFENSIV",AA284="PRUDENT",AA284="MODERAT",AA284="RIDICAT"),1,0)</x:f>
        <x:v>0</x:v>
      </x:c>
      <x:c r="AE284" s="2" t="str">
        <x:f>IF(AD284&lt;&gt;1,"NO",IF(W284="PASS","YES",IF(W284="OOS PENDING","CONDITIONAL","NO")))</x:f>
        <x:v>NO</x:v>
      </x:c>
      <x:c r="AF284" s="2" t="n">
        <x:f>IF(AND(AD284=1,AC284=1,E284="LIVE"),1,0)</x:f>
        <x:v>0</x:v>
      </x:c>
      <x:c r="AG284" s="2" t="str">
        <x:f>IF(AF284&lt;&gt;1,"",'Dashboard'!P45)</x:f>
      </x:c>
      <x:c r="AH284" s="2" t="str">
        <x:f>IF(B284="","",IF(J284&lt;&gt;"PASS",'Motor_Meciuri'!J25,IF('Calibrare_Linii'!U18&lt;&gt;"VALID","Parametri linie invalizi",IF(L284&gt;'Config_v6'!$B$13,"Dispersie peste limita",IF(W284="WATCH","Failure peste limita",IF(AB284&lt;'Config_v6'!$B$16,"P finala sub prag",IF(V284&lt;'Config_v6'!$B$18,"Confidence sub prag",IF(E284="REPLAY","Exemplu retrospectiv; exclus din Top LIVE",IF(Y284="PASS","DEFENSIV validat",IF(W284="OOS PENDING","Eligibil; calibrare linie in monitorizare","Eligibil"))))))))))</x:f>
      </x:c>
      <x:c r="AI284" s="2" t="str">
        <x:f>IF(B284="","",'Calibrare_Linii'!V18)</x:f>
      </x:c>
      <x:c r="AJ284" s="2" t="str">
        <x:f>IF(B284="","",IF(AND('Calibrare_Linii'!T18="VALIDATED",AND('Calibrare_Linii'!H18=C284,ISNUMBER('Calibrare_Linii'!J18),'Calibrare_Linii'!J18&lt;='Input_Meci'!G25)),"DEFENSIVE VALIDATED",IF(AND('Calibrare_Linii'!S18="VALIDATED",AND('Calibrare_Linii'!H18=C284,ISNUMBER('Calibrare_Linii'!J18),'Calibrare_Linii'!J18&lt;='Input_Meci'!G25)),"TAIL VALIDATED","OOS PENDING")))</x:f>
      </x:c>
      <x:c r="AK284" s="2" t="n">
        <x:f>IF(J284&lt;&gt;"PASS",0,'Motor_Meciuri'!BR25)</x:f>
        <x:v>0</x:v>
      </x:c>
      <x:c r="AL284" s="2" t="n">
        <x:f>IF(J284&lt;&gt;"PASS",0,'Motor_Meciuri'!BS25)</x:f>
        <x:v>0</x:v>
      </x:c>
      <x:c r="AM284" s="2" t="n">
        <x:f>IF(J284&lt;&gt;"PASS",0,'Motor_Meciuri'!BT25)</x:f>
        <x:v>0</x:v>
      </x:c>
      <x:c r="AN284" s="2" t="str">
        <x:f>IF(M284="","",MAX(0,'Motor_Meciuri'!BF25-IF(L284&gt;'Config_v6'!$B$12,'Config_v6'!$B$37,IF(L284&gt;'Config_v6'!$B$11,'Config_v6'!$B$36,0))))</x:f>
      </x:c>
    </x:row>
    <x:row r="285" ht="21" customHeight="1">
      <x:c r="A285" s="2" t="n">
        <x:v>20</x:v>
      </x:c>
      <x:c r="B285" s="2" t="str">
        <x:f>IF('Motor_Meciuri'!A25="","",'Motor_Meciuri'!A25)</x:f>
      </x:c>
      <x:c r="C285" s="2" t="str">
        <x:f>IF(B285="","",'Motor_Meciuri'!B25)</x:f>
      </x:c>
      <x:c r="D285" s="2" t="str">
        <x:f>IF(B285="","",'Motor_Meciuri'!D25)</x:f>
      </x:c>
      <x:c r="E285" s="2" t="str">
        <x:f>IF(B285="","",'Motor_Meciuri'!E25)</x:f>
      </x:c>
      <x:c r="F285" s="2" t="str">
        <x:v>U17,5</x:v>
      </x:c>
      <x:c r="G285" s="2" t="str">
        <x:v>UNDER</x:v>
      </x:c>
      <x:c r="H285" s="2" t="n">
        <x:v>17</x:v>
      </x:c>
      <x:c r="I285" s="2" t="str">
        <x:f>IF(B285="","",'Motor_Meciuri'!H25)</x:f>
      </x:c>
      <x:c r="J285" s="2" t="str">
        <x:f>IF(B285="","",'Motor_Meciuri'!I25)</x:f>
      </x:c>
      <x:c r="K285" s="11" t="str">
        <x:f>IF(J285&lt;&gt;"PASS","",'Motor_Meciuri'!BD25)</x:f>
      </x:c>
      <x:c r="L285" s="11" t="str">
        <x:f>IF(J285&lt;&gt;"PASS","",'Motor_Meciuri'!AU25)</x:f>
      </x:c>
      <x:c r="M285" s="10" t="str">
        <x:f>IF(NOT(AND(J285="PASS",'Calibrare_Linii'!U19="VALID")),"",'Distributie'!AO25)</x:f>
      </x:c>
      <x:c r="N285" s="10" t="str">
        <x:f>IF(M285="","",MAX(0.01,MIN(0.99,0.5+(M285-0.5)*'Motor_Meciuri'!BG25*'Calibrare_Linii'!D19)))</x:f>
      </x:c>
      <x:c r="O285" s="10" t="str">
        <x:f>IF(M285="","",1-M285)</x:f>
      </x:c>
      <x:c r="P285" s="10" t="str">
        <x:f>IF(OR(NOT(AND(J285="PASS",'Calibrare_Linii'!U19="VALID")),AK285=0),""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*('Istoric_Nativ'!$Q$6:$Q$405&gt;H285))/AK285)</x:f>
      </x:c>
      <x:c r="Q285" s="10" t="str">
        <x:f>IF(OR(NOT(AND(J285="PASS",'Calibrare_Linii'!U19="VALID")),AL285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M25)+((('Istoric_Nativ'!$E$6:$E$405='Input_Meci'!E25)+('Istoric_Nativ'!$F$6:$F$405='Input_Meci'!E25))&gt;0)*('Istoric_Nativ'!$D$6:$D$405&gt;='Motor_Meciuri'!BN25))&gt;0)*('Istoric_Nativ'!$Q$6:$Q$405&gt;H285))/AL285)</x:f>
      </x:c>
      <x:c r="R285" s="10" t="str">
        <x:f>IF(OR(NOT(AND(J285="PASS",'Calibrare_Linii'!U19="VALID")),AM285=0),""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'Motor_Meciuri'!BO25)+((('Istoric_Nativ'!$E$6:$E$405='Input_Meci'!E25)+('Istoric_Nativ'!$F$6:$F$405='Input_Meci'!E25))&gt;0)*('Istoric_Nativ'!$D$6:$D$405&gt;='Motor_Meciuri'!BP25))&gt;0)*('Istoric_Nativ'!$Q$6:$Q$405&gt;H285))/AM285)</x:f>
      </x:c>
      <x:c r="S285" s="10" t="str">
        <x:f>IF(M285="","",MAX(O285,P285,Q285,R285))</x:f>
      </x:c>
      <x:c r="T285" s="11" t="str">
        <x:f>IF(M285="","",MIN(100,S285*100*'Config_v6'!$B$44+MIN(100,L285/'Config_v6'!$B$13*100)*'Config_v6'!$B$45+(100-'Motor_Meciuri'!BF25)*'Config_v6'!$B$46+'Motor_Meciuri'!BH25*100*'Config_v6'!$B$47))</x:f>
      </x:c>
      <x:c r="U285" s="2" t="str">
        <x:f>IF(T285="","",IF(T285&lt;=20,1,IF(T285&lt;=40,2,IF(T285&lt;=60,3,IF(T285&lt;=80,4,5)))))</x:f>
      </x:c>
      <x:c r="V285" s="2" t="str">
        <x:f>IF(M285="","",MAX(0,'Motor_Meciuri'!BF25-IF(W285="OOS PENDING",'Config_v6'!$B$35,0)-IF(L285&gt;'Config_v6'!$B$12,'Config_v6'!$B$37,IF(L285&gt;'Config_v6'!$B$11,'Config_v6'!$B$36,0))))</x:f>
      </x:c>
      <x:c r="W285" s="2" t="str">
        <x:f>IF(B285="","",IF(I285&lt;&gt;"READY","NOT RELEASED",IF(NOT(AND(J285="PASS",'Calibrare_Linii'!U19="VALID")),"INVALID",IF(NOT(AND('Calibrare_Linii'!S19="VALIDATED",AND('Calibrare_Linii'!H19=C285,ISNUMBER('Calibrare_Linii'!J19),'Calibrare_Linii'!J19&lt;='Input_Meci'!G25))),"OOS PENDING",IF(S285&lt;='Calibrare_Linii'!E19,"PASS",IF(S285&lt;='Calibrare_Linii'!F19,"PENALTY","WATCH"))))))</x:f>
      </x:c>
      <x:c r="X285" s="2" t="str">
        <x:f>IF(M285="","",IF(AND(AND(J285="PASS",'Calibrare_Linii'!U19="VALID"),'Motor_Meciuri'!K25=12,'Motor_Meciuri'!L25=12,'Motor_Meciuri'!M25="NO",'Motor_Meciuri'!BL25='Motor_Meciuri'!C25,AB285&gt;='Config_v6'!$B$50,AN285&gt;='Config_v6'!$B$51,T285&lt;='Config_v6'!$B$52,L285&lt;='Config_v6'!$B$53,ISNUMBER('Calibrare_Linii'!E19),S285&lt;='Calibrare_Linii'!E19,SUM(AK285:AM285)&gt;0),"CANDIDATE","NO"))</x:f>
      </x:c>
      <x:c r="Y285" s="2" t="str">
        <x:f>IF(B285="","",IF(I285&lt;&gt;"READY","NOT RELEASED",IF(AND(X285="CANDIDATE",V285&gt;='Config_v6'!$B$51,W285="PASS",'Calibrare_Linii'!T19="VALIDATED",AND('Calibrare_Linii'!H19=C285,ISNUMBER('Calibrare_Linii'!J19),'Calibrare_Linii'!J19&lt;='Input_Meci'!G25)),"PASS",IF(X285="CANDIDATE","OOS PENDING","FAIL"))))</x:f>
      </x:c>
      <x:c r="Z285" s="2" t="str">
        <x:f>IF(B285="","",IF(I285&lt;&gt;"READY","",IF(OR(NOT(AND(J285="PASS",'Calibrare_Linii'!U19="VALID")),L285&gt;'Config_v6'!$B$13,W285="WATCH"),5,IF(Y285="PASS",1,MIN(5,MAX('Config_v6'!$B$42,U285)+IF(W285="PENALTY",1,0))))))</x:f>
      </x:c>
      <x:c r="AA285" s="2" t="str">
        <x:f>IF(B285="","",IF(I285&lt;&gt;"READY","NOT RELEASED",IF(Z285=5,"NO BET",IF(OR(AB285&lt;'Config_v6'!$B$16,V285&lt;'Config_v6'!$B$18),"WATCH",IF(Z285=1,"DEFENSIV",IF(Z285=2,"PRUDENT",IF(Z285=3,"MODERAT","RIDICAT")))))))</x:f>
      </x:c>
      <x:c r="AB285" s="10" t="str">
        <x:f>IF(N285="","",MIN(N285,1-S285))</x:f>
      </x:c>
      <x:c r="AC285" s="2" t="str">
        <x:f>IF(AD285&lt;&gt;1,"",COUNTIFS($Z$272:$Z$285,"&lt;"&amp;Z285,$AD$272:$AD$285,1)+COUNTIFS($Z$272:$Z$285,Z285,$AB$272:$AB$285,"&gt;"&amp;AB285,$AD$272:$AD$285,1)+COUNTIFS($Z$272:$Z$285,Z285,$AB$272:$AB$285,AB285,$V$272:$V$285,"&gt;"&amp;V285,$AD$272:$AD$285,1)+COUNTIFS($Z$272:Z285,Z285,$AB$272:AB285,AB285,$V$272:V285,V285,$AD$272:AD285,1))</x:f>
      </x:c>
      <x:c r="AD285" s="2" t="n">
        <x:f>IF(OR(AA285="DEFENSIV",AA285="PRUDENT",AA285="MODERAT",AA285="RIDICAT"),1,0)</x:f>
        <x:v>0</x:v>
      </x:c>
      <x:c r="AE285" s="2" t="str">
        <x:f>IF(AD285&lt;&gt;1,"NO",IF(W285="PASS","YES",IF(W285="OOS PENDING","CONDITIONAL","NO")))</x:f>
        <x:v>NO</x:v>
      </x:c>
      <x:c r="AF285" s="2" t="n">
        <x:f>IF(AND(AD285=1,AC285=1,E285="LIVE"),1,0)</x:f>
        <x:v>0</x:v>
      </x:c>
      <x:c r="AG285" s="2" t="str">
        <x:f>IF(AF285&lt;&gt;1,"",'Dashboard'!P45)</x:f>
      </x:c>
      <x:c r="AH285" s="2" t="str">
        <x:f>IF(B285="","",IF(J285&lt;&gt;"PASS",'Motor_Meciuri'!J25,IF('Calibrare_Linii'!U19&lt;&gt;"VALID","Parametri linie invalizi",IF(L285&gt;'Config_v6'!$B$13,"Dispersie peste limita",IF(W285="WATCH","Failure peste limita",IF(AB285&lt;'Config_v6'!$B$16,"P finala sub prag",IF(V285&lt;'Config_v6'!$B$18,"Confidence sub prag",IF(E285="REPLAY","Exemplu retrospectiv; exclus din Top LIVE",IF(Y285="PASS","DEFENSIV validat",IF(W285="OOS PENDING","Eligibil; calibrare linie in monitorizare","Eligibil"))))))))))</x:f>
      </x:c>
      <x:c r="AI285" s="2" t="str">
        <x:f>IF(B285="","",'Calibrare_Linii'!V19)</x:f>
      </x:c>
      <x:c r="AJ285" s="2" t="str">
        <x:f>IF(B285="","",IF(AND('Calibrare_Linii'!T19="VALIDATED",AND('Calibrare_Linii'!H19=C285,ISNUMBER('Calibrare_Linii'!J19),'Calibrare_Linii'!J19&lt;='Input_Meci'!G25)),"DEFENSIVE VALIDATED",IF(AND('Calibrare_Linii'!S19="VALIDATED",AND('Calibrare_Linii'!H19=C285,ISNUMBER('Calibrare_Linii'!J19),'Calibrare_Linii'!J19&lt;='Input_Meci'!G25)),"TAIL VALIDATED","OOS PENDING")))</x:f>
      </x:c>
      <x:c r="AK285" s="2" t="n">
        <x:f>IF(J285&lt;&gt;"PASS",0,'Motor_Meciuri'!BR25)</x:f>
        <x:v>0</x:v>
      </x:c>
      <x:c r="AL285" s="2" t="n">
        <x:f>IF(J285&lt;&gt;"PASS",0,'Motor_Meciuri'!BS25)</x:f>
        <x:v>0</x:v>
      </x:c>
      <x:c r="AM285" s="2" t="n">
        <x:f>IF(J285&lt;&gt;"PASS",0,'Motor_Meciuri'!BT25)</x:f>
        <x:v>0</x:v>
      </x:c>
      <x:c r="AN285" s="2" t="str">
        <x:f>IF(M285="","",MAX(0,'Motor_Meciuri'!BF25-IF(L285&gt;'Config_v6'!$B$12,'Config_v6'!$B$37,IF(L285&gt;'Config_v6'!$B$11,'Config_v6'!$B$36,0))))</x:f>
      </x:c>
    </x:row>
    <x:row r="286" ht="21" customHeight="1">
      <x:c r="A286" s="2" t="n">
        <x:v>21</x:v>
      </x:c>
      <x:c r="B286" s="2" t="str">
        <x:f>IF('Motor_Meciuri'!A26="","",'Motor_Meciuri'!A26)</x:f>
      </x:c>
      <x:c r="C286" s="2" t="str">
        <x:f>IF(B286="","",'Motor_Meciuri'!B26)</x:f>
      </x:c>
      <x:c r="D286" s="2" t="str">
        <x:f>IF(B286="","",'Motor_Meciuri'!D26)</x:f>
      </x:c>
      <x:c r="E286" s="2" t="str">
        <x:f>IF(B286="","",'Motor_Meciuri'!E26)</x:f>
      </x:c>
      <x:c r="F286" s="2" t="str">
        <x:v>O3,5</x:v>
      </x:c>
      <x:c r="G286" s="2" t="str">
        <x:v>OVER</x:v>
      </x:c>
      <x:c r="H286" s="2" t="n">
        <x:v>3</x:v>
      </x:c>
      <x:c r="I286" s="2" t="str">
        <x:f>IF(B286="","",'Motor_Meciuri'!H26)</x:f>
      </x:c>
      <x:c r="J286" s="2" t="str">
        <x:f>IF(B286="","",'Motor_Meciuri'!I26)</x:f>
      </x:c>
      <x:c r="K286" s="11" t="str">
        <x:f>IF(J286&lt;&gt;"PASS","",'Motor_Meciuri'!BD26)</x:f>
      </x:c>
      <x:c r="L286" s="11" t="str">
        <x:f>IF(J286&lt;&gt;"PASS","",'Motor_Meciuri'!AU26)</x:f>
      </x:c>
      <x:c r="M286" s="10" t="str">
        <x:f>IF(NOT(AND(J286="PASS",'Calibrare_Linii'!U6="VALID")),"",1-'Distributie'!AA26)</x:f>
      </x:c>
      <x:c r="N286" s="10" t="str">
        <x:f>IF(M286="","",MAX(0.01,MIN(0.99,0.5+(M286-0.5)*'Motor_Meciuri'!BG26*'Calibrare_Linii'!D6)))</x:f>
      </x:c>
      <x:c r="O286" s="10" t="str">
        <x:f>IF(M286="","",1-M286)</x:f>
      </x:c>
      <x:c r="P286" s="10" t="str">
        <x:f>IF(OR(NOT(AND(J286="PASS",'Calibrare_Linii'!U6="VALID")),AK286=0),""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*('Istoric_Nativ'!$Q$6:$Q$405&lt;=H286))/AK286)</x:f>
      </x:c>
      <x:c r="Q286" s="10" t="str">
        <x:f>IF(OR(NOT(AND(J286="PASS",'Calibrare_Linii'!U6="VALID")),AL286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M26)+((('Istoric_Nativ'!$E$6:$E$405='Input_Meci'!E26)+('Istoric_Nativ'!$F$6:$F$405='Input_Meci'!E26))&gt;0)*('Istoric_Nativ'!$D$6:$D$405&gt;='Motor_Meciuri'!BN26))&gt;0)*('Istoric_Nativ'!$Q$6:$Q$405&lt;=H286))/AL286)</x:f>
      </x:c>
      <x:c r="R286" s="10" t="str">
        <x:f>IF(OR(NOT(AND(J286="PASS",'Calibrare_Linii'!U6="VALID")),AM286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O26)+((('Istoric_Nativ'!$E$6:$E$405='Input_Meci'!E26)+('Istoric_Nativ'!$F$6:$F$405='Input_Meci'!E26))&gt;0)*('Istoric_Nativ'!$D$6:$D$405&gt;='Motor_Meciuri'!BP26))&gt;0)*('Istoric_Nativ'!$Q$6:$Q$405&lt;=H286))/AM286)</x:f>
      </x:c>
      <x:c r="S286" s="10" t="str">
        <x:f>IF(M286="","",MAX(O286,P286,Q286,R286))</x:f>
      </x:c>
      <x:c r="T286" s="11" t="str">
        <x:f>IF(M286="","",MIN(100,S286*100*'Config_v6'!$B$44+MIN(100,L286/'Config_v6'!$B$13*100)*'Config_v6'!$B$45+(100-'Motor_Meciuri'!BF26)*'Config_v6'!$B$46+'Motor_Meciuri'!BH26*100*'Config_v6'!$B$47))</x:f>
      </x:c>
      <x:c r="U286" s="2" t="str">
        <x:f>IF(T286="","",IF(T286&lt;=20,1,IF(T286&lt;=40,2,IF(T286&lt;=60,3,IF(T286&lt;=80,4,5)))))</x:f>
      </x:c>
      <x:c r="V286" s="2" t="str">
        <x:f>IF(M286="","",MAX(0,'Motor_Meciuri'!BF26-IF(W286="OOS PENDING",'Config_v6'!$B$35,0)-IF(L286&gt;'Config_v6'!$B$12,'Config_v6'!$B$37,IF(L286&gt;'Config_v6'!$B$11,'Config_v6'!$B$36,0))))</x:f>
      </x:c>
      <x:c r="W286" s="2" t="str">
        <x:f>IF(B286="","",IF(I286&lt;&gt;"READY","NOT RELEASED",IF(NOT(AND(J286="PASS",'Calibrare_Linii'!U6="VALID")),"INVALID",IF(NOT(TRUE),"OOS PENDING",IF(S286&lt;=IF(AND('Calibrare_Linii'!S6="VALIDATED",AND('Calibrare_Linii'!H6=C286,ISNUMBER('Calibrare_Linii'!J6),'Calibrare_Linii'!J6&lt;='Input_Meci'!G26)),'Calibrare_Linii'!E6,'Config_v6'!$B$26),"PASS",IF(S286&lt;=IF(AND('Calibrare_Linii'!S6="VALIDATED",AND('Calibrare_Linii'!H6=C286,ISNUMBER('Calibrare_Linii'!J6),'Calibrare_Linii'!J6&lt;='Input_Meci'!G26)),'Calibrare_Linii'!F6,'Config_v6'!$C$26),"PENALTY","WATCH"))))))</x:f>
      </x:c>
      <x:c r="X286" s="2" t="str">
        <x:f>IF(M286="","",IF(AND(AND(J286="PASS",'Calibrare_Linii'!U6="VALID"),'Motor_Meciuri'!K26=12,'Motor_Meciuri'!L26=12,'Motor_Meciuri'!M26="NO",'Motor_Meciuri'!BL26='Motor_Meciuri'!C26,AB286&gt;='Config_v6'!$B$50,AN286&gt;='Config_v6'!$B$51,T286&lt;='Config_v6'!$B$52,L286&lt;='Config_v6'!$B$53,ISNUMBER('Calibrare_Linii'!E6),S286&lt;='Calibrare_Linii'!E6,SUM(AK286:AM286)&gt;0),"CANDIDATE","NO"))</x:f>
      </x:c>
      <x:c r="Y286" s="2" t="str">
        <x:f>IF(B286="","",IF(I286&lt;&gt;"READY","NOT RELEASED",IF(AND(X286="CANDIDATE",V286&gt;='Config_v6'!$B$51,W286="PASS",'Calibrare_Linii'!T6="VALIDATED",AND('Calibrare_Linii'!H6=C286,ISNUMBER('Calibrare_Linii'!J6),'Calibrare_Linii'!J6&lt;='Input_Meci'!G26)),"PASS",IF(X286="CANDIDATE","OOS PENDING","FAIL"))))</x:f>
      </x:c>
      <x:c r="Z286" s="2" t="str">
        <x:f>IF(B286="","",IF(I286&lt;&gt;"READY","",IF(OR(NOT(AND(J286="PASS",'Calibrare_Linii'!U6="VALID")),L286&gt;'Config_v6'!$B$13,W286="WATCH"),5,IF(Y286="PASS",1,MIN(5,MAX('Config_v6'!$B$42,U286)+IF(W286="PENALTY",1,0))))))</x:f>
      </x:c>
      <x:c r="AA286" s="2" t="str">
        <x:f>IF(B286="","",IF(I286&lt;&gt;"READY","NOT RELEASED",IF(Z286=5,"NO BET",IF(OR(AB286&lt;'Config_v6'!$B$16,V286&lt;'Config_v6'!$B$18),"WATCH",IF(Z286=1,"DEFENSIV",IF(Z286=2,"PRUDENT",IF(Z286=3,"MODERAT","RIDICAT")))))))</x:f>
      </x:c>
      <x:c r="AB286" s="10" t="str">
        <x:f>IF(N286="","",MIN(N286,1-S286))</x:f>
      </x:c>
      <x:c r="AC286" s="2" t="str">
        <x:f>IF(AD286&lt;&gt;1,"",COUNTIFS($Z$286:$Z$299,"&lt;"&amp;Z286,$AD$286:$AD$299,1)+COUNTIFS($Z$286:$Z$299,Z286,$AB$286:$AB$299,"&gt;"&amp;AB286,$AD$286:$AD$299,1)+COUNTIFS($Z$286:$Z$299,Z286,$AB$286:$AB$299,AB286,$V$286:$V$299,"&gt;"&amp;V286,$AD$286:$AD$299,1)+COUNTIFS($Z$286:Z286,Z286,$AB$286:AB286,AB286,$V$286:V286,V286,$AD$286:AD286,1))</x:f>
      </x:c>
      <x:c r="AD286" s="2" t="n">
        <x:f>IF(OR(AA286="DEFENSIV",AA286="PRUDENT",AA286="MODERAT",AA286="RIDICAT"),1,0)</x:f>
        <x:v>0</x:v>
      </x:c>
      <x:c r="AE286" s="2" t="str">
        <x:f>IF(AD286&lt;&gt;1,"NO",IF(W286="PASS","YES",IF(W286="OOS PENDING","CONDITIONAL","NO")))</x:f>
        <x:v>NO</x:v>
      </x:c>
      <x:c r="AF286" s="2" t="n">
        <x:f>IF(AND(AD286=1,AC286=1,E286="LIVE"),1,0)</x:f>
        <x:v>0</x:v>
      </x:c>
      <x:c r="AG286" s="2" t="str">
        <x:f>IF(AF286&lt;&gt;1,"",'Dashboard'!P46)</x:f>
      </x:c>
      <x:c r="AH286" s="2" t="str">
        <x:f>IF(B286="","",IF(J286&lt;&gt;"PASS",'Motor_Meciuri'!J26,IF('Calibrare_Linii'!U6&lt;&gt;"VALID","Parametri linie invalizi",IF(L286&gt;'Config_v6'!$B$13,"Dispersie peste limita",IF(W286="WATCH","Failure peste limita",IF(AB286&lt;'Config_v6'!$B$16,"P finala sub prag",IF(V286&lt;'Config_v6'!$B$18,"Confidence sub prag",IF(E286="REPLAY","Exemplu retrospectiv; exclus din Top LIVE",IF(Y286="PASS","DEFENSIV validat",IF(W286="OOS PENDING","Eligibil; calibrare linie in monitorizare","Eligibil"))))))))))</x:f>
      </x:c>
      <x:c r="AI286" s="2" t="str">
        <x:f>IF(B286="","",'Calibrare_Linii'!V6)</x:f>
      </x:c>
      <x:c r="AJ286" s="2" t="str">
        <x:f>IF(B286="","",IF(AND('Calibrare_Linii'!T6="VALIDATED",AND('Calibrare_Linii'!H6=C286,ISNUMBER('Calibrare_Linii'!J6),'Calibrare_Linii'!J6&lt;='Input_Meci'!G26)),"DEFENSIVE VALIDATED",IF(AND('Calibrare_Linii'!S6="VALIDATED",AND('Calibrare_Linii'!H6=C286,ISNUMBER('Calibrare_Linii'!J6),'Calibrare_Linii'!J6&lt;='Input_Meci'!G26)),"TAIL VALIDATED","OOS PENDING")))</x:f>
      </x:c>
      <x:c r="AK286" s="2" t="n">
        <x:f>IF(J286&lt;&gt;"PASS",0,'Motor_Meciuri'!BR26)</x:f>
        <x:v>0</x:v>
      </x:c>
      <x:c r="AL286" s="2" t="n">
        <x:f>IF(J286&lt;&gt;"PASS",0,'Motor_Meciuri'!BS26)</x:f>
        <x:v>0</x:v>
      </x:c>
      <x:c r="AM286" s="2" t="n">
        <x:f>IF(J286&lt;&gt;"PASS",0,'Motor_Meciuri'!BT26)</x:f>
        <x:v>0</x:v>
      </x:c>
      <x:c r="AN286" s="2" t="str">
        <x:f>IF(M286="","",MAX(0,'Motor_Meciuri'!BF26-IF(L286&gt;'Config_v6'!$B$12,'Config_v6'!$B$37,IF(L286&gt;'Config_v6'!$B$11,'Config_v6'!$B$36,0))))</x:f>
      </x:c>
    </x:row>
    <x:row r="287" ht="21" customHeight="1">
      <x:c r="A287" s="2" t="n">
        <x:v>21</x:v>
      </x:c>
      <x:c r="B287" s="2" t="str">
        <x:f>IF('Motor_Meciuri'!A26="","",'Motor_Meciuri'!A26)</x:f>
      </x:c>
      <x:c r="C287" s="2" t="str">
        <x:f>IF(B287="","",'Motor_Meciuri'!B26)</x:f>
      </x:c>
      <x:c r="D287" s="2" t="str">
        <x:f>IF(B287="","",'Motor_Meciuri'!D26)</x:f>
      </x:c>
      <x:c r="E287" s="2" t="str">
        <x:f>IF(B287="","",'Motor_Meciuri'!E26)</x:f>
      </x:c>
      <x:c r="F287" s="2" t="str">
        <x:v>O4,5</x:v>
      </x:c>
      <x:c r="G287" s="2" t="str">
        <x:v>OVER</x:v>
      </x:c>
      <x:c r="H287" s="2" t="n">
        <x:v>4</x:v>
      </x:c>
      <x:c r="I287" s="2" t="str">
        <x:f>IF(B287="","",'Motor_Meciuri'!H26)</x:f>
      </x:c>
      <x:c r="J287" s="2" t="str">
        <x:f>IF(B287="","",'Motor_Meciuri'!I26)</x:f>
      </x:c>
      <x:c r="K287" s="11" t="str">
        <x:f>IF(J287&lt;&gt;"PASS","",'Motor_Meciuri'!BD26)</x:f>
      </x:c>
      <x:c r="L287" s="11" t="str">
        <x:f>IF(J287&lt;&gt;"PASS","",'Motor_Meciuri'!AU26)</x:f>
      </x:c>
      <x:c r="M287" s="10" t="str">
        <x:f>IF(NOT(AND(J287="PASS",'Calibrare_Linii'!U7="VALID")),"",1-'Distributie'!AB26)</x:f>
      </x:c>
      <x:c r="N287" s="10" t="str">
        <x:f>IF(M287="","",MAX(0.01,MIN(0.99,0.5+(M287-0.5)*'Motor_Meciuri'!BG26*'Calibrare_Linii'!D7)))</x:f>
      </x:c>
      <x:c r="O287" s="10" t="str">
        <x:f>IF(M287="","",1-M287)</x:f>
      </x:c>
      <x:c r="P287" s="10" t="str">
        <x:f>IF(OR(NOT(AND(J287="PASS",'Calibrare_Linii'!U7="VALID")),AK287=0),""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*('Istoric_Nativ'!$Q$6:$Q$405&lt;=H287))/AK287)</x:f>
      </x:c>
      <x:c r="Q287" s="10" t="str">
        <x:f>IF(OR(NOT(AND(J287="PASS",'Calibrare_Linii'!U7="VALID")),AL287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M26)+((('Istoric_Nativ'!$E$6:$E$405='Input_Meci'!E26)+('Istoric_Nativ'!$F$6:$F$405='Input_Meci'!E26))&gt;0)*('Istoric_Nativ'!$D$6:$D$405&gt;='Motor_Meciuri'!BN26))&gt;0)*('Istoric_Nativ'!$Q$6:$Q$405&lt;=H287))/AL287)</x:f>
      </x:c>
      <x:c r="R287" s="10" t="str">
        <x:f>IF(OR(NOT(AND(J287="PASS",'Calibrare_Linii'!U7="VALID")),AM287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O26)+((('Istoric_Nativ'!$E$6:$E$405='Input_Meci'!E26)+('Istoric_Nativ'!$F$6:$F$405='Input_Meci'!E26))&gt;0)*('Istoric_Nativ'!$D$6:$D$405&gt;='Motor_Meciuri'!BP26))&gt;0)*('Istoric_Nativ'!$Q$6:$Q$405&lt;=H287))/AM287)</x:f>
      </x:c>
      <x:c r="S287" s="10" t="str">
        <x:f>IF(M287="","",MAX(O287,P287,Q287,R287))</x:f>
      </x:c>
      <x:c r="T287" s="11" t="str">
        <x:f>IF(M287="","",MIN(100,S287*100*'Config_v6'!$B$44+MIN(100,L287/'Config_v6'!$B$13*100)*'Config_v6'!$B$45+(100-'Motor_Meciuri'!BF26)*'Config_v6'!$B$46+'Motor_Meciuri'!BH26*100*'Config_v6'!$B$47))</x:f>
      </x:c>
      <x:c r="U287" s="2" t="str">
        <x:f>IF(T287="","",IF(T287&lt;=20,1,IF(T287&lt;=40,2,IF(T287&lt;=60,3,IF(T287&lt;=80,4,5)))))</x:f>
      </x:c>
      <x:c r="V287" s="2" t="str">
        <x:f>IF(M287="","",MAX(0,'Motor_Meciuri'!BF26-IF(W287="OOS PENDING",'Config_v6'!$B$35,0)-IF(L287&gt;'Config_v6'!$B$12,'Config_v6'!$B$37,IF(L287&gt;'Config_v6'!$B$11,'Config_v6'!$B$36,0))))</x:f>
      </x:c>
      <x:c r="W287" s="2" t="str">
        <x:f>IF(B287="","",IF(I287&lt;&gt;"READY","NOT RELEASED",IF(NOT(AND(J287="PASS",'Calibrare_Linii'!U7="VALID")),"INVALID",IF(NOT(AND('Calibrare_Linii'!S7="VALIDATED",AND('Calibrare_Linii'!H7=C287,ISNUMBER('Calibrare_Linii'!J7),'Calibrare_Linii'!J7&lt;='Input_Meci'!G26))),"OOS PENDING",IF(S287&lt;='Calibrare_Linii'!E7,"PASS",IF(S287&lt;='Calibrare_Linii'!F7,"PENALTY","WATCH"))))))</x:f>
      </x:c>
      <x:c r="X287" s="2" t="str">
        <x:f>IF(M287="","",IF(AND(AND(J287="PASS",'Calibrare_Linii'!U7="VALID"),'Motor_Meciuri'!K26=12,'Motor_Meciuri'!L26=12,'Motor_Meciuri'!M26="NO",'Motor_Meciuri'!BL26='Motor_Meciuri'!C26,AB287&gt;='Config_v6'!$B$50,AN287&gt;='Config_v6'!$B$51,T287&lt;='Config_v6'!$B$52,L287&lt;='Config_v6'!$B$53,ISNUMBER('Calibrare_Linii'!E7),S287&lt;='Calibrare_Linii'!E7,SUM(AK287:AM287)&gt;0),"CANDIDATE","NO"))</x:f>
      </x:c>
      <x:c r="Y287" s="2" t="str">
        <x:f>IF(B287="","",IF(I287&lt;&gt;"READY","NOT RELEASED",IF(AND(X287="CANDIDATE",V287&gt;='Config_v6'!$B$51,W287="PASS",'Calibrare_Linii'!T7="VALIDATED",AND('Calibrare_Linii'!H7=C287,ISNUMBER('Calibrare_Linii'!J7),'Calibrare_Linii'!J7&lt;='Input_Meci'!G26)),"PASS",IF(X287="CANDIDATE","OOS PENDING","FAIL"))))</x:f>
      </x:c>
      <x:c r="Z287" s="2" t="str">
        <x:f>IF(B287="","",IF(I287&lt;&gt;"READY","",IF(OR(NOT(AND(J287="PASS",'Calibrare_Linii'!U7="VALID")),L287&gt;'Config_v6'!$B$13,W287="WATCH"),5,IF(Y287="PASS",1,MIN(5,MAX('Config_v6'!$B$42,U287)+IF(W287="PENALTY",1,0))))))</x:f>
      </x:c>
      <x:c r="AA287" s="2" t="str">
        <x:f>IF(B287="","",IF(I287&lt;&gt;"READY","NOT RELEASED",IF(Z287=5,"NO BET",IF(OR(AB287&lt;'Config_v6'!$B$16,V287&lt;'Config_v6'!$B$18),"WATCH",IF(Z287=1,"DEFENSIV",IF(Z287=2,"PRUDENT",IF(Z287=3,"MODERAT","RIDICAT")))))))</x:f>
      </x:c>
      <x:c r="AB287" s="10" t="str">
        <x:f>IF(N287="","",MIN(N287,1-S287))</x:f>
      </x:c>
      <x:c r="AC287" s="2" t="str">
        <x:f>IF(AD287&lt;&gt;1,"",COUNTIFS($Z$286:$Z$299,"&lt;"&amp;Z287,$AD$286:$AD$299,1)+COUNTIFS($Z$286:$Z$299,Z287,$AB$286:$AB$299,"&gt;"&amp;AB287,$AD$286:$AD$299,1)+COUNTIFS($Z$286:$Z$299,Z287,$AB$286:$AB$299,AB287,$V$286:$V$299,"&gt;"&amp;V287,$AD$286:$AD$299,1)+COUNTIFS($Z$286:Z287,Z287,$AB$286:AB287,AB287,$V$286:V287,V287,$AD$286:AD287,1))</x:f>
      </x:c>
      <x:c r="AD287" s="2" t="n">
        <x:f>IF(OR(AA287="DEFENSIV",AA287="PRUDENT",AA287="MODERAT",AA287="RIDICAT"),1,0)</x:f>
        <x:v>0</x:v>
      </x:c>
      <x:c r="AE287" s="2" t="str">
        <x:f>IF(AD287&lt;&gt;1,"NO",IF(W287="PASS","YES",IF(W287="OOS PENDING","CONDITIONAL","NO")))</x:f>
        <x:v>NO</x:v>
      </x:c>
      <x:c r="AF287" s="2" t="n">
        <x:f>IF(AND(AD287=1,AC287=1,E287="LIVE"),1,0)</x:f>
        <x:v>0</x:v>
      </x:c>
      <x:c r="AG287" s="2" t="str">
        <x:f>IF(AF287&lt;&gt;1,"",'Dashboard'!P46)</x:f>
      </x:c>
      <x:c r="AH287" s="2" t="str">
        <x:f>IF(B287="","",IF(J287&lt;&gt;"PASS",'Motor_Meciuri'!J26,IF('Calibrare_Linii'!U7&lt;&gt;"VALID","Parametri linie invalizi",IF(L287&gt;'Config_v6'!$B$13,"Dispersie peste limita",IF(W287="WATCH","Failure peste limita",IF(AB287&lt;'Config_v6'!$B$16,"P finala sub prag",IF(V287&lt;'Config_v6'!$B$18,"Confidence sub prag",IF(E287="REPLAY","Exemplu retrospectiv; exclus din Top LIVE",IF(Y287="PASS","DEFENSIV validat",IF(W287="OOS PENDING","Eligibil; calibrare linie in monitorizare","Eligibil"))))))))))</x:f>
      </x:c>
      <x:c r="AI287" s="2" t="str">
        <x:f>IF(B287="","",'Calibrare_Linii'!V7)</x:f>
      </x:c>
      <x:c r="AJ287" s="2" t="str">
        <x:f>IF(B287="","",IF(AND('Calibrare_Linii'!T7="VALIDATED",AND('Calibrare_Linii'!H7=C287,ISNUMBER('Calibrare_Linii'!J7),'Calibrare_Linii'!J7&lt;='Input_Meci'!G26)),"DEFENSIVE VALIDATED",IF(AND('Calibrare_Linii'!S7="VALIDATED",AND('Calibrare_Linii'!H7=C287,ISNUMBER('Calibrare_Linii'!J7),'Calibrare_Linii'!J7&lt;='Input_Meci'!G26)),"TAIL VALIDATED","OOS PENDING")))</x:f>
      </x:c>
      <x:c r="AK287" s="2" t="n">
        <x:f>IF(J287&lt;&gt;"PASS",0,'Motor_Meciuri'!BR26)</x:f>
        <x:v>0</x:v>
      </x:c>
      <x:c r="AL287" s="2" t="n">
        <x:f>IF(J287&lt;&gt;"PASS",0,'Motor_Meciuri'!BS26)</x:f>
        <x:v>0</x:v>
      </x:c>
      <x:c r="AM287" s="2" t="n">
        <x:f>IF(J287&lt;&gt;"PASS",0,'Motor_Meciuri'!BT26)</x:f>
        <x:v>0</x:v>
      </x:c>
      <x:c r="AN287" s="2" t="str">
        <x:f>IF(M287="","",MAX(0,'Motor_Meciuri'!BF26-IF(L287&gt;'Config_v6'!$B$12,'Config_v6'!$B$37,IF(L287&gt;'Config_v6'!$B$11,'Config_v6'!$B$36,0))))</x:f>
      </x:c>
    </x:row>
    <x:row r="288" ht="21" customHeight="1">
      <x:c r="A288" s="2" t="n">
        <x:v>21</x:v>
      </x:c>
      <x:c r="B288" s="2" t="str">
        <x:f>IF('Motor_Meciuri'!A26="","",'Motor_Meciuri'!A26)</x:f>
      </x:c>
      <x:c r="C288" s="2" t="str">
        <x:f>IF(B288="","",'Motor_Meciuri'!B26)</x:f>
      </x:c>
      <x:c r="D288" s="2" t="str">
        <x:f>IF(B288="","",'Motor_Meciuri'!D26)</x:f>
      </x:c>
      <x:c r="E288" s="2" t="str">
        <x:f>IF(B288="","",'Motor_Meciuri'!E26)</x:f>
      </x:c>
      <x:c r="F288" s="2" t="str">
        <x:v>O5,5</x:v>
      </x:c>
      <x:c r="G288" s="2" t="str">
        <x:v>OVER</x:v>
      </x:c>
      <x:c r="H288" s="2" t="n">
        <x:v>5</x:v>
      </x:c>
      <x:c r="I288" s="2" t="str">
        <x:f>IF(B288="","",'Motor_Meciuri'!H26)</x:f>
      </x:c>
      <x:c r="J288" s="2" t="str">
        <x:f>IF(B288="","",'Motor_Meciuri'!I26)</x:f>
      </x:c>
      <x:c r="K288" s="11" t="str">
        <x:f>IF(J288&lt;&gt;"PASS","",'Motor_Meciuri'!BD26)</x:f>
      </x:c>
      <x:c r="L288" s="11" t="str">
        <x:f>IF(J288&lt;&gt;"PASS","",'Motor_Meciuri'!AU26)</x:f>
      </x:c>
      <x:c r="M288" s="10" t="str">
        <x:f>IF(NOT(AND(J288="PASS",'Calibrare_Linii'!U8="VALID")),"",1-'Distributie'!AC26)</x:f>
      </x:c>
      <x:c r="N288" s="10" t="str">
        <x:f>IF(M288="","",MAX(0.01,MIN(0.99,0.5+(M288-0.5)*'Motor_Meciuri'!BG26*'Calibrare_Linii'!D8)))</x:f>
      </x:c>
      <x:c r="O288" s="10" t="str">
        <x:f>IF(M288="","",1-M288)</x:f>
      </x:c>
      <x:c r="P288" s="10" t="str">
        <x:f>IF(OR(NOT(AND(J288="PASS",'Calibrare_Linii'!U8="VALID")),AK288=0),""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*('Istoric_Nativ'!$Q$6:$Q$405&lt;=H288))/AK288)</x:f>
      </x:c>
      <x:c r="Q288" s="10" t="str">
        <x:f>IF(OR(NOT(AND(J288="PASS",'Calibrare_Linii'!U8="VALID")),AL288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M26)+((('Istoric_Nativ'!$E$6:$E$405='Input_Meci'!E26)+('Istoric_Nativ'!$F$6:$F$405='Input_Meci'!E26))&gt;0)*('Istoric_Nativ'!$D$6:$D$405&gt;='Motor_Meciuri'!BN26))&gt;0)*('Istoric_Nativ'!$Q$6:$Q$405&lt;=H288))/AL288)</x:f>
      </x:c>
      <x:c r="R288" s="10" t="str">
        <x:f>IF(OR(NOT(AND(J288="PASS",'Calibrare_Linii'!U8="VALID")),AM288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O26)+((('Istoric_Nativ'!$E$6:$E$405='Input_Meci'!E26)+('Istoric_Nativ'!$F$6:$F$405='Input_Meci'!E26))&gt;0)*('Istoric_Nativ'!$D$6:$D$405&gt;='Motor_Meciuri'!BP26))&gt;0)*('Istoric_Nativ'!$Q$6:$Q$405&lt;=H288))/AM288)</x:f>
      </x:c>
      <x:c r="S288" s="10" t="str">
        <x:f>IF(M288="","",MAX(O288,P288,Q288,R288))</x:f>
      </x:c>
      <x:c r="T288" s="11" t="str">
        <x:f>IF(M288="","",MIN(100,S288*100*'Config_v6'!$B$44+MIN(100,L288/'Config_v6'!$B$13*100)*'Config_v6'!$B$45+(100-'Motor_Meciuri'!BF26)*'Config_v6'!$B$46+'Motor_Meciuri'!BH26*100*'Config_v6'!$B$47))</x:f>
      </x:c>
      <x:c r="U288" s="2" t="str">
        <x:f>IF(T288="","",IF(T288&lt;=20,1,IF(T288&lt;=40,2,IF(T288&lt;=60,3,IF(T288&lt;=80,4,5)))))</x:f>
      </x:c>
      <x:c r="V288" s="2" t="str">
        <x:f>IF(M288="","",MAX(0,'Motor_Meciuri'!BF26-IF(W288="OOS PENDING",'Config_v6'!$B$35,0)-IF(L288&gt;'Config_v6'!$B$12,'Config_v6'!$B$37,IF(L288&gt;'Config_v6'!$B$11,'Config_v6'!$B$36,0))))</x:f>
      </x:c>
      <x:c r="W288" s="2" t="str">
        <x:f>IF(B288="","",IF(I288&lt;&gt;"READY","NOT RELEASED",IF(NOT(AND(J288="PASS",'Calibrare_Linii'!U8="VALID")),"INVALID",IF(NOT(AND('Calibrare_Linii'!S8="VALIDATED",AND('Calibrare_Linii'!H8=C288,ISNUMBER('Calibrare_Linii'!J8),'Calibrare_Linii'!J8&lt;='Input_Meci'!G26))),"OOS PENDING",IF(S288&lt;='Calibrare_Linii'!E8,"PASS",IF(S288&lt;='Calibrare_Linii'!F8,"PENALTY","WATCH"))))))</x:f>
      </x:c>
      <x:c r="X288" s="2" t="str">
        <x:f>IF(M288="","",IF(AND(AND(J288="PASS",'Calibrare_Linii'!U8="VALID"),'Motor_Meciuri'!K26=12,'Motor_Meciuri'!L26=12,'Motor_Meciuri'!M26="NO",'Motor_Meciuri'!BL26='Motor_Meciuri'!C26,AB288&gt;='Config_v6'!$B$50,AN288&gt;='Config_v6'!$B$51,T288&lt;='Config_v6'!$B$52,L288&lt;='Config_v6'!$B$53,ISNUMBER('Calibrare_Linii'!E8),S288&lt;='Calibrare_Linii'!E8,SUM(AK288:AM288)&gt;0),"CANDIDATE","NO"))</x:f>
      </x:c>
      <x:c r="Y288" s="2" t="str">
        <x:f>IF(B288="","",IF(I288&lt;&gt;"READY","NOT RELEASED",IF(AND(X288="CANDIDATE",V288&gt;='Config_v6'!$B$51,W288="PASS",'Calibrare_Linii'!T8="VALIDATED",AND('Calibrare_Linii'!H8=C288,ISNUMBER('Calibrare_Linii'!J8),'Calibrare_Linii'!J8&lt;='Input_Meci'!G26)),"PASS",IF(X288="CANDIDATE","OOS PENDING","FAIL"))))</x:f>
      </x:c>
      <x:c r="Z288" s="2" t="str">
        <x:f>IF(B288="","",IF(I288&lt;&gt;"READY","",IF(OR(NOT(AND(J288="PASS",'Calibrare_Linii'!U8="VALID")),L288&gt;'Config_v6'!$B$13,W288="WATCH"),5,IF(Y288="PASS",1,MIN(5,MAX('Config_v6'!$B$42,U288)+IF(W288="PENALTY",1,0))))))</x:f>
      </x:c>
      <x:c r="AA288" s="2" t="str">
        <x:f>IF(B288="","",IF(I288&lt;&gt;"READY","NOT RELEASED",IF(Z288=5,"NO BET",IF(OR(AB288&lt;'Config_v6'!$B$16,V288&lt;'Config_v6'!$B$18),"WATCH",IF(Z288=1,"DEFENSIV",IF(Z288=2,"PRUDENT",IF(Z288=3,"MODERAT","RIDICAT")))))))</x:f>
      </x:c>
      <x:c r="AB288" s="10" t="str">
        <x:f>IF(N288="","",MIN(N288,1-S288))</x:f>
      </x:c>
      <x:c r="AC288" s="2" t="str">
        <x:f>IF(AD288&lt;&gt;1,"",COUNTIFS($Z$286:$Z$299,"&lt;"&amp;Z288,$AD$286:$AD$299,1)+COUNTIFS($Z$286:$Z$299,Z288,$AB$286:$AB$299,"&gt;"&amp;AB288,$AD$286:$AD$299,1)+COUNTIFS($Z$286:$Z$299,Z288,$AB$286:$AB$299,AB288,$V$286:$V$299,"&gt;"&amp;V288,$AD$286:$AD$299,1)+COUNTIFS($Z$286:Z288,Z288,$AB$286:AB288,AB288,$V$286:V288,V288,$AD$286:AD288,1))</x:f>
      </x:c>
      <x:c r="AD288" s="2" t="n">
        <x:f>IF(OR(AA288="DEFENSIV",AA288="PRUDENT",AA288="MODERAT",AA288="RIDICAT"),1,0)</x:f>
        <x:v>0</x:v>
      </x:c>
      <x:c r="AE288" s="2" t="str">
        <x:f>IF(AD288&lt;&gt;1,"NO",IF(W288="PASS","YES",IF(W288="OOS PENDING","CONDITIONAL","NO")))</x:f>
        <x:v>NO</x:v>
      </x:c>
      <x:c r="AF288" s="2" t="n">
        <x:f>IF(AND(AD288=1,AC288=1,E288="LIVE"),1,0)</x:f>
        <x:v>0</x:v>
      </x:c>
      <x:c r="AG288" s="2" t="str">
        <x:f>IF(AF288&lt;&gt;1,"",'Dashboard'!P46)</x:f>
      </x:c>
      <x:c r="AH288" s="2" t="str">
        <x:f>IF(B288="","",IF(J288&lt;&gt;"PASS",'Motor_Meciuri'!J26,IF('Calibrare_Linii'!U8&lt;&gt;"VALID","Parametri linie invalizi",IF(L288&gt;'Config_v6'!$B$13,"Dispersie peste limita",IF(W288="WATCH","Failure peste limita",IF(AB288&lt;'Config_v6'!$B$16,"P finala sub prag",IF(V288&lt;'Config_v6'!$B$18,"Confidence sub prag",IF(E288="REPLAY","Exemplu retrospectiv; exclus din Top LIVE",IF(Y288="PASS","DEFENSIV validat",IF(W288="OOS PENDING","Eligibil; calibrare linie in monitorizare","Eligibil"))))))))))</x:f>
      </x:c>
      <x:c r="AI288" s="2" t="str">
        <x:f>IF(B288="","",'Calibrare_Linii'!V8)</x:f>
      </x:c>
      <x:c r="AJ288" s="2" t="str">
        <x:f>IF(B288="","",IF(AND('Calibrare_Linii'!T8="VALIDATED",AND('Calibrare_Linii'!H8=C288,ISNUMBER('Calibrare_Linii'!J8),'Calibrare_Linii'!J8&lt;='Input_Meci'!G26)),"DEFENSIVE VALIDATED",IF(AND('Calibrare_Linii'!S8="VALIDATED",AND('Calibrare_Linii'!H8=C288,ISNUMBER('Calibrare_Linii'!J8),'Calibrare_Linii'!J8&lt;='Input_Meci'!G26)),"TAIL VALIDATED","OOS PENDING")))</x:f>
      </x:c>
      <x:c r="AK288" s="2" t="n">
        <x:f>IF(J288&lt;&gt;"PASS",0,'Motor_Meciuri'!BR26)</x:f>
        <x:v>0</x:v>
      </x:c>
      <x:c r="AL288" s="2" t="n">
        <x:f>IF(J288&lt;&gt;"PASS",0,'Motor_Meciuri'!BS26)</x:f>
        <x:v>0</x:v>
      </x:c>
      <x:c r="AM288" s="2" t="n">
        <x:f>IF(J288&lt;&gt;"PASS",0,'Motor_Meciuri'!BT26)</x:f>
        <x:v>0</x:v>
      </x:c>
      <x:c r="AN288" s="2" t="str">
        <x:f>IF(M288="","",MAX(0,'Motor_Meciuri'!BF26-IF(L288&gt;'Config_v6'!$B$12,'Config_v6'!$B$37,IF(L288&gt;'Config_v6'!$B$11,'Config_v6'!$B$36,0))))</x:f>
      </x:c>
    </x:row>
    <x:row r="289" ht="21" customHeight="1">
      <x:c r="A289" s="2" t="n">
        <x:v>21</x:v>
      </x:c>
      <x:c r="B289" s="2" t="str">
        <x:f>IF('Motor_Meciuri'!A26="","",'Motor_Meciuri'!A26)</x:f>
      </x:c>
      <x:c r="C289" s="2" t="str">
        <x:f>IF(B289="","",'Motor_Meciuri'!B26)</x:f>
      </x:c>
      <x:c r="D289" s="2" t="str">
        <x:f>IF(B289="","",'Motor_Meciuri'!D26)</x:f>
      </x:c>
      <x:c r="E289" s="2" t="str">
        <x:f>IF(B289="","",'Motor_Meciuri'!E26)</x:f>
      </x:c>
      <x:c r="F289" s="2" t="str">
        <x:v>O6,5</x:v>
      </x:c>
      <x:c r="G289" s="2" t="str">
        <x:v>OVER</x:v>
      </x:c>
      <x:c r="H289" s="2" t="n">
        <x:v>6</x:v>
      </x:c>
      <x:c r="I289" s="2" t="str">
        <x:f>IF(B289="","",'Motor_Meciuri'!H26)</x:f>
      </x:c>
      <x:c r="J289" s="2" t="str">
        <x:f>IF(B289="","",'Motor_Meciuri'!I26)</x:f>
      </x:c>
      <x:c r="K289" s="11" t="str">
        <x:f>IF(J289&lt;&gt;"PASS","",'Motor_Meciuri'!BD26)</x:f>
      </x:c>
      <x:c r="L289" s="11" t="str">
        <x:f>IF(J289&lt;&gt;"PASS","",'Motor_Meciuri'!AU26)</x:f>
      </x:c>
      <x:c r="M289" s="10" t="str">
        <x:f>IF(NOT(AND(J289="PASS",'Calibrare_Linii'!U9="VALID")),"",1-'Distributie'!AD26)</x:f>
      </x:c>
      <x:c r="N289" s="10" t="str">
        <x:f>IF(M289="","",MAX(0.01,MIN(0.99,0.5+(M289-0.5)*'Motor_Meciuri'!BG26*'Calibrare_Linii'!D9)))</x:f>
      </x:c>
      <x:c r="O289" s="10" t="str">
        <x:f>IF(M289="","",1-M289)</x:f>
      </x:c>
      <x:c r="P289" s="10" t="str">
        <x:f>IF(OR(NOT(AND(J289="PASS",'Calibrare_Linii'!U9="VALID")),AK289=0),""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*('Istoric_Nativ'!$Q$6:$Q$405&lt;=H289))/AK289)</x:f>
      </x:c>
      <x:c r="Q289" s="10" t="str">
        <x:f>IF(OR(NOT(AND(J289="PASS",'Calibrare_Linii'!U9="VALID")),AL289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M26)+((('Istoric_Nativ'!$E$6:$E$405='Input_Meci'!E26)+('Istoric_Nativ'!$F$6:$F$405='Input_Meci'!E26))&gt;0)*('Istoric_Nativ'!$D$6:$D$405&gt;='Motor_Meciuri'!BN26))&gt;0)*('Istoric_Nativ'!$Q$6:$Q$405&lt;=H289))/AL289)</x:f>
      </x:c>
      <x:c r="R289" s="10" t="str">
        <x:f>IF(OR(NOT(AND(J289="PASS",'Calibrare_Linii'!U9="VALID")),AM289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O26)+((('Istoric_Nativ'!$E$6:$E$405='Input_Meci'!E26)+('Istoric_Nativ'!$F$6:$F$405='Input_Meci'!E26))&gt;0)*('Istoric_Nativ'!$D$6:$D$405&gt;='Motor_Meciuri'!BP26))&gt;0)*('Istoric_Nativ'!$Q$6:$Q$405&lt;=H289))/AM289)</x:f>
      </x:c>
      <x:c r="S289" s="10" t="str">
        <x:f>IF(M289="","",MAX(O289,P289,Q289,R289))</x:f>
      </x:c>
      <x:c r="T289" s="11" t="str">
        <x:f>IF(M289="","",MIN(100,S289*100*'Config_v6'!$B$44+MIN(100,L289/'Config_v6'!$B$13*100)*'Config_v6'!$B$45+(100-'Motor_Meciuri'!BF26)*'Config_v6'!$B$46+'Motor_Meciuri'!BH26*100*'Config_v6'!$B$47))</x:f>
      </x:c>
      <x:c r="U289" s="2" t="str">
        <x:f>IF(T289="","",IF(T289&lt;=20,1,IF(T289&lt;=40,2,IF(T289&lt;=60,3,IF(T289&lt;=80,4,5)))))</x:f>
      </x:c>
      <x:c r="V289" s="2" t="str">
        <x:f>IF(M289="","",MAX(0,'Motor_Meciuri'!BF26-IF(W289="OOS PENDING",'Config_v6'!$B$35,0)-IF(L289&gt;'Config_v6'!$B$12,'Config_v6'!$B$37,IF(L289&gt;'Config_v6'!$B$11,'Config_v6'!$B$36,0))))</x:f>
      </x:c>
      <x:c r="W289" s="2" t="str">
        <x:f>IF(B289="","",IF(I289&lt;&gt;"READY","NOT RELEASED",IF(NOT(AND(J289="PASS",'Calibrare_Linii'!U9="VALID")),"INVALID",IF(NOT(AND('Calibrare_Linii'!S9="VALIDATED",AND('Calibrare_Linii'!H9=C289,ISNUMBER('Calibrare_Linii'!J9),'Calibrare_Linii'!J9&lt;='Input_Meci'!G26))),"OOS PENDING",IF(S289&lt;='Calibrare_Linii'!E9,"PASS",IF(S289&lt;='Calibrare_Linii'!F9,"PENALTY","WATCH"))))))</x:f>
      </x:c>
      <x:c r="X289" s="2" t="str">
        <x:f>IF(M289="","",IF(AND(AND(J289="PASS",'Calibrare_Linii'!U9="VALID"),'Motor_Meciuri'!K26=12,'Motor_Meciuri'!L26=12,'Motor_Meciuri'!M26="NO",'Motor_Meciuri'!BL26='Motor_Meciuri'!C26,AB289&gt;='Config_v6'!$B$50,AN289&gt;='Config_v6'!$B$51,T289&lt;='Config_v6'!$B$52,L289&lt;='Config_v6'!$B$53,ISNUMBER('Calibrare_Linii'!E9),S289&lt;='Calibrare_Linii'!E9,SUM(AK289:AM289)&gt;0),"CANDIDATE","NO"))</x:f>
      </x:c>
      <x:c r="Y289" s="2" t="str">
        <x:f>IF(B289="","",IF(I289&lt;&gt;"READY","NOT RELEASED",IF(AND(X289="CANDIDATE",V289&gt;='Config_v6'!$B$51,W289="PASS",'Calibrare_Linii'!T9="VALIDATED",AND('Calibrare_Linii'!H9=C289,ISNUMBER('Calibrare_Linii'!J9),'Calibrare_Linii'!J9&lt;='Input_Meci'!G26)),"PASS",IF(X289="CANDIDATE","OOS PENDING","FAIL"))))</x:f>
      </x:c>
      <x:c r="Z289" s="2" t="str">
        <x:f>IF(B289="","",IF(I289&lt;&gt;"READY","",IF(OR(NOT(AND(J289="PASS",'Calibrare_Linii'!U9="VALID")),L289&gt;'Config_v6'!$B$13,W289="WATCH"),5,IF(Y289="PASS",1,MIN(5,MAX('Config_v6'!$B$42,U289)+IF(W289="PENALTY",1,0))))))</x:f>
      </x:c>
      <x:c r="AA289" s="2" t="str">
        <x:f>IF(B289="","",IF(I289&lt;&gt;"READY","NOT RELEASED",IF(Z289=5,"NO BET",IF(OR(AB289&lt;'Config_v6'!$B$16,V289&lt;'Config_v6'!$B$18),"WATCH",IF(Z289=1,"DEFENSIV",IF(Z289=2,"PRUDENT",IF(Z289=3,"MODERAT","RIDICAT")))))))</x:f>
      </x:c>
      <x:c r="AB289" s="10" t="str">
        <x:f>IF(N289="","",MIN(N289,1-S289))</x:f>
      </x:c>
      <x:c r="AC289" s="2" t="str">
        <x:f>IF(AD289&lt;&gt;1,"",COUNTIFS($Z$286:$Z$299,"&lt;"&amp;Z289,$AD$286:$AD$299,1)+COUNTIFS($Z$286:$Z$299,Z289,$AB$286:$AB$299,"&gt;"&amp;AB289,$AD$286:$AD$299,1)+COUNTIFS($Z$286:$Z$299,Z289,$AB$286:$AB$299,AB289,$V$286:$V$299,"&gt;"&amp;V289,$AD$286:$AD$299,1)+COUNTIFS($Z$286:Z289,Z289,$AB$286:AB289,AB289,$V$286:V289,V289,$AD$286:AD289,1))</x:f>
      </x:c>
      <x:c r="AD289" s="2" t="n">
        <x:f>IF(OR(AA289="DEFENSIV",AA289="PRUDENT",AA289="MODERAT",AA289="RIDICAT"),1,0)</x:f>
        <x:v>0</x:v>
      </x:c>
      <x:c r="AE289" s="2" t="str">
        <x:f>IF(AD289&lt;&gt;1,"NO",IF(W289="PASS","YES",IF(W289="OOS PENDING","CONDITIONAL","NO")))</x:f>
        <x:v>NO</x:v>
      </x:c>
      <x:c r="AF289" s="2" t="n">
        <x:f>IF(AND(AD289=1,AC289=1,E289="LIVE"),1,0)</x:f>
        <x:v>0</x:v>
      </x:c>
      <x:c r="AG289" s="2" t="str">
        <x:f>IF(AF289&lt;&gt;1,"",'Dashboard'!P46)</x:f>
      </x:c>
      <x:c r="AH289" s="2" t="str">
        <x:f>IF(B289="","",IF(J289&lt;&gt;"PASS",'Motor_Meciuri'!J26,IF('Calibrare_Linii'!U9&lt;&gt;"VALID","Parametri linie invalizi",IF(L289&gt;'Config_v6'!$B$13,"Dispersie peste limita",IF(W289="WATCH","Failure peste limita",IF(AB289&lt;'Config_v6'!$B$16,"P finala sub prag",IF(V289&lt;'Config_v6'!$B$18,"Confidence sub prag",IF(E289="REPLAY","Exemplu retrospectiv; exclus din Top LIVE",IF(Y289="PASS","DEFENSIV validat",IF(W289="OOS PENDING","Eligibil; calibrare linie in monitorizare","Eligibil"))))))))))</x:f>
      </x:c>
      <x:c r="AI289" s="2" t="str">
        <x:f>IF(B289="","",'Calibrare_Linii'!V9)</x:f>
      </x:c>
      <x:c r="AJ289" s="2" t="str">
        <x:f>IF(B289="","",IF(AND('Calibrare_Linii'!T9="VALIDATED",AND('Calibrare_Linii'!H9=C289,ISNUMBER('Calibrare_Linii'!J9),'Calibrare_Linii'!J9&lt;='Input_Meci'!G26)),"DEFENSIVE VALIDATED",IF(AND('Calibrare_Linii'!S9="VALIDATED",AND('Calibrare_Linii'!H9=C289,ISNUMBER('Calibrare_Linii'!J9),'Calibrare_Linii'!J9&lt;='Input_Meci'!G26)),"TAIL VALIDATED","OOS PENDING")))</x:f>
      </x:c>
      <x:c r="AK289" s="2" t="n">
        <x:f>IF(J289&lt;&gt;"PASS",0,'Motor_Meciuri'!BR26)</x:f>
        <x:v>0</x:v>
      </x:c>
      <x:c r="AL289" s="2" t="n">
        <x:f>IF(J289&lt;&gt;"PASS",0,'Motor_Meciuri'!BS26)</x:f>
        <x:v>0</x:v>
      </x:c>
      <x:c r="AM289" s="2" t="n">
        <x:f>IF(J289&lt;&gt;"PASS",0,'Motor_Meciuri'!BT26)</x:f>
        <x:v>0</x:v>
      </x:c>
      <x:c r="AN289" s="2" t="str">
        <x:f>IF(M289="","",MAX(0,'Motor_Meciuri'!BF26-IF(L289&gt;'Config_v6'!$B$12,'Config_v6'!$B$37,IF(L289&gt;'Config_v6'!$B$11,'Config_v6'!$B$36,0))))</x:f>
      </x:c>
    </x:row>
    <x:row r="290" ht="21" customHeight="1">
      <x:c r="A290" s="2" t="n">
        <x:v>21</x:v>
      </x:c>
      <x:c r="B290" s="2" t="str">
        <x:f>IF('Motor_Meciuri'!A26="","",'Motor_Meciuri'!A26)</x:f>
      </x:c>
      <x:c r="C290" s="2" t="str">
        <x:f>IF(B290="","",'Motor_Meciuri'!B26)</x:f>
      </x:c>
      <x:c r="D290" s="2" t="str">
        <x:f>IF(B290="","",'Motor_Meciuri'!D26)</x:f>
      </x:c>
      <x:c r="E290" s="2" t="str">
        <x:f>IF(B290="","",'Motor_Meciuri'!E26)</x:f>
      </x:c>
      <x:c r="F290" s="2" t="str">
        <x:v>O7,5</x:v>
      </x:c>
      <x:c r="G290" s="2" t="str">
        <x:v>OVER</x:v>
      </x:c>
      <x:c r="H290" s="2" t="n">
        <x:v>7</x:v>
      </x:c>
      <x:c r="I290" s="2" t="str">
        <x:f>IF(B290="","",'Motor_Meciuri'!H26)</x:f>
      </x:c>
      <x:c r="J290" s="2" t="str">
        <x:f>IF(B290="","",'Motor_Meciuri'!I26)</x:f>
      </x:c>
      <x:c r="K290" s="11" t="str">
        <x:f>IF(J290&lt;&gt;"PASS","",'Motor_Meciuri'!BD26)</x:f>
      </x:c>
      <x:c r="L290" s="11" t="str">
        <x:f>IF(J290&lt;&gt;"PASS","",'Motor_Meciuri'!AU26)</x:f>
      </x:c>
      <x:c r="M290" s="10" t="str">
        <x:f>IF(NOT(AND(J290="PASS",'Calibrare_Linii'!U10="VALID")),"",1-'Distributie'!AE26)</x:f>
      </x:c>
      <x:c r="N290" s="10" t="str">
        <x:f>IF(M290="","",MAX(0.01,MIN(0.99,0.5+(M290-0.5)*'Motor_Meciuri'!BG26*'Calibrare_Linii'!D10)))</x:f>
      </x:c>
      <x:c r="O290" s="10" t="str">
        <x:f>IF(M290="","",1-M290)</x:f>
      </x:c>
      <x:c r="P290" s="10" t="str">
        <x:f>IF(OR(NOT(AND(J290="PASS",'Calibrare_Linii'!U10="VALID")),AK290=0),""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*('Istoric_Nativ'!$Q$6:$Q$405&lt;=H290))/AK290)</x:f>
      </x:c>
      <x:c r="Q290" s="10" t="str">
        <x:f>IF(OR(NOT(AND(J290="PASS",'Calibrare_Linii'!U10="VALID")),AL290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M26)+((('Istoric_Nativ'!$E$6:$E$405='Input_Meci'!E26)+('Istoric_Nativ'!$F$6:$F$405='Input_Meci'!E26))&gt;0)*('Istoric_Nativ'!$D$6:$D$405&gt;='Motor_Meciuri'!BN26))&gt;0)*('Istoric_Nativ'!$Q$6:$Q$405&lt;=H290))/AL290)</x:f>
      </x:c>
      <x:c r="R290" s="10" t="str">
        <x:f>IF(OR(NOT(AND(J290="PASS",'Calibrare_Linii'!U10="VALID")),AM290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O26)+((('Istoric_Nativ'!$E$6:$E$405='Input_Meci'!E26)+('Istoric_Nativ'!$F$6:$F$405='Input_Meci'!E26))&gt;0)*('Istoric_Nativ'!$D$6:$D$405&gt;='Motor_Meciuri'!BP26))&gt;0)*('Istoric_Nativ'!$Q$6:$Q$405&lt;=H290))/AM290)</x:f>
      </x:c>
      <x:c r="S290" s="10" t="str">
        <x:f>IF(M290="","",MAX(O290,P290,Q290,R290))</x:f>
      </x:c>
      <x:c r="T290" s="11" t="str">
        <x:f>IF(M290="","",MIN(100,S290*100*'Config_v6'!$B$44+MIN(100,L290/'Config_v6'!$B$13*100)*'Config_v6'!$B$45+(100-'Motor_Meciuri'!BF26)*'Config_v6'!$B$46+'Motor_Meciuri'!BH26*100*'Config_v6'!$B$47))</x:f>
      </x:c>
      <x:c r="U290" s="2" t="str">
        <x:f>IF(T290="","",IF(T290&lt;=20,1,IF(T290&lt;=40,2,IF(T290&lt;=60,3,IF(T290&lt;=80,4,5)))))</x:f>
      </x:c>
      <x:c r="V290" s="2" t="str">
        <x:f>IF(M290="","",MAX(0,'Motor_Meciuri'!BF26-IF(W290="OOS PENDING",'Config_v6'!$B$35,0)-IF(L290&gt;'Config_v6'!$B$12,'Config_v6'!$B$37,IF(L290&gt;'Config_v6'!$B$11,'Config_v6'!$B$36,0))))</x:f>
      </x:c>
      <x:c r="W290" s="2" t="str">
        <x:f>IF(B290="","",IF(I290&lt;&gt;"READY","NOT RELEASED",IF(NOT(AND(J290="PASS",'Calibrare_Linii'!U10="VALID")),"INVALID",IF(NOT(AND('Calibrare_Linii'!S10="VALIDATED",AND('Calibrare_Linii'!H10=C290,ISNUMBER('Calibrare_Linii'!J10),'Calibrare_Linii'!J10&lt;='Input_Meci'!G26))),"OOS PENDING",IF(S290&lt;='Calibrare_Linii'!E10,"PASS",IF(S290&lt;='Calibrare_Linii'!F10,"PENALTY","WATCH"))))))</x:f>
      </x:c>
      <x:c r="X290" s="2" t="str">
        <x:f>IF(M290="","",IF(AND(AND(J290="PASS",'Calibrare_Linii'!U10="VALID"),'Motor_Meciuri'!K26=12,'Motor_Meciuri'!L26=12,'Motor_Meciuri'!M26="NO",'Motor_Meciuri'!BL26='Motor_Meciuri'!C26,AB290&gt;='Config_v6'!$B$50,AN290&gt;='Config_v6'!$B$51,T290&lt;='Config_v6'!$B$52,L290&lt;='Config_v6'!$B$53,ISNUMBER('Calibrare_Linii'!E10),S290&lt;='Calibrare_Linii'!E10,SUM(AK290:AM290)&gt;0),"CANDIDATE","NO"))</x:f>
      </x:c>
      <x:c r="Y290" s="2" t="str">
        <x:f>IF(B290="","",IF(I290&lt;&gt;"READY","NOT RELEASED",IF(AND(X290="CANDIDATE",V290&gt;='Config_v6'!$B$51,W290="PASS",'Calibrare_Linii'!T10="VALIDATED",AND('Calibrare_Linii'!H10=C290,ISNUMBER('Calibrare_Linii'!J10),'Calibrare_Linii'!J10&lt;='Input_Meci'!G26)),"PASS",IF(X290="CANDIDATE","OOS PENDING","FAIL"))))</x:f>
      </x:c>
      <x:c r="Z290" s="2" t="str">
        <x:f>IF(B290="","",IF(I290&lt;&gt;"READY","",IF(OR(NOT(AND(J290="PASS",'Calibrare_Linii'!U10="VALID")),L290&gt;'Config_v6'!$B$13,W290="WATCH"),5,IF(Y290="PASS",1,MIN(5,MAX('Config_v6'!$B$42,U290)+IF(W290="PENALTY",1,0))))))</x:f>
      </x:c>
      <x:c r="AA290" s="2" t="str">
        <x:f>IF(B290="","",IF(I290&lt;&gt;"READY","NOT RELEASED",IF(Z290=5,"NO BET",IF(OR(AB290&lt;'Config_v6'!$B$16,V290&lt;'Config_v6'!$B$18),"WATCH",IF(Z290=1,"DEFENSIV",IF(Z290=2,"PRUDENT",IF(Z290=3,"MODERAT","RIDICAT")))))))</x:f>
      </x:c>
      <x:c r="AB290" s="10" t="str">
        <x:f>IF(N290="","",MIN(N290,1-S290))</x:f>
      </x:c>
      <x:c r="AC290" s="2" t="str">
        <x:f>IF(AD290&lt;&gt;1,"",COUNTIFS($Z$286:$Z$299,"&lt;"&amp;Z290,$AD$286:$AD$299,1)+COUNTIFS($Z$286:$Z$299,Z290,$AB$286:$AB$299,"&gt;"&amp;AB290,$AD$286:$AD$299,1)+COUNTIFS($Z$286:$Z$299,Z290,$AB$286:$AB$299,AB290,$V$286:$V$299,"&gt;"&amp;V290,$AD$286:$AD$299,1)+COUNTIFS($Z$286:Z290,Z290,$AB$286:AB290,AB290,$V$286:V290,V290,$AD$286:AD290,1))</x:f>
      </x:c>
      <x:c r="AD290" s="2" t="n">
        <x:f>IF(OR(AA290="DEFENSIV",AA290="PRUDENT",AA290="MODERAT",AA290="RIDICAT"),1,0)</x:f>
        <x:v>0</x:v>
      </x:c>
      <x:c r="AE290" s="2" t="str">
        <x:f>IF(AD290&lt;&gt;1,"NO",IF(W290="PASS","YES",IF(W290="OOS PENDING","CONDITIONAL","NO")))</x:f>
        <x:v>NO</x:v>
      </x:c>
      <x:c r="AF290" s="2" t="n">
        <x:f>IF(AND(AD290=1,AC290=1,E290="LIVE"),1,0)</x:f>
        <x:v>0</x:v>
      </x:c>
      <x:c r="AG290" s="2" t="str">
        <x:f>IF(AF290&lt;&gt;1,"",'Dashboard'!P46)</x:f>
      </x:c>
      <x:c r="AH290" s="2" t="str">
        <x:f>IF(B290="","",IF(J290&lt;&gt;"PASS",'Motor_Meciuri'!J26,IF('Calibrare_Linii'!U10&lt;&gt;"VALID","Parametri linie invalizi",IF(L290&gt;'Config_v6'!$B$13,"Dispersie peste limita",IF(W290="WATCH","Failure peste limita",IF(AB290&lt;'Config_v6'!$B$16,"P finala sub prag",IF(V290&lt;'Config_v6'!$B$18,"Confidence sub prag",IF(E290="REPLAY","Exemplu retrospectiv; exclus din Top LIVE",IF(Y290="PASS","DEFENSIV validat",IF(W290="OOS PENDING","Eligibil; calibrare linie in monitorizare","Eligibil"))))))))))</x:f>
      </x:c>
      <x:c r="AI290" s="2" t="str">
        <x:f>IF(B290="","",'Calibrare_Linii'!V10)</x:f>
      </x:c>
      <x:c r="AJ290" s="2" t="str">
        <x:f>IF(B290="","",IF(AND('Calibrare_Linii'!T10="VALIDATED",AND('Calibrare_Linii'!H10=C290,ISNUMBER('Calibrare_Linii'!J10),'Calibrare_Linii'!J10&lt;='Input_Meci'!G26)),"DEFENSIVE VALIDATED",IF(AND('Calibrare_Linii'!S10="VALIDATED",AND('Calibrare_Linii'!H10=C290,ISNUMBER('Calibrare_Linii'!J10),'Calibrare_Linii'!J10&lt;='Input_Meci'!G26)),"TAIL VALIDATED","OOS PENDING")))</x:f>
      </x:c>
      <x:c r="AK290" s="2" t="n">
        <x:f>IF(J290&lt;&gt;"PASS",0,'Motor_Meciuri'!BR26)</x:f>
        <x:v>0</x:v>
      </x:c>
      <x:c r="AL290" s="2" t="n">
        <x:f>IF(J290&lt;&gt;"PASS",0,'Motor_Meciuri'!BS26)</x:f>
        <x:v>0</x:v>
      </x:c>
      <x:c r="AM290" s="2" t="n">
        <x:f>IF(J290&lt;&gt;"PASS",0,'Motor_Meciuri'!BT26)</x:f>
        <x:v>0</x:v>
      </x:c>
      <x:c r="AN290" s="2" t="str">
        <x:f>IF(M290="","",MAX(0,'Motor_Meciuri'!BF26-IF(L290&gt;'Config_v6'!$B$12,'Config_v6'!$B$37,IF(L290&gt;'Config_v6'!$B$11,'Config_v6'!$B$36,0))))</x:f>
      </x:c>
    </x:row>
    <x:row r="291" ht="21" customHeight="1">
      <x:c r="A291" s="2" t="n">
        <x:v>21</x:v>
      </x:c>
      <x:c r="B291" s="2" t="str">
        <x:f>IF('Motor_Meciuri'!A26="","",'Motor_Meciuri'!A26)</x:f>
      </x:c>
      <x:c r="C291" s="2" t="str">
        <x:f>IF(B291="","",'Motor_Meciuri'!B26)</x:f>
      </x:c>
      <x:c r="D291" s="2" t="str">
        <x:f>IF(B291="","",'Motor_Meciuri'!D26)</x:f>
      </x:c>
      <x:c r="E291" s="2" t="str">
        <x:f>IF(B291="","",'Motor_Meciuri'!E26)</x:f>
      </x:c>
      <x:c r="F291" s="2" t="str">
        <x:v>O8,5</x:v>
      </x:c>
      <x:c r="G291" s="2" t="str">
        <x:v>OVER</x:v>
      </x:c>
      <x:c r="H291" s="2" t="n">
        <x:v>8</x:v>
      </x:c>
      <x:c r="I291" s="2" t="str">
        <x:f>IF(B291="","",'Motor_Meciuri'!H26)</x:f>
      </x:c>
      <x:c r="J291" s="2" t="str">
        <x:f>IF(B291="","",'Motor_Meciuri'!I26)</x:f>
      </x:c>
      <x:c r="K291" s="11" t="str">
        <x:f>IF(J291&lt;&gt;"PASS","",'Motor_Meciuri'!BD26)</x:f>
      </x:c>
      <x:c r="L291" s="11" t="str">
        <x:f>IF(J291&lt;&gt;"PASS","",'Motor_Meciuri'!AU26)</x:f>
      </x:c>
      <x:c r="M291" s="10" t="str">
        <x:f>IF(NOT(AND(J291="PASS",'Calibrare_Linii'!U11="VALID")),"",1-'Distributie'!AF26)</x:f>
      </x:c>
      <x:c r="N291" s="10" t="str">
        <x:f>IF(M291="","",MAX(0.01,MIN(0.99,0.5+(M291-0.5)*'Motor_Meciuri'!BG26*'Calibrare_Linii'!D11)))</x:f>
      </x:c>
      <x:c r="O291" s="10" t="str">
        <x:f>IF(M291="","",1-M291)</x:f>
      </x:c>
      <x:c r="P291" s="10" t="str">
        <x:f>IF(OR(NOT(AND(J291="PASS",'Calibrare_Linii'!U11="VALID")),AK291=0),""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*('Istoric_Nativ'!$Q$6:$Q$405&lt;=H291))/AK291)</x:f>
      </x:c>
      <x:c r="Q291" s="10" t="str">
        <x:f>IF(OR(NOT(AND(J291="PASS",'Calibrare_Linii'!U11="VALID")),AL291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M26)+((('Istoric_Nativ'!$E$6:$E$405='Input_Meci'!E26)+('Istoric_Nativ'!$F$6:$F$405='Input_Meci'!E26))&gt;0)*('Istoric_Nativ'!$D$6:$D$405&gt;='Motor_Meciuri'!BN26))&gt;0)*('Istoric_Nativ'!$Q$6:$Q$405&lt;=H291))/AL291)</x:f>
      </x:c>
      <x:c r="R291" s="10" t="str">
        <x:f>IF(OR(NOT(AND(J291="PASS",'Calibrare_Linii'!U11="VALID")),AM291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O26)+((('Istoric_Nativ'!$E$6:$E$405='Input_Meci'!E26)+('Istoric_Nativ'!$F$6:$F$405='Input_Meci'!E26))&gt;0)*('Istoric_Nativ'!$D$6:$D$405&gt;='Motor_Meciuri'!BP26))&gt;0)*('Istoric_Nativ'!$Q$6:$Q$405&lt;=H291))/AM291)</x:f>
      </x:c>
      <x:c r="S291" s="10" t="str">
        <x:f>IF(M291="","",MAX(O291,P291,Q291,R291))</x:f>
      </x:c>
      <x:c r="T291" s="11" t="str">
        <x:f>IF(M291="","",MIN(100,S291*100*'Config_v6'!$B$44+MIN(100,L291/'Config_v6'!$B$13*100)*'Config_v6'!$B$45+(100-'Motor_Meciuri'!BF26)*'Config_v6'!$B$46+'Motor_Meciuri'!BH26*100*'Config_v6'!$B$47))</x:f>
      </x:c>
      <x:c r="U291" s="2" t="str">
        <x:f>IF(T291="","",IF(T291&lt;=20,1,IF(T291&lt;=40,2,IF(T291&lt;=60,3,IF(T291&lt;=80,4,5)))))</x:f>
      </x:c>
      <x:c r="V291" s="2" t="str">
        <x:f>IF(M291="","",MAX(0,'Motor_Meciuri'!BF26-IF(W291="OOS PENDING",'Config_v6'!$B$35,0)-IF(L291&gt;'Config_v6'!$B$12,'Config_v6'!$B$37,IF(L291&gt;'Config_v6'!$B$11,'Config_v6'!$B$36,0))))</x:f>
      </x:c>
      <x:c r="W291" s="2" t="str">
        <x:f>IF(B291="","",IF(I291&lt;&gt;"READY","NOT RELEASED",IF(NOT(AND(J291="PASS",'Calibrare_Linii'!U11="VALID")),"INVALID",IF(NOT(AND('Calibrare_Linii'!S11="VALIDATED",AND('Calibrare_Linii'!H11=C291,ISNUMBER('Calibrare_Linii'!J11),'Calibrare_Linii'!J11&lt;='Input_Meci'!G26))),"OOS PENDING",IF(S291&lt;='Calibrare_Linii'!E11,"PASS",IF(S291&lt;='Calibrare_Linii'!F11,"PENALTY","WATCH"))))))</x:f>
      </x:c>
      <x:c r="X291" s="2" t="str">
        <x:f>IF(M291="","",IF(AND(AND(J291="PASS",'Calibrare_Linii'!U11="VALID"),'Motor_Meciuri'!K26=12,'Motor_Meciuri'!L26=12,'Motor_Meciuri'!M26="NO",'Motor_Meciuri'!BL26='Motor_Meciuri'!C26,AB291&gt;='Config_v6'!$B$50,AN291&gt;='Config_v6'!$B$51,T291&lt;='Config_v6'!$B$52,L291&lt;='Config_v6'!$B$53,ISNUMBER('Calibrare_Linii'!E11),S291&lt;='Calibrare_Linii'!E11,SUM(AK291:AM291)&gt;0),"CANDIDATE","NO"))</x:f>
      </x:c>
      <x:c r="Y291" s="2" t="str">
        <x:f>IF(B291="","",IF(I291&lt;&gt;"READY","NOT RELEASED",IF(AND(X291="CANDIDATE",V291&gt;='Config_v6'!$B$51,W291="PASS",'Calibrare_Linii'!T11="VALIDATED",AND('Calibrare_Linii'!H11=C291,ISNUMBER('Calibrare_Linii'!J11),'Calibrare_Linii'!J11&lt;='Input_Meci'!G26)),"PASS",IF(X291="CANDIDATE","OOS PENDING","FAIL"))))</x:f>
      </x:c>
      <x:c r="Z291" s="2" t="str">
        <x:f>IF(B291="","",IF(I291&lt;&gt;"READY","",IF(OR(NOT(AND(J291="PASS",'Calibrare_Linii'!U11="VALID")),L291&gt;'Config_v6'!$B$13,W291="WATCH"),5,IF(Y291="PASS",1,MIN(5,MAX('Config_v6'!$B$42,U291)+IF(W291="PENALTY",1,0))))))</x:f>
      </x:c>
      <x:c r="AA291" s="2" t="str">
        <x:f>IF(B291="","",IF(I291&lt;&gt;"READY","NOT RELEASED",IF(Z291=5,"NO BET",IF(OR(AB291&lt;'Config_v6'!$B$16,V291&lt;'Config_v6'!$B$18),"WATCH",IF(Z291=1,"DEFENSIV",IF(Z291=2,"PRUDENT",IF(Z291=3,"MODERAT","RIDICAT")))))))</x:f>
      </x:c>
      <x:c r="AB291" s="10" t="str">
        <x:f>IF(N291="","",MIN(N291,1-S291))</x:f>
      </x:c>
      <x:c r="AC291" s="2" t="str">
        <x:f>IF(AD291&lt;&gt;1,"",COUNTIFS($Z$286:$Z$299,"&lt;"&amp;Z291,$AD$286:$AD$299,1)+COUNTIFS($Z$286:$Z$299,Z291,$AB$286:$AB$299,"&gt;"&amp;AB291,$AD$286:$AD$299,1)+COUNTIFS($Z$286:$Z$299,Z291,$AB$286:$AB$299,AB291,$V$286:$V$299,"&gt;"&amp;V291,$AD$286:$AD$299,1)+COUNTIFS($Z$286:Z291,Z291,$AB$286:AB291,AB291,$V$286:V291,V291,$AD$286:AD291,1))</x:f>
      </x:c>
      <x:c r="AD291" s="2" t="n">
        <x:f>IF(OR(AA291="DEFENSIV",AA291="PRUDENT",AA291="MODERAT",AA291="RIDICAT"),1,0)</x:f>
        <x:v>0</x:v>
      </x:c>
      <x:c r="AE291" s="2" t="str">
        <x:f>IF(AD291&lt;&gt;1,"NO",IF(W291="PASS","YES",IF(W291="OOS PENDING","CONDITIONAL","NO")))</x:f>
        <x:v>NO</x:v>
      </x:c>
      <x:c r="AF291" s="2" t="n">
        <x:f>IF(AND(AD291=1,AC291=1,E291="LIVE"),1,0)</x:f>
        <x:v>0</x:v>
      </x:c>
      <x:c r="AG291" s="2" t="str">
        <x:f>IF(AF291&lt;&gt;1,"",'Dashboard'!P46)</x:f>
      </x:c>
      <x:c r="AH291" s="2" t="str">
        <x:f>IF(B291="","",IF(J291&lt;&gt;"PASS",'Motor_Meciuri'!J26,IF('Calibrare_Linii'!U11&lt;&gt;"VALID","Parametri linie invalizi",IF(L291&gt;'Config_v6'!$B$13,"Dispersie peste limita",IF(W291="WATCH","Failure peste limita",IF(AB291&lt;'Config_v6'!$B$16,"P finala sub prag",IF(V291&lt;'Config_v6'!$B$18,"Confidence sub prag",IF(E291="REPLAY","Exemplu retrospectiv; exclus din Top LIVE",IF(Y291="PASS","DEFENSIV validat",IF(W291="OOS PENDING","Eligibil; calibrare linie in monitorizare","Eligibil"))))))))))</x:f>
      </x:c>
      <x:c r="AI291" s="2" t="str">
        <x:f>IF(B291="","",'Calibrare_Linii'!V11)</x:f>
      </x:c>
      <x:c r="AJ291" s="2" t="str">
        <x:f>IF(B291="","",IF(AND('Calibrare_Linii'!T11="VALIDATED",AND('Calibrare_Linii'!H11=C291,ISNUMBER('Calibrare_Linii'!J11),'Calibrare_Linii'!J11&lt;='Input_Meci'!G26)),"DEFENSIVE VALIDATED",IF(AND('Calibrare_Linii'!S11="VALIDATED",AND('Calibrare_Linii'!H11=C291,ISNUMBER('Calibrare_Linii'!J11),'Calibrare_Linii'!J11&lt;='Input_Meci'!G26)),"TAIL VALIDATED","OOS PENDING")))</x:f>
      </x:c>
      <x:c r="AK291" s="2" t="n">
        <x:f>IF(J291&lt;&gt;"PASS",0,'Motor_Meciuri'!BR26)</x:f>
        <x:v>0</x:v>
      </x:c>
      <x:c r="AL291" s="2" t="n">
        <x:f>IF(J291&lt;&gt;"PASS",0,'Motor_Meciuri'!BS26)</x:f>
        <x:v>0</x:v>
      </x:c>
      <x:c r="AM291" s="2" t="n">
        <x:f>IF(J291&lt;&gt;"PASS",0,'Motor_Meciuri'!BT26)</x:f>
        <x:v>0</x:v>
      </x:c>
      <x:c r="AN291" s="2" t="str">
        <x:f>IF(M291="","",MAX(0,'Motor_Meciuri'!BF26-IF(L291&gt;'Config_v6'!$B$12,'Config_v6'!$B$37,IF(L291&gt;'Config_v6'!$B$11,'Config_v6'!$B$36,0))))</x:f>
      </x:c>
    </x:row>
    <x:row r="292" ht="21" customHeight="1">
      <x:c r="A292" s="2" t="n">
        <x:v>21</x:v>
      </x:c>
      <x:c r="B292" s="2" t="str">
        <x:f>IF('Motor_Meciuri'!A26="","",'Motor_Meciuri'!A26)</x:f>
      </x:c>
      <x:c r="C292" s="2" t="str">
        <x:f>IF(B292="","",'Motor_Meciuri'!B26)</x:f>
      </x:c>
      <x:c r="D292" s="2" t="str">
        <x:f>IF(B292="","",'Motor_Meciuri'!D26)</x:f>
      </x:c>
      <x:c r="E292" s="2" t="str">
        <x:f>IF(B292="","",'Motor_Meciuri'!E26)</x:f>
      </x:c>
      <x:c r="F292" s="2" t="str">
        <x:v>U10,5</x:v>
      </x:c>
      <x:c r="G292" s="2" t="str">
        <x:v>UNDER</x:v>
      </x:c>
      <x:c r="H292" s="2" t="n">
        <x:v>10</x:v>
      </x:c>
      <x:c r="I292" s="2" t="str">
        <x:f>IF(B292="","",'Motor_Meciuri'!H26)</x:f>
      </x:c>
      <x:c r="J292" s="2" t="str">
        <x:f>IF(B292="","",'Motor_Meciuri'!I26)</x:f>
      </x:c>
      <x:c r="K292" s="11" t="str">
        <x:f>IF(J292&lt;&gt;"PASS","",'Motor_Meciuri'!BD26)</x:f>
      </x:c>
      <x:c r="L292" s="11" t="str">
        <x:f>IF(J292&lt;&gt;"PASS","",'Motor_Meciuri'!AU26)</x:f>
      </x:c>
      <x:c r="M292" s="10" t="str">
        <x:f>IF(NOT(AND(J292="PASS",'Calibrare_Linii'!U12="VALID")),"",'Distributie'!AH26)</x:f>
      </x:c>
      <x:c r="N292" s="10" t="str">
        <x:f>IF(M292="","",MAX(0.01,MIN(0.99,0.5+(M292-0.5)*'Motor_Meciuri'!BG26*'Calibrare_Linii'!D12)))</x:f>
      </x:c>
      <x:c r="O292" s="10" t="str">
        <x:f>IF(M292="","",1-M292)</x:f>
      </x:c>
      <x:c r="P292" s="10" t="str">
        <x:f>IF(OR(NOT(AND(J292="PASS",'Calibrare_Linii'!U12="VALID")),AK292=0),""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*('Istoric_Nativ'!$Q$6:$Q$405&gt;H292))/AK292)</x:f>
      </x:c>
      <x:c r="Q292" s="10" t="str">
        <x:f>IF(OR(NOT(AND(J292="PASS",'Calibrare_Linii'!U12="VALID")),AL292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M26)+((('Istoric_Nativ'!$E$6:$E$405='Input_Meci'!E26)+('Istoric_Nativ'!$F$6:$F$405='Input_Meci'!E26))&gt;0)*('Istoric_Nativ'!$D$6:$D$405&gt;='Motor_Meciuri'!BN26))&gt;0)*('Istoric_Nativ'!$Q$6:$Q$405&gt;H292))/AL292)</x:f>
      </x:c>
      <x:c r="R292" s="10" t="str">
        <x:f>IF(OR(NOT(AND(J292="PASS",'Calibrare_Linii'!U12="VALID")),AM292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O26)+((('Istoric_Nativ'!$E$6:$E$405='Input_Meci'!E26)+('Istoric_Nativ'!$F$6:$F$405='Input_Meci'!E26))&gt;0)*('Istoric_Nativ'!$D$6:$D$405&gt;='Motor_Meciuri'!BP26))&gt;0)*('Istoric_Nativ'!$Q$6:$Q$405&gt;H292))/AM292)</x:f>
      </x:c>
      <x:c r="S292" s="10" t="str">
        <x:f>IF(M292="","",MAX(O292,P292,Q292,R292))</x:f>
      </x:c>
      <x:c r="T292" s="11" t="str">
        <x:f>IF(M292="","",MIN(100,S292*100*'Config_v6'!$B$44+MIN(100,L292/'Config_v6'!$B$13*100)*'Config_v6'!$B$45+(100-'Motor_Meciuri'!BF26)*'Config_v6'!$B$46+'Motor_Meciuri'!BH26*100*'Config_v6'!$B$47))</x:f>
      </x:c>
      <x:c r="U292" s="2" t="str">
        <x:f>IF(T292="","",IF(T292&lt;=20,1,IF(T292&lt;=40,2,IF(T292&lt;=60,3,IF(T292&lt;=80,4,5)))))</x:f>
      </x:c>
      <x:c r="V292" s="2" t="str">
        <x:f>IF(M292="","",MAX(0,'Motor_Meciuri'!BF26-IF(W292="OOS PENDING",'Config_v6'!$B$35,0)-IF(L292&gt;'Config_v6'!$B$12,'Config_v6'!$B$37,IF(L292&gt;'Config_v6'!$B$11,'Config_v6'!$B$36,0))))</x:f>
      </x:c>
      <x:c r="W292" s="2" t="str">
        <x:f>IF(B292="","",IF(I292&lt;&gt;"READY","NOT RELEASED",IF(NOT(AND(J292="PASS",'Calibrare_Linii'!U12="VALID")),"INVALID",IF(NOT(AND('Calibrare_Linii'!S12="VALIDATED",AND('Calibrare_Linii'!H12=C292,ISNUMBER('Calibrare_Linii'!J12),'Calibrare_Linii'!J12&lt;='Input_Meci'!G26))),"OOS PENDING",IF(S292&lt;='Calibrare_Linii'!E12,"PASS",IF(S292&lt;='Calibrare_Linii'!F12,"PENALTY","WATCH"))))))</x:f>
      </x:c>
      <x:c r="X292" s="2" t="str">
        <x:f>IF(M292="","",IF(AND(AND(J292="PASS",'Calibrare_Linii'!U12="VALID"),'Motor_Meciuri'!K26=12,'Motor_Meciuri'!L26=12,'Motor_Meciuri'!M26="NO",'Motor_Meciuri'!BL26='Motor_Meciuri'!C26,AB292&gt;='Config_v6'!$B$50,AN292&gt;='Config_v6'!$B$51,T292&lt;='Config_v6'!$B$52,L292&lt;='Config_v6'!$B$53,ISNUMBER('Calibrare_Linii'!E12),S292&lt;='Calibrare_Linii'!E12,SUM(AK292:AM292)&gt;0),"CANDIDATE","NO"))</x:f>
      </x:c>
      <x:c r="Y292" s="2" t="str">
        <x:f>IF(B292="","",IF(I292&lt;&gt;"READY","NOT RELEASED",IF(AND(X292="CANDIDATE",V292&gt;='Config_v6'!$B$51,W292="PASS",'Calibrare_Linii'!T12="VALIDATED",AND('Calibrare_Linii'!H12=C292,ISNUMBER('Calibrare_Linii'!J12),'Calibrare_Linii'!J12&lt;='Input_Meci'!G26)),"PASS",IF(X292="CANDIDATE","OOS PENDING","FAIL"))))</x:f>
      </x:c>
      <x:c r="Z292" s="2" t="str">
        <x:f>IF(B292="","",IF(I292&lt;&gt;"READY","",IF(OR(NOT(AND(J292="PASS",'Calibrare_Linii'!U12="VALID")),L292&gt;'Config_v6'!$B$13,W292="WATCH"),5,IF(Y292="PASS",1,MIN(5,MAX('Config_v6'!$B$42,U292)+IF(W292="PENALTY",1,0))))))</x:f>
      </x:c>
      <x:c r="AA292" s="2" t="str">
        <x:f>IF(B292="","",IF(I292&lt;&gt;"READY","NOT RELEASED",IF(Z292=5,"NO BET",IF(OR(AB292&lt;'Config_v6'!$B$16,V292&lt;'Config_v6'!$B$18),"WATCH",IF(Z292=1,"DEFENSIV",IF(Z292=2,"PRUDENT",IF(Z292=3,"MODERAT","RIDICAT")))))))</x:f>
      </x:c>
      <x:c r="AB292" s="10" t="str">
        <x:f>IF(N292="","",MIN(N292,1-S292))</x:f>
      </x:c>
      <x:c r="AC292" s="2" t="str">
        <x:f>IF(AD292&lt;&gt;1,"",COUNTIFS($Z$286:$Z$299,"&lt;"&amp;Z292,$AD$286:$AD$299,1)+COUNTIFS($Z$286:$Z$299,Z292,$AB$286:$AB$299,"&gt;"&amp;AB292,$AD$286:$AD$299,1)+COUNTIFS($Z$286:$Z$299,Z292,$AB$286:$AB$299,AB292,$V$286:$V$299,"&gt;"&amp;V292,$AD$286:$AD$299,1)+COUNTIFS($Z$286:Z292,Z292,$AB$286:AB292,AB292,$V$286:V292,V292,$AD$286:AD292,1))</x:f>
      </x:c>
      <x:c r="AD292" s="2" t="n">
        <x:f>IF(OR(AA292="DEFENSIV",AA292="PRUDENT",AA292="MODERAT",AA292="RIDICAT"),1,0)</x:f>
        <x:v>0</x:v>
      </x:c>
      <x:c r="AE292" s="2" t="str">
        <x:f>IF(AD292&lt;&gt;1,"NO",IF(W292="PASS","YES",IF(W292="OOS PENDING","CONDITIONAL","NO")))</x:f>
        <x:v>NO</x:v>
      </x:c>
      <x:c r="AF292" s="2" t="n">
        <x:f>IF(AND(AD292=1,AC292=1,E292="LIVE"),1,0)</x:f>
        <x:v>0</x:v>
      </x:c>
      <x:c r="AG292" s="2" t="str">
        <x:f>IF(AF292&lt;&gt;1,"",'Dashboard'!P46)</x:f>
      </x:c>
      <x:c r="AH292" s="2" t="str">
        <x:f>IF(B292="","",IF(J292&lt;&gt;"PASS",'Motor_Meciuri'!J26,IF('Calibrare_Linii'!U12&lt;&gt;"VALID","Parametri linie invalizi",IF(L292&gt;'Config_v6'!$B$13,"Dispersie peste limita",IF(W292="WATCH","Failure peste limita",IF(AB292&lt;'Config_v6'!$B$16,"P finala sub prag",IF(V292&lt;'Config_v6'!$B$18,"Confidence sub prag",IF(E292="REPLAY","Exemplu retrospectiv; exclus din Top LIVE",IF(Y292="PASS","DEFENSIV validat",IF(W292="OOS PENDING","Eligibil; calibrare linie in monitorizare","Eligibil"))))))))))</x:f>
      </x:c>
      <x:c r="AI292" s="2" t="str">
        <x:f>IF(B292="","",'Calibrare_Linii'!V12)</x:f>
      </x:c>
      <x:c r="AJ292" s="2" t="str">
        <x:f>IF(B292="","",IF(AND('Calibrare_Linii'!T12="VALIDATED",AND('Calibrare_Linii'!H12=C292,ISNUMBER('Calibrare_Linii'!J12),'Calibrare_Linii'!J12&lt;='Input_Meci'!G26)),"DEFENSIVE VALIDATED",IF(AND('Calibrare_Linii'!S12="VALIDATED",AND('Calibrare_Linii'!H12=C292,ISNUMBER('Calibrare_Linii'!J12),'Calibrare_Linii'!J12&lt;='Input_Meci'!G26)),"TAIL VALIDATED","OOS PENDING")))</x:f>
      </x:c>
      <x:c r="AK292" s="2" t="n">
        <x:f>IF(J292&lt;&gt;"PASS",0,'Motor_Meciuri'!BR26)</x:f>
        <x:v>0</x:v>
      </x:c>
      <x:c r="AL292" s="2" t="n">
        <x:f>IF(J292&lt;&gt;"PASS",0,'Motor_Meciuri'!BS26)</x:f>
        <x:v>0</x:v>
      </x:c>
      <x:c r="AM292" s="2" t="n">
        <x:f>IF(J292&lt;&gt;"PASS",0,'Motor_Meciuri'!BT26)</x:f>
        <x:v>0</x:v>
      </x:c>
      <x:c r="AN292" s="2" t="str">
        <x:f>IF(M292="","",MAX(0,'Motor_Meciuri'!BF26-IF(L292&gt;'Config_v6'!$B$12,'Config_v6'!$B$37,IF(L292&gt;'Config_v6'!$B$11,'Config_v6'!$B$36,0))))</x:f>
      </x:c>
    </x:row>
    <x:row r="293" ht="21" customHeight="1">
      <x:c r="A293" s="2" t="n">
        <x:v>21</x:v>
      </x:c>
      <x:c r="B293" s="2" t="str">
        <x:f>IF('Motor_Meciuri'!A26="","",'Motor_Meciuri'!A26)</x:f>
      </x:c>
      <x:c r="C293" s="2" t="str">
        <x:f>IF(B293="","",'Motor_Meciuri'!B26)</x:f>
      </x:c>
      <x:c r="D293" s="2" t="str">
        <x:f>IF(B293="","",'Motor_Meciuri'!D26)</x:f>
      </x:c>
      <x:c r="E293" s="2" t="str">
        <x:f>IF(B293="","",'Motor_Meciuri'!E26)</x:f>
      </x:c>
      <x:c r="F293" s="2" t="str">
        <x:v>U11,5</x:v>
      </x:c>
      <x:c r="G293" s="2" t="str">
        <x:v>UNDER</x:v>
      </x:c>
      <x:c r="H293" s="2" t="n">
        <x:v>11</x:v>
      </x:c>
      <x:c r="I293" s="2" t="str">
        <x:f>IF(B293="","",'Motor_Meciuri'!H26)</x:f>
      </x:c>
      <x:c r="J293" s="2" t="str">
        <x:f>IF(B293="","",'Motor_Meciuri'!I26)</x:f>
      </x:c>
      <x:c r="K293" s="11" t="str">
        <x:f>IF(J293&lt;&gt;"PASS","",'Motor_Meciuri'!BD26)</x:f>
      </x:c>
      <x:c r="L293" s="11" t="str">
        <x:f>IF(J293&lt;&gt;"PASS","",'Motor_Meciuri'!AU26)</x:f>
      </x:c>
      <x:c r="M293" s="10" t="str">
        <x:f>IF(NOT(AND(J293="PASS",'Calibrare_Linii'!U13="VALID")),"",'Distributie'!AI26)</x:f>
      </x:c>
      <x:c r="N293" s="10" t="str">
        <x:f>IF(M293="","",MAX(0.01,MIN(0.99,0.5+(M293-0.5)*'Motor_Meciuri'!BG26*'Calibrare_Linii'!D13)))</x:f>
      </x:c>
      <x:c r="O293" s="10" t="str">
        <x:f>IF(M293="","",1-M293)</x:f>
      </x:c>
      <x:c r="P293" s="10" t="str">
        <x:f>IF(OR(NOT(AND(J293="PASS",'Calibrare_Linii'!U13="VALID")),AK293=0),""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*('Istoric_Nativ'!$Q$6:$Q$405&gt;H293))/AK293)</x:f>
      </x:c>
      <x:c r="Q293" s="10" t="str">
        <x:f>IF(OR(NOT(AND(J293="PASS",'Calibrare_Linii'!U13="VALID")),AL293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M26)+((('Istoric_Nativ'!$E$6:$E$405='Input_Meci'!E26)+('Istoric_Nativ'!$F$6:$F$405='Input_Meci'!E26))&gt;0)*('Istoric_Nativ'!$D$6:$D$405&gt;='Motor_Meciuri'!BN26))&gt;0)*('Istoric_Nativ'!$Q$6:$Q$405&gt;H293))/AL293)</x:f>
      </x:c>
      <x:c r="R293" s="10" t="str">
        <x:f>IF(OR(NOT(AND(J293="PASS",'Calibrare_Linii'!U13="VALID")),AM293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O26)+((('Istoric_Nativ'!$E$6:$E$405='Input_Meci'!E26)+('Istoric_Nativ'!$F$6:$F$405='Input_Meci'!E26))&gt;0)*('Istoric_Nativ'!$D$6:$D$405&gt;='Motor_Meciuri'!BP26))&gt;0)*('Istoric_Nativ'!$Q$6:$Q$405&gt;H293))/AM293)</x:f>
      </x:c>
      <x:c r="S293" s="10" t="str">
        <x:f>IF(M293="","",MAX(O293,P293,Q293,R293))</x:f>
      </x:c>
      <x:c r="T293" s="11" t="str">
        <x:f>IF(M293="","",MIN(100,S293*100*'Config_v6'!$B$44+MIN(100,L293/'Config_v6'!$B$13*100)*'Config_v6'!$B$45+(100-'Motor_Meciuri'!BF26)*'Config_v6'!$B$46+'Motor_Meciuri'!BH26*100*'Config_v6'!$B$47))</x:f>
      </x:c>
      <x:c r="U293" s="2" t="str">
        <x:f>IF(T293="","",IF(T293&lt;=20,1,IF(T293&lt;=40,2,IF(T293&lt;=60,3,IF(T293&lt;=80,4,5)))))</x:f>
      </x:c>
      <x:c r="V293" s="2" t="str">
        <x:f>IF(M293="","",MAX(0,'Motor_Meciuri'!BF26-IF(W293="OOS PENDING",'Config_v6'!$B$35,0)-IF(L293&gt;'Config_v6'!$B$12,'Config_v6'!$B$37,IF(L293&gt;'Config_v6'!$B$11,'Config_v6'!$B$36,0))))</x:f>
      </x:c>
      <x:c r="W293" s="2" t="str">
        <x:f>IF(B293="","",IF(I293&lt;&gt;"READY","NOT RELEASED",IF(NOT(AND(J293="PASS",'Calibrare_Linii'!U13="VALID")),"INVALID",IF(NOT(AND('Calibrare_Linii'!S13="VALIDATED",AND('Calibrare_Linii'!H13=C293,ISNUMBER('Calibrare_Linii'!J13),'Calibrare_Linii'!J13&lt;='Input_Meci'!G26))),"OOS PENDING",IF(S293&lt;='Calibrare_Linii'!E13,"PASS",IF(S293&lt;='Calibrare_Linii'!F13,"PENALTY","WATCH"))))))</x:f>
      </x:c>
      <x:c r="X293" s="2" t="str">
        <x:f>IF(M293="","",IF(AND(AND(J293="PASS",'Calibrare_Linii'!U13="VALID"),'Motor_Meciuri'!K26=12,'Motor_Meciuri'!L26=12,'Motor_Meciuri'!M26="NO",'Motor_Meciuri'!BL26='Motor_Meciuri'!C26,AB293&gt;='Config_v6'!$B$50,AN293&gt;='Config_v6'!$B$51,T293&lt;='Config_v6'!$B$52,L293&lt;='Config_v6'!$B$53,ISNUMBER('Calibrare_Linii'!E13),S293&lt;='Calibrare_Linii'!E13,SUM(AK293:AM293)&gt;0),"CANDIDATE","NO"))</x:f>
      </x:c>
      <x:c r="Y293" s="2" t="str">
        <x:f>IF(B293="","",IF(I293&lt;&gt;"READY","NOT RELEASED",IF(AND(X293="CANDIDATE",V293&gt;='Config_v6'!$B$51,W293="PASS",'Calibrare_Linii'!T13="VALIDATED",AND('Calibrare_Linii'!H13=C293,ISNUMBER('Calibrare_Linii'!J13),'Calibrare_Linii'!J13&lt;='Input_Meci'!G26)),"PASS",IF(X293="CANDIDATE","OOS PENDING","FAIL"))))</x:f>
      </x:c>
      <x:c r="Z293" s="2" t="str">
        <x:f>IF(B293="","",IF(I293&lt;&gt;"READY","",IF(OR(NOT(AND(J293="PASS",'Calibrare_Linii'!U13="VALID")),L293&gt;'Config_v6'!$B$13,W293="WATCH"),5,IF(Y293="PASS",1,MIN(5,MAX('Config_v6'!$B$42,U293)+IF(W293="PENALTY",1,0))))))</x:f>
      </x:c>
      <x:c r="AA293" s="2" t="str">
        <x:f>IF(B293="","",IF(I293&lt;&gt;"READY","NOT RELEASED",IF(Z293=5,"NO BET",IF(OR(AB293&lt;'Config_v6'!$B$16,V293&lt;'Config_v6'!$B$18),"WATCH",IF(Z293=1,"DEFENSIV",IF(Z293=2,"PRUDENT",IF(Z293=3,"MODERAT","RIDICAT")))))))</x:f>
      </x:c>
      <x:c r="AB293" s="10" t="str">
        <x:f>IF(N293="","",MIN(N293,1-S293))</x:f>
      </x:c>
      <x:c r="AC293" s="2" t="str">
        <x:f>IF(AD293&lt;&gt;1,"",COUNTIFS($Z$286:$Z$299,"&lt;"&amp;Z293,$AD$286:$AD$299,1)+COUNTIFS($Z$286:$Z$299,Z293,$AB$286:$AB$299,"&gt;"&amp;AB293,$AD$286:$AD$299,1)+COUNTIFS($Z$286:$Z$299,Z293,$AB$286:$AB$299,AB293,$V$286:$V$299,"&gt;"&amp;V293,$AD$286:$AD$299,1)+COUNTIFS($Z$286:Z293,Z293,$AB$286:AB293,AB293,$V$286:V293,V293,$AD$286:AD293,1))</x:f>
      </x:c>
      <x:c r="AD293" s="2" t="n">
        <x:f>IF(OR(AA293="DEFENSIV",AA293="PRUDENT",AA293="MODERAT",AA293="RIDICAT"),1,0)</x:f>
        <x:v>0</x:v>
      </x:c>
      <x:c r="AE293" s="2" t="str">
        <x:f>IF(AD293&lt;&gt;1,"NO",IF(W293="PASS","YES",IF(W293="OOS PENDING","CONDITIONAL","NO")))</x:f>
        <x:v>NO</x:v>
      </x:c>
      <x:c r="AF293" s="2" t="n">
        <x:f>IF(AND(AD293=1,AC293=1,E293="LIVE"),1,0)</x:f>
        <x:v>0</x:v>
      </x:c>
      <x:c r="AG293" s="2" t="str">
        <x:f>IF(AF293&lt;&gt;1,"",'Dashboard'!P46)</x:f>
      </x:c>
      <x:c r="AH293" s="2" t="str">
        <x:f>IF(B293="","",IF(J293&lt;&gt;"PASS",'Motor_Meciuri'!J26,IF('Calibrare_Linii'!U13&lt;&gt;"VALID","Parametri linie invalizi",IF(L293&gt;'Config_v6'!$B$13,"Dispersie peste limita",IF(W293="WATCH","Failure peste limita",IF(AB293&lt;'Config_v6'!$B$16,"P finala sub prag",IF(V293&lt;'Config_v6'!$B$18,"Confidence sub prag",IF(E293="REPLAY","Exemplu retrospectiv; exclus din Top LIVE",IF(Y293="PASS","DEFENSIV validat",IF(W293="OOS PENDING","Eligibil; calibrare linie in monitorizare","Eligibil"))))))))))</x:f>
      </x:c>
      <x:c r="AI293" s="2" t="str">
        <x:f>IF(B293="","",'Calibrare_Linii'!V13)</x:f>
      </x:c>
      <x:c r="AJ293" s="2" t="str">
        <x:f>IF(B293="","",IF(AND('Calibrare_Linii'!T13="VALIDATED",AND('Calibrare_Linii'!H13=C293,ISNUMBER('Calibrare_Linii'!J13),'Calibrare_Linii'!J13&lt;='Input_Meci'!G26)),"DEFENSIVE VALIDATED",IF(AND('Calibrare_Linii'!S13="VALIDATED",AND('Calibrare_Linii'!H13=C293,ISNUMBER('Calibrare_Linii'!J13),'Calibrare_Linii'!J13&lt;='Input_Meci'!G26)),"TAIL VALIDATED","OOS PENDING")))</x:f>
      </x:c>
      <x:c r="AK293" s="2" t="n">
        <x:f>IF(J293&lt;&gt;"PASS",0,'Motor_Meciuri'!BR26)</x:f>
        <x:v>0</x:v>
      </x:c>
      <x:c r="AL293" s="2" t="n">
        <x:f>IF(J293&lt;&gt;"PASS",0,'Motor_Meciuri'!BS26)</x:f>
        <x:v>0</x:v>
      </x:c>
      <x:c r="AM293" s="2" t="n">
        <x:f>IF(J293&lt;&gt;"PASS",0,'Motor_Meciuri'!BT26)</x:f>
        <x:v>0</x:v>
      </x:c>
      <x:c r="AN293" s="2" t="str">
        <x:f>IF(M293="","",MAX(0,'Motor_Meciuri'!BF26-IF(L293&gt;'Config_v6'!$B$12,'Config_v6'!$B$37,IF(L293&gt;'Config_v6'!$B$11,'Config_v6'!$B$36,0))))</x:f>
      </x:c>
    </x:row>
    <x:row r="294" ht="21" customHeight="1">
      <x:c r="A294" s="2" t="n">
        <x:v>21</x:v>
      </x:c>
      <x:c r="B294" s="2" t="str">
        <x:f>IF('Motor_Meciuri'!A26="","",'Motor_Meciuri'!A26)</x:f>
      </x:c>
      <x:c r="C294" s="2" t="str">
        <x:f>IF(B294="","",'Motor_Meciuri'!B26)</x:f>
      </x:c>
      <x:c r="D294" s="2" t="str">
        <x:f>IF(B294="","",'Motor_Meciuri'!D26)</x:f>
      </x:c>
      <x:c r="E294" s="2" t="str">
        <x:f>IF(B294="","",'Motor_Meciuri'!E26)</x:f>
      </x:c>
      <x:c r="F294" s="2" t="str">
        <x:v>U12,5</x:v>
      </x:c>
      <x:c r="G294" s="2" t="str">
        <x:v>UNDER</x:v>
      </x:c>
      <x:c r="H294" s="2" t="n">
        <x:v>12</x:v>
      </x:c>
      <x:c r="I294" s="2" t="str">
        <x:f>IF(B294="","",'Motor_Meciuri'!H26)</x:f>
      </x:c>
      <x:c r="J294" s="2" t="str">
        <x:f>IF(B294="","",'Motor_Meciuri'!I26)</x:f>
      </x:c>
      <x:c r="K294" s="11" t="str">
        <x:f>IF(J294&lt;&gt;"PASS","",'Motor_Meciuri'!BD26)</x:f>
      </x:c>
      <x:c r="L294" s="11" t="str">
        <x:f>IF(J294&lt;&gt;"PASS","",'Motor_Meciuri'!AU26)</x:f>
      </x:c>
      <x:c r="M294" s="10" t="str">
        <x:f>IF(NOT(AND(J294="PASS",'Calibrare_Linii'!U14="VALID")),"",'Distributie'!AJ26)</x:f>
      </x:c>
      <x:c r="N294" s="10" t="str">
        <x:f>IF(M294="","",MAX(0.01,MIN(0.99,0.5+(M294-0.5)*'Motor_Meciuri'!BG26*'Calibrare_Linii'!D14)))</x:f>
      </x:c>
      <x:c r="O294" s="10" t="str">
        <x:f>IF(M294="","",1-M294)</x:f>
      </x:c>
      <x:c r="P294" s="10" t="str">
        <x:f>IF(OR(NOT(AND(J294="PASS",'Calibrare_Linii'!U14="VALID")),AK294=0),""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*('Istoric_Nativ'!$Q$6:$Q$405&gt;H294))/AK294)</x:f>
      </x:c>
      <x:c r="Q294" s="10" t="str">
        <x:f>IF(OR(NOT(AND(J294="PASS",'Calibrare_Linii'!U14="VALID")),AL294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M26)+((('Istoric_Nativ'!$E$6:$E$405='Input_Meci'!E26)+('Istoric_Nativ'!$F$6:$F$405='Input_Meci'!E26))&gt;0)*('Istoric_Nativ'!$D$6:$D$405&gt;='Motor_Meciuri'!BN26))&gt;0)*('Istoric_Nativ'!$Q$6:$Q$405&gt;H294))/AL294)</x:f>
      </x:c>
      <x:c r="R294" s="10" t="str">
        <x:f>IF(OR(NOT(AND(J294="PASS",'Calibrare_Linii'!U14="VALID")),AM294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O26)+((('Istoric_Nativ'!$E$6:$E$405='Input_Meci'!E26)+('Istoric_Nativ'!$F$6:$F$405='Input_Meci'!E26))&gt;0)*('Istoric_Nativ'!$D$6:$D$405&gt;='Motor_Meciuri'!BP26))&gt;0)*('Istoric_Nativ'!$Q$6:$Q$405&gt;H294))/AM294)</x:f>
      </x:c>
      <x:c r="S294" s="10" t="str">
        <x:f>IF(M294="","",MAX(O294,P294,Q294,R294))</x:f>
      </x:c>
      <x:c r="T294" s="11" t="str">
        <x:f>IF(M294="","",MIN(100,S294*100*'Config_v6'!$B$44+MIN(100,L294/'Config_v6'!$B$13*100)*'Config_v6'!$B$45+(100-'Motor_Meciuri'!BF26)*'Config_v6'!$B$46+'Motor_Meciuri'!BH26*100*'Config_v6'!$B$47))</x:f>
      </x:c>
      <x:c r="U294" s="2" t="str">
        <x:f>IF(T294="","",IF(T294&lt;=20,1,IF(T294&lt;=40,2,IF(T294&lt;=60,3,IF(T294&lt;=80,4,5)))))</x:f>
      </x:c>
      <x:c r="V294" s="2" t="str">
        <x:f>IF(M294="","",MAX(0,'Motor_Meciuri'!BF26-IF(W294="OOS PENDING",'Config_v6'!$B$35,0)-IF(L294&gt;'Config_v6'!$B$12,'Config_v6'!$B$37,IF(L294&gt;'Config_v6'!$B$11,'Config_v6'!$B$36,0))))</x:f>
      </x:c>
      <x:c r="W294" s="2" t="str">
        <x:f>IF(B294="","",IF(I294&lt;&gt;"READY","NOT RELEASED",IF(NOT(AND(J294="PASS",'Calibrare_Linii'!U14="VALID")),"INVALID",IF(NOT(AND('Calibrare_Linii'!S14="VALIDATED",AND('Calibrare_Linii'!H14=C294,ISNUMBER('Calibrare_Linii'!J14),'Calibrare_Linii'!J14&lt;='Input_Meci'!G26))),"OOS PENDING",IF(S294&lt;='Calibrare_Linii'!E14,"PASS",IF(S294&lt;='Calibrare_Linii'!F14,"PENALTY","WATCH"))))))</x:f>
      </x:c>
      <x:c r="X294" s="2" t="str">
        <x:f>IF(M294="","",IF(AND(AND(J294="PASS",'Calibrare_Linii'!U14="VALID"),'Motor_Meciuri'!K26=12,'Motor_Meciuri'!L26=12,'Motor_Meciuri'!M26="NO",'Motor_Meciuri'!BL26='Motor_Meciuri'!C26,AB294&gt;='Config_v6'!$B$50,AN294&gt;='Config_v6'!$B$51,T294&lt;='Config_v6'!$B$52,L294&lt;='Config_v6'!$B$53,ISNUMBER('Calibrare_Linii'!E14),S294&lt;='Calibrare_Linii'!E14,SUM(AK294:AM294)&gt;0),"CANDIDATE","NO"))</x:f>
      </x:c>
      <x:c r="Y294" s="2" t="str">
        <x:f>IF(B294="","",IF(I294&lt;&gt;"READY","NOT RELEASED",IF(AND(X294="CANDIDATE",V294&gt;='Config_v6'!$B$51,W294="PASS",'Calibrare_Linii'!T14="VALIDATED",AND('Calibrare_Linii'!H14=C294,ISNUMBER('Calibrare_Linii'!J14),'Calibrare_Linii'!J14&lt;='Input_Meci'!G26)),"PASS",IF(X294="CANDIDATE","OOS PENDING","FAIL"))))</x:f>
      </x:c>
      <x:c r="Z294" s="2" t="str">
        <x:f>IF(B294="","",IF(I294&lt;&gt;"READY","",IF(OR(NOT(AND(J294="PASS",'Calibrare_Linii'!U14="VALID")),L294&gt;'Config_v6'!$B$13,W294="WATCH"),5,IF(Y294="PASS",1,MIN(5,MAX('Config_v6'!$B$42,U294)+IF(W294="PENALTY",1,0))))))</x:f>
      </x:c>
      <x:c r="AA294" s="2" t="str">
        <x:f>IF(B294="","",IF(I294&lt;&gt;"READY","NOT RELEASED",IF(Z294=5,"NO BET",IF(OR(AB294&lt;'Config_v6'!$B$16,V294&lt;'Config_v6'!$B$18),"WATCH",IF(Z294=1,"DEFENSIV",IF(Z294=2,"PRUDENT",IF(Z294=3,"MODERAT","RIDICAT")))))))</x:f>
      </x:c>
      <x:c r="AB294" s="10" t="str">
        <x:f>IF(N294="","",MIN(N294,1-S294))</x:f>
      </x:c>
      <x:c r="AC294" s="2" t="str">
        <x:f>IF(AD294&lt;&gt;1,"",COUNTIFS($Z$286:$Z$299,"&lt;"&amp;Z294,$AD$286:$AD$299,1)+COUNTIFS($Z$286:$Z$299,Z294,$AB$286:$AB$299,"&gt;"&amp;AB294,$AD$286:$AD$299,1)+COUNTIFS($Z$286:$Z$299,Z294,$AB$286:$AB$299,AB294,$V$286:$V$299,"&gt;"&amp;V294,$AD$286:$AD$299,1)+COUNTIFS($Z$286:Z294,Z294,$AB$286:AB294,AB294,$V$286:V294,V294,$AD$286:AD294,1))</x:f>
      </x:c>
      <x:c r="AD294" s="2" t="n">
        <x:f>IF(OR(AA294="DEFENSIV",AA294="PRUDENT",AA294="MODERAT",AA294="RIDICAT"),1,0)</x:f>
        <x:v>0</x:v>
      </x:c>
      <x:c r="AE294" s="2" t="str">
        <x:f>IF(AD294&lt;&gt;1,"NO",IF(W294="PASS","YES",IF(W294="OOS PENDING","CONDITIONAL","NO")))</x:f>
        <x:v>NO</x:v>
      </x:c>
      <x:c r="AF294" s="2" t="n">
        <x:f>IF(AND(AD294=1,AC294=1,E294="LIVE"),1,0)</x:f>
        <x:v>0</x:v>
      </x:c>
      <x:c r="AG294" s="2" t="str">
        <x:f>IF(AF294&lt;&gt;1,"",'Dashboard'!P46)</x:f>
      </x:c>
      <x:c r="AH294" s="2" t="str">
        <x:f>IF(B294="","",IF(J294&lt;&gt;"PASS",'Motor_Meciuri'!J26,IF('Calibrare_Linii'!U14&lt;&gt;"VALID","Parametri linie invalizi",IF(L294&gt;'Config_v6'!$B$13,"Dispersie peste limita",IF(W294="WATCH","Failure peste limita",IF(AB294&lt;'Config_v6'!$B$16,"P finala sub prag",IF(V294&lt;'Config_v6'!$B$18,"Confidence sub prag",IF(E294="REPLAY","Exemplu retrospectiv; exclus din Top LIVE",IF(Y294="PASS","DEFENSIV validat",IF(W294="OOS PENDING","Eligibil; calibrare linie in monitorizare","Eligibil"))))))))))</x:f>
      </x:c>
      <x:c r="AI294" s="2" t="str">
        <x:f>IF(B294="","",'Calibrare_Linii'!V14)</x:f>
      </x:c>
      <x:c r="AJ294" s="2" t="str">
        <x:f>IF(B294="","",IF(AND('Calibrare_Linii'!T14="VALIDATED",AND('Calibrare_Linii'!H14=C294,ISNUMBER('Calibrare_Linii'!J14),'Calibrare_Linii'!J14&lt;='Input_Meci'!G26)),"DEFENSIVE VALIDATED",IF(AND('Calibrare_Linii'!S14="VALIDATED",AND('Calibrare_Linii'!H14=C294,ISNUMBER('Calibrare_Linii'!J14),'Calibrare_Linii'!J14&lt;='Input_Meci'!G26)),"TAIL VALIDATED","OOS PENDING")))</x:f>
      </x:c>
      <x:c r="AK294" s="2" t="n">
        <x:f>IF(J294&lt;&gt;"PASS",0,'Motor_Meciuri'!BR26)</x:f>
        <x:v>0</x:v>
      </x:c>
      <x:c r="AL294" s="2" t="n">
        <x:f>IF(J294&lt;&gt;"PASS",0,'Motor_Meciuri'!BS26)</x:f>
        <x:v>0</x:v>
      </x:c>
      <x:c r="AM294" s="2" t="n">
        <x:f>IF(J294&lt;&gt;"PASS",0,'Motor_Meciuri'!BT26)</x:f>
        <x:v>0</x:v>
      </x:c>
      <x:c r="AN294" s="2" t="str">
        <x:f>IF(M294="","",MAX(0,'Motor_Meciuri'!BF26-IF(L294&gt;'Config_v6'!$B$12,'Config_v6'!$B$37,IF(L294&gt;'Config_v6'!$B$11,'Config_v6'!$B$36,0))))</x:f>
      </x:c>
    </x:row>
    <x:row r="295" ht="21" customHeight="1">
      <x:c r="A295" s="2" t="n">
        <x:v>21</x:v>
      </x:c>
      <x:c r="B295" s="2" t="str">
        <x:f>IF('Motor_Meciuri'!A26="","",'Motor_Meciuri'!A26)</x:f>
      </x:c>
      <x:c r="C295" s="2" t="str">
        <x:f>IF(B295="","",'Motor_Meciuri'!B26)</x:f>
      </x:c>
      <x:c r="D295" s="2" t="str">
        <x:f>IF(B295="","",'Motor_Meciuri'!D26)</x:f>
      </x:c>
      <x:c r="E295" s="2" t="str">
        <x:f>IF(B295="","",'Motor_Meciuri'!E26)</x:f>
      </x:c>
      <x:c r="F295" s="2" t="str">
        <x:v>U13,5</x:v>
      </x:c>
      <x:c r="G295" s="2" t="str">
        <x:v>UNDER</x:v>
      </x:c>
      <x:c r="H295" s="2" t="n">
        <x:v>13</x:v>
      </x:c>
      <x:c r="I295" s="2" t="str">
        <x:f>IF(B295="","",'Motor_Meciuri'!H26)</x:f>
      </x:c>
      <x:c r="J295" s="2" t="str">
        <x:f>IF(B295="","",'Motor_Meciuri'!I26)</x:f>
      </x:c>
      <x:c r="K295" s="11" t="str">
        <x:f>IF(J295&lt;&gt;"PASS","",'Motor_Meciuri'!BD26)</x:f>
      </x:c>
      <x:c r="L295" s="11" t="str">
        <x:f>IF(J295&lt;&gt;"PASS","",'Motor_Meciuri'!AU26)</x:f>
      </x:c>
      <x:c r="M295" s="10" t="str">
        <x:f>IF(NOT(AND(J295="PASS",'Calibrare_Linii'!U15="VALID")),"",'Distributie'!AK26)</x:f>
      </x:c>
      <x:c r="N295" s="10" t="str">
        <x:f>IF(M295="","",MAX(0.01,MIN(0.99,0.5+(M295-0.5)*'Motor_Meciuri'!BG26*'Calibrare_Linii'!D15)))</x:f>
      </x:c>
      <x:c r="O295" s="10" t="str">
        <x:f>IF(M295="","",1-M295)</x:f>
      </x:c>
      <x:c r="P295" s="10" t="str">
        <x:f>IF(OR(NOT(AND(J295="PASS",'Calibrare_Linii'!U15="VALID")),AK295=0),""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*('Istoric_Nativ'!$Q$6:$Q$405&gt;H295))/AK295)</x:f>
      </x:c>
      <x:c r="Q295" s="10" t="str">
        <x:f>IF(OR(NOT(AND(J295="PASS",'Calibrare_Linii'!U15="VALID")),AL295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M26)+((('Istoric_Nativ'!$E$6:$E$405='Input_Meci'!E26)+('Istoric_Nativ'!$F$6:$F$405='Input_Meci'!E26))&gt;0)*('Istoric_Nativ'!$D$6:$D$405&gt;='Motor_Meciuri'!BN26))&gt;0)*('Istoric_Nativ'!$Q$6:$Q$405&gt;H295))/AL295)</x:f>
      </x:c>
      <x:c r="R295" s="10" t="str">
        <x:f>IF(OR(NOT(AND(J295="PASS",'Calibrare_Linii'!U15="VALID")),AM295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O26)+((('Istoric_Nativ'!$E$6:$E$405='Input_Meci'!E26)+('Istoric_Nativ'!$F$6:$F$405='Input_Meci'!E26))&gt;0)*('Istoric_Nativ'!$D$6:$D$405&gt;='Motor_Meciuri'!BP26))&gt;0)*('Istoric_Nativ'!$Q$6:$Q$405&gt;H295))/AM295)</x:f>
      </x:c>
      <x:c r="S295" s="10" t="str">
        <x:f>IF(M295="","",MAX(O295,P295,Q295,R295))</x:f>
      </x:c>
      <x:c r="T295" s="11" t="str">
        <x:f>IF(M295="","",MIN(100,S295*100*'Config_v6'!$B$44+MIN(100,L295/'Config_v6'!$B$13*100)*'Config_v6'!$B$45+(100-'Motor_Meciuri'!BF26)*'Config_v6'!$B$46+'Motor_Meciuri'!BH26*100*'Config_v6'!$B$47))</x:f>
      </x:c>
      <x:c r="U295" s="2" t="str">
        <x:f>IF(T295="","",IF(T295&lt;=20,1,IF(T295&lt;=40,2,IF(T295&lt;=60,3,IF(T295&lt;=80,4,5)))))</x:f>
      </x:c>
      <x:c r="V295" s="2" t="str">
        <x:f>IF(M295="","",MAX(0,'Motor_Meciuri'!BF26-IF(W295="OOS PENDING",'Config_v6'!$B$35,0)-IF(L295&gt;'Config_v6'!$B$12,'Config_v6'!$B$37,IF(L295&gt;'Config_v6'!$B$11,'Config_v6'!$B$36,0))))</x:f>
      </x:c>
      <x:c r="W295" s="2" t="str">
        <x:f>IF(B295="","",IF(I295&lt;&gt;"READY","NOT RELEASED",IF(NOT(AND(J295="PASS",'Calibrare_Linii'!U15="VALID")),"INVALID",IF(NOT(AND('Calibrare_Linii'!S15="VALIDATED",AND('Calibrare_Linii'!H15=C295,ISNUMBER('Calibrare_Linii'!J15),'Calibrare_Linii'!J15&lt;='Input_Meci'!G26))),"OOS PENDING",IF(S295&lt;='Calibrare_Linii'!E15,"PASS",IF(S295&lt;='Calibrare_Linii'!F15,"PENALTY","WATCH"))))))</x:f>
      </x:c>
      <x:c r="X295" s="2" t="str">
        <x:f>IF(M295="","",IF(AND(AND(J295="PASS",'Calibrare_Linii'!U15="VALID"),'Motor_Meciuri'!K26=12,'Motor_Meciuri'!L26=12,'Motor_Meciuri'!M26="NO",'Motor_Meciuri'!BL26='Motor_Meciuri'!C26,AB295&gt;='Config_v6'!$B$50,AN295&gt;='Config_v6'!$B$51,T295&lt;='Config_v6'!$B$52,L295&lt;='Config_v6'!$B$53,ISNUMBER('Calibrare_Linii'!E15),S295&lt;='Calibrare_Linii'!E15,SUM(AK295:AM295)&gt;0),"CANDIDATE","NO"))</x:f>
      </x:c>
      <x:c r="Y295" s="2" t="str">
        <x:f>IF(B295="","",IF(I295&lt;&gt;"READY","NOT RELEASED",IF(AND(X295="CANDIDATE",V295&gt;='Config_v6'!$B$51,W295="PASS",'Calibrare_Linii'!T15="VALIDATED",AND('Calibrare_Linii'!H15=C295,ISNUMBER('Calibrare_Linii'!J15),'Calibrare_Linii'!J15&lt;='Input_Meci'!G26)),"PASS",IF(X295="CANDIDATE","OOS PENDING","FAIL"))))</x:f>
      </x:c>
      <x:c r="Z295" s="2" t="str">
        <x:f>IF(B295="","",IF(I295&lt;&gt;"READY","",IF(OR(NOT(AND(J295="PASS",'Calibrare_Linii'!U15="VALID")),L295&gt;'Config_v6'!$B$13,W295="WATCH"),5,IF(Y295="PASS",1,MIN(5,MAX('Config_v6'!$B$42,U295)+IF(W295="PENALTY",1,0))))))</x:f>
      </x:c>
      <x:c r="AA295" s="2" t="str">
        <x:f>IF(B295="","",IF(I295&lt;&gt;"READY","NOT RELEASED",IF(Z295=5,"NO BET",IF(OR(AB295&lt;'Config_v6'!$B$16,V295&lt;'Config_v6'!$B$18),"WATCH",IF(Z295=1,"DEFENSIV",IF(Z295=2,"PRUDENT",IF(Z295=3,"MODERAT","RIDICAT")))))))</x:f>
      </x:c>
      <x:c r="AB295" s="10" t="str">
        <x:f>IF(N295="","",MIN(N295,1-S295))</x:f>
      </x:c>
      <x:c r="AC295" s="2" t="str">
        <x:f>IF(AD295&lt;&gt;1,"",COUNTIFS($Z$286:$Z$299,"&lt;"&amp;Z295,$AD$286:$AD$299,1)+COUNTIFS($Z$286:$Z$299,Z295,$AB$286:$AB$299,"&gt;"&amp;AB295,$AD$286:$AD$299,1)+COUNTIFS($Z$286:$Z$299,Z295,$AB$286:$AB$299,AB295,$V$286:$V$299,"&gt;"&amp;V295,$AD$286:$AD$299,1)+COUNTIFS($Z$286:Z295,Z295,$AB$286:AB295,AB295,$V$286:V295,V295,$AD$286:AD295,1))</x:f>
      </x:c>
      <x:c r="AD295" s="2" t="n">
        <x:f>IF(OR(AA295="DEFENSIV",AA295="PRUDENT",AA295="MODERAT",AA295="RIDICAT"),1,0)</x:f>
        <x:v>0</x:v>
      </x:c>
      <x:c r="AE295" s="2" t="str">
        <x:f>IF(AD295&lt;&gt;1,"NO",IF(W295="PASS","YES",IF(W295="OOS PENDING","CONDITIONAL","NO")))</x:f>
        <x:v>NO</x:v>
      </x:c>
      <x:c r="AF295" s="2" t="n">
        <x:f>IF(AND(AD295=1,AC295=1,E295="LIVE"),1,0)</x:f>
        <x:v>0</x:v>
      </x:c>
      <x:c r="AG295" s="2" t="str">
        <x:f>IF(AF295&lt;&gt;1,"",'Dashboard'!P46)</x:f>
      </x:c>
      <x:c r="AH295" s="2" t="str">
        <x:f>IF(B295="","",IF(J295&lt;&gt;"PASS",'Motor_Meciuri'!J26,IF('Calibrare_Linii'!U15&lt;&gt;"VALID","Parametri linie invalizi",IF(L295&gt;'Config_v6'!$B$13,"Dispersie peste limita",IF(W295="WATCH","Failure peste limita",IF(AB295&lt;'Config_v6'!$B$16,"P finala sub prag",IF(V295&lt;'Config_v6'!$B$18,"Confidence sub prag",IF(E295="REPLAY","Exemplu retrospectiv; exclus din Top LIVE",IF(Y295="PASS","DEFENSIV validat",IF(W295="OOS PENDING","Eligibil; calibrare linie in monitorizare","Eligibil"))))))))))</x:f>
      </x:c>
      <x:c r="AI295" s="2" t="str">
        <x:f>IF(B295="","",'Calibrare_Linii'!V15)</x:f>
      </x:c>
      <x:c r="AJ295" s="2" t="str">
        <x:f>IF(B295="","",IF(AND('Calibrare_Linii'!T15="VALIDATED",AND('Calibrare_Linii'!H15=C295,ISNUMBER('Calibrare_Linii'!J15),'Calibrare_Linii'!J15&lt;='Input_Meci'!G26)),"DEFENSIVE VALIDATED",IF(AND('Calibrare_Linii'!S15="VALIDATED",AND('Calibrare_Linii'!H15=C295,ISNUMBER('Calibrare_Linii'!J15),'Calibrare_Linii'!J15&lt;='Input_Meci'!G26)),"TAIL VALIDATED","OOS PENDING")))</x:f>
      </x:c>
      <x:c r="AK295" s="2" t="n">
        <x:f>IF(J295&lt;&gt;"PASS",0,'Motor_Meciuri'!BR26)</x:f>
        <x:v>0</x:v>
      </x:c>
      <x:c r="AL295" s="2" t="n">
        <x:f>IF(J295&lt;&gt;"PASS",0,'Motor_Meciuri'!BS26)</x:f>
        <x:v>0</x:v>
      </x:c>
      <x:c r="AM295" s="2" t="n">
        <x:f>IF(J295&lt;&gt;"PASS",0,'Motor_Meciuri'!BT26)</x:f>
        <x:v>0</x:v>
      </x:c>
      <x:c r="AN295" s="2" t="str">
        <x:f>IF(M295="","",MAX(0,'Motor_Meciuri'!BF26-IF(L295&gt;'Config_v6'!$B$12,'Config_v6'!$B$37,IF(L295&gt;'Config_v6'!$B$11,'Config_v6'!$B$36,0))))</x:f>
      </x:c>
    </x:row>
    <x:row r="296" ht="21" customHeight="1">
      <x:c r="A296" s="2" t="n">
        <x:v>21</x:v>
      </x:c>
      <x:c r="B296" s="2" t="str">
        <x:f>IF('Motor_Meciuri'!A26="","",'Motor_Meciuri'!A26)</x:f>
      </x:c>
      <x:c r="C296" s="2" t="str">
        <x:f>IF(B296="","",'Motor_Meciuri'!B26)</x:f>
      </x:c>
      <x:c r="D296" s="2" t="str">
        <x:f>IF(B296="","",'Motor_Meciuri'!D26)</x:f>
      </x:c>
      <x:c r="E296" s="2" t="str">
        <x:f>IF(B296="","",'Motor_Meciuri'!E26)</x:f>
      </x:c>
      <x:c r="F296" s="2" t="str">
        <x:v>U14,5</x:v>
      </x:c>
      <x:c r="G296" s="2" t="str">
        <x:v>UNDER</x:v>
      </x:c>
      <x:c r="H296" s="2" t="n">
        <x:v>14</x:v>
      </x:c>
      <x:c r="I296" s="2" t="str">
        <x:f>IF(B296="","",'Motor_Meciuri'!H26)</x:f>
      </x:c>
      <x:c r="J296" s="2" t="str">
        <x:f>IF(B296="","",'Motor_Meciuri'!I26)</x:f>
      </x:c>
      <x:c r="K296" s="11" t="str">
        <x:f>IF(J296&lt;&gt;"PASS","",'Motor_Meciuri'!BD26)</x:f>
      </x:c>
      <x:c r="L296" s="11" t="str">
        <x:f>IF(J296&lt;&gt;"PASS","",'Motor_Meciuri'!AU26)</x:f>
      </x:c>
      <x:c r="M296" s="10" t="str">
        <x:f>IF(NOT(AND(J296="PASS",'Calibrare_Linii'!U16="VALID")),"",'Distributie'!AL26)</x:f>
      </x:c>
      <x:c r="N296" s="10" t="str">
        <x:f>IF(M296="","",MAX(0.01,MIN(0.99,0.5+(M296-0.5)*'Motor_Meciuri'!BG26*'Calibrare_Linii'!D16)))</x:f>
      </x:c>
      <x:c r="O296" s="10" t="str">
        <x:f>IF(M296="","",1-M296)</x:f>
      </x:c>
      <x:c r="P296" s="10" t="str">
        <x:f>IF(OR(NOT(AND(J296="PASS",'Calibrare_Linii'!U16="VALID")),AK296=0),""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*('Istoric_Nativ'!$Q$6:$Q$405&gt;H296))/AK296)</x:f>
      </x:c>
      <x:c r="Q296" s="10" t="str">
        <x:f>IF(OR(NOT(AND(J296="PASS",'Calibrare_Linii'!U16="VALID")),AL296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M26)+((('Istoric_Nativ'!$E$6:$E$405='Input_Meci'!E26)+('Istoric_Nativ'!$F$6:$F$405='Input_Meci'!E26))&gt;0)*('Istoric_Nativ'!$D$6:$D$405&gt;='Motor_Meciuri'!BN26))&gt;0)*('Istoric_Nativ'!$Q$6:$Q$405&gt;H296))/AL296)</x:f>
      </x:c>
      <x:c r="R296" s="10" t="str">
        <x:f>IF(OR(NOT(AND(J296="PASS",'Calibrare_Linii'!U16="VALID")),AM296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O26)+((('Istoric_Nativ'!$E$6:$E$405='Input_Meci'!E26)+('Istoric_Nativ'!$F$6:$F$405='Input_Meci'!E26))&gt;0)*('Istoric_Nativ'!$D$6:$D$405&gt;='Motor_Meciuri'!BP26))&gt;0)*('Istoric_Nativ'!$Q$6:$Q$405&gt;H296))/AM296)</x:f>
      </x:c>
      <x:c r="S296" s="10" t="str">
        <x:f>IF(M296="","",MAX(O296,P296,Q296,R296))</x:f>
      </x:c>
      <x:c r="T296" s="11" t="str">
        <x:f>IF(M296="","",MIN(100,S296*100*'Config_v6'!$B$44+MIN(100,L296/'Config_v6'!$B$13*100)*'Config_v6'!$B$45+(100-'Motor_Meciuri'!BF26)*'Config_v6'!$B$46+'Motor_Meciuri'!BH26*100*'Config_v6'!$B$47))</x:f>
      </x:c>
      <x:c r="U296" s="2" t="str">
        <x:f>IF(T296="","",IF(T296&lt;=20,1,IF(T296&lt;=40,2,IF(T296&lt;=60,3,IF(T296&lt;=80,4,5)))))</x:f>
      </x:c>
      <x:c r="V296" s="2" t="str">
        <x:f>IF(M296="","",MAX(0,'Motor_Meciuri'!BF26-IF(W296="OOS PENDING",'Config_v6'!$B$35,0)-IF(L296&gt;'Config_v6'!$B$12,'Config_v6'!$B$37,IF(L296&gt;'Config_v6'!$B$11,'Config_v6'!$B$36,0))))</x:f>
      </x:c>
      <x:c r="W296" s="2" t="str">
        <x:f>IF(B296="","",IF(I296&lt;&gt;"READY","NOT RELEASED",IF(NOT(AND(J296="PASS",'Calibrare_Linii'!U16="VALID")),"INVALID",IF(NOT(AND('Calibrare_Linii'!S16="VALIDATED",AND('Calibrare_Linii'!H16=C296,ISNUMBER('Calibrare_Linii'!J16),'Calibrare_Linii'!J16&lt;='Input_Meci'!G26))),"OOS PENDING",IF(S296&lt;='Calibrare_Linii'!E16,"PASS",IF(S296&lt;='Calibrare_Linii'!F16,"PENALTY","WATCH"))))))</x:f>
      </x:c>
      <x:c r="X296" s="2" t="str">
        <x:f>IF(M296="","",IF(AND(AND(J296="PASS",'Calibrare_Linii'!U16="VALID"),'Motor_Meciuri'!K26=12,'Motor_Meciuri'!L26=12,'Motor_Meciuri'!M26="NO",'Motor_Meciuri'!BL26='Motor_Meciuri'!C26,AB296&gt;='Config_v6'!$B$50,AN296&gt;='Config_v6'!$B$51,T296&lt;='Config_v6'!$B$52,L296&lt;='Config_v6'!$B$53,ISNUMBER('Calibrare_Linii'!E16),S296&lt;='Calibrare_Linii'!E16,SUM(AK296:AM296)&gt;0),"CANDIDATE","NO"))</x:f>
      </x:c>
      <x:c r="Y296" s="2" t="str">
        <x:f>IF(B296="","",IF(I296&lt;&gt;"READY","NOT RELEASED",IF(AND(X296="CANDIDATE",V296&gt;='Config_v6'!$B$51,W296="PASS",'Calibrare_Linii'!T16="VALIDATED",AND('Calibrare_Linii'!H16=C296,ISNUMBER('Calibrare_Linii'!J16),'Calibrare_Linii'!J16&lt;='Input_Meci'!G26)),"PASS",IF(X296="CANDIDATE","OOS PENDING","FAIL"))))</x:f>
      </x:c>
      <x:c r="Z296" s="2" t="str">
        <x:f>IF(B296="","",IF(I296&lt;&gt;"READY","",IF(OR(NOT(AND(J296="PASS",'Calibrare_Linii'!U16="VALID")),L296&gt;'Config_v6'!$B$13,W296="WATCH"),5,IF(Y296="PASS",1,MIN(5,MAX('Config_v6'!$B$42,U296)+IF(W296="PENALTY",1,0))))))</x:f>
      </x:c>
      <x:c r="AA296" s="2" t="str">
        <x:f>IF(B296="","",IF(I296&lt;&gt;"READY","NOT RELEASED",IF(Z296=5,"NO BET",IF(OR(AB296&lt;'Config_v6'!$B$16,V296&lt;'Config_v6'!$B$18),"WATCH",IF(Z296=1,"DEFENSIV",IF(Z296=2,"PRUDENT",IF(Z296=3,"MODERAT","RIDICAT")))))))</x:f>
      </x:c>
      <x:c r="AB296" s="10" t="str">
        <x:f>IF(N296="","",MIN(N296,1-S296))</x:f>
      </x:c>
      <x:c r="AC296" s="2" t="str">
        <x:f>IF(AD296&lt;&gt;1,"",COUNTIFS($Z$286:$Z$299,"&lt;"&amp;Z296,$AD$286:$AD$299,1)+COUNTIFS($Z$286:$Z$299,Z296,$AB$286:$AB$299,"&gt;"&amp;AB296,$AD$286:$AD$299,1)+COUNTIFS($Z$286:$Z$299,Z296,$AB$286:$AB$299,AB296,$V$286:$V$299,"&gt;"&amp;V296,$AD$286:$AD$299,1)+COUNTIFS($Z$286:Z296,Z296,$AB$286:AB296,AB296,$V$286:V296,V296,$AD$286:AD296,1))</x:f>
      </x:c>
      <x:c r="AD296" s="2" t="n">
        <x:f>IF(OR(AA296="DEFENSIV",AA296="PRUDENT",AA296="MODERAT",AA296="RIDICAT"),1,0)</x:f>
        <x:v>0</x:v>
      </x:c>
      <x:c r="AE296" s="2" t="str">
        <x:f>IF(AD296&lt;&gt;1,"NO",IF(W296="PASS","YES",IF(W296="OOS PENDING","CONDITIONAL","NO")))</x:f>
        <x:v>NO</x:v>
      </x:c>
      <x:c r="AF296" s="2" t="n">
        <x:f>IF(AND(AD296=1,AC296=1,E296="LIVE"),1,0)</x:f>
        <x:v>0</x:v>
      </x:c>
      <x:c r="AG296" s="2" t="str">
        <x:f>IF(AF296&lt;&gt;1,"",'Dashboard'!P46)</x:f>
      </x:c>
      <x:c r="AH296" s="2" t="str">
        <x:f>IF(B296="","",IF(J296&lt;&gt;"PASS",'Motor_Meciuri'!J26,IF('Calibrare_Linii'!U16&lt;&gt;"VALID","Parametri linie invalizi",IF(L296&gt;'Config_v6'!$B$13,"Dispersie peste limita",IF(W296="WATCH","Failure peste limita",IF(AB296&lt;'Config_v6'!$B$16,"P finala sub prag",IF(V296&lt;'Config_v6'!$B$18,"Confidence sub prag",IF(E296="REPLAY","Exemplu retrospectiv; exclus din Top LIVE",IF(Y296="PASS","DEFENSIV validat",IF(W296="OOS PENDING","Eligibil; calibrare linie in monitorizare","Eligibil"))))))))))</x:f>
      </x:c>
      <x:c r="AI296" s="2" t="str">
        <x:f>IF(B296="","",'Calibrare_Linii'!V16)</x:f>
      </x:c>
      <x:c r="AJ296" s="2" t="str">
        <x:f>IF(B296="","",IF(AND('Calibrare_Linii'!T16="VALIDATED",AND('Calibrare_Linii'!H16=C296,ISNUMBER('Calibrare_Linii'!J16),'Calibrare_Linii'!J16&lt;='Input_Meci'!G26)),"DEFENSIVE VALIDATED",IF(AND('Calibrare_Linii'!S16="VALIDATED",AND('Calibrare_Linii'!H16=C296,ISNUMBER('Calibrare_Linii'!J16),'Calibrare_Linii'!J16&lt;='Input_Meci'!G26)),"TAIL VALIDATED","OOS PENDING")))</x:f>
      </x:c>
      <x:c r="AK296" s="2" t="n">
        <x:f>IF(J296&lt;&gt;"PASS",0,'Motor_Meciuri'!BR26)</x:f>
        <x:v>0</x:v>
      </x:c>
      <x:c r="AL296" s="2" t="n">
        <x:f>IF(J296&lt;&gt;"PASS",0,'Motor_Meciuri'!BS26)</x:f>
        <x:v>0</x:v>
      </x:c>
      <x:c r="AM296" s="2" t="n">
        <x:f>IF(J296&lt;&gt;"PASS",0,'Motor_Meciuri'!BT26)</x:f>
        <x:v>0</x:v>
      </x:c>
      <x:c r="AN296" s="2" t="str">
        <x:f>IF(M296="","",MAX(0,'Motor_Meciuri'!BF26-IF(L296&gt;'Config_v6'!$B$12,'Config_v6'!$B$37,IF(L296&gt;'Config_v6'!$B$11,'Config_v6'!$B$36,0))))</x:f>
      </x:c>
    </x:row>
    <x:row r="297" ht="21" customHeight="1">
      <x:c r="A297" s="2" t="n">
        <x:v>21</x:v>
      </x:c>
      <x:c r="B297" s="2" t="str">
        <x:f>IF('Motor_Meciuri'!A26="","",'Motor_Meciuri'!A26)</x:f>
      </x:c>
      <x:c r="C297" s="2" t="str">
        <x:f>IF(B297="","",'Motor_Meciuri'!B26)</x:f>
      </x:c>
      <x:c r="D297" s="2" t="str">
        <x:f>IF(B297="","",'Motor_Meciuri'!D26)</x:f>
      </x:c>
      <x:c r="E297" s="2" t="str">
        <x:f>IF(B297="","",'Motor_Meciuri'!E26)</x:f>
      </x:c>
      <x:c r="F297" s="2" t="str">
        <x:v>U15,5</x:v>
      </x:c>
      <x:c r="G297" s="2" t="str">
        <x:v>UNDER</x:v>
      </x:c>
      <x:c r="H297" s="2" t="n">
        <x:v>15</x:v>
      </x:c>
      <x:c r="I297" s="2" t="str">
        <x:f>IF(B297="","",'Motor_Meciuri'!H26)</x:f>
      </x:c>
      <x:c r="J297" s="2" t="str">
        <x:f>IF(B297="","",'Motor_Meciuri'!I26)</x:f>
      </x:c>
      <x:c r="K297" s="11" t="str">
        <x:f>IF(J297&lt;&gt;"PASS","",'Motor_Meciuri'!BD26)</x:f>
      </x:c>
      <x:c r="L297" s="11" t="str">
        <x:f>IF(J297&lt;&gt;"PASS","",'Motor_Meciuri'!AU26)</x:f>
      </x:c>
      <x:c r="M297" s="10" t="str">
        <x:f>IF(NOT(AND(J297="PASS",'Calibrare_Linii'!U17="VALID")),"",'Distributie'!AM26)</x:f>
      </x:c>
      <x:c r="N297" s="10" t="str">
        <x:f>IF(M297="","",MAX(0.01,MIN(0.99,0.5+(M297-0.5)*'Motor_Meciuri'!BG26*'Calibrare_Linii'!D17)))</x:f>
      </x:c>
      <x:c r="O297" s="10" t="str">
        <x:f>IF(M297="","",1-M297)</x:f>
      </x:c>
      <x:c r="P297" s="10" t="str">
        <x:f>IF(OR(NOT(AND(J297="PASS",'Calibrare_Linii'!U17="VALID")),AK297=0),""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*('Istoric_Nativ'!$Q$6:$Q$405&gt;H297))/AK297)</x:f>
      </x:c>
      <x:c r="Q297" s="10" t="str">
        <x:f>IF(OR(NOT(AND(J297="PASS",'Calibrare_Linii'!U17="VALID")),AL297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M26)+((('Istoric_Nativ'!$E$6:$E$405='Input_Meci'!E26)+('Istoric_Nativ'!$F$6:$F$405='Input_Meci'!E26))&gt;0)*('Istoric_Nativ'!$D$6:$D$405&gt;='Motor_Meciuri'!BN26))&gt;0)*('Istoric_Nativ'!$Q$6:$Q$405&gt;H297))/AL297)</x:f>
      </x:c>
      <x:c r="R297" s="10" t="str">
        <x:f>IF(OR(NOT(AND(J297="PASS",'Calibrare_Linii'!U17="VALID")),AM297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O26)+((('Istoric_Nativ'!$E$6:$E$405='Input_Meci'!E26)+('Istoric_Nativ'!$F$6:$F$405='Input_Meci'!E26))&gt;0)*('Istoric_Nativ'!$D$6:$D$405&gt;='Motor_Meciuri'!BP26))&gt;0)*('Istoric_Nativ'!$Q$6:$Q$405&gt;H297))/AM297)</x:f>
      </x:c>
      <x:c r="S297" s="10" t="str">
        <x:f>IF(M297="","",MAX(O297,P297,Q297,R297))</x:f>
      </x:c>
      <x:c r="T297" s="11" t="str">
        <x:f>IF(M297="","",MIN(100,S297*100*'Config_v6'!$B$44+MIN(100,L297/'Config_v6'!$B$13*100)*'Config_v6'!$B$45+(100-'Motor_Meciuri'!BF26)*'Config_v6'!$B$46+'Motor_Meciuri'!BH26*100*'Config_v6'!$B$47))</x:f>
      </x:c>
      <x:c r="U297" s="2" t="str">
        <x:f>IF(T297="","",IF(T297&lt;=20,1,IF(T297&lt;=40,2,IF(T297&lt;=60,3,IF(T297&lt;=80,4,5)))))</x:f>
      </x:c>
      <x:c r="V297" s="2" t="str">
        <x:f>IF(M297="","",MAX(0,'Motor_Meciuri'!BF26-IF(W297="OOS PENDING",'Config_v6'!$B$35,0)-IF(L297&gt;'Config_v6'!$B$12,'Config_v6'!$B$37,IF(L297&gt;'Config_v6'!$B$11,'Config_v6'!$B$36,0))))</x:f>
      </x:c>
      <x:c r="W297" s="2" t="str">
        <x:f>IF(B297="","",IF(I297&lt;&gt;"READY","NOT RELEASED",IF(NOT(AND(J297="PASS",'Calibrare_Linii'!U17="VALID")),"INVALID",IF(NOT(AND('Calibrare_Linii'!S17="VALIDATED",AND('Calibrare_Linii'!H17=C297,ISNUMBER('Calibrare_Linii'!J17),'Calibrare_Linii'!J17&lt;='Input_Meci'!G26))),"OOS PENDING",IF(S297&lt;='Calibrare_Linii'!E17,"PASS",IF(S297&lt;='Calibrare_Linii'!F17,"PENALTY","WATCH"))))))</x:f>
      </x:c>
      <x:c r="X297" s="2" t="str">
        <x:f>IF(M297="","",IF(AND(AND(J297="PASS",'Calibrare_Linii'!U17="VALID"),'Motor_Meciuri'!K26=12,'Motor_Meciuri'!L26=12,'Motor_Meciuri'!M26="NO",'Motor_Meciuri'!BL26='Motor_Meciuri'!C26,AB297&gt;='Config_v6'!$B$50,AN297&gt;='Config_v6'!$B$51,T297&lt;='Config_v6'!$B$52,L297&lt;='Config_v6'!$B$53,ISNUMBER('Calibrare_Linii'!E17),S297&lt;='Calibrare_Linii'!E17,SUM(AK297:AM297)&gt;0),"CANDIDATE","NO"))</x:f>
      </x:c>
      <x:c r="Y297" s="2" t="str">
        <x:f>IF(B297="","",IF(I297&lt;&gt;"READY","NOT RELEASED",IF(AND(X297="CANDIDATE",V297&gt;='Config_v6'!$B$51,W297="PASS",'Calibrare_Linii'!T17="VALIDATED",AND('Calibrare_Linii'!H17=C297,ISNUMBER('Calibrare_Linii'!J17),'Calibrare_Linii'!J17&lt;='Input_Meci'!G26)),"PASS",IF(X297="CANDIDATE","OOS PENDING","FAIL"))))</x:f>
      </x:c>
      <x:c r="Z297" s="2" t="str">
        <x:f>IF(B297="","",IF(I297&lt;&gt;"READY","",IF(OR(NOT(AND(J297="PASS",'Calibrare_Linii'!U17="VALID")),L297&gt;'Config_v6'!$B$13,W297="WATCH"),5,IF(Y297="PASS",1,MIN(5,MAX('Config_v6'!$B$42,U297)+IF(W297="PENALTY",1,0))))))</x:f>
      </x:c>
      <x:c r="AA297" s="2" t="str">
        <x:f>IF(B297="","",IF(I297&lt;&gt;"READY","NOT RELEASED",IF(Z297=5,"NO BET",IF(OR(AB297&lt;'Config_v6'!$B$16,V297&lt;'Config_v6'!$B$18),"WATCH",IF(Z297=1,"DEFENSIV",IF(Z297=2,"PRUDENT",IF(Z297=3,"MODERAT","RIDICAT")))))))</x:f>
      </x:c>
      <x:c r="AB297" s="10" t="str">
        <x:f>IF(N297="","",MIN(N297,1-S297))</x:f>
      </x:c>
      <x:c r="AC297" s="2" t="str">
        <x:f>IF(AD297&lt;&gt;1,"",COUNTIFS($Z$286:$Z$299,"&lt;"&amp;Z297,$AD$286:$AD$299,1)+COUNTIFS($Z$286:$Z$299,Z297,$AB$286:$AB$299,"&gt;"&amp;AB297,$AD$286:$AD$299,1)+COUNTIFS($Z$286:$Z$299,Z297,$AB$286:$AB$299,AB297,$V$286:$V$299,"&gt;"&amp;V297,$AD$286:$AD$299,1)+COUNTIFS($Z$286:Z297,Z297,$AB$286:AB297,AB297,$V$286:V297,V297,$AD$286:AD297,1))</x:f>
      </x:c>
      <x:c r="AD297" s="2" t="n">
        <x:f>IF(OR(AA297="DEFENSIV",AA297="PRUDENT",AA297="MODERAT",AA297="RIDICAT"),1,0)</x:f>
        <x:v>0</x:v>
      </x:c>
      <x:c r="AE297" s="2" t="str">
        <x:f>IF(AD297&lt;&gt;1,"NO",IF(W297="PASS","YES",IF(W297="OOS PENDING","CONDITIONAL","NO")))</x:f>
        <x:v>NO</x:v>
      </x:c>
      <x:c r="AF297" s="2" t="n">
        <x:f>IF(AND(AD297=1,AC297=1,E297="LIVE"),1,0)</x:f>
        <x:v>0</x:v>
      </x:c>
      <x:c r="AG297" s="2" t="str">
        <x:f>IF(AF297&lt;&gt;1,"",'Dashboard'!P46)</x:f>
      </x:c>
      <x:c r="AH297" s="2" t="str">
        <x:f>IF(B297="","",IF(J297&lt;&gt;"PASS",'Motor_Meciuri'!J26,IF('Calibrare_Linii'!U17&lt;&gt;"VALID","Parametri linie invalizi",IF(L297&gt;'Config_v6'!$B$13,"Dispersie peste limita",IF(W297="WATCH","Failure peste limita",IF(AB297&lt;'Config_v6'!$B$16,"P finala sub prag",IF(V297&lt;'Config_v6'!$B$18,"Confidence sub prag",IF(E297="REPLAY","Exemplu retrospectiv; exclus din Top LIVE",IF(Y297="PASS","DEFENSIV validat",IF(W297="OOS PENDING","Eligibil; calibrare linie in monitorizare","Eligibil"))))))))))</x:f>
      </x:c>
      <x:c r="AI297" s="2" t="str">
        <x:f>IF(B297="","",'Calibrare_Linii'!V17)</x:f>
      </x:c>
      <x:c r="AJ297" s="2" t="str">
        <x:f>IF(B297="","",IF(AND('Calibrare_Linii'!T17="VALIDATED",AND('Calibrare_Linii'!H17=C297,ISNUMBER('Calibrare_Linii'!J17),'Calibrare_Linii'!J17&lt;='Input_Meci'!G26)),"DEFENSIVE VALIDATED",IF(AND('Calibrare_Linii'!S17="VALIDATED",AND('Calibrare_Linii'!H17=C297,ISNUMBER('Calibrare_Linii'!J17),'Calibrare_Linii'!J17&lt;='Input_Meci'!G26)),"TAIL VALIDATED","OOS PENDING")))</x:f>
      </x:c>
      <x:c r="AK297" s="2" t="n">
        <x:f>IF(J297&lt;&gt;"PASS",0,'Motor_Meciuri'!BR26)</x:f>
        <x:v>0</x:v>
      </x:c>
      <x:c r="AL297" s="2" t="n">
        <x:f>IF(J297&lt;&gt;"PASS",0,'Motor_Meciuri'!BS26)</x:f>
        <x:v>0</x:v>
      </x:c>
      <x:c r="AM297" s="2" t="n">
        <x:f>IF(J297&lt;&gt;"PASS",0,'Motor_Meciuri'!BT26)</x:f>
        <x:v>0</x:v>
      </x:c>
      <x:c r="AN297" s="2" t="str">
        <x:f>IF(M297="","",MAX(0,'Motor_Meciuri'!BF26-IF(L297&gt;'Config_v6'!$B$12,'Config_v6'!$B$37,IF(L297&gt;'Config_v6'!$B$11,'Config_v6'!$B$36,0))))</x:f>
      </x:c>
    </x:row>
    <x:row r="298" ht="21" customHeight="1">
      <x:c r="A298" s="2" t="n">
        <x:v>21</x:v>
      </x:c>
      <x:c r="B298" s="2" t="str">
        <x:f>IF('Motor_Meciuri'!A26="","",'Motor_Meciuri'!A26)</x:f>
      </x:c>
      <x:c r="C298" s="2" t="str">
        <x:f>IF(B298="","",'Motor_Meciuri'!B26)</x:f>
      </x:c>
      <x:c r="D298" s="2" t="str">
        <x:f>IF(B298="","",'Motor_Meciuri'!D26)</x:f>
      </x:c>
      <x:c r="E298" s="2" t="str">
        <x:f>IF(B298="","",'Motor_Meciuri'!E26)</x:f>
      </x:c>
      <x:c r="F298" s="2" t="str">
        <x:v>U16,5</x:v>
      </x:c>
      <x:c r="G298" s="2" t="str">
        <x:v>UNDER</x:v>
      </x:c>
      <x:c r="H298" s="2" t="n">
        <x:v>16</x:v>
      </x:c>
      <x:c r="I298" s="2" t="str">
        <x:f>IF(B298="","",'Motor_Meciuri'!H26)</x:f>
      </x:c>
      <x:c r="J298" s="2" t="str">
        <x:f>IF(B298="","",'Motor_Meciuri'!I26)</x:f>
      </x:c>
      <x:c r="K298" s="11" t="str">
        <x:f>IF(J298&lt;&gt;"PASS","",'Motor_Meciuri'!BD26)</x:f>
      </x:c>
      <x:c r="L298" s="11" t="str">
        <x:f>IF(J298&lt;&gt;"PASS","",'Motor_Meciuri'!AU26)</x:f>
      </x:c>
      <x:c r="M298" s="10" t="str">
        <x:f>IF(NOT(AND(J298="PASS",'Calibrare_Linii'!U18="VALID")),"",'Distributie'!AN26)</x:f>
      </x:c>
      <x:c r="N298" s="10" t="str">
        <x:f>IF(M298="","",MAX(0.01,MIN(0.99,0.5+(M298-0.5)*'Motor_Meciuri'!BG26*'Calibrare_Linii'!D18)))</x:f>
      </x:c>
      <x:c r="O298" s="10" t="str">
        <x:f>IF(M298="","",1-M298)</x:f>
      </x:c>
      <x:c r="P298" s="10" t="str">
        <x:f>IF(OR(NOT(AND(J298="PASS",'Calibrare_Linii'!U18="VALID")),AK298=0),""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*('Istoric_Nativ'!$Q$6:$Q$405&gt;H298))/AK298)</x:f>
      </x:c>
      <x:c r="Q298" s="10" t="str">
        <x:f>IF(OR(NOT(AND(J298="PASS",'Calibrare_Linii'!U18="VALID")),AL298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M26)+((('Istoric_Nativ'!$E$6:$E$405='Input_Meci'!E26)+('Istoric_Nativ'!$F$6:$F$405='Input_Meci'!E26))&gt;0)*('Istoric_Nativ'!$D$6:$D$405&gt;='Motor_Meciuri'!BN26))&gt;0)*('Istoric_Nativ'!$Q$6:$Q$405&gt;H298))/AL298)</x:f>
      </x:c>
      <x:c r="R298" s="10" t="str">
        <x:f>IF(OR(NOT(AND(J298="PASS",'Calibrare_Linii'!U18="VALID")),AM298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O26)+((('Istoric_Nativ'!$E$6:$E$405='Input_Meci'!E26)+('Istoric_Nativ'!$F$6:$F$405='Input_Meci'!E26))&gt;0)*('Istoric_Nativ'!$D$6:$D$405&gt;='Motor_Meciuri'!BP26))&gt;0)*('Istoric_Nativ'!$Q$6:$Q$405&gt;H298))/AM298)</x:f>
      </x:c>
      <x:c r="S298" s="10" t="str">
        <x:f>IF(M298="","",MAX(O298,P298,Q298,R298))</x:f>
      </x:c>
      <x:c r="T298" s="11" t="str">
        <x:f>IF(M298="","",MIN(100,S298*100*'Config_v6'!$B$44+MIN(100,L298/'Config_v6'!$B$13*100)*'Config_v6'!$B$45+(100-'Motor_Meciuri'!BF26)*'Config_v6'!$B$46+'Motor_Meciuri'!BH26*100*'Config_v6'!$B$47))</x:f>
      </x:c>
      <x:c r="U298" s="2" t="str">
        <x:f>IF(T298="","",IF(T298&lt;=20,1,IF(T298&lt;=40,2,IF(T298&lt;=60,3,IF(T298&lt;=80,4,5)))))</x:f>
      </x:c>
      <x:c r="V298" s="2" t="str">
        <x:f>IF(M298="","",MAX(0,'Motor_Meciuri'!BF26-IF(W298="OOS PENDING",'Config_v6'!$B$35,0)-IF(L298&gt;'Config_v6'!$B$12,'Config_v6'!$B$37,IF(L298&gt;'Config_v6'!$B$11,'Config_v6'!$B$36,0))))</x:f>
      </x:c>
      <x:c r="W298" s="2" t="str">
        <x:f>IF(B298="","",IF(I298&lt;&gt;"READY","NOT RELEASED",IF(NOT(AND(J298="PASS",'Calibrare_Linii'!U18="VALID")),"INVALID",IF(NOT(AND('Calibrare_Linii'!S18="VALIDATED",AND('Calibrare_Linii'!H18=C298,ISNUMBER('Calibrare_Linii'!J18),'Calibrare_Linii'!J18&lt;='Input_Meci'!G26))),"OOS PENDING",IF(S298&lt;='Calibrare_Linii'!E18,"PASS",IF(S298&lt;='Calibrare_Linii'!F18,"PENALTY","WATCH"))))))</x:f>
      </x:c>
      <x:c r="X298" s="2" t="str">
        <x:f>IF(M298="","",IF(AND(AND(J298="PASS",'Calibrare_Linii'!U18="VALID"),'Motor_Meciuri'!K26=12,'Motor_Meciuri'!L26=12,'Motor_Meciuri'!M26="NO",'Motor_Meciuri'!BL26='Motor_Meciuri'!C26,AB298&gt;='Config_v6'!$B$50,AN298&gt;='Config_v6'!$B$51,T298&lt;='Config_v6'!$B$52,L298&lt;='Config_v6'!$B$53,ISNUMBER('Calibrare_Linii'!E18),S298&lt;='Calibrare_Linii'!E18,SUM(AK298:AM298)&gt;0),"CANDIDATE","NO"))</x:f>
      </x:c>
      <x:c r="Y298" s="2" t="str">
        <x:f>IF(B298="","",IF(I298&lt;&gt;"READY","NOT RELEASED",IF(AND(X298="CANDIDATE",V298&gt;='Config_v6'!$B$51,W298="PASS",'Calibrare_Linii'!T18="VALIDATED",AND('Calibrare_Linii'!H18=C298,ISNUMBER('Calibrare_Linii'!J18),'Calibrare_Linii'!J18&lt;='Input_Meci'!G26)),"PASS",IF(X298="CANDIDATE","OOS PENDING","FAIL"))))</x:f>
      </x:c>
      <x:c r="Z298" s="2" t="str">
        <x:f>IF(B298="","",IF(I298&lt;&gt;"READY","",IF(OR(NOT(AND(J298="PASS",'Calibrare_Linii'!U18="VALID")),L298&gt;'Config_v6'!$B$13,W298="WATCH"),5,IF(Y298="PASS",1,MIN(5,MAX('Config_v6'!$B$42,U298)+IF(W298="PENALTY",1,0))))))</x:f>
      </x:c>
      <x:c r="AA298" s="2" t="str">
        <x:f>IF(B298="","",IF(I298&lt;&gt;"READY","NOT RELEASED",IF(Z298=5,"NO BET",IF(OR(AB298&lt;'Config_v6'!$B$16,V298&lt;'Config_v6'!$B$18),"WATCH",IF(Z298=1,"DEFENSIV",IF(Z298=2,"PRUDENT",IF(Z298=3,"MODERAT","RIDICAT")))))))</x:f>
      </x:c>
      <x:c r="AB298" s="10" t="str">
        <x:f>IF(N298="","",MIN(N298,1-S298))</x:f>
      </x:c>
      <x:c r="AC298" s="2" t="str">
        <x:f>IF(AD298&lt;&gt;1,"",COUNTIFS($Z$286:$Z$299,"&lt;"&amp;Z298,$AD$286:$AD$299,1)+COUNTIFS($Z$286:$Z$299,Z298,$AB$286:$AB$299,"&gt;"&amp;AB298,$AD$286:$AD$299,1)+COUNTIFS($Z$286:$Z$299,Z298,$AB$286:$AB$299,AB298,$V$286:$V$299,"&gt;"&amp;V298,$AD$286:$AD$299,1)+COUNTIFS($Z$286:Z298,Z298,$AB$286:AB298,AB298,$V$286:V298,V298,$AD$286:AD298,1))</x:f>
      </x:c>
      <x:c r="AD298" s="2" t="n">
        <x:f>IF(OR(AA298="DEFENSIV",AA298="PRUDENT",AA298="MODERAT",AA298="RIDICAT"),1,0)</x:f>
        <x:v>0</x:v>
      </x:c>
      <x:c r="AE298" s="2" t="str">
        <x:f>IF(AD298&lt;&gt;1,"NO",IF(W298="PASS","YES",IF(W298="OOS PENDING","CONDITIONAL","NO")))</x:f>
        <x:v>NO</x:v>
      </x:c>
      <x:c r="AF298" s="2" t="n">
        <x:f>IF(AND(AD298=1,AC298=1,E298="LIVE"),1,0)</x:f>
        <x:v>0</x:v>
      </x:c>
      <x:c r="AG298" s="2" t="str">
        <x:f>IF(AF298&lt;&gt;1,"",'Dashboard'!P46)</x:f>
      </x:c>
      <x:c r="AH298" s="2" t="str">
        <x:f>IF(B298="","",IF(J298&lt;&gt;"PASS",'Motor_Meciuri'!J26,IF('Calibrare_Linii'!U18&lt;&gt;"VALID","Parametri linie invalizi",IF(L298&gt;'Config_v6'!$B$13,"Dispersie peste limita",IF(W298="WATCH","Failure peste limita",IF(AB298&lt;'Config_v6'!$B$16,"P finala sub prag",IF(V298&lt;'Config_v6'!$B$18,"Confidence sub prag",IF(E298="REPLAY","Exemplu retrospectiv; exclus din Top LIVE",IF(Y298="PASS","DEFENSIV validat",IF(W298="OOS PENDING","Eligibil; calibrare linie in monitorizare","Eligibil"))))))))))</x:f>
      </x:c>
      <x:c r="AI298" s="2" t="str">
        <x:f>IF(B298="","",'Calibrare_Linii'!V18)</x:f>
      </x:c>
      <x:c r="AJ298" s="2" t="str">
        <x:f>IF(B298="","",IF(AND('Calibrare_Linii'!T18="VALIDATED",AND('Calibrare_Linii'!H18=C298,ISNUMBER('Calibrare_Linii'!J18),'Calibrare_Linii'!J18&lt;='Input_Meci'!G26)),"DEFENSIVE VALIDATED",IF(AND('Calibrare_Linii'!S18="VALIDATED",AND('Calibrare_Linii'!H18=C298,ISNUMBER('Calibrare_Linii'!J18),'Calibrare_Linii'!J18&lt;='Input_Meci'!G26)),"TAIL VALIDATED","OOS PENDING")))</x:f>
      </x:c>
      <x:c r="AK298" s="2" t="n">
        <x:f>IF(J298&lt;&gt;"PASS",0,'Motor_Meciuri'!BR26)</x:f>
        <x:v>0</x:v>
      </x:c>
      <x:c r="AL298" s="2" t="n">
        <x:f>IF(J298&lt;&gt;"PASS",0,'Motor_Meciuri'!BS26)</x:f>
        <x:v>0</x:v>
      </x:c>
      <x:c r="AM298" s="2" t="n">
        <x:f>IF(J298&lt;&gt;"PASS",0,'Motor_Meciuri'!BT26)</x:f>
        <x:v>0</x:v>
      </x:c>
      <x:c r="AN298" s="2" t="str">
        <x:f>IF(M298="","",MAX(0,'Motor_Meciuri'!BF26-IF(L298&gt;'Config_v6'!$B$12,'Config_v6'!$B$37,IF(L298&gt;'Config_v6'!$B$11,'Config_v6'!$B$36,0))))</x:f>
      </x:c>
    </x:row>
    <x:row r="299" ht="21" customHeight="1">
      <x:c r="A299" s="2" t="n">
        <x:v>21</x:v>
      </x:c>
      <x:c r="B299" s="2" t="str">
        <x:f>IF('Motor_Meciuri'!A26="","",'Motor_Meciuri'!A26)</x:f>
      </x:c>
      <x:c r="C299" s="2" t="str">
        <x:f>IF(B299="","",'Motor_Meciuri'!B26)</x:f>
      </x:c>
      <x:c r="D299" s="2" t="str">
        <x:f>IF(B299="","",'Motor_Meciuri'!D26)</x:f>
      </x:c>
      <x:c r="E299" s="2" t="str">
        <x:f>IF(B299="","",'Motor_Meciuri'!E26)</x:f>
      </x:c>
      <x:c r="F299" s="2" t="str">
        <x:v>U17,5</x:v>
      </x:c>
      <x:c r="G299" s="2" t="str">
        <x:v>UNDER</x:v>
      </x:c>
      <x:c r="H299" s="2" t="n">
        <x:v>17</x:v>
      </x:c>
      <x:c r="I299" s="2" t="str">
        <x:f>IF(B299="","",'Motor_Meciuri'!H26)</x:f>
      </x:c>
      <x:c r="J299" s="2" t="str">
        <x:f>IF(B299="","",'Motor_Meciuri'!I26)</x:f>
      </x:c>
      <x:c r="K299" s="11" t="str">
        <x:f>IF(J299&lt;&gt;"PASS","",'Motor_Meciuri'!BD26)</x:f>
      </x:c>
      <x:c r="L299" s="11" t="str">
        <x:f>IF(J299&lt;&gt;"PASS","",'Motor_Meciuri'!AU26)</x:f>
      </x:c>
      <x:c r="M299" s="10" t="str">
        <x:f>IF(NOT(AND(J299="PASS",'Calibrare_Linii'!U19="VALID")),"",'Distributie'!AO26)</x:f>
      </x:c>
      <x:c r="N299" s="10" t="str">
        <x:f>IF(M299="","",MAX(0.01,MIN(0.99,0.5+(M299-0.5)*'Motor_Meciuri'!BG26*'Calibrare_Linii'!D19)))</x:f>
      </x:c>
      <x:c r="O299" s="10" t="str">
        <x:f>IF(M299="","",1-M299)</x:f>
      </x:c>
      <x:c r="P299" s="10" t="str">
        <x:f>IF(OR(NOT(AND(J299="PASS",'Calibrare_Linii'!U19="VALID")),AK299=0),""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*('Istoric_Nativ'!$Q$6:$Q$405&gt;H299))/AK299)</x:f>
      </x:c>
      <x:c r="Q299" s="10" t="str">
        <x:f>IF(OR(NOT(AND(J299="PASS",'Calibrare_Linii'!U19="VALID")),AL299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M26)+((('Istoric_Nativ'!$E$6:$E$405='Input_Meci'!E26)+('Istoric_Nativ'!$F$6:$F$405='Input_Meci'!E26))&gt;0)*('Istoric_Nativ'!$D$6:$D$405&gt;='Motor_Meciuri'!BN26))&gt;0)*('Istoric_Nativ'!$Q$6:$Q$405&gt;H299))/AL299)</x:f>
      </x:c>
      <x:c r="R299" s="10" t="str">
        <x:f>IF(OR(NOT(AND(J299="PASS",'Calibrare_Linii'!U19="VALID")),AM299=0),""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'Motor_Meciuri'!BO26)+((('Istoric_Nativ'!$E$6:$E$405='Input_Meci'!E26)+('Istoric_Nativ'!$F$6:$F$405='Input_Meci'!E26))&gt;0)*('Istoric_Nativ'!$D$6:$D$405&gt;='Motor_Meciuri'!BP26))&gt;0)*('Istoric_Nativ'!$Q$6:$Q$405&gt;H299))/AM299)</x:f>
      </x:c>
      <x:c r="S299" s="10" t="str">
        <x:f>IF(M299="","",MAX(O299,P299,Q299,R299))</x:f>
      </x:c>
      <x:c r="T299" s="11" t="str">
        <x:f>IF(M299="","",MIN(100,S299*100*'Config_v6'!$B$44+MIN(100,L299/'Config_v6'!$B$13*100)*'Config_v6'!$B$45+(100-'Motor_Meciuri'!BF26)*'Config_v6'!$B$46+'Motor_Meciuri'!BH26*100*'Config_v6'!$B$47))</x:f>
      </x:c>
      <x:c r="U299" s="2" t="str">
        <x:f>IF(T299="","",IF(T299&lt;=20,1,IF(T299&lt;=40,2,IF(T299&lt;=60,3,IF(T299&lt;=80,4,5)))))</x:f>
      </x:c>
      <x:c r="V299" s="2" t="str">
        <x:f>IF(M299="","",MAX(0,'Motor_Meciuri'!BF26-IF(W299="OOS PENDING",'Config_v6'!$B$35,0)-IF(L299&gt;'Config_v6'!$B$12,'Config_v6'!$B$37,IF(L299&gt;'Config_v6'!$B$11,'Config_v6'!$B$36,0))))</x:f>
      </x:c>
      <x:c r="W299" s="2" t="str">
        <x:f>IF(B299="","",IF(I299&lt;&gt;"READY","NOT RELEASED",IF(NOT(AND(J299="PASS",'Calibrare_Linii'!U19="VALID")),"INVALID",IF(NOT(AND('Calibrare_Linii'!S19="VALIDATED",AND('Calibrare_Linii'!H19=C299,ISNUMBER('Calibrare_Linii'!J19),'Calibrare_Linii'!J19&lt;='Input_Meci'!G26))),"OOS PENDING",IF(S299&lt;='Calibrare_Linii'!E19,"PASS",IF(S299&lt;='Calibrare_Linii'!F19,"PENALTY","WATCH"))))))</x:f>
      </x:c>
      <x:c r="X299" s="2" t="str">
        <x:f>IF(M299="","",IF(AND(AND(J299="PASS",'Calibrare_Linii'!U19="VALID"),'Motor_Meciuri'!K26=12,'Motor_Meciuri'!L26=12,'Motor_Meciuri'!M26="NO",'Motor_Meciuri'!BL26='Motor_Meciuri'!C26,AB299&gt;='Config_v6'!$B$50,AN299&gt;='Config_v6'!$B$51,T299&lt;='Config_v6'!$B$52,L299&lt;='Config_v6'!$B$53,ISNUMBER('Calibrare_Linii'!E19),S299&lt;='Calibrare_Linii'!E19,SUM(AK299:AM299)&gt;0),"CANDIDATE","NO"))</x:f>
      </x:c>
      <x:c r="Y299" s="2" t="str">
        <x:f>IF(B299="","",IF(I299&lt;&gt;"READY","NOT RELEASED",IF(AND(X299="CANDIDATE",V299&gt;='Config_v6'!$B$51,W299="PASS",'Calibrare_Linii'!T19="VALIDATED",AND('Calibrare_Linii'!H19=C299,ISNUMBER('Calibrare_Linii'!J19),'Calibrare_Linii'!J19&lt;='Input_Meci'!G26)),"PASS",IF(X299="CANDIDATE","OOS PENDING","FAIL"))))</x:f>
      </x:c>
      <x:c r="Z299" s="2" t="str">
        <x:f>IF(B299="","",IF(I299&lt;&gt;"READY","",IF(OR(NOT(AND(J299="PASS",'Calibrare_Linii'!U19="VALID")),L299&gt;'Config_v6'!$B$13,W299="WATCH"),5,IF(Y299="PASS",1,MIN(5,MAX('Config_v6'!$B$42,U299)+IF(W299="PENALTY",1,0))))))</x:f>
      </x:c>
      <x:c r="AA299" s="2" t="str">
        <x:f>IF(B299="","",IF(I299&lt;&gt;"READY","NOT RELEASED",IF(Z299=5,"NO BET",IF(OR(AB299&lt;'Config_v6'!$B$16,V299&lt;'Config_v6'!$B$18),"WATCH",IF(Z299=1,"DEFENSIV",IF(Z299=2,"PRUDENT",IF(Z299=3,"MODERAT","RIDICAT")))))))</x:f>
      </x:c>
      <x:c r="AB299" s="10" t="str">
        <x:f>IF(N299="","",MIN(N299,1-S299))</x:f>
      </x:c>
      <x:c r="AC299" s="2" t="str">
        <x:f>IF(AD299&lt;&gt;1,"",COUNTIFS($Z$286:$Z$299,"&lt;"&amp;Z299,$AD$286:$AD$299,1)+COUNTIFS($Z$286:$Z$299,Z299,$AB$286:$AB$299,"&gt;"&amp;AB299,$AD$286:$AD$299,1)+COUNTIFS($Z$286:$Z$299,Z299,$AB$286:$AB$299,AB299,$V$286:$V$299,"&gt;"&amp;V299,$AD$286:$AD$299,1)+COUNTIFS($Z$286:Z299,Z299,$AB$286:AB299,AB299,$V$286:V299,V299,$AD$286:AD299,1))</x:f>
      </x:c>
      <x:c r="AD299" s="2" t="n">
        <x:f>IF(OR(AA299="DEFENSIV",AA299="PRUDENT",AA299="MODERAT",AA299="RIDICAT"),1,0)</x:f>
        <x:v>0</x:v>
      </x:c>
      <x:c r="AE299" s="2" t="str">
        <x:f>IF(AD299&lt;&gt;1,"NO",IF(W299="PASS","YES",IF(W299="OOS PENDING","CONDITIONAL","NO")))</x:f>
        <x:v>NO</x:v>
      </x:c>
      <x:c r="AF299" s="2" t="n">
        <x:f>IF(AND(AD299=1,AC299=1,E299="LIVE"),1,0)</x:f>
        <x:v>0</x:v>
      </x:c>
      <x:c r="AG299" s="2" t="str">
        <x:f>IF(AF299&lt;&gt;1,"",'Dashboard'!P46)</x:f>
      </x:c>
      <x:c r="AH299" s="2" t="str">
        <x:f>IF(B299="","",IF(J299&lt;&gt;"PASS",'Motor_Meciuri'!J26,IF('Calibrare_Linii'!U19&lt;&gt;"VALID","Parametri linie invalizi",IF(L299&gt;'Config_v6'!$B$13,"Dispersie peste limita",IF(W299="WATCH","Failure peste limita",IF(AB299&lt;'Config_v6'!$B$16,"P finala sub prag",IF(V299&lt;'Config_v6'!$B$18,"Confidence sub prag",IF(E299="REPLAY","Exemplu retrospectiv; exclus din Top LIVE",IF(Y299="PASS","DEFENSIV validat",IF(W299="OOS PENDING","Eligibil; calibrare linie in monitorizare","Eligibil"))))))))))</x:f>
      </x:c>
      <x:c r="AI299" s="2" t="str">
        <x:f>IF(B299="","",'Calibrare_Linii'!V19)</x:f>
      </x:c>
      <x:c r="AJ299" s="2" t="str">
        <x:f>IF(B299="","",IF(AND('Calibrare_Linii'!T19="VALIDATED",AND('Calibrare_Linii'!H19=C299,ISNUMBER('Calibrare_Linii'!J19),'Calibrare_Linii'!J19&lt;='Input_Meci'!G26)),"DEFENSIVE VALIDATED",IF(AND('Calibrare_Linii'!S19="VALIDATED",AND('Calibrare_Linii'!H19=C299,ISNUMBER('Calibrare_Linii'!J19),'Calibrare_Linii'!J19&lt;='Input_Meci'!G26)),"TAIL VALIDATED","OOS PENDING")))</x:f>
      </x:c>
      <x:c r="AK299" s="2" t="n">
        <x:f>IF(J299&lt;&gt;"PASS",0,'Motor_Meciuri'!BR26)</x:f>
        <x:v>0</x:v>
      </x:c>
      <x:c r="AL299" s="2" t="n">
        <x:f>IF(J299&lt;&gt;"PASS",0,'Motor_Meciuri'!BS26)</x:f>
        <x:v>0</x:v>
      </x:c>
      <x:c r="AM299" s="2" t="n">
        <x:f>IF(J299&lt;&gt;"PASS",0,'Motor_Meciuri'!BT26)</x:f>
        <x:v>0</x:v>
      </x:c>
      <x:c r="AN299" s="2" t="str">
        <x:f>IF(M299="","",MAX(0,'Motor_Meciuri'!BF26-IF(L299&gt;'Config_v6'!$B$12,'Config_v6'!$B$37,IF(L299&gt;'Config_v6'!$B$11,'Config_v6'!$B$36,0))))</x:f>
      </x:c>
    </x:row>
    <x:row r="300" ht="21" customHeight="1">
      <x:c r="A300" s="2" t="n">
        <x:v>22</x:v>
      </x:c>
      <x:c r="B300" s="2" t="str">
        <x:f>IF('Motor_Meciuri'!A27="","",'Motor_Meciuri'!A27)</x:f>
      </x:c>
      <x:c r="C300" s="2" t="str">
        <x:f>IF(B300="","",'Motor_Meciuri'!B27)</x:f>
      </x:c>
      <x:c r="D300" s="2" t="str">
        <x:f>IF(B300="","",'Motor_Meciuri'!D27)</x:f>
      </x:c>
      <x:c r="E300" s="2" t="str">
        <x:f>IF(B300="","",'Motor_Meciuri'!E27)</x:f>
      </x:c>
      <x:c r="F300" s="2" t="str">
        <x:v>O3,5</x:v>
      </x:c>
      <x:c r="G300" s="2" t="str">
        <x:v>OVER</x:v>
      </x:c>
      <x:c r="H300" s="2" t="n">
        <x:v>3</x:v>
      </x:c>
      <x:c r="I300" s="2" t="str">
        <x:f>IF(B300="","",'Motor_Meciuri'!H27)</x:f>
      </x:c>
      <x:c r="J300" s="2" t="str">
        <x:f>IF(B300="","",'Motor_Meciuri'!I27)</x:f>
      </x:c>
      <x:c r="K300" s="11" t="str">
        <x:f>IF(J300&lt;&gt;"PASS","",'Motor_Meciuri'!BD27)</x:f>
      </x:c>
      <x:c r="L300" s="11" t="str">
        <x:f>IF(J300&lt;&gt;"PASS","",'Motor_Meciuri'!AU27)</x:f>
      </x:c>
      <x:c r="M300" s="10" t="str">
        <x:f>IF(NOT(AND(J300="PASS",'Calibrare_Linii'!U6="VALID")),"",1-'Distributie'!AA27)</x:f>
      </x:c>
      <x:c r="N300" s="10" t="str">
        <x:f>IF(M300="","",MAX(0.01,MIN(0.99,0.5+(M300-0.5)*'Motor_Meciuri'!BG27*'Calibrare_Linii'!D6)))</x:f>
      </x:c>
      <x:c r="O300" s="10" t="str">
        <x:f>IF(M300="","",1-M300)</x:f>
      </x:c>
      <x:c r="P300" s="10" t="str">
        <x:f>IF(OR(NOT(AND(J300="PASS",'Calibrare_Linii'!U6="VALID")),AK300=0),""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*('Istoric_Nativ'!$Q$6:$Q$405&lt;=H300))/AK300)</x:f>
      </x:c>
      <x:c r="Q300" s="10" t="str">
        <x:f>IF(OR(NOT(AND(J300="PASS",'Calibrare_Linii'!U6="VALID")),AL300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M27)+((('Istoric_Nativ'!$E$6:$E$405='Input_Meci'!E27)+('Istoric_Nativ'!$F$6:$F$405='Input_Meci'!E27))&gt;0)*('Istoric_Nativ'!$D$6:$D$405&gt;='Motor_Meciuri'!BN27))&gt;0)*('Istoric_Nativ'!$Q$6:$Q$405&lt;=H300))/AL300)</x:f>
      </x:c>
      <x:c r="R300" s="10" t="str">
        <x:f>IF(OR(NOT(AND(J300="PASS",'Calibrare_Linii'!U6="VALID")),AM300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O27)+((('Istoric_Nativ'!$E$6:$E$405='Input_Meci'!E27)+('Istoric_Nativ'!$F$6:$F$405='Input_Meci'!E27))&gt;0)*('Istoric_Nativ'!$D$6:$D$405&gt;='Motor_Meciuri'!BP27))&gt;0)*('Istoric_Nativ'!$Q$6:$Q$405&lt;=H300))/AM300)</x:f>
      </x:c>
      <x:c r="S300" s="10" t="str">
        <x:f>IF(M300="","",MAX(O300,P300,Q300,R300))</x:f>
      </x:c>
      <x:c r="T300" s="11" t="str">
        <x:f>IF(M300="","",MIN(100,S300*100*'Config_v6'!$B$44+MIN(100,L300/'Config_v6'!$B$13*100)*'Config_v6'!$B$45+(100-'Motor_Meciuri'!BF27)*'Config_v6'!$B$46+'Motor_Meciuri'!BH27*100*'Config_v6'!$B$47))</x:f>
      </x:c>
      <x:c r="U300" s="2" t="str">
        <x:f>IF(T300="","",IF(T300&lt;=20,1,IF(T300&lt;=40,2,IF(T300&lt;=60,3,IF(T300&lt;=80,4,5)))))</x:f>
      </x:c>
      <x:c r="V300" s="2" t="str">
        <x:f>IF(M300="","",MAX(0,'Motor_Meciuri'!BF27-IF(W300="OOS PENDING",'Config_v6'!$B$35,0)-IF(L300&gt;'Config_v6'!$B$12,'Config_v6'!$B$37,IF(L300&gt;'Config_v6'!$B$11,'Config_v6'!$B$36,0))))</x:f>
      </x:c>
      <x:c r="W300" s="2" t="str">
        <x:f>IF(B300="","",IF(I300&lt;&gt;"READY","NOT RELEASED",IF(NOT(AND(J300="PASS",'Calibrare_Linii'!U6="VALID")),"INVALID",IF(NOT(TRUE),"OOS PENDING",IF(S300&lt;=IF(AND('Calibrare_Linii'!S6="VALIDATED",AND('Calibrare_Linii'!H6=C300,ISNUMBER('Calibrare_Linii'!J6),'Calibrare_Linii'!J6&lt;='Input_Meci'!G27)),'Calibrare_Linii'!E6,'Config_v6'!$B$26),"PASS",IF(S300&lt;=IF(AND('Calibrare_Linii'!S6="VALIDATED",AND('Calibrare_Linii'!H6=C300,ISNUMBER('Calibrare_Linii'!J6),'Calibrare_Linii'!J6&lt;='Input_Meci'!G27)),'Calibrare_Linii'!F6,'Config_v6'!$C$26),"PENALTY","WATCH"))))))</x:f>
      </x:c>
      <x:c r="X300" s="2" t="str">
        <x:f>IF(M300="","",IF(AND(AND(J300="PASS",'Calibrare_Linii'!U6="VALID"),'Motor_Meciuri'!K27=12,'Motor_Meciuri'!L27=12,'Motor_Meciuri'!M27="NO",'Motor_Meciuri'!BL27='Motor_Meciuri'!C27,AB300&gt;='Config_v6'!$B$50,AN300&gt;='Config_v6'!$B$51,T300&lt;='Config_v6'!$B$52,L300&lt;='Config_v6'!$B$53,ISNUMBER('Calibrare_Linii'!E6),S300&lt;='Calibrare_Linii'!E6,SUM(AK300:AM300)&gt;0),"CANDIDATE","NO"))</x:f>
      </x:c>
      <x:c r="Y300" s="2" t="str">
        <x:f>IF(B300="","",IF(I300&lt;&gt;"READY","NOT RELEASED",IF(AND(X300="CANDIDATE",V300&gt;='Config_v6'!$B$51,W300="PASS",'Calibrare_Linii'!T6="VALIDATED",AND('Calibrare_Linii'!H6=C300,ISNUMBER('Calibrare_Linii'!J6),'Calibrare_Linii'!J6&lt;='Input_Meci'!G27)),"PASS",IF(X300="CANDIDATE","OOS PENDING","FAIL"))))</x:f>
      </x:c>
      <x:c r="Z300" s="2" t="str">
        <x:f>IF(B300="","",IF(I300&lt;&gt;"READY","",IF(OR(NOT(AND(J300="PASS",'Calibrare_Linii'!U6="VALID")),L300&gt;'Config_v6'!$B$13,W300="WATCH"),5,IF(Y300="PASS",1,MIN(5,MAX('Config_v6'!$B$42,U300)+IF(W300="PENALTY",1,0))))))</x:f>
      </x:c>
      <x:c r="AA300" s="2" t="str">
        <x:f>IF(B300="","",IF(I300&lt;&gt;"READY","NOT RELEASED",IF(Z300=5,"NO BET",IF(OR(AB300&lt;'Config_v6'!$B$16,V300&lt;'Config_v6'!$B$18),"WATCH",IF(Z300=1,"DEFENSIV",IF(Z300=2,"PRUDENT",IF(Z300=3,"MODERAT","RIDICAT")))))))</x:f>
      </x:c>
      <x:c r="AB300" s="10" t="str">
        <x:f>IF(N300="","",MIN(N300,1-S300))</x:f>
      </x:c>
      <x:c r="AC300" s="2" t="str">
        <x:f>IF(AD300&lt;&gt;1,"",COUNTIFS($Z$300:$Z$313,"&lt;"&amp;Z300,$AD$300:$AD$313,1)+COUNTIFS($Z$300:$Z$313,Z300,$AB$300:$AB$313,"&gt;"&amp;AB300,$AD$300:$AD$313,1)+COUNTIFS($Z$300:$Z$313,Z300,$AB$300:$AB$313,AB300,$V$300:$V$313,"&gt;"&amp;V300,$AD$300:$AD$313,1)+COUNTIFS($Z$300:Z300,Z300,$AB$300:AB300,AB300,$V$300:V300,V300,$AD$300:AD300,1))</x:f>
      </x:c>
      <x:c r="AD300" s="2" t="n">
        <x:f>IF(OR(AA300="DEFENSIV",AA300="PRUDENT",AA300="MODERAT",AA300="RIDICAT"),1,0)</x:f>
        <x:v>0</x:v>
      </x:c>
      <x:c r="AE300" s="2" t="str">
        <x:f>IF(AD300&lt;&gt;1,"NO",IF(W300="PASS","YES",IF(W300="OOS PENDING","CONDITIONAL","NO")))</x:f>
        <x:v>NO</x:v>
      </x:c>
      <x:c r="AF300" s="2" t="n">
        <x:f>IF(AND(AD300=1,AC300=1,E300="LIVE"),1,0)</x:f>
        <x:v>0</x:v>
      </x:c>
      <x:c r="AG300" s="2" t="str">
        <x:f>IF(AF300&lt;&gt;1,"",'Dashboard'!P47)</x:f>
      </x:c>
      <x:c r="AH300" s="2" t="str">
        <x:f>IF(B300="","",IF(J300&lt;&gt;"PASS",'Motor_Meciuri'!J27,IF('Calibrare_Linii'!U6&lt;&gt;"VALID","Parametri linie invalizi",IF(L300&gt;'Config_v6'!$B$13,"Dispersie peste limita",IF(W300="WATCH","Failure peste limita",IF(AB300&lt;'Config_v6'!$B$16,"P finala sub prag",IF(V300&lt;'Config_v6'!$B$18,"Confidence sub prag",IF(E300="REPLAY","Exemplu retrospectiv; exclus din Top LIVE",IF(Y300="PASS","DEFENSIV validat",IF(W300="OOS PENDING","Eligibil; calibrare linie in monitorizare","Eligibil"))))))))))</x:f>
      </x:c>
      <x:c r="AI300" s="2" t="str">
        <x:f>IF(B300="","",'Calibrare_Linii'!V6)</x:f>
      </x:c>
      <x:c r="AJ300" s="2" t="str">
        <x:f>IF(B300="","",IF(AND('Calibrare_Linii'!T6="VALIDATED",AND('Calibrare_Linii'!H6=C300,ISNUMBER('Calibrare_Linii'!J6),'Calibrare_Linii'!J6&lt;='Input_Meci'!G27)),"DEFENSIVE VALIDATED",IF(AND('Calibrare_Linii'!S6="VALIDATED",AND('Calibrare_Linii'!H6=C300,ISNUMBER('Calibrare_Linii'!J6),'Calibrare_Linii'!J6&lt;='Input_Meci'!G27)),"TAIL VALIDATED","OOS PENDING")))</x:f>
      </x:c>
      <x:c r="AK300" s="2" t="n">
        <x:f>IF(J300&lt;&gt;"PASS",0,'Motor_Meciuri'!BR27)</x:f>
        <x:v>0</x:v>
      </x:c>
      <x:c r="AL300" s="2" t="n">
        <x:f>IF(J300&lt;&gt;"PASS",0,'Motor_Meciuri'!BS27)</x:f>
        <x:v>0</x:v>
      </x:c>
      <x:c r="AM300" s="2" t="n">
        <x:f>IF(J300&lt;&gt;"PASS",0,'Motor_Meciuri'!BT27)</x:f>
        <x:v>0</x:v>
      </x:c>
      <x:c r="AN300" s="2" t="str">
        <x:f>IF(M300="","",MAX(0,'Motor_Meciuri'!BF27-IF(L300&gt;'Config_v6'!$B$12,'Config_v6'!$B$37,IF(L300&gt;'Config_v6'!$B$11,'Config_v6'!$B$36,0))))</x:f>
      </x:c>
    </x:row>
    <x:row r="301" ht="21" customHeight="1">
      <x:c r="A301" s="2" t="n">
        <x:v>22</x:v>
      </x:c>
      <x:c r="B301" s="2" t="str">
        <x:f>IF('Motor_Meciuri'!A27="","",'Motor_Meciuri'!A27)</x:f>
      </x:c>
      <x:c r="C301" s="2" t="str">
        <x:f>IF(B301="","",'Motor_Meciuri'!B27)</x:f>
      </x:c>
      <x:c r="D301" s="2" t="str">
        <x:f>IF(B301="","",'Motor_Meciuri'!D27)</x:f>
      </x:c>
      <x:c r="E301" s="2" t="str">
        <x:f>IF(B301="","",'Motor_Meciuri'!E27)</x:f>
      </x:c>
      <x:c r="F301" s="2" t="str">
        <x:v>O4,5</x:v>
      </x:c>
      <x:c r="G301" s="2" t="str">
        <x:v>OVER</x:v>
      </x:c>
      <x:c r="H301" s="2" t="n">
        <x:v>4</x:v>
      </x:c>
      <x:c r="I301" s="2" t="str">
        <x:f>IF(B301="","",'Motor_Meciuri'!H27)</x:f>
      </x:c>
      <x:c r="J301" s="2" t="str">
        <x:f>IF(B301="","",'Motor_Meciuri'!I27)</x:f>
      </x:c>
      <x:c r="K301" s="11" t="str">
        <x:f>IF(J301&lt;&gt;"PASS","",'Motor_Meciuri'!BD27)</x:f>
      </x:c>
      <x:c r="L301" s="11" t="str">
        <x:f>IF(J301&lt;&gt;"PASS","",'Motor_Meciuri'!AU27)</x:f>
      </x:c>
      <x:c r="M301" s="10" t="str">
        <x:f>IF(NOT(AND(J301="PASS",'Calibrare_Linii'!U7="VALID")),"",1-'Distributie'!AB27)</x:f>
      </x:c>
      <x:c r="N301" s="10" t="str">
        <x:f>IF(M301="","",MAX(0.01,MIN(0.99,0.5+(M301-0.5)*'Motor_Meciuri'!BG27*'Calibrare_Linii'!D7)))</x:f>
      </x:c>
      <x:c r="O301" s="10" t="str">
        <x:f>IF(M301="","",1-M301)</x:f>
      </x:c>
      <x:c r="P301" s="10" t="str">
        <x:f>IF(OR(NOT(AND(J301="PASS",'Calibrare_Linii'!U7="VALID")),AK301=0),""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*('Istoric_Nativ'!$Q$6:$Q$405&lt;=H301))/AK301)</x:f>
      </x:c>
      <x:c r="Q301" s="10" t="str">
        <x:f>IF(OR(NOT(AND(J301="PASS",'Calibrare_Linii'!U7="VALID")),AL301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M27)+((('Istoric_Nativ'!$E$6:$E$405='Input_Meci'!E27)+('Istoric_Nativ'!$F$6:$F$405='Input_Meci'!E27))&gt;0)*('Istoric_Nativ'!$D$6:$D$405&gt;='Motor_Meciuri'!BN27))&gt;0)*('Istoric_Nativ'!$Q$6:$Q$405&lt;=H301))/AL301)</x:f>
      </x:c>
      <x:c r="R301" s="10" t="str">
        <x:f>IF(OR(NOT(AND(J301="PASS",'Calibrare_Linii'!U7="VALID")),AM301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O27)+((('Istoric_Nativ'!$E$6:$E$405='Input_Meci'!E27)+('Istoric_Nativ'!$F$6:$F$405='Input_Meci'!E27))&gt;0)*('Istoric_Nativ'!$D$6:$D$405&gt;='Motor_Meciuri'!BP27))&gt;0)*('Istoric_Nativ'!$Q$6:$Q$405&lt;=H301))/AM301)</x:f>
      </x:c>
      <x:c r="S301" s="10" t="str">
        <x:f>IF(M301="","",MAX(O301,P301,Q301,R301))</x:f>
      </x:c>
      <x:c r="T301" s="11" t="str">
        <x:f>IF(M301="","",MIN(100,S301*100*'Config_v6'!$B$44+MIN(100,L301/'Config_v6'!$B$13*100)*'Config_v6'!$B$45+(100-'Motor_Meciuri'!BF27)*'Config_v6'!$B$46+'Motor_Meciuri'!BH27*100*'Config_v6'!$B$47))</x:f>
      </x:c>
      <x:c r="U301" s="2" t="str">
        <x:f>IF(T301="","",IF(T301&lt;=20,1,IF(T301&lt;=40,2,IF(T301&lt;=60,3,IF(T301&lt;=80,4,5)))))</x:f>
      </x:c>
      <x:c r="V301" s="2" t="str">
        <x:f>IF(M301="","",MAX(0,'Motor_Meciuri'!BF27-IF(W301="OOS PENDING",'Config_v6'!$B$35,0)-IF(L301&gt;'Config_v6'!$B$12,'Config_v6'!$B$37,IF(L301&gt;'Config_v6'!$B$11,'Config_v6'!$B$36,0))))</x:f>
      </x:c>
      <x:c r="W301" s="2" t="str">
        <x:f>IF(B301="","",IF(I301&lt;&gt;"READY","NOT RELEASED",IF(NOT(AND(J301="PASS",'Calibrare_Linii'!U7="VALID")),"INVALID",IF(NOT(AND('Calibrare_Linii'!S7="VALIDATED",AND('Calibrare_Linii'!H7=C301,ISNUMBER('Calibrare_Linii'!J7),'Calibrare_Linii'!J7&lt;='Input_Meci'!G27))),"OOS PENDING",IF(S301&lt;='Calibrare_Linii'!E7,"PASS",IF(S301&lt;='Calibrare_Linii'!F7,"PENALTY","WATCH"))))))</x:f>
      </x:c>
      <x:c r="X301" s="2" t="str">
        <x:f>IF(M301="","",IF(AND(AND(J301="PASS",'Calibrare_Linii'!U7="VALID"),'Motor_Meciuri'!K27=12,'Motor_Meciuri'!L27=12,'Motor_Meciuri'!M27="NO",'Motor_Meciuri'!BL27='Motor_Meciuri'!C27,AB301&gt;='Config_v6'!$B$50,AN301&gt;='Config_v6'!$B$51,T301&lt;='Config_v6'!$B$52,L301&lt;='Config_v6'!$B$53,ISNUMBER('Calibrare_Linii'!E7),S301&lt;='Calibrare_Linii'!E7,SUM(AK301:AM301)&gt;0),"CANDIDATE","NO"))</x:f>
      </x:c>
      <x:c r="Y301" s="2" t="str">
        <x:f>IF(B301="","",IF(I301&lt;&gt;"READY","NOT RELEASED",IF(AND(X301="CANDIDATE",V301&gt;='Config_v6'!$B$51,W301="PASS",'Calibrare_Linii'!T7="VALIDATED",AND('Calibrare_Linii'!H7=C301,ISNUMBER('Calibrare_Linii'!J7),'Calibrare_Linii'!J7&lt;='Input_Meci'!G27)),"PASS",IF(X301="CANDIDATE","OOS PENDING","FAIL"))))</x:f>
      </x:c>
      <x:c r="Z301" s="2" t="str">
        <x:f>IF(B301="","",IF(I301&lt;&gt;"READY","",IF(OR(NOT(AND(J301="PASS",'Calibrare_Linii'!U7="VALID")),L301&gt;'Config_v6'!$B$13,W301="WATCH"),5,IF(Y301="PASS",1,MIN(5,MAX('Config_v6'!$B$42,U301)+IF(W301="PENALTY",1,0))))))</x:f>
      </x:c>
      <x:c r="AA301" s="2" t="str">
        <x:f>IF(B301="","",IF(I301&lt;&gt;"READY","NOT RELEASED",IF(Z301=5,"NO BET",IF(OR(AB301&lt;'Config_v6'!$B$16,V301&lt;'Config_v6'!$B$18),"WATCH",IF(Z301=1,"DEFENSIV",IF(Z301=2,"PRUDENT",IF(Z301=3,"MODERAT","RIDICAT")))))))</x:f>
      </x:c>
      <x:c r="AB301" s="10" t="str">
        <x:f>IF(N301="","",MIN(N301,1-S301))</x:f>
      </x:c>
      <x:c r="AC301" s="2" t="str">
        <x:f>IF(AD301&lt;&gt;1,"",COUNTIFS($Z$300:$Z$313,"&lt;"&amp;Z301,$AD$300:$AD$313,1)+COUNTIFS($Z$300:$Z$313,Z301,$AB$300:$AB$313,"&gt;"&amp;AB301,$AD$300:$AD$313,1)+COUNTIFS($Z$300:$Z$313,Z301,$AB$300:$AB$313,AB301,$V$300:$V$313,"&gt;"&amp;V301,$AD$300:$AD$313,1)+COUNTIFS($Z$300:Z301,Z301,$AB$300:AB301,AB301,$V$300:V301,V301,$AD$300:AD301,1))</x:f>
      </x:c>
      <x:c r="AD301" s="2" t="n">
        <x:f>IF(OR(AA301="DEFENSIV",AA301="PRUDENT",AA301="MODERAT",AA301="RIDICAT"),1,0)</x:f>
        <x:v>0</x:v>
      </x:c>
      <x:c r="AE301" s="2" t="str">
        <x:f>IF(AD301&lt;&gt;1,"NO",IF(W301="PASS","YES",IF(W301="OOS PENDING","CONDITIONAL","NO")))</x:f>
        <x:v>NO</x:v>
      </x:c>
      <x:c r="AF301" s="2" t="n">
        <x:f>IF(AND(AD301=1,AC301=1,E301="LIVE"),1,0)</x:f>
        <x:v>0</x:v>
      </x:c>
      <x:c r="AG301" s="2" t="str">
        <x:f>IF(AF301&lt;&gt;1,"",'Dashboard'!P47)</x:f>
      </x:c>
      <x:c r="AH301" s="2" t="str">
        <x:f>IF(B301="","",IF(J301&lt;&gt;"PASS",'Motor_Meciuri'!J27,IF('Calibrare_Linii'!U7&lt;&gt;"VALID","Parametri linie invalizi",IF(L301&gt;'Config_v6'!$B$13,"Dispersie peste limita",IF(W301="WATCH","Failure peste limita",IF(AB301&lt;'Config_v6'!$B$16,"P finala sub prag",IF(V301&lt;'Config_v6'!$B$18,"Confidence sub prag",IF(E301="REPLAY","Exemplu retrospectiv; exclus din Top LIVE",IF(Y301="PASS","DEFENSIV validat",IF(W301="OOS PENDING","Eligibil; calibrare linie in monitorizare","Eligibil"))))))))))</x:f>
      </x:c>
      <x:c r="AI301" s="2" t="str">
        <x:f>IF(B301="","",'Calibrare_Linii'!V7)</x:f>
      </x:c>
      <x:c r="AJ301" s="2" t="str">
        <x:f>IF(B301="","",IF(AND('Calibrare_Linii'!T7="VALIDATED",AND('Calibrare_Linii'!H7=C301,ISNUMBER('Calibrare_Linii'!J7),'Calibrare_Linii'!J7&lt;='Input_Meci'!G27)),"DEFENSIVE VALIDATED",IF(AND('Calibrare_Linii'!S7="VALIDATED",AND('Calibrare_Linii'!H7=C301,ISNUMBER('Calibrare_Linii'!J7),'Calibrare_Linii'!J7&lt;='Input_Meci'!G27)),"TAIL VALIDATED","OOS PENDING")))</x:f>
      </x:c>
      <x:c r="AK301" s="2" t="n">
        <x:f>IF(J301&lt;&gt;"PASS",0,'Motor_Meciuri'!BR27)</x:f>
        <x:v>0</x:v>
      </x:c>
      <x:c r="AL301" s="2" t="n">
        <x:f>IF(J301&lt;&gt;"PASS",0,'Motor_Meciuri'!BS27)</x:f>
        <x:v>0</x:v>
      </x:c>
      <x:c r="AM301" s="2" t="n">
        <x:f>IF(J301&lt;&gt;"PASS",0,'Motor_Meciuri'!BT27)</x:f>
        <x:v>0</x:v>
      </x:c>
      <x:c r="AN301" s="2" t="str">
        <x:f>IF(M301="","",MAX(0,'Motor_Meciuri'!BF27-IF(L301&gt;'Config_v6'!$B$12,'Config_v6'!$B$37,IF(L301&gt;'Config_v6'!$B$11,'Config_v6'!$B$36,0))))</x:f>
      </x:c>
    </x:row>
    <x:row r="302" ht="21" customHeight="1">
      <x:c r="A302" s="2" t="n">
        <x:v>22</x:v>
      </x:c>
      <x:c r="B302" s="2" t="str">
        <x:f>IF('Motor_Meciuri'!A27="","",'Motor_Meciuri'!A27)</x:f>
      </x:c>
      <x:c r="C302" s="2" t="str">
        <x:f>IF(B302="","",'Motor_Meciuri'!B27)</x:f>
      </x:c>
      <x:c r="D302" s="2" t="str">
        <x:f>IF(B302="","",'Motor_Meciuri'!D27)</x:f>
      </x:c>
      <x:c r="E302" s="2" t="str">
        <x:f>IF(B302="","",'Motor_Meciuri'!E27)</x:f>
      </x:c>
      <x:c r="F302" s="2" t="str">
        <x:v>O5,5</x:v>
      </x:c>
      <x:c r="G302" s="2" t="str">
        <x:v>OVER</x:v>
      </x:c>
      <x:c r="H302" s="2" t="n">
        <x:v>5</x:v>
      </x:c>
      <x:c r="I302" s="2" t="str">
        <x:f>IF(B302="","",'Motor_Meciuri'!H27)</x:f>
      </x:c>
      <x:c r="J302" s="2" t="str">
        <x:f>IF(B302="","",'Motor_Meciuri'!I27)</x:f>
      </x:c>
      <x:c r="K302" s="11" t="str">
        <x:f>IF(J302&lt;&gt;"PASS","",'Motor_Meciuri'!BD27)</x:f>
      </x:c>
      <x:c r="L302" s="11" t="str">
        <x:f>IF(J302&lt;&gt;"PASS","",'Motor_Meciuri'!AU27)</x:f>
      </x:c>
      <x:c r="M302" s="10" t="str">
        <x:f>IF(NOT(AND(J302="PASS",'Calibrare_Linii'!U8="VALID")),"",1-'Distributie'!AC27)</x:f>
      </x:c>
      <x:c r="N302" s="10" t="str">
        <x:f>IF(M302="","",MAX(0.01,MIN(0.99,0.5+(M302-0.5)*'Motor_Meciuri'!BG27*'Calibrare_Linii'!D8)))</x:f>
      </x:c>
      <x:c r="O302" s="10" t="str">
        <x:f>IF(M302="","",1-M302)</x:f>
      </x:c>
      <x:c r="P302" s="10" t="str">
        <x:f>IF(OR(NOT(AND(J302="PASS",'Calibrare_Linii'!U8="VALID")),AK302=0),""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*('Istoric_Nativ'!$Q$6:$Q$405&lt;=H302))/AK302)</x:f>
      </x:c>
      <x:c r="Q302" s="10" t="str">
        <x:f>IF(OR(NOT(AND(J302="PASS",'Calibrare_Linii'!U8="VALID")),AL302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M27)+((('Istoric_Nativ'!$E$6:$E$405='Input_Meci'!E27)+('Istoric_Nativ'!$F$6:$F$405='Input_Meci'!E27))&gt;0)*('Istoric_Nativ'!$D$6:$D$405&gt;='Motor_Meciuri'!BN27))&gt;0)*('Istoric_Nativ'!$Q$6:$Q$405&lt;=H302))/AL302)</x:f>
      </x:c>
      <x:c r="R302" s="10" t="str">
        <x:f>IF(OR(NOT(AND(J302="PASS",'Calibrare_Linii'!U8="VALID")),AM302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O27)+((('Istoric_Nativ'!$E$6:$E$405='Input_Meci'!E27)+('Istoric_Nativ'!$F$6:$F$405='Input_Meci'!E27))&gt;0)*('Istoric_Nativ'!$D$6:$D$405&gt;='Motor_Meciuri'!BP27))&gt;0)*('Istoric_Nativ'!$Q$6:$Q$405&lt;=H302))/AM302)</x:f>
      </x:c>
      <x:c r="S302" s="10" t="str">
        <x:f>IF(M302="","",MAX(O302,P302,Q302,R302))</x:f>
      </x:c>
      <x:c r="T302" s="11" t="str">
        <x:f>IF(M302="","",MIN(100,S302*100*'Config_v6'!$B$44+MIN(100,L302/'Config_v6'!$B$13*100)*'Config_v6'!$B$45+(100-'Motor_Meciuri'!BF27)*'Config_v6'!$B$46+'Motor_Meciuri'!BH27*100*'Config_v6'!$B$47))</x:f>
      </x:c>
      <x:c r="U302" s="2" t="str">
        <x:f>IF(T302="","",IF(T302&lt;=20,1,IF(T302&lt;=40,2,IF(T302&lt;=60,3,IF(T302&lt;=80,4,5)))))</x:f>
      </x:c>
      <x:c r="V302" s="2" t="str">
        <x:f>IF(M302="","",MAX(0,'Motor_Meciuri'!BF27-IF(W302="OOS PENDING",'Config_v6'!$B$35,0)-IF(L302&gt;'Config_v6'!$B$12,'Config_v6'!$B$37,IF(L302&gt;'Config_v6'!$B$11,'Config_v6'!$B$36,0))))</x:f>
      </x:c>
      <x:c r="W302" s="2" t="str">
        <x:f>IF(B302="","",IF(I302&lt;&gt;"READY","NOT RELEASED",IF(NOT(AND(J302="PASS",'Calibrare_Linii'!U8="VALID")),"INVALID",IF(NOT(AND('Calibrare_Linii'!S8="VALIDATED",AND('Calibrare_Linii'!H8=C302,ISNUMBER('Calibrare_Linii'!J8),'Calibrare_Linii'!J8&lt;='Input_Meci'!G27))),"OOS PENDING",IF(S302&lt;='Calibrare_Linii'!E8,"PASS",IF(S302&lt;='Calibrare_Linii'!F8,"PENALTY","WATCH"))))))</x:f>
      </x:c>
      <x:c r="X302" s="2" t="str">
        <x:f>IF(M302="","",IF(AND(AND(J302="PASS",'Calibrare_Linii'!U8="VALID"),'Motor_Meciuri'!K27=12,'Motor_Meciuri'!L27=12,'Motor_Meciuri'!M27="NO",'Motor_Meciuri'!BL27='Motor_Meciuri'!C27,AB302&gt;='Config_v6'!$B$50,AN302&gt;='Config_v6'!$B$51,T302&lt;='Config_v6'!$B$52,L302&lt;='Config_v6'!$B$53,ISNUMBER('Calibrare_Linii'!E8),S302&lt;='Calibrare_Linii'!E8,SUM(AK302:AM302)&gt;0),"CANDIDATE","NO"))</x:f>
      </x:c>
      <x:c r="Y302" s="2" t="str">
        <x:f>IF(B302="","",IF(I302&lt;&gt;"READY","NOT RELEASED",IF(AND(X302="CANDIDATE",V302&gt;='Config_v6'!$B$51,W302="PASS",'Calibrare_Linii'!T8="VALIDATED",AND('Calibrare_Linii'!H8=C302,ISNUMBER('Calibrare_Linii'!J8),'Calibrare_Linii'!J8&lt;='Input_Meci'!G27)),"PASS",IF(X302="CANDIDATE","OOS PENDING","FAIL"))))</x:f>
      </x:c>
      <x:c r="Z302" s="2" t="str">
        <x:f>IF(B302="","",IF(I302&lt;&gt;"READY","",IF(OR(NOT(AND(J302="PASS",'Calibrare_Linii'!U8="VALID")),L302&gt;'Config_v6'!$B$13,W302="WATCH"),5,IF(Y302="PASS",1,MIN(5,MAX('Config_v6'!$B$42,U302)+IF(W302="PENALTY",1,0))))))</x:f>
      </x:c>
      <x:c r="AA302" s="2" t="str">
        <x:f>IF(B302="","",IF(I302&lt;&gt;"READY","NOT RELEASED",IF(Z302=5,"NO BET",IF(OR(AB302&lt;'Config_v6'!$B$16,V302&lt;'Config_v6'!$B$18),"WATCH",IF(Z302=1,"DEFENSIV",IF(Z302=2,"PRUDENT",IF(Z302=3,"MODERAT","RIDICAT")))))))</x:f>
      </x:c>
      <x:c r="AB302" s="10" t="str">
        <x:f>IF(N302="","",MIN(N302,1-S302))</x:f>
      </x:c>
      <x:c r="AC302" s="2" t="str">
        <x:f>IF(AD302&lt;&gt;1,"",COUNTIFS($Z$300:$Z$313,"&lt;"&amp;Z302,$AD$300:$AD$313,1)+COUNTIFS($Z$300:$Z$313,Z302,$AB$300:$AB$313,"&gt;"&amp;AB302,$AD$300:$AD$313,1)+COUNTIFS($Z$300:$Z$313,Z302,$AB$300:$AB$313,AB302,$V$300:$V$313,"&gt;"&amp;V302,$AD$300:$AD$313,1)+COUNTIFS($Z$300:Z302,Z302,$AB$300:AB302,AB302,$V$300:V302,V302,$AD$300:AD302,1))</x:f>
      </x:c>
      <x:c r="AD302" s="2" t="n">
        <x:f>IF(OR(AA302="DEFENSIV",AA302="PRUDENT",AA302="MODERAT",AA302="RIDICAT"),1,0)</x:f>
        <x:v>0</x:v>
      </x:c>
      <x:c r="AE302" s="2" t="str">
        <x:f>IF(AD302&lt;&gt;1,"NO",IF(W302="PASS","YES",IF(W302="OOS PENDING","CONDITIONAL","NO")))</x:f>
        <x:v>NO</x:v>
      </x:c>
      <x:c r="AF302" s="2" t="n">
        <x:f>IF(AND(AD302=1,AC302=1,E302="LIVE"),1,0)</x:f>
        <x:v>0</x:v>
      </x:c>
      <x:c r="AG302" s="2" t="str">
        <x:f>IF(AF302&lt;&gt;1,"",'Dashboard'!P47)</x:f>
      </x:c>
      <x:c r="AH302" s="2" t="str">
        <x:f>IF(B302="","",IF(J302&lt;&gt;"PASS",'Motor_Meciuri'!J27,IF('Calibrare_Linii'!U8&lt;&gt;"VALID","Parametri linie invalizi",IF(L302&gt;'Config_v6'!$B$13,"Dispersie peste limita",IF(W302="WATCH","Failure peste limita",IF(AB302&lt;'Config_v6'!$B$16,"P finala sub prag",IF(V302&lt;'Config_v6'!$B$18,"Confidence sub prag",IF(E302="REPLAY","Exemplu retrospectiv; exclus din Top LIVE",IF(Y302="PASS","DEFENSIV validat",IF(W302="OOS PENDING","Eligibil; calibrare linie in monitorizare","Eligibil"))))))))))</x:f>
      </x:c>
      <x:c r="AI302" s="2" t="str">
        <x:f>IF(B302="","",'Calibrare_Linii'!V8)</x:f>
      </x:c>
      <x:c r="AJ302" s="2" t="str">
        <x:f>IF(B302="","",IF(AND('Calibrare_Linii'!T8="VALIDATED",AND('Calibrare_Linii'!H8=C302,ISNUMBER('Calibrare_Linii'!J8),'Calibrare_Linii'!J8&lt;='Input_Meci'!G27)),"DEFENSIVE VALIDATED",IF(AND('Calibrare_Linii'!S8="VALIDATED",AND('Calibrare_Linii'!H8=C302,ISNUMBER('Calibrare_Linii'!J8),'Calibrare_Linii'!J8&lt;='Input_Meci'!G27)),"TAIL VALIDATED","OOS PENDING")))</x:f>
      </x:c>
      <x:c r="AK302" s="2" t="n">
        <x:f>IF(J302&lt;&gt;"PASS",0,'Motor_Meciuri'!BR27)</x:f>
        <x:v>0</x:v>
      </x:c>
      <x:c r="AL302" s="2" t="n">
        <x:f>IF(J302&lt;&gt;"PASS",0,'Motor_Meciuri'!BS27)</x:f>
        <x:v>0</x:v>
      </x:c>
      <x:c r="AM302" s="2" t="n">
        <x:f>IF(J302&lt;&gt;"PASS",0,'Motor_Meciuri'!BT27)</x:f>
        <x:v>0</x:v>
      </x:c>
      <x:c r="AN302" s="2" t="str">
        <x:f>IF(M302="","",MAX(0,'Motor_Meciuri'!BF27-IF(L302&gt;'Config_v6'!$B$12,'Config_v6'!$B$37,IF(L302&gt;'Config_v6'!$B$11,'Config_v6'!$B$36,0))))</x:f>
      </x:c>
    </x:row>
    <x:row r="303" ht="21" customHeight="1">
      <x:c r="A303" s="2" t="n">
        <x:v>22</x:v>
      </x:c>
      <x:c r="B303" s="2" t="str">
        <x:f>IF('Motor_Meciuri'!A27="","",'Motor_Meciuri'!A27)</x:f>
      </x:c>
      <x:c r="C303" s="2" t="str">
        <x:f>IF(B303="","",'Motor_Meciuri'!B27)</x:f>
      </x:c>
      <x:c r="D303" s="2" t="str">
        <x:f>IF(B303="","",'Motor_Meciuri'!D27)</x:f>
      </x:c>
      <x:c r="E303" s="2" t="str">
        <x:f>IF(B303="","",'Motor_Meciuri'!E27)</x:f>
      </x:c>
      <x:c r="F303" s="2" t="str">
        <x:v>O6,5</x:v>
      </x:c>
      <x:c r="G303" s="2" t="str">
        <x:v>OVER</x:v>
      </x:c>
      <x:c r="H303" s="2" t="n">
        <x:v>6</x:v>
      </x:c>
      <x:c r="I303" s="2" t="str">
        <x:f>IF(B303="","",'Motor_Meciuri'!H27)</x:f>
      </x:c>
      <x:c r="J303" s="2" t="str">
        <x:f>IF(B303="","",'Motor_Meciuri'!I27)</x:f>
      </x:c>
      <x:c r="K303" s="11" t="str">
        <x:f>IF(J303&lt;&gt;"PASS","",'Motor_Meciuri'!BD27)</x:f>
      </x:c>
      <x:c r="L303" s="11" t="str">
        <x:f>IF(J303&lt;&gt;"PASS","",'Motor_Meciuri'!AU27)</x:f>
      </x:c>
      <x:c r="M303" s="10" t="str">
        <x:f>IF(NOT(AND(J303="PASS",'Calibrare_Linii'!U9="VALID")),"",1-'Distributie'!AD27)</x:f>
      </x:c>
      <x:c r="N303" s="10" t="str">
        <x:f>IF(M303="","",MAX(0.01,MIN(0.99,0.5+(M303-0.5)*'Motor_Meciuri'!BG27*'Calibrare_Linii'!D9)))</x:f>
      </x:c>
      <x:c r="O303" s="10" t="str">
        <x:f>IF(M303="","",1-M303)</x:f>
      </x:c>
      <x:c r="P303" s="10" t="str">
        <x:f>IF(OR(NOT(AND(J303="PASS",'Calibrare_Linii'!U9="VALID")),AK303=0),""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*('Istoric_Nativ'!$Q$6:$Q$405&lt;=H303))/AK303)</x:f>
      </x:c>
      <x:c r="Q303" s="10" t="str">
        <x:f>IF(OR(NOT(AND(J303="PASS",'Calibrare_Linii'!U9="VALID")),AL303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M27)+((('Istoric_Nativ'!$E$6:$E$405='Input_Meci'!E27)+('Istoric_Nativ'!$F$6:$F$405='Input_Meci'!E27))&gt;0)*('Istoric_Nativ'!$D$6:$D$405&gt;='Motor_Meciuri'!BN27))&gt;0)*('Istoric_Nativ'!$Q$6:$Q$405&lt;=H303))/AL303)</x:f>
      </x:c>
      <x:c r="R303" s="10" t="str">
        <x:f>IF(OR(NOT(AND(J303="PASS",'Calibrare_Linii'!U9="VALID")),AM303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O27)+((('Istoric_Nativ'!$E$6:$E$405='Input_Meci'!E27)+('Istoric_Nativ'!$F$6:$F$405='Input_Meci'!E27))&gt;0)*('Istoric_Nativ'!$D$6:$D$405&gt;='Motor_Meciuri'!BP27))&gt;0)*('Istoric_Nativ'!$Q$6:$Q$405&lt;=H303))/AM303)</x:f>
      </x:c>
      <x:c r="S303" s="10" t="str">
        <x:f>IF(M303="","",MAX(O303,P303,Q303,R303))</x:f>
      </x:c>
      <x:c r="T303" s="11" t="str">
        <x:f>IF(M303="","",MIN(100,S303*100*'Config_v6'!$B$44+MIN(100,L303/'Config_v6'!$B$13*100)*'Config_v6'!$B$45+(100-'Motor_Meciuri'!BF27)*'Config_v6'!$B$46+'Motor_Meciuri'!BH27*100*'Config_v6'!$B$47))</x:f>
      </x:c>
      <x:c r="U303" s="2" t="str">
        <x:f>IF(T303="","",IF(T303&lt;=20,1,IF(T303&lt;=40,2,IF(T303&lt;=60,3,IF(T303&lt;=80,4,5)))))</x:f>
      </x:c>
      <x:c r="V303" s="2" t="str">
        <x:f>IF(M303="","",MAX(0,'Motor_Meciuri'!BF27-IF(W303="OOS PENDING",'Config_v6'!$B$35,0)-IF(L303&gt;'Config_v6'!$B$12,'Config_v6'!$B$37,IF(L303&gt;'Config_v6'!$B$11,'Config_v6'!$B$36,0))))</x:f>
      </x:c>
      <x:c r="W303" s="2" t="str">
        <x:f>IF(B303="","",IF(I303&lt;&gt;"READY","NOT RELEASED",IF(NOT(AND(J303="PASS",'Calibrare_Linii'!U9="VALID")),"INVALID",IF(NOT(AND('Calibrare_Linii'!S9="VALIDATED",AND('Calibrare_Linii'!H9=C303,ISNUMBER('Calibrare_Linii'!J9),'Calibrare_Linii'!J9&lt;='Input_Meci'!G27))),"OOS PENDING",IF(S303&lt;='Calibrare_Linii'!E9,"PASS",IF(S303&lt;='Calibrare_Linii'!F9,"PENALTY","WATCH"))))))</x:f>
      </x:c>
      <x:c r="X303" s="2" t="str">
        <x:f>IF(M303="","",IF(AND(AND(J303="PASS",'Calibrare_Linii'!U9="VALID"),'Motor_Meciuri'!K27=12,'Motor_Meciuri'!L27=12,'Motor_Meciuri'!M27="NO",'Motor_Meciuri'!BL27='Motor_Meciuri'!C27,AB303&gt;='Config_v6'!$B$50,AN303&gt;='Config_v6'!$B$51,T303&lt;='Config_v6'!$B$52,L303&lt;='Config_v6'!$B$53,ISNUMBER('Calibrare_Linii'!E9),S303&lt;='Calibrare_Linii'!E9,SUM(AK303:AM303)&gt;0),"CANDIDATE","NO"))</x:f>
      </x:c>
      <x:c r="Y303" s="2" t="str">
        <x:f>IF(B303="","",IF(I303&lt;&gt;"READY","NOT RELEASED",IF(AND(X303="CANDIDATE",V303&gt;='Config_v6'!$B$51,W303="PASS",'Calibrare_Linii'!T9="VALIDATED",AND('Calibrare_Linii'!H9=C303,ISNUMBER('Calibrare_Linii'!J9),'Calibrare_Linii'!J9&lt;='Input_Meci'!G27)),"PASS",IF(X303="CANDIDATE","OOS PENDING","FAIL"))))</x:f>
      </x:c>
      <x:c r="Z303" s="2" t="str">
        <x:f>IF(B303="","",IF(I303&lt;&gt;"READY","",IF(OR(NOT(AND(J303="PASS",'Calibrare_Linii'!U9="VALID")),L303&gt;'Config_v6'!$B$13,W303="WATCH"),5,IF(Y303="PASS",1,MIN(5,MAX('Config_v6'!$B$42,U303)+IF(W303="PENALTY",1,0))))))</x:f>
      </x:c>
      <x:c r="AA303" s="2" t="str">
        <x:f>IF(B303="","",IF(I303&lt;&gt;"READY","NOT RELEASED",IF(Z303=5,"NO BET",IF(OR(AB303&lt;'Config_v6'!$B$16,V303&lt;'Config_v6'!$B$18),"WATCH",IF(Z303=1,"DEFENSIV",IF(Z303=2,"PRUDENT",IF(Z303=3,"MODERAT","RIDICAT")))))))</x:f>
      </x:c>
      <x:c r="AB303" s="10" t="str">
        <x:f>IF(N303="","",MIN(N303,1-S303))</x:f>
      </x:c>
      <x:c r="AC303" s="2" t="str">
        <x:f>IF(AD303&lt;&gt;1,"",COUNTIFS($Z$300:$Z$313,"&lt;"&amp;Z303,$AD$300:$AD$313,1)+COUNTIFS($Z$300:$Z$313,Z303,$AB$300:$AB$313,"&gt;"&amp;AB303,$AD$300:$AD$313,1)+COUNTIFS($Z$300:$Z$313,Z303,$AB$300:$AB$313,AB303,$V$300:$V$313,"&gt;"&amp;V303,$AD$300:$AD$313,1)+COUNTIFS($Z$300:Z303,Z303,$AB$300:AB303,AB303,$V$300:V303,V303,$AD$300:AD303,1))</x:f>
      </x:c>
      <x:c r="AD303" s="2" t="n">
        <x:f>IF(OR(AA303="DEFENSIV",AA303="PRUDENT",AA303="MODERAT",AA303="RIDICAT"),1,0)</x:f>
        <x:v>0</x:v>
      </x:c>
      <x:c r="AE303" s="2" t="str">
        <x:f>IF(AD303&lt;&gt;1,"NO",IF(W303="PASS","YES",IF(W303="OOS PENDING","CONDITIONAL","NO")))</x:f>
        <x:v>NO</x:v>
      </x:c>
      <x:c r="AF303" s="2" t="n">
        <x:f>IF(AND(AD303=1,AC303=1,E303="LIVE"),1,0)</x:f>
        <x:v>0</x:v>
      </x:c>
      <x:c r="AG303" s="2" t="str">
        <x:f>IF(AF303&lt;&gt;1,"",'Dashboard'!P47)</x:f>
      </x:c>
      <x:c r="AH303" s="2" t="str">
        <x:f>IF(B303="","",IF(J303&lt;&gt;"PASS",'Motor_Meciuri'!J27,IF('Calibrare_Linii'!U9&lt;&gt;"VALID","Parametri linie invalizi",IF(L303&gt;'Config_v6'!$B$13,"Dispersie peste limita",IF(W303="WATCH","Failure peste limita",IF(AB303&lt;'Config_v6'!$B$16,"P finala sub prag",IF(V303&lt;'Config_v6'!$B$18,"Confidence sub prag",IF(E303="REPLAY","Exemplu retrospectiv; exclus din Top LIVE",IF(Y303="PASS","DEFENSIV validat",IF(W303="OOS PENDING","Eligibil; calibrare linie in monitorizare","Eligibil"))))))))))</x:f>
      </x:c>
      <x:c r="AI303" s="2" t="str">
        <x:f>IF(B303="","",'Calibrare_Linii'!V9)</x:f>
      </x:c>
      <x:c r="AJ303" s="2" t="str">
        <x:f>IF(B303="","",IF(AND('Calibrare_Linii'!T9="VALIDATED",AND('Calibrare_Linii'!H9=C303,ISNUMBER('Calibrare_Linii'!J9),'Calibrare_Linii'!J9&lt;='Input_Meci'!G27)),"DEFENSIVE VALIDATED",IF(AND('Calibrare_Linii'!S9="VALIDATED",AND('Calibrare_Linii'!H9=C303,ISNUMBER('Calibrare_Linii'!J9),'Calibrare_Linii'!J9&lt;='Input_Meci'!G27)),"TAIL VALIDATED","OOS PENDING")))</x:f>
      </x:c>
      <x:c r="AK303" s="2" t="n">
        <x:f>IF(J303&lt;&gt;"PASS",0,'Motor_Meciuri'!BR27)</x:f>
        <x:v>0</x:v>
      </x:c>
      <x:c r="AL303" s="2" t="n">
        <x:f>IF(J303&lt;&gt;"PASS",0,'Motor_Meciuri'!BS27)</x:f>
        <x:v>0</x:v>
      </x:c>
      <x:c r="AM303" s="2" t="n">
        <x:f>IF(J303&lt;&gt;"PASS",0,'Motor_Meciuri'!BT27)</x:f>
        <x:v>0</x:v>
      </x:c>
      <x:c r="AN303" s="2" t="str">
        <x:f>IF(M303="","",MAX(0,'Motor_Meciuri'!BF27-IF(L303&gt;'Config_v6'!$B$12,'Config_v6'!$B$37,IF(L303&gt;'Config_v6'!$B$11,'Config_v6'!$B$36,0))))</x:f>
      </x:c>
    </x:row>
    <x:row r="304" ht="21" customHeight="1">
      <x:c r="A304" s="2" t="n">
        <x:v>22</x:v>
      </x:c>
      <x:c r="B304" s="2" t="str">
        <x:f>IF('Motor_Meciuri'!A27="","",'Motor_Meciuri'!A27)</x:f>
      </x:c>
      <x:c r="C304" s="2" t="str">
        <x:f>IF(B304="","",'Motor_Meciuri'!B27)</x:f>
      </x:c>
      <x:c r="D304" s="2" t="str">
        <x:f>IF(B304="","",'Motor_Meciuri'!D27)</x:f>
      </x:c>
      <x:c r="E304" s="2" t="str">
        <x:f>IF(B304="","",'Motor_Meciuri'!E27)</x:f>
      </x:c>
      <x:c r="F304" s="2" t="str">
        <x:v>O7,5</x:v>
      </x:c>
      <x:c r="G304" s="2" t="str">
        <x:v>OVER</x:v>
      </x:c>
      <x:c r="H304" s="2" t="n">
        <x:v>7</x:v>
      </x:c>
      <x:c r="I304" s="2" t="str">
        <x:f>IF(B304="","",'Motor_Meciuri'!H27)</x:f>
      </x:c>
      <x:c r="J304" s="2" t="str">
        <x:f>IF(B304="","",'Motor_Meciuri'!I27)</x:f>
      </x:c>
      <x:c r="K304" s="11" t="str">
        <x:f>IF(J304&lt;&gt;"PASS","",'Motor_Meciuri'!BD27)</x:f>
      </x:c>
      <x:c r="L304" s="11" t="str">
        <x:f>IF(J304&lt;&gt;"PASS","",'Motor_Meciuri'!AU27)</x:f>
      </x:c>
      <x:c r="M304" s="10" t="str">
        <x:f>IF(NOT(AND(J304="PASS",'Calibrare_Linii'!U10="VALID")),"",1-'Distributie'!AE27)</x:f>
      </x:c>
      <x:c r="N304" s="10" t="str">
        <x:f>IF(M304="","",MAX(0.01,MIN(0.99,0.5+(M304-0.5)*'Motor_Meciuri'!BG27*'Calibrare_Linii'!D10)))</x:f>
      </x:c>
      <x:c r="O304" s="10" t="str">
        <x:f>IF(M304="","",1-M304)</x:f>
      </x:c>
      <x:c r="P304" s="10" t="str">
        <x:f>IF(OR(NOT(AND(J304="PASS",'Calibrare_Linii'!U10="VALID")),AK304=0),""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*('Istoric_Nativ'!$Q$6:$Q$405&lt;=H304))/AK304)</x:f>
      </x:c>
      <x:c r="Q304" s="10" t="str">
        <x:f>IF(OR(NOT(AND(J304="PASS",'Calibrare_Linii'!U10="VALID")),AL304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M27)+((('Istoric_Nativ'!$E$6:$E$405='Input_Meci'!E27)+('Istoric_Nativ'!$F$6:$F$405='Input_Meci'!E27))&gt;0)*('Istoric_Nativ'!$D$6:$D$405&gt;='Motor_Meciuri'!BN27))&gt;0)*('Istoric_Nativ'!$Q$6:$Q$405&lt;=H304))/AL304)</x:f>
      </x:c>
      <x:c r="R304" s="10" t="str">
        <x:f>IF(OR(NOT(AND(J304="PASS",'Calibrare_Linii'!U10="VALID")),AM304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O27)+((('Istoric_Nativ'!$E$6:$E$405='Input_Meci'!E27)+('Istoric_Nativ'!$F$6:$F$405='Input_Meci'!E27))&gt;0)*('Istoric_Nativ'!$D$6:$D$405&gt;='Motor_Meciuri'!BP27))&gt;0)*('Istoric_Nativ'!$Q$6:$Q$405&lt;=H304))/AM304)</x:f>
      </x:c>
      <x:c r="S304" s="10" t="str">
        <x:f>IF(M304="","",MAX(O304,P304,Q304,R304))</x:f>
      </x:c>
      <x:c r="T304" s="11" t="str">
        <x:f>IF(M304="","",MIN(100,S304*100*'Config_v6'!$B$44+MIN(100,L304/'Config_v6'!$B$13*100)*'Config_v6'!$B$45+(100-'Motor_Meciuri'!BF27)*'Config_v6'!$B$46+'Motor_Meciuri'!BH27*100*'Config_v6'!$B$47))</x:f>
      </x:c>
      <x:c r="U304" s="2" t="str">
        <x:f>IF(T304="","",IF(T304&lt;=20,1,IF(T304&lt;=40,2,IF(T304&lt;=60,3,IF(T304&lt;=80,4,5)))))</x:f>
      </x:c>
      <x:c r="V304" s="2" t="str">
        <x:f>IF(M304="","",MAX(0,'Motor_Meciuri'!BF27-IF(W304="OOS PENDING",'Config_v6'!$B$35,0)-IF(L304&gt;'Config_v6'!$B$12,'Config_v6'!$B$37,IF(L304&gt;'Config_v6'!$B$11,'Config_v6'!$B$36,0))))</x:f>
      </x:c>
      <x:c r="W304" s="2" t="str">
        <x:f>IF(B304="","",IF(I304&lt;&gt;"READY","NOT RELEASED",IF(NOT(AND(J304="PASS",'Calibrare_Linii'!U10="VALID")),"INVALID",IF(NOT(AND('Calibrare_Linii'!S10="VALIDATED",AND('Calibrare_Linii'!H10=C304,ISNUMBER('Calibrare_Linii'!J10),'Calibrare_Linii'!J10&lt;='Input_Meci'!G27))),"OOS PENDING",IF(S304&lt;='Calibrare_Linii'!E10,"PASS",IF(S304&lt;='Calibrare_Linii'!F10,"PENALTY","WATCH"))))))</x:f>
      </x:c>
      <x:c r="X304" s="2" t="str">
        <x:f>IF(M304="","",IF(AND(AND(J304="PASS",'Calibrare_Linii'!U10="VALID"),'Motor_Meciuri'!K27=12,'Motor_Meciuri'!L27=12,'Motor_Meciuri'!M27="NO",'Motor_Meciuri'!BL27='Motor_Meciuri'!C27,AB304&gt;='Config_v6'!$B$50,AN304&gt;='Config_v6'!$B$51,T304&lt;='Config_v6'!$B$52,L304&lt;='Config_v6'!$B$53,ISNUMBER('Calibrare_Linii'!E10),S304&lt;='Calibrare_Linii'!E10,SUM(AK304:AM304)&gt;0),"CANDIDATE","NO"))</x:f>
      </x:c>
      <x:c r="Y304" s="2" t="str">
        <x:f>IF(B304="","",IF(I304&lt;&gt;"READY","NOT RELEASED",IF(AND(X304="CANDIDATE",V304&gt;='Config_v6'!$B$51,W304="PASS",'Calibrare_Linii'!T10="VALIDATED",AND('Calibrare_Linii'!H10=C304,ISNUMBER('Calibrare_Linii'!J10),'Calibrare_Linii'!J10&lt;='Input_Meci'!G27)),"PASS",IF(X304="CANDIDATE","OOS PENDING","FAIL"))))</x:f>
      </x:c>
      <x:c r="Z304" s="2" t="str">
        <x:f>IF(B304="","",IF(I304&lt;&gt;"READY","",IF(OR(NOT(AND(J304="PASS",'Calibrare_Linii'!U10="VALID")),L304&gt;'Config_v6'!$B$13,W304="WATCH"),5,IF(Y304="PASS",1,MIN(5,MAX('Config_v6'!$B$42,U304)+IF(W304="PENALTY",1,0))))))</x:f>
      </x:c>
      <x:c r="AA304" s="2" t="str">
        <x:f>IF(B304="","",IF(I304&lt;&gt;"READY","NOT RELEASED",IF(Z304=5,"NO BET",IF(OR(AB304&lt;'Config_v6'!$B$16,V304&lt;'Config_v6'!$B$18),"WATCH",IF(Z304=1,"DEFENSIV",IF(Z304=2,"PRUDENT",IF(Z304=3,"MODERAT","RIDICAT")))))))</x:f>
      </x:c>
      <x:c r="AB304" s="10" t="str">
        <x:f>IF(N304="","",MIN(N304,1-S304))</x:f>
      </x:c>
      <x:c r="AC304" s="2" t="str">
        <x:f>IF(AD304&lt;&gt;1,"",COUNTIFS($Z$300:$Z$313,"&lt;"&amp;Z304,$AD$300:$AD$313,1)+COUNTIFS($Z$300:$Z$313,Z304,$AB$300:$AB$313,"&gt;"&amp;AB304,$AD$300:$AD$313,1)+COUNTIFS($Z$300:$Z$313,Z304,$AB$300:$AB$313,AB304,$V$300:$V$313,"&gt;"&amp;V304,$AD$300:$AD$313,1)+COUNTIFS($Z$300:Z304,Z304,$AB$300:AB304,AB304,$V$300:V304,V304,$AD$300:AD304,1))</x:f>
      </x:c>
      <x:c r="AD304" s="2" t="n">
        <x:f>IF(OR(AA304="DEFENSIV",AA304="PRUDENT",AA304="MODERAT",AA304="RIDICAT"),1,0)</x:f>
        <x:v>0</x:v>
      </x:c>
      <x:c r="AE304" s="2" t="str">
        <x:f>IF(AD304&lt;&gt;1,"NO",IF(W304="PASS","YES",IF(W304="OOS PENDING","CONDITIONAL","NO")))</x:f>
        <x:v>NO</x:v>
      </x:c>
      <x:c r="AF304" s="2" t="n">
        <x:f>IF(AND(AD304=1,AC304=1,E304="LIVE"),1,0)</x:f>
        <x:v>0</x:v>
      </x:c>
      <x:c r="AG304" s="2" t="str">
        <x:f>IF(AF304&lt;&gt;1,"",'Dashboard'!P47)</x:f>
      </x:c>
      <x:c r="AH304" s="2" t="str">
        <x:f>IF(B304="","",IF(J304&lt;&gt;"PASS",'Motor_Meciuri'!J27,IF('Calibrare_Linii'!U10&lt;&gt;"VALID","Parametri linie invalizi",IF(L304&gt;'Config_v6'!$B$13,"Dispersie peste limita",IF(W304="WATCH","Failure peste limita",IF(AB304&lt;'Config_v6'!$B$16,"P finala sub prag",IF(V304&lt;'Config_v6'!$B$18,"Confidence sub prag",IF(E304="REPLAY","Exemplu retrospectiv; exclus din Top LIVE",IF(Y304="PASS","DEFENSIV validat",IF(W304="OOS PENDING","Eligibil; calibrare linie in monitorizare","Eligibil"))))))))))</x:f>
      </x:c>
      <x:c r="AI304" s="2" t="str">
        <x:f>IF(B304="","",'Calibrare_Linii'!V10)</x:f>
      </x:c>
      <x:c r="AJ304" s="2" t="str">
        <x:f>IF(B304="","",IF(AND('Calibrare_Linii'!T10="VALIDATED",AND('Calibrare_Linii'!H10=C304,ISNUMBER('Calibrare_Linii'!J10),'Calibrare_Linii'!J10&lt;='Input_Meci'!G27)),"DEFENSIVE VALIDATED",IF(AND('Calibrare_Linii'!S10="VALIDATED",AND('Calibrare_Linii'!H10=C304,ISNUMBER('Calibrare_Linii'!J10),'Calibrare_Linii'!J10&lt;='Input_Meci'!G27)),"TAIL VALIDATED","OOS PENDING")))</x:f>
      </x:c>
      <x:c r="AK304" s="2" t="n">
        <x:f>IF(J304&lt;&gt;"PASS",0,'Motor_Meciuri'!BR27)</x:f>
        <x:v>0</x:v>
      </x:c>
      <x:c r="AL304" s="2" t="n">
        <x:f>IF(J304&lt;&gt;"PASS",0,'Motor_Meciuri'!BS27)</x:f>
        <x:v>0</x:v>
      </x:c>
      <x:c r="AM304" s="2" t="n">
        <x:f>IF(J304&lt;&gt;"PASS",0,'Motor_Meciuri'!BT27)</x:f>
        <x:v>0</x:v>
      </x:c>
      <x:c r="AN304" s="2" t="str">
        <x:f>IF(M304="","",MAX(0,'Motor_Meciuri'!BF27-IF(L304&gt;'Config_v6'!$B$12,'Config_v6'!$B$37,IF(L304&gt;'Config_v6'!$B$11,'Config_v6'!$B$36,0))))</x:f>
      </x:c>
    </x:row>
    <x:row r="305" ht="21" customHeight="1">
      <x:c r="A305" s="2" t="n">
        <x:v>22</x:v>
      </x:c>
      <x:c r="B305" s="2" t="str">
        <x:f>IF('Motor_Meciuri'!A27="","",'Motor_Meciuri'!A27)</x:f>
      </x:c>
      <x:c r="C305" s="2" t="str">
        <x:f>IF(B305="","",'Motor_Meciuri'!B27)</x:f>
      </x:c>
      <x:c r="D305" s="2" t="str">
        <x:f>IF(B305="","",'Motor_Meciuri'!D27)</x:f>
      </x:c>
      <x:c r="E305" s="2" t="str">
        <x:f>IF(B305="","",'Motor_Meciuri'!E27)</x:f>
      </x:c>
      <x:c r="F305" s="2" t="str">
        <x:v>O8,5</x:v>
      </x:c>
      <x:c r="G305" s="2" t="str">
        <x:v>OVER</x:v>
      </x:c>
      <x:c r="H305" s="2" t="n">
        <x:v>8</x:v>
      </x:c>
      <x:c r="I305" s="2" t="str">
        <x:f>IF(B305="","",'Motor_Meciuri'!H27)</x:f>
      </x:c>
      <x:c r="J305" s="2" t="str">
        <x:f>IF(B305="","",'Motor_Meciuri'!I27)</x:f>
      </x:c>
      <x:c r="K305" s="11" t="str">
        <x:f>IF(J305&lt;&gt;"PASS","",'Motor_Meciuri'!BD27)</x:f>
      </x:c>
      <x:c r="L305" s="11" t="str">
        <x:f>IF(J305&lt;&gt;"PASS","",'Motor_Meciuri'!AU27)</x:f>
      </x:c>
      <x:c r="M305" s="10" t="str">
        <x:f>IF(NOT(AND(J305="PASS",'Calibrare_Linii'!U11="VALID")),"",1-'Distributie'!AF27)</x:f>
      </x:c>
      <x:c r="N305" s="10" t="str">
        <x:f>IF(M305="","",MAX(0.01,MIN(0.99,0.5+(M305-0.5)*'Motor_Meciuri'!BG27*'Calibrare_Linii'!D11)))</x:f>
      </x:c>
      <x:c r="O305" s="10" t="str">
        <x:f>IF(M305="","",1-M305)</x:f>
      </x:c>
      <x:c r="P305" s="10" t="str">
        <x:f>IF(OR(NOT(AND(J305="PASS",'Calibrare_Linii'!U11="VALID")),AK305=0),""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*('Istoric_Nativ'!$Q$6:$Q$405&lt;=H305))/AK305)</x:f>
      </x:c>
      <x:c r="Q305" s="10" t="str">
        <x:f>IF(OR(NOT(AND(J305="PASS",'Calibrare_Linii'!U11="VALID")),AL305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M27)+((('Istoric_Nativ'!$E$6:$E$405='Input_Meci'!E27)+('Istoric_Nativ'!$F$6:$F$405='Input_Meci'!E27))&gt;0)*('Istoric_Nativ'!$D$6:$D$405&gt;='Motor_Meciuri'!BN27))&gt;0)*('Istoric_Nativ'!$Q$6:$Q$405&lt;=H305))/AL305)</x:f>
      </x:c>
      <x:c r="R305" s="10" t="str">
        <x:f>IF(OR(NOT(AND(J305="PASS",'Calibrare_Linii'!U11="VALID")),AM305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O27)+((('Istoric_Nativ'!$E$6:$E$405='Input_Meci'!E27)+('Istoric_Nativ'!$F$6:$F$405='Input_Meci'!E27))&gt;0)*('Istoric_Nativ'!$D$6:$D$405&gt;='Motor_Meciuri'!BP27))&gt;0)*('Istoric_Nativ'!$Q$6:$Q$405&lt;=H305))/AM305)</x:f>
      </x:c>
      <x:c r="S305" s="10" t="str">
        <x:f>IF(M305="","",MAX(O305,P305,Q305,R305))</x:f>
      </x:c>
      <x:c r="T305" s="11" t="str">
        <x:f>IF(M305="","",MIN(100,S305*100*'Config_v6'!$B$44+MIN(100,L305/'Config_v6'!$B$13*100)*'Config_v6'!$B$45+(100-'Motor_Meciuri'!BF27)*'Config_v6'!$B$46+'Motor_Meciuri'!BH27*100*'Config_v6'!$B$47))</x:f>
      </x:c>
      <x:c r="U305" s="2" t="str">
        <x:f>IF(T305="","",IF(T305&lt;=20,1,IF(T305&lt;=40,2,IF(T305&lt;=60,3,IF(T305&lt;=80,4,5)))))</x:f>
      </x:c>
      <x:c r="V305" s="2" t="str">
        <x:f>IF(M305="","",MAX(0,'Motor_Meciuri'!BF27-IF(W305="OOS PENDING",'Config_v6'!$B$35,0)-IF(L305&gt;'Config_v6'!$B$12,'Config_v6'!$B$37,IF(L305&gt;'Config_v6'!$B$11,'Config_v6'!$B$36,0))))</x:f>
      </x:c>
      <x:c r="W305" s="2" t="str">
        <x:f>IF(B305="","",IF(I305&lt;&gt;"READY","NOT RELEASED",IF(NOT(AND(J305="PASS",'Calibrare_Linii'!U11="VALID")),"INVALID",IF(NOT(AND('Calibrare_Linii'!S11="VALIDATED",AND('Calibrare_Linii'!H11=C305,ISNUMBER('Calibrare_Linii'!J11),'Calibrare_Linii'!J11&lt;='Input_Meci'!G27))),"OOS PENDING",IF(S305&lt;='Calibrare_Linii'!E11,"PASS",IF(S305&lt;='Calibrare_Linii'!F11,"PENALTY","WATCH"))))))</x:f>
      </x:c>
      <x:c r="X305" s="2" t="str">
        <x:f>IF(M305="","",IF(AND(AND(J305="PASS",'Calibrare_Linii'!U11="VALID"),'Motor_Meciuri'!K27=12,'Motor_Meciuri'!L27=12,'Motor_Meciuri'!M27="NO",'Motor_Meciuri'!BL27='Motor_Meciuri'!C27,AB305&gt;='Config_v6'!$B$50,AN305&gt;='Config_v6'!$B$51,T305&lt;='Config_v6'!$B$52,L305&lt;='Config_v6'!$B$53,ISNUMBER('Calibrare_Linii'!E11),S305&lt;='Calibrare_Linii'!E11,SUM(AK305:AM305)&gt;0),"CANDIDATE","NO"))</x:f>
      </x:c>
      <x:c r="Y305" s="2" t="str">
        <x:f>IF(B305="","",IF(I305&lt;&gt;"READY","NOT RELEASED",IF(AND(X305="CANDIDATE",V305&gt;='Config_v6'!$B$51,W305="PASS",'Calibrare_Linii'!T11="VALIDATED",AND('Calibrare_Linii'!H11=C305,ISNUMBER('Calibrare_Linii'!J11),'Calibrare_Linii'!J11&lt;='Input_Meci'!G27)),"PASS",IF(X305="CANDIDATE","OOS PENDING","FAIL"))))</x:f>
      </x:c>
      <x:c r="Z305" s="2" t="str">
        <x:f>IF(B305="","",IF(I305&lt;&gt;"READY","",IF(OR(NOT(AND(J305="PASS",'Calibrare_Linii'!U11="VALID")),L305&gt;'Config_v6'!$B$13,W305="WATCH"),5,IF(Y305="PASS",1,MIN(5,MAX('Config_v6'!$B$42,U305)+IF(W305="PENALTY",1,0))))))</x:f>
      </x:c>
      <x:c r="AA305" s="2" t="str">
        <x:f>IF(B305="","",IF(I305&lt;&gt;"READY","NOT RELEASED",IF(Z305=5,"NO BET",IF(OR(AB305&lt;'Config_v6'!$B$16,V305&lt;'Config_v6'!$B$18),"WATCH",IF(Z305=1,"DEFENSIV",IF(Z305=2,"PRUDENT",IF(Z305=3,"MODERAT","RIDICAT")))))))</x:f>
      </x:c>
      <x:c r="AB305" s="10" t="str">
        <x:f>IF(N305="","",MIN(N305,1-S305))</x:f>
      </x:c>
      <x:c r="AC305" s="2" t="str">
        <x:f>IF(AD305&lt;&gt;1,"",COUNTIFS($Z$300:$Z$313,"&lt;"&amp;Z305,$AD$300:$AD$313,1)+COUNTIFS($Z$300:$Z$313,Z305,$AB$300:$AB$313,"&gt;"&amp;AB305,$AD$300:$AD$313,1)+COUNTIFS($Z$300:$Z$313,Z305,$AB$300:$AB$313,AB305,$V$300:$V$313,"&gt;"&amp;V305,$AD$300:$AD$313,1)+COUNTIFS($Z$300:Z305,Z305,$AB$300:AB305,AB305,$V$300:V305,V305,$AD$300:AD305,1))</x:f>
      </x:c>
      <x:c r="AD305" s="2" t="n">
        <x:f>IF(OR(AA305="DEFENSIV",AA305="PRUDENT",AA305="MODERAT",AA305="RIDICAT"),1,0)</x:f>
        <x:v>0</x:v>
      </x:c>
      <x:c r="AE305" s="2" t="str">
        <x:f>IF(AD305&lt;&gt;1,"NO",IF(W305="PASS","YES",IF(W305="OOS PENDING","CONDITIONAL","NO")))</x:f>
        <x:v>NO</x:v>
      </x:c>
      <x:c r="AF305" s="2" t="n">
        <x:f>IF(AND(AD305=1,AC305=1,E305="LIVE"),1,0)</x:f>
        <x:v>0</x:v>
      </x:c>
      <x:c r="AG305" s="2" t="str">
        <x:f>IF(AF305&lt;&gt;1,"",'Dashboard'!P47)</x:f>
      </x:c>
      <x:c r="AH305" s="2" t="str">
        <x:f>IF(B305="","",IF(J305&lt;&gt;"PASS",'Motor_Meciuri'!J27,IF('Calibrare_Linii'!U11&lt;&gt;"VALID","Parametri linie invalizi",IF(L305&gt;'Config_v6'!$B$13,"Dispersie peste limita",IF(W305="WATCH","Failure peste limita",IF(AB305&lt;'Config_v6'!$B$16,"P finala sub prag",IF(V305&lt;'Config_v6'!$B$18,"Confidence sub prag",IF(E305="REPLAY","Exemplu retrospectiv; exclus din Top LIVE",IF(Y305="PASS","DEFENSIV validat",IF(W305="OOS PENDING","Eligibil; calibrare linie in monitorizare","Eligibil"))))))))))</x:f>
      </x:c>
      <x:c r="AI305" s="2" t="str">
        <x:f>IF(B305="","",'Calibrare_Linii'!V11)</x:f>
      </x:c>
      <x:c r="AJ305" s="2" t="str">
        <x:f>IF(B305="","",IF(AND('Calibrare_Linii'!T11="VALIDATED",AND('Calibrare_Linii'!H11=C305,ISNUMBER('Calibrare_Linii'!J11),'Calibrare_Linii'!J11&lt;='Input_Meci'!G27)),"DEFENSIVE VALIDATED",IF(AND('Calibrare_Linii'!S11="VALIDATED",AND('Calibrare_Linii'!H11=C305,ISNUMBER('Calibrare_Linii'!J11),'Calibrare_Linii'!J11&lt;='Input_Meci'!G27)),"TAIL VALIDATED","OOS PENDING")))</x:f>
      </x:c>
      <x:c r="AK305" s="2" t="n">
        <x:f>IF(J305&lt;&gt;"PASS",0,'Motor_Meciuri'!BR27)</x:f>
        <x:v>0</x:v>
      </x:c>
      <x:c r="AL305" s="2" t="n">
        <x:f>IF(J305&lt;&gt;"PASS",0,'Motor_Meciuri'!BS27)</x:f>
        <x:v>0</x:v>
      </x:c>
      <x:c r="AM305" s="2" t="n">
        <x:f>IF(J305&lt;&gt;"PASS",0,'Motor_Meciuri'!BT27)</x:f>
        <x:v>0</x:v>
      </x:c>
      <x:c r="AN305" s="2" t="str">
        <x:f>IF(M305="","",MAX(0,'Motor_Meciuri'!BF27-IF(L305&gt;'Config_v6'!$B$12,'Config_v6'!$B$37,IF(L305&gt;'Config_v6'!$B$11,'Config_v6'!$B$36,0))))</x:f>
      </x:c>
    </x:row>
    <x:row r="306" ht="21" customHeight="1">
      <x:c r="A306" s="2" t="n">
        <x:v>22</x:v>
      </x:c>
      <x:c r="B306" s="2" t="str">
        <x:f>IF('Motor_Meciuri'!A27="","",'Motor_Meciuri'!A27)</x:f>
      </x:c>
      <x:c r="C306" s="2" t="str">
        <x:f>IF(B306="","",'Motor_Meciuri'!B27)</x:f>
      </x:c>
      <x:c r="D306" s="2" t="str">
        <x:f>IF(B306="","",'Motor_Meciuri'!D27)</x:f>
      </x:c>
      <x:c r="E306" s="2" t="str">
        <x:f>IF(B306="","",'Motor_Meciuri'!E27)</x:f>
      </x:c>
      <x:c r="F306" s="2" t="str">
        <x:v>U10,5</x:v>
      </x:c>
      <x:c r="G306" s="2" t="str">
        <x:v>UNDER</x:v>
      </x:c>
      <x:c r="H306" s="2" t="n">
        <x:v>10</x:v>
      </x:c>
      <x:c r="I306" s="2" t="str">
        <x:f>IF(B306="","",'Motor_Meciuri'!H27)</x:f>
      </x:c>
      <x:c r="J306" s="2" t="str">
        <x:f>IF(B306="","",'Motor_Meciuri'!I27)</x:f>
      </x:c>
      <x:c r="K306" s="11" t="str">
        <x:f>IF(J306&lt;&gt;"PASS","",'Motor_Meciuri'!BD27)</x:f>
      </x:c>
      <x:c r="L306" s="11" t="str">
        <x:f>IF(J306&lt;&gt;"PASS","",'Motor_Meciuri'!AU27)</x:f>
      </x:c>
      <x:c r="M306" s="10" t="str">
        <x:f>IF(NOT(AND(J306="PASS",'Calibrare_Linii'!U12="VALID")),"",'Distributie'!AH27)</x:f>
      </x:c>
      <x:c r="N306" s="10" t="str">
        <x:f>IF(M306="","",MAX(0.01,MIN(0.99,0.5+(M306-0.5)*'Motor_Meciuri'!BG27*'Calibrare_Linii'!D12)))</x:f>
      </x:c>
      <x:c r="O306" s="10" t="str">
        <x:f>IF(M306="","",1-M306)</x:f>
      </x:c>
      <x:c r="P306" s="10" t="str">
        <x:f>IF(OR(NOT(AND(J306="PASS",'Calibrare_Linii'!U12="VALID")),AK306=0),""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*('Istoric_Nativ'!$Q$6:$Q$405&gt;H306))/AK306)</x:f>
      </x:c>
      <x:c r="Q306" s="10" t="str">
        <x:f>IF(OR(NOT(AND(J306="PASS",'Calibrare_Linii'!U12="VALID")),AL306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M27)+((('Istoric_Nativ'!$E$6:$E$405='Input_Meci'!E27)+('Istoric_Nativ'!$F$6:$F$405='Input_Meci'!E27))&gt;0)*('Istoric_Nativ'!$D$6:$D$405&gt;='Motor_Meciuri'!BN27))&gt;0)*('Istoric_Nativ'!$Q$6:$Q$405&gt;H306))/AL306)</x:f>
      </x:c>
      <x:c r="R306" s="10" t="str">
        <x:f>IF(OR(NOT(AND(J306="PASS",'Calibrare_Linii'!U12="VALID")),AM306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O27)+((('Istoric_Nativ'!$E$6:$E$405='Input_Meci'!E27)+('Istoric_Nativ'!$F$6:$F$405='Input_Meci'!E27))&gt;0)*('Istoric_Nativ'!$D$6:$D$405&gt;='Motor_Meciuri'!BP27))&gt;0)*('Istoric_Nativ'!$Q$6:$Q$405&gt;H306))/AM306)</x:f>
      </x:c>
      <x:c r="S306" s="10" t="str">
        <x:f>IF(M306="","",MAX(O306,P306,Q306,R306))</x:f>
      </x:c>
      <x:c r="T306" s="11" t="str">
        <x:f>IF(M306="","",MIN(100,S306*100*'Config_v6'!$B$44+MIN(100,L306/'Config_v6'!$B$13*100)*'Config_v6'!$B$45+(100-'Motor_Meciuri'!BF27)*'Config_v6'!$B$46+'Motor_Meciuri'!BH27*100*'Config_v6'!$B$47))</x:f>
      </x:c>
      <x:c r="U306" s="2" t="str">
        <x:f>IF(T306="","",IF(T306&lt;=20,1,IF(T306&lt;=40,2,IF(T306&lt;=60,3,IF(T306&lt;=80,4,5)))))</x:f>
      </x:c>
      <x:c r="V306" s="2" t="str">
        <x:f>IF(M306="","",MAX(0,'Motor_Meciuri'!BF27-IF(W306="OOS PENDING",'Config_v6'!$B$35,0)-IF(L306&gt;'Config_v6'!$B$12,'Config_v6'!$B$37,IF(L306&gt;'Config_v6'!$B$11,'Config_v6'!$B$36,0))))</x:f>
      </x:c>
      <x:c r="W306" s="2" t="str">
        <x:f>IF(B306="","",IF(I306&lt;&gt;"READY","NOT RELEASED",IF(NOT(AND(J306="PASS",'Calibrare_Linii'!U12="VALID")),"INVALID",IF(NOT(AND('Calibrare_Linii'!S12="VALIDATED",AND('Calibrare_Linii'!H12=C306,ISNUMBER('Calibrare_Linii'!J12),'Calibrare_Linii'!J12&lt;='Input_Meci'!G27))),"OOS PENDING",IF(S306&lt;='Calibrare_Linii'!E12,"PASS",IF(S306&lt;='Calibrare_Linii'!F12,"PENALTY","WATCH"))))))</x:f>
      </x:c>
      <x:c r="X306" s="2" t="str">
        <x:f>IF(M306="","",IF(AND(AND(J306="PASS",'Calibrare_Linii'!U12="VALID"),'Motor_Meciuri'!K27=12,'Motor_Meciuri'!L27=12,'Motor_Meciuri'!M27="NO",'Motor_Meciuri'!BL27='Motor_Meciuri'!C27,AB306&gt;='Config_v6'!$B$50,AN306&gt;='Config_v6'!$B$51,T306&lt;='Config_v6'!$B$52,L306&lt;='Config_v6'!$B$53,ISNUMBER('Calibrare_Linii'!E12),S306&lt;='Calibrare_Linii'!E12,SUM(AK306:AM306)&gt;0),"CANDIDATE","NO"))</x:f>
      </x:c>
      <x:c r="Y306" s="2" t="str">
        <x:f>IF(B306="","",IF(I306&lt;&gt;"READY","NOT RELEASED",IF(AND(X306="CANDIDATE",V306&gt;='Config_v6'!$B$51,W306="PASS",'Calibrare_Linii'!T12="VALIDATED",AND('Calibrare_Linii'!H12=C306,ISNUMBER('Calibrare_Linii'!J12),'Calibrare_Linii'!J12&lt;='Input_Meci'!G27)),"PASS",IF(X306="CANDIDATE","OOS PENDING","FAIL"))))</x:f>
      </x:c>
      <x:c r="Z306" s="2" t="str">
        <x:f>IF(B306="","",IF(I306&lt;&gt;"READY","",IF(OR(NOT(AND(J306="PASS",'Calibrare_Linii'!U12="VALID")),L306&gt;'Config_v6'!$B$13,W306="WATCH"),5,IF(Y306="PASS",1,MIN(5,MAX('Config_v6'!$B$42,U306)+IF(W306="PENALTY",1,0))))))</x:f>
      </x:c>
      <x:c r="AA306" s="2" t="str">
        <x:f>IF(B306="","",IF(I306&lt;&gt;"READY","NOT RELEASED",IF(Z306=5,"NO BET",IF(OR(AB306&lt;'Config_v6'!$B$16,V306&lt;'Config_v6'!$B$18),"WATCH",IF(Z306=1,"DEFENSIV",IF(Z306=2,"PRUDENT",IF(Z306=3,"MODERAT","RIDICAT")))))))</x:f>
      </x:c>
      <x:c r="AB306" s="10" t="str">
        <x:f>IF(N306="","",MIN(N306,1-S306))</x:f>
      </x:c>
      <x:c r="AC306" s="2" t="str">
        <x:f>IF(AD306&lt;&gt;1,"",COUNTIFS($Z$300:$Z$313,"&lt;"&amp;Z306,$AD$300:$AD$313,1)+COUNTIFS($Z$300:$Z$313,Z306,$AB$300:$AB$313,"&gt;"&amp;AB306,$AD$300:$AD$313,1)+COUNTIFS($Z$300:$Z$313,Z306,$AB$300:$AB$313,AB306,$V$300:$V$313,"&gt;"&amp;V306,$AD$300:$AD$313,1)+COUNTIFS($Z$300:Z306,Z306,$AB$300:AB306,AB306,$V$300:V306,V306,$AD$300:AD306,1))</x:f>
      </x:c>
      <x:c r="AD306" s="2" t="n">
        <x:f>IF(OR(AA306="DEFENSIV",AA306="PRUDENT",AA306="MODERAT",AA306="RIDICAT"),1,0)</x:f>
        <x:v>0</x:v>
      </x:c>
      <x:c r="AE306" s="2" t="str">
        <x:f>IF(AD306&lt;&gt;1,"NO",IF(W306="PASS","YES",IF(W306="OOS PENDING","CONDITIONAL","NO")))</x:f>
        <x:v>NO</x:v>
      </x:c>
      <x:c r="AF306" s="2" t="n">
        <x:f>IF(AND(AD306=1,AC306=1,E306="LIVE"),1,0)</x:f>
        <x:v>0</x:v>
      </x:c>
      <x:c r="AG306" s="2" t="str">
        <x:f>IF(AF306&lt;&gt;1,"",'Dashboard'!P47)</x:f>
      </x:c>
      <x:c r="AH306" s="2" t="str">
        <x:f>IF(B306="","",IF(J306&lt;&gt;"PASS",'Motor_Meciuri'!J27,IF('Calibrare_Linii'!U12&lt;&gt;"VALID","Parametri linie invalizi",IF(L306&gt;'Config_v6'!$B$13,"Dispersie peste limita",IF(W306="WATCH","Failure peste limita",IF(AB306&lt;'Config_v6'!$B$16,"P finala sub prag",IF(V306&lt;'Config_v6'!$B$18,"Confidence sub prag",IF(E306="REPLAY","Exemplu retrospectiv; exclus din Top LIVE",IF(Y306="PASS","DEFENSIV validat",IF(W306="OOS PENDING","Eligibil; calibrare linie in monitorizare","Eligibil"))))))))))</x:f>
      </x:c>
      <x:c r="AI306" s="2" t="str">
        <x:f>IF(B306="","",'Calibrare_Linii'!V12)</x:f>
      </x:c>
      <x:c r="AJ306" s="2" t="str">
        <x:f>IF(B306="","",IF(AND('Calibrare_Linii'!T12="VALIDATED",AND('Calibrare_Linii'!H12=C306,ISNUMBER('Calibrare_Linii'!J12),'Calibrare_Linii'!J12&lt;='Input_Meci'!G27)),"DEFENSIVE VALIDATED",IF(AND('Calibrare_Linii'!S12="VALIDATED",AND('Calibrare_Linii'!H12=C306,ISNUMBER('Calibrare_Linii'!J12),'Calibrare_Linii'!J12&lt;='Input_Meci'!G27)),"TAIL VALIDATED","OOS PENDING")))</x:f>
      </x:c>
      <x:c r="AK306" s="2" t="n">
        <x:f>IF(J306&lt;&gt;"PASS",0,'Motor_Meciuri'!BR27)</x:f>
        <x:v>0</x:v>
      </x:c>
      <x:c r="AL306" s="2" t="n">
        <x:f>IF(J306&lt;&gt;"PASS",0,'Motor_Meciuri'!BS27)</x:f>
        <x:v>0</x:v>
      </x:c>
      <x:c r="AM306" s="2" t="n">
        <x:f>IF(J306&lt;&gt;"PASS",0,'Motor_Meciuri'!BT27)</x:f>
        <x:v>0</x:v>
      </x:c>
      <x:c r="AN306" s="2" t="str">
        <x:f>IF(M306="","",MAX(0,'Motor_Meciuri'!BF27-IF(L306&gt;'Config_v6'!$B$12,'Config_v6'!$B$37,IF(L306&gt;'Config_v6'!$B$11,'Config_v6'!$B$36,0))))</x:f>
      </x:c>
    </x:row>
    <x:row r="307" ht="21" customHeight="1">
      <x:c r="A307" s="2" t="n">
        <x:v>22</x:v>
      </x:c>
      <x:c r="B307" s="2" t="str">
        <x:f>IF('Motor_Meciuri'!A27="","",'Motor_Meciuri'!A27)</x:f>
      </x:c>
      <x:c r="C307" s="2" t="str">
        <x:f>IF(B307="","",'Motor_Meciuri'!B27)</x:f>
      </x:c>
      <x:c r="D307" s="2" t="str">
        <x:f>IF(B307="","",'Motor_Meciuri'!D27)</x:f>
      </x:c>
      <x:c r="E307" s="2" t="str">
        <x:f>IF(B307="","",'Motor_Meciuri'!E27)</x:f>
      </x:c>
      <x:c r="F307" s="2" t="str">
        <x:v>U11,5</x:v>
      </x:c>
      <x:c r="G307" s="2" t="str">
        <x:v>UNDER</x:v>
      </x:c>
      <x:c r="H307" s="2" t="n">
        <x:v>11</x:v>
      </x:c>
      <x:c r="I307" s="2" t="str">
        <x:f>IF(B307="","",'Motor_Meciuri'!H27)</x:f>
      </x:c>
      <x:c r="J307" s="2" t="str">
        <x:f>IF(B307="","",'Motor_Meciuri'!I27)</x:f>
      </x:c>
      <x:c r="K307" s="11" t="str">
        <x:f>IF(J307&lt;&gt;"PASS","",'Motor_Meciuri'!BD27)</x:f>
      </x:c>
      <x:c r="L307" s="11" t="str">
        <x:f>IF(J307&lt;&gt;"PASS","",'Motor_Meciuri'!AU27)</x:f>
      </x:c>
      <x:c r="M307" s="10" t="str">
        <x:f>IF(NOT(AND(J307="PASS",'Calibrare_Linii'!U13="VALID")),"",'Distributie'!AI27)</x:f>
      </x:c>
      <x:c r="N307" s="10" t="str">
        <x:f>IF(M307="","",MAX(0.01,MIN(0.99,0.5+(M307-0.5)*'Motor_Meciuri'!BG27*'Calibrare_Linii'!D13)))</x:f>
      </x:c>
      <x:c r="O307" s="10" t="str">
        <x:f>IF(M307="","",1-M307)</x:f>
      </x:c>
      <x:c r="P307" s="10" t="str">
        <x:f>IF(OR(NOT(AND(J307="PASS",'Calibrare_Linii'!U13="VALID")),AK307=0),""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*('Istoric_Nativ'!$Q$6:$Q$405&gt;H307))/AK307)</x:f>
      </x:c>
      <x:c r="Q307" s="10" t="str">
        <x:f>IF(OR(NOT(AND(J307="PASS",'Calibrare_Linii'!U13="VALID")),AL307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M27)+((('Istoric_Nativ'!$E$6:$E$405='Input_Meci'!E27)+('Istoric_Nativ'!$F$6:$F$405='Input_Meci'!E27))&gt;0)*('Istoric_Nativ'!$D$6:$D$405&gt;='Motor_Meciuri'!BN27))&gt;0)*('Istoric_Nativ'!$Q$6:$Q$405&gt;H307))/AL307)</x:f>
      </x:c>
      <x:c r="R307" s="10" t="str">
        <x:f>IF(OR(NOT(AND(J307="PASS",'Calibrare_Linii'!U13="VALID")),AM307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O27)+((('Istoric_Nativ'!$E$6:$E$405='Input_Meci'!E27)+('Istoric_Nativ'!$F$6:$F$405='Input_Meci'!E27))&gt;0)*('Istoric_Nativ'!$D$6:$D$405&gt;='Motor_Meciuri'!BP27))&gt;0)*('Istoric_Nativ'!$Q$6:$Q$405&gt;H307))/AM307)</x:f>
      </x:c>
      <x:c r="S307" s="10" t="str">
        <x:f>IF(M307="","",MAX(O307,P307,Q307,R307))</x:f>
      </x:c>
      <x:c r="T307" s="11" t="str">
        <x:f>IF(M307="","",MIN(100,S307*100*'Config_v6'!$B$44+MIN(100,L307/'Config_v6'!$B$13*100)*'Config_v6'!$B$45+(100-'Motor_Meciuri'!BF27)*'Config_v6'!$B$46+'Motor_Meciuri'!BH27*100*'Config_v6'!$B$47))</x:f>
      </x:c>
      <x:c r="U307" s="2" t="str">
        <x:f>IF(T307="","",IF(T307&lt;=20,1,IF(T307&lt;=40,2,IF(T307&lt;=60,3,IF(T307&lt;=80,4,5)))))</x:f>
      </x:c>
      <x:c r="V307" s="2" t="str">
        <x:f>IF(M307="","",MAX(0,'Motor_Meciuri'!BF27-IF(W307="OOS PENDING",'Config_v6'!$B$35,0)-IF(L307&gt;'Config_v6'!$B$12,'Config_v6'!$B$37,IF(L307&gt;'Config_v6'!$B$11,'Config_v6'!$B$36,0))))</x:f>
      </x:c>
      <x:c r="W307" s="2" t="str">
        <x:f>IF(B307="","",IF(I307&lt;&gt;"READY","NOT RELEASED",IF(NOT(AND(J307="PASS",'Calibrare_Linii'!U13="VALID")),"INVALID",IF(NOT(AND('Calibrare_Linii'!S13="VALIDATED",AND('Calibrare_Linii'!H13=C307,ISNUMBER('Calibrare_Linii'!J13),'Calibrare_Linii'!J13&lt;='Input_Meci'!G27))),"OOS PENDING",IF(S307&lt;='Calibrare_Linii'!E13,"PASS",IF(S307&lt;='Calibrare_Linii'!F13,"PENALTY","WATCH"))))))</x:f>
      </x:c>
      <x:c r="X307" s="2" t="str">
        <x:f>IF(M307="","",IF(AND(AND(J307="PASS",'Calibrare_Linii'!U13="VALID"),'Motor_Meciuri'!K27=12,'Motor_Meciuri'!L27=12,'Motor_Meciuri'!M27="NO",'Motor_Meciuri'!BL27='Motor_Meciuri'!C27,AB307&gt;='Config_v6'!$B$50,AN307&gt;='Config_v6'!$B$51,T307&lt;='Config_v6'!$B$52,L307&lt;='Config_v6'!$B$53,ISNUMBER('Calibrare_Linii'!E13),S307&lt;='Calibrare_Linii'!E13,SUM(AK307:AM307)&gt;0),"CANDIDATE","NO"))</x:f>
      </x:c>
      <x:c r="Y307" s="2" t="str">
        <x:f>IF(B307="","",IF(I307&lt;&gt;"READY","NOT RELEASED",IF(AND(X307="CANDIDATE",V307&gt;='Config_v6'!$B$51,W307="PASS",'Calibrare_Linii'!T13="VALIDATED",AND('Calibrare_Linii'!H13=C307,ISNUMBER('Calibrare_Linii'!J13),'Calibrare_Linii'!J13&lt;='Input_Meci'!G27)),"PASS",IF(X307="CANDIDATE","OOS PENDING","FAIL"))))</x:f>
      </x:c>
      <x:c r="Z307" s="2" t="str">
        <x:f>IF(B307="","",IF(I307&lt;&gt;"READY","",IF(OR(NOT(AND(J307="PASS",'Calibrare_Linii'!U13="VALID")),L307&gt;'Config_v6'!$B$13,W307="WATCH"),5,IF(Y307="PASS",1,MIN(5,MAX('Config_v6'!$B$42,U307)+IF(W307="PENALTY",1,0))))))</x:f>
      </x:c>
      <x:c r="AA307" s="2" t="str">
        <x:f>IF(B307="","",IF(I307&lt;&gt;"READY","NOT RELEASED",IF(Z307=5,"NO BET",IF(OR(AB307&lt;'Config_v6'!$B$16,V307&lt;'Config_v6'!$B$18),"WATCH",IF(Z307=1,"DEFENSIV",IF(Z307=2,"PRUDENT",IF(Z307=3,"MODERAT","RIDICAT")))))))</x:f>
      </x:c>
      <x:c r="AB307" s="10" t="str">
        <x:f>IF(N307="","",MIN(N307,1-S307))</x:f>
      </x:c>
      <x:c r="AC307" s="2" t="str">
        <x:f>IF(AD307&lt;&gt;1,"",COUNTIFS($Z$300:$Z$313,"&lt;"&amp;Z307,$AD$300:$AD$313,1)+COUNTIFS($Z$300:$Z$313,Z307,$AB$300:$AB$313,"&gt;"&amp;AB307,$AD$300:$AD$313,1)+COUNTIFS($Z$300:$Z$313,Z307,$AB$300:$AB$313,AB307,$V$300:$V$313,"&gt;"&amp;V307,$AD$300:$AD$313,1)+COUNTIFS($Z$300:Z307,Z307,$AB$300:AB307,AB307,$V$300:V307,V307,$AD$300:AD307,1))</x:f>
      </x:c>
      <x:c r="AD307" s="2" t="n">
        <x:f>IF(OR(AA307="DEFENSIV",AA307="PRUDENT",AA307="MODERAT",AA307="RIDICAT"),1,0)</x:f>
        <x:v>0</x:v>
      </x:c>
      <x:c r="AE307" s="2" t="str">
        <x:f>IF(AD307&lt;&gt;1,"NO",IF(W307="PASS","YES",IF(W307="OOS PENDING","CONDITIONAL","NO")))</x:f>
        <x:v>NO</x:v>
      </x:c>
      <x:c r="AF307" s="2" t="n">
        <x:f>IF(AND(AD307=1,AC307=1,E307="LIVE"),1,0)</x:f>
        <x:v>0</x:v>
      </x:c>
      <x:c r="AG307" s="2" t="str">
        <x:f>IF(AF307&lt;&gt;1,"",'Dashboard'!P47)</x:f>
      </x:c>
      <x:c r="AH307" s="2" t="str">
        <x:f>IF(B307="","",IF(J307&lt;&gt;"PASS",'Motor_Meciuri'!J27,IF('Calibrare_Linii'!U13&lt;&gt;"VALID","Parametri linie invalizi",IF(L307&gt;'Config_v6'!$B$13,"Dispersie peste limita",IF(W307="WATCH","Failure peste limita",IF(AB307&lt;'Config_v6'!$B$16,"P finala sub prag",IF(V307&lt;'Config_v6'!$B$18,"Confidence sub prag",IF(E307="REPLAY","Exemplu retrospectiv; exclus din Top LIVE",IF(Y307="PASS","DEFENSIV validat",IF(W307="OOS PENDING","Eligibil; calibrare linie in monitorizare","Eligibil"))))))))))</x:f>
      </x:c>
      <x:c r="AI307" s="2" t="str">
        <x:f>IF(B307="","",'Calibrare_Linii'!V13)</x:f>
      </x:c>
      <x:c r="AJ307" s="2" t="str">
        <x:f>IF(B307="","",IF(AND('Calibrare_Linii'!T13="VALIDATED",AND('Calibrare_Linii'!H13=C307,ISNUMBER('Calibrare_Linii'!J13),'Calibrare_Linii'!J13&lt;='Input_Meci'!G27)),"DEFENSIVE VALIDATED",IF(AND('Calibrare_Linii'!S13="VALIDATED",AND('Calibrare_Linii'!H13=C307,ISNUMBER('Calibrare_Linii'!J13),'Calibrare_Linii'!J13&lt;='Input_Meci'!G27)),"TAIL VALIDATED","OOS PENDING")))</x:f>
      </x:c>
      <x:c r="AK307" s="2" t="n">
        <x:f>IF(J307&lt;&gt;"PASS",0,'Motor_Meciuri'!BR27)</x:f>
        <x:v>0</x:v>
      </x:c>
      <x:c r="AL307" s="2" t="n">
        <x:f>IF(J307&lt;&gt;"PASS",0,'Motor_Meciuri'!BS27)</x:f>
        <x:v>0</x:v>
      </x:c>
      <x:c r="AM307" s="2" t="n">
        <x:f>IF(J307&lt;&gt;"PASS",0,'Motor_Meciuri'!BT27)</x:f>
        <x:v>0</x:v>
      </x:c>
      <x:c r="AN307" s="2" t="str">
        <x:f>IF(M307="","",MAX(0,'Motor_Meciuri'!BF27-IF(L307&gt;'Config_v6'!$B$12,'Config_v6'!$B$37,IF(L307&gt;'Config_v6'!$B$11,'Config_v6'!$B$36,0))))</x:f>
      </x:c>
    </x:row>
    <x:row r="308" ht="21" customHeight="1">
      <x:c r="A308" s="2" t="n">
        <x:v>22</x:v>
      </x:c>
      <x:c r="B308" s="2" t="str">
        <x:f>IF('Motor_Meciuri'!A27="","",'Motor_Meciuri'!A27)</x:f>
      </x:c>
      <x:c r="C308" s="2" t="str">
        <x:f>IF(B308="","",'Motor_Meciuri'!B27)</x:f>
      </x:c>
      <x:c r="D308" s="2" t="str">
        <x:f>IF(B308="","",'Motor_Meciuri'!D27)</x:f>
      </x:c>
      <x:c r="E308" s="2" t="str">
        <x:f>IF(B308="","",'Motor_Meciuri'!E27)</x:f>
      </x:c>
      <x:c r="F308" s="2" t="str">
        <x:v>U12,5</x:v>
      </x:c>
      <x:c r="G308" s="2" t="str">
        <x:v>UNDER</x:v>
      </x:c>
      <x:c r="H308" s="2" t="n">
        <x:v>12</x:v>
      </x:c>
      <x:c r="I308" s="2" t="str">
        <x:f>IF(B308="","",'Motor_Meciuri'!H27)</x:f>
      </x:c>
      <x:c r="J308" s="2" t="str">
        <x:f>IF(B308="","",'Motor_Meciuri'!I27)</x:f>
      </x:c>
      <x:c r="K308" s="11" t="str">
        <x:f>IF(J308&lt;&gt;"PASS","",'Motor_Meciuri'!BD27)</x:f>
      </x:c>
      <x:c r="L308" s="11" t="str">
        <x:f>IF(J308&lt;&gt;"PASS","",'Motor_Meciuri'!AU27)</x:f>
      </x:c>
      <x:c r="M308" s="10" t="str">
        <x:f>IF(NOT(AND(J308="PASS",'Calibrare_Linii'!U14="VALID")),"",'Distributie'!AJ27)</x:f>
      </x:c>
      <x:c r="N308" s="10" t="str">
        <x:f>IF(M308="","",MAX(0.01,MIN(0.99,0.5+(M308-0.5)*'Motor_Meciuri'!BG27*'Calibrare_Linii'!D14)))</x:f>
      </x:c>
      <x:c r="O308" s="10" t="str">
        <x:f>IF(M308="","",1-M308)</x:f>
      </x:c>
      <x:c r="P308" s="10" t="str">
        <x:f>IF(OR(NOT(AND(J308="PASS",'Calibrare_Linii'!U14="VALID")),AK308=0),""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*('Istoric_Nativ'!$Q$6:$Q$405&gt;H308))/AK308)</x:f>
      </x:c>
      <x:c r="Q308" s="10" t="str">
        <x:f>IF(OR(NOT(AND(J308="PASS",'Calibrare_Linii'!U14="VALID")),AL308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M27)+((('Istoric_Nativ'!$E$6:$E$405='Input_Meci'!E27)+('Istoric_Nativ'!$F$6:$F$405='Input_Meci'!E27))&gt;0)*('Istoric_Nativ'!$D$6:$D$405&gt;='Motor_Meciuri'!BN27))&gt;0)*('Istoric_Nativ'!$Q$6:$Q$405&gt;H308))/AL308)</x:f>
      </x:c>
      <x:c r="R308" s="10" t="str">
        <x:f>IF(OR(NOT(AND(J308="PASS",'Calibrare_Linii'!U14="VALID")),AM308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O27)+((('Istoric_Nativ'!$E$6:$E$405='Input_Meci'!E27)+('Istoric_Nativ'!$F$6:$F$405='Input_Meci'!E27))&gt;0)*('Istoric_Nativ'!$D$6:$D$405&gt;='Motor_Meciuri'!BP27))&gt;0)*('Istoric_Nativ'!$Q$6:$Q$405&gt;H308))/AM308)</x:f>
      </x:c>
      <x:c r="S308" s="10" t="str">
        <x:f>IF(M308="","",MAX(O308,P308,Q308,R308))</x:f>
      </x:c>
      <x:c r="T308" s="11" t="str">
        <x:f>IF(M308="","",MIN(100,S308*100*'Config_v6'!$B$44+MIN(100,L308/'Config_v6'!$B$13*100)*'Config_v6'!$B$45+(100-'Motor_Meciuri'!BF27)*'Config_v6'!$B$46+'Motor_Meciuri'!BH27*100*'Config_v6'!$B$47))</x:f>
      </x:c>
      <x:c r="U308" s="2" t="str">
        <x:f>IF(T308="","",IF(T308&lt;=20,1,IF(T308&lt;=40,2,IF(T308&lt;=60,3,IF(T308&lt;=80,4,5)))))</x:f>
      </x:c>
      <x:c r="V308" s="2" t="str">
        <x:f>IF(M308="","",MAX(0,'Motor_Meciuri'!BF27-IF(W308="OOS PENDING",'Config_v6'!$B$35,0)-IF(L308&gt;'Config_v6'!$B$12,'Config_v6'!$B$37,IF(L308&gt;'Config_v6'!$B$11,'Config_v6'!$B$36,0))))</x:f>
      </x:c>
      <x:c r="W308" s="2" t="str">
        <x:f>IF(B308="","",IF(I308&lt;&gt;"READY","NOT RELEASED",IF(NOT(AND(J308="PASS",'Calibrare_Linii'!U14="VALID")),"INVALID",IF(NOT(AND('Calibrare_Linii'!S14="VALIDATED",AND('Calibrare_Linii'!H14=C308,ISNUMBER('Calibrare_Linii'!J14),'Calibrare_Linii'!J14&lt;='Input_Meci'!G27))),"OOS PENDING",IF(S308&lt;='Calibrare_Linii'!E14,"PASS",IF(S308&lt;='Calibrare_Linii'!F14,"PENALTY","WATCH"))))))</x:f>
      </x:c>
      <x:c r="X308" s="2" t="str">
        <x:f>IF(M308="","",IF(AND(AND(J308="PASS",'Calibrare_Linii'!U14="VALID"),'Motor_Meciuri'!K27=12,'Motor_Meciuri'!L27=12,'Motor_Meciuri'!M27="NO",'Motor_Meciuri'!BL27='Motor_Meciuri'!C27,AB308&gt;='Config_v6'!$B$50,AN308&gt;='Config_v6'!$B$51,T308&lt;='Config_v6'!$B$52,L308&lt;='Config_v6'!$B$53,ISNUMBER('Calibrare_Linii'!E14),S308&lt;='Calibrare_Linii'!E14,SUM(AK308:AM308)&gt;0),"CANDIDATE","NO"))</x:f>
      </x:c>
      <x:c r="Y308" s="2" t="str">
        <x:f>IF(B308="","",IF(I308&lt;&gt;"READY","NOT RELEASED",IF(AND(X308="CANDIDATE",V308&gt;='Config_v6'!$B$51,W308="PASS",'Calibrare_Linii'!T14="VALIDATED",AND('Calibrare_Linii'!H14=C308,ISNUMBER('Calibrare_Linii'!J14),'Calibrare_Linii'!J14&lt;='Input_Meci'!G27)),"PASS",IF(X308="CANDIDATE","OOS PENDING","FAIL"))))</x:f>
      </x:c>
      <x:c r="Z308" s="2" t="str">
        <x:f>IF(B308="","",IF(I308&lt;&gt;"READY","",IF(OR(NOT(AND(J308="PASS",'Calibrare_Linii'!U14="VALID")),L308&gt;'Config_v6'!$B$13,W308="WATCH"),5,IF(Y308="PASS",1,MIN(5,MAX('Config_v6'!$B$42,U308)+IF(W308="PENALTY",1,0))))))</x:f>
      </x:c>
      <x:c r="AA308" s="2" t="str">
        <x:f>IF(B308="","",IF(I308&lt;&gt;"READY","NOT RELEASED",IF(Z308=5,"NO BET",IF(OR(AB308&lt;'Config_v6'!$B$16,V308&lt;'Config_v6'!$B$18),"WATCH",IF(Z308=1,"DEFENSIV",IF(Z308=2,"PRUDENT",IF(Z308=3,"MODERAT","RIDICAT")))))))</x:f>
      </x:c>
      <x:c r="AB308" s="10" t="str">
        <x:f>IF(N308="","",MIN(N308,1-S308))</x:f>
      </x:c>
      <x:c r="AC308" s="2" t="str">
        <x:f>IF(AD308&lt;&gt;1,"",COUNTIFS($Z$300:$Z$313,"&lt;"&amp;Z308,$AD$300:$AD$313,1)+COUNTIFS($Z$300:$Z$313,Z308,$AB$300:$AB$313,"&gt;"&amp;AB308,$AD$300:$AD$313,1)+COUNTIFS($Z$300:$Z$313,Z308,$AB$300:$AB$313,AB308,$V$300:$V$313,"&gt;"&amp;V308,$AD$300:$AD$313,1)+COUNTIFS($Z$300:Z308,Z308,$AB$300:AB308,AB308,$V$300:V308,V308,$AD$300:AD308,1))</x:f>
      </x:c>
      <x:c r="AD308" s="2" t="n">
        <x:f>IF(OR(AA308="DEFENSIV",AA308="PRUDENT",AA308="MODERAT",AA308="RIDICAT"),1,0)</x:f>
        <x:v>0</x:v>
      </x:c>
      <x:c r="AE308" s="2" t="str">
        <x:f>IF(AD308&lt;&gt;1,"NO",IF(W308="PASS","YES",IF(W308="OOS PENDING","CONDITIONAL","NO")))</x:f>
        <x:v>NO</x:v>
      </x:c>
      <x:c r="AF308" s="2" t="n">
        <x:f>IF(AND(AD308=1,AC308=1,E308="LIVE"),1,0)</x:f>
        <x:v>0</x:v>
      </x:c>
      <x:c r="AG308" s="2" t="str">
        <x:f>IF(AF308&lt;&gt;1,"",'Dashboard'!P47)</x:f>
      </x:c>
      <x:c r="AH308" s="2" t="str">
        <x:f>IF(B308="","",IF(J308&lt;&gt;"PASS",'Motor_Meciuri'!J27,IF('Calibrare_Linii'!U14&lt;&gt;"VALID","Parametri linie invalizi",IF(L308&gt;'Config_v6'!$B$13,"Dispersie peste limita",IF(W308="WATCH","Failure peste limita",IF(AB308&lt;'Config_v6'!$B$16,"P finala sub prag",IF(V308&lt;'Config_v6'!$B$18,"Confidence sub prag",IF(E308="REPLAY","Exemplu retrospectiv; exclus din Top LIVE",IF(Y308="PASS","DEFENSIV validat",IF(W308="OOS PENDING","Eligibil; calibrare linie in monitorizare","Eligibil"))))))))))</x:f>
      </x:c>
      <x:c r="AI308" s="2" t="str">
        <x:f>IF(B308="","",'Calibrare_Linii'!V14)</x:f>
      </x:c>
      <x:c r="AJ308" s="2" t="str">
        <x:f>IF(B308="","",IF(AND('Calibrare_Linii'!T14="VALIDATED",AND('Calibrare_Linii'!H14=C308,ISNUMBER('Calibrare_Linii'!J14),'Calibrare_Linii'!J14&lt;='Input_Meci'!G27)),"DEFENSIVE VALIDATED",IF(AND('Calibrare_Linii'!S14="VALIDATED",AND('Calibrare_Linii'!H14=C308,ISNUMBER('Calibrare_Linii'!J14),'Calibrare_Linii'!J14&lt;='Input_Meci'!G27)),"TAIL VALIDATED","OOS PENDING")))</x:f>
      </x:c>
      <x:c r="AK308" s="2" t="n">
        <x:f>IF(J308&lt;&gt;"PASS",0,'Motor_Meciuri'!BR27)</x:f>
        <x:v>0</x:v>
      </x:c>
      <x:c r="AL308" s="2" t="n">
        <x:f>IF(J308&lt;&gt;"PASS",0,'Motor_Meciuri'!BS27)</x:f>
        <x:v>0</x:v>
      </x:c>
      <x:c r="AM308" s="2" t="n">
        <x:f>IF(J308&lt;&gt;"PASS",0,'Motor_Meciuri'!BT27)</x:f>
        <x:v>0</x:v>
      </x:c>
      <x:c r="AN308" s="2" t="str">
        <x:f>IF(M308="","",MAX(0,'Motor_Meciuri'!BF27-IF(L308&gt;'Config_v6'!$B$12,'Config_v6'!$B$37,IF(L308&gt;'Config_v6'!$B$11,'Config_v6'!$B$36,0))))</x:f>
      </x:c>
    </x:row>
    <x:row r="309" ht="21" customHeight="1">
      <x:c r="A309" s="2" t="n">
        <x:v>22</x:v>
      </x:c>
      <x:c r="B309" s="2" t="str">
        <x:f>IF('Motor_Meciuri'!A27="","",'Motor_Meciuri'!A27)</x:f>
      </x:c>
      <x:c r="C309" s="2" t="str">
        <x:f>IF(B309="","",'Motor_Meciuri'!B27)</x:f>
      </x:c>
      <x:c r="D309" s="2" t="str">
        <x:f>IF(B309="","",'Motor_Meciuri'!D27)</x:f>
      </x:c>
      <x:c r="E309" s="2" t="str">
        <x:f>IF(B309="","",'Motor_Meciuri'!E27)</x:f>
      </x:c>
      <x:c r="F309" s="2" t="str">
        <x:v>U13,5</x:v>
      </x:c>
      <x:c r="G309" s="2" t="str">
        <x:v>UNDER</x:v>
      </x:c>
      <x:c r="H309" s="2" t="n">
        <x:v>13</x:v>
      </x:c>
      <x:c r="I309" s="2" t="str">
        <x:f>IF(B309="","",'Motor_Meciuri'!H27)</x:f>
      </x:c>
      <x:c r="J309" s="2" t="str">
        <x:f>IF(B309="","",'Motor_Meciuri'!I27)</x:f>
      </x:c>
      <x:c r="K309" s="11" t="str">
        <x:f>IF(J309&lt;&gt;"PASS","",'Motor_Meciuri'!BD27)</x:f>
      </x:c>
      <x:c r="L309" s="11" t="str">
        <x:f>IF(J309&lt;&gt;"PASS","",'Motor_Meciuri'!AU27)</x:f>
      </x:c>
      <x:c r="M309" s="10" t="str">
        <x:f>IF(NOT(AND(J309="PASS",'Calibrare_Linii'!U15="VALID")),"",'Distributie'!AK27)</x:f>
      </x:c>
      <x:c r="N309" s="10" t="str">
        <x:f>IF(M309="","",MAX(0.01,MIN(0.99,0.5+(M309-0.5)*'Motor_Meciuri'!BG27*'Calibrare_Linii'!D15)))</x:f>
      </x:c>
      <x:c r="O309" s="10" t="str">
        <x:f>IF(M309="","",1-M309)</x:f>
      </x:c>
      <x:c r="P309" s="10" t="str">
        <x:f>IF(OR(NOT(AND(J309="PASS",'Calibrare_Linii'!U15="VALID")),AK309=0),""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*('Istoric_Nativ'!$Q$6:$Q$405&gt;H309))/AK309)</x:f>
      </x:c>
      <x:c r="Q309" s="10" t="str">
        <x:f>IF(OR(NOT(AND(J309="PASS",'Calibrare_Linii'!U15="VALID")),AL309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M27)+((('Istoric_Nativ'!$E$6:$E$405='Input_Meci'!E27)+('Istoric_Nativ'!$F$6:$F$405='Input_Meci'!E27))&gt;0)*('Istoric_Nativ'!$D$6:$D$405&gt;='Motor_Meciuri'!BN27))&gt;0)*('Istoric_Nativ'!$Q$6:$Q$405&gt;H309))/AL309)</x:f>
      </x:c>
      <x:c r="R309" s="10" t="str">
        <x:f>IF(OR(NOT(AND(J309="PASS",'Calibrare_Linii'!U15="VALID")),AM309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O27)+((('Istoric_Nativ'!$E$6:$E$405='Input_Meci'!E27)+('Istoric_Nativ'!$F$6:$F$405='Input_Meci'!E27))&gt;0)*('Istoric_Nativ'!$D$6:$D$405&gt;='Motor_Meciuri'!BP27))&gt;0)*('Istoric_Nativ'!$Q$6:$Q$405&gt;H309))/AM309)</x:f>
      </x:c>
      <x:c r="S309" s="10" t="str">
        <x:f>IF(M309="","",MAX(O309,P309,Q309,R309))</x:f>
      </x:c>
      <x:c r="T309" s="11" t="str">
        <x:f>IF(M309="","",MIN(100,S309*100*'Config_v6'!$B$44+MIN(100,L309/'Config_v6'!$B$13*100)*'Config_v6'!$B$45+(100-'Motor_Meciuri'!BF27)*'Config_v6'!$B$46+'Motor_Meciuri'!BH27*100*'Config_v6'!$B$47))</x:f>
      </x:c>
      <x:c r="U309" s="2" t="str">
        <x:f>IF(T309="","",IF(T309&lt;=20,1,IF(T309&lt;=40,2,IF(T309&lt;=60,3,IF(T309&lt;=80,4,5)))))</x:f>
      </x:c>
      <x:c r="V309" s="2" t="str">
        <x:f>IF(M309="","",MAX(0,'Motor_Meciuri'!BF27-IF(W309="OOS PENDING",'Config_v6'!$B$35,0)-IF(L309&gt;'Config_v6'!$B$12,'Config_v6'!$B$37,IF(L309&gt;'Config_v6'!$B$11,'Config_v6'!$B$36,0))))</x:f>
      </x:c>
      <x:c r="W309" s="2" t="str">
        <x:f>IF(B309="","",IF(I309&lt;&gt;"READY","NOT RELEASED",IF(NOT(AND(J309="PASS",'Calibrare_Linii'!U15="VALID")),"INVALID",IF(NOT(AND('Calibrare_Linii'!S15="VALIDATED",AND('Calibrare_Linii'!H15=C309,ISNUMBER('Calibrare_Linii'!J15),'Calibrare_Linii'!J15&lt;='Input_Meci'!G27))),"OOS PENDING",IF(S309&lt;='Calibrare_Linii'!E15,"PASS",IF(S309&lt;='Calibrare_Linii'!F15,"PENALTY","WATCH"))))))</x:f>
      </x:c>
      <x:c r="X309" s="2" t="str">
        <x:f>IF(M309="","",IF(AND(AND(J309="PASS",'Calibrare_Linii'!U15="VALID"),'Motor_Meciuri'!K27=12,'Motor_Meciuri'!L27=12,'Motor_Meciuri'!M27="NO",'Motor_Meciuri'!BL27='Motor_Meciuri'!C27,AB309&gt;='Config_v6'!$B$50,AN309&gt;='Config_v6'!$B$51,T309&lt;='Config_v6'!$B$52,L309&lt;='Config_v6'!$B$53,ISNUMBER('Calibrare_Linii'!E15),S309&lt;='Calibrare_Linii'!E15,SUM(AK309:AM309)&gt;0),"CANDIDATE","NO"))</x:f>
      </x:c>
      <x:c r="Y309" s="2" t="str">
        <x:f>IF(B309="","",IF(I309&lt;&gt;"READY","NOT RELEASED",IF(AND(X309="CANDIDATE",V309&gt;='Config_v6'!$B$51,W309="PASS",'Calibrare_Linii'!T15="VALIDATED",AND('Calibrare_Linii'!H15=C309,ISNUMBER('Calibrare_Linii'!J15),'Calibrare_Linii'!J15&lt;='Input_Meci'!G27)),"PASS",IF(X309="CANDIDATE","OOS PENDING","FAIL"))))</x:f>
      </x:c>
      <x:c r="Z309" s="2" t="str">
        <x:f>IF(B309="","",IF(I309&lt;&gt;"READY","",IF(OR(NOT(AND(J309="PASS",'Calibrare_Linii'!U15="VALID")),L309&gt;'Config_v6'!$B$13,W309="WATCH"),5,IF(Y309="PASS",1,MIN(5,MAX('Config_v6'!$B$42,U309)+IF(W309="PENALTY",1,0))))))</x:f>
      </x:c>
      <x:c r="AA309" s="2" t="str">
        <x:f>IF(B309="","",IF(I309&lt;&gt;"READY","NOT RELEASED",IF(Z309=5,"NO BET",IF(OR(AB309&lt;'Config_v6'!$B$16,V309&lt;'Config_v6'!$B$18),"WATCH",IF(Z309=1,"DEFENSIV",IF(Z309=2,"PRUDENT",IF(Z309=3,"MODERAT","RIDICAT")))))))</x:f>
      </x:c>
      <x:c r="AB309" s="10" t="str">
        <x:f>IF(N309="","",MIN(N309,1-S309))</x:f>
      </x:c>
      <x:c r="AC309" s="2" t="str">
        <x:f>IF(AD309&lt;&gt;1,"",COUNTIFS($Z$300:$Z$313,"&lt;"&amp;Z309,$AD$300:$AD$313,1)+COUNTIFS($Z$300:$Z$313,Z309,$AB$300:$AB$313,"&gt;"&amp;AB309,$AD$300:$AD$313,1)+COUNTIFS($Z$300:$Z$313,Z309,$AB$300:$AB$313,AB309,$V$300:$V$313,"&gt;"&amp;V309,$AD$300:$AD$313,1)+COUNTIFS($Z$300:Z309,Z309,$AB$300:AB309,AB309,$V$300:V309,V309,$AD$300:AD309,1))</x:f>
      </x:c>
      <x:c r="AD309" s="2" t="n">
        <x:f>IF(OR(AA309="DEFENSIV",AA309="PRUDENT",AA309="MODERAT",AA309="RIDICAT"),1,0)</x:f>
        <x:v>0</x:v>
      </x:c>
      <x:c r="AE309" s="2" t="str">
        <x:f>IF(AD309&lt;&gt;1,"NO",IF(W309="PASS","YES",IF(W309="OOS PENDING","CONDITIONAL","NO")))</x:f>
        <x:v>NO</x:v>
      </x:c>
      <x:c r="AF309" s="2" t="n">
        <x:f>IF(AND(AD309=1,AC309=1,E309="LIVE"),1,0)</x:f>
        <x:v>0</x:v>
      </x:c>
      <x:c r="AG309" s="2" t="str">
        <x:f>IF(AF309&lt;&gt;1,"",'Dashboard'!P47)</x:f>
      </x:c>
      <x:c r="AH309" s="2" t="str">
        <x:f>IF(B309="","",IF(J309&lt;&gt;"PASS",'Motor_Meciuri'!J27,IF('Calibrare_Linii'!U15&lt;&gt;"VALID","Parametri linie invalizi",IF(L309&gt;'Config_v6'!$B$13,"Dispersie peste limita",IF(W309="WATCH","Failure peste limita",IF(AB309&lt;'Config_v6'!$B$16,"P finala sub prag",IF(V309&lt;'Config_v6'!$B$18,"Confidence sub prag",IF(E309="REPLAY","Exemplu retrospectiv; exclus din Top LIVE",IF(Y309="PASS","DEFENSIV validat",IF(W309="OOS PENDING","Eligibil; calibrare linie in monitorizare","Eligibil"))))))))))</x:f>
      </x:c>
      <x:c r="AI309" s="2" t="str">
        <x:f>IF(B309="","",'Calibrare_Linii'!V15)</x:f>
      </x:c>
      <x:c r="AJ309" s="2" t="str">
        <x:f>IF(B309="","",IF(AND('Calibrare_Linii'!T15="VALIDATED",AND('Calibrare_Linii'!H15=C309,ISNUMBER('Calibrare_Linii'!J15),'Calibrare_Linii'!J15&lt;='Input_Meci'!G27)),"DEFENSIVE VALIDATED",IF(AND('Calibrare_Linii'!S15="VALIDATED",AND('Calibrare_Linii'!H15=C309,ISNUMBER('Calibrare_Linii'!J15),'Calibrare_Linii'!J15&lt;='Input_Meci'!G27)),"TAIL VALIDATED","OOS PENDING")))</x:f>
      </x:c>
      <x:c r="AK309" s="2" t="n">
        <x:f>IF(J309&lt;&gt;"PASS",0,'Motor_Meciuri'!BR27)</x:f>
        <x:v>0</x:v>
      </x:c>
      <x:c r="AL309" s="2" t="n">
        <x:f>IF(J309&lt;&gt;"PASS",0,'Motor_Meciuri'!BS27)</x:f>
        <x:v>0</x:v>
      </x:c>
      <x:c r="AM309" s="2" t="n">
        <x:f>IF(J309&lt;&gt;"PASS",0,'Motor_Meciuri'!BT27)</x:f>
        <x:v>0</x:v>
      </x:c>
      <x:c r="AN309" s="2" t="str">
        <x:f>IF(M309="","",MAX(0,'Motor_Meciuri'!BF27-IF(L309&gt;'Config_v6'!$B$12,'Config_v6'!$B$37,IF(L309&gt;'Config_v6'!$B$11,'Config_v6'!$B$36,0))))</x:f>
      </x:c>
    </x:row>
    <x:row r="310" ht="21" customHeight="1">
      <x:c r="A310" s="2" t="n">
        <x:v>22</x:v>
      </x:c>
      <x:c r="B310" s="2" t="str">
        <x:f>IF('Motor_Meciuri'!A27="","",'Motor_Meciuri'!A27)</x:f>
      </x:c>
      <x:c r="C310" s="2" t="str">
        <x:f>IF(B310="","",'Motor_Meciuri'!B27)</x:f>
      </x:c>
      <x:c r="D310" s="2" t="str">
        <x:f>IF(B310="","",'Motor_Meciuri'!D27)</x:f>
      </x:c>
      <x:c r="E310" s="2" t="str">
        <x:f>IF(B310="","",'Motor_Meciuri'!E27)</x:f>
      </x:c>
      <x:c r="F310" s="2" t="str">
        <x:v>U14,5</x:v>
      </x:c>
      <x:c r="G310" s="2" t="str">
        <x:v>UNDER</x:v>
      </x:c>
      <x:c r="H310" s="2" t="n">
        <x:v>14</x:v>
      </x:c>
      <x:c r="I310" s="2" t="str">
        <x:f>IF(B310="","",'Motor_Meciuri'!H27)</x:f>
      </x:c>
      <x:c r="J310" s="2" t="str">
        <x:f>IF(B310="","",'Motor_Meciuri'!I27)</x:f>
      </x:c>
      <x:c r="K310" s="11" t="str">
        <x:f>IF(J310&lt;&gt;"PASS","",'Motor_Meciuri'!BD27)</x:f>
      </x:c>
      <x:c r="L310" s="11" t="str">
        <x:f>IF(J310&lt;&gt;"PASS","",'Motor_Meciuri'!AU27)</x:f>
      </x:c>
      <x:c r="M310" s="10" t="str">
        <x:f>IF(NOT(AND(J310="PASS",'Calibrare_Linii'!U16="VALID")),"",'Distributie'!AL27)</x:f>
      </x:c>
      <x:c r="N310" s="10" t="str">
        <x:f>IF(M310="","",MAX(0.01,MIN(0.99,0.5+(M310-0.5)*'Motor_Meciuri'!BG27*'Calibrare_Linii'!D16)))</x:f>
      </x:c>
      <x:c r="O310" s="10" t="str">
        <x:f>IF(M310="","",1-M310)</x:f>
      </x:c>
      <x:c r="P310" s="10" t="str">
        <x:f>IF(OR(NOT(AND(J310="PASS",'Calibrare_Linii'!U16="VALID")),AK310=0),""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*('Istoric_Nativ'!$Q$6:$Q$405&gt;H310))/AK310)</x:f>
      </x:c>
      <x:c r="Q310" s="10" t="str">
        <x:f>IF(OR(NOT(AND(J310="PASS",'Calibrare_Linii'!U16="VALID")),AL310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M27)+((('Istoric_Nativ'!$E$6:$E$405='Input_Meci'!E27)+('Istoric_Nativ'!$F$6:$F$405='Input_Meci'!E27))&gt;0)*('Istoric_Nativ'!$D$6:$D$405&gt;='Motor_Meciuri'!BN27))&gt;0)*('Istoric_Nativ'!$Q$6:$Q$405&gt;H310))/AL310)</x:f>
      </x:c>
      <x:c r="R310" s="10" t="str">
        <x:f>IF(OR(NOT(AND(J310="PASS",'Calibrare_Linii'!U16="VALID")),AM310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O27)+((('Istoric_Nativ'!$E$6:$E$405='Input_Meci'!E27)+('Istoric_Nativ'!$F$6:$F$405='Input_Meci'!E27))&gt;0)*('Istoric_Nativ'!$D$6:$D$405&gt;='Motor_Meciuri'!BP27))&gt;0)*('Istoric_Nativ'!$Q$6:$Q$405&gt;H310))/AM310)</x:f>
      </x:c>
      <x:c r="S310" s="10" t="str">
        <x:f>IF(M310="","",MAX(O310,P310,Q310,R310))</x:f>
      </x:c>
      <x:c r="T310" s="11" t="str">
        <x:f>IF(M310="","",MIN(100,S310*100*'Config_v6'!$B$44+MIN(100,L310/'Config_v6'!$B$13*100)*'Config_v6'!$B$45+(100-'Motor_Meciuri'!BF27)*'Config_v6'!$B$46+'Motor_Meciuri'!BH27*100*'Config_v6'!$B$47))</x:f>
      </x:c>
      <x:c r="U310" s="2" t="str">
        <x:f>IF(T310="","",IF(T310&lt;=20,1,IF(T310&lt;=40,2,IF(T310&lt;=60,3,IF(T310&lt;=80,4,5)))))</x:f>
      </x:c>
      <x:c r="V310" s="2" t="str">
        <x:f>IF(M310="","",MAX(0,'Motor_Meciuri'!BF27-IF(W310="OOS PENDING",'Config_v6'!$B$35,0)-IF(L310&gt;'Config_v6'!$B$12,'Config_v6'!$B$37,IF(L310&gt;'Config_v6'!$B$11,'Config_v6'!$B$36,0))))</x:f>
      </x:c>
      <x:c r="W310" s="2" t="str">
        <x:f>IF(B310="","",IF(I310&lt;&gt;"READY","NOT RELEASED",IF(NOT(AND(J310="PASS",'Calibrare_Linii'!U16="VALID")),"INVALID",IF(NOT(AND('Calibrare_Linii'!S16="VALIDATED",AND('Calibrare_Linii'!H16=C310,ISNUMBER('Calibrare_Linii'!J16),'Calibrare_Linii'!J16&lt;='Input_Meci'!G27))),"OOS PENDING",IF(S310&lt;='Calibrare_Linii'!E16,"PASS",IF(S310&lt;='Calibrare_Linii'!F16,"PENALTY","WATCH"))))))</x:f>
      </x:c>
      <x:c r="X310" s="2" t="str">
        <x:f>IF(M310="","",IF(AND(AND(J310="PASS",'Calibrare_Linii'!U16="VALID"),'Motor_Meciuri'!K27=12,'Motor_Meciuri'!L27=12,'Motor_Meciuri'!M27="NO",'Motor_Meciuri'!BL27='Motor_Meciuri'!C27,AB310&gt;='Config_v6'!$B$50,AN310&gt;='Config_v6'!$B$51,T310&lt;='Config_v6'!$B$52,L310&lt;='Config_v6'!$B$53,ISNUMBER('Calibrare_Linii'!E16),S310&lt;='Calibrare_Linii'!E16,SUM(AK310:AM310)&gt;0),"CANDIDATE","NO"))</x:f>
      </x:c>
      <x:c r="Y310" s="2" t="str">
        <x:f>IF(B310="","",IF(I310&lt;&gt;"READY","NOT RELEASED",IF(AND(X310="CANDIDATE",V310&gt;='Config_v6'!$B$51,W310="PASS",'Calibrare_Linii'!T16="VALIDATED",AND('Calibrare_Linii'!H16=C310,ISNUMBER('Calibrare_Linii'!J16),'Calibrare_Linii'!J16&lt;='Input_Meci'!G27)),"PASS",IF(X310="CANDIDATE","OOS PENDING","FAIL"))))</x:f>
      </x:c>
      <x:c r="Z310" s="2" t="str">
        <x:f>IF(B310="","",IF(I310&lt;&gt;"READY","",IF(OR(NOT(AND(J310="PASS",'Calibrare_Linii'!U16="VALID")),L310&gt;'Config_v6'!$B$13,W310="WATCH"),5,IF(Y310="PASS",1,MIN(5,MAX('Config_v6'!$B$42,U310)+IF(W310="PENALTY",1,0))))))</x:f>
      </x:c>
      <x:c r="AA310" s="2" t="str">
        <x:f>IF(B310="","",IF(I310&lt;&gt;"READY","NOT RELEASED",IF(Z310=5,"NO BET",IF(OR(AB310&lt;'Config_v6'!$B$16,V310&lt;'Config_v6'!$B$18),"WATCH",IF(Z310=1,"DEFENSIV",IF(Z310=2,"PRUDENT",IF(Z310=3,"MODERAT","RIDICAT")))))))</x:f>
      </x:c>
      <x:c r="AB310" s="10" t="str">
        <x:f>IF(N310="","",MIN(N310,1-S310))</x:f>
      </x:c>
      <x:c r="AC310" s="2" t="str">
        <x:f>IF(AD310&lt;&gt;1,"",COUNTIFS($Z$300:$Z$313,"&lt;"&amp;Z310,$AD$300:$AD$313,1)+COUNTIFS($Z$300:$Z$313,Z310,$AB$300:$AB$313,"&gt;"&amp;AB310,$AD$300:$AD$313,1)+COUNTIFS($Z$300:$Z$313,Z310,$AB$300:$AB$313,AB310,$V$300:$V$313,"&gt;"&amp;V310,$AD$300:$AD$313,1)+COUNTIFS($Z$300:Z310,Z310,$AB$300:AB310,AB310,$V$300:V310,V310,$AD$300:AD310,1))</x:f>
      </x:c>
      <x:c r="AD310" s="2" t="n">
        <x:f>IF(OR(AA310="DEFENSIV",AA310="PRUDENT",AA310="MODERAT",AA310="RIDICAT"),1,0)</x:f>
        <x:v>0</x:v>
      </x:c>
      <x:c r="AE310" s="2" t="str">
        <x:f>IF(AD310&lt;&gt;1,"NO",IF(W310="PASS","YES",IF(W310="OOS PENDING","CONDITIONAL","NO")))</x:f>
        <x:v>NO</x:v>
      </x:c>
      <x:c r="AF310" s="2" t="n">
        <x:f>IF(AND(AD310=1,AC310=1,E310="LIVE"),1,0)</x:f>
        <x:v>0</x:v>
      </x:c>
      <x:c r="AG310" s="2" t="str">
        <x:f>IF(AF310&lt;&gt;1,"",'Dashboard'!P47)</x:f>
      </x:c>
      <x:c r="AH310" s="2" t="str">
        <x:f>IF(B310="","",IF(J310&lt;&gt;"PASS",'Motor_Meciuri'!J27,IF('Calibrare_Linii'!U16&lt;&gt;"VALID","Parametri linie invalizi",IF(L310&gt;'Config_v6'!$B$13,"Dispersie peste limita",IF(W310="WATCH","Failure peste limita",IF(AB310&lt;'Config_v6'!$B$16,"P finala sub prag",IF(V310&lt;'Config_v6'!$B$18,"Confidence sub prag",IF(E310="REPLAY","Exemplu retrospectiv; exclus din Top LIVE",IF(Y310="PASS","DEFENSIV validat",IF(W310="OOS PENDING","Eligibil; calibrare linie in monitorizare","Eligibil"))))))))))</x:f>
      </x:c>
      <x:c r="AI310" s="2" t="str">
        <x:f>IF(B310="","",'Calibrare_Linii'!V16)</x:f>
      </x:c>
      <x:c r="AJ310" s="2" t="str">
        <x:f>IF(B310="","",IF(AND('Calibrare_Linii'!T16="VALIDATED",AND('Calibrare_Linii'!H16=C310,ISNUMBER('Calibrare_Linii'!J16),'Calibrare_Linii'!J16&lt;='Input_Meci'!G27)),"DEFENSIVE VALIDATED",IF(AND('Calibrare_Linii'!S16="VALIDATED",AND('Calibrare_Linii'!H16=C310,ISNUMBER('Calibrare_Linii'!J16),'Calibrare_Linii'!J16&lt;='Input_Meci'!G27)),"TAIL VALIDATED","OOS PENDING")))</x:f>
      </x:c>
      <x:c r="AK310" s="2" t="n">
        <x:f>IF(J310&lt;&gt;"PASS",0,'Motor_Meciuri'!BR27)</x:f>
        <x:v>0</x:v>
      </x:c>
      <x:c r="AL310" s="2" t="n">
        <x:f>IF(J310&lt;&gt;"PASS",0,'Motor_Meciuri'!BS27)</x:f>
        <x:v>0</x:v>
      </x:c>
      <x:c r="AM310" s="2" t="n">
        <x:f>IF(J310&lt;&gt;"PASS",0,'Motor_Meciuri'!BT27)</x:f>
        <x:v>0</x:v>
      </x:c>
      <x:c r="AN310" s="2" t="str">
        <x:f>IF(M310="","",MAX(0,'Motor_Meciuri'!BF27-IF(L310&gt;'Config_v6'!$B$12,'Config_v6'!$B$37,IF(L310&gt;'Config_v6'!$B$11,'Config_v6'!$B$36,0))))</x:f>
      </x:c>
    </x:row>
    <x:row r="311" ht="21" customHeight="1">
      <x:c r="A311" s="2" t="n">
        <x:v>22</x:v>
      </x:c>
      <x:c r="B311" s="2" t="str">
        <x:f>IF('Motor_Meciuri'!A27="","",'Motor_Meciuri'!A27)</x:f>
      </x:c>
      <x:c r="C311" s="2" t="str">
        <x:f>IF(B311="","",'Motor_Meciuri'!B27)</x:f>
      </x:c>
      <x:c r="D311" s="2" t="str">
        <x:f>IF(B311="","",'Motor_Meciuri'!D27)</x:f>
      </x:c>
      <x:c r="E311" s="2" t="str">
        <x:f>IF(B311="","",'Motor_Meciuri'!E27)</x:f>
      </x:c>
      <x:c r="F311" s="2" t="str">
        <x:v>U15,5</x:v>
      </x:c>
      <x:c r="G311" s="2" t="str">
        <x:v>UNDER</x:v>
      </x:c>
      <x:c r="H311" s="2" t="n">
        <x:v>15</x:v>
      </x:c>
      <x:c r="I311" s="2" t="str">
        <x:f>IF(B311="","",'Motor_Meciuri'!H27)</x:f>
      </x:c>
      <x:c r="J311" s="2" t="str">
        <x:f>IF(B311="","",'Motor_Meciuri'!I27)</x:f>
      </x:c>
      <x:c r="K311" s="11" t="str">
        <x:f>IF(J311&lt;&gt;"PASS","",'Motor_Meciuri'!BD27)</x:f>
      </x:c>
      <x:c r="L311" s="11" t="str">
        <x:f>IF(J311&lt;&gt;"PASS","",'Motor_Meciuri'!AU27)</x:f>
      </x:c>
      <x:c r="M311" s="10" t="str">
        <x:f>IF(NOT(AND(J311="PASS",'Calibrare_Linii'!U17="VALID")),"",'Distributie'!AM27)</x:f>
      </x:c>
      <x:c r="N311" s="10" t="str">
        <x:f>IF(M311="","",MAX(0.01,MIN(0.99,0.5+(M311-0.5)*'Motor_Meciuri'!BG27*'Calibrare_Linii'!D17)))</x:f>
      </x:c>
      <x:c r="O311" s="10" t="str">
        <x:f>IF(M311="","",1-M311)</x:f>
      </x:c>
      <x:c r="P311" s="10" t="str">
        <x:f>IF(OR(NOT(AND(J311="PASS",'Calibrare_Linii'!U17="VALID")),AK311=0),""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*('Istoric_Nativ'!$Q$6:$Q$405&gt;H311))/AK311)</x:f>
      </x:c>
      <x:c r="Q311" s="10" t="str">
        <x:f>IF(OR(NOT(AND(J311="PASS",'Calibrare_Linii'!U17="VALID")),AL311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M27)+((('Istoric_Nativ'!$E$6:$E$405='Input_Meci'!E27)+('Istoric_Nativ'!$F$6:$F$405='Input_Meci'!E27))&gt;0)*('Istoric_Nativ'!$D$6:$D$405&gt;='Motor_Meciuri'!BN27))&gt;0)*('Istoric_Nativ'!$Q$6:$Q$405&gt;H311))/AL311)</x:f>
      </x:c>
      <x:c r="R311" s="10" t="str">
        <x:f>IF(OR(NOT(AND(J311="PASS",'Calibrare_Linii'!U17="VALID")),AM311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O27)+((('Istoric_Nativ'!$E$6:$E$405='Input_Meci'!E27)+('Istoric_Nativ'!$F$6:$F$405='Input_Meci'!E27))&gt;0)*('Istoric_Nativ'!$D$6:$D$405&gt;='Motor_Meciuri'!BP27))&gt;0)*('Istoric_Nativ'!$Q$6:$Q$405&gt;H311))/AM311)</x:f>
      </x:c>
      <x:c r="S311" s="10" t="str">
        <x:f>IF(M311="","",MAX(O311,P311,Q311,R311))</x:f>
      </x:c>
      <x:c r="T311" s="11" t="str">
        <x:f>IF(M311="","",MIN(100,S311*100*'Config_v6'!$B$44+MIN(100,L311/'Config_v6'!$B$13*100)*'Config_v6'!$B$45+(100-'Motor_Meciuri'!BF27)*'Config_v6'!$B$46+'Motor_Meciuri'!BH27*100*'Config_v6'!$B$47))</x:f>
      </x:c>
      <x:c r="U311" s="2" t="str">
        <x:f>IF(T311="","",IF(T311&lt;=20,1,IF(T311&lt;=40,2,IF(T311&lt;=60,3,IF(T311&lt;=80,4,5)))))</x:f>
      </x:c>
      <x:c r="V311" s="2" t="str">
        <x:f>IF(M311="","",MAX(0,'Motor_Meciuri'!BF27-IF(W311="OOS PENDING",'Config_v6'!$B$35,0)-IF(L311&gt;'Config_v6'!$B$12,'Config_v6'!$B$37,IF(L311&gt;'Config_v6'!$B$11,'Config_v6'!$B$36,0))))</x:f>
      </x:c>
      <x:c r="W311" s="2" t="str">
        <x:f>IF(B311="","",IF(I311&lt;&gt;"READY","NOT RELEASED",IF(NOT(AND(J311="PASS",'Calibrare_Linii'!U17="VALID")),"INVALID",IF(NOT(AND('Calibrare_Linii'!S17="VALIDATED",AND('Calibrare_Linii'!H17=C311,ISNUMBER('Calibrare_Linii'!J17),'Calibrare_Linii'!J17&lt;='Input_Meci'!G27))),"OOS PENDING",IF(S311&lt;='Calibrare_Linii'!E17,"PASS",IF(S311&lt;='Calibrare_Linii'!F17,"PENALTY","WATCH"))))))</x:f>
      </x:c>
      <x:c r="X311" s="2" t="str">
        <x:f>IF(M311="","",IF(AND(AND(J311="PASS",'Calibrare_Linii'!U17="VALID"),'Motor_Meciuri'!K27=12,'Motor_Meciuri'!L27=12,'Motor_Meciuri'!M27="NO",'Motor_Meciuri'!BL27='Motor_Meciuri'!C27,AB311&gt;='Config_v6'!$B$50,AN311&gt;='Config_v6'!$B$51,T311&lt;='Config_v6'!$B$52,L311&lt;='Config_v6'!$B$53,ISNUMBER('Calibrare_Linii'!E17),S311&lt;='Calibrare_Linii'!E17,SUM(AK311:AM311)&gt;0),"CANDIDATE","NO"))</x:f>
      </x:c>
      <x:c r="Y311" s="2" t="str">
        <x:f>IF(B311="","",IF(I311&lt;&gt;"READY","NOT RELEASED",IF(AND(X311="CANDIDATE",V311&gt;='Config_v6'!$B$51,W311="PASS",'Calibrare_Linii'!T17="VALIDATED",AND('Calibrare_Linii'!H17=C311,ISNUMBER('Calibrare_Linii'!J17),'Calibrare_Linii'!J17&lt;='Input_Meci'!G27)),"PASS",IF(X311="CANDIDATE","OOS PENDING","FAIL"))))</x:f>
      </x:c>
      <x:c r="Z311" s="2" t="str">
        <x:f>IF(B311="","",IF(I311&lt;&gt;"READY","",IF(OR(NOT(AND(J311="PASS",'Calibrare_Linii'!U17="VALID")),L311&gt;'Config_v6'!$B$13,W311="WATCH"),5,IF(Y311="PASS",1,MIN(5,MAX('Config_v6'!$B$42,U311)+IF(W311="PENALTY",1,0))))))</x:f>
      </x:c>
      <x:c r="AA311" s="2" t="str">
        <x:f>IF(B311="","",IF(I311&lt;&gt;"READY","NOT RELEASED",IF(Z311=5,"NO BET",IF(OR(AB311&lt;'Config_v6'!$B$16,V311&lt;'Config_v6'!$B$18),"WATCH",IF(Z311=1,"DEFENSIV",IF(Z311=2,"PRUDENT",IF(Z311=3,"MODERAT","RIDICAT")))))))</x:f>
      </x:c>
      <x:c r="AB311" s="10" t="str">
        <x:f>IF(N311="","",MIN(N311,1-S311))</x:f>
      </x:c>
      <x:c r="AC311" s="2" t="str">
        <x:f>IF(AD311&lt;&gt;1,"",COUNTIFS($Z$300:$Z$313,"&lt;"&amp;Z311,$AD$300:$AD$313,1)+COUNTIFS($Z$300:$Z$313,Z311,$AB$300:$AB$313,"&gt;"&amp;AB311,$AD$300:$AD$313,1)+COUNTIFS($Z$300:$Z$313,Z311,$AB$300:$AB$313,AB311,$V$300:$V$313,"&gt;"&amp;V311,$AD$300:$AD$313,1)+COUNTIFS($Z$300:Z311,Z311,$AB$300:AB311,AB311,$V$300:V311,V311,$AD$300:AD311,1))</x:f>
      </x:c>
      <x:c r="AD311" s="2" t="n">
        <x:f>IF(OR(AA311="DEFENSIV",AA311="PRUDENT",AA311="MODERAT",AA311="RIDICAT"),1,0)</x:f>
        <x:v>0</x:v>
      </x:c>
      <x:c r="AE311" s="2" t="str">
        <x:f>IF(AD311&lt;&gt;1,"NO",IF(W311="PASS","YES",IF(W311="OOS PENDING","CONDITIONAL","NO")))</x:f>
        <x:v>NO</x:v>
      </x:c>
      <x:c r="AF311" s="2" t="n">
        <x:f>IF(AND(AD311=1,AC311=1,E311="LIVE"),1,0)</x:f>
        <x:v>0</x:v>
      </x:c>
      <x:c r="AG311" s="2" t="str">
        <x:f>IF(AF311&lt;&gt;1,"",'Dashboard'!P47)</x:f>
      </x:c>
      <x:c r="AH311" s="2" t="str">
        <x:f>IF(B311="","",IF(J311&lt;&gt;"PASS",'Motor_Meciuri'!J27,IF('Calibrare_Linii'!U17&lt;&gt;"VALID","Parametri linie invalizi",IF(L311&gt;'Config_v6'!$B$13,"Dispersie peste limita",IF(W311="WATCH","Failure peste limita",IF(AB311&lt;'Config_v6'!$B$16,"P finala sub prag",IF(V311&lt;'Config_v6'!$B$18,"Confidence sub prag",IF(E311="REPLAY","Exemplu retrospectiv; exclus din Top LIVE",IF(Y311="PASS","DEFENSIV validat",IF(W311="OOS PENDING","Eligibil; calibrare linie in monitorizare","Eligibil"))))))))))</x:f>
      </x:c>
      <x:c r="AI311" s="2" t="str">
        <x:f>IF(B311="","",'Calibrare_Linii'!V17)</x:f>
      </x:c>
      <x:c r="AJ311" s="2" t="str">
        <x:f>IF(B311="","",IF(AND('Calibrare_Linii'!T17="VALIDATED",AND('Calibrare_Linii'!H17=C311,ISNUMBER('Calibrare_Linii'!J17),'Calibrare_Linii'!J17&lt;='Input_Meci'!G27)),"DEFENSIVE VALIDATED",IF(AND('Calibrare_Linii'!S17="VALIDATED",AND('Calibrare_Linii'!H17=C311,ISNUMBER('Calibrare_Linii'!J17),'Calibrare_Linii'!J17&lt;='Input_Meci'!G27)),"TAIL VALIDATED","OOS PENDING")))</x:f>
      </x:c>
      <x:c r="AK311" s="2" t="n">
        <x:f>IF(J311&lt;&gt;"PASS",0,'Motor_Meciuri'!BR27)</x:f>
        <x:v>0</x:v>
      </x:c>
      <x:c r="AL311" s="2" t="n">
        <x:f>IF(J311&lt;&gt;"PASS",0,'Motor_Meciuri'!BS27)</x:f>
        <x:v>0</x:v>
      </x:c>
      <x:c r="AM311" s="2" t="n">
        <x:f>IF(J311&lt;&gt;"PASS",0,'Motor_Meciuri'!BT27)</x:f>
        <x:v>0</x:v>
      </x:c>
      <x:c r="AN311" s="2" t="str">
        <x:f>IF(M311="","",MAX(0,'Motor_Meciuri'!BF27-IF(L311&gt;'Config_v6'!$B$12,'Config_v6'!$B$37,IF(L311&gt;'Config_v6'!$B$11,'Config_v6'!$B$36,0))))</x:f>
      </x:c>
    </x:row>
    <x:row r="312" ht="21" customHeight="1">
      <x:c r="A312" s="2" t="n">
        <x:v>22</x:v>
      </x:c>
      <x:c r="B312" s="2" t="str">
        <x:f>IF('Motor_Meciuri'!A27="","",'Motor_Meciuri'!A27)</x:f>
      </x:c>
      <x:c r="C312" s="2" t="str">
        <x:f>IF(B312="","",'Motor_Meciuri'!B27)</x:f>
      </x:c>
      <x:c r="D312" s="2" t="str">
        <x:f>IF(B312="","",'Motor_Meciuri'!D27)</x:f>
      </x:c>
      <x:c r="E312" s="2" t="str">
        <x:f>IF(B312="","",'Motor_Meciuri'!E27)</x:f>
      </x:c>
      <x:c r="F312" s="2" t="str">
        <x:v>U16,5</x:v>
      </x:c>
      <x:c r="G312" s="2" t="str">
        <x:v>UNDER</x:v>
      </x:c>
      <x:c r="H312" s="2" t="n">
        <x:v>16</x:v>
      </x:c>
      <x:c r="I312" s="2" t="str">
        <x:f>IF(B312="","",'Motor_Meciuri'!H27)</x:f>
      </x:c>
      <x:c r="J312" s="2" t="str">
        <x:f>IF(B312="","",'Motor_Meciuri'!I27)</x:f>
      </x:c>
      <x:c r="K312" s="11" t="str">
        <x:f>IF(J312&lt;&gt;"PASS","",'Motor_Meciuri'!BD27)</x:f>
      </x:c>
      <x:c r="L312" s="11" t="str">
        <x:f>IF(J312&lt;&gt;"PASS","",'Motor_Meciuri'!AU27)</x:f>
      </x:c>
      <x:c r="M312" s="10" t="str">
        <x:f>IF(NOT(AND(J312="PASS",'Calibrare_Linii'!U18="VALID")),"",'Distributie'!AN27)</x:f>
      </x:c>
      <x:c r="N312" s="10" t="str">
        <x:f>IF(M312="","",MAX(0.01,MIN(0.99,0.5+(M312-0.5)*'Motor_Meciuri'!BG27*'Calibrare_Linii'!D18)))</x:f>
      </x:c>
      <x:c r="O312" s="10" t="str">
        <x:f>IF(M312="","",1-M312)</x:f>
      </x:c>
      <x:c r="P312" s="10" t="str">
        <x:f>IF(OR(NOT(AND(J312="PASS",'Calibrare_Linii'!U18="VALID")),AK312=0),""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*('Istoric_Nativ'!$Q$6:$Q$405&gt;H312))/AK312)</x:f>
      </x:c>
      <x:c r="Q312" s="10" t="str">
        <x:f>IF(OR(NOT(AND(J312="PASS",'Calibrare_Linii'!U18="VALID")),AL312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M27)+((('Istoric_Nativ'!$E$6:$E$405='Input_Meci'!E27)+('Istoric_Nativ'!$F$6:$F$405='Input_Meci'!E27))&gt;0)*('Istoric_Nativ'!$D$6:$D$405&gt;='Motor_Meciuri'!BN27))&gt;0)*('Istoric_Nativ'!$Q$6:$Q$405&gt;H312))/AL312)</x:f>
      </x:c>
      <x:c r="R312" s="10" t="str">
        <x:f>IF(OR(NOT(AND(J312="PASS",'Calibrare_Linii'!U18="VALID")),AM312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O27)+((('Istoric_Nativ'!$E$6:$E$405='Input_Meci'!E27)+('Istoric_Nativ'!$F$6:$F$405='Input_Meci'!E27))&gt;0)*('Istoric_Nativ'!$D$6:$D$405&gt;='Motor_Meciuri'!BP27))&gt;0)*('Istoric_Nativ'!$Q$6:$Q$405&gt;H312))/AM312)</x:f>
      </x:c>
      <x:c r="S312" s="10" t="str">
        <x:f>IF(M312="","",MAX(O312,P312,Q312,R312))</x:f>
      </x:c>
      <x:c r="T312" s="11" t="str">
        <x:f>IF(M312="","",MIN(100,S312*100*'Config_v6'!$B$44+MIN(100,L312/'Config_v6'!$B$13*100)*'Config_v6'!$B$45+(100-'Motor_Meciuri'!BF27)*'Config_v6'!$B$46+'Motor_Meciuri'!BH27*100*'Config_v6'!$B$47))</x:f>
      </x:c>
      <x:c r="U312" s="2" t="str">
        <x:f>IF(T312="","",IF(T312&lt;=20,1,IF(T312&lt;=40,2,IF(T312&lt;=60,3,IF(T312&lt;=80,4,5)))))</x:f>
      </x:c>
      <x:c r="V312" s="2" t="str">
        <x:f>IF(M312="","",MAX(0,'Motor_Meciuri'!BF27-IF(W312="OOS PENDING",'Config_v6'!$B$35,0)-IF(L312&gt;'Config_v6'!$B$12,'Config_v6'!$B$37,IF(L312&gt;'Config_v6'!$B$11,'Config_v6'!$B$36,0))))</x:f>
      </x:c>
      <x:c r="W312" s="2" t="str">
        <x:f>IF(B312="","",IF(I312&lt;&gt;"READY","NOT RELEASED",IF(NOT(AND(J312="PASS",'Calibrare_Linii'!U18="VALID")),"INVALID",IF(NOT(AND('Calibrare_Linii'!S18="VALIDATED",AND('Calibrare_Linii'!H18=C312,ISNUMBER('Calibrare_Linii'!J18),'Calibrare_Linii'!J18&lt;='Input_Meci'!G27))),"OOS PENDING",IF(S312&lt;='Calibrare_Linii'!E18,"PASS",IF(S312&lt;='Calibrare_Linii'!F18,"PENALTY","WATCH"))))))</x:f>
      </x:c>
      <x:c r="X312" s="2" t="str">
        <x:f>IF(M312="","",IF(AND(AND(J312="PASS",'Calibrare_Linii'!U18="VALID"),'Motor_Meciuri'!K27=12,'Motor_Meciuri'!L27=12,'Motor_Meciuri'!M27="NO",'Motor_Meciuri'!BL27='Motor_Meciuri'!C27,AB312&gt;='Config_v6'!$B$50,AN312&gt;='Config_v6'!$B$51,T312&lt;='Config_v6'!$B$52,L312&lt;='Config_v6'!$B$53,ISNUMBER('Calibrare_Linii'!E18),S312&lt;='Calibrare_Linii'!E18,SUM(AK312:AM312)&gt;0),"CANDIDATE","NO"))</x:f>
      </x:c>
      <x:c r="Y312" s="2" t="str">
        <x:f>IF(B312="","",IF(I312&lt;&gt;"READY","NOT RELEASED",IF(AND(X312="CANDIDATE",V312&gt;='Config_v6'!$B$51,W312="PASS",'Calibrare_Linii'!T18="VALIDATED",AND('Calibrare_Linii'!H18=C312,ISNUMBER('Calibrare_Linii'!J18),'Calibrare_Linii'!J18&lt;='Input_Meci'!G27)),"PASS",IF(X312="CANDIDATE","OOS PENDING","FAIL"))))</x:f>
      </x:c>
      <x:c r="Z312" s="2" t="str">
        <x:f>IF(B312="","",IF(I312&lt;&gt;"READY","",IF(OR(NOT(AND(J312="PASS",'Calibrare_Linii'!U18="VALID")),L312&gt;'Config_v6'!$B$13,W312="WATCH"),5,IF(Y312="PASS",1,MIN(5,MAX('Config_v6'!$B$42,U312)+IF(W312="PENALTY",1,0))))))</x:f>
      </x:c>
      <x:c r="AA312" s="2" t="str">
        <x:f>IF(B312="","",IF(I312&lt;&gt;"READY","NOT RELEASED",IF(Z312=5,"NO BET",IF(OR(AB312&lt;'Config_v6'!$B$16,V312&lt;'Config_v6'!$B$18),"WATCH",IF(Z312=1,"DEFENSIV",IF(Z312=2,"PRUDENT",IF(Z312=3,"MODERAT","RIDICAT")))))))</x:f>
      </x:c>
      <x:c r="AB312" s="10" t="str">
        <x:f>IF(N312="","",MIN(N312,1-S312))</x:f>
      </x:c>
      <x:c r="AC312" s="2" t="str">
        <x:f>IF(AD312&lt;&gt;1,"",COUNTIFS($Z$300:$Z$313,"&lt;"&amp;Z312,$AD$300:$AD$313,1)+COUNTIFS($Z$300:$Z$313,Z312,$AB$300:$AB$313,"&gt;"&amp;AB312,$AD$300:$AD$313,1)+COUNTIFS($Z$300:$Z$313,Z312,$AB$300:$AB$313,AB312,$V$300:$V$313,"&gt;"&amp;V312,$AD$300:$AD$313,1)+COUNTIFS($Z$300:Z312,Z312,$AB$300:AB312,AB312,$V$300:V312,V312,$AD$300:AD312,1))</x:f>
      </x:c>
      <x:c r="AD312" s="2" t="n">
        <x:f>IF(OR(AA312="DEFENSIV",AA312="PRUDENT",AA312="MODERAT",AA312="RIDICAT"),1,0)</x:f>
        <x:v>0</x:v>
      </x:c>
      <x:c r="AE312" s="2" t="str">
        <x:f>IF(AD312&lt;&gt;1,"NO",IF(W312="PASS","YES",IF(W312="OOS PENDING","CONDITIONAL","NO")))</x:f>
        <x:v>NO</x:v>
      </x:c>
      <x:c r="AF312" s="2" t="n">
        <x:f>IF(AND(AD312=1,AC312=1,E312="LIVE"),1,0)</x:f>
        <x:v>0</x:v>
      </x:c>
      <x:c r="AG312" s="2" t="str">
        <x:f>IF(AF312&lt;&gt;1,"",'Dashboard'!P47)</x:f>
      </x:c>
      <x:c r="AH312" s="2" t="str">
        <x:f>IF(B312="","",IF(J312&lt;&gt;"PASS",'Motor_Meciuri'!J27,IF('Calibrare_Linii'!U18&lt;&gt;"VALID","Parametri linie invalizi",IF(L312&gt;'Config_v6'!$B$13,"Dispersie peste limita",IF(W312="WATCH","Failure peste limita",IF(AB312&lt;'Config_v6'!$B$16,"P finala sub prag",IF(V312&lt;'Config_v6'!$B$18,"Confidence sub prag",IF(E312="REPLAY","Exemplu retrospectiv; exclus din Top LIVE",IF(Y312="PASS","DEFENSIV validat",IF(W312="OOS PENDING","Eligibil; calibrare linie in monitorizare","Eligibil"))))))))))</x:f>
      </x:c>
      <x:c r="AI312" s="2" t="str">
        <x:f>IF(B312="","",'Calibrare_Linii'!V18)</x:f>
      </x:c>
      <x:c r="AJ312" s="2" t="str">
        <x:f>IF(B312="","",IF(AND('Calibrare_Linii'!T18="VALIDATED",AND('Calibrare_Linii'!H18=C312,ISNUMBER('Calibrare_Linii'!J18),'Calibrare_Linii'!J18&lt;='Input_Meci'!G27)),"DEFENSIVE VALIDATED",IF(AND('Calibrare_Linii'!S18="VALIDATED",AND('Calibrare_Linii'!H18=C312,ISNUMBER('Calibrare_Linii'!J18),'Calibrare_Linii'!J18&lt;='Input_Meci'!G27)),"TAIL VALIDATED","OOS PENDING")))</x:f>
      </x:c>
      <x:c r="AK312" s="2" t="n">
        <x:f>IF(J312&lt;&gt;"PASS",0,'Motor_Meciuri'!BR27)</x:f>
        <x:v>0</x:v>
      </x:c>
      <x:c r="AL312" s="2" t="n">
        <x:f>IF(J312&lt;&gt;"PASS",0,'Motor_Meciuri'!BS27)</x:f>
        <x:v>0</x:v>
      </x:c>
      <x:c r="AM312" s="2" t="n">
        <x:f>IF(J312&lt;&gt;"PASS",0,'Motor_Meciuri'!BT27)</x:f>
        <x:v>0</x:v>
      </x:c>
      <x:c r="AN312" s="2" t="str">
        <x:f>IF(M312="","",MAX(0,'Motor_Meciuri'!BF27-IF(L312&gt;'Config_v6'!$B$12,'Config_v6'!$B$37,IF(L312&gt;'Config_v6'!$B$11,'Config_v6'!$B$36,0))))</x:f>
      </x:c>
    </x:row>
    <x:row r="313" ht="21" customHeight="1">
      <x:c r="A313" s="2" t="n">
        <x:v>22</x:v>
      </x:c>
      <x:c r="B313" s="2" t="str">
        <x:f>IF('Motor_Meciuri'!A27="","",'Motor_Meciuri'!A27)</x:f>
      </x:c>
      <x:c r="C313" s="2" t="str">
        <x:f>IF(B313="","",'Motor_Meciuri'!B27)</x:f>
      </x:c>
      <x:c r="D313" s="2" t="str">
        <x:f>IF(B313="","",'Motor_Meciuri'!D27)</x:f>
      </x:c>
      <x:c r="E313" s="2" t="str">
        <x:f>IF(B313="","",'Motor_Meciuri'!E27)</x:f>
      </x:c>
      <x:c r="F313" s="2" t="str">
        <x:v>U17,5</x:v>
      </x:c>
      <x:c r="G313" s="2" t="str">
        <x:v>UNDER</x:v>
      </x:c>
      <x:c r="H313" s="2" t="n">
        <x:v>17</x:v>
      </x:c>
      <x:c r="I313" s="2" t="str">
        <x:f>IF(B313="","",'Motor_Meciuri'!H27)</x:f>
      </x:c>
      <x:c r="J313" s="2" t="str">
        <x:f>IF(B313="","",'Motor_Meciuri'!I27)</x:f>
      </x:c>
      <x:c r="K313" s="11" t="str">
        <x:f>IF(J313&lt;&gt;"PASS","",'Motor_Meciuri'!BD27)</x:f>
      </x:c>
      <x:c r="L313" s="11" t="str">
        <x:f>IF(J313&lt;&gt;"PASS","",'Motor_Meciuri'!AU27)</x:f>
      </x:c>
      <x:c r="M313" s="10" t="str">
        <x:f>IF(NOT(AND(J313="PASS",'Calibrare_Linii'!U19="VALID")),"",'Distributie'!AO27)</x:f>
      </x:c>
      <x:c r="N313" s="10" t="str">
        <x:f>IF(M313="","",MAX(0.01,MIN(0.99,0.5+(M313-0.5)*'Motor_Meciuri'!BG27*'Calibrare_Linii'!D19)))</x:f>
      </x:c>
      <x:c r="O313" s="10" t="str">
        <x:f>IF(M313="","",1-M313)</x:f>
      </x:c>
      <x:c r="P313" s="10" t="str">
        <x:f>IF(OR(NOT(AND(J313="PASS",'Calibrare_Linii'!U19="VALID")),AK313=0),""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*('Istoric_Nativ'!$Q$6:$Q$405&gt;H313))/AK313)</x:f>
      </x:c>
      <x:c r="Q313" s="10" t="str">
        <x:f>IF(OR(NOT(AND(J313="PASS",'Calibrare_Linii'!U19="VALID")),AL313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M27)+((('Istoric_Nativ'!$E$6:$E$405='Input_Meci'!E27)+('Istoric_Nativ'!$F$6:$F$405='Input_Meci'!E27))&gt;0)*('Istoric_Nativ'!$D$6:$D$405&gt;='Motor_Meciuri'!BN27))&gt;0)*('Istoric_Nativ'!$Q$6:$Q$405&gt;H313))/AL313)</x:f>
      </x:c>
      <x:c r="R313" s="10" t="str">
        <x:f>IF(OR(NOT(AND(J313="PASS",'Calibrare_Linii'!U19="VALID")),AM313=0),""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'Motor_Meciuri'!BO27)+((('Istoric_Nativ'!$E$6:$E$405='Input_Meci'!E27)+('Istoric_Nativ'!$F$6:$F$405='Input_Meci'!E27))&gt;0)*('Istoric_Nativ'!$D$6:$D$405&gt;='Motor_Meciuri'!BP27))&gt;0)*('Istoric_Nativ'!$Q$6:$Q$405&gt;H313))/AM313)</x:f>
      </x:c>
      <x:c r="S313" s="10" t="str">
        <x:f>IF(M313="","",MAX(O313,P313,Q313,R313))</x:f>
      </x:c>
      <x:c r="T313" s="11" t="str">
        <x:f>IF(M313="","",MIN(100,S313*100*'Config_v6'!$B$44+MIN(100,L313/'Config_v6'!$B$13*100)*'Config_v6'!$B$45+(100-'Motor_Meciuri'!BF27)*'Config_v6'!$B$46+'Motor_Meciuri'!BH27*100*'Config_v6'!$B$47))</x:f>
      </x:c>
      <x:c r="U313" s="2" t="str">
        <x:f>IF(T313="","",IF(T313&lt;=20,1,IF(T313&lt;=40,2,IF(T313&lt;=60,3,IF(T313&lt;=80,4,5)))))</x:f>
      </x:c>
      <x:c r="V313" s="2" t="str">
        <x:f>IF(M313="","",MAX(0,'Motor_Meciuri'!BF27-IF(W313="OOS PENDING",'Config_v6'!$B$35,0)-IF(L313&gt;'Config_v6'!$B$12,'Config_v6'!$B$37,IF(L313&gt;'Config_v6'!$B$11,'Config_v6'!$B$36,0))))</x:f>
      </x:c>
      <x:c r="W313" s="2" t="str">
        <x:f>IF(B313="","",IF(I313&lt;&gt;"READY","NOT RELEASED",IF(NOT(AND(J313="PASS",'Calibrare_Linii'!U19="VALID")),"INVALID",IF(NOT(AND('Calibrare_Linii'!S19="VALIDATED",AND('Calibrare_Linii'!H19=C313,ISNUMBER('Calibrare_Linii'!J19),'Calibrare_Linii'!J19&lt;='Input_Meci'!G27))),"OOS PENDING",IF(S313&lt;='Calibrare_Linii'!E19,"PASS",IF(S313&lt;='Calibrare_Linii'!F19,"PENALTY","WATCH"))))))</x:f>
      </x:c>
      <x:c r="X313" s="2" t="str">
        <x:f>IF(M313="","",IF(AND(AND(J313="PASS",'Calibrare_Linii'!U19="VALID"),'Motor_Meciuri'!K27=12,'Motor_Meciuri'!L27=12,'Motor_Meciuri'!M27="NO",'Motor_Meciuri'!BL27='Motor_Meciuri'!C27,AB313&gt;='Config_v6'!$B$50,AN313&gt;='Config_v6'!$B$51,T313&lt;='Config_v6'!$B$52,L313&lt;='Config_v6'!$B$53,ISNUMBER('Calibrare_Linii'!E19),S313&lt;='Calibrare_Linii'!E19,SUM(AK313:AM313)&gt;0),"CANDIDATE","NO"))</x:f>
      </x:c>
      <x:c r="Y313" s="2" t="str">
        <x:f>IF(B313="","",IF(I313&lt;&gt;"READY","NOT RELEASED",IF(AND(X313="CANDIDATE",V313&gt;='Config_v6'!$B$51,W313="PASS",'Calibrare_Linii'!T19="VALIDATED",AND('Calibrare_Linii'!H19=C313,ISNUMBER('Calibrare_Linii'!J19),'Calibrare_Linii'!J19&lt;='Input_Meci'!G27)),"PASS",IF(X313="CANDIDATE","OOS PENDING","FAIL"))))</x:f>
      </x:c>
      <x:c r="Z313" s="2" t="str">
        <x:f>IF(B313="","",IF(I313&lt;&gt;"READY","",IF(OR(NOT(AND(J313="PASS",'Calibrare_Linii'!U19="VALID")),L313&gt;'Config_v6'!$B$13,W313="WATCH"),5,IF(Y313="PASS",1,MIN(5,MAX('Config_v6'!$B$42,U313)+IF(W313="PENALTY",1,0))))))</x:f>
      </x:c>
      <x:c r="AA313" s="2" t="str">
        <x:f>IF(B313="","",IF(I313&lt;&gt;"READY","NOT RELEASED",IF(Z313=5,"NO BET",IF(OR(AB313&lt;'Config_v6'!$B$16,V313&lt;'Config_v6'!$B$18),"WATCH",IF(Z313=1,"DEFENSIV",IF(Z313=2,"PRUDENT",IF(Z313=3,"MODERAT","RIDICAT")))))))</x:f>
      </x:c>
      <x:c r="AB313" s="10" t="str">
        <x:f>IF(N313="","",MIN(N313,1-S313))</x:f>
      </x:c>
      <x:c r="AC313" s="2" t="str">
        <x:f>IF(AD313&lt;&gt;1,"",COUNTIFS($Z$300:$Z$313,"&lt;"&amp;Z313,$AD$300:$AD$313,1)+COUNTIFS($Z$300:$Z$313,Z313,$AB$300:$AB$313,"&gt;"&amp;AB313,$AD$300:$AD$313,1)+COUNTIFS($Z$300:$Z$313,Z313,$AB$300:$AB$313,AB313,$V$300:$V$313,"&gt;"&amp;V313,$AD$300:$AD$313,1)+COUNTIFS($Z$300:Z313,Z313,$AB$300:AB313,AB313,$V$300:V313,V313,$AD$300:AD313,1))</x:f>
      </x:c>
      <x:c r="AD313" s="2" t="n">
        <x:f>IF(OR(AA313="DEFENSIV",AA313="PRUDENT",AA313="MODERAT",AA313="RIDICAT"),1,0)</x:f>
        <x:v>0</x:v>
      </x:c>
      <x:c r="AE313" s="2" t="str">
        <x:f>IF(AD313&lt;&gt;1,"NO",IF(W313="PASS","YES",IF(W313="OOS PENDING","CONDITIONAL","NO")))</x:f>
        <x:v>NO</x:v>
      </x:c>
      <x:c r="AF313" s="2" t="n">
        <x:f>IF(AND(AD313=1,AC313=1,E313="LIVE"),1,0)</x:f>
        <x:v>0</x:v>
      </x:c>
      <x:c r="AG313" s="2" t="str">
        <x:f>IF(AF313&lt;&gt;1,"",'Dashboard'!P47)</x:f>
      </x:c>
      <x:c r="AH313" s="2" t="str">
        <x:f>IF(B313="","",IF(J313&lt;&gt;"PASS",'Motor_Meciuri'!J27,IF('Calibrare_Linii'!U19&lt;&gt;"VALID","Parametri linie invalizi",IF(L313&gt;'Config_v6'!$B$13,"Dispersie peste limita",IF(W313="WATCH","Failure peste limita",IF(AB313&lt;'Config_v6'!$B$16,"P finala sub prag",IF(V313&lt;'Config_v6'!$B$18,"Confidence sub prag",IF(E313="REPLAY","Exemplu retrospectiv; exclus din Top LIVE",IF(Y313="PASS","DEFENSIV validat",IF(W313="OOS PENDING","Eligibil; calibrare linie in monitorizare","Eligibil"))))))))))</x:f>
      </x:c>
      <x:c r="AI313" s="2" t="str">
        <x:f>IF(B313="","",'Calibrare_Linii'!V19)</x:f>
      </x:c>
      <x:c r="AJ313" s="2" t="str">
        <x:f>IF(B313="","",IF(AND('Calibrare_Linii'!T19="VALIDATED",AND('Calibrare_Linii'!H19=C313,ISNUMBER('Calibrare_Linii'!J19),'Calibrare_Linii'!J19&lt;='Input_Meci'!G27)),"DEFENSIVE VALIDATED",IF(AND('Calibrare_Linii'!S19="VALIDATED",AND('Calibrare_Linii'!H19=C313,ISNUMBER('Calibrare_Linii'!J19),'Calibrare_Linii'!J19&lt;='Input_Meci'!G27)),"TAIL VALIDATED","OOS PENDING")))</x:f>
      </x:c>
      <x:c r="AK313" s="2" t="n">
        <x:f>IF(J313&lt;&gt;"PASS",0,'Motor_Meciuri'!BR27)</x:f>
        <x:v>0</x:v>
      </x:c>
      <x:c r="AL313" s="2" t="n">
        <x:f>IF(J313&lt;&gt;"PASS",0,'Motor_Meciuri'!BS27)</x:f>
        <x:v>0</x:v>
      </x:c>
      <x:c r="AM313" s="2" t="n">
        <x:f>IF(J313&lt;&gt;"PASS",0,'Motor_Meciuri'!BT27)</x:f>
        <x:v>0</x:v>
      </x:c>
      <x:c r="AN313" s="2" t="str">
        <x:f>IF(M313="","",MAX(0,'Motor_Meciuri'!BF27-IF(L313&gt;'Config_v6'!$B$12,'Config_v6'!$B$37,IF(L313&gt;'Config_v6'!$B$11,'Config_v6'!$B$36,0))))</x:f>
      </x:c>
    </x:row>
    <x:row r="314" ht="21" customHeight="1">
      <x:c r="A314" s="2" t="n">
        <x:v>23</x:v>
      </x:c>
      <x:c r="B314" s="2" t="str">
        <x:f>IF('Motor_Meciuri'!A28="","",'Motor_Meciuri'!A28)</x:f>
      </x:c>
      <x:c r="C314" s="2" t="str">
        <x:f>IF(B314="","",'Motor_Meciuri'!B28)</x:f>
      </x:c>
      <x:c r="D314" s="2" t="str">
        <x:f>IF(B314="","",'Motor_Meciuri'!D28)</x:f>
      </x:c>
      <x:c r="E314" s="2" t="str">
        <x:f>IF(B314="","",'Motor_Meciuri'!E28)</x:f>
      </x:c>
      <x:c r="F314" s="2" t="str">
        <x:v>O3,5</x:v>
      </x:c>
      <x:c r="G314" s="2" t="str">
        <x:v>OVER</x:v>
      </x:c>
      <x:c r="H314" s="2" t="n">
        <x:v>3</x:v>
      </x:c>
      <x:c r="I314" s="2" t="str">
        <x:f>IF(B314="","",'Motor_Meciuri'!H28)</x:f>
      </x:c>
      <x:c r="J314" s="2" t="str">
        <x:f>IF(B314="","",'Motor_Meciuri'!I28)</x:f>
      </x:c>
      <x:c r="K314" s="11" t="str">
        <x:f>IF(J314&lt;&gt;"PASS","",'Motor_Meciuri'!BD28)</x:f>
      </x:c>
      <x:c r="L314" s="11" t="str">
        <x:f>IF(J314&lt;&gt;"PASS","",'Motor_Meciuri'!AU28)</x:f>
      </x:c>
      <x:c r="M314" s="10" t="str">
        <x:f>IF(NOT(AND(J314="PASS",'Calibrare_Linii'!U6="VALID")),"",1-'Distributie'!AA28)</x:f>
      </x:c>
      <x:c r="N314" s="10" t="str">
        <x:f>IF(M314="","",MAX(0.01,MIN(0.99,0.5+(M314-0.5)*'Motor_Meciuri'!BG28*'Calibrare_Linii'!D6)))</x:f>
      </x:c>
      <x:c r="O314" s="10" t="str">
        <x:f>IF(M314="","",1-M314)</x:f>
      </x:c>
      <x:c r="P314" s="10" t="str">
        <x:f>IF(OR(NOT(AND(J314="PASS",'Calibrare_Linii'!U6="VALID")),AK314=0),""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*('Istoric_Nativ'!$Q$6:$Q$405&lt;=H314))/AK314)</x:f>
      </x:c>
      <x:c r="Q314" s="10" t="str">
        <x:f>IF(OR(NOT(AND(J314="PASS",'Calibrare_Linii'!U6="VALID")),AL314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M28)+((('Istoric_Nativ'!$E$6:$E$405='Input_Meci'!E28)+('Istoric_Nativ'!$F$6:$F$405='Input_Meci'!E28))&gt;0)*('Istoric_Nativ'!$D$6:$D$405&gt;='Motor_Meciuri'!BN28))&gt;0)*('Istoric_Nativ'!$Q$6:$Q$405&lt;=H314))/AL314)</x:f>
      </x:c>
      <x:c r="R314" s="10" t="str">
        <x:f>IF(OR(NOT(AND(J314="PASS",'Calibrare_Linii'!U6="VALID")),AM314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O28)+((('Istoric_Nativ'!$E$6:$E$405='Input_Meci'!E28)+('Istoric_Nativ'!$F$6:$F$405='Input_Meci'!E28))&gt;0)*('Istoric_Nativ'!$D$6:$D$405&gt;='Motor_Meciuri'!BP28))&gt;0)*('Istoric_Nativ'!$Q$6:$Q$405&lt;=H314))/AM314)</x:f>
      </x:c>
      <x:c r="S314" s="10" t="str">
        <x:f>IF(M314="","",MAX(O314,P314,Q314,R314))</x:f>
      </x:c>
      <x:c r="T314" s="11" t="str">
        <x:f>IF(M314="","",MIN(100,S314*100*'Config_v6'!$B$44+MIN(100,L314/'Config_v6'!$B$13*100)*'Config_v6'!$B$45+(100-'Motor_Meciuri'!BF28)*'Config_v6'!$B$46+'Motor_Meciuri'!BH28*100*'Config_v6'!$B$47))</x:f>
      </x:c>
      <x:c r="U314" s="2" t="str">
        <x:f>IF(T314="","",IF(T314&lt;=20,1,IF(T314&lt;=40,2,IF(T314&lt;=60,3,IF(T314&lt;=80,4,5)))))</x:f>
      </x:c>
      <x:c r="V314" s="2" t="str">
        <x:f>IF(M314="","",MAX(0,'Motor_Meciuri'!BF28-IF(W314="OOS PENDING",'Config_v6'!$B$35,0)-IF(L314&gt;'Config_v6'!$B$12,'Config_v6'!$B$37,IF(L314&gt;'Config_v6'!$B$11,'Config_v6'!$B$36,0))))</x:f>
      </x:c>
      <x:c r="W314" s="2" t="str">
        <x:f>IF(B314="","",IF(I314&lt;&gt;"READY","NOT RELEASED",IF(NOT(AND(J314="PASS",'Calibrare_Linii'!U6="VALID")),"INVALID",IF(NOT(TRUE),"OOS PENDING",IF(S314&lt;=IF(AND('Calibrare_Linii'!S6="VALIDATED",AND('Calibrare_Linii'!H6=C314,ISNUMBER('Calibrare_Linii'!J6),'Calibrare_Linii'!J6&lt;='Input_Meci'!G28)),'Calibrare_Linii'!E6,'Config_v6'!$B$26),"PASS",IF(S314&lt;=IF(AND('Calibrare_Linii'!S6="VALIDATED",AND('Calibrare_Linii'!H6=C314,ISNUMBER('Calibrare_Linii'!J6),'Calibrare_Linii'!J6&lt;='Input_Meci'!G28)),'Calibrare_Linii'!F6,'Config_v6'!$C$26),"PENALTY","WATCH"))))))</x:f>
      </x:c>
      <x:c r="X314" s="2" t="str">
        <x:f>IF(M314="","",IF(AND(AND(J314="PASS",'Calibrare_Linii'!U6="VALID"),'Motor_Meciuri'!K28=12,'Motor_Meciuri'!L28=12,'Motor_Meciuri'!M28="NO",'Motor_Meciuri'!BL28='Motor_Meciuri'!C28,AB314&gt;='Config_v6'!$B$50,AN314&gt;='Config_v6'!$B$51,T314&lt;='Config_v6'!$B$52,L314&lt;='Config_v6'!$B$53,ISNUMBER('Calibrare_Linii'!E6),S314&lt;='Calibrare_Linii'!E6,SUM(AK314:AM314)&gt;0),"CANDIDATE","NO"))</x:f>
      </x:c>
      <x:c r="Y314" s="2" t="str">
        <x:f>IF(B314="","",IF(I314&lt;&gt;"READY","NOT RELEASED",IF(AND(X314="CANDIDATE",V314&gt;='Config_v6'!$B$51,W314="PASS",'Calibrare_Linii'!T6="VALIDATED",AND('Calibrare_Linii'!H6=C314,ISNUMBER('Calibrare_Linii'!J6),'Calibrare_Linii'!J6&lt;='Input_Meci'!G28)),"PASS",IF(X314="CANDIDATE","OOS PENDING","FAIL"))))</x:f>
      </x:c>
      <x:c r="Z314" s="2" t="str">
        <x:f>IF(B314="","",IF(I314&lt;&gt;"READY","",IF(OR(NOT(AND(J314="PASS",'Calibrare_Linii'!U6="VALID")),L314&gt;'Config_v6'!$B$13,W314="WATCH"),5,IF(Y314="PASS",1,MIN(5,MAX('Config_v6'!$B$42,U314)+IF(W314="PENALTY",1,0))))))</x:f>
      </x:c>
      <x:c r="AA314" s="2" t="str">
        <x:f>IF(B314="","",IF(I314&lt;&gt;"READY","NOT RELEASED",IF(Z314=5,"NO BET",IF(OR(AB314&lt;'Config_v6'!$B$16,V314&lt;'Config_v6'!$B$18),"WATCH",IF(Z314=1,"DEFENSIV",IF(Z314=2,"PRUDENT",IF(Z314=3,"MODERAT","RIDICAT")))))))</x:f>
      </x:c>
      <x:c r="AB314" s="10" t="str">
        <x:f>IF(N314="","",MIN(N314,1-S314))</x:f>
      </x:c>
      <x:c r="AC314" s="2" t="str">
        <x:f>IF(AD314&lt;&gt;1,"",COUNTIFS($Z$314:$Z$327,"&lt;"&amp;Z314,$AD$314:$AD$327,1)+COUNTIFS($Z$314:$Z$327,Z314,$AB$314:$AB$327,"&gt;"&amp;AB314,$AD$314:$AD$327,1)+COUNTIFS($Z$314:$Z$327,Z314,$AB$314:$AB$327,AB314,$V$314:$V$327,"&gt;"&amp;V314,$AD$314:$AD$327,1)+COUNTIFS($Z$314:Z314,Z314,$AB$314:AB314,AB314,$V$314:V314,V314,$AD$314:AD314,1))</x:f>
      </x:c>
      <x:c r="AD314" s="2" t="n">
        <x:f>IF(OR(AA314="DEFENSIV",AA314="PRUDENT",AA314="MODERAT",AA314="RIDICAT"),1,0)</x:f>
        <x:v>0</x:v>
      </x:c>
      <x:c r="AE314" s="2" t="str">
        <x:f>IF(AD314&lt;&gt;1,"NO",IF(W314="PASS","YES",IF(W314="OOS PENDING","CONDITIONAL","NO")))</x:f>
        <x:v>NO</x:v>
      </x:c>
      <x:c r="AF314" s="2" t="n">
        <x:f>IF(AND(AD314=1,AC314=1,E314="LIVE"),1,0)</x:f>
        <x:v>0</x:v>
      </x:c>
      <x:c r="AG314" s="2" t="str">
        <x:f>IF(AF314&lt;&gt;1,"",'Dashboard'!P48)</x:f>
      </x:c>
      <x:c r="AH314" s="2" t="str">
        <x:f>IF(B314="","",IF(J314&lt;&gt;"PASS",'Motor_Meciuri'!J28,IF('Calibrare_Linii'!U6&lt;&gt;"VALID","Parametri linie invalizi",IF(L314&gt;'Config_v6'!$B$13,"Dispersie peste limita",IF(W314="WATCH","Failure peste limita",IF(AB314&lt;'Config_v6'!$B$16,"P finala sub prag",IF(V314&lt;'Config_v6'!$B$18,"Confidence sub prag",IF(E314="REPLAY","Exemplu retrospectiv; exclus din Top LIVE",IF(Y314="PASS","DEFENSIV validat",IF(W314="OOS PENDING","Eligibil; calibrare linie in monitorizare","Eligibil"))))))))))</x:f>
      </x:c>
      <x:c r="AI314" s="2" t="str">
        <x:f>IF(B314="","",'Calibrare_Linii'!V6)</x:f>
      </x:c>
      <x:c r="AJ314" s="2" t="str">
        <x:f>IF(B314="","",IF(AND('Calibrare_Linii'!T6="VALIDATED",AND('Calibrare_Linii'!H6=C314,ISNUMBER('Calibrare_Linii'!J6),'Calibrare_Linii'!J6&lt;='Input_Meci'!G28)),"DEFENSIVE VALIDATED",IF(AND('Calibrare_Linii'!S6="VALIDATED",AND('Calibrare_Linii'!H6=C314,ISNUMBER('Calibrare_Linii'!J6),'Calibrare_Linii'!J6&lt;='Input_Meci'!G28)),"TAIL VALIDATED","OOS PENDING")))</x:f>
      </x:c>
      <x:c r="AK314" s="2" t="n">
        <x:f>IF(J314&lt;&gt;"PASS",0,'Motor_Meciuri'!BR28)</x:f>
        <x:v>0</x:v>
      </x:c>
      <x:c r="AL314" s="2" t="n">
        <x:f>IF(J314&lt;&gt;"PASS",0,'Motor_Meciuri'!BS28)</x:f>
        <x:v>0</x:v>
      </x:c>
      <x:c r="AM314" s="2" t="n">
        <x:f>IF(J314&lt;&gt;"PASS",0,'Motor_Meciuri'!BT28)</x:f>
        <x:v>0</x:v>
      </x:c>
      <x:c r="AN314" s="2" t="str">
        <x:f>IF(M314="","",MAX(0,'Motor_Meciuri'!BF28-IF(L314&gt;'Config_v6'!$B$12,'Config_v6'!$B$37,IF(L314&gt;'Config_v6'!$B$11,'Config_v6'!$B$36,0))))</x:f>
      </x:c>
    </x:row>
    <x:row r="315" ht="21" customHeight="1">
      <x:c r="A315" s="2" t="n">
        <x:v>23</x:v>
      </x:c>
      <x:c r="B315" s="2" t="str">
        <x:f>IF('Motor_Meciuri'!A28="","",'Motor_Meciuri'!A28)</x:f>
      </x:c>
      <x:c r="C315" s="2" t="str">
        <x:f>IF(B315="","",'Motor_Meciuri'!B28)</x:f>
      </x:c>
      <x:c r="D315" s="2" t="str">
        <x:f>IF(B315="","",'Motor_Meciuri'!D28)</x:f>
      </x:c>
      <x:c r="E315" s="2" t="str">
        <x:f>IF(B315="","",'Motor_Meciuri'!E28)</x:f>
      </x:c>
      <x:c r="F315" s="2" t="str">
        <x:v>O4,5</x:v>
      </x:c>
      <x:c r="G315" s="2" t="str">
        <x:v>OVER</x:v>
      </x:c>
      <x:c r="H315" s="2" t="n">
        <x:v>4</x:v>
      </x:c>
      <x:c r="I315" s="2" t="str">
        <x:f>IF(B315="","",'Motor_Meciuri'!H28)</x:f>
      </x:c>
      <x:c r="J315" s="2" t="str">
        <x:f>IF(B315="","",'Motor_Meciuri'!I28)</x:f>
      </x:c>
      <x:c r="K315" s="11" t="str">
        <x:f>IF(J315&lt;&gt;"PASS","",'Motor_Meciuri'!BD28)</x:f>
      </x:c>
      <x:c r="L315" s="11" t="str">
        <x:f>IF(J315&lt;&gt;"PASS","",'Motor_Meciuri'!AU28)</x:f>
      </x:c>
      <x:c r="M315" s="10" t="str">
        <x:f>IF(NOT(AND(J315="PASS",'Calibrare_Linii'!U7="VALID")),"",1-'Distributie'!AB28)</x:f>
      </x:c>
      <x:c r="N315" s="10" t="str">
        <x:f>IF(M315="","",MAX(0.01,MIN(0.99,0.5+(M315-0.5)*'Motor_Meciuri'!BG28*'Calibrare_Linii'!D7)))</x:f>
      </x:c>
      <x:c r="O315" s="10" t="str">
        <x:f>IF(M315="","",1-M315)</x:f>
      </x:c>
      <x:c r="P315" s="10" t="str">
        <x:f>IF(OR(NOT(AND(J315="PASS",'Calibrare_Linii'!U7="VALID")),AK315=0),""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*('Istoric_Nativ'!$Q$6:$Q$405&lt;=H315))/AK315)</x:f>
      </x:c>
      <x:c r="Q315" s="10" t="str">
        <x:f>IF(OR(NOT(AND(J315="PASS",'Calibrare_Linii'!U7="VALID")),AL315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M28)+((('Istoric_Nativ'!$E$6:$E$405='Input_Meci'!E28)+('Istoric_Nativ'!$F$6:$F$405='Input_Meci'!E28))&gt;0)*('Istoric_Nativ'!$D$6:$D$405&gt;='Motor_Meciuri'!BN28))&gt;0)*('Istoric_Nativ'!$Q$6:$Q$405&lt;=H315))/AL315)</x:f>
      </x:c>
      <x:c r="R315" s="10" t="str">
        <x:f>IF(OR(NOT(AND(J315="PASS",'Calibrare_Linii'!U7="VALID")),AM315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O28)+((('Istoric_Nativ'!$E$6:$E$405='Input_Meci'!E28)+('Istoric_Nativ'!$F$6:$F$405='Input_Meci'!E28))&gt;0)*('Istoric_Nativ'!$D$6:$D$405&gt;='Motor_Meciuri'!BP28))&gt;0)*('Istoric_Nativ'!$Q$6:$Q$405&lt;=H315))/AM315)</x:f>
      </x:c>
      <x:c r="S315" s="10" t="str">
        <x:f>IF(M315="","",MAX(O315,P315,Q315,R315))</x:f>
      </x:c>
      <x:c r="T315" s="11" t="str">
        <x:f>IF(M315="","",MIN(100,S315*100*'Config_v6'!$B$44+MIN(100,L315/'Config_v6'!$B$13*100)*'Config_v6'!$B$45+(100-'Motor_Meciuri'!BF28)*'Config_v6'!$B$46+'Motor_Meciuri'!BH28*100*'Config_v6'!$B$47))</x:f>
      </x:c>
      <x:c r="U315" s="2" t="str">
        <x:f>IF(T315="","",IF(T315&lt;=20,1,IF(T315&lt;=40,2,IF(T315&lt;=60,3,IF(T315&lt;=80,4,5)))))</x:f>
      </x:c>
      <x:c r="V315" s="2" t="str">
        <x:f>IF(M315="","",MAX(0,'Motor_Meciuri'!BF28-IF(W315="OOS PENDING",'Config_v6'!$B$35,0)-IF(L315&gt;'Config_v6'!$B$12,'Config_v6'!$B$37,IF(L315&gt;'Config_v6'!$B$11,'Config_v6'!$B$36,0))))</x:f>
      </x:c>
      <x:c r="W315" s="2" t="str">
        <x:f>IF(B315="","",IF(I315&lt;&gt;"READY","NOT RELEASED",IF(NOT(AND(J315="PASS",'Calibrare_Linii'!U7="VALID")),"INVALID",IF(NOT(AND('Calibrare_Linii'!S7="VALIDATED",AND('Calibrare_Linii'!H7=C315,ISNUMBER('Calibrare_Linii'!J7),'Calibrare_Linii'!J7&lt;='Input_Meci'!G28))),"OOS PENDING",IF(S315&lt;='Calibrare_Linii'!E7,"PASS",IF(S315&lt;='Calibrare_Linii'!F7,"PENALTY","WATCH"))))))</x:f>
      </x:c>
      <x:c r="X315" s="2" t="str">
        <x:f>IF(M315="","",IF(AND(AND(J315="PASS",'Calibrare_Linii'!U7="VALID"),'Motor_Meciuri'!K28=12,'Motor_Meciuri'!L28=12,'Motor_Meciuri'!M28="NO",'Motor_Meciuri'!BL28='Motor_Meciuri'!C28,AB315&gt;='Config_v6'!$B$50,AN315&gt;='Config_v6'!$B$51,T315&lt;='Config_v6'!$B$52,L315&lt;='Config_v6'!$B$53,ISNUMBER('Calibrare_Linii'!E7),S315&lt;='Calibrare_Linii'!E7,SUM(AK315:AM315)&gt;0),"CANDIDATE","NO"))</x:f>
      </x:c>
      <x:c r="Y315" s="2" t="str">
        <x:f>IF(B315="","",IF(I315&lt;&gt;"READY","NOT RELEASED",IF(AND(X315="CANDIDATE",V315&gt;='Config_v6'!$B$51,W315="PASS",'Calibrare_Linii'!T7="VALIDATED",AND('Calibrare_Linii'!H7=C315,ISNUMBER('Calibrare_Linii'!J7),'Calibrare_Linii'!J7&lt;='Input_Meci'!G28)),"PASS",IF(X315="CANDIDATE","OOS PENDING","FAIL"))))</x:f>
      </x:c>
      <x:c r="Z315" s="2" t="str">
        <x:f>IF(B315="","",IF(I315&lt;&gt;"READY","",IF(OR(NOT(AND(J315="PASS",'Calibrare_Linii'!U7="VALID")),L315&gt;'Config_v6'!$B$13,W315="WATCH"),5,IF(Y315="PASS",1,MIN(5,MAX('Config_v6'!$B$42,U315)+IF(W315="PENALTY",1,0))))))</x:f>
      </x:c>
      <x:c r="AA315" s="2" t="str">
        <x:f>IF(B315="","",IF(I315&lt;&gt;"READY","NOT RELEASED",IF(Z315=5,"NO BET",IF(OR(AB315&lt;'Config_v6'!$B$16,V315&lt;'Config_v6'!$B$18),"WATCH",IF(Z315=1,"DEFENSIV",IF(Z315=2,"PRUDENT",IF(Z315=3,"MODERAT","RIDICAT")))))))</x:f>
      </x:c>
      <x:c r="AB315" s="10" t="str">
        <x:f>IF(N315="","",MIN(N315,1-S315))</x:f>
      </x:c>
      <x:c r="AC315" s="2" t="str">
        <x:f>IF(AD315&lt;&gt;1,"",COUNTIFS($Z$314:$Z$327,"&lt;"&amp;Z315,$AD$314:$AD$327,1)+COUNTIFS($Z$314:$Z$327,Z315,$AB$314:$AB$327,"&gt;"&amp;AB315,$AD$314:$AD$327,1)+COUNTIFS($Z$314:$Z$327,Z315,$AB$314:$AB$327,AB315,$V$314:$V$327,"&gt;"&amp;V315,$AD$314:$AD$327,1)+COUNTIFS($Z$314:Z315,Z315,$AB$314:AB315,AB315,$V$314:V315,V315,$AD$314:AD315,1))</x:f>
      </x:c>
      <x:c r="AD315" s="2" t="n">
        <x:f>IF(OR(AA315="DEFENSIV",AA315="PRUDENT",AA315="MODERAT",AA315="RIDICAT"),1,0)</x:f>
        <x:v>0</x:v>
      </x:c>
      <x:c r="AE315" s="2" t="str">
        <x:f>IF(AD315&lt;&gt;1,"NO",IF(W315="PASS","YES",IF(W315="OOS PENDING","CONDITIONAL","NO")))</x:f>
        <x:v>NO</x:v>
      </x:c>
      <x:c r="AF315" s="2" t="n">
        <x:f>IF(AND(AD315=1,AC315=1,E315="LIVE"),1,0)</x:f>
        <x:v>0</x:v>
      </x:c>
      <x:c r="AG315" s="2" t="str">
        <x:f>IF(AF315&lt;&gt;1,"",'Dashboard'!P48)</x:f>
      </x:c>
      <x:c r="AH315" s="2" t="str">
        <x:f>IF(B315="","",IF(J315&lt;&gt;"PASS",'Motor_Meciuri'!J28,IF('Calibrare_Linii'!U7&lt;&gt;"VALID","Parametri linie invalizi",IF(L315&gt;'Config_v6'!$B$13,"Dispersie peste limita",IF(W315="WATCH","Failure peste limita",IF(AB315&lt;'Config_v6'!$B$16,"P finala sub prag",IF(V315&lt;'Config_v6'!$B$18,"Confidence sub prag",IF(E315="REPLAY","Exemplu retrospectiv; exclus din Top LIVE",IF(Y315="PASS","DEFENSIV validat",IF(W315="OOS PENDING","Eligibil; calibrare linie in monitorizare","Eligibil"))))))))))</x:f>
      </x:c>
      <x:c r="AI315" s="2" t="str">
        <x:f>IF(B315="","",'Calibrare_Linii'!V7)</x:f>
      </x:c>
      <x:c r="AJ315" s="2" t="str">
        <x:f>IF(B315="","",IF(AND('Calibrare_Linii'!T7="VALIDATED",AND('Calibrare_Linii'!H7=C315,ISNUMBER('Calibrare_Linii'!J7),'Calibrare_Linii'!J7&lt;='Input_Meci'!G28)),"DEFENSIVE VALIDATED",IF(AND('Calibrare_Linii'!S7="VALIDATED",AND('Calibrare_Linii'!H7=C315,ISNUMBER('Calibrare_Linii'!J7),'Calibrare_Linii'!J7&lt;='Input_Meci'!G28)),"TAIL VALIDATED","OOS PENDING")))</x:f>
      </x:c>
      <x:c r="AK315" s="2" t="n">
        <x:f>IF(J315&lt;&gt;"PASS",0,'Motor_Meciuri'!BR28)</x:f>
        <x:v>0</x:v>
      </x:c>
      <x:c r="AL315" s="2" t="n">
        <x:f>IF(J315&lt;&gt;"PASS",0,'Motor_Meciuri'!BS28)</x:f>
        <x:v>0</x:v>
      </x:c>
      <x:c r="AM315" s="2" t="n">
        <x:f>IF(J315&lt;&gt;"PASS",0,'Motor_Meciuri'!BT28)</x:f>
        <x:v>0</x:v>
      </x:c>
      <x:c r="AN315" s="2" t="str">
        <x:f>IF(M315="","",MAX(0,'Motor_Meciuri'!BF28-IF(L315&gt;'Config_v6'!$B$12,'Config_v6'!$B$37,IF(L315&gt;'Config_v6'!$B$11,'Config_v6'!$B$36,0))))</x:f>
      </x:c>
    </x:row>
    <x:row r="316" ht="21" customHeight="1">
      <x:c r="A316" s="2" t="n">
        <x:v>23</x:v>
      </x:c>
      <x:c r="B316" s="2" t="str">
        <x:f>IF('Motor_Meciuri'!A28="","",'Motor_Meciuri'!A28)</x:f>
      </x:c>
      <x:c r="C316" s="2" t="str">
        <x:f>IF(B316="","",'Motor_Meciuri'!B28)</x:f>
      </x:c>
      <x:c r="D316" s="2" t="str">
        <x:f>IF(B316="","",'Motor_Meciuri'!D28)</x:f>
      </x:c>
      <x:c r="E316" s="2" t="str">
        <x:f>IF(B316="","",'Motor_Meciuri'!E28)</x:f>
      </x:c>
      <x:c r="F316" s="2" t="str">
        <x:v>O5,5</x:v>
      </x:c>
      <x:c r="G316" s="2" t="str">
        <x:v>OVER</x:v>
      </x:c>
      <x:c r="H316" s="2" t="n">
        <x:v>5</x:v>
      </x:c>
      <x:c r="I316" s="2" t="str">
        <x:f>IF(B316="","",'Motor_Meciuri'!H28)</x:f>
      </x:c>
      <x:c r="J316" s="2" t="str">
        <x:f>IF(B316="","",'Motor_Meciuri'!I28)</x:f>
      </x:c>
      <x:c r="K316" s="11" t="str">
        <x:f>IF(J316&lt;&gt;"PASS","",'Motor_Meciuri'!BD28)</x:f>
      </x:c>
      <x:c r="L316" s="11" t="str">
        <x:f>IF(J316&lt;&gt;"PASS","",'Motor_Meciuri'!AU28)</x:f>
      </x:c>
      <x:c r="M316" s="10" t="str">
        <x:f>IF(NOT(AND(J316="PASS",'Calibrare_Linii'!U8="VALID")),"",1-'Distributie'!AC28)</x:f>
      </x:c>
      <x:c r="N316" s="10" t="str">
        <x:f>IF(M316="","",MAX(0.01,MIN(0.99,0.5+(M316-0.5)*'Motor_Meciuri'!BG28*'Calibrare_Linii'!D8)))</x:f>
      </x:c>
      <x:c r="O316" s="10" t="str">
        <x:f>IF(M316="","",1-M316)</x:f>
      </x:c>
      <x:c r="P316" s="10" t="str">
        <x:f>IF(OR(NOT(AND(J316="PASS",'Calibrare_Linii'!U8="VALID")),AK316=0),""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*('Istoric_Nativ'!$Q$6:$Q$405&lt;=H316))/AK316)</x:f>
      </x:c>
      <x:c r="Q316" s="10" t="str">
        <x:f>IF(OR(NOT(AND(J316="PASS",'Calibrare_Linii'!U8="VALID")),AL316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M28)+((('Istoric_Nativ'!$E$6:$E$405='Input_Meci'!E28)+('Istoric_Nativ'!$F$6:$F$405='Input_Meci'!E28))&gt;0)*('Istoric_Nativ'!$D$6:$D$405&gt;='Motor_Meciuri'!BN28))&gt;0)*('Istoric_Nativ'!$Q$6:$Q$405&lt;=H316))/AL316)</x:f>
      </x:c>
      <x:c r="R316" s="10" t="str">
        <x:f>IF(OR(NOT(AND(J316="PASS",'Calibrare_Linii'!U8="VALID")),AM316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O28)+((('Istoric_Nativ'!$E$6:$E$405='Input_Meci'!E28)+('Istoric_Nativ'!$F$6:$F$405='Input_Meci'!E28))&gt;0)*('Istoric_Nativ'!$D$6:$D$405&gt;='Motor_Meciuri'!BP28))&gt;0)*('Istoric_Nativ'!$Q$6:$Q$405&lt;=H316))/AM316)</x:f>
      </x:c>
      <x:c r="S316" s="10" t="str">
        <x:f>IF(M316="","",MAX(O316,P316,Q316,R316))</x:f>
      </x:c>
      <x:c r="T316" s="11" t="str">
        <x:f>IF(M316="","",MIN(100,S316*100*'Config_v6'!$B$44+MIN(100,L316/'Config_v6'!$B$13*100)*'Config_v6'!$B$45+(100-'Motor_Meciuri'!BF28)*'Config_v6'!$B$46+'Motor_Meciuri'!BH28*100*'Config_v6'!$B$47))</x:f>
      </x:c>
      <x:c r="U316" s="2" t="str">
        <x:f>IF(T316="","",IF(T316&lt;=20,1,IF(T316&lt;=40,2,IF(T316&lt;=60,3,IF(T316&lt;=80,4,5)))))</x:f>
      </x:c>
      <x:c r="V316" s="2" t="str">
        <x:f>IF(M316="","",MAX(0,'Motor_Meciuri'!BF28-IF(W316="OOS PENDING",'Config_v6'!$B$35,0)-IF(L316&gt;'Config_v6'!$B$12,'Config_v6'!$B$37,IF(L316&gt;'Config_v6'!$B$11,'Config_v6'!$B$36,0))))</x:f>
      </x:c>
      <x:c r="W316" s="2" t="str">
        <x:f>IF(B316="","",IF(I316&lt;&gt;"READY","NOT RELEASED",IF(NOT(AND(J316="PASS",'Calibrare_Linii'!U8="VALID")),"INVALID",IF(NOT(AND('Calibrare_Linii'!S8="VALIDATED",AND('Calibrare_Linii'!H8=C316,ISNUMBER('Calibrare_Linii'!J8),'Calibrare_Linii'!J8&lt;='Input_Meci'!G28))),"OOS PENDING",IF(S316&lt;='Calibrare_Linii'!E8,"PASS",IF(S316&lt;='Calibrare_Linii'!F8,"PENALTY","WATCH"))))))</x:f>
      </x:c>
      <x:c r="X316" s="2" t="str">
        <x:f>IF(M316="","",IF(AND(AND(J316="PASS",'Calibrare_Linii'!U8="VALID"),'Motor_Meciuri'!K28=12,'Motor_Meciuri'!L28=12,'Motor_Meciuri'!M28="NO",'Motor_Meciuri'!BL28='Motor_Meciuri'!C28,AB316&gt;='Config_v6'!$B$50,AN316&gt;='Config_v6'!$B$51,T316&lt;='Config_v6'!$B$52,L316&lt;='Config_v6'!$B$53,ISNUMBER('Calibrare_Linii'!E8),S316&lt;='Calibrare_Linii'!E8,SUM(AK316:AM316)&gt;0),"CANDIDATE","NO"))</x:f>
      </x:c>
      <x:c r="Y316" s="2" t="str">
        <x:f>IF(B316="","",IF(I316&lt;&gt;"READY","NOT RELEASED",IF(AND(X316="CANDIDATE",V316&gt;='Config_v6'!$B$51,W316="PASS",'Calibrare_Linii'!T8="VALIDATED",AND('Calibrare_Linii'!H8=C316,ISNUMBER('Calibrare_Linii'!J8),'Calibrare_Linii'!J8&lt;='Input_Meci'!G28)),"PASS",IF(X316="CANDIDATE","OOS PENDING","FAIL"))))</x:f>
      </x:c>
      <x:c r="Z316" s="2" t="str">
        <x:f>IF(B316="","",IF(I316&lt;&gt;"READY","",IF(OR(NOT(AND(J316="PASS",'Calibrare_Linii'!U8="VALID")),L316&gt;'Config_v6'!$B$13,W316="WATCH"),5,IF(Y316="PASS",1,MIN(5,MAX('Config_v6'!$B$42,U316)+IF(W316="PENALTY",1,0))))))</x:f>
      </x:c>
      <x:c r="AA316" s="2" t="str">
        <x:f>IF(B316="","",IF(I316&lt;&gt;"READY","NOT RELEASED",IF(Z316=5,"NO BET",IF(OR(AB316&lt;'Config_v6'!$B$16,V316&lt;'Config_v6'!$B$18),"WATCH",IF(Z316=1,"DEFENSIV",IF(Z316=2,"PRUDENT",IF(Z316=3,"MODERAT","RIDICAT")))))))</x:f>
      </x:c>
      <x:c r="AB316" s="10" t="str">
        <x:f>IF(N316="","",MIN(N316,1-S316))</x:f>
      </x:c>
      <x:c r="AC316" s="2" t="str">
        <x:f>IF(AD316&lt;&gt;1,"",COUNTIFS($Z$314:$Z$327,"&lt;"&amp;Z316,$AD$314:$AD$327,1)+COUNTIFS($Z$314:$Z$327,Z316,$AB$314:$AB$327,"&gt;"&amp;AB316,$AD$314:$AD$327,1)+COUNTIFS($Z$314:$Z$327,Z316,$AB$314:$AB$327,AB316,$V$314:$V$327,"&gt;"&amp;V316,$AD$314:$AD$327,1)+COUNTIFS($Z$314:Z316,Z316,$AB$314:AB316,AB316,$V$314:V316,V316,$AD$314:AD316,1))</x:f>
      </x:c>
      <x:c r="AD316" s="2" t="n">
        <x:f>IF(OR(AA316="DEFENSIV",AA316="PRUDENT",AA316="MODERAT",AA316="RIDICAT"),1,0)</x:f>
        <x:v>0</x:v>
      </x:c>
      <x:c r="AE316" s="2" t="str">
        <x:f>IF(AD316&lt;&gt;1,"NO",IF(W316="PASS","YES",IF(W316="OOS PENDING","CONDITIONAL","NO")))</x:f>
        <x:v>NO</x:v>
      </x:c>
      <x:c r="AF316" s="2" t="n">
        <x:f>IF(AND(AD316=1,AC316=1,E316="LIVE"),1,0)</x:f>
        <x:v>0</x:v>
      </x:c>
      <x:c r="AG316" s="2" t="str">
        <x:f>IF(AF316&lt;&gt;1,"",'Dashboard'!P48)</x:f>
      </x:c>
      <x:c r="AH316" s="2" t="str">
        <x:f>IF(B316="","",IF(J316&lt;&gt;"PASS",'Motor_Meciuri'!J28,IF('Calibrare_Linii'!U8&lt;&gt;"VALID","Parametri linie invalizi",IF(L316&gt;'Config_v6'!$B$13,"Dispersie peste limita",IF(W316="WATCH","Failure peste limita",IF(AB316&lt;'Config_v6'!$B$16,"P finala sub prag",IF(V316&lt;'Config_v6'!$B$18,"Confidence sub prag",IF(E316="REPLAY","Exemplu retrospectiv; exclus din Top LIVE",IF(Y316="PASS","DEFENSIV validat",IF(W316="OOS PENDING","Eligibil; calibrare linie in monitorizare","Eligibil"))))))))))</x:f>
      </x:c>
      <x:c r="AI316" s="2" t="str">
        <x:f>IF(B316="","",'Calibrare_Linii'!V8)</x:f>
      </x:c>
      <x:c r="AJ316" s="2" t="str">
        <x:f>IF(B316="","",IF(AND('Calibrare_Linii'!T8="VALIDATED",AND('Calibrare_Linii'!H8=C316,ISNUMBER('Calibrare_Linii'!J8),'Calibrare_Linii'!J8&lt;='Input_Meci'!G28)),"DEFENSIVE VALIDATED",IF(AND('Calibrare_Linii'!S8="VALIDATED",AND('Calibrare_Linii'!H8=C316,ISNUMBER('Calibrare_Linii'!J8),'Calibrare_Linii'!J8&lt;='Input_Meci'!G28)),"TAIL VALIDATED","OOS PENDING")))</x:f>
      </x:c>
      <x:c r="AK316" s="2" t="n">
        <x:f>IF(J316&lt;&gt;"PASS",0,'Motor_Meciuri'!BR28)</x:f>
        <x:v>0</x:v>
      </x:c>
      <x:c r="AL316" s="2" t="n">
        <x:f>IF(J316&lt;&gt;"PASS",0,'Motor_Meciuri'!BS28)</x:f>
        <x:v>0</x:v>
      </x:c>
      <x:c r="AM316" s="2" t="n">
        <x:f>IF(J316&lt;&gt;"PASS",0,'Motor_Meciuri'!BT28)</x:f>
        <x:v>0</x:v>
      </x:c>
      <x:c r="AN316" s="2" t="str">
        <x:f>IF(M316="","",MAX(0,'Motor_Meciuri'!BF28-IF(L316&gt;'Config_v6'!$B$12,'Config_v6'!$B$37,IF(L316&gt;'Config_v6'!$B$11,'Config_v6'!$B$36,0))))</x:f>
      </x:c>
    </x:row>
    <x:row r="317" ht="21" customHeight="1">
      <x:c r="A317" s="2" t="n">
        <x:v>23</x:v>
      </x:c>
      <x:c r="B317" s="2" t="str">
        <x:f>IF('Motor_Meciuri'!A28="","",'Motor_Meciuri'!A28)</x:f>
      </x:c>
      <x:c r="C317" s="2" t="str">
        <x:f>IF(B317="","",'Motor_Meciuri'!B28)</x:f>
      </x:c>
      <x:c r="D317" s="2" t="str">
        <x:f>IF(B317="","",'Motor_Meciuri'!D28)</x:f>
      </x:c>
      <x:c r="E317" s="2" t="str">
        <x:f>IF(B317="","",'Motor_Meciuri'!E28)</x:f>
      </x:c>
      <x:c r="F317" s="2" t="str">
        <x:v>O6,5</x:v>
      </x:c>
      <x:c r="G317" s="2" t="str">
        <x:v>OVER</x:v>
      </x:c>
      <x:c r="H317" s="2" t="n">
        <x:v>6</x:v>
      </x:c>
      <x:c r="I317" s="2" t="str">
        <x:f>IF(B317="","",'Motor_Meciuri'!H28)</x:f>
      </x:c>
      <x:c r="J317" s="2" t="str">
        <x:f>IF(B317="","",'Motor_Meciuri'!I28)</x:f>
      </x:c>
      <x:c r="K317" s="11" t="str">
        <x:f>IF(J317&lt;&gt;"PASS","",'Motor_Meciuri'!BD28)</x:f>
      </x:c>
      <x:c r="L317" s="11" t="str">
        <x:f>IF(J317&lt;&gt;"PASS","",'Motor_Meciuri'!AU28)</x:f>
      </x:c>
      <x:c r="M317" s="10" t="str">
        <x:f>IF(NOT(AND(J317="PASS",'Calibrare_Linii'!U9="VALID")),"",1-'Distributie'!AD28)</x:f>
      </x:c>
      <x:c r="N317" s="10" t="str">
        <x:f>IF(M317="","",MAX(0.01,MIN(0.99,0.5+(M317-0.5)*'Motor_Meciuri'!BG28*'Calibrare_Linii'!D9)))</x:f>
      </x:c>
      <x:c r="O317" s="10" t="str">
        <x:f>IF(M317="","",1-M317)</x:f>
      </x:c>
      <x:c r="P317" s="10" t="str">
        <x:f>IF(OR(NOT(AND(J317="PASS",'Calibrare_Linii'!U9="VALID")),AK317=0),""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*('Istoric_Nativ'!$Q$6:$Q$405&lt;=H317))/AK317)</x:f>
      </x:c>
      <x:c r="Q317" s="10" t="str">
        <x:f>IF(OR(NOT(AND(J317="PASS",'Calibrare_Linii'!U9="VALID")),AL317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M28)+((('Istoric_Nativ'!$E$6:$E$405='Input_Meci'!E28)+('Istoric_Nativ'!$F$6:$F$405='Input_Meci'!E28))&gt;0)*('Istoric_Nativ'!$D$6:$D$405&gt;='Motor_Meciuri'!BN28))&gt;0)*('Istoric_Nativ'!$Q$6:$Q$405&lt;=H317))/AL317)</x:f>
      </x:c>
      <x:c r="R317" s="10" t="str">
        <x:f>IF(OR(NOT(AND(J317="PASS",'Calibrare_Linii'!U9="VALID")),AM317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O28)+((('Istoric_Nativ'!$E$6:$E$405='Input_Meci'!E28)+('Istoric_Nativ'!$F$6:$F$405='Input_Meci'!E28))&gt;0)*('Istoric_Nativ'!$D$6:$D$405&gt;='Motor_Meciuri'!BP28))&gt;0)*('Istoric_Nativ'!$Q$6:$Q$405&lt;=H317))/AM317)</x:f>
      </x:c>
      <x:c r="S317" s="10" t="str">
        <x:f>IF(M317="","",MAX(O317,P317,Q317,R317))</x:f>
      </x:c>
      <x:c r="T317" s="11" t="str">
        <x:f>IF(M317="","",MIN(100,S317*100*'Config_v6'!$B$44+MIN(100,L317/'Config_v6'!$B$13*100)*'Config_v6'!$B$45+(100-'Motor_Meciuri'!BF28)*'Config_v6'!$B$46+'Motor_Meciuri'!BH28*100*'Config_v6'!$B$47))</x:f>
      </x:c>
      <x:c r="U317" s="2" t="str">
        <x:f>IF(T317="","",IF(T317&lt;=20,1,IF(T317&lt;=40,2,IF(T317&lt;=60,3,IF(T317&lt;=80,4,5)))))</x:f>
      </x:c>
      <x:c r="V317" s="2" t="str">
        <x:f>IF(M317="","",MAX(0,'Motor_Meciuri'!BF28-IF(W317="OOS PENDING",'Config_v6'!$B$35,0)-IF(L317&gt;'Config_v6'!$B$12,'Config_v6'!$B$37,IF(L317&gt;'Config_v6'!$B$11,'Config_v6'!$B$36,0))))</x:f>
      </x:c>
      <x:c r="W317" s="2" t="str">
        <x:f>IF(B317="","",IF(I317&lt;&gt;"READY","NOT RELEASED",IF(NOT(AND(J317="PASS",'Calibrare_Linii'!U9="VALID")),"INVALID",IF(NOT(AND('Calibrare_Linii'!S9="VALIDATED",AND('Calibrare_Linii'!H9=C317,ISNUMBER('Calibrare_Linii'!J9),'Calibrare_Linii'!J9&lt;='Input_Meci'!G28))),"OOS PENDING",IF(S317&lt;='Calibrare_Linii'!E9,"PASS",IF(S317&lt;='Calibrare_Linii'!F9,"PENALTY","WATCH"))))))</x:f>
      </x:c>
      <x:c r="X317" s="2" t="str">
        <x:f>IF(M317="","",IF(AND(AND(J317="PASS",'Calibrare_Linii'!U9="VALID"),'Motor_Meciuri'!K28=12,'Motor_Meciuri'!L28=12,'Motor_Meciuri'!M28="NO",'Motor_Meciuri'!BL28='Motor_Meciuri'!C28,AB317&gt;='Config_v6'!$B$50,AN317&gt;='Config_v6'!$B$51,T317&lt;='Config_v6'!$B$52,L317&lt;='Config_v6'!$B$53,ISNUMBER('Calibrare_Linii'!E9),S317&lt;='Calibrare_Linii'!E9,SUM(AK317:AM317)&gt;0),"CANDIDATE","NO"))</x:f>
      </x:c>
      <x:c r="Y317" s="2" t="str">
        <x:f>IF(B317="","",IF(I317&lt;&gt;"READY","NOT RELEASED",IF(AND(X317="CANDIDATE",V317&gt;='Config_v6'!$B$51,W317="PASS",'Calibrare_Linii'!T9="VALIDATED",AND('Calibrare_Linii'!H9=C317,ISNUMBER('Calibrare_Linii'!J9),'Calibrare_Linii'!J9&lt;='Input_Meci'!G28)),"PASS",IF(X317="CANDIDATE","OOS PENDING","FAIL"))))</x:f>
      </x:c>
      <x:c r="Z317" s="2" t="str">
        <x:f>IF(B317="","",IF(I317&lt;&gt;"READY","",IF(OR(NOT(AND(J317="PASS",'Calibrare_Linii'!U9="VALID")),L317&gt;'Config_v6'!$B$13,W317="WATCH"),5,IF(Y317="PASS",1,MIN(5,MAX('Config_v6'!$B$42,U317)+IF(W317="PENALTY",1,0))))))</x:f>
      </x:c>
      <x:c r="AA317" s="2" t="str">
        <x:f>IF(B317="","",IF(I317&lt;&gt;"READY","NOT RELEASED",IF(Z317=5,"NO BET",IF(OR(AB317&lt;'Config_v6'!$B$16,V317&lt;'Config_v6'!$B$18),"WATCH",IF(Z317=1,"DEFENSIV",IF(Z317=2,"PRUDENT",IF(Z317=3,"MODERAT","RIDICAT")))))))</x:f>
      </x:c>
      <x:c r="AB317" s="10" t="str">
        <x:f>IF(N317="","",MIN(N317,1-S317))</x:f>
      </x:c>
      <x:c r="AC317" s="2" t="str">
        <x:f>IF(AD317&lt;&gt;1,"",COUNTIFS($Z$314:$Z$327,"&lt;"&amp;Z317,$AD$314:$AD$327,1)+COUNTIFS($Z$314:$Z$327,Z317,$AB$314:$AB$327,"&gt;"&amp;AB317,$AD$314:$AD$327,1)+COUNTIFS($Z$314:$Z$327,Z317,$AB$314:$AB$327,AB317,$V$314:$V$327,"&gt;"&amp;V317,$AD$314:$AD$327,1)+COUNTIFS($Z$314:Z317,Z317,$AB$314:AB317,AB317,$V$314:V317,V317,$AD$314:AD317,1))</x:f>
      </x:c>
      <x:c r="AD317" s="2" t="n">
        <x:f>IF(OR(AA317="DEFENSIV",AA317="PRUDENT",AA317="MODERAT",AA317="RIDICAT"),1,0)</x:f>
        <x:v>0</x:v>
      </x:c>
      <x:c r="AE317" s="2" t="str">
        <x:f>IF(AD317&lt;&gt;1,"NO",IF(W317="PASS","YES",IF(W317="OOS PENDING","CONDITIONAL","NO")))</x:f>
        <x:v>NO</x:v>
      </x:c>
      <x:c r="AF317" s="2" t="n">
        <x:f>IF(AND(AD317=1,AC317=1,E317="LIVE"),1,0)</x:f>
        <x:v>0</x:v>
      </x:c>
      <x:c r="AG317" s="2" t="str">
        <x:f>IF(AF317&lt;&gt;1,"",'Dashboard'!P48)</x:f>
      </x:c>
      <x:c r="AH317" s="2" t="str">
        <x:f>IF(B317="","",IF(J317&lt;&gt;"PASS",'Motor_Meciuri'!J28,IF('Calibrare_Linii'!U9&lt;&gt;"VALID","Parametri linie invalizi",IF(L317&gt;'Config_v6'!$B$13,"Dispersie peste limita",IF(W317="WATCH","Failure peste limita",IF(AB317&lt;'Config_v6'!$B$16,"P finala sub prag",IF(V317&lt;'Config_v6'!$B$18,"Confidence sub prag",IF(E317="REPLAY","Exemplu retrospectiv; exclus din Top LIVE",IF(Y317="PASS","DEFENSIV validat",IF(W317="OOS PENDING","Eligibil; calibrare linie in monitorizare","Eligibil"))))))))))</x:f>
      </x:c>
      <x:c r="AI317" s="2" t="str">
        <x:f>IF(B317="","",'Calibrare_Linii'!V9)</x:f>
      </x:c>
      <x:c r="AJ317" s="2" t="str">
        <x:f>IF(B317="","",IF(AND('Calibrare_Linii'!T9="VALIDATED",AND('Calibrare_Linii'!H9=C317,ISNUMBER('Calibrare_Linii'!J9),'Calibrare_Linii'!J9&lt;='Input_Meci'!G28)),"DEFENSIVE VALIDATED",IF(AND('Calibrare_Linii'!S9="VALIDATED",AND('Calibrare_Linii'!H9=C317,ISNUMBER('Calibrare_Linii'!J9),'Calibrare_Linii'!J9&lt;='Input_Meci'!G28)),"TAIL VALIDATED","OOS PENDING")))</x:f>
      </x:c>
      <x:c r="AK317" s="2" t="n">
        <x:f>IF(J317&lt;&gt;"PASS",0,'Motor_Meciuri'!BR28)</x:f>
        <x:v>0</x:v>
      </x:c>
      <x:c r="AL317" s="2" t="n">
        <x:f>IF(J317&lt;&gt;"PASS",0,'Motor_Meciuri'!BS28)</x:f>
        <x:v>0</x:v>
      </x:c>
      <x:c r="AM317" s="2" t="n">
        <x:f>IF(J317&lt;&gt;"PASS",0,'Motor_Meciuri'!BT28)</x:f>
        <x:v>0</x:v>
      </x:c>
      <x:c r="AN317" s="2" t="str">
        <x:f>IF(M317="","",MAX(0,'Motor_Meciuri'!BF28-IF(L317&gt;'Config_v6'!$B$12,'Config_v6'!$B$37,IF(L317&gt;'Config_v6'!$B$11,'Config_v6'!$B$36,0))))</x:f>
      </x:c>
    </x:row>
    <x:row r="318" ht="21" customHeight="1">
      <x:c r="A318" s="2" t="n">
        <x:v>23</x:v>
      </x:c>
      <x:c r="B318" s="2" t="str">
        <x:f>IF('Motor_Meciuri'!A28="","",'Motor_Meciuri'!A28)</x:f>
      </x:c>
      <x:c r="C318" s="2" t="str">
        <x:f>IF(B318="","",'Motor_Meciuri'!B28)</x:f>
      </x:c>
      <x:c r="D318" s="2" t="str">
        <x:f>IF(B318="","",'Motor_Meciuri'!D28)</x:f>
      </x:c>
      <x:c r="E318" s="2" t="str">
        <x:f>IF(B318="","",'Motor_Meciuri'!E28)</x:f>
      </x:c>
      <x:c r="F318" s="2" t="str">
        <x:v>O7,5</x:v>
      </x:c>
      <x:c r="G318" s="2" t="str">
        <x:v>OVER</x:v>
      </x:c>
      <x:c r="H318" s="2" t="n">
        <x:v>7</x:v>
      </x:c>
      <x:c r="I318" s="2" t="str">
        <x:f>IF(B318="","",'Motor_Meciuri'!H28)</x:f>
      </x:c>
      <x:c r="J318" s="2" t="str">
        <x:f>IF(B318="","",'Motor_Meciuri'!I28)</x:f>
      </x:c>
      <x:c r="K318" s="11" t="str">
        <x:f>IF(J318&lt;&gt;"PASS","",'Motor_Meciuri'!BD28)</x:f>
      </x:c>
      <x:c r="L318" s="11" t="str">
        <x:f>IF(J318&lt;&gt;"PASS","",'Motor_Meciuri'!AU28)</x:f>
      </x:c>
      <x:c r="M318" s="10" t="str">
        <x:f>IF(NOT(AND(J318="PASS",'Calibrare_Linii'!U10="VALID")),"",1-'Distributie'!AE28)</x:f>
      </x:c>
      <x:c r="N318" s="10" t="str">
        <x:f>IF(M318="","",MAX(0.01,MIN(0.99,0.5+(M318-0.5)*'Motor_Meciuri'!BG28*'Calibrare_Linii'!D10)))</x:f>
      </x:c>
      <x:c r="O318" s="10" t="str">
        <x:f>IF(M318="","",1-M318)</x:f>
      </x:c>
      <x:c r="P318" s="10" t="str">
        <x:f>IF(OR(NOT(AND(J318="PASS",'Calibrare_Linii'!U10="VALID")),AK318=0),""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*('Istoric_Nativ'!$Q$6:$Q$405&lt;=H318))/AK318)</x:f>
      </x:c>
      <x:c r="Q318" s="10" t="str">
        <x:f>IF(OR(NOT(AND(J318="PASS",'Calibrare_Linii'!U10="VALID")),AL318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M28)+((('Istoric_Nativ'!$E$6:$E$405='Input_Meci'!E28)+('Istoric_Nativ'!$F$6:$F$405='Input_Meci'!E28))&gt;0)*('Istoric_Nativ'!$D$6:$D$405&gt;='Motor_Meciuri'!BN28))&gt;0)*('Istoric_Nativ'!$Q$6:$Q$405&lt;=H318))/AL318)</x:f>
      </x:c>
      <x:c r="R318" s="10" t="str">
        <x:f>IF(OR(NOT(AND(J318="PASS",'Calibrare_Linii'!U10="VALID")),AM318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O28)+((('Istoric_Nativ'!$E$6:$E$405='Input_Meci'!E28)+('Istoric_Nativ'!$F$6:$F$405='Input_Meci'!E28))&gt;0)*('Istoric_Nativ'!$D$6:$D$405&gt;='Motor_Meciuri'!BP28))&gt;0)*('Istoric_Nativ'!$Q$6:$Q$405&lt;=H318))/AM318)</x:f>
      </x:c>
      <x:c r="S318" s="10" t="str">
        <x:f>IF(M318="","",MAX(O318,P318,Q318,R318))</x:f>
      </x:c>
      <x:c r="T318" s="11" t="str">
        <x:f>IF(M318="","",MIN(100,S318*100*'Config_v6'!$B$44+MIN(100,L318/'Config_v6'!$B$13*100)*'Config_v6'!$B$45+(100-'Motor_Meciuri'!BF28)*'Config_v6'!$B$46+'Motor_Meciuri'!BH28*100*'Config_v6'!$B$47))</x:f>
      </x:c>
      <x:c r="U318" s="2" t="str">
        <x:f>IF(T318="","",IF(T318&lt;=20,1,IF(T318&lt;=40,2,IF(T318&lt;=60,3,IF(T318&lt;=80,4,5)))))</x:f>
      </x:c>
      <x:c r="V318" s="2" t="str">
        <x:f>IF(M318="","",MAX(0,'Motor_Meciuri'!BF28-IF(W318="OOS PENDING",'Config_v6'!$B$35,0)-IF(L318&gt;'Config_v6'!$B$12,'Config_v6'!$B$37,IF(L318&gt;'Config_v6'!$B$11,'Config_v6'!$B$36,0))))</x:f>
      </x:c>
      <x:c r="W318" s="2" t="str">
        <x:f>IF(B318="","",IF(I318&lt;&gt;"READY","NOT RELEASED",IF(NOT(AND(J318="PASS",'Calibrare_Linii'!U10="VALID")),"INVALID",IF(NOT(AND('Calibrare_Linii'!S10="VALIDATED",AND('Calibrare_Linii'!H10=C318,ISNUMBER('Calibrare_Linii'!J10),'Calibrare_Linii'!J10&lt;='Input_Meci'!G28))),"OOS PENDING",IF(S318&lt;='Calibrare_Linii'!E10,"PASS",IF(S318&lt;='Calibrare_Linii'!F10,"PENALTY","WATCH"))))))</x:f>
      </x:c>
      <x:c r="X318" s="2" t="str">
        <x:f>IF(M318="","",IF(AND(AND(J318="PASS",'Calibrare_Linii'!U10="VALID"),'Motor_Meciuri'!K28=12,'Motor_Meciuri'!L28=12,'Motor_Meciuri'!M28="NO",'Motor_Meciuri'!BL28='Motor_Meciuri'!C28,AB318&gt;='Config_v6'!$B$50,AN318&gt;='Config_v6'!$B$51,T318&lt;='Config_v6'!$B$52,L318&lt;='Config_v6'!$B$53,ISNUMBER('Calibrare_Linii'!E10),S318&lt;='Calibrare_Linii'!E10,SUM(AK318:AM318)&gt;0),"CANDIDATE","NO"))</x:f>
      </x:c>
      <x:c r="Y318" s="2" t="str">
        <x:f>IF(B318="","",IF(I318&lt;&gt;"READY","NOT RELEASED",IF(AND(X318="CANDIDATE",V318&gt;='Config_v6'!$B$51,W318="PASS",'Calibrare_Linii'!T10="VALIDATED",AND('Calibrare_Linii'!H10=C318,ISNUMBER('Calibrare_Linii'!J10),'Calibrare_Linii'!J10&lt;='Input_Meci'!G28)),"PASS",IF(X318="CANDIDATE","OOS PENDING","FAIL"))))</x:f>
      </x:c>
      <x:c r="Z318" s="2" t="str">
        <x:f>IF(B318="","",IF(I318&lt;&gt;"READY","",IF(OR(NOT(AND(J318="PASS",'Calibrare_Linii'!U10="VALID")),L318&gt;'Config_v6'!$B$13,W318="WATCH"),5,IF(Y318="PASS",1,MIN(5,MAX('Config_v6'!$B$42,U318)+IF(W318="PENALTY",1,0))))))</x:f>
      </x:c>
      <x:c r="AA318" s="2" t="str">
        <x:f>IF(B318="","",IF(I318&lt;&gt;"READY","NOT RELEASED",IF(Z318=5,"NO BET",IF(OR(AB318&lt;'Config_v6'!$B$16,V318&lt;'Config_v6'!$B$18),"WATCH",IF(Z318=1,"DEFENSIV",IF(Z318=2,"PRUDENT",IF(Z318=3,"MODERAT","RIDICAT")))))))</x:f>
      </x:c>
      <x:c r="AB318" s="10" t="str">
        <x:f>IF(N318="","",MIN(N318,1-S318))</x:f>
      </x:c>
      <x:c r="AC318" s="2" t="str">
        <x:f>IF(AD318&lt;&gt;1,"",COUNTIFS($Z$314:$Z$327,"&lt;"&amp;Z318,$AD$314:$AD$327,1)+COUNTIFS($Z$314:$Z$327,Z318,$AB$314:$AB$327,"&gt;"&amp;AB318,$AD$314:$AD$327,1)+COUNTIFS($Z$314:$Z$327,Z318,$AB$314:$AB$327,AB318,$V$314:$V$327,"&gt;"&amp;V318,$AD$314:$AD$327,1)+COUNTIFS($Z$314:Z318,Z318,$AB$314:AB318,AB318,$V$314:V318,V318,$AD$314:AD318,1))</x:f>
      </x:c>
      <x:c r="AD318" s="2" t="n">
        <x:f>IF(OR(AA318="DEFENSIV",AA318="PRUDENT",AA318="MODERAT",AA318="RIDICAT"),1,0)</x:f>
        <x:v>0</x:v>
      </x:c>
      <x:c r="AE318" s="2" t="str">
        <x:f>IF(AD318&lt;&gt;1,"NO",IF(W318="PASS","YES",IF(W318="OOS PENDING","CONDITIONAL","NO")))</x:f>
        <x:v>NO</x:v>
      </x:c>
      <x:c r="AF318" s="2" t="n">
        <x:f>IF(AND(AD318=1,AC318=1,E318="LIVE"),1,0)</x:f>
        <x:v>0</x:v>
      </x:c>
      <x:c r="AG318" s="2" t="str">
        <x:f>IF(AF318&lt;&gt;1,"",'Dashboard'!P48)</x:f>
      </x:c>
      <x:c r="AH318" s="2" t="str">
        <x:f>IF(B318="","",IF(J318&lt;&gt;"PASS",'Motor_Meciuri'!J28,IF('Calibrare_Linii'!U10&lt;&gt;"VALID","Parametri linie invalizi",IF(L318&gt;'Config_v6'!$B$13,"Dispersie peste limita",IF(W318="WATCH","Failure peste limita",IF(AB318&lt;'Config_v6'!$B$16,"P finala sub prag",IF(V318&lt;'Config_v6'!$B$18,"Confidence sub prag",IF(E318="REPLAY","Exemplu retrospectiv; exclus din Top LIVE",IF(Y318="PASS","DEFENSIV validat",IF(W318="OOS PENDING","Eligibil; calibrare linie in monitorizare","Eligibil"))))))))))</x:f>
      </x:c>
      <x:c r="AI318" s="2" t="str">
        <x:f>IF(B318="","",'Calibrare_Linii'!V10)</x:f>
      </x:c>
      <x:c r="AJ318" s="2" t="str">
        <x:f>IF(B318="","",IF(AND('Calibrare_Linii'!T10="VALIDATED",AND('Calibrare_Linii'!H10=C318,ISNUMBER('Calibrare_Linii'!J10),'Calibrare_Linii'!J10&lt;='Input_Meci'!G28)),"DEFENSIVE VALIDATED",IF(AND('Calibrare_Linii'!S10="VALIDATED",AND('Calibrare_Linii'!H10=C318,ISNUMBER('Calibrare_Linii'!J10),'Calibrare_Linii'!J10&lt;='Input_Meci'!G28)),"TAIL VALIDATED","OOS PENDING")))</x:f>
      </x:c>
      <x:c r="AK318" s="2" t="n">
        <x:f>IF(J318&lt;&gt;"PASS",0,'Motor_Meciuri'!BR28)</x:f>
        <x:v>0</x:v>
      </x:c>
      <x:c r="AL318" s="2" t="n">
        <x:f>IF(J318&lt;&gt;"PASS",0,'Motor_Meciuri'!BS28)</x:f>
        <x:v>0</x:v>
      </x:c>
      <x:c r="AM318" s="2" t="n">
        <x:f>IF(J318&lt;&gt;"PASS",0,'Motor_Meciuri'!BT28)</x:f>
        <x:v>0</x:v>
      </x:c>
      <x:c r="AN318" s="2" t="str">
        <x:f>IF(M318="","",MAX(0,'Motor_Meciuri'!BF28-IF(L318&gt;'Config_v6'!$B$12,'Config_v6'!$B$37,IF(L318&gt;'Config_v6'!$B$11,'Config_v6'!$B$36,0))))</x:f>
      </x:c>
    </x:row>
    <x:row r="319" ht="21" customHeight="1">
      <x:c r="A319" s="2" t="n">
        <x:v>23</x:v>
      </x:c>
      <x:c r="B319" s="2" t="str">
        <x:f>IF('Motor_Meciuri'!A28="","",'Motor_Meciuri'!A28)</x:f>
      </x:c>
      <x:c r="C319" s="2" t="str">
        <x:f>IF(B319="","",'Motor_Meciuri'!B28)</x:f>
      </x:c>
      <x:c r="D319" s="2" t="str">
        <x:f>IF(B319="","",'Motor_Meciuri'!D28)</x:f>
      </x:c>
      <x:c r="E319" s="2" t="str">
        <x:f>IF(B319="","",'Motor_Meciuri'!E28)</x:f>
      </x:c>
      <x:c r="F319" s="2" t="str">
        <x:v>O8,5</x:v>
      </x:c>
      <x:c r="G319" s="2" t="str">
        <x:v>OVER</x:v>
      </x:c>
      <x:c r="H319" s="2" t="n">
        <x:v>8</x:v>
      </x:c>
      <x:c r="I319" s="2" t="str">
        <x:f>IF(B319="","",'Motor_Meciuri'!H28)</x:f>
      </x:c>
      <x:c r="J319" s="2" t="str">
        <x:f>IF(B319="","",'Motor_Meciuri'!I28)</x:f>
      </x:c>
      <x:c r="K319" s="11" t="str">
        <x:f>IF(J319&lt;&gt;"PASS","",'Motor_Meciuri'!BD28)</x:f>
      </x:c>
      <x:c r="L319" s="11" t="str">
        <x:f>IF(J319&lt;&gt;"PASS","",'Motor_Meciuri'!AU28)</x:f>
      </x:c>
      <x:c r="M319" s="10" t="str">
        <x:f>IF(NOT(AND(J319="PASS",'Calibrare_Linii'!U11="VALID")),"",1-'Distributie'!AF28)</x:f>
      </x:c>
      <x:c r="N319" s="10" t="str">
        <x:f>IF(M319="","",MAX(0.01,MIN(0.99,0.5+(M319-0.5)*'Motor_Meciuri'!BG28*'Calibrare_Linii'!D11)))</x:f>
      </x:c>
      <x:c r="O319" s="10" t="str">
        <x:f>IF(M319="","",1-M319)</x:f>
      </x:c>
      <x:c r="P319" s="10" t="str">
        <x:f>IF(OR(NOT(AND(J319="PASS",'Calibrare_Linii'!U11="VALID")),AK319=0),""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*('Istoric_Nativ'!$Q$6:$Q$405&lt;=H319))/AK319)</x:f>
      </x:c>
      <x:c r="Q319" s="10" t="str">
        <x:f>IF(OR(NOT(AND(J319="PASS",'Calibrare_Linii'!U11="VALID")),AL319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M28)+((('Istoric_Nativ'!$E$6:$E$405='Input_Meci'!E28)+('Istoric_Nativ'!$F$6:$F$405='Input_Meci'!E28))&gt;0)*('Istoric_Nativ'!$D$6:$D$405&gt;='Motor_Meciuri'!BN28))&gt;0)*('Istoric_Nativ'!$Q$6:$Q$405&lt;=H319))/AL319)</x:f>
      </x:c>
      <x:c r="R319" s="10" t="str">
        <x:f>IF(OR(NOT(AND(J319="PASS",'Calibrare_Linii'!U11="VALID")),AM319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O28)+((('Istoric_Nativ'!$E$6:$E$405='Input_Meci'!E28)+('Istoric_Nativ'!$F$6:$F$405='Input_Meci'!E28))&gt;0)*('Istoric_Nativ'!$D$6:$D$405&gt;='Motor_Meciuri'!BP28))&gt;0)*('Istoric_Nativ'!$Q$6:$Q$405&lt;=H319))/AM319)</x:f>
      </x:c>
      <x:c r="S319" s="10" t="str">
        <x:f>IF(M319="","",MAX(O319,P319,Q319,R319))</x:f>
      </x:c>
      <x:c r="T319" s="11" t="str">
        <x:f>IF(M319="","",MIN(100,S319*100*'Config_v6'!$B$44+MIN(100,L319/'Config_v6'!$B$13*100)*'Config_v6'!$B$45+(100-'Motor_Meciuri'!BF28)*'Config_v6'!$B$46+'Motor_Meciuri'!BH28*100*'Config_v6'!$B$47))</x:f>
      </x:c>
      <x:c r="U319" s="2" t="str">
        <x:f>IF(T319="","",IF(T319&lt;=20,1,IF(T319&lt;=40,2,IF(T319&lt;=60,3,IF(T319&lt;=80,4,5)))))</x:f>
      </x:c>
      <x:c r="V319" s="2" t="str">
        <x:f>IF(M319="","",MAX(0,'Motor_Meciuri'!BF28-IF(W319="OOS PENDING",'Config_v6'!$B$35,0)-IF(L319&gt;'Config_v6'!$B$12,'Config_v6'!$B$37,IF(L319&gt;'Config_v6'!$B$11,'Config_v6'!$B$36,0))))</x:f>
      </x:c>
      <x:c r="W319" s="2" t="str">
        <x:f>IF(B319="","",IF(I319&lt;&gt;"READY","NOT RELEASED",IF(NOT(AND(J319="PASS",'Calibrare_Linii'!U11="VALID")),"INVALID",IF(NOT(AND('Calibrare_Linii'!S11="VALIDATED",AND('Calibrare_Linii'!H11=C319,ISNUMBER('Calibrare_Linii'!J11),'Calibrare_Linii'!J11&lt;='Input_Meci'!G28))),"OOS PENDING",IF(S319&lt;='Calibrare_Linii'!E11,"PASS",IF(S319&lt;='Calibrare_Linii'!F11,"PENALTY","WATCH"))))))</x:f>
      </x:c>
      <x:c r="X319" s="2" t="str">
        <x:f>IF(M319="","",IF(AND(AND(J319="PASS",'Calibrare_Linii'!U11="VALID"),'Motor_Meciuri'!K28=12,'Motor_Meciuri'!L28=12,'Motor_Meciuri'!M28="NO",'Motor_Meciuri'!BL28='Motor_Meciuri'!C28,AB319&gt;='Config_v6'!$B$50,AN319&gt;='Config_v6'!$B$51,T319&lt;='Config_v6'!$B$52,L319&lt;='Config_v6'!$B$53,ISNUMBER('Calibrare_Linii'!E11),S319&lt;='Calibrare_Linii'!E11,SUM(AK319:AM319)&gt;0),"CANDIDATE","NO"))</x:f>
      </x:c>
      <x:c r="Y319" s="2" t="str">
        <x:f>IF(B319="","",IF(I319&lt;&gt;"READY","NOT RELEASED",IF(AND(X319="CANDIDATE",V319&gt;='Config_v6'!$B$51,W319="PASS",'Calibrare_Linii'!T11="VALIDATED",AND('Calibrare_Linii'!H11=C319,ISNUMBER('Calibrare_Linii'!J11),'Calibrare_Linii'!J11&lt;='Input_Meci'!G28)),"PASS",IF(X319="CANDIDATE","OOS PENDING","FAIL"))))</x:f>
      </x:c>
      <x:c r="Z319" s="2" t="str">
        <x:f>IF(B319="","",IF(I319&lt;&gt;"READY","",IF(OR(NOT(AND(J319="PASS",'Calibrare_Linii'!U11="VALID")),L319&gt;'Config_v6'!$B$13,W319="WATCH"),5,IF(Y319="PASS",1,MIN(5,MAX('Config_v6'!$B$42,U319)+IF(W319="PENALTY",1,0))))))</x:f>
      </x:c>
      <x:c r="AA319" s="2" t="str">
        <x:f>IF(B319="","",IF(I319&lt;&gt;"READY","NOT RELEASED",IF(Z319=5,"NO BET",IF(OR(AB319&lt;'Config_v6'!$B$16,V319&lt;'Config_v6'!$B$18),"WATCH",IF(Z319=1,"DEFENSIV",IF(Z319=2,"PRUDENT",IF(Z319=3,"MODERAT","RIDICAT")))))))</x:f>
      </x:c>
      <x:c r="AB319" s="10" t="str">
        <x:f>IF(N319="","",MIN(N319,1-S319))</x:f>
      </x:c>
      <x:c r="AC319" s="2" t="str">
        <x:f>IF(AD319&lt;&gt;1,"",COUNTIFS($Z$314:$Z$327,"&lt;"&amp;Z319,$AD$314:$AD$327,1)+COUNTIFS($Z$314:$Z$327,Z319,$AB$314:$AB$327,"&gt;"&amp;AB319,$AD$314:$AD$327,1)+COUNTIFS($Z$314:$Z$327,Z319,$AB$314:$AB$327,AB319,$V$314:$V$327,"&gt;"&amp;V319,$AD$314:$AD$327,1)+COUNTIFS($Z$314:Z319,Z319,$AB$314:AB319,AB319,$V$314:V319,V319,$AD$314:AD319,1))</x:f>
      </x:c>
      <x:c r="AD319" s="2" t="n">
        <x:f>IF(OR(AA319="DEFENSIV",AA319="PRUDENT",AA319="MODERAT",AA319="RIDICAT"),1,0)</x:f>
        <x:v>0</x:v>
      </x:c>
      <x:c r="AE319" s="2" t="str">
        <x:f>IF(AD319&lt;&gt;1,"NO",IF(W319="PASS","YES",IF(W319="OOS PENDING","CONDITIONAL","NO")))</x:f>
        <x:v>NO</x:v>
      </x:c>
      <x:c r="AF319" s="2" t="n">
        <x:f>IF(AND(AD319=1,AC319=1,E319="LIVE"),1,0)</x:f>
        <x:v>0</x:v>
      </x:c>
      <x:c r="AG319" s="2" t="str">
        <x:f>IF(AF319&lt;&gt;1,"",'Dashboard'!P48)</x:f>
      </x:c>
      <x:c r="AH319" s="2" t="str">
        <x:f>IF(B319="","",IF(J319&lt;&gt;"PASS",'Motor_Meciuri'!J28,IF('Calibrare_Linii'!U11&lt;&gt;"VALID","Parametri linie invalizi",IF(L319&gt;'Config_v6'!$B$13,"Dispersie peste limita",IF(W319="WATCH","Failure peste limita",IF(AB319&lt;'Config_v6'!$B$16,"P finala sub prag",IF(V319&lt;'Config_v6'!$B$18,"Confidence sub prag",IF(E319="REPLAY","Exemplu retrospectiv; exclus din Top LIVE",IF(Y319="PASS","DEFENSIV validat",IF(W319="OOS PENDING","Eligibil; calibrare linie in monitorizare","Eligibil"))))))))))</x:f>
      </x:c>
      <x:c r="AI319" s="2" t="str">
        <x:f>IF(B319="","",'Calibrare_Linii'!V11)</x:f>
      </x:c>
      <x:c r="AJ319" s="2" t="str">
        <x:f>IF(B319="","",IF(AND('Calibrare_Linii'!T11="VALIDATED",AND('Calibrare_Linii'!H11=C319,ISNUMBER('Calibrare_Linii'!J11),'Calibrare_Linii'!J11&lt;='Input_Meci'!G28)),"DEFENSIVE VALIDATED",IF(AND('Calibrare_Linii'!S11="VALIDATED",AND('Calibrare_Linii'!H11=C319,ISNUMBER('Calibrare_Linii'!J11),'Calibrare_Linii'!J11&lt;='Input_Meci'!G28)),"TAIL VALIDATED","OOS PENDING")))</x:f>
      </x:c>
      <x:c r="AK319" s="2" t="n">
        <x:f>IF(J319&lt;&gt;"PASS",0,'Motor_Meciuri'!BR28)</x:f>
        <x:v>0</x:v>
      </x:c>
      <x:c r="AL319" s="2" t="n">
        <x:f>IF(J319&lt;&gt;"PASS",0,'Motor_Meciuri'!BS28)</x:f>
        <x:v>0</x:v>
      </x:c>
      <x:c r="AM319" s="2" t="n">
        <x:f>IF(J319&lt;&gt;"PASS",0,'Motor_Meciuri'!BT28)</x:f>
        <x:v>0</x:v>
      </x:c>
      <x:c r="AN319" s="2" t="str">
        <x:f>IF(M319="","",MAX(0,'Motor_Meciuri'!BF28-IF(L319&gt;'Config_v6'!$B$12,'Config_v6'!$B$37,IF(L319&gt;'Config_v6'!$B$11,'Config_v6'!$B$36,0))))</x:f>
      </x:c>
    </x:row>
    <x:row r="320" ht="21" customHeight="1">
      <x:c r="A320" s="2" t="n">
        <x:v>23</x:v>
      </x:c>
      <x:c r="B320" s="2" t="str">
        <x:f>IF('Motor_Meciuri'!A28="","",'Motor_Meciuri'!A28)</x:f>
      </x:c>
      <x:c r="C320" s="2" t="str">
        <x:f>IF(B320="","",'Motor_Meciuri'!B28)</x:f>
      </x:c>
      <x:c r="D320" s="2" t="str">
        <x:f>IF(B320="","",'Motor_Meciuri'!D28)</x:f>
      </x:c>
      <x:c r="E320" s="2" t="str">
        <x:f>IF(B320="","",'Motor_Meciuri'!E28)</x:f>
      </x:c>
      <x:c r="F320" s="2" t="str">
        <x:v>U10,5</x:v>
      </x:c>
      <x:c r="G320" s="2" t="str">
        <x:v>UNDER</x:v>
      </x:c>
      <x:c r="H320" s="2" t="n">
        <x:v>10</x:v>
      </x:c>
      <x:c r="I320" s="2" t="str">
        <x:f>IF(B320="","",'Motor_Meciuri'!H28)</x:f>
      </x:c>
      <x:c r="J320" s="2" t="str">
        <x:f>IF(B320="","",'Motor_Meciuri'!I28)</x:f>
      </x:c>
      <x:c r="K320" s="11" t="str">
        <x:f>IF(J320&lt;&gt;"PASS","",'Motor_Meciuri'!BD28)</x:f>
      </x:c>
      <x:c r="L320" s="11" t="str">
        <x:f>IF(J320&lt;&gt;"PASS","",'Motor_Meciuri'!AU28)</x:f>
      </x:c>
      <x:c r="M320" s="10" t="str">
        <x:f>IF(NOT(AND(J320="PASS",'Calibrare_Linii'!U12="VALID")),"",'Distributie'!AH28)</x:f>
      </x:c>
      <x:c r="N320" s="10" t="str">
        <x:f>IF(M320="","",MAX(0.01,MIN(0.99,0.5+(M320-0.5)*'Motor_Meciuri'!BG28*'Calibrare_Linii'!D12)))</x:f>
      </x:c>
      <x:c r="O320" s="10" t="str">
        <x:f>IF(M320="","",1-M320)</x:f>
      </x:c>
      <x:c r="P320" s="10" t="str">
        <x:f>IF(OR(NOT(AND(J320="PASS",'Calibrare_Linii'!U12="VALID")),AK320=0),""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*('Istoric_Nativ'!$Q$6:$Q$405&gt;H320))/AK320)</x:f>
      </x:c>
      <x:c r="Q320" s="10" t="str">
        <x:f>IF(OR(NOT(AND(J320="PASS",'Calibrare_Linii'!U12="VALID")),AL320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M28)+((('Istoric_Nativ'!$E$6:$E$405='Input_Meci'!E28)+('Istoric_Nativ'!$F$6:$F$405='Input_Meci'!E28))&gt;0)*('Istoric_Nativ'!$D$6:$D$405&gt;='Motor_Meciuri'!BN28))&gt;0)*('Istoric_Nativ'!$Q$6:$Q$405&gt;H320))/AL320)</x:f>
      </x:c>
      <x:c r="R320" s="10" t="str">
        <x:f>IF(OR(NOT(AND(J320="PASS",'Calibrare_Linii'!U12="VALID")),AM320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O28)+((('Istoric_Nativ'!$E$6:$E$405='Input_Meci'!E28)+('Istoric_Nativ'!$F$6:$F$405='Input_Meci'!E28))&gt;0)*('Istoric_Nativ'!$D$6:$D$405&gt;='Motor_Meciuri'!BP28))&gt;0)*('Istoric_Nativ'!$Q$6:$Q$405&gt;H320))/AM320)</x:f>
      </x:c>
      <x:c r="S320" s="10" t="str">
        <x:f>IF(M320="","",MAX(O320,P320,Q320,R320))</x:f>
      </x:c>
      <x:c r="T320" s="11" t="str">
        <x:f>IF(M320="","",MIN(100,S320*100*'Config_v6'!$B$44+MIN(100,L320/'Config_v6'!$B$13*100)*'Config_v6'!$B$45+(100-'Motor_Meciuri'!BF28)*'Config_v6'!$B$46+'Motor_Meciuri'!BH28*100*'Config_v6'!$B$47))</x:f>
      </x:c>
      <x:c r="U320" s="2" t="str">
        <x:f>IF(T320="","",IF(T320&lt;=20,1,IF(T320&lt;=40,2,IF(T320&lt;=60,3,IF(T320&lt;=80,4,5)))))</x:f>
      </x:c>
      <x:c r="V320" s="2" t="str">
        <x:f>IF(M320="","",MAX(0,'Motor_Meciuri'!BF28-IF(W320="OOS PENDING",'Config_v6'!$B$35,0)-IF(L320&gt;'Config_v6'!$B$12,'Config_v6'!$B$37,IF(L320&gt;'Config_v6'!$B$11,'Config_v6'!$B$36,0))))</x:f>
      </x:c>
      <x:c r="W320" s="2" t="str">
        <x:f>IF(B320="","",IF(I320&lt;&gt;"READY","NOT RELEASED",IF(NOT(AND(J320="PASS",'Calibrare_Linii'!U12="VALID")),"INVALID",IF(NOT(AND('Calibrare_Linii'!S12="VALIDATED",AND('Calibrare_Linii'!H12=C320,ISNUMBER('Calibrare_Linii'!J12),'Calibrare_Linii'!J12&lt;='Input_Meci'!G28))),"OOS PENDING",IF(S320&lt;='Calibrare_Linii'!E12,"PASS",IF(S320&lt;='Calibrare_Linii'!F12,"PENALTY","WATCH"))))))</x:f>
      </x:c>
      <x:c r="X320" s="2" t="str">
        <x:f>IF(M320="","",IF(AND(AND(J320="PASS",'Calibrare_Linii'!U12="VALID"),'Motor_Meciuri'!K28=12,'Motor_Meciuri'!L28=12,'Motor_Meciuri'!M28="NO",'Motor_Meciuri'!BL28='Motor_Meciuri'!C28,AB320&gt;='Config_v6'!$B$50,AN320&gt;='Config_v6'!$B$51,T320&lt;='Config_v6'!$B$52,L320&lt;='Config_v6'!$B$53,ISNUMBER('Calibrare_Linii'!E12),S320&lt;='Calibrare_Linii'!E12,SUM(AK320:AM320)&gt;0),"CANDIDATE","NO"))</x:f>
      </x:c>
      <x:c r="Y320" s="2" t="str">
        <x:f>IF(B320="","",IF(I320&lt;&gt;"READY","NOT RELEASED",IF(AND(X320="CANDIDATE",V320&gt;='Config_v6'!$B$51,W320="PASS",'Calibrare_Linii'!T12="VALIDATED",AND('Calibrare_Linii'!H12=C320,ISNUMBER('Calibrare_Linii'!J12),'Calibrare_Linii'!J12&lt;='Input_Meci'!G28)),"PASS",IF(X320="CANDIDATE","OOS PENDING","FAIL"))))</x:f>
      </x:c>
      <x:c r="Z320" s="2" t="str">
        <x:f>IF(B320="","",IF(I320&lt;&gt;"READY","",IF(OR(NOT(AND(J320="PASS",'Calibrare_Linii'!U12="VALID")),L320&gt;'Config_v6'!$B$13,W320="WATCH"),5,IF(Y320="PASS",1,MIN(5,MAX('Config_v6'!$B$42,U320)+IF(W320="PENALTY",1,0))))))</x:f>
      </x:c>
      <x:c r="AA320" s="2" t="str">
        <x:f>IF(B320="","",IF(I320&lt;&gt;"READY","NOT RELEASED",IF(Z320=5,"NO BET",IF(OR(AB320&lt;'Config_v6'!$B$16,V320&lt;'Config_v6'!$B$18),"WATCH",IF(Z320=1,"DEFENSIV",IF(Z320=2,"PRUDENT",IF(Z320=3,"MODERAT","RIDICAT")))))))</x:f>
      </x:c>
      <x:c r="AB320" s="10" t="str">
        <x:f>IF(N320="","",MIN(N320,1-S320))</x:f>
      </x:c>
      <x:c r="AC320" s="2" t="str">
        <x:f>IF(AD320&lt;&gt;1,"",COUNTIFS($Z$314:$Z$327,"&lt;"&amp;Z320,$AD$314:$AD$327,1)+COUNTIFS($Z$314:$Z$327,Z320,$AB$314:$AB$327,"&gt;"&amp;AB320,$AD$314:$AD$327,1)+COUNTIFS($Z$314:$Z$327,Z320,$AB$314:$AB$327,AB320,$V$314:$V$327,"&gt;"&amp;V320,$AD$314:$AD$327,1)+COUNTIFS($Z$314:Z320,Z320,$AB$314:AB320,AB320,$V$314:V320,V320,$AD$314:AD320,1))</x:f>
      </x:c>
      <x:c r="AD320" s="2" t="n">
        <x:f>IF(OR(AA320="DEFENSIV",AA320="PRUDENT",AA320="MODERAT",AA320="RIDICAT"),1,0)</x:f>
        <x:v>0</x:v>
      </x:c>
      <x:c r="AE320" s="2" t="str">
        <x:f>IF(AD320&lt;&gt;1,"NO",IF(W320="PASS","YES",IF(W320="OOS PENDING","CONDITIONAL","NO")))</x:f>
        <x:v>NO</x:v>
      </x:c>
      <x:c r="AF320" s="2" t="n">
        <x:f>IF(AND(AD320=1,AC320=1,E320="LIVE"),1,0)</x:f>
        <x:v>0</x:v>
      </x:c>
      <x:c r="AG320" s="2" t="str">
        <x:f>IF(AF320&lt;&gt;1,"",'Dashboard'!P48)</x:f>
      </x:c>
      <x:c r="AH320" s="2" t="str">
        <x:f>IF(B320="","",IF(J320&lt;&gt;"PASS",'Motor_Meciuri'!J28,IF('Calibrare_Linii'!U12&lt;&gt;"VALID","Parametri linie invalizi",IF(L320&gt;'Config_v6'!$B$13,"Dispersie peste limita",IF(W320="WATCH","Failure peste limita",IF(AB320&lt;'Config_v6'!$B$16,"P finala sub prag",IF(V320&lt;'Config_v6'!$B$18,"Confidence sub prag",IF(E320="REPLAY","Exemplu retrospectiv; exclus din Top LIVE",IF(Y320="PASS","DEFENSIV validat",IF(W320="OOS PENDING","Eligibil; calibrare linie in monitorizare","Eligibil"))))))))))</x:f>
      </x:c>
      <x:c r="AI320" s="2" t="str">
        <x:f>IF(B320="","",'Calibrare_Linii'!V12)</x:f>
      </x:c>
      <x:c r="AJ320" s="2" t="str">
        <x:f>IF(B320="","",IF(AND('Calibrare_Linii'!T12="VALIDATED",AND('Calibrare_Linii'!H12=C320,ISNUMBER('Calibrare_Linii'!J12),'Calibrare_Linii'!J12&lt;='Input_Meci'!G28)),"DEFENSIVE VALIDATED",IF(AND('Calibrare_Linii'!S12="VALIDATED",AND('Calibrare_Linii'!H12=C320,ISNUMBER('Calibrare_Linii'!J12),'Calibrare_Linii'!J12&lt;='Input_Meci'!G28)),"TAIL VALIDATED","OOS PENDING")))</x:f>
      </x:c>
      <x:c r="AK320" s="2" t="n">
        <x:f>IF(J320&lt;&gt;"PASS",0,'Motor_Meciuri'!BR28)</x:f>
        <x:v>0</x:v>
      </x:c>
      <x:c r="AL320" s="2" t="n">
        <x:f>IF(J320&lt;&gt;"PASS",0,'Motor_Meciuri'!BS28)</x:f>
        <x:v>0</x:v>
      </x:c>
      <x:c r="AM320" s="2" t="n">
        <x:f>IF(J320&lt;&gt;"PASS",0,'Motor_Meciuri'!BT28)</x:f>
        <x:v>0</x:v>
      </x:c>
      <x:c r="AN320" s="2" t="str">
        <x:f>IF(M320="","",MAX(0,'Motor_Meciuri'!BF28-IF(L320&gt;'Config_v6'!$B$12,'Config_v6'!$B$37,IF(L320&gt;'Config_v6'!$B$11,'Config_v6'!$B$36,0))))</x:f>
      </x:c>
    </x:row>
    <x:row r="321" ht="21" customHeight="1">
      <x:c r="A321" s="2" t="n">
        <x:v>23</x:v>
      </x:c>
      <x:c r="B321" s="2" t="str">
        <x:f>IF('Motor_Meciuri'!A28="","",'Motor_Meciuri'!A28)</x:f>
      </x:c>
      <x:c r="C321" s="2" t="str">
        <x:f>IF(B321="","",'Motor_Meciuri'!B28)</x:f>
      </x:c>
      <x:c r="D321" s="2" t="str">
        <x:f>IF(B321="","",'Motor_Meciuri'!D28)</x:f>
      </x:c>
      <x:c r="E321" s="2" t="str">
        <x:f>IF(B321="","",'Motor_Meciuri'!E28)</x:f>
      </x:c>
      <x:c r="F321" s="2" t="str">
        <x:v>U11,5</x:v>
      </x:c>
      <x:c r="G321" s="2" t="str">
        <x:v>UNDER</x:v>
      </x:c>
      <x:c r="H321" s="2" t="n">
        <x:v>11</x:v>
      </x:c>
      <x:c r="I321" s="2" t="str">
        <x:f>IF(B321="","",'Motor_Meciuri'!H28)</x:f>
      </x:c>
      <x:c r="J321" s="2" t="str">
        <x:f>IF(B321="","",'Motor_Meciuri'!I28)</x:f>
      </x:c>
      <x:c r="K321" s="11" t="str">
        <x:f>IF(J321&lt;&gt;"PASS","",'Motor_Meciuri'!BD28)</x:f>
      </x:c>
      <x:c r="L321" s="11" t="str">
        <x:f>IF(J321&lt;&gt;"PASS","",'Motor_Meciuri'!AU28)</x:f>
      </x:c>
      <x:c r="M321" s="10" t="str">
        <x:f>IF(NOT(AND(J321="PASS",'Calibrare_Linii'!U13="VALID")),"",'Distributie'!AI28)</x:f>
      </x:c>
      <x:c r="N321" s="10" t="str">
        <x:f>IF(M321="","",MAX(0.01,MIN(0.99,0.5+(M321-0.5)*'Motor_Meciuri'!BG28*'Calibrare_Linii'!D13)))</x:f>
      </x:c>
      <x:c r="O321" s="10" t="str">
        <x:f>IF(M321="","",1-M321)</x:f>
      </x:c>
      <x:c r="P321" s="10" t="str">
        <x:f>IF(OR(NOT(AND(J321="PASS",'Calibrare_Linii'!U13="VALID")),AK321=0),""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*('Istoric_Nativ'!$Q$6:$Q$405&gt;H321))/AK321)</x:f>
      </x:c>
      <x:c r="Q321" s="10" t="str">
        <x:f>IF(OR(NOT(AND(J321="PASS",'Calibrare_Linii'!U13="VALID")),AL321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M28)+((('Istoric_Nativ'!$E$6:$E$405='Input_Meci'!E28)+('Istoric_Nativ'!$F$6:$F$405='Input_Meci'!E28))&gt;0)*('Istoric_Nativ'!$D$6:$D$405&gt;='Motor_Meciuri'!BN28))&gt;0)*('Istoric_Nativ'!$Q$6:$Q$405&gt;H321))/AL321)</x:f>
      </x:c>
      <x:c r="R321" s="10" t="str">
        <x:f>IF(OR(NOT(AND(J321="PASS",'Calibrare_Linii'!U13="VALID")),AM321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O28)+((('Istoric_Nativ'!$E$6:$E$405='Input_Meci'!E28)+('Istoric_Nativ'!$F$6:$F$405='Input_Meci'!E28))&gt;0)*('Istoric_Nativ'!$D$6:$D$405&gt;='Motor_Meciuri'!BP28))&gt;0)*('Istoric_Nativ'!$Q$6:$Q$405&gt;H321))/AM321)</x:f>
      </x:c>
      <x:c r="S321" s="10" t="str">
        <x:f>IF(M321="","",MAX(O321,P321,Q321,R321))</x:f>
      </x:c>
      <x:c r="T321" s="11" t="str">
        <x:f>IF(M321="","",MIN(100,S321*100*'Config_v6'!$B$44+MIN(100,L321/'Config_v6'!$B$13*100)*'Config_v6'!$B$45+(100-'Motor_Meciuri'!BF28)*'Config_v6'!$B$46+'Motor_Meciuri'!BH28*100*'Config_v6'!$B$47))</x:f>
      </x:c>
      <x:c r="U321" s="2" t="str">
        <x:f>IF(T321="","",IF(T321&lt;=20,1,IF(T321&lt;=40,2,IF(T321&lt;=60,3,IF(T321&lt;=80,4,5)))))</x:f>
      </x:c>
      <x:c r="V321" s="2" t="str">
        <x:f>IF(M321="","",MAX(0,'Motor_Meciuri'!BF28-IF(W321="OOS PENDING",'Config_v6'!$B$35,0)-IF(L321&gt;'Config_v6'!$B$12,'Config_v6'!$B$37,IF(L321&gt;'Config_v6'!$B$11,'Config_v6'!$B$36,0))))</x:f>
      </x:c>
      <x:c r="W321" s="2" t="str">
        <x:f>IF(B321="","",IF(I321&lt;&gt;"READY","NOT RELEASED",IF(NOT(AND(J321="PASS",'Calibrare_Linii'!U13="VALID")),"INVALID",IF(NOT(AND('Calibrare_Linii'!S13="VALIDATED",AND('Calibrare_Linii'!H13=C321,ISNUMBER('Calibrare_Linii'!J13),'Calibrare_Linii'!J13&lt;='Input_Meci'!G28))),"OOS PENDING",IF(S321&lt;='Calibrare_Linii'!E13,"PASS",IF(S321&lt;='Calibrare_Linii'!F13,"PENALTY","WATCH"))))))</x:f>
      </x:c>
      <x:c r="X321" s="2" t="str">
        <x:f>IF(M321="","",IF(AND(AND(J321="PASS",'Calibrare_Linii'!U13="VALID"),'Motor_Meciuri'!K28=12,'Motor_Meciuri'!L28=12,'Motor_Meciuri'!M28="NO",'Motor_Meciuri'!BL28='Motor_Meciuri'!C28,AB321&gt;='Config_v6'!$B$50,AN321&gt;='Config_v6'!$B$51,T321&lt;='Config_v6'!$B$52,L321&lt;='Config_v6'!$B$53,ISNUMBER('Calibrare_Linii'!E13),S321&lt;='Calibrare_Linii'!E13,SUM(AK321:AM321)&gt;0),"CANDIDATE","NO"))</x:f>
      </x:c>
      <x:c r="Y321" s="2" t="str">
        <x:f>IF(B321="","",IF(I321&lt;&gt;"READY","NOT RELEASED",IF(AND(X321="CANDIDATE",V321&gt;='Config_v6'!$B$51,W321="PASS",'Calibrare_Linii'!T13="VALIDATED",AND('Calibrare_Linii'!H13=C321,ISNUMBER('Calibrare_Linii'!J13),'Calibrare_Linii'!J13&lt;='Input_Meci'!G28)),"PASS",IF(X321="CANDIDATE","OOS PENDING","FAIL"))))</x:f>
      </x:c>
      <x:c r="Z321" s="2" t="str">
        <x:f>IF(B321="","",IF(I321&lt;&gt;"READY","",IF(OR(NOT(AND(J321="PASS",'Calibrare_Linii'!U13="VALID")),L321&gt;'Config_v6'!$B$13,W321="WATCH"),5,IF(Y321="PASS",1,MIN(5,MAX('Config_v6'!$B$42,U321)+IF(W321="PENALTY",1,0))))))</x:f>
      </x:c>
      <x:c r="AA321" s="2" t="str">
        <x:f>IF(B321="","",IF(I321&lt;&gt;"READY","NOT RELEASED",IF(Z321=5,"NO BET",IF(OR(AB321&lt;'Config_v6'!$B$16,V321&lt;'Config_v6'!$B$18),"WATCH",IF(Z321=1,"DEFENSIV",IF(Z321=2,"PRUDENT",IF(Z321=3,"MODERAT","RIDICAT")))))))</x:f>
      </x:c>
      <x:c r="AB321" s="10" t="str">
        <x:f>IF(N321="","",MIN(N321,1-S321))</x:f>
      </x:c>
      <x:c r="AC321" s="2" t="str">
        <x:f>IF(AD321&lt;&gt;1,"",COUNTIFS($Z$314:$Z$327,"&lt;"&amp;Z321,$AD$314:$AD$327,1)+COUNTIFS($Z$314:$Z$327,Z321,$AB$314:$AB$327,"&gt;"&amp;AB321,$AD$314:$AD$327,1)+COUNTIFS($Z$314:$Z$327,Z321,$AB$314:$AB$327,AB321,$V$314:$V$327,"&gt;"&amp;V321,$AD$314:$AD$327,1)+COUNTIFS($Z$314:Z321,Z321,$AB$314:AB321,AB321,$V$314:V321,V321,$AD$314:AD321,1))</x:f>
      </x:c>
      <x:c r="AD321" s="2" t="n">
        <x:f>IF(OR(AA321="DEFENSIV",AA321="PRUDENT",AA321="MODERAT",AA321="RIDICAT"),1,0)</x:f>
        <x:v>0</x:v>
      </x:c>
      <x:c r="AE321" s="2" t="str">
        <x:f>IF(AD321&lt;&gt;1,"NO",IF(W321="PASS","YES",IF(W321="OOS PENDING","CONDITIONAL","NO")))</x:f>
        <x:v>NO</x:v>
      </x:c>
      <x:c r="AF321" s="2" t="n">
        <x:f>IF(AND(AD321=1,AC321=1,E321="LIVE"),1,0)</x:f>
        <x:v>0</x:v>
      </x:c>
      <x:c r="AG321" s="2" t="str">
        <x:f>IF(AF321&lt;&gt;1,"",'Dashboard'!P48)</x:f>
      </x:c>
      <x:c r="AH321" s="2" t="str">
        <x:f>IF(B321="","",IF(J321&lt;&gt;"PASS",'Motor_Meciuri'!J28,IF('Calibrare_Linii'!U13&lt;&gt;"VALID","Parametri linie invalizi",IF(L321&gt;'Config_v6'!$B$13,"Dispersie peste limita",IF(W321="WATCH","Failure peste limita",IF(AB321&lt;'Config_v6'!$B$16,"P finala sub prag",IF(V321&lt;'Config_v6'!$B$18,"Confidence sub prag",IF(E321="REPLAY","Exemplu retrospectiv; exclus din Top LIVE",IF(Y321="PASS","DEFENSIV validat",IF(W321="OOS PENDING","Eligibil; calibrare linie in monitorizare","Eligibil"))))))))))</x:f>
      </x:c>
      <x:c r="AI321" s="2" t="str">
        <x:f>IF(B321="","",'Calibrare_Linii'!V13)</x:f>
      </x:c>
      <x:c r="AJ321" s="2" t="str">
        <x:f>IF(B321="","",IF(AND('Calibrare_Linii'!T13="VALIDATED",AND('Calibrare_Linii'!H13=C321,ISNUMBER('Calibrare_Linii'!J13),'Calibrare_Linii'!J13&lt;='Input_Meci'!G28)),"DEFENSIVE VALIDATED",IF(AND('Calibrare_Linii'!S13="VALIDATED",AND('Calibrare_Linii'!H13=C321,ISNUMBER('Calibrare_Linii'!J13),'Calibrare_Linii'!J13&lt;='Input_Meci'!G28)),"TAIL VALIDATED","OOS PENDING")))</x:f>
      </x:c>
      <x:c r="AK321" s="2" t="n">
        <x:f>IF(J321&lt;&gt;"PASS",0,'Motor_Meciuri'!BR28)</x:f>
        <x:v>0</x:v>
      </x:c>
      <x:c r="AL321" s="2" t="n">
        <x:f>IF(J321&lt;&gt;"PASS",0,'Motor_Meciuri'!BS28)</x:f>
        <x:v>0</x:v>
      </x:c>
      <x:c r="AM321" s="2" t="n">
        <x:f>IF(J321&lt;&gt;"PASS",0,'Motor_Meciuri'!BT28)</x:f>
        <x:v>0</x:v>
      </x:c>
      <x:c r="AN321" s="2" t="str">
        <x:f>IF(M321="","",MAX(0,'Motor_Meciuri'!BF28-IF(L321&gt;'Config_v6'!$B$12,'Config_v6'!$B$37,IF(L321&gt;'Config_v6'!$B$11,'Config_v6'!$B$36,0))))</x:f>
      </x:c>
    </x:row>
    <x:row r="322" ht="21" customHeight="1">
      <x:c r="A322" s="2" t="n">
        <x:v>23</x:v>
      </x:c>
      <x:c r="B322" s="2" t="str">
        <x:f>IF('Motor_Meciuri'!A28="","",'Motor_Meciuri'!A28)</x:f>
      </x:c>
      <x:c r="C322" s="2" t="str">
        <x:f>IF(B322="","",'Motor_Meciuri'!B28)</x:f>
      </x:c>
      <x:c r="D322" s="2" t="str">
        <x:f>IF(B322="","",'Motor_Meciuri'!D28)</x:f>
      </x:c>
      <x:c r="E322" s="2" t="str">
        <x:f>IF(B322="","",'Motor_Meciuri'!E28)</x:f>
      </x:c>
      <x:c r="F322" s="2" t="str">
        <x:v>U12,5</x:v>
      </x:c>
      <x:c r="G322" s="2" t="str">
        <x:v>UNDER</x:v>
      </x:c>
      <x:c r="H322" s="2" t="n">
        <x:v>12</x:v>
      </x:c>
      <x:c r="I322" s="2" t="str">
        <x:f>IF(B322="","",'Motor_Meciuri'!H28)</x:f>
      </x:c>
      <x:c r="J322" s="2" t="str">
        <x:f>IF(B322="","",'Motor_Meciuri'!I28)</x:f>
      </x:c>
      <x:c r="K322" s="11" t="str">
        <x:f>IF(J322&lt;&gt;"PASS","",'Motor_Meciuri'!BD28)</x:f>
      </x:c>
      <x:c r="L322" s="11" t="str">
        <x:f>IF(J322&lt;&gt;"PASS","",'Motor_Meciuri'!AU28)</x:f>
      </x:c>
      <x:c r="M322" s="10" t="str">
        <x:f>IF(NOT(AND(J322="PASS",'Calibrare_Linii'!U14="VALID")),"",'Distributie'!AJ28)</x:f>
      </x:c>
      <x:c r="N322" s="10" t="str">
        <x:f>IF(M322="","",MAX(0.01,MIN(0.99,0.5+(M322-0.5)*'Motor_Meciuri'!BG28*'Calibrare_Linii'!D14)))</x:f>
      </x:c>
      <x:c r="O322" s="10" t="str">
        <x:f>IF(M322="","",1-M322)</x:f>
      </x:c>
      <x:c r="P322" s="10" t="str">
        <x:f>IF(OR(NOT(AND(J322="PASS",'Calibrare_Linii'!U14="VALID")),AK322=0),""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*('Istoric_Nativ'!$Q$6:$Q$405&gt;H322))/AK322)</x:f>
      </x:c>
      <x:c r="Q322" s="10" t="str">
        <x:f>IF(OR(NOT(AND(J322="PASS",'Calibrare_Linii'!U14="VALID")),AL322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M28)+((('Istoric_Nativ'!$E$6:$E$405='Input_Meci'!E28)+('Istoric_Nativ'!$F$6:$F$405='Input_Meci'!E28))&gt;0)*('Istoric_Nativ'!$D$6:$D$405&gt;='Motor_Meciuri'!BN28))&gt;0)*('Istoric_Nativ'!$Q$6:$Q$405&gt;H322))/AL322)</x:f>
      </x:c>
      <x:c r="R322" s="10" t="str">
        <x:f>IF(OR(NOT(AND(J322="PASS",'Calibrare_Linii'!U14="VALID")),AM322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O28)+((('Istoric_Nativ'!$E$6:$E$405='Input_Meci'!E28)+('Istoric_Nativ'!$F$6:$F$405='Input_Meci'!E28))&gt;0)*('Istoric_Nativ'!$D$6:$D$405&gt;='Motor_Meciuri'!BP28))&gt;0)*('Istoric_Nativ'!$Q$6:$Q$405&gt;H322))/AM322)</x:f>
      </x:c>
      <x:c r="S322" s="10" t="str">
        <x:f>IF(M322="","",MAX(O322,P322,Q322,R322))</x:f>
      </x:c>
      <x:c r="T322" s="11" t="str">
        <x:f>IF(M322="","",MIN(100,S322*100*'Config_v6'!$B$44+MIN(100,L322/'Config_v6'!$B$13*100)*'Config_v6'!$B$45+(100-'Motor_Meciuri'!BF28)*'Config_v6'!$B$46+'Motor_Meciuri'!BH28*100*'Config_v6'!$B$47))</x:f>
      </x:c>
      <x:c r="U322" s="2" t="str">
        <x:f>IF(T322="","",IF(T322&lt;=20,1,IF(T322&lt;=40,2,IF(T322&lt;=60,3,IF(T322&lt;=80,4,5)))))</x:f>
      </x:c>
      <x:c r="V322" s="2" t="str">
        <x:f>IF(M322="","",MAX(0,'Motor_Meciuri'!BF28-IF(W322="OOS PENDING",'Config_v6'!$B$35,0)-IF(L322&gt;'Config_v6'!$B$12,'Config_v6'!$B$37,IF(L322&gt;'Config_v6'!$B$11,'Config_v6'!$B$36,0))))</x:f>
      </x:c>
      <x:c r="W322" s="2" t="str">
        <x:f>IF(B322="","",IF(I322&lt;&gt;"READY","NOT RELEASED",IF(NOT(AND(J322="PASS",'Calibrare_Linii'!U14="VALID")),"INVALID",IF(NOT(AND('Calibrare_Linii'!S14="VALIDATED",AND('Calibrare_Linii'!H14=C322,ISNUMBER('Calibrare_Linii'!J14),'Calibrare_Linii'!J14&lt;='Input_Meci'!G28))),"OOS PENDING",IF(S322&lt;='Calibrare_Linii'!E14,"PASS",IF(S322&lt;='Calibrare_Linii'!F14,"PENALTY","WATCH"))))))</x:f>
      </x:c>
      <x:c r="X322" s="2" t="str">
        <x:f>IF(M322="","",IF(AND(AND(J322="PASS",'Calibrare_Linii'!U14="VALID"),'Motor_Meciuri'!K28=12,'Motor_Meciuri'!L28=12,'Motor_Meciuri'!M28="NO",'Motor_Meciuri'!BL28='Motor_Meciuri'!C28,AB322&gt;='Config_v6'!$B$50,AN322&gt;='Config_v6'!$B$51,T322&lt;='Config_v6'!$B$52,L322&lt;='Config_v6'!$B$53,ISNUMBER('Calibrare_Linii'!E14),S322&lt;='Calibrare_Linii'!E14,SUM(AK322:AM322)&gt;0),"CANDIDATE","NO"))</x:f>
      </x:c>
      <x:c r="Y322" s="2" t="str">
        <x:f>IF(B322="","",IF(I322&lt;&gt;"READY","NOT RELEASED",IF(AND(X322="CANDIDATE",V322&gt;='Config_v6'!$B$51,W322="PASS",'Calibrare_Linii'!T14="VALIDATED",AND('Calibrare_Linii'!H14=C322,ISNUMBER('Calibrare_Linii'!J14),'Calibrare_Linii'!J14&lt;='Input_Meci'!G28)),"PASS",IF(X322="CANDIDATE","OOS PENDING","FAIL"))))</x:f>
      </x:c>
      <x:c r="Z322" s="2" t="str">
        <x:f>IF(B322="","",IF(I322&lt;&gt;"READY","",IF(OR(NOT(AND(J322="PASS",'Calibrare_Linii'!U14="VALID")),L322&gt;'Config_v6'!$B$13,W322="WATCH"),5,IF(Y322="PASS",1,MIN(5,MAX('Config_v6'!$B$42,U322)+IF(W322="PENALTY",1,0))))))</x:f>
      </x:c>
      <x:c r="AA322" s="2" t="str">
        <x:f>IF(B322="","",IF(I322&lt;&gt;"READY","NOT RELEASED",IF(Z322=5,"NO BET",IF(OR(AB322&lt;'Config_v6'!$B$16,V322&lt;'Config_v6'!$B$18),"WATCH",IF(Z322=1,"DEFENSIV",IF(Z322=2,"PRUDENT",IF(Z322=3,"MODERAT","RIDICAT")))))))</x:f>
      </x:c>
      <x:c r="AB322" s="10" t="str">
        <x:f>IF(N322="","",MIN(N322,1-S322))</x:f>
      </x:c>
      <x:c r="AC322" s="2" t="str">
        <x:f>IF(AD322&lt;&gt;1,"",COUNTIFS($Z$314:$Z$327,"&lt;"&amp;Z322,$AD$314:$AD$327,1)+COUNTIFS($Z$314:$Z$327,Z322,$AB$314:$AB$327,"&gt;"&amp;AB322,$AD$314:$AD$327,1)+COUNTIFS($Z$314:$Z$327,Z322,$AB$314:$AB$327,AB322,$V$314:$V$327,"&gt;"&amp;V322,$AD$314:$AD$327,1)+COUNTIFS($Z$314:Z322,Z322,$AB$314:AB322,AB322,$V$314:V322,V322,$AD$314:AD322,1))</x:f>
      </x:c>
      <x:c r="AD322" s="2" t="n">
        <x:f>IF(OR(AA322="DEFENSIV",AA322="PRUDENT",AA322="MODERAT",AA322="RIDICAT"),1,0)</x:f>
        <x:v>0</x:v>
      </x:c>
      <x:c r="AE322" s="2" t="str">
        <x:f>IF(AD322&lt;&gt;1,"NO",IF(W322="PASS","YES",IF(W322="OOS PENDING","CONDITIONAL","NO")))</x:f>
        <x:v>NO</x:v>
      </x:c>
      <x:c r="AF322" s="2" t="n">
        <x:f>IF(AND(AD322=1,AC322=1,E322="LIVE"),1,0)</x:f>
        <x:v>0</x:v>
      </x:c>
      <x:c r="AG322" s="2" t="str">
        <x:f>IF(AF322&lt;&gt;1,"",'Dashboard'!P48)</x:f>
      </x:c>
      <x:c r="AH322" s="2" t="str">
        <x:f>IF(B322="","",IF(J322&lt;&gt;"PASS",'Motor_Meciuri'!J28,IF('Calibrare_Linii'!U14&lt;&gt;"VALID","Parametri linie invalizi",IF(L322&gt;'Config_v6'!$B$13,"Dispersie peste limita",IF(W322="WATCH","Failure peste limita",IF(AB322&lt;'Config_v6'!$B$16,"P finala sub prag",IF(V322&lt;'Config_v6'!$B$18,"Confidence sub prag",IF(E322="REPLAY","Exemplu retrospectiv; exclus din Top LIVE",IF(Y322="PASS","DEFENSIV validat",IF(W322="OOS PENDING","Eligibil; calibrare linie in monitorizare","Eligibil"))))))))))</x:f>
      </x:c>
      <x:c r="AI322" s="2" t="str">
        <x:f>IF(B322="","",'Calibrare_Linii'!V14)</x:f>
      </x:c>
      <x:c r="AJ322" s="2" t="str">
        <x:f>IF(B322="","",IF(AND('Calibrare_Linii'!T14="VALIDATED",AND('Calibrare_Linii'!H14=C322,ISNUMBER('Calibrare_Linii'!J14),'Calibrare_Linii'!J14&lt;='Input_Meci'!G28)),"DEFENSIVE VALIDATED",IF(AND('Calibrare_Linii'!S14="VALIDATED",AND('Calibrare_Linii'!H14=C322,ISNUMBER('Calibrare_Linii'!J14),'Calibrare_Linii'!J14&lt;='Input_Meci'!G28)),"TAIL VALIDATED","OOS PENDING")))</x:f>
      </x:c>
      <x:c r="AK322" s="2" t="n">
        <x:f>IF(J322&lt;&gt;"PASS",0,'Motor_Meciuri'!BR28)</x:f>
        <x:v>0</x:v>
      </x:c>
      <x:c r="AL322" s="2" t="n">
        <x:f>IF(J322&lt;&gt;"PASS",0,'Motor_Meciuri'!BS28)</x:f>
        <x:v>0</x:v>
      </x:c>
      <x:c r="AM322" s="2" t="n">
        <x:f>IF(J322&lt;&gt;"PASS",0,'Motor_Meciuri'!BT28)</x:f>
        <x:v>0</x:v>
      </x:c>
      <x:c r="AN322" s="2" t="str">
        <x:f>IF(M322="","",MAX(0,'Motor_Meciuri'!BF28-IF(L322&gt;'Config_v6'!$B$12,'Config_v6'!$B$37,IF(L322&gt;'Config_v6'!$B$11,'Config_v6'!$B$36,0))))</x:f>
      </x:c>
    </x:row>
    <x:row r="323" ht="21" customHeight="1">
      <x:c r="A323" s="2" t="n">
        <x:v>23</x:v>
      </x:c>
      <x:c r="B323" s="2" t="str">
        <x:f>IF('Motor_Meciuri'!A28="","",'Motor_Meciuri'!A28)</x:f>
      </x:c>
      <x:c r="C323" s="2" t="str">
        <x:f>IF(B323="","",'Motor_Meciuri'!B28)</x:f>
      </x:c>
      <x:c r="D323" s="2" t="str">
        <x:f>IF(B323="","",'Motor_Meciuri'!D28)</x:f>
      </x:c>
      <x:c r="E323" s="2" t="str">
        <x:f>IF(B323="","",'Motor_Meciuri'!E28)</x:f>
      </x:c>
      <x:c r="F323" s="2" t="str">
        <x:v>U13,5</x:v>
      </x:c>
      <x:c r="G323" s="2" t="str">
        <x:v>UNDER</x:v>
      </x:c>
      <x:c r="H323" s="2" t="n">
        <x:v>13</x:v>
      </x:c>
      <x:c r="I323" s="2" t="str">
        <x:f>IF(B323="","",'Motor_Meciuri'!H28)</x:f>
      </x:c>
      <x:c r="J323" s="2" t="str">
        <x:f>IF(B323="","",'Motor_Meciuri'!I28)</x:f>
      </x:c>
      <x:c r="K323" s="11" t="str">
        <x:f>IF(J323&lt;&gt;"PASS","",'Motor_Meciuri'!BD28)</x:f>
      </x:c>
      <x:c r="L323" s="11" t="str">
        <x:f>IF(J323&lt;&gt;"PASS","",'Motor_Meciuri'!AU28)</x:f>
      </x:c>
      <x:c r="M323" s="10" t="str">
        <x:f>IF(NOT(AND(J323="PASS",'Calibrare_Linii'!U15="VALID")),"",'Distributie'!AK28)</x:f>
      </x:c>
      <x:c r="N323" s="10" t="str">
        <x:f>IF(M323="","",MAX(0.01,MIN(0.99,0.5+(M323-0.5)*'Motor_Meciuri'!BG28*'Calibrare_Linii'!D15)))</x:f>
      </x:c>
      <x:c r="O323" s="10" t="str">
        <x:f>IF(M323="","",1-M323)</x:f>
      </x:c>
      <x:c r="P323" s="10" t="str">
        <x:f>IF(OR(NOT(AND(J323="PASS",'Calibrare_Linii'!U15="VALID")),AK323=0),""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*('Istoric_Nativ'!$Q$6:$Q$405&gt;H323))/AK323)</x:f>
      </x:c>
      <x:c r="Q323" s="10" t="str">
        <x:f>IF(OR(NOT(AND(J323="PASS",'Calibrare_Linii'!U15="VALID")),AL323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M28)+((('Istoric_Nativ'!$E$6:$E$405='Input_Meci'!E28)+('Istoric_Nativ'!$F$6:$F$405='Input_Meci'!E28))&gt;0)*('Istoric_Nativ'!$D$6:$D$405&gt;='Motor_Meciuri'!BN28))&gt;0)*('Istoric_Nativ'!$Q$6:$Q$405&gt;H323))/AL323)</x:f>
      </x:c>
      <x:c r="R323" s="10" t="str">
        <x:f>IF(OR(NOT(AND(J323="PASS",'Calibrare_Linii'!U15="VALID")),AM323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O28)+((('Istoric_Nativ'!$E$6:$E$405='Input_Meci'!E28)+('Istoric_Nativ'!$F$6:$F$405='Input_Meci'!E28))&gt;0)*('Istoric_Nativ'!$D$6:$D$405&gt;='Motor_Meciuri'!BP28))&gt;0)*('Istoric_Nativ'!$Q$6:$Q$405&gt;H323))/AM323)</x:f>
      </x:c>
      <x:c r="S323" s="10" t="str">
        <x:f>IF(M323="","",MAX(O323,P323,Q323,R323))</x:f>
      </x:c>
      <x:c r="T323" s="11" t="str">
        <x:f>IF(M323="","",MIN(100,S323*100*'Config_v6'!$B$44+MIN(100,L323/'Config_v6'!$B$13*100)*'Config_v6'!$B$45+(100-'Motor_Meciuri'!BF28)*'Config_v6'!$B$46+'Motor_Meciuri'!BH28*100*'Config_v6'!$B$47))</x:f>
      </x:c>
      <x:c r="U323" s="2" t="str">
        <x:f>IF(T323="","",IF(T323&lt;=20,1,IF(T323&lt;=40,2,IF(T323&lt;=60,3,IF(T323&lt;=80,4,5)))))</x:f>
      </x:c>
      <x:c r="V323" s="2" t="str">
        <x:f>IF(M323="","",MAX(0,'Motor_Meciuri'!BF28-IF(W323="OOS PENDING",'Config_v6'!$B$35,0)-IF(L323&gt;'Config_v6'!$B$12,'Config_v6'!$B$37,IF(L323&gt;'Config_v6'!$B$11,'Config_v6'!$B$36,0))))</x:f>
      </x:c>
      <x:c r="W323" s="2" t="str">
        <x:f>IF(B323="","",IF(I323&lt;&gt;"READY","NOT RELEASED",IF(NOT(AND(J323="PASS",'Calibrare_Linii'!U15="VALID")),"INVALID",IF(NOT(AND('Calibrare_Linii'!S15="VALIDATED",AND('Calibrare_Linii'!H15=C323,ISNUMBER('Calibrare_Linii'!J15),'Calibrare_Linii'!J15&lt;='Input_Meci'!G28))),"OOS PENDING",IF(S323&lt;='Calibrare_Linii'!E15,"PASS",IF(S323&lt;='Calibrare_Linii'!F15,"PENALTY","WATCH"))))))</x:f>
      </x:c>
      <x:c r="X323" s="2" t="str">
        <x:f>IF(M323="","",IF(AND(AND(J323="PASS",'Calibrare_Linii'!U15="VALID"),'Motor_Meciuri'!K28=12,'Motor_Meciuri'!L28=12,'Motor_Meciuri'!M28="NO",'Motor_Meciuri'!BL28='Motor_Meciuri'!C28,AB323&gt;='Config_v6'!$B$50,AN323&gt;='Config_v6'!$B$51,T323&lt;='Config_v6'!$B$52,L323&lt;='Config_v6'!$B$53,ISNUMBER('Calibrare_Linii'!E15),S323&lt;='Calibrare_Linii'!E15,SUM(AK323:AM323)&gt;0),"CANDIDATE","NO"))</x:f>
      </x:c>
      <x:c r="Y323" s="2" t="str">
        <x:f>IF(B323="","",IF(I323&lt;&gt;"READY","NOT RELEASED",IF(AND(X323="CANDIDATE",V323&gt;='Config_v6'!$B$51,W323="PASS",'Calibrare_Linii'!T15="VALIDATED",AND('Calibrare_Linii'!H15=C323,ISNUMBER('Calibrare_Linii'!J15),'Calibrare_Linii'!J15&lt;='Input_Meci'!G28)),"PASS",IF(X323="CANDIDATE","OOS PENDING","FAIL"))))</x:f>
      </x:c>
      <x:c r="Z323" s="2" t="str">
        <x:f>IF(B323="","",IF(I323&lt;&gt;"READY","",IF(OR(NOT(AND(J323="PASS",'Calibrare_Linii'!U15="VALID")),L323&gt;'Config_v6'!$B$13,W323="WATCH"),5,IF(Y323="PASS",1,MIN(5,MAX('Config_v6'!$B$42,U323)+IF(W323="PENALTY",1,0))))))</x:f>
      </x:c>
      <x:c r="AA323" s="2" t="str">
        <x:f>IF(B323="","",IF(I323&lt;&gt;"READY","NOT RELEASED",IF(Z323=5,"NO BET",IF(OR(AB323&lt;'Config_v6'!$B$16,V323&lt;'Config_v6'!$B$18),"WATCH",IF(Z323=1,"DEFENSIV",IF(Z323=2,"PRUDENT",IF(Z323=3,"MODERAT","RIDICAT")))))))</x:f>
      </x:c>
      <x:c r="AB323" s="10" t="str">
        <x:f>IF(N323="","",MIN(N323,1-S323))</x:f>
      </x:c>
      <x:c r="AC323" s="2" t="str">
        <x:f>IF(AD323&lt;&gt;1,"",COUNTIFS($Z$314:$Z$327,"&lt;"&amp;Z323,$AD$314:$AD$327,1)+COUNTIFS($Z$314:$Z$327,Z323,$AB$314:$AB$327,"&gt;"&amp;AB323,$AD$314:$AD$327,1)+COUNTIFS($Z$314:$Z$327,Z323,$AB$314:$AB$327,AB323,$V$314:$V$327,"&gt;"&amp;V323,$AD$314:$AD$327,1)+COUNTIFS($Z$314:Z323,Z323,$AB$314:AB323,AB323,$V$314:V323,V323,$AD$314:AD323,1))</x:f>
      </x:c>
      <x:c r="AD323" s="2" t="n">
        <x:f>IF(OR(AA323="DEFENSIV",AA323="PRUDENT",AA323="MODERAT",AA323="RIDICAT"),1,0)</x:f>
        <x:v>0</x:v>
      </x:c>
      <x:c r="AE323" s="2" t="str">
        <x:f>IF(AD323&lt;&gt;1,"NO",IF(W323="PASS","YES",IF(W323="OOS PENDING","CONDITIONAL","NO")))</x:f>
        <x:v>NO</x:v>
      </x:c>
      <x:c r="AF323" s="2" t="n">
        <x:f>IF(AND(AD323=1,AC323=1,E323="LIVE"),1,0)</x:f>
        <x:v>0</x:v>
      </x:c>
      <x:c r="AG323" s="2" t="str">
        <x:f>IF(AF323&lt;&gt;1,"",'Dashboard'!P48)</x:f>
      </x:c>
      <x:c r="AH323" s="2" t="str">
        <x:f>IF(B323="","",IF(J323&lt;&gt;"PASS",'Motor_Meciuri'!J28,IF('Calibrare_Linii'!U15&lt;&gt;"VALID","Parametri linie invalizi",IF(L323&gt;'Config_v6'!$B$13,"Dispersie peste limita",IF(W323="WATCH","Failure peste limita",IF(AB323&lt;'Config_v6'!$B$16,"P finala sub prag",IF(V323&lt;'Config_v6'!$B$18,"Confidence sub prag",IF(E323="REPLAY","Exemplu retrospectiv; exclus din Top LIVE",IF(Y323="PASS","DEFENSIV validat",IF(W323="OOS PENDING","Eligibil; calibrare linie in monitorizare","Eligibil"))))))))))</x:f>
      </x:c>
      <x:c r="AI323" s="2" t="str">
        <x:f>IF(B323="","",'Calibrare_Linii'!V15)</x:f>
      </x:c>
      <x:c r="AJ323" s="2" t="str">
        <x:f>IF(B323="","",IF(AND('Calibrare_Linii'!T15="VALIDATED",AND('Calibrare_Linii'!H15=C323,ISNUMBER('Calibrare_Linii'!J15),'Calibrare_Linii'!J15&lt;='Input_Meci'!G28)),"DEFENSIVE VALIDATED",IF(AND('Calibrare_Linii'!S15="VALIDATED",AND('Calibrare_Linii'!H15=C323,ISNUMBER('Calibrare_Linii'!J15),'Calibrare_Linii'!J15&lt;='Input_Meci'!G28)),"TAIL VALIDATED","OOS PENDING")))</x:f>
      </x:c>
      <x:c r="AK323" s="2" t="n">
        <x:f>IF(J323&lt;&gt;"PASS",0,'Motor_Meciuri'!BR28)</x:f>
        <x:v>0</x:v>
      </x:c>
      <x:c r="AL323" s="2" t="n">
        <x:f>IF(J323&lt;&gt;"PASS",0,'Motor_Meciuri'!BS28)</x:f>
        <x:v>0</x:v>
      </x:c>
      <x:c r="AM323" s="2" t="n">
        <x:f>IF(J323&lt;&gt;"PASS",0,'Motor_Meciuri'!BT28)</x:f>
        <x:v>0</x:v>
      </x:c>
      <x:c r="AN323" s="2" t="str">
        <x:f>IF(M323="","",MAX(0,'Motor_Meciuri'!BF28-IF(L323&gt;'Config_v6'!$B$12,'Config_v6'!$B$37,IF(L323&gt;'Config_v6'!$B$11,'Config_v6'!$B$36,0))))</x:f>
      </x:c>
    </x:row>
    <x:row r="324" ht="21" customHeight="1">
      <x:c r="A324" s="2" t="n">
        <x:v>23</x:v>
      </x:c>
      <x:c r="B324" s="2" t="str">
        <x:f>IF('Motor_Meciuri'!A28="","",'Motor_Meciuri'!A28)</x:f>
      </x:c>
      <x:c r="C324" s="2" t="str">
        <x:f>IF(B324="","",'Motor_Meciuri'!B28)</x:f>
      </x:c>
      <x:c r="D324" s="2" t="str">
        <x:f>IF(B324="","",'Motor_Meciuri'!D28)</x:f>
      </x:c>
      <x:c r="E324" s="2" t="str">
        <x:f>IF(B324="","",'Motor_Meciuri'!E28)</x:f>
      </x:c>
      <x:c r="F324" s="2" t="str">
        <x:v>U14,5</x:v>
      </x:c>
      <x:c r="G324" s="2" t="str">
        <x:v>UNDER</x:v>
      </x:c>
      <x:c r="H324" s="2" t="n">
        <x:v>14</x:v>
      </x:c>
      <x:c r="I324" s="2" t="str">
        <x:f>IF(B324="","",'Motor_Meciuri'!H28)</x:f>
      </x:c>
      <x:c r="J324" s="2" t="str">
        <x:f>IF(B324="","",'Motor_Meciuri'!I28)</x:f>
      </x:c>
      <x:c r="K324" s="11" t="str">
        <x:f>IF(J324&lt;&gt;"PASS","",'Motor_Meciuri'!BD28)</x:f>
      </x:c>
      <x:c r="L324" s="11" t="str">
        <x:f>IF(J324&lt;&gt;"PASS","",'Motor_Meciuri'!AU28)</x:f>
      </x:c>
      <x:c r="M324" s="10" t="str">
        <x:f>IF(NOT(AND(J324="PASS",'Calibrare_Linii'!U16="VALID")),"",'Distributie'!AL28)</x:f>
      </x:c>
      <x:c r="N324" s="10" t="str">
        <x:f>IF(M324="","",MAX(0.01,MIN(0.99,0.5+(M324-0.5)*'Motor_Meciuri'!BG28*'Calibrare_Linii'!D16)))</x:f>
      </x:c>
      <x:c r="O324" s="10" t="str">
        <x:f>IF(M324="","",1-M324)</x:f>
      </x:c>
      <x:c r="P324" s="10" t="str">
        <x:f>IF(OR(NOT(AND(J324="PASS",'Calibrare_Linii'!U16="VALID")),AK324=0),""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*('Istoric_Nativ'!$Q$6:$Q$405&gt;H324))/AK324)</x:f>
      </x:c>
      <x:c r="Q324" s="10" t="str">
        <x:f>IF(OR(NOT(AND(J324="PASS",'Calibrare_Linii'!U16="VALID")),AL324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M28)+((('Istoric_Nativ'!$E$6:$E$405='Input_Meci'!E28)+('Istoric_Nativ'!$F$6:$F$405='Input_Meci'!E28))&gt;0)*('Istoric_Nativ'!$D$6:$D$405&gt;='Motor_Meciuri'!BN28))&gt;0)*('Istoric_Nativ'!$Q$6:$Q$405&gt;H324))/AL324)</x:f>
      </x:c>
      <x:c r="R324" s="10" t="str">
        <x:f>IF(OR(NOT(AND(J324="PASS",'Calibrare_Linii'!U16="VALID")),AM324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O28)+((('Istoric_Nativ'!$E$6:$E$405='Input_Meci'!E28)+('Istoric_Nativ'!$F$6:$F$405='Input_Meci'!E28))&gt;0)*('Istoric_Nativ'!$D$6:$D$405&gt;='Motor_Meciuri'!BP28))&gt;0)*('Istoric_Nativ'!$Q$6:$Q$405&gt;H324))/AM324)</x:f>
      </x:c>
      <x:c r="S324" s="10" t="str">
        <x:f>IF(M324="","",MAX(O324,P324,Q324,R324))</x:f>
      </x:c>
      <x:c r="T324" s="11" t="str">
        <x:f>IF(M324="","",MIN(100,S324*100*'Config_v6'!$B$44+MIN(100,L324/'Config_v6'!$B$13*100)*'Config_v6'!$B$45+(100-'Motor_Meciuri'!BF28)*'Config_v6'!$B$46+'Motor_Meciuri'!BH28*100*'Config_v6'!$B$47))</x:f>
      </x:c>
      <x:c r="U324" s="2" t="str">
        <x:f>IF(T324="","",IF(T324&lt;=20,1,IF(T324&lt;=40,2,IF(T324&lt;=60,3,IF(T324&lt;=80,4,5)))))</x:f>
      </x:c>
      <x:c r="V324" s="2" t="str">
        <x:f>IF(M324="","",MAX(0,'Motor_Meciuri'!BF28-IF(W324="OOS PENDING",'Config_v6'!$B$35,0)-IF(L324&gt;'Config_v6'!$B$12,'Config_v6'!$B$37,IF(L324&gt;'Config_v6'!$B$11,'Config_v6'!$B$36,0))))</x:f>
      </x:c>
      <x:c r="W324" s="2" t="str">
        <x:f>IF(B324="","",IF(I324&lt;&gt;"READY","NOT RELEASED",IF(NOT(AND(J324="PASS",'Calibrare_Linii'!U16="VALID")),"INVALID",IF(NOT(AND('Calibrare_Linii'!S16="VALIDATED",AND('Calibrare_Linii'!H16=C324,ISNUMBER('Calibrare_Linii'!J16),'Calibrare_Linii'!J16&lt;='Input_Meci'!G28))),"OOS PENDING",IF(S324&lt;='Calibrare_Linii'!E16,"PASS",IF(S324&lt;='Calibrare_Linii'!F16,"PENALTY","WATCH"))))))</x:f>
      </x:c>
      <x:c r="X324" s="2" t="str">
        <x:f>IF(M324="","",IF(AND(AND(J324="PASS",'Calibrare_Linii'!U16="VALID"),'Motor_Meciuri'!K28=12,'Motor_Meciuri'!L28=12,'Motor_Meciuri'!M28="NO",'Motor_Meciuri'!BL28='Motor_Meciuri'!C28,AB324&gt;='Config_v6'!$B$50,AN324&gt;='Config_v6'!$B$51,T324&lt;='Config_v6'!$B$52,L324&lt;='Config_v6'!$B$53,ISNUMBER('Calibrare_Linii'!E16),S324&lt;='Calibrare_Linii'!E16,SUM(AK324:AM324)&gt;0),"CANDIDATE","NO"))</x:f>
      </x:c>
      <x:c r="Y324" s="2" t="str">
        <x:f>IF(B324="","",IF(I324&lt;&gt;"READY","NOT RELEASED",IF(AND(X324="CANDIDATE",V324&gt;='Config_v6'!$B$51,W324="PASS",'Calibrare_Linii'!T16="VALIDATED",AND('Calibrare_Linii'!H16=C324,ISNUMBER('Calibrare_Linii'!J16),'Calibrare_Linii'!J16&lt;='Input_Meci'!G28)),"PASS",IF(X324="CANDIDATE","OOS PENDING","FAIL"))))</x:f>
      </x:c>
      <x:c r="Z324" s="2" t="str">
        <x:f>IF(B324="","",IF(I324&lt;&gt;"READY","",IF(OR(NOT(AND(J324="PASS",'Calibrare_Linii'!U16="VALID")),L324&gt;'Config_v6'!$B$13,W324="WATCH"),5,IF(Y324="PASS",1,MIN(5,MAX('Config_v6'!$B$42,U324)+IF(W324="PENALTY",1,0))))))</x:f>
      </x:c>
      <x:c r="AA324" s="2" t="str">
        <x:f>IF(B324="","",IF(I324&lt;&gt;"READY","NOT RELEASED",IF(Z324=5,"NO BET",IF(OR(AB324&lt;'Config_v6'!$B$16,V324&lt;'Config_v6'!$B$18),"WATCH",IF(Z324=1,"DEFENSIV",IF(Z324=2,"PRUDENT",IF(Z324=3,"MODERAT","RIDICAT")))))))</x:f>
      </x:c>
      <x:c r="AB324" s="10" t="str">
        <x:f>IF(N324="","",MIN(N324,1-S324))</x:f>
      </x:c>
      <x:c r="AC324" s="2" t="str">
        <x:f>IF(AD324&lt;&gt;1,"",COUNTIFS($Z$314:$Z$327,"&lt;"&amp;Z324,$AD$314:$AD$327,1)+COUNTIFS($Z$314:$Z$327,Z324,$AB$314:$AB$327,"&gt;"&amp;AB324,$AD$314:$AD$327,1)+COUNTIFS($Z$314:$Z$327,Z324,$AB$314:$AB$327,AB324,$V$314:$V$327,"&gt;"&amp;V324,$AD$314:$AD$327,1)+COUNTIFS($Z$314:Z324,Z324,$AB$314:AB324,AB324,$V$314:V324,V324,$AD$314:AD324,1))</x:f>
      </x:c>
      <x:c r="AD324" s="2" t="n">
        <x:f>IF(OR(AA324="DEFENSIV",AA324="PRUDENT",AA324="MODERAT",AA324="RIDICAT"),1,0)</x:f>
        <x:v>0</x:v>
      </x:c>
      <x:c r="AE324" s="2" t="str">
        <x:f>IF(AD324&lt;&gt;1,"NO",IF(W324="PASS","YES",IF(W324="OOS PENDING","CONDITIONAL","NO")))</x:f>
        <x:v>NO</x:v>
      </x:c>
      <x:c r="AF324" s="2" t="n">
        <x:f>IF(AND(AD324=1,AC324=1,E324="LIVE"),1,0)</x:f>
        <x:v>0</x:v>
      </x:c>
      <x:c r="AG324" s="2" t="str">
        <x:f>IF(AF324&lt;&gt;1,"",'Dashboard'!P48)</x:f>
      </x:c>
      <x:c r="AH324" s="2" t="str">
        <x:f>IF(B324="","",IF(J324&lt;&gt;"PASS",'Motor_Meciuri'!J28,IF('Calibrare_Linii'!U16&lt;&gt;"VALID","Parametri linie invalizi",IF(L324&gt;'Config_v6'!$B$13,"Dispersie peste limita",IF(W324="WATCH","Failure peste limita",IF(AB324&lt;'Config_v6'!$B$16,"P finala sub prag",IF(V324&lt;'Config_v6'!$B$18,"Confidence sub prag",IF(E324="REPLAY","Exemplu retrospectiv; exclus din Top LIVE",IF(Y324="PASS","DEFENSIV validat",IF(W324="OOS PENDING","Eligibil; calibrare linie in monitorizare","Eligibil"))))))))))</x:f>
      </x:c>
      <x:c r="AI324" s="2" t="str">
        <x:f>IF(B324="","",'Calibrare_Linii'!V16)</x:f>
      </x:c>
      <x:c r="AJ324" s="2" t="str">
        <x:f>IF(B324="","",IF(AND('Calibrare_Linii'!T16="VALIDATED",AND('Calibrare_Linii'!H16=C324,ISNUMBER('Calibrare_Linii'!J16),'Calibrare_Linii'!J16&lt;='Input_Meci'!G28)),"DEFENSIVE VALIDATED",IF(AND('Calibrare_Linii'!S16="VALIDATED",AND('Calibrare_Linii'!H16=C324,ISNUMBER('Calibrare_Linii'!J16),'Calibrare_Linii'!J16&lt;='Input_Meci'!G28)),"TAIL VALIDATED","OOS PENDING")))</x:f>
      </x:c>
      <x:c r="AK324" s="2" t="n">
        <x:f>IF(J324&lt;&gt;"PASS",0,'Motor_Meciuri'!BR28)</x:f>
        <x:v>0</x:v>
      </x:c>
      <x:c r="AL324" s="2" t="n">
        <x:f>IF(J324&lt;&gt;"PASS",0,'Motor_Meciuri'!BS28)</x:f>
        <x:v>0</x:v>
      </x:c>
      <x:c r="AM324" s="2" t="n">
        <x:f>IF(J324&lt;&gt;"PASS",0,'Motor_Meciuri'!BT28)</x:f>
        <x:v>0</x:v>
      </x:c>
      <x:c r="AN324" s="2" t="str">
        <x:f>IF(M324="","",MAX(0,'Motor_Meciuri'!BF28-IF(L324&gt;'Config_v6'!$B$12,'Config_v6'!$B$37,IF(L324&gt;'Config_v6'!$B$11,'Config_v6'!$B$36,0))))</x:f>
      </x:c>
    </x:row>
    <x:row r="325" ht="21" customHeight="1">
      <x:c r="A325" s="2" t="n">
        <x:v>23</x:v>
      </x:c>
      <x:c r="B325" s="2" t="str">
        <x:f>IF('Motor_Meciuri'!A28="","",'Motor_Meciuri'!A28)</x:f>
      </x:c>
      <x:c r="C325" s="2" t="str">
        <x:f>IF(B325="","",'Motor_Meciuri'!B28)</x:f>
      </x:c>
      <x:c r="D325" s="2" t="str">
        <x:f>IF(B325="","",'Motor_Meciuri'!D28)</x:f>
      </x:c>
      <x:c r="E325" s="2" t="str">
        <x:f>IF(B325="","",'Motor_Meciuri'!E28)</x:f>
      </x:c>
      <x:c r="F325" s="2" t="str">
        <x:v>U15,5</x:v>
      </x:c>
      <x:c r="G325" s="2" t="str">
        <x:v>UNDER</x:v>
      </x:c>
      <x:c r="H325" s="2" t="n">
        <x:v>15</x:v>
      </x:c>
      <x:c r="I325" s="2" t="str">
        <x:f>IF(B325="","",'Motor_Meciuri'!H28)</x:f>
      </x:c>
      <x:c r="J325" s="2" t="str">
        <x:f>IF(B325="","",'Motor_Meciuri'!I28)</x:f>
      </x:c>
      <x:c r="K325" s="11" t="str">
        <x:f>IF(J325&lt;&gt;"PASS","",'Motor_Meciuri'!BD28)</x:f>
      </x:c>
      <x:c r="L325" s="11" t="str">
        <x:f>IF(J325&lt;&gt;"PASS","",'Motor_Meciuri'!AU28)</x:f>
      </x:c>
      <x:c r="M325" s="10" t="str">
        <x:f>IF(NOT(AND(J325="PASS",'Calibrare_Linii'!U17="VALID")),"",'Distributie'!AM28)</x:f>
      </x:c>
      <x:c r="N325" s="10" t="str">
        <x:f>IF(M325="","",MAX(0.01,MIN(0.99,0.5+(M325-0.5)*'Motor_Meciuri'!BG28*'Calibrare_Linii'!D17)))</x:f>
      </x:c>
      <x:c r="O325" s="10" t="str">
        <x:f>IF(M325="","",1-M325)</x:f>
      </x:c>
      <x:c r="P325" s="10" t="str">
        <x:f>IF(OR(NOT(AND(J325="PASS",'Calibrare_Linii'!U17="VALID")),AK325=0),""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*('Istoric_Nativ'!$Q$6:$Q$405&gt;H325))/AK325)</x:f>
      </x:c>
      <x:c r="Q325" s="10" t="str">
        <x:f>IF(OR(NOT(AND(J325="PASS",'Calibrare_Linii'!U17="VALID")),AL325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M28)+((('Istoric_Nativ'!$E$6:$E$405='Input_Meci'!E28)+('Istoric_Nativ'!$F$6:$F$405='Input_Meci'!E28))&gt;0)*('Istoric_Nativ'!$D$6:$D$405&gt;='Motor_Meciuri'!BN28))&gt;0)*('Istoric_Nativ'!$Q$6:$Q$405&gt;H325))/AL325)</x:f>
      </x:c>
      <x:c r="R325" s="10" t="str">
        <x:f>IF(OR(NOT(AND(J325="PASS",'Calibrare_Linii'!U17="VALID")),AM325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O28)+((('Istoric_Nativ'!$E$6:$E$405='Input_Meci'!E28)+('Istoric_Nativ'!$F$6:$F$405='Input_Meci'!E28))&gt;0)*('Istoric_Nativ'!$D$6:$D$405&gt;='Motor_Meciuri'!BP28))&gt;0)*('Istoric_Nativ'!$Q$6:$Q$405&gt;H325))/AM325)</x:f>
      </x:c>
      <x:c r="S325" s="10" t="str">
        <x:f>IF(M325="","",MAX(O325,P325,Q325,R325))</x:f>
      </x:c>
      <x:c r="T325" s="11" t="str">
        <x:f>IF(M325="","",MIN(100,S325*100*'Config_v6'!$B$44+MIN(100,L325/'Config_v6'!$B$13*100)*'Config_v6'!$B$45+(100-'Motor_Meciuri'!BF28)*'Config_v6'!$B$46+'Motor_Meciuri'!BH28*100*'Config_v6'!$B$47))</x:f>
      </x:c>
      <x:c r="U325" s="2" t="str">
        <x:f>IF(T325="","",IF(T325&lt;=20,1,IF(T325&lt;=40,2,IF(T325&lt;=60,3,IF(T325&lt;=80,4,5)))))</x:f>
      </x:c>
      <x:c r="V325" s="2" t="str">
        <x:f>IF(M325="","",MAX(0,'Motor_Meciuri'!BF28-IF(W325="OOS PENDING",'Config_v6'!$B$35,0)-IF(L325&gt;'Config_v6'!$B$12,'Config_v6'!$B$37,IF(L325&gt;'Config_v6'!$B$11,'Config_v6'!$B$36,0))))</x:f>
      </x:c>
      <x:c r="W325" s="2" t="str">
        <x:f>IF(B325="","",IF(I325&lt;&gt;"READY","NOT RELEASED",IF(NOT(AND(J325="PASS",'Calibrare_Linii'!U17="VALID")),"INVALID",IF(NOT(AND('Calibrare_Linii'!S17="VALIDATED",AND('Calibrare_Linii'!H17=C325,ISNUMBER('Calibrare_Linii'!J17),'Calibrare_Linii'!J17&lt;='Input_Meci'!G28))),"OOS PENDING",IF(S325&lt;='Calibrare_Linii'!E17,"PASS",IF(S325&lt;='Calibrare_Linii'!F17,"PENALTY","WATCH"))))))</x:f>
      </x:c>
      <x:c r="X325" s="2" t="str">
        <x:f>IF(M325="","",IF(AND(AND(J325="PASS",'Calibrare_Linii'!U17="VALID"),'Motor_Meciuri'!K28=12,'Motor_Meciuri'!L28=12,'Motor_Meciuri'!M28="NO",'Motor_Meciuri'!BL28='Motor_Meciuri'!C28,AB325&gt;='Config_v6'!$B$50,AN325&gt;='Config_v6'!$B$51,T325&lt;='Config_v6'!$B$52,L325&lt;='Config_v6'!$B$53,ISNUMBER('Calibrare_Linii'!E17),S325&lt;='Calibrare_Linii'!E17,SUM(AK325:AM325)&gt;0),"CANDIDATE","NO"))</x:f>
      </x:c>
      <x:c r="Y325" s="2" t="str">
        <x:f>IF(B325="","",IF(I325&lt;&gt;"READY","NOT RELEASED",IF(AND(X325="CANDIDATE",V325&gt;='Config_v6'!$B$51,W325="PASS",'Calibrare_Linii'!T17="VALIDATED",AND('Calibrare_Linii'!H17=C325,ISNUMBER('Calibrare_Linii'!J17),'Calibrare_Linii'!J17&lt;='Input_Meci'!G28)),"PASS",IF(X325="CANDIDATE","OOS PENDING","FAIL"))))</x:f>
      </x:c>
      <x:c r="Z325" s="2" t="str">
        <x:f>IF(B325="","",IF(I325&lt;&gt;"READY","",IF(OR(NOT(AND(J325="PASS",'Calibrare_Linii'!U17="VALID")),L325&gt;'Config_v6'!$B$13,W325="WATCH"),5,IF(Y325="PASS",1,MIN(5,MAX('Config_v6'!$B$42,U325)+IF(W325="PENALTY",1,0))))))</x:f>
      </x:c>
      <x:c r="AA325" s="2" t="str">
        <x:f>IF(B325="","",IF(I325&lt;&gt;"READY","NOT RELEASED",IF(Z325=5,"NO BET",IF(OR(AB325&lt;'Config_v6'!$B$16,V325&lt;'Config_v6'!$B$18),"WATCH",IF(Z325=1,"DEFENSIV",IF(Z325=2,"PRUDENT",IF(Z325=3,"MODERAT","RIDICAT")))))))</x:f>
      </x:c>
      <x:c r="AB325" s="10" t="str">
        <x:f>IF(N325="","",MIN(N325,1-S325))</x:f>
      </x:c>
      <x:c r="AC325" s="2" t="str">
        <x:f>IF(AD325&lt;&gt;1,"",COUNTIFS($Z$314:$Z$327,"&lt;"&amp;Z325,$AD$314:$AD$327,1)+COUNTIFS($Z$314:$Z$327,Z325,$AB$314:$AB$327,"&gt;"&amp;AB325,$AD$314:$AD$327,1)+COUNTIFS($Z$314:$Z$327,Z325,$AB$314:$AB$327,AB325,$V$314:$V$327,"&gt;"&amp;V325,$AD$314:$AD$327,1)+COUNTIFS($Z$314:Z325,Z325,$AB$314:AB325,AB325,$V$314:V325,V325,$AD$314:AD325,1))</x:f>
      </x:c>
      <x:c r="AD325" s="2" t="n">
        <x:f>IF(OR(AA325="DEFENSIV",AA325="PRUDENT",AA325="MODERAT",AA325="RIDICAT"),1,0)</x:f>
        <x:v>0</x:v>
      </x:c>
      <x:c r="AE325" s="2" t="str">
        <x:f>IF(AD325&lt;&gt;1,"NO",IF(W325="PASS","YES",IF(W325="OOS PENDING","CONDITIONAL","NO")))</x:f>
        <x:v>NO</x:v>
      </x:c>
      <x:c r="AF325" s="2" t="n">
        <x:f>IF(AND(AD325=1,AC325=1,E325="LIVE"),1,0)</x:f>
        <x:v>0</x:v>
      </x:c>
      <x:c r="AG325" s="2" t="str">
        <x:f>IF(AF325&lt;&gt;1,"",'Dashboard'!P48)</x:f>
      </x:c>
      <x:c r="AH325" s="2" t="str">
        <x:f>IF(B325="","",IF(J325&lt;&gt;"PASS",'Motor_Meciuri'!J28,IF('Calibrare_Linii'!U17&lt;&gt;"VALID","Parametri linie invalizi",IF(L325&gt;'Config_v6'!$B$13,"Dispersie peste limita",IF(W325="WATCH","Failure peste limita",IF(AB325&lt;'Config_v6'!$B$16,"P finala sub prag",IF(V325&lt;'Config_v6'!$B$18,"Confidence sub prag",IF(E325="REPLAY","Exemplu retrospectiv; exclus din Top LIVE",IF(Y325="PASS","DEFENSIV validat",IF(W325="OOS PENDING","Eligibil; calibrare linie in monitorizare","Eligibil"))))))))))</x:f>
      </x:c>
      <x:c r="AI325" s="2" t="str">
        <x:f>IF(B325="","",'Calibrare_Linii'!V17)</x:f>
      </x:c>
      <x:c r="AJ325" s="2" t="str">
        <x:f>IF(B325="","",IF(AND('Calibrare_Linii'!T17="VALIDATED",AND('Calibrare_Linii'!H17=C325,ISNUMBER('Calibrare_Linii'!J17),'Calibrare_Linii'!J17&lt;='Input_Meci'!G28)),"DEFENSIVE VALIDATED",IF(AND('Calibrare_Linii'!S17="VALIDATED",AND('Calibrare_Linii'!H17=C325,ISNUMBER('Calibrare_Linii'!J17),'Calibrare_Linii'!J17&lt;='Input_Meci'!G28)),"TAIL VALIDATED","OOS PENDING")))</x:f>
      </x:c>
      <x:c r="AK325" s="2" t="n">
        <x:f>IF(J325&lt;&gt;"PASS",0,'Motor_Meciuri'!BR28)</x:f>
        <x:v>0</x:v>
      </x:c>
      <x:c r="AL325" s="2" t="n">
        <x:f>IF(J325&lt;&gt;"PASS",0,'Motor_Meciuri'!BS28)</x:f>
        <x:v>0</x:v>
      </x:c>
      <x:c r="AM325" s="2" t="n">
        <x:f>IF(J325&lt;&gt;"PASS",0,'Motor_Meciuri'!BT28)</x:f>
        <x:v>0</x:v>
      </x:c>
      <x:c r="AN325" s="2" t="str">
        <x:f>IF(M325="","",MAX(0,'Motor_Meciuri'!BF28-IF(L325&gt;'Config_v6'!$B$12,'Config_v6'!$B$37,IF(L325&gt;'Config_v6'!$B$11,'Config_v6'!$B$36,0))))</x:f>
      </x:c>
    </x:row>
    <x:row r="326" ht="21" customHeight="1">
      <x:c r="A326" s="2" t="n">
        <x:v>23</x:v>
      </x:c>
      <x:c r="B326" s="2" t="str">
        <x:f>IF('Motor_Meciuri'!A28="","",'Motor_Meciuri'!A28)</x:f>
      </x:c>
      <x:c r="C326" s="2" t="str">
        <x:f>IF(B326="","",'Motor_Meciuri'!B28)</x:f>
      </x:c>
      <x:c r="D326" s="2" t="str">
        <x:f>IF(B326="","",'Motor_Meciuri'!D28)</x:f>
      </x:c>
      <x:c r="E326" s="2" t="str">
        <x:f>IF(B326="","",'Motor_Meciuri'!E28)</x:f>
      </x:c>
      <x:c r="F326" s="2" t="str">
        <x:v>U16,5</x:v>
      </x:c>
      <x:c r="G326" s="2" t="str">
        <x:v>UNDER</x:v>
      </x:c>
      <x:c r="H326" s="2" t="n">
        <x:v>16</x:v>
      </x:c>
      <x:c r="I326" s="2" t="str">
        <x:f>IF(B326="","",'Motor_Meciuri'!H28)</x:f>
      </x:c>
      <x:c r="J326" s="2" t="str">
        <x:f>IF(B326="","",'Motor_Meciuri'!I28)</x:f>
      </x:c>
      <x:c r="K326" s="11" t="str">
        <x:f>IF(J326&lt;&gt;"PASS","",'Motor_Meciuri'!BD28)</x:f>
      </x:c>
      <x:c r="L326" s="11" t="str">
        <x:f>IF(J326&lt;&gt;"PASS","",'Motor_Meciuri'!AU28)</x:f>
      </x:c>
      <x:c r="M326" s="10" t="str">
        <x:f>IF(NOT(AND(J326="PASS",'Calibrare_Linii'!U18="VALID")),"",'Distributie'!AN28)</x:f>
      </x:c>
      <x:c r="N326" s="10" t="str">
        <x:f>IF(M326="","",MAX(0.01,MIN(0.99,0.5+(M326-0.5)*'Motor_Meciuri'!BG28*'Calibrare_Linii'!D18)))</x:f>
      </x:c>
      <x:c r="O326" s="10" t="str">
        <x:f>IF(M326="","",1-M326)</x:f>
      </x:c>
      <x:c r="P326" s="10" t="str">
        <x:f>IF(OR(NOT(AND(J326="PASS",'Calibrare_Linii'!U18="VALID")),AK326=0),""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*('Istoric_Nativ'!$Q$6:$Q$405&gt;H326))/AK326)</x:f>
      </x:c>
      <x:c r="Q326" s="10" t="str">
        <x:f>IF(OR(NOT(AND(J326="PASS",'Calibrare_Linii'!U18="VALID")),AL326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M28)+((('Istoric_Nativ'!$E$6:$E$405='Input_Meci'!E28)+('Istoric_Nativ'!$F$6:$F$405='Input_Meci'!E28))&gt;0)*('Istoric_Nativ'!$D$6:$D$405&gt;='Motor_Meciuri'!BN28))&gt;0)*('Istoric_Nativ'!$Q$6:$Q$405&gt;H326))/AL326)</x:f>
      </x:c>
      <x:c r="R326" s="10" t="str">
        <x:f>IF(OR(NOT(AND(J326="PASS",'Calibrare_Linii'!U18="VALID")),AM326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O28)+((('Istoric_Nativ'!$E$6:$E$405='Input_Meci'!E28)+('Istoric_Nativ'!$F$6:$F$405='Input_Meci'!E28))&gt;0)*('Istoric_Nativ'!$D$6:$D$405&gt;='Motor_Meciuri'!BP28))&gt;0)*('Istoric_Nativ'!$Q$6:$Q$405&gt;H326))/AM326)</x:f>
      </x:c>
      <x:c r="S326" s="10" t="str">
        <x:f>IF(M326="","",MAX(O326,P326,Q326,R326))</x:f>
      </x:c>
      <x:c r="T326" s="11" t="str">
        <x:f>IF(M326="","",MIN(100,S326*100*'Config_v6'!$B$44+MIN(100,L326/'Config_v6'!$B$13*100)*'Config_v6'!$B$45+(100-'Motor_Meciuri'!BF28)*'Config_v6'!$B$46+'Motor_Meciuri'!BH28*100*'Config_v6'!$B$47))</x:f>
      </x:c>
      <x:c r="U326" s="2" t="str">
        <x:f>IF(T326="","",IF(T326&lt;=20,1,IF(T326&lt;=40,2,IF(T326&lt;=60,3,IF(T326&lt;=80,4,5)))))</x:f>
      </x:c>
      <x:c r="V326" s="2" t="str">
        <x:f>IF(M326="","",MAX(0,'Motor_Meciuri'!BF28-IF(W326="OOS PENDING",'Config_v6'!$B$35,0)-IF(L326&gt;'Config_v6'!$B$12,'Config_v6'!$B$37,IF(L326&gt;'Config_v6'!$B$11,'Config_v6'!$B$36,0))))</x:f>
      </x:c>
      <x:c r="W326" s="2" t="str">
        <x:f>IF(B326="","",IF(I326&lt;&gt;"READY","NOT RELEASED",IF(NOT(AND(J326="PASS",'Calibrare_Linii'!U18="VALID")),"INVALID",IF(NOT(AND('Calibrare_Linii'!S18="VALIDATED",AND('Calibrare_Linii'!H18=C326,ISNUMBER('Calibrare_Linii'!J18),'Calibrare_Linii'!J18&lt;='Input_Meci'!G28))),"OOS PENDING",IF(S326&lt;='Calibrare_Linii'!E18,"PASS",IF(S326&lt;='Calibrare_Linii'!F18,"PENALTY","WATCH"))))))</x:f>
      </x:c>
      <x:c r="X326" s="2" t="str">
        <x:f>IF(M326="","",IF(AND(AND(J326="PASS",'Calibrare_Linii'!U18="VALID"),'Motor_Meciuri'!K28=12,'Motor_Meciuri'!L28=12,'Motor_Meciuri'!M28="NO",'Motor_Meciuri'!BL28='Motor_Meciuri'!C28,AB326&gt;='Config_v6'!$B$50,AN326&gt;='Config_v6'!$B$51,T326&lt;='Config_v6'!$B$52,L326&lt;='Config_v6'!$B$53,ISNUMBER('Calibrare_Linii'!E18),S326&lt;='Calibrare_Linii'!E18,SUM(AK326:AM326)&gt;0),"CANDIDATE","NO"))</x:f>
      </x:c>
      <x:c r="Y326" s="2" t="str">
        <x:f>IF(B326="","",IF(I326&lt;&gt;"READY","NOT RELEASED",IF(AND(X326="CANDIDATE",V326&gt;='Config_v6'!$B$51,W326="PASS",'Calibrare_Linii'!T18="VALIDATED",AND('Calibrare_Linii'!H18=C326,ISNUMBER('Calibrare_Linii'!J18),'Calibrare_Linii'!J18&lt;='Input_Meci'!G28)),"PASS",IF(X326="CANDIDATE","OOS PENDING","FAIL"))))</x:f>
      </x:c>
      <x:c r="Z326" s="2" t="str">
        <x:f>IF(B326="","",IF(I326&lt;&gt;"READY","",IF(OR(NOT(AND(J326="PASS",'Calibrare_Linii'!U18="VALID")),L326&gt;'Config_v6'!$B$13,W326="WATCH"),5,IF(Y326="PASS",1,MIN(5,MAX('Config_v6'!$B$42,U326)+IF(W326="PENALTY",1,0))))))</x:f>
      </x:c>
      <x:c r="AA326" s="2" t="str">
        <x:f>IF(B326="","",IF(I326&lt;&gt;"READY","NOT RELEASED",IF(Z326=5,"NO BET",IF(OR(AB326&lt;'Config_v6'!$B$16,V326&lt;'Config_v6'!$B$18),"WATCH",IF(Z326=1,"DEFENSIV",IF(Z326=2,"PRUDENT",IF(Z326=3,"MODERAT","RIDICAT")))))))</x:f>
      </x:c>
      <x:c r="AB326" s="10" t="str">
        <x:f>IF(N326="","",MIN(N326,1-S326))</x:f>
      </x:c>
      <x:c r="AC326" s="2" t="str">
        <x:f>IF(AD326&lt;&gt;1,"",COUNTIFS($Z$314:$Z$327,"&lt;"&amp;Z326,$AD$314:$AD$327,1)+COUNTIFS($Z$314:$Z$327,Z326,$AB$314:$AB$327,"&gt;"&amp;AB326,$AD$314:$AD$327,1)+COUNTIFS($Z$314:$Z$327,Z326,$AB$314:$AB$327,AB326,$V$314:$V$327,"&gt;"&amp;V326,$AD$314:$AD$327,1)+COUNTIFS($Z$314:Z326,Z326,$AB$314:AB326,AB326,$V$314:V326,V326,$AD$314:AD326,1))</x:f>
      </x:c>
      <x:c r="AD326" s="2" t="n">
        <x:f>IF(OR(AA326="DEFENSIV",AA326="PRUDENT",AA326="MODERAT",AA326="RIDICAT"),1,0)</x:f>
        <x:v>0</x:v>
      </x:c>
      <x:c r="AE326" s="2" t="str">
        <x:f>IF(AD326&lt;&gt;1,"NO",IF(W326="PASS","YES",IF(W326="OOS PENDING","CONDITIONAL","NO")))</x:f>
        <x:v>NO</x:v>
      </x:c>
      <x:c r="AF326" s="2" t="n">
        <x:f>IF(AND(AD326=1,AC326=1,E326="LIVE"),1,0)</x:f>
        <x:v>0</x:v>
      </x:c>
      <x:c r="AG326" s="2" t="str">
        <x:f>IF(AF326&lt;&gt;1,"",'Dashboard'!P48)</x:f>
      </x:c>
      <x:c r="AH326" s="2" t="str">
        <x:f>IF(B326="","",IF(J326&lt;&gt;"PASS",'Motor_Meciuri'!J28,IF('Calibrare_Linii'!U18&lt;&gt;"VALID","Parametri linie invalizi",IF(L326&gt;'Config_v6'!$B$13,"Dispersie peste limita",IF(W326="WATCH","Failure peste limita",IF(AB326&lt;'Config_v6'!$B$16,"P finala sub prag",IF(V326&lt;'Config_v6'!$B$18,"Confidence sub prag",IF(E326="REPLAY","Exemplu retrospectiv; exclus din Top LIVE",IF(Y326="PASS","DEFENSIV validat",IF(W326="OOS PENDING","Eligibil; calibrare linie in monitorizare","Eligibil"))))))))))</x:f>
      </x:c>
      <x:c r="AI326" s="2" t="str">
        <x:f>IF(B326="","",'Calibrare_Linii'!V18)</x:f>
      </x:c>
      <x:c r="AJ326" s="2" t="str">
        <x:f>IF(B326="","",IF(AND('Calibrare_Linii'!T18="VALIDATED",AND('Calibrare_Linii'!H18=C326,ISNUMBER('Calibrare_Linii'!J18),'Calibrare_Linii'!J18&lt;='Input_Meci'!G28)),"DEFENSIVE VALIDATED",IF(AND('Calibrare_Linii'!S18="VALIDATED",AND('Calibrare_Linii'!H18=C326,ISNUMBER('Calibrare_Linii'!J18),'Calibrare_Linii'!J18&lt;='Input_Meci'!G28)),"TAIL VALIDATED","OOS PENDING")))</x:f>
      </x:c>
      <x:c r="AK326" s="2" t="n">
        <x:f>IF(J326&lt;&gt;"PASS",0,'Motor_Meciuri'!BR28)</x:f>
        <x:v>0</x:v>
      </x:c>
      <x:c r="AL326" s="2" t="n">
        <x:f>IF(J326&lt;&gt;"PASS",0,'Motor_Meciuri'!BS28)</x:f>
        <x:v>0</x:v>
      </x:c>
      <x:c r="AM326" s="2" t="n">
        <x:f>IF(J326&lt;&gt;"PASS",0,'Motor_Meciuri'!BT28)</x:f>
        <x:v>0</x:v>
      </x:c>
      <x:c r="AN326" s="2" t="str">
        <x:f>IF(M326="","",MAX(0,'Motor_Meciuri'!BF28-IF(L326&gt;'Config_v6'!$B$12,'Config_v6'!$B$37,IF(L326&gt;'Config_v6'!$B$11,'Config_v6'!$B$36,0))))</x:f>
      </x:c>
    </x:row>
    <x:row r="327" ht="21" customHeight="1">
      <x:c r="A327" s="2" t="n">
        <x:v>23</x:v>
      </x:c>
      <x:c r="B327" s="2" t="str">
        <x:f>IF('Motor_Meciuri'!A28="","",'Motor_Meciuri'!A28)</x:f>
      </x:c>
      <x:c r="C327" s="2" t="str">
        <x:f>IF(B327="","",'Motor_Meciuri'!B28)</x:f>
      </x:c>
      <x:c r="D327" s="2" t="str">
        <x:f>IF(B327="","",'Motor_Meciuri'!D28)</x:f>
      </x:c>
      <x:c r="E327" s="2" t="str">
        <x:f>IF(B327="","",'Motor_Meciuri'!E28)</x:f>
      </x:c>
      <x:c r="F327" s="2" t="str">
        <x:v>U17,5</x:v>
      </x:c>
      <x:c r="G327" s="2" t="str">
        <x:v>UNDER</x:v>
      </x:c>
      <x:c r="H327" s="2" t="n">
        <x:v>17</x:v>
      </x:c>
      <x:c r="I327" s="2" t="str">
        <x:f>IF(B327="","",'Motor_Meciuri'!H28)</x:f>
      </x:c>
      <x:c r="J327" s="2" t="str">
        <x:f>IF(B327="","",'Motor_Meciuri'!I28)</x:f>
      </x:c>
      <x:c r="K327" s="11" t="str">
        <x:f>IF(J327&lt;&gt;"PASS","",'Motor_Meciuri'!BD28)</x:f>
      </x:c>
      <x:c r="L327" s="11" t="str">
        <x:f>IF(J327&lt;&gt;"PASS","",'Motor_Meciuri'!AU28)</x:f>
      </x:c>
      <x:c r="M327" s="10" t="str">
        <x:f>IF(NOT(AND(J327="PASS",'Calibrare_Linii'!U19="VALID")),"",'Distributie'!AO28)</x:f>
      </x:c>
      <x:c r="N327" s="10" t="str">
        <x:f>IF(M327="","",MAX(0.01,MIN(0.99,0.5+(M327-0.5)*'Motor_Meciuri'!BG28*'Calibrare_Linii'!D19)))</x:f>
      </x:c>
      <x:c r="O327" s="10" t="str">
        <x:f>IF(M327="","",1-M327)</x:f>
      </x:c>
      <x:c r="P327" s="10" t="str">
        <x:f>IF(OR(NOT(AND(J327="PASS",'Calibrare_Linii'!U19="VALID")),AK327=0),""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*('Istoric_Nativ'!$Q$6:$Q$405&gt;H327))/AK327)</x:f>
      </x:c>
      <x:c r="Q327" s="10" t="str">
        <x:f>IF(OR(NOT(AND(J327="PASS",'Calibrare_Linii'!U19="VALID")),AL327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M28)+((('Istoric_Nativ'!$E$6:$E$405='Input_Meci'!E28)+('Istoric_Nativ'!$F$6:$F$405='Input_Meci'!E28))&gt;0)*('Istoric_Nativ'!$D$6:$D$405&gt;='Motor_Meciuri'!BN28))&gt;0)*('Istoric_Nativ'!$Q$6:$Q$405&gt;H327))/AL327)</x:f>
      </x:c>
      <x:c r="R327" s="10" t="str">
        <x:f>IF(OR(NOT(AND(J327="PASS",'Calibrare_Linii'!U19="VALID")),AM327=0),""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'Motor_Meciuri'!BO28)+((('Istoric_Nativ'!$E$6:$E$405='Input_Meci'!E28)+('Istoric_Nativ'!$F$6:$F$405='Input_Meci'!E28))&gt;0)*('Istoric_Nativ'!$D$6:$D$405&gt;='Motor_Meciuri'!BP28))&gt;0)*('Istoric_Nativ'!$Q$6:$Q$405&gt;H327))/AM327)</x:f>
      </x:c>
      <x:c r="S327" s="10" t="str">
        <x:f>IF(M327="","",MAX(O327,P327,Q327,R327))</x:f>
      </x:c>
      <x:c r="T327" s="11" t="str">
        <x:f>IF(M327="","",MIN(100,S327*100*'Config_v6'!$B$44+MIN(100,L327/'Config_v6'!$B$13*100)*'Config_v6'!$B$45+(100-'Motor_Meciuri'!BF28)*'Config_v6'!$B$46+'Motor_Meciuri'!BH28*100*'Config_v6'!$B$47))</x:f>
      </x:c>
      <x:c r="U327" s="2" t="str">
        <x:f>IF(T327="","",IF(T327&lt;=20,1,IF(T327&lt;=40,2,IF(T327&lt;=60,3,IF(T327&lt;=80,4,5)))))</x:f>
      </x:c>
      <x:c r="V327" s="2" t="str">
        <x:f>IF(M327="","",MAX(0,'Motor_Meciuri'!BF28-IF(W327="OOS PENDING",'Config_v6'!$B$35,0)-IF(L327&gt;'Config_v6'!$B$12,'Config_v6'!$B$37,IF(L327&gt;'Config_v6'!$B$11,'Config_v6'!$B$36,0))))</x:f>
      </x:c>
      <x:c r="W327" s="2" t="str">
        <x:f>IF(B327="","",IF(I327&lt;&gt;"READY","NOT RELEASED",IF(NOT(AND(J327="PASS",'Calibrare_Linii'!U19="VALID")),"INVALID",IF(NOT(AND('Calibrare_Linii'!S19="VALIDATED",AND('Calibrare_Linii'!H19=C327,ISNUMBER('Calibrare_Linii'!J19),'Calibrare_Linii'!J19&lt;='Input_Meci'!G28))),"OOS PENDING",IF(S327&lt;='Calibrare_Linii'!E19,"PASS",IF(S327&lt;='Calibrare_Linii'!F19,"PENALTY","WATCH"))))))</x:f>
      </x:c>
      <x:c r="X327" s="2" t="str">
        <x:f>IF(M327="","",IF(AND(AND(J327="PASS",'Calibrare_Linii'!U19="VALID"),'Motor_Meciuri'!K28=12,'Motor_Meciuri'!L28=12,'Motor_Meciuri'!M28="NO",'Motor_Meciuri'!BL28='Motor_Meciuri'!C28,AB327&gt;='Config_v6'!$B$50,AN327&gt;='Config_v6'!$B$51,T327&lt;='Config_v6'!$B$52,L327&lt;='Config_v6'!$B$53,ISNUMBER('Calibrare_Linii'!E19),S327&lt;='Calibrare_Linii'!E19,SUM(AK327:AM327)&gt;0),"CANDIDATE","NO"))</x:f>
      </x:c>
      <x:c r="Y327" s="2" t="str">
        <x:f>IF(B327="","",IF(I327&lt;&gt;"READY","NOT RELEASED",IF(AND(X327="CANDIDATE",V327&gt;='Config_v6'!$B$51,W327="PASS",'Calibrare_Linii'!T19="VALIDATED",AND('Calibrare_Linii'!H19=C327,ISNUMBER('Calibrare_Linii'!J19),'Calibrare_Linii'!J19&lt;='Input_Meci'!G28)),"PASS",IF(X327="CANDIDATE","OOS PENDING","FAIL"))))</x:f>
      </x:c>
      <x:c r="Z327" s="2" t="str">
        <x:f>IF(B327="","",IF(I327&lt;&gt;"READY","",IF(OR(NOT(AND(J327="PASS",'Calibrare_Linii'!U19="VALID")),L327&gt;'Config_v6'!$B$13,W327="WATCH"),5,IF(Y327="PASS",1,MIN(5,MAX('Config_v6'!$B$42,U327)+IF(W327="PENALTY",1,0))))))</x:f>
      </x:c>
      <x:c r="AA327" s="2" t="str">
        <x:f>IF(B327="","",IF(I327&lt;&gt;"READY","NOT RELEASED",IF(Z327=5,"NO BET",IF(OR(AB327&lt;'Config_v6'!$B$16,V327&lt;'Config_v6'!$B$18),"WATCH",IF(Z327=1,"DEFENSIV",IF(Z327=2,"PRUDENT",IF(Z327=3,"MODERAT","RIDICAT")))))))</x:f>
      </x:c>
      <x:c r="AB327" s="10" t="str">
        <x:f>IF(N327="","",MIN(N327,1-S327))</x:f>
      </x:c>
      <x:c r="AC327" s="2" t="str">
        <x:f>IF(AD327&lt;&gt;1,"",COUNTIFS($Z$314:$Z$327,"&lt;"&amp;Z327,$AD$314:$AD$327,1)+COUNTIFS($Z$314:$Z$327,Z327,$AB$314:$AB$327,"&gt;"&amp;AB327,$AD$314:$AD$327,1)+COUNTIFS($Z$314:$Z$327,Z327,$AB$314:$AB$327,AB327,$V$314:$V$327,"&gt;"&amp;V327,$AD$314:$AD$327,1)+COUNTIFS($Z$314:Z327,Z327,$AB$314:AB327,AB327,$V$314:V327,V327,$AD$314:AD327,1))</x:f>
      </x:c>
      <x:c r="AD327" s="2" t="n">
        <x:f>IF(OR(AA327="DEFENSIV",AA327="PRUDENT",AA327="MODERAT",AA327="RIDICAT"),1,0)</x:f>
        <x:v>0</x:v>
      </x:c>
      <x:c r="AE327" s="2" t="str">
        <x:f>IF(AD327&lt;&gt;1,"NO",IF(W327="PASS","YES",IF(W327="OOS PENDING","CONDITIONAL","NO")))</x:f>
        <x:v>NO</x:v>
      </x:c>
      <x:c r="AF327" s="2" t="n">
        <x:f>IF(AND(AD327=1,AC327=1,E327="LIVE"),1,0)</x:f>
        <x:v>0</x:v>
      </x:c>
      <x:c r="AG327" s="2" t="str">
        <x:f>IF(AF327&lt;&gt;1,"",'Dashboard'!P48)</x:f>
      </x:c>
      <x:c r="AH327" s="2" t="str">
        <x:f>IF(B327="","",IF(J327&lt;&gt;"PASS",'Motor_Meciuri'!J28,IF('Calibrare_Linii'!U19&lt;&gt;"VALID","Parametri linie invalizi",IF(L327&gt;'Config_v6'!$B$13,"Dispersie peste limita",IF(W327="WATCH","Failure peste limita",IF(AB327&lt;'Config_v6'!$B$16,"P finala sub prag",IF(V327&lt;'Config_v6'!$B$18,"Confidence sub prag",IF(E327="REPLAY","Exemplu retrospectiv; exclus din Top LIVE",IF(Y327="PASS","DEFENSIV validat",IF(W327="OOS PENDING","Eligibil; calibrare linie in monitorizare","Eligibil"))))))))))</x:f>
      </x:c>
      <x:c r="AI327" s="2" t="str">
        <x:f>IF(B327="","",'Calibrare_Linii'!V19)</x:f>
      </x:c>
      <x:c r="AJ327" s="2" t="str">
        <x:f>IF(B327="","",IF(AND('Calibrare_Linii'!T19="VALIDATED",AND('Calibrare_Linii'!H19=C327,ISNUMBER('Calibrare_Linii'!J19),'Calibrare_Linii'!J19&lt;='Input_Meci'!G28)),"DEFENSIVE VALIDATED",IF(AND('Calibrare_Linii'!S19="VALIDATED",AND('Calibrare_Linii'!H19=C327,ISNUMBER('Calibrare_Linii'!J19),'Calibrare_Linii'!J19&lt;='Input_Meci'!G28)),"TAIL VALIDATED","OOS PENDING")))</x:f>
      </x:c>
      <x:c r="AK327" s="2" t="n">
        <x:f>IF(J327&lt;&gt;"PASS",0,'Motor_Meciuri'!BR28)</x:f>
        <x:v>0</x:v>
      </x:c>
      <x:c r="AL327" s="2" t="n">
        <x:f>IF(J327&lt;&gt;"PASS",0,'Motor_Meciuri'!BS28)</x:f>
        <x:v>0</x:v>
      </x:c>
      <x:c r="AM327" s="2" t="n">
        <x:f>IF(J327&lt;&gt;"PASS",0,'Motor_Meciuri'!BT28)</x:f>
        <x:v>0</x:v>
      </x:c>
      <x:c r="AN327" s="2" t="str">
        <x:f>IF(M327="","",MAX(0,'Motor_Meciuri'!BF28-IF(L327&gt;'Config_v6'!$B$12,'Config_v6'!$B$37,IF(L327&gt;'Config_v6'!$B$11,'Config_v6'!$B$36,0))))</x:f>
      </x:c>
    </x:row>
    <x:row r="328" ht="21" customHeight="1">
      <x:c r="A328" s="2" t="n">
        <x:v>24</x:v>
      </x:c>
      <x:c r="B328" s="2" t="str">
        <x:f>IF('Motor_Meciuri'!A29="","",'Motor_Meciuri'!A29)</x:f>
      </x:c>
      <x:c r="C328" s="2" t="str">
        <x:f>IF(B328="","",'Motor_Meciuri'!B29)</x:f>
      </x:c>
      <x:c r="D328" s="2" t="str">
        <x:f>IF(B328="","",'Motor_Meciuri'!D29)</x:f>
      </x:c>
      <x:c r="E328" s="2" t="str">
        <x:f>IF(B328="","",'Motor_Meciuri'!E29)</x:f>
      </x:c>
      <x:c r="F328" s="2" t="str">
        <x:v>O3,5</x:v>
      </x:c>
      <x:c r="G328" s="2" t="str">
        <x:v>OVER</x:v>
      </x:c>
      <x:c r="H328" s="2" t="n">
        <x:v>3</x:v>
      </x:c>
      <x:c r="I328" s="2" t="str">
        <x:f>IF(B328="","",'Motor_Meciuri'!H29)</x:f>
      </x:c>
      <x:c r="J328" s="2" t="str">
        <x:f>IF(B328="","",'Motor_Meciuri'!I29)</x:f>
      </x:c>
      <x:c r="K328" s="11" t="str">
        <x:f>IF(J328&lt;&gt;"PASS","",'Motor_Meciuri'!BD29)</x:f>
      </x:c>
      <x:c r="L328" s="11" t="str">
        <x:f>IF(J328&lt;&gt;"PASS","",'Motor_Meciuri'!AU29)</x:f>
      </x:c>
      <x:c r="M328" s="10" t="str">
        <x:f>IF(NOT(AND(J328="PASS",'Calibrare_Linii'!U6="VALID")),"",1-'Distributie'!AA29)</x:f>
      </x:c>
      <x:c r="N328" s="10" t="str">
        <x:f>IF(M328="","",MAX(0.01,MIN(0.99,0.5+(M328-0.5)*'Motor_Meciuri'!BG29*'Calibrare_Linii'!D6)))</x:f>
      </x:c>
      <x:c r="O328" s="10" t="str">
        <x:f>IF(M328="","",1-M328)</x:f>
      </x:c>
      <x:c r="P328" s="10" t="str">
        <x:f>IF(OR(NOT(AND(J328="PASS",'Calibrare_Linii'!U6="VALID")),AK328=0),""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*('Istoric_Nativ'!$Q$6:$Q$405&lt;=H328))/AK328)</x:f>
      </x:c>
      <x:c r="Q328" s="10" t="str">
        <x:f>IF(OR(NOT(AND(J328="PASS",'Calibrare_Linii'!U6="VALID")),AL328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M29)+((('Istoric_Nativ'!$E$6:$E$405='Input_Meci'!E29)+('Istoric_Nativ'!$F$6:$F$405='Input_Meci'!E29))&gt;0)*('Istoric_Nativ'!$D$6:$D$405&gt;='Motor_Meciuri'!BN29))&gt;0)*('Istoric_Nativ'!$Q$6:$Q$405&lt;=H328))/AL328)</x:f>
      </x:c>
      <x:c r="R328" s="10" t="str">
        <x:f>IF(OR(NOT(AND(J328="PASS",'Calibrare_Linii'!U6="VALID")),AM328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O29)+((('Istoric_Nativ'!$E$6:$E$405='Input_Meci'!E29)+('Istoric_Nativ'!$F$6:$F$405='Input_Meci'!E29))&gt;0)*('Istoric_Nativ'!$D$6:$D$405&gt;='Motor_Meciuri'!BP29))&gt;0)*('Istoric_Nativ'!$Q$6:$Q$405&lt;=H328))/AM328)</x:f>
      </x:c>
      <x:c r="S328" s="10" t="str">
        <x:f>IF(M328="","",MAX(O328,P328,Q328,R328))</x:f>
      </x:c>
      <x:c r="T328" s="11" t="str">
        <x:f>IF(M328="","",MIN(100,S328*100*'Config_v6'!$B$44+MIN(100,L328/'Config_v6'!$B$13*100)*'Config_v6'!$B$45+(100-'Motor_Meciuri'!BF29)*'Config_v6'!$B$46+'Motor_Meciuri'!BH29*100*'Config_v6'!$B$47))</x:f>
      </x:c>
      <x:c r="U328" s="2" t="str">
        <x:f>IF(T328="","",IF(T328&lt;=20,1,IF(T328&lt;=40,2,IF(T328&lt;=60,3,IF(T328&lt;=80,4,5)))))</x:f>
      </x:c>
      <x:c r="V328" s="2" t="str">
        <x:f>IF(M328="","",MAX(0,'Motor_Meciuri'!BF29-IF(W328="OOS PENDING",'Config_v6'!$B$35,0)-IF(L328&gt;'Config_v6'!$B$12,'Config_v6'!$B$37,IF(L328&gt;'Config_v6'!$B$11,'Config_v6'!$B$36,0))))</x:f>
      </x:c>
      <x:c r="W328" s="2" t="str">
        <x:f>IF(B328="","",IF(I328&lt;&gt;"READY","NOT RELEASED",IF(NOT(AND(J328="PASS",'Calibrare_Linii'!U6="VALID")),"INVALID",IF(NOT(TRUE),"OOS PENDING",IF(S328&lt;=IF(AND('Calibrare_Linii'!S6="VALIDATED",AND('Calibrare_Linii'!H6=C328,ISNUMBER('Calibrare_Linii'!J6),'Calibrare_Linii'!J6&lt;='Input_Meci'!G29)),'Calibrare_Linii'!E6,'Config_v6'!$B$26),"PASS",IF(S328&lt;=IF(AND('Calibrare_Linii'!S6="VALIDATED",AND('Calibrare_Linii'!H6=C328,ISNUMBER('Calibrare_Linii'!J6),'Calibrare_Linii'!J6&lt;='Input_Meci'!G29)),'Calibrare_Linii'!F6,'Config_v6'!$C$26),"PENALTY","WATCH"))))))</x:f>
      </x:c>
      <x:c r="X328" s="2" t="str">
        <x:f>IF(M328="","",IF(AND(AND(J328="PASS",'Calibrare_Linii'!U6="VALID"),'Motor_Meciuri'!K29=12,'Motor_Meciuri'!L29=12,'Motor_Meciuri'!M29="NO",'Motor_Meciuri'!BL29='Motor_Meciuri'!C29,AB328&gt;='Config_v6'!$B$50,AN328&gt;='Config_v6'!$B$51,T328&lt;='Config_v6'!$B$52,L328&lt;='Config_v6'!$B$53,ISNUMBER('Calibrare_Linii'!E6),S328&lt;='Calibrare_Linii'!E6,SUM(AK328:AM328)&gt;0),"CANDIDATE","NO"))</x:f>
      </x:c>
      <x:c r="Y328" s="2" t="str">
        <x:f>IF(B328="","",IF(I328&lt;&gt;"READY","NOT RELEASED",IF(AND(X328="CANDIDATE",V328&gt;='Config_v6'!$B$51,W328="PASS",'Calibrare_Linii'!T6="VALIDATED",AND('Calibrare_Linii'!H6=C328,ISNUMBER('Calibrare_Linii'!J6),'Calibrare_Linii'!J6&lt;='Input_Meci'!G29)),"PASS",IF(X328="CANDIDATE","OOS PENDING","FAIL"))))</x:f>
      </x:c>
      <x:c r="Z328" s="2" t="str">
        <x:f>IF(B328="","",IF(I328&lt;&gt;"READY","",IF(OR(NOT(AND(J328="PASS",'Calibrare_Linii'!U6="VALID")),L328&gt;'Config_v6'!$B$13,W328="WATCH"),5,IF(Y328="PASS",1,MIN(5,MAX('Config_v6'!$B$42,U328)+IF(W328="PENALTY",1,0))))))</x:f>
      </x:c>
      <x:c r="AA328" s="2" t="str">
        <x:f>IF(B328="","",IF(I328&lt;&gt;"READY","NOT RELEASED",IF(Z328=5,"NO BET",IF(OR(AB328&lt;'Config_v6'!$B$16,V328&lt;'Config_v6'!$B$18),"WATCH",IF(Z328=1,"DEFENSIV",IF(Z328=2,"PRUDENT",IF(Z328=3,"MODERAT","RIDICAT")))))))</x:f>
      </x:c>
      <x:c r="AB328" s="10" t="str">
        <x:f>IF(N328="","",MIN(N328,1-S328))</x:f>
      </x:c>
      <x:c r="AC328" s="2" t="str">
        <x:f>IF(AD328&lt;&gt;1,"",COUNTIFS($Z$328:$Z$341,"&lt;"&amp;Z328,$AD$328:$AD$341,1)+COUNTIFS($Z$328:$Z$341,Z328,$AB$328:$AB$341,"&gt;"&amp;AB328,$AD$328:$AD$341,1)+COUNTIFS($Z$328:$Z$341,Z328,$AB$328:$AB$341,AB328,$V$328:$V$341,"&gt;"&amp;V328,$AD$328:$AD$341,1)+COUNTIFS($Z$328:Z328,Z328,$AB$328:AB328,AB328,$V$328:V328,V328,$AD$328:AD328,1))</x:f>
      </x:c>
      <x:c r="AD328" s="2" t="n">
        <x:f>IF(OR(AA328="DEFENSIV",AA328="PRUDENT",AA328="MODERAT",AA328="RIDICAT"),1,0)</x:f>
        <x:v>0</x:v>
      </x:c>
      <x:c r="AE328" s="2" t="str">
        <x:f>IF(AD328&lt;&gt;1,"NO",IF(W328="PASS","YES",IF(W328="OOS PENDING","CONDITIONAL","NO")))</x:f>
        <x:v>NO</x:v>
      </x:c>
      <x:c r="AF328" s="2" t="n">
        <x:f>IF(AND(AD328=1,AC328=1,E328="LIVE"),1,0)</x:f>
        <x:v>0</x:v>
      </x:c>
      <x:c r="AG328" s="2" t="str">
        <x:f>IF(AF328&lt;&gt;1,"",'Dashboard'!P49)</x:f>
      </x:c>
      <x:c r="AH328" s="2" t="str">
        <x:f>IF(B328="","",IF(J328&lt;&gt;"PASS",'Motor_Meciuri'!J29,IF('Calibrare_Linii'!U6&lt;&gt;"VALID","Parametri linie invalizi",IF(L328&gt;'Config_v6'!$B$13,"Dispersie peste limita",IF(W328="WATCH","Failure peste limita",IF(AB328&lt;'Config_v6'!$B$16,"P finala sub prag",IF(V328&lt;'Config_v6'!$B$18,"Confidence sub prag",IF(E328="REPLAY","Exemplu retrospectiv; exclus din Top LIVE",IF(Y328="PASS","DEFENSIV validat",IF(W328="OOS PENDING","Eligibil; calibrare linie in monitorizare","Eligibil"))))))))))</x:f>
      </x:c>
      <x:c r="AI328" s="2" t="str">
        <x:f>IF(B328="","",'Calibrare_Linii'!V6)</x:f>
      </x:c>
      <x:c r="AJ328" s="2" t="str">
        <x:f>IF(B328="","",IF(AND('Calibrare_Linii'!T6="VALIDATED",AND('Calibrare_Linii'!H6=C328,ISNUMBER('Calibrare_Linii'!J6),'Calibrare_Linii'!J6&lt;='Input_Meci'!G29)),"DEFENSIVE VALIDATED",IF(AND('Calibrare_Linii'!S6="VALIDATED",AND('Calibrare_Linii'!H6=C328,ISNUMBER('Calibrare_Linii'!J6),'Calibrare_Linii'!J6&lt;='Input_Meci'!G29)),"TAIL VALIDATED","OOS PENDING")))</x:f>
      </x:c>
      <x:c r="AK328" s="2" t="n">
        <x:f>IF(J328&lt;&gt;"PASS",0,'Motor_Meciuri'!BR29)</x:f>
        <x:v>0</x:v>
      </x:c>
      <x:c r="AL328" s="2" t="n">
        <x:f>IF(J328&lt;&gt;"PASS",0,'Motor_Meciuri'!BS29)</x:f>
        <x:v>0</x:v>
      </x:c>
      <x:c r="AM328" s="2" t="n">
        <x:f>IF(J328&lt;&gt;"PASS",0,'Motor_Meciuri'!BT29)</x:f>
        <x:v>0</x:v>
      </x:c>
      <x:c r="AN328" s="2" t="str">
        <x:f>IF(M328="","",MAX(0,'Motor_Meciuri'!BF29-IF(L328&gt;'Config_v6'!$B$12,'Config_v6'!$B$37,IF(L328&gt;'Config_v6'!$B$11,'Config_v6'!$B$36,0))))</x:f>
      </x:c>
    </x:row>
    <x:row r="329" ht="21" customHeight="1">
      <x:c r="A329" s="2" t="n">
        <x:v>24</x:v>
      </x:c>
      <x:c r="B329" s="2" t="str">
        <x:f>IF('Motor_Meciuri'!A29="","",'Motor_Meciuri'!A29)</x:f>
      </x:c>
      <x:c r="C329" s="2" t="str">
        <x:f>IF(B329="","",'Motor_Meciuri'!B29)</x:f>
      </x:c>
      <x:c r="D329" s="2" t="str">
        <x:f>IF(B329="","",'Motor_Meciuri'!D29)</x:f>
      </x:c>
      <x:c r="E329" s="2" t="str">
        <x:f>IF(B329="","",'Motor_Meciuri'!E29)</x:f>
      </x:c>
      <x:c r="F329" s="2" t="str">
        <x:v>O4,5</x:v>
      </x:c>
      <x:c r="G329" s="2" t="str">
        <x:v>OVER</x:v>
      </x:c>
      <x:c r="H329" s="2" t="n">
        <x:v>4</x:v>
      </x:c>
      <x:c r="I329" s="2" t="str">
        <x:f>IF(B329="","",'Motor_Meciuri'!H29)</x:f>
      </x:c>
      <x:c r="J329" s="2" t="str">
        <x:f>IF(B329="","",'Motor_Meciuri'!I29)</x:f>
      </x:c>
      <x:c r="K329" s="11" t="str">
        <x:f>IF(J329&lt;&gt;"PASS","",'Motor_Meciuri'!BD29)</x:f>
      </x:c>
      <x:c r="L329" s="11" t="str">
        <x:f>IF(J329&lt;&gt;"PASS","",'Motor_Meciuri'!AU29)</x:f>
      </x:c>
      <x:c r="M329" s="10" t="str">
        <x:f>IF(NOT(AND(J329="PASS",'Calibrare_Linii'!U7="VALID")),"",1-'Distributie'!AB29)</x:f>
      </x:c>
      <x:c r="N329" s="10" t="str">
        <x:f>IF(M329="","",MAX(0.01,MIN(0.99,0.5+(M329-0.5)*'Motor_Meciuri'!BG29*'Calibrare_Linii'!D7)))</x:f>
      </x:c>
      <x:c r="O329" s="10" t="str">
        <x:f>IF(M329="","",1-M329)</x:f>
      </x:c>
      <x:c r="P329" s="10" t="str">
        <x:f>IF(OR(NOT(AND(J329="PASS",'Calibrare_Linii'!U7="VALID")),AK329=0),""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*('Istoric_Nativ'!$Q$6:$Q$405&lt;=H329))/AK329)</x:f>
      </x:c>
      <x:c r="Q329" s="10" t="str">
        <x:f>IF(OR(NOT(AND(J329="PASS",'Calibrare_Linii'!U7="VALID")),AL329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M29)+((('Istoric_Nativ'!$E$6:$E$405='Input_Meci'!E29)+('Istoric_Nativ'!$F$6:$F$405='Input_Meci'!E29))&gt;0)*('Istoric_Nativ'!$D$6:$D$405&gt;='Motor_Meciuri'!BN29))&gt;0)*('Istoric_Nativ'!$Q$6:$Q$405&lt;=H329))/AL329)</x:f>
      </x:c>
      <x:c r="R329" s="10" t="str">
        <x:f>IF(OR(NOT(AND(J329="PASS",'Calibrare_Linii'!U7="VALID")),AM329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O29)+((('Istoric_Nativ'!$E$6:$E$405='Input_Meci'!E29)+('Istoric_Nativ'!$F$6:$F$405='Input_Meci'!E29))&gt;0)*('Istoric_Nativ'!$D$6:$D$405&gt;='Motor_Meciuri'!BP29))&gt;0)*('Istoric_Nativ'!$Q$6:$Q$405&lt;=H329))/AM329)</x:f>
      </x:c>
      <x:c r="S329" s="10" t="str">
        <x:f>IF(M329="","",MAX(O329,P329,Q329,R329))</x:f>
      </x:c>
      <x:c r="T329" s="11" t="str">
        <x:f>IF(M329="","",MIN(100,S329*100*'Config_v6'!$B$44+MIN(100,L329/'Config_v6'!$B$13*100)*'Config_v6'!$B$45+(100-'Motor_Meciuri'!BF29)*'Config_v6'!$B$46+'Motor_Meciuri'!BH29*100*'Config_v6'!$B$47))</x:f>
      </x:c>
      <x:c r="U329" s="2" t="str">
        <x:f>IF(T329="","",IF(T329&lt;=20,1,IF(T329&lt;=40,2,IF(T329&lt;=60,3,IF(T329&lt;=80,4,5)))))</x:f>
      </x:c>
      <x:c r="V329" s="2" t="str">
        <x:f>IF(M329="","",MAX(0,'Motor_Meciuri'!BF29-IF(W329="OOS PENDING",'Config_v6'!$B$35,0)-IF(L329&gt;'Config_v6'!$B$12,'Config_v6'!$B$37,IF(L329&gt;'Config_v6'!$B$11,'Config_v6'!$B$36,0))))</x:f>
      </x:c>
      <x:c r="W329" s="2" t="str">
        <x:f>IF(B329="","",IF(I329&lt;&gt;"READY","NOT RELEASED",IF(NOT(AND(J329="PASS",'Calibrare_Linii'!U7="VALID")),"INVALID",IF(NOT(AND('Calibrare_Linii'!S7="VALIDATED",AND('Calibrare_Linii'!H7=C329,ISNUMBER('Calibrare_Linii'!J7),'Calibrare_Linii'!J7&lt;='Input_Meci'!G29))),"OOS PENDING",IF(S329&lt;='Calibrare_Linii'!E7,"PASS",IF(S329&lt;='Calibrare_Linii'!F7,"PENALTY","WATCH"))))))</x:f>
      </x:c>
      <x:c r="X329" s="2" t="str">
        <x:f>IF(M329="","",IF(AND(AND(J329="PASS",'Calibrare_Linii'!U7="VALID"),'Motor_Meciuri'!K29=12,'Motor_Meciuri'!L29=12,'Motor_Meciuri'!M29="NO",'Motor_Meciuri'!BL29='Motor_Meciuri'!C29,AB329&gt;='Config_v6'!$B$50,AN329&gt;='Config_v6'!$B$51,T329&lt;='Config_v6'!$B$52,L329&lt;='Config_v6'!$B$53,ISNUMBER('Calibrare_Linii'!E7),S329&lt;='Calibrare_Linii'!E7,SUM(AK329:AM329)&gt;0),"CANDIDATE","NO"))</x:f>
      </x:c>
      <x:c r="Y329" s="2" t="str">
        <x:f>IF(B329="","",IF(I329&lt;&gt;"READY","NOT RELEASED",IF(AND(X329="CANDIDATE",V329&gt;='Config_v6'!$B$51,W329="PASS",'Calibrare_Linii'!T7="VALIDATED",AND('Calibrare_Linii'!H7=C329,ISNUMBER('Calibrare_Linii'!J7),'Calibrare_Linii'!J7&lt;='Input_Meci'!G29)),"PASS",IF(X329="CANDIDATE","OOS PENDING","FAIL"))))</x:f>
      </x:c>
      <x:c r="Z329" s="2" t="str">
        <x:f>IF(B329="","",IF(I329&lt;&gt;"READY","",IF(OR(NOT(AND(J329="PASS",'Calibrare_Linii'!U7="VALID")),L329&gt;'Config_v6'!$B$13,W329="WATCH"),5,IF(Y329="PASS",1,MIN(5,MAX('Config_v6'!$B$42,U329)+IF(W329="PENALTY",1,0))))))</x:f>
      </x:c>
      <x:c r="AA329" s="2" t="str">
        <x:f>IF(B329="","",IF(I329&lt;&gt;"READY","NOT RELEASED",IF(Z329=5,"NO BET",IF(OR(AB329&lt;'Config_v6'!$B$16,V329&lt;'Config_v6'!$B$18),"WATCH",IF(Z329=1,"DEFENSIV",IF(Z329=2,"PRUDENT",IF(Z329=3,"MODERAT","RIDICAT")))))))</x:f>
      </x:c>
      <x:c r="AB329" s="10" t="str">
        <x:f>IF(N329="","",MIN(N329,1-S329))</x:f>
      </x:c>
      <x:c r="AC329" s="2" t="str">
        <x:f>IF(AD329&lt;&gt;1,"",COUNTIFS($Z$328:$Z$341,"&lt;"&amp;Z329,$AD$328:$AD$341,1)+COUNTIFS($Z$328:$Z$341,Z329,$AB$328:$AB$341,"&gt;"&amp;AB329,$AD$328:$AD$341,1)+COUNTIFS($Z$328:$Z$341,Z329,$AB$328:$AB$341,AB329,$V$328:$V$341,"&gt;"&amp;V329,$AD$328:$AD$341,1)+COUNTIFS($Z$328:Z329,Z329,$AB$328:AB329,AB329,$V$328:V329,V329,$AD$328:AD329,1))</x:f>
      </x:c>
      <x:c r="AD329" s="2" t="n">
        <x:f>IF(OR(AA329="DEFENSIV",AA329="PRUDENT",AA329="MODERAT",AA329="RIDICAT"),1,0)</x:f>
        <x:v>0</x:v>
      </x:c>
      <x:c r="AE329" s="2" t="str">
        <x:f>IF(AD329&lt;&gt;1,"NO",IF(W329="PASS","YES",IF(W329="OOS PENDING","CONDITIONAL","NO")))</x:f>
        <x:v>NO</x:v>
      </x:c>
      <x:c r="AF329" s="2" t="n">
        <x:f>IF(AND(AD329=1,AC329=1,E329="LIVE"),1,0)</x:f>
        <x:v>0</x:v>
      </x:c>
      <x:c r="AG329" s="2" t="str">
        <x:f>IF(AF329&lt;&gt;1,"",'Dashboard'!P49)</x:f>
      </x:c>
      <x:c r="AH329" s="2" t="str">
        <x:f>IF(B329="","",IF(J329&lt;&gt;"PASS",'Motor_Meciuri'!J29,IF('Calibrare_Linii'!U7&lt;&gt;"VALID","Parametri linie invalizi",IF(L329&gt;'Config_v6'!$B$13,"Dispersie peste limita",IF(W329="WATCH","Failure peste limita",IF(AB329&lt;'Config_v6'!$B$16,"P finala sub prag",IF(V329&lt;'Config_v6'!$B$18,"Confidence sub prag",IF(E329="REPLAY","Exemplu retrospectiv; exclus din Top LIVE",IF(Y329="PASS","DEFENSIV validat",IF(W329="OOS PENDING","Eligibil; calibrare linie in monitorizare","Eligibil"))))))))))</x:f>
      </x:c>
      <x:c r="AI329" s="2" t="str">
        <x:f>IF(B329="","",'Calibrare_Linii'!V7)</x:f>
      </x:c>
      <x:c r="AJ329" s="2" t="str">
        <x:f>IF(B329="","",IF(AND('Calibrare_Linii'!T7="VALIDATED",AND('Calibrare_Linii'!H7=C329,ISNUMBER('Calibrare_Linii'!J7),'Calibrare_Linii'!J7&lt;='Input_Meci'!G29)),"DEFENSIVE VALIDATED",IF(AND('Calibrare_Linii'!S7="VALIDATED",AND('Calibrare_Linii'!H7=C329,ISNUMBER('Calibrare_Linii'!J7),'Calibrare_Linii'!J7&lt;='Input_Meci'!G29)),"TAIL VALIDATED","OOS PENDING")))</x:f>
      </x:c>
      <x:c r="AK329" s="2" t="n">
        <x:f>IF(J329&lt;&gt;"PASS",0,'Motor_Meciuri'!BR29)</x:f>
        <x:v>0</x:v>
      </x:c>
      <x:c r="AL329" s="2" t="n">
        <x:f>IF(J329&lt;&gt;"PASS",0,'Motor_Meciuri'!BS29)</x:f>
        <x:v>0</x:v>
      </x:c>
      <x:c r="AM329" s="2" t="n">
        <x:f>IF(J329&lt;&gt;"PASS",0,'Motor_Meciuri'!BT29)</x:f>
        <x:v>0</x:v>
      </x:c>
      <x:c r="AN329" s="2" t="str">
        <x:f>IF(M329="","",MAX(0,'Motor_Meciuri'!BF29-IF(L329&gt;'Config_v6'!$B$12,'Config_v6'!$B$37,IF(L329&gt;'Config_v6'!$B$11,'Config_v6'!$B$36,0))))</x:f>
      </x:c>
    </x:row>
    <x:row r="330" ht="21" customHeight="1">
      <x:c r="A330" s="2" t="n">
        <x:v>24</x:v>
      </x:c>
      <x:c r="B330" s="2" t="str">
        <x:f>IF('Motor_Meciuri'!A29="","",'Motor_Meciuri'!A29)</x:f>
      </x:c>
      <x:c r="C330" s="2" t="str">
        <x:f>IF(B330="","",'Motor_Meciuri'!B29)</x:f>
      </x:c>
      <x:c r="D330" s="2" t="str">
        <x:f>IF(B330="","",'Motor_Meciuri'!D29)</x:f>
      </x:c>
      <x:c r="E330" s="2" t="str">
        <x:f>IF(B330="","",'Motor_Meciuri'!E29)</x:f>
      </x:c>
      <x:c r="F330" s="2" t="str">
        <x:v>O5,5</x:v>
      </x:c>
      <x:c r="G330" s="2" t="str">
        <x:v>OVER</x:v>
      </x:c>
      <x:c r="H330" s="2" t="n">
        <x:v>5</x:v>
      </x:c>
      <x:c r="I330" s="2" t="str">
        <x:f>IF(B330="","",'Motor_Meciuri'!H29)</x:f>
      </x:c>
      <x:c r="J330" s="2" t="str">
        <x:f>IF(B330="","",'Motor_Meciuri'!I29)</x:f>
      </x:c>
      <x:c r="K330" s="11" t="str">
        <x:f>IF(J330&lt;&gt;"PASS","",'Motor_Meciuri'!BD29)</x:f>
      </x:c>
      <x:c r="L330" s="11" t="str">
        <x:f>IF(J330&lt;&gt;"PASS","",'Motor_Meciuri'!AU29)</x:f>
      </x:c>
      <x:c r="M330" s="10" t="str">
        <x:f>IF(NOT(AND(J330="PASS",'Calibrare_Linii'!U8="VALID")),"",1-'Distributie'!AC29)</x:f>
      </x:c>
      <x:c r="N330" s="10" t="str">
        <x:f>IF(M330="","",MAX(0.01,MIN(0.99,0.5+(M330-0.5)*'Motor_Meciuri'!BG29*'Calibrare_Linii'!D8)))</x:f>
      </x:c>
      <x:c r="O330" s="10" t="str">
        <x:f>IF(M330="","",1-M330)</x:f>
      </x:c>
      <x:c r="P330" s="10" t="str">
        <x:f>IF(OR(NOT(AND(J330="PASS",'Calibrare_Linii'!U8="VALID")),AK330=0),""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*('Istoric_Nativ'!$Q$6:$Q$405&lt;=H330))/AK330)</x:f>
      </x:c>
      <x:c r="Q330" s="10" t="str">
        <x:f>IF(OR(NOT(AND(J330="PASS",'Calibrare_Linii'!U8="VALID")),AL330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M29)+((('Istoric_Nativ'!$E$6:$E$405='Input_Meci'!E29)+('Istoric_Nativ'!$F$6:$F$405='Input_Meci'!E29))&gt;0)*('Istoric_Nativ'!$D$6:$D$405&gt;='Motor_Meciuri'!BN29))&gt;0)*('Istoric_Nativ'!$Q$6:$Q$405&lt;=H330))/AL330)</x:f>
      </x:c>
      <x:c r="R330" s="10" t="str">
        <x:f>IF(OR(NOT(AND(J330="PASS",'Calibrare_Linii'!U8="VALID")),AM330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O29)+((('Istoric_Nativ'!$E$6:$E$405='Input_Meci'!E29)+('Istoric_Nativ'!$F$6:$F$405='Input_Meci'!E29))&gt;0)*('Istoric_Nativ'!$D$6:$D$405&gt;='Motor_Meciuri'!BP29))&gt;0)*('Istoric_Nativ'!$Q$6:$Q$405&lt;=H330))/AM330)</x:f>
      </x:c>
      <x:c r="S330" s="10" t="str">
        <x:f>IF(M330="","",MAX(O330,P330,Q330,R330))</x:f>
      </x:c>
      <x:c r="T330" s="11" t="str">
        <x:f>IF(M330="","",MIN(100,S330*100*'Config_v6'!$B$44+MIN(100,L330/'Config_v6'!$B$13*100)*'Config_v6'!$B$45+(100-'Motor_Meciuri'!BF29)*'Config_v6'!$B$46+'Motor_Meciuri'!BH29*100*'Config_v6'!$B$47))</x:f>
      </x:c>
      <x:c r="U330" s="2" t="str">
        <x:f>IF(T330="","",IF(T330&lt;=20,1,IF(T330&lt;=40,2,IF(T330&lt;=60,3,IF(T330&lt;=80,4,5)))))</x:f>
      </x:c>
      <x:c r="V330" s="2" t="str">
        <x:f>IF(M330="","",MAX(0,'Motor_Meciuri'!BF29-IF(W330="OOS PENDING",'Config_v6'!$B$35,0)-IF(L330&gt;'Config_v6'!$B$12,'Config_v6'!$B$37,IF(L330&gt;'Config_v6'!$B$11,'Config_v6'!$B$36,0))))</x:f>
      </x:c>
      <x:c r="W330" s="2" t="str">
        <x:f>IF(B330="","",IF(I330&lt;&gt;"READY","NOT RELEASED",IF(NOT(AND(J330="PASS",'Calibrare_Linii'!U8="VALID")),"INVALID",IF(NOT(AND('Calibrare_Linii'!S8="VALIDATED",AND('Calibrare_Linii'!H8=C330,ISNUMBER('Calibrare_Linii'!J8),'Calibrare_Linii'!J8&lt;='Input_Meci'!G29))),"OOS PENDING",IF(S330&lt;='Calibrare_Linii'!E8,"PASS",IF(S330&lt;='Calibrare_Linii'!F8,"PENALTY","WATCH"))))))</x:f>
      </x:c>
      <x:c r="X330" s="2" t="str">
        <x:f>IF(M330="","",IF(AND(AND(J330="PASS",'Calibrare_Linii'!U8="VALID"),'Motor_Meciuri'!K29=12,'Motor_Meciuri'!L29=12,'Motor_Meciuri'!M29="NO",'Motor_Meciuri'!BL29='Motor_Meciuri'!C29,AB330&gt;='Config_v6'!$B$50,AN330&gt;='Config_v6'!$B$51,T330&lt;='Config_v6'!$B$52,L330&lt;='Config_v6'!$B$53,ISNUMBER('Calibrare_Linii'!E8),S330&lt;='Calibrare_Linii'!E8,SUM(AK330:AM330)&gt;0),"CANDIDATE","NO"))</x:f>
      </x:c>
      <x:c r="Y330" s="2" t="str">
        <x:f>IF(B330="","",IF(I330&lt;&gt;"READY","NOT RELEASED",IF(AND(X330="CANDIDATE",V330&gt;='Config_v6'!$B$51,W330="PASS",'Calibrare_Linii'!T8="VALIDATED",AND('Calibrare_Linii'!H8=C330,ISNUMBER('Calibrare_Linii'!J8),'Calibrare_Linii'!J8&lt;='Input_Meci'!G29)),"PASS",IF(X330="CANDIDATE","OOS PENDING","FAIL"))))</x:f>
      </x:c>
      <x:c r="Z330" s="2" t="str">
        <x:f>IF(B330="","",IF(I330&lt;&gt;"READY","",IF(OR(NOT(AND(J330="PASS",'Calibrare_Linii'!U8="VALID")),L330&gt;'Config_v6'!$B$13,W330="WATCH"),5,IF(Y330="PASS",1,MIN(5,MAX('Config_v6'!$B$42,U330)+IF(W330="PENALTY",1,0))))))</x:f>
      </x:c>
      <x:c r="AA330" s="2" t="str">
        <x:f>IF(B330="","",IF(I330&lt;&gt;"READY","NOT RELEASED",IF(Z330=5,"NO BET",IF(OR(AB330&lt;'Config_v6'!$B$16,V330&lt;'Config_v6'!$B$18),"WATCH",IF(Z330=1,"DEFENSIV",IF(Z330=2,"PRUDENT",IF(Z330=3,"MODERAT","RIDICAT")))))))</x:f>
      </x:c>
      <x:c r="AB330" s="10" t="str">
        <x:f>IF(N330="","",MIN(N330,1-S330))</x:f>
      </x:c>
      <x:c r="AC330" s="2" t="str">
        <x:f>IF(AD330&lt;&gt;1,"",COUNTIFS($Z$328:$Z$341,"&lt;"&amp;Z330,$AD$328:$AD$341,1)+COUNTIFS($Z$328:$Z$341,Z330,$AB$328:$AB$341,"&gt;"&amp;AB330,$AD$328:$AD$341,1)+COUNTIFS($Z$328:$Z$341,Z330,$AB$328:$AB$341,AB330,$V$328:$V$341,"&gt;"&amp;V330,$AD$328:$AD$341,1)+COUNTIFS($Z$328:Z330,Z330,$AB$328:AB330,AB330,$V$328:V330,V330,$AD$328:AD330,1))</x:f>
      </x:c>
      <x:c r="AD330" s="2" t="n">
        <x:f>IF(OR(AA330="DEFENSIV",AA330="PRUDENT",AA330="MODERAT",AA330="RIDICAT"),1,0)</x:f>
        <x:v>0</x:v>
      </x:c>
      <x:c r="AE330" s="2" t="str">
        <x:f>IF(AD330&lt;&gt;1,"NO",IF(W330="PASS","YES",IF(W330="OOS PENDING","CONDITIONAL","NO")))</x:f>
        <x:v>NO</x:v>
      </x:c>
      <x:c r="AF330" s="2" t="n">
        <x:f>IF(AND(AD330=1,AC330=1,E330="LIVE"),1,0)</x:f>
        <x:v>0</x:v>
      </x:c>
      <x:c r="AG330" s="2" t="str">
        <x:f>IF(AF330&lt;&gt;1,"",'Dashboard'!P49)</x:f>
      </x:c>
      <x:c r="AH330" s="2" t="str">
        <x:f>IF(B330="","",IF(J330&lt;&gt;"PASS",'Motor_Meciuri'!J29,IF('Calibrare_Linii'!U8&lt;&gt;"VALID","Parametri linie invalizi",IF(L330&gt;'Config_v6'!$B$13,"Dispersie peste limita",IF(W330="WATCH","Failure peste limita",IF(AB330&lt;'Config_v6'!$B$16,"P finala sub prag",IF(V330&lt;'Config_v6'!$B$18,"Confidence sub prag",IF(E330="REPLAY","Exemplu retrospectiv; exclus din Top LIVE",IF(Y330="PASS","DEFENSIV validat",IF(W330="OOS PENDING","Eligibil; calibrare linie in monitorizare","Eligibil"))))))))))</x:f>
      </x:c>
      <x:c r="AI330" s="2" t="str">
        <x:f>IF(B330="","",'Calibrare_Linii'!V8)</x:f>
      </x:c>
      <x:c r="AJ330" s="2" t="str">
        <x:f>IF(B330="","",IF(AND('Calibrare_Linii'!T8="VALIDATED",AND('Calibrare_Linii'!H8=C330,ISNUMBER('Calibrare_Linii'!J8),'Calibrare_Linii'!J8&lt;='Input_Meci'!G29)),"DEFENSIVE VALIDATED",IF(AND('Calibrare_Linii'!S8="VALIDATED",AND('Calibrare_Linii'!H8=C330,ISNUMBER('Calibrare_Linii'!J8),'Calibrare_Linii'!J8&lt;='Input_Meci'!G29)),"TAIL VALIDATED","OOS PENDING")))</x:f>
      </x:c>
      <x:c r="AK330" s="2" t="n">
        <x:f>IF(J330&lt;&gt;"PASS",0,'Motor_Meciuri'!BR29)</x:f>
        <x:v>0</x:v>
      </x:c>
      <x:c r="AL330" s="2" t="n">
        <x:f>IF(J330&lt;&gt;"PASS",0,'Motor_Meciuri'!BS29)</x:f>
        <x:v>0</x:v>
      </x:c>
      <x:c r="AM330" s="2" t="n">
        <x:f>IF(J330&lt;&gt;"PASS",0,'Motor_Meciuri'!BT29)</x:f>
        <x:v>0</x:v>
      </x:c>
      <x:c r="AN330" s="2" t="str">
        <x:f>IF(M330="","",MAX(0,'Motor_Meciuri'!BF29-IF(L330&gt;'Config_v6'!$B$12,'Config_v6'!$B$37,IF(L330&gt;'Config_v6'!$B$11,'Config_v6'!$B$36,0))))</x:f>
      </x:c>
    </x:row>
    <x:row r="331" ht="21" customHeight="1">
      <x:c r="A331" s="2" t="n">
        <x:v>24</x:v>
      </x:c>
      <x:c r="B331" s="2" t="str">
        <x:f>IF('Motor_Meciuri'!A29="","",'Motor_Meciuri'!A29)</x:f>
      </x:c>
      <x:c r="C331" s="2" t="str">
        <x:f>IF(B331="","",'Motor_Meciuri'!B29)</x:f>
      </x:c>
      <x:c r="D331" s="2" t="str">
        <x:f>IF(B331="","",'Motor_Meciuri'!D29)</x:f>
      </x:c>
      <x:c r="E331" s="2" t="str">
        <x:f>IF(B331="","",'Motor_Meciuri'!E29)</x:f>
      </x:c>
      <x:c r="F331" s="2" t="str">
        <x:v>O6,5</x:v>
      </x:c>
      <x:c r="G331" s="2" t="str">
        <x:v>OVER</x:v>
      </x:c>
      <x:c r="H331" s="2" t="n">
        <x:v>6</x:v>
      </x:c>
      <x:c r="I331" s="2" t="str">
        <x:f>IF(B331="","",'Motor_Meciuri'!H29)</x:f>
      </x:c>
      <x:c r="J331" s="2" t="str">
        <x:f>IF(B331="","",'Motor_Meciuri'!I29)</x:f>
      </x:c>
      <x:c r="K331" s="11" t="str">
        <x:f>IF(J331&lt;&gt;"PASS","",'Motor_Meciuri'!BD29)</x:f>
      </x:c>
      <x:c r="L331" s="11" t="str">
        <x:f>IF(J331&lt;&gt;"PASS","",'Motor_Meciuri'!AU29)</x:f>
      </x:c>
      <x:c r="M331" s="10" t="str">
        <x:f>IF(NOT(AND(J331="PASS",'Calibrare_Linii'!U9="VALID")),"",1-'Distributie'!AD29)</x:f>
      </x:c>
      <x:c r="N331" s="10" t="str">
        <x:f>IF(M331="","",MAX(0.01,MIN(0.99,0.5+(M331-0.5)*'Motor_Meciuri'!BG29*'Calibrare_Linii'!D9)))</x:f>
      </x:c>
      <x:c r="O331" s="10" t="str">
        <x:f>IF(M331="","",1-M331)</x:f>
      </x:c>
      <x:c r="P331" s="10" t="str">
        <x:f>IF(OR(NOT(AND(J331="PASS",'Calibrare_Linii'!U9="VALID")),AK331=0),""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*('Istoric_Nativ'!$Q$6:$Q$405&lt;=H331))/AK331)</x:f>
      </x:c>
      <x:c r="Q331" s="10" t="str">
        <x:f>IF(OR(NOT(AND(J331="PASS",'Calibrare_Linii'!U9="VALID")),AL331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M29)+((('Istoric_Nativ'!$E$6:$E$405='Input_Meci'!E29)+('Istoric_Nativ'!$F$6:$F$405='Input_Meci'!E29))&gt;0)*('Istoric_Nativ'!$D$6:$D$405&gt;='Motor_Meciuri'!BN29))&gt;0)*('Istoric_Nativ'!$Q$6:$Q$405&lt;=H331))/AL331)</x:f>
      </x:c>
      <x:c r="R331" s="10" t="str">
        <x:f>IF(OR(NOT(AND(J331="PASS",'Calibrare_Linii'!U9="VALID")),AM331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O29)+((('Istoric_Nativ'!$E$6:$E$405='Input_Meci'!E29)+('Istoric_Nativ'!$F$6:$F$405='Input_Meci'!E29))&gt;0)*('Istoric_Nativ'!$D$6:$D$405&gt;='Motor_Meciuri'!BP29))&gt;0)*('Istoric_Nativ'!$Q$6:$Q$405&lt;=H331))/AM331)</x:f>
      </x:c>
      <x:c r="S331" s="10" t="str">
        <x:f>IF(M331="","",MAX(O331,P331,Q331,R331))</x:f>
      </x:c>
      <x:c r="T331" s="11" t="str">
        <x:f>IF(M331="","",MIN(100,S331*100*'Config_v6'!$B$44+MIN(100,L331/'Config_v6'!$B$13*100)*'Config_v6'!$B$45+(100-'Motor_Meciuri'!BF29)*'Config_v6'!$B$46+'Motor_Meciuri'!BH29*100*'Config_v6'!$B$47))</x:f>
      </x:c>
      <x:c r="U331" s="2" t="str">
        <x:f>IF(T331="","",IF(T331&lt;=20,1,IF(T331&lt;=40,2,IF(T331&lt;=60,3,IF(T331&lt;=80,4,5)))))</x:f>
      </x:c>
      <x:c r="V331" s="2" t="str">
        <x:f>IF(M331="","",MAX(0,'Motor_Meciuri'!BF29-IF(W331="OOS PENDING",'Config_v6'!$B$35,0)-IF(L331&gt;'Config_v6'!$B$12,'Config_v6'!$B$37,IF(L331&gt;'Config_v6'!$B$11,'Config_v6'!$B$36,0))))</x:f>
      </x:c>
      <x:c r="W331" s="2" t="str">
        <x:f>IF(B331="","",IF(I331&lt;&gt;"READY","NOT RELEASED",IF(NOT(AND(J331="PASS",'Calibrare_Linii'!U9="VALID")),"INVALID",IF(NOT(AND('Calibrare_Linii'!S9="VALIDATED",AND('Calibrare_Linii'!H9=C331,ISNUMBER('Calibrare_Linii'!J9),'Calibrare_Linii'!J9&lt;='Input_Meci'!G29))),"OOS PENDING",IF(S331&lt;='Calibrare_Linii'!E9,"PASS",IF(S331&lt;='Calibrare_Linii'!F9,"PENALTY","WATCH"))))))</x:f>
      </x:c>
      <x:c r="X331" s="2" t="str">
        <x:f>IF(M331="","",IF(AND(AND(J331="PASS",'Calibrare_Linii'!U9="VALID"),'Motor_Meciuri'!K29=12,'Motor_Meciuri'!L29=12,'Motor_Meciuri'!M29="NO",'Motor_Meciuri'!BL29='Motor_Meciuri'!C29,AB331&gt;='Config_v6'!$B$50,AN331&gt;='Config_v6'!$B$51,T331&lt;='Config_v6'!$B$52,L331&lt;='Config_v6'!$B$53,ISNUMBER('Calibrare_Linii'!E9),S331&lt;='Calibrare_Linii'!E9,SUM(AK331:AM331)&gt;0),"CANDIDATE","NO"))</x:f>
      </x:c>
      <x:c r="Y331" s="2" t="str">
        <x:f>IF(B331="","",IF(I331&lt;&gt;"READY","NOT RELEASED",IF(AND(X331="CANDIDATE",V331&gt;='Config_v6'!$B$51,W331="PASS",'Calibrare_Linii'!T9="VALIDATED",AND('Calibrare_Linii'!H9=C331,ISNUMBER('Calibrare_Linii'!J9),'Calibrare_Linii'!J9&lt;='Input_Meci'!G29)),"PASS",IF(X331="CANDIDATE","OOS PENDING","FAIL"))))</x:f>
      </x:c>
      <x:c r="Z331" s="2" t="str">
        <x:f>IF(B331="","",IF(I331&lt;&gt;"READY","",IF(OR(NOT(AND(J331="PASS",'Calibrare_Linii'!U9="VALID")),L331&gt;'Config_v6'!$B$13,W331="WATCH"),5,IF(Y331="PASS",1,MIN(5,MAX('Config_v6'!$B$42,U331)+IF(W331="PENALTY",1,0))))))</x:f>
      </x:c>
      <x:c r="AA331" s="2" t="str">
        <x:f>IF(B331="","",IF(I331&lt;&gt;"READY","NOT RELEASED",IF(Z331=5,"NO BET",IF(OR(AB331&lt;'Config_v6'!$B$16,V331&lt;'Config_v6'!$B$18),"WATCH",IF(Z331=1,"DEFENSIV",IF(Z331=2,"PRUDENT",IF(Z331=3,"MODERAT","RIDICAT")))))))</x:f>
      </x:c>
      <x:c r="AB331" s="10" t="str">
        <x:f>IF(N331="","",MIN(N331,1-S331))</x:f>
      </x:c>
      <x:c r="AC331" s="2" t="str">
        <x:f>IF(AD331&lt;&gt;1,"",COUNTIFS($Z$328:$Z$341,"&lt;"&amp;Z331,$AD$328:$AD$341,1)+COUNTIFS($Z$328:$Z$341,Z331,$AB$328:$AB$341,"&gt;"&amp;AB331,$AD$328:$AD$341,1)+COUNTIFS($Z$328:$Z$341,Z331,$AB$328:$AB$341,AB331,$V$328:$V$341,"&gt;"&amp;V331,$AD$328:$AD$341,1)+COUNTIFS($Z$328:Z331,Z331,$AB$328:AB331,AB331,$V$328:V331,V331,$AD$328:AD331,1))</x:f>
      </x:c>
      <x:c r="AD331" s="2" t="n">
        <x:f>IF(OR(AA331="DEFENSIV",AA331="PRUDENT",AA331="MODERAT",AA331="RIDICAT"),1,0)</x:f>
        <x:v>0</x:v>
      </x:c>
      <x:c r="AE331" s="2" t="str">
        <x:f>IF(AD331&lt;&gt;1,"NO",IF(W331="PASS","YES",IF(W331="OOS PENDING","CONDITIONAL","NO")))</x:f>
        <x:v>NO</x:v>
      </x:c>
      <x:c r="AF331" s="2" t="n">
        <x:f>IF(AND(AD331=1,AC331=1,E331="LIVE"),1,0)</x:f>
        <x:v>0</x:v>
      </x:c>
      <x:c r="AG331" s="2" t="str">
        <x:f>IF(AF331&lt;&gt;1,"",'Dashboard'!P49)</x:f>
      </x:c>
      <x:c r="AH331" s="2" t="str">
        <x:f>IF(B331="","",IF(J331&lt;&gt;"PASS",'Motor_Meciuri'!J29,IF('Calibrare_Linii'!U9&lt;&gt;"VALID","Parametri linie invalizi",IF(L331&gt;'Config_v6'!$B$13,"Dispersie peste limita",IF(W331="WATCH","Failure peste limita",IF(AB331&lt;'Config_v6'!$B$16,"P finala sub prag",IF(V331&lt;'Config_v6'!$B$18,"Confidence sub prag",IF(E331="REPLAY","Exemplu retrospectiv; exclus din Top LIVE",IF(Y331="PASS","DEFENSIV validat",IF(W331="OOS PENDING","Eligibil; calibrare linie in monitorizare","Eligibil"))))))))))</x:f>
      </x:c>
      <x:c r="AI331" s="2" t="str">
        <x:f>IF(B331="","",'Calibrare_Linii'!V9)</x:f>
      </x:c>
      <x:c r="AJ331" s="2" t="str">
        <x:f>IF(B331="","",IF(AND('Calibrare_Linii'!T9="VALIDATED",AND('Calibrare_Linii'!H9=C331,ISNUMBER('Calibrare_Linii'!J9),'Calibrare_Linii'!J9&lt;='Input_Meci'!G29)),"DEFENSIVE VALIDATED",IF(AND('Calibrare_Linii'!S9="VALIDATED",AND('Calibrare_Linii'!H9=C331,ISNUMBER('Calibrare_Linii'!J9),'Calibrare_Linii'!J9&lt;='Input_Meci'!G29)),"TAIL VALIDATED","OOS PENDING")))</x:f>
      </x:c>
      <x:c r="AK331" s="2" t="n">
        <x:f>IF(J331&lt;&gt;"PASS",0,'Motor_Meciuri'!BR29)</x:f>
        <x:v>0</x:v>
      </x:c>
      <x:c r="AL331" s="2" t="n">
        <x:f>IF(J331&lt;&gt;"PASS",0,'Motor_Meciuri'!BS29)</x:f>
        <x:v>0</x:v>
      </x:c>
      <x:c r="AM331" s="2" t="n">
        <x:f>IF(J331&lt;&gt;"PASS",0,'Motor_Meciuri'!BT29)</x:f>
        <x:v>0</x:v>
      </x:c>
      <x:c r="AN331" s="2" t="str">
        <x:f>IF(M331="","",MAX(0,'Motor_Meciuri'!BF29-IF(L331&gt;'Config_v6'!$B$12,'Config_v6'!$B$37,IF(L331&gt;'Config_v6'!$B$11,'Config_v6'!$B$36,0))))</x:f>
      </x:c>
    </x:row>
    <x:row r="332" ht="21" customHeight="1">
      <x:c r="A332" s="2" t="n">
        <x:v>24</x:v>
      </x:c>
      <x:c r="B332" s="2" t="str">
        <x:f>IF('Motor_Meciuri'!A29="","",'Motor_Meciuri'!A29)</x:f>
      </x:c>
      <x:c r="C332" s="2" t="str">
        <x:f>IF(B332="","",'Motor_Meciuri'!B29)</x:f>
      </x:c>
      <x:c r="D332" s="2" t="str">
        <x:f>IF(B332="","",'Motor_Meciuri'!D29)</x:f>
      </x:c>
      <x:c r="E332" s="2" t="str">
        <x:f>IF(B332="","",'Motor_Meciuri'!E29)</x:f>
      </x:c>
      <x:c r="F332" s="2" t="str">
        <x:v>O7,5</x:v>
      </x:c>
      <x:c r="G332" s="2" t="str">
        <x:v>OVER</x:v>
      </x:c>
      <x:c r="H332" s="2" t="n">
        <x:v>7</x:v>
      </x:c>
      <x:c r="I332" s="2" t="str">
        <x:f>IF(B332="","",'Motor_Meciuri'!H29)</x:f>
      </x:c>
      <x:c r="J332" s="2" t="str">
        <x:f>IF(B332="","",'Motor_Meciuri'!I29)</x:f>
      </x:c>
      <x:c r="K332" s="11" t="str">
        <x:f>IF(J332&lt;&gt;"PASS","",'Motor_Meciuri'!BD29)</x:f>
      </x:c>
      <x:c r="L332" s="11" t="str">
        <x:f>IF(J332&lt;&gt;"PASS","",'Motor_Meciuri'!AU29)</x:f>
      </x:c>
      <x:c r="M332" s="10" t="str">
        <x:f>IF(NOT(AND(J332="PASS",'Calibrare_Linii'!U10="VALID")),"",1-'Distributie'!AE29)</x:f>
      </x:c>
      <x:c r="N332" s="10" t="str">
        <x:f>IF(M332="","",MAX(0.01,MIN(0.99,0.5+(M332-0.5)*'Motor_Meciuri'!BG29*'Calibrare_Linii'!D10)))</x:f>
      </x:c>
      <x:c r="O332" s="10" t="str">
        <x:f>IF(M332="","",1-M332)</x:f>
      </x:c>
      <x:c r="P332" s="10" t="str">
        <x:f>IF(OR(NOT(AND(J332="PASS",'Calibrare_Linii'!U10="VALID")),AK332=0),""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*('Istoric_Nativ'!$Q$6:$Q$405&lt;=H332))/AK332)</x:f>
      </x:c>
      <x:c r="Q332" s="10" t="str">
        <x:f>IF(OR(NOT(AND(J332="PASS",'Calibrare_Linii'!U10="VALID")),AL332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M29)+((('Istoric_Nativ'!$E$6:$E$405='Input_Meci'!E29)+('Istoric_Nativ'!$F$6:$F$405='Input_Meci'!E29))&gt;0)*('Istoric_Nativ'!$D$6:$D$405&gt;='Motor_Meciuri'!BN29))&gt;0)*('Istoric_Nativ'!$Q$6:$Q$405&lt;=H332))/AL332)</x:f>
      </x:c>
      <x:c r="R332" s="10" t="str">
        <x:f>IF(OR(NOT(AND(J332="PASS",'Calibrare_Linii'!U10="VALID")),AM332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O29)+((('Istoric_Nativ'!$E$6:$E$405='Input_Meci'!E29)+('Istoric_Nativ'!$F$6:$F$405='Input_Meci'!E29))&gt;0)*('Istoric_Nativ'!$D$6:$D$405&gt;='Motor_Meciuri'!BP29))&gt;0)*('Istoric_Nativ'!$Q$6:$Q$405&lt;=H332))/AM332)</x:f>
      </x:c>
      <x:c r="S332" s="10" t="str">
        <x:f>IF(M332="","",MAX(O332,P332,Q332,R332))</x:f>
      </x:c>
      <x:c r="T332" s="11" t="str">
        <x:f>IF(M332="","",MIN(100,S332*100*'Config_v6'!$B$44+MIN(100,L332/'Config_v6'!$B$13*100)*'Config_v6'!$B$45+(100-'Motor_Meciuri'!BF29)*'Config_v6'!$B$46+'Motor_Meciuri'!BH29*100*'Config_v6'!$B$47))</x:f>
      </x:c>
      <x:c r="U332" s="2" t="str">
        <x:f>IF(T332="","",IF(T332&lt;=20,1,IF(T332&lt;=40,2,IF(T332&lt;=60,3,IF(T332&lt;=80,4,5)))))</x:f>
      </x:c>
      <x:c r="V332" s="2" t="str">
        <x:f>IF(M332="","",MAX(0,'Motor_Meciuri'!BF29-IF(W332="OOS PENDING",'Config_v6'!$B$35,0)-IF(L332&gt;'Config_v6'!$B$12,'Config_v6'!$B$37,IF(L332&gt;'Config_v6'!$B$11,'Config_v6'!$B$36,0))))</x:f>
      </x:c>
      <x:c r="W332" s="2" t="str">
        <x:f>IF(B332="","",IF(I332&lt;&gt;"READY","NOT RELEASED",IF(NOT(AND(J332="PASS",'Calibrare_Linii'!U10="VALID")),"INVALID",IF(NOT(AND('Calibrare_Linii'!S10="VALIDATED",AND('Calibrare_Linii'!H10=C332,ISNUMBER('Calibrare_Linii'!J10),'Calibrare_Linii'!J10&lt;='Input_Meci'!G29))),"OOS PENDING",IF(S332&lt;='Calibrare_Linii'!E10,"PASS",IF(S332&lt;='Calibrare_Linii'!F10,"PENALTY","WATCH"))))))</x:f>
      </x:c>
      <x:c r="X332" s="2" t="str">
        <x:f>IF(M332="","",IF(AND(AND(J332="PASS",'Calibrare_Linii'!U10="VALID"),'Motor_Meciuri'!K29=12,'Motor_Meciuri'!L29=12,'Motor_Meciuri'!M29="NO",'Motor_Meciuri'!BL29='Motor_Meciuri'!C29,AB332&gt;='Config_v6'!$B$50,AN332&gt;='Config_v6'!$B$51,T332&lt;='Config_v6'!$B$52,L332&lt;='Config_v6'!$B$53,ISNUMBER('Calibrare_Linii'!E10),S332&lt;='Calibrare_Linii'!E10,SUM(AK332:AM332)&gt;0),"CANDIDATE","NO"))</x:f>
      </x:c>
      <x:c r="Y332" s="2" t="str">
        <x:f>IF(B332="","",IF(I332&lt;&gt;"READY","NOT RELEASED",IF(AND(X332="CANDIDATE",V332&gt;='Config_v6'!$B$51,W332="PASS",'Calibrare_Linii'!T10="VALIDATED",AND('Calibrare_Linii'!H10=C332,ISNUMBER('Calibrare_Linii'!J10),'Calibrare_Linii'!J10&lt;='Input_Meci'!G29)),"PASS",IF(X332="CANDIDATE","OOS PENDING","FAIL"))))</x:f>
      </x:c>
      <x:c r="Z332" s="2" t="str">
        <x:f>IF(B332="","",IF(I332&lt;&gt;"READY","",IF(OR(NOT(AND(J332="PASS",'Calibrare_Linii'!U10="VALID")),L332&gt;'Config_v6'!$B$13,W332="WATCH"),5,IF(Y332="PASS",1,MIN(5,MAX('Config_v6'!$B$42,U332)+IF(W332="PENALTY",1,0))))))</x:f>
      </x:c>
      <x:c r="AA332" s="2" t="str">
        <x:f>IF(B332="","",IF(I332&lt;&gt;"READY","NOT RELEASED",IF(Z332=5,"NO BET",IF(OR(AB332&lt;'Config_v6'!$B$16,V332&lt;'Config_v6'!$B$18),"WATCH",IF(Z332=1,"DEFENSIV",IF(Z332=2,"PRUDENT",IF(Z332=3,"MODERAT","RIDICAT")))))))</x:f>
      </x:c>
      <x:c r="AB332" s="10" t="str">
        <x:f>IF(N332="","",MIN(N332,1-S332))</x:f>
      </x:c>
      <x:c r="AC332" s="2" t="str">
        <x:f>IF(AD332&lt;&gt;1,"",COUNTIFS($Z$328:$Z$341,"&lt;"&amp;Z332,$AD$328:$AD$341,1)+COUNTIFS($Z$328:$Z$341,Z332,$AB$328:$AB$341,"&gt;"&amp;AB332,$AD$328:$AD$341,1)+COUNTIFS($Z$328:$Z$341,Z332,$AB$328:$AB$341,AB332,$V$328:$V$341,"&gt;"&amp;V332,$AD$328:$AD$341,1)+COUNTIFS($Z$328:Z332,Z332,$AB$328:AB332,AB332,$V$328:V332,V332,$AD$328:AD332,1))</x:f>
      </x:c>
      <x:c r="AD332" s="2" t="n">
        <x:f>IF(OR(AA332="DEFENSIV",AA332="PRUDENT",AA332="MODERAT",AA332="RIDICAT"),1,0)</x:f>
        <x:v>0</x:v>
      </x:c>
      <x:c r="AE332" s="2" t="str">
        <x:f>IF(AD332&lt;&gt;1,"NO",IF(W332="PASS","YES",IF(W332="OOS PENDING","CONDITIONAL","NO")))</x:f>
        <x:v>NO</x:v>
      </x:c>
      <x:c r="AF332" s="2" t="n">
        <x:f>IF(AND(AD332=1,AC332=1,E332="LIVE"),1,0)</x:f>
        <x:v>0</x:v>
      </x:c>
      <x:c r="AG332" s="2" t="str">
        <x:f>IF(AF332&lt;&gt;1,"",'Dashboard'!P49)</x:f>
      </x:c>
      <x:c r="AH332" s="2" t="str">
        <x:f>IF(B332="","",IF(J332&lt;&gt;"PASS",'Motor_Meciuri'!J29,IF('Calibrare_Linii'!U10&lt;&gt;"VALID","Parametri linie invalizi",IF(L332&gt;'Config_v6'!$B$13,"Dispersie peste limita",IF(W332="WATCH","Failure peste limita",IF(AB332&lt;'Config_v6'!$B$16,"P finala sub prag",IF(V332&lt;'Config_v6'!$B$18,"Confidence sub prag",IF(E332="REPLAY","Exemplu retrospectiv; exclus din Top LIVE",IF(Y332="PASS","DEFENSIV validat",IF(W332="OOS PENDING","Eligibil; calibrare linie in monitorizare","Eligibil"))))))))))</x:f>
      </x:c>
      <x:c r="AI332" s="2" t="str">
        <x:f>IF(B332="","",'Calibrare_Linii'!V10)</x:f>
      </x:c>
      <x:c r="AJ332" s="2" t="str">
        <x:f>IF(B332="","",IF(AND('Calibrare_Linii'!T10="VALIDATED",AND('Calibrare_Linii'!H10=C332,ISNUMBER('Calibrare_Linii'!J10),'Calibrare_Linii'!J10&lt;='Input_Meci'!G29)),"DEFENSIVE VALIDATED",IF(AND('Calibrare_Linii'!S10="VALIDATED",AND('Calibrare_Linii'!H10=C332,ISNUMBER('Calibrare_Linii'!J10),'Calibrare_Linii'!J10&lt;='Input_Meci'!G29)),"TAIL VALIDATED","OOS PENDING")))</x:f>
      </x:c>
      <x:c r="AK332" s="2" t="n">
        <x:f>IF(J332&lt;&gt;"PASS",0,'Motor_Meciuri'!BR29)</x:f>
        <x:v>0</x:v>
      </x:c>
      <x:c r="AL332" s="2" t="n">
        <x:f>IF(J332&lt;&gt;"PASS",0,'Motor_Meciuri'!BS29)</x:f>
        <x:v>0</x:v>
      </x:c>
      <x:c r="AM332" s="2" t="n">
        <x:f>IF(J332&lt;&gt;"PASS",0,'Motor_Meciuri'!BT29)</x:f>
        <x:v>0</x:v>
      </x:c>
      <x:c r="AN332" s="2" t="str">
        <x:f>IF(M332="","",MAX(0,'Motor_Meciuri'!BF29-IF(L332&gt;'Config_v6'!$B$12,'Config_v6'!$B$37,IF(L332&gt;'Config_v6'!$B$11,'Config_v6'!$B$36,0))))</x:f>
      </x:c>
    </x:row>
    <x:row r="333" ht="21" customHeight="1">
      <x:c r="A333" s="2" t="n">
        <x:v>24</x:v>
      </x:c>
      <x:c r="B333" s="2" t="str">
        <x:f>IF('Motor_Meciuri'!A29="","",'Motor_Meciuri'!A29)</x:f>
      </x:c>
      <x:c r="C333" s="2" t="str">
        <x:f>IF(B333="","",'Motor_Meciuri'!B29)</x:f>
      </x:c>
      <x:c r="D333" s="2" t="str">
        <x:f>IF(B333="","",'Motor_Meciuri'!D29)</x:f>
      </x:c>
      <x:c r="E333" s="2" t="str">
        <x:f>IF(B333="","",'Motor_Meciuri'!E29)</x:f>
      </x:c>
      <x:c r="F333" s="2" t="str">
        <x:v>O8,5</x:v>
      </x:c>
      <x:c r="G333" s="2" t="str">
        <x:v>OVER</x:v>
      </x:c>
      <x:c r="H333" s="2" t="n">
        <x:v>8</x:v>
      </x:c>
      <x:c r="I333" s="2" t="str">
        <x:f>IF(B333="","",'Motor_Meciuri'!H29)</x:f>
      </x:c>
      <x:c r="J333" s="2" t="str">
        <x:f>IF(B333="","",'Motor_Meciuri'!I29)</x:f>
      </x:c>
      <x:c r="K333" s="11" t="str">
        <x:f>IF(J333&lt;&gt;"PASS","",'Motor_Meciuri'!BD29)</x:f>
      </x:c>
      <x:c r="L333" s="11" t="str">
        <x:f>IF(J333&lt;&gt;"PASS","",'Motor_Meciuri'!AU29)</x:f>
      </x:c>
      <x:c r="M333" s="10" t="str">
        <x:f>IF(NOT(AND(J333="PASS",'Calibrare_Linii'!U11="VALID")),"",1-'Distributie'!AF29)</x:f>
      </x:c>
      <x:c r="N333" s="10" t="str">
        <x:f>IF(M333="","",MAX(0.01,MIN(0.99,0.5+(M333-0.5)*'Motor_Meciuri'!BG29*'Calibrare_Linii'!D11)))</x:f>
      </x:c>
      <x:c r="O333" s="10" t="str">
        <x:f>IF(M333="","",1-M333)</x:f>
      </x:c>
      <x:c r="P333" s="10" t="str">
        <x:f>IF(OR(NOT(AND(J333="PASS",'Calibrare_Linii'!U11="VALID")),AK333=0),""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*('Istoric_Nativ'!$Q$6:$Q$405&lt;=H333))/AK333)</x:f>
      </x:c>
      <x:c r="Q333" s="10" t="str">
        <x:f>IF(OR(NOT(AND(J333="PASS",'Calibrare_Linii'!U11="VALID")),AL333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M29)+((('Istoric_Nativ'!$E$6:$E$405='Input_Meci'!E29)+('Istoric_Nativ'!$F$6:$F$405='Input_Meci'!E29))&gt;0)*('Istoric_Nativ'!$D$6:$D$405&gt;='Motor_Meciuri'!BN29))&gt;0)*('Istoric_Nativ'!$Q$6:$Q$405&lt;=H333))/AL333)</x:f>
      </x:c>
      <x:c r="R333" s="10" t="str">
        <x:f>IF(OR(NOT(AND(J333="PASS",'Calibrare_Linii'!U11="VALID")),AM333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O29)+((('Istoric_Nativ'!$E$6:$E$405='Input_Meci'!E29)+('Istoric_Nativ'!$F$6:$F$405='Input_Meci'!E29))&gt;0)*('Istoric_Nativ'!$D$6:$D$405&gt;='Motor_Meciuri'!BP29))&gt;0)*('Istoric_Nativ'!$Q$6:$Q$405&lt;=H333))/AM333)</x:f>
      </x:c>
      <x:c r="S333" s="10" t="str">
        <x:f>IF(M333="","",MAX(O333,P333,Q333,R333))</x:f>
      </x:c>
      <x:c r="T333" s="11" t="str">
        <x:f>IF(M333="","",MIN(100,S333*100*'Config_v6'!$B$44+MIN(100,L333/'Config_v6'!$B$13*100)*'Config_v6'!$B$45+(100-'Motor_Meciuri'!BF29)*'Config_v6'!$B$46+'Motor_Meciuri'!BH29*100*'Config_v6'!$B$47))</x:f>
      </x:c>
      <x:c r="U333" s="2" t="str">
        <x:f>IF(T333="","",IF(T333&lt;=20,1,IF(T333&lt;=40,2,IF(T333&lt;=60,3,IF(T333&lt;=80,4,5)))))</x:f>
      </x:c>
      <x:c r="V333" s="2" t="str">
        <x:f>IF(M333="","",MAX(0,'Motor_Meciuri'!BF29-IF(W333="OOS PENDING",'Config_v6'!$B$35,0)-IF(L333&gt;'Config_v6'!$B$12,'Config_v6'!$B$37,IF(L333&gt;'Config_v6'!$B$11,'Config_v6'!$B$36,0))))</x:f>
      </x:c>
      <x:c r="W333" s="2" t="str">
        <x:f>IF(B333="","",IF(I333&lt;&gt;"READY","NOT RELEASED",IF(NOT(AND(J333="PASS",'Calibrare_Linii'!U11="VALID")),"INVALID",IF(NOT(AND('Calibrare_Linii'!S11="VALIDATED",AND('Calibrare_Linii'!H11=C333,ISNUMBER('Calibrare_Linii'!J11),'Calibrare_Linii'!J11&lt;='Input_Meci'!G29))),"OOS PENDING",IF(S333&lt;='Calibrare_Linii'!E11,"PASS",IF(S333&lt;='Calibrare_Linii'!F11,"PENALTY","WATCH"))))))</x:f>
      </x:c>
      <x:c r="X333" s="2" t="str">
        <x:f>IF(M333="","",IF(AND(AND(J333="PASS",'Calibrare_Linii'!U11="VALID"),'Motor_Meciuri'!K29=12,'Motor_Meciuri'!L29=12,'Motor_Meciuri'!M29="NO",'Motor_Meciuri'!BL29='Motor_Meciuri'!C29,AB333&gt;='Config_v6'!$B$50,AN333&gt;='Config_v6'!$B$51,T333&lt;='Config_v6'!$B$52,L333&lt;='Config_v6'!$B$53,ISNUMBER('Calibrare_Linii'!E11),S333&lt;='Calibrare_Linii'!E11,SUM(AK333:AM333)&gt;0),"CANDIDATE","NO"))</x:f>
      </x:c>
      <x:c r="Y333" s="2" t="str">
        <x:f>IF(B333="","",IF(I333&lt;&gt;"READY","NOT RELEASED",IF(AND(X333="CANDIDATE",V333&gt;='Config_v6'!$B$51,W333="PASS",'Calibrare_Linii'!T11="VALIDATED",AND('Calibrare_Linii'!H11=C333,ISNUMBER('Calibrare_Linii'!J11),'Calibrare_Linii'!J11&lt;='Input_Meci'!G29)),"PASS",IF(X333="CANDIDATE","OOS PENDING","FAIL"))))</x:f>
      </x:c>
      <x:c r="Z333" s="2" t="str">
        <x:f>IF(B333="","",IF(I333&lt;&gt;"READY","",IF(OR(NOT(AND(J333="PASS",'Calibrare_Linii'!U11="VALID")),L333&gt;'Config_v6'!$B$13,W333="WATCH"),5,IF(Y333="PASS",1,MIN(5,MAX('Config_v6'!$B$42,U333)+IF(W333="PENALTY",1,0))))))</x:f>
      </x:c>
      <x:c r="AA333" s="2" t="str">
        <x:f>IF(B333="","",IF(I333&lt;&gt;"READY","NOT RELEASED",IF(Z333=5,"NO BET",IF(OR(AB333&lt;'Config_v6'!$B$16,V333&lt;'Config_v6'!$B$18),"WATCH",IF(Z333=1,"DEFENSIV",IF(Z333=2,"PRUDENT",IF(Z333=3,"MODERAT","RIDICAT")))))))</x:f>
      </x:c>
      <x:c r="AB333" s="10" t="str">
        <x:f>IF(N333="","",MIN(N333,1-S333))</x:f>
      </x:c>
      <x:c r="AC333" s="2" t="str">
        <x:f>IF(AD333&lt;&gt;1,"",COUNTIFS($Z$328:$Z$341,"&lt;"&amp;Z333,$AD$328:$AD$341,1)+COUNTIFS($Z$328:$Z$341,Z333,$AB$328:$AB$341,"&gt;"&amp;AB333,$AD$328:$AD$341,1)+COUNTIFS($Z$328:$Z$341,Z333,$AB$328:$AB$341,AB333,$V$328:$V$341,"&gt;"&amp;V333,$AD$328:$AD$341,1)+COUNTIFS($Z$328:Z333,Z333,$AB$328:AB333,AB333,$V$328:V333,V333,$AD$328:AD333,1))</x:f>
      </x:c>
      <x:c r="AD333" s="2" t="n">
        <x:f>IF(OR(AA333="DEFENSIV",AA333="PRUDENT",AA333="MODERAT",AA333="RIDICAT"),1,0)</x:f>
        <x:v>0</x:v>
      </x:c>
      <x:c r="AE333" s="2" t="str">
        <x:f>IF(AD333&lt;&gt;1,"NO",IF(W333="PASS","YES",IF(W333="OOS PENDING","CONDITIONAL","NO")))</x:f>
        <x:v>NO</x:v>
      </x:c>
      <x:c r="AF333" s="2" t="n">
        <x:f>IF(AND(AD333=1,AC333=1,E333="LIVE"),1,0)</x:f>
        <x:v>0</x:v>
      </x:c>
      <x:c r="AG333" s="2" t="str">
        <x:f>IF(AF333&lt;&gt;1,"",'Dashboard'!P49)</x:f>
      </x:c>
      <x:c r="AH333" s="2" t="str">
        <x:f>IF(B333="","",IF(J333&lt;&gt;"PASS",'Motor_Meciuri'!J29,IF('Calibrare_Linii'!U11&lt;&gt;"VALID","Parametri linie invalizi",IF(L333&gt;'Config_v6'!$B$13,"Dispersie peste limita",IF(W333="WATCH","Failure peste limita",IF(AB333&lt;'Config_v6'!$B$16,"P finala sub prag",IF(V333&lt;'Config_v6'!$B$18,"Confidence sub prag",IF(E333="REPLAY","Exemplu retrospectiv; exclus din Top LIVE",IF(Y333="PASS","DEFENSIV validat",IF(W333="OOS PENDING","Eligibil; calibrare linie in monitorizare","Eligibil"))))))))))</x:f>
      </x:c>
      <x:c r="AI333" s="2" t="str">
        <x:f>IF(B333="","",'Calibrare_Linii'!V11)</x:f>
      </x:c>
      <x:c r="AJ333" s="2" t="str">
        <x:f>IF(B333="","",IF(AND('Calibrare_Linii'!T11="VALIDATED",AND('Calibrare_Linii'!H11=C333,ISNUMBER('Calibrare_Linii'!J11),'Calibrare_Linii'!J11&lt;='Input_Meci'!G29)),"DEFENSIVE VALIDATED",IF(AND('Calibrare_Linii'!S11="VALIDATED",AND('Calibrare_Linii'!H11=C333,ISNUMBER('Calibrare_Linii'!J11),'Calibrare_Linii'!J11&lt;='Input_Meci'!G29)),"TAIL VALIDATED","OOS PENDING")))</x:f>
      </x:c>
      <x:c r="AK333" s="2" t="n">
        <x:f>IF(J333&lt;&gt;"PASS",0,'Motor_Meciuri'!BR29)</x:f>
        <x:v>0</x:v>
      </x:c>
      <x:c r="AL333" s="2" t="n">
        <x:f>IF(J333&lt;&gt;"PASS",0,'Motor_Meciuri'!BS29)</x:f>
        <x:v>0</x:v>
      </x:c>
      <x:c r="AM333" s="2" t="n">
        <x:f>IF(J333&lt;&gt;"PASS",0,'Motor_Meciuri'!BT29)</x:f>
        <x:v>0</x:v>
      </x:c>
      <x:c r="AN333" s="2" t="str">
        <x:f>IF(M333="","",MAX(0,'Motor_Meciuri'!BF29-IF(L333&gt;'Config_v6'!$B$12,'Config_v6'!$B$37,IF(L333&gt;'Config_v6'!$B$11,'Config_v6'!$B$36,0))))</x:f>
      </x:c>
    </x:row>
    <x:row r="334" ht="21" customHeight="1">
      <x:c r="A334" s="2" t="n">
        <x:v>24</x:v>
      </x:c>
      <x:c r="B334" s="2" t="str">
        <x:f>IF('Motor_Meciuri'!A29="","",'Motor_Meciuri'!A29)</x:f>
      </x:c>
      <x:c r="C334" s="2" t="str">
        <x:f>IF(B334="","",'Motor_Meciuri'!B29)</x:f>
      </x:c>
      <x:c r="D334" s="2" t="str">
        <x:f>IF(B334="","",'Motor_Meciuri'!D29)</x:f>
      </x:c>
      <x:c r="E334" s="2" t="str">
        <x:f>IF(B334="","",'Motor_Meciuri'!E29)</x:f>
      </x:c>
      <x:c r="F334" s="2" t="str">
        <x:v>U10,5</x:v>
      </x:c>
      <x:c r="G334" s="2" t="str">
        <x:v>UNDER</x:v>
      </x:c>
      <x:c r="H334" s="2" t="n">
        <x:v>10</x:v>
      </x:c>
      <x:c r="I334" s="2" t="str">
        <x:f>IF(B334="","",'Motor_Meciuri'!H29)</x:f>
      </x:c>
      <x:c r="J334" s="2" t="str">
        <x:f>IF(B334="","",'Motor_Meciuri'!I29)</x:f>
      </x:c>
      <x:c r="K334" s="11" t="str">
        <x:f>IF(J334&lt;&gt;"PASS","",'Motor_Meciuri'!BD29)</x:f>
      </x:c>
      <x:c r="L334" s="11" t="str">
        <x:f>IF(J334&lt;&gt;"PASS","",'Motor_Meciuri'!AU29)</x:f>
      </x:c>
      <x:c r="M334" s="10" t="str">
        <x:f>IF(NOT(AND(J334="PASS",'Calibrare_Linii'!U12="VALID")),"",'Distributie'!AH29)</x:f>
      </x:c>
      <x:c r="N334" s="10" t="str">
        <x:f>IF(M334="","",MAX(0.01,MIN(0.99,0.5+(M334-0.5)*'Motor_Meciuri'!BG29*'Calibrare_Linii'!D12)))</x:f>
      </x:c>
      <x:c r="O334" s="10" t="str">
        <x:f>IF(M334="","",1-M334)</x:f>
      </x:c>
      <x:c r="P334" s="10" t="str">
        <x:f>IF(OR(NOT(AND(J334="PASS",'Calibrare_Linii'!U12="VALID")),AK334=0),""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*('Istoric_Nativ'!$Q$6:$Q$405&gt;H334))/AK334)</x:f>
      </x:c>
      <x:c r="Q334" s="10" t="str">
        <x:f>IF(OR(NOT(AND(J334="PASS",'Calibrare_Linii'!U12="VALID")),AL334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M29)+((('Istoric_Nativ'!$E$6:$E$405='Input_Meci'!E29)+('Istoric_Nativ'!$F$6:$F$405='Input_Meci'!E29))&gt;0)*('Istoric_Nativ'!$D$6:$D$405&gt;='Motor_Meciuri'!BN29))&gt;0)*('Istoric_Nativ'!$Q$6:$Q$405&gt;H334))/AL334)</x:f>
      </x:c>
      <x:c r="R334" s="10" t="str">
        <x:f>IF(OR(NOT(AND(J334="PASS",'Calibrare_Linii'!U12="VALID")),AM334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O29)+((('Istoric_Nativ'!$E$6:$E$405='Input_Meci'!E29)+('Istoric_Nativ'!$F$6:$F$405='Input_Meci'!E29))&gt;0)*('Istoric_Nativ'!$D$6:$D$405&gt;='Motor_Meciuri'!BP29))&gt;0)*('Istoric_Nativ'!$Q$6:$Q$405&gt;H334))/AM334)</x:f>
      </x:c>
      <x:c r="S334" s="10" t="str">
        <x:f>IF(M334="","",MAX(O334,P334,Q334,R334))</x:f>
      </x:c>
      <x:c r="T334" s="11" t="str">
        <x:f>IF(M334="","",MIN(100,S334*100*'Config_v6'!$B$44+MIN(100,L334/'Config_v6'!$B$13*100)*'Config_v6'!$B$45+(100-'Motor_Meciuri'!BF29)*'Config_v6'!$B$46+'Motor_Meciuri'!BH29*100*'Config_v6'!$B$47))</x:f>
      </x:c>
      <x:c r="U334" s="2" t="str">
        <x:f>IF(T334="","",IF(T334&lt;=20,1,IF(T334&lt;=40,2,IF(T334&lt;=60,3,IF(T334&lt;=80,4,5)))))</x:f>
      </x:c>
      <x:c r="V334" s="2" t="str">
        <x:f>IF(M334="","",MAX(0,'Motor_Meciuri'!BF29-IF(W334="OOS PENDING",'Config_v6'!$B$35,0)-IF(L334&gt;'Config_v6'!$B$12,'Config_v6'!$B$37,IF(L334&gt;'Config_v6'!$B$11,'Config_v6'!$B$36,0))))</x:f>
      </x:c>
      <x:c r="W334" s="2" t="str">
        <x:f>IF(B334="","",IF(I334&lt;&gt;"READY","NOT RELEASED",IF(NOT(AND(J334="PASS",'Calibrare_Linii'!U12="VALID")),"INVALID",IF(NOT(AND('Calibrare_Linii'!S12="VALIDATED",AND('Calibrare_Linii'!H12=C334,ISNUMBER('Calibrare_Linii'!J12),'Calibrare_Linii'!J12&lt;='Input_Meci'!G29))),"OOS PENDING",IF(S334&lt;='Calibrare_Linii'!E12,"PASS",IF(S334&lt;='Calibrare_Linii'!F12,"PENALTY","WATCH"))))))</x:f>
      </x:c>
      <x:c r="X334" s="2" t="str">
        <x:f>IF(M334="","",IF(AND(AND(J334="PASS",'Calibrare_Linii'!U12="VALID"),'Motor_Meciuri'!K29=12,'Motor_Meciuri'!L29=12,'Motor_Meciuri'!M29="NO",'Motor_Meciuri'!BL29='Motor_Meciuri'!C29,AB334&gt;='Config_v6'!$B$50,AN334&gt;='Config_v6'!$B$51,T334&lt;='Config_v6'!$B$52,L334&lt;='Config_v6'!$B$53,ISNUMBER('Calibrare_Linii'!E12),S334&lt;='Calibrare_Linii'!E12,SUM(AK334:AM334)&gt;0),"CANDIDATE","NO"))</x:f>
      </x:c>
      <x:c r="Y334" s="2" t="str">
        <x:f>IF(B334="","",IF(I334&lt;&gt;"READY","NOT RELEASED",IF(AND(X334="CANDIDATE",V334&gt;='Config_v6'!$B$51,W334="PASS",'Calibrare_Linii'!T12="VALIDATED",AND('Calibrare_Linii'!H12=C334,ISNUMBER('Calibrare_Linii'!J12),'Calibrare_Linii'!J12&lt;='Input_Meci'!G29)),"PASS",IF(X334="CANDIDATE","OOS PENDING","FAIL"))))</x:f>
      </x:c>
      <x:c r="Z334" s="2" t="str">
        <x:f>IF(B334="","",IF(I334&lt;&gt;"READY","",IF(OR(NOT(AND(J334="PASS",'Calibrare_Linii'!U12="VALID")),L334&gt;'Config_v6'!$B$13,W334="WATCH"),5,IF(Y334="PASS",1,MIN(5,MAX('Config_v6'!$B$42,U334)+IF(W334="PENALTY",1,0))))))</x:f>
      </x:c>
      <x:c r="AA334" s="2" t="str">
        <x:f>IF(B334="","",IF(I334&lt;&gt;"READY","NOT RELEASED",IF(Z334=5,"NO BET",IF(OR(AB334&lt;'Config_v6'!$B$16,V334&lt;'Config_v6'!$B$18),"WATCH",IF(Z334=1,"DEFENSIV",IF(Z334=2,"PRUDENT",IF(Z334=3,"MODERAT","RIDICAT")))))))</x:f>
      </x:c>
      <x:c r="AB334" s="10" t="str">
        <x:f>IF(N334="","",MIN(N334,1-S334))</x:f>
      </x:c>
      <x:c r="AC334" s="2" t="str">
        <x:f>IF(AD334&lt;&gt;1,"",COUNTIFS($Z$328:$Z$341,"&lt;"&amp;Z334,$AD$328:$AD$341,1)+COUNTIFS($Z$328:$Z$341,Z334,$AB$328:$AB$341,"&gt;"&amp;AB334,$AD$328:$AD$341,1)+COUNTIFS($Z$328:$Z$341,Z334,$AB$328:$AB$341,AB334,$V$328:$V$341,"&gt;"&amp;V334,$AD$328:$AD$341,1)+COUNTIFS($Z$328:Z334,Z334,$AB$328:AB334,AB334,$V$328:V334,V334,$AD$328:AD334,1))</x:f>
      </x:c>
      <x:c r="AD334" s="2" t="n">
        <x:f>IF(OR(AA334="DEFENSIV",AA334="PRUDENT",AA334="MODERAT",AA334="RIDICAT"),1,0)</x:f>
        <x:v>0</x:v>
      </x:c>
      <x:c r="AE334" s="2" t="str">
        <x:f>IF(AD334&lt;&gt;1,"NO",IF(W334="PASS","YES",IF(W334="OOS PENDING","CONDITIONAL","NO")))</x:f>
        <x:v>NO</x:v>
      </x:c>
      <x:c r="AF334" s="2" t="n">
        <x:f>IF(AND(AD334=1,AC334=1,E334="LIVE"),1,0)</x:f>
        <x:v>0</x:v>
      </x:c>
      <x:c r="AG334" s="2" t="str">
        <x:f>IF(AF334&lt;&gt;1,"",'Dashboard'!P49)</x:f>
      </x:c>
      <x:c r="AH334" s="2" t="str">
        <x:f>IF(B334="","",IF(J334&lt;&gt;"PASS",'Motor_Meciuri'!J29,IF('Calibrare_Linii'!U12&lt;&gt;"VALID","Parametri linie invalizi",IF(L334&gt;'Config_v6'!$B$13,"Dispersie peste limita",IF(W334="WATCH","Failure peste limita",IF(AB334&lt;'Config_v6'!$B$16,"P finala sub prag",IF(V334&lt;'Config_v6'!$B$18,"Confidence sub prag",IF(E334="REPLAY","Exemplu retrospectiv; exclus din Top LIVE",IF(Y334="PASS","DEFENSIV validat",IF(W334="OOS PENDING","Eligibil; calibrare linie in monitorizare","Eligibil"))))))))))</x:f>
      </x:c>
      <x:c r="AI334" s="2" t="str">
        <x:f>IF(B334="","",'Calibrare_Linii'!V12)</x:f>
      </x:c>
      <x:c r="AJ334" s="2" t="str">
        <x:f>IF(B334="","",IF(AND('Calibrare_Linii'!T12="VALIDATED",AND('Calibrare_Linii'!H12=C334,ISNUMBER('Calibrare_Linii'!J12),'Calibrare_Linii'!J12&lt;='Input_Meci'!G29)),"DEFENSIVE VALIDATED",IF(AND('Calibrare_Linii'!S12="VALIDATED",AND('Calibrare_Linii'!H12=C334,ISNUMBER('Calibrare_Linii'!J12),'Calibrare_Linii'!J12&lt;='Input_Meci'!G29)),"TAIL VALIDATED","OOS PENDING")))</x:f>
      </x:c>
      <x:c r="AK334" s="2" t="n">
        <x:f>IF(J334&lt;&gt;"PASS",0,'Motor_Meciuri'!BR29)</x:f>
        <x:v>0</x:v>
      </x:c>
      <x:c r="AL334" s="2" t="n">
        <x:f>IF(J334&lt;&gt;"PASS",0,'Motor_Meciuri'!BS29)</x:f>
        <x:v>0</x:v>
      </x:c>
      <x:c r="AM334" s="2" t="n">
        <x:f>IF(J334&lt;&gt;"PASS",0,'Motor_Meciuri'!BT29)</x:f>
        <x:v>0</x:v>
      </x:c>
      <x:c r="AN334" s="2" t="str">
        <x:f>IF(M334="","",MAX(0,'Motor_Meciuri'!BF29-IF(L334&gt;'Config_v6'!$B$12,'Config_v6'!$B$37,IF(L334&gt;'Config_v6'!$B$11,'Config_v6'!$B$36,0))))</x:f>
      </x:c>
    </x:row>
    <x:row r="335" ht="21" customHeight="1">
      <x:c r="A335" s="2" t="n">
        <x:v>24</x:v>
      </x:c>
      <x:c r="B335" s="2" t="str">
        <x:f>IF('Motor_Meciuri'!A29="","",'Motor_Meciuri'!A29)</x:f>
      </x:c>
      <x:c r="C335" s="2" t="str">
        <x:f>IF(B335="","",'Motor_Meciuri'!B29)</x:f>
      </x:c>
      <x:c r="D335" s="2" t="str">
        <x:f>IF(B335="","",'Motor_Meciuri'!D29)</x:f>
      </x:c>
      <x:c r="E335" s="2" t="str">
        <x:f>IF(B335="","",'Motor_Meciuri'!E29)</x:f>
      </x:c>
      <x:c r="F335" s="2" t="str">
        <x:v>U11,5</x:v>
      </x:c>
      <x:c r="G335" s="2" t="str">
        <x:v>UNDER</x:v>
      </x:c>
      <x:c r="H335" s="2" t="n">
        <x:v>11</x:v>
      </x:c>
      <x:c r="I335" s="2" t="str">
        <x:f>IF(B335="","",'Motor_Meciuri'!H29)</x:f>
      </x:c>
      <x:c r="J335" s="2" t="str">
        <x:f>IF(B335="","",'Motor_Meciuri'!I29)</x:f>
      </x:c>
      <x:c r="K335" s="11" t="str">
        <x:f>IF(J335&lt;&gt;"PASS","",'Motor_Meciuri'!BD29)</x:f>
      </x:c>
      <x:c r="L335" s="11" t="str">
        <x:f>IF(J335&lt;&gt;"PASS","",'Motor_Meciuri'!AU29)</x:f>
      </x:c>
      <x:c r="M335" s="10" t="str">
        <x:f>IF(NOT(AND(J335="PASS",'Calibrare_Linii'!U13="VALID")),"",'Distributie'!AI29)</x:f>
      </x:c>
      <x:c r="N335" s="10" t="str">
        <x:f>IF(M335="","",MAX(0.01,MIN(0.99,0.5+(M335-0.5)*'Motor_Meciuri'!BG29*'Calibrare_Linii'!D13)))</x:f>
      </x:c>
      <x:c r="O335" s="10" t="str">
        <x:f>IF(M335="","",1-M335)</x:f>
      </x:c>
      <x:c r="P335" s="10" t="str">
        <x:f>IF(OR(NOT(AND(J335="PASS",'Calibrare_Linii'!U13="VALID")),AK335=0),""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*('Istoric_Nativ'!$Q$6:$Q$405&gt;H335))/AK335)</x:f>
      </x:c>
      <x:c r="Q335" s="10" t="str">
        <x:f>IF(OR(NOT(AND(J335="PASS",'Calibrare_Linii'!U13="VALID")),AL335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M29)+((('Istoric_Nativ'!$E$6:$E$405='Input_Meci'!E29)+('Istoric_Nativ'!$F$6:$F$405='Input_Meci'!E29))&gt;0)*('Istoric_Nativ'!$D$6:$D$405&gt;='Motor_Meciuri'!BN29))&gt;0)*('Istoric_Nativ'!$Q$6:$Q$405&gt;H335))/AL335)</x:f>
      </x:c>
      <x:c r="R335" s="10" t="str">
        <x:f>IF(OR(NOT(AND(J335="PASS",'Calibrare_Linii'!U13="VALID")),AM335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O29)+((('Istoric_Nativ'!$E$6:$E$405='Input_Meci'!E29)+('Istoric_Nativ'!$F$6:$F$405='Input_Meci'!E29))&gt;0)*('Istoric_Nativ'!$D$6:$D$405&gt;='Motor_Meciuri'!BP29))&gt;0)*('Istoric_Nativ'!$Q$6:$Q$405&gt;H335))/AM335)</x:f>
      </x:c>
      <x:c r="S335" s="10" t="str">
        <x:f>IF(M335="","",MAX(O335,P335,Q335,R335))</x:f>
      </x:c>
      <x:c r="T335" s="11" t="str">
        <x:f>IF(M335="","",MIN(100,S335*100*'Config_v6'!$B$44+MIN(100,L335/'Config_v6'!$B$13*100)*'Config_v6'!$B$45+(100-'Motor_Meciuri'!BF29)*'Config_v6'!$B$46+'Motor_Meciuri'!BH29*100*'Config_v6'!$B$47))</x:f>
      </x:c>
      <x:c r="U335" s="2" t="str">
        <x:f>IF(T335="","",IF(T335&lt;=20,1,IF(T335&lt;=40,2,IF(T335&lt;=60,3,IF(T335&lt;=80,4,5)))))</x:f>
      </x:c>
      <x:c r="V335" s="2" t="str">
        <x:f>IF(M335="","",MAX(0,'Motor_Meciuri'!BF29-IF(W335="OOS PENDING",'Config_v6'!$B$35,0)-IF(L335&gt;'Config_v6'!$B$12,'Config_v6'!$B$37,IF(L335&gt;'Config_v6'!$B$11,'Config_v6'!$B$36,0))))</x:f>
      </x:c>
      <x:c r="W335" s="2" t="str">
        <x:f>IF(B335="","",IF(I335&lt;&gt;"READY","NOT RELEASED",IF(NOT(AND(J335="PASS",'Calibrare_Linii'!U13="VALID")),"INVALID",IF(NOT(AND('Calibrare_Linii'!S13="VALIDATED",AND('Calibrare_Linii'!H13=C335,ISNUMBER('Calibrare_Linii'!J13),'Calibrare_Linii'!J13&lt;='Input_Meci'!G29))),"OOS PENDING",IF(S335&lt;='Calibrare_Linii'!E13,"PASS",IF(S335&lt;='Calibrare_Linii'!F13,"PENALTY","WATCH"))))))</x:f>
      </x:c>
      <x:c r="X335" s="2" t="str">
        <x:f>IF(M335="","",IF(AND(AND(J335="PASS",'Calibrare_Linii'!U13="VALID"),'Motor_Meciuri'!K29=12,'Motor_Meciuri'!L29=12,'Motor_Meciuri'!M29="NO",'Motor_Meciuri'!BL29='Motor_Meciuri'!C29,AB335&gt;='Config_v6'!$B$50,AN335&gt;='Config_v6'!$B$51,T335&lt;='Config_v6'!$B$52,L335&lt;='Config_v6'!$B$53,ISNUMBER('Calibrare_Linii'!E13),S335&lt;='Calibrare_Linii'!E13,SUM(AK335:AM335)&gt;0),"CANDIDATE","NO"))</x:f>
      </x:c>
      <x:c r="Y335" s="2" t="str">
        <x:f>IF(B335="","",IF(I335&lt;&gt;"READY","NOT RELEASED",IF(AND(X335="CANDIDATE",V335&gt;='Config_v6'!$B$51,W335="PASS",'Calibrare_Linii'!T13="VALIDATED",AND('Calibrare_Linii'!H13=C335,ISNUMBER('Calibrare_Linii'!J13),'Calibrare_Linii'!J13&lt;='Input_Meci'!G29)),"PASS",IF(X335="CANDIDATE","OOS PENDING","FAIL"))))</x:f>
      </x:c>
      <x:c r="Z335" s="2" t="str">
        <x:f>IF(B335="","",IF(I335&lt;&gt;"READY","",IF(OR(NOT(AND(J335="PASS",'Calibrare_Linii'!U13="VALID")),L335&gt;'Config_v6'!$B$13,W335="WATCH"),5,IF(Y335="PASS",1,MIN(5,MAX('Config_v6'!$B$42,U335)+IF(W335="PENALTY",1,0))))))</x:f>
      </x:c>
      <x:c r="AA335" s="2" t="str">
        <x:f>IF(B335="","",IF(I335&lt;&gt;"READY","NOT RELEASED",IF(Z335=5,"NO BET",IF(OR(AB335&lt;'Config_v6'!$B$16,V335&lt;'Config_v6'!$B$18),"WATCH",IF(Z335=1,"DEFENSIV",IF(Z335=2,"PRUDENT",IF(Z335=3,"MODERAT","RIDICAT")))))))</x:f>
      </x:c>
      <x:c r="AB335" s="10" t="str">
        <x:f>IF(N335="","",MIN(N335,1-S335))</x:f>
      </x:c>
      <x:c r="AC335" s="2" t="str">
        <x:f>IF(AD335&lt;&gt;1,"",COUNTIFS($Z$328:$Z$341,"&lt;"&amp;Z335,$AD$328:$AD$341,1)+COUNTIFS($Z$328:$Z$341,Z335,$AB$328:$AB$341,"&gt;"&amp;AB335,$AD$328:$AD$341,1)+COUNTIFS($Z$328:$Z$341,Z335,$AB$328:$AB$341,AB335,$V$328:$V$341,"&gt;"&amp;V335,$AD$328:$AD$341,1)+COUNTIFS($Z$328:Z335,Z335,$AB$328:AB335,AB335,$V$328:V335,V335,$AD$328:AD335,1))</x:f>
      </x:c>
      <x:c r="AD335" s="2" t="n">
        <x:f>IF(OR(AA335="DEFENSIV",AA335="PRUDENT",AA335="MODERAT",AA335="RIDICAT"),1,0)</x:f>
        <x:v>0</x:v>
      </x:c>
      <x:c r="AE335" s="2" t="str">
        <x:f>IF(AD335&lt;&gt;1,"NO",IF(W335="PASS","YES",IF(W335="OOS PENDING","CONDITIONAL","NO")))</x:f>
        <x:v>NO</x:v>
      </x:c>
      <x:c r="AF335" s="2" t="n">
        <x:f>IF(AND(AD335=1,AC335=1,E335="LIVE"),1,0)</x:f>
        <x:v>0</x:v>
      </x:c>
      <x:c r="AG335" s="2" t="str">
        <x:f>IF(AF335&lt;&gt;1,"",'Dashboard'!P49)</x:f>
      </x:c>
      <x:c r="AH335" s="2" t="str">
        <x:f>IF(B335="","",IF(J335&lt;&gt;"PASS",'Motor_Meciuri'!J29,IF('Calibrare_Linii'!U13&lt;&gt;"VALID","Parametri linie invalizi",IF(L335&gt;'Config_v6'!$B$13,"Dispersie peste limita",IF(W335="WATCH","Failure peste limita",IF(AB335&lt;'Config_v6'!$B$16,"P finala sub prag",IF(V335&lt;'Config_v6'!$B$18,"Confidence sub prag",IF(E335="REPLAY","Exemplu retrospectiv; exclus din Top LIVE",IF(Y335="PASS","DEFENSIV validat",IF(W335="OOS PENDING","Eligibil; calibrare linie in monitorizare","Eligibil"))))))))))</x:f>
      </x:c>
      <x:c r="AI335" s="2" t="str">
        <x:f>IF(B335="","",'Calibrare_Linii'!V13)</x:f>
      </x:c>
      <x:c r="AJ335" s="2" t="str">
        <x:f>IF(B335="","",IF(AND('Calibrare_Linii'!T13="VALIDATED",AND('Calibrare_Linii'!H13=C335,ISNUMBER('Calibrare_Linii'!J13),'Calibrare_Linii'!J13&lt;='Input_Meci'!G29)),"DEFENSIVE VALIDATED",IF(AND('Calibrare_Linii'!S13="VALIDATED",AND('Calibrare_Linii'!H13=C335,ISNUMBER('Calibrare_Linii'!J13),'Calibrare_Linii'!J13&lt;='Input_Meci'!G29)),"TAIL VALIDATED","OOS PENDING")))</x:f>
      </x:c>
      <x:c r="AK335" s="2" t="n">
        <x:f>IF(J335&lt;&gt;"PASS",0,'Motor_Meciuri'!BR29)</x:f>
        <x:v>0</x:v>
      </x:c>
      <x:c r="AL335" s="2" t="n">
        <x:f>IF(J335&lt;&gt;"PASS",0,'Motor_Meciuri'!BS29)</x:f>
        <x:v>0</x:v>
      </x:c>
      <x:c r="AM335" s="2" t="n">
        <x:f>IF(J335&lt;&gt;"PASS",0,'Motor_Meciuri'!BT29)</x:f>
        <x:v>0</x:v>
      </x:c>
      <x:c r="AN335" s="2" t="str">
        <x:f>IF(M335="","",MAX(0,'Motor_Meciuri'!BF29-IF(L335&gt;'Config_v6'!$B$12,'Config_v6'!$B$37,IF(L335&gt;'Config_v6'!$B$11,'Config_v6'!$B$36,0))))</x:f>
      </x:c>
    </x:row>
    <x:row r="336" ht="21" customHeight="1">
      <x:c r="A336" s="2" t="n">
        <x:v>24</x:v>
      </x:c>
      <x:c r="B336" s="2" t="str">
        <x:f>IF('Motor_Meciuri'!A29="","",'Motor_Meciuri'!A29)</x:f>
      </x:c>
      <x:c r="C336" s="2" t="str">
        <x:f>IF(B336="","",'Motor_Meciuri'!B29)</x:f>
      </x:c>
      <x:c r="D336" s="2" t="str">
        <x:f>IF(B336="","",'Motor_Meciuri'!D29)</x:f>
      </x:c>
      <x:c r="E336" s="2" t="str">
        <x:f>IF(B336="","",'Motor_Meciuri'!E29)</x:f>
      </x:c>
      <x:c r="F336" s="2" t="str">
        <x:v>U12,5</x:v>
      </x:c>
      <x:c r="G336" s="2" t="str">
        <x:v>UNDER</x:v>
      </x:c>
      <x:c r="H336" s="2" t="n">
        <x:v>12</x:v>
      </x:c>
      <x:c r="I336" s="2" t="str">
        <x:f>IF(B336="","",'Motor_Meciuri'!H29)</x:f>
      </x:c>
      <x:c r="J336" s="2" t="str">
        <x:f>IF(B336="","",'Motor_Meciuri'!I29)</x:f>
      </x:c>
      <x:c r="K336" s="11" t="str">
        <x:f>IF(J336&lt;&gt;"PASS","",'Motor_Meciuri'!BD29)</x:f>
      </x:c>
      <x:c r="L336" s="11" t="str">
        <x:f>IF(J336&lt;&gt;"PASS","",'Motor_Meciuri'!AU29)</x:f>
      </x:c>
      <x:c r="M336" s="10" t="str">
        <x:f>IF(NOT(AND(J336="PASS",'Calibrare_Linii'!U14="VALID")),"",'Distributie'!AJ29)</x:f>
      </x:c>
      <x:c r="N336" s="10" t="str">
        <x:f>IF(M336="","",MAX(0.01,MIN(0.99,0.5+(M336-0.5)*'Motor_Meciuri'!BG29*'Calibrare_Linii'!D14)))</x:f>
      </x:c>
      <x:c r="O336" s="10" t="str">
        <x:f>IF(M336="","",1-M336)</x:f>
      </x:c>
      <x:c r="P336" s="10" t="str">
        <x:f>IF(OR(NOT(AND(J336="PASS",'Calibrare_Linii'!U14="VALID")),AK336=0),""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*('Istoric_Nativ'!$Q$6:$Q$405&gt;H336))/AK336)</x:f>
      </x:c>
      <x:c r="Q336" s="10" t="str">
        <x:f>IF(OR(NOT(AND(J336="PASS",'Calibrare_Linii'!U14="VALID")),AL336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M29)+((('Istoric_Nativ'!$E$6:$E$405='Input_Meci'!E29)+('Istoric_Nativ'!$F$6:$F$405='Input_Meci'!E29))&gt;0)*('Istoric_Nativ'!$D$6:$D$405&gt;='Motor_Meciuri'!BN29))&gt;0)*('Istoric_Nativ'!$Q$6:$Q$405&gt;H336))/AL336)</x:f>
      </x:c>
      <x:c r="R336" s="10" t="str">
        <x:f>IF(OR(NOT(AND(J336="PASS",'Calibrare_Linii'!U14="VALID")),AM336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O29)+((('Istoric_Nativ'!$E$6:$E$405='Input_Meci'!E29)+('Istoric_Nativ'!$F$6:$F$405='Input_Meci'!E29))&gt;0)*('Istoric_Nativ'!$D$6:$D$405&gt;='Motor_Meciuri'!BP29))&gt;0)*('Istoric_Nativ'!$Q$6:$Q$405&gt;H336))/AM336)</x:f>
      </x:c>
      <x:c r="S336" s="10" t="str">
        <x:f>IF(M336="","",MAX(O336,P336,Q336,R336))</x:f>
      </x:c>
      <x:c r="T336" s="11" t="str">
        <x:f>IF(M336="","",MIN(100,S336*100*'Config_v6'!$B$44+MIN(100,L336/'Config_v6'!$B$13*100)*'Config_v6'!$B$45+(100-'Motor_Meciuri'!BF29)*'Config_v6'!$B$46+'Motor_Meciuri'!BH29*100*'Config_v6'!$B$47))</x:f>
      </x:c>
      <x:c r="U336" s="2" t="str">
        <x:f>IF(T336="","",IF(T336&lt;=20,1,IF(T336&lt;=40,2,IF(T336&lt;=60,3,IF(T336&lt;=80,4,5)))))</x:f>
      </x:c>
      <x:c r="V336" s="2" t="str">
        <x:f>IF(M336="","",MAX(0,'Motor_Meciuri'!BF29-IF(W336="OOS PENDING",'Config_v6'!$B$35,0)-IF(L336&gt;'Config_v6'!$B$12,'Config_v6'!$B$37,IF(L336&gt;'Config_v6'!$B$11,'Config_v6'!$B$36,0))))</x:f>
      </x:c>
      <x:c r="W336" s="2" t="str">
        <x:f>IF(B336="","",IF(I336&lt;&gt;"READY","NOT RELEASED",IF(NOT(AND(J336="PASS",'Calibrare_Linii'!U14="VALID")),"INVALID",IF(NOT(AND('Calibrare_Linii'!S14="VALIDATED",AND('Calibrare_Linii'!H14=C336,ISNUMBER('Calibrare_Linii'!J14),'Calibrare_Linii'!J14&lt;='Input_Meci'!G29))),"OOS PENDING",IF(S336&lt;='Calibrare_Linii'!E14,"PASS",IF(S336&lt;='Calibrare_Linii'!F14,"PENALTY","WATCH"))))))</x:f>
      </x:c>
      <x:c r="X336" s="2" t="str">
        <x:f>IF(M336="","",IF(AND(AND(J336="PASS",'Calibrare_Linii'!U14="VALID"),'Motor_Meciuri'!K29=12,'Motor_Meciuri'!L29=12,'Motor_Meciuri'!M29="NO",'Motor_Meciuri'!BL29='Motor_Meciuri'!C29,AB336&gt;='Config_v6'!$B$50,AN336&gt;='Config_v6'!$B$51,T336&lt;='Config_v6'!$B$52,L336&lt;='Config_v6'!$B$53,ISNUMBER('Calibrare_Linii'!E14),S336&lt;='Calibrare_Linii'!E14,SUM(AK336:AM336)&gt;0),"CANDIDATE","NO"))</x:f>
      </x:c>
      <x:c r="Y336" s="2" t="str">
        <x:f>IF(B336="","",IF(I336&lt;&gt;"READY","NOT RELEASED",IF(AND(X336="CANDIDATE",V336&gt;='Config_v6'!$B$51,W336="PASS",'Calibrare_Linii'!T14="VALIDATED",AND('Calibrare_Linii'!H14=C336,ISNUMBER('Calibrare_Linii'!J14),'Calibrare_Linii'!J14&lt;='Input_Meci'!G29)),"PASS",IF(X336="CANDIDATE","OOS PENDING","FAIL"))))</x:f>
      </x:c>
      <x:c r="Z336" s="2" t="str">
        <x:f>IF(B336="","",IF(I336&lt;&gt;"READY","",IF(OR(NOT(AND(J336="PASS",'Calibrare_Linii'!U14="VALID")),L336&gt;'Config_v6'!$B$13,W336="WATCH"),5,IF(Y336="PASS",1,MIN(5,MAX('Config_v6'!$B$42,U336)+IF(W336="PENALTY",1,0))))))</x:f>
      </x:c>
      <x:c r="AA336" s="2" t="str">
        <x:f>IF(B336="","",IF(I336&lt;&gt;"READY","NOT RELEASED",IF(Z336=5,"NO BET",IF(OR(AB336&lt;'Config_v6'!$B$16,V336&lt;'Config_v6'!$B$18),"WATCH",IF(Z336=1,"DEFENSIV",IF(Z336=2,"PRUDENT",IF(Z336=3,"MODERAT","RIDICAT")))))))</x:f>
      </x:c>
      <x:c r="AB336" s="10" t="str">
        <x:f>IF(N336="","",MIN(N336,1-S336))</x:f>
      </x:c>
      <x:c r="AC336" s="2" t="str">
        <x:f>IF(AD336&lt;&gt;1,"",COUNTIFS($Z$328:$Z$341,"&lt;"&amp;Z336,$AD$328:$AD$341,1)+COUNTIFS($Z$328:$Z$341,Z336,$AB$328:$AB$341,"&gt;"&amp;AB336,$AD$328:$AD$341,1)+COUNTIFS($Z$328:$Z$341,Z336,$AB$328:$AB$341,AB336,$V$328:$V$341,"&gt;"&amp;V336,$AD$328:$AD$341,1)+COUNTIFS($Z$328:Z336,Z336,$AB$328:AB336,AB336,$V$328:V336,V336,$AD$328:AD336,1))</x:f>
      </x:c>
      <x:c r="AD336" s="2" t="n">
        <x:f>IF(OR(AA336="DEFENSIV",AA336="PRUDENT",AA336="MODERAT",AA336="RIDICAT"),1,0)</x:f>
        <x:v>0</x:v>
      </x:c>
      <x:c r="AE336" s="2" t="str">
        <x:f>IF(AD336&lt;&gt;1,"NO",IF(W336="PASS","YES",IF(W336="OOS PENDING","CONDITIONAL","NO")))</x:f>
        <x:v>NO</x:v>
      </x:c>
      <x:c r="AF336" s="2" t="n">
        <x:f>IF(AND(AD336=1,AC336=1,E336="LIVE"),1,0)</x:f>
        <x:v>0</x:v>
      </x:c>
      <x:c r="AG336" s="2" t="str">
        <x:f>IF(AF336&lt;&gt;1,"",'Dashboard'!P49)</x:f>
      </x:c>
      <x:c r="AH336" s="2" t="str">
        <x:f>IF(B336="","",IF(J336&lt;&gt;"PASS",'Motor_Meciuri'!J29,IF('Calibrare_Linii'!U14&lt;&gt;"VALID","Parametri linie invalizi",IF(L336&gt;'Config_v6'!$B$13,"Dispersie peste limita",IF(W336="WATCH","Failure peste limita",IF(AB336&lt;'Config_v6'!$B$16,"P finala sub prag",IF(V336&lt;'Config_v6'!$B$18,"Confidence sub prag",IF(E336="REPLAY","Exemplu retrospectiv; exclus din Top LIVE",IF(Y336="PASS","DEFENSIV validat",IF(W336="OOS PENDING","Eligibil; calibrare linie in monitorizare","Eligibil"))))))))))</x:f>
      </x:c>
      <x:c r="AI336" s="2" t="str">
        <x:f>IF(B336="","",'Calibrare_Linii'!V14)</x:f>
      </x:c>
      <x:c r="AJ336" s="2" t="str">
        <x:f>IF(B336="","",IF(AND('Calibrare_Linii'!T14="VALIDATED",AND('Calibrare_Linii'!H14=C336,ISNUMBER('Calibrare_Linii'!J14),'Calibrare_Linii'!J14&lt;='Input_Meci'!G29)),"DEFENSIVE VALIDATED",IF(AND('Calibrare_Linii'!S14="VALIDATED",AND('Calibrare_Linii'!H14=C336,ISNUMBER('Calibrare_Linii'!J14),'Calibrare_Linii'!J14&lt;='Input_Meci'!G29)),"TAIL VALIDATED","OOS PENDING")))</x:f>
      </x:c>
      <x:c r="AK336" s="2" t="n">
        <x:f>IF(J336&lt;&gt;"PASS",0,'Motor_Meciuri'!BR29)</x:f>
        <x:v>0</x:v>
      </x:c>
      <x:c r="AL336" s="2" t="n">
        <x:f>IF(J336&lt;&gt;"PASS",0,'Motor_Meciuri'!BS29)</x:f>
        <x:v>0</x:v>
      </x:c>
      <x:c r="AM336" s="2" t="n">
        <x:f>IF(J336&lt;&gt;"PASS",0,'Motor_Meciuri'!BT29)</x:f>
        <x:v>0</x:v>
      </x:c>
      <x:c r="AN336" s="2" t="str">
        <x:f>IF(M336="","",MAX(0,'Motor_Meciuri'!BF29-IF(L336&gt;'Config_v6'!$B$12,'Config_v6'!$B$37,IF(L336&gt;'Config_v6'!$B$11,'Config_v6'!$B$36,0))))</x:f>
      </x:c>
    </x:row>
    <x:row r="337" ht="21" customHeight="1">
      <x:c r="A337" s="2" t="n">
        <x:v>24</x:v>
      </x:c>
      <x:c r="B337" s="2" t="str">
        <x:f>IF('Motor_Meciuri'!A29="","",'Motor_Meciuri'!A29)</x:f>
      </x:c>
      <x:c r="C337" s="2" t="str">
        <x:f>IF(B337="","",'Motor_Meciuri'!B29)</x:f>
      </x:c>
      <x:c r="D337" s="2" t="str">
        <x:f>IF(B337="","",'Motor_Meciuri'!D29)</x:f>
      </x:c>
      <x:c r="E337" s="2" t="str">
        <x:f>IF(B337="","",'Motor_Meciuri'!E29)</x:f>
      </x:c>
      <x:c r="F337" s="2" t="str">
        <x:v>U13,5</x:v>
      </x:c>
      <x:c r="G337" s="2" t="str">
        <x:v>UNDER</x:v>
      </x:c>
      <x:c r="H337" s="2" t="n">
        <x:v>13</x:v>
      </x:c>
      <x:c r="I337" s="2" t="str">
        <x:f>IF(B337="","",'Motor_Meciuri'!H29)</x:f>
      </x:c>
      <x:c r="J337" s="2" t="str">
        <x:f>IF(B337="","",'Motor_Meciuri'!I29)</x:f>
      </x:c>
      <x:c r="K337" s="11" t="str">
        <x:f>IF(J337&lt;&gt;"PASS","",'Motor_Meciuri'!BD29)</x:f>
      </x:c>
      <x:c r="L337" s="11" t="str">
        <x:f>IF(J337&lt;&gt;"PASS","",'Motor_Meciuri'!AU29)</x:f>
      </x:c>
      <x:c r="M337" s="10" t="str">
        <x:f>IF(NOT(AND(J337="PASS",'Calibrare_Linii'!U15="VALID")),"",'Distributie'!AK29)</x:f>
      </x:c>
      <x:c r="N337" s="10" t="str">
        <x:f>IF(M337="","",MAX(0.01,MIN(0.99,0.5+(M337-0.5)*'Motor_Meciuri'!BG29*'Calibrare_Linii'!D15)))</x:f>
      </x:c>
      <x:c r="O337" s="10" t="str">
        <x:f>IF(M337="","",1-M337)</x:f>
      </x:c>
      <x:c r="P337" s="10" t="str">
        <x:f>IF(OR(NOT(AND(J337="PASS",'Calibrare_Linii'!U15="VALID")),AK337=0),""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*('Istoric_Nativ'!$Q$6:$Q$405&gt;H337))/AK337)</x:f>
      </x:c>
      <x:c r="Q337" s="10" t="str">
        <x:f>IF(OR(NOT(AND(J337="PASS",'Calibrare_Linii'!U15="VALID")),AL337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M29)+((('Istoric_Nativ'!$E$6:$E$405='Input_Meci'!E29)+('Istoric_Nativ'!$F$6:$F$405='Input_Meci'!E29))&gt;0)*('Istoric_Nativ'!$D$6:$D$405&gt;='Motor_Meciuri'!BN29))&gt;0)*('Istoric_Nativ'!$Q$6:$Q$405&gt;H337))/AL337)</x:f>
      </x:c>
      <x:c r="R337" s="10" t="str">
        <x:f>IF(OR(NOT(AND(J337="PASS",'Calibrare_Linii'!U15="VALID")),AM337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O29)+((('Istoric_Nativ'!$E$6:$E$405='Input_Meci'!E29)+('Istoric_Nativ'!$F$6:$F$405='Input_Meci'!E29))&gt;0)*('Istoric_Nativ'!$D$6:$D$405&gt;='Motor_Meciuri'!BP29))&gt;0)*('Istoric_Nativ'!$Q$6:$Q$405&gt;H337))/AM337)</x:f>
      </x:c>
      <x:c r="S337" s="10" t="str">
        <x:f>IF(M337="","",MAX(O337,P337,Q337,R337))</x:f>
      </x:c>
      <x:c r="T337" s="11" t="str">
        <x:f>IF(M337="","",MIN(100,S337*100*'Config_v6'!$B$44+MIN(100,L337/'Config_v6'!$B$13*100)*'Config_v6'!$B$45+(100-'Motor_Meciuri'!BF29)*'Config_v6'!$B$46+'Motor_Meciuri'!BH29*100*'Config_v6'!$B$47))</x:f>
      </x:c>
      <x:c r="U337" s="2" t="str">
        <x:f>IF(T337="","",IF(T337&lt;=20,1,IF(T337&lt;=40,2,IF(T337&lt;=60,3,IF(T337&lt;=80,4,5)))))</x:f>
      </x:c>
      <x:c r="V337" s="2" t="str">
        <x:f>IF(M337="","",MAX(0,'Motor_Meciuri'!BF29-IF(W337="OOS PENDING",'Config_v6'!$B$35,0)-IF(L337&gt;'Config_v6'!$B$12,'Config_v6'!$B$37,IF(L337&gt;'Config_v6'!$B$11,'Config_v6'!$B$36,0))))</x:f>
      </x:c>
      <x:c r="W337" s="2" t="str">
        <x:f>IF(B337="","",IF(I337&lt;&gt;"READY","NOT RELEASED",IF(NOT(AND(J337="PASS",'Calibrare_Linii'!U15="VALID")),"INVALID",IF(NOT(AND('Calibrare_Linii'!S15="VALIDATED",AND('Calibrare_Linii'!H15=C337,ISNUMBER('Calibrare_Linii'!J15),'Calibrare_Linii'!J15&lt;='Input_Meci'!G29))),"OOS PENDING",IF(S337&lt;='Calibrare_Linii'!E15,"PASS",IF(S337&lt;='Calibrare_Linii'!F15,"PENALTY","WATCH"))))))</x:f>
      </x:c>
      <x:c r="X337" s="2" t="str">
        <x:f>IF(M337="","",IF(AND(AND(J337="PASS",'Calibrare_Linii'!U15="VALID"),'Motor_Meciuri'!K29=12,'Motor_Meciuri'!L29=12,'Motor_Meciuri'!M29="NO",'Motor_Meciuri'!BL29='Motor_Meciuri'!C29,AB337&gt;='Config_v6'!$B$50,AN337&gt;='Config_v6'!$B$51,T337&lt;='Config_v6'!$B$52,L337&lt;='Config_v6'!$B$53,ISNUMBER('Calibrare_Linii'!E15),S337&lt;='Calibrare_Linii'!E15,SUM(AK337:AM337)&gt;0),"CANDIDATE","NO"))</x:f>
      </x:c>
      <x:c r="Y337" s="2" t="str">
        <x:f>IF(B337="","",IF(I337&lt;&gt;"READY","NOT RELEASED",IF(AND(X337="CANDIDATE",V337&gt;='Config_v6'!$B$51,W337="PASS",'Calibrare_Linii'!T15="VALIDATED",AND('Calibrare_Linii'!H15=C337,ISNUMBER('Calibrare_Linii'!J15),'Calibrare_Linii'!J15&lt;='Input_Meci'!G29)),"PASS",IF(X337="CANDIDATE","OOS PENDING","FAIL"))))</x:f>
      </x:c>
      <x:c r="Z337" s="2" t="str">
        <x:f>IF(B337="","",IF(I337&lt;&gt;"READY","",IF(OR(NOT(AND(J337="PASS",'Calibrare_Linii'!U15="VALID")),L337&gt;'Config_v6'!$B$13,W337="WATCH"),5,IF(Y337="PASS",1,MIN(5,MAX('Config_v6'!$B$42,U337)+IF(W337="PENALTY",1,0))))))</x:f>
      </x:c>
      <x:c r="AA337" s="2" t="str">
        <x:f>IF(B337="","",IF(I337&lt;&gt;"READY","NOT RELEASED",IF(Z337=5,"NO BET",IF(OR(AB337&lt;'Config_v6'!$B$16,V337&lt;'Config_v6'!$B$18),"WATCH",IF(Z337=1,"DEFENSIV",IF(Z337=2,"PRUDENT",IF(Z337=3,"MODERAT","RIDICAT")))))))</x:f>
      </x:c>
      <x:c r="AB337" s="10" t="str">
        <x:f>IF(N337="","",MIN(N337,1-S337))</x:f>
      </x:c>
      <x:c r="AC337" s="2" t="str">
        <x:f>IF(AD337&lt;&gt;1,"",COUNTIFS($Z$328:$Z$341,"&lt;"&amp;Z337,$AD$328:$AD$341,1)+COUNTIFS($Z$328:$Z$341,Z337,$AB$328:$AB$341,"&gt;"&amp;AB337,$AD$328:$AD$341,1)+COUNTIFS($Z$328:$Z$341,Z337,$AB$328:$AB$341,AB337,$V$328:$V$341,"&gt;"&amp;V337,$AD$328:$AD$341,1)+COUNTIFS($Z$328:Z337,Z337,$AB$328:AB337,AB337,$V$328:V337,V337,$AD$328:AD337,1))</x:f>
      </x:c>
      <x:c r="AD337" s="2" t="n">
        <x:f>IF(OR(AA337="DEFENSIV",AA337="PRUDENT",AA337="MODERAT",AA337="RIDICAT"),1,0)</x:f>
        <x:v>0</x:v>
      </x:c>
      <x:c r="AE337" s="2" t="str">
        <x:f>IF(AD337&lt;&gt;1,"NO",IF(W337="PASS","YES",IF(W337="OOS PENDING","CONDITIONAL","NO")))</x:f>
        <x:v>NO</x:v>
      </x:c>
      <x:c r="AF337" s="2" t="n">
        <x:f>IF(AND(AD337=1,AC337=1,E337="LIVE"),1,0)</x:f>
        <x:v>0</x:v>
      </x:c>
      <x:c r="AG337" s="2" t="str">
        <x:f>IF(AF337&lt;&gt;1,"",'Dashboard'!P49)</x:f>
      </x:c>
      <x:c r="AH337" s="2" t="str">
        <x:f>IF(B337="","",IF(J337&lt;&gt;"PASS",'Motor_Meciuri'!J29,IF('Calibrare_Linii'!U15&lt;&gt;"VALID","Parametri linie invalizi",IF(L337&gt;'Config_v6'!$B$13,"Dispersie peste limita",IF(W337="WATCH","Failure peste limita",IF(AB337&lt;'Config_v6'!$B$16,"P finala sub prag",IF(V337&lt;'Config_v6'!$B$18,"Confidence sub prag",IF(E337="REPLAY","Exemplu retrospectiv; exclus din Top LIVE",IF(Y337="PASS","DEFENSIV validat",IF(W337="OOS PENDING","Eligibil; calibrare linie in monitorizare","Eligibil"))))))))))</x:f>
      </x:c>
      <x:c r="AI337" s="2" t="str">
        <x:f>IF(B337="","",'Calibrare_Linii'!V15)</x:f>
      </x:c>
      <x:c r="AJ337" s="2" t="str">
        <x:f>IF(B337="","",IF(AND('Calibrare_Linii'!T15="VALIDATED",AND('Calibrare_Linii'!H15=C337,ISNUMBER('Calibrare_Linii'!J15),'Calibrare_Linii'!J15&lt;='Input_Meci'!G29)),"DEFENSIVE VALIDATED",IF(AND('Calibrare_Linii'!S15="VALIDATED",AND('Calibrare_Linii'!H15=C337,ISNUMBER('Calibrare_Linii'!J15),'Calibrare_Linii'!J15&lt;='Input_Meci'!G29)),"TAIL VALIDATED","OOS PENDING")))</x:f>
      </x:c>
      <x:c r="AK337" s="2" t="n">
        <x:f>IF(J337&lt;&gt;"PASS",0,'Motor_Meciuri'!BR29)</x:f>
        <x:v>0</x:v>
      </x:c>
      <x:c r="AL337" s="2" t="n">
        <x:f>IF(J337&lt;&gt;"PASS",0,'Motor_Meciuri'!BS29)</x:f>
        <x:v>0</x:v>
      </x:c>
      <x:c r="AM337" s="2" t="n">
        <x:f>IF(J337&lt;&gt;"PASS",0,'Motor_Meciuri'!BT29)</x:f>
        <x:v>0</x:v>
      </x:c>
      <x:c r="AN337" s="2" t="str">
        <x:f>IF(M337="","",MAX(0,'Motor_Meciuri'!BF29-IF(L337&gt;'Config_v6'!$B$12,'Config_v6'!$B$37,IF(L337&gt;'Config_v6'!$B$11,'Config_v6'!$B$36,0))))</x:f>
      </x:c>
    </x:row>
    <x:row r="338" ht="21" customHeight="1">
      <x:c r="A338" s="2" t="n">
        <x:v>24</x:v>
      </x:c>
      <x:c r="B338" s="2" t="str">
        <x:f>IF('Motor_Meciuri'!A29="","",'Motor_Meciuri'!A29)</x:f>
      </x:c>
      <x:c r="C338" s="2" t="str">
        <x:f>IF(B338="","",'Motor_Meciuri'!B29)</x:f>
      </x:c>
      <x:c r="D338" s="2" t="str">
        <x:f>IF(B338="","",'Motor_Meciuri'!D29)</x:f>
      </x:c>
      <x:c r="E338" s="2" t="str">
        <x:f>IF(B338="","",'Motor_Meciuri'!E29)</x:f>
      </x:c>
      <x:c r="F338" s="2" t="str">
        <x:v>U14,5</x:v>
      </x:c>
      <x:c r="G338" s="2" t="str">
        <x:v>UNDER</x:v>
      </x:c>
      <x:c r="H338" s="2" t="n">
        <x:v>14</x:v>
      </x:c>
      <x:c r="I338" s="2" t="str">
        <x:f>IF(B338="","",'Motor_Meciuri'!H29)</x:f>
      </x:c>
      <x:c r="J338" s="2" t="str">
        <x:f>IF(B338="","",'Motor_Meciuri'!I29)</x:f>
      </x:c>
      <x:c r="K338" s="11" t="str">
        <x:f>IF(J338&lt;&gt;"PASS","",'Motor_Meciuri'!BD29)</x:f>
      </x:c>
      <x:c r="L338" s="11" t="str">
        <x:f>IF(J338&lt;&gt;"PASS","",'Motor_Meciuri'!AU29)</x:f>
      </x:c>
      <x:c r="M338" s="10" t="str">
        <x:f>IF(NOT(AND(J338="PASS",'Calibrare_Linii'!U16="VALID")),"",'Distributie'!AL29)</x:f>
      </x:c>
      <x:c r="N338" s="10" t="str">
        <x:f>IF(M338="","",MAX(0.01,MIN(0.99,0.5+(M338-0.5)*'Motor_Meciuri'!BG29*'Calibrare_Linii'!D16)))</x:f>
      </x:c>
      <x:c r="O338" s="10" t="str">
        <x:f>IF(M338="","",1-M338)</x:f>
      </x:c>
      <x:c r="P338" s="10" t="str">
        <x:f>IF(OR(NOT(AND(J338="PASS",'Calibrare_Linii'!U16="VALID")),AK338=0),""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*('Istoric_Nativ'!$Q$6:$Q$405&gt;H338))/AK338)</x:f>
      </x:c>
      <x:c r="Q338" s="10" t="str">
        <x:f>IF(OR(NOT(AND(J338="PASS",'Calibrare_Linii'!U16="VALID")),AL338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M29)+((('Istoric_Nativ'!$E$6:$E$405='Input_Meci'!E29)+('Istoric_Nativ'!$F$6:$F$405='Input_Meci'!E29))&gt;0)*('Istoric_Nativ'!$D$6:$D$405&gt;='Motor_Meciuri'!BN29))&gt;0)*('Istoric_Nativ'!$Q$6:$Q$405&gt;H338))/AL338)</x:f>
      </x:c>
      <x:c r="R338" s="10" t="str">
        <x:f>IF(OR(NOT(AND(J338="PASS",'Calibrare_Linii'!U16="VALID")),AM338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O29)+((('Istoric_Nativ'!$E$6:$E$405='Input_Meci'!E29)+('Istoric_Nativ'!$F$6:$F$405='Input_Meci'!E29))&gt;0)*('Istoric_Nativ'!$D$6:$D$405&gt;='Motor_Meciuri'!BP29))&gt;0)*('Istoric_Nativ'!$Q$6:$Q$405&gt;H338))/AM338)</x:f>
      </x:c>
      <x:c r="S338" s="10" t="str">
        <x:f>IF(M338="","",MAX(O338,P338,Q338,R338))</x:f>
      </x:c>
      <x:c r="T338" s="11" t="str">
        <x:f>IF(M338="","",MIN(100,S338*100*'Config_v6'!$B$44+MIN(100,L338/'Config_v6'!$B$13*100)*'Config_v6'!$B$45+(100-'Motor_Meciuri'!BF29)*'Config_v6'!$B$46+'Motor_Meciuri'!BH29*100*'Config_v6'!$B$47))</x:f>
      </x:c>
      <x:c r="U338" s="2" t="str">
        <x:f>IF(T338="","",IF(T338&lt;=20,1,IF(T338&lt;=40,2,IF(T338&lt;=60,3,IF(T338&lt;=80,4,5)))))</x:f>
      </x:c>
      <x:c r="V338" s="2" t="str">
        <x:f>IF(M338="","",MAX(0,'Motor_Meciuri'!BF29-IF(W338="OOS PENDING",'Config_v6'!$B$35,0)-IF(L338&gt;'Config_v6'!$B$12,'Config_v6'!$B$37,IF(L338&gt;'Config_v6'!$B$11,'Config_v6'!$B$36,0))))</x:f>
      </x:c>
      <x:c r="W338" s="2" t="str">
        <x:f>IF(B338="","",IF(I338&lt;&gt;"READY","NOT RELEASED",IF(NOT(AND(J338="PASS",'Calibrare_Linii'!U16="VALID")),"INVALID",IF(NOT(AND('Calibrare_Linii'!S16="VALIDATED",AND('Calibrare_Linii'!H16=C338,ISNUMBER('Calibrare_Linii'!J16),'Calibrare_Linii'!J16&lt;='Input_Meci'!G29))),"OOS PENDING",IF(S338&lt;='Calibrare_Linii'!E16,"PASS",IF(S338&lt;='Calibrare_Linii'!F16,"PENALTY","WATCH"))))))</x:f>
      </x:c>
      <x:c r="X338" s="2" t="str">
        <x:f>IF(M338="","",IF(AND(AND(J338="PASS",'Calibrare_Linii'!U16="VALID"),'Motor_Meciuri'!K29=12,'Motor_Meciuri'!L29=12,'Motor_Meciuri'!M29="NO",'Motor_Meciuri'!BL29='Motor_Meciuri'!C29,AB338&gt;='Config_v6'!$B$50,AN338&gt;='Config_v6'!$B$51,T338&lt;='Config_v6'!$B$52,L338&lt;='Config_v6'!$B$53,ISNUMBER('Calibrare_Linii'!E16),S338&lt;='Calibrare_Linii'!E16,SUM(AK338:AM338)&gt;0),"CANDIDATE","NO"))</x:f>
      </x:c>
      <x:c r="Y338" s="2" t="str">
        <x:f>IF(B338="","",IF(I338&lt;&gt;"READY","NOT RELEASED",IF(AND(X338="CANDIDATE",V338&gt;='Config_v6'!$B$51,W338="PASS",'Calibrare_Linii'!T16="VALIDATED",AND('Calibrare_Linii'!H16=C338,ISNUMBER('Calibrare_Linii'!J16),'Calibrare_Linii'!J16&lt;='Input_Meci'!G29)),"PASS",IF(X338="CANDIDATE","OOS PENDING","FAIL"))))</x:f>
      </x:c>
      <x:c r="Z338" s="2" t="str">
        <x:f>IF(B338="","",IF(I338&lt;&gt;"READY","",IF(OR(NOT(AND(J338="PASS",'Calibrare_Linii'!U16="VALID")),L338&gt;'Config_v6'!$B$13,W338="WATCH"),5,IF(Y338="PASS",1,MIN(5,MAX('Config_v6'!$B$42,U338)+IF(W338="PENALTY",1,0))))))</x:f>
      </x:c>
      <x:c r="AA338" s="2" t="str">
        <x:f>IF(B338="","",IF(I338&lt;&gt;"READY","NOT RELEASED",IF(Z338=5,"NO BET",IF(OR(AB338&lt;'Config_v6'!$B$16,V338&lt;'Config_v6'!$B$18),"WATCH",IF(Z338=1,"DEFENSIV",IF(Z338=2,"PRUDENT",IF(Z338=3,"MODERAT","RIDICAT")))))))</x:f>
      </x:c>
      <x:c r="AB338" s="10" t="str">
        <x:f>IF(N338="","",MIN(N338,1-S338))</x:f>
      </x:c>
      <x:c r="AC338" s="2" t="str">
        <x:f>IF(AD338&lt;&gt;1,"",COUNTIFS($Z$328:$Z$341,"&lt;"&amp;Z338,$AD$328:$AD$341,1)+COUNTIFS($Z$328:$Z$341,Z338,$AB$328:$AB$341,"&gt;"&amp;AB338,$AD$328:$AD$341,1)+COUNTIFS($Z$328:$Z$341,Z338,$AB$328:$AB$341,AB338,$V$328:$V$341,"&gt;"&amp;V338,$AD$328:$AD$341,1)+COUNTIFS($Z$328:Z338,Z338,$AB$328:AB338,AB338,$V$328:V338,V338,$AD$328:AD338,1))</x:f>
      </x:c>
      <x:c r="AD338" s="2" t="n">
        <x:f>IF(OR(AA338="DEFENSIV",AA338="PRUDENT",AA338="MODERAT",AA338="RIDICAT"),1,0)</x:f>
        <x:v>0</x:v>
      </x:c>
      <x:c r="AE338" s="2" t="str">
        <x:f>IF(AD338&lt;&gt;1,"NO",IF(W338="PASS","YES",IF(W338="OOS PENDING","CONDITIONAL","NO")))</x:f>
        <x:v>NO</x:v>
      </x:c>
      <x:c r="AF338" s="2" t="n">
        <x:f>IF(AND(AD338=1,AC338=1,E338="LIVE"),1,0)</x:f>
        <x:v>0</x:v>
      </x:c>
      <x:c r="AG338" s="2" t="str">
        <x:f>IF(AF338&lt;&gt;1,"",'Dashboard'!P49)</x:f>
      </x:c>
      <x:c r="AH338" s="2" t="str">
        <x:f>IF(B338="","",IF(J338&lt;&gt;"PASS",'Motor_Meciuri'!J29,IF('Calibrare_Linii'!U16&lt;&gt;"VALID","Parametri linie invalizi",IF(L338&gt;'Config_v6'!$B$13,"Dispersie peste limita",IF(W338="WATCH","Failure peste limita",IF(AB338&lt;'Config_v6'!$B$16,"P finala sub prag",IF(V338&lt;'Config_v6'!$B$18,"Confidence sub prag",IF(E338="REPLAY","Exemplu retrospectiv; exclus din Top LIVE",IF(Y338="PASS","DEFENSIV validat",IF(W338="OOS PENDING","Eligibil; calibrare linie in monitorizare","Eligibil"))))))))))</x:f>
      </x:c>
      <x:c r="AI338" s="2" t="str">
        <x:f>IF(B338="","",'Calibrare_Linii'!V16)</x:f>
      </x:c>
      <x:c r="AJ338" s="2" t="str">
        <x:f>IF(B338="","",IF(AND('Calibrare_Linii'!T16="VALIDATED",AND('Calibrare_Linii'!H16=C338,ISNUMBER('Calibrare_Linii'!J16),'Calibrare_Linii'!J16&lt;='Input_Meci'!G29)),"DEFENSIVE VALIDATED",IF(AND('Calibrare_Linii'!S16="VALIDATED",AND('Calibrare_Linii'!H16=C338,ISNUMBER('Calibrare_Linii'!J16),'Calibrare_Linii'!J16&lt;='Input_Meci'!G29)),"TAIL VALIDATED","OOS PENDING")))</x:f>
      </x:c>
      <x:c r="AK338" s="2" t="n">
        <x:f>IF(J338&lt;&gt;"PASS",0,'Motor_Meciuri'!BR29)</x:f>
        <x:v>0</x:v>
      </x:c>
      <x:c r="AL338" s="2" t="n">
        <x:f>IF(J338&lt;&gt;"PASS",0,'Motor_Meciuri'!BS29)</x:f>
        <x:v>0</x:v>
      </x:c>
      <x:c r="AM338" s="2" t="n">
        <x:f>IF(J338&lt;&gt;"PASS",0,'Motor_Meciuri'!BT29)</x:f>
        <x:v>0</x:v>
      </x:c>
      <x:c r="AN338" s="2" t="str">
        <x:f>IF(M338="","",MAX(0,'Motor_Meciuri'!BF29-IF(L338&gt;'Config_v6'!$B$12,'Config_v6'!$B$37,IF(L338&gt;'Config_v6'!$B$11,'Config_v6'!$B$36,0))))</x:f>
      </x:c>
    </x:row>
    <x:row r="339" ht="21" customHeight="1">
      <x:c r="A339" s="2" t="n">
        <x:v>24</x:v>
      </x:c>
      <x:c r="B339" s="2" t="str">
        <x:f>IF('Motor_Meciuri'!A29="","",'Motor_Meciuri'!A29)</x:f>
      </x:c>
      <x:c r="C339" s="2" t="str">
        <x:f>IF(B339="","",'Motor_Meciuri'!B29)</x:f>
      </x:c>
      <x:c r="D339" s="2" t="str">
        <x:f>IF(B339="","",'Motor_Meciuri'!D29)</x:f>
      </x:c>
      <x:c r="E339" s="2" t="str">
        <x:f>IF(B339="","",'Motor_Meciuri'!E29)</x:f>
      </x:c>
      <x:c r="F339" s="2" t="str">
        <x:v>U15,5</x:v>
      </x:c>
      <x:c r="G339" s="2" t="str">
        <x:v>UNDER</x:v>
      </x:c>
      <x:c r="H339" s="2" t="n">
        <x:v>15</x:v>
      </x:c>
      <x:c r="I339" s="2" t="str">
        <x:f>IF(B339="","",'Motor_Meciuri'!H29)</x:f>
      </x:c>
      <x:c r="J339" s="2" t="str">
        <x:f>IF(B339="","",'Motor_Meciuri'!I29)</x:f>
      </x:c>
      <x:c r="K339" s="11" t="str">
        <x:f>IF(J339&lt;&gt;"PASS","",'Motor_Meciuri'!BD29)</x:f>
      </x:c>
      <x:c r="L339" s="11" t="str">
        <x:f>IF(J339&lt;&gt;"PASS","",'Motor_Meciuri'!AU29)</x:f>
      </x:c>
      <x:c r="M339" s="10" t="str">
        <x:f>IF(NOT(AND(J339="PASS",'Calibrare_Linii'!U17="VALID")),"",'Distributie'!AM29)</x:f>
      </x:c>
      <x:c r="N339" s="10" t="str">
        <x:f>IF(M339="","",MAX(0.01,MIN(0.99,0.5+(M339-0.5)*'Motor_Meciuri'!BG29*'Calibrare_Linii'!D17)))</x:f>
      </x:c>
      <x:c r="O339" s="10" t="str">
        <x:f>IF(M339="","",1-M339)</x:f>
      </x:c>
      <x:c r="P339" s="10" t="str">
        <x:f>IF(OR(NOT(AND(J339="PASS",'Calibrare_Linii'!U17="VALID")),AK339=0),""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*('Istoric_Nativ'!$Q$6:$Q$405&gt;H339))/AK339)</x:f>
      </x:c>
      <x:c r="Q339" s="10" t="str">
        <x:f>IF(OR(NOT(AND(J339="PASS",'Calibrare_Linii'!U17="VALID")),AL339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M29)+((('Istoric_Nativ'!$E$6:$E$405='Input_Meci'!E29)+('Istoric_Nativ'!$F$6:$F$405='Input_Meci'!E29))&gt;0)*('Istoric_Nativ'!$D$6:$D$405&gt;='Motor_Meciuri'!BN29))&gt;0)*('Istoric_Nativ'!$Q$6:$Q$405&gt;H339))/AL339)</x:f>
      </x:c>
      <x:c r="R339" s="10" t="str">
        <x:f>IF(OR(NOT(AND(J339="PASS",'Calibrare_Linii'!U17="VALID")),AM339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O29)+((('Istoric_Nativ'!$E$6:$E$405='Input_Meci'!E29)+('Istoric_Nativ'!$F$6:$F$405='Input_Meci'!E29))&gt;0)*('Istoric_Nativ'!$D$6:$D$405&gt;='Motor_Meciuri'!BP29))&gt;0)*('Istoric_Nativ'!$Q$6:$Q$405&gt;H339))/AM339)</x:f>
      </x:c>
      <x:c r="S339" s="10" t="str">
        <x:f>IF(M339="","",MAX(O339,P339,Q339,R339))</x:f>
      </x:c>
      <x:c r="T339" s="11" t="str">
        <x:f>IF(M339="","",MIN(100,S339*100*'Config_v6'!$B$44+MIN(100,L339/'Config_v6'!$B$13*100)*'Config_v6'!$B$45+(100-'Motor_Meciuri'!BF29)*'Config_v6'!$B$46+'Motor_Meciuri'!BH29*100*'Config_v6'!$B$47))</x:f>
      </x:c>
      <x:c r="U339" s="2" t="str">
        <x:f>IF(T339="","",IF(T339&lt;=20,1,IF(T339&lt;=40,2,IF(T339&lt;=60,3,IF(T339&lt;=80,4,5)))))</x:f>
      </x:c>
      <x:c r="V339" s="2" t="str">
        <x:f>IF(M339="","",MAX(0,'Motor_Meciuri'!BF29-IF(W339="OOS PENDING",'Config_v6'!$B$35,0)-IF(L339&gt;'Config_v6'!$B$12,'Config_v6'!$B$37,IF(L339&gt;'Config_v6'!$B$11,'Config_v6'!$B$36,0))))</x:f>
      </x:c>
      <x:c r="W339" s="2" t="str">
        <x:f>IF(B339="","",IF(I339&lt;&gt;"READY","NOT RELEASED",IF(NOT(AND(J339="PASS",'Calibrare_Linii'!U17="VALID")),"INVALID",IF(NOT(AND('Calibrare_Linii'!S17="VALIDATED",AND('Calibrare_Linii'!H17=C339,ISNUMBER('Calibrare_Linii'!J17),'Calibrare_Linii'!J17&lt;='Input_Meci'!G29))),"OOS PENDING",IF(S339&lt;='Calibrare_Linii'!E17,"PASS",IF(S339&lt;='Calibrare_Linii'!F17,"PENALTY","WATCH"))))))</x:f>
      </x:c>
      <x:c r="X339" s="2" t="str">
        <x:f>IF(M339="","",IF(AND(AND(J339="PASS",'Calibrare_Linii'!U17="VALID"),'Motor_Meciuri'!K29=12,'Motor_Meciuri'!L29=12,'Motor_Meciuri'!M29="NO",'Motor_Meciuri'!BL29='Motor_Meciuri'!C29,AB339&gt;='Config_v6'!$B$50,AN339&gt;='Config_v6'!$B$51,T339&lt;='Config_v6'!$B$52,L339&lt;='Config_v6'!$B$53,ISNUMBER('Calibrare_Linii'!E17),S339&lt;='Calibrare_Linii'!E17,SUM(AK339:AM339)&gt;0),"CANDIDATE","NO"))</x:f>
      </x:c>
      <x:c r="Y339" s="2" t="str">
        <x:f>IF(B339="","",IF(I339&lt;&gt;"READY","NOT RELEASED",IF(AND(X339="CANDIDATE",V339&gt;='Config_v6'!$B$51,W339="PASS",'Calibrare_Linii'!T17="VALIDATED",AND('Calibrare_Linii'!H17=C339,ISNUMBER('Calibrare_Linii'!J17),'Calibrare_Linii'!J17&lt;='Input_Meci'!G29)),"PASS",IF(X339="CANDIDATE","OOS PENDING","FAIL"))))</x:f>
      </x:c>
      <x:c r="Z339" s="2" t="str">
        <x:f>IF(B339="","",IF(I339&lt;&gt;"READY","",IF(OR(NOT(AND(J339="PASS",'Calibrare_Linii'!U17="VALID")),L339&gt;'Config_v6'!$B$13,W339="WATCH"),5,IF(Y339="PASS",1,MIN(5,MAX('Config_v6'!$B$42,U339)+IF(W339="PENALTY",1,0))))))</x:f>
      </x:c>
      <x:c r="AA339" s="2" t="str">
        <x:f>IF(B339="","",IF(I339&lt;&gt;"READY","NOT RELEASED",IF(Z339=5,"NO BET",IF(OR(AB339&lt;'Config_v6'!$B$16,V339&lt;'Config_v6'!$B$18),"WATCH",IF(Z339=1,"DEFENSIV",IF(Z339=2,"PRUDENT",IF(Z339=3,"MODERAT","RIDICAT")))))))</x:f>
      </x:c>
      <x:c r="AB339" s="10" t="str">
        <x:f>IF(N339="","",MIN(N339,1-S339))</x:f>
      </x:c>
      <x:c r="AC339" s="2" t="str">
        <x:f>IF(AD339&lt;&gt;1,"",COUNTIFS($Z$328:$Z$341,"&lt;"&amp;Z339,$AD$328:$AD$341,1)+COUNTIFS($Z$328:$Z$341,Z339,$AB$328:$AB$341,"&gt;"&amp;AB339,$AD$328:$AD$341,1)+COUNTIFS($Z$328:$Z$341,Z339,$AB$328:$AB$341,AB339,$V$328:$V$341,"&gt;"&amp;V339,$AD$328:$AD$341,1)+COUNTIFS($Z$328:Z339,Z339,$AB$328:AB339,AB339,$V$328:V339,V339,$AD$328:AD339,1))</x:f>
      </x:c>
      <x:c r="AD339" s="2" t="n">
        <x:f>IF(OR(AA339="DEFENSIV",AA339="PRUDENT",AA339="MODERAT",AA339="RIDICAT"),1,0)</x:f>
        <x:v>0</x:v>
      </x:c>
      <x:c r="AE339" s="2" t="str">
        <x:f>IF(AD339&lt;&gt;1,"NO",IF(W339="PASS","YES",IF(W339="OOS PENDING","CONDITIONAL","NO")))</x:f>
        <x:v>NO</x:v>
      </x:c>
      <x:c r="AF339" s="2" t="n">
        <x:f>IF(AND(AD339=1,AC339=1,E339="LIVE"),1,0)</x:f>
        <x:v>0</x:v>
      </x:c>
      <x:c r="AG339" s="2" t="str">
        <x:f>IF(AF339&lt;&gt;1,"",'Dashboard'!P49)</x:f>
      </x:c>
      <x:c r="AH339" s="2" t="str">
        <x:f>IF(B339="","",IF(J339&lt;&gt;"PASS",'Motor_Meciuri'!J29,IF('Calibrare_Linii'!U17&lt;&gt;"VALID","Parametri linie invalizi",IF(L339&gt;'Config_v6'!$B$13,"Dispersie peste limita",IF(W339="WATCH","Failure peste limita",IF(AB339&lt;'Config_v6'!$B$16,"P finala sub prag",IF(V339&lt;'Config_v6'!$B$18,"Confidence sub prag",IF(E339="REPLAY","Exemplu retrospectiv; exclus din Top LIVE",IF(Y339="PASS","DEFENSIV validat",IF(W339="OOS PENDING","Eligibil; calibrare linie in monitorizare","Eligibil"))))))))))</x:f>
      </x:c>
      <x:c r="AI339" s="2" t="str">
        <x:f>IF(B339="","",'Calibrare_Linii'!V17)</x:f>
      </x:c>
      <x:c r="AJ339" s="2" t="str">
        <x:f>IF(B339="","",IF(AND('Calibrare_Linii'!T17="VALIDATED",AND('Calibrare_Linii'!H17=C339,ISNUMBER('Calibrare_Linii'!J17),'Calibrare_Linii'!J17&lt;='Input_Meci'!G29)),"DEFENSIVE VALIDATED",IF(AND('Calibrare_Linii'!S17="VALIDATED",AND('Calibrare_Linii'!H17=C339,ISNUMBER('Calibrare_Linii'!J17),'Calibrare_Linii'!J17&lt;='Input_Meci'!G29)),"TAIL VALIDATED","OOS PENDING")))</x:f>
      </x:c>
      <x:c r="AK339" s="2" t="n">
        <x:f>IF(J339&lt;&gt;"PASS",0,'Motor_Meciuri'!BR29)</x:f>
        <x:v>0</x:v>
      </x:c>
      <x:c r="AL339" s="2" t="n">
        <x:f>IF(J339&lt;&gt;"PASS",0,'Motor_Meciuri'!BS29)</x:f>
        <x:v>0</x:v>
      </x:c>
      <x:c r="AM339" s="2" t="n">
        <x:f>IF(J339&lt;&gt;"PASS",0,'Motor_Meciuri'!BT29)</x:f>
        <x:v>0</x:v>
      </x:c>
      <x:c r="AN339" s="2" t="str">
        <x:f>IF(M339="","",MAX(0,'Motor_Meciuri'!BF29-IF(L339&gt;'Config_v6'!$B$12,'Config_v6'!$B$37,IF(L339&gt;'Config_v6'!$B$11,'Config_v6'!$B$36,0))))</x:f>
      </x:c>
    </x:row>
    <x:row r="340" ht="21" customHeight="1">
      <x:c r="A340" s="2" t="n">
        <x:v>24</x:v>
      </x:c>
      <x:c r="B340" s="2" t="str">
        <x:f>IF('Motor_Meciuri'!A29="","",'Motor_Meciuri'!A29)</x:f>
      </x:c>
      <x:c r="C340" s="2" t="str">
        <x:f>IF(B340="","",'Motor_Meciuri'!B29)</x:f>
      </x:c>
      <x:c r="D340" s="2" t="str">
        <x:f>IF(B340="","",'Motor_Meciuri'!D29)</x:f>
      </x:c>
      <x:c r="E340" s="2" t="str">
        <x:f>IF(B340="","",'Motor_Meciuri'!E29)</x:f>
      </x:c>
      <x:c r="F340" s="2" t="str">
        <x:v>U16,5</x:v>
      </x:c>
      <x:c r="G340" s="2" t="str">
        <x:v>UNDER</x:v>
      </x:c>
      <x:c r="H340" s="2" t="n">
        <x:v>16</x:v>
      </x:c>
      <x:c r="I340" s="2" t="str">
        <x:f>IF(B340="","",'Motor_Meciuri'!H29)</x:f>
      </x:c>
      <x:c r="J340" s="2" t="str">
        <x:f>IF(B340="","",'Motor_Meciuri'!I29)</x:f>
      </x:c>
      <x:c r="K340" s="11" t="str">
        <x:f>IF(J340&lt;&gt;"PASS","",'Motor_Meciuri'!BD29)</x:f>
      </x:c>
      <x:c r="L340" s="11" t="str">
        <x:f>IF(J340&lt;&gt;"PASS","",'Motor_Meciuri'!AU29)</x:f>
      </x:c>
      <x:c r="M340" s="10" t="str">
        <x:f>IF(NOT(AND(J340="PASS",'Calibrare_Linii'!U18="VALID")),"",'Distributie'!AN29)</x:f>
      </x:c>
      <x:c r="N340" s="10" t="str">
        <x:f>IF(M340="","",MAX(0.01,MIN(0.99,0.5+(M340-0.5)*'Motor_Meciuri'!BG29*'Calibrare_Linii'!D18)))</x:f>
      </x:c>
      <x:c r="O340" s="10" t="str">
        <x:f>IF(M340="","",1-M340)</x:f>
      </x:c>
      <x:c r="P340" s="10" t="str">
        <x:f>IF(OR(NOT(AND(J340="PASS",'Calibrare_Linii'!U18="VALID")),AK340=0),""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*('Istoric_Nativ'!$Q$6:$Q$405&gt;H340))/AK340)</x:f>
      </x:c>
      <x:c r="Q340" s="10" t="str">
        <x:f>IF(OR(NOT(AND(J340="PASS",'Calibrare_Linii'!U18="VALID")),AL340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M29)+((('Istoric_Nativ'!$E$6:$E$405='Input_Meci'!E29)+('Istoric_Nativ'!$F$6:$F$405='Input_Meci'!E29))&gt;0)*('Istoric_Nativ'!$D$6:$D$405&gt;='Motor_Meciuri'!BN29))&gt;0)*('Istoric_Nativ'!$Q$6:$Q$405&gt;H340))/AL340)</x:f>
      </x:c>
      <x:c r="R340" s="10" t="str">
        <x:f>IF(OR(NOT(AND(J340="PASS",'Calibrare_Linii'!U18="VALID")),AM340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O29)+((('Istoric_Nativ'!$E$6:$E$405='Input_Meci'!E29)+('Istoric_Nativ'!$F$6:$F$405='Input_Meci'!E29))&gt;0)*('Istoric_Nativ'!$D$6:$D$405&gt;='Motor_Meciuri'!BP29))&gt;0)*('Istoric_Nativ'!$Q$6:$Q$405&gt;H340))/AM340)</x:f>
      </x:c>
      <x:c r="S340" s="10" t="str">
        <x:f>IF(M340="","",MAX(O340,P340,Q340,R340))</x:f>
      </x:c>
      <x:c r="T340" s="11" t="str">
        <x:f>IF(M340="","",MIN(100,S340*100*'Config_v6'!$B$44+MIN(100,L340/'Config_v6'!$B$13*100)*'Config_v6'!$B$45+(100-'Motor_Meciuri'!BF29)*'Config_v6'!$B$46+'Motor_Meciuri'!BH29*100*'Config_v6'!$B$47))</x:f>
      </x:c>
      <x:c r="U340" s="2" t="str">
        <x:f>IF(T340="","",IF(T340&lt;=20,1,IF(T340&lt;=40,2,IF(T340&lt;=60,3,IF(T340&lt;=80,4,5)))))</x:f>
      </x:c>
      <x:c r="V340" s="2" t="str">
        <x:f>IF(M340="","",MAX(0,'Motor_Meciuri'!BF29-IF(W340="OOS PENDING",'Config_v6'!$B$35,0)-IF(L340&gt;'Config_v6'!$B$12,'Config_v6'!$B$37,IF(L340&gt;'Config_v6'!$B$11,'Config_v6'!$B$36,0))))</x:f>
      </x:c>
      <x:c r="W340" s="2" t="str">
        <x:f>IF(B340="","",IF(I340&lt;&gt;"READY","NOT RELEASED",IF(NOT(AND(J340="PASS",'Calibrare_Linii'!U18="VALID")),"INVALID",IF(NOT(AND('Calibrare_Linii'!S18="VALIDATED",AND('Calibrare_Linii'!H18=C340,ISNUMBER('Calibrare_Linii'!J18),'Calibrare_Linii'!J18&lt;='Input_Meci'!G29))),"OOS PENDING",IF(S340&lt;='Calibrare_Linii'!E18,"PASS",IF(S340&lt;='Calibrare_Linii'!F18,"PENALTY","WATCH"))))))</x:f>
      </x:c>
      <x:c r="X340" s="2" t="str">
        <x:f>IF(M340="","",IF(AND(AND(J340="PASS",'Calibrare_Linii'!U18="VALID"),'Motor_Meciuri'!K29=12,'Motor_Meciuri'!L29=12,'Motor_Meciuri'!M29="NO",'Motor_Meciuri'!BL29='Motor_Meciuri'!C29,AB340&gt;='Config_v6'!$B$50,AN340&gt;='Config_v6'!$B$51,T340&lt;='Config_v6'!$B$52,L340&lt;='Config_v6'!$B$53,ISNUMBER('Calibrare_Linii'!E18),S340&lt;='Calibrare_Linii'!E18,SUM(AK340:AM340)&gt;0),"CANDIDATE","NO"))</x:f>
      </x:c>
      <x:c r="Y340" s="2" t="str">
        <x:f>IF(B340="","",IF(I340&lt;&gt;"READY","NOT RELEASED",IF(AND(X340="CANDIDATE",V340&gt;='Config_v6'!$B$51,W340="PASS",'Calibrare_Linii'!T18="VALIDATED",AND('Calibrare_Linii'!H18=C340,ISNUMBER('Calibrare_Linii'!J18),'Calibrare_Linii'!J18&lt;='Input_Meci'!G29)),"PASS",IF(X340="CANDIDATE","OOS PENDING","FAIL"))))</x:f>
      </x:c>
      <x:c r="Z340" s="2" t="str">
        <x:f>IF(B340="","",IF(I340&lt;&gt;"READY","",IF(OR(NOT(AND(J340="PASS",'Calibrare_Linii'!U18="VALID")),L340&gt;'Config_v6'!$B$13,W340="WATCH"),5,IF(Y340="PASS",1,MIN(5,MAX('Config_v6'!$B$42,U340)+IF(W340="PENALTY",1,0))))))</x:f>
      </x:c>
      <x:c r="AA340" s="2" t="str">
        <x:f>IF(B340="","",IF(I340&lt;&gt;"READY","NOT RELEASED",IF(Z340=5,"NO BET",IF(OR(AB340&lt;'Config_v6'!$B$16,V340&lt;'Config_v6'!$B$18),"WATCH",IF(Z340=1,"DEFENSIV",IF(Z340=2,"PRUDENT",IF(Z340=3,"MODERAT","RIDICAT")))))))</x:f>
      </x:c>
      <x:c r="AB340" s="10" t="str">
        <x:f>IF(N340="","",MIN(N340,1-S340))</x:f>
      </x:c>
      <x:c r="AC340" s="2" t="str">
        <x:f>IF(AD340&lt;&gt;1,"",COUNTIFS($Z$328:$Z$341,"&lt;"&amp;Z340,$AD$328:$AD$341,1)+COUNTIFS($Z$328:$Z$341,Z340,$AB$328:$AB$341,"&gt;"&amp;AB340,$AD$328:$AD$341,1)+COUNTIFS($Z$328:$Z$341,Z340,$AB$328:$AB$341,AB340,$V$328:$V$341,"&gt;"&amp;V340,$AD$328:$AD$341,1)+COUNTIFS($Z$328:Z340,Z340,$AB$328:AB340,AB340,$V$328:V340,V340,$AD$328:AD340,1))</x:f>
      </x:c>
      <x:c r="AD340" s="2" t="n">
        <x:f>IF(OR(AA340="DEFENSIV",AA340="PRUDENT",AA340="MODERAT",AA340="RIDICAT"),1,0)</x:f>
        <x:v>0</x:v>
      </x:c>
      <x:c r="AE340" s="2" t="str">
        <x:f>IF(AD340&lt;&gt;1,"NO",IF(W340="PASS","YES",IF(W340="OOS PENDING","CONDITIONAL","NO")))</x:f>
        <x:v>NO</x:v>
      </x:c>
      <x:c r="AF340" s="2" t="n">
        <x:f>IF(AND(AD340=1,AC340=1,E340="LIVE"),1,0)</x:f>
        <x:v>0</x:v>
      </x:c>
      <x:c r="AG340" s="2" t="str">
        <x:f>IF(AF340&lt;&gt;1,"",'Dashboard'!P49)</x:f>
      </x:c>
      <x:c r="AH340" s="2" t="str">
        <x:f>IF(B340="","",IF(J340&lt;&gt;"PASS",'Motor_Meciuri'!J29,IF('Calibrare_Linii'!U18&lt;&gt;"VALID","Parametri linie invalizi",IF(L340&gt;'Config_v6'!$B$13,"Dispersie peste limita",IF(W340="WATCH","Failure peste limita",IF(AB340&lt;'Config_v6'!$B$16,"P finala sub prag",IF(V340&lt;'Config_v6'!$B$18,"Confidence sub prag",IF(E340="REPLAY","Exemplu retrospectiv; exclus din Top LIVE",IF(Y340="PASS","DEFENSIV validat",IF(W340="OOS PENDING","Eligibil; calibrare linie in monitorizare","Eligibil"))))))))))</x:f>
      </x:c>
      <x:c r="AI340" s="2" t="str">
        <x:f>IF(B340="","",'Calibrare_Linii'!V18)</x:f>
      </x:c>
      <x:c r="AJ340" s="2" t="str">
        <x:f>IF(B340="","",IF(AND('Calibrare_Linii'!T18="VALIDATED",AND('Calibrare_Linii'!H18=C340,ISNUMBER('Calibrare_Linii'!J18),'Calibrare_Linii'!J18&lt;='Input_Meci'!G29)),"DEFENSIVE VALIDATED",IF(AND('Calibrare_Linii'!S18="VALIDATED",AND('Calibrare_Linii'!H18=C340,ISNUMBER('Calibrare_Linii'!J18),'Calibrare_Linii'!J18&lt;='Input_Meci'!G29)),"TAIL VALIDATED","OOS PENDING")))</x:f>
      </x:c>
      <x:c r="AK340" s="2" t="n">
        <x:f>IF(J340&lt;&gt;"PASS",0,'Motor_Meciuri'!BR29)</x:f>
        <x:v>0</x:v>
      </x:c>
      <x:c r="AL340" s="2" t="n">
        <x:f>IF(J340&lt;&gt;"PASS",0,'Motor_Meciuri'!BS29)</x:f>
        <x:v>0</x:v>
      </x:c>
      <x:c r="AM340" s="2" t="n">
        <x:f>IF(J340&lt;&gt;"PASS",0,'Motor_Meciuri'!BT29)</x:f>
        <x:v>0</x:v>
      </x:c>
      <x:c r="AN340" s="2" t="str">
        <x:f>IF(M340="","",MAX(0,'Motor_Meciuri'!BF29-IF(L340&gt;'Config_v6'!$B$12,'Config_v6'!$B$37,IF(L340&gt;'Config_v6'!$B$11,'Config_v6'!$B$36,0))))</x:f>
      </x:c>
    </x:row>
    <x:row r="341" ht="21" customHeight="1">
      <x:c r="A341" s="2" t="n">
        <x:v>24</x:v>
      </x:c>
      <x:c r="B341" s="2" t="str">
        <x:f>IF('Motor_Meciuri'!A29="","",'Motor_Meciuri'!A29)</x:f>
      </x:c>
      <x:c r="C341" s="2" t="str">
        <x:f>IF(B341="","",'Motor_Meciuri'!B29)</x:f>
      </x:c>
      <x:c r="D341" s="2" t="str">
        <x:f>IF(B341="","",'Motor_Meciuri'!D29)</x:f>
      </x:c>
      <x:c r="E341" s="2" t="str">
        <x:f>IF(B341="","",'Motor_Meciuri'!E29)</x:f>
      </x:c>
      <x:c r="F341" s="2" t="str">
        <x:v>U17,5</x:v>
      </x:c>
      <x:c r="G341" s="2" t="str">
        <x:v>UNDER</x:v>
      </x:c>
      <x:c r="H341" s="2" t="n">
        <x:v>17</x:v>
      </x:c>
      <x:c r="I341" s="2" t="str">
        <x:f>IF(B341="","",'Motor_Meciuri'!H29)</x:f>
      </x:c>
      <x:c r="J341" s="2" t="str">
        <x:f>IF(B341="","",'Motor_Meciuri'!I29)</x:f>
      </x:c>
      <x:c r="K341" s="11" t="str">
        <x:f>IF(J341&lt;&gt;"PASS","",'Motor_Meciuri'!BD29)</x:f>
      </x:c>
      <x:c r="L341" s="11" t="str">
        <x:f>IF(J341&lt;&gt;"PASS","",'Motor_Meciuri'!AU29)</x:f>
      </x:c>
      <x:c r="M341" s="10" t="str">
        <x:f>IF(NOT(AND(J341="PASS",'Calibrare_Linii'!U19="VALID")),"",'Distributie'!AO29)</x:f>
      </x:c>
      <x:c r="N341" s="10" t="str">
        <x:f>IF(M341="","",MAX(0.01,MIN(0.99,0.5+(M341-0.5)*'Motor_Meciuri'!BG29*'Calibrare_Linii'!D19)))</x:f>
      </x:c>
      <x:c r="O341" s="10" t="str">
        <x:f>IF(M341="","",1-M341)</x:f>
      </x:c>
      <x:c r="P341" s="10" t="str">
        <x:f>IF(OR(NOT(AND(J341="PASS",'Calibrare_Linii'!U19="VALID")),AK341=0),""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*('Istoric_Nativ'!$Q$6:$Q$405&gt;H341))/AK341)</x:f>
      </x:c>
      <x:c r="Q341" s="10" t="str">
        <x:f>IF(OR(NOT(AND(J341="PASS",'Calibrare_Linii'!U19="VALID")),AL341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M29)+((('Istoric_Nativ'!$E$6:$E$405='Input_Meci'!E29)+('Istoric_Nativ'!$F$6:$F$405='Input_Meci'!E29))&gt;0)*('Istoric_Nativ'!$D$6:$D$405&gt;='Motor_Meciuri'!BN29))&gt;0)*('Istoric_Nativ'!$Q$6:$Q$405&gt;H341))/AL341)</x:f>
      </x:c>
      <x:c r="R341" s="10" t="str">
        <x:f>IF(OR(NOT(AND(J341="PASS",'Calibrare_Linii'!U19="VALID")),AM341=0),""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'Motor_Meciuri'!BO29)+((('Istoric_Nativ'!$E$6:$E$405='Input_Meci'!E29)+('Istoric_Nativ'!$F$6:$F$405='Input_Meci'!E29))&gt;0)*('Istoric_Nativ'!$D$6:$D$405&gt;='Motor_Meciuri'!BP29))&gt;0)*('Istoric_Nativ'!$Q$6:$Q$405&gt;H341))/AM341)</x:f>
      </x:c>
      <x:c r="S341" s="10" t="str">
        <x:f>IF(M341="","",MAX(O341,P341,Q341,R341))</x:f>
      </x:c>
      <x:c r="T341" s="11" t="str">
        <x:f>IF(M341="","",MIN(100,S341*100*'Config_v6'!$B$44+MIN(100,L341/'Config_v6'!$B$13*100)*'Config_v6'!$B$45+(100-'Motor_Meciuri'!BF29)*'Config_v6'!$B$46+'Motor_Meciuri'!BH29*100*'Config_v6'!$B$47))</x:f>
      </x:c>
      <x:c r="U341" s="2" t="str">
        <x:f>IF(T341="","",IF(T341&lt;=20,1,IF(T341&lt;=40,2,IF(T341&lt;=60,3,IF(T341&lt;=80,4,5)))))</x:f>
      </x:c>
      <x:c r="V341" s="2" t="str">
        <x:f>IF(M341="","",MAX(0,'Motor_Meciuri'!BF29-IF(W341="OOS PENDING",'Config_v6'!$B$35,0)-IF(L341&gt;'Config_v6'!$B$12,'Config_v6'!$B$37,IF(L341&gt;'Config_v6'!$B$11,'Config_v6'!$B$36,0))))</x:f>
      </x:c>
      <x:c r="W341" s="2" t="str">
        <x:f>IF(B341="","",IF(I341&lt;&gt;"READY","NOT RELEASED",IF(NOT(AND(J341="PASS",'Calibrare_Linii'!U19="VALID")),"INVALID",IF(NOT(AND('Calibrare_Linii'!S19="VALIDATED",AND('Calibrare_Linii'!H19=C341,ISNUMBER('Calibrare_Linii'!J19),'Calibrare_Linii'!J19&lt;='Input_Meci'!G29))),"OOS PENDING",IF(S341&lt;='Calibrare_Linii'!E19,"PASS",IF(S341&lt;='Calibrare_Linii'!F19,"PENALTY","WATCH"))))))</x:f>
      </x:c>
      <x:c r="X341" s="2" t="str">
        <x:f>IF(M341="","",IF(AND(AND(J341="PASS",'Calibrare_Linii'!U19="VALID"),'Motor_Meciuri'!K29=12,'Motor_Meciuri'!L29=12,'Motor_Meciuri'!M29="NO",'Motor_Meciuri'!BL29='Motor_Meciuri'!C29,AB341&gt;='Config_v6'!$B$50,AN341&gt;='Config_v6'!$B$51,T341&lt;='Config_v6'!$B$52,L341&lt;='Config_v6'!$B$53,ISNUMBER('Calibrare_Linii'!E19),S341&lt;='Calibrare_Linii'!E19,SUM(AK341:AM341)&gt;0),"CANDIDATE","NO"))</x:f>
      </x:c>
      <x:c r="Y341" s="2" t="str">
        <x:f>IF(B341="","",IF(I341&lt;&gt;"READY","NOT RELEASED",IF(AND(X341="CANDIDATE",V341&gt;='Config_v6'!$B$51,W341="PASS",'Calibrare_Linii'!T19="VALIDATED",AND('Calibrare_Linii'!H19=C341,ISNUMBER('Calibrare_Linii'!J19),'Calibrare_Linii'!J19&lt;='Input_Meci'!G29)),"PASS",IF(X341="CANDIDATE","OOS PENDING","FAIL"))))</x:f>
      </x:c>
      <x:c r="Z341" s="2" t="str">
        <x:f>IF(B341="","",IF(I341&lt;&gt;"READY","",IF(OR(NOT(AND(J341="PASS",'Calibrare_Linii'!U19="VALID")),L341&gt;'Config_v6'!$B$13,W341="WATCH"),5,IF(Y341="PASS",1,MIN(5,MAX('Config_v6'!$B$42,U341)+IF(W341="PENALTY",1,0))))))</x:f>
      </x:c>
      <x:c r="AA341" s="2" t="str">
        <x:f>IF(B341="","",IF(I341&lt;&gt;"READY","NOT RELEASED",IF(Z341=5,"NO BET",IF(OR(AB341&lt;'Config_v6'!$B$16,V341&lt;'Config_v6'!$B$18),"WATCH",IF(Z341=1,"DEFENSIV",IF(Z341=2,"PRUDENT",IF(Z341=3,"MODERAT","RIDICAT")))))))</x:f>
      </x:c>
      <x:c r="AB341" s="10" t="str">
        <x:f>IF(N341="","",MIN(N341,1-S341))</x:f>
      </x:c>
      <x:c r="AC341" s="2" t="str">
        <x:f>IF(AD341&lt;&gt;1,"",COUNTIFS($Z$328:$Z$341,"&lt;"&amp;Z341,$AD$328:$AD$341,1)+COUNTIFS($Z$328:$Z$341,Z341,$AB$328:$AB$341,"&gt;"&amp;AB341,$AD$328:$AD$341,1)+COUNTIFS($Z$328:$Z$341,Z341,$AB$328:$AB$341,AB341,$V$328:$V$341,"&gt;"&amp;V341,$AD$328:$AD$341,1)+COUNTIFS($Z$328:Z341,Z341,$AB$328:AB341,AB341,$V$328:V341,V341,$AD$328:AD341,1))</x:f>
      </x:c>
      <x:c r="AD341" s="2" t="n">
        <x:f>IF(OR(AA341="DEFENSIV",AA341="PRUDENT",AA341="MODERAT",AA341="RIDICAT"),1,0)</x:f>
        <x:v>0</x:v>
      </x:c>
      <x:c r="AE341" s="2" t="str">
        <x:f>IF(AD341&lt;&gt;1,"NO",IF(W341="PASS","YES",IF(W341="OOS PENDING","CONDITIONAL","NO")))</x:f>
        <x:v>NO</x:v>
      </x:c>
      <x:c r="AF341" s="2" t="n">
        <x:f>IF(AND(AD341=1,AC341=1,E341="LIVE"),1,0)</x:f>
        <x:v>0</x:v>
      </x:c>
      <x:c r="AG341" s="2" t="str">
        <x:f>IF(AF341&lt;&gt;1,"",'Dashboard'!P49)</x:f>
      </x:c>
      <x:c r="AH341" s="2" t="str">
        <x:f>IF(B341="","",IF(J341&lt;&gt;"PASS",'Motor_Meciuri'!J29,IF('Calibrare_Linii'!U19&lt;&gt;"VALID","Parametri linie invalizi",IF(L341&gt;'Config_v6'!$B$13,"Dispersie peste limita",IF(W341="WATCH","Failure peste limita",IF(AB341&lt;'Config_v6'!$B$16,"P finala sub prag",IF(V341&lt;'Config_v6'!$B$18,"Confidence sub prag",IF(E341="REPLAY","Exemplu retrospectiv; exclus din Top LIVE",IF(Y341="PASS","DEFENSIV validat",IF(W341="OOS PENDING","Eligibil; calibrare linie in monitorizare","Eligibil"))))))))))</x:f>
      </x:c>
      <x:c r="AI341" s="2" t="str">
        <x:f>IF(B341="","",'Calibrare_Linii'!V19)</x:f>
      </x:c>
      <x:c r="AJ341" s="2" t="str">
        <x:f>IF(B341="","",IF(AND('Calibrare_Linii'!T19="VALIDATED",AND('Calibrare_Linii'!H19=C341,ISNUMBER('Calibrare_Linii'!J19),'Calibrare_Linii'!J19&lt;='Input_Meci'!G29)),"DEFENSIVE VALIDATED",IF(AND('Calibrare_Linii'!S19="VALIDATED",AND('Calibrare_Linii'!H19=C341,ISNUMBER('Calibrare_Linii'!J19),'Calibrare_Linii'!J19&lt;='Input_Meci'!G29)),"TAIL VALIDATED","OOS PENDING")))</x:f>
      </x:c>
      <x:c r="AK341" s="2" t="n">
        <x:f>IF(J341&lt;&gt;"PASS",0,'Motor_Meciuri'!BR29)</x:f>
        <x:v>0</x:v>
      </x:c>
      <x:c r="AL341" s="2" t="n">
        <x:f>IF(J341&lt;&gt;"PASS",0,'Motor_Meciuri'!BS29)</x:f>
        <x:v>0</x:v>
      </x:c>
      <x:c r="AM341" s="2" t="n">
        <x:f>IF(J341&lt;&gt;"PASS",0,'Motor_Meciuri'!BT29)</x:f>
        <x:v>0</x:v>
      </x:c>
      <x:c r="AN341" s="2" t="str">
        <x:f>IF(M341="","",MAX(0,'Motor_Meciuri'!BF29-IF(L341&gt;'Config_v6'!$B$12,'Config_v6'!$B$37,IF(L341&gt;'Config_v6'!$B$11,'Config_v6'!$B$36,0))))</x:f>
      </x:c>
    </x:row>
    <x:row r="342" ht="21" customHeight="1">
      <x:c r="A342" s="2" t="n">
        <x:v>25</x:v>
      </x:c>
      <x:c r="B342" s="2" t="str">
        <x:f>IF('Motor_Meciuri'!A30="","",'Motor_Meciuri'!A30)</x:f>
      </x:c>
      <x:c r="C342" s="2" t="str">
        <x:f>IF(B342="","",'Motor_Meciuri'!B30)</x:f>
      </x:c>
      <x:c r="D342" s="2" t="str">
        <x:f>IF(B342="","",'Motor_Meciuri'!D30)</x:f>
      </x:c>
      <x:c r="E342" s="2" t="str">
        <x:f>IF(B342="","",'Motor_Meciuri'!E30)</x:f>
      </x:c>
      <x:c r="F342" s="2" t="str">
        <x:v>O3,5</x:v>
      </x:c>
      <x:c r="G342" s="2" t="str">
        <x:v>OVER</x:v>
      </x:c>
      <x:c r="H342" s="2" t="n">
        <x:v>3</x:v>
      </x:c>
      <x:c r="I342" s="2" t="str">
        <x:f>IF(B342="","",'Motor_Meciuri'!H30)</x:f>
      </x:c>
      <x:c r="J342" s="2" t="str">
        <x:f>IF(B342="","",'Motor_Meciuri'!I30)</x:f>
      </x:c>
      <x:c r="K342" s="11" t="str">
        <x:f>IF(J342&lt;&gt;"PASS","",'Motor_Meciuri'!BD30)</x:f>
      </x:c>
      <x:c r="L342" s="11" t="str">
        <x:f>IF(J342&lt;&gt;"PASS","",'Motor_Meciuri'!AU30)</x:f>
      </x:c>
      <x:c r="M342" s="10" t="str">
        <x:f>IF(NOT(AND(J342="PASS",'Calibrare_Linii'!U6="VALID")),"",1-'Distributie'!AA30)</x:f>
      </x:c>
      <x:c r="N342" s="10" t="str">
        <x:f>IF(M342="","",MAX(0.01,MIN(0.99,0.5+(M342-0.5)*'Motor_Meciuri'!BG30*'Calibrare_Linii'!D6)))</x:f>
      </x:c>
      <x:c r="O342" s="10" t="str">
        <x:f>IF(M342="","",1-M342)</x:f>
      </x:c>
      <x:c r="P342" s="10" t="str">
        <x:f>IF(OR(NOT(AND(J342="PASS",'Calibrare_Linii'!U6="VALID")),AK342=0),""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*('Istoric_Nativ'!$Q$6:$Q$405&lt;=H342))/AK342)</x:f>
      </x:c>
      <x:c r="Q342" s="10" t="str">
        <x:f>IF(OR(NOT(AND(J342="PASS",'Calibrare_Linii'!U6="VALID")),AL342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M30)+((('Istoric_Nativ'!$E$6:$E$405='Input_Meci'!E30)+('Istoric_Nativ'!$F$6:$F$405='Input_Meci'!E30))&gt;0)*('Istoric_Nativ'!$D$6:$D$405&gt;='Motor_Meciuri'!BN30))&gt;0)*('Istoric_Nativ'!$Q$6:$Q$405&lt;=H342))/AL342)</x:f>
      </x:c>
      <x:c r="R342" s="10" t="str">
        <x:f>IF(OR(NOT(AND(J342="PASS",'Calibrare_Linii'!U6="VALID")),AM342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O30)+((('Istoric_Nativ'!$E$6:$E$405='Input_Meci'!E30)+('Istoric_Nativ'!$F$6:$F$405='Input_Meci'!E30))&gt;0)*('Istoric_Nativ'!$D$6:$D$405&gt;='Motor_Meciuri'!BP30))&gt;0)*('Istoric_Nativ'!$Q$6:$Q$405&lt;=H342))/AM342)</x:f>
      </x:c>
      <x:c r="S342" s="10" t="str">
        <x:f>IF(M342="","",MAX(O342,P342,Q342,R342))</x:f>
      </x:c>
      <x:c r="T342" s="11" t="str">
        <x:f>IF(M342="","",MIN(100,S342*100*'Config_v6'!$B$44+MIN(100,L342/'Config_v6'!$B$13*100)*'Config_v6'!$B$45+(100-'Motor_Meciuri'!BF30)*'Config_v6'!$B$46+'Motor_Meciuri'!BH30*100*'Config_v6'!$B$47))</x:f>
      </x:c>
      <x:c r="U342" s="2" t="str">
        <x:f>IF(T342="","",IF(T342&lt;=20,1,IF(T342&lt;=40,2,IF(T342&lt;=60,3,IF(T342&lt;=80,4,5)))))</x:f>
      </x:c>
      <x:c r="V342" s="2" t="str">
        <x:f>IF(M342="","",MAX(0,'Motor_Meciuri'!BF30-IF(W342="OOS PENDING",'Config_v6'!$B$35,0)-IF(L342&gt;'Config_v6'!$B$12,'Config_v6'!$B$37,IF(L342&gt;'Config_v6'!$B$11,'Config_v6'!$B$36,0))))</x:f>
      </x:c>
      <x:c r="W342" s="2" t="str">
        <x:f>IF(B342="","",IF(I342&lt;&gt;"READY","NOT RELEASED",IF(NOT(AND(J342="PASS",'Calibrare_Linii'!U6="VALID")),"INVALID",IF(NOT(TRUE),"OOS PENDING",IF(S342&lt;=IF(AND('Calibrare_Linii'!S6="VALIDATED",AND('Calibrare_Linii'!H6=C342,ISNUMBER('Calibrare_Linii'!J6),'Calibrare_Linii'!J6&lt;='Input_Meci'!G30)),'Calibrare_Linii'!E6,'Config_v6'!$B$26),"PASS",IF(S342&lt;=IF(AND('Calibrare_Linii'!S6="VALIDATED",AND('Calibrare_Linii'!H6=C342,ISNUMBER('Calibrare_Linii'!J6),'Calibrare_Linii'!J6&lt;='Input_Meci'!G30)),'Calibrare_Linii'!F6,'Config_v6'!$C$26),"PENALTY","WATCH"))))))</x:f>
      </x:c>
      <x:c r="X342" s="2" t="str">
        <x:f>IF(M342="","",IF(AND(AND(J342="PASS",'Calibrare_Linii'!U6="VALID"),'Motor_Meciuri'!K30=12,'Motor_Meciuri'!L30=12,'Motor_Meciuri'!M30="NO",'Motor_Meciuri'!BL30='Motor_Meciuri'!C30,AB342&gt;='Config_v6'!$B$50,AN342&gt;='Config_v6'!$B$51,T342&lt;='Config_v6'!$B$52,L342&lt;='Config_v6'!$B$53,ISNUMBER('Calibrare_Linii'!E6),S342&lt;='Calibrare_Linii'!E6,SUM(AK342:AM342)&gt;0),"CANDIDATE","NO"))</x:f>
      </x:c>
      <x:c r="Y342" s="2" t="str">
        <x:f>IF(B342="","",IF(I342&lt;&gt;"READY","NOT RELEASED",IF(AND(X342="CANDIDATE",V342&gt;='Config_v6'!$B$51,W342="PASS",'Calibrare_Linii'!T6="VALIDATED",AND('Calibrare_Linii'!H6=C342,ISNUMBER('Calibrare_Linii'!J6),'Calibrare_Linii'!J6&lt;='Input_Meci'!G30)),"PASS",IF(X342="CANDIDATE","OOS PENDING","FAIL"))))</x:f>
      </x:c>
      <x:c r="Z342" s="2" t="str">
        <x:f>IF(B342="","",IF(I342&lt;&gt;"READY","",IF(OR(NOT(AND(J342="PASS",'Calibrare_Linii'!U6="VALID")),L342&gt;'Config_v6'!$B$13,W342="WATCH"),5,IF(Y342="PASS",1,MIN(5,MAX('Config_v6'!$B$42,U342)+IF(W342="PENALTY",1,0))))))</x:f>
      </x:c>
      <x:c r="AA342" s="2" t="str">
        <x:f>IF(B342="","",IF(I342&lt;&gt;"READY","NOT RELEASED",IF(Z342=5,"NO BET",IF(OR(AB342&lt;'Config_v6'!$B$16,V342&lt;'Config_v6'!$B$18),"WATCH",IF(Z342=1,"DEFENSIV",IF(Z342=2,"PRUDENT",IF(Z342=3,"MODERAT","RIDICAT")))))))</x:f>
      </x:c>
      <x:c r="AB342" s="10" t="str">
        <x:f>IF(N342="","",MIN(N342,1-S342))</x:f>
      </x:c>
      <x:c r="AC342" s="2" t="str">
        <x:f>IF(AD342&lt;&gt;1,"",COUNTIFS($Z$342:$Z$355,"&lt;"&amp;Z342,$AD$342:$AD$355,1)+COUNTIFS($Z$342:$Z$355,Z342,$AB$342:$AB$355,"&gt;"&amp;AB342,$AD$342:$AD$355,1)+COUNTIFS($Z$342:$Z$355,Z342,$AB$342:$AB$355,AB342,$V$342:$V$355,"&gt;"&amp;V342,$AD$342:$AD$355,1)+COUNTIFS($Z$342:Z342,Z342,$AB$342:AB342,AB342,$V$342:V342,V342,$AD$342:AD342,1))</x:f>
      </x:c>
      <x:c r="AD342" s="2" t="n">
        <x:f>IF(OR(AA342="DEFENSIV",AA342="PRUDENT",AA342="MODERAT",AA342="RIDICAT"),1,0)</x:f>
        <x:v>0</x:v>
      </x:c>
      <x:c r="AE342" s="2" t="str">
        <x:f>IF(AD342&lt;&gt;1,"NO",IF(W342="PASS","YES",IF(W342="OOS PENDING","CONDITIONAL","NO")))</x:f>
        <x:v>NO</x:v>
      </x:c>
      <x:c r="AF342" s="2" t="n">
        <x:f>IF(AND(AD342=1,AC342=1,E342="LIVE"),1,0)</x:f>
        <x:v>0</x:v>
      </x:c>
      <x:c r="AG342" s="2" t="str">
        <x:f>IF(AF342&lt;&gt;1,"",'Dashboard'!P50)</x:f>
      </x:c>
      <x:c r="AH342" s="2" t="str">
        <x:f>IF(B342="","",IF(J342&lt;&gt;"PASS",'Motor_Meciuri'!J30,IF('Calibrare_Linii'!U6&lt;&gt;"VALID","Parametri linie invalizi",IF(L342&gt;'Config_v6'!$B$13,"Dispersie peste limita",IF(W342="WATCH","Failure peste limita",IF(AB342&lt;'Config_v6'!$B$16,"P finala sub prag",IF(V342&lt;'Config_v6'!$B$18,"Confidence sub prag",IF(E342="REPLAY","Exemplu retrospectiv; exclus din Top LIVE",IF(Y342="PASS","DEFENSIV validat",IF(W342="OOS PENDING","Eligibil; calibrare linie in monitorizare","Eligibil"))))))))))</x:f>
      </x:c>
      <x:c r="AI342" s="2" t="str">
        <x:f>IF(B342="","",'Calibrare_Linii'!V6)</x:f>
      </x:c>
      <x:c r="AJ342" s="2" t="str">
        <x:f>IF(B342="","",IF(AND('Calibrare_Linii'!T6="VALIDATED",AND('Calibrare_Linii'!H6=C342,ISNUMBER('Calibrare_Linii'!J6),'Calibrare_Linii'!J6&lt;='Input_Meci'!G30)),"DEFENSIVE VALIDATED",IF(AND('Calibrare_Linii'!S6="VALIDATED",AND('Calibrare_Linii'!H6=C342,ISNUMBER('Calibrare_Linii'!J6),'Calibrare_Linii'!J6&lt;='Input_Meci'!G30)),"TAIL VALIDATED","OOS PENDING")))</x:f>
      </x:c>
      <x:c r="AK342" s="2" t="n">
        <x:f>IF(J342&lt;&gt;"PASS",0,'Motor_Meciuri'!BR30)</x:f>
        <x:v>0</x:v>
      </x:c>
      <x:c r="AL342" s="2" t="n">
        <x:f>IF(J342&lt;&gt;"PASS",0,'Motor_Meciuri'!BS30)</x:f>
        <x:v>0</x:v>
      </x:c>
      <x:c r="AM342" s="2" t="n">
        <x:f>IF(J342&lt;&gt;"PASS",0,'Motor_Meciuri'!BT30)</x:f>
        <x:v>0</x:v>
      </x:c>
      <x:c r="AN342" s="2" t="str">
        <x:f>IF(M342="","",MAX(0,'Motor_Meciuri'!BF30-IF(L342&gt;'Config_v6'!$B$12,'Config_v6'!$B$37,IF(L342&gt;'Config_v6'!$B$11,'Config_v6'!$B$36,0))))</x:f>
      </x:c>
    </x:row>
    <x:row r="343" ht="21" customHeight="1">
      <x:c r="A343" s="2" t="n">
        <x:v>25</x:v>
      </x:c>
      <x:c r="B343" s="2" t="str">
        <x:f>IF('Motor_Meciuri'!A30="","",'Motor_Meciuri'!A30)</x:f>
      </x:c>
      <x:c r="C343" s="2" t="str">
        <x:f>IF(B343="","",'Motor_Meciuri'!B30)</x:f>
      </x:c>
      <x:c r="D343" s="2" t="str">
        <x:f>IF(B343="","",'Motor_Meciuri'!D30)</x:f>
      </x:c>
      <x:c r="E343" s="2" t="str">
        <x:f>IF(B343="","",'Motor_Meciuri'!E30)</x:f>
      </x:c>
      <x:c r="F343" s="2" t="str">
        <x:v>O4,5</x:v>
      </x:c>
      <x:c r="G343" s="2" t="str">
        <x:v>OVER</x:v>
      </x:c>
      <x:c r="H343" s="2" t="n">
        <x:v>4</x:v>
      </x:c>
      <x:c r="I343" s="2" t="str">
        <x:f>IF(B343="","",'Motor_Meciuri'!H30)</x:f>
      </x:c>
      <x:c r="J343" s="2" t="str">
        <x:f>IF(B343="","",'Motor_Meciuri'!I30)</x:f>
      </x:c>
      <x:c r="K343" s="11" t="str">
        <x:f>IF(J343&lt;&gt;"PASS","",'Motor_Meciuri'!BD30)</x:f>
      </x:c>
      <x:c r="L343" s="11" t="str">
        <x:f>IF(J343&lt;&gt;"PASS","",'Motor_Meciuri'!AU30)</x:f>
      </x:c>
      <x:c r="M343" s="10" t="str">
        <x:f>IF(NOT(AND(J343="PASS",'Calibrare_Linii'!U7="VALID")),"",1-'Distributie'!AB30)</x:f>
      </x:c>
      <x:c r="N343" s="10" t="str">
        <x:f>IF(M343="","",MAX(0.01,MIN(0.99,0.5+(M343-0.5)*'Motor_Meciuri'!BG30*'Calibrare_Linii'!D7)))</x:f>
      </x:c>
      <x:c r="O343" s="10" t="str">
        <x:f>IF(M343="","",1-M343)</x:f>
      </x:c>
      <x:c r="P343" s="10" t="str">
        <x:f>IF(OR(NOT(AND(J343="PASS",'Calibrare_Linii'!U7="VALID")),AK343=0),""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*('Istoric_Nativ'!$Q$6:$Q$405&lt;=H343))/AK343)</x:f>
      </x:c>
      <x:c r="Q343" s="10" t="str">
        <x:f>IF(OR(NOT(AND(J343="PASS",'Calibrare_Linii'!U7="VALID")),AL343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M30)+((('Istoric_Nativ'!$E$6:$E$405='Input_Meci'!E30)+('Istoric_Nativ'!$F$6:$F$405='Input_Meci'!E30))&gt;0)*('Istoric_Nativ'!$D$6:$D$405&gt;='Motor_Meciuri'!BN30))&gt;0)*('Istoric_Nativ'!$Q$6:$Q$405&lt;=H343))/AL343)</x:f>
      </x:c>
      <x:c r="R343" s="10" t="str">
        <x:f>IF(OR(NOT(AND(J343="PASS",'Calibrare_Linii'!U7="VALID")),AM343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O30)+((('Istoric_Nativ'!$E$6:$E$405='Input_Meci'!E30)+('Istoric_Nativ'!$F$6:$F$405='Input_Meci'!E30))&gt;0)*('Istoric_Nativ'!$D$6:$D$405&gt;='Motor_Meciuri'!BP30))&gt;0)*('Istoric_Nativ'!$Q$6:$Q$405&lt;=H343))/AM343)</x:f>
      </x:c>
      <x:c r="S343" s="10" t="str">
        <x:f>IF(M343="","",MAX(O343,P343,Q343,R343))</x:f>
      </x:c>
      <x:c r="T343" s="11" t="str">
        <x:f>IF(M343="","",MIN(100,S343*100*'Config_v6'!$B$44+MIN(100,L343/'Config_v6'!$B$13*100)*'Config_v6'!$B$45+(100-'Motor_Meciuri'!BF30)*'Config_v6'!$B$46+'Motor_Meciuri'!BH30*100*'Config_v6'!$B$47))</x:f>
      </x:c>
      <x:c r="U343" s="2" t="str">
        <x:f>IF(T343="","",IF(T343&lt;=20,1,IF(T343&lt;=40,2,IF(T343&lt;=60,3,IF(T343&lt;=80,4,5)))))</x:f>
      </x:c>
      <x:c r="V343" s="2" t="str">
        <x:f>IF(M343="","",MAX(0,'Motor_Meciuri'!BF30-IF(W343="OOS PENDING",'Config_v6'!$B$35,0)-IF(L343&gt;'Config_v6'!$B$12,'Config_v6'!$B$37,IF(L343&gt;'Config_v6'!$B$11,'Config_v6'!$B$36,0))))</x:f>
      </x:c>
      <x:c r="W343" s="2" t="str">
        <x:f>IF(B343="","",IF(I343&lt;&gt;"READY","NOT RELEASED",IF(NOT(AND(J343="PASS",'Calibrare_Linii'!U7="VALID")),"INVALID",IF(NOT(AND('Calibrare_Linii'!S7="VALIDATED",AND('Calibrare_Linii'!H7=C343,ISNUMBER('Calibrare_Linii'!J7),'Calibrare_Linii'!J7&lt;='Input_Meci'!G30))),"OOS PENDING",IF(S343&lt;='Calibrare_Linii'!E7,"PASS",IF(S343&lt;='Calibrare_Linii'!F7,"PENALTY","WATCH"))))))</x:f>
      </x:c>
      <x:c r="X343" s="2" t="str">
        <x:f>IF(M343="","",IF(AND(AND(J343="PASS",'Calibrare_Linii'!U7="VALID"),'Motor_Meciuri'!K30=12,'Motor_Meciuri'!L30=12,'Motor_Meciuri'!M30="NO",'Motor_Meciuri'!BL30='Motor_Meciuri'!C30,AB343&gt;='Config_v6'!$B$50,AN343&gt;='Config_v6'!$B$51,T343&lt;='Config_v6'!$B$52,L343&lt;='Config_v6'!$B$53,ISNUMBER('Calibrare_Linii'!E7),S343&lt;='Calibrare_Linii'!E7,SUM(AK343:AM343)&gt;0),"CANDIDATE","NO"))</x:f>
      </x:c>
      <x:c r="Y343" s="2" t="str">
        <x:f>IF(B343="","",IF(I343&lt;&gt;"READY","NOT RELEASED",IF(AND(X343="CANDIDATE",V343&gt;='Config_v6'!$B$51,W343="PASS",'Calibrare_Linii'!T7="VALIDATED",AND('Calibrare_Linii'!H7=C343,ISNUMBER('Calibrare_Linii'!J7),'Calibrare_Linii'!J7&lt;='Input_Meci'!G30)),"PASS",IF(X343="CANDIDATE","OOS PENDING","FAIL"))))</x:f>
      </x:c>
      <x:c r="Z343" s="2" t="str">
        <x:f>IF(B343="","",IF(I343&lt;&gt;"READY","",IF(OR(NOT(AND(J343="PASS",'Calibrare_Linii'!U7="VALID")),L343&gt;'Config_v6'!$B$13,W343="WATCH"),5,IF(Y343="PASS",1,MIN(5,MAX('Config_v6'!$B$42,U343)+IF(W343="PENALTY",1,0))))))</x:f>
      </x:c>
      <x:c r="AA343" s="2" t="str">
        <x:f>IF(B343="","",IF(I343&lt;&gt;"READY","NOT RELEASED",IF(Z343=5,"NO BET",IF(OR(AB343&lt;'Config_v6'!$B$16,V343&lt;'Config_v6'!$B$18),"WATCH",IF(Z343=1,"DEFENSIV",IF(Z343=2,"PRUDENT",IF(Z343=3,"MODERAT","RIDICAT")))))))</x:f>
      </x:c>
      <x:c r="AB343" s="10" t="str">
        <x:f>IF(N343="","",MIN(N343,1-S343))</x:f>
      </x:c>
      <x:c r="AC343" s="2" t="str">
        <x:f>IF(AD343&lt;&gt;1,"",COUNTIFS($Z$342:$Z$355,"&lt;"&amp;Z343,$AD$342:$AD$355,1)+COUNTIFS($Z$342:$Z$355,Z343,$AB$342:$AB$355,"&gt;"&amp;AB343,$AD$342:$AD$355,1)+COUNTIFS($Z$342:$Z$355,Z343,$AB$342:$AB$355,AB343,$V$342:$V$355,"&gt;"&amp;V343,$AD$342:$AD$355,1)+COUNTIFS($Z$342:Z343,Z343,$AB$342:AB343,AB343,$V$342:V343,V343,$AD$342:AD343,1))</x:f>
      </x:c>
      <x:c r="AD343" s="2" t="n">
        <x:f>IF(OR(AA343="DEFENSIV",AA343="PRUDENT",AA343="MODERAT",AA343="RIDICAT"),1,0)</x:f>
        <x:v>0</x:v>
      </x:c>
      <x:c r="AE343" s="2" t="str">
        <x:f>IF(AD343&lt;&gt;1,"NO",IF(W343="PASS","YES",IF(W343="OOS PENDING","CONDITIONAL","NO")))</x:f>
        <x:v>NO</x:v>
      </x:c>
      <x:c r="AF343" s="2" t="n">
        <x:f>IF(AND(AD343=1,AC343=1,E343="LIVE"),1,0)</x:f>
        <x:v>0</x:v>
      </x:c>
      <x:c r="AG343" s="2" t="str">
        <x:f>IF(AF343&lt;&gt;1,"",'Dashboard'!P50)</x:f>
      </x:c>
      <x:c r="AH343" s="2" t="str">
        <x:f>IF(B343="","",IF(J343&lt;&gt;"PASS",'Motor_Meciuri'!J30,IF('Calibrare_Linii'!U7&lt;&gt;"VALID","Parametri linie invalizi",IF(L343&gt;'Config_v6'!$B$13,"Dispersie peste limita",IF(W343="WATCH","Failure peste limita",IF(AB343&lt;'Config_v6'!$B$16,"P finala sub prag",IF(V343&lt;'Config_v6'!$B$18,"Confidence sub prag",IF(E343="REPLAY","Exemplu retrospectiv; exclus din Top LIVE",IF(Y343="PASS","DEFENSIV validat",IF(W343="OOS PENDING","Eligibil; calibrare linie in monitorizare","Eligibil"))))))))))</x:f>
      </x:c>
      <x:c r="AI343" s="2" t="str">
        <x:f>IF(B343="","",'Calibrare_Linii'!V7)</x:f>
      </x:c>
      <x:c r="AJ343" s="2" t="str">
        <x:f>IF(B343="","",IF(AND('Calibrare_Linii'!T7="VALIDATED",AND('Calibrare_Linii'!H7=C343,ISNUMBER('Calibrare_Linii'!J7),'Calibrare_Linii'!J7&lt;='Input_Meci'!G30)),"DEFENSIVE VALIDATED",IF(AND('Calibrare_Linii'!S7="VALIDATED",AND('Calibrare_Linii'!H7=C343,ISNUMBER('Calibrare_Linii'!J7),'Calibrare_Linii'!J7&lt;='Input_Meci'!G30)),"TAIL VALIDATED","OOS PENDING")))</x:f>
      </x:c>
      <x:c r="AK343" s="2" t="n">
        <x:f>IF(J343&lt;&gt;"PASS",0,'Motor_Meciuri'!BR30)</x:f>
        <x:v>0</x:v>
      </x:c>
      <x:c r="AL343" s="2" t="n">
        <x:f>IF(J343&lt;&gt;"PASS",0,'Motor_Meciuri'!BS30)</x:f>
        <x:v>0</x:v>
      </x:c>
      <x:c r="AM343" s="2" t="n">
        <x:f>IF(J343&lt;&gt;"PASS",0,'Motor_Meciuri'!BT30)</x:f>
        <x:v>0</x:v>
      </x:c>
      <x:c r="AN343" s="2" t="str">
        <x:f>IF(M343="","",MAX(0,'Motor_Meciuri'!BF30-IF(L343&gt;'Config_v6'!$B$12,'Config_v6'!$B$37,IF(L343&gt;'Config_v6'!$B$11,'Config_v6'!$B$36,0))))</x:f>
      </x:c>
    </x:row>
    <x:row r="344" ht="21" customHeight="1">
      <x:c r="A344" s="2" t="n">
        <x:v>25</x:v>
      </x:c>
      <x:c r="B344" s="2" t="str">
        <x:f>IF('Motor_Meciuri'!A30="","",'Motor_Meciuri'!A30)</x:f>
      </x:c>
      <x:c r="C344" s="2" t="str">
        <x:f>IF(B344="","",'Motor_Meciuri'!B30)</x:f>
      </x:c>
      <x:c r="D344" s="2" t="str">
        <x:f>IF(B344="","",'Motor_Meciuri'!D30)</x:f>
      </x:c>
      <x:c r="E344" s="2" t="str">
        <x:f>IF(B344="","",'Motor_Meciuri'!E30)</x:f>
      </x:c>
      <x:c r="F344" s="2" t="str">
        <x:v>O5,5</x:v>
      </x:c>
      <x:c r="G344" s="2" t="str">
        <x:v>OVER</x:v>
      </x:c>
      <x:c r="H344" s="2" t="n">
        <x:v>5</x:v>
      </x:c>
      <x:c r="I344" s="2" t="str">
        <x:f>IF(B344="","",'Motor_Meciuri'!H30)</x:f>
      </x:c>
      <x:c r="J344" s="2" t="str">
        <x:f>IF(B344="","",'Motor_Meciuri'!I30)</x:f>
      </x:c>
      <x:c r="K344" s="11" t="str">
        <x:f>IF(J344&lt;&gt;"PASS","",'Motor_Meciuri'!BD30)</x:f>
      </x:c>
      <x:c r="L344" s="11" t="str">
        <x:f>IF(J344&lt;&gt;"PASS","",'Motor_Meciuri'!AU30)</x:f>
      </x:c>
      <x:c r="M344" s="10" t="str">
        <x:f>IF(NOT(AND(J344="PASS",'Calibrare_Linii'!U8="VALID")),"",1-'Distributie'!AC30)</x:f>
      </x:c>
      <x:c r="N344" s="10" t="str">
        <x:f>IF(M344="","",MAX(0.01,MIN(0.99,0.5+(M344-0.5)*'Motor_Meciuri'!BG30*'Calibrare_Linii'!D8)))</x:f>
      </x:c>
      <x:c r="O344" s="10" t="str">
        <x:f>IF(M344="","",1-M344)</x:f>
      </x:c>
      <x:c r="P344" s="10" t="str">
        <x:f>IF(OR(NOT(AND(J344="PASS",'Calibrare_Linii'!U8="VALID")),AK344=0),""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*('Istoric_Nativ'!$Q$6:$Q$405&lt;=H344))/AK344)</x:f>
      </x:c>
      <x:c r="Q344" s="10" t="str">
        <x:f>IF(OR(NOT(AND(J344="PASS",'Calibrare_Linii'!U8="VALID")),AL344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M30)+((('Istoric_Nativ'!$E$6:$E$405='Input_Meci'!E30)+('Istoric_Nativ'!$F$6:$F$405='Input_Meci'!E30))&gt;0)*('Istoric_Nativ'!$D$6:$D$405&gt;='Motor_Meciuri'!BN30))&gt;0)*('Istoric_Nativ'!$Q$6:$Q$405&lt;=H344))/AL344)</x:f>
      </x:c>
      <x:c r="R344" s="10" t="str">
        <x:f>IF(OR(NOT(AND(J344="PASS",'Calibrare_Linii'!U8="VALID")),AM344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O30)+((('Istoric_Nativ'!$E$6:$E$405='Input_Meci'!E30)+('Istoric_Nativ'!$F$6:$F$405='Input_Meci'!E30))&gt;0)*('Istoric_Nativ'!$D$6:$D$405&gt;='Motor_Meciuri'!BP30))&gt;0)*('Istoric_Nativ'!$Q$6:$Q$405&lt;=H344))/AM344)</x:f>
      </x:c>
      <x:c r="S344" s="10" t="str">
        <x:f>IF(M344="","",MAX(O344,P344,Q344,R344))</x:f>
      </x:c>
      <x:c r="T344" s="11" t="str">
        <x:f>IF(M344="","",MIN(100,S344*100*'Config_v6'!$B$44+MIN(100,L344/'Config_v6'!$B$13*100)*'Config_v6'!$B$45+(100-'Motor_Meciuri'!BF30)*'Config_v6'!$B$46+'Motor_Meciuri'!BH30*100*'Config_v6'!$B$47))</x:f>
      </x:c>
      <x:c r="U344" s="2" t="str">
        <x:f>IF(T344="","",IF(T344&lt;=20,1,IF(T344&lt;=40,2,IF(T344&lt;=60,3,IF(T344&lt;=80,4,5)))))</x:f>
      </x:c>
      <x:c r="V344" s="2" t="str">
        <x:f>IF(M344="","",MAX(0,'Motor_Meciuri'!BF30-IF(W344="OOS PENDING",'Config_v6'!$B$35,0)-IF(L344&gt;'Config_v6'!$B$12,'Config_v6'!$B$37,IF(L344&gt;'Config_v6'!$B$11,'Config_v6'!$B$36,0))))</x:f>
      </x:c>
      <x:c r="W344" s="2" t="str">
        <x:f>IF(B344="","",IF(I344&lt;&gt;"READY","NOT RELEASED",IF(NOT(AND(J344="PASS",'Calibrare_Linii'!U8="VALID")),"INVALID",IF(NOT(AND('Calibrare_Linii'!S8="VALIDATED",AND('Calibrare_Linii'!H8=C344,ISNUMBER('Calibrare_Linii'!J8),'Calibrare_Linii'!J8&lt;='Input_Meci'!G30))),"OOS PENDING",IF(S344&lt;='Calibrare_Linii'!E8,"PASS",IF(S344&lt;='Calibrare_Linii'!F8,"PENALTY","WATCH"))))))</x:f>
      </x:c>
      <x:c r="X344" s="2" t="str">
        <x:f>IF(M344="","",IF(AND(AND(J344="PASS",'Calibrare_Linii'!U8="VALID"),'Motor_Meciuri'!K30=12,'Motor_Meciuri'!L30=12,'Motor_Meciuri'!M30="NO",'Motor_Meciuri'!BL30='Motor_Meciuri'!C30,AB344&gt;='Config_v6'!$B$50,AN344&gt;='Config_v6'!$B$51,T344&lt;='Config_v6'!$B$52,L344&lt;='Config_v6'!$B$53,ISNUMBER('Calibrare_Linii'!E8),S344&lt;='Calibrare_Linii'!E8,SUM(AK344:AM344)&gt;0),"CANDIDATE","NO"))</x:f>
      </x:c>
      <x:c r="Y344" s="2" t="str">
        <x:f>IF(B344="","",IF(I344&lt;&gt;"READY","NOT RELEASED",IF(AND(X344="CANDIDATE",V344&gt;='Config_v6'!$B$51,W344="PASS",'Calibrare_Linii'!T8="VALIDATED",AND('Calibrare_Linii'!H8=C344,ISNUMBER('Calibrare_Linii'!J8),'Calibrare_Linii'!J8&lt;='Input_Meci'!G30)),"PASS",IF(X344="CANDIDATE","OOS PENDING","FAIL"))))</x:f>
      </x:c>
      <x:c r="Z344" s="2" t="str">
        <x:f>IF(B344="","",IF(I344&lt;&gt;"READY","",IF(OR(NOT(AND(J344="PASS",'Calibrare_Linii'!U8="VALID")),L344&gt;'Config_v6'!$B$13,W344="WATCH"),5,IF(Y344="PASS",1,MIN(5,MAX('Config_v6'!$B$42,U344)+IF(W344="PENALTY",1,0))))))</x:f>
      </x:c>
      <x:c r="AA344" s="2" t="str">
        <x:f>IF(B344="","",IF(I344&lt;&gt;"READY","NOT RELEASED",IF(Z344=5,"NO BET",IF(OR(AB344&lt;'Config_v6'!$B$16,V344&lt;'Config_v6'!$B$18),"WATCH",IF(Z344=1,"DEFENSIV",IF(Z344=2,"PRUDENT",IF(Z344=3,"MODERAT","RIDICAT")))))))</x:f>
      </x:c>
      <x:c r="AB344" s="10" t="str">
        <x:f>IF(N344="","",MIN(N344,1-S344))</x:f>
      </x:c>
      <x:c r="AC344" s="2" t="str">
        <x:f>IF(AD344&lt;&gt;1,"",COUNTIFS($Z$342:$Z$355,"&lt;"&amp;Z344,$AD$342:$AD$355,1)+COUNTIFS($Z$342:$Z$355,Z344,$AB$342:$AB$355,"&gt;"&amp;AB344,$AD$342:$AD$355,1)+COUNTIFS($Z$342:$Z$355,Z344,$AB$342:$AB$355,AB344,$V$342:$V$355,"&gt;"&amp;V344,$AD$342:$AD$355,1)+COUNTIFS($Z$342:Z344,Z344,$AB$342:AB344,AB344,$V$342:V344,V344,$AD$342:AD344,1))</x:f>
      </x:c>
      <x:c r="AD344" s="2" t="n">
        <x:f>IF(OR(AA344="DEFENSIV",AA344="PRUDENT",AA344="MODERAT",AA344="RIDICAT"),1,0)</x:f>
        <x:v>0</x:v>
      </x:c>
      <x:c r="AE344" s="2" t="str">
        <x:f>IF(AD344&lt;&gt;1,"NO",IF(W344="PASS","YES",IF(W344="OOS PENDING","CONDITIONAL","NO")))</x:f>
        <x:v>NO</x:v>
      </x:c>
      <x:c r="AF344" s="2" t="n">
        <x:f>IF(AND(AD344=1,AC344=1,E344="LIVE"),1,0)</x:f>
        <x:v>0</x:v>
      </x:c>
      <x:c r="AG344" s="2" t="str">
        <x:f>IF(AF344&lt;&gt;1,"",'Dashboard'!P50)</x:f>
      </x:c>
      <x:c r="AH344" s="2" t="str">
        <x:f>IF(B344="","",IF(J344&lt;&gt;"PASS",'Motor_Meciuri'!J30,IF('Calibrare_Linii'!U8&lt;&gt;"VALID","Parametri linie invalizi",IF(L344&gt;'Config_v6'!$B$13,"Dispersie peste limita",IF(W344="WATCH","Failure peste limita",IF(AB344&lt;'Config_v6'!$B$16,"P finala sub prag",IF(V344&lt;'Config_v6'!$B$18,"Confidence sub prag",IF(E344="REPLAY","Exemplu retrospectiv; exclus din Top LIVE",IF(Y344="PASS","DEFENSIV validat",IF(W344="OOS PENDING","Eligibil; calibrare linie in monitorizare","Eligibil"))))))))))</x:f>
      </x:c>
      <x:c r="AI344" s="2" t="str">
        <x:f>IF(B344="","",'Calibrare_Linii'!V8)</x:f>
      </x:c>
      <x:c r="AJ344" s="2" t="str">
        <x:f>IF(B344="","",IF(AND('Calibrare_Linii'!T8="VALIDATED",AND('Calibrare_Linii'!H8=C344,ISNUMBER('Calibrare_Linii'!J8),'Calibrare_Linii'!J8&lt;='Input_Meci'!G30)),"DEFENSIVE VALIDATED",IF(AND('Calibrare_Linii'!S8="VALIDATED",AND('Calibrare_Linii'!H8=C344,ISNUMBER('Calibrare_Linii'!J8),'Calibrare_Linii'!J8&lt;='Input_Meci'!G30)),"TAIL VALIDATED","OOS PENDING")))</x:f>
      </x:c>
      <x:c r="AK344" s="2" t="n">
        <x:f>IF(J344&lt;&gt;"PASS",0,'Motor_Meciuri'!BR30)</x:f>
        <x:v>0</x:v>
      </x:c>
      <x:c r="AL344" s="2" t="n">
        <x:f>IF(J344&lt;&gt;"PASS",0,'Motor_Meciuri'!BS30)</x:f>
        <x:v>0</x:v>
      </x:c>
      <x:c r="AM344" s="2" t="n">
        <x:f>IF(J344&lt;&gt;"PASS",0,'Motor_Meciuri'!BT30)</x:f>
        <x:v>0</x:v>
      </x:c>
      <x:c r="AN344" s="2" t="str">
        <x:f>IF(M344="","",MAX(0,'Motor_Meciuri'!BF30-IF(L344&gt;'Config_v6'!$B$12,'Config_v6'!$B$37,IF(L344&gt;'Config_v6'!$B$11,'Config_v6'!$B$36,0))))</x:f>
      </x:c>
    </x:row>
    <x:row r="345" ht="21" customHeight="1">
      <x:c r="A345" s="2" t="n">
        <x:v>25</x:v>
      </x:c>
      <x:c r="B345" s="2" t="str">
        <x:f>IF('Motor_Meciuri'!A30="","",'Motor_Meciuri'!A30)</x:f>
      </x:c>
      <x:c r="C345" s="2" t="str">
        <x:f>IF(B345="","",'Motor_Meciuri'!B30)</x:f>
      </x:c>
      <x:c r="D345" s="2" t="str">
        <x:f>IF(B345="","",'Motor_Meciuri'!D30)</x:f>
      </x:c>
      <x:c r="E345" s="2" t="str">
        <x:f>IF(B345="","",'Motor_Meciuri'!E30)</x:f>
      </x:c>
      <x:c r="F345" s="2" t="str">
        <x:v>O6,5</x:v>
      </x:c>
      <x:c r="G345" s="2" t="str">
        <x:v>OVER</x:v>
      </x:c>
      <x:c r="H345" s="2" t="n">
        <x:v>6</x:v>
      </x:c>
      <x:c r="I345" s="2" t="str">
        <x:f>IF(B345="","",'Motor_Meciuri'!H30)</x:f>
      </x:c>
      <x:c r="J345" s="2" t="str">
        <x:f>IF(B345="","",'Motor_Meciuri'!I30)</x:f>
      </x:c>
      <x:c r="K345" s="11" t="str">
        <x:f>IF(J345&lt;&gt;"PASS","",'Motor_Meciuri'!BD30)</x:f>
      </x:c>
      <x:c r="L345" s="11" t="str">
        <x:f>IF(J345&lt;&gt;"PASS","",'Motor_Meciuri'!AU30)</x:f>
      </x:c>
      <x:c r="M345" s="10" t="str">
        <x:f>IF(NOT(AND(J345="PASS",'Calibrare_Linii'!U9="VALID")),"",1-'Distributie'!AD30)</x:f>
      </x:c>
      <x:c r="N345" s="10" t="str">
        <x:f>IF(M345="","",MAX(0.01,MIN(0.99,0.5+(M345-0.5)*'Motor_Meciuri'!BG30*'Calibrare_Linii'!D9)))</x:f>
      </x:c>
      <x:c r="O345" s="10" t="str">
        <x:f>IF(M345="","",1-M345)</x:f>
      </x:c>
      <x:c r="P345" s="10" t="str">
        <x:f>IF(OR(NOT(AND(J345="PASS",'Calibrare_Linii'!U9="VALID")),AK345=0),""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*('Istoric_Nativ'!$Q$6:$Q$405&lt;=H345))/AK345)</x:f>
      </x:c>
      <x:c r="Q345" s="10" t="str">
        <x:f>IF(OR(NOT(AND(J345="PASS",'Calibrare_Linii'!U9="VALID")),AL345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M30)+((('Istoric_Nativ'!$E$6:$E$405='Input_Meci'!E30)+('Istoric_Nativ'!$F$6:$F$405='Input_Meci'!E30))&gt;0)*('Istoric_Nativ'!$D$6:$D$405&gt;='Motor_Meciuri'!BN30))&gt;0)*('Istoric_Nativ'!$Q$6:$Q$405&lt;=H345))/AL345)</x:f>
      </x:c>
      <x:c r="R345" s="10" t="str">
        <x:f>IF(OR(NOT(AND(J345="PASS",'Calibrare_Linii'!U9="VALID")),AM345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O30)+((('Istoric_Nativ'!$E$6:$E$405='Input_Meci'!E30)+('Istoric_Nativ'!$F$6:$F$405='Input_Meci'!E30))&gt;0)*('Istoric_Nativ'!$D$6:$D$405&gt;='Motor_Meciuri'!BP30))&gt;0)*('Istoric_Nativ'!$Q$6:$Q$405&lt;=H345))/AM345)</x:f>
      </x:c>
      <x:c r="S345" s="10" t="str">
        <x:f>IF(M345="","",MAX(O345,P345,Q345,R345))</x:f>
      </x:c>
      <x:c r="T345" s="11" t="str">
        <x:f>IF(M345="","",MIN(100,S345*100*'Config_v6'!$B$44+MIN(100,L345/'Config_v6'!$B$13*100)*'Config_v6'!$B$45+(100-'Motor_Meciuri'!BF30)*'Config_v6'!$B$46+'Motor_Meciuri'!BH30*100*'Config_v6'!$B$47))</x:f>
      </x:c>
      <x:c r="U345" s="2" t="str">
        <x:f>IF(T345="","",IF(T345&lt;=20,1,IF(T345&lt;=40,2,IF(T345&lt;=60,3,IF(T345&lt;=80,4,5)))))</x:f>
      </x:c>
      <x:c r="V345" s="2" t="str">
        <x:f>IF(M345="","",MAX(0,'Motor_Meciuri'!BF30-IF(W345="OOS PENDING",'Config_v6'!$B$35,0)-IF(L345&gt;'Config_v6'!$B$12,'Config_v6'!$B$37,IF(L345&gt;'Config_v6'!$B$11,'Config_v6'!$B$36,0))))</x:f>
      </x:c>
      <x:c r="W345" s="2" t="str">
        <x:f>IF(B345="","",IF(I345&lt;&gt;"READY","NOT RELEASED",IF(NOT(AND(J345="PASS",'Calibrare_Linii'!U9="VALID")),"INVALID",IF(NOT(AND('Calibrare_Linii'!S9="VALIDATED",AND('Calibrare_Linii'!H9=C345,ISNUMBER('Calibrare_Linii'!J9),'Calibrare_Linii'!J9&lt;='Input_Meci'!G30))),"OOS PENDING",IF(S345&lt;='Calibrare_Linii'!E9,"PASS",IF(S345&lt;='Calibrare_Linii'!F9,"PENALTY","WATCH"))))))</x:f>
      </x:c>
      <x:c r="X345" s="2" t="str">
        <x:f>IF(M345="","",IF(AND(AND(J345="PASS",'Calibrare_Linii'!U9="VALID"),'Motor_Meciuri'!K30=12,'Motor_Meciuri'!L30=12,'Motor_Meciuri'!M30="NO",'Motor_Meciuri'!BL30='Motor_Meciuri'!C30,AB345&gt;='Config_v6'!$B$50,AN345&gt;='Config_v6'!$B$51,T345&lt;='Config_v6'!$B$52,L345&lt;='Config_v6'!$B$53,ISNUMBER('Calibrare_Linii'!E9),S345&lt;='Calibrare_Linii'!E9,SUM(AK345:AM345)&gt;0),"CANDIDATE","NO"))</x:f>
      </x:c>
      <x:c r="Y345" s="2" t="str">
        <x:f>IF(B345="","",IF(I345&lt;&gt;"READY","NOT RELEASED",IF(AND(X345="CANDIDATE",V345&gt;='Config_v6'!$B$51,W345="PASS",'Calibrare_Linii'!T9="VALIDATED",AND('Calibrare_Linii'!H9=C345,ISNUMBER('Calibrare_Linii'!J9),'Calibrare_Linii'!J9&lt;='Input_Meci'!G30)),"PASS",IF(X345="CANDIDATE","OOS PENDING","FAIL"))))</x:f>
      </x:c>
      <x:c r="Z345" s="2" t="str">
        <x:f>IF(B345="","",IF(I345&lt;&gt;"READY","",IF(OR(NOT(AND(J345="PASS",'Calibrare_Linii'!U9="VALID")),L345&gt;'Config_v6'!$B$13,W345="WATCH"),5,IF(Y345="PASS",1,MIN(5,MAX('Config_v6'!$B$42,U345)+IF(W345="PENALTY",1,0))))))</x:f>
      </x:c>
      <x:c r="AA345" s="2" t="str">
        <x:f>IF(B345="","",IF(I345&lt;&gt;"READY","NOT RELEASED",IF(Z345=5,"NO BET",IF(OR(AB345&lt;'Config_v6'!$B$16,V345&lt;'Config_v6'!$B$18),"WATCH",IF(Z345=1,"DEFENSIV",IF(Z345=2,"PRUDENT",IF(Z345=3,"MODERAT","RIDICAT")))))))</x:f>
      </x:c>
      <x:c r="AB345" s="10" t="str">
        <x:f>IF(N345="","",MIN(N345,1-S345))</x:f>
      </x:c>
      <x:c r="AC345" s="2" t="str">
        <x:f>IF(AD345&lt;&gt;1,"",COUNTIFS($Z$342:$Z$355,"&lt;"&amp;Z345,$AD$342:$AD$355,1)+COUNTIFS($Z$342:$Z$355,Z345,$AB$342:$AB$355,"&gt;"&amp;AB345,$AD$342:$AD$355,1)+COUNTIFS($Z$342:$Z$355,Z345,$AB$342:$AB$355,AB345,$V$342:$V$355,"&gt;"&amp;V345,$AD$342:$AD$355,1)+COUNTIFS($Z$342:Z345,Z345,$AB$342:AB345,AB345,$V$342:V345,V345,$AD$342:AD345,1))</x:f>
      </x:c>
      <x:c r="AD345" s="2" t="n">
        <x:f>IF(OR(AA345="DEFENSIV",AA345="PRUDENT",AA345="MODERAT",AA345="RIDICAT"),1,0)</x:f>
        <x:v>0</x:v>
      </x:c>
      <x:c r="AE345" s="2" t="str">
        <x:f>IF(AD345&lt;&gt;1,"NO",IF(W345="PASS","YES",IF(W345="OOS PENDING","CONDITIONAL","NO")))</x:f>
        <x:v>NO</x:v>
      </x:c>
      <x:c r="AF345" s="2" t="n">
        <x:f>IF(AND(AD345=1,AC345=1,E345="LIVE"),1,0)</x:f>
        <x:v>0</x:v>
      </x:c>
      <x:c r="AG345" s="2" t="str">
        <x:f>IF(AF345&lt;&gt;1,"",'Dashboard'!P50)</x:f>
      </x:c>
      <x:c r="AH345" s="2" t="str">
        <x:f>IF(B345="","",IF(J345&lt;&gt;"PASS",'Motor_Meciuri'!J30,IF('Calibrare_Linii'!U9&lt;&gt;"VALID","Parametri linie invalizi",IF(L345&gt;'Config_v6'!$B$13,"Dispersie peste limita",IF(W345="WATCH","Failure peste limita",IF(AB345&lt;'Config_v6'!$B$16,"P finala sub prag",IF(V345&lt;'Config_v6'!$B$18,"Confidence sub prag",IF(E345="REPLAY","Exemplu retrospectiv; exclus din Top LIVE",IF(Y345="PASS","DEFENSIV validat",IF(W345="OOS PENDING","Eligibil; calibrare linie in monitorizare","Eligibil"))))))))))</x:f>
      </x:c>
      <x:c r="AI345" s="2" t="str">
        <x:f>IF(B345="","",'Calibrare_Linii'!V9)</x:f>
      </x:c>
      <x:c r="AJ345" s="2" t="str">
        <x:f>IF(B345="","",IF(AND('Calibrare_Linii'!T9="VALIDATED",AND('Calibrare_Linii'!H9=C345,ISNUMBER('Calibrare_Linii'!J9),'Calibrare_Linii'!J9&lt;='Input_Meci'!G30)),"DEFENSIVE VALIDATED",IF(AND('Calibrare_Linii'!S9="VALIDATED",AND('Calibrare_Linii'!H9=C345,ISNUMBER('Calibrare_Linii'!J9),'Calibrare_Linii'!J9&lt;='Input_Meci'!G30)),"TAIL VALIDATED","OOS PENDING")))</x:f>
      </x:c>
      <x:c r="AK345" s="2" t="n">
        <x:f>IF(J345&lt;&gt;"PASS",0,'Motor_Meciuri'!BR30)</x:f>
        <x:v>0</x:v>
      </x:c>
      <x:c r="AL345" s="2" t="n">
        <x:f>IF(J345&lt;&gt;"PASS",0,'Motor_Meciuri'!BS30)</x:f>
        <x:v>0</x:v>
      </x:c>
      <x:c r="AM345" s="2" t="n">
        <x:f>IF(J345&lt;&gt;"PASS",0,'Motor_Meciuri'!BT30)</x:f>
        <x:v>0</x:v>
      </x:c>
      <x:c r="AN345" s="2" t="str">
        <x:f>IF(M345="","",MAX(0,'Motor_Meciuri'!BF30-IF(L345&gt;'Config_v6'!$B$12,'Config_v6'!$B$37,IF(L345&gt;'Config_v6'!$B$11,'Config_v6'!$B$36,0))))</x:f>
      </x:c>
    </x:row>
    <x:row r="346" ht="21" customHeight="1">
      <x:c r="A346" s="2" t="n">
        <x:v>25</x:v>
      </x:c>
      <x:c r="B346" s="2" t="str">
        <x:f>IF('Motor_Meciuri'!A30="","",'Motor_Meciuri'!A30)</x:f>
      </x:c>
      <x:c r="C346" s="2" t="str">
        <x:f>IF(B346="","",'Motor_Meciuri'!B30)</x:f>
      </x:c>
      <x:c r="D346" s="2" t="str">
        <x:f>IF(B346="","",'Motor_Meciuri'!D30)</x:f>
      </x:c>
      <x:c r="E346" s="2" t="str">
        <x:f>IF(B346="","",'Motor_Meciuri'!E30)</x:f>
      </x:c>
      <x:c r="F346" s="2" t="str">
        <x:v>O7,5</x:v>
      </x:c>
      <x:c r="G346" s="2" t="str">
        <x:v>OVER</x:v>
      </x:c>
      <x:c r="H346" s="2" t="n">
        <x:v>7</x:v>
      </x:c>
      <x:c r="I346" s="2" t="str">
        <x:f>IF(B346="","",'Motor_Meciuri'!H30)</x:f>
      </x:c>
      <x:c r="J346" s="2" t="str">
        <x:f>IF(B346="","",'Motor_Meciuri'!I30)</x:f>
      </x:c>
      <x:c r="K346" s="11" t="str">
        <x:f>IF(J346&lt;&gt;"PASS","",'Motor_Meciuri'!BD30)</x:f>
      </x:c>
      <x:c r="L346" s="11" t="str">
        <x:f>IF(J346&lt;&gt;"PASS","",'Motor_Meciuri'!AU30)</x:f>
      </x:c>
      <x:c r="M346" s="10" t="str">
        <x:f>IF(NOT(AND(J346="PASS",'Calibrare_Linii'!U10="VALID")),"",1-'Distributie'!AE30)</x:f>
      </x:c>
      <x:c r="N346" s="10" t="str">
        <x:f>IF(M346="","",MAX(0.01,MIN(0.99,0.5+(M346-0.5)*'Motor_Meciuri'!BG30*'Calibrare_Linii'!D10)))</x:f>
      </x:c>
      <x:c r="O346" s="10" t="str">
        <x:f>IF(M346="","",1-M346)</x:f>
      </x:c>
      <x:c r="P346" s="10" t="str">
        <x:f>IF(OR(NOT(AND(J346="PASS",'Calibrare_Linii'!U10="VALID")),AK346=0),""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*('Istoric_Nativ'!$Q$6:$Q$405&lt;=H346))/AK346)</x:f>
      </x:c>
      <x:c r="Q346" s="10" t="str">
        <x:f>IF(OR(NOT(AND(J346="PASS",'Calibrare_Linii'!U10="VALID")),AL346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M30)+((('Istoric_Nativ'!$E$6:$E$405='Input_Meci'!E30)+('Istoric_Nativ'!$F$6:$F$405='Input_Meci'!E30))&gt;0)*('Istoric_Nativ'!$D$6:$D$405&gt;='Motor_Meciuri'!BN30))&gt;0)*('Istoric_Nativ'!$Q$6:$Q$405&lt;=H346))/AL346)</x:f>
      </x:c>
      <x:c r="R346" s="10" t="str">
        <x:f>IF(OR(NOT(AND(J346="PASS",'Calibrare_Linii'!U10="VALID")),AM346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O30)+((('Istoric_Nativ'!$E$6:$E$405='Input_Meci'!E30)+('Istoric_Nativ'!$F$6:$F$405='Input_Meci'!E30))&gt;0)*('Istoric_Nativ'!$D$6:$D$405&gt;='Motor_Meciuri'!BP30))&gt;0)*('Istoric_Nativ'!$Q$6:$Q$405&lt;=H346))/AM346)</x:f>
      </x:c>
      <x:c r="S346" s="10" t="str">
        <x:f>IF(M346="","",MAX(O346,P346,Q346,R346))</x:f>
      </x:c>
      <x:c r="T346" s="11" t="str">
        <x:f>IF(M346="","",MIN(100,S346*100*'Config_v6'!$B$44+MIN(100,L346/'Config_v6'!$B$13*100)*'Config_v6'!$B$45+(100-'Motor_Meciuri'!BF30)*'Config_v6'!$B$46+'Motor_Meciuri'!BH30*100*'Config_v6'!$B$47))</x:f>
      </x:c>
      <x:c r="U346" s="2" t="str">
        <x:f>IF(T346="","",IF(T346&lt;=20,1,IF(T346&lt;=40,2,IF(T346&lt;=60,3,IF(T346&lt;=80,4,5)))))</x:f>
      </x:c>
      <x:c r="V346" s="2" t="str">
        <x:f>IF(M346="","",MAX(0,'Motor_Meciuri'!BF30-IF(W346="OOS PENDING",'Config_v6'!$B$35,0)-IF(L346&gt;'Config_v6'!$B$12,'Config_v6'!$B$37,IF(L346&gt;'Config_v6'!$B$11,'Config_v6'!$B$36,0))))</x:f>
      </x:c>
      <x:c r="W346" s="2" t="str">
        <x:f>IF(B346="","",IF(I346&lt;&gt;"READY","NOT RELEASED",IF(NOT(AND(J346="PASS",'Calibrare_Linii'!U10="VALID")),"INVALID",IF(NOT(AND('Calibrare_Linii'!S10="VALIDATED",AND('Calibrare_Linii'!H10=C346,ISNUMBER('Calibrare_Linii'!J10),'Calibrare_Linii'!J10&lt;='Input_Meci'!G30))),"OOS PENDING",IF(S346&lt;='Calibrare_Linii'!E10,"PASS",IF(S346&lt;='Calibrare_Linii'!F10,"PENALTY","WATCH"))))))</x:f>
      </x:c>
      <x:c r="X346" s="2" t="str">
        <x:f>IF(M346="","",IF(AND(AND(J346="PASS",'Calibrare_Linii'!U10="VALID"),'Motor_Meciuri'!K30=12,'Motor_Meciuri'!L30=12,'Motor_Meciuri'!M30="NO",'Motor_Meciuri'!BL30='Motor_Meciuri'!C30,AB346&gt;='Config_v6'!$B$50,AN346&gt;='Config_v6'!$B$51,T346&lt;='Config_v6'!$B$52,L346&lt;='Config_v6'!$B$53,ISNUMBER('Calibrare_Linii'!E10),S346&lt;='Calibrare_Linii'!E10,SUM(AK346:AM346)&gt;0),"CANDIDATE","NO"))</x:f>
      </x:c>
      <x:c r="Y346" s="2" t="str">
        <x:f>IF(B346="","",IF(I346&lt;&gt;"READY","NOT RELEASED",IF(AND(X346="CANDIDATE",V346&gt;='Config_v6'!$B$51,W346="PASS",'Calibrare_Linii'!T10="VALIDATED",AND('Calibrare_Linii'!H10=C346,ISNUMBER('Calibrare_Linii'!J10),'Calibrare_Linii'!J10&lt;='Input_Meci'!G30)),"PASS",IF(X346="CANDIDATE","OOS PENDING","FAIL"))))</x:f>
      </x:c>
      <x:c r="Z346" s="2" t="str">
        <x:f>IF(B346="","",IF(I346&lt;&gt;"READY","",IF(OR(NOT(AND(J346="PASS",'Calibrare_Linii'!U10="VALID")),L346&gt;'Config_v6'!$B$13,W346="WATCH"),5,IF(Y346="PASS",1,MIN(5,MAX('Config_v6'!$B$42,U346)+IF(W346="PENALTY",1,0))))))</x:f>
      </x:c>
      <x:c r="AA346" s="2" t="str">
        <x:f>IF(B346="","",IF(I346&lt;&gt;"READY","NOT RELEASED",IF(Z346=5,"NO BET",IF(OR(AB346&lt;'Config_v6'!$B$16,V346&lt;'Config_v6'!$B$18),"WATCH",IF(Z346=1,"DEFENSIV",IF(Z346=2,"PRUDENT",IF(Z346=3,"MODERAT","RIDICAT")))))))</x:f>
      </x:c>
      <x:c r="AB346" s="10" t="str">
        <x:f>IF(N346="","",MIN(N346,1-S346))</x:f>
      </x:c>
      <x:c r="AC346" s="2" t="str">
        <x:f>IF(AD346&lt;&gt;1,"",COUNTIFS($Z$342:$Z$355,"&lt;"&amp;Z346,$AD$342:$AD$355,1)+COUNTIFS($Z$342:$Z$355,Z346,$AB$342:$AB$355,"&gt;"&amp;AB346,$AD$342:$AD$355,1)+COUNTIFS($Z$342:$Z$355,Z346,$AB$342:$AB$355,AB346,$V$342:$V$355,"&gt;"&amp;V346,$AD$342:$AD$355,1)+COUNTIFS($Z$342:Z346,Z346,$AB$342:AB346,AB346,$V$342:V346,V346,$AD$342:AD346,1))</x:f>
      </x:c>
      <x:c r="AD346" s="2" t="n">
        <x:f>IF(OR(AA346="DEFENSIV",AA346="PRUDENT",AA346="MODERAT",AA346="RIDICAT"),1,0)</x:f>
        <x:v>0</x:v>
      </x:c>
      <x:c r="AE346" s="2" t="str">
        <x:f>IF(AD346&lt;&gt;1,"NO",IF(W346="PASS","YES",IF(W346="OOS PENDING","CONDITIONAL","NO")))</x:f>
        <x:v>NO</x:v>
      </x:c>
      <x:c r="AF346" s="2" t="n">
        <x:f>IF(AND(AD346=1,AC346=1,E346="LIVE"),1,0)</x:f>
        <x:v>0</x:v>
      </x:c>
      <x:c r="AG346" s="2" t="str">
        <x:f>IF(AF346&lt;&gt;1,"",'Dashboard'!P50)</x:f>
      </x:c>
      <x:c r="AH346" s="2" t="str">
        <x:f>IF(B346="","",IF(J346&lt;&gt;"PASS",'Motor_Meciuri'!J30,IF('Calibrare_Linii'!U10&lt;&gt;"VALID","Parametri linie invalizi",IF(L346&gt;'Config_v6'!$B$13,"Dispersie peste limita",IF(W346="WATCH","Failure peste limita",IF(AB346&lt;'Config_v6'!$B$16,"P finala sub prag",IF(V346&lt;'Config_v6'!$B$18,"Confidence sub prag",IF(E346="REPLAY","Exemplu retrospectiv; exclus din Top LIVE",IF(Y346="PASS","DEFENSIV validat",IF(W346="OOS PENDING","Eligibil; calibrare linie in monitorizare","Eligibil"))))))))))</x:f>
      </x:c>
      <x:c r="AI346" s="2" t="str">
        <x:f>IF(B346="","",'Calibrare_Linii'!V10)</x:f>
      </x:c>
      <x:c r="AJ346" s="2" t="str">
        <x:f>IF(B346="","",IF(AND('Calibrare_Linii'!T10="VALIDATED",AND('Calibrare_Linii'!H10=C346,ISNUMBER('Calibrare_Linii'!J10),'Calibrare_Linii'!J10&lt;='Input_Meci'!G30)),"DEFENSIVE VALIDATED",IF(AND('Calibrare_Linii'!S10="VALIDATED",AND('Calibrare_Linii'!H10=C346,ISNUMBER('Calibrare_Linii'!J10),'Calibrare_Linii'!J10&lt;='Input_Meci'!G30)),"TAIL VALIDATED","OOS PENDING")))</x:f>
      </x:c>
      <x:c r="AK346" s="2" t="n">
        <x:f>IF(J346&lt;&gt;"PASS",0,'Motor_Meciuri'!BR30)</x:f>
        <x:v>0</x:v>
      </x:c>
      <x:c r="AL346" s="2" t="n">
        <x:f>IF(J346&lt;&gt;"PASS",0,'Motor_Meciuri'!BS30)</x:f>
        <x:v>0</x:v>
      </x:c>
      <x:c r="AM346" s="2" t="n">
        <x:f>IF(J346&lt;&gt;"PASS",0,'Motor_Meciuri'!BT30)</x:f>
        <x:v>0</x:v>
      </x:c>
      <x:c r="AN346" s="2" t="str">
        <x:f>IF(M346="","",MAX(0,'Motor_Meciuri'!BF30-IF(L346&gt;'Config_v6'!$B$12,'Config_v6'!$B$37,IF(L346&gt;'Config_v6'!$B$11,'Config_v6'!$B$36,0))))</x:f>
      </x:c>
    </x:row>
    <x:row r="347" ht="21" customHeight="1">
      <x:c r="A347" s="2" t="n">
        <x:v>25</x:v>
      </x:c>
      <x:c r="B347" s="2" t="str">
        <x:f>IF('Motor_Meciuri'!A30="","",'Motor_Meciuri'!A30)</x:f>
      </x:c>
      <x:c r="C347" s="2" t="str">
        <x:f>IF(B347="","",'Motor_Meciuri'!B30)</x:f>
      </x:c>
      <x:c r="D347" s="2" t="str">
        <x:f>IF(B347="","",'Motor_Meciuri'!D30)</x:f>
      </x:c>
      <x:c r="E347" s="2" t="str">
        <x:f>IF(B347="","",'Motor_Meciuri'!E30)</x:f>
      </x:c>
      <x:c r="F347" s="2" t="str">
        <x:v>O8,5</x:v>
      </x:c>
      <x:c r="G347" s="2" t="str">
        <x:v>OVER</x:v>
      </x:c>
      <x:c r="H347" s="2" t="n">
        <x:v>8</x:v>
      </x:c>
      <x:c r="I347" s="2" t="str">
        <x:f>IF(B347="","",'Motor_Meciuri'!H30)</x:f>
      </x:c>
      <x:c r="J347" s="2" t="str">
        <x:f>IF(B347="","",'Motor_Meciuri'!I30)</x:f>
      </x:c>
      <x:c r="K347" s="11" t="str">
        <x:f>IF(J347&lt;&gt;"PASS","",'Motor_Meciuri'!BD30)</x:f>
      </x:c>
      <x:c r="L347" s="11" t="str">
        <x:f>IF(J347&lt;&gt;"PASS","",'Motor_Meciuri'!AU30)</x:f>
      </x:c>
      <x:c r="M347" s="10" t="str">
        <x:f>IF(NOT(AND(J347="PASS",'Calibrare_Linii'!U11="VALID")),"",1-'Distributie'!AF30)</x:f>
      </x:c>
      <x:c r="N347" s="10" t="str">
        <x:f>IF(M347="","",MAX(0.01,MIN(0.99,0.5+(M347-0.5)*'Motor_Meciuri'!BG30*'Calibrare_Linii'!D11)))</x:f>
      </x:c>
      <x:c r="O347" s="10" t="str">
        <x:f>IF(M347="","",1-M347)</x:f>
      </x:c>
      <x:c r="P347" s="10" t="str">
        <x:f>IF(OR(NOT(AND(J347="PASS",'Calibrare_Linii'!U11="VALID")),AK347=0),""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*('Istoric_Nativ'!$Q$6:$Q$405&lt;=H347))/AK347)</x:f>
      </x:c>
      <x:c r="Q347" s="10" t="str">
        <x:f>IF(OR(NOT(AND(J347="PASS",'Calibrare_Linii'!U11="VALID")),AL347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M30)+((('Istoric_Nativ'!$E$6:$E$405='Input_Meci'!E30)+('Istoric_Nativ'!$F$6:$F$405='Input_Meci'!E30))&gt;0)*('Istoric_Nativ'!$D$6:$D$405&gt;='Motor_Meciuri'!BN30))&gt;0)*('Istoric_Nativ'!$Q$6:$Q$405&lt;=H347))/AL347)</x:f>
      </x:c>
      <x:c r="R347" s="10" t="str">
        <x:f>IF(OR(NOT(AND(J347="PASS",'Calibrare_Linii'!U11="VALID")),AM347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O30)+((('Istoric_Nativ'!$E$6:$E$405='Input_Meci'!E30)+('Istoric_Nativ'!$F$6:$F$405='Input_Meci'!E30))&gt;0)*('Istoric_Nativ'!$D$6:$D$405&gt;='Motor_Meciuri'!BP30))&gt;0)*('Istoric_Nativ'!$Q$6:$Q$405&lt;=H347))/AM347)</x:f>
      </x:c>
      <x:c r="S347" s="10" t="str">
        <x:f>IF(M347="","",MAX(O347,P347,Q347,R347))</x:f>
      </x:c>
      <x:c r="T347" s="11" t="str">
        <x:f>IF(M347="","",MIN(100,S347*100*'Config_v6'!$B$44+MIN(100,L347/'Config_v6'!$B$13*100)*'Config_v6'!$B$45+(100-'Motor_Meciuri'!BF30)*'Config_v6'!$B$46+'Motor_Meciuri'!BH30*100*'Config_v6'!$B$47))</x:f>
      </x:c>
      <x:c r="U347" s="2" t="str">
        <x:f>IF(T347="","",IF(T347&lt;=20,1,IF(T347&lt;=40,2,IF(T347&lt;=60,3,IF(T347&lt;=80,4,5)))))</x:f>
      </x:c>
      <x:c r="V347" s="2" t="str">
        <x:f>IF(M347="","",MAX(0,'Motor_Meciuri'!BF30-IF(W347="OOS PENDING",'Config_v6'!$B$35,0)-IF(L347&gt;'Config_v6'!$B$12,'Config_v6'!$B$37,IF(L347&gt;'Config_v6'!$B$11,'Config_v6'!$B$36,0))))</x:f>
      </x:c>
      <x:c r="W347" s="2" t="str">
        <x:f>IF(B347="","",IF(I347&lt;&gt;"READY","NOT RELEASED",IF(NOT(AND(J347="PASS",'Calibrare_Linii'!U11="VALID")),"INVALID",IF(NOT(AND('Calibrare_Linii'!S11="VALIDATED",AND('Calibrare_Linii'!H11=C347,ISNUMBER('Calibrare_Linii'!J11),'Calibrare_Linii'!J11&lt;='Input_Meci'!G30))),"OOS PENDING",IF(S347&lt;='Calibrare_Linii'!E11,"PASS",IF(S347&lt;='Calibrare_Linii'!F11,"PENALTY","WATCH"))))))</x:f>
      </x:c>
      <x:c r="X347" s="2" t="str">
        <x:f>IF(M347="","",IF(AND(AND(J347="PASS",'Calibrare_Linii'!U11="VALID"),'Motor_Meciuri'!K30=12,'Motor_Meciuri'!L30=12,'Motor_Meciuri'!M30="NO",'Motor_Meciuri'!BL30='Motor_Meciuri'!C30,AB347&gt;='Config_v6'!$B$50,AN347&gt;='Config_v6'!$B$51,T347&lt;='Config_v6'!$B$52,L347&lt;='Config_v6'!$B$53,ISNUMBER('Calibrare_Linii'!E11),S347&lt;='Calibrare_Linii'!E11,SUM(AK347:AM347)&gt;0),"CANDIDATE","NO"))</x:f>
      </x:c>
      <x:c r="Y347" s="2" t="str">
        <x:f>IF(B347="","",IF(I347&lt;&gt;"READY","NOT RELEASED",IF(AND(X347="CANDIDATE",V347&gt;='Config_v6'!$B$51,W347="PASS",'Calibrare_Linii'!T11="VALIDATED",AND('Calibrare_Linii'!H11=C347,ISNUMBER('Calibrare_Linii'!J11),'Calibrare_Linii'!J11&lt;='Input_Meci'!G30)),"PASS",IF(X347="CANDIDATE","OOS PENDING","FAIL"))))</x:f>
      </x:c>
      <x:c r="Z347" s="2" t="str">
        <x:f>IF(B347="","",IF(I347&lt;&gt;"READY","",IF(OR(NOT(AND(J347="PASS",'Calibrare_Linii'!U11="VALID")),L347&gt;'Config_v6'!$B$13,W347="WATCH"),5,IF(Y347="PASS",1,MIN(5,MAX('Config_v6'!$B$42,U347)+IF(W347="PENALTY",1,0))))))</x:f>
      </x:c>
      <x:c r="AA347" s="2" t="str">
        <x:f>IF(B347="","",IF(I347&lt;&gt;"READY","NOT RELEASED",IF(Z347=5,"NO BET",IF(OR(AB347&lt;'Config_v6'!$B$16,V347&lt;'Config_v6'!$B$18),"WATCH",IF(Z347=1,"DEFENSIV",IF(Z347=2,"PRUDENT",IF(Z347=3,"MODERAT","RIDICAT")))))))</x:f>
      </x:c>
      <x:c r="AB347" s="10" t="str">
        <x:f>IF(N347="","",MIN(N347,1-S347))</x:f>
      </x:c>
      <x:c r="AC347" s="2" t="str">
        <x:f>IF(AD347&lt;&gt;1,"",COUNTIFS($Z$342:$Z$355,"&lt;"&amp;Z347,$AD$342:$AD$355,1)+COUNTIFS($Z$342:$Z$355,Z347,$AB$342:$AB$355,"&gt;"&amp;AB347,$AD$342:$AD$355,1)+COUNTIFS($Z$342:$Z$355,Z347,$AB$342:$AB$355,AB347,$V$342:$V$355,"&gt;"&amp;V347,$AD$342:$AD$355,1)+COUNTIFS($Z$342:Z347,Z347,$AB$342:AB347,AB347,$V$342:V347,V347,$AD$342:AD347,1))</x:f>
      </x:c>
      <x:c r="AD347" s="2" t="n">
        <x:f>IF(OR(AA347="DEFENSIV",AA347="PRUDENT",AA347="MODERAT",AA347="RIDICAT"),1,0)</x:f>
        <x:v>0</x:v>
      </x:c>
      <x:c r="AE347" s="2" t="str">
        <x:f>IF(AD347&lt;&gt;1,"NO",IF(W347="PASS","YES",IF(W347="OOS PENDING","CONDITIONAL","NO")))</x:f>
        <x:v>NO</x:v>
      </x:c>
      <x:c r="AF347" s="2" t="n">
        <x:f>IF(AND(AD347=1,AC347=1,E347="LIVE"),1,0)</x:f>
        <x:v>0</x:v>
      </x:c>
      <x:c r="AG347" s="2" t="str">
        <x:f>IF(AF347&lt;&gt;1,"",'Dashboard'!P50)</x:f>
      </x:c>
      <x:c r="AH347" s="2" t="str">
        <x:f>IF(B347="","",IF(J347&lt;&gt;"PASS",'Motor_Meciuri'!J30,IF('Calibrare_Linii'!U11&lt;&gt;"VALID","Parametri linie invalizi",IF(L347&gt;'Config_v6'!$B$13,"Dispersie peste limita",IF(W347="WATCH","Failure peste limita",IF(AB347&lt;'Config_v6'!$B$16,"P finala sub prag",IF(V347&lt;'Config_v6'!$B$18,"Confidence sub prag",IF(E347="REPLAY","Exemplu retrospectiv; exclus din Top LIVE",IF(Y347="PASS","DEFENSIV validat",IF(W347="OOS PENDING","Eligibil; calibrare linie in monitorizare","Eligibil"))))))))))</x:f>
      </x:c>
      <x:c r="AI347" s="2" t="str">
        <x:f>IF(B347="","",'Calibrare_Linii'!V11)</x:f>
      </x:c>
      <x:c r="AJ347" s="2" t="str">
        <x:f>IF(B347="","",IF(AND('Calibrare_Linii'!T11="VALIDATED",AND('Calibrare_Linii'!H11=C347,ISNUMBER('Calibrare_Linii'!J11),'Calibrare_Linii'!J11&lt;='Input_Meci'!G30)),"DEFENSIVE VALIDATED",IF(AND('Calibrare_Linii'!S11="VALIDATED",AND('Calibrare_Linii'!H11=C347,ISNUMBER('Calibrare_Linii'!J11),'Calibrare_Linii'!J11&lt;='Input_Meci'!G30)),"TAIL VALIDATED","OOS PENDING")))</x:f>
      </x:c>
      <x:c r="AK347" s="2" t="n">
        <x:f>IF(J347&lt;&gt;"PASS",0,'Motor_Meciuri'!BR30)</x:f>
        <x:v>0</x:v>
      </x:c>
      <x:c r="AL347" s="2" t="n">
        <x:f>IF(J347&lt;&gt;"PASS",0,'Motor_Meciuri'!BS30)</x:f>
        <x:v>0</x:v>
      </x:c>
      <x:c r="AM347" s="2" t="n">
        <x:f>IF(J347&lt;&gt;"PASS",0,'Motor_Meciuri'!BT30)</x:f>
        <x:v>0</x:v>
      </x:c>
      <x:c r="AN347" s="2" t="str">
        <x:f>IF(M347="","",MAX(0,'Motor_Meciuri'!BF30-IF(L347&gt;'Config_v6'!$B$12,'Config_v6'!$B$37,IF(L347&gt;'Config_v6'!$B$11,'Config_v6'!$B$36,0))))</x:f>
      </x:c>
    </x:row>
    <x:row r="348" ht="21" customHeight="1">
      <x:c r="A348" s="2" t="n">
        <x:v>25</x:v>
      </x:c>
      <x:c r="B348" s="2" t="str">
        <x:f>IF('Motor_Meciuri'!A30="","",'Motor_Meciuri'!A30)</x:f>
      </x:c>
      <x:c r="C348" s="2" t="str">
        <x:f>IF(B348="","",'Motor_Meciuri'!B30)</x:f>
      </x:c>
      <x:c r="D348" s="2" t="str">
        <x:f>IF(B348="","",'Motor_Meciuri'!D30)</x:f>
      </x:c>
      <x:c r="E348" s="2" t="str">
        <x:f>IF(B348="","",'Motor_Meciuri'!E30)</x:f>
      </x:c>
      <x:c r="F348" s="2" t="str">
        <x:v>U10,5</x:v>
      </x:c>
      <x:c r="G348" s="2" t="str">
        <x:v>UNDER</x:v>
      </x:c>
      <x:c r="H348" s="2" t="n">
        <x:v>10</x:v>
      </x:c>
      <x:c r="I348" s="2" t="str">
        <x:f>IF(B348="","",'Motor_Meciuri'!H30)</x:f>
      </x:c>
      <x:c r="J348" s="2" t="str">
        <x:f>IF(B348="","",'Motor_Meciuri'!I30)</x:f>
      </x:c>
      <x:c r="K348" s="11" t="str">
        <x:f>IF(J348&lt;&gt;"PASS","",'Motor_Meciuri'!BD30)</x:f>
      </x:c>
      <x:c r="L348" s="11" t="str">
        <x:f>IF(J348&lt;&gt;"PASS","",'Motor_Meciuri'!AU30)</x:f>
      </x:c>
      <x:c r="M348" s="10" t="str">
        <x:f>IF(NOT(AND(J348="PASS",'Calibrare_Linii'!U12="VALID")),"",'Distributie'!AH30)</x:f>
      </x:c>
      <x:c r="N348" s="10" t="str">
        <x:f>IF(M348="","",MAX(0.01,MIN(0.99,0.5+(M348-0.5)*'Motor_Meciuri'!BG30*'Calibrare_Linii'!D12)))</x:f>
      </x:c>
      <x:c r="O348" s="10" t="str">
        <x:f>IF(M348="","",1-M348)</x:f>
      </x:c>
      <x:c r="P348" s="10" t="str">
        <x:f>IF(OR(NOT(AND(J348="PASS",'Calibrare_Linii'!U12="VALID")),AK348=0),""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*('Istoric_Nativ'!$Q$6:$Q$405&gt;H348))/AK348)</x:f>
      </x:c>
      <x:c r="Q348" s="10" t="str">
        <x:f>IF(OR(NOT(AND(J348="PASS",'Calibrare_Linii'!U12="VALID")),AL348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M30)+((('Istoric_Nativ'!$E$6:$E$405='Input_Meci'!E30)+('Istoric_Nativ'!$F$6:$F$405='Input_Meci'!E30))&gt;0)*('Istoric_Nativ'!$D$6:$D$405&gt;='Motor_Meciuri'!BN30))&gt;0)*('Istoric_Nativ'!$Q$6:$Q$405&gt;H348))/AL348)</x:f>
      </x:c>
      <x:c r="R348" s="10" t="str">
        <x:f>IF(OR(NOT(AND(J348="PASS",'Calibrare_Linii'!U12="VALID")),AM348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O30)+((('Istoric_Nativ'!$E$6:$E$405='Input_Meci'!E30)+('Istoric_Nativ'!$F$6:$F$405='Input_Meci'!E30))&gt;0)*('Istoric_Nativ'!$D$6:$D$405&gt;='Motor_Meciuri'!BP30))&gt;0)*('Istoric_Nativ'!$Q$6:$Q$405&gt;H348))/AM348)</x:f>
      </x:c>
      <x:c r="S348" s="10" t="str">
        <x:f>IF(M348="","",MAX(O348,P348,Q348,R348))</x:f>
      </x:c>
      <x:c r="T348" s="11" t="str">
        <x:f>IF(M348="","",MIN(100,S348*100*'Config_v6'!$B$44+MIN(100,L348/'Config_v6'!$B$13*100)*'Config_v6'!$B$45+(100-'Motor_Meciuri'!BF30)*'Config_v6'!$B$46+'Motor_Meciuri'!BH30*100*'Config_v6'!$B$47))</x:f>
      </x:c>
      <x:c r="U348" s="2" t="str">
        <x:f>IF(T348="","",IF(T348&lt;=20,1,IF(T348&lt;=40,2,IF(T348&lt;=60,3,IF(T348&lt;=80,4,5)))))</x:f>
      </x:c>
      <x:c r="V348" s="2" t="str">
        <x:f>IF(M348="","",MAX(0,'Motor_Meciuri'!BF30-IF(W348="OOS PENDING",'Config_v6'!$B$35,0)-IF(L348&gt;'Config_v6'!$B$12,'Config_v6'!$B$37,IF(L348&gt;'Config_v6'!$B$11,'Config_v6'!$B$36,0))))</x:f>
      </x:c>
      <x:c r="W348" s="2" t="str">
        <x:f>IF(B348="","",IF(I348&lt;&gt;"READY","NOT RELEASED",IF(NOT(AND(J348="PASS",'Calibrare_Linii'!U12="VALID")),"INVALID",IF(NOT(AND('Calibrare_Linii'!S12="VALIDATED",AND('Calibrare_Linii'!H12=C348,ISNUMBER('Calibrare_Linii'!J12),'Calibrare_Linii'!J12&lt;='Input_Meci'!G30))),"OOS PENDING",IF(S348&lt;='Calibrare_Linii'!E12,"PASS",IF(S348&lt;='Calibrare_Linii'!F12,"PENALTY","WATCH"))))))</x:f>
      </x:c>
      <x:c r="X348" s="2" t="str">
        <x:f>IF(M348="","",IF(AND(AND(J348="PASS",'Calibrare_Linii'!U12="VALID"),'Motor_Meciuri'!K30=12,'Motor_Meciuri'!L30=12,'Motor_Meciuri'!M30="NO",'Motor_Meciuri'!BL30='Motor_Meciuri'!C30,AB348&gt;='Config_v6'!$B$50,AN348&gt;='Config_v6'!$B$51,T348&lt;='Config_v6'!$B$52,L348&lt;='Config_v6'!$B$53,ISNUMBER('Calibrare_Linii'!E12),S348&lt;='Calibrare_Linii'!E12,SUM(AK348:AM348)&gt;0),"CANDIDATE","NO"))</x:f>
      </x:c>
      <x:c r="Y348" s="2" t="str">
        <x:f>IF(B348="","",IF(I348&lt;&gt;"READY","NOT RELEASED",IF(AND(X348="CANDIDATE",V348&gt;='Config_v6'!$B$51,W348="PASS",'Calibrare_Linii'!T12="VALIDATED",AND('Calibrare_Linii'!H12=C348,ISNUMBER('Calibrare_Linii'!J12),'Calibrare_Linii'!J12&lt;='Input_Meci'!G30)),"PASS",IF(X348="CANDIDATE","OOS PENDING","FAIL"))))</x:f>
      </x:c>
      <x:c r="Z348" s="2" t="str">
        <x:f>IF(B348="","",IF(I348&lt;&gt;"READY","",IF(OR(NOT(AND(J348="PASS",'Calibrare_Linii'!U12="VALID")),L348&gt;'Config_v6'!$B$13,W348="WATCH"),5,IF(Y348="PASS",1,MIN(5,MAX('Config_v6'!$B$42,U348)+IF(W348="PENALTY",1,0))))))</x:f>
      </x:c>
      <x:c r="AA348" s="2" t="str">
        <x:f>IF(B348="","",IF(I348&lt;&gt;"READY","NOT RELEASED",IF(Z348=5,"NO BET",IF(OR(AB348&lt;'Config_v6'!$B$16,V348&lt;'Config_v6'!$B$18),"WATCH",IF(Z348=1,"DEFENSIV",IF(Z348=2,"PRUDENT",IF(Z348=3,"MODERAT","RIDICAT")))))))</x:f>
      </x:c>
      <x:c r="AB348" s="10" t="str">
        <x:f>IF(N348="","",MIN(N348,1-S348))</x:f>
      </x:c>
      <x:c r="AC348" s="2" t="str">
        <x:f>IF(AD348&lt;&gt;1,"",COUNTIFS($Z$342:$Z$355,"&lt;"&amp;Z348,$AD$342:$AD$355,1)+COUNTIFS($Z$342:$Z$355,Z348,$AB$342:$AB$355,"&gt;"&amp;AB348,$AD$342:$AD$355,1)+COUNTIFS($Z$342:$Z$355,Z348,$AB$342:$AB$355,AB348,$V$342:$V$355,"&gt;"&amp;V348,$AD$342:$AD$355,1)+COUNTIFS($Z$342:Z348,Z348,$AB$342:AB348,AB348,$V$342:V348,V348,$AD$342:AD348,1))</x:f>
      </x:c>
      <x:c r="AD348" s="2" t="n">
        <x:f>IF(OR(AA348="DEFENSIV",AA348="PRUDENT",AA348="MODERAT",AA348="RIDICAT"),1,0)</x:f>
        <x:v>0</x:v>
      </x:c>
      <x:c r="AE348" s="2" t="str">
        <x:f>IF(AD348&lt;&gt;1,"NO",IF(W348="PASS","YES",IF(W348="OOS PENDING","CONDITIONAL","NO")))</x:f>
        <x:v>NO</x:v>
      </x:c>
      <x:c r="AF348" s="2" t="n">
        <x:f>IF(AND(AD348=1,AC348=1,E348="LIVE"),1,0)</x:f>
        <x:v>0</x:v>
      </x:c>
      <x:c r="AG348" s="2" t="str">
        <x:f>IF(AF348&lt;&gt;1,"",'Dashboard'!P50)</x:f>
      </x:c>
      <x:c r="AH348" s="2" t="str">
        <x:f>IF(B348="","",IF(J348&lt;&gt;"PASS",'Motor_Meciuri'!J30,IF('Calibrare_Linii'!U12&lt;&gt;"VALID","Parametri linie invalizi",IF(L348&gt;'Config_v6'!$B$13,"Dispersie peste limita",IF(W348="WATCH","Failure peste limita",IF(AB348&lt;'Config_v6'!$B$16,"P finala sub prag",IF(V348&lt;'Config_v6'!$B$18,"Confidence sub prag",IF(E348="REPLAY","Exemplu retrospectiv; exclus din Top LIVE",IF(Y348="PASS","DEFENSIV validat",IF(W348="OOS PENDING","Eligibil; calibrare linie in monitorizare","Eligibil"))))))))))</x:f>
      </x:c>
      <x:c r="AI348" s="2" t="str">
        <x:f>IF(B348="","",'Calibrare_Linii'!V12)</x:f>
      </x:c>
      <x:c r="AJ348" s="2" t="str">
        <x:f>IF(B348="","",IF(AND('Calibrare_Linii'!T12="VALIDATED",AND('Calibrare_Linii'!H12=C348,ISNUMBER('Calibrare_Linii'!J12),'Calibrare_Linii'!J12&lt;='Input_Meci'!G30)),"DEFENSIVE VALIDATED",IF(AND('Calibrare_Linii'!S12="VALIDATED",AND('Calibrare_Linii'!H12=C348,ISNUMBER('Calibrare_Linii'!J12),'Calibrare_Linii'!J12&lt;='Input_Meci'!G30)),"TAIL VALIDATED","OOS PENDING")))</x:f>
      </x:c>
      <x:c r="AK348" s="2" t="n">
        <x:f>IF(J348&lt;&gt;"PASS",0,'Motor_Meciuri'!BR30)</x:f>
        <x:v>0</x:v>
      </x:c>
      <x:c r="AL348" s="2" t="n">
        <x:f>IF(J348&lt;&gt;"PASS",0,'Motor_Meciuri'!BS30)</x:f>
        <x:v>0</x:v>
      </x:c>
      <x:c r="AM348" s="2" t="n">
        <x:f>IF(J348&lt;&gt;"PASS",0,'Motor_Meciuri'!BT30)</x:f>
        <x:v>0</x:v>
      </x:c>
      <x:c r="AN348" s="2" t="str">
        <x:f>IF(M348="","",MAX(0,'Motor_Meciuri'!BF30-IF(L348&gt;'Config_v6'!$B$12,'Config_v6'!$B$37,IF(L348&gt;'Config_v6'!$B$11,'Config_v6'!$B$36,0))))</x:f>
      </x:c>
    </x:row>
    <x:row r="349" ht="21" customHeight="1">
      <x:c r="A349" s="2" t="n">
        <x:v>25</x:v>
      </x:c>
      <x:c r="B349" s="2" t="str">
        <x:f>IF('Motor_Meciuri'!A30="","",'Motor_Meciuri'!A30)</x:f>
      </x:c>
      <x:c r="C349" s="2" t="str">
        <x:f>IF(B349="","",'Motor_Meciuri'!B30)</x:f>
      </x:c>
      <x:c r="D349" s="2" t="str">
        <x:f>IF(B349="","",'Motor_Meciuri'!D30)</x:f>
      </x:c>
      <x:c r="E349" s="2" t="str">
        <x:f>IF(B349="","",'Motor_Meciuri'!E30)</x:f>
      </x:c>
      <x:c r="F349" s="2" t="str">
        <x:v>U11,5</x:v>
      </x:c>
      <x:c r="G349" s="2" t="str">
        <x:v>UNDER</x:v>
      </x:c>
      <x:c r="H349" s="2" t="n">
        <x:v>11</x:v>
      </x:c>
      <x:c r="I349" s="2" t="str">
        <x:f>IF(B349="","",'Motor_Meciuri'!H30)</x:f>
      </x:c>
      <x:c r="J349" s="2" t="str">
        <x:f>IF(B349="","",'Motor_Meciuri'!I30)</x:f>
      </x:c>
      <x:c r="K349" s="11" t="str">
        <x:f>IF(J349&lt;&gt;"PASS","",'Motor_Meciuri'!BD30)</x:f>
      </x:c>
      <x:c r="L349" s="11" t="str">
        <x:f>IF(J349&lt;&gt;"PASS","",'Motor_Meciuri'!AU30)</x:f>
      </x:c>
      <x:c r="M349" s="10" t="str">
        <x:f>IF(NOT(AND(J349="PASS",'Calibrare_Linii'!U13="VALID")),"",'Distributie'!AI30)</x:f>
      </x:c>
      <x:c r="N349" s="10" t="str">
        <x:f>IF(M349="","",MAX(0.01,MIN(0.99,0.5+(M349-0.5)*'Motor_Meciuri'!BG30*'Calibrare_Linii'!D13)))</x:f>
      </x:c>
      <x:c r="O349" s="10" t="str">
        <x:f>IF(M349="","",1-M349)</x:f>
      </x:c>
      <x:c r="P349" s="10" t="str">
        <x:f>IF(OR(NOT(AND(J349="PASS",'Calibrare_Linii'!U13="VALID")),AK349=0),""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*('Istoric_Nativ'!$Q$6:$Q$405&gt;H349))/AK349)</x:f>
      </x:c>
      <x:c r="Q349" s="10" t="str">
        <x:f>IF(OR(NOT(AND(J349="PASS",'Calibrare_Linii'!U13="VALID")),AL349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M30)+((('Istoric_Nativ'!$E$6:$E$405='Input_Meci'!E30)+('Istoric_Nativ'!$F$6:$F$405='Input_Meci'!E30))&gt;0)*('Istoric_Nativ'!$D$6:$D$405&gt;='Motor_Meciuri'!BN30))&gt;0)*('Istoric_Nativ'!$Q$6:$Q$405&gt;H349))/AL349)</x:f>
      </x:c>
      <x:c r="R349" s="10" t="str">
        <x:f>IF(OR(NOT(AND(J349="PASS",'Calibrare_Linii'!U13="VALID")),AM349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O30)+((('Istoric_Nativ'!$E$6:$E$405='Input_Meci'!E30)+('Istoric_Nativ'!$F$6:$F$405='Input_Meci'!E30))&gt;0)*('Istoric_Nativ'!$D$6:$D$405&gt;='Motor_Meciuri'!BP30))&gt;0)*('Istoric_Nativ'!$Q$6:$Q$405&gt;H349))/AM349)</x:f>
      </x:c>
      <x:c r="S349" s="10" t="str">
        <x:f>IF(M349="","",MAX(O349,P349,Q349,R349))</x:f>
      </x:c>
      <x:c r="T349" s="11" t="str">
        <x:f>IF(M349="","",MIN(100,S349*100*'Config_v6'!$B$44+MIN(100,L349/'Config_v6'!$B$13*100)*'Config_v6'!$B$45+(100-'Motor_Meciuri'!BF30)*'Config_v6'!$B$46+'Motor_Meciuri'!BH30*100*'Config_v6'!$B$47))</x:f>
      </x:c>
      <x:c r="U349" s="2" t="str">
        <x:f>IF(T349="","",IF(T349&lt;=20,1,IF(T349&lt;=40,2,IF(T349&lt;=60,3,IF(T349&lt;=80,4,5)))))</x:f>
      </x:c>
      <x:c r="V349" s="2" t="str">
        <x:f>IF(M349="","",MAX(0,'Motor_Meciuri'!BF30-IF(W349="OOS PENDING",'Config_v6'!$B$35,0)-IF(L349&gt;'Config_v6'!$B$12,'Config_v6'!$B$37,IF(L349&gt;'Config_v6'!$B$11,'Config_v6'!$B$36,0))))</x:f>
      </x:c>
      <x:c r="W349" s="2" t="str">
        <x:f>IF(B349="","",IF(I349&lt;&gt;"READY","NOT RELEASED",IF(NOT(AND(J349="PASS",'Calibrare_Linii'!U13="VALID")),"INVALID",IF(NOT(AND('Calibrare_Linii'!S13="VALIDATED",AND('Calibrare_Linii'!H13=C349,ISNUMBER('Calibrare_Linii'!J13),'Calibrare_Linii'!J13&lt;='Input_Meci'!G30))),"OOS PENDING",IF(S349&lt;='Calibrare_Linii'!E13,"PASS",IF(S349&lt;='Calibrare_Linii'!F13,"PENALTY","WATCH"))))))</x:f>
      </x:c>
      <x:c r="X349" s="2" t="str">
        <x:f>IF(M349="","",IF(AND(AND(J349="PASS",'Calibrare_Linii'!U13="VALID"),'Motor_Meciuri'!K30=12,'Motor_Meciuri'!L30=12,'Motor_Meciuri'!M30="NO",'Motor_Meciuri'!BL30='Motor_Meciuri'!C30,AB349&gt;='Config_v6'!$B$50,AN349&gt;='Config_v6'!$B$51,T349&lt;='Config_v6'!$B$52,L349&lt;='Config_v6'!$B$53,ISNUMBER('Calibrare_Linii'!E13),S349&lt;='Calibrare_Linii'!E13,SUM(AK349:AM349)&gt;0),"CANDIDATE","NO"))</x:f>
      </x:c>
      <x:c r="Y349" s="2" t="str">
        <x:f>IF(B349="","",IF(I349&lt;&gt;"READY","NOT RELEASED",IF(AND(X349="CANDIDATE",V349&gt;='Config_v6'!$B$51,W349="PASS",'Calibrare_Linii'!T13="VALIDATED",AND('Calibrare_Linii'!H13=C349,ISNUMBER('Calibrare_Linii'!J13),'Calibrare_Linii'!J13&lt;='Input_Meci'!G30)),"PASS",IF(X349="CANDIDATE","OOS PENDING","FAIL"))))</x:f>
      </x:c>
      <x:c r="Z349" s="2" t="str">
        <x:f>IF(B349="","",IF(I349&lt;&gt;"READY","",IF(OR(NOT(AND(J349="PASS",'Calibrare_Linii'!U13="VALID")),L349&gt;'Config_v6'!$B$13,W349="WATCH"),5,IF(Y349="PASS",1,MIN(5,MAX('Config_v6'!$B$42,U349)+IF(W349="PENALTY",1,0))))))</x:f>
      </x:c>
      <x:c r="AA349" s="2" t="str">
        <x:f>IF(B349="","",IF(I349&lt;&gt;"READY","NOT RELEASED",IF(Z349=5,"NO BET",IF(OR(AB349&lt;'Config_v6'!$B$16,V349&lt;'Config_v6'!$B$18),"WATCH",IF(Z349=1,"DEFENSIV",IF(Z349=2,"PRUDENT",IF(Z349=3,"MODERAT","RIDICAT")))))))</x:f>
      </x:c>
      <x:c r="AB349" s="10" t="str">
        <x:f>IF(N349="","",MIN(N349,1-S349))</x:f>
      </x:c>
      <x:c r="AC349" s="2" t="str">
        <x:f>IF(AD349&lt;&gt;1,"",COUNTIFS($Z$342:$Z$355,"&lt;"&amp;Z349,$AD$342:$AD$355,1)+COUNTIFS($Z$342:$Z$355,Z349,$AB$342:$AB$355,"&gt;"&amp;AB349,$AD$342:$AD$355,1)+COUNTIFS($Z$342:$Z$355,Z349,$AB$342:$AB$355,AB349,$V$342:$V$355,"&gt;"&amp;V349,$AD$342:$AD$355,1)+COUNTIFS($Z$342:Z349,Z349,$AB$342:AB349,AB349,$V$342:V349,V349,$AD$342:AD349,1))</x:f>
      </x:c>
      <x:c r="AD349" s="2" t="n">
        <x:f>IF(OR(AA349="DEFENSIV",AA349="PRUDENT",AA349="MODERAT",AA349="RIDICAT"),1,0)</x:f>
        <x:v>0</x:v>
      </x:c>
      <x:c r="AE349" s="2" t="str">
        <x:f>IF(AD349&lt;&gt;1,"NO",IF(W349="PASS","YES",IF(W349="OOS PENDING","CONDITIONAL","NO")))</x:f>
        <x:v>NO</x:v>
      </x:c>
      <x:c r="AF349" s="2" t="n">
        <x:f>IF(AND(AD349=1,AC349=1,E349="LIVE"),1,0)</x:f>
        <x:v>0</x:v>
      </x:c>
      <x:c r="AG349" s="2" t="str">
        <x:f>IF(AF349&lt;&gt;1,"",'Dashboard'!P50)</x:f>
      </x:c>
      <x:c r="AH349" s="2" t="str">
        <x:f>IF(B349="","",IF(J349&lt;&gt;"PASS",'Motor_Meciuri'!J30,IF('Calibrare_Linii'!U13&lt;&gt;"VALID","Parametri linie invalizi",IF(L349&gt;'Config_v6'!$B$13,"Dispersie peste limita",IF(W349="WATCH","Failure peste limita",IF(AB349&lt;'Config_v6'!$B$16,"P finala sub prag",IF(V349&lt;'Config_v6'!$B$18,"Confidence sub prag",IF(E349="REPLAY","Exemplu retrospectiv; exclus din Top LIVE",IF(Y349="PASS","DEFENSIV validat",IF(W349="OOS PENDING","Eligibil; calibrare linie in monitorizare","Eligibil"))))))))))</x:f>
      </x:c>
      <x:c r="AI349" s="2" t="str">
        <x:f>IF(B349="","",'Calibrare_Linii'!V13)</x:f>
      </x:c>
      <x:c r="AJ349" s="2" t="str">
        <x:f>IF(B349="","",IF(AND('Calibrare_Linii'!T13="VALIDATED",AND('Calibrare_Linii'!H13=C349,ISNUMBER('Calibrare_Linii'!J13),'Calibrare_Linii'!J13&lt;='Input_Meci'!G30)),"DEFENSIVE VALIDATED",IF(AND('Calibrare_Linii'!S13="VALIDATED",AND('Calibrare_Linii'!H13=C349,ISNUMBER('Calibrare_Linii'!J13),'Calibrare_Linii'!J13&lt;='Input_Meci'!G30)),"TAIL VALIDATED","OOS PENDING")))</x:f>
      </x:c>
      <x:c r="AK349" s="2" t="n">
        <x:f>IF(J349&lt;&gt;"PASS",0,'Motor_Meciuri'!BR30)</x:f>
        <x:v>0</x:v>
      </x:c>
      <x:c r="AL349" s="2" t="n">
        <x:f>IF(J349&lt;&gt;"PASS",0,'Motor_Meciuri'!BS30)</x:f>
        <x:v>0</x:v>
      </x:c>
      <x:c r="AM349" s="2" t="n">
        <x:f>IF(J349&lt;&gt;"PASS",0,'Motor_Meciuri'!BT30)</x:f>
        <x:v>0</x:v>
      </x:c>
      <x:c r="AN349" s="2" t="str">
        <x:f>IF(M349="","",MAX(0,'Motor_Meciuri'!BF30-IF(L349&gt;'Config_v6'!$B$12,'Config_v6'!$B$37,IF(L349&gt;'Config_v6'!$B$11,'Config_v6'!$B$36,0))))</x:f>
      </x:c>
    </x:row>
    <x:row r="350" ht="21" customHeight="1">
      <x:c r="A350" s="2" t="n">
        <x:v>25</x:v>
      </x:c>
      <x:c r="B350" s="2" t="str">
        <x:f>IF('Motor_Meciuri'!A30="","",'Motor_Meciuri'!A30)</x:f>
      </x:c>
      <x:c r="C350" s="2" t="str">
        <x:f>IF(B350="","",'Motor_Meciuri'!B30)</x:f>
      </x:c>
      <x:c r="D350" s="2" t="str">
        <x:f>IF(B350="","",'Motor_Meciuri'!D30)</x:f>
      </x:c>
      <x:c r="E350" s="2" t="str">
        <x:f>IF(B350="","",'Motor_Meciuri'!E30)</x:f>
      </x:c>
      <x:c r="F350" s="2" t="str">
        <x:v>U12,5</x:v>
      </x:c>
      <x:c r="G350" s="2" t="str">
        <x:v>UNDER</x:v>
      </x:c>
      <x:c r="H350" s="2" t="n">
        <x:v>12</x:v>
      </x:c>
      <x:c r="I350" s="2" t="str">
        <x:f>IF(B350="","",'Motor_Meciuri'!H30)</x:f>
      </x:c>
      <x:c r="J350" s="2" t="str">
        <x:f>IF(B350="","",'Motor_Meciuri'!I30)</x:f>
      </x:c>
      <x:c r="K350" s="11" t="str">
        <x:f>IF(J350&lt;&gt;"PASS","",'Motor_Meciuri'!BD30)</x:f>
      </x:c>
      <x:c r="L350" s="11" t="str">
        <x:f>IF(J350&lt;&gt;"PASS","",'Motor_Meciuri'!AU30)</x:f>
      </x:c>
      <x:c r="M350" s="10" t="str">
        <x:f>IF(NOT(AND(J350="PASS",'Calibrare_Linii'!U14="VALID")),"",'Distributie'!AJ30)</x:f>
      </x:c>
      <x:c r="N350" s="10" t="str">
        <x:f>IF(M350="","",MAX(0.01,MIN(0.99,0.5+(M350-0.5)*'Motor_Meciuri'!BG30*'Calibrare_Linii'!D14)))</x:f>
      </x:c>
      <x:c r="O350" s="10" t="str">
        <x:f>IF(M350="","",1-M350)</x:f>
      </x:c>
      <x:c r="P350" s="10" t="str">
        <x:f>IF(OR(NOT(AND(J350="PASS",'Calibrare_Linii'!U14="VALID")),AK350=0),""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*('Istoric_Nativ'!$Q$6:$Q$405&gt;H350))/AK350)</x:f>
      </x:c>
      <x:c r="Q350" s="10" t="str">
        <x:f>IF(OR(NOT(AND(J350="PASS",'Calibrare_Linii'!U14="VALID")),AL350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M30)+((('Istoric_Nativ'!$E$6:$E$405='Input_Meci'!E30)+('Istoric_Nativ'!$F$6:$F$405='Input_Meci'!E30))&gt;0)*('Istoric_Nativ'!$D$6:$D$405&gt;='Motor_Meciuri'!BN30))&gt;0)*('Istoric_Nativ'!$Q$6:$Q$405&gt;H350))/AL350)</x:f>
      </x:c>
      <x:c r="R350" s="10" t="str">
        <x:f>IF(OR(NOT(AND(J350="PASS",'Calibrare_Linii'!U14="VALID")),AM350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O30)+((('Istoric_Nativ'!$E$6:$E$405='Input_Meci'!E30)+('Istoric_Nativ'!$F$6:$F$405='Input_Meci'!E30))&gt;0)*('Istoric_Nativ'!$D$6:$D$405&gt;='Motor_Meciuri'!BP30))&gt;0)*('Istoric_Nativ'!$Q$6:$Q$405&gt;H350))/AM350)</x:f>
      </x:c>
      <x:c r="S350" s="10" t="str">
        <x:f>IF(M350="","",MAX(O350,P350,Q350,R350))</x:f>
      </x:c>
      <x:c r="T350" s="11" t="str">
        <x:f>IF(M350="","",MIN(100,S350*100*'Config_v6'!$B$44+MIN(100,L350/'Config_v6'!$B$13*100)*'Config_v6'!$B$45+(100-'Motor_Meciuri'!BF30)*'Config_v6'!$B$46+'Motor_Meciuri'!BH30*100*'Config_v6'!$B$47))</x:f>
      </x:c>
      <x:c r="U350" s="2" t="str">
        <x:f>IF(T350="","",IF(T350&lt;=20,1,IF(T350&lt;=40,2,IF(T350&lt;=60,3,IF(T350&lt;=80,4,5)))))</x:f>
      </x:c>
      <x:c r="V350" s="2" t="str">
        <x:f>IF(M350="","",MAX(0,'Motor_Meciuri'!BF30-IF(W350="OOS PENDING",'Config_v6'!$B$35,0)-IF(L350&gt;'Config_v6'!$B$12,'Config_v6'!$B$37,IF(L350&gt;'Config_v6'!$B$11,'Config_v6'!$B$36,0))))</x:f>
      </x:c>
      <x:c r="W350" s="2" t="str">
        <x:f>IF(B350="","",IF(I350&lt;&gt;"READY","NOT RELEASED",IF(NOT(AND(J350="PASS",'Calibrare_Linii'!U14="VALID")),"INVALID",IF(NOT(AND('Calibrare_Linii'!S14="VALIDATED",AND('Calibrare_Linii'!H14=C350,ISNUMBER('Calibrare_Linii'!J14),'Calibrare_Linii'!J14&lt;='Input_Meci'!G30))),"OOS PENDING",IF(S350&lt;='Calibrare_Linii'!E14,"PASS",IF(S350&lt;='Calibrare_Linii'!F14,"PENALTY","WATCH"))))))</x:f>
      </x:c>
      <x:c r="X350" s="2" t="str">
        <x:f>IF(M350="","",IF(AND(AND(J350="PASS",'Calibrare_Linii'!U14="VALID"),'Motor_Meciuri'!K30=12,'Motor_Meciuri'!L30=12,'Motor_Meciuri'!M30="NO",'Motor_Meciuri'!BL30='Motor_Meciuri'!C30,AB350&gt;='Config_v6'!$B$50,AN350&gt;='Config_v6'!$B$51,T350&lt;='Config_v6'!$B$52,L350&lt;='Config_v6'!$B$53,ISNUMBER('Calibrare_Linii'!E14),S350&lt;='Calibrare_Linii'!E14,SUM(AK350:AM350)&gt;0),"CANDIDATE","NO"))</x:f>
      </x:c>
      <x:c r="Y350" s="2" t="str">
        <x:f>IF(B350="","",IF(I350&lt;&gt;"READY","NOT RELEASED",IF(AND(X350="CANDIDATE",V350&gt;='Config_v6'!$B$51,W350="PASS",'Calibrare_Linii'!T14="VALIDATED",AND('Calibrare_Linii'!H14=C350,ISNUMBER('Calibrare_Linii'!J14),'Calibrare_Linii'!J14&lt;='Input_Meci'!G30)),"PASS",IF(X350="CANDIDATE","OOS PENDING","FAIL"))))</x:f>
      </x:c>
      <x:c r="Z350" s="2" t="str">
        <x:f>IF(B350="","",IF(I350&lt;&gt;"READY","",IF(OR(NOT(AND(J350="PASS",'Calibrare_Linii'!U14="VALID")),L350&gt;'Config_v6'!$B$13,W350="WATCH"),5,IF(Y350="PASS",1,MIN(5,MAX('Config_v6'!$B$42,U350)+IF(W350="PENALTY",1,0))))))</x:f>
      </x:c>
      <x:c r="AA350" s="2" t="str">
        <x:f>IF(B350="","",IF(I350&lt;&gt;"READY","NOT RELEASED",IF(Z350=5,"NO BET",IF(OR(AB350&lt;'Config_v6'!$B$16,V350&lt;'Config_v6'!$B$18),"WATCH",IF(Z350=1,"DEFENSIV",IF(Z350=2,"PRUDENT",IF(Z350=3,"MODERAT","RIDICAT")))))))</x:f>
      </x:c>
      <x:c r="AB350" s="10" t="str">
        <x:f>IF(N350="","",MIN(N350,1-S350))</x:f>
      </x:c>
      <x:c r="AC350" s="2" t="str">
        <x:f>IF(AD350&lt;&gt;1,"",COUNTIFS($Z$342:$Z$355,"&lt;"&amp;Z350,$AD$342:$AD$355,1)+COUNTIFS($Z$342:$Z$355,Z350,$AB$342:$AB$355,"&gt;"&amp;AB350,$AD$342:$AD$355,1)+COUNTIFS($Z$342:$Z$355,Z350,$AB$342:$AB$355,AB350,$V$342:$V$355,"&gt;"&amp;V350,$AD$342:$AD$355,1)+COUNTIFS($Z$342:Z350,Z350,$AB$342:AB350,AB350,$V$342:V350,V350,$AD$342:AD350,1))</x:f>
      </x:c>
      <x:c r="AD350" s="2" t="n">
        <x:f>IF(OR(AA350="DEFENSIV",AA350="PRUDENT",AA350="MODERAT",AA350="RIDICAT"),1,0)</x:f>
        <x:v>0</x:v>
      </x:c>
      <x:c r="AE350" s="2" t="str">
        <x:f>IF(AD350&lt;&gt;1,"NO",IF(W350="PASS","YES",IF(W350="OOS PENDING","CONDITIONAL","NO")))</x:f>
        <x:v>NO</x:v>
      </x:c>
      <x:c r="AF350" s="2" t="n">
        <x:f>IF(AND(AD350=1,AC350=1,E350="LIVE"),1,0)</x:f>
        <x:v>0</x:v>
      </x:c>
      <x:c r="AG350" s="2" t="str">
        <x:f>IF(AF350&lt;&gt;1,"",'Dashboard'!P50)</x:f>
      </x:c>
      <x:c r="AH350" s="2" t="str">
        <x:f>IF(B350="","",IF(J350&lt;&gt;"PASS",'Motor_Meciuri'!J30,IF('Calibrare_Linii'!U14&lt;&gt;"VALID","Parametri linie invalizi",IF(L350&gt;'Config_v6'!$B$13,"Dispersie peste limita",IF(W350="WATCH","Failure peste limita",IF(AB350&lt;'Config_v6'!$B$16,"P finala sub prag",IF(V350&lt;'Config_v6'!$B$18,"Confidence sub prag",IF(E350="REPLAY","Exemplu retrospectiv; exclus din Top LIVE",IF(Y350="PASS","DEFENSIV validat",IF(W350="OOS PENDING","Eligibil; calibrare linie in monitorizare","Eligibil"))))))))))</x:f>
      </x:c>
      <x:c r="AI350" s="2" t="str">
        <x:f>IF(B350="","",'Calibrare_Linii'!V14)</x:f>
      </x:c>
      <x:c r="AJ350" s="2" t="str">
        <x:f>IF(B350="","",IF(AND('Calibrare_Linii'!T14="VALIDATED",AND('Calibrare_Linii'!H14=C350,ISNUMBER('Calibrare_Linii'!J14),'Calibrare_Linii'!J14&lt;='Input_Meci'!G30)),"DEFENSIVE VALIDATED",IF(AND('Calibrare_Linii'!S14="VALIDATED",AND('Calibrare_Linii'!H14=C350,ISNUMBER('Calibrare_Linii'!J14),'Calibrare_Linii'!J14&lt;='Input_Meci'!G30)),"TAIL VALIDATED","OOS PENDING")))</x:f>
      </x:c>
      <x:c r="AK350" s="2" t="n">
        <x:f>IF(J350&lt;&gt;"PASS",0,'Motor_Meciuri'!BR30)</x:f>
        <x:v>0</x:v>
      </x:c>
      <x:c r="AL350" s="2" t="n">
        <x:f>IF(J350&lt;&gt;"PASS",0,'Motor_Meciuri'!BS30)</x:f>
        <x:v>0</x:v>
      </x:c>
      <x:c r="AM350" s="2" t="n">
        <x:f>IF(J350&lt;&gt;"PASS",0,'Motor_Meciuri'!BT30)</x:f>
        <x:v>0</x:v>
      </x:c>
      <x:c r="AN350" s="2" t="str">
        <x:f>IF(M350="","",MAX(0,'Motor_Meciuri'!BF30-IF(L350&gt;'Config_v6'!$B$12,'Config_v6'!$B$37,IF(L350&gt;'Config_v6'!$B$11,'Config_v6'!$B$36,0))))</x:f>
      </x:c>
    </x:row>
    <x:row r="351" ht="21" customHeight="1">
      <x:c r="A351" s="2" t="n">
        <x:v>25</x:v>
      </x:c>
      <x:c r="B351" s="2" t="str">
        <x:f>IF('Motor_Meciuri'!A30="","",'Motor_Meciuri'!A30)</x:f>
      </x:c>
      <x:c r="C351" s="2" t="str">
        <x:f>IF(B351="","",'Motor_Meciuri'!B30)</x:f>
      </x:c>
      <x:c r="D351" s="2" t="str">
        <x:f>IF(B351="","",'Motor_Meciuri'!D30)</x:f>
      </x:c>
      <x:c r="E351" s="2" t="str">
        <x:f>IF(B351="","",'Motor_Meciuri'!E30)</x:f>
      </x:c>
      <x:c r="F351" s="2" t="str">
        <x:v>U13,5</x:v>
      </x:c>
      <x:c r="G351" s="2" t="str">
        <x:v>UNDER</x:v>
      </x:c>
      <x:c r="H351" s="2" t="n">
        <x:v>13</x:v>
      </x:c>
      <x:c r="I351" s="2" t="str">
        <x:f>IF(B351="","",'Motor_Meciuri'!H30)</x:f>
      </x:c>
      <x:c r="J351" s="2" t="str">
        <x:f>IF(B351="","",'Motor_Meciuri'!I30)</x:f>
      </x:c>
      <x:c r="K351" s="11" t="str">
        <x:f>IF(J351&lt;&gt;"PASS","",'Motor_Meciuri'!BD30)</x:f>
      </x:c>
      <x:c r="L351" s="11" t="str">
        <x:f>IF(J351&lt;&gt;"PASS","",'Motor_Meciuri'!AU30)</x:f>
      </x:c>
      <x:c r="M351" s="10" t="str">
        <x:f>IF(NOT(AND(J351="PASS",'Calibrare_Linii'!U15="VALID")),"",'Distributie'!AK30)</x:f>
      </x:c>
      <x:c r="N351" s="10" t="str">
        <x:f>IF(M351="","",MAX(0.01,MIN(0.99,0.5+(M351-0.5)*'Motor_Meciuri'!BG30*'Calibrare_Linii'!D15)))</x:f>
      </x:c>
      <x:c r="O351" s="10" t="str">
        <x:f>IF(M351="","",1-M351)</x:f>
      </x:c>
      <x:c r="P351" s="10" t="str">
        <x:f>IF(OR(NOT(AND(J351="PASS",'Calibrare_Linii'!U15="VALID")),AK351=0),""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*('Istoric_Nativ'!$Q$6:$Q$405&gt;H351))/AK351)</x:f>
      </x:c>
      <x:c r="Q351" s="10" t="str">
        <x:f>IF(OR(NOT(AND(J351="PASS",'Calibrare_Linii'!U15="VALID")),AL351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M30)+((('Istoric_Nativ'!$E$6:$E$405='Input_Meci'!E30)+('Istoric_Nativ'!$F$6:$F$405='Input_Meci'!E30))&gt;0)*('Istoric_Nativ'!$D$6:$D$405&gt;='Motor_Meciuri'!BN30))&gt;0)*('Istoric_Nativ'!$Q$6:$Q$405&gt;H351))/AL351)</x:f>
      </x:c>
      <x:c r="R351" s="10" t="str">
        <x:f>IF(OR(NOT(AND(J351="PASS",'Calibrare_Linii'!U15="VALID")),AM351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O30)+((('Istoric_Nativ'!$E$6:$E$405='Input_Meci'!E30)+('Istoric_Nativ'!$F$6:$F$405='Input_Meci'!E30))&gt;0)*('Istoric_Nativ'!$D$6:$D$405&gt;='Motor_Meciuri'!BP30))&gt;0)*('Istoric_Nativ'!$Q$6:$Q$405&gt;H351))/AM351)</x:f>
      </x:c>
      <x:c r="S351" s="10" t="str">
        <x:f>IF(M351="","",MAX(O351,P351,Q351,R351))</x:f>
      </x:c>
      <x:c r="T351" s="11" t="str">
        <x:f>IF(M351="","",MIN(100,S351*100*'Config_v6'!$B$44+MIN(100,L351/'Config_v6'!$B$13*100)*'Config_v6'!$B$45+(100-'Motor_Meciuri'!BF30)*'Config_v6'!$B$46+'Motor_Meciuri'!BH30*100*'Config_v6'!$B$47))</x:f>
      </x:c>
      <x:c r="U351" s="2" t="str">
        <x:f>IF(T351="","",IF(T351&lt;=20,1,IF(T351&lt;=40,2,IF(T351&lt;=60,3,IF(T351&lt;=80,4,5)))))</x:f>
      </x:c>
      <x:c r="V351" s="2" t="str">
        <x:f>IF(M351="","",MAX(0,'Motor_Meciuri'!BF30-IF(W351="OOS PENDING",'Config_v6'!$B$35,0)-IF(L351&gt;'Config_v6'!$B$12,'Config_v6'!$B$37,IF(L351&gt;'Config_v6'!$B$11,'Config_v6'!$B$36,0))))</x:f>
      </x:c>
      <x:c r="W351" s="2" t="str">
        <x:f>IF(B351="","",IF(I351&lt;&gt;"READY","NOT RELEASED",IF(NOT(AND(J351="PASS",'Calibrare_Linii'!U15="VALID")),"INVALID",IF(NOT(AND('Calibrare_Linii'!S15="VALIDATED",AND('Calibrare_Linii'!H15=C351,ISNUMBER('Calibrare_Linii'!J15),'Calibrare_Linii'!J15&lt;='Input_Meci'!G30))),"OOS PENDING",IF(S351&lt;='Calibrare_Linii'!E15,"PASS",IF(S351&lt;='Calibrare_Linii'!F15,"PENALTY","WATCH"))))))</x:f>
      </x:c>
      <x:c r="X351" s="2" t="str">
        <x:f>IF(M351="","",IF(AND(AND(J351="PASS",'Calibrare_Linii'!U15="VALID"),'Motor_Meciuri'!K30=12,'Motor_Meciuri'!L30=12,'Motor_Meciuri'!M30="NO",'Motor_Meciuri'!BL30='Motor_Meciuri'!C30,AB351&gt;='Config_v6'!$B$50,AN351&gt;='Config_v6'!$B$51,T351&lt;='Config_v6'!$B$52,L351&lt;='Config_v6'!$B$53,ISNUMBER('Calibrare_Linii'!E15),S351&lt;='Calibrare_Linii'!E15,SUM(AK351:AM351)&gt;0),"CANDIDATE","NO"))</x:f>
      </x:c>
      <x:c r="Y351" s="2" t="str">
        <x:f>IF(B351="","",IF(I351&lt;&gt;"READY","NOT RELEASED",IF(AND(X351="CANDIDATE",V351&gt;='Config_v6'!$B$51,W351="PASS",'Calibrare_Linii'!T15="VALIDATED",AND('Calibrare_Linii'!H15=C351,ISNUMBER('Calibrare_Linii'!J15),'Calibrare_Linii'!J15&lt;='Input_Meci'!G30)),"PASS",IF(X351="CANDIDATE","OOS PENDING","FAIL"))))</x:f>
      </x:c>
      <x:c r="Z351" s="2" t="str">
        <x:f>IF(B351="","",IF(I351&lt;&gt;"READY","",IF(OR(NOT(AND(J351="PASS",'Calibrare_Linii'!U15="VALID")),L351&gt;'Config_v6'!$B$13,W351="WATCH"),5,IF(Y351="PASS",1,MIN(5,MAX('Config_v6'!$B$42,U351)+IF(W351="PENALTY",1,0))))))</x:f>
      </x:c>
      <x:c r="AA351" s="2" t="str">
        <x:f>IF(B351="","",IF(I351&lt;&gt;"READY","NOT RELEASED",IF(Z351=5,"NO BET",IF(OR(AB351&lt;'Config_v6'!$B$16,V351&lt;'Config_v6'!$B$18),"WATCH",IF(Z351=1,"DEFENSIV",IF(Z351=2,"PRUDENT",IF(Z351=3,"MODERAT","RIDICAT")))))))</x:f>
      </x:c>
      <x:c r="AB351" s="10" t="str">
        <x:f>IF(N351="","",MIN(N351,1-S351))</x:f>
      </x:c>
      <x:c r="AC351" s="2" t="str">
        <x:f>IF(AD351&lt;&gt;1,"",COUNTIFS($Z$342:$Z$355,"&lt;"&amp;Z351,$AD$342:$AD$355,1)+COUNTIFS($Z$342:$Z$355,Z351,$AB$342:$AB$355,"&gt;"&amp;AB351,$AD$342:$AD$355,1)+COUNTIFS($Z$342:$Z$355,Z351,$AB$342:$AB$355,AB351,$V$342:$V$355,"&gt;"&amp;V351,$AD$342:$AD$355,1)+COUNTIFS($Z$342:Z351,Z351,$AB$342:AB351,AB351,$V$342:V351,V351,$AD$342:AD351,1))</x:f>
      </x:c>
      <x:c r="AD351" s="2" t="n">
        <x:f>IF(OR(AA351="DEFENSIV",AA351="PRUDENT",AA351="MODERAT",AA351="RIDICAT"),1,0)</x:f>
        <x:v>0</x:v>
      </x:c>
      <x:c r="AE351" s="2" t="str">
        <x:f>IF(AD351&lt;&gt;1,"NO",IF(W351="PASS","YES",IF(W351="OOS PENDING","CONDITIONAL","NO")))</x:f>
        <x:v>NO</x:v>
      </x:c>
      <x:c r="AF351" s="2" t="n">
        <x:f>IF(AND(AD351=1,AC351=1,E351="LIVE"),1,0)</x:f>
        <x:v>0</x:v>
      </x:c>
      <x:c r="AG351" s="2" t="str">
        <x:f>IF(AF351&lt;&gt;1,"",'Dashboard'!P50)</x:f>
      </x:c>
      <x:c r="AH351" s="2" t="str">
        <x:f>IF(B351="","",IF(J351&lt;&gt;"PASS",'Motor_Meciuri'!J30,IF('Calibrare_Linii'!U15&lt;&gt;"VALID","Parametri linie invalizi",IF(L351&gt;'Config_v6'!$B$13,"Dispersie peste limita",IF(W351="WATCH","Failure peste limita",IF(AB351&lt;'Config_v6'!$B$16,"P finala sub prag",IF(V351&lt;'Config_v6'!$B$18,"Confidence sub prag",IF(E351="REPLAY","Exemplu retrospectiv; exclus din Top LIVE",IF(Y351="PASS","DEFENSIV validat",IF(W351="OOS PENDING","Eligibil; calibrare linie in monitorizare","Eligibil"))))))))))</x:f>
      </x:c>
      <x:c r="AI351" s="2" t="str">
        <x:f>IF(B351="","",'Calibrare_Linii'!V15)</x:f>
      </x:c>
      <x:c r="AJ351" s="2" t="str">
        <x:f>IF(B351="","",IF(AND('Calibrare_Linii'!T15="VALIDATED",AND('Calibrare_Linii'!H15=C351,ISNUMBER('Calibrare_Linii'!J15),'Calibrare_Linii'!J15&lt;='Input_Meci'!G30)),"DEFENSIVE VALIDATED",IF(AND('Calibrare_Linii'!S15="VALIDATED",AND('Calibrare_Linii'!H15=C351,ISNUMBER('Calibrare_Linii'!J15),'Calibrare_Linii'!J15&lt;='Input_Meci'!G30)),"TAIL VALIDATED","OOS PENDING")))</x:f>
      </x:c>
      <x:c r="AK351" s="2" t="n">
        <x:f>IF(J351&lt;&gt;"PASS",0,'Motor_Meciuri'!BR30)</x:f>
        <x:v>0</x:v>
      </x:c>
      <x:c r="AL351" s="2" t="n">
        <x:f>IF(J351&lt;&gt;"PASS",0,'Motor_Meciuri'!BS30)</x:f>
        <x:v>0</x:v>
      </x:c>
      <x:c r="AM351" s="2" t="n">
        <x:f>IF(J351&lt;&gt;"PASS",0,'Motor_Meciuri'!BT30)</x:f>
        <x:v>0</x:v>
      </x:c>
      <x:c r="AN351" s="2" t="str">
        <x:f>IF(M351="","",MAX(0,'Motor_Meciuri'!BF30-IF(L351&gt;'Config_v6'!$B$12,'Config_v6'!$B$37,IF(L351&gt;'Config_v6'!$B$11,'Config_v6'!$B$36,0))))</x:f>
      </x:c>
    </x:row>
    <x:row r="352" ht="21" customHeight="1">
      <x:c r="A352" s="2" t="n">
        <x:v>25</x:v>
      </x:c>
      <x:c r="B352" s="2" t="str">
        <x:f>IF('Motor_Meciuri'!A30="","",'Motor_Meciuri'!A30)</x:f>
      </x:c>
      <x:c r="C352" s="2" t="str">
        <x:f>IF(B352="","",'Motor_Meciuri'!B30)</x:f>
      </x:c>
      <x:c r="D352" s="2" t="str">
        <x:f>IF(B352="","",'Motor_Meciuri'!D30)</x:f>
      </x:c>
      <x:c r="E352" s="2" t="str">
        <x:f>IF(B352="","",'Motor_Meciuri'!E30)</x:f>
      </x:c>
      <x:c r="F352" s="2" t="str">
        <x:v>U14,5</x:v>
      </x:c>
      <x:c r="G352" s="2" t="str">
        <x:v>UNDER</x:v>
      </x:c>
      <x:c r="H352" s="2" t="n">
        <x:v>14</x:v>
      </x:c>
      <x:c r="I352" s="2" t="str">
        <x:f>IF(B352="","",'Motor_Meciuri'!H30)</x:f>
      </x:c>
      <x:c r="J352" s="2" t="str">
        <x:f>IF(B352="","",'Motor_Meciuri'!I30)</x:f>
      </x:c>
      <x:c r="K352" s="11" t="str">
        <x:f>IF(J352&lt;&gt;"PASS","",'Motor_Meciuri'!BD30)</x:f>
      </x:c>
      <x:c r="L352" s="11" t="str">
        <x:f>IF(J352&lt;&gt;"PASS","",'Motor_Meciuri'!AU30)</x:f>
      </x:c>
      <x:c r="M352" s="10" t="str">
        <x:f>IF(NOT(AND(J352="PASS",'Calibrare_Linii'!U16="VALID")),"",'Distributie'!AL30)</x:f>
      </x:c>
      <x:c r="N352" s="10" t="str">
        <x:f>IF(M352="","",MAX(0.01,MIN(0.99,0.5+(M352-0.5)*'Motor_Meciuri'!BG30*'Calibrare_Linii'!D16)))</x:f>
      </x:c>
      <x:c r="O352" s="10" t="str">
        <x:f>IF(M352="","",1-M352)</x:f>
      </x:c>
      <x:c r="P352" s="10" t="str">
        <x:f>IF(OR(NOT(AND(J352="PASS",'Calibrare_Linii'!U16="VALID")),AK352=0),""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*('Istoric_Nativ'!$Q$6:$Q$405&gt;H352))/AK352)</x:f>
      </x:c>
      <x:c r="Q352" s="10" t="str">
        <x:f>IF(OR(NOT(AND(J352="PASS",'Calibrare_Linii'!U16="VALID")),AL352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M30)+((('Istoric_Nativ'!$E$6:$E$405='Input_Meci'!E30)+('Istoric_Nativ'!$F$6:$F$405='Input_Meci'!E30))&gt;0)*('Istoric_Nativ'!$D$6:$D$405&gt;='Motor_Meciuri'!BN30))&gt;0)*('Istoric_Nativ'!$Q$6:$Q$405&gt;H352))/AL352)</x:f>
      </x:c>
      <x:c r="R352" s="10" t="str">
        <x:f>IF(OR(NOT(AND(J352="PASS",'Calibrare_Linii'!U16="VALID")),AM352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O30)+((('Istoric_Nativ'!$E$6:$E$405='Input_Meci'!E30)+('Istoric_Nativ'!$F$6:$F$405='Input_Meci'!E30))&gt;0)*('Istoric_Nativ'!$D$6:$D$405&gt;='Motor_Meciuri'!BP30))&gt;0)*('Istoric_Nativ'!$Q$6:$Q$405&gt;H352))/AM352)</x:f>
      </x:c>
      <x:c r="S352" s="10" t="str">
        <x:f>IF(M352="","",MAX(O352,P352,Q352,R352))</x:f>
      </x:c>
      <x:c r="T352" s="11" t="str">
        <x:f>IF(M352="","",MIN(100,S352*100*'Config_v6'!$B$44+MIN(100,L352/'Config_v6'!$B$13*100)*'Config_v6'!$B$45+(100-'Motor_Meciuri'!BF30)*'Config_v6'!$B$46+'Motor_Meciuri'!BH30*100*'Config_v6'!$B$47))</x:f>
      </x:c>
      <x:c r="U352" s="2" t="str">
        <x:f>IF(T352="","",IF(T352&lt;=20,1,IF(T352&lt;=40,2,IF(T352&lt;=60,3,IF(T352&lt;=80,4,5)))))</x:f>
      </x:c>
      <x:c r="V352" s="2" t="str">
        <x:f>IF(M352="","",MAX(0,'Motor_Meciuri'!BF30-IF(W352="OOS PENDING",'Config_v6'!$B$35,0)-IF(L352&gt;'Config_v6'!$B$12,'Config_v6'!$B$37,IF(L352&gt;'Config_v6'!$B$11,'Config_v6'!$B$36,0))))</x:f>
      </x:c>
      <x:c r="W352" s="2" t="str">
        <x:f>IF(B352="","",IF(I352&lt;&gt;"READY","NOT RELEASED",IF(NOT(AND(J352="PASS",'Calibrare_Linii'!U16="VALID")),"INVALID",IF(NOT(AND('Calibrare_Linii'!S16="VALIDATED",AND('Calibrare_Linii'!H16=C352,ISNUMBER('Calibrare_Linii'!J16),'Calibrare_Linii'!J16&lt;='Input_Meci'!G30))),"OOS PENDING",IF(S352&lt;='Calibrare_Linii'!E16,"PASS",IF(S352&lt;='Calibrare_Linii'!F16,"PENALTY","WATCH"))))))</x:f>
      </x:c>
      <x:c r="X352" s="2" t="str">
        <x:f>IF(M352="","",IF(AND(AND(J352="PASS",'Calibrare_Linii'!U16="VALID"),'Motor_Meciuri'!K30=12,'Motor_Meciuri'!L30=12,'Motor_Meciuri'!M30="NO",'Motor_Meciuri'!BL30='Motor_Meciuri'!C30,AB352&gt;='Config_v6'!$B$50,AN352&gt;='Config_v6'!$B$51,T352&lt;='Config_v6'!$B$52,L352&lt;='Config_v6'!$B$53,ISNUMBER('Calibrare_Linii'!E16),S352&lt;='Calibrare_Linii'!E16,SUM(AK352:AM352)&gt;0),"CANDIDATE","NO"))</x:f>
      </x:c>
      <x:c r="Y352" s="2" t="str">
        <x:f>IF(B352="","",IF(I352&lt;&gt;"READY","NOT RELEASED",IF(AND(X352="CANDIDATE",V352&gt;='Config_v6'!$B$51,W352="PASS",'Calibrare_Linii'!T16="VALIDATED",AND('Calibrare_Linii'!H16=C352,ISNUMBER('Calibrare_Linii'!J16),'Calibrare_Linii'!J16&lt;='Input_Meci'!G30)),"PASS",IF(X352="CANDIDATE","OOS PENDING","FAIL"))))</x:f>
      </x:c>
      <x:c r="Z352" s="2" t="str">
        <x:f>IF(B352="","",IF(I352&lt;&gt;"READY","",IF(OR(NOT(AND(J352="PASS",'Calibrare_Linii'!U16="VALID")),L352&gt;'Config_v6'!$B$13,W352="WATCH"),5,IF(Y352="PASS",1,MIN(5,MAX('Config_v6'!$B$42,U352)+IF(W352="PENALTY",1,0))))))</x:f>
      </x:c>
      <x:c r="AA352" s="2" t="str">
        <x:f>IF(B352="","",IF(I352&lt;&gt;"READY","NOT RELEASED",IF(Z352=5,"NO BET",IF(OR(AB352&lt;'Config_v6'!$B$16,V352&lt;'Config_v6'!$B$18),"WATCH",IF(Z352=1,"DEFENSIV",IF(Z352=2,"PRUDENT",IF(Z352=3,"MODERAT","RIDICAT")))))))</x:f>
      </x:c>
      <x:c r="AB352" s="10" t="str">
        <x:f>IF(N352="","",MIN(N352,1-S352))</x:f>
      </x:c>
      <x:c r="AC352" s="2" t="str">
        <x:f>IF(AD352&lt;&gt;1,"",COUNTIFS($Z$342:$Z$355,"&lt;"&amp;Z352,$AD$342:$AD$355,1)+COUNTIFS($Z$342:$Z$355,Z352,$AB$342:$AB$355,"&gt;"&amp;AB352,$AD$342:$AD$355,1)+COUNTIFS($Z$342:$Z$355,Z352,$AB$342:$AB$355,AB352,$V$342:$V$355,"&gt;"&amp;V352,$AD$342:$AD$355,1)+COUNTIFS($Z$342:Z352,Z352,$AB$342:AB352,AB352,$V$342:V352,V352,$AD$342:AD352,1))</x:f>
      </x:c>
      <x:c r="AD352" s="2" t="n">
        <x:f>IF(OR(AA352="DEFENSIV",AA352="PRUDENT",AA352="MODERAT",AA352="RIDICAT"),1,0)</x:f>
        <x:v>0</x:v>
      </x:c>
      <x:c r="AE352" s="2" t="str">
        <x:f>IF(AD352&lt;&gt;1,"NO",IF(W352="PASS","YES",IF(W352="OOS PENDING","CONDITIONAL","NO")))</x:f>
        <x:v>NO</x:v>
      </x:c>
      <x:c r="AF352" s="2" t="n">
        <x:f>IF(AND(AD352=1,AC352=1,E352="LIVE"),1,0)</x:f>
        <x:v>0</x:v>
      </x:c>
      <x:c r="AG352" s="2" t="str">
        <x:f>IF(AF352&lt;&gt;1,"",'Dashboard'!P50)</x:f>
      </x:c>
      <x:c r="AH352" s="2" t="str">
        <x:f>IF(B352="","",IF(J352&lt;&gt;"PASS",'Motor_Meciuri'!J30,IF('Calibrare_Linii'!U16&lt;&gt;"VALID","Parametri linie invalizi",IF(L352&gt;'Config_v6'!$B$13,"Dispersie peste limita",IF(W352="WATCH","Failure peste limita",IF(AB352&lt;'Config_v6'!$B$16,"P finala sub prag",IF(V352&lt;'Config_v6'!$B$18,"Confidence sub prag",IF(E352="REPLAY","Exemplu retrospectiv; exclus din Top LIVE",IF(Y352="PASS","DEFENSIV validat",IF(W352="OOS PENDING","Eligibil; calibrare linie in monitorizare","Eligibil"))))))))))</x:f>
      </x:c>
      <x:c r="AI352" s="2" t="str">
        <x:f>IF(B352="","",'Calibrare_Linii'!V16)</x:f>
      </x:c>
      <x:c r="AJ352" s="2" t="str">
        <x:f>IF(B352="","",IF(AND('Calibrare_Linii'!T16="VALIDATED",AND('Calibrare_Linii'!H16=C352,ISNUMBER('Calibrare_Linii'!J16),'Calibrare_Linii'!J16&lt;='Input_Meci'!G30)),"DEFENSIVE VALIDATED",IF(AND('Calibrare_Linii'!S16="VALIDATED",AND('Calibrare_Linii'!H16=C352,ISNUMBER('Calibrare_Linii'!J16),'Calibrare_Linii'!J16&lt;='Input_Meci'!G30)),"TAIL VALIDATED","OOS PENDING")))</x:f>
      </x:c>
      <x:c r="AK352" s="2" t="n">
        <x:f>IF(J352&lt;&gt;"PASS",0,'Motor_Meciuri'!BR30)</x:f>
        <x:v>0</x:v>
      </x:c>
      <x:c r="AL352" s="2" t="n">
        <x:f>IF(J352&lt;&gt;"PASS",0,'Motor_Meciuri'!BS30)</x:f>
        <x:v>0</x:v>
      </x:c>
      <x:c r="AM352" s="2" t="n">
        <x:f>IF(J352&lt;&gt;"PASS",0,'Motor_Meciuri'!BT30)</x:f>
        <x:v>0</x:v>
      </x:c>
      <x:c r="AN352" s="2" t="str">
        <x:f>IF(M352="","",MAX(0,'Motor_Meciuri'!BF30-IF(L352&gt;'Config_v6'!$B$12,'Config_v6'!$B$37,IF(L352&gt;'Config_v6'!$B$11,'Config_v6'!$B$36,0))))</x:f>
      </x:c>
    </x:row>
    <x:row r="353" ht="21" customHeight="1">
      <x:c r="A353" s="2" t="n">
        <x:v>25</x:v>
      </x:c>
      <x:c r="B353" s="2" t="str">
        <x:f>IF('Motor_Meciuri'!A30="","",'Motor_Meciuri'!A30)</x:f>
      </x:c>
      <x:c r="C353" s="2" t="str">
        <x:f>IF(B353="","",'Motor_Meciuri'!B30)</x:f>
      </x:c>
      <x:c r="D353" s="2" t="str">
        <x:f>IF(B353="","",'Motor_Meciuri'!D30)</x:f>
      </x:c>
      <x:c r="E353" s="2" t="str">
        <x:f>IF(B353="","",'Motor_Meciuri'!E30)</x:f>
      </x:c>
      <x:c r="F353" s="2" t="str">
        <x:v>U15,5</x:v>
      </x:c>
      <x:c r="G353" s="2" t="str">
        <x:v>UNDER</x:v>
      </x:c>
      <x:c r="H353" s="2" t="n">
        <x:v>15</x:v>
      </x:c>
      <x:c r="I353" s="2" t="str">
        <x:f>IF(B353="","",'Motor_Meciuri'!H30)</x:f>
      </x:c>
      <x:c r="J353" s="2" t="str">
        <x:f>IF(B353="","",'Motor_Meciuri'!I30)</x:f>
      </x:c>
      <x:c r="K353" s="11" t="str">
        <x:f>IF(J353&lt;&gt;"PASS","",'Motor_Meciuri'!BD30)</x:f>
      </x:c>
      <x:c r="L353" s="11" t="str">
        <x:f>IF(J353&lt;&gt;"PASS","",'Motor_Meciuri'!AU30)</x:f>
      </x:c>
      <x:c r="M353" s="10" t="str">
        <x:f>IF(NOT(AND(J353="PASS",'Calibrare_Linii'!U17="VALID")),"",'Distributie'!AM30)</x:f>
      </x:c>
      <x:c r="N353" s="10" t="str">
        <x:f>IF(M353="","",MAX(0.01,MIN(0.99,0.5+(M353-0.5)*'Motor_Meciuri'!BG30*'Calibrare_Linii'!D17)))</x:f>
      </x:c>
      <x:c r="O353" s="10" t="str">
        <x:f>IF(M353="","",1-M353)</x:f>
      </x:c>
      <x:c r="P353" s="10" t="str">
        <x:f>IF(OR(NOT(AND(J353="PASS",'Calibrare_Linii'!U17="VALID")),AK353=0),""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*('Istoric_Nativ'!$Q$6:$Q$405&gt;H353))/AK353)</x:f>
      </x:c>
      <x:c r="Q353" s="10" t="str">
        <x:f>IF(OR(NOT(AND(J353="PASS",'Calibrare_Linii'!U17="VALID")),AL353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M30)+((('Istoric_Nativ'!$E$6:$E$405='Input_Meci'!E30)+('Istoric_Nativ'!$F$6:$F$405='Input_Meci'!E30))&gt;0)*('Istoric_Nativ'!$D$6:$D$405&gt;='Motor_Meciuri'!BN30))&gt;0)*('Istoric_Nativ'!$Q$6:$Q$405&gt;H353))/AL353)</x:f>
      </x:c>
      <x:c r="R353" s="10" t="str">
        <x:f>IF(OR(NOT(AND(J353="PASS",'Calibrare_Linii'!U17="VALID")),AM353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O30)+((('Istoric_Nativ'!$E$6:$E$405='Input_Meci'!E30)+('Istoric_Nativ'!$F$6:$F$405='Input_Meci'!E30))&gt;0)*('Istoric_Nativ'!$D$6:$D$405&gt;='Motor_Meciuri'!BP30))&gt;0)*('Istoric_Nativ'!$Q$6:$Q$405&gt;H353))/AM353)</x:f>
      </x:c>
      <x:c r="S353" s="10" t="str">
        <x:f>IF(M353="","",MAX(O353,P353,Q353,R353))</x:f>
      </x:c>
      <x:c r="T353" s="11" t="str">
        <x:f>IF(M353="","",MIN(100,S353*100*'Config_v6'!$B$44+MIN(100,L353/'Config_v6'!$B$13*100)*'Config_v6'!$B$45+(100-'Motor_Meciuri'!BF30)*'Config_v6'!$B$46+'Motor_Meciuri'!BH30*100*'Config_v6'!$B$47))</x:f>
      </x:c>
      <x:c r="U353" s="2" t="str">
        <x:f>IF(T353="","",IF(T353&lt;=20,1,IF(T353&lt;=40,2,IF(T353&lt;=60,3,IF(T353&lt;=80,4,5)))))</x:f>
      </x:c>
      <x:c r="V353" s="2" t="str">
        <x:f>IF(M353="","",MAX(0,'Motor_Meciuri'!BF30-IF(W353="OOS PENDING",'Config_v6'!$B$35,0)-IF(L353&gt;'Config_v6'!$B$12,'Config_v6'!$B$37,IF(L353&gt;'Config_v6'!$B$11,'Config_v6'!$B$36,0))))</x:f>
      </x:c>
      <x:c r="W353" s="2" t="str">
        <x:f>IF(B353="","",IF(I353&lt;&gt;"READY","NOT RELEASED",IF(NOT(AND(J353="PASS",'Calibrare_Linii'!U17="VALID")),"INVALID",IF(NOT(AND('Calibrare_Linii'!S17="VALIDATED",AND('Calibrare_Linii'!H17=C353,ISNUMBER('Calibrare_Linii'!J17),'Calibrare_Linii'!J17&lt;='Input_Meci'!G30))),"OOS PENDING",IF(S353&lt;='Calibrare_Linii'!E17,"PASS",IF(S353&lt;='Calibrare_Linii'!F17,"PENALTY","WATCH"))))))</x:f>
      </x:c>
      <x:c r="X353" s="2" t="str">
        <x:f>IF(M353="","",IF(AND(AND(J353="PASS",'Calibrare_Linii'!U17="VALID"),'Motor_Meciuri'!K30=12,'Motor_Meciuri'!L30=12,'Motor_Meciuri'!M30="NO",'Motor_Meciuri'!BL30='Motor_Meciuri'!C30,AB353&gt;='Config_v6'!$B$50,AN353&gt;='Config_v6'!$B$51,T353&lt;='Config_v6'!$B$52,L353&lt;='Config_v6'!$B$53,ISNUMBER('Calibrare_Linii'!E17),S353&lt;='Calibrare_Linii'!E17,SUM(AK353:AM353)&gt;0),"CANDIDATE","NO"))</x:f>
      </x:c>
      <x:c r="Y353" s="2" t="str">
        <x:f>IF(B353="","",IF(I353&lt;&gt;"READY","NOT RELEASED",IF(AND(X353="CANDIDATE",V353&gt;='Config_v6'!$B$51,W353="PASS",'Calibrare_Linii'!T17="VALIDATED",AND('Calibrare_Linii'!H17=C353,ISNUMBER('Calibrare_Linii'!J17),'Calibrare_Linii'!J17&lt;='Input_Meci'!G30)),"PASS",IF(X353="CANDIDATE","OOS PENDING","FAIL"))))</x:f>
      </x:c>
      <x:c r="Z353" s="2" t="str">
        <x:f>IF(B353="","",IF(I353&lt;&gt;"READY","",IF(OR(NOT(AND(J353="PASS",'Calibrare_Linii'!U17="VALID")),L353&gt;'Config_v6'!$B$13,W353="WATCH"),5,IF(Y353="PASS",1,MIN(5,MAX('Config_v6'!$B$42,U353)+IF(W353="PENALTY",1,0))))))</x:f>
      </x:c>
      <x:c r="AA353" s="2" t="str">
        <x:f>IF(B353="","",IF(I353&lt;&gt;"READY","NOT RELEASED",IF(Z353=5,"NO BET",IF(OR(AB353&lt;'Config_v6'!$B$16,V353&lt;'Config_v6'!$B$18),"WATCH",IF(Z353=1,"DEFENSIV",IF(Z353=2,"PRUDENT",IF(Z353=3,"MODERAT","RIDICAT")))))))</x:f>
      </x:c>
      <x:c r="AB353" s="10" t="str">
        <x:f>IF(N353="","",MIN(N353,1-S353))</x:f>
      </x:c>
      <x:c r="AC353" s="2" t="str">
        <x:f>IF(AD353&lt;&gt;1,"",COUNTIFS($Z$342:$Z$355,"&lt;"&amp;Z353,$AD$342:$AD$355,1)+COUNTIFS($Z$342:$Z$355,Z353,$AB$342:$AB$355,"&gt;"&amp;AB353,$AD$342:$AD$355,1)+COUNTIFS($Z$342:$Z$355,Z353,$AB$342:$AB$355,AB353,$V$342:$V$355,"&gt;"&amp;V353,$AD$342:$AD$355,1)+COUNTIFS($Z$342:Z353,Z353,$AB$342:AB353,AB353,$V$342:V353,V353,$AD$342:AD353,1))</x:f>
      </x:c>
      <x:c r="AD353" s="2" t="n">
        <x:f>IF(OR(AA353="DEFENSIV",AA353="PRUDENT",AA353="MODERAT",AA353="RIDICAT"),1,0)</x:f>
        <x:v>0</x:v>
      </x:c>
      <x:c r="AE353" s="2" t="str">
        <x:f>IF(AD353&lt;&gt;1,"NO",IF(W353="PASS","YES",IF(W353="OOS PENDING","CONDITIONAL","NO")))</x:f>
        <x:v>NO</x:v>
      </x:c>
      <x:c r="AF353" s="2" t="n">
        <x:f>IF(AND(AD353=1,AC353=1,E353="LIVE"),1,0)</x:f>
        <x:v>0</x:v>
      </x:c>
      <x:c r="AG353" s="2" t="str">
        <x:f>IF(AF353&lt;&gt;1,"",'Dashboard'!P50)</x:f>
      </x:c>
      <x:c r="AH353" s="2" t="str">
        <x:f>IF(B353="","",IF(J353&lt;&gt;"PASS",'Motor_Meciuri'!J30,IF('Calibrare_Linii'!U17&lt;&gt;"VALID","Parametri linie invalizi",IF(L353&gt;'Config_v6'!$B$13,"Dispersie peste limita",IF(W353="WATCH","Failure peste limita",IF(AB353&lt;'Config_v6'!$B$16,"P finala sub prag",IF(V353&lt;'Config_v6'!$B$18,"Confidence sub prag",IF(E353="REPLAY","Exemplu retrospectiv; exclus din Top LIVE",IF(Y353="PASS","DEFENSIV validat",IF(W353="OOS PENDING","Eligibil; calibrare linie in monitorizare","Eligibil"))))))))))</x:f>
      </x:c>
      <x:c r="AI353" s="2" t="str">
        <x:f>IF(B353="","",'Calibrare_Linii'!V17)</x:f>
      </x:c>
      <x:c r="AJ353" s="2" t="str">
        <x:f>IF(B353="","",IF(AND('Calibrare_Linii'!T17="VALIDATED",AND('Calibrare_Linii'!H17=C353,ISNUMBER('Calibrare_Linii'!J17),'Calibrare_Linii'!J17&lt;='Input_Meci'!G30)),"DEFENSIVE VALIDATED",IF(AND('Calibrare_Linii'!S17="VALIDATED",AND('Calibrare_Linii'!H17=C353,ISNUMBER('Calibrare_Linii'!J17),'Calibrare_Linii'!J17&lt;='Input_Meci'!G30)),"TAIL VALIDATED","OOS PENDING")))</x:f>
      </x:c>
      <x:c r="AK353" s="2" t="n">
        <x:f>IF(J353&lt;&gt;"PASS",0,'Motor_Meciuri'!BR30)</x:f>
        <x:v>0</x:v>
      </x:c>
      <x:c r="AL353" s="2" t="n">
        <x:f>IF(J353&lt;&gt;"PASS",0,'Motor_Meciuri'!BS30)</x:f>
        <x:v>0</x:v>
      </x:c>
      <x:c r="AM353" s="2" t="n">
        <x:f>IF(J353&lt;&gt;"PASS",0,'Motor_Meciuri'!BT30)</x:f>
        <x:v>0</x:v>
      </x:c>
      <x:c r="AN353" s="2" t="str">
        <x:f>IF(M353="","",MAX(0,'Motor_Meciuri'!BF30-IF(L353&gt;'Config_v6'!$B$12,'Config_v6'!$B$37,IF(L353&gt;'Config_v6'!$B$11,'Config_v6'!$B$36,0))))</x:f>
      </x:c>
    </x:row>
    <x:row r="354" ht="21" customHeight="1">
      <x:c r="A354" s="2" t="n">
        <x:v>25</x:v>
      </x:c>
      <x:c r="B354" s="2" t="str">
        <x:f>IF('Motor_Meciuri'!A30="","",'Motor_Meciuri'!A30)</x:f>
      </x:c>
      <x:c r="C354" s="2" t="str">
        <x:f>IF(B354="","",'Motor_Meciuri'!B30)</x:f>
      </x:c>
      <x:c r="D354" s="2" t="str">
        <x:f>IF(B354="","",'Motor_Meciuri'!D30)</x:f>
      </x:c>
      <x:c r="E354" s="2" t="str">
        <x:f>IF(B354="","",'Motor_Meciuri'!E30)</x:f>
      </x:c>
      <x:c r="F354" s="2" t="str">
        <x:v>U16,5</x:v>
      </x:c>
      <x:c r="G354" s="2" t="str">
        <x:v>UNDER</x:v>
      </x:c>
      <x:c r="H354" s="2" t="n">
        <x:v>16</x:v>
      </x:c>
      <x:c r="I354" s="2" t="str">
        <x:f>IF(B354="","",'Motor_Meciuri'!H30)</x:f>
      </x:c>
      <x:c r="J354" s="2" t="str">
        <x:f>IF(B354="","",'Motor_Meciuri'!I30)</x:f>
      </x:c>
      <x:c r="K354" s="11" t="str">
        <x:f>IF(J354&lt;&gt;"PASS","",'Motor_Meciuri'!BD30)</x:f>
      </x:c>
      <x:c r="L354" s="11" t="str">
        <x:f>IF(J354&lt;&gt;"PASS","",'Motor_Meciuri'!AU30)</x:f>
      </x:c>
      <x:c r="M354" s="10" t="str">
        <x:f>IF(NOT(AND(J354="PASS",'Calibrare_Linii'!U18="VALID")),"",'Distributie'!AN30)</x:f>
      </x:c>
      <x:c r="N354" s="10" t="str">
        <x:f>IF(M354="","",MAX(0.01,MIN(0.99,0.5+(M354-0.5)*'Motor_Meciuri'!BG30*'Calibrare_Linii'!D18)))</x:f>
      </x:c>
      <x:c r="O354" s="10" t="str">
        <x:f>IF(M354="","",1-M354)</x:f>
      </x:c>
      <x:c r="P354" s="10" t="str">
        <x:f>IF(OR(NOT(AND(J354="PASS",'Calibrare_Linii'!U18="VALID")),AK354=0),""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*('Istoric_Nativ'!$Q$6:$Q$405&gt;H354))/AK354)</x:f>
      </x:c>
      <x:c r="Q354" s="10" t="str">
        <x:f>IF(OR(NOT(AND(J354="PASS",'Calibrare_Linii'!U18="VALID")),AL354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M30)+((('Istoric_Nativ'!$E$6:$E$405='Input_Meci'!E30)+('Istoric_Nativ'!$F$6:$F$405='Input_Meci'!E30))&gt;0)*('Istoric_Nativ'!$D$6:$D$405&gt;='Motor_Meciuri'!BN30))&gt;0)*('Istoric_Nativ'!$Q$6:$Q$405&gt;H354))/AL354)</x:f>
      </x:c>
      <x:c r="R354" s="10" t="str">
        <x:f>IF(OR(NOT(AND(J354="PASS",'Calibrare_Linii'!U18="VALID")),AM354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O30)+((('Istoric_Nativ'!$E$6:$E$405='Input_Meci'!E30)+('Istoric_Nativ'!$F$6:$F$405='Input_Meci'!E30))&gt;0)*('Istoric_Nativ'!$D$6:$D$405&gt;='Motor_Meciuri'!BP30))&gt;0)*('Istoric_Nativ'!$Q$6:$Q$405&gt;H354))/AM354)</x:f>
      </x:c>
      <x:c r="S354" s="10" t="str">
        <x:f>IF(M354="","",MAX(O354,P354,Q354,R354))</x:f>
      </x:c>
      <x:c r="T354" s="11" t="str">
        <x:f>IF(M354="","",MIN(100,S354*100*'Config_v6'!$B$44+MIN(100,L354/'Config_v6'!$B$13*100)*'Config_v6'!$B$45+(100-'Motor_Meciuri'!BF30)*'Config_v6'!$B$46+'Motor_Meciuri'!BH30*100*'Config_v6'!$B$47))</x:f>
      </x:c>
      <x:c r="U354" s="2" t="str">
        <x:f>IF(T354="","",IF(T354&lt;=20,1,IF(T354&lt;=40,2,IF(T354&lt;=60,3,IF(T354&lt;=80,4,5)))))</x:f>
      </x:c>
      <x:c r="V354" s="2" t="str">
        <x:f>IF(M354="","",MAX(0,'Motor_Meciuri'!BF30-IF(W354="OOS PENDING",'Config_v6'!$B$35,0)-IF(L354&gt;'Config_v6'!$B$12,'Config_v6'!$B$37,IF(L354&gt;'Config_v6'!$B$11,'Config_v6'!$B$36,0))))</x:f>
      </x:c>
      <x:c r="W354" s="2" t="str">
        <x:f>IF(B354="","",IF(I354&lt;&gt;"READY","NOT RELEASED",IF(NOT(AND(J354="PASS",'Calibrare_Linii'!U18="VALID")),"INVALID",IF(NOT(AND('Calibrare_Linii'!S18="VALIDATED",AND('Calibrare_Linii'!H18=C354,ISNUMBER('Calibrare_Linii'!J18),'Calibrare_Linii'!J18&lt;='Input_Meci'!G30))),"OOS PENDING",IF(S354&lt;='Calibrare_Linii'!E18,"PASS",IF(S354&lt;='Calibrare_Linii'!F18,"PENALTY","WATCH"))))))</x:f>
      </x:c>
      <x:c r="X354" s="2" t="str">
        <x:f>IF(M354="","",IF(AND(AND(J354="PASS",'Calibrare_Linii'!U18="VALID"),'Motor_Meciuri'!K30=12,'Motor_Meciuri'!L30=12,'Motor_Meciuri'!M30="NO",'Motor_Meciuri'!BL30='Motor_Meciuri'!C30,AB354&gt;='Config_v6'!$B$50,AN354&gt;='Config_v6'!$B$51,T354&lt;='Config_v6'!$B$52,L354&lt;='Config_v6'!$B$53,ISNUMBER('Calibrare_Linii'!E18),S354&lt;='Calibrare_Linii'!E18,SUM(AK354:AM354)&gt;0),"CANDIDATE","NO"))</x:f>
      </x:c>
      <x:c r="Y354" s="2" t="str">
        <x:f>IF(B354="","",IF(I354&lt;&gt;"READY","NOT RELEASED",IF(AND(X354="CANDIDATE",V354&gt;='Config_v6'!$B$51,W354="PASS",'Calibrare_Linii'!T18="VALIDATED",AND('Calibrare_Linii'!H18=C354,ISNUMBER('Calibrare_Linii'!J18),'Calibrare_Linii'!J18&lt;='Input_Meci'!G30)),"PASS",IF(X354="CANDIDATE","OOS PENDING","FAIL"))))</x:f>
      </x:c>
      <x:c r="Z354" s="2" t="str">
        <x:f>IF(B354="","",IF(I354&lt;&gt;"READY","",IF(OR(NOT(AND(J354="PASS",'Calibrare_Linii'!U18="VALID")),L354&gt;'Config_v6'!$B$13,W354="WATCH"),5,IF(Y354="PASS",1,MIN(5,MAX('Config_v6'!$B$42,U354)+IF(W354="PENALTY",1,0))))))</x:f>
      </x:c>
      <x:c r="AA354" s="2" t="str">
        <x:f>IF(B354="","",IF(I354&lt;&gt;"READY","NOT RELEASED",IF(Z354=5,"NO BET",IF(OR(AB354&lt;'Config_v6'!$B$16,V354&lt;'Config_v6'!$B$18),"WATCH",IF(Z354=1,"DEFENSIV",IF(Z354=2,"PRUDENT",IF(Z354=3,"MODERAT","RIDICAT")))))))</x:f>
      </x:c>
      <x:c r="AB354" s="10" t="str">
        <x:f>IF(N354="","",MIN(N354,1-S354))</x:f>
      </x:c>
      <x:c r="AC354" s="2" t="str">
        <x:f>IF(AD354&lt;&gt;1,"",COUNTIFS($Z$342:$Z$355,"&lt;"&amp;Z354,$AD$342:$AD$355,1)+COUNTIFS($Z$342:$Z$355,Z354,$AB$342:$AB$355,"&gt;"&amp;AB354,$AD$342:$AD$355,1)+COUNTIFS($Z$342:$Z$355,Z354,$AB$342:$AB$355,AB354,$V$342:$V$355,"&gt;"&amp;V354,$AD$342:$AD$355,1)+COUNTIFS($Z$342:Z354,Z354,$AB$342:AB354,AB354,$V$342:V354,V354,$AD$342:AD354,1))</x:f>
      </x:c>
      <x:c r="AD354" s="2" t="n">
        <x:f>IF(OR(AA354="DEFENSIV",AA354="PRUDENT",AA354="MODERAT",AA354="RIDICAT"),1,0)</x:f>
        <x:v>0</x:v>
      </x:c>
      <x:c r="AE354" s="2" t="str">
        <x:f>IF(AD354&lt;&gt;1,"NO",IF(W354="PASS","YES",IF(W354="OOS PENDING","CONDITIONAL","NO")))</x:f>
        <x:v>NO</x:v>
      </x:c>
      <x:c r="AF354" s="2" t="n">
        <x:f>IF(AND(AD354=1,AC354=1,E354="LIVE"),1,0)</x:f>
        <x:v>0</x:v>
      </x:c>
      <x:c r="AG354" s="2" t="str">
        <x:f>IF(AF354&lt;&gt;1,"",'Dashboard'!P50)</x:f>
      </x:c>
      <x:c r="AH354" s="2" t="str">
        <x:f>IF(B354="","",IF(J354&lt;&gt;"PASS",'Motor_Meciuri'!J30,IF('Calibrare_Linii'!U18&lt;&gt;"VALID","Parametri linie invalizi",IF(L354&gt;'Config_v6'!$B$13,"Dispersie peste limita",IF(W354="WATCH","Failure peste limita",IF(AB354&lt;'Config_v6'!$B$16,"P finala sub prag",IF(V354&lt;'Config_v6'!$B$18,"Confidence sub prag",IF(E354="REPLAY","Exemplu retrospectiv; exclus din Top LIVE",IF(Y354="PASS","DEFENSIV validat",IF(W354="OOS PENDING","Eligibil; calibrare linie in monitorizare","Eligibil"))))))))))</x:f>
      </x:c>
      <x:c r="AI354" s="2" t="str">
        <x:f>IF(B354="","",'Calibrare_Linii'!V18)</x:f>
      </x:c>
      <x:c r="AJ354" s="2" t="str">
        <x:f>IF(B354="","",IF(AND('Calibrare_Linii'!T18="VALIDATED",AND('Calibrare_Linii'!H18=C354,ISNUMBER('Calibrare_Linii'!J18),'Calibrare_Linii'!J18&lt;='Input_Meci'!G30)),"DEFENSIVE VALIDATED",IF(AND('Calibrare_Linii'!S18="VALIDATED",AND('Calibrare_Linii'!H18=C354,ISNUMBER('Calibrare_Linii'!J18),'Calibrare_Linii'!J18&lt;='Input_Meci'!G30)),"TAIL VALIDATED","OOS PENDING")))</x:f>
      </x:c>
      <x:c r="AK354" s="2" t="n">
        <x:f>IF(J354&lt;&gt;"PASS",0,'Motor_Meciuri'!BR30)</x:f>
        <x:v>0</x:v>
      </x:c>
      <x:c r="AL354" s="2" t="n">
        <x:f>IF(J354&lt;&gt;"PASS",0,'Motor_Meciuri'!BS30)</x:f>
        <x:v>0</x:v>
      </x:c>
      <x:c r="AM354" s="2" t="n">
        <x:f>IF(J354&lt;&gt;"PASS",0,'Motor_Meciuri'!BT30)</x:f>
        <x:v>0</x:v>
      </x:c>
      <x:c r="AN354" s="2" t="str">
        <x:f>IF(M354="","",MAX(0,'Motor_Meciuri'!BF30-IF(L354&gt;'Config_v6'!$B$12,'Config_v6'!$B$37,IF(L354&gt;'Config_v6'!$B$11,'Config_v6'!$B$36,0))))</x:f>
      </x:c>
    </x:row>
    <x:row r="355" ht="21" customHeight="1">
      <x:c r="A355" s="2" t="n">
        <x:v>25</x:v>
      </x:c>
      <x:c r="B355" s="2" t="str">
        <x:f>IF('Motor_Meciuri'!A30="","",'Motor_Meciuri'!A30)</x:f>
      </x:c>
      <x:c r="C355" s="2" t="str">
        <x:f>IF(B355="","",'Motor_Meciuri'!B30)</x:f>
      </x:c>
      <x:c r="D355" s="2" t="str">
        <x:f>IF(B355="","",'Motor_Meciuri'!D30)</x:f>
      </x:c>
      <x:c r="E355" s="2" t="str">
        <x:f>IF(B355="","",'Motor_Meciuri'!E30)</x:f>
      </x:c>
      <x:c r="F355" s="2" t="str">
        <x:v>U17,5</x:v>
      </x:c>
      <x:c r="G355" s="2" t="str">
        <x:v>UNDER</x:v>
      </x:c>
      <x:c r="H355" s="2" t="n">
        <x:v>17</x:v>
      </x:c>
      <x:c r="I355" s="2" t="str">
        <x:f>IF(B355="","",'Motor_Meciuri'!H30)</x:f>
      </x:c>
      <x:c r="J355" s="2" t="str">
        <x:f>IF(B355="","",'Motor_Meciuri'!I30)</x:f>
      </x:c>
      <x:c r="K355" s="11" t="str">
        <x:f>IF(J355&lt;&gt;"PASS","",'Motor_Meciuri'!BD30)</x:f>
      </x:c>
      <x:c r="L355" s="11" t="str">
        <x:f>IF(J355&lt;&gt;"PASS","",'Motor_Meciuri'!AU30)</x:f>
      </x:c>
      <x:c r="M355" s="10" t="str">
        <x:f>IF(NOT(AND(J355="PASS",'Calibrare_Linii'!U19="VALID")),"",'Distributie'!AO30)</x:f>
      </x:c>
      <x:c r="N355" s="10" t="str">
        <x:f>IF(M355="","",MAX(0.01,MIN(0.99,0.5+(M355-0.5)*'Motor_Meciuri'!BG30*'Calibrare_Linii'!D19)))</x:f>
      </x:c>
      <x:c r="O355" s="10" t="str">
        <x:f>IF(M355="","",1-M355)</x:f>
      </x:c>
      <x:c r="P355" s="10" t="str">
        <x:f>IF(OR(NOT(AND(J355="PASS",'Calibrare_Linii'!U19="VALID")),AK355=0),""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*('Istoric_Nativ'!$Q$6:$Q$405&gt;H355))/AK355)</x:f>
      </x:c>
      <x:c r="Q355" s="10" t="str">
        <x:f>IF(OR(NOT(AND(J355="PASS",'Calibrare_Linii'!U19="VALID")),AL355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M30)+((('Istoric_Nativ'!$E$6:$E$405='Input_Meci'!E30)+('Istoric_Nativ'!$F$6:$F$405='Input_Meci'!E30))&gt;0)*('Istoric_Nativ'!$D$6:$D$405&gt;='Motor_Meciuri'!BN30))&gt;0)*('Istoric_Nativ'!$Q$6:$Q$405&gt;H355))/AL355)</x:f>
      </x:c>
      <x:c r="R355" s="10" t="str">
        <x:f>IF(OR(NOT(AND(J355="PASS",'Calibrare_Linii'!U19="VALID")),AM355=0),""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'Motor_Meciuri'!BO30)+((('Istoric_Nativ'!$E$6:$E$405='Input_Meci'!E30)+('Istoric_Nativ'!$F$6:$F$405='Input_Meci'!E30))&gt;0)*('Istoric_Nativ'!$D$6:$D$405&gt;='Motor_Meciuri'!BP30))&gt;0)*('Istoric_Nativ'!$Q$6:$Q$405&gt;H355))/AM355)</x:f>
      </x:c>
      <x:c r="S355" s="10" t="str">
        <x:f>IF(M355="","",MAX(O355,P355,Q355,R355))</x:f>
      </x:c>
      <x:c r="T355" s="11" t="str">
        <x:f>IF(M355="","",MIN(100,S355*100*'Config_v6'!$B$44+MIN(100,L355/'Config_v6'!$B$13*100)*'Config_v6'!$B$45+(100-'Motor_Meciuri'!BF30)*'Config_v6'!$B$46+'Motor_Meciuri'!BH30*100*'Config_v6'!$B$47))</x:f>
      </x:c>
      <x:c r="U355" s="2" t="str">
        <x:f>IF(T355="","",IF(T355&lt;=20,1,IF(T355&lt;=40,2,IF(T355&lt;=60,3,IF(T355&lt;=80,4,5)))))</x:f>
      </x:c>
      <x:c r="V355" s="2" t="str">
        <x:f>IF(M355="","",MAX(0,'Motor_Meciuri'!BF30-IF(W355="OOS PENDING",'Config_v6'!$B$35,0)-IF(L355&gt;'Config_v6'!$B$12,'Config_v6'!$B$37,IF(L355&gt;'Config_v6'!$B$11,'Config_v6'!$B$36,0))))</x:f>
      </x:c>
      <x:c r="W355" s="2" t="str">
        <x:f>IF(B355="","",IF(I355&lt;&gt;"READY","NOT RELEASED",IF(NOT(AND(J355="PASS",'Calibrare_Linii'!U19="VALID")),"INVALID",IF(NOT(AND('Calibrare_Linii'!S19="VALIDATED",AND('Calibrare_Linii'!H19=C355,ISNUMBER('Calibrare_Linii'!J19),'Calibrare_Linii'!J19&lt;='Input_Meci'!G30))),"OOS PENDING",IF(S355&lt;='Calibrare_Linii'!E19,"PASS",IF(S355&lt;='Calibrare_Linii'!F19,"PENALTY","WATCH"))))))</x:f>
      </x:c>
      <x:c r="X355" s="2" t="str">
        <x:f>IF(M355="","",IF(AND(AND(J355="PASS",'Calibrare_Linii'!U19="VALID"),'Motor_Meciuri'!K30=12,'Motor_Meciuri'!L30=12,'Motor_Meciuri'!M30="NO",'Motor_Meciuri'!BL30='Motor_Meciuri'!C30,AB355&gt;='Config_v6'!$B$50,AN355&gt;='Config_v6'!$B$51,T355&lt;='Config_v6'!$B$52,L355&lt;='Config_v6'!$B$53,ISNUMBER('Calibrare_Linii'!E19),S355&lt;='Calibrare_Linii'!E19,SUM(AK355:AM355)&gt;0),"CANDIDATE","NO"))</x:f>
      </x:c>
      <x:c r="Y355" s="2" t="str">
        <x:f>IF(B355="","",IF(I355&lt;&gt;"READY","NOT RELEASED",IF(AND(X355="CANDIDATE",V355&gt;='Config_v6'!$B$51,W355="PASS",'Calibrare_Linii'!T19="VALIDATED",AND('Calibrare_Linii'!H19=C355,ISNUMBER('Calibrare_Linii'!J19),'Calibrare_Linii'!J19&lt;='Input_Meci'!G30)),"PASS",IF(X355="CANDIDATE","OOS PENDING","FAIL"))))</x:f>
      </x:c>
      <x:c r="Z355" s="2" t="str">
        <x:f>IF(B355="","",IF(I355&lt;&gt;"READY","",IF(OR(NOT(AND(J355="PASS",'Calibrare_Linii'!U19="VALID")),L355&gt;'Config_v6'!$B$13,W355="WATCH"),5,IF(Y355="PASS",1,MIN(5,MAX('Config_v6'!$B$42,U355)+IF(W355="PENALTY",1,0))))))</x:f>
      </x:c>
      <x:c r="AA355" s="2" t="str">
        <x:f>IF(B355="","",IF(I355&lt;&gt;"READY","NOT RELEASED",IF(Z355=5,"NO BET",IF(OR(AB355&lt;'Config_v6'!$B$16,V355&lt;'Config_v6'!$B$18),"WATCH",IF(Z355=1,"DEFENSIV",IF(Z355=2,"PRUDENT",IF(Z355=3,"MODERAT","RIDICAT")))))))</x:f>
      </x:c>
      <x:c r="AB355" s="10" t="str">
        <x:f>IF(N355="","",MIN(N355,1-S355))</x:f>
      </x:c>
      <x:c r="AC355" s="2" t="str">
        <x:f>IF(AD355&lt;&gt;1,"",COUNTIFS($Z$342:$Z$355,"&lt;"&amp;Z355,$AD$342:$AD$355,1)+COUNTIFS($Z$342:$Z$355,Z355,$AB$342:$AB$355,"&gt;"&amp;AB355,$AD$342:$AD$355,1)+COUNTIFS($Z$342:$Z$355,Z355,$AB$342:$AB$355,AB355,$V$342:$V$355,"&gt;"&amp;V355,$AD$342:$AD$355,1)+COUNTIFS($Z$342:Z355,Z355,$AB$342:AB355,AB355,$V$342:V355,V355,$AD$342:AD355,1))</x:f>
      </x:c>
      <x:c r="AD355" s="2" t="n">
        <x:f>IF(OR(AA355="DEFENSIV",AA355="PRUDENT",AA355="MODERAT",AA355="RIDICAT"),1,0)</x:f>
        <x:v>0</x:v>
      </x:c>
      <x:c r="AE355" s="2" t="str">
        <x:f>IF(AD355&lt;&gt;1,"NO",IF(W355="PASS","YES",IF(W355="OOS PENDING","CONDITIONAL","NO")))</x:f>
        <x:v>NO</x:v>
      </x:c>
      <x:c r="AF355" s="2" t="n">
        <x:f>IF(AND(AD355=1,AC355=1,E355="LIVE"),1,0)</x:f>
        <x:v>0</x:v>
      </x:c>
      <x:c r="AG355" s="2" t="str">
        <x:f>IF(AF355&lt;&gt;1,"",'Dashboard'!P50)</x:f>
      </x:c>
      <x:c r="AH355" s="2" t="str">
        <x:f>IF(B355="","",IF(J355&lt;&gt;"PASS",'Motor_Meciuri'!J30,IF('Calibrare_Linii'!U19&lt;&gt;"VALID","Parametri linie invalizi",IF(L355&gt;'Config_v6'!$B$13,"Dispersie peste limita",IF(W355="WATCH","Failure peste limita",IF(AB355&lt;'Config_v6'!$B$16,"P finala sub prag",IF(V355&lt;'Config_v6'!$B$18,"Confidence sub prag",IF(E355="REPLAY","Exemplu retrospectiv; exclus din Top LIVE",IF(Y355="PASS","DEFENSIV validat",IF(W355="OOS PENDING","Eligibil; calibrare linie in monitorizare","Eligibil"))))))))))</x:f>
      </x:c>
      <x:c r="AI355" s="2" t="str">
        <x:f>IF(B355="","",'Calibrare_Linii'!V19)</x:f>
      </x:c>
      <x:c r="AJ355" s="2" t="str">
        <x:f>IF(B355="","",IF(AND('Calibrare_Linii'!T19="VALIDATED",AND('Calibrare_Linii'!H19=C355,ISNUMBER('Calibrare_Linii'!J19),'Calibrare_Linii'!J19&lt;='Input_Meci'!G30)),"DEFENSIVE VALIDATED",IF(AND('Calibrare_Linii'!S19="VALIDATED",AND('Calibrare_Linii'!H19=C355,ISNUMBER('Calibrare_Linii'!J19),'Calibrare_Linii'!J19&lt;='Input_Meci'!G30)),"TAIL VALIDATED","OOS PENDING")))</x:f>
      </x:c>
      <x:c r="AK355" s="2" t="n">
        <x:f>IF(J355&lt;&gt;"PASS",0,'Motor_Meciuri'!BR30)</x:f>
        <x:v>0</x:v>
      </x:c>
      <x:c r="AL355" s="2" t="n">
        <x:f>IF(J355&lt;&gt;"PASS",0,'Motor_Meciuri'!BS30)</x:f>
        <x:v>0</x:v>
      </x:c>
      <x:c r="AM355" s="2" t="n">
        <x:f>IF(J355&lt;&gt;"PASS",0,'Motor_Meciuri'!BT30)</x:f>
        <x:v>0</x:v>
      </x:c>
      <x:c r="AN355" s="2" t="str">
        <x:f>IF(M355="","",MAX(0,'Motor_Meciuri'!BF30-IF(L355&gt;'Config_v6'!$B$12,'Config_v6'!$B$37,IF(L355&gt;'Config_v6'!$B$11,'Config_v6'!$B$36,0))))</x:f>
      </x:c>
    </x:row>
    <x:row r="356" ht="21" customHeight="1">
      <x:c r="A356" s="2" t="n">
        <x:v>26</x:v>
      </x:c>
      <x:c r="B356" s="2" t="str">
        <x:f>IF('Motor_Meciuri'!A31="","",'Motor_Meciuri'!A31)</x:f>
      </x:c>
      <x:c r="C356" s="2" t="str">
        <x:f>IF(B356="","",'Motor_Meciuri'!B31)</x:f>
      </x:c>
      <x:c r="D356" s="2" t="str">
        <x:f>IF(B356="","",'Motor_Meciuri'!D31)</x:f>
      </x:c>
      <x:c r="E356" s="2" t="str">
        <x:f>IF(B356="","",'Motor_Meciuri'!E31)</x:f>
      </x:c>
      <x:c r="F356" s="2" t="str">
        <x:v>O3,5</x:v>
      </x:c>
      <x:c r="G356" s="2" t="str">
        <x:v>OVER</x:v>
      </x:c>
      <x:c r="H356" s="2" t="n">
        <x:v>3</x:v>
      </x:c>
      <x:c r="I356" s="2" t="str">
        <x:f>IF(B356="","",'Motor_Meciuri'!H31)</x:f>
      </x:c>
      <x:c r="J356" s="2" t="str">
        <x:f>IF(B356="","",'Motor_Meciuri'!I31)</x:f>
      </x:c>
      <x:c r="K356" s="11" t="str">
        <x:f>IF(J356&lt;&gt;"PASS","",'Motor_Meciuri'!BD31)</x:f>
      </x:c>
      <x:c r="L356" s="11" t="str">
        <x:f>IF(J356&lt;&gt;"PASS","",'Motor_Meciuri'!AU31)</x:f>
      </x:c>
      <x:c r="M356" s="10" t="str">
        <x:f>IF(NOT(AND(J356="PASS",'Calibrare_Linii'!U6="VALID")),"",1-'Distributie'!AA31)</x:f>
      </x:c>
      <x:c r="N356" s="10" t="str">
        <x:f>IF(M356="","",MAX(0.01,MIN(0.99,0.5+(M356-0.5)*'Motor_Meciuri'!BG31*'Calibrare_Linii'!D6)))</x:f>
      </x:c>
      <x:c r="O356" s="10" t="str">
        <x:f>IF(M356="","",1-M356)</x:f>
      </x:c>
      <x:c r="P356" s="10" t="str">
        <x:f>IF(OR(NOT(AND(J356="PASS",'Calibrare_Linii'!U6="VALID")),AK356=0),""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*('Istoric_Nativ'!$Q$6:$Q$405&lt;=H356))/AK356)</x:f>
      </x:c>
      <x:c r="Q356" s="10" t="str">
        <x:f>IF(OR(NOT(AND(J356="PASS",'Calibrare_Linii'!U6="VALID")),AL356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M31)+((('Istoric_Nativ'!$E$6:$E$405='Input_Meci'!E31)+('Istoric_Nativ'!$F$6:$F$405='Input_Meci'!E31))&gt;0)*('Istoric_Nativ'!$D$6:$D$405&gt;='Motor_Meciuri'!BN31))&gt;0)*('Istoric_Nativ'!$Q$6:$Q$405&lt;=H356))/AL356)</x:f>
      </x:c>
      <x:c r="R356" s="10" t="str">
        <x:f>IF(OR(NOT(AND(J356="PASS",'Calibrare_Linii'!U6="VALID")),AM356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O31)+((('Istoric_Nativ'!$E$6:$E$405='Input_Meci'!E31)+('Istoric_Nativ'!$F$6:$F$405='Input_Meci'!E31))&gt;0)*('Istoric_Nativ'!$D$6:$D$405&gt;='Motor_Meciuri'!BP31))&gt;0)*('Istoric_Nativ'!$Q$6:$Q$405&lt;=H356))/AM356)</x:f>
      </x:c>
      <x:c r="S356" s="10" t="str">
        <x:f>IF(M356="","",MAX(O356,P356,Q356,R356))</x:f>
      </x:c>
      <x:c r="T356" s="11" t="str">
        <x:f>IF(M356="","",MIN(100,S356*100*'Config_v6'!$B$44+MIN(100,L356/'Config_v6'!$B$13*100)*'Config_v6'!$B$45+(100-'Motor_Meciuri'!BF31)*'Config_v6'!$B$46+'Motor_Meciuri'!BH31*100*'Config_v6'!$B$47))</x:f>
      </x:c>
      <x:c r="U356" s="2" t="str">
        <x:f>IF(T356="","",IF(T356&lt;=20,1,IF(T356&lt;=40,2,IF(T356&lt;=60,3,IF(T356&lt;=80,4,5)))))</x:f>
      </x:c>
      <x:c r="V356" s="2" t="str">
        <x:f>IF(M356="","",MAX(0,'Motor_Meciuri'!BF31-IF(W356="OOS PENDING",'Config_v6'!$B$35,0)-IF(L356&gt;'Config_v6'!$B$12,'Config_v6'!$B$37,IF(L356&gt;'Config_v6'!$B$11,'Config_v6'!$B$36,0))))</x:f>
      </x:c>
      <x:c r="W356" s="2" t="str">
        <x:f>IF(B356="","",IF(I356&lt;&gt;"READY","NOT RELEASED",IF(NOT(AND(J356="PASS",'Calibrare_Linii'!U6="VALID")),"INVALID",IF(NOT(TRUE),"OOS PENDING",IF(S356&lt;=IF(AND('Calibrare_Linii'!S6="VALIDATED",AND('Calibrare_Linii'!H6=C356,ISNUMBER('Calibrare_Linii'!J6),'Calibrare_Linii'!J6&lt;='Input_Meci'!G31)),'Calibrare_Linii'!E6,'Config_v6'!$B$26),"PASS",IF(S356&lt;=IF(AND('Calibrare_Linii'!S6="VALIDATED",AND('Calibrare_Linii'!H6=C356,ISNUMBER('Calibrare_Linii'!J6),'Calibrare_Linii'!J6&lt;='Input_Meci'!G31)),'Calibrare_Linii'!F6,'Config_v6'!$C$26),"PENALTY","WATCH"))))))</x:f>
      </x:c>
      <x:c r="X356" s="2" t="str">
        <x:f>IF(M356="","",IF(AND(AND(J356="PASS",'Calibrare_Linii'!U6="VALID"),'Motor_Meciuri'!K31=12,'Motor_Meciuri'!L31=12,'Motor_Meciuri'!M31="NO",'Motor_Meciuri'!BL31='Motor_Meciuri'!C31,AB356&gt;='Config_v6'!$B$50,AN356&gt;='Config_v6'!$B$51,T356&lt;='Config_v6'!$B$52,L356&lt;='Config_v6'!$B$53,ISNUMBER('Calibrare_Linii'!E6),S356&lt;='Calibrare_Linii'!E6,SUM(AK356:AM356)&gt;0),"CANDIDATE","NO"))</x:f>
      </x:c>
      <x:c r="Y356" s="2" t="str">
        <x:f>IF(B356="","",IF(I356&lt;&gt;"READY","NOT RELEASED",IF(AND(X356="CANDIDATE",V356&gt;='Config_v6'!$B$51,W356="PASS",'Calibrare_Linii'!T6="VALIDATED",AND('Calibrare_Linii'!H6=C356,ISNUMBER('Calibrare_Linii'!J6),'Calibrare_Linii'!J6&lt;='Input_Meci'!G31)),"PASS",IF(X356="CANDIDATE","OOS PENDING","FAIL"))))</x:f>
      </x:c>
      <x:c r="Z356" s="2" t="str">
        <x:f>IF(B356="","",IF(I356&lt;&gt;"READY","",IF(OR(NOT(AND(J356="PASS",'Calibrare_Linii'!U6="VALID")),L356&gt;'Config_v6'!$B$13,W356="WATCH"),5,IF(Y356="PASS",1,MIN(5,MAX('Config_v6'!$B$42,U356)+IF(W356="PENALTY",1,0))))))</x:f>
      </x:c>
      <x:c r="AA356" s="2" t="str">
        <x:f>IF(B356="","",IF(I356&lt;&gt;"READY","NOT RELEASED",IF(Z356=5,"NO BET",IF(OR(AB356&lt;'Config_v6'!$B$16,V356&lt;'Config_v6'!$B$18),"WATCH",IF(Z356=1,"DEFENSIV",IF(Z356=2,"PRUDENT",IF(Z356=3,"MODERAT","RIDICAT")))))))</x:f>
      </x:c>
      <x:c r="AB356" s="10" t="str">
        <x:f>IF(N356="","",MIN(N356,1-S356))</x:f>
      </x:c>
      <x:c r="AC356" s="2" t="str">
        <x:f>IF(AD356&lt;&gt;1,"",COUNTIFS($Z$356:$Z$369,"&lt;"&amp;Z356,$AD$356:$AD$369,1)+COUNTIFS($Z$356:$Z$369,Z356,$AB$356:$AB$369,"&gt;"&amp;AB356,$AD$356:$AD$369,1)+COUNTIFS($Z$356:$Z$369,Z356,$AB$356:$AB$369,AB356,$V$356:$V$369,"&gt;"&amp;V356,$AD$356:$AD$369,1)+COUNTIFS($Z$356:Z356,Z356,$AB$356:AB356,AB356,$V$356:V356,V356,$AD$356:AD356,1))</x:f>
      </x:c>
      <x:c r="AD356" s="2" t="n">
        <x:f>IF(OR(AA356="DEFENSIV",AA356="PRUDENT",AA356="MODERAT",AA356="RIDICAT"),1,0)</x:f>
        <x:v>0</x:v>
      </x:c>
      <x:c r="AE356" s="2" t="str">
        <x:f>IF(AD356&lt;&gt;1,"NO",IF(W356="PASS","YES",IF(W356="OOS PENDING","CONDITIONAL","NO")))</x:f>
        <x:v>NO</x:v>
      </x:c>
      <x:c r="AF356" s="2" t="n">
        <x:f>IF(AND(AD356=1,AC356=1,E356="LIVE"),1,0)</x:f>
        <x:v>0</x:v>
      </x:c>
      <x:c r="AG356" s="2" t="str">
        <x:f>IF(AF356&lt;&gt;1,"",'Dashboard'!P51)</x:f>
      </x:c>
      <x:c r="AH356" s="2" t="str">
        <x:f>IF(B356="","",IF(J356&lt;&gt;"PASS",'Motor_Meciuri'!J31,IF('Calibrare_Linii'!U6&lt;&gt;"VALID","Parametri linie invalizi",IF(L356&gt;'Config_v6'!$B$13,"Dispersie peste limita",IF(W356="WATCH","Failure peste limita",IF(AB356&lt;'Config_v6'!$B$16,"P finala sub prag",IF(V356&lt;'Config_v6'!$B$18,"Confidence sub prag",IF(E356="REPLAY","Exemplu retrospectiv; exclus din Top LIVE",IF(Y356="PASS","DEFENSIV validat",IF(W356="OOS PENDING","Eligibil; calibrare linie in monitorizare","Eligibil"))))))))))</x:f>
      </x:c>
      <x:c r="AI356" s="2" t="str">
        <x:f>IF(B356="","",'Calibrare_Linii'!V6)</x:f>
      </x:c>
      <x:c r="AJ356" s="2" t="str">
        <x:f>IF(B356="","",IF(AND('Calibrare_Linii'!T6="VALIDATED",AND('Calibrare_Linii'!H6=C356,ISNUMBER('Calibrare_Linii'!J6),'Calibrare_Linii'!J6&lt;='Input_Meci'!G31)),"DEFENSIVE VALIDATED",IF(AND('Calibrare_Linii'!S6="VALIDATED",AND('Calibrare_Linii'!H6=C356,ISNUMBER('Calibrare_Linii'!J6),'Calibrare_Linii'!J6&lt;='Input_Meci'!G31)),"TAIL VALIDATED","OOS PENDING")))</x:f>
      </x:c>
      <x:c r="AK356" s="2" t="n">
        <x:f>IF(J356&lt;&gt;"PASS",0,'Motor_Meciuri'!BR31)</x:f>
        <x:v>0</x:v>
      </x:c>
      <x:c r="AL356" s="2" t="n">
        <x:f>IF(J356&lt;&gt;"PASS",0,'Motor_Meciuri'!BS31)</x:f>
        <x:v>0</x:v>
      </x:c>
      <x:c r="AM356" s="2" t="n">
        <x:f>IF(J356&lt;&gt;"PASS",0,'Motor_Meciuri'!BT31)</x:f>
        <x:v>0</x:v>
      </x:c>
      <x:c r="AN356" s="2" t="str">
        <x:f>IF(M356="","",MAX(0,'Motor_Meciuri'!BF31-IF(L356&gt;'Config_v6'!$B$12,'Config_v6'!$B$37,IF(L356&gt;'Config_v6'!$B$11,'Config_v6'!$B$36,0))))</x:f>
      </x:c>
    </x:row>
    <x:row r="357" ht="21" customHeight="1">
      <x:c r="A357" s="2" t="n">
        <x:v>26</x:v>
      </x:c>
      <x:c r="B357" s="2" t="str">
        <x:f>IF('Motor_Meciuri'!A31="","",'Motor_Meciuri'!A31)</x:f>
      </x:c>
      <x:c r="C357" s="2" t="str">
        <x:f>IF(B357="","",'Motor_Meciuri'!B31)</x:f>
      </x:c>
      <x:c r="D357" s="2" t="str">
        <x:f>IF(B357="","",'Motor_Meciuri'!D31)</x:f>
      </x:c>
      <x:c r="E357" s="2" t="str">
        <x:f>IF(B357="","",'Motor_Meciuri'!E31)</x:f>
      </x:c>
      <x:c r="F357" s="2" t="str">
        <x:v>O4,5</x:v>
      </x:c>
      <x:c r="G357" s="2" t="str">
        <x:v>OVER</x:v>
      </x:c>
      <x:c r="H357" s="2" t="n">
        <x:v>4</x:v>
      </x:c>
      <x:c r="I357" s="2" t="str">
        <x:f>IF(B357="","",'Motor_Meciuri'!H31)</x:f>
      </x:c>
      <x:c r="J357" s="2" t="str">
        <x:f>IF(B357="","",'Motor_Meciuri'!I31)</x:f>
      </x:c>
      <x:c r="K357" s="11" t="str">
        <x:f>IF(J357&lt;&gt;"PASS","",'Motor_Meciuri'!BD31)</x:f>
      </x:c>
      <x:c r="L357" s="11" t="str">
        <x:f>IF(J357&lt;&gt;"PASS","",'Motor_Meciuri'!AU31)</x:f>
      </x:c>
      <x:c r="M357" s="10" t="str">
        <x:f>IF(NOT(AND(J357="PASS",'Calibrare_Linii'!U7="VALID")),"",1-'Distributie'!AB31)</x:f>
      </x:c>
      <x:c r="N357" s="10" t="str">
        <x:f>IF(M357="","",MAX(0.01,MIN(0.99,0.5+(M357-0.5)*'Motor_Meciuri'!BG31*'Calibrare_Linii'!D7)))</x:f>
      </x:c>
      <x:c r="O357" s="10" t="str">
        <x:f>IF(M357="","",1-M357)</x:f>
      </x:c>
      <x:c r="P357" s="10" t="str">
        <x:f>IF(OR(NOT(AND(J357="PASS",'Calibrare_Linii'!U7="VALID")),AK357=0),""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*('Istoric_Nativ'!$Q$6:$Q$405&lt;=H357))/AK357)</x:f>
      </x:c>
      <x:c r="Q357" s="10" t="str">
        <x:f>IF(OR(NOT(AND(J357="PASS",'Calibrare_Linii'!U7="VALID")),AL357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M31)+((('Istoric_Nativ'!$E$6:$E$405='Input_Meci'!E31)+('Istoric_Nativ'!$F$6:$F$405='Input_Meci'!E31))&gt;0)*('Istoric_Nativ'!$D$6:$D$405&gt;='Motor_Meciuri'!BN31))&gt;0)*('Istoric_Nativ'!$Q$6:$Q$405&lt;=H357))/AL357)</x:f>
      </x:c>
      <x:c r="R357" s="10" t="str">
        <x:f>IF(OR(NOT(AND(J357="PASS",'Calibrare_Linii'!U7="VALID")),AM357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O31)+((('Istoric_Nativ'!$E$6:$E$405='Input_Meci'!E31)+('Istoric_Nativ'!$F$6:$F$405='Input_Meci'!E31))&gt;0)*('Istoric_Nativ'!$D$6:$D$405&gt;='Motor_Meciuri'!BP31))&gt;0)*('Istoric_Nativ'!$Q$6:$Q$405&lt;=H357))/AM357)</x:f>
      </x:c>
      <x:c r="S357" s="10" t="str">
        <x:f>IF(M357="","",MAX(O357,P357,Q357,R357))</x:f>
      </x:c>
      <x:c r="T357" s="11" t="str">
        <x:f>IF(M357="","",MIN(100,S357*100*'Config_v6'!$B$44+MIN(100,L357/'Config_v6'!$B$13*100)*'Config_v6'!$B$45+(100-'Motor_Meciuri'!BF31)*'Config_v6'!$B$46+'Motor_Meciuri'!BH31*100*'Config_v6'!$B$47))</x:f>
      </x:c>
      <x:c r="U357" s="2" t="str">
        <x:f>IF(T357="","",IF(T357&lt;=20,1,IF(T357&lt;=40,2,IF(T357&lt;=60,3,IF(T357&lt;=80,4,5)))))</x:f>
      </x:c>
      <x:c r="V357" s="2" t="str">
        <x:f>IF(M357="","",MAX(0,'Motor_Meciuri'!BF31-IF(W357="OOS PENDING",'Config_v6'!$B$35,0)-IF(L357&gt;'Config_v6'!$B$12,'Config_v6'!$B$37,IF(L357&gt;'Config_v6'!$B$11,'Config_v6'!$B$36,0))))</x:f>
      </x:c>
      <x:c r="W357" s="2" t="str">
        <x:f>IF(B357="","",IF(I357&lt;&gt;"READY","NOT RELEASED",IF(NOT(AND(J357="PASS",'Calibrare_Linii'!U7="VALID")),"INVALID",IF(NOT(AND('Calibrare_Linii'!S7="VALIDATED",AND('Calibrare_Linii'!H7=C357,ISNUMBER('Calibrare_Linii'!J7),'Calibrare_Linii'!J7&lt;='Input_Meci'!G31))),"OOS PENDING",IF(S357&lt;='Calibrare_Linii'!E7,"PASS",IF(S357&lt;='Calibrare_Linii'!F7,"PENALTY","WATCH"))))))</x:f>
      </x:c>
      <x:c r="X357" s="2" t="str">
        <x:f>IF(M357="","",IF(AND(AND(J357="PASS",'Calibrare_Linii'!U7="VALID"),'Motor_Meciuri'!K31=12,'Motor_Meciuri'!L31=12,'Motor_Meciuri'!M31="NO",'Motor_Meciuri'!BL31='Motor_Meciuri'!C31,AB357&gt;='Config_v6'!$B$50,AN357&gt;='Config_v6'!$B$51,T357&lt;='Config_v6'!$B$52,L357&lt;='Config_v6'!$B$53,ISNUMBER('Calibrare_Linii'!E7),S357&lt;='Calibrare_Linii'!E7,SUM(AK357:AM357)&gt;0),"CANDIDATE","NO"))</x:f>
      </x:c>
      <x:c r="Y357" s="2" t="str">
        <x:f>IF(B357="","",IF(I357&lt;&gt;"READY","NOT RELEASED",IF(AND(X357="CANDIDATE",V357&gt;='Config_v6'!$B$51,W357="PASS",'Calibrare_Linii'!T7="VALIDATED",AND('Calibrare_Linii'!H7=C357,ISNUMBER('Calibrare_Linii'!J7),'Calibrare_Linii'!J7&lt;='Input_Meci'!G31)),"PASS",IF(X357="CANDIDATE","OOS PENDING","FAIL"))))</x:f>
      </x:c>
      <x:c r="Z357" s="2" t="str">
        <x:f>IF(B357="","",IF(I357&lt;&gt;"READY","",IF(OR(NOT(AND(J357="PASS",'Calibrare_Linii'!U7="VALID")),L357&gt;'Config_v6'!$B$13,W357="WATCH"),5,IF(Y357="PASS",1,MIN(5,MAX('Config_v6'!$B$42,U357)+IF(W357="PENALTY",1,0))))))</x:f>
      </x:c>
      <x:c r="AA357" s="2" t="str">
        <x:f>IF(B357="","",IF(I357&lt;&gt;"READY","NOT RELEASED",IF(Z357=5,"NO BET",IF(OR(AB357&lt;'Config_v6'!$B$16,V357&lt;'Config_v6'!$B$18),"WATCH",IF(Z357=1,"DEFENSIV",IF(Z357=2,"PRUDENT",IF(Z357=3,"MODERAT","RIDICAT")))))))</x:f>
      </x:c>
      <x:c r="AB357" s="10" t="str">
        <x:f>IF(N357="","",MIN(N357,1-S357))</x:f>
      </x:c>
      <x:c r="AC357" s="2" t="str">
        <x:f>IF(AD357&lt;&gt;1,"",COUNTIFS($Z$356:$Z$369,"&lt;"&amp;Z357,$AD$356:$AD$369,1)+COUNTIFS($Z$356:$Z$369,Z357,$AB$356:$AB$369,"&gt;"&amp;AB357,$AD$356:$AD$369,1)+COUNTIFS($Z$356:$Z$369,Z357,$AB$356:$AB$369,AB357,$V$356:$V$369,"&gt;"&amp;V357,$AD$356:$AD$369,1)+COUNTIFS($Z$356:Z357,Z357,$AB$356:AB357,AB357,$V$356:V357,V357,$AD$356:AD357,1))</x:f>
      </x:c>
      <x:c r="AD357" s="2" t="n">
        <x:f>IF(OR(AA357="DEFENSIV",AA357="PRUDENT",AA357="MODERAT",AA357="RIDICAT"),1,0)</x:f>
        <x:v>0</x:v>
      </x:c>
      <x:c r="AE357" s="2" t="str">
        <x:f>IF(AD357&lt;&gt;1,"NO",IF(W357="PASS","YES",IF(W357="OOS PENDING","CONDITIONAL","NO")))</x:f>
        <x:v>NO</x:v>
      </x:c>
      <x:c r="AF357" s="2" t="n">
        <x:f>IF(AND(AD357=1,AC357=1,E357="LIVE"),1,0)</x:f>
        <x:v>0</x:v>
      </x:c>
      <x:c r="AG357" s="2" t="str">
        <x:f>IF(AF357&lt;&gt;1,"",'Dashboard'!P51)</x:f>
      </x:c>
      <x:c r="AH357" s="2" t="str">
        <x:f>IF(B357="","",IF(J357&lt;&gt;"PASS",'Motor_Meciuri'!J31,IF('Calibrare_Linii'!U7&lt;&gt;"VALID","Parametri linie invalizi",IF(L357&gt;'Config_v6'!$B$13,"Dispersie peste limita",IF(W357="WATCH","Failure peste limita",IF(AB357&lt;'Config_v6'!$B$16,"P finala sub prag",IF(V357&lt;'Config_v6'!$B$18,"Confidence sub prag",IF(E357="REPLAY","Exemplu retrospectiv; exclus din Top LIVE",IF(Y357="PASS","DEFENSIV validat",IF(W357="OOS PENDING","Eligibil; calibrare linie in monitorizare","Eligibil"))))))))))</x:f>
      </x:c>
      <x:c r="AI357" s="2" t="str">
        <x:f>IF(B357="","",'Calibrare_Linii'!V7)</x:f>
      </x:c>
      <x:c r="AJ357" s="2" t="str">
        <x:f>IF(B357="","",IF(AND('Calibrare_Linii'!T7="VALIDATED",AND('Calibrare_Linii'!H7=C357,ISNUMBER('Calibrare_Linii'!J7),'Calibrare_Linii'!J7&lt;='Input_Meci'!G31)),"DEFENSIVE VALIDATED",IF(AND('Calibrare_Linii'!S7="VALIDATED",AND('Calibrare_Linii'!H7=C357,ISNUMBER('Calibrare_Linii'!J7),'Calibrare_Linii'!J7&lt;='Input_Meci'!G31)),"TAIL VALIDATED","OOS PENDING")))</x:f>
      </x:c>
      <x:c r="AK357" s="2" t="n">
        <x:f>IF(J357&lt;&gt;"PASS",0,'Motor_Meciuri'!BR31)</x:f>
        <x:v>0</x:v>
      </x:c>
      <x:c r="AL357" s="2" t="n">
        <x:f>IF(J357&lt;&gt;"PASS",0,'Motor_Meciuri'!BS31)</x:f>
        <x:v>0</x:v>
      </x:c>
      <x:c r="AM357" s="2" t="n">
        <x:f>IF(J357&lt;&gt;"PASS",0,'Motor_Meciuri'!BT31)</x:f>
        <x:v>0</x:v>
      </x:c>
      <x:c r="AN357" s="2" t="str">
        <x:f>IF(M357="","",MAX(0,'Motor_Meciuri'!BF31-IF(L357&gt;'Config_v6'!$B$12,'Config_v6'!$B$37,IF(L357&gt;'Config_v6'!$B$11,'Config_v6'!$B$36,0))))</x:f>
      </x:c>
    </x:row>
    <x:row r="358" ht="21" customHeight="1">
      <x:c r="A358" s="2" t="n">
        <x:v>26</x:v>
      </x:c>
      <x:c r="B358" s="2" t="str">
        <x:f>IF('Motor_Meciuri'!A31="","",'Motor_Meciuri'!A31)</x:f>
      </x:c>
      <x:c r="C358" s="2" t="str">
        <x:f>IF(B358="","",'Motor_Meciuri'!B31)</x:f>
      </x:c>
      <x:c r="D358" s="2" t="str">
        <x:f>IF(B358="","",'Motor_Meciuri'!D31)</x:f>
      </x:c>
      <x:c r="E358" s="2" t="str">
        <x:f>IF(B358="","",'Motor_Meciuri'!E31)</x:f>
      </x:c>
      <x:c r="F358" s="2" t="str">
        <x:v>O5,5</x:v>
      </x:c>
      <x:c r="G358" s="2" t="str">
        <x:v>OVER</x:v>
      </x:c>
      <x:c r="H358" s="2" t="n">
        <x:v>5</x:v>
      </x:c>
      <x:c r="I358" s="2" t="str">
        <x:f>IF(B358="","",'Motor_Meciuri'!H31)</x:f>
      </x:c>
      <x:c r="J358" s="2" t="str">
        <x:f>IF(B358="","",'Motor_Meciuri'!I31)</x:f>
      </x:c>
      <x:c r="K358" s="11" t="str">
        <x:f>IF(J358&lt;&gt;"PASS","",'Motor_Meciuri'!BD31)</x:f>
      </x:c>
      <x:c r="L358" s="11" t="str">
        <x:f>IF(J358&lt;&gt;"PASS","",'Motor_Meciuri'!AU31)</x:f>
      </x:c>
      <x:c r="M358" s="10" t="str">
        <x:f>IF(NOT(AND(J358="PASS",'Calibrare_Linii'!U8="VALID")),"",1-'Distributie'!AC31)</x:f>
      </x:c>
      <x:c r="N358" s="10" t="str">
        <x:f>IF(M358="","",MAX(0.01,MIN(0.99,0.5+(M358-0.5)*'Motor_Meciuri'!BG31*'Calibrare_Linii'!D8)))</x:f>
      </x:c>
      <x:c r="O358" s="10" t="str">
        <x:f>IF(M358="","",1-M358)</x:f>
      </x:c>
      <x:c r="P358" s="10" t="str">
        <x:f>IF(OR(NOT(AND(J358="PASS",'Calibrare_Linii'!U8="VALID")),AK358=0),""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*('Istoric_Nativ'!$Q$6:$Q$405&lt;=H358))/AK358)</x:f>
      </x:c>
      <x:c r="Q358" s="10" t="str">
        <x:f>IF(OR(NOT(AND(J358="PASS",'Calibrare_Linii'!U8="VALID")),AL358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M31)+((('Istoric_Nativ'!$E$6:$E$405='Input_Meci'!E31)+('Istoric_Nativ'!$F$6:$F$405='Input_Meci'!E31))&gt;0)*('Istoric_Nativ'!$D$6:$D$405&gt;='Motor_Meciuri'!BN31))&gt;0)*('Istoric_Nativ'!$Q$6:$Q$405&lt;=H358))/AL358)</x:f>
      </x:c>
      <x:c r="R358" s="10" t="str">
        <x:f>IF(OR(NOT(AND(J358="PASS",'Calibrare_Linii'!U8="VALID")),AM358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O31)+((('Istoric_Nativ'!$E$6:$E$405='Input_Meci'!E31)+('Istoric_Nativ'!$F$6:$F$405='Input_Meci'!E31))&gt;0)*('Istoric_Nativ'!$D$6:$D$405&gt;='Motor_Meciuri'!BP31))&gt;0)*('Istoric_Nativ'!$Q$6:$Q$405&lt;=H358))/AM358)</x:f>
      </x:c>
      <x:c r="S358" s="10" t="str">
        <x:f>IF(M358="","",MAX(O358,P358,Q358,R358))</x:f>
      </x:c>
      <x:c r="T358" s="11" t="str">
        <x:f>IF(M358="","",MIN(100,S358*100*'Config_v6'!$B$44+MIN(100,L358/'Config_v6'!$B$13*100)*'Config_v6'!$B$45+(100-'Motor_Meciuri'!BF31)*'Config_v6'!$B$46+'Motor_Meciuri'!BH31*100*'Config_v6'!$B$47))</x:f>
      </x:c>
      <x:c r="U358" s="2" t="str">
        <x:f>IF(T358="","",IF(T358&lt;=20,1,IF(T358&lt;=40,2,IF(T358&lt;=60,3,IF(T358&lt;=80,4,5)))))</x:f>
      </x:c>
      <x:c r="V358" s="2" t="str">
        <x:f>IF(M358="","",MAX(0,'Motor_Meciuri'!BF31-IF(W358="OOS PENDING",'Config_v6'!$B$35,0)-IF(L358&gt;'Config_v6'!$B$12,'Config_v6'!$B$37,IF(L358&gt;'Config_v6'!$B$11,'Config_v6'!$B$36,0))))</x:f>
      </x:c>
      <x:c r="W358" s="2" t="str">
        <x:f>IF(B358="","",IF(I358&lt;&gt;"READY","NOT RELEASED",IF(NOT(AND(J358="PASS",'Calibrare_Linii'!U8="VALID")),"INVALID",IF(NOT(AND('Calibrare_Linii'!S8="VALIDATED",AND('Calibrare_Linii'!H8=C358,ISNUMBER('Calibrare_Linii'!J8),'Calibrare_Linii'!J8&lt;='Input_Meci'!G31))),"OOS PENDING",IF(S358&lt;='Calibrare_Linii'!E8,"PASS",IF(S358&lt;='Calibrare_Linii'!F8,"PENALTY","WATCH"))))))</x:f>
      </x:c>
      <x:c r="X358" s="2" t="str">
        <x:f>IF(M358="","",IF(AND(AND(J358="PASS",'Calibrare_Linii'!U8="VALID"),'Motor_Meciuri'!K31=12,'Motor_Meciuri'!L31=12,'Motor_Meciuri'!M31="NO",'Motor_Meciuri'!BL31='Motor_Meciuri'!C31,AB358&gt;='Config_v6'!$B$50,AN358&gt;='Config_v6'!$B$51,T358&lt;='Config_v6'!$B$52,L358&lt;='Config_v6'!$B$53,ISNUMBER('Calibrare_Linii'!E8),S358&lt;='Calibrare_Linii'!E8,SUM(AK358:AM358)&gt;0),"CANDIDATE","NO"))</x:f>
      </x:c>
      <x:c r="Y358" s="2" t="str">
        <x:f>IF(B358="","",IF(I358&lt;&gt;"READY","NOT RELEASED",IF(AND(X358="CANDIDATE",V358&gt;='Config_v6'!$B$51,W358="PASS",'Calibrare_Linii'!T8="VALIDATED",AND('Calibrare_Linii'!H8=C358,ISNUMBER('Calibrare_Linii'!J8),'Calibrare_Linii'!J8&lt;='Input_Meci'!G31)),"PASS",IF(X358="CANDIDATE","OOS PENDING","FAIL"))))</x:f>
      </x:c>
      <x:c r="Z358" s="2" t="str">
        <x:f>IF(B358="","",IF(I358&lt;&gt;"READY","",IF(OR(NOT(AND(J358="PASS",'Calibrare_Linii'!U8="VALID")),L358&gt;'Config_v6'!$B$13,W358="WATCH"),5,IF(Y358="PASS",1,MIN(5,MAX('Config_v6'!$B$42,U358)+IF(W358="PENALTY",1,0))))))</x:f>
      </x:c>
      <x:c r="AA358" s="2" t="str">
        <x:f>IF(B358="","",IF(I358&lt;&gt;"READY","NOT RELEASED",IF(Z358=5,"NO BET",IF(OR(AB358&lt;'Config_v6'!$B$16,V358&lt;'Config_v6'!$B$18),"WATCH",IF(Z358=1,"DEFENSIV",IF(Z358=2,"PRUDENT",IF(Z358=3,"MODERAT","RIDICAT")))))))</x:f>
      </x:c>
      <x:c r="AB358" s="10" t="str">
        <x:f>IF(N358="","",MIN(N358,1-S358))</x:f>
      </x:c>
      <x:c r="AC358" s="2" t="str">
        <x:f>IF(AD358&lt;&gt;1,"",COUNTIFS($Z$356:$Z$369,"&lt;"&amp;Z358,$AD$356:$AD$369,1)+COUNTIFS($Z$356:$Z$369,Z358,$AB$356:$AB$369,"&gt;"&amp;AB358,$AD$356:$AD$369,1)+COUNTIFS($Z$356:$Z$369,Z358,$AB$356:$AB$369,AB358,$V$356:$V$369,"&gt;"&amp;V358,$AD$356:$AD$369,1)+COUNTIFS($Z$356:Z358,Z358,$AB$356:AB358,AB358,$V$356:V358,V358,$AD$356:AD358,1))</x:f>
      </x:c>
      <x:c r="AD358" s="2" t="n">
        <x:f>IF(OR(AA358="DEFENSIV",AA358="PRUDENT",AA358="MODERAT",AA358="RIDICAT"),1,0)</x:f>
        <x:v>0</x:v>
      </x:c>
      <x:c r="AE358" s="2" t="str">
        <x:f>IF(AD358&lt;&gt;1,"NO",IF(W358="PASS","YES",IF(W358="OOS PENDING","CONDITIONAL","NO")))</x:f>
        <x:v>NO</x:v>
      </x:c>
      <x:c r="AF358" s="2" t="n">
        <x:f>IF(AND(AD358=1,AC358=1,E358="LIVE"),1,0)</x:f>
        <x:v>0</x:v>
      </x:c>
      <x:c r="AG358" s="2" t="str">
        <x:f>IF(AF358&lt;&gt;1,"",'Dashboard'!P51)</x:f>
      </x:c>
      <x:c r="AH358" s="2" t="str">
        <x:f>IF(B358="","",IF(J358&lt;&gt;"PASS",'Motor_Meciuri'!J31,IF('Calibrare_Linii'!U8&lt;&gt;"VALID","Parametri linie invalizi",IF(L358&gt;'Config_v6'!$B$13,"Dispersie peste limita",IF(W358="WATCH","Failure peste limita",IF(AB358&lt;'Config_v6'!$B$16,"P finala sub prag",IF(V358&lt;'Config_v6'!$B$18,"Confidence sub prag",IF(E358="REPLAY","Exemplu retrospectiv; exclus din Top LIVE",IF(Y358="PASS","DEFENSIV validat",IF(W358="OOS PENDING","Eligibil; calibrare linie in monitorizare","Eligibil"))))))))))</x:f>
      </x:c>
      <x:c r="AI358" s="2" t="str">
        <x:f>IF(B358="","",'Calibrare_Linii'!V8)</x:f>
      </x:c>
      <x:c r="AJ358" s="2" t="str">
        <x:f>IF(B358="","",IF(AND('Calibrare_Linii'!T8="VALIDATED",AND('Calibrare_Linii'!H8=C358,ISNUMBER('Calibrare_Linii'!J8),'Calibrare_Linii'!J8&lt;='Input_Meci'!G31)),"DEFENSIVE VALIDATED",IF(AND('Calibrare_Linii'!S8="VALIDATED",AND('Calibrare_Linii'!H8=C358,ISNUMBER('Calibrare_Linii'!J8),'Calibrare_Linii'!J8&lt;='Input_Meci'!G31)),"TAIL VALIDATED","OOS PENDING")))</x:f>
      </x:c>
      <x:c r="AK358" s="2" t="n">
        <x:f>IF(J358&lt;&gt;"PASS",0,'Motor_Meciuri'!BR31)</x:f>
        <x:v>0</x:v>
      </x:c>
      <x:c r="AL358" s="2" t="n">
        <x:f>IF(J358&lt;&gt;"PASS",0,'Motor_Meciuri'!BS31)</x:f>
        <x:v>0</x:v>
      </x:c>
      <x:c r="AM358" s="2" t="n">
        <x:f>IF(J358&lt;&gt;"PASS",0,'Motor_Meciuri'!BT31)</x:f>
        <x:v>0</x:v>
      </x:c>
      <x:c r="AN358" s="2" t="str">
        <x:f>IF(M358="","",MAX(0,'Motor_Meciuri'!BF31-IF(L358&gt;'Config_v6'!$B$12,'Config_v6'!$B$37,IF(L358&gt;'Config_v6'!$B$11,'Config_v6'!$B$36,0))))</x:f>
      </x:c>
    </x:row>
    <x:row r="359" ht="21" customHeight="1">
      <x:c r="A359" s="2" t="n">
        <x:v>26</x:v>
      </x:c>
      <x:c r="B359" s="2" t="str">
        <x:f>IF('Motor_Meciuri'!A31="","",'Motor_Meciuri'!A31)</x:f>
      </x:c>
      <x:c r="C359" s="2" t="str">
        <x:f>IF(B359="","",'Motor_Meciuri'!B31)</x:f>
      </x:c>
      <x:c r="D359" s="2" t="str">
        <x:f>IF(B359="","",'Motor_Meciuri'!D31)</x:f>
      </x:c>
      <x:c r="E359" s="2" t="str">
        <x:f>IF(B359="","",'Motor_Meciuri'!E31)</x:f>
      </x:c>
      <x:c r="F359" s="2" t="str">
        <x:v>O6,5</x:v>
      </x:c>
      <x:c r="G359" s="2" t="str">
        <x:v>OVER</x:v>
      </x:c>
      <x:c r="H359" s="2" t="n">
        <x:v>6</x:v>
      </x:c>
      <x:c r="I359" s="2" t="str">
        <x:f>IF(B359="","",'Motor_Meciuri'!H31)</x:f>
      </x:c>
      <x:c r="J359" s="2" t="str">
        <x:f>IF(B359="","",'Motor_Meciuri'!I31)</x:f>
      </x:c>
      <x:c r="K359" s="11" t="str">
        <x:f>IF(J359&lt;&gt;"PASS","",'Motor_Meciuri'!BD31)</x:f>
      </x:c>
      <x:c r="L359" s="11" t="str">
        <x:f>IF(J359&lt;&gt;"PASS","",'Motor_Meciuri'!AU31)</x:f>
      </x:c>
      <x:c r="M359" s="10" t="str">
        <x:f>IF(NOT(AND(J359="PASS",'Calibrare_Linii'!U9="VALID")),"",1-'Distributie'!AD31)</x:f>
      </x:c>
      <x:c r="N359" s="10" t="str">
        <x:f>IF(M359="","",MAX(0.01,MIN(0.99,0.5+(M359-0.5)*'Motor_Meciuri'!BG31*'Calibrare_Linii'!D9)))</x:f>
      </x:c>
      <x:c r="O359" s="10" t="str">
        <x:f>IF(M359="","",1-M359)</x:f>
      </x:c>
      <x:c r="P359" s="10" t="str">
        <x:f>IF(OR(NOT(AND(J359="PASS",'Calibrare_Linii'!U9="VALID")),AK359=0),""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*('Istoric_Nativ'!$Q$6:$Q$405&lt;=H359))/AK359)</x:f>
      </x:c>
      <x:c r="Q359" s="10" t="str">
        <x:f>IF(OR(NOT(AND(J359="PASS",'Calibrare_Linii'!U9="VALID")),AL359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M31)+((('Istoric_Nativ'!$E$6:$E$405='Input_Meci'!E31)+('Istoric_Nativ'!$F$6:$F$405='Input_Meci'!E31))&gt;0)*('Istoric_Nativ'!$D$6:$D$405&gt;='Motor_Meciuri'!BN31))&gt;0)*('Istoric_Nativ'!$Q$6:$Q$405&lt;=H359))/AL359)</x:f>
      </x:c>
      <x:c r="R359" s="10" t="str">
        <x:f>IF(OR(NOT(AND(J359="PASS",'Calibrare_Linii'!U9="VALID")),AM359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O31)+((('Istoric_Nativ'!$E$6:$E$405='Input_Meci'!E31)+('Istoric_Nativ'!$F$6:$F$405='Input_Meci'!E31))&gt;0)*('Istoric_Nativ'!$D$6:$D$405&gt;='Motor_Meciuri'!BP31))&gt;0)*('Istoric_Nativ'!$Q$6:$Q$405&lt;=H359))/AM359)</x:f>
      </x:c>
      <x:c r="S359" s="10" t="str">
        <x:f>IF(M359="","",MAX(O359,P359,Q359,R359))</x:f>
      </x:c>
      <x:c r="T359" s="11" t="str">
        <x:f>IF(M359="","",MIN(100,S359*100*'Config_v6'!$B$44+MIN(100,L359/'Config_v6'!$B$13*100)*'Config_v6'!$B$45+(100-'Motor_Meciuri'!BF31)*'Config_v6'!$B$46+'Motor_Meciuri'!BH31*100*'Config_v6'!$B$47))</x:f>
      </x:c>
      <x:c r="U359" s="2" t="str">
        <x:f>IF(T359="","",IF(T359&lt;=20,1,IF(T359&lt;=40,2,IF(T359&lt;=60,3,IF(T359&lt;=80,4,5)))))</x:f>
      </x:c>
      <x:c r="V359" s="2" t="str">
        <x:f>IF(M359="","",MAX(0,'Motor_Meciuri'!BF31-IF(W359="OOS PENDING",'Config_v6'!$B$35,0)-IF(L359&gt;'Config_v6'!$B$12,'Config_v6'!$B$37,IF(L359&gt;'Config_v6'!$B$11,'Config_v6'!$B$36,0))))</x:f>
      </x:c>
      <x:c r="W359" s="2" t="str">
        <x:f>IF(B359="","",IF(I359&lt;&gt;"READY","NOT RELEASED",IF(NOT(AND(J359="PASS",'Calibrare_Linii'!U9="VALID")),"INVALID",IF(NOT(AND('Calibrare_Linii'!S9="VALIDATED",AND('Calibrare_Linii'!H9=C359,ISNUMBER('Calibrare_Linii'!J9),'Calibrare_Linii'!J9&lt;='Input_Meci'!G31))),"OOS PENDING",IF(S359&lt;='Calibrare_Linii'!E9,"PASS",IF(S359&lt;='Calibrare_Linii'!F9,"PENALTY","WATCH"))))))</x:f>
      </x:c>
      <x:c r="X359" s="2" t="str">
        <x:f>IF(M359="","",IF(AND(AND(J359="PASS",'Calibrare_Linii'!U9="VALID"),'Motor_Meciuri'!K31=12,'Motor_Meciuri'!L31=12,'Motor_Meciuri'!M31="NO",'Motor_Meciuri'!BL31='Motor_Meciuri'!C31,AB359&gt;='Config_v6'!$B$50,AN359&gt;='Config_v6'!$B$51,T359&lt;='Config_v6'!$B$52,L359&lt;='Config_v6'!$B$53,ISNUMBER('Calibrare_Linii'!E9),S359&lt;='Calibrare_Linii'!E9,SUM(AK359:AM359)&gt;0),"CANDIDATE","NO"))</x:f>
      </x:c>
      <x:c r="Y359" s="2" t="str">
        <x:f>IF(B359="","",IF(I359&lt;&gt;"READY","NOT RELEASED",IF(AND(X359="CANDIDATE",V359&gt;='Config_v6'!$B$51,W359="PASS",'Calibrare_Linii'!T9="VALIDATED",AND('Calibrare_Linii'!H9=C359,ISNUMBER('Calibrare_Linii'!J9),'Calibrare_Linii'!J9&lt;='Input_Meci'!G31)),"PASS",IF(X359="CANDIDATE","OOS PENDING","FAIL"))))</x:f>
      </x:c>
      <x:c r="Z359" s="2" t="str">
        <x:f>IF(B359="","",IF(I359&lt;&gt;"READY","",IF(OR(NOT(AND(J359="PASS",'Calibrare_Linii'!U9="VALID")),L359&gt;'Config_v6'!$B$13,W359="WATCH"),5,IF(Y359="PASS",1,MIN(5,MAX('Config_v6'!$B$42,U359)+IF(W359="PENALTY",1,0))))))</x:f>
      </x:c>
      <x:c r="AA359" s="2" t="str">
        <x:f>IF(B359="","",IF(I359&lt;&gt;"READY","NOT RELEASED",IF(Z359=5,"NO BET",IF(OR(AB359&lt;'Config_v6'!$B$16,V359&lt;'Config_v6'!$B$18),"WATCH",IF(Z359=1,"DEFENSIV",IF(Z359=2,"PRUDENT",IF(Z359=3,"MODERAT","RIDICAT")))))))</x:f>
      </x:c>
      <x:c r="AB359" s="10" t="str">
        <x:f>IF(N359="","",MIN(N359,1-S359))</x:f>
      </x:c>
      <x:c r="AC359" s="2" t="str">
        <x:f>IF(AD359&lt;&gt;1,"",COUNTIFS($Z$356:$Z$369,"&lt;"&amp;Z359,$AD$356:$AD$369,1)+COUNTIFS($Z$356:$Z$369,Z359,$AB$356:$AB$369,"&gt;"&amp;AB359,$AD$356:$AD$369,1)+COUNTIFS($Z$356:$Z$369,Z359,$AB$356:$AB$369,AB359,$V$356:$V$369,"&gt;"&amp;V359,$AD$356:$AD$369,1)+COUNTIFS($Z$356:Z359,Z359,$AB$356:AB359,AB359,$V$356:V359,V359,$AD$356:AD359,1))</x:f>
      </x:c>
      <x:c r="AD359" s="2" t="n">
        <x:f>IF(OR(AA359="DEFENSIV",AA359="PRUDENT",AA359="MODERAT",AA359="RIDICAT"),1,0)</x:f>
        <x:v>0</x:v>
      </x:c>
      <x:c r="AE359" s="2" t="str">
        <x:f>IF(AD359&lt;&gt;1,"NO",IF(W359="PASS","YES",IF(W359="OOS PENDING","CONDITIONAL","NO")))</x:f>
        <x:v>NO</x:v>
      </x:c>
      <x:c r="AF359" s="2" t="n">
        <x:f>IF(AND(AD359=1,AC359=1,E359="LIVE"),1,0)</x:f>
        <x:v>0</x:v>
      </x:c>
      <x:c r="AG359" s="2" t="str">
        <x:f>IF(AF359&lt;&gt;1,"",'Dashboard'!P51)</x:f>
      </x:c>
      <x:c r="AH359" s="2" t="str">
        <x:f>IF(B359="","",IF(J359&lt;&gt;"PASS",'Motor_Meciuri'!J31,IF('Calibrare_Linii'!U9&lt;&gt;"VALID","Parametri linie invalizi",IF(L359&gt;'Config_v6'!$B$13,"Dispersie peste limita",IF(W359="WATCH","Failure peste limita",IF(AB359&lt;'Config_v6'!$B$16,"P finala sub prag",IF(V359&lt;'Config_v6'!$B$18,"Confidence sub prag",IF(E359="REPLAY","Exemplu retrospectiv; exclus din Top LIVE",IF(Y359="PASS","DEFENSIV validat",IF(W359="OOS PENDING","Eligibil; calibrare linie in monitorizare","Eligibil"))))))))))</x:f>
      </x:c>
      <x:c r="AI359" s="2" t="str">
        <x:f>IF(B359="","",'Calibrare_Linii'!V9)</x:f>
      </x:c>
      <x:c r="AJ359" s="2" t="str">
        <x:f>IF(B359="","",IF(AND('Calibrare_Linii'!T9="VALIDATED",AND('Calibrare_Linii'!H9=C359,ISNUMBER('Calibrare_Linii'!J9),'Calibrare_Linii'!J9&lt;='Input_Meci'!G31)),"DEFENSIVE VALIDATED",IF(AND('Calibrare_Linii'!S9="VALIDATED",AND('Calibrare_Linii'!H9=C359,ISNUMBER('Calibrare_Linii'!J9),'Calibrare_Linii'!J9&lt;='Input_Meci'!G31)),"TAIL VALIDATED","OOS PENDING")))</x:f>
      </x:c>
      <x:c r="AK359" s="2" t="n">
        <x:f>IF(J359&lt;&gt;"PASS",0,'Motor_Meciuri'!BR31)</x:f>
        <x:v>0</x:v>
      </x:c>
      <x:c r="AL359" s="2" t="n">
        <x:f>IF(J359&lt;&gt;"PASS",0,'Motor_Meciuri'!BS31)</x:f>
        <x:v>0</x:v>
      </x:c>
      <x:c r="AM359" s="2" t="n">
        <x:f>IF(J359&lt;&gt;"PASS",0,'Motor_Meciuri'!BT31)</x:f>
        <x:v>0</x:v>
      </x:c>
      <x:c r="AN359" s="2" t="str">
        <x:f>IF(M359="","",MAX(0,'Motor_Meciuri'!BF31-IF(L359&gt;'Config_v6'!$B$12,'Config_v6'!$B$37,IF(L359&gt;'Config_v6'!$B$11,'Config_v6'!$B$36,0))))</x:f>
      </x:c>
    </x:row>
    <x:row r="360" ht="21" customHeight="1">
      <x:c r="A360" s="2" t="n">
        <x:v>26</x:v>
      </x:c>
      <x:c r="B360" s="2" t="str">
        <x:f>IF('Motor_Meciuri'!A31="","",'Motor_Meciuri'!A31)</x:f>
      </x:c>
      <x:c r="C360" s="2" t="str">
        <x:f>IF(B360="","",'Motor_Meciuri'!B31)</x:f>
      </x:c>
      <x:c r="D360" s="2" t="str">
        <x:f>IF(B360="","",'Motor_Meciuri'!D31)</x:f>
      </x:c>
      <x:c r="E360" s="2" t="str">
        <x:f>IF(B360="","",'Motor_Meciuri'!E31)</x:f>
      </x:c>
      <x:c r="F360" s="2" t="str">
        <x:v>O7,5</x:v>
      </x:c>
      <x:c r="G360" s="2" t="str">
        <x:v>OVER</x:v>
      </x:c>
      <x:c r="H360" s="2" t="n">
        <x:v>7</x:v>
      </x:c>
      <x:c r="I360" s="2" t="str">
        <x:f>IF(B360="","",'Motor_Meciuri'!H31)</x:f>
      </x:c>
      <x:c r="J360" s="2" t="str">
        <x:f>IF(B360="","",'Motor_Meciuri'!I31)</x:f>
      </x:c>
      <x:c r="K360" s="11" t="str">
        <x:f>IF(J360&lt;&gt;"PASS","",'Motor_Meciuri'!BD31)</x:f>
      </x:c>
      <x:c r="L360" s="11" t="str">
        <x:f>IF(J360&lt;&gt;"PASS","",'Motor_Meciuri'!AU31)</x:f>
      </x:c>
      <x:c r="M360" s="10" t="str">
        <x:f>IF(NOT(AND(J360="PASS",'Calibrare_Linii'!U10="VALID")),"",1-'Distributie'!AE31)</x:f>
      </x:c>
      <x:c r="N360" s="10" t="str">
        <x:f>IF(M360="","",MAX(0.01,MIN(0.99,0.5+(M360-0.5)*'Motor_Meciuri'!BG31*'Calibrare_Linii'!D10)))</x:f>
      </x:c>
      <x:c r="O360" s="10" t="str">
        <x:f>IF(M360="","",1-M360)</x:f>
      </x:c>
      <x:c r="P360" s="10" t="str">
        <x:f>IF(OR(NOT(AND(J360="PASS",'Calibrare_Linii'!U10="VALID")),AK360=0),""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*('Istoric_Nativ'!$Q$6:$Q$405&lt;=H360))/AK360)</x:f>
      </x:c>
      <x:c r="Q360" s="10" t="str">
        <x:f>IF(OR(NOT(AND(J360="PASS",'Calibrare_Linii'!U10="VALID")),AL360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M31)+((('Istoric_Nativ'!$E$6:$E$405='Input_Meci'!E31)+('Istoric_Nativ'!$F$6:$F$405='Input_Meci'!E31))&gt;0)*('Istoric_Nativ'!$D$6:$D$405&gt;='Motor_Meciuri'!BN31))&gt;0)*('Istoric_Nativ'!$Q$6:$Q$405&lt;=H360))/AL360)</x:f>
      </x:c>
      <x:c r="R360" s="10" t="str">
        <x:f>IF(OR(NOT(AND(J360="PASS",'Calibrare_Linii'!U10="VALID")),AM360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O31)+((('Istoric_Nativ'!$E$6:$E$405='Input_Meci'!E31)+('Istoric_Nativ'!$F$6:$F$405='Input_Meci'!E31))&gt;0)*('Istoric_Nativ'!$D$6:$D$405&gt;='Motor_Meciuri'!BP31))&gt;0)*('Istoric_Nativ'!$Q$6:$Q$405&lt;=H360))/AM360)</x:f>
      </x:c>
      <x:c r="S360" s="10" t="str">
        <x:f>IF(M360="","",MAX(O360,P360,Q360,R360))</x:f>
      </x:c>
      <x:c r="T360" s="11" t="str">
        <x:f>IF(M360="","",MIN(100,S360*100*'Config_v6'!$B$44+MIN(100,L360/'Config_v6'!$B$13*100)*'Config_v6'!$B$45+(100-'Motor_Meciuri'!BF31)*'Config_v6'!$B$46+'Motor_Meciuri'!BH31*100*'Config_v6'!$B$47))</x:f>
      </x:c>
      <x:c r="U360" s="2" t="str">
        <x:f>IF(T360="","",IF(T360&lt;=20,1,IF(T360&lt;=40,2,IF(T360&lt;=60,3,IF(T360&lt;=80,4,5)))))</x:f>
      </x:c>
      <x:c r="V360" s="2" t="str">
        <x:f>IF(M360="","",MAX(0,'Motor_Meciuri'!BF31-IF(W360="OOS PENDING",'Config_v6'!$B$35,0)-IF(L360&gt;'Config_v6'!$B$12,'Config_v6'!$B$37,IF(L360&gt;'Config_v6'!$B$11,'Config_v6'!$B$36,0))))</x:f>
      </x:c>
      <x:c r="W360" s="2" t="str">
        <x:f>IF(B360="","",IF(I360&lt;&gt;"READY","NOT RELEASED",IF(NOT(AND(J360="PASS",'Calibrare_Linii'!U10="VALID")),"INVALID",IF(NOT(AND('Calibrare_Linii'!S10="VALIDATED",AND('Calibrare_Linii'!H10=C360,ISNUMBER('Calibrare_Linii'!J10),'Calibrare_Linii'!J10&lt;='Input_Meci'!G31))),"OOS PENDING",IF(S360&lt;='Calibrare_Linii'!E10,"PASS",IF(S360&lt;='Calibrare_Linii'!F10,"PENALTY","WATCH"))))))</x:f>
      </x:c>
      <x:c r="X360" s="2" t="str">
        <x:f>IF(M360="","",IF(AND(AND(J360="PASS",'Calibrare_Linii'!U10="VALID"),'Motor_Meciuri'!K31=12,'Motor_Meciuri'!L31=12,'Motor_Meciuri'!M31="NO",'Motor_Meciuri'!BL31='Motor_Meciuri'!C31,AB360&gt;='Config_v6'!$B$50,AN360&gt;='Config_v6'!$B$51,T360&lt;='Config_v6'!$B$52,L360&lt;='Config_v6'!$B$53,ISNUMBER('Calibrare_Linii'!E10),S360&lt;='Calibrare_Linii'!E10,SUM(AK360:AM360)&gt;0),"CANDIDATE","NO"))</x:f>
      </x:c>
      <x:c r="Y360" s="2" t="str">
        <x:f>IF(B360="","",IF(I360&lt;&gt;"READY","NOT RELEASED",IF(AND(X360="CANDIDATE",V360&gt;='Config_v6'!$B$51,W360="PASS",'Calibrare_Linii'!T10="VALIDATED",AND('Calibrare_Linii'!H10=C360,ISNUMBER('Calibrare_Linii'!J10),'Calibrare_Linii'!J10&lt;='Input_Meci'!G31)),"PASS",IF(X360="CANDIDATE","OOS PENDING","FAIL"))))</x:f>
      </x:c>
      <x:c r="Z360" s="2" t="str">
        <x:f>IF(B360="","",IF(I360&lt;&gt;"READY","",IF(OR(NOT(AND(J360="PASS",'Calibrare_Linii'!U10="VALID")),L360&gt;'Config_v6'!$B$13,W360="WATCH"),5,IF(Y360="PASS",1,MIN(5,MAX('Config_v6'!$B$42,U360)+IF(W360="PENALTY",1,0))))))</x:f>
      </x:c>
      <x:c r="AA360" s="2" t="str">
        <x:f>IF(B360="","",IF(I360&lt;&gt;"READY","NOT RELEASED",IF(Z360=5,"NO BET",IF(OR(AB360&lt;'Config_v6'!$B$16,V360&lt;'Config_v6'!$B$18),"WATCH",IF(Z360=1,"DEFENSIV",IF(Z360=2,"PRUDENT",IF(Z360=3,"MODERAT","RIDICAT")))))))</x:f>
      </x:c>
      <x:c r="AB360" s="10" t="str">
        <x:f>IF(N360="","",MIN(N360,1-S360))</x:f>
      </x:c>
      <x:c r="AC360" s="2" t="str">
        <x:f>IF(AD360&lt;&gt;1,"",COUNTIFS($Z$356:$Z$369,"&lt;"&amp;Z360,$AD$356:$AD$369,1)+COUNTIFS($Z$356:$Z$369,Z360,$AB$356:$AB$369,"&gt;"&amp;AB360,$AD$356:$AD$369,1)+COUNTIFS($Z$356:$Z$369,Z360,$AB$356:$AB$369,AB360,$V$356:$V$369,"&gt;"&amp;V360,$AD$356:$AD$369,1)+COUNTIFS($Z$356:Z360,Z360,$AB$356:AB360,AB360,$V$356:V360,V360,$AD$356:AD360,1))</x:f>
      </x:c>
      <x:c r="AD360" s="2" t="n">
        <x:f>IF(OR(AA360="DEFENSIV",AA360="PRUDENT",AA360="MODERAT",AA360="RIDICAT"),1,0)</x:f>
        <x:v>0</x:v>
      </x:c>
      <x:c r="AE360" s="2" t="str">
        <x:f>IF(AD360&lt;&gt;1,"NO",IF(W360="PASS","YES",IF(W360="OOS PENDING","CONDITIONAL","NO")))</x:f>
        <x:v>NO</x:v>
      </x:c>
      <x:c r="AF360" s="2" t="n">
        <x:f>IF(AND(AD360=1,AC360=1,E360="LIVE"),1,0)</x:f>
        <x:v>0</x:v>
      </x:c>
      <x:c r="AG360" s="2" t="str">
        <x:f>IF(AF360&lt;&gt;1,"",'Dashboard'!P51)</x:f>
      </x:c>
      <x:c r="AH360" s="2" t="str">
        <x:f>IF(B360="","",IF(J360&lt;&gt;"PASS",'Motor_Meciuri'!J31,IF('Calibrare_Linii'!U10&lt;&gt;"VALID","Parametri linie invalizi",IF(L360&gt;'Config_v6'!$B$13,"Dispersie peste limita",IF(W360="WATCH","Failure peste limita",IF(AB360&lt;'Config_v6'!$B$16,"P finala sub prag",IF(V360&lt;'Config_v6'!$B$18,"Confidence sub prag",IF(E360="REPLAY","Exemplu retrospectiv; exclus din Top LIVE",IF(Y360="PASS","DEFENSIV validat",IF(W360="OOS PENDING","Eligibil; calibrare linie in monitorizare","Eligibil"))))))))))</x:f>
      </x:c>
      <x:c r="AI360" s="2" t="str">
        <x:f>IF(B360="","",'Calibrare_Linii'!V10)</x:f>
      </x:c>
      <x:c r="AJ360" s="2" t="str">
        <x:f>IF(B360="","",IF(AND('Calibrare_Linii'!T10="VALIDATED",AND('Calibrare_Linii'!H10=C360,ISNUMBER('Calibrare_Linii'!J10),'Calibrare_Linii'!J10&lt;='Input_Meci'!G31)),"DEFENSIVE VALIDATED",IF(AND('Calibrare_Linii'!S10="VALIDATED",AND('Calibrare_Linii'!H10=C360,ISNUMBER('Calibrare_Linii'!J10),'Calibrare_Linii'!J10&lt;='Input_Meci'!G31)),"TAIL VALIDATED","OOS PENDING")))</x:f>
      </x:c>
      <x:c r="AK360" s="2" t="n">
        <x:f>IF(J360&lt;&gt;"PASS",0,'Motor_Meciuri'!BR31)</x:f>
        <x:v>0</x:v>
      </x:c>
      <x:c r="AL360" s="2" t="n">
        <x:f>IF(J360&lt;&gt;"PASS",0,'Motor_Meciuri'!BS31)</x:f>
        <x:v>0</x:v>
      </x:c>
      <x:c r="AM360" s="2" t="n">
        <x:f>IF(J360&lt;&gt;"PASS",0,'Motor_Meciuri'!BT31)</x:f>
        <x:v>0</x:v>
      </x:c>
      <x:c r="AN360" s="2" t="str">
        <x:f>IF(M360="","",MAX(0,'Motor_Meciuri'!BF31-IF(L360&gt;'Config_v6'!$B$12,'Config_v6'!$B$37,IF(L360&gt;'Config_v6'!$B$11,'Config_v6'!$B$36,0))))</x:f>
      </x:c>
    </x:row>
    <x:row r="361" ht="21" customHeight="1">
      <x:c r="A361" s="2" t="n">
        <x:v>26</x:v>
      </x:c>
      <x:c r="B361" s="2" t="str">
        <x:f>IF('Motor_Meciuri'!A31="","",'Motor_Meciuri'!A31)</x:f>
      </x:c>
      <x:c r="C361" s="2" t="str">
        <x:f>IF(B361="","",'Motor_Meciuri'!B31)</x:f>
      </x:c>
      <x:c r="D361" s="2" t="str">
        <x:f>IF(B361="","",'Motor_Meciuri'!D31)</x:f>
      </x:c>
      <x:c r="E361" s="2" t="str">
        <x:f>IF(B361="","",'Motor_Meciuri'!E31)</x:f>
      </x:c>
      <x:c r="F361" s="2" t="str">
        <x:v>O8,5</x:v>
      </x:c>
      <x:c r="G361" s="2" t="str">
        <x:v>OVER</x:v>
      </x:c>
      <x:c r="H361" s="2" t="n">
        <x:v>8</x:v>
      </x:c>
      <x:c r="I361" s="2" t="str">
        <x:f>IF(B361="","",'Motor_Meciuri'!H31)</x:f>
      </x:c>
      <x:c r="J361" s="2" t="str">
        <x:f>IF(B361="","",'Motor_Meciuri'!I31)</x:f>
      </x:c>
      <x:c r="K361" s="11" t="str">
        <x:f>IF(J361&lt;&gt;"PASS","",'Motor_Meciuri'!BD31)</x:f>
      </x:c>
      <x:c r="L361" s="11" t="str">
        <x:f>IF(J361&lt;&gt;"PASS","",'Motor_Meciuri'!AU31)</x:f>
      </x:c>
      <x:c r="M361" s="10" t="str">
        <x:f>IF(NOT(AND(J361="PASS",'Calibrare_Linii'!U11="VALID")),"",1-'Distributie'!AF31)</x:f>
      </x:c>
      <x:c r="N361" s="10" t="str">
        <x:f>IF(M361="","",MAX(0.01,MIN(0.99,0.5+(M361-0.5)*'Motor_Meciuri'!BG31*'Calibrare_Linii'!D11)))</x:f>
      </x:c>
      <x:c r="O361" s="10" t="str">
        <x:f>IF(M361="","",1-M361)</x:f>
      </x:c>
      <x:c r="P361" s="10" t="str">
        <x:f>IF(OR(NOT(AND(J361="PASS",'Calibrare_Linii'!U11="VALID")),AK361=0),""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*('Istoric_Nativ'!$Q$6:$Q$405&lt;=H361))/AK361)</x:f>
      </x:c>
      <x:c r="Q361" s="10" t="str">
        <x:f>IF(OR(NOT(AND(J361="PASS",'Calibrare_Linii'!U11="VALID")),AL361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M31)+((('Istoric_Nativ'!$E$6:$E$405='Input_Meci'!E31)+('Istoric_Nativ'!$F$6:$F$405='Input_Meci'!E31))&gt;0)*('Istoric_Nativ'!$D$6:$D$405&gt;='Motor_Meciuri'!BN31))&gt;0)*('Istoric_Nativ'!$Q$6:$Q$405&lt;=H361))/AL361)</x:f>
      </x:c>
      <x:c r="R361" s="10" t="str">
        <x:f>IF(OR(NOT(AND(J361="PASS",'Calibrare_Linii'!U11="VALID")),AM361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O31)+((('Istoric_Nativ'!$E$6:$E$405='Input_Meci'!E31)+('Istoric_Nativ'!$F$6:$F$405='Input_Meci'!E31))&gt;0)*('Istoric_Nativ'!$D$6:$D$405&gt;='Motor_Meciuri'!BP31))&gt;0)*('Istoric_Nativ'!$Q$6:$Q$405&lt;=H361))/AM361)</x:f>
      </x:c>
      <x:c r="S361" s="10" t="str">
        <x:f>IF(M361="","",MAX(O361,P361,Q361,R361))</x:f>
      </x:c>
      <x:c r="T361" s="11" t="str">
        <x:f>IF(M361="","",MIN(100,S361*100*'Config_v6'!$B$44+MIN(100,L361/'Config_v6'!$B$13*100)*'Config_v6'!$B$45+(100-'Motor_Meciuri'!BF31)*'Config_v6'!$B$46+'Motor_Meciuri'!BH31*100*'Config_v6'!$B$47))</x:f>
      </x:c>
      <x:c r="U361" s="2" t="str">
        <x:f>IF(T361="","",IF(T361&lt;=20,1,IF(T361&lt;=40,2,IF(T361&lt;=60,3,IF(T361&lt;=80,4,5)))))</x:f>
      </x:c>
      <x:c r="V361" s="2" t="str">
        <x:f>IF(M361="","",MAX(0,'Motor_Meciuri'!BF31-IF(W361="OOS PENDING",'Config_v6'!$B$35,0)-IF(L361&gt;'Config_v6'!$B$12,'Config_v6'!$B$37,IF(L361&gt;'Config_v6'!$B$11,'Config_v6'!$B$36,0))))</x:f>
      </x:c>
      <x:c r="W361" s="2" t="str">
        <x:f>IF(B361="","",IF(I361&lt;&gt;"READY","NOT RELEASED",IF(NOT(AND(J361="PASS",'Calibrare_Linii'!U11="VALID")),"INVALID",IF(NOT(AND('Calibrare_Linii'!S11="VALIDATED",AND('Calibrare_Linii'!H11=C361,ISNUMBER('Calibrare_Linii'!J11),'Calibrare_Linii'!J11&lt;='Input_Meci'!G31))),"OOS PENDING",IF(S361&lt;='Calibrare_Linii'!E11,"PASS",IF(S361&lt;='Calibrare_Linii'!F11,"PENALTY","WATCH"))))))</x:f>
      </x:c>
      <x:c r="X361" s="2" t="str">
        <x:f>IF(M361="","",IF(AND(AND(J361="PASS",'Calibrare_Linii'!U11="VALID"),'Motor_Meciuri'!K31=12,'Motor_Meciuri'!L31=12,'Motor_Meciuri'!M31="NO",'Motor_Meciuri'!BL31='Motor_Meciuri'!C31,AB361&gt;='Config_v6'!$B$50,AN361&gt;='Config_v6'!$B$51,T361&lt;='Config_v6'!$B$52,L361&lt;='Config_v6'!$B$53,ISNUMBER('Calibrare_Linii'!E11),S361&lt;='Calibrare_Linii'!E11,SUM(AK361:AM361)&gt;0),"CANDIDATE","NO"))</x:f>
      </x:c>
      <x:c r="Y361" s="2" t="str">
        <x:f>IF(B361="","",IF(I361&lt;&gt;"READY","NOT RELEASED",IF(AND(X361="CANDIDATE",V361&gt;='Config_v6'!$B$51,W361="PASS",'Calibrare_Linii'!T11="VALIDATED",AND('Calibrare_Linii'!H11=C361,ISNUMBER('Calibrare_Linii'!J11),'Calibrare_Linii'!J11&lt;='Input_Meci'!G31)),"PASS",IF(X361="CANDIDATE","OOS PENDING","FAIL"))))</x:f>
      </x:c>
      <x:c r="Z361" s="2" t="str">
        <x:f>IF(B361="","",IF(I361&lt;&gt;"READY","",IF(OR(NOT(AND(J361="PASS",'Calibrare_Linii'!U11="VALID")),L361&gt;'Config_v6'!$B$13,W361="WATCH"),5,IF(Y361="PASS",1,MIN(5,MAX('Config_v6'!$B$42,U361)+IF(W361="PENALTY",1,0))))))</x:f>
      </x:c>
      <x:c r="AA361" s="2" t="str">
        <x:f>IF(B361="","",IF(I361&lt;&gt;"READY","NOT RELEASED",IF(Z361=5,"NO BET",IF(OR(AB361&lt;'Config_v6'!$B$16,V361&lt;'Config_v6'!$B$18),"WATCH",IF(Z361=1,"DEFENSIV",IF(Z361=2,"PRUDENT",IF(Z361=3,"MODERAT","RIDICAT")))))))</x:f>
      </x:c>
      <x:c r="AB361" s="10" t="str">
        <x:f>IF(N361="","",MIN(N361,1-S361))</x:f>
      </x:c>
      <x:c r="AC361" s="2" t="str">
        <x:f>IF(AD361&lt;&gt;1,"",COUNTIFS($Z$356:$Z$369,"&lt;"&amp;Z361,$AD$356:$AD$369,1)+COUNTIFS($Z$356:$Z$369,Z361,$AB$356:$AB$369,"&gt;"&amp;AB361,$AD$356:$AD$369,1)+COUNTIFS($Z$356:$Z$369,Z361,$AB$356:$AB$369,AB361,$V$356:$V$369,"&gt;"&amp;V361,$AD$356:$AD$369,1)+COUNTIFS($Z$356:Z361,Z361,$AB$356:AB361,AB361,$V$356:V361,V361,$AD$356:AD361,1))</x:f>
      </x:c>
      <x:c r="AD361" s="2" t="n">
        <x:f>IF(OR(AA361="DEFENSIV",AA361="PRUDENT",AA361="MODERAT",AA361="RIDICAT"),1,0)</x:f>
        <x:v>0</x:v>
      </x:c>
      <x:c r="AE361" s="2" t="str">
        <x:f>IF(AD361&lt;&gt;1,"NO",IF(W361="PASS","YES",IF(W361="OOS PENDING","CONDITIONAL","NO")))</x:f>
        <x:v>NO</x:v>
      </x:c>
      <x:c r="AF361" s="2" t="n">
        <x:f>IF(AND(AD361=1,AC361=1,E361="LIVE"),1,0)</x:f>
        <x:v>0</x:v>
      </x:c>
      <x:c r="AG361" s="2" t="str">
        <x:f>IF(AF361&lt;&gt;1,"",'Dashboard'!P51)</x:f>
      </x:c>
      <x:c r="AH361" s="2" t="str">
        <x:f>IF(B361="","",IF(J361&lt;&gt;"PASS",'Motor_Meciuri'!J31,IF('Calibrare_Linii'!U11&lt;&gt;"VALID","Parametri linie invalizi",IF(L361&gt;'Config_v6'!$B$13,"Dispersie peste limita",IF(W361="WATCH","Failure peste limita",IF(AB361&lt;'Config_v6'!$B$16,"P finala sub prag",IF(V361&lt;'Config_v6'!$B$18,"Confidence sub prag",IF(E361="REPLAY","Exemplu retrospectiv; exclus din Top LIVE",IF(Y361="PASS","DEFENSIV validat",IF(W361="OOS PENDING","Eligibil; calibrare linie in monitorizare","Eligibil"))))))))))</x:f>
      </x:c>
      <x:c r="AI361" s="2" t="str">
        <x:f>IF(B361="","",'Calibrare_Linii'!V11)</x:f>
      </x:c>
      <x:c r="AJ361" s="2" t="str">
        <x:f>IF(B361="","",IF(AND('Calibrare_Linii'!T11="VALIDATED",AND('Calibrare_Linii'!H11=C361,ISNUMBER('Calibrare_Linii'!J11),'Calibrare_Linii'!J11&lt;='Input_Meci'!G31)),"DEFENSIVE VALIDATED",IF(AND('Calibrare_Linii'!S11="VALIDATED",AND('Calibrare_Linii'!H11=C361,ISNUMBER('Calibrare_Linii'!J11),'Calibrare_Linii'!J11&lt;='Input_Meci'!G31)),"TAIL VALIDATED","OOS PENDING")))</x:f>
      </x:c>
      <x:c r="AK361" s="2" t="n">
        <x:f>IF(J361&lt;&gt;"PASS",0,'Motor_Meciuri'!BR31)</x:f>
        <x:v>0</x:v>
      </x:c>
      <x:c r="AL361" s="2" t="n">
        <x:f>IF(J361&lt;&gt;"PASS",0,'Motor_Meciuri'!BS31)</x:f>
        <x:v>0</x:v>
      </x:c>
      <x:c r="AM361" s="2" t="n">
        <x:f>IF(J361&lt;&gt;"PASS",0,'Motor_Meciuri'!BT31)</x:f>
        <x:v>0</x:v>
      </x:c>
      <x:c r="AN361" s="2" t="str">
        <x:f>IF(M361="","",MAX(0,'Motor_Meciuri'!BF31-IF(L361&gt;'Config_v6'!$B$12,'Config_v6'!$B$37,IF(L361&gt;'Config_v6'!$B$11,'Config_v6'!$B$36,0))))</x:f>
      </x:c>
    </x:row>
    <x:row r="362" ht="21" customHeight="1">
      <x:c r="A362" s="2" t="n">
        <x:v>26</x:v>
      </x:c>
      <x:c r="B362" s="2" t="str">
        <x:f>IF('Motor_Meciuri'!A31="","",'Motor_Meciuri'!A31)</x:f>
      </x:c>
      <x:c r="C362" s="2" t="str">
        <x:f>IF(B362="","",'Motor_Meciuri'!B31)</x:f>
      </x:c>
      <x:c r="D362" s="2" t="str">
        <x:f>IF(B362="","",'Motor_Meciuri'!D31)</x:f>
      </x:c>
      <x:c r="E362" s="2" t="str">
        <x:f>IF(B362="","",'Motor_Meciuri'!E31)</x:f>
      </x:c>
      <x:c r="F362" s="2" t="str">
        <x:v>U10,5</x:v>
      </x:c>
      <x:c r="G362" s="2" t="str">
        <x:v>UNDER</x:v>
      </x:c>
      <x:c r="H362" s="2" t="n">
        <x:v>10</x:v>
      </x:c>
      <x:c r="I362" s="2" t="str">
        <x:f>IF(B362="","",'Motor_Meciuri'!H31)</x:f>
      </x:c>
      <x:c r="J362" s="2" t="str">
        <x:f>IF(B362="","",'Motor_Meciuri'!I31)</x:f>
      </x:c>
      <x:c r="K362" s="11" t="str">
        <x:f>IF(J362&lt;&gt;"PASS","",'Motor_Meciuri'!BD31)</x:f>
      </x:c>
      <x:c r="L362" s="11" t="str">
        <x:f>IF(J362&lt;&gt;"PASS","",'Motor_Meciuri'!AU31)</x:f>
      </x:c>
      <x:c r="M362" s="10" t="str">
        <x:f>IF(NOT(AND(J362="PASS",'Calibrare_Linii'!U12="VALID")),"",'Distributie'!AH31)</x:f>
      </x:c>
      <x:c r="N362" s="10" t="str">
        <x:f>IF(M362="","",MAX(0.01,MIN(0.99,0.5+(M362-0.5)*'Motor_Meciuri'!BG31*'Calibrare_Linii'!D12)))</x:f>
      </x:c>
      <x:c r="O362" s="10" t="str">
        <x:f>IF(M362="","",1-M362)</x:f>
      </x:c>
      <x:c r="P362" s="10" t="str">
        <x:f>IF(OR(NOT(AND(J362="PASS",'Calibrare_Linii'!U12="VALID")),AK362=0),""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*('Istoric_Nativ'!$Q$6:$Q$405&gt;H362))/AK362)</x:f>
      </x:c>
      <x:c r="Q362" s="10" t="str">
        <x:f>IF(OR(NOT(AND(J362="PASS",'Calibrare_Linii'!U12="VALID")),AL362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M31)+((('Istoric_Nativ'!$E$6:$E$405='Input_Meci'!E31)+('Istoric_Nativ'!$F$6:$F$405='Input_Meci'!E31))&gt;0)*('Istoric_Nativ'!$D$6:$D$405&gt;='Motor_Meciuri'!BN31))&gt;0)*('Istoric_Nativ'!$Q$6:$Q$405&gt;H362))/AL362)</x:f>
      </x:c>
      <x:c r="R362" s="10" t="str">
        <x:f>IF(OR(NOT(AND(J362="PASS",'Calibrare_Linii'!U12="VALID")),AM362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O31)+((('Istoric_Nativ'!$E$6:$E$405='Input_Meci'!E31)+('Istoric_Nativ'!$F$6:$F$405='Input_Meci'!E31))&gt;0)*('Istoric_Nativ'!$D$6:$D$405&gt;='Motor_Meciuri'!BP31))&gt;0)*('Istoric_Nativ'!$Q$6:$Q$405&gt;H362))/AM362)</x:f>
      </x:c>
      <x:c r="S362" s="10" t="str">
        <x:f>IF(M362="","",MAX(O362,P362,Q362,R362))</x:f>
      </x:c>
      <x:c r="T362" s="11" t="str">
        <x:f>IF(M362="","",MIN(100,S362*100*'Config_v6'!$B$44+MIN(100,L362/'Config_v6'!$B$13*100)*'Config_v6'!$B$45+(100-'Motor_Meciuri'!BF31)*'Config_v6'!$B$46+'Motor_Meciuri'!BH31*100*'Config_v6'!$B$47))</x:f>
      </x:c>
      <x:c r="U362" s="2" t="str">
        <x:f>IF(T362="","",IF(T362&lt;=20,1,IF(T362&lt;=40,2,IF(T362&lt;=60,3,IF(T362&lt;=80,4,5)))))</x:f>
      </x:c>
      <x:c r="V362" s="2" t="str">
        <x:f>IF(M362="","",MAX(0,'Motor_Meciuri'!BF31-IF(W362="OOS PENDING",'Config_v6'!$B$35,0)-IF(L362&gt;'Config_v6'!$B$12,'Config_v6'!$B$37,IF(L362&gt;'Config_v6'!$B$11,'Config_v6'!$B$36,0))))</x:f>
      </x:c>
      <x:c r="W362" s="2" t="str">
        <x:f>IF(B362="","",IF(I362&lt;&gt;"READY","NOT RELEASED",IF(NOT(AND(J362="PASS",'Calibrare_Linii'!U12="VALID")),"INVALID",IF(NOT(AND('Calibrare_Linii'!S12="VALIDATED",AND('Calibrare_Linii'!H12=C362,ISNUMBER('Calibrare_Linii'!J12),'Calibrare_Linii'!J12&lt;='Input_Meci'!G31))),"OOS PENDING",IF(S362&lt;='Calibrare_Linii'!E12,"PASS",IF(S362&lt;='Calibrare_Linii'!F12,"PENALTY","WATCH"))))))</x:f>
      </x:c>
      <x:c r="X362" s="2" t="str">
        <x:f>IF(M362="","",IF(AND(AND(J362="PASS",'Calibrare_Linii'!U12="VALID"),'Motor_Meciuri'!K31=12,'Motor_Meciuri'!L31=12,'Motor_Meciuri'!M31="NO",'Motor_Meciuri'!BL31='Motor_Meciuri'!C31,AB362&gt;='Config_v6'!$B$50,AN362&gt;='Config_v6'!$B$51,T362&lt;='Config_v6'!$B$52,L362&lt;='Config_v6'!$B$53,ISNUMBER('Calibrare_Linii'!E12),S362&lt;='Calibrare_Linii'!E12,SUM(AK362:AM362)&gt;0),"CANDIDATE","NO"))</x:f>
      </x:c>
      <x:c r="Y362" s="2" t="str">
        <x:f>IF(B362="","",IF(I362&lt;&gt;"READY","NOT RELEASED",IF(AND(X362="CANDIDATE",V362&gt;='Config_v6'!$B$51,W362="PASS",'Calibrare_Linii'!T12="VALIDATED",AND('Calibrare_Linii'!H12=C362,ISNUMBER('Calibrare_Linii'!J12),'Calibrare_Linii'!J12&lt;='Input_Meci'!G31)),"PASS",IF(X362="CANDIDATE","OOS PENDING","FAIL"))))</x:f>
      </x:c>
      <x:c r="Z362" s="2" t="str">
        <x:f>IF(B362="","",IF(I362&lt;&gt;"READY","",IF(OR(NOT(AND(J362="PASS",'Calibrare_Linii'!U12="VALID")),L362&gt;'Config_v6'!$B$13,W362="WATCH"),5,IF(Y362="PASS",1,MIN(5,MAX('Config_v6'!$B$42,U362)+IF(W362="PENALTY",1,0))))))</x:f>
      </x:c>
      <x:c r="AA362" s="2" t="str">
        <x:f>IF(B362="","",IF(I362&lt;&gt;"READY","NOT RELEASED",IF(Z362=5,"NO BET",IF(OR(AB362&lt;'Config_v6'!$B$16,V362&lt;'Config_v6'!$B$18),"WATCH",IF(Z362=1,"DEFENSIV",IF(Z362=2,"PRUDENT",IF(Z362=3,"MODERAT","RIDICAT")))))))</x:f>
      </x:c>
      <x:c r="AB362" s="10" t="str">
        <x:f>IF(N362="","",MIN(N362,1-S362))</x:f>
      </x:c>
      <x:c r="AC362" s="2" t="str">
        <x:f>IF(AD362&lt;&gt;1,"",COUNTIFS($Z$356:$Z$369,"&lt;"&amp;Z362,$AD$356:$AD$369,1)+COUNTIFS($Z$356:$Z$369,Z362,$AB$356:$AB$369,"&gt;"&amp;AB362,$AD$356:$AD$369,1)+COUNTIFS($Z$356:$Z$369,Z362,$AB$356:$AB$369,AB362,$V$356:$V$369,"&gt;"&amp;V362,$AD$356:$AD$369,1)+COUNTIFS($Z$356:Z362,Z362,$AB$356:AB362,AB362,$V$356:V362,V362,$AD$356:AD362,1))</x:f>
      </x:c>
      <x:c r="AD362" s="2" t="n">
        <x:f>IF(OR(AA362="DEFENSIV",AA362="PRUDENT",AA362="MODERAT",AA362="RIDICAT"),1,0)</x:f>
        <x:v>0</x:v>
      </x:c>
      <x:c r="AE362" s="2" t="str">
        <x:f>IF(AD362&lt;&gt;1,"NO",IF(W362="PASS","YES",IF(W362="OOS PENDING","CONDITIONAL","NO")))</x:f>
        <x:v>NO</x:v>
      </x:c>
      <x:c r="AF362" s="2" t="n">
        <x:f>IF(AND(AD362=1,AC362=1,E362="LIVE"),1,0)</x:f>
        <x:v>0</x:v>
      </x:c>
      <x:c r="AG362" s="2" t="str">
        <x:f>IF(AF362&lt;&gt;1,"",'Dashboard'!P51)</x:f>
      </x:c>
      <x:c r="AH362" s="2" t="str">
        <x:f>IF(B362="","",IF(J362&lt;&gt;"PASS",'Motor_Meciuri'!J31,IF('Calibrare_Linii'!U12&lt;&gt;"VALID","Parametri linie invalizi",IF(L362&gt;'Config_v6'!$B$13,"Dispersie peste limita",IF(W362="WATCH","Failure peste limita",IF(AB362&lt;'Config_v6'!$B$16,"P finala sub prag",IF(V362&lt;'Config_v6'!$B$18,"Confidence sub prag",IF(E362="REPLAY","Exemplu retrospectiv; exclus din Top LIVE",IF(Y362="PASS","DEFENSIV validat",IF(W362="OOS PENDING","Eligibil; calibrare linie in monitorizare","Eligibil"))))))))))</x:f>
      </x:c>
      <x:c r="AI362" s="2" t="str">
        <x:f>IF(B362="","",'Calibrare_Linii'!V12)</x:f>
      </x:c>
      <x:c r="AJ362" s="2" t="str">
        <x:f>IF(B362="","",IF(AND('Calibrare_Linii'!T12="VALIDATED",AND('Calibrare_Linii'!H12=C362,ISNUMBER('Calibrare_Linii'!J12),'Calibrare_Linii'!J12&lt;='Input_Meci'!G31)),"DEFENSIVE VALIDATED",IF(AND('Calibrare_Linii'!S12="VALIDATED",AND('Calibrare_Linii'!H12=C362,ISNUMBER('Calibrare_Linii'!J12),'Calibrare_Linii'!J12&lt;='Input_Meci'!G31)),"TAIL VALIDATED","OOS PENDING")))</x:f>
      </x:c>
      <x:c r="AK362" s="2" t="n">
        <x:f>IF(J362&lt;&gt;"PASS",0,'Motor_Meciuri'!BR31)</x:f>
        <x:v>0</x:v>
      </x:c>
      <x:c r="AL362" s="2" t="n">
        <x:f>IF(J362&lt;&gt;"PASS",0,'Motor_Meciuri'!BS31)</x:f>
        <x:v>0</x:v>
      </x:c>
      <x:c r="AM362" s="2" t="n">
        <x:f>IF(J362&lt;&gt;"PASS",0,'Motor_Meciuri'!BT31)</x:f>
        <x:v>0</x:v>
      </x:c>
      <x:c r="AN362" s="2" t="str">
        <x:f>IF(M362="","",MAX(0,'Motor_Meciuri'!BF31-IF(L362&gt;'Config_v6'!$B$12,'Config_v6'!$B$37,IF(L362&gt;'Config_v6'!$B$11,'Config_v6'!$B$36,0))))</x:f>
      </x:c>
    </x:row>
    <x:row r="363" ht="21" customHeight="1">
      <x:c r="A363" s="2" t="n">
        <x:v>26</x:v>
      </x:c>
      <x:c r="B363" s="2" t="str">
        <x:f>IF('Motor_Meciuri'!A31="","",'Motor_Meciuri'!A31)</x:f>
      </x:c>
      <x:c r="C363" s="2" t="str">
        <x:f>IF(B363="","",'Motor_Meciuri'!B31)</x:f>
      </x:c>
      <x:c r="D363" s="2" t="str">
        <x:f>IF(B363="","",'Motor_Meciuri'!D31)</x:f>
      </x:c>
      <x:c r="E363" s="2" t="str">
        <x:f>IF(B363="","",'Motor_Meciuri'!E31)</x:f>
      </x:c>
      <x:c r="F363" s="2" t="str">
        <x:v>U11,5</x:v>
      </x:c>
      <x:c r="G363" s="2" t="str">
        <x:v>UNDER</x:v>
      </x:c>
      <x:c r="H363" s="2" t="n">
        <x:v>11</x:v>
      </x:c>
      <x:c r="I363" s="2" t="str">
        <x:f>IF(B363="","",'Motor_Meciuri'!H31)</x:f>
      </x:c>
      <x:c r="J363" s="2" t="str">
        <x:f>IF(B363="","",'Motor_Meciuri'!I31)</x:f>
      </x:c>
      <x:c r="K363" s="11" t="str">
        <x:f>IF(J363&lt;&gt;"PASS","",'Motor_Meciuri'!BD31)</x:f>
      </x:c>
      <x:c r="L363" s="11" t="str">
        <x:f>IF(J363&lt;&gt;"PASS","",'Motor_Meciuri'!AU31)</x:f>
      </x:c>
      <x:c r="M363" s="10" t="str">
        <x:f>IF(NOT(AND(J363="PASS",'Calibrare_Linii'!U13="VALID")),"",'Distributie'!AI31)</x:f>
      </x:c>
      <x:c r="N363" s="10" t="str">
        <x:f>IF(M363="","",MAX(0.01,MIN(0.99,0.5+(M363-0.5)*'Motor_Meciuri'!BG31*'Calibrare_Linii'!D13)))</x:f>
      </x:c>
      <x:c r="O363" s="10" t="str">
        <x:f>IF(M363="","",1-M363)</x:f>
      </x:c>
      <x:c r="P363" s="10" t="str">
        <x:f>IF(OR(NOT(AND(J363="PASS",'Calibrare_Linii'!U13="VALID")),AK363=0),""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*('Istoric_Nativ'!$Q$6:$Q$405&gt;H363))/AK363)</x:f>
      </x:c>
      <x:c r="Q363" s="10" t="str">
        <x:f>IF(OR(NOT(AND(J363="PASS",'Calibrare_Linii'!U13="VALID")),AL363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M31)+((('Istoric_Nativ'!$E$6:$E$405='Input_Meci'!E31)+('Istoric_Nativ'!$F$6:$F$405='Input_Meci'!E31))&gt;0)*('Istoric_Nativ'!$D$6:$D$405&gt;='Motor_Meciuri'!BN31))&gt;0)*('Istoric_Nativ'!$Q$6:$Q$405&gt;H363))/AL363)</x:f>
      </x:c>
      <x:c r="R363" s="10" t="str">
        <x:f>IF(OR(NOT(AND(J363="PASS",'Calibrare_Linii'!U13="VALID")),AM363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O31)+((('Istoric_Nativ'!$E$6:$E$405='Input_Meci'!E31)+('Istoric_Nativ'!$F$6:$F$405='Input_Meci'!E31))&gt;0)*('Istoric_Nativ'!$D$6:$D$405&gt;='Motor_Meciuri'!BP31))&gt;0)*('Istoric_Nativ'!$Q$6:$Q$405&gt;H363))/AM363)</x:f>
      </x:c>
      <x:c r="S363" s="10" t="str">
        <x:f>IF(M363="","",MAX(O363,P363,Q363,R363))</x:f>
      </x:c>
      <x:c r="T363" s="11" t="str">
        <x:f>IF(M363="","",MIN(100,S363*100*'Config_v6'!$B$44+MIN(100,L363/'Config_v6'!$B$13*100)*'Config_v6'!$B$45+(100-'Motor_Meciuri'!BF31)*'Config_v6'!$B$46+'Motor_Meciuri'!BH31*100*'Config_v6'!$B$47))</x:f>
      </x:c>
      <x:c r="U363" s="2" t="str">
        <x:f>IF(T363="","",IF(T363&lt;=20,1,IF(T363&lt;=40,2,IF(T363&lt;=60,3,IF(T363&lt;=80,4,5)))))</x:f>
      </x:c>
      <x:c r="V363" s="2" t="str">
        <x:f>IF(M363="","",MAX(0,'Motor_Meciuri'!BF31-IF(W363="OOS PENDING",'Config_v6'!$B$35,0)-IF(L363&gt;'Config_v6'!$B$12,'Config_v6'!$B$37,IF(L363&gt;'Config_v6'!$B$11,'Config_v6'!$B$36,0))))</x:f>
      </x:c>
      <x:c r="W363" s="2" t="str">
        <x:f>IF(B363="","",IF(I363&lt;&gt;"READY","NOT RELEASED",IF(NOT(AND(J363="PASS",'Calibrare_Linii'!U13="VALID")),"INVALID",IF(NOT(AND('Calibrare_Linii'!S13="VALIDATED",AND('Calibrare_Linii'!H13=C363,ISNUMBER('Calibrare_Linii'!J13),'Calibrare_Linii'!J13&lt;='Input_Meci'!G31))),"OOS PENDING",IF(S363&lt;='Calibrare_Linii'!E13,"PASS",IF(S363&lt;='Calibrare_Linii'!F13,"PENALTY","WATCH"))))))</x:f>
      </x:c>
      <x:c r="X363" s="2" t="str">
        <x:f>IF(M363="","",IF(AND(AND(J363="PASS",'Calibrare_Linii'!U13="VALID"),'Motor_Meciuri'!K31=12,'Motor_Meciuri'!L31=12,'Motor_Meciuri'!M31="NO",'Motor_Meciuri'!BL31='Motor_Meciuri'!C31,AB363&gt;='Config_v6'!$B$50,AN363&gt;='Config_v6'!$B$51,T363&lt;='Config_v6'!$B$52,L363&lt;='Config_v6'!$B$53,ISNUMBER('Calibrare_Linii'!E13),S363&lt;='Calibrare_Linii'!E13,SUM(AK363:AM363)&gt;0),"CANDIDATE","NO"))</x:f>
      </x:c>
      <x:c r="Y363" s="2" t="str">
        <x:f>IF(B363="","",IF(I363&lt;&gt;"READY","NOT RELEASED",IF(AND(X363="CANDIDATE",V363&gt;='Config_v6'!$B$51,W363="PASS",'Calibrare_Linii'!T13="VALIDATED",AND('Calibrare_Linii'!H13=C363,ISNUMBER('Calibrare_Linii'!J13),'Calibrare_Linii'!J13&lt;='Input_Meci'!G31)),"PASS",IF(X363="CANDIDATE","OOS PENDING","FAIL"))))</x:f>
      </x:c>
      <x:c r="Z363" s="2" t="str">
        <x:f>IF(B363="","",IF(I363&lt;&gt;"READY","",IF(OR(NOT(AND(J363="PASS",'Calibrare_Linii'!U13="VALID")),L363&gt;'Config_v6'!$B$13,W363="WATCH"),5,IF(Y363="PASS",1,MIN(5,MAX('Config_v6'!$B$42,U363)+IF(W363="PENALTY",1,0))))))</x:f>
      </x:c>
      <x:c r="AA363" s="2" t="str">
        <x:f>IF(B363="","",IF(I363&lt;&gt;"READY","NOT RELEASED",IF(Z363=5,"NO BET",IF(OR(AB363&lt;'Config_v6'!$B$16,V363&lt;'Config_v6'!$B$18),"WATCH",IF(Z363=1,"DEFENSIV",IF(Z363=2,"PRUDENT",IF(Z363=3,"MODERAT","RIDICAT")))))))</x:f>
      </x:c>
      <x:c r="AB363" s="10" t="str">
        <x:f>IF(N363="","",MIN(N363,1-S363))</x:f>
      </x:c>
      <x:c r="AC363" s="2" t="str">
        <x:f>IF(AD363&lt;&gt;1,"",COUNTIFS($Z$356:$Z$369,"&lt;"&amp;Z363,$AD$356:$AD$369,1)+COUNTIFS($Z$356:$Z$369,Z363,$AB$356:$AB$369,"&gt;"&amp;AB363,$AD$356:$AD$369,1)+COUNTIFS($Z$356:$Z$369,Z363,$AB$356:$AB$369,AB363,$V$356:$V$369,"&gt;"&amp;V363,$AD$356:$AD$369,1)+COUNTIFS($Z$356:Z363,Z363,$AB$356:AB363,AB363,$V$356:V363,V363,$AD$356:AD363,1))</x:f>
      </x:c>
      <x:c r="AD363" s="2" t="n">
        <x:f>IF(OR(AA363="DEFENSIV",AA363="PRUDENT",AA363="MODERAT",AA363="RIDICAT"),1,0)</x:f>
        <x:v>0</x:v>
      </x:c>
      <x:c r="AE363" s="2" t="str">
        <x:f>IF(AD363&lt;&gt;1,"NO",IF(W363="PASS","YES",IF(W363="OOS PENDING","CONDITIONAL","NO")))</x:f>
        <x:v>NO</x:v>
      </x:c>
      <x:c r="AF363" s="2" t="n">
        <x:f>IF(AND(AD363=1,AC363=1,E363="LIVE"),1,0)</x:f>
        <x:v>0</x:v>
      </x:c>
      <x:c r="AG363" s="2" t="str">
        <x:f>IF(AF363&lt;&gt;1,"",'Dashboard'!P51)</x:f>
      </x:c>
      <x:c r="AH363" s="2" t="str">
        <x:f>IF(B363="","",IF(J363&lt;&gt;"PASS",'Motor_Meciuri'!J31,IF('Calibrare_Linii'!U13&lt;&gt;"VALID","Parametri linie invalizi",IF(L363&gt;'Config_v6'!$B$13,"Dispersie peste limita",IF(W363="WATCH","Failure peste limita",IF(AB363&lt;'Config_v6'!$B$16,"P finala sub prag",IF(V363&lt;'Config_v6'!$B$18,"Confidence sub prag",IF(E363="REPLAY","Exemplu retrospectiv; exclus din Top LIVE",IF(Y363="PASS","DEFENSIV validat",IF(W363="OOS PENDING","Eligibil; calibrare linie in monitorizare","Eligibil"))))))))))</x:f>
      </x:c>
      <x:c r="AI363" s="2" t="str">
        <x:f>IF(B363="","",'Calibrare_Linii'!V13)</x:f>
      </x:c>
      <x:c r="AJ363" s="2" t="str">
        <x:f>IF(B363="","",IF(AND('Calibrare_Linii'!T13="VALIDATED",AND('Calibrare_Linii'!H13=C363,ISNUMBER('Calibrare_Linii'!J13),'Calibrare_Linii'!J13&lt;='Input_Meci'!G31)),"DEFENSIVE VALIDATED",IF(AND('Calibrare_Linii'!S13="VALIDATED",AND('Calibrare_Linii'!H13=C363,ISNUMBER('Calibrare_Linii'!J13),'Calibrare_Linii'!J13&lt;='Input_Meci'!G31)),"TAIL VALIDATED","OOS PENDING")))</x:f>
      </x:c>
      <x:c r="AK363" s="2" t="n">
        <x:f>IF(J363&lt;&gt;"PASS",0,'Motor_Meciuri'!BR31)</x:f>
        <x:v>0</x:v>
      </x:c>
      <x:c r="AL363" s="2" t="n">
        <x:f>IF(J363&lt;&gt;"PASS",0,'Motor_Meciuri'!BS31)</x:f>
        <x:v>0</x:v>
      </x:c>
      <x:c r="AM363" s="2" t="n">
        <x:f>IF(J363&lt;&gt;"PASS",0,'Motor_Meciuri'!BT31)</x:f>
        <x:v>0</x:v>
      </x:c>
      <x:c r="AN363" s="2" t="str">
        <x:f>IF(M363="","",MAX(0,'Motor_Meciuri'!BF31-IF(L363&gt;'Config_v6'!$B$12,'Config_v6'!$B$37,IF(L363&gt;'Config_v6'!$B$11,'Config_v6'!$B$36,0))))</x:f>
      </x:c>
    </x:row>
    <x:row r="364" ht="21" customHeight="1">
      <x:c r="A364" s="2" t="n">
        <x:v>26</x:v>
      </x:c>
      <x:c r="B364" s="2" t="str">
        <x:f>IF('Motor_Meciuri'!A31="","",'Motor_Meciuri'!A31)</x:f>
      </x:c>
      <x:c r="C364" s="2" t="str">
        <x:f>IF(B364="","",'Motor_Meciuri'!B31)</x:f>
      </x:c>
      <x:c r="D364" s="2" t="str">
        <x:f>IF(B364="","",'Motor_Meciuri'!D31)</x:f>
      </x:c>
      <x:c r="E364" s="2" t="str">
        <x:f>IF(B364="","",'Motor_Meciuri'!E31)</x:f>
      </x:c>
      <x:c r="F364" s="2" t="str">
        <x:v>U12,5</x:v>
      </x:c>
      <x:c r="G364" s="2" t="str">
        <x:v>UNDER</x:v>
      </x:c>
      <x:c r="H364" s="2" t="n">
        <x:v>12</x:v>
      </x:c>
      <x:c r="I364" s="2" t="str">
        <x:f>IF(B364="","",'Motor_Meciuri'!H31)</x:f>
      </x:c>
      <x:c r="J364" s="2" t="str">
        <x:f>IF(B364="","",'Motor_Meciuri'!I31)</x:f>
      </x:c>
      <x:c r="K364" s="11" t="str">
        <x:f>IF(J364&lt;&gt;"PASS","",'Motor_Meciuri'!BD31)</x:f>
      </x:c>
      <x:c r="L364" s="11" t="str">
        <x:f>IF(J364&lt;&gt;"PASS","",'Motor_Meciuri'!AU31)</x:f>
      </x:c>
      <x:c r="M364" s="10" t="str">
        <x:f>IF(NOT(AND(J364="PASS",'Calibrare_Linii'!U14="VALID")),"",'Distributie'!AJ31)</x:f>
      </x:c>
      <x:c r="N364" s="10" t="str">
        <x:f>IF(M364="","",MAX(0.01,MIN(0.99,0.5+(M364-0.5)*'Motor_Meciuri'!BG31*'Calibrare_Linii'!D14)))</x:f>
      </x:c>
      <x:c r="O364" s="10" t="str">
        <x:f>IF(M364="","",1-M364)</x:f>
      </x:c>
      <x:c r="P364" s="10" t="str">
        <x:f>IF(OR(NOT(AND(J364="PASS",'Calibrare_Linii'!U14="VALID")),AK364=0),""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*('Istoric_Nativ'!$Q$6:$Q$405&gt;H364))/AK364)</x:f>
      </x:c>
      <x:c r="Q364" s="10" t="str">
        <x:f>IF(OR(NOT(AND(J364="PASS",'Calibrare_Linii'!U14="VALID")),AL364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M31)+((('Istoric_Nativ'!$E$6:$E$405='Input_Meci'!E31)+('Istoric_Nativ'!$F$6:$F$405='Input_Meci'!E31))&gt;0)*('Istoric_Nativ'!$D$6:$D$405&gt;='Motor_Meciuri'!BN31))&gt;0)*('Istoric_Nativ'!$Q$6:$Q$405&gt;H364))/AL364)</x:f>
      </x:c>
      <x:c r="R364" s="10" t="str">
        <x:f>IF(OR(NOT(AND(J364="PASS",'Calibrare_Linii'!U14="VALID")),AM364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O31)+((('Istoric_Nativ'!$E$6:$E$405='Input_Meci'!E31)+('Istoric_Nativ'!$F$6:$F$405='Input_Meci'!E31))&gt;0)*('Istoric_Nativ'!$D$6:$D$405&gt;='Motor_Meciuri'!BP31))&gt;0)*('Istoric_Nativ'!$Q$6:$Q$405&gt;H364))/AM364)</x:f>
      </x:c>
      <x:c r="S364" s="10" t="str">
        <x:f>IF(M364="","",MAX(O364,P364,Q364,R364))</x:f>
      </x:c>
      <x:c r="T364" s="11" t="str">
        <x:f>IF(M364="","",MIN(100,S364*100*'Config_v6'!$B$44+MIN(100,L364/'Config_v6'!$B$13*100)*'Config_v6'!$B$45+(100-'Motor_Meciuri'!BF31)*'Config_v6'!$B$46+'Motor_Meciuri'!BH31*100*'Config_v6'!$B$47))</x:f>
      </x:c>
      <x:c r="U364" s="2" t="str">
        <x:f>IF(T364="","",IF(T364&lt;=20,1,IF(T364&lt;=40,2,IF(T364&lt;=60,3,IF(T364&lt;=80,4,5)))))</x:f>
      </x:c>
      <x:c r="V364" s="2" t="str">
        <x:f>IF(M364="","",MAX(0,'Motor_Meciuri'!BF31-IF(W364="OOS PENDING",'Config_v6'!$B$35,0)-IF(L364&gt;'Config_v6'!$B$12,'Config_v6'!$B$37,IF(L364&gt;'Config_v6'!$B$11,'Config_v6'!$B$36,0))))</x:f>
      </x:c>
      <x:c r="W364" s="2" t="str">
        <x:f>IF(B364="","",IF(I364&lt;&gt;"READY","NOT RELEASED",IF(NOT(AND(J364="PASS",'Calibrare_Linii'!U14="VALID")),"INVALID",IF(NOT(AND('Calibrare_Linii'!S14="VALIDATED",AND('Calibrare_Linii'!H14=C364,ISNUMBER('Calibrare_Linii'!J14),'Calibrare_Linii'!J14&lt;='Input_Meci'!G31))),"OOS PENDING",IF(S364&lt;='Calibrare_Linii'!E14,"PASS",IF(S364&lt;='Calibrare_Linii'!F14,"PENALTY","WATCH"))))))</x:f>
      </x:c>
      <x:c r="X364" s="2" t="str">
        <x:f>IF(M364="","",IF(AND(AND(J364="PASS",'Calibrare_Linii'!U14="VALID"),'Motor_Meciuri'!K31=12,'Motor_Meciuri'!L31=12,'Motor_Meciuri'!M31="NO",'Motor_Meciuri'!BL31='Motor_Meciuri'!C31,AB364&gt;='Config_v6'!$B$50,AN364&gt;='Config_v6'!$B$51,T364&lt;='Config_v6'!$B$52,L364&lt;='Config_v6'!$B$53,ISNUMBER('Calibrare_Linii'!E14),S364&lt;='Calibrare_Linii'!E14,SUM(AK364:AM364)&gt;0),"CANDIDATE","NO"))</x:f>
      </x:c>
      <x:c r="Y364" s="2" t="str">
        <x:f>IF(B364="","",IF(I364&lt;&gt;"READY","NOT RELEASED",IF(AND(X364="CANDIDATE",V364&gt;='Config_v6'!$B$51,W364="PASS",'Calibrare_Linii'!T14="VALIDATED",AND('Calibrare_Linii'!H14=C364,ISNUMBER('Calibrare_Linii'!J14),'Calibrare_Linii'!J14&lt;='Input_Meci'!G31)),"PASS",IF(X364="CANDIDATE","OOS PENDING","FAIL"))))</x:f>
      </x:c>
      <x:c r="Z364" s="2" t="str">
        <x:f>IF(B364="","",IF(I364&lt;&gt;"READY","",IF(OR(NOT(AND(J364="PASS",'Calibrare_Linii'!U14="VALID")),L364&gt;'Config_v6'!$B$13,W364="WATCH"),5,IF(Y364="PASS",1,MIN(5,MAX('Config_v6'!$B$42,U364)+IF(W364="PENALTY",1,0))))))</x:f>
      </x:c>
      <x:c r="AA364" s="2" t="str">
        <x:f>IF(B364="","",IF(I364&lt;&gt;"READY","NOT RELEASED",IF(Z364=5,"NO BET",IF(OR(AB364&lt;'Config_v6'!$B$16,V364&lt;'Config_v6'!$B$18),"WATCH",IF(Z364=1,"DEFENSIV",IF(Z364=2,"PRUDENT",IF(Z364=3,"MODERAT","RIDICAT")))))))</x:f>
      </x:c>
      <x:c r="AB364" s="10" t="str">
        <x:f>IF(N364="","",MIN(N364,1-S364))</x:f>
      </x:c>
      <x:c r="AC364" s="2" t="str">
        <x:f>IF(AD364&lt;&gt;1,"",COUNTIFS($Z$356:$Z$369,"&lt;"&amp;Z364,$AD$356:$AD$369,1)+COUNTIFS($Z$356:$Z$369,Z364,$AB$356:$AB$369,"&gt;"&amp;AB364,$AD$356:$AD$369,1)+COUNTIFS($Z$356:$Z$369,Z364,$AB$356:$AB$369,AB364,$V$356:$V$369,"&gt;"&amp;V364,$AD$356:$AD$369,1)+COUNTIFS($Z$356:Z364,Z364,$AB$356:AB364,AB364,$V$356:V364,V364,$AD$356:AD364,1))</x:f>
      </x:c>
      <x:c r="AD364" s="2" t="n">
        <x:f>IF(OR(AA364="DEFENSIV",AA364="PRUDENT",AA364="MODERAT",AA364="RIDICAT"),1,0)</x:f>
        <x:v>0</x:v>
      </x:c>
      <x:c r="AE364" s="2" t="str">
        <x:f>IF(AD364&lt;&gt;1,"NO",IF(W364="PASS","YES",IF(W364="OOS PENDING","CONDITIONAL","NO")))</x:f>
        <x:v>NO</x:v>
      </x:c>
      <x:c r="AF364" s="2" t="n">
        <x:f>IF(AND(AD364=1,AC364=1,E364="LIVE"),1,0)</x:f>
        <x:v>0</x:v>
      </x:c>
      <x:c r="AG364" s="2" t="str">
        <x:f>IF(AF364&lt;&gt;1,"",'Dashboard'!P51)</x:f>
      </x:c>
      <x:c r="AH364" s="2" t="str">
        <x:f>IF(B364="","",IF(J364&lt;&gt;"PASS",'Motor_Meciuri'!J31,IF('Calibrare_Linii'!U14&lt;&gt;"VALID","Parametri linie invalizi",IF(L364&gt;'Config_v6'!$B$13,"Dispersie peste limita",IF(W364="WATCH","Failure peste limita",IF(AB364&lt;'Config_v6'!$B$16,"P finala sub prag",IF(V364&lt;'Config_v6'!$B$18,"Confidence sub prag",IF(E364="REPLAY","Exemplu retrospectiv; exclus din Top LIVE",IF(Y364="PASS","DEFENSIV validat",IF(W364="OOS PENDING","Eligibil; calibrare linie in monitorizare","Eligibil"))))))))))</x:f>
      </x:c>
      <x:c r="AI364" s="2" t="str">
        <x:f>IF(B364="","",'Calibrare_Linii'!V14)</x:f>
      </x:c>
      <x:c r="AJ364" s="2" t="str">
        <x:f>IF(B364="","",IF(AND('Calibrare_Linii'!T14="VALIDATED",AND('Calibrare_Linii'!H14=C364,ISNUMBER('Calibrare_Linii'!J14),'Calibrare_Linii'!J14&lt;='Input_Meci'!G31)),"DEFENSIVE VALIDATED",IF(AND('Calibrare_Linii'!S14="VALIDATED",AND('Calibrare_Linii'!H14=C364,ISNUMBER('Calibrare_Linii'!J14),'Calibrare_Linii'!J14&lt;='Input_Meci'!G31)),"TAIL VALIDATED","OOS PENDING")))</x:f>
      </x:c>
      <x:c r="AK364" s="2" t="n">
        <x:f>IF(J364&lt;&gt;"PASS",0,'Motor_Meciuri'!BR31)</x:f>
        <x:v>0</x:v>
      </x:c>
      <x:c r="AL364" s="2" t="n">
        <x:f>IF(J364&lt;&gt;"PASS",0,'Motor_Meciuri'!BS31)</x:f>
        <x:v>0</x:v>
      </x:c>
      <x:c r="AM364" s="2" t="n">
        <x:f>IF(J364&lt;&gt;"PASS",0,'Motor_Meciuri'!BT31)</x:f>
        <x:v>0</x:v>
      </x:c>
      <x:c r="AN364" s="2" t="str">
        <x:f>IF(M364="","",MAX(0,'Motor_Meciuri'!BF31-IF(L364&gt;'Config_v6'!$B$12,'Config_v6'!$B$37,IF(L364&gt;'Config_v6'!$B$11,'Config_v6'!$B$36,0))))</x:f>
      </x:c>
    </x:row>
    <x:row r="365" ht="21" customHeight="1">
      <x:c r="A365" s="2" t="n">
        <x:v>26</x:v>
      </x:c>
      <x:c r="B365" s="2" t="str">
        <x:f>IF('Motor_Meciuri'!A31="","",'Motor_Meciuri'!A31)</x:f>
      </x:c>
      <x:c r="C365" s="2" t="str">
        <x:f>IF(B365="","",'Motor_Meciuri'!B31)</x:f>
      </x:c>
      <x:c r="D365" s="2" t="str">
        <x:f>IF(B365="","",'Motor_Meciuri'!D31)</x:f>
      </x:c>
      <x:c r="E365" s="2" t="str">
        <x:f>IF(B365="","",'Motor_Meciuri'!E31)</x:f>
      </x:c>
      <x:c r="F365" s="2" t="str">
        <x:v>U13,5</x:v>
      </x:c>
      <x:c r="G365" s="2" t="str">
        <x:v>UNDER</x:v>
      </x:c>
      <x:c r="H365" s="2" t="n">
        <x:v>13</x:v>
      </x:c>
      <x:c r="I365" s="2" t="str">
        <x:f>IF(B365="","",'Motor_Meciuri'!H31)</x:f>
      </x:c>
      <x:c r="J365" s="2" t="str">
        <x:f>IF(B365="","",'Motor_Meciuri'!I31)</x:f>
      </x:c>
      <x:c r="K365" s="11" t="str">
        <x:f>IF(J365&lt;&gt;"PASS","",'Motor_Meciuri'!BD31)</x:f>
      </x:c>
      <x:c r="L365" s="11" t="str">
        <x:f>IF(J365&lt;&gt;"PASS","",'Motor_Meciuri'!AU31)</x:f>
      </x:c>
      <x:c r="M365" s="10" t="str">
        <x:f>IF(NOT(AND(J365="PASS",'Calibrare_Linii'!U15="VALID")),"",'Distributie'!AK31)</x:f>
      </x:c>
      <x:c r="N365" s="10" t="str">
        <x:f>IF(M365="","",MAX(0.01,MIN(0.99,0.5+(M365-0.5)*'Motor_Meciuri'!BG31*'Calibrare_Linii'!D15)))</x:f>
      </x:c>
      <x:c r="O365" s="10" t="str">
        <x:f>IF(M365="","",1-M365)</x:f>
      </x:c>
      <x:c r="P365" s="10" t="str">
        <x:f>IF(OR(NOT(AND(J365="PASS",'Calibrare_Linii'!U15="VALID")),AK365=0),""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*('Istoric_Nativ'!$Q$6:$Q$405&gt;H365))/AK365)</x:f>
      </x:c>
      <x:c r="Q365" s="10" t="str">
        <x:f>IF(OR(NOT(AND(J365="PASS",'Calibrare_Linii'!U15="VALID")),AL365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M31)+((('Istoric_Nativ'!$E$6:$E$405='Input_Meci'!E31)+('Istoric_Nativ'!$F$6:$F$405='Input_Meci'!E31))&gt;0)*('Istoric_Nativ'!$D$6:$D$405&gt;='Motor_Meciuri'!BN31))&gt;0)*('Istoric_Nativ'!$Q$6:$Q$405&gt;H365))/AL365)</x:f>
      </x:c>
      <x:c r="R365" s="10" t="str">
        <x:f>IF(OR(NOT(AND(J365="PASS",'Calibrare_Linii'!U15="VALID")),AM365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O31)+((('Istoric_Nativ'!$E$6:$E$405='Input_Meci'!E31)+('Istoric_Nativ'!$F$6:$F$405='Input_Meci'!E31))&gt;0)*('Istoric_Nativ'!$D$6:$D$405&gt;='Motor_Meciuri'!BP31))&gt;0)*('Istoric_Nativ'!$Q$6:$Q$405&gt;H365))/AM365)</x:f>
      </x:c>
      <x:c r="S365" s="10" t="str">
        <x:f>IF(M365="","",MAX(O365,P365,Q365,R365))</x:f>
      </x:c>
      <x:c r="T365" s="11" t="str">
        <x:f>IF(M365="","",MIN(100,S365*100*'Config_v6'!$B$44+MIN(100,L365/'Config_v6'!$B$13*100)*'Config_v6'!$B$45+(100-'Motor_Meciuri'!BF31)*'Config_v6'!$B$46+'Motor_Meciuri'!BH31*100*'Config_v6'!$B$47))</x:f>
      </x:c>
      <x:c r="U365" s="2" t="str">
        <x:f>IF(T365="","",IF(T365&lt;=20,1,IF(T365&lt;=40,2,IF(T365&lt;=60,3,IF(T365&lt;=80,4,5)))))</x:f>
      </x:c>
      <x:c r="V365" s="2" t="str">
        <x:f>IF(M365="","",MAX(0,'Motor_Meciuri'!BF31-IF(W365="OOS PENDING",'Config_v6'!$B$35,0)-IF(L365&gt;'Config_v6'!$B$12,'Config_v6'!$B$37,IF(L365&gt;'Config_v6'!$B$11,'Config_v6'!$B$36,0))))</x:f>
      </x:c>
      <x:c r="W365" s="2" t="str">
        <x:f>IF(B365="","",IF(I365&lt;&gt;"READY","NOT RELEASED",IF(NOT(AND(J365="PASS",'Calibrare_Linii'!U15="VALID")),"INVALID",IF(NOT(AND('Calibrare_Linii'!S15="VALIDATED",AND('Calibrare_Linii'!H15=C365,ISNUMBER('Calibrare_Linii'!J15),'Calibrare_Linii'!J15&lt;='Input_Meci'!G31))),"OOS PENDING",IF(S365&lt;='Calibrare_Linii'!E15,"PASS",IF(S365&lt;='Calibrare_Linii'!F15,"PENALTY","WATCH"))))))</x:f>
      </x:c>
      <x:c r="X365" s="2" t="str">
        <x:f>IF(M365="","",IF(AND(AND(J365="PASS",'Calibrare_Linii'!U15="VALID"),'Motor_Meciuri'!K31=12,'Motor_Meciuri'!L31=12,'Motor_Meciuri'!M31="NO",'Motor_Meciuri'!BL31='Motor_Meciuri'!C31,AB365&gt;='Config_v6'!$B$50,AN365&gt;='Config_v6'!$B$51,T365&lt;='Config_v6'!$B$52,L365&lt;='Config_v6'!$B$53,ISNUMBER('Calibrare_Linii'!E15),S365&lt;='Calibrare_Linii'!E15,SUM(AK365:AM365)&gt;0),"CANDIDATE","NO"))</x:f>
      </x:c>
      <x:c r="Y365" s="2" t="str">
        <x:f>IF(B365="","",IF(I365&lt;&gt;"READY","NOT RELEASED",IF(AND(X365="CANDIDATE",V365&gt;='Config_v6'!$B$51,W365="PASS",'Calibrare_Linii'!T15="VALIDATED",AND('Calibrare_Linii'!H15=C365,ISNUMBER('Calibrare_Linii'!J15),'Calibrare_Linii'!J15&lt;='Input_Meci'!G31)),"PASS",IF(X365="CANDIDATE","OOS PENDING","FAIL"))))</x:f>
      </x:c>
      <x:c r="Z365" s="2" t="str">
        <x:f>IF(B365="","",IF(I365&lt;&gt;"READY","",IF(OR(NOT(AND(J365="PASS",'Calibrare_Linii'!U15="VALID")),L365&gt;'Config_v6'!$B$13,W365="WATCH"),5,IF(Y365="PASS",1,MIN(5,MAX('Config_v6'!$B$42,U365)+IF(W365="PENALTY",1,0))))))</x:f>
      </x:c>
      <x:c r="AA365" s="2" t="str">
        <x:f>IF(B365="","",IF(I365&lt;&gt;"READY","NOT RELEASED",IF(Z365=5,"NO BET",IF(OR(AB365&lt;'Config_v6'!$B$16,V365&lt;'Config_v6'!$B$18),"WATCH",IF(Z365=1,"DEFENSIV",IF(Z365=2,"PRUDENT",IF(Z365=3,"MODERAT","RIDICAT")))))))</x:f>
      </x:c>
      <x:c r="AB365" s="10" t="str">
        <x:f>IF(N365="","",MIN(N365,1-S365))</x:f>
      </x:c>
      <x:c r="AC365" s="2" t="str">
        <x:f>IF(AD365&lt;&gt;1,"",COUNTIFS($Z$356:$Z$369,"&lt;"&amp;Z365,$AD$356:$AD$369,1)+COUNTIFS($Z$356:$Z$369,Z365,$AB$356:$AB$369,"&gt;"&amp;AB365,$AD$356:$AD$369,1)+COUNTIFS($Z$356:$Z$369,Z365,$AB$356:$AB$369,AB365,$V$356:$V$369,"&gt;"&amp;V365,$AD$356:$AD$369,1)+COUNTIFS($Z$356:Z365,Z365,$AB$356:AB365,AB365,$V$356:V365,V365,$AD$356:AD365,1))</x:f>
      </x:c>
      <x:c r="AD365" s="2" t="n">
        <x:f>IF(OR(AA365="DEFENSIV",AA365="PRUDENT",AA365="MODERAT",AA365="RIDICAT"),1,0)</x:f>
        <x:v>0</x:v>
      </x:c>
      <x:c r="AE365" s="2" t="str">
        <x:f>IF(AD365&lt;&gt;1,"NO",IF(W365="PASS","YES",IF(W365="OOS PENDING","CONDITIONAL","NO")))</x:f>
        <x:v>NO</x:v>
      </x:c>
      <x:c r="AF365" s="2" t="n">
        <x:f>IF(AND(AD365=1,AC365=1,E365="LIVE"),1,0)</x:f>
        <x:v>0</x:v>
      </x:c>
      <x:c r="AG365" s="2" t="str">
        <x:f>IF(AF365&lt;&gt;1,"",'Dashboard'!P51)</x:f>
      </x:c>
      <x:c r="AH365" s="2" t="str">
        <x:f>IF(B365="","",IF(J365&lt;&gt;"PASS",'Motor_Meciuri'!J31,IF('Calibrare_Linii'!U15&lt;&gt;"VALID","Parametri linie invalizi",IF(L365&gt;'Config_v6'!$B$13,"Dispersie peste limita",IF(W365="WATCH","Failure peste limita",IF(AB365&lt;'Config_v6'!$B$16,"P finala sub prag",IF(V365&lt;'Config_v6'!$B$18,"Confidence sub prag",IF(E365="REPLAY","Exemplu retrospectiv; exclus din Top LIVE",IF(Y365="PASS","DEFENSIV validat",IF(W365="OOS PENDING","Eligibil; calibrare linie in monitorizare","Eligibil"))))))))))</x:f>
      </x:c>
      <x:c r="AI365" s="2" t="str">
        <x:f>IF(B365="","",'Calibrare_Linii'!V15)</x:f>
      </x:c>
      <x:c r="AJ365" s="2" t="str">
        <x:f>IF(B365="","",IF(AND('Calibrare_Linii'!T15="VALIDATED",AND('Calibrare_Linii'!H15=C365,ISNUMBER('Calibrare_Linii'!J15),'Calibrare_Linii'!J15&lt;='Input_Meci'!G31)),"DEFENSIVE VALIDATED",IF(AND('Calibrare_Linii'!S15="VALIDATED",AND('Calibrare_Linii'!H15=C365,ISNUMBER('Calibrare_Linii'!J15),'Calibrare_Linii'!J15&lt;='Input_Meci'!G31)),"TAIL VALIDATED","OOS PENDING")))</x:f>
      </x:c>
      <x:c r="AK365" s="2" t="n">
        <x:f>IF(J365&lt;&gt;"PASS",0,'Motor_Meciuri'!BR31)</x:f>
        <x:v>0</x:v>
      </x:c>
      <x:c r="AL365" s="2" t="n">
        <x:f>IF(J365&lt;&gt;"PASS",0,'Motor_Meciuri'!BS31)</x:f>
        <x:v>0</x:v>
      </x:c>
      <x:c r="AM365" s="2" t="n">
        <x:f>IF(J365&lt;&gt;"PASS",0,'Motor_Meciuri'!BT31)</x:f>
        <x:v>0</x:v>
      </x:c>
      <x:c r="AN365" s="2" t="str">
        <x:f>IF(M365="","",MAX(0,'Motor_Meciuri'!BF31-IF(L365&gt;'Config_v6'!$B$12,'Config_v6'!$B$37,IF(L365&gt;'Config_v6'!$B$11,'Config_v6'!$B$36,0))))</x:f>
      </x:c>
    </x:row>
    <x:row r="366" ht="21" customHeight="1">
      <x:c r="A366" s="2" t="n">
        <x:v>26</x:v>
      </x:c>
      <x:c r="B366" s="2" t="str">
        <x:f>IF('Motor_Meciuri'!A31="","",'Motor_Meciuri'!A31)</x:f>
      </x:c>
      <x:c r="C366" s="2" t="str">
        <x:f>IF(B366="","",'Motor_Meciuri'!B31)</x:f>
      </x:c>
      <x:c r="D366" s="2" t="str">
        <x:f>IF(B366="","",'Motor_Meciuri'!D31)</x:f>
      </x:c>
      <x:c r="E366" s="2" t="str">
        <x:f>IF(B366="","",'Motor_Meciuri'!E31)</x:f>
      </x:c>
      <x:c r="F366" s="2" t="str">
        <x:v>U14,5</x:v>
      </x:c>
      <x:c r="G366" s="2" t="str">
        <x:v>UNDER</x:v>
      </x:c>
      <x:c r="H366" s="2" t="n">
        <x:v>14</x:v>
      </x:c>
      <x:c r="I366" s="2" t="str">
        <x:f>IF(B366="","",'Motor_Meciuri'!H31)</x:f>
      </x:c>
      <x:c r="J366" s="2" t="str">
        <x:f>IF(B366="","",'Motor_Meciuri'!I31)</x:f>
      </x:c>
      <x:c r="K366" s="11" t="str">
        <x:f>IF(J366&lt;&gt;"PASS","",'Motor_Meciuri'!BD31)</x:f>
      </x:c>
      <x:c r="L366" s="11" t="str">
        <x:f>IF(J366&lt;&gt;"PASS","",'Motor_Meciuri'!AU31)</x:f>
      </x:c>
      <x:c r="M366" s="10" t="str">
        <x:f>IF(NOT(AND(J366="PASS",'Calibrare_Linii'!U16="VALID")),"",'Distributie'!AL31)</x:f>
      </x:c>
      <x:c r="N366" s="10" t="str">
        <x:f>IF(M366="","",MAX(0.01,MIN(0.99,0.5+(M366-0.5)*'Motor_Meciuri'!BG31*'Calibrare_Linii'!D16)))</x:f>
      </x:c>
      <x:c r="O366" s="10" t="str">
        <x:f>IF(M366="","",1-M366)</x:f>
      </x:c>
      <x:c r="P366" s="10" t="str">
        <x:f>IF(OR(NOT(AND(J366="PASS",'Calibrare_Linii'!U16="VALID")),AK366=0),""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*('Istoric_Nativ'!$Q$6:$Q$405&gt;H366))/AK366)</x:f>
      </x:c>
      <x:c r="Q366" s="10" t="str">
        <x:f>IF(OR(NOT(AND(J366="PASS",'Calibrare_Linii'!U16="VALID")),AL366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M31)+((('Istoric_Nativ'!$E$6:$E$405='Input_Meci'!E31)+('Istoric_Nativ'!$F$6:$F$405='Input_Meci'!E31))&gt;0)*('Istoric_Nativ'!$D$6:$D$405&gt;='Motor_Meciuri'!BN31))&gt;0)*('Istoric_Nativ'!$Q$6:$Q$405&gt;H366))/AL366)</x:f>
      </x:c>
      <x:c r="R366" s="10" t="str">
        <x:f>IF(OR(NOT(AND(J366="PASS",'Calibrare_Linii'!U16="VALID")),AM366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O31)+((('Istoric_Nativ'!$E$6:$E$405='Input_Meci'!E31)+('Istoric_Nativ'!$F$6:$F$405='Input_Meci'!E31))&gt;0)*('Istoric_Nativ'!$D$6:$D$405&gt;='Motor_Meciuri'!BP31))&gt;0)*('Istoric_Nativ'!$Q$6:$Q$405&gt;H366))/AM366)</x:f>
      </x:c>
      <x:c r="S366" s="10" t="str">
        <x:f>IF(M366="","",MAX(O366,P366,Q366,R366))</x:f>
      </x:c>
      <x:c r="T366" s="11" t="str">
        <x:f>IF(M366="","",MIN(100,S366*100*'Config_v6'!$B$44+MIN(100,L366/'Config_v6'!$B$13*100)*'Config_v6'!$B$45+(100-'Motor_Meciuri'!BF31)*'Config_v6'!$B$46+'Motor_Meciuri'!BH31*100*'Config_v6'!$B$47))</x:f>
      </x:c>
      <x:c r="U366" s="2" t="str">
        <x:f>IF(T366="","",IF(T366&lt;=20,1,IF(T366&lt;=40,2,IF(T366&lt;=60,3,IF(T366&lt;=80,4,5)))))</x:f>
      </x:c>
      <x:c r="V366" s="2" t="str">
        <x:f>IF(M366="","",MAX(0,'Motor_Meciuri'!BF31-IF(W366="OOS PENDING",'Config_v6'!$B$35,0)-IF(L366&gt;'Config_v6'!$B$12,'Config_v6'!$B$37,IF(L366&gt;'Config_v6'!$B$11,'Config_v6'!$B$36,0))))</x:f>
      </x:c>
      <x:c r="W366" s="2" t="str">
        <x:f>IF(B366="","",IF(I366&lt;&gt;"READY","NOT RELEASED",IF(NOT(AND(J366="PASS",'Calibrare_Linii'!U16="VALID")),"INVALID",IF(NOT(AND('Calibrare_Linii'!S16="VALIDATED",AND('Calibrare_Linii'!H16=C366,ISNUMBER('Calibrare_Linii'!J16),'Calibrare_Linii'!J16&lt;='Input_Meci'!G31))),"OOS PENDING",IF(S366&lt;='Calibrare_Linii'!E16,"PASS",IF(S366&lt;='Calibrare_Linii'!F16,"PENALTY","WATCH"))))))</x:f>
      </x:c>
      <x:c r="X366" s="2" t="str">
        <x:f>IF(M366="","",IF(AND(AND(J366="PASS",'Calibrare_Linii'!U16="VALID"),'Motor_Meciuri'!K31=12,'Motor_Meciuri'!L31=12,'Motor_Meciuri'!M31="NO",'Motor_Meciuri'!BL31='Motor_Meciuri'!C31,AB366&gt;='Config_v6'!$B$50,AN366&gt;='Config_v6'!$B$51,T366&lt;='Config_v6'!$B$52,L366&lt;='Config_v6'!$B$53,ISNUMBER('Calibrare_Linii'!E16),S366&lt;='Calibrare_Linii'!E16,SUM(AK366:AM366)&gt;0),"CANDIDATE","NO"))</x:f>
      </x:c>
      <x:c r="Y366" s="2" t="str">
        <x:f>IF(B366="","",IF(I366&lt;&gt;"READY","NOT RELEASED",IF(AND(X366="CANDIDATE",V366&gt;='Config_v6'!$B$51,W366="PASS",'Calibrare_Linii'!T16="VALIDATED",AND('Calibrare_Linii'!H16=C366,ISNUMBER('Calibrare_Linii'!J16),'Calibrare_Linii'!J16&lt;='Input_Meci'!G31)),"PASS",IF(X366="CANDIDATE","OOS PENDING","FAIL"))))</x:f>
      </x:c>
      <x:c r="Z366" s="2" t="str">
        <x:f>IF(B366="","",IF(I366&lt;&gt;"READY","",IF(OR(NOT(AND(J366="PASS",'Calibrare_Linii'!U16="VALID")),L366&gt;'Config_v6'!$B$13,W366="WATCH"),5,IF(Y366="PASS",1,MIN(5,MAX('Config_v6'!$B$42,U366)+IF(W366="PENALTY",1,0))))))</x:f>
      </x:c>
      <x:c r="AA366" s="2" t="str">
        <x:f>IF(B366="","",IF(I366&lt;&gt;"READY","NOT RELEASED",IF(Z366=5,"NO BET",IF(OR(AB366&lt;'Config_v6'!$B$16,V366&lt;'Config_v6'!$B$18),"WATCH",IF(Z366=1,"DEFENSIV",IF(Z366=2,"PRUDENT",IF(Z366=3,"MODERAT","RIDICAT")))))))</x:f>
      </x:c>
      <x:c r="AB366" s="10" t="str">
        <x:f>IF(N366="","",MIN(N366,1-S366))</x:f>
      </x:c>
      <x:c r="AC366" s="2" t="str">
        <x:f>IF(AD366&lt;&gt;1,"",COUNTIFS($Z$356:$Z$369,"&lt;"&amp;Z366,$AD$356:$AD$369,1)+COUNTIFS($Z$356:$Z$369,Z366,$AB$356:$AB$369,"&gt;"&amp;AB366,$AD$356:$AD$369,1)+COUNTIFS($Z$356:$Z$369,Z366,$AB$356:$AB$369,AB366,$V$356:$V$369,"&gt;"&amp;V366,$AD$356:$AD$369,1)+COUNTIFS($Z$356:Z366,Z366,$AB$356:AB366,AB366,$V$356:V366,V366,$AD$356:AD366,1))</x:f>
      </x:c>
      <x:c r="AD366" s="2" t="n">
        <x:f>IF(OR(AA366="DEFENSIV",AA366="PRUDENT",AA366="MODERAT",AA366="RIDICAT"),1,0)</x:f>
        <x:v>0</x:v>
      </x:c>
      <x:c r="AE366" s="2" t="str">
        <x:f>IF(AD366&lt;&gt;1,"NO",IF(W366="PASS","YES",IF(W366="OOS PENDING","CONDITIONAL","NO")))</x:f>
        <x:v>NO</x:v>
      </x:c>
      <x:c r="AF366" s="2" t="n">
        <x:f>IF(AND(AD366=1,AC366=1,E366="LIVE"),1,0)</x:f>
        <x:v>0</x:v>
      </x:c>
      <x:c r="AG366" s="2" t="str">
        <x:f>IF(AF366&lt;&gt;1,"",'Dashboard'!P51)</x:f>
      </x:c>
      <x:c r="AH366" s="2" t="str">
        <x:f>IF(B366="","",IF(J366&lt;&gt;"PASS",'Motor_Meciuri'!J31,IF('Calibrare_Linii'!U16&lt;&gt;"VALID","Parametri linie invalizi",IF(L366&gt;'Config_v6'!$B$13,"Dispersie peste limita",IF(W366="WATCH","Failure peste limita",IF(AB366&lt;'Config_v6'!$B$16,"P finala sub prag",IF(V366&lt;'Config_v6'!$B$18,"Confidence sub prag",IF(E366="REPLAY","Exemplu retrospectiv; exclus din Top LIVE",IF(Y366="PASS","DEFENSIV validat",IF(W366="OOS PENDING","Eligibil; calibrare linie in monitorizare","Eligibil"))))))))))</x:f>
      </x:c>
      <x:c r="AI366" s="2" t="str">
        <x:f>IF(B366="","",'Calibrare_Linii'!V16)</x:f>
      </x:c>
      <x:c r="AJ366" s="2" t="str">
        <x:f>IF(B366="","",IF(AND('Calibrare_Linii'!T16="VALIDATED",AND('Calibrare_Linii'!H16=C366,ISNUMBER('Calibrare_Linii'!J16),'Calibrare_Linii'!J16&lt;='Input_Meci'!G31)),"DEFENSIVE VALIDATED",IF(AND('Calibrare_Linii'!S16="VALIDATED",AND('Calibrare_Linii'!H16=C366,ISNUMBER('Calibrare_Linii'!J16),'Calibrare_Linii'!J16&lt;='Input_Meci'!G31)),"TAIL VALIDATED","OOS PENDING")))</x:f>
      </x:c>
      <x:c r="AK366" s="2" t="n">
        <x:f>IF(J366&lt;&gt;"PASS",0,'Motor_Meciuri'!BR31)</x:f>
        <x:v>0</x:v>
      </x:c>
      <x:c r="AL366" s="2" t="n">
        <x:f>IF(J366&lt;&gt;"PASS",0,'Motor_Meciuri'!BS31)</x:f>
        <x:v>0</x:v>
      </x:c>
      <x:c r="AM366" s="2" t="n">
        <x:f>IF(J366&lt;&gt;"PASS",0,'Motor_Meciuri'!BT31)</x:f>
        <x:v>0</x:v>
      </x:c>
      <x:c r="AN366" s="2" t="str">
        <x:f>IF(M366="","",MAX(0,'Motor_Meciuri'!BF31-IF(L366&gt;'Config_v6'!$B$12,'Config_v6'!$B$37,IF(L366&gt;'Config_v6'!$B$11,'Config_v6'!$B$36,0))))</x:f>
      </x:c>
    </x:row>
    <x:row r="367" ht="21" customHeight="1">
      <x:c r="A367" s="2" t="n">
        <x:v>26</x:v>
      </x:c>
      <x:c r="B367" s="2" t="str">
        <x:f>IF('Motor_Meciuri'!A31="","",'Motor_Meciuri'!A31)</x:f>
      </x:c>
      <x:c r="C367" s="2" t="str">
        <x:f>IF(B367="","",'Motor_Meciuri'!B31)</x:f>
      </x:c>
      <x:c r="D367" s="2" t="str">
        <x:f>IF(B367="","",'Motor_Meciuri'!D31)</x:f>
      </x:c>
      <x:c r="E367" s="2" t="str">
        <x:f>IF(B367="","",'Motor_Meciuri'!E31)</x:f>
      </x:c>
      <x:c r="F367" s="2" t="str">
        <x:v>U15,5</x:v>
      </x:c>
      <x:c r="G367" s="2" t="str">
        <x:v>UNDER</x:v>
      </x:c>
      <x:c r="H367" s="2" t="n">
        <x:v>15</x:v>
      </x:c>
      <x:c r="I367" s="2" t="str">
        <x:f>IF(B367="","",'Motor_Meciuri'!H31)</x:f>
      </x:c>
      <x:c r="J367" s="2" t="str">
        <x:f>IF(B367="","",'Motor_Meciuri'!I31)</x:f>
      </x:c>
      <x:c r="K367" s="11" t="str">
        <x:f>IF(J367&lt;&gt;"PASS","",'Motor_Meciuri'!BD31)</x:f>
      </x:c>
      <x:c r="L367" s="11" t="str">
        <x:f>IF(J367&lt;&gt;"PASS","",'Motor_Meciuri'!AU31)</x:f>
      </x:c>
      <x:c r="M367" s="10" t="str">
        <x:f>IF(NOT(AND(J367="PASS",'Calibrare_Linii'!U17="VALID")),"",'Distributie'!AM31)</x:f>
      </x:c>
      <x:c r="N367" s="10" t="str">
        <x:f>IF(M367="","",MAX(0.01,MIN(0.99,0.5+(M367-0.5)*'Motor_Meciuri'!BG31*'Calibrare_Linii'!D17)))</x:f>
      </x:c>
      <x:c r="O367" s="10" t="str">
        <x:f>IF(M367="","",1-M367)</x:f>
      </x:c>
      <x:c r="P367" s="10" t="str">
        <x:f>IF(OR(NOT(AND(J367="PASS",'Calibrare_Linii'!U17="VALID")),AK367=0),""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*('Istoric_Nativ'!$Q$6:$Q$405&gt;H367))/AK367)</x:f>
      </x:c>
      <x:c r="Q367" s="10" t="str">
        <x:f>IF(OR(NOT(AND(J367="PASS",'Calibrare_Linii'!U17="VALID")),AL367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M31)+((('Istoric_Nativ'!$E$6:$E$405='Input_Meci'!E31)+('Istoric_Nativ'!$F$6:$F$405='Input_Meci'!E31))&gt;0)*('Istoric_Nativ'!$D$6:$D$405&gt;='Motor_Meciuri'!BN31))&gt;0)*('Istoric_Nativ'!$Q$6:$Q$405&gt;H367))/AL367)</x:f>
      </x:c>
      <x:c r="R367" s="10" t="str">
        <x:f>IF(OR(NOT(AND(J367="PASS",'Calibrare_Linii'!U17="VALID")),AM367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O31)+((('Istoric_Nativ'!$E$6:$E$405='Input_Meci'!E31)+('Istoric_Nativ'!$F$6:$F$405='Input_Meci'!E31))&gt;0)*('Istoric_Nativ'!$D$6:$D$405&gt;='Motor_Meciuri'!BP31))&gt;0)*('Istoric_Nativ'!$Q$6:$Q$405&gt;H367))/AM367)</x:f>
      </x:c>
      <x:c r="S367" s="10" t="str">
        <x:f>IF(M367="","",MAX(O367,P367,Q367,R367))</x:f>
      </x:c>
      <x:c r="T367" s="11" t="str">
        <x:f>IF(M367="","",MIN(100,S367*100*'Config_v6'!$B$44+MIN(100,L367/'Config_v6'!$B$13*100)*'Config_v6'!$B$45+(100-'Motor_Meciuri'!BF31)*'Config_v6'!$B$46+'Motor_Meciuri'!BH31*100*'Config_v6'!$B$47))</x:f>
      </x:c>
      <x:c r="U367" s="2" t="str">
        <x:f>IF(T367="","",IF(T367&lt;=20,1,IF(T367&lt;=40,2,IF(T367&lt;=60,3,IF(T367&lt;=80,4,5)))))</x:f>
      </x:c>
      <x:c r="V367" s="2" t="str">
        <x:f>IF(M367="","",MAX(0,'Motor_Meciuri'!BF31-IF(W367="OOS PENDING",'Config_v6'!$B$35,0)-IF(L367&gt;'Config_v6'!$B$12,'Config_v6'!$B$37,IF(L367&gt;'Config_v6'!$B$11,'Config_v6'!$B$36,0))))</x:f>
      </x:c>
      <x:c r="W367" s="2" t="str">
        <x:f>IF(B367="","",IF(I367&lt;&gt;"READY","NOT RELEASED",IF(NOT(AND(J367="PASS",'Calibrare_Linii'!U17="VALID")),"INVALID",IF(NOT(AND('Calibrare_Linii'!S17="VALIDATED",AND('Calibrare_Linii'!H17=C367,ISNUMBER('Calibrare_Linii'!J17),'Calibrare_Linii'!J17&lt;='Input_Meci'!G31))),"OOS PENDING",IF(S367&lt;='Calibrare_Linii'!E17,"PASS",IF(S367&lt;='Calibrare_Linii'!F17,"PENALTY","WATCH"))))))</x:f>
      </x:c>
      <x:c r="X367" s="2" t="str">
        <x:f>IF(M367="","",IF(AND(AND(J367="PASS",'Calibrare_Linii'!U17="VALID"),'Motor_Meciuri'!K31=12,'Motor_Meciuri'!L31=12,'Motor_Meciuri'!M31="NO",'Motor_Meciuri'!BL31='Motor_Meciuri'!C31,AB367&gt;='Config_v6'!$B$50,AN367&gt;='Config_v6'!$B$51,T367&lt;='Config_v6'!$B$52,L367&lt;='Config_v6'!$B$53,ISNUMBER('Calibrare_Linii'!E17),S367&lt;='Calibrare_Linii'!E17,SUM(AK367:AM367)&gt;0),"CANDIDATE","NO"))</x:f>
      </x:c>
      <x:c r="Y367" s="2" t="str">
        <x:f>IF(B367="","",IF(I367&lt;&gt;"READY","NOT RELEASED",IF(AND(X367="CANDIDATE",V367&gt;='Config_v6'!$B$51,W367="PASS",'Calibrare_Linii'!T17="VALIDATED",AND('Calibrare_Linii'!H17=C367,ISNUMBER('Calibrare_Linii'!J17),'Calibrare_Linii'!J17&lt;='Input_Meci'!G31)),"PASS",IF(X367="CANDIDATE","OOS PENDING","FAIL"))))</x:f>
      </x:c>
      <x:c r="Z367" s="2" t="str">
        <x:f>IF(B367="","",IF(I367&lt;&gt;"READY","",IF(OR(NOT(AND(J367="PASS",'Calibrare_Linii'!U17="VALID")),L367&gt;'Config_v6'!$B$13,W367="WATCH"),5,IF(Y367="PASS",1,MIN(5,MAX('Config_v6'!$B$42,U367)+IF(W367="PENALTY",1,0))))))</x:f>
      </x:c>
      <x:c r="AA367" s="2" t="str">
        <x:f>IF(B367="","",IF(I367&lt;&gt;"READY","NOT RELEASED",IF(Z367=5,"NO BET",IF(OR(AB367&lt;'Config_v6'!$B$16,V367&lt;'Config_v6'!$B$18),"WATCH",IF(Z367=1,"DEFENSIV",IF(Z367=2,"PRUDENT",IF(Z367=3,"MODERAT","RIDICAT")))))))</x:f>
      </x:c>
      <x:c r="AB367" s="10" t="str">
        <x:f>IF(N367="","",MIN(N367,1-S367))</x:f>
      </x:c>
      <x:c r="AC367" s="2" t="str">
        <x:f>IF(AD367&lt;&gt;1,"",COUNTIFS($Z$356:$Z$369,"&lt;"&amp;Z367,$AD$356:$AD$369,1)+COUNTIFS($Z$356:$Z$369,Z367,$AB$356:$AB$369,"&gt;"&amp;AB367,$AD$356:$AD$369,1)+COUNTIFS($Z$356:$Z$369,Z367,$AB$356:$AB$369,AB367,$V$356:$V$369,"&gt;"&amp;V367,$AD$356:$AD$369,1)+COUNTIFS($Z$356:Z367,Z367,$AB$356:AB367,AB367,$V$356:V367,V367,$AD$356:AD367,1))</x:f>
      </x:c>
      <x:c r="AD367" s="2" t="n">
        <x:f>IF(OR(AA367="DEFENSIV",AA367="PRUDENT",AA367="MODERAT",AA367="RIDICAT"),1,0)</x:f>
        <x:v>0</x:v>
      </x:c>
      <x:c r="AE367" s="2" t="str">
        <x:f>IF(AD367&lt;&gt;1,"NO",IF(W367="PASS","YES",IF(W367="OOS PENDING","CONDITIONAL","NO")))</x:f>
        <x:v>NO</x:v>
      </x:c>
      <x:c r="AF367" s="2" t="n">
        <x:f>IF(AND(AD367=1,AC367=1,E367="LIVE"),1,0)</x:f>
        <x:v>0</x:v>
      </x:c>
      <x:c r="AG367" s="2" t="str">
        <x:f>IF(AF367&lt;&gt;1,"",'Dashboard'!P51)</x:f>
      </x:c>
      <x:c r="AH367" s="2" t="str">
        <x:f>IF(B367="","",IF(J367&lt;&gt;"PASS",'Motor_Meciuri'!J31,IF('Calibrare_Linii'!U17&lt;&gt;"VALID","Parametri linie invalizi",IF(L367&gt;'Config_v6'!$B$13,"Dispersie peste limita",IF(W367="WATCH","Failure peste limita",IF(AB367&lt;'Config_v6'!$B$16,"P finala sub prag",IF(V367&lt;'Config_v6'!$B$18,"Confidence sub prag",IF(E367="REPLAY","Exemplu retrospectiv; exclus din Top LIVE",IF(Y367="PASS","DEFENSIV validat",IF(W367="OOS PENDING","Eligibil; calibrare linie in monitorizare","Eligibil"))))))))))</x:f>
      </x:c>
      <x:c r="AI367" s="2" t="str">
        <x:f>IF(B367="","",'Calibrare_Linii'!V17)</x:f>
      </x:c>
      <x:c r="AJ367" s="2" t="str">
        <x:f>IF(B367="","",IF(AND('Calibrare_Linii'!T17="VALIDATED",AND('Calibrare_Linii'!H17=C367,ISNUMBER('Calibrare_Linii'!J17),'Calibrare_Linii'!J17&lt;='Input_Meci'!G31)),"DEFENSIVE VALIDATED",IF(AND('Calibrare_Linii'!S17="VALIDATED",AND('Calibrare_Linii'!H17=C367,ISNUMBER('Calibrare_Linii'!J17),'Calibrare_Linii'!J17&lt;='Input_Meci'!G31)),"TAIL VALIDATED","OOS PENDING")))</x:f>
      </x:c>
      <x:c r="AK367" s="2" t="n">
        <x:f>IF(J367&lt;&gt;"PASS",0,'Motor_Meciuri'!BR31)</x:f>
        <x:v>0</x:v>
      </x:c>
      <x:c r="AL367" s="2" t="n">
        <x:f>IF(J367&lt;&gt;"PASS",0,'Motor_Meciuri'!BS31)</x:f>
        <x:v>0</x:v>
      </x:c>
      <x:c r="AM367" s="2" t="n">
        <x:f>IF(J367&lt;&gt;"PASS",0,'Motor_Meciuri'!BT31)</x:f>
        <x:v>0</x:v>
      </x:c>
      <x:c r="AN367" s="2" t="str">
        <x:f>IF(M367="","",MAX(0,'Motor_Meciuri'!BF31-IF(L367&gt;'Config_v6'!$B$12,'Config_v6'!$B$37,IF(L367&gt;'Config_v6'!$B$11,'Config_v6'!$B$36,0))))</x:f>
      </x:c>
    </x:row>
    <x:row r="368" ht="21" customHeight="1">
      <x:c r="A368" s="2" t="n">
        <x:v>26</x:v>
      </x:c>
      <x:c r="B368" s="2" t="str">
        <x:f>IF('Motor_Meciuri'!A31="","",'Motor_Meciuri'!A31)</x:f>
      </x:c>
      <x:c r="C368" s="2" t="str">
        <x:f>IF(B368="","",'Motor_Meciuri'!B31)</x:f>
      </x:c>
      <x:c r="D368" s="2" t="str">
        <x:f>IF(B368="","",'Motor_Meciuri'!D31)</x:f>
      </x:c>
      <x:c r="E368" s="2" t="str">
        <x:f>IF(B368="","",'Motor_Meciuri'!E31)</x:f>
      </x:c>
      <x:c r="F368" s="2" t="str">
        <x:v>U16,5</x:v>
      </x:c>
      <x:c r="G368" s="2" t="str">
        <x:v>UNDER</x:v>
      </x:c>
      <x:c r="H368" s="2" t="n">
        <x:v>16</x:v>
      </x:c>
      <x:c r="I368" s="2" t="str">
        <x:f>IF(B368="","",'Motor_Meciuri'!H31)</x:f>
      </x:c>
      <x:c r="J368" s="2" t="str">
        <x:f>IF(B368="","",'Motor_Meciuri'!I31)</x:f>
      </x:c>
      <x:c r="K368" s="11" t="str">
        <x:f>IF(J368&lt;&gt;"PASS","",'Motor_Meciuri'!BD31)</x:f>
      </x:c>
      <x:c r="L368" s="11" t="str">
        <x:f>IF(J368&lt;&gt;"PASS","",'Motor_Meciuri'!AU31)</x:f>
      </x:c>
      <x:c r="M368" s="10" t="str">
        <x:f>IF(NOT(AND(J368="PASS",'Calibrare_Linii'!U18="VALID")),"",'Distributie'!AN31)</x:f>
      </x:c>
      <x:c r="N368" s="10" t="str">
        <x:f>IF(M368="","",MAX(0.01,MIN(0.99,0.5+(M368-0.5)*'Motor_Meciuri'!BG31*'Calibrare_Linii'!D18)))</x:f>
      </x:c>
      <x:c r="O368" s="10" t="str">
        <x:f>IF(M368="","",1-M368)</x:f>
      </x:c>
      <x:c r="P368" s="10" t="str">
        <x:f>IF(OR(NOT(AND(J368="PASS",'Calibrare_Linii'!U18="VALID")),AK368=0),""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*('Istoric_Nativ'!$Q$6:$Q$405&gt;H368))/AK368)</x:f>
      </x:c>
      <x:c r="Q368" s="10" t="str">
        <x:f>IF(OR(NOT(AND(J368="PASS",'Calibrare_Linii'!U18="VALID")),AL368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M31)+((('Istoric_Nativ'!$E$6:$E$405='Input_Meci'!E31)+('Istoric_Nativ'!$F$6:$F$405='Input_Meci'!E31))&gt;0)*('Istoric_Nativ'!$D$6:$D$405&gt;='Motor_Meciuri'!BN31))&gt;0)*('Istoric_Nativ'!$Q$6:$Q$405&gt;H368))/AL368)</x:f>
      </x:c>
      <x:c r="R368" s="10" t="str">
        <x:f>IF(OR(NOT(AND(J368="PASS",'Calibrare_Linii'!U18="VALID")),AM368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O31)+((('Istoric_Nativ'!$E$6:$E$405='Input_Meci'!E31)+('Istoric_Nativ'!$F$6:$F$405='Input_Meci'!E31))&gt;0)*('Istoric_Nativ'!$D$6:$D$405&gt;='Motor_Meciuri'!BP31))&gt;0)*('Istoric_Nativ'!$Q$6:$Q$405&gt;H368))/AM368)</x:f>
      </x:c>
      <x:c r="S368" s="10" t="str">
        <x:f>IF(M368="","",MAX(O368,P368,Q368,R368))</x:f>
      </x:c>
      <x:c r="T368" s="11" t="str">
        <x:f>IF(M368="","",MIN(100,S368*100*'Config_v6'!$B$44+MIN(100,L368/'Config_v6'!$B$13*100)*'Config_v6'!$B$45+(100-'Motor_Meciuri'!BF31)*'Config_v6'!$B$46+'Motor_Meciuri'!BH31*100*'Config_v6'!$B$47))</x:f>
      </x:c>
      <x:c r="U368" s="2" t="str">
        <x:f>IF(T368="","",IF(T368&lt;=20,1,IF(T368&lt;=40,2,IF(T368&lt;=60,3,IF(T368&lt;=80,4,5)))))</x:f>
      </x:c>
      <x:c r="V368" s="2" t="str">
        <x:f>IF(M368="","",MAX(0,'Motor_Meciuri'!BF31-IF(W368="OOS PENDING",'Config_v6'!$B$35,0)-IF(L368&gt;'Config_v6'!$B$12,'Config_v6'!$B$37,IF(L368&gt;'Config_v6'!$B$11,'Config_v6'!$B$36,0))))</x:f>
      </x:c>
      <x:c r="W368" s="2" t="str">
        <x:f>IF(B368="","",IF(I368&lt;&gt;"READY","NOT RELEASED",IF(NOT(AND(J368="PASS",'Calibrare_Linii'!U18="VALID")),"INVALID",IF(NOT(AND('Calibrare_Linii'!S18="VALIDATED",AND('Calibrare_Linii'!H18=C368,ISNUMBER('Calibrare_Linii'!J18),'Calibrare_Linii'!J18&lt;='Input_Meci'!G31))),"OOS PENDING",IF(S368&lt;='Calibrare_Linii'!E18,"PASS",IF(S368&lt;='Calibrare_Linii'!F18,"PENALTY","WATCH"))))))</x:f>
      </x:c>
      <x:c r="X368" s="2" t="str">
        <x:f>IF(M368="","",IF(AND(AND(J368="PASS",'Calibrare_Linii'!U18="VALID"),'Motor_Meciuri'!K31=12,'Motor_Meciuri'!L31=12,'Motor_Meciuri'!M31="NO",'Motor_Meciuri'!BL31='Motor_Meciuri'!C31,AB368&gt;='Config_v6'!$B$50,AN368&gt;='Config_v6'!$B$51,T368&lt;='Config_v6'!$B$52,L368&lt;='Config_v6'!$B$53,ISNUMBER('Calibrare_Linii'!E18),S368&lt;='Calibrare_Linii'!E18,SUM(AK368:AM368)&gt;0),"CANDIDATE","NO"))</x:f>
      </x:c>
      <x:c r="Y368" s="2" t="str">
        <x:f>IF(B368="","",IF(I368&lt;&gt;"READY","NOT RELEASED",IF(AND(X368="CANDIDATE",V368&gt;='Config_v6'!$B$51,W368="PASS",'Calibrare_Linii'!T18="VALIDATED",AND('Calibrare_Linii'!H18=C368,ISNUMBER('Calibrare_Linii'!J18),'Calibrare_Linii'!J18&lt;='Input_Meci'!G31)),"PASS",IF(X368="CANDIDATE","OOS PENDING","FAIL"))))</x:f>
      </x:c>
      <x:c r="Z368" s="2" t="str">
        <x:f>IF(B368="","",IF(I368&lt;&gt;"READY","",IF(OR(NOT(AND(J368="PASS",'Calibrare_Linii'!U18="VALID")),L368&gt;'Config_v6'!$B$13,W368="WATCH"),5,IF(Y368="PASS",1,MIN(5,MAX('Config_v6'!$B$42,U368)+IF(W368="PENALTY",1,0))))))</x:f>
      </x:c>
      <x:c r="AA368" s="2" t="str">
        <x:f>IF(B368="","",IF(I368&lt;&gt;"READY","NOT RELEASED",IF(Z368=5,"NO BET",IF(OR(AB368&lt;'Config_v6'!$B$16,V368&lt;'Config_v6'!$B$18),"WATCH",IF(Z368=1,"DEFENSIV",IF(Z368=2,"PRUDENT",IF(Z368=3,"MODERAT","RIDICAT")))))))</x:f>
      </x:c>
      <x:c r="AB368" s="10" t="str">
        <x:f>IF(N368="","",MIN(N368,1-S368))</x:f>
      </x:c>
      <x:c r="AC368" s="2" t="str">
        <x:f>IF(AD368&lt;&gt;1,"",COUNTIFS($Z$356:$Z$369,"&lt;"&amp;Z368,$AD$356:$AD$369,1)+COUNTIFS($Z$356:$Z$369,Z368,$AB$356:$AB$369,"&gt;"&amp;AB368,$AD$356:$AD$369,1)+COUNTIFS($Z$356:$Z$369,Z368,$AB$356:$AB$369,AB368,$V$356:$V$369,"&gt;"&amp;V368,$AD$356:$AD$369,1)+COUNTIFS($Z$356:Z368,Z368,$AB$356:AB368,AB368,$V$356:V368,V368,$AD$356:AD368,1))</x:f>
      </x:c>
      <x:c r="AD368" s="2" t="n">
        <x:f>IF(OR(AA368="DEFENSIV",AA368="PRUDENT",AA368="MODERAT",AA368="RIDICAT"),1,0)</x:f>
        <x:v>0</x:v>
      </x:c>
      <x:c r="AE368" s="2" t="str">
        <x:f>IF(AD368&lt;&gt;1,"NO",IF(W368="PASS","YES",IF(W368="OOS PENDING","CONDITIONAL","NO")))</x:f>
        <x:v>NO</x:v>
      </x:c>
      <x:c r="AF368" s="2" t="n">
        <x:f>IF(AND(AD368=1,AC368=1,E368="LIVE"),1,0)</x:f>
        <x:v>0</x:v>
      </x:c>
      <x:c r="AG368" s="2" t="str">
        <x:f>IF(AF368&lt;&gt;1,"",'Dashboard'!P51)</x:f>
      </x:c>
      <x:c r="AH368" s="2" t="str">
        <x:f>IF(B368="","",IF(J368&lt;&gt;"PASS",'Motor_Meciuri'!J31,IF('Calibrare_Linii'!U18&lt;&gt;"VALID","Parametri linie invalizi",IF(L368&gt;'Config_v6'!$B$13,"Dispersie peste limita",IF(W368="WATCH","Failure peste limita",IF(AB368&lt;'Config_v6'!$B$16,"P finala sub prag",IF(V368&lt;'Config_v6'!$B$18,"Confidence sub prag",IF(E368="REPLAY","Exemplu retrospectiv; exclus din Top LIVE",IF(Y368="PASS","DEFENSIV validat",IF(W368="OOS PENDING","Eligibil; calibrare linie in monitorizare","Eligibil"))))))))))</x:f>
      </x:c>
      <x:c r="AI368" s="2" t="str">
        <x:f>IF(B368="","",'Calibrare_Linii'!V18)</x:f>
      </x:c>
      <x:c r="AJ368" s="2" t="str">
        <x:f>IF(B368="","",IF(AND('Calibrare_Linii'!T18="VALIDATED",AND('Calibrare_Linii'!H18=C368,ISNUMBER('Calibrare_Linii'!J18),'Calibrare_Linii'!J18&lt;='Input_Meci'!G31)),"DEFENSIVE VALIDATED",IF(AND('Calibrare_Linii'!S18="VALIDATED",AND('Calibrare_Linii'!H18=C368,ISNUMBER('Calibrare_Linii'!J18),'Calibrare_Linii'!J18&lt;='Input_Meci'!G31)),"TAIL VALIDATED","OOS PENDING")))</x:f>
      </x:c>
      <x:c r="AK368" s="2" t="n">
        <x:f>IF(J368&lt;&gt;"PASS",0,'Motor_Meciuri'!BR31)</x:f>
        <x:v>0</x:v>
      </x:c>
      <x:c r="AL368" s="2" t="n">
        <x:f>IF(J368&lt;&gt;"PASS",0,'Motor_Meciuri'!BS31)</x:f>
        <x:v>0</x:v>
      </x:c>
      <x:c r="AM368" s="2" t="n">
        <x:f>IF(J368&lt;&gt;"PASS",0,'Motor_Meciuri'!BT31)</x:f>
        <x:v>0</x:v>
      </x:c>
      <x:c r="AN368" s="2" t="str">
        <x:f>IF(M368="","",MAX(0,'Motor_Meciuri'!BF31-IF(L368&gt;'Config_v6'!$B$12,'Config_v6'!$B$37,IF(L368&gt;'Config_v6'!$B$11,'Config_v6'!$B$36,0))))</x:f>
      </x:c>
    </x:row>
    <x:row r="369" ht="21" customHeight="1">
      <x:c r="A369" s="2" t="n">
        <x:v>26</x:v>
      </x:c>
      <x:c r="B369" s="2" t="str">
        <x:f>IF('Motor_Meciuri'!A31="","",'Motor_Meciuri'!A31)</x:f>
      </x:c>
      <x:c r="C369" s="2" t="str">
        <x:f>IF(B369="","",'Motor_Meciuri'!B31)</x:f>
      </x:c>
      <x:c r="D369" s="2" t="str">
        <x:f>IF(B369="","",'Motor_Meciuri'!D31)</x:f>
      </x:c>
      <x:c r="E369" s="2" t="str">
        <x:f>IF(B369="","",'Motor_Meciuri'!E31)</x:f>
      </x:c>
      <x:c r="F369" s="2" t="str">
        <x:v>U17,5</x:v>
      </x:c>
      <x:c r="G369" s="2" t="str">
        <x:v>UNDER</x:v>
      </x:c>
      <x:c r="H369" s="2" t="n">
        <x:v>17</x:v>
      </x:c>
      <x:c r="I369" s="2" t="str">
        <x:f>IF(B369="","",'Motor_Meciuri'!H31)</x:f>
      </x:c>
      <x:c r="J369" s="2" t="str">
        <x:f>IF(B369="","",'Motor_Meciuri'!I31)</x:f>
      </x:c>
      <x:c r="K369" s="11" t="str">
        <x:f>IF(J369&lt;&gt;"PASS","",'Motor_Meciuri'!BD31)</x:f>
      </x:c>
      <x:c r="L369" s="11" t="str">
        <x:f>IF(J369&lt;&gt;"PASS","",'Motor_Meciuri'!AU31)</x:f>
      </x:c>
      <x:c r="M369" s="10" t="str">
        <x:f>IF(NOT(AND(J369="PASS",'Calibrare_Linii'!U19="VALID")),"",'Distributie'!AO31)</x:f>
      </x:c>
      <x:c r="N369" s="10" t="str">
        <x:f>IF(M369="","",MAX(0.01,MIN(0.99,0.5+(M369-0.5)*'Motor_Meciuri'!BG31*'Calibrare_Linii'!D19)))</x:f>
      </x:c>
      <x:c r="O369" s="10" t="str">
        <x:f>IF(M369="","",1-M369)</x:f>
      </x:c>
      <x:c r="P369" s="10" t="str">
        <x:f>IF(OR(NOT(AND(J369="PASS",'Calibrare_Linii'!U19="VALID")),AK369=0),""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*('Istoric_Nativ'!$Q$6:$Q$405&gt;H369))/AK369)</x:f>
      </x:c>
      <x:c r="Q369" s="10" t="str">
        <x:f>IF(OR(NOT(AND(J369="PASS",'Calibrare_Linii'!U19="VALID")),AL369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M31)+((('Istoric_Nativ'!$E$6:$E$405='Input_Meci'!E31)+('Istoric_Nativ'!$F$6:$F$405='Input_Meci'!E31))&gt;0)*('Istoric_Nativ'!$D$6:$D$405&gt;='Motor_Meciuri'!BN31))&gt;0)*('Istoric_Nativ'!$Q$6:$Q$405&gt;H369))/AL369)</x:f>
      </x:c>
      <x:c r="R369" s="10" t="str">
        <x:f>IF(OR(NOT(AND(J369="PASS",'Calibrare_Linii'!U19="VALID")),AM369=0),""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'Motor_Meciuri'!BO31)+((('Istoric_Nativ'!$E$6:$E$405='Input_Meci'!E31)+('Istoric_Nativ'!$F$6:$F$405='Input_Meci'!E31))&gt;0)*('Istoric_Nativ'!$D$6:$D$405&gt;='Motor_Meciuri'!BP31))&gt;0)*('Istoric_Nativ'!$Q$6:$Q$405&gt;H369))/AM369)</x:f>
      </x:c>
      <x:c r="S369" s="10" t="str">
        <x:f>IF(M369="","",MAX(O369,P369,Q369,R369))</x:f>
      </x:c>
      <x:c r="T369" s="11" t="str">
        <x:f>IF(M369="","",MIN(100,S369*100*'Config_v6'!$B$44+MIN(100,L369/'Config_v6'!$B$13*100)*'Config_v6'!$B$45+(100-'Motor_Meciuri'!BF31)*'Config_v6'!$B$46+'Motor_Meciuri'!BH31*100*'Config_v6'!$B$47))</x:f>
      </x:c>
      <x:c r="U369" s="2" t="str">
        <x:f>IF(T369="","",IF(T369&lt;=20,1,IF(T369&lt;=40,2,IF(T369&lt;=60,3,IF(T369&lt;=80,4,5)))))</x:f>
      </x:c>
      <x:c r="V369" s="2" t="str">
        <x:f>IF(M369="","",MAX(0,'Motor_Meciuri'!BF31-IF(W369="OOS PENDING",'Config_v6'!$B$35,0)-IF(L369&gt;'Config_v6'!$B$12,'Config_v6'!$B$37,IF(L369&gt;'Config_v6'!$B$11,'Config_v6'!$B$36,0))))</x:f>
      </x:c>
      <x:c r="W369" s="2" t="str">
        <x:f>IF(B369="","",IF(I369&lt;&gt;"READY","NOT RELEASED",IF(NOT(AND(J369="PASS",'Calibrare_Linii'!U19="VALID")),"INVALID",IF(NOT(AND('Calibrare_Linii'!S19="VALIDATED",AND('Calibrare_Linii'!H19=C369,ISNUMBER('Calibrare_Linii'!J19),'Calibrare_Linii'!J19&lt;='Input_Meci'!G31))),"OOS PENDING",IF(S369&lt;='Calibrare_Linii'!E19,"PASS",IF(S369&lt;='Calibrare_Linii'!F19,"PENALTY","WATCH"))))))</x:f>
      </x:c>
      <x:c r="X369" s="2" t="str">
        <x:f>IF(M369="","",IF(AND(AND(J369="PASS",'Calibrare_Linii'!U19="VALID"),'Motor_Meciuri'!K31=12,'Motor_Meciuri'!L31=12,'Motor_Meciuri'!M31="NO",'Motor_Meciuri'!BL31='Motor_Meciuri'!C31,AB369&gt;='Config_v6'!$B$50,AN369&gt;='Config_v6'!$B$51,T369&lt;='Config_v6'!$B$52,L369&lt;='Config_v6'!$B$53,ISNUMBER('Calibrare_Linii'!E19),S369&lt;='Calibrare_Linii'!E19,SUM(AK369:AM369)&gt;0),"CANDIDATE","NO"))</x:f>
      </x:c>
      <x:c r="Y369" s="2" t="str">
        <x:f>IF(B369="","",IF(I369&lt;&gt;"READY","NOT RELEASED",IF(AND(X369="CANDIDATE",V369&gt;='Config_v6'!$B$51,W369="PASS",'Calibrare_Linii'!T19="VALIDATED",AND('Calibrare_Linii'!H19=C369,ISNUMBER('Calibrare_Linii'!J19),'Calibrare_Linii'!J19&lt;='Input_Meci'!G31)),"PASS",IF(X369="CANDIDATE","OOS PENDING","FAIL"))))</x:f>
      </x:c>
      <x:c r="Z369" s="2" t="str">
        <x:f>IF(B369="","",IF(I369&lt;&gt;"READY","",IF(OR(NOT(AND(J369="PASS",'Calibrare_Linii'!U19="VALID")),L369&gt;'Config_v6'!$B$13,W369="WATCH"),5,IF(Y369="PASS",1,MIN(5,MAX('Config_v6'!$B$42,U369)+IF(W369="PENALTY",1,0))))))</x:f>
      </x:c>
      <x:c r="AA369" s="2" t="str">
        <x:f>IF(B369="","",IF(I369&lt;&gt;"READY","NOT RELEASED",IF(Z369=5,"NO BET",IF(OR(AB369&lt;'Config_v6'!$B$16,V369&lt;'Config_v6'!$B$18),"WATCH",IF(Z369=1,"DEFENSIV",IF(Z369=2,"PRUDENT",IF(Z369=3,"MODERAT","RIDICAT")))))))</x:f>
      </x:c>
      <x:c r="AB369" s="10" t="str">
        <x:f>IF(N369="","",MIN(N369,1-S369))</x:f>
      </x:c>
      <x:c r="AC369" s="2" t="str">
        <x:f>IF(AD369&lt;&gt;1,"",COUNTIFS($Z$356:$Z$369,"&lt;"&amp;Z369,$AD$356:$AD$369,1)+COUNTIFS($Z$356:$Z$369,Z369,$AB$356:$AB$369,"&gt;"&amp;AB369,$AD$356:$AD$369,1)+COUNTIFS($Z$356:$Z$369,Z369,$AB$356:$AB$369,AB369,$V$356:$V$369,"&gt;"&amp;V369,$AD$356:$AD$369,1)+COUNTIFS($Z$356:Z369,Z369,$AB$356:AB369,AB369,$V$356:V369,V369,$AD$356:AD369,1))</x:f>
      </x:c>
      <x:c r="AD369" s="2" t="n">
        <x:f>IF(OR(AA369="DEFENSIV",AA369="PRUDENT",AA369="MODERAT",AA369="RIDICAT"),1,0)</x:f>
        <x:v>0</x:v>
      </x:c>
      <x:c r="AE369" s="2" t="str">
        <x:f>IF(AD369&lt;&gt;1,"NO",IF(W369="PASS","YES",IF(W369="OOS PENDING","CONDITIONAL","NO")))</x:f>
        <x:v>NO</x:v>
      </x:c>
      <x:c r="AF369" s="2" t="n">
        <x:f>IF(AND(AD369=1,AC369=1,E369="LIVE"),1,0)</x:f>
        <x:v>0</x:v>
      </x:c>
      <x:c r="AG369" s="2" t="str">
        <x:f>IF(AF369&lt;&gt;1,"",'Dashboard'!P51)</x:f>
      </x:c>
      <x:c r="AH369" s="2" t="str">
        <x:f>IF(B369="","",IF(J369&lt;&gt;"PASS",'Motor_Meciuri'!J31,IF('Calibrare_Linii'!U19&lt;&gt;"VALID","Parametri linie invalizi",IF(L369&gt;'Config_v6'!$B$13,"Dispersie peste limita",IF(W369="WATCH","Failure peste limita",IF(AB369&lt;'Config_v6'!$B$16,"P finala sub prag",IF(V369&lt;'Config_v6'!$B$18,"Confidence sub prag",IF(E369="REPLAY","Exemplu retrospectiv; exclus din Top LIVE",IF(Y369="PASS","DEFENSIV validat",IF(W369="OOS PENDING","Eligibil; calibrare linie in monitorizare","Eligibil"))))))))))</x:f>
      </x:c>
      <x:c r="AI369" s="2" t="str">
        <x:f>IF(B369="","",'Calibrare_Linii'!V19)</x:f>
      </x:c>
      <x:c r="AJ369" s="2" t="str">
        <x:f>IF(B369="","",IF(AND('Calibrare_Linii'!T19="VALIDATED",AND('Calibrare_Linii'!H19=C369,ISNUMBER('Calibrare_Linii'!J19),'Calibrare_Linii'!J19&lt;='Input_Meci'!G31)),"DEFENSIVE VALIDATED",IF(AND('Calibrare_Linii'!S19="VALIDATED",AND('Calibrare_Linii'!H19=C369,ISNUMBER('Calibrare_Linii'!J19),'Calibrare_Linii'!J19&lt;='Input_Meci'!G31)),"TAIL VALIDATED","OOS PENDING")))</x:f>
      </x:c>
      <x:c r="AK369" s="2" t="n">
        <x:f>IF(J369&lt;&gt;"PASS",0,'Motor_Meciuri'!BR31)</x:f>
        <x:v>0</x:v>
      </x:c>
      <x:c r="AL369" s="2" t="n">
        <x:f>IF(J369&lt;&gt;"PASS",0,'Motor_Meciuri'!BS31)</x:f>
        <x:v>0</x:v>
      </x:c>
      <x:c r="AM369" s="2" t="n">
        <x:f>IF(J369&lt;&gt;"PASS",0,'Motor_Meciuri'!BT31)</x:f>
        <x:v>0</x:v>
      </x:c>
      <x:c r="AN369" s="2" t="str">
        <x:f>IF(M369="","",MAX(0,'Motor_Meciuri'!BF31-IF(L369&gt;'Config_v6'!$B$12,'Config_v6'!$B$37,IF(L369&gt;'Config_v6'!$B$11,'Config_v6'!$B$36,0))))</x:f>
      </x:c>
    </x:row>
    <x:row r="370" ht="21" customHeight="1">
      <x:c r="A370" s="2" t="n">
        <x:v>27</x:v>
      </x:c>
      <x:c r="B370" s="2" t="str">
        <x:f>IF('Motor_Meciuri'!A32="","",'Motor_Meciuri'!A32)</x:f>
      </x:c>
      <x:c r="C370" s="2" t="str">
        <x:f>IF(B370="","",'Motor_Meciuri'!B32)</x:f>
      </x:c>
      <x:c r="D370" s="2" t="str">
        <x:f>IF(B370="","",'Motor_Meciuri'!D32)</x:f>
      </x:c>
      <x:c r="E370" s="2" t="str">
        <x:f>IF(B370="","",'Motor_Meciuri'!E32)</x:f>
      </x:c>
      <x:c r="F370" s="2" t="str">
        <x:v>O3,5</x:v>
      </x:c>
      <x:c r="G370" s="2" t="str">
        <x:v>OVER</x:v>
      </x:c>
      <x:c r="H370" s="2" t="n">
        <x:v>3</x:v>
      </x:c>
      <x:c r="I370" s="2" t="str">
        <x:f>IF(B370="","",'Motor_Meciuri'!H32)</x:f>
      </x:c>
      <x:c r="J370" s="2" t="str">
        <x:f>IF(B370="","",'Motor_Meciuri'!I32)</x:f>
      </x:c>
      <x:c r="K370" s="11" t="str">
        <x:f>IF(J370&lt;&gt;"PASS","",'Motor_Meciuri'!BD32)</x:f>
      </x:c>
      <x:c r="L370" s="11" t="str">
        <x:f>IF(J370&lt;&gt;"PASS","",'Motor_Meciuri'!AU32)</x:f>
      </x:c>
      <x:c r="M370" s="10" t="str">
        <x:f>IF(NOT(AND(J370="PASS",'Calibrare_Linii'!U6="VALID")),"",1-'Distributie'!AA32)</x:f>
      </x:c>
      <x:c r="N370" s="10" t="str">
        <x:f>IF(M370="","",MAX(0.01,MIN(0.99,0.5+(M370-0.5)*'Motor_Meciuri'!BG32*'Calibrare_Linii'!D6)))</x:f>
      </x:c>
      <x:c r="O370" s="10" t="str">
        <x:f>IF(M370="","",1-M370)</x:f>
      </x:c>
      <x:c r="P370" s="10" t="str">
        <x:f>IF(OR(NOT(AND(J370="PASS",'Calibrare_Linii'!U6="VALID")),AK370=0),""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*('Istoric_Nativ'!$Q$6:$Q$405&lt;=H370))/AK370)</x:f>
      </x:c>
      <x:c r="Q370" s="10" t="str">
        <x:f>IF(OR(NOT(AND(J370="PASS",'Calibrare_Linii'!U6="VALID")),AL370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M32)+((('Istoric_Nativ'!$E$6:$E$405='Input_Meci'!E32)+('Istoric_Nativ'!$F$6:$F$405='Input_Meci'!E32))&gt;0)*('Istoric_Nativ'!$D$6:$D$405&gt;='Motor_Meciuri'!BN32))&gt;0)*('Istoric_Nativ'!$Q$6:$Q$405&lt;=H370))/AL370)</x:f>
      </x:c>
      <x:c r="R370" s="10" t="str">
        <x:f>IF(OR(NOT(AND(J370="PASS",'Calibrare_Linii'!U6="VALID")),AM370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O32)+((('Istoric_Nativ'!$E$6:$E$405='Input_Meci'!E32)+('Istoric_Nativ'!$F$6:$F$405='Input_Meci'!E32))&gt;0)*('Istoric_Nativ'!$D$6:$D$405&gt;='Motor_Meciuri'!BP32))&gt;0)*('Istoric_Nativ'!$Q$6:$Q$405&lt;=H370))/AM370)</x:f>
      </x:c>
      <x:c r="S370" s="10" t="str">
        <x:f>IF(M370="","",MAX(O370,P370,Q370,R370))</x:f>
      </x:c>
      <x:c r="T370" s="11" t="str">
        <x:f>IF(M370="","",MIN(100,S370*100*'Config_v6'!$B$44+MIN(100,L370/'Config_v6'!$B$13*100)*'Config_v6'!$B$45+(100-'Motor_Meciuri'!BF32)*'Config_v6'!$B$46+'Motor_Meciuri'!BH32*100*'Config_v6'!$B$47))</x:f>
      </x:c>
      <x:c r="U370" s="2" t="str">
        <x:f>IF(T370="","",IF(T370&lt;=20,1,IF(T370&lt;=40,2,IF(T370&lt;=60,3,IF(T370&lt;=80,4,5)))))</x:f>
      </x:c>
      <x:c r="V370" s="2" t="str">
        <x:f>IF(M370="","",MAX(0,'Motor_Meciuri'!BF32-IF(W370="OOS PENDING",'Config_v6'!$B$35,0)-IF(L370&gt;'Config_v6'!$B$12,'Config_v6'!$B$37,IF(L370&gt;'Config_v6'!$B$11,'Config_v6'!$B$36,0))))</x:f>
      </x:c>
      <x:c r="W370" s="2" t="str">
        <x:f>IF(B370="","",IF(I370&lt;&gt;"READY","NOT RELEASED",IF(NOT(AND(J370="PASS",'Calibrare_Linii'!U6="VALID")),"INVALID",IF(NOT(TRUE),"OOS PENDING",IF(S370&lt;=IF(AND('Calibrare_Linii'!S6="VALIDATED",AND('Calibrare_Linii'!H6=C370,ISNUMBER('Calibrare_Linii'!J6),'Calibrare_Linii'!J6&lt;='Input_Meci'!G32)),'Calibrare_Linii'!E6,'Config_v6'!$B$26),"PASS",IF(S370&lt;=IF(AND('Calibrare_Linii'!S6="VALIDATED",AND('Calibrare_Linii'!H6=C370,ISNUMBER('Calibrare_Linii'!J6),'Calibrare_Linii'!J6&lt;='Input_Meci'!G32)),'Calibrare_Linii'!F6,'Config_v6'!$C$26),"PENALTY","WATCH"))))))</x:f>
      </x:c>
      <x:c r="X370" s="2" t="str">
        <x:f>IF(M370="","",IF(AND(AND(J370="PASS",'Calibrare_Linii'!U6="VALID"),'Motor_Meciuri'!K32=12,'Motor_Meciuri'!L32=12,'Motor_Meciuri'!M32="NO",'Motor_Meciuri'!BL32='Motor_Meciuri'!C32,AB370&gt;='Config_v6'!$B$50,AN370&gt;='Config_v6'!$B$51,T370&lt;='Config_v6'!$B$52,L370&lt;='Config_v6'!$B$53,ISNUMBER('Calibrare_Linii'!E6),S370&lt;='Calibrare_Linii'!E6,SUM(AK370:AM370)&gt;0),"CANDIDATE","NO"))</x:f>
      </x:c>
      <x:c r="Y370" s="2" t="str">
        <x:f>IF(B370="","",IF(I370&lt;&gt;"READY","NOT RELEASED",IF(AND(X370="CANDIDATE",V370&gt;='Config_v6'!$B$51,W370="PASS",'Calibrare_Linii'!T6="VALIDATED",AND('Calibrare_Linii'!H6=C370,ISNUMBER('Calibrare_Linii'!J6),'Calibrare_Linii'!J6&lt;='Input_Meci'!G32)),"PASS",IF(X370="CANDIDATE","OOS PENDING","FAIL"))))</x:f>
      </x:c>
      <x:c r="Z370" s="2" t="str">
        <x:f>IF(B370="","",IF(I370&lt;&gt;"READY","",IF(OR(NOT(AND(J370="PASS",'Calibrare_Linii'!U6="VALID")),L370&gt;'Config_v6'!$B$13,W370="WATCH"),5,IF(Y370="PASS",1,MIN(5,MAX('Config_v6'!$B$42,U370)+IF(W370="PENALTY",1,0))))))</x:f>
      </x:c>
      <x:c r="AA370" s="2" t="str">
        <x:f>IF(B370="","",IF(I370&lt;&gt;"READY","NOT RELEASED",IF(Z370=5,"NO BET",IF(OR(AB370&lt;'Config_v6'!$B$16,V370&lt;'Config_v6'!$B$18),"WATCH",IF(Z370=1,"DEFENSIV",IF(Z370=2,"PRUDENT",IF(Z370=3,"MODERAT","RIDICAT")))))))</x:f>
      </x:c>
      <x:c r="AB370" s="10" t="str">
        <x:f>IF(N370="","",MIN(N370,1-S370))</x:f>
      </x:c>
      <x:c r="AC370" s="2" t="str">
        <x:f>IF(AD370&lt;&gt;1,"",COUNTIFS($Z$370:$Z$383,"&lt;"&amp;Z370,$AD$370:$AD$383,1)+COUNTIFS($Z$370:$Z$383,Z370,$AB$370:$AB$383,"&gt;"&amp;AB370,$AD$370:$AD$383,1)+COUNTIFS($Z$370:$Z$383,Z370,$AB$370:$AB$383,AB370,$V$370:$V$383,"&gt;"&amp;V370,$AD$370:$AD$383,1)+COUNTIFS($Z$370:Z370,Z370,$AB$370:AB370,AB370,$V$370:V370,V370,$AD$370:AD370,1))</x:f>
      </x:c>
      <x:c r="AD370" s="2" t="n">
        <x:f>IF(OR(AA370="DEFENSIV",AA370="PRUDENT",AA370="MODERAT",AA370="RIDICAT"),1,0)</x:f>
        <x:v>0</x:v>
      </x:c>
      <x:c r="AE370" s="2" t="str">
        <x:f>IF(AD370&lt;&gt;1,"NO",IF(W370="PASS","YES",IF(W370="OOS PENDING","CONDITIONAL","NO")))</x:f>
        <x:v>NO</x:v>
      </x:c>
      <x:c r="AF370" s="2" t="n">
        <x:f>IF(AND(AD370=1,AC370=1,E370="LIVE"),1,0)</x:f>
        <x:v>0</x:v>
      </x:c>
      <x:c r="AG370" s="2" t="str">
        <x:f>IF(AF370&lt;&gt;1,"",'Dashboard'!P52)</x:f>
      </x:c>
      <x:c r="AH370" s="2" t="str">
        <x:f>IF(B370="","",IF(J370&lt;&gt;"PASS",'Motor_Meciuri'!J32,IF('Calibrare_Linii'!U6&lt;&gt;"VALID","Parametri linie invalizi",IF(L370&gt;'Config_v6'!$B$13,"Dispersie peste limita",IF(W370="WATCH","Failure peste limita",IF(AB370&lt;'Config_v6'!$B$16,"P finala sub prag",IF(V370&lt;'Config_v6'!$B$18,"Confidence sub prag",IF(E370="REPLAY","Exemplu retrospectiv; exclus din Top LIVE",IF(Y370="PASS","DEFENSIV validat",IF(W370="OOS PENDING","Eligibil; calibrare linie in monitorizare","Eligibil"))))))))))</x:f>
      </x:c>
      <x:c r="AI370" s="2" t="str">
        <x:f>IF(B370="","",'Calibrare_Linii'!V6)</x:f>
      </x:c>
      <x:c r="AJ370" s="2" t="str">
        <x:f>IF(B370="","",IF(AND('Calibrare_Linii'!T6="VALIDATED",AND('Calibrare_Linii'!H6=C370,ISNUMBER('Calibrare_Linii'!J6),'Calibrare_Linii'!J6&lt;='Input_Meci'!G32)),"DEFENSIVE VALIDATED",IF(AND('Calibrare_Linii'!S6="VALIDATED",AND('Calibrare_Linii'!H6=C370,ISNUMBER('Calibrare_Linii'!J6),'Calibrare_Linii'!J6&lt;='Input_Meci'!G32)),"TAIL VALIDATED","OOS PENDING")))</x:f>
      </x:c>
      <x:c r="AK370" s="2" t="n">
        <x:f>IF(J370&lt;&gt;"PASS",0,'Motor_Meciuri'!BR32)</x:f>
        <x:v>0</x:v>
      </x:c>
      <x:c r="AL370" s="2" t="n">
        <x:f>IF(J370&lt;&gt;"PASS",0,'Motor_Meciuri'!BS32)</x:f>
        <x:v>0</x:v>
      </x:c>
      <x:c r="AM370" s="2" t="n">
        <x:f>IF(J370&lt;&gt;"PASS",0,'Motor_Meciuri'!BT32)</x:f>
        <x:v>0</x:v>
      </x:c>
      <x:c r="AN370" s="2" t="str">
        <x:f>IF(M370="","",MAX(0,'Motor_Meciuri'!BF32-IF(L370&gt;'Config_v6'!$B$12,'Config_v6'!$B$37,IF(L370&gt;'Config_v6'!$B$11,'Config_v6'!$B$36,0))))</x:f>
      </x:c>
    </x:row>
    <x:row r="371" ht="21" customHeight="1">
      <x:c r="A371" s="2" t="n">
        <x:v>27</x:v>
      </x:c>
      <x:c r="B371" s="2" t="str">
        <x:f>IF('Motor_Meciuri'!A32="","",'Motor_Meciuri'!A32)</x:f>
      </x:c>
      <x:c r="C371" s="2" t="str">
        <x:f>IF(B371="","",'Motor_Meciuri'!B32)</x:f>
      </x:c>
      <x:c r="D371" s="2" t="str">
        <x:f>IF(B371="","",'Motor_Meciuri'!D32)</x:f>
      </x:c>
      <x:c r="E371" s="2" t="str">
        <x:f>IF(B371="","",'Motor_Meciuri'!E32)</x:f>
      </x:c>
      <x:c r="F371" s="2" t="str">
        <x:v>O4,5</x:v>
      </x:c>
      <x:c r="G371" s="2" t="str">
        <x:v>OVER</x:v>
      </x:c>
      <x:c r="H371" s="2" t="n">
        <x:v>4</x:v>
      </x:c>
      <x:c r="I371" s="2" t="str">
        <x:f>IF(B371="","",'Motor_Meciuri'!H32)</x:f>
      </x:c>
      <x:c r="J371" s="2" t="str">
        <x:f>IF(B371="","",'Motor_Meciuri'!I32)</x:f>
      </x:c>
      <x:c r="K371" s="11" t="str">
        <x:f>IF(J371&lt;&gt;"PASS","",'Motor_Meciuri'!BD32)</x:f>
      </x:c>
      <x:c r="L371" s="11" t="str">
        <x:f>IF(J371&lt;&gt;"PASS","",'Motor_Meciuri'!AU32)</x:f>
      </x:c>
      <x:c r="M371" s="10" t="str">
        <x:f>IF(NOT(AND(J371="PASS",'Calibrare_Linii'!U7="VALID")),"",1-'Distributie'!AB32)</x:f>
      </x:c>
      <x:c r="N371" s="10" t="str">
        <x:f>IF(M371="","",MAX(0.01,MIN(0.99,0.5+(M371-0.5)*'Motor_Meciuri'!BG32*'Calibrare_Linii'!D7)))</x:f>
      </x:c>
      <x:c r="O371" s="10" t="str">
        <x:f>IF(M371="","",1-M371)</x:f>
      </x:c>
      <x:c r="P371" s="10" t="str">
        <x:f>IF(OR(NOT(AND(J371="PASS",'Calibrare_Linii'!U7="VALID")),AK371=0),""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*('Istoric_Nativ'!$Q$6:$Q$405&lt;=H371))/AK371)</x:f>
      </x:c>
      <x:c r="Q371" s="10" t="str">
        <x:f>IF(OR(NOT(AND(J371="PASS",'Calibrare_Linii'!U7="VALID")),AL371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M32)+((('Istoric_Nativ'!$E$6:$E$405='Input_Meci'!E32)+('Istoric_Nativ'!$F$6:$F$405='Input_Meci'!E32))&gt;0)*('Istoric_Nativ'!$D$6:$D$405&gt;='Motor_Meciuri'!BN32))&gt;0)*('Istoric_Nativ'!$Q$6:$Q$405&lt;=H371))/AL371)</x:f>
      </x:c>
      <x:c r="R371" s="10" t="str">
        <x:f>IF(OR(NOT(AND(J371="PASS",'Calibrare_Linii'!U7="VALID")),AM371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O32)+((('Istoric_Nativ'!$E$6:$E$405='Input_Meci'!E32)+('Istoric_Nativ'!$F$6:$F$405='Input_Meci'!E32))&gt;0)*('Istoric_Nativ'!$D$6:$D$405&gt;='Motor_Meciuri'!BP32))&gt;0)*('Istoric_Nativ'!$Q$6:$Q$405&lt;=H371))/AM371)</x:f>
      </x:c>
      <x:c r="S371" s="10" t="str">
        <x:f>IF(M371="","",MAX(O371,P371,Q371,R371))</x:f>
      </x:c>
      <x:c r="T371" s="11" t="str">
        <x:f>IF(M371="","",MIN(100,S371*100*'Config_v6'!$B$44+MIN(100,L371/'Config_v6'!$B$13*100)*'Config_v6'!$B$45+(100-'Motor_Meciuri'!BF32)*'Config_v6'!$B$46+'Motor_Meciuri'!BH32*100*'Config_v6'!$B$47))</x:f>
      </x:c>
      <x:c r="U371" s="2" t="str">
        <x:f>IF(T371="","",IF(T371&lt;=20,1,IF(T371&lt;=40,2,IF(T371&lt;=60,3,IF(T371&lt;=80,4,5)))))</x:f>
      </x:c>
      <x:c r="V371" s="2" t="str">
        <x:f>IF(M371="","",MAX(0,'Motor_Meciuri'!BF32-IF(W371="OOS PENDING",'Config_v6'!$B$35,0)-IF(L371&gt;'Config_v6'!$B$12,'Config_v6'!$B$37,IF(L371&gt;'Config_v6'!$B$11,'Config_v6'!$B$36,0))))</x:f>
      </x:c>
      <x:c r="W371" s="2" t="str">
        <x:f>IF(B371="","",IF(I371&lt;&gt;"READY","NOT RELEASED",IF(NOT(AND(J371="PASS",'Calibrare_Linii'!U7="VALID")),"INVALID",IF(NOT(AND('Calibrare_Linii'!S7="VALIDATED",AND('Calibrare_Linii'!H7=C371,ISNUMBER('Calibrare_Linii'!J7),'Calibrare_Linii'!J7&lt;='Input_Meci'!G32))),"OOS PENDING",IF(S371&lt;='Calibrare_Linii'!E7,"PASS",IF(S371&lt;='Calibrare_Linii'!F7,"PENALTY","WATCH"))))))</x:f>
      </x:c>
      <x:c r="X371" s="2" t="str">
        <x:f>IF(M371="","",IF(AND(AND(J371="PASS",'Calibrare_Linii'!U7="VALID"),'Motor_Meciuri'!K32=12,'Motor_Meciuri'!L32=12,'Motor_Meciuri'!M32="NO",'Motor_Meciuri'!BL32='Motor_Meciuri'!C32,AB371&gt;='Config_v6'!$B$50,AN371&gt;='Config_v6'!$B$51,T371&lt;='Config_v6'!$B$52,L371&lt;='Config_v6'!$B$53,ISNUMBER('Calibrare_Linii'!E7),S371&lt;='Calibrare_Linii'!E7,SUM(AK371:AM371)&gt;0),"CANDIDATE","NO"))</x:f>
      </x:c>
      <x:c r="Y371" s="2" t="str">
        <x:f>IF(B371="","",IF(I371&lt;&gt;"READY","NOT RELEASED",IF(AND(X371="CANDIDATE",V371&gt;='Config_v6'!$B$51,W371="PASS",'Calibrare_Linii'!T7="VALIDATED",AND('Calibrare_Linii'!H7=C371,ISNUMBER('Calibrare_Linii'!J7),'Calibrare_Linii'!J7&lt;='Input_Meci'!G32)),"PASS",IF(X371="CANDIDATE","OOS PENDING","FAIL"))))</x:f>
      </x:c>
      <x:c r="Z371" s="2" t="str">
        <x:f>IF(B371="","",IF(I371&lt;&gt;"READY","",IF(OR(NOT(AND(J371="PASS",'Calibrare_Linii'!U7="VALID")),L371&gt;'Config_v6'!$B$13,W371="WATCH"),5,IF(Y371="PASS",1,MIN(5,MAX('Config_v6'!$B$42,U371)+IF(W371="PENALTY",1,0))))))</x:f>
      </x:c>
      <x:c r="AA371" s="2" t="str">
        <x:f>IF(B371="","",IF(I371&lt;&gt;"READY","NOT RELEASED",IF(Z371=5,"NO BET",IF(OR(AB371&lt;'Config_v6'!$B$16,V371&lt;'Config_v6'!$B$18),"WATCH",IF(Z371=1,"DEFENSIV",IF(Z371=2,"PRUDENT",IF(Z371=3,"MODERAT","RIDICAT")))))))</x:f>
      </x:c>
      <x:c r="AB371" s="10" t="str">
        <x:f>IF(N371="","",MIN(N371,1-S371))</x:f>
      </x:c>
      <x:c r="AC371" s="2" t="str">
        <x:f>IF(AD371&lt;&gt;1,"",COUNTIFS($Z$370:$Z$383,"&lt;"&amp;Z371,$AD$370:$AD$383,1)+COUNTIFS($Z$370:$Z$383,Z371,$AB$370:$AB$383,"&gt;"&amp;AB371,$AD$370:$AD$383,1)+COUNTIFS($Z$370:$Z$383,Z371,$AB$370:$AB$383,AB371,$V$370:$V$383,"&gt;"&amp;V371,$AD$370:$AD$383,1)+COUNTIFS($Z$370:Z371,Z371,$AB$370:AB371,AB371,$V$370:V371,V371,$AD$370:AD371,1))</x:f>
      </x:c>
      <x:c r="AD371" s="2" t="n">
        <x:f>IF(OR(AA371="DEFENSIV",AA371="PRUDENT",AA371="MODERAT",AA371="RIDICAT"),1,0)</x:f>
        <x:v>0</x:v>
      </x:c>
      <x:c r="AE371" s="2" t="str">
        <x:f>IF(AD371&lt;&gt;1,"NO",IF(W371="PASS","YES",IF(W371="OOS PENDING","CONDITIONAL","NO")))</x:f>
        <x:v>NO</x:v>
      </x:c>
      <x:c r="AF371" s="2" t="n">
        <x:f>IF(AND(AD371=1,AC371=1,E371="LIVE"),1,0)</x:f>
        <x:v>0</x:v>
      </x:c>
      <x:c r="AG371" s="2" t="str">
        <x:f>IF(AF371&lt;&gt;1,"",'Dashboard'!P52)</x:f>
      </x:c>
      <x:c r="AH371" s="2" t="str">
        <x:f>IF(B371="","",IF(J371&lt;&gt;"PASS",'Motor_Meciuri'!J32,IF('Calibrare_Linii'!U7&lt;&gt;"VALID","Parametri linie invalizi",IF(L371&gt;'Config_v6'!$B$13,"Dispersie peste limita",IF(W371="WATCH","Failure peste limita",IF(AB371&lt;'Config_v6'!$B$16,"P finala sub prag",IF(V371&lt;'Config_v6'!$B$18,"Confidence sub prag",IF(E371="REPLAY","Exemplu retrospectiv; exclus din Top LIVE",IF(Y371="PASS","DEFENSIV validat",IF(W371="OOS PENDING","Eligibil; calibrare linie in monitorizare","Eligibil"))))))))))</x:f>
      </x:c>
      <x:c r="AI371" s="2" t="str">
        <x:f>IF(B371="","",'Calibrare_Linii'!V7)</x:f>
      </x:c>
      <x:c r="AJ371" s="2" t="str">
        <x:f>IF(B371="","",IF(AND('Calibrare_Linii'!T7="VALIDATED",AND('Calibrare_Linii'!H7=C371,ISNUMBER('Calibrare_Linii'!J7),'Calibrare_Linii'!J7&lt;='Input_Meci'!G32)),"DEFENSIVE VALIDATED",IF(AND('Calibrare_Linii'!S7="VALIDATED",AND('Calibrare_Linii'!H7=C371,ISNUMBER('Calibrare_Linii'!J7),'Calibrare_Linii'!J7&lt;='Input_Meci'!G32)),"TAIL VALIDATED","OOS PENDING")))</x:f>
      </x:c>
      <x:c r="AK371" s="2" t="n">
        <x:f>IF(J371&lt;&gt;"PASS",0,'Motor_Meciuri'!BR32)</x:f>
        <x:v>0</x:v>
      </x:c>
      <x:c r="AL371" s="2" t="n">
        <x:f>IF(J371&lt;&gt;"PASS",0,'Motor_Meciuri'!BS32)</x:f>
        <x:v>0</x:v>
      </x:c>
      <x:c r="AM371" s="2" t="n">
        <x:f>IF(J371&lt;&gt;"PASS",0,'Motor_Meciuri'!BT32)</x:f>
        <x:v>0</x:v>
      </x:c>
      <x:c r="AN371" s="2" t="str">
        <x:f>IF(M371="","",MAX(0,'Motor_Meciuri'!BF32-IF(L371&gt;'Config_v6'!$B$12,'Config_v6'!$B$37,IF(L371&gt;'Config_v6'!$B$11,'Config_v6'!$B$36,0))))</x:f>
      </x:c>
    </x:row>
    <x:row r="372" ht="21" customHeight="1">
      <x:c r="A372" s="2" t="n">
        <x:v>27</x:v>
      </x:c>
      <x:c r="B372" s="2" t="str">
        <x:f>IF('Motor_Meciuri'!A32="","",'Motor_Meciuri'!A32)</x:f>
      </x:c>
      <x:c r="C372" s="2" t="str">
        <x:f>IF(B372="","",'Motor_Meciuri'!B32)</x:f>
      </x:c>
      <x:c r="D372" s="2" t="str">
        <x:f>IF(B372="","",'Motor_Meciuri'!D32)</x:f>
      </x:c>
      <x:c r="E372" s="2" t="str">
        <x:f>IF(B372="","",'Motor_Meciuri'!E32)</x:f>
      </x:c>
      <x:c r="F372" s="2" t="str">
        <x:v>O5,5</x:v>
      </x:c>
      <x:c r="G372" s="2" t="str">
        <x:v>OVER</x:v>
      </x:c>
      <x:c r="H372" s="2" t="n">
        <x:v>5</x:v>
      </x:c>
      <x:c r="I372" s="2" t="str">
        <x:f>IF(B372="","",'Motor_Meciuri'!H32)</x:f>
      </x:c>
      <x:c r="J372" s="2" t="str">
        <x:f>IF(B372="","",'Motor_Meciuri'!I32)</x:f>
      </x:c>
      <x:c r="K372" s="11" t="str">
        <x:f>IF(J372&lt;&gt;"PASS","",'Motor_Meciuri'!BD32)</x:f>
      </x:c>
      <x:c r="L372" s="11" t="str">
        <x:f>IF(J372&lt;&gt;"PASS","",'Motor_Meciuri'!AU32)</x:f>
      </x:c>
      <x:c r="M372" s="10" t="str">
        <x:f>IF(NOT(AND(J372="PASS",'Calibrare_Linii'!U8="VALID")),"",1-'Distributie'!AC32)</x:f>
      </x:c>
      <x:c r="N372" s="10" t="str">
        <x:f>IF(M372="","",MAX(0.01,MIN(0.99,0.5+(M372-0.5)*'Motor_Meciuri'!BG32*'Calibrare_Linii'!D8)))</x:f>
      </x:c>
      <x:c r="O372" s="10" t="str">
        <x:f>IF(M372="","",1-M372)</x:f>
      </x:c>
      <x:c r="P372" s="10" t="str">
        <x:f>IF(OR(NOT(AND(J372="PASS",'Calibrare_Linii'!U8="VALID")),AK372=0),""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*('Istoric_Nativ'!$Q$6:$Q$405&lt;=H372))/AK372)</x:f>
      </x:c>
      <x:c r="Q372" s="10" t="str">
        <x:f>IF(OR(NOT(AND(J372="PASS",'Calibrare_Linii'!U8="VALID")),AL372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M32)+((('Istoric_Nativ'!$E$6:$E$405='Input_Meci'!E32)+('Istoric_Nativ'!$F$6:$F$405='Input_Meci'!E32))&gt;0)*('Istoric_Nativ'!$D$6:$D$405&gt;='Motor_Meciuri'!BN32))&gt;0)*('Istoric_Nativ'!$Q$6:$Q$405&lt;=H372))/AL372)</x:f>
      </x:c>
      <x:c r="R372" s="10" t="str">
        <x:f>IF(OR(NOT(AND(J372="PASS",'Calibrare_Linii'!U8="VALID")),AM372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O32)+((('Istoric_Nativ'!$E$6:$E$405='Input_Meci'!E32)+('Istoric_Nativ'!$F$6:$F$405='Input_Meci'!E32))&gt;0)*('Istoric_Nativ'!$D$6:$D$405&gt;='Motor_Meciuri'!BP32))&gt;0)*('Istoric_Nativ'!$Q$6:$Q$405&lt;=H372))/AM372)</x:f>
      </x:c>
      <x:c r="S372" s="10" t="str">
        <x:f>IF(M372="","",MAX(O372,P372,Q372,R372))</x:f>
      </x:c>
      <x:c r="T372" s="11" t="str">
        <x:f>IF(M372="","",MIN(100,S372*100*'Config_v6'!$B$44+MIN(100,L372/'Config_v6'!$B$13*100)*'Config_v6'!$B$45+(100-'Motor_Meciuri'!BF32)*'Config_v6'!$B$46+'Motor_Meciuri'!BH32*100*'Config_v6'!$B$47))</x:f>
      </x:c>
      <x:c r="U372" s="2" t="str">
        <x:f>IF(T372="","",IF(T372&lt;=20,1,IF(T372&lt;=40,2,IF(T372&lt;=60,3,IF(T372&lt;=80,4,5)))))</x:f>
      </x:c>
      <x:c r="V372" s="2" t="str">
        <x:f>IF(M372="","",MAX(0,'Motor_Meciuri'!BF32-IF(W372="OOS PENDING",'Config_v6'!$B$35,0)-IF(L372&gt;'Config_v6'!$B$12,'Config_v6'!$B$37,IF(L372&gt;'Config_v6'!$B$11,'Config_v6'!$B$36,0))))</x:f>
      </x:c>
      <x:c r="W372" s="2" t="str">
        <x:f>IF(B372="","",IF(I372&lt;&gt;"READY","NOT RELEASED",IF(NOT(AND(J372="PASS",'Calibrare_Linii'!U8="VALID")),"INVALID",IF(NOT(AND('Calibrare_Linii'!S8="VALIDATED",AND('Calibrare_Linii'!H8=C372,ISNUMBER('Calibrare_Linii'!J8),'Calibrare_Linii'!J8&lt;='Input_Meci'!G32))),"OOS PENDING",IF(S372&lt;='Calibrare_Linii'!E8,"PASS",IF(S372&lt;='Calibrare_Linii'!F8,"PENALTY","WATCH"))))))</x:f>
      </x:c>
      <x:c r="X372" s="2" t="str">
        <x:f>IF(M372="","",IF(AND(AND(J372="PASS",'Calibrare_Linii'!U8="VALID"),'Motor_Meciuri'!K32=12,'Motor_Meciuri'!L32=12,'Motor_Meciuri'!M32="NO",'Motor_Meciuri'!BL32='Motor_Meciuri'!C32,AB372&gt;='Config_v6'!$B$50,AN372&gt;='Config_v6'!$B$51,T372&lt;='Config_v6'!$B$52,L372&lt;='Config_v6'!$B$53,ISNUMBER('Calibrare_Linii'!E8),S372&lt;='Calibrare_Linii'!E8,SUM(AK372:AM372)&gt;0),"CANDIDATE","NO"))</x:f>
      </x:c>
      <x:c r="Y372" s="2" t="str">
        <x:f>IF(B372="","",IF(I372&lt;&gt;"READY","NOT RELEASED",IF(AND(X372="CANDIDATE",V372&gt;='Config_v6'!$B$51,W372="PASS",'Calibrare_Linii'!T8="VALIDATED",AND('Calibrare_Linii'!H8=C372,ISNUMBER('Calibrare_Linii'!J8),'Calibrare_Linii'!J8&lt;='Input_Meci'!G32)),"PASS",IF(X372="CANDIDATE","OOS PENDING","FAIL"))))</x:f>
      </x:c>
      <x:c r="Z372" s="2" t="str">
        <x:f>IF(B372="","",IF(I372&lt;&gt;"READY","",IF(OR(NOT(AND(J372="PASS",'Calibrare_Linii'!U8="VALID")),L372&gt;'Config_v6'!$B$13,W372="WATCH"),5,IF(Y372="PASS",1,MIN(5,MAX('Config_v6'!$B$42,U372)+IF(W372="PENALTY",1,0))))))</x:f>
      </x:c>
      <x:c r="AA372" s="2" t="str">
        <x:f>IF(B372="","",IF(I372&lt;&gt;"READY","NOT RELEASED",IF(Z372=5,"NO BET",IF(OR(AB372&lt;'Config_v6'!$B$16,V372&lt;'Config_v6'!$B$18),"WATCH",IF(Z372=1,"DEFENSIV",IF(Z372=2,"PRUDENT",IF(Z372=3,"MODERAT","RIDICAT")))))))</x:f>
      </x:c>
      <x:c r="AB372" s="10" t="str">
        <x:f>IF(N372="","",MIN(N372,1-S372))</x:f>
      </x:c>
      <x:c r="AC372" s="2" t="str">
        <x:f>IF(AD372&lt;&gt;1,"",COUNTIFS($Z$370:$Z$383,"&lt;"&amp;Z372,$AD$370:$AD$383,1)+COUNTIFS($Z$370:$Z$383,Z372,$AB$370:$AB$383,"&gt;"&amp;AB372,$AD$370:$AD$383,1)+COUNTIFS($Z$370:$Z$383,Z372,$AB$370:$AB$383,AB372,$V$370:$V$383,"&gt;"&amp;V372,$AD$370:$AD$383,1)+COUNTIFS($Z$370:Z372,Z372,$AB$370:AB372,AB372,$V$370:V372,V372,$AD$370:AD372,1))</x:f>
      </x:c>
      <x:c r="AD372" s="2" t="n">
        <x:f>IF(OR(AA372="DEFENSIV",AA372="PRUDENT",AA372="MODERAT",AA372="RIDICAT"),1,0)</x:f>
        <x:v>0</x:v>
      </x:c>
      <x:c r="AE372" s="2" t="str">
        <x:f>IF(AD372&lt;&gt;1,"NO",IF(W372="PASS","YES",IF(W372="OOS PENDING","CONDITIONAL","NO")))</x:f>
        <x:v>NO</x:v>
      </x:c>
      <x:c r="AF372" s="2" t="n">
        <x:f>IF(AND(AD372=1,AC372=1,E372="LIVE"),1,0)</x:f>
        <x:v>0</x:v>
      </x:c>
      <x:c r="AG372" s="2" t="str">
        <x:f>IF(AF372&lt;&gt;1,"",'Dashboard'!P52)</x:f>
      </x:c>
      <x:c r="AH372" s="2" t="str">
        <x:f>IF(B372="","",IF(J372&lt;&gt;"PASS",'Motor_Meciuri'!J32,IF('Calibrare_Linii'!U8&lt;&gt;"VALID","Parametri linie invalizi",IF(L372&gt;'Config_v6'!$B$13,"Dispersie peste limita",IF(W372="WATCH","Failure peste limita",IF(AB372&lt;'Config_v6'!$B$16,"P finala sub prag",IF(V372&lt;'Config_v6'!$B$18,"Confidence sub prag",IF(E372="REPLAY","Exemplu retrospectiv; exclus din Top LIVE",IF(Y372="PASS","DEFENSIV validat",IF(W372="OOS PENDING","Eligibil; calibrare linie in monitorizare","Eligibil"))))))))))</x:f>
      </x:c>
      <x:c r="AI372" s="2" t="str">
        <x:f>IF(B372="","",'Calibrare_Linii'!V8)</x:f>
      </x:c>
      <x:c r="AJ372" s="2" t="str">
        <x:f>IF(B372="","",IF(AND('Calibrare_Linii'!T8="VALIDATED",AND('Calibrare_Linii'!H8=C372,ISNUMBER('Calibrare_Linii'!J8),'Calibrare_Linii'!J8&lt;='Input_Meci'!G32)),"DEFENSIVE VALIDATED",IF(AND('Calibrare_Linii'!S8="VALIDATED",AND('Calibrare_Linii'!H8=C372,ISNUMBER('Calibrare_Linii'!J8),'Calibrare_Linii'!J8&lt;='Input_Meci'!G32)),"TAIL VALIDATED","OOS PENDING")))</x:f>
      </x:c>
      <x:c r="AK372" s="2" t="n">
        <x:f>IF(J372&lt;&gt;"PASS",0,'Motor_Meciuri'!BR32)</x:f>
        <x:v>0</x:v>
      </x:c>
      <x:c r="AL372" s="2" t="n">
        <x:f>IF(J372&lt;&gt;"PASS",0,'Motor_Meciuri'!BS32)</x:f>
        <x:v>0</x:v>
      </x:c>
      <x:c r="AM372" s="2" t="n">
        <x:f>IF(J372&lt;&gt;"PASS",0,'Motor_Meciuri'!BT32)</x:f>
        <x:v>0</x:v>
      </x:c>
      <x:c r="AN372" s="2" t="str">
        <x:f>IF(M372="","",MAX(0,'Motor_Meciuri'!BF32-IF(L372&gt;'Config_v6'!$B$12,'Config_v6'!$B$37,IF(L372&gt;'Config_v6'!$B$11,'Config_v6'!$B$36,0))))</x:f>
      </x:c>
    </x:row>
    <x:row r="373" ht="21" customHeight="1">
      <x:c r="A373" s="2" t="n">
        <x:v>27</x:v>
      </x:c>
      <x:c r="B373" s="2" t="str">
        <x:f>IF('Motor_Meciuri'!A32="","",'Motor_Meciuri'!A32)</x:f>
      </x:c>
      <x:c r="C373" s="2" t="str">
        <x:f>IF(B373="","",'Motor_Meciuri'!B32)</x:f>
      </x:c>
      <x:c r="D373" s="2" t="str">
        <x:f>IF(B373="","",'Motor_Meciuri'!D32)</x:f>
      </x:c>
      <x:c r="E373" s="2" t="str">
        <x:f>IF(B373="","",'Motor_Meciuri'!E32)</x:f>
      </x:c>
      <x:c r="F373" s="2" t="str">
        <x:v>O6,5</x:v>
      </x:c>
      <x:c r="G373" s="2" t="str">
        <x:v>OVER</x:v>
      </x:c>
      <x:c r="H373" s="2" t="n">
        <x:v>6</x:v>
      </x:c>
      <x:c r="I373" s="2" t="str">
        <x:f>IF(B373="","",'Motor_Meciuri'!H32)</x:f>
      </x:c>
      <x:c r="J373" s="2" t="str">
        <x:f>IF(B373="","",'Motor_Meciuri'!I32)</x:f>
      </x:c>
      <x:c r="K373" s="11" t="str">
        <x:f>IF(J373&lt;&gt;"PASS","",'Motor_Meciuri'!BD32)</x:f>
      </x:c>
      <x:c r="L373" s="11" t="str">
        <x:f>IF(J373&lt;&gt;"PASS","",'Motor_Meciuri'!AU32)</x:f>
      </x:c>
      <x:c r="M373" s="10" t="str">
        <x:f>IF(NOT(AND(J373="PASS",'Calibrare_Linii'!U9="VALID")),"",1-'Distributie'!AD32)</x:f>
      </x:c>
      <x:c r="N373" s="10" t="str">
        <x:f>IF(M373="","",MAX(0.01,MIN(0.99,0.5+(M373-0.5)*'Motor_Meciuri'!BG32*'Calibrare_Linii'!D9)))</x:f>
      </x:c>
      <x:c r="O373" s="10" t="str">
        <x:f>IF(M373="","",1-M373)</x:f>
      </x:c>
      <x:c r="P373" s="10" t="str">
        <x:f>IF(OR(NOT(AND(J373="PASS",'Calibrare_Linii'!U9="VALID")),AK373=0),""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*('Istoric_Nativ'!$Q$6:$Q$405&lt;=H373))/AK373)</x:f>
      </x:c>
      <x:c r="Q373" s="10" t="str">
        <x:f>IF(OR(NOT(AND(J373="PASS",'Calibrare_Linii'!U9="VALID")),AL373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M32)+((('Istoric_Nativ'!$E$6:$E$405='Input_Meci'!E32)+('Istoric_Nativ'!$F$6:$F$405='Input_Meci'!E32))&gt;0)*('Istoric_Nativ'!$D$6:$D$405&gt;='Motor_Meciuri'!BN32))&gt;0)*('Istoric_Nativ'!$Q$6:$Q$405&lt;=H373))/AL373)</x:f>
      </x:c>
      <x:c r="R373" s="10" t="str">
        <x:f>IF(OR(NOT(AND(J373="PASS",'Calibrare_Linii'!U9="VALID")),AM373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O32)+((('Istoric_Nativ'!$E$6:$E$405='Input_Meci'!E32)+('Istoric_Nativ'!$F$6:$F$405='Input_Meci'!E32))&gt;0)*('Istoric_Nativ'!$D$6:$D$405&gt;='Motor_Meciuri'!BP32))&gt;0)*('Istoric_Nativ'!$Q$6:$Q$405&lt;=H373))/AM373)</x:f>
      </x:c>
      <x:c r="S373" s="10" t="str">
        <x:f>IF(M373="","",MAX(O373,P373,Q373,R373))</x:f>
      </x:c>
      <x:c r="T373" s="11" t="str">
        <x:f>IF(M373="","",MIN(100,S373*100*'Config_v6'!$B$44+MIN(100,L373/'Config_v6'!$B$13*100)*'Config_v6'!$B$45+(100-'Motor_Meciuri'!BF32)*'Config_v6'!$B$46+'Motor_Meciuri'!BH32*100*'Config_v6'!$B$47))</x:f>
      </x:c>
      <x:c r="U373" s="2" t="str">
        <x:f>IF(T373="","",IF(T373&lt;=20,1,IF(T373&lt;=40,2,IF(T373&lt;=60,3,IF(T373&lt;=80,4,5)))))</x:f>
      </x:c>
      <x:c r="V373" s="2" t="str">
        <x:f>IF(M373="","",MAX(0,'Motor_Meciuri'!BF32-IF(W373="OOS PENDING",'Config_v6'!$B$35,0)-IF(L373&gt;'Config_v6'!$B$12,'Config_v6'!$B$37,IF(L373&gt;'Config_v6'!$B$11,'Config_v6'!$B$36,0))))</x:f>
      </x:c>
      <x:c r="W373" s="2" t="str">
        <x:f>IF(B373="","",IF(I373&lt;&gt;"READY","NOT RELEASED",IF(NOT(AND(J373="PASS",'Calibrare_Linii'!U9="VALID")),"INVALID",IF(NOT(AND('Calibrare_Linii'!S9="VALIDATED",AND('Calibrare_Linii'!H9=C373,ISNUMBER('Calibrare_Linii'!J9),'Calibrare_Linii'!J9&lt;='Input_Meci'!G32))),"OOS PENDING",IF(S373&lt;='Calibrare_Linii'!E9,"PASS",IF(S373&lt;='Calibrare_Linii'!F9,"PENALTY","WATCH"))))))</x:f>
      </x:c>
      <x:c r="X373" s="2" t="str">
        <x:f>IF(M373="","",IF(AND(AND(J373="PASS",'Calibrare_Linii'!U9="VALID"),'Motor_Meciuri'!K32=12,'Motor_Meciuri'!L32=12,'Motor_Meciuri'!M32="NO",'Motor_Meciuri'!BL32='Motor_Meciuri'!C32,AB373&gt;='Config_v6'!$B$50,AN373&gt;='Config_v6'!$B$51,T373&lt;='Config_v6'!$B$52,L373&lt;='Config_v6'!$B$53,ISNUMBER('Calibrare_Linii'!E9),S373&lt;='Calibrare_Linii'!E9,SUM(AK373:AM373)&gt;0),"CANDIDATE","NO"))</x:f>
      </x:c>
      <x:c r="Y373" s="2" t="str">
        <x:f>IF(B373="","",IF(I373&lt;&gt;"READY","NOT RELEASED",IF(AND(X373="CANDIDATE",V373&gt;='Config_v6'!$B$51,W373="PASS",'Calibrare_Linii'!T9="VALIDATED",AND('Calibrare_Linii'!H9=C373,ISNUMBER('Calibrare_Linii'!J9),'Calibrare_Linii'!J9&lt;='Input_Meci'!G32)),"PASS",IF(X373="CANDIDATE","OOS PENDING","FAIL"))))</x:f>
      </x:c>
      <x:c r="Z373" s="2" t="str">
        <x:f>IF(B373="","",IF(I373&lt;&gt;"READY","",IF(OR(NOT(AND(J373="PASS",'Calibrare_Linii'!U9="VALID")),L373&gt;'Config_v6'!$B$13,W373="WATCH"),5,IF(Y373="PASS",1,MIN(5,MAX('Config_v6'!$B$42,U373)+IF(W373="PENALTY",1,0))))))</x:f>
      </x:c>
      <x:c r="AA373" s="2" t="str">
        <x:f>IF(B373="","",IF(I373&lt;&gt;"READY","NOT RELEASED",IF(Z373=5,"NO BET",IF(OR(AB373&lt;'Config_v6'!$B$16,V373&lt;'Config_v6'!$B$18),"WATCH",IF(Z373=1,"DEFENSIV",IF(Z373=2,"PRUDENT",IF(Z373=3,"MODERAT","RIDICAT")))))))</x:f>
      </x:c>
      <x:c r="AB373" s="10" t="str">
        <x:f>IF(N373="","",MIN(N373,1-S373))</x:f>
      </x:c>
      <x:c r="AC373" s="2" t="str">
        <x:f>IF(AD373&lt;&gt;1,"",COUNTIFS($Z$370:$Z$383,"&lt;"&amp;Z373,$AD$370:$AD$383,1)+COUNTIFS($Z$370:$Z$383,Z373,$AB$370:$AB$383,"&gt;"&amp;AB373,$AD$370:$AD$383,1)+COUNTIFS($Z$370:$Z$383,Z373,$AB$370:$AB$383,AB373,$V$370:$V$383,"&gt;"&amp;V373,$AD$370:$AD$383,1)+COUNTIFS($Z$370:Z373,Z373,$AB$370:AB373,AB373,$V$370:V373,V373,$AD$370:AD373,1))</x:f>
      </x:c>
      <x:c r="AD373" s="2" t="n">
        <x:f>IF(OR(AA373="DEFENSIV",AA373="PRUDENT",AA373="MODERAT",AA373="RIDICAT"),1,0)</x:f>
        <x:v>0</x:v>
      </x:c>
      <x:c r="AE373" s="2" t="str">
        <x:f>IF(AD373&lt;&gt;1,"NO",IF(W373="PASS","YES",IF(W373="OOS PENDING","CONDITIONAL","NO")))</x:f>
        <x:v>NO</x:v>
      </x:c>
      <x:c r="AF373" s="2" t="n">
        <x:f>IF(AND(AD373=1,AC373=1,E373="LIVE"),1,0)</x:f>
        <x:v>0</x:v>
      </x:c>
      <x:c r="AG373" s="2" t="str">
        <x:f>IF(AF373&lt;&gt;1,"",'Dashboard'!P52)</x:f>
      </x:c>
      <x:c r="AH373" s="2" t="str">
        <x:f>IF(B373="","",IF(J373&lt;&gt;"PASS",'Motor_Meciuri'!J32,IF('Calibrare_Linii'!U9&lt;&gt;"VALID","Parametri linie invalizi",IF(L373&gt;'Config_v6'!$B$13,"Dispersie peste limita",IF(W373="WATCH","Failure peste limita",IF(AB373&lt;'Config_v6'!$B$16,"P finala sub prag",IF(V373&lt;'Config_v6'!$B$18,"Confidence sub prag",IF(E373="REPLAY","Exemplu retrospectiv; exclus din Top LIVE",IF(Y373="PASS","DEFENSIV validat",IF(W373="OOS PENDING","Eligibil; calibrare linie in monitorizare","Eligibil"))))))))))</x:f>
      </x:c>
      <x:c r="AI373" s="2" t="str">
        <x:f>IF(B373="","",'Calibrare_Linii'!V9)</x:f>
      </x:c>
      <x:c r="AJ373" s="2" t="str">
        <x:f>IF(B373="","",IF(AND('Calibrare_Linii'!T9="VALIDATED",AND('Calibrare_Linii'!H9=C373,ISNUMBER('Calibrare_Linii'!J9),'Calibrare_Linii'!J9&lt;='Input_Meci'!G32)),"DEFENSIVE VALIDATED",IF(AND('Calibrare_Linii'!S9="VALIDATED",AND('Calibrare_Linii'!H9=C373,ISNUMBER('Calibrare_Linii'!J9),'Calibrare_Linii'!J9&lt;='Input_Meci'!G32)),"TAIL VALIDATED","OOS PENDING")))</x:f>
      </x:c>
      <x:c r="AK373" s="2" t="n">
        <x:f>IF(J373&lt;&gt;"PASS",0,'Motor_Meciuri'!BR32)</x:f>
        <x:v>0</x:v>
      </x:c>
      <x:c r="AL373" s="2" t="n">
        <x:f>IF(J373&lt;&gt;"PASS",0,'Motor_Meciuri'!BS32)</x:f>
        <x:v>0</x:v>
      </x:c>
      <x:c r="AM373" s="2" t="n">
        <x:f>IF(J373&lt;&gt;"PASS",0,'Motor_Meciuri'!BT32)</x:f>
        <x:v>0</x:v>
      </x:c>
      <x:c r="AN373" s="2" t="str">
        <x:f>IF(M373="","",MAX(0,'Motor_Meciuri'!BF32-IF(L373&gt;'Config_v6'!$B$12,'Config_v6'!$B$37,IF(L373&gt;'Config_v6'!$B$11,'Config_v6'!$B$36,0))))</x:f>
      </x:c>
    </x:row>
    <x:row r="374" ht="21" customHeight="1">
      <x:c r="A374" s="2" t="n">
        <x:v>27</x:v>
      </x:c>
      <x:c r="B374" s="2" t="str">
        <x:f>IF('Motor_Meciuri'!A32="","",'Motor_Meciuri'!A32)</x:f>
      </x:c>
      <x:c r="C374" s="2" t="str">
        <x:f>IF(B374="","",'Motor_Meciuri'!B32)</x:f>
      </x:c>
      <x:c r="D374" s="2" t="str">
        <x:f>IF(B374="","",'Motor_Meciuri'!D32)</x:f>
      </x:c>
      <x:c r="E374" s="2" t="str">
        <x:f>IF(B374="","",'Motor_Meciuri'!E32)</x:f>
      </x:c>
      <x:c r="F374" s="2" t="str">
        <x:v>O7,5</x:v>
      </x:c>
      <x:c r="G374" s="2" t="str">
        <x:v>OVER</x:v>
      </x:c>
      <x:c r="H374" s="2" t="n">
        <x:v>7</x:v>
      </x:c>
      <x:c r="I374" s="2" t="str">
        <x:f>IF(B374="","",'Motor_Meciuri'!H32)</x:f>
      </x:c>
      <x:c r="J374" s="2" t="str">
        <x:f>IF(B374="","",'Motor_Meciuri'!I32)</x:f>
      </x:c>
      <x:c r="K374" s="11" t="str">
        <x:f>IF(J374&lt;&gt;"PASS","",'Motor_Meciuri'!BD32)</x:f>
      </x:c>
      <x:c r="L374" s="11" t="str">
        <x:f>IF(J374&lt;&gt;"PASS","",'Motor_Meciuri'!AU32)</x:f>
      </x:c>
      <x:c r="M374" s="10" t="str">
        <x:f>IF(NOT(AND(J374="PASS",'Calibrare_Linii'!U10="VALID")),"",1-'Distributie'!AE32)</x:f>
      </x:c>
      <x:c r="N374" s="10" t="str">
        <x:f>IF(M374="","",MAX(0.01,MIN(0.99,0.5+(M374-0.5)*'Motor_Meciuri'!BG32*'Calibrare_Linii'!D10)))</x:f>
      </x:c>
      <x:c r="O374" s="10" t="str">
        <x:f>IF(M374="","",1-M374)</x:f>
      </x:c>
      <x:c r="P374" s="10" t="str">
        <x:f>IF(OR(NOT(AND(J374="PASS",'Calibrare_Linii'!U10="VALID")),AK374=0),""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*('Istoric_Nativ'!$Q$6:$Q$405&lt;=H374))/AK374)</x:f>
      </x:c>
      <x:c r="Q374" s="10" t="str">
        <x:f>IF(OR(NOT(AND(J374="PASS",'Calibrare_Linii'!U10="VALID")),AL374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M32)+((('Istoric_Nativ'!$E$6:$E$405='Input_Meci'!E32)+('Istoric_Nativ'!$F$6:$F$405='Input_Meci'!E32))&gt;0)*('Istoric_Nativ'!$D$6:$D$405&gt;='Motor_Meciuri'!BN32))&gt;0)*('Istoric_Nativ'!$Q$6:$Q$405&lt;=H374))/AL374)</x:f>
      </x:c>
      <x:c r="R374" s="10" t="str">
        <x:f>IF(OR(NOT(AND(J374="PASS",'Calibrare_Linii'!U10="VALID")),AM374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O32)+((('Istoric_Nativ'!$E$6:$E$405='Input_Meci'!E32)+('Istoric_Nativ'!$F$6:$F$405='Input_Meci'!E32))&gt;0)*('Istoric_Nativ'!$D$6:$D$405&gt;='Motor_Meciuri'!BP32))&gt;0)*('Istoric_Nativ'!$Q$6:$Q$405&lt;=H374))/AM374)</x:f>
      </x:c>
      <x:c r="S374" s="10" t="str">
        <x:f>IF(M374="","",MAX(O374,P374,Q374,R374))</x:f>
      </x:c>
      <x:c r="T374" s="11" t="str">
        <x:f>IF(M374="","",MIN(100,S374*100*'Config_v6'!$B$44+MIN(100,L374/'Config_v6'!$B$13*100)*'Config_v6'!$B$45+(100-'Motor_Meciuri'!BF32)*'Config_v6'!$B$46+'Motor_Meciuri'!BH32*100*'Config_v6'!$B$47))</x:f>
      </x:c>
      <x:c r="U374" s="2" t="str">
        <x:f>IF(T374="","",IF(T374&lt;=20,1,IF(T374&lt;=40,2,IF(T374&lt;=60,3,IF(T374&lt;=80,4,5)))))</x:f>
      </x:c>
      <x:c r="V374" s="2" t="str">
        <x:f>IF(M374="","",MAX(0,'Motor_Meciuri'!BF32-IF(W374="OOS PENDING",'Config_v6'!$B$35,0)-IF(L374&gt;'Config_v6'!$B$12,'Config_v6'!$B$37,IF(L374&gt;'Config_v6'!$B$11,'Config_v6'!$B$36,0))))</x:f>
      </x:c>
      <x:c r="W374" s="2" t="str">
        <x:f>IF(B374="","",IF(I374&lt;&gt;"READY","NOT RELEASED",IF(NOT(AND(J374="PASS",'Calibrare_Linii'!U10="VALID")),"INVALID",IF(NOT(AND('Calibrare_Linii'!S10="VALIDATED",AND('Calibrare_Linii'!H10=C374,ISNUMBER('Calibrare_Linii'!J10),'Calibrare_Linii'!J10&lt;='Input_Meci'!G32))),"OOS PENDING",IF(S374&lt;='Calibrare_Linii'!E10,"PASS",IF(S374&lt;='Calibrare_Linii'!F10,"PENALTY","WATCH"))))))</x:f>
      </x:c>
      <x:c r="X374" s="2" t="str">
        <x:f>IF(M374="","",IF(AND(AND(J374="PASS",'Calibrare_Linii'!U10="VALID"),'Motor_Meciuri'!K32=12,'Motor_Meciuri'!L32=12,'Motor_Meciuri'!M32="NO",'Motor_Meciuri'!BL32='Motor_Meciuri'!C32,AB374&gt;='Config_v6'!$B$50,AN374&gt;='Config_v6'!$B$51,T374&lt;='Config_v6'!$B$52,L374&lt;='Config_v6'!$B$53,ISNUMBER('Calibrare_Linii'!E10),S374&lt;='Calibrare_Linii'!E10,SUM(AK374:AM374)&gt;0),"CANDIDATE","NO"))</x:f>
      </x:c>
      <x:c r="Y374" s="2" t="str">
        <x:f>IF(B374="","",IF(I374&lt;&gt;"READY","NOT RELEASED",IF(AND(X374="CANDIDATE",V374&gt;='Config_v6'!$B$51,W374="PASS",'Calibrare_Linii'!T10="VALIDATED",AND('Calibrare_Linii'!H10=C374,ISNUMBER('Calibrare_Linii'!J10),'Calibrare_Linii'!J10&lt;='Input_Meci'!G32)),"PASS",IF(X374="CANDIDATE","OOS PENDING","FAIL"))))</x:f>
      </x:c>
      <x:c r="Z374" s="2" t="str">
        <x:f>IF(B374="","",IF(I374&lt;&gt;"READY","",IF(OR(NOT(AND(J374="PASS",'Calibrare_Linii'!U10="VALID")),L374&gt;'Config_v6'!$B$13,W374="WATCH"),5,IF(Y374="PASS",1,MIN(5,MAX('Config_v6'!$B$42,U374)+IF(W374="PENALTY",1,0))))))</x:f>
      </x:c>
      <x:c r="AA374" s="2" t="str">
        <x:f>IF(B374="","",IF(I374&lt;&gt;"READY","NOT RELEASED",IF(Z374=5,"NO BET",IF(OR(AB374&lt;'Config_v6'!$B$16,V374&lt;'Config_v6'!$B$18),"WATCH",IF(Z374=1,"DEFENSIV",IF(Z374=2,"PRUDENT",IF(Z374=3,"MODERAT","RIDICAT")))))))</x:f>
      </x:c>
      <x:c r="AB374" s="10" t="str">
        <x:f>IF(N374="","",MIN(N374,1-S374))</x:f>
      </x:c>
      <x:c r="AC374" s="2" t="str">
        <x:f>IF(AD374&lt;&gt;1,"",COUNTIFS($Z$370:$Z$383,"&lt;"&amp;Z374,$AD$370:$AD$383,1)+COUNTIFS($Z$370:$Z$383,Z374,$AB$370:$AB$383,"&gt;"&amp;AB374,$AD$370:$AD$383,1)+COUNTIFS($Z$370:$Z$383,Z374,$AB$370:$AB$383,AB374,$V$370:$V$383,"&gt;"&amp;V374,$AD$370:$AD$383,1)+COUNTIFS($Z$370:Z374,Z374,$AB$370:AB374,AB374,$V$370:V374,V374,$AD$370:AD374,1))</x:f>
      </x:c>
      <x:c r="AD374" s="2" t="n">
        <x:f>IF(OR(AA374="DEFENSIV",AA374="PRUDENT",AA374="MODERAT",AA374="RIDICAT"),1,0)</x:f>
        <x:v>0</x:v>
      </x:c>
      <x:c r="AE374" s="2" t="str">
        <x:f>IF(AD374&lt;&gt;1,"NO",IF(W374="PASS","YES",IF(W374="OOS PENDING","CONDITIONAL","NO")))</x:f>
        <x:v>NO</x:v>
      </x:c>
      <x:c r="AF374" s="2" t="n">
        <x:f>IF(AND(AD374=1,AC374=1,E374="LIVE"),1,0)</x:f>
        <x:v>0</x:v>
      </x:c>
      <x:c r="AG374" s="2" t="str">
        <x:f>IF(AF374&lt;&gt;1,"",'Dashboard'!P52)</x:f>
      </x:c>
      <x:c r="AH374" s="2" t="str">
        <x:f>IF(B374="","",IF(J374&lt;&gt;"PASS",'Motor_Meciuri'!J32,IF('Calibrare_Linii'!U10&lt;&gt;"VALID","Parametri linie invalizi",IF(L374&gt;'Config_v6'!$B$13,"Dispersie peste limita",IF(W374="WATCH","Failure peste limita",IF(AB374&lt;'Config_v6'!$B$16,"P finala sub prag",IF(V374&lt;'Config_v6'!$B$18,"Confidence sub prag",IF(E374="REPLAY","Exemplu retrospectiv; exclus din Top LIVE",IF(Y374="PASS","DEFENSIV validat",IF(W374="OOS PENDING","Eligibil; calibrare linie in monitorizare","Eligibil"))))))))))</x:f>
      </x:c>
      <x:c r="AI374" s="2" t="str">
        <x:f>IF(B374="","",'Calibrare_Linii'!V10)</x:f>
      </x:c>
      <x:c r="AJ374" s="2" t="str">
        <x:f>IF(B374="","",IF(AND('Calibrare_Linii'!T10="VALIDATED",AND('Calibrare_Linii'!H10=C374,ISNUMBER('Calibrare_Linii'!J10),'Calibrare_Linii'!J10&lt;='Input_Meci'!G32)),"DEFENSIVE VALIDATED",IF(AND('Calibrare_Linii'!S10="VALIDATED",AND('Calibrare_Linii'!H10=C374,ISNUMBER('Calibrare_Linii'!J10),'Calibrare_Linii'!J10&lt;='Input_Meci'!G32)),"TAIL VALIDATED","OOS PENDING")))</x:f>
      </x:c>
      <x:c r="AK374" s="2" t="n">
        <x:f>IF(J374&lt;&gt;"PASS",0,'Motor_Meciuri'!BR32)</x:f>
        <x:v>0</x:v>
      </x:c>
      <x:c r="AL374" s="2" t="n">
        <x:f>IF(J374&lt;&gt;"PASS",0,'Motor_Meciuri'!BS32)</x:f>
        <x:v>0</x:v>
      </x:c>
      <x:c r="AM374" s="2" t="n">
        <x:f>IF(J374&lt;&gt;"PASS",0,'Motor_Meciuri'!BT32)</x:f>
        <x:v>0</x:v>
      </x:c>
      <x:c r="AN374" s="2" t="str">
        <x:f>IF(M374="","",MAX(0,'Motor_Meciuri'!BF32-IF(L374&gt;'Config_v6'!$B$12,'Config_v6'!$B$37,IF(L374&gt;'Config_v6'!$B$11,'Config_v6'!$B$36,0))))</x:f>
      </x:c>
    </x:row>
    <x:row r="375" ht="21" customHeight="1">
      <x:c r="A375" s="2" t="n">
        <x:v>27</x:v>
      </x:c>
      <x:c r="B375" s="2" t="str">
        <x:f>IF('Motor_Meciuri'!A32="","",'Motor_Meciuri'!A32)</x:f>
      </x:c>
      <x:c r="C375" s="2" t="str">
        <x:f>IF(B375="","",'Motor_Meciuri'!B32)</x:f>
      </x:c>
      <x:c r="D375" s="2" t="str">
        <x:f>IF(B375="","",'Motor_Meciuri'!D32)</x:f>
      </x:c>
      <x:c r="E375" s="2" t="str">
        <x:f>IF(B375="","",'Motor_Meciuri'!E32)</x:f>
      </x:c>
      <x:c r="F375" s="2" t="str">
        <x:v>O8,5</x:v>
      </x:c>
      <x:c r="G375" s="2" t="str">
        <x:v>OVER</x:v>
      </x:c>
      <x:c r="H375" s="2" t="n">
        <x:v>8</x:v>
      </x:c>
      <x:c r="I375" s="2" t="str">
        <x:f>IF(B375="","",'Motor_Meciuri'!H32)</x:f>
      </x:c>
      <x:c r="J375" s="2" t="str">
        <x:f>IF(B375="","",'Motor_Meciuri'!I32)</x:f>
      </x:c>
      <x:c r="K375" s="11" t="str">
        <x:f>IF(J375&lt;&gt;"PASS","",'Motor_Meciuri'!BD32)</x:f>
      </x:c>
      <x:c r="L375" s="11" t="str">
        <x:f>IF(J375&lt;&gt;"PASS","",'Motor_Meciuri'!AU32)</x:f>
      </x:c>
      <x:c r="M375" s="10" t="str">
        <x:f>IF(NOT(AND(J375="PASS",'Calibrare_Linii'!U11="VALID")),"",1-'Distributie'!AF32)</x:f>
      </x:c>
      <x:c r="N375" s="10" t="str">
        <x:f>IF(M375="","",MAX(0.01,MIN(0.99,0.5+(M375-0.5)*'Motor_Meciuri'!BG32*'Calibrare_Linii'!D11)))</x:f>
      </x:c>
      <x:c r="O375" s="10" t="str">
        <x:f>IF(M375="","",1-M375)</x:f>
      </x:c>
      <x:c r="P375" s="10" t="str">
        <x:f>IF(OR(NOT(AND(J375="PASS",'Calibrare_Linii'!U11="VALID")),AK375=0),""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*('Istoric_Nativ'!$Q$6:$Q$405&lt;=H375))/AK375)</x:f>
      </x:c>
      <x:c r="Q375" s="10" t="str">
        <x:f>IF(OR(NOT(AND(J375="PASS",'Calibrare_Linii'!U11="VALID")),AL375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M32)+((('Istoric_Nativ'!$E$6:$E$405='Input_Meci'!E32)+('Istoric_Nativ'!$F$6:$F$405='Input_Meci'!E32))&gt;0)*('Istoric_Nativ'!$D$6:$D$405&gt;='Motor_Meciuri'!BN32))&gt;0)*('Istoric_Nativ'!$Q$6:$Q$405&lt;=H375))/AL375)</x:f>
      </x:c>
      <x:c r="R375" s="10" t="str">
        <x:f>IF(OR(NOT(AND(J375="PASS",'Calibrare_Linii'!U11="VALID")),AM375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O32)+((('Istoric_Nativ'!$E$6:$E$405='Input_Meci'!E32)+('Istoric_Nativ'!$F$6:$F$405='Input_Meci'!E32))&gt;0)*('Istoric_Nativ'!$D$6:$D$405&gt;='Motor_Meciuri'!BP32))&gt;0)*('Istoric_Nativ'!$Q$6:$Q$405&lt;=H375))/AM375)</x:f>
      </x:c>
      <x:c r="S375" s="10" t="str">
        <x:f>IF(M375="","",MAX(O375,P375,Q375,R375))</x:f>
      </x:c>
      <x:c r="T375" s="11" t="str">
        <x:f>IF(M375="","",MIN(100,S375*100*'Config_v6'!$B$44+MIN(100,L375/'Config_v6'!$B$13*100)*'Config_v6'!$B$45+(100-'Motor_Meciuri'!BF32)*'Config_v6'!$B$46+'Motor_Meciuri'!BH32*100*'Config_v6'!$B$47))</x:f>
      </x:c>
      <x:c r="U375" s="2" t="str">
        <x:f>IF(T375="","",IF(T375&lt;=20,1,IF(T375&lt;=40,2,IF(T375&lt;=60,3,IF(T375&lt;=80,4,5)))))</x:f>
      </x:c>
      <x:c r="V375" s="2" t="str">
        <x:f>IF(M375="","",MAX(0,'Motor_Meciuri'!BF32-IF(W375="OOS PENDING",'Config_v6'!$B$35,0)-IF(L375&gt;'Config_v6'!$B$12,'Config_v6'!$B$37,IF(L375&gt;'Config_v6'!$B$11,'Config_v6'!$B$36,0))))</x:f>
      </x:c>
      <x:c r="W375" s="2" t="str">
        <x:f>IF(B375="","",IF(I375&lt;&gt;"READY","NOT RELEASED",IF(NOT(AND(J375="PASS",'Calibrare_Linii'!U11="VALID")),"INVALID",IF(NOT(AND('Calibrare_Linii'!S11="VALIDATED",AND('Calibrare_Linii'!H11=C375,ISNUMBER('Calibrare_Linii'!J11),'Calibrare_Linii'!J11&lt;='Input_Meci'!G32))),"OOS PENDING",IF(S375&lt;='Calibrare_Linii'!E11,"PASS",IF(S375&lt;='Calibrare_Linii'!F11,"PENALTY","WATCH"))))))</x:f>
      </x:c>
      <x:c r="X375" s="2" t="str">
        <x:f>IF(M375="","",IF(AND(AND(J375="PASS",'Calibrare_Linii'!U11="VALID"),'Motor_Meciuri'!K32=12,'Motor_Meciuri'!L32=12,'Motor_Meciuri'!M32="NO",'Motor_Meciuri'!BL32='Motor_Meciuri'!C32,AB375&gt;='Config_v6'!$B$50,AN375&gt;='Config_v6'!$B$51,T375&lt;='Config_v6'!$B$52,L375&lt;='Config_v6'!$B$53,ISNUMBER('Calibrare_Linii'!E11),S375&lt;='Calibrare_Linii'!E11,SUM(AK375:AM375)&gt;0),"CANDIDATE","NO"))</x:f>
      </x:c>
      <x:c r="Y375" s="2" t="str">
        <x:f>IF(B375="","",IF(I375&lt;&gt;"READY","NOT RELEASED",IF(AND(X375="CANDIDATE",V375&gt;='Config_v6'!$B$51,W375="PASS",'Calibrare_Linii'!T11="VALIDATED",AND('Calibrare_Linii'!H11=C375,ISNUMBER('Calibrare_Linii'!J11),'Calibrare_Linii'!J11&lt;='Input_Meci'!G32)),"PASS",IF(X375="CANDIDATE","OOS PENDING","FAIL"))))</x:f>
      </x:c>
      <x:c r="Z375" s="2" t="str">
        <x:f>IF(B375="","",IF(I375&lt;&gt;"READY","",IF(OR(NOT(AND(J375="PASS",'Calibrare_Linii'!U11="VALID")),L375&gt;'Config_v6'!$B$13,W375="WATCH"),5,IF(Y375="PASS",1,MIN(5,MAX('Config_v6'!$B$42,U375)+IF(W375="PENALTY",1,0))))))</x:f>
      </x:c>
      <x:c r="AA375" s="2" t="str">
        <x:f>IF(B375="","",IF(I375&lt;&gt;"READY","NOT RELEASED",IF(Z375=5,"NO BET",IF(OR(AB375&lt;'Config_v6'!$B$16,V375&lt;'Config_v6'!$B$18),"WATCH",IF(Z375=1,"DEFENSIV",IF(Z375=2,"PRUDENT",IF(Z375=3,"MODERAT","RIDICAT")))))))</x:f>
      </x:c>
      <x:c r="AB375" s="10" t="str">
        <x:f>IF(N375="","",MIN(N375,1-S375))</x:f>
      </x:c>
      <x:c r="AC375" s="2" t="str">
        <x:f>IF(AD375&lt;&gt;1,"",COUNTIFS($Z$370:$Z$383,"&lt;"&amp;Z375,$AD$370:$AD$383,1)+COUNTIFS($Z$370:$Z$383,Z375,$AB$370:$AB$383,"&gt;"&amp;AB375,$AD$370:$AD$383,1)+COUNTIFS($Z$370:$Z$383,Z375,$AB$370:$AB$383,AB375,$V$370:$V$383,"&gt;"&amp;V375,$AD$370:$AD$383,1)+COUNTIFS($Z$370:Z375,Z375,$AB$370:AB375,AB375,$V$370:V375,V375,$AD$370:AD375,1))</x:f>
      </x:c>
      <x:c r="AD375" s="2" t="n">
        <x:f>IF(OR(AA375="DEFENSIV",AA375="PRUDENT",AA375="MODERAT",AA375="RIDICAT"),1,0)</x:f>
        <x:v>0</x:v>
      </x:c>
      <x:c r="AE375" s="2" t="str">
        <x:f>IF(AD375&lt;&gt;1,"NO",IF(W375="PASS","YES",IF(W375="OOS PENDING","CONDITIONAL","NO")))</x:f>
        <x:v>NO</x:v>
      </x:c>
      <x:c r="AF375" s="2" t="n">
        <x:f>IF(AND(AD375=1,AC375=1,E375="LIVE"),1,0)</x:f>
        <x:v>0</x:v>
      </x:c>
      <x:c r="AG375" s="2" t="str">
        <x:f>IF(AF375&lt;&gt;1,"",'Dashboard'!P52)</x:f>
      </x:c>
      <x:c r="AH375" s="2" t="str">
        <x:f>IF(B375="","",IF(J375&lt;&gt;"PASS",'Motor_Meciuri'!J32,IF('Calibrare_Linii'!U11&lt;&gt;"VALID","Parametri linie invalizi",IF(L375&gt;'Config_v6'!$B$13,"Dispersie peste limita",IF(W375="WATCH","Failure peste limita",IF(AB375&lt;'Config_v6'!$B$16,"P finala sub prag",IF(V375&lt;'Config_v6'!$B$18,"Confidence sub prag",IF(E375="REPLAY","Exemplu retrospectiv; exclus din Top LIVE",IF(Y375="PASS","DEFENSIV validat",IF(W375="OOS PENDING","Eligibil; calibrare linie in monitorizare","Eligibil"))))))))))</x:f>
      </x:c>
      <x:c r="AI375" s="2" t="str">
        <x:f>IF(B375="","",'Calibrare_Linii'!V11)</x:f>
      </x:c>
      <x:c r="AJ375" s="2" t="str">
        <x:f>IF(B375="","",IF(AND('Calibrare_Linii'!T11="VALIDATED",AND('Calibrare_Linii'!H11=C375,ISNUMBER('Calibrare_Linii'!J11),'Calibrare_Linii'!J11&lt;='Input_Meci'!G32)),"DEFENSIVE VALIDATED",IF(AND('Calibrare_Linii'!S11="VALIDATED",AND('Calibrare_Linii'!H11=C375,ISNUMBER('Calibrare_Linii'!J11),'Calibrare_Linii'!J11&lt;='Input_Meci'!G32)),"TAIL VALIDATED","OOS PENDING")))</x:f>
      </x:c>
      <x:c r="AK375" s="2" t="n">
        <x:f>IF(J375&lt;&gt;"PASS",0,'Motor_Meciuri'!BR32)</x:f>
        <x:v>0</x:v>
      </x:c>
      <x:c r="AL375" s="2" t="n">
        <x:f>IF(J375&lt;&gt;"PASS",0,'Motor_Meciuri'!BS32)</x:f>
        <x:v>0</x:v>
      </x:c>
      <x:c r="AM375" s="2" t="n">
        <x:f>IF(J375&lt;&gt;"PASS",0,'Motor_Meciuri'!BT32)</x:f>
        <x:v>0</x:v>
      </x:c>
      <x:c r="AN375" s="2" t="str">
        <x:f>IF(M375="","",MAX(0,'Motor_Meciuri'!BF32-IF(L375&gt;'Config_v6'!$B$12,'Config_v6'!$B$37,IF(L375&gt;'Config_v6'!$B$11,'Config_v6'!$B$36,0))))</x:f>
      </x:c>
    </x:row>
    <x:row r="376" ht="21" customHeight="1">
      <x:c r="A376" s="2" t="n">
        <x:v>27</x:v>
      </x:c>
      <x:c r="B376" s="2" t="str">
        <x:f>IF('Motor_Meciuri'!A32="","",'Motor_Meciuri'!A32)</x:f>
      </x:c>
      <x:c r="C376" s="2" t="str">
        <x:f>IF(B376="","",'Motor_Meciuri'!B32)</x:f>
      </x:c>
      <x:c r="D376" s="2" t="str">
        <x:f>IF(B376="","",'Motor_Meciuri'!D32)</x:f>
      </x:c>
      <x:c r="E376" s="2" t="str">
        <x:f>IF(B376="","",'Motor_Meciuri'!E32)</x:f>
      </x:c>
      <x:c r="F376" s="2" t="str">
        <x:v>U10,5</x:v>
      </x:c>
      <x:c r="G376" s="2" t="str">
        <x:v>UNDER</x:v>
      </x:c>
      <x:c r="H376" s="2" t="n">
        <x:v>10</x:v>
      </x:c>
      <x:c r="I376" s="2" t="str">
        <x:f>IF(B376="","",'Motor_Meciuri'!H32)</x:f>
      </x:c>
      <x:c r="J376" s="2" t="str">
        <x:f>IF(B376="","",'Motor_Meciuri'!I32)</x:f>
      </x:c>
      <x:c r="K376" s="11" t="str">
        <x:f>IF(J376&lt;&gt;"PASS","",'Motor_Meciuri'!BD32)</x:f>
      </x:c>
      <x:c r="L376" s="11" t="str">
        <x:f>IF(J376&lt;&gt;"PASS","",'Motor_Meciuri'!AU32)</x:f>
      </x:c>
      <x:c r="M376" s="10" t="str">
        <x:f>IF(NOT(AND(J376="PASS",'Calibrare_Linii'!U12="VALID")),"",'Distributie'!AH32)</x:f>
      </x:c>
      <x:c r="N376" s="10" t="str">
        <x:f>IF(M376="","",MAX(0.01,MIN(0.99,0.5+(M376-0.5)*'Motor_Meciuri'!BG32*'Calibrare_Linii'!D12)))</x:f>
      </x:c>
      <x:c r="O376" s="10" t="str">
        <x:f>IF(M376="","",1-M376)</x:f>
      </x:c>
      <x:c r="P376" s="10" t="str">
        <x:f>IF(OR(NOT(AND(J376="PASS",'Calibrare_Linii'!U12="VALID")),AK376=0),""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*('Istoric_Nativ'!$Q$6:$Q$405&gt;H376))/AK376)</x:f>
      </x:c>
      <x:c r="Q376" s="10" t="str">
        <x:f>IF(OR(NOT(AND(J376="PASS",'Calibrare_Linii'!U12="VALID")),AL376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M32)+((('Istoric_Nativ'!$E$6:$E$405='Input_Meci'!E32)+('Istoric_Nativ'!$F$6:$F$405='Input_Meci'!E32))&gt;0)*('Istoric_Nativ'!$D$6:$D$405&gt;='Motor_Meciuri'!BN32))&gt;0)*('Istoric_Nativ'!$Q$6:$Q$405&gt;H376))/AL376)</x:f>
      </x:c>
      <x:c r="R376" s="10" t="str">
        <x:f>IF(OR(NOT(AND(J376="PASS",'Calibrare_Linii'!U12="VALID")),AM376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O32)+((('Istoric_Nativ'!$E$6:$E$405='Input_Meci'!E32)+('Istoric_Nativ'!$F$6:$F$405='Input_Meci'!E32))&gt;0)*('Istoric_Nativ'!$D$6:$D$405&gt;='Motor_Meciuri'!BP32))&gt;0)*('Istoric_Nativ'!$Q$6:$Q$405&gt;H376))/AM376)</x:f>
      </x:c>
      <x:c r="S376" s="10" t="str">
        <x:f>IF(M376="","",MAX(O376,P376,Q376,R376))</x:f>
      </x:c>
      <x:c r="T376" s="11" t="str">
        <x:f>IF(M376="","",MIN(100,S376*100*'Config_v6'!$B$44+MIN(100,L376/'Config_v6'!$B$13*100)*'Config_v6'!$B$45+(100-'Motor_Meciuri'!BF32)*'Config_v6'!$B$46+'Motor_Meciuri'!BH32*100*'Config_v6'!$B$47))</x:f>
      </x:c>
      <x:c r="U376" s="2" t="str">
        <x:f>IF(T376="","",IF(T376&lt;=20,1,IF(T376&lt;=40,2,IF(T376&lt;=60,3,IF(T376&lt;=80,4,5)))))</x:f>
      </x:c>
      <x:c r="V376" s="2" t="str">
        <x:f>IF(M376="","",MAX(0,'Motor_Meciuri'!BF32-IF(W376="OOS PENDING",'Config_v6'!$B$35,0)-IF(L376&gt;'Config_v6'!$B$12,'Config_v6'!$B$37,IF(L376&gt;'Config_v6'!$B$11,'Config_v6'!$B$36,0))))</x:f>
      </x:c>
      <x:c r="W376" s="2" t="str">
        <x:f>IF(B376="","",IF(I376&lt;&gt;"READY","NOT RELEASED",IF(NOT(AND(J376="PASS",'Calibrare_Linii'!U12="VALID")),"INVALID",IF(NOT(AND('Calibrare_Linii'!S12="VALIDATED",AND('Calibrare_Linii'!H12=C376,ISNUMBER('Calibrare_Linii'!J12),'Calibrare_Linii'!J12&lt;='Input_Meci'!G32))),"OOS PENDING",IF(S376&lt;='Calibrare_Linii'!E12,"PASS",IF(S376&lt;='Calibrare_Linii'!F12,"PENALTY","WATCH"))))))</x:f>
      </x:c>
      <x:c r="X376" s="2" t="str">
        <x:f>IF(M376="","",IF(AND(AND(J376="PASS",'Calibrare_Linii'!U12="VALID"),'Motor_Meciuri'!K32=12,'Motor_Meciuri'!L32=12,'Motor_Meciuri'!M32="NO",'Motor_Meciuri'!BL32='Motor_Meciuri'!C32,AB376&gt;='Config_v6'!$B$50,AN376&gt;='Config_v6'!$B$51,T376&lt;='Config_v6'!$B$52,L376&lt;='Config_v6'!$B$53,ISNUMBER('Calibrare_Linii'!E12),S376&lt;='Calibrare_Linii'!E12,SUM(AK376:AM376)&gt;0),"CANDIDATE","NO"))</x:f>
      </x:c>
      <x:c r="Y376" s="2" t="str">
        <x:f>IF(B376="","",IF(I376&lt;&gt;"READY","NOT RELEASED",IF(AND(X376="CANDIDATE",V376&gt;='Config_v6'!$B$51,W376="PASS",'Calibrare_Linii'!T12="VALIDATED",AND('Calibrare_Linii'!H12=C376,ISNUMBER('Calibrare_Linii'!J12),'Calibrare_Linii'!J12&lt;='Input_Meci'!G32)),"PASS",IF(X376="CANDIDATE","OOS PENDING","FAIL"))))</x:f>
      </x:c>
      <x:c r="Z376" s="2" t="str">
        <x:f>IF(B376="","",IF(I376&lt;&gt;"READY","",IF(OR(NOT(AND(J376="PASS",'Calibrare_Linii'!U12="VALID")),L376&gt;'Config_v6'!$B$13,W376="WATCH"),5,IF(Y376="PASS",1,MIN(5,MAX('Config_v6'!$B$42,U376)+IF(W376="PENALTY",1,0))))))</x:f>
      </x:c>
      <x:c r="AA376" s="2" t="str">
        <x:f>IF(B376="","",IF(I376&lt;&gt;"READY","NOT RELEASED",IF(Z376=5,"NO BET",IF(OR(AB376&lt;'Config_v6'!$B$16,V376&lt;'Config_v6'!$B$18),"WATCH",IF(Z376=1,"DEFENSIV",IF(Z376=2,"PRUDENT",IF(Z376=3,"MODERAT","RIDICAT")))))))</x:f>
      </x:c>
      <x:c r="AB376" s="10" t="str">
        <x:f>IF(N376="","",MIN(N376,1-S376))</x:f>
      </x:c>
      <x:c r="AC376" s="2" t="str">
        <x:f>IF(AD376&lt;&gt;1,"",COUNTIFS($Z$370:$Z$383,"&lt;"&amp;Z376,$AD$370:$AD$383,1)+COUNTIFS($Z$370:$Z$383,Z376,$AB$370:$AB$383,"&gt;"&amp;AB376,$AD$370:$AD$383,1)+COUNTIFS($Z$370:$Z$383,Z376,$AB$370:$AB$383,AB376,$V$370:$V$383,"&gt;"&amp;V376,$AD$370:$AD$383,1)+COUNTIFS($Z$370:Z376,Z376,$AB$370:AB376,AB376,$V$370:V376,V376,$AD$370:AD376,1))</x:f>
      </x:c>
      <x:c r="AD376" s="2" t="n">
        <x:f>IF(OR(AA376="DEFENSIV",AA376="PRUDENT",AA376="MODERAT",AA376="RIDICAT"),1,0)</x:f>
        <x:v>0</x:v>
      </x:c>
      <x:c r="AE376" s="2" t="str">
        <x:f>IF(AD376&lt;&gt;1,"NO",IF(W376="PASS","YES",IF(W376="OOS PENDING","CONDITIONAL","NO")))</x:f>
        <x:v>NO</x:v>
      </x:c>
      <x:c r="AF376" s="2" t="n">
        <x:f>IF(AND(AD376=1,AC376=1,E376="LIVE"),1,0)</x:f>
        <x:v>0</x:v>
      </x:c>
      <x:c r="AG376" s="2" t="str">
        <x:f>IF(AF376&lt;&gt;1,"",'Dashboard'!P52)</x:f>
      </x:c>
      <x:c r="AH376" s="2" t="str">
        <x:f>IF(B376="","",IF(J376&lt;&gt;"PASS",'Motor_Meciuri'!J32,IF('Calibrare_Linii'!U12&lt;&gt;"VALID","Parametri linie invalizi",IF(L376&gt;'Config_v6'!$B$13,"Dispersie peste limita",IF(W376="WATCH","Failure peste limita",IF(AB376&lt;'Config_v6'!$B$16,"P finala sub prag",IF(V376&lt;'Config_v6'!$B$18,"Confidence sub prag",IF(E376="REPLAY","Exemplu retrospectiv; exclus din Top LIVE",IF(Y376="PASS","DEFENSIV validat",IF(W376="OOS PENDING","Eligibil; calibrare linie in monitorizare","Eligibil"))))))))))</x:f>
      </x:c>
      <x:c r="AI376" s="2" t="str">
        <x:f>IF(B376="","",'Calibrare_Linii'!V12)</x:f>
      </x:c>
      <x:c r="AJ376" s="2" t="str">
        <x:f>IF(B376="","",IF(AND('Calibrare_Linii'!T12="VALIDATED",AND('Calibrare_Linii'!H12=C376,ISNUMBER('Calibrare_Linii'!J12),'Calibrare_Linii'!J12&lt;='Input_Meci'!G32)),"DEFENSIVE VALIDATED",IF(AND('Calibrare_Linii'!S12="VALIDATED",AND('Calibrare_Linii'!H12=C376,ISNUMBER('Calibrare_Linii'!J12),'Calibrare_Linii'!J12&lt;='Input_Meci'!G32)),"TAIL VALIDATED","OOS PENDING")))</x:f>
      </x:c>
      <x:c r="AK376" s="2" t="n">
        <x:f>IF(J376&lt;&gt;"PASS",0,'Motor_Meciuri'!BR32)</x:f>
        <x:v>0</x:v>
      </x:c>
      <x:c r="AL376" s="2" t="n">
        <x:f>IF(J376&lt;&gt;"PASS",0,'Motor_Meciuri'!BS32)</x:f>
        <x:v>0</x:v>
      </x:c>
      <x:c r="AM376" s="2" t="n">
        <x:f>IF(J376&lt;&gt;"PASS",0,'Motor_Meciuri'!BT32)</x:f>
        <x:v>0</x:v>
      </x:c>
      <x:c r="AN376" s="2" t="str">
        <x:f>IF(M376="","",MAX(0,'Motor_Meciuri'!BF32-IF(L376&gt;'Config_v6'!$B$12,'Config_v6'!$B$37,IF(L376&gt;'Config_v6'!$B$11,'Config_v6'!$B$36,0))))</x:f>
      </x:c>
    </x:row>
    <x:row r="377" ht="21" customHeight="1">
      <x:c r="A377" s="2" t="n">
        <x:v>27</x:v>
      </x:c>
      <x:c r="B377" s="2" t="str">
        <x:f>IF('Motor_Meciuri'!A32="","",'Motor_Meciuri'!A32)</x:f>
      </x:c>
      <x:c r="C377" s="2" t="str">
        <x:f>IF(B377="","",'Motor_Meciuri'!B32)</x:f>
      </x:c>
      <x:c r="D377" s="2" t="str">
        <x:f>IF(B377="","",'Motor_Meciuri'!D32)</x:f>
      </x:c>
      <x:c r="E377" s="2" t="str">
        <x:f>IF(B377="","",'Motor_Meciuri'!E32)</x:f>
      </x:c>
      <x:c r="F377" s="2" t="str">
        <x:v>U11,5</x:v>
      </x:c>
      <x:c r="G377" s="2" t="str">
        <x:v>UNDER</x:v>
      </x:c>
      <x:c r="H377" s="2" t="n">
        <x:v>11</x:v>
      </x:c>
      <x:c r="I377" s="2" t="str">
        <x:f>IF(B377="","",'Motor_Meciuri'!H32)</x:f>
      </x:c>
      <x:c r="J377" s="2" t="str">
        <x:f>IF(B377="","",'Motor_Meciuri'!I32)</x:f>
      </x:c>
      <x:c r="K377" s="11" t="str">
        <x:f>IF(J377&lt;&gt;"PASS","",'Motor_Meciuri'!BD32)</x:f>
      </x:c>
      <x:c r="L377" s="11" t="str">
        <x:f>IF(J377&lt;&gt;"PASS","",'Motor_Meciuri'!AU32)</x:f>
      </x:c>
      <x:c r="M377" s="10" t="str">
        <x:f>IF(NOT(AND(J377="PASS",'Calibrare_Linii'!U13="VALID")),"",'Distributie'!AI32)</x:f>
      </x:c>
      <x:c r="N377" s="10" t="str">
        <x:f>IF(M377="","",MAX(0.01,MIN(0.99,0.5+(M377-0.5)*'Motor_Meciuri'!BG32*'Calibrare_Linii'!D13)))</x:f>
      </x:c>
      <x:c r="O377" s="10" t="str">
        <x:f>IF(M377="","",1-M377)</x:f>
      </x:c>
      <x:c r="P377" s="10" t="str">
        <x:f>IF(OR(NOT(AND(J377="PASS",'Calibrare_Linii'!U13="VALID")),AK377=0),""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*('Istoric_Nativ'!$Q$6:$Q$405&gt;H377))/AK377)</x:f>
      </x:c>
      <x:c r="Q377" s="10" t="str">
        <x:f>IF(OR(NOT(AND(J377="PASS",'Calibrare_Linii'!U13="VALID")),AL377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M32)+((('Istoric_Nativ'!$E$6:$E$405='Input_Meci'!E32)+('Istoric_Nativ'!$F$6:$F$405='Input_Meci'!E32))&gt;0)*('Istoric_Nativ'!$D$6:$D$405&gt;='Motor_Meciuri'!BN32))&gt;0)*('Istoric_Nativ'!$Q$6:$Q$405&gt;H377))/AL377)</x:f>
      </x:c>
      <x:c r="R377" s="10" t="str">
        <x:f>IF(OR(NOT(AND(J377="PASS",'Calibrare_Linii'!U13="VALID")),AM377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O32)+((('Istoric_Nativ'!$E$6:$E$405='Input_Meci'!E32)+('Istoric_Nativ'!$F$6:$F$405='Input_Meci'!E32))&gt;0)*('Istoric_Nativ'!$D$6:$D$405&gt;='Motor_Meciuri'!BP32))&gt;0)*('Istoric_Nativ'!$Q$6:$Q$405&gt;H377))/AM377)</x:f>
      </x:c>
      <x:c r="S377" s="10" t="str">
        <x:f>IF(M377="","",MAX(O377,P377,Q377,R377))</x:f>
      </x:c>
      <x:c r="T377" s="11" t="str">
        <x:f>IF(M377="","",MIN(100,S377*100*'Config_v6'!$B$44+MIN(100,L377/'Config_v6'!$B$13*100)*'Config_v6'!$B$45+(100-'Motor_Meciuri'!BF32)*'Config_v6'!$B$46+'Motor_Meciuri'!BH32*100*'Config_v6'!$B$47))</x:f>
      </x:c>
      <x:c r="U377" s="2" t="str">
        <x:f>IF(T377="","",IF(T377&lt;=20,1,IF(T377&lt;=40,2,IF(T377&lt;=60,3,IF(T377&lt;=80,4,5)))))</x:f>
      </x:c>
      <x:c r="V377" s="2" t="str">
        <x:f>IF(M377="","",MAX(0,'Motor_Meciuri'!BF32-IF(W377="OOS PENDING",'Config_v6'!$B$35,0)-IF(L377&gt;'Config_v6'!$B$12,'Config_v6'!$B$37,IF(L377&gt;'Config_v6'!$B$11,'Config_v6'!$B$36,0))))</x:f>
      </x:c>
      <x:c r="W377" s="2" t="str">
        <x:f>IF(B377="","",IF(I377&lt;&gt;"READY","NOT RELEASED",IF(NOT(AND(J377="PASS",'Calibrare_Linii'!U13="VALID")),"INVALID",IF(NOT(AND('Calibrare_Linii'!S13="VALIDATED",AND('Calibrare_Linii'!H13=C377,ISNUMBER('Calibrare_Linii'!J13),'Calibrare_Linii'!J13&lt;='Input_Meci'!G32))),"OOS PENDING",IF(S377&lt;='Calibrare_Linii'!E13,"PASS",IF(S377&lt;='Calibrare_Linii'!F13,"PENALTY","WATCH"))))))</x:f>
      </x:c>
      <x:c r="X377" s="2" t="str">
        <x:f>IF(M377="","",IF(AND(AND(J377="PASS",'Calibrare_Linii'!U13="VALID"),'Motor_Meciuri'!K32=12,'Motor_Meciuri'!L32=12,'Motor_Meciuri'!M32="NO",'Motor_Meciuri'!BL32='Motor_Meciuri'!C32,AB377&gt;='Config_v6'!$B$50,AN377&gt;='Config_v6'!$B$51,T377&lt;='Config_v6'!$B$52,L377&lt;='Config_v6'!$B$53,ISNUMBER('Calibrare_Linii'!E13),S377&lt;='Calibrare_Linii'!E13,SUM(AK377:AM377)&gt;0),"CANDIDATE","NO"))</x:f>
      </x:c>
      <x:c r="Y377" s="2" t="str">
        <x:f>IF(B377="","",IF(I377&lt;&gt;"READY","NOT RELEASED",IF(AND(X377="CANDIDATE",V377&gt;='Config_v6'!$B$51,W377="PASS",'Calibrare_Linii'!T13="VALIDATED",AND('Calibrare_Linii'!H13=C377,ISNUMBER('Calibrare_Linii'!J13),'Calibrare_Linii'!J13&lt;='Input_Meci'!G32)),"PASS",IF(X377="CANDIDATE","OOS PENDING","FAIL"))))</x:f>
      </x:c>
      <x:c r="Z377" s="2" t="str">
        <x:f>IF(B377="","",IF(I377&lt;&gt;"READY","",IF(OR(NOT(AND(J377="PASS",'Calibrare_Linii'!U13="VALID")),L377&gt;'Config_v6'!$B$13,W377="WATCH"),5,IF(Y377="PASS",1,MIN(5,MAX('Config_v6'!$B$42,U377)+IF(W377="PENALTY",1,0))))))</x:f>
      </x:c>
      <x:c r="AA377" s="2" t="str">
        <x:f>IF(B377="","",IF(I377&lt;&gt;"READY","NOT RELEASED",IF(Z377=5,"NO BET",IF(OR(AB377&lt;'Config_v6'!$B$16,V377&lt;'Config_v6'!$B$18),"WATCH",IF(Z377=1,"DEFENSIV",IF(Z377=2,"PRUDENT",IF(Z377=3,"MODERAT","RIDICAT")))))))</x:f>
      </x:c>
      <x:c r="AB377" s="10" t="str">
        <x:f>IF(N377="","",MIN(N377,1-S377))</x:f>
      </x:c>
      <x:c r="AC377" s="2" t="str">
        <x:f>IF(AD377&lt;&gt;1,"",COUNTIFS($Z$370:$Z$383,"&lt;"&amp;Z377,$AD$370:$AD$383,1)+COUNTIFS($Z$370:$Z$383,Z377,$AB$370:$AB$383,"&gt;"&amp;AB377,$AD$370:$AD$383,1)+COUNTIFS($Z$370:$Z$383,Z377,$AB$370:$AB$383,AB377,$V$370:$V$383,"&gt;"&amp;V377,$AD$370:$AD$383,1)+COUNTIFS($Z$370:Z377,Z377,$AB$370:AB377,AB377,$V$370:V377,V377,$AD$370:AD377,1))</x:f>
      </x:c>
      <x:c r="AD377" s="2" t="n">
        <x:f>IF(OR(AA377="DEFENSIV",AA377="PRUDENT",AA377="MODERAT",AA377="RIDICAT"),1,0)</x:f>
        <x:v>0</x:v>
      </x:c>
      <x:c r="AE377" s="2" t="str">
        <x:f>IF(AD377&lt;&gt;1,"NO",IF(W377="PASS","YES",IF(W377="OOS PENDING","CONDITIONAL","NO")))</x:f>
        <x:v>NO</x:v>
      </x:c>
      <x:c r="AF377" s="2" t="n">
        <x:f>IF(AND(AD377=1,AC377=1,E377="LIVE"),1,0)</x:f>
        <x:v>0</x:v>
      </x:c>
      <x:c r="AG377" s="2" t="str">
        <x:f>IF(AF377&lt;&gt;1,"",'Dashboard'!P52)</x:f>
      </x:c>
      <x:c r="AH377" s="2" t="str">
        <x:f>IF(B377="","",IF(J377&lt;&gt;"PASS",'Motor_Meciuri'!J32,IF('Calibrare_Linii'!U13&lt;&gt;"VALID","Parametri linie invalizi",IF(L377&gt;'Config_v6'!$B$13,"Dispersie peste limita",IF(W377="WATCH","Failure peste limita",IF(AB377&lt;'Config_v6'!$B$16,"P finala sub prag",IF(V377&lt;'Config_v6'!$B$18,"Confidence sub prag",IF(E377="REPLAY","Exemplu retrospectiv; exclus din Top LIVE",IF(Y377="PASS","DEFENSIV validat",IF(W377="OOS PENDING","Eligibil; calibrare linie in monitorizare","Eligibil"))))))))))</x:f>
      </x:c>
      <x:c r="AI377" s="2" t="str">
        <x:f>IF(B377="","",'Calibrare_Linii'!V13)</x:f>
      </x:c>
      <x:c r="AJ377" s="2" t="str">
        <x:f>IF(B377="","",IF(AND('Calibrare_Linii'!T13="VALIDATED",AND('Calibrare_Linii'!H13=C377,ISNUMBER('Calibrare_Linii'!J13),'Calibrare_Linii'!J13&lt;='Input_Meci'!G32)),"DEFENSIVE VALIDATED",IF(AND('Calibrare_Linii'!S13="VALIDATED",AND('Calibrare_Linii'!H13=C377,ISNUMBER('Calibrare_Linii'!J13),'Calibrare_Linii'!J13&lt;='Input_Meci'!G32)),"TAIL VALIDATED","OOS PENDING")))</x:f>
      </x:c>
      <x:c r="AK377" s="2" t="n">
        <x:f>IF(J377&lt;&gt;"PASS",0,'Motor_Meciuri'!BR32)</x:f>
        <x:v>0</x:v>
      </x:c>
      <x:c r="AL377" s="2" t="n">
        <x:f>IF(J377&lt;&gt;"PASS",0,'Motor_Meciuri'!BS32)</x:f>
        <x:v>0</x:v>
      </x:c>
      <x:c r="AM377" s="2" t="n">
        <x:f>IF(J377&lt;&gt;"PASS",0,'Motor_Meciuri'!BT32)</x:f>
        <x:v>0</x:v>
      </x:c>
      <x:c r="AN377" s="2" t="str">
        <x:f>IF(M377="","",MAX(0,'Motor_Meciuri'!BF32-IF(L377&gt;'Config_v6'!$B$12,'Config_v6'!$B$37,IF(L377&gt;'Config_v6'!$B$11,'Config_v6'!$B$36,0))))</x:f>
      </x:c>
    </x:row>
    <x:row r="378" ht="21" customHeight="1">
      <x:c r="A378" s="2" t="n">
        <x:v>27</x:v>
      </x:c>
      <x:c r="B378" s="2" t="str">
        <x:f>IF('Motor_Meciuri'!A32="","",'Motor_Meciuri'!A32)</x:f>
      </x:c>
      <x:c r="C378" s="2" t="str">
        <x:f>IF(B378="","",'Motor_Meciuri'!B32)</x:f>
      </x:c>
      <x:c r="D378" s="2" t="str">
        <x:f>IF(B378="","",'Motor_Meciuri'!D32)</x:f>
      </x:c>
      <x:c r="E378" s="2" t="str">
        <x:f>IF(B378="","",'Motor_Meciuri'!E32)</x:f>
      </x:c>
      <x:c r="F378" s="2" t="str">
        <x:v>U12,5</x:v>
      </x:c>
      <x:c r="G378" s="2" t="str">
        <x:v>UNDER</x:v>
      </x:c>
      <x:c r="H378" s="2" t="n">
        <x:v>12</x:v>
      </x:c>
      <x:c r="I378" s="2" t="str">
        <x:f>IF(B378="","",'Motor_Meciuri'!H32)</x:f>
      </x:c>
      <x:c r="J378" s="2" t="str">
        <x:f>IF(B378="","",'Motor_Meciuri'!I32)</x:f>
      </x:c>
      <x:c r="K378" s="11" t="str">
        <x:f>IF(J378&lt;&gt;"PASS","",'Motor_Meciuri'!BD32)</x:f>
      </x:c>
      <x:c r="L378" s="11" t="str">
        <x:f>IF(J378&lt;&gt;"PASS","",'Motor_Meciuri'!AU32)</x:f>
      </x:c>
      <x:c r="M378" s="10" t="str">
        <x:f>IF(NOT(AND(J378="PASS",'Calibrare_Linii'!U14="VALID")),"",'Distributie'!AJ32)</x:f>
      </x:c>
      <x:c r="N378" s="10" t="str">
        <x:f>IF(M378="","",MAX(0.01,MIN(0.99,0.5+(M378-0.5)*'Motor_Meciuri'!BG32*'Calibrare_Linii'!D14)))</x:f>
      </x:c>
      <x:c r="O378" s="10" t="str">
        <x:f>IF(M378="","",1-M378)</x:f>
      </x:c>
      <x:c r="P378" s="10" t="str">
        <x:f>IF(OR(NOT(AND(J378="PASS",'Calibrare_Linii'!U14="VALID")),AK378=0),""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*('Istoric_Nativ'!$Q$6:$Q$405&gt;H378))/AK378)</x:f>
      </x:c>
      <x:c r="Q378" s="10" t="str">
        <x:f>IF(OR(NOT(AND(J378="PASS",'Calibrare_Linii'!U14="VALID")),AL378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M32)+((('Istoric_Nativ'!$E$6:$E$405='Input_Meci'!E32)+('Istoric_Nativ'!$F$6:$F$405='Input_Meci'!E32))&gt;0)*('Istoric_Nativ'!$D$6:$D$405&gt;='Motor_Meciuri'!BN32))&gt;0)*('Istoric_Nativ'!$Q$6:$Q$405&gt;H378))/AL378)</x:f>
      </x:c>
      <x:c r="R378" s="10" t="str">
        <x:f>IF(OR(NOT(AND(J378="PASS",'Calibrare_Linii'!U14="VALID")),AM378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O32)+((('Istoric_Nativ'!$E$6:$E$405='Input_Meci'!E32)+('Istoric_Nativ'!$F$6:$F$405='Input_Meci'!E32))&gt;0)*('Istoric_Nativ'!$D$6:$D$405&gt;='Motor_Meciuri'!BP32))&gt;0)*('Istoric_Nativ'!$Q$6:$Q$405&gt;H378))/AM378)</x:f>
      </x:c>
      <x:c r="S378" s="10" t="str">
        <x:f>IF(M378="","",MAX(O378,P378,Q378,R378))</x:f>
      </x:c>
      <x:c r="T378" s="11" t="str">
        <x:f>IF(M378="","",MIN(100,S378*100*'Config_v6'!$B$44+MIN(100,L378/'Config_v6'!$B$13*100)*'Config_v6'!$B$45+(100-'Motor_Meciuri'!BF32)*'Config_v6'!$B$46+'Motor_Meciuri'!BH32*100*'Config_v6'!$B$47))</x:f>
      </x:c>
      <x:c r="U378" s="2" t="str">
        <x:f>IF(T378="","",IF(T378&lt;=20,1,IF(T378&lt;=40,2,IF(T378&lt;=60,3,IF(T378&lt;=80,4,5)))))</x:f>
      </x:c>
      <x:c r="V378" s="2" t="str">
        <x:f>IF(M378="","",MAX(0,'Motor_Meciuri'!BF32-IF(W378="OOS PENDING",'Config_v6'!$B$35,0)-IF(L378&gt;'Config_v6'!$B$12,'Config_v6'!$B$37,IF(L378&gt;'Config_v6'!$B$11,'Config_v6'!$B$36,0))))</x:f>
      </x:c>
      <x:c r="W378" s="2" t="str">
        <x:f>IF(B378="","",IF(I378&lt;&gt;"READY","NOT RELEASED",IF(NOT(AND(J378="PASS",'Calibrare_Linii'!U14="VALID")),"INVALID",IF(NOT(AND('Calibrare_Linii'!S14="VALIDATED",AND('Calibrare_Linii'!H14=C378,ISNUMBER('Calibrare_Linii'!J14),'Calibrare_Linii'!J14&lt;='Input_Meci'!G32))),"OOS PENDING",IF(S378&lt;='Calibrare_Linii'!E14,"PASS",IF(S378&lt;='Calibrare_Linii'!F14,"PENALTY","WATCH"))))))</x:f>
      </x:c>
      <x:c r="X378" s="2" t="str">
        <x:f>IF(M378="","",IF(AND(AND(J378="PASS",'Calibrare_Linii'!U14="VALID"),'Motor_Meciuri'!K32=12,'Motor_Meciuri'!L32=12,'Motor_Meciuri'!M32="NO",'Motor_Meciuri'!BL32='Motor_Meciuri'!C32,AB378&gt;='Config_v6'!$B$50,AN378&gt;='Config_v6'!$B$51,T378&lt;='Config_v6'!$B$52,L378&lt;='Config_v6'!$B$53,ISNUMBER('Calibrare_Linii'!E14),S378&lt;='Calibrare_Linii'!E14,SUM(AK378:AM378)&gt;0),"CANDIDATE","NO"))</x:f>
      </x:c>
      <x:c r="Y378" s="2" t="str">
        <x:f>IF(B378="","",IF(I378&lt;&gt;"READY","NOT RELEASED",IF(AND(X378="CANDIDATE",V378&gt;='Config_v6'!$B$51,W378="PASS",'Calibrare_Linii'!T14="VALIDATED",AND('Calibrare_Linii'!H14=C378,ISNUMBER('Calibrare_Linii'!J14),'Calibrare_Linii'!J14&lt;='Input_Meci'!G32)),"PASS",IF(X378="CANDIDATE","OOS PENDING","FAIL"))))</x:f>
      </x:c>
      <x:c r="Z378" s="2" t="str">
        <x:f>IF(B378="","",IF(I378&lt;&gt;"READY","",IF(OR(NOT(AND(J378="PASS",'Calibrare_Linii'!U14="VALID")),L378&gt;'Config_v6'!$B$13,W378="WATCH"),5,IF(Y378="PASS",1,MIN(5,MAX('Config_v6'!$B$42,U378)+IF(W378="PENALTY",1,0))))))</x:f>
      </x:c>
      <x:c r="AA378" s="2" t="str">
        <x:f>IF(B378="","",IF(I378&lt;&gt;"READY","NOT RELEASED",IF(Z378=5,"NO BET",IF(OR(AB378&lt;'Config_v6'!$B$16,V378&lt;'Config_v6'!$B$18),"WATCH",IF(Z378=1,"DEFENSIV",IF(Z378=2,"PRUDENT",IF(Z378=3,"MODERAT","RIDICAT")))))))</x:f>
      </x:c>
      <x:c r="AB378" s="10" t="str">
        <x:f>IF(N378="","",MIN(N378,1-S378))</x:f>
      </x:c>
      <x:c r="AC378" s="2" t="str">
        <x:f>IF(AD378&lt;&gt;1,"",COUNTIFS($Z$370:$Z$383,"&lt;"&amp;Z378,$AD$370:$AD$383,1)+COUNTIFS($Z$370:$Z$383,Z378,$AB$370:$AB$383,"&gt;"&amp;AB378,$AD$370:$AD$383,1)+COUNTIFS($Z$370:$Z$383,Z378,$AB$370:$AB$383,AB378,$V$370:$V$383,"&gt;"&amp;V378,$AD$370:$AD$383,1)+COUNTIFS($Z$370:Z378,Z378,$AB$370:AB378,AB378,$V$370:V378,V378,$AD$370:AD378,1))</x:f>
      </x:c>
      <x:c r="AD378" s="2" t="n">
        <x:f>IF(OR(AA378="DEFENSIV",AA378="PRUDENT",AA378="MODERAT",AA378="RIDICAT"),1,0)</x:f>
        <x:v>0</x:v>
      </x:c>
      <x:c r="AE378" s="2" t="str">
        <x:f>IF(AD378&lt;&gt;1,"NO",IF(W378="PASS","YES",IF(W378="OOS PENDING","CONDITIONAL","NO")))</x:f>
        <x:v>NO</x:v>
      </x:c>
      <x:c r="AF378" s="2" t="n">
        <x:f>IF(AND(AD378=1,AC378=1,E378="LIVE"),1,0)</x:f>
        <x:v>0</x:v>
      </x:c>
      <x:c r="AG378" s="2" t="str">
        <x:f>IF(AF378&lt;&gt;1,"",'Dashboard'!P52)</x:f>
      </x:c>
      <x:c r="AH378" s="2" t="str">
        <x:f>IF(B378="","",IF(J378&lt;&gt;"PASS",'Motor_Meciuri'!J32,IF('Calibrare_Linii'!U14&lt;&gt;"VALID","Parametri linie invalizi",IF(L378&gt;'Config_v6'!$B$13,"Dispersie peste limita",IF(W378="WATCH","Failure peste limita",IF(AB378&lt;'Config_v6'!$B$16,"P finala sub prag",IF(V378&lt;'Config_v6'!$B$18,"Confidence sub prag",IF(E378="REPLAY","Exemplu retrospectiv; exclus din Top LIVE",IF(Y378="PASS","DEFENSIV validat",IF(W378="OOS PENDING","Eligibil; calibrare linie in monitorizare","Eligibil"))))))))))</x:f>
      </x:c>
      <x:c r="AI378" s="2" t="str">
        <x:f>IF(B378="","",'Calibrare_Linii'!V14)</x:f>
      </x:c>
      <x:c r="AJ378" s="2" t="str">
        <x:f>IF(B378="","",IF(AND('Calibrare_Linii'!T14="VALIDATED",AND('Calibrare_Linii'!H14=C378,ISNUMBER('Calibrare_Linii'!J14),'Calibrare_Linii'!J14&lt;='Input_Meci'!G32)),"DEFENSIVE VALIDATED",IF(AND('Calibrare_Linii'!S14="VALIDATED",AND('Calibrare_Linii'!H14=C378,ISNUMBER('Calibrare_Linii'!J14),'Calibrare_Linii'!J14&lt;='Input_Meci'!G32)),"TAIL VALIDATED","OOS PENDING")))</x:f>
      </x:c>
      <x:c r="AK378" s="2" t="n">
        <x:f>IF(J378&lt;&gt;"PASS",0,'Motor_Meciuri'!BR32)</x:f>
        <x:v>0</x:v>
      </x:c>
      <x:c r="AL378" s="2" t="n">
        <x:f>IF(J378&lt;&gt;"PASS",0,'Motor_Meciuri'!BS32)</x:f>
        <x:v>0</x:v>
      </x:c>
      <x:c r="AM378" s="2" t="n">
        <x:f>IF(J378&lt;&gt;"PASS",0,'Motor_Meciuri'!BT32)</x:f>
        <x:v>0</x:v>
      </x:c>
      <x:c r="AN378" s="2" t="str">
        <x:f>IF(M378="","",MAX(0,'Motor_Meciuri'!BF32-IF(L378&gt;'Config_v6'!$B$12,'Config_v6'!$B$37,IF(L378&gt;'Config_v6'!$B$11,'Config_v6'!$B$36,0))))</x:f>
      </x:c>
    </x:row>
    <x:row r="379" ht="21" customHeight="1">
      <x:c r="A379" s="2" t="n">
        <x:v>27</x:v>
      </x:c>
      <x:c r="B379" s="2" t="str">
        <x:f>IF('Motor_Meciuri'!A32="","",'Motor_Meciuri'!A32)</x:f>
      </x:c>
      <x:c r="C379" s="2" t="str">
        <x:f>IF(B379="","",'Motor_Meciuri'!B32)</x:f>
      </x:c>
      <x:c r="D379" s="2" t="str">
        <x:f>IF(B379="","",'Motor_Meciuri'!D32)</x:f>
      </x:c>
      <x:c r="E379" s="2" t="str">
        <x:f>IF(B379="","",'Motor_Meciuri'!E32)</x:f>
      </x:c>
      <x:c r="F379" s="2" t="str">
        <x:v>U13,5</x:v>
      </x:c>
      <x:c r="G379" s="2" t="str">
        <x:v>UNDER</x:v>
      </x:c>
      <x:c r="H379" s="2" t="n">
        <x:v>13</x:v>
      </x:c>
      <x:c r="I379" s="2" t="str">
        <x:f>IF(B379="","",'Motor_Meciuri'!H32)</x:f>
      </x:c>
      <x:c r="J379" s="2" t="str">
        <x:f>IF(B379="","",'Motor_Meciuri'!I32)</x:f>
      </x:c>
      <x:c r="K379" s="11" t="str">
        <x:f>IF(J379&lt;&gt;"PASS","",'Motor_Meciuri'!BD32)</x:f>
      </x:c>
      <x:c r="L379" s="11" t="str">
        <x:f>IF(J379&lt;&gt;"PASS","",'Motor_Meciuri'!AU32)</x:f>
      </x:c>
      <x:c r="M379" s="10" t="str">
        <x:f>IF(NOT(AND(J379="PASS",'Calibrare_Linii'!U15="VALID")),"",'Distributie'!AK32)</x:f>
      </x:c>
      <x:c r="N379" s="10" t="str">
        <x:f>IF(M379="","",MAX(0.01,MIN(0.99,0.5+(M379-0.5)*'Motor_Meciuri'!BG32*'Calibrare_Linii'!D15)))</x:f>
      </x:c>
      <x:c r="O379" s="10" t="str">
        <x:f>IF(M379="","",1-M379)</x:f>
      </x:c>
      <x:c r="P379" s="10" t="str">
        <x:f>IF(OR(NOT(AND(J379="PASS",'Calibrare_Linii'!U15="VALID")),AK379=0),""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*('Istoric_Nativ'!$Q$6:$Q$405&gt;H379))/AK379)</x:f>
      </x:c>
      <x:c r="Q379" s="10" t="str">
        <x:f>IF(OR(NOT(AND(J379="PASS",'Calibrare_Linii'!U15="VALID")),AL379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M32)+((('Istoric_Nativ'!$E$6:$E$405='Input_Meci'!E32)+('Istoric_Nativ'!$F$6:$F$405='Input_Meci'!E32))&gt;0)*('Istoric_Nativ'!$D$6:$D$405&gt;='Motor_Meciuri'!BN32))&gt;0)*('Istoric_Nativ'!$Q$6:$Q$405&gt;H379))/AL379)</x:f>
      </x:c>
      <x:c r="R379" s="10" t="str">
        <x:f>IF(OR(NOT(AND(J379="PASS",'Calibrare_Linii'!U15="VALID")),AM379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O32)+((('Istoric_Nativ'!$E$6:$E$405='Input_Meci'!E32)+('Istoric_Nativ'!$F$6:$F$405='Input_Meci'!E32))&gt;0)*('Istoric_Nativ'!$D$6:$D$405&gt;='Motor_Meciuri'!BP32))&gt;0)*('Istoric_Nativ'!$Q$6:$Q$405&gt;H379))/AM379)</x:f>
      </x:c>
      <x:c r="S379" s="10" t="str">
        <x:f>IF(M379="","",MAX(O379,P379,Q379,R379))</x:f>
      </x:c>
      <x:c r="T379" s="11" t="str">
        <x:f>IF(M379="","",MIN(100,S379*100*'Config_v6'!$B$44+MIN(100,L379/'Config_v6'!$B$13*100)*'Config_v6'!$B$45+(100-'Motor_Meciuri'!BF32)*'Config_v6'!$B$46+'Motor_Meciuri'!BH32*100*'Config_v6'!$B$47))</x:f>
      </x:c>
      <x:c r="U379" s="2" t="str">
        <x:f>IF(T379="","",IF(T379&lt;=20,1,IF(T379&lt;=40,2,IF(T379&lt;=60,3,IF(T379&lt;=80,4,5)))))</x:f>
      </x:c>
      <x:c r="V379" s="2" t="str">
        <x:f>IF(M379="","",MAX(0,'Motor_Meciuri'!BF32-IF(W379="OOS PENDING",'Config_v6'!$B$35,0)-IF(L379&gt;'Config_v6'!$B$12,'Config_v6'!$B$37,IF(L379&gt;'Config_v6'!$B$11,'Config_v6'!$B$36,0))))</x:f>
      </x:c>
      <x:c r="W379" s="2" t="str">
        <x:f>IF(B379="","",IF(I379&lt;&gt;"READY","NOT RELEASED",IF(NOT(AND(J379="PASS",'Calibrare_Linii'!U15="VALID")),"INVALID",IF(NOT(AND('Calibrare_Linii'!S15="VALIDATED",AND('Calibrare_Linii'!H15=C379,ISNUMBER('Calibrare_Linii'!J15),'Calibrare_Linii'!J15&lt;='Input_Meci'!G32))),"OOS PENDING",IF(S379&lt;='Calibrare_Linii'!E15,"PASS",IF(S379&lt;='Calibrare_Linii'!F15,"PENALTY","WATCH"))))))</x:f>
      </x:c>
      <x:c r="X379" s="2" t="str">
        <x:f>IF(M379="","",IF(AND(AND(J379="PASS",'Calibrare_Linii'!U15="VALID"),'Motor_Meciuri'!K32=12,'Motor_Meciuri'!L32=12,'Motor_Meciuri'!M32="NO",'Motor_Meciuri'!BL32='Motor_Meciuri'!C32,AB379&gt;='Config_v6'!$B$50,AN379&gt;='Config_v6'!$B$51,T379&lt;='Config_v6'!$B$52,L379&lt;='Config_v6'!$B$53,ISNUMBER('Calibrare_Linii'!E15),S379&lt;='Calibrare_Linii'!E15,SUM(AK379:AM379)&gt;0),"CANDIDATE","NO"))</x:f>
      </x:c>
      <x:c r="Y379" s="2" t="str">
        <x:f>IF(B379="","",IF(I379&lt;&gt;"READY","NOT RELEASED",IF(AND(X379="CANDIDATE",V379&gt;='Config_v6'!$B$51,W379="PASS",'Calibrare_Linii'!T15="VALIDATED",AND('Calibrare_Linii'!H15=C379,ISNUMBER('Calibrare_Linii'!J15),'Calibrare_Linii'!J15&lt;='Input_Meci'!G32)),"PASS",IF(X379="CANDIDATE","OOS PENDING","FAIL"))))</x:f>
      </x:c>
      <x:c r="Z379" s="2" t="str">
        <x:f>IF(B379="","",IF(I379&lt;&gt;"READY","",IF(OR(NOT(AND(J379="PASS",'Calibrare_Linii'!U15="VALID")),L379&gt;'Config_v6'!$B$13,W379="WATCH"),5,IF(Y379="PASS",1,MIN(5,MAX('Config_v6'!$B$42,U379)+IF(W379="PENALTY",1,0))))))</x:f>
      </x:c>
      <x:c r="AA379" s="2" t="str">
        <x:f>IF(B379="","",IF(I379&lt;&gt;"READY","NOT RELEASED",IF(Z379=5,"NO BET",IF(OR(AB379&lt;'Config_v6'!$B$16,V379&lt;'Config_v6'!$B$18),"WATCH",IF(Z379=1,"DEFENSIV",IF(Z379=2,"PRUDENT",IF(Z379=3,"MODERAT","RIDICAT")))))))</x:f>
      </x:c>
      <x:c r="AB379" s="10" t="str">
        <x:f>IF(N379="","",MIN(N379,1-S379))</x:f>
      </x:c>
      <x:c r="AC379" s="2" t="str">
        <x:f>IF(AD379&lt;&gt;1,"",COUNTIFS($Z$370:$Z$383,"&lt;"&amp;Z379,$AD$370:$AD$383,1)+COUNTIFS($Z$370:$Z$383,Z379,$AB$370:$AB$383,"&gt;"&amp;AB379,$AD$370:$AD$383,1)+COUNTIFS($Z$370:$Z$383,Z379,$AB$370:$AB$383,AB379,$V$370:$V$383,"&gt;"&amp;V379,$AD$370:$AD$383,1)+COUNTIFS($Z$370:Z379,Z379,$AB$370:AB379,AB379,$V$370:V379,V379,$AD$370:AD379,1))</x:f>
      </x:c>
      <x:c r="AD379" s="2" t="n">
        <x:f>IF(OR(AA379="DEFENSIV",AA379="PRUDENT",AA379="MODERAT",AA379="RIDICAT"),1,0)</x:f>
        <x:v>0</x:v>
      </x:c>
      <x:c r="AE379" s="2" t="str">
        <x:f>IF(AD379&lt;&gt;1,"NO",IF(W379="PASS","YES",IF(W379="OOS PENDING","CONDITIONAL","NO")))</x:f>
        <x:v>NO</x:v>
      </x:c>
      <x:c r="AF379" s="2" t="n">
        <x:f>IF(AND(AD379=1,AC379=1,E379="LIVE"),1,0)</x:f>
        <x:v>0</x:v>
      </x:c>
      <x:c r="AG379" s="2" t="str">
        <x:f>IF(AF379&lt;&gt;1,"",'Dashboard'!P52)</x:f>
      </x:c>
      <x:c r="AH379" s="2" t="str">
        <x:f>IF(B379="","",IF(J379&lt;&gt;"PASS",'Motor_Meciuri'!J32,IF('Calibrare_Linii'!U15&lt;&gt;"VALID","Parametri linie invalizi",IF(L379&gt;'Config_v6'!$B$13,"Dispersie peste limita",IF(W379="WATCH","Failure peste limita",IF(AB379&lt;'Config_v6'!$B$16,"P finala sub prag",IF(V379&lt;'Config_v6'!$B$18,"Confidence sub prag",IF(E379="REPLAY","Exemplu retrospectiv; exclus din Top LIVE",IF(Y379="PASS","DEFENSIV validat",IF(W379="OOS PENDING","Eligibil; calibrare linie in monitorizare","Eligibil"))))))))))</x:f>
      </x:c>
      <x:c r="AI379" s="2" t="str">
        <x:f>IF(B379="","",'Calibrare_Linii'!V15)</x:f>
      </x:c>
      <x:c r="AJ379" s="2" t="str">
        <x:f>IF(B379="","",IF(AND('Calibrare_Linii'!T15="VALIDATED",AND('Calibrare_Linii'!H15=C379,ISNUMBER('Calibrare_Linii'!J15),'Calibrare_Linii'!J15&lt;='Input_Meci'!G32)),"DEFENSIVE VALIDATED",IF(AND('Calibrare_Linii'!S15="VALIDATED",AND('Calibrare_Linii'!H15=C379,ISNUMBER('Calibrare_Linii'!J15),'Calibrare_Linii'!J15&lt;='Input_Meci'!G32)),"TAIL VALIDATED","OOS PENDING")))</x:f>
      </x:c>
      <x:c r="AK379" s="2" t="n">
        <x:f>IF(J379&lt;&gt;"PASS",0,'Motor_Meciuri'!BR32)</x:f>
        <x:v>0</x:v>
      </x:c>
      <x:c r="AL379" s="2" t="n">
        <x:f>IF(J379&lt;&gt;"PASS",0,'Motor_Meciuri'!BS32)</x:f>
        <x:v>0</x:v>
      </x:c>
      <x:c r="AM379" s="2" t="n">
        <x:f>IF(J379&lt;&gt;"PASS",0,'Motor_Meciuri'!BT32)</x:f>
        <x:v>0</x:v>
      </x:c>
      <x:c r="AN379" s="2" t="str">
        <x:f>IF(M379="","",MAX(0,'Motor_Meciuri'!BF32-IF(L379&gt;'Config_v6'!$B$12,'Config_v6'!$B$37,IF(L379&gt;'Config_v6'!$B$11,'Config_v6'!$B$36,0))))</x:f>
      </x:c>
    </x:row>
    <x:row r="380" ht="21" customHeight="1">
      <x:c r="A380" s="2" t="n">
        <x:v>27</x:v>
      </x:c>
      <x:c r="B380" s="2" t="str">
        <x:f>IF('Motor_Meciuri'!A32="","",'Motor_Meciuri'!A32)</x:f>
      </x:c>
      <x:c r="C380" s="2" t="str">
        <x:f>IF(B380="","",'Motor_Meciuri'!B32)</x:f>
      </x:c>
      <x:c r="D380" s="2" t="str">
        <x:f>IF(B380="","",'Motor_Meciuri'!D32)</x:f>
      </x:c>
      <x:c r="E380" s="2" t="str">
        <x:f>IF(B380="","",'Motor_Meciuri'!E32)</x:f>
      </x:c>
      <x:c r="F380" s="2" t="str">
        <x:v>U14,5</x:v>
      </x:c>
      <x:c r="G380" s="2" t="str">
        <x:v>UNDER</x:v>
      </x:c>
      <x:c r="H380" s="2" t="n">
        <x:v>14</x:v>
      </x:c>
      <x:c r="I380" s="2" t="str">
        <x:f>IF(B380="","",'Motor_Meciuri'!H32)</x:f>
      </x:c>
      <x:c r="J380" s="2" t="str">
        <x:f>IF(B380="","",'Motor_Meciuri'!I32)</x:f>
      </x:c>
      <x:c r="K380" s="11" t="str">
        <x:f>IF(J380&lt;&gt;"PASS","",'Motor_Meciuri'!BD32)</x:f>
      </x:c>
      <x:c r="L380" s="11" t="str">
        <x:f>IF(J380&lt;&gt;"PASS","",'Motor_Meciuri'!AU32)</x:f>
      </x:c>
      <x:c r="M380" s="10" t="str">
        <x:f>IF(NOT(AND(J380="PASS",'Calibrare_Linii'!U16="VALID")),"",'Distributie'!AL32)</x:f>
      </x:c>
      <x:c r="N380" s="10" t="str">
        <x:f>IF(M380="","",MAX(0.01,MIN(0.99,0.5+(M380-0.5)*'Motor_Meciuri'!BG32*'Calibrare_Linii'!D16)))</x:f>
      </x:c>
      <x:c r="O380" s="10" t="str">
        <x:f>IF(M380="","",1-M380)</x:f>
      </x:c>
      <x:c r="P380" s="10" t="str">
        <x:f>IF(OR(NOT(AND(J380="PASS",'Calibrare_Linii'!U16="VALID")),AK380=0),""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*('Istoric_Nativ'!$Q$6:$Q$405&gt;H380))/AK380)</x:f>
      </x:c>
      <x:c r="Q380" s="10" t="str">
        <x:f>IF(OR(NOT(AND(J380="PASS",'Calibrare_Linii'!U16="VALID")),AL380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M32)+((('Istoric_Nativ'!$E$6:$E$405='Input_Meci'!E32)+('Istoric_Nativ'!$F$6:$F$405='Input_Meci'!E32))&gt;0)*('Istoric_Nativ'!$D$6:$D$405&gt;='Motor_Meciuri'!BN32))&gt;0)*('Istoric_Nativ'!$Q$6:$Q$405&gt;H380))/AL380)</x:f>
      </x:c>
      <x:c r="R380" s="10" t="str">
        <x:f>IF(OR(NOT(AND(J380="PASS",'Calibrare_Linii'!U16="VALID")),AM380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O32)+((('Istoric_Nativ'!$E$6:$E$405='Input_Meci'!E32)+('Istoric_Nativ'!$F$6:$F$405='Input_Meci'!E32))&gt;0)*('Istoric_Nativ'!$D$6:$D$405&gt;='Motor_Meciuri'!BP32))&gt;0)*('Istoric_Nativ'!$Q$6:$Q$405&gt;H380))/AM380)</x:f>
      </x:c>
      <x:c r="S380" s="10" t="str">
        <x:f>IF(M380="","",MAX(O380,P380,Q380,R380))</x:f>
      </x:c>
      <x:c r="T380" s="11" t="str">
        <x:f>IF(M380="","",MIN(100,S380*100*'Config_v6'!$B$44+MIN(100,L380/'Config_v6'!$B$13*100)*'Config_v6'!$B$45+(100-'Motor_Meciuri'!BF32)*'Config_v6'!$B$46+'Motor_Meciuri'!BH32*100*'Config_v6'!$B$47))</x:f>
      </x:c>
      <x:c r="U380" s="2" t="str">
        <x:f>IF(T380="","",IF(T380&lt;=20,1,IF(T380&lt;=40,2,IF(T380&lt;=60,3,IF(T380&lt;=80,4,5)))))</x:f>
      </x:c>
      <x:c r="V380" s="2" t="str">
        <x:f>IF(M380="","",MAX(0,'Motor_Meciuri'!BF32-IF(W380="OOS PENDING",'Config_v6'!$B$35,0)-IF(L380&gt;'Config_v6'!$B$12,'Config_v6'!$B$37,IF(L380&gt;'Config_v6'!$B$11,'Config_v6'!$B$36,0))))</x:f>
      </x:c>
      <x:c r="W380" s="2" t="str">
        <x:f>IF(B380="","",IF(I380&lt;&gt;"READY","NOT RELEASED",IF(NOT(AND(J380="PASS",'Calibrare_Linii'!U16="VALID")),"INVALID",IF(NOT(AND('Calibrare_Linii'!S16="VALIDATED",AND('Calibrare_Linii'!H16=C380,ISNUMBER('Calibrare_Linii'!J16),'Calibrare_Linii'!J16&lt;='Input_Meci'!G32))),"OOS PENDING",IF(S380&lt;='Calibrare_Linii'!E16,"PASS",IF(S380&lt;='Calibrare_Linii'!F16,"PENALTY","WATCH"))))))</x:f>
      </x:c>
      <x:c r="X380" s="2" t="str">
        <x:f>IF(M380="","",IF(AND(AND(J380="PASS",'Calibrare_Linii'!U16="VALID"),'Motor_Meciuri'!K32=12,'Motor_Meciuri'!L32=12,'Motor_Meciuri'!M32="NO",'Motor_Meciuri'!BL32='Motor_Meciuri'!C32,AB380&gt;='Config_v6'!$B$50,AN380&gt;='Config_v6'!$B$51,T380&lt;='Config_v6'!$B$52,L380&lt;='Config_v6'!$B$53,ISNUMBER('Calibrare_Linii'!E16),S380&lt;='Calibrare_Linii'!E16,SUM(AK380:AM380)&gt;0),"CANDIDATE","NO"))</x:f>
      </x:c>
      <x:c r="Y380" s="2" t="str">
        <x:f>IF(B380="","",IF(I380&lt;&gt;"READY","NOT RELEASED",IF(AND(X380="CANDIDATE",V380&gt;='Config_v6'!$B$51,W380="PASS",'Calibrare_Linii'!T16="VALIDATED",AND('Calibrare_Linii'!H16=C380,ISNUMBER('Calibrare_Linii'!J16),'Calibrare_Linii'!J16&lt;='Input_Meci'!G32)),"PASS",IF(X380="CANDIDATE","OOS PENDING","FAIL"))))</x:f>
      </x:c>
      <x:c r="Z380" s="2" t="str">
        <x:f>IF(B380="","",IF(I380&lt;&gt;"READY","",IF(OR(NOT(AND(J380="PASS",'Calibrare_Linii'!U16="VALID")),L380&gt;'Config_v6'!$B$13,W380="WATCH"),5,IF(Y380="PASS",1,MIN(5,MAX('Config_v6'!$B$42,U380)+IF(W380="PENALTY",1,0))))))</x:f>
      </x:c>
      <x:c r="AA380" s="2" t="str">
        <x:f>IF(B380="","",IF(I380&lt;&gt;"READY","NOT RELEASED",IF(Z380=5,"NO BET",IF(OR(AB380&lt;'Config_v6'!$B$16,V380&lt;'Config_v6'!$B$18),"WATCH",IF(Z380=1,"DEFENSIV",IF(Z380=2,"PRUDENT",IF(Z380=3,"MODERAT","RIDICAT")))))))</x:f>
      </x:c>
      <x:c r="AB380" s="10" t="str">
        <x:f>IF(N380="","",MIN(N380,1-S380))</x:f>
      </x:c>
      <x:c r="AC380" s="2" t="str">
        <x:f>IF(AD380&lt;&gt;1,"",COUNTIFS($Z$370:$Z$383,"&lt;"&amp;Z380,$AD$370:$AD$383,1)+COUNTIFS($Z$370:$Z$383,Z380,$AB$370:$AB$383,"&gt;"&amp;AB380,$AD$370:$AD$383,1)+COUNTIFS($Z$370:$Z$383,Z380,$AB$370:$AB$383,AB380,$V$370:$V$383,"&gt;"&amp;V380,$AD$370:$AD$383,1)+COUNTIFS($Z$370:Z380,Z380,$AB$370:AB380,AB380,$V$370:V380,V380,$AD$370:AD380,1))</x:f>
      </x:c>
      <x:c r="AD380" s="2" t="n">
        <x:f>IF(OR(AA380="DEFENSIV",AA380="PRUDENT",AA380="MODERAT",AA380="RIDICAT"),1,0)</x:f>
        <x:v>0</x:v>
      </x:c>
      <x:c r="AE380" s="2" t="str">
        <x:f>IF(AD380&lt;&gt;1,"NO",IF(W380="PASS","YES",IF(W380="OOS PENDING","CONDITIONAL","NO")))</x:f>
        <x:v>NO</x:v>
      </x:c>
      <x:c r="AF380" s="2" t="n">
        <x:f>IF(AND(AD380=1,AC380=1,E380="LIVE"),1,0)</x:f>
        <x:v>0</x:v>
      </x:c>
      <x:c r="AG380" s="2" t="str">
        <x:f>IF(AF380&lt;&gt;1,"",'Dashboard'!P52)</x:f>
      </x:c>
      <x:c r="AH380" s="2" t="str">
        <x:f>IF(B380="","",IF(J380&lt;&gt;"PASS",'Motor_Meciuri'!J32,IF('Calibrare_Linii'!U16&lt;&gt;"VALID","Parametri linie invalizi",IF(L380&gt;'Config_v6'!$B$13,"Dispersie peste limita",IF(W380="WATCH","Failure peste limita",IF(AB380&lt;'Config_v6'!$B$16,"P finala sub prag",IF(V380&lt;'Config_v6'!$B$18,"Confidence sub prag",IF(E380="REPLAY","Exemplu retrospectiv; exclus din Top LIVE",IF(Y380="PASS","DEFENSIV validat",IF(W380="OOS PENDING","Eligibil; calibrare linie in monitorizare","Eligibil"))))))))))</x:f>
      </x:c>
      <x:c r="AI380" s="2" t="str">
        <x:f>IF(B380="","",'Calibrare_Linii'!V16)</x:f>
      </x:c>
      <x:c r="AJ380" s="2" t="str">
        <x:f>IF(B380="","",IF(AND('Calibrare_Linii'!T16="VALIDATED",AND('Calibrare_Linii'!H16=C380,ISNUMBER('Calibrare_Linii'!J16),'Calibrare_Linii'!J16&lt;='Input_Meci'!G32)),"DEFENSIVE VALIDATED",IF(AND('Calibrare_Linii'!S16="VALIDATED",AND('Calibrare_Linii'!H16=C380,ISNUMBER('Calibrare_Linii'!J16),'Calibrare_Linii'!J16&lt;='Input_Meci'!G32)),"TAIL VALIDATED","OOS PENDING")))</x:f>
      </x:c>
      <x:c r="AK380" s="2" t="n">
        <x:f>IF(J380&lt;&gt;"PASS",0,'Motor_Meciuri'!BR32)</x:f>
        <x:v>0</x:v>
      </x:c>
      <x:c r="AL380" s="2" t="n">
        <x:f>IF(J380&lt;&gt;"PASS",0,'Motor_Meciuri'!BS32)</x:f>
        <x:v>0</x:v>
      </x:c>
      <x:c r="AM380" s="2" t="n">
        <x:f>IF(J380&lt;&gt;"PASS",0,'Motor_Meciuri'!BT32)</x:f>
        <x:v>0</x:v>
      </x:c>
      <x:c r="AN380" s="2" t="str">
        <x:f>IF(M380="","",MAX(0,'Motor_Meciuri'!BF32-IF(L380&gt;'Config_v6'!$B$12,'Config_v6'!$B$37,IF(L380&gt;'Config_v6'!$B$11,'Config_v6'!$B$36,0))))</x:f>
      </x:c>
    </x:row>
    <x:row r="381" ht="21" customHeight="1">
      <x:c r="A381" s="2" t="n">
        <x:v>27</x:v>
      </x:c>
      <x:c r="B381" s="2" t="str">
        <x:f>IF('Motor_Meciuri'!A32="","",'Motor_Meciuri'!A32)</x:f>
      </x:c>
      <x:c r="C381" s="2" t="str">
        <x:f>IF(B381="","",'Motor_Meciuri'!B32)</x:f>
      </x:c>
      <x:c r="D381" s="2" t="str">
        <x:f>IF(B381="","",'Motor_Meciuri'!D32)</x:f>
      </x:c>
      <x:c r="E381" s="2" t="str">
        <x:f>IF(B381="","",'Motor_Meciuri'!E32)</x:f>
      </x:c>
      <x:c r="F381" s="2" t="str">
        <x:v>U15,5</x:v>
      </x:c>
      <x:c r="G381" s="2" t="str">
        <x:v>UNDER</x:v>
      </x:c>
      <x:c r="H381" s="2" t="n">
        <x:v>15</x:v>
      </x:c>
      <x:c r="I381" s="2" t="str">
        <x:f>IF(B381="","",'Motor_Meciuri'!H32)</x:f>
      </x:c>
      <x:c r="J381" s="2" t="str">
        <x:f>IF(B381="","",'Motor_Meciuri'!I32)</x:f>
      </x:c>
      <x:c r="K381" s="11" t="str">
        <x:f>IF(J381&lt;&gt;"PASS","",'Motor_Meciuri'!BD32)</x:f>
      </x:c>
      <x:c r="L381" s="11" t="str">
        <x:f>IF(J381&lt;&gt;"PASS","",'Motor_Meciuri'!AU32)</x:f>
      </x:c>
      <x:c r="M381" s="10" t="str">
        <x:f>IF(NOT(AND(J381="PASS",'Calibrare_Linii'!U17="VALID")),"",'Distributie'!AM32)</x:f>
      </x:c>
      <x:c r="N381" s="10" t="str">
        <x:f>IF(M381="","",MAX(0.01,MIN(0.99,0.5+(M381-0.5)*'Motor_Meciuri'!BG32*'Calibrare_Linii'!D17)))</x:f>
      </x:c>
      <x:c r="O381" s="10" t="str">
        <x:f>IF(M381="","",1-M381)</x:f>
      </x:c>
      <x:c r="P381" s="10" t="str">
        <x:f>IF(OR(NOT(AND(J381="PASS",'Calibrare_Linii'!U17="VALID")),AK381=0),""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*('Istoric_Nativ'!$Q$6:$Q$405&gt;H381))/AK381)</x:f>
      </x:c>
      <x:c r="Q381" s="10" t="str">
        <x:f>IF(OR(NOT(AND(J381="PASS",'Calibrare_Linii'!U17="VALID")),AL381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M32)+((('Istoric_Nativ'!$E$6:$E$405='Input_Meci'!E32)+('Istoric_Nativ'!$F$6:$F$405='Input_Meci'!E32))&gt;0)*('Istoric_Nativ'!$D$6:$D$405&gt;='Motor_Meciuri'!BN32))&gt;0)*('Istoric_Nativ'!$Q$6:$Q$405&gt;H381))/AL381)</x:f>
      </x:c>
      <x:c r="R381" s="10" t="str">
        <x:f>IF(OR(NOT(AND(J381="PASS",'Calibrare_Linii'!U17="VALID")),AM381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O32)+((('Istoric_Nativ'!$E$6:$E$405='Input_Meci'!E32)+('Istoric_Nativ'!$F$6:$F$405='Input_Meci'!E32))&gt;0)*('Istoric_Nativ'!$D$6:$D$405&gt;='Motor_Meciuri'!BP32))&gt;0)*('Istoric_Nativ'!$Q$6:$Q$405&gt;H381))/AM381)</x:f>
      </x:c>
      <x:c r="S381" s="10" t="str">
        <x:f>IF(M381="","",MAX(O381,P381,Q381,R381))</x:f>
      </x:c>
      <x:c r="T381" s="11" t="str">
        <x:f>IF(M381="","",MIN(100,S381*100*'Config_v6'!$B$44+MIN(100,L381/'Config_v6'!$B$13*100)*'Config_v6'!$B$45+(100-'Motor_Meciuri'!BF32)*'Config_v6'!$B$46+'Motor_Meciuri'!BH32*100*'Config_v6'!$B$47))</x:f>
      </x:c>
      <x:c r="U381" s="2" t="str">
        <x:f>IF(T381="","",IF(T381&lt;=20,1,IF(T381&lt;=40,2,IF(T381&lt;=60,3,IF(T381&lt;=80,4,5)))))</x:f>
      </x:c>
      <x:c r="V381" s="2" t="str">
        <x:f>IF(M381="","",MAX(0,'Motor_Meciuri'!BF32-IF(W381="OOS PENDING",'Config_v6'!$B$35,0)-IF(L381&gt;'Config_v6'!$B$12,'Config_v6'!$B$37,IF(L381&gt;'Config_v6'!$B$11,'Config_v6'!$B$36,0))))</x:f>
      </x:c>
      <x:c r="W381" s="2" t="str">
        <x:f>IF(B381="","",IF(I381&lt;&gt;"READY","NOT RELEASED",IF(NOT(AND(J381="PASS",'Calibrare_Linii'!U17="VALID")),"INVALID",IF(NOT(AND('Calibrare_Linii'!S17="VALIDATED",AND('Calibrare_Linii'!H17=C381,ISNUMBER('Calibrare_Linii'!J17),'Calibrare_Linii'!J17&lt;='Input_Meci'!G32))),"OOS PENDING",IF(S381&lt;='Calibrare_Linii'!E17,"PASS",IF(S381&lt;='Calibrare_Linii'!F17,"PENALTY","WATCH"))))))</x:f>
      </x:c>
      <x:c r="X381" s="2" t="str">
        <x:f>IF(M381="","",IF(AND(AND(J381="PASS",'Calibrare_Linii'!U17="VALID"),'Motor_Meciuri'!K32=12,'Motor_Meciuri'!L32=12,'Motor_Meciuri'!M32="NO",'Motor_Meciuri'!BL32='Motor_Meciuri'!C32,AB381&gt;='Config_v6'!$B$50,AN381&gt;='Config_v6'!$B$51,T381&lt;='Config_v6'!$B$52,L381&lt;='Config_v6'!$B$53,ISNUMBER('Calibrare_Linii'!E17),S381&lt;='Calibrare_Linii'!E17,SUM(AK381:AM381)&gt;0),"CANDIDATE","NO"))</x:f>
      </x:c>
      <x:c r="Y381" s="2" t="str">
        <x:f>IF(B381="","",IF(I381&lt;&gt;"READY","NOT RELEASED",IF(AND(X381="CANDIDATE",V381&gt;='Config_v6'!$B$51,W381="PASS",'Calibrare_Linii'!T17="VALIDATED",AND('Calibrare_Linii'!H17=C381,ISNUMBER('Calibrare_Linii'!J17),'Calibrare_Linii'!J17&lt;='Input_Meci'!G32)),"PASS",IF(X381="CANDIDATE","OOS PENDING","FAIL"))))</x:f>
      </x:c>
      <x:c r="Z381" s="2" t="str">
        <x:f>IF(B381="","",IF(I381&lt;&gt;"READY","",IF(OR(NOT(AND(J381="PASS",'Calibrare_Linii'!U17="VALID")),L381&gt;'Config_v6'!$B$13,W381="WATCH"),5,IF(Y381="PASS",1,MIN(5,MAX('Config_v6'!$B$42,U381)+IF(W381="PENALTY",1,0))))))</x:f>
      </x:c>
      <x:c r="AA381" s="2" t="str">
        <x:f>IF(B381="","",IF(I381&lt;&gt;"READY","NOT RELEASED",IF(Z381=5,"NO BET",IF(OR(AB381&lt;'Config_v6'!$B$16,V381&lt;'Config_v6'!$B$18),"WATCH",IF(Z381=1,"DEFENSIV",IF(Z381=2,"PRUDENT",IF(Z381=3,"MODERAT","RIDICAT")))))))</x:f>
      </x:c>
      <x:c r="AB381" s="10" t="str">
        <x:f>IF(N381="","",MIN(N381,1-S381))</x:f>
      </x:c>
      <x:c r="AC381" s="2" t="str">
        <x:f>IF(AD381&lt;&gt;1,"",COUNTIFS($Z$370:$Z$383,"&lt;"&amp;Z381,$AD$370:$AD$383,1)+COUNTIFS($Z$370:$Z$383,Z381,$AB$370:$AB$383,"&gt;"&amp;AB381,$AD$370:$AD$383,1)+COUNTIFS($Z$370:$Z$383,Z381,$AB$370:$AB$383,AB381,$V$370:$V$383,"&gt;"&amp;V381,$AD$370:$AD$383,1)+COUNTIFS($Z$370:Z381,Z381,$AB$370:AB381,AB381,$V$370:V381,V381,$AD$370:AD381,1))</x:f>
      </x:c>
      <x:c r="AD381" s="2" t="n">
        <x:f>IF(OR(AA381="DEFENSIV",AA381="PRUDENT",AA381="MODERAT",AA381="RIDICAT"),1,0)</x:f>
        <x:v>0</x:v>
      </x:c>
      <x:c r="AE381" s="2" t="str">
        <x:f>IF(AD381&lt;&gt;1,"NO",IF(W381="PASS","YES",IF(W381="OOS PENDING","CONDITIONAL","NO")))</x:f>
        <x:v>NO</x:v>
      </x:c>
      <x:c r="AF381" s="2" t="n">
        <x:f>IF(AND(AD381=1,AC381=1,E381="LIVE"),1,0)</x:f>
        <x:v>0</x:v>
      </x:c>
      <x:c r="AG381" s="2" t="str">
        <x:f>IF(AF381&lt;&gt;1,"",'Dashboard'!P52)</x:f>
      </x:c>
      <x:c r="AH381" s="2" t="str">
        <x:f>IF(B381="","",IF(J381&lt;&gt;"PASS",'Motor_Meciuri'!J32,IF('Calibrare_Linii'!U17&lt;&gt;"VALID","Parametri linie invalizi",IF(L381&gt;'Config_v6'!$B$13,"Dispersie peste limita",IF(W381="WATCH","Failure peste limita",IF(AB381&lt;'Config_v6'!$B$16,"P finala sub prag",IF(V381&lt;'Config_v6'!$B$18,"Confidence sub prag",IF(E381="REPLAY","Exemplu retrospectiv; exclus din Top LIVE",IF(Y381="PASS","DEFENSIV validat",IF(W381="OOS PENDING","Eligibil; calibrare linie in monitorizare","Eligibil"))))))))))</x:f>
      </x:c>
      <x:c r="AI381" s="2" t="str">
        <x:f>IF(B381="","",'Calibrare_Linii'!V17)</x:f>
      </x:c>
      <x:c r="AJ381" s="2" t="str">
        <x:f>IF(B381="","",IF(AND('Calibrare_Linii'!T17="VALIDATED",AND('Calibrare_Linii'!H17=C381,ISNUMBER('Calibrare_Linii'!J17),'Calibrare_Linii'!J17&lt;='Input_Meci'!G32)),"DEFENSIVE VALIDATED",IF(AND('Calibrare_Linii'!S17="VALIDATED",AND('Calibrare_Linii'!H17=C381,ISNUMBER('Calibrare_Linii'!J17),'Calibrare_Linii'!J17&lt;='Input_Meci'!G32)),"TAIL VALIDATED","OOS PENDING")))</x:f>
      </x:c>
      <x:c r="AK381" s="2" t="n">
        <x:f>IF(J381&lt;&gt;"PASS",0,'Motor_Meciuri'!BR32)</x:f>
        <x:v>0</x:v>
      </x:c>
      <x:c r="AL381" s="2" t="n">
        <x:f>IF(J381&lt;&gt;"PASS",0,'Motor_Meciuri'!BS32)</x:f>
        <x:v>0</x:v>
      </x:c>
      <x:c r="AM381" s="2" t="n">
        <x:f>IF(J381&lt;&gt;"PASS",0,'Motor_Meciuri'!BT32)</x:f>
        <x:v>0</x:v>
      </x:c>
      <x:c r="AN381" s="2" t="str">
        <x:f>IF(M381="","",MAX(0,'Motor_Meciuri'!BF32-IF(L381&gt;'Config_v6'!$B$12,'Config_v6'!$B$37,IF(L381&gt;'Config_v6'!$B$11,'Config_v6'!$B$36,0))))</x:f>
      </x:c>
    </x:row>
    <x:row r="382" ht="21" customHeight="1">
      <x:c r="A382" s="2" t="n">
        <x:v>27</x:v>
      </x:c>
      <x:c r="B382" s="2" t="str">
        <x:f>IF('Motor_Meciuri'!A32="","",'Motor_Meciuri'!A32)</x:f>
      </x:c>
      <x:c r="C382" s="2" t="str">
        <x:f>IF(B382="","",'Motor_Meciuri'!B32)</x:f>
      </x:c>
      <x:c r="D382" s="2" t="str">
        <x:f>IF(B382="","",'Motor_Meciuri'!D32)</x:f>
      </x:c>
      <x:c r="E382" s="2" t="str">
        <x:f>IF(B382="","",'Motor_Meciuri'!E32)</x:f>
      </x:c>
      <x:c r="F382" s="2" t="str">
        <x:v>U16,5</x:v>
      </x:c>
      <x:c r="G382" s="2" t="str">
        <x:v>UNDER</x:v>
      </x:c>
      <x:c r="H382" s="2" t="n">
        <x:v>16</x:v>
      </x:c>
      <x:c r="I382" s="2" t="str">
        <x:f>IF(B382="","",'Motor_Meciuri'!H32)</x:f>
      </x:c>
      <x:c r="J382" s="2" t="str">
        <x:f>IF(B382="","",'Motor_Meciuri'!I32)</x:f>
      </x:c>
      <x:c r="K382" s="11" t="str">
        <x:f>IF(J382&lt;&gt;"PASS","",'Motor_Meciuri'!BD32)</x:f>
      </x:c>
      <x:c r="L382" s="11" t="str">
        <x:f>IF(J382&lt;&gt;"PASS","",'Motor_Meciuri'!AU32)</x:f>
      </x:c>
      <x:c r="M382" s="10" t="str">
        <x:f>IF(NOT(AND(J382="PASS",'Calibrare_Linii'!U18="VALID")),"",'Distributie'!AN32)</x:f>
      </x:c>
      <x:c r="N382" s="10" t="str">
        <x:f>IF(M382="","",MAX(0.01,MIN(0.99,0.5+(M382-0.5)*'Motor_Meciuri'!BG32*'Calibrare_Linii'!D18)))</x:f>
      </x:c>
      <x:c r="O382" s="10" t="str">
        <x:f>IF(M382="","",1-M382)</x:f>
      </x:c>
      <x:c r="P382" s="10" t="str">
        <x:f>IF(OR(NOT(AND(J382="PASS",'Calibrare_Linii'!U18="VALID")),AK382=0),""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*('Istoric_Nativ'!$Q$6:$Q$405&gt;H382))/AK382)</x:f>
      </x:c>
      <x:c r="Q382" s="10" t="str">
        <x:f>IF(OR(NOT(AND(J382="PASS",'Calibrare_Linii'!U18="VALID")),AL382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M32)+((('Istoric_Nativ'!$E$6:$E$405='Input_Meci'!E32)+('Istoric_Nativ'!$F$6:$F$405='Input_Meci'!E32))&gt;0)*('Istoric_Nativ'!$D$6:$D$405&gt;='Motor_Meciuri'!BN32))&gt;0)*('Istoric_Nativ'!$Q$6:$Q$405&gt;H382))/AL382)</x:f>
      </x:c>
      <x:c r="R382" s="10" t="str">
        <x:f>IF(OR(NOT(AND(J382="PASS",'Calibrare_Linii'!U18="VALID")),AM382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O32)+((('Istoric_Nativ'!$E$6:$E$405='Input_Meci'!E32)+('Istoric_Nativ'!$F$6:$F$405='Input_Meci'!E32))&gt;0)*('Istoric_Nativ'!$D$6:$D$405&gt;='Motor_Meciuri'!BP32))&gt;0)*('Istoric_Nativ'!$Q$6:$Q$405&gt;H382))/AM382)</x:f>
      </x:c>
      <x:c r="S382" s="10" t="str">
        <x:f>IF(M382="","",MAX(O382,P382,Q382,R382))</x:f>
      </x:c>
      <x:c r="T382" s="11" t="str">
        <x:f>IF(M382="","",MIN(100,S382*100*'Config_v6'!$B$44+MIN(100,L382/'Config_v6'!$B$13*100)*'Config_v6'!$B$45+(100-'Motor_Meciuri'!BF32)*'Config_v6'!$B$46+'Motor_Meciuri'!BH32*100*'Config_v6'!$B$47))</x:f>
      </x:c>
      <x:c r="U382" s="2" t="str">
        <x:f>IF(T382="","",IF(T382&lt;=20,1,IF(T382&lt;=40,2,IF(T382&lt;=60,3,IF(T382&lt;=80,4,5)))))</x:f>
      </x:c>
      <x:c r="V382" s="2" t="str">
        <x:f>IF(M382="","",MAX(0,'Motor_Meciuri'!BF32-IF(W382="OOS PENDING",'Config_v6'!$B$35,0)-IF(L382&gt;'Config_v6'!$B$12,'Config_v6'!$B$37,IF(L382&gt;'Config_v6'!$B$11,'Config_v6'!$B$36,0))))</x:f>
      </x:c>
      <x:c r="W382" s="2" t="str">
        <x:f>IF(B382="","",IF(I382&lt;&gt;"READY","NOT RELEASED",IF(NOT(AND(J382="PASS",'Calibrare_Linii'!U18="VALID")),"INVALID",IF(NOT(AND('Calibrare_Linii'!S18="VALIDATED",AND('Calibrare_Linii'!H18=C382,ISNUMBER('Calibrare_Linii'!J18),'Calibrare_Linii'!J18&lt;='Input_Meci'!G32))),"OOS PENDING",IF(S382&lt;='Calibrare_Linii'!E18,"PASS",IF(S382&lt;='Calibrare_Linii'!F18,"PENALTY","WATCH"))))))</x:f>
      </x:c>
      <x:c r="X382" s="2" t="str">
        <x:f>IF(M382="","",IF(AND(AND(J382="PASS",'Calibrare_Linii'!U18="VALID"),'Motor_Meciuri'!K32=12,'Motor_Meciuri'!L32=12,'Motor_Meciuri'!M32="NO",'Motor_Meciuri'!BL32='Motor_Meciuri'!C32,AB382&gt;='Config_v6'!$B$50,AN382&gt;='Config_v6'!$B$51,T382&lt;='Config_v6'!$B$52,L382&lt;='Config_v6'!$B$53,ISNUMBER('Calibrare_Linii'!E18),S382&lt;='Calibrare_Linii'!E18,SUM(AK382:AM382)&gt;0),"CANDIDATE","NO"))</x:f>
      </x:c>
      <x:c r="Y382" s="2" t="str">
        <x:f>IF(B382="","",IF(I382&lt;&gt;"READY","NOT RELEASED",IF(AND(X382="CANDIDATE",V382&gt;='Config_v6'!$B$51,W382="PASS",'Calibrare_Linii'!T18="VALIDATED",AND('Calibrare_Linii'!H18=C382,ISNUMBER('Calibrare_Linii'!J18),'Calibrare_Linii'!J18&lt;='Input_Meci'!G32)),"PASS",IF(X382="CANDIDATE","OOS PENDING","FAIL"))))</x:f>
      </x:c>
      <x:c r="Z382" s="2" t="str">
        <x:f>IF(B382="","",IF(I382&lt;&gt;"READY","",IF(OR(NOT(AND(J382="PASS",'Calibrare_Linii'!U18="VALID")),L382&gt;'Config_v6'!$B$13,W382="WATCH"),5,IF(Y382="PASS",1,MIN(5,MAX('Config_v6'!$B$42,U382)+IF(W382="PENALTY",1,0))))))</x:f>
      </x:c>
      <x:c r="AA382" s="2" t="str">
        <x:f>IF(B382="","",IF(I382&lt;&gt;"READY","NOT RELEASED",IF(Z382=5,"NO BET",IF(OR(AB382&lt;'Config_v6'!$B$16,V382&lt;'Config_v6'!$B$18),"WATCH",IF(Z382=1,"DEFENSIV",IF(Z382=2,"PRUDENT",IF(Z382=3,"MODERAT","RIDICAT")))))))</x:f>
      </x:c>
      <x:c r="AB382" s="10" t="str">
        <x:f>IF(N382="","",MIN(N382,1-S382))</x:f>
      </x:c>
      <x:c r="AC382" s="2" t="str">
        <x:f>IF(AD382&lt;&gt;1,"",COUNTIFS($Z$370:$Z$383,"&lt;"&amp;Z382,$AD$370:$AD$383,1)+COUNTIFS($Z$370:$Z$383,Z382,$AB$370:$AB$383,"&gt;"&amp;AB382,$AD$370:$AD$383,1)+COUNTIFS($Z$370:$Z$383,Z382,$AB$370:$AB$383,AB382,$V$370:$V$383,"&gt;"&amp;V382,$AD$370:$AD$383,1)+COUNTIFS($Z$370:Z382,Z382,$AB$370:AB382,AB382,$V$370:V382,V382,$AD$370:AD382,1))</x:f>
      </x:c>
      <x:c r="AD382" s="2" t="n">
        <x:f>IF(OR(AA382="DEFENSIV",AA382="PRUDENT",AA382="MODERAT",AA382="RIDICAT"),1,0)</x:f>
        <x:v>0</x:v>
      </x:c>
      <x:c r="AE382" s="2" t="str">
        <x:f>IF(AD382&lt;&gt;1,"NO",IF(W382="PASS","YES",IF(W382="OOS PENDING","CONDITIONAL","NO")))</x:f>
        <x:v>NO</x:v>
      </x:c>
      <x:c r="AF382" s="2" t="n">
        <x:f>IF(AND(AD382=1,AC382=1,E382="LIVE"),1,0)</x:f>
        <x:v>0</x:v>
      </x:c>
      <x:c r="AG382" s="2" t="str">
        <x:f>IF(AF382&lt;&gt;1,"",'Dashboard'!P52)</x:f>
      </x:c>
      <x:c r="AH382" s="2" t="str">
        <x:f>IF(B382="","",IF(J382&lt;&gt;"PASS",'Motor_Meciuri'!J32,IF('Calibrare_Linii'!U18&lt;&gt;"VALID","Parametri linie invalizi",IF(L382&gt;'Config_v6'!$B$13,"Dispersie peste limita",IF(W382="WATCH","Failure peste limita",IF(AB382&lt;'Config_v6'!$B$16,"P finala sub prag",IF(V382&lt;'Config_v6'!$B$18,"Confidence sub prag",IF(E382="REPLAY","Exemplu retrospectiv; exclus din Top LIVE",IF(Y382="PASS","DEFENSIV validat",IF(W382="OOS PENDING","Eligibil; calibrare linie in monitorizare","Eligibil"))))))))))</x:f>
      </x:c>
      <x:c r="AI382" s="2" t="str">
        <x:f>IF(B382="","",'Calibrare_Linii'!V18)</x:f>
      </x:c>
      <x:c r="AJ382" s="2" t="str">
        <x:f>IF(B382="","",IF(AND('Calibrare_Linii'!T18="VALIDATED",AND('Calibrare_Linii'!H18=C382,ISNUMBER('Calibrare_Linii'!J18),'Calibrare_Linii'!J18&lt;='Input_Meci'!G32)),"DEFENSIVE VALIDATED",IF(AND('Calibrare_Linii'!S18="VALIDATED",AND('Calibrare_Linii'!H18=C382,ISNUMBER('Calibrare_Linii'!J18),'Calibrare_Linii'!J18&lt;='Input_Meci'!G32)),"TAIL VALIDATED","OOS PENDING")))</x:f>
      </x:c>
      <x:c r="AK382" s="2" t="n">
        <x:f>IF(J382&lt;&gt;"PASS",0,'Motor_Meciuri'!BR32)</x:f>
        <x:v>0</x:v>
      </x:c>
      <x:c r="AL382" s="2" t="n">
        <x:f>IF(J382&lt;&gt;"PASS",0,'Motor_Meciuri'!BS32)</x:f>
        <x:v>0</x:v>
      </x:c>
      <x:c r="AM382" s="2" t="n">
        <x:f>IF(J382&lt;&gt;"PASS",0,'Motor_Meciuri'!BT32)</x:f>
        <x:v>0</x:v>
      </x:c>
      <x:c r="AN382" s="2" t="str">
        <x:f>IF(M382="","",MAX(0,'Motor_Meciuri'!BF32-IF(L382&gt;'Config_v6'!$B$12,'Config_v6'!$B$37,IF(L382&gt;'Config_v6'!$B$11,'Config_v6'!$B$36,0))))</x:f>
      </x:c>
    </x:row>
    <x:row r="383" ht="21" customHeight="1">
      <x:c r="A383" s="2" t="n">
        <x:v>27</x:v>
      </x:c>
      <x:c r="B383" s="2" t="str">
        <x:f>IF('Motor_Meciuri'!A32="","",'Motor_Meciuri'!A32)</x:f>
      </x:c>
      <x:c r="C383" s="2" t="str">
        <x:f>IF(B383="","",'Motor_Meciuri'!B32)</x:f>
      </x:c>
      <x:c r="D383" s="2" t="str">
        <x:f>IF(B383="","",'Motor_Meciuri'!D32)</x:f>
      </x:c>
      <x:c r="E383" s="2" t="str">
        <x:f>IF(B383="","",'Motor_Meciuri'!E32)</x:f>
      </x:c>
      <x:c r="F383" s="2" t="str">
        <x:v>U17,5</x:v>
      </x:c>
      <x:c r="G383" s="2" t="str">
        <x:v>UNDER</x:v>
      </x:c>
      <x:c r="H383" s="2" t="n">
        <x:v>17</x:v>
      </x:c>
      <x:c r="I383" s="2" t="str">
        <x:f>IF(B383="","",'Motor_Meciuri'!H32)</x:f>
      </x:c>
      <x:c r="J383" s="2" t="str">
        <x:f>IF(B383="","",'Motor_Meciuri'!I32)</x:f>
      </x:c>
      <x:c r="K383" s="11" t="str">
        <x:f>IF(J383&lt;&gt;"PASS","",'Motor_Meciuri'!BD32)</x:f>
      </x:c>
      <x:c r="L383" s="11" t="str">
        <x:f>IF(J383&lt;&gt;"PASS","",'Motor_Meciuri'!AU32)</x:f>
      </x:c>
      <x:c r="M383" s="10" t="str">
        <x:f>IF(NOT(AND(J383="PASS",'Calibrare_Linii'!U19="VALID")),"",'Distributie'!AO32)</x:f>
      </x:c>
      <x:c r="N383" s="10" t="str">
        <x:f>IF(M383="","",MAX(0.01,MIN(0.99,0.5+(M383-0.5)*'Motor_Meciuri'!BG32*'Calibrare_Linii'!D19)))</x:f>
      </x:c>
      <x:c r="O383" s="10" t="str">
        <x:f>IF(M383="","",1-M383)</x:f>
      </x:c>
      <x:c r="P383" s="10" t="str">
        <x:f>IF(OR(NOT(AND(J383="PASS",'Calibrare_Linii'!U19="VALID")),AK383=0),""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*('Istoric_Nativ'!$Q$6:$Q$405&gt;H383))/AK383)</x:f>
      </x:c>
      <x:c r="Q383" s="10" t="str">
        <x:f>IF(OR(NOT(AND(J383="PASS",'Calibrare_Linii'!U19="VALID")),AL383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M32)+((('Istoric_Nativ'!$E$6:$E$405='Input_Meci'!E32)+('Istoric_Nativ'!$F$6:$F$405='Input_Meci'!E32))&gt;0)*('Istoric_Nativ'!$D$6:$D$405&gt;='Motor_Meciuri'!BN32))&gt;0)*('Istoric_Nativ'!$Q$6:$Q$405&gt;H383))/AL383)</x:f>
      </x:c>
      <x:c r="R383" s="10" t="str">
        <x:f>IF(OR(NOT(AND(J383="PASS",'Calibrare_Linii'!U19="VALID")),AM383=0),""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'Motor_Meciuri'!BO32)+((('Istoric_Nativ'!$E$6:$E$405='Input_Meci'!E32)+('Istoric_Nativ'!$F$6:$F$405='Input_Meci'!E32))&gt;0)*('Istoric_Nativ'!$D$6:$D$405&gt;='Motor_Meciuri'!BP32))&gt;0)*('Istoric_Nativ'!$Q$6:$Q$405&gt;H383))/AM383)</x:f>
      </x:c>
      <x:c r="S383" s="10" t="str">
        <x:f>IF(M383="","",MAX(O383,P383,Q383,R383))</x:f>
      </x:c>
      <x:c r="T383" s="11" t="str">
        <x:f>IF(M383="","",MIN(100,S383*100*'Config_v6'!$B$44+MIN(100,L383/'Config_v6'!$B$13*100)*'Config_v6'!$B$45+(100-'Motor_Meciuri'!BF32)*'Config_v6'!$B$46+'Motor_Meciuri'!BH32*100*'Config_v6'!$B$47))</x:f>
      </x:c>
      <x:c r="U383" s="2" t="str">
        <x:f>IF(T383="","",IF(T383&lt;=20,1,IF(T383&lt;=40,2,IF(T383&lt;=60,3,IF(T383&lt;=80,4,5)))))</x:f>
      </x:c>
      <x:c r="V383" s="2" t="str">
        <x:f>IF(M383="","",MAX(0,'Motor_Meciuri'!BF32-IF(W383="OOS PENDING",'Config_v6'!$B$35,0)-IF(L383&gt;'Config_v6'!$B$12,'Config_v6'!$B$37,IF(L383&gt;'Config_v6'!$B$11,'Config_v6'!$B$36,0))))</x:f>
      </x:c>
      <x:c r="W383" s="2" t="str">
        <x:f>IF(B383="","",IF(I383&lt;&gt;"READY","NOT RELEASED",IF(NOT(AND(J383="PASS",'Calibrare_Linii'!U19="VALID")),"INVALID",IF(NOT(AND('Calibrare_Linii'!S19="VALIDATED",AND('Calibrare_Linii'!H19=C383,ISNUMBER('Calibrare_Linii'!J19),'Calibrare_Linii'!J19&lt;='Input_Meci'!G32))),"OOS PENDING",IF(S383&lt;='Calibrare_Linii'!E19,"PASS",IF(S383&lt;='Calibrare_Linii'!F19,"PENALTY","WATCH"))))))</x:f>
      </x:c>
      <x:c r="X383" s="2" t="str">
        <x:f>IF(M383="","",IF(AND(AND(J383="PASS",'Calibrare_Linii'!U19="VALID"),'Motor_Meciuri'!K32=12,'Motor_Meciuri'!L32=12,'Motor_Meciuri'!M32="NO",'Motor_Meciuri'!BL32='Motor_Meciuri'!C32,AB383&gt;='Config_v6'!$B$50,AN383&gt;='Config_v6'!$B$51,T383&lt;='Config_v6'!$B$52,L383&lt;='Config_v6'!$B$53,ISNUMBER('Calibrare_Linii'!E19),S383&lt;='Calibrare_Linii'!E19,SUM(AK383:AM383)&gt;0),"CANDIDATE","NO"))</x:f>
      </x:c>
      <x:c r="Y383" s="2" t="str">
        <x:f>IF(B383="","",IF(I383&lt;&gt;"READY","NOT RELEASED",IF(AND(X383="CANDIDATE",V383&gt;='Config_v6'!$B$51,W383="PASS",'Calibrare_Linii'!T19="VALIDATED",AND('Calibrare_Linii'!H19=C383,ISNUMBER('Calibrare_Linii'!J19),'Calibrare_Linii'!J19&lt;='Input_Meci'!G32)),"PASS",IF(X383="CANDIDATE","OOS PENDING","FAIL"))))</x:f>
      </x:c>
      <x:c r="Z383" s="2" t="str">
        <x:f>IF(B383="","",IF(I383&lt;&gt;"READY","",IF(OR(NOT(AND(J383="PASS",'Calibrare_Linii'!U19="VALID")),L383&gt;'Config_v6'!$B$13,W383="WATCH"),5,IF(Y383="PASS",1,MIN(5,MAX('Config_v6'!$B$42,U383)+IF(W383="PENALTY",1,0))))))</x:f>
      </x:c>
      <x:c r="AA383" s="2" t="str">
        <x:f>IF(B383="","",IF(I383&lt;&gt;"READY","NOT RELEASED",IF(Z383=5,"NO BET",IF(OR(AB383&lt;'Config_v6'!$B$16,V383&lt;'Config_v6'!$B$18),"WATCH",IF(Z383=1,"DEFENSIV",IF(Z383=2,"PRUDENT",IF(Z383=3,"MODERAT","RIDICAT")))))))</x:f>
      </x:c>
      <x:c r="AB383" s="10" t="str">
        <x:f>IF(N383="","",MIN(N383,1-S383))</x:f>
      </x:c>
      <x:c r="AC383" s="2" t="str">
        <x:f>IF(AD383&lt;&gt;1,"",COUNTIFS($Z$370:$Z$383,"&lt;"&amp;Z383,$AD$370:$AD$383,1)+COUNTIFS($Z$370:$Z$383,Z383,$AB$370:$AB$383,"&gt;"&amp;AB383,$AD$370:$AD$383,1)+COUNTIFS($Z$370:$Z$383,Z383,$AB$370:$AB$383,AB383,$V$370:$V$383,"&gt;"&amp;V383,$AD$370:$AD$383,1)+COUNTIFS($Z$370:Z383,Z383,$AB$370:AB383,AB383,$V$370:V383,V383,$AD$370:AD383,1))</x:f>
      </x:c>
      <x:c r="AD383" s="2" t="n">
        <x:f>IF(OR(AA383="DEFENSIV",AA383="PRUDENT",AA383="MODERAT",AA383="RIDICAT"),1,0)</x:f>
        <x:v>0</x:v>
      </x:c>
      <x:c r="AE383" s="2" t="str">
        <x:f>IF(AD383&lt;&gt;1,"NO",IF(W383="PASS","YES",IF(W383="OOS PENDING","CONDITIONAL","NO")))</x:f>
        <x:v>NO</x:v>
      </x:c>
      <x:c r="AF383" s="2" t="n">
        <x:f>IF(AND(AD383=1,AC383=1,E383="LIVE"),1,0)</x:f>
        <x:v>0</x:v>
      </x:c>
      <x:c r="AG383" s="2" t="str">
        <x:f>IF(AF383&lt;&gt;1,"",'Dashboard'!P52)</x:f>
      </x:c>
      <x:c r="AH383" s="2" t="str">
        <x:f>IF(B383="","",IF(J383&lt;&gt;"PASS",'Motor_Meciuri'!J32,IF('Calibrare_Linii'!U19&lt;&gt;"VALID","Parametri linie invalizi",IF(L383&gt;'Config_v6'!$B$13,"Dispersie peste limita",IF(W383="WATCH","Failure peste limita",IF(AB383&lt;'Config_v6'!$B$16,"P finala sub prag",IF(V383&lt;'Config_v6'!$B$18,"Confidence sub prag",IF(E383="REPLAY","Exemplu retrospectiv; exclus din Top LIVE",IF(Y383="PASS","DEFENSIV validat",IF(W383="OOS PENDING","Eligibil; calibrare linie in monitorizare","Eligibil"))))))))))</x:f>
      </x:c>
      <x:c r="AI383" s="2" t="str">
        <x:f>IF(B383="","",'Calibrare_Linii'!V19)</x:f>
      </x:c>
      <x:c r="AJ383" s="2" t="str">
        <x:f>IF(B383="","",IF(AND('Calibrare_Linii'!T19="VALIDATED",AND('Calibrare_Linii'!H19=C383,ISNUMBER('Calibrare_Linii'!J19),'Calibrare_Linii'!J19&lt;='Input_Meci'!G32)),"DEFENSIVE VALIDATED",IF(AND('Calibrare_Linii'!S19="VALIDATED",AND('Calibrare_Linii'!H19=C383,ISNUMBER('Calibrare_Linii'!J19),'Calibrare_Linii'!J19&lt;='Input_Meci'!G32)),"TAIL VALIDATED","OOS PENDING")))</x:f>
      </x:c>
      <x:c r="AK383" s="2" t="n">
        <x:f>IF(J383&lt;&gt;"PASS",0,'Motor_Meciuri'!BR32)</x:f>
        <x:v>0</x:v>
      </x:c>
      <x:c r="AL383" s="2" t="n">
        <x:f>IF(J383&lt;&gt;"PASS",0,'Motor_Meciuri'!BS32)</x:f>
        <x:v>0</x:v>
      </x:c>
      <x:c r="AM383" s="2" t="n">
        <x:f>IF(J383&lt;&gt;"PASS",0,'Motor_Meciuri'!BT32)</x:f>
        <x:v>0</x:v>
      </x:c>
      <x:c r="AN383" s="2" t="str">
        <x:f>IF(M383="","",MAX(0,'Motor_Meciuri'!BF32-IF(L383&gt;'Config_v6'!$B$12,'Config_v6'!$B$37,IF(L383&gt;'Config_v6'!$B$11,'Config_v6'!$B$36,0))))</x:f>
      </x:c>
    </x:row>
    <x:row r="384" ht="21" customHeight="1">
      <x:c r="A384" s="2" t="n">
        <x:v>28</x:v>
      </x:c>
      <x:c r="B384" s="2" t="str">
        <x:f>IF('Motor_Meciuri'!A33="","",'Motor_Meciuri'!A33)</x:f>
      </x:c>
      <x:c r="C384" s="2" t="str">
        <x:f>IF(B384="","",'Motor_Meciuri'!B33)</x:f>
      </x:c>
      <x:c r="D384" s="2" t="str">
        <x:f>IF(B384="","",'Motor_Meciuri'!D33)</x:f>
      </x:c>
      <x:c r="E384" s="2" t="str">
        <x:f>IF(B384="","",'Motor_Meciuri'!E33)</x:f>
      </x:c>
      <x:c r="F384" s="2" t="str">
        <x:v>O3,5</x:v>
      </x:c>
      <x:c r="G384" s="2" t="str">
        <x:v>OVER</x:v>
      </x:c>
      <x:c r="H384" s="2" t="n">
        <x:v>3</x:v>
      </x:c>
      <x:c r="I384" s="2" t="str">
        <x:f>IF(B384="","",'Motor_Meciuri'!H33)</x:f>
      </x:c>
      <x:c r="J384" s="2" t="str">
        <x:f>IF(B384="","",'Motor_Meciuri'!I33)</x:f>
      </x:c>
      <x:c r="K384" s="11" t="str">
        <x:f>IF(J384&lt;&gt;"PASS","",'Motor_Meciuri'!BD33)</x:f>
      </x:c>
      <x:c r="L384" s="11" t="str">
        <x:f>IF(J384&lt;&gt;"PASS","",'Motor_Meciuri'!AU33)</x:f>
      </x:c>
      <x:c r="M384" s="10" t="str">
        <x:f>IF(NOT(AND(J384="PASS",'Calibrare_Linii'!U6="VALID")),"",1-'Distributie'!AA33)</x:f>
      </x:c>
      <x:c r="N384" s="10" t="str">
        <x:f>IF(M384="","",MAX(0.01,MIN(0.99,0.5+(M384-0.5)*'Motor_Meciuri'!BG33*'Calibrare_Linii'!D6)))</x:f>
      </x:c>
      <x:c r="O384" s="10" t="str">
        <x:f>IF(M384="","",1-M384)</x:f>
      </x:c>
      <x:c r="P384" s="10" t="str">
        <x:f>IF(OR(NOT(AND(J384="PASS",'Calibrare_Linii'!U6="VALID")),AK384=0),""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*('Istoric_Nativ'!$Q$6:$Q$405&lt;=H384))/AK384)</x:f>
      </x:c>
      <x:c r="Q384" s="10" t="str">
        <x:f>IF(OR(NOT(AND(J384="PASS",'Calibrare_Linii'!U6="VALID")),AL384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M33)+((('Istoric_Nativ'!$E$6:$E$405='Input_Meci'!E33)+('Istoric_Nativ'!$F$6:$F$405='Input_Meci'!E33))&gt;0)*('Istoric_Nativ'!$D$6:$D$405&gt;='Motor_Meciuri'!BN33))&gt;0)*('Istoric_Nativ'!$Q$6:$Q$405&lt;=H384))/AL384)</x:f>
      </x:c>
      <x:c r="R384" s="10" t="str">
        <x:f>IF(OR(NOT(AND(J384="PASS",'Calibrare_Linii'!U6="VALID")),AM384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O33)+((('Istoric_Nativ'!$E$6:$E$405='Input_Meci'!E33)+('Istoric_Nativ'!$F$6:$F$405='Input_Meci'!E33))&gt;0)*('Istoric_Nativ'!$D$6:$D$405&gt;='Motor_Meciuri'!BP33))&gt;0)*('Istoric_Nativ'!$Q$6:$Q$405&lt;=H384))/AM384)</x:f>
      </x:c>
      <x:c r="S384" s="10" t="str">
        <x:f>IF(M384="","",MAX(O384,P384,Q384,R384))</x:f>
      </x:c>
      <x:c r="T384" s="11" t="str">
        <x:f>IF(M384="","",MIN(100,S384*100*'Config_v6'!$B$44+MIN(100,L384/'Config_v6'!$B$13*100)*'Config_v6'!$B$45+(100-'Motor_Meciuri'!BF33)*'Config_v6'!$B$46+'Motor_Meciuri'!BH33*100*'Config_v6'!$B$47))</x:f>
      </x:c>
      <x:c r="U384" s="2" t="str">
        <x:f>IF(T384="","",IF(T384&lt;=20,1,IF(T384&lt;=40,2,IF(T384&lt;=60,3,IF(T384&lt;=80,4,5)))))</x:f>
      </x:c>
      <x:c r="V384" s="2" t="str">
        <x:f>IF(M384="","",MAX(0,'Motor_Meciuri'!BF33-IF(W384="OOS PENDING",'Config_v6'!$B$35,0)-IF(L384&gt;'Config_v6'!$B$12,'Config_v6'!$B$37,IF(L384&gt;'Config_v6'!$B$11,'Config_v6'!$B$36,0))))</x:f>
      </x:c>
      <x:c r="W384" s="2" t="str">
        <x:f>IF(B384="","",IF(I384&lt;&gt;"READY","NOT RELEASED",IF(NOT(AND(J384="PASS",'Calibrare_Linii'!U6="VALID")),"INVALID",IF(NOT(TRUE),"OOS PENDING",IF(S384&lt;=IF(AND('Calibrare_Linii'!S6="VALIDATED",AND('Calibrare_Linii'!H6=C384,ISNUMBER('Calibrare_Linii'!J6),'Calibrare_Linii'!J6&lt;='Input_Meci'!G33)),'Calibrare_Linii'!E6,'Config_v6'!$B$26),"PASS",IF(S384&lt;=IF(AND('Calibrare_Linii'!S6="VALIDATED",AND('Calibrare_Linii'!H6=C384,ISNUMBER('Calibrare_Linii'!J6),'Calibrare_Linii'!J6&lt;='Input_Meci'!G33)),'Calibrare_Linii'!F6,'Config_v6'!$C$26),"PENALTY","WATCH"))))))</x:f>
      </x:c>
      <x:c r="X384" s="2" t="str">
        <x:f>IF(M384="","",IF(AND(AND(J384="PASS",'Calibrare_Linii'!U6="VALID"),'Motor_Meciuri'!K33=12,'Motor_Meciuri'!L33=12,'Motor_Meciuri'!M33="NO",'Motor_Meciuri'!BL33='Motor_Meciuri'!C33,AB384&gt;='Config_v6'!$B$50,AN384&gt;='Config_v6'!$B$51,T384&lt;='Config_v6'!$B$52,L384&lt;='Config_v6'!$B$53,ISNUMBER('Calibrare_Linii'!E6),S384&lt;='Calibrare_Linii'!E6,SUM(AK384:AM384)&gt;0),"CANDIDATE","NO"))</x:f>
      </x:c>
      <x:c r="Y384" s="2" t="str">
        <x:f>IF(B384="","",IF(I384&lt;&gt;"READY","NOT RELEASED",IF(AND(X384="CANDIDATE",V384&gt;='Config_v6'!$B$51,W384="PASS",'Calibrare_Linii'!T6="VALIDATED",AND('Calibrare_Linii'!H6=C384,ISNUMBER('Calibrare_Linii'!J6),'Calibrare_Linii'!J6&lt;='Input_Meci'!G33)),"PASS",IF(X384="CANDIDATE","OOS PENDING","FAIL"))))</x:f>
      </x:c>
      <x:c r="Z384" s="2" t="str">
        <x:f>IF(B384="","",IF(I384&lt;&gt;"READY","",IF(OR(NOT(AND(J384="PASS",'Calibrare_Linii'!U6="VALID")),L384&gt;'Config_v6'!$B$13,W384="WATCH"),5,IF(Y384="PASS",1,MIN(5,MAX('Config_v6'!$B$42,U384)+IF(W384="PENALTY",1,0))))))</x:f>
      </x:c>
      <x:c r="AA384" s="2" t="str">
        <x:f>IF(B384="","",IF(I384&lt;&gt;"READY","NOT RELEASED",IF(Z384=5,"NO BET",IF(OR(AB384&lt;'Config_v6'!$B$16,V384&lt;'Config_v6'!$B$18),"WATCH",IF(Z384=1,"DEFENSIV",IF(Z384=2,"PRUDENT",IF(Z384=3,"MODERAT","RIDICAT")))))))</x:f>
      </x:c>
      <x:c r="AB384" s="10" t="str">
        <x:f>IF(N384="","",MIN(N384,1-S384))</x:f>
      </x:c>
      <x:c r="AC384" s="2" t="str">
        <x:f>IF(AD384&lt;&gt;1,"",COUNTIFS($Z$384:$Z$397,"&lt;"&amp;Z384,$AD$384:$AD$397,1)+COUNTIFS($Z$384:$Z$397,Z384,$AB$384:$AB$397,"&gt;"&amp;AB384,$AD$384:$AD$397,1)+COUNTIFS($Z$384:$Z$397,Z384,$AB$384:$AB$397,AB384,$V$384:$V$397,"&gt;"&amp;V384,$AD$384:$AD$397,1)+COUNTIFS($Z$384:Z384,Z384,$AB$384:AB384,AB384,$V$384:V384,V384,$AD$384:AD384,1))</x:f>
      </x:c>
      <x:c r="AD384" s="2" t="n">
        <x:f>IF(OR(AA384="DEFENSIV",AA384="PRUDENT",AA384="MODERAT",AA384="RIDICAT"),1,0)</x:f>
        <x:v>0</x:v>
      </x:c>
      <x:c r="AE384" s="2" t="str">
        <x:f>IF(AD384&lt;&gt;1,"NO",IF(W384="PASS","YES",IF(W384="OOS PENDING","CONDITIONAL","NO")))</x:f>
        <x:v>NO</x:v>
      </x:c>
      <x:c r="AF384" s="2" t="n">
        <x:f>IF(AND(AD384=1,AC384=1,E384="LIVE"),1,0)</x:f>
        <x:v>0</x:v>
      </x:c>
      <x:c r="AG384" s="2" t="str">
        <x:f>IF(AF384&lt;&gt;1,"",'Dashboard'!P53)</x:f>
      </x:c>
      <x:c r="AH384" s="2" t="str">
        <x:f>IF(B384="","",IF(J384&lt;&gt;"PASS",'Motor_Meciuri'!J33,IF('Calibrare_Linii'!U6&lt;&gt;"VALID","Parametri linie invalizi",IF(L384&gt;'Config_v6'!$B$13,"Dispersie peste limita",IF(W384="WATCH","Failure peste limita",IF(AB384&lt;'Config_v6'!$B$16,"P finala sub prag",IF(V384&lt;'Config_v6'!$B$18,"Confidence sub prag",IF(E384="REPLAY","Exemplu retrospectiv; exclus din Top LIVE",IF(Y384="PASS","DEFENSIV validat",IF(W384="OOS PENDING","Eligibil; calibrare linie in monitorizare","Eligibil"))))))))))</x:f>
      </x:c>
      <x:c r="AI384" s="2" t="str">
        <x:f>IF(B384="","",'Calibrare_Linii'!V6)</x:f>
      </x:c>
      <x:c r="AJ384" s="2" t="str">
        <x:f>IF(B384="","",IF(AND('Calibrare_Linii'!T6="VALIDATED",AND('Calibrare_Linii'!H6=C384,ISNUMBER('Calibrare_Linii'!J6),'Calibrare_Linii'!J6&lt;='Input_Meci'!G33)),"DEFENSIVE VALIDATED",IF(AND('Calibrare_Linii'!S6="VALIDATED",AND('Calibrare_Linii'!H6=C384,ISNUMBER('Calibrare_Linii'!J6),'Calibrare_Linii'!J6&lt;='Input_Meci'!G33)),"TAIL VALIDATED","OOS PENDING")))</x:f>
      </x:c>
      <x:c r="AK384" s="2" t="n">
        <x:f>IF(J384&lt;&gt;"PASS",0,'Motor_Meciuri'!BR33)</x:f>
        <x:v>0</x:v>
      </x:c>
      <x:c r="AL384" s="2" t="n">
        <x:f>IF(J384&lt;&gt;"PASS",0,'Motor_Meciuri'!BS33)</x:f>
        <x:v>0</x:v>
      </x:c>
      <x:c r="AM384" s="2" t="n">
        <x:f>IF(J384&lt;&gt;"PASS",0,'Motor_Meciuri'!BT33)</x:f>
        <x:v>0</x:v>
      </x:c>
      <x:c r="AN384" s="2" t="str">
        <x:f>IF(M384="","",MAX(0,'Motor_Meciuri'!BF33-IF(L384&gt;'Config_v6'!$B$12,'Config_v6'!$B$37,IF(L384&gt;'Config_v6'!$B$11,'Config_v6'!$B$36,0))))</x:f>
      </x:c>
    </x:row>
    <x:row r="385" ht="21" customHeight="1">
      <x:c r="A385" s="2" t="n">
        <x:v>28</x:v>
      </x:c>
      <x:c r="B385" s="2" t="str">
        <x:f>IF('Motor_Meciuri'!A33="","",'Motor_Meciuri'!A33)</x:f>
      </x:c>
      <x:c r="C385" s="2" t="str">
        <x:f>IF(B385="","",'Motor_Meciuri'!B33)</x:f>
      </x:c>
      <x:c r="D385" s="2" t="str">
        <x:f>IF(B385="","",'Motor_Meciuri'!D33)</x:f>
      </x:c>
      <x:c r="E385" s="2" t="str">
        <x:f>IF(B385="","",'Motor_Meciuri'!E33)</x:f>
      </x:c>
      <x:c r="F385" s="2" t="str">
        <x:v>O4,5</x:v>
      </x:c>
      <x:c r="G385" s="2" t="str">
        <x:v>OVER</x:v>
      </x:c>
      <x:c r="H385" s="2" t="n">
        <x:v>4</x:v>
      </x:c>
      <x:c r="I385" s="2" t="str">
        <x:f>IF(B385="","",'Motor_Meciuri'!H33)</x:f>
      </x:c>
      <x:c r="J385" s="2" t="str">
        <x:f>IF(B385="","",'Motor_Meciuri'!I33)</x:f>
      </x:c>
      <x:c r="K385" s="11" t="str">
        <x:f>IF(J385&lt;&gt;"PASS","",'Motor_Meciuri'!BD33)</x:f>
      </x:c>
      <x:c r="L385" s="11" t="str">
        <x:f>IF(J385&lt;&gt;"PASS","",'Motor_Meciuri'!AU33)</x:f>
      </x:c>
      <x:c r="M385" s="10" t="str">
        <x:f>IF(NOT(AND(J385="PASS",'Calibrare_Linii'!U7="VALID")),"",1-'Distributie'!AB33)</x:f>
      </x:c>
      <x:c r="N385" s="10" t="str">
        <x:f>IF(M385="","",MAX(0.01,MIN(0.99,0.5+(M385-0.5)*'Motor_Meciuri'!BG33*'Calibrare_Linii'!D7)))</x:f>
      </x:c>
      <x:c r="O385" s="10" t="str">
        <x:f>IF(M385="","",1-M385)</x:f>
      </x:c>
      <x:c r="P385" s="10" t="str">
        <x:f>IF(OR(NOT(AND(J385="PASS",'Calibrare_Linii'!U7="VALID")),AK385=0),""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*('Istoric_Nativ'!$Q$6:$Q$405&lt;=H385))/AK385)</x:f>
      </x:c>
      <x:c r="Q385" s="10" t="str">
        <x:f>IF(OR(NOT(AND(J385="PASS",'Calibrare_Linii'!U7="VALID")),AL385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M33)+((('Istoric_Nativ'!$E$6:$E$405='Input_Meci'!E33)+('Istoric_Nativ'!$F$6:$F$405='Input_Meci'!E33))&gt;0)*('Istoric_Nativ'!$D$6:$D$405&gt;='Motor_Meciuri'!BN33))&gt;0)*('Istoric_Nativ'!$Q$6:$Q$405&lt;=H385))/AL385)</x:f>
      </x:c>
      <x:c r="R385" s="10" t="str">
        <x:f>IF(OR(NOT(AND(J385="PASS",'Calibrare_Linii'!U7="VALID")),AM385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O33)+((('Istoric_Nativ'!$E$6:$E$405='Input_Meci'!E33)+('Istoric_Nativ'!$F$6:$F$405='Input_Meci'!E33))&gt;0)*('Istoric_Nativ'!$D$6:$D$405&gt;='Motor_Meciuri'!BP33))&gt;0)*('Istoric_Nativ'!$Q$6:$Q$405&lt;=H385))/AM385)</x:f>
      </x:c>
      <x:c r="S385" s="10" t="str">
        <x:f>IF(M385="","",MAX(O385,P385,Q385,R385))</x:f>
      </x:c>
      <x:c r="T385" s="11" t="str">
        <x:f>IF(M385="","",MIN(100,S385*100*'Config_v6'!$B$44+MIN(100,L385/'Config_v6'!$B$13*100)*'Config_v6'!$B$45+(100-'Motor_Meciuri'!BF33)*'Config_v6'!$B$46+'Motor_Meciuri'!BH33*100*'Config_v6'!$B$47))</x:f>
      </x:c>
      <x:c r="U385" s="2" t="str">
        <x:f>IF(T385="","",IF(T385&lt;=20,1,IF(T385&lt;=40,2,IF(T385&lt;=60,3,IF(T385&lt;=80,4,5)))))</x:f>
      </x:c>
      <x:c r="V385" s="2" t="str">
        <x:f>IF(M385="","",MAX(0,'Motor_Meciuri'!BF33-IF(W385="OOS PENDING",'Config_v6'!$B$35,0)-IF(L385&gt;'Config_v6'!$B$12,'Config_v6'!$B$37,IF(L385&gt;'Config_v6'!$B$11,'Config_v6'!$B$36,0))))</x:f>
      </x:c>
      <x:c r="W385" s="2" t="str">
        <x:f>IF(B385="","",IF(I385&lt;&gt;"READY","NOT RELEASED",IF(NOT(AND(J385="PASS",'Calibrare_Linii'!U7="VALID")),"INVALID",IF(NOT(AND('Calibrare_Linii'!S7="VALIDATED",AND('Calibrare_Linii'!H7=C385,ISNUMBER('Calibrare_Linii'!J7),'Calibrare_Linii'!J7&lt;='Input_Meci'!G33))),"OOS PENDING",IF(S385&lt;='Calibrare_Linii'!E7,"PASS",IF(S385&lt;='Calibrare_Linii'!F7,"PENALTY","WATCH"))))))</x:f>
      </x:c>
      <x:c r="X385" s="2" t="str">
        <x:f>IF(M385="","",IF(AND(AND(J385="PASS",'Calibrare_Linii'!U7="VALID"),'Motor_Meciuri'!K33=12,'Motor_Meciuri'!L33=12,'Motor_Meciuri'!M33="NO",'Motor_Meciuri'!BL33='Motor_Meciuri'!C33,AB385&gt;='Config_v6'!$B$50,AN385&gt;='Config_v6'!$B$51,T385&lt;='Config_v6'!$B$52,L385&lt;='Config_v6'!$B$53,ISNUMBER('Calibrare_Linii'!E7),S385&lt;='Calibrare_Linii'!E7,SUM(AK385:AM385)&gt;0),"CANDIDATE","NO"))</x:f>
      </x:c>
      <x:c r="Y385" s="2" t="str">
        <x:f>IF(B385="","",IF(I385&lt;&gt;"READY","NOT RELEASED",IF(AND(X385="CANDIDATE",V385&gt;='Config_v6'!$B$51,W385="PASS",'Calibrare_Linii'!T7="VALIDATED",AND('Calibrare_Linii'!H7=C385,ISNUMBER('Calibrare_Linii'!J7),'Calibrare_Linii'!J7&lt;='Input_Meci'!G33)),"PASS",IF(X385="CANDIDATE","OOS PENDING","FAIL"))))</x:f>
      </x:c>
      <x:c r="Z385" s="2" t="str">
        <x:f>IF(B385="","",IF(I385&lt;&gt;"READY","",IF(OR(NOT(AND(J385="PASS",'Calibrare_Linii'!U7="VALID")),L385&gt;'Config_v6'!$B$13,W385="WATCH"),5,IF(Y385="PASS",1,MIN(5,MAX('Config_v6'!$B$42,U385)+IF(W385="PENALTY",1,0))))))</x:f>
      </x:c>
      <x:c r="AA385" s="2" t="str">
        <x:f>IF(B385="","",IF(I385&lt;&gt;"READY","NOT RELEASED",IF(Z385=5,"NO BET",IF(OR(AB385&lt;'Config_v6'!$B$16,V385&lt;'Config_v6'!$B$18),"WATCH",IF(Z385=1,"DEFENSIV",IF(Z385=2,"PRUDENT",IF(Z385=3,"MODERAT","RIDICAT")))))))</x:f>
      </x:c>
      <x:c r="AB385" s="10" t="str">
        <x:f>IF(N385="","",MIN(N385,1-S385))</x:f>
      </x:c>
      <x:c r="AC385" s="2" t="str">
        <x:f>IF(AD385&lt;&gt;1,"",COUNTIFS($Z$384:$Z$397,"&lt;"&amp;Z385,$AD$384:$AD$397,1)+COUNTIFS($Z$384:$Z$397,Z385,$AB$384:$AB$397,"&gt;"&amp;AB385,$AD$384:$AD$397,1)+COUNTIFS($Z$384:$Z$397,Z385,$AB$384:$AB$397,AB385,$V$384:$V$397,"&gt;"&amp;V385,$AD$384:$AD$397,1)+COUNTIFS($Z$384:Z385,Z385,$AB$384:AB385,AB385,$V$384:V385,V385,$AD$384:AD385,1))</x:f>
      </x:c>
      <x:c r="AD385" s="2" t="n">
        <x:f>IF(OR(AA385="DEFENSIV",AA385="PRUDENT",AA385="MODERAT",AA385="RIDICAT"),1,0)</x:f>
        <x:v>0</x:v>
      </x:c>
      <x:c r="AE385" s="2" t="str">
        <x:f>IF(AD385&lt;&gt;1,"NO",IF(W385="PASS","YES",IF(W385="OOS PENDING","CONDITIONAL","NO")))</x:f>
        <x:v>NO</x:v>
      </x:c>
      <x:c r="AF385" s="2" t="n">
        <x:f>IF(AND(AD385=1,AC385=1,E385="LIVE"),1,0)</x:f>
        <x:v>0</x:v>
      </x:c>
      <x:c r="AG385" s="2" t="str">
        <x:f>IF(AF385&lt;&gt;1,"",'Dashboard'!P53)</x:f>
      </x:c>
      <x:c r="AH385" s="2" t="str">
        <x:f>IF(B385="","",IF(J385&lt;&gt;"PASS",'Motor_Meciuri'!J33,IF('Calibrare_Linii'!U7&lt;&gt;"VALID","Parametri linie invalizi",IF(L385&gt;'Config_v6'!$B$13,"Dispersie peste limita",IF(W385="WATCH","Failure peste limita",IF(AB385&lt;'Config_v6'!$B$16,"P finala sub prag",IF(V385&lt;'Config_v6'!$B$18,"Confidence sub prag",IF(E385="REPLAY","Exemplu retrospectiv; exclus din Top LIVE",IF(Y385="PASS","DEFENSIV validat",IF(W385="OOS PENDING","Eligibil; calibrare linie in monitorizare","Eligibil"))))))))))</x:f>
      </x:c>
      <x:c r="AI385" s="2" t="str">
        <x:f>IF(B385="","",'Calibrare_Linii'!V7)</x:f>
      </x:c>
      <x:c r="AJ385" s="2" t="str">
        <x:f>IF(B385="","",IF(AND('Calibrare_Linii'!T7="VALIDATED",AND('Calibrare_Linii'!H7=C385,ISNUMBER('Calibrare_Linii'!J7),'Calibrare_Linii'!J7&lt;='Input_Meci'!G33)),"DEFENSIVE VALIDATED",IF(AND('Calibrare_Linii'!S7="VALIDATED",AND('Calibrare_Linii'!H7=C385,ISNUMBER('Calibrare_Linii'!J7),'Calibrare_Linii'!J7&lt;='Input_Meci'!G33)),"TAIL VALIDATED","OOS PENDING")))</x:f>
      </x:c>
      <x:c r="AK385" s="2" t="n">
        <x:f>IF(J385&lt;&gt;"PASS",0,'Motor_Meciuri'!BR33)</x:f>
        <x:v>0</x:v>
      </x:c>
      <x:c r="AL385" s="2" t="n">
        <x:f>IF(J385&lt;&gt;"PASS",0,'Motor_Meciuri'!BS33)</x:f>
        <x:v>0</x:v>
      </x:c>
      <x:c r="AM385" s="2" t="n">
        <x:f>IF(J385&lt;&gt;"PASS",0,'Motor_Meciuri'!BT33)</x:f>
        <x:v>0</x:v>
      </x:c>
      <x:c r="AN385" s="2" t="str">
        <x:f>IF(M385="","",MAX(0,'Motor_Meciuri'!BF33-IF(L385&gt;'Config_v6'!$B$12,'Config_v6'!$B$37,IF(L385&gt;'Config_v6'!$B$11,'Config_v6'!$B$36,0))))</x:f>
      </x:c>
    </x:row>
    <x:row r="386" ht="21" customHeight="1">
      <x:c r="A386" s="2" t="n">
        <x:v>28</x:v>
      </x:c>
      <x:c r="B386" s="2" t="str">
        <x:f>IF('Motor_Meciuri'!A33="","",'Motor_Meciuri'!A33)</x:f>
      </x:c>
      <x:c r="C386" s="2" t="str">
        <x:f>IF(B386="","",'Motor_Meciuri'!B33)</x:f>
      </x:c>
      <x:c r="D386" s="2" t="str">
        <x:f>IF(B386="","",'Motor_Meciuri'!D33)</x:f>
      </x:c>
      <x:c r="E386" s="2" t="str">
        <x:f>IF(B386="","",'Motor_Meciuri'!E33)</x:f>
      </x:c>
      <x:c r="F386" s="2" t="str">
        <x:v>O5,5</x:v>
      </x:c>
      <x:c r="G386" s="2" t="str">
        <x:v>OVER</x:v>
      </x:c>
      <x:c r="H386" s="2" t="n">
        <x:v>5</x:v>
      </x:c>
      <x:c r="I386" s="2" t="str">
        <x:f>IF(B386="","",'Motor_Meciuri'!H33)</x:f>
      </x:c>
      <x:c r="J386" s="2" t="str">
        <x:f>IF(B386="","",'Motor_Meciuri'!I33)</x:f>
      </x:c>
      <x:c r="K386" s="11" t="str">
        <x:f>IF(J386&lt;&gt;"PASS","",'Motor_Meciuri'!BD33)</x:f>
      </x:c>
      <x:c r="L386" s="11" t="str">
        <x:f>IF(J386&lt;&gt;"PASS","",'Motor_Meciuri'!AU33)</x:f>
      </x:c>
      <x:c r="M386" s="10" t="str">
        <x:f>IF(NOT(AND(J386="PASS",'Calibrare_Linii'!U8="VALID")),"",1-'Distributie'!AC33)</x:f>
      </x:c>
      <x:c r="N386" s="10" t="str">
        <x:f>IF(M386="","",MAX(0.01,MIN(0.99,0.5+(M386-0.5)*'Motor_Meciuri'!BG33*'Calibrare_Linii'!D8)))</x:f>
      </x:c>
      <x:c r="O386" s="10" t="str">
        <x:f>IF(M386="","",1-M386)</x:f>
      </x:c>
      <x:c r="P386" s="10" t="str">
        <x:f>IF(OR(NOT(AND(J386="PASS",'Calibrare_Linii'!U8="VALID")),AK386=0),""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*('Istoric_Nativ'!$Q$6:$Q$405&lt;=H386))/AK386)</x:f>
      </x:c>
      <x:c r="Q386" s="10" t="str">
        <x:f>IF(OR(NOT(AND(J386="PASS",'Calibrare_Linii'!U8="VALID")),AL386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M33)+((('Istoric_Nativ'!$E$6:$E$405='Input_Meci'!E33)+('Istoric_Nativ'!$F$6:$F$405='Input_Meci'!E33))&gt;0)*('Istoric_Nativ'!$D$6:$D$405&gt;='Motor_Meciuri'!BN33))&gt;0)*('Istoric_Nativ'!$Q$6:$Q$405&lt;=H386))/AL386)</x:f>
      </x:c>
      <x:c r="R386" s="10" t="str">
        <x:f>IF(OR(NOT(AND(J386="PASS",'Calibrare_Linii'!U8="VALID")),AM386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O33)+((('Istoric_Nativ'!$E$6:$E$405='Input_Meci'!E33)+('Istoric_Nativ'!$F$6:$F$405='Input_Meci'!E33))&gt;0)*('Istoric_Nativ'!$D$6:$D$405&gt;='Motor_Meciuri'!BP33))&gt;0)*('Istoric_Nativ'!$Q$6:$Q$405&lt;=H386))/AM386)</x:f>
      </x:c>
      <x:c r="S386" s="10" t="str">
        <x:f>IF(M386="","",MAX(O386,P386,Q386,R386))</x:f>
      </x:c>
      <x:c r="T386" s="11" t="str">
        <x:f>IF(M386="","",MIN(100,S386*100*'Config_v6'!$B$44+MIN(100,L386/'Config_v6'!$B$13*100)*'Config_v6'!$B$45+(100-'Motor_Meciuri'!BF33)*'Config_v6'!$B$46+'Motor_Meciuri'!BH33*100*'Config_v6'!$B$47))</x:f>
      </x:c>
      <x:c r="U386" s="2" t="str">
        <x:f>IF(T386="","",IF(T386&lt;=20,1,IF(T386&lt;=40,2,IF(T386&lt;=60,3,IF(T386&lt;=80,4,5)))))</x:f>
      </x:c>
      <x:c r="V386" s="2" t="str">
        <x:f>IF(M386="","",MAX(0,'Motor_Meciuri'!BF33-IF(W386="OOS PENDING",'Config_v6'!$B$35,0)-IF(L386&gt;'Config_v6'!$B$12,'Config_v6'!$B$37,IF(L386&gt;'Config_v6'!$B$11,'Config_v6'!$B$36,0))))</x:f>
      </x:c>
      <x:c r="W386" s="2" t="str">
        <x:f>IF(B386="","",IF(I386&lt;&gt;"READY","NOT RELEASED",IF(NOT(AND(J386="PASS",'Calibrare_Linii'!U8="VALID")),"INVALID",IF(NOT(AND('Calibrare_Linii'!S8="VALIDATED",AND('Calibrare_Linii'!H8=C386,ISNUMBER('Calibrare_Linii'!J8),'Calibrare_Linii'!J8&lt;='Input_Meci'!G33))),"OOS PENDING",IF(S386&lt;='Calibrare_Linii'!E8,"PASS",IF(S386&lt;='Calibrare_Linii'!F8,"PENALTY","WATCH"))))))</x:f>
      </x:c>
      <x:c r="X386" s="2" t="str">
        <x:f>IF(M386="","",IF(AND(AND(J386="PASS",'Calibrare_Linii'!U8="VALID"),'Motor_Meciuri'!K33=12,'Motor_Meciuri'!L33=12,'Motor_Meciuri'!M33="NO",'Motor_Meciuri'!BL33='Motor_Meciuri'!C33,AB386&gt;='Config_v6'!$B$50,AN386&gt;='Config_v6'!$B$51,T386&lt;='Config_v6'!$B$52,L386&lt;='Config_v6'!$B$53,ISNUMBER('Calibrare_Linii'!E8),S386&lt;='Calibrare_Linii'!E8,SUM(AK386:AM386)&gt;0),"CANDIDATE","NO"))</x:f>
      </x:c>
      <x:c r="Y386" s="2" t="str">
        <x:f>IF(B386="","",IF(I386&lt;&gt;"READY","NOT RELEASED",IF(AND(X386="CANDIDATE",V386&gt;='Config_v6'!$B$51,W386="PASS",'Calibrare_Linii'!T8="VALIDATED",AND('Calibrare_Linii'!H8=C386,ISNUMBER('Calibrare_Linii'!J8),'Calibrare_Linii'!J8&lt;='Input_Meci'!G33)),"PASS",IF(X386="CANDIDATE","OOS PENDING","FAIL"))))</x:f>
      </x:c>
      <x:c r="Z386" s="2" t="str">
        <x:f>IF(B386="","",IF(I386&lt;&gt;"READY","",IF(OR(NOT(AND(J386="PASS",'Calibrare_Linii'!U8="VALID")),L386&gt;'Config_v6'!$B$13,W386="WATCH"),5,IF(Y386="PASS",1,MIN(5,MAX('Config_v6'!$B$42,U386)+IF(W386="PENALTY",1,0))))))</x:f>
      </x:c>
      <x:c r="AA386" s="2" t="str">
        <x:f>IF(B386="","",IF(I386&lt;&gt;"READY","NOT RELEASED",IF(Z386=5,"NO BET",IF(OR(AB386&lt;'Config_v6'!$B$16,V386&lt;'Config_v6'!$B$18),"WATCH",IF(Z386=1,"DEFENSIV",IF(Z386=2,"PRUDENT",IF(Z386=3,"MODERAT","RIDICAT")))))))</x:f>
      </x:c>
      <x:c r="AB386" s="10" t="str">
        <x:f>IF(N386="","",MIN(N386,1-S386))</x:f>
      </x:c>
      <x:c r="AC386" s="2" t="str">
        <x:f>IF(AD386&lt;&gt;1,"",COUNTIFS($Z$384:$Z$397,"&lt;"&amp;Z386,$AD$384:$AD$397,1)+COUNTIFS($Z$384:$Z$397,Z386,$AB$384:$AB$397,"&gt;"&amp;AB386,$AD$384:$AD$397,1)+COUNTIFS($Z$384:$Z$397,Z386,$AB$384:$AB$397,AB386,$V$384:$V$397,"&gt;"&amp;V386,$AD$384:$AD$397,1)+COUNTIFS($Z$384:Z386,Z386,$AB$384:AB386,AB386,$V$384:V386,V386,$AD$384:AD386,1))</x:f>
      </x:c>
      <x:c r="AD386" s="2" t="n">
        <x:f>IF(OR(AA386="DEFENSIV",AA386="PRUDENT",AA386="MODERAT",AA386="RIDICAT"),1,0)</x:f>
        <x:v>0</x:v>
      </x:c>
      <x:c r="AE386" s="2" t="str">
        <x:f>IF(AD386&lt;&gt;1,"NO",IF(W386="PASS","YES",IF(W386="OOS PENDING","CONDITIONAL","NO")))</x:f>
        <x:v>NO</x:v>
      </x:c>
      <x:c r="AF386" s="2" t="n">
        <x:f>IF(AND(AD386=1,AC386=1,E386="LIVE"),1,0)</x:f>
        <x:v>0</x:v>
      </x:c>
      <x:c r="AG386" s="2" t="str">
        <x:f>IF(AF386&lt;&gt;1,"",'Dashboard'!P53)</x:f>
      </x:c>
      <x:c r="AH386" s="2" t="str">
        <x:f>IF(B386="","",IF(J386&lt;&gt;"PASS",'Motor_Meciuri'!J33,IF('Calibrare_Linii'!U8&lt;&gt;"VALID","Parametri linie invalizi",IF(L386&gt;'Config_v6'!$B$13,"Dispersie peste limita",IF(W386="WATCH","Failure peste limita",IF(AB386&lt;'Config_v6'!$B$16,"P finala sub prag",IF(V386&lt;'Config_v6'!$B$18,"Confidence sub prag",IF(E386="REPLAY","Exemplu retrospectiv; exclus din Top LIVE",IF(Y386="PASS","DEFENSIV validat",IF(W386="OOS PENDING","Eligibil; calibrare linie in monitorizare","Eligibil"))))))))))</x:f>
      </x:c>
      <x:c r="AI386" s="2" t="str">
        <x:f>IF(B386="","",'Calibrare_Linii'!V8)</x:f>
      </x:c>
      <x:c r="AJ386" s="2" t="str">
        <x:f>IF(B386="","",IF(AND('Calibrare_Linii'!T8="VALIDATED",AND('Calibrare_Linii'!H8=C386,ISNUMBER('Calibrare_Linii'!J8),'Calibrare_Linii'!J8&lt;='Input_Meci'!G33)),"DEFENSIVE VALIDATED",IF(AND('Calibrare_Linii'!S8="VALIDATED",AND('Calibrare_Linii'!H8=C386,ISNUMBER('Calibrare_Linii'!J8),'Calibrare_Linii'!J8&lt;='Input_Meci'!G33)),"TAIL VALIDATED","OOS PENDING")))</x:f>
      </x:c>
      <x:c r="AK386" s="2" t="n">
        <x:f>IF(J386&lt;&gt;"PASS",0,'Motor_Meciuri'!BR33)</x:f>
        <x:v>0</x:v>
      </x:c>
      <x:c r="AL386" s="2" t="n">
        <x:f>IF(J386&lt;&gt;"PASS",0,'Motor_Meciuri'!BS33)</x:f>
        <x:v>0</x:v>
      </x:c>
      <x:c r="AM386" s="2" t="n">
        <x:f>IF(J386&lt;&gt;"PASS",0,'Motor_Meciuri'!BT33)</x:f>
        <x:v>0</x:v>
      </x:c>
      <x:c r="AN386" s="2" t="str">
        <x:f>IF(M386="","",MAX(0,'Motor_Meciuri'!BF33-IF(L386&gt;'Config_v6'!$B$12,'Config_v6'!$B$37,IF(L386&gt;'Config_v6'!$B$11,'Config_v6'!$B$36,0))))</x:f>
      </x:c>
    </x:row>
    <x:row r="387" ht="21" customHeight="1">
      <x:c r="A387" s="2" t="n">
        <x:v>28</x:v>
      </x:c>
      <x:c r="B387" s="2" t="str">
        <x:f>IF('Motor_Meciuri'!A33="","",'Motor_Meciuri'!A33)</x:f>
      </x:c>
      <x:c r="C387" s="2" t="str">
        <x:f>IF(B387="","",'Motor_Meciuri'!B33)</x:f>
      </x:c>
      <x:c r="D387" s="2" t="str">
        <x:f>IF(B387="","",'Motor_Meciuri'!D33)</x:f>
      </x:c>
      <x:c r="E387" s="2" t="str">
        <x:f>IF(B387="","",'Motor_Meciuri'!E33)</x:f>
      </x:c>
      <x:c r="F387" s="2" t="str">
        <x:v>O6,5</x:v>
      </x:c>
      <x:c r="G387" s="2" t="str">
        <x:v>OVER</x:v>
      </x:c>
      <x:c r="H387" s="2" t="n">
        <x:v>6</x:v>
      </x:c>
      <x:c r="I387" s="2" t="str">
        <x:f>IF(B387="","",'Motor_Meciuri'!H33)</x:f>
      </x:c>
      <x:c r="J387" s="2" t="str">
        <x:f>IF(B387="","",'Motor_Meciuri'!I33)</x:f>
      </x:c>
      <x:c r="K387" s="11" t="str">
        <x:f>IF(J387&lt;&gt;"PASS","",'Motor_Meciuri'!BD33)</x:f>
      </x:c>
      <x:c r="L387" s="11" t="str">
        <x:f>IF(J387&lt;&gt;"PASS","",'Motor_Meciuri'!AU33)</x:f>
      </x:c>
      <x:c r="M387" s="10" t="str">
        <x:f>IF(NOT(AND(J387="PASS",'Calibrare_Linii'!U9="VALID")),"",1-'Distributie'!AD33)</x:f>
      </x:c>
      <x:c r="N387" s="10" t="str">
        <x:f>IF(M387="","",MAX(0.01,MIN(0.99,0.5+(M387-0.5)*'Motor_Meciuri'!BG33*'Calibrare_Linii'!D9)))</x:f>
      </x:c>
      <x:c r="O387" s="10" t="str">
        <x:f>IF(M387="","",1-M387)</x:f>
      </x:c>
      <x:c r="P387" s="10" t="str">
        <x:f>IF(OR(NOT(AND(J387="PASS",'Calibrare_Linii'!U9="VALID")),AK387=0),""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*('Istoric_Nativ'!$Q$6:$Q$405&lt;=H387))/AK387)</x:f>
      </x:c>
      <x:c r="Q387" s="10" t="str">
        <x:f>IF(OR(NOT(AND(J387="PASS",'Calibrare_Linii'!U9="VALID")),AL387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M33)+((('Istoric_Nativ'!$E$6:$E$405='Input_Meci'!E33)+('Istoric_Nativ'!$F$6:$F$405='Input_Meci'!E33))&gt;0)*('Istoric_Nativ'!$D$6:$D$405&gt;='Motor_Meciuri'!BN33))&gt;0)*('Istoric_Nativ'!$Q$6:$Q$405&lt;=H387))/AL387)</x:f>
      </x:c>
      <x:c r="R387" s="10" t="str">
        <x:f>IF(OR(NOT(AND(J387="PASS",'Calibrare_Linii'!U9="VALID")),AM387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O33)+((('Istoric_Nativ'!$E$6:$E$405='Input_Meci'!E33)+('Istoric_Nativ'!$F$6:$F$405='Input_Meci'!E33))&gt;0)*('Istoric_Nativ'!$D$6:$D$405&gt;='Motor_Meciuri'!BP33))&gt;0)*('Istoric_Nativ'!$Q$6:$Q$405&lt;=H387))/AM387)</x:f>
      </x:c>
      <x:c r="S387" s="10" t="str">
        <x:f>IF(M387="","",MAX(O387,P387,Q387,R387))</x:f>
      </x:c>
      <x:c r="T387" s="11" t="str">
        <x:f>IF(M387="","",MIN(100,S387*100*'Config_v6'!$B$44+MIN(100,L387/'Config_v6'!$B$13*100)*'Config_v6'!$B$45+(100-'Motor_Meciuri'!BF33)*'Config_v6'!$B$46+'Motor_Meciuri'!BH33*100*'Config_v6'!$B$47))</x:f>
      </x:c>
      <x:c r="U387" s="2" t="str">
        <x:f>IF(T387="","",IF(T387&lt;=20,1,IF(T387&lt;=40,2,IF(T387&lt;=60,3,IF(T387&lt;=80,4,5)))))</x:f>
      </x:c>
      <x:c r="V387" s="2" t="str">
        <x:f>IF(M387="","",MAX(0,'Motor_Meciuri'!BF33-IF(W387="OOS PENDING",'Config_v6'!$B$35,0)-IF(L387&gt;'Config_v6'!$B$12,'Config_v6'!$B$37,IF(L387&gt;'Config_v6'!$B$11,'Config_v6'!$B$36,0))))</x:f>
      </x:c>
      <x:c r="W387" s="2" t="str">
        <x:f>IF(B387="","",IF(I387&lt;&gt;"READY","NOT RELEASED",IF(NOT(AND(J387="PASS",'Calibrare_Linii'!U9="VALID")),"INVALID",IF(NOT(AND('Calibrare_Linii'!S9="VALIDATED",AND('Calibrare_Linii'!H9=C387,ISNUMBER('Calibrare_Linii'!J9),'Calibrare_Linii'!J9&lt;='Input_Meci'!G33))),"OOS PENDING",IF(S387&lt;='Calibrare_Linii'!E9,"PASS",IF(S387&lt;='Calibrare_Linii'!F9,"PENALTY","WATCH"))))))</x:f>
      </x:c>
      <x:c r="X387" s="2" t="str">
        <x:f>IF(M387="","",IF(AND(AND(J387="PASS",'Calibrare_Linii'!U9="VALID"),'Motor_Meciuri'!K33=12,'Motor_Meciuri'!L33=12,'Motor_Meciuri'!M33="NO",'Motor_Meciuri'!BL33='Motor_Meciuri'!C33,AB387&gt;='Config_v6'!$B$50,AN387&gt;='Config_v6'!$B$51,T387&lt;='Config_v6'!$B$52,L387&lt;='Config_v6'!$B$53,ISNUMBER('Calibrare_Linii'!E9),S387&lt;='Calibrare_Linii'!E9,SUM(AK387:AM387)&gt;0),"CANDIDATE","NO"))</x:f>
      </x:c>
      <x:c r="Y387" s="2" t="str">
        <x:f>IF(B387="","",IF(I387&lt;&gt;"READY","NOT RELEASED",IF(AND(X387="CANDIDATE",V387&gt;='Config_v6'!$B$51,W387="PASS",'Calibrare_Linii'!T9="VALIDATED",AND('Calibrare_Linii'!H9=C387,ISNUMBER('Calibrare_Linii'!J9),'Calibrare_Linii'!J9&lt;='Input_Meci'!G33)),"PASS",IF(X387="CANDIDATE","OOS PENDING","FAIL"))))</x:f>
      </x:c>
      <x:c r="Z387" s="2" t="str">
        <x:f>IF(B387="","",IF(I387&lt;&gt;"READY","",IF(OR(NOT(AND(J387="PASS",'Calibrare_Linii'!U9="VALID")),L387&gt;'Config_v6'!$B$13,W387="WATCH"),5,IF(Y387="PASS",1,MIN(5,MAX('Config_v6'!$B$42,U387)+IF(W387="PENALTY",1,0))))))</x:f>
      </x:c>
      <x:c r="AA387" s="2" t="str">
        <x:f>IF(B387="","",IF(I387&lt;&gt;"READY","NOT RELEASED",IF(Z387=5,"NO BET",IF(OR(AB387&lt;'Config_v6'!$B$16,V387&lt;'Config_v6'!$B$18),"WATCH",IF(Z387=1,"DEFENSIV",IF(Z387=2,"PRUDENT",IF(Z387=3,"MODERAT","RIDICAT")))))))</x:f>
      </x:c>
      <x:c r="AB387" s="10" t="str">
        <x:f>IF(N387="","",MIN(N387,1-S387))</x:f>
      </x:c>
      <x:c r="AC387" s="2" t="str">
        <x:f>IF(AD387&lt;&gt;1,"",COUNTIFS($Z$384:$Z$397,"&lt;"&amp;Z387,$AD$384:$AD$397,1)+COUNTIFS($Z$384:$Z$397,Z387,$AB$384:$AB$397,"&gt;"&amp;AB387,$AD$384:$AD$397,1)+COUNTIFS($Z$384:$Z$397,Z387,$AB$384:$AB$397,AB387,$V$384:$V$397,"&gt;"&amp;V387,$AD$384:$AD$397,1)+COUNTIFS($Z$384:Z387,Z387,$AB$384:AB387,AB387,$V$384:V387,V387,$AD$384:AD387,1))</x:f>
      </x:c>
      <x:c r="AD387" s="2" t="n">
        <x:f>IF(OR(AA387="DEFENSIV",AA387="PRUDENT",AA387="MODERAT",AA387="RIDICAT"),1,0)</x:f>
        <x:v>0</x:v>
      </x:c>
      <x:c r="AE387" s="2" t="str">
        <x:f>IF(AD387&lt;&gt;1,"NO",IF(W387="PASS","YES",IF(W387="OOS PENDING","CONDITIONAL","NO")))</x:f>
        <x:v>NO</x:v>
      </x:c>
      <x:c r="AF387" s="2" t="n">
        <x:f>IF(AND(AD387=1,AC387=1,E387="LIVE"),1,0)</x:f>
        <x:v>0</x:v>
      </x:c>
      <x:c r="AG387" s="2" t="str">
        <x:f>IF(AF387&lt;&gt;1,"",'Dashboard'!P53)</x:f>
      </x:c>
      <x:c r="AH387" s="2" t="str">
        <x:f>IF(B387="","",IF(J387&lt;&gt;"PASS",'Motor_Meciuri'!J33,IF('Calibrare_Linii'!U9&lt;&gt;"VALID","Parametri linie invalizi",IF(L387&gt;'Config_v6'!$B$13,"Dispersie peste limita",IF(W387="WATCH","Failure peste limita",IF(AB387&lt;'Config_v6'!$B$16,"P finala sub prag",IF(V387&lt;'Config_v6'!$B$18,"Confidence sub prag",IF(E387="REPLAY","Exemplu retrospectiv; exclus din Top LIVE",IF(Y387="PASS","DEFENSIV validat",IF(W387="OOS PENDING","Eligibil; calibrare linie in monitorizare","Eligibil"))))))))))</x:f>
      </x:c>
      <x:c r="AI387" s="2" t="str">
        <x:f>IF(B387="","",'Calibrare_Linii'!V9)</x:f>
      </x:c>
      <x:c r="AJ387" s="2" t="str">
        <x:f>IF(B387="","",IF(AND('Calibrare_Linii'!T9="VALIDATED",AND('Calibrare_Linii'!H9=C387,ISNUMBER('Calibrare_Linii'!J9),'Calibrare_Linii'!J9&lt;='Input_Meci'!G33)),"DEFENSIVE VALIDATED",IF(AND('Calibrare_Linii'!S9="VALIDATED",AND('Calibrare_Linii'!H9=C387,ISNUMBER('Calibrare_Linii'!J9),'Calibrare_Linii'!J9&lt;='Input_Meci'!G33)),"TAIL VALIDATED","OOS PENDING")))</x:f>
      </x:c>
      <x:c r="AK387" s="2" t="n">
        <x:f>IF(J387&lt;&gt;"PASS",0,'Motor_Meciuri'!BR33)</x:f>
        <x:v>0</x:v>
      </x:c>
      <x:c r="AL387" s="2" t="n">
        <x:f>IF(J387&lt;&gt;"PASS",0,'Motor_Meciuri'!BS33)</x:f>
        <x:v>0</x:v>
      </x:c>
      <x:c r="AM387" s="2" t="n">
        <x:f>IF(J387&lt;&gt;"PASS",0,'Motor_Meciuri'!BT33)</x:f>
        <x:v>0</x:v>
      </x:c>
      <x:c r="AN387" s="2" t="str">
        <x:f>IF(M387="","",MAX(0,'Motor_Meciuri'!BF33-IF(L387&gt;'Config_v6'!$B$12,'Config_v6'!$B$37,IF(L387&gt;'Config_v6'!$B$11,'Config_v6'!$B$36,0))))</x:f>
      </x:c>
    </x:row>
    <x:row r="388" ht="21" customHeight="1">
      <x:c r="A388" s="2" t="n">
        <x:v>28</x:v>
      </x:c>
      <x:c r="B388" s="2" t="str">
        <x:f>IF('Motor_Meciuri'!A33="","",'Motor_Meciuri'!A33)</x:f>
      </x:c>
      <x:c r="C388" s="2" t="str">
        <x:f>IF(B388="","",'Motor_Meciuri'!B33)</x:f>
      </x:c>
      <x:c r="D388" s="2" t="str">
        <x:f>IF(B388="","",'Motor_Meciuri'!D33)</x:f>
      </x:c>
      <x:c r="E388" s="2" t="str">
        <x:f>IF(B388="","",'Motor_Meciuri'!E33)</x:f>
      </x:c>
      <x:c r="F388" s="2" t="str">
        <x:v>O7,5</x:v>
      </x:c>
      <x:c r="G388" s="2" t="str">
        <x:v>OVER</x:v>
      </x:c>
      <x:c r="H388" s="2" t="n">
        <x:v>7</x:v>
      </x:c>
      <x:c r="I388" s="2" t="str">
        <x:f>IF(B388="","",'Motor_Meciuri'!H33)</x:f>
      </x:c>
      <x:c r="J388" s="2" t="str">
        <x:f>IF(B388="","",'Motor_Meciuri'!I33)</x:f>
      </x:c>
      <x:c r="K388" s="11" t="str">
        <x:f>IF(J388&lt;&gt;"PASS","",'Motor_Meciuri'!BD33)</x:f>
      </x:c>
      <x:c r="L388" s="11" t="str">
        <x:f>IF(J388&lt;&gt;"PASS","",'Motor_Meciuri'!AU33)</x:f>
      </x:c>
      <x:c r="M388" s="10" t="str">
        <x:f>IF(NOT(AND(J388="PASS",'Calibrare_Linii'!U10="VALID")),"",1-'Distributie'!AE33)</x:f>
      </x:c>
      <x:c r="N388" s="10" t="str">
        <x:f>IF(M388="","",MAX(0.01,MIN(0.99,0.5+(M388-0.5)*'Motor_Meciuri'!BG33*'Calibrare_Linii'!D10)))</x:f>
      </x:c>
      <x:c r="O388" s="10" t="str">
        <x:f>IF(M388="","",1-M388)</x:f>
      </x:c>
      <x:c r="P388" s="10" t="str">
        <x:f>IF(OR(NOT(AND(J388="PASS",'Calibrare_Linii'!U10="VALID")),AK388=0),""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*('Istoric_Nativ'!$Q$6:$Q$405&lt;=H388))/AK388)</x:f>
      </x:c>
      <x:c r="Q388" s="10" t="str">
        <x:f>IF(OR(NOT(AND(J388="PASS",'Calibrare_Linii'!U10="VALID")),AL388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M33)+((('Istoric_Nativ'!$E$6:$E$405='Input_Meci'!E33)+('Istoric_Nativ'!$F$6:$F$405='Input_Meci'!E33))&gt;0)*('Istoric_Nativ'!$D$6:$D$405&gt;='Motor_Meciuri'!BN33))&gt;0)*('Istoric_Nativ'!$Q$6:$Q$405&lt;=H388))/AL388)</x:f>
      </x:c>
      <x:c r="R388" s="10" t="str">
        <x:f>IF(OR(NOT(AND(J388="PASS",'Calibrare_Linii'!U10="VALID")),AM388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O33)+((('Istoric_Nativ'!$E$6:$E$405='Input_Meci'!E33)+('Istoric_Nativ'!$F$6:$F$405='Input_Meci'!E33))&gt;0)*('Istoric_Nativ'!$D$6:$D$405&gt;='Motor_Meciuri'!BP33))&gt;0)*('Istoric_Nativ'!$Q$6:$Q$405&lt;=H388))/AM388)</x:f>
      </x:c>
      <x:c r="S388" s="10" t="str">
        <x:f>IF(M388="","",MAX(O388,P388,Q388,R388))</x:f>
      </x:c>
      <x:c r="T388" s="11" t="str">
        <x:f>IF(M388="","",MIN(100,S388*100*'Config_v6'!$B$44+MIN(100,L388/'Config_v6'!$B$13*100)*'Config_v6'!$B$45+(100-'Motor_Meciuri'!BF33)*'Config_v6'!$B$46+'Motor_Meciuri'!BH33*100*'Config_v6'!$B$47))</x:f>
      </x:c>
      <x:c r="U388" s="2" t="str">
        <x:f>IF(T388="","",IF(T388&lt;=20,1,IF(T388&lt;=40,2,IF(T388&lt;=60,3,IF(T388&lt;=80,4,5)))))</x:f>
      </x:c>
      <x:c r="V388" s="2" t="str">
        <x:f>IF(M388="","",MAX(0,'Motor_Meciuri'!BF33-IF(W388="OOS PENDING",'Config_v6'!$B$35,0)-IF(L388&gt;'Config_v6'!$B$12,'Config_v6'!$B$37,IF(L388&gt;'Config_v6'!$B$11,'Config_v6'!$B$36,0))))</x:f>
      </x:c>
      <x:c r="W388" s="2" t="str">
        <x:f>IF(B388="","",IF(I388&lt;&gt;"READY","NOT RELEASED",IF(NOT(AND(J388="PASS",'Calibrare_Linii'!U10="VALID")),"INVALID",IF(NOT(AND('Calibrare_Linii'!S10="VALIDATED",AND('Calibrare_Linii'!H10=C388,ISNUMBER('Calibrare_Linii'!J10),'Calibrare_Linii'!J10&lt;='Input_Meci'!G33))),"OOS PENDING",IF(S388&lt;='Calibrare_Linii'!E10,"PASS",IF(S388&lt;='Calibrare_Linii'!F10,"PENALTY","WATCH"))))))</x:f>
      </x:c>
      <x:c r="X388" s="2" t="str">
        <x:f>IF(M388="","",IF(AND(AND(J388="PASS",'Calibrare_Linii'!U10="VALID"),'Motor_Meciuri'!K33=12,'Motor_Meciuri'!L33=12,'Motor_Meciuri'!M33="NO",'Motor_Meciuri'!BL33='Motor_Meciuri'!C33,AB388&gt;='Config_v6'!$B$50,AN388&gt;='Config_v6'!$B$51,T388&lt;='Config_v6'!$B$52,L388&lt;='Config_v6'!$B$53,ISNUMBER('Calibrare_Linii'!E10),S388&lt;='Calibrare_Linii'!E10,SUM(AK388:AM388)&gt;0),"CANDIDATE","NO"))</x:f>
      </x:c>
      <x:c r="Y388" s="2" t="str">
        <x:f>IF(B388="","",IF(I388&lt;&gt;"READY","NOT RELEASED",IF(AND(X388="CANDIDATE",V388&gt;='Config_v6'!$B$51,W388="PASS",'Calibrare_Linii'!T10="VALIDATED",AND('Calibrare_Linii'!H10=C388,ISNUMBER('Calibrare_Linii'!J10),'Calibrare_Linii'!J10&lt;='Input_Meci'!G33)),"PASS",IF(X388="CANDIDATE","OOS PENDING","FAIL"))))</x:f>
      </x:c>
      <x:c r="Z388" s="2" t="str">
        <x:f>IF(B388="","",IF(I388&lt;&gt;"READY","",IF(OR(NOT(AND(J388="PASS",'Calibrare_Linii'!U10="VALID")),L388&gt;'Config_v6'!$B$13,W388="WATCH"),5,IF(Y388="PASS",1,MIN(5,MAX('Config_v6'!$B$42,U388)+IF(W388="PENALTY",1,0))))))</x:f>
      </x:c>
      <x:c r="AA388" s="2" t="str">
        <x:f>IF(B388="","",IF(I388&lt;&gt;"READY","NOT RELEASED",IF(Z388=5,"NO BET",IF(OR(AB388&lt;'Config_v6'!$B$16,V388&lt;'Config_v6'!$B$18),"WATCH",IF(Z388=1,"DEFENSIV",IF(Z388=2,"PRUDENT",IF(Z388=3,"MODERAT","RIDICAT")))))))</x:f>
      </x:c>
      <x:c r="AB388" s="10" t="str">
        <x:f>IF(N388="","",MIN(N388,1-S388))</x:f>
      </x:c>
      <x:c r="AC388" s="2" t="str">
        <x:f>IF(AD388&lt;&gt;1,"",COUNTIFS($Z$384:$Z$397,"&lt;"&amp;Z388,$AD$384:$AD$397,1)+COUNTIFS($Z$384:$Z$397,Z388,$AB$384:$AB$397,"&gt;"&amp;AB388,$AD$384:$AD$397,1)+COUNTIFS($Z$384:$Z$397,Z388,$AB$384:$AB$397,AB388,$V$384:$V$397,"&gt;"&amp;V388,$AD$384:$AD$397,1)+COUNTIFS($Z$384:Z388,Z388,$AB$384:AB388,AB388,$V$384:V388,V388,$AD$384:AD388,1))</x:f>
      </x:c>
      <x:c r="AD388" s="2" t="n">
        <x:f>IF(OR(AA388="DEFENSIV",AA388="PRUDENT",AA388="MODERAT",AA388="RIDICAT"),1,0)</x:f>
        <x:v>0</x:v>
      </x:c>
      <x:c r="AE388" s="2" t="str">
        <x:f>IF(AD388&lt;&gt;1,"NO",IF(W388="PASS","YES",IF(W388="OOS PENDING","CONDITIONAL","NO")))</x:f>
        <x:v>NO</x:v>
      </x:c>
      <x:c r="AF388" s="2" t="n">
        <x:f>IF(AND(AD388=1,AC388=1,E388="LIVE"),1,0)</x:f>
        <x:v>0</x:v>
      </x:c>
      <x:c r="AG388" s="2" t="str">
        <x:f>IF(AF388&lt;&gt;1,"",'Dashboard'!P53)</x:f>
      </x:c>
      <x:c r="AH388" s="2" t="str">
        <x:f>IF(B388="","",IF(J388&lt;&gt;"PASS",'Motor_Meciuri'!J33,IF('Calibrare_Linii'!U10&lt;&gt;"VALID","Parametri linie invalizi",IF(L388&gt;'Config_v6'!$B$13,"Dispersie peste limita",IF(W388="WATCH","Failure peste limita",IF(AB388&lt;'Config_v6'!$B$16,"P finala sub prag",IF(V388&lt;'Config_v6'!$B$18,"Confidence sub prag",IF(E388="REPLAY","Exemplu retrospectiv; exclus din Top LIVE",IF(Y388="PASS","DEFENSIV validat",IF(W388="OOS PENDING","Eligibil; calibrare linie in monitorizare","Eligibil"))))))))))</x:f>
      </x:c>
      <x:c r="AI388" s="2" t="str">
        <x:f>IF(B388="","",'Calibrare_Linii'!V10)</x:f>
      </x:c>
      <x:c r="AJ388" s="2" t="str">
        <x:f>IF(B388="","",IF(AND('Calibrare_Linii'!T10="VALIDATED",AND('Calibrare_Linii'!H10=C388,ISNUMBER('Calibrare_Linii'!J10),'Calibrare_Linii'!J10&lt;='Input_Meci'!G33)),"DEFENSIVE VALIDATED",IF(AND('Calibrare_Linii'!S10="VALIDATED",AND('Calibrare_Linii'!H10=C388,ISNUMBER('Calibrare_Linii'!J10),'Calibrare_Linii'!J10&lt;='Input_Meci'!G33)),"TAIL VALIDATED","OOS PENDING")))</x:f>
      </x:c>
      <x:c r="AK388" s="2" t="n">
        <x:f>IF(J388&lt;&gt;"PASS",0,'Motor_Meciuri'!BR33)</x:f>
        <x:v>0</x:v>
      </x:c>
      <x:c r="AL388" s="2" t="n">
        <x:f>IF(J388&lt;&gt;"PASS",0,'Motor_Meciuri'!BS33)</x:f>
        <x:v>0</x:v>
      </x:c>
      <x:c r="AM388" s="2" t="n">
        <x:f>IF(J388&lt;&gt;"PASS",0,'Motor_Meciuri'!BT33)</x:f>
        <x:v>0</x:v>
      </x:c>
      <x:c r="AN388" s="2" t="str">
        <x:f>IF(M388="","",MAX(0,'Motor_Meciuri'!BF33-IF(L388&gt;'Config_v6'!$B$12,'Config_v6'!$B$37,IF(L388&gt;'Config_v6'!$B$11,'Config_v6'!$B$36,0))))</x:f>
      </x:c>
    </x:row>
    <x:row r="389" ht="21" customHeight="1">
      <x:c r="A389" s="2" t="n">
        <x:v>28</x:v>
      </x:c>
      <x:c r="B389" s="2" t="str">
        <x:f>IF('Motor_Meciuri'!A33="","",'Motor_Meciuri'!A33)</x:f>
      </x:c>
      <x:c r="C389" s="2" t="str">
        <x:f>IF(B389="","",'Motor_Meciuri'!B33)</x:f>
      </x:c>
      <x:c r="D389" s="2" t="str">
        <x:f>IF(B389="","",'Motor_Meciuri'!D33)</x:f>
      </x:c>
      <x:c r="E389" s="2" t="str">
        <x:f>IF(B389="","",'Motor_Meciuri'!E33)</x:f>
      </x:c>
      <x:c r="F389" s="2" t="str">
        <x:v>O8,5</x:v>
      </x:c>
      <x:c r="G389" s="2" t="str">
        <x:v>OVER</x:v>
      </x:c>
      <x:c r="H389" s="2" t="n">
        <x:v>8</x:v>
      </x:c>
      <x:c r="I389" s="2" t="str">
        <x:f>IF(B389="","",'Motor_Meciuri'!H33)</x:f>
      </x:c>
      <x:c r="J389" s="2" t="str">
        <x:f>IF(B389="","",'Motor_Meciuri'!I33)</x:f>
      </x:c>
      <x:c r="K389" s="11" t="str">
        <x:f>IF(J389&lt;&gt;"PASS","",'Motor_Meciuri'!BD33)</x:f>
      </x:c>
      <x:c r="L389" s="11" t="str">
        <x:f>IF(J389&lt;&gt;"PASS","",'Motor_Meciuri'!AU33)</x:f>
      </x:c>
      <x:c r="M389" s="10" t="str">
        <x:f>IF(NOT(AND(J389="PASS",'Calibrare_Linii'!U11="VALID")),"",1-'Distributie'!AF33)</x:f>
      </x:c>
      <x:c r="N389" s="10" t="str">
        <x:f>IF(M389="","",MAX(0.01,MIN(0.99,0.5+(M389-0.5)*'Motor_Meciuri'!BG33*'Calibrare_Linii'!D11)))</x:f>
      </x:c>
      <x:c r="O389" s="10" t="str">
        <x:f>IF(M389="","",1-M389)</x:f>
      </x:c>
      <x:c r="P389" s="10" t="str">
        <x:f>IF(OR(NOT(AND(J389="PASS",'Calibrare_Linii'!U11="VALID")),AK389=0),""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*('Istoric_Nativ'!$Q$6:$Q$405&lt;=H389))/AK389)</x:f>
      </x:c>
      <x:c r="Q389" s="10" t="str">
        <x:f>IF(OR(NOT(AND(J389="PASS",'Calibrare_Linii'!U11="VALID")),AL389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M33)+((('Istoric_Nativ'!$E$6:$E$405='Input_Meci'!E33)+('Istoric_Nativ'!$F$6:$F$405='Input_Meci'!E33))&gt;0)*('Istoric_Nativ'!$D$6:$D$405&gt;='Motor_Meciuri'!BN33))&gt;0)*('Istoric_Nativ'!$Q$6:$Q$405&lt;=H389))/AL389)</x:f>
      </x:c>
      <x:c r="R389" s="10" t="str">
        <x:f>IF(OR(NOT(AND(J389="PASS",'Calibrare_Linii'!U11="VALID")),AM389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O33)+((('Istoric_Nativ'!$E$6:$E$405='Input_Meci'!E33)+('Istoric_Nativ'!$F$6:$F$405='Input_Meci'!E33))&gt;0)*('Istoric_Nativ'!$D$6:$D$405&gt;='Motor_Meciuri'!BP33))&gt;0)*('Istoric_Nativ'!$Q$6:$Q$405&lt;=H389))/AM389)</x:f>
      </x:c>
      <x:c r="S389" s="10" t="str">
        <x:f>IF(M389="","",MAX(O389,P389,Q389,R389))</x:f>
      </x:c>
      <x:c r="T389" s="11" t="str">
        <x:f>IF(M389="","",MIN(100,S389*100*'Config_v6'!$B$44+MIN(100,L389/'Config_v6'!$B$13*100)*'Config_v6'!$B$45+(100-'Motor_Meciuri'!BF33)*'Config_v6'!$B$46+'Motor_Meciuri'!BH33*100*'Config_v6'!$B$47))</x:f>
      </x:c>
      <x:c r="U389" s="2" t="str">
        <x:f>IF(T389="","",IF(T389&lt;=20,1,IF(T389&lt;=40,2,IF(T389&lt;=60,3,IF(T389&lt;=80,4,5)))))</x:f>
      </x:c>
      <x:c r="V389" s="2" t="str">
        <x:f>IF(M389="","",MAX(0,'Motor_Meciuri'!BF33-IF(W389="OOS PENDING",'Config_v6'!$B$35,0)-IF(L389&gt;'Config_v6'!$B$12,'Config_v6'!$B$37,IF(L389&gt;'Config_v6'!$B$11,'Config_v6'!$B$36,0))))</x:f>
      </x:c>
      <x:c r="W389" s="2" t="str">
        <x:f>IF(B389="","",IF(I389&lt;&gt;"READY","NOT RELEASED",IF(NOT(AND(J389="PASS",'Calibrare_Linii'!U11="VALID")),"INVALID",IF(NOT(AND('Calibrare_Linii'!S11="VALIDATED",AND('Calibrare_Linii'!H11=C389,ISNUMBER('Calibrare_Linii'!J11),'Calibrare_Linii'!J11&lt;='Input_Meci'!G33))),"OOS PENDING",IF(S389&lt;='Calibrare_Linii'!E11,"PASS",IF(S389&lt;='Calibrare_Linii'!F11,"PENALTY","WATCH"))))))</x:f>
      </x:c>
      <x:c r="X389" s="2" t="str">
        <x:f>IF(M389="","",IF(AND(AND(J389="PASS",'Calibrare_Linii'!U11="VALID"),'Motor_Meciuri'!K33=12,'Motor_Meciuri'!L33=12,'Motor_Meciuri'!M33="NO",'Motor_Meciuri'!BL33='Motor_Meciuri'!C33,AB389&gt;='Config_v6'!$B$50,AN389&gt;='Config_v6'!$B$51,T389&lt;='Config_v6'!$B$52,L389&lt;='Config_v6'!$B$53,ISNUMBER('Calibrare_Linii'!E11),S389&lt;='Calibrare_Linii'!E11,SUM(AK389:AM389)&gt;0),"CANDIDATE","NO"))</x:f>
      </x:c>
      <x:c r="Y389" s="2" t="str">
        <x:f>IF(B389="","",IF(I389&lt;&gt;"READY","NOT RELEASED",IF(AND(X389="CANDIDATE",V389&gt;='Config_v6'!$B$51,W389="PASS",'Calibrare_Linii'!T11="VALIDATED",AND('Calibrare_Linii'!H11=C389,ISNUMBER('Calibrare_Linii'!J11),'Calibrare_Linii'!J11&lt;='Input_Meci'!G33)),"PASS",IF(X389="CANDIDATE","OOS PENDING","FAIL"))))</x:f>
      </x:c>
      <x:c r="Z389" s="2" t="str">
        <x:f>IF(B389="","",IF(I389&lt;&gt;"READY","",IF(OR(NOT(AND(J389="PASS",'Calibrare_Linii'!U11="VALID")),L389&gt;'Config_v6'!$B$13,W389="WATCH"),5,IF(Y389="PASS",1,MIN(5,MAX('Config_v6'!$B$42,U389)+IF(W389="PENALTY",1,0))))))</x:f>
      </x:c>
      <x:c r="AA389" s="2" t="str">
        <x:f>IF(B389="","",IF(I389&lt;&gt;"READY","NOT RELEASED",IF(Z389=5,"NO BET",IF(OR(AB389&lt;'Config_v6'!$B$16,V389&lt;'Config_v6'!$B$18),"WATCH",IF(Z389=1,"DEFENSIV",IF(Z389=2,"PRUDENT",IF(Z389=3,"MODERAT","RIDICAT")))))))</x:f>
      </x:c>
      <x:c r="AB389" s="10" t="str">
        <x:f>IF(N389="","",MIN(N389,1-S389))</x:f>
      </x:c>
      <x:c r="AC389" s="2" t="str">
        <x:f>IF(AD389&lt;&gt;1,"",COUNTIFS($Z$384:$Z$397,"&lt;"&amp;Z389,$AD$384:$AD$397,1)+COUNTIFS($Z$384:$Z$397,Z389,$AB$384:$AB$397,"&gt;"&amp;AB389,$AD$384:$AD$397,1)+COUNTIFS($Z$384:$Z$397,Z389,$AB$384:$AB$397,AB389,$V$384:$V$397,"&gt;"&amp;V389,$AD$384:$AD$397,1)+COUNTIFS($Z$384:Z389,Z389,$AB$384:AB389,AB389,$V$384:V389,V389,$AD$384:AD389,1))</x:f>
      </x:c>
      <x:c r="AD389" s="2" t="n">
        <x:f>IF(OR(AA389="DEFENSIV",AA389="PRUDENT",AA389="MODERAT",AA389="RIDICAT"),1,0)</x:f>
        <x:v>0</x:v>
      </x:c>
      <x:c r="AE389" s="2" t="str">
        <x:f>IF(AD389&lt;&gt;1,"NO",IF(W389="PASS","YES",IF(W389="OOS PENDING","CONDITIONAL","NO")))</x:f>
        <x:v>NO</x:v>
      </x:c>
      <x:c r="AF389" s="2" t="n">
        <x:f>IF(AND(AD389=1,AC389=1,E389="LIVE"),1,0)</x:f>
        <x:v>0</x:v>
      </x:c>
      <x:c r="AG389" s="2" t="str">
        <x:f>IF(AF389&lt;&gt;1,"",'Dashboard'!P53)</x:f>
      </x:c>
      <x:c r="AH389" s="2" t="str">
        <x:f>IF(B389="","",IF(J389&lt;&gt;"PASS",'Motor_Meciuri'!J33,IF('Calibrare_Linii'!U11&lt;&gt;"VALID","Parametri linie invalizi",IF(L389&gt;'Config_v6'!$B$13,"Dispersie peste limita",IF(W389="WATCH","Failure peste limita",IF(AB389&lt;'Config_v6'!$B$16,"P finala sub prag",IF(V389&lt;'Config_v6'!$B$18,"Confidence sub prag",IF(E389="REPLAY","Exemplu retrospectiv; exclus din Top LIVE",IF(Y389="PASS","DEFENSIV validat",IF(W389="OOS PENDING","Eligibil; calibrare linie in monitorizare","Eligibil"))))))))))</x:f>
      </x:c>
      <x:c r="AI389" s="2" t="str">
        <x:f>IF(B389="","",'Calibrare_Linii'!V11)</x:f>
      </x:c>
      <x:c r="AJ389" s="2" t="str">
        <x:f>IF(B389="","",IF(AND('Calibrare_Linii'!T11="VALIDATED",AND('Calibrare_Linii'!H11=C389,ISNUMBER('Calibrare_Linii'!J11),'Calibrare_Linii'!J11&lt;='Input_Meci'!G33)),"DEFENSIVE VALIDATED",IF(AND('Calibrare_Linii'!S11="VALIDATED",AND('Calibrare_Linii'!H11=C389,ISNUMBER('Calibrare_Linii'!J11),'Calibrare_Linii'!J11&lt;='Input_Meci'!G33)),"TAIL VALIDATED","OOS PENDING")))</x:f>
      </x:c>
      <x:c r="AK389" s="2" t="n">
        <x:f>IF(J389&lt;&gt;"PASS",0,'Motor_Meciuri'!BR33)</x:f>
        <x:v>0</x:v>
      </x:c>
      <x:c r="AL389" s="2" t="n">
        <x:f>IF(J389&lt;&gt;"PASS",0,'Motor_Meciuri'!BS33)</x:f>
        <x:v>0</x:v>
      </x:c>
      <x:c r="AM389" s="2" t="n">
        <x:f>IF(J389&lt;&gt;"PASS",0,'Motor_Meciuri'!BT33)</x:f>
        <x:v>0</x:v>
      </x:c>
      <x:c r="AN389" s="2" t="str">
        <x:f>IF(M389="","",MAX(0,'Motor_Meciuri'!BF33-IF(L389&gt;'Config_v6'!$B$12,'Config_v6'!$B$37,IF(L389&gt;'Config_v6'!$B$11,'Config_v6'!$B$36,0))))</x:f>
      </x:c>
    </x:row>
    <x:row r="390" ht="21" customHeight="1">
      <x:c r="A390" s="2" t="n">
        <x:v>28</x:v>
      </x:c>
      <x:c r="B390" s="2" t="str">
        <x:f>IF('Motor_Meciuri'!A33="","",'Motor_Meciuri'!A33)</x:f>
      </x:c>
      <x:c r="C390" s="2" t="str">
        <x:f>IF(B390="","",'Motor_Meciuri'!B33)</x:f>
      </x:c>
      <x:c r="D390" s="2" t="str">
        <x:f>IF(B390="","",'Motor_Meciuri'!D33)</x:f>
      </x:c>
      <x:c r="E390" s="2" t="str">
        <x:f>IF(B390="","",'Motor_Meciuri'!E33)</x:f>
      </x:c>
      <x:c r="F390" s="2" t="str">
        <x:v>U10,5</x:v>
      </x:c>
      <x:c r="G390" s="2" t="str">
        <x:v>UNDER</x:v>
      </x:c>
      <x:c r="H390" s="2" t="n">
        <x:v>10</x:v>
      </x:c>
      <x:c r="I390" s="2" t="str">
        <x:f>IF(B390="","",'Motor_Meciuri'!H33)</x:f>
      </x:c>
      <x:c r="J390" s="2" t="str">
        <x:f>IF(B390="","",'Motor_Meciuri'!I33)</x:f>
      </x:c>
      <x:c r="K390" s="11" t="str">
        <x:f>IF(J390&lt;&gt;"PASS","",'Motor_Meciuri'!BD33)</x:f>
      </x:c>
      <x:c r="L390" s="11" t="str">
        <x:f>IF(J390&lt;&gt;"PASS","",'Motor_Meciuri'!AU33)</x:f>
      </x:c>
      <x:c r="M390" s="10" t="str">
        <x:f>IF(NOT(AND(J390="PASS",'Calibrare_Linii'!U12="VALID")),"",'Distributie'!AH33)</x:f>
      </x:c>
      <x:c r="N390" s="10" t="str">
        <x:f>IF(M390="","",MAX(0.01,MIN(0.99,0.5+(M390-0.5)*'Motor_Meciuri'!BG33*'Calibrare_Linii'!D12)))</x:f>
      </x:c>
      <x:c r="O390" s="10" t="str">
        <x:f>IF(M390="","",1-M390)</x:f>
      </x:c>
      <x:c r="P390" s="10" t="str">
        <x:f>IF(OR(NOT(AND(J390="PASS",'Calibrare_Linii'!U12="VALID")),AK390=0),""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*('Istoric_Nativ'!$Q$6:$Q$405&gt;H390))/AK390)</x:f>
      </x:c>
      <x:c r="Q390" s="10" t="str">
        <x:f>IF(OR(NOT(AND(J390="PASS",'Calibrare_Linii'!U12="VALID")),AL390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M33)+((('Istoric_Nativ'!$E$6:$E$405='Input_Meci'!E33)+('Istoric_Nativ'!$F$6:$F$405='Input_Meci'!E33))&gt;0)*('Istoric_Nativ'!$D$6:$D$405&gt;='Motor_Meciuri'!BN33))&gt;0)*('Istoric_Nativ'!$Q$6:$Q$405&gt;H390))/AL390)</x:f>
      </x:c>
      <x:c r="R390" s="10" t="str">
        <x:f>IF(OR(NOT(AND(J390="PASS",'Calibrare_Linii'!U12="VALID")),AM390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O33)+((('Istoric_Nativ'!$E$6:$E$405='Input_Meci'!E33)+('Istoric_Nativ'!$F$6:$F$405='Input_Meci'!E33))&gt;0)*('Istoric_Nativ'!$D$6:$D$405&gt;='Motor_Meciuri'!BP33))&gt;0)*('Istoric_Nativ'!$Q$6:$Q$405&gt;H390))/AM390)</x:f>
      </x:c>
      <x:c r="S390" s="10" t="str">
        <x:f>IF(M390="","",MAX(O390,P390,Q390,R390))</x:f>
      </x:c>
      <x:c r="T390" s="11" t="str">
        <x:f>IF(M390="","",MIN(100,S390*100*'Config_v6'!$B$44+MIN(100,L390/'Config_v6'!$B$13*100)*'Config_v6'!$B$45+(100-'Motor_Meciuri'!BF33)*'Config_v6'!$B$46+'Motor_Meciuri'!BH33*100*'Config_v6'!$B$47))</x:f>
      </x:c>
      <x:c r="U390" s="2" t="str">
        <x:f>IF(T390="","",IF(T390&lt;=20,1,IF(T390&lt;=40,2,IF(T390&lt;=60,3,IF(T390&lt;=80,4,5)))))</x:f>
      </x:c>
      <x:c r="V390" s="2" t="str">
        <x:f>IF(M390="","",MAX(0,'Motor_Meciuri'!BF33-IF(W390="OOS PENDING",'Config_v6'!$B$35,0)-IF(L390&gt;'Config_v6'!$B$12,'Config_v6'!$B$37,IF(L390&gt;'Config_v6'!$B$11,'Config_v6'!$B$36,0))))</x:f>
      </x:c>
      <x:c r="W390" s="2" t="str">
        <x:f>IF(B390="","",IF(I390&lt;&gt;"READY","NOT RELEASED",IF(NOT(AND(J390="PASS",'Calibrare_Linii'!U12="VALID")),"INVALID",IF(NOT(AND('Calibrare_Linii'!S12="VALIDATED",AND('Calibrare_Linii'!H12=C390,ISNUMBER('Calibrare_Linii'!J12),'Calibrare_Linii'!J12&lt;='Input_Meci'!G33))),"OOS PENDING",IF(S390&lt;='Calibrare_Linii'!E12,"PASS",IF(S390&lt;='Calibrare_Linii'!F12,"PENALTY","WATCH"))))))</x:f>
      </x:c>
      <x:c r="X390" s="2" t="str">
        <x:f>IF(M390="","",IF(AND(AND(J390="PASS",'Calibrare_Linii'!U12="VALID"),'Motor_Meciuri'!K33=12,'Motor_Meciuri'!L33=12,'Motor_Meciuri'!M33="NO",'Motor_Meciuri'!BL33='Motor_Meciuri'!C33,AB390&gt;='Config_v6'!$B$50,AN390&gt;='Config_v6'!$B$51,T390&lt;='Config_v6'!$B$52,L390&lt;='Config_v6'!$B$53,ISNUMBER('Calibrare_Linii'!E12),S390&lt;='Calibrare_Linii'!E12,SUM(AK390:AM390)&gt;0),"CANDIDATE","NO"))</x:f>
      </x:c>
      <x:c r="Y390" s="2" t="str">
        <x:f>IF(B390="","",IF(I390&lt;&gt;"READY","NOT RELEASED",IF(AND(X390="CANDIDATE",V390&gt;='Config_v6'!$B$51,W390="PASS",'Calibrare_Linii'!T12="VALIDATED",AND('Calibrare_Linii'!H12=C390,ISNUMBER('Calibrare_Linii'!J12),'Calibrare_Linii'!J12&lt;='Input_Meci'!G33)),"PASS",IF(X390="CANDIDATE","OOS PENDING","FAIL"))))</x:f>
      </x:c>
      <x:c r="Z390" s="2" t="str">
        <x:f>IF(B390="","",IF(I390&lt;&gt;"READY","",IF(OR(NOT(AND(J390="PASS",'Calibrare_Linii'!U12="VALID")),L390&gt;'Config_v6'!$B$13,W390="WATCH"),5,IF(Y390="PASS",1,MIN(5,MAX('Config_v6'!$B$42,U390)+IF(W390="PENALTY",1,0))))))</x:f>
      </x:c>
      <x:c r="AA390" s="2" t="str">
        <x:f>IF(B390="","",IF(I390&lt;&gt;"READY","NOT RELEASED",IF(Z390=5,"NO BET",IF(OR(AB390&lt;'Config_v6'!$B$16,V390&lt;'Config_v6'!$B$18),"WATCH",IF(Z390=1,"DEFENSIV",IF(Z390=2,"PRUDENT",IF(Z390=3,"MODERAT","RIDICAT")))))))</x:f>
      </x:c>
      <x:c r="AB390" s="10" t="str">
        <x:f>IF(N390="","",MIN(N390,1-S390))</x:f>
      </x:c>
      <x:c r="AC390" s="2" t="str">
        <x:f>IF(AD390&lt;&gt;1,"",COUNTIFS($Z$384:$Z$397,"&lt;"&amp;Z390,$AD$384:$AD$397,1)+COUNTIFS($Z$384:$Z$397,Z390,$AB$384:$AB$397,"&gt;"&amp;AB390,$AD$384:$AD$397,1)+COUNTIFS($Z$384:$Z$397,Z390,$AB$384:$AB$397,AB390,$V$384:$V$397,"&gt;"&amp;V390,$AD$384:$AD$397,1)+COUNTIFS($Z$384:Z390,Z390,$AB$384:AB390,AB390,$V$384:V390,V390,$AD$384:AD390,1))</x:f>
      </x:c>
      <x:c r="AD390" s="2" t="n">
        <x:f>IF(OR(AA390="DEFENSIV",AA390="PRUDENT",AA390="MODERAT",AA390="RIDICAT"),1,0)</x:f>
        <x:v>0</x:v>
      </x:c>
      <x:c r="AE390" s="2" t="str">
        <x:f>IF(AD390&lt;&gt;1,"NO",IF(W390="PASS","YES",IF(W390="OOS PENDING","CONDITIONAL","NO")))</x:f>
        <x:v>NO</x:v>
      </x:c>
      <x:c r="AF390" s="2" t="n">
        <x:f>IF(AND(AD390=1,AC390=1,E390="LIVE"),1,0)</x:f>
        <x:v>0</x:v>
      </x:c>
      <x:c r="AG390" s="2" t="str">
        <x:f>IF(AF390&lt;&gt;1,"",'Dashboard'!P53)</x:f>
      </x:c>
      <x:c r="AH390" s="2" t="str">
        <x:f>IF(B390="","",IF(J390&lt;&gt;"PASS",'Motor_Meciuri'!J33,IF('Calibrare_Linii'!U12&lt;&gt;"VALID","Parametri linie invalizi",IF(L390&gt;'Config_v6'!$B$13,"Dispersie peste limita",IF(W390="WATCH","Failure peste limita",IF(AB390&lt;'Config_v6'!$B$16,"P finala sub prag",IF(V390&lt;'Config_v6'!$B$18,"Confidence sub prag",IF(E390="REPLAY","Exemplu retrospectiv; exclus din Top LIVE",IF(Y390="PASS","DEFENSIV validat",IF(W390="OOS PENDING","Eligibil; calibrare linie in monitorizare","Eligibil"))))))))))</x:f>
      </x:c>
      <x:c r="AI390" s="2" t="str">
        <x:f>IF(B390="","",'Calibrare_Linii'!V12)</x:f>
      </x:c>
      <x:c r="AJ390" s="2" t="str">
        <x:f>IF(B390="","",IF(AND('Calibrare_Linii'!T12="VALIDATED",AND('Calibrare_Linii'!H12=C390,ISNUMBER('Calibrare_Linii'!J12),'Calibrare_Linii'!J12&lt;='Input_Meci'!G33)),"DEFENSIVE VALIDATED",IF(AND('Calibrare_Linii'!S12="VALIDATED",AND('Calibrare_Linii'!H12=C390,ISNUMBER('Calibrare_Linii'!J12),'Calibrare_Linii'!J12&lt;='Input_Meci'!G33)),"TAIL VALIDATED","OOS PENDING")))</x:f>
      </x:c>
      <x:c r="AK390" s="2" t="n">
        <x:f>IF(J390&lt;&gt;"PASS",0,'Motor_Meciuri'!BR33)</x:f>
        <x:v>0</x:v>
      </x:c>
      <x:c r="AL390" s="2" t="n">
        <x:f>IF(J390&lt;&gt;"PASS",0,'Motor_Meciuri'!BS33)</x:f>
        <x:v>0</x:v>
      </x:c>
      <x:c r="AM390" s="2" t="n">
        <x:f>IF(J390&lt;&gt;"PASS",0,'Motor_Meciuri'!BT33)</x:f>
        <x:v>0</x:v>
      </x:c>
      <x:c r="AN390" s="2" t="str">
        <x:f>IF(M390="","",MAX(0,'Motor_Meciuri'!BF33-IF(L390&gt;'Config_v6'!$B$12,'Config_v6'!$B$37,IF(L390&gt;'Config_v6'!$B$11,'Config_v6'!$B$36,0))))</x:f>
      </x:c>
    </x:row>
    <x:row r="391" ht="21" customHeight="1">
      <x:c r="A391" s="2" t="n">
        <x:v>28</x:v>
      </x:c>
      <x:c r="B391" s="2" t="str">
        <x:f>IF('Motor_Meciuri'!A33="","",'Motor_Meciuri'!A33)</x:f>
      </x:c>
      <x:c r="C391" s="2" t="str">
        <x:f>IF(B391="","",'Motor_Meciuri'!B33)</x:f>
      </x:c>
      <x:c r="D391" s="2" t="str">
        <x:f>IF(B391="","",'Motor_Meciuri'!D33)</x:f>
      </x:c>
      <x:c r="E391" s="2" t="str">
        <x:f>IF(B391="","",'Motor_Meciuri'!E33)</x:f>
      </x:c>
      <x:c r="F391" s="2" t="str">
        <x:v>U11,5</x:v>
      </x:c>
      <x:c r="G391" s="2" t="str">
        <x:v>UNDER</x:v>
      </x:c>
      <x:c r="H391" s="2" t="n">
        <x:v>11</x:v>
      </x:c>
      <x:c r="I391" s="2" t="str">
        <x:f>IF(B391="","",'Motor_Meciuri'!H33)</x:f>
      </x:c>
      <x:c r="J391" s="2" t="str">
        <x:f>IF(B391="","",'Motor_Meciuri'!I33)</x:f>
      </x:c>
      <x:c r="K391" s="11" t="str">
        <x:f>IF(J391&lt;&gt;"PASS","",'Motor_Meciuri'!BD33)</x:f>
      </x:c>
      <x:c r="L391" s="11" t="str">
        <x:f>IF(J391&lt;&gt;"PASS","",'Motor_Meciuri'!AU33)</x:f>
      </x:c>
      <x:c r="M391" s="10" t="str">
        <x:f>IF(NOT(AND(J391="PASS",'Calibrare_Linii'!U13="VALID")),"",'Distributie'!AI33)</x:f>
      </x:c>
      <x:c r="N391" s="10" t="str">
        <x:f>IF(M391="","",MAX(0.01,MIN(0.99,0.5+(M391-0.5)*'Motor_Meciuri'!BG33*'Calibrare_Linii'!D13)))</x:f>
      </x:c>
      <x:c r="O391" s="10" t="str">
        <x:f>IF(M391="","",1-M391)</x:f>
      </x:c>
      <x:c r="P391" s="10" t="str">
        <x:f>IF(OR(NOT(AND(J391="PASS",'Calibrare_Linii'!U13="VALID")),AK391=0),""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*('Istoric_Nativ'!$Q$6:$Q$405&gt;H391))/AK391)</x:f>
      </x:c>
      <x:c r="Q391" s="10" t="str">
        <x:f>IF(OR(NOT(AND(J391="PASS",'Calibrare_Linii'!U13="VALID")),AL391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M33)+((('Istoric_Nativ'!$E$6:$E$405='Input_Meci'!E33)+('Istoric_Nativ'!$F$6:$F$405='Input_Meci'!E33))&gt;0)*('Istoric_Nativ'!$D$6:$D$405&gt;='Motor_Meciuri'!BN33))&gt;0)*('Istoric_Nativ'!$Q$6:$Q$405&gt;H391))/AL391)</x:f>
      </x:c>
      <x:c r="R391" s="10" t="str">
        <x:f>IF(OR(NOT(AND(J391="PASS",'Calibrare_Linii'!U13="VALID")),AM391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O33)+((('Istoric_Nativ'!$E$6:$E$405='Input_Meci'!E33)+('Istoric_Nativ'!$F$6:$F$405='Input_Meci'!E33))&gt;0)*('Istoric_Nativ'!$D$6:$D$405&gt;='Motor_Meciuri'!BP33))&gt;0)*('Istoric_Nativ'!$Q$6:$Q$405&gt;H391))/AM391)</x:f>
      </x:c>
      <x:c r="S391" s="10" t="str">
        <x:f>IF(M391="","",MAX(O391,P391,Q391,R391))</x:f>
      </x:c>
      <x:c r="T391" s="11" t="str">
        <x:f>IF(M391="","",MIN(100,S391*100*'Config_v6'!$B$44+MIN(100,L391/'Config_v6'!$B$13*100)*'Config_v6'!$B$45+(100-'Motor_Meciuri'!BF33)*'Config_v6'!$B$46+'Motor_Meciuri'!BH33*100*'Config_v6'!$B$47))</x:f>
      </x:c>
      <x:c r="U391" s="2" t="str">
        <x:f>IF(T391="","",IF(T391&lt;=20,1,IF(T391&lt;=40,2,IF(T391&lt;=60,3,IF(T391&lt;=80,4,5)))))</x:f>
      </x:c>
      <x:c r="V391" s="2" t="str">
        <x:f>IF(M391="","",MAX(0,'Motor_Meciuri'!BF33-IF(W391="OOS PENDING",'Config_v6'!$B$35,0)-IF(L391&gt;'Config_v6'!$B$12,'Config_v6'!$B$37,IF(L391&gt;'Config_v6'!$B$11,'Config_v6'!$B$36,0))))</x:f>
      </x:c>
      <x:c r="W391" s="2" t="str">
        <x:f>IF(B391="","",IF(I391&lt;&gt;"READY","NOT RELEASED",IF(NOT(AND(J391="PASS",'Calibrare_Linii'!U13="VALID")),"INVALID",IF(NOT(AND('Calibrare_Linii'!S13="VALIDATED",AND('Calibrare_Linii'!H13=C391,ISNUMBER('Calibrare_Linii'!J13),'Calibrare_Linii'!J13&lt;='Input_Meci'!G33))),"OOS PENDING",IF(S391&lt;='Calibrare_Linii'!E13,"PASS",IF(S391&lt;='Calibrare_Linii'!F13,"PENALTY","WATCH"))))))</x:f>
      </x:c>
      <x:c r="X391" s="2" t="str">
        <x:f>IF(M391="","",IF(AND(AND(J391="PASS",'Calibrare_Linii'!U13="VALID"),'Motor_Meciuri'!K33=12,'Motor_Meciuri'!L33=12,'Motor_Meciuri'!M33="NO",'Motor_Meciuri'!BL33='Motor_Meciuri'!C33,AB391&gt;='Config_v6'!$B$50,AN391&gt;='Config_v6'!$B$51,T391&lt;='Config_v6'!$B$52,L391&lt;='Config_v6'!$B$53,ISNUMBER('Calibrare_Linii'!E13),S391&lt;='Calibrare_Linii'!E13,SUM(AK391:AM391)&gt;0),"CANDIDATE","NO"))</x:f>
      </x:c>
      <x:c r="Y391" s="2" t="str">
        <x:f>IF(B391="","",IF(I391&lt;&gt;"READY","NOT RELEASED",IF(AND(X391="CANDIDATE",V391&gt;='Config_v6'!$B$51,W391="PASS",'Calibrare_Linii'!T13="VALIDATED",AND('Calibrare_Linii'!H13=C391,ISNUMBER('Calibrare_Linii'!J13),'Calibrare_Linii'!J13&lt;='Input_Meci'!G33)),"PASS",IF(X391="CANDIDATE","OOS PENDING","FAIL"))))</x:f>
      </x:c>
      <x:c r="Z391" s="2" t="str">
        <x:f>IF(B391="","",IF(I391&lt;&gt;"READY","",IF(OR(NOT(AND(J391="PASS",'Calibrare_Linii'!U13="VALID")),L391&gt;'Config_v6'!$B$13,W391="WATCH"),5,IF(Y391="PASS",1,MIN(5,MAX('Config_v6'!$B$42,U391)+IF(W391="PENALTY",1,0))))))</x:f>
      </x:c>
      <x:c r="AA391" s="2" t="str">
        <x:f>IF(B391="","",IF(I391&lt;&gt;"READY","NOT RELEASED",IF(Z391=5,"NO BET",IF(OR(AB391&lt;'Config_v6'!$B$16,V391&lt;'Config_v6'!$B$18),"WATCH",IF(Z391=1,"DEFENSIV",IF(Z391=2,"PRUDENT",IF(Z391=3,"MODERAT","RIDICAT")))))))</x:f>
      </x:c>
      <x:c r="AB391" s="10" t="str">
        <x:f>IF(N391="","",MIN(N391,1-S391))</x:f>
      </x:c>
      <x:c r="AC391" s="2" t="str">
        <x:f>IF(AD391&lt;&gt;1,"",COUNTIFS($Z$384:$Z$397,"&lt;"&amp;Z391,$AD$384:$AD$397,1)+COUNTIFS($Z$384:$Z$397,Z391,$AB$384:$AB$397,"&gt;"&amp;AB391,$AD$384:$AD$397,1)+COUNTIFS($Z$384:$Z$397,Z391,$AB$384:$AB$397,AB391,$V$384:$V$397,"&gt;"&amp;V391,$AD$384:$AD$397,1)+COUNTIFS($Z$384:Z391,Z391,$AB$384:AB391,AB391,$V$384:V391,V391,$AD$384:AD391,1))</x:f>
      </x:c>
      <x:c r="AD391" s="2" t="n">
        <x:f>IF(OR(AA391="DEFENSIV",AA391="PRUDENT",AA391="MODERAT",AA391="RIDICAT"),1,0)</x:f>
        <x:v>0</x:v>
      </x:c>
      <x:c r="AE391" s="2" t="str">
        <x:f>IF(AD391&lt;&gt;1,"NO",IF(W391="PASS","YES",IF(W391="OOS PENDING","CONDITIONAL","NO")))</x:f>
        <x:v>NO</x:v>
      </x:c>
      <x:c r="AF391" s="2" t="n">
        <x:f>IF(AND(AD391=1,AC391=1,E391="LIVE"),1,0)</x:f>
        <x:v>0</x:v>
      </x:c>
      <x:c r="AG391" s="2" t="str">
        <x:f>IF(AF391&lt;&gt;1,"",'Dashboard'!P53)</x:f>
      </x:c>
      <x:c r="AH391" s="2" t="str">
        <x:f>IF(B391="","",IF(J391&lt;&gt;"PASS",'Motor_Meciuri'!J33,IF('Calibrare_Linii'!U13&lt;&gt;"VALID","Parametri linie invalizi",IF(L391&gt;'Config_v6'!$B$13,"Dispersie peste limita",IF(W391="WATCH","Failure peste limita",IF(AB391&lt;'Config_v6'!$B$16,"P finala sub prag",IF(V391&lt;'Config_v6'!$B$18,"Confidence sub prag",IF(E391="REPLAY","Exemplu retrospectiv; exclus din Top LIVE",IF(Y391="PASS","DEFENSIV validat",IF(W391="OOS PENDING","Eligibil; calibrare linie in monitorizare","Eligibil"))))))))))</x:f>
      </x:c>
      <x:c r="AI391" s="2" t="str">
        <x:f>IF(B391="","",'Calibrare_Linii'!V13)</x:f>
      </x:c>
      <x:c r="AJ391" s="2" t="str">
        <x:f>IF(B391="","",IF(AND('Calibrare_Linii'!T13="VALIDATED",AND('Calibrare_Linii'!H13=C391,ISNUMBER('Calibrare_Linii'!J13),'Calibrare_Linii'!J13&lt;='Input_Meci'!G33)),"DEFENSIVE VALIDATED",IF(AND('Calibrare_Linii'!S13="VALIDATED",AND('Calibrare_Linii'!H13=C391,ISNUMBER('Calibrare_Linii'!J13),'Calibrare_Linii'!J13&lt;='Input_Meci'!G33)),"TAIL VALIDATED","OOS PENDING")))</x:f>
      </x:c>
      <x:c r="AK391" s="2" t="n">
        <x:f>IF(J391&lt;&gt;"PASS",0,'Motor_Meciuri'!BR33)</x:f>
        <x:v>0</x:v>
      </x:c>
      <x:c r="AL391" s="2" t="n">
        <x:f>IF(J391&lt;&gt;"PASS",0,'Motor_Meciuri'!BS33)</x:f>
        <x:v>0</x:v>
      </x:c>
      <x:c r="AM391" s="2" t="n">
        <x:f>IF(J391&lt;&gt;"PASS",0,'Motor_Meciuri'!BT33)</x:f>
        <x:v>0</x:v>
      </x:c>
      <x:c r="AN391" s="2" t="str">
        <x:f>IF(M391="","",MAX(0,'Motor_Meciuri'!BF33-IF(L391&gt;'Config_v6'!$B$12,'Config_v6'!$B$37,IF(L391&gt;'Config_v6'!$B$11,'Config_v6'!$B$36,0))))</x:f>
      </x:c>
    </x:row>
    <x:row r="392" ht="21" customHeight="1">
      <x:c r="A392" s="2" t="n">
        <x:v>28</x:v>
      </x:c>
      <x:c r="B392" s="2" t="str">
        <x:f>IF('Motor_Meciuri'!A33="","",'Motor_Meciuri'!A33)</x:f>
      </x:c>
      <x:c r="C392" s="2" t="str">
        <x:f>IF(B392="","",'Motor_Meciuri'!B33)</x:f>
      </x:c>
      <x:c r="D392" s="2" t="str">
        <x:f>IF(B392="","",'Motor_Meciuri'!D33)</x:f>
      </x:c>
      <x:c r="E392" s="2" t="str">
        <x:f>IF(B392="","",'Motor_Meciuri'!E33)</x:f>
      </x:c>
      <x:c r="F392" s="2" t="str">
        <x:v>U12,5</x:v>
      </x:c>
      <x:c r="G392" s="2" t="str">
        <x:v>UNDER</x:v>
      </x:c>
      <x:c r="H392" s="2" t="n">
        <x:v>12</x:v>
      </x:c>
      <x:c r="I392" s="2" t="str">
        <x:f>IF(B392="","",'Motor_Meciuri'!H33)</x:f>
      </x:c>
      <x:c r="J392" s="2" t="str">
        <x:f>IF(B392="","",'Motor_Meciuri'!I33)</x:f>
      </x:c>
      <x:c r="K392" s="11" t="str">
        <x:f>IF(J392&lt;&gt;"PASS","",'Motor_Meciuri'!BD33)</x:f>
      </x:c>
      <x:c r="L392" s="11" t="str">
        <x:f>IF(J392&lt;&gt;"PASS","",'Motor_Meciuri'!AU33)</x:f>
      </x:c>
      <x:c r="M392" s="10" t="str">
        <x:f>IF(NOT(AND(J392="PASS",'Calibrare_Linii'!U14="VALID")),"",'Distributie'!AJ33)</x:f>
      </x:c>
      <x:c r="N392" s="10" t="str">
        <x:f>IF(M392="","",MAX(0.01,MIN(0.99,0.5+(M392-0.5)*'Motor_Meciuri'!BG33*'Calibrare_Linii'!D14)))</x:f>
      </x:c>
      <x:c r="O392" s="10" t="str">
        <x:f>IF(M392="","",1-M392)</x:f>
      </x:c>
      <x:c r="P392" s="10" t="str">
        <x:f>IF(OR(NOT(AND(J392="PASS",'Calibrare_Linii'!U14="VALID")),AK392=0),""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*('Istoric_Nativ'!$Q$6:$Q$405&gt;H392))/AK392)</x:f>
      </x:c>
      <x:c r="Q392" s="10" t="str">
        <x:f>IF(OR(NOT(AND(J392="PASS",'Calibrare_Linii'!U14="VALID")),AL392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M33)+((('Istoric_Nativ'!$E$6:$E$405='Input_Meci'!E33)+('Istoric_Nativ'!$F$6:$F$405='Input_Meci'!E33))&gt;0)*('Istoric_Nativ'!$D$6:$D$405&gt;='Motor_Meciuri'!BN33))&gt;0)*('Istoric_Nativ'!$Q$6:$Q$405&gt;H392))/AL392)</x:f>
      </x:c>
      <x:c r="R392" s="10" t="str">
        <x:f>IF(OR(NOT(AND(J392="PASS",'Calibrare_Linii'!U14="VALID")),AM392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O33)+((('Istoric_Nativ'!$E$6:$E$405='Input_Meci'!E33)+('Istoric_Nativ'!$F$6:$F$405='Input_Meci'!E33))&gt;0)*('Istoric_Nativ'!$D$6:$D$405&gt;='Motor_Meciuri'!BP33))&gt;0)*('Istoric_Nativ'!$Q$6:$Q$405&gt;H392))/AM392)</x:f>
      </x:c>
      <x:c r="S392" s="10" t="str">
        <x:f>IF(M392="","",MAX(O392,P392,Q392,R392))</x:f>
      </x:c>
      <x:c r="T392" s="11" t="str">
        <x:f>IF(M392="","",MIN(100,S392*100*'Config_v6'!$B$44+MIN(100,L392/'Config_v6'!$B$13*100)*'Config_v6'!$B$45+(100-'Motor_Meciuri'!BF33)*'Config_v6'!$B$46+'Motor_Meciuri'!BH33*100*'Config_v6'!$B$47))</x:f>
      </x:c>
      <x:c r="U392" s="2" t="str">
        <x:f>IF(T392="","",IF(T392&lt;=20,1,IF(T392&lt;=40,2,IF(T392&lt;=60,3,IF(T392&lt;=80,4,5)))))</x:f>
      </x:c>
      <x:c r="V392" s="2" t="str">
        <x:f>IF(M392="","",MAX(0,'Motor_Meciuri'!BF33-IF(W392="OOS PENDING",'Config_v6'!$B$35,0)-IF(L392&gt;'Config_v6'!$B$12,'Config_v6'!$B$37,IF(L392&gt;'Config_v6'!$B$11,'Config_v6'!$B$36,0))))</x:f>
      </x:c>
      <x:c r="W392" s="2" t="str">
        <x:f>IF(B392="","",IF(I392&lt;&gt;"READY","NOT RELEASED",IF(NOT(AND(J392="PASS",'Calibrare_Linii'!U14="VALID")),"INVALID",IF(NOT(AND('Calibrare_Linii'!S14="VALIDATED",AND('Calibrare_Linii'!H14=C392,ISNUMBER('Calibrare_Linii'!J14),'Calibrare_Linii'!J14&lt;='Input_Meci'!G33))),"OOS PENDING",IF(S392&lt;='Calibrare_Linii'!E14,"PASS",IF(S392&lt;='Calibrare_Linii'!F14,"PENALTY","WATCH"))))))</x:f>
      </x:c>
      <x:c r="X392" s="2" t="str">
        <x:f>IF(M392="","",IF(AND(AND(J392="PASS",'Calibrare_Linii'!U14="VALID"),'Motor_Meciuri'!K33=12,'Motor_Meciuri'!L33=12,'Motor_Meciuri'!M33="NO",'Motor_Meciuri'!BL33='Motor_Meciuri'!C33,AB392&gt;='Config_v6'!$B$50,AN392&gt;='Config_v6'!$B$51,T392&lt;='Config_v6'!$B$52,L392&lt;='Config_v6'!$B$53,ISNUMBER('Calibrare_Linii'!E14),S392&lt;='Calibrare_Linii'!E14,SUM(AK392:AM392)&gt;0),"CANDIDATE","NO"))</x:f>
      </x:c>
      <x:c r="Y392" s="2" t="str">
        <x:f>IF(B392="","",IF(I392&lt;&gt;"READY","NOT RELEASED",IF(AND(X392="CANDIDATE",V392&gt;='Config_v6'!$B$51,W392="PASS",'Calibrare_Linii'!T14="VALIDATED",AND('Calibrare_Linii'!H14=C392,ISNUMBER('Calibrare_Linii'!J14),'Calibrare_Linii'!J14&lt;='Input_Meci'!G33)),"PASS",IF(X392="CANDIDATE","OOS PENDING","FAIL"))))</x:f>
      </x:c>
      <x:c r="Z392" s="2" t="str">
        <x:f>IF(B392="","",IF(I392&lt;&gt;"READY","",IF(OR(NOT(AND(J392="PASS",'Calibrare_Linii'!U14="VALID")),L392&gt;'Config_v6'!$B$13,W392="WATCH"),5,IF(Y392="PASS",1,MIN(5,MAX('Config_v6'!$B$42,U392)+IF(W392="PENALTY",1,0))))))</x:f>
      </x:c>
      <x:c r="AA392" s="2" t="str">
        <x:f>IF(B392="","",IF(I392&lt;&gt;"READY","NOT RELEASED",IF(Z392=5,"NO BET",IF(OR(AB392&lt;'Config_v6'!$B$16,V392&lt;'Config_v6'!$B$18),"WATCH",IF(Z392=1,"DEFENSIV",IF(Z392=2,"PRUDENT",IF(Z392=3,"MODERAT","RIDICAT")))))))</x:f>
      </x:c>
      <x:c r="AB392" s="10" t="str">
        <x:f>IF(N392="","",MIN(N392,1-S392))</x:f>
      </x:c>
      <x:c r="AC392" s="2" t="str">
        <x:f>IF(AD392&lt;&gt;1,"",COUNTIFS($Z$384:$Z$397,"&lt;"&amp;Z392,$AD$384:$AD$397,1)+COUNTIFS($Z$384:$Z$397,Z392,$AB$384:$AB$397,"&gt;"&amp;AB392,$AD$384:$AD$397,1)+COUNTIFS($Z$384:$Z$397,Z392,$AB$384:$AB$397,AB392,$V$384:$V$397,"&gt;"&amp;V392,$AD$384:$AD$397,1)+COUNTIFS($Z$384:Z392,Z392,$AB$384:AB392,AB392,$V$384:V392,V392,$AD$384:AD392,1))</x:f>
      </x:c>
      <x:c r="AD392" s="2" t="n">
        <x:f>IF(OR(AA392="DEFENSIV",AA392="PRUDENT",AA392="MODERAT",AA392="RIDICAT"),1,0)</x:f>
        <x:v>0</x:v>
      </x:c>
      <x:c r="AE392" s="2" t="str">
        <x:f>IF(AD392&lt;&gt;1,"NO",IF(W392="PASS","YES",IF(W392="OOS PENDING","CONDITIONAL","NO")))</x:f>
        <x:v>NO</x:v>
      </x:c>
      <x:c r="AF392" s="2" t="n">
        <x:f>IF(AND(AD392=1,AC392=1,E392="LIVE"),1,0)</x:f>
        <x:v>0</x:v>
      </x:c>
      <x:c r="AG392" s="2" t="str">
        <x:f>IF(AF392&lt;&gt;1,"",'Dashboard'!P53)</x:f>
      </x:c>
      <x:c r="AH392" s="2" t="str">
        <x:f>IF(B392="","",IF(J392&lt;&gt;"PASS",'Motor_Meciuri'!J33,IF('Calibrare_Linii'!U14&lt;&gt;"VALID","Parametri linie invalizi",IF(L392&gt;'Config_v6'!$B$13,"Dispersie peste limita",IF(W392="WATCH","Failure peste limita",IF(AB392&lt;'Config_v6'!$B$16,"P finala sub prag",IF(V392&lt;'Config_v6'!$B$18,"Confidence sub prag",IF(E392="REPLAY","Exemplu retrospectiv; exclus din Top LIVE",IF(Y392="PASS","DEFENSIV validat",IF(W392="OOS PENDING","Eligibil; calibrare linie in monitorizare","Eligibil"))))))))))</x:f>
      </x:c>
      <x:c r="AI392" s="2" t="str">
        <x:f>IF(B392="","",'Calibrare_Linii'!V14)</x:f>
      </x:c>
      <x:c r="AJ392" s="2" t="str">
        <x:f>IF(B392="","",IF(AND('Calibrare_Linii'!T14="VALIDATED",AND('Calibrare_Linii'!H14=C392,ISNUMBER('Calibrare_Linii'!J14),'Calibrare_Linii'!J14&lt;='Input_Meci'!G33)),"DEFENSIVE VALIDATED",IF(AND('Calibrare_Linii'!S14="VALIDATED",AND('Calibrare_Linii'!H14=C392,ISNUMBER('Calibrare_Linii'!J14),'Calibrare_Linii'!J14&lt;='Input_Meci'!G33)),"TAIL VALIDATED","OOS PENDING")))</x:f>
      </x:c>
      <x:c r="AK392" s="2" t="n">
        <x:f>IF(J392&lt;&gt;"PASS",0,'Motor_Meciuri'!BR33)</x:f>
        <x:v>0</x:v>
      </x:c>
      <x:c r="AL392" s="2" t="n">
        <x:f>IF(J392&lt;&gt;"PASS",0,'Motor_Meciuri'!BS33)</x:f>
        <x:v>0</x:v>
      </x:c>
      <x:c r="AM392" s="2" t="n">
        <x:f>IF(J392&lt;&gt;"PASS",0,'Motor_Meciuri'!BT33)</x:f>
        <x:v>0</x:v>
      </x:c>
      <x:c r="AN392" s="2" t="str">
        <x:f>IF(M392="","",MAX(0,'Motor_Meciuri'!BF33-IF(L392&gt;'Config_v6'!$B$12,'Config_v6'!$B$37,IF(L392&gt;'Config_v6'!$B$11,'Config_v6'!$B$36,0))))</x:f>
      </x:c>
    </x:row>
    <x:row r="393" ht="21" customHeight="1">
      <x:c r="A393" s="2" t="n">
        <x:v>28</x:v>
      </x:c>
      <x:c r="B393" s="2" t="str">
        <x:f>IF('Motor_Meciuri'!A33="","",'Motor_Meciuri'!A33)</x:f>
      </x:c>
      <x:c r="C393" s="2" t="str">
        <x:f>IF(B393="","",'Motor_Meciuri'!B33)</x:f>
      </x:c>
      <x:c r="D393" s="2" t="str">
        <x:f>IF(B393="","",'Motor_Meciuri'!D33)</x:f>
      </x:c>
      <x:c r="E393" s="2" t="str">
        <x:f>IF(B393="","",'Motor_Meciuri'!E33)</x:f>
      </x:c>
      <x:c r="F393" s="2" t="str">
        <x:v>U13,5</x:v>
      </x:c>
      <x:c r="G393" s="2" t="str">
        <x:v>UNDER</x:v>
      </x:c>
      <x:c r="H393" s="2" t="n">
        <x:v>13</x:v>
      </x:c>
      <x:c r="I393" s="2" t="str">
        <x:f>IF(B393="","",'Motor_Meciuri'!H33)</x:f>
      </x:c>
      <x:c r="J393" s="2" t="str">
        <x:f>IF(B393="","",'Motor_Meciuri'!I33)</x:f>
      </x:c>
      <x:c r="K393" s="11" t="str">
        <x:f>IF(J393&lt;&gt;"PASS","",'Motor_Meciuri'!BD33)</x:f>
      </x:c>
      <x:c r="L393" s="11" t="str">
        <x:f>IF(J393&lt;&gt;"PASS","",'Motor_Meciuri'!AU33)</x:f>
      </x:c>
      <x:c r="M393" s="10" t="str">
        <x:f>IF(NOT(AND(J393="PASS",'Calibrare_Linii'!U15="VALID")),"",'Distributie'!AK33)</x:f>
      </x:c>
      <x:c r="N393" s="10" t="str">
        <x:f>IF(M393="","",MAX(0.01,MIN(0.99,0.5+(M393-0.5)*'Motor_Meciuri'!BG33*'Calibrare_Linii'!D15)))</x:f>
      </x:c>
      <x:c r="O393" s="10" t="str">
        <x:f>IF(M393="","",1-M393)</x:f>
      </x:c>
      <x:c r="P393" s="10" t="str">
        <x:f>IF(OR(NOT(AND(J393="PASS",'Calibrare_Linii'!U15="VALID")),AK393=0),""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*('Istoric_Nativ'!$Q$6:$Q$405&gt;H393))/AK393)</x:f>
      </x:c>
      <x:c r="Q393" s="10" t="str">
        <x:f>IF(OR(NOT(AND(J393="PASS",'Calibrare_Linii'!U15="VALID")),AL393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M33)+((('Istoric_Nativ'!$E$6:$E$405='Input_Meci'!E33)+('Istoric_Nativ'!$F$6:$F$405='Input_Meci'!E33))&gt;0)*('Istoric_Nativ'!$D$6:$D$405&gt;='Motor_Meciuri'!BN33))&gt;0)*('Istoric_Nativ'!$Q$6:$Q$405&gt;H393))/AL393)</x:f>
      </x:c>
      <x:c r="R393" s="10" t="str">
        <x:f>IF(OR(NOT(AND(J393="PASS",'Calibrare_Linii'!U15="VALID")),AM393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O33)+((('Istoric_Nativ'!$E$6:$E$405='Input_Meci'!E33)+('Istoric_Nativ'!$F$6:$F$405='Input_Meci'!E33))&gt;0)*('Istoric_Nativ'!$D$6:$D$405&gt;='Motor_Meciuri'!BP33))&gt;0)*('Istoric_Nativ'!$Q$6:$Q$405&gt;H393))/AM393)</x:f>
      </x:c>
      <x:c r="S393" s="10" t="str">
        <x:f>IF(M393="","",MAX(O393,P393,Q393,R393))</x:f>
      </x:c>
      <x:c r="T393" s="11" t="str">
        <x:f>IF(M393="","",MIN(100,S393*100*'Config_v6'!$B$44+MIN(100,L393/'Config_v6'!$B$13*100)*'Config_v6'!$B$45+(100-'Motor_Meciuri'!BF33)*'Config_v6'!$B$46+'Motor_Meciuri'!BH33*100*'Config_v6'!$B$47))</x:f>
      </x:c>
      <x:c r="U393" s="2" t="str">
        <x:f>IF(T393="","",IF(T393&lt;=20,1,IF(T393&lt;=40,2,IF(T393&lt;=60,3,IF(T393&lt;=80,4,5)))))</x:f>
      </x:c>
      <x:c r="V393" s="2" t="str">
        <x:f>IF(M393="","",MAX(0,'Motor_Meciuri'!BF33-IF(W393="OOS PENDING",'Config_v6'!$B$35,0)-IF(L393&gt;'Config_v6'!$B$12,'Config_v6'!$B$37,IF(L393&gt;'Config_v6'!$B$11,'Config_v6'!$B$36,0))))</x:f>
      </x:c>
      <x:c r="W393" s="2" t="str">
        <x:f>IF(B393="","",IF(I393&lt;&gt;"READY","NOT RELEASED",IF(NOT(AND(J393="PASS",'Calibrare_Linii'!U15="VALID")),"INVALID",IF(NOT(AND('Calibrare_Linii'!S15="VALIDATED",AND('Calibrare_Linii'!H15=C393,ISNUMBER('Calibrare_Linii'!J15),'Calibrare_Linii'!J15&lt;='Input_Meci'!G33))),"OOS PENDING",IF(S393&lt;='Calibrare_Linii'!E15,"PASS",IF(S393&lt;='Calibrare_Linii'!F15,"PENALTY","WATCH"))))))</x:f>
      </x:c>
      <x:c r="X393" s="2" t="str">
        <x:f>IF(M393="","",IF(AND(AND(J393="PASS",'Calibrare_Linii'!U15="VALID"),'Motor_Meciuri'!K33=12,'Motor_Meciuri'!L33=12,'Motor_Meciuri'!M33="NO",'Motor_Meciuri'!BL33='Motor_Meciuri'!C33,AB393&gt;='Config_v6'!$B$50,AN393&gt;='Config_v6'!$B$51,T393&lt;='Config_v6'!$B$52,L393&lt;='Config_v6'!$B$53,ISNUMBER('Calibrare_Linii'!E15),S393&lt;='Calibrare_Linii'!E15,SUM(AK393:AM393)&gt;0),"CANDIDATE","NO"))</x:f>
      </x:c>
      <x:c r="Y393" s="2" t="str">
        <x:f>IF(B393="","",IF(I393&lt;&gt;"READY","NOT RELEASED",IF(AND(X393="CANDIDATE",V393&gt;='Config_v6'!$B$51,W393="PASS",'Calibrare_Linii'!T15="VALIDATED",AND('Calibrare_Linii'!H15=C393,ISNUMBER('Calibrare_Linii'!J15),'Calibrare_Linii'!J15&lt;='Input_Meci'!G33)),"PASS",IF(X393="CANDIDATE","OOS PENDING","FAIL"))))</x:f>
      </x:c>
      <x:c r="Z393" s="2" t="str">
        <x:f>IF(B393="","",IF(I393&lt;&gt;"READY","",IF(OR(NOT(AND(J393="PASS",'Calibrare_Linii'!U15="VALID")),L393&gt;'Config_v6'!$B$13,W393="WATCH"),5,IF(Y393="PASS",1,MIN(5,MAX('Config_v6'!$B$42,U393)+IF(W393="PENALTY",1,0))))))</x:f>
      </x:c>
      <x:c r="AA393" s="2" t="str">
        <x:f>IF(B393="","",IF(I393&lt;&gt;"READY","NOT RELEASED",IF(Z393=5,"NO BET",IF(OR(AB393&lt;'Config_v6'!$B$16,V393&lt;'Config_v6'!$B$18),"WATCH",IF(Z393=1,"DEFENSIV",IF(Z393=2,"PRUDENT",IF(Z393=3,"MODERAT","RIDICAT")))))))</x:f>
      </x:c>
      <x:c r="AB393" s="10" t="str">
        <x:f>IF(N393="","",MIN(N393,1-S393))</x:f>
      </x:c>
      <x:c r="AC393" s="2" t="str">
        <x:f>IF(AD393&lt;&gt;1,"",COUNTIFS($Z$384:$Z$397,"&lt;"&amp;Z393,$AD$384:$AD$397,1)+COUNTIFS($Z$384:$Z$397,Z393,$AB$384:$AB$397,"&gt;"&amp;AB393,$AD$384:$AD$397,1)+COUNTIFS($Z$384:$Z$397,Z393,$AB$384:$AB$397,AB393,$V$384:$V$397,"&gt;"&amp;V393,$AD$384:$AD$397,1)+COUNTIFS($Z$384:Z393,Z393,$AB$384:AB393,AB393,$V$384:V393,V393,$AD$384:AD393,1))</x:f>
      </x:c>
      <x:c r="AD393" s="2" t="n">
        <x:f>IF(OR(AA393="DEFENSIV",AA393="PRUDENT",AA393="MODERAT",AA393="RIDICAT"),1,0)</x:f>
        <x:v>0</x:v>
      </x:c>
      <x:c r="AE393" s="2" t="str">
        <x:f>IF(AD393&lt;&gt;1,"NO",IF(W393="PASS","YES",IF(W393="OOS PENDING","CONDITIONAL","NO")))</x:f>
        <x:v>NO</x:v>
      </x:c>
      <x:c r="AF393" s="2" t="n">
        <x:f>IF(AND(AD393=1,AC393=1,E393="LIVE"),1,0)</x:f>
        <x:v>0</x:v>
      </x:c>
      <x:c r="AG393" s="2" t="str">
        <x:f>IF(AF393&lt;&gt;1,"",'Dashboard'!P53)</x:f>
      </x:c>
      <x:c r="AH393" s="2" t="str">
        <x:f>IF(B393="","",IF(J393&lt;&gt;"PASS",'Motor_Meciuri'!J33,IF('Calibrare_Linii'!U15&lt;&gt;"VALID","Parametri linie invalizi",IF(L393&gt;'Config_v6'!$B$13,"Dispersie peste limita",IF(W393="WATCH","Failure peste limita",IF(AB393&lt;'Config_v6'!$B$16,"P finala sub prag",IF(V393&lt;'Config_v6'!$B$18,"Confidence sub prag",IF(E393="REPLAY","Exemplu retrospectiv; exclus din Top LIVE",IF(Y393="PASS","DEFENSIV validat",IF(W393="OOS PENDING","Eligibil; calibrare linie in monitorizare","Eligibil"))))))))))</x:f>
      </x:c>
      <x:c r="AI393" s="2" t="str">
        <x:f>IF(B393="","",'Calibrare_Linii'!V15)</x:f>
      </x:c>
      <x:c r="AJ393" s="2" t="str">
        <x:f>IF(B393="","",IF(AND('Calibrare_Linii'!T15="VALIDATED",AND('Calibrare_Linii'!H15=C393,ISNUMBER('Calibrare_Linii'!J15),'Calibrare_Linii'!J15&lt;='Input_Meci'!G33)),"DEFENSIVE VALIDATED",IF(AND('Calibrare_Linii'!S15="VALIDATED",AND('Calibrare_Linii'!H15=C393,ISNUMBER('Calibrare_Linii'!J15),'Calibrare_Linii'!J15&lt;='Input_Meci'!G33)),"TAIL VALIDATED","OOS PENDING")))</x:f>
      </x:c>
      <x:c r="AK393" s="2" t="n">
        <x:f>IF(J393&lt;&gt;"PASS",0,'Motor_Meciuri'!BR33)</x:f>
        <x:v>0</x:v>
      </x:c>
      <x:c r="AL393" s="2" t="n">
        <x:f>IF(J393&lt;&gt;"PASS",0,'Motor_Meciuri'!BS33)</x:f>
        <x:v>0</x:v>
      </x:c>
      <x:c r="AM393" s="2" t="n">
        <x:f>IF(J393&lt;&gt;"PASS",0,'Motor_Meciuri'!BT33)</x:f>
        <x:v>0</x:v>
      </x:c>
      <x:c r="AN393" s="2" t="str">
        <x:f>IF(M393="","",MAX(0,'Motor_Meciuri'!BF33-IF(L393&gt;'Config_v6'!$B$12,'Config_v6'!$B$37,IF(L393&gt;'Config_v6'!$B$11,'Config_v6'!$B$36,0))))</x:f>
      </x:c>
    </x:row>
    <x:row r="394" ht="21" customHeight="1">
      <x:c r="A394" s="2" t="n">
        <x:v>28</x:v>
      </x:c>
      <x:c r="B394" s="2" t="str">
        <x:f>IF('Motor_Meciuri'!A33="","",'Motor_Meciuri'!A33)</x:f>
      </x:c>
      <x:c r="C394" s="2" t="str">
        <x:f>IF(B394="","",'Motor_Meciuri'!B33)</x:f>
      </x:c>
      <x:c r="D394" s="2" t="str">
        <x:f>IF(B394="","",'Motor_Meciuri'!D33)</x:f>
      </x:c>
      <x:c r="E394" s="2" t="str">
        <x:f>IF(B394="","",'Motor_Meciuri'!E33)</x:f>
      </x:c>
      <x:c r="F394" s="2" t="str">
        <x:v>U14,5</x:v>
      </x:c>
      <x:c r="G394" s="2" t="str">
        <x:v>UNDER</x:v>
      </x:c>
      <x:c r="H394" s="2" t="n">
        <x:v>14</x:v>
      </x:c>
      <x:c r="I394" s="2" t="str">
        <x:f>IF(B394="","",'Motor_Meciuri'!H33)</x:f>
      </x:c>
      <x:c r="J394" s="2" t="str">
        <x:f>IF(B394="","",'Motor_Meciuri'!I33)</x:f>
      </x:c>
      <x:c r="K394" s="11" t="str">
        <x:f>IF(J394&lt;&gt;"PASS","",'Motor_Meciuri'!BD33)</x:f>
      </x:c>
      <x:c r="L394" s="11" t="str">
        <x:f>IF(J394&lt;&gt;"PASS","",'Motor_Meciuri'!AU33)</x:f>
      </x:c>
      <x:c r="M394" s="10" t="str">
        <x:f>IF(NOT(AND(J394="PASS",'Calibrare_Linii'!U16="VALID")),"",'Distributie'!AL33)</x:f>
      </x:c>
      <x:c r="N394" s="10" t="str">
        <x:f>IF(M394="","",MAX(0.01,MIN(0.99,0.5+(M394-0.5)*'Motor_Meciuri'!BG33*'Calibrare_Linii'!D16)))</x:f>
      </x:c>
      <x:c r="O394" s="10" t="str">
        <x:f>IF(M394="","",1-M394)</x:f>
      </x:c>
      <x:c r="P394" s="10" t="str">
        <x:f>IF(OR(NOT(AND(J394="PASS",'Calibrare_Linii'!U16="VALID")),AK394=0),""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*('Istoric_Nativ'!$Q$6:$Q$405&gt;H394))/AK394)</x:f>
      </x:c>
      <x:c r="Q394" s="10" t="str">
        <x:f>IF(OR(NOT(AND(J394="PASS",'Calibrare_Linii'!U16="VALID")),AL394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M33)+((('Istoric_Nativ'!$E$6:$E$405='Input_Meci'!E33)+('Istoric_Nativ'!$F$6:$F$405='Input_Meci'!E33))&gt;0)*('Istoric_Nativ'!$D$6:$D$405&gt;='Motor_Meciuri'!BN33))&gt;0)*('Istoric_Nativ'!$Q$6:$Q$405&gt;H394))/AL394)</x:f>
      </x:c>
      <x:c r="R394" s="10" t="str">
        <x:f>IF(OR(NOT(AND(J394="PASS",'Calibrare_Linii'!U16="VALID")),AM394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O33)+((('Istoric_Nativ'!$E$6:$E$405='Input_Meci'!E33)+('Istoric_Nativ'!$F$6:$F$405='Input_Meci'!E33))&gt;0)*('Istoric_Nativ'!$D$6:$D$405&gt;='Motor_Meciuri'!BP33))&gt;0)*('Istoric_Nativ'!$Q$6:$Q$405&gt;H394))/AM394)</x:f>
      </x:c>
      <x:c r="S394" s="10" t="str">
        <x:f>IF(M394="","",MAX(O394,P394,Q394,R394))</x:f>
      </x:c>
      <x:c r="T394" s="11" t="str">
        <x:f>IF(M394="","",MIN(100,S394*100*'Config_v6'!$B$44+MIN(100,L394/'Config_v6'!$B$13*100)*'Config_v6'!$B$45+(100-'Motor_Meciuri'!BF33)*'Config_v6'!$B$46+'Motor_Meciuri'!BH33*100*'Config_v6'!$B$47))</x:f>
      </x:c>
      <x:c r="U394" s="2" t="str">
        <x:f>IF(T394="","",IF(T394&lt;=20,1,IF(T394&lt;=40,2,IF(T394&lt;=60,3,IF(T394&lt;=80,4,5)))))</x:f>
      </x:c>
      <x:c r="V394" s="2" t="str">
        <x:f>IF(M394="","",MAX(0,'Motor_Meciuri'!BF33-IF(W394="OOS PENDING",'Config_v6'!$B$35,0)-IF(L394&gt;'Config_v6'!$B$12,'Config_v6'!$B$37,IF(L394&gt;'Config_v6'!$B$11,'Config_v6'!$B$36,0))))</x:f>
      </x:c>
      <x:c r="W394" s="2" t="str">
        <x:f>IF(B394="","",IF(I394&lt;&gt;"READY","NOT RELEASED",IF(NOT(AND(J394="PASS",'Calibrare_Linii'!U16="VALID")),"INVALID",IF(NOT(AND('Calibrare_Linii'!S16="VALIDATED",AND('Calibrare_Linii'!H16=C394,ISNUMBER('Calibrare_Linii'!J16),'Calibrare_Linii'!J16&lt;='Input_Meci'!G33))),"OOS PENDING",IF(S394&lt;='Calibrare_Linii'!E16,"PASS",IF(S394&lt;='Calibrare_Linii'!F16,"PENALTY","WATCH"))))))</x:f>
      </x:c>
      <x:c r="X394" s="2" t="str">
        <x:f>IF(M394="","",IF(AND(AND(J394="PASS",'Calibrare_Linii'!U16="VALID"),'Motor_Meciuri'!K33=12,'Motor_Meciuri'!L33=12,'Motor_Meciuri'!M33="NO",'Motor_Meciuri'!BL33='Motor_Meciuri'!C33,AB394&gt;='Config_v6'!$B$50,AN394&gt;='Config_v6'!$B$51,T394&lt;='Config_v6'!$B$52,L394&lt;='Config_v6'!$B$53,ISNUMBER('Calibrare_Linii'!E16),S394&lt;='Calibrare_Linii'!E16,SUM(AK394:AM394)&gt;0),"CANDIDATE","NO"))</x:f>
      </x:c>
      <x:c r="Y394" s="2" t="str">
        <x:f>IF(B394="","",IF(I394&lt;&gt;"READY","NOT RELEASED",IF(AND(X394="CANDIDATE",V394&gt;='Config_v6'!$B$51,W394="PASS",'Calibrare_Linii'!T16="VALIDATED",AND('Calibrare_Linii'!H16=C394,ISNUMBER('Calibrare_Linii'!J16),'Calibrare_Linii'!J16&lt;='Input_Meci'!G33)),"PASS",IF(X394="CANDIDATE","OOS PENDING","FAIL"))))</x:f>
      </x:c>
      <x:c r="Z394" s="2" t="str">
        <x:f>IF(B394="","",IF(I394&lt;&gt;"READY","",IF(OR(NOT(AND(J394="PASS",'Calibrare_Linii'!U16="VALID")),L394&gt;'Config_v6'!$B$13,W394="WATCH"),5,IF(Y394="PASS",1,MIN(5,MAX('Config_v6'!$B$42,U394)+IF(W394="PENALTY",1,0))))))</x:f>
      </x:c>
      <x:c r="AA394" s="2" t="str">
        <x:f>IF(B394="","",IF(I394&lt;&gt;"READY","NOT RELEASED",IF(Z394=5,"NO BET",IF(OR(AB394&lt;'Config_v6'!$B$16,V394&lt;'Config_v6'!$B$18),"WATCH",IF(Z394=1,"DEFENSIV",IF(Z394=2,"PRUDENT",IF(Z394=3,"MODERAT","RIDICAT")))))))</x:f>
      </x:c>
      <x:c r="AB394" s="10" t="str">
        <x:f>IF(N394="","",MIN(N394,1-S394))</x:f>
      </x:c>
      <x:c r="AC394" s="2" t="str">
        <x:f>IF(AD394&lt;&gt;1,"",COUNTIFS($Z$384:$Z$397,"&lt;"&amp;Z394,$AD$384:$AD$397,1)+COUNTIFS($Z$384:$Z$397,Z394,$AB$384:$AB$397,"&gt;"&amp;AB394,$AD$384:$AD$397,1)+COUNTIFS($Z$384:$Z$397,Z394,$AB$384:$AB$397,AB394,$V$384:$V$397,"&gt;"&amp;V394,$AD$384:$AD$397,1)+COUNTIFS($Z$384:Z394,Z394,$AB$384:AB394,AB394,$V$384:V394,V394,$AD$384:AD394,1))</x:f>
      </x:c>
      <x:c r="AD394" s="2" t="n">
        <x:f>IF(OR(AA394="DEFENSIV",AA394="PRUDENT",AA394="MODERAT",AA394="RIDICAT"),1,0)</x:f>
        <x:v>0</x:v>
      </x:c>
      <x:c r="AE394" s="2" t="str">
        <x:f>IF(AD394&lt;&gt;1,"NO",IF(W394="PASS","YES",IF(W394="OOS PENDING","CONDITIONAL","NO")))</x:f>
        <x:v>NO</x:v>
      </x:c>
      <x:c r="AF394" s="2" t="n">
        <x:f>IF(AND(AD394=1,AC394=1,E394="LIVE"),1,0)</x:f>
        <x:v>0</x:v>
      </x:c>
      <x:c r="AG394" s="2" t="str">
        <x:f>IF(AF394&lt;&gt;1,"",'Dashboard'!P53)</x:f>
      </x:c>
      <x:c r="AH394" s="2" t="str">
        <x:f>IF(B394="","",IF(J394&lt;&gt;"PASS",'Motor_Meciuri'!J33,IF('Calibrare_Linii'!U16&lt;&gt;"VALID","Parametri linie invalizi",IF(L394&gt;'Config_v6'!$B$13,"Dispersie peste limita",IF(W394="WATCH","Failure peste limita",IF(AB394&lt;'Config_v6'!$B$16,"P finala sub prag",IF(V394&lt;'Config_v6'!$B$18,"Confidence sub prag",IF(E394="REPLAY","Exemplu retrospectiv; exclus din Top LIVE",IF(Y394="PASS","DEFENSIV validat",IF(W394="OOS PENDING","Eligibil; calibrare linie in monitorizare","Eligibil"))))))))))</x:f>
      </x:c>
      <x:c r="AI394" s="2" t="str">
        <x:f>IF(B394="","",'Calibrare_Linii'!V16)</x:f>
      </x:c>
      <x:c r="AJ394" s="2" t="str">
        <x:f>IF(B394="","",IF(AND('Calibrare_Linii'!T16="VALIDATED",AND('Calibrare_Linii'!H16=C394,ISNUMBER('Calibrare_Linii'!J16),'Calibrare_Linii'!J16&lt;='Input_Meci'!G33)),"DEFENSIVE VALIDATED",IF(AND('Calibrare_Linii'!S16="VALIDATED",AND('Calibrare_Linii'!H16=C394,ISNUMBER('Calibrare_Linii'!J16),'Calibrare_Linii'!J16&lt;='Input_Meci'!G33)),"TAIL VALIDATED","OOS PENDING")))</x:f>
      </x:c>
      <x:c r="AK394" s="2" t="n">
        <x:f>IF(J394&lt;&gt;"PASS",0,'Motor_Meciuri'!BR33)</x:f>
        <x:v>0</x:v>
      </x:c>
      <x:c r="AL394" s="2" t="n">
        <x:f>IF(J394&lt;&gt;"PASS",0,'Motor_Meciuri'!BS33)</x:f>
        <x:v>0</x:v>
      </x:c>
      <x:c r="AM394" s="2" t="n">
        <x:f>IF(J394&lt;&gt;"PASS",0,'Motor_Meciuri'!BT33)</x:f>
        <x:v>0</x:v>
      </x:c>
      <x:c r="AN394" s="2" t="str">
        <x:f>IF(M394="","",MAX(0,'Motor_Meciuri'!BF33-IF(L394&gt;'Config_v6'!$B$12,'Config_v6'!$B$37,IF(L394&gt;'Config_v6'!$B$11,'Config_v6'!$B$36,0))))</x:f>
      </x:c>
    </x:row>
    <x:row r="395" ht="21" customHeight="1">
      <x:c r="A395" s="2" t="n">
        <x:v>28</x:v>
      </x:c>
      <x:c r="B395" s="2" t="str">
        <x:f>IF('Motor_Meciuri'!A33="","",'Motor_Meciuri'!A33)</x:f>
      </x:c>
      <x:c r="C395" s="2" t="str">
        <x:f>IF(B395="","",'Motor_Meciuri'!B33)</x:f>
      </x:c>
      <x:c r="D395" s="2" t="str">
        <x:f>IF(B395="","",'Motor_Meciuri'!D33)</x:f>
      </x:c>
      <x:c r="E395" s="2" t="str">
        <x:f>IF(B395="","",'Motor_Meciuri'!E33)</x:f>
      </x:c>
      <x:c r="F395" s="2" t="str">
        <x:v>U15,5</x:v>
      </x:c>
      <x:c r="G395" s="2" t="str">
        <x:v>UNDER</x:v>
      </x:c>
      <x:c r="H395" s="2" t="n">
        <x:v>15</x:v>
      </x:c>
      <x:c r="I395" s="2" t="str">
        <x:f>IF(B395="","",'Motor_Meciuri'!H33)</x:f>
      </x:c>
      <x:c r="J395" s="2" t="str">
        <x:f>IF(B395="","",'Motor_Meciuri'!I33)</x:f>
      </x:c>
      <x:c r="K395" s="11" t="str">
        <x:f>IF(J395&lt;&gt;"PASS","",'Motor_Meciuri'!BD33)</x:f>
      </x:c>
      <x:c r="L395" s="11" t="str">
        <x:f>IF(J395&lt;&gt;"PASS","",'Motor_Meciuri'!AU33)</x:f>
      </x:c>
      <x:c r="M395" s="10" t="str">
        <x:f>IF(NOT(AND(J395="PASS",'Calibrare_Linii'!U17="VALID")),"",'Distributie'!AM33)</x:f>
      </x:c>
      <x:c r="N395" s="10" t="str">
        <x:f>IF(M395="","",MAX(0.01,MIN(0.99,0.5+(M395-0.5)*'Motor_Meciuri'!BG33*'Calibrare_Linii'!D17)))</x:f>
      </x:c>
      <x:c r="O395" s="10" t="str">
        <x:f>IF(M395="","",1-M395)</x:f>
      </x:c>
      <x:c r="P395" s="10" t="str">
        <x:f>IF(OR(NOT(AND(J395="PASS",'Calibrare_Linii'!U17="VALID")),AK395=0),""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*('Istoric_Nativ'!$Q$6:$Q$405&gt;H395))/AK395)</x:f>
      </x:c>
      <x:c r="Q395" s="10" t="str">
        <x:f>IF(OR(NOT(AND(J395="PASS",'Calibrare_Linii'!U17="VALID")),AL395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M33)+((('Istoric_Nativ'!$E$6:$E$405='Input_Meci'!E33)+('Istoric_Nativ'!$F$6:$F$405='Input_Meci'!E33))&gt;0)*('Istoric_Nativ'!$D$6:$D$405&gt;='Motor_Meciuri'!BN33))&gt;0)*('Istoric_Nativ'!$Q$6:$Q$405&gt;H395))/AL395)</x:f>
      </x:c>
      <x:c r="R395" s="10" t="str">
        <x:f>IF(OR(NOT(AND(J395="PASS",'Calibrare_Linii'!U17="VALID")),AM395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O33)+((('Istoric_Nativ'!$E$6:$E$405='Input_Meci'!E33)+('Istoric_Nativ'!$F$6:$F$405='Input_Meci'!E33))&gt;0)*('Istoric_Nativ'!$D$6:$D$405&gt;='Motor_Meciuri'!BP33))&gt;0)*('Istoric_Nativ'!$Q$6:$Q$405&gt;H395))/AM395)</x:f>
      </x:c>
      <x:c r="S395" s="10" t="str">
        <x:f>IF(M395="","",MAX(O395,P395,Q395,R395))</x:f>
      </x:c>
      <x:c r="T395" s="11" t="str">
        <x:f>IF(M395="","",MIN(100,S395*100*'Config_v6'!$B$44+MIN(100,L395/'Config_v6'!$B$13*100)*'Config_v6'!$B$45+(100-'Motor_Meciuri'!BF33)*'Config_v6'!$B$46+'Motor_Meciuri'!BH33*100*'Config_v6'!$B$47))</x:f>
      </x:c>
      <x:c r="U395" s="2" t="str">
        <x:f>IF(T395="","",IF(T395&lt;=20,1,IF(T395&lt;=40,2,IF(T395&lt;=60,3,IF(T395&lt;=80,4,5)))))</x:f>
      </x:c>
      <x:c r="V395" s="2" t="str">
        <x:f>IF(M395="","",MAX(0,'Motor_Meciuri'!BF33-IF(W395="OOS PENDING",'Config_v6'!$B$35,0)-IF(L395&gt;'Config_v6'!$B$12,'Config_v6'!$B$37,IF(L395&gt;'Config_v6'!$B$11,'Config_v6'!$B$36,0))))</x:f>
      </x:c>
      <x:c r="W395" s="2" t="str">
        <x:f>IF(B395="","",IF(I395&lt;&gt;"READY","NOT RELEASED",IF(NOT(AND(J395="PASS",'Calibrare_Linii'!U17="VALID")),"INVALID",IF(NOT(AND('Calibrare_Linii'!S17="VALIDATED",AND('Calibrare_Linii'!H17=C395,ISNUMBER('Calibrare_Linii'!J17),'Calibrare_Linii'!J17&lt;='Input_Meci'!G33))),"OOS PENDING",IF(S395&lt;='Calibrare_Linii'!E17,"PASS",IF(S395&lt;='Calibrare_Linii'!F17,"PENALTY","WATCH"))))))</x:f>
      </x:c>
      <x:c r="X395" s="2" t="str">
        <x:f>IF(M395="","",IF(AND(AND(J395="PASS",'Calibrare_Linii'!U17="VALID"),'Motor_Meciuri'!K33=12,'Motor_Meciuri'!L33=12,'Motor_Meciuri'!M33="NO",'Motor_Meciuri'!BL33='Motor_Meciuri'!C33,AB395&gt;='Config_v6'!$B$50,AN395&gt;='Config_v6'!$B$51,T395&lt;='Config_v6'!$B$52,L395&lt;='Config_v6'!$B$53,ISNUMBER('Calibrare_Linii'!E17),S395&lt;='Calibrare_Linii'!E17,SUM(AK395:AM395)&gt;0),"CANDIDATE","NO"))</x:f>
      </x:c>
      <x:c r="Y395" s="2" t="str">
        <x:f>IF(B395="","",IF(I395&lt;&gt;"READY","NOT RELEASED",IF(AND(X395="CANDIDATE",V395&gt;='Config_v6'!$B$51,W395="PASS",'Calibrare_Linii'!T17="VALIDATED",AND('Calibrare_Linii'!H17=C395,ISNUMBER('Calibrare_Linii'!J17),'Calibrare_Linii'!J17&lt;='Input_Meci'!G33)),"PASS",IF(X395="CANDIDATE","OOS PENDING","FAIL"))))</x:f>
      </x:c>
      <x:c r="Z395" s="2" t="str">
        <x:f>IF(B395="","",IF(I395&lt;&gt;"READY","",IF(OR(NOT(AND(J395="PASS",'Calibrare_Linii'!U17="VALID")),L395&gt;'Config_v6'!$B$13,W395="WATCH"),5,IF(Y395="PASS",1,MIN(5,MAX('Config_v6'!$B$42,U395)+IF(W395="PENALTY",1,0))))))</x:f>
      </x:c>
      <x:c r="AA395" s="2" t="str">
        <x:f>IF(B395="","",IF(I395&lt;&gt;"READY","NOT RELEASED",IF(Z395=5,"NO BET",IF(OR(AB395&lt;'Config_v6'!$B$16,V395&lt;'Config_v6'!$B$18),"WATCH",IF(Z395=1,"DEFENSIV",IF(Z395=2,"PRUDENT",IF(Z395=3,"MODERAT","RIDICAT")))))))</x:f>
      </x:c>
      <x:c r="AB395" s="10" t="str">
        <x:f>IF(N395="","",MIN(N395,1-S395))</x:f>
      </x:c>
      <x:c r="AC395" s="2" t="str">
        <x:f>IF(AD395&lt;&gt;1,"",COUNTIFS($Z$384:$Z$397,"&lt;"&amp;Z395,$AD$384:$AD$397,1)+COUNTIFS($Z$384:$Z$397,Z395,$AB$384:$AB$397,"&gt;"&amp;AB395,$AD$384:$AD$397,1)+COUNTIFS($Z$384:$Z$397,Z395,$AB$384:$AB$397,AB395,$V$384:$V$397,"&gt;"&amp;V395,$AD$384:$AD$397,1)+COUNTIFS($Z$384:Z395,Z395,$AB$384:AB395,AB395,$V$384:V395,V395,$AD$384:AD395,1))</x:f>
      </x:c>
      <x:c r="AD395" s="2" t="n">
        <x:f>IF(OR(AA395="DEFENSIV",AA395="PRUDENT",AA395="MODERAT",AA395="RIDICAT"),1,0)</x:f>
        <x:v>0</x:v>
      </x:c>
      <x:c r="AE395" s="2" t="str">
        <x:f>IF(AD395&lt;&gt;1,"NO",IF(W395="PASS","YES",IF(W395="OOS PENDING","CONDITIONAL","NO")))</x:f>
        <x:v>NO</x:v>
      </x:c>
      <x:c r="AF395" s="2" t="n">
        <x:f>IF(AND(AD395=1,AC395=1,E395="LIVE"),1,0)</x:f>
        <x:v>0</x:v>
      </x:c>
      <x:c r="AG395" s="2" t="str">
        <x:f>IF(AF395&lt;&gt;1,"",'Dashboard'!P53)</x:f>
      </x:c>
      <x:c r="AH395" s="2" t="str">
        <x:f>IF(B395="","",IF(J395&lt;&gt;"PASS",'Motor_Meciuri'!J33,IF('Calibrare_Linii'!U17&lt;&gt;"VALID","Parametri linie invalizi",IF(L395&gt;'Config_v6'!$B$13,"Dispersie peste limita",IF(W395="WATCH","Failure peste limita",IF(AB395&lt;'Config_v6'!$B$16,"P finala sub prag",IF(V395&lt;'Config_v6'!$B$18,"Confidence sub prag",IF(E395="REPLAY","Exemplu retrospectiv; exclus din Top LIVE",IF(Y395="PASS","DEFENSIV validat",IF(W395="OOS PENDING","Eligibil; calibrare linie in monitorizare","Eligibil"))))))))))</x:f>
      </x:c>
      <x:c r="AI395" s="2" t="str">
        <x:f>IF(B395="","",'Calibrare_Linii'!V17)</x:f>
      </x:c>
      <x:c r="AJ395" s="2" t="str">
        <x:f>IF(B395="","",IF(AND('Calibrare_Linii'!T17="VALIDATED",AND('Calibrare_Linii'!H17=C395,ISNUMBER('Calibrare_Linii'!J17),'Calibrare_Linii'!J17&lt;='Input_Meci'!G33)),"DEFENSIVE VALIDATED",IF(AND('Calibrare_Linii'!S17="VALIDATED",AND('Calibrare_Linii'!H17=C395,ISNUMBER('Calibrare_Linii'!J17),'Calibrare_Linii'!J17&lt;='Input_Meci'!G33)),"TAIL VALIDATED","OOS PENDING")))</x:f>
      </x:c>
      <x:c r="AK395" s="2" t="n">
        <x:f>IF(J395&lt;&gt;"PASS",0,'Motor_Meciuri'!BR33)</x:f>
        <x:v>0</x:v>
      </x:c>
      <x:c r="AL395" s="2" t="n">
        <x:f>IF(J395&lt;&gt;"PASS",0,'Motor_Meciuri'!BS33)</x:f>
        <x:v>0</x:v>
      </x:c>
      <x:c r="AM395" s="2" t="n">
        <x:f>IF(J395&lt;&gt;"PASS",0,'Motor_Meciuri'!BT33)</x:f>
        <x:v>0</x:v>
      </x:c>
      <x:c r="AN395" s="2" t="str">
        <x:f>IF(M395="","",MAX(0,'Motor_Meciuri'!BF33-IF(L395&gt;'Config_v6'!$B$12,'Config_v6'!$B$37,IF(L395&gt;'Config_v6'!$B$11,'Config_v6'!$B$36,0))))</x:f>
      </x:c>
    </x:row>
    <x:row r="396" ht="21" customHeight="1">
      <x:c r="A396" s="2" t="n">
        <x:v>28</x:v>
      </x:c>
      <x:c r="B396" s="2" t="str">
        <x:f>IF('Motor_Meciuri'!A33="","",'Motor_Meciuri'!A33)</x:f>
      </x:c>
      <x:c r="C396" s="2" t="str">
        <x:f>IF(B396="","",'Motor_Meciuri'!B33)</x:f>
      </x:c>
      <x:c r="D396" s="2" t="str">
        <x:f>IF(B396="","",'Motor_Meciuri'!D33)</x:f>
      </x:c>
      <x:c r="E396" s="2" t="str">
        <x:f>IF(B396="","",'Motor_Meciuri'!E33)</x:f>
      </x:c>
      <x:c r="F396" s="2" t="str">
        <x:v>U16,5</x:v>
      </x:c>
      <x:c r="G396" s="2" t="str">
        <x:v>UNDER</x:v>
      </x:c>
      <x:c r="H396" s="2" t="n">
        <x:v>16</x:v>
      </x:c>
      <x:c r="I396" s="2" t="str">
        <x:f>IF(B396="","",'Motor_Meciuri'!H33)</x:f>
      </x:c>
      <x:c r="J396" s="2" t="str">
        <x:f>IF(B396="","",'Motor_Meciuri'!I33)</x:f>
      </x:c>
      <x:c r="K396" s="11" t="str">
        <x:f>IF(J396&lt;&gt;"PASS","",'Motor_Meciuri'!BD33)</x:f>
      </x:c>
      <x:c r="L396" s="11" t="str">
        <x:f>IF(J396&lt;&gt;"PASS","",'Motor_Meciuri'!AU33)</x:f>
      </x:c>
      <x:c r="M396" s="10" t="str">
        <x:f>IF(NOT(AND(J396="PASS",'Calibrare_Linii'!U18="VALID")),"",'Distributie'!AN33)</x:f>
      </x:c>
      <x:c r="N396" s="10" t="str">
        <x:f>IF(M396="","",MAX(0.01,MIN(0.99,0.5+(M396-0.5)*'Motor_Meciuri'!BG33*'Calibrare_Linii'!D18)))</x:f>
      </x:c>
      <x:c r="O396" s="10" t="str">
        <x:f>IF(M396="","",1-M396)</x:f>
      </x:c>
      <x:c r="P396" s="10" t="str">
        <x:f>IF(OR(NOT(AND(J396="PASS",'Calibrare_Linii'!U18="VALID")),AK396=0),""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*('Istoric_Nativ'!$Q$6:$Q$405&gt;H396))/AK396)</x:f>
      </x:c>
      <x:c r="Q396" s="10" t="str">
        <x:f>IF(OR(NOT(AND(J396="PASS",'Calibrare_Linii'!U18="VALID")),AL396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M33)+((('Istoric_Nativ'!$E$6:$E$405='Input_Meci'!E33)+('Istoric_Nativ'!$F$6:$F$405='Input_Meci'!E33))&gt;0)*('Istoric_Nativ'!$D$6:$D$405&gt;='Motor_Meciuri'!BN33))&gt;0)*('Istoric_Nativ'!$Q$6:$Q$405&gt;H396))/AL396)</x:f>
      </x:c>
      <x:c r="R396" s="10" t="str">
        <x:f>IF(OR(NOT(AND(J396="PASS",'Calibrare_Linii'!U18="VALID")),AM396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O33)+((('Istoric_Nativ'!$E$6:$E$405='Input_Meci'!E33)+('Istoric_Nativ'!$F$6:$F$405='Input_Meci'!E33))&gt;0)*('Istoric_Nativ'!$D$6:$D$405&gt;='Motor_Meciuri'!BP33))&gt;0)*('Istoric_Nativ'!$Q$6:$Q$405&gt;H396))/AM396)</x:f>
      </x:c>
      <x:c r="S396" s="10" t="str">
        <x:f>IF(M396="","",MAX(O396,P396,Q396,R396))</x:f>
      </x:c>
      <x:c r="T396" s="11" t="str">
        <x:f>IF(M396="","",MIN(100,S396*100*'Config_v6'!$B$44+MIN(100,L396/'Config_v6'!$B$13*100)*'Config_v6'!$B$45+(100-'Motor_Meciuri'!BF33)*'Config_v6'!$B$46+'Motor_Meciuri'!BH33*100*'Config_v6'!$B$47))</x:f>
      </x:c>
      <x:c r="U396" s="2" t="str">
        <x:f>IF(T396="","",IF(T396&lt;=20,1,IF(T396&lt;=40,2,IF(T396&lt;=60,3,IF(T396&lt;=80,4,5)))))</x:f>
      </x:c>
      <x:c r="V396" s="2" t="str">
        <x:f>IF(M396="","",MAX(0,'Motor_Meciuri'!BF33-IF(W396="OOS PENDING",'Config_v6'!$B$35,0)-IF(L396&gt;'Config_v6'!$B$12,'Config_v6'!$B$37,IF(L396&gt;'Config_v6'!$B$11,'Config_v6'!$B$36,0))))</x:f>
      </x:c>
      <x:c r="W396" s="2" t="str">
        <x:f>IF(B396="","",IF(I396&lt;&gt;"READY","NOT RELEASED",IF(NOT(AND(J396="PASS",'Calibrare_Linii'!U18="VALID")),"INVALID",IF(NOT(AND('Calibrare_Linii'!S18="VALIDATED",AND('Calibrare_Linii'!H18=C396,ISNUMBER('Calibrare_Linii'!J18),'Calibrare_Linii'!J18&lt;='Input_Meci'!G33))),"OOS PENDING",IF(S396&lt;='Calibrare_Linii'!E18,"PASS",IF(S396&lt;='Calibrare_Linii'!F18,"PENALTY","WATCH"))))))</x:f>
      </x:c>
      <x:c r="X396" s="2" t="str">
        <x:f>IF(M396="","",IF(AND(AND(J396="PASS",'Calibrare_Linii'!U18="VALID"),'Motor_Meciuri'!K33=12,'Motor_Meciuri'!L33=12,'Motor_Meciuri'!M33="NO",'Motor_Meciuri'!BL33='Motor_Meciuri'!C33,AB396&gt;='Config_v6'!$B$50,AN396&gt;='Config_v6'!$B$51,T396&lt;='Config_v6'!$B$52,L396&lt;='Config_v6'!$B$53,ISNUMBER('Calibrare_Linii'!E18),S396&lt;='Calibrare_Linii'!E18,SUM(AK396:AM396)&gt;0),"CANDIDATE","NO"))</x:f>
      </x:c>
      <x:c r="Y396" s="2" t="str">
        <x:f>IF(B396="","",IF(I396&lt;&gt;"READY","NOT RELEASED",IF(AND(X396="CANDIDATE",V396&gt;='Config_v6'!$B$51,W396="PASS",'Calibrare_Linii'!T18="VALIDATED",AND('Calibrare_Linii'!H18=C396,ISNUMBER('Calibrare_Linii'!J18),'Calibrare_Linii'!J18&lt;='Input_Meci'!G33)),"PASS",IF(X396="CANDIDATE","OOS PENDING","FAIL"))))</x:f>
      </x:c>
      <x:c r="Z396" s="2" t="str">
        <x:f>IF(B396="","",IF(I396&lt;&gt;"READY","",IF(OR(NOT(AND(J396="PASS",'Calibrare_Linii'!U18="VALID")),L396&gt;'Config_v6'!$B$13,W396="WATCH"),5,IF(Y396="PASS",1,MIN(5,MAX('Config_v6'!$B$42,U396)+IF(W396="PENALTY",1,0))))))</x:f>
      </x:c>
      <x:c r="AA396" s="2" t="str">
        <x:f>IF(B396="","",IF(I396&lt;&gt;"READY","NOT RELEASED",IF(Z396=5,"NO BET",IF(OR(AB396&lt;'Config_v6'!$B$16,V396&lt;'Config_v6'!$B$18),"WATCH",IF(Z396=1,"DEFENSIV",IF(Z396=2,"PRUDENT",IF(Z396=3,"MODERAT","RIDICAT")))))))</x:f>
      </x:c>
      <x:c r="AB396" s="10" t="str">
        <x:f>IF(N396="","",MIN(N396,1-S396))</x:f>
      </x:c>
      <x:c r="AC396" s="2" t="str">
        <x:f>IF(AD396&lt;&gt;1,"",COUNTIFS($Z$384:$Z$397,"&lt;"&amp;Z396,$AD$384:$AD$397,1)+COUNTIFS($Z$384:$Z$397,Z396,$AB$384:$AB$397,"&gt;"&amp;AB396,$AD$384:$AD$397,1)+COUNTIFS($Z$384:$Z$397,Z396,$AB$384:$AB$397,AB396,$V$384:$V$397,"&gt;"&amp;V396,$AD$384:$AD$397,1)+COUNTIFS($Z$384:Z396,Z396,$AB$384:AB396,AB396,$V$384:V396,V396,$AD$384:AD396,1))</x:f>
      </x:c>
      <x:c r="AD396" s="2" t="n">
        <x:f>IF(OR(AA396="DEFENSIV",AA396="PRUDENT",AA396="MODERAT",AA396="RIDICAT"),1,0)</x:f>
        <x:v>0</x:v>
      </x:c>
      <x:c r="AE396" s="2" t="str">
        <x:f>IF(AD396&lt;&gt;1,"NO",IF(W396="PASS","YES",IF(W396="OOS PENDING","CONDITIONAL","NO")))</x:f>
        <x:v>NO</x:v>
      </x:c>
      <x:c r="AF396" s="2" t="n">
        <x:f>IF(AND(AD396=1,AC396=1,E396="LIVE"),1,0)</x:f>
        <x:v>0</x:v>
      </x:c>
      <x:c r="AG396" s="2" t="str">
        <x:f>IF(AF396&lt;&gt;1,"",'Dashboard'!P53)</x:f>
      </x:c>
      <x:c r="AH396" s="2" t="str">
        <x:f>IF(B396="","",IF(J396&lt;&gt;"PASS",'Motor_Meciuri'!J33,IF('Calibrare_Linii'!U18&lt;&gt;"VALID","Parametri linie invalizi",IF(L396&gt;'Config_v6'!$B$13,"Dispersie peste limita",IF(W396="WATCH","Failure peste limita",IF(AB396&lt;'Config_v6'!$B$16,"P finala sub prag",IF(V396&lt;'Config_v6'!$B$18,"Confidence sub prag",IF(E396="REPLAY","Exemplu retrospectiv; exclus din Top LIVE",IF(Y396="PASS","DEFENSIV validat",IF(W396="OOS PENDING","Eligibil; calibrare linie in monitorizare","Eligibil"))))))))))</x:f>
      </x:c>
      <x:c r="AI396" s="2" t="str">
        <x:f>IF(B396="","",'Calibrare_Linii'!V18)</x:f>
      </x:c>
      <x:c r="AJ396" s="2" t="str">
        <x:f>IF(B396="","",IF(AND('Calibrare_Linii'!T18="VALIDATED",AND('Calibrare_Linii'!H18=C396,ISNUMBER('Calibrare_Linii'!J18),'Calibrare_Linii'!J18&lt;='Input_Meci'!G33)),"DEFENSIVE VALIDATED",IF(AND('Calibrare_Linii'!S18="VALIDATED",AND('Calibrare_Linii'!H18=C396,ISNUMBER('Calibrare_Linii'!J18),'Calibrare_Linii'!J18&lt;='Input_Meci'!G33)),"TAIL VALIDATED","OOS PENDING")))</x:f>
      </x:c>
      <x:c r="AK396" s="2" t="n">
        <x:f>IF(J396&lt;&gt;"PASS",0,'Motor_Meciuri'!BR33)</x:f>
        <x:v>0</x:v>
      </x:c>
      <x:c r="AL396" s="2" t="n">
        <x:f>IF(J396&lt;&gt;"PASS",0,'Motor_Meciuri'!BS33)</x:f>
        <x:v>0</x:v>
      </x:c>
      <x:c r="AM396" s="2" t="n">
        <x:f>IF(J396&lt;&gt;"PASS",0,'Motor_Meciuri'!BT33)</x:f>
        <x:v>0</x:v>
      </x:c>
      <x:c r="AN396" s="2" t="str">
        <x:f>IF(M396="","",MAX(0,'Motor_Meciuri'!BF33-IF(L396&gt;'Config_v6'!$B$12,'Config_v6'!$B$37,IF(L396&gt;'Config_v6'!$B$11,'Config_v6'!$B$36,0))))</x:f>
      </x:c>
    </x:row>
    <x:row r="397" ht="21" customHeight="1">
      <x:c r="A397" s="2" t="n">
        <x:v>28</x:v>
      </x:c>
      <x:c r="B397" s="2" t="str">
        <x:f>IF('Motor_Meciuri'!A33="","",'Motor_Meciuri'!A33)</x:f>
      </x:c>
      <x:c r="C397" s="2" t="str">
        <x:f>IF(B397="","",'Motor_Meciuri'!B33)</x:f>
      </x:c>
      <x:c r="D397" s="2" t="str">
        <x:f>IF(B397="","",'Motor_Meciuri'!D33)</x:f>
      </x:c>
      <x:c r="E397" s="2" t="str">
        <x:f>IF(B397="","",'Motor_Meciuri'!E33)</x:f>
      </x:c>
      <x:c r="F397" s="2" t="str">
        <x:v>U17,5</x:v>
      </x:c>
      <x:c r="G397" s="2" t="str">
        <x:v>UNDER</x:v>
      </x:c>
      <x:c r="H397" s="2" t="n">
        <x:v>17</x:v>
      </x:c>
      <x:c r="I397" s="2" t="str">
        <x:f>IF(B397="","",'Motor_Meciuri'!H33)</x:f>
      </x:c>
      <x:c r="J397" s="2" t="str">
        <x:f>IF(B397="","",'Motor_Meciuri'!I33)</x:f>
      </x:c>
      <x:c r="K397" s="11" t="str">
        <x:f>IF(J397&lt;&gt;"PASS","",'Motor_Meciuri'!BD33)</x:f>
      </x:c>
      <x:c r="L397" s="11" t="str">
        <x:f>IF(J397&lt;&gt;"PASS","",'Motor_Meciuri'!AU33)</x:f>
      </x:c>
      <x:c r="M397" s="10" t="str">
        <x:f>IF(NOT(AND(J397="PASS",'Calibrare_Linii'!U19="VALID")),"",'Distributie'!AO33)</x:f>
      </x:c>
      <x:c r="N397" s="10" t="str">
        <x:f>IF(M397="","",MAX(0.01,MIN(0.99,0.5+(M397-0.5)*'Motor_Meciuri'!BG33*'Calibrare_Linii'!D19)))</x:f>
      </x:c>
      <x:c r="O397" s="10" t="str">
        <x:f>IF(M397="","",1-M397)</x:f>
      </x:c>
      <x:c r="P397" s="10" t="str">
        <x:f>IF(OR(NOT(AND(J397="PASS",'Calibrare_Linii'!U19="VALID")),AK397=0),""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*('Istoric_Nativ'!$Q$6:$Q$405&gt;H397))/AK397)</x:f>
      </x:c>
      <x:c r="Q397" s="10" t="str">
        <x:f>IF(OR(NOT(AND(J397="PASS",'Calibrare_Linii'!U19="VALID")),AL397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M33)+((('Istoric_Nativ'!$E$6:$E$405='Input_Meci'!E33)+('Istoric_Nativ'!$F$6:$F$405='Input_Meci'!E33))&gt;0)*('Istoric_Nativ'!$D$6:$D$405&gt;='Motor_Meciuri'!BN33))&gt;0)*('Istoric_Nativ'!$Q$6:$Q$405&gt;H397))/AL397)</x:f>
      </x:c>
      <x:c r="R397" s="10" t="str">
        <x:f>IF(OR(NOT(AND(J397="PASS",'Calibrare_Linii'!U19="VALID")),AM397=0),""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'Motor_Meciuri'!BO33)+((('Istoric_Nativ'!$E$6:$E$405='Input_Meci'!E33)+('Istoric_Nativ'!$F$6:$F$405='Input_Meci'!E33))&gt;0)*('Istoric_Nativ'!$D$6:$D$405&gt;='Motor_Meciuri'!BP33))&gt;0)*('Istoric_Nativ'!$Q$6:$Q$405&gt;H397))/AM397)</x:f>
      </x:c>
      <x:c r="S397" s="10" t="str">
        <x:f>IF(M397="","",MAX(O397,P397,Q397,R397))</x:f>
      </x:c>
      <x:c r="T397" s="11" t="str">
        <x:f>IF(M397="","",MIN(100,S397*100*'Config_v6'!$B$44+MIN(100,L397/'Config_v6'!$B$13*100)*'Config_v6'!$B$45+(100-'Motor_Meciuri'!BF33)*'Config_v6'!$B$46+'Motor_Meciuri'!BH33*100*'Config_v6'!$B$47))</x:f>
      </x:c>
      <x:c r="U397" s="2" t="str">
        <x:f>IF(T397="","",IF(T397&lt;=20,1,IF(T397&lt;=40,2,IF(T397&lt;=60,3,IF(T397&lt;=80,4,5)))))</x:f>
      </x:c>
      <x:c r="V397" s="2" t="str">
        <x:f>IF(M397="","",MAX(0,'Motor_Meciuri'!BF33-IF(W397="OOS PENDING",'Config_v6'!$B$35,0)-IF(L397&gt;'Config_v6'!$B$12,'Config_v6'!$B$37,IF(L397&gt;'Config_v6'!$B$11,'Config_v6'!$B$36,0))))</x:f>
      </x:c>
      <x:c r="W397" s="2" t="str">
        <x:f>IF(B397="","",IF(I397&lt;&gt;"READY","NOT RELEASED",IF(NOT(AND(J397="PASS",'Calibrare_Linii'!U19="VALID")),"INVALID",IF(NOT(AND('Calibrare_Linii'!S19="VALIDATED",AND('Calibrare_Linii'!H19=C397,ISNUMBER('Calibrare_Linii'!J19),'Calibrare_Linii'!J19&lt;='Input_Meci'!G33))),"OOS PENDING",IF(S397&lt;='Calibrare_Linii'!E19,"PASS",IF(S397&lt;='Calibrare_Linii'!F19,"PENALTY","WATCH"))))))</x:f>
      </x:c>
      <x:c r="X397" s="2" t="str">
        <x:f>IF(M397="","",IF(AND(AND(J397="PASS",'Calibrare_Linii'!U19="VALID"),'Motor_Meciuri'!K33=12,'Motor_Meciuri'!L33=12,'Motor_Meciuri'!M33="NO",'Motor_Meciuri'!BL33='Motor_Meciuri'!C33,AB397&gt;='Config_v6'!$B$50,AN397&gt;='Config_v6'!$B$51,T397&lt;='Config_v6'!$B$52,L397&lt;='Config_v6'!$B$53,ISNUMBER('Calibrare_Linii'!E19),S397&lt;='Calibrare_Linii'!E19,SUM(AK397:AM397)&gt;0),"CANDIDATE","NO"))</x:f>
      </x:c>
      <x:c r="Y397" s="2" t="str">
        <x:f>IF(B397="","",IF(I397&lt;&gt;"READY","NOT RELEASED",IF(AND(X397="CANDIDATE",V397&gt;='Config_v6'!$B$51,W397="PASS",'Calibrare_Linii'!T19="VALIDATED",AND('Calibrare_Linii'!H19=C397,ISNUMBER('Calibrare_Linii'!J19),'Calibrare_Linii'!J19&lt;='Input_Meci'!G33)),"PASS",IF(X397="CANDIDATE","OOS PENDING","FAIL"))))</x:f>
      </x:c>
      <x:c r="Z397" s="2" t="str">
        <x:f>IF(B397="","",IF(I397&lt;&gt;"READY","",IF(OR(NOT(AND(J397="PASS",'Calibrare_Linii'!U19="VALID")),L397&gt;'Config_v6'!$B$13,W397="WATCH"),5,IF(Y397="PASS",1,MIN(5,MAX('Config_v6'!$B$42,U397)+IF(W397="PENALTY",1,0))))))</x:f>
      </x:c>
      <x:c r="AA397" s="2" t="str">
        <x:f>IF(B397="","",IF(I397&lt;&gt;"READY","NOT RELEASED",IF(Z397=5,"NO BET",IF(OR(AB397&lt;'Config_v6'!$B$16,V397&lt;'Config_v6'!$B$18),"WATCH",IF(Z397=1,"DEFENSIV",IF(Z397=2,"PRUDENT",IF(Z397=3,"MODERAT","RIDICAT")))))))</x:f>
      </x:c>
      <x:c r="AB397" s="10" t="str">
        <x:f>IF(N397="","",MIN(N397,1-S397))</x:f>
      </x:c>
      <x:c r="AC397" s="2" t="str">
        <x:f>IF(AD397&lt;&gt;1,"",COUNTIFS($Z$384:$Z$397,"&lt;"&amp;Z397,$AD$384:$AD$397,1)+COUNTIFS($Z$384:$Z$397,Z397,$AB$384:$AB$397,"&gt;"&amp;AB397,$AD$384:$AD$397,1)+COUNTIFS($Z$384:$Z$397,Z397,$AB$384:$AB$397,AB397,$V$384:$V$397,"&gt;"&amp;V397,$AD$384:$AD$397,1)+COUNTIFS($Z$384:Z397,Z397,$AB$384:AB397,AB397,$V$384:V397,V397,$AD$384:AD397,1))</x:f>
      </x:c>
      <x:c r="AD397" s="2" t="n">
        <x:f>IF(OR(AA397="DEFENSIV",AA397="PRUDENT",AA397="MODERAT",AA397="RIDICAT"),1,0)</x:f>
        <x:v>0</x:v>
      </x:c>
      <x:c r="AE397" s="2" t="str">
        <x:f>IF(AD397&lt;&gt;1,"NO",IF(W397="PASS","YES",IF(W397="OOS PENDING","CONDITIONAL","NO")))</x:f>
        <x:v>NO</x:v>
      </x:c>
      <x:c r="AF397" s="2" t="n">
        <x:f>IF(AND(AD397=1,AC397=1,E397="LIVE"),1,0)</x:f>
        <x:v>0</x:v>
      </x:c>
      <x:c r="AG397" s="2" t="str">
        <x:f>IF(AF397&lt;&gt;1,"",'Dashboard'!P53)</x:f>
      </x:c>
      <x:c r="AH397" s="2" t="str">
        <x:f>IF(B397="","",IF(J397&lt;&gt;"PASS",'Motor_Meciuri'!J33,IF('Calibrare_Linii'!U19&lt;&gt;"VALID","Parametri linie invalizi",IF(L397&gt;'Config_v6'!$B$13,"Dispersie peste limita",IF(W397="WATCH","Failure peste limita",IF(AB397&lt;'Config_v6'!$B$16,"P finala sub prag",IF(V397&lt;'Config_v6'!$B$18,"Confidence sub prag",IF(E397="REPLAY","Exemplu retrospectiv; exclus din Top LIVE",IF(Y397="PASS","DEFENSIV validat",IF(W397="OOS PENDING","Eligibil; calibrare linie in monitorizare","Eligibil"))))))))))</x:f>
      </x:c>
      <x:c r="AI397" s="2" t="str">
        <x:f>IF(B397="","",'Calibrare_Linii'!V19)</x:f>
      </x:c>
      <x:c r="AJ397" s="2" t="str">
        <x:f>IF(B397="","",IF(AND('Calibrare_Linii'!T19="VALIDATED",AND('Calibrare_Linii'!H19=C397,ISNUMBER('Calibrare_Linii'!J19),'Calibrare_Linii'!J19&lt;='Input_Meci'!G33)),"DEFENSIVE VALIDATED",IF(AND('Calibrare_Linii'!S19="VALIDATED",AND('Calibrare_Linii'!H19=C397,ISNUMBER('Calibrare_Linii'!J19),'Calibrare_Linii'!J19&lt;='Input_Meci'!G33)),"TAIL VALIDATED","OOS PENDING")))</x:f>
      </x:c>
      <x:c r="AK397" s="2" t="n">
        <x:f>IF(J397&lt;&gt;"PASS",0,'Motor_Meciuri'!BR33)</x:f>
        <x:v>0</x:v>
      </x:c>
      <x:c r="AL397" s="2" t="n">
        <x:f>IF(J397&lt;&gt;"PASS",0,'Motor_Meciuri'!BS33)</x:f>
        <x:v>0</x:v>
      </x:c>
      <x:c r="AM397" s="2" t="n">
        <x:f>IF(J397&lt;&gt;"PASS",0,'Motor_Meciuri'!BT33)</x:f>
        <x:v>0</x:v>
      </x:c>
      <x:c r="AN397" s="2" t="str">
        <x:f>IF(M397="","",MAX(0,'Motor_Meciuri'!BF33-IF(L397&gt;'Config_v6'!$B$12,'Config_v6'!$B$37,IF(L397&gt;'Config_v6'!$B$11,'Config_v6'!$B$36,0))))</x:f>
      </x:c>
    </x:row>
    <x:row r="398" ht="21" customHeight="1">
      <x:c r="A398" s="2" t="n">
        <x:v>29</x:v>
      </x:c>
      <x:c r="B398" s="2" t="str">
        <x:f>IF('Motor_Meciuri'!A34="","",'Motor_Meciuri'!A34)</x:f>
      </x:c>
      <x:c r="C398" s="2" t="str">
        <x:f>IF(B398="","",'Motor_Meciuri'!B34)</x:f>
      </x:c>
      <x:c r="D398" s="2" t="str">
        <x:f>IF(B398="","",'Motor_Meciuri'!D34)</x:f>
      </x:c>
      <x:c r="E398" s="2" t="str">
        <x:f>IF(B398="","",'Motor_Meciuri'!E34)</x:f>
      </x:c>
      <x:c r="F398" s="2" t="str">
        <x:v>O3,5</x:v>
      </x:c>
      <x:c r="G398" s="2" t="str">
        <x:v>OVER</x:v>
      </x:c>
      <x:c r="H398" s="2" t="n">
        <x:v>3</x:v>
      </x:c>
      <x:c r="I398" s="2" t="str">
        <x:f>IF(B398="","",'Motor_Meciuri'!H34)</x:f>
      </x:c>
      <x:c r="J398" s="2" t="str">
        <x:f>IF(B398="","",'Motor_Meciuri'!I34)</x:f>
      </x:c>
      <x:c r="K398" s="11" t="str">
        <x:f>IF(J398&lt;&gt;"PASS","",'Motor_Meciuri'!BD34)</x:f>
      </x:c>
      <x:c r="L398" s="11" t="str">
        <x:f>IF(J398&lt;&gt;"PASS","",'Motor_Meciuri'!AU34)</x:f>
      </x:c>
      <x:c r="M398" s="10" t="str">
        <x:f>IF(NOT(AND(J398="PASS",'Calibrare_Linii'!U6="VALID")),"",1-'Distributie'!AA34)</x:f>
      </x:c>
      <x:c r="N398" s="10" t="str">
        <x:f>IF(M398="","",MAX(0.01,MIN(0.99,0.5+(M398-0.5)*'Motor_Meciuri'!BG34*'Calibrare_Linii'!D6)))</x:f>
      </x:c>
      <x:c r="O398" s="10" t="str">
        <x:f>IF(M398="","",1-M398)</x:f>
      </x:c>
      <x:c r="P398" s="10" t="str">
        <x:f>IF(OR(NOT(AND(J398="PASS",'Calibrare_Linii'!U6="VALID")),AK398=0),""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*('Istoric_Nativ'!$Q$6:$Q$405&lt;=H398))/AK398)</x:f>
      </x:c>
      <x:c r="Q398" s="10" t="str">
        <x:f>IF(OR(NOT(AND(J398="PASS",'Calibrare_Linii'!U6="VALID")),AL398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M34)+((('Istoric_Nativ'!$E$6:$E$405='Input_Meci'!E34)+('Istoric_Nativ'!$F$6:$F$405='Input_Meci'!E34))&gt;0)*('Istoric_Nativ'!$D$6:$D$405&gt;='Motor_Meciuri'!BN34))&gt;0)*('Istoric_Nativ'!$Q$6:$Q$405&lt;=H398))/AL398)</x:f>
      </x:c>
      <x:c r="R398" s="10" t="str">
        <x:f>IF(OR(NOT(AND(J398="PASS",'Calibrare_Linii'!U6="VALID")),AM398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O34)+((('Istoric_Nativ'!$E$6:$E$405='Input_Meci'!E34)+('Istoric_Nativ'!$F$6:$F$405='Input_Meci'!E34))&gt;0)*('Istoric_Nativ'!$D$6:$D$405&gt;='Motor_Meciuri'!BP34))&gt;0)*('Istoric_Nativ'!$Q$6:$Q$405&lt;=H398))/AM398)</x:f>
      </x:c>
      <x:c r="S398" s="10" t="str">
        <x:f>IF(M398="","",MAX(O398,P398,Q398,R398))</x:f>
      </x:c>
      <x:c r="T398" s="11" t="str">
        <x:f>IF(M398="","",MIN(100,S398*100*'Config_v6'!$B$44+MIN(100,L398/'Config_v6'!$B$13*100)*'Config_v6'!$B$45+(100-'Motor_Meciuri'!BF34)*'Config_v6'!$B$46+'Motor_Meciuri'!BH34*100*'Config_v6'!$B$47))</x:f>
      </x:c>
      <x:c r="U398" s="2" t="str">
        <x:f>IF(T398="","",IF(T398&lt;=20,1,IF(T398&lt;=40,2,IF(T398&lt;=60,3,IF(T398&lt;=80,4,5)))))</x:f>
      </x:c>
      <x:c r="V398" s="2" t="str">
        <x:f>IF(M398="","",MAX(0,'Motor_Meciuri'!BF34-IF(W398="OOS PENDING",'Config_v6'!$B$35,0)-IF(L398&gt;'Config_v6'!$B$12,'Config_v6'!$B$37,IF(L398&gt;'Config_v6'!$B$11,'Config_v6'!$B$36,0))))</x:f>
      </x:c>
      <x:c r="W398" s="2" t="str">
        <x:f>IF(B398="","",IF(I398&lt;&gt;"READY","NOT RELEASED",IF(NOT(AND(J398="PASS",'Calibrare_Linii'!U6="VALID")),"INVALID",IF(NOT(TRUE),"OOS PENDING",IF(S398&lt;=IF(AND('Calibrare_Linii'!S6="VALIDATED",AND('Calibrare_Linii'!H6=C398,ISNUMBER('Calibrare_Linii'!J6),'Calibrare_Linii'!J6&lt;='Input_Meci'!G34)),'Calibrare_Linii'!E6,'Config_v6'!$B$26),"PASS",IF(S398&lt;=IF(AND('Calibrare_Linii'!S6="VALIDATED",AND('Calibrare_Linii'!H6=C398,ISNUMBER('Calibrare_Linii'!J6),'Calibrare_Linii'!J6&lt;='Input_Meci'!G34)),'Calibrare_Linii'!F6,'Config_v6'!$C$26),"PENALTY","WATCH"))))))</x:f>
      </x:c>
      <x:c r="X398" s="2" t="str">
        <x:f>IF(M398="","",IF(AND(AND(J398="PASS",'Calibrare_Linii'!U6="VALID"),'Motor_Meciuri'!K34=12,'Motor_Meciuri'!L34=12,'Motor_Meciuri'!M34="NO",'Motor_Meciuri'!BL34='Motor_Meciuri'!C34,AB398&gt;='Config_v6'!$B$50,AN398&gt;='Config_v6'!$B$51,T398&lt;='Config_v6'!$B$52,L398&lt;='Config_v6'!$B$53,ISNUMBER('Calibrare_Linii'!E6),S398&lt;='Calibrare_Linii'!E6,SUM(AK398:AM398)&gt;0),"CANDIDATE","NO"))</x:f>
      </x:c>
      <x:c r="Y398" s="2" t="str">
        <x:f>IF(B398="","",IF(I398&lt;&gt;"READY","NOT RELEASED",IF(AND(X398="CANDIDATE",V398&gt;='Config_v6'!$B$51,W398="PASS",'Calibrare_Linii'!T6="VALIDATED",AND('Calibrare_Linii'!H6=C398,ISNUMBER('Calibrare_Linii'!J6),'Calibrare_Linii'!J6&lt;='Input_Meci'!G34)),"PASS",IF(X398="CANDIDATE","OOS PENDING","FAIL"))))</x:f>
      </x:c>
      <x:c r="Z398" s="2" t="str">
        <x:f>IF(B398="","",IF(I398&lt;&gt;"READY","",IF(OR(NOT(AND(J398="PASS",'Calibrare_Linii'!U6="VALID")),L398&gt;'Config_v6'!$B$13,W398="WATCH"),5,IF(Y398="PASS",1,MIN(5,MAX('Config_v6'!$B$42,U398)+IF(W398="PENALTY",1,0))))))</x:f>
      </x:c>
      <x:c r="AA398" s="2" t="str">
        <x:f>IF(B398="","",IF(I398&lt;&gt;"READY","NOT RELEASED",IF(Z398=5,"NO BET",IF(OR(AB398&lt;'Config_v6'!$B$16,V398&lt;'Config_v6'!$B$18),"WATCH",IF(Z398=1,"DEFENSIV",IF(Z398=2,"PRUDENT",IF(Z398=3,"MODERAT","RIDICAT")))))))</x:f>
      </x:c>
      <x:c r="AB398" s="10" t="str">
        <x:f>IF(N398="","",MIN(N398,1-S398))</x:f>
      </x:c>
      <x:c r="AC398" s="2" t="str">
        <x:f>IF(AD398&lt;&gt;1,"",COUNTIFS($Z$398:$Z$411,"&lt;"&amp;Z398,$AD$398:$AD$411,1)+COUNTIFS($Z$398:$Z$411,Z398,$AB$398:$AB$411,"&gt;"&amp;AB398,$AD$398:$AD$411,1)+COUNTIFS($Z$398:$Z$411,Z398,$AB$398:$AB$411,AB398,$V$398:$V$411,"&gt;"&amp;V398,$AD$398:$AD$411,1)+COUNTIFS($Z$398:Z398,Z398,$AB$398:AB398,AB398,$V$398:V398,V398,$AD$398:AD398,1))</x:f>
      </x:c>
      <x:c r="AD398" s="2" t="n">
        <x:f>IF(OR(AA398="DEFENSIV",AA398="PRUDENT",AA398="MODERAT",AA398="RIDICAT"),1,0)</x:f>
        <x:v>0</x:v>
      </x:c>
      <x:c r="AE398" s="2" t="str">
        <x:f>IF(AD398&lt;&gt;1,"NO",IF(W398="PASS","YES",IF(W398="OOS PENDING","CONDITIONAL","NO")))</x:f>
        <x:v>NO</x:v>
      </x:c>
      <x:c r="AF398" s="2" t="n">
        <x:f>IF(AND(AD398=1,AC398=1,E398="LIVE"),1,0)</x:f>
        <x:v>0</x:v>
      </x:c>
      <x:c r="AG398" s="2" t="str">
        <x:f>IF(AF398&lt;&gt;1,"",'Dashboard'!P54)</x:f>
      </x:c>
      <x:c r="AH398" s="2" t="str">
        <x:f>IF(B398="","",IF(J398&lt;&gt;"PASS",'Motor_Meciuri'!J34,IF('Calibrare_Linii'!U6&lt;&gt;"VALID","Parametri linie invalizi",IF(L398&gt;'Config_v6'!$B$13,"Dispersie peste limita",IF(W398="WATCH","Failure peste limita",IF(AB398&lt;'Config_v6'!$B$16,"P finala sub prag",IF(V398&lt;'Config_v6'!$B$18,"Confidence sub prag",IF(E398="REPLAY","Exemplu retrospectiv; exclus din Top LIVE",IF(Y398="PASS","DEFENSIV validat",IF(W398="OOS PENDING","Eligibil; calibrare linie in monitorizare","Eligibil"))))))))))</x:f>
      </x:c>
      <x:c r="AI398" s="2" t="str">
        <x:f>IF(B398="","",'Calibrare_Linii'!V6)</x:f>
      </x:c>
      <x:c r="AJ398" s="2" t="str">
        <x:f>IF(B398="","",IF(AND('Calibrare_Linii'!T6="VALIDATED",AND('Calibrare_Linii'!H6=C398,ISNUMBER('Calibrare_Linii'!J6),'Calibrare_Linii'!J6&lt;='Input_Meci'!G34)),"DEFENSIVE VALIDATED",IF(AND('Calibrare_Linii'!S6="VALIDATED",AND('Calibrare_Linii'!H6=C398,ISNUMBER('Calibrare_Linii'!J6),'Calibrare_Linii'!J6&lt;='Input_Meci'!G34)),"TAIL VALIDATED","OOS PENDING")))</x:f>
      </x:c>
      <x:c r="AK398" s="2" t="n">
        <x:f>IF(J398&lt;&gt;"PASS",0,'Motor_Meciuri'!BR34)</x:f>
        <x:v>0</x:v>
      </x:c>
      <x:c r="AL398" s="2" t="n">
        <x:f>IF(J398&lt;&gt;"PASS",0,'Motor_Meciuri'!BS34)</x:f>
        <x:v>0</x:v>
      </x:c>
      <x:c r="AM398" s="2" t="n">
        <x:f>IF(J398&lt;&gt;"PASS",0,'Motor_Meciuri'!BT34)</x:f>
        <x:v>0</x:v>
      </x:c>
      <x:c r="AN398" s="2" t="str">
        <x:f>IF(M398="","",MAX(0,'Motor_Meciuri'!BF34-IF(L398&gt;'Config_v6'!$B$12,'Config_v6'!$B$37,IF(L398&gt;'Config_v6'!$B$11,'Config_v6'!$B$36,0))))</x:f>
      </x:c>
    </x:row>
    <x:row r="399" ht="21" customHeight="1">
      <x:c r="A399" s="2" t="n">
        <x:v>29</x:v>
      </x:c>
      <x:c r="B399" s="2" t="str">
        <x:f>IF('Motor_Meciuri'!A34="","",'Motor_Meciuri'!A34)</x:f>
      </x:c>
      <x:c r="C399" s="2" t="str">
        <x:f>IF(B399="","",'Motor_Meciuri'!B34)</x:f>
      </x:c>
      <x:c r="D399" s="2" t="str">
        <x:f>IF(B399="","",'Motor_Meciuri'!D34)</x:f>
      </x:c>
      <x:c r="E399" s="2" t="str">
        <x:f>IF(B399="","",'Motor_Meciuri'!E34)</x:f>
      </x:c>
      <x:c r="F399" s="2" t="str">
        <x:v>O4,5</x:v>
      </x:c>
      <x:c r="G399" s="2" t="str">
        <x:v>OVER</x:v>
      </x:c>
      <x:c r="H399" s="2" t="n">
        <x:v>4</x:v>
      </x:c>
      <x:c r="I399" s="2" t="str">
        <x:f>IF(B399="","",'Motor_Meciuri'!H34)</x:f>
      </x:c>
      <x:c r="J399" s="2" t="str">
        <x:f>IF(B399="","",'Motor_Meciuri'!I34)</x:f>
      </x:c>
      <x:c r="K399" s="11" t="str">
        <x:f>IF(J399&lt;&gt;"PASS","",'Motor_Meciuri'!BD34)</x:f>
      </x:c>
      <x:c r="L399" s="11" t="str">
        <x:f>IF(J399&lt;&gt;"PASS","",'Motor_Meciuri'!AU34)</x:f>
      </x:c>
      <x:c r="M399" s="10" t="str">
        <x:f>IF(NOT(AND(J399="PASS",'Calibrare_Linii'!U7="VALID")),"",1-'Distributie'!AB34)</x:f>
      </x:c>
      <x:c r="N399" s="10" t="str">
        <x:f>IF(M399="","",MAX(0.01,MIN(0.99,0.5+(M399-0.5)*'Motor_Meciuri'!BG34*'Calibrare_Linii'!D7)))</x:f>
      </x:c>
      <x:c r="O399" s="10" t="str">
        <x:f>IF(M399="","",1-M399)</x:f>
      </x:c>
      <x:c r="P399" s="10" t="str">
        <x:f>IF(OR(NOT(AND(J399="PASS",'Calibrare_Linii'!U7="VALID")),AK399=0),""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*('Istoric_Nativ'!$Q$6:$Q$405&lt;=H399))/AK399)</x:f>
      </x:c>
      <x:c r="Q399" s="10" t="str">
        <x:f>IF(OR(NOT(AND(J399="PASS",'Calibrare_Linii'!U7="VALID")),AL399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M34)+((('Istoric_Nativ'!$E$6:$E$405='Input_Meci'!E34)+('Istoric_Nativ'!$F$6:$F$405='Input_Meci'!E34))&gt;0)*('Istoric_Nativ'!$D$6:$D$405&gt;='Motor_Meciuri'!BN34))&gt;0)*('Istoric_Nativ'!$Q$6:$Q$405&lt;=H399))/AL399)</x:f>
      </x:c>
      <x:c r="R399" s="10" t="str">
        <x:f>IF(OR(NOT(AND(J399="PASS",'Calibrare_Linii'!U7="VALID")),AM399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O34)+((('Istoric_Nativ'!$E$6:$E$405='Input_Meci'!E34)+('Istoric_Nativ'!$F$6:$F$405='Input_Meci'!E34))&gt;0)*('Istoric_Nativ'!$D$6:$D$405&gt;='Motor_Meciuri'!BP34))&gt;0)*('Istoric_Nativ'!$Q$6:$Q$405&lt;=H399))/AM399)</x:f>
      </x:c>
      <x:c r="S399" s="10" t="str">
        <x:f>IF(M399="","",MAX(O399,P399,Q399,R399))</x:f>
      </x:c>
      <x:c r="T399" s="11" t="str">
        <x:f>IF(M399="","",MIN(100,S399*100*'Config_v6'!$B$44+MIN(100,L399/'Config_v6'!$B$13*100)*'Config_v6'!$B$45+(100-'Motor_Meciuri'!BF34)*'Config_v6'!$B$46+'Motor_Meciuri'!BH34*100*'Config_v6'!$B$47))</x:f>
      </x:c>
      <x:c r="U399" s="2" t="str">
        <x:f>IF(T399="","",IF(T399&lt;=20,1,IF(T399&lt;=40,2,IF(T399&lt;=60,3,IF(T399&lt;=80,4,5)))))</x:f>
      </x:c>
      <x:c r="V399" s="2" t="str">
        <x:f>IF(M399="","",MAX(0,'Motor_Meciuri'!BF34-IF(W399="OOS PENDING",'Config_v6'!$B$35,0)-IF(L399&gt;'Config_v6'!$B$12,'Config_v6'!$B$37,IF(L399&gt;'Config_v6'!$B$11,'Config_v6'!$B$36,0))))</x:f>
      </x:c>
      <x:c r="W399" s="2" t="str">
        <x:f>IF(B399="","",IF(I399&lt;&gt;"READY","NOT RELEASED",IF(NOT(AND(J399="PASS",'Calibrare_Linii'!U7="VALID")),"INVALID",IF(NOT(AND('Calibrare_Linii'!S7="VALIDATED",AND('Calibrare_Linii'!H7=C399,ISNUMBER('Calibrare_Linii'!J7),'Calibrare_Linii'!J7&lt;='Input_Meci'!G34))),"OOS PENDING",IF(S399&lt;='Calibrare_Linii'!E7,"PASS",IF(S399&lt;='Calibrare_Linii'!F7,"PENALTY","WATCH"))))))</x:f>
      </x:c>
      <x:c r="X399" s="2" t="str">
        <x:f>IF(M399="","",IF(AND(AND(J399="PASS",'Calibrare_Linii'!U7="VALID"),'Motor_Meciuri'!K34=12,'Motor_Meciuri'!L34=12,'Motor_Meciuri'!M34="NO",'Motor_Meciuri'!BL34='Motor_Meciuri'!C34,AB399&gt;='Config_v6'!$B$50,AN399&gt;='Config_v6'!$B$51,T399&lt;='Config_v6'!$B$52,L399&lt;='Config_v6'!$B$53,ISNUMBER('Calibrare_Linii'!E7),S399&lt;='Calibrare_Linii'!E7,SUM(AK399:AM399)&gt;0),"CANDIDATE","NO"))</x:f>
      </x:c>
      <x:c r="Y399" s="2" t="str">
        <x:f>IF(B399="","",IF(I399&lt;&gt;"READY","NOT RELEASED",IF(AND(X399="CANDIDATE",V399&gt;='Config_v6'!$B$51,W399="PASS",'Calibrare_Linii'!T7="VALIDATED",AND('Calibrare_Linii'!H7=C399,ISNUMBER('Calibrare_Linii'!J7),'Calibrare_Linii'!J7&lt;='Input_Meci'!G34)),"PASS",IF(X399="CANDIDATE","OOS PENDING","FAIL"))))</x:f>
      </x:c>
      <x:c r="Z399" s="2" t="str">
        <x:f>IF(B399="","",IF(I399&lt;&gt;"READY","",IF(OR(NOT(AND(J399="PASS",'Calibrare_Linii'!U7="VALID")),L399&gt;'Config_v6'!$B$13,W399="WATCH"),5,IF(Y399="PASS",1,MIN(5,MAX('Config_v6'!$B$42,U399)+IF(W399="PENALTY",1,0))))))</x:f>
      </x:c>
      <x:c r="AA399" s="2" t="str">
        <x:f>IF(B399="","",IF(I399&lt;&gt;"READY","NOT RELEASED",IF(Z399=5,"NO BET",IF(OR(AB399&lt;'Config_v6'!$B$16,V399&lt;'Config_v6'!$B$18),"WATCH",IF(Z399=1,"DEFENSIV",IF(Z399=2,"PRUDENT",IF(Z399=3,"MODERAT","RIDICAT")))))))</x:f>
      </x:c>
      <x:c r="AB399" s="10" t="str">
        <x:f>IF(N399="","",MIN(N399,1-S399))</x:f>
      </x:c>
      <x:c r="AC399" s="2" t="str">
        <x:f>IF(AD399&lt;&gt;1,"",COUNTIFS($Z$398:$Z$411,"&lt;"&amp;Z399,$AD$398:$AD$411,1)+COUNTIFS($Z$398:$Z$411,Z399,$AB$398:$AB$411,"&gt;"&amp;AB399,$AD$398:$AD$411,1)+COUNTIFS($Z$398:$Z$411,Z399,$AB$398:$AB$411,AB399,$V$398:$V$411,"&gt;"&amp;V399,$AD$398:$AD$411,1)+COUNTIFS($Z$398:Z399,Z399,$AB$398:AB399,AB399,$V$398:V399,V399,$AD$398:AD399,1))</x:f>
      </x:c>
      <x:c r="AD399" s="2" t="n">
        <x:f>IF(OR(AA399="DEFENSIV",AA399="PRUDENT",AA399="MODERAT",AA399="RIDICAT"),1,0)</x:f>
        <x:v>0</x:v>
      </x:c>
      <x:c r="AE399" s="2" t="str">
        <x:f>IF(AD399&lt;&gt;1,"NO",IF(W399="PASS","YES",IF(W399="OOS PENDING","CONDITIONAL","NO")))</x:f>
        <x:v>NO</x:v>
      </x:c>
      <x:c r="AF399" s="2" t="n">
        <x:f>IF(AND(AD399=1,AC399=1,E399="LIVE"),1,0)</x:f>
        <x:v>0</x:v>
      </x:c>
      <x:c r="AG399" s="2" t="str">
        <x:f>IF(AF399&lt;&gt;1,"",'Dashboard'!P54)</x:f>
      </x:c>
      <x:c r="AH399" s="2" t="str">
        <x:f>IF(B399="","",IF(J399&lt;&gt;"PASS",'Motor_Meciuri'!J34,IF('Calibrare_Linii'!U7&lt;&gt;"VALID","Parametri linie invalizi",IF(L399&gt;'Config_v6'!$B$13,"Dispersie peste limita",IF(W399="WATCH","Failure peste limita",IF(AB399&lt;'Config_v6'!$B$16,"P finala sub prag",IF(V399&lt;'Config_v6'!$B$18,"Confidence sub prag",IF(E399="REPLAY","Exemplu retrospectiv; exclus din Top LIVE",IF(Y399="PASS","DEFENSIV validat",IF(W399="OOS PENDING","Eligibil; calibrare linie in monitorizare","Eligibil"))))))))))</x:f>
      </x:c>
      <x:c r="AI399" s="2" t="str">
        <x:f>IF(B399="","",'Calibrare_Linii'!V7)</x:f>
      </x:c>
      <x:c r="AJ399" s="2" t="str">
        <x:f>IF(B399="","",IF(AND('Calibrare_Linii'!T7="VALIDATED",AND('Calibrare_Linii'!H7=C399,ISNUMBER('Calibrare_Linii'!J7),'Calibrare_Linii'!J7&lt;='Input_Meci'!G34)),"DEFENSIVE VALIDATED",IF(AND('Calibrare_Linii'!S7="VALIDATED",AND('Calibrare_Linii'!H7=C399,ISNUMBER('Calibrare_Linii'!J7),'Calibrare_Linii'!J7&lt;='Input_Meci'!G34)),"TAIL VALIDATED","OOS PENDING")))</x:f>
      </x:c>
      <x:c r="AK399" s="2" t="n">
        <x:f>IF(J399&lt;&gt;"PASS",0,'Motor_Meciuri'!BR34)</x:f>
        <x:v>0</x:v>
      </x:c>
      <x:c r="AL399" s="2" t="n">
        <x:f>IF(J399&lt;&gt;"PASS",0,'Motor_Meciuri'!BS34)</x:f>
        <x:v>0</x:v>
      </x:c>
      <x:c r="AM399" s="2" t="n">
        <x:f>IF(J399&lt;&gt;"PASS",0,'Motor_Meciuri'!BT34)</x:f>
        <x:v>0</x:v>
      </x:c>
      <x:c r="AN399" s="2" t="str">
        <x:f>IF(M399="","",MAX(0,'Motor_Meciuri'!BF34-IF(L399&gt;'Config_v6'!$B$12,'Config_v6'!$B$37,IF(L399&gt;'Config_v6'!$B$11,'Config_v6'!$B$36,0))))</x:f>
      </x:c>
    </x:row>
    <x:row r="400" ht="21" customHeight="1">
      <x:c r="A400" s="2" t="n">
        <x:v>29</x:v>
      </x:c>
      <x:c r="B400" s="2" t="str">
        <x:f>IF('Motor_Meciuri'!A34="","",'Motor_Meciuri'!A34)</x:f>
      </x:c>
      <x:c r="C400" s="2" t="str">
        <x:f>IF(B400="","",'Motor_Meciuri'!B34)</x:f>
      </x:c>
      <x:c r="D400" s="2" t="str">
        <x:f>IF(B400="","",'Motor_Meciuri'!D34)</x:f>
      </x:c>
      <x:c r="E400" s="2" t="str">
        <x:f>IF(B400="","",'Motor_Meciuri'!E34)</x:f>
      </x:c>
      <x:c r="F400" s="2" t="str">
        <x:v>O5,5</x:v>
      </x:c>
      <x:c r="G400" s="2" t="str">
        <x:v>OVER</x:v>
      </x:c>
      <x:c r="H400" s="2" t="n">
        <x:v>5</x:v>
      </x:c>
      <x:c r="I400" s="2" t="str">
        <x:f>IF(B400="","",'Motor_Meciuri'!H34)</x:f>
      </x:c>
      <x:c r="J400" s="2" t="str">
        <x:f>IF(B400="","",'Motor_Meciuri'!I34)</x:f>
      </x:c>
      <x:c r="K400" s="11" t="str">
        <x:f>IF(J400&lt;&gt;"PASS","",'Motor_Meciuri'!BD34)</x:f>
      </x:c>
      <x:c r="L400" s="11" t="str">
        <x:f>IF(J400&lt;&gt;"PASS","",'Motor_Meciuri'!AU34)</x:f>
      </x:c>
      <x:c r="M400" s="10" t="str">
        <x:f>IF(NOT(AND(J400="PASS",'Calibrare_Linii'!U8="VALID")),"",1-'Distributie'!AC34)</x:f>
      </x:c>
      <x:c r="N400" s="10" t="str">
        <x:f>IF(M400="","",MAX(0.01,MIN(0.99,0.5+(M400-0.5)*'Motor_Meciuri'!BG34*'Calibrare_Linii'!D8)))</x:f>
      </x:c>
      <x:c r="O400" s="10" t="str">
        <x:f>IF(M400="","",1-M400)</x:f>
      </x:c>
      <x:c r="P400" s="10" t="str">
        <x:f>IF(OR(NOT(AND(J400="PASS",'Calibrare_Linii'!U8="VALID")),AK400=0),""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*('Istoric_Nativ'!$Q$6:$Q$405&lt;=H400))/AK400)</x:f>
      </x:c>
      <x:c r="Q400" s="10" t="str">
        <x:f>IF(OR(NOT(AND(J400="PASS",'Calibrare_Linii'!U8="VALID")),AL400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M34)+((('Istoric_Nativ'!$E$6:$E$405='Input_Meci'!E34)+('Istoric_Nativ'!$F$6:$F$405='Input_Meci'!E34))&gt;0)*('Istoric_Nativ'!$D$6:$D$405&gt;='Motor_Meciuri'!BN34))&gt;0)*('Istoric_Nativ'!$Q$6:$Q$405&lt;=H400))/AL400)</x:f>
      </x:c>
      <x:c r="R400" s="10" t="str">
        <x:f>IF(OR(NOT(AND(J400="PASS",'Calibrare_Linii'!U8="VALID")),AM400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O34)+((('Istoric_Nativ'!$E$6:$E$405='Input_Meci'!E34)+('Istoric_Nativ'!$F$6:$F$405='Input_Meci'!E34))&gt;0)*('Istoric_Nativ'!$D$6:$D$405&gt;='Motor_Meciuri'!BP34))&gt;0)*('Istoric_Nativ'!$Q$6:$Q$405&lt;=H400))/AM400)</x:f>
      </x:c>
      <x:c r="S400" s="10" t="str">
        <x:f>IF(M400="","",MAX(O400,P400,Q400,R400))</x:f>
      </x:c>
      <x:c r="T400" s="11" t="str">
        <x:f>IF(M400="","",MIN(100,S400*100*'Config_v6'!$B$44+MIN(100,L400/'Config_v6'!$B$13*100)*'Config_v6'!$B$45+(100-'Motor_Meciuri'!BF34)*'Config_v6'!$B$46+'Motor_Meciuri'!BH34*100*'Config_v6'!$B$47))</x:f>
      </x:c>
      <x:c r="U400" s="2" t="str">
        <x:f>IF(T400="","",IF(T400&lt;=20,1,IF(T400&lt;=40,2,IF(T400&lt;=60,3,IF(T400&lt;=80,4,5)))))</x:f>
      </x:c>
      <x:c r="V400" s="2" t="str">
        <x:f>IF(M400="","",MAX(0,'Motor_Meciuri'!BF34-IF(W400="OOS PENDING",'Config_v6'!$B$35,0)-IF(L400&gt;'Config_v6'!$B$12,'Config_v6'!$B$37,IF(L400&gt;'Config_v6'!$B$11,'Config_v6'!$B$36,0))))</x:f>
      </x:c>
      <x:c r="W400" s="2" t="str">
        <x:f>IF(B400="","",IF(I400&lt;&gt;"READY","NOT RELEASED",IF(NOT(AND(J400="PASS",'Calibrare_Linii'!U8="VALID")),"INVALID",IF(NOT(AND('Calibrare_Linii'!S8="VALIDATED",AND('Calibrare_Linii'!H8=C400,ISNUMBER('Calibrare_Linii'!J8),'Calibrare_Linii'!J8&lt;='Input_Meci'!G34))),"OOS PENDING",IF(S400&lt;='Calibrare_Linii'!E8,"PASS",IF(S400&lt;='Calibrare_Linii'!F8,"PENALTY","WATCH"))))))</x:f>
      </x:c>
      <x:c r="X400" s="2" t="str">
        <x:f>IF(M400="","",IF(AND(AND(J400="PASS",'Calibrare_Linii'!U8="VALID"),'Motor_Meciuri'!K34=12,'Motor_Meciuri'!L34=12,'Motor_Meciuri'!M34="NO",'Motor_Meciuri'!BL34='Motor_Meciuri'!C34,AB400&gt;='Config_v6'!$B$50,AN400&gt;='Config_v6'!$B$51,T400&lt;='Config_v6'!$B$52,L400&lt;='Config_v6'!$B$53,ISNUMBER('Calibrare_Linii'!E8),S400&lt;='Calibrare_Linii'!E8,SUM(AK400:AM400)&gt;0),"CANDIDATE","NO"))</x:f>
      </x:c>
      <x:c r="Y400" s="2" t="str">
        <x:f>IF(B400="","",IF(I400&lt;&gt;"READY","NOT RELEASED",IF(AND(X400="CANDIDATE",V400&gt;='Config_v6'!$B$51,W400="PASS",'Calibrare_Linii'!T8="VALIDATED",AND('Calibrare_Linii'!H8=C400,ISNUMBER('Calibrare_Linii'!J8),'Calibrare_Linii'!J8&lt;='Input_Meci'!G34)),"PASS",IF(X400="CANDIDATE","OOS PENDING","FAIL"))))</x:f>
      </x:c>
      <x:c r="Z400" s="2" t="str">
        <x:f>IF(B400="","",IF(I400&lt;&gt;"READY","",IF(OR(NOT(AND(J400="PASS",'Calibrare_Linii'!U8="VALID")),L400&gt;'Config_v6'!$B$13,W400="WATCH"),5,IF(Y400="PASS",1,MIN(5,MAX('Config_v6'!$B$42,U400)+IF(W400="PENALTY",1,0))))))</x:f>
      </x:c>
      <x:c r="AA400" s="2" t="str">
        <x:f>IF(B400="","",IF(I400&lt;&gt;"READY","NOT RELEASED",IF(Z400=5,"NO BET",IF(OR(AB400&lt;'Config_v6'!$B$16,V400&lt;'Config_v6'!$B$18),"WATCH",IF(Z400=1,"DEFENSIV",IF(Z400=2,"PRUDENT",IF(Z400=3,"MODERAT","RIDICAT")))))))</x:f>
      </x:c>
      <x:c r="AB400" s="10" t="str">
        <x:f>IF(N400="","",MIN(N400,1-S400))</x:f>
      </x:c>
      <x:c r="AC400" s="2" t="str">
        <x:f>IF(AD400&lt;&gt;1,"",COUNTIFS($Z$398:$Z$411,"&lt;"&amp;Z400,$AD$398:$AD$411,1)+COUNTIFS($Z$398:$Z$411,Z400,$AB$398:$AB$411,"&gt;"&amp;AB400,$AD$398:$AD$411,1)+COUNTIFS($Z$398:$Z$411,Z400,$AB$398:$AB$411,AB400,$V$398:$V$411,"&gt;"&amp;V400,$AD$398:$AD$411,1)+COUNTIFS($Z$398:Z400,Z400,$AB$398:AB400,AB400,$V$398:V400,V400,$AD$398:AD400,1))</x:f>
      </x:c>
      <x:c r="AD400" s="2" t="n">
        <x:f>IF(OR(AA400="DEFENSIV",AA400="PRUDENT",AA400="MODERAT",AA400="RIDICAT"),1,0)</x:f>
        <x:v>0</x:v>
      </x:c>
      <x:c r="AE400" s="2" t="str">
        <x:f>IF(AD400&lt;&gt;1,"NO",IF(W400="PASS","YES",IF(W400="OOS PENDING","CONDITIONAL","NO")))</x:f>
        <x:v>NO</x:v>
      </x:c>
      <x:c r="AF400" s="2" t="n">
        <x:f>IF(AND(AD400=1,AC400=1,E400="LIVE"),1,0)</x:f>
        <x:v>0</x:v>
      </x:c>
      <x:c r="AG400" s="2" t="str">
        <x:f>IF(AF400&lt;&gt;1,"",'Dashboard'!P54)</x:f>
      </x:c>
      <x:c r="AH400" s="2" t="str">
        <x:f>IF(B400="","",IF(J400&lt;&gt;"PASS",'Motor_Meciuri'!J34,IF('Calibrare_Linii'!U8&lt;&gt;"VALID","Parametri linie invalizi",IF(L400&gt;'Config_v6'!$B$13,"Dispersie peste limita",IF(W400="WATCH","Failure peste limita",IF(AB400&lt;'Config_v6'!$B$16,"P finala sub prag",IF(V400&lt;'Config_v6'!$B$18,"Confidence sub prag",IF(E400="REPLAY","Exemplu retrospectiv; exclus din Top LIVE",IF(Y400="PASS","DEFENSIV validat",IF(W400="OOS PENDING","Eligibil; calibrare linie in monitorizare","Eligibil"))))))))))</x:f>
      </x:c>
      <x:c r="AI400" s="2" t="str">
        <x:f>IF(B400="","",'Calibrare_Linii'!V8)</x:f>
      </x:c>
      <x:c r="AJ400" s="2" t="str">
        <x:f>IF(B400="","",IF(AND('Calibrare_Linii'!T8="VALIDATED",AND('Calibrare_Linii'!H8=C400,ISNUMBER('Calibrare_Linii'!J8),'Calibrare_Linii'!J8&lt;='Input_Meci'!G34)),"DEFENSIVE VALIDATED",IF(AND('Calibrare_Linii'!S8="VALIDATED",AND('Calibrare_Linii'!H8=C400,ISNUMBER('Calibrare_Linii'!J8),'Calibrare_Linii'!J8&lt;='Input_Meci'!G34)),"TAIL VALIDATED","OOS PENDING")))</x:f>
      </x:c>
      <x:c r="AK400" s="2" t="n">
        <x:f>IF(J400&lt;&gt;"PASS",0,'Motor_Meciuri'!BR34)</x:f>
        <x:v>0</x:v>
      </x:c>
      <x:c r="AL400" s="2" t="n">
        <x:f>IF(J400&lt;&gt;"PASS",0,'Motor_Meciuri'!BS34)</x:f>
        <x:v>0</x:v>
      </x:c>
      <x:c r="AM400" s="2" t="n">
        <x:f>IF(J400&lt;&gt;"PASS",0,'Motor_Meciuri'!BT34)</x:f>
        <x:v>0</x:v>
      </x:c>
      <x:c r="AN400" s="2" t="str">
        <x:f>IF(M400="","",MAX(0,'Motor_Meciuri'!BF34-IF(L400&gt;'Config_v6'!$B$12,'Config_v6'!$B$37,IF(L400&gt;'Config_v6'!$B$11,'Config_v6'!$B$36,0))))</x:f>
      </x:c>
    </x:row>
    <x:row r="401" ht="21" customHeight="1">
      <x:c r="A401" s="2" t="n">
        <x:v>29</x:v>
      </x:c>
      <x:c r="B401" s="2" t="str">
        <x:f>IF('Motor_Meciuri'!A34="","",'Motor_Meciuri'!A34)</x:f>
      </x:c>
      <x:c r="C401" s="2" t="str">
        <x:f>IF(B401="","",'Motor_Meciuri'!B34)</x:f>
      </x:c>
      <x:c r="D401" s="2" t="str">
        <x:f>IF(B401="","",'Motor_Meciuri'!D34)</x:f>
      </x:c>
      <x:c r="E401" s="2" t="str">
        <x:f>IF(B401="","",'Motor_Meciuri'!E34)</x:f>
      </x:c>
      <x:c r="F401" s="2" t="str">
        <x:v>O6,5</x:v>
      </x:c>
      <x:c r="G401" s="2" t="str">
        <x:v>OVER</x:v>
      </x:c>
      <x:c r="H401" s="2" t="n">
        <x:v>6</x:v>
      </x:c>
      <x:c r="I401" s="2" t="str">
        <x:f>IF(B401="","",'Motor_Meciuri'!H34)</x:f>
      </x:c>
      <x:c r="J401" s="2" t="str">
        <x:f>IF(B401="","",'Motor_Meciuri'!I34)</x:f>
      </x:c>
      <x:c r="K401" s="11" t="str">
        <x:f>IF(J401&lt;&gt;"PASS","",'Motor_Meciuri'!BD34)</x:f>
      </x:c>
      <x:c r="L401" s="11" t="str">
        <x:f>IF(J401&lt;&gt;"PASS","",'Motor_Meciuri'!AU34)</x:f>
      </x:c>
      <x:c r="M401" s="10" t="str">
        <x:f>IF(NOT(AND(J401="PASS",'Calibrare_Linii'!U9="VALID")),"",1-'Distributie'!AD34)</x:f>
      </x:c>
      <x:c r="N401" s="10" t="str">
        <x:f>IF(M401="","",MAX(0.01,MIN(0.99,0.5+(M401-0.5)*'Motor_Meciuri'!BG34*'Calibrare_Linii'!D9)))</x:f>
      </x:c>
      <x:c r="O401" s="10" t="str">
        <x:f>IF(M401="","",1-M401)</x:f>
      </x:c>
      <x:c r="P401" s="10" t="str">
        <x:f>IF(OR(NOT(AND(J401="PASS",'Calibrare_Linii'!U9="VALID")),AK401=0),""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*('Istoric_Nativ'!$Q$6:$Q$405&lt;=H401))/AK401)</x:f>
      </x:c>
      <x:c r="Q401" s="10" t="str">
        <x:f>IF(OR(NOT(AND(J401="PASS",'Calibrare_Linii'!U9="VALID")),AL401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M34)+((('Istoric_Nativ'!$E$6:$E$405='Input_Meci'!E34)+('Istoric_Nativ'!$F$6:$F$405='Input_Meci'!E34))&gt;0)*('Istoric_Nativ'!$D$6:$D$405&gt;='Motor_Meciuri'!BN34))&gt;0)*('Istoric_Nativ'!$Q$6:$Q$405&lt;=H401))/AL401)</x:f>
      </x:c>
      <x:c r="R401" s="10" t="str">
        <x:f>IF(OR(NOT(AND(J401="PASS",'Calibrare_Linii'!U9="VALID")),AM401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O34)+((('Istoric_Nativ'!$E$6:$E$405='Input_Meci'!E34)+('Istoric_Nativ'!$F$6:$F$405='Input_Meci'!E34))&gt;0)*('Istoric_Nativ'!$D$6:$D$405&gt;='Motor_Meciuri'!BP34))&gt;0)*('Istoric_Nativ'!$Q$6:$Q$405&lt;=H401))/AM401)</x:f>
      </x:c>
      <x:c r="S401" s="10" t="str">
        <x:f>IF(M401="","",MAX(O401,P401,Q401,R401))</x:f>
      </x:c>
      <x:c r="T401" s="11" t="str">
        <x:f>IF(M401="","",MIN(100,S401*100*'Config_v6'!$B$44+MIN(100,L401/'Config_v6'!$B$13*100)*'Config_v6'!$B$45+(100-'Motor_Meciuri'!BF34)*'Config_v6'!$B$46+'Motor_Meciuri'!BH34*100*'Config_v6'!$B$47))</x:f>
      </x:c>
      <x:c r="U401" s="2" t="str">
        <x:f>IF(T401="","",IF(T401&lt;=20,1,IF(T401&lt;=40,2,IF(T401&lt;=60,3,IF(T401&lt;=80,4,5)))))</x:f>
      </x:c>
      <x:c r="V401" s="2" t="str">
        <x:f>IF(M401="","",MAX(0,'Motor_Meciuri'!BF34-IF(W401="OOS PENDING",'Config_v6'!$B$35,0)-IF(L401&gt;'Config_v6'!$B$12,'Config_v6'!$B$37,IF(L401&gt;'Config_v6'!$B$11,'Config_v6'!$B$36,0))))</x:f>
      </x:c>
      <x:c r="W401" s="2" t="str">
        <x:f>IF(B401="","",IF(I401&lt;&gt;"READY","NOT RELEASED",IF(NOT(AND(J401="PASS",'Calibrare_Linii'!U9="VALID")),"INVALID",IF(NOT(AND('Calibrare_Linii'!S9="VALIDATED",AND('Calibrare_Linii'!H9=C401,ISNUMBER('Calibrare_Linii'!J9),'Calibrare_Linii'!J9&lt;='Input_Meci'!G34))),"OOS PENDING",IF(S401&lt;='Calibrare_Linii'!E9,"PASS",IF(S401&lt;='Calibrare_Linii'!F9,"PENALTY","WATCH"))))))</x:f>
      </x:c>
      <x:c r="X401" s="2" t="str">
        <x:f>IF(M401="","",IF(AND(AND(J401="PASS",'Calibrare_Linii'!U9="VALID"),'Motor_Meciuri'!K34=12,'Motor_Meciuri'!L34=12,'Motor_Meciuri'!M34="NO",'Motor_Meciuri'!BL34='Motor_Meciuri'!C34,AB401&gt;='Config_v6'!$B$50,AN401&gt;='Config_v6'!$B$51,T401&lt;='Config_v6'!$B$52,L401&lt;='Config_v6'!$B$53,ISNUMBER('Calibrare_Linii'!E9),S401&lt;='Calibrare_Linii'!E9,SUM(AK401:AM401)&gt;0),"CANDIDATE","NO"))</x:f>
      </x:c>
      <x:c r="Y401" s="2" t="str">
        <x:f>IF(B401="","",IF(I401&lt;&gt;"READY","NOT RELEASED",IF(AND(X401="CANDIDATE",V401&gt;='Config_v6'!$B$51,W401="PASS",'Calibrare_Linii'!T9="VALIDATED",AND('Calibrare_Linii'!H9=C401,ISNUMBER('Calibrare_Linii'!J9),'Calibrare_Linii'!J9&lt;='Input_Meci'!G34)),"PASS",IF(X401="CANDIDATE","OOS PENDING","FAIL"))))</x:f>
      </x:c>
      <x:c r="Z401" s="2" t="str">
        <x:f>IF(B401="","",IF(I401&lt;&gt;"READY","",IF(OR(NOT(AND(J401="PASS",'Calibrare_Linii'!U9="VALID")),L401&gt;'Config_v6'!$B$13,W401="WATCH"),5,IF(Y401="PASS",1,MIN(5,MAX('Config_v6'!$B$42,U401)+IF(W401="PENALTY",1,0))))))</x:f>
      </x:c>
      <x:c r="AA401" s="2" t="str">
        <x:f>IF(B401="","",IF(I401&lt;&gt;"READY","NOT RELEASED",IF(Z401=5,"NO BET",IF(OR(AB401&lt;'Config_v6'!$B$16,V401&lt;'Config_v6'!$B$18),"WATCH",IF(Z401=1,"DEFENSIV",IF(Z401=2,"PRUDENT",IF(Z401=3,"MODERAT","RIDICAT")))))))</x:f>
      </x:c>
      <x:c r="AB401" s="10" t="str">
        <x:f>IF(N401="","",MIN(N401,1-S401))</x:f>
      </x:c>
      <x:c r="AC401" s="2" t="str">
        <x:f>IF(AD401&lt;&gt;1,"",COUNTIFS($Z$398:$Z$411,"&lt;"&amp;Z401,$AD$398:$AD$411,1)+COUNTIFS($Z$398:$Z$411,Z401,$AB$398:$AB$411,"&gt;"&amp;AB401,$AD$398:$AD$411,1)+COUNTIFS($Z$398:$Z$411,Z401,$AB$398:$AB$411,AB401,$V$398:$V$411,"&gt;"&amp;V401,$AD$398:$AD$411,1)+COUNTIFS($Z$398:Z401,Z401,$AB$398:AB401,AB401,$V$398:V401,V401,$AD$398:AD401,1))</x:f>
      </x:c>
      <x:c r="AD401" s="2" t="n">
        <x:f>IF(OR(AA401="DEFENSIV",AA401="PRUDENT",AA401="MODERAT",AA401="RIDICAT"),1,0)</x:f>
        <x:v>0</x:v>
      </x:c>
      <x:c r="AE401" s="2" t="str">
        <x:f>IF(AD401&lt;&gt;1,"NO",IF(W401="PASS","YES",IF(W401="OOS PENDING","CONDITIONAL","NO")))</x:f>
        <x:v>NO</x:v>
      </x:c>
      <x:c r="AF401" s="2" t="n">
        <x:f>IF(AND(AD401=1,AC401=1,E401="LIVE"),1,0)</x:f>
        <x:v>0</x:v>
      </x:c>
      <x:c r="AG401" s="2" t="str">
        <x:f>IF(AF401&lt;&gt;1,"",'Dashboard'!P54)</x:f>
      </x:c>
      <x:c r="AH401" s="2" t="str">
        <x:f>IF(B401="","",IF(J401&lt;&gt;"PASS",'Motor_Meciuri'!J34,IF('Calibrare_Linii'!U9&lt;&gt;"VALID","Parametri linie invalizi",IF(L401&gt;'Config_v6'!$B$13,"Dispersie peste limita",IF(W401="WATCH","Failure peste limita",IF(AB401&lt;'Config_v6'!$B$16,"P finala sub prag",IF(V401&lt;'Config_v6'!$B$18,"Confidence sub prag",IF(E401="REPLAY","Exemplu retrospectiv; exclus din Top LIVE",IF(Y401="PASS","DEFENSIV validat",IF(W401="OOS PENDING","Eligibil; calibrare linie in monitorizare","Eligibil"))))))))))</x:f>
      </x:c>
      <x:c r="AI401" s="2" t="str">
        <x:f>IF(B401="","",'Calibrare_Linii'!V9)</x:f>
      </x:c>
      <x:c r="AJ401" s="2" t="str">
        <x:f>IF(B401="","",IF(AND('Calibrare_Linii'!T9="VALIDATED",AND('Calibrare_Linii'!H9=C401,ISNUMBER('Calibrare_Linii'!J9),'Calibrare_Linii'!J9&lt;='Input_Meci'!G34)),"DEFENSIVE VALIDATED",IF(AND('Calibrare_Linii'!S9="VALIDATED",AND('Calibrare_Linii'!H9=C401,ISNUMBER('Calibrare_Linii'!J9),'Calibrare_Linii'!J9&lt;='Input_Meci'!G34)),"TAIL VALIDATED","OOS PENDING")))</x:f>
      </x:c>
      <x:c r="AK401" s="2" t="n">
        <x:f>IF(J401&lt;&gt;"PASS",0,'Motor_Meciuri'!BR34)</x:f>
        <x:v>0</x:v>
      </x:c>
      <x:c r="AL401" s="2" t="n">
        <x:f>IF(J401&lt;&gt;"PASS",0,'Motor_Meciuri'!BS34)</x:f>
        <x:v>0</x:v>
      </x:c>
      <x:c r="AM401" s="2" t="n">
        <x:f>IF(J401&lt;&gt;"PASS",0,'Motor_Meciuri'!BT34)</x:f>
        <x:v>0</x:v>
      </x:c>
      <x:c r="AN401" s="2" t="str">
        <x:f>IF(M401="","",MAX(0,'Motor_Meciuri'!BF34-IF(L401&gt;'Config_v6'!$B$12,'Config_v6'!$B$37,IF(L401&gt;'Config_v6'!$B$11,'Config_v6'!$B$36,0))))</x:f>
      </x:c>
    </x:row>
    <x:row r="402" ht="21" customHeight="1">
      <x:c r="A402" s="2" t="n">
        <x:v>29</x:v>
      </x:c>
      <x:c r="B402" s="2" t="str">
        <x:f>IF('Motor_Meciuri'!A34="","",'Motor_Meciuri'!A34)</x:f>
      </x:c>
      <x:c r="C402" s="2" t="str">
        <x:f>IF(B402="","",'Motor_Meciuri'!B34)</x:f>
      </x:c>
      <x:c r="D402" s="2" t="str">
        <x:f>IF(B402="","",'Motor_Meciuri'!D34)</x:f>
      </x:c>
      <x:c r="E402" s="2" t="str">
        <x:f>IF(B402="","",'Motor_Meciuri'!E34)</x:f>
      </x:c>
      <x:c r="F402" s="2" t="str">
        <x:v>O7,5</x:v>
      </x:c>
      <x:c r="G402" s="2" t="str">
        <x:v>OVER</x:v>
      </x:c>
      <x:c r="H402" s="2" t="n">
        <x:v>7</x:v>
      </x:c>
      <x:c r="I402" s="2" t="str">
        <x:f>IF(B402="","",'Motor_Meciuri'!H34)</x:f>
      </x:c>
      <x:c r="J402" s="2" t="str">
        <x:f>IF(B402="","",'Motor_Meciuri'!I34)</x:f>
      </x:c>
      <x:c r="K402" s="11" t="str">
        <x:f>IF(J402&lt;&gt;"PASS","",'Motor_Meciuri'!BD34)</x:f>
      </x:c>
      <x:c r="L402" s="11" t="str">
        <x:f>IF(J402&lt;&gt;"PASS","",'Motor_Meciuri'!AU34)</x:f>
      </x:c>
      <x:c r="M402" s="10" t="str">
        <x:f>IF(NOT(AND(J402="PASS",'Calibrare_Linii'!U10="VALID")),"",1-'Distributie'!AE34)</x:f>
      </x:c>
      <x:c r="N402" s="10" t="str">
        <x:f>IF(M402="","",MAX(0.01,MIN(0.99,0.5+(M402-0.5)*'Motor_Meciuri'!BG34*'Calibrare_Linii'!D10)))</x:f>
      </x:c>
      <x:c r="O402" s="10" t="str">
        <x:f>IF(M402="","",1-M402)</x:f>
      </x:c>
      <x:c r="P402" s="10" t="str">
        <x:f>IF(OR(NOT(AND(J402="PASS",'Calibrare_Linii'!U10="VALID")),AK402=0),""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*('Istoric_Nativ'!$Q$6:$Q$405&lt;=H402))/AK402)</x:f>
      </x:c>
      <x:c r="Q402" s="10" t="str">
        <x:f>IF(OR(NOT(AND(J402="PASS",'Calibrare_Linii'!U10="VALID")),AL402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M34)+((('Istoric_Nativ'!$E$6:$E$405='Input_Meci'!E34)+('Istoric_Nativ'!$F$6:$F$405='Input_Meci'!E34))&gt;0)*('Istoric_Nativ'!$D$6:$D$405&gt;='Motor_Meciuri'!BN34))&gt;0)*('Istoric_Nativ'!$Q$6:$Q$405&lt;=H402))/AL402)</x:f>
      </x:c>
      <x:c r="R402" s="10" t="str">
        <x:f>IF(OR(NOT(AND(J402="PASS",'Calibrare_Linii'!U10="VALID")),AM402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O34)+((('Istoric_Nativ'!$E$6:$E$405='Input_Meci'!E34)+('Istoric_Nativ'!$F$6:$F$405='Input_Meci'!E34))&gt;0)*('Istoric_Nativ'!$D$6:$D$405&gt;='Motor_Meciuri'!BP34))&gt;0)*('Istoric_Nativ'!$Q$6:$Q$405&lt;=H402))/AM402)</x:f>
      </x:c>
      <x:c r="S402" s="10" t="str">
        <x:f>IF(M402="","",MAX(O402,P402,Q402,R402))</x:f>
      </x:c>
      <x:c r="T402" s="11" t="str">
        <x:f>IF(M402="","",MIN(100,S402*100*'Config_v6'!$B$44+MIN(100,L402/'Config_v6'!$B$13*100)*'Config_v6'!$B$45+(100-'Motor_Meciuri'!BF34)*'Config_v6'!$B$46+'Motor_Meciuri'!BH34*100*'Config_v6'!$B$47))</x:f>
      </x:c>
      <x:c r="U402" s="2" t="str">
        <x:f>IF(T402="","",IF(T402&lt;=20,1,IF(T402&lt;=40,2,IF(T402&lt;=60,3,IF(T402&lt;=80,4,5)))))</x:f>
      </x:c>
      <x:c r="V402" s="2" t="str">
        <x:f>IF(M402="","",MAX(0,'Motor_Meciuri'!BF34-IF(W402="OOS PENDING",'Config_v6'!$B$35,0)-IF(L402&gt;'Config_v6'!$B$12,'Config_v6'!$B$37,IF(L402&gt;'Config_v6'!$B$11,'Config_v6'!$B$36,0))))</x:f>
      </x:c>
      <x:c r="W402" s="2" t="str">
        <x:f>IF(B402="","",IF(I402&lt;&gt;"READY","NOT RELEASED",IF(NOT(AND(J402="PASS",'Calibrare_Linii'!U10="VALID")),"INVALID",IF(NOT(AND('Calibrare_Linii'!S10="VALIDATED",AND('Calibrare_Linii'!H10=C402,ISNUMBER('Calibrare_Linii'!J10),'Calibrare_Linii'!J10&lt;='Input_Meci'!G34))),"OOS PENDING",IF(S402&lt;='Calibrare_Linii'!E10,"PASS",IF(S402&lt;='Calibrare_Linii'!F10,"PENALTY","WATCH"))))))</x:f>
      </x:c>
      <x:c r="X402" s="2" t="str">
        <x:f>IF(M402="","",IF(AND(AND(J402="PASS",'Calibrare_Linii'!U10="VALID"),'Motor_Meciuri'!K34=12,'Motor_Meciuri'!L34=12,'Motor_Meciuri'!M34="NO",'Motor_Meciuri'!BL34='Motor_Meciuri'!C34,AB402&gt;='Config_v6'!$B$50,AN402&gt;='Config_v6'!$B$51,T402&lt;='Config_v6'!$B$52,L402&lt;='Config_v6'!$B$53,ISNUMBER('Calibrare_Linii'!E10),S402&lt;='Calibrare_Linii'!E10,SUM(AK402:AM402)&gt;0),"CANDIDATE","NO"))</x:f>
      </x:c>
      <x:c r="Y402" s="2" t="str">
        <x:f>IF(B402="","",IF(I402&lt;&gt;"READY","NOT RELEASED",IF(AND(X402="CANDIDATE",V402&gt;='Config_v6'!$B$51,W402="PASS",'Calibrare_Linii'!T10="VALIDATED",AND('Calibrare_Linii'!H10=C402,ISNUMBER('Calibrare_Linii'!J10),'Calibrare_Linii'!J10&lt;='Input_Meci'!G34)),"PASS",IF(X402="CANDIDATE","OOS PENDING","FAIL"))))</x:f>
      </x:c>
      <x:c r="Z402" s="2" t="str">
        <x:f>IF(B402="","",IF(I402&lt;&gt;"READY","",IF(OR(NOT(AND(J402="PASS",'Calibrare_Linii'!U10="VALID")),L402&gt;'Config_v6'!$B$13,W402="WATCH"),5,IF(Y402="PASS",1,MIN(5,MAX('Config_v6'!$B$42,U402)+IF(W402="PENALTY",1,0))))))</x:f>
      </x:c>
      <x:c r="AA402" s="2" t="str">
        <x:f>IF(B402="","",IF(I402&lt;&gt;"READY","NOT RELEASED",IF(Z402=5,"NO BET",IF(OR(AB402&lt;'Config_v6'!$B$16,V402&lt;'Config_v6'!$B$18),"WATCH",IF(Z402=1,"DEFENSIV",IF(Z402=2,"PRUDENT",IF(Z402=3,"MODERAT","RIDICAT")))))))</x:f>
      </x:c>
      <x:c r="AB402" s="10" t="str">
        <x:f>IF(N402="","",MIN(N402,1-S402))</x:f>
      </x:c>
      <x:c r="AC402" s="2" t="str">
        <x:f>IF(AD402&lt;&gt;1,"",COUNTIFS($Z$398:$Z$411,"&lt;"&amp;Z402,$AD$398:$AD$411,1)+COUNTIFS($Z$398:$Z$411,Z402,$AB$398:$AB$411,"&gt;"&amp;AB402,$AD$398:$AD$411,1)+COUNTIFS($Z$398:$Z$411,Z402,$AB$398:$AB$411,AB402,$V$398:$V$411,"&gt;"&amp;V402,$AD$398:$AD$411,1)+COUNTIFS($Z$398:Z402,Z402,$AB$398:AB402,AB402,$V$398:V402,V402,$AD$398:AD402,1))</x:f>
      </x:c>
      <x:c r="AD402" s="2" t="n">
        <x:f>IF(OR(AA402="DEFENSIV",AA402="PRUDENT",AA402="MODERAT",AA402="RIDICAT"),1,0)</x:f>
        <x:v>0</x:v>
      </x:c>
      <x:c r="AE402" s="2" t="str">
        <x:f>IF(AD402&lt;&gt;1,"NO",IF(W402="PASS","YES",IF(W402="OOS PENDING","CONDITIONAL","NO")))</x:f>
        <x:v>NO</x:v>
      </x:c>
      <x:c r="AF402" s="2" t="n">
        <x:f>IF(AND(AD402=1,AC402=1,E402="LIVE"),1,0)</x:f>
        <x:v>0</x:v>
      </x:c>
      <x:c r="AG402" s="2" t="str">
        <x:f>IF(AF402&lt;&gt;1,"",'Dashboard'!P54)</x:f>
      </x:c>
      <x:c r="AH402" s="2" t="str">
        <x:f>IF(B402="","",IF(J402&lt;&gt;"PASS",'Motor_Meciuri'!J34,IF('Calibrare_Linii'!U10&lt;&gt;"VALID","Parametri linie invalizi",IF(L402&gt;'Config_v6'!$B$13,"Dispersie peste limita",IF(W402="WATCH","Failure peste limita",IF(AB402&lt;'Config_v6'!$B$16,"P finala sub prag",IF(V402&lt;'Config_v6'!$B$18,"Confidence sub prag",IF(E402="REPLAY","Exemplu retrospectiv; exclus din Top LIVE",IF(Y402="PASS","DEFENSIV validat",IF(W402="OOS PENDING","Eligibil; calibrare linie in monitorizare","Eligibil"))))))))))</x:f>
      </x:c>
      <x:c r="AI402" s="2" t="str">
        <x:f>IF(B402="","",'Calibrare_Linii'!V10)</x:f>
      </x:c>
      <x:c r="AJ402" s="2" t="str">
        <x:f>IF(B402="","",IF(AND('Calibrare_Linii'!T10="VALIDATED",AND('Calibrare_Linii'!H10=C402,ISNUMBER('Calibrare_Linii'!J10),'Calibrare_Linii'!J10&lt;='Input_Meci'!G34)),"DEFENSIVE VALIDATED",IF(AND('Calibrare_Linii'!S10="VALIDATED",AND('Calibrare_Linii'!H10=C402,ISNUMBER('Calibrare_Linii'!J10),'Calibrare_Linii'!J10&lt;='Input_Meci'!G34)),"TAIL VALIDATED","OOS PENDING")))</x:f>
      </x:c>
      <x:c r="AK402" s="2" t="n">
        <x:f>IF(J402&lt;&gt;"PASS",0,'Motor_Meciuri'!BR34)</x:f>
        <x:v>0</x:v>
      </x:c>
      <x:c r="AL402" s="2" t="n">
        <x:f>IF(J402&lt;&gt;"PASS",0,'Motor_Meciuri'!BS34)</x:f>
        <x:v>0</x:v>
      </x:c>
      <x:c r="AM402" s="2" t="n">
        <x:f>IF(J402&lt;&gt;"PASS",0,'Motor_Meciuri'!BT34)</x:f>
        <x:v>0</x:v>
      </x:c>
      <x:c r="AN402" s="2" t="str">
        <x:f>IF(M402="","",MAX(0,'Motor_Meciuri'!BF34-IF(L402&gt;'Config_v6'!$B$12,'Config_v6'!$B$37,IF(L402&gt;'Config_v6'!$B$11,'Config_v6'!$B$36,0))))</x:f>
      </x:c>
    </x:row>
    <x:row r="403" ht="21" customHeight="1">
      <x:c r="A403" s="2" t="n">
        <x:v>29</x:v>
      </x:c>
      <x:c r="B403" s="2" t="str">
        <x:f>IF('Motor_Meciuri'!A34="","",'Motor_Meciuri'!A34)</x:f>
      </x:c>
      <x:c r="C403" s="2" t="str">
        <x:f>IF(B403="","",'Motor_Meciuri'!B34)</x:f>
      </x:c>
      <x:c r="D403" s="2" t="str">
        <x:f>IF(B403="","",'Motor_Meciuri'!D34)</x:f>
      </x:c>
      <x:c r="E403" s="2" t="str">
        <x:f>IF(B403="","",'Motor_Meciuri'!E34)</x:f>
      </x:c>
      <x:c r="F403" s="2" t="str">
        <x:v>O8,5</x:v>
      </x:c>
      <x:c r="G403" s="2" t="str">
        <x:v>OVER</x:v>
      </x:c>
      <x:c r="H403" s="2" t="n">
        <x:v>8</x:v>
      </x:c>
      <x:c r="I403" s="2" t="str">
        <x:f>IF(B403="","",'Motor_Meciuri'!H34)</x:f>
      </x:c>
      <x:c r="J403" s="2" t="str">
        <x:f>IF(B403="","",'Motor_Meciuri'!I34)</x:f>
      </x:c>
      <x:c r="K403" s="11" t="str">
        <x:f>IF(J403&lt;&gt;"PASS","",'Motor_Meciuri'!BD34)</x:f>
      </x:c>
      <x:c r="L403" s="11" t="str">
        <x:f>IF(J403&lt;&gt;"PASS","",'Motor_Meciuri'!AU34)</x:f>
      </x:c>
      <x:c r="M403" s="10" t="str">
        <x:f>IF(NOT(AND(J403="PASS",'Calibrare_Linii'!U11="VALID")),"",1-'Distributie'!AF34)</x:f>
      </x:c>
      <x:c r="N403" s="10" t="str">
        <x:f>IF(M403="","",MAX(0.01,MIN(0.99,0.5+(M403-0.5)*'Motor_Meciuri'!BG34*'Calibrare_Linii'!D11)))</x:f>
      </x:c>
      <x:c r="O403" s="10" t="str">
        <x:f>IF(M403="","",1-M403)</x:f>
      </x:c>
      <x:c r="P403" s="10" t="str">
        <x:f>IF(OR(NOT(AND(J403="PASS",'Calibrare_Linii'!U11="VALID")),AK403=0),""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*('Istoric_Nativ'!$Q$6:$Q$405&lt;=H403))/AK403)</x:f>
      </x:c>
      <x:c r="Q403" s="10" t="str">
        <x:f>IF(OR(NOT(AND(J403="PASS",'Calibrare_Linii'!U11="VALID")),AL403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M34)+((('Istoric_Nativ'!$E$6:$E$405='Input_Meci'!E34)+('Istoric_Nativ'!$F$6:$F$405='Input_Meci'!E34))&gt;0)*('Istoric_Nativ'!$D$6:$D$405&gt;='Motor_Meciuri'!BN34))&gt;0)*('Istoric_Nativ'!$Q$6:$Q$405&lt;=H403))/AL403)</x:f>
      </x:c>
      <x:c r="R403" s="10" t="str">
        <x:f>IF(OR(NOT(AND(J403="PASS",'Calibrare_Linii'!U11="VALID")),AM403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O34)+((('Istoric_Nativ'!$E$6:$E$405='Input_Meci'!E34)+('Istoric_Nativ'!$F$6:$F$405='Input_Meci'!E34))&gt;0)*('Istoric_Nativ'!$D$6:$D$405&gt;='Motor_Meciuri'!BP34))&gt;0)*('Istoric_Nativ'!$Q$6:$Q$405&lt;=H403))/AM403)</x:f>
      </x:c>
      <x:c r="S403" s="10" t="str">
        <x:f>IF(M403="","",MAX(O403,P403,Q403,R403))</x:f>
      </x:c>
      <x:c r="T403" s="11" t="str">
        <x:f>IF(M403="","",MIN(100,S403*100*'Config_v6'!$B$44+MIN(100,L403/'Config_v6'!$B$13*100)*'Config_v6'!$B$45+(100-'Motor_Meciuri'!BF34)*'Config_v6'!$B$46+'Motor_Meciuri'!BH34*100*'Config_v6'!$B$47))</x:f>
      </x:c>
      <x:c r="U403" s="2" t="str">
        <x:f>IF(T403="","",IF(T403&lt;=20,1,IF(T403&lt;=40,2,IF(T403&lt;=60,3,IF(T403&lt;=80,4,5)))))</x:f>
      </x:c>
      <x:c r="V403" s="2" t="str">
        <x:f>IF(M403="","",MAX(0,'Motor_Meciuri'!BF34-IF(W403="OOS PENDING",'Config_v6'!$B$35,0)-IF(L403&gt;'Config_v6'!$B$12,'Config_v6'!$B$37,IF(L403&gt;'Config_v6'!$B$11,'Config_v6'!$B$36,0))))</x:f>
      </x:c>
      <x:c r="W403" s="2" t="str">
        <x:f>IF(B403="","",IF(I403&lt;&gt;"READY","NOT RELEASED",IF(NOT(AND(J403="PASS",'Calibrare_Linii'!U11="VALID")),"INVALID",IF(NOT(AND('Calibrare_Linii'!S11="VALIDATED",AND('Calibrare_Linii'!H11=C403,ISNUMBER('Calibrare_Linii'!J11),'Calibrare_Linii'!J11&lt;='Input_Meci'!G34))),"OOS PENDING",IF(S403&lt;='Calibrare_Linii'!E11,"PASS",IF(S403&lt;='Calibrare_Linii'!F11,"PENALTY","WATCH"))))))</x:f>
      </x:c>
      <x:c r="X403" s="2" t="str">
        <x:f>IF(M403="","",IF(AND(AND(J403="PASS",'Calibrare_Linii'!U11="VALID"),'Motor_Meciuri'!K34=12,'Motor_Meciuri'!L34=12,'Motor_Meciuri'!M34="NO",'Motor_Meciuri'!BL34='Motor_Meciuri'!C34,AB403&gt;='Config_v6'!$B$50,AN403&gt;='Config_v6'!$B$51,T403&lt;='Config_v6'!$B$52,L403&lt;='Config_v6'!$B$53,ISNUMBER('Calibrare_Linii'!E11),S403&lt;='Calibrare_Linii'!E11,SUM(AK403:AM403)&gt;0),"CANDIDATE","NO"))</x:f>
      </x:c>
      <x:c r="Y403" s="2" t="str">
        <x:f>IF(B403="","",IF(I403&lt;&gt;"READY","NOT RELEASED",IF(AND(X403="CANDIDATE",V403&gt;='Config_v6'!$B$51,W403="PASS",'Calibrare_Linii'!T11="VALIDATED",AND('Calibrare_Linii'!H11=C403,ISNUMBER('Calibrare_Linii'!J11),'Calibrare_Linii'!J11&lt;='Input_Meci'!G34)),"PASS",IF(X403="CANDIDATE","OOS PENDING","FAIL"))))</x:f>
      </x:c>
      <x:c r="Z403" s="2" t="str">
        <x:f>IF(B403="","",IF(I403&lt;&gt;"READY","",IF(OR(NOT(AND(J403="PASS",'Calibrare_Linii'!U11="VALID")),L403&gt;'Config_v6'!$B$13,W403="WATCH"),5,IF(Y403="PASS",1,MIN(5,MAX('Config_v6'!$B$42,U403)+IF(W403="PENALTY",1,0))))))</x:f>
      </x:c>
      <x:c r="AA403" s="2" t="str">
        <x:f>IF(B403="","",IF(I403&lt;&gt;"READY","NOT RELEASED",IF(Z403=5,"NO BET",IF(OR(AB403&lt;'Config_v6'!$B$16,V403&lt;'Config_v6'!$B$18),"WATCH",IF(Z403=1,"DEFENSIV",IF(Z403=2,"PRUDENT",IF(Z403=3,"MODERAT","RIDICAT")))))))</x:f>
      </x:c>
      <x:c r="AB403" s="10" t="str">
        <x:f>IF(N403="","",MIN(N403,1-S403))</x:f>
      </x:c>
      <x:c r="AC403" s="2" t="str">
        <x:f>IF(AD403&lt;&gt;1,"",COUNTIFS($Z$398:$Z$411,"&lt;"&amp;Z403,$AD$398:$AD$411,1)+COUNTIFS($Z$398:$Z$411,Z403,$AB$398:$AB$411,"&gt;"&amp;AB403,$AD$398:$AD$411,1)+COUNTIFS($Z$398:$Z$411,Z403,$AB$398:$AB$411,AB403,$V$398:$V$411,"&gt;"&amp;V403,$AD$398:$AD$411,1)+COUNTIFS($Z$398:Z403,Z403,$AB$398:AB403,AB403,$V$398:V403,V403,$AD$398:AD403,1))</x:f>
      </x:c>
      <x:c r="AD403" s="2" t="n">
        <x:f>IF(OR(AA403="DEFENSIV",AA403="PRUDENT",AA403="MODERAT",AA403="RIDICAT"),1,0)</x:f>
        <x:v>0</x:v>
      </x:c>
      <x:c r="AE403" s="2" t="str">
        <x:f>IF(AD403&lt;&gt;1,"NO",IF(W403="PASS","YES",IF(W403="OOS PENDING","CONDITIONAL","NO")))</x:f>
        <x:v>NO</x:v>
      </x:c>
      <x:c r="AF403" s="2" t="n">
        <x:f>IF(AND(AD403=1,AC403=1,E403="LIVE"),1,0)</x:f>
        <x:v>0</x:v>
      </x:c>
      <x:c r="AG403" s="2" t="str">
        <x:f>IF(AF403&lt;&gt;1,"",'Dashboard'!P54)</x:f>
      </x:c>
      <x:c r="AH403" s="2" t="str">
        <x:f>IF(B403="","",IF(J403&lt;&gt;"PASS",'Motor_Meciuri'!J34,IF('Calibrare_Linii'!U11&lt;&gt;"VALID","Parametri linie invalizi",IF(L403&gt;'Config_v6'!$B$13,"Dispersie peste limita",IF(W403="WATCH","Failure peste limita",IF(AB403&lt;'Config_v6'!$B$16,"P finala sub prag",IF(V403&lt;'Config_v6'!$B$18,"Confidence sub prag",IF(E403="REPLAY","Exemplu retrospectiv; exclus din Top LIVE",IF(Y403="PASS","DEFENSIV validat",IF(W403="OOS PENDING","Eligibil; calibrare linie in monitorizare","Eligibil"))))))))))</x:f>
      </x:c>
      <x:c r="AI403" s="2" t="str">
        <x:f>IF(B403="","",'Calibrare_Linii'!V11)</x:f>
      </x:c>
      <x:c r="AJ403" s="2" t="str">
        <x:f>IF(B403="","",IF(AND('Calibrare_Linii'!T11="VALIDATED",AND('Calibrare_Linii'!H11=C403,ISNUMBER('Calibrare_Linii'!J11),'Calibrare_Linii'!J11&lt;='Input_Meci'!G34)),"DEFENSIVE VALIDATED",IF(AND('Calibrare_Linii'!S11="VALIDATED",AND('Calibrare_Linii'!H11=C403,ISNUMBER('Calibrare_Linii'!J11),'Calibrare_Linii'!J11&lt;='Input_Meci'!G34)),"TAIL VALIDATED","OOS PENDING")))</x:f>
      </x:c>
      <x:c r="AK403" s="2" t="n">
        <x:f>IF(J403&lt;&gt;"PASS",0,'Motor_Meciuri'!BR34)</x:f>
        <x:v>0</x:v>
      </x:c>
      <x:c r="AL403" s="2" t="n">
        <x:f>IF(J403&lt;&gt;"PASS",0,'Motor_Meciuri'!BS34)</x:f>
        <x:v>0</x:v>
      </x:c>
      <x:c r="AM403" s="2" t="n">
        <x:f>IF(J403&lt;&gt;"PASS",0,'Motor_Meciuri'!BT34)</x:f>
        <x:v>0</x:v>
      </x:c>
      <x:c r="AN403" s="2" t="str">
        <x:f>IF(M403="","",MAX(0,'Motor_Meciuri'!BF34-IF(L403&gt;'Config_v6'!$B$12,'Config_v6'!$B$37,IF(L403&gt;'Config_v6'!$B$11,'Config_v6'!$B$36,0))))</x:f>
      </x:c>
    </x:row>
    <x:row r="404" ht="21" customHeight="1">
      <x:c r="A404" s="2" t="n">
        <x:v>29</x:v>
      </x:c>
      <x:c r="B404" s="2" t="str">
        <x:f>IF('Motor_Meciuri'!A34="","",'Motor_Meciuri'!A34)</x:f>
      </x:c>
      <x:c r="C404" s="2" t="str">
        <x:f>IF(B404="","",'Motor_Meciuri'!B34)</x:f>
      </x:c>
      <x:c r="D404" s="2" t="str">
        <x:f>IF(B404="","",'Motor_Meciuri'!D34)</x:f>
      </x:c>
      <x:c r="E404" s="2" t="str">
        <x:f>IF(B404="","",'Motor_Meciuri'!E34)</x:f>
      </x:c>
      <x:c r="F404" s="2" t="str">
        <x:v>U10,5</x:v>
      </x:c>
      <x:c r="G404" s="2" t="str">
        <x:v>UNDER</x:v>
      </x:c>
      <x:c r="H404" s="2" t="n">
        <x:v>10</x:v>
      </x:c>
      <x:c r="I404" s="2" t="str">
        <x:f>IF(B404="","",'Motor_Meciuri'!H34)</x:f>
      </x:c>
      <x:c r="J404" s="2" t="str">
        <x:f>IF(B404="","",'Motor_Meciuri'!I34)</x:f>
      </x:c>
      <x:c r="K404" s="11" t="str">
        <x:f>IF(J404&lt;&gt;"PASS","",'Motor_Meciuri'!BD34)</x:f>
      </x:c>
      <x:c r="L404" s="11" t="str">
        <x:f>IF(J404&lt;&gt;"PASS","",'Motor_Meciuri'!AU34)</x:f>
      </x:c>
      <x:c r="M404" s="10" t="str">
        <x:f>IF(NOT(AND(J404="PASS",'Calibrare_Linii'!U12="VALID")),"",'Distributie'!AH34)</x:f>
      </x:c>
      <x:c r="N404" s="10" t="str">
        <x:f>IF(M404="","",MAX(0.01,MIN(0.99,0.5+(M404-0.5)*'Motor_Meciuri'!BG34*'Calibrare_Linii'!D12)))</x:f>
      </x:c>
      <x:c r="O404" s="10" t="str">
        <x:f>IF(M404="","",1-M404)</x:f>
      </x:c>
      <x:c r="P404" s="10" t="str">
        <x:f>IF(OR(NOT(AND(J404="PASS",'Calibrare_Linii'!U12="VALID")),AK404=0),""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*('Istoric_Nativ'!$Q$6:$Q$405&gt;H404))/AK404)</x:f>
      </x:c>
      <x:c r="Q404" s="10" t="str">
        <x:f>IF(OR(NOT(AND(J404="PASS",'Calibrare_Linii'!U12="VALID")),AL404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M34)+((('Istoric_Nativ'!$E$6:$E$405='Input_Meci'!E34)+('Istoric_Nativ'!$F$6:$F$405='Input_Meci'!E34))&gt;0)*('Istoric_Nativ'!$D$6:$D$405&gt;='Motor_Meciuri'!BN34))&gt;0)*('Istoric_Nativ'!$Q$6:$Q$405&gt;H404))/AL404)</x:f>
      </x:c>
      <x:c r="R404" s="10" t="str">
        <x:f>IF(OR(NOT(AND(J404="PASS",'Calibrare_Linii'!U12="VALID")),AM404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O34)+((('Istoric_Nativ'!$E$6:$E$405='Input_Meci'!E34)+('Istoric_Nativ'!$F$6:$F$405='Input_Meci'!E34))&gt;0)*('Istoric_Nativ'!$D$6:$D$405&gt;='Motor_Meciuri'!BP34))&gt;0)*('Istoric_Nativ'!$Q$6:$Q$405&gt;H404))/AM404)</x:f>
      </x:c>
      <x:c r="S404" s="10" t="str">
        <x:f>IF(M404="","",MAX(O404,P404,Q404,R404))</x:f>
      </x:c>
      <x:c r="T404" s="11" t="str">
        <x:f>IF(M404="","",MIN(100,S404*100*'Config_v6'!$B$44+MIN(100,L404/'Config_v6'!$B$13*100)*'Config_v6'!$B$45+(100-'Motor_Meciuri'!BF34)*'Config_v6'!$B$46+'Motor_Meciuri'!BH34*100*'Config_v6'!$B$47))</x:f>
      </x:c>
      <x:c r="U404" s="2" t="str">
        <x:f>IF(T404="","",IF(T404&lt;=20,1,IF(T404&lt;=40,2,IF(T404&lt;=60,3,IF(T404&lt;=80,4,5)))))</x:f>
      </x:c>
      <x:c r="V404" s="2" t="str">
        <x:f>IF(M404="","",MAX(0,'Motor_Meciuri'!BF34-IF(W404="OOS PENDING",'Config_v6'!$B$35,0)-IF(L404&gt;'Config_v6'!$B$12,'Config_v6'!$B$37,IF(L404&gt;'Config_v6'!$B$11,'Config_v6'!$B$36,0))))</x:f>
      </x:c>
      <x:c r="W404" s="2" t="str">
        <x:f>IF(B404="","",IF(I404&lt;&gt;"READY","NOT RELEASED",IF(NOT(AND(J404="PASS",'Calibrare_Linii'!U12="VALID")),"INVALID",IF(NOT(AND('Calibrare_Linii'!S12="VALIDATED",AND('Calibrare_Linii'!H12=C404,ISNUMBER('Calibrare_Linii'!J12),'Calibrare_Linii'!J12&lt;='Input_Meci'!G34))),"OOS PENDING",IF(S404&lt;='Calibrare_Linii'!E12,"PASS",IF(S404&lt;='Calibrare_Linii'!F12,"PENALTY","WATCH"))))))</x:f>
      </x:c>
      <x:c r="X404" s="2" t="str">
        <x:f>IF(M404="","",IF(AND(AND(J404="PASS",'Calibrare_Linii'!U12="VALID"),'Motor_Meciuri'!K34=12,'Motor_Meciuri'!L34=12,'Motor_Meciuri'!M34="NO",'Motor_Meciuri'!BL34='Motor_Meciuri'!C34,AB404&gt;='Config_v6'!$B$50,AN404&gt;='Config_v6'!$B$51,T404&lt;='Config_v6'!$B$52,L404&lt;='Config_v6'!$B$53,ISNUMBER('Calibrare_Linii'!E12),S404&lt;='Calibrare_Linii'!E12,SUM(AK404:AM404)&gt;0),"CANDIDATE","NO"))</x:f>
      </x:c>
      <x:c r="Y404" s="2" t="str">
        <x:f>IF(B404="","",IF(I404&lt;&gt;"READY","NOT RELEASED",IF(AND(X404="CANDIDATE",V404&gt;='Config_v6'!$B$51,W404="PASS",'Calibrare_Linii'!T12="VALIDATED",AND('Calibrare_Linii'!H12=C404,ISNUMBER('Calibrare_Linii'!J12),'Calibrare_Linii'!J12&lt;='Input_Meci'!G34)),"PASS",IF(X404="CANDIDATE","OOS PENDING","FAIL"))))</x:f>
      </x:c>
      <x:c r="Z404" s="2" t="str">
        <x:f>IF(B404="","",IF(I404&lt;&gt;"READY","",IF(OR(NOT(AND(J404="PASS",'Calibrare_Linii'!U12="VALID")),L404&gt;'Config_v6'!$B$13,W404="WATCH"),5,IF(Y404="PASS",1,MIN(5,MAX('Config_v6'!$B$42,U404)+IF(W404="PENALTY",1,0))))))</x:f>
      </x:c>
      <x:c r="AA404" s="2" t="str">
        <x:f>IF(B404="","",IF(I404&lt;&gt;"READY","NOT RELEASED",IF(Z404=5,"NO BET",IF(OR(AB404&lt;'Config_v6'!$B$16,V404&lt;'Config_v6'!$B$18),"WATCH",IF(Z404=1,"DEFENSIV",IF(Z404=2,"PRUDENT",IF(Z404=3,"MODERAT","RIDICAT")))))))</x:f>
      </x:c>
      <x:c r="AB404" s="10" t="str">
        <x:f>IF(N404="","",MIN(N404,1-S404))</x:f>
      </x:c>
      <x:c r="AC404" s="2" t="str">
        <x:f>IF(AD404&lt;&gt;1,"",COUNTIFS($Z$398:$Z$411,"&lt;"&amp;Z404,$AD$398:$AD$411,1)+COUNTIFS($Z$398:$Z$411,Z404,$AB$398:$AB$411,"&gt;"&amp;AB404,$AD$398:$AD$411,1)+COUNTIFS($Z$398:$Z$411,Z404,$AB$398:$AB$411,AB404,$V$398:$V$411,"&gt;"&amp;V404,$AD$398:$AD$411,1)+COUNTIFS($Z$398:Z404,Z404,$AB$398:AB404,AB404,$V$398:V404,V404,$AD$398:AD404,1))</x:f>
      </x:c>
      <x:c r="AD404" s="2" t="n">
        <x:f>IF(OR(AA404="DEFENSIV",AA404="PRUDENT",AA404="MODERAT",AA404="RIDICAT"),1,0)</x:f>
        <x:v>0</x:v>
      </x:c>
      <x:c r="AE404" s="2" t="str">
        <x:f>IF(AD404&lt;&gt;1,"NO",IF(W404="PASS","YES",IF(W404="OOS PENDING","CONDITIONAL","NO")))</x:f>
        <x:v>NO</x:v>
      </x:c>
      <x:c r="AF404" s="2" t="n">
        <x:f>IF(AND(AD404=1,AC404=1,E404="LIVE"),1,0)</x:f>
        <x:v>0</x:v>
      </x:c>
      <x:c r="AG404" s="2" t="str">
        <x:f>IF(AF404&lt;&gt;1,"",'Dashboard'!P54)</x:f>
      </x:c>
      <x:c r="AH404" s="2" t="str">
        <x:f>IF(B404="","",IF(J404&lt;&gt;"PASS",'Motor_Meciuri'!J34,IF('Calibrare_Linii'!U12&lt;&gt;"VALID","Parametri linie invalizi",IF(L404&gt;'Config_v6'!$B$13,"Dispersie peste limita",IF(W404="WATCH","Failure peste limita",IF(AB404&lt;'Config_v6'!$B$16,"P finala sub prag",IF(V404&lt;'Config_v6'!$B$18,"Confidence sub prag",IF(E404="REPLAY","Exemplu retrospectiv; exclus din Top LIVE",IF(Y404="PASS","DEFENSIV validat",IF(W404="OOS PENDING","Eligibil; calibrare linie in monitorizare","Eligibil"))))))))))</x:f>
      </x:c>
      <x:c r="AI404" s="2" t="str">
        <x:f>IF(B404="","",'Calibrare_Linii'!V12)</x:f>
      </x:c>
      <x:c r="AJ404" s="2" t="str">
        <x:f>IF(B404="","",IF(AND('Calibrare_Linii'!T12="VALIDATED",AND('Calibrare_Linii'!H12=C404,ISNUMBER('Calibrare_Linii'!J12),'Calibrare_Linii'!J12&lt;='Input_Meci'!G34)),"DEFENSIVE VALIDATED",IF(AND('Calibrare_Linii'!S12="VALIDATED",AND('Calibrare_Linii'!H12=C404,ISNUMBER('Calibrare_Linii'!J12),'Calibrare_Linii'!J12&lt;='Input_Meci'!G34)),"TAIL VALIDATED","OOS PENDING")))</x:f>
      </x:c>
      <x:c r="AK404" s="2" t="n">
        <x:f>IF(J404&lt;&gt;"PASS",0,'Motor_Meciuri'!BR34)</x:f>
        <x:v>0</x:v>
      </x:c>
      <x:c r="AL404" s="2" t="n">
        <x:f>IF(J404&lt;&gt;"PASS",0,'Motor_Meciuri'!BS34)</x:f>
        <x:v>0</x:v>
      </x:c>
      <x:c r="AM404" s="2" t="n">
        <x:f>IF(J404&lt;&gt;"PASS",0,'Motor_Meciuri'!BT34)</x:f>
        <x:v>0</x:v>
      </x:c>
      <x:c r="AN404" s="2" t="str">
        <x:f>IF(M404="","",MAX(0,'Motor_Meciuri'!BF34-IF(L404&gt;'Config_v6'!$B$12,'Config_v6'!$B$37,IF(L404&gt;'Config_v6'!$B$11,'Config_v6'!$B$36,0))))</x:f>
      </x:c>
    </x:row>
    <x:row r="405" ht="21" customHeight="1">
      <x:c r="A405" s="2" t="n">
        <x:v>29</x:v>
      </x:c>
      <x:c r="B405" s="2" t="str">
        <x:f>IF('Motor_Meciuri'!A34="","",'Motor_Meciuri'!A34)</x:f>
      </x:c>
      <x:c r="C405" s="2" t="str">
        <x:f>IF(B405="","",'Motor_Meciuri'!B34)</x:f>
      </x:c>
      <x:c r="D405" s="2" t="str">
        <x:f>IF(B405="","",'Motor_Meciuri'!D34)</x:f>
      </x:c>
      <x:c r="E405" s="2" t="str">
        <x:f>IF(B405="","",'Motor_Meciuri'!E34)</x:f>
      </x:c>
      <x:c r="F405" s="2" t="str">
        <x:v>U11,5</x:v>
      </x:c>
      <x:c r="G405" s="2" t="str">
        <x:v>UNDER</x:v>
      </x:c>
      <x:c r="H405" s="2" t="n">
        <x:v>11</x:v>
      </x:c>
      <x:c r="I405" s="2" t="str">
        <x:f>IF(B405="","",'Motor_Meciuri'!H34)</x:f>
      </x:c>
      <x:c r="J405" s="2" t="str">
        <x:f>IF(B405="","",'Motor_Meciuri'!I34)</x:f>
      </x:c>
      <x:c r="K405" s="11" t="str">
        <x:f>IF(J405&lt;&gt;"PASS","",'Motor_Meciuri'!BD34)</x:f>
      </x:c>
      <x:c r="L405" s="11" t="str">
        <x:f>IF(J405&lt;&gt;"PASS","",'Motor_Meciuri'!AU34)</x:f>
      </x:c>
      <x:c r="M405" s="10" t="str">
        <x:f>IF(NOT(AND(J405="PASS",'Calibrare_Linii'!U13="VALID")),"",'Distributie'!AI34)</x:f>
      </x:c>
      <x:c r="N405" s="10" t="str">
        <x:f>IF(M405="","",MAX(0.01,MIN(0.99,0.5+(M405-0.5)*'Motor_Meciuri'!BG34*'Calibrare_Linii'!D13)))</x:f>
      </x:c>
      <x:c r="O405" s="10" t="str">
        <x:f>IF(M405="","",1-M405)</x:f>
      </x:c>
      <x:c r="P405" s="10" t="str">
        <x:f>IF(OR(NOT(AND(J405="PASS",'Calibrare_Linii'!U13="VALID")),AK405=0),""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*('Istoric_Nativ'!$Q$6:$Q$405&gt;H405))/AK405)</x:f>
      </x:c>
      <x:c r="Q405" s="10" t="str">
        <x:f>IF(OR(NOT(AND(J405="PASS",'Calibrare_Linii'!U13="VALID")),AL405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M34)+((('Istoric_Nativ'!$E$6:$E$405='Input_Meci'!E34)+('Istoric_Nativ'!$F$6:$F$405='Input_Meci'!E34))&gt;0)*('Istoric_Nativ'!$D$6:$D$405&gt;='Motor_Meciuri'!BN34))&gt;0)*('Istoric_Nativ'!$Q$6:$Q$405&gt;H405))/AL405)</x:f>
      </x:c>
      <x:c r="R405" s="10" t="str">
        <x:f>IF(OR(NOT(AND(J405="PASS",'Calibrare_Linii'!U13="VALID")),AM405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O34)+((('Istoric_Nativ'!$E$6:$E$405='Input_Meci'!E34)+('Istoric_Nativ'!$F$6:$F$405='Input_Meci'!E34))&gt;0)*('Istoric_Nativ'!$D$6:$D$405&gt;='Motor_Meciuri'!BP34))&gt;0)*('Istoric_Nativ'!$Q$6:$Q$405&gt;H405))/AM405)</x:f>
      </x:c>
      <x:c r="S405" s="10" t="str">
        <x:f>IF(M405="","",MAX(O405,P405,Q405,R405))</x:f>
      </x:c>
      <x:c r="T405" s="11" t="str">
        <x:f>IF(M405="","",MIN(100,S405*100*'Config_v6'!$B$44+MIN(100,L405/'Config_v6'!$B$13*100)*'Config_v6'!$B$45+(100-'Motor_Meciuri'!BF34)*'Config_v6'!$B$46+'Motor_Meciuri'!BH34*100*'Config_v6'!$B$47))</x:f>
      </x:c>
      <x:c r="U405" s="2" t="str">
        <x:f>IF(T405="","",IF(T405&lt;=20,1,IF(T405&lt;=40,2,IF(T405&lt;=60,3,IF(T405&lt;=80,4,5)))))</x:f>
      </x:c>
      <x:c r="V405" s="2" t="str">
        <x:f>IF(M405="","",MAX(0,'Motor_Meciuri'!BF34-IF(W405="OOS PENDING",'Config_v6'!$B$35,0)-IF(L405&gt;'Config_v6'!$B$12,'Config_v6'!$B$37,IF(L405&gt;'Config_v6'!$B$11,'Config_v6'!$B$36,0))))</x:f>
      </x:c>
      <x:c r="W405" s="2" t="str">
        <x:f>IF(B405="","",IF(I405&lt;&gt;"READY","NOT RELEASED",IF(NOT(AND(J405="PASS",'Calibrare_Linii'!U13="VALID")),"INVALID",IF(NOT(AND('Calibrare_Linii'!S13="VALIDATED",AND('Calibrare_Linii'!H13=C405,ISNUMBER('Calibrare_Linii'!J13),'Calibrare_Linii'!J13&lt;='Input_Meci'!G34))),"OOS PENDING",IF(S405&lt;='Calibrare_Linii'!E13,"PASS",IF(S405&lt;='Calibrare_Linii'!F13,"PENALTY","WATCH"))))))</x:f>
      </x:c>
      <x:c r="X405" s="2" t="str">
        <x:f>IF(M405="","",IF(AND(AND(J405="PASS",'Calibrare_Linii'!U13="VALID"),'Motor_Meciuri'!K34=12,'Motor_Meciuri'!L34=12,'Motor_Meciuri'!M34="NO",'Motor_Meciuri'!BL34='Motor_Meciuri'!C34,AB405&gt;='Config_v6'!$B$50,AN405&gt;='Config_v6'!$B$51,T405&lt;='Config_v6'!$B$52,L405&lt;='Config_v6'!$B$53,ISNUMBER('Calibrare_Linii'!E13),S405&lt;='Calibrare_Linii'!E13,SUM(AK405:AM405)&gt;0),"CANDIDATE","NO"))</x:f>
      </x:c>
      <x:c r="Y405" s="2" t="str">
        <x:f>IF(B405="","",IF(I405&lt;&gt;"READY","NOT RELEASED",IF(AND(X405="CANDIDATE",V405&gt;='Config_v6'!$B$51,W405="PASS",'Calibrare_Linii'!T13="VALIDATED",AND('Calibrare_Linii'!H13=C405,ISNUMBER('Calibrare_Linii'!J13),'Calibrare_Linii'!J13&lt;='Input_Meci'!G34)),"PASS",IF(X405="CANDIDATE","OOS PENDING","FAIL"))))</x:f>
      </x:c>
      <x:c r="Z405" s="2" t="str">
        <x:f>IF(B405="","",IF(I405&lt;&gt;"READY","",IF(OR(NOT(AND(J405="PASS",'Calibrare_Linii'!U13="VALID")),L405&gt;'Config_v6'!$B$13,W405="WATCH"),5,IF(Y405="PASS",1,MIN(5,MAX('Config_v6'!$B$42,U405)+IF(W405="PENALTY",1,0))))))</x:f>
      </x:c>
      <x:c r="AA405" s="2" t="str">
        <x:f>IF(B405="","",IF(I405&lt;&gt;"READY","NOT RELEASED",IF(Z405=5,"NO BET",IF(OR(AB405&lt;'Config_v6'!$B$16,V405&lt;'Config_v6'!$B$18),"WATCH",IF(Z405=1,"DEFENSIV",IF(Z405=2,"PRUDENT",IF(Z405=3,"MODERAT","RIDICAT")))))))</x:f>
      </x:c>
      <x:c r="AB405" s="10" t="str">
        <x:f>IF(N405="","",MIN(N405,1-S405))</x:f>
      </x:c>
      <x:c r="AC405" s="2" t="str">
        <x:f>IF(AD405&lt;&gt;1,"",COUNTIFS($Z$398:$Z$411,"&lt;"&amp;Z405,$AD$398:$AD$411,1)+COUNTIFS($Z$398:$Z$411,Z405,$AB$398:$AB$411,"&gt;"&amp;AB405,$AD$398:$AD$411,1)+COUNTIFS($Z$398:$Z$411,Z405,$AB$398:$AB$411,AB405,$V$398:$V$411,"&gt;"&amp;V405,$AD$398:$AD$411,1)+COUNTIFS($Z$398:Z405,Z405,$AB$398:AB405,AB405,$V$398:V405,V405,$AD$398:AD405,1))</x:f>
      </x:c>
      <x:c r="AD405" s="2" t="n">
        <x:f>IF(OR(AA405="DEFENSIV",AA405="PRUDENT",AA405="MODERAT",AA405="RIDICAT"),1,0)</x:f>
        <x:v>0</x:v>
      </x:c>
      <x:c r="AE405" s="2" t="str">
        <x:f>IF(AD405&lt;&gt;1,"NO",IF(W405="PASS","YES",IF(W405="OOS PENDING","CONDITIONAL","NO")))</x:f>
        <x:v>NO</x:v>
      </x:c>
      <x:c r="AF405" s="2" t="n">
        <x:f>IF(AND(AD405=1,AC405=1,E405="LIVE"),1,0)</x:f>
        <x:v>0</x:v>
      </x:c>
      <x:c r="AG405" s="2" t="str">
        <x:f>IF(AF405&lt;&gt;1,"",'Dashboard'!P54)</x:f>
      </x:c>
      <x:c r="AH405" s="2" t="str">
        <x:f>IF(B405="","",IF(J405&lt;&gt;"PASS",'Motor_Meciuri'!J34,IF('Calibrare_Linii'!U13&lt;&gt;"VALID","Parametri linie invalizi",IF(L405&gt;'Config_v6'!$B$13,"Dispersie peste limita",IF(W405="WATCH","Failure peste limita",IF(AB405&lt;'Config_v6'!$B$16,"P finala sub prag",IF(V405&lt;'Config_v6'!$B$18,"Confidence sub prag",IF(E405="REPLAY","Exemplu retrospectiv; exclus din Top LIVE",IF(Y405="PASS","DEFENSIV validat",IF(W405="OOS PENDING","Eligibil; calibrare linie in monitorizare","Eligibil"))))))))))</x:f>
      </x:c>
      <x:c r="AI405" s="2" t="str">
        <x:f>IF(B405="","",'Calibrare_Linii'!V13)</x:f>
      </x:c>
      <x:c r="AJ405" s="2" t="str">
        <x:f>IF(B405="","",IF(AND('Calibrare_Linii'!T13="VALIDATED",AND('Calibrare_Linii'!H13=C405,ISNUMBER('Calibrare_Linii'!J13),'Calibrare_Linii'!J13&lt;='Input_Meci'!G34)),"DEFENSIVE VALIDATED",IF(AND('Calibrare_Linii'!S13="VALIDATED",AND('Calibrare_Linii'!H13=C405,ISNUMBER('Calibrare_Linii'!J13),'Calibrare_Linii'!J13&lt;='Input_Meci'!G34)),"TAIL VALIDATED","OOS PENDING")))</x:f>
      </x:c>
      <x:c r="AK405" s="2" t="n">
        <x:f>IF(J405&lt;&gt;"PASS",0,'Motor_Meciuri'!BR34)</x:f>
        <x:v>0</x:v>
      </x:c>
      <x:c r="AL405" s="2" t="n">
        <x:f>IF(J405&lt;&gt;"PASS",0,'Motor_Meciuri'!BS34)</x:f>
        <x:v>0</x:v>
      </x:c>
      <x:c r="AM405" s="2" t="n">
        <x:f>IF(J405&lt;&gt;"PASS",0,'Motor_Meciuri'!BT34)</x:f>
        <x:v>0</x:v>
      </x:c>
      <x:c r="AN405" s="2" t="str">
        <x:f>IF(M405="","",MAX(0,'Motor_Meciuri'!BF34-IF(L405&gt;'Config_v6'!$B$12,'Config_v6'!$B$37,IF(L405&gt;'Config_v6'!$B$11,'Config_v6'!$B$36,0))))</x:f>
      </x:c>
    </x:row>
    <x:row r="406" ht="21" customHeight="1">
      <x:c r="A406" s="2" t="n">
        <x:v>29</x:v>
      </x:c>
      <x:c r="B406" s="2" t="str">
        <x:f>IF('Motor_Meciuri'!A34="","",'Motor_Meciuri'!A34)</x:f>
      </x:c>
      <x:c r="C406" s="2" t="str">
        <x:f>IF(B406="","",'Motor_Meciuri'!B34)</x:f>
      </x:c>
      <x:c r="D406" s="2" t="str">
        <x:f>IF(B406="","",'Motor_Meciuri'!D34)</x:f>
      </x:c>
      <x:c r="E406" s="2" t="str">
        <x:f>IF(B406="","",'Motor_Meciuri'!E34)</x:f>
      </x:c>
      <x:c r="F406" s="2" t="str">
        <x:v>U12,5</x:v>
      </x:c>
      <x:c r="G406" s="2" t="str">
        <x:v>UNDER</x:v>
      </x:c>
      <x:c r="H406" s="2" t="n">
        <x:v>12</x:v>
      </x:c>
      <x:c r="I406" s="2" t="str">
        <x:f>IF(B406="","",'Motor_Meciuri'!H34)</x:f>
      </x:c>
      <x:c r="J406" s="2" t="str">
        <x:f>IF(B406="","",'Motor_Meciuri'!I34)</x:f>
      </x:c>
      <x:c r="K406" s="11" t="str">
        <x:f>IF(J406&lt;&gt;"PASS","",'Motor_Meciuri'!BD34)</x:f>
      </x:c>
      <x:c r="L406" s="11" t="str">
        <x:f>IF(J406&lt;&gt;"PASS","",'Motor_Meciuri'!AU34)</x:f>
      </x:c>
      <x:c r="M406" s="10" t="str">
        <x:f>IF(NOT(AND(J406="PASS",'Calibrare_Linii'!U14="VALID")),"",'Distributie'!AJ34)</x:f>
      </x:c>
      <x:c r="N406" s="10" t="str">
        <x:f>IF(M406="","",MAX(0.01,MIN(0.99,0.5+(M406-0.5)*'Motor_Meciuri'!BG34*'Calibrare_Linii'!D14)))</x:f>
      </x:c>
      <x:c r="O406" s="10" t="str">
        <x:f>IF(M406="","",1-M406)</x:f>
      </x:c>
      <x:c r="P406" s="10" t="str">
        <x:f>IF(OR(NOT(AND(J406="PASS",'Calibrare_Linii'!U14="VALID")),AK406=0),""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*('Istoric_Nativ'!$Q$6:$Q$405&gt;H406))/AK406)</x:f>
      </x:c>
      <x:c r="Q406" s="10" t="str">
        <x:f>IF(OR(NOT(AND(J406="PASS",'Calibrare_Linii'!U14="VALID")),AL406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M34)+((('Istoric_Nativ'!$E$6:$E$405='Input_Meci'!E34)+('Istoric_Nativ'!$F$6:$F$405='Input_Meci'!E34))&gt;0)*('Istoric_Nativ'!$D$6:$D$405&gt;='Motor_Meciuri'!BN34))&gt;0)*('Istoric_Nativ'!$Q$6:$Q$405&gt;H406))/AL406)</x:f>
      </x:c>
      <x:c r="R406" s="10" t="str">
        <x:f>IF(OR(NOT(AND(J406="PASS",'Calibrare_Linii'!U14="VALID")),AM406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O34)+((('Istoric_Nativ'!$E$6:$E$405='Input_Meci'!E34)+('Istoric_Nativ'!$F$6:$F$405='Input_Meci'!E34))&gt;0)*('Istoric_Nativ'!$D$6:$D$405&gt;='Motor_Meciuri'!BP34))&gt;0)*('Istoric_Nativ'!$Q$6:$Q$405&gt;H406))/AM406)</x:f>
      </x:c>
      <x:c r="S406" s="10" t="str">
        <x:f>IF(M406="","",MAX(O406,P406,Q406,R406))</x:f>
      </x:c>
      <x:c r="T406" s="11" t="str">
        <x:f>IF(M406="","",MIN(100,S406*100*'Config_v6'!$B$44+MIN(100,L406/'Config_v6'!$B$13*100)*'Config_v6'!$B$45+(100-'Motor_Meciuri'!BF34)*'Config_v6'!$B$46+'Motor_Meciuri'!BH34*100*'Config_v6'!$B$47))</x:f>
      </x:c>
      <x:c r="U406" s="2" t="str">
        <x:f>IF(T406="","",IF(T406&lt;=20,1,IF(T406&lt;=40,2,IF(T406&lt;=60,3,IF(T406&lt;=80,4,5)))))</x:f>
      </x:c>
      <x:c r="V406" s="2" t="str">
        <x:f>IF(M406="","",MAX(0,'Motor_Meciuri'!BF34-IF(W406="OOS PENDING",'Config_v6'!$B$35,0)-IF(L406&gt;'Config_v6'!$B$12,'Config_v6'!$B$37,IF(L406&gt;'Config_v6'!$B$11,'Config_v6'!$B$36,0))))</x:f>
      </x:c>
      <x:c r="W406" s="2" t="str">
        <x:f>IF(B406="","",IF(I406&lt;&gt;"READY","NOT RELEASED",IF(NOT(AND(J406="PASS",'Calibrare_Linii'!U14="VALID")),"INVALID",IF(NOT(AND('Calibrare_Linii'!S14="VALIDATED",AND('Calibrare_Linii'!H14=C406,ISNUMBER('Calibrare_Linii'!J14),'Calibrare_Linii'!J14&lt;='Input_Meci'!G34))),"OOS PENDING",IF(S406&lt;='Calibrare_Linii'!E14,"PASS",IF(S406&lt;='Calibrare_Linii'!F14,"PENALTY","WATCH"))))))</x:f>
      </x:c>
      <x:c r="X406" s="2" t="str">
        <x:f>IF(M406="","",IF(AND(AND(J406="PASS",'Calibrare_Linii'!U14="VALID"),'Motor_Meciuri'!K34=12,'Motor_Meciuri'!L34=12,'Motor_Meciuri'!M34="NO",'Motor_Meciuri'!BL34='Motor_Meciuri'!C34,AB406&gt;='Config_v6'!$B$50,AN406&gt;='Config_v6'!$B$51,T406&lt;='Config_v6'!$B$52,L406&lt;='Config_v6'!$B$53,ISNUMBER('Calibrare_Linii'!E14),S406&lt;='Calibrare_Linii'!E14,SUM(AK406:AM406)&gt;0),"CANDIDATE","NO"))</x:f>
      </x:c>
      <x:c r="Y406" s="2" t="str">
        <x:f>IF(B406="","",IF(I406&lt;&gt;"READY","NOT RELEASED",IF(AND(X406="CANDIDATE",V406&gt;='Config_v6'!$B$51,W406="PASS",'Calibrare_Linii'!T14="VALIDATED",AND('Calibrare_Linii'!H14=C406,ISNUMBER('Calibrare_Linii'!J14),'Calibrare_Linii'!J14&lt;='Input_Meci'!G34)),"PASS",IF(X406="CANDIDATE","OOS PENDING","FAIL"))))</x:f>
      </x:c>
      <x:c r="Z406" s="2" t="str">
        <x:f>IF(B406="","",IF(I406&lt;&gt;"READY","",IF(OR(NOT(AND(J406="PASS",'Calibrare_Linii'!U14="VALID")),L406&gt;'Config_v6'!$B$13,W406="WATCH"),5,IF(Y406="PASS",1,MIN(5,MAX('Config_v6'!$B$42,U406)+IF(W406="PENALTY",1,0))))))</x:f>
      </x:c>
      <x:c r="AA406" s="2" t="str">
        <x:f>IF(B406="","",IF(I406&lt;&gt;"READY","NOT RELEASED",IF(Z406=5,"NO BET",IF(OR(AB406&lt;'Config_v6'!$B$16,V406&lt;'Config_v6'!$B$18),"WATCH",IF(Z406=1,"DEFENSIV",IF(Z406=2,"PRUDENT",IF(Z406=3,"MODERAT","RIDICAT")))))))</x:f>
      </x:c>
      <x:c r="AB406" s="10" t="str">
        <x:f>IF(N406="","",MIN(N406,1-S406))</x:f>
      </x:c>
      <x:c r="AC406" s="2" t="str">
        <x:f>IF(AD406&lt;&gt;1,"",COUNTIFS($Z$398:$Z$411,"&lt;"&amp;Z406,$AD$398:$AD$411,1)+COUNTIFS($Z$398:$Z$411,Z406,$AB$398:$AB$411,"&gt;"&amp;AB406,$AD$398:$AD$411,1)+COUNTIFS($Z$398:$Z$411,Z406,$AB$398:$AB$411,AB406,$V$398:$V$411,"&gt;"&amp;V406,$AD$398:$AD$411,1)+COUNTIFS($Z$398:Z406,Z406,$AB$398:AB406,AB406,$V$398:V406,V406,$AD$398:AD406,1))</x:f>
      </x:c>
      <x:c r="AD406" s="2" t="n">
        <x:f>IF(OR(AA406="DEFENSIV",AA406="PRUDENT",AA406="MODERAT",AA406="RIDICAT"),1,0)</x:f>
        <x:v>0</x:v>
      </x:c>
      <x:c r="AE406" s="2" t="str">
        <x:f>IF(AD406&lt;&gt;1,"NO",IF(W406="PASS","YES",IF(W406="OOS PENDING","CONDITIONAL","NO")))</x:f>
        <x:v>NO</x:v>
      </x:c>
      <x:c r="AF406" s="2" t="n">
        <x:f>IF(AND(AD406=1,AC406=1,E406="LIVE"),1,0)</x:f>
        <x:v>0</x:v>
      </x:c>
      <x:c r="AG406" s="2" t="str">
        <x:f>IF(AF406&lt;&gt;1,"",'Dashboard'!P54)</x:f>
      </x:c>
      <x:c r="AH406" s="2" t="str">
        <x:f>IF(B406="","",IF(J406&lt;&gt;"PASS",'Motor_Meciuri'!J34,IF('Calibrare_Linii'!U14&lt;&gt;"VALID","Parametri linie invalizi",IF(L406&gt;'Config_v6'!$B$13,"Dispersie peste limita",IF(W406="WATCH","Failure peste limita",IF(AB406&lt;'Config_v6'!$B$16,"P finala sub prag",IF(V406&lt;'Config_v6'!$B$18,"Confidence sub prag",IF(E406="REPLAY","Exemplu retrospectiv; exclus din Top LIVE",IF(Y406="PASS","DEFENSIV validat",IF(W406="OOS PENDING","Eligibil; calibrare linie in monitorizare","Eligibil"))))))))))</x:f>
      </x:c>
      <x:c r="AI406" s="2" t="str">
        <x:f>IF(B406="","",'Calibrare_Linii'!V14)</x:f>
      </x:c>
      <x:c r="AJ406" s="2" t="str">
        <x:f>IF(B406="","",IF(AND('Calibrare_Linii'!T14="VALIDATED",AND('Calibrare_Linii'!H14=C406,ISNUMBER('Calibrare_Linii'!J14),'Calibrare_Linii'!J14&lt;='Input_Meci'!G34)),"DEFENSIVE VALIDATED",IF(AND('Calibrare_Linii'!S14="VALIDATED",AND('Calibrare_Linii'!H14=C406,ISNUMBER('Calibrare_Linii'!J14),'Calibrare_Linii'!J14&lt;='Input_Meci'!G34)),"TAIL VALIDATED","OOS PENDING")))</x:f>
      </x:c>
      <x:c r="AK406" s="2" t="n">
        <x:f>IF(J406&lt;&gt;"PASS",0,'Motor_Meciuri'!BR34)</x:f>
        <x:v>0</x:v>
      </x:c>
      <x:c r="AL406" s="2" t="n">
        <x:f>IF(J406&lt;&gt;"PASS",0,'Motor_Meciuri'!BS34)</x:f>
        <x:v>0</x:v>
      </x:c>
      <x:c r="AM406" s="2" t="n">
        <x:f>IF(J406&lt;&gt;"PASS",0,'Motor_Meciuri'!BT34)</x:f>
        <x:v>0</x:v>
      </x:c>
      <x:c r="AN406" s="2" t="str">
        <x:f>IF(M406="","",MAX(0,'Motor_Meciuri'!BF34-IF(L406&gt;'Config_v6'!$B$12,'Config_v6'!$B$37,IF(L406&gt;'Config_v6'!$B$11,'Config_v6'!$B$36,0))))</x:f>
      </x:c>
    </x:row>
    <x:row r="407" ht="21" customHeight="1">
      <x:c r="A407" s="2" t="n">
        <x:v>29</x:v>
      </x:c>
      <x:c r="B407" s="2" t="str">
        <x:f>IF('Motor_Meciuri'!A34="","",'Motor_Meciuri'!A34)</x:f>
      </x:c>
      <x:c r="C407" s="2" t="str">
        <x:f>IF(B407="","",'Motor_Meciuri'!B34)</x:f>
      </x:c>
      <x:c r="D407" s="2" t="str">
        <x:f>IF(B407="","",'Motor_Meciuri'!D34)</x:f>
      </x:c>
      <x:c r="E407" s="2" t="str">
        <x:f>IF(B407="","",'Motor_Meciuri'!E34)</x:f>
      </x:c>
      <x:c r="F407" s="2" t="str">
        <x:v>U13,5</x:v>
      </x:c>
      <x:c r="G407" s="2" t="str">
        <x:v>UNDER</x:v>
      </x:c>
      <x:c r="H407" s="2" t="n">
        <x:v>13</x:v>
      </x:c>
      <x:c r="I407" s="2" t="str">
        <x:f>IF(B407="","",'Motor_Meciuri'!H34)</x:f>
      </x:c>
      <x:c r="J407" s="2" t="str">
        <x:f>IF(B407="","",'Motor_Meciuri'!I34)</x:f>
      </x:c>
      <x:c r="K407" s="11" t="str">
        <x:f>IF(J407&lt;&gt;"PASS","",'Motor_Meciuri'!BD34)</x:f>
      </x:c>
      <x:c r="L407" s="11" t="str">
        <x:f>IF(J407&lt;&gt;"PASS","",'Motor_Meciuri'!AU34)</x:f>
      </x:c>
      <x:c r="M407" s="10" t="str">
        <x:f>IF(NOT(AND(J407="PASS",'Calibrare_Linii'!U15="VALID")),"",'Distributie'!AK34)</x:f>
      </x:c>
      <x:c r="N407" s="10" t="str">
        <x:f>IF(M407="","",MAX(0.01,MIN(0.99,0.5+(M407-0.5)*'Motor_Meciuri'!BG34*'Calibrare_Linii'!D15)))</x:f>
      </x:c>
      <x:c r="O407" s="10" t="str">
        <x:f>IF(M407="","",1-M407)</x:f>
      </x:c>
      <x:c r="P407" s="10" t="str">
        <x:f>IF(OR(NOT(AND(J407="PASS",'Calibrare_Linii'!U15="VALID")),AK407=0),""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*('Istoric_Nativ'!$Q$6:$Q$405&gt;H407))/AK407)</x:f>
      </x:c>
      <x:c r="Q407" s="10" t="str">
        <x:f>IF(OR(NOT(AND(J407="PASS",'Calibrare_Linii'!U15="VALID")),AL407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M34)+((('Istoric_Nativ'!$E$6:$E$405='Input_Meci'!E34)+('Istoric_Nativ'!$F$6:$F$405='Input_Meci'!E34))&gt;0)*('Istoric_Nativ'!$D$6:$D$405&gt;='Motor_Meciuri'!BN34))&gt;0)*('Istoric_Nativ'!$Q$6:$Q$405&gt;H407))/AL407)</x:f>
      </x:c>
      <x:c r="R407" s="10" t="str">
        <x:f>IF(OR(NOT(AND(J407="PASS",'Calibrare_Linii'!U15="VALID")),AM407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O34)+((('Istoric_Nativ'!$E$6:$E$405='Input_Meci'!E34)+('Istoric_Nativ'!$F$6:$F$405='Input_Meci'!E34))&gt;0)*('Istoric_Nativ'!$D$6:$D$405&gt;='Motor_Meciuri'!BP34))&gt;0)*('Istoric_Nativ'!$Q$6:$Q$405&gt;H407))/AM407)</x:f>
      </x:c>
      <x:c r="S407" s="10" t="str">
        <x:f>IF(M407="","",MAX(O407,P407,Q407,R407))</x:f>
      </x:c>
      <x:c r="T407" s="11" t="str">
        <x:f>IF(M407="","",MIN(100,S407*100*'Config_v6'!$B$44+MIN(100,L407/'Config_v6'!$B$13*100)*'Config_v6'!$B$45+(100-'Motor_Meciuri'!BF34)*'Config_v6'!$B$46+'Motor_Meciuri'!BH34*100*'Config_v6'!$B$47))</x:f>
      </x:c>
      <x:c r="U407" s="2" t="str">
        <x:f>IF(T407="","",IF(T407&lt;=20,1,IF(T407&lt;=40,2,IF(T407&lt;=60,3,IF(T407&lt;=80,4,5)))))</x:f>
      </x:c>
      <x:c r="V407" s="2" t="str">
        <x:f>IF(M407="","",MAX(0,'Motor_Meciuri'!BF34-IF(W407="OOS PENDING",'Config_v6'!$B$35,0)-IF(L407&gt;'Config_v6'!$B$12,'Config_v6'!$B$37,IF(L407&gt;'Config_v6'!$B$11,'Config_v6'!$B$36,0))))</x:f>
      </x:c>
      <x:c r="W407" s="2" t="str">
        <x:f>IF(B407="","",IF(I407&lt;&gt;"READY","NOT RELEASED",IF(NOT(AND(J407="PASS",'Calibrare_Linii'!U15="VALID")),"INVALID",IF(NOT(AND('Calibrare_Linii'!S15="VALIDATED",AND('Calibrare_Linii'!H15=C407,ISNUMBER('Calibrare_Linii'!J15),'Calibrare_Linii'!J15&lt;='Input_Meci'!G34))),"OOS PENDING",IF(S407&lt;='Calibrare_Linii'!E15,"PASS",IF(S407&lt;='Calibrare_Linii'!F15,"PENALTY","WATCH"))))))</x:f>
      </x:c>
      <x:c r="X407" s="2" t="str">
        <x:f>IF(M407="","",IF(AND(AND(J407="PASS",'Calibrare_Linii'!U15="VALID"),'Motor_Meciuri'!K34=12,'Motor_Meciuri'!L34=12,'Motor_Meciuri'!M34="NO",'Motor_Meciuri'!BL34='Motor_Meciuri'!C34,AB407&gt;='Config_v6'!$B$50,AN407&gt;='Config_v6'!$B$51,T407&lt;='Config_v6'!$B$52,L407&lt;='Config_v6'!$B$53,ISNUMBER('Calibrare_Linii'!E15),S407&lt;='Calibrare_Linii'!E15,SUM(AK407:AM407)&gt;0),"CANDIDATE","NO"))</x:f>
      </x:c>
      <x:c r="Y407" s="2" t="str">
        <x:f>IF(B407="","",IF(I407&lt;&gt;"READY","NOT RELEASED",IF(AND(X407="CANDIDATE",V407&gt;='Config_v6'!$B$51,W407="PASS",'Calibrare_Linii'!T15="VALIDATED",AND('Calibrare_Linii'!H15=C407,ISNUMBER('Calibrare_Linii'!J15),'Calibrare_Linii'!J15&lt;='Input_Meci'!G34)),"PASS",IF(X407="CANDIDATE","OOS PENDING","FAIL"))))</x:f>
      </x:c>
      <x:c r="Z407" s="2" t="str">
        <x:f>IF(B407="","",IF(I407&lt;&gt;"READY","",IF(OR(NOT(AND(J407="PASS",'Calibrare_Linii'!U15="VALID")),L407&gt;'Config_v6'!$B$13,W407="WATCH"),5,IF(Y407="PASS",1,MIN(5,MAX('Config_v6'!$B$42,U407)+IF(W407="PENALTY",1,0))))))</x:f>
      </x:c>
      <x:c r="AA407" s="2" t="str">
        <x:f>IF(B407="","",IF(I407&lt;&gt;"READY","NOT RELEASED",IF(Z407=5,"NO BET",IF(OR(AB407&lt;'Config_v6'!$B$16,V407&lt;'Config_v6'!$B$18),"WATCH",IF(Z407=1,"DEFENSIV",IF(Z407=2,"PRUDENT",IF(Z407=3,"MODERAT","RIDICAT")))))))</x:f>
      </x:c>
      <x:c r="AB407" s="10" t="str">
        <x:f>IF(N407="","",MIN(N407,1-S407))</x:f>
      </x:c>
      <x:c r="AC407" s="2" t="str">
        <x:f>IF(AD407&lt;&gt;1,"",COUNTIFS($Z$398:$Z$411,"&lt;"&amp;Z407,$AD$398:$AD$411,1)+COUNTIFS($Z$398:$Z$411,Z407,$AB$398:$AB$411,"&gt;"&amp;AB407,$AD$398:$AD$411,1)+COUNTIFS($Z$398:$Z$411,Z407,$AB$398:$AB$411,AB407,$V$398:$V$411,"&gt;"&amp;V407,$AD$398:$AD$411,1)+COUNTIFS($Z$398:Z407,Z407,$AB$398:AB407,AB407,$V$398:V407,V407,$AD$398:AD407,1))</x:f>
      </x:c>
      <x:c r="AD407" s="2" t="n">
        <x:f>IF(OR(AA407="DEFENSIV",AA407="PRUDENT",AA407="MODERAT",AA407="RIDICAT"),1,0)</x:f>
        <x:v>0</x:v>
      </x:c>
      <x:c r="AE407" s="2" t="str">
        <x:f>IF(AD407&lt;&gt;1,"NO",IF(W407="PASS","YES",IF(W407="OOS PENDING","CONDITIONAL","NO")))</x:f>
        <x:v>NO</x:v>
      </x:c>
      <x:c r="AF407" s="2" t="n">
        <x:f>IF(AND(AD407=1,AC407=1,E407="LIVE"),1,0)</x:f>
        <x:v>0</x:v>
      </x:c>
      <x:c r="AG407" s="2" t="str">
        <x:f>IF(AF407&lt;&gt;1,"",'Dashboard'!P54)</x:f>
      </x:c>
      <x:c r="AH407" s="2" t="str">
        <x:f>IF(B407="","",IF(J407&lt;&gt;"PASS",'Motor_Meciuri'!J34,IF('Calibrare_Linii'!U15&lt;&gt;"VALID","Parametri linie invalizi",IF(L407&gt;'Config_v6'!$B$13,"Dispersie peste limita",IF(W407="WATCH","Failure peste limita",IF(AB407&lt;'Config_v6'!$B$16,"P finala sub prag",IF(V407&lt;'Config_v6'!$B$18,"Confidence sub prag",IF(E407="REPLAY","Exemplu retrospectiv; exclus din Top LIVE",IF(Y407="PASS","DEFENSIV validat",IF(W407="OOS PENDING","Eligibil; calibrare linie in monitorizare","Eligibil"))))))))))</x:f>
      </x:c>
      <x:c r="AI407" s="2" t="str">
        <x:f>IF(B407="","",'Calibrare_Linii'!V15)</x:f>
      </x:c>
      <x:c r="AJ407" s="2" t="str">
        <x:f>IF(B407="","",IF(AND('Calibrare_Linii'!T15="VALIDATED",AND('Calibrare_Linii'!H15=C407,ISNUMBER('Calibrare_Linii'!J15),'Calibrare_Linii'!J15&lt;='Input_Meci'!G34)),"DEFENSIVE VALIDATED",IF(AND('Calibrare_Linii'!S15="VALIDATED",AND('Calibrare_Linii'!H15=C407,ISNUMBER('Calibrare_Linii'!J15),'Calibrare_Linii'!J15&lt;='Input_Meci'!G34)),"TAIL VALIDATED","OOS PENDING")))</x:f>
      </x:c>
      <x:c r="AK407" s="2" t="n">
        <x:f>IF(J407&lt;&gt;"PASS",0,'Motor_Meciuri'!BR34)</x:f>
        <x:v>0</x:v>
      </x:c>
      <x:c r="AL407" s="2" t="n">
        <x:f>IF(J407&lt;&gt;"PASS",0,'Motor_Meciuri'!BS34)</x:f>
        <x:v>0</x:v>
      </x:c>
      <x:c r="AM407" s="2" t="n">
        <x:f>IF(J407&lt;&gt;"PASS",0,'Motor_Meciuri'!BT34)</x:f>
        <x:v>0</x:v>
      </x:c>
      <x:c r="AN407" s="2" t="str">
        <x:f>IF(M407="","",MAX(0,'Motor_Meciuri'!BF34-IF(L407&gt;'Config_v6'!$B$12,'Config_v6'!$B$37,IF(L407&gt;'Config_v6'!$B$11,'Config_v6'!$B$36,0))))</x:f>
      </x:c>
    </x:row>
    <x:row r="408" ht="21" customHeight="1">
      <x:c r="A408" s="2" t="n">
        <x:v>29</x:v>
      </x:c>
      <x:c r="B408" s="2" t="str">
        <x:f>IF('Motor_Meciuri'!A34="","",'Motor_Meciuri'!A34)</x:f>
      </x:c>
      <x:c r="C408" s="2" t="str">
        <x:f>IF(B408="","",'Motor_Meciuri'!B34)</x:f>
      </x:c>
      <x:c r="D408" s="2" t="str">
        <x:f>IF(B408="","",'Motor_Meciuri'!D34)</x:f>
      </x:c>
      <x:c r="E408" s="2" t="str">
        <x:f>IF(B408="","",'Motor_Meciuri'!E34)</x:f>
      </x:c>
      <x:c r="F408" s="2" t="str">
        <x:v>U14,5</x:v>
      </x:c>
      <x:c r="G408" s="2" t="str">
        <x:v>UNDER</x:v>
      </x:c>
      <x:c r="H408" s="2" t="n">
        <x:v>14</x:v>
      </x:c>
      <x:c r="I408" s="2" t="str">
        <x:f>IF(B408="","",'Motor_Meciuri'!H34)</x:f>
      </x:c>
      <x:c r="J408" s="2" t="str">
        <x:f>IF(B408="","",'Motor_Meciuri'!I34)</x:f>
      </x:c>
      <x:c r="K408" s="11" t="str">
        <x:f>IF(J408&lt;&gt;"PASS","",'Motor_Meciuri'!BD34)</x:f>
      </x:c>
      <x:c r="L408" s="11" t="str">
        <x:f>IF(J408&lt;&gt;"PASS","",'Motor_Meciuri'!AU34)</x:f>
      </x:c>
      <x:c r="M408" s="10" t="str">
        <x:f>IF(NOT(AND(J408="PASS",'Calibrare_Linii'!U16="VALID")),"",'Distributie'!AL34)</x:f>
      </x:c>
      <x:c r="N408" s="10" t="str">
        <x:f>IF(M408="","",MAX(0.01,MIN(0.99,0.5+(M408-0.5)*'Motor_Meciuri'!BG34*'Calibrare_Linii'!D16)))</x:f>
      </x:c>
      <x:c r="O408" s="10" t="str">
        <x:f>IF(M408="","",1-M408)</x:f>
      </x:c>
      <x:c r="P408" s="10" t="str">
        <x:f>IF(OR(NOT(AND(J408="PASS",'Calibrare_Linii'!U16="VALID")),AK408=0),""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*('Istoric_Nativ'!$Q$6:$Q$405&gt;H408))/AK408)</x:f>
      </x:c>
      <x:c r="Q408" s="10" t="str">
        <x:f>IF(OR(NOT(AND(J408="PASS",'Calibrare_Linii'!U16="VALID")),AL408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M34)+((('Istoric_Nativ'!$E$6:$E$405='Input_Meci'!E34)+('Istoric_Nativ'!$F$6:$F$405='Input_Meci'!E34))&gt;0)*('Istoric_Nativ'!$D$6:$D$405&gt;='Motor_Meciuri'!BN34))&gt;0)*('Istoric_Nativ'!$Q$6:$Q$405&gt;H408))/AL408)</x:f>
      </x:c>
      <x:c r="R408" s="10" t="str">
        <x:f>IF(OR(NOT(AND(J408="PASS",'Calibrare_Linii'!U16="VALID")),AM408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O34)+((('Istoric_Nativ'!$E$6:$E$405='Input_Meci'!E34)+('Istoric_Nativ'!$F$6:$F$405='Input_Meci'!E34))&gt;0)*('Istoric_Nativ'!$D$6:$D$405&gt;='Motor_Meciuri'!BP34))&gt;0)*('Istoric_Nativ'!$Q$6:$Q$405&gt;H408))/AM408)</x:f>
      </x:c>
      <x:c r="S408" s="10" t="str">
        <x:f>IF(M408="","",MAX(O408,P408,Q408,R408))</x:f>
      </x:c>
      <x:c r="T408" s="11" t="str">
        <x:f>IF(M408="","",MIN(100,S408*100*'Config_v6'!$B$44+MIN(100,L408/'Config_v6'!$B$13*100)*'Config_v6'!$B$45+(100-'Motor_Meciuri'!BF34)*'Config_v6'!$B$46+'Motor_Meciuri'!BH34*100*'Config_v6'!$B$47))</x:f>
      </x:c>
      <x:c r="U408" s="2" t="str">
        <x:f>IF(T408="","",IF(T408&lt;=20,1,IF(T408&lt;=40,2,IF(T408&lt;=60,3,IF(T408&lt;=80,4,5)))))</x:f>
      </x:c>
      <x:c r="V408" s="2" t="str">
        <x:f>IF(M408="","",MAX(0,'Motor_Meciuri'!BF34-IF(W408="OOS PENDING",'Config_v6'!$B$35,0)-IF(L408&gt;'Config_v6'!$B$12,'Config_v6'!$B$37,IF(L408&gt;'Config_v6'!$B$11,'Config_v6'!$B$36,0))))</x:f>
      </x:c>
      <x:c r="W408" s="2" t="str">
        <x:f>IF(B408="","",IF(I408&lt;&gt;"READY","NOT RELEASED",IF(NOT(AND(J408="PASS",'Calibrare_Linii'!U16="VALID")),"INVALID",IF(NOT(AND('Calibrare_Linii'!S16="VALIDATED",AND('Calibrare_Linii'!H16=C408,ISNUMBER('Calibrare_Linii'!J16),'Calibrare_Linii'!J16&lt;='Input_Meci'!G34))),"OOS PENDING",IF(S408&lt;='Calibrare_Linii'!E16,"PASS",IF(S408&lt;='Calibrare_Linii'!F16,"PENALTY","WATCH"))))))</x:f>
      </x:c>
      <x:c r="X408" s="2" t="str">
        <x:f>IF(M408="","",IF(AND(AND(J408="PASS",'Calibrare_Linii'!U16="VALID"),'Motor_Meciuri'!K34=12,'Motor_Meciuri'!L34=12,'Motor_Meciuri'!M34="NO",'Motor_Meciuri'!BL34='Motor_Meciuri'!C34,AB408&gt;='Config_v6'!$B$50,AN408&gt;='Config_v6'!$B$51,T408&lt;='Config_v6'!$B$52,L408&lt;='Config_v6'!$B$53,ISNUMBER('Calibrare_Linii'!E16),S408&lt;='Calibrare_Linii'!E16,SUM(AK408:AM408)&gt;0),"CANDIDATE","NO"))</x:f>
      </x:c>
      <x:c r="Y408" s="2" t="str">
        <x:f>IF(B408="","",IF(I408&lt;&gt;"READY","NOT RELEASED",IF(AND(X408="CANDIDATE",V408&gt;='Config_v6'!$B$51,W408="PASS",'Calibrare_Linii'!T16="VALIDATED",AND('Calibrare_Linii'!H16=C408,ISNUMBER('Calibrare_Linii'!J16),'Calibrare_Linii'!J16&lt;='Input_Meci'!G34)),"PASS",IF(X408="CANDIDATE","OOS PENDING","FAIL"))))</x:f>
      </x:c>
      <x:c r="Z408" s="2" t="str">
        <x:f>IF(B408="","",IF(I408&lt;&gt;"READY","",IF(OR(NOT(AND(J408="PASS",'Calibrare_Linii'!U16="VALID")),L408&gt;'Config_v6'!$B$13,W408="WATCH"),5,IF(Y408="PASS",1,MIN(5,MAX('Config_v6'!$B$42,U408)+IF(W408="PENALTY",1,0))))))</x:f>
      </x:c>
      <x:c r="AA408" s="2" t="str">
        <x:f>IF(B408="","",IF(I408&lt;&gt;"READY","NOT RELEASED",IF(Z408=5,"NO BET",IF(OR(AB408&lt;'Config_v6'!$B$16,V408&lt;'Config_v6'!$B$18),"WATCH",IF(Z408=1,"DEFENSIV",IF(Z408=2,"PRUDENT",IF(Z408=3,"MODERAT","RIDICAT")))))))</x:f>
      </x:c>
      <x:c r="AB408" s="10" t="str">
        <x:f>IF(N408="","",MIN(N408,1-S408))</x:f>
      </x:c>
      <x:c r="AC408" s="2" t="str">
        <x:f>IF(AD408&lt;&gt;1,"",COUNTIFS($Z$398:$Z$411,"&lt;"&amp;Z408,$AD$398:$AD$411,1)+COUNTIFS($Z$398:$Z$411,Z408,$AB$398:$AB$411,"&gt;"&amp;AB408,$AD$398:$AD$411,1)+COUNTIFS($Z$398:$Z$411,Z408,$AB$398:$AB$411,AB408,$V$398:$V$411,"&gt;"&amp;V408,$AD$398:$AD$411,1)+COUNTIFS($Z$398:Z408,Z408,$AB$398:AB408,AB408,$V$398:V408,V408,$AD$398:AD408,1))</x:f>
      </x:c>
      <x:c r="AD408" s="2" t="n">
        <x:f>IF(OR(AA408="DEFENSIV",AA408="PRUDENT",AA408="MODERAT",AA408="RIDICAT"),1,0)</x:f>
        <x:v>0</x:v>
      </x:c>
      <x:c r="AE408" s="2" t="str">
        <x:f>IF(AD408&lt;&gt;1,"NO",IF(W408="PASS","YES",IF(W408="OOS PENDING","CONDITIONAL","NO")))</x:f>
        <x:v>NO</x:v>
      </x:c>
      <x:c r="AF408" s="2" t="n">
        <x:f>IF(AND(AD408=1,AC408=1,E408="LIVE"),1,0)</x:f>
        <x:v>0</x:v>
      </x:c>
      <x:c r="AG408" s="2" t="str">
        <x:f>IF(AF408&lt;&gt;1,"",'Dashboard'!P54)</x:f>
      </x:c>
      <x:c r="AH408" s="2" t="str">
        <x:f>IF(B408="","",IF(J408&lt;&gt;"PASS",'Motor_Meciuri'!J34,IF('Calibrare_Linii'!U16&lt;&gt;"VALID","Parametri linie invalizi",IF(L408&gt;'Config_v6'!$B$13,"Dispersie peste limita",IF(W408="WATCH","Failure peste limita",IF(AB408&lt;'Config_v6'!$B$16,"P finala sub prag",IF(V408&lt;'Config_v6'!$B$18,"Confidence sub prag",IF(E408="REPLAY","Exemplu retrospectiv; exclus din Top LIVE",IF(Y408="PASS","DEFENSIV validat",IF(W408="OOS PENDING","Eligibil; calibrare linie in monitorizare","Eligibil"))))))))))</x:f>
      </x:c>
      <x:c r="AI408" s="2" t="str">
        <x:f>IF(B408="","",'Calibrare_Linii'!V16)</x:f>
      </x:c>
      <x:c r="AJ408" s="2" t="str">
        <x:f>IF(B408="","",IF(AND('Calibrare_Linii'!T16="VALIDATED",AND('Calibrare_Linii'!H16=C408,ISNUMBER('Calibrare_Linii'!J16),'Calibrare_Linii'!J16&lt;='Input_Meci'!G34)),"DEFENSIVE VALIDATED",IF(AND('Calibrare_Linii'!S16="VALIDATED",AND('Calibrare_Linii'!H16=C408,ISNUMBER('Calibrare_Linii'!J16),'Calibrare_Linii'!J16&lt;='Input_Meci'!G34)),"TAIL VALIDATED","OOS PENDING")))</x:f>
      </x:c>
      <x:c r="AK408" s="2" t="n">
        <x:f>IF(J408&lt;&gt;"PASS",0,'Motor_Meciuri'!BR34)</x:f>
        <x:v>0</x:v>
      </x:c>
      <x:c r="AL408" s="2" t="n">
        <x:f>IF(J408&lt;&gt;"PASS",0,'Motor_Meciuri'!BS34)</x:f>
        <x:v>0</x:v>
      </x:c>
      <x:c r="AM408" s="2" t="n">
        <x:f>IF(J408&lt;&gt;"PASS",0,'Motor_Meciuri'!BT34)</x:f>
        <x:v>0</x:v>
      </x:c>
      <x:c r="AN408" s="2" t="str">
        <x:f>IF(M408="","",MAX(0,'Motor_Meciuri'!BF34-IF(L408&gt;'Config_v6'!$B$12,'Config_v6'!$B$37,IF(L408&gt;'Config_v6'!$B$11,'Config_v6'!$B$36,0))))</x:f>
      </x:c>
    </x:row>
    <x:row r="409" ht="21" customHeight="1">
      <x:c r="A409" s="2" t="n">
        <x:v>29</x:v>
      </x:c>
      <x:c r="B409" s="2" t="str">
        <x:f>IF('Motor_Meciuri'!A34="","",'Motor_Meciuri'!A34)</x:f>
      </x:c>
      <x:c r="C409" s="2" t="str">
        <x:f>IF(B409="","",'Motor_Meciuri'!B34)</x:f>
      </x:c>
      <x:c r="D409" s="2" t="str">
        <x:f>IF(B409="","",'Motor_Meciuri'!D34)</x:f>
      </x:c>
      <x:c r="E409" s="2" t="str">
        <x:f>IF(B409="","",'Motor_Meciuri'!E34)</x:f>
      </x:c>
      <x:c r="F409" s="2" t="str">
        <x:v>U15,5</x:v>
      </x:c>
      <x:c r="G409" s="2" t="str">
        <x:v>UNDER</x:v>
      </x:c>
      <x:c r="H409" s="2" t="n">
        <x:v>15</x:v>
      </x:c>
      <x:c r="I409" s="2" t="str">
        <x:f>IF(B409="","",'Motor_Meciuri'!H34)</x:f>
      </x:c>
      <x:c r="J409" s="2" t="str">
        <x:f>IF(B409="","",'Motor_Meciuri'!I34)</x:f>
      </x:c>
      <x:c r="K409" s="11" t="str">
        <x:f>IF(J409&lt;&gt;"PASS","",'Motor_Meciuri'!BD34)</x:f>
      </x:c>
      <x:c r="L409" s="11" t="str">
        <x:f>IF(J409&lt;&gt;"PASS","",'Motor_Meciuri'!AU34)</x:f>
      </x:c>
      <x:c r="M409" s="10" t="str">
        <x:f>IF(NOT(AND(J409="PASS",'Calibrare_Linii'!U17="VALID")),"",'Distributie'!AM34)</x:f>
      </x:c>
      <x:c r="N409" s="10" t="str">
        <x:f>IF(M409="","",MAX(0.01,MIN(0.99,0.5+(M409-0.5)*'Motor_Meciuri'!BG34*'Calibrare_Linii'!D17)))</x:f>
      </x:c>
      <x:c r="O409" s="10" t="str">
        <x:f>IF(M409="","",1-M409)</x:f>
      </x:c>
      <x:c r="P409" s="10" t="str">
        <x:f>IF(OR(NOT(AND(J409="PASS",'Calibrare_Linii'!U17="VALID")),AK409=0),""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*('Istoric_Nativ'!$Q$6:$Q$405&gt;H409))/AK409)</x:f>
      </x:c>
      <x:c r="Q409" s="10" t="str">
        <x:f>IF(OR(NOT(AND(J409="PASS",'Calibrare_Linii'!U17="VALID")),AL409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M34)+((('Istoric_Nativ'!$E$6:$E$405='Input_Meci'!E34)+('Istoric_Nativ'!$F$6:$F$405='Input_Meci'!E34))&gt;0)*('Istoric_Nativ'!$D$6:$D$405&gt;='Motor_Meciuri'!BN34))&gt;0)*('Istoric_Nativ'!$Q$6:$Q$405&gt;H409))/AL409)</x:f>
      </x:c>
      <x:c r="R409" s="10" t="str">
        <x:f>IF(OR(NOT(AND(J409="PASS",'Calibrare_Linii'!U17="VALID")),AM409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O34)+((('Istoric_Nativ'!$E$6:$E$405='Input_Meci'!E34)+('Istoric_Nativ'!$F$6:$F$405='Input_Meci'!E34))&gt;0)*('Istoric_Nativ'!$D$6:$D$405&gt;='Motor_Meciuri'!BP34))&gt;0)*('Istoric_Nativ'!$Q$6:$Q$405&gt;H409))/AM409)</x:f>
      </x:c>
      <x:c r="S409" s="10" t="str">
        <x:f>IF(M409="","",MAX(O409,P409,Q409,R409))</x:f>
      </x:c>
      <x:c r="T409" s="11" t="str">
        <x:f>IF(M409="","",MIN(100,S409*100*'Config_v6'!$B$44+MIN(100,L409/'Config_v6'!$B$13*100)*'Config_v6'!$B$45+(100-'Motor_Meciuri'!BF34)*'Config_v6'!$B$46+'Motor_Meciuri'!BH34*100*'Config_v6'!$B$47))</x:f>
      </x:c>
      <x:c r="U409" s="2" t="str">
        <x:f>IF(T409="","",IF(T409&lt;=20,1,IF(T409&lt;=40,2,IF(T409&lt;=60,3,IF(T409&lt;=80,4,5)))))</x:f>
      </x:c>
      <x:c r="V409" s="2" t="str">
        <x:f>IF(M409="","",MAX(0,'Motor_Meciuri'!BF34-IF(W409="OOS PENDING",'Config_v6'!$B$35,0)-IF(L409&gt;'Config_v6'!$B$12,'Config_v6'!$B$37,IF(L409&gt;'Config_v6'!$B$11,'Config_v6'!$B$36,0))))</x:f>
      </x:c>
      <x:c r="W409" s="2" t="str">
        <x:f>IF(B409="","",IF(I409&lt;&gt;"READY","NOT RELEASED",IF(NOT(AND(J409="PASS",'Calibrare_Linii'!U17="VALID")),"INVALID",IF(NOT(AND('Calibrare_Linii'!S17="VALIDATED",AND('Calibrare_Linii'!H17=C409,ISNUMBER('Calibrare_Linii'!J17),'Calibrare_Linii'!J17&lt;='Input_Meci'!G34))),"OOS PENDING",IF(S409&lt;='Calibrare_Linii'!E17,"PASS",IF(S409&lt;='Calibrare_Linii'!F17,"PENALTY","WATCH"))))))</x:f>
      </x:c>
      <x:c r="X409" s="2" t="str">
        <x:f>IF(M409="","",IF(AND(AND(J409="PASS",'Calibrare_Linii'!U17="VALID"),'Motor_Meciuri'!K34=12,'Motor_Meciuri'!L34=12,'Motor_Meciuri'!M34="NO",'Motor_Meciuri'!BL34='Motor_Meciuri'!C34,AB409&gt;='Config_v6'!$B$50,AN409&gt;='Config_v6'!$B$51,T409&lt;='Config_v6'!$B$52,L409&lt;='Config_v6'!$B$53,ISNUMBER('Calibrare_Linii'!E17),S409&lt;='Calibrare_Linii'!E17,SUM(AK409:AM409)&gt;0),"CANDIDATE","NO"))</x:f>
      </x:c>
      <x:c r="Y409" s="2" t="str">
        <x:f>IF(B409="","",IF(I409&lt;&gt;"READY","NOT RELEASED",IF(AND(X409="CANDIDATE",V409&gt;='Config_v6'!$B$51,W409="PASS",'Calibrare_Linii'!T17="VALIDATED",AND('Calibrare_Linii'!H17=C409,ISNUMBER('Calibrare_Linii'!J17),'Calibrare_Linii'!J17&lt;='Input_Meci'!G34)),"PASS",IF(X409="CANDIDATE","OOS PENDING","FAIL"))))</x:f>
      </x:c>
      <x:c r="Z409" s="2" t="str">
        <x:f>IF(B409="","",IF(I409&lt;&gt;"READY","",IF(OR(NOT(AND(J409="PASS",'Calibrare_Linii'!U17="VALID")),L409&gt;'Config_v6'!$B$13,W409="WATCH"),5,IF(Y409="PASS",1,MIN(5,MAX('Config_v6'!$B$42,U409)+IF(W409="PENALTY",1,0))))))</x:f>
      </x:c>
      <x:c r="AA409" s="2" t="str">
        <x:f>IF(B409="","",IF(I409&lt;&gt;"READY","NOT RELEASED",IF(Z409=5,"NO BET",IF(OR(AB409&lt;'Config_v6'!$B$16,V409&lt;'Config_v6'!$B$18),"WATCH",IF(Z409=1,"DEFENSIV",IF(Z409=2,"PRUDENT",IF(Z409=3,"MODERAT","RIDICAT")))))))</x:f>
      </x:c>
      <x:c r="AB409" s="10" t="str">
        <x:f>IF(N409="","",MIN(N409,1-S409))</x:f>
      </x:c>
      <x:c r="AC409" s="2" t="str">
        <x:f>IF(AD409&lt;&gt;1,"",COUNTIFS($Z$398:$Z$411,"&lt;"&amp;Z409,$AD$398:$AD$411,1)+COUNTIFS($Z$398:$Z$411,Z409,$AB$398:$AB$411,"&gt;"&amp;AB409,$AD$398:$AD$411,1)+COUNTIFS($Z$398:$Z$411,Z409,$AB$398:$AB$411,AB409,$V$398:$V$411,"&gt;"&amp;V409,$AD$398:$AD$411,1)+COUNTIFS($Z$398:Z409,Z409,$AB$398:AB409,AB409,$V$398:V409,V409,$AD$398:AD409,1))</x:f>
      </x:c>
      <x:c r="AD409" s="2" t="n">
        <x:f>IF(OR(AA409="DEFENSIV",AA409="PRUDENT",AA409="MODERAT",AA409="RIDICAT"),1,0)</x:f>
        <x:v>0</x:v>
      </x:c>
      <x:c r="AE409" s="2" t="str">
        <x:f>IF(AD409&lt;&gt;1,"NO",IF(W409="PASS","YES",IF(W409="OOS PENDING","CONDITIONAL","NO")))</x:f>
        <x:v>NO</x:v>
      </x:c>
      <x:c r="AF409" s="2" t="n">
        <x:f>IF(AND(AD409=1,AC409=1,E409="LIVE"),1,0)</x:f>
        <x:v>0</x:v>
      </x:c>
      <x:c r="AG409" s="2" t="str">
        <x:f>IF(AF409&lt;&gt;1,"",'Dashboard'!P54)</x:f>
      </x:c>
      <x:c r="AH409" s="2" t="str">
        <x:f>IF(B409="","",IF(J409&lt;&gt;"PASS",'Motor_Meciuri'!J34,IF('Calibrare_Linii'!U17&lt;&gt;"VALID","Parametri linie invalizi",IF(L409&gt;'Config_v6'!$B$13,"Dispersie peste limita",IF(W409="WATCH","Failure peste limita",IF(AB409&lt;'Config_v6'!$B$16,"P finala sub prag",IF(V409&lt;'Config_v6'!$B$18,"Confidence sub prag",IF(E409="REPLAY","Exemplu retrospectiv; exclus din Top LIVE",IF(Y409="PASS","DEFENSIV validat",IF(W409="OOS PENDING","Eligibil; calibrare linie in monitorizare","Eligibil"))))))))))</x:f>
      </x:c>
      <x:c r="AI409" s="2" t="str">
        <x:f>IF(B409="","",'Calibrare_Linii'!V17)</x:f>
      </x:c>
      <x:c r="AJ409" s="2" t="str">
        <x:f>IF(B409="","",IF(AND('Calibrare_Linii'!T17="VALIDATED",AND('Calibrare_Linii'!H17=C409,ISNUMBER('Calibrare_Linii'!J17),'Calibrare_Linii'!J17&lt;='Input_Meci'!G34)),"DEFENSIVE VALIDATED",IF(AND('Calibrare_Linii'!S17="VALIDATED",AND('Calibrare_Linii'!H17=C409,ISNUMBER('Calibrare_Linii'!J17),'Calibrare_Linii'!J17&lt;='Input_Meci'!G34)),"TAIL VALIDATED","OOS PENDING")))</x:f>
      </x:c>
      <x:c r="AK409" s="2" t="n">
        <x:f>IF(J409&lt;&gt;"PASS",0,'Motor_Meciuri'!BR34)</x:f>
        <x:v>0</x:v>
      </x:c>
      <x:c r="AL409" s="2" t="n">
        <x:f>IF(J409&lt;&gt;"PASS",0,'Motor_Meciuri'!BS34)</x:f>
        <x:v>0</x:v>
      </x:c>
      <x:c r="AM409" s="2" t="n">
        <x:f>IF(J409&lt;&gt;"PASS",0,'Motor_Meciuri'!BT34)</x:f>
        <x:v>0</x:v>
      </x:c>
      <x:c r="AN409" s="2" t="str">
        <x:f>IF(M409="","",MAX(0,'Motor_Meciuri'!BF34-IF(L409&gt;'Config_v6'!$B$12,'Config_v6'!$B$37,IF(L409&gt;'Config_v6'!$B$11,'Config_v6'!$B$36,0))))</x:f>
      </x:c>
    </x:row>
    <x:row r="410" ht="21" customHeight="1">
      <x:c r="A410" s="2" t="n">
        <x:v>29</x:v>
      </x:c>
      <x:c r="B410" s="2" t="str">
        <x:f>IF('Motor_Meciuri'!A34="","",'Motor_Meciuri'!A34)</x:f>
      </x:c>
      <x:c r="C410" s="2" t="str">
        <x:f>IF(B410="","",'Motor_Meciuri'!B34)</x:f>
      </x:c>
      <x:c r="D410" s="2" t="str">
        <x:f>IF(B410="","",'Motor_Meciuri'!D34)</x:f>
      </x:c>
      <x:c r="E410" s="2" t="str">
        <x:f>IF(B410="","",'Motor_Meciuri'!E34)</x:f>
      </x:c>
      <x:c r="F410" s="2" t="str">
        <x:v>U16,5</x:v>
      </x:c>
      <x:c r="G410" s="2" t="str">
        <x:v>UNDER</x:v>
      </x:c>
      <x:c r="H410" s="2" t="n">
        <x:v>16</x:v>
      </x:c>
      <x:c r="I410" s="2" t="str">
        <x:f>IF(B410="","",'Motor_Meciuri'!H34)</x:f>
      </x:c>
      <x:c r="J410" s="2" t="str">
        <x:f>IF(B410="","",'Motor_Meciuri'!I34)</x:f>
      </x:c>
      <x:c r="K410" s="11" t="str">
        <x:f>IF(J410&lt;&gt;"PASS","",'Motor_Meciuri'!BD34)</x:f>
      </x:c>
      <x:c r="L410" s="11" t="str">
        <x:f>IF(J410&lt;&gt;"PASS","",'Motor_Meciuri'!AU34)</x:f>
      </x:c>
      <x:c r="M410" s="10" t="str">
        <x:f>IF(NOT(AND(J410="PASS",'Calibrare_Linii'!U18="VALID")),"",'Distributie'!AN34)</x:f>
      </x:c>
      <x:c r="N410" s="10" t="str">
        <x:f>IF(M410="","",MAX(0.01,MIN(0.99,0.5+(M410-0.5)*'Motor_Meciuri'!BG34*'Calibrare_Linii'!D18)))</x:f>
      </x:c>
      <x:c r="O410" s="10" t="str">
        <x:f>IF(M410="","",1-M410)</x:f>
      </x:c>
      <x:c r="P410" s="10" t="str">
        <x:f>IF(OR(NOT(AND(J410="PASS",'Calibrare_Linii'!U18="VALID")),AK410=0),""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*('Istoric_Nativ'!$Q$6:$Q$405&gt;H410))/AK410)</x:f>
      </x:c>
      <x:c r="Q410" s="10" t="str">
        <x:f>IF(OR(NOT(AND(J410="PASS",'Calibrare_Linii'!U18="VALID")),AL410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M34)+((('Istoric_Nativ'!$E$6:$E$405='Input_Meci'!E34)+('Istoric_Nativ'!$F$6:$F$405='Input_Meci'!E34))&gt;0)*('Istoric_Nativ'!$D$6:$D$405&gt;='Motor_Meciuri'!BN34))&gt;0)*('Istoric_Nativ'!$Q$6:$Q$405&gt;H410))/AL410)</x:f>
      </x:c>
      <x:c r="R410" s="10" t="str">
        <x:f>IF(OR(NOT(AND(J410="PASS",'Calibrare_Linii'!U18="VALID")),AM410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O34)+((('Istoric_Nativ'!$E$6:$E$405='Input_Meci'!E34)+('Istoric_Nativ'!$F$6:$F$405='Input_Meci'!E34))&gt;0)*('Istoric_Nativ'!$D$6:$D$405&gt;='Motor_Meciuri'!BP34))&gt;0)*('Istoric_Nativ'!$Q$6:$Q$405&gt;H410))/AM410)</x:f>
      </x:c>
      <x:c r="S410" s="10" t="str">
        <x:f>IF(M410="","",MAX(O410,P410,Q410,R410))</x:f>
      </x:c>
      <x:c r="T410" s="11" t="str">
        <x:f>IF(M410="","",MIN(100,S410*100*'Config_v6'!$B$44+MIN(100,L410/'Config_v6'!$B$13*100)*'Config_v6'!$B$45+(100-'Motor_Meciuri'!BF34)*'Config_v6'!$B$46+'Motor_Meciuri'!BH34*100*'Config_v6'!$B$47))</x:f>
      </x:c>
      <x:c r="U410" s="2" t="str">
        <x:f>IF(T410="","",IF(T410&lt;=20,1,IF(T410&lt;=40,2,IF(T410&lt;=60,3,IF(T410&lt;=80,4,5)))))</x:f>
      </x:c>
      <x:c r="V410" s="2" t="str">
        <x:f>IF(M410="","",MAX(0,'Motor_Meciuri'!BF34-IF(W410="OOS PENDING",'Config_v6'!$B$35,0)-IF(L410&gt;'Config_v6'!$B$12,'Config_v6'!$B$37,IF(L410&gt;'Config_v6'!$B$11,'Config_v6'!$B$36,0))))</x:f>
      </x:c>
      <x:c r="W410" s="2" t="str">
        <x:f>IF(B410="","",IF(I410&lt;&gt;"READY","NOT RELEASED",IF(NOT(AND(J410="PASS",'Calibrare_Linii'!U18="VALID")),"INVALID",IF(NOT(AND('Calibrare_Linii'!S18="VALIDATED",AND('Calibrare_Linii'!H18=C410,ISNUMBER('Calibrare_Linii'!J18),'Calibrare_Linii'!J18&lt;='Input_Meci'!G34))),"OOS PENDING",IF(S410&lt;='Calibrare_Linii'!E18,"PASS",IF(S410&lt;='Calibrare_Linii'!F18,"PENALTY","WATCH"))))))</x:f>
      </x:c>
      <x:c r="X410" s="2" t="str">
        <x:f>IF(M410="","",IF(AND(AND(J410="PASS",'Calibrare_Linii'!U18="VALID"),'Motor_Meciuri'!K34=12,'Motor_Meciuri'!L34=12,'Motor_Meciuri'!M34="NO",'Motor_Meciuri'!BL34='Motor_Meciuri'!C34,AB410&gt;='Config_v6'!$B$50,AN410&gt;='Config_v6'!$B$51,T410&lt;='Config_v6'!$B$52,L410&lt;='Config_v6'!$B$53,ISNUMBER('Calibrare_Linii'!E18),S410&lt;='Calibrare_Linii'!E18,SUM(AK410:AM410)&gt;0),"CANDIDATE","NO"))</x:f>
      </x:c>
      <x:c r="Y410" s="2" t="str">
        <x:f>IF(B410="","",IF(I410&lt;&gt;"READY","NOT RELEASED",IF(AND(X410="CANDIDATE",V410&gt;='Config_v6'!$B$51,W410="PASS",'Calibrare_Linii'!T18="VALIDATED",AND('Calibrare_Linii'!H18=C410,ISNUMBER('Calibrare_Linii'!J18),'Calibrare_Linii'!J18&lt;='Input_Meci'!G34)),"PASS",IF(X410="CANDIDATE","OOS PENDING","FAIL"))))</x:f>
      </x:c>
      <x:c r="Z410" s="2" t="str">
        <x:f>IF(B410="","",IF(I410&lt;&gt;"READY","",IF(OR(NOT(AND(J410="PASS",'Calibrare_Linii'!U18="VALID")),L410&gt;'Config_v6'!$B$13,W410="WATCH"),5,IF(Y410="PASS",1,MIN(5,MAX('Config_v6'!$B$42,U410)+IF(W410="PENALTY",1,0))))))</x:f>
      </x:c>
      <x:c r="AA410" s="2" t="str">
        <x:f>IF(B410="","",IF(I410&lt;&gt;"READY","NOT RELEASED",IF(Z410=5,"NO BET",IF(OR(AB410&lt;'Config_v6'!$B$16,V410&lt;'Config_v6'!$B$18),"WATCH",IF(Z410=1,"DEFENSIV",IF(Z410=2,"PRUDENT",IF(Z410=3,"MODERAT","RIDICAT")))))))</x:f>
      </x:c>
      <x:c r="AB410" s="10" t="str">
        <x:f>IF(N410="","",MIN(N410,1-S410))</x:f>
      </x:c>
      <x:c r="AC410" s="2" t="str">
        <x:f>IF(AD410&lt;&gt;1,"",COUNTIFS($Z$398:$Z$411,"&lt;"&amp;Z410,$AD$398:$AD$411,1)+COUNTIFS($Z$398:$Z$411,Z410,$AB$398:$AB$411,"&gt;"&amp;AB410,$AD$398:$AD$411,1)+COUNTIFS($Z$398:$Z$411,Z410,$AB$398:$AB$411,AB410,$V$398:$V$411,"&gt;"&amp;V410,$AD$398:$AD$411,1)+COUNTIFS($Z$398:Z410,Z410,$AB$398:AB410,AB410,$V$398:V410,V410,$AD$398:AD410,1))</x:f>
      </x:c>
      <x:c r="AD410" s="2" t="n">
        <x:f>IF(OR(AA410="DEFENSIV",AA410="PRUDENT",AA410="MODERAT",AA410="RIDICAT"),1,0)</x:f>
        <x:v>0</x:v>
      </x:c>
      <x:c r="AE410" s="2" t="str">
        <x:f>IF(AD410&lt;&gt;1,"NO",IF(W410="PASS","YES",IF(W410="OOS PENDING","CONDITIONAL","NO")))</x:f>
        <x:v>NO</x:v>
      </x:c>
      <x:c r="AF410" s="2" t="n">
        <x:f>IF(AND(AD410=1,AC410=1,E410="LIVE"),1,0)</x:f>
        <x:v>0</x:v>
      </x:c>
      <x:c r="AG410" s="2" t="str">
        <x:f>IF(AF410&lt;&gt;1,"",'Dashboard'!P54)</x:f>
      </x:c>
      <x:c r="AH410" s="2" t="str">
        <x:f>IF(B410="","",IF(J410&lt;&gt;"PASS",'Motor_Meciuri'!J34,IF('Calibrare_Linii'!U18&lt;&gt;"VALID","Parametri linie invalizi",IF(L410&gt;'Config_v6'!$B$13,"Dispersie peste limita",IF(W410="WATCH","Failure peste limita",IF(AB410&lt;'Config_v6'!$B$16,"P finala sub prag",IF(V410&lt;'Config_v6'!$B$18,"Confidence sub prag",IF(E410="REPLAY","Exemplu retrospectiv; exclus din Top LIVE",IF(Y410="PASS","DEFENSIV validat",IF(W410="OOS PENDING","Eligibil; calibrare linie in monitorizare","Eligibil"))))))))))</x:f>
      </x:c>
      <x:c r="AI410" s="2" t="str">
        <x:f>IF(B410="","",'Calibrare_Linii'!V18)</x:f>
      </x:c>
      <x:c r="AJ410" s="2" t="str">
        <x:f>IF(B410="","",IF(AND('Calibrare_Linii'!T18="VALIDATED",AND('Calibrare_Linii'!H18=C410,ISNUMBER('Calibrare_Linii'!J18),'Calibrare_Linii'!J18&lt;='Input_Meci'!G34)),"DEFENSIVE VALIDATED",IF(AND('Calibrare_Linii'!S18="VALIDATED",AND('Calibrare_Linii'!H18=C410,ISNUMBER('Calibrare_Linii'!J18),'Calibrare_Linii'!J18&lt;='Input_Meci'!G34)),"TAIL VALIDATED","OOS PENDING")))</x:f>
      </x:c>
      <x:c r="AK410" s="2" t="n">
        <x:f>IF(J410&lt;&gt;"PASS",0,'Motor_Meciuri'!BR34)</x:f>
        <x:v>0</x:v>
      </x:c>
      <x:c r="AL410" s="2" t="n">
        <x:f>IF(J410&lt;&gt;"PASS",0,'Motor_Meciuri'!BS34)</x:f>
        <x:v>0</x:v>
      </x:c>
      <x:c r="AM410" s="2" t="n">
        <x:f>IF(J410&lt;&gt;"PASS",0,'Motor_Meciuri'!BT34)</x:f>
        <x:v>0</x:v>
      </x:c>
      <x:c r="AN410" s="2" t="str">
        <x:f>IF(M410="","",MAX(0,'Motor_Meciuri'!BF34-IF(L410&gt;'Config_v6'!$B$12,'Config_v6'!$B$37,IF(L410&gt;'Config_v6'!$B$11,'Config_v6'!$B$36,0))))</x:f>
      </x:c>
    </x:row>
    <x:row r="411" ht="21" customHeight="1">
      <x:c r="A411" s="2" t="n">
        <x:v>29</x:v>
      </x:c>
      <x:c r="B411" s="2" t="str">
        <x:f>IF('Motor_Meciuri'!A34="","",'Motor_Meciuri'!A34)</x:f>
      </x:c>
      <x:c r="C411" s="2" t="str">
        <x:f>IF(B411="","",'Motor_Meciuri'!B34)</x:f>
      </x:c>
      <x:c r="D411" s="2" t="str">
        <x:f>IF(B411="","",'Motor_Meciuri'!D34)</x:f>
      </x:c>
      <x:c r="E411" s="2" t="str">
        <x:f>IF(B411="","",'Motor_Meciuri'!E34)</x:f>
      </x:c>
      <x:c r="F411" s="2" t="str">
        <x:v>U17,5</x:v>
      </x:c>
      <x:c r="G411" s="2" t="str">
        <x:v>UNDER</x:v>
      </x:c>
      <x:c r="H411" s="2" t="n">
        <x:v>17</x:v>
      </x:c>
      <x:c r="I411" s="2" t="str">
        <x:f>IF(B411="","",'Motor_Meciuri'!H34)</x:f>
      </x:c>
      <x:c r="J411" s="2" t="str">
        <x:f>IF(B411="","",'Motor_Meciuri'!I34)</x:f>
      </x:c>
      <x:c r="K411" s="11" t="str">
        <x:f>IF(J411&lt;&gt;"PASS","",'Motor_Meciuri'!BD34)</x:f>
      </x:c>
      <x:c r="L411" s="11" t="str">
        <x:f>IF(J411&lt;&gt;"PASS","",'Motor_Meciuri'!AU34)</x:f>
      </x:c>
      <x:c r="M411" s="10" t="str">
        <x:f>IF(NOT(AND(J411="PASS",'Calibrare_Linii'!U19="VALID")),"",'Distributie'!AO34)</x:f>
      </x:c>
      <x:c r="N411" s="10" t="str">
        <x:f>IF(M411="","",MAX(0.01,MIN(0.99,0.5+(M411-0.5)*'Motor_Meciuri'!BG34*'Calibrare_Linii'!D19)))</x:f>
      </x:c>
      <x:c r="O411" s="10" t="str">
        <x:f>IF(M411="","",1-M411)</x:f>
      </x:c>
      <x:c r="P411" s="10" t="str">
        <x:f>IF(OR(NOT(AND(J411="PASS",'Calibrare_Linii'!U19="VALID")),AK411=0),""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*('Istoric_Nativ'!$Q$6:$Q$405&gt;H411))/AK411)</x:f>
      </x:c>
      <x:c r="Q411" s="10" t="str">
        <x:f>IF(OR(NOT(AND(J411="PASS",'Calibrare_Linii'!U19="VALID")),AL411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M34)+((('Istoric_Nativ'!$E$6:$E$405='Input_Meci'!E34)+('Istoric_Nativ'!$F$6:$F$405='Input_Meci'!E34))&gt;0)*('Istoric_Nativ'!$D$6:$D$405&gt;='Motor_Meciuri'!BN34))&gt;0)*('Istoric_Nativ'!$Q$6:$Q$405&gt;H411))/AL411)</x:f>
      </x:c>
      <x:c r="R411" s="10" t="str">
        <x:f>IF(OR(NOT(AND(J411="PASS",'Calibrare_Linii'!U19="VALID")),AM411=0),""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'Motor_Meciuri'!BO34)+((('Istoric_Nativ'!$E$6:$E$405='Input_Meci'!E34)+('Istoric_Nativ'!$F$6:$F$405='Input_Meci'!E34))&gt;0)*('Istoric_Nativ'!$D$6:$D$405&gt;='Motor_Meciuri'!BP34))&gt;0)*('Istoric_Nativ'!$Q$6:$Q$405&gt;H411))/AM411)</x:f>
      </x:c>
      <x:c r="S411" s="10" t="str">
        <x:f>IF(M411="","",MAX(O411,P411,Q411,R411))</x:f>
      </x:c>
      <x:c r="T411" s="11" t="str">
        <x:f>IF(M411="","",MIN(100,S411*100*'Config_v6'!$B$44+MIN(100,L411/'Config_v6'!$B$13*100)*'Config_v6'!$B$45+(100-'Motor_Meciuri'!BF34)*'Config_v6'!$B$46+'Motor_Meciuri'!BH34*100*'Config_v6'!$B$47))</x:f>
      </x:c>
      <x:c r="U411" s="2" t="str">
        <x:f>IF(T411="","",IF(T411&lt;=20,1,IF(T411&lt;=40,2,IF(T411&lt;=60,3,IF(T411&lt;=80,4,5)))))</x:f>
      </x:c>
      <x:c r="V411" s="2" t="str">
        <x:f>IF(M411="","",MAX(0,'Motor_Meciuri'!BF34-IF(W411="OOS PENDING",'Config_v6'!$B$35,0)-IF(L411&gt;'Config_v6'!$B$12,'Config_v6'!$B$37,IF(L411&gt;'Config_v6'!$B$11,'Config_v6'!$B$36,0))))</x:f>
      </x:c>
      <x:c r="W411" s="2" t="str">
        <x:f>IF(B411="","",IF(I411&lt;&gt;"READY","NOT RELEASED",IF(NOT(AND(J411="PASS",'Calibrare_Linii'!U19="VALID")),"INVALID",IF(NOT(AND('Calibrare_Linii'!S19="VALIDATED",AND('Calibrare_Linii'!H19=C411,ISNUMBER('Calibrare_Linii'!J19),'Calibrare_Linii'!J19&lt;='Input_Meci'!G34))),"OOS PENDING",IF(S411&lt;='Calibrare_Linii'!E19,"PASS",IF(S411&lt;='Calibrare_Linii'!F19,"PENALTY","WATCH"))))))</x:f>
      </x:c>
      <x:c r="X411" s="2" t="str">
        <x:f>IF(M411="","",IF(AND(AND(J411="PASS",'Calibrare_Linii'!U19="VALID"),'Motor_Meciuri'!K34=12,'Motor_Meciuri'!L34=12,'Motor_Meciuri'!M34="NO",'Motor_Meciuri'!BL34='Motor_Meciuri'!C34,AB411&gt;='Config_v6'!$B$50,AN411&gt;='Config_v6'!$B$51,T411&lt;='Config_v6'!$B$52,L411&lt;='Config_v6'!$B$53,ISNUMBER('Calibrare_Linii'!E19),S411&lt;='Calibrare_Linii'!E19,SUM(AK411:AM411)&gt;0),"CANDIDATE","NO"))</x:f>
      </x:c>
      <x:c r="Y411" s="2" t="str">
        <x:f>IF(B411="","",IF(I411&lt;&gt;"READY","NOT RELEASED",IF(AND(X411="CANDIDATE",V411&gt;='Config_v6'!$B$51,W411="PASS",'Calibrare_Linii'!T19="VALIDATED",AND('Calibrare_Linii'!H19=C411,ISNUMBER('Calibrare_Linii'!J19),'Calibrare_Linii'!J19&lt;='Input_Meci'!G34)),"PASS",IF(X411="CANDIDATE","OOS PENDING","FAIL"))))</x:f>
      </x:c>
      <x:c r="Z411" s="2" t="str">
        <x:f>IF(B411="","",IF(I411&lt;&gt;"READY","",IF(OR(NOT(AND(J411="PASS",'Calibrare_Linii'!U19="VALID")),L411&gt;'Config_v6'!$B$13,W411="WATCH"),5,IF(Y411="PASS",1,MIN(5,MAX('Config_v6'!$B$42,U411)+IF(W411="PENALTY",1,0))))))</x:f>
      </x:c>
      <x:c r="AA411" s="2" t="str">
        <x:f>IF(B411="","",IF(I411&lt;&gt;"READY","NOT RELEASED",IF(Z411=5,"NO BET",IF(OR(AB411&lt;'Config_v6'!$B$16,V411&lt;'Config_v6'!$B$18),"WATCH",IF(Z411=1,"DEFENSIV",IF(Z411=2,"PRUDENT",IF(Z411=3,"MODERAT","RIDICAT")))))))</x:f>
      </x:c>
      <x:c r="AB411" s="10" t="str">
        <x:f>IF(N411="","",MIN(N411,1-S411))</x:f>
      </x:c>
      <x:c r="AC411" s="2" t="str">
        <x:f>IF(AD411&lt;&gt;1,"",COUNTIFS($Z$398:$Z$411,"&lt;"&amp;Z411,$AD$398:$AD$411,1)+COUNTIFS($Z$398:$Z$411,Z411,$AB$398:$AB$411,"&gt;"&amp;AB411,$AD$398:$AD$411,1)+COUNTIFS($Z$398:$Z$411,Z411,$AB$398:$AB$411,AB411,$V$398:$V$411,"&gt;"&amp;V411,$AD$398:$AD$411,1)+COUNTIFS($Z$398:Z411,Z411,$AB$398:AB411,AB411,$V$398:V411,V411,$AD$398:AD411,1))</x:f>
      </x:c>
      <x:c r="AD411" s="2" t="n">
        <x:f>IF(OR(AA411="DEFENSIV",AA411="PRUDENT",AA411="MODERAT",AA411="RIDICAT"),1,0)</x:f>
        <x:v>0</x:v>
      </x:c>
      <x:c r="AE411" s="2" t="str">
        <x:f>IF(AD411&lt;&gt;1,"NO",IF(W411="PASS","YES",IF(W411="OOS PENDING","CONDITIONAL","NO")))</x:f>
        <x:v>NO</x:v>
      </x:c>
      <x:c r="AF411" s="2" t="n">
        <x:f>IF(AND(AD411=1,AC411=1,E411="LIVE"),1,0)</x:f>
        <x:v>0</x:v>
      </x:c>
      <x:c r="AG411" s="2" t="str">
        <x:f>IF(AF411&lt;&gt;1,"",'Dashboard'!P54)</x:f>
      </x:c>
      <x:c r="AH411" s="2" t="str">
        <x:f>IF(B411="","",IF(J411&lt;&gt;"PASS",'Motor_Meciuri'!J34,IF('Calibrare_Linii'!U19&lt;&gt;"VALID","Parametri linie invalizi",IF(L411&gt;'Config_v6'!$B$13,"Dispersie peste limita",IF(W411="WATCH","Failure peste limita",IF(AB411&lt;'Config_v6'!$B$16,"P finala sub prag",IF(V411&lt;'Config_v6'!$B$18,"Confidence sub prag",IF(E411="REPLAY","Exemplu retrospectiv; exclus din Top LIVE",IF(Y411="PASS","DEFENSIV validat",IF(W411="OOS PENDING","Eligibil; calibrare linie in monitorizare","Eligibil"))))))))))</x:f>
      </x:c>
      <x:c r="AI411" s="2" t="str">
        <x:f>IF(B411="","",'Calibrare_Linii'!V19)</x:f>
      </x:c>
      <x:c r="AJ411" s="2" t="str">
        <x:f>IF(B411="","",IF(AND('Calibrare_Linii'!T19="VALIDATED",AND('Calibrare_Linii'!H19=C411,ISNUMBER('Calibrare_Linii'!J19),'Calibrare_Linii'!J19&lt;='Input_Meci'!G34)),"DEFENSIVE VALIDATED",IF(AND('Calibrare_Linii'!S19="VALIDATED",AND('Calibrare_Linii'!H19=C411,ISNUMBER('Calibrare_Linii'!J19),'Calibrare_Linii'!J19&lt;='Input_Meci'!G34)),"TAIL VALIDATED","OOS PENDING")))</x:f>
      </x:c>
      <x:c r="AK411" s="2" t="n">
        <x:f>IF(J411&lt;&gt;"PASS",0,'Motor_Meciuri'!BR34)</x:f>
        <x:v>0</x:v>
      </x:c>
      <x:c r="AL411" s="2" t="n">
        <x:f>IF(J411&lt;&gt;"PASS",0,'Motor_Meciuri'!BS34)</x:f>
        <x:v>0</x:v>
      </x:c>
      <x:c r="AM411" s="2" t="n">
        <x:f>IF(J411&lt;&gt;"PASS",0,'Motor_Meciuri'!BT34)</x:f>
        <x:v>0</x:v>
      </x:c>
      <x:c r="AN411" s="2" t="str">
        <x:f>IF(M411="","",MAX(0,'Motor_Meciuri'!BF34-IF(L411&gt;'Config_v6'!$B$12,'Config_v6'!$B$37,IF(L411&gt;'Config_v6'!$B$11,'Config_v6'!$B$36,0))))</x:f>
      </x:c>
    </x:row>
    <x:row r="412" ht="21" customHeight="1">
      <x:c r="A412" s="2" t="n">
        <x:v>30</x:v>
      </x:c>
      <x:c r="B412" s="2" t="str">
        <x:f>IF('Motor_Meciuri'!A35="","",'Motor_Meciuri'!A35)</x:f>
      </x:c>
      <x:c r="C412" s="2" t="str">
        <x:f>IF(B412="","",'Motor_Meciuri'!B35)</x:f>
      </x:c>
      <x:c r="D412" s="2" t="str">
        <x:f>IF(B412="","",'Motor_Meciuri'!D35)</x:f>
      </x:c>
      <x:c r="E412" s="2" t="str">
        <x:f>IF(B412="","",'Motor_Meciuri'!E35)</x:f>
      </x:c>
      <x:c r="F412" s="2" t="str">
        <x:v>O3,5</x:v>
      </x:c>
      <x:c r="G412" s="2" t="str">
        <x:v>OVER</x:v>
      </x:c>
      <x:c r="H412" s="2" t="n">
        <x:v>3</x:v>
      </x:c>
      <x:c r="I412" s="2" t="str">
        <x:f>IF(B412="","",'Motor_Meciuri'!H35)</x:f>
      </x:c>
      <x:c r="J412" s="2" t="str">
        <x:f>IF(B412="","",'Motor_Meciuri'!I35)</x:f>
      </x:c>
      <x:c r="K412" s="11" t="str">
        <x:f>IF(J412&lt;&gt;"PASS","",'Motor_Meciuri'!BD35)</x:f>
      </x:c>
      <x:c r="L412" s="11" t="str">
        <x:f>IF(J412&lt;&gt;"PASS","",'Motor_Meciuri'!AU35)</x:f>
      </x:c>
      <x:c r="M412" s="10" t="str">
        <x:f>IF(NOT(AND(J412="PASS",'Calibrare_Linii'!U6="VALID")),"",1-'Distributie'!AA35)</x:f>
      </x:c>
      <x:c r="N412" s="10" t="str">
        <x:f>IF(M412="","",MAX(0.01,MIN(0.99,0.5+(M412-0.5)*'Motor_Meciuri'!BG35*'Calibrare_Linii'!D6)))</x:f>
      </x:c>
      <x:c r="O412" s="10" t="str">
        <x:f>IF(M412="","",1-M412)</x:f>
      </x:c>
      <x:c r="P412" s="10" t="str">
        <x:f>IF(OR(NOT(AND(J412="PASS",'Calibrare_Linii'!U6="VALID")),AK412=0),""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*('Istoric_Nativ'!$Q$6:$Q$405&lt;=H412))/AK412)</x:f>
      </x:c>
      <x:c r="Q412" s="10" t="str">
        <x:f>IF(OR(NOT(AND(J412="PASS",'Calibrare_Linii'!U6="VALID")),AL412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M35)+((('Istoric_Nativ'!$E$6:$E$405='Input_Meci'!E35)+('Istoric_Nativ'!$F$6:$F$405='Input_Meci'!E35))&gt;0)*('Istoric_Nativ'!$D$6:$D$405&gt;='Motor_Meciuri'!BN35))&gt;0)*('Istoric_Nativ'!$Q$6:$Q$405&lt;=H412))/AL412)</x:f>
      </x:c>
      <x:c r="R412" s="10" t="str">
        <x:f>IF(OR(NOT(AND(J412="PASS",'Calibrare_Linii'!U6="VALID")),AM412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O35)+((('Istoric_Nativ'!$E$6:$E$405='Input_Meci'!E35)+('Istoric_Nativ'!$F$6:$F$405='Input_Meci'!E35))&gt;0)*('Istoric_Nativ'!$D$6:$D$405&gt;='Motor_Meciuri'!BP35))&gt;0)*('Istoric_Nativ'!$Q$6:$Q$405&lt;=H412))/AM412)</x:f>
      </x:c>
      <x:c r="S412" s="10" t="str">
        <x:f>IF(M412="","",MAX(O412,P412,Q412,R412))</x:f>
      </x:c>
      <x:c r="T412" s="11" t="str">
        <x:f>IF(M412="","",MIN(100,S412*100*'Config_v6'!$B$44+MIN(100,L412/'Config_v6'!$B$13*100)*'Config_v6'!$B$45+(100-'Motor_Meciuri'!BF35)*'Config_v6'!$B$46+'Motor_Meciuri'!BH35*100*'Config_v6'!$B$47))</x:f>
      </x:c>
      <x:c r="U412" s="2" t="str">
        <x:f>IF(T412="","",IF(T412&lt;=20,1,IF(T412&lt;=40,2,IF(T412&lt;=60,3,IF(T412&lt;=80,4,5)))))</x:f>
      </x:c>
      <x:c r="V412" s="2" t="str">
        <x:f>IF(M412="","",MAX(0,'Motor_Meciuri'!BF35-IF(W412="OOS PENDING",'Config_v6'!$B$35,0)-IF(L412&gt;'Config_v6'!$B$12,'Config_v6'!$B$37,IF(L412&gt;'Config_v6'!$B$11,'Config_v6'!$B$36,0))))</x:f>
      </x:c>
      <x:c r="W412" s="2" t="str">
        <x:f>IF(B412="","",IF(I412&lt;&gt;"READY","NOT RELEASED",IF(NOT(AND(J412="PASS",'Calibrare_Linii'!U6="VALID")),"INVALID",IF(NOT(TRUE),"OOS PENDING",IF(S412&lt;=IF(AND('Calibrare_Linii'!S6="VALIDATED",AND('Calibrare_Linii'!H6=C412,ISNUMBER('Calibrare_Linii'!J6),'Calibrare_Linii'!J6&lt;='Input_Meci'!G35)),'Calibrare_Linii'!E6,'Config_v6'!$B$26),"PASS",IF(S412&lt;=IF(AND('Calibrare_Linii'!S6="VALIDATED",AND('Calibrare_Linii'!H6=C412,ISNUMBER('Calibrare_Linii'!J6),'Calibrare_Linii'!J6&lt;='Input_Meci'!G35)),'Calibrare_Linii'!F6,'Config_v6'!$C$26),"PENALTY","WATCH"))))))</x:f>
      </x:c>
      <x:c r="X412" s="2" t="str">
        <x:f>IF(M412="","",IF(AND(AND(J412="PASS",'Calibrare_Linii'!U6="VALID"),'Motor_Meciuri'!K35=12,'Motor_Meciuri'!L35=12,'Motor_Meciuri'!M35="NO",'Motor_Meciuri'!BL35='Motor_Meciuri'!C35,AB412&gt;='Config_v6'!$B$50,AN412&gt;='Config_v6'!$B$51,T412&lt;='Config_v6'!$B$52,L412&lt;='Config_v6'!$B$53,ISNUMBER('Calibrare_Linii'!E6),S412&lt;='Calibrare_Linii'!E6,SUM(AK412:AM412)&gt;0),"CANDIDATE","NO"))</x:f>
      </x:c>
      <x:c r="Y412" s="2" t="str">
        <x:f>IF(B412="","",IF(I412&lt;&gt;"READY","NOT RELEASED",IF(AND(X412="CANDIDATE",V412&gt;='Config_v6'!$B$51,W412="PASS",'Calibrare_Linii'!T6="VALIDATED",AND('Calibrare_Linii'!H6=C412,ISNUMBER('Calibrare_Linii'!J6),'Calibrare_Linii'!J6&lt;='Input_Meci'!G35)),"PASS",IF(X412="CANDIDATE","OOS PENDING","FAIL"))))</x:f>
      </x:c>
      <x:c r="Z412" s="2" t="str">
        <x:f>IF(B412="","",IF(I412&lt;&gt;"READY","",IF(OR(NOT(AND(J412="PASS",'Calibrare_Linii'!U6="VALID")),L412&gt;'Config_v6'!$B$13,W412="WATCH"),5,IF(Y412="PASS",1,MIN(5,MAX('Config_v6'!$B$42,U412)+IF(W412="PENALTY",1,0))))))</x:f>
      </x:c>
      <x:c r="AA412" s="2" t="str">
        <x:f>IF(B412="","",IF(I412&lt;&gt;"READY","NOT RELEASED",IF(Z412=5,"NO BET",IF(OR(AB412&lt;'Config_v6'!$B$16,V412&lt;'Config_v6'!$B$18),"WATCH",IF(Z412=1,"DEFENSIV",IF(Z412=2,"PRUDENT",IF(Z412=3,"MODERAT","RIDICAT")))))))</x:f>
      </x:c>
      <x:c r="AB412" s="10" t="str">
        <x:f>IF(N412="","",MIN(N412,1-S412))</x:f>
      </x:c>
      <x:c r="AC412" s="2" t="str">
        <x:f>IF(AD412&lt;&gt;1,"",COUNTIFS($Z$412:$Z$425,"&lt;"&amp;Z412,$AD$412:$AD$425,1)+COUNTIFS($Z$412:$Z$425,Z412,$AB$412:$AB$425,"&gt;"&amp;AB412,$AD$412:$AD$425,1)+COUNTIFS($Z$412:$Z$425,Z412,$AB$412:$AB$425,AB412,$V$412:$V$425,"&gt;"&amp;V412,$AD$412:$AD$425,1)+COUNTIFS($Z$412:Z412,Z412,$AB$412:AB412,AB412,$V$412:V412,V412,$AD$412:AD412,1))</x:f>
      </x:c>
      <x:c r="AD412" s="2" t="n">
        <x:f>IF(OR(AA412="DEFENSIV",AA412="PRUDENT",AA412="MODERAT",AA412="RIDICAT"),1,0)</x:f>
        <x:v>0</x:v>
      </x:c>
      <x:c r="AE412" s="2" t="str">
        <x:f>IF(AD412&lt;&gt;1,"NO",IF(W412="PASS","YES",IF(W412="OOS PENDING","CONDITIONAL","NO")))</x:f>
        <x:v>NO</x:v>
      </x:c>
      <x:c r="AF412" s="2" t="n">
        <x:f>IF(AND(AD412=1,AC412=1,E412="LIVE"),1,0)</x:f>
        <x:v>0</x:v>
      </x:c>
      <x:c r="AG412" s="2" t="str">
        <x:f>IF(AF412&lt;&gt;1,"",'Dashboard'!P55)</x:f>
      </x:c>
      <x:c r="AH412" s="2" t="str">
        <x:f>IF(B412="","",IF(J412&lt;&gt;"PASS",'Motor_Meciuri'!J35,IF('Calibrare_Linii'!U6&lt;&gt;"VALID","Parametri linie invalizi",IF(L412&gt;'Config_v6'!$B$13,"Dispersie peste limita",IF(W412="WATCH","Failure peste limita",IF(AB412&lt;'Config_v6'!$B$16,"P finala sub prag",IF(V412&lt;'Config_v6'!$B$18,"Confidence sub prag",IF(E412="REPLAY","Exemplu retrospectiv; exclus din Top LIVE",IF(Y412="PASS","DEFENSIV validat",IF(W412="OOS PENDING","Eligibil; calibrare linie in monitorizare","Eligibil"))))))))))</x:f>
      </x:c>
      <x:c r="AI412" s="2" t="str">
        <x:f>IF(B412="","",'Calibrare_Linii'!V6)</x:f>
      </x:c>
      <x:c r="AJ412" s="2" t="str">
        <x:f>IF(B412="","",IF(AND('Calibrare_Linii'!T6="VALIDATED",AND('Calibrare_Linii'!H6=C412,ISNUMBER('Calibrare_Linii'!J6),'Calibrare_Linii'!J6&lt;='Input_Meci'!G35)),"DEFENSIVE VALIDATED",IF(AND('Calibrare_Linii'!S6="VALIDATED",AND('Calibrare_Linii'!H6=C412,ISNUMBER('Calibrare_Linii'!J6),'Calibrare_Linii'!J6&lt;='Input_Meci'!G35)),"TAIL VALIDATED","OOS PENDING")))</x:f>
      </x:c>
      <x:c r="AK412" s="2" t="n">
        <x:f>IF(J412&lt;&gt;"PASS",0,'Motor_Meciuri'!BR35)</x:f>
        <x:v>0</x:v>
      </x:c>
      <x:c r="AL412" s="2" t="n">
        <x:f>IF(J412&lt;&gt;"PASS",0,'Motor_Meciuri'!BS35)</x:f>
        <x:v>0</x:v>
      </x:c>
      <x:c r="AM412" s="2" t="n">
        <x:f>IF(J412&lt;&gt;"PASS",0,'Motor_Meciuri'!BT35)</x:f>
        <x:v>0</x:v>
      </x:c>
      <x:c r="AN412" s="2" t="str">
        <x:f>IF(M412="","",MAX(0,'Motor_Meciuri'!BF35-IF(L412&gt;'Config_v6'!$B$12,'Config_v6'!$B$37,IF(L412&gt;'Config_v6'!$B$11,'Config_v6'!$B$36,0))))</x:f>
      </x:c>
    </x:row>
    <x:row r="413" ht="21" customHeight="1">
      <x:c r="A413" s="2" t="n">
        <x:v>30</x:v>
      </x:c>
      <x:c r="B413" s="2" t="str">
        <x:f>IF('Motor_Meciuri'!A35="","",'Motor_Meciuri'!A35)</x:f>
      </x:c>
      <x:c r="C413" s="2" t="str">
        <x:f>IF(B413="","",'Motor_Meciuri'!B35)</x:f>
      </x:c>
      <x:c r="D413" s="2" t="str">
        <x:f>IF(B413="","",'Motor_Meciuri'!D35)</x:f>
      </x:c>
      <x:c r="E413" s="2" t="str">
        <x:f>IF(B413="","",'Motor_Meciuri'!E35)</x:f>
      </x:c>
      <x:c r="F413" s="2" t="str">
        <x:v>O4,5</x:v>
      </x:c>
      <x:c r="G413" s="2" t="str">
        <x:v>OVER</x:v>
      </x:c>
      <x:c r="H413" s="2" t="n">
        <x:v>4</x:v>
      </x:c>
      <x:c r="I413" s="2" t="str">
        <x:f>IF(B413="","",'Motor_Meciuri'!H35)</x:f>
      </x:c>
      <x:c r="J413" s="2" t="str">
        <x:f>IF(B413="","",'Motor_Meciuri'!I35)</x:f>
      </x:c>
      <x:c r="K413" s="11" t="str">
        <x:f>IF(J413&lt;&gt;"PASS","",'Motor_Meciuri'!BD35)</x:f>
      </x:c>
      <x:c r="L413" s="11" t="str">
        <x:f>IF(J413&lt;&gt;"PASS","",'Motor_Meciuri'!AU35)</x:f>
      </x:c>
      <x:c r="M413" s="10" t="str">
        <x:f>IF(NOT(AND(J413="PASS",'Calibrare_Linii'!U7="VALID")),"",1-'Distributie'!AB35)</x:f>
      </x:c>
      <x:c r="N413" s="10" t="str">
        <x:f>IF(M413="","",MAX(0.01,MIN(0.99,0.5+(M413-0.5)*'Motor_Meciuri'!BG35*'Calibrare_Linii'!D7)))</x:f>
      </x:c>
      <x:c r="O413" s="10" t="str">
        <x:f>IF(M413="","",1-M413)</x:f>
      </x:c>
      <x:c r="P413" s="10" t="str">
        <x:f>IF(OR(NOT(AND(J413="PASS",'Calibrare_Linii'!U7="VALID")),AK413=0),""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*('Istoric_Nativ'!$Q$6:$Q$405&lt;=H413))/AK413)</x:f>
      </x:c>
      <x:c r="Q413" s="10" t="str">
        <x:f>IF(OR(NOT(AND(J413="PASS",'Calibrare_Linii'!U7="VALID")),AL413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M35)+((('Istoric_Nativ'!$E$6:$E$405='Input_Meci'!E35)+('Istoric_Nativ'!$F$6:$F$405='Input_Meci'!E35))&gt;0)*('Istoric_Nativ'!$D$6:$D$405&gt;='Motor_Meciuri'!BN35))&gt;0)*('Istoric_Nativ'!$Q$6:$Q$405&lt;=H413))/AL413)</x:f>
      </x:c>
      <x:c r="R413" s="10" t="str">
        <x:f>IF(OR(NOT(AND(J413="PASS",'Calibrare_Linii'!U7="VALID")),AM413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O35)+((('Istoric_Nativ'!$E$6:$E$405='Input_Meci'!E35)+('Istoric_Nativ'!$F$6:$F$405='Input_Meci'!E35))&gt;0)*('Istoric_Nativ'!$D$6:$D$405&gt;='Motor_Meciuri'!BP35))&gt;0)*('Istoric_Nativ'!$Q$6:$Q$405&lt;=H413))/AM413)</x:f>
      </x:c>
      <x:c r="S413" s="10" t="str">
        <x:f>IF(M413="","",MAX(O413,P413,Q413,R413))</x:f>
      </x:c>
      <x:c r="T413" s="11" t="str">
        <x:f>IF(M413="","",MIN(100,S413*100*'Config_v6'!$B$44+MIN(100,L413/'Config_v6'!$B$13*100)*'Config_v6'!$B$45+(100-'Motor_Meciuri'!BF35)*'Config_v6'!$B$46+'Motor_Meciuri'!BH35*100*'Config_v6'!$B$47))</x:f>
      </x:c>
      <x:c r="U413" s="2" t="str">
        <x:f>IF(T413="","",IF(T413&lt;=20,1,IF(T413&lt;=40,2,IF(T413&lt;=60,3,IF(T413&lt;=80,4,5)))))</x:f>
      </x:c>
      <x:c r="V413" s="2" t="str">
        <x:f>IF(M413="","",MAX(0,'Motor_Meciuri'!BF35-IF(W413="OOS PENDING",'Config_v6'!$B$35,0)-IF(L413&gt;'Config_v6'!$B$12,'Config_v6'!$B$37,IF(L413&gt;'Config_v6'!$B$11,'Config_v6'!$B$36,0))))</x:f>
      </x:c>
      <x:c r="W413" s="2" t="str">
        <x:f>IF(B413="","",IF(I413&lt;&gt;"READY","NOT RELEASED",IF(NOT(AND(J413="PASS",'Calibrare_Linii'!U7="VALID")),"INVALID",IF(NOT(AND('Calibrare_Linii'!S7="VALIDATED",AND('Calibrare_Linii'!H7=C413,ISNUMBER('Calibrare_Linii'!J7),'Calibrare_Linii'!J7&lt;='Input_Meci'!G35))),"OOS PENDING",IF(S413&lt;='Calibrare_Linii'!E7,"PASS",IF(S413&lt;='Calibrare_Linii'!F7,"PENALTY","WATCH"))))))</x:f>
      </x:c>
      <x:c r="X413" s="2" t="str">
        <x:f>IF(M413="","",IF(AND(AND(J413="PASS",'Calibrare_Linii'!U7="VALID"),'Motor_Meciuri'!K35=12,'Motor_Meciuri'!L35=12,'Motor_Meciuri'!M35="NO",'Motor_Meciuri'!BL35='Motor_Meciuri'!C35,AB413&gt;='Config_v6'!$B$50,AN413&gt;='Config_v6'!$B$51,T413&lt;='Config_v6'!$B$52,L413&lt;='Config_v6'!$B$53,ISNUMBER('Calibrare_Linii'!E7),S413&lt;='Calibrare_Linii'!E7,SUM(AK413:AM413)&gt;0),"CANDIDATE","NO"))</x:f>
      </x:c>
      <x:c r="Y413" s="2" t="str">
        <x:f>IF(B413="","",IF(I413&lt;&gt;"READY","NOT RELEASED",IF(AND(X413="CANDIDATE",V413&gt;='Config_v6'!$B$51,W413="PASS",'Calibrare_Linii'!T7="VALIDATED",AND('Calibrare_Linii'!H7=C413,ISNUMBER('Calibrare_Linii'!J7),'Calibrare_Linii'!J7&lt;='Input_Meci'!G35)),"PASS",IF(X413="CANDIDATE","OOS PENDING","FAIL"))))</x:f>
      </x:c>
      <x:c r="Z413" s="2" t="str">
        <x:f>IF(B413="","",IF(I413&lt;&gt;"READY","",IF(OR(NOT(AND(J413="PASS",'Calibrare_Linii'!U7="VALID")),L413&gt;'Config_v6'!$B$13,W413="WATCH"),5,IF(Y413="PASS",1,MIN(5,MAX('Config_v6'!$B$42,U413)+IF(W413="PENALTY",1,0))))))</x:f>
      </x:c>
      <x:c r="AA413" s="2" t="str">
        <x:f>IF(B413="","",IF(I413&lt;&gt;"READY","NOT RELEASED",IF(Z413=5,"NO BET",IF(OR(AB413&lt;'Config_v6'!$B$16,V413&lt;'Config_v6'!$B$18),"WATCH",IF(Z413=1,"DEFENSIV",IF(Z413=2,"PRUDENT",IF(Z413=3,"MODERAT","RIDICAT")))))))</x:f>
      </x:c>
      <x:c r="AB413" s="10" t="str">
        <x:f>IF(N413="","",MIN(N413,1-S413))</x:f>
      </x:c>
      <x:c r="AC413" s="2" t="str">
        <x:f>IF(AD413&lt;&gt;1,"",COUNTIFS($Z$412:$Z$425,"&lt;"&amp;Z413,$AD$412:$AD$425,1)+COUNTIFS($Z$412:$Z$425,Z413,$AB$412:$AB$425,"&gt;"&amp;AB413,$AD$412:$AD$425,1)+COUNTIFS($Z$412:$Z$425,Z413,$AB$412:$AB$425,AB413,$V$412:$V$425,"&gt;"&amp;V413,$AD$412:$AD$425,1)+COUNTIFS($Z$412:Z413,Z413,$AB$412:AB413,AB413,$V$412:V413,V413,$AD$412:AD413,1))</x:f>
      </x:c>
      <x:c r="AD413" s="2" t="n">
        <x:f>IF(OR(AA413="DEFENSIV",AA413="PRUDENT",AA413="MODERAT",AA413="RIDICAT"),1,0)</x:f>
        <x:v>0</x:v>
      </x:c>
      <x:c r="AE413" s="2" t="str">
        <x:f>IF(AD413&lt;&gt;1,"NO",IF(W413="PASS","YES",IF(W413="OOS PENDING","CONDITIONAL","NO")))</x:f>
        <x:v>NO</x:v>
      </x:c>
      <x:c r="AF413" s="2" t="n">
        <x:f>IF(AND(AD413=1,AC413=1,E413="LIVE"),1,0)</x:f>
        <x:v>0</x:v>
      </x:c>
      <x:c r="AG413" s="2" t="str">
        <x:f>IF(AF413&lt;&gt;1,"",'Dashboard'!P55)</x:f>
      </x:c>
      <x:c r="AH413" s="2" t="str">
        <x:f>IF(B413="","",IF(J413&lt;&gt;"PASS",'Motor_Meciuri'!J35,IF('Calibrare_Linii'!U7&lt;&gt;"VALID","Parametri linie invalizi",IF(L413&gt;'Config_v6'!$B$13,"Dispersie peste limita",IF(W413="WATCH","Failure peste limita",IF(AB413&lt;'Config_v6'!$B$16,"P finala sub prag",IF(V413&lt;'Config_v6'!$B$18,"Confidence sub prag",IF(E413="REPLAY","Exemplu retrospectiv; exclus din Top LIVE",IF(Y413="PASS","DEFENSIV validat",IF(W413="OOS PENDING","Eligibil; calibrare linie in monitorizare","Eligibil"))))))))))</x:f>
      </x:c>
      <x:c r="AI413" s="2" t="str">
        <x:f>IF(B413="","",'Calibrare_Linii'!V7)</x:f>
      </x:c>
      <x:c r="AJ413" s="2" t="str">
        <x:f>IF(B413="","",IF(AND('Calibrare_Linii'!T7="VALIDATED",AND('Calibrare_Linii'!H7=C413,ISNUMBER('Calibrare_Linii'!J7),'Calibrare_Linii'!J7&lt;='Input_Meci'!G35)),"DEFENSIVE VALIDATED",IF(AND('Calibrare_Linii'!S7="VALIDATED",AND('Calibrare_Linii'!H7=C413,ISNUMBER('Calibrare_Linii'!J7),'Calibrare_Linii'!J7&lt;='Input_Meci'!G35)),"TAIL VALIDATED","OOS PENDING")))</x:f>
      </x:c>
      <x:c r="AK413" s="2" t="n">
        <x:f>IF(J413&lt;&gt;"PASS",0,'Motor_Meciuri'!BR35)</x:f>
        <x:v>0</x:v>
      </x:c>
      <x:c r="AL413" s="2" t="n">
        <x:f>IF(J413&lt;&gt;"PASS",0,'Motor_Meciuri'!BS35)</x:f>
        <x:v>0</x:v>
      </x:c>
      <x:c r="AM413" s="2" t="n">
        <x:f>IF(J413&lt;&gt;"PASS",0,'Motor_Meciuri'!BT35)</x:f>
        <x:v>0</x:v>
      </x:c>
      <x:c r="AN413" s="2" t="str">
        <x:f>IF(M413="","",MAX(0,'Motor_Meciuri'!BF35-IF(L413&gt;'Config_v6'!$B$12,'Config_v6'!$B$37,IF(L413&gt;'Config_v6'!$B$11,'Config_v6'!$B$36,0))))</x:f>
      </x:c>
    </x:row>
    <x:row r="414" ht="21" customHeight="1">
      <x:c r="A414" s="2" t="n">
        <x:v>30</x:v>
      </x:c>
      <x:c r="B414" s="2" t="str">
        <x:f>IF('Motor_Meciuri'!A35="","",'Motor_Meciuri'!A35)</x:f>
      </x:c>
      <x:c r="C414" s="2" t="str">
        <x:f>IF(B414="","",'Motor_Meciuri'!B35)</x:f>
      </x:c>
      <x:c r="D414" s="2" t="str">
        <x:f>IF(B414="","",'Motor_Meciuri'!D35)</x:f>
      </x:c>
      <x:c r="E414" s="2" t="str">
        <x:f>IF(B414="","",'Motor_Meciuri'!E35)</x:f>
      </x:c>
      <x:c r="F414" s="2" t="str">
        <x:v>O5,5</x:v>
      </x:c>
      <x:c r="G414" s="2" t="str">
        <x:v>OVER</x:v>
      </x:c>
      <x:c r="H414" s="2" t="n">
        <x:v>5</x:v>
      </x:c>
      <x:c r="I414" s="2" t="str">
        <x:f>IF(B414="","",'Motor_Meciuri'!H35)</x:f>
      </x:c>
      <x:c r="J414" s="2" t="str">
        <x:f>IF(B414="","",'Motor_Meciuri'!I35)</x:f>
      </x:c>
      <x:c r="K414" s="11" t="str">
        <x:f>IF(J414&lt;&gt;"PASS","",'Motor_Meciuri'!BD35)</x:f>
      </x:c>
      <x:c r="L414" s="11" t="str">
        <x:f>IF(J414&lt;&gt;"PASS","",'Motor_Meciuri'!AU35)</x:f>
      </x:c>
      <x:c r="M414" s="10" t="str">
        <x:f>IF(NOT(AND(J414="PASS",'Calibrare_Linii'!U8="VALID")),"",1-'Distributie'!AC35)</x:f>
      </x:c>
      <x:c r="N414" s="10" t="str">
        <x:f>IF(M414="","",MAX(0.01,MIN(0.99,0.5+(M414-0.5)*'Motor_Meciuri'!BG35*'Calibrare_Linii'!D8)))</x:f>
      </x:c>
      <x:c r="O414" s="10" t="str">
        <x:f>IF(M414="","",1-M414)</x:f>
      </x:c>
      <x:c r="P414" s="10" t="str">
        <x:f>IF(OR(NOT(AND(J414="PASS",'Calibrare_Linii'!U8="VALID")),AK414=0),""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*('Istoric_Nativ'!$Q$6:$Q$405&lt;=H414))/AK414)</x:f>
      </x:c>
      <x:c r="Q414" s="10" t="str">
        <x:f>IF(OR(NOT(AND(J414="PASS",'Calibrare_Linii'!U8="VALID")),AL414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M35)+((('Istoric_Nativ'!$E$6:$E$405='Input_Meci'!E35)+('Istoric_Nativ'!$F$6:$F$405='Input_Meci'!E35))&gt;0)*('Istoric_Nativ'!$D$6:$D$405&gt;='Motor_Meciuri'!BN35))&gt;0)*('Istoric_Nativ'!$Q$6:$Q$405&lt;=H414))/AL414)</x:f>
      </x:c>
      <x:c r="R414" s="10" t="str">
        <x:f>IF(OR(NOT(AND(J414="PASS",'Calibrare_Linii'!U8="VALID")),AM414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O35)+((('Istoric_Nativ'!$E$6:$E$405='Input_Meci'!E35)+('Istoric_Nativ'!$F$6:$F$405='Input_Meci'!E35))&gt;0)*('Istoric_Nativ'!$D$6:$D$405&gt;='Motor_Meciuri'!BP35))&gt;0)*('Istoric_Nativ'!$Q$6:$Q$405&lt;=H414))/AM414)</x:f>
      </x:c>
      <x:c r="S414" s="10" t="str">
        <x:f>IF(M414="","",MAX(O414,P414,Q414,R414))</x:f>
      </x:c>
      <x:c r="T414" s="11" t="str">
        <x:f>IF(M414="","",MIN(100,S414*100*'Config_v6'!$B$44+MIN(100,L414/'Config_v6'!$B$13*100)*'Config_v6'!$B$45+(100-'Motor_Meciuri'!BF35)*'Config_v6'!$B$46+'Motor_Meciuri'!BH35*100*'Config_v6'!$B$47))</x:f>
      </x:c>
      <x:c r="U414" s="2" t="str">
        <x:f>IF(T414="","",IF(T414&lt;=20,1,IF(T414&lt;=40,2,IF(T414&lt;=60,3,IF(T414&lt;=80,4,5)))))</x:f>
      </x:c>
      <x:c r="V414" s="2" t="str">
        <x:f>IF(M414="","",MAX(0,'Motor_Meciuri'!BF35-IF(W414="OOS PENDING",'Config_v6'!$B$35,0)-IF(L414&gt;'Config_v6'!$B$12,'Config_v6'!$B$37,IF(L414&gt;'Config_v6'!$B$11,'Config_v6'!$B$36,0))))</x:f>
      </x:c>
      <x:c r="W414" s="2" t="str">
        <x:f>IF(B414="","",IF(I414&lt;&gt;"READY","NOT RELEASED",IF(NOT(AND(J414="PASS",'Calibrare_Linii'!U8="VALID")),"INVALID",IF(NOT(AND('Calibrare_Linii'!S8="VALIDATED",AND('Calibrare_Linii'!H8=C414,ISNUMBER('Calibrare_Linii'!J8),'Calibrare_Linii'!J8&lt;='Input_Meci'!G35))),"OOS PENDING",IF(S414&lt;='Calibrare_Linii'!E8,"PASS",IF(S414&lt;='Calibrare_Linii'!F8,"PENALTY","WATCH"))))))</x:f>
      </x:c>
      <x:c r="X414" s="2" t="str">
        <x:f>IF(M414="","",IF(AND(AND(J414="PASS",'Calibrare_Linii'!U8="VALID"),'Motor_Meciuri'!K35=12,'Motor_Meciuri'!L35=12,'Motor_Meciuri'!M35="NO",'Motor_Meciuri'!BL35='Motor_Meciuri'!C35,AB414&gt;='Config_v6'!$B$50,AN414&gt;='Config_v6'!$B$51,T414&lt;='Config_v6'!$B$52,L414&lt;='Config_v6'!$B$53,ISNUMBER('Calibrare_Linii'!E8),S414&lt;='Calibrare_Linii'!E8,SUM(AK414:AM414)&gt;0),"CANDIDATE","NO"))</x:f>
      </x:c>
      <x:c r="Y414" s="2" t="str">
        <x:f>IF(B414="","",IF(I414&lt;&gt;"READY","NOT RELEASED",IF(AND(X414="CANDIDATE",V414&gt;='Config_v6'!$B$51,W414="PASS",'Calibrare_Linii'!T8="VALIDATED",AND('Calibrare_Linii'!H8=C414,ISNUMBER('Calibrare_Linii'!J8),'Calibrare_Linii'!J8&lt;='Input_Meci'!G35)),"PASS",IF(X414="CANDIDATE","OOS PENDING","FAIL"))))</x:f>
      </x:c>
      <x:c r="Z414" s="2" t="str">
        <x:f>IF(B414="","",IF(I414&lt;&gt;"READY","",IF(OR(NOT(AND(J414="PASS",'Calibrare_Linii'!U8="VALID")),L414&gt;'Config_v6'!$B$13,W414="WATCH"),5,IF(Y414="PASS",1,MIN(5,MAX('Config_v6'!$B$42,U414)+IF(W414="PENALTY",1,0))))))</x:f>
      </x:c>
      <x:c r="AA414" s="2" t="str">
        <x:f>IF(B414="","",IF(I414&lt;&gt;"READY","NOT RELEASED",IF(Z414=5,"NO BET",IF(OR(AB414&lt;'Config_v6'!$B$16,V414&lt;'Config_v6'!$B$18),"WATCH",IF(Z414=1,"DEFENSIV",IF(Z414=2,"PRUDENT",IF(Z414=3,"MODERAT","RIDICAT")))))))</x:f>
      </x:c>
      <x:c r="AB414" s="10" t="str">
        <x:f>IF(N414="","",MIN(N414,1-S414))</x:f>
      </x:c>
      <x:c r="AC414" s="2" t="str">
        <x:f>IF(AD414&lt;&gt;1,"",COUNTIFS($Z$412:$Z$425,"&lt;"&amp;Z414,$AD$412:$AD$425,1)+COUNTIFS($Z$412:$Z$425,Z414,$AB$412:$AB$425,"&gt;"&amp;AB414,$AD$412:$AD$425,1)+COUNTIFS($Z$412:$Z$425,Z414,$AB$412:$AB$425,AB414,$V$412:$V$425,"&gt;"&amp;V414,$AD$412:$AD$425,1)+COUNTIFS($Z$412:Z414,Z414,$AB$412:AB414,AB414,$V$412:V414,V414,$AD$412:AD414,1))</x:f>
      </x:c>
      <x:c r="AD414" s="2" t="n">
        <x:f>IF(OR(AA414="DEFENSIV",AA414="PRUDENT",AA414="MODERAT",AA414="RIDICAT"),1,0)</x:f>
        <x:v>0</x:v>
      </x:c>
      <x:c r="AE414" s="2" t="str">
        <x:f>IF(AD414&lt;&gt;1,"NO",IF(W414="PASS","YES",IF(W414="OOS PENDING","CONDITIONAL","NO")))</x:f>
        <x:v>NO</x:v>
      </x:c>
      <x:c r="AF414" s="2" t="n">
        <x:f>IF(AND(AD414=1,AC414=1,E414="LIVE"),1,0)</x:f>
        <x:v>0</x:v>
      </x:c>
      <x:c r="AG414" s="2" t="str">
        <x:f>IF(AF414&lt;&gt;1,"",'Dashboard'!P55)</x:f>
      </x:c>
      <x:c r="AH414" s="2" t="str">
        <x:f>IF(B414="","",IF(J414&lt;&gt;"PASS",'Motor_Meciuri'!J35,IF('Calibrare_Linii'!U8&lt;&gt;"VALID","Parametri linie invalizi",IF(L414&gt;'Config_v6'!$B$13,"Dispersie peste limita",IF(W414="WATCH","Failure peste limita",IF(AB414&lt;'Config_v6'!$B$16,"P finala sub prag",IF(V414&lt;'Config_v6'!$B$18,"Confidence sub prag",IF(E414="REPLAY","Exemplu retrospectiv; exclus din Top LIVE",IF(Y414="PASS","DEFENSIV validat",IF(W414="OOS PENDING","Eligibil; calibrare linie in monitorizare","Eligibil"))))))))))</x:f>
      </x:c>
      <x:c r="AI414" s="2" t="str">
        <x:f>IF(B414="","",'Calibrare_Linii'!V8)</x:f>
      </x:c>
      <x:c r="AJ414" s="2" t="str">
        <x:f>IF(B414="","",IF(AND('Calibrare_Linii'!T8="VALIDATED",AND('Calibrare_Linii'!H8=C414,ISNUMBER('Calibrare_Linii'!J8),'Calibrare_Linii'!J8&lt;='Input_Meci'!G35)),"DEFENSIVE VALIDATED",IF(AND('Calibrare_Linii'!S8="VALIDATED",AND('Calibrare_Linii'!H8=C414,ISNUMBER('Calibrare_Linii'!J8),'Calibrare_Linii'!J8&lt;='Input_Meci'!G35)),"TAIL VALIDATED","OOS PENDING")))</x:f>
      </x:c>
      <x:c r="AK414" s="2" t="n">
        <x:f>IF(J414&lt;&gt;"PASS",0,'Motor_Meciuri'!BR35)</x:f>
        <x:v>0</x:v>
      </x:c>
      <x:c r="AL414" s="2" t="n">
        <x:f>IF(J414&lt;&gt;"PASS",0,'Motor_Meciuri'!BS35)</x:f>
        <x:v>0</x:v>
      </x:c>
      <x:c r="AM414" s="2" t="n">
        <x:f>IF(J414&lt;&gt;"PASS",0,'Motor_Meciuri'!BT35)</x:f>
        <x:v>0</x:v>
      </x:c>
      <x:c r="AN414" s="2" t="str">
        <x:f>IF(M414="","",MAX(0,'Motor_Meciuri'!BF35-IF(L414&gt;'Config_v6'!$B$12,'Config_v6'!$B$37,IF(L414&gt;'Config_v6'!$B$11,'Config_v6'!$B$36,0))))</x:f>
      </x:c>
    </x:row>
    <x:row r="415" ht="21" customHeight="1">
      <x:c r="A415" s="2" t="n">
        <x:v>30</x:v>
      </x:c>
      <x:c r="B415" s="2" t="str">
        <x:f>IF('Motor_Meciuri'!A35="","",'Motor_Meciuri'!A35)</x:f>
      </x:c>
      <x:c r="C415" s="2" t="str">
        <x:f>IF(B415="","",'Motor_Meciuri'!B35)</x:f>
      </x:c>
      <x:c r="D415" s="2" t="str">
        <x:f>IF(B415="","",'Motor_Meciuri'!D35)</x:f>
      </x:c>
      <x:c r="E415" s="2" t="str">
        <x:f>IF(B415="","",'Motor_Meciuri'!E35)</x:f>
      </x:c>
      <x:c r="F415" s="2" t="str">
        <x:v>O6,5</x:v>
      </x:c>
      <x:c r="G415" s="2" t="str">
        <x:v>OVER</x:v>
      </x:c>
      <x:c r="H415" s="2" t="n">
        <x:v>6</x:v>
      </x:c>
      <x:c r="I415" s="2" t="str">
        <x:f>IF(B415="","",'Motor_Meciuri'!H35)</x:f>
      </x:c>
      <x:c r="J415" s="2" t="str">
        <x:f>IF(B415="","",'Motor_Meciuri'!I35)</x:f>
      </x:c>
      <x:c r="K415" s="11" t="str">
        <x:f>IF(J415&lt;&gt;"PASS","",'Motor_Meciuri'!BD35)</x:f>
      </x:c>
      <x:c r="L415" s="11" t="str">
        <x:f>IF(J415&lt;&gt;"PASS","",'Motor_Meciuri'!AU35)</x:f>
      </x:c>
      <x:c r="M415" s="10" t="str">
        <x:f>IF(NOT(AND(J415="PASS",'Calibrare_Linii'!U9="VALID")),"",1-'Distributie'!AD35)</x:f>
      </x:c>
      <x:c r="N415" s="10" t="str">
        <x:f>IF(M415="","",MAX(0.01,MIN(0.99,0.5+(M415-0.5)*'Motor_Meciuri'!BG35*'Calibrare_Linii'!D9)))</x:f>
      </x:c>
      <x:c r="O415" s="10" t="str">
        <x:f>IF(M415="","",1-M415)</x:f>
      </x:c>
      <x:c r="P415" s="10" t="str">
        <x:f>IF(OR(NOT(AND(J415="PASS",'Calibrare_Linii'!U9="VALID")),AK415=0),""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*('Istoric_Nativ'!$Q$6:$Q$405&lt;=H415))/AK415)</x:f>
      </x:c>
      <x:c r="Q415" s="10" t="str">
        <x:f>IF(OR(NOT(AND(J415="PASS",'Calibrare_Linii'!U9="VALID")),AL415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M35)+((('Istoric_Nativ'!$E$6:$E$405='Input_Meci'!E35)+('Istoric_Nativ'!$F$6:$F$405='Input_Meci'!E35))&gt;0)*('Istoric_Nativ'!$D$6:$D$405&gt;='Motor_Meciuri'!BN35))&gt;0)*('Istoric_Nativ'!$Q$6:$Q$405&lt;=H415))/AL415)</x:f>
      </x:c>
      <x:c r="R415" s="10" t="str">
        <x:f>IF(OR(NOT(AND(J415="PASS",'Calibrare_Linii'!U9="VALID")),AM415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O35)+((('Istoric_Nativ'!$E$6:$E$405='Input_Meci'!E35)+('Istoric_Nativ'!$F$6:$F$405='Input_Meci'!E35))&gt;0)*('Istoric_Nativ'!$D$6:$D$405&gt;='Motor_Meciuri'!BP35))&gt;0)*('Istoric_Nativ'!$Q$6:$Q$405&lt;=H415))/AM415)</x:f>
      </x:c>
      <x:c r="S415" s="10" t="str">
        <x:f>IF(M415="","",MAX(O415,P415,Q415,R415))</x:f>
      </x:c>
      <x:c r="T415" s="11" t="str">
        <x:f>IF(M415="","",MIN(100,S415*100*'Config_v6'!$B$44+MIN(100,L415/'Config_v6'!$B$13*100)*'Config_v6'!$B$45+(100-'Motor_Meciuri'!BF35)*'Config_v6'!$B$46+'Motor_Meciuri'!BH35*100*'Config_v6'!$B$47))</x:f>
      </x:c>
      <x:c r="U415" s="2" t="str">
        <x:f>IF(T415="","",IF(T415&lt;=20,1,IF(T415&lt;=40,2,IF(T415&lt;=60,3,IF(T415&lt;=80,4,5)))))</x:f>
      </x:c>
      <x:c r="V415" s="2" t="str">
        <x:f>IF(M415="","",MAX(0,'Motor_Meciuri'!BF35-IF(W415="OOS PENDING",'Config_v6'!$B$35,0)-IF(L415&gt;'Config_v6'!$B$12,'Config_v6'!$B$37,IF(L415&gt;'Config_v6'!$B$11,'Config_v6'!$B$36,0))))</x:f>
      </x:c>
      <x:c r="W415" s="2" t="str">
        <x:f>IF(B415="","",IF(I415&lt;&gt;"READY","NOT RELEASED",IF(NOT(AND(J415="PASS",'Calibrare_Linii'!U9="VALID")),"INVALID",IF(NOT(AND('Calibrare_Linii'!S9="VALIDATED",AND('Calibrare_Linii'!H9=C415,ISNUMBER('Calibrare_Linii'!J9),'Calibrare_Linii'!J9&lt;='Input_Meci'!G35))),"OOS PENDING",IF(S415&lt;='Calibrare_Linii'!E9,"PASS",IF(S415&lt;='Calibrare_Linii'!F9,"PENALTY","WATCH"))))))</x:f>
      </x:c>
      <x:c r="X415" s="2" t="str">
        <x:f>IF(M415="","",IF(AND(AND(J415="PASS",'Calibrare_Linii'!U9="VALID"),'Motor_Meciuri'!K35=12,'Motor_Meciuri'!L35=12,'Motor_Meciuri'!M35="NO",'Motor_Meciuri'!BL35='Motor_Meciuri'!C35,AB415&gt;='Config_v6'!$B$50,AN415&gt;='Config_v6'!$B$51,T415&lt;='Config_v6'!$B$52,L415&lt;='Config_v6'!$B$53,ISNUMBER('Calibrare_Linii'!E9),S415&lt;='Calibrare_Linii'!E9,SUM(AK415:AM415)&gt;0),"CANDIDATE","NO"))</x:f>
      </x:c>
      <x:c r="Y415" s="2" t="str">
        <x:f>IF(B415="","",IF(I415&lt;&gt;"READY","NOT RELEASED",IF(AND(X415="CANDIDATE",V415&gt;='Config_v6'!$B$51,W415="PASS",'Calibrare_Linii'!T9="VALIDATED",AND('Calibrare_Linii'!H9=C415,ISNUMBER('Calibrare_Linii'!J9),'Calibrare_Linii'!J9&lt;='Input_Meci'!G35)),"PASS",IF(X415="CANDIDATE","OOS PENDING","FAIL"))))</x:f>
      </x:c>
      <x:c r="Z415" s="2" t="str">
        <x:f>IF(B415="","",IF(I415&lt;&gt;"READY","",IF(OR(NOT(AND(J415="PASS",'Calibrare_Linii'!U9="VALID")),L415&gt;'Config_v6'!$B$13,W415="WATCH"),5,IF(Y415="PASS",1,MIN(5,MAX('Config_v6'!$B$42,U415)+IF(W415="PENALTY",1,0))))))</x:f>
      </x:c>
      <x:c r="AA415" s="2" t="str">
        <x:f>IF(B415="","",IF(I415&lt;&gt;"READY","NOT RELEASED",IF(Z415=5,"NO BET",IF(OR(AB415&lt;'Config_v6'!$B$16,V415&lt;'Config_v6'!$B$18),"WATCH",IF(Z415=1,"DEFENSIV",IF(Z415=2,"PRUDENT",IF(Z415=3,"MODERAT","RIDICAT")))))))</x:f>
      </x:c>
      <x:c r="AB415" s="10" t="str">
        <x:f>IF(N415="","",MIN(N415,1-S415))</x:f>
      </x:c>
      <x:c r="AC415" s="2" t="str">
        <x:f>IF(AD415&lt;&gt;1,"",COUNTIFS($Z$412:$Z$425,"&lt;"&amp;Z415,$AD$412:$AD$425,1)+COUNTIFS($Z$412:$Z$425,Z415,$AB$412:$AB$425,"&gt;"&amp;AB415,$AD$412:$AD$425,1)+COUNTIFS($Z$412:$Z$425,Z415,$AB$412:$AB$425,AB415,$V$412:$V$425,"&gt;"&amp;V415,$AD$412:$AD$425,1)+COUNTIFS($Z$412:Z415,Z415,$AB$412:AB415,AB415,$V$412:V415,V415,$AD$412:AD415,1))</x:f>
      </x:c>
      <x:c r="AD415" s="2" t="n">
        <x:f>IF(OR(AA415="DEFENSIV",AA415="PRUDENT",AA415="MODERAT",AA415="RIDICAT"),1,0)</x:f>
        <x:v>0</x:v>
      </x:c>
      <x:c r="AE415" s="2" t="str">
        <x:f>IF(AD415&lt;&gt;1,"NO",IF(W415="PASS","YES",IF(W415="OOS PENDING","CONDITIONAL","NO")))</x:f>
        <x:v>NO</x:v>
      </x:c>
      <x:c r="AF415" s="2" t="n">
        <x:f>IF(AND(AD415=1,AC415=1,E415="LIVE"),1,0)</x:f>
        <x:v>0</x:v>
      </x:c>
      <x:c r="AG415" s="2" t="str">
        <x:f>IF(AF415&lt;&gt;1,"",'Dashboard'!P55)</x:f>
      </x:c>
      <x:c r="AH415" s="2" t="str">
        <x:f>IF(B415="","",IF(J415&lt;&gt;"PASS",'Motor_Meciuri'!J35,IF('Calibrare_Linii'!U9&lt;&gt;"VALID","Parametri linie invalizi",IF(L415&gt;'Config_v6'!$B$13,"Dispersie peste limita",IF(W415="WATCH","Failure peste limita",IF(AB415&lt;'Config_v6'!$B$16,"P finala sub prag",IF(V415&lt;'Config_v6'!$B$18,"Confidence sub prag",IF(E415="REPLAY","Exemplu retrospectiv; exclus din Top LIVE",IF(Y415="PASS","DEFENSIV validat",IF(W415="OOS PENDING","Eligibil; calibrare linie in monitorizare","Eligibil"))))))))))</x:f>
      </x:c>
      <x:c r="AI415" s="2" t="str">
        <x:f>IF(B415="","",'Calibrare_Linii'!V9)</x:f>
      </x:c>
      <x:c r="AJ415" s="2" t="str">
        <x:f>IF(B415="","",IF(AND('Calibrare_Linii'!T9="VALIDATED",AND('Calibrare_Linii'!H9=C415,ISNUMBER('Calibrare_Linii'!J9),'Calibrare_Linii'!J9&lt;='Input_Meci'!G35)),"DEFENSIVE VALIDATED",IF(AND('Calibrare_Linii'!S9="VALIDATED",AND('Calibrare_Linii'!H9=C415,ISNUMBER('Calibrare_Linii'!J9),'Calibrare_Linii'!J9&lt;='Input_Meci'!G35)),"TAIL VALIDATED","OOS PENDING")))</x:f>
      </x:c>
      <x:c r="AK415" s="2" t="n">
        <x:f>IF(J415&lt;&gt;"PASS",0,'Motor_Meciuri'!BR35)</x:f>
        <x:v>0</x:v>
      </x:c>
      <x:c r="AL415" s="2" t="n">
        <x:f>IF(J415&lt;&gt;"PASS",0,'Motor_Meciuri'!BS35)</x:f>
        <x:v>0</x:v>
      </x:c>
      <x:c r="AM415" s="2" t="n">
        <x:f>IF(J415&lt;&gt;"PASS",0,'Motor_Meciuri'!BT35)</x:f>
        <x:v>0</x:v>
      </x:c>
      <x:c r="AN415" s="2" t="str">
        <x:f>IF(M415="","",MAX(0,'Motor_Meciuri'!BF35-IF(L415&gt;'Config_v6'!$B$12,'Config_v6'!$B$37,IF(L415&gt;'Config_v6'!$B$11,'Config_v6'!$B$36,0))))</x:f>
      </x:c>
    </x:row>
    <x:row r="416" ht="21" customHeight="1">
      <x:c r="A416" s="2" t="n">
        <x:v>30</x:v>
      </x:c>
      <x:c r="B416" s="2" t="str">
        <x:f>IF('Motor_Meciuri'!A35="","",'Motor_Meciuri'!A35)</x:f>
      </x:c>
      <x:c r="C416" s="2" t="str">
        <x:f>IF(B416="","",'Motor_Meciuri'!B35)</x:f>
      </x:c>
      <x:c r="D416" s="2" t="str">
        <x:f>IF(B416="","",'Motor_Meciuri'!D35)</x:f>
      </x:c>
      <x:c r="E416" s="2" t="str">
        <x:f>IF(B416="","",'Motor_Meciuri'!E35)</x:f>
      </x:c>
      <x:c r="F416" s="2" t="str">
        <x:v>O7,5</x:v>
      </x:c>
      <x:c r="G416" s="2" t="str">
        <x:v>OVER</x:v>
      </x:c>
      <x:c r="H416" s="2" t="n">
        <x:v>7</x:v>
      </x:c>
      <x:c r="I416" s="2" t="str">
        <x:f>IF(B416="","",'Motor_Meciuri'!H35)</x:f>
      </x:c>
      <x:c r="J416" s="2" t="str">
        <x:f>IF(B416="","",'Motor_Meciuri'!I35)</x:f>
      </x:c>
      <x:c r="K416" s="11" t="str">
        <x:f>IF(J416&lt;&gt;"PASS","",'Motor_Meciuri'!BD35)</x:f>
      </x:c>
      <x:c r="L416" s="11" t="str">
        <x:f>IF(J416&lt;&gt;"PASS","",'Motor_Meciuri'!AU35)</x:f>
      </x:c>
      <x:c r="M416" s="10" t="str">
        <x:f>IF(NOT(AND(J416="PASS",'Calibrare_Linii'!U10="VALID")),"",1-'Distributie'!AE35)</x:f>
      </x:c>
      <x:c r="N416" s="10" t="str">
        <x:f>IF(M416="","",MAX(0.01,MIN(0.99,0.5+(M416-0.5)*'Motor_Meciuri'!BG35*'Calibrare_Linii'!D10)))</x:f>
      </x:c>
      <x:c r="O416" s="10" t="str">
        <x:f>IF(M416="","",1-M416)</x:f>
      </x:c>
      <x:c r="P416" s="10" t="str">
        <x:f>IF(OR(NOT(AND(J416="PASS",'Calibrare_Linii'!U10="VALID")),AK416=0),""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*('Istoric_Nativ'!$Q$6:$Q$405&lt;=H416))/AK416)</x:f>
      </x:c>
      <x:c r="Q416" s="10" t="str">
        <x:f>IF(OR(NOT(AND(J416="PASS",'Calibrare_Linii'!U10="VALID")),AL416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M35)+((('Istoric_Nativ'!$E$6:$E$405='Input_Meci'!E35)+('Istoric_Nativ'!$F$6:$F$405='Input_Meci'!E35))&gt;0)*('Istoric_Nativ'!$D$6:$D$405&gt;='Motor_Meciuri'!BN35))&gt;0)*('Istoric_Nativ'!$Q$6:$Q$405&lt;=H416))/AL416)</x:f>
      </x:c>
      <x:c r="R416" s="10" t="str">
        <x:f>IF(OR(NOT(AND(J416="PASS",'Calibrare_Linii'!U10="VALID")),AM416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O35)+((('Istoric_Nativ'!$E$6:$E$405='Input_Meci'!E35)+('Istoric_Nativ'!$F$6:$F$405='Input_Meci'!E35))&gt;0)*('Istoric_Nativ'!$D$6:$D$405&gt;='Motor_Meciuri'!BP35))&gt;0)*('Istoric_Nativ'!$Q$6:$Q$405&lt;=H416))/AM416)</x:f>
      </x:c>
      <x:c r="S416" s="10" t="str">
        <x:f>IF(M416="","",MAX(O416,P416,Q416,R416))</x:f>
      </x:c>
      <x:c r="T416" s="11" t="str">
        <x:f>IF(M416="","",MIN(100,S416*100*'Config_v6'!$B$44+MIN(100,L416/'Config_v6'!$B$13*100)*'Config_v6'!$B$45+(100-'Motor_Meciuri'!BF35)*'Config_v6'!$B$46+'Motor_Meciuri'!BH35*100*'Config_v6'!$B$47))</x:f>
      </x:c>
      <x:c r="U416" s="2" t="str">
        <x:f>IF(T416="","",IF(T416&lt;=20,1,IF(T416&lt;=40,2,IF(T416&lt;=60,3,IF(T416&lt;=80,4,5)))))</x:f>
      </x:c>
      <x:c r="V416" s="2" t="str">
        <x:f>IF(M416="","",MAX(0,'Motor_Meciuri'!BF35-IF(W416="OOS PENDING",'Config_v6'!$B$35,0)-IF(L416&gt;'Config_v6'!$B$12,'Config_v6'!$B$37,IF(L416&gt;'Config_v6'!$B$11,'Config_v6'!$B$36,0))))</x:f>
      </x:c>
      <x:c r="W416" s="2" t="str">
        <x:f>IF(B416="","",IF(I416&lt;&gt;"READY","NOT RELEASED",IF(NOT(AND(J416="PASS",'Calibrare_Linii'!U10="VALID")),"INVALID",IF(NOT(AND('Calibrare_Linii'!S10="VALIDATED",AND('Calibrare_Linii'!H10=C416,ISNUMBER('Calibrare_Linii'!J10),'Calibrare_Linii'!J10&lt;='Input_Meci'!G35))),"OOS PENDING",IF(S416&lt;='Calibrare_Linii'!E10,"PASS",IF(S416&lt;='Calibrare_Linii'!F10,"PENALTY","WATCH"))))))</x:f>
      </x:c>
      <x:c r="X416" s="2" t="str">
        <x:f>IF(M416="","",IF(AND(AND(J416="PASS",'Calibrare_Linii'!U10="VALID"),'Motor_Meciuri'!K35=12,'Motor_Meciuri'!L35=12,'Motor_Meciuri'!M35="NO",'Motor_Meciuri'!BL35='Motor_Meciuri'!C35,AB416&gt;='Config_v6'!$B$50,AN416&gt;='Config_v6'!$B$51,T416&lt;='Config_v6'!$B$52,L416&lt;='Config_v6'!$B$53,ISNUMBER('Calibrare_Linii'!E10),S416&lt;='Calibrare_Linii'!E10,SUM(AK416:AM416)&gt;0),"CANDIDATE","NO"))</x:f>
      </x:c>
      <x:c r="Y416" s="2" t="str">
        <x:f>IF(B416="","",IF(I416&lt;&gt;"READY","NOT RELEASED",IF(AND(X416="CANDIDATE",V416&gt;='Config_v6'!$B$51,W416="PASS",'Calibrare_Linii'!T10="VALIDATED",AND('Calibrare_Linii'!H10=C416,ISNUMBER('Calibrare_Linii'!J10),'Calibrare_Linii'!J10&lt;='Input_Meci'!G35)),"PASS",IF(X416="CANDIDATE","OOS PENDING","FAIL"))))</x:f>
      </x:c>
      <x:c r="Z416" s="2" t="str">
        <x:f>IF(B416="","",IF(I416&lt;&gt;"READY","",IF(OR(NOT(AND(J416="PASS",'Calibrare_Linii'!U10="VALID")),L416&gt;'Config_v6'!$B$13,W416="WATCH"),5,IF(Y416="PASS",1,MIN(5,MAX('Config_v6'!$B$42,U416)+IF(W416="PENALTY",1,0))))))</x:f>
      </x:c>
      <x:c r="AA416" s="2" t="str">
        <x:f>IF(B416="","",IF(I416&lt;&gt;"READY","NOT RELEASED",IF(Z416=5,"NO BET",IF(OR(AB416&lt;'Config_v6'!$B$16,V416&lt;'Config_v6'!$B$18),"WATCH",IF(Z416=1,"DEFENSIV",IF(Z416=2,"PRUDENT",IF(Z416=3,"MODERAT","RIDICAT")))))))</x:f>
      </x:c>
      <x:c r="AB416" s="10" t="str">
        <x:f>IF(N416="","",MIN(N416,1-S416))</x:f>
      </x:c>
      <x:c r="AC416" s="2" t="str">
        <x:f>IF(AD416&lt;&gt;1,"",COUNTIFS($Z$412:$Z$425,"&lt;"&amp;Z416,$AD$412:$AD$425,1)+COUNTIFS($Z$412:$Z$425,Z416,$AB$412:$AB$425,"&gt;"&amp;AB416,$AD$412:$AD$425,1)+COUNTIFS($Z$412:$Z$425,Z416,$AB$412:$AB$425,AB416,$V$412:$V$425,"&gt;"&amp;V416,$AD$412:$AD$425,1)+COUNTIFS($Z$412:Z416,Z416,$AB$412:AB416,AB416,$V$412:V416,V416,$AD$412:AD416,1))</x:f>
      </x:c>
      <x:c r="AD416" s="2" t="n">
        <x:f>IF(OR(AA416="DEFENSIV",AA416="PRUDENT",AA416="MODERAT",AA416="RIDICAT"),1,0)</x:f>
        <x:v>0</x:v>
      </x:c>
      <x:c r="AE416" s="2" t="str">
        <x:f>IF(AD416&lt;&gt;1,"NO",IF(W416="PASS","YES",IF(W416="OOS PENDING","CONDITIONAL","NO")))</x:f>
        <x:v>NO</x:v>
      </x:c>
      <x:c r="AF416" s="2" t="n">
        <x:f>IF(AND(AD416=1,AC416=1,E416="LIVE"),1,0)</x:f>
        <x:v>0</x:v>
      </x:c>
      <x:c r="AG416" s="2" t="str">
        <x:f>IF(AF416&lt;&gt;1,"",'Dashboard'!P55)</x:f>
      </x:c>
      <x:c r="AH416" s="2" t="str">
        <x:f>IF(B416="","",IF(J416&lt;&gt;"PASS",'Motor_Meciuri'!J35,IF('Calibrare_Linii'!U10&lt;&gt;"VALID","Parametri linie invalizi",IF(L416&gt;'Config_v6'!$B$13,"Dispersie peste limita",IF(W416="WATCH","Failure peste limita",IF(AB416&lt;'Config_v6'!$B$16,"P finala sub prag",IF(V416&lt;'Config_v6'!$B$18,"Confidence sub prag",IF(E416="REPLAY","Exemplu retrospectiv; exclus din Top LIVE",IF(Y416="PASS","DEFENSIV validat",IF(W416="OOS PENDING","Eligibil; calibrare linie in monitorizare","Eligibil"))))))))))</x:f>
      </x:c>
      <x:c r="AI416" s="2" t="str">
        <x:f>IF(B416="","",'Calibrare_Linii'!V10)</x:f>
      </x:c>
      <x:c r="AJ416" s="2" t="str">
        <x:f>IF(B416="","",IF(AND('Calibrare_Linii'!T10="VALIDATED",AND('Calibrare_Linii'!H10=C416,ISNUMBER('Calibrare_Linii'!J10),'Calibrare_Linii'!J10&lt;='Input_Meci'!G35)),"DEFENSIVE VALIDATED",IF(AND('Calibrare_Linii'!S10="VALIDATED",AND('Calibrare_Linii'!H10=C416,ISNUMBER('Calibrare_Linii'!J10),'Calibrare_Linii'!J10&lt;='Input_Meci'!G35)),"TAIL VALIDATED","OOS PENDING")))</x:f>
      </x:c>
      <x:c r="AK416" s="2" t="n">
        <x:f>IF(J416&lt;&gt;"PASS",0,'Motor_Meciuri'!BR35)</x:f>
        <x:v>0</x:v>
      </x:c>
      <x:c r="AL416" s="2" t="n">
        <x:f>IF(J416&lt;&gt;"PASS",0,'Motor_Meciuri'!BS35)</x:f>
        <x:v>0</x:v>
      </x:c>
      <x:c r="AM416" s="2" t="n">
        <x:f>IF(J416&lt;&gt;"PASS",0,'Motor_Meciuri'!BT35)</x:f>
        <x:v>0</x:v>
      </x:c>
      <x:c r="AN416" s="2" t="str">
        <x:f>IF(M416="","",MAX(0,'Motor_Meciuri'!BF35-IF(L416&gt;'Config_v6'!$B$12,'Config_v6'!$B$37,IF(L416&gt;'Config_v6'!$B$11,'Config_v6'!$B$36,0))))</x:f>
      </x:c>
    </x:row>
    <x:row r="417" ht="21" customHeight="1">
      <x:c r="A417" s="2" t="n">
        <x:v>30</x:v>
      </x:c>
      <x:c r="B417" s="2" t="str">
        <x:f>IF('Motor_Meciuri'!A35="","",'Motor_Meciuri'!A35)</x:f>
      </x:c>
      <x:c r="C417" s="2" t="str">
        <x:f>IF(B417="","",'Motor_Meciuri'!B35)</x:f>
      </x:c>
      <x:c r="D417" s="2" t="str">
        <x:f>IF(B417="","",'Motor_Meciuri'!D35)</x:f>
      </x:c>
      <x:c r="E417" s="2" t="str">
        <x:f>IF(B417="","",'Motor_Meciuri'!E35)</x:f>
      </x:c>
      <x:c r="F417" s="2" t="str">
        <x:v>O8,5</x:v>
      </x:c>
      <x:c r="G417" s="2" t="str">
        <x:v>OVER</x:v>
      </x:c>
      <x:c r="H417" s="2" t="n">
        <x:v>8</x:v>
      </x:c>
      <x:c r="I417" s="2" t="str">
        <x:f>IF(B417="","",'Motor_Meciuri'!H35)</x:f>
      </x:c>
      <x:c r="J417" s="2" t="str">
        <x:f>IF(B417="","",'Motor_Meciuri'!I35)</x:f>
      </x:c>
      <x:c r="K417" s="11" t="str">
        <x:f>IF(J417&lt;&gt;"PASS","",'Motor_Meciuri'!BD35)</x:f>
      </x:c>
      <x:c r="L417" s="11" t="str">
        <x:f>IF(J417&lt;&gt;"PASS","",'Motor_Meciuri'!AU35)</x:f>
      </x:c>
      <x:c r="M417" s="10" t="str">
        <x:f>IF(NOT(AND(J417="PASS",'Calibrare_Linii'!U11="VALID")),"",1-'Distributie'!AF35)</x:f>
      </x:c>
      <x:c r="N417" s="10" t="str">
        <x:f>IF(M417="","",MAX(0.01,MIN(0.99,0.5+(M417-0.5)*'Motor_Meciuri'!BG35*'Calibrare_Linii'!D11)))</x:f>
      </x:c>
      <x:c r="O417" s="10" t="str">
        <x:f>IF(M417="","",1-M417)</x:f>
      </x:c>
      <x:c r="P417" s="10" t="str">
        <x:f>IF(OR(NOT(AND(J417="PASS",'Calibrare_Linii'!U11="VALID")),AK417=0),""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*('Istoric_Nativ'!$Q$6:$Q$405&lt;=H417))/AK417)</x:f>
      </x:c>
      <x:c r="Q417" s="10" t="str">
        <x:f>IF(OR(NOT(AND(J417="PASS",'Calibrare_Linii'!U11="VALID")),AL417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M35)+((('Istoric_Nativ'!$E$6:$E$405='Input_Meci'!E35)+('Istoric_Nativ'!$F$6:$F$405='Input_Meci'!E35))&gt;0)*('Istoric_Nativ'!$D$6:$D$405&gt;='Motor_Meciuri'!BN35))&gt;0)*('Istoric_Nativ'!$Q$6:$Q$405&lt;=H417))/AL417)</x:f>
      </x:c>
      <x:c r="R417" s="10" t="str">
        <x:f>IF(OR(NOT(AND(J417="PASS",'Calibrare_Linii'!U11="VALID")),AM417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O35)+((('Istoric_Nativ'!$E$6:$E$405='Input_Meci'!E35)+('Istoric_Nativ'!$F$6:$F$405='Input_Meci'!E35))&gt;0)*('Istoric_Nativ'!$D$6:$D$405&gt;='Motor_Meciuri'!BP35))&gt;0)*('Istoric_Nativ'!$Q$6:$Q$405&lt;=H417))/AM417)</x:f>
      </x:c>
      <x:c r="S417" s="10" t="str">
        <x:f>IF(M417="","",MAX(O417,P417,Q417,R417))</x:f>
      </x:c>
      <x:c r="T417" s="11" t="str">
        <x:f>IF(M417="","",MIN(100,S417*100*'Config_v6'!$B$44+MIN(100,L417/'Config_v6'!$B$13*100)*'Config_v6'!$B$45+(100-'Motor_Meciuri'!BF35)*'Config_v6'!$B$46+'Motor_Meciuri'!BH35*100*'Config_v6'!$B$47))</x:f>
      </x:c>
      <x:c r="U417" s="2" t="str">
        <x:f>IF(T417="","",IF(T417&lt;=20,1,IF(T417&lt;=40,2,IF(T417&lt;=60,3,IF(T417&lt;=80,4,5)))))</x:f>
      </x:c>
      <x:c r="V417" s="2" t="str">
        <x:f>IF(M417="","",MAX(0,'Motor_Meciuri'!BF35-IF(W417="OOS PENDING",'Config_v6'!$B$35,0)-IF(L417&gt;'Config_v6'!$B$12,'Config_v6'!$B$37,IF(L417&gt;'Config_v6'!$B$11,'Config_v6'!$B$36,0))))</x:f>
      </x:c>
      <x:c r="W417" s="2" t="str">
        <x:f>IF(B417="","",IF(I417&lt;&gt;"READY","NOT RELEASED",IF(NOT(AND(J417="PASS",'Calibrare_Linii'!U11="VALID")),"INVALID",IF(NOT(AND('Calibrare_Linii'!S11="VALIDATED",AND('Calibrare_Linii'!H11=C417,ISNUMBER('Calibrare_Linii'!J11),'Calibrare_Linii'!J11&lt;='Input_Meci'!G35))),"OOS PENDING",IF(S417&lt;='Calibrare_Linii'!E11,"PASS",IF(S417&lt;='Calibrare_Linii'!F11,"PENALTY","WATCH"))))))</x:f>
      </x:c>
      <x:c r="X417" s="2" t="str">
        <x:f>IF(M417="","",IF(AND(AND(J417="PASS",'Calibrare_Linii'!U11="VALID"),'Motor_Meciuri'!K35=12,'Motor_Meciuri'!L35=12,'Motor_Meciuri'!M35="NO",'Motor_Meciuri'!BL35='Motor_Meciuri'!C35,AB417&gt;='Config_v6'!$B$50,AN417&gt;='Config_v6'!$B$51,T417&lt;='Config_v6'!$B$52,L417&lt;='Config_v6'!$B$53,ISNUMBER('Calibrare_Linii'!E11),S417&lt;='Calibrare_Linii'!E11,SUM(AK417:AM417)&gt;0),"CANDIDATE","NO"))</x:f>
      </x:c>
      <x:c r="Y417" s="2" t="str">
        <x:f>IF(B417="","",IF(I417&lt;&gt;"READY","NOT RELEASED",IF(AND(X417="CANDIDATE",V417&gt;='Config_v6'!$B$51,W417="PASS",'Calibrare_Linii'!T11="VALIDATED",AND('Calibrare_Linii'!H11=C417,ISNUMBER('Calibrare_Linii'!J11),'Calibrare_Linii'!J11&lt;='Input_Meci'!G35)),"PASS",IF(X417="CANDIDATE","OOS PENDING","FAIL"))))</x:f>
      </x:c>
      <x:c r="Z417" s="2" t="str">
        <x:f>IF(B417="","",IF(I417&lt;&gt;"READY","",IF(OR(NOT(AND(J417="PASS",'Calibrare_Linii'!U11="VALID")),L417&gt;'Config_v6'!$B$13,W417="WATCH"),5,IF(Y417="PASS",1,MIN(5,MAX('Config_v6'!$B$42,U417)+IF(W417="PENALTY",1,0))))))</x:f>
      </x:c>
      <x:c r="AA417" s="2" t="str">
        <x:f>IF(B417="","",IF(I417&lt;&gt;"READY","NOT RELEASED",IF(Z417=5,"NO BET",IF(OR(AB417&lt;'Config_v6'!$B$16,V417&lt;'Config_v6'!$B$18),"WATCH",IF(Z417=1,"DEFENSIV",IF(Z417=2,"PRUDENT",IF(Z417=3,"MODERAT","RIDICAT")))))))</x:f>
      </x:c>
      <x:c r="AB417" s="10" t="str">
        <x:f>IF(N417="","",MIN(N417,1-S417))</x:f>
      </x:c>
      <x:c r="AC417" s="2" t="str">
        <x:f>IF(AD417&lt;&gt;1,"",COUNTIFS($Z$412:$Z$425,"&lt;"&amp;Z417,$AD$412:$AD$425,1)+COUNTIFS($Z$412:$Z$425,Z417,$AB$412:$AB$425,"&gt;"&amp;AB417,$AD$412:$AD$425,1)+COUNTIFS($Z$412:$Z$425,Z417,$AB$412:$AB$425,AB417,$V$412:$V$425,"&gt;"&amp;V417,$AD$412:$AD$425,1)+COUNTIFS($Z$412:Z417,Z417,$AB$412:AB417,AB417,$V$412:V417,V417,$AD$412:AD417,1))</x:f>
      </x:c>
      <x:c r="AD417" s="2" t="n">
        <x:f>IF(OR(AA417="DEFENSIV",AA417="PRUDENT",AA417="MODERAT",AA417="RIDICAT"),1,0)</x:f>
        <x:v>0</x:v>
      </x:c>
      <x:c r="AE417" s="2" t="str">
        <x:f>IF(AD417&lt;&gt;1,"NO",IF(W417="PASS","YES",IF(W417="OOS PENDING","CONDITIONAL","NO")))</x:f>
        <x:v>NO</x:v>
      </x:c>
      <x:c r="AF417" s="2" t="n">
        <x:f>IF(AND(AD417=1,AC417=1,E417="LIVE"),1,0)</x:f>
        <x:v>0</x:v>
      </x:c>
      <x:c r="AG417" s="2" t="str">
        <x:f>IF(AF417&lt;&gt;1,"",'Dashboard'!P55)</x:f>
      </x:c>
      <x:c r="AH417" s="2" t="str">
        <x:f>IF(B417="","",IF(J417&lt;&gt;"PASS",'Motor_Meciuri'!J35,IF('Calibrare_Linii'!U11&lt;&gt;"VALID","Parametri linie invalizi",IF(L417&gt;'Config_v6'!$B$13,"Dispersie peste limita",IF(W417="WATCH","Failure peste limita",IF(AB417&lt;'Config_v6'!$B$16,"P finala sub prag",IF(V417&lt;'Config_v6'!$B$18,"Confidence sub prag",IF(E417="REPLAY","Exemplu retrospectiv; exclus din Top LIVE",IF(Y417="PASS","DEFENSIV validat",IF(W417="OOS PENDING","Eligibil; calibrare linie in monitorizare","Eligibil"))))))))))</x:f>
      </x:c>
      <x:c r="AI417" s="2" t="str">
        <x:f>IF(B417="","",'Calibrare_Linii'!V11)</x:f>
      </x:c>
      <x:c r="AJ417" s="2" t="str">
        <x:f>IF(B417="","",IF(AND('Calibrare_Linii'!T11="VALIDATED",AND('Calibrare_Linii'!H11=C417,ISNUMBER('Calibrare_Linii'!J11),'Calibrare_Linii'!J11&lt;='Input_Meci'!G35)),"DEFENSIVE VALIDATED",IF(AND('Calibrare_Linii'!S11="VALIDATED",AND('Calibrare_Linii'!H11=C417,ISNUMBER('Calibrare_Linii'!J11),'Calibrare_Linii'!J11&lt;='Input_Meci'!G35)),"TAIL VALIDATED","OOS PENDING")))</x:f>
      </x:c>
      <x:c r="AK417" s="2" t="n">
        <x:f>IF(J417&lt;&gt;"PASS",0,'Motor_Meciuri'!BR35)</x:f>
        <x:v>0</x:v>
      </x:c>
      <x:c r="AL417" s="2" t="n">
        <x:f>IF(J417&lt;&gt;"PASS",0,'Motor_Meciuri'!BS35)</x:f>
        <x:v>0</x:v>
      </x:c>
      <x:c r="AM417" s="2" t="n">
        <x:f>IF(J417&lt;&gt;"PASS",0,'Motor_Meciuri'!BT35)</x:f>
        <x:v>0</x:v>
      </x:c>
      <x:c r="AN417" s="2" t="str">
        <x:f>IF(M417="","",MAX(0,'Motor_Meciuri'!BF35-IF(L417&gt;'Config_v6'!$B$12,'Config_v6'!$B$37,IF(L417&gt;'Config_v6'!$B$11,'Config_v6'!$B$36,0))))</x:f>
      </x:c>
    </x:row>
    <x:row r="418" ht="21" customHeight="1">
      <x:c r="A418" s="2" t="n">
        <x:v>30</x:v>
      </x:c>
      <x:c r="B418" s="2" t="str">
        <x:f>IF('Motor_Meciuri'!A35="","",'Motor_Meciuri'!A35)</x:f>
      </x:c>
      <x:c r="C418" s="2" t="str">
        <x:f>IF(B418="","",'Motor_Meciuri'!B35)</x:f>
      </x:c>
      <x:c r="D418" s="2" t="str">
        <x:f>IF(B418="","",'Motor_Meciuri'!D35)</x:f>
      </x:c>
      <x:c r="E418" s="2" t="str">
        <x:f>IF(B418="","",'Motor_Meciuri'!E35)</x:f>
      </x:c>
      <x:c r="F418" s="2" t="str">
        <x:v>U10,5</x:v>
      </x:c>
      <x:c r="G418" s="2" t="str">
        <x:v>UNDER</x:v>
      </x:c>
      <x:c r="H418" s="2" t="n">
        <x:v>10</x:v>
      </x:c>
      <x:c r="I418" s="2" t="str">
        <x:f>IF(B418="","",'Motor_Meciuri'!H35)</x:f>
      </x:c>
      <x:c r="J418" s="2" t="str">
        <x:f>IF(B418="","",'Motor_Meciuri'!I35)</x:f>
      </x:c>
      <x:c r="K418" s="11" t="str">
        <x:f>IF(J418&lt;&gt;"PASS","",'Motor_Meciuri'!BD35)</x:f>
      </x:c>
      <x:c r="L418" s="11" t="str">
        <x:f>IF(J418&lt;&gt;"PASS","",'Motor_Meciuri'!AU35)</x:f>
      </x:c>
      <x:c r="M418" s="10" t="str">
        <x:f>IF(NOT(AND(J418="PASS",'Calibrare_Linii'!U12="VALID")),"",'Distributie'!AH35)</x:f>
      </x:c>
      <x:c r="N418" s="10" t="str">
        <x:f>IF(M418="","",MAX(0.01,MIN(0.99,0.5+(M418-0.5)*'Motor_Meciuri'!BG35*'Calibrare_Linii'!D12)))</x:f>
      </x:c>
      <x:c r="O418" s="10" t="str">
        <x:f>IF(M418="","",1-M418)</x:f>
      </x:c>
      <x:c r="P418" s="10" t="str">
        <x:f>IF(OR(NOT(AND(J418="PASS",'Calibrare_Linii'!U12="VALID")),AK418=0),""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*('Istoric_Nativ'!$Q$6:$Q$405&gt;H418))/AK418)</x:f>
      </x:c>
      <x:c r="Q418" s="10" t="str">
        <x:f>IF(OR(NOT(AND(J418="PASS",'Calibrare_Linii'!U12="VALID")),AL418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M35)+((('Istoric_Nativ'!$E$6:$E$405='Input_Meci'!E35)+('Istoric_Nativ'!$F$6:$F$405='Input_Meci'!E35))&gt;0)*('Istoric_Nativ'!$D$6:$D$405&gt;='Motor_Meciuri'!BN35))&gt;0)*('Istoric_Nativ'!$Q$6:$Q$405&gt;H418))/AL418)</x:f>
      </x:c>
      <x:c r="R418" s="10" t="str">
        <x:f>IF(OR(NOT(AND(J418="PASS",'Calibrare_Linii'!U12="VALID")),AM418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O35)+((('Istoric_Nativ'!$E$6:$E$405='Input_Meci'!E35)+('Istoric_Nativ'!$F$6:$F$405='Input_Meci'!E35))&gt;0)*('Istoric_Nativ'!$D$6:$D$405&gt;='Motor_Meciuri'!BP35))&gt;0)*('Istoric_Nativ'!$Q$6:$Q$405&gt;H418))/AM418)</x:f>
      </x:c>
      <x:c r="S418" s="10" t="str">
        <x:f>IF(M418="","",MAX(O418,P418,Q418,R418))</x:f>
      </x:c>
      <x:c r="T418" s="11" t="str">
        <x:f>IF(M418="","",MIN(100,S418*100*'Config_v6'!$B$44+MIN(100,L418/'Config_v6'!$B$13*100)*'Config_v6'!$B$45+(100-'Motor_Meciuri'!BF35)*'Config_v6'!$B$46+'Motor_Meciuri'!BH35*100*'Config_v6'!$B$47))</x:f>
      </x:c>
      <x:c r="U418" s="2" t="str">
        <x:f>IF(T418="","",IF(T418&lt;=20,1,IF(T418&lt;=40,2,IF(T418&lt;=60,3,IF(T418&lt;=80,4,5)))))</x:f>
      </x:c>
      <x:c r="V418" s="2" t="str">
        <x:f>IF(M418="","",MAX(0,'Motor_Meciuri'!BF35-IF(W418="OOS PENDING",'Config_v6'!$B$35,0)-IF(L418&gt;'Config_v6'!$B$12,'Config_v6'!$B$37,IF(L418&gt;'Config_v6'!$B$11,'Config_v6'!$B$36,0))))</x:f>
      </x:c>
      <x:c r="W418" s="2" t="str">
        <x:f>IF(B418="","",IF(I418&lt;&gt;"READY","NOT RELEASED",IF(NOT(AND(J418="PASS",'Calibrare_Linii'!U12="VALID")),"INVALID",IF(NOT(AND('Calibrare_Linii'!S12="VALIDATED",AND('Calibrare_Linii'!H12=C418,ISNUMBER('Calibrare_Linii'!J12),'Calibrare_Linii'!J12&lt;='Input_Meci'!G35))),"OOS PENDING",IF(S418&lt;='Calibrare_Linii'!E12,"PASS",IF(S418&lt;='Calibrare_Linii'!F12,"PENALTY","WATCH"))))))</x:f>
      </x:c>
      <x:c r="X418" s="2" t="str">
        <x:f>IF(M418="","",IF(AND(AND(J418="PASS",'Calibrare_Linii'!U12="VALID"),'Motor_Meciuri'!K35=12,'Motor_Meciuri'!L35=12,'Motor_Meciuri'!M35="NO",'Motor_Meciuri'!BL35='Motor_Meciuri'!C35,AB418&gt;='Config_v6'!$B$50,AN418&gt;='Config_v6'!$B$51,T418&lt;='Config_v6'!$B$52,L418&lt;='Config_v6'!$B$53,ISNUMBER('Calibrare_Linii'!E12),S418&lt;='Calibrare_Linii'!E12,SUM(AK418:AM418)&gt;0),"CANDIDATE","NO"))</x:f>
      </x:c>
      <x:c r="Y418" s="2" t="str">
        <x:f>IF(B418="","",IF(I418&lt;&gt;"READY","NOT RELEASED",IF(AND(X418="CANDIDATE",V418&gt;='Config_v6'!$B$51,W418="PASS",'Calibrare_Linii'!T12="VALIDATED",AND('Calibrare_Linii'!H12=C418,ISNUMBER('Calibrare_Linii'!J12),'Calibrare_Linii'!J12&lt;='Input_Meci'!G35)),"PASS",IF(X418="CANDIDATE","OOS PENDING","FAIL"))))</x:f>
      </x:c>
      <x:c r="Z418" s="2" t="str">
        <x:f>IF(B418="","",IF(I418&lt;&gt;"READY","",IF(OR(NOT(AND(J418="PASS",'Calibrare_Linii'!U12="VALID")),L418&gt;'Config_v6'!$B$13,W418="WATCH"),5,IF(Y418="PASS",1,MIN(5,MAX('Config_v6'!$B$42,U418)+IF(W418="PENALTY",1,0))))))</x:f>
      </x:c>
      <x:c r="AA418" s="2" t="str">
        <x:f>IF(B418="","",IF(I418&lt;&gt;"READY","NOT RELEASED",IF(Z418=5,"NO BET",IF(OR(AB418&lt;'Config_v6'!$B$16,V418&lt;'Config_v6'!$B$18),"WATCH",IF(Z418=1,"DEFENSIV",IF(Z418=2,"PRUDENT",IF(Z418=3,"MODERAT","RIDICAT")))))))</x:f>
      </x:c>
      <x:c r="AB418" s="10" t="str">
        <x:f>IF(N418="","",MIN(N418,1-S418))</x:f>
      </x:c>
      <x:c r="AC418" s="2" t="str">
        <x:f>IF(AD418&lt;&gt;1,"",COUNTIFS($Z$412:$Z$425,"&lt;"&amp;Z418,$AD$412:$AD$425,1)+COUNTIFS($Z$412:$Z$425,Z418,$AB$412:$AB$425,"&gt;"&amp;AB418,$AD$412:$AD$425,1)+COUNTIFS($Z$412:$Z$425,Z418,$AB$412:$AB$425,AB418,$V$412:$V$425,"&gt;"&amp;V418,$AD$412:$AD$425,1)+COUNTIFS($Z$412:Z418,Z418,$AB$412:AB418,AB418,$V$412:V418,V418,$AD$412:AD418,1))</x:f>
      </x:c>
      <x:c r="AD418" s="2" t="n">
        <x:f>IF(OR(AA418="DEFENSIV",AA418="PRUDENT",AA418="MODERAT",AA418="RIDICAT"),1,0)</x:f>
        <x:v>0</x:v>
      </x:c>
      <x:c r="AE418" s="2" t="str">
        <x:f>IF(AD418&lt;&gt;1,"NO",IF(W418="PASS","YES",IF(W418="OOS PENDING","CONDITIONAL","NO")))</x:f>
        <x:v>NO</x:v>
      </x:c>
      <x:c r="AF418" s="2" t="n">
        <x:f>IF(AND(AD418=1,AC418=1,E418="LIVE"),1,0)</x:f>
        <x:v>0</x:v>
      </x:c>
      <x:c r="AG418" s="2" t="str">
        <x:f>IF(AF418&lt;&gt;1,"",'Dashboard'!P55)</x:f>
      </x:c>
      <x:c r="AH418" s="2" t="str">
        <x:f>IF(B418="","",IF(J418&lt;&gt;"PASS",'Motor_Meciuri'!J35,IF('Calibrare_Linii'!U12&lt;&gt;"VALID","Parametri linie invalizi",IF(L418&gt;'Config_v6'!$B$13,"Dispersie peste limita",IF(W418="WATCH","Failure peste limita",IF(AB418&lt;'Config_v6'!$B$16,"P finala sub prag",IF(V418&lt;'Config_v6'!$B$18,"Confidence sub prag",IF(E418="REPLAY","Exemplu retrospectiv; exclus din Top LIVE",IF(Y418="PASS","DEFENSIV validat",IF(W418="OOS PENDING","Eligibil; calibrare linie in monitorizare","Eligibil"))))))))))</x:f>
      </x:c>
      <x:c r="AI418" s="2" t="str">
        <x:f>IF(B418="","",'Calibrare_Linii'!V12)</x:f>
      </x:c>
      <x:c r="AJ418" s="2" t="str">
        <x:f>IF(B418="","",IF(AND('Calibrare_Linii'!T12="VALIDATED",AND('Calibrare_Linii'!H12=C418,ISNUMBER('Calibrare_Linii'!J12),'Calibrare_Linii'!J12&lt;='Input_Meci'!G35)),"DEFENSIVE VALIDATED",IF(AND('Calibrare_Linii'!S12="VALIDATED",AND('Calibrare_Linii'!H12=C418,ISNUMBER('Calibrare_Linii'!J12),'Calibrare_Linii'!J12&lt;='Input_Meci'!G35)),"TAIL VALIDATED","OOS PENDING")))</x:f>
      </x:c>
      <x:c r="AK418" s="2" t="n">
        <x:f>IF(J418&lt;&gt;"PASS",0,'Motor_Meciuri'!BR35)</x:f>
        <x:v>0</x:v>
      </x:c>
      <x:c r="AL418" s="2" t="n">
        <x:f>IF(J418&lt;&gt;"PASS",0,'Motor_Meciuri'!BS35)</x:f>
        <x:v>0</x:v>
      </x:c>
      <x:c r="AM418" s="2" t="n">
        <x:f>IF(J418&lt;&gt;"PASS",0,'Motor_Meciuri'!BT35)</x:f>
        <x:v>0</x:v>
      </x:c>
      <x:c r="AN418" s="2" t="str">
        <x:f>IF(M418="","",MAX(0,'Motor_Meciuri'!BF35-IF(L418&gt;'Config_v6'!$B$12,'Config_v6'!$B$37,IF(L418&gt;'Config_v6'!$B$11,'Config_v6'!$B$36,0))))</x:f>
      </x:c>
    </x:row>
    <x:row r="419" ht="21" customHeight="1">
      <x:c r="A419" s="2" t="n">
        <x:v>30</x:v>
      </x:c>
      <x:c r="B419" s="2" t="str">
        <x:f>IF('Motor_Meciuri'!A35="","",'Motor_Meciuri'!A35)</x:f>
      </x:c>
      <x:c r="C419" s="2" t="str">
        <x:f>IF(B419="","",'Motor_Meciuri'!B35)</x:f>
      </x:c>
      <x:c r="D419" s="2" t="str">
        <x:f>IF(B419="","",'Motor_Meciuri'!D35)</x:f>
      </x:c>
      <x:c r="E419" s="2" t="str">
        <x:f>IF(B419="","",'Motor_Meciuri'!E35)</x:f>
      </x:c>
      <x:c r="F419" s="2" t="str">
        <x:v>U11,5</x:v>
      </x:c>
      <x:c r="G419" s="2" t="str">
        <x:v>UNDER</x:v>
      </x:c>
      <x:c r="H419" s="2" t="n">
        <x:v>11</x:v>
      </x:c>
      <x:c r="I419" s="2" t="str">
        <x:f>IF(B419="","",'Motor_Meciuri'!H35)</x:f>
      </x:c>
      <x:c r="J419" s="2" t="str">
        <x:f>IF(B419="","",'Motor_Meciuri'!I35)</x:f>
      </x:c>
      <x:c r="K419" s="11" t="str">
        <x:f>IF(J419&lt;&gt;"PASS","",'Motor_Meciuri'!BD35)</x:f>
      </x:c>
      <x:c r="L419" s="11" t="str">
        <x:f>IF(J419&lt;&gt;"PASS","",'Motor_Meciuri'!AU35)</x:f>
      </x:c>
      <x:c r="M419" s="10" t="str">
        <x:f>IF(NOT(AND(J419="PASS",'Calibrare_Linii'!U13="VALID")),"",'Distributie'!AI35)</x:f>
      </x:c>
      <x:c r="N419" s="10" t="str">
        <x:f>IF(M419="","",MAX(0.01,MIN(0.99,0.5+(M419-0.5)*'Motor_Meciuri'!BG35*'Calibrare_Linii'!D13)))</x:f>
      </x:c>
      <x:c r="O419" s="10" t="str">
        <x:f>IF(M419="","",1-M419)</x:f>
      </x:c>
      <x:c r="P419" s="10" t="str">
        <x:f>IF(OR(NOT(AND(J419="PASS",'Calibrare_Linii'!U13="VALID")),AK419=0),""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*('Istoric_Nativ'!$Q$6:$Q$405&gt;H419))/AK419)</x:f>
      </x:c>
      <x:c r="Q419" s="10" t="str">
        <x:f>IF(OR(NOT(AND(J419="PASS",'Calibrare_Linii'!U13="VALID")),AL419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M35)+((('Istoric_Nativ'!$E$6:$E$405='Input_Meci'!E35)+('Istoric_Nativ'!$F$6:$F$405='Input_Meci'!E35))&gt;0)*('Istoric_Nativ'!$D$6:$D$405&gt;='Motor_Meciuri'!BN35))&gt;0)*('Istoric_Nativ'!$Q$6:$Q$405&gt;H419))/AL419)</x:f>
      </x:c>
      <x:c r="R419" s="10" t="str">
        <x:f>IF(OR(NOT(AND(J419="PASS",'Calibrare_Linii'!U13="VALID")),AM419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O35)+((('Istoric_Nativ'!$E$6:$E$405='Input_Meci'!E35)+('Istoric_Nativ'!$F$6:$F$405='Input_Meci'!E35))&gt;0)*('Istoric_Nativ'!$D$6:$D$405&gt;='Motor_Meciuri'!BP35))&gt;0)*('Istoric_Nativ'!$Q$6:$Q$405&gt;H419))/AM419)</x:f>
      </x:c>
      <x:c r="S419" s="10" t="str">
        <x:f>IF(M419="","",MAX(O419,P419,Q419,R419))</x:f>
      </x:c>
      <x:c r="T419" s="11" t="str">
        <x:f>IF(M419="","",MIN(100,S419*100*'Config_v6'!$B$44+MIN(100,L419/'Config_v6'!$B$13*100)*'Config_v6'!$B$45+(100-'Motor_Meciuri'!BF35)*'Config_v6'!$B$46+'Motor_Meciuri'!BH35*100*'Config_v6'!$B$47))</x:f>
      </x:c>
      <x:c r="U419" s="2" t="str">
        <x:f>IF(T419="","",IF(T419&lt;=20,1,IF(T419&lt;=40,2,IF(T419&lt;=60,3,IF(T419&lt;=80,4,5)))))</x:f>
      </x:c>
      <x:c r="V419" s="2" t="str">
        <x:f>IF(M419="","",MAX(0,'Motor_Meciuri'!BF35-IF(W419="OOS PENDING",'Config_v6'!$B$35,0)-IF(L419&gt;'Config_v6'!$B$12,'Config_v6'!$B$37,IF(L419&gt;'Config_v6'!$B$11,'Config_v6'!$B$36,0))))</x:f>
      </x:c>
      <x:c r="W419" s="2" t="str">
        <x:f>IF(B419="","",IF(I419&lt;&gt;"READY","NOT RELEASED",IF(NOT(AND(J419="PASS",'Calibrare_Linii'!U13="VALID")),"INVALID",IF(NOT(AND('Calibrare_Linii'!S13="VALIDATED",AND('Calibrare_Linii'!H13=C419,ISNUMBER('Calibrare_Linii'!J13),'Calibrare_Linii'!J13&lt;='Input_Meci'!G35))),"OOS PENDING",IF(S419&lt;='Calibrare_Linii'!E13,"PASS",IF(S419&lt;='Calibrare_Linii'!F13,"PENALTY","WATCH"))))))</x:f>
      </x:c>
      <x:c r="X419" s="2" t="str">
        <x:f>IF(M419="","",IF(AND(AND(J419="PASS",'Calibrare_Linii'!U13="VALID"),'Motor_Meciuri'!K35=12,'Motor_Meciuri'!L35=12,'Motor_Meciuri'!M35="NO",'Motor_Meciuri'!BL35='Motor_Meciuri'!C35,AB419&gt;='Config_v6'!$B$50,AN419&gt;='Config_v6'!$B$51,T419&lt;='Config_v6'!$B$52,L419&lt;='Config_v6'!$B$53,ISNUMBER('Calibrare_Linii'!E13),S419&lt;='Calibrare_Linii'!E13,SUM(AK419:AM419)&gt;0),"CANDIDATE","NO"))</x:f>
      </x:c>
      <x:c r="Y419" s="2" t="str">
        <x:f>IF(B419="","",IF(I419&lt;&gt;"READY","NOT RELEASED",IF(AND(X419="CANDIDATE",V419&gt;='Config_v6'!$B$51,W419="PASS",'Calibrare_Linii'!T13="VALIDATED",AND('Calibrare_Linii'!H13=C419,ISNUMBER('Calibrare_Linii'!J13),'Calibrare_Linii'!J13&lt;='Input_Meci'!G35)),"PASS",IF(X419="CANDIDATE","OOS PENDING","FAIL"))))</x:f>
      </x:c>
      <x:c r="Z419" s="2" t="str">
        <x:f>IF(B419="","",IF(I419&lt;&gt;"READY","",IF(OR(NOT(AND(J419="PASS",'Calibrare_Linii'!U13="VALID")),L419&gt;'Config_v6'!$B$13,W419="WATCH"),5,IF(Y419="PASS",1,MIN(5,MAX('Config_v6'!$B$42,U419)+IF(W419="PENALTY",1,0))))))</x:f>
      </x:c>
      <x:c r="AA419" s="2" t="str">
        <x:f>IF(B419="","",IF(I419&lt;&gt;"READY","NOT RELEASED",IF(Z419=5,"NO BET",IF(OR(AB419&lt;'Config_v6'!$B$16,V419&lt;'Config_v6'!$B$18),"WATCH",IF(Z419=1,"DEFENSIV",IF(Z419=2,"PRUDENT",IF(Z419=3,"MODERAT","RIDICAT")))))))</x:f>
      </x:c>
      <x:c r="AB419" s="10" t="str">
        <x:f>IF(N419="","",MIN(N419,1-S419))</x:f>
      </x:c>
      <x:c r="AC419" s="2" t="str">
        <x:f>IF(AD419&lt;&gt;1,"",COUNTIFS($Z$412:$Z$425,"&lt;"&amp;Z419,$AD$412:$AD$425,1)+COUNTIFS($Z$412:$Z$425,Z419,$AB$412:$AB$425,"&gt;"&amp;AB419,$AD$412:$AD$425,1)+COUNTIFS($Z$412:$Z$425,Z419,$AB$412:$AB$425,AB419,$V$412:$V$425,"&gt;"&amp;V419,$AD$412:$AD$425,1)+COUNTIFS($Z$412:Z419,Z419,$AB$412:AB419,AB419,$V$412:V419,V419,$AD$412:AD419,1))</x:f>
      </x:c>
      <x:c r="AD419" s="2" t="n">
        <x:f>IF(OR(AA419="DEFENSIV",AA419="PRUDENT",AA419="MODERAT",AA419="RIDICAT"),1,0)</x:f>
        <x:v>0</x:v>
      </x:c>
      <x:c r="AE419" s="2" t="str">
        <x:f>IF(AD419&lt;&gt;1,"NO",IF(W419="PASS","YES",IF(W419="OOS PENDING","CONDITIONAL","NO")))</x:f>
        <x:v>NO</x:v>
      </x:c>
      <x:c r="AF419" s="2" t="n">
        <x:f>IF(AND(AD419=1,AC419=1,E419="LIVE"),1,0)</x:f>
        <x:v>0</x:v>
      </x:c>
      <x:c r="AG419" s="2" t="str">
        <x:f>IF(AF419&lt;&gt;1,"",'Dashboard'!P55)</x:f>
      </x:c>
      <x:c r="AH419" s="2" t="str">
        <x:f>IF(B419="","",IF(J419&lt;&gt;"PASS",'Motor_Meciuri'!J35,IF('Calibrare_Linii'!U13&lt;&gt;"VALID","Parametri linie invalizi",IF(L419&gt;'Config_v6'!$B$13,"Dispersie peste limita",IF(W419="WATCH","Failure peste limita",IF(AB419&lt;'Config_v6'!$B$16,"P finala sub prag",IF(V419&lt;'Config_v6'!$B$18,"Confidence sub prag",IF(E419="REPLAY","Exemplu retrospectiv; exclus din Top LIVE",IF(Y419="PASS","DEFENSIV validat",IF(W419="OOS PENDING","Eligibil; calibrare linie in monitorizare","Eligibil"))))))))))</x:f>
      </x:c>
      <x:c r="AI419" s="2" t="str">
        <x:f>IF(B419="","",'Calibrare_Linii'!V13)</x:f>
      </x:c>
      <x:c r="AJ419" s="2" t="str">
        <x:f>IF(B419="","",IF(AND('Calibrare_Linii'!T13="VALIDATED",AND('Calibrare_Linii'!H13=C419,ISNUMBER('Calibrare_Linii'!J13),'Calibrare_Linii'!J13&lt;='Input_Meci'!G35)),"DEFENSIVE VALIDATED",IF(AND('Calibrare_Linii'!S13="VALIDATED",AND('Calibrare_Linii'!H13=C419,ISNUMBER('Calibrare_Linii'!J13),'Calibrare_Linii'!J13&lt;='Input_Meci'!G35)),"TAIL VALIDATED","OOS PENDING")))</x:f>
      </x:c>
      <x:c r="AK419" s="2" t="n">
        <x:f>IF(J419&lt;&gt;"PASS",0,'Motor_Meciuri'!BR35)</x:f>
        <x:v>0</x:v>
      </x:c>
      <x:c r="AL419" s="2" t="n">
        <x:f>IF(J419&lt;&gt;"PASS",0,'Motor_Meciuri'!BS35)</x:f>
        <x:v>0</x:v>
      </x:c>
      <x:c r="AM419" s="2" t="n">
        <x:f>IF(J419&lt;&gt;"PASS",0,'Motor_Meciuri'!BT35)</x:f>
        <x:v>0</x:v>
      </x:c>
      <x:c r="AN419" s="2" t="str">
        <x:f>IF(M419="","",MAX(0,'Motor_Meciuri'!BF35-IF(L419&gt;'Config_v6'!$B$12,'Config_v6'!$B$37,IF(L419&gt;'Config_v6'!$B$11,'Config_v6'!$B$36,0))))</x:f>
      </x:c>
    </x:row>
    <x:row r="420" ht="21" customHeight="1">
      <x:c r="A420" s="2" t="n">
        <x:v>30</x:v>
      </x:c>
      <x:c r="B420" s="2" t="str">
        <x:f>IF('Motor_Meciuri'!A35="","",'Motor_Meciuri'!A35)</x:f>
      </x:c>
      <x:c r="C420" s="2" t="str">
        <x:f>IF(B420="","",'Motor_Meciuri'!B35)</x:f>
      </x:c>
      <x:c r="D420" s="2" t="str">
        <x:f>IF(B420="","",'Motor_Meciuri'!D35)</x:f>
      </x:c>
      <x:c r="E420" s="2" t="str">
        <x:f>IF(B420="","",'Motor_Meciuri'!E35)</x:f>
      </x:c>
      <x:c r="F420" s="2" t="str">
        <x:v>U12,5</x:v>
      </x:c>
      <x:c r="G420" s="2" t="str">
        <x:v>UNDER</x:v>
      </x:c>
      <x:c r="H420" s="2" t="n">
        <x:v>12</x:v>
      </x:c>
      <x:c r="I420" s="2" t="str">
        <x:f>IF(B420="","",'Motor_Meciuri'!H35)</x:f>
      </x:c>
      <x:c r="J420" s="2" t="str">
        <x:f>IF(B420="","",'Motor_Meciuri'!I35)</x:f>
      </x:c>
      <x:c r="K420" s="11" t="str">
        <x:f>IF(J420&lt;&gt;"PASS","",'Motor_Meciuri'!BD35)</x:f>
      </x:c>
      <x:c r="L420" s="11" t="str">
        <x:f>IF(J420&lt;&gt;"PASS","",'Motor_Meciuri'!AU35)</x:f>
      </x:c>
      <x:c r="M420" s="10" t="str">
        <x:f>IF(NOT(AND(J420="PASS",'Calibrare_Linii'!U14="VALID")),"",'Distributie'!AJ35)</x:f>
      </x:c>
      <x:c r="N420" s="10" t="str">
        <x:f>IF(M420="","",MAX(0.01,MIN(0.99,0.5+(M420-0.5)*'Motor_Meciuri'!BG35*'Calibrare_Linii'!D14)))</x:f>
      </x:c>
      <x:c r="O420" s="10" t="str">
        <x:f>IF(M420="","",1-M420)</x:f>
      </x:c>
      <x:c r="P420" s="10" t="str">
        <x:f>IF(OR(NOT(AND(J420="PASS",'Calibrare_Linii'!U14="VALID")),AK420=0),""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*('Istoric_Nativ'!$Q$6:$Q$405&gt;H420))/AK420)</x:f>
      </x:c>
      <x:c r="Q420" s="10" t="str">
        <x:f>IF(OR(NOT(AND(J420="PASS",'Calibrare_Linii'!U14="VALID")),AL420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M35)+((('Istoric_Nativ'!$E$6:$E$405='Input_Meci'!E35)+('Istoric_Nativ'!$F$6:$F$405='Input_Meci'!E35))&gt;0)*('Istoric_Nativ'!$D$6:$D$405&gt;='Motor_Meciuri'!BN35))&gt;0)*('Istoric_Nativ'!$Q$6:$Q$405&gt;H420))/AL420)</x:f>
      </x:c>
      <x:c r="R420" s="10" t="str">
        <x:f>IF(OR(NOT(AND(J420="PASS",'Calibrare_Linii'!U14="VALID")),AM420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O35)+((('Istoric_Nativ'!$E$6:$E$405='Input_Meci'!E35)+('Istoric_Nativ'!$F$6:$F$405='Input_Meci'!E35))&gt;0)*('Istoric_Nativ'!$D$6:$D$405&gt;='Motor_Meciuri'!BP35))&gt;0)*('Istoric_Nativ'!$Q$6:$Q$405&gt;H420))/AM420)</x:f>
      </x:c>
      <x:c r="S420" s="10" t="str">
        <x:f>IF(M420="","",MAX(O420,P420,Q420,R420))</x:f>
      </x:c>
      <x:c r="T420" s="11" t="str">
        <x:f>IF(M420="","",MIN(100,S420*100*'Config_v6'!$B$44+MIN(100,L420/'Config_v6'!$B$13*100)*'Config_v6'!$B$45+(100-'Motor_Meciuri'!BF35)*'Config_v6'!$B$46+'Motor_Meciuri'!BH35*100*'Config_v6'!$B$47))</x:f>
      </x:c>
      <x:c r="U420" s="2" t="str">
        <x:f>IF(T420="","",IF(T420&lt;=20,1,IF(T420&lt;=40,2,IF(T420&lt;=60,3,IF(T420&lt;=80,4,5)))))</x:f>
      </x:c>
      <x:c r="V420" s="2" t="str">
        <x:f>IF(M420="","",MAX(0,'Motor_Meciuri'!BF35-IF(W420="OOS PENDING",'Config_v6'!$B$35,0)-IF(L420&gt;'Config_v6'!$B$12,'Config_v6'!$B$37,IF(L420&gt;'Config_v6'!$B$11,'Config_v6'!$B$36,0))))</x:f>
      </x:c>
      <x:c r="W420" s="2" t="str">
        <x:f>IF(B420="","",IF(I420&lt;&gt;"READY","NOT RELEASED",IF(NOT(AND(J420="PASS",'Calibrare_Linii'!U14="VALID")),"INVALID",IF(NOT(AND('Calibrare_Linii'!S14="VALIDATED",AND('Calibrare_Linii'!H14=C420,ISNUMBER('Calibrare_Linii'!J14),'Calibrare_Linii'!J14&lt;='Input_Meci'!G35))),"OOS PENDING",IF(S420&lt;='Calibrare_Linii'!E14,"PASS",IF(S420&lt;='Calibrare_Linii'!F14,"PENALTY","WATCH"))))))</x:f>
      </x:c>
      <x:c r="X420" s="2" t="str">
        <x:f>IF(M420="","",IF(AND(AND(J420="PASS",'Calibrare_Linii'!U14="VALID"),'Motor_Meciuri'!K35=12,'Motor_Meciuri'!L35=12,'Motor_Meciuri'!M35="NO",'Motor_Meciuri'!BL35='Motor_Meciuri'!C35,AB420&gt;='Config_v6'!$B$50,AN420&gt;='Config_v6'!$B$51,T420&lt;='Config_v6'!$B$52,L420&lt;='Config_v6'!$B$53,ISNUMBER('Calibrare_Linii'!E14),S420&lt;='Calibrare_Linii'!E14,SUM(AK420:AM420)&gt;0),"CANDIDATE","NO"))</x:f>
      </x:c>
      <x:c r="Y420" s="2" t="str">
        <x:f>IF(B420="","",IF(I420&lt;&gt;"READY","NOT RELEASED",IF(AND(X420="CANDIDATE",V420&gt;='Config_v6'!$B$51,W420="PASS",'Calibrare_Linii'!T14="VALIDATED",AND('Calibrare_Linii'!H14=C420,ISNUMBER('Calibrare_Linii'!J14),'Calibrare_Linii'!J14&lt;='Input_Meci'!G35)),"PASS",IF(X420="CANDIDATE","OOS PENDING","FAIL"))))</x:f>
      </x:c>
      <x:c r="Z420" s="2" t="str">
        <x:f>IF(B420="","",IF(I420&lt;&gt;"READY","",IF(OR(NOT(AND(J420="PASS",'Calibrare_Linii'!U14="VALID")),L420&gt;'Config_v6'!$B$13,W420="WATCH"),5,IF(Y420="PASS",1,MIN(5,MAX('Config_v6'!$B$42,U420)+IF(W420="PENALTY",1,0))))))</x:f>
      </x:c>
      <x:c r="AA420" s="2" t="str">
        <x:f>IF(B420="","",IF(I420&lt;&gt;"READY","NOT RELEASED",IF(Z420=5,"NO BET",IF(OR(AB420&lt;'Config_v6'!$B$16,V420&lt;'Config_v6'!$B$18),"WATCH",IF(Z420=1,"DEFENSIV",IF(Z420=2,"PRUDENT",IF(Z420=3,"MODERAT","RIDICAT")))))))</x:f>
      </x:c>
      <x:c r="AB420" s="10" t="str">
        <x:f>IF(N420="","",MIN(N420,1-S420))</x:f>
      </x:c>
      <x:c r="AC420" s="2" t="str">
        <x:f>IF(AD420&lt;&gt;1,"",COUNTIFS($Z$412:$Z$425,"&lt;"&amp;Z420,$AD$412:$AD$425,1)+COUNTIFS($Z$412:$Z$425,Z420,$AB$412:$AB$425,"&gt;"&amp;AB420,$AD$412:$AD$425,1)+COUNTIFS($Z$412:$Z$425,Z420,$AB$412:$AB$425,AB420,$V$412:$V$425,"&gt;"&amp;V420,$AD$412:$AD$425,1)+COUNTIFS($Z$412:Z420,Z420,$AB$412:AB420,AB420,$V$412:V420,V420,$AD$412:AD420,1))</x:f>
      </x:c>
      <x:c r="AD420" s="2" t="n">
        <x:f>IF(OR(AA420="DEFENSIV",AA420="PRUDENT",AA420="MODERAT",AA420="RIDICAT"),1,0)</x:f>
        <x:v>0</x:v>
      </x:c>
      <x:c r="AE420" s="2" t="str">
        <x:f>IF(AD420&lt;&gt;1,"NO",IF(W420="PASS","YES",IF(W420="OOS PENDING","CONDITIONAL","NO")))</x:f>
        <x:v>NO</x:v>
      </x:c>
      <x:c r="AF420" s="2" t="n">
        <x:f>IF(AND(AD420=1,AC420=1,E420="LIVE"),1,0)</x:f>
        <x:v>0</x:v>
      </x:c>
      <x:c r="AG420" s="2" t="str">
        <x:f>IF(AF420&lt;&gt;1,"",'Dashboard'!P55)</x:f>
      </x:c>
      <x:c r="AH420" s="2" t="str">
        <x:f>IF(B420="","",IF(J420&lt;&gt;"PASS",'Motor_Meciuri'!J35,IF('Calibrare_Linii'!U14&lt;&gt;"VALID","Parametri linie invalizi",IF(L420&gt;'Config_v6'!$B$13,"Dispersie peste limita",IF(W420="WATCH","Failure peste limita",IF(AB420&lt;'Config_v6'!$B$16,"P finala sub prag",IF(V420&lt;'Config_v6'!$B$18,"Confidence sub prag",IF(E420="REPLAY","Exemplu retrospectiv; exclus din Top LIVE",IF(Y420="PASS","DEFENSIV validat",IF(W420="OOS PENDING","Eligibil; calibrare linie in monitorizare","Eligibil"))))))))))</x:f>
      </x:c>
      <x:c r="AI420" s="2" t="str">
        <x:f>IF(B420="","",'Calibrare_Linii'!V14)</x:f>
      </x:c>
      <x:c r="AJ420" s="2" t="str">
        <x:f>IF(B420="","",IF(AND('Calibrare_Linii'!T14="VALIDATED",AND('Calibrare_Linii'!H14=C420,ISNUMBER('Calibrare_Linii'!J14),'Calibrare_Linii'!J14&lt;='Input_Meci'!G35)),"DEFENSIVE VALIDATED",IF(AND('Calibrare_Linii'!S14="VALIDATED",AND('Calibrare_Linii'!H14=C420,ISNUMBER('Calibrare_Linii'!J14),'Calibrare_Linii'!J14&lt;='Input_Meci'!G35)),"TAIL VALIDATED","OOS PENDING")))</x:f>
      </x:c>
      <x:c r="AK420" s="2" t="n">
        <x:f>IF(J420&lt;&gt;"PASS",0,'Motor_Meciuri'!BR35)</x:f>
        <x:v>0</x:v>
      </x:c>
      <x:c r="AL420" s="2" t="n">
        <x:f>IF(J420&lt;&gt;"PASS",0,'Motor_Meciuri'!BS35)</x:f>
        <x:v>0</x:v>
      </x:c>
      <x:c r="AM420" s="2" t="n">
        <x:f>IF(J420&lt;&gt;"PASS",0,'Motor_Meciuri'!BT35)</x:f>
        <x:v>0</x:v>
      </x:c>
      <x:c r="AN420" s="2" t="str">
        <x:f>IF(M420="","",MAX(0,'Motor_Meciuri'!BF35-IF(L420&gt;'Config_v6'!$B$12,'Config_v6'!$B$37,IF(L420&gt;'Config_v6'!$B$11,'Config_v6'!$B$36,0))))</x:f>
      </x:c>
    </x:row>
    <x:row r="421" ht="21" customHeight="1">
      <x:c r="A421" s="2" t="n">
        <x:v>30</x:v>
      </x:c>
      <x:c r="B421" s="2" t="str">
        <x:f>IF('Motor_Meciuri'!A35="","",'Motor_Meciuri'!A35)</x:f>
      </x:c>
      <x:c r="C421" s="2" t="str">
        <x:f>IF(B421="","",'Motor_Meciuri'!B35)</x:f>
      </x:c>
      <x:c r="D421" s="2" t="str">
        <x:f>IF(B421="","",'Motor_Meciuri'!D35)</x:f>
      </x:c>
      <x:c r="E421" s="2" t="str">
        <x:f>IF(B421="","",'Motor_Meciuri'!E35)</x:f>
      </x:c>
      <x:c r="F421" s="2" t="str">
        <x:v>U13,5</x:v>
      </x:c>
      <x:c r="G421" s="2" t="str">
        <x:v>UNDER</x:v>
      </x:c>
      <x:c r="H421" s="2" t="n">
        <x:v>13</x:v>
      </x:c>
      <x:c r="I421" s="2" t="str">
        <x:f>IF(B421="","",'Motor_Meciuri'!H35)</x:f>
      </x:c>
      <x:c r="J421" s="2" t="str">
        <x:f>IF(B421="","",'Motor_Meciuri'!I35)</x:f>
      </x:c>
      <x:c r="K421" s="11" t="str">
        <x:f>IF(J421&lt;&gt;"PASS","",'Motor_Meciuri'!BD35)</x:f>
      </x:c>
      <x:c r="L421" s="11" t="str">
        <x:f>IF(J421&lt;&gt;"PASS","",'Motor_Meciuri'!AU35)</x:f>
      </x:c>
      <x:c r="M421" s="10" t="str">
        <x:f>IF(NOT(AND(J421="PASS",'Calibrare_Linii'!U15="VALID")),"",'Distributie'!AK35)</x:f>
      </x:c>
      <x:c r="N421" s="10" t="str">
        <x:f>IF(M421="","",MAX(0.01,MIN(0.99,0.5+(M421-0.5)*'Motor_Meciuri'!BG35*'Calibrare_Linii'!D15)))</x:f>
      </x:c>
      <x:c r="O421" s="10" t="str">
        <x:f>IF(M421="","",1-M421)</x:f>
      </x:c>
      <x:c r="P421" s="10" t="str">
        <x:f>IF(OR(NOT(AND(J421="PASS",'Calibrare_Linii'!U15="VALID")),AK421=0),""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*('Istoric_Nativ'!$Q$6:$Q$405&gt;H421))/AK421)</x:f>
      </x:c>
      <x:c r="Q421" s="10" t="str">
        <x:f>IF(OR(NOT(AND(J421="PASS",'Calibrare_Linii'!U15="VALID")),AL421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M35)+((('Istoric_Nativ'!$E$6:$E$405='Input_Meci'!E35)+('Istoric_Nativ'!$F$6:$F$405='Input_Meci'!E35))&gt;0)*('Istoric_Nativ'!$D$6:$D$405&gt;='Motor_Meciuri'!BN35))&gt;0)*('Istoric_Nativ'!$Q$6:$Q$405&gt;H421))/AL421)</x:f>
      </x:c>
      <x:c r="R421" s="10" t="str">
        <x:f>IF(OR(NOT(AND(J421="PASS",'Calibrare_Linii'!U15="VALID")),AM421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O35)+((('Istoric_Nativ'!$E$6:$E$405='Input_Meci'!E35)+('Istoric_Nativ'!$F$6:$F$405='Input_Meci'!E35))&gt;0)*('Istoric_Nativ'!$D$6:$D$405&gt;='Motor_Meciuri'!BP35))&gt;0)*('Istoric_Nativ'!$Q$6:$Q$405&gt;H421))/AM421)</x:f>
      </x:c>
      <x:c r="S421" s="10" t="str">
        <x:f>IF(M421="","",MAX(O421,P421,Q421,R421))</x:f>
      </x:c>
      <x:c r="T421" s="11" t="str">
        <x:f>IF(M421="","",MIN(100,S421*100*'Config_v6'!$B$44+MIN(100,L421/'Config_v6'!$B$13*100)*'Config_v6'!$B$45+(100-'Motor_Meciuri'!BF35)*'Config_v6'!$B$46+'Motor_Meciuri'!BH35*100*'Config_v6'!$B$47))</x:f>
      </x:c>
      <x:c r="U421" s="2" t="str">
        <x:f>IF(T421="","",IF(T421&lt;=20,1,IF(T421&lt;=40,2,IF(T421&lt;=60,3,IF(T421&lt;=80,4,5)))))</x:f>
      </x:c>
      <x:c r="V421" s="2" t="str">
        <x:f>IF(M421="","",MAX(0,'Motor_Meciuri'!BF35-IF(W421="OOS PENDING",'Config_v6'!$B$35,0)-IF(L421&gt;'Config_v6'!$B$12,'Config_v6'!$B$37,IF(L421&gt;'Config_v6'!$B$11,'Config_v6'!$B$36,0))))</x:f>
      </x:c>
      <x:c r="W421" s="2" t="str">
        <x:f>IF(B421="","",IF(I421&lt;&gt;"READY","NOT RELEASED",IF(NOT(AND(J421="PASS",'Calibrare_Linii'!U15="VALID")),"INVALID",IF(NOT(AND('Calibrare_Linii'!S15="VALIDATED",AND('Calibrare_Linii'!H15=C421,ISNUMBER('Calibrare_Linii'!J15),'Calibrare_Linii'!J15&lt;='Input_Meci'!G35))),"OOS PENDING",IF(S421&lt;='Calibrare_Linii'!E15,"PASS",IF(S421&lt;='Calibrare_Linii'!F15,"PENALTY","WATCH"))))))</x:f>
      </x:c>
      <x:c r="X421" s="2" t="str">
        <x:f>IF(M421="","",IF(AND(AND(J421="PASS",'Calibrare_Linii'!U15="VALID"),'Motor_Meciuri'!K35=12,'Motor_Meciuri'!L35=12,'Motor_Meciuri'!M35="NO",'Motor_Meciuri'!BL35='Motor_Meciuri'!C35,AB421&gt;='Config_v6'!$B$50,AN421&gt;='Config_v6'!$B$51,T421&lt;='Config_v6'!$B$52,L421&lt;='Config_v6'!$B$53,ISNUMBER('Calibrare_Linii'!E15),S421&lt;='Calibrare_Linii'!E15,SUM(AK421:AM421)&gt;0),"CANDIDATE","NO"))</x:f>
      </x:c>
      <x:c r="Y421" s="2" t="str">
        <x:f>IF(B421="","",IF(I421&lt;&gt;"READY","NOT RELEASED",IF(AND(X421="CANDIDATE",V421&gt;='Config_v6'!$B$51,W421="PASS",'Calibrare_Linii'!T15="VALIDATED",AND('Calibrare_Linii'!H15=C421,ISNUMBER('Calibrare_Linii'!J15),'Calibrare_Linii'!J15&lt;='Input_Meci'!G35)),"PASS",IF(X421="CANDIDATE","OOS PENDING","FAIL"))))</x:f>
      </x:c>
      <x:c r="Z421" s="2" t="str">
        <x:f>IF(B421="","",IF(I421&lt;&gt;"READY","",IF(OR(NOT(AND(J421="PASS",'Calibrare_Linii'!U15="VALID")),L421&gt;'Config_v6'!$B$13,W421="WATCH"),5,IF(Y421="PASS",1,MIN(5,MAX('Config_v6'!$B$42,U421)+IF(W421="PENALTY",1,0))))))</x:f>
      </x:c>
      <x:c r="AA421" s="2" t="str">
        <x:f>IF(B421="","",IF(I421&lt;&gt;"READY","NOT RELEASED",IF(Z421=5,"NO BET",IF(OR(AB421&lt;'Config_v6'!$B$16,V421&lt;'Config_v6'!$B$18),"WATCH",IF(Z421=1,"DEFENSIV",IF(Z421=2,"PRUDENT",IF(Z421=3,"MODERAT","RIDICAT")))))))</x:f>
      </x:c>
      <x:c r="AB421" s="10" t="str">
        <x:f>IF(N421="","",MIN(N421,1-S421))</x:f>
      </x:c>
      <x:c r="AC421" s="2" t="str">
        <x:f>IF(AD421&lt;&gt;1,"",COUNTIFS($Z$412:$Z$425,"&lt;"&amp;Z421,$AD$412:$AD$425,1)+COUNTIFS($Z$412:$Z$425,Z421,$AB$412:$AB$425,"&gt;"&amp;AB421,$AD$412:$AD$425,1)+COUNTIFS($Z$412:$Z$425,Z421,$AB$412:$AB$425,AB421,$V$412:$V$425,"&gt;"&amp;V421,$AD$412:$AD$425,1)+COUNTIFS($Z$412:Z421,Z421,$AB$412:AB421,AB421,$V$412:V421,V421,$AD$412:AD421,1))</x:f>
      </x:c>
      <x:c r="AD421" s="2" t="n">
        <x:f>IF(OR(AA421="DEFENSIV",AA421="PRUDENT",AA421="MODERAT",AA421="RIDICAT"),1,0)</x:f>
        <x:v>0</x:v>
      </x:c>
      <x:c r="AE421" s="2" t="str">
        <x:f>IF(AD421&lt;&gt;1,"NO",IF(W421="PASS","YES",IF(W421="OOS PENDING","CONDITIONAL","NO")))</x:f>
        <x:v>NO</x:v>
      </x:c>
      <x:c r="AF421" s="2" t="n">
        <x:f>IF(AND(AD421=1,AC421=1,E421="LIVE"),1,0)</x:f>
        <x:v>0</x:v>
      </x:c>
      <x:c r="AG421" s="2" t="str">
        <x:f>IF(AF421&lt;&gt;1,"",'Dashboard'!P55)</x:f>
      </x:c>
      <x:c r="AH421" s="2" t="str">
        <x:f>IF(B421="","",IF(J421&lt;&gt;"PASS",'Motor_Meciuri'!J35,IF('Calibrare_Linii'!U15&lt;&gt;"VALID","Parametri linie invalizi",IF(L421&gt;'Config_v6'!$B$13,"Dispersie peste limita",IF(W421="WATCH","Failure peste limita",IF(AB421&lt;'Config_v6'!$B$16,"P finala sub prag",IF(V421&lt;'Config_v6'!$B$18,"Confidence sub prag",IF(E421="REPLAY","Exemplu retrospectiv; exclus din Top LIVE",IF(Y421="PASS","DEFENSIV validat",IF(W421="OOS PENDING","Eligibil; calibrare linie in monitorizare","Eligibil"))))))))))</x:f>
      </x:c>
      <x:c r="AI421" s="2" t="str">
        <x:f>IF(B421="","",'Calibrare_Linii'!V15)</x:f>
      </x:c>
      <x:c r="AJ421" s="2" t="str">
        <x:f>IF(B421="","",IF(AND('Calibrare_Linii'!T15="VALIDATED",AND('Calibrare_Linii'!H15=C421,ISNUMBER('Calibrare_Linii'!J15),'Calibrare_Linii'!J15&lt;='Input_Meci'!G35)),"DEFENSIVE VALIDATED",IF(AND('Calibrare_Linii'!S15="VALIDATED",AND('Calibrare_Linii'!H15=C421,ISNUMBER('Calibrare_Linii'!J15),'Calibrare_Linii'!J15&lt;='Input_Meci'!G35)),"TAIL VALIDATED","OOS PENDING")))</x:f>
      </x:c>
      <x:c r="AK421" s="2" t="n">
        <x:f>IF(J421&lt;&gt;"PASS",0,'Motor_Meciuri'!BR35)</x:f>
        <x:v>0</x:v>
      </x:c>
      <x:c r="AL421" s="2" t="n">
        <x:f>IF(J421&lt;&gt;"PASS",0,'Motor_Meciuri'!BS35)</x:f>
        <x:v>0</x:v>
      </x:c>
      <x:c r="AM421" s="2" t="n">
        <x:f>IF(J421&lt;&gt;"PASS",0,'Motor_Meciuri'!BT35)</x:f>
        <x:v>0</x:v>
      </x:c>
      <x:c r="AN421" s="2" t="str">
        <x:f>IF(M421="","",MAX(0,'Motor_Meciuri'!BF35-IF(L421&gt;'Config_v6'!$B$12,'Config_v6'!$B$37,IF(L421&gt;'Config_v6'!$B$11,'Config_v6'!$B$36,0))))</x:f>
      </x:c>
    </x:row>
    <x:row r="422" ht="21" customHeight="1">
      <x:c r="A422" s="2" t="n">
        <x:v>30</x:v>
      </x:c>
      <x:c r="B422" s="2" t="str">
        <x:f>IF('Motor_Meciuri'!A35="","",'Motor_Meciuri'!A35)</x:f>
      </x:c>
      <x:c r="C422" s="2" t="str">
        <x:f>IF(B422="","",'Motor_Meciuri'!B35)</x:f>
      </x:c>
      <x:c r="D422" s="2" t="str">
        <x:f>IF(B422="","",'Motor_Meciuri'!D35)</x:f>
      </x:c>
      <x:c r="E422" s="2" t="str">
        <x:f>IF(B422="","",'Motor_Meciuri'!E35)</x:f>
      </x:c>
      <x:c r="F422" s="2" t="str">
        <x:v>U14,5</x:v>
      </x:c>
      <x:c r="G422" s="2" t="str">
        <x:v>UNDER</x:v>
      </x:c>
      <x:c r="H422" s="2" t="n">
        <x:v>14</x:v>
      </x:c>
      <x:c r="I422" s="2" t="str">
        <x:f>IF(B422="","",'Motor_Meciuri'!H35)</x:f>
      </x:c>
      <x:c r="J422" s="2" t="str">
        <x:f>IF(B422="","",'Motor_Meciuri'!I35)</x:f>
      </x:c>
      <x:c r="K422" s="11" t="str">
        <x:f>IF(J422&lt;&gt;"PASS","",'Motor_Meciuri'!BD35)</x:f>
      </x:c>
      <x:c r="L422" s="11" t="str">
        <x:f>IF(J422&lt;&gt;"PASS","",'Motor_Meciuri'!AU35)</x:f>
      </x:c>
      <x:c r="M422" s="10" t="str">
        <x:f>IF(NOT(AND(J422="PASS",'Calibrare_Linii'!U16="VALID")),"",'Distributie'!AL35)</x:f>
      </x:c>
      <x:c r="N422" s="10" t="str">
        <x:f>IF(M422="","",MAX(0.01,MIN(0.99,0.5+(M422-0.5)*'Motor_Meciuri'!BG35*'Calibrare_Linii'!D16)))</x:f>
      </x:c>
      <x:c r="O422" s="10" t="str">
        <x:f>IF(M422="","",1-M422)</x:f>
      </x:c>
      <x:c r="P422" s="10" t="str">
        <x:f>IF(OR(NOT(AND(J422="PASS",'Calibrare_Linii'!U16="VALID")),AK422=0),""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*('Istoric_Nativ'!$Q$6:$Q$405&gt;H422))/AK422)</x:f>
      </x:c>
      <x:c r="Q422" s="10" t="str">
        <x:f>IF(OR(NOT(AND(J422="PASS",'Calibrare_Linii'!U16="VALID")),AL422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M35)+((('Istoric_Nativ'!$E$6:$E$405='Input_Meci'!E35)+('Istoric_Nativ'!$F$6:$F$405='Input_Meci'!E35))&gt;0)*('Istoric_Nativ'!$D$6:$D$405&gt;='Motor_Meciuri'!BN35))&gt;0)*('Istoric_Nativ'!$Q$6:$Q$405&gt;H422))/AL422)</x:f>
      </x:c>
      <x:c r="R422" s="10" t="str">
        <x:f>IF(OR(NOT(AND(J422="PASS",'Calibrare_Linii'!U16="VALID")),AM422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O35)+((('Istoric_Nativ'!$E$6:$E$405='Input_Meci'!E35)+('Istoric_Nativ'!$F$6:$F$405='Input_Meci'!E35))&gt;0)*('Istoric_Nativ'!$D$6:$D$405&gt;='Motor_Meciuri'!BP35))&gt;0)*('Istoric_Nativ'!$Q$6:$Q$405&gt;H422))/AM422)</x:f>
      </x:c>
      <x:c r="S422" s="10" t="str">
        <x:f>IF(M422="","",MAX(O422,P422,Q422,R422))</x:f>
      </x:c>
      <x:c r="T422" s="11" t="str">
        <x:f>IF(M422="","",MIN(100,S422*100*'Config_v6'!$B$44+MIN(100,L422/'Config_v6'!$B$13*100)*'Config_v6'!$B$45+(100-'Motor_Meciuri'!BF35)*'Config_v6'!$B$46+'Motor_Meciuri'!BH35*100*'Config_v6'!$B$47))</x:f>
      </x:c>
      <x:c r="U422" s="2" t="str">
        <x:f>IF(T422="","",IF(T422&lt;=20,1,IF(T422&lt;=40,2,IF(T422&lt;=60,3,IF(T422&lt;=80,4,5)))))</x:f>
      </x:c>
      <x:c r="V422" s="2" t="str">
        <x:f>IF(M422="","",MAX(0,'Motor_Meciuri'!BF35-IF(W422="OOS PENDING",'Config_v6'!$B$35,0)-IF(L422&gt;'Config_v6'!$B$12,'Config_v6'!$B$37,IF(L422&gt;'Config_v6'!$B$11,'Config_v6'!$B$36,0))))</x:f>
      </x:c>
      <x:c r="W422" s="2" t="str">
        <x:f>IF(B422="","",IF(I422&lt;&gt;"READY","NOT RELEASED",IF(NOT(AND(J422="PASS",'Calibrare_Linii'!U16="VALID")),"INVALID",IF(NOT(AND('Calibrare_Linii'!S16="VALIDATED",AND('Calibrare_Linii'!H16=C422,ISNUMBER('Calibrare_Linii'!J16),'Calibrare_Linii'!J16&lt;='Input_Meci'!G35))),"OOS PENDING",IF(S422&lt;='Calibrare_Linii'!E16,"PASS",IF(S422&lt;='Calibrare_Linii'!F16,"PENALTY","WATCH"))))))</x:f>
      </x:c>
      <x:c r="X422" s="2" t="str">
        <x:f>IF(M422="","",IF(AND(AND(J422="PASS",'Calibrare_Linii'!U16="VALID"),'Motor_Meciuri'!K35=12,'Motor_Meciuri'!L35=12,'Motor_Meciuri'!M35="NO",'Motor_Meciuri'!BL35='Motor_Meciuri'!C35,AB422&gt;='Config_v6'!$B$50,AN422&gt;='Config_v6'!$B$51,T422&lt;='Config_v6'!$B$52,L422&lt;='Config_v6'!$B$53,ISNUMBER('Calibrare_Linii'!E16),S422&lt;='Calibrare_Linii'!E16,SUM(AK422:AM422)&gt;0),"CANDIDATE","NO"))</x:f>
      </x:c>
      <x:c r="Y422" s="2" t="str">
        <x:f>IF(B422="","",IF(I422&lt;&gt;"READY","NOT RELEASED",IF(AND(X422="CANDIDATE",V422&gt;='Config_v6'!$B$51,W422="PASS",'Calibrare_Linii'!T16="VALIDATED",AND('Calibrare_Linii'!H16=C422,ISNUMBER('Calibrare_Linii'!J16),'Calibrare_Linii'!J16&lt;='Input_Meci'!G35)),"PASS",IF(X422="CANDIDATE","OOS PENDING","FAIL"))))</x:f>
      </x:c>
      <x:c r="Z422" s="2" t="str">
        <x:f>IF(B422="","",IF(I422&lt;&gt;"READY","",IF(OR(NOT(AND(J422="PASS",'Calibrare_Linii'!U16="VALID")),L422&gt;'Config_v6'!$B$13,W422="WATCH"),5,IF(Y422="PASS",1,MIN(5,MAX('Config_v6'!$B$42,U422)+IF(W422="PENALTY",1,0))))))</x:f>
      </x:c>
      <x:c r="AA422" s="2" t="str">
        <x:f>IF(B422="","",IF(I422&lt;&gt;"READY","NOT RELEASED",IF(Z422=5,"NO BET",IF(OR(AB422&lt;'Config_v6'!$B$16,V422&lt;'Config_v6'!$B$18),"WATCH",IF(Z422=1,"DEFENSIV",IF(Z422=2,"PRUDENT",IF(Z422=3,"MODERAT","RIDICAT")))))))</x:f>
      </x:c>
      <x:c r="AB422" s="10" t="str">
        <x:f>IF(N422="","",MIN(N422,1-S422))</x:f>
      </x:c>
      <x:c r="AC422" s="2" t="str">
        <x:f>IF(AD422&lt;&gt;1,"",COUNTIFS($Z$412:$Z$425,"&lt;"&amp;Z422,$AD$412:$AD$425,1)+COUNTIFS($Z$412:$Z$425,Z422,$AB$412:$AB$425,"&gt;"&amp;AB422,$AD$412:$AD$425,1)+COUNTIFS($Z$412:$Z$425,Z422,$AB$412:$AB$425,AB422,$V$412:$V$425,"&gt;"&amp;V422,$AD$412:$AD$425,1)+COUNTIFS($Z$412:Z422,Z422,$AB$412:AB422,AB422,$V$412:V422,V422,$AD$412:AD422,1))</x:f>
      </x:c>
      <x:c r="AD422" s="2" t="n">
        <x:f>IF(OR(AA422="DEFENSIV",AA422="PRUDENT",AA422="MODERAT",AA422="RIDICAT"),1,0)</x:f>
        <x:v>0</x:v>
      </x:c>
      <x:c r="AE422" s="2" t="str">
        <x:f>IF(AD422&lt;&gt;1,"NO",IF(W422="PASS","YES",IF(W422="OOS PENDING","CONDITIONAL","NO")))</x:f>
        <x:v>NO</x:v>
      </x:c>
      <x:c r="AF422" s="2" t="n">
        <x:f>IF(AND(AD422=1,AC422=1,E422="LIVE"),1,0)</x:f>
        <x:v>0</x:v>
      </x:c>
      <x:c r="AG422" s="2" t="str">
        <x:f>IF(AF422&lt;&gt;1,"",'Dashboard'!P55)</x:f>
      </x:c>
      <x:c r="AH422" s="2" t="str">
        <x:f>IF(B422="","",IF(J422&lt;&gt;"PASS",'Motor_Meciuri'!J35,IF('Calibrare_Linii'!U16&lt;&gt;"VALID","Parametri linie invalizi",IF(L422&gt;'Config_v6'!$B$13,"Dispersie peste limita",IF(W422="WATCH","Failure peste limita",IF(AB422&lt;'Config_v6'!$B$16,"P finala sub prag",IF(V422&lt;'Config_v6'!$B$18,"Confidence sub prag",IF(E422="REPLAY","Exemplu retrospectiv; exclus din Top LIVE",IF(Y422="PASS","DEFENSIV validat",IF(W422="OOS PENDING","Eligibil; calibrare linie in monitorizare","Eligibil"))))))))))</x:f>
      </x:c>
      <x:c r="AI422" s="2" t="str">
        <x:f>IF(B422="","",'Calibrare_Linii'!V16)</x:f>
      </x:c>
      <x:c r="AJ422" s="2" t="str">
        <x:f>IF(B422="","",IF(AND('Calibrare_Linii'!T16="VALIDATED",AND('Calibrare_Linii'!H16=C422,ISNUMBER('Calibrare_Linii'!J16),'Calibrare_Linii'!J16&lt;='Input_Meci'!G35)),"DEFENSIVE VALIDATED",IF(AND('Calibrare_Linii'!S16="VALIDATED",AND('Calibrare_Linii'!H16=C422,ISNUMBER('Calibrare_Linii'!J16),'Calibrare_Linii'!J16&lt;='Input_Meci'!G35)),"TAIL VALIDATED","OOS PENDING")))</x:f>
      </x:c>
      <x:c r="AK422" s="2" t="n">
        <x:f>IF(J422&lt;&gt;"PASS",0,'Motor_Meciuri'!BR35)</x:f>
        <x:v>0</x:v>
      </x:c>
      <x:c r="AL422" s="2" t="n">
        <x:f>IF(J422&lt;&gt;"PASS",0,'Motor_Meciuri'!BS35)</x:f>
        <x:v>0</x:v>
      </x:c>
      <x:c r="AM422" s="2" t="n">
        <x:f>IF(J422&lt;&gt;"PASS",0,'Motor_Meciuri'!BT35)</x:f>
        <x:v>0</x:v>
      </x:c>
      <x:c r="AN422" s="2" t="str">
        <x:f>IF(M422="","",MAX(0,'Motor_Meciuri'!BF35-IF(L422&gt;'Config_v6'!$B$12,'Config_v6'!$B$37,IF(L422&gt;'Config_v6'!$B$11,'Config_v6'!$B$36,0))))</x:f>
      </x:c>
    </x:row>
    <x:row r="423" ht="21" customHeight="1">
      <x:c r="A423" s="2" t="n">
        <x:v>30</x:v>
      </x:c>
      <x:c r="B423" s="2" t="str">
        <x:f>IF('Motor_Meciuri'!A35="","",'Motor_Meciuri'!A35)</x:f>
      </x:c>
      <x:c r="C423" s="2" t="str">
        <x:f>IF(B423="","",'Motor_Meciuri'!B35)</x:f>
      </x:c>
      <x:c r="D423" s="2" t="str">
        <x:f>IF(B423="","",'Motor_Meciuri'!D35)</x:f>
      </x:c>
      <x:c r="E423" s="2" t="str">
        <x:f>IF(B423="","",'Motor_Meciuri'!E35)</x:f>
      </x:c>
      <x:c r="F423" s="2" t="str">
        <x:v>U15,5</x:v>
      </x:c>
      <x:c r="G423" s="2" t="str">
        <x:v>UNDER</x:v>
      </x:c>
      <x:c r="H423" s="2" t="n">
        <x:v>15</x:v>
      </x:c>
      <x:c r="I423" s="2" t="str">
        <x:f>IF(B423="","",'Motor_Meciuri'!H35)</x:f>
      </x:c>
      <x:c r="J423" s="2" t="str">
        <x:f>IF(B423="","",'Motor_Meciuri'!I35)</x:f>
      </x:c>
      <x:c r="K423" s="11" t="str">
        <x:f>IF(J423&lt;&gt;"PASS","",'Motor_Meciuri'!BD35)</x:f>
      </x:c>
      <x:c r="L423" s="11" t="str">
        <x:f>IF(J423&lt;&gt;"PASS","",'Motor_Meciuri'!AU35)</x:f>
      </x:c>
      <x:c r="M423" s="10" t="str">
        <x:f>IF(NOT(AND(J423="PASS",'Calibrare_Linii'!U17="VALID")),"",'Distributie'!AM35)</x:f>
      </x:c>
      <x:c r="N423" s="10" t="str">
        <x:f>IF(M423="","",MAX(0.01,MIN(0.99,0.5+(M423-0.5)*'Motor_Meciuri'!BG35*'Calibrare_Linii'!D17)))</x:f>
      </x:c>
      <x:c r="O423" s="10" t="str">
        <x:f>IF(M423="","",1-M423)</x:f>
      </x:c>
      <x:c r="P423" s="10" t="str">
        <x:f>IF(OR(NOT(AND(J423="PASS",'Calibrare_Linii'!U17="VALID")),AK423=0),""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*('Istoric_Nativ'!$Q$6:$Q$405&gt;H423))/AK423)</x:f>
      </x:c>
      <x:c r="Q423" s="10" t="str">
        <x:f>IF(OR(NOT(AND(J423="PASS",'Calibrare_Linii'!U17="VALID")),AL423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M35)+((('Istoric_Nativ'!$E$6:$E$405='Input_Meci'!E35)+('Istoric_Nativ'!$F$6:$F$405='Input_Meci'!E35))&gt;0)*('Istoric_Nativ'!$D$6:$D$405&gt;='Motor_Meciuri'!BN35))&gt;0)*('Istoric_Nativ'!$Q$6:$Q$405&gt;H423))/AL423)</x:f>
      </x:c>
      <x:c r="R423" s="10" t="str">
        <x:f>IF(OR(NOT(AND(J423="PASS",'Calibrare_Linii'!U17="VALID")),AM423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O35)+((('Istoric_Nativ'!$E$6:$E$405='Input_Meci'!E35)+('Istoric_Nativ'!$F$6:$F$405='Input_Meci'!E35))&gt;0)*('Istoric_Nativ'!$D$6:$D$405&gt;='Motor_Meciuri'!BP35))&gt;0)*('Istoric_Nativ'!$Q$6:$Q$405&gt;H423))/AM423)</x:f>
      </x:c>
      <x:c r="S423" s="10" t="str">
        <x:f>IF(M423="","",MAX(O423,P423,Q423,R423))</x:f>
      </x:c>
      <x:c r="T423" s="11" t="str">
        <x:f>IF(M423="","",MIN(100,S423*100*'Config_v6'!$B$44+MIN(100,L423/'Config_v6'!$B$13*100)*'Config_v6'!$B$45+(100-'Motor_Meciuri'!BF35)*'Config_v6'!$B$46+'Motor_Meciuri'!BH35*100*'Config_v6'!$B$47))</x:f>
      </x:c>
      <x:c r="U423" s="2" t="str">
        <x:f>IF(T423="","",IF(T423&lt;=20,1,IF(T423&lt;=40,2,IF(T423&lt;=60,3,IF(T423&lt;=80,4,5)))))</x:f>
      </x:c>
      <x:c r="V423" s="2" t="str">
        <x:f>IF(M423="","",MAX(0,'Motor_Meciuri'!BF35-IF(W423="OOS PENDING",'Config_v6'!$B$35,0)-IF(L423&gt;'Config_v6'!$B$12,'Config_v6'!$B$37,IF(L423&gt;'Config_v6'!$B$11,'Config_v6'!$B$36,0))))</x:f>
      </x:c>
      <x:c r="W423" s="2" t="str">
        <x:f>IF(B423="","",IF(I423&lt;&gt;"READY","NOT RELEASED",IF(NOT(AND(J423="PASS",'Calibrare_Linii'!U17="VALID")),"INVALID",IF(NOT(AND('Calibrare_Linii'!S17="VALIDATED",AND('Calibrare_Linii'!H17=C423,ISNUMBER('Calibrare_Linii'!J17),'Calibrare_Linii'!J17&lt;='Input_Meci'!G35))),"OOS PENDING",IF(S423&lt;='Calibrare_Linii'!E17,"PASS",IF(S423&lt;='Calibrare_Linii'!F17,"PENALTY","WATCH"))))))</x:f>
      </x:c>
      <x:c r="X423" s="2" t="str">
        <x:f>IF(M423="","",IF(AND(AND(J423="PASS",'Calibrare_Linii'!U17="VALID"),'Motor_Meciuri'!K35=12,'Motor_Meciuri'!L35=12,'Motor_Meciuri'!M35="NO",'Motor_Meciuri'!BL35='Motor_Meciuri'!C35,AB423&gt;='Config_v6'!$B$50,AN423&gt;='Config_v6'!$B$51,T423&lt;='Config_v6'!$B$52,L423&lt;='Config_v6'!$B$53,ISNUMBER('Calibrare_Linii'!E17),S423&lt;='Calibrare_Linii'!E17,SUM(AK423:AM423)&gt;0),"CANDIDATE","NO"))</x:f>
      </x:c>
      <x:c r="Y423" s="2" t="str">
        <x:f>IF(B423="","",IF(I423&lt;&gt;"READY","NOT RELEASED",IF(AND(X423="CANDIDATE",V423&gt;='Config_v6'!$B$51,W423="PASS",'Calibrare_Linii'!T17="VALIDATED",AND('Calibrare_Linii'!H17=C423,ISNUMBER('Calibrare_Linii'!J17),'Calibrare_Linii'!J17&lt;='Input_Meci'!G35)),"PASS",IF(X423="CANDIDATE","OOS PENDING","FAIL"))))</x:f>
      </x:c>
      <x:c r="Z423" s="2" t="str">
        <x:f>IF(B423="","",IF(I423&lt;&gt;"READY","",IF(OR(NOT(AND(J423="PASS",'Calibrare_Linii'!U17="VALID")),L423&gt;'Config_v6'!$B$13,W423="WATCH"),5,IF(Y423="PASS",1,MIN(5,MAX('Config_v6'!$B$42,U423)+IF(W423="PENALTY",1,0))))))</x:f>
      </x:c>
      <x:c r="AA423" s="2" t="str">
        <x:f>IF(B423="","",IF(I423&lt;&gt;"READY","NOT RELEASED",IF(Z423=5,"NO BET",IF(OR(AB423&lt;'Config_v6'!$B$16,V423&lt;'Config_v6'!$B$18),"WATCH",IF(Z423=1,"DEFENSIV",IF(Z423=2,"PRUDENT",IF(Z423=3,"MODERAT","RIDICAT")))))))</x:f>
      </x:c>
      <x:c r="AB423" s="10" t="str">
        <x:f>IF(N423="","",MIN(N423,1-S423))</x:f>
      </x:c>
      <x:c r="AC423" s="2" t="str">
        <x:f>IF(AD423&lt;&gt;1,"",COUNTIFS($Z$412:$Z$425,"&lt;"&amp;Z423,$AD$412:$AD$425,1)+COUNTIFS($Z$412:$Z$425,Z423,$AB$412:$AB$425,"&gt;"&amp;AB423,$AD$412:$AD$425,1)+COUNTIFS($Z$412:$Z$425,Z423,$AB$412:$AB$425,AB423,$V$412:$V$425,"&gt;"&amp;V423,$AD$412:$AD$425,1)+COUNTIFS($Z$412:Z423,Z423,$AB$412:AB423,AB423,$V$412:V423,V423,$AD$412:AD423,1))</x:f>
      </x:c>
      <x:c r="AD423" s="2" t="n">
        <x:f>IF(OR(AA423="DEFENSIV",AA423="PRUDENT",AA423="MODERAT",AA423="RIDICAT"),1,0)</x:f>
        <x:v>0</x:v>
      </x:c>
      <x:c r="AE423" s="2" t="str">
        <x:f>IF(AD423&lt;&gt;1,"NO",IF(W423="PASS","YES",IF(W423="OOS PENDING","CONDITIONAL","NO")))</x:f>
        <x:v>NO</x:v>
      </x:c>
      <x:c r="AF423" s="2" t="n">
        <x:f>IF(AND(AD423=1,AC423=1,E423="LIVE"),1,0)</x:f>
        <x:v>0</x:v>
      </x:c>
      <x:c r="AG423" s="2" t="str">
        <x:f>IF(AF423&lt;&gt;1,"",'Dashboard'!P55)</x:f>
      </x:c>
      <x:c r="AH423" s="2" t="str">
        <x:f>IF(B423="","",IF(J423&lt;&gt;"PASS",'Motor_Meciuri'!J35,IF('Calibrare_Linii'!U17&lt;&gt;"VALID","Parametri linie invalizi",IF(L423&gt;'Config_v6'!$B$13,"Dispersie peste limita",IF(W423="WATCH","Failure peste limita",IF(AB423&lt;'Config_v6'!$B$16,"P finala sub prag",IF(V423&lt;'Config_v6'!$B$18,"Confidence sub prag",IF(E423="REPLAY","Exemplu retrospectiv; exclus din Top LIVE",IF(Y423="PASS","DEFENSIV validat",IF(W423="OOS PENDING","Eligibil; calibrare linie in monitorizare","Eligibil"))))))))))</x:f>
      </x:c>
      <x:c r="AI423" s="2" t="str">
        <x:f>IF(B423="","",'Calibrare_Linii'!V17)</x:f>
      </x:c>
      <x:c r="AJ423" s="2" t="str">
        <x:f>IF(B423="","",IF(AND('Calibrare_Linii'!T17="VALIDATED",AND('Calibrare_Linii'!H17=C423,ISNUMBER('Calibrare_Linii'!J17),'Calibrare_Linii'!J17&lt;='Input_Meci'!G35)),"DEFENSIVE VALIDATED",IF(AND('Calibrare_Linii'!S17="VALIDATED",AND('Calibrare_Linii'!H17=C423,ISNUMBER('Calibrare_Linii'!J17),'Calibrare_Linii'!J17&lt;='Input_Meci'!G35)),"TAIL VALIDATED","OOS PENDING")))</x:f>
      </x:c>
      <x:c r="AK423" s="2" t="n">
        <x:f>IF(J423&lt;&gt;"PASS",0,'Motor_Meciuri'!BR35)</x:f>
        <x:v>0</x:v>
      </x:c>
      <x:c r="AL423" s="2" t="n">
        <x:f>IF(J423&lt;&gt;"PASS",0,'Motor_Meciuri'!BS35)</x:f>
        <x:v>0</x:v>
      </x:c>
      <x:c r="AM423" s="2" t="n">
        <x:f>IF(J423&lt;&gt;"PASS",0,'Motor_Meciuri'!BT35)</x:f>
        <x:v>0</x:v>
      </x:c>
      <x:c r="AN423" s="2" t="str">
        <x:f>IF(M423="","",MAX(0,'Motor_Meciuri'!BF35-IF(L423&gt;'Config_v6'!$B$12,'Config_v6'!$B$37,IF(L423&gt;'Config_v6'!$B$11,'Config_v6'!$B$36,0))))</x:f>
      </x:c>
    </x:row>
    <x:row r="424" ht="21" customHeight="1">
      <x:c r="A424" s="2" t="n">
        <x:v>30</x:v>
      </x:c>
      <x:c r="B424" s="2" t="str">
        <x:f>IF('Motor_Meciuri'!A35="","",'Motor_Meciuri'!A35)</x:f>
      </x:c>
      <x:c r="C424" s="2" t="str">
        <x:f>IF(B424="","",'Motor_Meciuri'!B35)</x:f>
      </x:c>
      <x:c r="D424" s="2" t="str">
        <x:f>IF(B424="","",'Motor_Meciuri'!D35)</x:f>
      </x:c>
      <x:c r="E424" s="2" t="str">
        <x:f>IF(B424="","",'Motor_Meciuri'!E35)</x:f>
      </x:c>
      <x:c r="F424" s="2" t="str">
        <x:v>U16,5</x:v>
      </x:c>
      <x:c r="G424" s="2" t="str">
        <x:v>UNDER</x:v>
      </x:c>
      <x:c r="H424" s="2" t="n">
        <x:v>16</x:v>
      </x:c>
      <x:c r="I424" s="2" t="str">
        <x:f>IF(B424="","",'Motor_Meciuri'!H35)</x:f>
      </x:c>
      <x:c r="J424" s="2" t="str">
        <x:f>IF(B424="","",'Motor_Meciuri'!I35)</x:f>
      </x:c>
      <x:c r="K424" s="11" t="str">
        <x:f>IF(J424&lt;&gt;"PASS","",'Motor_Meciuri'!BD35)</x:f>
      </x:c>
      <x:c r="L424" s="11" t="str">
        <x:f>IF(J424&lt;&gt;"PASS","",'Motor_Meciuri'!AU35)</x:f>
      </x:c>
      <x:c r="M424" s="10" t="str">
        <x:f>IF(NOT(AND(J424="PASS",'Calibrare_Linii'!U18="VALID")),"",'Distributie'!AN35)</x:f>
      </x:c>
      <x:c r="N424" s="10" t="str">
        <x:f>IF(M424="","",MAX(0.01,MIN(0.99,0.5+(M424-0.5)*'Motor_Meciuri'!BG35*'Calibrare_Linii'!D18)))</x:f>
      </x:c>
      <x:c r="O424" s="10" t="str">
        <x:f>IF(M424="","",1-M424)</x:f>
      </x:c>
      <x:c r="P424" s="10" t="str">
        <x:f>IF(OR(NOT(AND(J424="PASS",'Calibrare_Linii'!U18="VALID")),AK424=0),""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*('Istoric_Nativ'!$Q$6:$Q$405&gt;H424))/AK424)</x:f>
      </x:c>
      <x:c r="Q424" s="10" t="str">
        <x:f>IF(OR(NOT(AND(J424="PASS",'Calibrare_Linii'!U18="VALID")),AL424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M35)+((('Istoric_Nativ'!$E$6:$E$405='Input_Meci'!E35)+('Istoric_Nativ'!$F$6:$F$405='Input_Meci'!E35))&gt;0)*('Istoric_Nativ'!$D$6:$D$405&gt;='Motor_Meciuri'!BN35))&gt;0)*('Istoric_Nativ'!$Q$6:$Q$405&gt;H424))/AL424)</x:f>
      </x:c>
      <x:c r="R424" s="10" t="str">
        <x:f>IF(OR(NOT(AND(J424="PASS",'Calibrare_Linii'!U18="VALID")),AM424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O35)+((('Istoric_Nativ'!$E$6:$E$405='Input_Meci'!E35)+('Istoric_Nativ'!$F$6:$F$405='Input_Meci'!E35))&gt;0)*('Istoric_Nativ'!$D$6:$D$405&gt;='Motor_Meciuri'!BP35))&gt;0)*('Istoric_Nativ'!$Q$6:$Q$405&gt;H424))/AM424)</x:f>
      </x:c>
      <x:c r="S424" s="10" t="str">
        <x:f>IF(M424="","",MAX(O424,P424,Q424,R424))</x:f>
      </x:c>
      <x:c r="T424" s="11" t="str">
        <x:f>IF(M424="","",MIN(100,S424*100*'Config_v6'!$B$44+MIN(100,L424/'Config_v6'!$B$13*100)*'Config_v6'!$B$45+(100-'Motor_Meciuri'!BF35)*'Config_v6'!$B$46+'Motor_Meciuri'!BH35*100*'Config_v6'!$B$47))</x:f>
      </x:c>
      <x:c r="U424" s="2" t="str">
        <x:f>IF(T424="","",IF(T424&lt;=20,1,IF(T424&lt;=40,2,IF(T424&lt;=60,3,IF(T424&lt;=80,4,5)))))</x:f>
      </x:c>
      <x:c r="V424" s="2" t="str">
        <x:f>IF(M424="","",MAX(0,'Motor_Meciuri'!BF35-IF(W424="OOS PENDING",'Config_v6'!$B$35,0)-IF(L424&gt;'Config_v6'!$B$12,'Config_v6'!$B$37,IF(L424&gt;'Config_v6'!$B$11,'Config_v6'!$B$36,0))))</x:f>
      </x:c>
      <x:c r="W424" s="2" t="str">
        <x:f>IF(B424="","",IF(I424&lt;&gt;"READY","NOT RELEASED",IF(NOT(AND(J424="PASS",'Calibrare_Linii'!U18="VALID")),"INVALID",IF(NOT(AND('Calibrare_Linii'!S18="VALIDATED",AND('Calibrare_Linii'!H18=C424,ISNUMBER('Calibrare_Linii'!J18),'Calibrare_Linii'!J18&lt;='Input_Meci'!G35))),"OOS PENDING",IF(S424&lt;='Calibrare_Linii'!E18,"PASS",IF(S424&lt;='Calibrare_Linii'!F18,"PENALTY","WATCH"))))))</x:f>
      </x:c>
      <x:c r="X424" s="2" t="str">
        <x:f>IF(M424="","",IF(AND(AND(J424="PASS",'Calibrare_Linii'!U18="VALID"),'Motor_Meciuri'!K35=12,'Motor_Meciuri'!L35=12,'Motor_Meciuri'!M35="NO",'Motor_Meciuri'!BL35='Motor_Meciuri'!C35,AB424&gt;='Config_v6'!$B$50,AN424&gt;='Config_v6'!$B$51,T424&lt;='Config_v6'!$B$52,L424&lt;='Config_v6'!$B$53,ISNUMBER('Calibrare_Linii'!E18),S424&lt;='Calibrare_Linii'!E18,SUM(AK424:AM424)&gt;0),"CANDIDATE","NO"))</x:f>
      </x:c>
      <x:c r="Y424" s="2" t="str">
        <x:f>IF(B424="","",IF(I424&lt;&gt;"READY","NOT RELEASED",IF(AND(X424="CANDIDATE",V424&gt;='Config_v6'!$B$51,W424="PASS",'Calibrare_Linii'!T18="VALIDATED",AND('Calibrare_Linii'!H18=C424,ISNUMBER('Calibrare_Linii'!J18),'Calibrare_Linii'!J18&lt;='Input_Meci'!G35)),"PASS",IF(X424="CANDIDATE","OOS PENDING","FAIL"))))</x:f>
      </x:c>
      <x:c r="Z424" s="2" t="str">
        <x:f>IF(B424="","",IF(I424&lt;&gt;"READY","",IF(OR(NOT(AND(J424="PASS",'Calibrare_Linii'!U18="VALID")),L424&gt;'Config_v6'!$B$13,W424="WATCH"),5,IF(Y424="PASS",1,MIN(5,MAX('Config_v6'!$B$42,U424)+IF(W424="PENALTY",1,0))))))</x:f>
      </x:c>
      <x:c r="AA424" s="2" t="str">
        <x:f>IF(B424="","",IF(I424&lt;&gt;"READY","NOT RELEASED",IF(Z424=5,"NO BET",IF(OR(AB424&lt;'Config_v6'!$B$16,V424&lt;'Config_v6'!$B$18),"WATCH",IF(Z424=1,"DEFENSIV",IF(Z424=2,"PRUDENT",IF(Z424=3,"MODERAT","RIDICAT")))))))</x:f>
      </x:c>
      <x:c r="AB424" s="10" t="str">
        <x:f>IF(N424="","",MIN(N424,1-S424))</x:f>
      </x:c>
      <x:c r="AC424" s="2" t="str">
        <x:f>IF(AD424&lt;&gt;1,"",COUNTIFS($Z$412:$Z$425,"&lt;"&amp;Z424,$AD$412:$AD$425,1)+COUNTIFS($Z$412:$Z$425,Z424,$AB$412:$AB$425,"&gt;"&amp;AB424,$AD$412:$AD$425,1)+COUNTIFS($Z$412:$Z$425,Z424,$AB$412:$AB$425,AB424,$V$412:$V$425,"&gt;"&amp;V424,$AD$412:$AD$425,1)+COUNTIFS($Z$412:Z424,Z424,$AB$412:AB424,AB424,$V$412:V424,V424,$AD$412:AD424,1))</x:f>
      </x:c>
      <x:c r="AD424" s="2" t="n">
        <x:f>IF(OR(AA424="DEFENSIV",AA424="PRUDENT",AA424="MODERAT",AA424="RIDICAT"),1,0)</x:f>
        <x:v>0</x:v>
      </x:c>
      <x:c r="AE424" s="2" t="str">
        <x:f>IF(AD424&lt;&gt;1,"NO",IF(W424="PASS","YES",IF(W424="OOS PENDING","CONDITIONAL","NO")))</x:f>
        <x:v>NO</x:v>
      </x:c>
      <x:c r="AF424" s="2" t="n">
        <x:f>IF(AND(AD424=1,AC424=1,E424="LIVE"),1,0)</x:f>
        <x:v>0</x:v>
      </x:c>
      <x:c r="AG424" s="2" t="str">
        <x:f>IF(AF424&lt;&gt;1,"",'Dashboard'!P55)</x:f>
      </x:c>
      <x:c r="AH424" s="2" t="str">
        <x:f>IF(B424="","",IF(J424&lt;&gt;"PASS",'Motor_Meciuri'!J35,IF('Calibrare_Linii'!U18&lt;&gt;"VALID","Parametri linie invalizi",IF(L424&gt;'Config_v6'!$B$13,"Dispersie peste limita",IF(W424="WATCH","Failure peste limita",IF(AB424&lt;'Config_v6'!$B$16,"P finala sub prag",IF(V424&lt;'Config_v6'!$B$18,"Confidence sub prag",IF(E424="REPLAY","Exemplu retrospectiv; exclus din Top LIVE",IF(Y424="PASS","DEFENSIV validat",IF(W424="OOS PENDING","Eligibil; calibrare linie in monitorizare","Eligibil"))))))))))</x:f>
      </x:c>
      <x:c r="AI424" s="2" t="str">
        <x:f>IF(B424="","",'Calibrare_Linii'!V18)</x:f>
      </x:c>
      <x:c r="AJ424" s="2" t="str">
        <x:f>IF(B424="","",IF(AND('Calibrare_Linii'!T18="VALIDATED",AND('Calibrare_Linii'!H18=C424,ISNUMBER('Calibrare_Linii'!J18),'Calibrare_Linii'!J18&lt;='Input_Meci'!G35)),"DEFENSIVE VALIDATED",IF(AND('Calibrare_Linii'!S18="VALIDATED",AND('Calibrare_Linii'!H18=C424,ISNUMBER('Calibrare_Linii'!J18),'Calibrare_Linii'!J18&lt;='Input_Meci'!G35)),"TAIL VALIDATED","OOS PENDING")))</x:f>
      </x:c>
      <x:c r="AK424" s="2" t="n">
        <x:f>IF(J424&lt;&gt;"PASS",0,'Motor_Meciuri'!BR35)</x:f>
        <x:v>0</x:v>
      </x:c>
      <x:c r="AL424" s="2" t="n">
        <x:f>IF(J424&lt;&gt;"PASS",0,'Motor_Meciuri'!BS35)</x:f>
        <x:v>0</x:v>
      </x:c>
      <x:c r="AM424" s="2" t="n">
        <x:f>IF(J424&lt;&gt;"PASS",0,'Motor_Meciuri'!BT35)</x:f>
        <x:v>0</x:v>
      </x:c>
      <x:c r="AN424" s="2" t="str">
        <x:f>IF(M424="","",MAX(0,'Motor_Meciuri'!BF35-IF(L424&gt;'Config_v6'!$B$12,'Config_v6'!$B$37,IF(L424&gt;'Config_v6'!$B$11,'Config_v6'!$B$36,0))))</x:f>
      </x:c>
    </x:row>
    <x:row r="425" ht="21" customHeight="1">
      <x:c r="A425" s="2" t="n">
        <x:v>30</x:v>
      </x:c>
      <x:c r="B425" s="2" t="str">
        <x:f>IF('Motor_Meciuri'!A35="","",'Motor_Meciuri'!A35)</x:f>
      </x:c>
      <x:c r="C425" s="2" t="str">
        <x:f>IF(B425="","",'Motor_Meciuri'!B35)</x:f>
      </x:c>
      <x:c r="D425" s="2" t="str">
        <x:f>IF(B425="","",'Motor_Meciuri'!D35)</x:f>
      </x:c>
      <x:c r="E425" s="2" t="str">
        <x:f>IF(B425="","",'Motor_Meciuri'!E35)</x:f>
      </x:c>
      <x:c r="F425" s="2" t="str">
        <x:v>U17,5</x:v>
      </x:c>
      <x:c r="G425" s="2" t="str">
        <x:v>UNDER</x:v>
      </x:c>
      <x:c r="H425" s="2" t="n">
        <x:v>17</x:v>
      </x:c>
      <x:c r="I425" s="2" t="str">
        <x:f>IF(B425="","",'Motor_Meciuri'!H35)</x:f>
      </x:c>
      <x:c r="J425" s="2" t="str">
        <x:f>IF(B425="","",'Motor_Meciuri'!I35)</x:f>
      </x:c>
      <x:c r="K425" s="11" t="str">
        <x:f>IF(J425&lt;&gt;"PASS","",'Motor_Meciuri'!BD35)</x:f>
      </x:c>
      <x:c r="L425" s="11" t="str">
        <x:f>IF(J425&lt;&gt;"PASS","",'Motor_Meciuri'!AU35)</x:f>
      </x:c>
      <x:c r="M425" s="10" t="str">
        <x:f>IF(NOT(AND(J425="PASS",'Calibrare_Linii'!U19="VALID")),"",'Distributie'!AO35)</x:f>
      </x:c>
      <x:c r="N425" s="10" t="str">
        <x:f>IF(M425="","",MAX(0.01,MIN(0.99,0.5+(M425-0.5)*'Motor_Meciuri'!BG35*'Calibrare_Linii'!D19)))</x:f>
      </x:c>
      <x:c r="O425" s="10" t="str">
        <x:f>IF(M425="","",1-M425)</x:f>
      </x:c>
      <x:c r="P425" s="10" t="str">
        <x:f>IF(OR(NOT(AND(J425="PASS",'Calibrare_Linii'!U19="VALID")),AK425=0),""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*('Istoric_Nativ'!$Q$6:$Q$405&gt;H425))/AK425)</x:f>
      </x:c>
      <x:c r="Q425" s="10" t="str">
        <x:f>IF(OR(NOT(AND(J425="PASS",'Calibrare_Linii'!U19="VALID")),AL425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M35)+((('Istoric_Nativ'!$E$6:$E$405='Input_Meci'!E35)+('Istoric_Nativ'!$F$6:$F$405='Input_Meci'!E35))&gt;0)*('Istoric_Nativ'!$D$6:$D$405&gt;='Motor_Meciuri'!BN35))&gt;0)*('Istoric_Nativ'!$Q$6:$Q$405&gt;H425))/AL425)</x:f>
      </x:c>
      <x:c r="R425" s="10" t="str">
        <x:f>IF(OR(NOT(AND(J425="PASS",'Calibrare_Linii'!U19="VALID")),AM425=0),""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'Motor_Meciuri'!BO35)+((('Istoric_Nativ'!$E$6:$E$405='Input_Meci'!E35)+('Istoric_Nativ'!$F$6:$F$405='Input_Meci'!E35))&gt;0)*('Istoric_Nativ'!$D$6:$D$405&gt;='Motor_Meciuri'!BP35))&gt;0)*('Istoric_Nativ'!$Q$6:$Q$405&gt;H425))/AM425)</x:f>
      </x:c>
      <x:c r="S425" s="10" t="str">
        <x:f>IF(M425="","",MAX(O425,P425,Q425,R425))</x:f>
      </x:c>
      <x:c r="T425" s="11" t="str">
        <x:f>IF(M425="","",MIN(100,S425*100*'Config_v6'!$B$44+MIN(100,L425/'Config_v6'!$B$13*100)*'Config_v6'!$B$45+(100-'Motor_Meciuri'!BF35)*'Config_v6'!$B$46+'Motor_Meciuri'!BH35*100*'Config_v6'!$B$47))</x:f>
      </x:c>
      <x:c r="U425" s="2" t="str">
        <x:f>IF(T425="","",IF(T425&lt;=20,1,IF(T425&lt;=40,2,IF(T425&lt;=60,3,IF(T425&lt;=80,4,5)))))</x:f>
      </x:c>
      <x:c r="V425" s="2" t="str">
        <x:f>IF(M425="","",MAX(0,'Motor_Meciuri'!BF35-IF(W425="OOS PENDING",'Config_v6'!$B$35,0)-IF(L425&gt;'Config_v6'!$B$12,'Config_v6'!$B$37,IF(L425&gt;'Config_v6'!$B$11,'Config_v6'!$B$36,0))))</x:f>
      </x:c>
      <x:c r="W425" s="2" t="str">
        <x:f>IF(B425="","",IF(I425&lt;&gt;"READY","NOT RELEASED",IF(NOT(AND(J425="PASS",'Calibrare_Linii'!U19="VALID")),"INVALID",IF(NOT(AND('Calibrare_Linii'!S19="VALIDATED",AND('Calibrare_Linii'!H19=C425,ISNUMBER('Calibrare_Linii'!J19),'Calibrare_Linii'!J19&lt;='Input_Meci'!G35))),"OOS PENDING",IF(S425&lt;='Calibrare_Linii'!E19,"PASS",IF(S425&lt;='Calibrare_Linii'!F19,"PENALTY","WATCH"))))))</x:f>
      </x:c>
      <x:c r="X425" s="2" t="str">
        <x:f>IF(M425="","",IF(AND(AND(J425="PASS",'Calibrare_Linii'!U19="VALID"),'Motor_Meciuri'!K35=12,'Motor_Meciuri'!L35=12,'Motor_Meciuri'!M35="NO",'Motor_Meciuri'!BL35='Motor_Meciuri'!C35,AB425&gt;='Config_v6'!$B$50,AN425&gt;='Config_v6'!$B$51,T425&lt;='Config_v6'!$B$52,L425&lt;='Config_v6'!$B$53,ISNUMBER('Calibrare_Linii'!E19),S425&lt;='Calibrare_Linii'!E19,SUM(AK425:AM425)&gt;0),"CANDIDATE","NO"))</x:f>
      </x:c>
      <x:c r="Y425" s="2" t="str">
        <x:f>IF(B425="","",IF(I425&lt;&gt;"READY","NOT RELEASED",IF(AND(X425="CANDIDATE",V425&gt;='Config_v6'!$B$51,W425="PASS",'Calibrare_Linii'!T19="VALIDATED",AND('Calibrare_Linii'!H19=C425,ISNUMBER('Calibrare_Linii'!J19),'Calibrare_Linii'!J19&lt;='Input_Meci'!G35)),"PASS",IF(X425="CANDIDATE","OOS PENDING","FAIL"))))</x:f>
      </x:c>
      <x:c r="Z425" s="2" t="str">
        <x:f>IF(B425="","",IF(I425&lt;&gt;"READY","",IF(OR(NOT(AND(J425="PASS",'Calibrare_Linii'!U19="VALID")),L425&gt;'Config_v6'!$B$13,W425="WATCH"),5,IF(Y425="PASS",1,MIN(5,MAX('Config_v6'!$B$42,U425)+IF(W425="PENALTY",1,0))))))</x:f>
      </x:c>
      <x:c r="AA425" s="2" t="str">
        <x:f>IF(B425="","",IF(I425&lt;&gt;"READY","NOT RELEASED",IF(Z425=5,"NO BET",IF(OR(AB425&lt;'Config_v6'!$B$16,V425&lt;'Config_v6'!$B$18),"WATCH",IF(Z425=1,"DEFENSIV",IF(Z425=2,"PRUDENT",IF(Z425=3,"MODERAT","RIDICAT")))))))</x:f>
      </x:c>
      <x:c r="AB425" s="10" t="str">
        <x:f>IF(N425="","",MIN(N425,1-S425))</x:f>
      </x:c>
      <x:c r="AC425" s="2" t="str">
        <x:f>IF(AD425&lt;&gt;1,"",COUNTIFS($Z$412:$Z$425,"&lt;"&amp;Z425,$AD$412:$AD$425,1)+COUNTIFS($Z$412:$Z$425,Z425,$AB$412:$AB$425,"&gt;"&amp;AB425,$AD$412:$AD$425,1)+COUNTIFS($Z$412:$Z$425,Z425,$AB$412:$AB$425,AB425,$V$412:$V$425,"&gt;"&amp;V425,$AD$412:$AD$425,1)+COUNTIFS($Z$412:Z425,Z425,$AB$412:AB425,AB425,$V$412:V425,V425,$AD$412:AD425,1))</x:f>
      </x:c>
      <x:c r="AD425" s="2" t="n">
        <x:f>IF(OR(AA425="DEFENSIV",AA425="PRUDENT",AA425="MODERAT",AA425="RIDICAT"),1,0)</x:f>
        <x:v>0</x:v>
      </x:c>
      <x:c r="AE425" s="2" t="str">
        <x:f>IF(AD425&lt;&gt;1,"NO",IF(W425="PASS","YES",IF(W425="OOS PENDING","CONDITIONAL","NO")))</x:f>
        <x:v>NO</x:v>
      </x:c>
      <x:c r="AF425" s="2" t="n">
        <x:f>IF(AND(AD425=1,AC425=1,E425="LIVE"),1,0)</x:f>
        <x:v>0</x:v>
      </x:c>
      <x:c r="AG425" s="2" t="str">
        <x:f>IF(AF425&lt;&gt;1,"",'Dashboard'!P55)</x:f>
      </x:c>
      <x:c r="AH425" s="2" t="str">
        <x:f>IF(B425="","",IF(J425&lt;&gt;"PASS",'Motor_Meciuri'!J35,IF('Calibrare_Linii'!U19&lt;&gt;"VALID","Parametri linie invalizi",IF(L425&gt;'Config_v6'!$B$13,"Dispersie peste limita",IF(W425="WATCH","Failure peste limita",IF(AB425&lt;'Config_v6'!$B$16,"P finala sub prag",IF(V425&lt;'Config_v6'!$B$18,"Confidence sub prag",IF(E425="REPLAY","Exemplu retrospectiv; exclus din Top LIVE",IF(Y425="PASS","DEFENSIV validat",IF(W425="OOS PENDING","Eligibil; calibrare linie in monitorizare","Eligibil"))))))))))</x:f>
      </x:c>
      <x:c r="AI425" s="2" t="str">
        <x:f>IF(B425="","",'Calibrare_Linii'!V19)</x:f>
      </x:c>
      <x:c r="AJ425" s="2" t="str">
        <x:f>IF(B425="","",IF(AND('Calibrare_Linii'!T19="VALIDATED",AND('Calibrare_Linii'!H19=C425,ISNUMBER('Calibrare_Linii'!J19),'Calibrare_Linii'!J19&lt;='Input_Meci'!G35)),"DEFENSIVE VALIDATED",IF(AND('Calibrare_Linii'!S19="VALIDATED",AND('Calibrare_Linii'!H19=C425,ISNUMBER('Calibrare_Linii'!J19),'Calibrare_Linii'!J19&lt;='Input_Meci'!G35)),"TAIL VALIDATED","OOS PENDING")))</x:f>
      </x:c>
      <x:c r="AK425" s="2" t="n">
        <x:f>IF(J425&lt;&gt;"PASS",0,'Motor_Meciuri'!BR35)</x:f>
        <x:v>0</x:v>
      </x:c>
      <x:c r="AL425" s="2" t="n">
        <x:f>IF(J425&lt;&gt;"PASS",0,'Motor_Meciuri'!BS35)</x:f>
        <x:v>0</x:v>
      </x:c>
      <x:c r="AM425" s="2" t="n">
        <x:f>IF(J425&lt;&gt;"PASS",0,'Motor_Meciuri'!BT35)</x:f>
        <x:v>0</x:v>
      </x:c>
      <x:c r="AN425" s="2" t="str">
        <x:f>IF(M425="","",MAX(0,'Motor_Meciuri'!BF35-IF(L425&gt;'Config_v6'!$B$12,'Config_v6'!$B$37,IF(L425&gt;'Config_v6'!$B$11,'Config_v6'!$B$36,0))))</x:f>
      </x:c>
    </x:row>
    <x:row r="426" ht="21" customHeight="1">
      <x:c r="A426" s="2" t="n">
        <x:v>31</x:v>
      </x:c>
      <x:c r="B426" s="2" t="str">
        <x:f>IF('Motor_Meciuri'!A36="","",'Motor_Meciuri'!A36)</x:f>
      </x:c>
      <x:c r="C426" s="2" t="str">
        <x:f>IF(B426="","",'Motor_Meciuri'!B36)</x:f>
      </x:c>
      <x:c r="D426" s="2" t="str">
        <x:f>IF(B426="","",'Motor_Meciuri'!D36)</x:f>
      </x:c>
      <x:c r="E426" s="2" t="str">
        <x:f>IF(B426="","",'Motor_Meciuri'!E36)</x:f>
      </x:c>
      <x:c r="F426" s="2" t="str">
        <x:v>O3,5</x:v>
      </x:c>
      <x:c r="G426" s="2" t="str">
        <x:v>OVER</x:v>
      </x:c>
      <x:c r="H426" s="2" t="n">
        <x:v>3</x:v>
      </x:c>
      <x:c r="I426" s="2" t="str">
        <x:f>IF(B426="","",'Motor_Meciuri'!H36)</x:f>
      </x:c>
      <x:c r="J426" s="2" t="str">
        <x:f>IF(B426="","",'Motor_Meciuri'!I36)</x:f>
      </x:c>
      <x:c r="K426" s="11" t="str">
        <x:f>IF(J426&lt;&gt;"PASS","",'Motor_Meciuri'!BD36)</x:f>
      </x:c>
      <x:c r="L426" s="11" t="str">
        <x:f>IF(J426&lt;&gt;"PASS","",'Motor_Meciuri'!AU36)</x:f>
      </x:c>
      <x:c r="M426" s="10" t="str">
        <x:f>IF(NOT(AND(J426="PASS",'Calibrare_Linii'!U6="VALID")),"",1-'Distributie'!AA36)</x:f>
      </x:c>
      <x:c r="N426" s="10" t="str">
        <x:f>IF(M426="","",MAX(0.01,MIN(0.99,0.5+(M426-0.5)*'Motor_Meciuri'!BG36*'Calibrare_Linii'!D6)))</x:f>
      </x:c>
      <x:c r="O426" s="10" t="str">
        <x:f>IF(M426="","",1-M426)</x:f>
      </x:c>
      <x:c r="P426" s="10" t="str">
        <x:f>IF(OR(NOT(AND(J426="PASS",'Calibrare_Linii'!U6="VALID")),AK426=0),""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*('Istoric_Nativ'!$Q$6:$Q$405&lt;=H426))/AK426)</x:f>
      </x:c>
      <x:c r="Q426" s="10" t="str">
        <x:f>IF(OR(NOT(AND(J426="PASS",'Calibrare_Linii'!U6="VALID")),AL426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M36)+((('Istoric_Nativ'!$E$6:$E$405='Input_Meci'!E36)+('Istoric_Nativ'!$F$6:$F$405='Input_Meci'!E36))&gt;0)*('Istoric_Nativ'!$D$6:$D$405&gt;='Motor_Meciuri'!BN36))&gt;0)*('Istoric_Nativ'!$Q$6:$Q$405&lt;=H426))/AL426)</x:f>
      </x:c>
      <x:c r="R426" s="10" t="str">
        <x:f>IF(OR(NOT(AND(J426="PASS",'Calibrare_Linii'!U6="VALID")),AM426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O36)+((('Istoric_Nativ'!$E$6:$E$405='Input_Meci'!E36)+('Istoric_Nativ'!$F$6:$F$405='Input_Meci'!E36))&gt;0)*('Istoric_Nativ'!$D$6:$D$405&gt;='Motor_Meciuri'!BP36))&gt;0)*('Istoric_Nativ'!$Q$6:$Q$405&lt;=H426))/AM426)</x:f>
      </x:c>
      <x:c r="S426" s="10" t="str">
        <x:f>IF(M426="","",MAX(O426,P426,Q426,R426))</x:f>
      </x:c>
      <x:c r="T426" s="11" t="str">
        <x:f>IF(M426="","",MIN(100,S426*100*'Config_v6'!$B$44+MIN(100,L426/'Config_v6'!$B$13*100)*'Config_v6'!$B$45+(100-'Motor_Meciuri'!BF36)*'Config_v6'!$B$46+'Motor_Meciuri'!BH36*100*'Config_v6'!$B$47))</x:f>
      </x:c>
      <x:c r="U426" s="2" t="str">
        <x:f>IF(T426="","",IF(T426&lt;=20,1,IF(T426&lt;=40,2,IF(T426&lt;=60,3,IF(T426&lt;=80,4,5)))))</x:f>
      </x:c>
      <x:c r="V426" s="2" t="str">
        <x:f>IF(M426="","",MAX(0,'Motor_Meciuri'!BF36-IF(W426="OOS PENDING",'Config_v6'!$B$35,0)-IF(L426&gt;'Config_v6'!$B$12,'Config_v6'!$B$37,IF(L426&gt;'Config_v6'!$B$11,'Config_v6'!$B$36,0))))</x:f>
      </x:c>
      <x:c r="W426" s="2" t="str">
        <x:f>IF(B426="","",IF(I426&lt;&gt;"READY","NOT RELEASED",IF(NOT(AND(J426="PASS",'Calibrare_Linii'!U6="VALID")),"INVALID",IF(NOT(TRUE),"OOS PENDING",IF(S426&lt;=IF(AND('Calibrare_Linii'!S6="VALIDATED",AND('Calibrare_Linii'!H6=C426,ISNUMBER('Calibrare_Linii'!J6),'Calibrare_Linii'!J6&lt;='Input_Meci'!G36)),'Calibrare_Linii'!E6,'Config_v6'!$B$26),"PASS",IF(S426&lt;=IF(AND('Calibrare_Linii'!S6="VALIDATED",AND('Calibrare_Linii'!H6=C426,ISNUMBER('Calibrare_Linii'!J6),'Calibrare_Linii'!J6&lt;='Input_Meci'!G36)),'Calibrare_Linii'!F6,'Config_v6'!$C$26),"PENALTY","WATCH"))))))</x:f>
      </x:c>
      <x:c r="X426" s="2" t="str">
        <x:f>IF(M426="","",IF(AND(AND(J426="PASS",'Calibrare_Linii'!U6="VALID"),'Motor_Meciuri'!K36=12,'Motor_Meciuri'!L36=12,'Motor_Meciuri'!M36="NO",'Motor_Meciuri'!BL36='Motor_Meciuri'!C36,AB426&gt;='Config_v6'!$B$50,AN426&gt;='Config_v6'!$B$51,T426&lt;='Config_v6'!$B$52,L426&lt;='Config_v6'!$B$53,ISNUMBER('Calibrare_Linii'!E6),S426&lt;='Calibrare_Linii'!E6,SUM(AK426:AM426)&gt;0),"CANDIDATE","NO"))</x:f>
      </x:c>
      <x:c r="Y426" s="2" t="str">
        <x:f>IF(B426="","",IF(I426&lt;&gt;"READY","NOT RELEASED",IF(AND(X426="CANDIDATE",V426&gt;='Config_v6'!$B$51,W426="PASS",'Calibrare_Linii'!T6="VALIDATED",AND('Calibrare_Linii'!H6=C426,ISNUMBER('Calibrare_Linii'!J6),'Calibrare_Linii'!J6&lt;='Input_Meci'!G36)),"PASS",IF(X426="CANDIDATE","OOS PENDING","FAIL"))))</x:f>
      </x:c>
      <x:c r="Z426" s="2" t="str">
        <x:f>IF(B426="","",IF(I426&lt;&gt;"READY","",IF(OR(NOT(AND(J426="PASS",'Calibrare_Linii'!U6="VALID")),L426&gt;'Config_v6'!$B$13,W426="WATCH"),5,IF(Y426="PASS",1,MIN(5,MAX('Config_v6'!$B$42,U426)+IF(W426="PENALTY",1,0))))))</x:f>
      </x:c>
      <x:c r="AA426" s="2" t="str">
        <x:f>IF(B426="","",IF(I426&lt;&gt;"READY","NOT RELEASED",IF(Z426=5,"NO BET",IF(OR(AB426&lt;'Config_v6'!$B$16,V426&lt;'Config_v6'!$B$18),"WATCH",IF(Z426=1,"DEFENSIV",IF(Z426=2,"PRUDENT",IF(Z426=3,"MODERAT","RIDICAT")))))))</x:f>
      </x:c>
      <x:c r="AB426" s="10" t="str">
        <x:f>IF(N426="","",MIN(N426,1-S426))</x:f>
      </x:c>
      <x:c r="AC426" s="2" t="str">
        <x:f>IF(AD426&lt;&gt;1,"",COUNTIFS($Z$426:$Z$439,"&lt;"&amp;Z426,$AD$426:$AD$439,1)+COUNTIFS($Z$426:$Z$439,Z426,$AB$426:$AB$439,"&gt;"&amp;AB426,$AD$426:$AD$439,1)+COUNTIFS($Z$426:$Z$439,Z426,$AB$426:$AB$439,AB426,$V$426:$V$439,"&gt;"&amp;V426,$AD$426:$AD$439,1)+COUNTIFS($Z$426:Z426,Z426,$AB$426:AB426,AB426,$V$426:V426,V426,$AD$426:AD426,1))</x:f>
      </x:c>
      <x:c r="AD426" s="2" t="n">
        <x:f>IF(OR(AA426="DEFENSIV",AA426="PRUDENT",AA426="MODERAT",AA426="RIDICAT"),1,0)</x:f>
        <x:v>0</x:v>
      </x:c>
      <x:c r="AE426" s="2" t="str">
        <x:f>IF(AD426&lt;&gt;1,"NO",IF(W426="PASS","YES",IF(W426="OOS PENDING","CONDITIONAL","NO")))</x:f>
        <x:v>NO</x:v>
      </x:c>
      <x:c r="AF426" s="2" t="n">
        <x:f>IF(AND(AD426=1,AC426=1,E426="LIVE"),1,0)</x:f>
        <x:v>0</x:v>
      </x:c>
      <x:c r="AG426" s="2" t="str">
        <x:f>IF(AF426&lt;&gt;1,"",'Dashboard'!P56)</x:f>
      </x:c>
      <x:c r="AH426" s="2" t="str">
        <x:f>IF(B426="","",IF(J426&lt;&gt;"PASS",'Motor_Meciuri'!J36,IF('Calibrare_Linii'!U6&lt;&gt;"VALID","Parametri linie invalizi",IF(L426&gt;'Config_v6'!$B$13,"Dispersie peste limita",IF(W426="WATCH","Failure peste limita",IF(AB426&lt;'Config_v6'!$B$16,"P finala sub prag",IF(V426&lt;'Config_v6'!$B$18,"Confidence sub prag",IF(E426="REPLAY","Exemplu retrospectiv; exclus din Top LIVE",IF(Y426="PASS","DEFENSIV validat",IF(W426="OOS PENDING","Eligibil; calibrare linie in monitorizare","Eligibil"))))))))))</x:f>
      </x:c>
      <x:c r="AI426" s="2" t="str">
        <x:f>IF(B426="","",'Calibrare_Linii'!V6)</x:f>
      </x:c>
      <x:c r="AJ426" s="2" t="str">
        <x:f>IF(B426="","",IF(AND('Calibrare_Linii'!T6="VALIDATED",AND('Calibrare_Linii'!H6=C426,ISNUMBER('Calibrare_Linii'!J6),'Calibrare_Linii'!J6&lt;='Input_Meci'!G36)),"DEFENSIVE VALIDATED",IF(AND('Calibrare_Linii'!S6="VALIDATED",AND('Calibrare_Linii'!H6=C426,ISNUMBER('Calibrare_Linii'!J6),'Calibrare_Linii'!J6&lt;='Input_Meci'!G36)),"TAIL VALIDATED","OOS PENDING")))</x:f>
      </x:c>
      <x:c r="AK426" s="2" t="n">
        <x:f>IF(J426&lt;&gt;"PASS",0,'Motor_Meciuri'!BR36)</x:f>
        <x:v>0</x:v>
      </x:c>
      <x:c r="AL426" s="2" t="n">
        <x:f>IF(J426&lt;&gt;"PASS",0,'Motor_Meciuri'!BS36)</x:f>
        <x:v>0</x:v>
      </x:c>
      <x:c r="AM426" s="2" t="n">
        <x:f>IF(J426&lt;&gt;"PASS",0,'Motor_Meciuri'!BT36)</x:f>
        <x:v>0</x:v>
      </x:c>
      <x:c r="AN426" s="2" t="str">
        <x:f>IF(M426="","",MAX(0,'Motor_Meciuri'!BF36-IF(L426&gt;'Config_v6'!$B$12,'Config_v6'!$B$37,IF(L426&gt;'Config_v6'!$B$11,'Config_v6'!$B$36,0))))</x:f>
      </x:c>
    </x:row>
    <x:row r="427" ht="21" customHeight="1">
      <x:c r="A427" s="2" t="n">
        <x:v>31</x:v>
      </x:c>
      <x:c r="B427" s="2" t="str">
        <x:f>IF('Motor_Meciuri'!A36="","",'Motor_Meciuri'!A36)</x:f>
      </x:c>
      <x:c r="C427" s="2" t="str">
        <x:f>IF(B427="","",'Motor_Meciuri'!B36)</x:f>
      </x:c>
      <x:c r="D427" s="2" t="str">
        <x:f>IF(B427="","",'Motor_Meciuri'!D36)</x:f>
      </x:c>
      <x:c r="E427" s="2" t="str">
        <x:f>IF(B427="","",'Motor_Meciuri'!E36)</x:f>
      </x:c>
      <x:c r="F427" s="2" t="str">
        <x:v>O4,5</x:v>
      </x:c>
      <x:c r="G427" s="2" t="str">
        <x:v>OVER</x:v>
      </x:c>
      <x:c r="H427" s="2" t="n">
        <x:v>4</x:v>
      </x:c>
      <x:c r="I427" s="2" t="str">
        <x:f>IF(B427="","",'Motor_Meciuri'!H36)</x:f>
      </x:c>
      <x:c r="J427" s="2" t="str">
        <x:f>IF(B427="","",'Motor_Meciuri'!I36)</x:f>
      </x:c>
      <x:c r="K427" s="11" t="str">
        <x:f>IF(J427&lt;&gt;"PASS","",'Motor_Meciuri'!BD36)</x:f>
      </x:c>
      <x:c r="L427" s="11" t="str">
        <x:f>IF(J427&lt;&gt;"PASS","",'Motor_Meciuri'!AU36)</x:f>
      </x:c>
      <x:c r="M427" s="10" t="str">
        <x:f>IF(NOT(AND(J427="PASS",'Calibrare_Linii'!U7="VALID")),"",1-'Distributie'!AB36)</x:f>
      </x:c>
      <x:c r="N427" s="10" t="str">
        <x:f>IF(M427="","",MAX(0.01,MIN(0.99,0.5+(M427-0.5)*'Motor_Meciuri'!BG36*'Calibrare_Linii'!D7)))</x:f>
      </x:c>
      <x:c r="O427" s="10" t="str">
        <x:f>IF(M427="","",1-M427)</x:f>
      </x:c>
      <x:c r="P427" s="10" t="str">
        <x:f>IF(OR(NOT(AND(J427="PASS",'Calibrare_Linii'!U7="VALID")),AK427=0),""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*('Istoric_Nativ'!$Q$6:$Q$405&lt;=H427))/AK427)</x:f>
      </x:c>
      <x:c r="Q427" s="10" t="str">
        <x:f>IF(OR(NOT(AND(J427="PASS",'Calibrare_Linii'!U7="VALID")),AL427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M36)+((('Istoric_Nativ'!$E$6:$E$405='Input_Meci'!E36)+('Istoric_Nativ'!$F$6:$F$405='Input_Meci'!E36))&gt;0)*('Istoric_Nativ'!$D$6:$D$405&gt;='Motor_Meciuri'!BN36))&gt;0)*('Istoric_Nativ'!$Q$6:$Q$405&lt;=H427))/AL427)</x:f>
      </x:c>
      <x:c r="R427" s="10" t="str">
        <x:f>IF(OR(NOT(AND(J427="PASS",'Calibrare_Linii'!U7="VALID")),AM427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O36)+((('Istoric_Nativ'!$E$6:$E$405='Input_Meci'!E36)+('Istoric_Nativ'!$F$6:$F$405='Input_Meci'!E36))&gt;0)*('Istoric_Nativ'!$D$6:$D$405&gt;='Motor_Meciuri'!BP36))&gt;0)*('Istoric_Nativ'!$Q$6:$Q$405&lt;=H427))/AM427)</x:f>
      </x:c>
      <x:c r="S427" s="10" t="str">
        <x:f>IF(M427="","",MAX(O427,P427,Q427,R427))</x:f>
      </x:c>
      <x:c r="T427" s="11" t="str">
        <x:f>IF(M427="","",MIN(100,S427*100*'Config_v6'!$B$44+MIN(100,L427/'Config_v6'!$B$13*100)*'Config_v6'!$B$45+(100-'Motor_Meciuri'!BF36)*'Config_v6'!$B$46+'Motor_Meciuri'!BH36*100*'Config_v6'!$B$47))</x:f>
      </x:c>
      <x:c r="U427" s="2" t="str">
        <x:f>IF(T427="","",IF(T427&lt;=20,1,IF(T427&lt;=40,2,IF(T427&lt;=60,3,IF(T427&lt;=80,4,5)))))</x:f>
      </x:c>
      <x:c r="V427" s="2" t="str">
        <x:f>IF(M427="","",MAX(0,'Motor_Meciuri'!BF36-IF(W427="OOS PENDING",'Config_v6'!$B$35,0)-IF(L427&gt;'Config_v6'!$B$12,'Config_v6'!$B$37,IF(L427&gt;'Config_v6'!$B$11,'Config_v6'!$B$36,0))))</x:f>
      </x:c>
      <x:c r="W427" s="2" t="str">
        <x:f>IF(B427="","",IF(I427&lt;&gt;"READY","NOT RELEASED",IF(NOT(AND(J427="PASS",'Calibrare_Linii'!U7="VALID")),"INVALID",IF(NOT(AND('Calibrare_Linii'!S7="VALIDATED",AND('Calibrare_Linii'!H7=C427,ISNUMBER('Calibrare_Linii'!J7),'Calibrare_Linii'!J7&lt;='Input_Meci'!G36))),"OOS PENDING",IF(S427&lt;='Calibrare_Linii'!E7,"PASS",IF(S427&lt;='Calibrare_Linii'!F7,"PENALTY","WATCH"))))))</x:f>
      </x:c>
      <x:c r="X427" s="2" t="str">
        <x:f>IF(M427="","",IF(AND(AND(J427="PASS",'Calibrare_Linii'!U7="VALID"),'Motor_Meciuri'!K36=12,'Motor_Meciuri'!L36=12,'Motor_Meciuri'!M36="NO",'Motor_Meciuri'!BL36='Motor_Meciuri'!C36,AB427&gt;='Config_v6'!$B$50,AN427&gt;='Config_v6'!$B$51,T427&lt;='Config_v6'!$B$52,L427&lt;='Config_v6'!$B$53,ISNUMBER('Calibrare_Linii'!E7),S427&lt;='Calibrare_Linii'!E7,SUM(AK427:AM427)&gt;0),"CANDIDATE","NO"))</x:f>
      </x:c>
      <x:c r="Y427" s="2" t="str">
        <x:f>IF(B427="","",IF(I427&lt;&gt;"READY","NOT RELEASED",IF(AND(X427="CANDIDATE",V427&gt;='Config_v6'!$B$51,W427="PASS",'Calibrare_Linii'!T7="VALIDATED",AND('Calibrare_Linii'!H7=C427,ISNUMBER('Calibrare_Linii'!J7),'Calibrare_Linii'!J7&lt;='Input_Meci'!G36)),"PASS",IF(X427="CANDIDATE","OOS PENDING","FAIL"))))</x:f>
      </x:c>
      <x:c r="Z427" s="2" t="str">
        <x:f>IF(B427="","",IF(I427&lt;&gt;"READY","",IF(OR(NOT(AND(J427="PASS",'Calibrare_Linii'!U7="VALID")),L427&gt;'Config_v6'!$B$13,W427="WATCH"),5,IF(Y427="PASS",1,MIN(5,MAX('Config_v6'!$B$42,U427)+IF(W427="PENALTY",1,0))))))</x:f>
      </x:c>
      <x:c r="AA427" s="2" t="str">
        <x:f>IF(B427="","",IF(I427&lt;&gt;"READY","NOT RELEASED",IF(Z427=5,"NO BET",IF(OR(AB427&lt;'Config_v6'!$B$16,V427&lt;'Config_v6'!$B$18),"WATCH",IF(Z427=1,"DEFENSIV",IF(Z427=2,"PRUDENT",IF(Z427=3,"MODERAT","RIDICAT")))))))</x:f>
      </x:c>
      <x:c r="AB427" s="10" t="str">
        <x:f>IF(N427="","",MIN(N427,1-S427))</x:f>
      </x:c>
      <x:c r="AC427" s="2" t="str">
        <x:f>IF(AD427&lt;&gt;1,"",COUNTIFS($Z$426:$Z$439,"&lt;"&amp;Z427,$AD$426:$AD$439,1)+COUNTIFS($Z$426:$Z$439,Z427,$AB$426:$AB$439,"&gt;"&amp;AB427,$AD$426:$AD$439,1)+COUNTIFS($Z$426:$Z$439,Z427,$AB$426:$AB$439,AB427,$V$426:$V$439,"&gt;"&amp;V427,$AD$426:$AD$439,1)+COUNTIFS($Z$426:Z427,Z427,$AB$426:AB427,AB427,$V$426:V427,V427,$AD$426:AD427,1))</x:f>
      </x:c>
      <x:c r="AD427" s="2" t="n">
        <x:f>IF(OR(AA427="DEFENSIV",AA427="PRUDENT",AA427="MODERAT",AA427="RIDICAT"),1,0)</x:f>
        <x:v>0</x:v>
      </x:c>
      <x:c r="AE427" s="2" t="str">
        <x:f>IF(AD427&lt;&gt;1,"NO",IF(W427="PASS","YES",IF(W427="OOS PENDING","CONDITIONAL","NO")))</x:f>
        <x:v>NO</x:v>
      </x:c>
      <x:c r="AF427" s="2" t="n">
        <x:f>IF(AND(AD427=1,AC427=1,E427="LIVE"),1,0)</x:f>
        <x:v>0</x:v>
      </x:c>
      <x:c r="AG427" s="2" t="str">
        <x:f>IF(AF427&lt;&gt;1,"",'Dashboard'!P56)</x:f>
      </x:c>
      <x:c r="AH427" s="2" t="str">
        <x:f>IF(B427="","",IF(J427&lt;&gt;"PASS",'Motor_Meciuri'!J36,IF('Calibrare_Linii'!U7&lt;&gt;"VALID","Parametri linie invalizi",IF(L427&gt;'Config_v6'!$B$13,"Dispersie peste limita",IF(W427="WATCH","Failure peste limita",IF(AB427&lt;'Config_v6'!$B$16,"P finala sub prag",IF(V427&lt;'Config_v6'!$B$18,"Confidence sub prag",IF(E427="REPLAY","Exemplu retrospectiv; exclus din Top LIVE",IF(Y427="PASS","DEFENSIV validat",IF(W427="OOS PENDING","Eligibil; calibrare linie in monitorizare","Eligibil"))))))))))</x:f>
      </x:c>
      <x:c r="AI427" s="2" t="str">
        <x:f>IF(B427="","",'Calibrare_Linii'!V7)</x:f>
      </x:c>
      <x:c r="AJ427" s="2" t="str">
        <x:f>IF(B427="","",IF(AND('Calibrare_Linii'!T7="VALIDATED",AND('Calibrare_Linii'!H7=C427,ISNUMBER('Calibrare_Linii'!J7),'Calibrare_Linii'!J7&lt;='Input_Meci'!G36)),"DEFENSIVE VALIDATED",IF(AND('Calibrare_Linii'!S7="VALIDATED",AND('Calibrare_Linii'!H7=C427,ISNUMBER('Calibrare_Linii'!J7),'Calibrare_Linii'!J7&lt;='Input_Meci'!G36)),"TAIL VALIDATED","OOS PENDING")))</x:f>
      </x:c>
      <x:c r="AK427" s="2" t="n">
        <x:f>IF(J427&lt;&gt;"PASS",0,'Motor_Meciuri'!BR36)</x:f>
        <x:v>0</x:v>
      </x:c>
      <x:c r="AL427" s="2" t="n">
        <x:f>IF(J427&lt;&gt;"PASS",0,'Motor_Meciuri'!BS36)</x:f>
        <x:v>0</x:v>
      </x:c>
      <x:c r="AM427" s="2" t="n">
        <x:f>IF(J427&lt;&gt;"PASS",0,'Motor_Meciuri'!BT36)</x:f>
        <x:v>0</x:v>
      </x:c>
      <x:c r="AN427" s="2" t="str">
        <x:f>IF(M427="","",MAX(0,'Motor_Meciuri'!BF36-IF(L427&gt;'Config_v6'!$B$12,'Config_v6'!$B$37,IF(L427&gt;'Config_v6'!$B$11,'Config_v6'!$B$36,0))))</x:f>
      </x:c>
    </x:row>
    <x:row r="428" ht="21" customHeight="1">
      <x:c r="A428" s="2" t="n">
        <x:v>31</x:v>
      </x:c>
      <x:c r="B428" s="2" t="str">
        <x:f>IF('Motor_Meciuri'!A36="","",'Motor_Meciuri'!A36)</x:f>
      </x:c>
      <x:c r="C428" s="2" t="str">
        <x:f>IF(B428="","",'Motor_Meciuri'!B36)</x:f>
      </x:c>
      <x:c r="D428" s="2" t="str">
        <x:f>IF(B428="","",'Motor_Meciuri'!D36)</x:f>
      </x:c>
      <x:c r="E428" s="2" t="str">
        <x:f>IF(B428="","",'Motor_Meciuri'!E36)</x:f>
      </x:c>
      <x:c r="F428" s="2" t="str">
        <x:v>O5,5</x:v>
      </x:c>
      <x:c r="G428" s="2" t="str">
        <x:v>OVER</x:v>
      </x:c>
      <x:c r="H428" s="2" t="n">
        <x:v>5</x:v>
      </x:c>
      <x:c r="I428" s="2" t="str">
        <x:f>IF(B428="","",'Motor_Meciuri'!H36)</x:f>
      </x:c>
      <x:c r="J428" s="2" t="str">
        <x:f>IF(B428="","",'Motor_Meciuri'!I36)</x:f>
      </x:c>
      <x:c r="K428" s="11" t="str">
        <x:f>IF(J428&lt;&gt;"PASS","",'Motor_Meciuri'!BD36)</x:f>
      </x:c>
      <x:c r="L428" s="11" t="str">
        <x:f>IF(J428&lt;&gt;"PASS","",'Motor_Meciuri'!AU36)</x:f>
      </x:c>
      <x:c r="M428" s="10" t="str">
        <x:f>IF(NOT(AND(J428="PASS",'Calibrare_Linii'!U8="VALID")),"",1-'Distributie'!AC36)</x:f>
      </x:c>
      <x:c r="N428" s="10" t="str">
        <x:f>IF(M428="","",MAX(0.01,MIN(0.99,0.5+(M428-0.5)*'Motor_Meciuri'!BG36*'Calibrare_Linii'!D8)))</x:f>
      </x:c>
      <x:c r="O428" s="10" t="str">
        <x:f>IF(M428="","",1-M428)</x:f>
      </x:c>
      <x:c r="P428" s="10" t="str">
        <x:f>IF(OR(NOT(AND(J428="PASS",'Calibrare_Linii'!U8="VALID")),AK428=0),""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*('Istoric_Nativ'!$Q$6:$Q$405&lt;=H428))/AK428)</x:f>
      </x:c>
      <x:c r="Q428" s="10" t="str">
        <x:f>IF(OR(NOT(AND(J428="PASS",'Calibrare_Linii'!U8="VALID")),AL428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M36)+((('Istoric_Nativ'!$E$6:$E$405='Input_Meci'!E36)+('Istoric_Nativ'!$F$6:$F$405='Input_Meci'!E36))&gt;0)*('Istoric_Nativ'!$D$6:$D$405&gt;='Motor_Meciuri'!BN36))&gt;0)*('Istoric_Nativ'!$Q$6:$Q$405&lt;=H428))/AL428)</x:f>
      </x:c>
      <x:c r="R428" s="10" t="str">
        <x:f>IF(OR(NOT(AND(J428="PASS",'Calibrare_Linii'!U8="VALID")),AM428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O36)+((('Istoric_Nativ'!$E$6:$E$405='Input_Meci'!E36)+('Istoric_Nativ'!$F$6:$F$405='Input_Meci'!E36))&gt;0)*('Istoric_Nativ'!$D$6:$D$405&gt;='Motor_Meciuri'!BP36))&gt;0)*('Istoric_Nativ'!$Q$6:$Q$405&lt;=H428))/AM428)</x:f>
      </x:c>
      <x:c r="S428" s="10" t="str">
        <x:f>IF(M428="","",MAX(O428,P428,Q428,R428))</x:f>
      </x:c>
      <x:c r="T428" s="11" t="str">
        <x:f>IF(M428="","",MIN(100,S428*100*'Config_v6'!$B$44+MIN(100,L428/'Config_v6'!$B$13*100)*'Config_v6'!$B$45+(100-'Motor_Meciuri'!BF36)*'Config_v6'!$B$46+'Motor_Meciuri'!BH36*100*'Config_v6'!$B$47))</x:f>
      </x:c>
      <x:c r="U428" s="2" t="str">
        <x:f>IF(T428="","",IF(T428&lt;=20,1,IF(T428&lt;=40,2,IF(T428&lt;=60,3,IF(T428&lt;=80,4,5)))))</x:f>
      </x:c>
      <x:c r="V428" s="2" t="str">
        <x:f>IF(M428="","",MAX(0,'Motor_Meciuri'!BF36-IF(W428="OOS PENDING",'Config_v6'!$B$35,0)-IF(L428&gt;'Config_v6'!$B$12,'Config_v6'!$B$37,IF(L428&gt;'Config_v6'!$B$11,'Config_v6'!$B$36,0))))</x:f>
      </x:c>
      <x:c r="W428" s="2" t="str">
        <x:f>IF(B428="","",IF(I428&lt;&gt;"READY","NOT RELEASED",IF(NOT(AND(J428="PASS",'Calibrare_Linii'!U8="VALID")),"INVALID",IF(NOT(AND('Calibrare_Linii'!S8="VALIDATED",AND('Calibrare_Linii'!H8=C428,ISNUMBER('Calibrare_Linii'!J8),'Calibrare_Linii'!J8&lt;='Input_Meci'!G36))),"OOS PENDING",IF(S428&lt;='Calibrare_Linii'!E8,"PASS",IF(S428&lt;='Calibrare_Linii'!F8,"PENALTY","WATCH"))))))</x:f>
      </x:c>
      <x:c r="X428" s="2" t="str">
        <x:f>IF(M428="","",IF(AND(AND(J428="PASS",'Calibrare_Linii'!U8="VALID"),'Motor_Meciuri'!K36=12,'Motor_Meciuri'!L36=12,'Motor_Meciuri'!M36="NO",'Motor_Meciuri'!BL36='Motor_Meciuri'!C36,AB428&gt;='Config_v6'!$B$50,AN428&gt;='Config_v6'!$B$51,T428&lt;='Config_v6'!$B$52,L428&lt;='Config_v6'!$B$53,ISNUMBER('Calibrare_Linii'!E8),S428&lt;='Calibrare_Linii'!E8,SUM(AK428:AM428)&gt;0),"CANDIDATE","NO"))</x:f>
      </x:c>
      <x:c r="Y428" s="2" t="str">
        <x:f>IF(B428="","",IF(I428&lt;&gt;"READY","NOT RELEASED",IF(AND(X428="CANDIDATE",V428&gt;='Config_v6'!$B$51,W428="PASS",'Calibrare_Linii'!T8="VALIDATED",AND('Calibrare_Linii'!H8=C428,ISNUMBER('Calibrare_Linii'!J8),'Calibrare_Linii'!J8&lt;='Input_Meci'!G36)),"PASS",IF(X428="CANDIDATE","OOS PENDING","FAIL"))))</x:f>
      </x:c>
      <x:c r="Z428" s="2" t="str">
        <x:f>IF(B428="","",IF(I428&lt;&gt;"READY","",IF(OR(NOT(AND(J428="PASS",'Calibrare_Linii'!U8="VALID")),L428&gt;'Config_v6'!$B$13,W428="WATCH"),5,IF(Y428="PASS",1,MIN(5,MAX('Config_v6'!$B$42,U428)+IF(W428="PENALTY",1,0))))))</x:f>
      </x:c>
      <x:c r="AA428" s="2" t="str">
        <x:f>IF(B428="","",IF(I428&lt;&gt;"READY","NOT RELEASED",IF(Z428=5,"NO BET",IF(OR(AB428&lt;'Config_v6'!$B$16,V428&lt;'Config_v6'!$B$18),"WATCH",IF(Z428=1,"DEFENSIV",IF(Z428=2,"PRUDENT",IF(Z428=3,"MODERAT","RIDICAT")))))))</x:f>
      </x:c>
      <x:c r="AB428" s="10" t="str">
        <x:f>IF(N428="","",MIN(N428,1-S428))</x:f>
      </x:c>
      <x:c r="AC428" s="2" t="str">
        <x:f>IF(AD428&lt;&gt;1,"",COUNTIFS($Z$426:$Z$439,"&lt;"&amp;Z428,$AD$426:$AD$439,1)+COUNTIFS($Z$426:$Z$439,Z428,$AB$426:$AB$439,"&gt;"&amp;AB428,$AD$426:$AD$439,1)+COUNTIFS($Z$426:$Z$439,Z428,$AB$426:$AB$439,AB428,$V$426:$V$439,"&gt;"&amp;V428,$AD$426:$AD$439,1)+COUNTIFS($Z$426:Z428,Z428,$AB$426:AB428,AB428,$V$426:V428,V428,$AD$426:AD428,1))</x:f>
      </x:c>
      <x:c r="AD428" s="2" t="n">
        <x:f>IF(OR(AA428="DEFENSIV",AA428="PRUDENT",AA428="MODERAT",AA428="RIDICAT"),1,0)</x:f>
        <x:v>0</x:v>
      </x:c>
      <x:c r="AE428" s="2" t="str">
        <x:f>IF(AD428&lt;&gt;1,"NO",IF(W428="PASS","YES",IF(W428="OOS PENDING","CONDITIONAL","NO")))</x:f>
        <x:v>NO</x:v>
      </x:c>
      <x:c r="AF428" s="2" t="n">
        <x:f>IF(AND(AD428=1,AC428=1,E428="LIVE"),1,0)</x:f>
        <x:v>0</x:v>
      </x:c>
      <x:c r="AG428" s="2" t="str">
        <x:f>IF(AF428&lt;&gt;1,"",'Dashboard'!P56)</x:f>
      </x:c>
      <x:c r="AH428" s="2" t="str">
        <x:f>IF(B428="","",IF(J428&lt;&gt;"PASS",'Motor_Meciuri'!J36,IF('Calibrare_Linii'!U8&lt;&gt;"VALID","Parametri linie invalizi",IF(L428&gt;'Config_v6'!$B$13,"Dispersie peste limita",IF(W428="WATCH","Failure peste limita",IF(AB428&lt;'Config_v6'!$B$16,"P finala sub prag",IF(V428&lt;'Config_v6'!$B$18,"Confidence sub prag",IF(E428="REPLAY","Exemplu retrospectiv; exclus din Top LIVE",IF(Y428="PASS","DEFENSIV validat",IF(W428="OOS PENDING","Eligibil; calibrare linie in monitorizare","Eligibil"))))))))))</x:f>
      </x:c>
      <x:c r="AI428" s="2" t="str">
        <x:f>IF(B428="","",'Calibrare_Linii'!V8)</x:f>
      </x:c>
      <x:c r="AJ428" s="2" t="str">
        <x:f>IF(B428="","",IF(AND('Calibrare_Linii'!T8="VALIDATED",AND('Calibrare_Linii'!H8=C428,ISNUMBER('Calibrare_Linii'!J8),'Calibrare_Linii'!J8&lt;='Input_Meci'!G36)),"DEFENSIVE VALIDATED",IF(AND('Calibrare_Linii'!S8="VALIDATED",AND('Calibrare_Linii'!H8=C428,ISNUMBER('Calibrare_Linii'!J8),'Calibrare_Linii'!J8&lt;='Input_Meci'!G36)),"TAIL VALIDATED","OOS PENDING")))</x:f>
      </x:c>
      <x:c r="AK428" s="2" t="n">
        <x:f>IF(J428&lt;&gt;"PASS",0,'Motor_Meciuri'!BR36)</x:f>
        <x:v>0</x:v>
      </x:c>
      <x:c r="AL428" s="2" t="n">
        <x:f>IF(J428&lt;&gt;"PASS",0,'Motor_Meciuri'!BS36)</x:f>
        <x:v>0</x:v>
      </x:c>
      <x:c r="AM428" s="2" t="n">
        <x:f>IF(J428&lt;&gt;"PASS",0,'Motor_Meciuri'!BT36)</x:f>
        <x:v>0</x:v>
      </x:c>
      <x:c r="AN428" s="2" t="str">
        <x:f>IF(M428="","",MAX(0,'Motor_Meciuri'!BF36-IF(L428&gt;'Config_v6'!$B$12,'Config_v6'!$B$37,IF(L428&gt;'Config_v6'!$B$11,'Config_v6'!$B$36,0))))</x:f>
      </x:c>
    </x:row>
    <x:row r="429" ht="21" customHeight="1">
      <x:c r="A429" s="2" t="n">
        <x:v>31</x:v>
      </x:c>
      <x:c r="B429" s="2" t="str">
        <x:f>IF('Motor_Meciuri'!A36="","",'Motor_Meciuri'!A36)</x:f>
      </x:c>
      <x:c r="C429" s="2" t="str">
        <x:f>IF(B429="","",'Motor_Meciuri'!B36)</x:f>
      </x:c>
      <x:c r="D429" s="2" t="str">
        <x:f>IF(B429="","",'Motor_Meciuri'!D36)</x:f>
      </x:c>
      <x:c r="E429" s="2" t="str">
        <x:f>IF(B429="","",'Motor_Meciuri'!E36)</x:f>
      </x:c>
      <x:c r="F429" s="2" t="str">
        <x:v>O6,5</x:v>
      </x:c>
      <x:c r="G429" s="2" t="str">
        <x:v>OVER</x:v>
      </x:c>
      <x:c r="H429" s="2" t="n">
        <x:v>6</x:v>
      </x:c>
      <x:c r="I429" s="2" t="str">
        <x:f>IF(B429="","",'Motor_Meciuri'!H36)</x:f>
      </x:c>
      <x:c r="J429" s="2" t="str">
        <x:f>IF(B429="","",'Motor_Meciuri'!I36)</x:f>
      </x:c>
      <x:c r="K429" s="11" t="str">
        <x:f>IF(J429&lt;&gt;"PASS","",'Motor_Meciuri'!BD36)</x:f>
      </x:c>
      <x:c r="L429" s="11" t="str">
        <x:f>IF(J429&lt;&gt;"PASS","",'Motor_Meciuri'!AU36)</x:f>
      </x:c>
      <x:c r="M429" s="10" t="str">
        <x:f>IF(NOT(AND(J429="PASS",'Calibrare_Linii'!U9="VALID")),"",1-'Distributie'!AD36)</x:f>
      </x:c>
      <x:c r="N429" s="10" t="str">
        <x:f>IF(M429="","",MAX(0.01,MIN(0.99,0.5+(M429-0.5)*'Motor_Meciuri'!BG36*'Calibrare_Linii'!D9)))</x:f>
      </x:c>
      <x:c r="O429" s="10" t="str">
        <x:f>IF(M429="","",1-M429)</x:f>
      </x:c>
      <x:c r="P429" s="10" t="str">
        <x:f>IF(OR(NOT(AND(J429="PASS",'Calibrare_Linii'!U9="VALID")),AK429=0),""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*('Istoric_Nativ'!$Q$6:$Q$405&lt;=H429))/AK429)</x:f>
      </x:c>
      <x:c r="Q429" s="10" t="str">
        <x:f>IF(OR(NOT(AND(J429="PASS",'Calibrare_Linii'!U9="VALID")),AL429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M36)+((('Istoric_Nativ'!$E$6:$E$405='Input_Meci'!E36)+('Istoric_Nativ'!$F$6:$F$405='Input_Meci'!E36))&gt;0)*('Istoric_Nativ'!$D$6:$D$405&gt;='Motor_Meciuri'!BN36))&gt;0)*('Istoric_Nativ'!$Q$6:$Q$405&lt;=H429))/AL429)</x:f>
      </x:c>
      <x:c r="R429" s="10" t="str">
        <x:f>IF(OR(NOT(AND(J429="PASS",'Calibrare_Linii'!U9="VALID")),AM429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O36)+((('Istoric_Nativ'!$E$6:$E$405='Input_Meci'!E36)+('Istoric_Nativ'!$F$6:$F$405='Input_Meci'!E36))&gt;0)*('Istoric_Nativ'!$D$6:$D$405&gt;='Motor_Meciuri'!BP36))&gt;0)*('Istoric_Nativ'!$Q$6:$Q$405&lt;=H429))/AM429)</x:f>
      </x:c>
      <x:c r="S429" s="10" t="str">
        <x:f>IF(M429="","",MAX(O429,P429,Q429,R429))</x:f>
      </x:c>
      <x:c r="T429" s="11" t="str">
        <x:f>IF(M429="","",MIN(100,S429*100*'Config_v6'!$B$44+MIN(100,L429/'Config_v6'!$B$13*100)*'Config_v6'!$B$45+(100-'Motor_Meciuri'!BF36)*'Config_v6'!$B$46+'Motor_Meciuri'!BH36*100*'Config_v6'!$B$47))</x:f>
      </x:c>
      <x:c r="U429" s="2" t="str">
        <x:f>IF(T429="","",IF(T429&lt;=20,1,IF(T429&lt;=40,2,IF(T429&lt;=60,3,IF(T429&lt;=80,4,5)))))</x:f>
      </x:c>
      <x:c r="V429" s="2" t="str">
        <x:f>IF(M429="","",MAX(0,'Motor_Meciuri'!BF36-IF(W429="OOS PENDING",'Config_v6'!$B$35,0)-IF(L429&gt;'Config_v6'!$B$12,'Config_v6'!$B$37,IF(L429&gt;'Config_v6'!$B$11,'Config_v6'!$B$36,0))))</x:f>
      </x:c>
      <x:c r="W429" s="2" t="str">
        <x:f>IF(B429="","",IF(I429&lt;&gt;"READY","NOT RELEASED",IF(NOT(AND(J429="PASS",'Calibrare_Linii'!U9="VALID")),"INVALID",IF(NOT(AND('Calibrare_Linii'!S9="VALIDATED",AND('Calibrare_Linii'!H9=C429,ISNUMBER('Calibrare_Linii'!J9),'Calibrare_Linii'!J9&lt;='Input_Meci'!G36))),"OOS PENDING",IF(S429&lt;='Calibrare_Linii'!E9,"PASS",IF(S429&lt;='Calibrare_Linii'!F9,"PENALTY","WATCH"))))))</x:f>
      </x:c>
      <x:c r="X429" s="2" t="str">
        <x:f>IF(M429="","",IF(AND(AND(J429="PASS",'Calibrare_Linii'!U9="VALID"),'Motor_Meciuri'!K36=12,'Motor_Meciuri'!L36=12,'Motor_Meciuri'!M36="NO",'Motor_Meciuri'!BL36='Motor_Meciuri'!C36,AB429&gt;='Config_v6'!$B$50,AN429&gt;='Config_v6'!$B$51,T429&lt;='Config_v6'!$B$52,L429&lt;='Config_v6'!$B$53,ISNUMBER('Calibrare_Linii'!E9),S429&lt;='Calibrare_Linii'!E9,SUM(AK429:AM429)&gt;0),"CANDIDATE","NO"))</x:f>
      </x:c>
      <x:c r="Y429" s="2" t="str">
        <x:f>IF(B429="","",IF(I429&lt;&gt;"READY","NOT RELEASED",IF(AND(X429="CANDIDATE",V429&gt;='Config_v6'!$B$51,W429="PASS",'Calibrare_Linii'!T9="VALIDATED",AND('Calibrare_Linii'!H9=C429,ISNUMBER('Calibrare_Linii'!J9),'Calibrare_Linii'!J9&lt;='Input_Meci'!G36)),"PASS",IF(X429="CANDIDATE","OOS PENDING","FAIL"))))</x:f>
      </x:c>
      <x:c r="Z429" s="2" t="str">
        <x:f>IF(B429="","",IF(I429&lt;&gt;"READY","",IF(OR(NOT(AND(J429="PASS",'Calibrare_Linii'!U9="VALID")),L429&gt;'Config_v6'!$B$13,W429="WATCH"),5,IF(Y429="PASS",1,MIN(5,MAX('Config_v6'!$B$42,U429)+IF(W429="PENALTY",1,0))))))</x:f>
      </x:c>
      <x:c r="AA429" s="2" t="str">
        <x:f>IF(B429="","",IF(I429&lt;&gt;"READY","NOT RELEASED",IF(Z429=5,"NO BET",IF(OR(AB429&lt;'Config_v6'!$B$16,V429&lt;'Config_v6'!$B$18),"WATCH",IF(Z429=1,"DEFENSIV",IF(Z429=2,"PRUDENT",IF(Z429=3,"MODERAT","RIDICAT")))))))</x:f>
      </x:c>
      <x:c r="AB429" s="10" t="str">
        <x:f>IF(N429="","",MIN(N429,1-S429))</x:f>
      </x:c>
      <x:c r="AC429" s="2" t="str">
        <x:f>IF(AD429&lt;&gt;1,"",COUNTIFS($Z$426:$Z$439,"&lt;"&amp;Z429,$AD$426:$AD$439,1)+COUNTIFS($Z$426:$Z$439,Z429,$AB$426:$AB$439,"&gt;"&amp;AB429,$AD$426:$AD$439,1)+COUNTIFS($Z$426:$Z$439,Z429,$AB$426:$AB$439,AB429,$V$426:$V$439,"&gt;"&amp;V429,$AD$426:$AD$439,1)+COUNTIFS($Z$426:Z429,Z429,$AB$426:AB429,AB429,$V$426:V429,V429,$AD$426:AD429,1))</x:f>
      </x:c>
      <x:c r="AD429" s="2" t="n">
        <x:f>IF(OR(AA429="DEFENSIV",AA429="PRUDENT",AA429="MODERAT",AA429="RIDICAT"),1,0)</x:f>
        <x:v>0</x:v>
      </x:c>
      <x:c r="AE429" s="2" t="str">
        <x:f>IF(AD429&lt;&gt;1,"NO",IF(W429="PASS","YES",IF(W429="OOS PENDING","CONDITIONAL","NO")))</x:f>
        <x:v>NO</x:v>
      </x:c>
      <x:c r="AF429" s="2" t="n">
        <x:f>IF(AND(AD429=1,AC429=1,E429="LIVE"),1,0)</x:f>
        <x:v>0</x:v>
      </x:c>
      <x:c r="AG429" s="2" t="str">
        <x:f>IF(AF429&lt;&gt;1,"",'Dashboard'!P56)</x:f>
      </x:c>
      <x:c r="AH429" s="2" t="str">
        <x:f>IF(B429="","",IF(J429&lt;&gt;"PASS",'Motor_Meciuri'!J36,IF('Calibrare_Linii'!U9&lt;&gt;"VALID","Parametri linie invalizi",IF(L429&gt;'Config_v6'!$B$13,"Dispersie peste limita",IF(W429="WATCH","Failure peste limita",IF(AB429&lt;'Config_v6'!$B$16,"P finala sub prag",IF(V429&lt;'Config_v6'!$B$18,"Confidence sub prag",IF(E429="REPLAY","Exemplu retrospectiv; exclus din Top LIVE",IF(Y429="PASS","DEFENSIV validat",IF(W429="OOS PENDING","Eligibil; calibrare linie in monitorizare","Eligibil"))))))))))</x:f>
      </x:c>
      <x:c r="AI429" s="2" t="str">
        <x:f>IF(B429="","",'Calibrare_Linii'!V9)</x:f>
      </x:c>
      <x:c r="AJ429" s="2" t="str">
        <x:f>IF(B429="","",IF(AND('Calibrare_Linii'!T9="VALIDATED",AND('Calibrare_Linii'!H9=C429,ISNUMBER('Calibrare_Linii'!J9),'Calibrare_Linii'!J9&lt;='Input_Meci'!G36)),"DEFENSIVE VALIDATED",IF(AND('Calibrare_Linii'!S9="VALIDATED",AND('Calibrare_Linii'!H9=C429,ISNUMBER('Calibrare_Linii'!J9),'Calibrare_Linii'!J9&lt;='Input_Meci'!G36)),"TAIL VALIDATED","OOS PENDING")))</x:f>
      </x:c>
      <x:c r="AK429" s="2" t="n">
        <x:f>IF(J429&lt;&gt;"PASS",0,'Motor_Meciuri'!BR36)</x:f>
        <x:v>0</x:v>
      </x:c>
      <x:c r="AL429" s="2" t="n">
        <x:f>IF(J429&lt;&gt;"PASS",0,'Motor_Meciuri'!BS36)</x:f>
        <x:v>0</x:v>
      </x:c>
      <x:c r="AM429" s="2" t="n">
        <x:f>IF(J429&lt;&gt;"PASS",0,'Motor_Meciuri'!BT36)</x:f>
        <x:v>0</x:v>
      </x:c>
      <x:c r="AN429" s="2" t="str">
        <x:f>IF(M429="","",MAX(0,'Motor_Meciuri'!BF36-IF(L429&gt;'Config_v6'!$B$12,'Config_v6'!$B$37,IF(L429&gt;'Config_v6'!$B$11,'Config_v6'!$B$36,0))))</x:f>
      </x:c>
    </x:row>
    <x:row r="430" ht="21" customHeight="1">
      <x:c r="A430" s="2" t="n">
        <x:v>31</x:v>
      </x:c>
      <x:c r="B430" s="2" t="str">
        <x:f>IF('Motor_Meciuri'!A36="","",'Motor_Meciuri'!A36)</x:f>
      </x:c>
      <x:c r="C430" s="2" t="str">
        <x:f>IF(B430="","",'Motor_Meciuri'!B36)</x:f>
      </x:c>
      <x:c r="D430" s="2" t="str">
        <x:f>IF(B430="","",'Motor_Meciuri'!D36)</x:f>
      </x:c>
      <x:c r="E430" s="2" t="str">
        <x:f>IF(B430="","",'Motor_Meciuri'!E36)</x:f>
      </x:c>
      <x:c r="F430" s="2" t="str">
        <x:v>O7,5</x:v>
      </x:c>
      <x:c r="G430" s="2" t="str">
        <x:v>OVER</x:v>
      </x:c>
      <x:c r="H430" s="2" t="n">
        <x:v>7</x:v>
      </x:c>
      <x:c r="I430" s="2" t="str">
        <x:f>IF(B430="","",'Motor_Meciuri'!H36)</x:f>
      </x:c>
      <x:c r="J430" s="2" t="str">
        <x:f>IF(B430="","",'Motor_Meciuri'!I36)</x:f>
      </x:c>
      <x:c r="K430" s="11" t="str">
        <x:f>IF(J430&lt;&gt;"PASS","",'Motor_Meciuri'!BD36)</x:f>
      </x:c>
      <x:c r="L430" s="11" t="str">
        <x:f>IF(J430&lt;&gt;"PASS","",'Motor_Meciuri'!AU36)</x:f>
      </x:c>
      <x:c r="M430" s="10" t="str">
        <x:f>IF(NOT(AND(J430="PASS",'Calibrare_Linii'!U10="VALID")),"",1-'Distributie'!AE36)</x:f>
      </x:c>
      <x:c r="N430" s="10" t="str">
        <x:f>IF(M430="","",MAX(0.01,MIN(0.99,0.5+(M430-0.5)*'Motor_Meciuri'!BG36*'Calibrare_Linii'!D10)))</x:f>
      </x:c>
      <x:c r="O430" s="10" t="str">
        <x:f>IF(M430="","",1-M430)</x:f>
      </x:c>
      <x:c r="P430" s="10" t="str">
        <x:f>IF(OR(NOT(AND(J430="PASS",'Calibrare_Linii'!U10="VALID")),AK430=0),""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*('Istoric_Nativ'!$Q$6:$Q$405&lt;=H430))/AK430)</x:f>
      </x:c>
      <x:c r="Q430" s="10" t="str">
        <x:f>IF(OR(NOT(AND(J430="PASS",'Calibrare_Linii'!U10="VALID")),AL430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M36)+((('Istoric_Nativ'!$E$6:$E$405='Input_Meci'!E36)+('Istoric_Nativ'!$F$6:$F$405='Input_Meci'!E36))&gt;0)*('Istoric_Nativ'!$D$6:$D$405&gt;='Motor_Meciuri'!BN36))&gt;0)*('Istoric_Nativ'!$Q$6:$Q$405&lt;=H430))/AL430)</x:f>
      </x:c>
      <x:c r="R430" s="10" t="str">
        <x:f>IF(OR(NOT(AND(J430="PASS",'Calibrare_Linii'!U10="VALID")),AM430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O36)+((('Istoric_Nativ'!$E$6:$E$405='Input_Meci'!E36)+('Istoric_Nativ'!$F$6:$F$405='Input_Meci'!E36))&gt;0)*('Istoric_Nativ'!$D$6:$D$405&gt;='Motor_Meciuri'!BP36))&gt;0)*('Istoric_Nativ'!$Q$6:$Q$405&lt;=H430))/AM430)</x:f>
      </x:c>
      <x:c r="S430" s="10" t="str">
        <x:f>IF(M430="","",MAX(O430,P430,Q430,R430))</x:f>
      </x:c>
      <x:c r="T430" s="11" t="str">
        <x:f>IF(M430="","",MIN(100,S430*100*'Config_v6'!$B$44+MIN(100,L430/'Config_v6'!$B$13*100)*'Config_v6'!$B$45+(100-'Motor_Meciuri'!BF36)*'Config_v6'!$B$46+'Motor_Meciuri'!BH36*100*'Config_v6'!$B$47))</x:f>
      </x:c>
      <x:c r="U430" s="2" t="str">
        <x:f>IF(T430="","",IF(T430&lt;=20,1,IF(T430&lt;=40,2,IF(T430&lt;=60,3,IF(T430&lt;=80,4,5)))))</x:f>
      </x:c>
      <x:c r="V430" s="2" t="str">
        <x:f>IF(M430="","",MAX(0,'Motor_Meciuri'!BF36-IF(W430="OOS PENDING",'Config_v6'!$B$35,0)-IF(L430&gt;'Config_v6'!$B$12,'Config_v6'!$B$37,IF(L430&gt;'Config_v6'!$B$11,'Config_v6'!$B$36,0))))</x:f>
      </x:c>
      <x:c r="W430" s="2" t="str">
        <x:f>IF(B430="","",IF(I430&lt;&gt;"READY","NOT RELEASED",IF(NOT(AND(J430="PASS",'Calibrare_Linii'!U10="VALID")),"INVALID",IF(NOT(AND('Calibrare_Linii'!S10="VALIDATED",AND('Calibrare_Linii'!H10=C430,ISNUMBER('Calibrare_Linii'!J10),'Calibrare_Linii'!J10&lt;='Input_Meci'!G36))),"OOS PENDING",IF(S430&lt;='Calibrare_Linii'!E10,"PASS",IF(S430&lt;='Calibrare_Linii'!F10,"PENALTY","WATCH"))))))</x:f>
      </x:c>
      <x:c r="X430" s="2" t="str">
        <x:f>IF(M430="","",IF(AND(AND(J430="PASS",'Calibrare_Linii'!U10="VALID"),'Motor_Meciuri'!K36=12,'Motor_Meciuri'!L36=12,'Motor_Meciuri'!M36="NO",'Motor_Meciuri'!BL36='Motor_Meciuri'!C36,AB430&gt;='Config_v6'!$B$50,AN430&gt;='Config_v6'!$B$51,T430&lt;='Config_v6'!$B$52,L430&lt;='Config_v6'!$B$53,ISNUMBER('Calibrare_Linii'!E10),S430&lt;='Calibrare_Linii'!E10,SUM(AK430:AM430)&gt;0),"CANDIDATE","NO"))</x:f>
      </x:c>
      <x:c r="Y430" s="2" t="str">
        <x:f>IF(B430="","",IF(I430&lt;&gt;"READY","NOT RELEASED",IF(AND(X430="CANDIDATE",V430&gt;='Config_v6'!$B$51,W430="PASS",'Calibrare_Linii'!T10="VALIDATED",AND('Calibrare_Linii'!H10=C430,ISNUMBER('Calibrare_Linii'!J10),'Calibrare_Linii'!J10&lt;='Input_Meci'!G36)),"PASS",IF(X430="CANDIDATE","OOS PENDING","FAIL"))))</x:f>
      </x:c>
      <x:c r="Z430" s="2" t="str">
        <x:f>IF(B430="","",IF(I430&lt;&gt;"READY","",IF(OR(NOT(AND(J430="PASS",'Calibrare_Linii'!U10="VALID")),L430&gt;'Config_v6'!$B$13,W430="WATCH"),5,IF(Y430="PASS",1,MIN(5,MAX('Config_v6'!$B$42,U430)+IF(W430="PENALTY",1,0))))))</x:f>
      </x:c>
      <x:c r="AA430" s="2" t="str">
        <x:f>IF(B430="","",IF(I430&lt;&gt;"READY","NOT RELEASED",IF(Z430=5,"NO BET",IF(OR(AB430&lt;'Config_v6'!$B$16,V430&lt;'Config_v6'!$B$18),"WATCH",IF(Z430=1,"DEFENSIV",IF(Z430=2,"PRUDENT",IF(Z430=3,"MODERAT","RIDICAT")))))))</x:f>
      </x:c>
      <x:c r="AB430" s="10" t="str">
        <x:f>IF(N430="","",MIN(N430,1-S430))</x:f>
      </x:c>
      <x:c r="AC430" s="2" t="str">
        <x:f>IF(AD430&lt;&gt;1,"",COUNTIFS($Z$426:$Z$439,"&lt;"&amp;Z430,$AD$426:$AD$439,1)+COUNTIFS($Z$426:$Z$439,Z430,$AB$426:$AB$439,"&gt;"&amp;AB430,$AD$426:$AD$439,1)+COUNTIFS($Z$426:$Z$439,Z430,$AB$426:$AB$439,AB430,$V$426:$V$439,"&gt;"&amp;V430,$AD$426:$AD$439,1)+COUNTIFS($Z$426:Z430,Z430,$AB$426:AB430,AB430,$V$426:V430,V430,$AD$426:AD430,1))</x:f>
      </x:c>
      <x:c r="AD430" s="2" t="n">
        <x:f>IF(OR(AA430="DEFENSIV",AA430="PRUDENT",AA430="MODERAT",AA430="RIDICAT"),1,0)</x:f>
        <x:v>0</x:v>
      </x:c>
      <x:c r="AE430" s="2" t="str">
        <x:f>IF(AD430&lt;&gt;1,"NO",IF(W430="PASS","YES",IF(W430="OOS PENDING","CONDITIONAL","NO")))</x:f>
        <x:v>NO</x:v>
      </x:c>
      <x:c r="AF430" s="2" t="n">
        <x:f>IF(AND(AD430=1,AC430=1,E430="LIVE"),1,0)</x:f>
        <x:v>0</x:v>
      </x:c>
      <x:c r="AG430" s="2" t="str">
        <x:f>IF(AF430&lt;&gt;1,"",'Dashboard'!P56)</x:f>
      </x:c>
      <x:c r="AH430" s="2" t="str">
        <x:f>IF(B430="","",IF(J430&lt;&gt;"PASS",'Motor_Meciuri'!J36,IF('Calibrare_Linii'!U10&lt;&gt;"VALID","Parametri linie invalizi",IF(L430&gt;'Config_v6'!$B$13,"Dispersie peste limita",IF(W430="WATCH","Failure peste limita",IF(AB430&lt;'Config_v6'!$B$16,"P finala sub prag",IF(V430&lt;'Config_v6'!$B$18,"Confidence sub prag",IF(E430="REPLAY","Exemplu retrospectiv; exclus din Top LIVE",IF(Y430="PASS","DEFENSIV validat",IF(W430="OOS PENDING","Eligibil; calibrare linie in monitorizare","Eligibil"))))))))))</x:f>
      </x:c>
      <x:c r="AI430" s="2" t="str">
        <x:f>IF(B430="","",'Calibrare_Linii'!V10)</x:f>
      </x:c>
      <x:c r="AJ430" s="2" t="str">
        <x:f>IF(B430="","",IF(AND('Calibrare_Linii'!T10="VALIDATED",AND('Calibrare_Linii'!H10=C430,ISNUMBER('Calibrare_Linii'!J10),'Calibrare_Linii'!J10&lt;='Input_Meci'!G36)),"DEFENSIVE VALIDATED",IF(AND('Calibrare_Linii'!S10="VALIDATED",AND('Calibrare_Linii'!H10=C430,ISNUMBER('Calibrare_Linii'!J10),'Calibrare_Linii'!J10&lt;='Input_Meci'!G36)),"TAIL VALIDATED","OOS PENDING")))</x:f>
      </x:c>
      <x:c r="AK430" s="2" t="n">
        <x:f>IF(J430&lt;&gt;"PASS",0,'Motor_Meciuri'!BR36)</x:f>
        <x:v>0</x:v>
      </x:c>
      <x:c r="AL430" s="2" t="n">
        <x:f>IF(J430&lt;&gt;"PASS",0,'Motor_Meciuri'!BS36)</x:f>
        <x:v>0</x:v>
      </x:c>
      <x:c r="AM430" s="2" t="n">
        <x:f>IF(J430&lt;&gt;"PASS",0,'Motor_Meciuri'!BT36)</x:f>
        <x:v>0</x:v>
      </x:c>
      <x:c r="AN430" s="2" t="str">
        <x:f>IF(M430="","",MAX(0,'Motor_Meciuri'!BF36-IF(L430&gt;'Config_v6'!$B$12,'Config_v6'!$B$37,IF(L430&gt;'Config_v6'!$B$11,'Config_v6'!$B$36,0))))</x:f>
      </x:c>
    </x:row>
    <x:row r="431" ht="21" customHeight="1">
      <x:c r="A431" s="2" t="n">
        <x:v>31</x:v>
      </x:c>
      <x:c r="B431" s="2" t="str">
        <x:f>IF('Motor_Meciuri'!A36="","",'Motor_Meciuri'!A36)</x:f>
      </x:c>
      <x:c r="C431" s="2" t="str">
        <x:f>IF(B431="","",'Motor_Meciuri'!B36)</x:f>
      </x:c>
      <x:c r="D431" s="2" t="str">
        <x:f>IF(B431="","",'Motor_Meciuri'!D36)</x:f>
      </x:c>
      <x:c r="E431" s="2" t="str">
        <x:f>IF(B431="","",'Motor_Meciuri'!E36)</x:f>
      </x:c>
      <x:c r="F431" s="2" t="str">
        <x:v>O8,5</x:v>
      </x:c>
      <x:c r="G431" s="2" t="str">
        <x:v>OVER</x:v>
      </x:c>
      <x:c r="H431" s="2" t="n">
        <x:v>8</x:v>
      </x:c>
      <x:c r="I431" s="2" t="str">
        <x:f>IF(B431="","",'Motor_Meciuri'!H36)</x:f>
      </x:c>
      <x:c r="J431" s="2" t="str">
        <x:f>IF(B431="","",'Motor_Meciuri'!I36)</x:f>
      </x:c>
      <x:c r="K431" s="11" t="str">
        <x:f>IF(J431&lt;&gt;"PASS","",'Motor_Meciuri'!BD36)</x:f>
      </x:c>
      <x:c r="L431" s="11" t="str">
        <x:f>IF(J431&lt;&gt;"PASS","",'Motor_Meciuri'!AU36)</x:f>
      </x:c>
      <x:c r="M431" s="10" t="str">
        <x:f>IF(NOT(AND(J431="PASS",'Calibrare_Linii'!U11="VALID")),"",1-'Distributie'!AF36)</x:f>
      </x:c>
      <x:c r="N431" s="10" t="str">
        <x:f>IF(M431="","",MAX(0.01,MIN(0.99,0.5+(M431-0.5)*'Motor_Meciuri'!BG36*'Calibrare_Linii'!D11)))</x:f>
      </x:c>
      <x:c r="O431" s="10" t="str">
        <x:f>IF(M431="","",1-M431)</x:f>
      </x:c>
      <x:c r="P431" s="10" t="str">
        <x:f>IF(OR(NOT(AND(J431="PASS",'Calibrare_Linii'!U11="VALID")),AK431=0),""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*('Istoric_Nativ'!$Q$6:$Q$405&lt;=H431))/AK431)</x:f>
      </x:c>
      <x:c r="Q431" s="10" t="str">
        <x:f>IF(OR(NOT(AND(J431="PASS",'Calibrare_Linii'!U11="VALID")),AL431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M36)+((('Istoric_Nativ'!$E$6:$E$405='Input_Meci'!E36)+('Istoric_Nativ'!$F$6:$F$405='Input_Meci'!E36))&gt;0)*('Istoric_Nativ'!$D$6:$D$405&gt;='Motor_Meciuri'!BN36))&gt;0)*('Istoric_Nativ'!$Q$6:$Q$405&lt;=H431))/AL431)</x:f>
      </x:c>
      <x:c r="R431" s="10" t="str">
        <x:f>IF(OR(NOT(AND(J431="PASS",'Calibrare_Linii'!U11="VALID")),AM431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O36)+((('Istoric_Nativ'!$E$6:$E$405='Input_Meci'!E36)+('Istoric_Nativ'!$F$6:$F$405='Input_Meci'!E36))&gt;0)*('Istoric_Nativ'!$D$6:$D$405&gt;='Motor_Meciuri'!BP36))&gt;0)*('Istoric_Nativ'!$Q$6:$Q$405&lt;=H431))/AM431)</x:f>
      </x:c>
      <x:c r="S431" s="10" t="str">
        <x:f>IF(M431="","",MAX(O431,P431,Q431,R431))</x:f>
      </x:c>
      <x:c r="T431" s="11" t="str">
        <x:f>IF(M431="","",MIN(100,S431*100*'Config_v6'!$B$44+MIN(100,L431/'Config_v6'!$B$13*100)*'Config_v6'!$B$45+(100-'Motor_Meciuri'!BF36)*'Config_v6'!$B$46+'Motor_Meciuri'!BH36*100*'Config_v6'!$B$47))</x:f>
      </x:c>
      <x:c r="U431" s="2" t="str">
        <x:f>IF(T431="","",IF(T431&lt;=20,1,IF(T431&lt;=40,2,IF(T431&lt;=60,3,IF(T431&lt;=80,4,5)))))</x:f>
      </x:c>
      <x:c r="V431" s="2" t="str">
        <x:f>IF(M431="","",MAX(0,'Motor_Meciuri'!BF36-IF(W431="OOS PENDING",'Config_v6'!$B$35,0)-IF(L431&gt;'Config_v6'!$B$12,'Config_v6'!$B$37,IF(L431&gt;'Config_v6'!$B$11,'Config_v6'!$B$36,0))))</x:f>
      </x:c>
      <x:c r="W431" s="2" t="str">
        <x:f>IF(B431="","",IF(I431&lt;&gt;"READY","NOT RELEASED",IF(NOT(AND(J431="PASS",'Calibrare_Linii'!U11="VALID")),"INVALID",IF(NOT(AND('Calibrare_Linii'!S11="VALIDATED",AND('Calibrare_Linii'!H11=C431,ISNUMBER('Calibrare_Linii'!J11),'Calibrare_Linii'!J11&lt;='Input_Meci'!G36))),"OOS PENDING",IF(S431&lt;='Calibrare_Linii'!E11,"PASS",IF(S431&lt;='Calibrare_Linii'!F11,"PENALTY","WATCH"))))))</x:f>
      </x:c>
      <x:c r="X431" s="2" t="str">
        <x:f>IF(M431="","",IF(AND(AND(J431="PASS",'Calibrare_Linii'!U11="VALID"),'Motor_Meciuri'!K36=12,'Motor_Meciuri'!L36=12,'Motor_Meciuri'!M36="NO",'Motor_Meciuri'!BL36='Motor_Meciuri'!C36,AB431&gt;='Config_v6'!$B$50,AN431&gt;='Config_v6'!$B$51,T431&lt;='Config_v6'!$B$52,L431&lt;='Config_v6'!$B$53,ISNUMBER('Calibrare_Linii'!E11),S431&lt;='Calibrare_Linii'!E11,SUM(AK431:AM431)&gt;0),"CANDIDATE","NO"))</x:f>
      </x:c>
      <x:c r="Y431" s="2" t="str">
        <x:f>IF(B431="","",IF(I431&lt;&gt;"READY","NOT RELEASED",IF(AND(X431="CANDIDATE",V431&gt;='Config_v6'!$B$51,W431="PASS",'Calibrare_Linii'!T11="VALIDATED",AND('Calibrare_Linii'!H11=C431,ISNUMBER('Calibrare_Linii'!J11),'Calibrare_Linii'!J11&lt;='Input_Meci'!G36)),"PASS",IF(X431="CANDIDATE","OOS PENDING","FAIL"))))</x:f>
      </x:c>
      <x:c r="Z431" s="2" t="str">
        <x:f>IF(B431="","",IF(I431&lt;&gt;"READY","",IF(OR(NOT(AND(J431="PASS",'Calibrare_Linii'!U11="VALID")),L431&gt;'Config_v6'!$B$13,W431="WATCH"),5,IF(Y431="PASS",1,MIN(5,MAX('Config_v6'!$B$42,U431)+IF(W431="PENALTY",1,0))))))</x:f>
      </x:c>
      <x:c r="AA431" s="2" t="str">
        <x:f>IF(B431="","",IF(I431&lt;&gt;"READY","NOT RELEASED",IF(Z431=5,"NO BET",IF(OR(AB431&lt;'Config_v6'!$B$16,V431&lt;'Config_v6'!$B$18),"WATCH",IF(Z431=1,"DEFENSIV",IF(Z431=2,"PRUDENT",IF(Z431=3,"MODERAT","RIDICAT")))))))</x:f>
      </x:c>
      <x:c r="AB431" s="10" t="str">
        <x:f>IF(N431="","",MIN(N431,1-S431))</x:f>
      </x:c>
      <x:c r="AC431" s="2" t="str">
        <x:f>IF(AD431&lt;&gt;1,"",COUNTIFS($Z$426:$Z$439,"&lt;"&amp;Z431,$AD$426:$AD$439,1)+COUNTIFS($Z$426:$Z$439,Z431,$AB$426:$AB$439,"&gt;"&amp;AB431,$AD$426:$AD$439,1)+COUNTIFS($Z$426:$Z$439,Z431,$AB$426:$AB$439,AB431,$V$426:$V$439,"&gt;"&amp;V431,$AD$426:$AD$439,1)+COUNTIFS($Z$426:Z431,Z431,$AB$426:AB431,AB431,$V$426:V431,V431,$AD$426:AD431,1))</x:f>
      </x:c>
      <x:c r="AD431" s="2" t="n">
        <x:f>IF(OR(AA431="DEFENSIV",AA431="PRUDENT",AA431="MODERAT",AA431="RIDICAT"),1,0)</x:f>
        <x:v>0</x:v>
      </x:c>
      <x:c r="AE431" s="2" t="str">
        <x:f>IF(AD431&lt;&gt;1,"NO",IF(W431="PASS","YES",IF(W431="OOS PENDING","CONDITIONAL","NO")))</x:f>
        <x:v>NO</x:v>
      </x:c>
      <x:c r="AF431" s="2" t="n">
        <x:f>IF(AND(AD431=1,AC431=1,E431="LIVE"),1,0)</x:f>
        <x:v>0</x:v>
      </x:c>
      <x:c r="AG431" s="2" t="str">
        <x:f>IF(AF431&lt;&gt;1,"",'Dashboard'!P56)</x:f>
      </x:c>
      <x:c r="AH431" s="2" t="str">
        <x:f>IF(B431="","",IF(J431&lt;&gt;"PASS",'Motor_Meciuri'!J36,IF('Calibrare_Linii'!U11&lt;&gt;"VALID","Parametri linie invalizi",IF(L431&gt;'Config_v6'!$B$13,"Dispersie peste limita",IF(W431="WATCH","Failure peste limita",IF(AB431&lt;'Config_v6'!$B$16,"P finala sub prag",IF(V431&lt;'Config_v6'!$B$18,"Confidence sub prag",IF(E431="REPLAY","Exemplu retrospectiv; exclus din Top LIVE",IF(Y431="PASS","DEFENSIV validat",IF(W431="OOS PENDING","Eligibil; calibrare linie in monitorizare","Eligibil"))))))))))</x:f>
      </x:c>
      <x:c r="AI431" s="2" t="str">
        <x:f>IF(B431="","",'Calibrare_Linii'!V11)</x:f>
      </x:c>
      <x:c r="AJ431" s="2" t="str">
        <x:f>IF(B431="","",IF(AND('Calibrare_Linii'!T11="VALIDATED",AND('Calibrare_Linii'!H11=C431,ISNUMBER('Calibrare_Linii'!J11),'Calibrare_Linii'!J11&lt;='Input_Meci'!G36)),"DEFENSIVE VALIDATED",IF(AND('Calibrare_Linii'!S11="VALIDATED",AND('Calibrare_Linii'!H11=C431,ISNUMBER('Calibrare_Linii'!J11),'Calibrare_Linii'!J11&lt;='Input_Meci'!G36)),"TAIL VALIDATED","OOS PENDING")))</x:f>
      </x:c>
      <x:c r="AK431" s="2" t="n">
        <x:f>IF(J431&lt;&gt;"PASS",0,'Motor_Meciuri'!BR36)</x:f>
        <x:v>0</x:v>
      </x:c>
      <x:c r="AL431" s="2" t="n">
        <x:f>IF(J431&lt;&gt;"PASS",0,'Motor_Meciuri'!BS36)</x:f>
        <x:v>0</x:v>
      </x:c>
      <x:c r="AM431" s="2" t="n">
        <x:f>IF(J431&lt;&gt;"PASS",0,'Motor_Meciuri'!BT36)</x:f>
        <x:v>0</x:v>
      </x:c>
      <x:c r="AN431" s="2" t="str">
        <x:f>IF(M431="","",MAX(0,'Motor_Meciuri'!BF36-IF(L431&gt;'Config_v6'!$B$12,'Config_v6'!$B$37,IF(L431&gt;'Config_v6'!$B$11,'Config_v6'!$B$36,0))))</x:f>
      </x:c>
    </x:row>
    <x:row r="432" ht="21" customHeight="1">
      <x:c r="A432" s="2" t="n">
        <x:v>31</x:v>
      </x:c>
      <x:c r="B432" s="2" t="str">
        <x:f>IF('Motor_Meciuri'!A36="","",'Motor_Meciuri'!A36)</x:f>
      </x:c>
      <x:c r="C432" s="2" t="str">
        <x:f>IF(B432="","",'Motor_Meciuri'!B36)</x:f>
      </x:c>
      <x:c r="D432" s="2" t="str">
        <x:f>IF(B432="","",'Motor_Meciuri'!D36)</x:f>
      </x:c>
      <x:c r="E432" s="2" t="str">
        <x:f>IF(B432="","",'Motor_Meciuri'!E36)</x:f>
      </x:c>
      <x:c r="F432" s="2" t="str">
        <x:v>U10,5</x:v>
      </x:c>
      <x:c r="G432" s="2" t="str">
        <x:v>UNDER</x:v>
      </x:c>
      <x:c r="H432" s="2" t="n">
        <x:v>10</x:v>
      </x:c>
      <x:c r="I432" s="2" t="str">
        <x:f>IF(B432="","",'Motor_Meciuri'!H36)</x:f>
      </x:c>
      <x:c r="J432" s="2" t="str">
        <x:f>IF(B432="","",'Motor_Meciuri'!I36)</x:f>
      </x:c>
      <x:c r="K432" s="11" t="str">
        <x:f>IF(J432&lt;&gt;"PASS","",'Motor_Meciuri'!BD36)</x:f>
      </x:c>
      <x:c r="L432" s="11" t="str">
        <x:f>IF(J432&lt;&gt;"PASS","",'Motor_Meciuri'!AU36)</x:f>
      </x:c>
      <x:c r="M432" s="10" t="str">
        <x:f>IF(NOT(AND(J432="PASS",'Calibrare_Linii'!U12="VALID")),"",'Distributie'!AH36)</x:f>
      </x:c>
      <x:c r="N432" s="10" t="str">
        <x:f>IF(M432="","",MAX(0.01,MIN(0.99,0.5+(M432-0.5)*'Motor_Meciuri'!BG36*'Calibrare_Linii'!D12)))</x:f>
      </x:c>
      <x:c r="O432" s="10" t="str">
        <x:f>IF(M432="","",1-M432)</x:f>
      </x:c>
      <x:c r="P432" s="10" t="str">
        <x:f>IF(OR(NOT(AND(J432="PASS",'Calibrare_Linii'!U12="VALID")),AK432=0),""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*('Istoric_Nativ'!$Q$6:$Q$405&gt;H432))/AK432)</x:f>
      </x:c>
      <x:c r="Q432" s="10" t="str">
        <x:f>IF(OR(NOT(AND(J432="PASS",'Calibrare_Linii'!U12="VALID")),AL432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M36)+((('Istoric_Nativ'!$E$6:$E$405='Input_Meci'!E36)+('Istoric_Nativ'!$F$6:$F$405='Input_Meci'!E36))&gt;0)*('Istoric_Nativ'!$D$6:$D$405&gt;='Motor_Meciuri'!BN36))&gt;0)*('Istoric_Nativ'!$Q$6:$Q$405&gt;H432))/AL432)</x:f>
      </x:c>
      <x:c r="R432" s="10" t="str">
        <x:f>IF(OR(NOT(AND(J432="PASS",'Calibrare_Linii'!U12="VALID")),AM432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O36)+((('Istoric_Nativ'!$E$6:$E$405='Input_Meci'!E36)+('Istoric_Nativ'!$F$6:$F$405='Input_Meci'!E36))&gt;0)*('Istoric_Nativ'!$D$6:$D$405&gt;='Motor_Meciuri'!BP36))&gt;0)*('Istoric_Nativ'!$Q$6:$Q$405&gt;H432))/AM432)</x:f>
      </x:c>
      <x:c r="S432" s="10" t="str">
        <x:f>IF(M432="","",MAX(O432,P432,Q432,R432))</x:f>
      </x:c>
      <x:c r="T432" s="11" t="str">
        <x:f>IF(M432="","",MIN(100,S432*100*'Config_v6'!$B$44+MIN(100,L432/'Config_v6'!$B$13*100)*'Config_v6'!$B$45+(100-'Motor_Meciuri'!BF36)*'Config_v6'!$B$46+'Motor_Meciuri'!BH36*100*'Config_v6'!$B$47))</x:f>
      </x:c>
      <x:c r="U432" s="2" t="str">
        <x:f>IF(T432="","",IF(T432&lt;=20,1,IF(T432&lt;=40,2,IF(T432&lt;=60,3,IF(T432&lt;=80,4,5)))))</x:f>
      </x:c>
      <x:c r="V432" s="2" t="str">
        <x:f>IF(M432="","",MAX(0,'Motor_Meciuri'!BF36-IF(W432="OOS PENDING",'Config_v6'!$B$35,0)-IF(L432&gt;'Config_v6'!$B$12,'Config_v6'!$B$37,IF(L432&gt;'Config_v6'!$B$11,'Config_v6'!$B$36,0))))</x:f>
      </x:c>
      <x:c r="W432" s="2" t="str">
        <x:f>IF(B432="","",IF(I432&lt;&gt;"READY","NOT RELEASED",IF(NOT(AND(J432="PASS",'Calibrare_Linii'!U12="VALID")),"INVALID",IF(NOT(AND('Calibrare_Linii'!S12="VALIDATED",AND('Calibrare_Linii'!H12=C432,ISNUMBER('Calibrare_Linii'!J12),'Calibrare_Linii'!J12&lt;='Input_Meci'!G36))),"OOS PENDING",IF(S432&lt;='Calibrare_Linii'!E12,"PASS",IF(S432&lt;='Calibrare_Linii'!F12,"PENALTY","WATCH"))))))</x:f>
      </x:c>
      <x:c r="X432" s="2" t="str">
        <x:f>IF(M432="","",IF(AND(AND(J432="PASS",'Calibrare_Linii'!U12="VALID"),'Motor_Meciuri'!K36=12,'Motor_Meciuri'!L36=12,'Motor_Meciuri'!M36="NO",'Motor_Meciuri'!BL36='Motor_Meciuri'!C36,AB432&gt;='Config_v6'!$B$50,AN432&gt;='Config_v6'!$B$51,T432&lt;='Config_v6'!$B$52,L432&lt;='Config_v6'!$B$53,ISNUMBER('Calibrare_Linii'!E12),S432&lt;='Calibrare_Linii'!E12,SUM(AK432:AM432)&gt;0),"CANDIDATE","NO"))</x:f>
      </x:c>
      <x:c r="Y432" s="2" t="str">
        <x:f>IF(B432="","",IF(I432&lt;&gt;"READY","NOT RELEASED",IF(AND(X432="CANDIDATE",V432&gt;='Config_v6'!$B$51,W432="PASS",'Calibrare_Linii'!T12="VALIDATED",AND('Calibrare_Linii'!H12=C432,ISNUMBER('Calibrare_Linii'!J12),'Calibrare_Linii'!J12&lt;='Input_Meci'!G36)),"PASS",IF(X432="CANDIDATE","OOS PENDING","FAIL"))))</x:f>
      </x:c>
      <x:c r="Z432" s="2" t="str">
        <x:f>IF(B432="","",IF(I432&lt;&gt;"READY","",IF(OR(NOT(AND(J432="PASS",'Calibrare_Linii'!U12="VALID")),L432&gt;'Config_v6'!$B$13,W432="WATCH"),5,IF(Y432="PASS",1,MIN(5,MAX('Config_v6'!$B$42,U432)+IF(W432="PENALTY",1,0))))))</x:f>
      </x:c>
      <x:c r="AA432" s="2" t="str">
        <x:f>IF(B432="","",IF(I432&lt;&gt;"READY","NOT RELEASED",IF(Z432=5,"NO BET",IF(OR(AB432&lt;'Config_v6'!$B$16,V432&lt;'Config_v6'!$B$18),"WATCH",IF(Z432=1,"DEFENSIV",IF(Z432=2,"PRUDENT",IF(Z432=3,"MODERAT","RIDICAT")))))))</x:f>
      </x:c>
      <x:c r="AB432" s="10" t="str">
        <x:f>IF(N432="","",MIN(N432,1-S432))</x:f>
      </x:c>
      <x:c r="AC432" s="2" t="str">
        <x:f>IF(AD432&lt;&gt;1,"",COUNTIFS($Z$426:$Z$439,"&lt;"&amp;Z432,$AD$426:$AD$439,1)+COUNTIFS($Z$426:$Z$439,Z432,$AB$426:$AB$439,"&gt;"&amp;AB432,$AD$426:$AD$439,1)+COUNTIFS($Z$426:$Z$439,Z432,$AB$426:$AB$439,AB432,$V$426:$V$439,"&gt;"&amp;V432,$AD$426:$AD$439,1)+COUNTIFS($Z$426:Z432,Z432,$AB$426:AB432,AB432,$V$426:V432,V432,$AD$426:AD432,1))</x:f>
      </x:c>
      <x:c r="AD432" s="2" t="n">
        <x:f>IF(OR(AA432="DEFENSIV",AA432="PRUDENT",AA432="MODERAT",AA432="RIDICAT"),1,0)</x:f>
        <x:v>0</x:v>
      </x:c>
      <x:c r="AE432" s="2" t="str">
        <x:f>IF(AD432&lt;&gt;1,"NO",IF(W432="PASS","YES",IF(W432="OOS PENDING","CONDITIONAL","NO")))</x:f>
        <x:v>NO</x:v>
      </x:c>
      <x:c r="AF432" s="2" t="n">
        <x:f>IF(AND(AD432=1,AC432=1,E432="LIVE"),1,0)</x:f>
        <x:v>0</x:v>
      </x:c>
      <x:c r="AG432" s="2" t="str">
        <x:f>IF(AF432&lt;&gt;1,"",'Dashboard'!P56)</x:f>
      </x:c>
      <x:c r="AH432" s="2" t="str">
        <x:f>IF(B432="","",IF(J432&lt;&gt;"PASS",'Motor_Meciuri'!J36,IF('Calibrare_Linii'!U12&lt;&gt;"VALID","Parametri linie invalizi",IF(L432&gt;'Config_v6'!$B$13,"Dispersie peste limita",IF(W432="WATCH","Failure peste limita",IF(AB432&lt;'Config_v6'!$B$16,"P finala sub prag",IF(V432&lt;'Config_v6'!$B$18,"Confidence sub prag",IF(E432="REPLAY","Exemplu retrospectiv; exclus din Top LIVE",IF(Y432="PASS","DEFENSIV validat",IF(W432="OOS PENDING","Eligibil; calibrare linie in monitorizare","Eligibil"))))))))))</x:f>
      </x:c>
      <x:c r="AI432" s="2" t="str">
        <x:f>IF(B432="","",'Calibrare_Linii'!V12)</x:f>
      </x:c>
      <x:c r="AJ432" s="2" t="str">
        <x:f>IF(B432="","",IF(AND('Calibrare_Linii'!T12="VALIDATED",AND('Calibrare_Linii'!H12=C432,ISNUMBER('Calibrare_Linii'!J12),'Calibrare_Linii'!J12&lt;='Input_Meci'!G36)),"DEFENSIVE VALIDATED",IF(AND('Calibrare_Linii'!S12="VALIDATED",AND('Calibrare_Linii'!H12=C432,ISNUMBER('Calibrare_Linii'!J12),'Calibrare_Linii'!J12&lt;='Input_Meci'!G36)),"TAIL VALIDATED","OOS PENDING")))</x:f>
      </x:c>
      <x:c r="AK432" s="2" t="n">
        <x:f>IF(J432&lt;&gt;"PASS",0,'Motor_Meciuri'!BR36)</x:f>
        <x:v>0</x:v>
      </x:c>
      <x:c r="AL432" s="2" t="n">
        <x:f>IF(J432&lt;&gt;"PASS",0,'Motor_Meciuri'!BS36)</x:f>
        <x:v>0</x:v>
      </x:c>
      <x:c r="AM432" s="2" t="n">
        <x:f>IF(J432&lt;&gt;"PASS",0,'Motor_Meciuri'!BT36)</x:f>
        <x:v>0</x:v>
      </x:c>
      <x:c r="AN432" s="2" t="str">
        <x:f>IF(M432="","",MAX(0,'Motor_Meciuri'!BF36-IF(L432&gt;'Config_v6'!$B$12,'Config_v6'!$B$37,IF(L432&gt;'Config_v6'!$B$11,'Config_v6'!$B$36,0))))</x:f>
      </x:c>
    </x:row>
    <x:row r="433" ht="21" customHeight="1">
      <x:c r="A433" s="2" t="n">
        <x:v>31</x:v>
      </x:c>
      <x:c r="B433" s="2" t="str">
        <x:f>IF('Motor_Meciuri'!A36="","",'Motor_Meciuri'!A36)</x:f>
      </x:c>
      <x:c r="C433" s="2" t="str">
        <x:f>IF(B433="","",'Motor_Meciuri'!B36)</x:f>
      </x:c>
      <x:c r="D433" s="2" t="str">
        <x:f>IF(B433="","",'Motor_Meciuri'!D36)</x:f>
      </x:c>
      <x:c r="E433" s="2" t="str">
        <x:f>IF(B433="","",'Motor_Meciuri'!E36)</x:f>
      </x:c>
      <x:c r="F433" s="2" t="str">
        <x:v>U11,5</x:v>
      </x:c>
      <x:c r="G433" s="2" t="str">
        <x:v>UNDER</x:v>
      </x:c>
      <x:c r="H433" s="2" t="n">
        <x:v>11</x:v>
      </x:c>
      <x:c r="I433" s="2" t="str">
        <x:f>IF(B433="","",'Motor_Meciuri'!H36)</x:f>
      </x:c>
      <x:c r="J433" s="2" t="str">
        <x:f>IF(B433="","",'Motor_Meciuri'!I36)</x:f>
      </x:c>
      <x:c r="K433" s="11" t="str">
        <x:f>IF(J433&lt;&gt;"PASS","",'Motor_Meciuri'!BD36)</x:f>
      </x:c>
      <x:c r="L433" s="11" t="str">
        <x:f>IF(J433&lt;&gt;"PASS","",'Motor_Meciuri'!AU36)</x:f>
      </x:c>
      <x:c r="M433" s="10" t="str">
        <x:f>IF(NOT(AND(J433="PASS",'Calibrare_Linii'!U13="VALID")),"",'Distributie'!AI36)</x:f>
      </x:c>
      <x:c r="N433" s="10" t="str">
        <x:f>IF(M433="","",MAX(0.01,MIN(0.99,0.5+(M433-0.5)*'Motor_Meciuri'!BG36*'Calibrare_Linii'!D13)))</x:f>
      </x:c>
      <x:c r="O433" s="10" t="str">
        <x:f>IF(M433="","",1-M433)</x:f>
      </x:c>
      <x:c r="P433" s="10" t="str">
        <x:f>IF(OR(NOT(AND(J433="PASS",'Calibrare_Linii'!U13="VALID")),AK433=0),""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*('Istoric_Nativ'!$Q$6:$Q$405&gt;H433))/AK433)</x:f>
      </x:c>
      <x:c r="Q433" s="10" t="str">
        <x:f>IF(OR(NOT(AND(J433="PASS",'Calibrare_Linii'!U13="VALID")),AL433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M36)+((('Istoric_Nativ'!$E$6:$E$405='Input_Meci'!E36)+('Istoric_Nativ'!$F$6:$F$405='Input_Meci'!E36))&gt;0)*('Istoric_Nativ'!$D$6:$D$405&gt;='Motor_Meciuri'!BN36))&gt;0)*('Istoric_Nativ'!$Q$6:$Q$405&gt;H433))/AL433)</x:f>
      </x:c>
      <x:c r="R433" s="10" t="str">
        <x:f>IF(OR(NOT(AND(J433="PASS",'Calibrare_Linii'!U13="VALID")),AM433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O36)+((('Istoric_Nativ'!$E$6:$E$405='Input_Meci'!E36)+('Istoric_Nativ'!$F$6:$F$405='Input_Meci'!E36))&gt;0)*('Istoric_Nativ'!$D$6:$D$405&gt;='Motor_Meciuri'!BP36))&gt;0)*('Istoric_Nativ'!$Q$6:$Q$405&gt;H433))/AM433)</x:f>
      </x:c>
      <x:c r="S433" s="10" t="str">
        <x:f>IF(M433="","",MAX(O433,P433,Q433,R433))</x:f>
      </x:c>
      <x:c r="T433" s="11" t="str">
        <x:f>IF(M433="","",MIN(100,S433*100*'Config_v6'!$B$44+MIN(100,L433/'Config_v6'!$B$13*100)*'Config_v6'!$B$45+(100-'Motor_Meciuri'!BF36)*'Config_v6'!$B$46+'Motor_Meciuri'!BH36*100*'Config_v6'!$B$47))</x:f>
      </x:c>
      <x:c r="U433" s="2" t="str">
        <x:f>IF(T433="","",IF(T433&lt;=20,1,IF(T433&lt;=40,2,IF(T433&lt;=60,3,IF(T433&lt;=80,4,5)))))</x:f>
      </x:c>
      <x:c r="V433" s="2" t="str">
        <x:f>IF(M433="","",MAX(0,'Motor_Meciuri'!BF36-IF(W433="OOS PENDING",'Config_v6'!$B$35,0)-IF(L433&gt;'Config_v6'!$B$12,'Config_v6'!$B$37,IF(L433&gt;'Config_v6'!$B$11,'Config_v6'!$B$36,0))))</x:f>
      </x:c>
      <x:c r="W433" s="2" t="str">
        <x:f>IF(B433="","",IF(I433&lt;&gt;"READY","NOT RELEASED",IF(NOT(AND(J433="PASS",'Calibrare_Linii'!U13="VALID")),"INVALID",IF(NOT(AND('Calibrare_Linii'!S13="VALIDATED",AND('Calibrare_Linii'!H13=C433,ISNUMBER('Calibrare_Linii'!J13),'Calibrare_Linii'!J13&lt;='Input_Meci'!G36))),"OOS PENDING",IF(S433&lt;='Calibrare_Linii'!E13,"PASS",IF(S433&lt;='Calibrare_Linii'!F13,"PENALTY","WATCH"))))))</x:f>
      </x:c>
      <x:c r="X433" s="2" t="str">
        <x:f>IF(M433="","",IF(AND(AND(J433="PASS",'Calibrare_Linii'!U13="VALID"),'Motor_Meciuri'!K36=12,'Motor_Meciuri'!L36=12,'Motor_Meciuri'!M36="NO",'Motor_Meciuri'!BL36='Motor_Meciuri'!C36,AB433&gt;='Config_v6'!$B$50,AN433&gt;='Config_v6'!$B$51,T433&lt;='Config_v6'!$B$52,L433&lt;='Config_v6'!$B$53,ISNUMBER('Calibrare_Linii'!E13),S433&lt;='Calibrare_Linii'!E13,SUM(AK433:AM433)&gt;0),"CANDIDATE","NO"))</x:f>
      </x:c>
      <x:c r="Y433" s="2" t="str">
        <x:f>IF(B433="","",IF(I433&lt;&gt;"READY","NOT RELEASED",IF(AND(X433="CANDIDATE",V433&gt;='Config_v6'!$B$51,W433="PASS",'Calibrare_Linii'!T13="VALIDATED",AND('Calibrare_Linii'!H13=C433,ISNUMBER('Calibrare_Linii'!J13),'Calibrare_Linii'!J13&lt;='Input_Meci'!G36)),"PASS",IF(X433="CANDIDATE","OOS PENDING","FAIL"))))</x:f>
      </x:c>
      <x:c r="Z433" s="2" t="str">
        <x:f>IF(B433="","",IF(I433&lt;&gt;"READY","",IF(OR(NOT(AND(J433="PASS",'Calibrare_Linii'!U13="VALID")),L433&gt;'Config_v6'!$B$13,W433="WATCH"),5,IF(Y433="PASS",1,MIN(5,MAX('Config_v6'!$B$42,U433)+IF(W433="PENALTY",1,0))))))</x:f>
      </x:c>
      <x:c r="AA433" s="2" t="str">
        <x:f>IF(B433="","",IF(I433&lt;&gt;"READY","NOT RELEASED",IF(Z433=5,"NO BET",IF(OR(AB433&lt;'Config_v6'!$B$16,V433&lt;'Config_v6'!$B$18),"WATCH",IF(Z433=1,"DEFENSIV",IF(Z433=2,"PRUDENT",IF(Z433=3,"MODERAT","RIDICAT")))))))</x:f>
      </x:c>
      <x:c r="AB433" s="10" t="str">
        <x:f>IF(N433="","",MIN(N433,1-S433))</x:f>
      </x:c>
      <x:c r="AC433" s="2" t="str">
        <x:f>IF(AD433&lt;&gt;1,"",COUNTIFS($Z$426:$Z$439,"&lt;"&amp;Z433,$AD$426:$AD$439,1)+COUNTIFS($Z$426:$Z$439,Z433,$AB$426:$AB$439,"&gt;"&amp;AB433,$AD$426:$AD$439,1)+COUNTIFS($Z$426:$Z$439,Z433,$AB$426:$AB$439,AB433,$V$426:$V$439,"&gt;"&amp;V433,$AD$426:$AD$439,1)+COUNTIFS($Z$426:Z433,Z433,$AB$426:AB433,AB433,$V$426:V433,V433,$AD$426:AD433,1))</x:f>
      </x:c>
      <x:c r="AD433" s="2" t="n">
        <x:f>IF(OR(AA433="DEFENSIV",AA433="PRUDENT",AA433="MODERAT",AA433="RIDICAT"),1,0)</x:f>
        <x:v>0</x:v>
      </x:c>
      <x:c r="AE433" s="2" t="str">
        <x:f>IF(AD433&lt;&gt;1,"NO",IF(W433="PASS","YES",IF(W433="OOS PENDING","CONDITIONAL","NO")))</x:f>
        <x:v>NO</x:v>
      </x:c>
      <x:c r="AF433" s="2" t="n">
        <x:f>IF(AND(AD433=1,AC433=1,E433="LIVE"),1,0)</x:f>
        <x:v>0</x:v>
      </x:c>
      <x:c r="AG433" s="2" t="str">
        <x:f>IF(AF433&lt;&gt;1,"",'Dashboard'!P56)</x:f>
      </x:c>
      <x:c r="AH433" s="2" t="str">
        <x:f>IF(B433="","",IF(J433&lt;&gt;"PASS",'Motor_Meciuri'!J36,IF('Calibrare_Linii'!U13&lt;&gt;"VALID","Parametri linie invalizi",IF(L433&gt;'Config_v6'!$B$13,"Dispersie peste limita",IF(W433="WATCH","Failure peste limita",IF(AB433&lt;'Config_v6'!$B$16,"P finala sub prag",IF(V433&lt;'Config_v6'!$B$18,"Confidence sub prag",IF(E433="REPLAY","Exemplu retrospectiv; exclus din Top LIVE",IF(Y433="PASS","DEFENSIV validat",IF(W433="OOS PENDING","Eligibil; calibrare linie in monitorizare","Eligibil"))))))))))</x:f>
      </x:c>
      <x:c r="AI433" s="2" t="str">
        <x:f>IF(B433="","",'Calibrare_Linii'!V13)</x:f>
      </x:c>
      <x:c r="AJ433" s="2" t="str">
        <x:f>IF(B433="","",IF(AND('Calibrare_Linii'!T13="VALIDATED",AND('Calibrare_Linii'!H13=C433,ISNUMBER('Calibrare_Linii'!J13),'Calibrare_Linii'!J13&lt;='Input_Meci'!G36)),"DEFENSIVE VALIDATED",IF(AND('Calibrare_Linii'!S13="VALIDATED",AND('Calibrare_Linii'!H13=C433,ISNUMBER('Calibrare_Linii'!J13),'Calibrare_Linii'!J13&lt;='Input_Meci'!G36)),"TAIL VALIDATED","OOS PENDING")))</x:f>
      </x:c>
      <x:c r="AK433" s="2" t="n">
        <x:f>IF(J433&lt;&gt;"PASS",0,'Motor_Meciuri'!BR36)</x:f>
        <x:v>0</x:v>
      </x:c>
      <x:c r="AL433" s="2" t="n">
        <x:f>IF(J433&lt;&gt;"PASS",0,'Motor_Meciuri'!BS36)</x:f>
        <x:v>0</x:v>
      </x:c>
      <x:c r="AM433" s="2" t="n">
        <x:f>IF(J433&lt;&gt;"PASS",0,'Motor_Meciuri'!BT36)</x:f>
        <x:v>0</x:v>
      </x:c>
      <x:c r="AN433" s="2" t="str">
        <x:f>IF(M433="","",MAX(0,'Motor_Meciuri'!BF36-IF(L433&gt;'Config_v6'!$B$12,'Config_v6'!$B$37,IF(L433&gt;'Config_v6'!$B$11,'Config_v6'!$B$36,0))))</x:f>
      </x:c>
    </x:row>
    <x:row r="434" ht="21" customHeight="1">
      <x:c r="A434" s="2" t="n">
        <x:v>31</x:v>
      </x:c>
      <x:c r="B434" s="2" t="str">
        <x:f>IF('Motor_Meciuri'!A36="","",'Motor_Meciuri'!A36)</x:f>
      </x:c>
      <x:c r="C434" s="2" t="str">
        <x:f>IF(B434="","",'Motor_Meciuri'!B36)</x:f>
      </x:c>
      <x:c r="D434" s="2" t="str">
        <x:f>IF(B434="","",'Motor_Meciuri'!D36)</x:f>
      </x:c>
      <x:c r="E434" s="2" t="str">
        <x:f>IF(B434="","",'Motor_Meciuri'!E36)</x:f>
      </x:c>
      <x:c r="F434" s="2" t="str">
        <x:v>U12,5</x:v>
      </x:c>
      <x:c r="G434" s="2" t="str">
        <x:v>UNDER</x:v>
      </x:c>
      <x:c r="H434" s="2" t="n">
        <x:v>12</x:v>
      </x:c>
      <x:c r="I434" s="2" t="str">
        <x:f>IF(B434="","",'Motor_Meciuri'!H36)</x:f>
      </x:c>
      <x:c r="J434" s="2" t="str">
        <x:f>IF(B434="","",'Motor_Meciuri'!I36)</x:f>
      </x:c>
      <x:c r="K434" s="11" t="str">
        <x:f>IF(J434&lt;&gt;"PASS","",'Motor_Meciuri'!BD36)</x:f>
      </x:c>
      <x:c r="L434" s="11" t="str">
        <x:f>IF(J434&lt;&gt;"PASS","",'Motor_Meciuri'!AU36)</x:f>
      </x:c>
      <x:c r="M434" s="10" t="str">
        <x:f>IF(NOT(AND(J434="PASS",'Calibrare_Linii'!U14="VALID")),"",'Distributie'!AJ36)</x:f>
      </x:c>
      <x:c r="N434" s="10" t="str">
        <x:f>IF(M434="","",MAX(0.01,MIN(0.99,0.5+(M434-0.5)*'Motor_Meciuri'!BG36*'Calibrare_Linii'!D14)))</x:f>
      </x:c>
      <x:c r="O434" s="10" t="str">
        <x:f>IF(M434="","",1-M434)</x:f>
      </x:c>
      <x:c r="P434" s="10" t="str">
        <x:f>IF(OR(NOT(AND(J434="PASS",'Calibrare_Linii'!U14="VALID")),AK434=0),""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*('Istoric_Nativ'!$Q$6:$Q$405&gt;H434))/AK434)</x:f>
      </x:c>
      <x:c r="Q434" s="10" t="str">
        <x:f>IF(OR(NOT(AND(J434="PASS",'Calibrare_Linii'!U14="VALID")),AL434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M36)+((('Istoric_Nativ'!$E$6:$E$405='Input_Meci'!E36)+('Istoric_Nativ'!$F$6:$F$405='Input_Meci'!E36))&gt;0)*('Istoric_Nativ'!$D$6:$D$405&gt;='Motor_Meciuri'!BN36))&gt;0)*('Istoric_Nativ'!$Q$6:$Q$405&gt;H434))/AL434)</x:f>
      </x:c>
      <x:c r="R434" s="10" t="str">
        <x:f>IF(OR(NOT(AND(J434="PASS",'Calibrare_Linii'!U14="VALID")),AM434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O36)+((('Istoric_Nativ'!$E$6:$E$405='Input_Meci'!E36)+('Istoric_Nativ'!$F$6:$F$405='Input_Meci'!E36))&gt;0)*('Istoric_Nativ'!$D$6:$D$405&gt;='Motor_Meciuri'!BP36))&gt;0)*('Istoric_Nativ'!$Q$6:$Q$405&gt;H434))/AM434)</x:f>
      </x:c>
      <x:c r="S434" s="10" t="str">
        <x:f>IF(M434="","",MAX(O434,P434,Q434,R434))</x:f>
      </x:c>
      <x:c r="T434" s="11" t="str">
        <x:f>IF(M434="","",MIN(100,S434*100*'Config_v6'!$B$44+MIN(100,L434/'Config_v6'!$B$13*100)*'Config_v6'!$B$45+(100-'Motor_Meciuri'!BF36)*'Config_v6'!$B$46+'Motor_Meciuri'!BH36*100*'Config_v6'!$B$47))</x:f>
      </x:c>
      <x:c r="U434" s="2" t="str">
        <x:f>IF(T434="","",IF(T434&lt;=20,1,IF(T434&lt;=40,2,IF(T434&lt;=60,3,IF(T434&lt;=80,4,5)))))</x:f>
      </x:c>
      <x:c r="V434" s="2" t="str">
        <x:f>IF(M434="","",MAX(0,'Motor_Meciuri'!BF36-IF(W434="OOS PENDING",'Config_v6'!$B$35,0)-IF(L434&gt;'Config_v6'!$B$12,'Config_v6'!$B$37,IF(L434&gt;'Config_v6'!$B$11,'Config_v6'!$B$36,0))))</x:f>
      </x:c>
      <x:c r="W434" s="2" t="str">
        <x:f>IF(B434="","",IF(I434&lt;&gt;"READY","NOT RELEASED",IF(NOT(AND(J434="PASS",'Calibrare_Linii'!U14="VALID")),"INVALID",IF(NOT(AND('Calibrare_Linii'!S14="VALIDATED",AND('Calibrare_Linii'!H14=C434,ISNUMBER('Calibrare_Linii'!J14),'Calibrare_Linii'!J14&lt;='Input_Meci'!G36))),"OOS PENDING",IF(S434&lt;='Calibrare_Linii'!E14,"PASS",IF(S434&lt;='Calibrare_Linii'!F14,"PENALTY","WATCH"))))))</x:f>
      </x:c>
      <x:c r="X434" s="2" t="str">
        <x:f>IF(M434="","",IF(AND(AND(J434="PASS",'Calibrare_Linii'!U14="VALID"),'Motor_Meciuri'!K36=12,'Motor_Meciuri'!L36=12,'Motor_Meciuri'!M36="NO",'Motor_Meciuri'!BL36='Motor_Meciuri'!C36,AB434&gt;='Config_v6'!$B$50,AN434&gt;='Config_v6'!$B$51,T434&lt;='Config_v6'!$B$52,L434&lt;='Config_v6'!$B$53,ISNUMBER('Calibrare_Linii'!E14),S434&lt;='Calibrare_Linii'!E14,SUM(AK434:AM434)&gt;0),"CANDIDATE","NO"))</x:f>
      </x:c>
      <x:c r="Y434" s="2" t="str">
        <x:f>IF(B434="","",IF(I434&lt;&gt;"READY","NOT RELEASED",IF(AND(X434="CANDIDATE",V434&gt;='Config_v6'!$B$51,W434="PASS",'Calibrare_Linii'!T14="VALIDATED",AND('Calibrare_Linii'!H14=C434,ISNUMBER('Calibrare_Linii'!J14),'Calibrare_Linii'!J14&lt;='Input_Meci'!G36)),"PASS",IF(X434="CANDIDATE","OOS PENDING","FAIL"))))</x:f>
      </x:c>
      <x:c r="Z434" s="2" t="str">
        <x:f>IF(B434="","",IF(I434&lt;&gt;"READY","",IF(OR(NOT(AND(J434="PASS",'Calibrare_Linii'!U14="VALID")),L434&gt;'Config_v6'!$B$13,W434="WATCH"),5,IF(Y434="PASS",1,MIN(5,MAX('Config_v6'!$B$42,U434)+IF(W434="PENALTY",1,0))))))</x:f>
      </x:c>
      <x:c r="AA434" s="2" t="str">
        <x:f>IF(B434="","",IF(I434&lt;&gt;"READY","NOT RELEASED",IF(Z434=5,"NO BET",IF(OR(AB434&lt;'Config_v6'!$B$16,V434&lt;'Config_v6'!$B$18),"WATCH",IF(Z434=1,"DEFENSIV",IF(Z434=2,"PRUDENT",IF(Z434=3,"MODERAT","RIDICAT")))))))</x:f>
      </x:c>
      <x:c r="AB434" s="10" t="str">
        <x:f>IF(N434="","",MIN(N434,1-S434))</x:f>
      </x:c>
      <x:c r="AC434" s="2" t="str">
        <x:f>IF(AD434&lt;&gt;1,"",COUNTIFS($Z$426:$Z$439,"&lt;"&amp;Z434,$AD$426:$AD$439,1)+COUNTIFS($Z$426:$Z$439,Z434,$AB$426:$AB$439,"&gt;"&amp;AB434,$AD$426:$AD$439,1)+COUNTIFS($Z$426:$Z$439,Z434,$AB$426:$AB$439,AB434,$V$426:$V$439,"&gt;"&amp;V434,$AD$426:$AD$439,1)+COUNTIFS($Z$426:Z434,Z434,$AB$426:AB434,AB434,$V$426:V434,V434,$AD$426:AD434,1))</x:f>
      </x:c>
      <x:c r="AD434" s="2" t="n">
        <x:f>IF(OR(AA434="DEFENSIV",AA434="PRUDENT",AA434="MODERAT",AA434="RIDICAT"),1,0)</x:f>
        <x:v>0</x:v>
      </x:c>
      <x:c r="AE434" s="2" t="str">
        <x:f>IF(AD434&lt;&gt;1,"NO",IF(W434="PASS","YES",IF(W434="OOS PENDING","CONDITIONAL","NO")))</x:f>
        <x:v>NO</x:v>
      </x:c>
      <x:c r="AF434" s="2" t="n">
        <x:f>IF(AND(AD434=1,AC434=1,E434="LIVE"),1,0)</x:f>
        <x:v>0</x:v>
      </x:c>
      <x:c r="AG434" s="2" t="str">
        <x:f>IF(AF434&lt;&gt;1,"",'Dashboard'!P56)</x:f>
      </x:c>
      <x:c r="AH434" s="2" t="str">
        <x:f>IF(B434="","",IF(J434&lt;&gt;"PASS",'Motor_Meciuri'!J36,IF('Calibrare_Linii'!U14&lt;&gt;"VALID","Parametri linie invalizi",IF(L434&gt;'Config_v6'!$B$13,"Dispersie peste limita",IF(W434="WATCH","Failure peste limita",IF(AB434&lt;'Config_v6'!$B$16,"P finala sub prag",IF(V434&lt;'Config_v6'!$B$18,"Confidence sub prag",IF(E434="REPLAY","Exemplu retrospectiv; exclus din Top LIVE",IF(Y434="PASS","DEFENSIV validat",IF(W434="OOS PENDING","Eligibil; calibrare linie in monitorizare","Eligibil"))))))))))</x:f>
      </x:c>
      <x:c r="AI434" s="2" t="str">
        <x:f>IF(B434="","",'Calibrare_Linii'!V14)</x:f>
      </x:c>
      <x:c r="AJ434" s="2" t="str">
        <x:f>IF(B434="","",IF(AND('Calibrare_Linii'!T14="VALIDATED",AND('Calibrare_Linii'!H14=C434,ISNUMBER('Calibrare_Linii'!J14),'Calibrare_Linii'!J14&lt;='Input_Meci'!G36)),"DEFENSIVE VALIDATED",IF(AND('Calibrare_Linii'!S14="VALIDATED",AND('Calibrare_Linii'!H14=C434,ISNUMBER('Calibrare_Linii'!J14),'Calibrare_Linii'!J14&lt;='Input_Meci'!G36)),"TAIL VALIDATED","OOS PENDING")))</x:f>
      </x:c>
      <x:c r="AK434" s="2" t="n">
        <x:f>IF(J434&lt;&gt;"PASS",0,'Motor_Meciuri'!BR36)</x:f>
        <x:v>0</x:v>
      </x:c>
      <x:c r="AL434" s="2" t="n">
        <x:f>IF(J434&lt;&gt;"PASS",0,'Motor_Meciuri'!BS36)</x:f>
        <x:v>0</x:v>
      </x:c>
      <x:c r="AM434" s="2" t="n">
        <x:f>IF(J434&lt;&gt;"PASS",0,'Motor_Meciuri'!BT36)</x:f>
        <x:v>0</x:v>
      </x:c>
      <x:c r="AN434" s="2" t="str">
        <x:f>IF(M434="","",MAX(0,'Motor_Meciuri'!BF36-IF(L434&gt;'Config_v6'!$B$12,'Config_v6'!$B$37,IF(L434&gt;'Config_v6'!$B$11,'Config_v6'!$B$36,0))))</x:f>
      </x:c>
    </x:row>
    <x:row r="435" ht="21" customHeight="1">
      <x:c r="A435" s="2" t="n">
        <x:v>31</x:v>
      </x:c>
      <x:c r="B435" s="2" t="str">
        <x:f>IF('Motor_Meciuri'!A36="","",'Motor_Meciuri'!A36)</x:f>
      </x:c>
      <x:c r="C435" s="2" t="str">
        <x:f>IF(B435="","",'Motor_Meciuri'!B36)</x:f>
      </x:c>
      <x:c r="D435" s="2" t="str">
        <x:f>IF(B435="","",'Motor_Meciuri'!D36)</x:f>
      </x:c>
      <x:c r="E435" s="2" t="str">
        <x:f>IF(B435="","",'Motor_Meciuri'!E36)</x:f>
      </x:c>
      <x:c r="F435" s="2" t="str">
        <x:v>U13,5</x:v>
      </x:c>
      <x:c r="G435" s="2" t="str">
        <x:v>UNDER</x:v>
      </x:c>
      <x:c r="H435" s="2" t="n">
        <x:v>13</x:v>
      </x:c>
      <x:c r="I435" s="2" t="str">
        <x:f>IF(B435="","",'Motor_Meciuri'!H36)</x:f>
      </x:c>
      <x:c r="J435" s="2" t="str">
        <x:f>IF(B435="","",'Motor_Meciuri'!I36)</x:f>
      </x:c>
      <x:c r="K435" s="11" t="str">
        <x:f>IF(J435&lt;&gt;"PASS","",'Motor_Meciuri'!BD36)</x:f>
      </x:c>
      <x:c r="L435" s="11" t="str">
        <x:f>IF(J435&lt;&gt;"PASS","",'Motor_Meciuri'!AU36)</x:f>
      </x:c>
      <x:c r="M435" s="10" t="str">
        <x:f>IF(NOT(AND(J435="PASS",'Calibrare_Linii'!U15="VALID")),"",'Distributie'!AK36)</x:f>
      </x:c>
      <x:c r="N435" s="10" t="str">
        <x:f>IF(M435="","",MAX(0.01,MIN(0.99,0.5+(M435-0.5)*'Motor_Meciuri'!BG36*'Calibrare_Linii'!D15)))</x:f>
      </x:c>
      <x:c r="O435" s="10" t="str">
        <x:f>IF(M435="","",1-M435)</x:f>
      </x:c>
      <x:c r="P435" s="10" t="str">
        <x:f>IF(OR(NOT(AND(J435="PASS",'Calibrare_Linii'!U15="VALID")),AK435=0),""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*('Istoric_Nativ'!$Q$6:$Q$405&gt;H435))/AK435)</x:f>
      </x:c>
      <x:c r="Q435" s="10" t="str">
        <x:f>IF(OR(NOT(AND(J435="PASS",'Calibrare_Linii'!U15="VALID")),AL435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M36)+((('Istoric_Nativ'!$E$6:$E$405='Input_Meci'!E36)+('Istoric_Nativ'!$F$6:$F$405='Input_Meci'!E36))&gt;0)*('Istoric_Nativ'!$D$6:$D$405&gt;='Motor_Meciuri'!BN36))&gt;0)*('Istoric_Nativ'!$Q$6:$Q$405&gt;H435))/AL435)</x:f>
      </x:c>
      <x:c r="R435" s="10" t="str">
        <x:f>IF(OR(NOT(AND(J435="PASS",'Calibrare_Linii'!U15="VALID")),AM435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O36)+((('Istoric_Nativ'!$E$6:$E$405='Input_Meci'!E36)+('Istoric_Nativ'!$F$6:$F$405='Input_Meci'!E36))&gt;0)*('Istoric_Nativ'!$D$6:$D$405&gt;='Motor_Meciuri'!BP36))&gt;0)*('Istoric_Nativ'!$Q$6:$Q$405&gt;H435))/AM435)</x:f>
      </x:c>
      <x:c r="S435" s="10" t="str">
        <x:f>IF(M435="","",MAX(O435,P435,Q435,R435))</x:f>
      </x:c>
      <x:c r="T435" s="11" t="str">
        <x:f>IF(M435="","",MIN(100,S435*100*'Config_v6'!$B$44+MIN(100,L435/'Config_v6'!$B$13*100)*'Config_v6'!$B$45+(100-'Motor_Meciuri'!BF36)*'Config_v6'!$B$46+'Motor_Meciuri'!BH36*100*'Config_v6'!$B$47))</x:f>
      </x:c>
      <x:c r="U435" s="2" t="str">
        <x:f>IF(T435="","",IF(T435&lt;=20,1,IF(T435&lt;=40,2,IF(T435&lt;=60,3,IF(T435&lt;=80,4,5)))))</x:f>
      </x:c>
      <x:c r="V435" s="2" t="str">
        <x:f>IF(M435="","",MAX(0,'Motor_Meciuri'!BF36-IF(W435="OOS PENDING",'Config_v6'!$B$35,0)-IF(L435&gt;'Config_v6'!$B$12,'Config_v6'!$B$37,IF(L435&gt;'Config_v6'!$B$11,'Config_v6'!$B$36,0))))</x:f>
      </x:c>
      <x:c r="W435" s="2" t="str">
        <x:f>IF(B435="","",IF(I435&lt;&gt;"READY","NOT RELEASED",IF(NOT(AND(J435="PASS",'Calibrare_Linii'!U15="VALID")),"INVALID",IF(NOT(AND('Calibrare_Linii'!S15="VALIDATED",AND('Calibrare_Linii'!H15=C435,ISNUMBER('Calibrare_Linii'!J15),'Calibrare_Linii'!J15&lt;='Input_Meci'!G36))),"OOS PENDING",IF(S435&lt;='Calibrare_Linii'!E15,"PASS",IF(S435&lt;='Calibrare_Linii'!F15,"PENALTY","WATCH"))))))</x:f>
      </x:c>
      <x:c r="X435" s="2" t="str">
        <x:f>IF(M435="","",IF(AND(AND(J435="PASS",'Calibrare_Linii'!U15="VALID"),'Motor_Meciuri'!K36=12,'Motor_Meciuri'!L36=12,'Motor_Meciuri'!M36="NO",'Motor_Meciuri'!BL36='Motor_Meciuri'!C36,AB435&gt;='Config_v6'!$B$50,AN435&gt;='Config_v6'!$B$51,T435&lt;='Config_v6'!$B$52,L435&lt;='Config_v6'!$B$53,ISNUMBER('Calibrare_Linii'!E15),S435&lt;='Calibrare_Linii'!E15,SUM(AK435:AM435)&gt;0),"CANDIDATE","NO"))</x:f>
      </x:c>
      <x:c r="Y435" s="2" t="str">
        <x:f>IF(B435="","",IF(I435&lt;&gt;"READY","NOT RELEASED",IF(AND(X435="CANDIDATE",V435&gt;='Config_v6'!$B$51,W435="PASS",'Calibrare_Linii'!T15="VALIDATED",AND('Calibrare_Linii'!H15=C435,ISNUMBER('Calibrare_Linii'!J15),'Calibrare_Linii'!J15&lt;='Input_Meci'!G36)),"PASS",IF(X435="CANDIDATE","OOS PENDING","FAIL"))))</x:f>
      </x:c>
      <x:c r="Z435" s="2" t="str">
        <x:f>IF(B435="","",IF(I435&lt;&gt;"READY","",IF(OR(NOT(AND(J435="PASS",'Calibrare_Linii'!U15="VALID")),L435&gt;'Config_v6'!$B$13,W435="WATCH"),5,IF(Y435="PASS",1,MIN(5,MAX('Config_v6'!$B$42,U435)+IF(W435="PENALTY",1,0))))))</x:f>
      </x:c>
      <x:c r="AA435" s="2" t="str">
        <x:f>IF(B435="","",IF(I435&lt;&gt;"READY","NOT RELEASED",IF(Z435=5,"NO BET",IF(OR(AB435&lt;'Config_v6'!$B$16,V435&lt;'Config_v6'!$B$18),"WATCH",IF(Z435=1,"DEFENSIV",IF(Z435=2,"PRUDENT",IF(Z435=3,"MODERAT","RIDICAT")))))))</x:f>
      </x:c>
      <x:c r="AB435" s="10" t="str">
        <x:f>IF(N435="","",MIN(N435,1-S435))</x:f>
      </x:c>
      <x:c r="AC435" s="2" t="str">
        <x:f>IF(AD435&lt;&gt;1,"",COUNTIFS($Z$426:$Z$439,"&lt;"&amp;Z435,$AD$426:$AD$439,1)+COUNTIFS($Z$426:$Z$439,Z435,$AB$426:$AB$439,"&gt;"&amp;AB435,$AD$426:$AD$439,1)+COUNTIFS($Z$426:$Z$439,Z435,$AB$426:$AB$439,AB435,$V$426:$V$439,"&gt;"&amp;V435,$AD$426:$AD$439,1)+COUNTIFS($Z$426:Z435,Z435,$AB$426:AB435,AB435,$V$426:V435,V435,$AD$426:AD435,1))</x:f>
      </x:c>
      <x:c r="AD435" s="2" t="n">
        <x:f>IF(OR(AA435="DEFENSIV",AA435="PRUDENT",AA435="MODERAT",AA435="RIDICAT"),1,0)</x:f>
        <x:v>0</x:v>
      </x:c>
      <x:c r="AE435" s="2" t="str">
        <x:f>IF(AD435&lt;&gt;1,"NO",IF(W435="PASS","YES",IF(W435="OOS PENDING","CONDITIONAL","NO")))</x:f>
        <x:v>NO</x:v>
      </x:c>
      <x:c r="AF435" s="2" t="n">
        <x:f>IF(AND(AD435=1,AC435=1,E435="LIVE"),1,0)</x:f>
        <x:v>0</x:v>
      </x:c>
      <x:c r="AG435" s="2" t="str">
        <x:f>IF(AF435&lt;&gt;1,"",'Dashboard'!P56)</x:f>
      </x:c>
      <x:c r="AH435" s="2" t="str">
        <x:f>IF(B435="","",IF(J435&lt;&gt;"PASS",'Motor_Meciuri'!J36,IF('Calibrare_Linii'!U15&lt;&gt;"VALID","Parametri linie invalizi",IF(L435&gt;'Config_v6'!$B$13,"Dispersie peste limita",IF(W435="WATCH","Failure peste limita",IF(AB435&lt;'Config_v6'!$B$16,"P finala sub prag",IF(V435&lt;'Config_v6'!$B$18,"Confidence sub prag",IF(E435="REPLAY","Exemplu retrospectiv; exclus din Top LIVE",IF(Y435="PASS","DEFENSIV validat",IF(W435="OOS PENDING","Eligibil; calibrare linie in monitorizare","Eligibil"))))))))))</x:f>
      </x:c>
      <x:c r="AI435" s="2" t="str">
        <x:f>IF(B435="","",'Calibrare_Linii'!V15)</x:f>
      </x:c>
      <x:c r="AJ435" s="2" t="str">
        <x:f>IF(B435="","",IF(AND('Calibrare_Linii'!T15="VALIDATED",AND('Calibrare_Linii'!H15=C435,ISNUMBER('Calibrare_Linii'!J15),'Calibrare_Linii'!J15&lt;='Input_Meci'!G36)),"DEFENSIVE VALIDATED",IF(AND('Calibrare_Linii'!S15="VALIDATED",AND('Calibrare_Linii'!H15=C435,ISNUMBER('Calibrare_Linii'!J15),'Calibrare_Linii'!J15&lt;='Input_Meci'!G36)),"TAIL VALIDATED","OOS PENDING")))</x:f>
      </x:c>
      <x:c r="AK435" s="2" t="n">
        <x:f>IF(J435&lt;&gt;"PASS",0,'Motor_Meciuri'!BR36)</x:f>
        <x:v>0</x:v>
      </x:c>
      <x:c r="AL435" s="2" t="n">
        <x:f>IF(J435&lt;&gt;"PASS",0,'Motor_Meciuri'!BS36)</x:f>
        <x:v>0</x:v>
      </x:c>
      <x:c r="AM435" s="2" t="n">
        <x:f>IF(J435&lt;&gt;"PASS",0,'Motor_Meciuri'!BT36)</x:f>
        <x:v>0</x:v>
      </x:c>
      <x:c r="AN435" s="2" t="str">
        <x:f>IF(M435="","",MAX(0,'Motor_Meciuri'!BF36-IF(L435&gt;'Config_v6'!$B$12,'Config_v6'!$B$37,IF(L435&gt;'Config_v6'!$B$11,'Config_v6'!$B$36,0))))</x:f>
      </x:c>
    </x:row>
    <x:row r="436" ht="21" customHeight="1">
      <x:c r="A436" s="2" t="n">
        <x:v>31</x:v>
      </x:c>
      <x:c r="B436" s="2" t="str">
        <x:f>IF('Motor_Meciuri'!A36="","",'Motor_Meciuri'!A36)</x:f>
      </x:c>
      <x:c r="C436" s="2" t="str">
        <x:f>IF(B436="","",'Motor_Meciuri'!B36)</x:f>
      </x:c>
      <x:c r="D436" s="2" t="str">
        <x:f>IF(B436="","",'Motor_Meciuri'!D36)</x:f>
      </x:c>
      <x:c r="E436" s="2" t="str">
        <x:f>IF(B436="","",'Motor_Meciuri'!E36)</x:f>
      </x:c>
      <x:c r="F436" s="2" t="str">
        <x:v>U14,5</x:v>
      </x:c>
      <x:c r="G436" s="2" t="str">
        <x:v>UNDER</x:v>
      </x:c>
      <x:c r="H436" s="2" t="n">
        <x:v>14</x:v>
      </x:c>
      <x:c r="I436" s="2" t="str">
        <x:f>IF(B436="","",'Motor_Meciuri'!H36)</x:f>
      </x:c>
      <x:c r="J436" s="2" t="str">
        <x:f>IF(B436="","",'Motor_Meciuri'!I36)</x:f>
      </x:c>
      <x:c r="K436" s="11" t="str">
        <x:f>IF(J436&lt;&gt;"PASS","",'Motor_Meciuri'!BD36)</x:f>
      </x:c>
      <x:c r="L436" s="11" t="str">
        <x:f>IF(J436&lt;&gt;"PASS","",'Motor_Meciuri'!AU36)</x:f>
      </x:c>
      <x:c r="M436" s="10" t="str">
        <x:f>IF(NOT(AND(J436="PASS",'Calibrare_Linii'!U16="VALID")),"",'Distributie'!AL36)</x:f>
      </x:c>
      <x:c r="N436" s="10" t="str">
        <x:f>IF(M436="","",MAX(0.01,MIN(0.99,0.5+(M436-0.5)*'Motor_Meciuri'!BG36*'Calibrare_Linii'!D16)))</x:f>
      </x:c>
      <x:c r="O436" s="10" t="str">
        <x:f>IF(M436="","",1-M436)</x:f>
      </x:c>
      <x:c r="P436" s="10" t="str">
        <x:f>IF(OR(NOT(AND(J436="PASS",'Calibrare_Linii'!U16="VALID")),AK436=0),""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*('Istoric_Nativ'!$Q$6:$Q$405&gt;H436))/AK436)</x:f>
      </x:c>
      <x:c r="Q436" s="10" t="str">
        <x:f>IF(OR(NOT(AND(J436="PASS",'Calibrare_Linii'!U16="VALID")),AL436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M36)+((('Istoric_Nativ'!$E$6:$E$405='Input_Meci'!E36)+('Istoric_Nativ'!$F$6:$F$405='Input_Meci'!E36))&gt;0)*('Istoric_Nativ'!$D$6:$D$405&gt;='Motor_Meciuri'!BN36))&gt;0)*('Istoric_Nativ'!$Q$6:$Q$405&gt;H436))/AL436)</x:f>
      </x:c>
      <x:c r="R436" s="10" t="str">
        <x:f>IF(OR(NOT(AND(J436="PASS",'Calibrare_Linii'!U16="VALID")),AM436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O36)+((('Istoric_Nativ'!$E$6:$E$405='Input_Meci'!E36)+('Istoric_Nativ'!$F$6:$F$405='Input_Meci'!E36))&gt;0)*('Istoric_Nativ'!$D$6:$D$405&gt;='Motor_Meciuri'!BP36))&gt;0)*('Istoric_Nativ'!$Q$6:$Q$405&gt;H436))/AM436)</x:f>
      </x:c>
      <x:c r="S436" s="10" t="str">
        <x:f>IF(M436="","",MAX(O436,P436,Q436,R436))</x:f>
      </x:c>
      <x:c r="T436" s="11" t="str">
        <x:f>IF(M436="","",MIN(100,S436*100*'Config_v6'!$B$44+MIN(100,L436/'Config_v6'!$B$13*100)*'Config_v6'!$B$45+(100-'Motor_Meciuri'!BF36)*'Config_v6'!$B$46+'Motor_Meciuri'!BH36*100*'Config_v6'!$B$47))</x:f>
      </x:c>
      <x:c r="U436" s="2" t="str">
        <x:f>IF(T436="","",IF(T436&lt;=20,1,IF(T436&lt;=40,2,IF(T436&lt;=60,3,IF(T436&lt;=80,4,5)))))</x:f>
      </x:c>
      <x:c r="V436" s="2" t="str">
        <x:f>IF(M436="","",MAX(0,'Motor_Meciuri'!BF36-IF(W436="OOS PENDING",'Config_v6'!$B$35,0)-IF(L436&gt;'Config_v6'!$B$12,'Config_v6'!$B$37,IF(L436&gt;'Config_v6'!$B$11,'Config_v6'!$B$36,0))))</x:f>
      </x:c>
      <x:c r="W436" s="2" t="str">
        <x:f>IF(B436="","",IF(I436&lt;&gt;"READY","NOT RELEASED",IF(NOT(AND(J436="PASS",'Calibrare_Linii'!U16="VALID")),"INVALID",IF(NOT(AND('Calibrare_Linii'!S16="VALIDATED",AND('Calibrare_Linii'!H16=C436,ISNUMBER('Calibrare_Linii'!J16),'Calibrare_Linii'!J16&lt;='Input_Meci'!G36))),"OOS PENDING",IF(S436&lt;='Calibrare_Linii'!E16,"PASS",IF(S436&lt;='Calibrare_Linii'!F16,"PENALTY","WATCH"))))))</x:f>
      </x:c>
      <x:c r="X436" s="2" t="str">
        <x:f>IF(M436="","",IF(AND(AND(J436="PASS",'Calibrare_Linii'!U16="VALID"),'Motor_Meciuri'!K36=12,'Motor_Meciuri'!L36=12,'Motor_Meciuri'!M36="NO",'Motor_Meciuri'!BL36='Motor_Meciuri'!C36,AB436&gt;='Config_v6'!$B$50,AN436&gt;='Config_v6'!$B$51,T436&lt;='Config_v6'!$B$52,L436&lt;='Config_v6'!$B$53,ISNUMBER('Calibrare_Linii'!E16),S436&lt;='Calibrare_Linii'!E16,SUM(AK436:AM436)&gt;0),"CANDIDATE","NO"))</x:f>
      </x:c>
      <x:c r="Y436" s="2" t="str">
        <x:f>IF(B436="","",IF(I436&lt;&gt;"READY","NOT RELEASED",IF(AND(X436="CANDIDATE",V436&gt;='Config_v6'!$B$51,W436="PASS",'Calibrare_Linii'!T16="VALIDATED",AND('Calibrare_Linii'!H16=C436,ISNUMBER('Calibrare_Linii'!J16),'Calibrare_Linii'!J16&lt;='Input_Meci'!G36)),"PASS",IF(X436="CANDIDATE","OOS PENDING","FAIL"))))</x:f>
      </x:c>
      <x:c r="Z436" s="2" t="str">
        <x:f>IF(B436="","",IF(I436&lt;&gt;"READY","",IF(OR(NOT(AND(J436="PASS",'Calibrare_Linii'!U16="VALID")),L436&gt;'Config_v6'!$B$13,W436="WATCH"),5,IF(Y436="PASS",1,MIN(5,MAX('Config_v6'!$B$42,U436)+IF(W436="PENALTY",1,0))))))</x:f>
      </x:c>
      <x:c r="AA436" s="2" t="str">
        <x:f>IF(B436="","",IF(I436&lt;&gt;"READY","NOT RELEASED",IF(Z436=5,"NO BET",IF(OR(AB436&lt;'Config_v6'!$B$16,V436&lt;'Config_v6'!$B$18),"WATCH",IF(Z436=1,"DEFENSIV",IF(Z436=2,"PRUDENT",IF(Z436=3,"MODERAT","RIDICAT")))))))</x:f>
      </x:c>
      <x:c r="AB436" s="10" t="str">
        <x:f>IF(N436="","",MIN(N436,1-S436))</x:f>
      </x:c>
      <x:c r="AC436" s="2" t="str">
        <x:f>IF(AD436&lt;&gt;1,"",COUNTIFS($Z$426:$Z$439,"&lt;"&amp;Z436,$AD$426:$AD$439,1)+COUNTIFS($Z$426:$Z$439,Z436,$AB$426:$AB$439,"&gt;"&amp;AB436,$AD$426:$AD$439,1)+COUNTIFS($Z$426:$Z$439,Z436,$AB$426:$AB$439,AB436,$V$426:$V$439,"&gt;"&amp;V436,$AD$426:$AD$439,1)+COUNTIFS($Z$426:Z436,Z436,$AB$426:AB436,AB436,$V$426:V436,V436,$AD$426:AD436,1))</x:f>
      </x:c>
      <x:c r="AD436" s="2" t="n">
        <x:f>IF(OR(AA436="DEFENSIV",AA436="PRUDENT",AA436="MODERAT",AA436="RIDICAT"),1,0)</x:f>
        <x:v>0</x:v>
      </x:c>
      <x:c r="AE436" s="2" t="str">
        <x:f>IF(AD436&lt;&gt;1,"NO",IF(W436="PASS","YES",IF(W436="OOS PENDING","CONDITIONAL","NO")))</x:f>
        <x:v>NO</x:v>
      </x:c>
      <x:c r="AF436" s="2" t="n">
        <x:f>IF(AND(AD436=1,AC436=1,E436="LIVE"),1,0)</x:f>
        <x:v>0</x:v>
      </x:c>
      <x:c r="AG436" s="2" t="str">
        <x:f>IF(AF436&lt;&gt;1,"",'Dashboard'!P56)</x:f>
      </x:c>
      <x:c r="AH436" s="2" t="str">
        <x:f>IF(B436="","",IF(J436&lt;&gt;"PASS",'Motor_Meciuri'!J36,IF('Calibrare_Linii'!U16&lt;&gt;"VALID","Parametri linie invalizi",IF(L436&gt;'Config_v6'!$B$13,"Dispersie peste limita",IF(W436="WATCH","Failure peste limita",IF(AB436&lt;'Config_v6'!$B$16,"P finala sub prag",IF(V436&lt;'Config_v6'!$B$18,"Confidence sub prag",IF(E436="REPLAY","Exemplu retrospectiv; exclus din Top LIVE",IF(Y436="PASS","DEFENSIV validat",IF(W436="OOS PENDING","Eligibil; calibrare linie in monitorizare","Eligibil"))))))))))</x:f>
      </x:c>
      <x:c r="AI436" s="2" t="str">
        <x:f>IF(B436="","",'Calibrare_Linii'!V16)</x:f>
      </x:c>
      <x:c r="AJ436" s="2" t="str">
        <x:f>IF(B436="","",IF(AND('Calibrare_Linii'!T16="VALIDATED",AND('Calibrare_Linii'!H16=C436,ISNUMBER('Calibrare_Linii'!J16),'Calibrare_Linii'!J16&lt;='Input_Meci'!G36)),"DEFENSIVE VALIDATED",IF(AND('Calibrare_Linii'!S16="VALIDATED",AND('Calibrare_Linii'!H16=C436,ISNUMBER('Calibrare_Linii'!J16),'Calibrare_Linii'!J16&lt;='Input_Meci'!G36)),"TAIL VALIDATED","OOS PENDING")))</x:f>
      </x:c>
      <x:c r="AK436" s="2" t="n">
        <x:f>IF(J436&lt;&gt;"PASS",0,'Motor_Meciuri'!BR36)</x:f>
        <x:v>0</x:v>
      </x:c>
      <x:c r="AL436" s="2" t="n">
        <x:f>IF(J436&lt;&gt;"PASS",0,'Motor_Meciuri'!BS36)</x:f>
        <x:v>0</x:v>
      </x:c>
      <x:c r="AM436" s="2" t="n">
        <x:f>IF(J436&lt;&gt;"PASS",0,'Motor_Meciuri'!BT36)</x:f>
        <x:v>0</x:v>
      </x:c>
      <x:c r="AN436" s="2" t="str">
        <x:f>IF(M436="","",MAX(0,'Motor_Meciuri'!BF36-IF(L436&gt;'Config_v6'!$B$12,'Config_v6'!$B$37,IF(L436&gt;'Config_v6'!$B$11,'Config_v6'!$B$36,0))))</x:f>
      </x:c>
    </x:row>
    <x:row r="437" ht="21" customHeight="1">
      <x:c r="A437" s="2" t="n">
        <x:v>31</x:v>
      </x:c>
      <x:c r="B437" s="2" t="str">
        <x:f>IF('Motor_Meciuri'!A36="","",'Motor_Meciuri'!A36)</x:f>
      </x:c>
      <x:c r="C437" s="2" t="str">
        <x:f>IF(B437="","",'Motor_Meciuri'!B36)</x:f>
      </x:c>
      <x:c r="D437" s="2" t="str">
        <x:f>IF(B437="","",'Motor_Meciuri'!D36)</x:f>
      </x:c>
      <x:c r="E437" s="2" t="str">
        <x:f>IF(B437="","",'Motor_Meciuri'!E36)</x:f>
      </x:c>
      <x:c r="F437" s="2" t="str">
        <x:v>U15,5</x:v>
      </x:c>
      <x:c r="G437" s="2" t="str">
        <x:v>UNDER</x:v>
      </x:c>
      <x:c r="H437" s="2" t="n">
        <x:v>15</x:v>
      </x:c>
      <x:c r="I437" s="2" t="str">
        <x:f>IF(B437="","",'Motor_Meciuri'!H36)</x:f>
      </x:c>
      <x:c r="J437" s="2" t="str">
        <x:f>IF(B437="","",'Motor_Meciuri'!I36)</x:f>
      </x:c>
      <x:c r="K437" s="11" t="str">
        <x:f>IF(J437&lt;&gt;"PASS","",'Motor_Meciuri'!BD36)</x:f>
      </x:c>
      <x:c r="L437" s="11" t="str">
        <x:f>IF(J437&lt;&gt;"PASS","",'Motor_Meciuri'!AU36)</x:f>
      </x:c>
      <x:c r="M437" s="10" t="str">
        <x:f>IF(NOT(AND(J437="PASS",'Calibrare_Linii'!U17="VALID")),"",'Distributie'!AM36)</x:f>
      </x:c>
      <x:c r="N437" s="10" t="str">
        <x:f>IF(M437="","",MAX(0.01,MIN(0.99,0.5+(M437-0.5)*'Motor_Meciuri'!BG36*'Calibrare_Linii'!D17)))</x:f>
      </x:c>
      <x:c r="O437" s="10" t="str">
        <x:f>IF(M437="","",1-M437)</x:f>
      </x:c>
      <x:c r="P437" s="10" t="str">
        <x:f>IF(OR(NOT(AND(J437="PASS",'Calibrare_Linii'!U17="VALID")),AK437=0),""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*('Istoric_Nativ'!$Q$6:$Q$405&gt;H437))/AK437)</x:f>
      </x:c>
      <x:c r="Q437" s="10" t="str">
        <x:f>IF(OR(NOT(AND(J437="PASS",'Calibrare_Linii'!U17="VALID")),AL437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M36)+((('Istoric_Nativ'!$E$6:$E$405='Input_Meci'!E36)+('Istoric_Nativ'!$F$6:$F$405='Input_Meci'!E36))&gt;0)*('Istoric_Nativ'!$D$6:$D$405&gt;='Motor_Meciuri'!BN36))&gt;0)*('Istoric_Nativ'!$Q$6:$Q$405&gt;H437))/AL437)</x:f>
      </x:c>
      <x:c r="R437" s="10" t="str">
        <x:f>IF(OR(NOT(AND(J437="PASS",'Calibrare_Linii'!U17="VALID")),AM437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O36)+((('Istoric_Nativ'!$E$6:$E$405='Input_Meci'!E36)+('Istoric_Nativ'!$F$6:$F$405='Input_Meci'!E36))&gt;0)*('Istoric_Nativ'!$D$6:$D$405&gt;='Motor_Meciuri'!BP36))&gt;0)*('Istoric_Nativ'!$Q$6:$Q$405&gt;H437))/AM437)</x:f>
      </x:c>
      <x:c r="S437" s="10" t="str">
        <x:f>IF(M437="","",MAX(O437,P437,Q437,R437))</x:f>
      </x:c>
      <x:c r="T437" s="11" t="str">
        <x:f>IF(M437="","",MIN(100,S437*100*'Config_v6'!$B$44+MIN(100,L437/'Config_v6'!$B$13*100)*'Config_v6'!$B$45+(100-'Motor_Meciuri'!BF36)*'Config_v6'!$B$46+'Motor_Meciuri'!BH36*100*'Config_v6'!$B$47))</x:f>
      </x:c>
      <x:c r="U437" s="2" t="str">
        <x:f>IF(T437="","",IF(T437&lt;=20,1,IF(T437&lt;=40,2,IF(T437&lt;=60,3,IF(T437&lt;=80,4,5)))))</x:f>
      </x:c>
      <x:c r="V437" s="2" t="str">
        <x:f>IF(M437="","",MAX(0,'Motor_Meciuri'!BF36-IF(W437="OOS PENDING",'Config_v6'!$B$35,0)-IF(L437&gt;'Config_v6'!$B$12,'Config_v6'!$B$37,IF(L437&gt;'Config_v6'!$B$11,'Config_v6'!$B$36,0))))</x:f>
      </x:c>
      <x:c r="W437" s="2" t="str">
        <x:f>IF(B437="","",IF(I437&lt;&gt;"READY","NOT RELEASED",IF(NOT(AND(J437="PASS",'Calibrare_Linii'!U17="VALID")),"INVALID",IF(NOT(AND('Calibrare_Linii'!S17="VALIDATED",AND('Calibrare_Linii'!H17=C437,ISNUMBER('Calibrare_Linii'!J17),'Calibrare_Linii'!J17&lt;='Input_Meci'!G36))),"OOS PENDING",IF(S437&lt;='Calibrare_Linii'!E17,"PASS",IF(S437&lt;='Calibrare_Linii'!F17,"PENALTY","WATCH"))))))</x:f>
      </x:c>
      <x:c r="X437" s="2" t="str">
        <x:f>IF(M437="","",IF(AND(AND(J437="PASS",'Calibrare_Linii'!U17="VALID"),'Motor_Meciuri'!K36=12,'Motor_Meciuri'!L36=12,'Motor_Meciuri'!M36="NO",'Motor_Meciuri'!BL36='Motor_Meciuri'!C36,AB437&gt;='Config_v6'!$B$50,AN437&gt;='Config_v6'!$B$51,T437&lt;='Config_v6'!$B$52,L437&lt;='Config_v6'!$B$53,ISNUMBER('Calibrare_Linii'!E17),S437&lt;='Calibrare_Linii'!E17,SUM(AK437:AM437)&gt;0),"CANDIDATE","NO"))</x:f>
      </x:c>
      <x:c r="Y437" s="2" t="str">
        <x:f>IF(B437="","",IF(I437&lt;&gt;"READY","NOT RELEASED",IF(AND(X437="CANDIDATE",V437&gt;='Config_v6'!$B$51,W437="PASS",'Calibrare_Linii'!T17="VALIDATED",AND('Calibrare_Linii'!H17=C437,ISNUMBER('Calibrare_Linii'!J17),'Calibrare_Linii'!J17&lt;='Input_Meci'!G36)),"PASS",IF(X437="CANDIDATE","OOS PENDING","FAIL"))))</x:f>
      </x:c>
      <x:c r="Z437" s="2" t="str">
        <x:f>IF(B437="","",IF(I437&lt;&gt;"READY","",IF(OR(NOT(AND(J437="PASS",'Calibrare_Linii'!U17="VALID")),L437&gt;'Config_v6'!$B$13,W437="WATCH"),5,IF(Y437="PASS",1,MIN(5,MAX('Config_v6'!$B$42,U437)+IF(W437="PENALTY",1,0))))))</x:f>
      </x:c>
      <x:c r="AA437" s="2" t="str">
        <x:f>IF(B437="","",IF(I437&lt;&gt;"READY","NOT RELEASED",IF(Z437=5,"NO BET",IF(OR(AB437&lt;'Config_v6'!$B$16,V437&lt;'Config_v6'!$B$18),"WATCH",IF(Z437=1,"DEFENSIV",IF(Z437=2,"PRUDENT",IF(Z437=3,"MODERAT","RIDICAT")))))))</x:f>
      </x:c>
      <x:c r="AB437" s="10" t="str">
        <x:f>IF(N437="","",MIN(N437,1-S437))</x:f>
      </x:c>
      <x:c r="AC437" s="2" t="str">
        <x:f>IF(AD437&lt;&gt;1,"",COUNTIFS($Z$426:$Z$439,"&lt;"&amp;Z437,$AD$426:$AD$439,1)+COUNTIFS($Z$426:$Z$439,Z437,$AB$426:$AB$439,"&gt;"&amp;AB437,$AD$426:$AD$439,1)+COUNTIFS($Z$426:$Z$439,Z437,$AB$426:$AB$439,AB437,$V$426:$V$439,"&gt;"&amp;V437,$AD$426:$AD$439,1)+COUNTIFS($Z$426:Z437,Z437,$AB$426:AB437,AB437,$V$426:V437,V437,$AD$426:AD437,1))</x:f>
      </x:c>
      <x:c r="AD437" s="2" t="n">
        <x:f>IF(OR(AA437="DEFENSIV",AA437="PRUDENT",AA437="MODERAT",AA437="RIDICAT"),1,0)</x:f>
        <x:v>0</x:v>
      </x:c>
      <x:c r="AE437" s="2" t="str">
        <x:f>IF(AD437&lt;&gt;1,"NO",IF(W437="PASS","YES",IF(W437="OOS PENDING","CONDITIONAL","NO")))</x:f>
        <x:v>NO</x:v>
      </x:c>
      <x:c r="AF437" s="2" t="n">
        <x:f>IF(AND(AD437=1,AC437=1,E437="LIVE"),1,0)</x:f>
        <x:v>0</x:v>
      </x:c>
      <x:c r="AG437" s="2" t="str">
        <x:f>IF(AF437&lt;&gt;1,"",'Dashboard'!P56)</x:f>
      </x:c>
      <x:c r="AH437" s="2" t="str">
        <x:f>IF(B437="","",IF(J437&lt;&gt;"PASS",'Motor_Meciuri'!J36,IF('Calibrare_Linii'!U17&lt;&gt;"VALID","Parametri linie invalizi",IF(L437&gt;'Config_v6'!$B$13,"Dispersie peste limita",IF(W437="WATCH","Failure peste limita",IF(AB437&lt;'Config_v6'!$B$16,"P finala sub prag",IF(V437&lt;'Config_v6'!$B$18,"Confidence sub prag",IF(E437="REPLAY","Exemplu retrospectiv; exclus din Top LIVE",IF(Y437="PASS","DEFENSIV validat",IF(W437="OOS PENDING","Eligibil; calibrare linie in monitorizare","Eligibil"))))))))))</x:f>
      </x:c>
      <x:c r="AI437" s="2" t="str">
        <x:f>IF(B437="","",'Calibrare_Linii'!V17)</x:f>
      </x:c>
      <x:c r="AJ437" s="2" t="str">
        <x:f>IF(B437="","",IF(AND('Calibrare_Linii'!T17="VALIDATED",AND('Calibrare_Linii'!H17=C437,ISNUMBER('Calibrare_Linii'!J17),'Calibrare_Linii'!J17&lt;='Input_Meci'!G36)),"DEFENSIVE VALIDATED",IF(AND('Calibrare_Linii'!S17="VALIDATED",AND('Calibrare_Linii'!H17=C437,ISNUMBER('Calibrare_Linii'!J17),'Calibrare_Linii'!J17&lt;='Input_Meci'!G36)),"TAIL VALIDATED","OOS PENDING")))</x:f>
      </x:c>
      <x:c r="AK437" s="2" t="n">
        <x:f>IF(J437&lt;&gt;"PASS",0,'Motor_Meciuri'!BR36)</x:f>
        <x:v>0</x:v>
      </x:c>
      <x:c r="AL437" s="2" t="n">
        <x:f>IF(J437&lt;&gt;"PASS",0,'Motor_Meciuri'!BS36)</x:f>
        <x:v>0</x:v>
      </x:c>
      <x:c r="AM437" s="2" t="n">
        <x:f>IF(J437&lt;&gt;"PASS",0,'Motor_Meciuri'!BT36)</x:f>
        <x:v>0</x:v>
      </x:c>
      <x:c r="AN437" s="2" t="str">
        <x:f>IF(M437="","",MAX(0,'Motor_Meciuri'!BF36-IF(L437&gt;'Config_v6'!$B$12,'Config_v6'!$B$37,IF(L437&gt;'Config_v6'!$B$11,'Config_v6'!$B$36,0))))</x:f>
      </x:c>
    </x:row>
    <x:row r="438" ht="21" customHeight="1">
      <x:c r="A438" s="2" t="n">
        <x:v>31</x:v>
      </x:c>
      <x:c r="B438" s="2" t="str">
        <x:f>IF('Motor_Meciuri'!A36="","",'Motor_Meciuri'!A36)</x:f>
      </x:c>
      <x:c r="C438" s="2" t="str">
        <x:f>IF(B438="","",'Motor_Meciuri'!B36)</x:f>
      </x:c>
      <x:c r="D438" s="2" t="str">
        <x:f>IF(B438="","",'Motor_Meciuri'!D36)</x:f>
      </x:c>
      <x:c r="E438" s="2" t="str">
        <x:f>IF(B438="","",'Motor_Meciuri'!E36)</x:f>
      </x:c>
      <x:c r="F438" s="2" t="str">
        <x:v>U16,5</x:v>
      </x:c>
      <x:c r="G438" s="2" t="str">
        <x:v>UNDER</x:v>
      </x:c>
      <x:c r="H438" s="2" t="n">
        <x:v>16</x:v>
      </x:c>
      <x:c r="I438" s="2" t="str">
        <x:f>IF(B438="","",'Motor_Meciuri'!H36)</x:f>
      </x:c>
      <x:c r="J438" s="2" t="str">
        <x:f>IF(B438="","",'Motor_Meciuri'!I36)</x:f>
      </x:c>
      <x:c r="K438" s="11" t="str">
        <x:f>IF(J438&lt;&gt;"PASS","",'Motor_Meciuri'!BD36)</x:f>
      </x:c>
      <x:c r="L438" s="11" t="str">
        <x:f>IF(J438&lt;&gt;"PASS","",'Motor_Meciuri'!AU36)</x:f>
      </x:c>
      <x:c r="M438" s="10" t="str">
        <x:f>IF(NOT(AND(J438="PASS",'Calibrare_Linii'!U18="VALID")),"",'Distributie'!AN36)</x:f>
      </x:c>
      <x:c r="N438" s="10" t="str">
        <x:f>IF(M438="","",MAX(0.01,MIN(0.99,0.5+(M438-0.5)*'Motor_Meciuri'!BG36*'Calibrare_Linii'!D18)))</x:f>
      </x:c>
      <x:c r="O438" s="10" t="str">
        <x:f>IF(M438="","",1-M438)</x:f>
      </x:c>
      <x:c r="P438" s="10" t="str">
        <x:f>IF(OR(NOT(AND(J438="PASS",'Calibrare_Linii'!U18="VALID")),AK438=0),""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*('Istoric_Nativ'!$Q$6:$Q$405&gt;H438))/AK438)</x:f>
      </x:c>
      <x:c r="Q438" s="10" t="str">
        <x:f>IF(OR(NOT(AND(J438="PASS",'Calibrare_Linii'!U18="VALID")),AL438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M36)+((('Istoric_Nativ'!$E$6:$E$405='Input_Meci'!E36)+('Istoric_Nativ'!$F$6:$F$405='Input_Meci'!E36))&gt;0)*('Istoric_Nativ'!$D$6:$D$405&gt;='Motor_Meciuri'!BN36))&gt;0)*('Istoric_Nativ'!$Q$6:$Q$405&gt;H438))/AL438)</x:f>
      </x:c>
      <x:c r="R438" s="10" t="str">
        <x:f>IF(OR(NOT(AND(J438="PASS",'Calibrare_Linii'!U18="VALID")),AM438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O36)+((('Istoric_Nativ'!$E$6:$E$405='Input_Meci'!E36)+('Istoric_Nativ'!$F$6:$F$405='Input_Meci'!E36))&gt;0)*('Istoric_Nativ'!$D$6:$D$405&gt;='Motor_Meciuri'!BP36))&gt;0)*('Istoric_Nativ'!$Q$6:$Q$405&gt;H438))/AM438)</x:f>
      </x:c>
      <x:c r="S438" s="10" t="str">
        <x:f>IF(M438="","",MAX(O438,P438,Q438,R438))</x:f>
      </x:c>
      <x:c r="T438" s="11" t="str">
        <x:f>IF(M438="","",MIN(100,S438*100*'Config_v6'!$B$44+MIN(100,L438/'Config_v6'!$B$13*100)*'Config_v6'!$B$45+(100-'Motor_Meciuri'!BF36)*'Config_v6'!$B$46+'Motor_Meciuri'!BH36*100*'Config_v6'!$B$47))</x:f>
      </x:c>
      <x:c r="U438" s="2" t="str">
        <x:f>IF(T438="","",IF(T438&lt;=20,1,IF(T438&lt;=40,2,IF(T438&lt;=60,3,IF(T438&lt;=80,4,5)))))</x:f>
      </x:c>
      <x:c r="V438" s="2" t="str">
        <x:f>IF(M438="","",MAX(0,'Motor_Meciuri'!BF36-IF(W438="OOS PENDING",'Config_v6'!$B$35,0)-IF(L438&gt;'Config_v6'!$B$12,'Config_v6'!$B$37,IF(L438&gt;'Config_v6'!$B$11,'Config_v6'!$B$36,0))))</x:f>
      </x:c>
      <x:c r="W438" s="2" t="str">
        <x:f>IF(B438="","",IF(I438&lt;&gt;"READY","NOT RELEASED",IF(NOT(AND(J438="PASS",'Calibrare_Linii'!U18="VALID")),"INVALID",IF(NOT(AND('Calibrare_Linii'!S18="VALIDATED",AND('Calibrare_Linii'!H18=C438,ISNUMBER('Calibrare_Linii'!J18),'Calibrare_Linii'!J18&lt;='Input_Meci'!G36))),"OOS PENDING",IF(S438&lt;='Calibrare_Linii'!E18,"PASS",IF(S438&lt;='Calibrare_Linii'!F18,"PENALTY","WATCH"))))))</x:f>
      </x:c>
      <x:c r="X438" s="2" t="str">
        <x:f>IF(M438="","",IF(AND(AND(J438="PASS",'Calibrare_Linii'!U18="VALID"),'Motor_Meciuri'!K36=12,'Motor_Meciuri'!L36=12,'Motor_Meciuri'!M36="NO",'Motor_Meciuri'!BL36='Motor_Meciuri'!C36,AB438&gt;='Config_v6'!$B$50,AN438&gt;='Config_v6'!$B$51,T438&lt;='Config_v6'!$B$52,L438&lt;='Config_v6'!$B$53,ISNUMBER('Calibrare_Linii'!E18),S438&lt;='Calibrare_Linii'!E18,SUM(AK438:AM438)&gt;0),"CANDIDATE","NO"))</x:f>
      </x:c>
      <x:c r="Y438" s="2" t="str">
        <x:f>IF(B438="","",IF(I438&lt;&gt;"READY","NOT RELEASED",IF(AND(X438="CANDIDATE",V438&gt;='Config_v6'!$B$51,W438="PASS",'Calibrare_Linii'!T18="VALIDATED",AND('Calibrare_Linii'!H18=C438,ISNUMBER('Calibrare_Linii'!J18),'Calibrare_Linii'!J18&lt;='Input_Meci'!G36)),"PASS",IF(X438="CANDIDATE","OOS PENDING","FAIL"))))</x:f>
      </x:c>
      <x:c r="Z438" s="2" t="str">
        <x:f>IF(B438="","",IF(I438&lt;&gt;"READY","",IF(OR(NOT(AND(J438="PASS",'Calibrare_Linii'!U18="VALID")),L438&gt;'Config_v6'!$B$13,W438="WATCH"),5,IF(Y438="PASS",1,MIN(5,MAX('Config_v6'!$B$42,U438)+IF(W438="PENALTY",1,0))))))</x:f>
      </x:c>
      <x:c r="AA438" s="2" t="str">
        <x:f>IF(B438="","",IF(I438&lt;&gt;"READY","NOT RELEASED",IF(Z438=5,"NO BET",IF(OR(AB438&lt;'Config_v6'!$B$16,V438&lt;'Config_v6'!$B$18),"WATCH",IF(Z438=1,"DEFENSIV",IF(Z438=2,"PRUDENT",IF(Z438=3,"MODERAT","RIDICAT")))))))</x:f>
      </x:c>
      <x:c r="AB438" s="10" t="str">
        <x:f>IF(N438="","",MIN(N438,1-S438))</x:f>
      </x:c>
      <x:c r="AC438" s="2" t="str">
        <x:f>IF(AD438&lt;&gt;1,"",COUNTIFS($Z$426:$Z$439,"&lt;"&amp;Z438,$AD$426:$AD$439,1)+COUNTIFS($Z$426:$Z$439,Z438,$AB$426:$AB$439,"&gt;"&amp;AB438,$AD$426:$AD$439,1)+COUNTIFS($Z$426:$Z$439,Z438,$AB$426:$AB$439,AB438,$V$426:$V$439,"&gt;"&amp;V438,$AD$426:$AD$439,1)+COUNTIFS($Z$426:Z438,Z438,$AB$426:AB438,AB438,$V$426:V438,V438,$AD$426:AD438,1))</x:f>
      </x:c>
      <x:c r="AD438" s="2" t="n">
        <x:f>IF(OR(AA438="DEFENSIV",AA438="PRUDENT",AA438="MODERAT",AA438="RIDICAT"),1,0)</x:f>
        <x:v>0</x:v>
      </x:c>
      <x:c r="AE438" s="2" t="str">
        <x:f>IF(AD438&lt;&gt;1,"NO",IF(W438="PASS","YES",IF(W438="OOS PENDING","CONDITIONAL","NO")))</x:f>
        <x:v>NO</x:v>
      </x:c>
      <x:c r="AF438" s="2" t="n">
        <x:f>IF(AND(AD438=1,AC438=1,E438="LIVE"),1,0)</x:f>
        <x:v>0</x:v>
      </x:c>
      <x:c r="AG438" s="2" t="str">
        <x:f>IF(AF438&lt;&gt;1,"",'Dashboard'!P56)</x:f>
      </x:c>
      <x:c r="AH438" s="2" t="str">
        <x:f>IF(B438="","",IF(J438&lt;&gt;"PASS",'Motor_Meciuri'!J36,IF('Calibrare_Linii'!U18&lt;&gt;"VALID","Parametri linie invalizi",IF(L438&gt;'Config_v6'!$B$13,"Dispersie peste limita",IF(W438="WATCH","Failure peste limita",IF(AB438&lt;'Config_v6'!$B$16,"P finala sub prag",IF(V438&lt;'Config_v6'!$B$18,"Confidence sub prag",IF(E438="REPLAY","Exemplu retrospectiv; exclus din Top LIVE",IF(Y438="PASS","DEFENSIV validat",IF(W438="OOS PENDING","Eligibil; calibrare linie in monitorizare","Eligibil"))))))))))</x:f>
      </x:c>
      <x:c r="AI438" s="2" t="str">
        <x:f>IF(B438="","",'Calibrare_Linii'!V18)</x:f>
      </x:c>
      <x:c r="AJ438" s="2" t="str">
        <x:f>IF(B438="","",IF(AND('Calibrare_Linii'!T18="VALIDATED",AND('Calibrare_Linii'!H18=C438,ISNUMBER('Calibrare_Linii'!J18),'Calibrare_Linii'!J18&lt;='Input_Meci'!G36)),"DEFENSIVE VALIDATED",IF(AND('Calibrare_Linii'!S18="VALIDATED",AND('Calibrare_Linii'!H18=C438,ISNUMBER('Calibrare_Linii'!J18),'Calibrare_Linii'!J18&lt;='Input_Meci'!G36)),"TAIL VALIDATED","OOS PENDING")))</x:f>
      </x:c>
      <x:c r="AK438" s="2" t="n">
        <x:f>IF(J438&lt;&gt;"PASS",0,'Motor_Meciuri'!BR36)</x:f>
        <x:v>0</x:v>
      </x:c>
      <x:c r="AL438" s="2" t="n">
        <x:f>IF(J438&lt;&gt;"PASS",0,'Motor_Meciuri'!BS36)</x:f>
        <x:v>0</x:v>
      </x:c>
      <x:c r="AM438" s="2" t="n">
        <x:f>IF(J438&lt;&gt;"PASS",0,'Motor_Meciuri'!BT36)</x:f>
        <x:v>0</x:v>
      </x:c>
      <x:c r="AN438" s="2" t="str">
        <x:f>IF(M438="","",MAX(0,'Motor_Meciuri'!BF36-IF(L438&gt;'Config_v6'!$B$12,'Config_v6'!$B$37,IF(L438&gt;'Config_v6'!$B$11,'Config_v6'!$B$36,0))))</x:f>
      </x:c>
    </x:row>
    <x:row r="439" ht="21" customHeight="1">
      <x:c r="A439" s="2" t="n">
        <x:v>31</x:v>
      </x:c>
      <x:c r="B439" s="2" t="str">
        <x:f>IF('Motor_Meciuri'!A36="","",'Motor_Meciuri'!A36)</x:f>
      </x:c>
      <x:c r="C439" s="2" t="str">
        <x:f>IF(B439="","",'Motor_Meciuri'!B36)</x:f>
      </x:c>
      <x:c r="D439" s="2" t="str">
        <x:f>IF(B439="","",'Motor_Meciuri'!D36)</x:f>
      </x:c>
      <x:c r="E439" s="2" t="str">
        <x:f>IF(B439="","",'Motor_Meciuri'!E36)</x:f>
      </x:c>
      <x:c r="F439" s="2" t="str">
        <x:v>U17,5</x:v>
      </x:c>
      <x:c r="G439" s="2" t="str">
        <x:v>UNDER</x:v>
      </x:c>
      <x:c r="H439" s="2" t="n">
        <x:v>17</x:v>
      </x:c>
      <x:c r="I439" s="2" t="str">
        <x:f>IF(B439="","",'Motor_Meciuri'!H36)</x:f>
      </x:c>
      <x:c r="J439" s="2" t="str">
        <x:f>IF(B439="","",'Motor_Meciuri'!I36)</x:f>
      </x:c>
      <x:c r="K439" s="11" t="str">
        <x:f>IF(J439&lt;&gt;"PASS","",'Motor_Meciuri'!BD36)</x:f>
      </x:c>
      <x:c r="L439" s="11" t="str">
        <x:f>IF(J439&lt;&gt;"PASS","",'Motor_Meciuri'!AU36)</x:f>
      </x:c>
      <x:c r="M439" s="10" t="str">
        <x:f>IF(NOT(AND(J439="PASS",'Calibrare_Linii'!U19="VALID")),"",'Distributie'!AO36)</x:f>
      </x:c>
      <x:c r="N439" s="10" t="str">
        <x:f>IF(M439="","",MAX(0.01,MIN(0.99,0.5+(M439-0.5)*'Motor_Meciuri'!BG36*'Calibrare_Linii'!D19)))</x:f>
      </x:c>
      <x:c r="O439" s="10" t="str">
        <x:f>IF(M439="","",1-M439)</x:f>
      </x:c>
      <x:c r="P439" s="10" t="str">
        <x:f>IF(OR(NOT(AND(J439="PASS",'Calibrare_Linii'!U19="VALID")),AK439=0),""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*('Istoric_Nativ'!$Q$6:$Q$405&gt;H439))/AK439)</x:f>
      </x:c>
      <x:c r="Q439" s="10" t="str">
        <x:f>IF(OR(NOT(AND(J439="PASS",'Calibrare_Linii'!U19="VALID")),AL439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M36)+((('Istoric_Nativ'!$E$6:$E$405='Input_Meci'!E36)+('Istoric_Nativ'!$F$6:$F$405='Input_Meci'!E36))&gt;0)*('Istoric_Nativ'!$D$6:$D$405&gt;='Motor_Meciuri'!BN36))&gt;0)*('Istoric_Nativ'!$Q$6:$Q$405&gt;H439))/AL439)</x:f>
      </x:c>
      <x:c r="R439" s="10" t="str">
        <x:f>IF(OR(NOT(AND(J439="PASS",'Calibrare_Linii'!U19="VALID")),AM439=0),""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'Motor_Meciuri'!BO36)+((('Istoric_Nativ'!$E$6:$E$405='Input_Meci'!E36)+('Istoric_Nativ'!$F$6:$F$405='Input_Meci'!E36))&gt;0)*('Istoric_Nativ'!$D$6:$D$405&gt;='Motor_Meciuri'!BP36))&gt;0)*('Istoric_Nativ'!$Q$6:$Q$405&gt;H439))/AM439)</x:f>
      </x:c>
      <x:c r="S439" s="10" t="str">
        <x:f>IF(M439="","",MAX(O439,P439,Q439,R439))</x:f>
      </x:c>
      <x:c r="T439" s="11" t="str">
        <x:f>IF(M439="","",MIN(100,S439*100*'Config_v6'!$B$44+MIN(100,L439/'Config_v6'!$B$13*100)*'Config_v6'!$B$45+(100-'Motor_Meciuri'!BF36)*'Config_v6'!$B$46+'Motor_Meciuri'!BH36*100*'Config_v6'!$B$47))</x:f>
      </x:c>
      <x:c r="U439" s="2" t="str">
        <x:f>IF(T439="","",IF(T439&lt;=20,1,IF(T439&lt;=40,2,IF(T439&lt;=60,3,IF(T439&lt;=80,4,5)))))</x:f>
      </x:c>
      <x:c r="V439" s="2" t="str">
        <x:f>IF(M439="","",MAX(0,'Motor_Meciuri'!BF36-IF(W439="OOS PENDING",'Config_v6'!$B$35,0)-IF(L439&gt;'Config_v6'!$B$12,'Config_v6'!$B$37,IF(L439&gt;'Config_v6'!$B$11,'Config_v6'!$B$36,0))))</x:f>
      </x:c>
      <x:c r="W439" s="2" t="str">
        <x:f>IF(B439="","",IF(I439&lt;&gt;"READY","NOT RELEASED",IF(NOT(AND(J439="PASS",'Calibrare_Linii'!U19="VALID")),"INVALID",IF(NOT(AND('Calibrare_Linii'!S19="VALIDATED",AND('Calibrare_Linii'!H19=C439,ISNUMBER('Calibrare_Linii'!J19),'Calibrare_Linii'!J19&lt;='Input_Meci'!G36))),"OOS PENDING",IF(S439&lt;='Calibrare_Linii'!E19,"PASS",IF(S439&lt;='Calibrare_Linii'!F19,"PENALTY","WATCH"))))))</x:f>
      </x:c>
      <x:c r="X439" s="2" t="str">
        <x:f>IF(M439="","",IF(AND(AND(J439="PASS",'Calibrare_Linii'!U19="VALID"),'Motor_Meciuri'!K36=12,'Motor_Meciuri'!L36=12,'Motor_Meciuri'!M36="NO",'Motor_Meciuri'!BL36='Motor_Meciuri'!C36,AB439&gt;='Config_v6'!$B$50,AN439&gt;='Config_v6'!$B$51,T439&lt;='Config_v6'!$B$52,L439&lt;='Config_v6'!$B$53,ISNUMBER('Calibrare_Linii'!E19),S439&lt;='Calibrare_Linii'!E19,SUM(AK439:AM439)&gt;0),"CANDIDATE","NO"))</x:f>
      </x:c>
      <x:c r="Y439" s="2" t="str">
        <x:f>IF(B439="","",IF(I439&lt;&gt;"READY","NOT RELEASED",IF(AND(X439="CANDIDATE",V439&gt;='Config_v6'!$B$51,W439="PASS",'Calibrare_Linii'!T19="VALIDATED",AND('Calibrare_Linii'!H19=C439,ISNUMBER('Calibrare_Linii'!J19),'Calibrare_Linii'!J19&lt;='Input_Meci'!G36)),"PASS",IF(X439="CANDIDATE","OOS PENDING","FAIL"))))</x:f>
      </x:c>
      <x:c r="Z439" s="2" t="str">
        <x:f>IF(B439="","",IF(I439&lt;&gt;"READY","",IF(OR(NOT(AND(J439="PASS",'Calibrare_Linii'!U19="VALID")),L439&gt;'Config_v6'!$B$13,W439="WATCH"),5,IF(Y439="PASS",1,MIN(5,MAX('Config_v6'!$B$42,U439)+IF(W439="PENALTY",1,0))))))</x:f>
      </x:c>
      <x:c r="AA439" s="2" t="str">
        <x:f>IF(B439="","",IF(I439&lt;&gt;"READY","NOT RELEASED",IF(Z439=5,"NO BET",IF(OR(AB439&lt;'Config_v6'!$B$16,V439&lt;'Config_v6'!$B$18),"WATCH",IF(Z439=1,"DEFENSIV",IF(Z439=2,"PRUDENT",IF(Z439=3,"MODERAT","RIDICAT")))))))</x:f>
      </x:c>
      <x:c r="AB439" s="10" t="str">
        <x:f>IF(N439="","",MIN(N439,1-S439))</x:f>
      </x:c>
      <x:c r="AC439" s="2" t="str">
        <x:f>IF(AD439&lt;&gt;1,"",COUNTIFS($Z$426:$Z$439,"&lt;"&amp;Z439,$AD$426:$AD$439,1)+COUNTIFS($Z$426:$Z$439,Z439,$AB$426:$AB$439,"&gt;"&amp;AB439,$AD$426:$AD$439,1)+COUNTIFS($Z$426:$Z$439,Z439,$AB$426:$AB$439,AB439,$V$426:$V$439,"&gt;"&amp;V439,$AD$426:$AD$439,1)+COUNTIFS($Z$426:Z439,Z439,$AB$426:AB439,AB439,$V$426:V439,V439,$AD$426:AD439,1))</x:f>
      </x:c>
      <x:c r="AD439" s="2" t="n">
        <x:f>IF(OR(AA439="DEFENSIV",AA439="PRUDENT",AA439="MODERAT",AA439="RIDICAT"),1,0)</x:f>
        <x:v>0</x:v>
      </x:c>
      <x:c r="AE439" s="2" t="str">
        <x:f>IF(AD439&lt;&gt;1,"NO",IF(W439="PASS","YES",IF(W439="OOS PENDING","CONDITIONAL","NO")))</x:f>
        <x:v>NO</x:v>
      </x:c>
      <x:c r="AF439" s="2" t="n">
        <x:f>IF(AND(AD439=1,AC439=1,E439="LIVE"),1,0)</x:f>
        <x:v>0</x:v>
      </x:c>
      <x:c r="AG439" s="2" t="str">
        <x:f>IF(AF439&lt;&gt;1,"",'Dashboard'!P56)</x:f>
      </x:c>
      <x:c r="AH439" s="2" t="str">
        <x:f>IF(B439="","",IF(J439&lt;&gt;"PASS",'Motor_Meciuri'!J36,IF('Calibrare_Linii'!U19&lt;&gt;"VALID","Parametri linie invalizi",IF(L439&gt;'Config_v6'!$B$13,"Dispersie peste limita",IF(W439="WATCH","Failure peste limita",IF(AB439&lt;'Config_v6'!$B$16,"P finala sub prag",IF(V439&lt;'Config_v6'!$B$18,"Confidence sub prag",IF(E439="REPLAY","Exemplu retrospectiv; exclus din Top LIVE",IF(Y439="PASS","DEFENSIV validat",IF(W439="OOS PENDING","Eligibil; calibrare linie in monitorizare","Eligibil"))))))))))</x:f>
      </x:c>
      <x:c r="AI439" s="2" t="str">
        <x:f>IF(B439="","",'Calibrare_Linii'!V19)</x:f>
      </x:c>
      <x:c r="AJ439" s="2" t="str">
        <x:f>IF(B439="","",IF(AND('Calibrare_Linii'!T19="VALIDATED",AND('Calibrare_Linii'!H19=C439,ISNUMBER('Calibrare_Linii'!J19),'Calibrare_Linii'!J19&lt;='Input_Meci'!G36)),"DEFENSIVE VALIDATED",IF(AND('Calibrare_Linii'!S19="VALIDATED",AND('Calibrare_Linii'!H19=C439,ISNUMBER('Calibrare_Linii'!J19),'Calibrare_Linii'!J19&lt;='Input_Meci'!G36)),"TAIL VALIDATED","OOS PENDING")))</x:f>
      </x:c>
      <x:c r="AK439" s="2" t="n">
        <x:f>IF(J439&lt;&gt;"PASS",0,'Motor_Meciuri'!BR36)</x:f>
        <x:v>0</x:v>
      </x:c>
      <x:c r="AL439" s="2" t="n">
        <x:f>IF(J439&lt;&gt;"PASS",0,'Motor_Meciuri'!BS36)</x:f>
        <x:v>0</x:v>
      </x:c>
      <x:c r="AM439" s="2" t="n">
        <x:f>IF(J439&lt;&gt;"PASS",0,'Motor_Meciuri'!BT36)</x:f>
        <x:v>0</x:v>
      </x:c>
      <x:c r="AN439" s="2" t="str">
        <x:f>IF(M439="","",MAX(0,'Motor_Meciuri'!BF36-IF(L439&gt;'Config_v6'!$B$12,'Config_v6'!$B$37,IF(L439&gt;'Config_v6'!$B$11,'Config_v6'!$B$36,0))))</x:f>
      </x:c>
    </x:row>
    <x:row r="440" ht="21" customHeight="1">
      <x:c r="A440" s="2" t="n">
        <x:v>32</x:v>
      </x:c>
      <x:c r="B440" s="2" t="str">
        <x:f>IF('Motor_Meciuri'!A37="","",'Motor_Meciuri'!A37)</x:f>
      </x:c>
      <x:c r="C440" s="2" t="str">
        <x:f>IF(B440="","",'Motor_Meciuri'!B37)</x:f>
      </x:c>
      <x:c r="D440" s="2" t="str">
        <x:f>IF(B440="","",'Motor_Meciuri'!D37)</x:f>
      </x:c>
      <x:c r="E440" s="2" t="str">
        <x:f>IF(B440="","",'Motor_Meciuri'!E37)</x:f>
      </x:c>
      <x:c r="F440" s="2" t="str">
        <x:v>O3,5</x:v>
      </x:c>
      <x:c r="G440" s="2" t="str">
        <x:v>OVER</x:v>
      </x:c>
      <x:c r="H440" s="2" t="n">
        <x:v>3</x:v>
      </x:c>
      <x:c r="I440" s="2" t="str">
        <x:f>IF(B440="","",'Motor_Meciuri'!H37)</x:f>
      </x:c>
      <x:c r="J440" s="2" t="str">
        <x:f>IF(B440="","",'Motor_Meciuri'!I37)</x:f>
      </x:c>
      <x:c r="K440" s="11" t="str">
        <x:f>IF(J440&lt;&gt;"PASS","",'Motor_Meciuri'!BD37)</x:f>
      </x:c>
      <x:c r="L440" s="11" t="str">
        <x:f>IF(J440&lt;&gt;"PASS","",'Motor_Meciuri'!AU37)</x:f>
      </x:c>
      <x:c r="M440" s="10" t="str">
        <x:f>IF(NOT(AND(J440="PASS",'Calibrare_Linii'!U6="VALID")),"",1-'Distributie'!AA37)</x:f>
      </x:c>
      <x:c r="N440" s="10" t="str">
        <x:f>IF(M440="","",MAX(0.01,MIN(0.99,0.5+(M440-0.5)*'Motor_Meciuri'!BG37*'Calibrare_Linii'!D6)))</x:f>
      </x:c>
      <x:c r="O440" s="10" t="str">
        <x:f>IF(M440="","",1-M440)</x:f>
      </x:c>
      <x:c r="P440" s="10" t="str">
        <x:f>IF(OR(NOT(AND(J440="PASS",'Calibrare_Linii'!U6="VALID")),AK440=0),""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*('Istoric_Nativ'!$Q$6:$Q$405&lt;=H440))/AK440)</x:f>
      </x:c>
      <x:c r="Q440" s="10" t="str">
        <x:f>IF(OR(NOT(AND(J440="PASS",'Calibrare_Linii'!U6="VALID")),AL440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M37)+((('Istoric_Nativ'!$E$6:$E$405='Input_Meci'!E37)+('Istoric_Nativ'!$F$6:$F$405='Input_Meci'!E37))&gt;0)*('Istoric_Nativ'!$D$6:$D$405&gt;='Motor_Meciuri'!BN37))&gt;0)*('Istoric_Nativ'!$Q$6:$Q$405&lt;=H440))/AL440)</x:f>
      </x:c>
      <x:c r="R440" s="10" t="str">
        <x:f>IF(OR(NOT(AND(J440="PASS",'Calibrare_Linii'!U6="VALID")),AM440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O37)+((('Istoric_Nativ'!$E$6:$E$405='Input_Meci'!E37)+('Istoric_Nativ'!$F$6:$F$405='Input_Meci'!E37))&gt;0)*('Istoric_Nativ'!$D$6:$D$405&gt;='Motor_Meciuri'!BP37))&gt;0)*('Istoric_Nativ'!$Q$6:$Q$405&lt;=H440))/AM440)</x:f>
      </x:c>
      <x:c r="S440" s="10" t="str">
        <x:f>IF(M440="","",MAX(O440,P440,Q440,R440))</x:f>
      </x:c>
      <x:c r="T440" s="11" t="str">
        <x:f>IF(M440="","",MIN(100,S440*100*'Config_v6'!$B$44+MIN(100,L440/'Config_v6'!$B$13*100)*'Config_v6'!$B$45+(100-'Motor_Meciuri'!BF37)*'Config_v6'!$B$46+'Motor_Meciuri'!BH37*100*'Config_v6'!$B$47))</x:f>
      </x:c>
      <x:c r="U440" s="2" t="str">
        <x:f>IF(T440="","",IF(T440&lt;=20,1,IF(T440&lt;=40,2,IF(T440&lt;=60,3,IF(T440&lt;=80,4,5)))))</x:f>
      </x:c>
      <x:c r="V440" s="2" t="str">
        <x:f>IF(M440="","",MAX(0,'Motor_Meciuri'!BF37-IF(W440="OOS PENDING",'Config_v6'!$B$35,0)-IF(L440&gt;'Config_v6'!$B$12,'Config_v6'!$B$37,IF(L440&gt;'Config_v6'!$B$11,'Config_v6'!$B$36,0))))</x:f>
      </x:c>
      <x:c r="W440" s="2" t="str">
        <x:f>IF(B440="","",IF(I440&lt;&gt;"READY","NOT RELEASED",IF(NOT(AND(J440="PASS",'Calibrare_Linii'!U6="VALID")),"INVALID",IF(NOT(TRUE),"OOS PENDING",IF(S440&lt;=IF(AND('Calibrare_Linii'!S6="VALIDATED",AND('Calibrare_Linii'!H6=C440,ISNUMBER('Calibrare_Linii'!J6),'Calibrare_Linii'!J6&lt;='Input_Meci'!G37)),'Calibrare_Linii'!E6,'Config_v6'!$B$26),"PASS",IF(S440&lt;=IF(AND('Calibrare_Linii'!S6="VALIDATED",AND('Calibrare_Linii'!H6=C440,ISNUMBER('Calibrare_Linii'!J6),'Calibrare_Linii'!J6&lt;='Input_Meci'!G37)),'Calibrare_Linii'!F6,'Config_v6'!$C$26),"PENALTY","WATCH"))))))</x:f>
      </x:c>
      <x:c r="X440" s="2" t="str">
        <x:f>IF(M440="","",IF(AND(AND(J440="PASS",'Calibrare_Linii'!U6="VALID"),'Motor_Meciuri'!K37=12,'Motor_Meciuri'!L37=12,'Motor_Meciuri'!M37="NO",'Motor_Meciuri'!BL37='Motor_Meciuri'!C37,AB440&gt;='Config_v6'!$B$50,AN440&gt;='Config_v6'!$B$51,T440&lt;='Config_v6'!$B$52,L440&lt;='Config_v6'!$B$53,ISNUMBER('Calibrare_Linii'!E6),S440&lt;='Calibrare_Linii'!E6,SUM(AK440:AM440)&gt;0),"CANDIDATE","NO"))</x:f>
      </x:c>
      <x:c r="Y440" s="2" t="str">
        <x:f>IF(B440="","",IF(I440&lt;&gt;"READY","NOT RELEASED",IF(AND(X440="CANDIDATE",V440&gt;='Config_v6'!$B$51,W440="PASS",'Calibrare_Linii'!T6="VALIDATED",AND('Calibrare_Linii'!H6=C440,ISNUMBER('Calibrare_Linii'!J6),'Calibrare_Linii'!J6&lt;='Input_Meci'!G37)),"PASS",IF(X440="CANDIDATE","OOS PENDING","FAIL"))))</x:f>
      </x:c>
      <x:c r="Z440" s="2" t="str">
        <x:f>IF(B440="","",IF(I440&lt;&gt;"READY","",IF(OR(NOT(AND(J440="PASS",'Calibrare_Linii'!U6="VALID")),L440&gt;'Config_v6'!$B$13,W440="WATCH"),5,IF(Y440="PASS",1,MIN(5,MAX('Config_v6'!$B$42,U440)+IF(W440="PENALTY",1,0))))))</x:f>
      </x:c>
      <x:c r="AA440" s="2" t="str">
        <x:f>IF(B440="","",IF(I440&lt;&gt;"READY","NOT RELEASED",IF(Z440=5,"NO BET",IF(OR(AB440&lt;'Config_v6'!$B$16,V440&lt;'Config_v6'!$B$18),"WATCH",IF(Z440=1,"DEFENSIV",IF(Z440=2,"PRUDENT",IF(Z440=3,"MODERAT","RIDICAT")))))))</x:f>
      </x:c>
      <x:c r="AB440" s="10" t="str">
        <x:f>IF(N440="","",MIN(N440,1-S440))</x:f>
      </x:c>
      <x:c r="AC440" s="2" t="str">
        <x:f>IF(AD440&lt;&gt;1,"",COUNTIFS($Z$440:$Z$453,"&lt;"&amp;Z440,$AD$440:$AD$453,1)+COUNTIFS($Z$440:$Z$453,Z440,$AB$440:$AB$453,"&gt;"&amp;AB440,$AD$440:$AD$453,1)+COUNTIFS($Z$440:$Z$453,Z440,$AB$440:$AB$453,AB440,$V$440:$V$453,"&gt;"&amp;V440,$AD$440:$AD$453,1)+COUNTIFS($Z$440:Z440,Z440,$AB$440:AB440,AB440,$V$440:V440,V440,$AD$440:AD440,1))</x:f>
      </x:c>
      <x:c r="AD440" s="2" t="n">
        <x:f>IF(OR(AA440="DEFENSIV",AA440="PRUDENT",AA440="MODERAT",AA440="RIDICAT"),1,0)</x:f>
        <x:v>0</x:v>
      </x:c>
      <x:c r="AE440" s="2" t="str">
        <x:f>IF(AD440&lt;&gt;1,"NO",IF(W440="PASS","YES",IF(W440="OOS PENDING","CONDITIONAL","NO")))</x:f>
        <x:v>NO</x:v>
      </x:c>
      <x:c r="AF440" s="2" t="n">
        <x:f>IF(AND(AD440=1,AC440=1,E440="LIVE"),1,0)</x:f>
        <x:v>0</x:v>
      </x:c>
      <x:c r="AG440" s="2" t="str">
        <x:f>IF(AF440&lt;&gt;1,"",'Dashboard'!P57)</x:f>
      </x:c>
      <x:c r="AH440" s="2" t="str">
        <x:f>IF(B440="","",IF(J440&lt;&gt;"PASS",'Motor_Meciuri'!J37,IF('Calibrare_Linii'!U6&lt;&gt;"VALID","Parametri linie invalizi",IF(L440&gt;'Config_v6'!$B$13,"Dispersie peste limita",IF(W440="WATCH","Failure peste limita",IF(AB440&lt;'Config_v6'!$B$16,"P finala sub prag",IF(V440&lt;'Config_v6'!$B$18,"Confidence sub prag",IF(E440="REPLAY","Exemplu retrospectiv; exclus din Top LIVE",IF(Y440="PASS","DEFENSIV validat",IF(W440="OOS PENDING","Eligibil; calibrare linie in monitorizare","Eligibil"))))))))))</x:f>
      </x:c>
      <x:c r="AI440" s="2" t="str">
        <x:f>IF(B440="","",'Calibrare_Linii'!V6)</x:f>
      </x:c>
      <x:c r="AJ440" s="2" t="str">
        <x:f>IF(B440="","",IF(AND('Calibrare_Linii'!T6="VALIDATED",AND('Calibrare_Linii'!H6=C440,ISNUMBER('Calibrare_Linii'!J6),'Calibrare_Linii'!J6&lt;='Input_Meci'!G37)),"DEFENSIVE VALIDATED",IF(AND('Calibrare_Linii'!S6="VALIDATED",AND('Calibrare_Linii'!H6=C440,ISNUMBER('Calibrare_Linii'!J6),'Calibrare_Linii'!J6&lt;='Input_Meci'!G37)),"TAIL VALIDATED","OOS PENDING")))</x:f>
      </x:c>
      <x:c r="AK440" s="2" t="n">
        <x:f>IF(J440&lt;&gt;"PASS",0,'Motor_Meciuri'!BR37)</x:f>
        <x:v>0</x:v>
      </x:c>
      <x:c r="AL440" s="2" t="n">
        <x:f>IF(J440&lt;&gt;"PASS",0,'Motor_Meciuri'!BS37)</x:f>
        <x:v>0</x:v>
      </x:c>
      <x:c r="AM440" s="2" t="n">
        <x:f>IF(J440&lt;&gt;"PASS",0,'Motor_Meciuri'!BT37)</x:f>
        <x:v>0</x:v>
      </x:c>
      <x:c r="AN440" s="2" t="str">
        <x:f>IF(M440="","",MAX(0,'Motor_Meciuri'!BF37-IF(L440&gt;'Config_v6'!$B$12,'Config_v6'!$B$37,IF(L440&gt;'Config_v6'!$B$11,'Config_v6'!$B$36,0))))</x:f>
      </x:c>
    </x:row>
    <x:row r="441" ht="21" customHeight="1">
      <x:c r="A441" s="2" t="n">
        <x:v>32</x:v>
      </x:c>
      <x:c r="B441" s="2" t="str">
        <x:f>IF('Motor_Meciuri'!A37="","",'Motor_Meciuri'!A37)</x:f>
      </x:c>
      <x:c r="C441" s="2" t="str">
        <x:f>IF(B441="","",'Motor_Meciuri'!B37)</x:f>
      </x:c>
      <x:c r="D441" s="2" t="str">
        <x:f>IF(B441="","",'Motor_Meciuri'!D37)</x:f>
      </x:c>
      <x:c r="E441" s="2" t="str">
        <x:f>IF(B441="","",'Motor_Meciuri'!E37)</x:f>
      </x:c>
      <x:c r="F441" s="2" t="str">
        <x:v>O4,5</x:v>
      </x:c>
      <x:c r="G441" s="2" t="str">
        <x:v>OVER</x:v>
      </x:c>
      <x:c r="H441" s="2" t="n">
        <x:v>4</x:v>
      </x:c>
      <x:c r="I441" s="2" t="str">
        <x:f>IF(B441="","",'Motor_Meciuri'!H37)</x:f>
      </x:c>
      <x:c r="J441" s="2" t="str">
        <x:f>IF(B441="","",'Motor_Meciuri'!I37)</x:f>
      </x:c>
      <x:c r="K441" s="11" t="str">
        <x:f>IF(J441&lt;&gt;"PASS","",'Motor_Meciuri'!BD37)</x:f>
      </x:c>
      <x:c r="L441" s="11" t="str">
        <x:f>IF(J441&lt;&gt;"PASS","",'Motor_Meciuri'!AU37)</x:f>
      </x:c>
      <x:c r="M441" s="10" t="str">
        <x:f>IF(NOT(AND(J441="PASS",'Calibrare_Linii'!U7="VALID")),"",1-'Distributie'!AB37)</x:f>
      </x:c>
      <x:c r="N441" s="10" t="str">
        <x:f>IF(M441="","",MAX(0.01,MIN(0.99,0.5+(M441-0.5)*'Motor_Meciuri'!BG37*'Calibrare_Linii'!D7)))</x:f>
      </x:c>
      <x:c r="O441" s="10" t="str">
        <x:f>IF(M441="","",1-M441)</x:f>
      </x:c>
      <x:c r="P441" s="10" t="str">
        <x:f>IF(OR(NOT(AND(J441="PASS",'Calibrare_Linii'!U7="VALID")),AK441=0),""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*('Istoric_Nativ'!$Q$6:$Q$405&lt;=H441))/AK441)</x:f>
      </x:c>
      <x:c r="Q441" s="10" t="str">
        <x:f>IF(OR(NOT(AND(J441="PASS",'Calibrare_Linii'!U7="VALID")),AL441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M37)+((('Istoric_Nativ'!$E$6:$E$405='Input_Meci'!E37)+('Istoric_Nativ'!$F$6:$F$405='Input_Meci'!E37))&gt;0)*('Istoric_Nativ'!$D$6:$D$405&gt;='Motor_Meciuri'!BN37))&gt;0)*('Istoric_Nativ'!$Q$6:$Q$405&lt;=H441))/AL441)</x:f>
      </x:c>
      <x:c r="R441" s="10" t="str">
        <x:f>IF(OR(NOT(AND(J441="PASS",'Calibrare_Linii'!U7="VALID")),AM441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O37)+((('Istoric_Nativ'!$E$6:$E$405='Input_Meci'!E37)+('Istoric_Nativ'!$F$6:$F$405='Input_Meci'!E37))&gt;0)*('Istoric_Nativ'!$D$6:$D$405&gt;='Motor_Meciuri'!BP37))&gt;0)*('Istoric_Nativ'!$Q$6:$Q$405&lt;=H441))/AM441)</x:f>
      </x:c>
      <x:c r="S441" s="10" t="str">
        <x:f>IF(M441="","",MAX(O441,P441,Q441,R441))</x:f>
      </x:c>
      <x:c r="T441" s="11" t="str">
        <x:f>IF(M441="","",MIN(100,S441*100*'Config_v6'!$B$44+MIN(100,L441/'Config_v6'!$B$13*100)*'Config_v6'!$B$45+(100-'Motor_Meciuri'!BF37)*'Config_v6'!$B$46+'Motor_Meciuri'!BH37*100*'Config_v6'!$B$47))</x:f>
      </x:c>
      <x:c r="U441" s="2" t="str">
        <x:f>IF(T441="","",IF(T441&lt;=20,1,IF(T441&lt;=40,2,IF(T441&lt;=60,3,IF(T441&lt;=80,4,5)))))</x:f>
      </x:c>
      <x:c r="V441" s="2" t="str">
        <x:f>IF(M441="","",MAX(0,'Motor_Meciuri'!BF37-IF(W441="OOS PENDING",'Config_v6'!$B$35,0)-IF(L441&gt;'Config_v6'!$B$12,'Config_v6'!$B$37,IF(L441&gt;'Config_v6'!$B$11,'Config_v6'!$B$36,0))))</x:f>
      </x:c>
      <x:c r="W441" s="2" t="str">
        <x:f>IF(B441="","",IF(I441&lt;&gt;"READY","NOT RELEASED",IF(NOT(AND(J441="PASS",'Calibrare_Linii'!U7="VALID")),"INVALID",IF(NOT(AND('Calibrare_Linii'!S7="VALIDATED",AND('Calibrare_Linii'!H7=C441,ISNUMBER('Calibrare_Linii'!J7),'Calibrare_Linii'!J7&lt;='Input_Meci'!G37))),"OOS PENDING",IF(S441&lt;='Calibrare_Linii'!E7,"PASS",IF(S441&lt;='Calibrare_Linii'!F7,"PENALTY","WATCH"))))))</x:f>
      </x:c>
      <x:c r="X441" s="2" t="str">
        <x:f>IF(M441="","",IF(AND(AND(J441="PASS",'Calibrare_Linii'!U7="VALID"),'Motor_Meciuri'!K37=12,'Motor_Meciuri'!L37=12,'Motor_Meciuri'!M37="NO",'Motor_Meciuri'!BL37='Motor_Meciuri'!C37,AB441&gt;='Config_v6'!$B$50,AN441&gt;='Config_v6'!$B$51,T441&lt;='Config_v6'!$B$52,L441&lt;='Config_v6'!$B$53,ISNUMBER('Calibrare_Linii'!E7),S441&lt;='Calibrare_Linii'!E7,SUM(AK441:AM441)&gt;0),"CANDIDATE","NO"))</x:f>
      </x:c>
      <x:c r="Y441" s="2" t="str">
        <x:f>IF(B441="","",IF(I441&lt;&gt;"READY","NOT RELEASED",IF(AND(X441="CANDIDATE",V441&gt;='Config_v6'!$B$51,W441="PASS",'Calibrare_Linii'!T7="VALIDATED",AND('Calibrare_Linii'!H7=C441,ISNUMBER('Calibrare_Linii'!J7),'Calibrare_Linii'!J7&lt;='Input_Meci'!G37)),"PASS",IF(X441="CANDIDATE","OOS PENDING","FAIL"))))</x:f>
      </x:c>
      <x:c r="Z441" s="2" t="str">
        <x:f>IF(B441="","",IF(I441&lt;&gt;"READY","",IF(OR(NOT(AND(J441="PASS",'Calibrare_Linii'!U7="VALID")),L441&gt;'Config_v6'!$B$13,W441="WATCH"),5,IF(Y441="PASS",1,MIN(5,MAX('Config_v6'!$B$42,U441)+IF(W441="PENALTY",1,0))))))</x:f>
      </x:c>
      <x:c r="AA441" s="2" t="str">
        <x:f>IF(B441="","",IF(I441&lt;&gt;"READY","NOT RELEASED",IF(Z441=5,"NO BET",IF(OR(AB441&lt;'Config_v6'!$B$16,V441&lt;'Config_v6'!$B$18),"WATCH",IF(Z441=1,"DEFENSIV",IF(Z441=2,"PRUDENT",IF(Z441=3,"MODERAT","RIDICAT")))))))</x:f>
      </x:c>
      <x:c r="AB441" s="10" t="str">
        <x:f>IF(N441="","",MIN(N441,1-S441))</x:f>
      </x:c>
      <x:c r="AC441" s="2" t="str">
        <x:f>IF(AD441&lt;&gt;1,"",COUNTIFS($Z$440:$Z$453,"&lt;"&amp;Z441,$AD$440:$AD$453,1)+COUNTIFS($Z$440:$Z$453,Z441,$AB$440:$AB$453,"&gt;"&amp;AB441,$AD$440:$AD$453,1)+COUNTIFS($Z$440:$Z$453,Z441,$AB$440:$AB$453,AB441,$V$440:$V$453,"&gt;"&amp;V441,$AD$440:$AD$453,1)+COUNTIFS($Z$440:Z441,Z441,$AB$440:AB441,AB441,$V$440:V441,V441,$AD$440:AD441,1))</x:f>
      </x:c>
      <x:c r="AD441" s="2" t="n">
        <x:f>IF(OR(AA441="DEFENSIV",AA441="PRUDENT",AA441="MODERAT",AA441="RIDICAT"),1,0)</x:f>
        <x:v>0</x:v>
      </x:c>
      <x:c r="AE441" s="2" t="str">
        <x:f>IF(AD441&lt;&gt;1,"NO",IF(W441="PASS","YES",IF(W441="OOS PENDING","CONDITIONAL","NO")))</x:f>
        <x:v>NO</x:v>
      </x:c>
      <x:c r="AF441" s="2" t="n">
        <x:f>IF(AND(AD441=1,AC441=1,E441="LIVE"),1,0)</x:f>
        <x:v>0</x:v>
      </x:c>
      <x:c r="AG441" s="2" t="str">
        <x:f>IF(AF441&lt;&gt;1,"",'Dashboard'!P57)</x:f>
      </x:c>
      <x:c r="AH441" s="2" t="str">
        <x:f>IF(B441="","",IF(J441&lt;&gt;"PASS",'Motor_Meciuri'!J37,IF('Calibrare_Linii'!U7&lt;&gt;"VALID","Parametri linie invalizi",IF(L441&gt;'Config_v6'!$B$13,"Dispersie peste limita",IF(W441="WATCH","Failure peste limita",IF(AB441&lt;'Config_v6'!$B$16,"P finala sub prag",IF(V441&lt;'Config_v6'!$B$18,"Confidence sub prag",IF(E441="REPLAY","Exemplu retrospectiv; exclus din Top LIVE",IF(Y441="PASS","DEFENSIV validat",IF(W441="OOS PENDING","Eligibil; calibrare linie in monitorizare","Eligibil"))))))))))</x:f>
      </x:c>
      <x:c r="AI441" s="2" t="str">
        <x:f>IF(B441="","",'Calibrare_Linii'!V7)</x:f>
      </x:c>
      <x:c r="AJ441" s="2" t="str">
        <x:f>IF(B441="","",IF(AND('Calibrare_Linii'!T7="VALIDATED",AND('Calibrare_Linii'!H7=C441,ISNUMBER('Calibrare_Linii'!J7),'Calibrare_Linii'!J7&lt;='Input_Meci'!G37)),"DEFENSIVE VALIDATED",IF(AND('Calibrare_Linii'!S7="VALIDATED",AND('Calibrare_Linii'!H7=C441,ISNUMBER('Calibrare_Linii'!J7),'Calibrare_Linii'!J7&lt;='Input_Meci'!G37)),"TAIL VALIDATED","OOS PENDING")))</x:f>
      </x:c>
      <x:c r="AK441" s="2" t="n">
        <x:f>IF(J441&lt;&gt;"PASS",0,'Motor_Meciuri'!BR37)</x:f>
        <x:v>0</x:v>
      </x:c>
      <x:c r="AL441" s="2" t="n">
        <x:f>IF(J441&lt;&gt;"PASS",0,'Motor_Meciuri'!BS37)</x:f>
        <x:v>0</x:v>
      </x:c>
      <x:c r="AM441" s="2" t="n">
        <x:f>IF(J441&lt;&gt;"PASS",0,'Motor_Meciuri'!BT37)</x:f>
        <x:v>0</x:v>
      </x:c>
      <x:c r="AN441" s="2" t="str">
        <x:f>IF(M441="","",MAX(0,'Motor_Meciuri'!BF37-IF(L441&gt;'Config_v6'!$B$12,'Config_v6'!$B$37,IF(L441&gt;'Config_v6'!$B$11,'Config_v6'!$B$36,0))))</x:f>
      </x:c>
    </x:row>
    <x:row r="442" ht="21" customHeight="1">
      <x:c r="A442" s="2" t="n">
        <x:v>32</x:v>
      </x:c>
      <x:c r="B442" s="2" t="str">
        <x:f>IF('Motor_Meciuri'!A37="","",'Motor_Meciuri'!A37)</x:f>
      </x:c>
      <x:c r="C442" s="2" t="str">
        <x:f>IF(B442="","",'Motor_Meciuri'!B37)</x:f>
      </x:c>
      <x:c r="D442" s="2" t="str">
        <x:f>IF(B442="","",'Motor_Meciuri'!D37)</x:f>
      </x:c>
      <x:c r="E442" s="2" t="str">
        <x:f>IF(B442="","",'Motor_Meciuri'!E37)</x:f>
      </x:c>
      <x:c r="F442" s="2" t="str">
        <x:v>O5,5</x:v>
      </x:c>
      <x:c r="G442" s="2" t="str">
        <x:v>OVER</x:v>
      </x:c>
      <x:c r="H442" s="2" t="n">
        <x:v>5</x:v>
      </x:c>
      <x:c r="I442" s="2" t="str">
        <x:f>IF(B442="","",'Motor_Meciuri'!H37)</x:f>
      </x:c>
      <x:c r="J442" s="2" t="str">
        <x:f>IF(B442="","",'Motor_Meciuri'!I37)</x:f>
      </x:c>
      <x:c r="K442" s="11" t="str">
        <x:f>IF(J442&lt;&gt;"PASS","",'Motor_Meciuri'!BD37)</x:f>
      </x:c>
      <x:c r="L442" s="11" t="str">
        <x:f>IF(J442&lt;&gt;"PASS","",'Motor_Meciuri'!AU37)</x:f>
      </x:c>
      <x:c r="M442" s="10" t="str">
        <x:f>IF(NOT(AND(J442="PASS",'Calibrare_Linii'!U8="VALID")),"",1-'Distributie'!AC37)</x:f>
      </x:c>
      <x:c r="N442" s="10" t="str">
        <x:f>IF(M442="","",MAX(0.01,MIN(0.99,0.5+(M442-0.5)*'Motor_Meciuri'!BG37*'Calibrare_Linii'!D8)))</x:f>
      </x:c>
      <x:c r="O442" s="10" t="str">
        <x:f>IF(M442="","",1-M442)</x:f>
      </x:c>
      <x:c r="P442" s="10" t="str">
        <x:f>IF(OR(NOT(AND(J442="PASS",'Calibrare_Linii'!U8="VALID")),AK442=0),""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*('Istoric_Nativ'!$Q$6:$Q$405&lt;=H442))/AK442)</x:f>
      </x:c>
      <x:c r="Q442" s="10" t="str">
        <x:f>IF(OR(NOT(AND(J442="PASS",'Calibrare_Linii'!U8="VALID")),AL442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M37)+((('Istoric_Nativ'!$E$6:$E$405='Input_Meci'!E37)+('Istoric_Nativ'!$F$6:$F$405='Input_Meci'!E37))&gt;0)*('Istoric_Nativ'!$D$6:$D$405&gt;='Motor_Meciuri'!BN37))&gt;0)*('Istoric_Nativ'!$Q$6:$Q$405&lt;=H442))/AL442)</x:f>
      </x:c>
      <x:c r="R442" s="10" t="str">
        <x:f>IF(OR(NOT(AND(J442="PASS",'Calibrare_Linii'!U8="VALID")),AM442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O37)+((('Istoric_Nativ'!$E$6:$E$405='Input_Meci'!E37)+('Istoric_Nativ'!$F$6:$F$405='Input_Meci'!E37))&gt;0)*('Istoric_Nativ'!$D$6:$D$405&gt;='Motor_Meciuri'!BP37))&gt;0)*('Istoric_Nativ'!$Q$6:$Q$405&lt;=H442))/AM442)</x:f>
      </x:c>
      <x:c r="S442" s="10" t="str">
        <x:f>IF(M442="","",MAX(O442,P442,Q442,R442))</x:f>
      </x:c>
      <x:c r="T442" s="11" t="str">
        <x:f>IF(M442="","",MIN(100,S442*100*'Config_v6'!$B$44+MIN(100,L442/'Config_v6'!$B$13*100)*'Config_v6'!$B$45+(100-'Motor_Meciuri'!BF37)*'Config_v6'!$B$46+'Motor_Meciuri'!BH37*100*'Config_v6'!$B$47))</x:f>
      </x:c>
      <x:c r="U442" s="2" t="str">
        <x:f>IF(T442="","",IF(T442&lt;=20,1,IF(T442&lt;=40,2,IF(T442&lt;=60,3,IF(T442&lt;=80,4,5)))))</x:f>
      </x:c>
      <x:c r="V442" s="2" t="str">
        <x:f>IF(M442="","",MAX(0,'Motor_Meciuri'!BF37-IF(W442="OOS PENDING",'Config_v6'!$B$35,0)-IF(L442&gt;'Config_v6'!$B$12,'Config_v6'!$B$37,IF(L442&gt;'Config_v6'!$B$11,'Config_v6'!$B$36,0))))</x:f>
      </x:c>
      <x:c r="W442" s="2" t="str">
        <x:f>IF(B442="","",IF(I442&lt;&gt;"READY","NOT RELEASED",IF(NOT(AND(J442="PASS",'Calibrare_Linii'!U8="VALID")),"INVALID",IF(NOT(AND('Calibrare_Linii'!S8="VALIDATED",AND('Calibrare_Linii'!H8=C442,ISNUMBER('Calibrare_Linii'!J8),'Calibrare_Linii'!J8&lt;='Input_Meci'!G37))),"OOS PENDING",IF(S442&lt;='Calibrare_Linii'!E8,"PASS",IF(S442&lt;='Calibrare_Linii'!F8,"PENALTY","WATCH"))))))</x:f>
      </x:c>
      <x:c r="X442" s="2" t="str">
        <x:f>IF(M442="","",IF(AND(AND(J442="PASS",'Calibrare_Linii'!U8="VALID"),'Motor_Meciuri'!K37=12,'Motor_Meciuri'!L37=12,'Motor_Meciuri'!M37="NO",'Motor_Meciuri'!BL37='Motor_Meciuri'!C37,AB442&gt;='Config_v6'!$B$50,AN442&gt;='Config_v6'!$B$51,T442&lt;='Config_v6'!$B$52,L442&lt;='Config_v6'!$B$53,ISNUMBER('Calibrare_Linii'!E8),S442&lt;='Calibrare_Linii'!E8,SUM(AK442:AM442)&gt;0),"CANDIDATE","NO"))</x:f>
      </x:c>
      <x:c r="Y442" s="2" t="str">
        <x:f>IF(B442="","",IF(I442&lt;&gt;"READY","NOT RELEASED",IF(AND(X442="CANDIDATE",V442&gt;='Config_v6'!$B$51,W442="PASS",'Calibrare_Linii'!T8="VALIDATED",AND('Calibrare_Linii'!H8=C442,ISNUMBER('Calibrare_Linii'!J8),'Calibrare_Linii'!J8&lt;='Input_Meci'!G37)),"PASS",IF(X442="CANDIDATE","OOS PENDING","FAIL"))))</x:f>
      </x:c>
      <x:c r="Z442" s="2" t="str">
        <x:f>IF(B442="","",IF(I442&lt;&gt;"READY","",IF(OR(NOT(AND(J442="PASS",'Calibrare_Linii'!U8="VALID")),L442&gt;'Config_v6'!$B$13,W442="WATCH"),5,IF(Y442="PASS",1,MIN(5,MAX('Config_v6'!$B$42,U442)+IF(W442="PENALTY",1,0))))))</x:f>
      </x:c>
      <x:c r="AA442" s="2" t="str">
        <x:f>IF(B442="","",IF(I442&lt;&gt;"READY","NOT RELEASED",IF(Z442=5,"NO BET",IF(OR(AB442&lt;'Config_v6'!$B$16,V442&lt;'Config_v6'!$B$18),"WATCH",IF(Z442=1,"DEFENSIV",IF(Z442=2,"PRUDENT",IF(Z442=3,"MODERAT","RIDICAT")))))))</x:f>
      </x:c>
      <x:c r="AB442" s="10" t="str">
        <x:f>IF(N442="","",MIN(N442,1-S442))</x:f>
      </x:c>
      <x:c r="AC442" s="2" t="str">
        <x:f>IF(AD442&lt;&gt;1,"",COUNTIFS($Z$440:$Z$453,"&lt;"&amp;Z442,$AD$440:$AD$453,1)+COUNTIFS($Z$440:$Z$453,Z442,$AB$440:$AB$453,"&gt;"&amp;AB442,$AD$440:$AD$453,1)+COUNTIFS($Z$440:$Z$453,Z442,$AB$440:$AB$453,AB442,$V$440:$V$453,"&gt;"&amp;V442,$AD$440:$AD$453,1)+COUNTIFS($Z$440:Z442,Z442,$AB$440:AB442,AB442,$V$440:V442,V442,$AD$440:AD442,1))</x:f>
      </x:c>
      <x:c r="AD442" s="2" t="n">
        <x:f>IF(OR(AA442="DEFENSIV",AA442="PRUDENT",AA442="MODERAT",AA442="RIDICAT"),1,0)</x:f>
        <x:v>0</x:v>
      </x:c>
      <x:c r="AE442" s="2" t="str">
        <x:f>IF(AD442&lt;&gt;1,"NO",IF(W442="PASS","YES",IF(W442="OOS PENDING","CONDITIONAL","NO")))</x:f>
        <x:v>NO</x:v>
      </x:c>
      <x:c r="AF442" s="2" t="n">
        <x:f>IF(AND(AD442=1,AC442=1,E442="LIVE"),1,0)</x:f>
        <x:v>0</x:v>
      </x:c>
      <x:c r="AG442" s="2" t="str">
        <x:f>IF(AF442&lt;&gt;1,"",'Dashboard'!P57)</x:f>
      </x:c>
      <x:c r="AH442" s="2" t="str">
        <x:f>IF(B442="","",IF(J442&lt;&gt;"PASS",'Motor_Meciuri'!J37,IF('Calibrare_Linii'!U8&lt;&gt;"VALID","Parametri linie invalizi",IF(L442&gt;'Config_v6'!$B$13,"Dispersie peste limita",IF(W442="WATCH","Failure peste limita",IF(AB442&lt;'Config_v6'!$B$16,"P finala sub prag",IF(V442&lt;'Config_v6'!$B$18,"Confidence sub prag",IF(E442="REPLAY","Exemplu retrospectiv; exclus din Top LIVE",IF(Y442="PASS","DEFENSIV validat",IF(W442="OOS PENDING","Eligibil; calibrare linie in monitorizare","Eligibil"))))))))))</x:f>
      </x:c>
      <x:c r="AI442" s="2" t="str">
        <x:f>IF(B442="","",'Calibrare_Linii'!V8)</x:f>
      </x:c>
      <x:c r="AJ442" s="2" t="str">
        <x:f>IF(B442="","",IF(AND('Calibrare_Linii'!T8="VALIDATED",AND('Calibrare_Linii'!H8=C442,ISNUMBER('Calibrare_Linii'!J8),'Calibrare_Linii'!J8&lt;='Input_Meci'!G37)),"DEFENSIVE VALIDATED",IF(AND('Calibrare_Linii'!S8="VALIDATED",AND('Calibrare_Linii'!H8=C442,ISNUMBER('Calibrare_Linii'!J8),'Calibrare_Linii'!J8&lt;='Input_Meci'!G37)),"TAIL VALIDATED","OOS PENDING")))</x:f>
      </x:c>
      <x:c r="AK442" s="2" t="n">
        <x:f>IF(J442&lt;&gt;"PASS",0,'Motor_Meciuri'!BR37)</x:f>
        <x:v>0</x:v>
      </x:c>
      <x:c r="AL442" s="2" t="n">
        <x:f>IF(J442&lt;&gt;"PASS",0,'Motor_Meciuri'!BS37)</x:f>
        <x:v>0</x:v>
      </x:c>
      <x:c r="AM442" s="2" t="n">
        <x:f>IF(J442&lt;&gt;"PASS",0,'Motor_Meciuri'!BT37)</x:f>
        <x:v>0</x:v>
      </x:c>
      <x:c r="AN442" s="2" t="str">
        <x:f>IF(M442="","",MAX(0,'Motor_Meciuri'!BF37-IF(L442&gt;'Config_v6'!$B$12,'Config_v6'!$B$37,IF(L442&gt;'Config_v6'!$B$11,'Config_v6'!$B$36,0))))</x:f>
      </x:c>
    </x:row>
    <x:row r="443" ht="21" customHeight="1">
      <x:c r="A443" s="2" t="n">
        <x:v>32</x:v>
      </x:c>
      <x:c r="B443" s="2" t="str">
        <x:f>IF('Motor_Meciuri'!A37="","",'Motor_Meciuri'!A37)</x:f>
      </x:c>
      <x:c r="C443" s="2" t="str">
        <x:f>IF(B443="","",'Motor_Meciuri'!B37)</x:f>
      </x:c>
      <x:c r="D443" s="2" t="str">
        <x:f>IF(B443="","",'Motor_Meciuri'!D37)</x:f>
      </x:c>
      <x:c r="E443" s="2" t="str">
        <x:f>IF(B443="","",'Motor_Meciuri'!E37)</x:f>
      </x:c>
      <x:c r="F443" s="2" t="str">
        <x:v>O6,5</x:v>
      </x:c>
      <x:c r="G443" s="2" t="str">
        <x:v>OVER</x:v>
      </x:c>
      <x:c r="H443" s="2" t="n">
        <x:v>6</x:v>
      </x:c>
      <x:c r="I443" s="2" t="str">
        <x:f>IF(B443="","",'Motor_Meciuri'!H37)</x:f>
      </x:c>
      <x:c r="J443" s="2" t="str">
        <x:f>IF(B443="","",'Motor_Meciuri'!I37)</x:f>
      </x:c>
      <x:c r="K443" s="11" t="str">
        <x:f>IF(J443&lt;&gt;"PASS","",'Motor_Meciuri'!BD37)</x:f>
      </x:c>
      <x:c r="L443" s="11" t="str">
        <x:f>IF(J443&lt;&gt;"PASS","",'Motor_Meciuri'!AU37)</x:f>
      </x:c>
      <x:c r="M443" s="10" t="str">
        <x:f>IF(NOT(AND(J443="PASS",'Calibrare_Linii'!U9="VALID")),"",1-'Distributie'!AD37)</x:f>
      </x:c>
      <x:c r="N443" s="10" t="str">
        <x:f>IF(M443="","",MAX(0.01,MIN(0.99,0.5+(M443-0.5)*'Motor_Meciuri'!BG37*'Calibrare_Linii'!D9)))</x:f>
      </x:c>
      <x:c r="O443" s="10" t="str">
        <x:f>IF(M443="","",1-M443)</x:f>
      </x:c>
      <x:c r="P443" s="10" t="str">
        <x:f>IF(OR(NOT(AND(J443="PASS",'Calibrare_Linii'!U9="VALID")),AK443=0),""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*('Istoric_Nativ'!$Q$6:$Q$405&lt;=H443))/AK443)</x:f>
      </x:c>
      <x:c r="Q443" s="10" t="str">
        <x:f>IF(OR(NOT(AND(J443="PASS",'Calibrare_Linii'!U9="VALID")),AL443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M37)+((('Istoric_Nativ'!$E$6:$E$405='Input_Meci'!E37)+('Istoric_Nativ'!$F$6:$F$405='Input_Meci'!E37))&gt;0)*('Istoric_Nativ'!$D$6:$D$405&gt;='Motor_Meciuri'!BN37))&gt;0)*('Istoric_Nativ'!$Q$6:$Q$405&lt;=H443))/AL443)</x:f>
      </x:c>
      <x:c r="R443" s="10" t="str">
        <x:f>IF(OR(NOT(AND(J443="PASS",'Calibrare_Linii'!U9="VALID")),AM443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O37)+((('Istoric_Nativ'!$E$6:$E$405='Input_Meci'!E37)+('Istoric_Nativ'!$F$6:$F$405='Input_Meci'!E37))&gt;0)*('Istoric_Nativ'!$D$6:$D$405&gt;='Motor_Meciuri'!BP37))&gt;0)*('Istoric_Nativ'!$Q$6:$Q$405&lt;=H443))/AM443)</x:f>
      </x:c>
      <x:c r="S443" s="10" t="str">
        <x:f>IF(M443="","",MAX(O443,P443,Q443,R443))</x:f>
      </x:c>
      <x:c r="T443" s="11" t="str">
        <x:f>IF(M443="","",MIN(100,S443*100*'Config_v6'!$B$44+MIN(100,L443/'Config_v6'!$B$13*100)*'Config_v6'!$B$45+(100-'Motor_Meciuri'!BF37)*'Config_v6'!$B$46+'Motor_Meciuri'!BH37*100*'Config_v6'!$B$47))</x:f>
      </x:c>
      <x:c r="U443" s="2" t="str">
        <x:f>IF(T443="","",IF(T443&lt;=20,1,IF(T443&lt;=40,2,IF(T443&lt;=60,3,IF(T443&lt;=80,4,5)))))</x:f>
      </x:c>
      <x:c r="V443" s="2" t="str">
        <x:f>IF(M443="","",MAX(0,'Motor_Meciuri'!BF37-IF(W443="OOS PENDING",'Config_v6'!$B$35,0)-IF(L443&gt;'Config_v6'!$B$12,'Config_v6'!$B$37,IF(L443&gt;'Config_v6'!$B$11,'Config_v6'!$B$36,0))))</x:f>
      </x:c>
      <x:c r="W443" s="2" t="str">
        <x:f>IF(B443="","",IF(I443&lt;&gt;"READY","NOT RELEASED",IF(NOT(AND(J443="PASS",'Calibrare_Linii'!U9="VALID")),"INVALID",IF(NOT(AND('Calibrare_Linii'!S9="VALIDATED",AND('Calibrare_Linii'!H9=C443,ISNUMBER('Calibrare_Linii'!J9),'Calibrare_Linii'!J9&lt;='Input_Meci'!G37))),"OOS PENDING",IF(S443&lt;='Calibrare_Linii'!E9,"PASS",IF(S443&lt;='Calibrare_Linii'!F9,"PENALTY","WATCH"))))))</x:f>
      </x:c>
      <x:c r="X443" s="2" t="str">
        <x:f>IF(M443="","",IF(AND(AND(J443="PASS",'Calibrare_Linii'!U9="VALID"),'Motor_Meciuri'!K37=12,'Motor_Meciuri'!L37=12,'Motor_Meciuri'!M37="NO",'Motor_Meciuri'!BL37='Motor_Meciuri'!C37,AB443&gt;='Config_v6'!$B$50,AN443&gt;='Config_v6'!$B$51,T443&lt;='Config_v6'!$B$52,L443&lt;='Config_v6'!$B$53,ISNUMBER('Calibrare_Linii'!E9),S443&lt;='Calibrare_Linii'!E9,SUM(AK443:AM443)&gt;0),"CANDIDATE","NO"))</x:f>
      </x:c>
      <x:c r="Y443" s="2" t="str">
        <x:f>IF(B443="","",IF(I443&lt;&gt;"READY","NOT RELEASED",IF(AND(X443="CANDIDATE",V443&gt;='Config_v6'!$B$51,W443="PASS",'Calibrare_Linii'!T9="VALIDATED",AND('Calibrare_Linii'!H9=C443,ISNUMBER('Calibrare_Linii'!J9),'Calibrare_Linii'!J9&lt;='Input_Meci'!G37)),"PASS",IF(X443="CANDIDATE","OOS PENDING","FAIL"))))</x:f>
      </x:c>
      <x:c r="Z443" s="2" t="str">
        <x:f>IF(B443="","",IF(I443&lt;&gt;"READY","",IF(OR(NOT(AND(J443="PASS",'Calibrare_Linii'!U9="VALID")),L443&gt;'Config_v6'!$B$13,W443="WATCH"),5,IF(Y443="PASS",1,MIN(5,MAX('Config_v6'!$B$42,U443)+IF(W443="PENALTY",1,0))))))</x:f>
      </x:c>
      <x:c r="AA443" s="2" t="str">
        <x:f>IF(B443="","",IF(I443&lt;&gt;"READY","NOT RELEASED",IF(Z443=5,"NO BET",IF(OR(AB443&lt;'Config_v6'!$B$16,V443&lt;'Config_v6'!$B$18),"WATCH",IF(Z443=1,"DEFENSIV",IF(Z443=2,"PRUDENT",IF(Z443=3,"MODERAT","RIDICAT")))))))</x:f>
      </x:c>
      <x:c r="AB443" s="10" t="str">
        <x:f>IF(N443="","",MIN(N443,1-S443))</x:f>
      </x:c>
      <x:c r="AC443" s="2" t="str">
        <x:f>IF(AD443&lt;&gt;1,"",COUNTIFS($Z$440:$Z$453,"&lt;"&amp;Z443,$AD$440:$AD$453,1)+COUNTIFS($Z$440:$Z$453,Z443,$AB$440:$AB$453,"&gt;"&amp;AB443,$AD$440:$AD$453,1)+COUNTIFS($Z$440:$Z$453,Z443,$AB$440:$AB$453,AB443,$V$440:$V$453,"&gt;"&amp;V443,$AD$440:$AD$453,1)+COUNTIFS($Z$440:Z443,Z443,$AB$440:AB443,AB443,$V$440:V443,V443,$AD$440:AD443,1))</x:f>
      </x:c>
      <x:c r="AD443" s="2" t="n">
        <x:f>IF(OR(AA443="DEFENSIV",AA443="PRUDENT",AA443="MODERAT",AA443="RIDICAT"),1,0)</x:f>
        <x:v>0</x:v>
      </x:c>
      <x:c r="AE443" s="2" t="str">
        <x:f>IF(AD443&lt;&gt;1,"NO",IF(W443="PASS","YES",IF(W443="OOS PENDING","CONDITIONAL","NO")))</x:f>
        <x:v>NO</x:v>
      </x:c>
      <x:c r="AF443" s="2" t="n">
        <x:f>IF(AND(AD443=1,AC443=1,E443="LIVE"),1,0)</x:f>
        <x:v>0</x:v>
      </x:c>
      <x:c r="AG443" s="2" t="str">
        <x:f>IF(AF443&lt;&gt;1,"",'Dashboard'!P57)</x:f>
      </x:c>
      <x:c r="AH443" s="2" t="str">
        <x:f>IF(B443="","",IF(J443&lt;&gt;"PASS",'Motor_Meciuri'!J37,IF('Calibrare_Linii'!U9&lt;&gt;"VALID","Parametri linie invalizi",IF(L443&gt;'Config_v6'!$B$13,"Dispersie peste limita",IF(W443="WATCH","Failure peste limita",IF(AB443&lt;'Config_v6'!$B$16,"P finala sub prag",IF(V443&lt;'Config_v6'!$B$18,"Confidence sub prag",IF(E443="REPLAY","Exemplu retrospectiv; exclus din Top LIVE",IF(Y443="PASS","DEFENSIV validat",IF(W443="OOS PENDING","Eligibil; calibrare linie in monitorizare","Eligibil"))))))))))</x:f>
      </x:c>
      <x:c r="AI443" s="2" t="str">
        <x:f>IF(B443="","",'Calibrare_Linii'!V9)</x:f>
      </x:c>
      <x:c r="AJ443" s="2" t="str">
        <x:f>IF(B443="","",IF(AND('Calibrare_Linii'!T9="VALIDATED",AND('Calibrare_Linii'!H9=C443,ISNUMBER('Calibrare_Linii'!J9),'Calibrare_Linii'!J9&lt;='Input_Meci'!G37)),"DEFENSIVE VALIDATED",IF(AND('Calibrare_Linii'!S9="VALIDATED",AND('Calibrare_Linii'!H9=C443,ISNUMBER('Calibrare_Linii'!J9),'Calibrare_Linii'!J9&lt;='Input_Meci'!G37)),"TAIL VALIDATED","OOS PENDING")))</x:f>
      </x:c>
      <x:c r="AK443" s="2" t="n">
        <x:f>IF(J443&lt;&gt;"PASS",0,'Motor_Meciuri'!BR37)</x:f>
        <x:v>0</x:v>
      </x:c>
      <x:c r="AL443" s="2" t="n">
        <x:f>IF(J443&lt;&gt;"PASS",0,'Motor_Meciuri'!BS37)</x:f>
        <x:v>0</x:v>
      </x:c>
      <x:c r="AM443" s="2" t="n">
        <x:f>IF(J443&lt;&gt;"PASS",0,'Motor_Meciuri'!BT37)</x:f>
        <x:v>0</x:v>
      </x:c>
      <x:c r="AN443" s="2" t="str">
        <x:f>IF(M443="","",MAX(0,'Motor_Meciuri'!BF37-IF(L443&gt;'Config_v6'!$B$12,'Config_v6'!$B$37,IF(L443&gt;'Config_v6'!$B$11,'Config_v6'!$B$36,0))))</x:f>
      </x:c>
    </x:row>
    <x:row r="444" ht="21" customHeight="1">
      <x:c r="A444" s="2" t="n">
        <x:v>32</x:v>
      </x:c>
      <x:c r="B444" s="2" t="str">
        <x:f>IF('Motor_Meciuri'!A37="","",'Motor_Meciuri'!A37)</x:f>
      </x:c>
      <x:c r="C444" s="2" t="str">
        <x:f>IF(B444="","",'Motor_Meciuri'!B37)</x:f>
      </x:c>
      <x:c r="D444" s="2" t="str">
        <x:f>IF(B444="","",'Motor_Meciuri'!D37)</x:f>
      </x:c>
      <x:c r="E444" s="2" t="str">
        <x:f>IF(B444="","",'Motor_Meciuri'!E37)</x:f>
      </x:c>
      <x:c r="F444" s="2" t="str">
        <x:v>O7,5</x:v>
      </x:c>
      <x:c r="G444" s="2" t="str">
        <x:v>OVER</x:v>
      </x:c>
      <x:c r="H444" s="2" t="n">
        <x:v>7</x:v>
      </x:c>
      <x:c r="I444" s="2" t="str">
        <x:f>IF(B444="","",'Motor_Meciuri'!H37)</x:f>
      </x:c>
      <x:c r="J444" s="2" t="str">
        <x:f>IF(B444="","",'Motor_Meciuri'!I37)</x:f>
      </x:c>
      <x:c r="K444" s="11" t="str">
        <x:f>IF(J444&lt;&gt;"PASS","",'Motor_Meciuri'!BD37)</x:f>
      </x:c>
      <x:c r="L444" s="11" t="str">
        <x:f>IF(J444&lt;&gt;"PASS","",'Motor_Meciuri'!AU37)</x:f>
      </x:c>
      <x:c r="M444" s="10" t="str">
        <x:f>IF(NOT(AND(J444="PASS",'Calibrare_Linii'!U10="VALID")),"",1-'Distributie'!AE37)</x:f>
      </x:c>
      <x:c r="N444" s="10" t="str">
        <x:f>IF(M444="","",MAX(0.01,MIN(0.99,0.5+(M444-0.5)*'Motor_Meciuri'!BG37*'Calibrare_Linii'!D10)))</x:f>
      </x:c>
      <x:c r="O444" s="10" t="str">
        <x:f>IF(M444="","",1-M444)</x:f>
      </x:c>
      <x:c r="P444" s="10" t="str">
        <x:f>IF(OR(NOT(AND(J444="PASS",'Calibrare_Linii'!U10="VALID")),AK444=0),""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*('Istoric_Nativ'!$Q$6:$Q$405&lt;=H444))/AK444)</x:f>
      </x:c>
      <x:c r="Q444" s="10" t="str">
        <x:f>IF(OR(NOT(AND(J444="PASS",'Calibrare_Linii'!U10="VALID")),AL444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M37)+((('Istoric_Nativ'!$E$6:$E$405='Input_Meci'!E37)+('Istoric_Nativ'!$F$6:$F$405='Input_Meci'!E37))&gt;0)*('Istoric_Nativ'!$D$6:$D$405&gt;='Motor_Meciuri'!BN37))&gt;0)*('Istoric_Nativ'!$Q$6:$Q$405&lt;=H444))/AL444)</x:f>
      </x:c>
      <x:c r="R444" s="10" t="str">
        <x:f>IF(OR(NOT(AND(J444="PASS",'Calibrare_Linii'!U10="VALID")),AM444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O37)+((('Istoric_Nativ'!$E$6:$E$405='Input_Meci'!E37)+('Istoric_Nativ'!$F$6:$F$405='Input_Meci'!E37))&gt;0)*('Istoric_Nativ'!$D$6:$D$405&gt;='Motor_Meciuri'!BP37))&gt;0)*('Istoric_Nativ'!$Q$6:$Q$405&lt;=H444))/AM444)</x:f>
      </x:c>
      <x:c r="S444" s="10" t="str">
        <x:f>IF(M444="","",MAX(O444,P444,Q444,R444))</x:f>
      </x:c>
      <x:c r="T444" s="11" t="str">
        <x:f>IF(M444="","",MIN(100,S444*100*'Config_v6'!$B$44+MIN(100,L444/'Config_v6'!$B$13*100)*'Config_v6'!$B$45+(100-'Motor_Meciuri'!BF37)*'Config_v6'!$B$46+'Motor_Meciuri'!BH37*100*'Config_v6'!$B$47))</x:f>
      </x:c>
      <x:c r="U444" s="2" t="str">
        <x:f>IF(T444="","",IF(T444&lt;=20,1,IF(T444&lt;=40,2,IF(T444&lt;=60,3,IF(T444&lt;=80,4,5)))))</x:f>
      </x:c>
      <x:c r="V444" s="2" t="str">
        <x:f>IF(M444="","",MAX(0,'Motor_Meciuri'!BF37-IF(W444="OOS PENDING",'Config_v6'!$B$35,0)-IF(L444&gt;'Config_v6'!$B$12,'Config_v6'!$B$37,IF(L444&gt;'Config_v6'!$B$11,'Config_v6'!$B$36,0))))</x:f>
      </x:c>
      <x:c r="W444" s="2" t="str">
        <x:f>IF(B444="","",IF(I444&lt;&gt;"READY","NOT RELEASED",IF(NOT(AND(J444="PASS",'Calibrare_Linii'!U10="VALID")),"INVALID",IF(NOT(AND('Calibrare_Linii'!S10="VALIDATED",AND('Calibrare_Linii'!H10=C444,ISNUMBER('Calibrare_Linii'!J10),'Calibrare_Linii'!J10&lt;='Input_Meci'!G37))),"OOS PENDING",IF(S444&lt;='Calibrare_Linii'!E10,"PASS",IF(S444&lt;='Calibrare_Linii'!F10,"PENALTY","WATCH"))))))</x:f>
      </x:c>
      <x:c r="X444" s="2" t="str">
        <x:f>IF(M444="","",IF(AND(AND(J444="PASS",'Calibrare_Linii'!U10="VALID"),'Motor_Meciuri'!K37=12,'Motor_Meciuri'!L37=12,'Motor_Meciuri'!M37="NO",'Motor_Meciuri'!BL37='Motor_Meciuri'!C37,AB444&gt;='Config_v6'!$B$50,AN444&gt;='Config_v6'!$B$51,T444&lt;='Config_v6'!$B$52,L444&lt;='Config_v6'!$B$53,ISNUMBER('Calibrare_Linii'!E10),S444&lt;='Calibrare_Linii'!E10,SUM(AK444:AM444)&gt;0),"CANDIDATE","NO"))</x:f>
      </x:c>
      <x:c r="Y444" s="2" t="str">
        <x:f>IF(B444="","",IF(I444&lt;&gt;"READY","NOT RELEASED",IF(AND(X444="CANDIDATE",V444&gt;='Config_v6'!$B$51,W444="PASS",'Calibrare_Linii'!T10="VALIDATED",AND('Calibrare_Linii'!H10=C444,ISNUMBER('Calibrare_Linii'!J10),'Calibrare_Linii'!J10&lt;='Input_Meci'!G37)),"PASS",IF(X444="CANDIDATE","OOS PENDING","FAIL"))))</x:f>
      </x:c>
      <x:c r="Z444" s="2" t="str">
        <x:f>IF(B444="","",IF(I444&lt;&gt;"READY","",IF(OR(NOT(AND(J444="PASS",'Calibrare_Linii'!U10="VALID")),L444&gt;'Config_v6'!$B$13,W444="WATCH"),5,IF(Y444="PASS",1,MIN(5,MAX('Config_v6'!$B$42,U444)+IF(W444="PENALTY",1,0))))))</x:f>
      </x:c>
      <x:c r="AA444" s="2" t="str">
        <x:f>IF(B444="","",IF(I444&lt;&gt;"READY","NOT RELEASED",IF(Z444=5,"NO BET",IF(OR(AB444&lt;'Config_v6'!$B$16,V444&lt;'Config_v6'!$B$18),"WATCH",IF(Z444=1,"DEFENSIV",IF(Z444=2,"PRUDENT",IF(Z444=3,"MODERAT","RIDICAT")))))))</x:f>
      </x:c>
      <x:c r="AB444" s="10" t="str">
        <x:f>IF(N444="","",MIN(N444,1-S444))</x:f>
      </x:c>
      <x:c r="AC444" s="2" t="str">
        <x:f>IF(AD444&lt;&gt;1,"",COUNTIFS($Z$440:$Z$453,"&lt;"&amp;Z444,$AD$440:$AD$453,1)+COUNTIFS($Z$440:$Z$453,Z444,$AB$440:$AB$453,"&gt;"&amp;AB444,$AD$440:$AD$453,1)+COUNTIFS($Z$440:$Z$453,Z444,$AB$440:$AB$453,AB444,$V$440:$V$453,"&gt;"&amp;V444,$AD$440:$AD$453,1)+COUNTIFS($Z$440:Z444,Z444,$AB$440:AB444,AB444,$V$440:V444,V444,$AD$440:AD444,1))</x:f>
      </x:c>
      <x:c r="AD444" s="2" t="n">
        <x:f>IF(OR(AA444="DEFENSIV",AA444="PRUDENT",AA444="MODERAT",AA444="RIDICAT"),1,0)</x:f>
        <x:v>0</x:v>
      </x:c>
      <x:c r="AE444" s="2" t="str">
        <x:f>IF(AD444&lt;&gt;1,"NO",IF(W444="PASS","YES",IF(W444="OOS PENDING","CONDITIONAL","NO")))</x:f>
        <x:v>NO</x:v>
      </x:c>
      <x:c r="AF444" s="2" t="n">
        <x:f>IF(AND(AD444=1,AC444=1,E444="LIVE"),1,0)</x:f>
        <x:v>0</x:v>
      </x:c>
      <x:c r="AG444" s="2" t="str">
        <x:f>IF(AF444&lt;&gt;1,"",'Dashboard'!P57)</x:f>
      </x:c>
      <x:c r="AH444" s="2" t="str">
        <x:f>IF(B444="","",IF(J444&lt;&gt;"PASS",'Motor_Meciuri'!J37,IF('Calibrare_Linii'!U10&lt;&gt;"VALID","Parametri linie invalizi",IF(L444&gt;'Config_v6'!$B$13,"Dispersie peste limita",IF(W444="WATCH","Failure peste limita",IF(AB444&lt;'Config_v6'!$B$16,"P finala sub prag",IF(V444&lt;'Config_v6'!$B$18,"Confidence sub prag",IF(E444="REPLAY","Exemplu retrospectiv; exclus din Top LIVE",IF(Y444="PASS","DEFENSIV validat",IF(W444="OOS PENDING","Eligibil; calibrare linie in monitorizare","Eligibil"))))))))))</x:f>
      </x:c>
      <x:c r="AI444" s="2" t="str">
        <x:f>IF(B444="","",'Calibrare_Linii'!V10)</x:f>
      </x:c>
      <x:c r="AJ444" s="2" t="str">
        <x:f>IF(B444="","",IF(AND('Calibrare_Linii'!T10="VALIDATED",AND('Calibrare_Linii'!H10=C444,ISNUMBER('Calibrare_Linii'!J10),'Calibrare_Linii'!J10&lt;='Input_Meci'!G37)),"DEFENSIVE VALIDATED",IF(AND('Calibrare_Linii'!S10="VALIDATED",AND('Calibrare_Linii'!H10=C444,ISNUMBER('Calibrare_Linii'!J10),'Calibrare_Linii'!J10&lt;='Input_Meci'!G37)),"TAIL VALIDATED","OOS PENDING")))</x:f>
      </x:c>
      <x:c r="AK444" s="2" t="n">
        <x:f>IF(J444&lt;&gt;"PASS",0,'Motor_Meciuri'!BR37)</x:f>
        <x:v>0</x:v>
      </x:c>
      <x:c r="AL444" s="2" t="n">
        <x:f>IF(J444&lt;&gt;"PASS",0,'Motor_Meciuri'!BS37)</x:f>
        <x:v>0</x:v>
      </x:c>
      <x:c r="AM444" s="2" t="n">
        <x:f>IF(J444&lt;&gt;"PASS",0,'Motor_Meciuri'!BT37)</x:f>
        <x:v>0</x:v>
      </x:c>
      <x:c r="AN444" s="2" t="str">
        <x:f>IF(M444="","",MAX(0,'Motor_Meciuri'!BF37-IF(L444&gt;'Config_v6'!$B$12,'Config_v6'!$B$37,IF(L444&gt;'Config_v6'!$B$11,'Config_v6'!$B$36,0))))</x:f>
      </x:c>
    </x:row>
    <x:row r="445" ht="21" customHeight="1">
      <x:c r="A445" s="2" t="n">
        <x:v>32</x:v>
      </x:c>
      <x:c r="B445" s="2" t="str">
        <x:f>IF('Motor_Meciuri'!A37="","",'Motor_Meciuri'!A37)</x:f>
      </x:c>
      <x:c r="C445" s="2" t="str">
        <x:f>IF(B445="","",'Motor_Meciuri'!B37)</x:f>
      </x:c>
      <x:c r="D445" s="2" t="str">
        <x:f>IF(B445="","",'Motor_Meciuri'!D37)</x:f>
      </x:c>
      <x:c r="E445" s="2" t="str">
        <x:f>IF(B445="","",'Motor_Meciuri'!E37)</x:f>
      </x:c>
      <x:c r="F445" s="2" t="str">
        <x:v>O8,5</x:v>
      </x:c>
      <x:c r="G445" s="2" t="str">
        <x:v>OVER</x:v>
      </x:c>
      <x:c r="H445" s="2" t="n">
        <x:v>8</x:v>
      </x:c>
      <x:c r="I445" s="2" t="str">
        <x:f>IF(B445="","",'Motor_Meciuri'!H37)</x:f>
      </x:c>
      <x:c r="J445" s="2" t="str">
        <x:f>IF(B445="","",'Motor_Meciuri'!I37)</x:f>
      </x:c>
      <x:c r="K445" s="11" t="str">
        <x:f>IF(J445&lt;&gt;"PASS","",'Motor_Meciuri'!BD37)</x:f>
      </x:c>
      <x:c r="L445" s="11" t="str">
        <x:f>IF(J445&lt;&gt;"PASS","",'Motor_Meciuri'!AU37)</x:f>
      </x:c>
      <x:c r="M445" s="10" t="str">
        <x:f>IF(NOT(AND(J445="PASS",'Calibrare_Linii'!U11="VALID")),"",1-'Distributie'!AF37)</x:f>
      </x:c>
      <x:c r="N445" s="10" t="str">
        <x:f>IF(M445="","",MAX(0.01,MIN(0.99,0.5+(M445-0.5)*'Motor_Meciuri'!BG37*'Calibrare_Linii'!D11)))</x:f>
      </x:c>
      <x:c r="O445" s="10" t="str">
        <x:f>IF(M445="","",1-M445)</x:f>
      </x:c>
      <x:c r="P445" s="10" t="str">
        <x:f>IF(OR(NOT(AND(J445="PASS",'Calibrare_Linii'!U11="VALID")),AK445=0),""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*('Istoric_Nativ'!$Q$6:$Q$405&lt;=H445))/AK445)</x:f>
      </x:c>
      <x:c r="Q445" s="10" t="str">
        <x:f>IF(OR(NOT(AND(J445="PASS",'Calibrare_Linii'!U11="VALID")),AL445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M37)+((('Istoric_Nativ'!$E$6:$E$405='Input_Meci'!E37)+('Istoric_Nativ'!$F$6:$F$405='Input_Meci'!E37))&gt;0)*('Istoric_Nativ'!$D$6:$D$405&gt;='Motor_Meciuri'!BN37))&gt;0)*('Istoric_Nativ'!$Q$6:$Q$405&lt;=H445))/AL445)</x:f>
      </x:c>
      <x:c r="R445" s="10" t="str">
        <x:f>IF(OR(NOT(AND(J445="PASS",'Calibrare_Linii'!U11="VALID")),AM445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O37)+((('Istoric_Nativ'!$E$6:$E$405='Input_Meci'!E37)+('Istoric_Nativ'!$F$6:$F$405='Input_Meci'!E37))&gt;0)*('Istoric_Nativ'!$D$6:$D$405&gt;='Motor_Meciuri'!BP37))&gt;0)*('Istoric_Nativ'!$Q$6:$Q$405&lt;=H445))/AM445)</x:f>
      </x:c>
      <x:c r="S445" s="10" t="str">
        <x:f>IF(M445="","",MAX(O445,P445,Q445,R445))</x:f>
      </x:c>
      <x:c r="T445" s="11" t="str">
        <x:f>IF(M445="","",MIN(100,S445*100*'Config_v6'!$B$44+MIN(100,L445/'Config_v6'!$B$13*100)*'Config_v6'!$B$45+(100-'Motor_Meciuri'!BF37)*'Config_v6'!$B$46+'Motor_Meciuri'!BH37*100*'Config_v6'!$B$47))</x:f>
      </x:c>
      <x:c r="U445" s="2" t="str">
        <x:f>IF(T445="","",IF(T445&lt;=20,1,IF(T445&lt;=40,2,IF(T445&lt;=60,3,IF(T445&lt;=80,4,5)))))</x:f>
      </x:c>
      <x:c r="V445" s="2" t="str">
        <x:f>IF(M445="","",MAX(0,'Motor_Meciuri'!BF37-IF(W445="OOS PENDING",'Config_v6'!$B$35,0)-IF(L445&gt;'Config_v6'!$B$12,'Config_v6'!$B$37,IF(L445&gt;'Config_v6'!$B$11,'Config_v6'!$B$36,0))))</x:f>
      </x:c>
      <x:c r="W445" s="2" t="str">
        <x:f>IF(B445="","",IF(I445&lt;&gt;"READY","NOT RELEASED",IF(NOT(AND(J445="PASS",'Calibrare_Linii'!U11="VALID")),"INVALID",IF(NOT(AND('Calibrare_Linii'!S11="VALIDATED",AND('Calibrare_Linii'!H11=C445,ISNUMBER('Calibrare_Linii'!J11),'Calibrare_Linii'!J11&lt;='Input_Meci'!G37))),"OOS PENDING",IF(S445&lt;='Calibrare_Linii'!E11,"PASS",IF(S445&lt;='Calibrare_Linii'!F11,"PENALTY","WATCH"))))))</x:f>
      </x:c>
      <x:c r="X445" s="2" t="str">
        <x:f>IF(M445="","",IF(AND(AND(J445="PASS",'Calibrare_Linii'!U11="VALID"),'Motor_Meciuri'!K37=12,'Motor_Meciuri'!L37=12,'Motor_Meciuri'!M37="NO",'Motor_Meciuri'!BL37='Motor_Meciuri'!C37,AB445&gt;='Config_v6'!$B$50,AN445&gt;='Config_v6'!$B$51,T445&lt;='Config_v6'!$B$52,L445&lt;='Config_v6'!$B$53,ISNUMBER('Calibrare_Linii'!E11),S445&lt;='Calibrare_Linii'!E11,SUM(AK445:AM445)&gt;0),"CANDIDATE","NO"))</x:f>
      </x:c>
      <x:c r="Y445" s="2" t="str">
        <x:f>IF(B445="","",IF(I445&lt;&gt;"READY","NOT RELEASED",IF(AND(X445="CANDIDATE",V445&gt;='Config_v6'!$B$51,W445="PASS",'Calibrare_Linii'!T11="VALIDATED",AND('Calibrare_Linii'!H11=C445,ISNUMBER('Calibrare_Linii'!J11),'Calibrare_Linii'!J11&lt;='Input_Meci'!G37)),"PASS",IF(X445="CANDIDATE","OOS PENDING","FAIL"))))</x:f>
      </x:c>
      <x:c r="Z445" s="2" t="str">
        <x:f>IF(B445="","",IF(I445&lt;&gt;"READY","",IF(OR(NOT(AND(J445="PASS",'Calibrare_Linii'!U11="VALID")),L445&gt;'Config_v6'!$B$13,W445="WATCH"),5,IF(Y445="PASS",1,MIN(5,MAX('Config_v6'!$B$42,U445)+IF(W445="PENALTY",1,0))))))</x:f>
      </x:c>
      <x:c r="AA445" s="2" t="str">
        <x:f>IF(B445="","",IF(I445&lt;&gt;"READY","NOT RELEASED",IF(Z445=5,"NO BET",IF(OR(AB445&lt;'Config_v6'!$B$16,V445&lt;'Config_v6'!$B$18),"WATCH",IF(Z445=1,"DEFENSIV",IF(Z445=2,"PRUDENT",IF(Z445=3,"MODERAT","RIDICAT")))))))</x:f>
      </x:c>
      <x:c r="AB445" s="10" t="str">
        <x:f>IF(N445="","",MIN(N445,1-S445))</x:f>
      </x:c>
      <x:c r="AC445" s="2" t="str">
        <x:f>IF(AD445&lt;&gt;1,"",COUNTIFS($Z$440:$Z$453,"&lt;"&amp;Z445,$AD$440:$AD$453,1)+COUNTIFS($Z$440:$Z$453,Z445,$AB$440:$AB$453,"&gt;"&amp;AB445,$AD$440:$AD$453,1)+COUNTIFS($Z$440:$Z$453,Z445,$AB$440:$AB$453,AB445,$V$440:$V$453,"&gt;"&amp;V445,$AD$440:$AD$453,1)+COUNTIFS($Z$440:Z445,Z445,$AB$440:AB445,AB445,$V$440:V445,V445,$AD$440:AD445,1))</x:f>
      </x:c>
      <x:c r="AD445" s="2" t="n">
        <x:f>IF(OR(AA445="DEFENSIV",AA445="PRUDENT",AA445="MODERAT",AA445="RIDICAT"),1,0)</x:f>
        <x:v>0</x:v>
      </x:c>
      <x:c r="AE445" s="2" t="str">
        <x:f>IF(AD445&lt;&gt;1,"NO",IF(W445="PASS","YES",IF(W445="OOS PENDING","CONDITIONAL","NO")))</x:f>
        <x:v>NO</x:v>
      </x:c>
      <x:c r="AF445" s="2" t="n">
        <x:f>IF(AND(AD445=1,AC445=1,E445="LIVE"),1,0)</x:f>
        <x:v>0</x:v>
      </x:c>
      <x:c r="AG445" s="2" t="str">
        <x:f>IF(AF445&lt;&gt;1,"",'Dashboard'!P57)</x:f>
      </x:c>
      <x:c r="AH445" s="2" t="str">
        <x:f>IF(B445="","",IF(J445&lt;&gt;"PASS",'Motor_Meciuri'!J37,IF('Calibrare_Linii'!U11&lt;&gt;"VALID","Parametri linie invalizi",IF(L445&gt;'Config_v6'!$B$13,"Dispersie peste limita",IF(W445="WATCH","Failure peste limita",IF(AB445&lt;'Config_v6'!$B$16,"P finala sub prag",IF(V445&lt;'Config_v6'!$B$18,"Confidence sub prag",IF(E445="REPLAY","Exemplu retrospectiv; exclus din Top LIVE",IF(Y445="PASS","DEFENSIV validat",IF(W445="OOS PENDING","Eligibil; calibrare linie in monitorizare","Eligibil"))))))))))</x:f>
      </x:c>
      <x:c r="AI445" s="2" t="str">
        <x:f>IF(B445="","",'Calibrare_Linii'!V11)</x:f>
      </x:c>
      <x:c r="AJ445" s="2" t="str">
        <x:f>IF(B445="","",IF(AND('Calibrare_Linii'!T11="VALIDATED",AND('Calibrare_Linii'!H11=C445,ISNUMBER('Calibrare_Linii'!J11),'Calibrare_Linii'!J11&lt;='Input_Meci'!G37)),"DEFENSIVE VALIDATED",IF(AND('Calibrare_Linii'!S11="VALIDATED",AND('Calibrare_Linii'!H11=C445,ISNUMBER('Calibrare_Linii'!J11),'Calibrare_Linii'!J11&lt;='Input_Meci'!G37)),"TAIL VALIDATED","OOS PENDING")))</x:f>
      </x:c>
      <x:c r="AK445" s="2" t="n">
        <x:f>IF(J445&lt;&gt;"PASS",0,'Motor_Meciuri'!BR37)</x:f>
        <x:v>0</x:v>
      </x:c>
      <x:c r="AL445" s="2" t="n">
        <x:f>IF(J445&lt;&gt;"PASS",0,'Motor_Meciuri'!BS37)</x:f>
        <x:v>0</x:v>
      </x:c>
      <x:c r="AM445" s="2" t="n">
        <x:f>IF(J445&lt;&gt;"PASS",0,'Motor_Meciuri'!BT37)</x:f>
        <x:v>0</x:v>
      </x:c>
      <x:c r="AN445" s="2" t="str">
        <x:f>IF(M445="","",MAX(0,'Motor_Meciuri'!BF37-IF(L445&gt;'Config_v6'!$B$12,'Config_v6'!$B$37,IF(L445&gt;'Config_v6'!$B$11,'Config_v6'!$B$36,0))))</x:f>
      </x:c>
    </x:row>
    <x:row r="446" ht="21" customHeight="1">
      <x:c r="A446" s="2" t="n">
        <x:v>32</x:v>
      </x:c>
      <x:c r="B446" s="2" t="str">
        <x:f>IF('Motor_Meciuri'!A37="","",'Motor_Meciuri'!A37)</x:f>
      </x:c>
      <x:c r="C446" s="2" t="str">
        <x:f>IF(B446="","",'Motor_Meciuri'!B37)</x:f>
      </x:c>
      <x:c r="D446" s="2" t="str">
        <x:f>IF(B446="","",'Motor_Meciuri'!D37)</x:f>
      </x:c>
      <x:c r="E446" s="2" t="str">
        <x:f>IF(B446="","",'Motor_Meciuri'!E37)</x:f>
      </x:c>
      <x:c r="F446" s="2" t="str">
        <x:v>U10,5</x:v>
      </x:c>
      <x:c r="G446" s="2" t="str">
        <x:v>UNDER</x:v>
      </x:c>
      <x:c r="H446" s="2" t="n">
        <x:v>10</x:v>
      </x:c>
      <x:c r="I446" s="2" t="str">
        <x:f>IF(B446="","",'Motor_Meciuri'!H37)</x:f>
      </x:c>
      <x:c r="J446" s="2" t="str">
        <x:f>IF(B446="","",'Motor_Meciuri'!I37)</x:f>
      </x:c>
      <x:c r="K446" s="11" t="str">
        <x:f>IF(J446&lt;&gt;"PASS","",'Motor_Meciuri'!BD37)</x:f>
      </x:c>
      <x:c r="L446" s="11" t="str">
        <x:f>IF(J446&lt;&gt;"PASS","",'Motor_Meciuri'!AU37)</x:f>
      </x:c>
      <x:c r="M446" s="10" t="str">
        <x:f>IF(NOT(AND(J446="PASS",'Calibrare_Linii'!U12="VALID")),"",'Distributie'!AH37)</x:f>
      </x:c>
      <x:c r="N446" s="10" t="str">
        <x:f>IF(M446="","",MAX(0.01,MIN(0.99,0.5+(M446-0.5)*'Motor_Meciuri'!BG37*'Calibrare_Linii'!D12)))</x:f>
      </x:c>
      <x:c r="O446" s="10" t="str">
        <x:f>IF(M446="","",1-M446)</x:f>
      </x:c>
      <x:c r="P446" s="10" t="str">
        <x:f>IF(OR(NOT(AND(J446="PASS",'Calibrare_Linii'!U12="VALID")),AK446=0),""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*('Istoric_Nativ'!$Q$6:$Q$405&gt;H446))/AK446)</x:f>
      </x:c>
      <x:c r="Q446" s="10" t="str">
        <x:f>IF(OR(NOT(AND(J446="PASS",'Calibrare_Linii'!U12="VALID")),AL446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M37)+((('Istoric_Nativ'!$E$6:$E$405='Input_Meci'!E37)+('Istoric_Nativ'!$F$6:$F$405='Input_Meci'!E37))&gt;0)*('Istoric_Nativ'!$D$6:$D$405&gt;='Motor_Meciuri'!BN37))&gt;0)*('Istoric_Nativ'!$Q$6:$Q$405&gt;H446))/AL446)</x:f>
      </x:c>
      <x:c r="R446" s="10" t="str">
        <x:f>IF(OR(NOT(AND(J446="PASS",'Calibrare_Linii'!U12="VALID")),AM446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O37)+((('Istoric_Nativ'!$E$6:$E$405='Input_Meci'!E37)+('Istoric_Nativ'!$F$6:$F$405='Input_Meci'!E37))&gt;0)*('Istoric_Nativ'!$D$6:$D$405&gt;='Motor_Meciuri'!BP37))&gt;0)*('Istoric_Nativ'!$Q$6:$Q$405&gt;H446))/AM446)</x:f>
      </x:c>
      <x:c r="S446" s="10" t="str">
        <x:f>IF(M446="","",MAX(O446,P446,Q446,R446))</x:f>
      </x:c>
      <x:c r="T446" s="11" t="str">
        <x:f>IF(M446="","",MIN(100,S446*100*'Config_v6'!$B$44+MIN(100,L446/'Config_v6'!$B$13*100)*'Config_v6'!$B$45+(100-'Motor_Meciuri'!BF37)*'Config_v6'!$B$46+'Motor_Meciuri'!BH37*100*'Config_v6'!$B$47))</x:f>
      </x:c>
      <x:c r="U446" s="2" t="str">
        <x:f>IF(T446="","",IF(T446&lt;=20,1,IF(T446&lt;=40,2,IF(T446&lt;=60,3,IF(T446&lt;=80,4,5)))))</x:f>
      </x:c>
      <x:c r="V446" s="2" t="str">
        <x:f>IF(M446="","",MAX(0,'Motor_Meciuri'!BF37-IF(W446="OOS PENDING",'Config_v6'!$B$35,0)-IF(L446&gt;'Config_v6'!$B$12,'Config_v6'!$B$37,IF(L446&gt;'Config_v6'!$B$11,'Config_v6'!$B$36,0))))</x:f>
      </x:c>
      <x:c r="W446" s="2" t="str">
        <x:f>IF(B446="","",IF(I446&lt;&gt;"READY","NOT RELEASED",IF(NOT(AND(J446="PASS",'Calibrare_Linii'!U12="VALID")),"INVALID",IF(NOT(AND('Calibrare_Linii'!S12="VALIDATED",AND('Calibrare_Linii'!H12=C446,ISNUMBER('Calibrare_Linii'!J12),'Calibrare_Linii'!J12&lt;='Input_Meci'!G37))),"OOS PENDING",IF(S446&lt;='Calibrare_Linii'!E12,"PASS",IF(S446&lt;='Calibrare_Linii'!F12,"PENALTY","WATCH"))))))</x:f>
      </x:c>
      <x:c r="X446" s="2" t="str">
        <x:f>IF(M446="","",IF(AND(AND(J446="PASS",'Calibrare_Linii'!U12="VALID"),'Motor_Meciuri'!K37=12,'Motor_Meciuri'!L37=12,'Motor_Meciuri'!M37="NO",'Motor_Meciuri'!BL37='Motor_Meciuri'!C37,AB446&gt;='Config_v6'!$B$50,AN446&gt;='Config_v6'!$B$51,T446&lt;='Config_v6'!$B$52,L446&lt;='Config_v6'!$B$53,ISNUMBER('Calibrare_Linii'!E12),S446&lt;='Calibrare_Linii'!E12,SUM(AK446:AM446)&gt;0),"CANDIDATE","NO"))</x:f>
      </x:c>
      <x:c r="Y446" s="2" t="str">
        <x:f>IF(B446="","",IF(I446&lt;&gt;"READY","NOT RELEASED",IF(AND(X446="CANDIDATE",V446&gt;='Config_v6'!$B$51,W446="PASS",'Calibrare_Linii'!T12="VALIDATED",AND('Calibrare_Linii'!H12=C446,ISNUMBER('Calibrare_Linii'!J12),'Calibrare_Linii'!J12&lt;='Input_Meci'!G37)),"PASS",IF(X446="CANDIDATE","OOS PENDING","FAIL"))))</x:f>
      </x:c>
      <x:c r="Z446" s="2" t="str">
        <x:f>IF(B446="","",IF(I446&lt;&gt;"READY","",IF(OR(NOT(AND(J446="PASS",'Calibrare_Linii'!U12="VALID")),L446&gt;'Config_v6'!$B$13,W446="WATCH"),5,IF(Y446="PASS",1,MIN(5,MAX('Config_v6'!$B$42,U446)+IF(W446="PENALTY",1,0))))))</x:f>
      </x:c>
      <x:c r="AA446" s="2" t="str">
        <x:f>IF(B446="","",IF(I446&lt;&gt;"READY","NOT RELEASED",IF(Z446=5,"NO BET",IF(OR(AB446&lt;'Config_v6'!$B$16,V446&lt;'Config_v6'!$B$18),"WATCH",IF(Z446=1,"DEFENSIV",IF(Z446=2,"PRUDENT",IF(Z446=3,"MODERAT","RIDICAT")))))))</x:f>
      </x:c>
      <x:c r="AB446" s="10" t="str">
        <x:f>IF(N446="","",MIN(N446,1-S446))</x:f>
      </x:c>
      <x:c r="AC446" s="2" t="str">
        <x:f>IF(AD446&lt;&gt;1,"",COUNTIFS($Z$440:$Z$453,"&lt;"&amp;Z446,$AD$440:$AD$453,1)+COUNTIFS($Z$440:$Z$453,Z446,$AB$440:$AB$453,"&gt;"&amp;AB446,$AD$440:$AD$453,1)+COUNTIFS($Z$440:$Z$453,Z446,$AB$440:$AB$453,AB446,$V$440:$V$453,"&gt;"&amp;V446,$AD$440:$AD$453,1)+COUNTIFS($Z$440:Z446,Z446,$AB$440:AB446,AB446,$V$440:V446,V446,$AD$440:AD446,1))</x:f>
      </x:c>
      <x:c r="AD446" s="2" t="n">
        <x:f>IF(OR(AA446="DEFENSIV",AA446="PRUDENT",AA446="MODERAT",AA446="RIDICAT"),1,0)</x:f>
        <x:v>0</x:v>
      </x:c>
      <x:c r="AE446" s="2" t="str">
        <x:f>IF(AD446&lt;&gt;1,"NO",IF(W446="PASS","YES",IF(W446="OOS PENDING","CONDITIONAL","NO")))</x:f>
        <x:v>NO</x:v>
      </x:c>
      <x:c r="AF446" s="2" t="n">
        <x:f>IF(AND(AD446=1,AC446=1,E446="LIVE"),1,0)</x:f>
        <x:v>0</x:v>
      </x:c>
      <x:c r="AG446" s="2" t="str">
        <x:f>IF(AF446&lt;&gt;1,"",'Dashboard'!P57)</x:f>
      </x:c>
      <x:c r="AH446" s="2" t="str">
        <x:f>IF(B446="","",IF(J446&lt;&gt;"PASS",'Motor_Meciuri'!J37,IF('Calibrare_Linii'!U12&lt;&gt;"VALID","Parametri linie invalizi",IF(L446&gt;'Config_v6'!$B$13,"Dispersie peste limita",IF(W446="WATCH","Failure peste limita",IF(AB446&lt;'Config_v6'!$B$16,"P finala sub prag",IF(V446&lt;'Config_v6'!$B$18,"Confidence sub prag",IF(E446="REPLAY","Exemplu retrospectiv; exclus din Top LIVE",IF(Y446="PASS","DEFENSIV validat",IF(W446="OOS PENDING","Eligibil; calibrare linie in monitorizare","Eligibil"))))))))))</x:f>
      </x:c>
      <x:c r="AI446" s="2" t="str">
        <x:f>IF(B446="","",'Calibrare_Linii'!V12)</x:f>
      </x:c>
      <x:c r="AJ446" s="2" t="str">
        <x:f>IF(B446="","",IF(AND('Calibrare_Linii'!T12="VALIDATED",AND('Calibrare_Linii'!H12=C446,ISNUMBER('Calibrare_Linii'!J12),'Calibrare_Linii'!J12&lt;='Input_Meci'!G37)),"DEFENSIVE VALIDATED",IF(AND('Calibrare_Linii'!S12="VALIDATED",AND('Calibrare_Linii'!H12=C446,ISNUMBER('Calibrare_Linii'!J12),'Calibrare_Linii'!J12&lt;='Input_Meci'!G37)),"TAIL VALIDATED","OOS PENDING")))</x:f>
      </x:c>
      <x:c r="AK446" s="2" t="n">
        <x:f>IF(J446&lt;&gt;"PASS",0,'Motor_Meciuri'!BR37)</x:f>
        <x:v>0</x:v>
      </x:c>
      <x:c r="AL446" s="2" t="n">
        <x:f>IF(J446&lt;&gt;"PASS",0,'Motor_Meciuri'!BS37)</x:f>
        <x:v>0</x:v>
      </x:c>
      <x:c r="AM446" s="2" t="n">
        <x:f>IF(J446&lt;&gt;"PASS",0,'Motor_Meciuri'!BT37)</x:f>
        <x:v>0</x:v>
      </x:c>
      <x:c r="AN446" s="2" t="str">
        <x:f>IF(M446="","",MAX(0,'Motor_Meciuri'!BF37-IF(L446&gt;'Config_v6'!$B$12,'Config_v6'!$B$37,IF(L446&gt;'Config_v6'!$B$11,'Config_v6'!$B$36,0))))</x:f>
      </x:c>
    </x:row>
    <x:row r="447" ht="21" customHeight="1">
      <x:c r="A447" s="2" t="n">
        <x:v>32</x:v>
      </x:c>
      <x:c r="B447" s="2" t="str">
        <x:f>IF('Motor_Meciuri'!A37="","",'Motor_Meciuri'!A37)</x:f>
      </x:c>
      <x:c r="C447" s="2" t="str">
        <x:f>IF(B447="","",'Motor_Meciuri'!B37)</x:f>
      </x:c>
      <x:c r="D447" s="2" t="str">
        <x:f>IF(B447="","",'Motor_Meciuri'!D37)</x:f>
      </x:c>
      <x:c r="E447" s="2" t="str">
        <x:f>IF(B447="","",'Motor_Meciuri'!E37)</x:f>
      </x:c>
      <x:c r="F447" s="2" t="str">
        <x:v>U11,5</x:v>
      </x:c>
      <x:c r="G447" s="2" t="str">
        <x:v>UNDER</x:v>
      </x:c>
      <x:c r="H447" s="2" t="n">
        <x:v>11</x:v>
      </x:c>
      <x:c r="I447" s="2" t="str">
        <x:f>IF(B447="","",'Motor_Meciuri'!H37)</x:f>
      </x:c>
      <x:c r="J447" s="2" t="str">
        <x:f>IF(B447="","",'Motor_Meciuri'!I37)</x:f>
      </x:c>
      <x:c r="K447" s="11" t="str">
        <x:f>IF(J447&lt;&gt;"PASS","",'Motor_Meciuri'!BD37)</x:f>
      </x:c>
      <x:c r="L447" s="11" t="str">
        <x:f>IF(J447&lt;&gt;"PASS","",'Motor_Meciuri'!AU37)</x:f>
      </x:c>
      <x:c r="M447" s="10" t="str">
        <x:f>IF(NOT(AND(J447="PASS",'Calibrare_Linii'!U13="VALID")),"",'Distributie'!AI37)</x:f>
      </x:c>
      <x:c r="N447" s="10" t="str">
        <x:f>IF(M447="","",MAX(0.01,MIN(0.99,0.5+(M447-0.5)*'Motor_Meciuri'!BG37*'Calibrare_Linii'!D13)))</x:f>
      </x:c>
      <x:c r="O447" s="10" t="str">
        <x:f>IF(M447="","",1-M447)</x:f>
      </x:c>
      <x:c r="P447" s="10" t="str">
        <x:f>IF(OR(NOT(AND(J447="PASS",'Calibrare_Linii'!U13="VALID")),AK447=0),""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*('Istoric_Nativ'!$Q$6:$Q$405&gt;H447))/AK447)</x:f>
      </x:c>
      <x:c r="Q447" s="10" t="str">
        <x:f>IF(OR(NOT(AND(J447="PASS",'Calibrare_Linii'!U13="VALID")),AL447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M37)+((('Istoric_Nativ'!$E$6:$E$405='Input_Meci'!E37)+('Istoric_Nativ'!$F$6:$F$405='Input_Meci'!E37))&gt;0)*('Istoric_Nativ'!$D$6:$D$405&gt;='Motor_Meciuri'!BN37))&gt;0)*('Istoric_Nativ'!$Q$6:$Q$405&gt;H447))/AL447)</x:f>
      </x:c>
      <x:c r="R447" s="10" t="str">
        <x:f>IF(OR(NOT(AND(J447="PASS",'Calibrare_Linii'!U13="VALID")),AM447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O37)+((('Istoric_Nativ'!$E$6:$E$405='Input_Meci'!E37)+('Istoric_Nativ'!$F$6:$F$405='Input_Meci'!E37))&gt;0)*('Istoric_Nativ'!$D$6:$D$405&gt;='Motor_Meciuri'!BP37))&gt;0)*('Istoric_Nativ'!$Q$6:$Q$405&gt;H447))/AM447)</x:f>
      </x:c>
      <x:c r="S447" s="10" t="str">
        <x:f>IF(M447="","",MAX(O447,P447,Q447,R447))</x:f>
      </x:c>
      <x:c r="T447" s="11" t="str">
        <x:f>IF(M447="","",MIN(100,S447*100*'Config_v6'!$B$44+MIN(100,L447/'Config_v6'!$B$13*100)*'Config_v6'!$B$45+(100-'Motor_Meciuri'!BF37)*'Config_v6'!$B$46+'Motor_Meciuri'!BH37*100*'Config_v6'!$B$47))</x:f>
      </x:c>
      <x:c r="U447" s="2" t="str">
        <x:f>IF(T447="","",IF(T447&lt;=20,1,IF(T447&lt;=40,2,IF(T447&lt;=60,3,IF(T447&lt;=80,4,5)))))</x:f>
      </x:c>
      <x:c r="V447" s="2" t="str">
        <x:f>IF(M447="","",MAX(0,'Motor_Meciuri'!BF37-IF(W447="OOS PENDING",'Config_v6'!$B$35,0)-IF(L447&gt;'Config_v6'!$B$12,'Config_v6'!$B$37,IF(L447&gt;'Config_v6'!$B$11,'Config_v6'!$B$36,0))))</x:f>
      </x:c>
      <x:c r="W447" s="2" t="str">
        <x:f>IF(B447="","",IF(I447&lt;&gt;"READY","NOT RELEASED",IF(NOT(AND(J447="PASS",'Calibrare_Linii'!U13="VALID")),"INVALID",IF(NOT(AND('Calibrare_Linii'!S13="VALIDATED",AND('Calibrare_Linii'!H13=C447,ISNUMBER('Calibrare_Linii'!J13),'Calibrare_Linii'!J13&lt;='Input_Meci'!G37))),"OOS PENDING",IF(S447&lt;='Calibrare_Linii'!E13,"PASS",IF(S447&lt;='Calibrare_Linii'!F13,"PENALTY","WATCH"))))))</x:f>
      </x:c>
      <x:c r="X447" s="2" t="str">
        <x:f>IF(M447="","",IF(AND(AND(J447="PASS",'Calibrare_Linii'!U13="VALID"),'Motor_Meciuri'!K37=12,'Motor_Meciuri'!L37=12,'Motor_Meciuri'!M37="NO",'Motor_Meciuri'!BL37='Motor_Meciuri'!C37,AB447&gt;='Config_v6'!$B$50,AN447&gt;='Config_v6'!$B$51,T447&lt;='Config_v6'!$B$52,L447&lt;='Config_v6'!$B$53,ISNUMBER('Calibrare_Linii'!E13),S447&lt;='Calibrare_Linii'!E13,SUM(AK447:AM447)&gt;0),"CANDIDATE","NO"))</x:f>
      </x:c>
      <x:c r="Y447" s="2" t="str">
        <x:f>IF(B447="","",IF(I447&lt;&gt;"READY","NOT RELEASED",IF(AND(X447="CANDIDATE",V447&gt;='Config_v6'!$B$51,W447="PASS",'Calibrare_Linii'!T13="VALIDATED",AND('Calibrare_Linii'!H13=C447,ISNUMBER('Calibrare_Linii'!J13),'Calibrare_Linii'!J13&lt;='Input_Meci'!G37)),"PASS",IF(X447="CANDIDATE","OOS PENDING","FAIL"))))</x:f>
      </x:c>
      <x:c r="Z447" s="2" t="str">
        <x:f>IF(B447="","",IF(I447&lt;&gt;"READY","",IF(OR(NOT(AND(J447="PASS",'Calibrare_Linii'!U13="VALID")),L447&gt;'Config_v6'!$B$13,W447="WATCH"),5,IF(Y447="PASS",1,MIN(5,MAX('Config_v6'!$B$42,U447)+IF(W447="PENALTY",1,0))))))</x:f>
      </x:c>
      <x:c r="AA447" s="2" t="str">
        <x:f>IF(B447="","",IF(I447&lt;&gt;"READY","NOT RELEASED",IF(Z447=5,"NO BET",IF(OR(AB447&lt;'Config_v6'!$B$16,V447&lt;'Config_v6'!$B$18),"WATCH",IF(Z447=1,"DEFENSIV",IF(Z447=2,"PRUDENT",IF(Z447=3,"MODERAT","RIDICAT")))))))</x:f>
      </x:c>
      <x:c r="AB447" s="10" t="str">
        <x:f>IF(N447="","",MIN(N447,1-S447))</x:f>
      </x:c>
      <x:c r="AC447" s="2" t="str">
        <x:f>IF(AD447&lt;&gt;1,"",COUNTIFS($Z$440:$Z$453,"&lt;"&amp;Z447,$AD$440:$AD$453,1)+COUNTIFS($Z$440:$Z$453,Z447,$AB$440:$AB$453,"&gt;"&amp;AB447,$AD$440:$AD$453,1)+COUNTIFS($Z$440:$Z$453,Z447,$AB$440:$AB$453,AB447,$V$440:$V$453,"&gt;"&amp;V447,$AD$440:$AD$453,1)+COUNTIFS($Z$440:Z447,Z447,$AB$440:AB447,AB447,$V$440:V447,V447,$AD$440:AD447,1))</x:f>
      </x:c>
      <x:c r="AD447" s="2" t="n">
        <x:f>IF(OR(AA447="DEFENSIV",AA447="PRUDENT",AA447="MODERAT",AA447="RIDICAT"),1,0)</x:f>
        <x:v>0</x:v>
      </x:c>
      <x:c r="AE447" s="2" t="str">
        <x:f>IF(AD447&lt;&gt;1,"NO",IF(W447="PASS","YES",IF(W447="OOS PENDING","CONDITIONAL","NO")))</x:f>
        <x:v>NO</x:v>
      </x:c>
      <x:c r="AF447" s="2" t="n">
        <x:f>IF(AND(AD447=1,AC447=1,E447="LIVE"),1,0)</x:f>
        <x:v>0</x:v>
      </x:c>
      <x:c r="AG447" s="2" t="str">
        <x:f>IF(AF447&lt;&gt;1,"",'Dashboard'!P57)</x:f>
      </x:c>
      <x:c r="AH447" s="2" t="str">
        <x:f>IF(B447="","",IF(J447&lt;&gt;"PASS",'Motor_Meciuri'!J37,IF('Calibrare_Linii'!U13&lt;&gt;"VALID","Parametri linie invalizi",IF(L447&gt;'Config_v6'!$B$13,"Dispersie peste limita",IF(W447="WATCH","Failure peste limita",IF(AB447&lt;'Config_v6'!$B$16,"P finala sub prag",IF(V447&lt;'Config_v6'!$B$18,"Confidence sub prag",IF(E447="REPLAY","Exemplu retrospectiv; exclus din Top LIVE",IF(Y447="PASS","DEFENSIV validat",IF(W447="OOS PENDING","Eligibil; calibrare linie in monitorizare","Eligibil"))))))))))</x:f>
      </x:c>
      <x:c r="AI447" s="2" t="str">
        <x:f>IF(B447="","",'Calibrare_Linii'!V13)</x:f>
      </x:c>
      <x:c r="AJ447" s="2" t="str">
        <x:f>IF(B447="","",IF(AND('Calibrare_Linii'!T13="VALIDATED",AND('Calibrare_Linii'!H13=C447,ISNUMBER('Calibrare_Linii'!J13),'Calibrare_Linii'!J13&lt;='Input_Meci'!G37)),"DEFENSIVE VALIDATED",IF(AND('Calibrare_Linii'!S13="VALIDATED",AND('Calibrare_Linii'!H13=C447,ISNUMBER('Calibrare_Linii'!J13),'Calibrare_Linii'!J13&lt;='Input_Meci'!G37)),"TAIL VALIDATED","OOS PENDING")))</x:f>
      </x:c>
      <x:c r="AK447" s="2" t="n">
        <x:f>IF(J447&lt;&gt;"PASS",0,'Motor_Meciuri'!BR37)</x:f>
        <x:v>0</x:v>
      </x:c>
      <x:c r="AL447" s="2" t="n">
        <x:f>IF(J447&lt;&gt;"PASS",0,'Motor_Meciuri'!BS37)</x:f>
        <x:v>0</x:v>
      </x:c>
      <x:c r="AM447" s="2" t="n">
        <x:f>IF(J447&lt;&gt;"PASS",0,'Motor_Meciuri'!BT37)</x:f>
        <x:v>0</x:v>
      </x:c>
      <x:c r="AN447" s="2" t="str">
        <x:f>IF(M447="","",MAX(0,'Motor_Meciuri'!BF37-IF(L447&gt;'Config_v6'!$B$12,'Config_v6'!$B$37,IF(L447&gt;'Config_v6'!$B$11,'Config_v6'!$B$36,0))))</x:f>
      </x:c>
    </x:row>
    <x:row r="448" ht="21" customHeight="1">
      <x:c r="A448" s="2" t="n">
        <x:v>32</x:v>
      </x:c>
      <x:c r="B448" s="2" t="str">
        <x:f>IF('Motor_Meciuri'!A37="","",'Motor_Meciuri'!A37)</x:f>
      </x:c>
      <x:c r="C448" s="2" t="str">
        <x:f>IF(B448="","",'Motor_Meciuri'!B37)</x:f>
      </x:c>
      <x:c r="D448" s="2" t="str">
        <x:f>IF(B448="","",'Motor_Meciuri'!D37)</x:f>
      </x:c>
      <x:c r="E448" s="2" t="str">
        <x:f>IF(B448="","",'Motor_Meciuri'!E37)</x:f>
      </x:c>
      <x:c r="F448" s="2" t="str">
        <x:v>U12,5</x:v>
      </x:c>
      <x:c r="G448" s="2" t="str">
        <x:v>UNDER</x:v>
      </x:c>
      <x:c r="H448" s="2" t="n">
        <x:v>12</x:v>
      </x:c>
      <x:c r="I448" s="2" t="str">
        <x:f>IF(B448="","",'Motor_Meciuri'!H37)</x:f>
      </x:c>
      <x:c r="J448" s="2" t="str">
        <x:f>IF(B448="","",'Motor_Meciuri'!I37)</x:f>
      </x:c>
      <x:c r="K448" s="11" t="str">
        <x:f>IF(J448&lt;&gt;"PASS","",'Motor_Meciuri'!BD37)</x:f>
      </x:c>
      <x:c r="L448" s="11" t="str">
        <x:f>IF(J448&lt;&gt;"PASS","",'Motor_Meciuri'!AU37)</x:f>
      </x:c>
      <x:c r="M448" s="10" t="str">
        <x:f>IF(NOT(AND(J448="PASS",'Calibrare_Linii'!U14="VALID")),"",'Distributie'!AJ37)</x:f>
      </x:c>
      <x:c r="N448" s="10" t="str">
        <x:f>IF(M448="","",MAX(0.01,MIN(0.99,0.5+(M448-0.5)*'Motor_Meciuri'!BG37*'Calibrare_Linii'!D14)))</x:f>
      </x:c>
      <x:c r="O448" s="10" t="str">
        <x:f>IF(M448="","",1-M448)</x:f>
      </x:c>
      <x:c r="P448" s="10" t="str">
        <x:f>IF(OR(NOT(AND(J448="PASS",'Calibrare_Linii'!U14="VALID")),AK448=0),""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*('Istoric_Nativ'!$Q$6:$Q$405&gt;H448))/AK448)</x:f>
      </x:c>
      <x:c r="Q448" s="10" t="str">
        <x:f>IF(OR(NOT(AND(J448="PASS",'Calibrare_Linii'!U14="VALID")),AL448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M37)+((('Istoric_Nativ'!$E$6:$E$405='Input_Meci'!E37)+('Istoric_Nativ'!$F$6:$F$405='Input_Meci'!E37))&gt;0)*('Istoric_Nativ'!$D$6:$D$405&gt;='Motor_Meciuri'!BN37))&gt;0)*('Istoric_Nativ'!$Q$6:$Q$405&gt;H448))/AL448)</x:f>
      </x:c>
      <x:c r="R448" s="10" t="str">
        <x:f>IF(OR(NOT(AND(J448="PASS",'Calibrare_Linii'!U14="VALID")),AM448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O37)+((('Istoric_Nativ'!$E$6:$E$405='Input_Meci'!E37)+('Istoric_Nativ'!$F$6:$F$405='Input_Meci'!E37))&gt;0)*('Istoric_Nativ'!$D$6:$D$405&gt;='Motor_Meciuri'!BP37))&gt;0)*('Istoric_Nativ'!$Q$6:$Q$405&gt;H448))/AM448)</x:f>
      </x:c>
      <x:c r="S448" s="10" t="str">
        <x:f>IF(M448="","",MAX(O448,P448,Q448,R448))</x:f>
      </x:c>
      <x:c r="T448" s="11" t="str">
        <x:f>IF(M448="","",MIN(100,S448*100*'Config_v6'!$B$44+MIN(100,L448/'Config_v6'!$B$13*100)*'Config_v6'!$B$45+(100-'Motor_Meciuri'!BF37)*'Config_v6'!$B$46+'Motor_Meciuri'!BH37*100*'Config_v6'!$B$47))</x:f>
      </x:c>
      <x:c r="U448" s="2" t="str">
        <x:f>IF(T448="","",IF(T448&lt;=20,1,IF(T448&lt;=40,2,IF(T448&lt;=60,3,IF(T448&lt;=80,4,5)))))</x:f>
      </x:c>
      <x:c r="V448" s="2" t="str">
        <x:f>IF(M448="","",MAX(0,'Motor_Meciuri'!BF37-IF(W448="OOS PENDING",'Config_v6'!$B$35,0)-IF(L448&gt;'Config_v6'!$B$12,'Config_v6'!$B$37,IF(L448&gt;'Config_v6'!$B$11,'Config_v6'!$B$36,0))))</x:f>
      </x:c>
      <x:c r="W448" s="2" t="str">
        <x:f>IF(B448="","",IF(I448&lt;&gt;"READY","NOT RELEASED",IF(NOT(AND(J448="PASS",'Calibrare_Linii'!U14="VALID")),"INVALID",IF(NOT(AND('Calibrare_Linii'!S14="VALIDATED",AND('Calibrare_Linii'!H14=C448,ISNUMBER('Calibrare_Linii'!J14),'Calibrare_Linii'!J14&lt;='Input_Meci'!G37))),"OOS PENDING",IF(S448&lt;='Calibrare_Linii'!E14,"PASS",IF(S448&lt;='Calibrare_Linii'!F14,"PENALTY","WATCH"))))))</x:f>
      </x:c>
      <x:c r="X448" s="2" t="str">
        <x:f>IF(M448="","",IF(AND(AND(J448="PASS",'Calibrare_Linii'!U14="VALID"),'Motor_Meciuri'!K37=12,'Motor_Meciuri'!L37=12,'Motor_Meciuri'!M37="NO",'Motor_Meciuri'!BL37='Motor_Meciuri'!C37,AB448&gt;='Config_v6'!$B$50,AN448&gt;='Config_v6'!$B$51,T448&lt;='Config_v6'!$B$52,L448&lt;='Config_v6'!$B$53,ISNUMBER('Calibrare_Linii'!E14),S448&lt;='Calibrare_Linii'!E14,SUM(AK448:AM448)&gt;0),"CANDIDATE","NO"))</x:f>
      </x:c>
      <x:c r="Y448" s="2" t="str">
        <x:f>IF(B448="","",IF(I448&lt;&gt;"READY","NOT RELEASED",IF(AND(X448="CANDIDATE",V448&gt;='Config_v6'!$B$51,W448="PASS",'Calibrare_Linii'!T14="VALIDATED",AND('Calibrare_Linii'!H14=C448,ISNUMBER('Calibrare_Linii'!J14),'Calibrare_Linii'!J14&lt;='Input_Meci'!G37)),"PASS",IF(X448="CANDIDATE","OOS PENDING","FAIL"))))</x:f>
      </x:c>
      <x:c r="Z448" s="2" t="str">
        <x:f>IF(B448="","",IF(I448&lt;&gt;"READY","",IF(OR(NOT(AND(J448="PASS",'Calibrare_Linii'!U14="VALID")),L448&gt;'Config_v6'!$B$13,W448="WATCH"),5,IF(Y448="PASS",1,MIN(5,MAX('Config_v6'!$B$42,U448)+IF(W448="PENALTY",1,0))))))</x:f>
      </x:c>
      <x:c r="AA448" s="2" t="str">
        <x:f>IF(B448="","",IF(I448&lt;&gt;"READY","NOT RELEASED",IF(Z448=5,"NO BET",IF(OR(AB448&lt;'Config_v6'!$B$16,V448&lt;'Config_v6'!$B$18),"WATCH",IF(Z448=1,"DEFENSIV",IF(Z448=2,"PRUDENT",IF(Z448=3,"MODERAT","RIDICAT")))))))</x:f>
      </x:c>
      <x:c r="AB448" s="10" t="str">
        <x:f>IF(N448="","",MIN(N448,1-S448))</x:f>
      </x:c>
      <x:c r="AC448" s="2" t="str">
        <x:f>IF(AD448&lt;&gt;1,"",COUNTIFS($Z$440:$Z$453,"&lt;"&amp;Z448,$AD$440:$AD$453,1)+COUNTIFS($Z$440:$Z$453,Z448,$AB$440:$AB$453,"&gt;"&amp;AB448,$AD$440:$AD$453,1)+COUNTIFS($Z$440:$Z$453,Z448,$AB$440:$AB$453,AB448,$V$440:$V$453,"&gt;"&amp;V448,$AD$440:$AD$453,1)+COUNTIFS($Z$440:Z448,Z448,$AB$440:AB448,AB448,$V$440:V448,V448,$AD$440:AD448,1))</x:f>
      </x:c>
      <x:c r="AD448" s="2" t="n">
        <x:f>IF(OR(AA448="DEFENSIV",AA448="PRUDENT",AA448="MODERAT",AA448="RIDICAT"),1,0)</x:f>
        <x:v>0</x:v>
      </x:c>
      <x:c r="AE448" s="2" t="str">
        <x:f>IF(AD448&lt;&gt;1,"NO",IF(W448="PASS","YES",IF(W448="OOS PENDING","CONDITIONAL","NO")))</x:f>
        <x:v>NO</x:v>
      </x:c>
      <x:c r="AF448" s="2" t="n">
        <x:f>IF(AND(AD448=1,AC448=1,E448="LIVE"),1,0)</x:f>
        <x:v>0</x:v>
      </x:c>
      <x:c r="AG448" s="2" t="str">
        <x:f>IF(AF448&lt;&gt;1,"",'Dashboard'!P57)</x:f>
      </x:c>
      <x:c r="AH448" s="2" t="str">
        <x:f>IF(B448="","",IF(J448&lt;&gt;"PASS",'Motor_Meciuri'!J37,IF('Calibrare_Linii'!U14&lt;&gt;"VALID","Parametri linie invalizi",IF(L448&gt;'Config_v6'!$B$13,"Dispersie peste limita",IF(W448="WATCH","Failure peste limita",IF(AB448&lt;'Config_v6'!$B$16,"P finala sub prag",IF(V448&lt;'Config_v6'!$B$18,"Confidence sub prag",IF(E448="REPLAY","Exemplu retrospectiv; exclus din Top LIVE",IF(Y448="PASS","DEFENSIV validat",IF(W448="OOS PENDING","Eligibil; calibrare linie in monitorizare","Eligibil"))))))))))</x:f>
      </x:c>
      <x:c r="AI448" s="2" t="str">
        <x:f>IF(B448="","",'Calibrare_Linii'!V14)</x:f>
      </x:c>
      <x:c r="AJ448" s="2" t="str">
        <x:f>IF(B448="","",IF(AND('Calibrare_Linii'!T14="VALIDATED",AND('Calibrare_Linii'!H14=C448,ISNUMBER('Calibrare_Linii'!J14),'Calibrare_Linii'!J14&lt;='Input_Meci'!G37)),"DEFENSIVE VALIDATED",IF(AND('Calibrare_Linii'!S14="VALIDATED",AND('Calibrare_Linii'!H14=C448,ISNUMBER('Calibrare_Linii'!J14),'Calibrare_Linii'!J14&lt;='Input_Meci'!G37)),"TAIL VALIDATED","OOS PENDING")))</x:f>
      </x:c>
      <x:c r="AK448" s="2" t="n">
        <x:f>IF(J448&lt;&gt;"PASS",0,'Motor_Meciuri'!BR37)</x:f>
        <x:v>0</x:v>
      </x:c>
      <x:c r="AL448" s="2" t="n">
        <x:f>IF(J448&lt;&gt;"PASS",0,'Motor_Meciuri'!BS37)</x:f>
        <x:v>0</x:v>
      </x:c>
      <x:c r="AM448" s="2" t="n">
        <x:f>IF(J448&lt;&gt;"PASS",0,'Motor_Meciuri'!BT37)</x:f>
        <x:v>0</x:v>
      </x:c>
      <x:c r="AN448" s="2" t="str">
        <x:f>IF(M448="","",MAX(0,'Motor_Meciuri'!BF37-IF(L448&gt;'Config_v6'!$B$12,'Config_v6'!$B$37,IF(L448&gt;'Config_v6'!$B$11,'Config_v6'!$B$36,0))))</x:f>
      </x:c>
    </x:row>
    <x:row r="449" ht="21" customHeight="1">
      <x:c r="A449" s="2" t="n">
        <x:v>32</x:v>
      </x:c>
      <x:c r="B449" s="2" t="str">
        <x:f>IF('Motor_Meciuri'!A37="","",'Motor_Meciuri'!A37)</x:f>
      </x:c>
      <x:c r="C449" s="2" t="str">
        <x:f>IF(B449="","",'Motor_Meciuri'!B37)</x:f>
      </x:c>
      <x:c r="D449" s="2" t="str">
        <x:f>IF(B449="","",'Motor_Meciuri'!D37)</x:f>
      </x:c>
      <x:c r="E449" s="2" t="str">
        <x:f>IF(B449="","",'Motor_Meciuri'!E37)</x:f>
      </x:c>
      <x:c r="F449" s="2" t="str">
        <x:v>U13,5</x:v>
      </x:c>
      <x:c r="G449" s="2" t="str">
        <x:v>UNDER</x:v>
      </x:c>
      <x:c r="H449" s="2" t="n">
        <x:v>13</x:v>
      </x:c>
      <x:c r="I449" s="2" t="str">
        <x:f>IF(B449="","",'Motor_Meciuri'!H37)</x:f>
      </x:c>
      <x:c r="J449" s="2" t="str">
        <x:f>IF(B449="","",'Motor_Meciuri'!I37)</x:f>
      </x:c>
      <x:c r="K449" s="11" t="str">
        <x:f>IF(J449&lt;&gt;"PASS","",'Motor_Meciuri'!BD37)</x:f>
      </x:c>
      <x:c r="L449" s="11" t="str">
        <x:f>IF(J449&lt;&gt;"PASS","",'Motor_Meciuri'!AU37)</x:f>
      </x:c>
      <x:c r="M449" s="10" t="str">
        <x:f>IF(NOT(AND(J449="PASS",'Calibrare_Linii'!U15="VALID")),"",'Distributie'!AK37)</x:f>
      </x:c>
      <x:c r="N449" s="10" t="str">
        <x:f>IF(M449="","",MAX(0.01,MIN(0.99,0.5+(M449-0.5)*'Motor_Meciuri'!BG37*'Calibrare_Linii'!D15)))</x:f>
      </x:c>
      <x:c r="O449" s="10" t="str">
        <x:f>IF(M449="","",1-M449)</x:f>
      </x:c>
      <x:c r="P449" s="10" t="str">
        <x:f>IF(OR(NOT(AND(J449="PASS",'Calibrare_Linii'!U15="VALID")),AK449=0),""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*('Istoric_Nativ'!$Q$6:$Q$405&gt;H449))/AK449)</x:f>
      </x:c>
      <x:c r="Q449" s="10" t="str">
        <x:f>IF(OR(NOT(AND(J449="PASS",'Calibrare_Linii'!U15="VALID")),AL449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M37)+((('Istoric_Nativ'!$E$6:$E$405='Input_Meci'!E37)+('Istoric_Nativ'!$F$6:$F$405='Input_Meci'!E37))&gt;0)*('Istoric_Nativ'!$D$6:$D$405&gt;='Motor_Meciuri'!BN37))&gt;0)*('Istoric_Nativ'!$Q$6:$Q$405&gt;H449))/AL449)</x:f>
      </x:c>
      <x:c r="R449" s="10" t="str">
        <x:f>IF(OR(NOT(AND(J449="PASS",'Calibrare_Linii'!U15="VALID")),AM449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O37)+((('Istoric_Nativ'!$E$6:$E$405='Input_Meci'!E37)+('Istoric_Nativ'!$F$6:$F$405='Input_Meci'!E37))&gt;0)*('Istoric_Nativ'!$D$6:$D$405&gt;='Motor_Meciuri'!BP37))&gt;0)*('Istoric_Nativ'!$Q$6:$Q$405&gt;H449))/AM449)</x:f>
      </x:c>
      <x:c r="S449" s="10" t="str">
        <x:f>IF(M449="","",MAX(O449,P449,Q449,R449))</x:f>
      </x:c>
      <x:c r="T449" s="11" t="str">
        <x:f>IF(M449="","",MIN(100,S449*100*'Config_v6'!$B$44+MIN(100,L449/'Config_v6'!$B$13*100)*'Config_v6'!$B$45+(100-'Motor_Meciuri'!BF37)*'Config_v6'!$B$46+'Motor_Meciuri'!BH37*100*'Config_v6'!$B$47))</x:f>
      </x:c>
      <x:c r="U449" s="2" t="str">
        <x:f>IF(T449="","",IF(T449&lt;=20,1,IF(T449&lt;=40,2,IF(T449&lt;=60,3,IF(T449&lt;=80,4,5)))))</x:f>
      </x:c>
      <x:c r="V449" s="2" t="str">
        <x:f>IF(M449="","",MAX(0,'Motor_Meciuri'!BF37-IF(W449="OOS PENDING",'Config_v6'!$B$35,0)-IF(L449&gt;'Config_v6'!$B$12,'Config_v6'!$B$37,IF(L449&gt;'Config_v6'!$B$11,'Config_v6'!$B$36,0))))</x:f>
      </x:c>
      <x:c r="W449" s="2" t="str">
        <x:f>IF(B449="","",IF(I449&lt;&gt;"READY","NOT RELEASED",IF(NOT(AND(J449="PASS",'Calibrare_Linii'!U15="VALID")),"INVALID",IF(NOT(AND('Calibrare_Linii'!S15="VALIDATED",AND('Calibrare_Linii'!H15=C449,ISNUMBER('Calibrare_Linii'!J15),'Calibrare_Linii'!J15&lt;='Input_Meci'!G37))),"OOS PENDING",IF(S449&lt;='Calibrare_Linii'!E15,"PASS",IF(S449&lt;='Calibrare_Linii'!F15,"PENALTY","WATCH"))))))</x:f>
      </x:c>
      <x:c r="X449" s="2" t="str">
        <x:f>IF(M449="","",IF(AND(AND(J449="PASS",'Calibrare_Linii'!U15="VALID"),'Motor_Meciuri'!K37=12,'Motor_Meciuri'!L37=12,'Motor_Meciuri'!M37="NO",'Motor_Meciuri'!BL37='Motor_Meciuri'!C37,AB449&gt;='Config_v6'!$B$50,AN449&gt;='Config_v6'!$B$51,T449&lt;='Config_v6'!$B$52,L449&lt;='Config_v6'!$B$53,ISNUMBER('Calibrare_Linii'!E15),S449&lt;='Calibrare_Linii'!E15,SUM(AK449:AM449)&gt;0),"CANDIDATE","NO"))</x:f>
      </x:c>
      <x:c r="Y449" s="2" t="str">
        <x:f>IF(B449="","",IF(I449&lt;&gt;"READY","NOT RELEASED",IF(AND(X449="CANDIDATE",V449&gt;='Config_v6'!$B$51,W449="PASS",'Calibrare_Linii'!T15="VALIDATED",AND('Calibrare_Linii'!H15=C449,ISNUMBER('Calibrare_Linii'!J15),'Calibrare_Linii'!J15&lt;='Input_Meci'!G37)),"PASS",IF(X449="CANDIDATE","OOS PENDING","FAIL"))))</x:f>
      </x:c>
      <x:c r="Z449" s="2" t="str">
        <x:f>IF(B449="","",IF(I449&lt;&gt;"READY","",IF(OR(NOT(AND(J449="PASS",'Calibrare_Linii'!U15="VALID")),L449&gt;'Config_v6'!$B$13,W449="WATCH"),5,IF(Y449="PASS",1,MIN(5,MAX('Config_v6'!$B$42,U449)+IF(W449="PENALTY",1,0))))))</x:f>
      </x:c>
      <x:c r="AA449" s="2" t="str">
        <x:f>IF(B449="","",IF(I449&lt;&gt;"READY","NOT RELEASED",IF(Z449=5,"NO BET",IF(OR(AB449&lt;'Config_v6'!$B$16,V449&lt;'Config_v6'!$B$18),"WATCH",IF(Z449=1,"DEFENSIV",IF(Z449=2,"PRUDENT",IF(Z449=3,"MODERAT","RIDICAT")))))))</x:f>
      </x:c>
      <x:c r="AB449" s="10" t="str">
        <x:f>IF(N449="","",MIN(N449,1-S449))</x:f>
      </x:c>
      <x:c r="AC449" s="2" t="str">
        <x:f>IF(AD449&lt;&gt;1,"",COUNTIFS($Z$440:$Z$453,"&lt;"&amp;Z449,$AD$440:$AD$453,1)+COUNTIFS($Z$440:$Z$453,Z449,$AB$440:$AB$453,"&gt;"&amp;AB449,$AD$440:$AD$453,1)+COUNTIFS($Z$440:$Z$453,Z449,$AB$440:$AB$453,AB449,$V$440:$V$453,"&gt;"&amp;V449,$AD$440:$AD$453,1)+COUNTIFS($Z$440:Z449,Z449,$AB$440:AB449,AB449,$V$440:V449,V449,$AD$440:AD449,1))</x:f>
      </x:c>
      <x:c r="AD449" s="2" t="n">
        <x:f>IF(OR(AA449="DEFENSIV",AA449="PRUDENT",AA449="MODERAT",AA449="RIDICAT"),1,0)</x:f>
        <x:v>0</x:v>
      </x:c>
      <x:c r="AE449" s="2" t="str">
        <x:f>IF(AD449&lt;&gt;1,"NO",IF(W449="PASS","YES",IF(W449="OOS PENDING","CONDITIONAL","NO")))</x:f>
        <x:v>NO</x:v>
      </x:c>
      <x:c r="AF449" s="2" t="n">
        <x:f>IF(AND(AD449=1,AC449=1,E449="LIVE"),1,0)</x:f>
        <x:v>0</x:v>
      </x:c>
      <x:c r="AG449" s="2" t="str">
        <x:f>IF(AF449&lt;&gt;1,"",'Dashboard'!P57)</x:f>
      </x:c>
      <x:c r="AH449" s="2" t="str">
        <x:f>IF(B449="","",IF(J449&lt;&gt;"PASS",'Motor_Meciuri'!J37,IF('Calibrare_Linii'!U15&lt;&gt;"VALID","Parametri linie invalizi",IF(L449&gt;'Config_v6'!$B$13,"Dispersie peste limita",IF(W449="WATCH","Failure peste limita",IF(AB449&lt;'Config_v6'!$B$16,"P finala sub prag",IF(V449&lt;'Config_v6'!$B$18,"Confidence sub prag",IF(E449="REPLAY","Exemplu retrospectiv; exclus din Top LIVE",IF(Y449="PASS","DEFENSIV validat",IF(W449="OOS PENDING","Eligibil; calibrare linie in monitorizare","Eligibil"))))))))))</x:f>
      </x:c>
      <x:c r="AI449" s="2" t="str">
        <x:f>IF(B449="","",'Calibrare_Linii'!V15)</x:f>
      </x:c>
      <x:c r="AJ449" s="2" t="str">
        <x:f>IF(B449="","",IF(AND('Calibrare_Linii'!T15="VALIDATED",AND('Calibrare_Linii'!H15=C449,ISNUMBER('Calibrare_Linii'!J15),'Calibrare_Linii'!J15&lt;='Input_Meci'!G37)),"DEFENSIVE VALIDATED",IF(AND('Calibrare_Linii'!S15="VALIDATED",AND('Calibrare_Linii'!H15=C449,ISNUMBER('Calibrare_Linii'!J15),'Calibrare_Linii'!J15&lt;='Input_Meci'!G37)),"TAIL VALIDATED","OOS PENDING")))</x:f>
      </x:c>
      <x:c r="AK449" s="2" t="n">
        <x:f>IF(J449&lt;&gt;"PASS",0,'Motor_Meciuri'!BR37)</x:f>
        <x:v>0</x:v>
      </x:c>
      <x:c r="AL449" s="2" t="n">
        <x:f>IF(J449&lt;&gt;"PASS",0,'Motor_Meciuri'!BS37)</x:f>
        <x:v>0</x:v>
      </x:c>
      <x:c r="AM449" s="2" t="n">
        <x:f>IF(J449&lt;&gt;"PASS",0,'Motor_Meciuri'!BT37)</x:f>
        <x:v>0</x:v>
      </x:c>
      <x:c r="AN449" s="2" t="str">
        <x:f>IF(M449="","",MAX(0,'Motor_Meciuri'!BF37-IF(L449&gt;'Config_v6'!$B$12,'Config_v6'!$B$37,IF(L449&gt;'Config_v6'!$B$11,'Config_v6'!$B$36,0))))</x:f>
      </x:c>
    </x:row>
    <x:row r="450" ht="21" customHeight="1">
      <x:c r="A450" s="2" t="n">
        <x:v>32</x:v>
      </x:c>
      <x:c r="B450" s="2" t="str">
        <x:f>IF('Motor_Meciuri'!A37="","",'Motor_Meciuri'!A37)</x:f>
      </x:c>
      <x:c r="C450" s="2" t="str">
        <x:f>IF(B450="","",'Motor_Meciuri'!B37)</x:f>
      </x:c>
      <x:c r="D450" s="2" t="str">
        <x:f>IF(B450="","",'Motor_Meciuri'!D37)</x:f>
      </x:c>
      <x:c r="E450" s="2" t="str">
        <x:f>IF(B450="","",'Motor_Meciuri'!E37)</x:f>
      </x:c>
      <x:c r="F450" s="2" t="str">
        <x:v>U14,5</x:v>
      </x:c>
      <x:c r="G450" s="2" t="str">
        <x:v>UNDER</x:v>
      </x:c>
      <x:c r="H450" s="2" t="n">
        <x:v>14</x:v>
      </x:c>
      <x:c r="I450" s="2" t="str">
        <x:f>IF(B450="","",'Motor_Meciuri'!H37)</x:f>
      </x:c>
      <x:c r="J450" s="2" t="str">
        <x:f>IF(B450="","",'Motor_Meciuri'!I37)</x:f>
      </x:c>
      <x:c r="K450" s="11" t="str">
        <x:f>IF(J450&lt;&gt;"PASS","",'Motor_Meciuri'!BD37)</x:f>
      </x:c>
      <x:c r="L450" s="11" t="str">
        <x:f>IF(J450&lt;&gt;"PASS","",'Motor_Meciuri'!AU37)</x:f>
      </x:c>
      <x:c r="M450" s="10" t="str">
        <x:f>IF(NOT(AND(J450="PASS",'Calibrare_Linii'!U16="VALID")),"",'Distributie'!AL37)</x:f>
      </x:c>
      <x:c r="N450" s="10" t="str">
        <x:f>IF(M450="","",MAX(0.01,MIN(0.99,0.5+(M450-0.5)*'Motor_Meciuri'!BG37*'Calibrare_Linii'!D16)))</x:f>
      </x:c>
      <x:c r="O450" s="10" t="str">
        <x:f>IF(M450="","",1-M450)</x:f>
      </x:c>
      <x:c r="P450" s="10" t="str">
        <x:f>IF(OR(NOT(AND(J450="PASS",'Calibrare_Linii'!U16="VALID")),AK450=0),""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*('Istoric_Nativ'!$Q$6:$Q$405&gt;H450))/AK450)</x:f>
      </x:c>
      <x:c r="Q450" s="10" t="str">
        <x:f>IF(OR(NOT(AND(J450="PASS",'Calibrare_Linii'!U16="VALID")),AL450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M37)+((('Istoric_Nativ'!$E$6:$E$405='Input_Meci'!E37)+('Istoric_Nativ'!$F$6:$F$405='Input_Meci'!E37))&gt;0)*('Istoric_Nativ'!$D$6:$D$405&gt;='Motor_Meciuri'!BN37))&gt;0)*('Istoric_Nativ'!$Q$6:$Q$405&gt;H450))/AL450)</x:f>
      </x:c>
      <x:c r="R450" s="10" t="str">
        <x:f>IF(OR(NOT(AND(J450="PASS",'Calibrare_Linii'!U16="VALID")),AM450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O37)+((('Istoric_Nativ'!$E$6:$E$405='Input_Meci'!E37)+('Istoric_Nativ'!$F$6:$F$405='Input_Meci'!E37))&gt;0)*('Istoric_Nativ'!$D$6:$D$405&gt;='Motor_Meciuri'!BP37))&gt;0)*('Istoric_Nativ'!$Q$6:$Q$405&gt;H450))/AM450)</x:f>
      </x:c>
      <x:c r="S450" s="10" t="str">
        <x:f>IF(M450="","",MAX(O450,P450,Q450,R450))</x:f>
      </x:c>
      <x:c r="T450" s="11" t="str">
        <x:f>IF(M450="","",MIN(100,S450*100*'Config_v6'!$B$44+MIN(100,L450/'Config_v6'!$B$13*100)*'Config_v6'!$B$45+(100-'Motor_Meciuri'!BF37)*'Config_v6'!$B$46+'Motor_Meciuri'!BH37*100*'Config_v6'!$B$47))</x:f>
      </x:c>
      <x:c r="U450" s="2" t="str">
        <x:f>IF(T450="","",IF(T450&lt;=20,1,IF(T450&lt;=40,2,IF(T450&lt;=60,3,IF(T450&lt;=80,4,5)))))</x:f>
      </x:c>
      <x:c r="V450" s="2" t="str">
        <x:f>IF(M450="","",MAX(0,'Motor_Meciuri'!BF37-IF(W450="OOS PENDING",'Config_v6'!$B$35,0)-IF(L450&gt;'Config_v6'!$B$12,'Config_v6'!$B$37,IF(L450&gt;'Config_v6'!$B$11,'Config_v6'!$B$36,0))))</x:f>
      </x:c>
      <x:c r="W450" s="2" t="str">
        <x:f>IF(B450="","",IF(I450&lt;&gt;"READY","NOT RELEASED",IF(NOT(AND(J450="PASS",'Calibrare_Linii'!U16="VALID")),"INVALID",IF(NOT(AND('Calibrare_Linii'!S16="VALIDATED",AND('Calibrare_Linii'!H16=C450,ISNUMBER('Calibrare_Linii'!J16),'Calibrare_Linii'!J16&lt;='Input_Meci'!G37))),"OOS PENDING",IF(S450&lt;='Calibrare_Linii'!E16,"PASS",IF(S450&lt;='Calibrare_Linii'!F16,"PENALTY","WATCH"))))))</x:f>
      </x:c>
      <x:c r="X450" s="2" t="str">
        <x:f>IF(M450="","",IF(AND(AND(J450="PASS",'Calibrare_Linii'!U16="VALID"),'Motor_Meciuri'!K37=12,'Motor_Meciuri'!L37=12,'Motor_Meciuri'!M37="NO",'Motor_Meciuri'!BL37='Motor_Meciuri'!C37,AB450&gt;='Config_v6'!$B$50,AN450&gt;='Config_v6'!$B$51,T450&lt;='Config_v6'!$B$52,L450&lt;='Config_v6'!$B$53,ISNUMBER('Calibrare_Linii'!E16),S450&lt;='Calibrare_Linii'!E16,SUM(AK450:AM450)&gt;0),"CANDIDATE","NO"))</x:f>
      </x:c>
      <x:c r="Y450" s="2" t="str">
        <x:f>IF(B450="","",IF(I450&lt;&gt;"READY","NOT RELEASED",IF(AND(X450="CANDIDATE",V450&gt;='Config_v6'!$B$51,W450="PASS",'Calibrare_Linii'!T16="VALIDATED",AND('Calibrare_Linii'!H16=C450,ISNUMBER('Calibrare_Linii'!J16),'Calibrare_Linii'!J16&lt;='Input_Meci'!G37)),"PASS",IF(X450="CANDIDATE","OOS PENDING","FAIL"))))</x:f>
      </x:c>
      <x:c r="Z450" s="2" t="str">
        <x:f>IF(B450="","",IF(I450&lt;&gt;"READY","",IF(OR(NOT(AND(J450="PASS",'Calibrare_Linii'!U16="VALID")),L450&gt;'Config_v6'!$B$13,W450="WATCH"),5,IF(Y450="PASS",1,MIN(5,MAX('Config_v6'!$B$42,U450)+IF(W450="PENALTY",1,0))))))</x:f>
      </x:c>
      <x:c r="AA450" s="2" t="str">
        <x:f>IF(B450="","",IF(I450&lt;&gt;"READY","NOT RELEASED",IF(Z450=5,"NO BET",IF(OR(AB450&lt;'Config_v6'!$B$16,V450&lt;'Config_v6'!$B$18),"WATCH",IF(Z450=1,"DEFENSIV",IF(Z450=2,"PRUDENT",IF(Z450=3,"MODERAT","RIDICAT")))))))</x:f>
      </x:c>
      <x:c r="AB450" s="10" t="str">
        <x:f>IF(N450="","",MIN(N450,1-S450))</x:f>
      </x:c>
      <x:c r="AC450" s="2" t="str">
        <x:f>IF(AD450&lt;&gt;1,"",COUNTIFS($Z$440:$Z$453,"&lt;"&amp;Z450,$AD$440:$AD$453,1)+COUNTIFS($Z$440:$Z$453,Z450,$AB$440:$AB$453,"&gt;"&amp;AB450,$AD$440:$AD$453,1)+COUNTIFS($Z$440:$Z$453,Z450,$AB$440:$AB$453,AB450,$V$440:$V$453,"&gt;"&amp;V450,$AD$440:$AD$453,1)+COUNTIFS($Z$440:Z450,Z450,$AB$440:AB450,AB450,$V$440:V450,V450,$AD$440:AD450,1))</x:f>
      </x:c>
      <x:c r="AD450" s="2" t="n">
        <x:f>IF(OR(AA450="DEFENSIV",AA450="PRUDENT",AA450="MODERAT",AA450="RIDICAT"),1,0)</x:f>
        <x:v>0</x:v>
      </x:c>
      <x:c r="AE450" s="2" t="str">
        <x:f>IF(AD450&lt;&gt;1,"NO",IF(W450="PASS","YES",IF(W450="OOS PENDING","CONDITIONAL","NO")))</x:f>
        <x:v>NO</x:v>
      </x:c>
      <x:c r="AF450" s="2" t="n">
        <x:f>IF(AND(AD450=1,AC450=1,E450="LIVE"),1,0)</x:f>
        <x:v>0</x:v>
      </x:c>
      <x:c r="AG450" s="2" t="str">
        <x:f>IF(AF450&lt;&gt;1,"",'Dashboard'!P57)</x:f>
      </x:c>
      <x:c r="AH450" s="2" t="str">
        <x:f>IF(B450="","",IF(J450&lt;&gt;"PASS",'Motor_Meciuri'!J37,IF('Calibrare_Linii'!U16&lt;&gt;"VALID","Parametri linie invalizi",IF(L450&gt;'Config_v6'!$B$13,"Dispersie peste limita",IF(W450="WATCH","Failure peste limita",IF(AB450&lt;'Config_v6'!$B$16,"P finala sub prag",IF(V450&lt;'Config_v6'!$B$18,"Confidence sub prag",IF(E450="REPLAY","Exemplu retrospectiv; exclus din Top LIVE",IF(Y450="PASS","DEFENSIV validat",IF(W450="OOS PENDING","Eligibil; calibrare linie in monitorizare","Eligibil"))))))))))</x:f>
      </x:c>
      <x:c r="AI450" s="2" t="str">
        <x:f>IF(B450="","",'Calibrare_Linii'!V16)</x:f>
      </x:c>
      <x:c r="AJ450" s="2" t="str">
        <x:f>IF(B450="","",IF(AND('Calibrare_Linii'!T16="VALIDATED",AND('Calibrare_Linii'!H16=C450,ISNUMBER('Calibrare_Linii'!J16),'Calibrare_Linii'!J16&lt;='Input_Meci'!G37)),"DEFENSIVE VALIDATED",IF(AND('Calibrare_Linii'!S16="VALIDATED",AND('Calibrare_Linii'!H16=C450,ISNUMBER('Calibrare_Linii'!J16),'Calibrare_Linii'!J16&lt;='Input_Meci'!G37)),"TAIL VALIDATED","OOS PENDING")))</x:f>
      </x:c>
      <x:c r="AK450" s="2" t="n">
        <x:f>IF(J450&lt;&gt;"PASS",0,'Motor_Meciuri'!BR37)</x:f>
        <x:v>0</x:v>
      </x:c>
      <x:c r="AL450" s="2" t="n">
        <x:f>IF(J450&lt;&gt;"PASS",0,'Motor_Meciuri'!BS37)</x:f>
        <x:v>0</x:v>
      </x:c>
      <x:c r="AM450" s="2" t="n">
        <x:f>IF(J450&lt;&gt;"PASS",0,'Motor_Meciuri'!BT37)</x:f>
        <x:v>0</x:v>
      </x:c>
      <x:c r="AN450" s="2" t="str">
        <x:f>IF(M450="","",MAX(0,'Motor_Meciuri'!BF37-IF(L450&gt;'Config_v6'!$B$12,'Config_v6'!$B$37,IF(L450&gt;'Config_v6'!$B$11,'Config_v6'!$B$36,0))))</x:f>
      </x:c>
    </x:row>
    <x:row r="451" ht="21" customHeight="1">
      <x:c r="A451" s="2" t="n">
        <x:v>32</x:v>
      </x:c>
      <x:c r="B451" s="2" t="str">
        <x:f>IF('Motor_Meciuri'!A37="","",'Motor_Meciuri'!A37)</x:f>
      </x:c>
      <x:c r="C451" s="2" t="str">
        <x:f>IF(B451="","",'Motor_Meciuri'!B37)</x:f>
      </x:c>
      <x:c r="D451" s="2" t="str">
        <x:f>IF(B451="","",'Motor_Meciuri'!D37)</x:f>
      </x:c>
      <x:c r="E451" s="2" t="str">
        <x:f>IF(B451="","",'Motor_Meciuri'!E37)</x:f>
      </x:c>
      <x:c r="F451" s="2" t="str">
        <x:v>U15,5</x:v>
      </x:c>
      <x:c r="G451" s="2" t="str">
        <x:v>UNDER</x:v>
      </x:c>
      <x:c r="H451" s="2" t="n">
        <x:v>15</x:v>
      </x:c>
      <x:c r="I451" s="2" t="str">
        <x:f>IF(B451="","",'Motor_Meciuri'!H37)</x:f>
      </x:c>
      <x:c r="J451" s="2" t="str">
        <x:f>IF(B451="","",'Motor_Meciuri'!I37)</x:f>
      </x:c>
      <x:c r="K451" s="11" t="str">
        <x:f>IF(J451&lt;&gt;"PASS","",'Motor_Meciuri'!BD37)</x:f>
      </x:c>
      <x:c r="L451" s="11" t="str">
        <x:f>IF(J451&lt;&gt;"PASS","",'Motor_Meciuri'!AU37)</x:f>
      </x:c>
      <x:c r="M451" s="10" t="str">
        <x:f>IF(NOT(AND(J451="PASS",'Calibrare_Linii'!U17="VALID")),"",'Distributie'!AM37)</x:f>
      </x:c>
      <x:c r="N451" s="10" t="str">
        <x:f>IF(M451="","",MAX(0.01,MIN(0.99,0.5+(M451-0.5)*'Motor_Meciuri'!BG37*'Calibrare_Linii'!D17)))</x:f>
      </x:c>
      <x:c r="O451" s="10" t="str">
        <x:f>IF(M451="","",1-M451)</x:f>
      </x:c>
      <x:c r="P451" s="10" t="str">
        <x:f>IF(OR(NOT(AND(J451="PASS",'Calibrare_Linii'!U17="VALID")),AK451=0),""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*('Istoric_Nativ'!$Q$6:$Q$405&gt;H451))/AK451)</x:f>
      </x:c>
      <x:c r="Q451" s="10" t="str">
        <x:f>IF(OR(NOT(AND(J451="PASS",'Calibrare_Linii'!U17="VALID")),AL451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M37)+((('Istoric_Nativ'!$E$6:$E$405='Input_Meci'!E37)+('Istoric_Nativ'!$F$6:$F$405='Input_Meci'!E37))&gt;0)*('Istoric_Nativ'!$D$6:$D$405&gt;='Motor_Meciuri'!BN37))&gt;0)*('Istoric_Nativ'!$Q$6:$Q$405&gt;H451))/AL451)</x:f>
      </x:c>
      <x:c r="R451" s="10" t="str">
        <x:f>IF(OR(NOT(AND(J451="PASS",'Calibrare_Linii'!U17="VALID")),AM451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O37)+((('Istoric_Nativ'!$E$6:$E$405='Input_Meci'!E37)+('Istoric_Nativ'!$F$6:$F$405='Input_Meci'!E37))&gt;0)*('Istoric_Nativ'!$D$6:$D$405&gt;='Motor_Meciuri'!BP37))&gt;0)*('Istoric_Nativ'!$Q$6:$Q$405&gt;H451))/AM451)</x:f>
      </x:c>
      <x:c r="S451" s="10" t="str">
        <x:f>IF(M451="","",MAX(O451,P451,Q451,R451))</x:f>
      </x:c>
      <x:c r="T451" s="11" t="str">
        <x:f>IF(M451="","",MIN(100,S451*100*'Config_v6'!$B$44+MIN(100,L451/'Config_v6'!$B$13*100)*'Config_v6'!$B$45+(100-'Motor_Meciuri'!BF37)*'Config_v6'!$B$46+'Motor_Meciuri'!BH37*100*'Config_v6'!$B$47))</x:f>
      </x:c>
      <x:c r="U451" s="2" t="str">
        <x:f>IF(T451="","",IF(T451&lt;=20,1,IF(T451&lt;=40,2,IF(T451&lt;=60,3,IF(T451&lt;=80,4,5)))))</x:f>
      </x:c>
      <x:c r="V451" s="2" t="str">
        <x:f>IF(M451="","",MAX(0,'Motor_Meciuri'!BF37-IF(W451="OOS PENDING",'Config_v6'!$B$35,0)-IF(L451&gt;'Config_v6'!$B$12,'Config_v6'!$B$37,IF(L451&gt;'Config_v6'!$B$11,'Config_v6'!$B$36,0))))</x:f>
      </x:c>
      <x:c r="W451" s="2" t="str">
        <x:f>IF(B451="","",IF(I451&lt;&gt;"READY","NOT RELEASED",IF(NOT(AND(J451="PASS",'Calibrare_Linii'!U17="VALID")),"INVALID",IF(NOT(AND('Calibrare_Linii'!S17="VALIDATED",AND('Calibrare_Linii'!H17=C451,ISNUMBER('Calibrare_Linii'!J17),'Calibrare_Linii'!J17&lt;='Input_Meci'!G37))),"OOS PENDING",IF(S451&lt;='Calibrare_Linii'!E17,"PASS",IF(S451&lt;='Calibrare_Linii'!F17,"PENALTY","WATCH"))))))</x:f>
      </x:c>
      <x:c r="X451" s="2" t="str">
        <x:f>IF(M451="","",IF(AND(AND(J451="PASS",'Calibrare_Linii'!U17="VALID"),'Motor_Meciuri'!K37=12,'Motor_Meciuri'!L37=12,'Motor_Meciuri'!M37="NO",'Motor_Meciuri'!BL37='Motor_Meciuri'!C37,AB451&gt;='Config_v6'!$B$50,AN451&gt;='Config_v6'!$B$51,T451&lt;='Config_v6'!$B$52,L451&lt;='Config_v6'!$B$53,ISNUMBER('Calibrare_Linii'!E17),S451&lt;='Calibrare_Linii'!E17,SUM(AK451:AM451)&gt;0),"CANDIDATE","NO"))</x:f>
      </x:c>
      <x:c r="Y451" s="2" t="str">
        <x:f>IF(B451="","",IF(I451&lt;&gt;"READY","NOT RELEASED",IF(AND(X451="CANDIDATE",V451&gt;='Config_v6'!$B$51,W451="PASS",'Calibrare_Linii'!T17="VALIDATED",AND('Calibrare_Linii'!H17=C451,ISNUMBER('Calibrare_Linii'!J17),'Calibrare_Linii'!J17&lt;='Input_Meci'!G37)),"PASS",IF(X451="CANDIDATE","OOS PENDING","FAIL"))))</x:f>
      </x:c>
      <x:c r="Z451" s="2" t="str">
        <x:f>IF(B451="","",IF(I451&lt;&gt;"READY","",IF(OR(NOT(AND(J451="PASS",'Calibrare_Linii'!U17="VALID")),L451&gt;'Config_v6'!$B$13,W451="WATCH"),5,IF(Y451="PASS",1,MIN(5,MAX('Config_v6'!$B$42,U451)+IF(W451="PENALTY",1,0))))))</x:f>
      </x:c>
      <x:c r="AA451" s="2" t="str">
        <x:f>IF(B451="","",IF(I451&lt;&gt;"READY","NOT RELEASED",IF(Z451=5,"NO BET",IF(OR(AB451&lt;'Config_v6'!$B$16,V451&lt;'Config_v6'!$B$18),"WATCH",IF(Z451=1,"DEFENSIV",IF(Z451=2,"PRUDENT",IF(Z451=3,"MODERAT","RIDICAT")))))))</x:f>
      </x:c>
      <x:c r="AB451" s="10" t="str">
        <x:f>IF(N451="","",MIN(N451,1-S451))</x:f>
      </x:c>
      <x:c r="AC451" s="2" t="str">
        <x:f>IF(AD451&lt;&gt;1,"",COUNTIFS($Z$440:$Z$453,"&lt;"&amp;Z451,$AD$440:$AD$453,1)+COUNTIFS($Z$440:$Z$453,Z451,$AB$440:$AB$453,"&gt;"&amp;AB451,$AD$440:$AD$453,1)+COUNTIFS($Z$440:$Z$453,Z451,$AB$440:$AB$453,AB451,$V$440:$V$453,"&gt;"&amp;V451,$AD$440:$AD$453,1)+COUNTIFS($Z$440:Z451,Z451,$AB$440:AB451,AB451,$V$440:V451,V451,$AD$440:AD451,1))</x:f>
      </x:c>
      <x:c r="AD451" s="2" t="n">
        <x:f>IF(OR(AA451="DEFENSIV",AA451="PRUDENT",AA451="MODERAT",AA451="RIDICAT"),1,0)</x:f>
        <x:v>0</x:v>
      </x:c>
      <x:c r="AE451" s="2" t="str">
        <x:f>IF(AD451&lt;&gt;1,"NO",IF(W451="PASS","YES",IF(W451="OOS PENDING","CONDITIONAL","NO")))</x:f>
        <x:v>NO</x:v>
      </x:c>
      <x:c r="AF451" s="2" t="n">
        <x:f>IF(AND(AD451=1,AC451=1,E451="LIVE"),1,0)</x:f>
        <x:v>0</x:v>
      </x:c>
      <x:c r="AG451" s="2" t="str">
        <x:f>IF(AF451&lt;&gt;1,"",'Dashboard'!P57)</x:f>
      </x:c>
      <x:c r="AH451" s="2" t="str">
        <x:f>IF(B451="","",IF(J451&lt;&gt;"PASS",'Motor_Meciuri'!J37,IF('Calibrare_Linii'!U17&lt;&gt;"VALID","Parametri linie invalizi",IF(L451&gt;'Config_v6'!$B$13,"Dispersie peste limita",IF(W451="WATCH","Failure peste limita",IF(AB451&lt;'Config_v6'!$B$16,"P finala sub prag",IF(V451&lt;'Config_v6'!$B$18,"Confidence sub prag",IF(E451="REPLAY","Exemplu retrospectiv; exclus din Top LIVE",IF(Y451="PASS","DEFENSIV validat",IF(W451="OOS PENDING","Eligibil; calibrare linie in monitorizare","Eligibil"))))))))))</x:f>
      </x:c>
      <x:c r="AI451" s="2" t="str">
        <x:f>IF(B451="","",'Calibrare_Linii'!V17)</x:f>
      </x:c>
      <x:c r="AJ451" s="2" t="str">
        <x:f>IF(B451="","",IF(AND('Calibrare_Linii'!T17="VALIDATED",AND('Calibrare_Linii'!H17=C451,ISNUMBER('Calibrare_Linii'!J17),'Calibrare_Linii'!J17&lt;='Input_Meci'!G37)),"DEFENSIVE VALIDATED",IF(AND('Calibrare_Linii'!S17="VALIDATED",AND('Calibrare_Linii'!H17=C451,ISNUMBER('Calibrare_Linii'!J17),'Calibrare_Linii'!J17&lt;='Input_Meci'!G37)),"TAIL VALIDATED","OOS PENDING")))</x:f>
      </x:c>
      <x:c r="AK451" s="2" t="n">
        <x:f>IF(J451&lt;&gt;"PASS",0,'Motor_Meciuri'!BR37)</x:f>
        <x:v>0</x:v>
      </x:c>
      <x:c r="AL451" s="2" t="n">
        <x:f>IF(J451&lt;&gt;"PASS",0,'Motor_Meciuri'!BS37)</x:f>
        <x:v>0</x:v>
      </x:c>
      <x:c r="AM451" s="2" t="n">
        <x:f>IF(J451&lt;&gt;"PASS",0,'Motor_Meciuri'!BT37)</x:f>
        <x:v>0</x:v>
      </x:c>
      <x:c r="AN451" s="2" t="str">
        <x:f>IF(M451="","",MAX(0,'Motor_Meciuri'!BF37-IF(L451&gt;'Config_v6'!$B$12,'Config_v6'!$B$37,IF(L451&gt;'Config_v6'!$B$11,'Config_v6'!$B$36,0))))</x:f>
      </x:c>
    </x:row>
    <x:row r="452" ht="21" customHeight="1">
      <x:c r="A452" s="2" t="n">
        <x:v>32</x:v>
      </x:c>
      <x:c r="B452" s="2" t="str">
        <x:f>IF('Motor_Meciuri'!A37="","",'Motor_Meciuri'!A37)</x:f>
      </x:c>
      <x:c r="C452" s="2" t="str">
        <x:f>IF(B452="","",'Motor_Meciuri'!B37)</x:f>
      </x:c>
      <x:c r="D452" s="2" t="str">
        <x:f>IF(B452="","",'Motor_Meciuri'!D37)</x:f>
      </x:c>
      <x:c r="E452" s="2" t="str">
        <x:f>IF(B452="","",'Motor_Meciuri'!E37)</x:f>
      </x:c>
      <x:c r="F452" s="2" t="str">
        <x:v>U16,5</x:v>
      </x:c>
      <x:c r="G452" s="2" t="str">
        <x:v>UNDER</x:v>
      </x:c>
      <x:c r="H452" s="2" t="n">
        <x:v>16</x:v>
      </x:c>
      <x:c r="I452" s="2" t="str">
        <x:f>IF(B452="","",'Motor_Meciuri'!H37)</x:f>
      </x:c>
      <x:c r="J452" s="2" t="str">
        <x:f>IF(B452="","",'Motor_Meciuri'!I37)</x:f>
      </x:c>
      <x:c r="K452" s="11" t="str">
        <x:f>IF(J452&lt;&gt;"PASS","",'Motor_Meciuri'!BD37)</x:f>
      </x:c>
      <x:c r="L452" s="11" t="str">
        <x:f>IF(J452&lt;&gt;"PASS","",'Motor_Meciuri'!AU37)</x:f>
      </x:c>
      <x:c r="M452" s="10" t="str">
        <x:f>IF(NOT(AND(J452="PASS",'Calibrare_Linii'!U18="VALID")),"",'Distributie'!AN37)</x:f>
      </x:c>
      <x:c r="N452" s="10" t="str">
        <x:f>IF(M452="","",MAX(0.01,MIN(0.99,0.5+(M452-0.5)*'Motor_Meciuri'!BG37*'Calibrare_Linii'!D18)))</x:f>
      </x:c>
      <x:c r="O452" s="10" t="str">
        <x:f>IF(M452="","",1-M452)</x:f>
      </x:c>
      <x:c r="P452" s="10" t="str">
        <x:f>IF(OR(NOT(AND(J452="PASS",'Calibrare_Linii'!U18="VALID")),AK452=0),""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*('Istoric_Nativ'!$Q$6:$Q$405&gt;H452))/AK452)</x:f>
      </x:c>
      <x:c r="Q452" s="10" t="str">
        <x:f>IF(OR(NOT(AND(J452="PASS",'Calibrare_Linii'!U18="VALID")),AL452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M37)+((('Istoric_Nativ'!$E$6:$E$405='Input_Meci'!E37)+('Istoric_Nativ'!$F$6:$F$405='Input_Meci'!E37))&gt;0)*('Istoric_Nativ'!$D$6:$D$405&gt;='Motor_Meciuri'!BN37))&gt;0)*('Istoric_Nativ'!$Q$6:$Q$405&gt;H452))/AL452)</x:f>
      </x:c>
      <x:c r="R452" s="10" t="str">
        <x:f>IF(OR(NOT(AND(J452="PASS",'Calibrare_Linii'!U18="VALID")),AM452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O37)+((('Istoric_Nativ'!$E$6:$E$405='Input_Meci'!E37)+('Istoric_Nativ'!$F$6:$F$405='Input_Meci'!E37))&gt;0)*('Istoric_Nativ'!$D$6:$D$405&gt;='Motor_Meciuri'!BP37))&gt;0)*('Istoric_Nativ'!$Q$6:$Q$405&gt;H452))/AM452)</x:f>
      </x:c>
      <x:c r="S452" s="10" t="str">
        <x:f>IF(M452="","",MAX(O452,P452,Q452,R452))</x:f>
      </x:c>
      <x:c r="T452" s="11" t="str">
        <x:f>IF(M452="","",MIN(100,S452*100*'Config_v6'!$B$44+MIN(100,L452/'Config_v6'!$B$13*100)*'Config_v6'!$B$45+(100-'Motor_Meciuri'!BF37)*'Config_v6'!$B$46+'Motor_Meciuri'!BH37*100*'Config_v6'!$B$47))</x:f>
      </x:c>
      <x:c r="U452" s="2" t="str">
        <x:f>IF(T452="","",IF(T452&lt;=20,1,IF(T452&lt;=40,2,IF(T452&lt;=60,3,IF(T452&lt;=80,4,5)))))</x:f>
      </x:c>
      <x:c r="V452" s="2" t="str">
        <x:f>IF(M452="","",MAX(0,'Motor_Meciuri'!BF37-IF(W452="OOS PENDING",'Config_v6'!$B$35,0)-IF(L452&gt;'Config_v6'!$B$12,'Config_v6'!$B$37,IF(L452&gt;'Config_v6'!$B$11,'Config_v6'!$B$36,0))))</x:f>
      </x:c>
      <x:c r="W452" s="2" t="str">
        <x:f>IF(B452="","",IF(I452&lt;&gt;"READY","NOT RELEASED",IF(NOT(AND(J452="PASS",'Calibrare_Linii'!U18="VALID")),"INVALID",IF(NOT(AND('Calibrare_Linii'!S18="VALIDATED",AND('Calibrare_Linii'!H18=C452,ISNUMBER('Calibrare_Linii'!J18),'Calibrare_Linii'!J18&lt;='Input_Meci'!G37))),"OOS PENDING",IF(S452&lt;='Calibrare_Linii'!E18,"PASS",IF(S452&lt;='Calibrare_Linii'!F18,"PENALTY","WATCH"))))))</x:f>
      </x:c>
      <x:c r="X452" s="2" t="str">
        <x:f>IF(M452="","",IF(AND(AND(J452="PASS",'Calibrare_Linii'!U18="VALID"),'Motor_Meciuri'!K37=12,'Motor_Meciuri'!L37=12,'Motor_Meciuri'!M37="NO",'Motor_Meciuri'!BL37='Motor_Meciuri'!C37,AB452&gt;='Config_v6'!$B$50,AN452&gt;='Config_v6'!$B$51,T452&lt;='Config_v6'!$B$52,L452&lt;='Config_v6'!$B$53,ISNUMBER('Calibrare_Linii'!E18),S452&lt;='Calibrare_Linii'!E18,SUM(AK452:AM452)&gt;0),"CANDIDATE","NO"))</x:f>
      </x:c>
      <x:c r="Y452" s="2" t="str">
        <x:f>IF(B452="","",IF(I452&lt;&gt;"READY","NOT RELEASED",IF(AND(X452="CANDIDATE",V452&gt;='Config_v6'!$B$51,W452="PASS",'Calibrare_Linii'!T18="VALIDATED",AND('Calibrare_Linii'!H18=C452,ISNUMBER('Calibrare_Linii'!J18),'Calibrare_Linii'!J18&lt;='Input_Meci'!G37)),"PASS",IF(X452="CANDIDATE","OOS PENDING","FAIL"))))</x:f>
      </x:c>
      <x:c r="Z452" s="2" t="str">
        <x:f>IF(B452="","",IF(I452&lt;&gt;"READY","",IF(OR(NOT(AND(J452="PASS",'Calibrare_Linii'!U18="VALID")),L452&gt;'Config_v6'!$B$13,W452="WATCH"),5,IF(Y452="PASS",1,MIN(5,MAX('Config_v6'!$B$42,U452)+IF(W452="PENALTY",1,0))))))</x:f>
      </x:c>
      <x:c r="AA452" s="2" t="str">
        <x:f>IF(B452="","",IF(I452&lt;&gt;"READY","NOT RELEASED",IF(Z452=5,"NO BET",IF(OR(AB452&lt;'Config_v6'!$B$16,V452&lt;'Config_v6'!$B$18),"WATCH",IF(Z452=1,"DEFENSIV",IF(Z452=2,"PRUDENT",IF(Z452=3,"MODERAT","RIDICAT")))))))</x:f>
      </x:c>
      <x:c r="AB452" s="10" t="str">
        <x:f>IF(N452="","",MIN(N452,1-S452))</x:f>
      </x:c>
      <x:c r="AC452" s="2" t="str">
        <x:f>IF(AD452&lt;&gt;1,"",COUNTIFS($Z$440:$Z$453,"&lt;"&amp;Z452,$AD$440:$AD$453,1)+COUNTIFS($Z$440:$Z$453,Z452,$AB$440:$AB$453,"&gt;"&amp;AB452,$AD$440:$AD$453,1)+COUNTIFS($Z$440:$Z$453,Z452,$AB$440:$AB$453,AB452,$V$440:$V$453,"&gt;"&amp;V452,$AD$440:$AD$453,1)+COUNTIFS($Z$440:Z452,Z452,$AB$440:AB452,AB452,$V$440:V452,V452,$AD$440:AD452,1))</x:f>
      </x:c>
      <x:c r="AD452" s="2" t="n">
        <x:f>IF(OR(AA452="DEFENSIV",AA452="PRUDENT",AA452="MODERAT",AA452="RIDICAT"),1,0)</x:f>
        <x:v>0</x:v>
      </x:c>
      <x:c r="AE452" s="2" t="str">
        <x:f>IF(AD452&lt;&gt;1,"NO",IF(W452="PASS","YES",IF(W452="OOS PENDING","CONDITIONAL","NO")))</x:f>
        <x:v>NO</x:v>
      </x:c>
      <x:c r="AF452" s="2" t="n">
        <x:f>IF(AND(AD452=1,AC452=1,E452="LIVE"),1,0)</x:f>
        <x:v>0</x:v>
      </x:c>
      <x:c r="AG452" s="2" t="str">
        <x:f>IF(AF452&lt;&gt;1,"",'Dashboard'!P57)</x:f>
      </x:c>
      <x:c r="AH452" s="2" t="str">
        <x:f>IF(B452="","",IF(J452&lt;&gt;"PASS",'Motor_Meciuri'!J37,IF('Calibrare_Linii'!U18&lt;&gt;"VALID","Parametri linie invalizi",IF(L452&gt;'Config_v6'!$B$13,"Dispersie peste limita",IF(W452="WATCH","Failure peste limita",IF(AB452&lt;'Config_v6'!$B$16,"P finala sub prag",IF(V452&lt;'Config_v6'!$B$18,"Confidence sub prag",IF(E452="REPLAY","Exemplu retrospectiv; exclus din Top LIVE",IF(Y452="PASS","DEFENSIV validat",IF(W452="OOS PENDING","Eligibil; calibrare linie in monitorizare","Eligibil"))))))))))</x:f>
      </x:c>
      <x:c r="AI452" s="2" t="str">
        <x:f>IF(B452="","",'Calibrare_Linii'!V18)</x:f>
      </x:c>
      <x:c r="AJ452" s="2" t="str">
        <x:f>IF(B452="","",IF(AND('Calibrare_Linii'!T18="VALIDATED",AND('Calibrare_Linii'!H18=C452,ISNUMBER('Calibrare_Linii'!J18),'Calibrare_Linii'!J18&lt;='Input_Meci'!G37)),"DEFENSIVE VALIDATED",IF(AND('Calibrare_Linii'!S18="VALIDATED",AND('Calibrare_Linii'!H18=C452,ISNUMBER('Calibrare_Linii'!J18),'Calibrare_Linii'!J18&lt;='Input_Meci'!G37)),"TAIL VALIDATED","OOS PENDING")))</x:f>
      </x:c>
      <x:c r="AK452" s="2" t="n">
        <x:f>IF(J452&lt;&gt;"PASS",0,'Motor_Meciuri'!BR37)</x:f>
        <x:v>0</x:v>
      </x:c>
      <x:c r="AL452" s="2" t="n">
        <x:f>IF(J452&lt;&gt;"PASS",0,'Motor_Meciuri'!BS37)</x:f>
        <x:v>0</x:v>
      </x:c>
      <x:c r="AM452" s="2" t="n">
        <x:f>IF(J452&lt;&gt;"PASS",0,'Motor_Meciuri'!BT37)</x:f>
        <x:v>0</x:v>
      </x:c>
      <x:c r="AN452" s="2" t="str">
        <x:f>IF(M452="","",MAX(0,'Motor_Meciuri'!BF37-IF(L452&gt;'Config_v6'!$B$12,'Config_v6'!$B$37,IF(L452&gt;'Config_v6'!$B$11,'Config_v6'!$B$36,0))))</x:f>
      </x:c>
    </x:row>
    <x:row r="453" ht="21" customHeight="1">
      <x:c r="A453" s="2" t="n">
        <x:v>32</x:v>
      </x:c>
      <x:c r="B453" s="2" t="str">
        <x:f>IF('Motor_Meciuri'!A37="","",'Motor_Meciuri'!A37)</x:f>
      </x:c>
      <x:c r="C453" s="2" t="str">
        <x:f>IF(B453="","",'Motor_Meciuri'!B37)</x:f>
      </x:c>
      <x:c r="D453" s="2" t="str">
        <x:f>IF(B453="","",'Motor_Meciuri'!D37)</x:f>
      </x:c>
      <x:c r="E453" s="2" t="str">
        <x:f>IF(B453="","",'Motor_Meciuri'!E37)</x:f>
      </x:c>
      <x:c r="F453" s="2" t="str">
        <x:v>U17,5</x:v>
      </x:c>
      <x:c r="G453" s="2" t="str">
        <x:v>UNDER</x:v>
      </x:c>
      <x:c r="H453" s="2" t="n">
        <x:v>17</x:v>
      </x:c>
      <x:c r="I453" s="2" t="str">
        <x:f>IF(B453="","",'Motor_Meciuri'!H37)</x:f>
      </x:c>
      <x:c r="J453" s="2" t="str">
        <x:f>IF(B453="","",'Motor_Meciuri'!I37)</x:f>
      </x:c>
      <x:c r="K453" s="11" t="str">
        <x:f>IF(J453&lt;&gt;"PASS","",'Motor_Meciuri'!BD37)</x:f>
      </x:c>
      <x:c r="L453" s="11" t="str">
        <x:f>IF(J453&lt;&gt;"PASS","",'Motor_Meciuri'!AU37)</x:f>
      </x:c>
      <x:c r="M453" s="10" t="str">
        <x:f>IF(NOT(AND(J453="PASS",'Calibrare_Linii'!U19="VALID")),"",'Distributie'!AO37)</x:f>
      </x:c>
      <x:c r="N453" s="10" t="str">
        <x:f>IF(M453="","",MAX(0.01,MIN(0.99,0.5+(M453-0.5)*'Motor_Meciuri'!BG37*'Calibrare_Linii'!D19)))</x:f>
      </x:c>
      <x:c r="O453" s="10" t="str">
        <x:f>IF(M453="","",1-M453)</x:f>
      </x:c>
      <x:c r="P453" s="10" t="str">
        <x:f>IF(OR(NOT(AND(J453="PASS",'Calibrare_Linii'!U19="VALID")),AK453=0),""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*('Istoric_Nativ'!$Q$6:$Q$405&gt;H453))/AK453)</x:f>
      </x:c>
      <x:c r="Q453" s="10" t="str">
        <x:f>IF(OR(NOT(AND(J453="PASS",'Calibrare_Linii'!U19="VALID")),AL453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M37)+((('Istoric_Nativ'!$E$6:$E$405='Input_Meci'!E37)+('Istoric_Nativ'!$F$6:$F$405='Input_Meci'!E37))&gt;0)*('Istoric_Nativ'!$D$6:$D$405&gt;='Motor_Meciuri'!BN37))&gt;0)*('Istoric_Nativ'!$Q$6:$Q$405&gt;H453))/AL453)</x:f>
      </x:c>
      <x:c r="R453" s="10" t="str">
        <x:f>IF(OR(NOT(AND(J453="PASS",'Calibrare_Linii'!U19="VALID")),AM453=0),""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'Motor_Meciuri'!BO37)+((('Istoric_Nativ'!$E$6:$E$405='Input_Meci'!E37)+('Istoric_Nativ'!$F$6:$F$405='Input_Meci'!E37))&gt;0)*('Istoric_Nativ'!$D$6:$D$405&gt;='Motor_Meciuri'!BP37))&gt;0)*('Istoric_Nativ'!$Q$6:$Q$405&gt;H453))/AM453)</x:f>
      </x:c>
      <x:c r="S453" s="10" t="str">
        <x:f>IF(M453="","",MAX(O453,P453,Q453,R453))</x:f>
      </x:c>
      <x:c r="T453" s="11" t="str">
        <x:f>IF(M453="","",MIN(100,S453*100*'Config_v6'!$B$44+MIN(100,L453/'Config_v6'!$B$13*100)*'Config_v6'!$B$45+(100-'Motor_Meciuri'!BF37)*'Config_v6'!$B$46+'Motor_Meciuri'!BH37*100*'Config_v6'!$B$47))</x:f>
      </x:c>
      <x:c r="U453" s="2" t="str">
        <x:f>IF(T453="","",IF(T453&lt;=20,1,IF(T453&lt;=40,2,IF(T453&lt;=60,3,IF(T453&lt;=80,4,5)))))</x:f>
      </x:c>
      <x:c r="V453" s="2" t="str">
        <x:f>IF(M453="","",MAX(0,'Motor_Meciuri'!BF37-IF(W453="OOS PENDING",'Config_v6'!$B$35,0)-IF(L453&gt;'Config_v6'!$B$12,'Config_v6'!$B$37,IF(L453&gt;'Config_v6'!$B$11,'Config_v6'!$B$36,0))))</x:f>
      </x:c>
      <x:c r="W453" s="2" t="str">
        <x:f>IF(B453="","",IF(I453&lt;&gt;"READY","NOT RELEASED",IF(NOT(AND(J453="PASS",'Calibrare_Linii'!U19="VALID")),"INVALID",IF(NOT(AND('Calibrare_Linii'!S19="VALIDATED",AND('Calibrare_Linii'!H19=C453,ISNUMBER('Calibrare_Linii'!J19),'Calibrare_Linii'!J19&lt;='Input_Meci'!G37))),"OOS PENDING",IF(S453&lt;='Calibrare_Linii'!E19,"PASS",IF(S453&lt;='Calibrare_Linii'!F19,"PENALTY","WATCH"))))))</x:f>
      </x:c>
      <x:c r="X453" s="2" t="str">
        <x:f>IF(M453="","",IF(AND(AND(J453="PASS",'Calibrare_Linii'!U19="VALID"),'Motor_Meciuri'!K37=12,'Motor_Meciuri'!L37=12,'Motor_Meciuri'!M37="NO",'Motor_Meciuri'!BL37='Motor_Meciuri'!C37,AB453&gt;='Config_v6'!$B$50,AN453&gt;='Config_v6'!$B$51,T453&lt;='Config_v6'!$B$52,L453&lt;='Config_v6'!$B$53,ISNUMBER('Calibrare_Linii'!E19),S453&lt;='Calibrare_Linii'!E19,SUM(AK453:AM453)&gt;0),"CANDIDATE","NO"))</x:f>
      </x:c>
      <x:c r="Y453" s="2" t="str">
        <x:f>IF(B453="","",IF(I453&lt;&gt;"READY","NOT RELEASED",IF(AND(X453="CANDIDATE",V453&gt;='Config_v6'!$B$51,W453="PASS",'Calibrare_Linii'!T19="VALIDATED",AND('Calibrare_Linii'!H19=C453,ISNUMBER('Calibrare_Linii'!J19),'Calibrare_Linii'!J19&lt;='Input_Meci'!G37)),"PASS",IF(X453="CANDIDATE","OOS PENDING","FAIL"))))</x:f>
      </x:c>
      <x:c r="Z453" s="2" t="str">
        <x:f>IF(B453="","",IF(I453&lt;&gt;"READY","",IF(OR(NOT(AND(J453="PASS",'Calibrare_Linii'!U19="VALID")),L453&gt;'Config_v6'!$B$13,W453="WATCH"),5,IF(Y453="PASS",1,MIN(5,MAX('Config_v6'!$B$42,U453)+IF(W453="PENALTY",1,0))))))</x:f>
      </x:c>
      <x:c r="AA453" s="2" t="str">
        <x:f>IF(B453="","",IF(I453&lt;&gt;"READY","NOT RELEASED",IF(Z453=5,"NO BET",IF(OR(AB453&lt;'Config_v6'!$B$16,V453&lt;'Config_v6'!$B$18),"WATCH",IF(Z453=1,"DEFENSIV",IF(Z453=2,"PRUDENT",IF(Z453=3,"MODERAT","RIDICAT")))))))</x:f>
      </x:c>
      <x:c r="AB453" s="10" t="str">
        <x:f>IF(N453="","",MIN(N453,1-S453))</x:f>
      </x:c>
      <x:c r="AC453" s="2" t="str">
        <x:f>IF(AD453&lt;&gt;1,"",COUNTIFS($Z$440:$Z$453,"&lt;"&amp;Z453,$AD$440:$AD$453,1)+COUNTIFS($Z$440:$Z$453,Z453,$AB$440:$AB$453,"&gt;"&amp;AB453,$AD$440:$AD$453,1)+COUNTIFS($Z$440:$Z$453,Z453,$AB$440:$AB$453,AB453,$V$440:$V$453,"&gt;"&amp;V453,$AD$440:$AD$453,1)+COUNTIFS($Z$440:Z453,Z453,$AB$440:AB453,AB453,$V$440:V453,V453,$AD$440:AD453,1))</x:f>
      </x:c>
      <x:c r="AD453" s="2" t="n">
        <x:f>IF(OR(AA453="DEFENSIV",AA453="PRUDENT",AA453="MODERAT",AA453="RIDICAT"),1,0)</x:f>
        <x:v>0</x:v>
      </x:c>
      <x:c r="AE453" s="2" t="str">
        <x:f>IF(AD453&lt;&gt;1,"NO",IF(W453="PASS","YES",IF(W453="OOS PENDING","CONDITIONAL","NO")))</x:f>
        <x:v>NO</x:v>
      </x:c>
      <x:c r="AF453" s="2" t="n">
        <x:f>IF(AND(AD453=1,AC453=1,E453="LIVE"),1,0)</x:f>
        <x:v>0</x:v>
      </x:c>
      <x:c r="AG453" s="2" t="str">
        <x:f>IF(AF453&lt;&gt;1,"",'Dashboard'!P57)</x:f>
      </x:c>
      <x:c r="AH453" s="2" t="str">
        <x:f>IF(B453="","",IF(J453&lt;&gt;"PASS",'Motor_Meciuri'!J37,IF('Calibrare_Linii'!U19&lt;&gt;"VALID","Parametri linie invalizi",IF(L453&gt;'Config_v6'!$B$13,"Dispersie peste limita",IF(W453="WATCH","Failure peste limita",IF(AB453&lt;'Config_v6'!$B$16,"P finala sub prag",IF(V453&lt;'Config_v6'!$B$18,"Confidence sub prag",IF(E453="REPLAY","Exemplu retrospectiv; exclus din Top LIVE",IF(Y453="PASS","DEFENSIV validat",IF(W453="OOS PENDING","Eligibil; calibrare linie in monitorizare","Eligibil"))))))))))</x:f>
      </x:c>
      <x:c r="AI453" s="2" t="str">
        <x:f>IF(B453="","",'Calibrare_Linii'!V19)</x:f>
      </x:c>
      <x:c r="AJ453" s="2" t="str">
        <x:f>IF(B453="","",IF(AND('Calibrare_Linii'!T19="VALIDATED",AND('Calibrare_Linii'!H19=C453,ISNUMBER('Calibrare_Linii'!J19),'Calibrare_Linii'!J19&lt;='Input_Meci'!G37)),"DEFENSIVE VALIDATED",IF(AND('Calibrare_Linii'!S19="VALIDATED",AND('Calibrare_Linii'!H19=C453,ISNUMBER('Calibrare_Linii'!J19),'Calibrare_Linii'!J19&lt;='Input_Meci'!G37)),"TAIL VALIDATED","OOS PENDING")))</x:f>
      </x:c>
      <x:c r="AK453" s="2" t="n">
        <x:f>IF(J453&lt;&gt;"PASS",0,'Motor_Meciuri'!BR37)</x:f>
        <x:v>0</x:v>
      </x:c>
      <x:c r="AL453" s="2" t="n">
        <x:f>IF(J453&lt;&gt;"PASS",0,'Motor_Meciuri'!BS37)</x:f>
        <x:v>0</x:v>
      </x:c>
      <x:c r="AM453" s="2" t="n">
        <x:f>IF(J453&lt;&gt;"PASS",0,'Motor_Meciuri'!BT37)</x:f>
        <x:v>0</x:v>
      </x:c>
      <x:c r="AN453" s="2" t="str">
        <x:f>IF(M453="","",MAX(0,'Motor_Meciuri'!BF37-IF(L453&gt;'Config_v6'!$B$12,'Config_v6'!$B$37,IF(L453&gt;'Config_v6'!$B$11,'Config_v6'!$B$36,0))))</x:f>
      </x:c>
    </x:row>
    <x:row r="454" ht="21" customHeight="1">
      <x:c r="A454" s="2" t="n">
        <x:v>33</x:v>
      </x:c>
      <x:c r="B454" s="2" t="str">
        <x:f>IF('Motor_Meciuri'!A38="","",'Motor_Meciuri'!A38)</x:f>
      </x:c>
      <x:c r="C454" s="2" t="str">
        <x:f>IF(B454="","",'Motor_Meciuri'!B38)</x:f>
      </x:c>
      <x:c r="D454" s="2" t="str">
        <x:f>IF(B454="","",'Motor_Meciuri'!D38)</x:f>
      </x:c>
      <x:c r="E454" s="2" t="str">
        <x:f>IF(B454="","",'Motor_Meciuri'!E38)</x:f>
      </x:c>
      <x:c r="F454" s="2" t="str">
        <x:v>O3,5</x:v>
      </x:c>
      <x:c r="G454" s="2" t="str">
        <x:v>OVER</x:v>
      </x:c>
      <x:c r="H454" s="2" t="n">
        <x:v>3</x:v>
      </x:c>
      <x:c r="I454" s="2" t="str">
        <x:f>IF(B454="","",'Motor_Meciuri'!H38)</x:f>
      </x:c>
      <x:c r="J454" s="2" t="str">
        <x:f>IF(B454="","",'Motor_Meciuri'!I38)</x:f>
      </x:c>
      <x:c r="K454" s="11" t="str">
        <x:f>IF(J454&lt;&gt;"PASS","",'Motor_Meciuri'!BD38)</x:f>
      </x:c>
      <x:c r="L454" s="11" t="str">
        <x:f>IF(J454&lt;&gt;"PASS","",'Motor_Meciuri'!AU38)</x:f>
      </x:c>
      <x:c r="M454" s="10" t="str">
        <x:f>IF(NOT(AND(J454="PASS",'Calibrare_Linii'!U6="VALID")),"",1-'Distributie'!AA38)</x:f>
      </x:c>
      <x:c r="N454" s="10" t="str">
        <x:f>IF(M454="","",MAX(0.01,MIN(0.99,0.5+(M454-0.5)*'Motor_Meciuri'!BG38*'Calibrare_Linii'!D6)))</x:f>
      </x:c>
      <x:c r="O454" s="10" t="str">
        <x:f>IF(M454="","",1-M454)</x:f>
      </x:c>
      <x:c r="P454" s="10" t="str">
        <x:f>IF(OR(NOT(AND(J454="PASS",'Calibrare_Linii'!U6="VALID")),AK454=0),""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*('Istoric_Nativ'!$Q$6:$Q$405&lt;=H454))/AK454)</x:f>
      </x:c>
      <x:c r="Q454" s="10" t="str">
        <x:f>IF(OR(NOT(AND(J454="PASS",'Calibrare_Linii'!U6="VALID")),AL454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M38)+((('Istoric_Nativ'!$E$6:$E$405='Input_Meci'!E38)+('Istoric_Nativ'!$F$6:$F$405='Input_Meci'!E38))&gt;0)*('Istoric_Nativ'!$D$6:$D$405&gt;='Motor_Meciuri'!BN38))&gt;0)*('Istoric_Nativ'!$Q$6:$Q$405&lt;=H454))/AL454)</x:f>
      </x:c>
      <x:c r="R454" s="10" t="str">
        <x:f>IF(OR(NOT(AND(J454="PASS",'Calibrare_Linii'!U6="VALID")),AM454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O38)+((('Istoric_Nativ'!$E$6:$E$405='Input_Meci'!E38)+('Istoric_Nativ'!$F$6:$F$405='Input_Meci'!E38))&gt;0)*('Istoric_Nativ'!$D$6:$D$405&gt;='Motor_Meciuri'!BP38))&gt;0)*('Istoric_Nativ'!$Q$6:$Q$405&lt;=H454))/AM454)</x:f>
      </x:c>
      <x:c r="S454" s="10" t="str">
        <x:f>IF(M454="","",MAX(O454,P454,Q454,R454))</x:f>
      </x:c>
      <x:c r="T454" s="11" t="str">
        <x:f>IF(M454="","",MIN(100,S454*100*'Config_v6'!$B$44+MIN(100,L454/'Config_v6'!$B$13*100)*'Config_v6'!$B$45+(100-'Motor_Meciuri'!BF38)*'Config_v6'!$B$46+'Motor_Meciuri'!BH38*100*'Config_v6'!$B$47))</x:f>
      </x:c>
      <x:c r="U454" s="2" t="str">
        <x:f>IF(T454="","",IF(T454&lt;=20,1,IF(T454&lt;=40,2,IF(T454&lt;=60,3,IF(T454&lt;=80,4,5)))))</x:f>
      </x:c>
      <x:c r="V454" s="2" t="str">
        <x:f>IF(M454="","",MAX(0,'Motor_Meciuri'!BF38-IF(W454="OOS PENDING",'Config_v6'!$B$35,0)-IF(L454&gt;'Config_v6'!$B$12,'Config_v6'!$B$37,IF(L454&gt;'Config_v6'!$B$11,'Config_v6'!$B$36,0))))</x:f>
      </x:c>
      <x:c r="W454" s="2" t="str">
        <x:f>IF(B454="","",IF(I454&lt;&gt;"READY","NOT RELEASED",IF(NOT(AND(J454="PASS",'Calibrare_Linii'!U6="VALID")),"INVALID",IF(NOT(TRUE),"OOS PENDING",IF(S454&lt;=IF(AND('Calibrare_Linii'!S6="VALIDATED",AND('Calibrare_Linii'!H6=C454,ISNUMBER('Calibrare_Linii'!J6),'Calibrare_Linii'!J6&lt;='Input_Meci'!G38)),'Calibrare_Linii'!E6,'Config_v6'!$B$26),"PASS",IF(S454&lt;=IF(AND('Calibrare_Linii'!S6="VALIDATED",AND('Calibrare_Linii'!H6=C454,ISNUMBER('Calibrare_Linii'!J6),'Calibrare_Linii'!J6&lt;='Input_Meci'!G38)),'Calibrare_Linii'!F6,'Config_v6'!$C$26),"PENALTY","WATCH"))))))</x:f>
      </x:c>
      <x:c r="X454" s="2" t="str">
        <x:f>IF(M454="","",IF(AND(AND(J454="PASS",'Calibrare_Linii'!U6="VALID"),'Motor_Meciuri'!K38=12,'Motor_Meciuri'!L38=12,'Motor_Meciuri'!M38="NO",'Motor_Meciuri'!BL38='Motor_Meciuri'!C38,AB454&gt;='Config_v6'!$B$50,AN454&gt;='Config_v6'!$B$51,T454&lt;='Config_v6'!$B$52,L454&lt;='Config_v6'!$B$53,ISNUMBER('Calibrare_Linii'!E6),S454&lt;='Calibrare_Linii'!E6,SUM(AK454:AM454)&gt;0),"CANDIDATE","NO"))</x:f>
      </x:c>
      <x:c r="Y454" s="2" t="str">
        <x:f>IF(B454="","",IF(I454&lt;&gt;"READY","NOT RELEASED",IF(AND(X454="CANDIDATE",V454&gt;='Config_v6'!$B$51,W454="PASS",'Calibrare_Linii'!T6="VALIDATED",AND('Calibrare_Linii'!H6=C454,ISNUMBER('Calibrare_Linii'!J6),'Calibrare_Linii'!J6&lt;='Input_Meci'!G38)),"PASS",IF(X454="CANDIDATE","OOS PENDING","FAIL"))))</x:f>
      </x:c>
      <x:c r="Z454" s="2" t="str">
        <x:f>IF(B454="","",IF(I454&lt;&gt;"READY","",IF(OR(NOT(AND(J454="PASS",'Calibrare_Linii'!U6="VALID")),L454&gt;'Config_v6'!$B$13,W454="WATCH"),5,IF(Y454="PASS",1,MIN(5,MAX('Config_v6'!$B$42,U454)+IF(W454="PENALTY",1,0))))))</x:f>
      </x:c>
      <x:c r="AA454" s="2" t="str">
        <x:f>IF(B454="","",IF(I454&lt;&gt;"READY","NOT RELEASED",IF(Z454=5,"NO BET",IF(OR(AB454&lt;'Config_v6'!$B$16,V454&lt;'Config_v6'!$B$18),"WATCH",IF(Z454=1,"DEFENSIV",IF(Z454=2,"PRUDENT",IF(Z454=3,"MODERAT","RIDICAT")))))))</x:f>
      </x:c>
      <x:c r="AB454" s="10" t="str">
        <x:f>IF(N454="","",MIN(N454,1-S454))</x:f>
      </x:c>
      <x:c r="AC454" s="2" t="str">
        <x:f>IF(AD454&lt;&gt;1,"",COUNTIFS($Z$454:$Z$467,"&lt;"&amp;Z454,$AD$454:$AD$467,1)+COUNTIFS($Z$454:$Z$467,Z454,$AB$454:$AB$467,"&gt;"&amp;AB454,$AD$454:$AD$467,1)+COUNTIFS($Z$454:$Z$467,Z454,$AB$454:$AB$467,AB454,$V$454:$V$467,"&gt;"&amp;V454,$AD$454:$AD$467,1)+COUNTIFS($Z$454:Z454,Z454,$AB$454:AB454,AB454,$V$454:V454,V454,$AD$454:AD454,1))</x:f>
      </x:c>
      <x:c r="AD454" s="2" t="n">
        <x:f>IF(OR(AA454="DEFENSIV",AA454="PRUDENT",AA454="MODERAT",AA454="RIDICAT"),1,0)</x:f>
        <x:v>0</x:v>
      </x:c>
      <x:c r="AE454" s="2" t="str">
        <x:f>IF(AD454&lt;&gt;1,"NO",IF(W454="PASS","YES",IF(W454="OOS PENDING","CONDITIONAL","NO")))</x:f>
        <x:v>NO</x:v>
      </x:c>
      <x:c r="AF454" s="2" t="n">
        <x:f>IF(AND(AD454=1,AC454=1,E454="LIVE"),1,0)</x:f>
        <x:v>0</x:v>
      </x:c>
      <x:c r="AG454" s="2" t="str">
        <x:f>IF(AF454&lt;&gt;1,"",'Dashboard'!P58)</x:f>
      </x:c>
      <x:c r="AH454" s="2" t="str">
        <x:f>IF(B454="","",IF(J454&lt;&gt;"PASS",'Motor_Meciuri'!J38,IF('Calibrare_Linii'!U6&lt;&gt;"VALID","Parametri linie invalizi",IF(L454&gt;'Config_v6'!$B$13,"Dispersie peste limita",IF(W454="WATCH","Failure peste limita",IF(AB454&lt;'Config_v6'!$B$16,"P finala sub prag",IF(V454&lt;'Config_v6'!$B$18,"Confidence sub prag",IF(E454="REPLAY","Exemplu retrospectiv; exclus din Top LIVE",IF(Y454="PASS","DEFENSIV validat",IF(W454="OOS PENDING","Eligibil; calibrare linie in monitorizare","Eligibil"))))))))))</x:f>
      </x:c>
      <x:c r="AI454" s="2" t="str">
        <x:f>IF(B454="","",'Calibrare_Linii'!V6)</x:f>
      </x:c>
      <x:c r="AJ454" s="2" t="str">
        <x:f>IF(B454="","",IF(AND('Calibrare_Linii'!T6="VALIDATED",AND('Calibrare_Linii'!H6=C454,ISNUMBER('Calibrare_Linii'!J6),'Calibrare_Linii'!J6&lt;='Input_Meci'!G38)),"DEFENSIVE VALIDATED",IF(AND('Calibrare_Linii'!S6="VALIDATED",AND('Calibrare_Linii'!H6=C454,ISNUMBER('Calibrare_Linii'!J6),'Calibrare_Linii'!J6&lt;='Input_Meci'!G38)),"TAIL VALIDATED","OOS PENDING")))</x:f>
      </x:c>
      <x:c r="AK454" s="2" t="n">
        <x:f>IF(J454&lt;&gt;"PASS",0,'Motor_Meciuri'!BR38)</x:f>
        <x:v>0</x:v>
      </x:c>
      <x:c r="AL454" s="2" t="n">
        <x:f>IF(J454&lt;&gt;"PASS",0,'Motor_Meciuri'!BS38)</x:f>
        <x:v>0</x:v>
      </x:c>
      <x:c r="AM454" s="2" t="n">
        <x:f>IF(J454&lt;&gt;"PASS",0,'Motor_Meciuri'!BT38)</x:f>
        <x:v>0</x:v>
      </x:c>
      <x:c r="AN454" s="2" t="str">
        <x:f>IF(M454="","",MAX(0,'Motor_Meciuri'!BF38-IF(L454&gt;'Config_v6'!$B$12,'Config_v6'!$B$37,IF(L454&gt;'Config_v6'!$B$11,'Config_v6'!$B$36,0))))</x:f>
      </x:c>
    </x:row>
    <x:row r="455" ht="21" customHeight="1">
      <x:c r="A455" s="2" t="n">
        <x:v>33</x:v>
      </x:c>
      <x:c r="B455" s="2" t="str">
        <x:f>IF('Motor_Meciuri'!A38="","",'Motor_Meciuri'!A38)</x:f>
      </x:c>
      <x:c r="C455" s="2" t="str">
        <x:f>IF(B455="","",'Motor_Meciuri'!B38)</x:f>
      </x:c>
      <x:c r="D455" s="2" t="str">
        <x:f>IF(B455="","",'Motor_Meciuri'!D38)</x:f>
      </x:c>
      <x:c r="E455" s="2" t="str">
        <x:f>IF(B455="","",'Motor_Meciuri'!E38)</x:f>
      </x:c>
      <x:c r="F455" s="2" t="str">
        <x:v>O4,5</x:v>
      </x:c>
      <x:c r="G455" s="2" t="str">
        <x:v>OVER</x:v>
      </x:c>
      <x:c r="H455" s="2" t="n">
        <x:v>4</x:v>
      </x:c>
      <x:c r="I455" s="2" t="str">
        <x:f>IF(B455="","",'Motor_Meciuri'!H38)</x:f>
      </x:c>
      <x:c r="J455" s="2" t="str">
        <x:f>IF(B455="","",'Motor_Meciuri'!I38)</x:f>
      </x:c>
      <x:c r="K455" s="11" t="str">
        <x:f>IF(J455&lt;&gt;"PASS","",'Motor_Meciuri'!BD38)</x:f>
      </x:c>
      <x:c r="L455" s="11" t="str">
        <x:f>IF(J455&lt;&gt;"PASS","",'Motor_Meciuri'!AU38)</x:f>
      </x:c>
      <x:c r="M455" s="10" t="str">
        <x:f>IF(NOT(AND(J455="PASS",'Calibrare_Linii'!U7="VALID")),"",1-'Distributie'!AB38)</x:f>
      </x:c>
      <x:c r="N455" s="10" t="str">
        <x:f>IF(M455="","",MAX(0.01,MIN(0.99,0.5+(M455-0.5)*'Motor_Meciuri'!BG38*'Calibrare_Linii'!D7)))</x:f>
      </x:c>
      <x:c r="O455" s="10" t="str">
        <x:f>IF(M455="","",1-M455)</x:f>
      </x:c>
      <x:c r="P455" s="10" t="str">
        <x:f>IF(OR(NOT(AND(J455="PASS",'Calibrare_Linii'!U7="VALID")),AK455=0),""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*('Istoric_Nativ'!$Q$6:$Q$405&lt;=H455))/AK455)</x:f>
      </x:c>
      <x:c r="Q455" s="10" t="str">
        <x:f>IF(OR(NOT(AND(J455="PASS",'Calibrare_Linii'!U7="VALID")),AL455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M38)+((('Istoric_Nativ'!$E$6:$E$405='Input_Meci'!E38)+('Istoric_Nativ'!$F$6:$F$405='Input_Meci'!E38))&gt;0)*('Istoric_Nativ'!$D$6:$D$405&gt;='Motor_Meciuri'!BN38))&gt;0)*('Istoric_Nativ'!$Q$6:$Q$405&lt;=H455))/AL455)</x:f>
      </x:c>
      <x:c r="R455" s="10" t="str">
        <x:f>IF(OR(NOT(AND(J455="PASS",'Calibrare_Linii'!U7="VALID")),AM455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O38)+((('Istoric_Nativ'!$E$6:$E$405='Input_Meci'!E38)+('Istoric_Nativ'!$F$6:$F$405='Input_Meci'!E38))&gt;0)*('Istoric_Nativ'!$D$6:$D$405&gt;='Motor_Meciuri'!BP38))&gt;0)*('Istoric_Nativ'!$Q$6:$Q$405&lt;=H455))/AM455)</x:f>
      </x:c>
      <x:c r="S455" s="10" t="str">
        <x:f>IF(M455="","",MAX(O455,P455,Q455,R455))</x:f>
      </x:c>
      <x:c r="T455" s="11" t="str">
        <x:f>IF(M455="","",MIN(100,S455*100*'Config_v6'!$B$44+MIN(100,L455/'Config_v6'!$B$13*100)*'Config_v6'!$B$45+(100-'Motor_Meciuri'!BF38)*'Config_v6'!$B$46+'Motor_Meciuri'!BH38*100*'Config_v6'!$B$47))</x:f>
      </x:c>
      <x:c r="U455" s="2" t="str">
        <x:f>IF(T455="","",IF(T455&lt;=20,1,IF(T455&lt;=40,2,IF(T455&lt;=60,3,IF(T455&lt;=80,4,5)))))</x:f>
      </x:c>
      <x:c r="V455" s="2" t="str">
        <x:f>IF(M455="","",MAX(0,'Motor_Meciuri'!BF38-IF(W455="OOS PENDING",'Config_v6'!$B$35,0)-IF(L455&gt;'Config_v6'!$B$12,'Config_v6'!$B$37,IF(L455&gt;'Config_v6'!$B$11,'Config_v6'!$B$36,0))))</x:f>
      </x:c>
      <x:c r="W455" s="2" t="str">
        <x:f>IF(B455="","",IF(I455&lt;&gt;"READY","NOT RELEASED",IF(NOT(AND(J455="PASS",'Calibrare_Linii'!U7="VALID")),"INVALID",IF(NOT(AND('Calibrare_Linii'!S7="VALIDATED",AND('Calibrare_Linii'!H7=C455,ISNUMBER('Calibrare_Linii'!J7),'Calibrare_Linii'!J7&lt;='Input_Meci'!G38))),"OOS PENDING",IF(S455&lt;='Calibrare_Linii'!E7,"PASS",IF(S455&lt;='Calibrare_Linii'!F7,"PENALTY","WATCH"))))))</x:f>
      </x:c>
      <x:c r="X455" s="2" t="str">
        <x:f>IF(M455="","",IF(AND(AND(J455="PASS",'Calibrare_Linii'!U7="VALID"),'Motor_Meciuri'!K38=12,'Motor_Meciuri'!L38=12,'Motor_Meciuri'!M38="NO",'Motor_Meciuri'!BL38='Motor_Meciuri'!C38,AB455&gt;='Config_v6'!$B$50,AN455&gt;='Config_v6'!$B$51,T455&lt;='Config_v6'!$B$52,L455&lt;='Config_v6'!$B$53,ISNUMBER('Calibrare_Linii'!E7),S455&lt;='Calibrare_Linii'!E7,SUM(AK455:AM455)&gt;0),"CANDIDATE","NO"))</x:f>
      </x:c>
      <x:c r="Y455" s="2" t="str">
        <x:f>IF(B455="","",IF(I455&lt;&gt;"READY","NOT RELEASED",IF(AND(X455="CANDIDATE",V455&gt;='Config_v6'!$B$51,W455="PASS",'Calibrare_Linii'!T7="VALIDATED",AND('Calibrare_Linii'!H7=C455,ISNUMBER('Calibrare_Linii'!J7),'Calibrare_Linii'!J7&lt;='Input_Meci'!G38)),"PASS",IF(X455="CANDIDATE","OOS PENDING","FAIL"))))</x:f>
      </x:c>
      <x:c r="Z455" s="2" t="str">
        <x:f>IF(B455="","",IF(I455&lt;&gt;"READY","",IF(OR(NOT(AND(J455="PASS",'Calibrare_Linii'!U7="VALID")),L455&gt;'Config_v6'!$B$13,W455="WATCH"),5,IF(Y455="PASS",1,MIN(5,MAX('Config_v6'!$B$42,U455)+IF(W455="PENALTY",1,0))))))</x:f>
      </x:c>
      <x:c r="AA455" s="2" t="str">
        <x:f>IF(B455="","",IF(I455&lt;&gt;"READY","NOT RELEASED",IF(Z455=5,"NO BET",IF(OR(AB455&lt;'Config_v6'!$B$16,V455&lt;'Config_v6'!$B$18),"WATCH",IF(Z455=1,"DEFENSIV",IF(Z455=2,"PRUDENT",IF(Z455=3,"MODERAT","RIDICAT")))))))</x:f>
      </x:c>
      <x:c r="AB455" s="10" t="str">
        <x:f>IF(N455="","",MIN(N455,1-S455))</x:f>
      </x:c>
      <x:c r="AC455" s="2" t="str">
        <x:f>IF(AD455&lt;&gt;1,"",COUNTIFS($Z$454:$Z$467,"&lt;"&amp;Z455,$AD$454:$AD$467,1)+COUNTIFS($Z$454:$Z$467,Z455,$AB$454:$AB$467,"&gt;"&amp;AB455,$AD$454:$AD$467,1)+COUNTIFS($Z$454:$Z$467,Z455,$AB$454:$AB$467,AB455,$V$454:$V$467,"&gt;"&amp;V455,$AD$454:$AD$467,1)+COUNTIFS($Z$454:Z455,Z455,$AB$454:AB455,AB455,$V$454:V455,V455,$AD$454:AD455,1))</x:f>
      </x:c>
      <x:c r="AD455" s="2" t="n">
        <x:f>IF(OR(AA455="DEFENSIV",AA455="PRUDENT",AA455="MODERAT",AA455="RIDICAT"),1,0)</x:f>
        <x:v>0</x:v>
      </x:c>
      <x:c r="AE455" s="2" t="str">
        <x:f>IF(AD455&lt;&gt;1,"NO",IF(W455="PASS","YES",IF(W455="OOS PENDING","CONDITIONAL","NO")))</x:f>
        <x:v>NO</x:v>
      </x:c>
      <x:c r="AF455" s="2" t="n">
        <x:f>IF(AND(AD455=1,AC455=1,E455="LIVE"),1,0)</x:f>
        <x:v>0</x:v>
      </x:c>
      <x:c r="AG455" s="2" t="str">
        <x:f>IF(AF455&lt;&gt;1,"",'Dashboard'!P58)</x:f>
      </x:c>
      <x:c r="AH455" s="2" t="str">
        <x:f>IF(B455="","",IF(J455&lt;&gt;"PASS",'Motor_Meciuri'!J38,IF('Calibrare_Linii'!U7&lt;&gt;"VALID","Parametri linie invalizi",IF(L455&gt;'Config_v6'!$B$13,"Dispersie peste limita",IF(W455="WATCH","Failure peste limita",IF(AB455&lt;'Config_v6'!$B$16,"P finala sub prag",IF(V455&lt;'Config_v6'!$B$18,"Confidence sub prag",IF(E455="REPLAY","Exemplu retrospectiv; exclus din Top LIVE",IF(Y455="PASS","DEFENSIV validat",IF(W455="OOS PENDING","Eligibil; calibrare linie in monitorizare","Eligibil"))))))))))</x:f>
      </x:c>
      <x:c r="AI455" s="2" t="str">
        <x:f>IF(B455="","",'Calibrare_Linii'!V7)</x:f>
      </x:c>
      <x:c r="AJ455" s="2" t="str">
        <x:f>IF(B455="","",IF(AND('Calibrare_Linii'!T7="VALIDATED",AND('Calibrare_Linii'!H7=C455,ISNUMBER('Calibrare_Linii'!J7),'Calibrare_Linii'!J7&lt;='Input_Meci'!G38)),"DEFENSIVE VALIDATED",IF(AND('Calibrare_Linii'!S7="VALIDATED",AND('Calibrare_Linii'!H7=C455,ISNUMBER('Calibrare_Linii'!J7),'Calibrare_Linii'!J7&lt;='Input_Meci'!G38)),"TAIL VALIDATED","OOS PENDING")))</x:f>
      </x:c>
      <x:c r="AK455" s="2" t="n">
        <x:f>IF(J455&lt;&gt;"PASS",0,'Motor_Meciuri'!BR38)</x:f>
        <x:v>0</x:v>
      </x:c>
      <x:c r="AL455" s="2" t="n">
        <x:f>IF(J455&lt;&gt;"PASS",0,'Motor_Meciuri'!BS38)</x:f>
        <x:v>0</x:v>
      </x:c>
      <x:c r="AM455" s="2" t="n">
        <x:f>IF(J455&lt;&gt;"PASS",0,'Motor_Meciuri'!BT38)</x:f>
        <x:v>0</x:v>
      </x:c>
      <x:c r="AN455" s="2" t="str">
        <x:f>IF(M455="","",MAX(0,'Motor_Meciuri'!BF38-IF(L455&gt;'Config_v6'!$B$12,'Config_v6'!$B$37,IF(L455&gt;'Config_v6'!$B$11,'Config_v6'!$B$36,0))))</x:f>
      </x:c>
    </x:row>
    <x:row r="456" ht="21" customHeight="1">
      <x:c r="A456" s="2" t="n">
        <x:v>33</x:v>
      </x:c>
      <x:c r="B456" s="2" t="str">
        <x:f>IF('Motor_Meciuri'!A38="","",'Motor_Meciuri'!A38)</x:f>
      </x:c>
      <x:c r="C456" s="2" t="str">
        <x:f>IF(B456="","",'Motor_Meciuri'!B38)</x:f>
      </x:c>
      <x:c r="D456" s="2" t="str">
        <x:f>IF(B456="","",'Motor_Meciuri'!D38)</x:f>
      </x:c>
      <x:c r="E456" s="2" t="str">
        <x:f>IF(B456="","",'Motor_Meciuri'!E38)</x:f>
      </x:c>
      <x:c r="F456" s="2" t="str">
        <x:v>O5,5</x:v>
      </x:c>
      <x:c r="G456" s="2" t="str">
        <x:v>OVER</x:v>
      </x:c>
      <x:c r="H456" s="2" t="n">
        <x:v>5</x:v>
      </x:c>
      <x:c r="I456" s="2" t="str">
        <x:f>IF(B456="","",'Motor_Meciuri'!H38)</x:f>
      </x:c>
      <x:c r="J456" s="2" t="str">
        <x:f>IF(B456="","",'Motor_Meciuri'!I38)</x:f>
      </x:c>
      <x:c r="K456" s="11" t="str">
        <x:f>IF(J456&lt;&gt;"PASS","",'Motor_Meciuri'!BD38)</x:f>
      </x:c>
      <x:c r="L456" s="11" t="str">
        <x:f>IF(J456&lt;&gt;"PASS","",'Motor_Meciuri'!AU38)</x:f>
      </x:c>
      <x:c r="M456" s="10" t="str">
        <x:f>IF(NOT(AND(J456="PASS",'Calibrare_Linii'!U8="VALID")),"",1-'Distributie'!AC38)</x:f>
      </x:c>
      <x:c r="N456" s="10" t="str">
        <x:f>IF(M456="","",MAX(0.01,MIN(0.99,0.5+(M456-0.5)*'Motor_Meciuri'!BG38*'Calibrare_Linii'!D8)))</x:f>
      </x:c>
      <x:c r="O456" s="10" t="str">
        <x:f>IF(M456="","",1-M456)</x:f>
      </x:c>
      <x:c r="P456" s="10" t="str">
        <x:f>IF(OR(NOT(AND(J456="PASS",'Calibrare_Linii'!U8="VALID")),AK456=0),""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*('Istoric_Nativ'!$Q$6:$Q$405&lt;=H456))/AK456)</x:f>
      </x:c>
      <x:c r="Q456" s="10" t="str">
        <x:f>IF(OR(NOT(AND(J456="PASS",'Calibrare_Linii'!U8="VALID")),AL456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M38)+((('Istoric_Nativ'!$E$6:$E$405='Input_Meci'!E38)+('Istoric_Nativ'!$F$6:$F$405='Input_Meci'!E38))&gt;0)*('Istoric_Nativ'!$D$6:$D$405&gt;='Motor_Meciuri'!BN38))&gt;0)*('Istoric_Nativ'!$Q$6:$Q$405&lt;=H456))/AL456)</x:f>
      </x:c>
      <x:c r="R456" s="10" t="str">
        <x:f>IF(OR(NOT(AND(J456="PASS",'Calibrare_Linii'!U8="VALID")),AM456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O38)+((('Istoric_Nativ'!$E$6:$E$405='Input_Meci'!E38)+('Istoric_Nativ'!$F$6:$F$405='Input_Meci'!E38))&gt;0)*('Istoric_Nativ'!$D$6:$D$405&gt;='Motor_Meciuri'!BP38))&gt;0)*('Istoric_Nativ'!$Q$6:$Q$405&lt;=H456))/AM456)</x:f>
      </x:c>
      <x:c r="S456" s="10" t="str">
        <x:f>IF(M456="","",MAX(O456,P456,Q456,R456))</x:f>
      </x:c>
      <x:c r="T456" s="11" t="str">
        <x:f>IF(M456="","",MIN(100,S456*100*'Config_v6'!$B$44+MIN(100,L456/'Config_v6'!$B$13*100)*'Config_v6'!$B$45+(100-'Motor_Meciuri'!BF38)*'Config_v6'!$B$46+'Motor_Meciuri'!BH38*100*'Config_v6'!$B$47))</x:f>
      </x:c>
      <x:c r="U456" s="2" t="str">
        <x:f>IF(T456="","",IF(T456&lt;=20,1,IF(T456&lt;=40,2,IF(T456&lt;=60,3,IF(T456&lt;=80,4,5)))))</x:f>
      </x:c>
      <x:c r="V456" s="2" t="str">
        <x:f>IF(M456="","",MAX(0,'Motor_Meciuri'!BF38-IF(W456="OOS PENDING",'Config_v6'!$B$35,0)-IF(L456&gt;'Config_v6'!$B$12,'Config_v6'!$B$37,IF(L456&gt;'Config_v6'!$B$11,'Config_v6'!$B$36,0))))</x:f>
      </x:c>
      <x:c r="W456" s="2" t="str">
        <x:f>IF(B456="","",IF(I456&lt;&gt;"READY","NOT RELEASED",IF(NOT(AND(J456="PASS",'Calibrare_Linii'!U8="VALID")),"INVALID",IF(NOT(AND('Calibrare_Linii'!S8="VALIDATED",AND('Calibrare_Linii'!H8=C456,ISNUMBER('Calibrare_Linii'!J8),'Calibrare_Linii'!J8&lt;='Input_Meci'!G38))),"OOS PENDING",IF(S456&lt;='Calibrare_Linii'!E8,"PASS",IF(S456&lt;='Calibrare_Linii'!F8,"PENALTY","WATCH"))))))</x:f>
      </x:c>
      <x:c r="X456" s="2" t="str">
        <x:f>IF(M456="","",IF(AND(AND(J456="PASS",'Calibrare_Linii'!U8="VALID"),'Motor_Meciuri'!K38=12,'Motor_Meciuri'!L38=12,'Motor_Meciuri'!M38="NO",'Motor_Meciuri'!BL38='Motor_Meciuri'!C38,AB456&gt;='Config_v6'!$B$50,AN456&gt;='Config_v6'!$B$51,T456&lt;='Config_v6'!$B$52,L456&lt;='Config_v6'!$B$53,ISNUMBER('Calibrare_Linii'!E8),S456&lt;='Calibrare_Linii'!E8,SUM(AK456:AM456)&gt;0),"CANDIDATE","NO"))</x:f>
      </x:c>
      <x:c r="Y456" s="2" t="str">
        <x:f>IF(B456="","",IF(I456&lt;&gt;"READY","NOT RELEASED",IF(AND(X456="CANDIDATE",V456&gt;='Config_v6'!$B$51,W456="PASS",'Calibrare_Linii'!T8="VALIDATED",AND('Calibrare_Linii'!H8=C456,ISNUMBER('Calibrare_Linii'!J8),'Calibrare_Linii'!J8&lt;='Input_Meci'!G38)),"PASS",IF(X456="CANDIDATE","OOS PENDING","FAIL"))))</x:f>
      </x:c>
      <x:c r="Z456" s="2" t="str">
        <x:f>IF(B456="","",IF(I456&lt;&gt;"READY","",IF(OR(NOT(AND(J456="PASS",'Calibrare_Linii'!U8="VALID")),L456&gt;'Config_v6'!$B$13,W456="WATCH"),5,IF(Y456="PASS",1,MIN(5,MAX('Config_v6'!$B$42,U456)+IF(W456="PENALTY",1,0))))))</x:f>
      </x:c>
      <x:c r="AA456" s="2" t="str">
        <x:f>IF(B456="","",IF(I456&lt;&gt;"READY","NOT RELEASED",IF(Z456=5,"NO BET",IF(OR(AB456&lt;'Config_v6'!$B$16,V456&lt;'Config_v6'!$B$18),"WATCH",IF(Z456=1,"DEFENSIV",IF(Z456=2,"PRUDENT",IF(Z456=3,"MODERAT","RIDICAT")))))))</x:f>
      </x:c>
      <x:c r="AB456" s="10" t="str">
        <x:f>IF(N456="","",MIN(N456,1-S456))</x:f>
      </x:c>
      <x:c r="AC456" s="2" t="str">
        <x:f>IF(AD456&lt;&gt;1,"",COUNTIFS($Z$454:$Z$467,"&lt;"&amp;Z456,$AD$454:$AD$467,1)+COUNTIFS($Z$454:$Z$467,Z456,$AB$454:$AB$467,"&gt;"&amp;AB456,$AD$454:$AD$467,1)+COUNTIFS($Z$454:$Z$467,Z456,$AB$454:$AB$467,AB456,$V$454:$V$467,"&gt;"&amp;V456,$AD$454:$AD$467,1)+COUNTIFS($Z$454:Z456,Z456,$AB$454:AB456,AB456,$V$454:V456,V456,$AD$454:AD456,1))</x:f>
      </x:c>
      <x:c r="AD456" s="2" t="n">
        <x:f>IF(OR(AA456="DEFENSIV",AA456="PRUDENT",AA456="MODERAT",AA456="RIDICAT"),1,0)</x:f>
        <x:v>0</x:v>
      </x:c>
      <x:c r="AE456" s="2" t="str">
        <x:f>IF(AD456&lt;&gt;1,"NO",IF(W456="PASS","YES",IF(W456="OOS PENDING","CONDITIONAL","NO")))</x:f>
        <x:v>NO</x:v>
      </x:c>
      <x:c r="AF456" s="2" t="n">
        <x:f>IF(AND(AD456=1,AC456=1,E456="LIVE"),1,0)</x:f>
        <x:v>0</x:v>
      </x:c>
      <x:c r="AG456" s="2" t="str">
        <x:f>IF(AF456&lt;&gt;1,"",'Dashboard'!P58)</x:f>
      </x:c>
      <x:c r="AH456" s="2" t="str">
        <x:f>IF(B456="","",IF(J456&lt;&gt;"PASS",'Motor_Meciuri'!J38,IF('Calibrare_Linii'!U8&lt;&gt;"VALID","Parametri linie invalizi",IF(L456&gt;'Config_v6'!$B$13,"Dispersie peste limita",IF(W456="WATCH","Failure peste limita",IF(AB456&lt;'Config_v6'!$B$16,"P finala sub prag",IF(V456&lt;'Config_v6'!$B$18,"Confidence sub prag",IF(E456="REPLAY","Exemplu retrospectiv; exclus din Top LIVE",IF(Y456="PASS","DEFENSIV validat",IF(W456="OOS PENDING","Eligibil; calibrare linie in monitorizare","Eligibil"))))))))))</x:f>
      </x:c>
      <x:c r="AI456" s="2" t="str">
        <x:f>IF(B456="","",'Calibrare_Linii'!V8)</x:f>
      </x:c>
      <x:c r="AJ456" s="2" t="str">
        <x:f>IF(B456="","",IF(AND('Calibrare_Linii'!T8="VALIDATED",AND('Calibrare_Linii'!H8=C456,ISNUMBER('Calibrare_Linii'!J8),'Calibrare_Linii'!J8&lt;='Input_Meci'!G38)),"DEFENSIVE VALIDATED",IF(AND('Calibrare_Linii'!S8="VALIDATED",AND('Calibrare_Linii'!H8=C456,ISNUMBER('Calibrare_Linii'!J8),'Calibrare_Linii'!J8&lt;='Input_Meci'!G38)),"TAIL VALIDATED","OOS PENDING")))</x:f>
      </x:c>
      <x:c r="AK456" s="2" t="n">
        <x:f>IF(J456&lt;&gt;"PASS",0,'Motor_Meciuri'!BR38)</x:f>
        <x:v>0</x:v>
      </x:c>
      <x:c r="AL456" s="2" t="n">
        <x:f>IF(J456&lt;&gt;"PASS",0,'Motor_Meciuri'!BS38)</x:f>
        <x:v>0</x:v>
      </x:c>
      <x:c r="AM456" s="2" t="n">
        <x:f>IF(J456&lt;&gt;"PASS",0,'Motor_Meciuri'!BT38)</x:f>
        <x:v>0</x:v>
      </x:c>
      <x:c r="AN456" s="2" t="str">
        <x:f>IF(M456="","",MAX(0,'Motor_Meciuri'!BF38-IF(L456&gt;'Config_v6'!$B$12,'Config_v6'!$B$37,IF(L456&gt;'Config_v6'!$B$11,'Config_v6'!$B$36,0))))</x:f>
      </x:c>
    </x:row>
    <x:row r="457" ht="21" customHeight="1">
      <x:c r="A457" s="2" t="n">
        <x:v>33</x:v>
      </x:c>
      <x:c r="B457" s="2" t="str">
        <x:f>IF('Motor_Meciuri'!A38="","",'Motor_Meciuri'!A38)</x:f>
      </x:c>
      <x:c r="C457" s="2" t="str">
        <x:f>IF(B457="","",'Motor_Meciuri'!B38)</x:f>
      </x:c>
      <x:c r="D457" s="2" t="str">
        <x:f>IF(B457="","",'Motor_Meciuri'!D38)</x:f>
      </x:c>
      <x:c r="E457" s="2" t="str">
        <x:f>IF(B457="","",'Motor_Meciuri'!E38)</x:f>
      </x:c>
      <x:c r="F457" s="2" t="str">
        <x:v>O6,5</x:v>
      </x:c>
      <x:c r="G457" s="2" t="str">
        <x:v>OVER</x:v>
      </x:c>
      <x:c r="H457" s="2" t="n">
        <x:v>6</x:v>
      </x:c>
      <x:c r="I457" s="2" t="str">
        <x:f>IF(B457="","",'Motor_Meciuri'!H38)</x:f>
      </x:c>
      <x:c r="J457" s="2" t="str">
        <x:f>IF(B457="","",'Motor_Meciuri'!I38)</x:f>
      </x:c>
      <x:c r="K457" s="11" t="str">
        <x:f>IF(J457&lt;&gt;"PASS","",'Motor_Meciuri'!BD38)</x:f>
      </x:c>
      <x:c r="L457" s="11" t="str">
        <x:f>IF(J457&lt;&gt;"PASS","",'Motor_Meciuri'!AU38)</x:f>
      </x:c>
      <x:c r="M457" s="10" t="str">
        <x:f>IF(NOT(AND(J457="PASS",'Calibrare_Linii'!U9="VALID")),"",1-'Distributie'!AD38)</x:f>
      </x:c>
      <x:c r="N457" s="10" t="str">
        <x:f>IF(M457="","",MAX(0.01,MIN(0.99,0.5+(M457-0.5)*'Motor_Meciuri'!BG38*'Calibrare_Linii'!D9)))</x:f>
      </x:c>
      <x:c r="O457" s="10" t="str">
        <x:f>IF(M457="","",1-M457)</x:f>
      </x:c>
      <x:c r="P457" s="10" t="str">
        <x:f>IF(OR(NOT(AND(J457="PASS",'Calibrare_Linii'!U9="VALID")),AK457=0),""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*('Istoric_Nativ'!$Q$6:$Q$405&lt;=H457))/AK457)</x:f>
      </x:c>
      <x:c r="Q457" s="10" t="str">
        <x:f>IF(OR(NOT(AND(J457="PASS",'Calibrare_Linii'!U9="VALID")),AL457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M38)+((('Istoric_Nativ'!$E$6:$E$405='Input_Meci'!E38)+('Istoric_Nativ'!$F$6:$F$405='Input_Meci'!E38))&gt;0)*('Istoric_Nativ'!$D$6:$D$405&gt;='Motor_Meciuri'!BN38))&gt;0)*('Istoric_Nativ'!$Q$6:$Q$405&lt;=H457))/AL457)</x:f>
      </x:c>
      <x:c r="R457" s="10" t="str">
        <x:f>IF(OR(NOT(AND(J457="PASS",'Calibrare_Linii'!U9="VALID")),AM457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O38)+((('Istoric_Nativ'!$E$6:$E$405='Input_Meci'!E38)+('Istoric_Nativ'!$F$6:$F$405='Input_Meci'!E38))&gt;0)*('Istoric_Nativ'!$D$6:$D$405&gt;='Motor_Meciuri'!BP38))&gt;0)*('Istoric_Nativ'!$Q$6:$Q$405&lt;=H457))/AM457)</x:f>
      </x:c>
      <x:c r="S457" s="10" t="str">
        <x:f>IF(M457="","",MAX(O457,P457,Q457,R457))</x:f>
      </x:c>
      <x:c r="T457" s="11" t="str">
        <x:f>IF(M457="","",MIN(100,S457*100*'Config_v6'!$B$44+MIN(100,L457/'Config_v6'!$B$13*100)*'Config_v6'!$B$45+(100-'Motor_Meciuri'!BF38)*'Config_v6'!$B$46+'Motor_Meciuri'!BH38*100*'Config_v6'!$B$47))</x:f>
      </x:c>
      <x:c r="U457" s="2" t="str">
        <x:f>IF(T457="","",IF(T457&lt;=20,1,IF(T457&lt;=40,2,IF(T457&lt;=60,3,IF(T457&lt;=80,4,5)))))</x:f>
      </x:c>
      <x:c r="V457" s="2" t="str">
        <x:f>IF(M457="","",MAX(0,'Motor_Meciuri'!BF38-IF(W457="OOS PENDING",'Config_v6'!$B$35,0)-IF(L457&gt;'Config_v6'!$B$12,'Config_v6'!$B$37,IF(L457&gt;'Config_v6'!$B$11,'Config_v6'!$B$36,0))))</x:f>
      </x:c>
      <x:c r="W457" s="2" t="str">
        <x:f>IF(B457="","",IF(I457&lt;&gt;"READY","NOT RELEASED",IF(NOT(AND(J457="PASS",'Calibrare_Linii'!U9="VALID")),"INVALID",IF(NOT(AND('Calibrare_Linii'!S9="VALIDATED",AND('Calibrare_Linii'!H9=C457,ISNUMBER('Calibrare_Linii'!J9),'Calibrare_Linii'!J9&lt;='Input_Meci'!G38))),"OOS PENDING",IF(S457&lt;='Calibrare_Linii'!E9,"PASS",IF(S457&lt;='Calibrare_Linii'!F9,"PENALTY","WATCH"))))))</x:f>
      </x:c>
      <x:c r="X457" s="2" t="str">
        <x:f>IF(M457="","",IF(AND(AND(J457="PASS",'Calibrare_Linii'!U9="VALID"),'Motor_Meciuri'!K38=12,'Motor_Meciuri'!L38=12,'Motor_Meciuri'!M38="NO",'Motor_Meciuri'!BL38='Motor_Meciuri'!C38,AB457&gt;='Config_v6'!$B$50,AN457&gt;='Config_v6'!$B$51,T457&lt;='Config_v6'!$B$52,L457&lt;='Config_v6'!$B$53,ISNUMBER('Calibrare_Linii'!E9),S457&lt;='Calibrare_Linii'!E9,SUM(AK457:AM457)&gt;0),"CANDIDATE","NO"))</x:f>
      </x:c>
      <x:c r="Y457" s="2" t="str">
        <x:f>IF(B457="","",IF(I457&lt;&gt;"READY","NOT RELEASED",IF(AND(X457="CANDIDATE",V457&gt;='Config_v6'!$B$51,W457="PASS",'Calibrare_Linii'!T9="VALIDATED",AND('Calibrare_Linii'!H9=C457,ISNUMBER('Calibrare_Linii'!J9),'Calibrare_Linii'!J9&lt;='Input_Meci'!G38)),"PASS",IF(X457="CANDIDATE","OOS PENDING","FAIL"))))</x:f>
      </x:c>
      <x:c r="Z457" s="2" t="str">
        <x:f>IF(B457="","",IF(I457&lt;&gt;"READY","",IF(OR(NOT(AND(J457="PASS",'Calibrare_Linii'!U9="VALID")),L457&gt;'Config_v6'!$B$13,W457="WATCH"),5,IF(Y457="PASS",1,MIN(5,MAX('Config_v6'!$B$42,U457)+IF(W457="PENALTY",1,0))))))</x:f>
      </x:c>
      <x:c r="AA457" s="2" t="str">
        <x:f>IF(B457="","",IF(I457&lt;&gt;"READY","NOT RELEASED",IF(Z457=5,"NO BET",IF(OR(AB457&lt;'Config_v6'!$B$16,V457&lt;'Config_v6'!$B$18),"WATCH",IF(Z457=1,"DEFENSIV",IF(Z457=2,"PRUDENT",IF(Z457=3,"MODERAT","RIDICAT")))))))</x:f>
      </x:c>
      <x:c r="AB457" s="10" t="str">
        <x:f>IF(N457="","",MIN(N457,1-S457))</x:f>
      </x:c>
      <x:c r="AC457" s="2" t="str">
        <x:f>IF(AD457&lt;&gt;1,"",COUNTIFS($Z$454:$Z$467,"&lt;"&amp;Z457,$AD$454:$AD$467,1)+COUNTIFS($Z$454:$Z$467,Z457,$AB$454:$AB$467,"&gt;"&amp;AB457,$AD$454:$AD$467,1)+COUNTIFS($Z$454:$Z$467,Z457,$AB$454:$AB$467,AB457,$V$454:$V$467,"&gt;"&amp;V457,$AD$454:$AD$467,1)+COUNTIFS($Z$454:Z457,Z457,$AB$454:AB457,AB457,$V$454:V457,V457,$AD$454:AD457,1))</x:f>
      </x:c>
      <x:c r="AD457" s="2" t="n">
        <x:f>IF(OR(AA457="DEFENSIV",AA457="PRUDENT",AA457="MODERAT",AA457="RIDICAT"),1,0)</x:f>
        <x:v>0</x:v>
      </x:c>
      <x:c r="AE457" s="2" t="str">
        <x:f>IF(AD457&lt;&gt;1,"NO",IF(W457="PASS","YES",IF(W457="OOS PENDING","CONDITIONAL","NO")))</x:f>
        <x:v>NO</x:v>
      </x:c>
      <x:c r="AF457" s="2" t="n">
        <x:f>IF(AND(AD457=1,AC457=1,E457="LIVE"),1,0)</x:f>
        <x:v>0</x:v>
      </x:c>
      <x:c r="AG457" s="2" t="str">
        <x:f>IF(AF457&lt;&gt;1,"",'Dashboard'!P58)</x:f>
      </x:c>
      <x:c r="AH457" s="2" t="str">
        <x:f>IF(B457="","",IF(J457&lt;&gt;"PASS",'Motor_Meciuri'!J38,IF('Calibrare_Linii'!U9&lt;&gt;"VALID","Parametri linie invalizi",IF(L457&gt;'Config_v6'!$B$13,"Dispersie peste limita",IF(W457="WATCH","Failure peste limita",IF(AB457&lt;'Config_v6'!$B$16,"P finala sub prag",IF(V457&lt;'Config_v6'!$B$18,"Confidence sub prag",IF(E457="REPLAY","Exemplu retrospectiv; exclus din Top LIVE",IF(Y457="PASS","DEFENSIV validat",IF(W457="OOS PENDING","Eligibil; calibrare linie in monitorizare","Eligibil"))))))))))</x:f>
      </x:c>
      <x:c r="AI457" s="2" t="str">
        <x:f>IF(B457="","",'Calibrare_Linii'!V9)</x:f>
      </x:c>
      <x:c r="AJ457" s="2" t="str">
        <x:f>IF(B457="","",IF(AND('Calibrare_Linii'!T9="VALIDATED",AND('Calibrare_Linii'!H9=C457,ISNUMBER('Calibrare_Linii'!J9),'Calibrare_Linii'!J9&lt;='Input_Meci'!G38)),"DEFENSIVE VALIDATED",IF(AND('Calibrare_Linii'!S9="VALIDATED",AND('Calibrare_Linii'!H9=C457,ISNUMBER('Calibrare_Linii'!J9),'Calibrare_Linii'!J9&lt;='Input_Meci'!G38)),"TAIL VALIDATED","OOS PENDING")))</x:f>
      </x:c>
      <x:c r="AK457" s="2" t="n">
        <x:f>IF(J457&lt;&gt;"PASS",0,'Motor_Meciuri'!BR38)</x:f>
        <x:v>0</x:v>
      </x:c>
      <x:c r="AL457" s="2" t="n">
        <x:f>IF(J457&lt;&gt;"PASS",0,'Motor_Meciuri'!BS38)</x:f>
        <x:v>0</x:v>
      </x:c>
      <x:c r="AM457" s="2" t="n">
        <x:f>IF(J457&lt;&gt;"PASS",0,'Motor_Meciuri'!BT38)</x:f>
        <x:v>0</x:v>
      </x:c>
      <x:c r="AN457" s="2" t="str">
        <x:f>IF(M457="","",MAX(0,'Motor_Meciuri'!BF38-IF(L457&gt;'Config_v6'!$B$12,'Config_v6'!$B$37,IF(L457&gt;'Config_v6'!$B$11,'Config_v6'!$B$36,0))))</x:f>
      </x:c>
    </x:row>
    <x:row r="458" ht="21" customHeight="1">
      <x:c r="A458" s="2" t="n">
        <x:v>33</x:v>
      </x:c>
      <x:c r="B458" s="2" t="str">
        <x:f>IF('Motor_Meciuri'!A38="","",'Motor_Meciuri'!A38)</x:f>
      </x:c>
      <x:c r="C458" s="2" t="str">
        <x:f>IF(B458="","",'Motor_Meciuri'!B38)</x:f>
      </x:c>
      <x:c r="D458" s="2" t="str">
        <x:f>IF(B458="","",'Motor_Meciuri'!D38)</x:f>
      </x:c>
      <x:c r="E458" s="2" t="str">
        <x:f>IF(B458="","",'Motor_Meciuri'!E38)</x:f>
      </x:c>
      <x:c r="F458" s="2" t="str">
        <x:v>O7,5</x:v>
      </x:c>
      <x:c r="G458" s="2" t="str">
        <x:v>OVER</x:v>
      </x:c>
      <x:c r="H458" s="2" t="n">
        <x:v>7</x:v>
      </x:c>
      <x:c r="I458" s="2" t="str">
        <x:f>IF(B458="","",'Motor_Meciuri'!H38)</x:f>
      </x:c>
      <x:c r="J458" s="2" t="str">
        <x:f>IF(B458="","",'Motor_Meciuri'!I38)</x:f>
      </x:c>
      <x:c r="K458" s="11" t="str">
        <x:f>IF(J458&lt;&gt;"PASS","",'Motor_Meciuri'!BD38)</x:f>
      </x:c>
      <x:c r="L458" s="11" t="str">
        <x:f>IF(J458&lt;&gt;"PASS","",'Motor_Meciuri'!AU38)</x:f>
      </x:c>
      <x:c r="M458" s="10" t="str">
        <x:f>IF(NOT(AND(J458="PASS",'Calibrare_Linii'!U10="VALID")),"",1-'Distributie'!AE38)</x:f>
      </x:c>
      <x:c r="N458" s="10" t="str">
        <x:f>IF(M458="","",MAX(0.01,MIN(0.99,0.5+(M458-0.5)*'Motor_Meciuri'!BG38*'Calibrare_Linii'!D10)))</x:f>
      </x:c>
      <x:c r="O458" s="10" t="str">
        <x:f>IF(M458="","",1-M458)</x:f>
      </x:c>
      <x:c r="P458" s="10" t="str">
        <x:f>IF(OR(NOT(AND(J458="PASS",'Calibrare_Linii'!U10="VALID")),AK458=0),""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*('Istoric_Nativ'!$Q$6:$Q$405&lt;=H458))/AK458)</x:f>
      </x:c>
      <x:c r="Q458" s="10" t="str">
        <x:f>IF(OR(NOT(AND(J458="PASS",'Calibrare_Linii'!U10="VALID")),AL458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M38)+((('Istoric_Nativ'!$E$6:$E$405='Input_Meci'!E38)+('Istoric_Nativ'!$F$6:$F$405='Input_Meci'!E38))&gt;0)*('Istoric_Nativ'!$D$6:$D$405&gt;='Motor_Meciuri'!BN38))&gt;0)*('Istoric_Nativ'!$Q$6:$Q$405&lt;=H458))/AL458)</x:f>
      </x:c>
      <x:c r="R458" s="10" t="str">
        <x:f>IF(OR(NOT(AND(J458="PASS",'Calibrare_Linii'!U10="VALID")),AM458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O38)+((('Istoric_Nativ'!$E$6:$E$405='Input_Meci'!E38)+('Istoric_Nativ'!$F$6:$F$405='Input_Meci'!E38))&gt;0)*('Istoric_Nativ'!$D$6:$D$405&gt;='Motor_Meciuri'!BP38))&gt;0)*('Istoric_Nativ'!$Q$6:$Q$405&lt;=H458))/AM458)</x:f>
      </x:c>
      <x:c r="S458" s="10" t="str">
        <x:f>IF(M458="","",MAX(O458,P458,Q458,R458))</x:f>
      </x:c>
      <x:c r="T458" s="11" t="str">
        <x:f>IF(M458="","",MIN(100,S458*100*'Config_v6'!$B$44+MIN(100,L458/'Config_v6'!$B$13*100)*'Config_v6'!$B$45+(100-'Motor_Meciuri'!BF38)*'Config_v6'!$B$46+'Motor_Meciuri'!BH38*100*'Config_v6'!$B$47))</x:f>
      </x:c>
      <x:c r="U458" s="2" t="str">
        <x:f>IF(T458="","",IF(T458&lt;=20,1,IF(T458&lt;=40,2,IF(T458&lt;=60,3,IF(T458&lt;=80,4,5)))))</x:f>
      </x:c>
      <x:c r="V458" s="2" t="str">
        <x:f>IF(M458="","",MAX(0,'Motor_Meciuri'!BF38-IF(W458="OOS PENDING",'Config_v6'!$B$35,0)-IF(L458&gt;'Config_v6'!$B$12,'Config_v6'!$B$37,IF(L458&gt;'Config_v6'!$B$11,'Config_v6'!$B$36,0))))</x:f>
      </x:c>
      <x:c r="W458" s="2" t="str">
        <x:f>IF(B458="","",IF(I458&lt;&gt;"READY","NOT RELEASED",IF(NOT(AND(J458="PASS",'Calibrare_Linii'!U10="VALID")),"INVALID",IF(NOT(AND('Calibrare_Linii'!S10="VALIDATED",AND('Calibrare_Linii'!H10=C458,ISNUMBER('Calibrare_Linii'!J10),'Calibrare_Linii'!J10&lt;='Input_Meci'!G38))),"OOS PENDING",IF(S458&lt;='Calibrare_Linii'!E10,"PASS",IF(S458&lt;='Calibrare_Linii'!F10,"PENALTY","WATCH"))))))</x:f>
      </x:c>
      <x:c r="X458" s="2" t="str">
        <x:f>IF(M458="","",IF(AND(AND(J458="PASS",'Calibrare_Linii'!U10="VALID"),'Motor_Meciuri'!K38=12,'Motor_Meciuri'!L38=12,'Motor_Meciuri'!M38="NO",'Motor_Meciuri'!BL38='Motor_Meciuri'!C38,AB458&gt;='Config_v6'!$B$50,AN458&gt;='Config_v6'!$B$51,T458&lt;='Config_v6'!$B$52,L458&lt;='Config_v6'!$B$53,ISNUMBER('Calibrare_Linii'!E10),S458&lt;='Calibrare_Linii'!E10,SUM(AK458:AM458)&gt;0),"CANDIDATE","NO"))</x:f>
      </x:c>
      <x:c r="Y458" s="2" t="str">
        <x:f>IF(B458="","",IF(I458&lt;&gt;"READY","NOT RELEASED",IF(AND(X458="CANDIDATE",V458&gt;='Config_v6'!$B$51,W458="PASS",'Calibrare_Linii'!T10="VALIDATED",AND('Calibrare_Linii'!H10=C458,ISNUMBER('Calibrare_Linii'!J10),'Calibrare_Linii'!J10&lt;='Input_Meci'!G38)),"PASS",IF(X458="CANDIDATE","OOS PENDING","FAIL"))))</x:f>
      </x:c>
      <x:c r="Z458" s="2" t="str">
        <x:f>IF(B458="","",IF(I458&lt;&gt;"READY","",IF(OR(NOT(AND(J458="PASS",'Calibrare_Linii'!U10="VALID")),L458&gt;'Config_v6'!$B$13,W458="WATCH"),5,IF(Y458="PASS",1,MIN(5,MAX('Config_v6'!$B$42,U458)+IF(W458="PENALTY",1,0))))))</x:f>
      </x:c>
      <x:c r="AA458" s="2" t="str">
        <x:f>IF(B458="","",IF(I458&lt;&gt;"READY","NOT RELEASED",IF(Z458=5,"NO BET",IF(OR(AB458&lt;'Config_v6'!$B$16,V458&lt;'Config_v6'!$B$18),"WATCH",IF(Z458=1,"DEFENSIV",IF(Z458=2,"PRUDENT",IF(Z458=3,"MODERAT","RIDICAT")))))))</x:f>
      </x:c>
      <x:c r="AB458" s="10" t="str">
        <x:f>IF(N458="","",MIN(N458,1-S458))</x:f>
      </x:c>
      <x:c r="AC458" s="2" t="str">
        <x:f>IF(AD458&lt;&gt;1,"",COUNTIFS($Z$454:$Z$467,"&lt;"&amp;Z458,$AD$454:$AD$467,1)+COUNTIFS($Z$454:$Z$467,Z458,$AB$454:$AB$467,"&gt;"&amp;AB458,$AD$454:$AD$467,1)+COUNTIFS($Z$454:$Z$467,Z458,$AB$454:$AB$467,AB458,$V$454:$V$467,"&gt;"&amp;V458,$AD$454:$AD$467,1)+COUNTIFS($Z$454:Z458,Z458,$AB$454:AB458,AB458,$V$454:V458,V458,$AD$454:AD458,1))</x:f>
      </x:c>
      <x:c r="AD458" s="2" t="n">
        <x:f>IF(OR(AA458="DEFENSIV",AA458="PRUDENT",AA458="MODERAT",AA458="RIDICAT"),1,0)</x:f>
        <x:v>0</x:v>
      </x:c>
      <x:c r="AE458" s="2" t="str">
        <x:f>IF(AD458&lt;&gt;1,"NO",IF(W458="PASS","YES",IF(W458="OOS PENDING","CONDITIONAL","NO")))</x:f>
        <x:v>NO</x:v>
      </x:c>
      <x:c r="AF458" s="2" t="n">
        <x:f>IF(AND(AD458=1,AC458=1,E458="LIVE"),1,0)</x:f>
        <x:v>0</x:v>
      </x:c>
      <x:c r="AG458" s="2" t="str">
        <x:f>IF(AF458&lt;&gt;1,"",'Dashboard'!P58)</x:f>
      </x:c>
      <x:c r="AH458" s="2" t="str">
        <x:f>IF(B458="","",IF(J458&lt;&gt;"PASS",'Motor_Meciuri'!J38,IF('Calibrare_Linii'!U10&lt;&gt;"VALID","Parametri linie invalizi",IF(L458&gt;'Config_v6'!$B$13,"Dispersie peste limita",IF(W458="WATCH","Failure peste limita",IF(AB458&lt;'Config_v6'!$B$16,"P finala sub prag",IF(V458&lt;'Config_v6'!$B$18,"Confidence sub prag",IF(E458="REPLAY","Exemplu retrospectiv; exclus din Top LIVE",IF(Y458="PASS","DEFENSIV validat",IF(W458="OOS PENDING","Eligibil; calibrare linie in monitorizare","Eligibil"))))))))))</x:f>
      </x:c>
      <x:c r="AI458" s="2" t="str">
        <x:f>IF(B458="","",'Calibrare_Linii'!V10)</x:f>
      </x:c>
      <x:c r="AJ458" s="2" t="str">
        <x:f>IF(B458="","",IF(AND('Calibrare_Linii'!T10="VALIDATED",AND('Calibrare_Linii'!H10=C458,ISNUMBER('Calibrare_Linii'!J10),'Calibrare_Linii'!J10&lt;='Input_Meci'!G38)),"DEFENSIVE VALIDATED",IF(AND('Calibrare_Linii'!S10="VALIDATED",AND('Calibrare_Linii'!H10=C458,ISNUMBER('Calibrare_Linii'!J10),'Calibrare_Linii'!J10&lt;='Input_Meci'!G38)),"TAIL VALIDATED","OOS PENDING")))</x:f>
      </x:c>
      <x:c r="AK458" s="2" t="n">
        <x:f>IF(J458&lt;&gt;"PASS",0,'Motor_Meciuri'!BR38)</x:f>
        <x:v>0</x:v>
      </x:c>
      <x:c r="AL458" s="2" t="n">
        <x:f>IF(J458&lt;&gt;"PASS",0,'Motor_Meciuri'!BS38)</x:f>
        <x:v>0</x:v>
      </x:c>
      <x:c r="AM458" s="2" t="n">
        <x:f>IF(J458&lt;&gt;"PASS",0,'Motor_Meciuri'!BT38)</x:f>
        <x:v>0</x:v>
      </x:c>
      <x:c r="AN458" s="2" t="str">
        <x:f>IF(M458="","",MAX(0,'Motor_Meciuri'!BF38-IF(L458&gt;'Config_v6'!$B$12,'Config_v6'!$B$37,IF(L458&gt;'Config_v6'!$B$11,'Config_v6'!$B$36,0))))</x:f>
      </x:c>
    </x:row>
    <x:row r="459" ht="21" customHeight="1">
      <x:c r="A459" s="2" t="n">
        <x:v>33</x:v>
      </x:c>
      <x:c r="B459" s="2" t="str">
        <x:f>IF('Motor_Meciuri'!A38="","",'Motor_Meciuri'!A38)</x:f>
      </x:c>
      <x:c r="C459" s="2" t="str">
        <x:f>IF(B459="","",'Motor_Meciuri'!B38)</x:f>
      </x:c>
      <x:c r="D459" s="2" t="str">
        <x:f>IF(B459="","",'Motor_Meciuri'!D38)</x:f>
      </x:c>
      <x:c r="E459" s="2" t="str">
        <x:f>IF(B459="","",'Motor_Meciuri'!E38)</x:f>
      </x:c>
      <x:c r="F459" s="2" t="str">
        <x:v>O8,5</x:v>
      </x:c>
      <x:c r="G459" s="2" t="str">
        <x:v>OVER</x:v>
      </x:c>
      <x:c r="H459" s="2" t="n">
        <x:v>8</x:v>
      </x:c>
      <x:c r="I459" s="2" t="str">
        <x:f>IF(B459="","",'Motor_Meciuri'!H38)</x:f>
      </x:c>
      <x:c r="J459" s="2" t="str">
        <x:f>IF(B459="","",'Motor_Meciuri'!I38)</x:f>
      </x:c>
      <x:c r="K459" s="11" t="str">
        <x:f>IF(J459&lt;&gt;"PASS","",'Motor_Meciuri'!BD38)</x:f>
      </x:c>
      <x:c r="L459" s="11" t="str">
        <x:f>IF(J459&lt;&gt;"PASS","",'Motor_Meciuri'!AU38)</x:f>
      </x:c>
      <x:c r="M459" s="10" t="str">
        <x:f>IF(NOT(AND(J459="PASS",'Calibrare_Linii'!U11="VALID")),"",1-'Distributie'!AF38)</x:f>
      </x:c>
      <x:c r="N459" s="10" t="str">
        <x:f>IF(M459="","",MAX(0.01,MIN(0.99,0.5+(M459-0.5)*'Motor_Meciuri'!BG38*'Calibrare_Linii'!D11)))</x:f>
      </x:c>
      <x:c r="O459" s="10" t="str">
        <x:f>IF(M459="","",1-M459)</x:f>
      </x:c>
      <x:c r="P459" s="10" t="str">
        <x:f>IF(OR(NOT(AND(J459="PASS",'Calibrare_Linii'!U11="VALID")),AK459=0),""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*('Istoric_Nativ'!$Q$6:$Q$405&lt;=H459))/AK459)</x:f>
      </x:c>
      <x:c r="Q459" s="10" t="str">
        <x:f>IF(OR(NOT(AND(J459="PASS",'Calibrare_Linii'!U11="VALID")),AL459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M38)+((('Istoric_Nativ'!$E$6:$E$405='Input_Meci'!E38)+('Istoric_Nativ'!$F$6:$F$405='Input_Meci'!E38))&gt;0)*('Istoric_Nativ'!$D$6:$D$405&gt;='Motor_Meciuri'!BN38))&gt;0)*('Istoric_Nativ'!$Q$6:$Q$405&lt;=H459))/AL459)</x:f>
      </x:c>
      <x:c r="R459" s="10" t="str">
        <x:f>IF(OR(NOT(AND(J459="PASS",'Calibrare_Linii'!U11="VALID")),AM459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O38)+((('Istoric_Nativ'!$E$6:$E$405='Input_Meci'!E38)+('Istoric_Nativ'!$F$6:$F$405='Input_Meci'!E38))&gt;0)*('Istoric_Nativ'!$D$6:$D$405&gt;='Motor_Meciuri'!BP38))&gt;0)*('Istoric_Nativ'!$Q$6:$Q$405&lt;=H459))/AM459)</x:f>
      </x:c>
      <x:c r="S459" s="10" t="str">
        <x:f>IF(M459="","",MAX(O459,P459,Q459,R459))</x:f>
      </x:c>
      <x:c r="T459" s="11" t="str">
        <x:f>IF(M459="","",MIN(100,S459*100*'Config_v6'!$B$44+MIN(100,L459/'Config_v6'!$B$13*100)*'Config_v6'!$B$45+(100-'Motor_Meciuri'!BF38)*'Config_v6'!$B$46+'Motor_Meciuri'!BH38*100*'Config_v6'!$B$47))</x:f>
      </x:c>
      <x:c r="U459" s="2" t="str">
        <x:f>IF(T459="","",IF(T459&lt;=20,1,IF(T459&lt;=40,2,IF(T459&lt;=60,3,IF(T459&lt;=80,4,5)))))</x:f>
      </x:c>
      <x:c r="V459" s="2" t="str">
        <x:f>IF(M459="","",MAX(0,'Motor_Meciuri'!BF38-IF(W459="OOS PENDING",'Config_v6'!$B$35,0)-IF(L459&gt;'Config_v6'!$B$12,'Config_v6'!$B$37,IF(L459&gt;'Config_v6'!$B$11,'Config_v6'!$B$36,0))))</x:f>
      </x:c>
      <x:c r="W459" s="2" t="str">
        <x:f>IF(B459="","",IF(I459&lt;&gt;"READY","NOT RELEASED",IF(NOT(AND(J459="PASS",'Calibrare_Linii'!U11="VALID")),"INVALID",IF(NOT(AND('Calibrare_Linii'!S11="VALIDATED",AND('Calibrare_Linii'!H11=C459,ISNUMBER('Calibrare_Linii'!J11),'Calibrare_Linii'!J11&lt;='Input_Meci'!G38))),"OOS PENDING",IF(S459&lt;='Calibrare_Linii'!E11,"PASS",IF(S459&lt;='Calibrare_Linii'!F11,"PENALTY","WATCH"))))))</x:f>
      </x:c>
      <x:c r="X459" s="2" t="str">
        <x:f>IF(M459="","",IF(AND(AND(J459="PASS",'Calibrare_Linii'!U11="VALID"),'Motor_Meciuri'!K38=12,'Motor_Meciuri'!L38=12,'Motor_Meciuri'!M38="NO",'Motor_Meciuri'!BL38='Motor_Meciuri'!C38,AB459&gt;='Config_v6'!$B$50,AN459&gt;='Config_v6'!$B$51,T459&lt;='Config_v6'!$B$52,L459&lt;='Config_v6'!$B$53,ISNUMBER('Calibrare_Linii'!E11),S459&lt;='Calibrare_Linii'!E11,SUM(AK459:AM459)&gt;0),"CANDIDATE","NO"))</x:f>
      </x:c>
      <x:c r="Y459" s="2" t="str">
        <x:f>IF(B459="","",IF(I459&lt;&gt;"READY","NOT RELEASED",IF(AND(X459="CANDIDATE",V459&gt;='Config_v6'!$B$51,W459="PASS",'Calibrare_Linii'!T11="VALIDATED",AND('Calibrare_Linii'!H11=C459,ISNUMBER('Calibrare_Linii'!J11),'Calibrare_Linii'!J11&lt;='Input_Meci'!G38)),"PASS",IF(X459="CANDIDATE","OOS PENDING","FAIL"))))</x:f>
      </x:c>
      <x:c r="Z459" s="2" t="str">
        <x:f>IF(B459="","",IF(I459&lt;&gt;"READY","",IF(OR(NOT(AND(J459="PASS",'Calibrare_Linii'!U11="VALID")),L459&gt;'Config_v6'!$B$13,W459="WATCH"),5,IF(Y459="PASS",1,MIN(5,MAX('Config_v6'!$B$42,U459)+IF(W459="PENALTY",1,0))))))</x:f>
      </x:c>
      <x:c r="AA459" s="2" t="str">
        <x:f>IF(B459="","",IF(I459&lt;&gt;"READY","NOT RELEASED",IF(Z459=5,"NO BET",IF(OR(AB459&lt;'Config_v6'!$B$16,V459&lt;'Config_v6'!$B$18),"WATCH",IF(Z459=1,"DEFENSIV",IF(Z459=2,"PRUDENT",IF(Z459=3,"MODERAT","RIDICAT")))))))</x:f>
      </x:c>
      <x:c r="AB459" s="10" t="str">
        <x:f>IF(N459="","",MIN(N459,1-S459))</x:f>
      </x:c>
      <x:c r="AC459" s="2" t="str">
        <x:f>IF(AD459&lt;&gt;1,"",COUNTIFS($Z$454:$Z$467,"&lt;"&amp;Z459,$AD$454:$AD$467,1)+COUNTIFS($Z$454:$Z$467,Z459,$AB$454:$AB$467,"&gt;"&amp;AB459,$AD$454:$AD$467,1)+COUNTIFS($Z$454:$Z$467,Z459,$AB$454:$AB$467,AB459,$V$454:$V$467,"&gt;"&amp;V459,$AD$454:$AD$467,1)+COUNTIFS($Z$454:Z459,Z459,$AB$454:AB459,AB459,$V$454:V459,V459,$AD$454:AD459,1))</x:f>
      </x:c>
      <x:c r="AD459" s="2" t="n">
        <x:f>IF(OR(AA459="DEFENSIV",AA459="PRUDENT",AA459="MODERAT",AA459="RIDICAT"),1,0)</x:f>
        <x:v>0</x:v>
      </x:c>
      <x:c r="AE459" s="2" t="str">
        <x:f>IF(AD459&lt;&gt;1,"NO",IF(W459="PASS","YES",IF(W459="OOS PENDING","CONDITIONAL","NO")))</x:f>
        <x:v>NO</x:v>
      </x:c>
      <x:c r="AF459" s="2" t="n">
        <x:f>IF(AND(AD459=1,AC459=1,E459="LIVE"),1,0)</x:f>
        <x:v>0</x:v>
      </x:c>
      <x:c r="AG459" s="2" t="str">
        <x:f>IF(AF459&lt;&gt;1,"",'Dashboard'!P58)</x:f>
      </x:c>
      <x:c r="AH459" s="2" t="str">
        <x:f>IF(B459="","",IF(J459&lt;&gt;"PASS",'Motor_Meciuri'!J38,IF('Calibrare_Linii'!U11&lt;&gt;"VALID","Parametri linie invalizi",IF(L459&gt;'Config_v6'!$B$13,"Dispersie peste limita",IF(W459="WATCH","Failure peste limita",IF(AB459&lt;'Config_v6'!$B$16,"P finala sub prag",IF(V459&lt;'Config_v6'!$B$18,"Confidence sub prag",IF(E459="REPLAY","Exemplu retrospectiv; exclus din Top LIVE",IF(Y459="PASS","DEFENSIV validat",IF(W459="OOS PENDING","Eligibil; calibrare linie in monitorizare","Eligibil"))))))))))</x:f>
      </x:c>
      <x:c r="AI459" s="2" t="str">
        <x:f>IF(B459="","",'Calibrare_Linii'!V11)</x:f>
      </x:c>
      <x:c r="AJ459" s="2" t="str">
        <x:f>IF(B459="","",IF(AND('Calibrare_Linii'!T11="VALIDATED",AND('Calibrare_Linii'!H11=C459,ISNUMBER('Calibrare_Linii'!J11),'Calibrare_Linii'!J11&lt;='Input_Meci'!G38)),"DEFENSIVE VALIDATED",IF(AND('Calibrare_Linii'!S11="VALIDATED",AND('Calibrare_Linii'!H11=C459,ISNUMBER('Calibrare_Linii'!J11),'Calibrare_Linii'!J11&lt;='Input_Meci'!G38)),"TAIL VALIDATED","OOS PENDING")))</x:f>
      </x:c>
      <x:c r="AK459" s="2" t="n">
        <x:f>IF(J459&lt;&gt;"PASS",0,'Motor_Meciuri'!BR38)</x:f>
        <x:v>0</x:v>
      </x:c>
      <x:c r="AL459" s="2" t="n">
        <x:f>IF(J459&lt;&gt;"PASS",0,'Motor_Meciuri'!BS38)</x:f>
        <x:v>0</x:v>
      </x:c>
      <x:c r="AM459" s="2" t="n">
        <x:f>IF(J459&lt;&gt;"PASS",0,'Motor_Meciuri'!BT38)</x:f>
        <x:v>0</x:v>
      </x:c>
      <x:c r="AN459" s="2" t="str">
        <x:f>IF(M459="","",MAX(0,'Motor_Meciuri'!BF38-IF(L459&gt;'Config_v6'!$B$12,'Config_v6'!$B$37,IF(L459&gt;'Config_v6'!$B$11,'Config_v6'!$B$36,0))))</x:f>
      </x:c>
    </x:row>
    <x:row r="460" ht="21" customHeight="1">
      <x:c r="A460" s="2" t="n">
        <x:v>33</x:v>
      </x:c>
      <x:c r="B460" s="2" t="str">
        <x:f>IF('Motor_Meciuri'!A38="","",'Motor_Meciuri'!A38)</x:f>
      </x:c>
      <x:c r="C460" s="2" t="str">
        <x:f>IF(B460="","",'Motor_Meciuri'!B38)</x:f>
      </x:c>
      <x:c r="D460" s="2" t="str">
        <x:f>IF(B460="","",'Motor_Meciuri'!D38)</x:f>
      </x:c>
      <x:c r="E460" s="2" t="str">
        <x:f>IF(B460="","",'Motor_Meciuri'!E38)</x:f>
      </x:c>
      <x:c r="F460" s="2" t="str">
        <x:v>U10,5</x:v>
      </x:c>
      <x:c r="G460" s="2" t="str">
        <x:v>UNDER</x:v>
      </x:c>
      <x:c r="H460" s="2" t="n">
        <x:v>10</x:v>
      </x:c>
      <x:c r="I460" s="2" t="str">
        <x:f>IF(B460="","",'Motor_Meciuri'!H38)</x:f>
      </x:c>
      <x:c r="J460" s="2" t="str">
        <x:f>IF(B460="","",'Motor_Meciuri'!I38)</x:f>
      </x:c>
      <x:c r="K460" s="11" t="str">
        <x:f>IF(J460&lt;&gt;"PASS","",'Motor_Meciuri'!BD38)</x:f>
      </x:c>
      <x:c r="L460" s="11" t="str">
        <x:f>IF(J460&lt;&gt;"PASS","",'Motor_Meciuri'!AU38)</x:f>
      </x:c>
      <x:c r="M460" s="10" t="str">
        <x:f>IF(NOT(AND(J460="PASS",'Calibrare_Linii'!U12="VALID")),"",'Distributie'!AH38)</x:f>
      </x:c>
      <x:c r="N460" s="10" t="str">
        <x:f>IF(M460="","",MAX(0.01,MIN(0.99,0.5+(M460-0.5)*'Motor_Meciuri'!BG38*'Calibrare_Linii'!D12)))</x:f>
      </x:c>
      <x:c r="O460" s="10" t="str">
        <x:f>IF(M460="","",1-M460)</x:f>
      </x:c>
      <x:c r="P460" s="10" t="str">
        <x:f>IF(OR(NOT(AND(J460="PASS",'Calibrare_Linii'!U12="VALID")),AK460=0),""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*('Istoric_Nativ'!$Q$6:$Q$405&gt;H460))/AK460)</x:f>
      </x:c>
      <x:c r="Q460" s="10" t="str">
        <x:f>IF(OR(NOT(AND(J460="PASS",'Calibrare_Linii'!U12="VALID")),AL460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M38)+((('Istoric_Nativ'!$E$6:$E$405='Input_Meci'!E38)+('Istoric_Nativ'!$F$6:$F$405='Input_Meci'!E38))&gt;0)*('Istoric_Nativ'!$D$6:$D$405&gt;='Motor_Meciuri'!BN38))&gt;0)*('Istoric_Nativ'!$Q$6:$Q$405&gt;H460))/AL460)</x:f>
      </x:c>
      <x:c r="R460" s="10" t="str">
        <x:f>IF(OR(NOT(AND(J460="PASS",'Calibrare_Linii'!U12="VALID")),AM460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O38)+((('Istoric_Nativ'!$E$6:$E$405='Input_Meci'!E38)+('Istoric_Nativ'!$F$6:$F$405='Input_Meci'!E38))&gt;0)*('Istoric_Nativ'!$D$6:$D$405&gt;='Motor_Meciuri'!BP38))&gt;0)*('Istoric_Nativ'!$Q$6:$Q$405&gt;H460))/AM460)</x:f>
      </x:c>
      <x:c r="S460" s="10" t="str">
        <x:f>IF(M460="","",MAX(O460,P460,Q460,R460))</x:f>
      </x:c>
      <x:c r="T460" s="11" t="str">
        <x:f>IF(M460="","",MIN(100,S460*100*'Config_v6'!$B$44+MIN(100,L460/'Config_v6'!$B$13*100)*'Config_v6'!$B$45+(100-'Motor_Meciuri'!BF38)*'Config_v6'!$B$46+'Motor_Meciuri'!BH38*100*'Config_v6'!$B$47))</x:f>
      </x:c>
      <x:c r="U460" s="2" t="str">
        <x:f>IF(T460="","",IF(T460&lt;=20,1,IF(T460&lt;=40,2,IF(T460&lt;=60,3,IF(T460&lt;=80,4,5)))))</x:f>
      </x:c>
      <x:c r="V460" s="2" t="str">
        <x:f>IF(M460="","",MAX(0,'Motor_Meciuri'!BF38-IF(W460="OOS PENDING",'Config_v6'!$B$35,0)-IF(L460&gt;'Config_v6'!$B$12,'Config_v6'!$B$37,IF(L460&gt;'Config_v6'!$B$11,'Config_v6'!$B$36,0))))</x:f>
      </x:c>
      <x:c r="W460" s="2" t="str">
        <x:f>IF(B460="","",IF(I460&lt;&gt;"READY","NOT RELEASED",IF(NOT(AND(J460="PASS",'Calibrare_Linii'!U12="VALID")),"INVALID",IF(NOT(AND('Calibrare_Linii'!S12="VALIDATED",AND('Calibrare_Linii'!H12=C460,ISNUMBER('Calibrare_Linii'!J12),'Calibrare_Linii'!J12&lt;='Input_Meci'!G38))),"OOS PENDING",IF(S460&lt;='Calibrare_Linii'!E12,"PASS",IF(S460&lt;='Calibrare_Linii'!F12,"PENALTY","WATCH"))))))</x:f>
      </x:c>
      <x:c r="X460" s="2" t="str">
        <x:f>IF(M460="","",IF(AND(AND(J460="PASS",'Calibrare_Linii'!U12="VALID"),'Motor_Meciuri'!K38=12,'Motor_Meciuri'!L38=12,'Motor_Meciuri'!M38="NO",'Motor_Meciuri'!BL38='Motor_Meciuri'!C38,AB460&gt;='Config_v6'!$B$50,AN460&gt;='Config_v6'!$B$51,T460&lt;='Config_v6'!$B$52,L460&lt;='Config_v6'!$B$53,ISNUMBER('Calibrare_Linii'!E12),S460&lt;='Calibrare_Linii'!E12,SUM(AK460:AM460)&gt;0),"CANDIDATE","NO"))</x:f>
      </x:c>
      <x:c r="Y460" s="2" t="str">
        <x:f>IF(B460="","",IF(I460&lt;&gt;"READY","NOT RELEASED",IF(AND(X460="CANDIDATE",V460&gt;='Config_v6'!$B$51,W460="PASS",'Calibrare_Linii'!T12="VALIDATED",AND('Calibrare_Linii'!H12=C460,ISNUMBER('Calibrare_Linii'!J12),'Calibrare_Linii'!J12&lt;='Input_Meci'!G38)),"PASS",IF(X460="CANDIDATE","OOS PENDING","FAIL"))))</x:f>
      </x:c>
      <x:c r="Z460" s="2" t="str">
        <x:f>IF(B460="","",IF(I460&lt;&gt;"READY","",IF(OR(NOT(AND(J460="PASS",'Calibrare_Linii'!U12="VALID")),L460&gt;'Config_v6'!$B$13,W460="WATCH"),5,IF(Y460="PASS",1,MIN(5,MAX('Config_v6'!$B$42,U460)+IF(W460="PENALTY",1,0))))))</x:f>
      </x:c>
      <x:c r="AA460" s="2" t="str">
        <x:f>IF(B460="","",IF(I460&lt;&gt;"READY","NOT RELEASED",IF(Z460=5,"NO BET",IF(OR(AB460&lt;'Config_v6'!$B$16,V460&lt;'Config_v6'!$B$18),"WATCH",IF(Z460=1,"DEFENSIV",IF(Z460=2,"PRUDENT",IF(Z460=3,"MODERAT","RIDICAT")))))))</x:f>
      </x:c>
      <x:c r="AB460" s="10" t="str">
        <x:f>IF(N460="","",MIN(N460,1-S460))</x:f>
      </x:c>
      <x:c r="AC460" s="2" t="str">
        <x:f>IF(AD460&lt;&gt;1,"",COUNTIFS($Z$454:$Z$467,"&lt;"&amp;Z460,$AD$454:$AD$467,1)+COUNTIFS($Z$454:$Z$467,Z460,$AB$454:$AB$467,"&gt;"&amp;AB460,$AD$454:$AD$467,1)+COUNTIFS($Z$454:$Z$467,Z460,$AB$454:$AB$467,AB460,$V$454:$V$467,"&gt;"&amp;V460,$AD$454:$AD$467,1)+COUNTIFS($Z$454:Z460,Z460,$AB$454:AB460,AB460,$V$454:V460,V460,$AD$454:AD460,1))</x:f>
      </x:c>
      <x:c r="AD460" s="2" t="n">
        <x:f>IF(OR(AA460="DEFENSIV",AA460="PRUDENT",AA460="MODERAT",AA460="RIDICAT"),1,0)</x:f>
        <x:v>0</x:v>
      </x:c>
      <x:c r="AE460" s="2" t="str">
        <x:f>IF(AD460&lt;&gt;1,"NO",IF(W460="PASS","YES",IF(W460="OOS PENDING","CONDITIONAL","NO")))</x:f>
        <x:v>NO</x:v>
      </x:c>
      <x:c r="AF460" s="2" t="n">
        <x:f>IF(AND(AD460=1,AC460=1,E460="LIVE"),1,0)</x:f>
        <x:v>0</x:v>
      </x:c>
      <x:c r="AG460" s="2" t="str">
        <x:f>IF(AF460&lt;&gt;1,"",'Dashboard'!P58)</x:f>
      </x:c>
      <x:c r="AH460" s="2" t="str">
        <x:f>IF(B460="","",IF(J460&lt;&gt;"PASS",'Motor_Meciuri'!J38,IF('Calibrare_Linii'!U12&lt;&gt;"VALID","Parametri linie invalizi",IF(L460&gt;'Config_v6'!$B$13,"Dispersie peste limita",IF(W460="WATCH","Failure peste limita",IF(AB460&lt;'Config_v6'!$B$16,"P finala sub prag",IF(V460&lt;'Config_v6'!$B$18,"Confidence sub prag",IF(E460="REPLAY","Exemplu retrospectiv; exclus din Top LIVE",IF(Y460="PASS","DEFENSIV validat",IF(W460="OOS PENDING","Eligibil; calibrare linie in monitorizare","Eligibil"))))))))))</x:f>
      </x:c>
      <x:c r="AI460" s="2" t="str">
        <x:f>IF(B460="","",'Calibrare_Linii'!V12)</x:f>
      </x:c>
      <x:c r="AJ460" s="2" t="str">
        <x:f>IF(B460="","",IF(AND('Calibrare_Linii'!T12="VALIDATED",AND('Calibrare_Linii'!H12=C460,ISNUMBER('Calibrare_Linii'!J12),'Calibrare_Linii'!J12&lt;='Input_Meci'!G38)),"DEFENSIVE VALIDATED",IF(AND('Calibrare_Linii'!S12="VALIDATED",AND('Calibrare_Linii'!H12=C460,ISNUMBER('Calibrare_Linii'!J12),'Calibrare_Linii'!J12&lt;='Input_Meci'!G38)),"TAIL VALIDATED","OOS PENDING")))</x:f>
      </x:c>
      <x:c r="AK460" s="2" t="n">
        <x:f>IF(J460&lt;&gt;"PASS",0,'Motor_Meciuri'!BR38)</x:f>
        <x:v>0</x:v>
      </x:c>
      <x:c r="AL460" s="2" t="n">
        <x:f>IF(J460&lt;&gt;"PASS",0,'Motor_Meciuri'!BS38)</x:f>
        <x:v>0</x:v>
      </x:c>
      <x:c r="AM460" s="2" t="n">
        <x:f>IF(J460&lt;&gt;"PASS",0,'Motor_Meciuri'!BT38)</x:f>
        <x:v>0</x:v>
      </x:c>
      <x:c r="AN460" s="2" t="str">
        <x:f>IF(M460="","",MAX(0,'Motor_Meciuri'!BF38-IF(L460&gt;'Config_v6'!$B$12,'Config_v6'!$B$37,IF(L460&gt;'Config_v6'!$B$11,'Config_v6'!$B$36,0))))</x:f>
      </x:c>
    </x:row>
    <x:row r="461" ht="21" customHeight="1">
      <x:c r="A461" s="2" t="n">
        <x:v>33</x:v>
      </x:c>
      <x:c r="B461" s="2" t="str">
        <x:f>IF('Motor_Meciuri'!A38="","",'Motor_Meciuri'!A38)</x:f>
      </x:c>
      <x:c r="C461" s="2" t="str">
        <x:f>IF(B461="","",'Motor_Meciuri'!B38)</x:f>
      </x:c>
      <x:c r="D461" s="2" t="str">
        <x:f>IF(B461="","",'Motor_Meciuri'!D38)</x:f>
      </x:c>
      <x:c r="E461" s="2" t="str">
        <x:f>IF(B461="","",'Motor_Meciuri'!E38)</x:f>
      </x:c>
      <x:c r="F461" s="2" t="str">
        <x:v>U11,5</x:v>
      </x:c>
      <x:c r="G461" s="2" t="str">
        <x:v>UNDER</x:v>
      </x:c>
      <x:c r="H461" s="2" t="n">
        <x:v>11</x:v>
      </x:c>
      <x:c r="I461" s="2" t="str">
        <x:f>IF(B461="","",'Motor_Meciuri'!H38)</x:f>
      </x:c>
      <x:c r="J461" s="2" t="str">
        <x:f>IF(B461="","",'Motor_Meciuri'!I38)</x:f>
      </x:c>
      <x:c r="K461" s="11" t="str">
        <x:f>IF(J461&lt;&gt;"PASS","",'Motor_Meciuri'!BD38)</x:f>
      </x:c>
      <x:c r="L461" s="11" t="str">
        <x:f>IF(J461&lt;&gt;"PASS","",'Motor_Meciuri'!AU38)</x:f>
      </x:c>
      <x:c r="M461" s="10" t="str">
        <x:f>IF(NOT(AND(J461="PASS",'Calibrare_Linii'!U13="VALID")),"",'Distributie'!AI38)</x:f>
      </x:c>
      <x:c r="N461" s="10" t="str">
        <x:f>IF(M461="","",MAX(0.01,MIN(0.99,0.5+(M461-0.5)*'Motor_Meciuri'!BG38*'Calibrare_Linii'!D13)))</x:f>
      </x:c>
      <x:c r="O461" s="10" t="str">
        <x:f>IF(M461="","",1-M461)</x:f>
      </x:c>
      <x:c r="P461" s="10" t="str">
        <x:f>IF(OR(NOT(AND(J461="PASS",'Calibrare_Linii'!U13="VALID")),AK461=0),""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*('Istoric_Nativ'!$Q$6:$Q$405&gt;H461))/AK461)</x:f>
      </x:c>
      <x:c r="Q461" s="10" t="str">
        <x:f>IF(OR(NOT(AND(J461="PASS",'Calibrare_Linii'!U13="VALID")),AL461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M38)+((('Istoric_Nativ'!$E$6:$E$405='Input_Meci'!E38)+('Istoric_Nativ'!$F$6:$F$405='Input_Meci'!E38))&gt;0)*('Istoric_Nativ'!$D$6:$D$405&gt;='Motor_Meciuri'!BN38))&gt;0)*('Istoric_Nativ'!$Q$6:$Q$405&gt;H461))/AL461)</x:f>
      </x:c>
      <x:c r="R461" s="10" t="str">
        <x:f>IF(OR(NOT(AND(J461="PASS",'Calibrare_Linii'!U13="VALID")),AM461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O38)+((('Istoric_Nativ'!$E$6:$E$405='Input_Meci'!E38)+('Istoric_Nativ'!$F$6:$F$405='Input_Meci'!E38))&gt;0)*('Istoric_Nativ'!$D$6:$D$405&gt;='Motor_Meciuri'!BP38))&gt;0)*('Istoric_Nativ'!$Q$6:$Q$405&gt;H461))/AM461)</x:f>
      </x:c>
      <x:c r="S461" s="10" t="str">
        <x:f>IF(M461="","",MAX(O461,P461,Q461,R461))</x:f>
      </x:c>
      <x:c r="T461" s="11" t="str">
        <x:f>IF(M461="","",MIN(100,S461*100*'Config_v6'!$B$44+MIN(100,L461/'Config_v6'!$B$13*100)*'Config_v6'!$B$45+(100-'Motor_Meciuri'!BF38)*'Config_v6'!$B$46+'Motor_Meciuri'!BH38*100*'Config_v6'!$B$47))</x:f>
      </x:c>
      <x:c r="U461" s="2" t="str">
        <x:f>IF(T461="","",IF(T461&lt;=20,1,IF(T461&lt;=40,2,IF(T461&lt;=60,3,IF(T461&lt;=80,4,5)))))</x:f>
      </x:c>
      <x:c r="V461" s="2" t="str">
        <x:f>IF(M461="","",MAX(0,'Motor_Meciuri'!BF38-IF(W461="OOS PENDING",'Config_v6'!$B$35,0)-IF(L461&gt;'Config_v6'!$B$12,'Config_v6'!$B$37,IF(L461&gt;'Config_v6'!$B$11,'Config_v6'!$B$36,0))))</x:f>
      </x:c>
      <x:c r="W461" s="2" t="str">
        <x:f>IF(B461="","",IF(I461&lt;&gt;"READY","NOT RELEASED",IF(NOT(AND(J461="PASS",'Calibrare_Linii'!U13="VALID")),"INVALID",IF(NOT(AND('Calibrare_Linii'!S13="VALIDATED",AND('Calibrare_Linii'!H13=C461,ISNUMBER('Calibrare_Linii'!J13),'Calibrare_Linii'!J13&lt;='Input_Meci'!G38))),"OOS PENDING",IF(S461&lt;='Calibrare_Linii'!E13,"PASS",IF(S461&lt;='Calibrare_Linii'!F13,"PENALTY","WATCH"))))))</x:f>
      </x:c>
      <x:c r="X461" s="2" t="str">
        <x:f>IF(M461="","",IF(AND(AND(J461="PASS",'Calibrare_Linii'!U13="VALID"),'Motor_Meciuri'!K38=12,'Motor_Meciuri'!L38=12,'Motor_Meciuri'!M38="NO",'Motor_Meciuri'!BL38='Motor_Meciuri'!C38,AB461&gt;='Config_v6'!$B$50,AN461&gt;='Config_v6'!$B$51,T461&lt;='Config_v6'!$B$52,L461&lt;='Config_v6'!$B$53,ISNUMBER('Calibrare_Linii'!E13),S461&lt;='Calibrare_Linii'!E13,SUM(AK461:AM461)&gt;0),"CANDIDATE","NO"))</x:f>
      </x:c>
      <x:c r="Y461" s="2" t="str">
        <x:f>IF(B461="","",IF(I461&lt;&gt;"READY","NOT RELEASED",IF(AND(X461="CANDIDATE",V461&gt;='Config_v6'!$B$51,W461="PASS",'Calibrare_Linii'!T13="VALIDATED",AND('Calibrare_Linii'!H13=C461,ISNUMBER('Calibrare_Linii'!J13),'Calibrare_Linii'!J13&lt;='Input_Meci'!G38)),"PASS",IF(X461="CANDIDATE","OOS PENDING","FAIL"))))</x:f>
      </x:c>
      <x:c r="Z461" s="2" t="str">
        <x:f>IF(B461="","",IF(I461&lt;&gt;"READY","",IF(OR(NOT(AND(J461="PASS",'Calibrare_Linii'!U13="VALID")),L461&gt;'Config_v6'!$B$13,W461="WATCH"),5,IF(Y461="PASS",1,MIN(5,MAX('Config_v6'!$B$42,U461)+IF(W461="PENALTY",1,0))))))</x:f>
      </x:c>
      <x:c r="AA461" s="2" t="str">
        <x:f>IF(B461="","",IF(I461&lt;&gt;"READY","NOT RELEASED",IF(Z461=5,"NO BET",IF(OR(AB461&lt;'Config_v6'!$B$16,V461&lt;'Config_v6'!$B$18),"WATCH",IF(Z461=1,"DEFENSIV",IF(Z461=2,"PRUDENT",IF(Z461=3,"MODERAT","RIDICAT")))))))</x:f>
      </x:c>
      <x:c r="AB461" s="10" t="str">
        <x:f>IF(N461="","",MIN(N461,1-S461))</x:f>
      </x:c>
      <x:c r="AC461" s="2" t="str">
        <x:f>IF(AD461&lt;&gt;1,"",COUNTIFS($Z$454:$Z$467,"&lt;"&amp;Z461,$AD$454:$AD$467,1)+COUNTIFS($Z$454:$Z$467,Z461,$AB$454:$AB$467,"&gt;"&amp;AB461,$AD$454:$AD$467,1)+COUNTIFS($Z$454:$Z$467,Z461,$AB$454:$AB$467,AB461,$V$454:$V$467,"&gt;"&amp;V461,$AD$454:$AD$467,1)+COUNTIFS($Z$454:Z461,Z461,$AB$454:AB461,AB461,$V$454:V461,V461,$AD$454:AD461,1))</x:f>
      </x:c>
      <x:c r="AD461" s="2" t="n">
        <x:f>IF(OR(AA461="DEFENSIV",AA461="PRUDENT",AA461="MODERAT",AA461="RIDICAT"),1,0)</x:f>
        <x:v>0</x:v>
      </x:c>
      <x:c r="AE461" s="2" t="str">
        <x:f>IF(AD461&lt;&gt;1,"NO",IF(W461="PASS","YES",IF(W461="OOS PENDING","CONDITIONAL","NO")))</x:f>
        <x:v>NO</x:v>
      </x:c>
      <x:c r="AF461" s="2" t="n">
        <x:f>IF(AND(AD461=1,AC461=1,E461="LIVE"),1,0)</x:f>
        <x:v>0</x:v>
      </x:c>
      <x:c r="AG461" s="2" t="str">
        <x:f>IF(AF461&lt;&gt;1,"",'Dashboard'!P58)</x:f>
      </x:c>
      <x:c r="AH461" s="2" t="str">
        <x:f>IF(B461="","",IF(J461&lt;&gt;"PASS",'Motor_Meciuri'!J38,IF('Calibrare_Linii'!U13&lt;&gt;"VALID","Parametri linie invalizi",IF(L461&gt;'Config_v6'!$B$13,"Dispersie peste limita",IF(W461="WATCH","Failure peste limita",IF(AB461&lt;'Config_v6'!$B$16,"P finala sub prag",IF(V461&lt;'Config_v6'!$B$18,"Confidence sub prag",IF(E461="REPLAY","Exemplu retrospectiv; exclus din Top LIVE",IF(Y461="PASS","DEFENSIV validat",IF(W461="OOS PENDING","Eligibil; calibrare linie in monitorizare","Eligibil"))))))))))</x:f>
      </x:c>
      <x:c r="AI461" s="2" t="str">
        <x:f>IF(B461="","",'Calibrare_Linii'!V13)</x:f>
      </x:c>
      <x:c r="AJ461" s="2" t="str">
        <x:f>IF(B461="","",IF(AND('Calibrare_Linii'!T13="VALIDATED",AND('Calibrare_Linii'!H13=C461,ISNUMBER('Calibrare_Linii'!J13),'Calibrare_Linii'!J13&lt;='Input_Meci'!G38)),"DEFENSIVE VALIDATED",IF(AND('Calibrare_Linii'!S13="VALIDATED",AND('Calibrare_Linii'!H13=C461,ISNUMBER('Calibrare_Linii'!J13),'Calibrare_Linii'!J13&lt;='Input_Meci'!G38)),"TAIL VALIDATED","OOS PENDING")))</x:f>
      </x:c>
      <x:c r="AK461" s="2" t="n">
        <x:f>IF(J461&lt;&gt;"PASS",0,'Motor_Meciuri'!BR38)</x:f>
        <x:v>0</x:v>
      </x:c>
      <x:c r="AL461" s="2" t="n">
        <x:f>IF(J461&lt;&gt;"PASS",0,'Motor_Meciuri'!BS38)</x:f>
        <x:v>0</x:v>
      </x:c>
      <x:c r="AM461" s="2" t="n">
        <x:f>IF(J461&lt;&gt;"PASS",0,'Motor_Meciuri'!BT38)</x:f>
        <x:v>0</x:v>
      </x:c>
      <x:c r="AN461" s="2" t="str">
        <x:f>IF(M461="","",MAX(0,'Motor_Meciuri'!BF38-IF(L461&gt;'Config_v6'!$B$12,'Config_v6'!$B$37,IF(L461&gt;'Config_v6'!$B$11,'Config_v6'!$B$36,0))))</x:f>
      </x:c>
    </x:row>
    <x:row r="462" ht="21" customHeight="1">
      <x:c r="A462" s="2" t="n">
        <x:v>33</x:v>
      </x:c>
      <x:c r="B462" s="2" t="str">
        <x:f>IF('Motor_Meciuri'!A38="","",'Motor_Meciuri'!A38)</x:f>
      </x:c>
      <x:c r="C462" s="2" t="str">
        <x:f>IF(B462="","",'Motor_Meciuri'!B38)</x:f>
      </x:c>
      <x:c r="D462" s="2" t="str">
        <x:f>IF(B462="","",'Motor_Meciuri'!D38)</x:f>
      </x:c>
      <x:c r="E462" s="2" t="str">
        <x:f>IF(B462="","",'Motor_Meciuri'!E38)</x:f>
      </x:c>
      <x:c r="F462" s="2" t="str">
        <x:v>U12,5</x:v>
      </x:c>
      <x:c r="G462" s="2" t="str">
        <x:v>UNDER</x:v>
      </x:c>
      <x:c r="H462" s="2" t="n">
        <x:v>12</x:v>
      </x:c>
      <x:c r="I462" s="2" t="str">
        <x:f>IF(B462="","",'Motor_Meciuri'!H38)</x:f>
      </x:c>
      <x:c r="J462" s="2" t="str">
        <x:f>IF(B462="","",'Motor_Meciuri'!I38)</x:f>
      </x:c>
      <x:c r="K462" s="11" t="str">
        <x:f>IF(J462&lt;&gt;"PASS","",'Motor_Meciuri'!BD38)</x:f>
      </x:c>
      <x:c r="L462" s="11" t="str">
        <x:f>IF(J462&lt;&gt;"PASS","",'Motor_Meciuri'!AU38)</x:f>
      </x:c>
      <x:c r="M462" s="10" t="str">
        <x:f>IF(NOT(AND(J462="PASS",'Calibrare_Linii'!U14="VALID")),"",'Distributie'!AJ38)</x:f>
      </x:c>
      <x:c r="N462" s="10" t="str">
        <x:f>IF(M462="","",MAX(0.01,MIN(0.99,0.5+(M462-0.5)*'Motor_Meciuri'!BG38*'Calibrare_Linii'!D14)))</x:f>
      </x:c>
      <x:c r="O462" s="10" t="str">
        <x:f>IF(M462="","",1-M462)</x:f>
      </x:c>
      <x:c r="P462" s="10" t="str">
        <x:f>IF(OR(NOT(AND(J462="PASS",'Calibrare_Linii'!U14="VALID")),AK462=0),""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*('Istoric_Nativ'!$Q$6:$Q$405&gt;H462))/AK462)</x:f>
      </x:c>
      <x:c r="Q462" s="10" t="str">
        <x:f>IF(OR(NOT(AND(J462="PASS",'Calibrare_Linii'!U14="VALID")),AL462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M38)+((('Istoric_Nativ'!$E$6:$E$405='Input_Meci'!E38)+('Istoric_Nativ'!$F$6:$F$405='Input_Meci'!E38))&gt;0)*('Istoric_Nativ'!$D$6:$D$405&gt;='Motor_Meciuri'!BN38))&gt;0)*('Istoric_Nativ'!$Q$6:$Q$405&gt;H462))/AL462)</x:f>
      </x:c>
      <x:c r="R462" s="10" t="str">
        <x:f>IF(OR(NOT(AND(J462="PASS",'Calibrare_Linii'!U14="VALID")),AM462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O38)+((('Istoric_Nativ'!$E$6:$E$405='Input_Meci'!E38)+('Istoric_Nativ'!$F$6:$F$405='Input_Meci'!E38))&gt;0)*('Istoric_Nativ'!$D$6:$D$405&gt;='Motor_Meciuri'!BP38))&gt;0)*('Istoric_Nativ'!$Q$6:$Q$405&gt;H462))/AM462)</x:f>
      </x:c>
      <x:c r="S462" s="10" t="str">
        <x:f>IF(M462="","",MAX(O462,P462,Q462,R462))</x:f>
      </x:c>
      <x:c r="T462" s="11" t="str">
        <x:f>IF(M462="","",MIN(100,S462*100*'Config_v6'!$B$44+MIN(100,L462/'Config_v6'!$B$13*100)*'Config_v6'!$B$45+(100-'Motor_Meciuri'!BF38)*'Config_v6'!$B$46+'Motor_Meciuri'!BH38*100*'Config_v6'!$B$47))</x:f>
      </x:c>
      <x:c r="U462" s="2" t="str">
        <x:f>IF(T462="","",IF(T462&lt;=20,1,IF(T462&lt;=40,2,IF(T462&lt;=60,3,IF(T462&lt;=80,4,5)))))</x:f>
      </x:c>
      <x:c r="V462" s="2" t="str">
        <x:f>IF(M462="","",MAX(0,'Motor_Meciuri'!BF38-IF(W462="OOS PENDING",'Config_v6'!$B$35,0)-IF(L462&gt;'Config_v6'!$B$12,'Config_v6'!$B$37,IF(L462&gt;'Config_v6'!$B$11,'Config_v6'!$B$36,0))))</x:f>
      </x:c>
      <x:c r="W462" s="2" t="str">
        <x:f>IF(B462="","",IF(I462&lt;&gt;"READY","NOT RELEASED",IF(NOT(AND(J462="PASS",'Calibrare_Linii'!U14="VALID")),"INVALID",IF(NOT(AND('Calibrare_Linii'!S14="VALIDATED",AND('Calibrare_Linii'!H14=C462,ISNUMBER('Calibrare_Linii'!J14),'Calibrare_Linii'!J14&lt;='Input_Meci'!G38))),"OOS PENDING",IF(S462&lt;='Calibrare_Linii'!E14,"PASS",IF(S462&lt;='Calibrare_Linii'!F14,"PENALTY","WATCH"))))))</x:f>
      </x:c>
      <x:c r="X462" s="2" t="str">
        <x:f>IF(M462="","",IF(AND(AND(J462="PASS",'Calibrare_Linii'!U14="VALID"),'Motor_Meciuri'!K38=12,'Motor_Meciuri'!L38=12,'Motor_Meciuri'!M38="NO",'Motor_Meciuri'!BL38='Motor_Meciuri'!C38,AB462&gt;='Config_v6'!$B$50,AN462&gt;='Config_v6'!$B$51,T462&lt;='Config_v6'!$B$52,L462&lt;='Config_v6'!$B$53,ISNUMBER('Calibrare_Linii'!E14),S462&lt;='Calibrare_Linii'!E14,SUM(AK462:AM462)&gt;0),"CANDIDATE","NO"))</x:f>
      </x:c>
      <x:c r="Y462" s="2" t="str">
        <x:f>IF(B462="","",IF(I462&lt;&gt;"READY","NOT RELEASED",IF(AND(X462="CANDIDATE",V462&gt;='Config_v6'!$B$51,W462="PASS",'Calibrare_Linii'!T14="VALIDATED",AND('Calibrare_Linii'!H14=C462,ISNUMBER('Calibrare_Linii'!J14),'Calibrare_Linii'!J14&lt;='Input_Meci'!G38)),"PASS",IF(X462="CANDIDATE","OOS PENDING","FAIL"))))</x:f>
      </x:c>
      <x:c r="Z462" s="2" t="str">
        <x:f>IF(B462="","",IF(I462&lt;&gt;"READY","",IF(OR(NOT(AND(J462="PASS",'Calibrare_Linii'!U14="VALID")),L462&gt;'Config_v6'!$B$13,W462="WATCH"),5,IF(Y462="PASS",1,MIN(5,MAX('Config_v6'!$B$42,U462)+IF(W462="PENALTY",1,0))))))</x:f>
      </x:c>
      <x:c r="AA462" s="2" t="str">
        <x:f>IF(B462="","",IF(I462&lt;&gt;"READY","NOT RELEASED",IF(Z462=5,"NO BET",IF(OR(AB462&lt;'Config_v6'!$B$16,V462&lt;'Config_v6'!$B$18),"WATCH",IF(Z462=1,"DEFENSIV",IF(Z462=2,"PRUDENT",IF(Z462=3,"MODERAT","RIDICAT")))))))</x:f>
      </x:c>
      <x:c r="AB462" s="10" t="str">
        <x:f>IF(N462="","",MIN(N462,1-S462))</x:f>
      </x:c>
      <x:c r="AC462" s="2" t="str">
        <x:f>IF(AD462&lt;&gt;1,"",COUNTIFS($Z$454:$Z$467,"&lt;"&amp;Z462,$AD$454:$AD$467,1)+COUNTIFS($Z$454:$Z$467,Z462,$AB$454:$AB$467,"&gt;"&amp;AB462,$AD$454:$AD$467,1)+COUNTIFS($Z$454:$Z$467,Z462,$AB$454:$AB$467,AB462,$V$454:$V$467,"&gt;"&amp;V462,$AD$454:$AD$467,1)+COUNTIFS($Z$454:Z462,Z462,$AB$454:AB462,AB462,$V$454:V462,V462,$AD$454:AD462,1))</x:f>
      </x:c>
      <x:c r="AD462" s="2" t="n">
        <x:f>IF(OR(AA462="DEFENSIV",AA462="PRUDENT",AA462="MODERAT",AA462="RIDICAT"),1,0)</x:f>
        <x:v>0</x:v>
      </x:c>
      <x:c r="AE462" s="2" t="str">
        <x:f>IF(AD462&lt;&gt;1,"NO",IF(W462="PASS","YES",IF(W462="OOS PENDING","CONDITIONAL","NO")))</x:f>
        <x:v>NO</x:v>
      </x:c>
      <x:c r="AF462" s="2" t="n">
        <x:f>IF(AND(AD462=1,AC462=1,E462="LIVE"),1,0)</x:f>
        <x:v>0</x:v>
      </x:c>
      <x:c r="AG462" s="2" t="str">
        <x:f>IF(AF462&lt;&gt;1,"",'Dashboard'!P58)</x:f>
      </x:c>
      <x:c r="AH462" s="2" t="str">
        <x:f>IF(B462="","",IF(J462&lt;&gt;"PASS",'Motor_Meciuri'!J38,IF('Calibrare_Linii'!U14&lt;&gt;"VALID","Parametri linie invalizi",IF(L462&gt;'Config_v6'!$B$13,"Dispersie peste limita",IF(W462="WATCH","Failure peste limita",IF(AB462&lt;'Config_v6'!$B$16,"P finala sub prag",IF(V462&lt;'Config_v6'!$B$18,"Confidence sub prag",IF(E462="REPLAY","Exemplu retrospectiv; exclus din Top LIVE",IF(Y462="PASS","DEFENSIV validat",IF(W462="OOS PENDING","Eligibil; calibrare linie in monitorizare","Eligibil"))))))))))</x:f>
      </x:c>
      <x:c r="AI462" s="2" t="str">
        <x:f>IF(B462="","",'Calibrare_Linii'!V14)</x:f>
      </x:c>
      <x:c r="AJ462" s="2" t="str">
        <x:f>IF(B462="","",IF(AND('Calibrare_Linii'!T14="VALIDATED",AND('Calibrare_Linii'!H14=C462,ISNUMBER('Calibrare_Linii'!J14),'Calibrare_Linii'!J14&lt;='Input_Meci'!G38)),"DEFENSIVE VALIDATED",IF(AND('Calibrare_Linii'!S14="VALIDATED",AND('Calibrare_Linii'!H14=C462,ISNUMBER('Calibrare_Linii'!J14),'Calibrare_Linii'!J14&lt;='Input_Meci'!G38)),"TAIL VALIDATED","OOS PENDING")))</x:f>
      </x:c>
      <x:c r="AK462" s="2" t="n">
        <x:f>IF(J462&lt;&gt;"PASS",0,'Motor_Meciuri'!BR38)</x:f>
        <x:v>0</x:v>
      </x:c>
      <x:c r="AL462" s="2" t="n">
        <x:f>IF(J462&lt;&gt;"PASS",0,'Motor_Meciuri'!BS38)</x:f>
        <x:v>0</x:v>
      </x:c>
      <x:c r="AM462" s="2" t="n">
        <x:f>IF(J462&lt;&gt;"PASS",0,'Motor_Meciuri'!BT38)</x:f>
        <x:v>0</x:v>
      </x:c>
      <x:c r="AN462" s="2" t="str">
        <x:f>IF(M462="","",MAX(0,'Motor_Meciuri'!BF38-IF(L462&gt;'Config_v6'!$B$12,'Config_v6'!$B$37,IF(L462&gt;'Config_v6'!$B$11,'Config_v6'!$B$36,0))))</x:f>
      </x:c>
    </x:row>
    <x:row r="463" ht="21" customHeight="1">
      <x:c r="A463" s="2" t="n">
        <x:v>33</x:v>
      </x:c>
      <x:c r="B463" s="2" t="str">
        <x:f>IF('Motor_Meciuri'!A38="","",'Motor_Meciuri'!A38)</x:f>
      </x:c>
      <x:c r="C463" s="2" t="str">
        <x:f>IF(B463="","",'Motor_Meciuri'!B38)</x:f>
      </x:c>
      <x:c r="D463" s="2" t="str">
        <x:f>IF(B463="","",'Motor_Meciuri'!D38)</x:f>
      </x:c>
      <x:c r="E463" s="2" t="str">
        <x:f>IF(B463="","",'Motor_Meciuri'!E38)</x:f>
      </x:c>
      <x:c r="F463" s="2" t="str">
        <x:v>U13,5</x:v>
      </x:c>
      <x:c r="G463" s="2" t="str">
        <x:v>UNDER</x:v>
      </x:c>
      <x:c r="H463" s="2" t="n">
        <x:v>13</x:v>
      </x:c>
      <x:c r="I463" s="2" t="str">
        <x:f>IF(B463="","",'Motor_Meciuri'!H38)</x:f>
      </x:c>
      <x:c r="J463" s="2" t="str">
        <x:f>IF(B463="","",'Motor_Meciuri'!I38)</x:f>
      </x:c>
      <x:c r="K463" s="11" t="str">
        <x:f>IF(J463&lt;&gt;"PASS","",'Motor_Meciuri'!BD38)</x:f>
      </x:c>
      <x:c r="L463" s="11" t="str">
        <x:f>IF(J463&lt;&gt;"PASS","",'Motor_Meciuri'!AU38)</x:f>
      </x:c>
      <x:c r="M463" s="10" t="str">
        <x:f>IF(NOT(AND(J463="PASS",'Calibrare_Linii'!U15="VALID")),"",'Distributie'!AK38)</x:f>
      </x:c>
      <x:c r="N463" s="10" t="str">
        <x:f>IF(M463="","",MAX(0.01,MIN(0.99,0.5+(M463-0.5)*'Motor_Meciuri'!BG38*'Calibrare_Linii'!D15)))</x:f>
      </x:c>
      <x:c r="O463" s="10" t="str">
        <x:f>IF(M463="","",1-M463)</x:f>
      </x:c>
      <x:c r="P463" s="10" t="str">
        <x:f>IF(OR(NOT(AND(J463="PASS",'Calibrare_Linii'!U15="VALID")),AK463=0),""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*('Istoric_Nativ'!$Q$6:$Q$405&gt;H463))/AK463)</x:f>
      </x:c>
      <x:c r="Q463" s="10" t="str">
        <x:f>IF(OR(NOT(AND(J463="PASS",'Calibrare_Linii'!U15="VALID")),AL463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M38)+((('Istoric_Nativ'!$E$6:$E$405='Input_Meci'!E38)+('Istoric_Nativ'!$F$6:$F$405='Input_Meci'!E38))&gt;0)*('Istoric_Nativ'!$D$6:$D$405&gt;='Motor_Meciuri'!BN38))&gt;0)*('Istoric_Nativ'!$Q$6:$Q$405&gt;H463))/AL463)</x:f>
      </x:c>
      <x:c r="R463" s="10" t="str">
        <x:f>IF(OR(NOT(AND(J463="PASS",'Calibrare_Linii'!U15="VALID")),AM463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O38)+((('Istoric_Nativ'!$E$6:$E$405='Input_Meci'!E38)+('Istoric_Nativ'!$F$6:$F$405='Input_Meci'!E38))&gt;0)*('Istoric_Nativ'!$D$6:$D$405&gt;='Motor_Meciuri'!BP38))&gt;0)*('Istoric_Nativ'!$Q$6:$Q$405&gt;H463))/AM463)</x:f>
      </x:c>
      <x:c r="S463" s="10" t="str">
        <x:f>IF(M463="","",MAX(O463,P463,Q463,R463))</x:f>
      </x:c>
      <x:c r="T463" s="11" t="str">
        <x:f>IF(M463="","",MIN(100,S463*100*'Config_v6'!$B$44+MIN(100,L463/'Config_v6'!$B$13*100)*'Config_v6'!$B$45+(100-'Motor_Meciuri'!BF38)*'Config_v6'!$B$46+'Motor_Meciuri'!BH38*100*'Config_v6'!$B$47))</x:f>
      </x:c>
      <x:c r="U463" s="2" t="str">
        <x:f>IF(T463="","",IF(T463&lt;=20,1,IF(T463&lt;=40,2,IF(T463&lt;=60,3,IF(T463&lt;=80,4,5)))))</x:f>
      </x:c>
      <x:c r="V463" s="2" t="str">
        <x:f>IF(M463="","",MAX(0,'Motor_Meciuri'!BF38-IF(W463="OOS PENDING",'Config_v6'!$B$35,0)-IF(L463&gt;'Config_v6'!$B$12,'Config_v6'!$B$37,IF(L463&gt;'Config_v6'!$B$11,'Config_v6'!$B$36,0))))</x:f>
      </x:c>
      <x:c r="W463" s="2" t="str">
        <x:f>IF(B463="","",IF(I463&lt;&gt;"READY","NOT RELEASED",IF(NOT(AND(J463="PASS",'Calibrare_Linii'!U15="VALID")),"INVALID",IF(NOT(AND('Calibrare_Linii'!S15="VALIDATED",AND('Calibrare_Linii'!H15=C463,ISNUMBER('Calibrare_Linii'!J15),'Calibrare_Linii'!J15&lt;='Input_Meci'!G38))),"OOS PENDING",IF(S463&lt;='Calibrare_Linii'!E15,"PASS",IF(S463&lt;='Calibrare_Linii'!F15,"PENALTY","WATCH"))))))</x:f>
      </x:c>
      <x:c r="X463" s="2" t="str">
        <x:f>IF(M463="","",IF(AND(AND(J463="PASS",'Calibrare_Linii'!U15="VALID"),'Motor_Meciuri'!K38=12,'Motor_Meciuri'!L38=12,'Motor_Meciuri'!M38="NO",'Motor_Meciuri'!BL38='Motor_Meciuri'!C38,AB463&gt;='Config_v6'!$B$50,AN463&gt;='Config_v6'!$B$51,T463&lt;='Config_v6'!$B$52,L463&lt;='Config_v6'!$B$53,ISNUMBER('Calibrare_Linii'!E15),S463&lt;='Calibrare_Linii'!E15,SUM(AK463:AM463)&gt;0),"CANDIDATE","NO"))</x:f>
      </x:c>
      <x:c r="Y463" s="2" t="str">
        <x:f>IF(B463="","",IF(I463&lt;&gt;"READY","NOT RELEASED",IF(AND(X463="CANDIDATE",V463&gt;='Config_v6'!$B$51,W463="PASS",'Calibrare_Linii'!T15="VALIDATED",AND('Calibrare_Linii'!H15=C463,ISNUMBER('Calibrare_Linii'!J15),'Calibrare_Linii'!J15&lt;='Input_Meci'!G38)),"PASS",IF(X463="CANDIDATE","OOS PENDING","FAIL"))))</x:f>
      </x:c>
      <x:c r="Z463" s="2" t="str">
        <x:f>IF(B463="","",IF(I463&lt;&gt;"READY","",IF(OR(NOT(AND(J463="PASS",'Calibrare_Linii'!U15="VALID")),L463&gt;'Config_v6'!$B$13,W463="WATCH"),5,IF(Y463="PASS",1,MIN(5,MAX('Config_v6'!$B$42,U463)+IF(W463="PENALTY",1,0))))))</x:f>
      </x:c>
      <x:c r="AA463" s="2" t="str">
        <x:f>IF(B463="","",IF(I463&lt;&gt;"READY","NOT RELEASED",IF(Z463=5,"NO BET",IF(OR(AB463&lt;'Config_v6'!$B$16,V463&lt;'Config_v6'!$B$18),"WATCH",IF(Z463=1,"DEFENSIV",IF(Z463=2,"PRUDENT",IF(Z463=3,"MODERAT","RIDICAT")))))))</x:f>
      </x:c>
      <x:c r="AB463" s="10" t="str">
        <x:f>IF(N463="","",MIN(N463,1-S463))</x:f>
      </x:c>
      <x:c r="AC463" s="2" t="str">
        <x:f>IF(AD463&lt;&gt;1,"",COUNTIFS($Z$454:$Z$467,"&lt;"&amp;Z463,$AD$454:$AD$467,1)+COUNTIFS($Z$454:$Z$467,Z463,$AB$454:$AB$467,"&gt;"&amp;AB463,$AD$454:$AD$467,1)+COUNTIFS($Z$454:$Z$467,Z463,$AB$454:$AB$467,AB463,$V$454:$V$467,"&gt;"&amp;V463,$AD$454:$AD$467,1)+COUNTIFS($Z$454:Z463,Z463,$AB$454:AB463,AB463,$V$454:V463,V463,$AD$454:AD463,1))</x:f>
      </x:c>
      <x:c r="AD463" s="2" t="n">
        <x:f>IF(OR(AA463="DEFENSIV",AA463="PRUDENT",AA463="MODERAT",AA463="RIDICAT"),1,0)</x:f>
        <x:v>0</x:v>
      </x:c>
      <x:c r="AE463" s="2" t="str">
        <x:f>IF(AD463&lt;&gt;1,"NO",IF(W463="PASS","YES",IF(W463="OOS PENDING","CONDITIONAL","NO")))</x:f>
        <x:v>NO</x:v>
      </x:c>
      <x:c r="AF463" s="2" t="n">
        <x:f>IF(AND(AD463=1,AC463=1,E463="LIVE"),1,0)</x:f>
        <x:v>0</x:v>
      </x:c>
      <x:c r="AG463" s="2" t="str">
        <x:f>IF(AF463&lt;&gt;1,"",'Dashboard'!P58)</x:f>
      </x:c>
      <x:c r="AH463" s="2" t="str">
        <x:f>IF(B463="","",IF(J463&lt;&gt;"PASS",'Motor_Meciuri'!J38,IF('Calibrare_Linii'!U15&lt;&gt;"VALID","Parametri linie invalizi",IF(L463&gt;'Config_v6'!$B$13,"Dispersie peste limita",IF(W463="WATCH","Failure peste limita",IF(AB463&lt;'Config_v6'!$B$16,"P finala sub prag",IF(V463&lt;'Config_v6'!$B$18,"Confidence sub prag",IF(E463="REPLAY","Exemplu retrospectiv; exclus din Top LIVE",IF(Y463="PASS","DEFENSIV validat",IF(W463="OOS PENDING","Eligibil; calibrare linie in monitorizare","Eligibil"))))))))))</x:f>
      </x:c>
      <x:c r="AI463" s="2" t="str">
        <x:f>IF(B463="","",'Calibrare_Linii'!V15)</x:f>
      </x:c>
      <x:c r="AJ463" s="2" t="str">
        <x:f>IF(B463="","",IF(AND('Calibrare_Linii'!T15="VALIDATED",AND('Calibrare_Linii'!H15=C463,ISNUMBER('Calibrare_Linii'!J15),'Calibrare_Linii'!J15&lt;='Input_Meci'!G38)),"DEFENSIVE VALIDATED",IF(AND('Calibrare_Linii'!S15="VALIDATED",AND('Calibrare_Linii'!H15=C463,ISNUMBER('Calibrare_Linii'!J15),'Calibrare_Linii'!J15&lt;='Input_Meci'!G38)),"TAIL VALIDATED","OOS PENDING")))</x:f>
      </x:c>
      <x:c r="AK463" s="2" t="n">
        <x:f>IF(J463&lt;&gt;"PASS",0,'Motor_Meciuri'!BR38)</x:f>
        <x:v>0</x:v>
      </x:c>
      <x:c r="AL463" s="2" t="n">
        <x:f>IF(J463&lt;&gt;"PASS",0,'Motor_Meciuri'!BS38)</x:f>
        <x:v>0</x:v>
      </x:c>
      <x:c r="AM463" s="2" t="n">
        <x:f>IF(J463&lt;&gt;"PASS",0,'Motor_Meciuri'!BT38)</x:f>
        <x:v>0</x:v>
      </x:c>
      <x:c r="AN463" s="2" t="str">
        <x:f>IF(M463="","",MAX(0,'Motor_Meciuri'!BF38-IF(L463&gt;'Config_v6'!$B$12,'Config_v6'!$B$37,IF(L463&gt;'Config_v6'!$B$11,'Config_v6'!$B$36,0))))</x:f>
      </x:c>
    </x:row>
    <x:row r="464" ht="21" customHeight="1">
      <x:c r="A464" s="2" t="n">
        <x:v>33</x:v>
      </x:c>
      <x:c r="B464" s="2" t="str">
        <x:f>IF('Motor_Meciuri'!A38="","",'Motor_Meciuri'!A38)</x:f>
      </x:c>
      <x:c r="C464" s="2" t="str">
        <x:f>IF(B464="","",'Motor_Meciuri'!B38)</x:f>
      </x:c>
      <x:c r="D464" s="2" t="str">
        <x:f>IF(B464="","",'Motor_Meciuri'!D38)</x:f>
      </x:c>
      <x:c r="E464" s="2" t="str">
        <x:f>IF(B464="","",'Motor_Meciuri'!E38)</x:f>
      </x:c>
      <x:c r="F464" s="2" t="str">
        <x:v>U14,5</x:v>
      </x:c>
      <x:c r="G464" s="2" t="str">
        <x:v>UNDER</x:v>
      </x:c>
      <x:c r="H464" s="2" t="n">
        <x:v>14</x:v>
      </x:c>
      <x:c r="I464" s="2" t="str">
        <x:f>IF(B464="","",'Motor_Meciuri'!H38)</x:f>
      </x:c>
      <x:c r="J464" s="2" t="str">
        <x:f>IF(B464="","",'Motor_Meciuri'!I38)</x:f>
      </x:c>
      <x:c r="K464" s="11" t="str">
        <x:f>IF(J464&lt;&gt;"PASS","",'Motor_Meciuri'!BD38)</x:f>
      </x:c>
      <x:c r="L464" s="11" t="str">
        <x:f>IF(J464&lt;&gt;"PASS","",'Motor_Meciuri'!AU38)</x:f>
      </x:c>
      <x:c r="M464" s="10" t="str">
        <x:f>IF(NOT(AND(J464="PASS",'Calibrare_Linii'!U16="VALID")),"",'Distributie'!AL38)</x:f>
      </x:c>
      <x:c r="N464" s="10" t="str">
        <x:f>IF(M464="","",MAX(0.01,MIN(0.99,0.5+(M464-0.5)*'Motor_Meciuri'!BG38*'Calibrare_Linii'!D16)))</x:f>
      </x:c>
      <x:c r="O464" s="10" t="str">
        <x:f>IF(M464="","",1-M464)</x:f>
      </x:c>
      <x:c r="P464" s="10" t="str">
        <x:f>IF(OR(NOT(AND(J464="PASS",'Calibrare_Linii'!U16="VALID")),AK464=0),""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*('Istoric_Nativ'!$Q$6:$Q$405&gt;H464))/AK464)</x:f>
      </x:c>
      <x:c r="Q464" s="10" t="str">
        <x:f>IF(OR(NOT(AND(J464="PASS",'Calibrare_Linii'!U16="VALID")),AL464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M38)+((('Istoric_Nativ'!$E$6:$E$405='Input_Meci'!E38)+('Istoric_Nativ'!$F$6:$F$405='Input_Meci'!E38))&gt;0)*('Istoric_Nativ'!$D$6:$D$405&gt;='Motor_Meciuri'!BN38))&gt;0)*('Istoric_Nativ'!$Q$6:$Q$405&gt;H464))/AL464)</x:f>
      </x:c>
      <x:c r="R464" s="10" t="str">
        <x:f>IF(OR(NOT(AND(J464="PASS",'Calibrare_Linii'!U16="VALID")),AM464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O38)+((('Istoric_Nativ'!$E$6:$E$405='Input_Meci'!E38)+('Istoric_Nativ'!$F$6:$F$405='Input_Meci'!E38))&gt;0)*('Istoric_Nativ'!$D$6:$D$405&gt;='Motor_Meciuri'!BP38))&gt;0)*('Istoric_Nativ'!$Q$6:$Q$405&gt;H464))/AM464)</x:f>
      </x:c>
      <x:c r="S464" s="10" t="str">
        <x:f>IF(M464="","",MAX(O464,P464,Q464,R464))</x:f>
      </x:c>
      <x:c r="T464" s="11" t="str">
        <x:f>IF(M464="","",MIN(100,S464*100*'Config_v6'!$B$44+MIN(100,L464/'Config_v6'!$B$13*100)*'Config_v6'!$B$45+(100-'Motor_Meciuri'!BF38)*'Config_v6'!$B$46+'Motor_Meciuri'!BH38*100*'Config_v6'!$B$47))</x:f>
      </x:c>
      <x:c r="U464" s="2" t="str">
        <x:f>IF(T464="","",IF(T464&lt;=20,1,IF(T464&lt;=40,2,IF(T464&lt;=60,3,IF(T464&lt;=80,4,5)))))</x:f>
      </x:c>
      <x:c r="V464" s="2" t="str">
        <x:f>IF(M464="","",MAX(0,'Motor_Meciuri'!BF38-IF(W464="OOS PENDING",'Config_v6'!$B$35,0)-IF(L464&gt;'Config_v6'!$B$12,'Config_v6'!$B$37,IF(L464&gt;'Config_v6'!$B$11,'Config_v6'!$B$36,0))))</x:f>
      </x:c>
      <x:c r="W464" s="2" t="str">
        <x:f>IF(B464="","",IF(I464&lt;&gt;"READY","NOT RELEASED",IF(NOT(AND(J464="PASS",'Calibrare_Linii'!U16="VALID")),"INVALID",IF(NOT(AND('Calibrare_Linii'!S16="VALIDATED",AND('Calibrare_Linii'!H16=C464,ISNUMBER('Calibrare_Linii'!J16),'Calibrare_Linii'!J16&lt;='Input_Meci'!G38))),"OOS PENDING",IF(S464&lt;='Calibrare_Linii'!E16,"PASS",IF(S464&lt;='Calibrare_Linii'!F16,"PENALTY","WATCH"))))))</x:f>
      </x:c>
      <x:c r="X464" s="2" t="str">
        <x:f>IF(M464="","",IF(AND(AND(J464="PASS",'Calibrare_Linii'!U16="VALID"),'Motor_Meciuri'!K38=12,'Motor_Meciuri'!L38=12,'Motor_Meciuri'!M38="NO",'Motor_Meciuri'!BL38='Motor_Meciuri'!C38,AB464&gt;='Config_v6'!$B$50,AN464&gt;='Config_v6'!$B$51,T464&lt;='Config_v6'!$B$52,L464&lt;='Config_v6'!$B$53,ISNUMBER('Calibrare_Linii'!E16),S464&lt;='Calibrare_Linii'!E16,SUM(AK464:AM464)&gt;0),"CANDIDATE","NO"))</x:f>
      </x:c>
      <x:c r="Y464" s="2" t="str">
        <x:f>IF(B464="","",IF(I464&lt;&gt;"READY","NOT RELEASED",IF(AND(X464="CANDIDATE",V464&gt;='Config_v6'!$B$51,W464="PASS",'Calibrare_Linii'!T16="VALIDATED",AND('Calibrare_Linii'!H16=C464,ISNUMBER('Calibrare_Linii'!J16),'Calibrare_Linii'!J16&lt;='Input_Meci'!G38)),"PASS",IF(X464="CANDIDATE","OOS PENDING","FAIL"))))</x:f>
      </x:c>
      <x:c r="Z464" s="2" t="str">
        <x:f>IF(B464="","",IF(I464&lt;&gt;"READY","",IF(OR(NOT(AND(J464="PASS",'Calibrare_Linii'!U16="VALID")),L464&gt;'Config_v6'!$B$13,W464="WATCH"),5,IF(Y464="PASS",1,MIN(5,MAX('Config_v6'!$B$42,U464)+IF(W464="PENALTY",1,0))))))</x:f>
      </x:c>
      <x:c r="AA464" s="2" t="str">
        <x:f>IF(B464="","",IF(I464&lt;&gt;"READY","NOT RELEASED",IF(Z464=5,"NO BET",IF(OR(AB464&lt;'Config_v6'!$B$16,V464&lt;'Config_v6'!$B$18),"WATCH",IF(Z464=1,"DEFENSIV",IF(Z464=2,"PRUDENT",IF(Z464=3,"MODERAT","RIDICAT")))))))</x:f>
      </x:c>
      <x:c r="AB464" s="10" t="str">
        <x:f>IF(N464="","",MIN(N464,1-S464))</x:f>
      </x:c>
      <x:c r="AC464" s="2" t="str">
        <x:f>IF(AD464&lt;&gt;1,"",COUNTIFS($Z$454:$Z$467,"&lt;"&amp;Z464,$AD$454:$AD$467,1)+COUNTIFS($Z$454:$Z$467,Z464,$AB$454:$AB$467,"&gt;"&amp;AB464,$AD$454:$AD$467,1)+COUNTIFS($Z$454:$Z$467,Z464,$AB$454:$AB$467,AB464,$V$454:$V$467,"&gt;"&amp;V464,$AD$454:$AD$467,1)+COUNTIFS($Z$454:Z464,Z464,$AB$454:AB464,AB464,$V$454:V464,V464,$AD$454:AD464,1))</x:f>
      </x:c>
      <x:c r="AD464" s="2" t="n">
        <x:f>IF(OR(AA464="DEFENSIV",AA464="PRUDENT",AA464="MODERAT",AA464="RIDICAT"),1,0)</x:f>
        <x:v>0</x:v>
      </x:c>
      <x:c r="AE464" s="2" t="str">
        <x:f>IF(AD464&lt;&gt;1,"NO",IF(W464="PASS","YES",IF(W464="OOS PENDING","CONDITIONAL","NO")))</x:f>
        <x:v>NO</x:v>
      </x:c>
      <x:c r="AF464" s="2" t="n">
        <x:f>IF(AND(AD464=1,AC464=1,E464="LIVE"),1,0)</x:f>
        <x:v>0</x:v>
      </x:c>
      <x:c r="AG464" s="2" t="str">
        <x:f>IF(AF464&lt;&gt;1,"",'Dashboard'!P58)</x:f>
      </x:c>
      <x:c r="AH464" s="2" t="str">
        <x:f>IF(B464="","",IF(J464&lt;&gt;"PASS",'Motor_Meciuri'!J38,IF('Calibrare_Linii'!U16&lt;&gt;"VALID","Parametri linie invalizi",IF(L464&gt;'Config_v6'!$B$13,"Dispersie peste limita",IF(W464="WATCH","Failure peste limita",IF(AB464&lt;'Config_v6'!$B$16,"P finala sub prag",IF(V464&lt;'Config_v6'!$B$18,"Confidence sub prag",IF(E464="REPLAY","Exemplu retrospectiv; exclus din Top LIVE",IF(Y464="PASS","DEFENSIV validat",IF(W464="OOS PENDING","Eligibil; calibrare linie in monitorizare","Eligibil"))))))))))</x:f>
      </x:c>
      <x:c r="AI464" s="2" t="str">
        <x:f>IF(B464="","",'Calibrare_Linii'!V16)</x:f>
      </x:c>
      <x:c r="AJ464" s="2" t="str">
        <x:f>IF(B464="","",IF(AND('Calibrare_Linii'!T16="VALIDATED",AND('Calibrare_Linii'!H16=C464,ISNUMBER('Calibrare_Linii'!J16),'Calibrare_Linii'!J16&lt;='Input_Meci'!G38)),"DEFENSIVE VALIDATED",IF(AND('Calibrare_Linii'!S16="VALIDATED",AND('Calibrare_Linii'!H16=C464,ISNUMBER('Calibrare_Linii'!J16),'Calibrare_Linii'!J16&lt;='Input_Meci'!G38)),"TAIL VALIDATED","OOS PENDING")))</x:f>
      </x:c>
      <x:c r="AK464" s="2" t="n">
        <x:f>IF(J464&lt;&gt;"PASS",0,'Motor_Meciuri'!BR38)</x:f>
        <x:v>0</x:v>
      </x:c>
      <x:c r="AL464" s="2" t="n">
        <x:f>IF(J464&lt;&gt;"PASS",0,'Motor_Meciuri'!BS38)</x:f>
        <x:v>0</x:v>
      </x:c>
      <x:c r="AM464" s="2" t="n">
        <x:f>IF(J464&lt;&gt;"PASS",0,'Motor_Meciuri'!BT38)</x:f>
        <x:v>0</x:v>
      </x:c>
      <x:c r="AN464" s="2" t="str">
        <x:f>IF(M464="","",MAX(0,'Motor_Meciuri'!BF38-IF(L464&gt;'Config_v6'!$B$12,'Config_v6'!$B$37,IF(L464&gt;'Config_v6'!$B$11,'Config_v6'!$B$36,0))))</x:f>
      </x:c>
    </x:row>
    <x:row r="465" ht="21" customHeight="1">
      <x:c r="A465" s="2" t="n">
        <x:v>33</x:v>
      </x:c>
      <x:c r="B465" s="2" t="str">
        <x:f>IF('Motor_Meciuri'!A38="","",'Motor_Meciuri'!A38)</x:f>
      </x:c>
      <x:c r="C465" s="2" t="str">
        <x:f>IF(B465="","",'Motor_Meciuri'!B38)</x:f>
      </x:c>
      <x:c r="D465" s="2" t="str">
        <x:f>IF(B465="","",'Motor_Meciuri'!D38)</x:f>
      </x:c>
      <x:c r="E465" s="2" t="str">
        <x:f>IF(B465="","",'Motor_Meciuri'!E38)</x:f>
      </x:c>
      <x:c r="F465" s="2" t="str">
        <x:v>U15,5</x:v>
      </x:c>
      <x:c r="G465" s="2" t="str">
        <x:v>UNDER</x:v>
      </x:c>
      <x:c r="H465" s="2" t="n">
        <x:v>15</x:v>
      </x:c>
      <x:c r="I465" s="2" t="str">
        <x:f>IF(B465="","",'Motor_Meciuri'!H38)</x:f>
      </x:c>
      <x:c r="J465" s="2" t="str">
        <x:f>IF(B465="","",'Motor_Meciuri'!I38)</x:f>
      </x:c>
      <x:c r="K465" s="11" t="str">
        <x:f>IF(J465&lt;&gt;"PASS","",'Motor_Meciuri'!BD38)</x:f>
      </x:c>
      <x:c r="L465" s="11" t="str">
        <x:f>IF(J465&lt;&gt;"PASS","",'Motor_Meciuri'!AU38)</x:f>
      </x:c>
      <x:c r="M465" s="10" t="str">
        <x:f>IF(NOT(AND(J465="PASS",'Calibrare_Linii'!U17="VALID")),"",'Distributie'!AM38)</x:f>
      </x:c>
      <x:c r="N465" s="10" t="str">
        <x:f>IF(M465="","",MAX(0.01,MIN(0.99,0.5+(M465-0.5)*'Motor_Meciuri'!BG38*'Calibrare_Linii'!D17)))</x:f>
      </x:c>
      <x:c r="O465" s="10" t="str">
        <x:f>IF(M465="","",1-M465)</x:f>
      </x:c>
      <x:c r="P465" s="10" t="str">
        <x:f>IF(OR(NOT(AND(J465="PASS",'Calibrare_Linii'!U17="VALID")),AK465=0),""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*('Istoric_Nativ'!$Q$6:$Q$405&gt;H465))/AK465)</x:f>
      </x:c>
      <x:c r="Q465" s="10" t="str">
        <x:f>IF(OR(NOT(AND(J465="PASS",'Calibrare_Linii'!U17="VALID")),AL465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M38)+((('Istoric_Nativ'!$E$6:$E$405='Input_Meci'!E38)+('Istoric_Nativ'!$F$6:$F$405='Input_Meci'!E38))&gt;0)*('Istoric_Nativ'!$D$6:$D$405&gt;='Motor_Meciuri'!BN38))&gt;0)*('Istoric_Nativ'!$Q$6:$Q$405&gt;H465))/AL465)</x:f>
      </x:c>
      <x:c r="R465" s="10" t="str">
        <x:f>IF(OR(NOT(AND(J465="PASS",'Calibrare_Linii'!U17="VALID")),AM465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O38)+((('Istoric_Nativ'!$E$6:$E$405='Input_Meci'!E38)+('Istoric_Nativ'!$F$6:$F$405='Input_Meci'!E38))&gt;0)*('Istoric_Nativ'!$D$6:$D$405&gt;='Motor_Meciuri'!BP38))&gt;0)*('Istoric_Nativ'!$Q$6:$Q$405&gt;H465))/AM465)</x:f>
      </x:c>
      <x:c r="S465" s="10" t="str">
        <x:f>IF(M465="","",MAX(O465,P465,Q465,R465))</x:f>
      </x:c>
      <x:c r="T465" s="11" t="str">
        <x:f>IF(M465="","",MIN(100,S465*100*'Config_v6'!$B$44+MIN(100,L465/'Config_v6'!$B$13*100)*'Config_v6'!$B$45+(100-'Motor_Meciuri'!BF38)*'Config_v6'!$B$46+'Motor_Meciuri'!BH38*100*'Config_v6'!$B$47))</x:f>
      </x:c>
      <x:c r="U465" s="2" t="str">
        <x:f>IF(T465="","",IF(T465&lt;=20,1,IF(T465&lt;=40,2,IF(T465&lt;=60,3,IF(T465&lt;=80,4,5)))))</x:f>
      </x:c>
      <x:c r="V465" s="2" t="str">
        <x:f>IF(M465="","",MAX(0,'Motor_Meciuri'!BF38-IF(W465="OOS PENDING",'Config_v6'!$B$35,0)-IF(L465&gt;'Config_v6'!$B$12,'Config_v6'!$B$37,IF(L465&gt;'Config_v6'!$B$11,'Config_v6'!$B$36,0))))</x:f>
      </x:c>
      <x:c r="W465" s="2" t="str">
        <x:f>IF(B465="","",IF(I465&lt;&gt;"READY","NOT RELEASED",IF(NOT(AND(J465="PASS",'Calibrare_Linii'!U17="VALID")),"INVALID",IF(NOT(AND('Calibrare_Linii'!S17="VALIDATED",AND('Calibrare_Linii'!H17=C465,ISNUMBER('Calibrare_Linii'!J17),'Calibrare_Linii'!J17&lt;='Input_Meci'!G38))),"OOS PENDING",IF(S465&lt;='Calibrare_Linii'!E17,"PASS",IF(S465&lt;='Calibrare_Linii'!F17,"PENALTY","WATCH"))))))</x:f>
      </x:c>
      <x:c r="X465" s="2" t="str">
        <x:f>IF(M465="","",IF(AND(AND(J465="PASS",'Calibrare_Linii'!U17="VALID"),'Motor_Meciuri'!K38=12,'Motor_Meciuri'!L38=12,'Motor_Meciuri'!M38="NO",'Motor_Meciuri'!BL38='Motor_Meciuri'!C38,AB465&gt;='Config_v6'!$B$50,AN465&gt;='Config_v6'!$B$51,T465&lt;='Config_v6'!$B$52,L465&lt;='Config_v6'!$B$53,ISNUMBER('Calibrare_Linii'!E17),S465&lt;='Calibrare_Linii'!E17,SUM(AK465:AM465)&gt;0),"CANDIDATE","NO"))</x:f>
      </x:c>
      <x:c r="Y465" s="2" t="str">
        <x:f>IF(B465="","",IF(I465&lt;&gt;"READY","NOT RELEASED",IF(AND(X465="CANDIDATE",V465&gt;='Config_v6'!$B$51,W465="PASS",'Calibrare_Linii'!T17="VALIDATED",AND('Calibrare_Linii'!H17=C465,ISNUMBER('Calibrare_Linii'!J17),'Calibrare_Linii'!J17&lt;='Input_Meci'!G38)),"PASS",IF(X465="CANDIDATE","OOS PENDING","FAIL"))))</x:f>
      </x:c>
      <x:c r="Z465" s="2" t="str">
        <x:f>IF(B465="","",IF(I465&lt;&gt;"READY","",IF(OR(NOT(AND(J465="PASS",'Calibrare_Linii'!U17="VALID")),L465&gt;'Config_v6'!$B$13,W465="WATCH"),5,IF(Y465="PASS",1,MIN(5,MAX('Config_v6'!$B$42,U465)+IF(W465="PENALTY",1,0))))))</x:f>
      </x:c>
      <x:c r="AA465" s="2" t="str">
        <x:f>IF(B465="","",IF(I465&lt;&gt;"READY","NOT RELEASED",IF(Z465=5,"NO BET",IF(OR(AB465&lt;'Config_v6'!$B$16,V465&lt;'Config_v6'!$B$18),"WATCH",IF(Z465=1,"DEFENSIV",IF(Z465=2,"PRUDENT",IF(Z465=3,"MODERAT","RIDICAT")))))))</x:f>
      </x:c>
      <x:c r="AB465" s="10" t="str">
        <x:f>IF(N465="","",MIN(N465,1-S465))</x:f>
      </x:c>
      <x:c r="AC465" s="2" t="str">
        <x:f>IF(AD465&lt;&gt;1,"",COUNTIFS($Z$454:$Z$467,"&lt;"&amp;Z465,$AD$454:$AD$467,1)+COUNTIFS($Z$454:$Z$467,Z465,$AB$454:$AB$467,"&gt;"&amp;AB465,$AD$454:$AD$467,1)+COUNTIFS($Z$454:$Z$467,Z465,$AB$454:$AB$467,AB465,$V$454:$V$467,"&gt;"&amp;V465,$AD$454:$AD$467,1)+COUNTIFS($Z$454:Z465,Z465,$AB$454:AB465,AB465,$V$454:V465,V465,$AD$454:AD465,1))</x:f>
      </x:c>
      <x:c r="AD465" s="2" t="n">
        <x:f>IF(OR(AA465="DEFENSIV",AA465="PRUDENT",AA465="MODERAT",AA465="RIDICAT"),1,0)</x:f>
        <x:v>0</x:v>
      </x:c>
      <x:c r="AE465" s="2" t="str">
        <x:f>IF(AD465&lt;&gt;1,"NO",IF(W465="PASS","YES",IF(W465="OOS PENDING","CONDITIONAL","NO")))</x:f>
        <x:v>NO</x:v>
      </x:c>
      <x:c r="AF465" s="2" t="n">
        <x:f>IF(AND(AD465=1,AC465=1,E465="LIVE"),1,0)</x:f>
        <x:v>0</x:v>
      </x:c>
      <x:c r="AG465" s="2" t="str">
        <x:f>IF(AF465&lt;&gt;1,"",'Dashboard'!P58)</x:f>
      </x:c>
      <x:c r="AH465" s="2" t="str">
        <x:f>IF(B465="","",IF(J465&lt;&gt;"PASS",'Motor_Meciuri'!J38,IF('Calibrare_Linii'!U17&lt;&gt;"VALID","Parametri linie invalizi",IF(L465&gt;'Config_v6'!$B$13,"Dispersie peste limita",IF(W465="WATCH","Failure peste limita",IF(AB465&lt;'Config_v6'!$B$16,"P finala sub prag",IF(V465&lt;'Config_v6'!$B$18,"Confidence sub prag",IF(E465="REPLAY","Exemplu retrospectiv; exclus din Top LIVE",IF(Y465="PASS","DEFENSIV validat",IF(W465="OOS PENDING","Eligibil; calibrare linie in monitorizare","Eligibil"))))))))))</x:f>
      </x:c>
      <x:c r="AI465" s="2" t="str">
        <x:f>IF(B465="","",'Calibrare_Linii'!V17)</x:f>
      </x:c>
      <x:c r="AJ465" s="2" t="str">
        <x:f>IF(B465="","",IF(AND('Calibrare_Linii'!T17="VALIDATED",AND('Calibrare_Linii'!H17=C465,ISNUMBER('Calibrare_Linii'!J17),'Calibrare_Linii'!J17&lt;='Input_Meci'!G38)),"DEFENSIVE VALIDATED",IF(AND('Calibrare_Linii'!S17="VALIDATED",AND('Calibrare_Linii'!H17=C465,ISNUMBER('Calibrare_Linii'!J17),'Calibrare_Linii'!J17&lt;='Input_Meci'!G38)),"TAIL VALIDATED","OOS PENDING")))</x:f>
      </x:c>
      <x:c r="AK465" s="2" t="n">
        <x:f>IF(J465&lt;&gt;"PASS",0,'Motor_Meciuri'!BR38)</x:f>
        <x:v>0</x:v>
      </x:c>
      <x:c r="AL465" s="2" t="n">
        <x:f>IF(J465&lt;&gt;"PASS",0,'Motor_Meciuri'!BS38)</x:f>
        <x:v>0</x:v>
      </x:c>
      <x:c r="AM465" s="2" t="n">
        <x:f>IF(J465&lt;&gt;"PASS",0,'Motor_Meciuri'!BT38)</x:f>
        <x:v>0</x:v>
      </x:c>
      <x:c r="AN465" s="2" t="str">
        <x:f>IF(M465="","",MAX(0,'Motor_Meciuri'!BF38-IF(L465&gt;'Config_v6'!$B$12,'Config_v6'!$B$37,IF(L465&gt;'Config_v6'!$B$11,'Config_v6'!$B$36,0))))</x:f>
      </x:c>
    </x:row>
    <x:row r="466" ht="21" customHeight="1">
      <x:c r="A466" s="2" t="n">
        <x:v>33</x:v>
      </x:c>
      <x:c r="B466" s="2" t="str">
        <x:f>IF('Motor_Meciuri'!A38="","",'Motor_Meciuri'!A38)</x:f>
      </x:c>
      <x:c r="C466" s="2" t="str">
        <x:f>IF(B466="","",'Motor_Meciuri'!B38)</x:f>
      </x:c>
      <x:c r="D466" s="2" t="str">
        <x:f>IF(B466="","",'Motor_Meciuri'!D38)</x:f>
      </x:c>
      <x:c r="E466" s="2" t="str">
        <x:f>IF(B466="","",'Motor_Meciuri'!E38)</x:f>
      </x:c>
      <x:c r="F466" s="2" t="str">
        <x:v>U16,5</x:v>
      </x:c>
      <x:c r="G466" s="2" t="str">
        <x:v>UNDER</x:v>
      </x:c>
      <x:c r="H466" s="2" t="n">
        <x:v>16</x:v>
      </x:c>
      <x:c r="I466" s="2" t="str">
        <x:f>IF(B466="","",'Motor_Meciuri'!H38)</x:f>
      </x:c>
      <x:c r="J466" s="2" t="str">
        <x:f>IF(B466="","",'Motor_Meciuri'!I38)</x:f>
      </x:c>
      <x:c r="K466" s="11" t="str">
        <x:f>IF(J466&lt;&gt;"PASS","",'Motor_Meciuri'!BD38)</x:f>
      </x:c>
      <x:c r="L466" s="11" t="str">
        <x:f>IF(J466&lt;&gt;"PASS","",'Motor_Meciuri'!AU38)</x:f>
      </x:c>
      <x:c r="M466" s="10" t="str">
        <x:f>IF(NOT(AND(J466="PASS",'Calibrare_Linii'!U18="VALID")),"",'Distributie'!AN38)</x:f>
      </x:c>
      <x:c r="N466" s="10" t="str">
        <x:f>IF(M466="","",MAX(0.01,MIN(0.99,0.5+(M466-0.5)*'Motor_Meciuri'!BG38*'Calibrare_Linii'!D18)))</x:f>
      </x:c>
      <x:c r="O466" s="10" t="str">
        <x:f>IF(M466="","",1-M466)</x:f>
      </x:c>
      <x:c r="P466" s="10" t="str">
        <x:f>IF(OR(NOT(AND(J466="PASS",'Calibrare_Linii'!U18="VALID")),AK466=0),""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*('Istoric_Nativ'!$Q$6:$Q$405&gt;H466))/AK466)</x:f>
      </x:c>
      <x:c r="Q466" s="10" t="str">
        <x:f>IF(OR(NOT(AND(J466="PASS",'Calibrare_Linii'!U18="VALID")),AL466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M38)+((('Istoric_Nativ'!$E$6:$E$405='Input_Meci'!E38)+('Istoric_Nativ'!$F$6:$F$405='Input_Meci'!E38))&gt;0)*('Istoric_Nativ'!$D$6:$D$405&gt;='Motor_Meciuri'!BN38))&gt;0)*('Istoric_Nativ'!$Q$6:$Q$405&gt;H466))/AL466)</x:f>
      </x:c>
      <x:c r="R466" s="10" t="str">
        <x:f>IF(OR(NOT(AND(J466="PASS",'Calibrare_Linii'!U18="VALID")),AM466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O38)+((('Istoric_Nativ'!$E$6:$E$405='Input_Meci'!E38)+('Istoric_Nativ'!$F$6:$F$405='Input_Meci'!E38))&gt;0)*('Istoric_Nativ'!$D$6:$D$405&gt;='Motor_Meciuri'!BP38))&gt;0)*('Istoric_Nativ'!$Q$6:$Q$405&gt;H466))/AM466)</x:f>
      </x:c>
      <x:c r="S466" s="10" t="str">
        <x:f>IF(M466="","",MAX(O466,P466,Q466,R466))</x:f>
      </x:c>
      <x:c r="T466" s="11" t="str">
        <x:f>IF(M466="","",MIN(100,S466*100*'Config_v6'!$B$44+MIN(100,L466/'Config_v6'!$B$13*100)*'Config_v6'!$B$45+(100-'Motor_Meciuri'!BF38)*'Config_v6'!$B$46+'Motor_Meciuri'!BH38*100*'Config_v6'!$B$47))</x:f>
      </x:c>
      <x:c r="U466" s="2" t="str">
        <x:f>IF(T466="","",IF(T466&lt;=20,1,IF(T466&lt;=40,2,IF(T466&lt;=60,3,IF(T466&lt;=80,4,5)))))</x:f>
      </x:c>
      <x:c r="V466" s="2" t="str">
        <x:f>IF(M466="","",MAX(0,'Motor_Meciuri'!BF38-IF(W466="OOS PENDING",'Config_v6'!$B$35,0)-IF(L466&gt;'Config_v6'!$B$12,'Config_v6'!$B$37,IF(L466&gt;'Config_v6'!$B$11,'Config_v6'!$B$36,0))))</x:f>
      </x:c>
      <x:c r="W466" s="2" t="str">
        <x:f>IF(B466="","",IF(I466&lt;&gt;"READY","NOT RELEASED",IF(NOT(AND(J466="PASS",'Calibrare_Linii'!U18="VALID")),"INVALID",IF(NOT(AND('Calibrare_Linii'!S18="VALIDATED",AND('Calibrare_Linii'!H18=C466,ISNUMBER('Calibrare_Linii'!J18),'Calibrare_Linii'!J18&lt;='Input_Meci'!G38))),"OOS PENDING",IF(S466&lt;='Calibrare_Linii'!E18,"PASS",IF(S466&lt;='Calibrare_Linii'!F18,"PENALTY","WATCH"))))))</x:f>
      </x:c>
      <x:c r="X466" s="2" t="str">
        <x:f>IF(M466="","",IF(AND(AND(J466="PASS",'Calibrare_Linii'!U18="VALID"),'Motor_Meciuri'!K38=12,'Motor_Meciuri'!L38=12,'Motor_Meciuri'!M38="NO",'Motor_Meciuri'!BL38='Motor_Meciuri'!C38,AB466&gt;='Config_v6'!$B$50,AN466&gt;='Config_v6'!$B$51,T466&lt;='Config_v6'!$B$52,L466&lt;='Config_v6'!$B$53,ISNUMBER('Calibrare_Linii'!E18),S466&lt;='Calibrare_Linii'!E18,SUM(AK466:AM466)&gt;0),"CANDIDATE","NO"))</x:f>
      </x:c>
      <x:c r="Y466" s="2" t="str">
        <x:f>IF(B466="","",IF(I466&lt;&gt;"READY","NOT RELEASED",IF(AND(X466="CANDIDATE",V466&gt;='Config_v6'!$B$51,W466="PASS",'Calibrare_Linii'!T18="VALIDATED",AND('Calibrare_Linii'!H18=C466,ISNUMBER('Calibrare_Linii'!J18),'Calibrare_Linii'!J18&lt;='Input_Meci'!G38)),"PASS",IF(X466="CANDIDATE","OOS PENDING","FAIL"))))</x:f>
      </x:c>
      <x:c r="Z466" s="2" t="str">
        <x:f>IF(B466="","",IF(I466&lt;&gt;"READY","",IF(OR(NOT(AND(J466="PASS",'Calibrare_Linii'!U18="VALID")),L466&gt;'Config_v6'!$B$13,W466="WATCH"),5,IF(Y466="PASS",1,MIN(5,MAX('Config_v6'!$B$42,U466)+IF(W466="PENALTY",1,0))))))</x:f>
      </x:c>
      <x:c r="AA466" s="2" t="str">
        <x:f>IF(B466="","",IF(I466&lt;&gt;"READY","NOT RELEASED",IF(Z466=5,"NO BET",IF(OR(AB466&lt;'Config_v6'!$B$16,V466&lt;'Config_v6'!$B$18),"WATCH",IF(Z466=1,"DEFENSIV",IF(Z466=2,"PRUDENT",IF(Z466=3,"MODERAT","RIDICAT")))))))</x:f>
      </x:c>
      <x:c r="AB466" s="10" t="str">
        <x:f>IF(N466="","",MIN(N466,1-S466))</x:f>
      </x:c>
      <x:c r="AC466" s="2" t="str">
        <x:f>IF(AD466&lt;&gt;1,"",COUNTIFS($Z$454:$Z$467,"&lt;"&amp;Z466,$AD$454:$AD$467,1)+COUNTIFS($Z$454:$Z$467,Z466,$AB$454:$AB$467,"&gt;"&amp;AB466,$AD$454:$AD$467,1)+COUNTIFS($Z$454:$Z$467,Z466,$AB$454:$AB$467,AB466,$V$454:$V$467,"&gt;"&amp;V466,$AD$454:$AD$467,1)+COUNTIFS($Z$454:Z466,Z466,$AB$454:AB466,AB466,$V$454:V466,V466,$AD$454:AD466,1))</x:f>
      </x:c>
      <x:c r="AD466" s="2" t="n">
        <x:f>IF(OR(AA466="DEFENSIV",AA466="PRUDENT",AA466="MODERAT",AA466="RIDICAT"),1,0)</x:f>
        <x:v>0</x:v>
      </x:c>
      <x:c r="AE466" s="2" t="str">
        <x:f>IF(AD466&lt;&gt;1,"NO",IF(W466="PASS","YES",IF(W466="OOS PENDING","CONDITIONAL","NO")))</x:f>
        <x:v>NO</x:v>
      </x:c>
      <x:c r="AF466" s="2" t="n">
        <x:f>IF(AND(AD466=1,AC466=1,E466="LIVE"),1,0)</x:f>
        <x:v>0</x:v>
      </x:c>
      <x:c r="AG466" s="2" t="str">
        <x:f>IF(AF466&lt;&gt;1,"",'Dashboard'!P58)</x:f>
      </x:c>
      <x:c r="AH466" s="2" t="str">
        <x:f>IF(B466="","",IF(J466&lt;&gt;"PASS",'Motor_Meciuri'!J38,IF('Calibrare_Linii'!U18&lt;&gt;"VALID","Parametri linie invalizi",IF(L466&gt;'Config_v6'!$B$13,"Dispersie peste limita",IF(W466="WATCH","Failure peste limita",IF(AB466&lt;'Config_v6'!$B$16,"P finala sub prag",IF(V466&lt;'Config_v6'!$B$18,"Confidence sub prag",IF(E466="REPLAY","Exemplu retrospectiv; exclus din Top LIVE",IF(Y466="PASS","DEFENSIV validat",IF(W466="OOS PENDING","Eligibil; calibrare linie in monitorizare","Eligibil"))))))))))</x:f>
      </x:c>
      <x:c r="AI466" s="2" t="str">
        <x:f>IF(B466="","",'Calibrare_Linii'!V18)</x:f>
      </x:c>
      <x:c r="AJ466" s="2" t="str">
        <x:f>IF(B466="","",IF(AND('Calibrare_Linii'!T18="VALIDATED",AND('Calibrare_Linii'!H18=C466,ISNUMBER('Calibrare_Linii'!J18),'Calibrare_Linii'!J18&lt;='Input_Meci'!G38)),"DEFENSIVE VALIDATED",IF(AND('Calibrare_Linii'!S18="VALIDATED",AND('Calibrare_Linii'!H18=C466,ISNUMBER('Calibrare_Linii'!J18),'Calibrare_Linii'!J18&lt;='Input_Meci'!G38)),"TAIL VALIDATED","OOS PENDING")))</x:f>
      </x:c>
      <x:c r="AK466" s="2" t="n">
        <x:f>IF(J466&lt;&gt;"PASS",0,'Motor_Meciuri'!BR38)</x:f>
        <x:v>0</x:v>
      </x:c>
      <x:c r="AL466" s="2" t="n">
        <x:f>IF(J466&lt;&gt;"PASS",0,'Motor_Meciuri'!BS38)</x:f>
        <x:v>0</x:v>
      </x:c>
      <x:c r="AM466" s="2" t="n">
        <x:f>IF(J466&lt;&gt;"PASS",0,'Motor_Meciuri'!BT38)</x:f>
        <x:v>0</x:v>
      </x:c>
      <x:c r="AN466" s="2" t="str">
        <x:f>IF(M466="","",MAX(0,'Motor_Meciuri'!BF38-IF(L466&gt;'Config_v6'!$B$12,'Config_v6'!$B$37,IF(L466&gt;'Config_v6'!$B$11,'Config_v6'!$B$36,0))))</x:f>
      </x:c>
    </x:row>
    <x:row r="467" ht="21" customHeight="1">
      <x:c r="A467" s="2" t="n">
        <x:v>33</x:v>
      </x:c>
      <x:c r="B467" s="2" t="str">
        <x:f>IF('Motor_Meciuri'!A38="","",'Motor_Meciuri'!A38)</x:f>
      </x:c>
      <x:c r="C467" s="2" t="str">
        <x:f>IF(B467="","",'Motor_Meciuri'!B38)</x:f>
      </x:c>
      <x:c r="D467" s="2" t="str">
        <x:f>IF(B467="","",'Motor_Meciuri'!D38)</x:f>
      </x:c>
      <x:c r="E467" s="2" t="str">
        <x:f>IF(B467="","",'Motor_Meciuri'!E38)</x:f>
      </x:c>
      <x:c r="F467" s="2" t="str">
        <x:v>U17,5</x:v>
      </x:c>
      <x:c r="G467" s="2" t="str">
        <x:v>UNDER</x:v>
      </x:c>
      <x:c r="H467" s="2" t="n">
        <x:v>17</x:v>
      </x:c>
      <x:c r="I467" s="2" t="str">
        <x:f>IF(B467="","",'Motor_Meciuri'!H38)</x:f>
      </x:c>
      <x:c r="J467" s="2" t="str">
        <x:f>IF(B467="","",'Motor_Meciuri'!I38)</x:f>
      </x:c>
      <x:c r="K467" s="11" t="str">
        <x:f>IF(J467&lt;&gt;"PASS","",'Motor_Meciuri'!BD38)</x:f>
      </x:c>
      <x:c r="L467" s="11" t="str">
        <x:f>IF(J467&lt;&gt;"PASS","",'Motor_Meciuri'!AU38)</x:f>
      </x:c>
      <x:c r="M467" s="10" t="str">
        <x:f>IF(NOT(AND(J467="PASS",'Calibrare_Linii'!U19="VALID")),"",'Distributie'!AO38)</x:f>
      </x:c>
      <x:c r="N467" s="10" t="str">
        <x:f>IF(M467="","",MAX(0.01,MIN(0.99,0.5+(M467-0.5)*'Motor_Meciuri'!BG38*'Calibrare_Linii'!D19)))</x:f>
      </x:c>
      <x:c r="O467" s="10" t="str">
        <x:f>IF(M467="","",1-M467)</x:f>
      </x:c>
      <x:c r="P467" s="10" t="str">
        <x:f>IF(OR(NOT(AND(J467="PASS",'Calibrare_Linii'!U19="VALID")),AK467=0),""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*('Istoric_Nativ'!$Q$6:$Q$405&gt;H467))/AK467)</x:f>
      </x:c>
      <x:c r="Q467" s="10" t="str">
        <x:f>IF(OR(NOT(AND(J467="PASS",'Calibrare_Linii'!U19="VALID")),AL467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M38)+((('Istoric_Nativ'!$E$6:$E$405='Input_Meci'!E38)+('Istoric_Nativ'!$F$6:$F$405='Input_Meci'!E38))&gt;0)*('Istoric_Nativ'!$D$6:$D$405&gt;='Motor_Meciuri'!BN38))&gt;0)*('Istoric_Nativ'!$Q$6:$Q$405&gt;H467))/AL467)</x:f>
      </x:c>
      <x:c r="R467" s="10" t="str">
        <x:f>IF(OR(NOT(AND(J467="PASS",'Calibrare_Linii'!U19="VALID")),AM467=0),""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'Motor_Meciuri'!BO38)+((('Istoric_Nativ'!$E$6:$E$405='Input_Meci'!E38)+('Istoric_Nativ'!$F$6:$F$405='Input_Meci'!E38))&gt;0)*('Istoric_Nativ'!$D$6:$D$405&gt;='Motor_Meciuri'!BP38))&gt;0)*('Istoric_Nativ'!$Q$6:$Q$405&gt;H467))/AM467)</x:f>
      </x:c>
      <x:c r="S467" s="10" t="str">
        <x:f>IF(M467="","",MAX(O467,P467,Q467,R467))</x:f>
      </x:c>
      <x:c r="T467" s="11" t="str">
        <x:f>IF(M467="","",MIN(100,S467*100*'Config_v6'!$B$44+MIN(100,L467/'Config_v6'!$B$13*100)*'Config_v6'!$B$45+(100-'Motor_Meciuri'!BF38)*'Config_v6'!$B$46+'Motor_Meciuri'!BH38*100*'Config_v6'!$B$47))</x:f>
      </x:c>
      <x:c r="U467" s="2" t="str">
        <x:f>IF(T467="","",IF(T467&lt;=20,1,IF(T467&lt;=40,2,IF(T467&lt;=60,3,IF(T467&lt;=80,4,5)))))</x:f>
      </x:c>
      <x:c r="V467" s="2" t="str">
        <x:f>IF(M467="","",MAX(0,'Motor_Meciuri'!BF38-IF(W467="OOS PENDING",'Config_v6'!$B$35,0)-IF(L467&gt;'Config_v6'!$B$12,'Config_v6'!$B$37,IF(L467&gt;'Config_v6'!$B$11,'Config_v6'!$B$36,0))))</x:f>
      </x:c>
      <x:c r="W467" s="2" t="str">
        <x:f>IF(B467="","",IF(I467&lt;&gt;"READY","NOT RELEASED",IF(NOT(AND(J467="PASS",'Calibrare_Linii'!U19="VALID")),"INVALID",IF(NOT(AND('Calibrare_Linii'!S19="VALIDATED",AND('Calibrare_Linii'!H19=C467,ISNUMBER('Calibrare_Linii'!J19),'Calibrare_Linii'!J19&lt;='Input_Meci'!G38))),"OOS PENDING",IF(S467&lt;='Calibrare_Linii'!E19,"PASS",IF(S467&lt;='Calibrare_Linii'!F19,"PENALTY","WATCH"))))))</x:f>
      </x:c>
      <x:c r="X467" s="2" t="str">
        <x:f>IF(M467="","",IF(AND(AND(J467="PASS",'Calibrare_Linii'!U19="VALID"),'Motor_Meciuri'!K38=12,'Motor_Meciuri'!L38=12,'Motor_Meciuri'!M38="NO",'Motor_Meciuri'!BL38='Motor_Meciuri'!C38,AB467&gt;='Config_v6'!$B$50,AN467&gt;='Config_v6'!$B$51,T467&lt;='Config_v6'!$B$52,L467&lt;='Config_v6'!$B$53,ISNUMBER('Calibrare_Linii'!E19),S467&lt;='Calibrare_Linii'!E19,SUM(AK467:AM467)&gt;0),"CANDIDATE","NO"))</x:f>
      </x:c>
      <x:c r="Y467" s="2" t="str">
        <x:f>IF(B467="","",IF(I467&lt;&gt;"READY","NOT RELEASED",IF(AND(X467="CANDIDATE",V467&gt;='Config_v6'!$B$51,W467="PASS",'Calibrare_Linii'!T19="VALIDATED",AND('Calibrare_Linii'!H19=C467,ISNUMBER('Calibrare_Linii'!J19),'Calibrare_Linii'!J19&lt;='Input_Meci'!G38)),"PASS",IF(X467="CANDIDATE","OOS PENDING","FAIL"))))</x:f>
      </x:c>
      <x:c r="Z467" s="2" t="str">
        <x:f>IF(B467="","",IF(I467&lt;&gt;"READY","",IF(OR(NOT(AND(J467="PASS",'Calibrare_Linii'!U19="VALID")),L467&gt;'Config_v6'!$B$13,W467="WATCH"),5,IF(Y467="PASS",1,MIN(5,MAX('Config_v6'!$B$42,U467)+IF(W467="PENALTY",1,0))))))</x:f>
      </x:c>
      <x:c r="AA467" s="2" t="str">
        <x:f>IF(B467="","",IF(I467&lt;&gt;"READY","NOT RELEASED",IF(Z467=5,"NO BET",IF(OR(AB467&lt;'Config_v6'!$B$16,V467&lt;'Config_v6'!$B$18),"WATCH",IF(Z467=1,"DEFENSIV",IF(Z467=2,"PRUDENT",IF(Z467=3,"MODERAT","RIDICAT")))))))</x:f>
      </x:c>
      <x:c r="AB467" s="10" t="str">
        <x:f>IF(N467="","",MIN(N467,1-S467))</x:f>
      </x:c>
      <x:c r="AC467" s="2" t="str">
        <x:f>IF(AD467&lt;&gt;1,"",COUNTIFS($Z$454:$Z$467,"&lt;"&amp;Z467,$AD$454:$AD$467,1)+COUNTIFS($Z$454:$Z$467,Z467,$AB$454:$AB$467,"&gt;"&amp;AB467,$AD$454:$AD$467,1)+COUNTIFS($Z$454:$Z$467,Z467,$AB$454:$AB$467,AB467,$V$454:$V$467,"&gt;"&amp;V467,$AD$454:$AD$467,1)+COUNTIFS($Z$454:Z467,Z467,$AB$454:AB467,AB467,$V$454:V467,V467,$AD$454:AD467,1))</x:f>
      </x:c>
      <x:c r="AD467" s="2" t="n">
        <x:f>IF(OR(AA467="DEFENSIV",AA467="PRUDENT",AA467="MODERAT",AA467="RIDICAT"),1,0)</x:f>
        <x:v>0</x:v>
      </x:c>
      <x:c r="AE467" s="2" t="str">
        <x:f>IF(AD467&lt;&gt;1,"NO",IF(W467="PASS","YES",IF(W467="OOS PENDING","CONDITIONAL","NO")))</x:f>
        <x:v>NO</x:v>
      </x:c>
      <x:c r="AF467" s="2" t="n">
        <x:f>IF(AND(AD467=1,AC467=1,E467="LIVE"),1,0)</x:f>
        <x:v>0</x:v>
      </x:c>
      <x:c r="AG467" s="2" t="str">
        <x:f>IF(AF467&lt;&gt;1,"",'Dashboard'!P58)</x:f>
      </x:c>
      <x:c r="AH467" s="2" t="str">
        <x:f>IF(B467="","",IF(J467&lt;&gt;"PASS",'Motor_Meciuri'!J38,IF('Calibrare_Linii'!U19&lt;&gt;"VALID","Parametri linie invalizi",IF(L467&gt;'Config_v6'!$B$13,"Dispersie peste limita",IF(W467="WATCH","Failure peste limita",IF(AB467&lt;'Config_v6'!$B$16,"P finala sub prag",IF(V467&lt;'Config_v6'!$B$18,"Confidence sub prag",IF(E467="REPLAY","Exemplu retrospectiv; exclus din Top LIVE",IF(Y467="PASS","DEFENSIV validat",IF(W467="OOS PENDING","Eligibil; calibrare linie in monitorizare","Eligibil"))))))))))</x:f>
      </x:c>
      <x:c r="AI467" s="2" t="str">
        <x:f>IF(B467="","",'Calibrare_Linii'!V19)</x:f>
      </x:c>
      <x:c r="AJ467" s="2" t="str">
        <x:f>IF(B467="","",IF(AND('Calibrare_Linii'!T19="VALIDATED",AND('Calibrare_Linii'!H19=C467,ISNUMBER('Calibrare_Linii'!J19),'Calibrare_Linii'!J19&lt;='Input_Meci'!G38)),"DEFENSIVE VALIDATED",IF(AND('Calibrare_Linii'!S19="VALIDATED",AND('Calibrare_Linii'!H19=C467,ISNUMBER('Calibrare_Linii'!J19),'Calibrare_Linii'!J19&lt;='Input_Meci'!G38)),"TAIL VALIDATED","OOS PENDING")))</x:f>
      </x:c>
      <x:c r="AK467" s="2" t="n">
        <x:f>IF(J467&lt;&gt;"PASS",0,'Motor_Meciuri'!BR38)</x:f>
        <x:v>0</x:v>
      </x:c>
      <x:c r="AL467" s="2" t="n">
        <x:f>IF(J467&lt;&gt;"PASS",0,'Motor_Meciuri'!BS38)</x:f>
        <x:v>0</x:v>
      </x:c>
      <x:c r="AM467" s="2" t="n">
        <x:f>IF(J467&lt;&gt;"PASS",0,'Motor_Meciuri'!BT38)</x:f>
        <x:v>0</x:v>
      </x:c>
      <x:c r="AN467" s="2" t="str">
        <x:f>IF(M467="","",MAX(0,'Motor_Meciuri'!BF38-IF(L467&gt;'Config_v6'!$B$12,'Config_v6'!$B$37,IF(L467&gt;'Config_v6'!$B$11,'Config_v6'!$B$36,0))))</x:f>
      </x:c>
    </x:row>
    <x:row r="468" ht="21" customHeight="1">
      <x:c r="A468" s="2" t="n">
        <x:v>34</x:v>
      </x:c>
      <x:c r="B468" s="2" t="str">
        <x:f>IF('Motor_Meciuri'!A39="","",'Motor_Meciuri'!A39)</x:f>
      </x:c>
      <x:c r="C468" s="2" t="str">
        <x:f>IF(B468="","",'Motor_Meciuri'!B39)</x:f>
      </x:c>
      <x:c r="D468" s="2" t="str">
        <x:f>IF(B468="","",'Motor_Meciuri'!D39)</x:f>
      </x:c>
      <x:c r="E468" s="2" t="str">
        <x:f>IF(B468="","",'Motor_Meciuri'!E39)</x:f>
      </x:c>
      <x:c r="F468" s="2" t="str">
        <x:v>O3,5</x:v>
      </x:c>
      <x:c r="G468" s="2" t="str">
        <x:v>OVER</x:v>
      </x:c>
      <x:c r="H468" s="2" t="n">
        <x:v>3</x:v>
      </x:c>
      <x:c r="I468" s="2" t="str">
        <x:f>IF(B468="","",'Motor_Meciuri'!H39)</x:f>
      </x:c>
      <x:c r="J468" s="2" t="str">
        <x:f>IF(B468="","",'Motor_Meciuri'!I39)</x:f>
      </x:c>
      <x:c r="K468" s="11" t="str">
        <x:f>IF(J468&lt;&gt;"PASS","",'Motor_Meciuri'!BD39)</x:f>
      </x:c>
      <x:c r="L468" s="11" t="str">
        <x:f>IF(J468&lt;&gt;"PASS","",'Motor_Meciuri'!AU39)</x:f>
      </x:c>
      <x:c r="M468" s="10" t="str">
        <x:f>IF(NOT(AND(J468="PASS",'Calibrare_Linii'!U6="VALID")),"",1-'Distributie'!AA39)</x:f>
      </x:c>
      <x:c r="N468" s="10" t="str">
        <x:f>IF(M468="","",MAX(0.01,MIN(0.99,0.5+(M468-0.5)*'Motor_Meciuri'!BG39*'Calibrare_Linii'!D6)))</x:f>
      </x:c>
      <x:c r="O468" s="10" t="str">
        <x:f>IF(M468="","",1-M468)</x:f>
      </x:c>
      <x:c r="P468" s="10" t="str">
        <x:f>IF(OR(NOT(AND(J468="PASS",'Calibrare_Linii'!U6="VALID")),AK468=0),""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*('Istoric_Nativ'!$Q$6:$Q$405&lt;=H468))/AK468)</x:f>
      </x:c>
      <x:c r="Q468" s="10" t="str">
        <x:f>IF(OR(NOT(AND(J468="PASS",'Calibrare_Linii'!U6="VALID")),AL468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M39)+((('Istoric_Nativ'!$E$6:$E$405='Input_Meci'!E39)+('Istoric_Nativ'!$F$6:$F$405='Input_Meci'!E39))&gt;0)*('Istoric_Nativ'!$D$6:$D$405&gt;='Motor_Meciuri'!BN39))&gt;0)*('Istoric_Nativ'!$Q$6:$Q$405&lt;=H468))/AL468)</x:f>
      </x:c>
      <x:c r="R468" s="10" t="str">
        <x:f>IF(OR(NOT(AND(J468="PASS",'Calibrare_Linii'!U6="VALID")),AM468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O39)+((('Istoric_Nativ'!$E$6:$E$405='Input_Meci'!E39)+('Istoric_Nativ'!$F$6:$F$405='Input_Meci'!E39))&gt;0)*('Istoric_Nativ'!$D$6:$D$405&gt;='Motor_Meciuri'!BP39))&gt;0)*('Istoric_Nativ'!$Q$6:$Q$405&lt;=H468))/AM468)</x:f>
      </x:c>
      <x:c r="S468" s="10" t="str">
        <x:f>IF(M468="","",MAX(O468,P468,Q468,R468))</x:f>
      </x:c>
      <x:c r="T468" s="11" t="str">
        <x:f>IF(M468="","",MIN(100,S468*100*'Config_v6'!$B$44+MIN(100,L468/'Config_v6'!$B$13*100)*'Config_v6'!$B$45+(100-'Motor_Meciuri'!BF39)*'Config_v6'!$B$46+'Motor_Meciuri'!BH39*100*'Config_v6'!$B$47))</x:f>
      </x:c>
      <x:c r="U468" s="2" t="str">
        <x:f>IF(T468="","",IF(T468&lt;=20,1,IF(T468&lt;=40,2,IF(T468&lt;=60,3,IF(T468&lt;=80,4,5)))))</x:f>
      </x:c>
      <x:c r="V468" s="2" t="str">
        <x:f>IF(M468="","",MAX(0,'Motor_Meciuri'!BF39-IF(W468="OOS PENDING",'Config_v6'!$B$35,0)-IF(L468&gt;'Config_v6'!$B$12,'Config_v6'!$B$37,IF(L468&gt;'Config_v6'!$B$11,'Config_v6'!$B$36,0))))</x:f>
      </x:c>
      <x:c r="W468" s="2" t="str">
        <x:f>IF(B468="","",IF(I468&lt;&gt;"READY","NOT RELEASED",IF(NOT(AND(J468="PASS",'Calibrare_Linii'!U6="VALID")),"INVALID",IF(NOT(TRUE),"OOS PENDING",IF(S468&lt;=IF(AND('Calibrare_Linii'!S6="VALIDATED",AND('Calibrare_Linii'!H6=C468,ISNUMBER('Calibrare_Linii'!J6),'Calibrare_Linii'!J6&lt;='Input_Meci'!G39)),'Calibrare_Linii'!E6,'Config_v6'!$B$26),"PASS",IF(S468&lt;=IF(AND('Calibrare_Linii'!S6="VALIDATED",AND('Calibrare_Linii'!H6=C468,ISNUMBER('Calibrare_Linii'!J6),'Calibrare_Linii'!J6&lt;='Input_Meci'!G39)),'Calibrare_Linii'!F6,'Config_v6'!$C$26),"PENALTY","WATCH"))))))</x:f>
      </x:c>
      <x:c r="X468" s="2" t="str">
        <x:f>IF(M468="","",IF(AND(AND(J468="PASS",'Calibrare_Linii'!U6="VALID"),'Motor_Meciuri'!K39=12,'Motor_Meciuri'!L39=12,'Motor_Meciuri'!M39="NO",'Motor_Meciuri'!BL39='Motor_Meciuri'!C39,AB468&gt;='Config_v6'!$B$50,AN468&gt;='Config_v6'!$B$51,T468&lt;='Config_v6'!$B$52,L468&lt;='Config_v6'!$B$53,ISNUMBER('Calibrare_Linii'!E6),S468&lt;='Calibrare_Linii'!E6,SUM(AK468:AM468)&gt;0),"CANDIDATE","NO"))</x:f>
      </x:c>
      <x:c r="Y468" s="2" t="str">
        <x:f>IF(B468="","",IF(I468&lt;&gt;"READY","NOT RELEASED",IF(AND(X468="CANDIDATE",V468&gt;='Config_v6'!$B$51,W468="PASS",'Calibrare_Linii'!T6="VALIDATED",AND('Calibrare_Linii'!H6=C468,ISNUMBER('Calibrare_Linii'!J6),'Calibrare_Linii'!J6&lt;='Input_Meci'!G39)),"PASS",IF(X468="CANDIDATE","OOS PENDING","FAIL"))))</x:f>
      </x:c>
      <x:c r="Z468" s="2" t="str">
        <x:f>IF(B468="","",IF(I468&lt;&gt;"READY","",IF(OR(NOT(AND(J468="PASS",'Calibrare_Linii'!U6="VALID")),L468&gt;'Config_v6'!$B$13,W468="WATCH"),5,IF(Y468="PASS",1,MIN(5,MAX('Config_v6'!$B$42,U468)+IF(W468="PENALTY",1,0))))))</x:f>
      </x:c>
      <x:c r="AA468" s="2" t="str">
        <x:f>IF(B468="","",IF(I468&lt;&gt;"READY","NOT RELEASED",IF(Z468=5,"NO BET",IF(OR(AB468&lt;'Config_v6'!$B$16,V468&lt;'Config_v6'!$B$18),"WATCH",IF(Z468=1,"DEFENSIV",IF(Z468=2,"PRUDENT",IF(Z468=3,"MODERAT","RIDICAT")))))))</x:f>
      </x:c>
      <x:c r="AB468" s="10" t="str">
        <x:f>IF(N468="","",MIN(N468,1-S468))</x:f>
      </x:c>
      <x:c r="AC468" s="2" t="str">
        <x:f>IF(AD468&lt;&gt;1,"",COUNTIFS($Z$468:$Z$481,"&lt;"&amp;Z468,$AD$468:$AD$481,1)+COUNTIFS($Z$468:$Z$481,Z468,$AB$468:$AB$481,"&gt;"&amp;AB468,$AD$468:$AD$481,1)+COUNTIFS($Z$468:$Z$481,Z468,$AB$468:$AB$481,AB468,$V$468:$V$481,"&gt;"&amp;V468,$AD$468:$AD$481,1)+COUNTIFS($Z$468:Z468,Z468,$AB$468:AB468,AB468,$V$468:V468,V468,$AD$468:AD468,1))</x:f>
      </x:c>
      <x:c r="AD468" s="2" t="n">
        <x:f>IF(OR(AA468="DEFENSIV",AA468="PRUDENT",AA468="MODERAT",AA468="RIDICAT"),1,0)</x:f>
        <x:v>0</x:v>
      </x:c>
      <x:c r="AE468" s="2" t="str">
        <x:f>IF(AD468&lt;&gt;1,"NO",IF(W468="PASS","YES",IF(W468="OOS PENDING","CONDITIONAL","NO")))</x:f>
        <x:v>NO</x:v>
      </x:c>
      <x:c r="AF468" s="2" t="n">
        <x:f>IF(AND(AD468=1,AC468=1,E468="LIVE"),1,0)</x:f>
        <x:v>0</x:v>
      </x:c>
      <x:c r="AG468" s="2" t="str">
        <x:f>IF(AF468&lt;&gt;1,"",'Dashboard'!P59)</x:f>
      </x:c>
      <x:c r="AH468" s="2" t="str">
        <x:f>IF(B468="","",IF(J468&lt;&gt;"PASS",'Motor_Meciuri'!J39,IF('Calibrare_Linii'!U6&lt;&gt;"VALID","Parametri linie invalizi",IF(L468&gt;'Config_v6'!$B$13,"Dispersie peste limita",IF(W468="WATCH","Failure peste limita",IF(AB468&lt;'Config_v6'!$B$16,"P finala sub prag",IF(V468&lt;'Config_v6'!$B$18,"Confidence sub prag",IF(E468="REPLAY","Exemplu retrospectiv; exclus din Top LIVE",IF(Y468="PASS","DEFENSIV validat",IF(W468="OOS PENDING","Eligibil; calibrare linie in monitorizare","Eligibil"))))))))))</x:f>
      </x:c>
      <x:c r="AI468" s="2" t="str">
        <x:f>IF(B468="","",'Calibrare_Linii'!V6)</x:f>
      </x:c>
      <x:c r="AJ468" s="2" t="str">
        <x:f>IF(B468="","",IF(AND('Calibrare_Linii'!T6="VALIDATED",AND('Calibrare_Linii'!H6=C468,ISNUMBER('Calibrare_Linii'!J6),'Calibrare_Linii'!J6&lt;='Input_Meci'!G39)),"DEFENSIVE VALIDATED",IF(AND('Calibrare_Linii'!S6="VALIDATED",AND('Calibrare_Linii'!H6=C468,ISNUMBER('Calibrare_Linii'!J6),'Calibrare_Linii'!J6&lt;='Input_Meci'!G39)),"TAIL VALIDATED","OOS PENDING")))</x:f>
      </x:c>
      <x:c r="AK468" s="2" t="n">
        <x:f>IF(J468&lt;&gt;"PASS",0,'Motor_Meciuri'!BR39)</x:f>
        <x:v>0</x:v>
      </x:c>
      <x:c r="AL468" s="2" t="n">
        <x:f>IF(J468&lt;&gt;"PASS",0,'Motor_Meciuri'!BS39)</x:f>
        <x:v>0</x:v>
      </x:c>
      <x:c r="AM468" s="2" t="n">
        <x:f>IF(J468&lt;&gt;"PASS",0,'Motor_Meciuri'!BT39)</x:f>
        <x:v>0</x:v>
      </x:c>
      <x:c r="AN468" s="2" t="str">
        <x:f>IF(M468="","",MAX(0,'Motor_Meciuri'!BF39-IF(L468&gt;'Config_v6'!$B$12,'Config_v6'!$B$37,IF(L468&gt;'Config_v6'!$B$11,'Config_v6'!$B$36,0))))</x:f>
      </x:c>
    </x:row>
    <x:row r="469" ht="21" customHeight="1">
      <x:c r="A469" s="2" t="n">
        <x:v>34</x:v>
      </x:c>
      <x:c r="B469" s="2" t="str">
        <x:f>IF('Motor_Meciuri'!A39="","",'Motor_Meciuri'!A39)</x:f>
      </x:c>
      <x:c r="C469" s="2" t="str">
        <x:f>IF(B469="","",'Motor_Meciuri'!B39)</x:f>
      </x:c>
      <x:c r="D469" s="2" t="str">
        <x:f>IF(B469="","",'Motor_Meciuri'!D39)</x:f>
      </x:c>
      <x:c r="E469" s="2" t="str">
        <x:f>IF(B469="","",'Motor_Meciuri'!E39)</x:f>
      </x:c>
      <x:c r="F469" s="2" t="str">
        <x:v>O4,5</x:v>
      </x:c>
      <x:c r="G469" s="2" t="str">
        <x:v>OVER</x:v>
      </x:c>
      <x:c r="H469" s="2" t="n">
        <x:v>4</x:v>
      </x:c>
      <x:c r="I469" s="2" t="str">
        <x:f>IF(B469="","",'Motor_Meciuri'!H39)</x:f>
      </x:c>
      <x:c r="J469" s="2" t="str">
        <x:f>IF(B469="","",'Motor_Meciuri'!I39)</x:f>
      </x:c>
      <x:c r="K469" s="11" t="str">
        <x:f>IF(J469&lt;&gt;"PASS","",'Motor_Meciuri'!BD39)</x:f>
      </x:c>
      <x:c r="L469" s="11" t="str">
        <x:f>IF(J469&lt;&gt;"PASS","",'Motor_Meciuri'!AU39)</x:f>
      </x:c>
      <x:c r="M469" s="10" t="str">
        <x:f>IF(NOT(AND(J469="PASS",'Calibrare_Linii'!U7="VALID")),"",1-'Distributie'!AB39)</x:f>
      </x:c>
      <x:c r="N469" s="10" t="str">
        <x:f>IF(M469="","",MAX(0.01,MIN(0.99,0.5+(M469-0.5)*'Motor_Meciuri'!BG39*'Calibrare_Linii'!D7)))</x:f>
      </x:c>
      <x:c r="O469" s="10" t="str">
        <x:f>IF(M469="","",1-M469)</x:f>
      </x:c>
      <x:c r="P469" s="10" t="str">
        <x:f>IF(OR(NOT(AND(J469="PASS",'Calibrare_Linii'!U7="VALID")),AK469=0),""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*('Istoric_Nativ'!$Q$6:$Q$405&lt;=H469))/AK469)</x:f>
      </x:c>
      <x:c r="Q469" s="10" t="str">
        <x:f>IF(OR(NOT(AND(J469="PASS",'Calibrare_Linii'!U7="VALID")),AL469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M39)+((('Istoric_Nativ'!$E$6:$E$405='Input_Meci'!E39)+('Istoric_Nativ'!$F$6:$F$405='Input_Meci'!E39))&gt;0)*('Istoric_Nativ'!$D$6:$D$405&gt;='Motor_Meciuri'!BN39))&gt;0)*('Istoric_Nativ'!$Q$6:$Q$405&lt;=H469))/AL469)</x:f>
      </x:c>
      <x:c r="R469" s="10" t="str">
        <x:f>IF(OR(NOT(AND(J469="PASS",'Calibrare_Linii'!U7="VALID")),AM469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O39)+((('Istoric_Nativ'!$E$6:$E$405='Input_Meci'!E39)+('Istoric_Nativ'!$F$6:$F$405='Input_Meci'!E39))&gt;0)*('Istoric_Nativ'!$D$6:$D$405&gt;='Motor_Meciuri'!BP39))&gt;0)*('Istoric_Nativ'!$Q$6:$Q$405&lt;=H469))/AM469)</x:f>
      </x:c>
      <x:c r="S469" s="10" t="str">
        <x:f>IF(M469="","",MAX(O469,P469,Q469,R469))</x:f>
      </x:c>
      <x:c r="T469" s="11" t="str">
        <x:f>IF(M469="","",MIN(100,S469*100*'Config_v6'!$B$44+MIN(100,L469/'Config_v6'!$B$13*100)*'Config_v6'!$B$45+(100-'Motor_Meciuri'!BF39)*'Config_v6'!$B$46+'Motor_Meciuri'!BH39*100*'Config_v6'!$B$47))</x:f>
      </x:c>
      <x:c r="U469" s="2" t="str">
        <x:f>IF(T469="","",IF(T469&lt;=20,1,IF(T469&lt;=40,2,IF(T469&lt;=60,3,IF(T469&lt;=80,4,5)))))</x:f>
      </x:c>
      <x:c r="V469" s="2" t="str">
        <x:f>IF(M469="","",MAX(0,'Motor_Meciuri'!BF39-IF(W469="OOS PENDING",'Config_v6'!$B$35,0)-IF(L469&gt;'Config_v6'!$B$12,'Config_v6'!$B$37,IF(L469&gt;'Config_v6'!$B$11,'Config_v6'!$B$36,0))))</x:f>
      </x:c>
      <x:c r="W469" s="2" t="str">
        <x:f>IF(B469="","",IF(I469&lt;&gt;"READY","NOT RELEASED",IF(NOT(AND(J469="PASS",'Calibrare_Linii'!U7="VALID")),"INVALID",IF(NOT(AND('Calibrare_Linii'!S7="VALIDATED",AND('Calibrare_Linii'!H7=C469,ISNUMBER('Calibrare_Linii'!J7),'Calibrare_Linii'!J7&lt;='Input_Meci'!G39))),"OOS PENDING",IF(S469&lt;='Calibrare_Linii'!E7,"PASS",IF(S469&lt;='Calibrare_Linii'!F7,"PENALTY","WATCH"))))))</x:f>
      </x:c>
      <x:c r="X469" s="2" t="str">
        <x:f>IF(M469="","",IF(AND(AND(J469="PASS",'Calibrare_Linii'!U7="VALID"),'Motor_Meciuri'!K39=12,'Motor_Meciuri'!L39=12,'Motor_Meciuri'!M39="NO",'Motor_Meciuri'!BL39='Motor_Meciuri'!C39,AB469&gt;='Config_v6'!$B$50,AN469&gt;='Config_v6'!$B$51,T469&lt;='Config_v6'!$B$52,L469&lt;='Config_v6'!$B$53,ISNUMBER('Calibrare_Linii'!E7),S469&lt;='Calibrare_Linii'!E7,SUM(AK469:AM469)&gt;0),"CANDIDATE","NO"))</x:f>
      </x:c>
      <x:c r="Y469" s="2" t="str">
        <x:f>IF(B469="","",IF(I469&lt;&gt;"READY","NOT RELEASED",IF(AND(X469="CANDIDATE",V469&gt;='Config_v6'!$B$51,W469="PASS",'Calibrare_Linii'!T7="VALIDATED",AND('Calibrare_Linii'!H7=C469,ISNUMBER('Calibrare_Linii'!J7),'Calibrare_Linii'!J7&lt;='Input_Meci'!G39)),"PASS",IF(X469="CANDIDATE","OOS PENDING","FAIL"))))</x:f>
      </x:c>
      <x:c r="Z469" s="2" t="str">
        <x:f>IF(B469="","",IF(I469&lt;&gt;"READY","",IF(OR(NOT(AND(J469="PASS",'Calibrare_Linii'!U7="VALID")),L469&gt;'Config_v6'!$B$13,W469="WATCH"),5,IF(Y469="PASS",1,MIN(5,MAX('Config_v6'!$B$42,U469)+IF(W469="PENALTY",1,0))))))</x:f>
      </x:c>
      <x:c r="AA469" s="2" t="str">
        <x:f>IF(B469="","",IF(I469&lt;&gt;"READY","NOT RELEASED",IF(Z469=5,"NO BET",IF(OR(AB469&lt;'Config_v6'!$B$16,V469&lt;'Config_v6'!$B$18),"WATCH",IF(Z469=1,"DEFENSIV",IF(Z469=2,"PRUDENT",IF(Z469=3,"MODERAT","RIDICAT")))))))</x:f>
      </x:c>
      <x:c r="AB469" s="10" t="str">
        <x:f>IF(N469="","",MIN(N469,1-S469))</x:f>
      </x:c>
      <x:c r="AC469" s="2" t="str">
        <x:f>IF(AD469&lt;&gt;1,"",COUNTIFS($Z$468:$Z$481,"&lt;"&amp;Z469,$AD$468:$AD$481,1)+COUNTIFS($Z$468:$Z$481,Z469,$AB$468:$AB$481,"&gt;"&amp;AB469,$AD$468:$AD$481,1)+COUNTIFS($Z$468:$Z$481,Z469,$AB$468:$AB$481,AB469,$V$468:$V$481,"&gt;"&amp;V469,$AD$468:$AD$481,1)+COUNTIFS($Z$468:Z469,Z469,$AB$468:AB469,AB469,$V$468:V469,V469,$AD$468:AD469,1))</x:f>
      </x:c>
      <x:c r="AD469" s="2" t="n">
        <x:f>IF(OR(AA469="DEFENSIV",AA469="PRUDENT",AA469="MODERAT",AA469="RIDICAT"),1,0)</x:f>
        <x:v>0</x:v>
      </x:c>
      <x:c r="AE469" s="2" t="str">
        <x:f>IF(AD469&lt;&gt;1,"NO",IF(W469="PASS","YES",IF(W469="OOS PENDING","CONDITIONAL","NO")))</x:f>
        <x:v>NO</x:v>
      </x:c>
      <x:c r="AF469" s="2" t="n">
        <x:f>IF(AND(AD469=1,AC469=1,E469="LIVE"),1,0)</x:f>
        <x:v>0</x:v>
      </x:c>
      <x:c r="AG469" s="2" t="str">
        <x:f>IF(AF469&lt;&gt;1,"",'Dashboard'!P59)</x:f>
      </x:c>
      <x:c r="AH469" s="2" t="str">
        <x:f>IF(B469="","",IF(J469&lt;&gt;"PASS",'Motor_Meciuri'!J39,IF('Calibrare_Linii'!U7&lt;&gt;"VALID","Parametri linie invalizi",IF(L469&gt;'Config_v6'!$B$13,"Dispersie peste limita",IF(W469="WATCH","Failure peste limita",IF(AB469&lt;'Config_v6'!$B$16,"P finala sub prag",IF(V469&lt;'Config_v6'!$B$18,"Confidence sub prag",IF(E469="REPLAY","Exemplu retrospectiv; exclus din Top LIVE",IF(Y469="PASS","DEFENSIV validat",IF(W469="OOS PENDING","Eligibil; calibrare linie in monitorizare","Eligibil"))))))))))</x:f>
      </x:c>
      <x:c r="AI469" s="2" t="str">
        <x:f>IF(B469="","",'Calibrare_Linii'!V7)</x:f>
      </x:c>
      <x:c r="AJ469" s="2" t="str">
        <x:f>IF(B469="","",IF(AND('Calibrare_Linii'!T7="VALIDATED",AND('Calibrare_Linii'!H7=C469,ISNUMBER('Calibrare_Linii'!J7),'Calibrare_Linii'!J7&lt;='Input_Meci'!G39)),"DEFENSIVE VALIDATED",IF(AND('Calibrare_Linii'!S7="VALIDATED",AND('Calibrare_Linii'!H7=C469,ISNUMBER('Calibrare_Linii'!J7),'Calibrare_Linii'!J7&lt;='Input_Meci'!G39)),"TAIL VALIDATED","OOS PENDING")))</x:f>
      </x:c>
      <x:c r="AK469" s="2" t="n">
        <x:f>IF(J469&lt;&gt;"PASS",0,'Motor_Meciuri'!BR39)</x:f>
        <x:v>0</x:v>
      </x:c>
      <x:c r="AL469" s="2" t="n">
        <x:f>IF(J469&lt;&gt;"PASS",0,'Motor_Meciuri'!BS39)</x:f>
        <x:v>0</x:v>
      </x:c>
      <x:c r="AM469" s="2" t="n">
        <x:f>IF(J469&lt;&gt;"PASS",0,'Motor_Meciuri'!BT39)</x:f>
        <x:v>0</x:v>
      </x:c>
      <x:c r="AN469" s="2" t="str">
        <x:f>IF(M469="","",MAX(0,'Motor_Meciuri'!BF39-IF(L469&gt;'Config_v6'!$B$12,'Config_v6'!$B$37,IF(L469&gt;'Config_v6'!$B$11,'Config_v6'!$B$36,0))))</x:f>
      </x:c>
    </x:row>
    <x:row r="470" ht="21" customHeight="1">
      <x:c r="A470" s="2" t="n">
        <x:v>34</x:v>
      </x:c>
      <x:c r="B470" s="2" t="str">
        <x:f>IF('Motor_Meciuri'!A39="","",'Motor_Meciuri'!A39)</x:f>
      </x:c>
      <x:c r="C470" s="2" t="str">
        <x:f>IF(B470="","",'Motor_Meciuri'!B39)</x:f>
      </x:c>
      <x:c r="D470" s="2" t="str">
        <x:f>IF(B470="","",'Motor_Meciuri'!D39)</x:f>
      </x:c>
      <x:c r="E470" s="2" t="str">
        <x:f>IF(B470="","",'Motor_Meciuri'!E39)</x:f>
      </x:c>
      <x:c r="F470" s="2" t="str">
        <x:v>O5,5</x:v>
      </x:c>
      <x:c r="G470" s="2" t="str">
        <x:v>OVER</x:v>
      </x:c>
      <x:c r="H470" s="2" t="n">
        <x:v>5</x:v>
      </x:c>
      <x:c r="I470" s="2" t="str">
        <x:f>IF(B470="","",'Motor_Meciuri'!H39)</x:f>
      </x:c>
      <x:c r="J470" s="2" t="str">
        <x:f>IF(B470="","",'Motor_Meciuri'!I39)</x:f>
      </x:c>
      <x:c r="K470" s="11" t="str">
        <x:f>IF(J470&lt;&gt;"PASS","",'Motor_Meciuri'!BD39)</x:f>
      </x:c>
      <x:c r="L470" s="11" t="str">
        <x:f>IF(J470&lt;&gt;"PASS","",'Motor_Meciuri'!AU39)</x:f>
      </x:c>
      <x:c r="M470" s="10" t="str">
        <x:f>IF(NOT(AND(J470="PASS",'Calibrare_Linii'!U8="VALID")),"",1-'Distributie'!AC39)</x:f>
      </x:c>
      <x:c r="N470" s="10" t="str">
        <x:f>IF(M470="","",MAX(0.01,MIN(0.99,0.5+(M470-0.5)*'Motor_Meciuri'!BG39*'Calibrare_Linii'!D8)))</x:f>
      </x:c>
      <x:c r="O470" s="10" t="str">
        <x:f>IF(M470="","",1-M470)</x:f>
      </x:c>
      <x:c r="P470" s="10" t="str">
        <x:f>IF(OR(NOT(AND(J470="PASS",'Calibrare_Linii'!U8="VALID")),AK470=0),""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*('Istoric_Nativ'!$Q$6:$Q$405&lt;=H470))/AK470)</x:f>
      </x:c>
      <x:c r="Q470" s="10" t="str">
        <x:f>IF(OR(NOT(AND(J470="PASS",'Calibrare_Linii'!U8="VALID")),AL470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M39)+((('Istoric_Nativ'!$E$6:$E$405='Input_Meci'!E39)+('Istoric_Nativ'!$F$6:$F$405='Input_Meci'!E39))&gt;0)*('Istoric_Nativ'!$D$6:$D$405&gt;='Motor_Meciuri'!BN39))&gt;0)*('Istoric_Nativ'!$Q$6:$Q$405&lt;=H470))/AL470)</x:f>
      </x:c>
      <x:c r="R470" s="10" t="str">
        <x:f>IF(OR(NOT(AND(J470="PASS",'Calibrare_Linii'!U8="VALID")),AM470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O39)+((('Istoric_Nativ'!$E$6:$E$405='Input_Meci'!E39)+('Istoric_Nativ'!$F$6:$F$405='Input_Meci'!E39))&gt;0)*('Istoric_Nativ'!$D$6:$D$405&gt;='Motor_Meciuri'!BP39))&gt;0)*('Istoric_Nativ'!$Q$6:$Q$405&lt;=H470))/AM470)</x:f>
      </x:c>
      <x:c r="S470" s="10" t="str">
        <x:f>IF(M470="","",MAX(O470,P470,Q470,R470))</x:f>
      </x:c>
      <x:c r="T470" s="11" t="str">
        <x:f>IF(M470="","",MIN(100,S470*100*'Config_v6'!$B$44+MIN(100,L470/'Config_v6'!$B$13*100)*'Config_v6'!$B$45+(100-'Motor_Meciuri'!BF39)*'Config_v6'!$B$46+'Motor_Meciuri'!BH39*100*'Config_v6'!$B$47))</x:f>
      </x:c>
      <x:c r="U470" s="2" t="str">
        <x:f>IF(T470="","",IF(T470&lt;=20,1,IF(T470&lt;=40,2,IF(T470&lt;=60,3,IF(T470&lt;=80,4,5)))))</x:f>
      </x:c>
      <x:c r="V470" s="2" t="str">
        <x:f>IF(M470="","",MAX(0,'Motor_Meciuri'!BF39-IF(W470="OOS PENDING",'Config_v6'!$B$35,0)-IF(L470&gt;'Config_v6'!$B$12,'Config_v6'!$B$37,IF(L470&gt;'Config_v6'!$B$11,'Config_v6'!$B$36,0))))</x:f>
      </x:c>
      <x:c r="W470" s="2" t="str">
        <x:f>IF(B470="","",IF(I470&lt;&gt;"READY","NOT RELEASED",IF(NOT(AND(J470="PASS",'Calibrare_Linii'!U8="VALID")),"INVALID",IF(NOT(AND('Calibrare_Linii'!S8="VALIDATED",AND('Calibrare_Linii'!H8=C470,ISNUMBER('Calibrare_Linii'!J8),'Calibrare_Linii'!J8&lt;='Input_Meci'!G39))),"OOS PENDING",IF(S470&lt;='Calibrare_Linii'!E8,"PASS",IF(S470&lt;='Calibrare_Linii'!F8,"PENALTY","WATCH"))))))</x:f>
      </x:c>
      <x:c r="X470" s="2" t="str">
        <x:f>IF(M470="","",IF(AND(AND(J470="PASS",'Calibrare_Linii'!U8="VALID"),'Motor_Meciuri'!K39=12,'Motor_Meciuri'!L39=12,'Motor_Meciuri'!M39="NO",'Motor_Meciuri'!BL39='Motor_Meciuri'!C39,AB470&gt;='Config_v6'!$B$50,AN470&gt;='Config_v6'!$B$51,T470&lt;='Config_v6'!$B$52,L470&lt;='Config_v6'!$B$53,ISNUMBER('Calibrare_Linii'!E8),S470&lt;='Calibrare_Linii'!E8,SUM(AK470:AM470)&gt;0),"CANDIDATE","NO"))</x:f>
      </x:c>
      <x:c r="Y470" s="2" t="str">
        <x:f>IF(B470="","",IF(I470&lt;&gt;"READY","NOT RELEASED",IF(AND(X470="CANDIDATE",V470&gt;='Config_v6'!$B$51,W470="PASS",'Calibrare_Linii'!T8="VALIDATED",AND('Calibrare_Linii'!H8=C470,ISNUMBER('Calibrare_Linii'!J8),'Calibrare_Linii'!J8&lt;='Input_Meci'!G39)),"PASS",IF(X470="CANDIDATE","OOS PENDING","FAIL"))))</x:f>
      </x:c>
      <x:c r="Z470" s="2" t="str">
        <x:f>IF(B470="","",IF(I470&lt;&gt;"READY","",IF(OR(NOT(AND(J470="PASS",'Calibrare_Linii'!U8="VALID")),L470&gt;'Config_v6'!$B$13,W470="WATCH"),5,IF(Y470="PASS",1,MIN(5,MAX('Config_v6'!$B$42,U470)+IF(W470="PENALTY",1,0))))))</x:f>
      </x:c>
      <x:c r="AA470" s="2" t="str">
        <x:f>IF(B470="","",IF(I470&lt;&gt;"READY","NOT RELEASED",IF(Z470=5,"NO BET",IF(OR(AB470&lt;'Config_v6'!$B$16,V470&lt;'Config_v6'!$B$18),"WATCH",IF(Z470=1,"DEFENSIV",IF(Z470=2,"PRUDENT",IF(Z470=3,"MODERAT","RIDICAT")))))))</x:f>
      </x:c>
      <x:c r="AB470" s="10" t="str">
        <x:f>IF(N470="","",MIN(N470,1-S470))</x:f>
      </x:c>
      <x:c r="AC470" s="2" t="str">
        <x:f>IF(AD470&lt;&gt;1,"",COUNTIFS($Z$468:$Z$481,"&lt;"&amp;Z470,$AD$468:$AD$481,1)+COUNTIFS($Z$468:$Z$481,Z470,$AB$468:$AB$481,"&gt;"&amp;AB470,$AD$468:$AD$481,1)+COUNTIFS($Z$468:$Z$481,Z470,$AB$468:$AB$481,AB470,$V$468:$V$481,"&gt;"&amp;V470,$AD$468:$AD$481,1)+COUNTIFS($Z$468:Z470,Z470,$AB$468:AB470,AB470,$V$468:V470,V470,$AD$468:AD470,1))</x:f>
      </x:c>
      <x:c r="AD470" s="2" t="n">
        <x:f>IF(OR(AA470="DEFENSIV",AA470="PRUDENT",AA470="MODERAT",AA470="RIDICAT"),1,0)</x:f>
        <x:v>0</x:v>
      </x:c>
      <x:c r="AE470" s="2" t="str">
        <x:f>IF(AD470&lt;&gt;1,"NO",IF(W470="PASS","YES",IF(W470="OOS PENDING","CONDITIONAL","NO")))</x:f>
        <x:v>NO</x:v>
      </x:c>
      <x:c r="AF470" s="2" t="n">
        <x:f>IF(AND(AD470=1,AC470=1,E470="LIVE"),1,0)</x:f>
        <x:v>0</x:v>
      </x:c>
      <x:c r="AG470" s="2" t="str">
        <x:f>IF(AF470&lt;&gt;1,"",'Dashboard'!P59)</x:f>
      </x:c>
      <x:c r="AH470" s="2" t="str">
        <x:f>IF(B470="","",IF(J470&lt;&gt;"PASS",'Motor_Meciuri'!J39,IF('Calibrare_Linii'!U8&lt;&gt;"VALID","Parametri linie invalizi",IF(L470&gt;'Config_v6'!$B$13,"Dispersie peste limita",IF(W470="WATCH","Failure peste limita",IF(AB470&lt;'Config_v6'!$B$16,"P finala sub prag",IF(V470&lt;'Config_v6'!$B$18,"Confidence sub prag",IF(E470="REPLAY","Exemplu retrospectiv; exclus din Top LIVE",IF(Y470="PASS","DEFENSIV validat",IF(W470="OOS PENDING","Eligibil; calibrare linie in monitorizare","Eligibil"))))))))))</x:f>
      </x:c>
      <x:c r="AI470" s="2" t="str">
        <x:f>IF(B470="","",'Calibrare_Linii'!V8)</x:f>
      </x:c>
      <x:c r="AJ470" s="2" t="str">
        <x:f>IF(B470="","",IF(AND('Calibrare_Linii'!T8="VALIDATED",AND('Calibrare_Linii'!H8=C470,ISNUMBER('Calibrare_Linii'!J8),'Calibrare_Linii'!J8&lt;='Input_Meci'!G39)),"DEFENSIVE VALIDATED",IF(AND('Calibrare_Linii'!S8="VALIDATED",AND('Calibrare_Linii'!H8=C470,ISNUMBER('Calibrare_Linii'!J8),'Calibrare_Linii'!J8&lt;='Input_Meci'!G39)),"TAIL VALIDATED","OOS PENDING")))</x:f>
      </x:c>
      <x:c r="AK470" s="2" t="n">
        <x:f>IF(J470&lt;&gt;"PASS",0,'Motor_Meciuri'!BR39)</x:f>
        <x:v>0</x:v>
      </x:c>
      <x:c r="AL470" s="2" t="n">
        <x:f>IF(J470&lt;&gt;"PASS",0,'Motor_Meciuri'!BS39)</x:f>
        <x:v>0</x:v>
      </x:c>
      <x:c r="AM470" s="2" t="n">
        <x:f>IF(J470&lt;&gt;"PASS",0,'Motor_Meciuri'!BT39)</x:f>
        <x:v>0</x:v>
      </x:c>
      <x:c r="AN470" s="2" t="str">
        <x:f>IF(M470="","",MAX(0,'Motor_Meciuri'!BF39-IF(L470&gt;'Config_v6'!$B$12,'Config_v6'!$B$37,IF(L470&gt;'Config_v6'!$B$11,'Config_v6'!$B$36,0))))</x:f>
      </x:c>
    </x:row>
    <x:row r="471" ht="21" customHeight="1">
      <x:c r="A471" s="2" t="n">
        <x:v>34</x:v>
      </x:c>
      <x:c r="B471" s="2" t="str">
        <x:f>IF('Motor_Meciuri'!A39="","",'Motor_Meciuri'!A39)</x:f>
      </x:c>
      <x:c r="C471" s="2" t="str">
        <x:f>IF(B471="","",'Motor_Meciuri'!B39)</x:f>
      </x:c>
      <x:c r="D471" s="2" t="str">
        <x:f>IF(B471="","",'Motor_Meciuri'!D39)</x:f>
      </x:c>
      <x:c r="E471" s="2" t="str">
        <x:f>IF(B471="","",'Motor_Meciuri'!E39)</x:f>
      </x:c>
      <x:c r="F471" s="2" t="str">
        <x:v>O6,5</x:v>
      </x:c>
      <x:c r="G471" s="2" t="str">
        <x:v>OVER</x:v>
      </x:c>
      <x:c r="H471" s="2" t="n">
        <x:v>6</x:v>
      </x:c>
      <x:c r="I471" s="2" t="str">
        <x:f>IF(B471="","",'Motor_Meciuri'!H39)</x:f>
      </x:c>
      <x:c r="J471" s="2" t="str">
        <x:f>IF(B471="","",'Motor_Meciuri'!I39)</x:f>
      </x:c>
      <x:c r="K471" s="11" t="str">
        <x:f>IF(J471&lt;&gt;"PASS","",'Motor_Meciuri'!BD39)</x:f>
      </x:c>
      <x:c r="L471" s="11" t="str">
        <x:f>IF(J471&lt;&gt;"PASS","",'Motor_Meciuri'!AU39)</x:f>
      </x:c>
      <x:c r="M471" s="10" t="str">
        <x:f>IF(NOT(AND(J471="PASS",'Calibrare_Linii'!U9="VALID")),"",1-'Distributie'!AD39)</x:f>
      </x:c>
      <x:c r="N471" s="10" t="str">
        <x:f>IF(M471="","",MAX(0.01,MIN(0.99,0.5+(M471-0.5)*'Motor_Meciuri'!BG39*'Calibrare_Linii'!D9)))</x:f>
      </x:c>
      <x:c r="O471" s="10" t="str">
        <x:f>IF(M471="","",1-M471)</x:f>
      </x:c>
      <x:c r="P471" s="10" t="str">
        <x:f>IF(OR(NOT(AND(J471="PASS",'Calibrare_Linii'!U9="VALID")),AK471=0),""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*('Istoric_Nativ'!$Q$6:$Q$405&lt;=H471))/AK471)</x:f>
      </x:c>
      <x:c r="Q471" s="10" t="str">
        <x:f>IF(OR(NOT(AND(J471="PASS",'Calibrare_Linii'!U9="VALID")),AL471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M39)+((('Istoric_Nativ'!$E$6:$E$405='Input_Meci'!E39)+('Istoric_Nativ'!$F$6:$F$405='Input_Meci'!E39))&gt;0)*('Istoric_Nativ'!$D$6:$D$405&gt;='Motor_Meciuri'!BN39))&gt;0)*('Istoric_Nativ'!$Q$6:$Q$405&lt;=H471))/AL471)</x:f>
      </x:c>
      <x:c r="R471" s="10" t="str">
        <x:f>IF(OR(NOT(AND(J471="PASS",'Calibrare_Linii'!U9="VALID")),AM471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O39)+((('Istoric_Nativ'!$E$6:$E$405='Input_Meci'!E39)+('Istoric_Nativ'!$F$6:$F$405='Input_Meci'!E39))&gt;0)*('Istoric_Nativ'!$D$6:$D$405&gt;='Motor_Meciuri'!BP39))&gt;0)*('Istoric_Nativ'!$Q$6:$Q$405&lt;=H471))/AM471)</x:f>
      </x:c>
      <x:c r="S471" s="10" t="str">
        <x:f>IF(M471="","",MAX(O471,P471,Q471,R471))</x:f>
      </x:c>
      <x:c r="T471" s="11" t="str">
        <x:f>IF(M471="","",MIN(100,S471*100*'Config_v6'!$B$44+MIN(100,L471/'Config_v6'!$B$13*100)*'Config_v6'!$B$45+(100-'Motor_Meciuri'!BF39)*'Config_v6'!$B$46+'Motor_Meciuri'!BH39*100*'Config_v6'!$B$47))</x:f>
      </x:c>
      <x:c r="U471" s="2" t="str">
        <x:f>IF(T471="","",IF(T471&lt;=20,1,IF(T471&lt;=40,2,IF(T471&lt;=60,3,IF(T471&lt;=80,4,5)))))</x:f>
      </x:c>
      <x:c r="V471" s="2" t="str">
        <x:f>IF(M471="","",MAX(0,'Motor_Meciuri'!BF39-IF(W471="OOS PENDING",'Config_v6'!$B$35,0)-IF(L471&gt;'Config_v6'!$B$12,'Config_v6'!$B$37,IF(L471&gt;'Config_v6'!$B$11,'Config_v6'!$B$36,0))))</x:f>
      </x:c>
      <x:c r="W471" s="2" t="str">
        <x:f>IF(B471="","",IF(I471&lt;&gt;"READY","NOT RELEASED",IF(NOT(AND(J471="PASS",'Calibrare_Linii'!U9="VALID")),"INVALID",IF(NOT(AND('Calibrare_Linii'!S9="VALIDATED",AND('Calibrare_Linii'!H9=C471,ISNUMBER('Calibrare_Linii'!J9),'Calibrare_Linii'!J9&lt;='Input_Meci'!G39))),"OOS PENDING",IF(S471&lt;='Calibrare_Linii'!E9,"PASS",IF(S471&lt;='Calibrare_Linii'!F9,"PENALTY","WATCH"))))))</x:f>
      </x:c>
      <x:c r="X471" s="2" t="str">
        <x:f>IF(M471="","",IF(AND(AND(J471="PASS",'Calibrare_Linii'!U9="VALID"),'Motor_Meciuri'!K39=12,'Motor_Meciuri'!L39=12,'Motor_Meciuri'!M39="NO",'Motor_Meciuri'!BL39='Motor_Meciuri'!C39,AB471&gt;='Config_v6'!$B$50,AN471&gt;='Config_v6'!$B$51,T471&lt;='Config_v6'!$B$52,L471&lt;='Config_v6'!$B$53,ISNUMBER('Calibrare_Linii'!E9),S471&lt;='Calibrare_Linii'!E9,SUM(AK471:AM471)&gt;0),"CANDIDATE","NO"))</x:f>
      </x:c>
      <x:c r="Y471" s="2" t="str">
        <x:f>IF(B471="","",IF(I471&lt;&gt;"READY","NOT RELEASED",IF(AND(X471="CANDIDATE",V471&gt;='Config_v6'!$B$51,W471="PASS",'Calibrare_Linii'!T9="VALIDATED",AND('Calibrare_Linii'!H9=C471,ISNUMBER('Calibrare_Linii'!J9),'Calibrare_Linii'!J9&lt;='Input_Meci'!G39)),"PASS",IF(X471="CANDIDATE","OOS PENDING","FAIL"))))</x:f>
      </x:c>
      <x:c r="Z471" s="2" t="str">
        <x:f>IF(B471="","",IF(I471&lt;&gt;"READY","",IF(OR(NOT(AND(J471="PASS",'Calibrare_Linii'!U9="VALID")),L471&gt;'Config_v6'!$B$13,W471="WATCH"),5,IF(Y471="PASS",1,MIN(5,MAX('Config_v6'!$B$42,U471)+IF(W471="PENALTY",1,0))))))</x:f>
      </x:c>
      <x:c r="AA471" s="2" t="str">
        <x:f>IF(B471="","",IF(I471&lt;&gt;"READY","NOT RELEASED",IF(Z471=5,"NO BET",IF(OR(AB471&lt;'Config_v6'!$B$16,V471&lt;'Config_v6'!$B$18),"WATCH",IF(Z471=1,"DEFENSIV",IF(Z471=2,"PRUDENT",IF(Z471=3,"MODERAT","RIDICAT")))))))</x:f>
      </x:c>
      <x:c r="AB471" s="10" t="str">
        <x:f>IF(N471="","",MIN(N471,1-S471))</x:f>
      </x:c>
      <x:c r="AC471" s="2" t="str">
        <x:f>IF(AD471&lt;&gt;1,"",COUNTIFS($Z$468:$Z$481,"&lt;"&amp;Z471,$AD$468:$AD$481,1)+COUNTIFS($Z$468:$Z$481,Z471,$AB$468:$AB$481,"&gt;"&amp;AB471,$AD$468:$AD$481,1)+COUNTIFS($Z$468:$Z$481,Z471,$AB$468:$AB$481,AB471,$V$468:$V$481,"&gt;"&amp;V471,$AD$468:$AD$481,1)+COUNTIFS($Z$468:Z471,Z471,$AB$468:AB471,AB471,$V$468:V471,V471,$AD$468:AD471,1))</x:f>
      </x:c>
      <x:c r="AD471" s="2" t="n">
        <x:f>IF(OR(AA471="DEFENSIV",AA471="PRUDENT",AA471="MODERAT",AA471="RIDICAT"),1,0)</x:f>
        <x:v>0</x:v>
      </x:c>
      <x:c r="AE471" s="2" t="str">
        <x:f>IF(AD471&lt;&gt;1,"NO",IF(W471="PASS","YES",IF(W471="OOS PENDING","CONDITIONAL","NO")))</x:f>
        <x:v>NO</x:v>
      </x:c>
      <x:c r="AF471" s="2" t="n">
        <x:f>IF(AND(AD471=1,AC471=1,E471="LIVE"),1,0)</x:f>
        <x:v>0</x:v>
      </x:c>
      <x:c r="AG471" s="2" t="str">
        <x:f>IF(AF471&lt;&gt;1,"",'Dashboard'!P59)</x:f>
      </x:c>
      <x:c r="AH471" s="2" t="str">
        <x:f>IF(B471="","",IF(J471&lt;&gt;"PASS",'Motor_Meciuri'!J39,IF('Calibrare_Linii'!U9&lt;&gt;"VALID","Parametri linie invalizi",IF(L471&gt;'Config_v6'!$B$13,"Dispersie peste limita",IF(W471="WATCH","Failure peste limita",IF(AB471&lt;'Config_v6'!$B$16,"P finala sub prag",IF(V471&lt;'Config_v6'!$B$18,"Confidence sub prag",IF(E471="REPLAY","Exemplu retrospectiv; exclus din Top LIVE",IF(Y471="PASS","DEFENSIV validat",IF(W471="OOS PENDING","Eligibil; calibrare linie in monitorizare","Eligibil"))))))))))</x:f>
      </x:c>
      <x:c r="AI471" s="2" t="str">
        <x:f>IF(B471="","",'Calibrare_Linii'!V9)</x:f>
      </x:c>
      <x:c r="AJ471" s="2" t="str">
        <x:f>IF(B471="","",IF(AND('Calibrare_Linii'!T9="VALIDATED",AND('Calibrare_Linii'!H9=C471,ISNUMBER('Calibrare_Linii'!J9),'Calibrare_Linii'!J9&lt;='Input_Meci'!G39)),"DEFENSIVE VALIDATED",IF(AND('Calibrare_Linii'!S9="VALIDATED",AND('Calibrare_Linii'!H9=C471,ISNUMBER('Calibrare_Linii'!J9),'Calibrare_Linii'!J9&lt;='Input_Meci'!G39)),"TAIL VALIDATED","OOS PENDING")))</x:f>
      </x:c>
      <x:c r="AK471" s="2" t="n">
        <x:f>IF(J471&lt;&gt;"PASS",0,'Motor_Meciuri'!BR39)</x:f>
        <x:v>0</x:v>
      </x:c>
      <x:c r="AL471" s="2" t="n">
        <x:f>IF(J471&lt;&gt;"PASS",0,'Motor_Meciuri'!BS39)</x:f>
        <x:v>0</x:v>
      </x:c>
      <x:c r="AM471" s="2" t="n">
        <x:f>IF(J471&lt;&gt;"PASS",0,'Motor_Meciuri'!BT39)</x:f>
        <x:v>0</x:v>
      </x:c>
      <x:c r="AN471" s="2" t="str">
        <x:f>IF(M471="","",MAX(0,'Motor_Meciuri'!BF39-IF(L471&gt;'Config_v6'!$B$12,'Config_v6'!$B$37,IF(L471&gt;'Config_v6'!$B$11,'Config_v6'!$B$36,0))))</x:f>
      </x:c>
    </x:row>
    <x:row r="472" ht="21" customHeight="1">
      <x:c r="A472" s="2" t="n">
        <x:v>34</x:v>
      </x:c>
      <x:c r="B472" s="2" t="str">
        <x:f>IF('Motor_Meciuri'!A39="","",'Motor_Meciuri'!A39)</x:f>
      </x:c>
      <x:c r="C472" s="2" t="str">
        <x:f>IF(B472="","",'Motor_Meciuri'!B39)</x:f>
      </x:c>
      <x:c r="D472" s="2" t="str">
        <x:f>IF(B472="","",'Motor_Meciuri'!D39)</x:f>
      </x:c>
      <x:c r="E472" s="2" t="str">
        <x:f>IF(B472="","",'Motor_Meciuri'!E39)</x:f>
      </x:c>
      <x:c r="F472" s="2" t="str">
        <x:v>O7,5</x:v>
      </x:c>
      <x:c r="G472" s="2" t="str">
        <x:v>OVER</x:v>
      </x:c>
      <x:c r="H472" s="2" t="n">
        <x:v>7</x:v>
      </x:c>
      <x:c r="I472" s="2" t="str">
        <x:f>IF(B472="","",'Motor_Meciuri'!H39)</x:f>
      </x:c>
      <x:c r="J472" s="2" t="str">
        <x:f>IF(B472="","",'Motor_Meciuri'!I39)</x:f>
      </x:c>
      <x:c r="K472" s="11" t="str">
        <x:f>IF(J472&lt;&gt;"PASS","",'Motor_Meciuri'!BD39)</x:f>
      </x:c>
      <x:c r="L472" s="11" t="str">
        <x:f>IF(J472&lt;&gt;"PASS","",'Motor_Meciuri'!AU39)</x:f>
      </x:c>
      <x:c r="M472" s="10" t="str">
        <x:f>IF(NOT(AND(J472="PASS",'Calibrare_Linii'!U10="VALID")),"",1-'Distributie'!AE39)</x:f>
      </x:c>
      <x:c r="N472" s="10" t="str">
        <x:f>IF(M472="","",MAX(0.01,MIN(0.99,0.5+(M472-0.5)*'Motor_Meciuri'!BG39*'Calibrare_Linii'!D10)))</x:f>
      </x:c>
      <x:c r="O472" s="10" t="str">
        <x:f>IF(M472="","",1-M472)</x:f>
      </x:c>
      <x:c r="P472" s="10" t="str">
        <x:f>IF(OR(NOT(AND(J472="PASS",'Calibrare_Linii'!U10="VALID")),AK472=0),""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*('Istoric_Nativ'!$Q$6:$Q$405&lt;=H472))/AK472)</x:f>
      </x:c>
      <x:c r="Q472" s="10" t="str">
        <x:f>IF(OR(NOT(AND(J472="PASS",'Calibrare_Linii'!U10="VALID")),AL472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M39)+((('Istoric_Nativ'!$E$6:$E$405='Input_Meci'!E39)+('Istoric_Nativ'!$F$6:$F$405='Input_Meci'!E39))&gt;0)*('Istoric_Nativ'!$D$6:$D$405&gt;='Motor_Meciuri'!BN39))&gt;0)*('Istoric_Nativ'!$Q$6:$Q$405&lt;=H472))/AL472)</x:f>
      </x:c>
      <x:c r="R472" s="10" t="str">
        <x:f>IF(OR(NOT(AND(J472="PASS",'Calibrare_Linii'!U10="VALID")),AM472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O39)+((('Istoric_Nativ'!$E$6:$E$405='Input_Meci'!E39)+('Istoric_Nativ'!$F$6:$F$405='Input_Meci'!E39))&gt;0)*('Istoric_Nativ'!$D$6:$D$405&gt;='Motor_Meciuri'!BP39))&gt;0)*('Istoric_Nativ'!$Q$6:$Q$405&lt;=H472))/AM472)</x:f>
      </x:c>
      <x:c r="S472" s="10" t="str">
        <x:f>IF(M472="","",MAX(O472,P472,Q472,R472))</x:f>
      </x:c>
      <x:c r="T472" s="11" t="str">
        <x:f>IF(M472="","",MIN(100,S472*100*'Config_v6'!$B$44+MIN(100,L472/'Config_v6'!$B$13*100)*'Config_v6'!$B$45+(100-'Motor_Meciuri'!BF39)*'Config_v6'!$B$46+'Motor_Meciuri'!BH39*100*'Config_v6'!$B$47))</x:f>
      </x:c>
      <x:c r="U472" s="2" t="str">
        <x:f>IF(T472="","",IF(T472&lt;=20,1,IF(T472&lt;=40,2,IF(T472&lt;=60,3,IF(T472&lt;=80,4,5)))))</x:f>
      </x:c>
      <x:c r="V472" s="2" t="str">
        <x:f>IF(M472="","",MAX(0,'Motor_Meciuri'!BF39-IF(W472="OOS PENDING",'Config_v6'!$B$35,0)-IF(L472&gt;'Config_v6'!$B$12,'Config_v6'!$B$37,IF(L472&gt;'Config_v6'!$B$11,'Config_v6'!$B$36,0))))</x:f>
      </x:c>
      <x:c r="W472" s="2" t="str">
        <x:f>IF(B472="","",IF(I472&lt;&gt;"READY","NOT RELEASED",IF(NOT(AND(J472="PASS",'Calibrare_Linii'!U10="VALID")),"INVALID",IF(NOT(AND('Calibrare_Linii'!S10="VALIDATED",AND('Calibrare_Linii'!H10=C472,ISNUMBER('Calibrare_Linii'!J10),'Calibrare_Linii'!J10&lt;='Input_Meci'!G39))),"OOS PENDING",IF(S472&lt;='Calibrare_Linii'!E10,"PASS",IF(S472&lt;='Calibrare_Linii'!F10,"PENALTY","WATCH"))))))</x:f>
      </x:c>
      <x:c r="X472" s="2" t="str">
        <x:f>IF(M472="","",IF(AND(AND(J472="PASS",'Calibrare_Linii'!U10="VALID"),'Motor_Meciuri'!K39=12,'Motor_Meciuri'!L39=12,'Motor_Meciuri'!M39="NO",'Motor_Meciuri'!BL39='Motor_Meciuri'!C39,AB472&gt;='Config_v6'!$B$50,AN472&gt;='Config_v6'!$B$51,T472&lt;='Config_v6'!$B$52,L472&lt;='Config_v6'!$B$53,ISNUMBER('Calibrare_Linii'!E10),S472&lt;='Calibrare_Linii'!E10,SUM(AK472:AM472)&gt;0),"CANDIDATE","NO"))</x:f>
      </x:c>
      <x:c r="Y472" s="2" t="str">
        <x:f>IF(B472="","",IF(I472&lt;&gt;"READY","NOT RELEASED",IF(AND(X472="CANDIDATE",V472&gt;='Config_v6'!$B$51,W472="PASS",'Calibrare_Linii'!T10="VALIDATED",AND('Calibrare_Linii'!H10=C472,ISNUMBER('Calibrare_Linii'!J10),'Calibrare_Linii'!J10&lt;='Input_Meci'!G39)),"PASS",IF(X472="CANDIDATE","OOS PENDING","FAIL"))))</x:f>
      </x:c>
      <x:c r="Z472" s="2" t="str">
        <x:f>IF(B472="","",IF(I472&lt;&gt;"READY","",IF(OR(NOT(AND(J472="PASS",'Calibrare_Linii'!U10="VALID")),L472&gt;'Config_v6'!$B$13,W472="WATCH"),5,IF(Y472="PASS",1,MIN(5,MAX('Config_v6'!$B$42,U472)+IF(W472="PENALTY",1,0))))))</x:f>
      </x:c>
      <x:c r="AA472" s="2" t="str">
        <x:f>IF(B472="","",IF(I472&lt;&gt;"READY","NOT RELEASED",IF(Z472=5,"NO BET",IF(OR(AB472&lt;'Config_v6'!$B$16,V472&lt;'Config_v6'!$B$18),"WATCH",IF(Z472=1,"DEFENSIV",IF(Z472=2,"PRUDENT",IF(Z472=3,"MODERAT","RIDICAT")))))))</x:f>
      </x:c>
      <x:c r="AB472" s="10" t="str">
        <x:f>IF(N472="","",MIN(N472,1-S472))</x:f>
      </x:c>
      <x:c r="AC472" s="2" t="str">
        <x:f>IF(AD472&lt;&gt;1,"",COUNTIFS($Z$468:$Z$481,"&lt;"&amp;Z472,$AD$468:$AD$481,1)+COUNTIFS($Z$468:$Z$481,Z472,$AB$468:$AB$481,"&gt;"&amp;AB472,$AD$468:$AD$481,1)+COUNTIFS($Z$468:$Z$481,Z472,$AB$468:$AB$481,AB472,$V$468:$V$481,"&gt;"&amp;V472,$AD$468:$AD$481,1)+COUNTIFS($Z$468:Z472,Z472,$AB$468:AB472,AB472,$V$468:V472,V472,$AD$468:AD472,1))</x:f>
      </x:c>
      <x:c r="AD472" s="2" t="n">
        <x:f>IF(OR(AA472="DEFENSIV",AA472="PRUDENT",AA472="MODERAT",AA472="RIDICAT"),1,0)</x:f>
        <x:v>0</x:v>
      </x:c>
      <x:c r="AE472" s="2" t="str">
        <x:f>IF(AD472&lt;&gt;1,"NO",IF(W472="PASS","YES",IF(W472="OOS PENDING","CONDITIONAL","NO")))</x:f>
        <x:v>NO</x:v>
      </x:c>
      <x:c r="AF472" s="2" t="n">
        <x:f>IF(AND(AD472=1,AC472=1,E472="LIVE"),1,0)</x:f>
        <x:v>0</x:v>
      </x:c>
      <x:c r="AG472" s="2" t="str">
        <x:f>IF(AF472&lt;&gt;1,"",'Dashboard'!P59)</x:f>
      </x:c>
      <x:c r="AH472" s="2" t="str">
        <x:f>IF(B472="","",IF(J472&lt;&gt;"PASS",'Motor_Meciuri'!J39,IF('Calibrare_Linii'!U10&lt;&gt;"VALID","Parametri linie invalizi",IF(L472&gt;'Config_v6'!$B$13,"Dispersie peste limita",IF(W472="WATCH","Failure peste limita",IF(AB472&lt;'Config_v6'!$B$16,"P finala sub prag",IF(V472&lt;'Config_v6'!$B$18,"Confidence sub prag",IF(E472="REPLAY","Exemplu retrospectiv; exclus din Top LIVE",IF(Y472="PASS","DEFENSIV validat",IF(W472="OOS PENDING","Eligibil; calibrare linie in monitorizare","Eligibil"))))))))))</x:f>
      </x:c>
      <x:c r="AI472" s="2" t="str">
        <x:f>IF(B472="","",'Calibrare_Linii'!V10)</x:f>
      </x:c>
      <x:c r="AJ472" s="2" t="str">
        <x:f>IF(B472="","",IF(AND('Calibrare_Linii'!T10="VALIDATED",AND('Calibrare_Linii'!H10=C472,ISNUMBER('Calibrare_Linii'!J10),'Calibrare_Linii'!J10&lt;='Input_Meci'!G39)),"DEFENSIVE VALIDATED",IF(AND('Calibrare_Linii'!S10="VALIDATED",AND('Calibrare_Linii'!H10=C472,ISNUMBER('Calibrare_Linii'!J10),'Calibrare_Linii'!J10&lt;='Input_Meci'!G39)),"TAIL VALIDATED","OOS PENDING")))</x:f>
      </x:c>
      <x:c r="AK472" s="2" t="n">
        <x:f>IF(J472&lt;&gt;"PASS",0,'Motor_Meciuri'!BR39)</x:f>
        <x:v>0</x:v>
      </x:c>
      <x:c r="AL472" s="2" t="n">
        <x:f>IF(J472&lt;&gt;"PASS",0,'Motor_Meciuri'!BS39)</x:f>
        <x:v>0</x:v>
      </x:c>
      <x:c r="AM472" s="2" t="n">
        <x:f>IF(J472&lt;&gt;"PASS",0,'Motor_Meciuri'!BT39)</x:f>
        <x:v>0</x:v>
      </x:c>
      <x:c r="AN472" s="2" t="str">
        <x:f>IF(M472="","",MAX(0,'Motor_Meciuri'!BF39-IF(L472&gt;'Config_v6'!$B$12,'Config_v6'!$B$37,IF(L472&gt;'Config_v6'!$B$11,'Config_v6'!$B$36,0))))</x:f>
      </x:c>
    </x:row>
    <x:row r="473" ht="21" customHeight="1">
      <x:c r="A473" s="2" t="n">
        <x:v>34</x:v>
      </x:c>
      <x:c r="B473" s="2" t="str">
        <x:f>IF('Motor_Meciuri'!A39="","",'Motor_Meciuri'!A39)</x:f>
      </x:c>
      <x:c r="C473" s="2" t="str">
        <x:f>IF(B473="","",'Motor_Meciuri'!B39)</x:f>
      </x:c>
      <x:c r="D473" s="2" t="str">
        <x:f>IF(B473="","",'Motor_Meciuri'!D39)</x:f>
      </x:c>
      <x:c r="E473" s="2" t="str">
        <x:f>IF(B473="","",'Motor_Meciuri'!E39)</x:f>
      </x:c>
      <x:c r="F473" s="2" t="str">
        <x:v>O8,5</x:v>
      </x:c>
      <x:c r="G473" s="2" t="str">
        <x:v>OVER</x:v>
      </x:c>
      <x:c r="H473" s="2" t="n">
        <x:v>8</x:v>
      </x:c>
      <x:c r="I473" s="2" t="str">
        <x:f>IF(B473="","",'Motor_Meciuri'!H39)</x:f>
      </x:c>
      <x:c r="J473" s="2" t="str">
        <x:f>IF(B473="","",'Motor_Meciuri'!I39)</x:f>
      </x:c>
      <x:c r="K473" s="11" t="str">
        <x:f>IF(J473&lt;&gt;"PASS","",'Motor_Meciuri'!BD39)</x:f>
      </x:c>
      <x:c r="L473" s="11" t="str">
        <x:f>IF(J473&lt;&gt;"PASS","",'Motor_Meciuri'!AU39)</x:f>
      </x:c>
      <x:c r="M473" s="10" t="str">
        <x:f>IF(NOT(AND(J473="PASS",'Calibrare_Linii'!U11="VALID")),"",1-'Distributie'!AF39)</x:f>
      </x:c>
      <x:c r="N473" s="10" t="str">
        <x:f>IF(M473="","",MAX(0.01,MIN(0.99,0.5+(M473-0.5)*'Motor_Meciuri'!BG39*'Calibrare_Linii'!D11)))</x:f>
      </x:c>
      <x:c r="O473" s="10" t="str">
        <x:f>IF(M473="","",1-M473)</x:f>
      </x:c>
      <x:c r="P473" s="10" t="str">
        <x:f>IF(OR(NOT(AND(J473="PASS",'Calibrare_Linii'!U11="VALID")),AK473=0),""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*('Istoric_Nativ'!$Q$6:$Q$405&lt;=H473))/AK473)</x:f>
      </x:c>
      <x:c r="Q473" s="10" t="str">
        <x:f>IF(OR(NOT(AND(J473="PASS",'Calibrare_Linii'!U11="VALID")),AL473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M39)+((('Istoric_Nativ'!$E$6:$E$405='Input_Meci'!E39)+('Istoric_Nativ'!$F$6:$F$405='Input_Meci'!E39))&gt;0)*('Istoric_Nativ'!$D$6:$D$405&gt;='Motor_Meciuri'!BN39))&gt;0)*('Istoric_Nativ'!$Q$6:$Q$405&lt;=H473))/AL473)</x:f>
      </x:c>
      <x:c r="R473" s="10" t="str">
        <x:f>IF(OR(NOT(AND(J473="PASS",'Calibrare_Linii'!U11="VALID")),AM473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O39)+((('Istoric_Nativ'!$E$6:$E$405='Input_Meci'!E39)+('Istoric_Nativ'!$F$6:$F$405='Input_Meci'!E39))&gt;0)*('Istoric_Nativ'!$D$6:$D$405&gt;='Motor_Meciuri'!BP39))&gt;0)*('Istoric_Nativ'!$Q$6:$Q$405&lt;=H473))/AM473)</x:f>
      </x:c>
      <x:c r="S473" s="10" t="str">
        <x:f>IF(M473="","",MAX(O473,P473,Q473,R473))</x:f>
      </x:c>
      <x:c r="T473" s="11" t="str">
        <x:f>IF(M473="","",MIN(100,S473*100*'Config_v6'!$B$44+MIN(100,L473/'Config_v6'!$B$13*100)*'Config_v6'!$B$45+(100-'Motor_Meciuri'!BF39)*'Config_v6'!$B$46+'Motor_Meciuri'!BH39*100*'Config_v6'!$B$47))</x:f>
      </x:c>
      <x:c r="U473" s="2" t="str">
        <x:f>IF(T473="","",IF(T473&lt;=20,1,IF(T473&lt;=40,2,IF(T473&lt;=60,3,IF(T473&lt;=80,4,5)))))</x:f>
      </x:c>
      <x:c r="V473" s="2" t="str">
        <x:f>IF(M473="","",MAX(0,'Motor_Meciuri'!BF39-IF(W473="OOS PENDING",'Config_v6'!$B$35,0)-IF(L473&gt;'Config_v6'!$B$12,'Config_v6'!$B$37,IF(L473&gt;'Config_v6'!$B$11,'Config_v6'!$B$36,0))))</x:f>
      </x:c>
      <x:c r="W473" s="2" t="str">
        <x:f>IF(B473="","",IF(I473&lt;&gt;"READY","NOT RELEASED",IF(NOT(AND(J473="PASS",'Calibrare_Linii'!U11="VALID")),"INVALID",IF(NOT(AND('Calibrare_Linii'!S11="VALIDATED",AND('Calibrare_Linii'!H11=C473,ISNUMBER('Calibrare_Linii'!J11),'Calibrare_Linii'!J11&lt;='Input_Meci'!G39))),"OOS PENDING",IF(S473&lt;='Calibrare_Linii'!E11,"PASS",IF(S473&lt;='Calibrare_Linii'!F11,"PENALTY","WATCH"))))))</x:f>
      </x:c>
      <x:c r="X473" s="2" t="str">
        <x:f>IF(M473="","",IF(AND(AND(J473="PASS",'Calibrare_Linii'!U11="VALID"),'Motor_Meciuri'!K39=12,'Motor_Meciuri'!L39=12,'Motor_Meciuri'!M39="NO",'Motor_Meciuri'!BL39='Motor_Meciuri'!C39,AB473&gt;='Config_v6'!$B$50,AN473&gt;='Config_v6'!$B$51,T473&lt;='Config_v6'!$B$52,L473&lt;='Config_v6'!$B$53,ISNUMBER('Calibrare_Linii'!E11),S473&lt;='Calibrare_Linii'!E11,SUM(AK473:AM473)&gt;0),"CANDIDATE","NO"))</x:f>
      </x:c>
      <x:c r="Y473" s="2" t="str">
        <x:f>IF(B473="","",IF(I473&lt;&gt;"READY","NOT RELEASED",IF(AND(X473="CANDIDATE",V473&gt;='Config_v6'!$B$51,W473="PASS",'Calibrare_Linii'!T11="VALIDATED",AND('Calibrare_Linii'!H11=C473,ISNUMBER('Calibrare_Linii'!J11),'Calibrare_Linii'!J11&lt;='Input_Meci'!G39)),"PASS",IF(X473="CANDIDATE","OOS PENDING","FAIL"))))</x:f>
      </x:c>
      <x:c r="Z473" s="2" t="str">
        <x:f>IF(B473="","",IF(I473&lt;&gt;"READY","",IF(OR(NOT(AND(J473="PASS",'Calibrare_Linii'!U11="VALID")),L473&gt;'Config_v6'!$B$13,W473="WATCH"),5,IF(Y473="PASS",1,MIN(5,MAX('Config_v6'!$B$42,U473)+IF(W473="PENALTY",1,0))))))</x:f>
      </x:c>
      <x:c r="AA473" s="2" t="str">
        <x:f>IF(B473="","",IF(I473&lt;&gt;"READY","NOT RELEASED",IF(Z473=5,"NO BET",IF(OR(AB473&lt;'Config_v6'!$B$16,V473&lt;'Config_v6'!$B$18),"WATCH",IF(Z473=1,"DEFENSIV",IF(Z473=2,"PRUDENT",IF(Z473=3,"MODERAT","RIDICAT")))))))</x:f>
      </x:c>
      <x:c r="AB473" s="10" t="str">
        <x:f>IF(N473="","",MIN(N473,1-S473))</x:f>
      </x:c>
      <x:c r="AC473" s="2" t="str">
        <x:f>IF(AD473&lt;&gt;1,"",COUNTIFS($Z$468:$Z$481,"&lt;"&amp;Z473,$AD$468:$AD$481,1)+COUNTIFS($Z$468:$Z$481,Z473,$AB$468:$AB$481,"&gt;"&amp;AB473,$AD$468:$AD$481,1)+COUNTIFS($Z$468:$Z$481,Z473,$AB$468:$AB$481,AB473,$V$468:$V$481,"&gt;"&amp;V473,$AD$468:$AD$481,1)+COUNTIFS($Z$468:Z473,Z473,$AB$468:AB473,AB473,$V$468:V473,V473,$AD$468:AD473,1))</x:f>
      </x:c>
      <x:c r="AD473" s="2" t="n">
        <x:f>IF(OR(AA473="DEFENSIV",AA473="PRUDENT",AA473="MODERAT",AA473="RIDICAT"),1,0)</x:f>
        <x:v>0</x:v>
      </x:c>
      <x:c r="AE473" s="2" t="str">
        <x:f>IF(AD473&lt;&gt;1,"NO",IF(W473="PASS","YES",IF(W473="OOS PENDING","CONDITIONAL","NO")))</x:f>
        <x:v>NO</x:v>
      </x:c>
      <x:c r="AF473" s="2" t="n">
        <x:f>IF(AND(AD473=1,AC473=1,E473="LIVE"),1,0)</x:f>
        <x:v>0</x:v>
      </x:c>
      <x:c r="AG473" s="2" t="str">
        <x:f>IF(AF473&lt;&gt;1,"",'Dashboard'!P59)</x:f>
      </x:c>
      <x:c r="AH473" s="2" t="str">
        <x:f>IF(B473="","",IF(J473&lt;&gt;"PASS",'Motor_Meciuri'!J39,IF('Calibrare_Linii'!U11&lt;&gt;"VALID","Parametri linie invalizi",IF(L473&gt;'Config_v6'!$B$13,"Dispersie peste limita",IF(W473="WATCH","Failure peste limita",IF(AB473&lt;'Config_v6'!$B$16,"P finala sub prag",IF(V473&lt;'Config_v6'!$B$18,"Confidence sub prag",IF(E473="REPLAY","Exemplu retrospectiv; exclus din Top LIVE",IF(Y473="PASS","DEFENSIV validat",IF(W473="OOS PENDING","Eligibil; calibrare linie in monitorizare","Eligibil"))))))))))</x:f>
      </x:c>
      <x:c r="AI473" s="2" t="str">
        <x:f>IF(B473="","",'Calibrare_Linii'!V11)</x:f>
      </x:c>
      <x:c r="AJ473" s="2" t="str">
        <x:f>IF(B473="","",IF(AND('Calibrare_Linii'!T11="VALIDATED",AND('Calibrare_Linii'!H11=C473,ISNUMBER('Calibrare_Linii'!J11),'Calibrare_Linii'!J11&lt;='Input_Meci'!G39)),"DEFENSIVE VALIDATED",IF(AND('Calibrare_Linii'!S11="VALIDATED",AND('Calibrare_Linii'!H11=C473,ISNUMBER('Calibrare_Linii'!J11),'Calibrare_Linii'!J11&lt;='Input_Meci'!G39)),"TAIL VALIDATED","OOS PENDING")))</x:f>
      </x:c>
      <x:c r="AK473" s="2" t="n">
        <x:f>IF(J473&lt;&gt;"PASS",0,'Motor_Meciuri'!BR39)</x:f>
        <x:v>0</x:v>
      </x:c>
      <x:c r="AL473" s="2" t="n">
        <x:f>IF(J473&lt;&gt;"PASS",0,'Motor_Meciuri'!BS39)</x:f>
        <x:v>0</x:v>
      </x:c>
      <x:c r="AM473" s="2" t="n">
        <x:f>IF(J473&lt;&gt;"PASS",0,'Motor_Meciuri'!BT39)</x:f>
        <x:v>0</x:v>
      </x:c>
      <x:c r="AN473" s="2" t="str">
        <x:f>IF(M473="","",MAX(0,'Motor_Meciuri'!BF39-IF(L473&gt;'Config_v6'!$B$12,'Config_v6'!$B$37,IF(L473&gt;'Config_v6'!$B$11,'Config_v6'!$B$36,0))))</x:f>
      </x:c>
    </x:row>
    <x:row r="474" ht="21" customHeight="1">
      <x:c r="A474" s="2" t="n">
        <x:v>34</x:v>
      </x:c>
      <x:c r="B474" s="2" t="str">
        <x:f>IF('Motor_Meciuri'!A39="","",'Motor_Meciuri'!A39)</x:f>
      </x:c>
      <x:c r="C474" s="2" t="str">
        <x:f>IF(B474="","",'Motor_Meciuri'!B39)</x:f>
      </x:c>
      <x:c r="D474" s="2" t="str">
        <x:f>IF(B474="","",'Motor_Meciuri'!D39)</x:f>
      </x:c>
      <x:c r="E474" s="2" t="str">
        <x:f>IF(B474="","",'Motor_Meciuri'!E39)</x:f>
      </x:c>
      <x:c r="F474" s="2" t="str">
        <x:v>U10,5</x:v>
      </x:c>
      <x:c r="G474" s="2" t="str">
        <x:v>UNDER</x:v>
      </x:c>
      <x:c r="H474" s="2" t="n">
        <x:v>10</x:v>
      </x:c>
      <x:c r="I474" s="2" t="str">
        <x:f>IF(B474="","",'Motor_Meciuri'!H39)</x:f>
      </x:c>
      <x:c r="J474" s="2" t="str">
        <x:f>IF(B474="","",'Motor_Meciuri'!I39)</x:f>
      </x:c>
      <x:c r="K474" s="11" t="str">
        <x:f>IF(J474&lt;&gt;"PASS","",'Motor_Meciuri'!BD39)</x:f>
      </x:c>
      <x:c r="L474" s="11" t="str">
        <x:f>IF(J474&lt;&gt;"PASS","",'Motor_Meciuri'!AU39)</x:f>
      </x:c>
      <x:c r="M474" s="10" t="str">
        <x:f>IF(NOT(AND(J474="PASS",'Calibrare_Linii'!U12="VALID")),"",'Distributie'!AH39)</x:f>
      </x:c>
      <x:c r="N474" s="10" t="str">
        <x:f>IF(M474="","",MAX(0.01,MIN(0.99,0.5+(M474-0.5)*'Motor_Meciuri'!BG39*'Calibrare_Linii'!D12)))</x:f>
      </x:c>
      <x:c r="O474" s="10" t="str">
        <x:f>IF(M474="","",1-M474)</x:f>
      </x:c>
      <x:c r="P474" s="10" t="str">
        <x:f>IF(OR(NOT(AND(J474="PASS",'Calibrare_Linii'!U12="VALID")),AK474=0),""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*('Istoric_Nativ'!$Q$6:$Q$405&gt;H474))/AK474)</x:f>
      </x:c>
      <x:c r="Q474" s="10" t="str">
        <x:f>IF(OR(NOT(AND(J474="PASS",'Calibrare_Linii'!U12="VALID")),AL474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M39)+((('Istoric_Nativ'!$E$6:$E$405='Input_Meci'!E39)+('Istoric_Nativ'!$F$6:$F$405='Input_Meci'!E39))&gt;0)*('Istoric_Nativ'!$D$6:$D$405&gt;='Motor_Meciuri'!BN39))&gt;0)*('Istoric_Nativ'!$Q$6:$Q$405&gt;H474))/AL474)</x:f>
      </x:c>
      <x:c r="R474" s="10" t="str">
        <x:f>IF(OR(NOT(AND(J474="PASS",'Calibrare_Linii'!U12="VALID")),AM474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O39)+((('Istoric_Nativ'!$E$6:$E$405='Input_Meci'!E39)+('Istoric_Nativ'!$F$6:$F$405='Input_Meci'!E39))&gt;0)*('Istoric_Nativ'!$D$6:$D$405&gt;='Motor_Meciuri'!BP39))&gt;0)*('Istoric_Nativ'!$Q$6:$Q$405&gt;H474))/AM474)</x:f>
      </x:c>
      <x:c r="S474" s="10" t="str">
        <x:f>IF(M474="","",MAX(O474,P474,Q474,R474))</x:f>
      </x:c>
      <x:c r="T474" s="11" t="str">
        <x:f>IF(M474="","",MIN(100,S474*100*'Config_v6'!$B$44+MIN(100,L474/'Config_v6'!$B$13*100)*'Config_v6'!$B$45+(100-'Motor_Meciuri'!BF39)*'Config_v6'!$B$46+'Motor_Meciuri'!BH39*100*'Config_v6'!$B$47))</x:f>
      </x:c>
      <x:c r="U474" s="2" t="str">
        <x:f>IF(T474="","",IF(T474&lt;=20,1,IF(T474&lt;=40,2,IF(T474&lt;=60,3,IF(T474&lt;=80,4,5)))))</x:f>
      </x:c>
      <x:c r="V474" s="2" t="str">
        <x:f>IF(M474="","",MAX(0,'Motor_Meciuri'!BF39-IF(W474="OOS PENDING",'Config_v6'!$B$35,0)-IF(L474&gt;'Config_v6'!$B$12,'Config_v6'!$B$37,IF(L474&gt;'Config_v6'!$B$11,'Config_v6'!$B$36,0))))</x:f>
      </x:c>
      <x:c r="W474" s="2" t="str">
        <x:f>IF(B474="","",IF(I474&lt;&gt;"READY","NOT RELEASED",IF(NOT(AND(J474="PASS",'Calibrare_Linii'!U12="VALID")),"INVALID",IF(NOT(AND('Calibrare_Linii'!S12="VALIDATED",AND('Calibrare_Linii'!H12=C474,ISNUMBER('Calibrare_Linii'!J12),'Calibrare_Linii'!J12&lt;='Input_Meci'!G39))),"OOS PENDING",IF(S474&lt;='Calibrare_Linii'!E12,"PASS",IF(S474&lt;='Calibrare_Linii'!F12,"PENALTY","WATCH"))))))</x:f>
      </x:c>
      <x:c r="X474" s="2" t="str">
        <x:f>IF(M474="","",IF(AND(AND(J474="PASS",'Calibrare_Linii'!U12="VALID"),'Motor_Meciuri'!K39=12,'Motor_Meciuri'!L39=12,'Motor_Meciuri'!M39="NO",'Motor_Meciuri'!BL39='Motor_Meciuri'!C39,AB474&gt;='Config_v6'!$B$50,AN474&gt;='Config_v6'!$B$51,T474&lt;='Config_v6'!$B$52,L474&lt;='Config_v6'!$B$53,ISNUMBER('Calibrare_Linii'!E12),S474&lt;='Calibrare_Linii'!E12,SUM(AK474:AM474)&gt;0),"CANDIDATE","NO"))</x:f>
      </x:c>
      <x:c r="Y474" s="2" t="str">
        <x:f>IF(B474="","",IF(I474&lt;&gt;"READY","NOT RELEASED",IF(AND(X474="CANDIDATE",V474&gt;='Config_v6'!$B$51,W474="PASS",'Calibrare_Linii'!T12="VALIDATED",AND('Calibrare_Linii'!H12=C474,ISNUMBER('Calibrare_Linii'!J12),'Calibrare_Linii'!J12&lt;='Input_Meci'!G39)),"PASS",IF(X474="CANDIDATE","OOS PENDING","FAIL"))))</x:f>
      </x:c>
      <x:c r="Z474" s="2" t="str">
        <x:f>IF(B474="","",IF(I474&lt;&gt;"READY","",IF(OR(NOT(AND(J474="PASS",'Calibrare_Linii'!U12="VALID")),L474&gt;'Config_v6'!$B$13,W474="WATCH"),5,IF(Y474="PASS",1,MIN(5,MAX('Config_v6'!$B$42,U474)+IF(W474="PENALTY",1,0))))))</x:f>
      </x:c>
      <x:c r="AA474" s="2" t="str">
        <x:f>IF(B474="","",IF(I474&lt;&gt;"READY","NOT RELEASED",IF(Z474=5,"NO BET",IF(OR(AB474&lt;'Config_v6'!$B$16,V474&lt;'Config_v6'!$B$18),"WATCH",IF(Z474=1,"DEFENSIV",IF(Z474=2,"PRUDENT",IF(Z474=3,"MODERAT","RIDICAT")))))))</x:f>
      </x:c>
      <x:c r="AB474" s="10" t="str">
        <x:f>IF(N474="","",MIN(N474,1-S474))</x:f>
      </x:c>
      <x:c r="AC474" s="2" t="str">
        <x:f>IF(AD474&lt;&gt;1,"",COUNTIFS($Z$468:$Z$481,"&lt;"&amp;Z474,$AD$468:$AD$481,1)+COUNTIFS($Z$468:$Z$481,Z474,$AB$468:$AB$481,"&gt;"&amp;AB474,$AD$468:$AD$481,1)+COUNTIFS($Z$468:$Z$481,Z474,$AB$468:$AB$481,AB474,$V$468:$V$481,"&gt;"&amp;V474,$AD$468:$AD$481,1)+COUNTIFS($Z$468:Z474,Z474,$AB$468:AB474,AB474,$V$468:V474,V474,$AD$468:AD474,1))</x:f>
      </x:c>
      <x:c r="AD474" s="2" t="n">
        <x:f>IF(OR(AA474="DEFENSIV",AA474="PRUDENT",AA474="MODERAT",AA474="RIDICAT"),1,0)</x:f>
        <x:v>0</x:v>
      </x:c>
      <x:c r="AE474" s="2" t="str">
        <x:f>IF(AD474&lt;&gt;1,"NO",IF(W474="PASS","YES",IF(W474="OOS PENDING","CONDITIONAL","NO")))</x:f>
        <x:v>NO</x:v>
      </x:c>
      <x:c r="AF474" s="2" t="n">
        <x:f>IF(AND(AD474=1,AC474=1,E474="LIVE"),1,0)</x:f>
        <x:v>0</x:v>
      </x:c>
      <x:c r="AG474" s="2" t="str">
        <x:f>IF(AF474&lt;&gt;1,"",'Dashboard'!P59)</x:f>
      </x:c>
      <x:c r="AH474" s="2" t="str">
        <x:f>IF(B474="","",IF(J474&lt;&gt;"PASS",'Motor_Meciuri'!J39,IF('Calibrare_Linii'!U12&lt;&gt;"VALID","Parametri linie invalizi",IF(L474&gt;'Config_v6'!$B$13,"Dispersie peste limita",IF(W474="WATCH","Failure peste limita",IF(AB474&lt;'Config_v6'!$B$16,"P finala sub prag",IF(V474&lt;'Config_v6'!$B$18,"Confidence sub prag",IF(E474="REPLAY","Exemplu retrospectiv; exclus din Top LIVE",IF(Y474="PASS","DEFENSIV validat",IF(W474="OOS PENDING","Eligibil; calibrare linie in monitorizare","Eligibil"))))))))))</x:f>
      </x:c>
      <x:c r="AI474" s="2" t="str">
        <x:f>IF(B474="","",'Calibrare_Linii'!V12)</x:f>
      </x:c>
      <x:c r="AJ474" s="2" t="str">
        <x:f>IF(B474="","",IF(AND('Calibrare_Linii'!T12="VALIDATED",AND('Calibrare_Linii'!H12=C474,ISNUMBER('Calibrare_Linii'!J12),'Calibrare_Linii'!J12&lt;='Input_Meci'!G39)),"DEFENSIVE VALIDATED",IF(AND('Calibrare_Linii'!S12="VALIDATED",AND('Calibrare_Linii'!H12=C474,ISNUMBER('Calibrare_Linii'!J12),'Calibrare_Linii'!J12&lt;='Input_Meci'!G39)),"TAIL VALIDATED","OOS PENDING")))</x:f>
      </x:c>
      <x:c r="AK474" s="2" t="n">
        <x:f>IF(J474&lt;&gt;"PASS",0,'Motor_Meciuri'!BR39)</x:f>
        <x:v>0</x:v>
      </x:c>
      <x:c r="AL474" s="2" t="n">
        <x:f>IF(J474&lt;&gt;"PASS",0,'Motor_Meciuri'!BS39)</x:f>
        <x:v>0</x:v>
      </x:c>
      <x:c r="AM474" s="2" t="n">
        <x:f>IF(J474&lt;&gt;"PASS",0,'Motor_Meciuri'!BT39)</x:f>
        <x:v>0</x:v>
      </x:c>
      <x:c r="AN474" s="2" t="str">
        <x:f>IF(M474="","",MAX(0,'Motor_Meciuri'!BF39-IF(L474&gt;'Config_v6'!$B$12,'Config_v6'!$B$37,IF(L474&gt;'Config_v6'!$B$11,'Config_v6'!$B$36,0))))</x:f>
      </x:c>
    </x:row>
    <x:row r="475" ht="21" customHeight="1">
      <x:c r="A475" s="2" t="n">
        <x:v>34</x:v>
      </x:c>
      <x:c r="B475" s="2" t="str">
        <x:f>IF('Motor_Meciuri'!A39="","",'Motor_Meciuri'!A39)</x:f>
      </x:c>
      <x:c r="C475" s="2" t="str">
        <x:f>IF(B475="","",'Motor_Meciuri'!B39)</x:f>
      </x:c>
      <x:c r="D475" s="2" t="str">
        <x:f>IF(B475="","",'Motor_Meciuri'!D39)</x:f>
      </x:c>
      <x:c r="E475" s="2" t="str">
        <x:f>IF(B475="","",'Motor_Meciuri'!E39)</x:f>
      </x:c>
      <x:c r="F475" s="2" t="str">
        <x:v>U11,5</x:v>
      </x:c>
      <x:c r="G475" s="2" t="str">
        <x:v>UNDER</x:v>
      </x:c>
      <x:c r="H475" s="2" t="n">
        <x:v>11</x:v>
      </x:c>
      <x:c r="I475" s="2" t="str">
        <x:f>IF(B475="","",'Motor_Meciuri'!H39)</x:f>
      </x:c>
      <x:c r="J475" s="2" t="str">
        <x:f>IF(B475="","",'Motor_Meciuri'!I39)</x:f>
      </x:c>
      <x:c r="K475" s="11" t="str">
        <x:f>IF(J475&lt;&gt;"PASS","",'Motor_Meciuri'!BD39)</x:f>
      </x:c>
      <x:c r="L475" s="11" t="str">
        <x:f>IF(J475&lt;&gt;"PASS","",'Motor_Meciuri'!AU39)</x:f>
      </x:c>
      <x:c r="M475" s="10" t="str">
        <x:f>IF(NOT(AND(J475="PASS",'Calibrare_Linii'!U13="VALID")),"",'Distributie'!AI39)</x:f>
      </x:c>
      <x:c r="N475" s="10" t="str">
        <x:f>IF(M475="","",MAX(0.01,MIN(0.99,0.5+(M475-0.5)*'Motor_Meciuri'!BG39*'Calibrare_Linii'!D13)))</x:f>
      </x:c>
      <x:c r="O475" s="10" t="str">
        <x:f>IF(M475="","",1-M475)</x:f>
      </x:c>
      <x:c r="P475" s="10" t="str">
        <x:f>IF(OR(NOT(AND(J475="PASS",'Calibrare_Linii'!U13="VALID")),AK475=0),""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*('Istoric_Nativ'!$Q$6:$Q$405&gt;H475))/AK475)</x:f>
      </x:c>
      <x:c r="Q475" s="10" t="str">
        <x:f>IF(OR(NOT(AND(J475="PASS",'Calibrare_Linii'!U13="VALID")),AL475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M39)+((('Istoric_Nativ'!$E$6:$E$405='Input_Meci'!E39)+('Istoric_Nativ'!$F$6:$F$405='Input_Meci'!E39))&gt;0)*('Istoric_Nativ'!$D$6:$D$405&gt;='Motor_Meciuri'!BN39))&gt;0)*('Istoric_Nativ'!$Q$6:$Q$405&gt;H475))/AL475)</x:f>
      </x:c>
      <x:c r="R475" s="10" t="str">
        <x:f>IF(OR(NOT(AND(J475="PASS",'Calibrare_Linii'!U13="VALID")),AM475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O39)+((('Istoric_Nativ'!$E$6:$E$405='Input_Meci'!E39)+('Istoric_Nativ'!$F$6:$F$405='Input_Meci'!E39))&gt;0)*('Istoric_Nativ'!$D$6:$D$405&gt;='Motor_Meciuri'!BP39))&gt;0)*('Istoric_Nativ'!$Q$6:$Q$405&gt;H475))/AM475)</x:f>
      </x:c>
      <x:c r="S475" s="10" t="str">
        <x:f>IF(M475="","",MAX(O475,P475,Q475,R475))</x:f>
      </x:c>
      <x:c r="T475" s="11" t="str">
        <x:f>IF(M475="","",MIN(100,S475*100*'Config_v6'!$B$44+MIN(100,L475/'Config_v6'!$B$13*100)*'Config_v6'!$B$45+(100-'Motor_Meciuri'!BF39)*'Config_v6'!$B$46+'Motor_Meciuri'!BH39*100*'Config_v6'!$B$47))</x:f>
      </x:c>
      <x:c r="U475" s="2" t="str">
        <x:f>IF(T475="","",IF(T475&lt;=20,1,IF(T475&lt;=40,2,IF(T475&lt;=60,3,IF(T475&lt;=80,4,5)))))</x:f>
      </x:c>
      <x:c r="V475" s="2" t="str">
        <x:f>IF(M475="","",MAX(0,'Motor_Meciuri'!BF39-IF(W475="OOS PENDING",'Config_v6'!$B$35,0)-IF(L475&gt;'Config_v6'!$B$12,'Config_v6'!$B$37,IF(L475&gt;'Config_v6'!$B$11,'Config_v6'!$B$36,0))))</x:f>
      </x:c>
      <x:c r="W475" s="2" t="str">
        <x:f>IF(B475="","",IF(I475&lt;&gt;"READY","NOT RELEASED",IF(NOT(AND(J475="PASS",'Calibrare_Linii'!U13="VALID")),"INVALID",IF(NOT(AND('Calibrare_Linii'!S13="VALIDATED",AND('Calibrare_Linii'!H13=C475,ISNUMBER('Calibrare_Linii'!J13),'Calibrare_Linii'!J13&lt;='Input_Meci'!G39))),"OOS PENDING",IF(S475&lt;='Calibrare_Linii'!E13,"PASS",IF(S475&lt;='Calibrare_Linii'!F13,"PENALTY","WATCH"))))))</x:f>
      </x:c>
      <x:c r="X475" s="2" t="str">
        <x:f>IF(M475="","",IF(AND(AND(J475="PASS",'Calibrare_Linii'!U13="VALID"),'Motor_Meciuri'!K39=12,'Motor_Meciuri'!L39=12,'Motor_Meciuri'!M39="NO",'Motor_Meciuri'!BL39='Motor_Meciuri'!C39,AB475&gt;='Config_v6'!$B$50,AN475&gt;='Config_v6'!$B$51,T475&lt;='Config_v6'!$B$52,L475&lt;='Config_v6'!$B$53,ISNUMBER('Calibrare_Linii'!E13),S475&lt;='Calibrare_Linii'!E13,SUM(AK475:AM475)&gt;0),"CANDIDATE","NO"))</x:f>
      </x:c>
      <x:c r="Y475" s="2" t="str">
        <x:f>IF(B475="","",IF(I475&lt;&gt;"READY","NOT RELEASED",IF(AND(X475="CANDIDATE",V475&gt;='Config_v6'!$B$51,W475="PASS",'Calibrare_Linii'!T13="VALIDATED",AND('Calibrare_Linii'!H13=C475,ISNUMBER('Calibrare_Linii'!J13),'Calibrare_Linii'!J13&lt;='Input_Meci'!G39)),"PASS",IF(X475="CANDIDATE","OOS PENDING","FAIL"))))</x:f>
      </x:c>
      <x:c r="Z475" s="2" t="str">
        <x:f>IF(B475="","",IF(I475&lt;&gt;"READY","",IF(OR(NOT(AND(J475="PASS",'Calibrare_Linii'!U13="VALID")),L475&gt;'Config_v6'!$B$13,W475="WATCH"),5,IF(Y475="PASS",1,MIN(5,MAX('Config_v6'!$B$42,U475)+IF(W475="PENALTY",1,0))))))</x:f>
      </x:c>
      <x:c r="AA475" s="2" t="str">
        <x:f>IF(B475="","",IF(I475&lt;&gt;"READY","NOT RELEASED",IF(Z475=5,"NO BET",IF(OR(AB475&lt;'Config_v6'!$B$16,V475&lt;'Config_v6'!$B$18),"WATCH",IF(Z475=1,"DEFENSIV",IF(Z475=2,"PRUDENT",IF(Z475=3,"MODERAT","RIDICAT")))))))</x:f>
      </x:c>
      <x:c r="AB475" s="10" t="str">
        <x:f>IF(N475="","",MIN(N475,1-S475))</x:f>
      </x:c>
      <x:c r="AC475" s="2" t="str">
        <x:f>IF(AD475&lt;&gt;1,"",COUNTIFS($Z$468:$Z$481,"&lt;"&amp;Z475,$AD$468:$AD$481,1)+COUNTIFS($Z$468:$Z$481,Z475,$AB$468:$AB$481,"&gt;"&amp;AB475,$AD$468:$AD$481,1)+COUNTIFS($Z$468:$Z$481,Z475,$AB$468:$AB$481,AB475,$V$468:$V$481,"&gt;"&amp;V475,$AD$468:$AD$481,1)+COUNTIFS($Z$468:Z475,Z475,$AB$468:AB475,AB475,$V$468:V475,V475,$AD$468:AD475,1))</x:f>
      </x:c>
      <x:c r="AD475" s="2" t="n">
        <x:f>IF(OR(AA475="DEFENSIV",AA475="PRUDENT",AA475="MODERAT",AA475="RIDICAT"),1,0)</x:f>
        <x:v>0</x:v>
      </x:c>
      <x:c r="AE475" s="2" t="str">
        <x:f>IF(AD475&lt;&gt;1,"NO",IF(W475="PASS","YES",IF(W475="OOS PENDING","CONDITIONAL","NO")))</x:f>
        <x:v>NO</x:v>
      </x:c>
      <x:c r="AF475" s="2" t="n">
        <x:f>IF(AND(AD475=1,AC475=1,E475="LIVE"),1,0)</x:f>
        <x:v>0</x:v>
      </x:c>
      <x:c r="AG475" s="2" t="str">
        <x:f>IF(AF475&lt;&gt;1,"",'Dashboard'!P59)</x:f>
      </x:c>
      <x:c r="AH475" s="2" t="str">
        <x:f>IF(B475="","",IF(J475&lt;&gt;"PASS",'Motor_Meciuri'!J39,IF('Calibrare_Linii'!U13&lt;&gt;"VALID","Parametri linie invalizi",IF(L475&gt;'Config_v6'!$B$13,"Dispersie peste limita",IF(W475="WATCH","Failure peste limita",IF(AB475&lt;'Config_v6'!$B$16,"P finala sub prag",IF(V475&lt;'Config_v6'!$B$18,"Confidence sub prag",IF(E475="REPLAY","Exemplu retrospectiv; exclus din Top LIVE",IF(Y475="PASS","DEFENSIV validat",IF(W475="OOS PENDING","Eligibil; calibrare linie in monitorizare","Eligibil"))))))))))</x:f>
      </x:c>
      <x:c r="AI475" s="2" t="str">
        <x:f>IF(B475="","",'Calibrare_Linii'!V13)</x:f>
      </x:c>
      <x:c r="AJ475" s="2" t="str">
        <x:f>IF(B475="","",IF(AND('Calibrare_Linii'!T13="VALIDATED",AND('Calibrare_Linii'!H13=C475,ISNUMBER('Calibrare_Linii'!J13),'Calibrare_Linii'!J13&lt;='Input_Meci'!G39)),"DEFENSIVE VALIDATED",IF(AND('Calibrare_Linii'!S13="VALIDATED",AND('Calibrare_Linii'!H13=C475,ISNUMBER('Calibrare_Linii'!J13),'Calibrare_Linii'!J13&lt;='Input_Meci'!G39)),"TAIL VALIDATED","OOS PENDING")))</x:f>
      </x:c>
      <x:c r="AK475" s="2" t="n">
        <x:f>IF(J475&lt;&gt;"PASS",0,'Motor_Meciuri'!BR39)</x:f>
        <x:v>0</x:v>
      </x:c>
      <x:c r="AL475" s="2" t="n">
        <x:f>IF(J475&lt;&gt;"PASS",0,'Motor_Meciuri'!BS39)</x:f>
        <x:v>0</x:v>
      </x:c>
      <x:c r="AM475" s="2" t="n">
        <x:f>IF(J475&lt;&gt;"PASS",0,'Motor_Meciuri'!BT39)</x:f>
        <x:v>0</x:v>
      </x:c>
      <x:c r="AN475" s="2" t="str">
        <x:f>IF(M475="","",MAX(0,'Motor_Meciuri'!BF39-IF(L475&gt;'Config_v6'!$B$12,'Config_v6'!$B$37,IF(L475&gt;'Config_v6'!$B$11,'Config_v6'!$B$36,0))))</x:f>
      </x:c>
    </x:row>
    <x:row r="476" ht="21" customHeight="1">
      <x:c r="A476" s="2" t="n">
        <x:v>34</x:v>
      </x:c>
      <x:c r="B476" s="2" t="str">
        <x:f>IF('Motor_Meciuri'!A39="","",'Motor_Meciuri'!A39)</x:f>
      </x:c>
      <x:c r="C476" s="2" t="str">
        <x:f>IF(B476="","",'Motor_Meciuri'!B39)</x:f>
      </x:c>
      <x:c r="D476" s="2" t="str">
        <x:f>IF(B476="","",'Motor_Meciuri'!D39)</x:f>
      </x:c>
      <x:c r="E476" s="2" t="str">
        <x:f>IF(B476="","",'Motor_Meciuri'!E39)</x:f>
      </x:c>
      <x:c r="F476" s="2" t="str">
        <x:v>U12,5</x:v>
      </x:c>
      <x:c r="G476" s="2" t="str">
        <x:v>UNDER</x:v>
      </x:c>
      <x:c r="H476" s="2" t="n">
        <x:v>12</x:v>
      </x:c>
      <x:c r="I476" s="2" t="str">
        <x:f>IF(B476="","",'Motor_Meciuri'!H39)</x:f>
      </x:c>
      <x:c r="J476" s="2" t="str">
        <x:f>IF(B476="","",'Motor_Meciuri'!I39)</x:f>
      </x:c>
      <x:c r="K476" s="11" t="str">
        <x:f>IF(J476&lt;&gt;"PASS","",'Motor_Meciuri'!BD39)</x:f>
      </x:c>
      <x:c r="L476" s="11" t="str">
        <x:f>IF(J476&lt;&gt;"PASS","",'Motor_Meciuri'!AU39)</x:f>
      </x:c>
      <x:c r="M476" s="10" t="str">
        <x:f>IF(NOT(AND(J476="PASS",'Calibrare_Linii'!U14="VALID")),"",'Distributie'!AJ39)</x:f>
      </x:c>
      <x:c r="N476" s="10" t="str">
        <x:f>IF(M476="","",MAX(0.01,MIN(0.99,0.5+(M476-0.5)*'Motor_Meciuri'!BG39*'Calibrare_Linii'!D14)))</x:f>
      </x:c>
      <x:c r="O476" s="10" t="str">
        <x:f>IF(M476="","",1-M476)</x:f>
      </x:c>
      <x:c r="P476" s="10" t="str">
        <x:f>IF(OR(NOT(AND(J476="PASS",'Calibrare_Linii'!U14="VALID")),AK476=0),""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*('Istoric_Nativ'!$Q$6:$Q$405&gt;H476))/AK476)</x:f>
      </x:c>
      <x:c r="Q476" s="10" t="str">
        <x:f>IF(OR(NOT(AND(J476="PASS",'Calibrare_Linii'!U14="VALID")),AL476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M39)+((('Istoric_Nativ'!$E$6:$E$405='Input_Meci'!E39)+('Istoric_Nativ'!$F$6:$F$405='Input_Meci'!E39))&gt;0)*('Istoric_Nativ'!$D$6:$D$405&gt;='Motor_Meciuri'!BN39))&gt;0)*('Istoric_Nativ'!$Q$6:$Q$405&gt;H476))/AL476)</x:f>
      </x:c>
      <x:c r="R476" s="10" t="str">
        <x:f>IF(OR(NOT(AND(J476="PASS",'Calibrare_Linii'!U14="VALID")),AM476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O39)+((('Istoric_Nativ'!$E$6:$E$405='Input_Meci'!E39)+('Istoric_Nativ'!$F$6:$F$405='Input_Meci'!E39))&gt;0)*('Istoric_Nativ'!$D$6:$D$405&gt;='Motor_Meciuri'!BP39))&gt;0)*('Istoric_Nativ'!$Q$6:$Q$405&gt;H476))/AM476)</x:f>
      </x:c>
      <x:c r="S476" s="10" t="str">
        <x:f>IF(M476="","",MAX(O476,P476,Q476,R476))</x:f>
      </x:c>
      <x:c r="T476" s="11" t="str">
        <x:f>IF(M476="","",MIN(100,S476*100*'Config_v6'!$B$44+MIN(100,L476/'Config_v6'!$B$13*100)*'Config_v6'!$B$45+(100-'Motor_Meciuri'!BF39)*'Config_v6'!$B$46+'Motor_Meciuri'!BH39*100*'Config_v6'!$B$47))</x:f>
      </x:c>
      <x:c r="U476" s="2" t="str">
        <x:f>IF(T476="","",IF(T476&lt;=20,1,IF(T476&lt;=40,2,IF(T476&lt;=60,3,IF(T476&lt;=80,4,5)))))</x:f>
      </x:c>
      <x:c r="V476" s="2" t="str">
        <x:f>IF(M476="","",MAX(0,'Motor_Meciuri'!BF39-IF(W476="OOS PENDING",'Config_v6'!$B$35,0)-IF(L476&gt;'Config_v6'!$B$12,'Config_v6'!$B$37,IF(L476&gt;'Config_v6'!$B$11,'Config_v6'!$B$36,0))))</x:f>
      </x:c>
      <x:c r="W476" s="2" t="str">
        <x:f>IF(B476="","",IF(I476&lt;&gt;"READY","NOT RELEASED",IF(NOT(AND(J476="PASS",'Calibrare_Linii'!U14="VALID")),"INVALID",IF(NOT(AND('Calibrare_Linii'!S14="VALIDATED",AND('Calibrare_Linii'!H14=C476,ISNUMBER('Calibrare_Linii'!J14),'Calibrare_Linii'!J14&lt;='Input_Meci'!G39))),"OOS PENDING",IF(S476&lt;='Calibrare_Linii'!E14,"PASS",IF(S476&lt;='Calibrare_Linii'!F14,"PENALTY","WATCH"))))))</x:f>
      </x:c>
      <x:c r="X476" s="2" t="str">
        <x:f>IF(M476="","",IF(AND(AND(J476="PASS",'Calibrare_Linii'!U14="VALID"),'Motor_Meciuri'!K39=12,'Motor_Meciuri'!L39=12,'Motor_Meciuri'!M39="NO",'Motor_Meciuri'!BL39='Motor_Meciuri'!C39,AB476&gt;='Config_v6'!$B$50,AN476&gt;='Config_v6'!$B$51,T476&lt;='Config_v6'!$B$52,L476&lt;='Config_v6'!$B$53,ISNUMBER('Calibrare_Linii'!E14),S476&lt;='Calibrare_Linii'!E14,SUM(AK476:AM476)&gt;0),"CANDIDATE","NO"))</x:f>
      </x:c>
      <x:c r="Y476" s="2" t="str">
        <x:f>IF(B476="","",IF(I476&lt;&gt;"READY","NOT RELEASED",IF(AND(X476="CANDIDATE",V476&gt;='Config_v6'!$B$51,W476="PASS",'Calibrare_Linii'!T14="VALIDATED",AND('Calibrare_Linii'!H14=C476,ISNUMBER('Calibrare_Linii'!J14),'Calibrare_Linii'!J14&lt;='Input_Meci'!G39)),"PASS",IF(X476="CANDIDATE","OOS PENDING","FAIL"))))</x:f>
      </x:c>
      <x:c r="Z476" s="2" t="str">
        <x:f>IF(B476="","",IF(I476&lt;&gt;"READY","",IF(OR(NOT(AND(J476="PASS",'Calibrare_Linii'!U14="VALID")),L476&gt;'Config_v6'!$B$13,W476="WATCH"),5,IF(Y476="PASS",1,MIN(5,MAX('Config_v6'!$B$42,U476)+IF(W476="PENALTY",1,0))))))</x:f>
      </x:c>
      <x:c r="AA476" s="2" t="str">
        <x:f>IF(B476="","",IF(I476&lt;&gt;"READY","NOT RELEASED",IF(Z476=5,"NO BET",IF(OR(AB476&lt;'Config_v6'!$B$16,V476&lt;'Config_v6'!$B$18),"WATCH",IF(Z476=1,"DEFENSIV",IF(Z476=2,"PRUDENT",IF(Z476=3,"MODERAT","RIDICAT")))))))</x:f>
      </x:c>
      <x:c r="AB476" s="10" t="str">
        <x:f>IF(N476="","",MIN(N476,1-S476))</x:f>
      </x:c>
      <x:c r="AC476" s="2" t="str">
        <x:f>IF(AD476&lt;&gt;1,"",COUNTIFS($Z$468:$Z$481,"&lt;"&amp;Z476,$AD$468:$AD$481,1)+COUNTIFS($Z$468:$Z$481,Z476,$AB$468:$AB$481,"&gt;"&amp;AB476,$AD$468:$AD$481,1)+COUNTIFS($Z$468:$Z$481,Z476,$AB$468:$AB$481,AB476,$V$468:$V$481,"&gt;"&amp;V476,$AD$468:$AD$481,1)+COUNTIFS($Z$468:Z476,Z476,$AB$468:AB476,AB476,$V$468:V476,V476,$AD$468:AD476,1))</x:f>
      </x:c>
      <x:c r="AD476" s="2" t="n">
        <x:f>IF(OR(AA476="DEFENSIV",AA476="PRUDENT",AA476="MODERAT",AA476="RIDICAT"),1,0)</x:f>
        <x:v>0</x:v>
      </x:c>
      <x:c r="AE476" s="2" t="str">
        <x:f>IF(AD476&lt;&gt;1,"NO",IF(W476="PASS","YES",IF(W476="OOS PENDING","CONDITIONAL","NO")))</x:f>
        <x:v>NO</x:v>
      </x:c>
      <x:c r="AF476" s="2" t="n">
        <x:f>IF(AND(AD476=1,AC476=1,E476="LIVE"),1,0)</x:f>
        <x:v>0</x:v>
      </x:c>
      <x:c r="AG476" s="2" t="str">
        <x:f>IF(AF476&lt;&gt;1,"",'Dashboard'!P59)</x:f>
      </x:c>
      <x:c r="AH476" s="2" t="str">
        <x:f>IF(B476="","",IF(J476&lt;&gt;"PASS",'Motor_Meciuri'!J39,IF('Calibrare_Linii'!U14&lt;&gt;"VALID","Parametri linie invalizi",IF(L476&gt;'Config_v6'!$B$13,"Dispersie peste limita",IF(W476="WATCH","Failure peste limita",IF(AB476&lt;'Config_v6'!$B$16,"P finala sub prag",IF(V476&lt;'Config_v6'!$B$18,"Confidence sub prag",IF(E476="REPLAY","Exemplu retrospectiv; exclus din Top LIVE",IF(Y476="PASS","DEFENSIV validat",IF(W476="OOS PENDING","Eligibil; calibrare linie in monitorizare","Eligibil"))))))))))</x:f>
      </x:c>
      <x:c r="AI476" s="2" t="str">
        <x:f>IF(B476="","",'Calibrare_Linii'!V14)</x:f>
      </x:c>
      <x:c r="AJ476" s="2" t="str">
        <x:f>IF(B476="","",IF(AND('Calibrare_Linii'!T14="VALIDATED",AND('Calibrare_Linii'!H14=C476,ISNUMBER('Calibrare_Linii'!J14),'Calibrare_Linii'!J14&lt;='Input_Meci'!G39)),"DEFENSIVE VALIDATED",IF(AND('Calibrare_Linii'!S14="VALIDATED",AND('Calibrare_Linii'!H14=C476,ISNUMBER('Calibrare_Linii'!J14),'Calibrare_Linii'!J14&lt;='Input_Meci'!G39)),"TAIL VALIDATED","OOS PENDING")))</x:f>
      </x:c>
      <x:c r="AK476" s="2" t="n">
        <x:f>IF(J476&lt;&gt;"PASS",0,'Motor_Meciuri'!BR39)</x:f>
        <x:v>0</x:v>
      </x:c>
      <x:c r="AL476" s="2" t="n">
        <x:f>IF(J476&lt;&gt;"PASS",0,'Motor_Meciuri'!BS39)</x:f>
        <x:v>0</x:v>
      </x:c>
      <x:c r="AM476" s="2" t="n">
        <x:f>IF(J476&lt;&gt;"PASS",0,'Motor_Meciuri'!BT39)</x:f>
        <x:v>0</x:v>
      </x:c>
      <x:c r="AN476" s="2" t="str">
        <x:f>IF(M476="","",MAX(0,'Motor_Meciuri'!BF39-IF(L476&gt;'Config_v6'!$B$12,'Config_v6'!$B$37,IF(L476&gt;'Config_v6'!$B$11,'Config_v6'!$B$36,0))))</x:f>
      </x:c>
    </x:row>
    <x:row r="477" ht="21" customHeight="1">
      <x:c r="A477" s="2" t="n">
        <x:v>34</x:v>
      </x:c>
      <x:c r="B477" s="2" t="str">
        <x:f>IF('Motor_Meciuri'!A39="","",'Motor_Meciuri'!A39)</x:f>
      </x:c>
      <x:c r="C477" s="2" t="str">
        <x:f>IF(B477="","",'Motor_Meciuri'!B39)</x:f>
      </x:c>
      <x:c r="D477" s="2" t="str">
        <x:f>IF(B477="","",'Motor_Meciuri'!D39)</x:f>
      </x:c>
      <x:c r="E477" s="2" t="str">
        <x:f>IF(B477="","",'Motor_Meciuri'!E39)</x:f>
      </x:c>
      <x:c r="F477" s="2" t="str">
        <x:v>U13,5</x:v>
      </x:c>
      <x:c r="G477" s="2" t="str">
        <x:v>UNDER</x:v>
      </x:c>
      <x:c r="H477" s="2" t="n">
        <x:v>13</x:v>
      </x:c>
      <x:c r="I477" s="2" t="str">
        <x:f>IF(B477="","",'Motor_Meciuri'!H39)</x:f>
      </x:c>
      <x:c r="J477" s="2" t="str">
        <x:f>IF(B477="","",'Motor_Meciuri'!I39)</x:f>
      </x:c>
      <x:c r="K477" s="11" t="str">
        <x:f>IF(J477&lt;&gt;"PASS","",'Motor_Meciuri'!BD39)</x:f>
      </x:c>
      <x:c r="L477" s="11" t="str">
        <x:f>IF(J477&lt;&gt;"PASS","",'Motor_Meciuri'!AU39)</x:f>
      </x:c>
      <x:c r="M477" s="10" t="str">
        <x:f>IF(NOT(AND(J477="PASS",'Calibrare_Linii'!U15="VALID")),"",'Distributie'!AK39)</x:f>
      </x:c>
      <x:c r="N477" s="10" t="str">
        <x:f>IF(M477="","",MAX(0.01,MIN(0.99,0.5+(M477-0.5)*'Motor_Meciuri'!BG39*'Calibrare_Linii'!D15)))</x:f>
      </x:c>
      <x:c r="O477" s="10" t="str">
        <x:f>IF(M477="","",1-M477)</x:f>
      </x:c>
      <x:c r="P477" s="10" t="str">
        <x:f>IF(OR(NOT(AND(J477="PASS",'Calibrare_Linii'!U15="VALID")),AK477=0),""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*('Istoric_Nativ'!$Q$6:$Q$405&gt;H477))/AK477)</x:f>
      </x:c>
      <x:c r="Q477" s="10" t="str">
        <x:f>IF(OR(NOT(AND(J477="PASS",'Calibrare_Linii'!U15="VALID")),AL477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M39)+((('Istoric_Nativ'!$E$6:$E$405='Input_Meci'!E39)+('Istoric_Nativ'!$F$6:$F$405='Input_Meci'!E39))&gt;0)*('Istoric_Nativ'!$D$6:$D$405&gt;='Motor_Meciuri'!BN39))&gt;0)*('Istoric_Nativ'!$Q$6:$Q$405&gt;H477))/AL477)</x:f>
      </x:c>
      <x:c r="R477" s="10" t="str">
        <x:f>IF(OR(NOT(AND(J477="PASS",'Calibrare_Linii'!U15="VALID")),AM477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O39)+((('Istoric_Nativ'!$E$6:$E$405='Input_Meci'!E39)+('Istoric_Nativ'!$F$6:$F$405='Input_Meci'!E39))&gt;0)*('Istoric_Nativ'!$D$6:$D$405&gt;='Motor_Meciuri'!BP39))&gt;0)*('Istoric_Nativ'!$Q$6:$Q$405&gt;H477))/AM477)</x:f>
      </x:c>
      <x:c r="S477" s="10" t="str">
        <x:f>IF(M477="","",MAX(O477,P477,Q477,R477))</x:f>
      </x:c>
      <x:c r="T477" s="11" t="str">
        <x:f>IF(M477="","",MIN(100,S477*100*'Config_v6'!$B$44+MIN(100,L477/'Config_v6'!$B$13*100)*'Config_v6'!$B$45+(100-'Motor_Meciuri'!BF39)*'Config_v6'!$B$46+'Motor_Meciuri'!BH39*100*'Config_v6'!$B$47))</x:f>
      </x:c>
      <x:c r="U477" s="2" t="str">
        <x:f>IF(T477="","",IF(T477&lt;=20,1,IF(T477&lt;=40,2,IF(T477&lt;=60,3,IF(T477&lt;=80,4,5)))))</x:f>
      </x:c>
      <x:c r="V477" s="2" t="str">
        <x:f>IF(M477="","",MAX(0,'Motor_Meciuri'!BF39-IF(W477="OOS PENDING",'Config_v6'!$B$35,0)-IF(L477&gt;'Config_v6'!$B$12,'Config_v6'!$B$37,IF(L477&gt;'Config_v6'!$B$11,'Config_v6'!$B$36,0))))</x:f>
      </x:c>
      <x:c r="W477" s="2" t="str">
        <x:f>IF(B477="","",IF(I477&lt;&gt;"READY","NOT RELEASED",IF(NOT(AND(J477="PASS",'Calibrare_Linii'!U15="VALID")),"INVALID",IF(NOT(AND('Calibrare_Linii'!S15="VALIDATED",AND('Calibrare_Linii'!H15=C477,ISNUMBER('Calibrare_Linii'!J15),'Calibrare_Linii'!J15&lt;='Input_Meci'!G39))),"OOS PENDING",IF(S477&lt;='Calibrare_Linii'!E15,"PASS",IF(S477&lt;='Calibrare_Linii'!F15,"PENALTY","WATCH"))))))</x:f>
      </x:c>
      <x:c r="X477" s="2" t="str">
        <x:f>IF(M477="","",IF(AND(AND(J477="PASS",'Calibrare_Linii'!U15="VALID"),'Motor_Meciuri'!K39=12,'Motor_Meciuri'!L39=12,'Motor_Meciuri'!M39="NO",'Motor_Meciuri'!BL39='Motor_Meciuri'!C39,AB477&gt;='Config_v6'!$B$50,AN477&gt;='Config_v6'!$B$51,T477&lt;='Config_v6'!$B$52,L477&lt;='Config_v6'!$B$53,ISNUMBER('Calibrare_Linii'!E15),S477&lt;='Calibrare_Linii'!E15,SUM(AK477:AM477)&gt;0),"CANDIDATE","NO"))</x:f>
      </x:c>
      <x:c r="Y477" s="2" t="str">
        <x:f>IF(B477="","",IF(I477&lt;&gt;"READY","NOT RELEASED",IF(AND(X477="CANDIDATE",V477&gt;='Config_v6'!$B$51,W477="PASS",'Calibrare_Linii'!T15="VALIDATED",AND('Calibrare_Linii'!H15=C477,ISNUMBER('Calibrare_Linii'!J15),'Calibrare_Linii'!J15&lt;='Input_Meci'!G39)),"PASS",IF(X477="CANDIDATE","OOS PENDING","FAIL"))))</x:f>
      </x:c>
      <x:c r="Z477" s="2" t="str">
        <x:f>IF(B477="","",IF(I477&lt;&gt;"READY","",IF(OR(NOT(AND(J477="PASS",'Calibrare_Linii'!U15="VALID")),L477&gt;'Config_v6'!$B$13,W477="WATCH"),5,IF(Y477="PASS",1,MIN(5,MAX('Config_v6'!$B$42,U477)+IF(W477="PENALTY",1,0))))))</x:f>
      </x:c>
      <x:c r="AA477" s="2" t="str">
        <x:f>IF(B477="","",IF(I477&lt;&gt;"READY","NOT RELEASED",IF(Z477=5,"NO BET",IF(OR(AB477&lt;'Config_v6'!$B$16,V477&lt;'Config_v6'!$B$18),"WATCH",IF(Z477=1,"DEFENSIV",IF(Z477=2,"PRUDENT",IF(Z477=3,"MODERAT","RIDICAT")))))))</x:f>
      </x:c>
      <x:c r="AB477" s="10" t="str">
        <x:f>IF(N477="","",MIN(N477,1-S477))</x:f>
      </x:c>
      <x:c r="AC477" s="2" t="str">
        <x:f>IF(AD477&lt;&gt;1,"",COUNTIFS($Z$468:$Z$481,"&lt;"&amp;Z477,$AD$468:$AD$481,1)+COUNTIFS($Z$468:$Z$481,Z477,$AB$468:$AB$481,"&gt;"&amp;AB477,$AD$468:$AD$481,1)+COUNTIFS($Z$468:$Z$481,Z477,$AB$468:$AB$481,AB477,$V$468:$V$481,"&gt;"&amp;V477,$AD$468:$AD$481,1)+COUNTIFS($Z$468:Z477,Z477,$AB$468:AB477,AB477,$V$468:V477,V477,$AD$468:AD477,1))</x:f>
      </x:c>
      <x:c r="AD477" s="2" t="n">
        <x:f>IF(OR(AA477="DEFENSIV",AA477="PRUDENT",AA477="MODERAT",AA477="RIDICAT"),1,0)</x:f>
        <x:v>0</x:v>
      </x:c>
      <x:c r="AE477" s="2" t="str">
        <x:f>IF(AD477&lt;&gt;1,"NO",IF(W477="PASS","YES",IF(W477="OOS PENDING","CONDITIONAL","NO")))</x:f>
        <x:v>NO</x:v>
      </x:c>
      <x:c r="AF477" s="2" t="n">
        <x:f>IF(AND(AD477=1,AC477=1,E477="LIVE"),1,0)</x:f>
        <x:v>0</x:v>
      </x:c>
      <x:c r="AG477" s="2" t="str">
        <x:f>IF(AF477&lt;&gt;1,"",'Dashboard'!P59)</x:f>
      </x:c>
      <x:c r="AH477" s="2" t="str">
        <x:f>IF(B477="","",IF(J477&lt;&gt;"PASS",'Motor_Meciuri'!J39,IF('Calibrare_Linii'!U15&lt;&gt;"VALID","Parametri linie invalizi",IF(L477&gt;'Config_v6'!$B$13,"Dispersie peste limita",IF(W477="WATCH","Failure peste limita",IF(AB477&lt;'Config_v6'!$B$16,"P finala sub prag",IF(V477&lt;'Config_v6'!$B$18,"Confidence sub prag",IF(E477="REPLAY","Exemplu retrospectiv; exclus din Top LIVE",IF(Y477="PASS","DEFENSIV validat",IF(W477="OOS PENDING","Eligibil; calibrare linie in monitorizare","Eligibil"))))))))))</x:f>
      </x:c>
      <x:c r="AI477" s="2" t="str">
        <x:f>IF(B477="","",'Calibrare_Linii'!V15)</x:f>
      </x:c>
      <x:c r="AJ477" s="2" t="str">
        <x:f>IF(B477="","",IF(AND('Calibrare_Linii'!T15="VALIDATED",AND('Calibrare_Linii'!H15=C477,ISNUMBER('Calibrare_Linii'!J15),'Calibrare_Linii'!J15&lt;='Input_Meci'!G39)),"DEFENSIVE VALIDATED",IF(AND('Calibrare_Linii'!S15="VALIDATED",AND('Calibrare_Linii'!H15=C477,ISNUMBER('Calibrare_Linii'!J15),'Calibrare_Linii'!J15&lt;='Input_Meci'!G39)),"TAIL VALIDATED","OOS PENDING")))</x:f>
      </x:c>
      <x:c r="AK477" s="2" t="n">
        <x:f>IF(J477&lt;&gt;"PASS",0,'Motor_Meciuri'!BR39)</x:f>
        <x:v>0</x:v>
      </x:c>
      <x:c r="AL477" s="2" t="n">
        <x:f>IF(J477&lt;&gt;"PASS",0,'Motor_Meciuri'!BS39)</x:f>
        <x:v>0</x:v>
      </x:c>
      <x:c r="AM477" s="2" t="n">
        <x:f>IF(J477&lt;&gt;"PASS",0,'Motor_Meciuri'!BT39)</x:f>
        <x:v>0</x:v>
      </x:c>
      <x:c r="AN477" s="2" t="str">
        <x:f>IF(M477="","",MAX(0,'Motor_Meciuri'!BF39-IF(L477&gt;'Config_v6'!$B$12,'Config_v6'!$B$37,IF(L477&gt;'Config_v6'!$B$11,'Config_v6'!$B$36,0))))</x:f>
      </x:c>
    </x:row>
    <x:row r="478" ht="21" customHeight="1">
      <x:c r="A478" s="2" t="n">
        <x:v>34</x:v>
      </x:c>
      <x:c r="B478" s="2" t="str">
        <x:f>IF('Motor_Meciuri'!A39="","",'Motor_Meciuri'!A39)</x:f>
      </x:c>
      <x:c r="C478" s="2" t="str">
        <x:f>IF(B478="","",'Motor_Meciuri'!B39)</x:f>
      </x:c>
      <x:c r="D478" s="2" t="str">
        <x:f>IF(B478="","",'Motor_Meciuri'!D39)</x:f>
      </x:c>
      <x:c r="E478" s="2" t="str">
        <x:f>IF(B478="","",'Motor_Meciuri'!E39)</x:f>
      </x:c>
      <x:c r="F478" s="2" t="str">
        <x:v>U14,5</x:v>
      </x:c>
      <x:c r="G478" s="2" t="str">
        <x:v>UNDER</x:v>
      </x:c>
      <x:c r="H478" s="2" t="n">
        <x:v>14</x:v>
      </x:c>
      <x:c r="I478" s="2" t="str">
        <x:f>IF(B478="","",'Motor_Meciuri'!H39)</x:f>
      </x:c>
      <x:c r="J478" s="2" t="str">
        <x:f>IF(B478="","",'Motor_Meciuri'!I39)</x:f>
      </x:c>
      <x:c r="K478" s="11" t="str">
        <x:f>IF(J478&lt;&gt;"PASS","",'Motor_Meciuri'!BD39)</x:f>
      </x:c>
      <x:c r="L478" s="11" t="str">
        <x:f>IF(J478&lt;&gt;"PASS","",'Motor_Meciuri'!AU39)</x:f>
      </x:c>
      <x:c r="M478" s="10" t="str">
        <x:f>IF(NOT(AND(J478="PASS",'Calibrare_Linii'!U16="VALID")),"",'Distributie'!AL39)</x:f>
      </x:c>
      <x:c r="N478" s="10" t="str">
        <x:f>IF(M478="","",MAX(0.01,MIN(0.99,0.5+(M478-0.5)*'Motor_Meciuri'!BG39*'Calibrare_Linii'!D16)))</x:f>
      </x:c>
      <x:c r="O478" s="10" t="str">
        <x:f>IF(M478="","",1-M478)</x:f>
      </x:c>
      <x:c r="P478" s="10" t="str">
        <x:f>IF(OR(NOT(AND(J478="PASS",'Calibrare_Linii'!U16="VALID")),AK478=0),""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*('Istoric_Nativ'!$Q$6:$Q$405&gt;H478))/AK478)</x:f>
      </x:c>
      <x:c r="Q478" s="10" t="str">
        <x:f>IF(OR(NOT(AND(J478="PASS",'Calibrare_Linii'!U16="VALID")),AL478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M39)+((('Istoric_Nativ'!$E$6:$E$405='Input_Meci'!E39)+('Istoric_Nativ'!$F$6:$F$405='Input_Meci'!E39))&gt;0)*('Istoric_Nativ'!$D$6:$D$405&gt;='Motor_Meciuri'!BN39))&gt;0)*('Istoric_Nativ'!$Q$6:$Q$405&gt;H478))/AL478)</x:f>
      </x:c>
      <x:c r="R478" s="10" t="str">
        <x:f>IF(OR(NOT(AND(J478="PASS",'Calibrare_Linii'!U16="VALID")),AM478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O39)+((('Istoric_Nativ'!$E$6:$E$405='Input_Meci'!E39)+('Istoric_Nativ'!$F$6:$F$405='Input_Meci'!E39))&gt;0)*('Istoric_Nativ'!$D$6:$D$405&gt;='Motor_Meciuri'!BP39))&gt;0)*('Istoric_Nativ'!$Q$6:$Q$405&gt;H478))/AM478)</x:f>
      </x:c>
      <x:c r="S478" s="10" t="str">
        <x:f>IF(M478="","",MAX(O478,P478,Q478,R478))</x:f>
      </x:c>
      <x:c r="T478" s="11" t="str">
        <x:f>IF(M478="","",MIN(100,S478*100*'Config_v6'!$B$44+MIN(100,L478/'Config_v6'!$B$13*100)*'Config_v6'!$B$45+(100-'Motor_Meciuri'!BF39)*'Config_v6'!$B$46+'Motor_Meciuri'!BH39*100*'Config_v6'!$B$47))</x:f>
      </x:c>
      <x:c r="U478" s="2" t="str">
        <x:f>IF(T478="","",IF(T478&lt;=20,1,IF(T478&lt;=40,2,IF(T478&lt;=60,3,IF(T478&lt;=80,4,5)))))</x:f>
      </x:c>
      <x:c r="V478" s="2" t="str">
        <x:f>IF(M478="","",MAX(0,'Motor_Meciuri'!BF39-IF(W478="OOS PENDING",'Config_v6'!$B$35,0)-IF(L478&gt;'Config_v6'!$B$12,'Config_v6'!$B$37,IF(L478&gt;'Config_v6'!$B$11,'Config_v6'!$B$36,0))))</x:f>
      </x:c>
      <x:c r="W478" s="2" t="str">
        <x:f>IF(B478="","",IF(I478&lt;&gt;"READY","NOT RELEASED",IF(NOT(AND(J478="PASS",'Calibrare_Linii'!U16="VALID")),"INVALID",IF(NOT(AND('Calibrare_Linii'!S16="VALIDATED",AND('Calibrare_Linii'!H16=C478,ISNUMBER('Calibrare_Linii'!J16),'Calibrare_Linii'!J16&lt;='Input_Meci'!G39))),"OOS PENDING",IF(S478&lt;='Calibrare_Linii'!E16,"PASS",IF(S478&lt;='Calibrare_Linii'!F16,"PENALTY","WATCH"))))))</x:f>
      </x:c>
      <x:c r="X478" s="2" t="str">
        <x:f>IF(M478="","",IF(AND(AND(J478="PASS",'Calibrare_Linii'!U16="VALID"),'Motor_Meciuri'!K39=12,'Motor_Meciuri'!L39=12,'Motor_Meciuri'!M39="NO",'Motor_Meciuri'!BL39='Motor_Meciuri'!C39,AB478&gt;='Config_v6'!$B$50,AN478&gt;='Config_v6'!$B$51,T478&lt;='Config_v6'!$B$52,L478&lt;='Config_v6'!$B$53,ISNUMBER('Calibrare_Linii'!E16),S478&lt;='Calibrare_Linii'!E16,SUM(AK478:AM478)&gt;0),"CANDIDATE","NO"))</x:f>
      </x:c>
      <x:c r="Y478" s="2" t="str">
        <x:f>IF(B478="","",IF(I478&lt;&gt;"READY","NOT RELEASED",IF(AND(X478="CANDIDATE",V478&gt;='Config_v6'!$B$51,W478="PASS",'Calibrare_Linii'!T16="VALIDATED",AND('Calibrare_Linii'!H16=C478,ISNUMBER('Calibrare_Linii'!J16),'Calibrare_Linii'!J16&lt;='Input_Meci'!G39)),"PASS",IF(X478="CANDIDATE","OOS PENDING","FAIL"))))</x:f>
      </x:c>
      <x:c r="Z478" s="2" t="str">
        <x:f>IF(B478="","",IF(I478&lt;&gt;"READY","",IF(OR(NOT(AND(J478="PASS",'Calibrare_Linii'!U16="VALID")),L478&gt;'Config_v6'!$B$13,W478="WATCH"),5,IF(Y478="PASS",1,MIN(5,MAX('Config_v6'!$B$42,U478)+IF(W478="PENALTY",1,0))))))</x:f>
      </x:c>
      <x:c r="AA478" s="2" t="str">
        <x:f>IF(B478="","",IF(I478&lt;&gt;"READY","NOT RELEASED",IF(Z478=5,"NO BET",IF(OR(AB478&lt;'Config_v6'!$B$16,V478&lt;'Config_v6'!$B$18),"WATCH",IF(Z478=1,"DEFENSIV",IF(Z478=2,"PRUDENT",IF(Z478=3,"MODERAT","RIDICAT")))))))</x:f>
      </x:c>
      <x:c r="AB478" s="10" t="str">
        <x:f>IF(N478="","",MIN(N478,1-S478))</x:f>
      </x:c>
      <x:c r="AC478" s="2" t="str">
        <x:f>IF(AD478&lt;&gt;1,"",COUNTIFS($Z$468:$Z$481,"&lt;"&amp;Z478,$AD$468:$AD$481,1)+COUNTIFS($Z$468:$Z$481,Z478,$AB$468:$AB$481,"&gt;"&amp;AB478,$AD$468:$AD$481,1)+COUNTIFS($Z$468:$Z$481,Z478,$AB$468:$AB$481,AB478,$V$468:$V$481,"&gt;"&amp;V478,$AD$468:$AD$481,1)+COUNTIFS($Z$468:Z478,Z478,$AB$468:AB478,AB478,$V$468:V478,V478,$AD$468:AD478,1))</x:f>
      </x:c>
      <x:c r="AD478" s="2" t="n">
        <x:f>IF(OR(AA478="DEFENSIV",AA478="PRUDENT",AA478="MODERAT",AA478="RIDICAT"),1,0)</x:f>
        <x:v>0</x:v>
      </x:c>
      <x:c r="AE478" s="2" t="str">
        <x:f>IF(AD478&lt;&gt;1,"NO",IF(W478="PASS","YES",IF(W478="OOS PENDING","CONDITIONAL","NO")))</x:f>
        <x:v>NO</x:v>
      </x:c>
      <x:c r="AF478" s="2" t="n">
        <x:f>IF(AND(AD478=1,AC478=1,E478="LIVE"),1,0)</x:f>
        <x:v>0</x:v>
      </x:c>
      <x:c r="AG478" s="2" t="str">
        <x:f>IF(AF478&lt;&gt;1,"",'Dashboard'!P59)</x:f>
      </x:c>
      <x:c r="AH478" s="2" t="str">
        <x:f>IF(B478="","",IF(J478&lt;&gt;"PASS",'Motor_Meciuri'!J39,IF('Calibrare_Linii'!U16&lt;&gt;"VALID","Parametri linie invalizi",IF(L478&gt;'Config_v6'!$B$13,"Dispersie peste limita",IF(W478="WATCH","Failure peste limita",IF(AB478&lt;'Config_v6'!$B$16,"P finala sub prag",IF(V478&lt;'Config_v6'!$B$18,"Confidence sub prag",IF(E478="REPLAY","Exemplu retrospectiv; exclus din Top LIVE",IF(Y478="PASS","DEFENSIV validat",IF(W478="OOS PENDING","Eligibil; calibrare linie in monitorizare","Eligibil"))))))))))</x:f>
      </x:c>
      <x:c r="AI478" s="2" t="str">
        <x:f>IF(B478="","",'Calibrare_Linii'!V16)</x:f>
      </x:c>
      <x:c r="AJ478" s="2" t="str">
        <x:f>IF(B478="","",IF(AND('Calibrare_Linii'!T16="VALIDATED",AND('Calibrare_Linii'!H16=C478,ISNUMBER('Calibrare_Linii'!J16),'Calibrare_Linii'!J16&lt;='Input_Meci'!G39)),"DEFENSIVE VALIDATED",IF(AND('Calibrare_Linii'!S16="VALIDATED",AND('Calibrare_Linii'!H16=C478,ISNUMBER('Calibrare_Linii'!J16),'Calibrare_Linii'!J16&lt;='Input_Meci'!G39)),"TAIL VALIDATED","OOS PENDING")))</x:f>
      </x:c>
      <x:c r="AK478" s="2" t="n">
        <x:f>IF(J478&lt;&gt;"PASS",0,'Motor_Meciuri'!BR39)</x:f>
        <x:v>0</x:v>
      </x:c>
      <x:c r="AL478" s="2" t="n">
        <x:f>IF(J478&lt;&gt;"PASS",0,'Motor_Meciuri'!BS39)</x:f>
        <x:v>0</x:v>
      </x:c>
      <x:c r="AM478" s="2" t="n">
        <x:f>IF(J478&lt;&gt;"PASS",0,'Motor_Meciuri'!BT39)</x:f>
        <x:v>0</x:v>
      </x:c>
      <x:c r="AN478" s="2" t="str">
        <x:f>IF(M478="","",MAX(0,'Motor_Meciuri'!BF39-IF(L478&gt;'Config_v6'!$B$12,'Config_v6'!$B$37,IF(L478&gt;'Config_v6'!$B$11,'Config_v6'!$B$36,0))))</x:f>
      </x:c>
    </x:row>
    <x:row r="479" ht="21" customHeight="1">
      <x:c r="A479" s="2" t="n">
        <x:v>34</x:v>
      </x:c>
      <x:c r="B479" s="2" t="str">
        <x:f>IF('Motor_Meciuri'!A39="","",'Motor_Meciuri'!A39)</x:f>
      </x:c>
      <x:c r="C479" s="2" t="str">
        <x:f>IF(B479="","",'Motor_Meciuri'!B39)</x:f>
      </x:c>
      <x:c r="D479" s="2" t="str">
        <x:f>IF(B479="","",'Motor_Meciuri'!D39)</x:f>
      </x:c>
      <x:c r="E479" s="2" t="str">
        <x:f>IF(B479="","",'Motor_Meciuri'!E39)</x:f>
      </x:c>
      <x:c r="F479" s="2" t="str">
        <x:v>U15,5</x:v>
      </x:c>
      <x:c r="G479" s="2" t="str">
        <x:v>UNDER</x:v>
      </x:c>
      <x:c r="H479" s="2" t="n">
        <x:v>15</x:v>
      </x:c>
      <x:c r="I479" s="2" t="str">
        <x:f>IF(B479="","",'Motor_Meciuri'!H39)</x:f>
      </x:c>
      <x:c r="J479" s="2" t="str">
        <x:f>IF(B479="","",'Motor_Meciuri'!I39)</x:f>
      </x:c>
      <x:c r="K479" s="11" t="str">
        <x:f>IF(J479&lt;&gt;"PASS","",'Motor_Meciuri'!BD39)</x:f>
      </x:c>
      <x:c r="L479" s="11" t="str">
        <x:f>IF(J479&lt;&gt;"PASS","",'Motor_Meciuri'!AU39)</x:f>
      </x:c>
      <x:c r="M479" s="10" t="str">
        <x:f>IF(NOT(AND(J479="PASS",'Calibrare_Linii'!U17="VALID")),"",'Distributie'!AM39)</x:f>
      </x:c>
      <x:c r="N479" s="10" t="str">
        <x:f>IF(M479="","",MAX(0.01,MIN(0.99,0.5+(M479-0.5)*'Motor_Meciuri'!BG39*'Calibrare_Linii'!D17)))</x:f>
      </x:c>
      <x:c r="O479" s="10" t="str">
        <x:f>IF(M479="","",1-M479)</x:f>
      </x:c>
      <x:c r="P479" s="10" t="str">
        <x:f>IF(OR(NOT(AND(J479="PASS",'Calibrare_Linii'!U17="VALID")),AK479=0),""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*('Istoric_Nativ'!$Q$6:$Q$405&gt;H479))/AK479)</x:f>
      </x:c>
      <x:c r="Q479" s="10" t="str">
        <x:f>IF(OR(NOT(AND(J479="PASS",'Calibrare_Linii'!U17="VALID")),AL479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M39)+((('Istoric_Nativ'!$E$6:$E$405='Input_Meci'!E39)+('Istoric_Nativ'!$F$6:$F$405='Input_Meci'!E39))&gt;0)*('Istoric_Nativ'!$D$6:$D$405&gt;='Motor_Meciuri'!BN39))&gt;0)*('Istoric_Nativ'!$Q$6:$Q$405&gt;H479))/AL479)</x:f>
      </x:c>
      <x:c r="R479" s="10" t="str">
        <x:f>IF(OR(NOT(AND(J479="PASS",'Calibrare_Linii'!U17="VALID")),AM479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O39)+((('Istoric_Nativ'!$E$6:$E$405='Input_Meci'!E39)+('Istoric_Nativ'!$F$6:$F$405='Input_Meci'!E39))&gt;0)*('Istoric_Nativ'!$D$6:$D$405&gt;='Motor_Meciuri'!BP39))&gt;0)*('Istoric_Nativ'!$Q$6:$Q$405&gt;H479))/AM479)</x:f>
      </x:c>
      <x:c r="S479" s="10" t="str">
        <x:f>IF(M479="","",MAX(O479,P479,Q479,R479))</x:f>
      </x:c>
      <x:c r="T479" s="11" t="str">
        <x:f>IF(M479="","",MIN(100,S479*100*'Config_v6'!$B$44+MIN(100,L479/'Config_v6'!$B$13*100)*'Config_v6'!$B$45+(100-'Motor_Meciuri'!BF39)*'Config_v6'!$B$46+'Motor_Meciuri'!BH39*100*'Config_v6'!$B$47))</x:f>
      </x:c>
      <x:c r="U479" s="2" t="str">
        <x:f>IF(T479="","",IF(T479&lt;=20,1,IF(T479&lt;=40,2,IF(T479&lt;=60,3,IF(T479&lt;=80,4,5)))))</x:f>
      </x:c>
      <x:c r="V479" s="2" t="str">
        <x:f>IF(M479="","",MAX(0,'Motor_Meciuri'!BF39-IF(W479="OOS PENDING",'Config_v6'!$B$35,0)-IF(L479&gt;'Config_v6'!$B$12,'Config_v6'!$B$37,IF(L479&gt;'Config_v6'!$B$11,'Config_v6'!$B$36,0))))</x:f>
      </x:c>
      <x:c r="W479" s="2" t="str">
        <x:f>IF(B479="","",IF(I479&lt;&gt;"READY","NOT RELEASED",IF(NOT(AND(J479="PASS",'Calibrare_Linii'!U17="VALID")),"INVALID",IF(NOT(AND('Calibrare_Linii'!S17="VALIDATED",AND('Calibrare_Linii'!H17=C479,ISNUMBER('Calibrare_Linii'!J17),'Calibrare_Linii'!J17&lt;='Input_Meci'!G39))),"OOS PENDING",IF(S479&lt;='Calibrare_Linii'!E17,"PASS",IF(S479&lt;='Calibrare_Linii'!F17,"PENALTY","WATCH"))))))</x:f>
      </x:c>
      <x:c r="X479" s="2" t="str">
        <x:f>IF(M479="","",IF(AND(AND(J479="PASS",'Calibrare_Linii'!U17="VALID"),'Motor_Meciuri'!K39=12,'Motor_Meciuri'!L39=12,'Motor_Meciuri'!M39="NO",'Motor_Meciuri'!BL39='Motor_Meciuri'!C39,AB479&gt;='Config_v6'!$B$50,AN479&gt;='Config_v6'!$B$51,T479&lt;='Config_v6'!$B$52,L479&lt;='Config_v6'!$B$53,ISNUMBER('Calibrare_Linii'!E17),S479&lt;='Calibrare_Linii'!E17,SUM(AK479:AM479)&gt;0),"CANDIDATE","NO"))</x:f>
      </x:c>
      <x:c r="Y479" s="2" t="str">
        <x:f>IF(B479="","",IF(I479&lt;&gt;"READY","NOT RELEASED",IF(AND(X479="CANDIDATE",V479&gt;='Config_v6'!$B$51,W479="PASS",'Calibrare_Linii'!T17="VALIDATED",AND('Calibrare_Linii'!H17=C479,ISNUMBER('Calibrare_Linii'!J17),'Calibrare_Linii'!J17&lt;='Input_Meci'!G39)),"PASS",IF(X479="CANDIDATE","OOS PENDING","FAIL"))))</x:f>
      </x:c>
      <x:c r="Z479" s="2" t="str">
        <x:f>IF(B479="","",IF(I479&lt;&gt;"READY","",IF(OR(NOT(AND(J479="PASS",'Calibrare_Linii'!U17="VALID")),L479&gt;'Config_v6'!$B$13,W479="WATCH"),5,IF(Y479="PASS",1,MIN(5,MAX('Config_v6'!$B$42,U479)+IF(W479="PENALTY",1,0))))))</x:f>
      </x:c>
      <x:c r="AA479" s="2" t="str">
        <x:f>IF(B479="","",IF(I479&lt;&gt;"READY","NOT RELEASED",IF(Z479=5,"NO BET",IF(OR(AB479&lt;'Config_v6'!$B$16,V479&lt;'Config_v6'!$B$18),"WATCH",IF(Z479=1,"DEFENSIV",IF(Z479=2,"PRUDENT",IF(Z479=3,"MODERAT","RIDICAT")))))))</x:f>
      </x:c>
      <x:c r="AB479" s="10" t="str">
        <x:f>IF(N479="","",MIN(N479,1-S479))</x:f>
      </x:c>
      <x:c r="AC479" s="2" t="str">
        <x:f>IF(AD479&lt;&gt;1,"",COUNTIFS($Z$468:$Z$481,"&lt;"&amp;Z479,$AD$468:$AD$481,1)+COUNTIFS($Z$468:$Z$481,Z479,$AB$468:$AB$481,"&gt;"&amp;AB479,$AD$468:$AD$481,1)+COUNTIFS($Z$468:$Z$481,Z479,$AB$468:$AB$481,AB479,$V$468:$V$481,"&gt;"&amp;V479,$AD$468:$AD$481,1)+COUNTIFS($Z$468:Z479,Z479,$AB$468:AB479,AB479,$V$468:V479,V479,$AD$468:AD479,1))</x:f>
      </x:c>
      <x:c r="AD479" s="2" t="n">
        <x:f>IF(OR(AA479="DEFENSIV",AA479="PRUDENT",AA479="MODERAT",AA479="RIDICAT"),1,0)</x:f>
        <x:v>0</x:v>
      </x:c>
      <x:c r="AE479" s="2" t="str">
        <x:f>IF(AD479&lt;&gt;1,"NO",IF(W479="PASS","YES",IF(W479="OOS PENDING","CONDITIONAL","NO")))</x:f>
        <x:v>NO</x:v>
      </x:c>
      <x:c r="AF479" s="2" t="n">
        <x:f>IF(AND(AD479=1,AC479=1,E479="LIVE"),1,0)</x:f>
        <x:v>0</x:v>
      </x:c>
      <x:c r="AG479" s="2" t="str">
        <x:f>IF(AF479&lt;&gt;1,"",'Dashboard'!P59)</x:f>
      </x:c>
      <x:c r="AH479" s="2" t="str">
        <x:f>IF(B479="","",IF(J479&lt;&gt;"PASS",'Motor_Meciuri'!J39,IF('Calibrare_Linii'!U17&lt;&gt;"VALID","Parametri linie invalizi",IF(L479&gt;'Config_v6'!$B$13,"Dispersie peste limita",IF(W479="WATCH","Failure peste limita",IF(AB479&lt;'Config_v6'!$B$16,"P finala sub prag",IF(V479&lt;'Config_v6'!$B$18,"Confidence sub prag",IF(E479="REPLAY","Exemplu retrospectiv; exclus din Top LIVE",IF(Y479="PASS","DEFENSIV validat",IF(W479="OOS PENDING","Eligibil; calibrare linie in monitorizare","Eligibil"))))))))))</x:f>
      </x:c>
      <x:c r="AI479" s="2" t="str">
        <x:f>IF(B479="","",'Calibrare_Linii'!V17)</x:f>
      </x:c>
      <x:c r="AJ479" s="2" t="str">
        <x:f>IF(B479="","",IF(AND('Calibrare_Linii'!T17="VALIDATED",AND('Calibrare_Linii'!H17=C479,ISNUMBER('Calibrare_Linii'!J17),'Calibrare_Linii'!J17&lt;='Input_Meci'!G39)),"DEFENSIVE VALIDATED",IF(AND('Calibrare_Linii'!S17="VALIDATED",AND('Calibrare_Linii'!H17=C479,ISNUMBER('Calibrare_Linii'!J17),'Calibrare_Linii'!J17&lt;='Input_Meci'!G39)),"TAIL VALIDATED","OOS PENDING")))</x:f>
      </x:c>
      <x:c r="AK479" s="2" t="n">
        <x:f>IF(J479&lt;&gt;"PASS",0,'Motor_Meciuri'!BR39)</x:f>
        <x:v>0</x:v>
      </x:c>
      <x:c r="AL479" s="2" t="n">
        <x:f>IF(J479&lt;&gt;"PASS",0,'Motor_Meciuri'!BS39)</x:f>
        <x:v>0</x:v>
      </x:c>
      <x:c r="AM479" s="2" t="n">
        <x:f>IF(J479&lt;&gt;"PASS",0,'Motor_Meciuri'!BT39)</x:f>
        <x:v>0</x:v>
      </x:c>
      <x:c r="AN479" s="2" t="str">
        <x:f>IF(M479="","",MAX(0,'Motor_Meciuri'!BF39-IF(L479&gt;'Config_v6'!$B$12,'Config_v6'!$B$37,IF(L479&gt;'Config_v6'!$B$11,'Config_v6'!$B$36,0))))</x:f>
      </x:c>
    </x:row>
    <x:row r="480" ht="21" customHeight="1">
      <x:c r="A480" s="2" t="n">
        <x:v>34</x:v>
      </x:c>
      <x:c r="B480" s="2" t="str">
        <x:f>IF('Motor_Meciuri'!A39="","",'Motor_Meciuri'!A39)</x:f>
      </x:c>
      <x:c r="C480" s="2" t="str">
        <x:f>IF(B480="","",'Motor_Meciuri'!B39)</x:f>
      </x:c>
      <x:c r="D480" s="2" t="str">
        <x:f>IF(B480="","",'Motor_Meciuri'!D39)</x:f>
      </x:c>
      <x:c r="E480" s="2" t="str">
        <x:f>IF(B480="","",'Motor_Meciuri'!E39)</x:f>
      </x:c>
      <x:c r="F480" s="2" t="str">
        <x:v>U16,5</x:v>
      </x:c>
      <x:c r="G480" s="2" t="str">
        <x:v>UNDER</x:v>
      </x:c>
      <x:c r="H480" s="2" t="n">
        <x:v>16</x:v>
      </x:c>
      <x:c r="I480" s="2" t="str">
        <x:f>IF(B480="","",'Motor_Meciuri'!H39)</x:f>
      </x:c>
      <x:c r="J480" s="2" t="str">
        <x:f>IF(B480="","",'Motor_Meciuri'!I39)</x:f>
      </x:c>
      <x:c r="K480" s="11" t="str">
        <x:f>IF(J480&lt;&gt;"PASS","",'Motor_Meciuri'!BD39)</x:f>
      </x:c>
      <x:c r="L480" s="11" t="str">
        <x:f>IF(J480&lt;&gt;"PASS","",'Motor_Meciuri'!AU39)</x:f>
      </x:c>
      <x:c r="M480" s="10" t="str">
        <x:f>IF(NOT(AND(J480="PASS",'Calibrare_Linii'!U18="VALID")),"",'Distributie'!AN39)</x:f>
      </x:c>
      <x:c r="N480" s="10" t="str">
        <x:f>IF(M480="","",MAX(0.01,MIN(0.99,0.5+(M480-0.5)*'Motor_Meciuri'!BG39*'Calibrare_Linii'!D18)))</x:f>
      </x:c>
      <x:c r="O480" s="10" t="str">
        <x:f>IF(M480="","",1-M480)</x:f>
      </x:c>
      <x:c r="P480" s="10" t="str">
        <x:f>IF(OR(NOT(AND(J480="PASS",'Calibrare_Linii'!U18="VALID")),AK480=0),""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*('Istoric_Nativ'!$Q$6:$Q$405&gt;H480))/AK480)</x:f>
      </x:c>
      <x:c r="Q480" s="10" t="str">
        <x:f>IF(OR(NOT(AND(J480="PASS",'Calibrare_Linii'!U18="VALID")),AL480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M39)+((('Istoric_Nativ'!$E$6:$E$405='Input_Meci'!E39)+('Istoric_Nativ'!$F$6:$F$405='Input_Meci'!E39))&gt;0)*('Istoric_Nativ'!$D$6:$D$405&gt;='Motor_Meciuri'!BN39))&gt;0)*('Istoric_Nativ'!$Q$6:$Q$405&gt;H480))/AL480)</x:f>
      </x:c>
      <x:c r="R480" s="10" t="str">
        <x:f>IF(OR(NOT(AND(J480="PASS",'Calibrare_Linii'!U18="VALID")),AM480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O39)+((('Istoric_Nativ'!$E$6:$E$405='Input_Meci'!E39)+('Istoric_Nativ'!$F$6:$F$405='Input_Meci'!E39))&gt;0)*('Istoric_Nativ'!$D$6:$D$405&gt;='Motor_Meciuri'!BP39))&gt;0)*('Istoric_Nativ'!$Q$6:$Q$405&gt;H480))/AM480)</x:f>
      </x:c>
      <x:c r="S480" s="10" t="str">
        <x:f>IF(M480="","",MAX(O480,P480,Q480,R480))</x:f>
      </x:c>
      <x:c r="T480" s="11" t="str">
        <x:f>IF(M480="","",MIN(100,S480*100*'Config_v6'!$B$44+MIN(100,L480/'Config_v6'!$B$13*100)*'Config_v6'!$B$45+(100-'Motor_Meciuri'!BF39)*'Config_v6'!$B$46+'Motor_Meciuri'!BH39*100*'Config_v6'!$B$47))</x:f>
      </x:c>
      <x:c r="U480" s="2" t="str">
        <x:f>IF(T480="","",IF(T480&lt;=20,1,IF(T480&lt;=40,2,IF(T480&lt;=60,3,IF(T480&lt;=80,4,5)))))</x:f>
      </x:c>
      <x:c r="V480" s="2" t="str">
        <x:f>IF(M480="","",MAX(0,'Motor_Meciuri'!BF39-IF(W480="OOS PENDING",'Config_v6'!$B$35,0)-IF(L480&gt;'Config_v6'!$B$12,'Config_v6'!$B$37,IF(L480&gt;'Config_v6'!$B$11,'Config_v6'!$B$36,0))))</x:f>
      </x:c>
      <x:c r="W480" s="2" t="str">
        <x:f>IF(B480="","",IF(I480&lt;&gt;"READY","NOT RELEASED",IF(NOT(AND(J480="PASS",'Calibrare_Linii'!U18="VALID")),"INVALID",IF(NOT(AND('Calibrare_Linii'!S18="VALIDATED",AND('Calibrare_Linii'!H18=C480,ISNUMBER('Calibrare_Linii'!J18),'Calibrare_Linii'!J18&lt;='Input_Meci'!G39))),"OOS PENDING",IF(S480&lt;='Calibrare_Linii'!E18,"PASS",IF(S480&lt;='Calibrare_Linii'!F18,"PENALTY","WATCH"))))))</x:f>
      </x:c>
      <x:c r="X480" s="2" t="str">
        <x:f>IF(M480="","",IF(AND(AND(J480="PASS",'Calibrare_Linii'!U18="VALID"),'Motor_Meciuri'!K39=12,'Motor_Meciuri'!L39=12,'Motor_Meciuri'!M39="NO",'Motor_Meciuri'!BL39='Motor_Meciuri'!C39,AB480&gt;='Config_v6'!$B$50,AN480&gt;='Config_v6'!$B$51,T480&lt;='Config_v6'!$B$52,L480&lt;='Config_v6'!$B$53,ISNUMBER('Calibrare_Linii'!E18),S480&lt;='Calibrare_Linii'!E18,SUM(AK480:AM480)&gt;0),"CANDIDATE","NO"))</x:f>
      </x:c>
      <x:c r="Y480" s="2" t="str">
        <x:f>IF(B480="","",IF(I480&lt;&gt;"READY","NOT RELEASED",IF(AND(X480="CANDIDATE",V480&gt;='Config_v6'!$B$51,W480="PASS",'Calibrare_Linii'!T18="VALIDATED",AND('Calibrare_Linii'!H18=C480,ISNUMBER('Calibrare_Linii'!J18),'Calibrare_Linii'!J18&lt;='Input_Meci'!G39)),"PASS",IF(X480="CANDIDATE","OOS PENDING","FAIL"))))</x:f>
      </x:c>
      <x:c r="Z480" s="2" t="str">
        <x:f>IF(B480="","",IF(I480&lt;&gt;"READY","",IF(OR(NOT(AND(J480="PASS",'Calibrare_Linii'!U18="VALID")),L480&gt;'Config_v6'!$B$13,W480="WATCH"),5,IF(Y480="PASS",1,MIN(5,MAX('Config_v6'!$B$42,U480)+IF(W480="PENALTY",1,0))))))</x:f>
      </x:c>
      <x:c r="AA480" s="2" t="str">
        <x:f>IF(B480="","",IF(I480&lt;&gt;"READY","NOT RELEASED",IF(Z480=5,"NO BET",IF(OR(AB480&lt;'Config_v6'!$B$16,V480&lt;'Config_v6'!$B$18),"WATCH",IF(Z480=1,"DEFENSIV",IF(Z480=2,"PRUDENT",IF(Z480=3,"MODERAT","RIDICAT")))))))</x:f>
      </x:c>
      <x:c r="AB480" s="10" t="str">
        <x:f>IF(N480="","",MIN(N480,1-S480))</x:f>
      </x:c>
      <x:c r="AC480" s="2" t="str">
        <x:f>IF(AD480&lt;&gt;1,"",COUNTIFS($Z$468:$Z$481,"&lt;"&amp;Z480,$AD$468:$AD$481,1)+COUNTIFS($Z$468:$Z$481,Z480,$AB$468:$AB$481,"&gt;"&amp;AB480,$AD$468:$AD$481,1)+COUNTIFS($Z$468:$Z$481,Z480,$AB$468:$AB$481,AB480,$V$468:$V$481,"&gt;"&amp;V480,$AD$468:$AD$481,1)+COUNTIFS($Z$468:Z480,Z480,$AB$468:AB480,AB480,$V$468:V480,V480,$AD$468:AD480,1))</x:f>
      </x:c>
      <x:c r="AD480" s="2" t="n">
        <x:f>IF(OR(AA480="DEFENSIV",AA480="PRUDENT",AA480="MODERAT",AA480="RIDICAT"),1,0)</x:f>
        <x:v>0</x:v>
      </x:c>
      <x:c r="AE480" s="2" t="str">
        <x:f>IF(AD480&lt;&gt;1,"NO",IF(W480="PASS","YES",IF(W480="OOS PENDING","CONDITIONAL","NO")))</x:f>
        <x:v>NO</x:v>
      </x:c>
      <x:c r="AF480" s="2" t="n">
        <x:f>IF(AND(AD480=1,AC480=1,E480="LIVE"),1,0)</x:f>
        <x:v>0</x:v>
      </x:c>
      <x:c r="AG480" s="2" t="str">
        <x:f>IF(AF480&lt;&gt;1,"",'Dashboard'!P59)</x:f>
      </x:c>
      <x:c r="AH480" s="2" t="str">
        <x:f>IF(B480="","",IF(J480&lt;&gt;"PASS",'Motor_Meciuri'!J39,IF('Calibrare_Linii'!U18&lt;&gt;"VALID","Parametri linie invalizi",IF(L480&gt;'Config_v6'!$B$13,"Dispersie peste limita",IF(W480="WATCH","Failure peste limita",IF(AB480&lt;'Config_v6'!$B$16,"P finala sub prag",IF(V480&lt;'Config_v6'!$B$18,"Confidence sub prag",IF(E480="REPLAY","Exemplu retrospectiv; exclus din Top LIVE",IF(Y480="PASS","DEFENSIV validat",IF(W480="OOS PENDING","Eligibil; calibrare linie in monitorizare","Eligibil"))))))))))</x:f>
      </x:c>
      <x:c r="AI480" s="2" t="str">
        <x:f>IF(B480="","",'Calibrare_Linii'!V18)</x:f>
      </x:c>
      <x:c r="AJ480" s="2" t="str">
        <x:f>IF(B480="","",IF(AND('Calibrare_Linii'!T18="VALIDATED",AND('Calibrare_Linii'!H18=C480,ISNUMBER('Calibrare_Linii'!J18),'Calibrare_Linii'!J18&lt;='Input_Meci'!G39)),"DEFENSIVE VALIDATED",IF(AND('Calibrare_Linii'!S18="VALIDATED",AND('Calibrare_Linii'!H18=C480,ISNUMBER('Calibrare_Linii'!J18),'Calibrare_Linii'!J18&lt;='Input_Meci'!G39)),"TAIL VALIDATED","OOS PENDING")))</x:f>
      </x:c>
      <x:c r="AK480" s="2" t="n">
        <x:f>IF(J480&lt;&gt;"PASS",0,'Motor_Meciuri'!BR39)</x:f>
        <x:v>0</x:v>
      </x:c>
      <x:c r="AL480" s="2" t="n">
        <x:f>IF(J480&lt;&gt;"PASS",0,'Motor_Meciuri'!BS39)</x:f>
        <x:v>0</x:v>
      </x:c>
      <x:c r="AM480" s="2" t="n">
        <x:f>IF(J480&lt;&gt;"PASS",0,'Motor_Meciuri'!BT39)</x:f>
        <x:v>0</x:v>
      </x:c>
      <x:c r="AN480" s="2" t="str">
        <x:f>IF(M480="","",MAX(0,'Motor_Meciuri'!BF39-IF(L480&gt;'Config_v6'!$B$12,'Config_v6'!$B$37,IF(L480&gt;'Config_v6'!$B$11,'Config_v6'!$B$36,0))))</x:f>
      </x:c>
    </x:row>
    <x:row r="481" ht="21" customHeight="1">
      <x:c r="A481" s="2" t="n">
        <x:v>34</x:v>
      </x:c>
      <x:c r="B481" s="2" t="str">
        <x:f>IF('Motor_Meciuri'!A39="","",'Motor_Meciuri'!A39)</x:f>
      </x:c>
      <x:c r="C481" s="2" t="str">
        <x:f>IF(B481="","",'Motor_Meciuri'!B39)</x:f>
      </x:c>
      <x:c r="D481" s="2" t="str">
        <x:f>IF(B481="","",'Motor_Meciuri'!D39)</x:f>
      </x:c>
      <x:c r="E481" s="2" t="str">
        <x:f>IF(B481="","",'Motor_Meciuri'!E39)</x:f>
      </x:c>
      <x:c r="F481" s="2" t="str">
        <x:v>U17,5</x:v>
      </x:c>
      <x:c r="G481" s="2" t="str">
        <x:v>UNDER</x:v>
      </x:c>
      <x:c r="H481" s="2" t="n">
        <x:v>17</x:v>
      </x:c>
      <x:c r="I481" s="2" t="str">
        <x:f>IF(B481="","",'Motor_Meciuri'!H39)</x:f>
      </x:c>
      <x:c r="J481" s="2" t="str">
        <x:f>IF(B481="","",'Motor_Meciuri'!I39)</x:f>
      </x:c>
      <x:c r="K481" s="11" t="str">
        <x:f>IF(J481&lt;&gt;"PASS","",'Motor_Meciuri'!BD39)</x:f>
      </x:c>
      <x:c r="L481" s="11" t="str">
        <x:f>IF(J481&lt;&gt;"PASS","",'Motor_Meciuri'!AU39)</x:f>
      </x:c>
      <x:c r="M481" s="10" t="str">
        <x:f>IF(NOT(AND(J481="PASS",'Calibrare_Linii'!U19="VALID")),"",'Distributie'!AO39)</x:f>
      </x:c>
      <x:c r="N481" s="10" t="str">
        <x:f>IF(M481="","",MAX(0.01,MIN(0.99,0.5+(M481-0.5)*'Motor_Meciuri'!BG39*'Calibrare_Linii'!D19)))</x:f>
      </x:c>
      <x:c r="O481" s="10" t="str">
        <x:f>IF(M481="","",1-M481)</x:f>
      </x:c>
      <x:c r="P481" s="10" t="str">
        <x:f>IF(OR(NOT(AND(J481="PASS",'Calibrare_Linii'!U19="VALID")),AK481=0),""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*('Istoric_Nativ'!$Q$6:$Q$405&gt;H481))/AK481)</x:f>
      </x:c>
      <x:c r="Q481" s="10" t="str">
        <x:f>IF(OR(NOT(AND(J481="PASS",'Calibrare_Linii'!U19="VALID")),AL481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M39)+((('Istoric_Nativ'!$E$6:$E$405='Input_Meci'!E39)+('Istoric_Nativ'!$F$6:$F$405='Input_Meci'!E39))&gt;0)*('Istoric_Nativ'!$D$6:$D$405&gt;='Motor_Meciuri'!BN39))&gt;0)*('Istoric_Nativ'!$Q$6:$Q$405&gt;H481))/AL481)</x:f>
      </x:c>
      <x:c r="R481" s="10" t="str">
        <x:f>IF(OR(NOT(AND(J481="PASS",'Calibrare_Linii'!U19="VALID")),AM481=0),""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'Motor_Meciuri'!BO39)+((('Istoric_Nativ'!$E$6:$E$405='Input_Meci'!E39)+('Istoric_Nativ'!$F$6:$F$405='Input_Meci'!E39))&gt;0)*('Istoric_Nativ'!$D$6:$D$405&gt;='Motor_Meciuri'!BP39))&gt;0)*('Istoric_Nativ'!$Q$6:$Q$405&gt;H481))/AM481)</x:f>
      </x:c>
      <x:c r="S481" s="10" t="str">
        <x:f>IF(M481="","",MAX(O481,P481,Q481,R481))</x:f>
      </x:c>
      <x:c r="T481" s="11" t="str">
        <x:f>IF(M481="","",MIN(100,S481*100*'Config_v6'!$B$44+MIN(100,L481/'Config_v6'!$B$13*100)*'Config_v6'!$B$45+(100-'Motor_Meciuri'!BF39)*'Config_v6'!$B$46+'Motor_Meciuri'!BH39*100*'Config_v6'!$B$47))</x:f>
      </x:c>
      <x:c r="U481" s="2" t="str">
        <x:f>IF(T481="","",IF(T481&lt;=20,1,IF(T481&lt;=40,2,IF(T481&lt;=60,3,IF(T481&lt;=80,4,5)))))</x:f>
      </x:c>
      <x:c r="V481" s="2" t="str">
        <x:f>IF(M481="","",MAX(0,'Motor_Meciuri'!BF39-IF(W481="OOS PENDING",'Config_v6'!$B$35,0)-IF(L481&gt;'Config_v6'!$B$12,'Config_v6'!$B$37,IF(L481&gt;'Config_v6'!$B$11,'Config_v6'!$B$36,0))))</x:f>
      </x:c>
      <x:c r="W481" s="2" t="str">
        <x:f>IF(B481="","",IF(I481&lt;&gt;"READY","NOT RELEASED",IF(NOT(AND(J481="PASS",'Calibrare_Linii'!U19="VALID")),"INVALID",IF(NOT(AND('Calibrare_Linii'!S19="VALIDATED",AND('Calibrare_Linii'!H19=C481,ISNUMBER('Calibrare_Linii'!J19),'Calibrare_Linii'!J19&lt;='Input_Meci'!G39))),"OOS PENDING",IF(S481&lt;='Calibrare_Linii'!E19,"PASS",IF(S481&lt;='Calibrare_Linii'!F19,"PENALTY","WATCH"))))))</x:f>
      </x:c>
      <x:c r="X481" s="2" t="str">
        <x:f>IF(M481="","",IF(AND(AND(J481="PASS",'Calibrare_Linii'!U19="VALID"),'Motor_Meciuri'!K39=12,'Motor_Meciuri'!L39=12,'Motor_Meciuri'!M39="NO",'Motor_Meciuri'!BL39='Motor_Meciuri'!C39,AB481&gt;='Config_v6'!$B$50,AN481&gt;='Config_v6'!$B$51,T481&lt;='Config_v6'!$B$52,L481&lt;='Config_v6'!$B$53,ISNUMBER('Calibrare_Linii'!E19),S481&lt;='Calibrare_Linii'!E19,SUM(AK481:AM481)&gt;0),"CANDIDATE","NO"))</x:f>
      </x:c>
      <x:c r="Y481" s="2" t="str">
        <x:f>IF(B481="","",IF(I481&lt;&gt;"READY","NOT RELEASED",IF(AND(X481="CANDIDATE",V481&gt;='Config_v6'!$B$51,W481="PASS",'Calibrare_Linii'!T19="VALIDATED",AND('Calibrare_Linii'!H19=C481,ISNUMBER('Calibrare_Linii'!J19),'Calibrare_Linii'!J19&lt;='Input_Meci'!G39)),"PASS",IF(X481="CANDIDATE","OOS PENDING","FAIL"))))</x:f>
      </x:c>
      <x:c r="Z481" s="2" t="str">
        <x:f>IF(B481="","",IF(I481&lt;&gt;"READY","",IF(OR(NOT(AND(J481="PASS",'Calibrare_Linii'!U19="VALID")),L481&gt;'Config_v6'!$B$13,W481="WATCH"),5,IF(Y481="PASS",1,MIN(5,MAX('Config_v6'!$B$42,U481)+IF(W481="PENALTY",1,0))))))</x:f>
      </x:c>
      <x:c r="AA481" s="2" t="str">
        <x:f>IF(B481="","",IF(I481&lt;&gt;"READY","NOT RELEASED",IF(Z481=5,"NO BET",IF(OR(AB481&lt;'Config_v6'!$B$16,V481&lt;'Config_v6'!$B$18),"WATCH",IF(Z481=1,"DEFENSIV",IF(Z481=2,"PRUDENT",IF(Z481=3,"MODERAT","RIDICAT")))))))</x:f>
      </x:c>
      <x:c r="AB481" s="10" t="str">
        <x:f>IF(N481="","",MIN(N481,1-S481))</x:f>
      </x:c>
      <x:c r="AC481" s="2" t="str">
        <x:f>IF(AD481&lt;&gt;1,"",COUNTIFS($Z$468:$Z$481,"&lt;"&amp;Z481,$AD$468:$AD$481,1)+COUNTIFS($Z$468:$Z$481,Z481,$AB$468:$AB$481,"&gt;"&amp;AB481,$AD$468:$AD$481,1)+COUNTIFS($Z$468:$Z$481,Z481,$AB$468:$AB$481,AB481,$V$468:$V$481,"&gt;"&amp;V481,$AD$468:$AD$481,1)+COUNTIFS($Z$468:Z481,Z481,$AB$468:AB481,AB481,$V$468:V481,V481,$AD$468:AD481,1))</x:f>
      </x:c>
      <x:c r="AD481" s="2" t="n">
        <x:f>IF(OR(AA481="DEFENSIV",AA481="PRUDENT",AA481="MODERAT",AA481="RIDICAT"),1,0)</x:f>
        <x:v>0</x:v>
      </x:c>
      <x:c r="AE481" s="2" t="str">
        <x:f>IF(AD481&lt;&gt;1,"NO",IF(W481="PASS","YES",IF(W481="OOS PENDING","CONDITIONAL","NO")))</x:f>
        <x:v>NO</x:v>
      </x:c>
      <x:c r="AF481" s="2" t="n">
        <x:f>IF(AND(AD481=1,AC481=1,E481="LIVE"),1,0)</x:f>
        <x:v>0</x:v>
      </x:c>
      <x:c r="AG481" s="2" t="str">
        <x:f>IF(AF481&lt;&gt;1,"",'Dashboard'!P59)</x:f>
      </x:c>
      <x:c r="AH481" s="2" t="str">
        <x:f>IF(B481="","",IF(J481&lt;&gt;"PASS",'Motor_Meciuri'!J39,IF('Calibrare_Linii'!U19&lt;&gt;"VALID","Parametri linie invalizi",IF(L481&gt;'Config_v6'!$B$13,"Dispersie peste limita",IF(W481="WATCH","Failure peste limita",IF(AB481&lt;'Config_v6'!$B$16,"P finala sub prag",IF(V481&lt;'Config_v6'!$B$18,"Confidence sub prag",IF(E481="REPLAY","Exemplu retrospectiv; exclus din Top LIVE",IF(Y481="PASS","DEFENSIV validat",IF(W481="OOS PENDING","Eligibil; calibrare linie in monitorizare","Eligibil"))))))))))</x:f>
      </x:c>
      <x:c r="AI481" s="2" t="str">
        <x:f>IF(B481="","",'Calibrare_Linii'!V19)</x:f>
      </x:c>
      <x:c r="AJ481" s="2" t="str">
        <x:f>IF(B481="","",IF(AND('Calibrare_Linii'!T19="VALIDATED",AND('Calibrare_Linii'!H19=C481,ISNUMBER('Calibrare_Linii'!J19),'Calibrare_Linii'!J19&lt;='Input_Meci'!G39)),"DEFENSIVE VALIDATED",IF(AND('Calibrare_Linii'!S19="VALIDATED",AND('Calibrare_Linii'!H19=C481,ISNUMBER('Calibrare_Linii'!J19),'Calibrare_Linii'!J19&lt;='Input_Meci'!G39)),"TAIL VALIDATED","OOS PENDING")))</x:f>
      </x:c>
      <x:c r="AK481" s="2" t="n">
        <x:f>IF(J481&lt;&gt;"PASS",0,'Motor_Meciuri'!BR39)</x:f>
        <x:v>0</x:v>
      </x:c>
      <x:c r="AL481" s="2" t="n">
        <x:f>IF(J481&lt;&gt;"PASS",0,'Motor_Meciuri'!BS39)</x:f>
        <x:v>0</x:v>
      </x:c>
      <x:c r="AM481" s="2" t="n">
        <x:f>IF(J481&lt;&gt;"PASS",0,'Motor_Meciuri'!BT39)</x:f>
        <x:v>0</x:v>
      </x:c>
      <x:c r="AN481" s="2" t="str">
        <x:f>IF(M481="","",MAX(0,'Motor_Meciuri'!BF39-IF(L481&gt;'Config_v6'!$B$12,'Config_v6'!$B$37,IF(L481&gt;'Config_v6'!$B$11,'Config_v6'!$B$36,0))))</x:f>
      </x:c>
    </x:row>
    <x:row r="482" ht="21" customHeight="1">
      <x:c r="A482" s="2" t="n">
        <x:v>35</x:v>
      </x:c>
      <x:c r="B482" s="2" t="str">
        <x:f>IF('Motor_Meciuri'!A40="","",'Motor_Meciuri'!A40)</x:f>
      </x:c>
      <x:c r="C482" s="2" t="str">
        <x:f>IF(B482="","",'Motor_Meciuri'!B40)</x:f>
      </x:c>
      <x:c r="D482" s="2" t="str">
        <x:f>IF(B482="","",'Motor_Meciuri'!D40)</x:f>
      </x:c>
      <x:c r="E482" s="2" t="str">
        <x:f>IF(B482="","",'Motor_Meciuri'!E40)</x:f>
      </x:c>
      <x:c r="F482" s="2" t="str">
        <x:v>O3,5</x:v>
      </x:c>
      <x:c r="G482" s="2" t="str">
        <x:v>OVER</x:v>
      </x:c>
      <x:c r="H482" s="2" t="n">
        <x:v>3</x:v>
      </x:c>
      <x:c r="I482" s="2" t="str">
        <x:f>IF(B482="","",'Motor_Meciuri'!H40)</x:f>
      </x:c>
      <x:c r="J482" s="2" t="str">
        <x:f>IF(B482="","",'Motor_Meciuri'!I40)</x:f>
      </x:c>
      <x:c r="K482" s="11" t="str">
        <x:f>IF(J482&lt;&gt;"PASS","",'Motor_Meciuri'!BD40)</x:f>
      </x:c>
      <x:c r="L482" s="11" t="str">
        <x:f>IF(J482&lt;&gt;"PASS","",'Motor_Meciuri'!AU40)</x:f>
      </x:c>
      <x:c r="M482" s="10" t="str">
        <x:f>IF(NOT(AND(J482="PASS",'Calibrare_Linii'!U6="VALID")),"",1-'Distributie'!AA40)</x:f>
      </x:c>
      <x:c r="N482" s="10" t="str">
        <x:f>IF(M482="","",MAX(0.01,MIN(0.99,0.5+(M482-0.5)*'Motor_Meciuri'!BG40*'Calibrare_Linii'!D6)))</x:f>
      </x:c>
      <x:c r="O482" s="10" t="str">
        <x:f>IF(M482="","",1-M482)</x:f>
      </x:c>
      <x:c r="P482" s="10" t="str">
        <x:f>IF(OR(NOT(AND(J482="PASS",'Calibrare_Linii'!U6="VALID")),AK482=0),""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*('Istoric_Nativ'!$Q$6:$Q$405&lt;=H482))/AK482)</x:f>
      </x:c>
      <x:c r="Q482" s="10" t="str">
        <x:f>IF(OR(NOT(AND(J482="PASS",'Calibrare_Linii'!U6="VALID")),AL482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M40)+((('Istoric_Nativ'!$E$6:$E$405='Input_Meci'!E40)+('Istoric_Nativ'!$F$6:$F$405='Input_Meci'!E40))&gt;0)*('Istoric_Nativ'!$D$6:$D$405&gt;='Motor_Meciuri'!BN40))&gt;0)*('Istoric_Nativ'!$Q$6:$Q$405&lt;=H482))/AL482)</x:f>
      </x:c>
      <x:c r="R482" s="10" t="str">
        <x:f>IF(OR(NOT(AND(J482="PASS",'Calibrare_Linii'!U6="VALID")),AM482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O40)+((('Istoric_Nativ'!$E$6:$E$405='Input_Meci'!E40)+('Istoric_Nativ'!$F$6:$F$405='Input_Meci'!E40))&gt;0)*('Istoric_Nativ'!$D$6:$D$405&gt;='Motor_Meciuri'!BP40))&gt;0)*('Istoric_Nativ'!$Q$6:$Q$405&lt;=H482))/AM482)</x:f>
      </x:c>
      <x:c r="S482" s="10" t="str">
        <x:f>IF(M482="","",MAX(O482,P482,Q482,R482))</x:f>
      </x:c>
      <x:c r="T482" s="11" t="str">
        <x:f>IF(M482="","",MIN(100,S482*100*'Config_v6'!$B$44+MIN(100,L482/'Config_v6'!$B$13*100)*'Config_v6'!$B$45+(100-'Motor_Meciuri'!BF40)*'Config_v6'!$B$46+'Motor_Meciuri'!BH40*100*'Config_v6'!$B$47))</x:f>
      </x:c>
      <x:c r="U482" s="2" t="str">
        <x:f>IF(T482="","",IF(T482&lt;=20,1,IF(T482&lt;=40,2,IF(T482&lt;=60,3,IF(T482&lt;=80,4,5)))))</x:f>
      </x:c>
      <x:c r="V482" s="2" t="str">
        <x:f>IF(M482="","",MAX(0,'Motor_Meciuri'!BF40-IF(W482="OOS PENDING",'Config_v6'!$B$35,0)-IF(L482&gt;'Config_v6'!$B$12,'Config_v6'!$B$37,IF(L482&gt;'Config_v6'!$B$11,'Config_v6'!$B$36,0))))</x:f>
      </x:c>
      <x:c r="W482" s="2" t="str">
        <x:f>IF(B482="","",IF(I482&lt;&gt;"READY","NOT RELEASED",IF(NOT(AND(J482="PASS",'Calibrare_Linii'!U6="VALID")),"INVALID",IF(NOT(TRUE),"OOS PENDING",IF(S482&lt;=IF(AND('Calibrare_Linii'!S6="VALIDATED",AND('Calibrare_Linii'!H6=C482,ISNUMBER('Calibrare_Linii'!J6),'Calibrare_Linii'!J6&lt;='Input_Meci'!G40)),'Calibrare_Linii'!E6,'Config_v6'!$B$26),"PASS",IF(S482&lt;=IF(AND('Calibrare_Linii'!S6="VALIDATED",AND('Calibrare_Linii'!H6=C482,ISNUMBER('Calibrare_Linii'!J6),'Calibrare_Linii'!J6&lt;='Input_Meci'!G40)),'Calibrare_Linii'!F6,'Config_v6'!$C$26),"PENALTY","WATCH"))))))</x:f>
      </x:c>
      <x:c r="X482" s="2" t="str">
        <x:f>IF(M482="","",IF(AND(AND(J482="PASS",'Calibrare_Linii'!U6="VALID"),'Motor_Meciuri'!K40=12,'Motor_Meciuri'!L40=12,'Motor_Meciuri'!M40="NO",'Motor_Meciuri'!BL40='Motor_Meciuri'!C40,AB482&gt;='Config_v6'!$B$50,AN482&gt;='Config_v6'!$B$51,T482&lt;='Config_v6'!$B$52,L482&lt;='Config_v6'!$B$53,ISNUMBER('Calibrare_Linii'!E6),S482&lt;='Calibrare_Linii'!E6,SUM(AK482:AM482)&gt;0),"CANDIDATE","NO"))</x:f>
      </x:c>
      <x:c r="Y482" s="2" t="str">
        <x:f>IF(B482="","",IF(I482&lt;&gt;"READY","NOT RELEASED",IF(AND(X482="CANDIDATE",V482&gt;='Config_v6'!$B$51,W482="PASS",'Calibrare_Linii'!T6="VALIDATED",AND('Calibrare_Linii'!H6=C482,ISNUMBER('Calibrare_Linii'!J6),'Calibrare_Linii'!J6&lt;='Input_Meci'!G40)),"PASS",IF(X482="CANDIDATE","OOS PENDING","FAIL"))))</x:f>
      </x:c>
      <x:c r="Z482" s="2" t="str">
        <x:f>IF(B482="","",IF(I482&lt;&gt;"READY","",IF(OR(NOT(AND(J482="PASS",'Calibrare_Linii'!U6="VALID")),L482&gt;'Config_v6'!$B$13,W482="WATCH"),5,IF(Y482="PASS",1,MIN(5,MAX('Config_v6'!$B$42,U482)+IF(W482="PENALTY",1,0))))))</x:f>
      </x:c>
      <x:c r="AA482" s="2" t="str">
        <x:f>IF(B482="","",IF(I482&lt;&gt;"READY","NOT RELEASED",IF(Z482=5,"NO BET",IF(OR(AB482&lt;'Config_v6'!$B$16,V482&lt;'Config_v6'!$B$18),"WATCH",IF(Z482=1,"DEFENSIV",IF(Z482=2,"PRUDENT",IF(Z482=3,"MODERAT","RIDICAT")))))))</x:f>
      </x:c>
      <x:c r="AB482" s="10" t="str">
        <x:f>IF(N482="","",MIN(N482,1-S482))</x:f>
      </x:c>
      <x:c r="AC482" s="2" t="str">
        <x:f>IF(AD482&lt;&gt;1,"",COUNTIFS($Z$482:$Z$495,"&lt;"&amp;Z482,$AD$482:$AD$495,1)+COUNTIFS($Z$482:$Z$495,Z482,$AB$482:$AB$495,"&gt;"&amp;AB482,$AD$482:$AD$495,1)+COUNTIFS($Z$482:$Z$495,Z482,$AB$482:$AB$495,AB482,$V$482:$V$495,"&gt;"&amp;V482,$AD$482:$AD$495,1)+COUNTIFS($Z$482:Z482,Z482,$AB$482:AB482,AB482,$V$482:V482,V482,$AD$482:AD482,1))</x:f>
      </x:c>
      <x:c r="AD482" s="2" t="n">
        <x:f>IF(OR(AA482="DEFENSIV",AA482="PRUDENT",AA482="MODERAT",AA482="RIDICAT"),1,0)</x:f>
        <x:v>0</x:v>
      </x:c>
      <x:c r="AE482" s="2" t="str">
        <x:f>IF(AD482&lt;&gt;1,"NO",IF(W482="PASS","YES",IF(W482="OOS PENDING","CONDITIONAL","NO")))</x:f>
        <x:v>NO</x:v>
      </x:c>
      <x:c r="AF482" s="2" t="n">
        <x:f>IF(AND(AD482=1,AC482=1,E482="LIVE"),1,0)</x:f>
        <x:v>0</x:v>
      </x:c>
      <x:c r="AG482" s="2" t="str">
        <x:f>IF(AF482&lt;&gt;1,"",'Dashboard'!P60)</x:f>
      </x:c>
      <x:c r="AH482" s="2" t="str">
        <x:f>IF(B482="","",IF(J482&lt;&gt;"PASS",'Motor_Meciuri'!J40,IF('Calibrare_Linii'!U6&lt;&gt;"VALID","Parametri linie invalizi",IF(L482&gt;'Config_v6'!$B$13,"Dispersie peste limita",IF(W482="WATCH","Failure peste limita",IF(AB482&lt;'Config_v6'!$B$16,"P finala sub prag",IF(V482&lt;'Config_v6'!$B$18,"Confidence sub prag",IF(E482="REPLAY","Exemplu retrospectiv; exclus din Top LIVE",IF(Y482="PASS","DEFENSIV validat",IF(W482="OOS PENDING","Eligibil; calibrare linie in monitorizare","Eligibil"))))))))))</x:f>
      </x:c>
      <x:c r="AI482" s="2" t="str">
        <x:f>IF(B482="","",'Calibrare_Linii'!V6)</x:f>
      </x:c>
      <x:c r="AJ482" s="2" t="str">
        <x:f>IF(B482="","",IF(AND('Calibrare_Linii'!T6="VALIDATED",AND('Calibrare_Linii'!H6=C482,ISNUMBER('Calibrare_Linii'!J6),'Calibrare_Linii'!J6&lt;='Input_Meci'!G40)),"DEFENSIVE VALIDATED",IF(AND('Calibrare_Linii'!S6="VALIDATED",AND('Calibrare_Linii'!H6=C482,ISNUMBER('Calibrare_Linii'!J6),'Calibrare_Linii'!J6&lt;='Input_Meci'!G40)),"TAIL VALIDATED","OOS PENDING")))</x:f>
      </x:c>
      <x:c r="AK482" s="2" t="n">
        <x:f>IF(J482&lt;&gt;"PASS",0,'Motor_Meciuri'!BR40)</x:f>
        <x:v>0</x:v>
      </x:c>
      <x:c r="AL482" s="2" t="n">
        <x:f>IF(J482&lt;&gt;"PASS",0,'Motor_Meciuri'!BS40)</x:f>
        <x:v>0</x:v>
      </x:c>
      <x:c r="AM482" s="2" t="n">
        <x:f>IF(J482&lt;&gt;"PASS",0,'Motor_Meciuri'!BT40)</x:f>
        <x:v>0</x:v>
      </x:c>
      <x:c r="AN482" s="2" t="str">
        <x:f>IF(M482="","",MAX(0,'Motor_Meciuri'!BF40-IF(L482&gt;'Config_v6'!$B$12,'Config_v6'!$B$37,IF(L482&gt;'Config_v6'!$B$11,'Config_v6'!$B$36,0))))</x:f>
      </x:c>
    </x:row>
    <x:row r="483" ht="21" customHeight="1">
      <x:c r="A483" s="2" t="n">
        <x:v>35</x:v>
      </x:c>
      <x:c r="B483" s="2" t="str">
        <x:f>IF('Motor_Meciuri'!A40="","",'Motor_Meciuri'!A40)</x:f>
      </x:c>
      <x:c r="C483" s="2" t="str">
        <x:f>IF(B483="","",'Motor_Meciuri'!B40)</x:f>
      </x:c>
      <x:c r="D483" s="2" t="str">
        <x:f>IF(B483="","",'Motor_Meciuri'!D40)</x:f>
      </x:c>
      <x:c r="E483" s="2" t="str">
        <x:f>IF(B483="","",'Motor_Meciuri'!E40)</x:f>
      </x:c>
      <x:c r="F483" s="2" t="str">
        <x:v>O4,5</x:v>
      </x:c>
      <x:c r="G483" s="2" t="str">
        <x:v>OVER</x:v>
      </x:c>
      <x:c r="H483" s="2" t="n">
        <x:v>4</x:v>
      </x:c>
      <x:c r="I483" s="2" t="str">
        <x:f>IF(B483="","",'Motor_Meciuri'!H40)</x:f>
      </x:c>
      <x:c r="J483" s="2" t="str">
        <x:f>IF(B483="","",'Motor_Meciuri'!I40)</x:f>
      </x:c>
      <x:c r="K483" s="11" t="str">
        <x:f>IF(J483&lt;&gt;"PASS","",'Motor_Meciuri'!BD40)</x:f>
      </x:c>
      <x:c r="L483" s="11" t="str">
        <x:f>IF(J483&lt;&gt;"PASS","",'Motor_Meciuri'!AU40)</x:f>
      </x:c>
      <x:c r="M483" s="10" t="str">
        <x:f>IF(NOT(AND(J483="PASS",'Calibrare_Linii'!U7="VALID")),"",1-'Distributie'!AB40)</x:f>
      </x:c>
      <x:c r="N483" s="10" t="str">
        <x:f>IF(M483="","",MAX(0.01,MIN(0.99,0.5+(M483-0.5)*'Motor_Meciuri'!BG40*'Calibrare_Linii'!D7)))</x:f>
      </x:c>
      <x:c r="O483" s="10" t="str">
        <x:f>IF(M483="","",1-M483)</x:f>
      </x:c>
      <x:c r="P483" s="10" t="str">
        <x:f>IF(OR(NOT(AND(J483="PASS",'Calibrare_Linii'!U7="VALID")),AK483=0),""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*('Istoric_Nativ'!$Q$6:$Q$405&lt;=H483))/AK483)</x:f>
      </x:c>
      <x:c r="Q483" s="10" t="str">
        <x:f>IF(OR(NOT(AND(J483="PASS",'Calibrare_Linii'!U7="VALID")),AL483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M40)+((('Istoric_Nativ'!$E$6:$E$405='Input_Meci'!E40)+('Istoric_Nativ'!$F$6:$F$405='Input_Meci'!E40))&gt;0)*('Istoric_Nativ'!$D$6:$D$405&gt;='Motor_Meciuri'!BN40))&gt;0)*('Istoric_Nativ'!$Q$6:$Q$405&lt;=H483))/AL483)</x:f>
      </x:c>
      <x:c r="R483" s="10" t="str">
        <x:f>IF(OR(NOT(AND(J483="PASS",'Calibrare_Linii'!U7="VALID")),AM483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O40)+((('Istoric_Nativ'!$E$6:$E$405='Input_Meci'!E40)+('Istoric_Nativ'!$F$6:$F$405='Input_Meci'!E40))&gt;0)*('Istoric_Nativ'!$D$6:$D$405&gt;='Motor_Meciuri'!BP40))&gt;0)*('Istoric_Nativ'!$Q$6:$Q$405&lt;=H483))/AM483)</x:f>
      </x:c>
      <x:c r="S483" s="10" t="str">
        <x:f>IF(M483="","",MAX(O483,P483,Q483,R483))</x:f>
      </x:c>
      <x:c r="T483" s="11" t="str">
        <x:f>IF(M483="","",MIN(100,S483*100*'Config_v6'!$B$44+MIN(100,L483/'Config_v6'!$B$13*100)*'Config_v6'!$B$45+(100-'Motor_Meciuri'!BF40)*'Config_v6'!$B$46+'Motor_Meciuri'!BH40*100*'Config_v6'!$B$47))</x:f>
      </x:c>
      <x:c r="U483" s="2" t="str">
        <x:f>IF(T483="","",IF(T483&lt;=20,1,IF(T483&lt;=40,2,IF(T483&lt;=60,3,IF(T483&lt;=80,4,5)))))</x:f>
      </x:c>
      <x:c r="V483" s="2" t="str">
        <x:f>IF(M483="","",MAX(0,'Motor_Meciuri'!BF40-IF(W483="OOS PENDING",'Config_v6'!$B$35,0)-IF(L483&gt;'Config_v6'!$B$12,'Config_v6'!$B$37,IF(L483&gt;'Config_v6'!$B$11,'Config_v6'!$B$36,0))))</x:f>
      </x:c>
      <x:c r="W483" s="2" t="str">
        <x:f>IF(B483="","",IF(I483&lt;&gt;"READY","NOT RELEASED",IF(NOT(AND(J483="PASS",'Calibrare_Linii'!U7="VALID")),"INVALID",IF(NOT(AND('Calibrare_Linii'!S7="VALIDATED",AND('Calibrare_Linii'!H7=C483,ISNUMBER('Calibrare_Linii'!J7),'Calibrare_Linii'!J7&lt;='Input_Meci'!G40))),"OOS PENDING",IF(S483&lt;='Calibrare_Linii'!E7,"PASS",IF(S483&lt;='Calibrare_Linii'!F7,"PENALTY","WATCH"))))))</x:f>
      </x:c>
      <x:c r="X483" s="2" t="str">
        <x:f>IF(M483="","",IF(AND(AND(J483="PASS",'Calibrare_Linii'!U7="VALID"),'Motor_Meciuri'!K40=12,'Motor_Meciuri'!L40=12,'Motor_Meciuri'!M40="NO",'Motor_Meciuri'!BL40='Motor_Meciuri'!C40,AB483&gt;='Config_v6'!$B$50,AN483&gt;='Config_v6'!$B$51,T483&lt;='Config_v6'!$B$52,L483&lt;='Config_v6'!$B$53,ISNUMBER('Calibrare_Linii'!E7),S483&lt;='Calibrare_Linii'!E7,SUM(AK483:AM483)&gt;0),"CANDIDATE","NO"))</x:f>
      </x:c>
      <x:c r="Y483" s="2" t="str">
        <x:f>IF(B483="","",IF(I483&lt;&gt;"READY","NOT RELEASED",IF(AND(X483="CANDIDATE",V483&gt;='Config_v6'!$B$51,W483="PASS",'Calibrare_Linii'!T7="VALIDATED",AND('Calibrare_Linii'!H7=C483,ISNUMBER('Calibrare_Linii'!J7),'Calibrare_Linii'!J7&lt;='Input_Meci'!G40)),"PASS",IF(X483="CANDIDATE","OOS PENDING","FAIL"))))</x:f>
      </x:c>
      <x:c r="Z483" s="2" t="str">
        <x:f>IF(B483="","",IF(I483&lt;&gt;"READY","",IF(OR(NOT(AND(J483="PASS",'Calibrare_Linii'!U7="VALID")),L483&gt;'Config_v6'!$B$13,W483="WATCH"),5,IF(Y483="PASS",1,MIN(5,MAX('Config_v6'!$B$42,U483)+IF(W483="PENALTY",1,0))))))</x:f>
      </x:c>
      <x:c r="AA483" s="2" t="str">
        <x:f>IF(B483="","",IF(I483&lt;&gt;"READY","NOT RELEASED",IF(Z483=5,"NO BET",IF(OR(AB483&lt;'Config_v6'!$B$16,V483&lt;'Config_v6'!$B$18),"WATCH",IF(Z483=1,"DEFENSIV",IF(Z483=2,"PRUDENT",IF(Z483=3,"MODERAT","RIDICAT")))))))</x:f>
      </x:c>
      <x:c r="AB483" s="10" t="str">
        <x:f>IF(N483="","",MIN(N483,1-S483))</x:f>
      </x:c>
      <x:c r="AC483" s="2" t="str">
        <x:f>IF(AD483&lt;&gt;1,"",COUNTIFS($Z$482:$Z$495,"&lt;"&amp;Z483,$AD$482:$AD$495,1)+COUNTIFS($Z$482:$Z$495,Z483,$AB$482:$AB$495,"&gt;"&amp;AB483,$AD$482:$AD$495,1)+COUNTIFS($Z$482:$Z$495,Z483,$AB$482:$AB$495,AB483,$V$482:$V$495,"&gt;"&amp;V483,$AD$482:$AD$495,1)+COUNTIFS($Z$482:Z483,Z483,$AB$482:AB483,AB483,$V$482:V483,V483,$AD$482:AD483,1))</x:f>
      </x:c>
      <x:c r="AD483" s="2" t="n">
        <x:f>IF(OR(AA483="DEFENSIV",AA483="PRUDENT",AA483="MODERAT",AA483="RIDICAT"),1,0)</x:f>
        <x:v>0</x:v>
      </x:c>
      <x:c r="AE483" s="2" t="str">
        <x:f>IF(AD483&lt;&gt;1,"NO",IF(W483="PASS","YES",IF(W483="OOS PENDING","CONDITIONAL","NO")))</x:f>
        <x:v>NO</x:v>
      </x:c>
      <x:c r="AF483" s="2" t="n">
        <x:f>IF(AND(AD483=1,AC483=1,E483="LIVE"),1,0)</x:f>
        <x:v>0</x:v>
      </x:c>
      <x:c r="AG483" s="2" t="str">
        <x:f>IF(AF483&lt;&gt;1,"",'Dashboard'!P60)</x:f>
      </x:c>
      <x:c r="AH483" s="2" t="str">
        <x:f>IF(B483="","",IF(J483&lt;&gt;"PASS",'Motor_Meciuri'!J40,IF('Calibrare_Linii'!U7&lt;&gt;"VALID","Parametri linie invalizi",IF(L483&gt;'Config_v6'!$B$13,"Dispersie peste limita",IF(W483="WATCH","Failure peste limita",IF(AB483&lt;'Config_v6'!$B$16,"P finala sub prag",IF(V483&lt;'Config_v6'!$B$18,"Confidence sub prag",IF(E483="REPLAY","Exemplu retrospectiv; exclus din Top LIVE",IF(Y483="PASS","DEFENSIV validat",IF(W483="OOS PENDING","Eligibil; calibrare linie in monitorizare","Eligibil"))))))))))</x:f>
      </x:c>
      <x:c r="AI483" s="2" t="str">
        <x:f>IF(B483="","",'Calibrare_Linii'!V7)</x:f>
      </x:c>
      <x:c r="AJ483" s="2" t="str">
        <x:f>IF(B483="","",IF(AND('Calibrare_Linii'!T7="VALIDATED",AND('Calibrare_Linii'!H7=C483,ISNUMBER('Calibrare_Linii'!J7),'Calibrare_Linii'!J7&lt;='Input_Meci'!G40)),"DEFENSIVE VALIDATED",IF(AND('Calibrare_Linii'!S7="VALIDATED",AND('Calibrare_Linii'!H7=C483,ISNUMBER('Calibrare_Linii'!J7),'Calibrare_Linii'!J7&lt;='Input_Meci'!G40)),"TAIL VALIDATED","OOS PENDING")))</x:f>
      </x:c>
      <x:c r="AK483" s="2" t="n">
        <x:f>IF(J483&lt;&gt;"PASS",0,'Motor_Meciuri'!BR40)</x:f>
        <x:v>0</x:v>
      </x:c>
      <x:c r="AL483" s="2" t="n">
        <x:f>IF(J483&lt;&gt;"PASS",0,'Motor_Meciuri'!BS40)</x:f>
        <x:v>0</x:v>
      </x:c>
      <x:c r="AM483" s="2" t="n">
        <x:f>IF(J483&lt;&gt;"PASS",0,'Motor_Meciuri'!BT40)</x:f>
        <x:v>0</x:v>
      </x:c>
      <x:c r="AN483" s="2" t="str">
        <x:f>IF(M483="","",MAX(0,'Motor_Meciuri'!BF40-IF(L483&gt;'Config_v6'!$B$12,'Config_v6'!$B$37,IF(L483&gt;'Config_v6'!$B$11,'Config_v6'!$B$36,0))))</x:f>
      </x:c>
    </x:row>
    <x:row r="484" ht="21" customHeight="1">
      <x:c r="A484" s="2" t="n">
        <x:v>35</x:v>
      </x:c>
      <x:c r="B484" s="2" t="str">
        <x:f>IF('Motor_Meciuri'!A40="","",'Motor_Meciuri'!A40)</x:f>
      </x:c>
      <x:c r="C484" s="2" t="str">
        <x:f>IF(B484="","",'Motor_Meciuri'!B40)</x:f>
      </x:c>
      <x:c r="D484" s="2" t="str">
        <x:f>IF(B484="","",'Motor_Meciuri'!D40)</x:f>
      </x:c>
      <x:c r="E484" s="2" t="str">
        <x:f>IF(B484="","",'Motor_Meciuri'!E40)</x:f>
      </x:c>
      <x:c r="F484" s="2" t="str">
        <x:v>O5,5</x:v>
      </x:c>
      <x:c r="G484" s="2" t="str">
        <x:v>OVER</x:v>
      </x:c>
      <x:c r="H484" s="2" t="n">
        <x:v>5</x:v>
      </x:c>
      <x:c r="I484" s="2" t="str">
        <x:f>IF(B484="","",'Motor_Meciuri'!H40)</x:f>
      </x:c>
      <x:c r="J484" s="2" t="str">
        <x:f>IF(B484="","",'Motor_Meciuri'!I40)</x:f>
      </x:c>
      <x:c r="K484" s="11" t="str">
        <x:f>IF(J484&lt;&gt;"PASS","",'Motor_Meciuri'!BD40)</x:f>
      </x:c>
      <x:c r="L484" s="11" t="str">
        <x:f>IF(J484&lt;&gt;"PASS","",'Motor_Meciuri'!AU40)</x:f>
      </x:c>
      <x:c r="M484" s="10" t="str">
        <x:f>IF(NOT(AND(J484="PASS",'Calibrare_Linii'!U8="VALID")),"",1-'Distributie'!AC40)</x:f>
      </x:c>
      <x:c r="N484" s="10" t="str">
        <x:f>IF(M484="","",MAX(0.01,MIN(0.99,0.5+(M484-0.5)*'Motor_Meciuri'!BG40*'Calibrare_Linii'!D8)))</x:f>
      </x:c>
      <x:c r="O484" s="10" t="str">
        <x:f>IF(M484="","",1-M484)</x:f>
      </x:c>
      <x:c r="P484" s="10" t="str">
        <x:f>IF(OR(NOT(AND(J484="PASS",'Calibrare_Linii'!U8="VALID")),AK484=0),""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*('Istoric_Nativ'!$Q$6:$Q$405&lt;=H484))/AK484)</x:f>
      </x:c>
      <x:c r="Q484" s="10" t="str">
        <x:f>IF(OR(NOT(AND(J484="PASS",'Calibrare_Linii'!U8="VALID")),AL484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M40)+((('Istoric_Nativ'!$E$6:$E$405='Input_Meci'!E40)+('Istoric_Nativ'!$F$6:$F$405='Input_Meci'!E40))&gt;0)*('Istoric_Nativ'!$D$6:$D$405&gt;='Motor_Meciuri'!BN40))&gt;0)*('Istoric_Nativ'!$Q$6:$Q$405&lt;=H484))/AL484)</x:f>
      </x:c>
      <x:c r="R484" s="10" t="str">
        <x:f>IF(OR(NOT(AND(J484="PASS",'Calibrare_Linii'!U8="VALID")),AM484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O40)+((('Istoric_Nativ'!$E$6:$E$405='Input_Meci'!E40)+('Istoric_Nativ'!$F$6:$F$405='Input_Meci'!E40))&gt;0)*('Istoric_Nativ'!$D$6:$D$405&gt;='Motor_Meciuri'!BP40))&gt;0)*('Istoric_Nativ'!$Q$6:$Q$405&lt;=H484))/AM484)</x:f>
      </x:c>
      <x:c r="S484" s="10" t="str">
        <x:f>IF(M484="","",MAX(O484,P484,Q484,R484))</x:f>
      </x:c>
      <x:c r="T484" s="11" t="str">
        <x:f>IF(M484="","",MIN(100,S484*100*'Config_v6'!$B$44+MIN(100,L484/'Config_v6'!$B$13*100)*'Config_v6'!$B$45+(100-'Motor_Meciuri'!BF40)*'Config_v6'!$B$46+'Motor_Meciuri'!BH40*100*'Config_v6'!$B$47))</x:f>
      </x:c>
      <x:c r="U484" s="2" t="str">
        <x:f>IF(T484="","",IF(T484&lt;=20,1,IF(T484&lt;=40,2,IF(T484&lt;=60,3,IF(T484&lt;=80,4,5)))))</x:f>
      </x:c>
      <x:c r="V484" s="2" t="str">
        <x:f>IF(M484="","",MAX(0,'Motor_Meciuri'!BF40-IF(W484="OOS PENDING",'Config_v6'!$B$35,0)-IF(L484&gt;'Config_v6'!$B$12,'Config_v6'!$B$37,IF(L484&gt;'Config_v6'!$B$11,'Config_v6'!$B$36,0))))</x:f>
      </x:c>
      <x:c r="W484" s="2" t="str">
        <x:f>IF(B484="","",IF(I484&lt;&gt;"READY","NOT RELEASED",IF(NOT(AND(J484="PASS",'Calibrare_Linii'!U8="VALID")),"INVALID",IF(NOT(AND('Calibrare_Linii'!S8="VALIDATED",AND('Calibrare_Linii'!H8=C484,ISNUMBER('Calibrare_Linii'!J8),'Calibrare_Linii'!J8&lt;='Input_Meci'!G40))),"OOS PENDING",IF(S484&lt;='Calibrare_Linii'!E8,"PASS",IF(S484&lt;='Calibrare_Linii'!F8,"PENALTY","WATCH"))))))</x:f>
      </x:c>
      <x:c r="X484" s="2" t="str">
        <x:f>IF(M484="","",IF(AND(AND(J484="PASS",'Calibrare_Linii'!U8="VALID"),'Motor_Meciuri'!K40=12,'Motor_Meciuri'!L40=12,'Motor_Meciuri'!M40="NO",'Motor_Meciuri'!BL40='Motor_Meciuri'!C40,AB484&gt;='Config_v6'!$B$50,AN484&gt;='Config_v6'!$B$51,T484&lt;='Config_v6'!$B$52,L484&lt;='Config_v6'!$B$53,ISNUMBER('Calibrare_Linii'!E8),S484&lt;='Calibrare_Linii'!E8,SUM(AK484:AM484)&gt;0),"CANDIDATE","NO"))</x:f>
      </x:c>
      <x:c r="Y484" s="2" t="str">
        <x:f>IF(B484="","",IF(I484&lt;&gt;"READY","NOT RELEASED",IF(AND(X484="CANDIDATE",V484&gt;='Config_v6'!$B$51,W484="PASS",'Calibrare_Linii'!T8="VALIDATED",AND('Calibrare_Linii'!H8=C484,ISNUMBER('Calibrare_Linii'!J8),'Calibrare_Linii'!J8&lt;='Input_Meci'!G40)),"PASS",IF(X484="CANDIDATE","OOS PENDING","FAIL"))))</x:f>
      </x:c>
      <x:c r="Z484" s="2" t="str">
        <x:f>IF(B484="","",IF(I484&lt;&gt;"READY","",IF(OR(NOT(AND(J484="PASS",'Calibrare_Linii'!U8="VALID")),L484&gt;'Config_v6'!$B$13,W484="WATCH"),5,IF(Y484="PASS",1,MIN(5,MAX('Config_v6'!$B$42,U484)+IF(W484="PENALTY",1,0))))))</x:f>
      </x:c>
      <x:c r="AA484" s="2" t="str">
        <x:f>IF(B484="","",IF(I484&lt;&gt;"READY","NOT RELEASED",IF(Z484=5,"NO BET",IF(OR(AB484&lt;'Config_v6'!$B$16,V484&lt;'Config_v6'!$B$18),"WATCH",IF(Z484=1,"DEFENSIV",IF(Z484=2,"PRUDENT",IF(Z484=3,"MODERAT","RIDICAT")))))))</x:f>
      </x:c>
      <x:c r="AB484" s="10" t="str">
        <x:f>IF(N484="","",MIN(N484,1-S484))</x:f>
      </x:c>
      <x:c r="AC484" s="2" t="str">
        <x:f>IF(AD484&lt;&gt;1,"",COUNTIFS($Z$482:$Z$495,"&lt;"&amp;Z484,$AD$482:$AD$495,1)+COUNTIFS($Z$482:$Z$495,Z484,$AB$482:$AB$495,"&gt;"&amp;AB484,$AD$482:$AD$495,1)+COUNTIFS($Z$482:$Z$495,Z484,$AB$482:$AB$495,AB484,$V$482:$V$495,"&gt;"&amp;V484,$AD$482:$AD$495,1)+COUNTIFS($Z$482:Z484,Z484,$AB$482:AB484,AB484,$V$482:V484,V484,$AD$482:AD484,1))</x:f>
      </x:c>
      <x:c r="AD484" s="2" t="n">
        <x:f>IF(OR(AA484="DEFENSIV",AA484="PRUDENT",AA484="MODERAT",AA484="RIDICAT"),1,0)</x:f>
        <x:v>0</x:v>
      </x:c>
      <x:c r="AE484" s="2" t="str">
        <x:f>IF(AD484&lt;&gt;1,"NO",IF(W484="PASS","YES",IF(W484="OOS PENDING","CONDITIONAL","NO")))</x:f>
        <x:v>NO</x:v>
      </x:c>
      <x:c r="AF484" s="2" t="n">
        <x:f>IF(AND(AD484=1,AC484=1,E484="LIVE"),1,0)</x:f>
        <x:v>0</x:v>
      </x:c>
      <x:c r="AG484" s="2" t="str">
        <x:f>IF(AF484&lt;&gt;1,"",'Dashboard'!P60)</x:f>
      </x:c>
      <x:c r="AH484" s="2" t="str">
        <x:f>IF(B484="","",IF(J484&lt;&gt;"PASS",'Motor_Meciuri'!J40,IF('Calibrare_Linii'!U8&lt;&gt;"VALID","Parametri linie invalizi",IF(L484&gt;'Config_v6'!$B$13,"Dispersie peste limita",IF(W484="WATCH","Failure peste limita",IF(AB484&lt;'Config_v6'!$B$16,"P finala sub prag",IF(V484&lt;'Config_v6'!$B$18,"Confidence sub prag",IF(E484="REPLAY","Exemplu retrospectiv; exclus din Top LIVE",IF(Y484="PASS","DEFENSIV validat",IF(W484="OOS PENDING","Eligibil; calibrare linie in monitorizare","Eligibil"))))))))))</x:f>
      </x:c>
      <x:c r="AI484" s="2" t="str">
        <x:f>IF(B484="","",'Calibrare_Linii'!V8)</x:f>
      </x:c>
      <x:c r="AJ484" s="2" t="str">
        <x:f>IF(B484="","",IF(AND('Calibrare_Linii'!T8="VALIDATED",AND('Calibrare_Linii'!H8=C484,ISNUMBER('Calibrare_Linii'!J8),'Calibrare_Linii'!J8&lt;='Input_Meci'!G40)),"DEFENSIVE VALIDATED",IF(AND('Calibrare_Linii'!S8="VALIDATED",AND('Calibrare_Linii'!H8=C484,ISNUMBER('Calibrare_Linii'!J8),'Calibrare_Linii'!J8&lt;='Input_Meci'!G40)),"TAIL VALIDATED","OOS PENDING")))</x:f>
      </x:c>
      <x:c r="AK484" s="2" t="n">
        <x:f>IF(J484&lt;&gt;"PASS",0,'Motor_Meciuri'!BR40)</x:f>
        <x:v>0</x:v>
      </x:c>
      <x:c r="AL484" s="2" t="n">
        <x:f>IF(J484&lt;&gt;"PASS",0,'Motor_Meciuri'!BS40)</x:f>
        <x:v>0</x:v>
      </x:c>
      <x:c r="AM484" s="2" t="n">
        <x:f>IF(J484&lt;&gt;"PASS",0,'Motor_Meciuri'!BT40)</x:f>
        <x:v>0</x:v>
      </x:c>
      <x:c r="AN484" s="2" t="str">
        <x:f>IF(M484="","",MAX(0,'Motor_Meciuri'!BF40-IF(L484&gt;'Config_v6'!$B$12,'Config_v6'!$B$37,IF(L484&gt;'Config_v6'!$B$11,'Config_v6'!$B$36,0))))</x:f>
      </x:c>
    </x:row>
    <x:row r="485" ht="21" customHeight="1">
      <x:c r="A485" s="2" t="n">
        <x:v>35</x:v>
      </x:c>
      <x:c r="B485" s="2" t="str">
        <x:f>IF('Motor_Meciuri'!A40="","",'Motor_Meciuri'!A40)</x:f>
      </x:c>
      <x:c r="C485" s="2" t="str">
        <x:f>IF(B485="","",'Motor_Meciuri'!B40)</x:f>
      </x:c>
      <x:c r="D485" s="2" t="str">
        <x:f>IF(B485="","",'Motor_Meciuri'!D40)</x:f>
      </x:c>
      <x:c r="E485" s="2" t="str">
        <x:f>IF(B485="","",'Motor_Meciuri'!E40)</x:f>
      </x:c>
      <x:c r="F485" s="2" t="str">
        <x:v>O6,5</x:v>
      </x:c>
      <x:c r="G485" s="2" t="str">
        <x:v>OVER</x:v>
      </x:c>
      <x:c r="H485" s="2" t="n">
        <x:v>6</x:v>
      </x:c>
      <x:c r="I485" s="2" t="str">
        <x:f>IF(B485="","",'Motor_Meciuri'!H40)</x:f>
      </x:c>
      <x:c r="J485" s="2" t="str">
        <x:f>IF(B485="","",'Motor_Meciuri'!I40)</x:f>
      </x:c>
      <x:c r="K485" s="11" t="str">
        <x:f>IF(J485&lt;&gt;"PASS","",'Motor_Meciuri'!BD40)</x:f>
      </x:c>
      <x:c r="L485" s="11" t="str">
        <x:f>IF(J485&lt;&gt;"PASS","",'Motor_Meciuri'!AU40)</x:f>
      </x:c>
      <x:c r="M485" s="10" t="str">
        <x:f>IF(NOT(AND(J485="PASS",'Calibrare_Linii'!U9="VALID")),"",1-'Distributie'!AD40)</x:f>
      </x:c>
      <x:c r="N485" s="10" t="str">
        <x:f>IF(M485="","",MAX(0.01,MIN(0.99,0.5+(M485-0.5)*'Motor_Meciuri'!BG40*'Calibrare_Linii'!D9)))</x:f>
      </x:c>
      <x:c r="O485" s="10" t="str">
        <x:f>IF(M485="","",1-M485)</x:f>
      </x:c>
      <x:c r="P485" s="10" t="str">
        <x:f>IF(OR(NOT(AND(J485="PASS",'Calibrare_Linii'!U9="VALID")),AK485=0),""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*('Istoric_Nativ'!$Q$6:$Q$405&lt;=H485))/AK485)</x:f>
      </x:c>
      <x:c r="Q485" s="10" t="str">
        <x:f>IF(OR(NOT(AND(J485="PASS",'Calibrare_Linii'!U9="VALID")),AL485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M40)+((('Istoric_Nativ'!$E$6:$E$405='Input_Meci'!E40)+('Istoric_Nativ'!$F$6:$F$405='Input_Meci'!E40))&gt;0)*('Istoric_Nativ'!$D$6:$D$405&gt;='Motor_Meciuri'!BN40))&gt;0)*('Istoric_Nativ'!$Q$6:$Q$405&lt;=H485))/AL485)</x:f>
      </x:c>
      <x:c r="R485" s="10" t="str">
        <x:f>IF(OR(NOT(AND(J485="PASS",'Calibrare_Linii'!U9="VALID")),AM485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O40)+((('Istoric_Nativ'!$E$6:$E$405='Input_Meci'!E40)+('Istoric_Nativ'!$F$6:$F$405='Input_Meci'!E40))&gt;0)*('Istoric_Nativ'!$D$6:$D$405&gt;='Motor_Meciuri'!BP40))&gt;0)*('Istoric_Nativ'!$Q$6:$Q$405&lt;=H485))/AM485)</x:f>
      </x:c>
      <x:c r="S485" s="10" t="str">
        <x:f>IF(M485="","",MAX(O485,P485,Q485,R485))</x:f>
      </x:c>
      <x:c r="T485" s="11" t="str">
        <x:f>IF(M485="","",MIN(100,S485*100*'Config_v6'!$B$44+MIN(100,L485/'Config_v6'!$B$13*100)*'Config_v6'!$B$45+(100-'Motor_Meciuri'!BF40)*'Config_v6'!$B$46+'Motor_Meciuri'!BH40*100*'Config_v6'!$B$47))</x:f>
      </x:c>
      <x:c r="U485" s="2" t="str">
        <x:f>IF(T485="","",IF(T485&lt;=20,1,IF(T485&lt;=40,2,IF(T485&lt;=60,3,IF(T485&lt;=80,4,5)))))</x:f>
      </x:c>
      <x:c r="V485" s="2" t="str">
        <x:f>IF(M485="","",MAX(0,'Motor_Meciuri'!BF40-IF(W485="OOS PENDING",'Config_v6'!$B$35,0)-IF(L485&gt;'Config_v6'!$B$12,'Config_v6'!$B$37,IF(L485&gt;'Config_v6'!$B$11,'Config_v6'!$B$36,0))))</x:f>
      </x:c>
      <x:c r="W485" s="2" t="str">
        <x:f>IF(B485="","",IF(I485&lt;&gt;"READY","NOT RELEASED",IF(NOT(AND(J485="PASS",'Calibrare_Linii'!U9="VALID")),"INVALID",IF(NOT(AND('Calibrare_Linii'!S9="VALIDATED",AND('Calibrare_Linii'!H9=C485,ISNUMBER('Calibrare_Linii'!J9),'Calibrare_Linii'!J9&lt;='Input_Meci'!G40))),"OOS PENDING",IF(S485&lt;='Calibrare_Linii'!E9,"PASS",IF(S485&lt;='Calibrare_Linii'!F9,"PENALTY","WATCH"))))))</x:f>
      </x:c>
      <x:c r="X485" s="2" t="str">
        <x:f>IF(M485="","",IF(AND(AND(J485="PASS",'Calibrare_Linii'!U9="VALID"),'Motor_Meciuri'!K40=12,'Motor_Meciuri'!L40=12,'Motor_Meciuri'!M40="NO",'Motor_Meciuri'!BL40='Motor_Meciuri'!C40,AB485&gt;='Config_v6'!$B$50,AN485&gt;='Config_v6'!$B$51,T485&lt;='Config_v6'!$B$52,L485&lt;='Config_v6'!$B$53,ISNUMBER('Calibrare_Linii'!E9),S485&lt;='Calibrare_Linii'!E9,SUM(AK485:AM485)&gt;0),"CANDIDATE","NO"))</x:f>
      </x:c>
      <x:c r="Y485" s="2" t="str">
        <x:f>IF(B485="","",IF(I485&lt;&gt;"READY","NOT RELEASED",IF(AND(X485="CANDIDATE",V485&gt;='Config_v6'!$B$51,W485="PASS",'Calibrare_Linii'!T9="VALIDATED",AND('Calibrare_Linii'!H9=C485,ISNUMBER('Calibrare_Linii'!J9),'Calibrare_Linii'!J9&lt;='Input_Meci'!G40)),"PASS",IF(X485="CANDIDATE","OOS PENDING","FAIL"))))</x:f>
      </x:c>
      <x:c r="Z485" s="2" t="str">
        <x:f>IF(B485="","",IF(I485&lt;&gt;"READY","",IF(OR(NOT(AND(J485="PASS",'Calibrare_Linii'!U9="VALID")),L485&gt;'Config_v6'!$B$13,W485="WATCH"),5,IF(Y485="PASS",1,MIN(5,MAX('Config_v6'!$B$42,U485)+IF(W485="PENALTY",1,0))))))</x:f>
      </x:c>
      <x:c r="AA485" s="2" t="str">
        <x:f>IF(B485="","",IF(I485&lt;&gt;"READY","NOT RELEASED",IF(Z485=5,"NO BET",IF(OR(AB485&lt;'Config_v6'!$B$16,V485&lt;'Config_v6'!$B$18),"WATCH",IF(Z485=1,"DEFENSIV",IF(Z485=2,"PRUDENT",IF(Z485=3,"MODERAT","RIDICAT")))))))</x:f>
      </x:c>
      <x:c r="AB485" s="10" t="str">
        <x:f>IF(N485="","",MIN(N485,1-S485))</x:f>
      </x:c>
      <x:c r="AC485" s="2" t="str">
        <x:f>IF(AD485&lt;&gt;1,"",COUNTIFS($Z$482:$Z$495,"&lt;"&amp;Z485,$AD$482:$AD$495,1)+COUNTIFS($Z$482:$Z$495,Z485,$AB$482:$AB$495,"&gt;"&amp;AB485,$AD$482:$AD$495,1)+COUNTIFS($Z$482:$Z$495,Z485,$AB$482:$AB$495,AB485,$V$482:$V$495,"&gt;"&amp;V485,$AD$482:$AD$495,1)+COUNTIFS($Z$482:Z485,Z485,$AB$482:AB485,AB485,$V$482:V485,V485,$AD$482:AD485,1))</x:f>
      </x:c>
      <x:c r="AD485" s="2" t="n">
        <x:f>IF(OR(AA485="DEFENSIV",AA485="PRUDENT",AA485="MODERAT",AA485="RIDICAT"),1,0)</x:f>
        <x:v>0</x:v>
      </x:c>
      <x:c r="AE485" s="2" t="str">
        <x:f>IF(AD485&lt;&gt;1,"NO",IF(W485="PASS","YES",IF(W485="OOS PENDING","CONDITIONAL","NO")))</x:f>
        <x:v>NO</x:v>
      </x:c>
      <x:c r="AF485" s="2" t="n">
        <x:f>IF(AND(AD485=1,AC485=1,E485="LIVE"),1,0)</x:f>
        <x:v>0</x:v>
      </x:c>
      <x:c r="AG485" s="2" t="str">
        <x:f>IF(AF485&lt;&gt;1,"",'Dashboard'!P60)</x:f>
      </x:c>
      <x:c r="AH485" s="2" t="str">
        <x:f>IF(B485="","",IF(J485&lt;&gt;"PASS",'Motor_Meciuri'!J40,IF('Calibrare_Linii'!U9&lt;&gt;"VALID","Parametri linie invalizi",IF(L485&gt;'Config_v6'!$B$13,"Dispersie peste limita",IF(W485="WATCH","Failure peste limita",IF(AB485&lt;'Config_v6'!$B$16,"P finala sub prag",IF(V485&lt;'Config_v6'!$B$18,"Confidence sub prag",IF(E485="REPLAY","Exemplu retrospectiv; exclus din Top LIVE",IF(Y485="PASS","DEFENSIV validat",IF(W485="OOS PENDING","Eligibil; calibrare linie in monitorizare","Eligibil"))))))))))</x:f>
      </x:c>
      <x:c r="AI485" s="2" t="str">
        <x:f>IF(B485="","",'Calibrare_Linii'!V9)</x:f>
      </x:c>
      <x:c r="AJ485" s="2" t="str">
        <x:f>IF(B485="","",IF(AND('Calibrare_Linii'!T9="VALIDATED",AND('Calibrare_Linii'!H9=C485,ISNUMBER('Calibrare_Linii'!J9),'Calibrare_Linii'!J9&lt;='Input_Meci'!G40)),"DEFENSIVE VALIDATED",IF(AND('Calibrare_Linii'!S9="VALIDATED",AND('Calibrare_Linii'!H9=C485,ISNUMBER('Calibrare_Linii'!J9),'Calibrare_Linii'!J9&lt;='Input_Meci'!G40)),"TAIL VALIDATED","OOS PENDING")))</x:f>
      </x:c>
      <x:c r="AK485" s="2" t="n">
        <x:f>IF(J485&lt;&gt;"PASS",0,'Motor_Meciuri'!BR40)</x:f>
        <x:v>0</x:v>
      </x:c>
      <x:c r="AL485" s="2" t="n">
        <x:f>IF(J485&lt;&gt;"PASS",0,'Motor_Meciuri'!BS40)</x:f>
        <x:v>0</x:v>
      </x:c>
      <x:c r="AM485" s="2" t="n">
        <x:f>IF(J485&lt;&gt;"PASS",0,'Motor_Meciuri'!BT40)</x:f>
        <x:v>0</x:v>
      </x:c>
      <x:c r="AN485" s="2" t="str">
        <x:f>IF(M485="","",MAX(0,'Motor_Meciuri'!BF40-IF(L485&gt;'Config_v6'!$B$12,'Config_v6'!$B$37,IF(L485&gt;'Config_v6'!$B$11,'Config_v6'!$B$36,0))))</x:f>
      </x:c>
    </x:row>
    <x:row r="486" ht="21" customHeight="1">
      <x:c r="A486" s="2" t="n">
        <x:v>35</x:v>
      </x:c>
      <x:c r="B486" s="2" t="str">
        <x:f>IF('Motor_Meciuri'!A40="","",'Motor_Meciuri'!A40)</x:f>
      </x:c>
      <x:c r="C486" s="2" t="str">
        <x:f>IF(B486="","",'Motor_Meciuri'!B40)</x:f>
      </x:c>
      <x:c r="D486" s="2" t="str">
        <x:f>IF(B486="","",'Motor_Meciuri'!D40)</x:f>
      </x:c>
      <x:c r="E486" s="2" t="str">
        <x:f>IF(B486="","",'Motor_Meciuri'!E40)</x:f>
      </x:c>
      <x:c r="F486" s="2" t="str">
        <x:v>O7,5</x:v>
      </x:c>
      <x:c r="G486" s="2" t="str">
        <x:v>OVER</x:v>
      </x:c>
      <x:c r="H486" s="2" t="n">
        <x:v>7</x:v>
      </x:c>
      <x:c r="I486" s="2" t="str">
        <x:f>IF(B486="","",'Motor_Meciuri'!H40)</x:f>
      </x:c>
      <x:c r="J486" s="2" t="str">
        <x:f>IF(B486="","",'Motor_Meciuri'!I40)</x:f>
      </x:c>
      <x:c r="K486" s="11" t="str">
        <x:f>IF(J486&lt;&gt;"PASS","",'Motor_Meciuri'!BD40)</x:f>
      </x:c>
      <x:c r="L486" s="11" t="str">
        <x:f>IF(J486&lt;&gt;"PASS","",'Motor_Meciuri'!AU40)</x:f>
      </x:c>
      <x:c r="M486" s="10" t="str">
        <x:f>IF(NOT(AND(J486="PASS",'Calibrare_Linii'!U10="VALID")),"",1-'Distributie'!AE40)</x:f>
      </x:c>
      <x:c r="N486" s="10" t="str">
        <x:f>IF(M486="","",MAX(0.01,MIN(0.99,0.5+(M486-0.5)*'Motor_Meciuri'!BG40*'Calibrare_Linii'!D10)))</x:f>
      </x:c>
      <x:c r="O486" s="10" t="str">
        <x:f>IF(M486="","",1-M486)</x:f>
      </x:c>
      <x:c r="P486" s="10" t="str">
        <x:f>IF(OR(NOT(AND(J486="PASS",'Calibrare_Linii'!U10="VALID")),AK486=0),""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*('Istoric_Nativ'!$Q$6:$Q$405&lt;=H486))/AK486)</x:f>
      </x:c>
      <x:c r="Q486" s="10" t="str">
        <x:f>IF(OR(NOT(AND(J486="PASS",'Calibrare_Linii'!U10="VALID")),AL486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M40)+((('Istoric_Nativ'!$E$6:$E$405='Input_Meci'!E40)+('Istoric_Nativ'!$F$6:$F$405='Input_Meci'!E40))&gt;0)*('Istoric_Nativ'!$D$6:$D$405&gt;='Motor_Meciuri'!BN40))&gt;0)*('Istoric_Nativ'!$Q$6:$Q$405&lt;=H486))/AL486)</x:f>
      </x:c>
      <x:c r="R486" s="10" t="str">
        <x:f>IF(OR(NOT(AND(J486="PASS",'Calibrare_Linii'!U10="VALID")),AM486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O40)+((('Istoric_Nativ'!$E$6:$E$405='Input_Meci'!E40)+('Istoric_Nativ'!$F$6:$F$405='Input_Meci'!E40))&gt;0)*('Istoric_Nativ'!$D$6:$D$405&gt;='Motor_Meciuri'!BP40))&gt;0)*('Istoric_Nativ'!$Q$6:$Q$405&lt;=H486))/AM486)</x:f>
      </x:c>
      <x:c r="S486" s="10" t="str">
        <x:f>IF(M486="","",MAX(O486,P486,Q486,R486))</x:f>
      </x:c>
      <x:c r="T486" s="11" t="str">
        <x:f>IF(M486="","",MIN(100,S486*100*'Config_v6'!$B$44+MIN(100,L486/'Config_v6'!$B$13*100)*'Config_v6'!$B$45+(100-'Motor_Meciuri'!BF40)*'Config_v6'!$B$46+'Motor_Meciuri'!BH40*100*'Config_v6'!$B$47))</x:f>
      </x:c>
      <x:c r="U486" s="2" t="str">
        <x:f>IF(T486="","",IF(T486&lt;=20,1,IF(T486&lt;=40,2,IF(T486&lt;=60,3,IF(T486&lt;=80,4,5)))))</x:f>
      </x:c>
      <x:c r="V486" s="2" t="str">
        <x:f>IF(M486="","",MAX(0,'Motor_Meciuri'!BF40-IF(W486="OOS PENDING",'Config_v6'!$B$35,0)-IF(L486&gt;'Config_v6'!$B$12,'Config_v6'!$B$37,IF(L486&gt;'Config_v6'!$B$11,'Config_v6'!$B$36,0))))</x:f>
      </x:c>
      <x:c r="W486" s="2" t="str">
        <x:f>IF(B486="","",IF(I486&lt;&gt;"READY","NOT RELEASED",IF(NOT(AND(J486="PASS",'Calibrare_Linii'!U10="VALID")),"INVALID",IF(NOT(AND('Calibrare_Linii'!S10="VALIDATED",AND('Calibrare_Linii'!H10=C486,ISNUMBER('Calibrare_Linii'!J10),'Calibrare_Linii'!J10&lt;='Input_Meci'!G40))),"OOS PENDING",IF(S486&lt;='Calibrare_Linii'!E10,"PASS",IF(S486&lt;='Calibrare_Linii'!F10,"PENALTY","WATCH"))))))</x:f>
      </x:c>
      <x:c r="X486" s="2" t="str">
        <x:f>IF(M486="","",IF(AND(AND(J486="PASS",'Calibrare_Linii'!U10="VALID"),'Motor_Meciuri'!K40=12,'Motor_Meciuri'!L40=12,'Motor_Meciuri'!M40="NO",'Motor_Meciuri'!BL40='Motor_Meciuri'!C40,AB486&gt;='Config_v6'!$B$50,AN486&gt;='Config_v6'!$B$51,T486&lt;='Config_v6'!$B$52,L486&lt;='Config_v6'!$B$53,ISNUMBER('Calibrare_Linii'!E10),S486&lt;='Calibrare_Linii'!E10,SUM(AK486:AM486)&gt;0),"CANDIDATE","NO"))</x:f>
      </x:c>
      <x:c r="Y486" s="2" t="str">
        <x:f>IF(B486="","",IF(I486&lt;&gt;"READY","NOT RELEASED",IF(AND(X486="CANDIDATE",V486&gt;='Config_v6'!$B$51,W486="PASS",'Calibrare_Linii'!T10="VALIDATED",AND('Calibrare_Linii'!H10=C486,ISNUMBER('Calibrare_Linii'!J10),'Calibrare_Linii'!J10&lt;='Input_Meci'!G40)),"PASS",IF(X486="CANDIDATE","OOS PENDING","FAIL"))))</x:f>
      </x:c>
      <x:c r="Z486" s="2" t="str">
        <x:f>IF(B486="","",IF(I486&lt;&gt;"READY","",IF(OR(NOT(AND(J486="PASS",'Calibrare_Linii'!U10="VALID")),L486&gt;'Config_v6'!$B$13,W486="WATCH"),5,IF(Y486="PASS",1,MIN(5,MAX('Config_v6'!$B$42,U486)+IF(W486="PENALTY",1,0))))))</x:f>
      </x:c>
      <x:c r="AA486" s="2" t="str">
        <x:f>IF(B486="","",IF(I486&lt;&gt;"READY","NOT RELEASED",IF(Z486=5,"NO BET",IF(OR(AB486&lt;'Config_v6'!$B$16,V486&lt;'Config_v6'!$B$18),"WATCH",IF(Z486=1,"DEFENSIV",IF(Z486=2,"PRUDENT",IF(Z486=3,"MODERAT","RIDICAT")))))))</x:f>
      </x:c>
      <x:c r="AB486" s="10" t="str">
        <x:f>IF(N486="","",MIN(N486,1-S486))</x:f>
      </x:c>
      <x:c r="AC486" s="2" t="str">
        <x:f>IF(AD486&lt;&gt;1,"",COUNTIFS($Z$482:$Z$495,"&lt;"&amp;Z486,$AD$482:$AD$495,1)+COUNTIFS($Z$482:$Z$495,Z486,$AB$482:$AB$495,"&gt;"&amp;AB486,$AD$482:$AD$495,1)+COUNTIFS($Z$482:$Z$495,Z486,$AB$482:$AB$495,AB486,$V$482:$V$495,"&gt;"&amp;V486,$AD$482:$AD$495,1)+COUNTIFS($Z$482:Z486,Z486,$AB$482:AB486,AB486,$V$482:V486,V486,$AD$482:AD486,1))</x:f>
      </x:c>
      <x:c r="AD486" s="2" t="n">
        <x:f>IF(OR(AA486="DEFENSIV",AA486="PRUDENT",AA486="MODERAT",AA486="RIDICAT"),1,0)</x:f>
        <x:v>0</x:v>
      </x:c>
      <x:c r="AE486" s="2" t="str">
        <x:f>IF(AD486&lt;&gt;1,"NO",IF(W486="PASS","YES",IF(W486="OOS PENDING","CONDITIONAL","NO")))</x:f>
        <x:v>NO</x:v>
      </x:c>
      <x:c r="AF486" s="2" t="n">
        <x:f>IF(AND(AD486=1,AC486=1,E486="LIVE"),1,0)</x:f>
        <x:v>0</x:v>
      </x:c>
      <x:c r="AG486" s="2" t="str">
        <x:f>IF(AF486&lt;&gt;1,"",'Dashboard'!P60)</x:f>
      </x:c>
      <x:c r="AH486" s="2" t="str">
        <x:f>IF(B486="","",IF(J486&lt;&gt;"PASS",'Motor_Meciuri'!J40,IF('Calibrare_Linii'!U10&lt;&gt;"VALID","Parametri linie invalizi",IF(L486&gt;'Config_v6'!$B$13,"Dispersie peste limita",IF(W486="WATCH","Failure peste limita",IF(AB486&lt;'Config_v6'!$B$16,"P finala sub prag",IF(V486&lt;'Config_v6'!$B$18,"Confidence sub prag",IF(E486="REPLAY","Exemplu retrospectiv; exclus din Top LIVE",IF(Y486="PASS","DEFENSIV validat",IF(W486="OOS PENDING","Eligibil; calibrare linie in monitorizare","Eligibil"))))))))))</x:f>
      </x:c>
      <x:c r="AI486" s="2" t="str">
        <x:f>IF(B486="","",'Calibrare_Linii'!V10)</x:f>
      </x:c>
      <x:c r="AJ486" s="2" t="str">
        <x:f>IF(B486="","",IF(AND('Calibrare_Linii'!T10="VALIDATED",AND('Calibrare_Linii'!H10=C486,ISNUMBER('Calibrare_Linii'!J10),'Calibrare_Linii'!J10&lt;='Input_Meci'!G40)),"DEFENSIVE VALIDATED",IF(AND('Calibrare_Linii'!S10="VALIDATED",AND('Calibrare_Linii'!H10=C486,ISNUMBER('Calibrare_Linii'!J10),'Calibrare_Linii'!J10&lt;='Input_Meci'!G40)),"TAIL VALIDATED","OOS PENDING")))</x:f>
      </x:c>
      <x:c r="AK486" s="2" t="n">
        <x:f>IF(J486&lt;&gt;"PASS",0,'Motor_Meciuri'!BR40)</x:f>
        <x:v>0</x:v>
      </x:c>
      <x:c r="AL486" s="2" t="n">
        <x:f>IF(J486&lt;&gt;"PASS",0,'Motor_Meciuri'!BS40)</x:f>
        <x:v>0</x:v>
      </x:c>
      <x:c r="AM486" s="2" t="n">
        <x:f>IF(J486&lt;&gt;"PASS",0,'Motor_Meciuri'!BT40)</x:f>
        <x:v>0</x:v>
      </x:c>
      <x:c r="AN486" s="2" t="str">
        <x:f>IF(M486="","",MAX(0,'Motor_Meciuri'!BF40-IF(L486&gt;'Config_v6'!$B$12,'Config_v6'!$B$37,IF(L486&gt;'Config_v6'!$B$11,'Config_v6'!$B$36,0))))</x:f>
      </x:c>
    </x:row>
    <x:row r="487" ht="21" customHeight="1">
      <x:c r="A487" s="2" t="n">
        <x:v>35</x:v>
      </x:c>
      <x:c r="B487" s="2" t="str">
        <x:f>IF('Motor_Meciuri'!A40="","",'Motor_Meciuri'!A40)</x:f>
      </x:c>
      <x:c r="C487" s="2" t="str">
        <x:f>IF(B487="","",'Motor_Meciuri'!B40)</x:f>
      </x:c>
      <x:c r="D487" s="2" t="str">
        <x:f>IF(B487="","",'Motor_Meciuri'!D40)</x:f>
      </x:c>
      <x:c r="E487" s="2" t="str">
        <x:f>IF(B487="","",'Motor_Meciuri'!E40)</x:f>
      </x:c>
      <x:c r="F487" s="2" t="str">
        <x:v>O8,5</x:v>
      </x:c>
      <x:c r="G487" s="2" t="str">
        <x:v>OVER</x:v>
      </x:c>
      <x:c r="H487" s="2" t="n">
        <x:v>8</x:v>
      </x:c>
      <x:c r="I487" s="2" t="str">
        <x:f>IF(B487="","",'Motor_Meciuri'!H40)</x:f>
      </x:c>
      <x:c r="J487" s="2" t="str">
        <x:f>IF(B487="","",'Motor_Meciuri'!I40)</x:f>
      </x:c>
      <x:c r="K487" s="11" t="str">
        <x:f>IF(J487&lt;&gt;"PASS","",'Motor_Meciuri'!BD40)</x:f>
      </x:c>
      <x:c r="L487" s="11" t="str">
        <x:f>IF(J487&lt;&gt;"PASS","",'Motor_Meciuri'!AU40)</x:f>
      </x:c>
      <x:c r="M487" s="10" t="str">
        <x:f>IF(NOT(AND(J487="PASS",'Calibrare_Linii'!U11="VALID")),"",1-'Distributie'!AF40)</x:f>
      </x:c>
      <x:c r="N487" s="10" t="str">
        <x:f>IF(M487="","",MAX(0.01,MIN(0.99,0.5+(M487-0.5)*'Motor_Meciuri'!BG40*'Calibrare_Linii'!D11)))</x:f>
      </x:c>
      <x:c r="O487" s="10" t="str">
        <x:f>IF(M487="","",1-M487)</x:f>
      </x:c>
      <x:c r="P487" s="10" t="str">
        <x:f>IF(OR(NOT(AND(J487="PASS",'Calibrare_Linii'!U11="VALID")),AK487=0),""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*('Istoric_Nativ'!$Q$6:$Q$405&lt;=H487))/AK487)</x:f>
      </x:c>
      <x:c r="Q487" s="10" t="str">
        <x:f>IF(OR(NOT(AND(J487="PASS",'Calibrare_Linii'!U11="VALID")),AL487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M40)+((('Istoric_Nativ'!$E$6:$E$405='Input_Meci'!E40)+('Istoric_Nativ'!$F$6:$F$405='Input_Meci'!E40))&gt;0)*('Istoric_Nativ'!$D$6:$D$405&gt;='Motor_Meciuri'!BN40))&gt;0)*('Istoric_Nativ'!$Q$6:$Q$405&lt;=H487))/AL487)</x:f>
      </x:c>
      <x:c r="R487" s="10" t="str">
        <x:f>IF(OR(NOT(AND(J487="PASS",'Calibrare_Linii'!U11="VALID")),AM487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O40)+((('Istoric_Nativ'!$E$6:$E$405='Input_Meci'!E40)+('Istoric_Nativ'!$F$6:$F$405='Input_Meci'!E40))&gt;0)*('Istoric_Nativ'!$D$6:$D$405&gt;='Motor_Meciuri'!BP40))&gt;0)*('Istoric_Nativ'!$Q$6:$Q$405&lt;=H487))/AM487)</x:f>
      </x:c>
      <x:c r="S487" s="10" t="str">
        <x:f>IF(M487="","",MAX(O487,P487,Q487,R487))</x:f>
      </x:c>
      <x:c r="T487" s="11" t="str">
        <x:f>IF(M487="","",MIN(100,S487*100*'Config_v6'!$B$44+MIN(100,L487/'Config_v6'!$B$13*100)*'Config_v6'!$B$45+(100-'Motor_Meciuri'!BF40)*'Config_v6'!$B$46+'Motor_Meciuri'!BH40*100*'Config_v6'!$B$47))</x:f>
      </x:c>
      <x:c r="U487" s="2" t="str">
        <x:f>IF(T487="","",IF(T487&lt;=20,1,IF(T487&lt;=40,2,IF(T487&lt;=60,3,IF(T487&lt;=80,4,5)))))</x:f>
      </x:c>
      <x:c r="V487" s="2" t="str">
        <x:f>IF(M487="","",MAX(0,'Motor_Meciuri'!BF40-IF(W487="OOS PENDING",'Config_v6'!$B$35,0)-IF(L487&gt;'Config_v6'!$B$12,'Config_v6'!$B$37,IF(L487&gt;'Config_v6'!$B$11,'Config_v6'!$B$36,0))))</x:f>
      </x:c>
      <x:c r="W487" s="2" t="str">
        <x:f>IF(B487="","",IF(I487&lt;&gt;"READY","NOT RELEASED",IF(NOT(AND(J487="PASS",'Calibrare_Linii'!U11="VALID")),"INVALID",IF(NOT(AND('Calibrare_Linii'!S11="VALIDATED",AND('Calibrare_Linii'!H11=C487,ISNUMBER('Calibrare_Linii'!J11),'Calibrare_Linii'!J11&lt;='Input_Meci'!G40))),"OOS PENDING",IF(S487&lt;='Calibrare_Linii'!E11,"PASS",IF(S487&lt;='Calibrare_Linii'!F11,"PENALTY","WATCH"))))))</x:f>
      </x:c>
      <x:c r="X487" s="2" t="str">
        <x:f>IF(M487="","",IF(AND(AND(J487="PASS",'Calibrare_Linii'!U11="VALID"),'Motor_Meciuri'!K40=12,'Motor_Meciuri'!L40=12,'Motor_Meciuri'!M40="NO",'Motor_Meciuri'!BL40='Motor_Meciuri'!C40,AB487&gt;='Config_v6'!$B$50,AN487&gt;='Config_v6'!$B$51,T487&lt;='Config_v6'!$B$52,L487&lt;='Config_v6'!$B$53,ISNUMBER('Calibrare_Linii'!E11),S487&lt;='Calibrare_Linii'!E11,SUM(AK487:AM487)&gt;0),"CANDIDATE","NO"))</x:f>
      </x:c>
      <x:c r="Y487" s="2" t="str">
        <x:f>IF(B487="","",IF(I487&lt;&gt;"READY","NOT RELEASED",IF(AND(X487="CANDIDATE",V487&gt;='Config_v6'!$B$51,W487="PASS",'Calibrare_Linii'!T11="VALIDATED",AND('Calibrare_Linii'!H11=C487,ISNUMBER('Calibrare_Linii'!J11),'Calibrare_Linii'!J11&lt;='Input_Meci'!G40)),"PASS",IF(X487="CANDIDATE","OOS PENDING","FAIL"))))</x:f>
      </x:c>
      <x:c r="Z487" s="2" t="str">
        <x:f>IF(B487="","",IF(I487&lt;&gt;"READY","",IF(OR(NOT(AND(J487="PASS",'Calibrare_Linii'!U11="VALID")),L487&gt;'Config_v6'!$B$13,W487="WATCH"),5,IF(Y487="PASS",1,MIN(5,MAX('Config_v6'!$B$42,U487)+IF(W487="PENALTY",1,0))))))</x:f>
      </x:c>
      <x:c r="AA487" s="2" t="str">
        <x:f>IF(B487="","",IF(I487&lt;&gt;"READY","NOT RELEASED",IF(Z487=5,"NO BET",IF(OR(AB487&lt;'Config_v6'!$B$16,V487&lt;'Config_v6'!$B$18),"WATCH",IF(Z487=1,"DEFENSIV",IF(Z487=2,"PRUDENT",IF(Z487=3,"MODERAT","RIDICAT")))))))</x:f>
      </x:c>
      <x:c r="AB487" s="10" t="str">
        <x:f>IF(N487="","",MIN(N487,1-S487))</x:f>
      </x:c>
      <x:c r="AC487" s="2" t="str">
        <x:f>IF(AD487&lt;&gt;1,"",COUNTIFS($Z$482:$Z$495,"&lt;"&amp;Z487,$AD$482:$AD$495,1)+COUNTIFS($Z$482:$Z$495,Z487,$AB$482:$AB$495,"&gt;"&amp;AB487,$AD$482:$AD$495,1)+COUNTIFS($Z$482:$Z$495,Z487,$AB$482:$AB$495,AB487,$V$482:$V$495,"&gt;"&amp;V487,$AD$482:$AD$495,1)+COUNTIFS($Z$482:Z487,Z487,$AB$482:AB487,AB487,$V$482:V487,V487,$AD$482:AD487,1))</x:f>
      </x:c>
      <x:c r="AD487" s="2" t="n">
        <x:f>IF(OR(AA487="DEFENSIV",AA487="PRUDENT",AA487="MODERAT",AA487="RIDICAT"),1,0)</x:f>
        <x:v>0</x:v>
      </x:c>
      <x:c r="AE487" s="2" t="str">
        <x:f>IF(AD487&lt;&gt;1,"NO",IF(W487="PASS","YES",IF(W487="OOS PENDING","CONDITIONAL","NO")))</x:f>
        <x:v>NO</x:v>
      </x:c>
      <x:c r="AF487" s="2" t="n">
        <x:f>IF(AND(AD487=1,AC487=1,E487="LIVE"),1,0)</x:f>
        <x:v>0</x:v>
      </x:c>
      <x:c r="AG487" s="2" t="str">
        <x:f>IF(AF487&lt;&gt;1,"",'Dashboard'!P60)</x:f>
      </x:c>
      <x:c r="AH487" s="2" t="str">
        <x:f>IF(B487="","",IF(J487&lt;&gt;"PASS",'Motor_Meciuri'!J40,IF('Calibrare_Linii'!U11&lt;&gt;"VALID","Parametri linie invalizi",IF(L487&gt;'Config_v6'!$B$13,"Dispersie peste limita",IF(W487="WATCH","Failure peste limita",IF(AB487&lt;'Config_v6'!$B$16,"P finala sub prag",IF(V487&lt;'Config_v6'!$B$18,"Confidence sub prag",IF(E487="REPLAY","Exemplu retrospectiv; exclus din Top LIVE",IF(Y487="PASS","DEFENSIV validat",IF(W487="OOS PENDING","Eligibil; calibrare linie in monitorizare","Eligibil"))))))))))</x:f>
      </x:c>
      <x:c r="AI487" s="2" t="str">
        <x:f>IF(B487="","",'Calibrare_Linii'!V11)</x:f>
      </x:c>
      <x:c r="AJ487" s="2" t="str">
        <x:f>IF(B487="","",IF(AND('Calibrare_Linii'!T11="VALIDATED",AND('Calibrare_Linii'!H11=C487,ISNUMBER('Calibrare_Linii'!J11),'Calibrare_Linii'!J11&lt;='Input_Meci'!G40)),"DEFENSIVE VALIDATED",IF(AND('Calibrare_Linii'!S11="VALIDATED",AND('Calibrare_Linii'!H11=C487,ISNUMBER('Calibrare_Linii'!J11),'Calibrare_Linii'!J11&lt;='Input_Meci'!G40)),"TAIL VALIDATED","OOS PENDING")))</x:f>
      </x:c>
      <x:c r="AK487" s="2" t="n">
        <x:f>IF(J487&lt;&gt;"PASS",0,'Motor_Meciuri'!BR40)</x:f>
        <x:v>0</x:v>
      </x:c>
      <x:c r="AL487" s="2" t="n">
        <x:f>IF(J487&lt;&gt;"PASS",0,'Motor_Meciuri'!BS40)</x:f>
        <x:v>0</x:v>
      </x:c>
      <x:c r="AM487" s="2" t="n">
        <x:f>IF(J487&lt;&gt;"PASS",0,'Motor_Meciuri'!BT40)</x:f>
        <x:v>0</x:v>
      </x:c>
      <x:c r="AN487" s="2" t="str">
        <x:f>IF(M487="","",MAX(0,'Motor_Meciuri'!BF40-IF(L487&gt;'Config_v6'!$B$12,'Config_v6'!$B$37,IF(L487&gt;'Config_v6'!$B$11,'Config_v6'!$B$36,0))))</x:f>
      </x:c>
    </x:row>
    <x:row r="488" ht="21" customHeight="1">
      <x:c r="A488" s="2" t="n">
        <x:v>35</x:v>
      </x:c>
      <x:c r="B488" s="2" t="str">
        <x:f>IF('Motor_Meciuri'!A40="","",'Motor_Meciuri'!A40)</x:f>
      </x:c>
      <x:c r="C488" s="2" t="str">
        <x:f>IF(B488="","",'Motor_Meciuri'!B40)</x:f>
      </x:c>
      <x:c r="D488" s="2" t="str">
        <x:f>IF(B488="","",'Motor_Meciuri'!D40)</x:f>
      </x:c>
      <x:c r="E488" s="2" t="str">
        <x:f>IF(B488="","",'Motor_Meciuri'!E40)</x:f>
      </x:c>
      <x:c r="F488" s="2" t="str">
        <x:v>U10,5</x:v>
      </x:c>
      <x:c r="G488" s="2" t="str">
        <x:v>UNDER</x:v>
      </x:c>
      <x:c r="H488" s="2" t="n">
        <x:v>10</x:v>
      </x:c>
      <x:c r="I488" s="2" t="str">
        <x:f>IF(B488="","",'Motor_Meciuri'!H40)</x:f>
      </x:c>
      <x:c r="J488" s="2" t="str">
        <x:f>IF(B488="","",'Motor_Meciuri'!I40)</x:f>
      </x:c>
      <x:c r="K488" s="11" t="str">
        <x:f>IF(J488&lt;&gt;"PASS","",'Motor_Meciuri'!BD40)</x:f>
      </x:c>
      <x:c r="L488" s="11" t="str">
        <x:f>IF(J488&lt;&gt;"PASS","",'Motor_Meciuri'!AU40)</x:f>
      </x:c>
      <x:c r="M488" s="10" t="str">
        <x:f>IF(NOT(AND(J488="PASS",'Calibrare_Linii'!U12="VALID")),"",'Distributie'!AH40)</x:f>
      </x:c>
      <x:c r="N488" s="10" t="str">
        <x:f>IF(M488="","",MAX(0.01,MIN(0.99,0.5+(M488-0.5)*'Motor_Meciuri'!BG40*'Calibrare_Linii'!D12)))</x:f>
      </x:c>
      <x:c r="O488" s="10" t="str">
        <x:f>IF(M488="","",1-M488)</x:f>
      </x:c>
      <x:c r="P488" s="10" t="str">
        <x:f>IF(OR(NOT(AND(J488="PASS",'Calibrare_Linii'!U12="VALID")),AK488=0),""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*('Istoric_Nativ'!$Q$6:$Q$405&gt;H488))/AK488)</x:f>
      </x:c>
      <x:c r="Q488" s="10" t="str">
        <x:f>IF(OR(NOT(AND(J488="PASS",'Calibrare_Linii'!U12="VALID")),AL488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M40)+((('Istoric_Nativ'!$E$6:$E$405='Input_Meci'!E40)+('Istoric_Nativ'!$F$6:$F$405='Input_Meci'!E40))&gt;0)*('Istoric_Nativ'!$D$6:$D$405&gt;='Motor_Meciuri'!BN40))&gt;0)*('Istoric_Nativ'!$Q$6:$Q$405&gt;H488))/AL488)</x:f>
      </x:c>
      <x:c r="R488" s="10" t="str">
        <x:f>IF(OR(NOT(AND(J488="PASS",'Calibrare_Linii'!U12="VALID")),AM488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O40)+((('Istoric_Nativ'!$E$6:$E$405='Input_Meci'!E40)+('Istoric_Nativ'!$F$6:$F$405='Input_Meci'!E40))&gt;0)*('Istoric_Nativ'!$D$6:$D$405&gt;='Motor_Meciuri'!BP40))&gt;0)*('Istoric_Nativ'!$Q$6:$Q$405&gt;H488))/AM488)</x:f>
      </x:c>
      <x:c r="S488" s="10" t="str">
        <x:f>IF(M488="","",MAX(O488,P488,Q488,R488))</x:f>
      </x:c>
      <x:c r="T488" s="11" t="str">
        <x:f>IF(M488="","",MIN(100,S488*100*'Config_v6'!$B$44+MIN(100,L488/'Config_v6'!$B$13*100)*'Config_v6'!$B$45+(100-'Motor_Meciuri'!BF40)*'Config_v6'!$B$46+'Motor_Meciuri'!BH40*100*'Config_v6'!$B$47))</x:f>
      </x:c>
      <x:c r="U488" s="2" t="str">
        <x:f>IF(T488="","",IF(T488&lt;=20,1,IF(T488&lt;=40,2,IF(T488&lt;=60,3,IF(T488&lt;=80,4,5)))))</x:f>
      </x:c>
      <x:c r="V488" s="2" t="str">
        <x:f>IF(M488="","",MAX(0,'Motor_Meciuri'!BF40-IF(W488="OOS PENDING",'Config_v6'!$B$35,0)-IF(L488&gt;'Config_v6'!$B$12,'Config_v6'!$B$37,IF(L488&gt;'Config_v6'!$B$11,'Config_v6'!$B$36,0))))</x:f>
      </x:c>
      <x:c r="W488" s="2" t="str">
        <x:f>IF(B488="","",IF(I488&lt;&gt;"READY","NOT RELEASED",IF(NOT(AND(J488="PASS",'Calibrare_Linii'!U12="VALID")),"INVALID",IF(NOT(AND('Calibrare_Linii'!S12="VALIDATED",AND('Calibrare_Linii'!H12=C488,ISNUMBER('Calibrare_Linii'!J12),'Calibrare_Linii'!J12&lt;='Input_Meci'!G40))),"OOS PENDING",IF(S488&lt;='Calibrare_Linii'!E12,"PASS",IF(S488&lt;='Calibrare_Linii'!F12,"PENALTY","WATCH"))))))</x:f>
      </x:c>
      <x:c r="X488" s="2" t="str">
        <x:f>IF(M488="","",IF(AND(AND(J488="PASS",'Calibrare_Linii'!U12="VALID"),'Motor_Meciuri'!K40=12,'Motor_Meciuri'!L40=12,'Motor_Meciuri'!M40="NO",'Motor_Meciuri'!BL40='Motor_Meciuri'!C40,AB488&gt;='Config_v6'!$B$50,AN488&gt;='Config_v6'!$B$51,T488&lt;='Config_v6'!$B$52,L488&lt;='Config_v6'!$B$53,ISNUMBER('Calibrare_Linii'!E12),S488&lt;='Calibrare_Linii'!E12,SUM(AK488:AM488)&gt;0),"CANDIDATE","NO"))</x:f>
      </x:c>
      <x:c r="Y488" s="2" t="str">
        <x:f>IF(B488="","",IF(I488&lt;&gt;"READY","NOT RELEASED",IF(AND(X488="CANDIDATE",V488&gt;='Config_v6'!$B$51,W488="PASS",'Calibrare_Linii'!T12="VALIDATED",AND('Calibrare_Linii'!H12=C488,ISNUMBER('Calibrare_Linii'!J12),'Calibrare_Linii'!J12&lt;='Input_Meci'!G40)),"PASS",IF(X488="CANDIDATE","OOS PENDING","FAIL"))))</x:f>
      </x:c>
      <x:c r="Z488" s="2" t="str">
        <x:f>IF(B488="","",IF(I488&lt;&gt;"READY","",IF(OR(NOT(AND(J488="PASS",'Calibrare_Linii'!U12="VALID")),L488&gt;'Config_v6'!$B$13,W488="WATCH"),5,IF(Y488="PASS",1,MIN(5,MAX('Config_v6'!$B$42,U488)+IF(W488="PENALTY",1,0))))))</x:f>
      </x:c>
      <x:c r="AA488" s="2" t="str">
        <x:f>IF(B488="","",IF(I488&lt;&gt;"READY","NOT RELEASED",IF(Z488=5,"NO BET",IF(OR(AB488&lt;'Config_v6'!$B$16,V488&lt;'Config_v6'!$B$18),"WATCH",IF(Z488=1,"DEFENSIV",IF(Z488=2,"PRUDENT",IF(Z488=3,"MODERAT","RIDICAT")))))))</x:f>
      </x:c>
      <x:c r="AB488" s="10" t="str">
        <x:f>IF(N488="","",MIN(N488,1-S488))</x:f>
      </x:c>
      <x:c r="AC488" s="2" t="str">
        <x:f>IF(AD488&lt;&gt;1,"",COUNTIFS($Z$482:$Z$495,"&lt;"&amp;Z488,$AD$482:$AD$495,1)+COUNTIFS($Z$482:$Z$495,Z488,$AB$482:$AB$495,"&gt;"&amp;AB488,$AD$482:$AD$495,1)+COUNTIFS($Z$482:$Z$495,Z488,$AB$482:$AB$495,AB488,$V$482:$V$495,"&gt;"&amp;V488,$AD$482:$AD$495,1)+COUNTIFS($Z$482:Z488,Z488,$AB$482:AB488,AB488,$V$482:V488,V488,$AD$482:AD488,1))</x:f>
      </x:c>
      <x:c r="AD488" s="2" t="n">
        <x:f>IF(OR(AA488="DEFENSIV",AA488="PRUDENT",AA488="MODERAT",AA488="RIDICAT"),1,0)</x:f>
        <x:v>0</x:v>
      </x:c>
      <x:c r="AE488" s="2" t="str">
        <x:f>IF(AD488&lt;&gt;1,"NO",IF(W488="PASS","YES",IF(W488="OOS PENDING","CONDITIONAL","NO")))</x:f>
        <x:v>NO</x:v>
      </x:c>
      <x:c r="AF488" s="2" t="n">
        <x:f>IF(AND(AD488=1,AC488=1,E488="LIVE"),1,0)</x:f>
        <x:v>0</x:v>
      </x:c>
      <x:c r="AG488" s="2" t="str">
        <x:f>IF(AF488&lt;&gt;1,"",'Dashboard'!P60)</x:f>
      </x:c>
      <x:c r="AH488" s="2" t="str">
        <x:f>IF(B488="","",IF(J488&lt;&gt;"PASS",'Motor_Meciuri'!J40,IF('Calibrare_Linii'!U12&lt;&gt;"VALID","Parametri linie invalizi",IF(L488&gt;'Config_v6'!$B$13,"Dispersie peste limita",IF(W488="WATCH","Failure peste limita",IF(AB488&lt;'Config_v6'!$B$16,"P finala sub prag",IF(V488&lt;'Config_v6'!$B$18,"Confidence sub prag",IF(E488="REPLAY","Exemplu retrospectiv; exclus din Top LIVE",IF(Y488="PASS","DEFENSIV validat",IF(W488="OOS PENDING","Eligibil; calibrare linie in monitorizare","Eligibil"))))))))))</x:f>
      </x:c>
      <x:c r="AI488" s="2" t="str">
        <x:f>IF(B488="","",'Calibrare_Linii'!V12)</x:f>
      </x:c>
      <x:c r="AJ488" s="2" t="str">
        <x:f>IF(B488="","",IF(AND('Calibrare_Linii'!T12="VALIDATED",AND('Calibrare_Linii'!H12=C488,ISNUMBER('Calibrare_Linii'!J12),'Calibrare_Linii'!J12&lt;='Input_Meci'!G40)),"DEFENSIVE VALIDATED",IF(AND('Calibrare_Linii'!S12="VALIDATED",AND('Calibrare_Linii'!H12=C488,ISNUMBER('Calibrare_Linii'!J12),'Calibrare_Linii'!J12&lt;='Input_Meci'!G40)),"TAIL VALIDATED","OOS PENDING")))</x:f>
      </x:c>
      <x:c r="AK488" s="2" t="n">
        <x:f>IF(J488&lt;&gt;"PASS",0,'Motor_Meciuri'!BR40)</x:f>
        <x:v>0</x:v>
      </x:c>
      <x:c r="AL488" s="2" t="n">
        <x:f>IF(J488&lt;&gt;"PASS",0,'Motor_Meciuri'!BS40)</x:f>
        <x:v>0</x:v>
      </x:c>
      <x:c r="AM488" s="2" t="n">
        <x:f>IF(J488&lt;&gt;"PASS",0,'Motor_Meciuri'!BT40)</x:f>
        <x:v>0</x:v>
      </x:c>
      <x:c r="AN488" s="2" t="str">
        <x:f>IF(M488="","",MAX(0,'Motor_Meciuri'!BF40-IF(L488&gt;'Config_v6'!$B$12,'Config_v6'!$B$37,IF(L488&gt;'Config_v6'!$B$11,'Config_v6'!$B$36,0))))</x:f>
      </x:c>
    </x:row>
    <x:row r="489" ht="21" customHeight="1">
      <x:c r="A489" s="2" t="n">
        <x:v>35</x:v>
      </x:c>
      <x:c r="B489" s="2" t="str">
        <x:f>IF('Motor_Meciuri'!A40="","",'Motor_Meciuri'!A40)</x:f>
      </x:c>
      <x:c r="C489" s="2" t="str">
        <x:f>IF(B489="","",'Motor_Meciuri'!B40)</x:f>
      </x:c>
      <x:c r="D489" s="2" t="str">
        <x:f>IF(B489="","",'Motor_Meciuri'!D40)</x:f>
      </x:c>
      <x:c r="E489" s="2" t="str">
        <x:f>IF(B489="","",'Motor_Meciuri'!E40)</x:f>
      </x:c>
      <x:c r="F489" s="2" t="str">
        <x:v>U11,5</x:v>
      </x:c>
      <x:c r="G489" s="2" t="str">
        <x:v>UNDER</x:v>
      </x:c>
      <x:c r="H489" s="2" t="n">
        <x:v>11</x:v>
      </x:c>
      <x:c r="I489" s="2" t="str">
        <x:f>IF(B489="","",'Motor_Meciuri'!H40)</x:f>
      </x:c>
      <x:c r="J489" s="2" t="str">
        <x:f>IF(B489="","",'Motor_Meciuri'!I40)</x:f>
      </x:c>
      <x:c r="K489" s="11" t="str">
        <x:f>IF(J489&lt;&gt;"PASS","",'Motor_Meciuri'!BD40)</x:f>
      </x:c>
      <x:c r="L489" s="11" t="str">
        <x:f>IF(J489&lt;&gt;"PASS","",'Motor_Meciuri'!AU40)</x:f>
      </x:c>
      <x:c r="M489" s="10" t="str">
        <x:f>IF(NOT(AND(J489="PASS",'Calibrare_Linii'!U13="VALID")),"",'Distributie'!AI40)</x:f>
      </x:c>
      <x:c r="N489" s="10" t="str">
        <x:f>IF(M489="","",MAX(0.01,MIN(0.99,0.5+(M489-0.5)*'Motor_Meciuri'!BG40*'Calibrare_Linii'!D13)))</x:f>
      </x:c>
      <x:c r="O489" s="10" t="str">
        <x:f>IF(M489="","",1-M489)</x:f>
      </x:c>
      <x:c r="P489" s="10" t="str">
        <x:f>IF(OR(NOT(AND(J489="PASS",'Calibrare_Linii'!U13="VALID")),AK489=0),""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*('Istoric_Nativ'!$Q$6:$Q$405&gt;H489))/AK489)</x:f>
      </x:c>
      <x:c r="Q489" s="10" t="str">
        <x:f>IF(OR(NOT(AND(J489="PASS",'Calibrare_Linii'!U13="VALID")),AL489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M40)+((('Istoric_Nativ'!$E$6:$E$405='Input_Meci'!E40)+('Istoric_Nativ'!$F$6:$F$405='Input_Meci'!E40))&gt;0)*('Istoric_Nativ'!$D$6:$D$405&gt;='Motor_Meciuri'!BN40))&gt;0)*('Istoric_Nativ'!$Q$6:$Q$405&gt;H489))/AL489)</x:f>
      </x:c>
      <x:c r="R489" s="10" t="str">
        <x:f>IF(OR(NOT(AND(J489="PASS",'Calibrare_Linii'!U13="VALID")),AM489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O40)+((('Istoric_Nativ'!$E$6:$E$405='Input_Meci'!E40)+('Istoric_Nativ'!$F$6:$F$405='Input_Meci'!E40))&gt;0)*('Istoric_Nativ'!$D$6:$D$405&gt;='Motor_Meciuri'!BP40))&gt;0)*('Istoric_Nativ'!$Q$6:$Q$405&gt;H489))/AM489)</x:f>
      </x:c>
      <x:c r="S489" s="10" t="str">
        <x:f>IF(M489="","",MAX(O489,P489,Q489,R489))</x:f>
      </x:c>
      <x:c r="T489" s="11" t="str">
        <x:f>IF(M489="","",MIN(100,S489*100*'Config_v6'!$B$44+MIN(100,L489/'Config_v6'!$B$13*100)*'Config_v6'!$B$45+(100-'Motor_Meciuri'!BF40)*'Config_v6'!$B$46+'Motor_Meciuri'!BH40*100*'Config_v6'!$B$47))</x:f>
      </x:c>
      <x:c r="U489" s="2" t="str">
        <x:f>IF(T489="","",IF(T489&lt;=20,1,IF(T489&lt;=40,2,IF(T489&lt;=60,3,IF(T489&lt;=80,4,5)))))</x:f>
      </x:c>
      <x:c r="V489" s="2" t="str">
        <x:f>IF(M489="","",MAX(0,'Motor_Meciuri'!BF40-IF(W489="OOS PENDING",'Config_v6'!$B$35,0)-IF(L489&gt;'Config_v6'!$B$12,'Config_v6'!$B$37,IF(L489&gt;'Config_v6'!$B$11,'Config_v6'!$B$36,0))))</x:f>
      </x:c>
      <x:c r="W489" s="2" t="str">
        <x:f>IF(B489="","",IF(I489&lt;&gt;"READY","NOT RELEASED",IF(NOT(AND(J489="PASS",'Calibrare_Linii'!U13="VALID")),"INVALID",IF(NOT(AND('Calibrare_Linii'!S13="VALIDATED",AND('Calibrare_Linii'!H13=C489,ISNUMBER('Calibrare_Linii'!J13),'Calibrare_Linii'!J13&lt;='Input_Meci'!G40))),"OOS PENDING",IF(S489&lt;='Calibrare_Linii'!E13,"PASS",IF(S489&lt;='Calibrare_Linii'!F13,"PENALTY","WATCH"))))))</x:f>
      </x:c>
      <x:c r="X489" s="2" t="str">
        <x:f>IF(M489="","",IF(AND(AND(J489="PASS",'Calibrare_Linii'!U13="VALID"),'Motor_Meciuri'!K40=12,'Motor_Meciuri'!L40=12,'Motor_Meciuri'!M40="NO",'Motor_Meciuri'!BL40='Motor_Meciuri'!C40,AB489&gt;='Config_v6'!$B$50,AN489&gt;='Config_v6'!$B$51,T489&lt;='Config_v6'!$B$52,L489&lt;='Config_v6'!$B$53,ISNUMBER('Calibrare_Linii'!E13),S489&lt;='Calibrare_Linii'!E13,SUM(AK489:AM489)&gt;0),"CANDIDATE","NO"))</x:f>
      </x:c>
      <x:c r="Y489" s="2" t="str">
        <x:f>IF(B489="","",IF(I489&lt;&gt;"READY","NOT RELEASED",IF(AND(X489="CANDIDATE",V489&gt;='Config_v6'!$B$51,W489="PASS",'Calibrare_Linii'!T13="VALIDATED",AND('Calibrare_Linii'!H13=C489,ISNUMBER('Calibrare_Linii'!J13),'Calibrare_Linii'!J13&lt;='Input_Meci'!G40)),"PASS",IF(X489="CANDIDATE","OOS PENDING","FAIL"))))</x:f>
      </x:c>
      <x:c r="Z489" s="2" t="str">
        <x:f>IF(B489="","",IF(I489&lt;&gt;"READY","",IF(OR(NOT(AND(J489="PASS",'Calibrare_Linii'!U13="VALID")),L489&gt;'Config_v6'!$B$13,W489="WATCH"),5,IF(Y489="PASS",1,MIN(5,MAX('Config_v6'!$B$42,U489)+IF(W489="PENALTY",1,0))))))</x:f>
      </x:c>
      <x:c r="AA489" s="2" t="str">
        <x:f>IF(B489="","",IF(I489&lt;&gt;"READY","NOT RELEASED",IF(Z489=5,"NO BET",IF(OR(AB489&lt;'Config_v6'!$B$16,V489&lt;'Config_v6'!$B$18),"WATCH",IF(Z489=1,"DEFENSIV",IF(Z489=2,"PRUDENT",IF(Z489=3,"MODERAT","RIDICAT")))))))</x:f>
      </x:c>
      <x:c r="AB489" s="10" t="str">
        <x:f>IF(N489="","",MIN(N489,1-S489))</x:f>
      </x:c>
      <x:c r="AC489" s="2" t="str">
        <x:f>IF(AD489&lt;&gt;1,"",COUNTIFS($Z$482:$Z$495,"&lt;"&amp;Z489,$AD$482:$AD$495,1)+COUNTIFS($Z$482:$Z$495,Z489,$AB$482:$AB$495,"&gt;"&amp;AB489,$AD$482:$AD$495,1)+COUNTIFS($Z$482:$Z$495,Z489,$AB$482:$AB$495,AB489,$V$482:$V$495,"&gt;"&amp;V489,$AD$482:$AD$495,1)+COUNTIFS($Z$482:Z489,Z489,$AB$482:AB489,AB489,$V$482:V489,V489,$AD$482:AD489,1))</x:f>
      </x:c>
      <x:c r="AD489" s="2" t="n">
        <x:f>IF(OR(AA489="DEFENSIV",AA489="PRUDENT",AA489="MODERAT",AA489="RIDICAT"),1,0)</x:f>
        <x:v>0</x:v>
      </x:c>
      <x:c r="AE489" s="2" t="str">
        <x:f>IF(AD489&lt;&gt;1,"NO",IF(W489="PASS","YES",IF(W489="OOS PENDING","CONDITIONAL","NO")))</x:f>
        <x:v>NO</x:v>
      </x:c>
      <x:c r="AF489" s="2" t="n">
        <x:f>IF(AND(AD489=1,AC489=1,E489="LIVE"),1,0)</x:f>
        <x:v>0</x:v>
      </x:c>
      <x:c r="AG489" s="2" t="str">
        <x:f>IF(AF489&lt;&gt;1,"",'Dashboard'!P60)</x:f>
      </x:c>
      <x:c r="AH489" s="2" t="str">
        <x:f>IF(B489="","",IF(J489&lt;&gt;"PASS",'Motor_Meciuri'!J40,IF('Calibrare_Linii'!U13&lt;&gt;"VALID","Parametri linie invalizi",IF(L489&gt;'Config_v6'!$B$13,"Dispersie peste limita",IF(W489="WATCH","Failure peste limita",IF(AB489&lt;'Config_v6'!$B$16,"P finala sub prag",IF(V489&lt;'Config_v6'!$B$18,"Confidence sub prag",IF(E489="REPLAY","Exemplu retrospectiv; exclus din Top LIVE",IF(Y489="PASS","DEFENSIV validat",IF(W489="OOS PENDING","Eligibil; calibrare linie in monitorizare","Eligibil"))))))))))</x:f>
      </x:c>
      <x:c r="AI489" s="2" t="str">
        <x:f>IF(B489="","",'Calibrare_Linii'!V13)</x:f>
      </x:c>
      <x:c r="AJ489" s="2" t="str">
        <x:f>IF(B489="","",IF(AND('Calibrare_Linii'!T13="VALIDATED",AND('Calibrare_Linii'!H13=C489,ISNUMBER('Calibrare_Linii'!J13),'Calibrare_Linii'!J13&lt;='Input_Meci'!G40)),"DEFENSIVE VALIDATED",IF(AND('Calibrare_Linii'!S13="VALIDATED",AND('Calibrare_Linii'!H13=C489,ISNUMBER('Calibrare_Linii'!J13),'Calibrare_Linii'!J13&lt;='Input_Meci'!G40)),"TAIL VALIDATED","OOS PENDING")))</x:f>
      </x:c>
      <x:c r="AK489" s="2" t="n">
        <x:f>IF(J489&lt;&gt;"PASS",0,'Motor_Meciuri'!BR40)</x:f>
        <x:v>0</x:v>
      </x:c>
      <x:c r="AL489" s="2" t="n">
        <x:f>IF(J489&lt;&gt;"PASS",0,'Motor_Meciuri'!BS40)</x:f>
        <x:v>0</x:v>
      </x:c>
      <x:c r="AM489" s="2" t="n">
        <x:f>IF(J489&lt;&gt;"PASS",0,'Motor_Meciuri'!BT40)</x:f>
        <x:v>0</x:v>
      </x:c>
      <x:c r="AN489" s="2" t="str">
        <x:f>IF(M489="","",MAX(0,'Motor_Meciuri'!BF40-IF(L489&gt;'Config_v6'!$B$12,'Config_v6'!$B$37,IF(L489&gt;'Config_v6'!$B$11,'Config_v6'!$B$36,0))))</x:f>
      </x:c>
    </x:row>
    <x:row r="490" ht="21" customHeight="1">
      <x:c r="A490" s="2" t="n">
        <x:v>35</x:v>
      </x:c>
      <x:c r="B490" s="2" t="str">
        <x:f>IF('Motor_Meciuri'!A40="","",'Motor_Meciuri'!A40)</x:f>
      </x:c>
      <x:c r="C490" s="2" t="str">
        <x:f>IF(B490="","",'Motor_Meciuri'!B40)</x:f>
      </x:c>
      <x:c r="D490" s="2" t="str">
        <x:f>IF(B490="","",'Motor_Meciuri'!D40)</x:f>
      </x:c>
      <x:c r="E490" s="2" t="str">
        <x:f>IF(B490="","",'Motor_Meciuri'!E40)</x:f>
      </x:c>
      <x:c r="F490" s="2" t="str">
        <x:v>U12,5</x:v>
      </x:c>
      <x:c r="G490" s="2" t="str">
        <x:v>UNDER</x:v>
      </x:c>
      <x:c r="H490" s="2" t="n">
        <x:v>12</x:v>
      </x:c>
      <x:c r="I490" s="2" t="str">
        <x:f>IF(B490="","",'Motor_Meciuri'!H40)</x:f>
      </x:c>
      <x:c r="J490" s="2" t="str">
        <x:f>IF(B490="","",'Motor_Meciuri'!I40)</x:f>
      </x:c>
      <x:c r="K490" s="11" t="str">
        <x:f>IF(J490&lt;&gt;"PASS","",'Motor_Meciuri'!BD40)</x:f>
      </x:c>
      <x:c r="L490" s="11" t="str">
        <x:f>IF(J490&lt;&gt;"PASS","",'Motor_Meciuri'!AU40)</x:f>
      </x:c>
      <x:c r="M490" s="10" t="str">
        <x:f>IF(NOT(AND(J490="PASS",'Calibrare_Linii'!U14="VALID")),"",'Distributie'!AJ40)</x:f>
      </x:c>
      <x:c r="N490" s="10" t="str">
        <x:f>IF(M490="","",MAX(0.01,MIN(0.99,0.5+(M490-0.5)*'Motor_Meciuri'!BG40*'Calibrare_Linii'!D14)))</x:f>
      </x:c>
      <x:c r="O490" s="10" t="str">
        <x:f>IF(M490="","",1-M490)</x:f>
      </x:c>
      <x:c r="P490" s="10" t="str">
        <x:f>IF(OR(NOT(AND(J490="PASS",'Calibrare_Linii'!U14="VALID")),AK490=0),""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*('Istoric_Nativ'!$Q$6:$Q$405&gt;H490))/AK490)</x:f>
      </x:c>
      <x:c r="Q490" s="10" t="str">
        <x:f>IF(OR(NOT(AND(J490="PASS",'Calibrare_Linii'!U14="VALID")),AL490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M40)+((('Istoric_Nativ'!$E$6:$E$405='Input_Meci'!E40)+('Istoric_Nativ'!$F$6:$F$405='Input_Meci'!E40))&gt;0)*('Istoric_Nativ'!$D$6:$D$405&gt;='Motor_Meciuri'!BN40))&gt;0)*('Istoric_Nativ'!$Q$6:$Q$405&gt;H490))/AL490)</x:f>
      </x:c>
      <x:c r="R490" s="10" t="str">
        <x:f>IF(OR(NOT(AND(J490="PASS",'Calibrare_Linii'!U14="VALID")),AM490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O40)+((('Istoric_Nativ'!$E$6:$E$405='Input_Meci'!E40)+('Istoric_Nativ'!$F$6:$F$405='Input_Meci'!E40))&gt;0)*('Istoric_Nativ'!$D$6:$D$405&gt;='Motor_Meciuri'!BP40))&gt;0)*('Istoric_Nativ'!$Q$6:$Q$405&gt;H490))/AM490)</x:f>
      </x:c>
      <x:c r="S490" s="10" t="str">
        <x:f>IF(M490="","",MAX(O490,P490,Q490,R490))</x:f>
      </x:c>
      <x:c r="T490" s="11" t="str">
        <x:f>IF(M490="","",MIN(100,S490*100*'Config_v6'!$B$44+MIN(100,L490/'Config_v6'!$B$13*100)*'Config_v6'!$B$45+(100-'Motor_Meciuri'!BF40)*'Config_v6'!$B$46+'Motor_Meciuri'!BH40*100*'Config_v6'!$B$47))</x:f>
      </x:c>
      <x:c r="U490" s="2" t="str">
        <x:f>IF(T490="","",IF(T490&lt;=20,1,IF(T490&lt;=40,2,IF(T490&lt;=60,3,IF(T490&lt;=80,4,5)))))</x:f>
      </x:c>
      <x:c r="V490" s="2" t="str">
        <x:f>IF(M490="","",MAX(0,'Motor_Meciuri'!BF40-IF(W490="OOS PENDING",'Config_v6'!$B$35,0)-IF(L490&gt;'Config_v6'!$B$12,'Config_v6'!$B$37,IF(L490&gt;'Config_v6'!$B$11,'Config_v6'!$B$36,0))))</x:f>
      </x:c>
      <x:c r="W490" s="2" t="str">
        <x:f>IF(B490="","",IF(I490&lt;&gt;"READY","NOT RELEASED",IF(NOT(AND(J490="PASS",'Calibrare_Linii'!U14="VALID")),"INVALID",IF(NOT(AND('Calibrare_Linii'!S14="VALIDATED",AND('Calibrare_Linii'!H14=C490,ISNUMBER('Calibrare_Linii'!J14),'Calibrare_Linii'!J14&lt;='Input_Meci'!G40))),"OOS PENDING",IF(S490&lt;='Calibrare_Linii'!E14,"PASS",IF(S490&lt;='Calibrare_Linii'!F14,"PENALTY","WATCH"))))))</x:f>
      </x:c>
      <x:c r="X490" s="2" t="str">
        <x:f>IF(M490="","",IF(AND(AND(J490="PASS",'Calibrare_Linii'!U14="VALID"),'Motor_Meciuri'!K40=12,'Motor_Meciuri'!L40=12,'Motor_Meciuri'!M40="NO",'Motor_Meciuri'!BL40='Motor_Meciuri'!C40,AB490&gt;='Config_v6'!$B$50,AN490&gt;='Config_v6'!$B$51,T490&lt;='Config_v6'!$B$52,L490&lt;='Config_v6'!$B$53,ISNUMBER('Calibrare_Linii'!E14),S490&lt;='Calibrare_Linii'!E14,SUM(AK490:AM490)&gt;0),"CANDIDATE","NO"))</x:f>
      </x:c>
      <x:c r="Y490" s="2" t="str">
        <x:f>IF(B490="","",IF(I490&lt;&gt;"READY","NOT RELEASED",IF(AND(X490="CANDIDATE",V490&gt;='Config_v6'!$B$51,W490="PASS",'Calibrare_Linii'!T14="VALIDATED",AND('Calibrare_Linii'!H14=C490,ISNUMBER('Calibrare_Linii'!J14),'Calibrare_Linii'!J14&lt;='Input_Meci'!G40)),"PASS",IF(X490="CANDIDATE","OOS PENDING","FAIL"))))</x:f>
      </x:c>
      <x:c r="Z490" s="2" t="str">
        <x:f>IF(B490="","",IF(I490&lt;&gt;"READY","",IF(OR(NOT(AND(J490="PASS",'Calibrare_Linii'!U14="VALID")),L490&gt;'Config_v6'!$B$13,W490="WATCH"),5,IF(Y490="PASS",1,MIN(5,MAX('Config_v6'!$B$42,U490)+IF(W490="PENALTY",1,0))))))</x:f>
      </x:c>
      <x:c r="AA490" s="2" t="str">
        <x:f>IF(B490="","",IF(I490&lt;&gt;"READY","NOT RELEASED",IF(Z490=5,"NO BET",IF(OR(AB490&lt;'Config_v6'!$B$16,V490&lt;'Config_v6'!$B$18),"WATCH",IF(Z490=1,"DEFENSIV",IF(Z490=2,"PRUDENT",IF(Z490=3,"MODERAT","RIDICAT")))))))</x:f>
      </x:c>
      <x:c r="AB490" s="10" t="str">
        <x:f>IF(N490="","",MIN(N490,1-S490))</x:f>
      </x:c>
      <x:c r="AC490" s="2" t="str">
        <x:f>IF(AD490&lt;&gt;1,"",COUNTIFS($Z$482:$Z$495,"&lt;"&amp;Z490,$AD$482:$AD$495,1)+COUNTIFS($Z$482:$Z$495,Z490,$AB$482:$AB$495,"&gt;"&amp;AB490,$AD$482:$AD$495,1)+COUNTIFS($Z$482:$Z$495,Z490,$AB$482:$AB$495,AB490,$V$482:$V$495,"&gt;"&amp;V490,$AD$482:$AD$495,1)+COUNTIFS($Z$482:Z490,Z490,$AB$482:AB490,AB490,$V$482:V490,V490,$AD$482:AD490,1))</x:f>
      </x:c>
      <x:c r="AD490" s="2" t="n">
        <x:f>IF(OR(AA490="DEFENSIV",AA490="PRUDENT",AA490="MODERAT",AA490="RIDICAT"),1,0)</x:f>
        <x:v>0</x:v>
      </x:c>
      <x:c r="AE490" s="2" t="str">
        <x:f>IF(AD490&lt;&gt;1,"NO",IF(W490="PASS","YES",IF(W490="OOS PENDING","CONDITIONAL","NO")))</x:f>
        <x:v>NO</x:v>
      </x:c>
      <x:c r="AF490" s="2" t="n">
        <x:f>IF(AND(AD490=1,AC490=1,E490="LIVE"),1,0)</x:f>
        <x:v>0</x:v>
      </x:c>
      <x:c r="AG490" s="2" t="str">
        <x:f>IF(AF490&lt;&gt;1,"",'Dashboard'!P60)</x:f>
      </x:c>
      <x:c r="AH490" s="2" t="str">
        <x:f>IF(B490="","",IF(J490&lt;&gt;"PASS",'Motor_Meciuri'!J40,IF('Calibrare_Linii'!U14&lt;&gt;"VALID","Parametri linie invalizi",IF(L490&gt;'Config_v6'!$B$13,"Dispersie peste limita",IF(W490="WATCH","Failure peste limita",IF(AB490&lt;'Config_v6'!$B$16,"P finala sub prag",IF(V490&lt;'Config_v6'!$B$18,"Confidence sub prag",IF(E490="REPLAY","Exemplu retrospectiv; exclus din Top LIVE",IF(Y490="PASS","DEFENSIV validat",IF(W490="OOS PENDING","Eligibil; calibrare linie in monitorizare","Eligibil"))))))))))</x:f>
      </x:c>
      <x:c r="AI490" s="2" t="str">
        <x:f>IF(B490="","",'Calibrare_Linii'!V14)</x:f>
      </x:c>
      <x:c r="AJ490" s="2" t="str">
        <x:f>IF(B490="","",IF(AND('Calibrare_Linii'!T14="VALIDATED",AND('Calibrare_Linii'!H14=C490,ISNUMBER('Calibrare_Linii'!J14),'Calibrare_Linii'!J14&lt;='Input_Meci'!G40)),"DEFENSIVE VALIDATED",IF(AND('Calibrare_Linii'!S14="VALIDATED",AND('Calibrare_Linii'!H14=C490,ISNUMBER('Calibrare_Linii'!J14),'Calibrare_Linii'!J14&lt;='Input_Meci'!G40)),"TAIL VALIDATED","OOS PENDING")))</x:f>
      </x:c>
      <x:c r="AK490" s="2" t="n">
        <x:f>IF(J490&lt;&gt;"PASS",0,'Motor_Meciuri'!BR40)</x:f>
        <x:v>0</x:v>
      </x:c>
      <x:c r="AL490" s="2" t="n">
        <x:f>IF(J490&lt;&gt;"PASS",0,'Motor_Meciuri'!BS40)</x:f>
        <x:v>0</x:v>
      </x:c>
      <x:c r="AM490" s="2" t="n">
        <x:f>IF(J490&lt;&gt;"PASS",0,'Motor_Meciuri'!BT40)</x:f>
        <x:v>0</x:v>
      </x:c>
      <x:c r="AN490" s="2" t="str">
        <x:f>IF(M490="","",MAX(0,'Motor_Meciuri'!BF40-IF(L490&gt;'Config_v6'!$B$12,'Config_v6'!$B$37,IF(L490&gt;'Config_v6'!$B$11,'Config_v6'!$B$36,0))))</x:f>
      </x:c>
    </x:row>
    <x:row r="491" ht="21" customHeight="1">
      <x:c r="A491" s="2" t="n">
        <x:v>35</x:v>
      </x:c>
      <x:c r="B491" s="2" t="str">
        <x:f>IF('Motor_Meciuri'!A40="","",'Motor_Meciuri'!A40)</x:f>
      </x:c>
      <x:c r="C491" s="2" t="str">
        <x:f>IF(B491="","",'Motor_Meciuri'!B40)</x:f>
      </x:c>
      <x:c r="D491" s="2" t="str">
        <x:f>IF(B491="","",'Motor_Meciuri'!D40)</x:f>
      </x:c>
      <x:c r="E491" s="2" t="str">
        <x:f>IF(B491="","",'Motor_Meciuri'!E40)</x:f>
      </x:c>
      <x:c r="F491" s="2" t="str">
        <x:v>U13,5</x:v>
      </x:c>
      <x:c r="G491" s="2" t="str">
        <x:v>UNDER</x:v>
      </x:c>
      <x:c r="H491" s="2" t="n">
        <x:v>13</x:v>
      </x:c>
      <x:c r="I491" s="2" t="str">
        <x:f>IF(B491="","",'Motor_Meciuri'!H40)</x:f>
      </x:c>
      <x:c r="J491" s="2" t="str">
        <x:f>IF(B491="","",'Motor_Meciuri'!I40)</x:f>
      </x:c>
      <x:c r="K491" s="11" t="str">
        <x:f>IF(J491&lt;&gt;"PASS","",'Motor_Meciuri'!BD40)</x:f>
      </x:c>
      <x:c r="L491" s="11" t="str">
        <x:f>IF(J491&lt;&gt;"PASS","",'Motor_Meciuri'!AU40)</x:f>
      </x:c>
      <x:c r="M491" s="10" t="str">
        <x:f>IF(NOT(AND(J491="PASS",'Calibrare_Linii'!U15="VALID")),"",'Distributie'!AK40)</x:f>
      </x:c>
      <x:c r="N491" s="10" t="str">
        <x:f>IF(M491="","",MAX(0.01,MIN(0.99,0.5+(M491-0.5)*'Motor_Meciuri'!BG40*'Calibrare_Linii'!D15)))</x:f>
      </x:c>
      <x:c r="O491" s="10" t="str">
        <x:f>IF(M491="","",1-M491)</x:f>
      </x:c>
      <x:c r="P491" s="10" t="str">
        <x:f>IF(OR(NOT(AND(J491="PASS",'Calibrare_Linii'!U15="VALID")),AK491=0),""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*('Istoric_Nativ'!$Q$6:$Q$405&gt;H491))/AK491)</x:f>
      </x:c>
      <x:c r="Q491" s="10" t="str">
        <x:f>IF(OR(NOT(AND(J491="PASS",'Calibrare_Linii'!U15="VALID")),AL491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M40)+((('Istoric_Nativ'!$E$6:$E$405='Input_Meci'!E40)+('Istoric_Nativ'!$F$6:$F$405='Input_Meci'!E40))&gt;0)*('Istoric_Nativ'!$D$6:$D$405&gt;='Motor_Meciuri'!BN40))&gt;0)*('Istoric_Nativ'!$Q$6:$Q$405&gt;H491))/AL491)</x:f>
      </x:c>
      <x:c r="R491" s="10" t="str">
        <x:f>IF(OR(NOT(AND(J491="PASS",'Calibrare_Linii'!U15="VALID")),AM491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O40)+((('Istoric_Nativ'!$E$6:$E$405='Input_Meci'!E40)+('Istoric_Nativ'!$F$6:$F$405='Input_Meci'!E40))&gt;0)*('Istoric_Nativ'!$D$6:$D$405&gt;='Motor_Meciuri'!BP40))&gt;0)*('Istoric_Nativ'!$Q$6:$Q$405&gt;H491))/AM491)</x:f>
      </x:c>
      <x:c r="S491" s="10" t="str">
        <x:f>IF(M491="","",MAX(O491,P491,Q491,R491))</x:f>
      </x:c>
      <x:c r="T491" s="11" t="str">
        <x:f>IF(M491="","",MIN(100,S491*100*'Config_v6'!$B$44+MIN(100,L491/'Config_v6'!$B$13*100)*'Config_v6'!$B$45+(100-'Motor_Meciuri'!BF40)*'Config_v6'!$B$46+'Motor_Meciuri'!BH40*100*'Config_v6'!$B$47))</x:f>
      </x:c>
      <x:c r="U491" s="2" t="str">
        <x:f>IF(T491="","",IF(T491&lt;=20,1,IF(T491&lt;=40,2,IF(T491&lt;=60,3,IF(T491&lt;=80,4,5)))))</x:f>
      </x:c>
      <x:c r="V491" s="2" t="str">
        <x:f>IF(M491="","",MAX(0,'Motor_Meciuri'!BF40-IF(W491="OOS PENDING",'Config_v6'!$B$35,0)-IF(L491&gt;'Config_v6'!$B$12,'Config_v6'!$B$37,IF(L491&gt;'Config_v6'!$B$11,'Config_v6'!$B$36,0))))</x:f>
      </x:c>
      <x:c r="W491" s="2" t="str">
        <x:f>IF(B491="","",IF(I491&lt;&gt;"READY","NOT RELEASED",IF(NOT(AND(J491="PASS",'Calibrare_Linii'!U15="VALID")),"INVALID",IF(NOT(AND('Calibrare_Linii'!S15="VALIDATED",AND('Calibrare_Linii'!H15=C491,ISNUMBER('Calibrare_Linii'!J15),'Calibrare_Linii'!J15&lt;='Input_Meci'!G40))),"OOS PENDING",IF(S491&lt;='Calibrare_Linii'!E15,"PASS",IF(S491&lt;='Calibrare_Linii'!F15,"PENALTY","WATCH"))))))</x:f>
      </x:c>
      <x:c r="X491" s="2" t="str">
        <x:f>IF(M491="","",IF(AND(AND(J491="PASS",'Calibrare_Linii'!U15="VALID"),'Motor_Meciuri'!K40=12,'Motor_Meciuri'!L40=12,'Motor_Meciuri'!M40="NO",'Motor_Meciuri'!BL40='Motor_Meciuri'!C40,AB491&gt;='Config_v6'!$B$50,AN491&gt;='Config_v6'!$B$51,T491&lt;='Config_v6'!$B$52,L491&lt;='Config_v6'!$B$53,ISNUMBER('Calibrare_Linii'!E15),S491&lt;='Calibrare_Linii'!E15,SUM(AK491:AM491)&gt;0),"CANDIDATE","NO"))</x:f>
      </x:c>
      <x:c r="Y491" s="2" t="str">
        <x:f>IF(B491="","",IF(I491&lt;&gt;"READY","NOT RELEASED",IF(AND(X491="CANDIDATE",V491&gt;='Config_v6'!$B$51,W491="PASS",'Calibrare_Linii'!T15="VALIDATED",AND('Calibrare_Linii'!H15=C491,ISNUMBER('Calibrare_Linii'!J15),'Calibrare_Linii'!J15&lt;='Input_Meci'!G40)),"PASS",IF(X491="CANDIDATE","OOS PENDING","FAIL"))))</x:f>
      </x:c>
      <x:c r="Z491" s="2" t="str">
        <x:f>IF(B491="","",IF(I491&lt;&gt;"READY","",IF(OR(NOT(AND(J491="PASS",'Calibrare_Linii'!U15="VALID")),L491&gt;'Config_v6'!$B$13,W491="WATCH"),5,IF(Y491="PASS",1,MIN(5,MAX('Config_v6'!$B$42,U491)+IF(W491="PENALTY",1,0))))))</x:f>
      </x:c>
      <x:c r="AA491" s="2" t="str">
        <x:f>IF(B491="","",IF(I491&lt;&gt;"READY","NOT RELEASED",IF(Z491=5,"NO BET",IF(OR(AB491&lt;'Config_v6'!$B$16,V491&lt;'Config_v6'!$B$18),"WATCH",IF(Z491=1,"DEFENSIV",IF(Z491=2,"PRUDENT",IF(Z491=3,"MODERAT","RIDICAT")))))))</x:f>
      </x:c>
      <x:c r="AB491" s="10" t="str">
        <x:f>IF(N491="","",MIN(N491,1-S491))</x:f>
      </x:c>
      <x:c r="AC491" s="2" t="str">
        <x:f>IF(AD491&lt;&gt;1,"",COUNTIFS($Z$482:$Z$495,"&lt;"&amp;Z491,$AD$482:$AD$495,1)+COUNTIFS($Z$482:$Z$495,Z491,$AB$482:$AB$495,"&gt;"&amp;AB491,$AD$482:$AD$495,1)+COUNTIFS($Z$482:$Z$495,Z491,$AB$482:$AB$495,AB491,$V$482:$V$495,"&gt;"&amp;V491,$AD$482:$AD$495,1)+COUNTIFS($Z$482:Z491,Z491,$AB$482:AB491,AB491,$V$482:V491,V491,$AD$482:AD491,1))</x:f>
      </x:c>
      <x:c r="AD491" s="2" t="n">
        <x:f>IF(OR(AA491="DEFENSIV",AA491="PRUDENT",AA491="MODERAT",AA491="RIDICAT"),1,0)</x:f>
        <x:v>0</x:v>
      </x:c>
      <x:c r="AE491" s="2" t="str">
        <x:f>IF(AD491&lt;&gt;1,"NO",IF(W491="PASS","YES",IF(W491="OOS PENDING","CONDITIONAL","NO")))</x:f>
        <x:v>NO</x:v>
      </x:c>
      <x:c r="AF491" s="2" t="n">
        <x:f>IF(AND(AD491=1,AC491=1,E491="LIVE"),1,0)</x:f>
        <x:v>0</x:v>
      </x:c>
      <x:c r="AG491" s="2" t="str">
        <x:f>IF(AF491&lt;&gt;1,"",'Dashboard'!P60)</x:f>
      </x:c>
      <x:c r="AH491" s="2" t="str">
        <x:f>IF(B491="","",IF(J491&lt;&gt;"PASS",'Motor_Meciuri'!J40,IF('Calibrare_Linii'!U15&lt;&gt;"VALID","Parametri linie invalizi",IF(L491&gt;'Config_v6'!$B$13,"Dispersie peste limita",IF(W491="WATCH","Failure peste limita",IF(AB491&lt;'Config_v6'!$B$16,"P finala sub prag",IF(V491&lt;'Config_v6'!$B$18,"Confidence sub prag",IF(E491="REPLAY","Exemplu retrospectiv; exclus din Top LIVE",IF(Y491="PASS","DEFENSIV validat",IF(W491="OOS PENDING","Eligibil; calibrare linie in monitorizare","Eligibil"))))))))))</x:f>
      </x:c>
      <x:c r="AI491" s="2" t="str">
        <x:f>IF(B491="","",'Calibrare_Linii'!V15)</x:f>
      </x:c>
      <x:c r="AJ491" s="2" t="str">
        <x:f>IF(B491="","",IF(AND('Calibrare_Linii'!T15="VALIDATED",AND('Calibrare_Linii'!H15=C491,ISNUMBER('Calibrare_Linii'!J15),'Calibrare_Linii'!J15&lt;='Input_Meci'!G40)),"DEFENSIVE VALIDATED",IF(AND('Calibrare_Linii'!S15="VALIDATED",AND('Calibrare_Linii'!H15=C491,ISNUMBER('Calibrare_Linii'!J15),'Calibrare_Linii'!J15&lt;='Input_Meci'!G40)),"TAIL VALIDATED","OOS PENDING")))</x:f>
      </x:c>
      <x:c r="AK491" s="2" t="n">
        <x:f>IF(J491&lt;&gt;"PASS",0,'Motor_Meciuri'!BR40)</x:f>
        <x:v>0</x:v>
      </x:c>
      <x:c r="AL491" s="2" t="n">
        <x:f>IF(J491&lt;&gt;"PASS",0,'Motor_Meciuri'!BS40)</x:f>
        <x:v>0</x:v>
      </x:c>
      <x:c r="AM491" s="2" t="n">
        <x:f>IF(J491&lt;&gt;"PASS",0,'Motor_Meciuri'!BT40)</x:f>
        <x:v>0</x:v>
      </x:c>
      <x:c r="AN491" s="2" t="str">
        <x:f>IF(M491="","",MAX(0,'Motor_Meciuri'!BF40-IF(L491&gt;'Config_v6'!$B$12,'Config_v6'!$B$37,IF(L491&gt;'Config_v6'!$B$11,'Config_v6'!$B$36,0))))</x:f>
      </x:c>
    </x:row>
    <x:row r="492" ht="21" customHeight="1">
      <x:c r="A492" s="2" t="n">
        <x:v>35</x:v>
      </x:c>
      <x:c r="B492" s="2" t="str">
        <x:f>IF('Motor_Meciuri'!A40="","",'Motor_Meciuri'!A40)</x:f>
      </x:c>
      <x:c r="C492" s="2" t="str">
        <x:f>IF(B492="","",'Motor_Meciuri'!B40)</x:f>
      </x:c>
      <x:c r="D492" s="2" t="str">
        <x:f>IF(B492="","",'Motor_Meciuri'!D40)</x:f>
      </x:c>
      <x:c r="E492" s="2" t="str">
        <x:f>IF(B492="","",'Motor_Meciuri'!E40)</x:f>
      </x:c>
      <x:c r="F492" s="2" t="str">
        <x:v>U14,5</x:v>
      </x:c>
      <x:c r="G492" s="2" t="str">
        <x:v>UNDER</x:v>
      </x:c>
      <x:c r="H492" s="2" t="n">
        <x:v>14</x:v>
      </x:c>
      <x:c r="I492" s="2" t="str">
        <x:f>IF(B492="","",'Motor_Meciuri'!H40)</x:f>
      </x:c>
      <x:c r="J492" s="2" t="str">
        <x:f>IF(B492="","",'Motor_Meciuri'!I40)</x:f>
      </x:c>
      <x:c r="K492" s="11" t="str">
        <x:f>IF(J492&lt;&gt;"PASS","",'Motor_Meciuri'!BD40)</x:f>
      </x:c>
      <x:c r="L492" s="11" t="str">
        <x:f>IF(J492&lt;&gt;"PASS","",'Motor_Meciuri'!AU40)</x:f>
      </x:c>
      <x:c r="M492" s="10" t="str">
        <x:f>IF(NOT(AND(J492="PASS",'Calibrare_Linii'!U16="VALID")),"",'Distributie'!AL40)</x:f>
      </x:c>
      <x:c r="N492" s="10" t="str">
        <x:f>IF(M492="","",MAX(0.01,MIN(0.99,0.5+(M492-0.5)*'Motor_Meciuri'!BG40*'Calibrare_Linii'!D16)))</x:f>
      </x:c>
      <x:c r="O492" s="10" t="str">
        <x:f>IF(M492="","",1-M492)</x:f>
      </x:c>
      <x:c r="P492" s="10" t="str">
        <x:f>IF(OR(NOT(AND(J492="PASS",'Calibrare_Linii'!U16="VALID")),AK492=0),""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*('Istoric_Nativ'!$Q$6:$Q$405&gt;H492))/AK492)</x:f>
      </x:c>
      <x:c r="Q492" s="10" t="str">
        <x:f>IF(OR(NOT(AND(J492="PASS",'Calibrare_Linii'!U16="VALID")),AL492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M40)+((('Istoric_Nativ'!$E$6:$E$405='Input_Meci'!E40)+('Istoric_Nativ'!$F$6:$F$405='Input_Meci'!E40))&gt;0)*('Istoric_Nativ'!$D$6:$D$405&gt;='Motor_Meciuri'!BN40))&gt;0)*('Istoric_Nativ'!$Q$6:$Q$405&gt;H492))/AL492)</x:f>
      </x:c>
      <x:c r="R492" s="10" t="str">
        <x:f>IF(OR(NOT(AND(J492="PASS",'Calibrare_Linii'!U16="VALID")),AM492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O40)+((('Istoric_Nativ'!$E$6:$E$405='Input_Meci'!E40)+('Istoric_Nativ'!$F$6:$F$405='Input_Meci'!E40))&gt;0)*('Istoric_Nativ'!$D$6:$D$405&gt;='Motor_Meciuri'!BP40))&gt;0)*('Istoric_Nativ'!$Q$6:$Q$405&gt;H492))/AM492)</x:f>
      </x:c>
      <x:c r="S492" s="10" t="str">
        <x:f>IF(M492="","",MAX(O492,P492,Q492,R492))</x:f>
      </x:c>
      <x:c r="T492" s="11" t="str">
        <x:f>IF(M492="","",MIN(100,S492*100*'Config_v6'!$B$44+MIN(100,L492/'Config_v6'!$B$13*100)*'Config_v6'!$B$45+(100-'Motor_Meciuri'!BF40)*'Config_v6'!$B$46+'Motor_Meciuri'!BH40*100*'Config_v6'!$B$47))</x:f>
      </x:c>
      <x:c r="U492" s="2" t="str">
        <x:f>IF(T492="","",IF(T492&lt;=20,1,IF(T492&lt;=40,2,IF(T492&lt;=60,3,IF(T492&lt;=80,4,5)))))</x:f>
      </x:c>
      <x:c r="V492" s="2" t="str">
        <x:f>IF(M492="","",MAX(0,'Motor_Meciuri'!BF40-IF(W492="OOS PENDING",'Config_v6'!$B$35,0)-IF(L492&gt;'Config_v6'!$B$12,'Config_v6'!$B$37,IF(L492&gt;'Config_v6'!$B$11,'Config_v6'!$B$36,0))))</x:f>
      </x:c>
      <x:c r="W492" s="2" t="str">
        <x:f>IF(B492="","",IF(I492&lt;&gt;"READY","NOT RELEASED",IF(NOT(AND(J492="PASS",'Calibrare_Linii'!U16="VALID")),"INVALID",IF(NOT(AND('Calibrare_Linii'!S16="VALIDATED",AND('Calibrare_Linii'!H16=C492,ISNUMBER('Calibrare_Linii'!J16),'Calibrare_Linii'!J16&lt;='Input_Meci'!G40))),"OOS PENDING",IF(S492&lt;='Calibrare_Linii'!E16,"PASS",IF(S492&lt;='Calibrare_Linii'!F16,"PENALTY","WATCH"))))))</x:f>
      </x:c>
      <x:c r="X492" s="2" t="str">
        <x:f>IF(M492="","",IF(AND(AND(J492="PASS",'Calibrare_Linii'!U16="VALID"),'Motor_Meciuri'!K40=12,'Motor_Meciuri'!L40=12,'Motor_Meciuri'!M40="NO",'Motor_Meciuri'!BL40='Motor_Meciuri'!C40,AB492&gt;='Config_v6'!$B$50,AN492&gt;='Config_v6'!$B$51,T492&lt;='Config_v6'!$B$52,L492&lt;='Config_v6'!$B$53,ISNUMBER('Calibrare_Linii'!E16),S492&lt;='Calibrare_Linii'!E16,SUM(AK492:AM492)&gt;0),"CANDIDATE","NO"))</x:f>
      </x:c>
      <x:c r="Y492" s="2" t="str">
        <x:f>IF(B492="","",IF(I492&lt;&gt;"READY","NOT RELEASED",IF(AND(X492="CANDIDATE",V492&gt;='Config_v6'!$B$51,W492="PASS",'Calibrare_Linii'!T16="VALIDATED",AND('Calibrare_Linii'!H16=C492,ISNUMBER('Calibrare_Linii'!J16),'Calibrare_Linii'!J16&lt;='Input_Meci'!G40)),"PASS",IF(X492="CANDIDATE","OOS PENDING","FAIL"))))</x:f>
      </x:c>
      <x:c r="Z492" s="2" t="str">
        <x:f>IF(B492="","",IF(I492&lt;&gt;"READY","",IF(OR(NOT(AND(J492="PASS",'Calibrare_Linii'!U16="VALID")),L492&gt;'Config_v6'!$B$13,W492="WATCH"),5,IF(Y492="PASS",1,MIN(5,MAX('Config_v6'!$B$42,U492)+IF(W492="PENALTY",1,0))))))</x:f>
      </x:c>
      <x:c r="AA492" s="2" t="str">
        <x:f>IF(B492="","",IF(I492&lt;&gt;"READY","NOT RELEASED",IF(Z492=5,"NO BET",IF(OR(AB492&lt;'Config_v6'!$B$16,V492&lt;'Config_v6'!$B$18),"WATCH",IF(Z492=1,"DEFENSIV",IF(Z492=2,"PRUDENT",IF(Z492=3,"MODERAT","RIDICAT")))))))</x:f>
      </x:c>
      <x:c r="AB492" s="10" t="str">
        <x:f>IF(N492="","",MIN(N492,1-S492))</x:f>
      </x:c>
      <x:c r="AC492" s="2" t="str">
        <x:f>IF(AD492&lt;&gt;1,"",COUNTIFS($Z$482:$Z$495,"&lt;"&amp;Z492,$AD$482:$AD$495,1)+COUNTIFS($Z$482:$Z$495,Z492,$AB$482:$AB$495,"&gt;"&amp;AB492,$AD$482:$AD$495,1)+COUNTIFS($Z$482:$Z$495,Z492,$AB$482:$AB$495,AB492,$V$482:$V$495,"&gt;"&amp;V492,$AD$482:$AD$495,1)+COUNTIFS($Z$482:Z492,Z492,$AB$482:AB492,AB492,$V$482:V492,V492,$AD$482:AD492,1))</x:f>
      </x:c>
      <x:c r="AD492" s="2" t="n">
        <x:f>IF(OR(AA492="DEFENSIV",AA492="PRUDENT",AA492="MODERAT",AA492="RIDICAT"),1,0)</x:f>
        <x:v>0</x:v>
      </x:c>
      <x:c r="AE492" s="2" t="str">
        <x:f>IF(AD492&lt;&gt;1,"NO",IF(W492="PASS","YES",IF(W492="OOS PENDING","CONDITIONAL","NO")))</x:f>
        <x:v>NO</x:v>
      </x:c>
      <x:c r="AF492" s="2" t="n">
        <x:f>IF(AND(AD492=1,AC492=1,E492="LIVE"),1,0)</x:f>
        <x:v>0</x:v>
      </x:c>
      <x:c r="AG492" s="2" t="str">
        <x:f>IF(AF492&lt;&gt;1,"",'Dashboard'!P60)</x:f>
      </x:c>
      <x:c r="AH492" s="2" t="str">
        <x:f>IF(B492="","",IF(J492&lt;&gt;"PASS",'Motor_Meciuri'!J40,IF('Calibrare_Linii'!U16&lt;&gt;"VALID","Parametri linie invalizi",IF(L492&gt;'Config_v6'!$B$13,"Dispersie peste limita",IF(W492="WATCH","Failure peste limita",IF(AB492&lt;'Config_v6'!$B$16,"P finala sub prag",IF(V492&lt;'Config_v6'!$B$18,"Confidence sub prag",IF(E492="REPLAY","Exemplu retrospectiv; exclus din Top LIVE",IF(Y492="PASS","DEFENSIV validat",IF(W492="OOS PENDING","Eligibil; calibrare linie in monitorizare","Eligibil"))))))))))</x:f>
      </x:c>
      <x:c r="AI492" s="2" t="str">
        <x:f>IF(B492="","",'Calibrare_Linii'!V16)</x:f>
      </x:c>
      <x:c r="AJ492" s="2" t="str">
        <x:f>IF(B492="","",IF(AND('Calibrare_Linii'!T16="VALIDATED",AND('Calibrare_Linii'!H16=C492,ISNUMBER('Calibrare_Linii'!J16),'Calibrare_Linii'!J16&lt;='Input_Meci'!G40)),"DEFENSIVE VALIDATED",IF(AND('Calibrare_Linii'!S16="VALIDATED",AND('Calibrare_Linii'!H16=C492,ISNUMBER('Calibrare_Linii'!J16),'Calibrare_Linii'!J16&lt;='Input_Meci'!G40)),"TAIL VALIDATED","OOS PENDING")))</x:f>
      </x:c>
      <x:c r="AK492" s="2" t="n">
        <x:f>IF(J492&lt;&gt;"PASS",0,'Motor_Meciuri'!BR40)</x:f>
        <x:v>0</x:v>
      </x:c>
      <x:c r="AL492" s="2" t="n">
        <x:f>IF(J492&lt;&gt;"PASS",0,'Motor_Meciuri'!BS40)</x:f>
        <x:v>0</x:v>
      </x:c>
      <x:c r="AM492" s="2" t="n">
        <x:f>IF(J492&lt;&gt;"PASS",0,'Motor_Meciuri'!BT40)</x:f>
        <x:v>0</x:v>
      </x:c>
      <x:c r="AN492" s="2" t="str">
        <x:f>IF(M492="","",MAX(0,'Motor_Meciuri'!BF40-IF(L492&gt;'Config_v6'!$B$12,'Config_v6'!$B$37,IF(L492&gt;'Config_v6'!$B$11,'Config_v6'!$B$36,0))))</x:f>
      </x:c>
    </x:row>
    <x:row r="493" ht="21" customHeight="1">
      <x:c r="A493" s="2" t="n">
        <x:v>35</x:v>
      </x:c>
      <x:c r="B493" s="2" t="str">
        <x:f>IF('Motor_Meciuri'!A40="","",'Motor_Meciuri'!A40)</x:f>
      </x:c>
      <x:c r="C493" s="2" t="str">
        <x:f>IF(B493="","",'Motor_Meciuri'!B40)</x:f>
      </x:c>
      <x:c r="D493" s="2" t="str">
        <x:f>IF(B493="","",'Motor_Meciuri'!D40)</x:f>
      </x:c>
      <x:c r="E493" s="2" t="str">
        <x:f>IF(B493="","",'Motor_Meciuri'!E40)</x:f>
      </x:c>
      <x:c r="F493" s="2" t="str">
        <x:v>U15,5</x:v>
      </x:c>
      <x:c r="G493" s="2" t="str">
        <x:v>UNDER</x:v>
      </x:c>
      <x:c r="H493" s="2" t="n">
        <x:v>15</x:v>
      </x:c>
      <x:c r="I493" s="2" t="str">
        <x:f>IF(B493="","",'Motor_Meciuri'!H40)</x:f>
      </x:c>
      <x:c r="J493" s="2" t="str">
        <x:f>IF(B493="","",'Motor_Meciuri'!I40)</x:f>
      </x:c>
      <x:c r="K493" s="11" t="str">
        <x:f>IF(J493&lt;&gt;"PASS","",'Motor_Meciuri'!BD40)</x:f>
      </x:c>
      <x:c r="L493" s="11" t="str">
        <x:f>IF(J493&lt;&gt;"PASS","",'Motor_Meciuri'!AU40)</x:f>
      </x:c>
      <x:c r="M493" s="10" t="str">
        <x:f>IF(NOT(AND(J493="PASS",'Calibrare_Linii'!U17="VALID")),"",'Distributie'!AM40)</x:f>
      </x:c>
      <x:c r="N493" s="10" t="str">
        <x:f>IF(M493="","",MAX(0.01,MIN(0.99,0.5+(M493-0.5)*'Motor_Meciuri'!BG40*'Calibrare_Linii'!D17)))</x:f>
      </x:c>
      <x:c r="O493" s="10" t="str">
        <x:f>IF(M493="","",1-M493)</x:f>
      </x:c>
      <x:c r="P493" s="10" t="str">
        <x:f>IF(OR(NOT(AND(J493="PASS",'Calibrare_Linii'!U17="VALID")),AK493=0),""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*('Istoric_Nativ'!$Q$6:$Q$405&gt;H493))/AK493)</x:f>
      </x:c>
      <x:c r="Q493" s="10" t="str">
        <x:f>IF(OR(NOT(AND(J493="PASS",'Calibrare_Linii'!U17="VALID")),AL493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M40)+((('Istoric_Nativ'!$E$6:$E$405='Input_Meci'!E40)+('Istoric_Nativ'!$F$6:$F$405='Input_Meci'!E40))&gt;0)*('Istoric_Nativ'!$D$6:$D$405&gt;='Motor_Meciuri'!BN40))&gt;0)*('Istoric_Nativ'!$Q$6:$Q$405&gt;H493))/AL493)</x:f>
      </x:c>
      <x:c r="R493" s="10" t="str">
        <x:f>IF(OR(NOT(AND(J493="PASS",'Calibrare_Linii'!U17="VALID")),AM493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O40)+((('Istoric_Nativ'!$E$6:$E$405='Input_Meci'!E40)+('Istoric_Nativ'!$F$6:$F$405='Input_Meci'!E40))&gt;0)*('Istoric_Nativ'!$D$6:$D$405&gt;='Motor_Meciuri'!BP40))&gt;0)*('Istoric_Nativ'!$Q$6:$Q$405&gt;H493))/AM493)</x:f>
      </x:c>
      <x:c r="S493" s="10" t="str">
        <x:f>IF(M493="","",MAX(O493,P493,Q493,R493))</x:f>
      </x:c>
      <x:c r="T493" s="11" t="str">
        <x:f>IF(M493="","",MIN(100,S493*100*'Config_v6'!$B$44+MIN(100,L493/'Config_v6'!$B$13*100)*'Config_v6'!$B$45+(100-'Motor_Meciuri'!BF40)*'Config_v6'!$B$46+'Motor_Meciuri'!BH40*100*'Config_v6'!$B$47))</x:f>
      </x:c>
      <x:c r="U493" s="2" t="str">
        <x:f>IF(T493="","",IF(T493&lt;=20,1,IF(T493&lt;=40,2,IF(T493&lt;=60,3,IF(T493&lt;=80,4,5)))))</x:f>
      </x:c>
      <x:c r="V493" s="2" t="str">
        <x:f>IF(M493="","",MAX(0,'Motor_Meciuri'!BF40-IF(W493="OOS PENDING",'Config_v6'!$B$35,0)-IF(L493&gt;'Config_v6'!$B$12,'Config_v6'!$B$37,IF(L493&gt;'Config_v6'!$B$11,'Config_v6'!$B$36,0))))</x:f>
      </x:c>
      <x:c r="W493" s="2" t="str">
        <x:f>IF(B493="","",IF(I493&lt;&gt;"READY","NOT RELEASED",IF(NOT(AND(J493="PASS",'Calibrare_Linii'!U17="VALID")),"INVALID",IF(NOT(AND('Calibrare_Linii'!S17="VALIDATED",AND('Calibrare_Linii'!H17=C493,ISNUMBER('Calibrare_Linii'!J17),'Calibrare_Linii'!J17&lt;='Input_Meci'!G40))),"OOS PENDING",IF(S493&lt;='Calibrare_Linii'!E17,"PASS",IF(S493&lt;='Calibrare_Linii'!F17,"PENALTY","WATCH"))))))</x:f>
      </x:c>
      <x:c r="X493" s="2" t="str">
        <x:f>IF(M493="","",IF(AND(AND(J493="PASS",'Calibrare_Linii'!U17="VALID"),'Motor_Meciuri'!K40=12,'Motor_Meciuri'!L40=12,'Motor_Meciuri'!M40="NO",'Motor_Meciuri'!BL40='Motor_Meciuri'!C40,AB493&gt;='Config_v6'!$B$50,AN493&gt;='Config_v6'!$B$51,T493&lt;='Config_v6'!$B$52,L493&lt;='Config_v6'!$B$53,ISNUMBER('Calibrare_Linii'!E17),S493&lt;='Calibrare_Linii'!E17,SUM(AK493:AM493)&gt;0),"CANDIDATE","NO"))</x:f>
      </x:c>
      <x:c r="Y493" s="2" t="str">
        <x:f>IF(B493="","",IF(I493&lt;&gt;"READY","NOT RELEASED",IF(AND(X493="CANDIDATE",V493&gt;='Config_v6'!$B$51,W493="PASS",'Calibrare_Linii'!T17="VALIDATED",AND('Calibrare_Linii'!H17=C493,ISNUMBER('Calibrare_Linii'!J17),'Calibrare_Linii'!J17&lt;='Input_Meci'!G40)),"PASS",IF(X493="CANDIDATE","OOS PENDING","FAIL"))))</x:f>
      </x:c>
      <x:c r="Z493" s="2" t="str">
        <x:f>IF(B493="","",IF(I493&lt;&gt;"READY","",IF(OR(NOT(AND(J493="PASS",'Calibrare_Linii'!U17="VALID")),L493&gt;'Config_v6'!$B$13,W493="WATCH"),5,IF(Y493="PASS",1,MIN(5,MAX('Config_v6'!$B$42,U493)+IF(W493="PENALTY",1,0))))))</x:f>
      </x:c>
      <x:c r="AA493" s="2" t="str">
        <x:f>IF(B493="","",IF(I493&lt;&gt;"READY","NOT RELEASED",IF(Z493=5,"NO BET",IF(OR(AB493&lt;'Config_v6'!$B$16,V493&lt;'Config_v6'!$B$18),"WATCH",IF(Z493=1,"DEFENSIV",IF(Z493=2,"PRUDENT",IF(Z493=3,"MODERAT","RIDICAT")))))))</x:f>
      </x:c>
      <x:c r="AB493" s="10" t="str">
        <x:f>IF(N493="","",MIN(N493,1-S493))</x:f>
      </x:c>
      <x:c r="AC493" s="2" t="str">
        <x:f>IF(AD493&lt;&gt;1,"",COUNTIFS($Z$482:$Z$495,"&lt;"&amp;Z493,$AD$482:$AD$495,1)+COUNTIFS($Z$482:$Z$495,Z493,$AB$482:$AB$495,"&gt;"&amp;AB493,$AD$482:$AD$495,1)+COUNTIFS($Z$482:$Z$495,Z493,$AB$482:$AB$495,AB493,$V$482:$V$495,"&gt;"&amp;V493,$AD$482:$AD$495,1)+COUNTIFS($Z$482:Z493,Z493,$AB$482:AB493,AB493,$V$482:V493,V493,$AD$482:AD493,1))</x:f>
      </x:c>
      <x:c r="AD493" s="2" t="n">
        <x:f>IF(OR(AA493="DEFENSIV",AA493="PRUDENT",AA493="MODERAT",AA493="RIDICAT"),1,0)</x:f>
        <x:v>0</x:v>
      </x:c>
      <x:c r="AE493" s="2" t="str">
        <x:f>IF(AD493&lt;&gt;1,"NO",IF(W493="PASS","YES",IF(W493="OOS PENDING","CONDITIONAL","NO")))</x:f>
        <x:v>NO</x:v>
      </x:c>
      <x:c r="AF493" s="2" t="n">
        <x:f>IF(AND(AD493=1,AC493=1,E493="LIVE"),1,0)</x:f>
        <x:v>0</x:v>
      </x:c>
      <x:c r="AG493" s="2" t="str">
        <x:f>IF(AF493&lt;&gt;1,"",'Dashboard'!P60)</x:f>
      </x:c>
      <x:c r="AH493" s="2" t="str">
        <x:f>IF(B493="","",IF(J493&lt;&gt;"PASS",'Motor_Meciuri'!J40,IF('Calibrare_Linii'!U17&lt;&gt;"VALID","Parametri linie invalizi",IF(L493&gt;'Config_v6'!$B$13,"Dispersie peste limita",IF(W493="WATCH","Failure peste limita",IF(AB493&lt;'Config_v6'!$B$16,"P finala sub prag",IF(V493&lt;'Config_v6'!$B$18,"Confidence sub prag",IF(E493="REPLAY","Exemplu retrospectiv; exclus din Top LIVE",IF(Y493="PASS","DEFENSIV validat",IF(W493="OOS PENDING","Eligibil; calibrare linie in monitorizare","Eligibil"))))))))))</x:f>
      </x:c>
      <x:c r="AI493" s="2" t="str">
        <x:f>IF(B493="","",'Calibrare_Linii'!V17)</x:f>
      </x:c>
      <x:c r="AJ493" s="2" t="str">
        <x:f>IF(B493="","",IF(AND('Calibrare_Linii'!T17="VALIDATED",AND('Calibrare_Linii'!H17=C493,ISNUMBER('Calibrare_Linii'!J17),'Calibrare_Linii'!J17&lt;='Input_Meci'!G40)),"DEFENSIVE VALIDATED",IF(AND('Calibrare_Linii'!S17="VALIDATED",AND('Calibrare_Linii'!H17=C493,ISNUMBER('Calibrare_Linii'!J17),'Calibrare_Linii'!J17&lt;='Input_Meci'!G40)),"TAIL VALIDATED","OOS PENDING")))</x:f>
      </x:c>
      <x:c r="AK493" s="2" t="n">
        <x:f>IF(J493&lt;&gt;"PASS",0,'Motor_Meciuri'!BR40)</x:f>
        <x:v>0</x:v>
      </x:c>
      <x:c r="AL493" s="2" t="n">
        <x:f>IF(J493&lt;&gt;"PASS",0,'Motor_Meciuri'!BS40)</x:f>
        <x:v>0</x:v>
      </x:c>
      <x:c r="AM493" s="2" t="n">
        <x:f>IF(J493&lt;&gt;"PASS",0,'Motor_Meciuri'!BT40)</x:f>
        <x:v>0</x:v>
      </x:c>
      <x:c r="AN493" s="2" t="str">
        <x:f>IF(M493="","",MAX(0,'Motor_Meciuri'!BF40-IF(L493&gt;'Config_v6'!$B$12,'Config_v6'!$B$37,IF(L493&gt;'Config_v6'!$B$11,'Config_v6'!$B$36,0))))</x:f>
      </x:c>
    </x:row>
    <x:row r="494" ht="21" customHeight="1">
      <x:c r="A494" s="2" t="n">
        <x:v>35</x:v>
      </x:c>
      <x:c r="B494" s="2" t="str">
        <x:f>IF('Motor_Meciuri'!A40="","",'Motor_Meciuri'!A40)</x:f>
      </x:c>
      <x:c r="C494" s="2" t="str">
        <x:f>IF(B494="","",'Motor_Meciuri'!B40)</x:f>
      </x:c>
      <x:c r="D494" s="2" t="str">
        <x:f>IF(B494="","",'Motor_Meciuri'!D40)</x:f>
      </x:c>
      <x:c r="E494" s="2" t="str">
        <x:f>IF(B494="","",'Motor_Meciuri'!E40)</x:f>
      </x:c>
      <x:c r="F494" s="2" t="str">
        <x:v>U16,5</x:v>
      </x:c>
      <x:c r="G494" s="2" t="str">
        <x:v>UNDER</x:v>
      </x:c>
      <x:c r="H494" s="2" t="n">
        <x:v>16</x:v>
      </x:c>
      <x:c r="I494" s="2" t="str">
        <x:f>IF(B494="","",'Motor_Meciuri'!H40)</x:f>
      </x:c>
      <x:c r="J494" s="2" t="str">
        <x:f>IF(B494="","",'Motor_Meciuri'!I40)</x:f>
      </x:c>
      <x:c r="K494" s="11" t="str">
        <x:f>IF(J494&lt;&gt;"PASS","",'Motor_Meciuri'!BD40)</x:f>
      </x:c>
      <x:c r="L494" s="11" t="str">
        <x:f>IF(J494&lt;&gt;"PASS","",'Motor_Meciuri'!AU40)</x:f>
      </x:c>
      <x:c r="M494" s="10" t="str">
        <x:f>IF(NOT(AND(J494="PASS",'Calibrare_Linii'!U18="VALID")),"",'Distributie'!AN40)</x:f>
      </x:c>
      <x:c r="N494" s="10" t="str">
        <x:f>IF(M494="","",MAX(0.01,MIN(0.99,0.5+(M494-0.5)*'Motor_Meciuri'!BG40*'Calibrare_Linii'!D18)))</x:f>
      </x:c>
      <x:c r="O494" s="10" t="str">
        <x:f>IF(M494="","",1-M494)</x:f>
      </x:c>
      <x:c r="P494" s="10" t="str">
        <x:f>IF(OR(NOT(AND(J494="PASS",'Calibrare_Linii'!U18="VALID")),AK494=0),""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*('Istoric_Nativ'!$Q$6:$Q$405&gt;H494))/AK494)</x:f>
      </x:c>
      <x:c r="Q494" s="10" t="str">
        <x:f>IF(OR(NOT(AND(J494="PASS",'Calibrare_Linii'!U18="VALID")),AL494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M40)+((('Istoric_Nativ'!$E$6:$E$405='Input_Meci'!E40)+('Istoric_Nativ'!$F$6:$F$405='Input_Meci'!E40))&gt;0)*('Istoric_Nativ'!$D$6:$D$405&gt;='Motor_Meciuri'!BN40))&gt;0)*('Istoric_Nativ'!$Q$6:$Q$405&gt;H494))/AL494)</x:f>
      </x:c>
      <x:c r="R494" s="10" t="str">
        <x:f>IF(OR(NOT(AND(J494="PASS",'Calibrare_Linii'!U18="VALID")),AM494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O40)+((('Istoric_Nativ'!$E$6:$E$405='Input_Meci'!E40)+('Istoric_Nativ'!$F$6:$F$405='Input_Meci'!E40))&gt;0)*('Istoric_Nativ'!$D$6:$D$405&gt;='Motor_Meciuri'!BP40))&gt;0)*('Istoric_Nativ'!$Q$6:$Q$405&gt;H494))/AM494)</x:f>
      </x:c>
      <x:c r="S494" s="10" t="str">
        <x:f>IF(M494="","",MAX(O494,P494,Q494,R494))</x:f>
      </x:c>
      <x:c r="T494" s="11" t="str">
        <x:f>IF(M494="","",MIN(100,S494*100*'Config_v6'!$B$44+MIN(100,L494/'Config_v6'!$B$13*100)*'Config_v6'!$B$45+(100-'Motor_Meciuri'!BF40)*'Config_v6'!$B$46+'Motor_Meciuri'!BH40*100*'Config_v6'!$B$47))</x:f>
      </x:c>
      <x:c r="U494" s="2" t="str">
        <x:f>IF(T494="","",IF(T494&lt;=20,1,IF(T494&lt;=40,2,IF(T494&lt;=60,3,IF(T494&lt;=80,4,5)))))</x:f>
      </x:c>
      <x:c r="V494" s="2" t="str">
        <x:f>IF(M494="","",MAX(0,'Motor_Meciuri'!BF40-IF(W494="OOS PENDING",'Config_v6'!$B$35,0)-IF(L494&gt;'Config_v6'!$B$12,'Config_v6'!$B$37,IF(L494&gt;'Config_v6'!$B$11,'Config_v6'!$B$36,0))))</x:f>
      </x:c>
      <x:c r="W494" s="2" t="str">
        <x:f>IF(B494="","",IF(I494&lt;&gt;"READY","NOT RELEASED",IF(NOT(AND(J494="PASS",'Calibrare_Linii'!U18="VALID")),"INVALID",IF(NOT(AND('Calibrare_Linii'!S18="VALIDATED",AND('Calibrare_Linii'!H18=C494,ISNUMBER('Calibrare_Linii'!J18),'Calibrare_Linii'!J18&lt;='Input_Meci'!G40))),"OOS PENDING",IF(S494&lt;='Calibrare_Linii'!E18,"PASS",IF(S494&lt;='Calibrare_Linii'!F18,"PENALTY","WATCH"))))))</x:f>
      </x:c>
      <x:c r="X494" s="2" t="str">
        <x:f>IF(M494="","",IF(AND(AND(J494="PASS",'Calibrare_Linii'!U18="VALID"),'Motor_Meciuri'!K40=12,'Motor_Meciuri'!L40=12,'Motor_Meciuri'!M40="NO",'Motor_Meciuri'!BL40='Motor_Meciuri'!C40,AB494&gt;='Config_v6'!$B$50,AN494&gt;='Config_v6'!$B$51,T494&lt;='Config_v6'!$B$52,L494&lt;='Config_v6'!$B$53,ISNUMBER('Calibrare_Linii'!E18),S494&lt;='Calibrare_Linii'!E18,SUM(AK494:AM494)&gt;0),"CANDIDATE","NO"))</x:f>
      </x:c>
      <x:c r="Y494" s="2" t="str">
        <x:f>IF(B494="","",IF(I494&lt;&gt;"READY","NOT RELEASED",IF(AND(X494="CANDIDATE",V494&gt;='Config_v6'!$B$51,W494="PASS",'Calibrare_Linii'!T18="VALIDATED",AND('Calibrare_Linii'!H18=C494,ISNUMBER('Calibrare_Linii'!J18),'Calibrare_Linii'!J18&lt;='Input_Meci'!G40)),"PASS",IF(X494="CANDIDATE","OOS PENDING","FAIL"))))</x:f>
      </x:c>
      <x:c r="Z494" s="2" t="str">
        <x:f>IF(B494="","",IF(I494&lt;&gt;"READY","",IF(OR(NOT(AND(J494="PASS",'Calibrare_Linii'!U18="VALID")),L494&gt;'Config_v6'!$B$13,W494="WATCH"),5,IF(Y494="PASS",1,MIN(5,MAX('Config_v6'!$B$42,U494)+IF(W494="PENALTY",1,0))))))</x:f>
      </x:c>
      <x:c r="AA494" s="2" t="str">
        <x:f>IF(B494="","",IF(I494&lt;&gt;"READY","NOT RELEASED",IF(Z494=5,"NO BET",IF(OR(AB494&lt;'Config_v6'!$B$16,V494&lt;'Config_v6'!$B$18),"WATCH",IF(Z494=1,"DEFENSIV",IF(Z494=2,"PRUDENT",IF(Z494=3,"MODERAT","RIDICAT")))))))</x:f>
      </x:c>
      <x:c r="AB494" s="10" t="str">
        <x:f>IF(N494="","",MIN(N494,1-S494))</x:f>
      </x:c>
      <x:c r="AC494" s="2" t="str">
        <x:f>IF(AD494&lt;&gt;1,"",COUNTIFS($Z$482:$Z$495,"&lt;"&amp;Z494,$AD$482:$AD$495,1)+COUNTIFS($Z$482:$Z$495,Z494,$AB$482:$AB$495,"&gt;"&amp;AB494,$AD$482:$AD$495,1)+COUNTIFS($Z$482:$Z$495,Z494,$AB$482:$AB$495,AB494,$V$482:$V$495,"&gt;"&amp;V494,$AD$482:$AD$495,1)+COUNTIFS($Z$482:Z494,Z494,$AB$482:AB494,AB494,$V$482:V494,V494,$AD$482:AD494,1))</x:f>
      </x:c>
      <x:c r="AD494" s="2" t="n">
        <x:f>IF(OR(AA494="DEFENSIV",AA494="PRUDENT",AA494="MODERAT",AA494="RIDICAT"),1,0)</x:f>
        <x:v>0</x:v>
      </x:c>
      <x:c r="AE494" s="2" t="str">
        <x:f>IF(AD494&lt;&gt;1,"NO",IF(W494="PASS","YES",IF(W494="OOS PENDING","CONDITIONAL","NO")))</x:f>
        <x:v>NO</x:v>
      </x:c>
      <x:c r="AF494" s="2" t="n">
        <x:f>IF(AND(AD494=1,AC494=1,E494="LIVE"),1,0)</x:f>
        <x:v>0</x:v>
      </x:c>
      <x:c r="AG494" s="2" t="str">
        <x:f>IF(AF494&lt;&gt;1,"",'Dashboard'!P60)</x:f>
      </x:c>
      <x:c r="AH494" s="2" t="str">
        <x:f>IF(B494="","",IF(J494&lt;&gt;"PASS",'Motor_Meciuri'!J40,IF('Calibrare_Linii'!U18&lt;&gt;"VALID","Parametri linie invalizi",IF(L494&gt;'Config_v6'!$B$13,"Dispersie peste limita",IF(W494="WATCH","Failure peste limita",IF(AB494&lt;'Config_v6'!$B$16,"P finala sub prag",IF(V494&lt;'Config_v6'!$B$18,"Confidence sub prag",IF(E494="REPLAY","Exemplu retrospectiv; exclus din Top LIVE",IF(Y494="PASS","DEFENSIV validat",IF(W494="OOS PENDING","Eligibil; calibrare linie in monitorizare","Eligibil"))))))))))</x:f>
      </x:c>
      <x:c r="AI494" s="2" t="str">
        <x:f>IF(B494="","",'Calibrare_Linii'!V18)</x:f>
      </x:c>
      <x:c r="AJ494" s="2" t="str">
        <x:f>IF(B494="","",IF(AND('Calibrare_Linii'!T18="VALIDATED",AND('Calibrare_Linii'!H18=C494,ISNUMBER('Calibrare_Linii'!J18),'Calibrare_Linii'!J18&lt;='Input_Meci'!G40)),"DEFENSIVE VALIDATED",IF(AND('Calibrare_Linii'!S18="VALIDATED",AND('Calibrare_Linii'!H18=C494,ISNUMBER('Calibrare_Linii'!J18),'Calibrare_Linii'!J18&lt;='Input_Meci'!G40)),"TAIL VALIDATED","OOS PENDING")))</x:f>
      </x:c>
      <x:c r="AK494" s="2" t="n">
        <x:f>IF(J494&lt;&gt;"PASS",0,'Motor_Meciuri'!BR40)</x:f>
        <x:v>0</x:v>
      </x:c>
      <x:c r="AL494" s="2" t="n">
        <x:f>IF(J494&lt;&gt;"PASS",0,'Motor_Meciuri'!BS40)</x:f>
        <x:v>0</x:v>
      </x:c>
      <x:c r="AM494" s="2" t="n">
        <x:f>IF(J494&lt;&gt;"PASS",0,'Motor_Meciuri'!BT40)</x:f>
        <x:v>0</x:v>
      </x:c>
      <x:c r="AN494" s="2" t="str">
        <x:f>IF(M494="","",MAX(0,'Motor_Meciuri'!BF40-IF(L494&gt;'Config_v6'!$B$12,'Config_v6'!$B$37,IF(L494&gt;'Config_v6'!$B$11,'Config_v6'!$B$36,0))))</x:f>
      </x:c>
    </x:row>
    <x:row r="495" ht="21" customHeight="1">
      <x:c r="A495" s="2" t="n">
        <x:v>35</x:v>
      </x:c>
      <x:c r="B495" s="2" t="str">
        <x:f>IF('Motor_Meciuri'!A40="","",'Motor_Meciuri'!A40)</x:f>
      </x:c>
      <x:c r="C495" s="2" t="str">
        <x:f>IF(B495="","",'Motor_Meciuri'!B40)</x:f>
      </x:c>
      <x:c r="D495" s="2" t="str">
        <x:f>IF(B495="","",'Motor_Meciuri'!D40)</x:f>
      </x:c>
      <x:c r="E495" s="2" t="str">
        <x:f>IF(B495="","",'Motor_Meciuri'!E40)</x:f>
      </x:c>
      <x:c r="F495" s="2" t="str">
        <x:v>U17,5</x:v>
      </x:c>
      <x:c r="G495" s="2" t="str">
        <x:v>UNDER</x:v>
      </x:c>
      <x:c r="H495" s="2" t="n">
        <x:v>17</x:v>
      </x:c>
      <x:c r="I495" s="2" t="str">
        <x:f>IF(B495="","",'Motor_Meciuri'!H40)</x:f>
      </x:c>
      <x:c r="J495" s="2" t="str">
        <x:f>IF(B495="","",'Motor_Meciuri'!I40)</x:f>
      </x:c>
      <x:c r="K495" s="11" t="str">
        <x:f>IF(J495&lt;&gt;"PASS","",'Motor_Meciuri'!BD40)</x:f>
      </x:c>
      <x:c r="L495" s="11" t="str">
        <x:f>IF(J495&lt;&gt;"PASS","",'Motor_Meciuri'!AU40)</x:f>
      </x:c>
      <x:c r="M495" s="10" t="str">
        <x:f>IF(NOT(AND(J495="PASS",'Calibrare_Linii'!U19="VALID")),"",'Distributie'!AO40)</x:f>
      </x:c>
      <x:c r="N495" s="10" t="str">
        <x:f>IF(M495="","",MAX(0.01,MIN(0.99,0.5+(M495-0.5)*'Motor_Meciuri'!BG40*'Calibrare_Linii'!D19)))</x:f>
      </x:c>
      <x:c r="O495" s="10" t="str">
        <x:f>IF(M495="","",1-M495)</x:f>
      </x:c>
      <x:c r="P495" s="10" t="str">
        <x:f>IF(OR(NOT(AND(J495="PASS",'Calibrare_Linii'!U19="VALID")),AK495=0),""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*('Istoric_Nativ'!$Q$6:$Q$405&gt;H495))/AK495)</x:f>
      </x:c>
      <x:c r="Q495" s="10" t="str">
        <x:f>IF(OR(NOT(AND(J495="PASS",'Calibrare_Linii'!U19="VALID")),AL495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M40)+((('Istoric_Nativ'!$E$6:$E$405='Input_Meci'!E40)+('Istoric_Nativ'!$F$6:$F$405='Input_Meci'!E40))&gt;0)*('Istoric_Nativ'!$D$6:$D$405&gt;='Motor_Meciuri'!BN40))&gt;0)*('Istoric_Nativ'!$Q$6:$Q$405&gt;H495))/AL495)</x:f>
      </x:c>
      <x:c r="R495" s="10" t="str">
        <x:f>IF(OR(NOT(AND(J495="PASS",'Calibrare_Linii'!U19="VALID")),AM495=0),""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'Motor_Meciuri'!BO40)+((('Istoric_Nativ'!$E$6:$E$405='Input_Meci'!E40)+('Istoric_Nativ'!$F$6:$F$405='Input_Meci'!E40))&gt;0)*('Istoric_Nativ'!$D$6:$D$405&gt;='Motor_Meciuri'!BP40))&gt;0)*('Istoric_Nativ'!$Q$6:$Q$405&gt;H495))/AM495)</x:f>
      </x:c>
      <x:c r="S495" s="10" t="str">
        <x:f>IF(M495="","",MAX(O495,P495,Q495,R495))</x:f>
      </x:c>
      <x:c r="T495" s="11" t="str">
        <x:f>IF(M495="","",MIN(100,S495*100*'Config_v6'!$B$44+MIN(100,L495/'Config_v6'!$B$13*100)*'Config_v6'!$B$45+(100-'Motor_Meciuri'!BF40)*'Config_v6'!$B$46+'Motor_Meciuri'!BH40*100*'Config_v6'!$B$47))</x:f>
      </x:c>
      <x:c r="U495" s="2" t="str">
        <x:f>IF(T495="","",IF(T495&lt;=20,1,IF(T495&lt;=40,2,IF(T495&lt;=60,3,IF(T495&lt;=80,4,5)))))</x:f>
      </x:c>
      <x:c r="V495" s="2" t="str">
        <x:f>IF(M495="","",MAX(0,'Motor_Meciuri'!BF40-IF(W495="OOS PENDING",'Config_v6'!$B$35,0)-IF(L495&gt;'Config_v6'!$B$12,'Config_v6'!$B$37,IF(L495&gt;'Config_v6'!$B$11,'Config_v6'!$B$36,0))))</x:f>
      </x:c>
      <x:c r="W495" s="2" t="str">
        <x:f>IF(B495="","",IF(I495&lt;&gt;"READY","NOT RELEASED",IF(NOT(AND(J495="PASS",'Calibrare_Linii'!U19="VALID")),"INVALID",IF(NOT(AND('Calibrare_Linii'!S19="VALIDATED",AND('Calibrare_Linii'!H19=C495,ISNUMBER('Calibrare_Linii'!J19),'Calibrare_Linii'!J19&lt;='Input_Meci'!G40))),"OOS PENDING",IF(S495&lt;='Calibrare_Linii'!E19,"PASS",IF(S495&lt;='Calibrare_Linii'!F19,"PENALTY","WATCH"))))))</x:f>
      </x:c>
      <x:c r="X495" s="2" t="str">
        <x:f>IF(M495="","",IF(AND(AND(J495="PASS",'Calibrare_Linii'!U19="VALID"),'Motor_Meciuri'!K40=12,'Motor_Meciuri'!L40=12,'Motor_Meciuri'!M40="NO",'Motor_Meciuri'!BL40='Motor_Meciuri'!C40,AB495&gt;='Config_v6'!$B$50,AN495&gt;='Config_v6'!$B$51,T495&lt;='Config_v6'!$B$52,L495&lt;='Config_v6'!$B$53,ISNUMBER('Calibrare_Linii'!E19),S495&lt;='Calibrare_Linii'!E19,SUM(AK495:AM495)&gt;0),"CANDIDATE","NO"))</x:f>
      </x:c>
      <x:c r="Y495" s="2" t="str">
        <x:f>IF(B495="","",IF(I495&lt;&gt;"READY","NOT RELEASED",IF(AND(X495="CANDIDATE",V495&gt;='Config_v6'!$B$51,W495="PASS",'Calibrare_Linii'!T19="VALIDATED",AND('Calibrare_Linii'!H19=C495,ISNUMBER('Calibrare_Linii'!J19),'Calibrare_Linii'!J19&lt;='Input_Meci'!G40)),"PASS",IF(X495="CANDIDATE","OOS PENDING","FAIL"))))</x:f>
      </x:c>
      <x:c r="Z495" s="2" t="str">
        <x:f>IF(B495="","",IF(I495&lt;&gt;"READY","",IF(OR(NOT(AND(J495="PASS",'Calibrare_Linii'!U19="VALID")),L495&gt;'Config_v6'!$B$13,W495="WATCH"),5,IF(Y495="PASS",1,MIN(5,MAX('Config_v6'!$B$42,U495)+IF(W495="PENALTY",1,0))))))</x:f>
      </x:c>
      <x:c r="AA495" s="2" t="str">
        <x:f>IF(B495="","",IF(I495&lt;&gt;"READY","NOT RELEASED",IF(Z495=5,"NO BET",IF(OR(AB495&lt;'Config_v6'!$B$16,V495&lt;'Config_v6'!$B$18),"WATCH",IF(Z495=1,"DEFENSIV",IF(Z495=2,"PRUDENT",IF(Z495=3,"MODERAT","RIDICAT")))))))</x:f>
      </x:c>
      <x:c r="AB495" s="10" t="str">
        <x:f>IF(N495="","",MIN(N495,1-S495))</x:f>
      </x:c>
      <x:c r="AC495" s="2" t="str">
        <x:f>IF(AD495&lt;&gt;1,"",COUNTIFS($Z$482:$Z$495,"&lt;"&amp;Z495,$AD$482:$AD$495,1)+COUNTIFS($Z$482:$Z$495,Z495,$AB$482:$AB$495,"&gt;"&amp;AB495,$AD$482:$AD$495,1)+COUNTIFS($Z$482:$Z$495,Z495,$AB$482:$AB$495,AB495,$V$482:$V$495,"&gt;"&amp;V495,$AD$482:$AD$495,1)+COUNTIFS($Z$482:Z495,Z495,$AB$482:AB495,AB495,$V$482:V495,V495,$AD$482:AD495,1))</x:f>
      </x:c>
      <x:c r="AD495" s="2" t="n">
        <x:f>IF(OR(AA495="DEFENSIV",AA495="PRUDENT",AA495="MODERAT",AA495="RIDICAT"),1,0)</x:f>
        <x:v>0</x:v>
      </x:c>
      <x:c r="AE495" s="2" t="str">
        <x:f>IF(AD495&lt;&gt;1,"NO",IF(W495="PASS","YES",IF(W495="OOS PENDING","CONDITIONAL","NO")))</x:f>
        <x:v>NO</x:v>
      </x:c>
      <x:c r="AF495" s="2" t="n">
        <x:f>IF(AND(AD495=1,AC495=1,E495="LIVE"),1,0)</x:f>
        <x:v>0</x:v>
      </x:c>
      <x:c r="AG495" s="2" t="str">
        <x:f>IF(AF495&lt;&gt;1,"",'Dashboard'!P60)</x:f>
      </x:c>
      <x:c r="AH495" s="2" t="str">
        <x:f>IF(B495="","",IF(J495&lt;&gt;"PASS",'Motor_Meciuri'!J40,IF('Calibrare_Linii'!U19&lt;&gt;"VALID","Parametri linie invalizi",IF(L495&gt;'Config_v6'!$B$13,"Dispersie peste limita",IF(W495="WATCH","Failure peste limita",IF(AB495&lt;'Config_v6'!$B$16,"P finala sub prag",IF(V495&lt;'Config_v6'!$B$18,"Confidence sub prag",IF(E495="REPLAY","Exemplu retrospectiv; exclus din Top LIVE",IF(Y495="PASS","DEFENSIV validat",IF(W495="OOS PENDING","Eligibil; calibrare linie in monitorizare","Eligibil"))))))))))</x:f>
      </x:c>
      <x:c r="AI495" s="2" t="str">
        <x:f>IF(B495="","",'Calibrare_Linii'!V19)</x:f>
      </x:c>
      <x:c r="AJ495" s="2" t="str">
        <x:f>IF(B495="","",IF(AND('Calibrare_Linii'!T19="VALIDATED",AND('Calibrare_Linii'!H19=C495,ISNUMBER('Calibrare_Linii'!J19),'Calibrare_Linii'!J19&lt;='Input_Meci'!G40)),"DEFENSIVE VALIDATED",IF(AND('Calibrare_Linii'!S19="VALIDATED",AND('Calibrare_Linii'!H19=C495,ISNUMBER('Calibrare_Linii'!J19),'Calibrare_Linii'!J19&lt;='Input_Meci'!G40)),"TAIL VALIDATED","OOS PENDING")))</x:f>
      </x:c>
      <x:c r="AK495" s="2" t="n">
        <x:f>IF(J495&lt;&gt;"PASS",0,'Motor_Meciuri'!BR40)</x:f>
        <x:v>0</x:v>
      </x:c>
      <x:c r="AL495" s="2" t="n">
        <x:f>IF(J495&lt;&gt;"PASS",0,'Motor_Meciuri'!BS40)</x:f>
        <x:v>0</x:v>
      </x:c>
      <x:c r="AM495" s="2" t="n">
        <x:f>IF(J495&lt;&gt;"PASS",0,'Motor_Meciuri'!BT40)</x:f>
        <x:v>0</x:v>
      </x:c>
      <x:c r="AN495" s="2" t="str">
        <x:f>IF(M495="","",MAX(0,'Motor_Meciuri'!BF40-IF(L495&gt;'Config_v6'!$B$12,'Config_v6'!$B$37,IF(L495&gt;'Config_v6'!$B$11,'Config_v6'!$B$36,0))))</x:f>
      </x:c>
    </x:row>
    <x:row r="496" ht="21" customHeight="1">
      <x:c r="A496" s="2" t="n">
        <x:v>36</x:v>
      </x:c>
      <x:c r="B496" s="2" t="str">
        <x:f>IF('Motor_Meciuri'!A41="","",'Motor_Meciuri'!A41)</x:f>
      </x:c>
      <x:c r="C496" s="2" t="str">
        <x:f>IF(B496="","",'Motor_Meciuri'!B41)</x:f>
      </x:c>
      <x:c r="D496" s="2" t="str">
        <x:f>IF(B496="","",'Motor_Meciuri'!D41)</x:f>
      </x:c>
      <x:c r="E496" s="2" t="str">
        <x:f>IF(B496="","",'Motor_Meciuri'!E41)</x:f>
      </x:c>
      <x:c r="F496" s="2" t="str">
        <x:v>O3,5</x:v>
      </x:c>
      <x:c r="G496" s="2" t="str">
        <x:v>OVER</x:v>
      </x:c>
      <x:c r="H496" s="2" t="n">
        <x:v>3</x:v>
      </x:c>
      <x:c r="I496" s="2" t="str">
        <x:f>IF(B496="","",'Motor_Meciuri'!H41)</x:f>
      </x:c>
      <x:c r="J496" s="2" t="str">
        <x:f>IF(B496="","",'Motor_Meciuri'!I41)</x:f>
      </x:c>
      <x:c r="K496" s="11" t="str">
        <x:f>IF(J496&lt;&gt;"PASS","",'Motor_Meciuri'!BD41)</x:f>
      </x:c>
      <x:c r="L496" s="11" t="str">
        <x:f>IF(J496&lt;&gt;"PASS","",'Motor_Meciuri'!AU41)</x:f>
      </x:c>
      <x:c r="M496" s="10" t="str">
        <x:f>IF(NOT(AND(J496="PASS",'Calibrare_Linii'!U6="VALID")),"",1-'Distributie'!AA41)</x:f>
      </x:c>
      <x:c r="N496" s="10" t="str">
        <x:f>IF(M496="","",MAX(0.01,MIN(0.99,0.5+(M496-0.5)*'Motor_Meciuri'!BG41*'Calibrare_Linii'!D6)))</x:f>
      </x:c>
      <x:c r="O496" s="10" t="str">
        <x:f>IF(M496="","",1-M496)</x:f>
      </x:c>
      <x:c r="P496" s="10" t="str">
        <x:f>IF(OR(NOT(AND(J496="PASS",'Calibrare_Linii'!U6="VALID")),AK496=0),""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*('Istoric_Nativ'!$Q$6:$Q$405&lt;=H496))/AK496)</x:f>
      </x:c>
      <x:c r="Q496" s="10" t="str">
        <x:f>IF(OR(NOT(AND(J496="PASS",'Calibrare_Linii'!U6="VALID")),AL496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M41)+((('Istoric_Nativ'!$E$6:$E$405='Input_Meci'!E41)+('Istoric_Nativ'!$F$6:$F$405='Input_Meci'!E41))&gt;0)*('Istoric_Nativ'!$D$6:$D$405&gt;='Motor_Meciuri'!BN41))&gt;0)*('Istoric_Nativ'!$Q$6:$Q$405&lt;=H496))/AL496)</x:f>
      </x:c>
      <x:c r="R496" s="10" t="str">
        <x:f>IF(OR(NOT(AND(J496="PASS",'Calibrare_Linii'!U6="VALID")),AM496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O41)+((('Istoric_Nativ'!$E$6:$E$405='Input_Meci'!E41)+('Istoric_Nativ'!$F$6:$F$405='Input_Meci'!E41))&gt;0)*('Istoric_Nativ'!$D$6:$D$405&gt;='Motor_Meciuri'!BP41))&gt;0)*('Istoric_Nativ'!$Q$6:$Q$405&lt;=H496))/AM496)</x:f>
      </x:c>
      <x:c r="S496" s="10" t="str">
        <x:f>IF(M496="","",MAX(O496,P496,Q496,R496))</x:f>
      </x:c>
      <x:c r="T496" s="11" t="str">
        <x:f>IF(M496="","",MIN(100,S496*100*'Config_v6'!$B$44+MIN(100,L496/'Config_v6'!$B$13*100)*'Config_v6'!$B$45+(100-'Motor_Meciuri'!BF41)*'Config_v6'!$B$46+'Motor_Meciuri'!BH41*100*'Config_v6'!$B$47))</x:f>
      </x:c>
      <x:c r="U496" s="2" t="str">
        <x:f>IF(T496="","",IF(T496&lt;=20,1,IF(T496&lt;=40,2,IF(T496&lt;=60,3,IF(T496&lt;=80,4,5)))))</x:f>
      </x:c>
      <x:c r="V496" s="2" t="str">
        <x:f>IF(M496="","",MAX(0,'Motor_Meciuri'!BF41-IF(W496="OOS PENDING",'Config_v6'!$B$35,0)-IF(L496&gt;'Config_v6'!$B$12,'Config_v6'!$B$37,IF(L496&gt;'Config_v6'!$B$11,'Config_v6'!$B$36,0))))</x:f>
      </x:c>
      <x:c r="W496" s="2" t="str">
        <x:f>IF(B496="","",IF(I496&lt;&gt;"READY","NOT RELEASED",IF(NOT(AND(J496="PASS",'Calibrare_Linii'!U6="VALID")),"INVALID",IF(NOT(TRUE),"OOS PENDING",IF(S496&lt;=IF(AND('Calibrare_Linii'!S6="VALIDATED",AND('Calibrare_Linii'!H6=C496,ISNUMBER('Calibrare_Linii'!J6),'Calibrare_Linii'!J6&lt;='Input_Meci'!G41)),'Calibrare_Linii'!E6,'Config_v6'!$B$26),"PASS",IF(S496&lt;=IF(AND('Calibrare_Linii'!S6="VALIDATED",AND('Calibrare_Linii'!H6=C496,ISNUMBER('Calibrare_Linii'!J6),'Calibrare_Linii'!J6&lt;='Input_Meci'!G41)),'Calibrare_Linii'!F6,'Config_v6'!$C$26),"PENALTY","WATCH"))))))</x:f>
      </x:c>
      <x:c r="X496" s="2" t="str">
        <x:f>IF(M496="","",IF(AND(AND(J496="PASS",'Calibrare_Linii'!U6="VALID"),'Motor_Meciuri'!K41=12,'Motor_Meciuri'!L41=12,'Motor_Meciuri'!M41="NO",'Motor_Meciuri'!BL41='Motor_Meciuri'!C41,AB496&gt;='Config_v6'!$B$50,AN496&gt;='Config_v6'!$B$51,T496&lt;='Config_v6'!$B$52,L496&lt;='Config_v6'!$B$53,ISNUMBER('Calibrare_Linii'!E6),S496&lt;='Calibrare_Linii'!E6,SUM(AK496:AM496)&gt;0),"CANDIDATE","NO"))</x:f>
      </x:c>
      <x:c r="Y496" s="2" t="str">
        <x:f>IF(B496="","",IF(I496&lt;&gt;"READY","NOT RELEASED",IF(AND(X496="CANDIDATE",V496&gt;='Config_v6'!$B$51,W496="PASS",'Calibrare_Linii'!T6="VALIDATED",AND('Calibrare_Linii'!H6=C496,ISNUMBER('Calibrare_Linii'!J6),'Calibrare_Linii'!J6&lt;='Input_Meci'!G41)),"PASS",IF(X496="CANDIDATE","OOS PENDING","FAIL"))))</x:f>
      </x:c>
      <x:c r="Z496" s="2" t="str">
        <x:f>IF(B496="","",IF(I496&lt;&gt;"READY","",IF(OR(NOT(AND(J496="PASS",'Calibrare_Linii'!U6="VALID")),L496&gt;'Config_v6'!$B$13,W496="WATCH"),5,IF(Y496="PASS",1,MIN(5,MAX('Config_v6'!$B$42,U496)+IF(W496="PENALTY",1,0))))))</x:f>
      </x:c>
      <x:c r="AA496" s="2" t="str">
        <x:f>IF(B496="","",IF(I496&lt;&gt;"READY","NOT RELEASED",IF(Z496=5,"NO BET",IF(OR(AB496&lt;'Config_v6'!$B$16,V496&lt;'Config_v6'!$B$18),"WATCH",IF(Z496=1,"DEFENSIV",IF(Z496=2,"PRUDENT",IF(Z496=3,"MODERAT","RIDICAT")))))))</x:f>
      </x:c>
      <x:c r="AB496" s="10" t="str">
        <x:f>IF(N496="","",MIN(N496,1-S496))</x:f>
      </x:c>
      <x:c r="AC496" s="2" t="str">
        <x:f>IF(AD496&lt;&gt;1,"",COUNTIFS($Z$496:$Z$509,"&lt;"&amp;Z496,$AD$496:$AD$509,1)+COUNTIFS($Z$496:$Z$509,Z496,$AB$496:$AB$509,"&gt;"&amp;AB496,$AD$496:$AD$509,1)+COUNTIFS($Z$496:$Z$509,Z496,$AB$496:$AB$509,AB496,$V$496:$V$509,"&gt;"&amp;V496,$AD$496:$AD$509,1)+COUNTIFS($Z$496:Z496,Z496,$AB$496:AB496,AB496,$V$496:V496,V496,$AD$496:AD496,1))</x:f>
      </x:c>
      <x:c r="AD496" s="2" t="n">
        <x:f>IF(OR(AA496="DEFENSIV",AA496="PRUDENT",AA496="MODERAT",AA496="RIDICAT"),1,0)</x:f>
        <x:v>0</x:v>
      </x:c>
      <x:c r="AE496" s="2" t="str">
        <x:f>IF(AD496&lt;&gt;1,"NO",IF(W496="PASS","YES",IF(W496="OOS PENDING","CONDITIONAL","NO")))</x:f>
        <x:v>NO</x:v>
      </x:c>
      <x:c r="AF496" s="2" t="n">
        <x:f>IF(AND(AD496=1,AC496=1,E496="LIVE"),1,0)</x:f>
        <x:v>0</x:v>
      </x:c>
      <x:c r="AG496" s="2" t="str">
        <x:f>IF(AF496&lt;&gt;1,"",'Dashboard'!P61)</x:f>
      </x:c>
      <x:c r="AH496" s="2" t="str">
        <x:f>IF(B496="","",IF(J496&lt;&gt;"PASS",'Motor_Meciuri'!J41,IF('Calibrare_Linii'!U6&lt;&gt;"VALID","Parametri linie invalizi",IF(L496&gt;'Config_v6'!$B$13,"Dispersie peste limita",IF(W496="WATCH","Failure peste limita",IF(AB496&lt;'Config_v6'!$B$16,"P finala sub prag",IF(V496&lt;'Config_v6'!$B$18,"Confidence sub prag",IF(E496="REPLAY","Exemplu retrospectiv; exclus din Top LIVE",IF(Y496="PASS","DEFENSIV validat",IF(W496="OOS PENDING","Eligibil; calibrare linie in monitorizare","Eligibil"))))))))))</x:f>
      </x:c>
      <x:c r="AI496" s="2" t="str">
        <x:f>IF(B496="","",'Calibrare_Linii'!V6)</x:f>
      </x:c>
      <x:c r="AJ496" s="2" t="str">
        <x:f>IF(B496="","",IF(AND('Calibrare_Linii'!T6="VALIDATED",AND('Calibrare_Linii'!H6=C496,ISNUMBER('Calibrare_Linii'!J6),'Calibrare_Linii'!J6&lt;='Input_Meci'!G41)),"DEFENSIVE VALIDATED",IF(AND('Calibrare_Linii'!S6="VALIDATED",AND('Calibrare_Linii'!H6=C496,ISNUMBER('Calibrare_Linii'!J6),'Calibrare_Linii'!J6&lt;='Input_Meci'!G41)),"TAIL VALIDATED","OOS PENDING")))</x:f>
      </x:c>
      <x:c r="AK496" s="2" t="n">
        <x:f>IF(J496&lt;&gt;"PASS",0,'Motor_Meciuri'!BR41)</x:f>
        <x:v>0</x:v>
      </x:c>
      <x:c r="AL496" s="2" t="n">
        <x:f>IF(J496&lt;&gt;"PASS",0,'Motor_Meciuri'!BS41)</x:f>
        <x:v>0</x:v>
      </x:c>
      <x:c r="AM496" s="2" t="n">
        <x:f>IF(J496&lt;&gt;"PASS",0,'Motor_Meciuri'!BT41)</x:f>
        <x:v>0</x:v>
      </x:c>
      <x:c r="AN496" s="2" t="str">
        <x:f>IF(M496="","",MAX(0,'Motor_Meciuri'!BF41-IF(L496&gt;'Config_v6'!$B$12,'Config_v6'!$B$37,IF(L496&gt;'Config_v6'!$B$11,'Config_v6'!$B$36,0))))</x:f>
      </x:c>
    </x:row>
    <x:row r="497" ht="21" customHeight="1">
      <x:c r="A497" s="2" t="n">
        <x:v>36</x:v>
      </x:c>
      <x:c r="B497" s="2" t="str">
        <x:f>IF('Motor_Meciuri'!A41="","",'Motor_Meciuri'!A41)</x:f>
      </x:c>
      <x:c r="C497" s="2" t="str">
        <x:f>IF(B497="","",'Motor_Meciuri'!B41)</x:f>
      </x:c>
      <x:c r="D497" s="2" t="str">
        <x:f>IF(B497="","",'Motor_Meciuri'!D41)</x:f>
      </x:c>
      <x:c r="E497" s="2" t="str">
        <x:f>IF(B497="","",'Motor_Meciuri'!E41)</x:f>
      </x:c>
      <x:c r="F497" s="2" t="str">
        <x:v>O4,5</x:v>
      </x:c>
      <x:c r="G497" s="2" t="str">
        <x:v>OVER</x:v>
      </x:c>
      <x:c r="H497" s="2" t="n">
        <x:v>4</x:v>
      </x:c>
      <x:c r="I497" s="2" t="str">
        <x:f>IF(B497="","",'Motor_Meciuri'!H41)</x:f>
      </x:c>
      <x:c r="J497" s="2" t="str">
        <x:f>IF(B497="","",'Motor_Meciuri'!I41)</x:f>
      </x:c>
      <x:c r="K497" s="11" t="str">
        <x:f>IF(J497&lt;&gt;"PASS","",'Motor_Meciuri'!BD41)</x:f>
      </x:c>
      <x:c r="L497" s="11" t="str">
        <x:f>IF(J497&lt;&gt;"PASS","",'Motor_Meciuri'!AU41)</x:f>
      </x:c>
      <x:c r="M497" s="10" t="str">
        <x:f>IF(NOT(AND(J497="PASS",'Calibrare_Linii'!U7="VALID")),"",1-'Distributie'!AB41)</x:f>
      </x:c>
      <x:c r="N497" s="10" t="str">
        <x:f>IF(M497="","",MAX(0.01,MIN(0.99,0.5+(M497-0.5)*'Motor_Meciuri'!BG41*'Calibrare_Linii'!D7)))</x:f>
      </x:c>
      <x:c r="O497" s="10" t="str">
        <x:f>IF(M497="","",1-M497)</x:f>
      </x:c>
      <x:c r="P497" s="10" t="str">
        <x:f>IF(OR(NOT(AND(J497="PASS",'Calibrare_Linii'!U7="VALID")),AK497=0),""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*('Istoric_Nativ'!$Q$6:$Q$405&lt;=H497))/AK497)</x:f>
      </x:c>
      <x:c r="Q497" s="10" t="str">
        <x:f>IF(OR(NOT(AND(J497="PASS",'Calibrare_Linii'!U7="VALID")),AL497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M41)+((('Istoric_Nativ'!$E$6:$E$405='Input_Meci'!E41)+('Istoric_Nativ'!$F$6:$F$405='Input_Meci'!E41))&gt;0)*('Istoric_Nativ'!$D$6:$D$405&gt;='Motor_Meciuri'!BN41))&gt;0)*('Istoric_Nativ'!$Q$6:$Q$405&lt;=H497))/AL497)</x:f>
      </x:c>
      <x:c r="R497" s="10" t="str">
        <x:f>IF(OR(NOT(AND(J497="PASS",'Calibrare_Linii'!U7="VALID")),AM497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O41)+((('Istoric_Nativ'!$E$6:$E$405='Input_Meci'!E41)+('Istoric_Nativ'!$F$6:$F$405='Input_Meci'!E41))&gt;0)*('Istoric_Nativ'!$D$6:$D$405&gt;='Motor_Meciuri'!BP41))&gt;0)*('Istoric_Nativ'!$Q$6:$Q$405&lt;=H497))/AM497)</x:f>
      </x:c>
      <x:c r="S497" s="10" t="str">
        <x:f>IF(M497="","",MAX(O497,P497,Q497,R497))</x:f>
      </x:c>
      <x:c r="T497" s="11" t="str">
        <x:f>IF(M497="","",MIN(100,S497*100*'Config_v6'!$B$44+MIN(100,L497/'Config_v6'!$B$13*100)*'Config_v6'!$B$45+(100-'Motor_Meciuri'!BF41)*'Config_v6'!$B$46+'Motor_Meciuri'!BH41*100*'Config_v6'!$B$47))</x:f>
      </x:c>
      <x:c r="U497" s="2" t="str">
        <x:f>IF(T497="","",IF(T497&lt;=20,1,IF(T497&lt;=40,2,IF(T497&lt;=60,3,IF(T497&lt;=80,4,5)))))</x:f>
      </x:c>
      <x:c r="V497" s="2" t="str">
        <x:f>IF(M497="","",MAX(0,'Motor_Meciuri'!BF41-IF(W497="OOS PENDING",'Config_v6'!$B$35,0)-IF(L497&gt;'Config_v6'!$B$12,'Config_v6'!$B$37,IF(L497&gt;'Config_v6'!$B$11,'Config_v6'!$B$36,0))))</x:f>
      </x:c>
      <x:c r="W497" s="2" t="str">
        <x:f>IF(B497="","",IF(I497&lt;&gt;"READY","NOT RELEASED",IF(NOT(AND(J497="PASS",'Calibrare_Linii'!U7="VALID")),"INVALID",IF(NOT(AND('Calibrare_Linii'!S7="VALIDATED",AND('Calibrare_Linii'!H7=C497,ISNUMBER('Calibrare_Linii'!J7),'Calibrare_Linii'!J7&lt;='Input_Meci'!G41))),"OOS PENDING",IF(S497&lt;='Calibrare_Linii'!E7,"PASS",IF(S497&lt;='Calibrare_Linii'!F7,"PENALTY","WATCH"))))))</x:f>
      </x:c>
      <x:c r="X497" s="2" t="str">
        <x:f>IF(M497="","",IF(AND(AND(J497="PASS",'Calibrare_Linii'!U7="VALID"),'Motor_Meciuri'!K41=12,'Motor_Meciuri'!L41=12,'Motor_Meciuri'!M41="NO",'Motor_Meciuri'!BL41='Motor_Meciuri'!C41,AB497&gt;='Config_v6'!$B$50,AN497&gt;='Config_v6'!$B$51,T497&lt;='Config_v6'!$B$52,L497&lt;='Config_v6'!$B$53,ISNUMBER('Calibrare_Linii'!E7),S497&lt;='Calibrare_Linii'!E7,SUM(AK497:AM497)&gt;0),"CANDIDATE","NO"))</x:f>
      </x:c>
      <x:c r="Y497" s="2" t="str">
        <x:f>IF(B497="","",IF(I497&lt;&gt;"READY","NOT RELEASED",IF(AND(X497="CANDIDATE",V497&gt;='Config_v6'!$B$51,W497="PASS",'Calibrare_Linii'!T7="VALIDATED",AND('Calibrare_Linii'!H7=C497,ISNUMBER('Calibrare_Linii'!J7),'Calibrare_Linii'!J7&lt;='Input_Meci'!G41)),"PASS",IF(X497="CANDIDATE","OOS PENDING","FAIL"))))</x:f>
      </x:c>
      <x:c r="Z497" s="2" t="str">
        <x:f>IF(B497="","",IF(I497&lt;&gt;"READY","",IF(OR(NOT(AND(J497="PASS",'Calibrare_Linii'!U7="VALID")),L497&gt;'Config_v6'!$B$13,W497="WATCH"),5,IF(Y497="PASS",1,MIN(5,MAX('Config_v6'!$B$42,U497)+IF(W497="PENALTY",1,0))))))</x:f>
      </x:c>
      <x:c r="AA497" s="2" t="str">
        <x:f>IF(B497="","",IF(I497&lt;&gt;"READY","NOT RELEASED",IF(Z497=5,"NO BET",IF(OR(AB497&lt;'Config_v6'!$B$16,V497&lt;'Config_v6'!$B$18),"WATCH",IF(Z497=1,"DEFENSIV",IF(Z497=2,"PRUDENT",IF(Z497=3,"MODERAT","RIDICAT")))))))</x:f>
      </x:c>
      <x:c r="AB497" s="10" t="str">
        <x:f>IF(N497="","",MIN(N497,1-S497))</x:f>
      </x:c>
      <x:c r="AC497" s="2" t="str">
        <x:f>IF(AD497&lt;&gt;1,"",COUNTIFS($Z$496:$Z$509,"&lt;"&amp;Z497,$AD$496:$AD$509,1)+COUNTIFS($Z$496:$Z$509,Z497,$AB$496:$AB$509,"&gt;"&amp;AB497,$AD$496:$AD$509,1)+COUNTIFS($Z$496:$Z$509,Z497,$AB$496:$AB$509,AB497,$V$496:$V$509,"&gt;"&amp;V497,$AD$496:$AD$509,1)+COUNTIFS($Z$496:Z497,Z497,$AB$496:AB497,AB497,$V$496:V497,V497,$AD$496:AD497,1))</x:f>
      </x:c>
      <x:c r="AD497" s="2" t="n">
        <x:f>IF(OR(AA497="DEFENSIV",AA497="PRUDENT",AA497="MODERAT",AA497="RIDICAT"),1,0)</x:f>
        <x:v>0</x:v>
      </x:c>
      <x:c r="AE497" s="2" t="str">
        <x:f>IF(AD497&lt;&gt;1,"NO",IF(W497="PASS","YES",IF(W497="OOS PENDING","CONDITIONAL","NO")))</x:f>
        <x:v>NO</x:v>
      </x:c>
      <x:c r="AF497" s="2" t="n">
        <x:f>IF(AND(AD497=1,AC497=1,E497="LIVE"),1,0)</x:f>
        <x:v>0</x:v>
      </x:c>
      <x:c r="AG497" s="2" t="str">
        <x:f>IF(AF497&lt;&gt;1,"",'Dashboard'!P61)</x:f>
      </x:c>
      <x:c r="AH497" s="2" t="str">
        <x:f>IF(B497="","",IF(J497&lt;&gt;"PASS",'Motor_Meciuri'!J41,IF('Calibrare_Linii'!U7&lt;&gt;"VALID","Parametri linie invalizi",IF(L497&gt;'Config_v6'!$B$13,"Dispersie peste limita",IF(W497="WATCH","Failure peste limita",IF(AB497&lt;'Config_v6'!$B$16,"P finala sub prag",IF(V497&lt;'Config_v6'!$B$18,"Confidence sub prag",IF(E497="REPLAY","Exemplu retrospectiv; exclus din Top LIVE",IF(Y497="PASS","DEFENSIV validat",IF(W497="OOS PENDING","Eligibil; calibrare linie in monitorizare","Eligibil"))))))))))</x:f>
      </x:c>
      <x:c r="AI497" s="2" t="str">
        <x:f>IF(B497="","",'Calibrare_Linii'!V7)</x:f>
      </x:c>
      <x:c r="AJ497" s="2" t="str">
        <x:f>IF(B497="","",IF(AND('Calibrare_Linii'!T7="VALIDATED",AND('Calibrare_Linii'!H7=C497,ISNUMBER('Calibrare_Linii'!J7),'Calibrare_Linii'!J7&lt;='Input_Meci'!G41)),"DEFENSIVE VALIDATED",IF(AND('Calibrare_Linii'!S7="VALIDATED",AND('Calibrare_Linii'!H7=C497,ISNUMBER('Calibrare_Linii'!J7),'Calibrare_Linii'!J7&lt;='Input_Meci'!G41)),"TAIL VALIDATED","OOS PENDING")))</x:f>
      </x:c>
      <x:c r="AK497" s="2" t="n">
        <x:f>IF(J497&lt;&gt;"PASS",0,'Motor_Meciuri'!BR41)</x:f>
        <x:v>0</x:v>
      </x:c>
      <x:c r="AL497" s="2" t="n">
        <x:f>IF(J497&lt;&gt;"PASS",0,'Motor_Meciuri'!BS41)</x:f>
        <x:v>0</x:v>
      </x:c>
      <x:c r="AM497" s="2" t="n">
        <x:f>IF(J497&lt;&gt;"PASS",0,'Motor_Meciuri'!BT41)</x:f>
        <x:v>0</x:v>
      </x:c>
      <x:c r="AN497" s="2" t="str">
        <x:f>IF(M497="","",MAX(0,'Motor_Meciuri'!BF41-IF(L497&gt;'Config_v6'!$B$12,'Config_v6'!$B$37,IF(L497&gt;'Config_v6'!$B$11,'Config_v6'!$B$36,0))))</x:f>
      </x:c>
    </x:row>
    <x:row r="498" ht="21" customHeight="1">
      <x:c r="A498" s="2" t="n">
        <x:v>36</x:v>
      </x:c>
      <x:c r="B498" s="2" t="str">
        <x:f>IF('Motor_Meciuri'!A41="","",'Motor_Meciuri'!A41)</x:f>
      </x:c>
      <x:c r="C498" s="2" t="str">
        <x:f>IF(B498="","",'Motor_Meciuri'!B41)</x:f>
      </x:c>
      <x:c r="D498" s="2" t="str">
        <x:f>IF(B498="","",'Motor_Meciuri'!D41)</x:f>
      </x:c>
      <x:c r="E498" s="2" t="str">
        <x:f>IF(B498="","",'Motor_Meciuri'!E41)</x:f>
      </x:c>
      <x:c r="F498" s="2" t="str">
        <x:v>O5,5</x:v>
      </x:c>
      <x:c r="G498" s="2" t="str">
        <x:v>OVER</x:v>
      </x:c>
      <x:c r="H498" s="2" t="n">
        <x:v>5</x:v>
      </x:c>
      <x:c r="I498" s="2" t="str">
        <x:f>IF(B498="","",'Motor_Meciuri'!H41)</x:f>
      </x:c>
      <x:c r="J498" s="2" t="str">
        <x:f>IF(B498="","",'Motor_Meciuri'!I41)</x:f>
      </x:c>
      <x:c r="K498" s="11" t="str">
        <x:f>IF(J498&lt;&gt;"PASS","",'Motor_Meciuri'!BD41)</x:f>
      </x:c>
      <x:c r="L498" s="11" t="str">
        <x:f>IF(J498&lt;&gt;"PASS","",'Motor_Meciuri'!AU41)</x:f>
      </x:c>
      <x:c r="M498" s="10" t="str">
        <x:f>IF(NOT(AND(J498="PASS",'Calibrare_Linii'!U8="VALID")),"",1-'Distributie'!AC41)</x:f>
      </x:c>
      <x:c r="N498" s="10" t="str">
        <x:f>IF(M498="","",MAX(0.01,MIN(0.99,0.5+(M498-0.5)*'Motor_Meciuri'!BG41*'Calibrare_Linii'!D8)))</x:f>
      </x:c>
      <x:c r="O498" s="10" t="str">
        <x:f>IF(M498="","",1-M498)</x:f>
      </x:c>
      <x:c r="P498" s="10" t="str">
        <x:f>IF(OR(NOT(AND(J498="PASS",'Calibrare_Linii'!U8="VALID")),AK498=0),""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*('Istoric_Nativ'!$Q$6:$Q$405&lt;=H498))/AK498)</x:f>
      </x:c>
      <x:c r="Q498" s="10" t="str">
        <x:f>IF(OR(NOT(AND(J498="PASS",'Calibrare_Linii'!U8="VALID")),AL498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M41)+((('Istoric_Nativ'!$E$6:$E$405='Input_Meci'!E41)+('Istoric_Nativ'!$F$6:$F$405='Input_Meci'!E41))&gt;0)*('Istoric_Nativ'!$D$6:$D$405&gt;='Motor_Meciuri'!BN41))&gt;0)*('Istoric_Nativ'!$Q$6:$Q$405&lt;=H498))/AL498)</x:f>
      </x:c>
      <x:c r="R498" s="10" t="str">
        <x:f>IF(OR(NOT(AND(J498="PASS",'Calibrare_Linii'!U8="VALID")),AM498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O41)+((('Istoric_Nativ'!$E$6:$E$405='Input_Meci'!E41)+('Istoric_Nativ'!$F$6:$F$405='Input_Meci'!E41))&gt;0)*('Istoric_Nativ'!$D$6:$D$405&gt;='Motor_Meciuri'!BP41))&gt;0)*('Istoric_Nativ'!$Q$6:$Q$405&lt;=H498))/AM498)</x:f>
      </x:c>
      <x:c r="S498" s="10" t="str">
        <x:f>IF(M498="","",MAX(O498,P498,Q498,R498))</x:f>
      </x:c>
      <x:c r="T498" s="11" t="str">
        <x:f>IF(M498="","",MIN(100,S498*100*'Config_v6'!$B$44+MIN(100,L498/'Config_v6'!$B$13*100)*'Config_v6'!$B$45+(100-'Motor_Meciuri'!BF41)*'Config_v6'!$B$46+'Motor_Meciuri'!BH41*100*'Config_v6'!$B$47))</x:f>
      </x:c>
      <x:c r="U498" s="2" t="str">
        <x:f>IF(T498="","",IF(T498&lt;=20,1,IF(T498&lt;=40,2,IF(T498&lt;=60,3,IF(T498&lt;=80,4,5)))))</x:f>
      </x:c>
      <x:c r="V498" s="2" t="str">
        <x:f>IF(M498="","",MAX(0,'Motor_Meciuri'!BF41-IF(W498="OOS PENDING",'Config_v6'!$B$35,0)-IF(L498&gt;'Config_v6'!$B$12,'Config_v6'!$B$37,IF(L498&gt;'Config_v6'!$B$11,'Config_v6'!$B$36,0))))</x:f>
      </x:c>
      <x:c r="W498" s="2" t="str">
        <x:f>IF(B498="","",IF(I498&lt;&gt;"READY","NOT RELEASED",IF(NOT(AND(J498="PASS",'Calibrare_Linii'!U8="VALID")),"INVALID",IF(NOT(AND('Calibrare_Linii'!S8="VALIDATED",AND('Calibrare_Linii'!H8=C498,ISNUMBER('Calibrare_Linii'!J8),'Calibrare_Linii'!J8&lt;='Input_Meci'!G41))),"OOS PENDING",IF(S498&lt;='Calibrare_Linii'!E8,"PASS",IF(S498&lt;='Calibrare_Linii'!F8,"PENALTY","WATCH"))))))</x:f>
      </x:c>
      <x:c r="X498" s="2" t="str">
        <x:f>IF(M498="","",IF(AND(AND(J498="PASS",'Calibrare_Linii'!U8="VALID"),'Motor_Meciuri'!K41=12,'Motor_Meciuri'!L41=12,'Motor_Meciuri'!M41="NO",'Motor_Meciuri'!BL41='Motor_Meciuri'!C41,AB498&gt;='Config_v6'!$B$50,AN498&gt;='Config_v6'!$B$51,T498&lt;='Config_v6'!$B$52,L498&lt;='Config_v6'!$B$53,ISNUMBER('Calibrare_Linii'!E8),S498&lt;='Calibrare_Linii'!E8,SUM(AK498:AM498)&gt;0),"CANDIDATE","NO"))</x:f>
      </x:c>
      <x:c r="Y498" s="2" t="str">
        <x:f>IF(B498="","",IF(I498&lt;&gt;"READY","NOT RELEASED",IF(AND(X498="CANDIDATE",V498&gt;='Config_v6'!$B$51,W498="PASS",'Calibrare_Linii'!T8="VALIDATED",AND('Calibrare_Linii'!H8=C498,ISNUMBER('Calibrare_Linii'!J8),'Calibrare_Linii'!J8&lt;='Input_Meci'!G41)),"PASS",IF(X498="CANDIDATE","OOS PENDING","FAIL"))))</x:f>
      </x:c>
      <x:c r="Z498" s="2" t="str">
        <x:f>IF(B498="","",IF(I498&lt;&gt;"READY","",IF(OR(NOT(AND(J498="PASS",'Calibrare_Linii'!U8="VALID")),L498&gt;'Config_v6'!$B$13,W498="WATCH"),5,IF(Y498="PASS",1,MIN(5,MAX('Config_v6'!$B$42,U498)+IF(W498="PENALTY",1,0))))))</x:f>
      </x:c>
      <x:c r="AA498" s="2" t="str">
        <x:f>IF(B498="","",IF(I498&lt;&gt;"READY","NOT RELEASED",IF(Z498=5,"NO BET",IF(OR(AB498&lt;'Config_v6'!$B$16,V498&lt;'Config_v6'!$B$18),"WATCH",IF(Z498=1,"DEFENSIV",IF(Z498=2,"PRUDENT",IF(Z498=3,"MODERAT","RIDICAT")))))))</x:f>
      </x:c>
      <x:c r="AB498" s="10" t="str">
        <x:f>IF(N498="","",MIN(N498,1-S498))</x:f>
      </x:c>
      <x:c r="AC498" s="2" t="str">
        <x:f>IF(AD498&lt;&gt;1,"",COUNTIFS($Z$496:$Z$509,"&lt;"&amp;Z498,$AD$496:$AD$509,1)+COUNTIFS($Z$496:$Z$509,Z498,$AB$496:$AB$509,"&gt;"&amp;AB498,$AD$496:$AD$509,1)+COUNTIFS($Z$496:$Z$509,Z498,$AB$496:$AB$509,AB498,$V$496:$V$509,"&gt;"&amp;V498,$AD$496:$AD$509,1)+COUNTIFS($Z$496:Z498,Z498,$AB$496:AB498,AB498,$V$496:V498,V498,$AD$496:AD498,1))</x:f>
      </x:c>
      <x:c r="AD498" s="2" t="n">
        <x:f>IF(OR(AA498="DEFENSIV",AA498="PRUDENT",AA498="MODERAT",AA498="RIDICAT"),1,0)</x:f>
        <x:v>0</x:v>
      </x:c>
      <x:c r="AE498" s="2" t="str">
        <x:f>IF(AD498&lt;&gt;1,"NO",IF(W498="PASS","YES",IF(W498="OOS PENDING","CONDITIONAL","NO")))</x:f>
        <x:v>NO</x:v>
      </x:c>
      <x:c r="AF498" s="2" t="n">
        <x:f>IF(AND(AD498=1,AC498=1,E498="LIVE"),1,0)</x:f>
        <x:v>0</x:v>
      </x:c>
      <x:c r="AG498" s="2" t="str">
        <x:f>IF(AF498&lt;&gt;1,"",'Dashboard'!P61)</x:f>
      </x:c>
      <x:c r="AH498" s="2" t="str">
        <x:f>IF(B498="","",IF(J498&lt;&gt;"PASS",'Motor_Meciuri'!J41,IF('Calibrare_Linii'!U8&lt;&gt;"VALID","Parametri linie invalizi",IF(L498&gt;'Config_v6'!$B$13,"Dispersie peste limita",IF(W498="WATCH","Failure peste limita",IF(AB498&lt;'Config_v6'!$B$16,"P finala sub prag",IF(V498&lt;'Config_v6'!$B$18,"Confidence sub prag",IF(E498="REPLAY","Exemplu retrospectiv; exclus din Top LIVE",IF(Y498="PASS","DEFENSIV validat",IF(W498="OOS PENDING","Eligibil; calibrare linie in monitorizare","Eligibil"))))))))))</x:f>
      </x:c>
      <x:c r="AI498" s="2" t="str">
        <x:f>IF(B498="","",'Calibrare_Linii'!V8)</x:f>
      </x:c>
      <x:c r="AJ498" s="2" t="str">
        <x:f>IF(B498="","",IF(AND('Calibrare_Linii'!T8="VALIDATED",AND('Calibrare_Linii'!H8=C498,ISNUMBER('Calibrare_Linii'!J8),'Calibrare_Linii'!J8&lt;='Input_Meci'!G41)),"DEFENSIVE VALIDATED",IF(AND('Calibrare_Linii'!S8="VALIDATED",AND('Calibrare_Linii'!H8=C498,ISNUMBER('Calibrare_Linii'!J8),'Calibrare_Linii'!J8&lt;='Input_Meci'!G41)),"TAIL VALIDATED","OOS PENDING")))</x:f>
      </x:c>
      <x:c r="AK498" s="2" t="n">
        <x:f>IF(J498&lt;&gt;"PASS",0,'Motor_Meciuri'!BR41)</x:f>
        <x:v>0</x:v>
      </x:c>
      <x:c r="AL498" s="2" t="n">
        <x:f>IF(J498&lt;&gt;"PASS",0,'Motor_Meciuri'!BS41)</x:f>
        <x:v>0</x:v>
      </x:c>
      <x:c r="AM498" s="2" t="n">
        <x:f>IF(J498&lt;&gt;"PASS",0,'Motor_Meciuri'!BT41)</x:f>
        <x:v>0</x:v>
      </x:c>
      <x:c r="AN498" s="2" t="str">
        <x:f>IF(M498="","",MAX(0,'Motor_Meciuri'!BF41-IF(L498&gt;'Config_v6'!$B$12,'Config_v6'!$B$37,IF(L498&gt;'Config_v6'!$B$11,'Config_v6'!$B$36,0))))</x:f>
      </x:c>
    </x:row>
    <x:row r="499" ht="21" customHeight="1">
      <x:c r="A499" s="2" t="n">
        <x:v>36</x:v>
      </x:c>
      <x:c r="B499" s="2" t="str">
        <x:f>IF('Motor_Meciuri'!A41="","",'Motor_Meciuri'!A41)</x:f>
      </x:c>
      <x:c r="C499" s="2" t="str">
        <x:f>IF(B499="","",'Motor_Meciuri'!B41)</x:f>
      </x:c>
      <x:c r="D499" s="2" t="str">
        <x:f>IF(B499="","",'Motor_Meciuri'!D41)</x:f>
      </x:c>
      <x:c r="E499" s="2" t="str">
        <x:f>IF(B499="","",'Motor_Meciuri'!E41)</x:f>
      </x:c>
      <x:c r="F499" s="2" t="str">
        <x:v>O6,5</x:v>
      </x:c>
      <x:c r="G499" s="2" t="str">
        <x:v>OVER</x:v>
      </x:c>
      <x:c r="H499" s="2" t="n">
        <x:v>6</x:v>
      </x:c>
      <x:c r="I499" s="2" t="str">
        <x:f>IF(B499="","",'Motor_Meciuri'!H41)</x:f>
      </x:c>
      <x:c r="J499" s="2" t="str">
        <x:f>IF(B499="","",'Motor_Meciuri'!I41)</x:f>
      </x:c>
      <x:c r="K499" s="11" t="str">
        <x:f>IF(J499&lt;&gt;"PASS","",'Motor_Meciuri'!BD41)</x:f>
      </x:c>
      <x:c r="L499" s="11" t="str">
        <x:f>IF(J499&lt;&gt;"PASS","",'Motor_Meciuri'!AU41)</x:f>
      </x:c>
      <x:c r="M499" s="10" t="str">
        <x:f>IF(NOT(AND(J499="PASS",'Calibrare_Linii'!U9="VALID")),"",1-'Distributie'!AD41)</x:f>
      </x:c>
      <x:c r="N499" s="10" t="str">
        <x:f>IF(M499="","",MAX(0.01,MIN(0.99,0.5+(M499-0.5)*'Motor_Meciuri'!BG41*'Calibrare_Linii'!D9)))</x:f>
      </x:c>
      <x:c r="O499" s="10" t="str">
        <x:f>IF(M499="","",1-M499)</x:f>
      </x:c>
      <x:c r="P499" s="10" t="str">
        <x:f>IF(OR(NOT(AND(J499="PASS",'Calibrare_Linii'!U9="VALID")),AK499=0),""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*('Istoric_Nativ'!$Q$6:$Q$405&lt;=H499))/AK499)</x:f>
      </x:c>
      <x:c r="Q499" s="10" t="str">
        <x:f>IF(OR(NOT(AND(J499="PASS",'Calibrare_Linii'!U9="VALID")),AL499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M41)+((('Istoric_Nativ'!$E$6:$E$405='Input_Meci'!E41)+('Istoric_Nativ'!$F$6:$F$405='Input_Meci'!E41))&gt;0)*('Istoric_Nativ'!$D$6:$D$405&gt;='Motor_Meciuri'!BN41))&gt;0)*('Istoric_Nativ'!$Q$6:$Q$405&lt;=H499))/AL499)</x:f>
      </x:c>
      <x:c r="R499" s="10" t="str">
        <x:f>IF(OR(NOT(AND(J499="PASS",'Calibrare_Linii'!U9="VALID")),AM499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O41)+((('Istoric_Nativ'!$E$6:$E$405='Input_Meci'!E41)+('Istoric_Nativ'!$F$6:$F$405='Input_Meci'!E41))&gt;0)*('Istoric_Nativ'!$D$6:$D$405&gt;='Motor_Meciuri'!BP41))&gt;0)*('Istoric_Nativ'!$Q$6:$Q$405&lt;=H499))/AM499)</x:f>
      </x:c>
      <x:c r="S499" s="10" t="str">
        <x:f>IF(M499="","",MAX(O499,P499,Q499,R499))</x:f>
      </x:c>
      <x:c r="T499" s="11" t="str">
        <x:f>IF(M499="","",MIN(100,S499*100*'Config_v6'!$B$44+MIN(100,L499/'Config_v6'!$B$13*100)*'Config_v6'!$B$45+(100-'Motor_Meciuri'!BF41)*'Config_v6'!$B$46+'Motor_Meciuri'!BH41*100*'Config_v6'!$B$47))</x:f>
      </x:c>
      <x:c r="U499" s="2" t="str">
        <x:f>IF(T499="","",IF(T499&lt;=20,1,IF(T499&lt;=40,2,IF(T499&lt;=60,3,IF(T499&lt;=80,4,5)))))</x:f>
      </x:c>
      <x:c r="V499" s="2" t="str">
        <x:f>IF(M499="","",MAX(0,'Motor_Meciuri'!BF41-IF(W499="OOS PENDING",'Config_v6'!$B$35,0)-IF(L499&gt;'Config_v6'!$B$12,'Config_v6'!$B$37,IF(L499&gt;'Config_v6'!$B$11,'Config_v6'!$B$36,0))))</x:f>
      </x:c>
      <x:c r="W499" s="2" t="str">
        <x:f>IF(B499="","",IF(I499&lt;&gt;"READY","NOT RELEASED",IF(NOT(AND(J499="PASS",'Calibrare_Linii'!U9="VALID")),"INVALID",IF(NOT(AND('Calibrare_Linii'!S9="VALIDATED",AND('Calibrare_Linii'!H9=C499,ISNUMBER('Calibrare_Linii'!J9),'Calibrare_Linii'!J9&lt;='Input_Meci'!G41))),"OOS PENDING",IF(S499&lt;='Calibrare_Linii'!E9,"PASS",IF(S499&lt;='Calibrare_Linii'!F9,"PENALTY","WATCH"))))))</x:f>
      </x:c>
      <x:c r="X499" s="2" t="str">
        <x:f>IF(M499="","",IF(AND(AND(J499="PASS",'Calibrare_Linii'!U9="VALID"),'Motor_Meciuri'!K41=12,'Motor_Meciuri'!L41=12,'Motor_Meciuri'!M41="NO",'Motor_Meciuri'!BL41='Motor_Meciuri'!C41,AB499&gt;='Config_v6'!$B$50,AN499&gt;='Config_v6'!$B$51,T499&lt;='Config_v6'!$B$52,L499&lt;='Config_v6'!$B$53,ISNUMBER('Calibrare_Linii'!E9),S499&lt;='Calibrare_Linii'!E9,SUM(AK499:AM499)&gt;0),"CANDIDATE","NO"))</x:f>
      </x:c>
      <x:c r="Y499" s="2" t="str">
        <x:f>IF(B499="","",IF(I499&lt;&gt;"READY","NOT RELEASED",IF(AND(X499="CANDIDATE",V499&gt;='Config_v6'!$B$51,W499="PASS",'Calibrare_Linii'!T9="VALIDATED",AND('Calibrare_Linii'!H9=C499,ISNUMBER('Calibrare_Linii'!J9),'Calibrare_Linii'!J9&lt;='Input_Meci'!G41)),"PASS",IF(X499="CANDIDATE","OOS PENDING","FAIL"))))</x:f>
      </x:c>
      <x:c r="Z499" s="2" t="str">
        <x:f>IF(B499="","",IF(I499&lt;&gt;"READY","",IF(OR(NOT(AND(J499="PASS",'Calibrare_Linii'!U9="VALID")),L499&gt;'Config_v6'!$B$13,W499="WATCH"),5,IF(Y499="PASS",1,MIN(5,MAX('Config_v6'!$B$42,U499)+IF(W499="PENALTY",1,0))))))</x:f>
      </x:c>
      <x:c r="AA499" s="2" t="str">
        <x:f>IF(B499="","",IF(I499&lt;&gt;"READY","NOT RELEASED",IF(Z499=5,"NO BET",IF(OR(AB499&lt;'Config_v6'!$B$16,V499&lt;'Config_v6'!$B$18),"WATCH",IF(Z499=1,"DEFENSIV",IF(Z499=2,"PRUDENT",IF(Z499=3,"MODERAT","RIDICAT")))))))</x:f>
      </x:c>
      <x:c r="AB499" s="10" t="str">
        <x:f>IF(N499="","",MIN(N499,1-S499))</x:f>
      </x:c>
      <x:c r="AC499" s="2" t="str">
        <x:f>IF(AD499&lt;&gt;1,"",COUNTIFS($Z$496:$Z$509,"&lt;"&amp;Z499,$AD$496:$AD$509,1)+COUNTIFS($Z$496:$Z$509,Z499,$AB$496:$AB$509,"&gt;"&amp;AB499,$AD$496:$AD$509,1)+COUNTIFS($Z$496:$Z$509,Z499,$AB$496:$AB$509,AB499,$V$496:$V$509,"&gt;"&amp;V499,$AD$496:$AD$509,1)+COUNTIFS($Z$496:Z499,Z499,$AB$496:AB499,AB499,$V$496:V499,V499,$AD$496:AD499,1))</x:f>
      </x:c>
      <x:c r="AD499" s="2" t="n">
        <x:f>IF(OR(AA499="DEFENSIV",AA499="PRUDENT",AA499="MODERAT",AA499="RIDICAT"),1,0)</x:f>
        <x:v>0</x:v>
      </x:c>
      <x:c r="AE499" s="2" t="str">
        <x:f>IF(AD499&lt;&gt;1,"NO",IF(W499="PASS","YES",IF(W499="OOS PENDING","CONDITIONAL","NO")))</x:f>
        <x:v>NO</x:v>
      </x:c>
      <x:c r="AF499" s="2" t="n">
        <x:f>IF(AND(AD499=1,AC499=1,E499="LIVE"),1,0)</x:f>
        <x:v>0</x:v>
      </x:c>
      <x:c r="AG499" s="2" t="str">
        <x:f>IF(AF499&lt;&gt;1,"",'Dashboard'!P61)</x:f>
      </x:c>
      <x:c r="AH499" s="2" t="str">
        <x:f>IF(B499="","",IF(J499&lt;&gt;"PASS",'Motor_Meciuri'!J41,IF('Calibrare_Linii'!U9&lt;&gt;"VALID","Parametri linie invalizi",IF(L499&gt;'Config_v6'!$B$13,"Dispersie peste limita",IF(W499="WATCH","Failure peste limita",IF(AB499&lt;'Config_v6'!$B$16,"P finala sub prag",IF(V499&lt;'Config_v6'!$B$18,"Confidence sub prag",IF(E499="REPLAY","Exemplu retrospectiv; exclus din Top LIVE",IF(Y499="PASS","DEFENSIV validat",IF(W499="OOS PENDING","Eligibil; calibrare linie in monitorizare","Eligibil"))))))))))</x:f>
      </x:c>
      <x:c r="AI499" s="2" t="str">
        <x:f>IF(B499="","",'Calibrare_Linii'!V9)</x:f>
      </x:c>
      <x:c r="AJ499" s="2" t="str">
        <x:f>IF(B499="","",IF(AND('Calibrare_Linii'!T9="VALIDATED",AND('Calibrare_Linii'!H9=C499,ISNUMBER('Calibrare_Linii'!J9),'Calibrare_Linii'!J9&lt;='Input_Meci'!G41)),"DEFENSIVE VALIDATED",IF(AND('Calibrare_Linii'!S9="VALIDATED",AND('Calibrare_Linii'!H9=C499,ISNUMBER('Calibrare_Linii'!J9),'Calibrare_Linii'!J9&lt;='Input_Meci'!G41)),"TAIL VALIDATED","OOS PENDING")))</x:f>
      </x:c>
      <x:c r="AK499" s="2" t="n">
        <x:f>IF(J499&lt;&gt;"PASS",0,'Motor_Meciuri'!BR41)</x:f>
        <x:v>0</x:v>
      </x:c>
      <x:c r="AL499" s="2" t="n">
        <x:f>IF(J499&lt;&gt;"PASS",0,'Motor_Meciuri'!BS41)</x:f>
        <x:v>0</x:v>
      </x:c>
      <x:c r="AM499" s="2" t="n">
        <x:f>IF(J499&lt;&gt;"PASS",0,'Motor_Meciuri'!BT41)</x:f>
        <x:v>0</x:v>
      </x:c>
      <x:c r="AN499" s="2" t="str">
        <x:f>IF(M499="","",MAX(0,'Motor_Meciuri'!BF41-IF(L499&gt;'Config_v6'!$B$12,'Config_v6'!$B$37,IF(L499&gt;'Config_v6'!$B$11,'Config_v6'!$B$36,0))))</x:f>
      </x:c>
    </x:row>
    <x:row r="500" ht="21" customHeight="1">
      <x:c r="A500" s="2" t="n">
        <x:v>36</x:v>
      </x:c>
      <x:c r="B500" s="2" t="str">
        <x:f>IF('Motor_Meciuri'!A41="","",'Motor_Meciuri'!A41)</x:f>
      </x:c>
      <x:c r="C500" s="2" t="str">
        <x:f>IF(B500="","",'Motor_Meciuri'!B41)</x:f>
      </x:c>
      <x:c r="D500" s="2" t="str">
        <x:f>IF(B500="","",'Motor_Meciuri'!D41)</x:f>
      </x:c>
      <x:c r="E500" s="2" t="str">
        <x:f>IF(B500="","",'Motor_Meciuri'!E41)</x:f>
      </x:c>
      <x:c r="F500" s="2" t="str">
        <x:v>O7,5</x:v>
      </x:c>
      <x:c r="G500" s="2" t="str">
        <x:v>OVER</x:v>
      </x:c>
      <x:c r="H500" s="2" t="n">
        <x:v>7</x:v>
      </x:c>
      <x:c r="I500" s="2" t="str">
        <x:f>IF(B500="","",'Motor_Meciuri'!H41)</x:f>
      </x:c>
      <x:c r="J500" s="2" t="str">
        <x:f>IF(B500="","",'Motor_Meciuri'!I41)</x:f>
      </x:c>
      <x:c r="K500" s="11" t="str">
        <x:f>IF(J500&lt;&gt;"PASS","",'Motor_Meciuri'!BD41)</x:f>
      </x:c>
      <x:c r="L500" s="11" t="str">
        <x:f>IF(J500&lt;&gt;"PASS","",'Motor_Meciuri'!AU41)</x:f>
      </x:c>
      <x:c r="M500" s="10" t="str">
        <x:f>IF(NOT(AND(J500="PASS",'Calibrare_Linii'!U10="VALID")),"",1-'Distributie'!AE41)</x:f>
      </x:c>
      <x:c r="N500" s="10" t="str">
        <x:f>IF(M500="","",MAX(0.01,MIN(0.99,0.5+(M500-0.5)*'Motor_Meciuri'!BG41*'Calibrare_Linii'!D10)))</x:f>
      </x:c>
      <x:c r="O500" s="10" t="str">
        <x:f>IF(M500="","",1-M500)</x:f>
      </x:c>
      <x:c r="P500" s="10" t="str">
        <x:f>IF(OR(NOT(AND(J500="PASS",'Calibrare_Linii'!U10="VALID")),AK500=0),""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*('Istoric_Nativ'!$Q$6:$Q$405&lt;=H500))/AK500)</x:f>
      </x:c>
      <x:c r="Q500" s="10" t="str">
        <x:f>IF(OR(NOT(AND(J500="PASS",'Calibrare_Linii'!U10="VALID")),AL500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M41)+((('Istoric_Nativ'!$E$6:$E$405='Input_Meci'!E41)+('Istoric_Nativ'!$F$6:$F$405='Input_Meci'!E41))&gt;0)*('Istoric_Nativ'!$D$6:$D$405&gt;='Motor_Meciuri'!BN41))&gt;0)*('Istoric_Nativ'!$Q$6:$Q$405&lt;=H500))/AL500)</x:f>
      </x:c>
      <x:c r="R500" s="10" t="str">
        <x:f>IF(OR(NOT(AND(J500="PASS",'Calibrare_Linii'!U10="VALID")),AM500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O41)+((('Istoric_Nativ'!$E$6:$E$405='Input_Meci'!E41)+('Istoric_Nativ'!$F$6:$F$405='Input_Meci'!E41))&gt;0)*('Istoric_Nativ'!$D$6:$D$405&gt;='Motor_Meciuri'!BP41))&gt;0)*('Istoric_Nativ'!$Q$6:$Q$405&lt;=H500))/AM500)</x:f>
      </x:c>
      <x:c r="S500" s="10" t="str">
        <x:f>IF(M500="","",MAX(O500,P500,Q500,R500))</x:f>
      </x:c>
      <x:c r="T500" s="11" t="str">
        <x:f>IF(M500="","",MIN(100,S500*100*'Config_v6'!$B$44+MIN(100,L500/'Config_v6'!$B$13*100)*'Config_v6'!$B$45+(100-'Motor_Meciuri'!BF41)*'Config_v6'!$B$46+'Motor_Meciuri'!BH41*100*'Config_v6'!$B$47))</x:f>
      </x:c>
      <x:c r="U500" s="2" t="str">
        <x:f>IF(T500="","",IF(T500&lt;=20,1,IF(T500&lt;=40,2,IF(T500&lt;=60,3,IF(T500&lt;=80,4,5)))))</x:f>
      </x:c>
      <x:c r="V500" s="2" t="str">
        <x:f>IF(M500="","",MAX(0,'Motor_Meciuri'!BF41-IF(W500="OOS PENDING",'Config_v6'!$B$35,0)-IF(L500&gt;'Config_v6'!$B$12,'Config_v6'!$B$37,IF(L500&gt;'Config_v6'!$B$11,'Config_v6'!$B$36,0))))</x:f>
      </x:c>
      <x:c r="W500" s="2" t="str">
        <x:f>IF(B500="","",IF(I500&lt;&gt;"READY","NOT RELEASED",IF(NOT(AND(J500="PASS",'Calibrare_Linii'!U10="VALID")),"INVALID",IF(NOT(AND('Calibrare_Linii'!S10="VALIDATED",AND('Calibrare_Linii'!H10=C500,ISNUMBER('Calibrare_Linii'!J10),'Calibrare_Linii'!J10&lt;='Input_Meci'!G41))),"OOS PENDING",IF(S500&lt;='Calibrare_Linii'!E10,"PASS",IF(S500&lt;='Calibrare_Linii'!F10,"PENALTY","WATCH"))))))</x:f>
      </x:c>
      <x:c r="X500" s="2" t="str">
        <x:f>IF(M500="","",IF(AND(AND(J500="PASS",'Calibrare_Linii'!U10="VALID"),'Motor_Meciuri'!K41=12,'Motor_Meciuri'!L41=12,'Motor_Meciuri'!M41="NO",'Motor_Meciuri'!BL41='Motor_Meciuri'!C41,AB500&gt;='Config_v6'!$B$50,AN500&gt;='Config_v6'!$B$51,T500&lt;='Config_v6'!$B$52,L500&lt;='Config_v6'!$B$53,ISNUMBER('Calibrare_Linii'!E10),S500&lt;='Calibrare_Linii'!E10,SUM(AK500:AM500)&gt;0),"CANDIDATE","NO"))</x:f>
      </x:c>
      <x:c r="Y500" s="2" t="str">
        <x:f>IF(B500="","",IF(I500&lt;&gt;"READY","NOT RELEASED",IF(AND(X500="CANDIDATE",V500&gt;='Config_v6'!$B$51,W500="PASS",'Calibrare_Linii'!T10="VALIDATED",AND('Calibrare_Linii'!H10=C500,ISNUMBER('Calibrare_Linii'!J10),'Calibrare_Linii'!J10&lt;='Input_Meci'!G41)),"PASS",IF(X500="CANDIDATE","OOS PENDING","FAIL"))))</x:f>
      </x:c>
      <x:c r="Z500" s="2" t="str">
        <x:f>IF(B500="","",IF(I500&lt;&gt;"READY","",IF(OR(NOT(AND(J500="PASS",'Calibrare_Linii'!U10="VALID")),L500&gt;'Config_v6'!$B$13,W500="WATCH"),5,IF(Y500="PASS",1,MIN(5,MAX('Config_v6'!$B$42,U500)+IF(W500="PENALTY",1,0))))))</x:f>
      </x:c>
      <x:c r="AA500" s="2" t="str">
        <x:f>IF(B500="","",IF(I500&lt;&gt;"READY","NOT RELEASED",IF(Z500=5,"NO BET",IF(OR(AB500&lt;'Config_v6'!$B$16,V500&lt;'Config_v6'!$B$18),"WATCH",IF(Z500=1,"DEFENSIV",IF(Z500=2,"PRUDENT",IF(Z500=3,"MODERAT","RIDICAT")))))))</x:f>
      </x:c>
      <x:c r="AB500" s="10" t="str">
        <x:f>IF(N500="","",MIN(N500,1-S500))</x:f>
      </x:c>
      <x:c r="AC500" s="2" t="str">
        <x:f>IF(AD500&lt;&gt;1,"",COUNTIFS($Z$496:$Z$509,"&lt;"&amp;Z500,$AD$496:$AD$509,1)+COUNTIFS($Z$496:$Z$509,Z500,$AB$496:$AB$509,"&gt;"&amp;AB500,$AD$496:$AD$509,1)+COUNTIFS($Z$496:$Z$509,Z500,$AB$496:$AB$509,AB500,$V$496:$V$509,"&gt;"&amp;V500,$AD$496:$AD$509,1)+COUNTIFS($Z$496:Z500,Z500,$AB$496:AB500,AB500,$V$496:V500,V500,$AD$496:AD500,1))</x:f>
      </x:c>
      <x:c r="AD500" s="2" t="n">
        <x:f>IF(OR(AA500="DEFENSIV",AA500="PRUDENT",AA500="MODERAT",AA500="RIDICAT"),1,0)</x:f>
        <x:v>0</x:v>
      </x:c>
      <x:c r="AE500" s="2" t="str">
        <x:f>IF(AD500&lt;&gt;1,"NO",IF(W500="PASS","YES",IF(W500="OOS PENDING","CONDITIONAL","NO")))</x:f>
        <x:v>NO</x:v>
      </x:c>
      <x:c r="AF500" s="2" t="n">
        <x:f>IF(AND(AD500=1,AC500=1,E500="LIVE"),1,0)</x:f>
        <x:v>0</x:v>
      </x:c>
      <x:c r="AG500" s="2" t="str">
        <x:f>IF(AF500&lt;&gt;1,"",'Dashboard'!P61)</x:f>
      </x:c>
      <x:c r="AH500" s="2" t="str">
        <x:f>IF(B500="","",IF(J500&lt;&gt;"PASS",'Motor_Meciuri'!J41,IF('Calibrare_Linii'!U10&lt;&gt;"VALID","Parametri linie invalizi",IF(L500&gt;'Config_v6'!$B$13,"Dispersie peste limita",IF(W500="WATCH","Failure peste limita",IF(AB500&lt;'Config_v6'!$B$16,"P finala sub prag",IF(V500&lt;'Config_v6'!$B$18,"Confidence sub prag",IF(E500="REPLAY","Exemplu retrospectiv; exclus din Top LIVE",IF(Y500="PASS","DEFENSIV validat",IF(W500="OOS PENDING","Eligibil; calibrare linie in monitorizare","Eligibil"))))))))))</x:f>
      </x:c>
      <x:c r="AI500" s="2" t="str">
        <x:f>IF(B500="","",'Calibrare_Linii'!V10)</x:f>
      </x:c>
      <x:c r="AJ500" s="2" t="str">
        <x:f>IF(B500="","",IF(AND('Calibrare_Linii'!T10="VALIDATED",AND('Calibrare_Linii'!H10=C500,ISNUMBER('Calibrare_Linii'!J10),'Calibrare_Linii'!J10&lt;='Input_Meci'!G41)),"DEFENSIVE VALIDATED",IF(AND('Calibrare_Linii'!S10="VALIDATED",AND('Calibrare_Linii'!H10=C500,ISNUMBER('Calibrare_Linii'!J10),'Calibrare_Linii'!J10&lt;='Input_Meci'!G41)),"TAIL VALIDATED","OOS PENDING")))</x:f>
      </x:c>
      <x:c r="AK500" s="2" t="n">
        <x:f>IF(J500&lt;&gt;"PASS",0,'Motor_Meciuri'!BR41)</x:f>
        <x:v>0</x:v>
      </x:c>
      <x:c r="AL500" s="2" t="n">
        <x:f>IF(J500&lt;&gt;"PASS",0,'Motor_Meciuri'!BS41)</x:f>
        <x:v>0</x:v>
      </x:c>
      <x:c r="AM500" s="2" t="n">
        <x:f>IF(J500&lt;&gt;"PASS",0,'Motor_Meciuri'!BT41)</x:f>
        <x:v>0</x:v>
      </x:c>
      <x:c r="AN500" s="2" t="str">
        <x:f>IF(M500="","",MAX(0,'Motor_Meciuri'!BF41-IF(L500&gt;'Config_v6'!$B$12,'Config_v6'!$B$37,IF(L500&gt;'Config_v6'!$B$11,'Config_v6'!$B$36,0))))</x:f>
      </x:c>
    </x:row>
    <x:row r="501" ht="21" customHeight="1">
      <x:c r="A501" s="2" t="n">
        <x:v>36</x:v>
      </x:c>
      <x:c r="B501" s="2" t="str">
        <x:f>IF('Motor_Meciuri'!A41="","",'Motor_Meciuri'!A41)</x:f>
      </x:c>
      <x:c r="C501" s="2" t="str">
        <x:f>IF(B501="","",'Motor_Meciuri'!B41)</x:f>
      </x:c>
      <x:c r="D501" s="2" t="str">
        <x:f>IF(B501="","",'Motor_Meciuri'!D41)</x:f>
      </x:c>
      <x:c r="E501" s="2" t="str">
        <x:f>IF(B501="","",'Motor_Meciuri'!E41)</x:f>
      </x:c>
      <x:c r="F501" s="2" t="str">
        <x:v>O8,5</x:v>
      </x:c>
      <x:c r="G501" s="2" t="str">
        <x:v>OVER</x:v>
      </x:c>
      <x:c r="H501" s="2" t="n">
        <x:v>8</x:v>
      </x:c>
      <x:c r="I501" s="2" t="str">
        <x:f>IF(B501="","",'Motor_Meciuri'!H41)</x:f>
      </x:c>
      <x:c r="J501" s="2" t="str">
        <x:f>IF(B501="","",'Motor_Meciuri'!I41)</x:f>
      </x:c>
      <x:c r="K501" s="11" t="str">
        <x:f>IF(J501&lt;&gt;"PASS","",'Motor_Meciuri'!BD41)</x:f>
      </x:c>
      <x:c r="L501" s="11" t="str">
        <x:f>IF(J501&lt;&gt;"PASS","",'Motor_Meciuri'!AU41)</x:f>
      </x:c>
      <x:c r="M501" s="10" t="str">
        <x:f>IF(NOT(AND(J501="PASS",'Calibrare_Linii'!U11="VALID")),"",1-'Distributie'!AF41)</x:f>
      </x:c>
      <x:c r="N501" s="10" t="str">
        <x:f>IF(M501="","",MAX(0.01,MIN(0.99,0.5+(M501-0.5)*'Motor_Meciuri'!BG41*'Calibrare_Linii'!D11)))</x:f>
      </x:c>
      <x:c r="O501" s="10" t="str">
        <x:f>IF(M501="","",1-M501)</x:f>
      </x:c>
      <x:c r="P501" s="10" t="str">
        <x:f>IF(OR(NOT(AND(J501="PASS",'Calibrare_Linii'!U11="VALID")),AK501=0),""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*('Istoric_Nativ'!$Q$6:$Q$405&lt;=H501))/AK501)</x:f>
      </x:c>
      <x:c r="Q501" s="10" t="str">
        <x:f>IF(OR(NOT(AND(J501="PASS",'Calibrare_Linii'!U11="VALID")),AL501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M41)+((('Istoric_Nativ'!$E$6:$E$405='Input_Meci'!E41)+('Istoric_Nativ'!$F$6:$F$405='Input_Meci'!E41))&gt;0)*('Istoric_Nativ'!$D$6:$D$405&gt;='Motor_Meciuri'!BN41))&gt;0)*('Istoric_Nativ'!$Q$6:$Q$405&lt;=H501))/AL501)</x:f>
      </x:c>
      <x:c r="R501" s="10" t="str">
        <x:f>IF(OR(NOT(AND(J501="PASS",'Calibrare_Linii'!U11="VALID")),AM501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O41)+((('Istoric_Nativ'!$E$6:$E$405='Input_Meci'!E41)+('Istoric_Nativ'!$F$6:$F$405='Input_Meci'!E41))&gt;0)*('Istoric_Nativ'!$D$6:$D$405&gt;='Motor_Meciuri'!BP41))&gt;0)*('Istoric_Nativ'!$Q$6:$Q$405&lt;=H501))/AM501)</x:f>
      </x:c>
      <x:c r="S501" s="10" t="str">
        <x:f>IF(M501="","",MAX(O501,P501,Q501,R501))</x:f>
      </x:c>
      <x:c r="T501" s="11" t="str">
        <x:f>IF(M501="","",MIN(100,S501*100*'Config_v6'!$B$44+MIN(100,L501/'Config_v6'!$B$13*100)*'Config_v6'!$B$45+(100-'Motor_Meciuri'!BF41)*'Config_v6'!$B$46+'Motor_Meciuri'!BH41*100*'Config_v6'!$B$47))</x:f>
      </x:c>
      <x:c r="U501" s="2" t="str">
        <x:f>IF(T501="","",IF(T501&lt;=20,1,IF(T501&lt;=40,2,IF(T501&lt;=60,3,IF(T501&lt;=80,4,5)))))</x:f>
      </x:c>
      <x:c r="V501" s="2" t="str">
        <x:f>IF(M501="","",MAX(0,'Motor_Meciuri'!BF41-IF(W501="OOS PENDING",'Config_v6'!$B$35,0)-IF(L501&gt;'Config_v6'!$B$12,'Config_v6'!$B$37,IF(L501&gt;'Config_v6'!$B$11,'Config_v6'!$B$36,0))))</x:f>
      </x:c>
      <x:c r="W501" s="2" t="str">
        <x:f>IF(B501="","",IF(I501&lt;&gt;"READY","NOT RELEASED",IF(NOT(AND(J501="PASS",'Calibrare_Linii'!U11="VALID")),"INVALID",IF(NOT(AND('Calibrare_Linii'!S11="VALIDATED",AND('Calibrare_Linii'!H11=C501,ISNUMBER('Calibrare_Linii'!J11),'Calibrare_Linii'!J11&lt;='Input_Meci'!G41))),"OOS PENDING",IF(S501&lt;='Calibrare_Linii'!E11,"PASS",IF(S501&lt;='Calibrare_Linii'!F11,"PENALTY","WATCH"))))))</x:f>
      </x:c>
      <x:c r="X501" s="2" t="str">
        <x:f>IF(M501="","",IF(AND(AND(J501="PASS",'Calibrare_Linii'!U11="VALID"),'Motor_Meciuri'!K41=12,'Motor_Meciuri'!L41=12,'Motor_Meciuri'!M41="NO",'Motor_Meciuri'!BL41='Motor_Meciuri'!C41,AB501&gt;='Config_v6'!$B$50,AN501&gt;='Config_v6'!$B$51,T501&lt;='Config_v6'!$B$52,L501&lt;='Config_v6'!$B$53,ISNUMBER('Calibrare_Linii'!E11),S501&lt;='Calibrare_Linii'!E11,SUM(AK501:AM501)&gt;0),"CANDIDATE","NO"))</x:f>
      </x:c>
      <x:c r="Y501" s="2" t="str">
        <x:f>IF(B501="","",IF(I501&lt;&gt;"READY","NOT RELEASED",IF(AND(X501="CANDIDATE",V501&gt;='Config_v6'!$B$51,W501="PASS",'Calibrare_Linii'!T11="VALIDATED",AND('Calibrare_Linii'!H11=C501,ISNUMBER('Calibrare_Linii'!J11),'Calibrare_Linii'!J11&lt;='Input_Meci'!G41)),"PASS",IF(X501="CANDIDATE","OOS PENDING","FAIL"))))</x:f>
      </x:c>
      <x:c r="Z501" s="2" t="str">
        <x:f>IF(B501="","",IF(I501&lt;&gt;"READY","",IF(OR(NOT(AND(J501="PASS",'Calibrare_Linii'!U11="VALID")),L501&gt;'Config_v6'!$B$13,W501="WATCH"),5,IF(Y501="PASS",1,MIN(5,MAX('Config_v6'!$B$42,U501)+IF(W501="PENALTY",1,0))))))</x:f>
      </x:c>
      <x:c r="AA501" s="2" t="str">
        <x:f>IF(B501="","",IF(I501&lt;&gt;"READY","NOT RELEASED",IF(Z501=5,"NO BET",IF(OR(AB501&lt;'Config_v6'!$B$16,V501&lt;'Config_v6'!$B$18),"WATCH",IF(Z501=1,"DEFENSIV",IF(Z501=2,"PRUDENT",IF(Z501=3,"MODERAT","RIDICAT")))))))</x:f>
      </x:c>
      <x:c r="AB501" s="10" t="str">
        <x:f>IF(N501="","",MIN(N501,1-S501))</x:f>
      </x:c>
      <x:c r="AC501" s="2" t="str">
        <x:f>IF(AD501&lt;&gt;1,"",COUNTIFS($Z$496:$Z$509,"&lt;"&amp;Z501,$AD$496:$AD$509,1)+COUNTIFS($Z$496:$Z$509,Z501,$AB$496:$AB$509,"&gt;"&amp;AB501,$AD$496:$AD$509,1)+COUNTIFS($Z$496:$Z$509,Z501,$AB$496:$AB$509,AB501,$V$496:$V$509,"&gt;"&amp;V501,$AD$496:$AD$509,1)+COUNTIFS($Z$496:Z501,Z501,$AB$496:AB501,AB501,$V$496:V501,V501,$AD$496:AD501,1))</x:f>
      </x:c>
      <x:c r="AD501" s="2" t="n">
        <x:f>IF(OR(AA501="DEFENSIV",AA501="PRUDENT",AA501="MODERAT",AA501="RIDICAT"),1,0)</x:f>
        <x:v>0</x:v>
      </x:c>
      <x:c r="AE501" s="2" t="str">
        <x:f>IF(AD501&lt;&gt;1,"NO",IF(W501="PASS","YES",IF(W501="OOS PENDING","CONDITIONAL","NO")))</x:f>
        <x:v>NO</x:v>
      </x:c>
      <x:c r="AF501" s="2" t="n">
        <x:f>IF(AND(AD501=1,AC501=1,E501="LIVE"),1,0)</x:f>
        <x:v>0</x:v>
      </x:c>
      <x:c r="AG501" s="2" t="str">
        <x:f>IF(AF501&lt;&gt;1,"",'Dashboard'!P61)</x:f>
      </x:c>
      <x:c r="AH501" s="2" t="str">
        <x:f>IF(B501="","",IF(J501&lt;&gt;"PASS",'Motor_Meciuri'!J41,IF('Calibrare_Linii'!U11&lt;&gt;"VALID","Parametri linie invalizi",IF(L501&gt;'Config_v6'!$B$13,"Dispersie peste limita",IF(W501="WATCH","Failure peste limita",IF(AB501&lt;'Config_v6'!$B$16,"P finala sub prag",IF(V501&lt;'Config_v6'!$B$18,"Confidence sub prag",IF(E501="REPLAY","Exemplu retrospectiv; exclus din Top LIVE",IF(Y501="PASS","DEFENSIV validat",IF(W501="OOS PENDING","Eligibil; calibrare linie in monitorizare","Eligibil"))))))))))</x:f>
      </x:c>
      <x:c r="AI501" s="2" t="str">
        <x:f>IF(B501="","",'Calibrare_Linii'!V11)</x:f>
      </x:c>
      <x:c r="AJ501" s="2" t="str">
        <x:f>IF(B501="","",IF(AND('Calibrare_Linii'!T11="VALIDATED",AND('Calibrare_Linii'!H11=C501,ISNUMBER('Calibrare_Linii'!J11),'Calibrare_Linii'!J11&lt;='Input_Meci'!G41)),"DEFENSIVE VALIDATED",IF(AND('Calibrare_Linii'!S11="VALIDATED",AND('Calibrare_Linii'!H11=C501,ISNUMBER('Calibrare_Linii'!J11),'Calibrare_Linii'!J11&lt;='Input_Meci'!G41)),"TAIL VALIDATED","OOS PENDING")))</x:f>
      </x:c>
      <x:c r="AK501" s="2" t="n">
        <x:f>IF(J501&lt;&gt;"PASS",0,'Motor_Meciuri'!BR41)</x:f>
        <x:v>0</x:v>
      </x:c>
      <x:c r="AL501" s="2" t="n">
        <x:f>IF(J501&lt;&gt;"PASS",0,'Motor_Meciuri'!BS41)</x:f>
        <x:v>0</x:v>
      </x:c>
      <x:c r="AM501" s="2" t="n">
        <x:f>IF(J501&lt;&gt;"PASS",0,'Motor_Meciuri'!BT41)</x:f>
        <x:v>0</x:v>
      </x:c>
      <x:c r="AN501" s="2" t="str">
        <x:f>IF(M501="","",MAX(0,'Motor_Meciuri'!BF41-IF(L501&gt;'Config_v6'!$B$12,'Config_v6'!$B$37,IF(L501&gt;'Config_v6'!$B$11,'Config_v6'!$B$36,0))))</x:f>
      </x:c>
    </x:row>
    <x:row r="502" ht="21" customHeight="1">
      <x:c r="A502" s="2" t="n">
        <x:v>36</x:v>
      </x:c>
      <x:c r="B502" s="2" t="str">
        <x:f>IF('Motor_Meciuri'!A41="","",'Motor_Meciuri'!A41)</x:f>
      </x:c>
      <x:c r="C502" s="2" t="str">
        <x:f>IF(B502="","",'Motor_Meciuri'!B41)</x:f>
      </x:c>
      <x:c r="D502" s="2" t="str">
        <x:f>IF(B502="","",'Motor_Meciuri'!D41)</x:f>
      </x:c>
      <x:c r="E502" s="2" t="str">
        <x:f>IF(B502="","",'Motor_Meciuri'!E41)</x:f>
      </x:c>
      <x:c r="F502" s="2" t="str">
        <x:v>U10,5</x:v>
      </x:c>
      <x:c r="G502" s="2" t="str">
        <x:v>UNDER</x:v>
      </x:c>
      <x:c r="H502" s="2" t="n">
        <x:v>10</x:v>
      </x:c>
      <x:c r="I502" s="2" t="str">
        <x:f>IF(B502="","",'Motor_Meciuri'!H41)</x:f>
      </x:c>
      <x:c r="J502" s="2" t="str">
        <x:f>IF(B502="","",'Motor_Meciuri'!I41)</x:f>
      </x:c>
      <x:c r="K502" s="11" t="str">
        <x:f>IF(J502&lt;&gt;"PASS","",'Motor_Meciuri'!BD41)</x:f>
      </x:c>
      <x:c r="L502" s="11" t="str">
        <x:f>IF(J502&lt;&gt;"PASS","",'Motor_Meciuri'!AU41)</x:f>
      </x:c>
      <x:c r="M502" s="10" t="str">
        <x:f>IF(NOT(AND(J502="PASS",'Calibrare_Linii'!U12="VALID")),"",'Distributie'!AH41)</x:f>
      </x:c>
      <x:c r="N502" s="10" t="str">
        <x:f>IF(M502="","",MAX(0.01,MIN(0.99,0.5+(M502-0.5)*'Motor_Meciuri'!BG41*'Calibrare_Linii'!D12)))</x:f>
      </x:c>
      <x:c r="O502" s="10" t="str">
        <x:f>IF(M502="","",1-M502)</x:f>
      </x:c>
      <x:c r="P502" s="10" t="str">
        <x:f>IF(OR(NOT(AND(J502="PASS",'Calibrare_Linii'!U12="VALID")),AK502=0),""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*('Istoric_Nativ'!$Q$6:$Q$405&gt;H502))/AK502)</x:f>
      </x:c>
      <x:c r="Q502" s="10" t="str">
        <x:f>IF(OR(NOT(AND(J502="PASS",'Calibrare_Linii'!U12="VALID")),AL502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M41)+((('Istoric_Nativ'!$E$6:$E$405='Input_Meci'!E41)+('Istoric_Nativ'!$F$6:$F$405='Input_Meci'!E41))&gt;0)*('Istoric_Nativ'!$D$6:$D$405&gt;='Motor_Meciuri'!BN41))&gt;0)*('Istoric_Nativ'!$Q$6:$Q$405&gt;H502))/AL502)</x:f>
      </x:c>
      <x:c r="R502" s="10" t="str">
        <x:f>IF(OR(NOT(AND(J502="PASS",'Calibrare_Linii'!U12="VALID")),AM502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O41)+((('Istoric_Nativ'!$E$6:$E$405='Input_Meci'!E41)+('Istoric_Nativ'!$F$6:$F$405='Input_Meci'!E41))&gt;0)*('Istoric_Nativ'!$D$6:$D$405&gt;='Motor_Meciuri'!BP41))&gt;0)*('Istoric_Nativ'!$Q$6:$Q$405&gt;H502))/AM502)</x:f>
      </x:c>
      <x:c r="S502" s="10" t="str">
        <x:f>IF(M502="","",MAX(O502,P502,Q502,R502))</x:f>
      </x:c>
      <x:c r="T502" s="11" t="str">
        <x:f>IF(M502="","",MIN(100,S502*100*'Config_v6'!$B$44+MIN(100,L502/'Config_v6'!$B$13*100)*'Config_v6'!$B$45+(100-'Motor_Meciuri'!BF41)*'Config_v6'!$B$46+'Motor_Meciuri'!BH41*100*'Config_v6'!$B$47))</x:f>
      </x:c>
      <x:c r="U502" s="2" t="str">
        <x:f>IF(T502="","",IF(T502&lt;=20,1,IF(T502&lt;=40,2,IF(T502&lt;=60,3,IF(T502&lt;=80,4,5)))))</x:f>
      </x:c>
      <x:c r="V502" s="2" t="str">
        <x:f>IF(M502="","",MAX(0,'Motor_Meciuri'!BF41-IF(W502="OOS PENDING",'Config_v6'!$B$35,0)-IF(L502&gt;'Config_v6'!$B$12,'Config_v6'!$B$37,IF(L502&gt;'Config_v6'!$B$11,'Config_v6'!$B$36,0))))</x:f>
      </x:c>
      <x:c r="W502" s="2" t="str">
        <x:f>IF(B502="","",IF(I502&lt;&gt;"READY","NOT RELEASED",IF(NOT(AND(J502="PASS",'Calibrare_Linii'!U12="VALID")),"INVALID",IF(NOT(AND('Calibrare_Linii'!S12="VALIDATED",AND('Calibrare_Linii'!H12=C502,ISNUMBER('Calibrare_Linii'!J12),'Calibrare_Linii'!J12&lt;='Input_Meci'!G41))),"OOS PENDING",IF(S502&lt;='Calibrare_Linii'!E12,"PASS",IF(S502&lt;='Calibrare_Linii'!F12,"PENALTY","WATCH"))))))</x:f>
      </x:c>
      <x:c r="X502" s="2" t="str">
        <x:f>IF(M502="","",IF(AND(AND(J502="PASS",'Calibrare_Linii'!U12="VALID"),'Motor_Meciuri'!K41=12,'Motor_Meciuri'!L41=12,'Motor_Meciuri'!M41="NO",'Motor_Meciuri'!BL41='Motor_Meciuri'!C41,AB502&gt;='Config_v6'!$B$50,AN502&gt;='Config_v6'!$B$51,T502&lt;='Config_v6'!$B$52,L502&lt;='Config_v6'!$B$53,ISNUMBER('Calibrare_Linii'!E12),S502&lt;='Calibrare_Linii'!E12,SUM(AK502:AM502)&gt;0),"CANDIDATE","NO"))</x:f>
      </x:c>
      <x:c r="Y502" s="2" t="str">
        <x:f>IF(B502="","",IF(I502&lt;&gt;"READY","NOT RELEASED",IF(AND(X502="CANDIDATE",V502&gt;='Config_v6'!$B$51,W502="PASS",'Calibrare_Linii'!T12="VALIDATED",AND('Calibrare_Linii'!H12=C502,ISNUMBER('Calibrare_Linii'!J12),'Calibrare_Linii'!J12&lt;='Input_Meci'!G41)),"PASS",IF(X502="CANDIDATE","OOS PENDING","FAIL"))))</x:f>
      </x:c>
      <x:c r="Z502" s="2" t="str">
        <x:f>IF(B502="","",IF(I502&lt;&gt;"READY","",IF(OR(NOT(AND(J502="PASS",'Calibrare_Linii'!U12="VALID")),L502&gt;'Config_v6'!$B$13,W502="WATCH"),5,IF(Y502="PASS",1,MIN(5,MAX('Config_v6'!$B$42,U502)+IF(W502="PENALTY",1,0))))))</x:f>
      </x:c>
      <x:c r="AA502" s="2" t="str">
        <x:f>IF(B502="","",IF(I502&lt;&gt;"READY","NOT RELEASED",IF(Z502=5,"NO BET",IF(OR(AB502&lt;'Config_v6'!$B$16,V502&lt;'Config_v6'!$B$18),"WATCH",IF(Z502=1,"DEFENSIV",IF(Z502=2,"PRUDENT",IF(Z502=3,"MODERAT","RIDICAT")))))))</x:f>
      </x:c>
      <x:c r="AB502" s="10" t="str">
        <x:f>IF(N502="","",MIN(N502,1-S502))</x:f>
      </x:c>
      <x:c r="AC502" s="2" t="str">
        <x:f>IF(AD502&lt;&gt;1,"",COUNTIFS($Z$496:$Z$509,"&lt;"&amp;Z502,$AD$496:$AD$509,1)+COUNTIFS($Z$496:$Z$509,Z502,$AB$496:$AB$509,"&gt;"&amp;AB502,$AD$496:$AD$509,1)+COUNTIFS($Z$496:$Z$509,Z502,$AB$496:$AB$509,AB502,$V$496:$V$509,"&gt;"&amp;V502,$AD$496:$AD$509,1)+COUNTIFS($Z$496:Z502,Z502,$AB$496:AB502,AB502,$V$496:V502,V502,$AD$496:AD502,1))</x:f>
      </x:c>
      <x:c r="AD502" s="2" t="n">
        <x:f>IF(OR(AA502="DEFENSIV",AA502="PRUDENT",AA502="MODERAT",AA502="RIDICAT"),1,0)</x:f>
        <x:v>0</x:v>
      </x:c>
      <x:c r="AE502" s="2" t="str">
        <x:f>IF(AD502&lt;&gt;1,"NO",IF(W502="PASS","YES",IF(W502="OOS PENDING","CONDITIONAL","NO")))</x:f>
        <x:v>NO</x:v>
      </x:c>
      <x:c r="AF502" s="2" t="n">
        <x:f>IF(AND(AD502=1,AC502=1,E502="LIVE"),1,0)</x:f>
        <x:v>0</x:v>
      </x:c>
      <x:c r="AG502" s="2" t="str">
        <x:f>IF(AF502&lt;&gt;1,"",'Dashboard'!P61)</x:f>
      </x:c>
      <x:c r="AH502" s="2" t="str">
        <x:f>IF(B502="","",IF(J502&lt;&gt;"PASS",'Motor_Meciuri'!J41,IF('Calibrare_Linii'!U12&lt;&gt;"VALID","Parametri linie invalizi",IF(L502&gt;'Config_v6'!$B$13,"Dispersie peste limita",IF(W502="WATCH","Failure peste limita",IF(AB502&lt;'Config_v6'!$B$16,"P finala sub prag",IF(V502&lt;'Config_v6'!$B$18,"Confidence sub prag",IF(E502="REPLAY","Exemplu retrospectiv; exclus din Top LIVE",IF(Y502="PASS","DEFENSIV validat",IF(W502="OOS PENDING","Eligibil; calibrare linie in monitorizare","Eligibil"))))))))))</x:f>
      </x:c>
      <x:c r="AI502" s="2" t="str">
        <x:f>IF(B502="","",'Calibrare_Linii'!V12)</x:f>
      </x:c>
      <x:c r="AJ502" s="2" t="str">
        <x:f>IF(B502="","",IF(AND('Calibrare_Linii'!T12="VALIDATED",AND('Calibrare_Linii'!H12=C502,ISNUMBER('Calibrare_Linii'!J12),'Calibrare_Linii'!J12&lt;='Input_Meci'!G41)),"DEFENSIVE VALIDATED",IF(AND('Calibrare_Linii'!S12="VALIDATED",AND('Calibrare_Linii'!H12=C502,ISNUMBER('Calibrare_Linii'!J12),'Calibrare_Linii'!J12&lt;='Input_Meci'!G41)),"TAIL VALIDATED","OOS PENDING")))</x:f>
      </x:c>
      <x:c r="AK502" s="2" t="n">
        <x:f>IF(J502&lt;&gt;"PASS",0,'Motor_Meciuri'!BR41)</x:f>
        <x:v>0</x:v>
      </x:c>
      <x:c r="AL502" s="2" t="n">
        <x:f>IF(J502&lt;&gt;"PASS",0,'Motor_Meciuri'!BS41)</x:f>
        <x:v>0</x:v>
      </x:c>
      <x:c r="AM502" s="2" t="n">
        <x:f>IF(J502&lt;&gt;"PASS",0,'Motor_Meciuri'!BT41)</x:f>
        <x:v>0</x:v>
      </x:c>
      <x:c r="AN502" s="2" t="str">
        <x:f>IF(M502="","",MAX(0,'Motor_Meciuri'!BF41-IF(L502&gt;'Config_v6'!$B$12,'Config_v6'!$B$37,IF(L502&gt;'Config_v6'!$B$11,'Config_v6'!$B$36,0))))</x:f>
      </x:c>
    </x:row>
    <x:row r="503" ht="21" customHeight="1">
      <x:c r="A503" s="2" t="n">
        <x:v>36</x:v>
      </x:c>
      <x:c r="B503" s="2" t="str">
        <x:f>IF('Motor_Meciuri'!A41="","",'Motor_Meciuri'!A41)</x:f>
      </x:c>
      <x:c r="C503" s="2" t="str">
        <x:f>IF(B503="","",'Motor_Meciuri'!B41)</x:f>
      </x:c>
      <x:c r="D503" s="2" t="str">
        <x:f>IF(B503="","",'Motor_Meciuri'!D41)</x:f>
      </x:c>
      <x:c r="E503" s="2" t="str">
        <x:f>IF(B503="","",'Motor_Meciuri'!E41)</x:f>
      </x:c>
      <x:c r="F503" s="2" t="str">
        <x:v>U11,5</x:v>
      </x:c>
      <x:c r="G503" s="2" t="str">
        <x:v>UNDER</x:v>
      </x:c>
      <x:c r="H503" s="2" t="n">
        <x:v>11</x:v>
      </x:c>
      <x:c r="I503" s="2" t="str">
        <x:f>IF(B503="","",'Motor_Meciuri'!H41)</x:f>
      </x:c>
      <x:c r="J503" s="2" t="str">
        <x:f>IF(B503="","",'Motor_Meciuri'!I41)</x:f>
      </x:c>
      <x:c r="K503" s="11" t="str">
        <x:f>IF(J503&lt;&gt;"PASS","",'Motor_Meciuri'!BD41)</x:f>
      </x:c>
      <x:c r="L503" s="11" t="str">
        <x:f>IF(J503&lt;&gt;"PASS","",'Motor_Meciuri'!AU41)</x:f>
      </x:c>
      <x:c r="M503" s="10" t="str">
        <x:f>IF(NOT(AND(J503="PASS",'Calibrare_Linii'!U13="VALID")),"",'Distributie'!AI41)</x:f>
      </x:c>
      <x:c r="N503" s="10" t="str">
        <x:f>IF(M503="","",MAX(0.01,MIN(0.99,0.5+(M503-0.5)*'Motor_Meciuri'!BG41*'Calibrare_Linii'!D13)))</x:f>
      </x:c>
      <x:c r="O503" s="10" t="str">
        <x:f>IF(M503="","",1-M503)</x:f>
      </x:c>
      <x:c r="P503" s="10" t="str">
        <x:f>IF(OR(NOT(AND(J503="PASS",'Calibrare_Linii'!U13="VALID")),AK503=0),""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*('Istoric_Nativ'!$Q$6:$Q$405&gt;H503))/AK503)</x:f>
      </x:c>
      <x:c r="Q503" s="10" t="str">
        <x:f>IF(OR(NOT(AND(J503="PASS",'Calibrare_Linii'!U13="VALID")),AL503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M41)+((('Istoric_Nativ'!$E$6:$E$405='Input_Meci'!E41)+('Istoric_Nativ'!$F$6:$F$405='Input_Meci'!E41))&gt;0)*('Istoric_Nativ'!$D$6:$D$405&gt;='Motor_Meciuri'!BN41))&gt;0)*('Istoric_Nativ'!$Q$6:$Q$405&gt;H503))/AL503)</x:f>
      </x:c>
      <x:c r="R503" s="10" t="str">
        <x:f>IF(OR(NOT(AND(J503="PASS",'Calibrare_Linii'!U13="VALID")),AM503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O41)+((('Istoric_Nativ'!$E$6:$E$405='Input_Meci'!E41)+('Istoric_Nativ'!$F$6:$F$405='Input_Meci'!E41))&gt;0)*('Istoric_Nativ'!$D$6:$D$405&gt;='Motor_Meciuri'!BP41))&gt;0)*('Istoric_Nativ'!$Q$6:$Q$405&gt;H503))/AM503)</x:f>
      </x:c>
      <x:c r="S503" s="10" t="str">
        <x:f>IF(M503="","",MAX(O503,P503,Q503,R503))</x:f>
      </x:c>
      <x:c r="T503" s="11" t="str">
        <x:f>IF(M503="","",MIN(100,S503*100*'Config_v6'!$B$44+MIN(100,L503/'Config_v6'!$B$13*100)*'Config_v6'!$B$45+(100-'Motor_Meciuri'!BF41)*'Config_v6'!$B$46+'Motor_Meciuri'!BH41*100*'Config_v6'!$B$47))</x:f>
      </x:c>
      <x:c r="U503" s="2" t="str">
        <x:f>IF(T503="","",IF(T503&lt;=20,1,IF(T503&lt;=40,2,IF(T503&lt;=60,3,IF(T503&lt;=80,4,5)))))</x:f>
      </x:c>
      <x:c r="V503" s="2" t="str">
        <x:f>IF(M503="","",MAX(0,'Motor_Meciuri'!BF41-IF(W503="OOS PENDING",'Config_v6'!$B$35,0)-IF(L503&gt;'Config_v6'!$B$12,'Config_v6'!$B$37,IF(L503&gt;'Config_v6'!$B$11,'Config_v6'!$B$36,0))))</x:f>
      </x:c>
      <x:c r="W503" s="2" t="str">
        <x:f>IF(B503="","",IF(I503&lt;&gt;"READY","NOT RELEASED",IF(NOT(AND(J503="PASS",'Calibrare_Linii'!U13="VALID")),"INVALID",IF(NOT(AND('Calibrare_Linii'!S13="VALIDATED",AND('Calibrare_Linii'!H13=C503,ISNUMBER('Calibrare_Linii'!J13),'Calibrare_Linii'!J13&lt;='Input_Meci'!G41))),"OOS PENDING",IF(S503&lt;='Calibrare_Linii'!E13,"PASS",IF(S503&lt;='Calibrare_Linii'!F13,"PENALTY","WATCH"))))))</x:f>
      </x:c>
      <x:c r="X503" s="2" t="str">
        <x:f>IF(M503="","",IF(AND(AND(J503="PASS",'Calibrare_Linii'!U13="VALID"),'Motor_Meciuri'!K41=12,'Motor_Meciuri'!L41=12,'Motor_Meciuri'!M41="NO",'Motor_Meciuri'!BL41='Motor_Meciuri'!C41,AB503&gt;='Config_v6'!$B$50,AN503&gt;='Config_v6'!$B$51,T503&lt;='Config_v6'!$B$52,L503&lt;='Config_v6'!$B$53,ISNUMBER('Calibrare_Linii'!E13),S503&lt;='Calibrare_Linii'!E13,SUM(AK503:AM503)&gt;0),"CANDIDATE","NO"))</x:f>
      </x:c>
      <x:c r="Y503" s="2" t="str">
        <x:f>IF(B503="","",IF(I503&lt;&gt;"READY","NOT RELEASED",IF(AND(X503="CANDIDATE",V503&gt;='Config_v6'!$B$51,W503="PASS",'Calibrare_Linii'!T13="VALIDATED",AND('Calibrare_Linii'!H13=C503,ISNUMBER('Calibrare_Linii'!J13),'Calibrare_Linii'!J13&lt;='Input_Meci'!G41)),"PASS",IF(X503="CANDIDATE","OOS PENDING","FAIL"))))</x:f>
      </x:c>
      <x:c r="Z503" s="2" t="str">
        <x:f>IF(B503="","",IF(I503&lt;&gt;"READY","",IF(OR(NOT(AND(J503="PASS",'Calibrare_Linii'!U13="VALID")),L503&gt;'Config_v6'!$B$13,W503="WATCH"),5,IF(Y503="PASS",1,MIN(5,MAX('Config_v6'!$B$42,U503)+IF(W503="PENALTY",1,0))))))</x:f>
      </x:c>
      <x:c r="AA503" s="2" t="str">
        <x:f>IF(B503="","",IF(I503&lt;&gt;"READY","NOT RELEASED",IF(Z503=5,"NO BET",IF(OR(AB503&lt;'Config_v6'!$B$16,V503&lt;'Config_v6'!$B$18),"WATCH",IF(Z503=1,"DEFENSIV",IF(Z503=2,"PRUDENT",IF(Z503=3,"MODERAT","RIDICAT")))))))</x:f>
      </x:c>
      <x:c r="AB503" s="10" t="str">
        <x:f>IF(N503="","",MIN(N503,1-S503))</x:f>
      </x:c>
      <x:c r="AC503" s="2" t="str">
        <x:f>IF(AD503&lt;&gt;1,"",COUNTIFS($Z$496:$Z$509,"&lt;"&amp;Z503,$AD$496:$AD$509,1)+COUNTIFS($Z$496:$Z$509,Z503,$AB$496:$AB$509,"&gt;"&amp;AB503,$AD$496:$AD$509,1)+COUNTIFS($Z$496:$Z$509,Z503,$AB$496:$AB$509,AB503,$V$496:$V$509,"&gt;"&amp;V503,$AD$496:$AD$509,1)+COUNTIFS($Z$496:Z503,Z503,$AB$496:AB503,AB503,$V$496:V503,V503,$AD$496:AD503,1))</x:f>
      </x:c>
      <x:c r="AD503" s="2" t="n">
        <x:f>IF(OR(AA503="DEFENSIV",AA503="PRUDENT",AA503="MODERAT",AA503="RIDICAT"),1,0)</x:f>
        <x:v>0</x:v>
      </x:c>
      <x:c r="AE503" s="2" t="str">
        <x:f>IF(AD503&lt;&gt;1,"NO",IF(W503="PASS","YES",IF(W503="OOS PENDING","CONDITIONAL","NO")))</x:f>
        <x:v>NO</x:v>
      </x:c>
      <x:c r="AF503" s="2" t="n">
        <x:f>IF(AND(AD503=1,AC503=1,E503="LIVE"),1,0)</x:f>
        <x:v>0</x:v>
      </x:c>
      <x:c r="AG503" s="2" t="str">
        <x:f>IF(AF503&lt;&gt;1,"",'Dashboard'!P61)</x:f>
      </x:c>
      <x:c r="AH503" s="2" t="str">
        <x:f>IF(B503="","",IF(J503&lt;&gt;"PASS",'Motor_Meciuri'!J41,IF('Calibrare_Linii'!U13&lt;&gt;"VALID","Parametri linie invalizi",IF(L503&gt;'Config_v6'!$B$13,"Dispersie peste limita",IF(W503="WATCH","Failure peste limita",IF(AB503&lt;'Config_v6'!$B$16,"P finala sub prag",IF(V503&lt;'Config_v6'!$B$18,"Confidence sub prag",IF(E503="REPLAY","Exemplu retrospectiv; exclus din Top LIVE",IF(Y503="PASS","DEFENSIV validat",IF(W503="OOS PENDING","Eligibil; calibrare linie in monitorizare","Eligibil"))))))))))</x:f>
      </x:c>
      <x:c r="AI503" s="2" t="str">
        <x:f>IF(B503="","",'Calibrare_Linii'!V13)</x:f>
      </x:c>
      <x:c r="AJ503" s="2" t="str">
        <x:f>IF(B503="","",IF(AND('Calibrare_Linii'!T13="VALIDATED",AND('Calibrare_Linii'!H13=C503,ISNUMBER('Calibrare_Linii'!J13),'Calibrare_Linii'!J13&lt;='Input_Meci'!G41)),"DEFENSIVE VALIDATED",IF(AND('Calibrare_Linii'!S13="VALIDATED",AND('Calibrare_Linii'!H13=C503,ISNUMBER('Calibrare_Linii'!J13),'Calibrare_Linii'!J13&lt;='Input_Meci'!G41)),"TAIL VALIDATED","OOS PENDING")))</x:f>
      </x:c>
      <x:c r="AK503" s="2" t="n">
        <x:f>IF(J503&lt;&gt;"PASS",0,'Motor_Meciuri'!BR41)</x:f>
        <x:v>0</x:v>
      </x:c>
      <x:c r="AL503" s="2" t="n">
        <x:f>IF(J503&lt;&gt;"PASS",0,'Motor_Meciuri'!BS41)</x:f>
        <x:v>0</x:v>
      </x:c>
      <x:c r="AM503" s="2" t="n">
        <x:f>IF(J503&lt;&gt;"PASS",0,'Motor_Meciuri'!BT41)</x:f>
        <x:v>0</x:v>
      </x:c>
      <x:c r="AN503" s="2" t="str">
        <x:f>IF(M503="","",MAX(0,'Motor_Meciuri'!BF41-IF(L503&gt;'Config_v6'!$B$12,'Config_v6'!$B$37,IF(L503&gt;'Config_v6'!$B$11,'Config_v6'!$B$36,0))))</x:f>
      </x:c>
    </x:row>
    <x:row r="504" ht="21" customHeight="1">
      <x:c r="A504" s="2" t="n">
        <x:v>36</x:v>
      </x:c>
      <x:c r="B504" s="2" t="str">
        <x:f>IF('Motor_Meciuri'!A41="","",'Motor_Meciuri'!A41)</x:f>
      </x:c>
      <x:c r="C504" s="2" t="str">
        <x:f>IF(B504="","",'Motor_Meciuri'!B41)</x:f>
      </x:c>
      <x:c r="D504" s="2" t="str">
        <x:f>IF(B504="","",'Motor_Meciuri'!D41)</x:f>
      </x:c>
      <x:c r="E504" s="2" t="str">
        <x:f>IF(B504="","",'Motor_Meciuri'!E41)</x:f>
      </x:c>
      <x:c r="F504" s="2" t="str">
        <x:v>U12,5</x:v>
      </x:c>
      <x:c r="G504" s="2" t="str">
        <x:v>UNDER</x:v>
      </x:c>
      <x:c r="H504" s="2" t="n">
        <x:v>12</x:v>
      </x:c>
      <x:c r="I504" s="2" t="str">
        <x:f>IF(B504="","",'Motor_Meciuri'!H41)</x:f>
      </x:c>
      <x:c r="J504" s="2" t="str">
        <x:f>IF(B504="","",'Motor_Meciuri'!I41)</x:f>
      </x:c>
      <x:c r="K504" s="11" t="str">
        <x:f>IF(J504&lt;&gt;"PASS","",'Motor_Meciuri'!BD41)</x:f>
      </x:c>
      <x:c r="L504" s="11" t="str">
        <x:f>IF(J504&lt;&gt;"PASS","",'Motor_Meciuri'!AU41)</x:f>
      </x:c>
      <x:c r="M504" s="10" t="str">
        <x:f>IF(NOT(AND(J504="PASS",'Calibrare_Linii'!U14="VALID")),"",'Distributie'!AJ41)</x:f>
      </x:c>
      <x:c r="N504" s="10" t="str">
        <x:f>IF(M504="","",MAX(0.01,MIN(0.99,0.5+(M504-0.5)*'Motor_Meciuri'!BG41*'Calibrare_Linii'!D14)))</x:f>
      </x:c>
      <x:c r="O504" s="10" t="str">
        <x:f>IF(M504="","",1-M504)</x:f>
      </x:c>
      <x:c r="P504" s="10" t="str">
        <x:f>IF(OR(NOT(AND(J504="PASS",'Calibrare_Linii'!U14="VALID")),AK504=0),""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*('Istoric_Nativ'!$Q$6:$Q$405&gt;H504))/AK504)</x:f>
      </x:c>
      <x:c r="Q504" s="10" t="str">
        <x:f>IF(OR(NOT(AND(J504="PASS",'Calibrare_Linii'!U14="VALID")),AL504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M41)+((('Istoric_Nativ'!$E$6:$E$405='Input_Meci'!E41)+('Istoric_Nativ'!$F$6:$F$405='Input_Meci'!E41))&gt;0)*('Istoric_Nativ'!$D$6:$D$405&gt;='Motor_Meciuri'!BN41))&gt;0)*('Istoric_Nativ'!$Q$6:$Q$405&gt;H504))/AL504)</x:f>
      </x:c>
      <x:c r="R504" s="10" t="str">
        <x:f>IF(OR(NOT(AND(J504="PASS",'Calibrare_Linii'!U14="VALID")),AM504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O41)+((('Istoric_Nativ'!$E$6:$E$405='Input_Meci'!E41)+('Istoric_Nativ'!$F$6:$F$405='Input_Meci'!E41))&gt;0)*('Istoric_Nativ'!$D$6:$D$405&gt;='Motor_Meciuri'!BP41))&gt;0)*('Istoric_Nativ'!$Q$6:$Q$405&gt;H504))/AM504)</x:f>
      </x:c>
      <x:c r="S504" s="10" t="str">
        <x:f>IF(M504="","",MAX(O504,P504,Q504,R504))</x:f>
      </x:c>
      <x:c r="T504" s="11" t="str">
        <x:f>IF(M504="","",MIN(100,S504*100*'Config_v6'!$B$44+MIN(100,L504/'Config_v6'!$B$13*100)*'Config_v6'!$B$45+(100-'Motor_Meciuri'!BF41)*'Config_v6'!$B$46+'Motor_Meciuri'!BH41*100*'Config_v6'!$B$47))</x:f>
      </x:c>
      <x:c r="U504" s="2" t="str">
        <x:f>IF(T504="","",IF(T504&lt;=20,1,IF(T504&lt;=40,2,IF(T504&lt;=60,3,IF(T504&lt;=80,4,5)))))</x:f>
      </x:c>
      <x:c r="V504" s="2" t="str">
        <x:f>IF(M504="","",MAX(0,'Motor_Meciuri'!BF41-IF(W504="OOS PENDING",'Config_v6'!$B$35,0)-IF(L504&gt;'Config_v6'!$B$12,'Config_v6'!$B$37,IF(L504&gt;'Config_v6'!$B$11,'Config_v6'!$B$36,0))))</x:f>
      </x:c>
      <x:c r="W504" s="2" t="str">
        <x:f>IF(B504="","",IF(I504&lt;&gt;"READY","NOT RELEASED",IF(NOT(AND(J504="PASS",'Calibrare_Linii'!U14="VALID")),"INVALID",IF(NOT(AND('Calibrare_Linii'!S14="VALIDATED",AND('Calibrare_Linii'!H14=C504,ISNUMBER('Calibrare_Linii'!J14),'Calibrare_Linii'!J14&lt;='Input_Meci'!G41))),"OOS PENDING",IF(S504&lt;='Calibrare_Linii'!E14,"PASS",IF(S504&lt;='Calibrare_Linii'!F14,"PENALTY","WATCH"))))))</x:f>
      </x:c>
      <x:c r="X504" s="2" t="str">
        <x:f>IF(M504="","",IF(AND(AND(J504="PASS",'Calibrare_Linii'!U14="VALID"),'Motor_Meciuri'!K41=12,'Motor_Meciuri'!L41=12,'Motor_Meciuri'!M41="NO",'Motor_Meciuri'!BL41='Motor_Meciuri'!C41,AB504&gt;='Config_v6'!$B$50,AN504&gt;='Config_v6'!$B$51,T504&lt;='Config_v6'!$B$52,L504&lt;='Config_v6'!$B$53,ISNUMBER('Calibrare_Linii'!E14),S504&lt;='Calibrare_Linii'!E14,SUM(AK504:AM504)&gt;0),"CANDIDATE","NO"))</x:f>
      </x:c>
      <x:c r="Y504" s="2" t="str">
        <x:f>IF(B504="","",IF(I504&lt;&gt;"READY","NOT RELEASED",IF(AND(X504="CANDIDATE",V504&gt;='Config_v6'!$B$51,W504="PASS",'Calibrare_Linii'!T14="VALIDATED",AND('Calibrare_Linii'!H14=C504,ISNUMBER('Calibrare_Linii'!J14),'Calibrare_Linii'!J14&lt;='Input_Meci'!G41)),"PASS",IF(X504="CANDIDATE","OOS PENDING","FAIL"))))</x:f>
      </x:c>
      <x:c r="Z504" s="2" t="str">
        <x:f>IF(B504="","",IF(I504&lt;&gt;"READY","",IF(OR(NOT(AND(J504="PASS",'Calibrare_Linii'!U14="VALID")),L504&gt;'Config_v6'!$B$13,W504="WATCH"),5,IF(Y504="PASS",1,MIN(5,MAX('Config_v6'!$B$42,U504)+IF(W504="PENALTY",1,0))))))</x:f>
      </x:c>
      <x:c r="AA504" s="2" t="str">
        <x:f>IF(B504="","",IF(I504&lt;&gt;"READY","NOT RELEASED",IF(Z504=5,"NO BET",IF(OR(AB504&lt;'Config_v6'!$B$16,V504&lt;'Config_v6'!$B$18),"WATCH",IF(Z504=1,"DEFENSIV",IF(Z504=2,"PRUDENT",IF(Z504=3,"MODERAT","RIDICAT")))))))</x:f>
      </x:c>
      <x:c r="AB504" s="10" t="str">
        <x:f>IF(N504="","",MIN(N504,1-S504))</x:f>
      </x:c>
      <x:c r="AC504" s="2" t="str">
        <x:f>IF(AD504&lt;&gt;1,"",COUNTIFS($Z$496:$Z$509,"&lt;"&amp;Z504,$AD$496:$AD$509,1)+COUNTIFS($Z$496:$Z$509,Z504,$AB$496:$AB$509,"&gt;"&amp;AB504,$AD$496:$AD$509,1)+COUNTIFS($Z$496:$Z$509,Z504,$AB$496:$AB$509,AB504,$V$496:$V$509,"&gt;"&amp;V504,$AD$496:$AD$509,1)+COUNTIFS($Z$496:Z504,Z504,$AB$496:AB504,AB504,$V$496:V504,V504,$AD$496:AD504,1))</x:f>
      </x:c>
      <x:c r="AD504" s="2" t="n">
        <x:f>IF(OR(AA504="DEFENSIV",AA504="PRUDENT",AA504="MODERAT",AA504="RIDICAT"),1,0)</x:f>
        <x:v>0</x:v>
      </x:c>
      <x:c r="AE504" s="2" t="str">
        <x:f>IF(AD504&lt;&gt;1,"NO",IF(W504="PASS","YES",IF(W504="OOS PENDING","CONDITIONAL","NO")))</x:f>
        <x:v>NO</x:v>
      </x:c>
      <x:c r="AF504" s="2" t="n">
        <x:f>IF(AND(AD504=1,AC504=1,E504="LIVE"),1,0)</x:f>
        <x:v>0</x:v>
      </x:c>
      <x:c r="AG504" s="2" t="str">
        <x:f>IF(AF504&lt;&gt;1,"",'Dashboard'!P61)</x:f>
      </x:c>
      <x:c r="AH504" s="2" t="str">
        <x:f>IF(B504="","",IF(J504&lt;&gt;"PASS",'Motor_Meciuri'!J41,IF('Calibrare_Linii'!U14&lt;&gt;"VALID","Parametri linie invalizi",IF(L504&gt;'Config_v6'!$B$13,"Dispersie peste limita",IF(W504="WATCH","Failure peste limita",IF(AB504&lt;'Config_v6'!$B$16,"P finala sub prag",IF(V504&lt;'Config_v6'!$B$18,"Confidence sub prag",IF(E504="REPLAY","Exemplu retrospectiv; exclus din Top LIVE",IF(Y504="PASS","DEFENSIV validat",IF(W504="OOS PENDING","Eligibil; calibrare linie in monitorizare","Eligibil"))))))))))</x:f>
      </x:c>
      <x:c r="AI504" s="2" t="str">
        <x:f>IF(B504="","",'Calibrare_Linii'!V14)</x:f>
      </x:c>
      <x:c r="AJ504" s="2" t="str">
        <x:f>IF(B504="","",IF(AND('Calibrare_Linii'!T14="VALIDATED",AND('Calibrare_Linii'!H14=C504,ISNUMBER('Calibrare_Linii'!J14),'Calibrare_Linii'!J14&lt;='Input_Meci'!G41)),"DEFENSIVE VALIDATED",IF(AND('Calibrare_Linii'!S14="VALIDATED",AND('Calibrare_Linii'!H14=C504,ISNUMBER('Calibrare_Linii'!J14),'Calibrare_Linii'!J14&lt;='Input_Meci'!G41)),"TAIL VALIDATED","OOS PENDING")))</x:f>
      </x:c>
      <x:c r="AK504" s="2" t="n">
        <x:f>IF(J504&lt;&gt;"PASS",0,'Motor_Meciuri'!BR41)</x:f>
        <x:v>0</x:v>
      </x:c>
      <x:c r="AL504" s="2" t="n">
        <x:f>IF(J504&lt;&gt;"PASS",0,'Motor_Meciuri'!BS41)</x:f>
        <x:v>0</x:v>
      </x:c>
      <x:c r="AM504" s="2" t="n">
        <x:f>IF(J504&lt;&gt;"PASS",0,'Motor_Meciuri'!BT41)</x:f>
        <x:v>0</x:v>
      </x:c>
      <x:c r="AN504" s="2" t="str">
        <x:f>IF(M504="","",MAX(0,'Motor_Meciuri'!BF41-IF(L504&gt;'Config_v6'!$B$12,'Config_v6'!$B$37,IF(L504&gt;'Config_v6'!$B$11,'Config_v6'!$B$36,0))))</x:f>
      </x:c>
    </x:row>
    <x:row r="505" ht="21" customHeight="1">
      <x:c r="A505" s="2" t="n">
        <x:v>36</x:v>
      </x:c>
      <x:c r="B505" s="2" t="str">
        <x:f>IF('Motor_Meciuri'!A41="","",'Motor_Meciuri'!A41)</x:f>
      </x:c>
      <x:c r="C505" s="2" t="str">
        <x:f>IF(B505="","",'Motor_Meciuri'!B41)</x:f>
      </x:c>
      <x:c r="D505" s="2" t="str">
        <x:f>IF(B505="","",'Motor_Meciuri'!D41)</x:f>
      </x:c>
      <x:c r="E505" s="2" t="str">
        <x:f>IF(B505="","",'Motor_Meciuri'!E41)</x:f>
      </x:c>
      <x:c r="F505" s="2" t="str">
        <x:v>U13,5</x:v>
      </x:c>
      <x:c r="G505" s="2" t="str">
        <x:v>UNDER</x:v>
      </x:c>
      <x:c r="H505" s="2" t="n">
        <x:v>13</x:v>
      </x:c>
      <x:c r="I505" s="2" t="str">
        <x:f>IF(B505="","",'Motor_Meciuri'!H41)</x:f>
      </x:c>
      <x:c r="J505" s="2" t="str">
        <x:f>IF(B505="","",'Motor_Meciuri'!I41)</x:f>
      </x:c>
      <x:c r="K505" s="11" t="str">
        <x:f>IF(J505&lt;&gt;"PASS","",'Motor_Meciuri'!BD41)</x:f>
      </x:c>
      <x:c r="L505" s="11" t="str">
        <x:f>IF(J505&lt;&gt;"PASS","",'Motor_Meciuri'!AU41)</x:f>
      </x:c>
      <x:c r="M505" s="10" t="str">
        <x:f>IF(NOT(AND(J505="PASS",'Calibrare_Linii'!U15="VALID")),"",'Distributie'!AK41)</x:f>
      </x:c>
      <x:c r="N505" s="10" t="str">
        <x:f>IF(M505="","",MAX(0.01,MIN(0.99,0.5+(M505-0.5)*'Motor_Meciuri'!BG41*'Calibrare_Linii'!D15)))</x:f>
      </x:c>
      <x:c r="O505" s="10" t="str">
        <x:f>IF(M505="","",1-M505)</x:f>
      </x:c>
      <x:c r="P505" s="10" t="str">
        <x:f>IF(OR(NOT(AND(J505="PASS",'Calibrare_Linii'!U15="VALID")),AK505=0),""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*('Istoric_Nativ'!$Q$6:$Q$405&gt;H505))/AK505)</x:f>
      </x:c>
      <x:c r="Q505" s="10" t="str">
        <x:f>IF(OR(NOT(AND(J505="PASS",'Calibrare_Linii'!U15="VALID")),AL505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M41)+((('Istoric_Nativ'!$E$6:$E$405='Input_Meci'!E41)+('Istoric_Nativ'!$F$6:$F$405='Input_Meci'!E41))&gt;0)*('Istoric_Nativ'!$D$6:$D$405&gt;='Motor_Meciuri'!BN41))&gt;0)*('Istoric_Nativ'!$Q$6:$Q$405&gt;H505))/AL505)</x:f>
      </x:c>
      <x:c r="R505" s="10" t="str">
        <x:f>IF(OR(NOT(AND(J505="PASS",'Calibrare_Linii'!U15="VALID")),AM505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O41)+((('Istoric_Nativ'!$E$6:$E$405='Input_Meci'!E41)+('Istoric_Nativ'!$F$6:$F$405='Input_Meci'!E41))&gt;0)*('Istoric_Nativ'!$D$6:$D$405&gt;='Motor_Meciuri'!BP41))&gt;0)*('Istoric_Nativ'!$Q$6:$Q$405&gt;H505))/AM505)</x:f>
      </x:c>
      <x:c r="S505" s="10" t="str">
        <x:f>IF(M505="","",MAX(O505,P505,Q505,R505))</x:f>
      </x:c>
      <x:c r="T505" s="11" t="str">
        <x:f>IF(M505="","",MIN(100,S505*100*'Config_v6'!$B$44+MIN(100,L505/'Config_v6'!$B$13*100)*'Config_v6'!$B$45+(100-'Motor_Meciuri'!BF41)*'Config_v6'!$B$46+'Motor_Meciuri'!BH41*100*'Config_v6'!$B$47))</x:f>
      </x:c>
      <x:c r="U505" s="2" t="str">
        <x:f>IF(T505="","",IF(T505&lt;=20,1,IF(T505&lt;=40,2,IF(T505&lt;=60,3,IF(T505&lt;=80,4,5)))))</x:f>
      </x:c>
      <x:c r="V505" s="2" t="str">
        <x:f>IF(M505="","",MAX(0,'Motor_Meciuri'!BF41-IF(W505="OOS PENDING",'Config_v6'!$B$35,0)-IF(L505&gt;'Config_v6'!$B$12,'Config_v6'!$B$37,IF(L505&gt;'Config_v6'!$B$11,'Config_v6'!$B$36,0))))</x:f>
      </x:c>
      <x:c r="W505" s="2" t="str">
        <x:f>IF(B505="","",IF(I505&lt;&gt;"READY","NOT RELEASED",IF(NOT(AND(J505="PASS",'Calibrare_Linii'!U15="VALID")),"INVALID",IF(NOT(AND('Calibrare_Linii'!S15="VALIDATED",AND('Calibrare_Linii'!H15=C505,ISNUMBER('Calibrare_Linii'!J15),'Calibrare_Linii'!J15&lt;='Input_Meci'!G41))),"OOS PENDING",IF(S505&lt;='Calibrare_Linii'!E15,"PASS",IF(S505&lt;='Calibrare_Linii'!F15,"PENALTY","WATCH"))))))</x:f>
      </x:c>
      <x:c r="X505" s="2" t="str">
        <x:f>IF(M505="","",IF(AND(AND(J505="PASS",'Calibrare_Linii'!U15="VALID"),'Motor_Meciuri'!K41=12,'Motor_Meciuri'!L41=12,'Motor_Meciuri'!M41="NO",'Motor_Meciuri'!BL41='Motor_Meciuri'!C41,AB505&gt;='Config_v6'!$B$50,AN505&gt;='Config_v6'!$B$51,T505&lt;='Config_v6'!$B$52,L505&lt;='Config_v6'!$B$53,ISNUMBER('Calibrare_Linii'!E15),S505&lt;='Calibrare_Linii'!E15,SUM(AK505:AM505)&gt;0),"CANDIDATE","NO"))</x:f>
      </x:c>
      <x:c r="Y505" s="2" t="str">
        <x:f>IF(B505="","",IF(I505&lt;&gt;"READY","NOT RELEASED",IF(AND(X505="CANDIDATE",V505&gt;='Config_v6'!$B$51,W505="PASS",'Calibrare_Linii'!T15="VALIDATED",AND('Calibrare_Linii'!H15=C505,ISNUMBER('Calibrare_Linii'!J15),'Calibrare_Linii'!J15&lt;='Input_Meci'!G41)),"PASS",IF(X505="CANDIDATE","OOS PENDING","FAIL"))))</x:f>
      </x:c>
      <x:c r="Z505" s="2" t="str">
        <x:f>IF(B505="","",IF(I505&lt;&gt;"READY","",IF(OR(NOT(AND(J505="PASS",'Calibrare_Linii'!U15="VALID")),L505&gt;'Config_v6'!$B$13,W505="WATCH"),5,IF(Y505="PASS",1,MIN(5,MAX('Config_v6'!$B$42,U505)+IF(W505="PENALTY",1,0))))))</x:f>
      </x:c>
      <x:c r="AA505" s="2" t="str">
        <x:f>IF(B505="","",IF(I505&lt;&gt;"READY","NOT RELEASED",IF(Z505=5,"NO BET",IF(OR(AB505&lt;'Config_v6'!$B$16,V505&lt;'Config_v6'!$B$18),"WATCH",IF(Z505=1,"DEFENSIV",IF(Z505=2,"PRUDENT",IF(Z505=3,"MODERAT","RIDICAT")))))))</x:f>
      </x:c>
      <x:c r="AB505" s="10" t="str">
        <x:f>IF(N505="","",MIN(N505,1-S505))</x:f>
      </x:c>
      <x:c r="AC505" s="2" t="str">
        <x:f>IF(AD505&lt;&gt;1,"",COUNTIFS($Z$496:$Z$509,"&lt;"&amp;Z505,$AD$496:$AD$509,1)+COUNTIFS($Z$496:$Z$509,Z505,$AB$496:$AB$509,"&gt;"&amp;AB505,$AD$496:$AD$509,1)+COUNTIFS($Z$496:$Z$509,Z505,$AB$496:$AB$509,AB505,$V$496:$V$509,"&gt;"&amp;V505,$AD$496:$AD$509,1)+COUNTIFS($Z$496:Z505,Z505,$AB$496:AB505,AB505,$V$496:V505,V505,$AD$496:AD505,1))</x:f>
      </x:c>
      <x:c r="AD505" s="2" t="n">
        <x:f>IF(OR(AA505="DEFENSIV",AA505="PRUDENT",AA505="MODERAT",AA505="RIDICAT"),1,0)</x:f>
        <x:v>0</x:v>
      </x:c>
      <x:c r="AE505" s="2" t="str">
        <x:f>IF(AD505&lt;&gt;1,"NO",IF(W505="PASS","YES",IF(W505="OOS PENDING","CONDITIONAL","NO")))</x:f>
        <x:v>NO</x:v>
      </x:c>
      <x:c r="AF505" s="2" t="n">
        <x:f>IF(AND(AD505=1,AC505=1,E505="LIVE"),1,0)</x:f>
        <x:v>0</x:v>
      </x:c>
      <x:c r="AG505" s="2" t="str">
        <x:f>IF(AF505&lt;&gt;1,"",'Dashboard'!P61)</x:f>
      </x:c>
      <x:c r="AH505" s="2" t="str">
        <x:f>IF(B505="","",IF(J505&lt;&gt;"PASS",'Motor_Meciuri'!J41,IF('Calibrare_Linii'!U15&lt;&gt;"VALID","Parametri linie invalizi",IF(L505&gt;'Config_v6'!$B$13,"Dispersie peste limita",IF(W505="WATCH","Failure peste limita",IF(AB505&lt;'Config_v6'!$B$16,"P finala sub prag",IF(V505&lt;'Config_v6'!$B$18,"Confidence sub prag",IF(E505="REPLAY","Exemplu retrospectiv; exclus din Top LIVE",IF(Y505="PASS","DEFENSIV validat",IF(W505="OOS PENDING","Eligibil; calibrare linie in monitorizare","Eligibil"))))))))))</x:f>
      </x:c>
      <x:c r="AI505" s="2" t="str">
        <x:f>IF(B505="","",'Calibrare_Linii'!V15)</x:f>
      </x:c>
      <x:c r="AJ505" s="2" t="str">
        <x:f>IF(B505="","",IF(AND('Calibrare_Linii'!T15="VALIDATED",AND('Calibrare_Linii'!H15=C505,ISNUMBER('Calibrare_Linii'!J15),'Calibrare_Linii'!J15&lt;='Input_Meci'!G41)),"DEFENSIVE VALIDATED",IF(AND('Calibrare_Linii'!S15="VALIDATED",AND('Calibrare_Linii'!H15=C505,ISNUMBER('Calibrare_Linii'!J15),'Calibrare_Linii'!J15&lt;='Input_Meci'!G41)),"TAIL VALIDATED","OOS PENDING")))</x:f>
      </x:c>
      <x:c r="AK505" s="2" t="n">
        <x:f>IF(J505&lt;&gt;"PASS",0,'Motor_Meciuri'!BR41)</x:f>
        <x:v>0</x:v>
      </x:c>
      <x:c r="AL505" s="2" t="n">
        <x:f>IF(J505&lt;&gt;"PASS",0,'Motor_Meciuri'!BS41)</x:f>
        <x:v>0</x:v>
      </x:c>
      <x:c r="AM505" s="2" t="n">
        <x:f>IF(J505&lt;&gt;"PASS",0,'Motor_Meciuri'!BT41)</x:f>
        <x:v>0</x:v>
      </x:c>
      <x:c r="AN505" s="2" t="str">
        <x:f>IF(M505="","",MAX(0,'Motor_Meciuri'!BF41-IF(L505&gt;'Config_v6'!$B$12,'Config_v6'!$B$37,IF(L505&gt;'Config_v6'!$B$11,'Config_v6'!$B$36,0))))</x:f>
      </x:c>
    </x:row>
    <x:row r="506" ht="21" customHeight="1">
      <x:c r="A506" s="2" t="n">
        <x:v>36</x:v>
      </x:c>
      <x:c r="B506" s="2" t="str">
        <x:f>IF('Motor_Meciuri'!A41="","",'Motor_Meciuri'!A41)</x:f>
      </x:c>
      <x:c r="C506" s="2" t="str">
        <x:f>IF(B506="","",'Motor_Meciuri'!B41)</x:f>
      </x:c>
      <x:c r="D506" s="2" t="str">
        <x:f>IF(B506="","",'Motor_Meciuri'!D41)</x:f>
      </x:c>
      <x:c r="E506" s="2" t="str">
        <x:f>IF(B506="","",'Motor_Meciuri'!E41)</x:f>
      </x:c>
      <x:c r="F506" s="2" t="str">
        <x:v>U14,5</x:v>
      </x:c>
      <x:c r="G506" s="2" t="str">
        <x:v>UNDER</x:v>
      </x:c>
      <x:c r="H506" s="2" t="n">
        <x:v>14</x:v>
      </x:c>
      <x:c r="I506" s="2" t="str">
        <x:f>IF(B506="","",'Motor_Meciuri'!H41)</x:f>
      </x:c>
      <x:c r="J506" s="2" t="str">
        <x:f>IF(B506="","",'Motor_Meciuri'!I41)</x:f>
      </x:c>
      <x:c r="K506" s="11" t="str">
        <x:f>IF(J506&lt;&gt;"PASS","",'Motor_Meciuri'!BD41)</x:f>
      </x:c>
      <x:c r="L506" s="11" t="str">
        <x:f>IF(J506&lt;&gt;"PASS","",'Motor_Meciuri'!AU41)</x:f>
      </x:c>
      <x:c r="M506" s="10" t="str">
        <x:f>IF(NOT(AND(J506="PASS",'Calibrare_Linii'!U16="VALID")),"",'Distributie'!AL41)</x:f>
      </x:c>
      <x:c r="N506" s="10" t="str">
        <x:f>IF(M506="","",MAX(0.01,MIN(0.99,0.5+(M506-0.5)*'Motor_Meciuri'!BG41*'Calibrare_Linii'!D16)))</x:f>
      </x:c>
      <x:c r="O506" s="10" t="str">
        <x:f>IF(M506="","",1-M506)</x:f>
      </x:c>
      <x:c r="P506" s="10" t="str">
        <x:f>IF(OR(NOT(AND(J506="PASS",'Calibrare_Linii'!U16="VALID")),AK506=0),""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*('Istoric_Nativ'!$Q$6:$Q$405&gt;H506))/AK506)</x:f>
      </x:c>
      <x:c r="Q506" s="10" t="str">
        <x:f>IF(OR(NOT(AND(J506="PASS",'Calibrare_Linii'!U16="VALID")),AL506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M41)+((('Istoric_Nativ'!$E$6:$E$405='Input_Meci'!E41)+('Istoric_Nativ'!$F$6:$F$405='Input_Meci'!E41))&gt;0)*('Istoric_Nativ'!$D$6:$D$405&gt;='Motor_Meciuri'!BN41))&gt;0)*('Istoric_Nativ'!$Q$6:$Q$405&gt;H506))/AL506)</x:f>
      </x:c>
      <x:c r="R506" s="10" t="str">
        <x:f>IF(OR(NOT(AND(J506="PASS",'Calibrare_Linii'!U16="VALID")),AM506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O41)+((('Istoric_Nativ'!$E$6:$E$405='Input_Meci'!E41)+('Istoric_Nativ'!$F$6:$F$405='Input_Meci'!E41))&gt;0)*('Istoric_Nativ'!$D$6:$D$405&gt;='Motor_Meciuri'!BP41))&gt;0)*('Istoric_Nativ'!$Q$6:$Q$405&gt;H506))/AM506)</x:f>
      </x:c>
      <x:c r="S506" s="10" t="str">
        <x:f>IF(M506="","",MAX(O506,P506,Q506,R506))</x:f>
      </x:c>
      <x:c r="T506" s="11" t="str">
        <x:f>IF(M506="","",MIN(100,S506*100*'Config_v6'!$B$44+MIN(100,L506/'Config_v6'!$B$13*100)*'Config_v6'!$B$45+(100-'Motor_Meciuri'!BF41)*'Config_v6'!$B$46+'Motor_Meciuri'!BH41*100*'Config_v6'!$B$47))</x:f>
      </x:c>
      <x:c r="U506" s="2" t="str">
        <x:f>IF(T506="","",IF(T506&lt;=20,1,IF(T506&lt;=40,2,IF(T506&lt;=60,3,IF(T506&lt;=80,4,5)))))</x:f>
      </x:c>
      <x:c r="V506" s="2" t="str">
        <x:f>IF(M506="","",MAX(0,'Motor_Meciuri'!BF41-IF(W506="OOS PENDING",'Config_v6'!$B$35,0)-IF(L506&gt;'Config_v6'!$B$12,'Config_v6'!$B$37,IF(L506&gt;'Config_v6'!$B$11,'Config_v6'!$B$36,0))))</x:f>
      </x:c>
      <x:c r="W506" s="2" t="str">
        <x:f>IF(B506="","",IF(I506&lt;&gt;"READY","NOT RELEASED",IF(NOT(AND(J506="PASS",'Calibrare_Linii'!U16="VALID")),"INVALID",IF(NOT(AND('Calibrare_Linii'!S16="VALIDATED",AND('Calibrare_Linii'!H16=C506,ISNUMBER('Calibrare_Linii'!J16),'Calibrare_Linii'!J16&lt;='Input_Meci'!G41))),"OOS PENDING",IF(S506&lt;='Calibrare_Linii'!E16,"PASS",IF(S506&lt;='Calibrare_Linii'!F16,"PENALTY","WATCH"))))))</x:f>
      </x:c>
      <x:c r="X506" s="2" t="str">
        <x:f>IF(M506="","",IF(AND(AND(J506="PASS",'Calibrare_Linii'!U16="VALID"),'Motor_Meciuri'!K41=12,'Motor_Meciuri'!L41=12,'Motor_Meciuri'!M41="NO",'Motor_Meciuri'!BL41='Motor_Meciuri'!C41,AB506&gt;='Config_v6'!$B$50,AN506&gt;='Config_v6'!$B$51,T506&lt;='Config_v6'!$B$52,L506&lt;='Config_v6'!$B$53,ISNUMBER('Calibrare_Linii'!E16),S506&lt;='Calibrare_Linii'!E16,SUM(AK506:AM506)&gt;0),"CANDIDATE","NO"))</x:f>
      </x:c>
      <x:c r="Y506" s="2" t="str">
        <x:f>IF(B506="","",IF(I506&lt;&gt;"READY","NOT RELEASED",IF(AND(X506="CANDIDATE",V506&gt;='Config_v6'!$B$51,W506="PASS",'Calibrare_Linii'!T16="VALIDATED",AND('Calibrare_Linii'!H16=C506,ISNUMBER('Calibrare_Linii'!J16),'Calibrare_Linii'!J16&lt;='Input_Meci'!G41)),"PASS",IF(X506="CANDIDATE","OOS PENDING","FAIL"))))</x:f>
      </x:c>
      <x:c r="Z506" s="2" t="str">
        <x:f>IF(B506="","",IF(I506&lt;&gt;"READY","",IF(OR(NOT(AND(J506="PASS",'Calibrare_Linii'!U16="VALID")),L506&gt;'Config_v6'!$B$13,W506="WATCH"),5,IF(Y506="PASS",1,MIN(5,MAX('Config_v6'!$B$42,U506)+IF(W506="PENALTY",1,0))))))</x:f>
      </x:c>
      <x:c r="AA506" s="2" t="str">
        <x:f>IF(B506="","",IF(I506&lt;&gt;"READY","NOT RELEASED",IF(Z506=5,"NO BET",IF(OR(AB506&lt;'Config_v6'!$B$16,V506&lt;'Config_v6'!$B$18),"WATCH",IF(Z506=1,"DEFENSIV",IF(Z506=2,"PRUDENT",IF(Z506=3,"MODERAT","RIDICAT")))))))</x:f>
      </x:c>
      <x:c r="AB506" s="10" t="str">
        <x:f>IF(N506="","",MIN(N506,1-S506))</x:f>
      </x:c>
      <x:c r="AC506" s="2" t="str">
        <x:f>IF(AD506&lt;&gt;1,"",COUNTIFS($Z$496:$Z$509,"&lt;"&amp;Z506,$AD$496:$AD$509,1)+COUNTIFS($Z$496:$Z$509,Z506,$AB$496:$AB$509,"&gt;"&amp;AB506,$AD$496:$AD$509,1)+COUNTIFS($Z$496:$Z$509,Z506,$AB$496:$AB$509,AB506,$V$496:$V$509,"&gt;"&amp;V506,$AD$496:$AD$509,1)+COUNTIFS($Z$496:Z506,Z506,$AB$496:AB506,AB506,$V$496:V506,V506,$AD$496:AD506,1))</x:f>
      </x:c>
      <x:c r="AD506" s="2" t="n">
        <x:f>IF(OR(AA506="DEFENSIV",AA506="PRUDENT",AA506="MODERAT",AA506="RIDICAT"),1,0)</x:f>
        <x:v>0</x:v>
      </x:c>
      <x:c r="AE506" s="2" t="str">
        <x:f>IF(AD506&lt;&gt;1,"NO",IF(W506="PASS","YES",IF(W506="OOS PENDING","CONDITIONAL","NO")))</x:f>
        <x:v>NO</x:v>
      </x:c>
      <x:c r="AF506" s="2" t="n">
        <x:f>IF(AND(AD506=1,AC506=1,E506="LIVE"),1,0)</x:f>
        <x:v>0</x:v>
      </x:c>
      <x:c r="AG506" s="2" t="str">
        <x:f>IF(AF506&lt;&gt;1,"",'Dashboard'!P61)</x:f>
      </x:c>
      <x:c r="AH506" s="2" t="str">
        <x:f>IF(B506="","",IF(J506&lt;&gt;"PASS",'Motor_Meciuri'!J41,IF('Calibrare_Linii'!U16&lt;&gt;"VALID","Parametri linie invalizi",IF(L506&gt;'Config_v6'!$B$13,"Dispersie peste limita",IF(W506="WATCH","Failure peste limita",IF(AB506&lt;'Config_v6'!$B$16,"P finala sub prag",IF(V506&lt;'Config_v6'!$B$18,"Confidence sub prag",IF(E506="REPLAY","Exemplu retrospectiv; exclus din Top LIVE",IF(Y506="PASS","DEFENSIV validat",IF(W506="OOS PENDING","Eligibil; calibrare linie in monitorizare","Eligibil"))))))))))</x:f>
      </x:c>
      <x:c r="AI506" s="2" t="str">
        <x:f>IF(B506="","",'Calibrare_Linii'!V16)</x:f>
      </x:c>
      <x:c r="AJ506" s="2" t="str">
        <x:f>IF(B506="","",IF(AND('Calibrare_Linii'!T16="VALIDATED",AND('Calibrare_Linii'!H16=C506,ISNUMBER('Calibrare_Linii'!J16),'Calibrare_Linii'!J16&lt;='Input_Meci'!G41)),"DEFENSIVE VALIDATED",IF(AND('Calibrare_Linii'!S16="VALIDATED",AND('Calibrare_Linii'!H16=C506,ISNUMBER('Calibrare_Linii'!J16),'Calibrare_Linii'!J16&lt;='Input_Meci'!G41)),"TAIL VALIDATED","OOS PENDING")))</x:f>
      </x:c>
      <x:c r="AK506" s="2" t="n">
        <x:f>IF(J506&lt;&gt;"PASS",0,'Motor_Meciuri'!BR41)</x:f>
        <x:v>0</x:v>
      </x:c>
      <x:c r="AL506" s="2" t="n">
        <x:f>IF(J506&lt;&gt;"PASS",0,'Motor_Meciuri'!BS41)</x:f>
        <x:v>0</x:v>
      </x:c>
      <x:c r="AM506" s="2" t="n">
        <x:f>IF(J506&lt;&gt;"PASS",0,'Motor_Meciuri'!BT41)</x:f>
        <x:v>0</x:v>
      </x:c>
      <x:c r="AN506" s="2" t="str">
        <x:f>IF(M506="","",MAX(0,'Motor_Meciuri'!BF41-IF(L506&gt;'Config_v6'!$B$12,'Config_v6'!$B$37,IF(L506&gt;'Config_v6'!$B$11,'Config_v6'!$B$36,0))))</x:f>
      </x:c>
    </x:row>
    <x:row r="507" ht="21" customHeight="1">
      <x:c r="A507" s="2" t="n">
        <x:v>36</x:v>
      </x:c>
      <x:c r="B507" s="2" t="str">
        <x:f>IF('Motor_Meciuri'!A41="","",'Motor_Meciuri'!A41)</x:f>
      </x:c>
      <x:c r="C507" s="2" t="str">
        <x:f>IF(B507="","",'Motor_Meciuri'!B41)</x:f>
      </x:c>
      <x:c r="D507" s="2" t="str">
        <x:f>IF(B507="","",'Motor_Meciuri'!D41)</x:f>
      </x:c>
      <x:c r="E507" s="2" t="str">
        <x:f>IF(B507="","",'Motor_Meciuri'!E41)</x:f>
      </x:c>
      <x:c r="F507" s="2" t="str">
        <x:v>U15,5</x:v>
      </x:c>
      <x:c r="G507" s="2" t="str">
        <x:v>UNDER</x:v>
      </x:c>
      <x:c r="H507" s="2" t="n">
        <x:v>15</x:v>
      </x:c>
      <x:c r="I507" s="2" t="str">
        <x:f>IF(B507="","",'Motor_Meciuri'!H41)</x:f>
      </x:c>
      <x:c r="J507" s="2" t="str">
        <x:f>IF(B507="","",'Motor_Meciuri'!I41)</x:f>
      </x:c>
      <x:c r="K507" s="11" t="str">
        <x:f>IF(J507&lt;&gt;"PASS","",'Motor_Meciuri'!BD41)</x:f>
      </x:c>
      <x:c r="L507" s="11" t="str">
        <x:f>IF(J507&lt;&gt;"PASS","",'Motor_Meciuri'!AU41)</x:f>
      </x:c>
      <x:c r="M507" s="10" t="str">
        <x:f>IF(NOT(AND(J507="PASS",'Calibrare_Linii'!U17="VALID")),"",'Distributie'!AM41)</x:f>
      </x:c>
      <x:c r="N507" s="10" t="str">
        <x:f>IF(M507="","",MAX(0.01,MIN(0.99,0.5+(M507-0.5)*'Motor_Meciuri'!BG41*'Calibrare_Linii'!D17)))</x:f>
      </x:c>
      <x:c r="O507" s="10" t="str">
        <x:f>IF(M507="","",1-M507)</x:f>
      </x:c>
      <x:c r="P507" s="10" t="str">
        <x:f>IF(OR(NOT(AND(J507="PASS",'Calibrare_Linii'!U17="VALID")),AK507=0),""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*('Istoric_Nativ'!$Q$6:$Q$405&gt;H507))/AK507)</x:f>
      </x:c>
      <x:c r="Q507" s="10" t="str">
        <x:f>IF(OR(NOT(AND(J507="PASS",'Calibrare_Linii'!U17="VALID")),AL507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M41)+((('Istoric_Nativ'!$E$6:$E$405='Input_Meci'!E41)+('Istoric_Nativ'!$F$6:$F$405='Input_Meci'!E41))&gt;0)*('Istoric_Nativ'!$D$6:$D$405&gt;='Motor_Meciuri'!BN41))&gt;0)*('Istoric_Nativ'!$Q$6:$Q$405&gt;H507))/AL507)</x:f>
      </x:c>
      <x:c r="R507" s="10" t="str">
        <x:f>IF(OR(NOT(AND(J507="PASS",'Calibrare_Linii'!U17="VALID")),AM507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O41)+((('Istoric_Nativ'!$E$6:$E$405='Input_Meci'!E41)+('Istoric_Nativ'!$F$6:$F$405='Input_Meci'!E41))&gt;0)*('Istoric_Nativ'!$D$6:$D$405&gt;='Motor_Meciuri'!BP41))&gt;0)*('Istoric_Nativ'!$Q$6:$Q$405&gt;H507))/AM507)</x:f>
      </x:c>
      <x:c r="S507" s="10" t="str">
        <x:f>IF(M507="","",MAX(O507,P507,Q507,R507))</x:f>
      </x:c>
      <x:c r="T507" s="11" t="str">
        <x:f>IF(M507="","",MIN(100,S507*100*'Config_v6'!$B$44+MIN(100,L507/'Config_v6'!$B$13*100)*'Config_v6'!$B$45+(100-'Motor_Meciuri'!BF41)*'Config_v6'!$B$46+'Motor_Meciuri'!BH41*100*'Config_v6'!$B$47))</x:f>
      </x:c>
      <x:c r="U507" s="2" t="str">
        <x:f>IF(T507="","",IF(T507&lt;=20,1,IF(T507&lt;=40,2,IF(T507&lt;=60,3,IF(T507&lt;=80,4,5)))))</x:f>
      </x:c>
      <x:c r="V507" s="2" t="str">
        <x:f>IF(M507="","",MAX(0,'Motor_Meciuri'!BF41-IF(W507="OOS PENDING",'Config_v6'!$B$35,0)-IF(L507&gt;'Config_v6'!$B$12,'Config_v6'!$B$37,IF(L507&gt;'Config_v6'!$B$11,'Config_v6'!$B$36,0))))</x:f>
      </x:c>
      <x:c r="W507" s="2" t="str">
        <x:f>IF(B507="","",IF(I507&lt;&gt;"READY","NOT RELEASED",IF(NOT(AND(J507="PASS",'Calibrare_Linii'!U17="VALID")),"INVALID",IF(NOT(AND('Calibrare_Linii'!S17="VALIDATED",AND('Calibrare_Linii'!H17=C507,ISNUMBER('Calibrare_Linii'!J17),'Calibrare_Linii'!J17&lt;='Input_Meci'!G41))),"OOS PENDING",IF(S507&lt;='Calibrare_Linii'!E17,"PASS",IF(S507&lt;='Calibrare_Linii'!F17,"PENALTY","WATCH"))))))</x:f>
      </x:c>
      <x:c r="X507" s="2" t="str">
        <x:f>IF(M507="","",IF(AND(AND(J507="PASS",'Calibrare_Linii'!U17="VALID"),'Motor_Meciuri'!K41=12,'Motor_Meciuri'!L41=12,'Motor_Meciuri'!M41="NO",'Motor_Meciuri'!BL41='Motor_Meciuri'!C41,AB507&gt;='Config_v6'!$B$50,AN507&gt;='Config_v6'!$B$51,T507&lt;='Config_v6'!$B$52,L507&lt;='Config_v6'!$B$53,ISNUMBER('Calibrare_Linii'!E17),S507&lt;='Calibrare_Linii'!E17,SUM(AK507:AM507)&gt;0),"CANDIDATE","NO"))</x:f>
      </x:c>
      <x:c r="Y507" s="2" t="str">
        <x:f>IF(B507="","",IF(I507&lt;&gt;"READY","NOT RELEASED",IF(AND(X507="CANDIDATE",V507&gt;='Config_v6'!$B$51,W507="PASS",'Calibrare_Linii'!T17="VALIDATED",AND('Calibrare_Linii'!H17=C507,ISNUMBER('Calibrare_Linii'!J17),'Calibrare_Linii'!J17&lt;='Input_Meci'!G41)),"PASS",IF(X507="CANDIDATE","OOS PENDING","FAIL"))))</x:f>
      </x:c>
      <x:c r="Z507" s="2" t="str">
        <x:f>IF(B507="","",IF(I507&lt;&gt;"READY","",IF(OR(NOT(AND(J507="PASS",'Calibrare_Linii'!U17="VALID")),L507&gt;'Config_v6'!$B$13,W507="WATCH"),5,IF(Y507="PASS",1,MIN(5,MAX('Config_v6'!$B$42,U507)+IF(W507="PENALTY",1,0))))))</x:f>
      </x:c>
      <x:c r="AA507" s="2" t="str">
        <x:f>IF(B507="","",IF(I507&lt;&gt;"READY","NOT RELEASED",IF(Z507=5,"NO BET",IF(OR(AB507&lt;'Config_v6'!$B$16,V507&lt;'Config_v6'!$B$18),"WATCH",IF(Z507=1,"DEFENSIV",IF(Z507=2,"PRUDENT",IF(Z507=3,"MODERAT","RIDICAT")))))))</x:f>
      </x:c>
      <x:c r="AB507" s="10" t="str">
        <x:f>IF(N507="","",MIN(N507,1-S507))</x:f>
      </x:c>
      <x:c r="AC507" s="2" t="str">
        <x:f>IF(AD507&lt;&gt;1,"",COUNTIFS($Z$496:$Z$509,"&lt;"&amp;Z507,$AD$496:$AD$509,1)+COUNTIFS($Z$496:$Z$509,Z507,$AB$496:$AB$509,"&gt;"&amp;AB507,$AD$496:$AD$509,1)+COUNTIFS($Z$496:$Z$509,Z507,$AB$496:$AB$509,AB507,$V$496:$V$509,"&gt;"&amp;V507,$AD$496:$AD$509,1)+COUNTIFS($Z$496:Z507,Z507,$AB$496:AB507,AB507,$V$496:V507,V507,$AD$496:AD507,1))</x:f>
      </x:c>
      <x:c r="AD507" s="2" t="n">
        <x:f>IF(OR(AA507="DEFENSIV",AA507="PRUDENT",AA507="MODERAT",AA507="RIDICAT"),1,0)</x:f>
        <x:v>0</x:v>
      </x:c>
      <x:c r="AE507" s="2" t="str">
        <x:f>IF(AD507&lt;&gt;1,"NO",IF(W507="PASS","YES",IF(W507="OOS PENDING","CONDITIONAL","NO")))</x:f>
        <x:v>NO</x:v>
      </x:c>
      <x:c r="AF507" s="2" t="n">
        <x:f>IF(AND(AD507=1,AC507=1,E507="LIVE"),1,0)</x:f>
        <x:v>0</x:v>
      </x:c>
      <x:c r="AG507" s="2" t="str">
        <x:f>IF(AF507&lt;&gt;1,"",'Dashboard'!P61)</x:f>
      </x:c>
      <x:c r="AH507" s="2" t="str">
        <x:f>IF(B507="","",IF(J507&lt;&gt;"PASS",'Motor_Meciuri'!J41,IF('Calibrare_Linii'!U17&lt;&gt;"VALID","Parametri linie invalizi",IF(L507&gt;'Config_v6'!$B$13,"Dispersie peste limita",IF(W507="WATCH","Failure peste limita",IF(AB507&lt;'Config_v6'!$B$16,"P finala sub prag",IF(V507&lt;'Config_v6'!$B$18,"Confidence sub prag",IF(E507="REPLAY","Exemplu retrospectiv; exclus din Top LIVE",IF(Y507="PASS","DEFENSIV validat",IF(W507="OOS PENDING","Eligibil; calibrare linie in monitorizare","Eligibil"))))))))))</x:f>
      </x:c>
      <x:c r="AI507" s="2" t="str">
        <x:f>IF(B507="","",'Calibrare_Linii'!V17)</x:f>
      </x:c>
      <x:c r="AJ507" s="2" t="str">
        <x:f>IF(B507="","",IF(AND('Calibrare_Linii'!T17="VALIDATED",AND('Calibrare_Linii'!H17=C507,ISNUMBER('Calibrare_Linii'!J17),'Calibrare_Linii'!J17&lt;='Input_Meci'!G41)),"DEFENSIVE VALIDATED",IF(AND('Calibrare_Linii'!S17="VALIDATED",AND('Calibrare_Linii'!H17=C507,ISNUMBER('Calibrare_Linii'!J17),'Calibrare_Linii'!J17&lt;='Input_Meci'!G41)),"TAIL VALIDATED","OOS PENDING")))</x:f>
      </x:c>
      <x:c r="AK507" s="2" t="n">
        <x:f>IF(J507&lt;&gt;"PASS",0,'Motor_Meciuri'!BR41)</x:f>
        <x:v>0</x:v>
      </x:c>
      <x:c r="AL507" s="2" t="n">
        <x:f>IF(J507&lt;&gt;"PASS",0,'Motor_Meciuri'!BS41)</x:f>
        <x:v>0</x:v>
      </x:c>
      <x:c r="AM507" s="2" t="n">
        <x:f>IF(J507&lt;&gt;"PASS",0,'Motor_Meciuri'!BT41)</x:f>
        <x:v>0</x:v>
      </x:c>
      <x:c r="AN507" s="2" t="str">
        <x:f>IF(M507="","",MAX(0,'Motor_Meciuri'!BF41-IF(L507&gt;'Config_v6'!$B$12,'Config_v6'!$B$37,IF(L507&gt;'Config_v6'!$B$11,'Config_v6'!$B$36,0))))</x:f>
      </x:c>
    </x:row>
    <x:row r="508" ht="21" customHeight="1">
      <x:c r="A508" s="2" t="n">
        <x:v>36</x:v>
      </x:c>
      <x:c r="B508" s="2" t="str">
        <x:f>IF('Motor_Meciuri'!A41="","",'Motor_Meciuri'!A41)</x:f>
      </x:c>
      <x:c r="C508" s="2" t="str">
        <x:f>IF(B508="","",'Motor_Meciuri'!B41)</x:f>
      </x:c>
      <x:c r="D508" s="2" t="str">
        <x:f>IF(B508="","",'Motor_Meciuri'!D41)</x:f>
      </x:c>
      <x:c r="E508" s="2" t="str">
        <x:f>IF(B508="","",'Motor_Meciuri'!E41)</x:f>
      </x:c>
      <x:c r="F508" s="2" t="str">
        <x:v>U16,5</x:v>
      </x:c>
      <x:c r="G508" s="2" t="str">
        <x:v>UNDER</x:v>
      </x:c>
      <x:c r="H508" s="2" t="n">
        <x:v>16</x:v>
      </x:c>
      <x:c r="I508" s="2" t="str">
        <x:f>IF(B508="","",'Motor_Meciuri'!H41)</x:f>
      </x:c>
      <x:c r="J508" s="2" t="str">
        <x:f>IF(B508="","",'Motor_Meciuri'!I41)</x:f>
      </x:c>
      <x:c r="K508" s="11" t="str">
        <x:f>IF(J508&lt;&gt;"PASS","",'Motor_Meciuri'!BD41)</x:f>
      </x:c>
      <x:c r="L508" s="11" t="str">
        <x:f>IF(J508&lt;&gt;"PASS","",'Motor_Meciuri'!AU41)</x:f>
      </x:c>
      <x:c r="M508" s="10" t="str">
        <x:f>IF(NOT(AND(J508="PASS",'Calibrare_Linii'!U18="VALID")),"",'Distributie'!AN41)</x:f>
      </x:c>
      <x:c r="N508" s="10" t="str">
        <x:f>IF(M508="","",MAX(0.01,MIN(0.99,0.5+(M508-0.5)*'Motor_Meciuri'!BG41*'Calibrare_Linii'!D18)))</x:f>
      </x:c>
      <x:c r="O508" s="10" t="str">
        <x:f>IF(M508="","",1-M508)</x:f>
      </x:c>
      <x:c r="P508" s="10" t="str">
        <x:f>IF(OR(NOT(AND(J508="PASS",'Calibrare_Linii'!U18="VALID")),AK508=0),""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*('Istoric_Nativ'!$Q$6:$Q$405&gt;H508))/AK508)</x:f>
      </x:c>
      <x:c r="Q508" s="10" t="str">
        <x:f>IF(OR(NOT(AND(J508="PASS",'Calibrare_Linii'!U18="VALID")),AL508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M41)+((('Istoric_Nativ'!$E$6:$E$405='Input_Meci'!E41)+('Istoric_Nativ'!$F$6:$F$405='Input_Meci'!E41))&gt;0)*('Istoric_Nativ'!$D$6:$D$405&gt;='Motor_Meciuri'!BN41))&gt;0)*('Istoric_Nativ'!$Q$6:$Q$405&gt;H508))/AL508)</x:f>
      </x:c>
      <x:c r="R508" s="10" t="str">
        <x:f>IF(OR(NOT(AND(J508="PASS",'Calibrare_Linii'!U18="VALID")),AM508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O41)+((('Istoric_Nativ'!$E$6:$E$405='Input_Meci'!E41)+('Istoric_Nativ'!$F$6:$F$405='Input_Meci'!E41))&gt;0)*('Istoric_Nativ'!$D$6:$D$405&gt;='Motor_Meciuri'!BP41))&gt;0)*('Istoric_Nativ'!$Q$6:$Q$405&gt;H508))/AM508)</x:f>
      </x:c>
      <x:c r="S508" s="10" t="str">
        <x:f>IF(M508="","",MAX(O508,P508,Q508,R508))</x:f>
      </x:c>
      <x:c r="T508" s="11" t="str">
        <x:f>IF(M508="","",MIN(100,S508*100*'Config_v6'!$B$44+MIN(100,L508/'Config_v6'!$B$13*100)*'Config_v6'!$B$45+(100-'Motor_Meciuri'!BF41)*'Config_v6'!$B$46+'Motor_Meciuri'!BH41*100*'Config_v6'!$B$47))</x:f>
      </x:c>
      <x:c r="U508" s="2" t="str">
        <x:f>IF(T508="","",IF(T508&lt;=20,1,IF(T508&lt;=40,2,IF(T508&lt;=60,3,IF(T508&lt;=80,4,5)))))</x:f>
      </x:c>
      <x:c r="V508" s="2" t="str">
        <x:f>IF(M508="","",MAX(0,'Motor_Meciuri'!BF41-IF(W508="OOS PENDING",'Config_v6'!$B$35,0)-IF(L508&gt;'Config_v6'!$B$12,'Config_v6'!$B$37,IF(L508&gt;'Config_v6'!$B$11,'Config_v6'!$B$36,0))))</x:f>
      </x:c>
      <x:c r="W508" s="2" t="str">
        <x:f>IF(B508="","",IF(I508&lt;&gt;"READY","NOT RELEASED",IF(NOT(AND(J508="PASS",'Calibrare_Linii'!U18="VALID")),"INVALID",IF(NOT(AND('Calibrare_Linii'!S18="VALIDATED",AND('Calibrare_Linii'!H18=C508,ISNUMBER('Calibrare_Linii'!J18),'Calibrare_Linii'!J18&lt;='Input_Meci'!G41))),"OOS PENDING",IF(S508&lt;='Calibrare_Linii'!E18,"PASS",IF(S508&lt;='Calibrare_Linii'!F18,"PENALTY","WATCH"))))))</x:f>
      </x:c>
      <x:c r="X508" s="2" t="str">
        <x:f>IF(M508="","",IF(AND(AND(J508="PASS",'Calibrare_Linii'!U18="VALID"),'Motor_Meciuri'!K41=12,'Motor_Meciuri'!L41=12,'Motor_Meciuri'!M41="NO",'Motor_Meciuri'!BL41='Motor_Meciuri'!C41,AB508&gt;='Config_v6'!$B$50,AN508&gt;='Config_v6'!$B$51,T508&lt;='Config_v6'!$B$52,L508&lt;='Config_v6'!$B$53,ISNUMBER('Calibrare_Linii'!E18),S508&lt;='Calibrare_Linii'!E18,SUM(AK508:AM508)&gt;0),"CANDIDATE","NO"))</x:f>
      </x:c>
      <x:c r="Y508" s="2" t="str">
        <x:f>IF(B508="","",IF(I508&lt;&gt;"READY","NOT RELEASED",IF(AND(X508="CANDIDATE",V508&gt;='Config_v6'!$B$51,W508="PASS",'Calibrare_Linii'!T18="VALIDATED",AND('Calibrare_Linii'!H18=C508,ISNUMBER('Calibrare_Linii'!J18),'Calibrare_Linii'!J18&lt;='Input_Meci'!G41)),"PASS",IF(X508="CANDIDATE","OOS PENDING","FAIL"))))</x:f>
      </x:c>
      <x:c r="Z508" s="2" t="str">
        <x:f>IF(B508="","",IF(I508&lt;&gt;"READY","",IF(OR(NOT(AND(J508="PASS",'Calibrare_Linii'!U18="VALID")),L508&gt;'Config_v6'!$B$13,W508="WATCH"),5,IF(Y508="PASS",1,MIN(5,MAX('Config_v6'!$B$42,U508)+IF(W508="PENALTY",1,0))))))</x:f>
      </x:c>
      <x:c r="AA508" s="2" t="str">
        <x:f>IF(B508="","",IF(I508&lt;&gt;"READY","NOT RELEASED",IF(Z508=5,"NO BET",IF(OR(AB508&lt;'Config_v6'!$B$16,V508&lt;'Config_v6'!$B$18),"WATCH",IF(Z508=1,"DEFENSIV",IF(Z508=2,"PRUDENT",IF(Z508=3,"MODERAT","RIDICAT")))))))</x:f>
      </x:c>
      <x:c r="AB508" s="10" t="str">
        <x:f>IF(N508="","",MIN(N508,1-S508))</x:f>
      </x:c>
      <x:c r="AC508" s="2" t="str">
        <x:f>IF(AD508&lt;&gt;1,"",COUNTIFS($Z$496:$Z$509,"&lt;"&amp;Z508,$AD$496:$AD$509,1)+COUNTIFS($Z$496:$Z$509,Z508,$AB$496:$AB$509,"&gt;"&amp;AB508,$AD$496:$AD$509,1)+COUNTIFS($Z$496:$Z$509,Z508,$AB$496:$AB$509,AB508,$V$496:$V$509,"&gt;"&amp;V508,$AD$496:$AD$509,1)+COUNTIFS($Z$496:Z508,Z508,$AB$496:AB508,AB508,$V$496:V508,V508,$AD$496:AD508,1))</x:f>
      </x:c>
      <x:c r="AD508" s="2" t="n">
        <x:f>IF(OR(AA508="DEFENSIV",AA508="PRUDENT",AA508="MODERAT",AA508="RIDICAT"),1,0)</x:f>
        <x:v>0</x:v>
      </x:c>
      <x:c r="AE508" s="2" t="str">
        <x:f>IF(AD508&lt;&gt;1,"NO",IF(W508="PASS","YES",IF(W508="OOS PENDING","CONDITIONAL","NO")))</x:f>
        <x:v>NO</x:v>
      </x:c>
      <x:c r="AF508" s="2" t="n">
        <x:f>IF(AND(AD508=1,AC508=1,E508="LIVE"),1,0)</x:f>
        <x:v>0</x:v>
      </x:c>
      <x:c r="AG508" s="2" t="str">
        <x:f>IF(AF508&lt;&gt;1,"",'Dashboard'!P61)</x:f>
      </x:c>
      <x:c r="AH508" s="2" t="str">
        <x:f>IF(B508="","",IF(J508&lt;&gt;"PASS",'Motor_Meciuri'!J41,IF('Calibrare_Linii'!U18&lt;&gt;"VALID","Parametri linie invalizi",IF(L508&gt;'Config_v6'!$B$13,"Dispersie peste limita",IF(W508="WATCH","Failure peste limita",IF(AB508&lt;'Config_v6'!$B$16,"P finala sub prag",IF(V508&lt;'Config_v6'!$B$18,"Confidence sub prag",IF(E508="REPLAY","Exemplu retrospectiv; exclus din Top LIVE",IF(Y508="PASS","DEFENSIV validat",IF(W508="OOS PENDING","Eligibil; calibrare linie in monitorizare","Eligibil"))))))))))</x:f>
      </x:c>
      <x:c r="AI508" s="2" t="str">
        <x:f>IF(B508="","",'Calibrare_Linii'!V18)</x:f>
      </x:c>
      <x:c r="AJ508" s="2" t="str">
        <x:f>IF(B508="","",IF(AND('Calibrare_Linii'!T18="VALIDATED",AND('Calibrare_Linii'!H18=C508,ISNUMBER('Calibrare_Linii'!J18),'Calibrare_Linii'!J18&lt;='Input_Meci'!G41)),"DEFENSIVE VALIDATED",IF(AND('Calibrare_Linii'!S18="VALIDATED",AND('Calibrare_Linii'!H18=C508,ISNUMBER('Calibrare_Linii'!J18),'Calibrare_Linii'!J18&lt;='Input_Meci'!G41)),"TAIL VALIDATED","OOS PENDING")))</x:f>
      </x:c>
      <x:c r="AK508" s="2" t="n">
        <x:f>IF(J508&lt;&gt;"PASS",0,'Motor_Meciuri'!BR41)</x:f>
        <x:v>0</x:v>
      </x:c>
      <x:c r="AL508" s="2" t="n">
        <x:f>IF(J508&lt;&gt;"PASS",0,'Motor_Meciuri'!BS41)</x:f>
        <x:v>0</x:v>
      </x:c>
      <x:c r="AM508" s="2" t="n">
        <x:f>IF(J508&lt;&gt;"PASS",0,'Motor_Meciuri'!BT41)</x:f>
        <x:v>0</x:v>
      </x:c>
      <x:c r="AN508" s="2" t="str">
        <x:f>IF(M508="","",MAX(0,'Motor_Meciuri'!BF41-IF(L508&gt;'Config_v6'!$B$12,'Config_v6'!$B$37,IF(L508&gt;'Config_v6'!$B$11,'Config_v6'!$B$36,0))))</x:f>
      </x:c>
    </x:row>
    <x:row r="509" ht="21" customHeight="1">
      <x:c r="A509" s="2" t="n">
        <x:v>36</x:v>
      </x:c>
      <x:c r="B509" s="2" t="str">
        <x:f>IF('Motor_Meciuri'!A41="","",'Motor_Meciuri'!A41)</x:f>
      </x:c>
      <x:c r="C509" s="2" t="str">
        <x:f>IF(B509="","",'Motor_Meciuri'!B41)</x:f>
      </x:c>
      <x:c r="D509" s="2" t="str">
        <x:f>IF(B509="","",'Motor_Meciuri'!D41)</x:f>
      </x:c>
      <x:c r="E509" s="2" t="str">
        <x:f>IF(B509="","",'Motor_Meciuri'!E41)</x:f>
      </x:c>
      <x:c r="F509" s="2" t="str">
        <x:v>U17,5</x:v>
      </x:c>
      <x:c r="G509" s="2" t="str">
        <x:v>UNDER</x:v>
      </x:c>
      <x:c r="H509" s="2" t="n">
        <x:v>17</x:v>
      </x:c>
      <x:c r="I509" s="2" t="str">
        <x:f>IF(B509="","",'Motor_Meciuri'!H41)</x:f>
      </x:c>
      <x:c r="J509" s="2" t="str">
        <x:f>IF(B509="","",'Motor_Meciuri'!I41)</x:f>
      </x:c>
      <x:c r="K509" s="11" t="str">
        <x:f>IF(J509&lt;&gt;"PASS","",'Motor_Meciuri'!BD41)</x:f>
      </x:c>
      <x:c r="L509" s="11" t="str">
        <x:f>IF(J509&lt;&gt;"PASS","",'Motor_Meciuri'!AU41)</x:f>
      </x:c>
      <x:c r="M509" s="10" t="str">
        <x:f>IF(NOT(AND(J509="PASS",'Calibrare_Linii'!U19="VALID")),"",'Distributie'!AO41)</x:f>
      </x:c>
      <x:c r="N509" s="10" t="str">
        <x:f>IF(M509="","",MAX(0.01,MIN(0.99,0.5+(M509-0.5)*'Motor_Meciuri'!BG41*'Calibrare_Linii'!D19)))</x:f>
      </x:c>
      <x:c r="O509" s="10" t="str">
        <x:f>IF(M509="","",1-M509)</x:f>
      </x:c>
      <x:c r="P509" s="10" t="str">
        <x:f>IF(OR(NOT(AND(J509="PASS",'Calibrare_Linii'!U19="VALID")),AK509=0),""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*('Istoric_Nativ'!$Q$6:$Q$405&gt;H509))/AK509)</x:f>
      </x:c>
      <x:c r="Q509" s="10" t="str">
        <x:f>IF(OR(NOT(AND(J509="PASS",'Calibrare_Linii'!U19="VALID")),AL509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M41)+((('Istoric_Nativ'!$E$6:$E$405='Input_Meci'!E41)+('Istoric_Nativ'!$F$6:$F$405='Input_Meci'!E41))&gt;0)*('Istoric_Nativ'!$D$6:$D$405&gt;='Motor_Meciuri'!BN41))&gt;0)*('Istoric_Nativ'!$Q$6:$Q$405&gt;H509))/AL509)</x:f>
      </x:c>
      <x:c r="R509" s="10" t="str">
        <x:f>IF(OR(NOT(AND(J509="PASS",'Calibrare_Linii'!U19="VALID")),AM509=0),""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'Motor_Meciuri'!BO41)+((('Istoric_Nativ'!$E$6:$E$405='Input_Meci'!E41)+('Istoric_Nativ'!$F$6:$F$405='Input_Meci'!E41))&gt;0)*('Istoric_Nativ'!$D$6:$D$405&gt;='Motor_Meciuri'!BP41))&gt;0)*('Istoric_Nativ'!$Q$6:$Q$405&gt;H509))/AM509)</x:f>
      </x:c>
      <x:c r="S509" s="10" t="str">
        <x:f>IF(M509="","",MAX(O509,P509,Q509,R509))</x:f>
      </x:c>
      <x:c r="T509" s="11" t="str">
        <x:f>IF(M509="","",MIN(100,S509*100*'Config_v6'!$B$44+MIN(100,L509/'Config_v6'!$B$13*100)*'Config_v6'!$B$45+(100-'Motor_Meciuri'!BF41)*'Config_v6'!$B$46+'Motor_Meciuri'!BH41*100*'Config_v6'!$B$47))</x:f>
      </x:c>
      <x:c r="U509" s="2" t="str">
        <x:f>IF(T509="","",IF(T509&lt;=20,1,IF(T509&lt;=40,2,IF(T509&lt;=60,3,IF(T509&lt;=80,4,5)))))</x:f>
      </x:c>
      <x:c r="V509" s="2" t="str">
        <x:f>IF(M509="","",MAX(0,'Motor_Meciuri'!BF41-IF(W509="OOS PENDING",'Config_v6'!$B$35,0)-IF(L509&gt;'Config_v6'!$B$12,'Config_v6'!$B$37,IF(L509&gt;'Config_v6'!$B$11,'Config_v6'!$B$36,0))))</x:f>
      </x:c>
      <x:c r="W509" s="2" t="str">
        <x:f>IF(B509="","",IF(I509&lt;&gt;"READY","NOT RELEASED",IF(NOT(AND(J509="PASS",'Calibrare_Linii'!U19="VALID")),"INVALID",IF(NOT(AND('Calibrare_Linii'!S19="VALIDATED",AND('Calibrare_Linii'!H19=C509,ISNUMBER('Calibrare_Linii'!J19),'Calibrare_Linii'!J19&lt;='Input_Meci'!G41))),"OOS PENDING",IF(S509&lt;='Calibrare_Linii'!E19,"PASS",IF(S509&lt;='Calibrare_Linii'!F19,"PENALTY","WATCH"))))))</x:f>
      </x:c>
      <x:c r="X509" s="2" t="str">
        <x:f>IF(M509="","",IF(AND(AND(J509="PASS",'Calibrare_Linii'!U19="VALID"),'Motor_Meciuri'!K41=12,'Motor_Meciuri'!L41=12,'Motor_Meciuri'!M41="NO",'Motor_Meciuri'!BL41='Motor_Meciuri'!C41,AB509&gt;='Config_v6'!$B$50,AN509&gt;='Config_v6'!$B$51,T509&lt;='Config_v6'!$B$52,L509&lt;='Config_v6'!$B$53,ISNUMBER('Calibrare_Linii'!E19),S509&lt;='Calibrare_Linii'!E19,SUM(AK509:AM509)&gt;0),"CANDIDATE","NO"))</x:f>
      </x:c>
      <x:c r="Y509" s="2" t="str">
        <x:f>IF(B509="","",IF(I509&lt;&gt;"READY","NOT RELEASED",IF(AND(X509="CANDIDATE",V509&gt;='Config_v6'!$B$51,W509="PASS",'Calibrare_Linii'!T19="VALIDATED",AND('Calibrare_Linii'!H19=C509,ISNUMBER('Calibrare_Linii'!J19),'Calibrare_Linii'!J19&lt;='Input_Meci'!G41)),"PASS",IF(X509="CANDIDATE","OOS PENDING","FAIL"))))</x:f>
      </x:c>
      <x:c r="Z509" s="2" t="str">
        <x:f>IF(B509="","",IF(I509&lt;&gt;"READY","",IF(OR(NOT(AND(J509="PASS",'Calibrare_Linii'!U19="VALID")),L509&gt;'Config_v6'!$B$13,W509="WATCH"),5,IF(Y509="PASS",1,MIN(5,MAX('Config_v6'!$B$42,U509)+IF(W509="PENALTY",1,0))))))</x:f>
      </x:c>
      <x:c r="AA509" s="2" t="str">
        <x:f>IF(B509="","",IF(I509&lt;&gt;"READY","NOT RELEASED",IF(Z509=5,"NO BET",IF(OR(AB509&lt;'Config_v6'!$B$16,V509&lt;'Config_v6'!$B$18),"WATCH",IF(Z509=1,"DEFENSIV",IF(Z509=2,"PRUDENT",IF(Z509=3,"MODERAT","RIDICAT")))))))</x:f>
      </x:c>
      <x:c r="AB509" s="10" t="str">
        <x:f>IF(N509="","",MIN(N509,1-S509))</x:f>
      </x:c>
      <x:c r="AC509" s="2" t="str">
        <x:f>IF(AD509&lt;&gt;1,"",COUNTIFS($Z$496:$Z$509,"&lt;"&amp;Z509,$AD$496:$AD$509,1)+COUNTIFS($Z$496:$Z$509,Z509,$AB$496:$AB$509,"&gt;"&amp;AB509,$AD$496:$AD$509,1)+COUNTIFS($Z$496:$Z$509,Z509,$AB$496:$AB$509,AB509,$V$496:$V$509,"&gt;"&amp;V509,$AD$496:$AD$509,1)+COUNTIFS($Z$496:Z509,Z509,$AB$496:AB509,AB509,$V$496:V509,V509,$AD$496:AD509,1))</x:f>
      </x:c>
      <x:c r="AD509" s="2" t="n">
        <x:f>IF(OR(AA509="DEFENSIV",AA509="PRUDENT",AA509="MODERAT",AA509="RIDICAT"),1,0)</x:f>
        <x:v>0</x:v>
      </x:c>
      <x:c r="AE509" s="2" t="str">
        <x:f>IF(AD509&lt;&gt;1,"NO",IF(W509="PASS","YES",IF(W509="OOS PENDING","CONDITIONAL","NO")))</x:f>
        <x:v>NO</x:v>
      </x:c>
      <x:c r="AF509" s="2" t="n">
        <x:f>IF(AND(AD509=1,AC509=1,E509="LIVE"),1,0)</x:f>
        <x:v>0</x:v>
      </x:c>
      <x:c r="AG509" s="2" t="str">
        <x:f>IF(AF509&lt;&gt;1,"",'Dashboard'!P61)</x:f>
      </x:c>
      <x:c r="AH509" s="2" t="str">
        <x:f>IF(B509="","",IF(J509&lt;&gt;"PASS",'Motor_Meciuri'!J41,IF('Calibrare_Linii'!U19&lt;&gt;"VALID","Parametri linie invalizi",IF(L509&gt;'Config_v6'!$B$13,"Dispersie peste limita",IF(W509="WATCH","Failure peste limita",IF(AB509&lt;'Config_v6'!$B$16,"P finala sub prag",IF(V509&lt;'Config_v6'!$B$18,"Confidence sub prag",IF(E509="REPLAY","Exemplu retrospectiv; exclus din Top LIVE",IF(Y509="PASS","DEFENSIV validat",IF(W509="OOS PENDING","Eligibil; calibrare linie in monitorizare","Eligibil"))))))))))</x:f>
      </x:c>
      <x:c r="AI509" s="2" t="str">
        <x:f>IF(B509="","",'Calibrare_Linii'!V19)</x:f>
      </x:c>
      <x:c r="AJ509" s="2" t="str">
        <x:f>IF(B509="","",IF(AND('Calibrare_Linii'!T19="VALIDATED",AND('Calibrare_Linii'!H19=C509,ISNUMBER('Calibrare_Linii'!J19),'Calibrare_Linii'!J19&lt;='Input_Meci'!G41)),"DEFENSIVE VALIDATED",IF(AND('Calibrare_Linii'!S19="VALIDATED",AND('Calibrare_Linii'!H19=C509,ISNUMBER('Calibrare_Linii'!J19),'Calibrare_Linii'!J19&lt;='Input_Meci'!G41)),"TAIL VALIDATED","OOS PENDING")))</x:f>
      </x:c>
      <x:c r="AK509" s="2" t="n">
        <x:f>IF(J509&lt;&gt;"PASS",0,'Motor_Meciuri'!BR41)</x:f>
        <x:v>0</x:v>
      </x:c>
      <x:c r="AL509" s="2" t="n">
        <x:f>IF(J509&lt;&gt;"PASS",0,'Motor_Meciuri'!BS41)</x:f>
        <x:v>0</x:v>
      </x:c>
      <x:c r="AM509" s="2" t="n">
        <x:f>IF(J509&lt;&gt;"PASS",0,'Motor_Meciuri'!BT41)</x:f>
        <x:v>0</x:v>
      </x:c>
      <x:c r="AN509" s="2" t="str">
        <x:f>IF(M509="","",MAX(0,'Motor_Meciuri'!BF41-IF(L509&gt;'Config_v6'!$B$12,'Config_v6'!$B$37,IF(L509&gt;'Config_v6'!$B$11,'Config_v6'!$B$36,0))))</x:f>
      </x:c>
    </x:row>
    <x:row r="510" ht="21" customHeight="1">
      <x:c r="A510" s="2" t="n">
        <x:v>37</x:v>
      </x:c>
      <x:c r="B510" s="2" t="str">
        <x:f>IF('Motor_Meciuri'!A42="","",'Motor_Meciuri'!A42)</x:f>
      </x:c>
      <x:c r="C510" s="2" t="str">
        <x:f>IF(B510="","",'Motor_Meciuri'!B42)</x:f>
      </x:c>
      <x:c r="D510" s="2" t="str">
        <x:f>IF(B510="","",'Motor_Meciuri'!D42)</x:f>
      </x:c>
      <x:c r="E510" s="2" t="str">
        <x:f>IF(B510="","",'Motor_Meciuri'!E42)</x:f>
      </x:c>
      <x:c r="F510" s="2" t="str">
        <x:v>O3,5</x:v>
      </x:c>
      <x:c r="G510" s="2" t="str">
        <x:v>OVER</x:v>
      </x:c>
      <x:c r="H510" s="2" t="n">
        <x:v>3</x:v>
      </x:c>
      <x:c r="I510" s="2" t="str">
        <x:f>IF(B510="","",'Motor_Meciuri'!H42)</x:f>
      </x:c>
      <x:c r="J510" s="2" t="str">
        <x:f>IF(B510="","",'Motor_Meciuri'!I42)</x:f>
      </x:c>
      <x:c r="K510" s="11" t="str">
        <x:f>IF(J510&lt;&gt;"PASS","",'Motor_Meciuri'!BD42)</x:f>
      </x:c>
      <x:c r="L510" s="11" t="str">
        <x:f>IF(J510&lt;&gt;"PASS","",'Motor_Meciuri'!AU42)</x:f>
      </x:c>
      <x:c r="M510" s="10" t="str">
        <x:f>IF(NOT(AND(J510="PASS",'Calibrare_Linii'!U6="VALID")),"",1-'Distributie'!AA42)</x:f>
      </x:c>
      <x:c r="N510" s="10" t="str">
        <x:f>IF(M510="","",MAX(0.01,MIN(0.99,0.5+(M510-0.5)*'Motor_Meciuri'!BG42*'Calibrare_Linii'!D6)))</x:f>
      </x:c>
      <x:c r="O510" s="10" t="str">
        <x:f>IF(M510="","",1-M510)</x:f>
      </x:c>
      <x:c r="P510" s="10" t="str">
        <x:f>IF(OR(NOT(AND(J510="PASS",'Calibrare_Linii'!U6="VALID")),AK510=0),""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*('Istoric_Nativ'!$Q$6:$Q$405&lt;=H510))/AK510)</x:f>
      </x:c>
      <x:c r="Q510" s="10" t="str">
        <x:f>IF(OR(NOT(AND(J510="PASS",'Calibrare_Linii'!U6="VALID")),AL510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M42)+((('Istoric_Nativ'!$E$6:$E$405='Input_Meci'!E42)+('Istoric_Nativ'!$F$6:$F$405='Input_Meci'!E42))&gt;0)*('Istoric_Nativ'!$D$6:$D$405&gt;='Motor_Meciuri'!BN42))&gt;0)*('Istoric_Nativ'!$Q$6:$Q$405&lt;=H510))/AL510)</x:f>
      </x:c>
      <x:c r="R510" s="10" t="str">
        <x:f>IF(OR(NOT(AND(J510="PASS",'Calibrare_Linii'!U6="VALID")),AM510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O42)+((('Istoric_Nativ'!$E$6:$E$405='Input_Meci'!E42)+('Istoric_Nativ'!$F$6:$F$405='Input_Meci'!E42))&gt;0)*('Istoric_Nativ'!$D$6:$D$405&gt;='Motor_Meciuri'!BP42))&gt;0)*('Istoric_Nativ'!$Q$6:$Q$405&lt;=H510))/AM510)</x:f>
      </x:c>
      <x:c r="S510" s="10" t="str">
        <x:f>IF(M510="","",MAX(O510,P510,Q510,R510))</x:f>
      </x:c>
      <x:c r="T510" s="11" t="str">
        <x:f>IF(M510="","",MIN(100,S510*100*'Config_v6'!$B$44+MIN(100,L510/'Config_v6'!$B$13*100)*'Config_v6'!$B$45+(100-'Motor_Meciuri'!BF42)*'Config_v6'!$B$46+'Motor_Meciuri'!BH42*100*'Config_v6'!$B$47))</x:f>
      </x:c>
      <x:c r="U510" s="2" t="str">
        <x:f>IF(T510="","",IF(T510&lt;=20,1,IF(T510&lt;=40,2,IF(T510&lt;=60,3,IF(T510&lt;=80,4,5)))))</x:f>
      </x:c>
      <x:c r="V510" s="2" t="str">
        <x:f>IF(M510="","",MAX(0,'Motor_Meciuri'!BF42-IF(W510="OOS PENDING",'Config_v6'!$B$35,0)-IF(L510&gt;'Config_v6'!$B$12,'Config_v6'!$B$37,IF(L510&gt;'Config_v6'!$B$11,'Config_v6'!$B$36,0))))</x:f>
      </x:c>
      <x:c r="W510" s="2" t="str">
        <x:f>IF(B510="","",IF(I510&lt;&gt;"READY","NOT RELEASED",IF(NOT(AND(J510="PASS",'Calibrare_Linii'!U6="VALID")),"INVALID",IF(NOT(TRUE),"OOS PENDING",IF(S510&lt;=IF(AND('Calibrare_Linii'!S6="VALIDATED",AND('Calibrare_Linii'!H6=C510,ISNUMBER('Calibrare_Linii'!J6),'Calibrare_Linii'!J6&lt;='Input_Meci'!G42)),'Calibrare_Linii'!E6,'Config_v6'!$B$26),"PASS",IF(S510&lt;=IF(AND('Calibrare_Linii'!S6="VALIDATED",AND('Calibrare_Linii'!H6=C510,ISNUMBER('Calibrare_Linii'!J6),'Calibrare_Linii'!J6&lt;='Input_Meci'!G42)),'Calibrare_Linii'!F6,'Config_v6'!$C$26),"PENALTY","WATCH"))))))</x:f>
      </x:c>
      <x:c r="X510" s="2" t="str">
        <x:f>IF(M510="","",IF(AND(AND(J510="PASS",'Calibrare_Linii'!U6="VALID"),'Motor_Meciuri'!K42=12,'Motor_Meciuri'!L42=12,'Motor_Meciuri'!M42="NO",'Motor_Meciuri'!BL42='Motor_Meciuri'!C42,AB510&gt;='Config_v6'!$B$50,AN510&gt;='Config_v6'!$B$51,T510&lt;='Config_v6'!$B$52,L510&lt;='Config_v6'!$B$53,ISNUMBER('Calibrare_Linii'!E6),S510&lt;='Calibrare_Linii'!E6,SUM(AK510:AM510)&gt;0),"CANDIDATE","NO"))</x:f>
      </x:c>
      <x:c r="Y510" s="2" t="str">
        <x:f>IF(B510="","",IF(I510&lt;&gt;"READY","NOT RELEASED",IF(AND(X510="CANDIDATE",V510&gt;='Config_v6'!$B$51,W510="PASS",'Calibrare_Linii'!T6="VALIDATED",AND('Calibrare_Linii'!H6=C510,ISNUMBER('Calibrare_Linii'!J6),'Calibrare_Linii'!J6&lt;='Input_Meci'!G42)),"PASS",IF(X510="CANDIDATE","OOS PENDING","FAIL"))))</x:f>
      </x:c>
      <x:c r="Z510" s="2" t="str">
        <x:f>IF(B510="","",IF(I510&lt;&gt;"READY","",IF(OR(NOT(AND(J510="PASS",'Calibrare_Linii'!U6="VALID")),L510&gt;'Config_v6'!$B$13,W510="WATCH"),5,IF(Y510="PASS",1,MIN(5,MAX('Config_v6'!$B$42,U510)+IF(W510="PENALTY",1,0))))))</x:f>
      </x:c>
      <x:c r="AA510" s="2" t="str">
        <x:f>IF(B510="","",IF(I510&lt;&gt;"READY","NOT RELEASED",IF(Z510=5,"NO BET",IF(OR(AB510&lt;'Config_v6'!$B$16,V510&lt;'Config_v6'!$B$18),"WATCH",IF(Z510=1,"DEFENSIV",IF(Z510=2,"PRUDENT",IF(Z510=3,"MODERAT","RIDICAT")))))))</x:f>
      </x:c>
      <x:c r="AB510" s="10" t="str">
        <x:f>IF(N510="","",MIN(N510,1-S510))</x:f>
      </x:c>
      <x:c r="AC510" s="2" t="str">
        <x:f>IF(AD510&lt;&gt;1,"",COUNTIFS($Z$510:$Z$523,"&lt;"&amp;Z510,$AD$510:$AD$523,1)+COUNTIFS($Z$510:$Z$523,Z510,$AB$510:$AB$523,"&gt;"&amp;AB510,$AD$510:$AD$523,1)+COUNTIFS($Z$510:$Z$523,Z510,$AB$510:$AB$523,AB510,$V$510:$V$523,"&gt;"&amp;V510,$AD$510:$AD$523,1)+COUNTIFS($Z$510:Z510,Z510,$AB$510:AB510,AB510,$V$510:V510,V510,$AD$510:AD510,1))</x:f>
      </x:c>
      <x:c r="AD510" s="2" t="n">
        <x:f>IF(OR(AA510="DEFENSIV",AA510="PRUDENT",AA510="MODERAT",AA510="RIDICAT"),1,0)</x:f>
        <x:v>0</x:v>
      </x:c>
      <x:c r="AE510" s="2" t="str">
        <x:f>IF(AD510&lt;&gt;1,"NO",IF(W510="PASS","YES",IF(W510="OOS PENDING","CONDITIONAL","NO")))</x:f>
        <x:v>NO</x:v>
      </x:c>
      <x:c r="AF510" s="2" t="n">
        <x:f>IF(AND(AD510=1,AC510=1,E510="LIVE"),1,0)</x:f>
        <x:v>0</x:v>
      </x:c>
      <x:c r="AG510" s="2" t="str">
        <x:f>IF(AF510&lt;&gt;1,"",'Dashboard'!P62)</x:f>
      </x:c>
      <x:c r="AH510" s="2" t="str">
        <x:f>IF(B510="","",IF(J510&lt;&gt;"PASS",'Motor_Meciuri'!J42,IF('Calibrare_Linii'!U6&lt;&gt;"VALID","Parametri linie invalizi",IF(L510&gt;'Config_v6'!$B$13,"Dispersie peste limita",IF(W510="WATCH","Failure peste limita",IF(AB510&lt;'Config_v6'!$B$16,"P finala sub prag",IF(V510&lt;'Config_v6'!$B$18,"Confidence sub prag",IF(E510="REPLAY","Exemplu retrospectiv; exclus din Top LIVE",IF(Y510="PASS","DEFENSIV validat",IF(W510="OOS PENDING","Eligibil; calibrare linie in monitorizare","Eligibil"))))))))))</x:f>
      </x:c>
      <x:c r="AI510" s="2" t="str">
        <x:f>IF(B510="","",'Calibrare_Linii'!V6)</x:f>
      </x:c>
      <x:c r="AJ510" s="2" t="str">
        <x:f>IF(B510="","",IF(AND('Calibrare_Linii'!T6="VALIDATED",AND('Calibrare_Linii'!H6=C510,ISNUMBER('Calibrare_Linii'!J6),'Calibrare_Linii'!J6&lt;='Input_Meci'!G42)),"DEFENSIVE VALIDATED",IF(AND('Calibrare_Linii'!S6="VALIDATED",AND('Calibrare_Linii'!H6=C510,ISNUMBER('Calibrare_Linii'!J6),'Calibrare_Linii'!J6&lt;='Input_Meci'!G42)),"TAIL VALIDATED","OOS PENDING")))</x:f>
      </x:c>
      <x:c r="AK510" s="2" t="n">
        <x:f>IF(J510&lt;&gt;"PASS",0,'Motor_Meciuri'!BR42)</x:f>
        <x:v>0</x:v>
      </x:c>
      <x:c r="AL510" s="2" t="n">
        <x:f>IF(J510&lt;&gt;"PASS",0,'Motor_Meciuri'!BS42)</x:f>
        <x:v>0</x:v>
      </x:c>
      <x:c r="AM510" s="2" t="n">
        <x:f>IF(J510&lt;&gt;"PASS",0,'Motor_Meciuri'!BT42)</x:f>
        <x:v>0</x:v>
      </x:c>
      <x:c r="AN510" s="2" t="str">
        <x:f>IF(M510="","",MAX(0,'Motor_Meciuri'!BF42-IF(L510&gt;'Config_v6'!$B$12,'Config_v6'!$B$37,IF(L510&gt;'Config_v6'!$B$11,'Config_v6'!$B$36,0))))</x:f>
      </x:c>
    </x:row>
    <x:row r="511" ht="21" customHeight="1">
      <x:c r="A511" s="2" t="n">
        <x:v>37</x:v>
      </x:c>
      <x:c r="B511" s="2" t="str">
        <x:f>IF('Motor_Meciuri'!A42="","",'Motor_Meciuri'!A42)</x:f>
      </x:c>
      <x:c r="C511" s="2" t="str">
        <x:f>IF(B511="","",'Motor_Meciuri'!B42)</x:f>
      </x:c>
      <x:c r="D511" s="2" t="str">
        <x:f>IF(B511="","",'Motor_Meciuri'!D42)</x:f>
      </x:c>
      <x:c r="E511" s="2" t="str">
        <x:f>IF(B511="","",'Motor_Meciuri'!E42)</x:f>
      </x:c>
      <x:c r="F511" s="2" t="str">
        <x:v>O4,5</x:v>
      </x:c>
      <x:c r="G511" s="2" t="str">
        <x:v>OVER</x:v>
      </x:c>
      <x:c r="H511" s="2" t="n">
        <x:v>4</x:v>
      </x:c>
      <x:c r="I511" s="2" t="str">
        <x:f>IF(B511="","",'Motor_Meciuri'!H42)</x:f>
      </x:c>
      <x:c r="J511" s="2" t="str">
        <x:f>IF(B511="","",'Motor_Meciuri'!I42)</x:f>
      </x:c>
      <x:c r="K511" s="11" t="str">
        <x:f>IF(J511&lt;&gt;"PASS","",'Motor_Meciuri'!BD42)</x:f>
      </x:c>
      <x:c r="L511" s="11" t="str">
        <x:f>IF(J511&lt;&gt;"PASS","",'Motor_Meciuri'!AU42)</x:f>
      </x:c>
      <x:c r="M511" s="10" t="str">
        <x:f>IF(NOT(AND(J511="PASS",'Calibrare_Linii'!U7="VALID")),"",1-'Distributie'!AB42)</x:f>
      </x:c>
      <x:c r="N511" s="10" t="str">
        <x:f>IF(M511="","",MAX(0.01,MIN(0.99,0.5+(M511-0.5)*'Motor_Meciuri'!BG42*'Calibrare_Linii'!D7)))</x:f>
      </x:c>
      <x:c r="O511" s="10" t="str">
        <x:f>IF(M511="","",1-M511)</x:f>
      </x:c>
      <x:c r="P511" s="10" t="str">
        <x:f>IF(OR(NOT(AND(J511="PASS",'Calibrare_Linii'!U7="VALID")),AK511=0),""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*('Istoric_Nativ'!$Q$6:$Q$405&lt;=H511))/AK511)</x:f>
      </x:c>
      <x:c r="Q511" s="10" t="str">
        <x:f>IF(OR(NOT(AND(J511="PASS",'Calibrare_Linii'!U7="VALID")),AL511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M42)+((('Istoric_Nativ'!$E$6:$E$405='Input_Meci'!E42)+('Istoric_Nativ'!$F$6:$F$405='Input_Meci'!E42))&gt;0)*('Istoric_Nativ'!$D$6:$D$405&gt;='Motor_Meciuri'!BN42))&gt;0)*('Istoric_Nativ'!$Q$6:$Q$405&lt;=H511))/AL511)</x:f>
      </x:c>
      <x:c r="R511" s="10" t="str">
        <x:f>IF(OR(NOT(AND(J511="PASS",'Calibrare_Linii'!U7="VALID")),AM511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O42)+((('Istoric_Nativ'!$E$6:$E$405='Input_Meci'!E42)+('Istoric_Nativ'!$F$6:$F$405='Input_Meci'!E42))&gt;0)*('Istoric_Nativ'!$D$6:$D$405&gt;='Motor_Meciuri'!BP42))&gt;0)*('Istoric_Nativ'!$Q$6:$Q$405&lt;=H511))/AM511)</x:f>
      </x:c>
      <x:c r="S511" s="10" t="str">
        <x:f>IF(M511="","",MAX(O511,P511,Q511,R511))</x:f>
      </x:c>
      <x:c r="T511" s="11" t="str">
        <x:f>IF(M511="","",MIN(100,S511*100*'Config_v6'!$B$44+MIN(100,L511/'Config_v6'!$B$13*100)*'Config_v6'!$B$45+(100-'Motor_Meciuri'!BF42)*'Config_v6'!$B$46+'Motor_Meciuri'!BH42*100*'Config_v6'!$B$47))</x:f>
      </x:c>
      <x:c r="U511" s="2" t="str">
        <x:f>IF(T511="","",IF(T511&lt;=20,1,IF(T511&lt;=40,2,IF(T511&lt;=60,3,IF(T511&lt;=80,4,5)))))</x:f>
      </x:c>
      <x:c r="V511" s="2" t="str">
        <x:f>IF(M511="","",MAX(0,'Motor_Meciuri'!BF42-IF(W511="OOS PENDING",'Config_v6'!$B$35,0)-IF(L511&gt;'Config_v6'!$B$12,'Config_v6'!$B$37,IF(L511&gt;'Config_v6'!$B$11,'Config_v6'!$B$36,0))))</x:f>
      </x:c>
      <x:c r="W511" s="2" t="str">
        <x:f>IF(B511="","",IF(I511&lt;&gt;"READY","NOT RELEASED",IF(NOT(AND(J511="PASS",'Calibrare_Linii'!U7="VALID")),"INVALID",IF(NOT(AND('Calibrare_Linii'!S7="VALIDATED",AND('Calibrare_Linii'!H7=C511,ISNUMBER('Calibrare_Linii'!J7),'Calibrare_Linii'!J7&lt;='Input_Meci'!G42))),"OOS PENDING",IF(S511&lt;='Calibrare_Linii'!E7,"PASS",IF(S511&lt;='Calibrare_Linii'!F7,"PENALTY","WATCH"))))))</x:f>
      </x:c>
      <x:c r="X511" s="2" t="str">
        <x:f>IF(M511="","",IF(AND(AND(J511="PASS",'Calibrare_Linii'!U7="VALID"),'Motor_Meciuri'!K42=12,'Motor_Meciuri'!L42=12,'Motor_Meciuri'!M42="NO",'Motor_Meciuri'!BL42='Motor_Meciuri'!C42,AB511&gt;='Config_v6'!$B$50,AN511&gt;='Config_v6'!$B$51,T511&lt;='Config_v6'!$B$52,L511&lt;='Config_v6'!$B$53,ISNUMBER('Calibrare_Linii'!E7),S511&lt;='Calibrare_Linii'!E7,SUM(AK511:AM511)&gt;0),"CANDIDATE","NO"))</x:f>
      </x:c>
      <x:c r="Y511" s="2" t="str">
        <x:f>IF(B511="","",IF(I511&lt;&gt;"READY","NOT RELEASED",IF(AND(X511="CANDIDATE",V511&gt;='Config_v6'!$B$51,W511="PASS",'Calibrare_Linii'!T7="VALIDATED",AND('Calibrare_Linii'!H7=C511,ISNUMBER('Calibrare_Linii'!J7),'Calibrare_Linii'!J7&lt;='Input_Meci'!G42)),"PASS",IF(X511="CANDIDATE","OOS PENDING","FAIL"))))</x:f>
      </x:c>
      <x:c r="Z511" s="2" t="str">
        <x:f>IF(B511="","",IF(I511&lt;&gt;"READY","",IF(OR(NOT(AND(J511="PASS",'Calibrare_Linii'!U7="VALID")),L511&gt;'Config_v6'!$B$13,W511="WATCH"),5,IF(Y511="PASS",1,MIN(5,MAX('Config_v6'!$B$42,U511)+IF(W511="PENALTY",1,0))))))</x:f>
      </x:c>
      <x:c r="AA511" s="2" t="str">
        <x:f>IF(B511="","",IF(I511&lt;&gt;"READY","NOT RELEASED",IF(Z511=5,"NO BET",IF(OR(AB511&lt;'Config_v6'!$B$16,V511&lt;'Config_v6'!$B$18),"WATCH",IF(Z511=1,"DEFENSIV",IF(Z511=2,"PRUDENT",IF(Z511=3,"MODERAT","RIDICAT")))))))</x:f>
      </x:c>
      <x:c r="AB511" s="10" t="str">
        <x:f>IF(N511="","",MIN(N511,1-S511))</x:f>
      </x:c>
      <x:c r="AC511" s="2" t="str">
        <x:f>IF(AD511&lt;&gt;1,"",COUNTIFS($Z$510:$Z$523,"&lt;"&amp;Z511,$AD$510:$AD$523,1)+COUNTIFS($Z$510:$Z$523,Z511,$AB$510:$AB$523,"&gt;"&amp;AB511,$AD$510:$AD$523,1)+COUNTIFS($Z$510:$Z$523,Z511,$AB$510:$AB$523,AB511,$V$510:$V$523,"&gt;"&amp;V511,$AD$510:$AD$523,1)+COUNTIFS($Z$510:Z511,Z511,$AB$510:AB511,AB511,$V$510:V511,V511,$AD$510:AD511,1))</x:f>
      </x:c>
      <x:c r="AD511" s="2" t="n">
        <x:f>IF(OR(AA511="DEFENSIV",AA511="PRUDENT",AA511="MODERAT",AA511="RIDICAT"),1,0)</x:f>
        <x:v>0</x:v>
      </x:c>
      <x:c r="AE511" s="2" t="str">
        <x:f>IF(AD511&lt;&gt;1,"NO",IF(W511="PASS","YES",IF(W511="OOS PENDING","CONDITIONAL","NO")))</x:f>
        <x:v>NO</x:v>
      </x:c>
      <x:c r="AF511" s="2" t="n">
        <x:f>IF(AND(AD511=1,AC511=1,E511="LIVE"),1,0)</x:f>
        <x:v>0</x:v>
      </x:c>
      <x:c r="AG511" s="2" t="str">
        <x:f>IF(AF511&lt;&gt;1,"",'Dashboard'!P62)</x:f>
      </x:c>
      <x:c r="AH511" s="2" t="str">
        <x:f>IF(B511="","",IF(J511&lt;&gt;"PASS",'Motor_Meciuri'!J42,IF('Calibrare_Linii'!U7&lt;&gt;"VALID","Parametri linie invalizi",IF(L511&gt;'Config_v6'!$B$13,"Dispersie peste limita",IF(W511="WATCH","Failure peste limita",IF(AB511&lt;'Config_v6'!$B$16,"P finala sub prag",IF(V511&lt;'Config_v6'!$B$18,"Confidence sub prag",IF(E511="REPLAY","Exemplu retrospectiv; exclus din Top LIVE",IF(Y511="PASS","DEFENSIV validat",IF(W511="OOS PENDING","Eligibil; calibrare linie in monitorizare","Eligibil"))))))))))</x:f>
      </x:c>
      <x:c r="AI511" s="2" t="str">
        <x:f>IF(B511="","",'Calibrare_Linii'!V7)</x:f>
      </x:c>
      <x:c r="AJ511" s="2" t="str">
        <x:f>IF(B511="","",IF(AND('Calibrare_Linii'!T7="VALIDATED",AND('Calibrare_Linii'!H7=C511,ISNUMBER('Calibrare_Linii'!J7),'Calibrare_Linii'!J7&lt;='Input_Meci'!G42)),"DEFENSIVE VALIDATED",IF(AND('Calibrare_Linii'!S7="VALIDATED",AND('Calibrare_Linii'!H7=C511,ISNUMBER('Calibrare_Linii'!J7),'Calibrare_Linii'!J7&lt;='Input_Meci'!G42)),"TAIL VALIDATED","OOS PENDING")))</x:f>
      </x:c>
      <x:c r="AK511" s="2" t="n">
        <x:f>IF(J511&lt;&gt;"PASS",0,'Motor_Meciuri'!BR42)</x:f>
        <x:v>0</x:v>
      </x:c>
      <x:c r="AL511" s="2" t="n">
        <x:f>IF(J511&lt;&gt;"PASS",0,'Motor_Meciuri'!BS42)</x:f>
        <x:v>0</x:v>
      </x:c>
      <x:c r="AM511" s="2" t="n">
        <x:f>IF(J511&lt;&gt;"PASS",0,'Motor_Meciuri'!BT42)</x:f>
        <x:v>0</x:v>
      </x:c>
      <x:c r="AN511" s="2" t="str">
        <x:f>IF(M511="","",MAX(0,'Motor_Meciuri'!BF42-IF(L511&gt;'Config_v6'!$B$12,'Config_v6'!$B$37,IF(L511&gt;'Config_v6'!$B$11,'Config_v6'!$B$36,0))))</x:f>
      </x:c>
    </x:row>
    <x:row r="512" ht="21" customHeight="1">
      <x:c r="A512" s="2" t="n">
        <x:v>37</x:v>
      </x:c>
      <x:c r="B512" s="2" t="str">
        <x:f>IF('Motor_Meciuri'!A42="","",'Motor_Meciuri'!A42)</x:f>
      </x:c>
      <x:c r="C512" s="2" t="str">
        <x:f>IF(B512="","",'Motor_Meciuri'!B42)</x:f>
      </x:c>
      <x:c r="D512" s="2" t="str">
        <x:f>IF(B512="","",'Motor_Meciuri'!D42)</x:f>
      </x:c>
      <x:c r="E512" s="2" t="str">
        <x:f>IF(B512="","",'Motor_Meciuri'!E42)</x:f>
      </x:c>
      <x:c r="F512" s="2" t="str">
        <x:v>O5,5</x:v>
      </x:c>
      <x:c r="G512" s="2" t="str">
        <x:v>OVER</x:v>
      </x:c>
      <x:c r="H512" s="2" t="n">
        <x:v>5</x:v>
      </x:c>
      <x:c r="I512" s="2" t="str">
        <x:f>IF(B512="","",'Motor_Meciuri'!H42)</x:f>
      </x:c>
      <x:c r="J512" s="2" t="str">
        <x:f>IF(B512="","",'Motor_Meciuri'!I42)</x:f>
      </x:c>
      <x:c r="K512" s="11" t="str">
        <x:f>IF(J512&lt;&gt;"PASS","",'Motor_Meciuri'!BD42)</x:f>
      </x:c>
      <x:c r="L512" s="11" t="str">
        <x:f>IF(J512&lt;&gt;"PASS","",'Motor_Meciuri'!AU42)</x:f>
      </x:c>
      <x:c r="M512" s="10" t="str">
        <x:f>IF(NOT(AND(J512="PASS",'Calibrare_Linii'!U8="VALID")),"",1-'Distributie'!AC42)</x:f>
      </x:c>
      <x:c r="N512" s="10" t="str">
        <x:f>IF(M512="","",MAX(0.01,MIN(0.99,0.5+(M512-0.5)*'Motor_Meciuri'!BG42*'Calibrare_Linii'!D8)))</x:f>
      </x:c>
      <x:c r="O512" s="10" t="str">
        <x:f>IF(M512="","",1-M512)</x:f>
      </x:c>
      <x:c r="P512" s="10" t="str">
        <x:f>IF(OR(NOT(AND(J512="PASS",'Calibrare_Linii'!U8="VALID")),AK512=0),""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*('Istoric_Nativ'!$Q$6:$Q$405&lt;=H512))/AK512)</x:f>
      </x:c>
      <x:c r="Q512" s="10" t="str">
        <x:f>IF(OR(NOT(AND(J512="PASS",'Calibrare_Linii'!U8="VALID")),AL512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M42)+((('Istoric_Nativ'!$E$6:$E$405='Input_Meci'!E42)+('Istoric_Nativ'!$F$6:$F$405='Input_Meci'!E42))&gt;0)*('Istoric_Nativ'!$D$6:$D$405&gt;='Motor_Meciuri'!BN42))&gt;0)*('Istoric_Nativ'!$Q$6:$Q$405&lt;=H512))/AL512)</x:f>
      </x:c>
      <x:c r="R512" s="10" t="str">
        <x:f>IF(OR(NOT(AND(J512="PASS",'Calibrare_Linii'!U8="VALID")),AM512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O42)+((('Istoric_Nativ'!$E$6:$E$405='Input_Meci'!E42)+('Istoric_Nativ'!$F$6:$F$405='Input_Meci'!E42))&gt;0)*('Istoric_Nativ'!$D$6:$D$405&gt;='Motor_Meciuri'!BP42))&gt;0)*('Istoric_Nativ'!$Q$6:$Q$405&lt;=H512))/AM512)</x:f>
      </x:c>
      <x:c r="S512" s="10" t="str">
        <x:f>IF(M512="","",MAX(O512,P512,Q512,R512))</x:f>
      </x:c>
      <x:c r="T512" s="11" t="str">
        <x:f>IF(M512="","",MIN(100,S512*100*'Config_v6'!$B$44+MIN(100,L512/'Config_v6'!$B$13*100)*'Config_v6'!$B$45+(100-'Motor_Meciuri'!BF42)*'Config_v6'!$B$46+'Motor_Meciuri'!BH42*100*'Config_v6'!$B$47))</x:f>
      </x:c>
      <x:c r="U512" s="2" t="str">
        <x:f>IF(T512="","",IF(T512&lt;=20,1,IF(T512&lt;=40,2,IF(T512&lt;=60,3,IF(T512&lt;=80,4,5)))))</x:f>
      </x:c>
      <x:c r="V512" s="2" t="str">
        <x:f>IF(M512="","",MAX(0,'Motor_Meciuri'!BF42-IF(W512="OOS PENDING",'Config_v6'!$B$35,0)-IF(L512&gt;'Config_v6'!$B$12,'Config_v6'!$B$37,IF(L512&gt;'Config_v6'!$B$11,'Config_v6'!$B$36,0))))</x:f>
      </x:c>
      <x:c r="W512" s="2" t="str">
        <x:f>IF(B512="","",IF(I512&lt;&gt;"READY","NOT RELEASED",IF(NOT(AND(J512="PASS",'Calibrare_Linii'!U8="VALID")),"INVALID",IF(NOT(AND('Calibrare_Linii'!S8="VALIDATED",AND('Calibrare_Linii'!H8=C512,ISNUMBER('Calibrare_Linii'!J8),'Calibrare_Linii'!J8&lt;='Input_Meci'!G42))),"OOS PENDING",IF(S512&lt;='Calibrare_Linii'!E8,"PASS",IF(S512&lt;='Calibrare_Linii'!F8,"PENALTY","WATCH"))))))</x:f>
      </x:c>
      <x:c r="X512" s="2" t="str">
        <x:f>IF(M512="","",IF(AND(AND(J512="PASS",'Calibrare_Linii'!U8="VALID"),'Motor_Meciuri'!K42=12,'Motor_Meciuri'!L42=12,'Motor_Meciuri'!M42="NO",'Motor_Meciuri'!BL42='Motor_Meciuri'!C42,AB512&gt;='Config_v6'!$B$50,AN512&gt;='Config_v6'!$B$51,T512&lt;='Config_v6'!$B$52,L512&lt;='Config_v6'!$B$53,ISNUMBER('Calibrare_Linii'!E8),S512&lt;='Calibrare_Linii'!E8,SUM(AK512:AM512)&gt;0),"CANDIDATE","NO"))</x:f>
      </x:c>
      <x:c r="Y512" s="2" t="str">
        <x:f>IF(B512="","",IF(I512&lt;&gt;"READY","NOT RELEASED",IF(AND(X512="CANDIDATE",V512&gt;='Config_v6'!$B$51,W512="PASS",'Calibrare_Linii'!T8="VALIDATED",AND('Calibrare_Linii'!H8=C512,ISNUMBER('Calibrare_Linii'!J8),'Calibrare_Linii'!J8&lt;='Input_Meci'!G42)),"PASS",IF(X512="CANDIDATE","OOS PENDING","FAIL"))))</x:f>
      </x:c>
      <x:c r="Z512" s="2" t="str">
        <x:f>IF(B512="","",IF(I512&lt;&gt;"READY","",IF(OR(NOT(AND(J512="PASS",'Calibrare_Linii'!U8="VALID")),L512&gt;'Config_v6'!$B$13,W512="WATCH"),5,IF(Y512="PASS",1,MIN(5,MAX('Config_v6'!$B$42,U512)+IF(W512="PENALTY",1,0))))))</x:f>
      </x:c>
      <x:c r="AA512" s="2" t="str">
        <x:f>IF(B512="","",IF(I512&lt;&gt;"READY","NOT RELEASED",IF(Z512=5,"NO BET",IF(OR(AB512&lt;'Config_v6'!$B$16,V512&lt;'Config_v6'!$B$18),"WATCH",IF(Z512=1,"DEFENSIV",IF(Z512=2,"PRUDENT",IF(Z512=3,"MODERAT","RIDICAT")))))))</x:f>
      </x:c>
      <x:c r="AB512" s="10" t="str">
        <x:f>IF(N512="","",MIN(N512,1-S512))</x:f>
      </x:c>
      <x:c r="AC512" s="2" t="str">
        <x:f>IF(AD512&lt;&gt;1,"",COUNTIFS($Z$510:$Z$523,"&lt;"&amp;Z512,$AD$510:$AD$523,1)+COUNTIFS($Z$510:$Z$523,Z512,$AB$510:$AB$523,"&gt;"&amp;AB512,$AD$510:$AD$523,1)+COUNTIFS($Z$510:$Z$523,Z512,$AB$510:$AB$523,AB512,$V$510:$V$523,"&gt;"&amp;V512,$AD$510:$AD$523,1)+COUNTIFS($Z$510:Z512,Z512,$AB$510:AB512,AB512,$V$510:V512,V512,$AD$510:AD512,1))</x:f>
      </x:c>
      <x:c r="AD512" s="2" t="n">
        <x:f>IF(OR(AA512="DEFENSIV",AA512="PRUDENT",AA512="MODERAT",AA512="RIDICAT"),1,0)</x:f>
        <x:v>0</x:v>
      </x:c>
      <x:c r="AE512" s="2" t="str">
        <x:f>IF(AD512&lt;&gt;1,"NO",IF(W512="PASS","YES",IF(W512="OOS PENDING","CONDITIONAL","NO")))</x:f>
        <x:v>NO</x:v>
      </x:c>
      <x:c r="AF512" s="2" t="n">
        <x:f>IF(AND(AD512=1,AC512=1,E512="LIVE"),1,0)</x:f>
        <x:v>0</x:v>
      </x:c>
      <x:c r="AG512" s="2" t="str">
        <x:f>IF(AF512&lt;&gt;1,"",'Dashboard'!P62)</x:f>
      </x:c>
      <x:c r="AH512" s="2" t="str">
        <x:f>IF(B512="","",IF(J512&lt;&gt;"PASS",'Motor_Meciuri'!J42,IF('Calibrare_Linii'!U8&lt;&gt;"VALID","Parametri linie invalizi",IF(L512&gt;'Config_v6'!$B$13,"Dispersie peste limita",IF(W512="WATCH","Failure peste limita",IF(AB512&lt;'Config_v6'!$B$16,"P finala sub prag",IF(V512&lt;'Config_v6'!$B$18,"Confidence sub prag",IF(E512="REPLAY","Exemplu retrospectiv; exclus din Top LIVE",IF(Y512="PASS","DEFENSIV validat",IF(W512="OOS PENDING","Eligibil; calibrare linie in monitorizare","Eligibil"))))))))))</x:f>
      </x:c>
      <x:c r="AI512" s="2" t="str">
        <x:f>IF(B512="","",'Calibrare_Linii'!V8)</x:f>
      </x:c>
      <x:c r="AJ512" s="2" t="str">
        <x:f>IF(B512="","",IF(AND('Calibrare_Linii'!T8="VALIDATED",AND('Calibrare_Linii'!H8=C512,ISNUMBER('Calibrare_Linii'!J8),'Calibrare_Linii'!J8&lt;='Input_Meci'!G42)),"DEFENSIVE VALIDATED",IF(AND('Calibrare_Linii'!S8="VALIDATED",AND('Calibrare_Linii'!H8=C512,ISNUMBER('Calibrare_Linii'!J8),'Calibrare_Linii'!J8&lt;='Input_Meci'!G42)),"TAIL VALIDATED","OOS PENDING")))</x:f>
      </x:c>
      <x:c r="AK512" s="2" t="n">
        <x:f>IF(J512&lt;&gt;"PASS",0,'Motor_Meciuri'!BR42)</x:f>
        <x:v>0</x:v>
      </x:c>
      <x:c r="AL512" s="2" t="n">
        <x:f>IF(J512&lt;&gt;"PASS",0,'Motor_Meciuri'!BS42)</x:f>
        <x:v>0</x:v>
      </x:c>
      <x:c r="AM512" s="2" t="n">
        <x:f>IF(J512&lt;&gt;"PASS",0,'Motor_Meciuri'!BT42)</x:f>
        <x:v>0</x:v>
      </x:c>
      <x:c r="AN512" s="2" t="str">
        <x:f>IF(M512="","",MAX(0,'Motor_Meciuri'!BF42-IF(L512&gt;'Config_v6'!$B$12,'Config_v6'!$B$37,IF(L512&gt;'Config_v6'!$B$11,'Config_v6'!$B$36,0))))</x:f>
      </x:c>
    </x:row>
    <x:row r="513" ht="21" customHeight="1">
      <x:c r="A513" s="2" t="n">
        <x:v>37</x:v>
      </x:c>
      <x:c r="B513" s="2" t="str">
        <x:f>IF('Motor_Meciuri'!A42="","",'Motor_Meciuri'!A42)</x:f>
      </x:c>
      <x:c r="C513" s="2" t="str">
        <x:f>IF(B513="","",'Motor_Meciuri'!B42)</x:f>
      </x:c>
      <x:c r="D513" s="2" t="str">
        <x:f>IF(B513="","",'Motor_Meciuri'!D42)</x:f>
      </x:c>
      <x:c r="E513" s="2" t="str">
        <x:f>IF(B513="","",'Motor_Meciuri'!E42)</x:f>
      </x:c>
      <x:c r="F513" s="2" t="str">
        <x:v>O6,5</x:v>
      </x:c>
      <x:c r="G513" s="2" t="str">
        <x:v>OVER</x:v>
      </x:c>
      <x:c r="H513" s="2" t="n">
        <x:v>6</x:v>
      </x:c>
      <x:c r="I513" s="2" t="str">
        <x:f>IF(B513="","",'Motor_Meciuri'!H42)</x:f>
      </x:c>
      <x:c r="J513" s="2" t="str">
        <x:f>IF(B513="","",'Motor_Meciuri'!I42)</x:f>
      </x:c>
      <x:c r="K513" s="11" t="str">
        <x:f>IF(J513&lt;&gt;"PASS","",'Motor_Meciuri'!BD42)</x:f>
      </x:c>
      <x:c r="L513" s="11" t="str">
        <x:f>IF(J513&lt;&gt;"PASS","",'Motor_Meciuri'!AU42)</x:f>
      </x:c>
      <x:c r="M513" s="10" t="str">
        <x:f>IF(NOT(AND(J513="PASS",'Calibrare_Linii'!U9="VALID")),"",1-'Distributie'!AD42)</x:f>
      </x:c>
      <x:c r="N513" s="10" t="str">
        <x:f>IF(M513="","",MAX(0.01,MIN(0.99,0.5+(M513-0.5)*'Motor_Meciuri'!BG42*'Calibrare_Linii'!D9)))</x:f>
      </x:c>
      <x:c r="O513" s="10" t="str">
        <x:f>IF(M513="","",1-M513)</x:f>
      </x:c>
      <x:c r="P513" s="10" t="str">
        <x:f>IF(OR(NOT(AND(J513="PASS",'Calibrare_Linii'!U9="VALID")),AK513=0),""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*('Istoric_Nativ'!$Q$6:$Q$405&lt;=H513))/AK513)</x:f>
      </x:c>
      <x:c r="Q513" s="10" t="str">
        <x:f>IF(OR(NOT(AND(J513="PASS",'Calibrare_Linii'!U9="VALID")),AL513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M42)+((('Istoric_Nativ'!$E$6:$E$405='Input_Meci'!E42)+('Istoric_Nativ'!$F$6:$F$405='Input_Meci'!E42))&gt;0)*('Istoric_Nativ'!$D$6:$D$405&gt;='Motor_Meciuri'!BN42))&gt;0)*('Istoric_Nativ'!$Q$6:$Q$405&lt;=H513))/AL513)</x:f>
      </x:c>
      <x:c r="R513" s="10" t="str">
        <x:f>IF(OR(NOT(AND(J513="PASS",'Calibrare_Linii'!U9="VALID")),AM513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O42)+((('Istoric_Nativ'!$E$6:$E$405='Input_Meci'!E42)+('Istoric_Nativ'!$F$6:$F$405='Input_Meci'!E42))&gt;0)*('Istoric_Nativ'!$D$6:$D$405&gt;='Motor_Meciuri'!BP42))&gt;0)*('Istoric_Nativ'!$Q$6:$Q$405&lt;=H513))/AM513)</x:f>
      </x:c>
      <x:c r="S513" s="10" t="str">
        <x:f>IF(M513="","",MAX(O513,P513,Q513,R513))</x:f>
      </x:c>
      <x:c r="T513" s="11" t="str">
        <x:f>IF(M513="","",MIN(100,S513*100*'Config_v6'!$B$44+MIN(100,L513/'Config_v6'!$B$13*100)*'Config_v6'!$B$45+(100-'Motor_Meciuri'!BF42)*'Config_v6'!$B$46+'Motor_Meciuri'!BH42*100*'Config_v6'!$B$47))</x:f>
      </x:c>
      <x:c r="U513" s="2" t="str">
        <x:f>IF(T513="","",IF(T513&lt;=20,1,IF(T513&lt;=40,2,IF(T513&lt;=60,3,IF(T513&lt;=80,4,5)))))</x:f>
      </x:c>
      <x:c r="V513" s="2" t="str">
        <x:f>IF(M513="","",MAX(0,'Motor_Meciuri'!BF42-IF(W513="OOS PENDING",'Config_v6'!$B$35,0)-IF(L513&gt;'Config_v6'!$B$12,'Config_v6'!$B$37,IF(L513&gt;'Config_v6'!$B$11,'Config_v6'!$B$36,0))))</x:f>
      </x:c>
      <x:c r="W513" s="2" t="str">
        <x:f>IF(B513="","",IF(I513&lt;&gt;"READY","NOT RELEASED",IF(NOT(AND(J513="PASS",'Calibrare_Linii'!U9="VALID")),"INVALID",IF(NOT(AND('Calibrare_Linii'!S9="VALIDATED",AND('Calibrare_Linii'!H9=C513,ISNUMBER('Calibrare_Linii'!J9),'Calibrare_Linii'!J9&lt;='Input_Meci'!G42))),"OOS PENDING",IF(S513&lt;='Calibrare_Linii'!E9,"PASS",IF(S513&lt;='Calibrare_Linii'!F9,"PENALTY","WATCH"))))))</x:f>
      </x:c>
      <x:c r="X513" s="2" t="str">
        <x:f>IF(M513="","",IF(AND(AND(J513="PASS",'Calibrare_Linii'!U9="VALID"),'Motor_Meciuri'!K42=12,'Motor_Meciuri'!L42=12,'Motor_Meciuri'!M42="NO",'Motor_Meciuri'!BL42='Motor_Meciuri'!C42,AB513&gt;='Config_v6'!$B$50,AN513&gt;='Config_v6'!$B$51,T513&lt;='Config_v6'!$B$52,L513&lt;='Config_v6'!$B$53,ISNUMBER('Calibrare_Linii'!E9),S513&lt;='Calibrare_Linii'!E9,SUM(AK513:AM513)&gt;0),"CANDIDATE","NO"))</x:f>
      </x:c>
      <x:c r="Y513" s="2" t="str">
        <x:f>IF(B513="","",IF(I513&lt;&gt;"READY","NOT RELEASED",IF(AND(X513="CANDIDATE",V513&gt;='Config_v6'!$B$51,W513="PASS",'Calibrare_Linii'!T9="VALIDATED",AND('Calibrare_Linii'!H9=C513,ISNUMBER('Calibrare_Linii'!J9),'Calibrare_Linii'!J9&lt;='Input_Meci'!G42)),"PASS",IF(X513="CANDIDATE","OOS PENDING","FAIL"))))</x:f>
      </x:c>
      <x:c r="Z513" s="2" t="str">
        <x:f>IF(B513="","",IF(I513&lt;&gt;"READY","",IF(OR(NOT(AND(J513="PASS",'Calibrare_Linii'!U9="VALID")),L513&gt;'Config_v6'!$B$13,W513="WATCH"),5,IF(Y513="PASS",1,MIN(5,MAX('Config_v6'!$B$42,U513)+IF(W513="PENALTY",1,0))))))</x:f>
      </x:c>
      <x:c r="AA513" s="2" t="str">
        <x:f>IF(B513="","",IF(I513&lt;&gt;"READY","NOT RELEASED",IF(Z513=5,"NO BET",IF(OR(AB513&lt;'Config_v6'!$B$16,V513&lt;'Config_v6'!$B$18),"WATCH",IF(Z513=1,"DEFENSIV",IF(Z513=2,"PRUDENT",IF(Z513=3,"MODERAT","RIDICAT")))))))</x:f>
      </x:c>
      <x:c r="AB513" s="10" t="str">
        <x:f>IF(N513="","",MIN(N513,1-S513))</x:f>
      </x:c>
      <x:c r="AC513" s="2" t="str">
        <x:f>IF(AD513&lt;&gt;1,"",COUNTIFS($Z$510:$Z$523,"&lt;"&amp;Z513,$AD$510:$AD$523,1)+COUNTIFS($Z$510:$Z$523,Z513,$AB$510:$AB$523,"&gt;"&amp;AB513,$AD$510:$AD$523,1)+COUNTIFS($Z$510:$Z$523,Z513,$AB$510:$AB$523,AB513,$V$510:$V$523,"&gt;"&amp;V513,$AD$510:$AD$523,1)+COUNTIFS($Z$510:Z513,Z513,$AB$510:AB513,AB513,$V$510:V513,V513,$AD$510:AD513,1))</x:f>
      </x:c>
      <x:c r="AD513" s="2" t="n">
        <x:f>IF(OR(AA513="DEFENSIV",AA513="PRUDENT",AA513="MODERAT",AA513="RIDICAT"),1,0)</x:f>
        <x:v>0</x:v>
      </x:c>
      <x:c r="AE513" s="2" t="str">
        <x:f>IF(AD513&lt;&gt;1,"NO",IF(W513="PASS","YES",IF(W513="OOS PENDING","CONDITIONAL","NO")))</x:f>
        <x:v>NO</x:v>
      </x:c>
      <x:c r="AF513" s="2" t="n">
        <x:f>IF(AND(AD513=1,AC513=1,E513="LIVE"),1,0)</x:f>
        <x:v>0</x:v>
      </x:c>
      <x:c r="AG513" s="2" t="str">
        <x:f>IF(AF513&lt;&gt;1,"",'Dashboard'!P62)</x:f>
      </x:c>
      <x:c r="AH513" s="2" t="str">
        <x:f>IF(B513="","",IF(J513&lt;&gt;"PASS",'Motor_Meciuri'!J42,IF('Calibrare_Linii'!U9&lt;&gt;"VALID","Parametri linie invalizi",IF(L513&gt;'Config_v6'!$B$13,"Dispersie peste limita",IF(W513="WATCH","Failure peste limita",IF(AB513&lt;'Config_v6'!$B$16,"P finala sub prag",IF(V513&lt;'Config_v6'!$B$18,"Confidence sub prag",IF(E513="REPLAY","Exemplu retrospectiv; exclus din Top LIVE",IF(Y513="PASS","DEFENSIV validat",IF(W513="OOS PENDING","Eligibil; calibrare linie in monitorizare","Eligibil"))))))))))</x:f>
      </x:c>
      <x:c r="AI513" s="2" t="str">
        <x:f>IF(B513="","",'Calibrare_Linii'!V9)</x:f>
      </x:c>
      <x:c r="AJ513" s="2" t="str">
        <x:f>IF(B513="","",IF(AND('Calibrare_Linii'!T9="VALIDATED",AND('Calibrare_Linii'!H9=C513,ISNUMBER('Calibrare_Linii'!J9),'Calibrare_Linii'!J9&lt;='Input_Meci'!G42)),"DEFENSIVE VALIDATED",IF(AND('Calibrare_Linii'!S9="VALIDATED",AND('Calibrare_Linii'!H9=C513,ISNUMBER('Calibrare_Linii'!J9),'Calibrare_Linii'!J9&lt;='Input_Meci'!G42)),"TAIL VALIDATED","OOS PENDING")))</x:f>
      </x:c>
      <x:c r="AK513" s="2" t="n">
        <x:f>IF(J513&lt;&gt;"PASS",0,'Motor_Meciuri'!BR42)</x:f>
        <x:v>0</x:v>
      </x:c>
      <x:c r="AL513" s="2" t="n">
        <x:f>IF(J513&lt;&gt;"PASS",0,'Motor_Meciuri'!BS42)</x:f>
        <x:v>0</x:v>
      </x:c>
      <x:c r="AM513" s="2" t="n">
        <x:f>IF(J513&lt;&gt;"PASS",0,'Motor_Meciuri'!BT42)</x:f>
        <x:v>0</x:v>
      </x:c>
      <x:c r="AN513" s="2" t="str">
        <x:f>IF(M513="","",MAX(0,'Motor_Meciuri'!BF42-IF(L513&gt;'Config_v6'!$B$12,'Config_v6'!$B$37,IF(L513&gt;'Config_v6'!$B$11,'Config_v6'!$B$36,0))))</x:f>
      </x:c>
    </x:row>
    <x:row r="514" ht="21" customHeight="1">
      <x:c r="A514" s="2" t="n">
        <x:v>37</x:v>
      </x:c>
      <x:c r="B514" s="2" t="str">
        <x:f>IF('Motor_Meciuri'!A42="","",'Motor_Meciuri'!A42)</x:f>
      </x:c>
      <x:c r="C514" s="2" t="str">
        <x:f>IF(B514="","",'Motor_Meciuri'!B42)</x:f>
      </x:c>
      <x:c r="D514" s="2" t="str">
        <x:f>IF(B514="","",'Motor_Meciuri'!D42)</x:f>
      </x:c>
      <x:c r="E514" s="2" t="str">
        <x:f>IF(B514="","",'Motor_Meciuri'!E42)</x:f>
      </x:c>
      <x:c r="F514" s="2" t="str">
        <x:v>O7,5</x:v>
      </x:c>
      <x:c r="G514" s="2" t="str">
        <x:v>OVER</x:v>
      </x:c>
      <x:c r="H514" s="2" t="n">
        <x:v>7</x:v>
      </x:c>
      <x:c r="I514" s="2" t="str">
        <x:f>IF(B514="","",'Motor_Meciuri'!H42)</x:f>
      </x:c>
      <x:c r="J514" s="2" t="str">
        <x:f>IF(B514="","",'Motor_Meciuri'!I42)</x:f>
      </x:c>
      <x:c r="K514" s="11" t="str">
        <x:f>IF(J514&lt;&gt;"PASS","",'Motor_Meciuri'!BD42)</x:f>
      </x:c>
      <x:c r="L514" s="11" t="str">
        <x:f>IF(J514&lt;&gt;"PASS","",'Motor_Meciuri'!AU42)</x:f>
      </x:c>
      <x:c r="M514" s="10" t="str">
        <x:f>IF(NOT(AND(J514="PASS",'Calibrare_Linii'!U10="VALID")),"",1-'Distributie'!AE42)</x:f>
      </x:c>
      <x:c r="N514" s="10" t="str">
        <x:f>IF(M514="","",MAX(0.01,MIN(0.99,0.5+(M514-0.5)*'Motor_Meciuri'!BG42*'Calibrare_Linii'!D10)))</x:f>
      </x:c>
      <x:c r="O514" s="10" t="str">
        <x:f>IF(M514="","",1-M514)</x:f>
      </x:c>
      <x:c r="P514" s="10" t="str">
        <x:f>IF(OR(NOT(AND(J514="PASS",'Calibrare_Linii'!U10="VALID")),AK514=0),""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*('Istoric_Nativ'!$Q$6:$Q$405&lt;=H514))/AK514)</x:f>
      </x:c>
      <x:c r="Q514" s="10" t="str">
        <x:f>IF(OR(NOT(AND(J514="PASS",'Calibrare_Linii'!U10="VALID")),AL514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M42)+((('Istoric_Nativ'!$E$6:$E$405='Input_Meci'!E42)+('Istoric_Nativ'!$F$6:$F$405='Input_Meci'!E42))&gt;0)*('Istoric_Nativ'!$D$6:$D$405&gt;='Motor_Meciuri'!BN42))&gt;0)*('Istoric_Nativ'!$Q$6:$Q$405&lt;=H514))/AL514)</x:f>
      </x:c>
      <x:c r="R514" s="10" t="str">
        <x:f>IF(OR(NOT(AND(J514="PASS",'Calibrare_Linii'!U10="VALID")),AM514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O42)+((('Istoric_Nativ'!$E$6:$E$405='Input_Meci'!E42)+('Istoric_Nativ'!$F$6:$F$405='Input_Meci'!E42))&gt;0)*('Istoric_Nativ'!$D$6:$D$405&gt;='Motor_Meciuri'!BP42))&gt;0)*('Istoric_Nativ'!$Q$6:$Q$405&lt;=H514))/AM514)</x:f>
      </x:c>
      <x:c r="S514" s="10" t="str">
        <x:f>IF(M514="","",MAX(O514,P514,Q514,R514))</x:f>
      </x:c>
      <x:c r="T514" s="11" t="str">
        <x:f>IF(M514="","",MIN(100,S514*100*'Config_v6'!$B$44+MIN(100,L514/'Config_v6'!$B$13*100)*'Config_v6'!$B$45+(100-'Motor_Meciuri'!BF42)*'Config_v6'!$B$46+'Motor_Meciuri'!BH42*100*'Config_v6'!$B$47))</x:f>
      </x:c>
      <x:c r="U514" s="2" t="str">
        <x:f>IF(T514="","",IF(T514&lt;=20,1,IF(T514&lt;=40,2,IF(T514&lt;=60,3,IF(T514&lt;=80,4,5)))))</x:f>
      </x:c>
      <x:c r="V514" s="2" t="str">
        <x:f>IF(M514="","",MAX(0,'Motor_Meciuri'!BF42-IF(W514="OOS PENDING",'Config_v6'!$B$35,0)-IF(L514&gt;'Config_v6'!$B$12,'Config_v6'!$B$37,IF(L514&gt;'Config_v6'!$B$11,'Config_v6'!$B$36,0))))</x:f>
      </x:c>
      <x:c r="W514" s="2" t="str">
        <x:f>IF(B514="","",IF(I514&lt;&gt;"READY","NOT RELEASED",IF(NOT(AND(J514="PASS",'Calibrare_Linii'!U10="VALID")),"INVALID",IF(NOT(AND('Calibrare_Linii'!S10="VALIDATED",AND('Calibrare_Linii'!H10=C514,ISNUMBER('Calibrare_Linii'!J10),'Calibrare_Linii'!J10&lt;='Input_Meci'!G42))),"OOS PENDING",IF(S514&lt;='Calibrare_Linii'!E10,"PASS",IF(S514&lt;='Calibrare_Linii'!F10,"PENALTY","WATCH"))))))</x:f>
      </x:c>
      <x:c r="X514" s="2" t="str">
        <x:f>IF(M514="","",IF(AND(AND(J514="PASS",'Calibrare_Linii'!U10="VALID"),'Motor_Meciuri'!K42=12,'Motor_Meciuri'!L42=12,'Motor_Meciuri'!M42="NO",'Motor_Meciuri'!BL42='Motor_Meciuri'!C42,AB514&gt;='Config_v6'!$B$50,AN514&gt;='Config_v6'!$B$51,T514&lt;='Config_v6'!$B$52,L514&lt;='Config_v6'!$B$53,ISNUMBER('Calibrare_Linii'!E10),S514&lt;='Calibrare_Linii'!E10,SUM(AK514:AM514)&gt;0),"CANDIDATE","NO"))</x:f>
      </x:c>
      <x:c r="Y514" s="2" t="str">
        <x:f>IF(B514="","",IF(I514&lt;&gt;"READY","NOT RELEASED",IF(AND(X514="CANDIDATE",V514&gt;='Config_v6'!$B$51,W514="PASS",'Calibrare_Linii'!T10="VALIDATED",AND('Calibrare_Linii'!H10=C514,ISNUMBER('Calibrare_Linii'!J10),'Calibrare_Linii'!J10&lt;='Input_Meci'!G42)),"PASS",IF(X514="CANDIDATE","OOS PENDING","FAIL"))))</x:f>
      </x:c>
      <x:c r="Z514" s="2" t="str">
        <x:f>IF(B514="","",IF(I514&lt;&gt;"READY","",IF(OR(NOT(AND(J514="PASS",'Calibrare_Linii'!U10="VALID")),L514&gt;'Config_v6'!$B$13,W514="WATCH"),5,IF(Y514="PASS",1,MIN(5,MAX('Config_v6'!$B$42,U514)+IF(W514="PENALTY",1,0))))))</x:f>
      </x:c>
      <x:c r="AA514" s="2" t="str">
        <x:f>IF(B514="","",IF(I514&lt;&gt;"READY","NOT RELEASED",IF(Z514=5,"NO BET",IF(OR(AB514&lt;'Config_v6'!$B$16,V514&lt;'Config_v6'!$B$18),"WATCH",IF(Z514=1,"DEFENSIV",IF(Z514=2,"PRUDENT",IF(Z514=3,"MODERAT","RIDICAT")))))))</x:f>
      </x:c>
      <x:c r="AB514" s="10" t="str">
        <x:f>IF(N514="","",MIN(N514,1-S514))</x:f>
      </x:c>
      <x:c r="AC514" s="2" t="str">
        <x:f>IF(AD514&lt;&gt;1,"",COUNTIFS($Z$510:$Z$523,"&lt;"&amp;Z514,$AD$510:$AD$523,1)+COUNTIFS($Z$510:$Z$523,Z514,$AB$510:$AB$523,"&gt;"&amp;AB514,$AD$510:$AD$523,1)+COUNTIFS($Z$510:$Z$523,Z514,$AB$510:$AB$523,AB514,$V$510:$V$523,"&gt;"&amp;V514,$AD$510:$AD$523,1)+COUNTIFS($Z$510:Z514,Z514,$AB$510:AB514,AB514,$V$510:V514,V514,$AD$510:AD514,1))</x:f>
      </x:c>
      <x:c r="AD514" s="2" t="n">
        <x:f>IF(OR(AA514="DEFENSIV",AA514="PRUDENT",AA514="MODERAT",AA514="RIDICAT"),1,0)</x:f>
        <x:v>0</x:v>
      </x:c>
      <x:c r="AE514" s="2" t="str">
        <x:f>IF(AD514&lt;&gt;1,"NO",IF(W514="PASS","YES",IF(W514="OOS PENDING","CONDITIONAL","NO")))</x:f>
        <x:v>NO</x:v>
      </x:c>
      <x:c r="AF514" s="2" t="n">
        <x:f>IF(AND(AD514=1,AC514=1,E514="LIVE"),1,0)</x:f>
        <x:v>0</x:v>
      </x:c>
      <x:c r="AG514" s="2" t="str">
        <x:f>IF(AF514&lt;&gt;1,"",'Dashboard'!P62)</x:f>
      </x:c>
      <x:c r="AH514" s="2" t="str">
        <x:f>IF(B514="","",IF(J514&lt;&gt;"PASS",'Motor_Meciuri'!J42,IF('Calibrare_Linii'!U10&lt;&gt;"VALID","Parametri linie invalizi",IF(L514&gt;'Config_v6'!$B$13,"Dispersie peste limita",IF(W514="WATCH","Failure peste limita",IF(AB514&lt;'Config_v6'!$B$16,"P finala sub prag",IF(V514&lt;'Config_v6'!$B$18,"Confidence sub prag",IF(E514="REPLAY","Exemplu retrospectiv; exclus din Top LIVE",IF(Y514="PASS","DEFENSIV validat",IF(W514="OOS PENDING","Eligibil; calibrare linie in monitorizare","Eligibil"))))))))))</x:f>
      </x:c>
      <x:c r="AI514" s="2" t="str">
        <x:f>IF(B514="","",'Calibrare_Linii'!V10)</x:f>
      </x:c>
      <x:c r="AJ514" s="2" t="str">
        <x:f>IF(B514="","",IF(AND('Calibrare_Linii'!T10="VALIDATED",AND('Calibrare_Linii'!H10=C514,ISNUMBER('Calibrare_Linii'!J10),'Calibrare_Linii'!J10&lt;='Input_Meci'!G42)),"DEFENSIVE VALIDATED",IF(AND('Calibrare_Linii'!S10="VALIDATED",AND('Calibrare_Linii'!H10=C514,ISNUMBER('Calibrare_Linii'!J10),'Calibrare_Linii'!J10&lt;='Input_Meci'!G42)),"TAIL VALIDATED","OOS PENDING")))</x:f>
      </x:c>
      <x:c r="AK514" s="2" t="n">
        <x:f>IF(J514&lt;&gt;"PASS",0,'Motor_Meciuri'!BR42)</x:f>
        <x:v>0</x:v>
      </x:c>
      <x:c r="AL514" s="2" t="n">
        <x:f>IF(J514&lt;&gt;"PASS",0,'Motor_Meciuri'!BS42)</x:f>
        <x:v>0</x:v>
      </x:c>
      <x:c r="AM514" s="2" t="n">
        <x:f>IF(J514&lt;&gt;"PASS",0,'Motor_Meciuri'!BT42)</x:f>
        <x:v>0</x:v>
      </x:c>
      <x:c r="AN514" s="2" t="str">
        <x:f>IF(M514="","",MAX(0,'Motor_Meciuri'!BF42-IF(L514&gt;'Config_v6'!$B$12,'Config_v6'!$B$37,IF(L514&gt;'Config_v6'!$B$11,'Config_v6'!$B$36,0))))</x:f>
      </x:c>
    </x:row>
    <x:row r="515" ht="21" customHeight="1">
      <x:c r="A515" s="2" t="n">
        <x:v>37</x:v>
      </x:c>
      <x:c r="B515" s="2" t="str">
        <x:f>IF('Motor_Meciuri'!A42="","",'Motor_Meciuri'!A42)</x:f>
      </x:c>
      <x:c r="C515" s="2" t="str">
        <x:f>IF(B515="","",'Motor_Meciuri'!B42)</x:f>
      </x:c>
      <x:c r="D515" s="2" t="str">
        <x:f>IF(B515="","",'Motor_Meciuri'!D42)</x:f>
      </x:c>
      <x:c r="E515" s="2" t="str">
        <x:f>IF(B515="","",'Motor_Meciuri'!E42)</x:f>
      </x:c>
      <x:c r="F515" s="2" t="str">
        <x:v>O8,5</x:v>
      </x:c>
      <x:c r="G515" s="2" t="str">
        <x:v>OVER</x:v>
      </x:c>
      <x:c r="H515" s="2" t="n">
        <x:v>8</x:v>
      </x:c>
      <x:c r="I515" s="2" t="str">
        <x:f>IF(B515="","",'Motor_Meciuri'!H42)</x:f>
      </x:c>
      <x:c r="J515" s="2" t="str">
        <x:f>IF(B515="","",'Motor_Meciuri'!I42)</x:f>
      </x:c>
      <x:c r="K515" s="11" t="str">
        <x:f>IF(J515&lt;&gt;"PASS","",'Motor_Meciuri'!BD42)</x:f>
      </x:c>
      <x:c r="L515" s="11" t="str">
        <x:f>IF(J515&lt;&gt;"PASS","",'Motor_Meciuri'!AU42)</x:f>
      </x:c>
      <x:c r="M515" s="10" t="str">
        <x:f>IF(NOT(AND(J515="PASS",'Calibrare_Linii'!U11="VALID")),"",1-'Distributie'!AF42)</x:f>
      </x:c>
      <x:c r="N515" s="10" t="str">
        <x:f>IF(M515="","",MAX(0.01,MIN(0.99,0.5+(M515-0.5)*'Motor_Meciuri'!BG42*'Calibrare_Linii'!D11)))</x:f>
      </x:c>
      <x:c r="O515" s="10" t="str">
        <x:f>IF(M515="","",1-M515)</x:f>
      </x:c>
      <x:c r="P515" s="10" t="str">
        <x:f>IF(OR(NOT(AND(J515="PASS",'Calibrare_Linii'!U11="VALID")),AK515=0),""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*('Istoric_Nativ'!$Q$6:$Q$405&lt;=H515))/AK515)</x:f>
      </x:c>
      <x:c r="Q515" s="10" t="str">
        <x:f>IF(OR(NOT(AND(J515="PASS",'Calibrare_Linii'!U11="VALID")),AL515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M42)+((('Istoric_Nativ'!$E$6:$E$405='Input_Meci'!E42)+('Istoric_Nativ'!$F$6:$F$405='Input_Meci'!E42))&gt;0)*('Istoric_Nativ'!$D$6:$D$405&gt;='Motor_Meciuri'!BN42))&gt;0)*('Istoric_Nativ'!$Q$6:$Q$405&lt;=H515))/AL515)</x:f>
      </x:c>
      <x:c r="R515" s="10" t="str">
        <x:f>IF(OR(NOT(AND(J515="PASS",'Calibrare_Linii'!U11="VALID")),AM515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O42)+((('Istoric_Nativ'!$E$6:$E$405='Input_Meci'!E42)+('Istoric_Nativ'!$F$6:$F$405='Input_Meci'!E42))&gt;0)*('Istoric_Nativ'!$D$6:$D$405&gt;='Motor_Meciuri'!BP42))&gt;0)*('Istoric_Nativ'!$Q$6:$Q$405&lt;=H515))/AM515)</x:f>
      </x:c>
      <x:c r="S515" s="10" t="str">
        <x:f>IF(M515="","",MAX(O515,P515,Q515,R515))</x:f>
      </x:c>
      <x:c r="T515" s="11" t="str">
        <x:f>IF(M515="","",MIN(100,S515*100*'Config_v6'!$B$44+MIN(100,L515/'Config_v6'!$B$13*100)*'Config_v6'!$B$45+(100-'Motor_Meciuri'!BF42)*'Config_v6'!$B$46+'Motor_Meciuri'!BH42*100*'Config_v6'!$B$47))</x:f>
      </x:c>
      <x:c r="U515" s="2" t="str">
        <x:f>IF(T515="","",IF(T515&lt;=20,1,IF(T515&lt;=40,2,IF(T515&lt;=60,3,IF(T515&lt;=80,4,5)))))</x:f>
      </x:c>
      <x:c r="V515" s="2" t="str">
        <x:f>IF(M515="","",MAX(0,'Motor_Meciuri'!BF42-IF(W515="OOS PENDING",'Config_v6'!$B$35,0)-IF(L515&gt;'Config_v6'!$B$12,'Config_v6'!$B$37,IF(L515&gt;'Config_v6'!$B$11,'Config_v6'!$B$36,0))))</x:f>
      </x:c>
      <x:c r="W515" s="2" t="str">
        <x:f>IF(B515="","",IF(I515&lt;&gt;"READY","NOT RELEASED",IF(NOT(AND(J515="PASS",'Calibrare_Linii'!U11="VALID")),"INVALID",IF(NOT(AND('Calibrare_Linii'!S11="VALIDATED",AND('Calibrare_Linii'!H11=C515,ISNUMBER('Calibrare_Linii'!J11),'Calibrare_Linii'!J11&lt;='Input_Meci'!G42))),"OOS PENDING",IF(S515&lt;='Calibrare_Linii'!E11,"PASS",IF(S515&lt;='Calibrare_Linii'!F11,"PENALTY","WATCH"))))))</x:f>
      </x:c>
      <x:c r="X515" s="2" t="str">
        <x:f>IF(M515="","",IF(AND(AND(J515="PASS",'Calibrare_Linii'!U11="VALID"),'Motor_Meciuri'!K42=12,'Motor_Meciuri'!L42=12,'Motor_Meciuri'!M42="NO",'Motor_Meciuri'!BL42='Motor_Meciuri'!C42,AB515&gt;='Config_v6'!$B$50,AN515&gt;='Config_v6'!$B$51,T515&lt;='Config_v6'!$B$52,L515&lt;='Config_v6'!$B$53,ISNUMBER('Calibrare_Linii'!E11),S515&lt;='Calibrare_Linii'!E11,SUM(AK515:AM515)&gt;0),"CANDIDATE","NO"))</x:f>
      </x:c>
      <x:c r="Y515" s="2" t="str">
        <x:f>IF(B515="","",IF(I515&lt;&gt;"READY","NOT RELEASED",IF(AND(X515="CANDIDATE",V515&gt;='Config_v6'!$B$51,W515="PASS",'Calibrare_Linii'!T11="VALIDATED",AND('Calibrare_Linii'!H11=C515,ISNUMBER('Calibrare_Linii'!J11),'Calibrare_Linii'!J11&lt;='Input_Meci'!G42)),"PASS",IF(X515="CANDIDATE","OOS PENDING","FAIL"))))</x:f>
      </x:c>
      <x:c r="Z515" s="2" t="str">
        <x:f>IF(B515="","",IF(I515&lt;&gt;"READY","",IF(OR(NOT(AND(J515="PASS",'Calibrare_Linii'!U11="VALID")),L515&gt;'Config_v6'!$B$13,W515="WATCH"),5,IF(Y515="PASS",1,MIN(5,MAX('Config_v6'!$B$42,U515)+IF(W515="PENALTY",1,0))))))</x:f>
      </x:c>
      <x:c r="AA515" s="2" t="str">
        <x:f>IF(B515="","",IF(I515&lt;&gt;"READY","NOT RELEASED",IF(Z515=5,"NO BET",IF(OR(AB515&lt;'Config_v6'!$B$16,V515&lt;'Config_v6'!$B$18),"WATCH",IF(Z515=1,"DEFENSIV",IF(Z515=2,"PRUDENT",IF(Z515=3,"MODERAT","RIDICAT")))))))</x:f>
      </x:c>
      <x:c r="AB515" s="10" t="str">
        <x:f>IF(N515="","",MIN(N515,1-S515))</x:f>
      </x:c>
      <x:c r="AC515" s="2" t="str">
        <x:f>IF(AD515&lt;&gt;1,"",COUNTIFS($Z$510:$Z$523,"&lt;"&amp;Z515,$AD$510:$AD$523,1)+COUNTIFS($Z$510:$Z$523,Z515,$AB$510:$AB$523,"&gt;"&amp;AB515,$AD$510:$AD$523,1)+COUNTIFS($Z$510:$Z$523,Z515,$AB$510:$AB$523,AB515,$V$510:$V$523,"&gt;"&amp;V515,$AD$510:$AD$523,1)+COUNTIFS($Z$510:Z515,Z515,$AB$510:AB515,AB515,$V$510:V515,V515,$AD$510:AD515,1))</x:f>
      </x:c>
      <x:c r="AD515" s="2" t="n">
        <x:f>IF(OR(AA515="DEFENSIV",AA515="PRUDENT",AA515="MODERAT",AA515="RIDICAT"),1,0)</x:f>
        <x:v>0</x:v>
      </x:c>
      <x:c r="AE515" s="2" t="str">
        <x:f>IF(AD515&lt;&gt;1,"NO",IF(W515="PASS","YES",IF(W515="OOS PENDING","CONDITIONAL","NO")))</x:f>
        <x:v>NO</x:v>
      </x:c>
      <x:c r="AF515" s="2" t="n">
        <x:f>IF(AND(AD515=1,AC515=1,E515="LIVE"),1,0)</x:f>
        <x:v>0</x:v>
      </x:c>
      <x:c r="AG515" s="2" t="str">
        <x:f>IF(AF515&lt;&gt;1,"",'Dashboard'!P62)</x:f>
      </x:c>
      <x:c r="AH515" s="2" t="str">
        <x:f>IF(B515="","",IF(J515&lt;&gt;"PASS",'Motor_Meciuri'!J42,IF('Calibrare_Linii'!U11&lt;&gt;"VALID","Parametri linie invalizi",IF(L515&gt;'Config_v6'!$B$13,"Dispersie peste limita",IF(W515="WATCH","Failure peste limita",IF(AB515&lt;'Config_v6'!$B$16,"P finala sub prag",IF(V515&lt;'Config_v6'!$B$18,"Confidence sub prag",IF(E515="REPLAY","Exemplu retrospectiv; exclus din Top LIVE",IF(Y515="PASS","DEFENSIV validat",IF(W515="OOS PENDING","Eligibil; calibrare linie in monitorizare","Eligibil"))))))))))</x:f>
      </x:c>
      <x:c r="AI515" s="2" t="str">
        <x:f>IF(B515="","",'Calibrare_Linii'!V11)</x:f>
      </x:c>
      <x:c r="AJ515" s="2" t="str">
        <x:f>IF(B515="","",IF(AND('Calibrare_Linii'!T11="VALIDATED",AND('Calibrare_Linii'!H11=C515,ISNUMBER('Calibrare_Linii'!J11),'Calibrare_Linii'!J11&lt;='Input_Meci'!G42)),"DEFENSIVE VALIDATED",IF(AND('Calibrare_Linii'!S11="VALIDATED",AND('Calibrare_Linii'!H11=C515,ISNUMBER('Calibrare_Linii'!J11),'Calibrare_Linii'!J11&lt;='Input_Meci'!G42)),"TAIL VALIDATED","OOS PENDING")))</x:f>
      </x:c>
      <x:c r="AK515" s="2" t="n">
        <x:f>IF(J515&lt;&gt;"PASS",0,'Motor_Meciuri'!BR42)</x:f>
        <x:v>0</x:v>
      </x:c>
      <x:c r="AL515" s="2" t="n">
        <x:f>IF(J515&lt;&gt;"PASS",0,'Motor_Meciuri'!BS42)</x:f>
        <x:v>0</x:v>
      </x:c>
      <x:c r="AM515" s="2" t="n">
        <x:f>IF(J515&lt;&gt;"PASS",0,'Motor_Meciuri'!BT42)</x:f>
        <x:v>0</x:v>
      </x:c>
      <x:c r="AN515" s="2" t="str">
        <x:f>IF(M515="","",MAX(0,'Motor_Meciuri'!BF42-IF(L515&gt;'Config_v6'!$B$12,'Config_v6'!$B$37,IF(L515&gt;'Config_v6'!$B$11,'Config_v6'!$B$36,0))))</x:f>
      </x:c>
    </x:row>
    <x:row r="516" ht="21" customHeight="1">
      <x:c r="A516" s="2" t="n">
        <x:v>37</x:v>
      </x:c>
      <x:c r="B516" s="2" t="str">
        <x:f>IF('Motor_Meciuri'!A42="","",'Motor_Meciuri'!A42)</x:f>
      </x:c>
      <x:c r="C516" s="2" t="str">
        <x:f>IF(B516="","",'Motor_Meciuri'!B42)</x:f>
      </x:c>
      <x:c r="D516" s="2" t="str">
        <x:f>IF(B516="","",'Motor_Meciuri'!D42)</x:f>
      </x:c>
      <x:c r="E516" s="2" t="str">
        <x:f>IF(B516="","",'Motor_Meciuri'!E42)</x:f>
      </x:c>
      <x:c r="F516" s="2" t="str">
        <x:v>U10,5</x:v>
      </x:c>
      <x:c r="G516" s="2" t="str">
        <x:v>UNDER</x:v>
      </x:c>
      <x:c r="H516" s="2" t="n">
        <x:v>10</x:v>
      </x:c>
      <x:c r="I516" s="2" t="str">
        <x:f>IF(B516="","",'Motor_Meciuri'!H42)</x:f>
      </x:c>
      <x:c r="J516" s="2" t="str">
        <x:f>IF(B516="","",'Motor_Meciuri'!I42)</x:f>
      </x:c>
      <x:c r="K516" s="11" t="str">
        <x:f>IF(J516&lt;&gt;"PASS","",'Motor_Meciuri'!BD42)</x:f>
      </x:c>
      <x:c r="L516" s="11" t="str">
        <x:f>IF(J516&lt;&gt;"PASS","",'Motor_Meciuri'!AU42)</x:f>
      </x:c>
      <x:c r="M516" s="10" t="str">
        <x:f>IF(NOT(AND(J516="PASS",'Calibrare_Linii'!U12="VALID")),"",'Distributie'!AH42)</x:f>
      </x:c>
      <x:c r="N516" s="10" t="str">
        <x:f>IF(M516="","",MAX(0.01,MIN(0.99,0.5+(M516-0.5)*'Motor_Meciuri'!BG42*'Calibrare_Linii'!D12)))</x:f>
      </x:c>
      <x:c r="O516" s="10" t="str">
        <x:f>IF(M516="","",1-M516)</x:f>
      </x:c>
      <x:c r="P516" s="10" t="str">
        <x:f>IF(OR(NOT(AND(J516="PASS",'Calibrare_Linii'!U12="VALID")),AK516=0),""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*('Istoric_Nativ'!$Q$6:$Q$405&gt;H516))/AK516)</x:f>
      </x:c>
      <x:c r="Q516" s="10" t="str">
        <x:f>IF(OR(NOT(AND(J516="PASS",'Calibrare_Linii'!U12="VALID")),AL516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M42)+((('Istoric_Nativ'!$E$6:$E$405='Input_Meci'!E42)+('Istoric_Nativ'!$F$6:$F$405='Input_Meci'!E42))&gt;0)*('Istoric_Nativ'!$D$6:$D$405&gt;='Motor_Meciuri'!BN42))&gt;0)*('Istoric_Nativ'!$Q$6:$Q$405&gt;H516))/AL516)</x:f>
      </x:c>
      <x:c r="R516" s="10" t="str">
        <x:f>IF(OR(NOT(AND(J516="PASS",'Calibrare_Linii'!U12="VALID")),AM516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O42)+((('Istoric_Nativ'!$E$6:$E$405='Input_Meci'!E42)+('Istoric_Nativ'!$F$6:$F$405='Input_Meci'!E42))&gt;0)*('Istoric_Nativ'!$D$6:$D$405&gt;='Motor_Meciuri'!BP42))&gt;0)*('Istoric_Nativ'!$Q$6:$Q$405&gt;H516))/AM516)</x:f>
      </x:c>
      <x:c r="S516" s="10" t="str">
        <x:f>IF(M516="","",MAX(O516,P516,Q516,R516))</x:f>
      </x:c>
      <x:c r="T516" s="11" t="str">
        <x:f>IF(M516="","",MIN(100,S516*100*'Config_v6'!$B$44+MIN(100,L516/'Config_v6'!$B$13*100)*'Config_v6'!$B$45+(100-'Motor_Meciuri'!BF42)*'Config_v6'!$B$46+'Motor_Meciuri'!BH42*100*'Config_v6'!$B$47))</x:f>
      </x:c>
      <x:c r="U516" s="2" t="str">
        <x:f>IF(T516="","",IF(T516&lt;=20,1,IF(T516&lt;=40,2,IF(T516&lt;=60,3,IF(T516&lt;=80,4,5)))))</x:f>
      </x:c>
      <x:c r="V516" s="2" t="str">
        <x:f>IF(M516="","",MAX(0,'Motor_Meciuri'!BF42-IF(W516="OOS PENDING",'Config_v6'!$B$35,0)-IF(L516&gt;'Config_v6'!$B$12,'Config_v6'!$B$37,IF(L516&gt;'Config_v6'!$B$11,'Config_v6'!$B$36,0))))</x:f>
      </x:c>
      <x:c r="W516" s="2" t="str">
        <x:f>IF(B516="","",IF(I516&lt;&gt;"READY","NOT RELEASED",IF(NOT(AND(J516="PASS",'Calibrare_Linii'!U12="VALID")),"INVALID",IF(NOT(AND('Calibrare_Linii'!S12="VALIDATED",AND('Calibrare_Linii'!H12=C516,ISNUMBER('Calibrare_Linii'!J12),'Calibrare_Linii'!J12&lt;='Input_Meci'!G42))),"OOS PENDING",IF(S516&lt;='Calibrare_Linii'!E12,"PASS",IF(S516&lt;='Calibrare_Linii'!F12,"PENALTY","WATCH"))))))</x:f>
      </x:c>
      <x:c r="X516" s="2" t="str">
        <x:f>IF(M516="","",IF(AND(AND(J516="PASS",'Calibrare_Linii'!U12="VALID"),'Motor_Meciuri'!K42=12,'Motor_Meciuri'!L42=12,'Motor_Meciuri'!M42="NO",'Motor_Meciuri'!BL42='Motor_Meciuri'!C42,AB516&gt;='Config_v6'!$B$50,AN516&gt;='Config_v6'!$B$51,T516&lt;='Config_v6'!$B$52,L516&lt;='Config_v6'!$B$53,ISNUMBER('Calibrare_Linii'!E12),S516&lt;='Calibrare_Linii'!E12,SUM(AK516:AM516)&gt;0),"CANDIDATE","NO"))</x:f>
      </x:c>
      <x:c r="Y516" s="2" t="str">
        <x:f>IF(B516="","",IF(I516&lt;&gt;"READY","NOT RELEASED",IF(AND(X516="CANDIDATE",V516&gt;='Config_v6'!$B$51,W516="PASS",'Calibrare_Linii'!T12="VALIDATED",AND('Calibrare_Linii'!H12=C516,ISNUMBER('Calibrare_Linii'!J12),'Calibrare_Linii'!J12&lt;='Input_Meci'!G42)),"PASS",IF(X516="CANDIDATE","OOS PENDING","FAIL"))))</x:f>
      </x:c>
      <x:c r="Z516" s="2" t="str">
        <x:f>IF(B516="","",IF(I516&lt;&gt;"READY","",IF(OR(NOT(AND(J516="PASS",'Calibrare_Linii'!U12="VALID")),L516&gt;'Config_v6'!$B$13,W516="WATCH"),5,IF(Y516="PASS",1,MIN(5,MAX('Config_v6'!$B$42,U516)+IF(W516="PENALTY",1,0))))))</x:f>
      </x:c>
      <x:c r="AA516" s="2" t="str">
        <x:f>IF(B516="","",IF(I516&lt;&gt;"READY","NOT RELEASED",IF(Z516=5,"NO BET",IF(OR(AB516&lt;'Config_v6'!$B$16,V516&lt;'Config_v6'!$B$18),"WATCH",IF(Z516=1,"DEFENSIV",IF(Z516=2,"PRUDENT",IF(Z516=3,"MODERAT","RIDICAT")))))))</x:f>
      </x:c>
      <x:c r="AB516" s="10" t="str">
        <x:f>IF(N516="","",MIN(N516,1-S516))</x:f>
      </x:c>
      <x:c r="AC516" s="2" t="str">
        <x:f>IF(AD516&lt;&gt;1,"",COUNTIFS($Z$510:$Z$523,"&lt;"&amp;Z516,$AD$510:$AD$523,1)+COUNTIFS($Z$510:$Z$523,Z516,$AB$510:$AB$523,"&gt;"&amp;AB516,$AD$510:$AD$523,1)+COUNTIFS($Z$510:$Z$523,Z516,$AB$510:$AB$523,AB516,$V$510:$V$523,"&gt;"&amp;V516,$AD$510:$AD$523,1)+COUNTIFS($Z$510:Z516,Z516,$AB$510:AB516,AB516,$V$510:V516,V516,$AD$510:AD516,1))</x:f>
      </x:c>
      <x:c r="AD516" s="2" t="n">
        <x:f>IF(OR(AA516="DEFENSIV",AA516="PRUDENT",AA516="MODERAT",AA516="RIDICAT"),1,0)</x:f>
        <x:v>0</x:v>
      </x:c>
      <x:c r="AE516" s="2" t="str">
        <x:f>IF(AD516&lt;&gt;1,"NO",IF(W516="PASS","YES",IF(W516="OOS PENDING","CONDITIONAL","NO")))</x:f>
        <x:v>NO</x:v>
      </x:c>
      <x:c r="AF516" s="2" t="n">
        <x:f>IF(AND(AD516=1,AC516=1,E516="LIVE"),1,0)</x:f>
        <x:v>0</x:v>
      </x:c>
      <x:c r="AG516" s="2" t="str">
        <x:f>IF(AF516&lt;&gt;1,"",'Dashboard'!P62)</x:f>
      </x:c>
      <x:c r="AH516" s="2" t="str">
        <x:f>IF(B516="","",IF(J516&lt;&gt;"PASS",'Motor_Meciuri'!J42,IF('Calibrare_Linii'!U12&lt;&gt;"VALID","Parametri linie invalizi",IF(L516&gt;'Config_v6'!$B$13,"Dispersie peste limita",IF(W516="WATCH","Failure peste limita",IF(AB516&lt;'Config_v6'!$B$16,"P finala sub prag",IF(V516&lt;'Config_v6'!$B$18,"Confidence sub prag",IF(E516="REPLAY","Exemplu retrospectiv; exclus din Top LIVE",IF(Y516="PASS","DEFENSIV validat",IF(W516="OOS PENDING","Eligibil; calibrare linie in monitorizare","Eligibil"))))))))))</x:f>
      </x:c>
      <x:c r="AI516" s="2" t="str">
        <x:f>IF(B516="","",'Calibrare_Linii'!V12)</x:f>
      </x:c>
      <x:c r="AJ516" s="2" t="str">
        <x:f>IF(B516="","",IF(AND('Calibrare_Linii'!T12="VALIDATED",AND('Calibrare_Linii'!H12=C516,ISNUMBER('Calibrare_Linii'!J12),'Calibrare_Linii'!J12&lt;='Input_Meci'!G42)),"DEFENSIVE VALIDATED",IF(AND('Calibrare_Linii'!S12="VALIDATED",AND('Calibrare_Linii'!H12=C516,ISNUMBER('Calibrare_Linii'!J12),'Calibrare_Linii'!J12&lt;='Input_Meci'!G42)),"TAIL VALIDATED","OOS PENDING")))</x:f>
      </x:c>
      <x:c r="AK516" s="2" t="n">
        <x:f>IF(J516&lt;&gt;"PASS",0,'Motor_Meciuri'!BR42)</x:f>
        <x:v>0</x:v>
      </x:c>
      <x:c r="AL516" s="2" t="n">
        <x:f>IF(J516&lt;&gt;"PASS",0,'Motor_Meciuri'!BS42)</x:f>
        <x:v>0</x:v>
      </x:c>
      <x:c r="AM516" s="2" t="n">
        <x:f>IF(J516&lt;&gt;"PASS",0,'Motor_Meciuri'!BT42)</x:f>
        <x:v>0</x:v>
      </x:c>
      <x:c r="AN516" s="2" t="str">
        <x:f>IF(M516="","",MAX(0,'Motor_Meciuri'!BF42-IF(L516&gt;'Config_v6'!$B$12,'Config_v6'!$B$37,IF(L516&gt;'Config_v6'!$B$11,'Config_v6'!$B$36,0))))</x:f>
      </x:c>
    </x:row>
    <x:row r="517" ht="21" customHeight="1">
      <x:c r="A517" s="2" t="n">
        <x:v>37</x:v>
      </x:c>
      <x:c r="B517" s="2" t="str">
        <x:f>IF('Motor_Meciuri'!A42="","",'Motor_Meciuri'!A42)</x:f>
      </x:c>
      <x:c r="C517" s="2" t="str">
        <x:f>IF(B517="","",'Motor_Meciuri'!B42)</x:f>
      </x:c>
      <x:c r="D517" s="2" t="str">
        <x:f>IF(B517="","",'Motor_Meciuri'!D42)</x:f>
      </x:c>
      <x:c r="E517" s="2" t="str">
        <x:f>IF(B517="","",'Motor_Meciuri'!E42)</x:f>
      </x:c>
      <x:c r="F517" s="2" t="str">
        <x:v>U11,5</x:v>
      </x:c>
      <x:c r="G517" s="2" t="str">
        <x:v>UNDER</x:v>
      </x:c>
      <x:c r="H517" s="2" t="n">
        <x:v>11</x:v>
      </x:c>
      <x:c r="I517" s="2" t="str">
        <x:f>IF(B517="","",'Motor_Meciuri'!H42)</x:f>
      </x:c>
      <x:c r="J517" s="2" t="str">
        <x:f>IF(B517="","",'Motor_Meciuri'!I42)</x:f>
      </x:c>
      <x:c r="K517" s="11" t="str">
        <x:f>IF(J517&lt;&gt;"PASS","",'Motor_Meciuri'!BD42)</x:f>
      </x:c>
      <x:c r="L517" s="11" t="str">
        <x:f>IF(J517&lt;&gt;"PASS","",'Motor_Meciuri'!AU42)</x:f>
      </x:c>
      <x:c r="M517" s="10" t="str">
        <x:f>IF(NOT(AND(J517="PASS",'Calibrare_Linii'!U13="VALID")),"",'Distributie'!AI42)</x:f>
      </x:c>
      <x:c r="N517" s="10" t="str">
        <x:f>IF(M517="","",MAX(0.01,MIN(0.99,0.5+(M517-0.5)*'Motor_Meciuri'!BG42*'Calibrare_Linii'!D13)))</x:f>
      </x:c>
      <x:c r="O517" s="10" t="str">
        <x:f>IF(M517="","",1-M517)</x:f>
      </x:c>
      <x:c r="P517" s="10" t="str">
        <x:f>IF(OR(NOT(AND(J517="PASS",'Calibrare_Linii'!U13="VALID")),AK517=0),""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*('Istoric_Nativ'!$Q$6:$Q$405&gt;H517))/AK517)</x:f>
      </x:c>
      <x:c r="Q517" s="10" t="str">
        <x:f>IF(OR(NOT(AND(J517="PASS",'Calibrare_Linii'!U13="VALID")),AL517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M42)+((('Istoric_Nativ'!$E$6:$E$405='Input_Meci'!E42)+('Istoric_Nativ'!$F$6:$F$405='Input_Meci'!E42))&gt;0)*('Istoric_Nativ'!$D$6:$D$405&gt;='Motor_Meciuri'!BN42))&gt;0)*('Istoric_Nativ'!$Q$6:$Q$405&gt;H517))/AL517)</x:f>
      </x:c>
      <x:c r="R517" s="10" t="str">
        <x:f>IF(OR(NOT(AND(J517="PASS",'Calibrare_Linii'!U13="VALID")),AM517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O42)+((('Istoric_Nativ'!$E$6:$E$405='Input_Meci'!E42)+('Istoric_Nativ'!$F$6:$F$405='Input_Meci'!E42))&gt;0)*('Istoric_Nativ'!$D$6:$D$405&gt;='Motor_Meciuri'!BP42))&gt;0)*('Istoric_Nativ'!$Q$6:$Q$405&gt;H517))/AM517)</x:f>
      </x:c>
      <x:c r="S517" s="10" t="str">
        <x:f>IF(M517="","",MAX(O517,P517,Q517,R517))</x:f>
      </x:c>
      <x:c r="T517" s="11" t="str">
        <x:f>IF(M517="","",MIN(100,S517*100*'Config_v6'!$B$44+MIN(100,L517/'Config_v6'!$B$13*100)*'Config_v6'!$B$45+(100-'Motor_Meciuri'!BF42)*'Config_v6'!$B$46+'Motor_Meciuri'!BH42*100*'Config_v6'!$B$47))</x:f>
      </x:c>
      <x:c r="U517" s="2" t="str">
        <x:f>IF(T517="","",IF(T517&lt;=20,1,IF(T517&lt;=40,2,IF(T517&lt;=60,3,IF(T517&lt;=80,4,5)))))</x:f>
      </x:c>
      <x:c r="V517" s="2" t="str">
        <x:f>IF(M517="","",MAX(0,'Motor_Meciuri'!BF42-IF(W517="OOS PENDING",'Config_v6'!$B$35,0)-IF(L517&gt;'Config_v6'!$B$12,'Config_v6'!$B$37,IF(L517&gt;'Config_v6'!$B$11,'Config_v6'!$B$36,0))))</x:f>
      </x:c>
      <x:c r="W517" s="2" t="str">
        <x:f>IF(B517="","",IF(I517&lt;&gt;"READY","NOT RELEASED",IF(NOT(AND(J517="PASS",'Calibrare_Linii'!U13="VALID")),"INVALID",IF(NOT(AND('Calibrare_Linii'!S13="VALIDATED",AND('Calibrare_Linii'!H13=C517,ISNUMBER('Calibrare_Linii'!J13),'Calibrare_Linii'!J13&lt;='Input_Meci'!G42))),"OOS PENDING",IF(S517&lt;='Calibrare_Linii'!E13,"PASS",IF(S517&lt;='Calibrare_Linii'!F13,"PENALTY","WATCH"))))))</x:f>
      </x:c>
      <x:c r="X517" s="2" t="str">
        <x:f>IF(M517="","",IF(AND(AND(J517="PASS",'Calibrare_Linii'!U13="VALID"),'Motor_Meciuri'!K42=12,'Motor_Meciuri'!L42=12,'Motor_Meciuri'!M42="NO",'Motor_Meciuri'!BL42='Motor_Meciuri'!C42,AB517&gt;='Config_v6'!$B$50,AN517&gt;='Config_v6'!$B$51,T517&lt;='Config_v6'!$B$52,L517&lt;='Config_v6'!$B$53,ISNUMBER('Calibrare_Linii'!E13),S517&lt;='Calibrare_Linii'!E13,SUM(AK517:AM517)&gt;0),"CANDIDATE","NO"))</x:f>
      </x:c>
      <x:c r="Y517" s="2" t="str">
        <x:f>IF(B517="","",IF(I517&lt;&gt;"READY","NOT RELEASED",IF(AND(X517="CANDIDATE",V517&gt;='Config_v6'!$B$51,W517="PASS",'Calibrare_Linii'!T13="VALIDATED",AND('Calibrare_Linii'!H13=C517,ISNUMBER('Calibrare_Linii'!J13),'Calibrare_Linii'!J13&lt;='Input_Meci'!G42)),"PASS",IF(X517="CANDIDATE","OOS PENDING","FAIL"))))</x:f>
      </x:c>
      <x:c r="Z517" s="2" t="str">
        <x:f>IF(B517="","",IF(I517&lt;&gt;"READY","",IF(OR(NOT(AND(J517="PASS",'Calibrare_Linii'!U13="VALID")),L517&gt;'Config_v6'!$B$13,W517="WATCH"),5,IF(Y517="PASS",1,MIN(5,MAX('Config_v6'!$B$42,U517)+IF(W517="PENALTY",1,0))))))</x:f>
      </x:c>
      <x:c r="AA517" s="2" t="str">
        <x:f>IF(B517="","",IF(I517&lt;&gt;"READY","NOT RELEASED",IF(Z517=5,"NO BET",IF(OR(AB517&lt;'Config_v6'!$B$16,V517&lt;'Config_v6'!$B$18),"WATCH",IF(Z517=1,"DEFENSIV",IF(Z517=2,"PRUDENT",IF(Z517=3,"MODERAT","RIDICAT")))))))</x:f>
      </x:c>
      <x:c r="AB517" s="10" t="str">
        <x:f>IF(N517="","",MIN(N517,1-S517))</x:f>
      </x:c>
      <x:c r="AC517" s="2" t="str">
        <x:f>IF(AD517&lt;&gt;1,"",COUNTIFS($Z$510:$Z$523,"&lt;"&amp;Z517,$AD$510:$AD$523,1)+COUNTIFS($Z$510:$Z$523,Z517,$AB$510:$AB$523,"&gt;"&amp;AB517,$AD$510:$AD$523,1)+COUNTIFS($Z$510:$Z$523,Z517,$AB$510:$AB$523,AB517,$V$510:$V$523,"&gt;"&amp;V517,$AD$510:$AD$523,1)+COUNTIFS($Z$510:Z517,Z517,$AB$510:AB517,AB517,$V$510:V517,V517,$AD$510:AD517,1))</x:f>
      </x:c>
      <x:c r="AD517" s="2" t="n">
        <x:f>IF(OR(AA517="DEFENSIV",AA517="PRUDENT",AA517="MODERAT",AA517="RIDICAT"),1,0)</x:f>
        <x:v>0</x:v>
      </x:c>
      <x:c r="AE517" s="2" t="str">
        <x:f>IF(AD517&lt;&gt;1,"NO",IF(W517="PASS","YES",IF(W517="OOS PENDING","CONDITIONAL","NO")))</x:f>
        <x:v>NO</x:v>
      </x:c>
      <x:c r="AF517" s="2" t="n">
        <x:f>IF(AND(AD517=1,AC517=1,E517="LIVE"),1,0)</x:f>
        <x:v>0</x:v>
      </x:c>
      <x:c r="AG517" s="2" t="str">
        <x:f>IF(AF517&lt;&gt;1,"",'Dashboard'!P62)</x:f>
      </x:c>
      <x:c r="AH517" s="2" t="str">
        <x:f>IF(B517="","",IF(J517&lt;&gt;"PASS",'Motor_Meciuri'!J42,IF('Calibrare_Linii'!U13&lt;&gt;"VALID","Parametri linie invalizi",IF(L517&gt;'Config_v6'!$B$13,"Dispersie peste limita",IF(W517="WATCH","Failure peste limita",IF(AB517&lt;'Config_v6'!$B$16,"P finala sub prag",IF(V517&lt;'Config_v6'!$B$18,"Confidence sub prag",IF(E517="REPLAY","Exemplu retrospectiv; exclus din Top LIVE",IF(Y517="PASS","DEFENSIV validat",IF(W517="OOS PENDING","Eligibil; calibrare linie in monitorizare","Eligibil"))))))))))</x:f>
      </x:c>
      <x:c r="AI517" s="2" t="str">
        <x:f>IF(B517="","",'Calibrare_Linii'!V13)</x:f>
      </x:c>
      <x:c r="AJ517" s="2" t="str">
        <x:f>IF(B517="","",IF(AND('Calibrare_Linii'!T13="VALIDATED",AND('Calibrare_Linii'!H13=C517,ISNUMBER('Calibrare_Linii'!J13),'Calibrare_Linii'!J13&lt;='Input_Meci'!G42)),"DEFENSIVE VALIDATED",IF(AND('Calibrare_Linii'!S13="VALIDATED",AND('Calibrare_Linii'!H13=C517,ISNUMBER('Calibrare_Linii'!J13),'Calibrare_Linii'!J13&lt;='Input_Meci'!G42)),"TAIL VALIDATED","OOS PENDING")))</x:f>
      </x:c>
      <x:c r="AK517" s="2" t="n">
        <x:f>IF(J517&lt;&gt;"PASS",0,'Motor_Meciuri'!BR42)</x:f>
        <x:v>0</x:v>
      </x:c>
      <x:c r="AL517" s="2" t="n">
        <x:f>IF(J517&lt;&gt;"PASS",0,'Motor_Meciuri'!BS42)</x:f>
        <x:v>0</x:v>
      </x:c>
      <x:c r="AM517" s="2" t="n">
        <x:f>IF(J517&lt;&gt;"PASS",0,'Motor_Meciuri'!BT42)</x:f>
        <x:v>0</x:v>
      </x:c>
      <x:c r="AN517" s="2" t="str">
        <x:f>IF(M517="","",MAX(0,'Motor_Meciuri'!BF42-IF(L517&gt;'Config_v6'!$B$12,'Config_v6'!$B$37,IF(L517&gt;'Config_v6'!$B$11,'Config_v6'!$B$36,0))))</x:f>
      </x:c>
    </x:row>
    <x:row r="518" ht="21" customHeight="1">
      <x:c r="A518" s="2" t="n">
        <x:v>37</x:v>
      </x:c>
      <x:c r="B518" s="2" t="str">
        <x:f>IF('Motor_Meciuri'!A42="","",'Motor_Meciuri'!A42)</x:f>
      </x:c>
      <x:c r="C518" s="2" t="str">
        <x:f>IF(B518="","",'Motor_Meciuri'!B42)</x:f>
      </x:c>
      <x:c r="D518" s="2" t="str">
        <x:f>IF(B518="","",'Motor_Meciuri'!D42)</x:f>
      </x:c>
      <x:c r="E518" s="2" t="str">
        <x:f>IF(B518="","",'Motor_Meciuri'!E42)</x:f>
      </x:c>
      <x:c r="F518" s="2" t="str">
        <x:v>U12,5</x:v>
      </x:c>
      <x:c r="G518" s="2" t="str">
        <x:v>UNDER</x:v>
      </x:c>
      <x:c r="H518" s="2" t="n">
        <x:v>12</x:v>
      </x:c>
      <x:c r="I518" s="2" t="str">
        <x:f>IF(B518="","",'Motor_Meciuri'!H42)</x:f>
      </x:c>
      <x:c r="J518" s="2" t="str">
        <x:f>IF(B518="","",'Motor_Meciuri'!I42)</x:f>
      </x:c>
      <x:c r="K518" s="11" t="str">
        <x:f>IF(J518&lt;&gt;"PASS","",'Motor_Meciuri'!BD42)</x:f>
      </x:c>
      <x:c r="L518" s="11" t="str">
        <x:f>IF(J518&lt;&gt;"PASS","",'Motor_Meciuri'!AU42)</x:f>
      </x:c>
      <x:c r="M518" s="10" t="str">
        <x:f>IF(NOT(AND(J518="PASS",'Calibrare_Linii'!U14="VALID")),"",'Distributie'!AJ42)</x:f>
      </x:c>
      <x:c r="N518" s="10" t="str">
        <x:f>IF(M518="","",MAX(0.01,MIN(0.99,0.5+(M518-0.5)*'Motor_Meciuri'!BG42*'Calibrare_Linii'!D14)))</x:f>
      </x:c>
      <x:c r="O518" s="10" t="str">
        <x:f>IF(M518="","",1-M518)</x:f>
      </x:c>
      <x:c r="P518" s="10" t="str">
        <x:f>IF(OR(NOT(AND(J518="PASS",'Calibrare_Linii'!U14="VALID")),AK518=0),""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*('Istoric_Nativ'!$Q$6:$Q$405&gt;H518))/AK518)</x:f>
      </x:c>
      <x:c r="Q518" s="10" t="str">
        <x:f>IF(OR(NOT(AND(J518="PASS",'Calibrare_Linii'!U14="VALID")),AL518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M42)+((('Istoric_Nativ'!$E$6:$E$405='Input_Meci'!E42)+('Istoric_Nativ'!$F$6:$F$405='Input_Meci'!E42))&gt;0)*('Istoric_Nativ'!$D$6:$D$405&gt;='Motor_Meciuri'!BN42))&gt;0)*('Istoric_Nativ'!$Q$6:$Q$405&gt;H518))/AL518)</x:f>
      </x:c>
      <x:c r="R518" s="10" t="str">
        <x:f>IF(OR(NOT(AND(J518="PASS",'Calibrare_Linii'!U14="VALID")),AM518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O42)+((('Istoric_Nativ'!$E$6:$E$405='Input_Meci'!E42)+('Istoric_Nativ'!$F$6:$F$405='Input_Meci'!E42))&gt;0)*('Istoric_Nativ'!$D$6:$D$405&gt;='Motor_Meciuri'!BP42))&gt;0)*('Istoric_Nativ'!$Q$6:$Q$405&gt;H518))/AM518)</x:f>
      </x:c>
      <x:c r="S518" s="10" t="str">
        <x:f>IF(M518="","",MAX(O518,P518,Q518,R518))</x:f>
      </x:c>
      <x:c r="T518" s="11" t="str">
        <x:f>IF(M518="","",MIN(100,S518*100*'Config_v6'!$B$44+MIN(100,L518/'Config_v6'!$B$13*100)*'Config_v6'!$B$45+(100-'Motor_Meciuri'!BF42)*'Config_v6'!$B$46+'Motor_Meciuri'!BH42*100*'Config_v6'!$B$47))</x:f>
      </x:c>
      <x:c r="U518" s="2" t="str">
        <x:f>IF(T518="","",IF(T518&lt;=20,1,IF(T518&lt;=40,2,IF(T518&lt;=60,3,IF(T518&lt;=80,4,5)))))</x:f>
      </x:c>
      <x:c r="V518" s="2" t="str">
        <x:f>IF(M518="","",MAX(0,'Motor_Meciuri'!BF42-IF(W518="OOS PENDING",'Config_v6'!$B$35,0)-IF(L518&gt;'Config_v6'!$B$12,'Config_v6'!$B$37,IF(L518&gt;'Config_v6'!$B$11,'Config_v6'!$B$36,0))))</x:f>
      </x:c>
      <x:c r="W518" s="2" t="str">
        <x:f>IF(B518="","",IF(I518&lt;&gt;"READY","NOT RELEASED",IF(NOT(AND(J518="PASS",'Calibrare_Linii'!U14="VALID")),"INVALID",IF(NOT(AND('Calibrare_Linii'!S14="VALIDATED",AND('Calibrare_Linii'!H14=C518,ISNUMBER('Calibrare_Linii'!J14),'Calibrare_Linii'!J14&lt;='Input_Meci'!G42))),"OOS PENDING",IF(S518&lt;='Calibrare_Linii'!E14,"PASS",IF(S518&lt;='Calibrare_Linii'!F14,"PENALTY","WATCH"))))))</x:f>
      </x:c>
      <x:c r="X518" s="2" t="str">
        <x:f>IF(M518="","",IF(AND(AND(J518="PASS",'Calibrare_Linii'!U14="VALID"),'Motor_Meciuri'!K42=12,'Motor_Meciuri'!L42=12,'Motor_Meciuri'!M42="NO",'Motor_Meciuri'!BL42='Motor_Meciuri'!C42,AB518&gt;='Config_v6'!$B$50,AN518&gt;='Config_v6'!$B$51,T518&lt;='Config_v6'!$B$52,L518&lt;='Config_v6'!$B$53,ISNUMBER('Calibrare_Linii'!E14),S518&lt;='Calibrare_Linii'!E14,SUM(AK518:AM518)&gt;0),"CANDIDATE","NO"))</x:f>
      </x:c>
      <x:c r="Y518" s="2" t="str">
        <x:f>IF(B518="","",IF(I518&lt;&gt;"READY","NOT RELEASED",IF(AND(X518="CANDIDATE",V518&gt;='Config_v6'!$B$51,W518="PASS",'Calibrare_Linii'!T14="VALIDATED",AND('Calibrare_Linii'!H14=C518,ISNUMBER('Calibrare_Linii'!J14),'Calibrare_Linii'!J14&lt;='Input_Meci'!G42)),"PASS",IF(X518="CANDIDATE","OOS PENDING","FAIL"))))</x:f>
      </x:c>
      <x:c r="Z518" s="2" t="str">
        <x:f>IF(B518="","",IF(I518&lt;&gt;"READY","",IF(OR(NOT(AND(J518="PASS",'Calibrare_Linii'!U14="VALID")),L518&gt;'Config_v6'!$B$13,W518="WATCH"),5,IF(Y518="PASS",1,MIN(5,MAX('Config_v6'!$B$42,U518)+IF(W518="PENALTY",1,0))))))</x:f>
      </x:c>
      <x:c r="AA518" s="2" t="str">
        <x:f>IF(B518="","",IF(I518&lt;&gt;"READY","NOT RELEASED",IF(Z518=5,"NO BET",IF(OR(AB518&lt;'Config_v6'!$B$16,V518&lt;'Config_v6'!$B$18),"WATCH",IF(Z518=1,"DEFENSIV",IF(Z518=2,"PRUDENT",IF(Z518=3,"MODERAT","RIDICAT")))))))</x:f>
      </x:c>
      <x:c r="AB518" s="10" t="str">
        <x:f>IF(N518="","",MIN(N518,1-S518))</x:f>
      </x:c>
      <x:c r="AC518" s="2" t="str">
        <x:f>IF(AD518&lt;&gt;1,"",COUNTIFS($Z$510:$Z$523,"&lt;"&amp;Z518,$AD$510:$AD$523,1)+COUNTIFS($Z$510:$Z$523,Z518,$AB$510:$AB$523,"&gt;"&amp;AB518,$AD$510:$AD$523,1)+COUNTIFS($Z$510:$Z$523,Z518,$AB$510:$AB$523,AB518,$V$510:$V$523,"&gt;"&amp;V518,$AD$510:$AD$523,1)+COUNTIFS($Z$510:Z518,Z518,$AB$510:AB518,AB518,$V$510:V518,V518,$AD$510:AD518,1))</x:f>
      </x:c>
      <x:c r="AD518" s="2" t="n">
        <x:f>IF(OR(AA518="DEFENSIV",AA518="PRUDENT",AA518="MODERAT",AA518="RIDICAT"),1,0)</x:f>
        <x:v>0</x:v>
      </x:c>
      <x:c r="AE518" s="2" t="str">
        <x:f>IF(AD518&lt;&gt;1,"NO",IF(W518="PASS","YES",IF(W518="OOS PENDING","CONDITIONAL","NO")))</x:f>
        <x:v>NO</x:v>
      </x:c>
      <x:c r="AF518" s="2" t="n">
        <x:f>IF(AND(AD518=1,AC518=1,E518="LIVE"),1,0)</x:f>
        <x:v>0</x:v>
      </x:c>
      <x:c r="AG518" s="2" t="str">
        <x:f>IF(AF518&lt;&gt;1,"",'Dashboard'!P62)</x:f>
      </x:c>
      <x:c r="AH518" s="2" t="str">
        <x:f>IF(B518="","",IF(J518&lt;&gt;"PASS",'Motor_Meciuri'!J42,IF('Calibrare_Linii'!U14&lt;&gt;"VALID","Parametri linie invalizi",IF(L518&gt;'Config_v6'!$B$13,"Dispersie peste limita",IF(W518="WATCH","Failure peste limita",IF(AB518&lt;'Config_v6'!$B$16,"P finala sub prag",IF(V518&lt;'Config_v6'!$B$18,"Confidence sub prag",IF(E518="REPLAY","Exemplu retrospectiv; exclus din Top LIVE",IF(Y518="PASS","DEFENSIV validat",IF(W518="OOS PENDING","Eligibil; calibrare linie in monitorizare","Eligibil"))))))))))</x:f>
      </x:c>
      <x:c r="AI518" s="2" t="str">
        <x:f>IF(B518="","",'Calibrare_Linii'!V14)</x:f>
      </x:c>
      <x:c r="AJ518" s="2" t="str">
        <x:f>IF(B518="","",IF(AND('Calibrare_Linii'!T14="VALIDATED",AND('Calibrare_Linii'!H14=C518,ISNUMBER('Calibrare_Linii'!J14),'Calibrare_Linii'!J14&lt;='Input_Meci'!G42)),"DEFENSIVE VALIDATED",IF(AND('Calibrare_Linii'!S14="VALIDATED",AND('Calibrare_Linii'!H14=C518,ISNUMBER('Calibrare_Linii'!J14),'Calibrare_Linii'!J14&lt;='Input_Meci'!G42)),"TAIL VALIDATED","OOS PENDING")))</x:f>
      </x:c>
      <x:c r="AK518" s="2" t="n">
        <x:f>IF(J518&lt;&gt;"PASS",0,'Motor_Meciuri'!BR42)</x:f>
        <x:v>0</x:v>
      </x:c>
      <x:c r="AL518" s="2" t="n">
        <x:f>IF(J518&lt;&gt;"PASS",0,'Motor_Meciuri'!BS42)</x:f>
        <x:v>0</x:v>
      </x:c>
      <x:c r="AM518" s="2" t="n">
        <x:f>IF(J518&lt;&gt;"PASS",0,'Motor_Meciuri'!BT42)</x:f>
        <x:v>0</x:v>
      </x:c>
      <x:c r="AN518" s="2" t="str">
        <x:f>IF(M518="","",MAX(0,'Motor_Meciuri'!BF42-IF(L518&gt;'Config_v6'!$B$12,'Config_v6'!$B$37,IF(L518&gt;'Config_v6'!$B$11,'Config_v6'!$B$36,0))))</x:f>
      </x:c>
    </x:row>
    <x:row r="519" ht="21" customHeight="1">
      <x:c r="A519" s="2" t="n">
        <x:v>37</x:v>
      </x:c>
      <x:c r="B519" s="2" t="str">
        <x:f>IF('Motor_Meciuri'!A42="","",'Motor_Meciuri'!A42)</x:f>
      </x:c>
      <x:c r="C519" s="2" t="str">
        <x:f>IF(B519="","",'Motor_Meciuri'!B42)</x:f>
      </x:c>
      <x:c r="D519" s="2" t="str">
        <x:f>IF(B519="","",'Motor_Meciuri'!D42)</x:f>
      </x:c>
      <x:c r="E519" s="2" t="str">
        <x:f>IF(B519="","",'Motor_Meciuri'!E42)</x:f>
      </x:c>
      <x:c r="F519" s="2" t="str">
        <x:v>U13,5</x:v>
      </x:c>
      <x:c r="G519" s="2" t="str">
        <x:v>UNDER</x:v>
      </x:c>
      <x:c r="H519" s="2" t="n">
        <x:v>13</x:v>
      </x:c>
      <x:c r="I519" s="2" t="str">
        <x:f>IF(B519="","",'Motor_Meciuri'!H42)</x:f>
      </x:c>
      <x:c r="J519" s="2" t="str">
        <x:f>IF(B519="","",'Motor_Meciuri'!I42)</x:f>
      </x:c>
      <x:c r="K519" s="11" t="str">
        <x:f>IF(J519&lt;&gt;"PASS","",'Motor_Meciuri'!BD42)</x:f>
      </x:c>
      <x:c r="L519" s="11" t="str">
        <x:f>IF(J519&lt;&gt;"PASS","",'Motor_Meciuri'!AU42)</x:f>
      </x:c>
      <x:c r="M519" s="10" t="str">
        <x:f>IF(NOT(AND(J519="PASS",'Calibrare_Linii'!U15="VALID")),"",'Distributie'!AK42)</x:f>
      </x:c>
      <x:c r="N519" s="10" t="str">
        <x:f>IF(M519="","",MAX(0.01,MIN(0.99,0.5+(M519-0.5)*'Motor_Meciuri'!BG42*'Calibrare_Linii'!D15)))</x:f>
      </x:c>
      <x:c r="O519" s="10" t="str">
        <x:f>IF(M519="","",1-M519)</x:f>
      </x:c>
      <x:c r="P519" s="10" t="str">
        <x:f>IF(OR(NOT(AND(J519="PASS",'Calibrare_Linii'!U15="VALID")),AK519=0),""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*('Istoric_Nativ'!$Q$6:$Q$405&gt;H519))/AK519)</x:f>
      </x:c>
      <x:c r="Q519" s="10" t="str">
        <x:f>IF(OR(NOT(AND(J519="PASS",'Calibrare_Linii'!U15="VALID")),AL519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M42)+((('Istoric_Nativ'!$E$6:$E$405='Input_Meci'!E42)+('Istoric_Nativ'!$F$6:$F$405='Input_Meci'!E42))&gt;0)*('Istoric_Nativ'!$D$6:$D$405&gt;='Motor_Meciuri'!BN42))&gt;0)*('Istoric_Nativ'!$Q$6:$Q$405&gt;H519))/AL519)</x:f>
      </x:c>
      <x:c r="R519" s="10" t="str">
        <x:f>IF(OR(NOT(AND(J519="PASS",'Calibrare_Linii'!U15="VALID")),AM519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O42)+((('Istoric_Nativ'!$E$6:$E$405='Input_Meci'!E42)+('Istoric_Nativ'!$F$6:$F$405='Input_Meci'!E42))&gt;0)*('Istoric_Nativ'!$D$6:$D$405&gt;='Motor_Meciuri'!BP42))&gt;0)*('Istoric_Nativ'!$Q$6:$Q$405&gt;H519))/AM519)</x:f>
      </x:c>
      <x:c r="S519" s="10" t="str">
        <x:f>IF(M519="","",MAX(O519,P519,Q519,R519))</x:f>
      </x:c>
      <x:c r="T519" s="11" t="str">
        <x:f>IF(M519="","",MIN(100,S519*100*'Config_v6'!$B$44+MIN(100,L519/'Config_v6'!$B$13*100)*'Config_v6'!$B$45+(100-'Motor_Meciuri'!BF42)*'Config_v6'!$B$46+'Motor_Meciuri'!BH42*100*'Config_v6'!$B$47))</x:f>
      </x:c>
      <x:c r="U519" s="2" t="str">
        <x:f>IF(T519="","",IF(T519&lt;=20,1,IF(T519&lt;=40,2,IF(T519&lt;=60,3,IF(T519&lt;=80,4,5)))))</x:f>
      </x:c>
      <x:c r="V519" s="2" t="str">
        <x:f>IF(M519="","",MAX(0,'Motor_Meciuri'!BF42-IF(W519="OOS PENDING",'Config_v6'!$B$35,0)-IF(L519&gt;'Config_v6'!$B$12,'Config_v6'!$B$37,IF(L519&gt;'Config_v6'!$B$11,'Config_v6'!$B$36,0))))</x:f>
      </x:c>
      <x:c r="W519" s="2" t="str">
        <x:f>IF(B519="","",IF(I519&lt;&gt;"READY","NOT RELEASED",IF(NOT(AND(J519="PASS",'Calibrare_Linii'!U15="VALID")),"INVALID",IF(NOT(AND('Calibrare_Linii'!S15="VALIDATED",AND('Calibrare_Linii'!H15=C519,ISNUMBER('Calibrare_Linii'!J15),'Calibrare_Linii'!J15&lt;='Input_Meci'!G42))),"OOS PENDING",IF(S519&lt;='Calibrare_Linii'!E15,"PASS",IF(S519&lt;='Calibrare_Linii'!F15,"PENALTY","WATCH"))))))</x:f>
      </x:c>
      <x:c r="X519" s="2" t="str">
        <x:f>IF(M519="","",IF(AND(AND(J519="PASS",'Calibrare_Linii'!U15="VALID"),'Motor_Meciuri'!K42=12,'Motor_Meciuri'!L42=12,'Motor_Meciuri'!M42="NO",'Motor_Meciuri'!BL42='Motor_Meciuri'!C42,AB519&gt;='Config_v6'!$B$50,AN519&gt;='Config_v6'!$B$51,T519&lt;='Config_v6'!$B$52,L519&lt;='Config_v6'!$B$53,ISNUMBER('Calibrare_Linii'!E15),S519&lt;='Calibrare_Linii'!E15,SUM(AK519:AM519)&gt;0),"CANDIDATE","NO"))</x:f>
      </x:c>
      <x:c r="Y519" s="2" t="str">
        <x:f>IF(B519="","",IF(I519&lt;&gt;"READY","NOT RELEASED",IF(AND(X519="CANDIDATE",V519&gt;='Config_v6'!$B$51,W519="PASS",'Calibrare_Linii'!T15="VALIDATED",AND('Calibrare_Linii'!H15=C519,ISNUMBER('Calibrare_Linii'!J15),'Calibrare_Linii'!J15&lt;='Input_Meci'!G42)),"PASS",IF(X519="CANDIDATE","OOS PENDING","FAIL"))))</x:f>
      </x:c>
      <x:c r="Z519" s="2" t="str">
        <x:f>IF(B519="","",IF(I519&lt;&gt;"READY","",IF(OR(NOT(AND(J519="PASS",'Calibrare_Linii'!U15="VALID")),L519&gt;'Config_v6'!$B$13,W519="WATCH"),5,IF(Y519="PASS",1,MIN(5,MAX('Config_v6'!$B$42,U519)+IF(W519="PENALTY",1,0))))))</x:f>
      </x:c>
      <x:c r="AA519" s="2" t="str">
        <x:f>IF(B519="","",IF(I519&lt;&gt;"READY","NOT RELEASED",IF(Z519=5,"NO BET",IF(OR(AB519&lt;'Config_v6'!$B$16,V519&lt;'Config_v6'!$B$18),"WATCH",IF(Z519=1,"DEFENSIV",IF(Z519=2,"PRUDENT",IF(Z519=3,"MODERAT","RIDICAT")))))))</x:f>
      </x:c>
      <x:c r="AB519" s="10" t="str">
        <x:f>IF(N519="","",MIN(N519,1-S519))</x:f>
      </x:c>
      <x:c r="AC519" s="2" t="str">
        <x:f>IF(AD519&lt;&gt;1,"",COUNTIFS($Z$510:$Z$523,"&lt;"&amp;Z519,$AD$510:$AD$523,1)+COUNTIFS($Z$510:$Z$523,Z519,$AB$510:$AB$523,"&gt;"&amp;AB519,$AD$510:$AD$523,1)+COUNTIFS($Z$510:$Z$523,Z519,$AB$510:$AB$523,AB519,$V$510:$V$523,"&gt;"&amp;V519,$AD$510:$AD$523,1)+COUNTIFS($Z$510:Z519,Z519,$AB$510:AB519,AB519,$V$510:V519,V519,$AD$510:AD519,1))</x:f>
      </x:c>
      <x:c r="AD519" s="2" t="n">
        <x:f>IF(OR(AA519="DEFENSIV",AA519="PRUDENT",AA519="MODERAT",AA519="RIDICAT"),1,0)</x:f>
        <x:v>0</x:v>
      </x:c>
      <x:c r="AE519" s="2" t="str">
        <x:f>IF(AD519&lt;&gt;1,"NO",IF(W519="PASS","YES",IF(W519="OOS PENDING","CONDITIONAL","NO")))</x:f>
        <x:v>NO</x:v>
      </x:c>
      <x:c r="AF519" s="2" t="n">
        <x:f>IF(AND(AD519=1,AC519=1,E519="LIVE"),1,0)</x:f>
        <x:v>0</x:v>
      </x:c>
      <x:c r="AG519" s="2" t="str">
        <x:f>IF(AF519&lt;&gt;1,"",'Dashboard'!P62)</x:f>
      </x:c>
      <x:c r="AH519" s="2" t="str">
        <x:f>IF(B519="","",IF(J519&lt;&gt;"PASS",'Motor_Meciuri'!J42,IF('Calibrare_Linii'!U15&lt;&gt;"VALID","Parametri linie invalizi",IF(L519&gt;'Config_v6'!$B$13,"Dispersie peste limita",IF(W519="WATCH","Failure peste limita",IF(AB519&lt;'Config_v6'!$B$16,"P finala sub prag",IF(V519&lt;'Config_v6'!$B$18,"Confidence sub prag",IF(E519="REPLAY","Exemplu retrospectiv; exclus din Top LIVE",IF(Y519="PASS","DEFENSIV validat",IF(W519="OOS PENDING","Eligibil; calibrare linie in monitorizare","Eligibil"))))))))))</x:f>
      </x:c>
      <x:c r="AI519" s="2" t="str">
        <x:f>IF(B519="","",'Calibrare_Linii'!V15)</x:f>
      </x:c>
      <x:c r="AJ519" s="2" t="str">
        <x:f>IF(B519="","",IF(AND('Calibrare_Linii'!T15="VALIDATED",AND('Calibrare_Linii'!H15=C519,ISNUMBER('Calibrare_Linii'!J15),'Calibrare_Linii'!J15&lt;='Input_Meci'!G42)),"DEFENSIVE VALIDATED",IF(AND('Calibrare_Linii'!S15="VALIDATED",AND('Calibrare_Linii'!H15=C519,ISNUMBER('Calibrare_Linii'!J15),'Calibrare_Linii'!J15&lt;='Input_Meci'!G42)),"TAIL VALIDATED","OOS PENDING")))</x:f>
      </x:c>
      <x:c r="AK519" s="2" t="n">
        <x:f>IF(J519&lt;&gt;"PASS",0,'Motor_Meciuri'!BR42)</x:f>
        <x:v>0</x:v>
      </x:c>
      <x:c r="AL519" s="2" t="n">
        <x:f>IF(J519&lt;&gt;"PASS",0,'Motor_Meciuri'!BS42)</x:f>
        <x:v>0</x:v>
      </x:c>
      <x:c r="AM519" s="2" t="n">
        <x:f>IF(J519&lt;&gt;"PASS",0,'Motor_Meciuri'!BT42)</x:f>
        <x:v>0</x:v>
      </x:c>
      <x:c r="AN519" s="2" t="str">
        <x:f>IF(M519="","",MAX(0,'Motor_Meciuri'!BF42-IF(L519&gt;'Config_v6'!$B$12,'Config_v6'!$B$37,IF(L519&gt;'Config_v6'!$B$11,'Config_v6'!$B$36,0))))</x:f>
      </x:c>
    </x:row>
    <x:row r="520" ht="21" customHeight="1">
      <x:c r="A520" s="2" t="n">
        <x:v>37</x:v>
      </x:c>
      <x:c r="B520" s="2" t="str">
        <x:f>IF('Motor_Meciuri'!A42="","",'Motor_Meciuri'!A42)</x:f>
      </x:c>
      <x:c r="C520" s="2" t="str">
        <x:f>IF(B520="","",'Motor_Meciuri'!B42)</x:f>
      </x:c>
      <x:c r="D520" s="2" t="str">
        <x:f>IF(B520="","",'Motor_Meciuri'!D42)</x:f>
      </x:c>
      <x:c r="E520" s="2" t="str">
        <x:f>IF(B520="","",'Motor_Meciuri'!E42)</x:f>
      </x:c>
      <x:c r="F520" s="2" t="str">
        <x:v>U14,5</x:v>
      </x:c>
      <x:c r="G520" s="2" t="str">
        <x:v>UNDER</x:v>
      </x:c>
      <x:c r="H520" s="2" t="n">
        <x:v>14</x:v>
      </x:c>
      <x:c r="I520" s="2" t="str">
        <x:f>IF(B520="","",'Motor_Meciuri'!H42)</x:f>
      </x:c>
      <x:c r="J520" s="2" t="str">
        <x:f>IF(B520="","",'Motor_Meciuri'!I42)</x:f>
      </x:c>
      <x:c r="K520" s="11" t="str">
        <x:f>IF(J520&lt;&gt;"PASS","",'Motor_Meciuri'!BD42)</x:f>
      </x:c>
      <x:c r="L520" s="11" t="str">
        <x:f>IF(J520&lt;&gt;"PASS","",'Motor_Meciuri'!AU42)</x:f>
      </x:c>
      <x:c r="M520" s="10" t="str">
        <x:f>IF(NOT(AND(J520="PASS",'Calibrare_Linii'!U16="VALID")),"",'Distributie'!AL42)</x:f>
      </x:c>
      <x:c r="N520" s="10" t="str">
        <x:f>IF(M520="","",MAX(0.01,MIN(0.99,0.5+(M520-0.5)*'Motor_Meciuri'!BG42*'Calibrare_Linii'!D16)))</x:f>
      </x:c>
      <x:c r="O520" s="10" t="str">
        <x:f>IF(M520="","",1-M520)</x:f>
      </x:c>
      <x:c r="P520" s="10" t="str">
        <x:f>IF(OR(NOT(AND(J520="PASS",'Calibrare_Linii'!U16="VALID")),AK520=0),""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*('Istoric_Nativ'!$Q$6:$Q$405&gt;H520))/AK520)</x:f>
      </x:c>
      <x:c r="Q520" s="10" t="str">
        <x:f>IF(OR(NOT(AND(J520="PASS",'Calibrare_Linii'!U16="VALID")),AL520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M42)+((('Istoric_Nativ'!$E$6:$E$405='Input_Meci'!E42)+('Istoric_Nativ'!$F$6:$F$405='Input_Meci'!E42))&gt;0)*('Istoric_Nativ'!$D$6:$D$405&gt;='Motor_Meciuri'!BN42))&gt;0)*('Istoric_Nativ'!$Q$6:$Q$405&gt;H520))/AL520)</x:f>
      </x:c>
      <x:c r="R520" s="10" t="str">
        <x:f>IF(OR(NOT(AND(J520="PASS",'Calibrare_Linii'!U16="VALID")),AM520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O42)+((('Istoric_Nativ'!$E$6:$E$405='Input_Meci'!E42)+('Istoric_Nativ'!$F$6:$F$405='Input_Meci'!E42))&gt;0)*('Istoric_Nativ'!$D$6:$D$405&gt;='Motor_Meciuri'!BP42))&gt;0)*('Istoric_Nativ'!$Q$6:$Q$405&gt;H520))/AM520)</x:f>
      </x:c>
      <x:c r="S520" s="10" t="str">
        <x:f>IF(M520="","",MAX(O520,P520,Q520,R520))</x:f>
      </x:c>
      <x:c r="T520" s="11" t="str">
        <x:f>IF(M520="","",MIN(100,S520*100*'Config_v6'!$B$44+MIN(100,L520/'Config_v6'!$B$13*100)*'Config_v6'!$B$45+(100-'Motor_Meciuri'!BF42)*'Config_v6'!$B$46+'Motor_Meciuri'!BH42*100*'Config_v6'!$B$47))</x:f>
      </x:c>
      <x:c r="U520" s="2" t="str">
        <x:f>IF(T520="","",IF(T520&lt;=20,1,IF(T520&lt;=40,2,IF(T520&lt;=60,3,IF(T520&lt;=80,4,5)))))</x:f>
      </x:c>
      <x:c r="V520" s="2" t="str">
        <x:f>IF(M520="","",MAX(0,'Motor_Meciuri'!BF42-IF(W520="OOS PENDING",'Config_v6'!$B$35,0)-IF(L520&gt;'Config_v6'!$B$12,'Config_v6'!$B$37,IF(L520&gt;'Config_v6'!$B$11,'Config_v6'!$B$36,0))))</x:f>
      </x:c>
      <x:c r="W520" s="2" t="str">
        <x:f>IF(B520="","",IF(I520&lt;&gt;"READY","NOT RELEASED",IF(NOT(AND(J520="PASS",'Calibrare_Linii'!U16="VALID")),"INVALID",IF(NOT(AND('Calibrare_Linii'!S16="VALIDATED",AND('Calibrare_Linii'!H16=C520,ISNUMBER('Calibrare_Linii'!J16),'Calibrare_Linii'!J16&lt;='Input_Meci'!G42))),"OOS PENDING",IF(S520&lt;='Calibrare_Linii'!E16,"PASS",IF(S520&lt;='Calibrare_Linii'!F16,"PENALTY","WATCH"))))))</x:f>
      </x:c>
      <x:c r="X520" s="2" t="str">
        <x:f>IF(M520="","",IF(AND(AND(J520="PASS",'Calibrare_Linii'!U16="VALID"),'Motor_Meciuri'!K42=12,'Motor_Meciuri'!L42=12,'Motor_Meciuri'!M42="NO",'Motor_Meciuri'!BL42='Motor_Meciuri'!C42,AB520&gt;='Config_v6'!$B$50,AN520&gt;='Config_v6'!$B$51,T520&lt;='Config_v6'!$B$52,L520&lt;='Config_v6'!$B$53,ISNUMBER('Calibrare_Linii'!E16),S520&lt;='Calibrare_Linii'!E16,SUM(AK520:AM520)&gt;0),"CANDIDATE","NO"))</x:f>
      </x:c>
      <x:c r="Y520" s="2" t="str">
        <x:f>IF(B520="","",IF(I520&lt;&gt;"READY","NOT RELEASED",IF(AND(X520="CANDIDATE",V520&gt;='Config_v6'!$B$51,W520="PASS",'Calibrare_Linii'!T16="VALIDATED",AND('Calibrare_Linii'!H16=C520,ISNUMBER('Calibrare_Linii'!J16),'Calibrare_Linii'!J16&lt;='Input_Meci'!G42)),"PASS",IF(X520="CANDIDATE","OOS PENDING","FAIL"))))</x:f>
      </x:c>
      <x:c r="Z520" s="2" t="str">
        <x:f>IF(B520="","",IF(I520&lt;&gt;"READY","",IF(OR(NOT(AND(J520="PASS",'Calibrare_Linii'!U16="VALID")),L520&gt;'Config_v6'!$B$13,W520="WATCH"),5,IF(Y520="PASS",1,MIN(5,MAX('Config_v6'!$B$42,U520)+IF(W520="PENALTY",1,0))))))</x:f>
      </x:c>
      <x:c r="AA520" s="2" t="str">
        <x:f>IF(B520="","",IF(I520&lt;&gt;"READY","NOT RELEASED",IF(Z520=5,"NO BET",IF(OR(AB520&lt;'Config_v6'!$B$16,V520&lt;'Config_v6'!$B$18),"WATCH",IF(Z520=1,"DEFENSIV",IF(Z520=2,"PRUDENT",IF(Z520=3,"MODERAT","RIDICAT")))))))</x:f>
      </x:c>
      <x:c r="AB520" s="10" t="str">
        <x:f>IF(N520="","",MIN(N520,1-S520))</x:f>
      </x:c>
      <x:c r="AC520" s="2" t="str">
        <x:f>IF(AD520&lt;&gt;1,"",COUNTIFS($Z$510:$Z$523,"&lt;"&amp;Z520,$AD$510:$AD$523,1)+COUNTIFS($Z$510:$Z$523,Z520,$AB$510:$AB$523,"&gt;"&amp;AB520,$AD$510:$AD$523,1)+COUNTIFS($Z$510:$Z$523,Z520,$AB$510:$AB$523,AB520,$V$510:$V$523,"&gt;"&amp;V520,$AD$510:$AD$523,1)+COUNTIFS($Z$510:Z520,Z520,$AB$510:AB520,AB520,$V$510:V520,V520,$AD$510:AD520,1))</x:f>
      </x:c>
      <x:c r="AD520" s="2" t="n">
        <x:f>IF(OR(AA520="DEFENSIV",AA520="PRUDENT",AA520="MODERAT",AA520="RIDICAT"),1,0)</x:f>
        <x:v>0</x:v>
      </x:c>
      <x:c r="AE520" s="2" t="str">
        <x:f>IF(AD520&lt;&gt;1,"NO",IF(W520="PASS","YES",IF(W520="OOS PENDING","CONDITIONAL","NO")))</x:f>
        <x:v>NO</x:v>
      </x:c>
      <x:c r="AF520" s="2" t="n">
        <x:f>IF(AND(AD520=1,AC520=1,E520="LIVE"),1,0)</x:f>
        <x:v>0</x:v>
      </x:c>
      <x:c r="AG520" s="2" t="str">
        <x:f>IF(AF520&lt;&gt;1,"",'Dashboard'!P62)</x:f>
      </x:c>
      <x:c r="AH520" s="2" t="str">
        <x:f>IF(B520="","",IF(J520&lt;&gt;"PASS",'Motor_Meciuri'!J42,IF('Calibrare_Linii'!U16&lt;&gt;"VALID","Parametri linie invalizi",IF(L520&gt;'Config_v6'!$B$13,"Dispersie peste limita",IF(W520="WATCH","Failure peste limita",IF(AB520&lt;'Config_v6'!$B$16,"P finala sub prag",IF(V520&lt;'Config_v6'!$B$18,"Confidence sub prag",IF(E520="REPLAY","Exemplu retrospectiv; exclus din Top LIVE",IF(Y520="PASS","DEFENSIV validat",IF(W520="OOS PENDING","Eligibil; calibrare linie in monitorizare","Eligibil"))))))))))</x:f>
      </x:c>
      <x:c r="AI520" s="2" t="str">
        <x:f>IF(B520="","",'Calibrare_Linii'!V16)</x:f>
      </x:c>
      <x:c r="AJ520" s="2" t="str">
        <x:f>IF(B520="","",IF(AND('Calibrare_Linii'!T16="VALIDATED",AND('Calibrare_Linii'!H16=C520,ISNUMBER('Calibrare_Linii'!J16),'Calibrare_Linii'!J16&lt;='Input_Meci'!G42)),"DEFENSIVE VALIDATED",IF(AND('Calibrare_Linii'!S16="VALIDATED",AND('Calibrare_Linii'!H16=C520,ISNUMBER('Calibrare_Linii'!J16),'Calibrare_Linii'!J16&lt;='Input_Meci'!G42)),"TAIL VALIDATED","OOS PENDING")))</x:f>
      </x:c>
      <x:c r="AK520" s="2" t="n">
        <x:f>IF(J520&lt;&gt;"PASS",0,'Motor_Meciuri'!BR42)</x:f>
        <x:v>0</x:v>
      </x:c>
      <x:c r="AL520" s="2" t="n">
        <x:f>IF(J520&lt;&gt;"PASS",0,'Motor_Meciuri'!BS42)</x:f>
        <x:v>0</x:v>
      </x:c>
      <x:c r="AM520" s="2" t="n">
        <x:f>IF(J520&lt;&gt;"PASS",0,'Motor_Meciuri'!BT42)</x:f>
        <x:v>0</x:v>
      </x:c>
      <x:c r="AN520" s="2" t="str">
        <x:f>IF(M520="","",MAX(0,'Motor_Meciuri'!BF42-IF(L520&gt;'Config_v6'!$B$12,'Config_v6'!$B$37,IF(L520&gt;'Config_v6'!$B$11,'Config_v6'!$B$36,0))))</x:f>
      </x:c>
    </x:row>
    <x:row r="521" ht="21" customHeight="1">
      <x:c r="A521" s="2" t="n">
        <x:v>37</x:v>
      </x:c>
      <x:c r="B521" s="2" t="str">
        <x:f>IF('Motor_Meciuri'!A42="","",'Motor_Meciuri'!A42)</x:f>
      </x:c>
      <x:c r="C521" s="2" t="str">
        <x:f>IF(B521="","",'Motor_Meciuri'!B42)</x:f>
      </x:c>
      <x:c r="D521" s="2" t="str">
        <x:f>IF(B521="","",'Motor_Meciuri'!D42)</x:f>
      </x:c>
      <x:c r="E521" s="2" t="str">
        <x:f>IF(B521="","",'Motor_Meciuri'!E42)</x:f>
      </x:c>
      <x:c r="F521" s="2" t="str">
        <x:v>U15,5</x:v>
      </x:c>
      <x:c r="G521" s="2" t="str">
        <x:v>UNDER</x:v>
      </x:c>
      <x:c r="H521" s="2" t="n">
        <x:v>15</x:v>
      </x:c>
      <x:c r="I521" s="2" t="str">
        <x:f>IF(B521="","",'Motor_Meciuri'!H42)</x:f>
      </x:c>
      <x:c r="J521" s="2" t="str">
        <x:f>IF(B521="","",'Motor_Meciuri'!I42)</x:f>
      </x:c>
      <x:c r="K521" s="11" t="str">
        <x:f>IF(J521&lt;&gt;"PASS","",'Motor_Meciuri'!BD42)</x:f>
      </x:c>
      <x:c r="L521" s="11" t="str">
        <x:f>IF(J521&lt;&gt;"PASS","",'Motor_Meciuri'!AU42)</x:f>
      </x:c>
      <x:c r="M521" s="10" t="str">
        <x:f>IF(NOT(AND(J521="PASS",'Calibrare_Linii'!U17="VALID")),"",'Distributie'!AM42)</x:f>
      </x:c>
      <x:c r="N521" s="10" t="str">
        <x:f>IF(M521="","",MAX(0.01,MIN(0.99,0.5+(M521-0.5)*'Motor_Meciuri'!BG42*'Calibrare_Linii'!D17)))</x:f>
      </x:c>
      <x:c r="O521" s="10" t="str">
        <x:f>IF(M521="","",1-M521)</x:f>
      </x:c>
      <x:c r="P521" s="10" t="str">
        <x:f>IF(OR(NOT(AND(J521="PASS",'Calibrare_Linii'!U17="VALID")),AK521=0),""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*('Istoric_Nativ'!$Q$6:$Q$405&gt;H521))/AK521)</x:f>
      </x:c>
      <x:c r="Q521" s="10" t="str">
        <x:f>IF(OR(NOT(AND(J521="PASS",'Calibrare_Linii'!U17="VALID")),AL521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M42)+((('Istoric_Nativ'!$E$6:$E$405='Input_Meci'!E42)+('Istoric_Nativ'!$F$6:$F$405='Input_Meci'!E42))&gt;0)*('Istoric_Nativ'!$D$6:$D$405&gt;='Motor_Meciuri'!BN42))&gt;0)*('Istoric_Nativ'!$Q$6:$Q$405&gt;H521))/AL521)</x:f>
      </x:c>
      <x:c r="R521" s="10" t="str">
        <x:f>IF(OR(NOT(AND(J521="PASS",'Calibrare_Linii'!U17="VALID")),AM521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O42)+((('Istoric_Nativ'!$E$6:$E$405='Input_Meci'!E42)+('Istoric_Nativ'!$F$6:$F$405='Input_Meci'!E42))&gt;0)*('Istoric_Nativ'!$D$6:$D$405&gt;='Motor_Meciuri'!BP42))&gt;0)*('Istoric_Nativ'!$Q$6:$Q$405&gt;H521))/AM521)</x:f>
      </x:c>
      <x:c r="S521" s="10" t="str">
        <x:f>IF(M521="","",MAX(O521,P521,Q521,R521))</x:f>
      </x:c>
      <x:c r="T521" s="11" t="str">
        <x:f>IF(M521="","",MIN(100,S521*100*'Config_v6'!$B$44+MIN(100,L521/'Config_v6'!$B$13*100)*'Config_v6'!$B$45+(100-'Motor_Meciuri'!BF42)*'Config_v6'!$B$46+'Motor_Meciuri'!BH42*100*'Config_v6'!$B$47))</x:f>
      </x:c>
      <x:c r="U521" s="2" t="str">
        <x:f>IF(T521="","",IF(T521&lt;=20,1,IF(T521&lt;=40,2,IF(T521&lt;=60,3,IF(T521&lt;=80,4,5)))))</x:f>
      </x:c>
      <x:c r="V521" s="2" t="str">
        <x:f>IF(M521="","",MAX(0,'Motor_Meciuri'!BF42-IF(W521="OOS PENDING",'Config_v6'!$B$35,0)-IF(L521&gt;'Config_v6'!$B$12,'Config_v6'!$B$37,IF(L521&gt;'Config_v6'!$B$11,'Config_v6'!$B$36,0))))</x:f>
      </x:c>
      <x:c r="W521" s="2" t="str">
        <x:f>IF(B521="","",IF(I521&lt;&gt;"READY","NOT RELEASED",IF(NOT(AND(J521="PASS",'Calibrare_Linii'!U17="VALID")),"INVALID",IF(NOT(AND('Calibrare_Linii'!S17="VALIDATED",AND('Calibrare_Linii'!H17=C521,ISNUMBER('Calibrare_Linii'!J17),'Calibrare_Linii'!J17&lt;='Input_Meci'!G42))),"OOS PENDING",IF(S521&lt;='Calibrare_Linii'!E17,"PASS",IF(S521&lt;='Calibrare_Linii'!F17,"PENALTY","WATCH"))))))</x:f>
      </x:c>
      <x:c r="X521" s="2" t="str">
        <x:f>IF(M521="","",IF(AND(AND(J521="PASS",'Calibrare_Linii'!U17="VALID"),'Motor_Meciuri'!K42=12,'Motor_Meciuri'!L42=12,'Motor_Meciuri'!M42="NO",'Motor_Meciuri'!BL42='Motor_Meciuri'!C42,AB521&gt;='Config_v6'!$B$50,AN521&gt;='Config_v6'!$B$51,T521&lt;='Config_v6'!$B$52,L521&lt;='Config_v6'!$B$53,ISNUMBER('Calibrare_Linii'!E17),S521&lt;='Calibrare_Linii'!E17,SUM(AK521:AM521)&gt;0),"CANDIDATE","NO"))</x:f>
      </x:c>
      <x:c r="Y521" s="2" t="str">
        <x:f>IF(B521="","",IF(I521&lt;&gt;"READY","NOT RELEASED",IF(AND(X521="CANDIDATE",V521&gt;='Config_v6'!$B$51,W521="PASS",'Calibrare_Linii'!T17="VALIDATED",AND('Calibrare_Linii'!H17=C521,ISNUMBER('Calibrare_Linii'!J17),'Calibrare_Linii'!J17&lt;='Input_Meci'!G42)),"PASS",IF(X521="CANDIDATE","OOS PENDING","FAIL"))))</x:f>
      </x:c>
      <x:c r="Z521" s="2" t="str">
        <x:f>IF(B521="","",IF(I521&lt;&gt;"READY","",IF(OR(NOT(AND(J521="PASS",'Calibrare_Linii'!U17="VALID")),L521&gt;'Config_v6'!$B$13,W521="WATCH"),5,IF(Y521="PASS",1,MIN(5,MAX('Config_v6'!$B$42,U521)+IF(W521="PENALTY",1,0))))))</x:f>
      </x:c>
      <x:c r="AA521" s="2" t="str">
        <x:f>IF(B521="","",IF(I521&lt;&gt;"READY","NOT RELEASED",IF(Z521=5,"NO BET",IF(OR(AB521&lt;'Config_v6'!$B$16,V521&lt;'Config_v6'!$B$18),"WATCH",IF(Z521=1,"DEFENSIV",IF(Z521=2,"PRUDENT",IF(Z521=3,"MODERAT","RIDICAT")))))))</x:f>
      </x:c>
      <x:c r="AB521" s="10" t="str">
        <x:f>IF(N521="","",MIN(N521,1-S521))</x:f>
      </x:c>
      <x:c r="AC521" s="2" t="str">
        <x:f>IF(AD521&lt;&gt;1,"",COUNTIFS($Z$510:$Z$523,"&lt;"&amp;Z521,$AD$510:$AD$523,1)+COUNTIFS($Z$510:$Z$523,Z521,$AB$510:$AB$523,"&gt;"&amp;AB521,$AD$510:$AD$523,1)+COUNTIFS($Z$510:$Z$523,Z521,$AB$510:$AB$523,AB521,$V$510:$V$523,"&gt;"&amp;V521,$AD$510:$AD$523,1)+COUNTIFS($Z$510:Z521,Z521,$AB$510:AB521,AB521,$V$510:V521,V521,$AD$510:AD521,1))</x:f>
      </x:c>
      <x:c r="AD521" s="2" t="n">
        <x:f>IF(OR(AA521="DEFENSIV",AA521="PRUDENT",AA521="MODERAT",AA521="RIDICAT"),1,0)</x:f>
        <x:v>0</x:v>
      </x:c>
      <x:c r="AE521" s="2" t="str">
        <x:f>IF(AD521&lt;&gt;1,"NO",IF(W521="PASS","YES",IF(W521="OOS PENDING","CONDITIONAL","NO")))</x:f>
        <x:v>NO</x:v>
      </x:c>
      <x:c r="AF521" s="2" t="n">
        <x:f>IF(AND(AD521=1,AC521=1,E521="LIVE"),1,0)</x:f>
        <x:v>0</x:v>
      </x:c>
      <x:c r="AG521" s="2" t="str">
        <x:f>IF(AF521&lt;&gt;1,"",'Dashboard'!P62)</x:f>
      </x:c>
      <x:c r="AH521" s="2" t="str">
        <x:f>IF(B521="","",IF(J521&lt;&gt;"PASS",'Motor_Meciuri'!J42,IF('Calibrare_Linii'!U17&lt;&gt;"VALID","Parametri linie invalizi",IF(L521&gt;'Config_v6'!$B$13,"Dispersie peste limita",IF(W521="WATCH","Failure peste limita",IF(AB521&lt;'Config_v6'!$B$16,"P finala sub prag",IF(V521&lt;'Config_v6'!$B$18,"Confidence sub prag",IF(E521="REPLAY","Exemplu retrospectiv; exclus din Top LIVE",IF(Y521="PASS","DEFENSIV validat",IF(W521="OOS PENDING","Eligibil; calibrare linie in monitorizare","Eligibil"))))))))))</x:f>
      </x:c>
      <x:c r="AI521" s="2" t="str">
        <x:f>IF(B521="","",'Calibrare_Linii'!V17)</x:f>
      </x:c>
      <x:c r="AJ521" s="2" t="str">
        <x:f>IF(B521="","",IF(AND('Calibrare_Linii'!T17="VALIDATED",AND('Calibrare_Linii'!H17=C521,ISNUMBER('Calibrare_Linii'!J17),'Calibrare_Linii'!J17&lt;='Input_Meci'!G42)),"DEFENSIVE VALIDATED",IF(AND('Calibrare_Linii'!S17="VALIDATED",AND('Calibrare_Linii'!H17=C521,ISNUMBER('Calibrare_Linii'!J17),'Calibrare_Linii'!J17&lt;='Input_Meci'!G42)),"TAIL VALIDATED","OOS PENDING")))</x:f>
      </x:c>
      <x:c r="AK521" s="2" t="n">
        <x:f>IF(J521&lt;&gt;"PASS",0,'Motor_Meciuri'!BR42)</x:f>
        <x:v>0</x:v>
      </x:c>
      <x:c r="AL521" s="2" t="n">
        <x:f>IF(J521&lt;&gt;"PASS",0,'Motor_Meciuri'!BS42)</x:f>
        <x:v>0</x:v>
      </x:c>
      <x:c r="AM521" s="2" t="n">
        <x:f>IF(J521&lt;&gt;"PASS",0,'Motor_Meciuri'!BT42)</x:f>
        <x:v>0</x:v>
      </x:c>
      <x:c r="AN521" s="2" t="str">
        <x:f>IF(M521="","",MAX(0,'Motor_Meciuri'!BF42-IF(L521&gt;'Config_v6'!$B$12,'Config_v6'!$B$37,IF(L521&gt;'Config_v6'!$B$11,'Config_v6'!$B$36,0))))</x:f>
      </x:c>
    </x:row>
    <x:row r="522" ht="21" customHeight="1">
      <x:c r="A522" s="2" t="n">
        <x:v>37</x:v>
      </x:c>
      <x:c r="B522" s="2" t="str">
        <x:f>IF('Motor_Meciuri'!A42="","",'Motor_Meciuri'!A42)</x:f>
      </x:c>
      <x:c r="C522" s="2" t="str">
        <x:f>IF(B522="","",'Motor_Meciuri'!B42)</x:f>
      </x:c>
      <x:c r="D522" s="2" t="str">
        <x:f>IF(B522="","",'Motor_Meciuri'!D42)</x:f>
      </x:c>
      <x:c r="E522" s="2" t="str">
        <x:f>IF(B522="","",'Motor_Meciuri'!E42)</x:f>
      </x:c>
      <x:c r="F522" s="2" t="str">
        <x:v>U16,5</x:v>
      </x:c>
      <x:c r="G522" s="2" t="str">
        <x:v>UNDER</x:v>
      </x:c>
      <x:c r="H522" s="2" t="n">
        <x:v>16</x:v>
      </x:c>
      <x:c r="I522" s="2" t="str">
        <x:f>IF(B522="","",'Motor_Meciuri'!H42)</x:f>
      </x:c>
      <x:c r="J522" s="2" t="str">
        <x:f>IF(B522="","",'Motor_Meciuri'!I42)</x:f>
      </x:c>
      <x:c r="K522" s="11" t="str">
        <x:f>IF(J522&lt;&gt;"PASS","",'Motor_Meciuri'!BD42)</x:f>
      </x:c>
      <x:c r="L522" s="11" t="str">
        <x:f>IF(J522&lt;&gt;"PASS","",'Motor_Meciuri'!AU42)</x:f>
      </x:c>
      <x:c r="M522" s="10" t="str">
        <x:f>IF(NOT(AND(J522="PASS",'Calibrare_Linii'!U18="VALID")),"",'Distributie'!AN42)</x:f>
      </x:c>
      <x:c r="N522" s="10" t="str">
        <x:f>IF(M522="","",MAX(0.01,MIN(0.99,0.5+(M522-0.5)*'Motor_Meciuri'!BG42*'Calibrare_Linii'!D18)))</x:f>
      </x:c>
      <x:c r="O522" s="10" t="str">
        <x:f>IF(M522="","",1-M522)</x:f>
      </x:c>
      <x:c r="P522" s="10" t="str">
        <x:f>IF(OR(NOT(AND(J522="PASS",'Calibrare_Linii'!U18="VALID")),AK522=0),""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*('Istoric_Nativ'!$Q$6:$Q$405&gt;H522))/AK522)</x:f>
      </x:c>
      <x:c r="Q522" s="10" t="str">
        <x:f>IF(OR(NOT(AND(J522="PASS",'Calibrare_Linii'!U18="VALID")),AL522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M42)+((('Istoric_Nativ'!$E$6:$E$405='Input_Meci'!E42)+('Istoric_Nativ'!$F$6:$F$405='Input_Meci'!E42))&gt;0)*('Istoric_Nativ'!$D$6:$D$405&gt;='Motor_Meciuri'!BN42))&gt;0)*('Istoric_Nativ'!$Q$6:$Q$405&gt;H522))/AL522)</x:f>
      </x:c>
      <x:c r="R522" s="10" t="str">
        <x:f>IF(OR(NOT(AND(J522="PASS",'Calibrare_Linii'!U18="VALID")),AM522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O42)+((('Istoric_Nativ'!$E$6:$E$405='Input_Meci'!E42)+('Istoric_Nativ'!$F$6:$F$405='Input_Meci'!E42))&gt;0)*('Istoric_Nativ'!$D$6:$D$405&gt;='Motor_Meciuri'!BP42))&gt;0)*('Istoric_Nativ'!$Q$6:$Q$405&gt;H522))/AM522)</x:f>
      </x:c>
      <x:c r="S522" s="10" t="str">
        <x:f>IF(M522="","",MAX(O522,P522,Q522,R522))</x:f>
      </x:c>
      <x:c r="T522" s="11" t="str">
        <x:f>IF(M522="","",MIN(100,S522*100*'Config_v6'!$B$44+MIN(100,L522/'Config_v6'!$B$13*100)*'Config_v6'!$B$45+(100-'Motor_Meciuri'!BF42)*'Config_v6'!$B$46+'Motor_Meciuri'!BH42*100*'Config_v6'!$B$47))</x:f>
      </x:c>
      <x:c r="U522" s="2" t="str">
        <x:f>IF(T522="","",IF(T522&lt;=20,1,IF(T522&lt;=40,2,IF(T522&lt;=60,3,IF(T522&lt;=80,4,5)))))</x:f>
      </x:c>
      <x:c r="V522" s="2" t="str">
        <x:f>IF(M522="","",MAX(0,'Motor_Meciuri'!BF42-IF(W522="OOS PENDING",'Config_v6'!$B$35,0)-IF(L522&gt;'Config_v6'!$B$12,'Config_v6'!$B$37,IF(L522&gt;'Config_v6'!$B$11,'Config_v6'!$B$36,0))))</x:f>
      </x:c>
      <x:c r="W522" s="2" t="str">
        <x:f>IF(B522="","",IF(I522&lt;&gt;"READY","NOT RELEASED",IF(NOT(AND(J522="PASS",'Calibrare_Linii'!U18="VALID")),"INVALID",IF(NOT(AND('Calibrare_Linii'!S18="VALIDATED",AND('Calibrare_Linii'!H18=C522,ISNUMBER('Calibrare_Linii'!J18),'Calibrare_Linii'!J18&lt;='Input_Meci'!G42))),"OOS PENDING",IF(S522&lt;='Calibrare_Linii'!E18,"PASS",IF(S522&lt;='Calibrare_Linii'!F18,"PENALTY","WATCH"))))))</x:f>
      </x:c>
      <x:c r="X522" s="2" t="str">
        <x:f>IF(M522="","",IF(AND(AND(J522="PASS",'Calibrare_Linii'!U18="VALID"),'Motor_Meciuri'!K42=12,'Motor_Meciuri'!L42=12,'Motor_Meciuri'!M42="NO",'Motor_Meciuri'!BL42='Motor_Meciuri'!C42,AB522&gt;='Config_v6'!$B$50,AN522&gt;='Config_v6'!$B$51,T522&lt;='Config_v6'!$B$52,L522&lt;='Config_v6'!$B$53,ISNUMBER('Calibrare_Linii'!E18),S522&lt;='Calibrare_Linii'!E18,SUM(AK522:AM522)&gt;0),"CANDIDATE","NO"))</x:f>
      </x:c>
      <x:c r="Y522" s="2" t="str">
        <x:f>IF(B522="","",IF(I522&lt;&gt;"READY","NOT RELEASED",IF(AND(X522="CANDIDATE",V522&gt;='Config_v6'!$B$51,W522="PASS",'Calibrare_Linii'!T18="VALIDATED",AND('Calibrare_Linii'!H18=C522,ISNUMBER('Calibrare_Linii'!J18),'Calibrare_Linii'!J18&lt;='Input_Meci'!G42)),"PASS",IF(X522="CANDIDATE","OOS PENDING","FAIL"))))</x:f>
      </x:c>
      <x:c r="Z522" s="2" t="str">
        <x:f>IF(B522="","",IF(I522&lt;&gt;"READY","",IF(OR(NOT(AND(J522="PASS",'Calibrare_Linii'!U18="VALID")),L522&gt;'Config_v6'!$B$13,W522="WATCH"),5,IF(Y522="PASS",1,MIN(5,MAX('Config_v6'!$B$42,U522)+IF(W522="PENALTY",1,0))))))</x:f>
      </x:c>
      <x:c r="AA522" s="2" t="str">
        <x:f>IF(B522="","",IF(I522&lt;&gt;"READY","NOT RELEASED",IF(Z522=5,"NO BET",IF(OR(AB522&lt;'Config_v6'!$B$16,V522&lt;'Config_v6'!$B$18),"WATCH",IF(Z522=1,"DEFENSIV",IF(Z522=2,"PRUDENT",IF(Z522=3,"MODERAT","RIDICAT")))))))</x:f>
      </x:c>
      <x:c r="AB522" s="10" t="str">
        <x:f>IF(N522="","",MIN(N522,1-S522))</x:f>
      </x:c>
      <x:c r="AC522" s="2" t="str">
        <x:f>IF(AD522&lt;&gt;1,"",COUNTIFS($Z$510:$Z$523,"&lt;"&amp;Z522,$AD$510:$AD$523,1)+COUNTIFS($Z$510:$Z$523,Z522,$AB$510:$AB$523,"&gt;"&amp;AB522,$AD$510:$AD$523,1)+COUNTIFS($Z$510:$Z$523,Z522,$AB$510:$AB$523,AB522,$V$510:$V$523,"&gt;"&amp;V522,$AD$510:$AD$523,1)+COUNTIFS($Z$510:Z522,Z522,$AB$510:AB522,AB522,$V$510:V522,V522,$AD$510:AD522,1))</x:f>
      </x:c>
      <x:c r="AD522" s="2" t="n">
        <x:f>IF(OR(AA522="DEFENSIV",AA522="PRUDENT",AA522="MODERAT",AA522="RIDICAT"),1,0)</x:f>
        <x:v>0</x:v>
      </x:c>
      <x:c r="AE522" s="2" t="str">
        <x:f>IF(AD522&lt;&gt;1,"NO",IF(W522="PASS","YES",IF(W522="OOS PENDING","CONDITIONAL","NO")))</x:f>
        <x:v>NO</x:v>
      </x:c>
      <x:c r="AF522" s="2" t="n">
        <x:f>IF(AND(AD522=1,AC522=1,E522="LIVE"),1,0)</x:f>
        <x:v>0</x:v>
      </x:c>
      <x:c r="AG522" s="2" t="str">
        <x:f>IF(AF522&lt;&gt;1,"",'Dashboard'!P62)</x:f>
      </x:c>
      <x:c r="AH522" s="2" t="str">
        <x:f>IF(B522="","",IF(J522&lt;&gt;"PASS",'Motor_Meciuri'!J42,IF('Calibrare_Linii'!U18&lt;&gt;"VALID","Parametri linie invalizi",IF(L522&gt;'Config_v6'!$B$13,"Dispersie peste limita",IF(W522="WATCH","Failure peste limita",IF(AB522&lt;'Config_v6'!$B$16,"P finala sub prag",IF(V522&lt;'Config_v6'!$B$18,"Confidence sub prag",IF(E522="REPLAY","Exemplu retrospectiv; exclus din Top LIVE",IF(Y522="PASS","DEFENSIV validat",IF(W522="OOS PENDING","Eligibil; calibrare linie in monitorizare","Eligibil"))))))))))</x:f>
      </x:c>
      <x:c r="AI522" s="2" t="str">
        <x:f>IF(B522="","",'Calibrare_Linii'!V18)</x:f>
      </x:c>
      <x:c r="AJ522" s="2" t="str">
        <x:f>IF(B522="","",IF(AND('Calibrare_Linii'!T18="VALIDATED",AND('Calibrare_Linii'!H18=C522,ISNUMBER('Calibrare_Linii'!J18),'Calibrare_Linii'!J18&lt;='Input_Meci'!G42)),"DEFENSIVE VALIDATED",IF(AND('Calibrare_Linii'!S18="VALIDATED",AND('Calibrare_Linii'!H18=C522,ISNUMBER('Calibrare_Linii'!J18),'Calibrare_Linii'!J18&lt;='Input_Meci'!G42)),"TAIL VALIDATED","OOS PENDING")))</x:f>
      </x:c>
      <x:c r="AK522" s="2" t="n">
        <x:f>IF(J522&lt;&gt;"PASS",0,'Motor_Meciuri'!BR42)</x:f>
        <x:v>0</x:v>
      </x:c>
      <x:c r="AL522" s="2" t="n">
        <x:f>IF(J522&lt;&gt;"PASS",0,'Motor_Meciuri'!BS42)</x:f>
        <x:v>0</x:v>
      </x:c>
      <x:c r="AM522" s="2" t="n">
        <x:f>IF(J522&lt;&gt;"PASS",0,'Motor_Meciuri'!BT42)</x:f>
        <x:v>0</x:v>
      </x:c>
      <x:c r="AN522" s="2" t="str">
        <x:f>IF(M522="","",MAX(0,'Motor_Meciuri'!BF42-IF(L522&gt;'Config_v6'!$B$12,'Config_v6'!$B$37,IF(L522&gt;'Config_v6'!$B$11,'Config_v6'!$B$36,0))))</x:f>
      </x:c>
    </x:row>
    <x:row r="523" ht="21" customHeight="1">
      <x:c r="A523" s="2" t="n">
        <x:v>37</x:v>
      </x:c>
      <x:c r="B523" s="2" t="str">
        <x:f>IF('Motor_Meciuri'!A42="","",'Motor_Meciuri'!A42)</x:f>
      </x:c>
      <x:c r="C523" s="2" t="str">
        <x:f>IF(B523="","",'Motor_Meciuri'!B42)</x:f>
      </x:c>
      <x:c r="D523" s="2" t="str">
        <x:f>IF(B523="","",'Motor_Meciuri'!D42)</x:f>
      </x:c>
      <x:c r="E523" s="2" t="str">
        <x:f>IF(B523="","",'Motor_Meciuri'!E42)</x:f>
      </x:c>
      <x:c r="F523" s="2" t="str">
        <x:v>U17,5</x:v>
      </x:c>
      <x:c r="G523" s="2" t="str">
        <x:v>UNDER</x:v>
      </x:c>
      <x:c r="H523" s="2" t="n">
        <x:v>17</x:v>
      </x:c>
      <x:c r="I523" s="2" t="str">
        <x:f>IF(B523="","",'Motor_Meciuri'!H42)</x:f>
      </x:c>
      <x:c r="J523" s="2" t="str">
        <x:f>IF(B523="","",'Motor_Meciuri'!I42)</x:f>
      </x:c>
      <x:c r="K523" s="11" t="str">
        <x:f>IF(J523&lt;&gt;"PASS","",'Motor_Meciuri'!BD42)</x:f>
      </x:c>
      <x:c r="L523" s="11" t="str">
        <x:f>IF(J523&lt;&gt;"PASS","",'Motor_Meciuri'!AU42)</x:f>
      </x:c>
      <x:c r="M523" s="10" t="str">
        <x:f>IF(NOT(AND(J523="PASS",'Calibrare_Linii'!U19="VALID")),"",'Distributie'!AO42)</x:f>
      </x:c>
      <x:c r="N523" s="10" t="str">
        <x:f>IF(M523="","",MAX(0.01,MIN(0.99,0.5+(M523-0.5)*'Motor_Meciuri'!BG42*'Calibrare_Linii'!D19)))</x:f>
      </x:c>
      <x:c r="O523" s="10" t="str">
        <x:f>IF(M523="","",1-M523)</x:f>
      </x:c>
      <x:c r="P523" s="10" t="str">
        <x:f>IF(OR(NOT(AND(J523="PASS",'Calibrare_Linii'!U19="VALID")),AK523=0),""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*('Istoric_Nativ'!$Q$6:$Q$405&gt;H523))/AK523)</x:f>
      </x:c>
      <x:c r="Q523" s="10" t="str">
        <x:f>IF(OR(NOT(AND(J523="PASS",'Calibrare_Linii'!U19="VALID")),AL523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M42)+((('Istoric_Nativ'!$E$6:$E$405='Input_Meci'!E42)+('Istoric_Nativ'!$F$6:$F$405='Input_Meci'!E42))&gt;0)*('Istoric_Nativ'!$D$6:$D$405&gt;='Motor_Meciuri'!BN42))&gt;0)*('Istoric_Nativ'!$Q$6:$Q$405&gt;H523))/AL523)</x:f>
      </x:c>
      <x:c r="R523" s="10" t="str">
        <x:f>IF(OR(NOT(AND(J523="PASS",'Calibrare_Linii'!U19="VALID")),AM523=0),""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'Motor_Meciuri'!BO42)+((('Istoric_Nativ'!$E$6:$E$405='Input_Meci'!E42)+('Istoric_Nativ'!$F$6:$F$405='Input_Meci'!E42))&gt;0)*('Istoric_Nativ'!$D$6:$D$405&gt;='Motor_Meciuri'!BP42))&gt;0)*('Istoric_Nativ'!$Q$6:$Q$405&gt;H523))/AM523)</x:f>
      </x:c>
      <x:c r="S523" s="10" t="str">
        <x:f>IF(M523="","",MAX(O523,P523,Q523,R523))</x:f>
      </x:c>
      <x:c r="T523" s="11" t="str">
        <x:f>IF(M523="","",MIN(100,S523*100*'Config_v6'!$B$44+MIN(100,L523/'Config_v6'!$B$13*100)*'Config_v6'!$B$45+(100-'Motor_Meciuri'!BF42)*'Config_v6'!$B$46+'Motor_Meciuri'!BH42*100*'Config_v6'!$B$47))</x:f>
      </x:c>
      <x:c r="U523" s="2" t="str">
        <x:f>IF(T523="","",IF(T523&lt;=20,1,IF(T523&lt;=40,2,IF(T523&lt;=60,3,IF(T523&lt;=80,4,5)))))</x:f>
      </x:c>
      <x:c r="V523" s="2" t="str">
        <x:f>IF(M523="","",MAX(0,'Motor_Meciuri'!BF42-IF(W523="OOS PENDING",'Config_v6'!$B$35,0)-IF(L523&gt;'Config_v6'!$B$12,'Config_v6'!$B$37,IF(L523&gt;'Config_v6'!$B$11,'Config_v6'!$B$36,0))))</x:f>
      </x:c>
      <x:c r="W523" s="2" t="str">
        <x:f>IF(B523="","",IF(I523&lt;&gt;"READY","NOT RELEASED",IF(NOT(AND(J523="PASS",'Calibrare_Linii'!U19="VALID")),"INVALID",IF(NOT(AND('Calibrare_Linii'!S19="VALIDATED",AND('Calibrare_Linii'!H19=C523,ISNUMBER('Calibrare_Linii'!J19),'Calibrare_Linii'!J19&lt;='Input_Meci'!G42))),"OOS PENDING",IF(S523&lt;='Calibrare_Linii'!E19,"PASS",IF(S523&lt;='Calibrare_Linii'!F19,"PENALTY","WATCH"))))))</x:f>
      </x:c>
      <x:c r="X523" s="2" t="str">
        <x:f>IF(M523="","",IF(AND(AND(J523="PASS",'Calibrare_Linii'!U19="VALID"),'Motor_Meciuri'!K42=12,'Motor_Meciuri'!L42=12,'Motor_Meciuri'!M42="NO",'Motor_Meciuri'!BL42='Motor_Meciuri'!C42,AB523&gt;='Config_v6'!$B$50,AN523&gt;='Config_v6'!$B$51,T523&lt;='Config_v6'!$B$52,L523&lt;='Config_v6'!$B$53,ISNUMBER('Calibrare_Linii'!E19),S523&lt;='Calibrare_Linii'!E19,SUM(AK523:AM523)&gt;0),"CANDIDATE","NO"))</x:f>
      </x:c>
      <x:c r="Y523" s="2" t="str">
        <x:f>IF(B523="","",IF(I523&lt;&gt;"READY","NOT RELEASED",IF(AND(X523="CANDIDATE",V523&gt;='Config_v6'!$B$51,W523="PASS",'Calibrare_Linii'!T19="VALIDATED",AND('Calibrare_Linii'!H19=C523,ISNUMBER('Calibrare_Linii'!J19),'Calibrare_Linii'!J19&lt;='Input_Meci'!G42)),"PASS",IF(X523="CANDIDATE","OOS PENDING","FAIL"))))</x:f>
      </x:c>
      <x:c r="Z523" s="2" t="str">
        <x:f>IF(B523="","",IF(I523&lt;&gt;"READY","",IF(OR(NOT(AND(J523="PASS",'Calibrare_Linii'!U19="VALID")),L523&gt;'Config_v6'!$B$13,W523="WATCH"),5,IF(Y523="PASS",1,MIN(5,MAX('Config_v6'!$B$42,U523)+IF(W523="PENALTY",1,0))))))</x:f>
      </x:c>
      <x:c r="AA523" s="2" t="str">
        <x:f>IF(B523="","",IF(I523&lt;&gt;"READY","NOT RELEASED",IF(Z523=5,"NO BET",IF(OR(AB523&lt;'Config_v6'!$B$16,V523&lt;'Config_v6'!$B$18),"WATCH",IF(Z523=1,"DEFENSIV",IF(Z523=2,"PRUDENT",IF(Z523=3,"MODERAT","RIDICAT")))))))</x:f>
      </x:c>
      <x:c r="AB523" s="10" t="str">
        <x:f>IF(N523="","",MIN(N523,1-S523))</x:f>
      </x:c>
      <x:c r="AC523" s="2" t="str">
        <x:f>IF(AD523&lt;&gt;1,"",COUNTIFS($Z$510:$Z$523,"&lt;"&amp;Z523,$AD$510:$AD$523,1)+COUNTIFS($Z$510:$Z$523,Z523,$AB$510:$AB$523,"&gt;"&amp;AB523,$AD$510:$AD$523,1)+COUNTIFS($Z$510:$Z$523,Z523,$AB$510:$AB$523,AB523,$V$510:$V$523,"&gt;"&amp;V523,$AD$510:$AD$523,1)+COUNTIFS($Z$510:Z523,Z523,$AB$510:AB523,AB523,$V$510:V523,V523,$AD$510:AD523,1))</x:f>
      </x:c>
      <x:c r="AD523" s="2" t="n">
        <x:f>IF(OR(AA523="DEFENSIV",AA523="PRUDENT",AA523="MODERAT",AA523="RIDICAT"),1,0)</x:f>
        <x:v>0</x:v>
      </x:c>
      <x:c r="AE523" s="2" t="str">
        <x:f>IF(AD523&lt;&gt;1,"NO",IF(W523="PASS","YES",IF(W523="OOS PENDING","CONDITIONAL","NO")))</x:f>
        <x:v>NO</x:v>
      </x:c>
      <x:c r="AF523" s="2" t="n">
        <x:f>IF(AND(AD523=1,AC523=1,E523="LIVE"),1,0)</x:f>
        <x:v>0</x:v>
      </x:c>
      <x:c r="AG523" s="2" t="str">
        <x:f>IF(AF523&lt;&gt;1,"",'Dashboard'!P62)</x:f>
      </x:c>
      <x:c r="AH523" s="2" t="str">
        <x:f>IF(B523="","",IF(J523&lt;&gt;"PASS",'Motor_Meciuri'!J42,IF('Calibrare_Linii'!U19&lt;&gt;"VALID","Parametri linie invalizi",IF(L523&gt;'Config_v6'!$B$13,"Dispersie peste limita",IF(W523="WATCH","Failure peste limita",IF(AB523&lt;'Config_v6'!$B$16,"P finala sub prag",IF(V523&lt;'Config_v6'!$B$18,"Confidence sub prag",IF(E523="REPLAY","Exemplu retrospectiv; exclus din Top LIVE",IF(Y523="PASS","DEFENSIV validat",IF(W523="OOS PENDING","Eligibil; calibrare linie in monitorizare","Eligibil"))))))))))</x:f>
      </x:c>
      <x:c r="AI523" s="2" t="str">
        <x:f>IF(B523="","",'Calibrare_Linii'!V19)</x:f>
      </x:c>
      <x:c r="AJ523" s="2" t="str">
        <x:f>IF(B523="","",IF(AND('Calibrare_Linii'!T19="VALIDATED",AND('Calibrare_Linii'!H19=C523,ISNUMBER('Calibrare_Linii'!J19),'Calibrare_Linii'!J19&lt;='Input_Meci'!G42)),"DEFENSIVE VALIDATED",IF(AND('Calibrare_Linii'!S19="VALIDATED",AND('Calibrare_Linii'!H19=C523,ISNUMBER('Calibrare_Linii'!J19),'Calibrare_Linii'!J19&lt;='Input_Meci'!G42)),"TAIL VALIDATED","OOS PENDING")))</x:f>
      </x:c>
      <x:c r="AK523" s="2" t="n">
        <x:f>IF(J523&lt;&gt;"PASS",0,'Motor_Meciuri'!BR42)</x:f>
        <x:v>0</x:v>
      </x:c>
      <x:c r="AL523" s="2" t="n">
        <x:f>IF(J523&lt;&gt;"PASS",0,'Motor_Meciuri'!BS42)</x:f>
        <x:v>0</x:v>
      </x:c>
      <x:c r="AM523" s="2" t="n">
        <x:f>IF(J523&lt;&gt;"PASS",0,'Motor_Meciuri'!BT42)</x:f>
        <x:v>0</x:v>
      </x:c>
      <x:c r="AN523" s="2" t="str">
        <x:f>IF(M523="","",MAX(0,'Motor_Meciuri'!BF42-IF(L523&gt;'Config_v6'!$B$12,'Config_v6'!$B$37,IF(L523&gt;'Config_v6'!$B$11,'Config_v6'!$B$36,0))))</x:f>
      </x:c>
    </x:row>
    <x:row r="524" ht="21" customHeight="1">
      <x:c r="A524" s="2" t="n">
        <x:v>38</x:v>
      </x:c>
      <x:c r="B524" s="2" t="str">
        <x:f>IF('Motor_Meciuri'!A43="","",'Motor_Meciuri'!A43)</x:f>
      </x:c>
      <x:c r="C524" s="2" t="str">
        <x:f>IF(B524="","",'Motor_Meciuri'!B43)</x:f>
      </x:c>
      <x:c r="D524" s="2" t="str">
        <x:f>IF(B524="","",'Motor_Meciuri'!D43)</x:f>
      </x:c>
      <x:c r="E524" s="2" t="str">
        <x:f>IF(B524="","",'Motor_Meciuri'!E43)</x:f>
      </x:c>
      <x:c r="F524" s="2" t="str">
        <x:v>O3,5</x:v>
      </x:c>
      <x:c r="G524" s="2" t="str">
        <x:v>OVER</x:v>
      </x:c>
      <x:c r="H524" s="2" t="n">
        <x:v>3</x:v>
      </x:c>
      <x:c r="I524" s="2" t="str">
        <x:f>IF(B524="","",'Motor_Meciuri'!H43)</x:f>
      </x:c>
      <x:c r="J524" s="2" t="str">
        <x:f>IF(B524="","",'Motor_Meciuri'!I43)</x:f>
      </x:c>
      <x:c r="K524" s="11" t="str">
        <x:f>IF(J524&lt;&gt;"PASS","",'Motor_Meciuri'!BD43)</x:f>
      </x:c>
      <x:c r="L524" s="11" t="str">
        <x:f>IF(J524&lt;&gt;"PASS","",'Motor_Meciuri'!AU43)</x:f>
      </x:c>
      <x:c r="M524" s="10" t="str">
        <x:f>IF(NOT(AND(J524="PASS",'Calibrare_Linii'!U6="VALID")),"",1-'Distributie'!AA43)</x:f>
      </x:c>
      <x:c r="N524" s="10" t="str">
        <x:f>IF(M524="","",MAX(0.01,MIN(0.99,0.5+(M524-0.5)*'Motor_Meciuri'!BG43*'Calibrare_Linii'!D6)))</x:f>
      </x:c>
      <x:c r="O524" s="10" t="str">
        <x:f>IF(M524="","",1-M524)</x:f>
      </x:c>
      <x:c r="P524" s="10" t="str">
        <x:f>IF(OR(NOT(AND(J524="PASS",'Calibrare_Linii'!U6="VALID")),AK524=0),""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*('Istoric_Nativ'!$Q$6:$Q$405&lt;=H524))/AK524)</x:f>
      </x:c>
      <x:c r="Q524" s="10" t="str">
        <x:f>IF(OR(NOT(AND(J524="PASS",'Calibrare_Linii'!U6="VALID")),AL524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M43)+((('Istoric_Nativ'!$E$6:$E$405='Input_Meci'!E43)+('Istoric_Nativ'!$F$6:$F$405='Input_Meci'!E43))&gt;0)*('Istoric_Nativ'!$D$6:$D$405&gt;='Motor_Meciuri'!BN43))&gt;0)*('Istoric_Nativ'!$Q$6:$Q$405&lt;=H524))/AL524)</x:f>
      </x:c>
      <x:c r="R524" s="10" t="str">
        <x:f>IF(OR(NOT(AND(J524="PASS",'Calibrare_Linii'!U6="VALID")),AM524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O43)+((('Istoric_Nativ'!$E$6:$E$405='Input_Meci'!E43)+('Istoric_Nativ'!$F$6:$F$405='Input_Meci'!E43))&gt;0)*('Istoric_Nativ'!$D$6:$D$405&gt;='Motor_Meciuri'!BP43))&gt;0)*('Istoric_Nativ'!$Q$6:$Q$405&lt;=H524))/AM524)</x:f>
      </x:c>
      <x:c r="S524" s="10" t="str">
        <x:f>IF(M524="","",MAX(O524,P524,Q524,R524))</x:f>
      </x:c>
      <x:c r="T524" s="11" t="str">
        <x:f>IF(M524="","",MIN(100,S524*100*'Config_v6'!$B$44+MIN(100,L524/'Config_v6'!$B$13*100)*'Config_v6'!$B$45+(100-'Motor_Meciuri'!BF43)*'Config_v6'!$B$46+'Motor_Meciuri'!BH43*100*'Config_v6'!$B$47))</x:f>
      </x:c>
      <x:c r="U524" s="2" t="str">
        <x:f>IF(T524="","",IF(T524&lt;=20,1,IF(T524&lt;=40,2,IF(T524&lt;=60,3,IF(T524&lt;=80,4,5)))))</x:f>
      </x:c>
      <x:c r="V524" s="2" t="str">
        <x:f>IF(M524="","",MAX(0,'Motor_Meciuri'!BF43-IF(W524="OOS PENDING",'Config_v6'!$B$35,0)-IF(L524&gt;'Config_v6'!$B$12,'Config_v6'!$B$37,IF(L524&gt;'Config_v6'!$B$11,'Config_v6'!$B$36,0))))</x:f>
      </x:c>
      <x:c r="W524" s="2" t="str">
        <x:f>IF(B524="","",IF(I524&lt;&gt;"READY","NOT RELEASED",IF(NOT(AND(J524="PASS",'Calibrare_Linii'!U6="VALID")),"INVALID",IF(NOT(TRUE),"OOS PENDING",IF(S524&lt;=IF(AND('Calibrare_Linii'!S6="VALIDATED",AND('Calibrare_Linii'!H6=C524,ISNUMBER('Calibrare_Linii'!J6),'Calibrare_Linii'!J6&lt;='Input_Meci'!G43)),'Calibrare_Linii'!E6,'Config_v6'!$B$26),"PASS",IF(S524&lt;=IF(AND('Calibrare_Linii'!S6="VALIDATED",AND('Calibrare_Linii'!H6=C524,ISNUMBER('Calibrare_Linii'!J6),'Calibrare_Linii'!J6&lt;='Input_Meci'!G43)),'Calibrare_Linii'!F6,'Config_v6'!$C$26),"PENALTY","WATCH"))))))</x:f>
      </x:c>
      <x:c r="X524" s="2" t="str">
        <x:f>IF(M524="","",IF(AND(AND(J524="PASS",'Calibrare_Linii'!U6="VALID"),'Motor_Meciuri'!K43=12,'Motor_Meciuri'!L43=12,'Motor_Meciuri'!M43="NO",'Motor_Meciuri'!BL43='Motor_Meciuri'!C43,AB524&gt;='Config_v6'!$B$50,AN524&gt;='Config_v6'!$B$51,T524&lt;='Config_v6'!$B$52,L524&lt;='Config_v6'!$B$53,ISNUMBER('Calibrare_Linii'!E6),S524&lt;='Calibrare_Linii'!E6,SUM(AK524:AM524)&gt;0),"CANDIDATE","NO"))</x:f>
      </x:c>
      <x:c r="Y524" s="2" t="str">
        <x:f>IF(B524="","",IF(I524&lt;&gt;"READY","NOT RELEASED",IF(AND(X524="CANDIDATE",V524&gt;='Config_v6'!$B$51,W524="PASS",'Calibrare_Linii'!T6="VALIDATED",AND('Calibrare_Linii'!H6=C524,ISNUMBER('Calibrare_Linii'!J6),'Calibrare_Linii'!J6&lt;='Input_Meci'!G43)),"PASS",IF(X524="CANDIDATE","OOS PENDING","FAIL"))))</x:f>
      </x:c>
      <x:c r="Z524" s="2" t="str">
        <x:f>IF(B524="","",IF(I524&lt;&gt;"READY","",IF(OR(NOT(AND(J524="PASS",'Calibrare_Linii'!U6="VALID")),L524&gt;'Config_v6'!$B$13,W524="WATCH"),5,IF(Y524="PASS",1,MIN(5,MAX('Config_v6'!$B$42,U524)+IF(W524="PENALTY",1,0))))))</x:f>
      </x:c>
      <x:c r="AA524" s="2" t="str">
        <x:f>IF(B524="","",IF(I524&lt;&gt;"READY","NOT RELEASED",IF(Z524=5,"NO BET",IF(OR(AB524&lt;'Config_v6'!$B$16,V524&lt;'Config_v6'!$B$18),"WATCH",IF(Z524=1,"DEFENSIV",IF(Z524=2,"PRUDENT",IF(Z524=3,"MODERAT","RIDICAT")))))))</x:f>
      </x:c>
      <x:c r="AB524" s="10" t="str">
        <x:f>IF(N524="","",MIN(N524,1-S524))</x:f>
      </x:c>
      <x:c r="AC524" s="2" t="str">
        <x:f>IF(AD524&lt;&gt;1,"",COUNTIFS($Z$524:$Z$537,"&lt;"&amp;Z524,$AD$524:$AD$537,1)+COUNTIFS($Z$524:$Z$537,Z524,$AB$524:$AB$537,"&gt;"&amp;AB524,$AD$524:$AD$537,1)+COUNTIFS($Z$524:$Z$537,Z524,$AB$524:$AB$537,AB524,$V$524:$V$537,"&gt;"&amp;V524,$AD$524:$AD$537,1)+COUNTIFS($Z$524:Z524,Z524,$AB$524:AB524,AB524,$V$524:V524,V524,$AD$524:AD524,1))</x:f>
      </x:c>
      <x:c r="AD524" s="2" t="n">
        <x:f>IF(OR(AA524="DEFENSIV",AA524="PRUDENT",AA524="MODERAT",AA524="RIDICAT"),1,0)</x:f>
        <x:v>0</x:v>
      </x:c>
      <x:c r="AE524" s="2" t="str">
        <x:f>IF(AD524&lt;&gt;1,"NO",IF(W524="PASS","YES",IF(W524="OOS PENDING","CONDITIONAL","NO")))</x:f>
        <x:v>NO</x:v>
      </x:c>
      <x:c r="AF524" s="2" t="n">
        <x:f>IF(AND(AD524=1,AC524=1,E524="LIVE"),1,0)</x:f>
        <x:v>0</x:v>
      </x:c>
      <x:c r="AG524" s="2" t="str">
        <x:f>IF(AF524&lt;&gt;1,"",'Dashboard'!P63)</x:f>
      </x:c>
      <x:c r="AH524" s="2" t="str">
        <x:f>IF(B524="","",IF(J524&lt;&gt;"PASS",'Motor_Meciuri'!J43,IF('Calibrare_Linii'!U6&lt;&gt;"VALID","Parametri linie invalizi",IF(L524&gt;'Config_v6'!$B$13,"Dispersie peste limita",IF(W524="WATCH","Failure peste limita",IF(AB524&lt;'Config_v6'!$B$16,"P finala sub prag",IF(V524&lt;'Config_v6'!$B$18,"Confidence sub prag",IF(E524="REPLAY","Exemplu retrospectiv; exclus din Top LIVE",IF(Y524="PASS","DEFENSIV validat",IF(W524="OOS PENDING","Eligibil; calibrare linie in monitorizare","Eligibil"))))))))))</x:f>
      </x:c>
      <x:c r="AI524" s="2" t="str">
        <x:f>IF(B524="","",'Calibrare_Linii'!V6)</x:f>
      </x:c>
      <x:c r="AJ524" s="2" t="str">
        <x:f>IF(B524="","",IF(AND('Calibrare_Linii'!T6="VALIDATED",AND('Calibrare_Linii'!H6=C524,ISNUMBER('Calibrare_Linii'!J6),'Calibrare_Linii'!J6&lt;='Input_Meci'!G43)),"DEFENSIVE VALIDATED",IF(AND('Calibrare_Linii'!S6="VALIDATED",AND('Calibrare_Linii'!H6=C524,ISNUMBER('Calibrare_Linii'!J6),'Calibrare_Linii'!J6&lt;='Input_Meci'!G43)),"TAIL VALIDATED","OOS PENDING")))</x:f>
      </x:c>
      <x:c r="AK524" s="2" t="n">
        <x:f>IF(J524&lt;&gt;"PASS",0,'Motor_Meciuri'!BR43)</x:f>
        <x:v>0</x:v>
      </x:c>
      <x:c r="AL524" s="2" t="n">
        <x:f>IF(J524&lt;&gt;"PASS",0,'Motor_Meciuri'!BS43)</x:f>
        <x:v>0</x:v>
      </x:c>
      <x:c r="AM524" s="2" t="n">
        <x:f>IF(J524&lt;&gt;"PASS",0,'Motor_Meciuri'!BT43)</x:f>
        <x:v>0</x:v>
      </x:c>
      <x:c r="AN524" s="2" t="str">
        <x:f>IF(M524="","",MAX(0,'Motor_Meciuri'!BF43-IF(L524&gt;'Config_v6'!$B$12,'Config_v6'!$B$37,IF(L524&gt;'Config_v6'!$B$11,'Config_v6'!$B$36,0))))</x:f>
      </x:c>
    </x:row>
    <x:row r="525" ht="21" customHeight="1">
      <x:c r="A525" s="2" t="n">
        <x:v>38</x:v>
      </x:c>
      <x:c r="B525" s="2" t="str">
        <x:f>IF('Motor_Meciuri'!A43="","",'Motor_Meciuri'!A43)</x:f>
      </x:c>
      <x:c r="C525" s="2" t="str">
        <x:f>IF(B525="","",'Motor_Meciuri'!B43)</x:f>
      </x:c>
      <x:c r="D525" s="2" t="str">
        <x:f>IF(B525="","",'Motor_Meciuri'!D43)</x:f>
      </x:c>
      <x:c r="E525" s="2" t="str">
        <x:f>IF(B525="","",'Motor_Meciuri'!E43)</x:f>
      </x:c>
      <x:c r="F525" s="2" t="str">
        <x:v>O4,5</x:v>
      </x:c>
      <x:c r="G525" s="2" t="str">
        <x:v>OVER</x:v>
      </x:c>
      <x:c r="H525" s="2" t="n">
        <x:v>4</x:v>
      </x:c>
      <x:c r="I525" s="2" t="str">
        <x:f>IF(B525="","",'Motor_Meciuri'!H43)</x:f>
      </x:c>
      <x:c r="J525" s="2" t="str">
        <x:f>IF(B525="","",'Motor_Meciuri'!I43)</x:f>
      </x:c>
      <x:c r="K525" s="11" t="str">
        <x:f>IF(J525&lt;&gt;"PASS","",'Motor_Meciuri'!BD43)</x:f>
      </x:c>
      <x:c r="L525" s="11" t="str">
        <x:f>IF(J525&lt;&gt;"PASS","",'Motor_Meciuri'!AU43)</x:f>
      </x:c>
      <x:c r="M525" s="10" t="str">
        <x:f>IF(NOT(AND(J525="PASS",'Calibrare_Linii'!U7="VALID")),"",1-'Distributie'!AB43)</x:f>
      </x:c>
      <x:c r="N525" s="10" t="str">
        <x:f>IF(M525="","",MAX(0.01,MIN(0.99,0.5+(M525-0.5)*'Motor_Meciuri'!BG43*'Calibrare_Linii'!D7)))</x:f>
      </x:c>
      <x:c r="O525" s="10" t="str">
        <x:f>IF(M525="","",1-M525)</x:f>
      </x:c>
      <x:c r="P525" s="10" t="str">
        <x:f>IF(OR(NOT(AND(J525="PASS",'Calibrare_Linii'!U7="VALID")),AK525=0),""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*('Istoric_Nativ'!$Q$6:$Q$405&lt;=H525))/AK525)</x:f>
      </x:c>
      <x:c r="Q525" s="10" t="str">
        <x:f>IF(OR(NOT(AND(J525="PASS",'Calibrare_Linii'!U7="VALID")),AL525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M43)+((('Istoric_Nativ'!$E$6:$E$405='Input_Meci'!E43)+('Istoric_Nativ'!$F$6:$F$405='Input_Meci'!E43))&gt;0)*('Istoric_Nativ'!$D$6:$D$405&gt;='Motor_Meciuri'!BN43))&gt;0)*('Istoric_Nativ'!$Q$6:$Q$405&lt;=H525))/AL525)</x:f>
      </x:c>
      <x:c r="R525" s="10" t="str">
        <x:f>IF(OR(NOT(AND(J525="PASS",'Calibrare_Linii'!U7="VALID")),AM525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O43)+((('Istoric_Nativ'!$E$6:$E$405='Input_Meci'!E43)+('Istoric_Nativ'!$F$6:$F$405='Input_Meci'!E43))&gt;0)*('Istoric_Nativ'!$D$6:$D$405&gt;='Motor_Meciuri'!BP43))&gt;0)*('Istoric_Nativ'!$Q$6:$Q$405&lt;=H525))/AM525)</x:f>
      </x:c>
      <x:c r="S525" s="10" t="str">
        <x:f>IF(M525="","",MAX(O525,P525,Q525,R525))</x:f>
      </x:c>
      <x:c r="T525" s="11" t="str">
        <x:f>IF(M525="","",MIN(100,S525*100*'Config_v6'!$B$44+MIN(100,L525/'Config_v6'!$B$13*100)*'Config_v6'!$B$45+(100-'Motor_Meciuri'!BF43)*'Config_v6'!$B$46+'Motor_Meciuri'!BH43*100*'Config_v6'!$B$47))</x:f>
      </x:c>
      <x:c r="U525" s="2" t="str">
        <x:f>IF(T525="","",IF(T525&lt;=20,1,IF(T525&lt;=40,2,IF(T525&lt;=60,3,IF(T525&lt;=80,4,5)))))</x:f>
      </x:c>
      <x:c r="V525" s="2" t="str">
        <x:f>IF(M525="","",MAX(0,'Motor_Meciuri'!BF43-IF(W525="OOS PENDING",'Config_v6'!$B$35,0)-IF(L525&gt;'Config_v6'!$B$12,'Config_v6'!$B$37,IF(L525&gt;'Config_v6'!$B$11,'Config_v6'!$B$36,0))))</x:f>
      </x:c>
      <x:c r="W525" s="2" t="str">
        <x:f>IF(B525="","",IF(I525&lt;&gt;"READY","NOT RELEASED",IF(NOT(AND(J525="PASS",'Calibrare_Linii'!U7="VALID")),"INVALID",IF(NOT(AND('Calibrare_Linii'!S7="VALIDATED",AND('Calibrare_Linii'!H7=C525,ISNUMBER('Calibrare_Linii'!J7),'Calibrare_Linii'!J7&lt;='Input_Meci'!G43))),"OOS PENDING",IF(S525&lt;='Calibrare_Linii'!E7,"PASS",IF(S525&lt;='Calibrare_Linii'!F7,"PENALTY","WATCH"))))))</x:f>
      </x:c>
      <x:c r="X525" s="2" t="str">
        <x:f>IF(M525="","",IF(AND(AND(J525="PASS",'Calibrare_Linii'!U7="VALID"),'Motor_Meciuri'!K43=12,'Motor_Meciuri'!L43=12,'Motor_Meciuri'!M43="NO",'Motor_Meciuri'!BL43='Motor_Meciuri'!C43,AB525&gt;='Config_v6'!$B$50,AN525&gt;='Config_v6'!$B$51,T525&lt;='Config_v6'!$B$52,L525&lt;='Config_v6'!$B$53,ISNUMBER('Calibrare_Linii'!E7),S525&lt;='Calibrare_Linii'!E7,SUM(AK525:AM525)&gt;0),"CANDIDATE","NO"))</x:f>
      </x:c>
      <x:c r="Y525" s="2" t="str">
        <x:f>IF(B525="","",IF(I525&lt;&gt;"READY","NOT RELEASED",IF(AND(X525="CANDIDATE",V525&gt;='Config_v6'!$B$51,W525="PASS",'Calibrare_Linii'!T7="VALIDATED",AND('Calibrare_Linii'!H7=C525,ISNUMBER('Calibrare_Linii'!J7),'Calibrare_Linii'!J7&lt;='Input_Meci'!G43)),"PASS",IF(X525="CANDIDATE","OOS PENDING","FAIL"))))</x:f>
      </x:c>
      <x:c r="Z525" s="2" t="str">
        <x:f>IF(B525="","",IF(I525&lt;&gt;"READY","",IF(OR(NOT(AND(J525="PASS",'Calibrare_Linii'!U7="VALID")),L525&gt;'Config_v6'!$B$13,W525="WATCH"),5,IF(Y525="PASS",1,MIN(5,MAX('Config_v6'!$B$42,U525)+IF(W525="PENALTY",1,0))))))</x:f>
      </x:c>
      <x:c r="AA525" s="2" t="str">
        <x:f>IF(B525="","",IF(I525&lt;&gt;"READY","NOT RELEASED",IF(Z525=5,"NO BET",IF(OR(AB525&lt;'Config_v6'!$B$16,V525&lt;'Config_v6'!$B$18),"WATCH",IF(Z525=1,"DEFENSIV",IF(Z525=2,"PRUDENT",IF(Z525=3,"MODERAT","RIDICAT")))))))</x:f>
      </x:c>
      <x:c r="AB525" s="10" t="str">
        <x:f>IF(N525="","",MIN(N525,1-S525))</x:f>
      </x:c>
      <x:c r="AC525" s="2" t="str">
        <x:f>IF(AD525&lt;&gt;1,"",COUNTIFS($Z$524:$Z$537,"&lt;"&amp;Z525,$AD$524:$AD$537,1)+COUNTIFS($Z$524:$Z$537,Z525,$AB$524:$AB$537,"&gt;"&amp;AB525,$AD$524:$AD$537,1)+COUNTIFS($Z$524:$Z$537,Z525,$AB$524:$AB$537,AB525,$V$524:$V$537,"&gt;"&amp;V525,$AD$524:$AD$537,1)+COUNTIFS($Z$524:Z525,Z525,$AB$524:AB525,AB525,$V$524:V525,V525,$AD$524:AD525,1))</x:f>
      </x:c>
      <x:c r="AD525" s="2" t="n">
        <x:f>IF(OR(AA525="DEFENSIV",AA525="PRUDENT",AA525="MODERAT",AA525="RIDICAT"),1,0)</x:f>
        <x:v>0</x:v>
      </x:c>
      <x:c r="AE525" s="2" t="str">
        <x:f>IF(AD525&lt;&gt;1,"NO",IF(W525="PASS","YES",IF(W525="OOS PENDING","CONDITIONAL","NO")))</x:f>
        <x:v>NO</x:v>
      </x:c>
      <x:c r="AF525" s="2" t="n">
        <x:f>IF(AND(AD525=1,AC525=1,E525="LIVE"),1,0)</x:f>
        <x:v>0</x:v>
      </x:c>
      <x:c r="AG525" s="2" t="str">
        <x:f>IF(AF525&lt;&gt;1,"",'Dashboard'!P63)</x:f>
      </x:c>
      <x:c r="AH525" s="2" t="str">
        <x:f>IF(B525="","",IF(J525&lt;&gt;"PASS",'Motor_Meciuri'!J43,IF('Calibrare_Linii'!U7&lt;&gt;"VALID","Parametri linie invalizi",IF(L525&gt;'Config_v6'!$B$13,"Dispersie peste limita",IF(W525="WATCH","Failure peste limita",IF(AB525&lt;'Config_v6'!$B$16,"P finala sub prag",IF(V525&lt;'Config_v6'!$B$18,"Confidence sub prag",IF(E525="REPLAY","Exemplu retrospectiv; exclus din Top LIVE",IF(Y525="PASS","DEFENSIV validat",IF(W525="OOS PENDING","Eligibil; calibrare linie in monitorizare","Eligibil"))))))))))</x:f>
      </x:c>
      <x:c r="AI525" s="2" t="str">
        <x:f>IF(B525="","",'Calibrare_Linii'!V7)</x:f>
      </x:c>
      <x:c r="AJ525" s="2" t="str">
        <x:f>IF(B525="","",IF(AND('Calibrare_Linii'!T7="VALIDATED",AND('Calibrare_Linii'!H7=C525,ISNUMBER('Calibrare_Linii'!J7),'Calibrare_Linii'!J7&lt;='Input_Meci'!G43)),"DEFENSIVE VALIDATED",IF(AND('Calibrare_Linii'!S7="VALIDATED",AND('Calibrare_Linii'!H7=C525,ISNUMBER('Calibrare_Linii'!J7),'Calibrare_Linii'!J7&lt;='Input_Meci'!G43)),"TAIL VALIDATED","OOS PENDING")))</x:f>
      </x:c>
      <x:c r="AK525" s="2" t="n">
        <x:f>IF(J525&lt;&gt;"PASS",0,'Motor_Meciuri'!BR43)</x:f>
        <x:v>0</x:v>
      </x:c>
      <x:c r="AL525" s="2" t="n">
        <x:f>IF(J525&lt;&gt;"PASS",0,'Motor_Meciuri'!BS43)</x:f>
        <x:v>0</x:v>
      </x:c>
      <x:c r="AM525" s="2" t="n">
        <x:f>IF(J525&lt;&gt;"PASS",0,'Motor_Meciuri'!BT43)</x:f>
        <x:v>0</x:v>
      </x:c>
      <x:c r="AN525" s="2" t="str">
        <x:f>IF(M525="","",MAX(0,'Motor_Meciuri'!BF43-IF(L525&gt;'Config_v6'!$B$12,'Config_v6'!$B$37,IF(L525&gt;'Config_v6'!$B$11,'Config_v6'!$B$36,0))))</x:f>
      </x:c>
    </x:row>
    <x:row r="526" ht="21" customHeight="1">
      <x:c r="A526" s="2" t="n">
        <x:v>38</x:v>
      </x:c>
      <x:c r="B526" s="2" t="str">
        <x:f>IF('Motor_Meciuri'!A43="","",'Motor_Meciuri'!A43)</x:f>
      </x:c>
      <x:c r="C526" s="2" t="str">
        <x:f>IF(B526="","",'Motor_Meciuri'!B43)</x:f>
      </x:c>
      <x:c r="D526" s="2" t="str">
        <x:f>IF(B526="","",'Motor_Meciuri'!D43)</x:f>
      </x:c>
      <x:c r="E526" s="2" t="str">
        <x:f>IF(B526="","",'Motor_Meciuri'!E43)</x:f>
      </x:c>
      <x:c r="F526" s="2" t="str">
        <x:v>O5,5</x:v>
      </x:c>
      <x:c r="G526" s="2" t="str">
        <x:v>OVER</x:v>
      </x:c>
      <x:c r="H526" s="2" t="n">
        <x:v>5</x:v>
      </x:c>
      <x:c r="I526" s="2" t="str">
        <x:f>IF(B526="","",'Motor_Meciuri'!H43)</x:f>
      </x:c>
      <x:c r="J526" s="2" t="str">
        <x:f>IF(B526="","",'Motor_Meciuri'!I43)</x:f>
      </x:c>
      <x:c r="K526" s="11" t="str">
        <x:f>IF(J526&lt;&gt;"PASS","",'Motor_Meciuri'!BD43)</x:f>
      </x:c>
      <x:c r="L526" s="11" t="str">
        <x:f>IF(J526&lt;&gt;"PASS","",'Motor_Meciuri'!AU43)</x:f>
      </x:c>
      <x:c r="M526" s="10" t="str">
        <x:f>IF(NOT(AND(J526="PASS",'Calibrare_Linii'!U8="VALID")),"",1-'Distributie'!AC43)</x:f>
      </x:c>
      <x:c r="N526" s="10" t="str">
        <x:f>IF(M526="","",MAX(0.01,MIN(0.99,0.5+(M526-0.5)*'Motor_Meciuri'!BG43*'Calibrare_Linii'!D8)))</x:f>
      </x:c>
      <x:c r="O526" s="10" t="str">
        <x:f>IF(M526="","",1-M526)</x:f>
      </x:c>
      <x:c r="P526" s="10" t="str">
        <x:f>IF(OR(NOT(AND(J526="PASS",'Calibrare_Linii'!U8="VALID")),AK526=0),""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*('Istoric_Nativ'!$Q$6:$Q$405&lt;=H526))/AK526)</x:f>
      </x:c>
      <x:c r="Q526" s="10" t="str">
        <x:f>IF(OR(NOT(AND(J526="PASS",'Calibrare_Linii'!U8="VALID")),AL526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M43)+((('Istoric_Nativ'!$E$6:$E$405='Input_Meci'!E43)+('Istoric_Nativ'!$F$6:$F$405='Input_Meci'!E43))&gt;0)*('Istoric_Nativ'!$D$6:$D$405&gt;='Motor_Meciuri'!BN43))&gt;0)*('Istoric_Nativ'!$Q$6:$Q$405&lt;=H526))/AL526)</x:f>
      </x:c>
      <x:c r="R526" s="10" t="str">
        <x:f>IF(OR(NOT(AND(J526="PASS",'Calibrare_Linii'!U8="VALID")),AM526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O43)+((('Istoric_Nativ'!$E$6:$E$405='Input_Meci'!E43)+('Istoric_Nativ'!$F$6:$F$405='Input_Meci'!E43))&gt;0)*('Istoric_Nativ'!$D$6:$D$405&gt;='Motor_Meciuri'!BP43))&gt;0)*('Istoric_Nativ'!$Q$6:$Q$405&lt;=H526))/AM526)</x:f>
      </x:c>
      <x:c r="S526" s="10" t="str">
        <x:f>IF(M526="","",MAX(O526,P526,Q526,R526))</x:f>
      </x:c>
      <x:c r="T526" s="11" t="str">
        <x:f>IF(M526="","",MIN(100,S526*100*'Config_v6'!$B$44+MIN(100,L526/'Config_v6'!$B$13*100)*'Config_v6'!$B$45+(100-'Motor_Meciuri'!BF43)*'Config_v6'!$B$46+'Motor_Meciuri'!BH43*100*'Config_v6'!$B$47))</x:f>
      </x:c>
      <x:c r="U526" s="2" t="str">
        <x:f>IF(T526="","",IF(T526&lt;=20,1,IF(T526&lt;=40,2,IF(T526&lt;=60,3,IF(T526&lt;=80,4,5)))))</x:f>
      </x:c>
      <x:c r="V526" s="2" t="str">
        <x:f>IF(M526="","",MAX(0,'Motor_Meciuri'!BF43-IF(W526="OOS PENDING",'Config_v6'!$B$35,0)-IF(L526&gt;'Config_v6'!$B$12,'Config_v6'!$B$37,IF(L526&gt;'Config_v6'!$B$11,'Config_v6'!$B$36,0))))</x:f>
      </x:c>
      <x:c r="W526" s="2" t="str">
        <x:f>IF(B526="","",IF(I526&lt;&gt;"READY","NOT RELEASED",IF(NOT(AND(J526="PASS",'Calibrare_Linii'!U8="VALID")),"INVALID",IF(NOT(AND('Calibrare_Linii'!S8="VALIDATED",AND('Calibrare_Linii'!H8=C526,ISNUMBER('Calibrare_Linii'!J8),'Calibrare_Linii'!J8&lt;='Input_Meci'!G43))),"OOS PENDING",IF(S526&lt;='Calibrare_Linii'!E8,"PASS",IF(S526&lt;='Calibrare_Linii'!F8,"PENALTY","WATCH"))))))</x:f>
      </x:c>
      <x:c r="X526" s="2" t="str">
        <x:f>IF(M526="","",IF(AND(AND(J526="PASS",'Calibrare_Linii'!U8="VALID"),'Motor_Meciuri'!K43=12,'Motor_Meciuri'!L43=12,'Motor_Meciuri'!M43="NO",'Motor_Meciuri'!BL43='Motor_Meciuri'!C43,AB526&gt;='Config_v6'!$B$50,AN526&gt;='Config_v6'!$B$51,T526&lt;='Config_v6'!$B$52,L526&lt;='Config_v6'!$B$53,ISNUMBER('Calibrare_Linii'!E8),S526&lt;='Calibrare_Linii'!E8,SUM(AK526:AM526)&gt;0),"CANDIDATE","NO"))</x:f>
      </x:c>
      <x:c r="Y526" s="2" t="str">
        <x:f>IF(B526="","",IF(I526&lt;&gt;"READY","NOT RELEASED",IF(AND(X526="CANDIDATE",V526&gt;='Config_v6'!$B$51,W526="PASS",'Calibrare_Linii'!T8="VALIDATED",AND('Calibrare_Linii'!H8=C526,ISNUMBER('Calibrare_Linii'!J8),'Calibrare_Linii'!J8&lt;='Input_Meci'!G43)),"PASS",IF(X526="CANDIDATE","OOS PENDING","FAIL"))))</x:f>
      </x:c>
      <x:c r="Z526" s="2" t="str">
        <x:f>IF(B526="","",IF(I526&lt;&gt;"READY","",IF(OR(NOT(AND(J526="PASS",'Calibrare_Linii'!U8="VALID")),L526&gt;'Config_v6'!$B$13,W526="WATCH"),5,IF(Y526="PASS",1,MIN(5,MAX('Config_v6'!$B$42,U526)+IF(W526="PENALTY",1,0))))))</x:f>
      </x:c>
      <x:c r="AA526" s="2" t="str">
        <x:f>IF(B526="","",IF(I526&lt;&gt;"READY","NOT RELEASED",IF(Z526=5,"NO BET",IF(OR(AB526&lt;'Config_v6'!$B$16,V526&lt;'Config_v6'!$B$18),"WATCH",IF(Z526=1,"DEFENSIV",IF(Z526=2,"PRUDENT",IF(Z526=3,"MODERAT","RIDICAT")))))))</x:f>
      </x:c>
      <x:c r="AB526" s="10" t="str">
        <x:f>IF(N526="","",MIN(N526,1-S526))</x:f>
      </x:c>
      <x:c r="AC526" s="2" t="str">
        <x:f>IF(AD526&lt;&gt;1,"",COUNTIFS($Z$524:$Z$537,"&lt;"&amp;Z526,$AD$524:$AD$537,1)+COUNTIFS($Z$524:$Z$537,Z526,$AB$524:$AB$537,"&gt;"&amp;AB526,$AD$524:$AD$537,1)+COUNTIFS($Z$524:$Z$537,Z526,$AB$524:$AB$537,AB526,$V$524:$V$537,"&gt;"&amp;V526,$AD$524:$AD$537,1)+COUNTIFS($Z$524:Z526,Z526,$AB$524:AB526,AB526,$V$524:V526,V526,$AD$524:AD526,1))</x:f>
      </x:c>
      <x:c r="AD526" s="2" t="n">
        <x:f>IF(OR(AA526="DEFENSIV",AA526="PRUDENT",AA526="MODERAT",AA526="RIDICAT"),1,0)</x:f>
        <x:v>0</x:v>
      </x:c>
      <x:c r="AE526" s="2" t="str">
        <x:f>IF(AD526&lt;&gt;1,"NO",IF(W526="PASS","YES",IF(W526="OOS PENDING","CONDITIONAL","NO")))</x:f>
        <x:v>NO</x:v>
      </x:c>
      <x:c r="AF526" s="2" t="n">
        <x:f>IF(AND(AD526=1,AC526=1,E526="LIVE"),1,0)</x:f>
        <x:v>0</x:v>
      </x:c>
      <x:c r="AG526" s="2" t="str">
        <x:f>IF(AF526&lt;&gt;1,"",'Dashboard'!P63)</x:f>
      </x:c>
      <x:c r="AH526" s="2" t="str">
        <x:f>IF(B526="","",IF(J526&lt;&gt;"PASS",'Motor_Meciuri'!J43,IF('Calibrare_Linii'!U8&lt;&gt;"VALID","Parametri linie invalizi",IF(L526&gt;'Config_v6'!$B$13,"Dispersie peste limita",IF(W526="WATCH","Failure peste limita",IF(AB526&lt;'Config_v6'!$B$16,"P finala sub prag",IF(V526&lt;'Config_v6'!$B$18,"Confidence sub prag",IF(E526="REPLAY","Exemplu retrospectiv; exclus din Top LIVE",IF(Y526="PASS","DEFENSIV validat",IF(W526="OOS PENDING","Eligibil; calibrare linie in monitorizare","Eligibil"))))))))))</x:f>
      </x:c>
      <x:c r="AI526" s="2" t="str">
        <x:f>IF(B526="","",'Calibrare_Linii'!V8)</x:f>
      </x:c>
      <x:c r="AJ526" s="2" t="str">
        <x:f>IF(B526="","",IF(AND('Calibrare_Linii'!T8="VALIDATED",AND('Calibrare_Linii'!H8=C526,ISNUMBER('Calibrare_Linii'!J8),'Calibrare_Linii'!J8&lt;='Input_Meci'!G43)),"DEFENSIVE VALIDATED",IF(AND('Calibrare_Linii'!S8="VALIDATED",AND('Calibrare_Linii'!H8=C526,ISNUMBER('Calibrare_Linii'!J8),'Calibrare_Linii'!J8&lt;='Input_Meci'!G43)),"TAIL VALIDATED","OOS PENDING")))</x:f>
      </x:c>
      <x:c r="AK526" s="2" t="n">
        <x:f>IF(J526&lt;&gt;"PASS",0,'Motor_Meciuri'!BR43)</x:f>
        <x:v>0</x:v>
      </x:c>
      <x:c r="AL526" s="2" t="n">
        <x:f>IF(J526&lt;&gt;"PASS",0,'Motor_Meciuri'!BS43)</x:f>
        <x:v>0</x:v>
      </x:c>
      <x:c r="AM526" s="2" t="n">
        <x:f>IF(J526&lt;&gt;"PASS",0,'Motor_Meciuri'!BT43)</x:f>
        <x:v>0</x:v>
      </x:c>
      <x:c r="AN526" s="2" t="str">
        <x:f>IF(M526="","",MAX(0,'Motor_Meciuri'!BF43-IF(L526&gt;'Config_v6'!$B$12,'Config_v6'!$B$37,IF(L526&gt;'Config_v6'!$B$11,'Config_v6'!$B$36,0))))</x:f>
      </x:c>
    </x:row>
    <x:row r="527" ht="21" customHeight="1">
      <x:c r="A527" s="2" t="n">
        <x:v>38</x:v>
      </x:c>
      <x:c r="B527" s="2" t="str">
        <x:f>IF('Motor_Meciuri'!A43="","",'Motor_Meciuri'!A43)</x:f>
      </x:c>
      <x:c r="C527" s="2" t="str">
        <x:f>IF(B527="","",'Motor_Meciuri'!B43)</x:f>
      </x:c>
      <x:c r="D527" s="2" t="str">
        <x:f>IF(B527="","",'Motor_Meciuri'!D43)</x:f>
      </x:c>
      <x:c r="E527" s="2" t="str">
        <x:f>IF(B527="","",'Motor_Meciuri'!E43)</x:f>
      </x:c>
      <x:c r="F527" s="2" t="str">
        <x:v>O6,5</x:v>
      </x:c>
      <x:c r="G527" s="2" t="str">
        <x:v>OVER</x:v>
      </x:c>
      <x:c r="H527" s="2" t="n">
        <x:v>6</x:v>
      </x:c>
      <x:c r="I527" s="2" t="str">
        <x:f>IF(B527="","",'Motor_Meciuri'!H43)</x:f>
      </x:c>
      <x:c r="J527" s="2" t="str">
        <x:f>IF(B527="","",'Motor_Meciuri'!I43)</x:f>
      </x:c>
      <x:c r="K527" s="11" t="str">
        <x:f>IF(J527&lt;&gt;"PASS","",'Motor_Meciuri'!BD43)</x:f>
      </x:c>
      <x:c r="L527" s="11" t="str">
        <x:f>IF(J527&lt;&gt;"PASS","",'Motor_Meciuri'!AU43)</x:f>
      </x:c>
      <x:c r="M527" s="10" t="str">
        <x:f>IF(NOT(AND(J527="PASS",'Calibrare_Linii'!U9="VALID")),"",1-'Distributie'!AD43)</x:f>
      </x:c>
      <x:c r="N527" s="10" t="str">
        <x:f>IF(M527="","",MAX(0.01,MIN(0.99,0.5+(M527-0.5)*'Motor_Meciuri'!BG43*'Calibrare_Linii'!D9)))</x:f>
      </x:c>
      <x:c r="O527" s="10" t="str">
        <x:f>IF(M527="","",1-M527)</x:f>
      </x:c>
      <x:c r="P527" s="10" t="str">
        <x:f>IF(OR(NOT(AND(J527="PASS",'Calibrare_Linii'!U9="VALID")),AK527=0),""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*('Istoric_Nativ'!$Q$6:$Q$405&lt;=H527))/AK527)</x:f>
      </x:c>
      <x:c r="Q527" s="10" t="str">
        <x:f>IF(OR(NOT(AND(J527="PASS",'Calibrare_Linii'!U9="VALID")),AL527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M43)+((('Istoric_Nativ'!$E$6:$E$405='Input_Meci'!E43)+('Istoric_Nativ'!$F$6:$F$405='Input_Meci'!E43))&gt;0)*('Istoric_Nativ'!$D$6:$D$405&gt;='Motor_Meciuri'!BN43))&gt;0)*('Istoric_Nativ'!$Q$6:$Q$405&lt;=H527))/AL527)</x:f>
      </x:c>
      <x:c r="R527" s="10" t="str">
        <x:f>IF(OR(NOT(AND(J527="PASS",'Calibrare_Linii'!U9="VALID")),AM527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O43)+((('Istoric_Nativ'!$E$6:$E$405='Input_Meci'!E43)+('Istoric_Nativ'!$F$6:$F$405='Input_Meci'!E43))&gt;0)*('Istoric_Nativ'!$D$6:$D$405&gt;='Motor_Meciuri'!BP43))&gt;0)*('Istoric_Nativ'!$Q$6:$Q$405&lt;=H527))/AM527)</x:f>
      </x:c>
      <x:c r="S527" s="10" t="str">
        <x:f>IF(M527="","",MAX(O527,P527,Q527,R527))</x:f>
      </x:c>
      <x:c r="T527" s="11" t="str">
        <x:f>IF(M527="","",MIN(100,S527*100*'Config_v6'!$B$44+MIN(100,L527/'Config_v6'!$B$13*100)*'Config_v6'!$B$45+(100-'Motor_Meciuri'!BF43)*'Config_v6'!$B$46+'Motor_Meciuri'!BH43*100*'Config_v6'!$B$47))</x:f>
      </x:c>
      <x:c r="U527" s="2" t="str">
        <x:f>IF(T527="","",IF(T527&lt;=20,1,IF(T527&lt;=40,2,IF(T527&lt;=60,3,IF(T527&lt;=80,4,5)))))</x:f>
      </x:c>
      <x:c r="V527" s="2" t="str">
        <x:f>IF(M527="","",MAX(0,'Motor_Meciuri'!BF43-IF(W527="OOS PENDING",'Config_v6'!$B$35,0)-IF(L527&gt;'Config_v6'!$B$12,'Config_v6'!$B$37,IF(L527&gt;'Config_v6'!$B$11,'Config_v6'!$B$36,0))))</x:f>
      </x:c>
      <x:c r="W527" s="2" t="str">
        <x:f>IF(B527="","",IF(I527&lt;&gt;"READY","NOT RELEASED",IF(NOT(AND(J527="PASS",'Calibrare_Linii'!U9="VALID")),"INVALID",IF(NOT(AND('Calibrare_Linii'!S9="VALIDATED",AND('Calibrare_Linii'!H9=C527,ISNUMBER('Calibrare_Linii'!J9),'Calibrare_Linii'!J9&lt;='Input_Meci'!G43))),"OOS PENDING",IF(S527&lt;='Calibrare_Linii'!E9,"PASS",IF(S527&lt;='Calibrare_Linii'!F9,"PENALTY","WATCH"))))))</x:f>
      </x:c>
      <x:c r="X527" s="2" t="str">
        <x:f>IF(M527="","",IF(AND(AND(J527="PASS",'Calibrare_Linii'!U9="VALID"),'Motor_Meciuri'!K43=12,'Motor_Meciuri'!L43=12,'Motor_Meciuri'!M43="NO",'Motor_Meciuri'!BL43='Motor_Meciuri'!C43,AB527&gt;='Config_v6'!$B$50,AN527&gt;='Config_v6'!$B$51,T527&lt;='Config_v6'!$B$52,L527&lt;='Config_v6'!$B$53,ISNUMBER('Calibrare_Linii'!E9),S527&lt;='Calibrare_Linii'!E9,SUM(AK527:AM527)&gt;0),"CANDIDATE","NO"))</x:f>
      </x:c>
      <x:c r="Y527" s="2" t="str">
        <x:f>IF(B527="","",IF(I527&lt;&gt;"READY","NOT RELEASED",IF(AND(X527="CANDIDATE",V527&gt;='Config_v6'!$B$51,W527="PASS",'Calibrare_Linii'!T9="VALIDATED",AND('Calibrare_Linii'!H9=C527,ISNUMBER('Calibrare_Linii'!J9),'Calibrare_Linii'!J9&lt;='Input_Meci'!G43)),"PASS",IF(X527="CANDIDATE","OOS PENDING","FAIL"))))</x:f>
      </x:c>
      <x:c r="Z527" s="2" t="str">
        <x:f>IF(B527="","",IF(I527&lt;&gt;"READY","",IF(OR(NOT(AND(J527="PASS",'Calibrare_Linii'!U9="VALID")),L527&gt;'Config_v6'!$B$13,W527="WATCH"),5,IF(Y527="PASS",1,MIN(5,MAX('Config_v6'!$B$42,U527)+IF(W527="PENALTY",1,0))))))</x:f>
      </x:c>
      <x:c r="AA527" s="2" t="str">
        <x:f>IF(B527="","",IF(I527&lt;&gt;"READY","NOT RELEASED",IF(Z527=5,"NO BET",IF(OR(AB527&lt;'Config_v6'!$B$16,V527&lt;'Config_v6'!$B$18),"WATCH",IF(Z527=1,"DEFENSIV",IF(Z527=2,"PRUDENT",IF(Z527=3,"MODERAT","RIDICAT")))))))</x:f>
      </x:c>
      <x:c r="AB527" s="10" t="str">
        <x:f>IF(N527="","",MIN(N527,1-S527))</x:f>
      </x:c>
      <x:c r="AC527" s="2" t="str">
        <x:f>IF(AD527&lt;&gt;1,"",COUNTIFS($Z$524:$Z$537,"&lt;"&amp;Z527,$AD$524:$AD$537,1)+COUNTIFS($Z$524:$Z$537,Z527,$AB$524:$AB$537,"&gt;"&amp;AB527,$AD$524:$AD$537,1)+COUNTIFS($Z$524:$Z$537,Z527,$AB$524:$AB$537,AB527,$V$524:$V$537,"&gt;"&amp;V527,$AD$524:$AD$537,1)+COUNTIFS($Z$524:Z527,Z527,$AB$524:AB527,AB527,$V$524:V527,V527,$AD$524:AD527,1))</x:f>
      </x:c>
      <x:c r="AD527" s="2" t="n">
        <x:f>IF(OR(AA527="DEFENSIV",AA527="PRUDENT",AA527="MODERAT",AA527="RIDICAT"),1,0)</x:f>
        <x:v>0</x:v>
      </x:c>
      <x:c r="AE527" s="2" t="str">
        <x:f>IF(AD527&lt;&gt;1,"NO",IF(W527="PASS","YES",IF(W527="OOS PENDING","CONDITIONAL","NO")))</x:f>
        <x:v>NO</x:v>
      </x:c>
      <x:c r="AF527" s="2" t="n">
        <x:f>IF(AND(AD527=1,AC527=1,E527="LIVE"),1,0)</x:f>
        <x:v>0</x:v>
      </x:c>
      <x:c r="AG527" s="2" t="str">
        <x:f>IF(AF527&lt;&gt;1,"",'Dashboard'!P63)</x:f>
      </x:c>
      <x:c r="AH527" s="2" t="str">
        <x:f>IF(B527="","",IF(J527&lt;&gt;"PASS",'Motor_Meciuri'!J43,IF('Calibrare_Linii'!U9&lt;&gt;"VALID","Parametri linie invalizi",IF(L527&gt;'Config_v6'!$B$13,"Dispersie peste limita",IF(W527="WATCH","Failure peste limita",IF(AB527&lt;'Config_v6'!$B$16,"P finala sub prag",IF(V527&lt;'Config_v6'!$B$18,"Confidence sub prag",IF(E527="REPLAY","Exemplu retrospectiv; exclus din Top LIVE",IF(Y527="PASS","DEFENSIV validat",IF(W527="OOS PENDING","Eligibil; calibrare linie in monitorizare","Eligibil"))))))))))</x:f>
      </x:c>
      <x:c r="AI527" s="2" t="str">
        <x:f>IF(B527="","",'Calibrare_Linii'!V9)</x:f>
      </x:c>
      <x:c r="AJ527" s="2" t="str">
        <x:f>IF(B527="","",IF(AND('Calibrare_Linii'!T9="VALIDATED",AND('Calibrare_Linii'!H9=C527,ISNUMBER('Calibrare_Linii'!J9),'Calibrare_Linii'!J9&lt;='Input_Meci'!G43)),"DEFENSIVE VALIDATED",IF(AND('Calibrare_Linii'!S9="VALIDATED",AND('Calibrare_Linii'!H9=C527,ISNUMBER('Calibrare_Linii'!J9),'Calibrare_Linii'!J9&lt;='Input_Meci'!G43)),"TAIL VALIDATED","OOS PENDING")))</x:f>
      </x:c>
      <x:c r="AK527" s="2" t="n">
        <x:f>IF(J527&lt;&gt;"PASS",0,'Motor_Meciuri'!BR43)</x:f>
        <x:v>0</x:v>
      </x:c>
      <x:c r="AL527" s="2" t="n">
        <x:f>IF(J527&lt;&gt;"PASS",0,'Motor_Meciuri'!BS43)</x:f>
        <x:v>0</x:v>
      </x:c>
      <x:c r="AM527" s="2" t="n">
        <x:f>IF(J527&lt;&gt;"PASS",0,'Motor_Meciuri'!BT43)</x:f>
        <x:v>0</x:v>
      </x:c>
      <x:c r="AN527" s="2" t="str">
        <x:f>IF(M527="","",MAX(0,'Motor_Meciuri'!BF43-IF(L527&gt;'Config_v6'!$B$12,'Config_v6'!$B$37,IF(L527&gt;'Config_v6'!$B$11,'Config_v6'!$B$36,0))))</x:f>
      </x:c>
    </x:row>
    <x:row r="528" ht="21" customHeight="1">
      <x:c r="A528" s="2" t="n">
        <x:v>38</x:v>
      </x:c>
      <x:c r="B528" s="2" t="str">
        <x:f>IF('Motor_Meciuri'!A43="","",'Motor_Meciuri'!A43)</x:f>
      </x:c>
      <x:c r="C528" s="2" t="str">
        <x:f>IF(B528="","",'Motor_Meciuri'!B43)</x:f>
      </x:c>
      <x:c r="D528" s="2" t="str">
        <x:f>IF(B528="","",'Motor_Meciuri'!D43)</x:f>
      </x:c>
      <x:c r="E528" s="2" t="str">
        <x:f>IF(B528="","",'Motor_Meciuri'!E43)</x:f>
      </x:c>
      <x:c r="F528" s="2" t="str">
        <x:v>O7,5</x:v>
      </x:c>
      <x:c r="G528" s="2" t="str">
        <x:v>OVER</x:v>
      </x:c>
      <x:c r="H528" s="2" t="n">
        <x:v>7</x:v>
      </x:c>
      <x:c r="I528" s="2" t="str">
        <x:f>IF(B528="","",'Motor_Meciuri'!H43)</x:f>
      </x:c>
      <x:c r="J528" s="2" t="str">
        <x:f>IF(B528="","",'Motor_Meciuri'!I43)</x:f>
      </x:c>
      <x:c r="K528" s="11" t="str">
        <x:f>IF(J528&lt;&gt;"PASS","",'Motor_Meciuri'!BD43)</x:f>
      </x:c>
      <x:c r="L528" s="11" t="str">
        <x:f>IF(J528&lt;&gt;"PASS","",'Motor_Meciuri'!AU43)</x:f>
      </x:c>
      <x:c r="M528" s="10" t="str">
        <x:f>IF(NOT(AND(J528="PASS",'Calibrare_Linii'!U10="VALID")),"",1-'Distributie'!AE43)</x:f>
      </x:c>
      <x:c r="N528" s="10" t="str">
        <x:f>IF(M528="","",MAX(0.01,MIN(0.99,0.5+(M528-0.5)*'Motor_Meciuri'!BG43*'Calibrare_Linii'!D10)))</x:f>
      </x:c>
      <x:c r="O528" s="10" t="str">
        <x:f>IF(M528="","",1-M528)</x:f>
      </x:c>
      <x:c r="P528" s="10" t="str">
        <x:f>IF(OR(NOT(AND(J528="PASS",'Calibrare_Linii'!U10="VALID")),AK528=0),""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*('Istoric_Nativ'!$Q$6:$Q$405&lt;=H528))/AK528)</x:f>
      </x:c>
      <x:c r="Q528" s="10" t="str">
        <x:f>IF(OR(NOT(AND(J528="PASS",'Calibrare_Linii'!U10="VALID")),AL528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M43)+((('Istoric_Nativ'!$E$6:$E$405='Input_Meci'!E43)+('Istoric_Nativ'!$F$6:$F$405='Input_Meci'!E43))&gt;0)*('Istoric_Nativ'!$D$6:$D$405&gt;='Motor_Meciuri'!BN43))&gt;0)*('Istoric_Nativ'!$Q$6:$Q$405&lt;=H528))/AL528)</x:f>
      </x:c>
      <x:c r="R528" s="10" t="str">
        <x:f>IF(OR(NOT(AND(J528="PASS",'Calibrare_Linii'!U10="VALID")),AM528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O43)+((('Istoric_Nativ'!$E$6:$E$405='Input_Meci'!E43)+('Istoric_Nativ'!$F$6:$F$405='Input_Meci'!E43))&gt;0)*('Istoric_Nativ'!$D$6:$D$405&gt;='Motor_Meciuri'!BP43))&gt;0)*('Istoric_Nativ'!$Q$6:$Q$405&lt;=H528))/AM528)</x:f>
      </x:c>
      <x:c r="S528" s="10" t="str">
        <x:f>IF(M528="","",MAX(O528,P528,Q528,R528))</x:f>
      </x:c>
      <x:c r="T528" s="11" t="str">
        <x:f>IF(M528="","",MIN(100,S528*100*'Config_v6'!$B$44+MIN(100,L528/'Config_v6'!$B$13*100)*'Config_v6'!$B$45+(100-'Motor_Meciuri'!BF43)*'Config_v6'!$B$46+'Motor_Meciuri'!BH43*100*'Config_v6'!$B$47))</x:f>
      </x:c>
      <x:c r="U528" s="2" t="str">
        <x:f>IF(T528="","",IF(T528&lt;=20,1,IF(T528&lt;=40,2,IF(T528&lt;=60,3,IF(T528&lt;=80,4,5)))))</x:f>
      </x:c>
      <x:c r="V528" s="2" t="str">
        <x:f>IF(M528="","",MAX(0,'Motor_Meciuri'!BF43-IF(W528="OOS PENDING",'Config_v6'!$B$35,0)-IF(L528&gt;'Config_v6'!$B$12,'Config_v6'!$B$37,IF(L528&gt;'Config_v6'!$B$11,'Config_v6'!$B$36,0))))</x:f>
      </x:c>
      <x:c r="W528" s="2" t="str">
        <x:f>IF(B528="","",IF(I528&lt;&gt;"READY","NOT RELEASED",IF(NOT(AND(J528="PASS",'Calibrare_Linii'!U10="VALID")),"INVALID",IF(NOT(AND('Calibrare_Linii'!S10="VALIDATED",AND('Calibrare_Linii'!H10=C528,ISNUMBER('Calibrare_Linii'!J10),'Calibrare_Linii'!J10&lt;='Input_Meci'!G43))),"OOS PENDING",IF(S528&lt;='Calibrare_Linii'!E10,"PASS",IF(S528&lt;='Calibrare_Linii'!F10,"PENALTY","WATCH"))))))</x:f>
      </x:c>
      <x:c r="X528" s="2" t="str">
        <x:f>IF(M528="","",IF(AND(AND(J528="PASS",'Calibrare_Linii'!U10="VALID"),'Motor_Meciuri'!K43=12,'Motor_Meciuri'!L43=12,'Motor_Meciuri'!M43="NO",'Motor_Meciuri'!BL43='Motor_Meciuri'!C43,AB528&gt;='Config_v6'!$B$50,AN528&gt;='Config_v6'!$B$51,T528&lt;='Config_v6'!$B$52,L528&lt;='Config_v6'!$B$53,ISNUMBER('Calibrare_Linii'!E10),S528&lt;='Calibrare_Linii'!E10,SUM(AK528:AM528)&gt;0),"CANDIDATE","NO"))</x:f>
      </x:c>
      <x:c r="Y528" s="2" t="str">
        <x:f>IF(B528="","",IF(I528&lt;&gt;"READY","NOT RELEASED",IF(AND(X528="CANDIDATE",V528&gt;='Config_v6'!$B$51,W528="PASS",'Calibrare_Linii'!T10="VALIDATED",AND('Calibrare_Linii'!H10=C528,ISNUMBER('Calibrare_Linii'!J10),'Calibrare_Linii'!J10&lt;='Input_Meci'!G43)),"PASS",IF(X528="CANDIDATE","OOS PENDING","FAIL"))))</x:f>
      </x:c>
      <x:c r="Z528" s="2" t="str">
        <x:f>IF(B528="","",IF(I528&lt;&gt;"READY","",IF(OR(NOT(AND(J528="PASS",'Calibrare_Linii'!U10="VALID")),L528&gt;'Config_v6'!$B$13,W528="WATCH"),5,IF(Y528="PASS",1,MIN(5,MAX('Config_v6'!$B$42,U528)+IF(W528="PENALTY",1,0))))))</x:f>
      </x:c>
      <x:c r="AA528" s="2" t="str">
        <x:f>IF(B528="","",IF(I528&lt;&gt;"READY","NOT RELEASED",IF(Z528=5,"NO BET",IF(OR(AB528&lt;'Config_v6'!$B$16,V528&lt;'Config_v6'!$B$18),"WATCH",IF(Z528=1,"DEFENSIV",IF(Z528=2,"PRUDENT",IF(Z528=3,"MODERAT","RIDICAT")))))))</x:f>
      </x:c>
      <x:c r="AB528" s="10" t="str">
        <x:f>IF(N528="","",MIN(N528,1-S528))</x:f>
      </x:c>
      <x:c r="AC528" s="2" t="str">
        <x:f>IF(AD528&lt;&gt;1,"",COUNTIFS($Z$524:$Z$537,"&lt;"&amp;Z528,$AD$524:$AD$537,1)+COUNTIFS($Z$524:$Z$537,Z528,$AB$524:$AB$537,"&gt;"&amp;AB528,$AD$524:$AD$537,1)+COUNTIFS($Z$524:$Z$537,Z528,$AB$524:$AB$537,AB528,$V$524:$V$537,"&gt;"&amp;V528,$AD$524:$AD$537,1)+COUNTIFS($Z$524:Z528,Z528,$AB$524:AB528,AB528,$V$524:V528,V528,$AD$524:AD528,1))</x:f>
      </x:c>
      <x:c r="AD528" s="2" t="n">
        <x:f>IF(OR(AA528="DEFENSIV",AA528="PRUDENT",AA528="MODERAT",AA528="RIDICAT"),1,0)</x:f>
        <x:v>0</x:v>
      </x:c>
      <x:c r="AE528" s="2" t="str">
        <x:f>IF(AD528&lt;&gt;1,"NO",IF(W528="PASS","YES",IF(W528="OOS PENDING","CONDITIONAL","NO")))</x:f>
        <x:v>NO</x:v>
      </x:c>
      <x:c r="AF528" s="2" t="n">
        <x:f>IF(AND(AD528=1,AC528=1,E528="LIVE"),1,0)</x:f>
        <x:v>0</x:v>
      </x:c>
      <x:c r="AG528" s="2" t="str">
        <x:f>IF(AF528&lt;&gt;1,"",'Dashboard'!P63)</x:f>
      </x:c>
      <x:c r="AH528" s="2" t="str">
        <x:f>IF(B528="","",IF(J528&lt;&gt;"PASS",'Motor_Meciuri'!J43,IF('Calibrare_Linii'!U10&lt;&gt;"VALID","Parametri linie invalizi",IF(L528&gt;'Config_v6'!$B$13,"Dispersie peste limita",IF(W528="WATCH","Failure peste limita",IF(AB528&lt;'Config_v6'!$B$16,"P finala sub prag",IF(V528&lt;'Config_v6'!$B$18,"Confidence sub prag",IF(E528="REPLAY","Exemplu retrospectiv; exclus din Top LIVE",IF(Y528="PASS","DEFENSIV validat",IF(W528="OOS PENDING","Eligibil; calibrare linie in monitorizare","Eligibil"))))))))))</x:f>
      </x:c>
      <x:c r="AI528" s="2" t="str">
        <x:f>IF(B528="","",'Calibrare_Linii'!V10)</x:f>
      </x:c>
      <x:c r="AJ528" s="2" t="str">
        <x:f>IF(B528="","",IF(AND('Calibrare_Linii'!T10="VALIDATED",AND('Calibrare_Linii'!H10=C528,ISNUMBER('Calibrare_Linii'!J10),'Calibrare_Linii'!J10&lt;='Input_Meci'!G43)),"DEFENSIVE VALIDATED",IF(AND('Calibrare_Linii'!S10="VALIDATED",AND('Calibrare_Linii'!H10=C528,ISNUMBER('Calibrare_Linii'!J10),'Calibrare_Linii'!J10&lt;='Input_Meci'!G43)),"TAIL VALIDATED","OOS PENDING")))</x:f>
      </x:c>
      <x:c r="AK528" s="2" t="n">
        <x:f>IF(J528&lt;&gt;"PASS",0,'Motor_Meciuri'!BR43)</x:f>
        <x:v>0</x:v>
      </x:c>
      <x:c r="AL528" s="2" t="n">
        <x:f>IF(J528&lt;&gt;"PASS",0,'Motor_Meciuri'!BS43)</x:f>
        <x:v>0</x:v>
      </x:c>
      <x:c r="AM528" s="2" t="n">
        <x:f>IF(J528&lt;&gt;"PASS",0,'Motor_Meciuri'!BT43)</x:f>
        <x:v>0</x:v>
      </x:c>
      <x:c r="AN528" s="2" t="str">
        <x:f>IF(M528="","",MAX(0,'Motor_Meciuri'!BF43-IF(L528&gt;'Config_v6'!$B$12,'Config_v6'!$B$37,IF(L528&gt;'Config_v6'!$B$11,'Config_v6'!$B$36,0))))</x:f>
      </x:c>
    </x:row>
    <x:row r="529" ht="21" customHeight="1">
      <x:c r="A529" s="2" t="n">
        <x:v>38</x:v>
      </x:c>
      <x:c r="B529" s="2" t="str">
        <x:f>IF('Motor_Meciuri'!A43="","",'Motor_Meciuri'!A43)</x:f>
      </x:c>
      <x:c r="C529" s="2" t="str">
        <x:f>IF(B529="","",'Motor_Meciuri'!B43)</x:f>
      </x:c>
      <x:c r="D529" s="2" t="str">
        <x:f>IF(B529="","",'Motor_Meciuri'!D43)</x:f>
      </x:c>
      <x:c r="E529" s="2" t="str">
        <x:f>IF(B529="","",'Motor_Meciuri'!E43)</x:f>
      </x:c>
      <x:c r="F529" s="2" t="str">
        <x:v>O8,5</x:v>
      </x:c>
      <x:c r="G529" s="2" t="str">
        <x:v>OVER</x:v>
      </x:c>
      <x:c r="H529" s="2" t="n">
        <x:v>8</x:v>
      </x:c>
      <x:c r="I529" s="2" t="str">
        <x:f>IF(B529="","",'Motor_Meciuri'!H43)</x:f>
      </x:c>
      <x:c r="J529" s="2" t="str">
        <x:f>IF(B529="","",'Motor_Meciuri'!I43)</x:f>
      </x:c>
      <x:c r="K529" s="11" t="str">
        <x:f>IF(J529&lt;&gt;"PASS","",'Motor_Meciuri'!BD43)</x:f>
      </x:c>
      <x:c r="L529" s="11" t="str">
        <x:f>IF(J529&lt;&gt;"PASS","",'Motor_Meciuri'!AU43)</x:f>
      </x:c>
      <x:c r="M529" s="10" t="str">
        <x:f>IF(NOT(AND(J529="PASS",'Calibrare_Linii'!U11="VALID")),"",1-'Distributie'!AF43)</x:f>
      </x:c>
      <x:c r="N529" s="10" t="str">
        <x:f>IF(M529="","",MAX(0.01,MIN(0.99,0.5+(M529-0.5)*'Motor_Meciuri'!BG43*'Calibrare_Linii'!D11)))</x:f>
      </x:c>
      <x:c r="O529" s="10" t="str">
        <x:f>IF(M529="","",1-M529)</x:f>
      </x:c>
      <x:c r="P529" s="10" t="str">
        <x:f>IF(OR(NOT(AND(J529="PASS",'Calibrare_Linii'!U11="VALID")),AK529=0),""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*('Istoric_Nativ'!$Q$6:$Q$405&lt;=H529))/AK529)</x:f>
      </x:c>
      <x:c r="Q529" s="10" t="str">
        <x:f>IF(OR(NOT(AND(J529="PASS",'Calibrare_Linii'!U11="VALID")),AL529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M43)+((('Istoric_Nativ'!$E$6:$E$405='Input_Meci'!E43)+('Istoric_Nativ'!$F$6:$F$405='Input_Meci'!E43))&gt;0)*('Istoric_Nativ'!$D$6:$D$405&gt;='Motor_Meciuri'!BN43))&gt;0)*('Istoric_Nativ'!$Q$6:$Q$405&lt;=H529))/AL529)</x:f>
      </x:c>
      <x:c r="R529" s="10" t="str">
        <x:f>IF(OR(NOT(AND(J529="PASS",'Calibrare_Linii'!U11="VALID")),AM529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O43)+((('Istoric_Nativ'!$E$6:$E$405='Input_Meci'!E43)+('Istoric_Nativ'!$F$6:$F$405='Input_Meci'!E43))&gt;0)*('Istoric_Nativ'!$D$6:$D$405&gt;='Motor_Meciuri'!BP43))&gt;0)*('Istoric_Nativ'!$Q$6:$Q$405&lt;=H529))/AM529)</x:f>
      </x:c>
      <x:c r="S529" s="10" t="str">
        <x:f>IF(M529="","",MAX(O529,P529,Q529,R529))</x:f>
      </x:c>
      <x:c r="T529" s="11" t="str">
        <x:f>IF(M529="","",MIN(100,S529*100*'Config_v6'!$B$44+MIN(100,L529/'Config_v6'!$B$13*100)*'Config_v6'!$B$45+(100-'Motor_Meciuri'!BF43)*'Config_v6'!$B$46+'Motor_Meciuri'!BH43*100*'Config_v6'!$B$47))</x:f>
      </x:c>
      <x:c r="U529" s="2" t="str">
        <x:f>IF(T529="","",IF(T529&lt;=20,1,IF(T529&lt;=40,2,IF(T529&lt;=60,3,IF(T529&lt;=80,4,5)))))</x:f>
      </x:c>
      <x:c r="V529" s="2" t="str">
        <x:f>IF(M529="","",MAX(0,'Motor_Meciuri'!BF43-IF(W529="OOS PENDING",'Config_v6'!$B$35,0)-IF(L529&gt;'Config_v6'!$B$12,'Config_v6'!$B$37,IF(L529&gt;'Config_v6'!$B$11,'Config_v6'!$B$36,0))))</x:f>
      </x:c>
      <x:c r="W529" s="2" t="str">
        <x:f>IF(B529="","",IF(I529&lt;&gt;"READY","NOT RELEASED",IF(NOT(AND(J529="PASS",'Calibrare_Linii'!U11="VALID")),"INVALID",IF(NOT(AND('Calibrare_Linii'!S11="VALIDATED",AND('Calibrare_Linii'!H11=C529,ISNUMBER('Calibrare_Linii'!J11),'Calibrare_Linii'!J11&lt;='Input_Meci'!G43))),"OOS PENDING",IF(S529&lt;='Calibrare_Linii'!E11,"PASS",IF(S529&lt;='Calibrare_Linii'!F11,"PENALTY","WATCH"))))))</x:f>
      </x:c>
      <x:c r="X529" s="2" t="str">
        <x:f>IF(M529="","",IF(AND(AND(J529="PASS",'Calibrare_Linii'!U11="VALID"),'Motor_Meciuri'!K43=12,'Motor_Meciuri'!L43=12,'Motor_Meciuri'!M43="NO",'Motor_Meciuri'!BL43='Motor_Meciuri'!C43,AB529&gt;='Config_v6'!$B$50,AN529&gt;='Config_v6'!$B$51,T529&lt;='Config_v6'!$B$52,L529&lt;='Config_v6'!$B$53,ISNUMBER('Calibrare_Linii'!E11),S529&lt;='Calibrare_Linii'!E11,SUM(AK529:AM529)&gt;0),"CANDIDATE","NO"))</x:f>
      </x:c>
      <x:c r="Y529" s="2" t="str">
        <x:f>IF(B529="","",IF(I529&lt;&gt;"READY","NOT RELEASED",IF(AND(X529="CANDIDATE",V529&gt;='Config_v6'!$B$51,W529="PASS",'Calibrare_Linii'!T11="VALIDATED",AND('Calibrare_Linii'!H11=C529,ISNUMBER('Calibrare_Linii'!J11),'Calibrare_Linii'!J11&lt;='Input_Meci'!G43)),"PASS",IF(X529="CANDIDATE","OOS PENDING","FAIL"))))</x:f>
      </x:c>
      <x:c r="Z529" s="2" t="str">
        <x:f>IF(B529="","",IF(I529&lt;&gt;"READY","",IF(OR(NOT(AND(J529="PASS",'Calibrare_Linii'!U11="VALID")),L529&gt;'Config_v6'!$B$13,W529="WATCH"),5,IF(Y529="PASS",1,MIN(5,MAX('Config_v6'!$B$42,U529)+IF(W529="PENALTY",1,0))))))</x:f>
      </x:c>
      <x:c r="AA529" s="2" t="str">
        <x:f>IF(B529="","",IF(I529&lt;&gt;"READY","NOT RELEASED",IF(Z529=5,"NO BET",IF(OR(AB529&lt;'Config_v6'!$B$16,V529&lt;'Config_v6'!$B$18),"WATCH",IF(Z529=1,"DEFENSIV",IF(Z529=2,"PRUDENT",IF(Z529=3,"MODERAT","RIDICAT")))))))</x:f>
      </x:c>
      <x:c r="AB529" s="10" t="str">
        <x:f>IF(N529="","",MIN(N529,1-S529))</x:f>
      </x:c>
      <x:c r="AC529" s="2" t="str">
        <x:f>IF(AD529&lt;&gt;1,"",COUNTIFS($Z$524:$Z$537,"&lt;"&amp;Z529,$AD$524:$AD$537,1)+COUNTIFS($Z$524:$Z$537,Z529,$AB$524:$AB$537,"&gt;"&amp;AB529,$AD$524:$AD$537,1)+COUNTIFS($Z$524:$Z$537,Z529,$AB$524:$AB$537,AB529,$V$524:$V$537,"&gt;"&amp;V529,$AD$524:$AD$537,1)+COUNTIFS($Z$524:Z529,Z529,$AB$524:AB529,AB529,$V$524:V529,V529,$AD$524:AD529,1))</x:f>
      </x:c>
      <x:c r="AD529" s="2" t="n">
        <x:f>IF(OR(AA529="DEFENSIV",AA529="PRUDENT",AA529="MODERAT",AA529="RIDICAT"),1,0)</x:f>
        <x:v>0</x:v>
      </x:c>
      <x:c r="AE529" s="2" t="str">
        <x:f>IF(AD529&lt;&gt;1,"NO",IF(W529="PASS","YES",IF(W529="OOS PENDING","CONDITIONAL","NO")))</x:f>
        <x:v>NO</x:v>
      </x:c>
      <x:c r="AF529" s="2" t="n">
        <x:f>IF(AND(AD529=1,AC529=1,E529="LIVE"),1,0)</x:f>
        <x:v>0</x:v>
      </x:c>
      <x:c r="AG529" s="2" t="str">
        <x:f>IF(AF529&lt;&gt;1,"",'Dashboard'!P63)</x:f>
      </x:c>
      <x:c r="AH529" s="2" t="str">
        <x:f>IF(B529="","",IF(J529&lt;&gt;"PASS",'Motor_Meciuri'!J43,IF('Calibrare_Linii'!U11&lt;&gt;"VALID","Parametri linie invalizi",IF(L529&gt;'Config_v6'!$B$13,"Dispersie peste limita",IF(W529="WATCH","Failure peste limita",IF(AB529&lt;'Config_v6'!$B$16,"P finala sub prag",IF(V529&lt;'Config_v6'!$B$18,"Confidence sub prag",IF(E529="REPLAY","Exemplu retrospectiv; exclus din Top LIVE",IF(Y529="PASS","DEFENSIV validat",IF(W529="OOS PENDING","Eligibil; calibrare linie in monitorizare","Eligibil"))))))))))</x:f>
      </x:c>
      <x:c r="AI529" s="2" t="str">
        <x:f>IF(B529="","",'Calibrare_Linii'!V11)</x:f>
      </x:c>
      <x:c r="AJ529" s="2" t="str">
        <x:f>IF(B529="","",IF(AND('Calibrare_Linii'!T11="VALIDATED",AND('Calibrare_Linii'!H11=C529,ISNUMBER('Calibrare_Linii'!J11),'Calibrare_Linii'!J11&lt;='Input_Meci'!G43)),"DEFENSIVE VALIDATED",IF(AND('Calibrare_Linii'!S11="VALIDATED",AND('Calibrare_Linii'!H11=C529,ISNUMBER('Calibrare_Linii'!J11),'Calibrare_Linii'!J11&lt;='Input_Meci'!G43)),"TAIL VALIDATED","OOS PENDING")))</x:f>
      </x:c>
      <x:c r="AK529" s="2" t="n">
        <x:f>IF(J529&lt;&gt;"PASS",0,'Motor_Meciuri'!BR43)</x:f>
        <x:v>0</x:v>
      </x:c>
      <x:c r="AL529" s="2" t="n">
        <x:f>IF(J529&lt;&gt;"PASS",0,'Motor_Meciuri'!BS43)</x:f>
        <x:v>0</x:v>
      </x:c>
      <x:c r="AM529" s="2" t="n">
        <x:f>IF(J529&lt;&gt;"PASS",0,'Motor_Meciuri'!BT43)</x:f>
        <x:v>0</x:v>
      </x:c>
      <x:c r="AN529" s="2" t="str">
        <x:f>IF(M529="","",MAX(0,'Motor_Meciuri'!BF43-IF(L529&gt;'Config_v6'!$B$12,'Config_v6'!$B$37,IF(L529&gt;'Config_v6'!$B$11,'Config_v6'!$B$36,0))))</x:f>
      </x:c>
    </x:row>
    <x:row r="530" ht="21" customHeight="1">
      <x:c r="A530" s="2" t="n">
        <x:v>38</x:v>
      </x:c>
      <x:c r="B530" s="2" t="str">
        <x:f>IF('Motor_Meciuri'!A43="","",'Motor_Meciuri'!A43)</x:f>
      </x:c>
      <x:c r="C530" s="2" t="str">
        <x:f>IF(B530="","",'Motor_Meciuri'!B43)</x:f>
      </x:c>
      <x:c r="D530" s="2" t="str">
        <x:f>IF(B530="","",'Motor_Meciuri'!D43)</x:f>
      </x:c>
      <x:c r="E530" s="2" t="str">
        <x:f>IF(B530="","",'Motor_Meciuri'!E43)</x:f>
      </x:c>
      <x:c r="F530" s="2" t="str">
        <x:v>U10,5</x:v>
      </x:c>
      <x:c r="G530" s="2" t="str">
        <x:v>UNDER</x:v>
      </x:c>
      <x:c r="H530" s="2" t="n">
        <x:v>10</x:v>
      </x:c>
      <x:c r="I530" s="2" t="str">
        <x:f>IF(B530="","",'Motor_Meciuri'!H43)</x:f>
      </x:c>
      <x:c r="J530" s="2" t="str">
        <x:f>IF(B530="","",'Motor_Meciuri'!I43)</x:f>
      </x:c>
      <x:c r="K530" s="11" t="str">
        <x:f>IF(J530&lt;&gt;"PASS","",'Motor_Meciuri'!BD43)</x:f>
      </x:c>
      <x:c r="L530" s="11" t="str">
        <x:f>IF(J530&lt;&gt;"PASS","",'Motor_Meciuri'!AU43)</x:f>
      </x:c>
      <x:c r="M530" s="10" t="str">
        <x:f>IF(NOT(AND(J530="PASS",'Calibrare_Linii'!U12="VALID")),"",'Distributie'!AH43)</x:f>
      </x:c>
      <x:c r="N530" s="10" t="str">
        <x:f>IF(M530="","",MAX(0.01,MIN(0.99,0.5+(M530-0.5)*'Motor_Meciuri'!BG43*'Calibrare_Linii'!D12)))</x:f>
      </x:c>
      <x:c r="O530" s="10" t="str">
        <x:f>IF(M530="","",1-M530)</x:f>
      </x:c>
      <x:c r="P530" s="10" t="str">
        <x:f>IF(OR(NOT(AND(J530="PASS",'Calibrare_Linii'!U12="VALID")),AK530=0),""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*('Istoric_Nativ'!$Q$6:$Q$405&gt;H530))/AK530)</x:f>
      </x:c>
      <x:c r="Q530" s="10" t="str">
        <x:f>IF(OR(NOT(AND(J530="PASS",'Calibrare_Linii'!U12="VALID")),AL530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M43)+((('Istoric_Nativ'!$E$6:$E$405='Input_Meci'!E43)+('Istoric_Nativ'!$F$6:$F$405='Input_Meci'!E43))&gt;0)*('Istoric_Nativ'!$D$6:$D$405&gt;='Motor_Meciuri'!BN43))&gt;0)*('Istoric_Nativ'!$Q$6:$Q$405&gt;H530))/AL530)</x:f>
      </x:c>
      <x:c r="R530" s="10" t="str">
        <x:f>IF(OR(NOT(AND(J530="PASS",'Calibrare_Linii'!U12="VALID")),AM530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O43)+((('Istoric_Nativ'!$E$6:$E$405='Input_Meci'!E43)+('Istoric_Nativ'!$F$6:$F$405='Input_Meci'!E43))&gt;0)*('Istoric_Nativ'!$D$6:$D$405&gt;='Motor_Meciuri'!BP43))&gt;0)*('Istoric_Nativ'!$Q$6:$Q$405&gt;H530))/AM530)</x:f>
      </x:c>
      <x:c r="S530" s="10" t="str">
        <x:f>IF(M530="","",MAX(O530,P530,Q530,R530))</x:f>
      </x:c>
      <x:c r="T530" s="11" t="str">
        <x:f>IF(M530="","",MIN(100,S530*100*'Config_v6'!$B$44+MIN(100,L530/'Config_v6'!$B$13*100)*'Config_v6'!$B$45+(100-'Motor_Meciuri'!BF43)*'Config_v6'!$B$46+'Motor_Meciuri'!BH43*100*'Config_v6'!$B$47))</x:f>
      </x:c>
      <x:c r="U530" s="2" t="str">
        <x:f>IF(T530="","",IF(T530&lt;=20,1,IF(T530&lt;=40,2,IF(T530&lt;=60,3,IF(T530&lt;=80,4,5)))))</x:f>
      </x:c>
      <x:c r="V530" s="2" t="str">
        <x:f>IF(M530="","",MAX(0,'Motor_Meciuri'!BF43-IF(W530="OOS PENDING",'Config_v6'!$B$35,0)-IF(L530&gt;'Config_v6'!$B$12,'Config_v6'!$B$37,IF(L530&gt;'Config_v6'!$B$11,'Config_v6'!$B$36,0))))</x:f>
      </x:c>
      <x:c r="W530" s="2" t="str">
        <x:f>IF(B530="","",IF(I530&lt;&gt;"READY","NOT RELEASED",IF(NOT(AND(J530="PASS",'Calibrare_Linii'!U12="VALID")),"INVALID",IF(NOT(AND('Calibrare_Linii'!S12="VALIDATED",AND('Calibrare_Linii'!H12=C530,ISNUMBER('Calibrare_Linii'!J12),'Calibrare_Linii'!J12&lt;='Input_Meci'!G43))),"OOS PENDING",IF(S530&lt;='Calibrare_Linii'!E12,"PASS",IF(S530&lt;='Calibrare_Linii'!F12,"PENALTY","WATCH"))))))</x:f>
      </x:c>
      <x:c r="X530" s="2" t="str">
        <x:f>IF(M530="","",IF(AND(AND(J530="PASS",'Calibrare_Linii'!U12="VALID"),'Motor_Meciuri'!K43=12,'Motor_Meciuri'!L43=12,'Motor_Meciuri'!M43="NO",'Motor_Meciuri'!BL43='Motor_Meciuri'!C43,AB530&gt;='Config_v6'!$B$50,AN530&gt;='Config_v6'!$B$51,T530&lt;='Config_v6'!$B$52,L530&lt;='Config_v6'!$B$53,ISNUMBER('Calibrare_Linii'!E12),S530&lt;='Calibrare_Linii'!E12,SUM(AK530:AM530)&gt;0),"CANDIDATE","NO"))</x:f>
      </x:c>
      <x:c r="Y530" s="2" t="str">
        <x:f>IF(B530="","",IF(I530&lt;&gt;"READY","NOT RELEASED",IF(AND(X530="CANDIDATE",V530&gt;='Config_v6'!$B$51,W530="PASS",'Calibrare_Linii'!T12="VALIDATED",AND('Calibrare_Linii'!H12=C530,ISNUMBER('Calibrare_Linii'!J12),'Calibrare_Linii'!J12&lt;='Input_Meci'!G43)),"PASS",IF(X530="CANDIDATE","OOS PENDING","FAIL"))))</x:f>
      </x:c>
      <x:c r="Z530" s="2" t="str">
        <x:f>IF(B530="","",IF(I530&lt;&gt;"READY","",IF(OR(NOT(AND(J530="PASS",'Calibrare_Linii'!U12="VALID")),L530&gt;'Config_v6'!$B$13,W530="WATCH"),5,IF(Y530="PASS",1,MIN(5,MAX('Config_v6'!$B$42,U530)+IF(W530="PENALTY",1,0))))))</x:f>
      </x:c>
      <x:c r="AA530" s="2" t="str">
        <x:f>IF(B530="","",IF(I530&lt;&gt;"READY","NOT RELEASED",IF(Z530=5,"NO BET",IF(OR(AB530&lt;'Config_v6'!$B$16,V530&lt;'Config_v6'!$B$18),"WATCH",IF(Z530=1,"DEFENSIV",IF(Z530=2,"PRUDENT",IF(Z530=3,"MODERAT","RIDICAT")))))))</x:f>
      </x:c>
      <x:c r="AB530" s="10" t="str">
        <x:f>IF(N530="","",MIN(N530,1-S530))</x:f>
      </x:c>
      <x:c r="AC530" s="2" t="str">
        <x:f>IF(AD530&lt;&gt;1,"",COUNTIFS($Z$524:$Z$537,"&lt;"&amp;Z530,$AD$524:$AD$537,1)+COUNTIFS($Z$524:$Z$537,Z530,$AB$524:$AB$537,"&gt;"&amp;AB530,$AD$524:$AD$537,1)+COUNTIFS($Z$524:$Z$537,Z530,$AB$524:$AB$537,AB530,$V$524:$V$537,"&gt;"&amp;V530,$AD$524:$AD$537,1)+COUNTIFS($Z$524:Z530,Z530,$AB$524:AB530,AB530,$V$524:V530,V530,$AD$524:AD530,1))</x:f>
      </x:c>
      <x:c r="AD530" s="2" t="n">
        <x:f>IF(OR(AA530="DEFENSIV",AA530="PRUDENT",AA530="MODERAT",AA530="RIDICAT"),1,0)</x:f>
        <x:v>0</x:v>
      </x:c>
      <x:c r="AE530" s="2" t="str">
        <x:f>IF(AD530&lt;&gt;1,"NO",IF(W530="PASS","YES",IF(W530="OOS PENDING","CONDITIONAL","NO")))</x:f>
        <x:v>NO</x:v>
      </x:c>
      <x:c r="AF530" s="2" t="n">
        <x:f>IF(AND(AD530=1,AC530=1,E530="LIVE"),1,0)</x:f>
        <x:v>0</x:v>
      </x:c>
      <x:c r="AG530" s="2" t="str">
        <x:f>IF(AF530&lt;&gt;1,"",'Dashboard'!P63)</x:f>
      </x:c>
      <x:c r="AH530" s="2" t="str">
        <x:f>IF(B530="","",IF(J530&lt;&gt;"PASS",'Motor_Meciuri'!J43,IF('Calibrare_Linii'!U12&lt;&gt;"VALID","Parametri linie invalizi",IF(L530&gt;'Config_v6'!$B$13,"Dispersie peste limita",IF(W530="WATCH","Failure peste limita",IF(AB530&lt;'Config_v6'!$B$16,"P finala sub prag",IF(V530&lt;'Config_v6'!$B$18,"Confidence sub prag",IF(E530="REPLAY","Exemplu retrospectiv; exclus din Top LIVE",IF(Y530="PASS","DEFENSIV validat",IF(W530="OOS PENDING","Eligibil; calibrare linie in monitorizare","Eligibil"))))))))))</x:f>
      </x:c>
      <x:c r="AI530" s="2" t="str">
        <x:f>IF(B530="","",'Calibrare_Linii'!V12)</x:f>
      </x:c>
      <x:c r="AJ530" s="2" t="str">
        <x:f>IF(B530="","",IF(AND('Calibrare_Linii'!T12="VALIDATED",AND('Calibrare_Linii'!H12=C530,ISNUMBER('Calibrare_Linii'!J12),'Calibrare_Linii'!J12&lt;='Input_Meci'!G43)),"DEFENSIVE VALIDATED",IF(AND('Calibrare_Linii'!S12="VALIDATED",AND('Calibrare_Linii'!H12=C530,ISNUMBER('Calibrare_Linii'!J12),'Calibrare_Linii'!J12&lt;='Input_Meci'!G43)),"TAIL VALIDATED","OOS PENDING")))</x:f>
      </x:c>
      <x:c r="AK530" s="2" t="n">
        <x:f>IF(J530&lt;&gt;"PASS",0,'Motor_Meciuri'!BR43)</x:f>
        <x:v>0</x:v>
      </x:c>
      <x:c r="AL530" s="2" t="n">
        <x:f>IF(J530&lt;&gt;"PASS",0,'Motor_Meciuri'!BS43)</x:f>
        <x:v>0</x:v>
      </x:c>
      <x:c r="AM530" s="2" t="n">
        <x:f>IF(J530&lt;&gt;"PASS",0,'Motor_Meciuri'!BT43)</x:f>
        <x:v>0</x:v>
      </x:c>
      <x:c r="AN530" s="2" t="str">
        <x:f>IF(M530="","",MAX(0,'Motor_Meciuri'!BF43-IF(L530&gt;'Config_v6'!$B$12,'Config_v6'!$B$37,IF(L530&gt;'Config_v6'!$B$11,'Config_v6'!$B$36,0))))</x:f>
      </x:c>
    </x:row>
    <x:row r="531" ht="21" customHeight="1">
      <x:c r="A531" s="2" t="n">
        <x:v>38</x:v>
      </x:c>
      <x:c r="B531" s="2" t="str">
        <x:f>IF('Motor_Meciuri'!A43="","",'Motor_Meciuri'!A43)</x:f>
      </x:c>
      <x:c r="C531" s="2" t="str">
        <x:f>IF(B531="","",'Motor_Meciuri'!B43)</x:f>
      </x:c>
      <x:c r="D531" s="2" t="str">
        <x:f>IF(B531="","",'Motor_Meciuri'!D43)</x:f>
      </x:c>
      <x:c r="E531" s="2" t="str">
        <x:f>IF(B531="","",'Motor_Meciuri'!E43)</x:f>
      </x:c>
      <x:c r="F531" s="2" t="str">
        <x:v>U11,5</x:v>
      </x:c>
      <x:c r="G531" s="2" t="str">
        <x:v>UNDER</x:v>
      </x:c>
      <x:c r="H531" s="2" t="n">
        <x:v>11</x:v>
      </x:c>
      <x:c r="I531" s="2" t="str">
        <x:f>IF(B531="","",'Motor_Meciuri'!H43)</x:f>
      </x:c>
      <x:c r="J531" s="2" t="str">
        <x:f>IF(B531="","",'Motor_Meciuri'!I43)</x:f>
      </x:c>
      <x:c r="K531" s="11" t="str">
        <x:f>IF(J531&lt;&gt;"PASS","",'Motor_Meciuri'!BD43)</x:f>
      </x:c>
      <x:c r="L531" s="11" t="str">
        <x:f>IF(J531&lt;&gt;"PASS","",'Motor_Meciuri'!AU43)</x:f>
      </x:c>
      <x:c r="M531" s="10" t="str">
        <x:f>IF(NOT(AND(J531="PASS",'Calibrare_Linii'!U13="VALID")),"",'Distributie'!AI43)</x:f>
      </x:c>
      <x:c r="N531" s="10" t="str">
        <x:f>IF(M531="","",MAX(0.01,MIN(0.99,0.5+(M531-0.5)*'Motor_Meciuri'!BG43*'Calibrare_Linii'!D13)))</x:f>
      </x:c>
      <x:c r="O531" s="10" t="str">
        <x:f>IF(M531="","",1-M531)</x:f>
      </x:c>
      <x:c r="P531" s="10" t="str">
        <x:f>IF(OR(NOT(AND(J531="PASS",'Calibrare_Linii'!U13="VALID")),AK531=0),""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*('Istoric_Nativ'!$Q$6:$Q$405&gt;H531))/AK531)</x:f>
      </x:c>
      <x:c r="Q531" s="10" t="str">
        <x:f>IF(OR(NOT(AND(J531="PASS",'Calibrare_Linii'!U13="VALID")),AL531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M43)+((('Istoric_Nativ'!$E$6:$E$405='Input_Meci'!E43)+('Istoric_Nativ'!$F$6:$F$405='Input_Meci'!E43))&gt;0)*('Istoric_Nativ'!$D$6:$D$405&gt;='Motor_Meciuri'!BN43))&gt;0)*('Istoric_Nativ'!$Q$6:$Q$405&gt;H531))/AL531)</x:f>
      </x:c>
      <x:c r="R531" s="10" t="str">
        <x:f>IF(OR(NOT(AND(J531="PASS",'Calibrare_Linii'!U13="VALID")),AM531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O43)+((('Istoric_Nativ'!$E$6:$E$405='Input_Meci'!E43)+('Istoric_Nativ'!$F$6:$F$405='Input_Meci'!E43))&gt;0)*('Istoric_Nativ'!$D$6:$D$405&gt;='Motor_Meciuri'!BP43))&gt;0)*('Istoric_Nativ'!$Q$6:$Q$405&gt;H531))/AM531)</x:f>
      </x:c>
      <x:c r="S531" s="10" t="str">
        <x:f>IF(M531="","",MAX(O531,P531,Q531,R531))</x:f>
      </x:c>
      <x:c r="T531" s="11" t="str">
        <x:f>IF(M531="","",MIN(100,S531*100*'Config_v6'!$B$44+MIN(100,L531/'Config_v6'!$B$13*100)*'Config_v6'!$B$45+(100-'Motor_Meciuri'!BF43)*'Config_v6'!$B$46+'Motor_Meciuri'!BH43*100*'Config_v6'!$B$47))</x:f>
      </x:c>
      <x:c r="U531" s="2" t="str">
        <x:f>IF(T531="","",IF(T531&lt;=20,1,IF(T531&lt;=40,2,IF(T531&lt;=60,3,IF(T531&lt;=80,4,5)))))</x:f>
      </x:c>
      <x:c r="V531" s="2" t="str">
        <x:f>IF(M531="","",MAX(0,'Motor_Meciuri'!BF43-IF(W531="OOS PENDING",'Config_v6'!$B$35,0)-IF(L531&gt;'Config_v6'!$B$12,'Config_v6'!$B$37,IF(L531&gt;'Config_v6'!$B$11,'Config_v6'!$B$36,0))))</x:f>
      </x:c>
      <x:c r="W531" s="2" t="str">
        <x:f>IF(B531="","",IF(I531&lt;&gt;"READY","NOT RELEASED",IF(NOT(AND(J531="PASS",'Calibrare_Linii'!U13="VALID")),"INVALID",IF(NOT(AND('Calibrare_Linii'!S13="VALIDATED",AND('Calibrare_Linii'!H13=C531,ISNUMBER('Calibrare_Linii'!J13),'Calibrare_Linii'!J13&lt;='Input_Meci'!G43))),"OOS PENDING",IF(S531&lt;='Calibrare_Linii'!E13,"PASS",IF(S531&lt;='Calibrare_Linii'!F13,"PENALTY","WATCH"))))))</x:f>
      </x:c>
      <x:c r="X531" s="2" t="str">
        <x:f>IF(M531="","",IF(AND(AND(J531="PASS",'Calibrare_Linii'!U13="VALID"),'Motor_Meciuri'!K43=12,'Motor_Meciuri'!L43=12,'Motor_Meciuri'!M43="NO",'Motor_Meciuri'!BL43='Motor_Meciuri'!C43,AB531&gt;='Config_v6'!$B$50,AN531&gt;='Config_v6'!$B$51,T531&lt;='Config_v6'!$B$52,L531&lt;='Config_v6'!$B$53,ISNUMBER('Calibrare_Linii'!E13),S531&lt;='Calibrare_Linii'!E13,SUM(AK531:AM531)&gt;0),"CANDIDATE","NO"))</x:f>
      </x:c>
      <x:c r="Y531" s="2" t="str">
        <x:f>IF(B531="","",IF(I531&lt;&gt;"READY","NOT RELEASED",IF(AND(X531="CANDIDATE",V531&gt;='Config_v6'!$B$51,W531="PASS",'Calibrare_Linii'!T13="VALIDATED",AND('Calibrare_Linii'!H13=C531,ISNUMBER('Calibrare_Linii'!J13),'Calibrare_Linii'!J13&lt;='Input_Meci'!G43)),"PASS",IF(X531="CANDIDATE","OOS PENDING","FAIL"))))</x:f>
      </x:c>
      <x:c r="Z531" s="2" t="str">
        <x:f>IF(B531="","",IF(I531&lt;&gt;"READY","",IF(OR(NOT(AND(J531="PASS",'Calibrare_Linii'!U13="VALID")),L531&gt;'Config_v6'!$B$13,W531="WATCH"),5,IF(Y531="PASS",1,MIN(5,MAX('Config_v6'!$B$42,U531)+IF(W531="PENALTY",1,0))))))</x:f>
      </x:c>
      <x:c r="AA531" s="2" t="str">
        <x:f>IF(B531="","",IF(I531&lt;&gt;"READY","NOT RELEASED",IF(Z531=5,"NO BET",IF(OR(AB531&lt;'Config_v6'!$B$16,V531&lt;'Config_v6'!$B$18),"WATCH",IF(Z531=1,"DEFENSIV",IF(Z531=2,"PRUDENT",IF(Z531=3,"MODERAT","RIDICAT")))))))</x:f>
      </x:c>
      <x:c r="AB531" s="10" t="str">
        <x:f>IF(N531="","",MIN(N531,1-S531))</x:f>
      </x:c>
      <x:c r="AC531" s="2" t="str">
        <x:f>IF(AD531&lt;&gt;1,"",COUNTIFS($Z$524:$Z$537,"&lt;"&amp;Z531,$AD$524:$AD$537,1)+COUNTIFS($Z$524:$Z$537,Z531,$AB$524:$AB$537,"&gt;"&amp;AB531,$AD$524:$AD$537,1)+COUNTIFS($Z$524:$Z$537,Z531,$AB$524:$AB$537,AB531,$V$524:$V$537,"&gt;"&amp;V531,$AD$524:$AD$537,1)+COUNTIFS($Z$524:Z531,Z531,$AB$524:AB531,AB531,$V$524:V531,V531,$AD$524:AD531,1))</x:f>
      </x:c>
      <x:c r="AD531" s="2" t="n">
        <x:f>IF(OR(AA531="DEFENSIV",AA531="PRUDENT",AA531="MODERAT",AA531="RIDICAT"),1,0)</x:f>
        <x:v>0</x:v>
      </x:c>
      <x:c r="AE531" s="2" t="str">
        <x:f>IF(AD531&lt;&gt;1,"NO",IF(W531="PASS","YES",IF(W531="OOS PENDING","CONDITIONAL","NO")))</x:f>
        <x:v>NO</x:v>
      </x:c>
      <x:c r="AF531" s="2" t="n">
        <x:f>IF(AND(AD531=1,AC531=1,E531="LIVE"),1,0)</x:f>
        <x:v>0</x:v>
      </x:c>
      <x:c r="AG531" s="2" t="str">
        <x:f>IF(AF531&lt;&gt;1,"",'Dashboard'!P63)</x:f>
      </x:c>
      <x:c r="AH531" s="2" t="str">
        <x:f>IF(B531="","",IF(J531&lt;&gt;"PASS",'Motor_Meciuri'!J43,IF('Calibrare_Linii'!U13&lt;&gt;"VALID","Parametri linie invalizi",IF(L531&gt;'Config_v6'!$B$13,"Dispersie peste limita",IF(W531="WATCH","Failure peste limita",IF(AB531&lt;'Config_v6'!$B$16,"P finala sub prag",IF(V531&lt;'Config_v6'!$B$18,"Confidence sub prag",IF(E531="REPLAY","Exemplu retrospectiv; exclus din Top LIVE",IF(Y531="PASS","DEFENSIV validat",IF(W531="OOS PENDING","Eligibil; calibrare linie in monitorizare","Eligibil"))))))))))</x:f>
      </x:c>
      <x:c r="AI531" s="2" t="str">
        <x:f>IF(B531="","",'Calibrare_Linii'!V13)</x:f>
      </x:c>
      <x:c r="AJ531" s="2" t="str">
        <x:f>IF(B531="","",IF(AND('Calibrare_Linii'!T13="VALIDATED",AND('Calibrare_Linii'!H13=C531,ISNUMBER('Calibrare_Linii'!J13),'Calibrare_Linii'!J13&lt;='Input_Meci'!G43)),"DEFENSIVE VALIDATED",IF(AND('Calibrare_Linii'!S13="VALIDATED",AND('Calibrare_Linii'!H13=C531,ISNUMBER('Calibrare_Linii'!J13),'Calibrare_Linii'!J13&lt;='Input_Meci'!G43)),"TAIL VALIDATED","OOS PENDING")))</x:f>
      </x:c>
      <x:c r="AK531" s="2" t="n">
        <x:f>IF(J531&lt;&gt;"PASS",0,'Motor_Meciuri'!BR43)</x:f>
        <x:v>0</x:v>
      </x:c>
      <x:c r="AL531" s="2" t="n">
        <x:f>IF(J531&lt;&gt;"PASS",0,'Motor_Meciuri'!BS43)</x:f>
        <x:v>0</x:v>
      </x:c>
      <x:c r="AM531" s="2" t="n">
        <x:f>IF(J531&lt;&gt;"PASS",0,'Motor_Meciuri'!BT43)</x:f>
        <x:v>0</x:v>
      </x:c>
      <x:c r="AN531" s="2" t="str">
        <x:f>IF(M531="","",MAX(0,'Motor_Meciuri'!BF43-IF(L531&gt;'Config_v6'!$B$12,'Config_v6'!$B$37,IF(L531&gt;'Config_v6'!$B$11,'Config_v6'!$B$36,0))))</x:f>
      </x:c>
    </x:row>
    <x:row r="532" ht="21" customHeight="1">
      <x:c r="A532" s="2" t="n">
        <x:v>38</x:v>
      </x:c>
      <x:c r="B532" s="2" t="str">
        <x:f>IF('Motor_Meciuri'!A43="","",'Motor_Meciuri'!A43)</x:f>
      </x:c>
      <x:c r="C532" s="2" t="str">
        <x:f>IF(B532="","",'Motor_Meciuri'!B43)</x:f>
      </x:c>
      <x:c r="D532" s="2" t="str">
        <x:f>IF(B532="","",'Motor_Meciuri'!D43)</x:f>
      </x:c>
      <x:c r="E532" s="2" t="str">
        <x:f>IF(B532="","",'Motor_Meciuri'!E43)</x:f>
      </x:c>
      <x:c r="F532" s="2" t="str">
        <x:v>U12,5</x:v>
      </x:c>
      <x:c r="G532" s="2" t="str">
        <x:v>UNDER</x:v>
      </x:c>
      <x:c r="H532" s="2" t="n">
        <x:v>12</x:v>
      </x:c>
      <x:c r="I532" s="2" t="str">
        <x:f>IF(B532="","",'Motor_Meciuri'!H43)</x:f>
      </x:c>
      <x:c r="J532" s="2" t="str">
        <x:f>IF(B532="","",'Motor_Meciuri'!I43)</x:f>
      </x:c>
      <x:c r="K532" s="11" t="str">
        <x:f>IF(J532&lt;&gt;"PASS","",'Motor_Meciuri'!BD43)</x:f>
      </x:c>
      <x:c r="L532" s="11" t="str">
        <x:f>IF(J532&lt;&gt;"PASS","",'Motor_Meciuri'!AU43)</x:f>
      </x:c>
      <x:c r="M532" s="10" t="str">
        <x:f>IF(NOT(AND(J532="PASS",'Calibrare_Linii'!U14="VALID")),"",'Distributie'!AJ43)</x:f>
      </x:c>
      <x:c r="N532" s="10" t="str">
        <x:f>IF(M532="","",MAX(0.01,MIN(0.99,0.5+(M532-0.5)*'Motor_Meciuri'!BG43*'Calibrare_Linii'!D14)))</x:f>
      </x:c>
      <x:c r="O532" s="10" t="str">
        <x:f>IF(M532="","",1-M532)</x:f>
      </x:c>
      <x:c r="P532" s="10" t="str">
        <x:f>IF(OR(NOT(AND(J532="PASS",'Calibrare_Linii'!U14="VALID")),AK532=0),""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*('Istoric_Nativ'!$Q$6:$Q$405&gt;H532))/AK532)</x:f>
      </x:c>
      <x:c r="Q532" s="10" t="str">
        <x:f>IF(OR(NOT(AND(J532="PASS",'Calibrare_Linii'!U14="VALID")),AL532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M43)+((('Istoric_Nativ'!$E$6:$E$405='Input_Meci'!E43)+('Istoric_Nativ'!$F$6:$F$405='Input_Meci'!E43))&gt;0)*('Istoric_Nativ'!$D$6:$D$405&gt;='Motor_Meciuri'!BN43))&gt;0)*('Istoric_Nativ'!$Q$6:$Q$405&gt;H532))/AL532)</x:f>
      </x:c>
      <x:c r="R532" s="10" t="str">
        <x:f>IF(OR(NOT(AND(J532="PASS",'Calibrare_Linii'!U14="VALID")),AM532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O43)+((('Istoric_Nativ'!$E$6:$E$405='Input_Meci'!E43)+('Istoric_Nativ'!$F$6:$F$405='Input_Meci'!E43))&gt;0)*('Istoric_Nativ'!$D$6:$D$405&gt;='Motor_Meciuri'!BP43))&gt;0)*('Istoric_Nativ'!$Q$6:$Q$405&gt;H532))/AM532)</x:f>
      </x:c>
      <x:c r="S532" s="10" t="str">
        <x:f>IF(M532="","",MAX(O532,P532,Q532,R532))</x:f>
      </x:c>
      <x:c r="T532" s="11" t="str">
        <x:f>IF(M532="","",MIN(100,S532*100*'Config_v6'!$B$44+MIN(100,L532/'Config_v6'!$B$13*100)*'Config_v6'!$B$45+(100-'Motor_Meciuri'!BF43)*'Config_v6'!$B$46+'Motor_Meciuri'!BH43*100*'Config_v6'!$B$47))</x:f>
      </x:c>
      <x:c r="U532" s="2" t="str">
        <x:f>IF(T532="","",IF(T532&lt;=20,1,IF(T532&lt;=40,2,IF(T532&lt;=60,3,IF(T532&lt;=80,4,5)))))</x:f>
      </x:c>
      <x:c r="V532" s="2" t="str">
        <x:f>IF(M532="","",MAX(0,'Motor_Meciuri'!BF43-IF(W532="OOS PENDING",'Config_v6'!$B$35,0)-IF(L532&gt;'Config_v6'!$B$12,'Config_v6'!$B$37,IF(L532&gt;'Config_v6'!$B$11,'Config_v6'!$B$36,0))))</x:f>
      </x:c>
      <x:c r="W532" s="2" t="str">
        <x:f>IF(B532="","",IF(I532&lt;&gt;"READY","NOT RELEASED",IF(NOT(AND(J532="PASS",'Calibrare_Linii'!U14="VALID")),"INVALID",IF(NOT(AND('Calibrare_Linii'!S14="VALIDATED",AND('Calibrare_Linii'!H14=C532,ISNUMBER('Calibrare_Linii'!J14),'Calibrare_Linii'!J14&lt;='Input_Meci'!G43))),"OOS PENDING",IF(S532&lt;='Calibrare_Linii'!E14,"PASS",IF(S532&lt;='Calibrare_Linii'!F14,"PENALTY","WATCH"))))))</x:f>
      </x:c>
      <x:c r="X532" s="2" t="str">
        <x:f>IF(M532="","",IF(AND(AND(J532="PASS",'Calibrare_Linii'!U14="VALID"),'Motor_Meciuri'!K43=12,'Motor_Meciuri'!L43=12,'Motor_Meciuri'!M43="NO",'Motor_Meciuri'!BL43='Motor_Meciuri'!C43,AB532&gt;='Config_v6'!$B$50,AN532&gt;='Config_v6'!$B$51,T532&lt;='Config_v6'!$B$52,L532&lt;='Config_v6'!$B$53,ISNUMBER('Calibrare_Linii'!E14),S532&lt;='Calibrare_Linii'!E14,SUM(AK532:AM532)&gt;0),"CANDIDATE","NO"))</x:f>
      </x:c>
      <x:c r="Y532" s="2" t="str">
        <x:f>IF(B532="","",IF(I532&lt;&gt;"READY","NOT RELEASED",IF(AND(X532="CANDIDATE",V532&gt;='Config_v6'!$B$51,W532="PASS",'Calibrare_Linii'!T14="VALIDATED",AND('Calibrare_Linii'!H14=C532,ISNUMBER('Calibrare_Linii'!J14),'Calibrare_Linii'!J14&lt;='Input_Meci'!G43)),"PASS",IF(X532="CANDIDATE","OOS PENDING","FAIL"))))</x:f>
      </x:c>
      <x:c r="Z532" s="2" t="str">
        <x:f>IF(B532="","",IF(I532&lt;&gt;"READY","",IF(OR(NOT(AND(J532="PASS",'Calibrare_Linii'!U14="VALID")),L532&gt;'Config_v6'!$B$13,W532="WATCH"),5,IF(Y532="PASS",1,MIN(5,MAX('Config_v6'!$B$42,U532)+IF(W532="PENALTY",1,0))))))</x:f>
      </x:c>
      <x:c r="AA532" s="2" t="str">
        <x:f>IF(B532="","",IF(I532&lt;&gt;"READY","NOT RELEASED",IF(Z532=5,"NO BET",IF(OR(AB532&lt;'Config_v6'!$B$16,V532&lt;'Config_v6'!$B$18),"WATCH",IF(Z532=1,"DEFENSIV",IF(Z532=2,"PRUDENT",IF(Z532=3,"MODERAT","RIDICAT")))))))</x:f>
      </x:c>
      <x:c r="AB532" s="10" t="str">
        <x:f>IF(N532="","",MIN(N532,1-S532))</x:f>
      </x:c>
      <x:c r="AC532" s="2" t="str">
        <x:f>IF(AD532&lt;&gt;1,"",COUNTIFS($Z$524:$Z$537,"&lt;"&amp;Z532,$AD$524:$AD$537,1)+COUNTIFS($Z$524:$Z$537,Z532,$AB$524:$AB$537,"&gt;"&amp;AB532,$AD$524:$AD$537,1)+COUNTIFS($Z$524:$Z$537,Z532,$AB$524:$AB$537,AB532,$V$524:$V$537,"&gt;"&amp;V532,$AD$524:$AD$537,1)+COUNTIFS($Z$524:Z532,Z532,$AB$524:AB532,AB532,$V$524:V532,V532,$AD$524:AD532,1))</x:f>
      </x:c>
      <x:c r="AD532" s="2" t="n">
        <x:f>IF(OR(AA532="DEFENSIV",AA532="PRUDENT",AA532="MODERAT",AA532="RIDICAT"),1,0)</x:f>
        <x:v>0</x:v>
      </x:c>
      <x:c r="AE532" s="2" t="str">
        <x:f>IF(AD532&lt;&gt;1,"NO",IF(W532="PASS","YES",IF(W532="OOS PENDING","CONDITIONAL","NO")))</x:f>
        <x:v>NO</x:v>
      </x:c>
      <x:c r="AF532" s="2" t="n">
        <x:f>IF(AND(AD532=1,AC532=1,E532="LIVE"),1,0)</x:f>
        <x:v>0</x:v>
      </x:c>
      <x:c r="AG532" s="2" t="str">
        <x:f>IF(AF532&lt;&gt;1,"",'Dashboard'!P63)</x:f>
      </x:c>
      <x:c r="AH532" s="2" t="str">
        <x:f>IF(B532="","",IF(J532&lt;&gt;"PASS",'Motor_Meciuri'!J43,IF('Calibrare_Linii'!U14&lt;&gt;"VALID","Parametri linie invalizi",IF(L532&gt;'Config_v6'!$B$13,"Dispersie peste limita",IF(W532="WATCH","Failure peste limita",IF(AB532&lt;'Config_v6'!$B$16,"P finala sub prag",IF(V532&lt;'Config_v6'!$B$18,"Confidence sub prag",IF(E532="REPLAY","Exemplu retrospectiv; exclus din Top LIVE",IF(Y532="PASS","DEFENSIV validat",IF(W532="OOS PENDING","Eligibil; calibrare linie in monitorizare","Eligibil"))))))))))</x:f>
      </x:c>
      <x:c r="AI532" s="2" t="str">
        <x:f>IF(B532="","",'Calibrare_Linii'!V14)</x:f>
      </x:c>
      <x:c r="AJ532" s="2" t="str">
        <x:f>IF(B532="","",IF(AND('Calibrare_Linii'!T14="VALIDATED",AND('Calibrare_Linii'!H14=C532,ISNUMBER('Calibrare_Linii'!J14),'Calibrare_Linii'!J14&lt;='Input_Meci'!G43)),"DEFENSIVE VALIDATED",IF(AND('Calibrare_Linii'!S14="VALIDATED",AND('Calibrare_Linii'!H14=C532,ISNUMBER('Calibrare_Linii'!J14),'Calibrare_Linii'!J14&lt;='Input_Meci'!G43)),"TAIL VALIDATED","OOS PENDING")))</x:f>
      </x:c>
      <x:c r="AK532" s="2" t="n">
        <x:f>IF(J532&lt;&gt;"PASS",0,'Motor_Meciuri'!BR43)</x:f>
        <x:v>0</x:v>
      </x:c>
      <x:c r="AL532" s="2" t="n">
        <x:f>IF(J532&lt;&gt;"PASS",0,'Motor_Meciuri'!BS43)</x:f>
        <x:v>0</x:v>
      </x:c>
      <x:c r="AM532" s="2" t="n">
        <x:f>IF(J532&lt;&gt;"PASS",0,'Motor_Meciuri'!BT43)</x:f>
        <x:v>0</x:v>
      </x:c>
      <x:c r="AN532" s="2" t="str">
        <x:f>IF(M532="","",MAX(0,'Motor_Meciuri'!BF43-IF(L532&gt;'Config_v6'!$B$12,'Config_v6'!$B$37,IF(L532&gt;'Config_v6'!$B$11,'Config_v6'!$B$36,0))))</x:f>
      </x:c>
    </x:row>
    <x:row r="533" ht="21" customHeight="1">
      <x:c r="A533" s="2" t="n">
        <x:v>38</x:v>
      </x:c>
      <x:c r="B533" s="2" t="str">
        <x:f>IF('Motor_Meciuri'!A43="","",'Motor_Meciuri'!A43)</x:f>
      </x:c>
      <x:c r="C533" s="2" t="str">
        <x:f>IF(B533="","",'Motor_Meciuri'!B43)</x:f>
      </x:c>
      <x:c r="D533" s="2" t="str">
        <x:f>IF(B533="","",'Motor_Meciuri'!D43)</x:f>
      </x:c>
      <x:c r="E533" s="2" t="str">
        <x:f>IF(B533="","",'Motor_Meciuri'!E43)</x:f>
      </x:c>
      <x:c r="F533" s="2" t="str">
        <x:v>U13,5</x:v>
      </x:c>
      <x:c r="G533" s="2" t="str">
        <x:v>UNDER</x:v>
      </x:c>
      <x:c r="H533" s="2" t="n">
        <x:v>13</x:v>
      </x:c>
      <x:c r="I533" s="2" t="str">
        <x:f>IF(B533="","",'Motor_Meciuri'!H43)</x:f>
      </x:c>
      <x:c r="J533" s="2" t="str">
        <x:f>IF(B533="","",'Motor_Meciuri'!I43)</x:f>
      </x:c>
      <x:c r="K533" s="11" t="str">
        <x:f>IF(J533&lt;&gt;"PASS","",'Motor_Meciuri'!BD43)</x:f>
      </x:c>
      <x:c r="L533" s="11" t="str">
        <x:f>IF(J533&lt;&gt;"PASS","",'Motor_Meciuri'!AU43)</x:f>
      </x:c>
      <x:c r="M533" s="10" t="str">
        <x:f>IF(NOT(AND(J533="PASS",'Calibrare_Linii'!U15="VALID")),"",'Distributie'!AK43)</x:f>
      </x:c>
      <x:c r="N533" s="10" t="str">
        <x:f>IF(M533="","",MAX(0.01,MIN(0.99,0.5+(M533-0.5)*'Motor_Meciuri'!BG43*'Calibrare_Linii'!D15)))</x:f>
      </x:c>
      <x:c r="O533" s="10" t="str">
        <x:f>IF(M533="","",1-M533)</x:f>
      </x:c>
      <x:c r="P533" s="10" t="str">
        <x:f>IF(OR(NOT(AND(J533="PASS",'Calibrare_Linii'!U15="VALID")),AK533=0),""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*('Istoric_Nativ'!$Q$6:$Q$405&gt;H533))/AK533)</x:f>
      </x:c>
      <x:c r="Q533" s="10" t="str">
        <x:f>IF(OR(NOT(AND(J533="PASS",'Calibrare_Linii'!U15="VALID")),AL533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M43)+((('Istoric_Nativ'!$E$6:$E$405='Input_Meci'!E43)+('Istoric_Nativ'!$F$6:$F$405='Input_Meci'!E43))&gt;0)*('Istoric_Nativ'!$D$6:$D$405&gt;='Motor_Meciuri'!BN43))&gt;0)*('Istoric_Nativ'!$Q$6:$Q$405&gt;H533))/AL533)</x:f>
      </x:c>
      <x:c r="R533" s="10" t="str">
        <x:f>IF(OR(NOT(AND(J533="PASS",'Calibrare_Linii'!U15="VALID")),AM533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O43)+((('Istoric_Nativ'!$E$6:$E$405='Input_Meci'!E43)+('Istoric_Nativ'!$F$6:$F$405='Input_Meci'!E43))&gt;0)*('Istoric_Nativ'!$D$6:$D$405&gt;='Motor_Meciuri'!BP43))&gt;0)*('Istoric_Nativ'!$Q$6:$Q$405&gt;H533))/AM533)</x:f>
      </x:c>
      <x:c r="S533" s="10" t="str">
        <x:f>IF(M533="","",MAX(O533,P533,Q533,R533))</x:f>
      </x:c>
      <x:c r="T533" s="11" t="str">
        <x:f>IF(M533="","",MIN(100,S533*100*'Config_v6'!$B$44+MIN(100,L533/'Config_v6'!$B$13*100)*'Config_v6'!$B$45+(100-'Motor_Meciuri'!BF43)*'Config_v6'!$B$46+'Motor_Meciuri'!BH43*100*'Config_v6'!$B$47))</x:f>
      </x:c>
      <x:c r="U533" s="2" t="str">
        <x:f>IF(T533="","",IF(T533&lt;=20,1,IF(T533&lt;=40,2,IF(T533&lt;=60,3,IF(T533&lt;=80,4,5)))))</x:f>
      </x:c>
      <x:c r="V533" s="2" t="str">
        <x:f>IF(M533="","",MAX(0,'Motor_Meciuri'!BF43-IF(W533="OOS PENDING",'Config_v6'!$B$35,0)-IF(L533&gt;'Config_v6'!$B$12,'Config_v6'!$B$37,IF(L533&gt;'Config_v6'!$B$11,'Config_v6'!$B$36,0))))</x:f>
      </x:c>
      <x:c r="W533" s="2" t="str">
        <x:f>IF(B533="","",IF(I533&lt;&gt;"READY","NOT RELEASED",IF(NOT(AND(J533="PASS",'Calibrare_Linii'!U15="VALID")),"INVALID",IF(NOT(AND('Calibrare_Linii'!S15="VALIDATED",AND('Calibrare_Linii'!H15=C533,ISNUMBER('Calibrare_Linii'!J15),'Calibrare_Linii'!J15&lt;='Input_Meci'!G43))),"OOS PENDING",IF(S533&lt;='Calibrare_Linii'!E15,"PASS",IF(S533&lt;='Calibrare_Linii'!F15,"PENALTY","WATCH"))))))</x:f>
      </x:c>
      <x:c r="X533" s="2" t="str">
        <x:f>IF(M533="","",IF(AND(AND(J533="PASS",'Calibrare_Linii'!U15="VALID"),'Motor_Meciuri'!K43=12,'Motor_Meciuri'!L43=12,'Motor_Meciuri'!M43="NO",'Motor_Meciuri'!BL43='Motor_Meciuri'!C43,AB533&gt;='Config_v6'!$B$50,AN533&gt;='Config_v6'!$B$51,T533&lt;='Config_v6'!$B$52,L533&lt;='Config_v6'!$B$53,ISNUMBER('Calibrare_Linii'!E15),S533&lt;='Calibrare_Linii'!E15,SUM(AK533:AM533)&gt;0),"CANDIDATE","NO"))</x:f>
      </x:c>
      <x:c r="Y533" s="2" t="str">
        <x:f>IF(B533="","",IF(I533&lt;&gt;"READY","NOT RELEASED",IF(AND(X533="CANDIDATE",V533&gt;='Config_v6'!$B$51,W533="PASS",'Calibrare_Linii'!T15="VALIDATED",AND('Calibrare_Linii'!H15=C533,ISNUMBER('Calibrare_Linii'!J15),'Calibrare_Linii'!J15&lt;='Input_Meci'!G43)),"PASS",IF(X533="CANDIDATE","OOS PENDING","FAIL"))))</x:f>
      </x:c>
      <x:c r="Z533" s="2" t="str">
        <x:f>IF(B533="","",IF(I533&lt;&gt;"READY","",IF(OR(NOT(AND(J533="PASS",'Calibrare_Linii'!U15="VALID")),L533&gt;'Config_v6'!$B$13,W533="WATCH"),5,IF(Y533="PASS",1,MIN(5,MAX('Config_v6'!$B$42,U533)+IF(W533="PENALTY",1,0))))))</x:f>
      </x:c>
      <x:c r="AA533" s="2" t="str">
        <x:f>IF(B533="","",IF(I533&lt;&gt;"READY","NOT RELEASED",IF(Z533=5,"NO BET",IF(OR(AB533&lt;'Config_v6'!$B$16,V533&lt;'Config_v6'!$B$18),"WATCH",IF(Z533=1,"DEFENSIV",IF(Z533=2,"PRUDENT",IF(Z533=3,"MODERAT","RIDICAT")))))))</x:f>
      </x:c>
      <x:c r="AB533" s="10" t="str">
        <x:f>IF(N533="","",MIN(N533,1-S533))</x:f>
      </x:c>
      <x:c r="AC533" s="2" t="str">
        <x:f>IF(AD533&lt;&gt;1,"",COUNTIFS($Z$524:$Z$537,"&lt;"&amp;Z533,$AD$524:$AD$537,1)+COUNTIFS($Z$524:$Z$537,Z533,$AB$524:$AB$537,"&gt;"&amp;AB533,$AD$524:$AD$537,1)+COUNTIFS($Z$524:$Z$537,Z533,$AB$524:$AB$537,AB533,$V$524:$V$537,"&gt;"&amp;V533,$AD$524:$AD$537,1)+COUNTIFS($Z$524:Z533,Z533,$AB$524:AB533,AB533,$V$524:V533,V533,$AD$524:AD533,1))</x:f>
      </x:c>
      <x:c r="AD533" s="2" t="n">
        <x:f>IF(OR(AA533="DEFENSIV",AA533="PRUDENT",AA533="MODERAT",AA533="RIDICAT"),1,0)</x:f>
        <x:v>0</x:v>
      </x:c>
      <x:c r="AE533" s="2" t="str">
        <x:f>IF(AD533&lt;&gt;1,"NO",IF(W533="PASS","YES",IF(W533="OOS PENDING","CONDITIONAL","NO")))</x:f>
        <x:v>NO</x:v>
      </x:c>
      <x:c r="AF533" s="2" t="n">
        <x:f>IF(AND(AD533=1,AC533=1,E533="LIVE"),1,0)</x:f>
        <x:v>0</x:v>
      </x:c>
      <x:c r="AG533" s="2" t="str">
        <x:f>IF(AF533&lt;&gt;1,"",'Dashboard'!P63)</x:f>
      </x:c>
      <x:c r="AH533" s="2" t="str">
        <x:f>IF(B533="","",IF(J533&lt;&gt;"PASS",'Motor_Meciuri'!J43,IF('Calibrare_Linii'!U15&lt;&gt;"VALID","Parametri linie invalizi",IF(L533&gt;'Config_v6'!$B$13,"Dispersie peste limita",IF(W533="WATCH","Failure peste limita",IF(AB533&lt;'Config_v6'!$B$16,"P finala sub prag",IF(V533&lt;'Config_v6'!$B$18,"Confidence sub prag",IF(E533="REPLAY","Exemplu retrospectiv; exclus din Top LIVE",IF(Y533="PASS","DEFENSIV validat",IF(W533="OOS PENDING","Eligibil; calibrare linie in monitorizare","Eligibil"))))))))))</x:f>
      </x:c>
      <x:c r="AI533" s="2" t="str">
        <x:f>IF(B533="","",'Calibrare_Linii'!V15)</x:f>
      </x:c>
      <x:c r="AJ533" s="2" t="str">
        <x:f>IF(B533="","",IF(AND('Calibrare_Linii'!T15="VALIDATED",AND('Calibrare_Linii'!H15=C533,ISNUMBER('Calibrare_Linii'!J15),'Calibrare_Linii'!J15&lt;='Input_Meci'!G43)),"DEFENSIVE VALIDATED",IF(AND('Calibrare_Linii'!S15="VALIDATED",AND('Calibrare_Linii'!H15=C533,ISNUMBER('Calibrare_Linii'!J15),'Calibrare_Linii'!J15&lt;='Input_Meci'!G43)),"TAIL VALIDATED","OOS PENDING")))</x:f>
      </x:c>
      <x:c r="AK533" s="2" t="n">
        <x:f>IF(J533&lt;&gt;"PASS",0,'Motor_Meciuri'!BR43)</x:f>
        <x:v>0</x:v>
      </x:c>
      <x:c r="AL533" s="2" t="n">
        <x:f>IF(J533&lt;&gt;"PASS",0,'Motor_Meciuri'!BS43)</x:f>
        <x:v>0</x:v>
      </x:c>
      <x:c r="AM533" s="2" t="n">
        <x:f>IF(J533&lt;&gt;"PASS",0,'Motor_Meciuri'!BT43)</x:f>
        <x:v>0</x:v>
      </x:c>
      <x:c r="AN533" s="2" t="str">
        <x:f>IF(M533="","",MAX(0,'Motor_Meciuri'!BF43-IF(L533&gt;'Config_v6'!$B$12,'Config_v6'!$B$37,IF(L533&gt;'Config_v6'!$B$11,'Config_v6'!$B$36,0))))</x:f>
      </x:c>
    </x:row>
    <x:row r="534" ht="21" customHeight="1">
      <x:c r="A534" s="2" t="n">
        <x:v>38</x:v>
      </x:c>
      <x:c r="B534" s="2" t="str">
        <x:f>IF('Motor_Meciuri'!A43="","",'Motor_Meciuri'!A43)</x:f>
      </x:c>
      <x:c r="C534" s="2" t="str">
        <x:f>IF(B534="","",'Motor_Meciuri'!B43)</x:f>
      </x:c>
      <x:c r="D534" s="2" t="str">
        <x:f>IF(B534="","",'Motor_Meciuri'!D43)</x:f>
      </x:c>
      <x:c r="E534" s="2" t="str">
        <x:f>IF(B534="","",'Motor_Meciuri'!E43)</x:f>
      </x:c>
      <x:c r="F534" s="2" t="str">
        <x:v>U14,5</x:v>
      </x:c>
      <x:c r="G534" s="2" t="str">
        <x:v>UNDER</x:v>
      </x:c>
      <x:c r="H534" s="2" t="n">
        <x:v>14</x:v>
      </x:c>
      <x:c r="I534" s="2" t="str">
        <x:f>IF(B534="","",'Motor_Meciuri'!H43)</x:f>
      </x:c>
      <x:c r="J534" s="2" t="str">
        <x:f>IF(B534="","",'Motor_Meciuri'!I43)</x:f>
      </x:c>
      <x:c r="K534" s="11" t="str">
        <x:f>IF(J534&lt;&gt;"PASS","",'Motor_Meciuri'!BD43)</x:f>
      </x:c>
      <x:c r="L534" s="11" t="str">
        <x:f>IF(J534&lt;&gt;"PASS","",'Motor_Meciuri'!AU43)</x:f>
      </x:c>
      <x:c r="M534" s="10" t="str">
        <x:f>IF(NOT(AND(J534="PASS",'Calibrare_Linii'!U16="VALID")),"",'Distributie'!AL43)</x:f>
      </x:c>
      <x:c r="N534" s="10" t="str">
        <x:f>IF(M534="","",MAX(0.01,MIN(0.99,0.5+(M534-0.5)*'Motor_Meciuri'!BG43*'Calibrare_Linii'!D16)))</x:f>
      </x:c>
      <x:c r="O534" s="10" t="str">
        <x:f>IF(M534="","",1-M534)</x:f>
      </x:c>
      <x:c r="P534" s="10" t="str">
        <x:f>IF(OR(NOT(AND(J534="PASS",'Calibrare_Linii'!U16="VALID")),AK534=0),""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*('Istoric_Nativ'!$Q$6:$Q$405&gt;H534))/AK534)</x:f>
      </x:c>
      <x:c r="Q534" s="10" t="str">
        <x:f>IF(OR(NOT(AND(J534="PASS",'Calibrare_Linii'!U16="VALID")),AL534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M43)+((('Istoric_Nativ'!$E$6:$E$405='Input_Meci'!E43)+('Istoric_Nativ'!$F$6:$F$405='Input_Meci'!E43))&gt;0)*('Istoric_Nativ'!$D$6:$D$405&gt;='Motor_Meciuri'!BN43))&gt;0)*('Istoric_Nativ'!$Q$6:$Q$405&gt;H534))/AL534)</x:f>
      </x:c>
      <x:c r="R534" s="10" t="str">
        <x:f>IF(OR(NOT(AND(J534="PASS",'Calibrare_Linii'!U16="VALID")),AM534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O43)+((('Istoric_Nativ'!$E$6:$E$405='Input_Meci'!E43)+('Istoric_Nativ'!$F$6:$F$405='Input_Meci'!E43))&gt;0)*('Istoric_Nativ'!$D$6:$D$405&gt;='Motor_Meciuri'!BP43))&gt;0)*('Istoric_Nativ'!$Q$6:$Q$405&gt;H534))/AM534)</x:f>
      </x:c>
      <x:c r="S534" s="10" t="str">
        <x:f>IF(M534="","",MAX(O534,P534,Q534,R534))</x:f>
      </x:c>
      <x:c r="T534" s="11" t="str">
        <x:f>IF(M534="","",MIN(100,S534*100*'Config_v6'!$B$44+MIN(100,L534/'Config_v6'!$B$13*100)*'Config_v6'!$B$45+(100-'Motor_Meciuri'!BF43)*'Config_v6'!$B$46+'Motor_Meciuri'!BH43*100*'Config_v6'!$B$47))</x:f>
      </x:c>
      <x:c r="U534" s="2" t="str">
        <x:f>IF(T534="","",IF(T534&lt;=20,1,IF(T534&lt;=40,2,IF(T534&lt;=60,3,IF(T534&lt;=80,4,5)))))</x:f>
      </x:c>
      <x:c r="V534" s="2" t="str">
        <x:f>IF(M534="","",MAX(0,'Motor_Meciuri'!BF43-IF(W534="OOS PENDING",'Config_v6'!$B$35,0)-IF(L534&gt;'Config_v6'!$B$12,'Config_v6'!$B$37,IF(L534&gt;'Config_v6'!$B$11,'Config_v6'!$B$36,0))))</x:f>
      </x:c>
      <x:c r="W534" s="2" t="str">
        <x:f>IF(B534="","",IF(I534&lt;&gt;"READY","NOT RELEASED",IF(NOT(AND(J534="PASS",'Calibrare_Linii'!U16="VALID")),"INVALID",IF(NOT(AND('Calibrare_Linii'!S16="VALIDATED",AND('Calibrare_Linii'!H16=C534,ISNUMBER('Calibrare_Linii'!J16),'Calibrare_Linii'!J16&lt;='Input_Meci'!G43))),"OOS PENDING",IF(S534&lt;='Calibrare_Linii'!E16,"PASS",IF(S534&lt;='Calibrare_Linii'!F16,"PENALTY","WATCH"))))))</x:f>
      </x:c>
      <x:c r="X534" s="2" t="str">
        <x:f>IF(M534="","",IF(AND(AND(J534="PASS",'Calibrare_Linii'!U16="VALID"),'Motor_Meciuri'!K43=12,'Motor_Meciuri'!L43=12,'Motor_Meciuri'!M43="NO",'Motor_Meciuri'!BL43='Motor_Meciuri'!C43,AB534&gt;='Config_v6'!$B$50,AN534&gt;='Config_v6'!$B$51,T534&lt;='Config_v6'!$B$52,L534&lt;='Config_v6'!$B$53,ISNUMBER('Calibrare_Linii'!E16),S534&lt;='Calibrare_Linii'!E16,SUM(AK534:AM534)&gt;0),"CANDIDATE","NO"))</x:f>
      </x:c>
      <x:c r="Y534" s="2" t="str">
        <x:f>IF(B534="","",IF(I534&lt;&gt;"READY","NOT RELEASED",IF(AND(X534="CANDIDATE",V534&gt;='Config_v6'!$B$51,W534="PASS",'Calibrare_Linii'!T16="VALIDATED",AND('Calibrare_Linii'!H16=C534,ISNUMBER('Calibrare_Linii'!J16),'Calibrare_Linii'!J16&lt;='Input_Meci'!G43)),"PASS",IF(X534="CANDIDATE","OOS PENDING","FAIL"))))</x:f>
      </x:c>
      <x:c r="Z534" s="2" t="str">
        <x:f>IF(B534="","",IF(I534&lt;&gt;"READY","",IF(OR(NOT(AND(J534="PASS",'Calibrare_Linii'!U16="VALID")),L534&gt;'Config_v6'!$B$13,W534="WATCH"),5,IF(Y534="PASS",1,MIN(5,MAX('Config_v6'!$B$42,U534)+IF(W534="PENALTY",1,0))))))</x:f>
      </x:c>
      <x:c r="AA534" s="2" t="str">
        <x:f>IF(B534="","",IF(I534&lt;&gt;"READY","NOT RELEASED",IF(Z534=5,"NO BET",IF(OR(AB534&lt;'Config_v6'!$B$16,V534&lt;'Config_v6'!$B$18),"WATCH",IF(Z534=1,"DEFENSIV",IF(Z534=2,"PRUDENT",IF(Z534=3,"MODERAT","RIDICAT")))))))</x:f>
      </x:c>
      <x:c r="AB534" s="10" t="str">
        <x:f>IF(N534="","",MIN(N534,1-S534))</x:f>
      </x:c>
      <x:c r="AC534" s="2" t="str">
        <x:f>IF(AD534&lt;&gt;1,"",COUNTIFS($Z$524:$Z$537,"&lt;"&amp;Z534,$AD$524:$AD$537,1)+COUNTIFS($Z$524:$Z$537,Z534,$AB$524:$AB$537,"&gt;"&amp;AB534,$AD$524:$AD$537,1)+COUNTIFS($Z$524:$Z$537,Z534,$AB$524:$AB$537,AB534,$V$524:$V$537,"&gt;"&amp;V534,$AD$524:$AD$537,1)+COUNTIFS($Z$524:Z534,Z534,$AB$524:AB534,AB534,$V$524:V534,V534,$AD$524:AD534,1))</x:f>
      </x:c>
      <x:c r="AD534" s="2" t="n">
        <x:f>IF(OR(AA534="DEFENSIV",AA534="PRUDENT",AA534="MODERAT",AA534="RIDICAT"),1,0)</x:f>
        <x:v>0</x:v>
      </x:c>
      <x:c r="AE534" s="2" t="str">
        <x:f>IF(AD534&lt;&gt;1,"NO",IF(W534="PASS","YES",IF(W534="OOS PENDING","CONDITIONAL","NO")))</x:f>
        <x:v>NO</x:v>
      </x:c>
      <x:c r="AF534" s="2" t="n">
        <x:f>IF(AND(AD534=1,AC534=1,E534="LIVE"),1,0)</x:f>
        <x:v>0</x:v>
      </x:c>
      <x:c r="AG534" s="2" t="str">
        <x:f>IF(AF534&lt;&gt;1,"",'Dashboard'!P63)</x:f>
      </x:c>
      <x:c r="AH534" s="2" t="str">
        <x:f>IF(B534="","",IF(J534&lt;&gt;"PASS",'Motor_Meciuri'!J43,IF('Calibrare_Linii'!U16&lt;&gt;"VALID","Parametri linie invalizi",IF(L534&gt;'Config_v6'!$B$13,"Dispersie peste limita",IF(W534="WATCH","Failure peste limita",IF(AB534&lt;'Config_v6'!$B$16,"P finala sub prag",IF(V534&lt;'Config_v6'!$B$18,"Confidence sub prag",IF(E534="REPLAY","Exemplu retrospectiv; exclus din Top LIVE",IF(Y534="PASS","DEFENSIV validat",IF(W534="OOS PENDING","Eligibil; calibrare linie in monitorizare","Eligibil"))))))))))</x:f>
      </x:c>
      <x:c r="AI534" s="2" t="str">
        <x:f>IF(B534="","",'Calibrare_Linii'!V16)</x:f>
      </x:c>
      <x:c r="AJ534" s="2" t="str">
        <x:f>IF(B534="","",IF(AND('Calibrare_Linii'!T16="VALIDATED",AND('Calibrare_Linii'!H16=C534,ISNUMBER('Calibrare_Linii'!J16),'Calibrare_Linii'!J16&lt;='Input_Meci'!G43)),"DEFENSIVE VALIDATED",IF(AND('Calibrare_Linii'!S16="VALIDATED",AND('Calibrare_Linii'!H16=C534,ISNUMBER('Calibrare_Linii'!J16),'Calibrare_Linii'!J16&lt;='Input_Meci'!G43)),"TAIL VALIDATED","OOS PENDING")))</x:f>
      </x:c>
      <x:c r="AK534" s="2" t="n">
        <x:f>IF(J534&lt;&gt;"PASS",0,'Motor_Meciuri'!BR43)</x:f>
        <x:v>0</x:v>
      </x:c>
      <x:c r="AL534" s="2" t="n">
        <x:f>IF(J534&lt;&gt;"PASS",0,'Motor_Meciuri'!BS43)</x:f>
        <x:v>0</x:v>
      </x:c>
      <x:c r="AM534" s="2" t="n">
        <x:f>IF(J534&lt;&gt;"PASS",0,'Motor_Meciuri'!BT43)</x:f>
        <x:v>0</x:v>
      </x:c>
      <x:c r="AN534" s="2" t="str">
        <x:f>IF(M534="","",MAX(0,'Motor_Meciuri'!BF43-IF(L534&gt;'Config_v6'!$B$12,'Config_v6'!$B$37,IF(L534&gt;'Config_v6'!$B$11,'Config_v6'!$B$36,0))))</x:f>
      </x:c>
    </x:row>
    <x:row r="535" ht="21" customHeight="1">
      <x:c r="A535" s="2" t="n">
        <x:v>38</x:v>
      </x:c>
      <x:c r="B535" s="2" t="str">
        <x:f>IF('Motor_Meciuri'!A43="","",'Motor_Meciuri'!A43)</x:f>
      </x:c>
      <x:c r="C535" s="2" t="str">
        <x:f>IF(B535="","",'Motor_Meciuri'!B43)</x:f>
      </x:c>
      <x:c r="D535" s="2" t="str">
        <x:f>IF(B535="","",'Motor_Meciuri'!D43)</x:f>
      </x:c>
      <x:c r="E535" s="2" t="str">
        <x:f>IF(B535="","",'Motor_Meciuri'!E43)</x:f>
      </x:c>
      <x:c r="F535" s="2" t="str">
        <x:v>U15,5</x:v>
      </x:c>
      <x:c r="G535" s="2" t="str">
        <x:v>UNDER</x:v>
      </x:c>
      <x:c r="H535" s="2" t="n">
        <x:v>15</x:v>
      </x:c>
      <x:c r="I535" s="2" t="str">
        <x:f>IF(B535="","",'Motor_Meciuri'!H43)</x:f>
      </x:c>
      <x:c r="J535" s="2" t="str">
        <x:f>IF(B535="","",'Motor_Meciuri'!I43)</x:f>
      </x:c>
      <x:c r="K535" s="11" t="str">
        <x:f>IF(J535&lt;&gt;"PASS","",'Motor_Meciuri'!BD43)</x:f>
      </x:c>
      <x:c r="L535" s="11" t="str">
        <x:f>IF(J535&lt;&gt;"PASS","",'Motor_Meciuri'!AU43)</x:f>
      </x:c>
      <x:c r="M535" s="10" t="str">
        <x:f>IF(NOT(AND(J535="PASS",'Calibrare_Linii'!U17="VALID")),"",'Distributie'!AM43)</x:f>
      </x:c>
      <x:c r="N535" s="10" t="str">
        <x:f>IF(M535="","",MAX(0.01,MIN(0.99,0.5+(M535-0.5)*'Motor_Meciuri'!BG43*'Calibrare_Linii'!D17)))</x:f>
      </x:c>
      <x:c r="O535" s="10" t="str">
        <x:f>IF(M535="","",1-M535)</x:f>
      </x:c>
      <x:c r="P535" s="10" t="str">
        <x:f>IF(OR(NOT(AND(J535="PASS",'Calibrare_Linii'!U17="VALID")),AK535=0),""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*('Istoric_Nativ'!$Q$6:$Q$405&gt;H535))/AK535)</x:f>
      </x:c>
      <x:c r="Q535" s="10" t="str">
        <x:f>IF(OR(NOT(AND(J535="PASS",'Calibrare_Linii'!U17="VALID")),AL535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M43)+((('Istoric_Nativ'!$E$6:$E$405='Input_Meci'!E43)+('Istoric_Nativ'!$F$6:$F$405='Input_Meci'!E43))&gt;0)*('Istoric_Nativ'!$D$6:$D$405&gt;='Motor_Meciuri'!BN43))&gt;0)*('Istoric_Nativ'!$Q$6:$Q$405&gt;H535))/AL535)</x:f>
      </x:c>
      <x:c r="R535" s="10" t="str">
        <x:f>IF(OR(NOT(AND(J535="PASS",'Calibrare_Linii'!U17="VALID")),AM535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O43)+((('Istoric_Nativ'!$E$6:$E$405='Input_Meci'!E43)+('Istoric_Nativ'!$F$6:$F$405='Input_Meci'!E43))&gt;0)*('Istoric_Nativ'!$D$6:$D$405&gt;='Motor_Meciuri'!BP43))&gt;0)*('Istoric_Nativ'!$Q$6:$Q$405&gt;H535))/AM535)</x:f>
      </x:c>
      <x:c r="S535" s="10" t="str">
        <x:f>IF(M535="","",MAX(O535,P535,Q535,R535))</x:f>
      </x:c>
      <x:c r="T535" s="11" t="str">
        <x:f>IF(M535="","",MIN(100,S535*100*'Config_v6'!$B$44+MIN(100,L535/'Config_v6'!$B$13*100)*'Config_v6'!$B$45+(100-'Motor_Meciuri'!BF43)*'Config_v6'!$B$46+'Motor_Meciuri'!BH43*100*'Config_v6'!$B$47))</x:f>
      </x:c>
      <x:c r="U535" s="2" t="str">
        <x:f>IF(T535="","",IF(T535&lt;=20,1,IF(T535&lt;=40,2,IF(T535&lt;=60,3,IF(T535&lt;=80,4,5)))))</x:f>
      </x:c>
      <x:c r="V535" s="2" t="str">
        <x:f>IF(M535="","",MAX(0,'Motor_Meciuri'!BF43-IF(W535="OOS PENDING",'Config_v6'!$B$35,0)-IF(L535&gt;'Config_v6'!$B$12,'Config_v6'!$B$37,IF(L535&gt;'Config_v6'!$B$11,'Config_v6'!$B$36,0))))</x:f>
      </x:c>
      <x:c r="W535" s="2" t="str">
        <x:f>IF(B535="","",IF(I535&lt;&gt;"READY","NOT RELEASED",IF(NOT(AND(J535="PASS",'Calibrare_Linii'!U17="VALID")),"INVALID",IF(NOT(AND('Calibrare_Linii'!S17="VALIDATED",AND('Calibrare_Linii'!H17=C535,ISNUMBER('Calibrare_Linii'!J17),'Calibrare_Linii'!J17&lt;='Input_Meci'!G43))),"OOS PENDING",IF(S535&lt;='Calibrare_Linii'!E17,"PASS",IF(S535&lt;='Calibrare_Linii'!F17,"PENALTY","WATCH"))))))</x:f>
      </x:c>
      <x:c r="X535" s="2" t="str">
        <x:f>IF(M535="","",IF(AND(AND(J535="PASS",'Calibrare_Linii'!U17="VALID"),'Motor_Meciuri'!K43=12,'Motor_Meciuri'!L43=12,'Motor_Meciuri'!M43="NO",'Motor_Meciuri'!BL43='Motor_Meciuri'!C43,AB535&gt;='Config_v6'!$B$50,AN535&gt;='Config_v6'!$B$51,T535&lt;='Config_v6'!$B$52,L535&lt;='Config_v6'!$B$53,ISNUMBER('Calibrare_Linii'!E17),S535&lt;='Calibrare_Linii'!E17,SUM(AK535:AM535)&gt;0),"CANDIDATE","NO"))</x:f>
      </x:c>
      <x:c r="Y535" s="2" t="str">
        <x:f>IF(B535="","",IF(I535&lt;&gt;"READY","NOT RELEASED",IF(AND(X535="CANDIDATE",V535&gt;='Config_v6'!$B$51,W535="PASS",'Calibrare_Linii'!T17="VALIDATED",AND('Calibrare_Linii'!H17=C535,ISNUMBER('Calibrare_Linii'!J17),'Calibrare_Linii'!J17&lt;='Input_Meci'!G43)),"PASS",IF(X535="CANDIDATE","OOS PENDING","FAIL"))))</x:f>
      </x:c>
      <x:c r="Z535" s="2" t="str">
        <x:f>IF(B535="","",IF(I535&lt;&gt;"READY","",IF(OR(NOT(AND(J535="PASS",'Calibrare_Linii'!U17="VALID")),L535&gt;'Config_v6'!$B$13,W535="WATCH"),5,IF(Y535="PASS",1,MIN(5,MAX('Config_v6'!$B$42,U535)+IF(W535="PENALTY",1,0))))))</x:f>
      </x:c>
      <x:c r="AA535" s="2" t="str">
        <x:f>IF(B535="","",IF(I535&lt;&gt;"READY","NOT RELEASED",IF(Z535=5,"NO BET",IF(OR(AB535&lt;'Config_v6'!$B$16,V535&lt;'Config_v6'!$B$18),"WATCH",IF(Z535=1,"DEFENSIV",IF(Z535=2,"PRUDENT",IF(Z535=3,"MODERAT","RIDICAT")))))))</x:f>
      </x:c>
      <x:c r="AB535" s="10" t="str">
        <x:f>IF(N535="","",MIN(N535,1-S535))</x:f>
      </x:c>
      <x:c r="AC535" s="2" t="str">
        <x:f>IF(AD535&lt;&gt;1,"",COUNTIFS($Z$524:$Z$537,"&lt;"&amp;Z535,$AD$524:$AD$537,1)+COUNTIFS($Z$524:$Z$537,Z535,$AB$524:$AB$537,"&gt;"&amp;AB535,$AD$524:$AD$537,1)+COUNTIFS($Z$524:$Z$537,Z535,$AB$524:$AB$537,AB535,$V$524:$V$537,"&gt;"&amp;V535,$AD$524:$AD$537,1)+COUNTIFS($Z$524:Z535,Z535,$AB$524:AB535,AB535,$V$524:V535,V535,$AD$524:AD535,1))</x:f>
      </x:c>
      <x:c r="AD535" s="2" t="n">
        <x:f>IF(OR(AA535="DEFENSIV",AA535="PRUDENT",AA535="MODERAT",AA535="RIDICAT"),1,0)</x:f>
        <x:v>0</x:v>
      </x:c>
      <x:c r="AE535" s="2" t="str">
        <x:f>IF(AD535&lt;&gt;1,"NO",IF(W535="PASS","YES",IF(W535="OOS PENDING","CONDITIONAL","NO")))</x:f>
        <x:v>NO</x:v>
      </x:c>
      <x:c r="AF535" s="2" t="n">
        <x:f>IF(AND(AD535=1,AC535=1,E535="LIVE"),1,0)</x:f>
        <x:v>0</x:v>
      </x:c>
      <x:c r="AG535" s="2" t="str">
        <x:f>IF(AF535&lt;&gt;1,"",'Dashboard'!P63)</x:f>
      </x:c>
      <x:c r="AH535" s="2" t="str">
        <x:f>IF(B535="","",IF(J535&lt;&gt;"PASS",'Motor_Meciuri'!J43,IF('Calibrare_Linii'!U17&lt;&gt;"VALID","Parametri linie invalizi",IF(L535&gt;'Config_v6'!$B$13,"Dispersie peste limita",IF(W535="WATCH","Failure peste limita",IF(AB535&lt;'Config_v6'!$B$16,"P finala sub prag",IF(V535&lt;'Config_v6'!$B$18,"Confidence sub prag",IF(E535="REPLAY","Exemplu retrospectiv; exclus din Top LIVE",IF(Y535="PASS","DEFENSIV validat",IF(W535="OOS PENDING","Eligibil; calibrare linie in monitorizare","Eligibil"))))))))))</x:f>
      </x:c>
      <x:c r="AI535" s="2" t="str">
        <x:f>IF(B535="","",'Calibrare_Linii'!V17)</x:f>
      </x:c>
      <x:c r="AJ535" s="2" t="str">
        <x:f>IF(B535="","",IF(AND('Calibrare_Linii'!T17="VALIDATED",AND('Calibrare_Linii'!H17=C535,ISNUMBER('Calibrare_Linii'!J17),'Calibrare_Linii'!J17&lt;='Input_Meci'!G43)),"DEFENSIVE VALIDATED",IF(AND('Calibrare_Linii'!S17="VALIDATED",AND('Calibrare_Linii'!H17=C535,ISNUMBER('Calibrare_Linii'!J17),'Calibrare_Linii'!J17&lt;='Input_Meci'!G43)),"TAIL VALIDATED","OOS PENDING")))</x:f>
      </x:c>
      <x:c r="AK535" s="2" t="n">
        <x:f>IF(J535&lt;&gt;"PASS",0,'Motor_Meciuri'!BR43)</x:f>
        <x:v>0</x:v>
      </x:c>
      <x:c r="AL535" s="2" t="n">
        <x:f>IF(J535&lt;&gt;"PASS",0,'Motor_Meciuri'!BS43)</x:f>
        <x:v>0</x:v>
      </x:c>
      <x:c r="AM535" s="2" t="n">
        <x:f>IF(J535&lt;&gt;"PASS",0,'Motor_Meciuri'!BT43)</x:f>
        <x:v>0</x:v>
      </x:c>
      <x:c r="AN535" s="2" t="str">
        <x:f>IF(M535="","",MAX(0,'Motor_Meciuri'!BF43-IF(L535&gt;'Config_v6'!$B$12,'Config_v6'!$B$37,IF(L535&gt;'Config_v6'!$B$11,'Config_v6'!$B$36,0))))</x:f>
      </x:c>
    </x:row>
    <x:row r="536" ht="21" customHeight="1">
      <x:c r="A536" s="2" t="n">
        <x:v>38</x:v>
      </x:c>
      <x:c r="B536" s="2" t="str">
        <x:f>IF('Motor_Meciuri'!A43="","",'Motor_Meciuri'!A43)</x:f>
      </x:c>
      <x:c r="C536" s="2" t="str">
        <x:f>IF(B536="","",'Motor_Meciuri'!B43)</x:f>
      </x:c>
      <x:c r="D536" s="2" t="str">
        <x:f>IF(B536="","",'Motor_Meciuri'!D43)</x:f>
      </x:c>
      <x:c r="E536" s="2" t="str">
        <x:f>IF(B536="","",'Motor_Meciuri'!E43)</x:f>
      </x:c>
      <x:c r="F536" s="2" t="str">
        <x:v>U16,5</x:v>
      </x:c>
      <x:c r="G536" s="2" t="str">
        <x:v>UNDER</x:v>
      </x:c>
      <x:c r="H536" s="2" t="n">
        <x:v>16</x:v>
      </x:c>
      <x:c r="I536" s="2" t="str">
        <x:f>IF(B536="","",'Motor_Meciuri'!H43)</x:f>
      </x:c>
      <x:c r="J536" s="2" t="str">
        <x:f>IF(B536="","",'Motor_Meciuri'!I43)</x:f>
      </x:c>
      <x:c r="K536" s="11" t="str">
        <x:f>IF(J536&lt;&gt;"PASS","",'Motor_Meciuri'!BD43)</x:f>
      </x:c>
      <x:c r="L536" s="11" t="str">
        <x:f>IF(J536&lt;&gt;"PASS","",'Motor_Meciuri'!AU43)</x:f>
      </x:c>
      <x:c r="M536" s="10" t="str">
        <x:f>IF(NOT(AND(J536="PASS",'Calibrare_Linii'!U18="VALID")),"",'Distributie'!AN43)</x:f>
      </x:c>
      <x:c r="N536" s="10" t="str">
        <x:f>IF(M536="","",MAX(0.01,MIN(0.99,0.5+(M536-0.5)*'Motor_Meciuri'!BG43*'Calibrare_Linii'!D18)))</x:f>
      </x:c>
      <x:c r="O536" s="10" t="str">
        <x:f>IF(M536="","",1-M536)</x:f>
      </x:c>
      <x:c r="P536" s="10" t="str">
        <x:f>IF(OR(NOT(AND(J536="PASS",'Calibrare_Linii'!U18="VALID")),AK536=0),""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*('Istoric_Nativ'!$Q$6:$Q$405&gt;H536))/AK536)</x:f>
      </x:c>
      <x:c r="Q536" s="10" t="str">
        <x:f>IF(OR(NOT(AND(J536="PASS",'Calibrare_Linii'!U18="VALID")),AL536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M43)+((('Istoric_Nativ'!$E$6:$E$405='Input_Meci'!E43)+('Istoric_Nativ'!$F$6:$F$405='Input_Meci'!E43))&gt;0)*('Istoric_Nativ'!$D$6:$D$405&gt;='Motor_Meciuri'!BN43))&gt;0)*('Istoric_Nativ'!$Q$6:$Q$405&gt;H536))/AL536)</x:f>
      </x:c>
      <x:c r="R536" s="10" t="str">
        <x:f>IF(OR(NOT(AND(J536="PASS",'Calibrare_Linii'!U18="VALID")),AM536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O43)+((('Istoric_Nativ'!$E$6:$E$405='Input_Meci'!E43)+('Istoric_Nativ'!$F$6:$F$405='Input_Meci'!E43))&gt;0)*('Istoric_Nativ'!$D$6:$D$405&gt;='Motor_Meciuri'!BP43))&gt;0)*('Istoric_Nativ'!$Q$6:$Q$405&gt;H536))/AM536)</x:f>
      </x:c>
      <x:c r="S536" s="10" t="str">
        <x:f>IF(M536="","",MAX(O536,P536,Q536,R536))</x:f>
      </x:c>
      <x:c r="T536" s="11" t="str">
        <x:f>IF(M536="","",MIN(100,S536*100*'Config_v6'!$B$44+MIN(100,L536/'Config_v6'!$B$13*100)*'Config_v6'!$B$45+(100-'Motor_Meciuri'!BF43)*'Config_v6'!$B$46+'Motor_Meciuri'!BH43*100*'Config_v6'!$B$47))</x:f>
      </x:c>
      <x:c r="U536" s="2" t="str">
        <x:f>IF(T536="","",IF(T536&lt;=20,1,IF(T536&lt;=40,2,IF(T536&lt;=60,3,IF(T536&lt;=80,4,5)))))</x:f>
      </x:c>
      <x:c r="V536" s="2" t="str">
        <x:f>IF(M536="","",MAX(0,'Motor_Meciuri'!BF43-IF(W536="OOS PENDING",'Config_v6'!$B$35,0)-IF(L536&gt;'Config_v6'!$B$12,'Config_v6'!$B$37,IF(L536&gt;'Config_v6'!$B$11,'Config_v6'!$B$36,0))))</x:f>
      </x:c>
      <x:c r="W536" s="2" t="str">
        <x:f>IF(B536="","",IF(I536&lt;&gt;"READY","NOT RELEASED",IF(NOT(AND(J536="PASS",'Calibrare_Linii'!U18="VALID")),"INVALID",IF(NOT(AND('Calibrare_Linii'!S18="VALIDATED",AND('Calibrare_Linii'!H18=C536,ISNUMBER('Calibrare_Linii'!J18),'Calibrare_Linii'!J18&lt;='Input_Meci'!G43))),"OOS PENDING",IF(S536&lt;='Calibrare_Linii'!E18,"PASS",IF(S536&lt;='Calibrare_Linii'!F18,"PENALTY","WATCH"))))))</x:f>
      </x:c>
      <x:c r="X536" s="2" t="str">
        <x:f>IF(M536="","",IF(AND(AND(J536="PASS",'Calibrare_Linii'!U18="VALID"),'Motor_Meciuri'!K43=12,'Motor_Meciuri'!L43=12,'Motor_Meciuri'!M43="NO",'Motor_Meciuri'!BL43='Motor_Meciuri'!C43,AB536&gt;='Config_v6'!$B$50,AN536&gt;='Config_v6'!$B$51,T536&lt;='Config_v6'!$B$52,L536&lt;='Config_v6'!$B$53,ISNUMBER('Calibrare_Linii'!E18),S536&lt;='Calibrare_Linii'!E18,SUM(AK536:AM536)&gt;0),"CANDIDATE","NO"))</x:f>
      </x:c>
      <x:c r="Y536" s="2" t="str">
        <x:f>IF(B536="","",IF(I536&lt;&gt;"READY","NOT RELEASED",IF(AND(X536="CANDIDATE",V536&gt;='Config_v6'!$B$51,W536="PASS",'Calibrare_Linii'!T18="VALIDATED",AND('Calibrare_Linii'!H18=C536,ISNUMBER('Calibrare_Linii'!J18),'Calibrare_Linii'!J18&lt;='Input_Meci'!G43)),"PASS",IF(X536="CANDIDATE","OOS PENDING","FAIL"))))</x:f>
      </x:c>
      <x:c r="Z536" s="2" t="str">
        <x:f>IF(B536="","",IF(I536&lt;&gt;"READY","",IF(OR(NOT(AND(J536="PASS",'Calibrare_Linii'!U18="VALID")),L536&gt;'Config_v6'!$B$13,W536="WATCH"),5,IF(Y536="PASS",1,MIN(5,MAX('Config_v6'!$B$42,U536)+IF(W536="PENALTY",1,0))))))</x:f>
      </x:c>
      <x:c r="AA536" s="2" t="str">
        <x:f>IF(B536="","",IF(I536&lt;&gt;"READY","NOT RELEASED",IF(Z536=5,"NO BET",IF(OR(AB536&lt;'Config_v6'!$B$16,V536&lt;'Config_v6'!$B$18),"WATCH",IF(Z536=1,"DEFENSIV",IF(Z536=2,"PRUDENT",IF(Z536=3,"MODERAT","RIDICAT")))))))</x:f>
      </x:c>
      <x:c r="AB536" s="10" t="str">
        <x:f>IF(N536="","",MIN(N536,1-S536))</x:f>
      </x:c>
      <x:c r="AC536" s="2" t="str">
        <x:f>IF(AD536&lt;&gt;1,"",COUNTIFS($Z$524:$Z$537,"&lt;"&amp;Z536,$AD$524:$AD$537,1)+COUNTIFS($Z$524:$Z$537,Z536,$AB$524:$AB$537,"&gt;"&amp;AB536,$AD$524:$AD$537,1)+COUNTIFS($Z$524:$Z$537,Z536,$AB$524:$AB$537,AB536,$V$524:$V$537,"&gt;"&amp;V536,$AD$524:$AD$537,1)+COUNTIFS($Z$524:Z536,Z536,$AB$524:AB536,AB536,$V$524:V536,V536,$AD$524:AD536,1))</x:f>
      </x:c>
      <x:c r="AD536" s="2" t="n">
        <x:f>IF(OR(AA536="DEFENSIV",AA536="PRUDENT",AA536="MODERAT",AA536="RIDICAT"),1,0)</x:f>
        <x:v>0</x:v>
      </x:c>
      <x:c r="AE536" s="2" t="str">
        <x:f>IF(AD536&lt;&gt;1,"NO",IF(W536="PASS","YES",IF(W536="OOS PENDING","CONDITIONAL","NO")))</x:f>
        <x:v>NO</x:v>
      </x:c>
      <x:c r="AF536" s="2" t="n">
        <x:f>IF(AND(AD536=1,AC536=1,E536="LIVE"),1,0)</x:f>
        <x:v>0</x:v>
      </x:c>
      <x:c r="AG536" s="2" t="str">
        <x:f>IF(AF536&lt;&gt;1,"",'Dashboard'!P63)</x:f>
      </x:c>
      <x:c r="AH536" s="2" t="str">
        <x:f>IF(B536="","",IF(J536&lt;&gt;"PASS",'Motor_Meciuri'!J43,IF('Calibrare_Linii'!U18&lt;&gt;"VALID","Parametri linie invalizi",IF(L536&gt;'Config_v6'!$B$13,"Dispersie peste limita",IF(W536="WATCH","Failure peste limita",IF(AB536&lt;'Config_v6'!$B$16,"P finala sub prag",IF(V536&lt;'Config_v6'!$B$18,"Confidence sub prag",IF(E536="REPLAY","Exemplu retrospectiv; exclus din Top LIVE",IF(Y536="PASS","DEFENSIV validat",IF(W536="OOS PENDING","Eligibil; calibrare linie in monitorizare","Eligibil"))))))))))</x:f>
      </x:c>
      <x:c r="AI536" s="2" t="str">
        <x:f>IF(B536="","",'Calibrare_Linii'!V18)</x:f>
      </x:c>
      <x:c r="AJ536" s="2" t="str">
        <x:f>IF(B536="","",IF(AND('Calibrare_Linii'!T18="VALIDATED",AND('Calibrare_Linii'!H18=C536,ISNUMBER('Calibrare_Linii'!J18),'Calibrare_Linii'!J18&lt;='Input_Meci'!G43)),"DEFENSIVE VALIDATED",IF(AND('Calibrare_Linii'!S18="VALIDATED",AND('Calibrare_Linii'!H18=C536,ISNUMBER('Calibrare_Linii'!J18),'Calibrare_Linii'!J18&lt;='Input_Meci'!G43)),"TAIL VALIDATED","OOS PENDING")))</x:f>
      </x:c>
      <x:c r="AK536" s="2" t="n">
        <x:f>IF(J536&lt;&gt;"PASS",0,'Motor_Meciuri'!BR43)</x:f>
        <x:v>0</x:v>
      </x:c>
      <x:c r="AL536" s="2" t="n">
        <x:f>IF(J536&lt;&gt;"PASS",0,'Motor_Meciuri'!BS43)</x:f>
        <x:v>0</x:v>
      </x:c>
      <x:c r="AM536" s="2" t="n">
        <x:f>IF(J536&lt;&gt;"PASS",0,'Motor_Meciuri'!BT43)</x:f>
        <x:v>0</x:v>
      </x:c>
      <x:c r="AN536" s="2" t="str">
        <x:f>IF(M536="","",MAX(0,'Motor_Meciuri'!BF43-IF(L536&gt;'Config_v6'!$B$12,'Config_v6'!$B$37,IF(L536&gt;'Config_v6'!$B$11,'Config_v6'!$B$36,0))))</x:f>
      </x:c>
    </x:row>
    <x:row r="537" ht="21" customHeight="1">
      <x:c r="A537" s="2" t="n">
        <x:v>38</x:v>
      </x:c>
      <x:c r="B537" s="2" t="str">
        <x:f>IF('Motor_Meciuri'!A43="","",'Motor_Meciuri'!A43)</x:f>
      </x:c>
      <x:c r="C537" s="2" t="str">
        <x:f>IF(B537="","",'Motor_Meciuri'!B43)</x:f>
      </x:c>
      <x:c r="D537" s="2" t="str">
        <x:f>IF(B537="","",'Motor_Meciuri'!D43)</x:f>
      </x:c>
      <x:c r="E537" s="2" t="str">
        <x:f>IF(B537="","",'Motor_Meciuri'!E43)</x:f>
      </x:c>
      <x:c r="F537" s="2" t="str">
        <x:v>U17,5</x:v>
      </x:c>
      <x:c r="G537" s="2" t="str">
        <x:v>UNDER</x:v>
      </x:c>
      <x:c r="H537" s="2" t="n">
        <x:v>17</x:v>
      </x:c>
      <x:c r="I537" s="2" t="str">
        <x:f>IF(B537="","",'Motor_Meciuri'!H43)</x:f>
      </x:c>
      <x:c r="J537" s="2" t="str">
        <x:f>IF(B537="","",'Motor_Meciuri'!I43)</x:f>
      </x:c>
      <x:c r="K537" s="11" t="str">
        <x:f>IF(J537&lt;&gt;"PASS","",'Motor_Meciuri'!BD43)</x:f>
      </x:c>
      <x:c r="L537" s="11" t="str">
        <x:f>IF(J537&lt;&gt;"PASS","",'Motor_Meciuri'!AU43)</x:f>
      </x:c>
      <x:c r="M537" s="10" t="str">
        <x:f>IF(NOT(AND(J537="PASS",'Calibrare_Linii'!U19="VALID")),"",'Distributie'!AO43)</x:f>
      </x:c>
      <x:c r="N537" s="10" t="str">
        <x:f>IF(M537="","",MAX(0.01,MIN(0.99,0.5+(M537-0.5)*'Motor_Meciuri'!BG43*'Calibrare_Linii'!D19)))</x:f>
      </x:c>
      <x:c r="O537" s="10" t="str">
        <x:f>IF(M537="","",1-M537)</x:f>
      </x:c>
      <x:c r="P537" s="10" t="str">
        <x:f>IF(OR(NOT(AND(J537="PASS",'Calibrare_Linii'!U19="VALID")),AK537=0),""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*('Istoric_Nativ'!$Q$6:$Q$405&gt;H537))/AK537)</x:f>
      </x:c>
      <x:c r="Q537" s="10" t="str">
        <x:f>IF(OR(NOT(AND(J537="PASS",'Calibrare_Linii'!U19="VALID")),AL537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M43)+((('Istoric_Nativ'!$E$6:$E$405='Input_Meci'!E43)+('Istoric_Nativ'!$F$6:$F$405='Input_Meci'!E43))&gt;0)*('Istoric_Nativ'!$D$6:$D$405&gt;='Motor_Meciuri'!BN43))&gt;0)*('Istoric_Nativ'!$Q$6:$Q$405&gt;H537))/AL537)</x:f>
      </x:c>
      <x:c r="R537" s="10" t="str">
        <x:f>IF(OR(NOT(AND(J537="PASS",'Calibrare_Linii'!U19="VALID")),AM537=0),""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'Motor_Meciuri'!BO43)+((('Istoric_Nativ'!$E$6:$E$405='Input_Meci'!E43)+('Istoric_Nativ'!$F$6:$F$405='Input_Meci'!E43))&gt;0)*('Istoric_Nativ'!$D$6:$D$405&gt;='Motor_Meciuri'!BP43))&gt;0)*('Istoric_Nativ'!$Q$6:$Q$405&gt;H537))/AM537)</x:f>
      </x:c>
      <x:c r="S537" s="10" t="str">
        <x:f>IF(M537="","",MAX(O537,P537,Q537,R537))</x:f>
      </x:c>
      <x:c r="T537" s="11" t="str">
        <x:f>IF(M537="","",MIN(100,S537*100*'Config_v6'!$B$44+MIN(100,L537/'Config_v6'!$B$13*100)*'Config_v6'!$B$45+(100-'Motor_Meciuri'!BF43)*'Config_v6'!$B$46+'Motor_Meciuri'!BH43*100*'Config_v6'!$B$47))</x:f>
      </x:c>
      <x:c r="U537" s="2" t="str">
        <x:f>IF(T537="","",IF(T537&lt;=20,1,IF(T537&lt;=40,2,IF(T537&lt;=60,3,IF(T537&lt;=80,4,5)))))</x:f>
      </x:c>
      <x:c r="V537" s="2" t="str">
        <x:f>IF(M537="","",MAX(0,'Motor_Meciuri'!BF43-IF(W537="OOS PENDING",'Config_v6'!$B$35,0)-IF(L537&gt;'Config_v6'!$B$12,'Config_v6'!$B$37,IF(L537&gt;'Config_v6'!$B$11,'Config_v6'!$B$36,0))))</x:f>
      </x:c>
      <x:c r="W537" s="2" t="str">
        <x:f>IF(B537="","",IF(I537&lt;&gt;"READY","NOT RELEASED",IF(NOT(AND(J537="PASS",'Calibrare_Linii'!U19="VALID")),"INVALID",IF(NOT(AND('Calibrare_Linii'!S19="VALIDATED",AND('Calibrare_Linii'!H19=C537,ISNUMBER('Calibrare_Linii'!J19),'Calibrare_Linii'!J19&lt;='Input_Meci'!G43))),"OOS PENDING",IF(S537&lt;='Calibrare_Linii'!E19,"PASS",IF(S537&lt;='Calibrare_Linii'!F19,"PENALTY","WATCH"))))))</x:f>
      </x:c>
      <x:c r="X537" s="2" t="str">
        <x:f>IF(M537="","",IF(AND(AND(J537="PASS",'Calibrare_Linii'!U19="VALID"),'Motor_Meciuri'!K43=12,'Motor_Meciuri'!L43=12,'Motor_Meciuri'!M43="NO",'Motor_Meciuri'!BL43='Motor_Meciuri'!C43,AB537&gt;='Config_v6'!$B$50,AN537&gt;='Config_v6'!$B$51,T537&lt;='Config_v6'!$B$52,L537&lt;='Config_v6'!$B$53,ISNUMBER('Calibrare_Linii'!E19),S537&lt;='Calibrare_Linii'!E19,SUM(AK537:AM537)&gt;0),"CANDIDATE","NO"))</x:f>
      </x:c>
      <x:c r="Y537" s="2" t="str">
        <x:f>IF(B537="","",IF(I537&lt;&gt;"READY","NOT RELEASED",IF(AND(X537="CANDIDATE",V537&gt;='Config_v6'!$B$51,W537="PASS",'Calibrare_Linii'!T19="VALIDATED",AND('Calibrare_Linii'!H19=C537,ISNUMBER('Calibrare_Linii'!J19),'Calibrare_Linii'!J19&lt;='Input_Meci'!G43)),"PASS",IF(X537="CANDIDATE","OOS PENDING","FAIL"))))</x:f>
      </x:c>
      <x:c r="Z537" s="2" t="str">
        <x:f>IF(B537="","",IF(I537&lt;&gt;"READY","",IF(OR(NOT(AND(J537="PASS",'Calibrare_Linii'!U19="VALID")),L537&gt;'Config_v6'!$B$13,W537="WATCH"),5,IF(Y537="PASS",1,MIN(5,MAX('Config_v6'!$B$42,U537)+IF(W537="PENALTY",1,0))))))</x:f>
      </x:c>
      <x:c r="AA537" s="2" t="str">
        <x:f>IF(B537="","",IF(I537&lt;&gt;"READY","NOT RELEASED",IF(Z537=5,"NO BET",IF(OR(AB537&lt;'Config_v6'!$B$16,V537&lt;'Config_v6'!$B$18),"WATCH",IF(Z537=1,"DEFENSIV",IF(Z537=2,"PRUDENT",IF(Z537=3,"MODERAT","RIDICAT")))))))</x:f>
      </x:c>
      <x:c r="AB537" s="10" t="str">
        <x:f>IF(N537="","",MIN(N537,1-S537))</x:f>
      </x:c>
      <x:c r="AC537" s="2" t="str">
        <x:f>IF(AD537&lt;&gt;1,"",COUNTIFS($Z$524:$Z$537,"&lt;"&amp;Z537,$AD$524:$AD$537,1)+COUNTIFS($Z$524:$Z$537,Z537,$AB$524:$AB$537,"&gt;"&amp;AB537,$AD$524:$AD$537,1)+COUNTIFS($Z$524:$Z$537,Z537,$AB$524:$AB$537,AB537,$V$524:$V$537,"&gt;"&amp;V537,$AD$524:$AD$537,1)+COUNTIFS($Z$524:Z537,Z537,$AB$524:AB537,AB537,$V$524:V537,V537,$AD$524:AD537,1))</x:f>
      </x:c>
      <x:c r="AD537" s="2" t="n">
        <x:f>IF(OR(AA537="DEFENSIV",AA537="PRUDENT",AA537="MODERAT",AA537="RIDICAT"),1,0)</x:f>
        <x:v>0</x:v>
      </x:c>
      <x:c r="AE537" s="2" t="str">
        <x:f>IF(AD537&lt;&gt;1,"NO",IF(W537="PASS","YES",IF(W537="OOS PENDING","CONDITIONAL","NO")))</x:f>
        <x:v>NO</x:v>
      </x:c>
      <x:c r="AF537" s="2" t="n">
        <x:f>IF(AND(AD537=1,AC537=1,E537="LIVE"),1,0)</x:f>
        <x:v>0</x:v>
      </x:c>
      <x:c r="AG537" s="2" t="str">
        <x:f>IF(AF537&lt;&gt;1,"",'Dashboard'!P63)</x:f>
      </x:c>
      <x:c r="AH537" s="2" t="str">
        <x:f>IF(B537="","",IF(J537&lt;&gt;"PASS",'Motor_Meciuri'!J43,IF('Calibrare_Linii'!U19&lt;&gt;"VALID","Parametri linie invalizi",IF(L537&gt;'Config_v6'!$B$13,"Dispersie peste limita",IF(W537="WATCH","Failure peste limita",IF(AB537&lt;'Config_v6'!$B$16,"P finala sub prag",IF(V537&lt;'Config_v6'!$B$18,"Confidence sub prag",IF(E537="REPLAY","Exemplu retrospectiv; exclus din Top LIVE",IF(Y537="PASS","DEFENSIV validat",IF(W537="OOS PENDING","Eligibil; calibrare linie in monitorizare","Eligibil"))))))))))</x:f>
      </x:c>
      <x:c r="AI537" s="2" t="str">
        <x:f>IF(B537="","",'Calibrare_Linii'!V19)</x:f>
      </x:c>
      <x:c r="AJ537" s="2" t="str">
        <x:f>IF(B537="","",IF(AND('Calibrare_Linii'!T19="VALIDATED",AND('Calibrare_Linii'!H19=C537,ISNUMBER('Calibrare_Linii'!J19),'Calibrare_Linii'!J19&lt;='Input_Meci'!G43)),"DEFENSIVE VALIDATED",IF(AND('Calibrare_Linii'!S19="VALIDATED",AND('Calibrare_Linii'!H19=C537,ISNUMBER('Calibrare_Linii'!J19),'Calibrare_Linii'!J19&lt;='Input_Meci'!G43)),"TAIL VALIDATED","OOS PENDING")))</x:f>
      </x:c>
      <x:c r="AK537" s="2" t="n">
        <x:f>IF(J537&lt;&gt;"PASS",0,'Motor_Meciuri'!BR43)</x:f>
        <x:v>0</x:v>
      </x:c>
      <x:c r="AL537" s="2" t="n">
        <x:f>IF(J537&lt;&gt;"PASS",0,'Motor_Meciuri'!BS43)</x:f>
        <x:v>0</x:v>
      </x:c>
      <x:c r="AM537" s="2" t="n">
        <x:f>IF(J537&lt;&gt;"PASS",0,'Motor_Meciuri'!BT43)</x:f>
        <x:v>0</x:v>
      </x:c>
      <x:c r="AN537" s="2" t="str">
        <x:f>IF(M537="","",MAX(0,'Motor_Meciuri'!BF43-IF(L537&gt;'Config_v6'!$B$12,'Config_v6'!$B$37,IF(L537&gt;'Config_v6'!$B$11,'Config_v6'!$B$36,0))))</x:f>
      </x:c>
    </x:row>
    <x:row r="538" ht="21" customHeight="1">
      <x:c r="A538" s="2" t="n">
        <x:v>39</x:v>
      </x:c>
      <x:c r="B538" s="2" t="str">
        <x:f>IF('Motor_Meciuri'!A44="","",'Motor_Meciuri'!A44)</x:f>
      </x:c>
      <x:c r="C538" s="2" t="str">
        <x:f>IF(B538="","",'Motor_Meciuri'!B44)</x:f>
      </x:c>
      <x:c r="D538" s="2" t="str">
        <x:f>IF(B538="","",'Motor_Meciuri'!D44)</x:f>
      </x:c>
      <x:c r="E538" s="2" t="str">
        <x:f>IF(B538="","",'Motor_Meciuri'!E44)</x:f>
      </x:c>
      <x:c r="F538" s="2" t="str">
        <x:v>O3,5</x:v>
      </x:c>
      <x:c r="G538" s="2" t="str">
        <x:v>OVER</x:v>
      </x:c>
      <x:c r="H538" s="2" t="n">
        <x:v>3</x:v>
      </x:c>
      <x:c r="I538" s="2" t="str">
        <x:f>IF(B538="","",'Motor_Meciuri'!H44)</x:f>
      </x:c>
      <x:c r="J538" s="2" t="str">
        <x:f>IF(B538="","",'Motor_Meciuri'!I44)</x:f>
      </x:c>
      <x:c r="K538" s="11" t="str">
        <x:f>IF(J538&lt;&gt;"PASS","",'Motor_Meciuri'!BD44)</x:f>
      </x:c>
      <x:c r="L538" s="11" t="str">
        <x:f>IF(J538&lt;&gt;"PASS","",'Motor_Meciuri'!AU44)</x:f>
      </x:c>
      <x:c r="M538" s="10" t="str">
        <x:f>IF(NOT(AND(J538="PASS",'Calibrare_Linii'!U6="VALID")),"",1-'Distributie'!AA44)</x:f>
      </x:c>
      <x:c r="N538" s="10" t="str">
        <x:f>IF(M538="","",MAX(0.01,MIN(0.99,0.5+(M538-0.5)*'Motor_Meciuri'!BG44*'Calibrare_Linii'!D6)))</x:f>
      </x:c>
      <x:c r="O538" s="10" t="str">
        <x:f>IF(M538="","",1-M538)</x:f>
      </x:c>
      <x:c r="P538" s="10" t="str">
        <x:f>IF(OR(NOT(AND(J538="PASS",'Calibrare_Linii'!U6="VALID")),AK538=0),""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*('Istoric_Nativ'!$Q$6:$Q$405&lt;=H538))/AK538)</x:f>
      </x:c>
      <x:c r="Q538" s="10" t="str">
        <x:f>IF(OR(NOT(AND(J538="PASS",'Calibrare_Linii'!U6="VALID")),AL538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M44)+((('Istoric_Nativ'!$E$6:$E$405='Input_Meci'!E44)+('Istoric_Nativ'!$F$6:$F$405='Input_Meci'!E44))&gt;0)*('Istoric_Nativ'!$D$6:$D$405&gt;='Motor_Meciuri'!BN44))&gt;0)*('Istoric_Nativ'!$Q$6:$Q$405&lt;=H538))/AL538)</x:f>
      </x:c>
      <x:c r="R538" s="10" t="str">
        <x:f>IF(OR(NOT(AND(J538="PASS",'Calibrare_Linii'!U6="VALID")),AM538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O44)+((('Istoric_Nativ'!$E$6:$E$405='Input_Meci'!E44)+('Istoric_Nativ'!$F$6:$F$405='Input_Meci'!E44))&gt;0)*('Istoric_Nativ'!$D$6:$D$405&gt;='Motor_Meciuri'!BP44))&gt;0)*('Istoric_Nativ'!$Q$6:$Q$405&lt;=H538))/AM538)</x:f>
      </x:c>
      <x:c r="S538" s="10" t="str">
        <x:f>IF(M538="","",MAX(O538,P538,Q538,R538))</x:f>
      </x:c>
      <x:c r="T538" s="11" t="str">
        <x:f>IF(M538="","",MIN(100,S538*100*'Config_v6'!$B$44+MIN(100,L538/'Config_v6'!$B$13*100)*'Config_v6'!$B$45+(100-'Motor_Meciuri'!BF44)*'Config_v6'!$B$46+'Motor_Meciuri'!BH44*100*'Config_v6'!$B$47))</x:f>
      </x:c>
      <x:c r="U538" s="2" t="str">
        <x:f>IF(T538="","",IF(T538&lt;=20,1,IF(T538&lt;=40,2,IF(T538&lt;=60,3,IF(T538&lt;=80,4,5)))))</x:f>
      </x:c>
      <x:c r="V538" s="2" t="str">
        <x:f>IF(M538="","",MAX(0,'Motor_Meciuri'!BF44-IF(W538="OOS PENDING",'Config_v6'!$B$35,0)-IF(L538&gt;'Config_v6'!$B$12,'Config_v6'!$B$37,IF(L538&gt;'Config_v6'!$B$11,'Config_v6'!$B$36,0))))</x:f>
      </x:c>
      <x:c r="W538" s="2" t="str">
        <x:f>IF(B538="","",IF(I538&lt;&gt;"READY","NOT RELEASED",IF(NOT(AND(J538="PASS",'Calibrare_Linii'!U6="VALID")),"INVALID",IF(NOT(TRUE),"OOS PENDING",IF(S538&lt;=IF(AND('Calibrare_Linii'!S6="VALIDATED",AND('Calibrare_Linii'!H6=C538,ISNUMBER('Calibrare_Linii'!J6),'Calibrare_Linii'!J6&lt;='Input_Meci'!G44)),'Calibrare_Linii'!E6,'Config_v6'!$B$26),"PASS",IF(S538&lt;=IF(AND('Calibrare_Linii'!S6="VALIDATED",AND('Calibrare_Linii'!H6=C538,ISNUMBER('Calibrare_Linii'!J6),'Calibrare_Linii'!J6&lt;='Input_Meci'!G44)),'Calibrare_Linii'!F6,'Config_v6'!$C$26),"PENALTY","WATCH"))))))</x:f>
      </x:c>
      <x:c r="X538" s="2" t="str">
        <x:f>IF(M538="","",IF(AND(AND(J538="PASS",'Calibrare_Linii'!U6="VALID"),'Motor_Meciuri'!K44=12,'Motor_Meciuri'!L44=12,'Motor_Meciuri'!M44="NO",'Motor_Meciuri'!BL44='Motor_Meciuri'!C44,AB538&gt;='Config_v6'!$B$50,AN538&gt;='Config_v6'!$B$51,T538&lt;='Config_v6'!$B$52,L538&lt;='Config_v6'!$B$53,ISNUMBER('Calibrare_Linii'!E6),S538&lt;='Calibrare_Linii'!E6,SUM(AK538:AM538)&gt;0),"CANDIDATE","NO"))</x:f>
      </x:c>
      <x:c r="Y538" s="2" t="str">
        <x:f>IF(B538="","",IF(I538&lt;&gt;"READY","NOT RELEASED",IF(AND(X538="CANDIDATE",V538&gt;='Config_v6'!$B$51,W538="PASS",'Calibrare_Linii'!T6="VALIDATED",AND('Calibrare_Linii'!H6=C538,ISNUMBER('Calibrare_Linii'!J6),'Calibrare_Linii'!J6&lt;='Input_Meci'!G44)),"PASS",IF(X538="CANDIDATE","OOS PENDING","FAIL"))))</x:f>
      </x:c>
      <x:c r="Z538" s="2" t="str">
        <x:f>IF(B538="","",IF(I538&lt;&gt;"READY","",IF(OR(NOT(AND(J538="PASS",'Calibrare_Linii'!U6="VALID")),L538&gt;'Config_v6'!$B$13,W538="WATCH"),5,IF(Y538="PASS",1,MIN(5,MAX('Config_v6'!$B$42,U538)+IF(W538="PENALTY",1,0))))))</x:f>
      </x:c>
      <x:c r="AA538" s="2" t="str">
        <x:f>IF(B538="","",IF(I538&lt;&gt;"READY","NOT RELEASED",IF(Z538=5,"NO BET",IF(OR(AB538&lt;'Config_v6'!$B$16,V538&lt;'Config_v6'!$B$18),"WATCH",IF(Z538=1,"DEFENSIV",IF(Z538=2,"PRUDENT",IF(Z538=3,"MODERAT","RIDICAT")))))))</x:f>
      </x:c>
      <x:c r="AB538" s="10" t="str">
        <x:f>IF(N538="","",MIN(N538,1-S538))</x:f>
      </x:c>
      <x:c r="AC538" s="2" t="str">
        <x:f>IF(AD538&lt;&gt;1,"",COUNTIFS($Z$538:$Z$551,"&lt;"&amp;Z538,$AD$538:$AD$551,1)+COUNTIFS($Z$538:$Z$551,Z538,$AB$538:$AB$551,"&gt;"&amp;AB538,$AD$538:$AD$551,1)+COUNTIFS($Z$538:$Z$551,Z538,$AB$538:$AB$551,AB538,$V$538:$V$551,"&gt;"&amp;V538,$AD$538:$AD$551,1)+COUNTIFS($Z$538:Z538,Z538,$AB$538:AB538,AB538,$V$538:V538,V538,$AD$538:AD538,1))</x:f>
      </x:c>
      <x:c r="AD538" s="2" t="n">
        <x:f>IF(OR(AA538="DEFENSIV",AA538="PRUDENT",AA538="MODERAT",AA538="RIDICAT"),1,0)</x:f>
        <x:v>0</x:v>
      </x:c>
      <x:c r="AE538" s="2" t="str">
        <x:f>IF(AD538&lt;&gt;1,"NO",IF(W538="PASS","YES",IF(W538="OOS PENDING","CONDITIONAL","NO")))</x:f>
        <x:v>NO</x:v>
      </x:c>
      <x:c r="AF538" s="2" t="n">
        <x:f>IF(AND(AD538=1,AC538=1,E538="LIVE"),1,0)</x:f>
        <x:v>0</x:v>
      </x:c>
      <x:c r="AG538" s="2" t="str">
        <x:f>IF(AF538&lt;&gt;1,"",'Dashboard'!P64)</x:f>
      </x:c>
      <x:c r="AH538" s="2" t="str">
        <x:f>IF(B538="","",IF(J538&lt;&gt;"PASS",'Motor_Meciuri'!J44,IF('Calibrare_Linii'!U6&lt;&gt;"VALID","Parametri linie invalizi",IF(L538&gt;'Config_v6'!$B$13,"Dispersie peste limita",IF(W538="WATCH","Failure peste limita",IF(AB538&lt;'Config_v6'!$B$16,"P finala sub prag",IF(V538&lt;'Config_v6'!$B$18,"Confidence sub prag",IF(E538="REPLAY","Exemplu retrospectiv; exclus din Top LIVE",IF(Y538="PASS","DEFENSIV validat",IF(W538="OOS PENDING","Eligibil; calibrare linie in monitorizare","Eligibil"))))))))))</x:f>
      </x:c>
      <x:c r="AI538" s="2" t="str">
        <x:f>IF(B538="","",'Calibrare_Linii'!V6)</x:f>
      </x:c>
      <x:c r="AJ538" s="2" t="str">
        <x:f>IF(B538="","",IF(AND('Calibrare_Linii'!T6="VALIDATED",AND('Calibrare_Linii'!H6=C538,ISNUMBER('Calibrare_Linii'!J6),'Calibrare_Linii'!J6&lt;='Input_Meci'!G44)),"DEFENSIVE VALIDATED",IF(AND('Calibrare_Linii'!S6="VALIDATED",AND('Calibrare_Linii'!H6=C538,ISNUMBER('Calibrare_Linii'!J6),'Calibrare_Linii'!J6&lt;='Input_Meci'!G44)),"TAIL VALIDATED","OOS PENDING")))</x:f>
      </x:c>
      <x:c r="AK538" s="2" t="n">
        <x:f>IF(J538&lt;&gt;"PASS",0,'Motor_Meciuri'!BR44)</x:f>
        <x:v>0</x:v>
      </x:c>
      <x:c r="AL538" s="2" t="n">
        <x:f>IF(J538&lt;&gt;"PASS",0,'Motor_Meciuri'!BS44)</x:f>
        <x:v>0</x:v>
      </x:c>
      <x:c r="AM538" s="2" t="n">
        <x:f>IF(J538&lt;&gt;"PASS",0,'Motor_Meciuri'!BT44)</x:f>
        <x:v>0</x:v>
      </x:c>
      <x:c r="AN538" s="2" t="str">
        <x:f>IF(M538="","",MAX(0,'Motor_Meciuri'!BF44-IF(L538&gt;'Config_v6'!$B$12,'Config_v6'!$B$37,IF(L538&gt;'Config_v6'!$B$11,'Config_v6'!$B$36,0))))</x:f>
      </x:c>
    </x:row>
    <x:row r="539" ht="21" customHeight="1">
      <x:c r="A539" s="2" t="n">
        <x:v>39</x:v>
      </x:c>
      <x:c r="B539" s="2" t="str">
        <x:f>IF('Motor_Meciuri'!A44="","",'Motor_Meciuri'!A44)</x:f>
      </x:c>
      <x:c r="C539" s="2" t="str">
        <x:f>IF(B539="","",'Motor_Meciuri'!B44)</x:f>
      </x:c>
      <x:c r="D539" s="2" t="str">
        <x:f>IF(B539="","",'Motor_Meciuri'!D44)</x:f>
      </x:c>
      <x:c r="E539" s="2" t="str">
        <x:f>IF(B539="","",'Motor_Meciuri'!E44)</x:f>
      </x:c>
      <x:c r="F539" s="2" t="str">
        <x:v>O4,5</x:v>
      </x:c>
      <x:c r="G539" s="2" t="str">
        <x:v>OVER</x:v>
      </x:c>
      <x:c r="H539" s="2" t="n">
        <x:v>4</x:v>
      </x:c>
      <x:c r="I539" s="2" t="str">
        <x:f>IF(B539="","",'Motor_Meciuri'!H44)</x:f>
      </x:c>
      <x:c r="J539" s="2" t="str">
        <x:f>IF(B539="","",'Motor_Meciuri'!I44)</x:f>
      </x:c>
      <x:c r="K539" s="11" t="str">
        <x:f>IF(J539&lt;&gt;"PASS","",'Motor_Meciuri'!BD44)</x:f>
      </x:c>
      <x:c r="L539" s="11" t="str">
        <x:f>IF(J539&lt;&gt;"PASS","",'Motor_Meciuri'!AU44)</x:f>
      </x:c>
      <x:c r="M539" s="10" t="str">
        <x:f>IF(NOT(AND(J539="PASS",'Calibrare_Linii'!U7="VALID")),"",1-'Distributie'!AB44)</x:f>
      </x:c>
      <x:c r="N539" s="10" t="str">
        <x:f>IF(M539="","",MAX(0.01,MIN(0.99,0.5+(M539-0.5)*'Motor_Meciuri'!BG44*'Calibrare_Linii'!D7)))</x:f>
      </x:c>
      <x:c r="O539" s="10" t="str">
        <x:f>IF(M539="","",1-M539)</x:f>
      </x:c>
      <x:c r="P539" s="10" t="str">
        <x:f>IF(OR(NOT(AND(J539="PASS",'Calibrare_Linii'!U7="VALID")),AK539=0),""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*('Istoric_Nativ'!$Q$6:$Q$405&lt;=H539))/AK539)</x:f>
      </x:c>
      <x:c r="Q539" s="10" t="str">
        <x:f>IF(OR(NOT(AND(J539="PASS",'Calibrare_Linii'!U7="VALID")),AL539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M44)+((('Istoric_Nativ'!$E$6:$E$405='Input_Meci'!E44)+('Istoric_Nativ'!$F$6:$F$405='Input_Meci'!E44))&gt;0)*('Istoric_Nativ'!$D$6:$D$405&gt;='Motor_Meciuri'!BN44))&gt;0)*('Istoric_Nativ'!$Q$6:$Q$405&lt;=H539))/AL539)</x:f>
      </x:c>
      <x:c r="R539" s="10" t="str">
        <x:f>IF(OR(NOT(AND(J539="PASS",'Calibrare_Linii'!U7="VALID")),AM539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O44)+((('Istoric_Nativ'!$E$6:$E$405='Input_Meci'!E44)+('Istoric_Nativ'!$F$6:$F$405='Input_Meci'!E44))&gt;0)*('Istoric_Nativ'!$D$6:$D$405&gt;='Motor_Meciuri'!BP44))&gt;0)*('Istoric_Nativ'!$Q$6:$Q$405&lt;=H539))/AM539)</x:f>
      </x:c>
      <x:c r="S539" s="10" t="str">
        <x:f>IF(M539="","",MAX(O539,P539,Q539,R539))</x:f>
      </x:c>
      <x:c r="T539" s="11" t="str">
        <x:f>IF(M539="","",MIN(100,S539*100*'Config_v6'!$B$44+MIN(100,L539/'Config_v6'!$B$13*100)*'Config_v6'!$B$45+(100-'Motor_Meciuri'!BF44)*'Config_v6'!$B$46+'Motor_Meciuri'!BH44*100*'Config_v6'!$B$47))</x:f>
      </x:c>
      <x:c r="U539" s="2" t="str">
        <x:f>IF(T539="","",IF(T539&lt;=20,1,IF(T539&lt;=40,2,IF(T539&lt;=60,3,IF(T539&lt;=80,4,5)))))</x:f>
      </x:c>
      <x:c r="V539" s="2" t="str">
        <x:f>IF(M539="","",MAX(0,'Motor_Meciuri'!BF44-IF(W539="OOS PENDING",'Config_v6'!$B$35,0)-IF(L539&gt;'Config_v6'!$B$12,'Config_v6'!$B$37,IF(L539&gt;'Config_v6'!$B$11,'Config_v6'!$B$36,0))))</x:f>
      </x:c>
      <x:c r="W539" s="2" t="str">
        <x:f>IF(B539="","",IF(I539&lt;&gt;"READY","NOT RELEASED",IF(NOT(AND(J539="PASS",'Calibrare_Linii'!U7="VALID")),"INVALID",IF(NOT(AND('Calibrare_Linii'!S7="VALIDATED",AND('Calibrare_Linii'!H7=C539,ISNUMBER('Calibrare_Linii'!J7),'Calibrare_Linii'!J7&lt;='Input_Meci'!G44))),"OOS PENDING",IF(S539&lt;='Calibrare_Linii'!E7,"PASS",IF(S539&lt;='Calibrare_Linii'!F7,"PENALTY","WATCH"))))))</x:f>
      </x:c>
      <x:c r="X539" s="2" t="str">
        <x:f>IF(M539="","",IF(AND(AND(J539="PASS",'Calibrare_Linii'!U7="VALID"),'Motor_Meciuri'!K44=12,'Motor_Meciuri'!L44=12,'Motor_Meciuri'!M44="NO",'Motor_Meciuri'!BL44='Motor_Meciuri'!C44,AB539&gt;='Config_v6'!$B$50,AN539&gt;='Config_v6'!$B$51,T539&lt;='Config_v6'!$B$52,L539&lt;='Config_v6'!$B$53,ISNUMBER('Calibrare_Linii'!E7),S539&lt;='Calibrare_Linii'!E7,SUM(AK539:AM539)&gt;0),"CANDIDATE","NO"))</x:f>
      </x:c>
      <x:c r="Y539" s="2" t="str">
        <x:f>IF(B539="","",IF(I539&lt;&gt;"READY","NOT RELEASED",IF(AND(X539="CANDIDATE",V539&gt;='Config_v6'!$B$51,W539="PASS",'Calibrare_Linii'!T7="VALIDATED",AND('Calibrare_Linii'!H7=C539,ISNUMBER('Calibrare_Linii'!J7),'Calibrare_Linii'!J7&lt;='Input_Meci'!G44)),"PASS",IF(X539="CANDIDATE","OOS PENDING","FAIL"))))</x:f>
      </x:c>
      <x:c r="Z539" s="2" t="str">
        <x:f>IF(B539="","",IF(I539&lt;&gt;"READY","",IF(OR(NOT(AND(J539="PASS",'Calibrare_Linii'!U7="VALID")),L539&gt;'Config_v6'!$B$13,W539="WATCH"),5,IF(Y539="PASS",1,MIN(5,MAX('Config_v6'!$B$42,U539)+IF(W539="PENALTY",1,0))))))</x:f>
      </x:c>
      <x:c r="AA539" s="2" t="str">
        <x:f>IF(B539="","",IF(I539&lt;&gt;"READY","NOT RELEASED",IF(Z539=5,"NO BET",IF(OR(AB539&lt;'Config_v6'!$B$16,V539&lt;'Config_v6'!$B$18),"WATCH",IF(Z539=1,"DEFENSIV",IF(Z539=2,"PRUDENT",IF(Z539=3,"MODERAT","RIDICAT")))))))</x:f>
      </x:c>
      <x:c r="AB539" s="10" t="str">
        <x:f>IF(N539="","",MIN(N539,1-S539))</x:f>
      </x:c>
      <x:c r="AC539" s="2" t="str">
        <x:f>IF(AD539&lt;&gt;1,"",COUNTIFS($Z$538:$Z$551,"&lt;"&amp;Z539,$AD$538:$AD$551,1)+COUNTIFS($Z$538:$Z$551,Z539,$AB$538:$AB$551,"&gt;"&amp;AB539,$AD$538:$AD$551,1)+COUNTIFS($Z$538:$Z$551,Z539,$AB$538:$AB$551,AB539,$V$538:$V$551,"&gt;"&amp;V539,$AD$538:$AD$551,1)+COUNTIFS($Z$538:Z539,Z539,$AB$538:AB539,AB539,$V$538:V539,V539,$AD$538:AD539,1))</x:f>
      </x:c>
      <x:c r="AD539" s="2" t="n">
        <x:f>IF(OR(AA539="DEFENSIV",AA539="PRUDENT",AA539="MODERAT",AA539="RIDICAT"),1,0)</x:f>
        <x:v>0</x:v>
      </x:c>
      <x:c r="AE539" s="2" t="str">
        <x:f>IF(AD539&lt;&gt;1,"NO",IF(W539="PASS","YES",IF(W539="OOS PENDING","CONDITIONAL","NO")))</x:f>
        <x:v>NO</x:v>
      </x:c>
      <x:c r="AF539" s="2" t="n">
        <x:f>IF(AND(AD539=1,AC539=1,E539="LIVE"),1,0)</x:f>
        <x:v>0</x:v>
      </x:c>
      <x:c r="AG539" s="2" t="str">
        <x:f>IF(AF539&lt;&gt;1,"",'Dashboard'!P64)</x:f>
      </x:c>
      <x:c r="AH539" s="2" t="str">
        <x:f>IF(B539="","",IF(J539&lt;&gt;"PASS",'Motor_Meciuri'!J44,IF('Calibrare_Linii'!U7&lt;&gt;"VALID","Parametri linie invalizi",IF(L539&gt;'Config_v6'!$B$13,"Dispersie peste limita",IF(W539="WATCH","Failure peste limita",IF(AB539&lt;'Config_v6'!$B$16,"P finala sub prag",IF(V539&lt;'Config_v6'!$B$18,"Confidence sub prag",IF(E539="REPLAY","Exemplu retrospectiv; exclus din Top LIVE",IF(Y539="PASS","DEFENSIV validat",IF(W539="OOS PENDING","Eligibil; calibrare linie in monitorizare","Eligibil"))))))))))</x:f>
      </x:c>
      <x:c r="AI539" s="2" t="str">
        <x:f>IF(B539="","",'Calibrare_Linii'!V7)</x:f>
      </x:c>
      <x:c r="AJ539" s="2" t="str">
        <x:f>IF(B539="","",IF(AND('Calibrare_Linii'!T7="VALIDATED",AND('Calibrare_Linii'!H7=C539,ISNUMBER('Calibrare_Linii'!J7),'Calibrare_Linii'!J7&lt;='Input_Meci'!G44)),"DEFENSIVE VALIDATED",IF(AND('Calibrare_Linii'!S7="VALIDATED",AND('Calibrare_Linii'!H7=C539,ISNUMBER('Calibrare_Linii'!J7),'Calibrare_Linii'!J7&lt;='Input_Meci'!G44)),"TAIL VALIDATED","OOS PENDING")))</x:f>
      </x:c>
      <x:c r="AK539" s="2" t="n">
        <x:f>IF(J539&lt;&gt;"PASS",0,'Motor_Meciuri'!BR44)</x:f>
        <x:v>0</x:v>
      </x:c>
      <x:c r="AL539" s="2" t="n">
        <x:f>IF(J539&lt;&gt;"PASS",0,'Motor_Meciuri'!BS44)</x:f>
        <x:v>0</x:v>
      </x:c>
      <x:c r="AM539" s="2" t="n">
        <x:f>IF(J539&lt;&gt;"PASS",0,'Motor_Meciuri'!BT44)</x:f>
        <x:v>0</x:v>
      </x:c>
      <x:c r="AN539" s="2" t="str">
        <x:f>IF(M539="","",MAX(0,'Motor_Meciuri'!BF44-IF(L539&gt;'Config_v6'!$B$12,'Config_v6'!$B$37,IF(L539&gt;'Config_v6'!$B$11,'Config_v6'!$B$36,0))))</x:f>
      </x:c>
    </x:row>
    <x:row r="540" ht="21" customHeight="1">
      <x:c r="A540" s="2" t="n">
        <x:v>39</x:v>
      </x:c>
      <x:c r="B540" s="2" t="str">
        <x:f>IF('Motor_Meciuri'!A44="","",'Motor_Meciuri'!A44)</x:f>
      </x:c>
      <x:c r="C540" s="2" t="str">
        <x:f>IF(B540="","",'Motor_Meciuri'!B44)</x:f>
      </x:c>
      <x:c r="D540" s="2" t="str">
        <x:f>IF(B540="","",'Motor_Meciuri'!D44)</x:f>
      </x:c>
      <x:c r="E540" s="2" t="str">
        <x:f>IF(B540="","",'Motor_Meciuri'!E44)</x:f>
      </x:c>
      <x:c r="F540" s="2" t="str">
        <x:v>O5,5</x:v>
      </x:c>
      <x:c r="G540" s="2" t="str">
        <x:v>OVER</x:v>
      </x:c>
      <x:c r="H540" s="2" t="n">
        <x:v>5</x:v>
      </x:c>
      <x:c r="I540" s="2" t="str">
        <x:f>IF(B540="","",'Motor_Meciuri'!H44)</x:f>
      </x:c>
      <x:c r="J540" s="2" t="str">
        <x:f>IF(B540="","",'Motor_Meciuri'!I44)</x:f>
      </x:c>
      <x:c r="K540" s="11" t="str">
        <x:f>IF(J540&lt;&gt;"PASS","",'Motor_Meciuri'!BD44)</x:f>
      </x:c>
      <x:c r="L540" s="11" t="str">
        <x:f>IF(J540&lt;&gt;"PASS","",'Motor_Meciuri'!AU44)</x:f>
      </x:c>
      <x:c r="M540" s="10" t="str">
        <x:f>IF(NOT(AND(J540="PASS",'Calibrare_Linii'!U8="VALID")),"",1-'Distributie'!AC44)</x:f>
      </x:c>
      <x:c r="N540" s="10" t="str">
        <x:f>IF(M540="","",MAX(0.01,MIN(0.99,0.5+(M540-0.5)*'Motor_Meciuri'!BG44*'Calibrare_Linii'!D8)))</x:f>
      </x:c>
      <x:c r="O540" s="10" t="str">
        <x:f>IF(M540="","",1-M540)</x:f>
      </x:c>
      <x:c r="P540" s="10" t="str">
        <x:f>IF(OR(NOT(AND(J540="PASS",'Calibrare_Linii'!U8="VALID")),AK540=0),""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*('Istoric_Nativ'!$Q$6:$Q$405&lt;=H540))/AK540)</x:f>
      </x:c>
      <x:c r="Q540" s="10" t="str">
        <x:f>IF(OR(NOT(AND(J540="PASS",'Calibrare_Linii'!U8="VALID")),AL540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M44)+((('Istoric_Nativ'!$E$6:$E$405='Input_Meci'!E44)+('Istoric_Nativ'!$F$6:$F$405='Input_Meci'!E44))&gt;0)*('Istoric_Nativ'!$D$6:$D$405&gt;='Motor_Meciuri'!BN44))&gt;0)*('Istoric_Nativ'!$Q$6:$Q$405&lt;=H540))/AL540)</x:f>
      </x:c>
      <x:c r="R540" s="10" t="str">
        <x:f>IF(OR(NOT(AND(J540="PASS",'Calibrare_Linii'!U8="VALID")),AM540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O44)+((('Istoric_Nativ'!$E$6:$E$405='Input_Meci'!E44)+('Istoric_Nativ'!$F$6:$F$405='Input_Meci'!E44))&gt;0)*('Istoric_Nativ'!$D$6:$D$405&gt;='Motor_Meciuri'!BP44))&gt;0)*('Istoric_Nativ'!$Q$6:$Q$405&lt;=H540))/AM540)</x:f>
      </x:c>
      <x:c r="S540" s="10" t="str">
        <x:f>IF(M540="","",MAX(O540,P540,Q540,R540))</x:f>
      </x:c>
      <x:c r="T540" s="11" t="str">
        <x:f>IF(M540="","",MIN(100,S540*100*'Config_v6'!$B$44+MIN(100,L540/'Config_v6'!$B$13*100)*'Config_v6'!$B$45+(100-'Motor_Meciuri'!BF44)*'Config_v6'!$B$46+'Motor_Meciuri'!BH44*100*'Config_v6'!$B$47))</x:f>
      </x:c>
      <x:c r="U540" s="2" t="str">
        <x:f>IF(T540="","",IF(T540&lt;=20,1,IF(T540&lt;=40,2,IF(T540&lt;=60,3,IF(T540&lt;=80,4,5)))))</x:f>
      </x:c>
      <x:c r="V540" s="2" t="str">
        <x:f>IF(M540="","",MAX(0,'Motor_Meciuri'!BF44-IF(W540="OOS PENDING",'Config_v6'!$B$35,0)-IF(L540&gt;'Config_v6'!$B$12,'Config_v6'!$B$37,IF(L540&gt;'Config_v6'!$B$11,'Config_v6'!$B$36,0))))</x:f>
      </x:c>
      <x:c r="W540" s="2" t="str">
        <x:f>IF(B540="","",IF(I540&lt;&gt;"READY","NOT RELEASED",IF(NOT(AND(J540="PASS",'Calibrare_Linii'!U8="VALID")),"INVALID",IF(NOT(AND('Calibrare_Linii'!S8="VALIDATED",AND('Calibrare_Linii'!H8=C540,ISNUMBER('Calibrare_Linii'!J8),'Calibrare_Linii'!J8&lt;='Input_Meci'!G44))),"OOS PENDING",IF(S540&lt;='Calibrare_Linii'!E8,"PASS",IF(S540&lt;='Calibrare_Linii'!F8,"PENALTY","WATCH"))))))</x:f>
      </x:c>
      <x:c r="X540" s="2" t="str">
        <x:f>IF(M540="","",IF(AND(AND(J540="PASS",'Calibrare_Linii'!U8="VALID"),'Motor_Meciuri'!K44=12,'Motor_Meciuri'!L44=12,'Motor_Meciuri'!M44="NO",'Motor_Meciuri'!BL44='Motor_Meciuri'!C44,AB540&gt;='Config_v6'!$B$50,AN540&gt;='Config_v6'!$B$51,T540&lt;='Config_v6'!$B$52,L540&lt;='Config_v6'!$B$53,ISNUMBER('Calibrare_Linii'!E8),S540&lt;='Calibrare_Linii'!E8,SUM(AK540:AM540)&gt;0),"CANDIDATE","NO"))</x:f>
      </x:c>
      <x:c r="Y540" s="2" t="str">
        <x:f>IF(B540="","",IF(I540&lt;&gt;"READY","NOT RELEASED",IF(AND(X540="CANDIDATE",V540&gt;='Config_v6'!$B$51,W540="PASS",'Calibrare_Linii'!T8="VALIDATED",AND('Calibrare_Linii'!H8=C540,ISNUMBER('Calibrare_Linii'!J8),'Calibrare_Linii'!J8&lt;='Input_Meci'!G44)),"PASS",IF(X540="CANDIDATE","OOS PENDING","FAIL"))))</x:f>
      </x:c>
      <x:c r="Z540" s="2" t="str">
        <x:f>IF(B540="","",IF(I540&lt;&gt;"READY","",IF(OR(NOT(AND(J540="PASS",'Calibrare_Linii'!U8="VALID")),L540&gt;'Config_v6'!$B$13,W540="WATCH"),5,IF(Y540="PASS",1,MIN(5,MAX('Config_v6'!$B$42,U540)+IF(W540="PENALTY",1,0))))))</x:f>
      </x:c>
      <x:c r="AA540" s="2" t="str">
        <x:f>IF(B540="","",IF(I540&lt;&gt;"READY","NOT RELEASED",IF(Z540=5,"NO BET",IF(OR(AB540&lt;'Config_v6'!$B$16,V540&lt;'Config_v6'!$B$18),"WATCH",IF(Z540=1,"DEFENSIV",IF(Z540=2,"PRUDENT",IF(Z540=3,"MODERAT","RIDICAT")))))))</x:f>
      </x:c>
      <x:c r="AB540" s="10" t="str">
        <x:f>IF(N540="","",MIN(N540,1-S540))</x:f>
      </x:c>
      <x:c r="AC540" s="2" t="str">
        <x:f>IF(AD540&lt;&gt;1,"",COUNTIFS($Z$538:$Z$551,"&lt;"&amp;Z540,$AD$538:$AD$551,1)+COUNTIFS($Z$538:$Z$551,Z540,$AB$538:$AB$551,"&gt;"&amp;AB540,$AD$538:$AD$551,1)+COUNTIFS($Z$538:$Z$551,Z540,$AB$538:$AB$551,AB540,$V$538:$V$551,"&gt;"&amp;V540,$AD$538:$AD$551,1)+COUNTIFS($Z$538:Z540,Z540,$AB$538:AB540,AB540,$V$538:V540,V540,$AD$538:AD540,1))</x:f>
      </x:c>
      <x:c r="AD540" s="2" t="n">
        <x:f>IF(OR(AA540="DEFENSIV",AA540="PRUDENT",AA540="MODERAT",AA540="RIDICAT"),1,0)</x:f>
        <x:v>0</x:v>
      </x:c>
      <x:c r="AE540" s="2" t="str">
        <x:f>IF(AD540&lt;&gt;1,"NO",IF(W540="PASS","YES",IF(W540="OOS PENDING","CONDITIONAL","NO")))</x:f>
        <x:v>NO</x:v>
      </x:c>
      <x:c r="AF540" s="2" t="n">
        <x:f>IF(AND(AD540=1,AC540=1,E540="LIVE"),1,0)</x:f>
        <x:v>0</x:v>
      </x:c>
      <x:c r="AG540" s="2" t="str">
        <x:f>IF(AF540&lt;&gt;1,"",'Dashboard'!P64)</x:f>
      </x:c>
      <x:c r="AH540" s="2" t="str">
        <x:f>IF(B540="","",IF(J540&lt;&gt;"PASS",'Motor_Meciuri'!J44,IF('Calibrare_Linii'!U8&lt;&gt;"VALID","Parametri linie invalizi",IF(L540&gt;'Config_v6'!$B$13,"Dispersie peste limita",IF(W540="WATCH","Failure peste limita",IF(AB540&lt;'Config_v6'!$B$16,"P finala sub prag",IF(V540&lt;'Config_v6'!$B$18,"Confidence sub prag",IF(E540="REPLAY","Exemplu retrospectiv; exclus din Top LIVE",IF(Y540="PASS","DEFENSIV validat",IF(W540="OOS PENDING","Eligibil; calibrare linie in monitorizare","Eligibil"))))))))))</x:f>
      </x:c>
      <x:c r="AI540" s="2" t="str">
        <x:f>IF(B540="","",'Calibrare_Linii'!V8)</x:f>
      </x:c>
      <x:c r="AJ540" s="2" t="str">
        <x:f>IF(B540="","",IF(AND('Calibrare_Linii'!T8="VALIDATED",AND('Calibrare_Linii'!H8=C540,ISNUMBER('Calibrare_Linii'!J8),'Calibrare_Linii'!J8&lt;='Input_Meci'!G44)),"DEFENSIVE VALIDATED",IF(AND('Calibrare_Linii'!S8="VALIDATED",AND('Calibrare_Linii'!H8=C540,ISNUMBER('Calibrare_Linii'!J8),'Calibrare_Linii'!J8&lt;='Input_Meci'!G44)),"TAIL VALIDATED","OOS PENDING")))</x:f>
      </x:c>
      <x:c r="AK540" s="2" t="n">
        <x:f>IF(J540&lt;&gt;"PASS",0,'Motor_Meciuri'!BR44)</x:f>
        <x:v>0</x:v>
      </x:c>
      <x:c r="AL540" s="2" t="n">
        <x:f>IF(J540&lt;&gt;"PASS",0,'Motor_Meciuri'!BS44)</x:f>
        <x:v>0</x:v>
      </x:c>
      <x:c r="AM540" s="2" t="n">
        <x:f>IF(J540&lt;&gt;"PASS",0,'Motor_Meciuri'!BT44)</x:f>
        <x:v>0</x:v>
      </x:c>
      <x:c r="AN540" s="2" t="str">
        <x:f>IF(M540="","",MAX(0,'Motor_Meciuri'!BF44-IF(L540&gt;'Config_v6'!$B$12,'Config_v6'!$B$37,IF(L540&gt;'Config_v6'!$B$11,'Config_v6'!$B$36,0))))</x:f>
      </x:c>
    </x:row>
    <x:row r="541" ht="21" customHeight="1">
      <x:c r="A541" s="2" t="n">
        <x:v>39</x:v>
      </x:c>
      <x:c r="B541" s="2" t="str">
        <x:f>IF('Motor_Meciuri'!A44="","",'Motor_Meciuri'!A44)</x:f>
      </x:c>
      <x:c r="C541" s="2" t="str">
        <x:f>IF(B541="","",'Motor_Meciuri'!B44)</x:f>
      </x:c>
      <x:c r="D541" s="2" t="str">
        <x:f>IF(B541="","",'Motor_Meciuri'!D44)</x:f>
      </x:c>
      <x:c r="E541" s="2" t="str">
        <x:f>IF(B541="","",'Motor_Meciuri'!E44)</x:f>
      </x:c>
      <x:c r="F541" s="2" t="str">
        <x:v>O6,5</x:v>
      </x:c>
      <x:c r="G541" s="2" t="str">
        <x:v>OVER</x:v>
      </x:c>
      <x:c r="H541" s="2" t="n">
        <x:v>6</x:v>
      </x:c>
      <x:c r="I541" s="2" t="str">
        <x:f>IF(B541="","",'Motor_Meciuri'!H44)</x:f>
      </x:c>
      <x:c r="J541" s="2" t="str">
        <x:f>IF(B541="","",'Motor_Meciuri'!I44)</x:f>
      </x:c>
      <x:c r="K541" s="11" t="str">
        <x:f>IF(J541&lt;&gt;"PASS","",'Motor_Meciuri'!BD44)</x:f>
      </x:c>
      <x:c r="L541" s="11" t="str">
        <x:f>IF(J541&lt;&gt;"PASS","",'Motor_Meciuri'!AU44)</x:f>
      </x:c>
      <x:c r="M541" s="10" t="str">
        <x:f>IF(NOT(AND(J541="PASS",'Calibrare_Linii'!U9="VALID")),"",1-'Distributie'!AD44)</x:f>
      </x:c>
      <x:c r="N541" s="10" t="str">
        <x:f>IF(M541="","",MAX(0.01,MIN(0.99,0.5+(M541-0.5)*'Motor_Meciuri'!BG44*'Calibrare_Linii'!D9)))</x:f>
      </x:c>
      <x:c r="O541" s="10" t="str">
        <x:f>IF(M541="","",1-M541)</x:f>
      </x:c>
      <x:c r="P541" s="10" t="str">
        <x:f>IF(OR(NOT(AND(J541="PASS",'Calibrare_Linii'!U9="VALID")),AK541=0),""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*('Istoric_Nativ'!$Q$6:$Q$405&lt;=H541))/AK541)</x:f>
      </x:c>
      <x:c r="Q541" s="10" t="str">
        <x:f>IF(OR(NOT(AND(J541="PASS",'Calibrare_Linii'!U9="VALID")),AL541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M44)+((('Istoric_Nativ'!$E$6:$E$405='Input_Meci'!E44)+('Istoric_Nativ'!$F$6:$F$405='Input_Meci'!E44))&gt;0)*('Istoric_Nativ'!$D$6:$D$405&gt;='Motor_Meciuri'!BN44))&gt;0)*('Istoric_Nativ'!$Q$6:$Q$405&lt;=H541))/AL541)</x:f>
      </x:c>
      <x:c r="R541" s="10" t="str">
        <x:f>IF(OR(NOT(AND(J541="PASS",'Calibrare_Linii'!U9="VALID")),AM541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O44)+((('Istoric_Nativ'!$E$6:$E$405='Input_Meci'!E44)+('Istoric_Nativ'!$F$6:$F$405='Input_Meci'!E44))&gt;0)*('Istoric_Nativ'!$D$6:$D$405&gt;='Motor_Meciuri'!BP44))&gt;0)*('Istoric_Nativ'!$Q$6:$Q$405&lt;=H541))/AM541)</x:f>
      </x:c>
      <x:c r="S541" s="10" t="str">
        <x:f>IF(M541="","",MAX(O541,P541,Q541,R541))</x:f>
      </x:c>
      <x:c r="T541" s="11" t="str">
        <x:f>IF(M541="","",MIN(100,S541*100*'Config_v6'!$B$44+MIN(100,L541/'Config_v6'!$B$13*100)*'Config_v6'!$B$45+(100-'Motor_Meciuri'!BF44)*'Config_v6'!$B$46+'Motor_Meciuri'!BH44*100*'Config_v6'!$B$47))</x:f>
      </x:c>
      <x:c r="U541" s="2" t="str">
        <x:f>IF(T541="","",IF(T541&lt;=20,1,IF(T541&lt;=40,2,IF(T541&lt;=60,3,IF(T541&lt;=80,4,5)))))</x:f>
      </x:c>
      <x:c r="V541" s="2" t="str">
        <x:f>IF(M541="","",MAX(0,'Motor_Meciuri'!BF44-IF(W541="OOS PENDING",'Config_v6'!$B$35,0)-IF(L541&gt;'Config_v6'!$B$12,'Config_v6'!$B$37,IF(L541&gt;'Config_v6'!$B$11,'Config_v6'!$B$36,0))))</x:f>
      </x:c>
      <x:c r="W541" s="2" t="str">
        <x:f>IF(B541="","",IF(I541&lt;&gt;"READY","NOT RELEASED",IF(NOT(AND(J541="PASS",'Calibrare_Linii'!U9="VALID")),"INVALID",IF(NOT(AND('Calibrare_Linii'!S9="VALIDATED",AND('Calibrare_Linii'!H9=C541,ISNUMBER('Calibrare_Linii'!J9),'Calibrare_Linii'!J9&lt;='Input_Meci'!G44))),"OOS PENDING",IF(S541&lt;='Calibrare_Linii'!E9,"PASS",IF(S541&lt;='Calibrare_Linii'!F9,"PENALTY","WATCH"))))))</x:f>
      </x:c>
      <x:c r="X541" s="2" t="str">
        <x:f>IF(M541="","",IF(AND(AND(J541="PASS",'Calibrare_Linii'!U9="VALID"),'Motor_Meciuri'!K44=12,'Motor_Meciuri'!L44=12,'Motor_Meciuri'!M44="NO",'Motor_Meciuri'!BL44='Motor_Meciuri'!C44,AB541&gt;='Config_v6'!$B$50,AN541&gt;='Config_v6'!$B$51,T541&lt;='Config_v6'!$B$52,L541&lt;='Config_v6'!$B$53,ISNUMBER('Calibrare_Linii'!E9),S541&lt;='Calibrare_Linii'!E9,SUM(AK541:AM541)&gt;0),"CANDIDATE","NO"))</x:f>
      </x:c>
      <x:c r="Y541" s="2" t="str">
        <x:f>IF(B541="","",IF(I541&lt;&gt;"READY","NOT RELEASED",IF(AND(X541="CANDIDATE",V541&gt;='Config_v6'!$B$51,W541="PASS",'Calibrare_Linii'!T9="VALIDATED",AND('Calibrare_Linii'!H9=C541,ISNUMBER('Calibrare_Linii'!J9),'Calibrare_Linii'!J9&lt;='Input_Meci'!G44)),"PASS",IF(X541="CANDIDATE","OOS PENDING","FAIL"))))</x:f>
      </x:c>
      <x:c r="Z541" s="2" t="str">
        <x:f>IF(B541="","",IF(I541&lt;&gt;"READY","",IF(OR(NOT(AND(J541="PASS",'Calibrare_Linii'!U9="VALID")),L541&gt;'Config_v6'!$B$13,W541="WATCH"),5,IF(Y541="PASS",1,MIN(5,MAX('Config_v6'!$B$42,U541)+IF(W541="PENALTY",1,0))))))</x:f>
      </x:c>
      <x:c r="AA541" s="2" t="str">
        <x:f>IF(B541="","",IF(I541&lt;&gt;"READY","NOT RELEASED",IF(Z541=5,"NO BET",IF(OR(AB541&lt;'Config_v6'!$B$16,V541&lt;'Config_v6'!$B$18),"WATCH",IF(Z541=1,"DEFENSIV",IF(Z541=2,"PRUDENT",IF(Z541=3,"MODERAT","RIDICAT")))))))</x:f>
      </x:c>
      <x:c r="AB541" s="10" t="str">
        <x:f>IF(N541="","",MIN(N541,1-S541))</x:f>
      </x:c>
      <x:c r="AC541" s="2" t="str">
        <x:f>IF(AD541&lt;&gt;1,"",COUNTIFS($Z$538:$Z$551,"&lt;"&amp;Z541,$AD$538:$AD$551,1)+COUNTIFS($Z$538:$Z$551,Z541,$AB$538:$AB$551,"&gt;"&amp;AB541,$AD$538:$AD$551,1)+COUNTIFS($Z$538:$Z$551,Z541,$AB$538:$AB$551,AB541,$V$538:$V$551,"&gt;"&amp;V541,$AD$538:$AD$551,1)+COUNTIFS($Z$538:Z541,Z541,$AB$538:AB541,AB541,$V$538:V541,V541,$AD$538:AD541,1))</x:f>
      </x:c>
      <x:c r="AD541" s="2" t="n">
        <x:f>IF(OR(AA541="DEFENSIV",AA541="PRUDENT",AA541="MODERAT",AA541="RIDICAT"),1,0)</x:f>
        <x:v>0</x:v>
      </x:c>
      <x:c r="AE541" s="2" t="str">
        <x:f>IF(AD541&lt;&gt;1,"NO",IF(W541="PASS","YES",IF(W541="OOS PENDING","CONDITIONAL","NO")))</x:f>
        <x:v>NO</x:v>
      </x:c>
      <x:c r="AF541" s="2" t="n">
        <x:f>IF(AND(AD541=1,AC541=1,E541="LIVE"),1,0)</x:f>
        <x:v>0</x:v>
      </x:c>
      <x:c r="AG541" s="2" t="str">
        <x:f>IF(AF541&lt;&gt;1,"",'Dashboard'!P64)</x:f>
      </x:c>
      <x:c r="AH541" s="2" t="str">
        <x:f>IF(B541="","",IF(J541&lt;&gt;"PASS",'Motor_Meciuri'!J44,IF('Calibrare_Linii'!U9&lt;&gt;"VALID","Parametri linie invalizi",IF(L541&gt;'Config_v6'!$B$13,"Dispersie peste limita",IF(W541="WATCH","Failure peste limita",IF(AB541&lt;'Config_v6'!$B$16,"P finala sub prag",IF(V541&lt;'Config_v6'!$B$18,"Confidence sub prag",IF(E541="REPLAY","Exemplu retrospectiv; exclus din Top LIVE",IF(Y541="PASS","DEFENSIV validat",IF(W541="OOS PENDING","Eligibil; calibrare linie in monitorizare","Eligibil"))))))))))</x:f>
      </x:c>
      <x:c r="AI541" s="2" t="str">
        <x:f>IF(B541="","",'Calibrare_Linii'!V9)</x:f>
      </x:c>
      <x:c r="AJ541" s="2" t="str">
        <x:f>IF(B541="","",IF(AND('Calibrare_Linii'!T9="VALIDATED",AND('Calibrare_Linii'!H9=C541,ISNUMBER('Calibrare_Linii'!J9),'Calibrare_Linii'!J9&lt;='Input_Meci'!G44)),"DEFENSIVE VALIDATED",IF(AND('Calibrare_Linii'!S9="VALIDATED",AND('Calibrare_Linii'!H9=C541,ISNUMBER('Calibrare_Linii'!J9),'Calibrare_Linii'!J9&lt;='Input_Meci'!G44)),"TAIL VALIDATED","OOS PENDING")))</x:f>
      </x:c>
      <x:c r="AK541" s="2" t="n">
        <x:f>IF(J541&lt;&gt;"PASS",0,'Motor_Meciuri'!BR44)</x:f>
        <x:v>0</x:v>
      </x:c>
      <x:c r="AL541" s="2" t="n">
        <x:f>IF(J541&lt;&gt;"PASS",0,'Motor_Meciuri'!BS44)</x:f>
        <x:v>0</x:v>
      </x:c>
      <x:c r="AM541" s="2" t="n">
        <x:f>IF(J541&lt;&gt;"PASS",0,'Motor_Meciuri'!BT44)</x:f>
        <x:v>0</x:v>
      </x:c>
      <x:c r="AN541" s="2" t="str">
        <x:f>IF(M541="","",MAX(0,'Motor_Meciuri'!BF44-IF(L541&gt;'Config_v6'!$B$12,'Config_v6'!$B$37,IF(L541&gt;'Config_v6'!$B$11,'Config_v6'!$B$36,0))))</x:f>
      </x:c>
    </x:row>
    <x:row r="542" ht="21" customHeight="1">
      <x:c r="A542" s="2" t="n">
        <x:v>39</x:v>
      </x:c>
      <x:c r="B542" s="2" t="str">
        <x:f>IF('Motor_Meciuri'!A44="","",'Motor_Meciuri'!A44)</x:f>
      </x:c>
      <x:c r="C542" s="2" t="str">
        <x:f>IF(B542="","",'Motor_Meciuri'!B44)</x:f>
      </x:c>
      <x:c r="D542" s="2" t="str">
        <x:f>IF(B542="","",'Motor_Meciuri'!D44)</x:f>
      </x:c>
      <x:c r="E542" s="2" t="str">
        <x:f>IF(B542="","",'Motor_Meciuri'!E44)</x:f>
      </x:c>
      <x:c r="F542" s="2" t="str">
        <x:v>O7,5</x:v>
      </x:c>
      <x:c r="G542" s="2" t="str">
        <x:v>OVER</x:v>
      </x:c>
      <x:c r="H542" s="2" t="n">
        <x:v>7</x:v>
      </x:c>
      <x:c r="I542" s="2" t="str">
        <x:f>IF(B542="","",'Motor_Meciuri'!H44)</x:f>
      </x:c>
      <x:c r="J542" s="2" t="str">
        <x:f>IF(B542="","",'Motor_Meciuri'!I44)</x:f>
      </x:c>
      <x:c r="K542" s="11" t="str">
        <x:f>IF(J542&lt;&gt;"PASS","",'Motor_Meciuri'!BD44)</x:f>
      </x:c>
      <x:c r="L542" s="11" t="str">
        <x:f>IF(J542&lt;&gt;"PASS","",'Motor_Meciuri'!AU44)</x:f>
      </x:c>
      <x:c r="M542" s="10" t="str">
        <x:f>IF(NOT(AND(J542="PASS",'Calibrare_Linii'!U10="VALID")),"",1-'Distributie'!AE44)</x:f>
      </x:c>
      <x:c r="N542" s="10" t="str">
        <x:f>IF(M542="","",MAX(0.01,MIN(0.99,0.5+(M542-0.5)*'Motor_Meciuri'!BG44*'Calibrare_Linii'!D10)))</x:f>
      </x:c>
      <x:c r="O542" s="10" t="str">
        <x:f>IF(M542="","",1-M542)</x:f>
      </x:c>
      <x:c r="P542" s="10" t="str">
        <x:f>IF(OR(NOT(AND(J542="PASS",'Calibrare_Linii'!U10="VALID")),AK542=0),""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*('Istoric_Nativ'!$Q$6:$Q$405&lt;=H542))/AK542)</x:f>
      </x:c>
      <x:c r="Q542" s="10" t="str">
        <x:f>IF(OR(NOT(AND(J542="PASS",'Calibrare_Linii'!U10="VALID")),AL542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M44)+((('Istoric_Nativ'!$E$6:$E$405='Input_Meci'!E44)+('Istoric_Nativ'!$F$6:$F$405='Input_Meci'!E44))&gt;0)*('Istoric_Nativ'!$D$6:$D$405&gt;='Motor_Meciuri'!BN44))&gt;0)*('Istoric_Nativ'!$Q$6:$Q$405&lt;=H542))/AL542)</x:f>
      </x:c>
      <x:c r="R542" s="10" t="str">
        <x:f>IF(OR(NOT(AND(J542="PASS",'Calibrare_Linii'!U10="VALID")),AM542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O44)+((('Istoric_Nativ'!$E$6:$E$405='Input_Meci'!E44)+('Istoric_Nativ'!$F$6:$F$405='Input_Meci'!E44))&gt;0)*('Istoric_Nativ'!$D$6:$D$405&gt;='Motor_Meciuri'!BP44))&gt;0)*('Istoric_Nativ'!$Q$6:$Q$405&lt;=H542))/AM542)</x:f>
      </x:c>
      <x:c r="S542" s="10" t="str">
        <x:f>IF(M542="","",MAX(O542,P542,Q542,R542))</x:f>
      </x:c>
      <x:c r="T542" s="11" t="str">
        <x:f>IF(M542="","",MIN(100,S542*100*'Config_v6'!$B$44+MIN(100,L542/'Config_v6'!$B$13*100)*'Config_v6'!$B$45+(100-'Motor_Meciuri'!BF44)*'Config_v6'!$B$46+'Motor_Meciuri'!BH44*100*'Config_v6'!$B$47))</x:f>
      </x:c>
      <x:c r="U542" s="2" t="str">
        <x:f>IF(T542="","",IF(T542&lt;=20,1,IF(T542&lt;=40,2,IF(T542&lt;=60,3,IF(T542&lt;=80,4,5)))))</x:f>
      </x:c>
      <x:c r="V542" s="2" t="str">
        <x:f>IF(M542="","",MAX(0,'Motor_Meciuri'!BF44-IF(W542="OOS PENDING",'Config_v6'!$B$35,0)-IF(L542&gt;'Config_v6'!$B$12,'Config_v6'!$B$37,IF(L542&gt;'Config_v6'!$B$11,'Config_v6'!$B$36,0))))</x:f>
      </x:c>
      <x:c r="W542" s="2" t="str">
        <x:f>IF(B542="","",IF(I542&lt;&gt;"READY","NOT RELEASED",IF(NOT(AND(J542="PASS",'Calibrare_Linii'!U10="VALID")),"INVALID",IF(NOT(AND('Calibrare_Linii'!S10="VALIDATED",AND('Calibrare_Linii'!H10=C542,ISNUMBER('Calibrare_Linii'!J10),'Calibrare_Linii'!J10&lt;='Input_Meci'!G44))),"OOS PENDING",IF(S542&lt;='Calibrare_Linii'!E10,"PASS",IF(S542&lt;='Calibrare_Linii'!F10,"PENALTY","WATCH"))))))</x:f>
      </x:c>
      <x:c r="X542" s="2" t="str">
        <x:f>IF(M542="","",IF(AND(AND(J542="PASS",'Calibrare_Linii'!U10="VALID"),'Motor_Meciuri'!K44=12,'Motor_Meciuri'!L44=12,'Motor_Meciuri'!M44="NO",'Motor_Meciuri'!BL44='Motor_Meciuri'!C44,AB542&gt;='Config_v6'!$B$50,AN542&gt;='Config_v6'!$B$51,T542&lt;='Config_v6'!$B$52,L542&lt;='Config_v6'!$B$53,ISNUMBER('Calibrare_Linii'!E10),S542&lt;='Calibrare_Linii'!E10,SUM(AK542:AM542)&gt;0),"CANDIDATE","NO"))</x:f>
      </x:c>
      <x:c r="Y542" s="2" t="str">
        <x:f>IF(B542="","",IF(I542&lt;&gt;"READY","NOT RELEASED",IF(AND(X542="CANDIDATE",V542&gt;='Config_v6'!$B$51,W542="PASS",'Calibrare_Linii'!T10="VALIDATED",AND('Calibrare_Linii'!H10=C542,ISNUMBER('Calibrare_Linii'!J10),'Calibrare_Linii'!J10&lt;='Input_Meci'!G44)),"PASS",IF(X542="CANDIDATE","OOS PENDING","FAIL"))))</x:f>
      </x:c>
      <x:c r="Z542" s="2" t="str">
        <x:f>IF(B542="","",IF(I542&lt;&gt;"READY","",IF(OR(NOT(AND(J542="PASS",'Calibrare_Linii'!U10="VALID")),L542&gt;'Config_v6'!$B$13,W542="WATCH"),5,IF(Y542="PASS",1,MIN(5,MAX('Config_v6'!$B$42,U542)+IF(W542="PENALTY",1,0))))))</x:f>
      </x:c>
      <x:c r="AA542" s="2" t="str">
        <x:f>IF(B542="","",IF(I542&lt;&gt;"READY","NOT RELEASED",IF(Z542=5,"NO BET",IF(OR(AB542&lt;'Config_v6'!$B$16,V542&lt;'Config_v6'!$B$18),"WATCH",IF(Z542=1,"DEFENSIV",IF(Z542=2,"PRUDENT",IF(Z542=3,"MODERAT","RIDICAT")))))))</x:f>
      </x:c>
      <x:c r="AB542" s="10" t="str">
        <x:f>IF(N542="","",MIN(N542,1-S542))</x:f>
      </x:c>
      <x:c r="AC542" s="2" t="str">
        <x:f>IF(AD542&lt;&gt;1,"",COUNTIFS($Z$538:$Z$551,"&lt;"&amp;Z542,$AD$538:$AD$551,1)+COUNTIFS($Z$538:$Z$551,Z542,$AB$538:$AB$551,"&gt;"&amp;AB542,$AD$538:$AD$551,1)+COUNTIFS($Z$538:$Z$551,Z542,$AB$538:$AB$551,AB542,$V$538:$V$551,"&gt;"&amp;V542,$AD$538:$AD$551,1)+COUNTIFS($Z$538:Z542,Z542,$AB$538:AB542,AB542,$V$538:V542,V542,$AD$538:AD542,1))</x:f>
      </x:c>
      <x:c r="AD542" s="2" t="n">
        <x:f>IF(OR(AA542="DEFENSIV",AA542="PRUDENT",AA542="MODERAT",AA542="RIDICAT"),1,0)</x:f>
        <x:v>0</x:v>
      </x:c>
      <x:c r="AE542" s="2" t="str">
        <x:f>IF(AD542&lt;&gt;1,"NO",IF(W542="PASS","YES",IF(W542="OOS PENDING","CONDITIONAL","NO")))</x:f>
        <x:v>NO</x:v>
      </x:c>
      <x:c r="AF542" s="2" t="n">
        <x:f>IF(AND(AD542=1,AC542=1,E542="LIVE"),1,0)</x:f>
        <x:v>0</x:v>
      </x:c>
      <x:c r="AG542" s="2" t="str">
        <x:f>IF(AF542&lt;&gt;1,"",'Dashboard'!P64)</x:f>
      </x:c>
      <x:c r="AH542" s="2" t="str">
        <x:f>IF(B542="","",IF(J542&lt;&gt;"PASS",'Motor_Meciuri'!J44,IF('Calibrare_Linii'!U10&lt;&gt;"VALID","Parametri linie invalizi",IF(L542&gt;'Config_v6'!$B$13,"Dispersie peste limita",IF(W542="WATCH","Failure peste limita",IF(AB542&lt;'Config_v6'!$B$16,"P finala sub prag",IF(V542&lt;'Config_v6'!$B$18,"Confidence sub prag",IF(E542="REPLAY","Exemplu retrospectiv; exclus din Top LIVE",IF(Y542="PASS","DEFENSIV validat",IF(W542="OOS PENDING","Eligibil; calibrare linie in monitorizare","Eligibil"))))))))))</x:f>
      </x:c>
      <x:c r="AI542" s="2" t="str">
        <x:f>IF(B542="","",'Calibrare_Linii'!V10)</x:f>
      </x:c>
      <x:c r="AJ542" s="2" t="str">
        <x:f>IF(B542="","",IF(AND('Calibrare_Linii'!T10="VALIDATED",AND('Calibrare_Linii'!H10=C542,ISNUMBER('Calibrare_Linii'!J10),'Calibrare_Linii'!J10&lt;='Input_Meci'!G44)),"DEFENSIVE VALIDATED",IF(AND('Calibrare_Linii'!S10="VALIDATED",AND('Calibrare_Linii'!H10=C542,ISNUMBER('Calibrare_Linii'!J10),'Calibrare_Linii'!J10&lt;='Input_Meci'!G44)),"TAIL VALIDATED","OOS PENDING")))</x:f>
      </x:c>
      <x:c r="AK542" s="2" t="n">
        <x:f>IF(J542&lt;&gt;"PASS",0,'Motor_Meciuri'!BR44)</x:f>
        <x:v>0</x:v>
      </x:c>
      <x:c r="AL542" s="2" t="n">
        <x:f>IF(J542&lt;&gt;"PASS",0,'Motor_Meciuri'!BS44)</x:f>
        <x:v>0</x:v>
      </x:c>
      <x:c r="AM542" s="2" t="n">
        <x:f>IF(J542&lt;&gt;"PASS",0,'Motor_Meciuri'!BT44)</x:f>
        <x:v>0</x:v>
      </x:c>
      <x:c r="AN542" s="2" t="str">
        <x:f>IF(M542="","",MAX(0,'Motor_Meciuri'!BF44-IF(L542&gt;'Config_v6'!$B$12,'Config_v6'!$B$37,IF(L542&gt;'Config_v6'!$B$11,'Config_v6'!$B$36,0))))</x:f>
      </x:c>
    </x:row>
    <x:row r="543" ht="21" customHeight="1">
      <x:c r="A543" s="2" t="n">
        <x:v>39</x:v>
      </x:c>
      <x:c r="B543" s="2" t="str">
        <x:f>IF('Motor_Meciuri'!A44="","",'Motor_Meciuri'!A44)</x:f>
      </x:c>
      <x:c r="C543" s="2" t="str">
        <x:f>IF(B543="","",'Motor_Meciuri'!B44)</x:f>
      </x:c>
      <x:c r="D543" s="2" t="str">
        <x:f>IF(B543="","",'Motor_Meciuri'!D44)</x:f>
      </x:c>
      <x:c r="E543" s="2" t="str">
        <x:f>IF(B543="","",'Motor_Meciuri'!E44)</x:f>
      </x:c>
      <x:c r="F543" s="2" t="str">
        <x:v>O8,5</x:v>
      </x:c>
      <x:c r="G543" s="2" t="str">
        <x:v>OVER</x:v>
      </x:c>
      <x:c r="H543" s="2" t="n">
        <x:v>8</x:v>
      </x:c>
      <x:c r="I543" s="2" t="str">
        <x:f>IF(B543="","",'Motor_Meciuri'!H44)</x:f>
      </x:c>
      <x:c r="J543" s="2" t="str">
        <x:f>IF(B543="","",'Motor_Meciuri'!I44)</x:f>
      </x:c>
      <x:c r="K543" s="11" t="str">
        <x:f>IF(J543&lt;&gt;"PASS","",'Motor_Meciuri'!BD44)</x:f>
      </x:c>
      <x:c r="L543" s="11" t="str">
        <x:f>IF(J543&lt;&gt;"PASS","",'Motor_Meciuri'!AU44)</x:f>
      </x:c>
      <x:c r="M543" s="10" t="str">
        <x:f>IF(NOT(AND(J543="PASS",'Calibrare_Linii'!U11="VALID")),"",1-'Distributie'!AF44)</x:f>
      </x:c>
      <x:c r="N543" s="10" t="str">
        <x:f>IF(M543="","",MAX(0.01,MIN(0.99,0.5+(M543-0.5)*'Motor_Meciuri'!BG44*'Calibrare_Linii'!D11)))</x:f>
      </x:c>
      <x:c r="O543" s="10" t="str">
        <x:f>IF(M543="","",1-M543)</x:f>
      </x:c>
      <x:c r="P543" s="10" t="str">
        <x:f>IF(OR(NOT(AND(J543="PASS",'Calibrare_Linii'!U11="VALID")),AK543=0),""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*('Istoric_Nativ'!$Q$6:$Q$405&lt;=H543))/AK543)</x:f>
      </x:c>
      <x:c r="Q543" s="10" t="str">
        <x:f>IF(OR(NOT(AND(J543="PASS",'Calibrare_Linii'!U11="VALID")),AL543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M44)+((('Istoric_Nativ'!$E$6:$E$405='Input_Meci'!E44)+('Istoric_Nativ'!$F$6:$F$405='Input_Meci'!E44))&gt;0)*('Istoric_Nativ'!$D$6:$D$405&gt;='Motor_Meciuri'!BN44))&gt;0)*('Istoric_Nativ'!$Q$6:$Q$405&lt;=H543))/AL543)</x:f>
      </x:c>
      <x:c r="R543" s="10" t="str">
        <x:f>IF(OR(NOT(AND(J543="PASS",'Calibrare_Linii'!U11="VALID")),AM543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O44)+((('Istoric_Nativ'!$E$6:$E$405='Input_Meci'!E44)+('Istoric_Nativ'!$F$6:$F$405='Input_Meci'!E44))&gt;0)*('Istoric_Nativ'!$D$6:$D$405&gt;='Motor_Meciuri'!BP44))&gt;0)*('Istoric_Nativ'!$Q$6:$Q$405&lt;=H543))/AM543)</x:f>
      </x:c>
      <x:c r="S543" s="10" t="str">
        <x:f>IF(M543="","",MAX(O543,P543,Q543,R543))</x:f>
      </x:c>
      <x:c r="T543" s="11" t="str">
        <x:f>IF(M543="","",MIN(100,S543*100*'Config_v6'!$B$44+MIN(100,L543/'Config_v6'!$B$13*100)*'Config_v6'!$B$45+(100-'Motor_Meciuri'!BF44)*'Config_v6'!$B$46+'Motor_Meciuri'!BH44*100*'Config_v6'!$B$47))</x:f>
      </x:c>
      <x:c r="U543" s="2" t="str">
        <x:f>IF(T543="","",IF(T543&lt;=20,1,IF(T543&lt;=40,2,IF(T543&lt;=60,3,IF(T543&lt;=80,4,5)))))</x:f>
      </x:c>
      <x:c r="V543" s="2" t="str">
        <x:f>IF(M543="","",MAX(0,'Motor_Meciuri'!BF44-IF(W543="OOS PENDING",'Config_v6'!$B$35,0)-IF(L543&gt;'Config_v6'!$B$12,'Config_v6'!$B$37,IF(L543&gt;'Config_v6'!$B$11,'Config_v6'!$B$36,0))))</x:f>
      </x:c>
      <x:c r="W543" s="2" t="str">
        <x:f>IF(B543="","",IF(I543&lt;&gt;"READY","NOT RELEASED",IF(NOT(AND(J543="PASS",'Calibrare_Linii'!U11="VALID")),"INVALID",IF(NOT(AND('Calibrare_Linii'!S11="VALIDATED",AND('Calibrare_Linii'!H11=C543,ISNUMBER('Calibrare_Linii'!J11),'Calibrare_Linii'!J11&lt;='Input_Meci'!G44))),"OOS PENDING",IF(S543&lt;='Calibrare_Linii'!E11,"PASS",IF(S543&lt;='Calibrare_Linii'!F11,"PENALTY","WATCH"))))))</x:f>
      </x:c>
      <x:c r="X543" s="2" t="str">
        <x:f>IF(M543="","",IF(AND(AND(J543="PASS",'Calibrare_Linii'!U11="VALID"),'Motor_Meciuri'!K44=12,'Motor_Meciuri'!L44=12,'Motor_Meciuri'!M44="NO",'Motor_Meciuri'!BL44='Motor_Meciuri'!C44,AB543&gt;='Config_v6'!$B$50,AN543&gt;='Config_v6'!$B$51,T543&lt;='Config_v6'!$B$52,L543&lt;='Config_v6'!$B$53,ISNUMBER('Calibrare_Linii'!E11),S543&lt;='Calibrare_Linii'!E11,SUM(AK543:AM543)&gt;0),"CANDIDATE","NO"))</x:f>
      </x:c>
      <x:c r="Y543" s="2" t="str">
        <x:f>IF(B543="","",IF(I543&lt;&gt;"READY","NOT RELEASED",IF(AND(X543="CANDIDATE",V543&gt;='Config_v6'!$B$51,W543="PASS",'Calibrare_Linii'!T11="VALIDATED",AND('Calibrare_Linii'!H11=C543,ISNUMBER('Calibrare_Linii'!J11),'Calibrare_Linii'!J11&lt;='Input_Meci'!G44)),"PASS",IF(X543="CANDIDATE","OOS PENDING","FAIL"))))</x:f>
      </x:c>
      <x:c r="Z543" s="2" t="str">
        <x:f>IF(B543="","",IF(I543&lt;&gt;"READY","",IF(OR(NOT(AND(J543="PASS",'Calibrare_Linii'!U11="VALID")),L543&gt;'Config_v6'!$B$13,W543="WATCH"),5,IF(Y543="PASS",1,MIN(5,MAX('Config_v6'!$B$42,U543)+IF(W543="PENALTY",1,0))))))</x:f>
      </x:c>
      <x:c r="AA543" s="2" t="str">
        <x:f>IF(B543="","",IF(I543&lt;&gt;"READY","NOT RELEASED",IF(Z543=5,"NO BET",IF(OR(AB543&lt;'Config_v6'!$B$16,V543&lt;'Config_v6'!$B$18),"WATCH",IF(Z543=1,"DEFENSIV",IF(Z543=2,"PRUDENT",IF(Z543=3,"MODERAT","RIDICAT")))))))</x:f>
      </x:c>
      <x:c r="AB543" s="10" t="str">
        <x:f>IF(N543="","",MIN(N543,1-S543))</x:f>
      </x:c>
      <x:c r="AC543" s="2" t="str">
        <x:f>IF(AD543&lt;&gt;1,"",COUNTIFS($Z$538:$Z$551,"&lt;"&amp;Z543,$AD$538:$AD$551,1)+COUNTIFS($Z$538:$Z$551,Z543,$AB$538:$AB$551,"&gt;"&amp;AB543,$AD$538:$AD$551,1)+COUNTIFS($Z$538:$Z$551,Z543,$AB$538:$AB$551,AB543,$V$538:$V$551,"&gt;"&amp;V543,$AD$538:$AD$551,1)+COUNTIFS($Z$538:Z543,Z543,$AB$538:AB543,AB543,$V$538:V543,V543,$AD$538:AD543,1))</x:f>
      </x:c>
      <x:c r="AD543" s="2" t="n">
        <x:f>IF(OR(AA543="DEFENSIV",AA543="PRUDENT",AA543="MODERAT",AA543="RIDICAT"),1,0)</x:f>
        <x:v>0</x:v>
      </x:c>
      <x:c r="AE543" s="2" t="str">
        <x:f>IF(AD543&lt;&gt;1,"NO",IF(W543="PASS","YES",IF(W543="OOS PENDING","CONDITIONAL","NO")))</x:f>
        <x:v>NO</x:v>
      </x:c>
      <x:c r="AF543" s="2" t="n">
        <x:f>IF(AND(AD543=1,AC543=1,E543="LIVE"),1,0)</x:f>
        <x:v>0</x:v>
      </x:c>
      <x:c r="AG543" s="2" t="str">
        <x:f>IF(AF543&lt;&gt;1,"",'Dashboard'!P64)</x:f>
      </x:c>
      <x:c r="AH543" s="2" t="str">
        <x:f>IF(B543="","",IF(J543&lt;&gt;"PASS",'Motor_Meciuri'!J44,IF('Calibrare_Linii'!U11&lt;&gt;"VALID","Parametri linie invalizi",IF(L543&gt;'Config_v6'!$B$13,"Dispersie peste limita",IF(W543="WATCH","Failure peste limita",IF(AB543&lt;'Config_v6'!$B$16,"P finala sub prag",IF(V543&lt;'Config_v6'!$B$18,"Confidence sub prag",IF(E543="REPLAY","Exemplu retrospectiv; exclus din Top LIVE",IF(Y543="PASS","DEFENSIV validat",IF(W543="OOS PENDING","Eligibil; calibrare linie in monitorizare","Eligibil"))))))))))</x:f>
      </x:c>
      <x:c r="AI543" s="2" t="str">
        <x:f>IF(B543="","",'Calibrare_Linii'!V11)</x:f>
      </x:c>
      <x:c r="AJ543" s="2" t="str">
        <x:f>IF(B543="","",IF(AND('Calibrare_Linii'!T11="VALIDATED",AND('Calibrare_Linii'!H11=C543,ISNUMBER('Calibrare_Linii'!J11),'Calibrare_Linii'!J11&lt;='Input_Meci'!G44)),"DEFENSIVE VALIDATED",IF(AND('Calibrare_Linii'!S11="VALIDATED",AND('Calibrare_Linii'!H11=C543,ISNUMBER('Calibrare_Linii'!J11),'Calibrare_Linii'!J11&lt;='Input_Meci'!G44)),"TAIL VALIDATED","OOS PENDING")))</x:f>
      </x:c>
      <x:c r="AK543" s="2" t="n">
        <x:f>IF(J543&lt;&gt;"PASS",0,'Motor_Meciuri'!BR44)</x:f>
        <x:v>0</x:v>
      </x:c>
      <x:c r="AL543" s="2" t="n">
        <x:f>IF(J543&lt;&gt;"PASS",0,'Motor_Meciuri'!BS44)</x:f>
        <x:v>0</x:v>
      </x:c>
      <x:c r="AM543" s="2" t="n">
        <x:f>IF(J543&lt;&gt;"PASS",0,'Motor_Meciuri'!BT44)</x:f>
        <x:v>0</x:v>
      </x:c>
      <x:c r="AN543" s="2" t="str">
        <x:f>IF(M543="","",MAX(0,'Motor_Meciuri'!BF44-IF(L543&gt;'Config_v6'!$B$12,'Config_v6'!$B$37,IF(L543&gt;'Config_v6'!$B$11,'Config_v6'!$B$36,0))))</x:f>
      </x:c>
    </x:row>
    <x:row r="544" ht="21" customHeight="1">
      <x:c r="A544" s="2" t="n">
        <x:v>39</x:v>
      </x:c>
      <x:c r="B544" s="2" t="str">
        <x:f>IF('Motor_Meciuri'!A44="","",'Motor_Meciuri'!A44)</x:f>
      </x:c>
      <x:c r="C544" s="2" t="str">
        <x:f>IF(B544="","",'Motor_Meciuri'!B44)</x:f>
      </x:c>
      <x:c r="D544" s="2" t="str">
        <x:f>IF(B544="","",'Motor_Meciuri'!D44)</x:f>
      </x:c>
      <x:c r="E544" s="2" t="str">
        <x:f>IF(B544="","",'Motor_Meciuri'!E44)</x:f>
      </x:c>
      <x:c r="F544" s="2" t="str">
        <x:v>U10,5</x:v>
      </x:c>
      <x:c r="G544" s="2" t="str">
        <x:v>UNDER</x:v>
      </x:c>
      <x:c r="H544" s="2" t="n">
        <x:v>10</x:v>
      </x:c>
      <x:c r="I544" s="2" t="str">
        <x:f>IF(B544="","",'Motor_Meciuri'!H44)</x:f>
      </x:c>
      <x:c r="J544" s="2" t="str">
        <x:f>IF(B544="","",'Motor_Meciuri'!I44)</x:f>
      </x:c>
      <x:c r="K544" s="11" t="str">
        <x:f>IF(J544&lt;&gt;"PASS","",'Motor_Meciuri'!BD44)</x:f>
      </x:c>
      <x:c r="L544" s="11" t="str">
        <x:f>IF(J544&lt;&gt;"PASS","",'Motor_Meciuri'!AU44)</x:f>
      </x:c>
      <x:c r="M544" s="10" t="str">
        <x:f>IF(NOT(AND(J544="PASS",'Calibrare_Linii'!U12="VALID")),"",'Distributie'!AH44)</x:f>
      </x:c>
      <x:c r="N544" s="10" t="str">
        <x:f>IF(M544="","",MAX(0.01,MIN(0.99,0.5+(M544-0.5)*'Motor_Meciuri'!BG44*'Calibrare_Linii'!D12)))</x:f>
      </x:c>
      <x:c r="O544" s="10" t="str">
        <x:f>IF(M544="","",1-M544)</x:f>
      </x:c>
      <x:c r="P544" s="10" t="str">
        <x:f>IF(OR(NOT(AND(J544="PASS",'Calibrare_Linii'!U12="VALID")),AK544=0),""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*('Istoric_Nativ'!$Q$6:$Q$405&gt;H544))/AK544)</x:f>
      </x:c>
      <x:c r="Q544" s="10" t="str">
        <x:f>IF(OR(NOT(AND(J544="PASS",'Calibrare_Linii'!U12="VALID")),AL544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M44)+((('Istoric_Nativ'!$E$6:$E$405='Input_Meci'!E44)+('Istoric_Nativ'!$F$6:$F$405='Input_Meci'!E44))&gt;0)*('Istoric_Nativ'!$D$6:$D$405&gt;='Motor_Meciuri'!BN44))&gt;0)*('Istoric_Nativ'!$Q$6:$Q$405&gt;H544))/AL544)</x:f>
      </x:c>
      <x:c r="R544" s="10" t="str">
        <x:f>IF(OR(NOT(AND(J544="PASS",'Calibrare_Linii'!U12="VALID")),AM544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O44)+((('Istoric_Nativ'!$E$6:$E$405='Input_Meci'!E44)+('Istoric_Nativ'!$F$6:$F$405='Input_Meci'!E44))&gt;0)*('Istoric_Nativ'!$D$6:$D$405&gt;='Motor_Meciuri'!BP44))&gt;0)*('Istoric_Nativ'!$Q$6:$Q$405&gt;H544))/AM544)</x:f>
      </x:c>
      <x:c r="S544" s="10" t="str">
        <x:f>IF(M544="","",MAX(O544,P544,Q544,R544))</x:f>
      </x:c>
      <x:c r="T544" s="11" t="str">
        <x:f>IF(M544="","",MIN(100,S544*100*'Config_v6'!$B$44+MIN(100,L544/'Config_v6'!$B$13*100)*'Config_v6'!$B$45+(100-'Motor_Meciuri'!BF44)*'Config_v6'!$B$46+'Motor_Meciuri'!BH44*100*'Config_v6'!$B$47))</x:f>
      </x:c>
      <x:c r="U544" s="2" t="str">
        <x:f>IF(T544="","",IF(T544&lt;=20,1,IF(T544&lt;=40,2,IF(T544&lt;=60,3,IF(T544&lt;=80,4,5)))))</x:f>
      </x:c>
      <x:c r="V544" s="2" t="str">
        <x:f>IF(M544="","",MAX(0,'Motor_Meciuri'!BF44-IF(W544="OOS PENDING",'Config_v6'!$B$35,0)-IF(L544&gt;'Config_v6'!$B$12,'Config_v6'!$B$37,IF(L544&gt;'Config_v6'!$B$11,'Config_v6'!$B$36,0))))</x:f>
      </x:c>
      <x:c r="W544" s="2" t="str">
        <x:f>IF(B544="","",IF(I544&lt;&gt;"READY","NOT RELEASED",IF(NOT(AND(J544="PASS",'Calibrare_Linii'!U12="VALID")),"INVALID",IF(NOT(AND('Calibrare_Linii'!S12="VALIDATED",AND('Calibrare_Linii'!H12=C544,ISNUMBER('Calibrare_Linii'!J12),'Calibrare_Linii'!J12&lt;='Input_Meci'!G44))),"OOS PENDING",IF(S544&lt;='Calibrare_Linii'!E12,"PASS",IF(S544&lt;='Calibrare_Linii'!F12,"PENALTY","WATCH"))))))</x:f>
      </x:c>
      <x:c r="X544" s="2" t="str">
        <x:f>IF(M544="","",IF(AND(AND(J544="PASS",'Calibrare_Linii'!U12="VALID"),'Motor_Meciuri'!K44=12,'Motor_Meciuri'!L44=12,'Motor_Meciuri'!M44="NO",'Motor_Meciuri'!BL44='Motor_Meciuri'!C44,AB544&gt;='Config_v6'!$B$50,AN544&gt;='Config_v6'!$B$51,T544&lt;='Config_v6'!$B$52,L544&lt;='Config_v6'!$B$53,ISNUMBER('Calibrare_Linii'!E12),S544&lt;='Calibrare_Linii'!E12,SUM(AK544:AM544)&gt;0),"CANDIDATE","NO"))</x:f>
      </x:c>
      <x:c r="Y544" s="2" t="str">
        <x:f>IF(B544="","",IF(I544&lt;&gt;"READY","NOT RELEASED",IF(AND(X544="CANDIDATE",V544&gt;='Config_v6'!$B$51,W544="PASS",'Calibrare_Linii'!T12="VALIDATED",AND('Calibrare_Linii'!H12=C544,ISNUMBER('Calibrare_Linii'!J12),'Calibrare_Linii'!J12&lt;='Input_Meci'!G44)),"PASS",IF(X544="CANDIDATE","OOS PENDING","FAIL"))))</x:f>
      </x:c>
      <x:c r="Z544" s="2" t="str">
        <x:f>IF(B544="","",IF(I544&lt;&gt;"READY","",IF(OR(NOT(AND(J544="PASS",'Calibrare_Linii'!U12="VALID")),L544&gt;'Config_v6'!$B$13,W544="WATCH"),5,IF(Y544="PASS",1,MIN(5,MAX('Config_v6'!$B$42,U544)+IF(W544="PENALTY",1,0))))))</x:f>
      </x:c>
      <x:c r="AA544" s="2" t="str">
        <x:f>IF(B544="","",IF(I544&lt;&gt;"READY","NOT RELEASED",IF(Z544=5,"NO BET",IF(OR(AB544&lt;'Config_v6'!$B$16,V544&lt;'Config_v6'!$B$18),"WATCH",IF(Z544=1,"DEFENSIV",IF(Z544=2,"PRUDENT",IF(Z544=3,"MODERAT","RIDICAT")))))))</x:f>
      </x:c>
      <x:c r="AB544" s="10" t="str">
        <x:f>IF(N544="","",MIN(N544,1-S544))</x:f>
      </x:c>
      <x:c r="AC544" s="2" t="str">
        <x:f>IF(AD544&lt;&gt;1,"",COUNTIFS($Z$538:$Z$551,"&lt;"&amp;Z544,$AD$538:$AD$551,1)+COUNTIFS($Z$538:$Z$551,Z544,$AB$538:$AB$551,"&gt;"&amp;AB544,$AD$538:$AD$551,1)+COUNTIFS($Z$538:$Z$551,Z544,$AB$538:$AB$551,AB544,$V$538:$V$551,"&gt;"&amp;V544,$AD$538:$AD$551,1)+COUNTIFS($Z$538:Z544,Z544,$AB$538:AB544,AB544,$V$538:V544,V544,$AD$538:AD544,1))</x:f>
      </x:c>
      <x:c r="AD544" s="2" t="n">
        <x:f>IF(OR(AA544="DEFENSIV",AA544="PRUDENT",AA544="MODERAT",AA544="RIDICAT"),1,0)</x:f>
        <x:v>0</x:v>
      </x:c>
      <x:c r="AE544" s="2" t="str">
        <x:f>IF(AD544&lt;&gt;1,"NO",IF(W544="PASS","YES",IF(W544="OOS PENDING","CONDITIONAL","NO")))</x:f>
        <x:v>NO</x:v>
      </x:c>
      <x:c r="AF544" s="2" t="n">
        <x:f>IF(AND(AD544=1,AC544=1,E544="LIVE"),1,0)</x:f>
        <x:v>0</x:v>
      </x:c>
      <x:c r="AG544" s="2" t="str">
        <x:f>IF(AF544&lt;&gt;1,"",'Dashboard'!P64)</x:f>
      </x:c>
      <x:c r="AH544" s="2" t="str">
        <x:f>IF(B544="","",IF(J544&lt;&gt;"PASS",'Motor_Meciuri'!J44,IF('Calibrare_Linii'!U12&lt;&gt;"VALID","Parametri linie invalizi",IF(L544&gt;'Config_v6'!$B$13,"Dispersie peste limita",IF(W544="WATCH","Failure peste limita",IF(AB544&lt;'Config_v6'!$B$16,"P finala sub prag",IF(V544&lt;'Config_v6'!$B$18,"Confidence sub prag",IF(E544="REPLAY","Exemplu retrospectiv; exclus din Top LIVE",IF(Y544="PASS","DEFENSIV validat",IF(W544="OOS PENDING","Eligibil; calibrare linie in monitorizare","Eligibil"))))))))))</x:f>
      </x:c>
      <x:c r="AI544" s="2" t="str">
        <x:f>IF(B544="","",'Calibrare_Linii'!V12)</x:f>
      </x:c>
      <x:c r="AJ544" s="2" t="str">
        <x:f>IF(B544="","",IF(AND('Calibrare_Linii'!T12="VALIDATED",AND('Calibrare_Linii'!H12=C544,ISNUMBER('Calibrare_Linii'!J12),'Calibrare_Linii'!J12&lt;='Input_Meci'!G44)),"DEFENSIVE VALIDATED",IF(AND('Calibrare_Linii'!S12="VALIDATED",AND('Calibrare_Linii'!H12=C544,ISNUMBER('Calibrare_Linii'!J12),'Calibrare_Linii'!J12&lt;='Input_Meci'!G44)),"TAIL VALIDATED","OOS PENDING")))</x:f>
      </x:c>
      <x:c r="AK544" s="2" t="n">
        <x:f>IF(J544&lt;&gt;"PASS",0,'Motor_Meciuri'!BR44)</x:f>
        <x:v>0</x:v>
      </x:c>
      <x:c r="AL544" s="2" t="n">
        <x:f>IF(J544&lt;&gt;"PASS",0,'Motor_Meciuri'!BS44)</x:f>
        <x:v>0</x:v>
      </x:c>
      <x:c r="AM544" s="2" t="n">
        <x:f>IF(J544&lt;&gt;"PASS",0,'Motor_Meciuri'!BT44)</x:f>
        <x:v>0</x:v>
      </x:c>
      <x:c r="AN544" s="2" t="str">
        <x:f>IF(M544="","",MAX(0,'Motor_Meciuri'!BF44-IF(L544&gt;'Config_v6'!$B$12,'Config_v6'!$B$37,IF(L544&gt;'Config_v6'!$B$11,'Config_v6'!$B$36,0))))</x:f>
      </x:c>
    </x:row>
    <x:row r="545" ht="21" customHeight="1">
      <x:c r="A545" s="2" t="n">
        <x:v>39</x:v>
      </x:c>
      <x:c r="B545" s="2" t="str">
        <x:f>IF('Motor_Meciuri'!A44="","",'Motor_Meciuri'!A44)</x:f>
      </x:c>
      <x:c r="C545" s="2" t="str">
        <x:f>IF(B545="","",'Motor_Meciuri'!B44)</x:f>
      </x:c>
      <x:c r="D545" s="2" t="str">
        <x:f>IF(B545="","",'Motor_Meciuri'!D44)</x:f>
      </x:c>
      <x:c r="E545" s="2" t="str">
        <x:f>IF(B545="","",'Motor_Meciuri'!E44)</x:f>
      </x:c>
      <x:c r="F545" s="2" t="str">
        <x:v>U11,5</x:v>
      </x:c>
      <x:c r="G545" s="2" t="str">
        <x:v>UNDER</x:v>
      </x:c>
      <x:c r="H545" s="2" t="n">
        <x:v>11</x:v>
      </x:c>
      <x:c r="I545" s="2" t="str">
        <x:f>IF(B545="","",'Motor_Meciuri'!H44)</x:f>
      </x:c>
      <x:c r="J545" s="2" t="str">
        <x:f>IF(B545="","",'Motor_Meciuri'!I44)</x:f>
      </x:c>
      <x:c r="K545" s="11" t="str">
        <x:f>IF(J545&lt;&gt;"PASS","",'Motor_Meciuri'!BD44)</x:f>
      </x:c>
      <x:c r="L545" s="11" t="str">
        <x:f>IF(J545&lt;&gt;"PASS","",'Motor_Meciuri'!AU44)</x:f>
      </x:c>
      <x:c r="M545" s="10" t="str">
        <x:f>IF(NOT(AND(J545="PASS",'Calibrare_Linii'!U13="VALID")),"",'Distributie'!AI44)</x:f>
      </x:c>
      <x:c r="N545" s="10" t="str">
        <x:f>IF(M545="","",MAX(0.01,MIN(0.99,0.5+(M545-0.5)*'Motor_Meciuri'!BG44*'Calibrare_Linii'!D13)))</x:f>
      </x:c>
      <x:c r="O545" s="10" t="str">
        <x:f>IF(M545="","",1-M545)</x:f>
      </x:c>
      <x:c r="P545" s="10" t="str">
        <x:f>IF(OR(NOT(AND(J545="PASS",'Calibrare_Linii'!U13="VALID")),AK545=0),""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*('Istoric_Nativ'!$Q$6:$Q$405&gt;H545))/AK545)</x:f>
      </x:c>
      <x:c r="Q545" s="10" t="str">
        <x:f>IF(OR(NOT(AND(J545="PASS",'Calibrare_Linii'!U13="VALID")),AL545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M44)+((('Istoric_Nativ'!$E$6:$E$405='Input_Meci'!E44)+('Istoric_Nativ'!$F$6:$F$405='Input_Meci'!E44))&gt;0)*('Istoric_Nativ'!$D$6:$D$405&gt;='Motor_Meciuri'!BN44))&gt;0)*('Istoric_Nativ'!$Q$6:$Q$405&gt;H545))/AL545)</x:f>
      </x:c>
      <x:c r="R545" s="10" t="str">
        <x:f>IF(OR(NOT(AND(J545="PASS",'Calibrare_Linii'!U13="VALID")),AM545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O44)+((('Istoric_Nativ'!$E$6:$E$405='Input_Meci'!E44)+('Istoric_Nativ'!$F$6:$F$405='Input_Meci'!E44))&gt;0)*('Istoric_Nativ'!$D$6:$D$405&gt;='Motor_Meciuri'!BP44))&gt;0)*('Istoric_Nativ'!$Q$6:$Q$405&gt;H545))/AM545)</x:f>
      </x:c>
      <x:c r="S545" s="10" t="str">
        <x:f>IF(M545="","",MAX(O545,P545,Q545,R545))</x:f>
      </x:c>
      <x:c r="T545" s="11" t="str">
        <x:f>IF(M545="","",MIN(100,S545*100*'Config_v6'!$B$44+MIN(100,L545/'Config_v6'!$B$13*100)*'Config_v6'!$B$45+(100-'Motor_Meciuri'!BF44)*'Config_v6'!$B$46+'Motor_Meciuri'!BH44*100*'Config_v6'!$B$47))</x:f>
      </x:c>
      <x:c r="U545" s="2" t="str">
        <x:f>IF(T545="","",IF(T545&lt;=20,1,IF(T545&lt;=40,2,IF(T545&lt;=60,3,IF(T545&lt;=80,4,5)))))</x:f>
      </x:c>
      <x:c r="V545" s="2" t="str">
        <x:f>IF(M545="","",MAX(0,'Motor_Meciuri'!BF44-IF(W545="OOS PENDING",'Config_v6'!$B$35,0)-IF(L545&gt;'Config_v6'!$B$12,'Config_v6'!$B$37,IF(L545&gt;'Config_v6'!$B$11,'Config_v6'!$B$36,0))))</x:f>
      </x:c>
      <x:c r="W545" s="2" t="str">
        <x:f>IF(B545="","",IF(I545&lt;&gt;"READY","NOT RELEASED",IF(NOT(AND(J545="PASS",'Calibrare_Linii'!U13="VALID")),"INVALID",IF(NOT(AND('Calibrare_Linii'!S13="VALIDATED",AND('Calibrare_Linii'!H13=C545,ISNUMBER('Calibrare_Linii'!J13),'Calibrare_Linii'!J13&lt;='Input_Meci'!G44))),"OOS PENDING",IF(S545&lt;='Calibrare_Linii'!E13,"PASS",IF(S545&lt;='Calibrare_Linii'!F13,"PENALTY","WATCH"))))))</x:f>
      </x:c>
      <x:c r="X545" s="2" t="str">
        <x:f>IF(M545="","",IF(AND(AND(J545="PASS",'Calibrare_Linii'!U13="VALID"),'Motor_Meciuri'!K44=12,'Motor_Meciuri'!L44=12,'Motor_Meciuri'!M44="NO",'Motor_Meciuri'!BL44='Motor_Meciuri'!C44,AB545&gt;='Config_v6'!$B$50,AN545&gt;='Config_v6'!$B$51,T545&lt;='Config_v6'!$B$52,L545&lt;='Config_v6'!$B$53,ISNUMBER('Calibrare_Linii'!E13),S545&lt;='Calibrare_Linii'!E13,SUM(AK545:AM545)&gt;0),"CANDIDATE","NO"))</x:f>
      </x:c>
      <x:c r="Y545" s="2" t="str">
        <x:f>IF(B545="","",IF(I545&lt;&gt;"READY","NOT RELEASED",IF(AND(X545="CANDIDATE",V545&gt;='Config_v6'!$B$51,W545="PASS",'Calibrare_Linii'!T13="VALIDATED",AND('Calibrare_Linii'!H13=C545,ISNUMBER('Calibrare_Linii'!J13),'Calibrare_Linii'!J13&lt;='Input_Meci'!G44)),"PASS",IF(X545="CANDIDATE","OOS PENDING","FAIL"))))</x:f>
      </x:c>
      <x:c r="Z545" s="2" t="str">
        <x:f>IF(B545="","",IF(I545&lt;&gt;"READY","",IF(OR(NOT(AND(J545="PASS",'Calibrare_Linii'!U13="VALID")),L545&gt;'Config_v6'!$B$13,W545="WATCH"),5,IF(Y545="PASS",1,MIN(5,MAX('Config_v6'!$B$42,U545)+IF(W545="PENALTY",1,0))))))</x:f>
      </x:c>
      <x:c r="AA545" s="2" t="str">
        <x:f>IF(B545="","",IF(I545&lt;&gt;"READY","NOT RELEASED",IF(Z545=5,"NO BET",IF(OR(AB545&lt;'Config_v6'!$B$16,V545&lt;'Config_v6'!$B$18),"WATCH",IF(Z545=1,"DEFENSIV",IF(Z545=2,"PRUDENT",IF(Z545=3,"MODERAT","RIDICAT")))))))</x:f>
      </x:c>
      <x:c r="AB545" s="10" t="str">
        <x:f>IF(N545="","",MIN(N545,1-S545))</x:f>
      </x:c>
      <x:c r="AC545" s="2" t="str">
        <x:f>IF(AD545&lt;&gt;1,"",COUNTIFS($Z$538:$Z$551,"&lt;"&amp;Z545,$AD$538:$AD$551,1)+COUNTIFS($Z$538:$Z$551,Z545,$AB$538:$AB$551,"&gt;"&amp;AB545,$AD$538:$AD$551,1)+COUNTIFS($Z$538:$Z$551,Z545,$AB$538:$AB$551,AB545,$V$538:$V$551,"&gt;"&amp;V545,$AD$538:$AD$551,1)+COUNTIFS($Z$538:Z545,Z545,$AB$538:AB545,AB545,$V$538:V545,V545,$AD$538:AD545,1))</x:f>
      </x:c>
      <x:c r="AD545" s="2" t="n">
        <x:f>IF(OR(AA545="DEFENSIV",AA545="PRUDENT",AA545="MODERAT",AA545="RIDICAT"),1,0)</x:f>
        <x:v>0</x:v>
      </x:c>
      <x:c r="AE545" s="2" t="str">
        <x:f>IF(AD545&lt;&gt;1,"NO",IF(W545="PASS","YES",IF(W545="OOS PENDING","CONDITIONAL","NO")))</x:f>
        <x:v>NO</x:v>
      </x:c>
      <x:c r="AF545" s="2" t="n">
        <x:f>IF(AND(AD545=1,AC545=1,E545="LIVE"),1,0)</x:f>
        <x:v>0</x:v>
      </x:c>
      <x:c r="AG545" s="2" t="str">
        <x:f>IF(AF545&lt;&gt;1,"",'Dashboard'!P64)</x:f>
      </x:c>
      <x:c r="AH545" s="2" t="str">
        <x:f>IF(B545="","",IF(J545&lt;&gt;"PASS",'Motor_Meciuri'!J44,IF('Calibrare_Linii'!U13&lt;&gt;"VALID","Parametri linie invalizi",IF(L545&gt;'Config_v6'!$B$13,"Dispersie peste limita",IF(W545="WATCH","Failure peste limita",IF(AB545&lt;'Config_v6'!$B$16,"P finala sub prag",IF(V545&lt;'Config_v6'!$B$18,"Confidence sub prag",IF(E545="REPLAY","Exemplu retrospectiv; exclus din Top LIVE",IF(Y545="PASS","DEFENSIV validat",IF(W545="OOS PENDING","Eligibil; calibrare linie in monitorizare","Eligibil"))))))))))</x:f>
      </x:c>
      <x:c r="AI545" s="2" t="str">
        <x:f>IF(B545="","",'Calibrare_Linii'!V13)</x:f>
      </x:c>
      <x:c r="AJ545" s="2" t="str">
        <x:f>IF(B545="","",IF(AND('Calibrare_Linii'!T13="VALIDATED",AND('Calibrare_Linii'!H13=C545,ISNUMBER('Calibrare_Linii'!J13),'Calibrare_Linii'!J13&lt;='Input_Meci'!G44)),"DEFENSIVE VALIDATED",IF(AND('Calibrare_Linii'!S13="VALIDATED",AND('Calibrare_Linii'!H13=C545,ISNUMBER('Calibrare_Linii'!J13),'Calibrare_Linii'!J13&lt;='Input_Meci'!G44)),"TAIL VALIDATED","OOS PENDING")))</x:f>
      </x:c>
      <x:c r="AK545" s="2" t="n">
        <x:f>IF(J545&lt;&gt;"PASS",0,'Motor_Meciuri'!BR44)</x:f>
        <x:v>0</x:v>
      </x:c>
      <x:c r="AL545" s="2" t="n">
        <x:f>IF(J545&lt;&gt;"PASS",0,'Motor_Meciuri'!BS44)</x:f>
        <x:v>0</x:v>
      </x:c>
      <x:c r="AM545" s="2" t="n">
        <x:f>IF(J545&lt;&gt;"PASS",0,'Motor_Meciuri'!BT44)</x:f>
        <x:v>0</x:v>
      </x:c>
      <x:c r="AN545" s="2" t="str">
        <x:f>IF(M545="","",MAX(0,'Motor_Meciuri'!BF44-IF(L545&gt;'Config_v6'!$B$12,'Config_v6'!$B$37,IF(L545&gt;'Config_v6'!$B$11,'Config_v6'!$B$36,0))))</x:f>
      </x:c>
    </x:row>
    <x:row r="546" ht="21" customHeight="1">
      <x:c r="A546" s="2" t="n">
        <x:v>39</x:v>
      </x:c>
      <x:c r="B546" s="2" t="str">
        <x:f>IF('Motor_Meciuri'!A44="","",'Motor_Meciuri'!A44)</x:f>
      </x:c>
      <x:c r="C546" s="2" t="str">
        <x:f>IF(B546="","",'Motor_Meciuri'!B44)</x:f>
      </x:c>
      <x:c r="D546" s="2" t="str">
        <x:f>IF(B546="","",'Motor_Meciuri'!D44)</x:f>
      </x:c>
      <x:c r="E546" s="2" t="str">
        <x:f>IF(B546="","",'Motor_Meciuri'!E44)</x:f>
      </x:c>
      <x:c r="F546" s="2" t="str">
        <x:v>U12,5</x:v>
      </x:c>
      <x:c r="G546" s="2" t="str">
        <x:v>UNDER</x:v>
      </x:c>
      <x:c r="H546" s="2" t="n">
        <x:v>12</x:v>
      </x:c>
      <x:c r="I546" s="2" t="str">
        <x:f>IF(B546="","",'Motor_Meciuri'!H44)</x:f>
      </x:c>
      <x:c r="J546" s="2" t="str">
        <x:f>IF(B546="","",'Motor_Meciuri'!I44)</x:f>
      </x:c>
      <x:c r="K546" s="11" t="str">
        <x:f>IF(J546&lt;&gt;"PASS","",'Motor_Meciuri'!BD44)</x:f>
      </x:c>
      <x:c r="L546" s="11" t="str">
        <x:f>IF(J546&lt;&gt;"PASS","",'Motor_Meciuri'!AU44)</x:f>
      </x:c>
      <x:c r="M546" s="10" t="str">
        <x:f>IF(NOT(AND(J546="PASS",'Calibrare_Linii'!U14="VALID")),"",'Distributie'!AJ44)</x:f>
      </x:c>
      <x:c r="N546" s="10" t="str">
        <x:f>IF(M546="","",MAX(0.01,MIN(0.99,0.5+(M546-0.5)*'Motor_Meciuri'!BG44*'Calibrare_Linii'!D14)))</x:f>
      </x:c>
      <x:c r="O546" s="10" t="str">
        <x:f>IF(M546="","",1-M546)</x:f>
      </x:c>
      <x:c r="P546" s="10" t="str">
        <x:f>IF(OR(NOT(AND(J546="PASS",'Calibrare_Linii'!U14="VALID")),AK546=0),""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*('Istoric_Nativ'!$Q$6:$Q$405&gt;H546))/AK546)</x:f>
      </x:c>
      <x:c r="Q546" s="10" t="str">
        <x:f>IF(OR(NOT(AND(J546="PASS",'Calibrare_Linii'!U14="VALID")),AL546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M44)+((('Istoric_Nativ'!$E$6:$E$405='Input_Meci'!E44)+('Istoric_Nativ'!$F$6:$F$405='Input_Meci'!E44))&gt;0)*('Istoric_Nativ'!$D$6:$D$405&gt;='Motor_Meciuri'!BN44))&gt;0)*('Istoric_Nativ'!$Q$6:$Q$405&gt;H546))/AL546)</x:f>
      </x:c>
      <x:c r="R546" s="10" t="str">
        <x:f>IF(OR(NOT(AND(J546="PASS",'Calibrare_Linii'!U14="VALID")),AM546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O44)+((('Istoric_Nativ'!$E$6:$E$405='Input_Meci'!E44)+('Istoric_Nativ'!$F$6:$F$405='Input_Meci'!E44))&gt;0)*('Istoric_Nativ'!$D$6:$D$405&gt;='Motor_Meciuri'!BP44))&gt;0)*('Istoric_Nativ'!$Q$6:$Q$405&gt;H546))/AM546)</x:f>
      </x:c>
      <x:c r="S546" s="10" t="str">
        <x:f>IF(M546="","",MAX(O546,P546,Q546,R546))</x:f>
      </x:c>
      <x:c r="T546" s="11" t="str">
        <x:f>IF(M546="","",MIN(100,S546*100*'Config_v6'!$B$44+MIN(100,L546/'Config_v6'!$B$13*100)*'Config_v6'!$B$45+(100-'Motor_Meciuri'!BF44)*'Config_v6'!$B$46+'Motor_Meciuri'!BH44*100*'Config_v6'!$B$47))</x:f>
      </x:c>
      <x:c r="U546" s="2" t="str">
        <x:f>IF(T546="","",IF(T546&lt;=20,1,IF(T546&lt;=40,2,IF(T546&lt;=60,3,IF(T546&lt;=80,4,5)))))</x:f>
      </x:c>
      <x:c r="V546" s="2" t="str">
        <x:f>IF(M546="","",MAX(0,'Motor_Meciuri'!BF44-IF(W546="OOS PENDING",'Config_v6'!$B$35,0)-IF(L546&gt;'Config_v6'!$B$12,'Config_v6'!$B$37,IF(L546&gt;'Config_v6'!$B$11,'Config_v6'!$B$36,0))))</x:f>
      </x:c>
      <x:c r="W546" s="2" t="str">
        <x:f>IF(B546="","",IF(I546&lt;&gt;"READY","NOT RELEASED",IF(NOT(AND(J546="PASS",'Calibrare_Linii'!U14="VALID")),"INVALID",IF(NOT(AND('Calibrare_Linii'!S14="VALIDATED",AND('Calibrare_Linii'!H14=C546,ISNUMBER('Calibrare_Linii'!J14),'Calibrare_Linii'!J14&lt;='Input_Meci'!G44))),"OOS PENDING",IF(S546&lt;='Calibrare_Linii'!E14,"PASS",IF(S546&lt;='Calibrare_Linii'!F14,"PENALTY","WATCH"))))))</x:f>
      </x:c>
      <x:c r="X546" s="2" t="str">
        <x:f>IF(M546="","",IF(AND(AND(J546="PASS",'Calibrare_Linii'!U14="VALID"),'Motor_Meciuri'!K44=12,'Motor_Meciuri'!L44=12,'Motor_Meciuri'!M44="NO",'Motor_Meciuri'!BL44='Motor_Meciuri'!C44,AB546&gt;='Config_v6'!$B$50,AN546&gt;='Config_v6'!$B$51,T546&lt;='Config_v6'!$B$52,L546&lt;='Config_v6'!$B$53,ISNUMBER('Calibrare_Linii'!E14),S546&lt;='Calibrare_Linii'!E14,SUM(AK546:AM546)&gt;0),"CANDIDATE","NO"))</x:f>
      </x:c>
      <x:c r="Y546" s="2" t="str">
        <x:f>IF(B546="","",IF(I546&lt;&gt;"READY","NOT RELEASED",IF(AND(X546="CANDIDATE",V546&gt;='Config_v6'!$B$51,W546="PASS",'Calibrare_Linii'!T14="VALIDATED",AND('Calibrare_Linii'!H14=C546,ISNUMBER('Calibrare_Linii'!J14),'Calibrare_Linii'!J14&lt;='Input_Meci'!G44)),"PASS",IF(X546="CANDIDATE","OOS PENDING","FAIL"))))</x:f>
      </x:c>
      <x:c r="Z546" s="2" t="str">
        <x:f>IF(B546="","",IF(I546&lt;&gt;"READY","",IF(OR(NOT(AND(J546="PASS",'Calibrare_Linii'!U14="VALID")),L546&gt;'Config_v6'!$B$13,W546="WATCH"),5,IF(Y546="PASS",1,MIN(5,MAX('Config_v6'!$B$42,U546)+IF(W546="PENALTY",1,0))))))</x:f>
      </x:c>
      <x:c r="AA546" s="2" t="str">
        <x:f>IF(B546="","",IF(I546&lt;&gt;"READY","NOT RELEASED",IF(Z546=5,"NO BET",IF(OR(AB546&lt;'Config_v6'!$B$16,V546&lt;'Config_v6'!$B$18),"WATCH",IF(Z546=1,"DEFENSIV",IF(Z546=2,"PRUDENT",IF(Z546=3,"MODERAT","RIDICAT")))))))</x:f>
      </x:c>
      <x:c r="AB546" s="10" t="str">
        <x:f>IF(N546="","",MIN(N546,1-S546))</x:f>
      </x:c>
      <x:c r="AC546" s="2" t="str">
        <x:f>IF(AD546&lt;&gt;1,"",COUNTIFS($Z$538:$Z$551,"&lt;"&amp;Z546,$AD$538:$AD$551,1)+COUNTIFS($Z$538:$Z$551,Z546,$AB$538:$AB$551,"&gt;"&amp;AB546,$AD$538:$AD$551,1)+COUNTIFS($Z$538:$Z$551,Z546,$AB$538:$AB$551,AB546,$V$538:$V$551,"&gt;"&amp;V546,$AD$538:$AD$551,1)+COUNTIFS($Z$538:Z546,Z546,$AB$538:AB546,AB546,$V$538:V546,V546,$AD$538:AD546,1))</x:f>
      </x:c>
      <x:c r="AD546" s="2" t="n">
        <x:f>IF(OR(AA546="DEFENSIV",AA546="PRUDENT",AA546="MODERAT",AA546="RIDICAT"),1,0)</x:f>
        <x:v>0</x:v>
      </x:c>
      <x:c r="AE546" s="2" t="str">
        <x:f>IF(AD546&lt;&gt;1,"NO",IF(W546="PASS","YES",IF(W546="OOS PENDING","CONDITIONAL","NO")))</x:f>
        <x:v>NO</x:v>
      </x:c>
      <x:c r="AF546" s="2" t="n">
        <x:f>IF(AND(AD546=1,AC546=1,E546="LIVE"),1,0)</x:f>
        <x:v>0</x:v>
      </x:c>
      <x:c r="AG546" s="2" t="str">
        <x:f>IF(AF546&lt;&gt;1,"",'Dashboard'!P64)</x:f>
      </x:c>
      <x:c r="AH546" s="2" t="str">
        <x:f>IF(B546="","",IF(J546&lt;&gt;"PASS",'Motor_Meciuri'!J44,IF('Calibrare_Linii'!U14&lt;&gt;"VALID","Parametri linie invalizi",IF(L546&gt;'Config_v6'!$B$13,"Dispersie peste limita",IF(W546="WATCH","Failure peste limita",IF(AB546&lt;'Config_v6'!$B$16,"P finala sub prag",IF(V546&lt;'Config_v6'!$B$18,"Confidence sub prag",IF(E546="REPLAY","Exemplu retrospectiv; exclus din Top LIVE",IF(Y546="PASS","DEFENSIV validat",IF(W546="OOS PENDING","Eligibil; calibrare linie in monitorizare","Eligibil"))))))))))</x:f>
      </x:c>
      <x:c r="AI546" s="2" t="str">
        <x:f>IF(B546="","",'Calibrare_Linii'!V14)</x:f>
      </x:c>
      <x:c r="AJ546" s="2" t="str">
        <x:f>IF(B546="","",IF(AND('Calibrare_Linii'!T14="VALIDATED",AND('Calibrare_Linii'!H14=C546,ISNUMBER('Calibrare_Linii'!J14),'Calibrare_Linii'!J14&lt;='Input_Meci'!G44)),"DEFENSIVE VALIDATED",IF(AND('Calibrare_Linii'!S14="VALIDATED",AND('Calibrare_Linii'!H14=C546,ISNUMBER('Calibrare_Linii'!J14),'Calibrare_Linii'!J14&lt;='Input_Meci'!G44)),"TAIL VALIDATED","OOS PENDING")))</x:f>
      </x:c>
      <x:c r="AK546" s="2" t="n">
        <x:f>IF(J546&lt;&gt;"PASS",0,'Motor_Meciuri'!BR44)</x:f>
        <x:v>0</x:v>
      </x:c>
      <x:c r="AL546" s="2" t="n">
        <x:f>IF(J546&lt;&gt;"PASS",0,'Motor_Meciuri'!BS44)</x:f>
        <x:v>0</x:v>
      </x:c>
      <x:c r="AM546" s="2" t="n">
        <x:f>IF(J546&lt;&gt;"PASS",0,'Motor_Meciuri'!BT44)</x:f>
        <x:v>0</x:v>
      </x:c>
      <x:c r="AN546" s="2" t="str">
        <x:f>IF(M546="","",MAX(0,'Motor_Meciuri'!BF44-IF(L546&gt;'Config_v6'!$B$12,'Config_v6'!$B$37,IF(L546&gt;'Config_v6'!$B$11,'Config_v6'!$B$36,0))))</x:f>
      </x:c>
    </x:row>
    <x:row r="547" ht="21" customHeight="1">
      <x:c r="A547" s="2" t="n">
        <x:v>39</x:v>
      </x:c>
      <x:c r="B547" s="2" t="str">
        <x:f>IF('Motor_Meciuri'!A44="","",'Motor_Meciuri'!A44)</x:f>
      </x:c>
      <x:c r="C547" s="2" t="str">
        <x:f>IF(B547="","",'Motor_Meciuri'!B44)</x:f>
      </x:c>
      <x:c r="D547" s="2" t="str">
        <x:f>IF(B547="","",'Motor_Meciuri'!D44)</x:f>
      </x:c>
      <x:c r="E547" s="2" t="str">
        <x:f>IF(B547="","",'Motor_Meciuri'!E44)</x:f>
      </x:c>
      <x:c r="F547" s="2" t="str">
        <x:v>U13,5</x:v>
      </x:c>
      <x:c r="G547" s="2" t="str">
        <x:v>UNDER</x:v>
      </x:c>
      <x:c r="H547" s="2" t="n">
        <x:v>13</x:v>
      </x:c>
      <x:c r="I547" s="2" t="str">
        <x:f>IF(B547="","",'Motor_Meciuri'!H44)</x:f>
      </x:c>
      <x:c r="J547" s="2" t="str">
        <x:f>IF(B547="","",'Motor_Meciuri'!I44)</x:f>
      </x:c>
      <x:c r="K547" s="11" t="str">
        <x:f>IF(J547&lt;&gt;"PASS","",'Motor_Meciuri'!BD44)</x:f>
      </x:c>
      <x:c r="L547" s="11" t="str">
        <x:f>IF(J547&lt;&gt;"PASS","",'Motor_Meciuri'!AU44)</x:f>
      </x:c>
      <x:c r="M547" s="10" t="str">
        <x:f>IF(NOT(AND(J547="PASS",'Calibrare_Linii'!U15="VALID")),"",'Distributie'!AK44)</x:f>
      </x:c>
      <x:c r="N547" s="10" t="str">
        <x:f>IF(M547="","",MAX(0.01,MIN(0.99,0.5+(M547-0.5)*'Motor_Meciuri'!BG44*'Calibrare_Linii'!D15)))</x:f>
      </x:c>
      <x:c r="O547" s="10" t="str">
        <x:f>IF(M547="","",1-M547)</x:f>
      </x:c>
      <x:c r="P547" s="10" t="str">
        <x:f>IF(OR(NOT(AND(J547="PASS",'Calibrare_Linii'!U15="VALID")),AK547=0),""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*('Istoric_Nativ'!$Q$6:$Q$405&gt;H547))/AK547)</x:f>
      </x:c>
      <x:c r="Q547" s="10" t="str">
        <x:f>IF(OR(NOT(AND(J547="PASS",'Calibrare_Linii'!U15="VALID")),AL547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M44)+((('Istoric_Nativ'!$E$6:$E$405='Input_Meci'!E44)+('Istoric_Nativ'!$F$6:$F$405='Input_Meci'!E44))&gt;0)*('Istoric_Nativ'!$D$6:$D$405&gt;='Motor_Meciuri'!BN44))&gt;0)*('Istoric_Nativ'!$Q$6:$Q$405&gt;H547))/AL547)</x:f>
      </x:c>
      <x:c r="R547" s="10" t="str">
        <x:f>IF(OR(NOT(AND(J547="PASS",'Calibrare_Linii'!U15="VALID")),AM547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O44)+((('Istoric_Nativ'!$E$6:$E$405='Input_Meci'!E44)+('Istoric_Nativ'!$F$6:$F$405='Input_Meci'!E44))&gt;0)*('Istoric_Nativ'!$D$6:$D$405&gt;='Motor_Meciuri'!BP44))&gt;0)*('Istoric_Nativ'!$Q$6:$Q$405&gt;H547))/AM547)</x:f>
      </x:c>
      <x:c r="S547" s="10" t="str">
        <x:f>IF(M547="","",MAX(O547,P547,Q547,R547))</x:f>
      </x:c>
      <x:c r="T547" s="11" t="str">
        <x:f>IF(M547="","",MIN(100,S547*100*'Config_v6'!$B$44+MIN(100,L547/'Config_v6'!$B$13*100)*'Config_v6'!$B$45+(100-'Motor_Meciuri'!BF44)*'Config_v6'!$B$46+'Motor_Meciuri'!BH44*100*'Config_v6'!$B$47))</x:f>
      </x:c>
      <x:c r="U547" s="2" t="str">
        <x:f>IF(T547="","",IF(T547&lt;=20,1,IF(T547&lt;=40,2,IF(T547&lt;=60,3,IF(T547&lt;=80,4,5)))))</x:f>
      </x:c>
      <x:c r="V547" s="2" t="str">
        <x:f>IF(M547="","",MAX(0,'Motor_Meciuri'!BF44-IF(W547="OOS PENDING",'Config_v6'!$B$35,0)-IF(L547&gt;'Config_v6'!$B$12,'Config_v6'!$B$37,IF(L547&gt;'Config_v6'!$B$11,'Config_v6'!$B$36,0))))</x:f>
      </x:c>
      <x:c r="W547" s="2" t="str">
        <x:f>IF(B547="","",IF(I547&lt;&gt;"READY","NOT RELEASED",IF(NOT(AND(J547="PASS",'Calibrare_Linii'!U15="VALID")),"INVALID",IF(NOT(AND('Calibrare_Linii'!S15="VALIDATED",AND('Calibrare_Linii'!H15=C547,ISNUMBER('Calibrare_Linii'!J15),'Calibrare_Linii'!J15&lt;='Input_Meci'!G44))),"OOS PENDING",IF(S547&lt;='Calibrare_Linii'!E15,"PASS",IF(S547&lt;='Calibrare_Linii'!F15,"PENALTY","WATCH"))))))</x:f>
      </x:c>
      <x:c r="X547" s="2" t="str">
        <x:f>IF(M547="","",IF(AND(AND(J547="PASS",'Calibrare_Linii'!U15="VALID"),'Motor_Meciuri'!K44=12,'Motor_Meciuri'!L44=12,'Motor_Meciuri'!M44="NO",'Motor_Meciuri'!BL44='Motor_Meciuri'!C44,AB547&gt;='Config_v6'!$B$50,AN547&gt;='Config_v6'!$B$51,T547&lt;='Config_v6'!$B$52,L547&lt;='Config_v6'!$B$53,ISNUMBER('Calibrare_Linii'!E15),S547&lt;='Calibrare_Linii'!E15,SUM(AK547:AM547)&gt;0),"CANDIDATE","NO"))</x:f>
      </x:c>
      <x:c r="Y547" s="2" t="str">
        <x:f>IF(B547="","",IF(I547&lt;&gt;"READY","NOT RELEASED",IF(AND(X547="CANDIDATE",V547&gt;='Config_v6'!$B$51,W547="PASS",'Calibrare_Linii'!T15="VALIDATED",AND('Calibrare_Linii'!H15=C547,ISNUMBER('Calibrare_Linii'!J15),'Calibrare_Linii'!J15&lt;='Input_Meci'!G44)),"PASS",IF(X547="CANDIDATE","OOS PENDING","FAIL"))))</x:f>
      </x:c>
      <x:c r="Z547" s="2" t="str">
        <x:f>IF(B547="","",IF(I547&lt;&gt;"READY","",IF(OR(NOT(AND(J547="PASS",'Calibrare_Linii'!U15="VALID")),L547&gt;'Config_v6'!$B$13,W547="WATCH"),5,IF(Y547="PASS",1,MIN(5,MAX('Config_v6'!$B$42,U547)+IF(W547="PENALTY",1,0))))))</x:f>
      </x:c>
      <x:c r="AA547" s="2" t="str">
        <x:f>IF(B547="","",IF(I547&lt;&gt;"READY","NOT RELEASED",IF(Z547=5,"NO BET",IF(OR(AB547&lt;'Config_v6'!$B$16,V547&lt;'Config_v6'!$B$18),"WATCH",IF(Z547=1,"DEFENSIV",IF(Z547=2,"PRUDENT",IF(Z547=3,"MODERAT","RIDICAT")))))))</x:f>
      </x:c>
      <x:c r="AB547" s="10" t="str">
        <x:f>IF(N547="","",MIN(N547,1-S547))</x:f>
      </x:c>
      <x:c r="AC547" s="2" t="str">
        <x:f>IF(AD547&lt;&gt;1,"",COUNTIFS($Z$538:$Z$551,"&lt;"&amp;Z547,$AD$538:$AD$551,1)+COUNTIFS($Z$538:$Z$551,Z547,$AB$538:$AB$551,"&gt;"&amp;AB547,$AD$538:$AD$551,1)+COUNTIFS($Z$538:$Z$551,Z547,$AB$538:$AB$551,AB547,$V$538:$V$551,"&gt;"&amp;V547,$AD$538:$AD$551,1)+COUNTIFS($Z$538:Z547,Z547,$AB$538:AB547,AB547,$V$538:V547,V547,$AD$538:AD547,1))</x:f>
      </x:c>
      <x:c r="AD547" s="2" t="n">
        <x:f>IF(OR(AA547="DEFENSIV",AA547="PRUDENT",AA547="MODERAT",AA547="RIDICAT"),1,0)</x:f>
        <x:v>0</x:v>
      </x:c>
      <x:c r="AE547" s="2" t="str">
        <x:f>IF(AD547&lt;&gt;1,"NO",IF(W547="PASS","YES",IF(W547="OOS PENDING","CONDITIONAL","NO")))</x:f>
        <x:v>NO</x:v>
      </x:c>
      <x:c r="AF547" s="2" t="n">
        <x:f>IF(AND(AD547=1,AC547=1,E547="LIVE"),1,0)</x:f>
        <x:v>0</x:v>
      </x:c>
      <x:c r="AG547" s="2" t="str">
        <x:f>IF(AF547&lt;&gt;1,"",'Dashboard'!P64)</x:f>
      </x:c>
      <x:c r="AH547" s="2" t="str">
        <x:f>IF(B547="","",IF(J547&lt;&gt;"PASS",'Motor_Meciuri'!J44,IF('Calibrare_Linii'!U15&lt;&gt;"VALID","Parametri linie invalizi",IF(L547&gt;'Config_v6'!$B$13,"Dispersie peste limita",IF(W547="WATCH","Failure peste limita",IF(AB547&lt;'Config_v6'!$B$16,"P finala sub prag",IF(V547&lt;'Config_v6'!$B$18,"Confidence sub prag",IF(E547="REPLAY","Exemplu retrospectiv; exclus din Top LIVE",IF(Y547="PASS","DEFENSIV validat",IF(W547="OOS PENDING","Eligibil; calibrare linie in monitorizare","Eligibil"))))))))))</x:f>
      </x:c>
      <x:c r="AI547" s="2" t="str">
        <x:f>IF(B547="","",'Calibrare_Linii'!V15)</x:f>
      </x:c>
      <x:c r="AJ547" s="2" t="str">
        <x:f>IF(B547="","",IF(AND('Calibrare_Linii'!T15="VALIDATED",AND('Calibrare_Linii'!H15=C547,ISNUMBER('Calibrare_Linii'!J15),'Calibrare_Linii'!J15&lt;='Input_Meci'!G44)),"DEFENSIVE VALIDATED",IF(AND('Calibrare_Linii'!S15="VALIDATED",AND('Calibrare_Linii'!H15=C547,ISNUMBER('Calibrare_Linii'!J15),'Calibrare_Linii'!J15&lt;='Input_Meci'!G44)),"TAIL VALIDATED","OOS PENDING")))</x:f>
      </x:c>
      <x:c r="AK547" s="2" t="n">
        <x:f>IF(J547&lt;&gt;"PASS",0,'Motor_Meciuri'!BR44)</x:f>
        <x:v>0</x:v>
      </x:c>
      <x:c r="AL547" s="2" t="n">
        <x:f>IF(J547&lt;&gt;"PASS",0,'Motor_Meciuri'!BS44)</x:f>
        <x:v>0</x:v>
      </x:c>
      <x:c r="AM547" s="2" t="n">
        <x:f>IF(J547&lt;&gt;"PASS",0,'Motor_Meciuri'!BT44)</x:f>
        <x:v>0</x:v>
      </x:c>
      <x:c r="AN547" s="2" t="str">
        <x:f>IF(M547="","",MAX(0,'Motor_Meciuri'!BF44-IF(L547&gt;'Config_v6'!$B$12,'Config_v6'!$B$37,IF(L547&gt;'Config_v6'!$B$11,'Config_v6'!$B$36,0))))</x:f>
      </x:c>
    </x:row>
    <x:row r="548" ht="21" customHeight="1">
      <x:c r="A548" s="2" t="n">
        <x:v>39</x:v>
      </x:c>
      <x:c r="B548" s="2" t="str">
        <x:f>IF('Motor_Meciuri'!A44="","",'Motor_Meciuri'!A44)</x:f>
      </x:c>
      <x:c r="C548" s="2" t="str">
        <x:f>IF(B548="","",'Motor_Meciuri'!B44)</x:f>
      </x:c>
      <x:c r="D548" s="2" t="str">
        <x:f>IF(B548="","",'Motor_Meciuri'!D44)</x:f>
      </x:c>
      <x:c r="E548" s="2" t="str">
        <x:f>IF(B548="","",'Motor_Meciuri'!E44)</x:f>
      </x:c>
      <x:c r="F548" s="2" t="str">
        <x:v>U14,5</x:v>
      </x:c>
      <x:c r="G548" s="2" t="str">
        <x:v>UNDER</x:v>
      </x:c>
      <x:c r="H548" s="2" t="n">
        <x:v>14</x:v>
      </x:c>
      <x:c r="I548" s="2" t="str">
        <x:f>IF(B548="","",'Motor_Meciuri'!H44)</x:f>
      </x:c>
      <x:c r="J548" s="2" t="str">
        <x:f>IF(B548="","",'Motor_Meciuri'!I44)</x:f>
      </x:c>
      <x:c r="K548" s="11" t="str">
        <x:f>IF(J548&lt;&gt;"PASS","",'Motor_Meciuri'!BD44)</x:f>
      </x:c>
      <x:c r="L548" s="11" t="str">
        <x:f>IF(J548&lt;&gt;"PASS","",'Motor_Meciuri'!AU44)</x:f>
      </x:c>
      <x:c r="M548" s="10" t="str">
        <x:f>IF(NOT(AND(J548="PASS",'Calibrare_Linii'!U16="VALID")),"",'Distributie'!AL44)</x:f>
      </x:c>
      <x:c r="N548" s="10" t="str">
        <x:f>IF(M548="","",MAX(0.01,MIN(0.99,0.5+(M548-0.5)*'Motor_Meciuri'!BG44*'Calibrare_Linii'!D16)))</x:f>
      </x:c>
      <x:c r="O548" s="10" t="str">
        <x:f>IF(M548="","",1-M548)</x:f>
      </x:c>
      <x:c r="P548" s="10" t="str">
        <x:f>IF(OR(NOT(AND(J548="PASS",'Calibrare_Linii'!U16="VALID")),AK548=0),""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*('Istoric_Nativ'!$Q$6:$Q$405&gt;H548))/AK548)</x:f>
      </x:c>
      <x:c r="Q548" s="10" t="str">
        <x:f>IF(OR(NOT(AND(J548="PASS",'Calibrare_Linii'!U16="VALID")),AL548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M44)+((('Istoric_Nativ'!$E$6:$E$405='Input_Meci'!E44)+('Istoric_Nativ'!$F$6:$F$405='Input_Meci'!E44))&gt;0)*('Istoric_Nativ'!$D$6:$D$405&gt;='Motor_Meciuri'!BN44))&gt;0)*('Istoric_Nativ'!$Q$6:$Q$405&gt;H548))/AL548)</x:f>
      </x:c>
      <x:c r="R548" s="10" t="str">
        <x:f>IF(OR(NOT(AND(J548="PASS",'Calibrare_Linii'!U16="VALID")),AM548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O44)+((('Istoric_Nativ'!$E$6:$E$405='Input_Meci'!E44)+('Istoric_Nativ'!$F$6:$F$405='Input_Meci'!E44))&gt;0)*('Istoric_Nativ'!$D$6:$D$405&gt;='Motor_Meciuri'!BP44))&gt;0)*('Istoric_Nativ'!$Q$6:$Q$405&gt;H548))/AM548)</x:f>
      </x:c>
      <x:c r="S548" s="10" t="str">
        <x:f>IF(M548="","",MAX(O548,P548,Q548,R548))</x:f>
      </x:c>
      <x:c r="T548" s="11" t="str">
        <x:f>IF(M548="","",MIN(100,S548*100*'Config_v6'!$B$44+MIN(100,L548/'Config_v6'!$B$13*100)*'Config_v6'!$B$45+(100-'Motor_Meciuri'!BF44)*'Config_v6'!$B$46+'Motor_Meciuri'!BH44*100*'Config_v6'!$B$47))</x:f>
      </x:c>
      <x:c r="U548" s="2" t="str">
        <x:f>IF(T548="","",IF(T548&lt;=20,1,IF(T548&lt;=40,2,IF(T548&lt;=60,3,IF(T548&lt;=80,4,5)))))</x:f>
      </x:c>
      <x:c r="V548" s="2" t="str">
        <x:f>IF(M548="","",MAX(0,'Motor_Meciuri'!BF44-IF(W548="OOS PENDING",'Config_v6'!$B$35,0)-IF(L548&gt;'Config_v6'!$B$12,'Config_v6'!$B$37,IF(L548&gt;'Config_v6'!$B$11,'Config_v6'!$B$36,0))))</x:f>
      </x:c>
      <x:c r="W548" s="2" t="str">
        <x:f>IF(B548="","",IF(I548&lt;&gt;"READY","NOT RELEASED",IF(NOT(AND(J548="PASS",'Calibrare_Linii'!U16="VALID")),"INVALID",IF(NOT(AND('Calibrare_Linii'!S16="VALIDATED",AND('Calibrare_Linii'!H16=C548,ISNUMBER('Calibrare_Linii'!J16),'Calibrare_Linii'!J16&lt;='Input_Meci'!G44))),"OOS PENDING",IF(S548&lt;='Calibrare_Linii'!E16,"PASS",IF(S548&lt;='Calibrare_Linii'!F16,"PENALTY","WATCH"))))))</x:f>
      </x:c>
      <x:c r="X548" s="2" t="str">
        <x:f>IF(M548="","",IF(AND(AND(J548="PASS",'Calibrare_Linii'!U16="VALID"),'Motor_Meciuri'!K44=12,'Motor_Meciuri'!L44=12,'Motor_Meciuri'!M44="NO",'Motor_Meciuri'!BL44='Motor_Meciuri'!C44,AB548&gt;='Config_v6'!$B$50,AN548&gt;='Config_v6'!$B$51,T548&lt;='Config_v6'!$B$52,L548&lt;='Config_v6'!$B$53,ISNUMBER('Calibrare_Linii'!E16),S548&lt;='Calibrare_Linii'!E16,SUM(AK548:AM548)&gt;0),"CANDIDATE","NO"))</x:f>
      </x:c>
      <x:c r="Y548" s="2" t="str">
        <x:f>IF(B548="","",IF(I548&lt;&gt;"READY","NOT RELEASED",IF(AND(X548="CANDIDATE",V548&gt;='Config_v6'!$B$51,W548="PASS",'Calibrare_Linii'!T16="VALIDATED",AND('Calibrare_Linii'!H16=C548,ISNUMBER('Calibrare_Linii'!J16),'Calibrare_Linii'!J16&lt;='Input_Meci'!G44)),"PASS",IF(X548="CANDIDATE","OOS PENDING","FAIL"))))</x:f>
      </x:c>
      <x:c r="Z548" s="2" t="str">
        <x:f>IF(B548="","",IF(I548&lt;&gt;"READY","",IF(OR(NOT(AND(J548="PASS",'Calibrare_Linii'!U16="VALID")),L548&gt;'Config_v6'!$B$13,W548="WATCH"),5,IF(Y548="PASS",1,MIN(5,MAX('Config_v6'!$B$42,U548)+IF(W548="PENALTY",1,0))))))</x:f>
      </x:c>
      <x:c r="AA548" s="2" t="str">
        <x:f>IF(B548="","",IF(I548&lt;&gt;"READY","NOT RELEASED",IF(Z548=5,"NO BET",IF(OR(AB548&lt;'Config_v6'!$B$16,V548&lt;'Config_v6'!$B$18),"WATCH",IF(Z548=1,"DEFENSIV",IF(Z548=2,"PRUDENT",IF(Z548=3,"MODERAT","RIDICAT")))))))</x:f>
      </x:c>
      <x:c r="AB548" s="10" t="str">
        <x:f>IF(N548="","",MIN(N548,1-S548))</x:f>
      </x:c>
      <x:c r="AC548" s="2" t="str">
        <x:f>IF(AD548&lt;&gt;1,"",COUNTIFS($Z$538:$Z$551,"&lt;"&amp;Z548,$AD$538:$AD$551,1)+COUNTIFS($Z$538:$Z$551,Z548,$AB$538:$AB$551,"&gt;"&amp;AB548,$AD$538:$AD$551,1)+COUNTIFS($Z$538:$Z$551,Z548,$AB$538:$AB$551,AB548,$V$538:$V$551,"&gt;"&amp;V548,$AD$538:$AD$551,1)+COUNTIFS($Z$538:Z548,Z548,$AB$538:AB548,AB548,$V$538:V548,V548,$AD$538:AD548,1))</x:f>
      </x:c>
      <x:c r="AD548" s="2" t="n">
        <x:f>IF(OR(AA548="DEFENSIV",AA548="PRUDENT",AA548="MODERAT",AA548="RIDICAT"),1,0)</x:f>
        <x:v>0</x:v>
      </x:c>
      <x:c r="AE548" s="2" t="str">
        <x:f>IF(AD548&lt;&gt;1,"NO",IF(W548="PASS","YES",IF(W548="OOS PENDING","CONDITIONAL","NO")))</x:f>
        <x:v>NO</x:v>
      </x:c>
      <x:c r="AF548" s="2" t="n">
        <x:f>IF(AND(AD548=1,AC548=1,E548="LIVE"),1,0)</x:f>
        <x:v>0</x:v>
      </x:c>
      <x:c r="AG548" s="2" t="str">
        <x:f>IF(AF548&lt;&gt;1,"",'Dashboard'!P64)</x:f>
      </x:c>
      <x:c r="AH548" s="2" t="str">
        <x:f>IF(B548="","",IF(J548&lt;&gt;"PASS",'Motor_Meciuri'!J44,IF('Calibrare_Linii'!U16&lt;&gt;"VALID","Parametri linie invalizi",IF(L548&gt;'Config_v6'!$B$13,"Dispersie peste limita",IF(W548="WATCH","Failure peste limita",IF(AB548&lt;'Config_v6'!$B$16,"P finala sub prag",IF(V548&lt;'Config_v6'!$B$18,"Confidence sub prag",IF(E548="REPLAY","Exemplu retrospectiv; exclus din Top LIVE",IF(Y548="PASS","DEFENSIV validat",IF(W548="OOS PENDING","Eligibil; calibrare linie in monitorizare","Eligibil"))))))))))</x:f>
      </x:c>
      <x:c r="AI548" s="2" t="str">
        <x:f>IF(B548="","",'Calibrare_Linii'!V16)</x:f>
      </x:c>
      <x:c r="AJ548" s="2" t="str">
        <x:f>IF(B548="","",IF(AND('Calibrare_Linii'!T16="VALIDATED",AND('Calibrare_Linii'!H16=C548,ISNUMBER('Calibrare_Linii'!J16),'Calibrare_Linii'!J16&lt;='Input_Meci'!G44)),"DEFENSIVE VALIDATED",IF(AND('Calibrare_Linii'!S16="VALIDATED",AND('Calibrare_Linii'!H16=C548,ISNUMBER('Calibrare_Linii'!J16),'Calibrare_Linii'!J16&lt;='Input_Meci'!G44)),"TAIL VALIDATED","OOS PENDING")))</x:f>
      </x:c>
      <x:c r="AK548" s="2" t="n">
        <x:f>IF(J548&lt;&gt;"PASS",0,'Motor_Meciuri'!BR44)</x:f>
        <x:v>0</x:v>
      </x:c>
      <x:c r="AL548" s="2" t="n">
        <x:f>IF(J548&lt;&gt;"PASS",0,'Motor_Meciuri'!BS44)</x:f>
        <x:v>0</x:v>
      </x:c>
      <x:c r="AM548" s="2" t="n">
        <x:f>IF(J548&lt;&gt;"PASS",0,'Motor_Meciuri'!BT44)</x:f>
        <x:v>0</x:v>
      </x:c>
      <x:c r="AN548" s="2" t="str">
        <x:f>IF(M548="","",MAX(0,'Motor_Meciuri'!BF44-IF(L548&gt;'Config_v6'!$B$12,'Config_v6'!$B$37,IF(L548&gt;'Config_v6'!$B$11,'Config_v6'!$B$36,0))))</x:f>
      </x:c>
    </x:row>
    <x:row r="549" ht="21" customHeight="1">
      <x:c r="A549" s="2" t="n">
        <x:v>39</x:v>
      </x:c>
      <x:c r="B549" s="2" t="str">
        <x:f>IF('Motor_Meciuri'!A44="","",'Motor_Meciuri'!A44)</x:f>
      </x:c>
      <x:c r="C549" s="2" t="str">
        <x:f>IF(B549="","",'Motor_Meciuri'!B44)</x:f>
      </x:c>
      <x:c r="D549" s="2" t="str">
        <x:f>IF(B549="","",'Motor_Meciuri'!D44)</x:f>
      </x:c>
      <x:c r="E549" s="2" t="str">
        <x:f>IF(B549="","",'Motor_Meciuri'!E44)</x:f>
      </x:c>
      <x:c r="F549" s="2" t="str">
        <x:v>U15,5</x:v>
      </x:c>
      <x:c r="G549" s="2" t="str">
        <x:v>UNDER</x:v>
      </x:c>
      <x:c r="H549" s="2" t="n">
        <x:v>15</x:v>
      </x:c>
      <x:c r="I549" s="2" t="str">
        <x:f>IF(B549="","",'Motor_Meciuri'!H44)</x:f>
      </x:c>
      <x:c r="J549" s="2" t="str">
        <x:f>IF(B549="","",'Motor_Meciuri'!I44)</x:f>
      </x:c>
      <x:c r="K549" s="11" t="str">
        <x:f>IF(J549&lt;&gt;"PASS","",'Motor_Meciuri'!BD44)</x:f>
      </x:c>
      <x:c r="L549" s="11" t="str">
        <x:f>IF(J549&lt;&gt;"PASS","",'Motor_Meciuri'!AU44)</x:f>
      </x:c>
      <x:c r="M549" s="10" t="str">
        <x:f>IF(NOT(AND(J549="PASS",'Calibrare_Linii'!U17="VALID")),"",'Distributie'!AM44)</x:f>
      </x:c>
      <x:c r="N549" s="10" t="str">
        <x:f>IF(M549="","",MAX(0.01,MIN(0.99,0.5+(M549-0.5)*'Motor_Meciuri'!BG44*'Calibrare_Linii'!D17)))</x:f>
      </x:c>
      <x:c r="O549" s="10" t="str">
        <x:f>IF(M549="","",1-M549)</x:f>
      </x:c>
      <x:c r="P549" s="10" t="str">
        <x:f>IF(OR(NOT(AND(J549="PASS",'Calibrare_Linii'!U17="VALID")),AK549=0),""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*('Istoric_Nativ'!$Q$6:$Q$405&gt;H549))/AK549)</x:f>
      </x:c>
      <x:c r="Q549" s="10" t="str">
        <x:f>IF(OR(NOT(AND(J549="PASS",'Calibrare_Linii'!U17="VALID")),AL549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M44)+((('Istoric_Nativ'!$E$6:$E$405='Input_Meci'!E44)+('Istoric_Nativ'!$F$6:$F$405='Input_Meci'!E44))&gt;0)*('Istoric_Nativ'!$D$6:$D$405&gt;='Motor_Meciuri'!BN44))&gt;0)*('Istoric_Nativ'!$Q$6:$Q$405&gt;H549))/AL549)</x:f>
      </x:c>
      <x:c r="R549" s="10" t="str">
        <x:f>IF(OR(NOT(AND(J549="PASS",'Calibrare_Linii'!U17="VALID")),AM549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O44)+((('Istoric_Nativ'!$E$6:$E$405='Input_Meci'!E44)+('Istoric_Nativ'!$F$6:$F$405='Input_Meci'!E44))&gt;0)*('Istoric_Nativ'!$D$6:$D$405&gt;='Motor_Meciuri'!BP44))&gt;0)*('Istoric_Nativ'!$Q$6:$Q$405&gt;H549))/AM549)</x:f>
      </x:c>
      <x:c r="S549" s="10" t="str">
        <x:f>IF(M549="","",MAX(O549,P549,Q549,R549))</x:f>
      </x:c>
      <x:c r="T549" s="11" t="str">
        <x:f>IF(M549="","",MIN(100,S549*100*'Config_v6'!$B$44+MIN(100,L549/'Config_v6'!$B$13*100)*'Config_v6'!$B$45+(100-'Motor_Meciuri'!BF44)*'Config_v6'!$B$46+'Motor_Meciuri'!BH44*100*'Config_v6'!$B$47))</x:f>
      </x:c>
      <x:c r="U549" s="2" t="str">
        <x:f>IF(T549="","",IF(T549&lt;=20,1,IF(T549&lt;=40,2,IF(T549&lt;=60,3,IF(T549&lt;=80,4,5)))))</x:f>
      </x:c>
      <x:c r="V549" s="2" t="str">
        <x:f>IF(M549="","",MAX(0,'Motor_Meciuri'!BF44-IF(W549="OOS PENDING",'Config_v6'!$B$35,0)-IF(L549&gt;'Config_v6'!$B$12,'Config_v6'!$B$37,IF(L549&gt;'Config_v6'!$B$11,'Config_v6'!$B$36,0))))</x:f>
      </x:c>
      <x:c r="W549" s="2" t="str">
        <x:f>IF(B549="","",IF(I549&lt;&gt;"READY","NOT RELEASED",IF(NOT(AND(J549="PASS",'Calibrare_Linii'!U17="VALID")),"INVALID",IF(NOT(AND('Calibrare_Linii'!S17="VALIDATED",AND('Calibrare_Linii'!H17=C549,ISNUMBER('Calibrare_Linii'!J17),'Calibrare_Linii'!J17&lt;='Input_Meci'!G44))),"OOS PENDING",IF(S549&lt;='Calibrare_Linii'!E17,"PASS",IF(S549&lt;='Calibrare_Linii'!F17,"PENALTY","WATCH"))))))</x:f>
      </x:c>
      <x:c r="X549" s="2" t="str">
        <x:f>IF(M549="","",IF(AND(AND(J549="PASS",'Calibrare_Linii'!U17="VALID"),'Motor_Meciuri'!K44=12,'Motor_Meciuri'!L44=12,'Motor_Meciuri'!M44="NO",'Motor_Meciuri'!BL44='Motor_Meciuri'!C44,AB549&gt;='Config_v6'!$B$50,AN549&gt;='Config_v6'!$B$51,T549&lt;='Config_v6'!$B$52,L549&lt;='Config_v6'!$B$53,ISNUMBER('Calibrare_Linii'!E17),S549&lt;='Calibrare_Linii'!E17,SUM(AK549:AM549)&gt;0),"CANDIDATE","NO"))</x:f>
      </x:c>
      <x:c r="Y549" s="2" t="str">
        <x:f>IF(B549="","",IF(I549&lt;&gt;"READY","NOT RELEASED",IF(AND(X549="CANDIDATE",V549&gt;='Config_v6'!$B$51,W549="PASS",'Calibrare_Linii'!T17="VALIDATED",AND('Calibrare_Linii'!H17=C549,ISNUMBER('Calibrare_Linii'!J17),'Calibrare_Linii'!J17&lt;='Input_Meci'!G44)),"PASS",IF(X549="CANDIDATE","OOS PENDING","FAIL"))))</x:f>
      </x:c>
      <x:c r="Z549" s="2" t="str">
        <x:f>IF(B549="","",IF(I549&lt;&gt;"READY","",IF(OR(NOT(AND(J549="PASS",'Calibrare_Linii'!U17="VALID")),L549&gt;'Config_v6'!$B$13,W549="WATCH"),5,IF(Y549="PASS",1,MIN(5,MAX('Config_v6'!$B$42,U549)+IF(W549="PENALTY",1,0))))))</x:f>
      </x:c>
      <x:c r="AA549" s="2" t="str">
        <x:f>IF(B549="","",IF(I549&lt;&gt;"READY","NOT RELEASED",IF(Z549=5,"NO BET",IF(OR(AB549&lt;'Config_v6'!$B$16,V549&lt;'Config_v6'!$B$18),"WATCH",IF(Z549=1,"DEFENSIV",IF(Z549=2,"PRUDENT",IF(Z549=3,"MODERAT","RIDICAT")))))))</x:f>
      </x:c>
      <x:c r="AB549" s="10" t="str">
        <x:f>IF(N549="","",MIN(N549,1-S549))</x:f>
      </x:c>
      <x:c r="AC549" s="2" t="str">
        <x:f>IF(AD549&lt;&gt;1,"",COUNTIFS($Z$538:$Z$551,"&lt;"&amp;Z549,$AD$538:$AD$551,1)+COUNTIFS($Z$538:$Z$551,Z549,$AB$538:$AB$551,"&gt;"&amp;AB549,$AD$538:$AD$551,1)+COUNTIFS($Z$538:$Z$551,Z549,$AB$538:$AB$551,AB549,$V$538:$V$551,"&gt;"&amp;V549,$AD$538:$AD$551,1)+COUNTIFS($Z$538:Z549,Z549,$AB$538:AB549,AB549,$V$538:V549,V549,$AD$538:AD549,1))</x:f>
      </x:c>
      <x:c r="AD549" s="2" t="n">
        <x:f>IF(OR(AA549="DEFENSIV",AA549="PRUDENT",AA549="MODERAT",AA549="RIDICAT"),1,0)</x:f>
        <x:v>0</x:v>
      </x:c>
      <x:c r="AE549" s="2" t="str">
        <x:f>IF(AD549&lt;&gt;1,"NO",IF(W549="PASS","YES",IF(W549="OOS PENDING","CONDITIONAL","NO")))</x:f>
        <x:v>NO</x:v>
      </x:c>
      <x:c r="AF549" s="2" t="n">
        <x:f>IF(AND(AD549=1,AC549=1,E549="LIVE"),1,0)</x:f>
        <x:v>0</x:v>
      </x:c>
      <x:c r="AG549" s="2" t="str">
        <x:f>IF(AF549&lt;&gt;1,"",'Dashboard'!P64)</x:f>
      </x:c>
      <x:c r="AH549" s="2" t="str">
        <x:f>IF(B549="","",IF(J549&lt;&gt;"PASS",'Motor_Meciuri'!J44,IF('Calibrare_Linii'!U17&lt;&gt;"VALID","Parametri linie invalizi",IF(L549&gt;'Config_v6'!$B$13,"Dispersie peste limita",IF(W549="WATCH","Failure peste limita",IF(AB549&lt;'Config_v6'!$B$16,"P finala sub prag",IF(V549&lt;'Config_v6'!$B$18,"Confidence sub prag",IF(E549="REPLAY","Exemplu retrospectiv; exclus din Top LIVE",IF(Y549="PASS","DEFENSIV validat",IF(W549="OOS PENDING","Eligibil; calibrare linie in monitorizare","Eligibil"))))))))))</x:f>
      </x:c>
      <x:c r="AI549" s="2" t="str">
        <x:f>IF(B549="","",'Calibrare_Linii'!V17)</x:f>
      </x:c>
      <x:c r="AJ549" s="2" t="str">
        <x:f>IF(B549="","",IF(AND('Calibrare_Linii'!T17="VALIDATED",AND('Calibrare_Linii'!H17=C549,ISNUMBER('Calibrare_Linii'!J17),'Calibrare_Linii'!J17&lt;='Input_Meci'!G44)),"DEFENSIVE VALIDATED",IF(AND('Calibrare_Linii'!S17="VALIDATED",AND('Calibrare_Linii'!H17=C549,ISNUMBER('Calibrare_Linii'!J17),'Calibrare_Linii'!J17&lt;='Input_Meci'!G44)),"TAIL VALIDATED","OOS PENDING")))</x:f>
      </x:c>
      <x:c r="AK549" s="2" t="n">
        <x:f>IF(J549&lt;&gt;"PASS",0,'Motor_Meciuri'!BR44)</x:f>
        <x:v>0</x:v>
      </x:c>
      <x:c r="AL549" s="2" t="n">
        <x:f>IF(J549&lt;&gt;"PASS",0,'Motor_Meciuri'!BS44)</x:f>
        <x:v>0</x:v>
      </x:c>
      <x:c r="AM549" s="2" t="n">
        <x:f>IF(J549&lt;&gt;"PASS",0,'Motor_Meciuri'!BT44)</x:f>
        <x:v>0</x:v>
      </x:c>
      <x:c r="AN549" s="2" t="str">
        <x:f>IF(M549="","",MAX(0,'Motor_Meciuri'!BF44-IF(L549&gt;'Config_v6'!$B$12,'Config_v6'!$B$37,IF(L549&gt;'Config_v6'!$B$11,'Config_v6'!$B$36,0))))</x:f>
      </x:c>
    </x:row>
    <x:row r="550" ht="21" customHeight="1">
      <x:c r="A550" s="2" t="n">
        <x:v>39</x:v>
      </x:c>
      <x:c r="B550" s="2" t="str">
        <x:f>IF('Motor_Meciuri'!A44="","",'Motor_Meciuri'!A44)</x:f>
      </x:c>
      <x:c r="C550" s="2" t="str">
        <x:f>IF(B550="","",'Motor_Meciuri'!B44)</x:f>
      </x:c>
      <x:c r="D550" s="2" t="str">
        <x:f>IF(B550="","",'Motor_Meciuri'!D44)</x:f>
      </x:c>
      <x:c r="E550" s="2" t="str">
        <x:f>IF(B550="","",'Motor_Meciuri'!E44)</x:f>
      </x:c>
      <x:c r="F550" s="2" t="str">
        <x:v>U16,5</x:v>
      </x:c>
      <x:c r="G550" s="2" t="str">
        <x:v>UNDER</x:v>
      </x:c>
      <x:c r="H550" s="2" t="n">
        <x:v>16</x:v>
      </x:c>
      <x:c r="I550" s="2" t="str">
        <x:f>IF(B550="","",'Motor_Meciuri'!H44)</x:f>
      </x:c>
      <x:c r="J550" s="2" t="str">
        <x:f>IF(B550="","",'Motor_Meciuri'!I44)</x:f>
      </x:c>
      <x:c r="K550" s="11" t="str">
        <x:f>IF(J550&lt;&gt;"PASS","",'Motor_Meciuri'!BD44)</x:f>
      </x:c>
      <x:c r="L550" s="11" t="str">
        <x:f>IF(J550&lt;&gt;"PASS","",'Motor_Meciuri'!AU44)</x:f>
      </x:c>
      <x:c r="M550" s="10" t="str">
        <x:f>IF(NOT(AND(J550="PASS",'Calibrare_Linii'!U18="VALID")),"",'Distributie'!AN44)</x:f>
      </x:c>
      <x:c r="N550" s="10" t="str">
        <x:f>IF(M550="","",MAX(0.01,MIN(0.99,0.5+(M550-0.5)*'Motor_Meciuri'!BG44*'Calibrare_Linii'!D18)))</x:f>
      </x:c>
      <x:c r="O550" s="10" t="str">
        <x:f>IF(M550="","",1-M550)</x:f>
      </x:c>
      <x:c r="P550" s="10" t="str">
        <x:f>IF(OR(NOT(AND(J550="PASS",'Calibrare_Linii'!U18="VALID")),AK550=0),""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*('Istoric_Nativ'!$Q$6:$Q$405&gt;H550))/AK550)</x:f>
      </x:c>
      <x:c r="Q550" s="10" t="str">
        <x:f>IF(OR(NOT(AND(J550="PASS",'Calibrare_Linii'!U18="VALID")),AL550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M44)+((('Istoric_Nativ'!$E$6:$E$405='Input_Meci'!E44)+('Istoric_Nativ'!$F$6:$F$405='Input_Meci'!E44))&gt;0)*('Istoric_Nativ'!$D$6:$D$405&gt;='Motor_Meciuri'!BN44))&gt;0)*('Istoric_Nativ'!$Q$6:$Q$405&gt;H550))/AL550)</x:f>
      </x:c>
      <x:c r="R550" s="10" t="str">
        <x:f>IF(OR(NOT(AND(J550="PASS",'Calibrare_Linii'!U18="VALID")),AM550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O44)+((('Istoric_Nativ'!$E$6:$E$405='Input_Meci'!E44)+('Istoric_Nativ'!$F$6:$F$405='Input_Meci'!E44))&gt;0)*('Istoric_Nativ'!$D$6:$D$405&gt;='Motor_Meciuri'!BP44))&gt;0)*('Istoric_Nativ'!$Q$6:$Q$405&gt;H550))/AM550)</x:f>
      </x:c>
      <x:c r="S550" s="10" t="str">
        <x:f>IF(M550="","",MAX(O550,P550,Q550,R550))</x:f>
      </x:c>
      <x:c r="T550" s="11" t="str">
        <x:f>IF(M550="","",MIN(100,S550*100*'Config_v6'!$B$44+MIN(100,L550/'Config_v6'!$B$13*100)*'Config_v6'!$B$45+(100-'Motor_Meciuri'!BF44)*'Config_v6'!$B$46+'Motor_Meciuri'!BH44*100*'Config_v6'!$B$47))</x:f>
      </x:c>
      <x:c r="U550" s="2" t="str">
        <x:f>IF(T550="","",IF(T550&lt;=20,1,IF(T550&lt;=40,2,IF(T550&lt;=60,3,IF(T550&lt;=80,4,5)))))</x:f>
      </x:c>
      <x:c r="V550" s="2" t="str">
        <x:f>IF(M550="","",MAX(0,'Motor_Meciuri'!BF44-IF(W550="OOS PENDING",'Config_v6'!$B$35,0)-IF(L550&gt;'Config_v6'!$B$12,'Config_v6'!$B$37,IF(L550&gt;'Config_v6'!$B$11,'Config_v6'!$B$36,0))))</x:f>
      </x:c>
      <x:c r="W550" s="2" t="str">
        <x:f>IF(B550="","",IF(I550&lt;&gt;"READY","NOT RELEASED",IF(NOT(AND(J550="PASS",'Calibrare_Linii'!U18="VALID")),"INVALID",IF(NOT(AND('Calibrare_Linii'!S18="VALIDATED",AND('Calibrare_Linii'!H18=C550,ISNUMBER('Calibrare_Linii'!J18),'Calibrare_Linii'!J18&lt;='Input_Meci'!G44))),"OOS PENDING",IF(S550&lt;='Calibrare_Linii'!E18,"PASS",IF(S550&lt;='Calibrare_Linii'!F18,"PENALTY","WATCH"))))))</x:f>
      </x:c>
      <x:c r="X550" s="2" t="str">
        <x:f>IF(M550="","",IF(AND(AND(J550="PASS",'Calibrare_Linii'!U18="VALID"),'Motor_Meciuri'!K44=12,'Motor_Meciuri'!L44=12,'Motor_Meciuri'!M44="NO",'Motor_Meciuri'!BL44='Motor_Meciuri'!C44,AB550&gt;='Config_v6'!$B$50,AN550&gt;='Config_v6'!$B$51,T550&lt;='Config_v6'!$B$52,L550&lt;='Config_v6'!$B$53,ISNUMBER('Calibrare_Linii'!E18),S550&lt;='Calibrare_Linii'!E18,SUM(AK550:AM550)&gt;0),"CANDIDATE","NO"))</x:f>
      </x:c>
      <x:c r="Y550" s="2" t="str">
        <x:f>IF(B550="","",IF(I550&lt;&gt;"READY","NOT RELEASED",IF(AND(X550="CANDIDATE",V550&gt;='Config_v6'!$B$51,W550="PASS",'Calibrare_Linii'!T18="VALIDATED",AND('Calibrare_Linii'!H18=C550,ISNUMBER('Calibrare_Linii'!J18),'Calibrare_Linii'!J18&lt;='Input_Meci'!G44)),"PASS",IF(X550="CANDIDATE","OOS PENDING","FAIL"))))</x:f>
      </x:c>
      <x:c r="Z550" s="2" t="str">
        <x:f>IF(B550="","",IF(I550&lt;&gt;"READY","",IF(OR(NOT(AND(J550="PASS",'Calibrare_Linii'!U18="VALID")),L550&gt;'Config_v6'!$B$13,W550="WATCH"),5,IF(Y550="PASS",1,MIN(5,MAX('Config_v6'!$B$42,U550)+IF(W550="PENALTY",1,0))))))</x:f>
      </x:c>
      <x:c r="AA550" s="2" t="str">
        <x:f>IF(B550="","",IF(I550&lt;&gt;"READY","NOT RELEASED",IF(Z550=5,"NO BET",IF(OR(AB550&lt;'Config_v6'!$B$16,V550&lt;'Config_v6'!$B$18),"WATCH",IF(Z550=1,"DEFENSIV",IF(Z550=2,"PRUDENT",IF(Z550=3,"MODERAT","RIDICAT")))))))</x:f>
      </x:c>
      <x:c r="AB550" s="10" t="str">
        <x:f>IF(N550="","",MIN(N550,1-S550))</x:f>
      </x:c>
      <x:c r="AC550" s="2" t="str">
        <x:f>IF(AD550&lt;&gt;1,"",COUNTIFS($Z$538:$Z$551,"&lt;"&amp;Z550,$AD$538:$AD$551,1)+COUNTIFS($Z$538:$Z$551,Z550,$AB$538:$AB$551,"&gt;"&amp;AB550,$AD$538:$AD$551,1)+COUNTIFS($Z$538:$Z$551,Z550,$AB$538:$AB$551,AB550,$V$538:$V$551,"&gt;"&amp;V550,$AD$538:$AD$551,1)+COUNTIFS($Z$538:Z550,Z550,$AB$538:AB550,AB550,$V$538:V550,V550,$AD$538:AD550,1))</x:f>
      </x:c>
      <x:c r="AD550" s="2" t="n">
        <x:f>IF(OR(AA550="DEFENSIV",AA550="PRUDENT",AA550="MODERAT",AA550="RIDICAT"),1,0)</x:f>
        <x:v>0</x:v>
      </x:c>
      <x:c r="AE550" s="2" t="str">
        <x:f>IF(AD550&lt;&gt;1,"NO",IF(W550="PASS","YES",IF(W550="OOS PENDING","CONDITIONAL","NO")))</x:f>
        <x:v>NO</x:v>
      </x:c>
      <x:c r="AF550" s="2" t="n">
        <x:f>IF(AND(AD550=1,AC550=1,E550="LIVE"),1,0)</x:f>
        <x:v>0</x:v>
      </x:c>
      <x:c r="AG550" s="2" t="str">
        <x:f>IF(AF550&lt;&gt;1,"",'Dashboard'!P64)</x:f>
      </x:c>
      <x:c r="AH550" s="2" t="str">
        <x:f>IF(B550="","",IF(J550&lt;&gt;"PASS",'Motor_Meciuri'!J44,IF('Calibrare_Linii'!U18&lt;&gt;"VALID","Parametri linie invalizi",IF(L550&gt;'Config_v6'!$B$13,"Dispersie peste limita",IF(W550="WATCH","Failure peste limita",IF(AB550&lt;'Config_v6'!$B$16,"P finala sub prag",IF(V550&lt;'Config_v6'!$B$18,"Confidence sub prag",IF(E550="REPLAY","Exemplu retrospectiv; exclus din Top LIVE",IF(Y550="PASS","DEFENSIV validat",IF(W550="OOS PENDING","Eligibil; calibrare linie in monitorizare","Eligibil"))))))))))</x:f>
      </x:c>
      <x:c r="AI550" s="2" t="str">
        <x:f>IF(B550="","",'Calibrare_Linii'!V18)</x:f>
      </x:c>
      <x:c r="AJ550" s="2" t="str">
        <x:f>IF(B550="","",IF(AND('Calibrare_Linii'!T18="VALIDATED",AND('Calibrare_Linii'!H18=C550,ISNUMBER('Calibrare_Linii'!J18),'Calibrare_Linii'!J18&lt;='Input_Meci'!G44)),"DEFENSIVE VALIDATED",IF(AND('Calibrare_Linii'!S18="VALIDATED",AND('Calibrare_Linii'!H18=C550,ISNUMBER('Calibrare_Linii'!J18),'Calibrare_Linii'!J18&lt;='Input_Meci'!G44)),"TAIL VALIDATED","OOS PENDING")))</x:f>
      </x:c>
      <x:c r="AK550" s="2" t="n">
        <x:f>IF(J550&lt;&gt;"PASS",0,'Motor_Meciuri'!BR44)</x:f>
        <x:v>0</x:v>
      </x:c>
      <x:c r="AL550" s="2" t="n">
        <x:f>IF(J550&lt;&gt;"PASS",0,'Motor_Meciuri'!BS44)</x:f>
        <x:v>0</x:v>
      </x:c>
      <x:c r="AM550" s="2" t="n">
        <x:f>IF(J550&lt;&gt;"PASS",0,'Motor_Meciuri'!BT44)</x:f>
        <x:v>0</x:v>
      </x:c>
      <x:c r="AN550" s="2" t="str">
        <x:f>IF(M550="","",MAX(0,'Motor_Meciuri'!BF44-IF(L550&gt;'Config_v6'!$B$12,'Config_v6'!$B$37,IF(L550&gt;'Config_v6'!$B$11,'Config_v6'!$B$36,0))))</x:f>
      </x:c>
    </x:row>
    <x:row r="551" ht="21" customHeight="1">
      <x:c r="A551" s="2" t="n">
        <x:v>39</x:v>
      </x:c>
      <x:c r="B551" s="2" t="str">
        <x:f>IF('Motor_Meciuri'!A44="","",'Motor_Meciuri'!A44)</x:f>
      </x:c>
      <x:c r="C551" s="2" t="str">
        <x:f>IF(B551="","",'Motor_Meciuri'!B44)</x:f>
      </x:c>
      <x:c r="D551" s="2" t="str">
        <x:f>IF(B551="","",'Motor_Meciuri'!D44)</x:f>
      </x:c>
      <x:c r="E551" s="2" t="str">
        <x:f>IF(B551="","",'Motor_Meciuri'!E44)</x:f>
      </x:c>
      <x:c r="F551" s="2" t="str">
        <x:v>U17,5</x:v>
      </x:c>
      <x:c r="G551" s="2" t="str">
        <x:v>UNDER</x:v>
      </x:c>
      <x:c r="H551" s="2" t="n">
        <x:v>17</x:v>
      </x:c>
      <x:c r="I551" s="2" t="str">
        <x:f>IF(B551="","",'Motor_Meciuri'!H44)</x:f>
      </x:c>
      <x:c r="J551" s="2" t="str">
        <x:f>IF(B551="","",'Motor_Meciuri'!I44)</x:f>
      </x:c>
      <x:c r="K551" s="11" t="str">
        <x:f>IF(J551&lt;&gt;"PASS","",'Motor_Meciuri'!BD44)</x:f>
      </x:c>
      <x:c r="L551" s="11" t="str">
        <x:f>IF(J551&lt;&gt;"PASS","",'Motor_Meciuri'!AU44)</x:f>
      </x:c>
      <x:c r="M551" s="10" t="str">
        <x:f>IF(NOT(AND(J551="PASS",'Calibrare_Linii'!U19="VALID")),"",'Distributie'!AO44)</x:f>
      </x:c>
      <x:c r="N551" s="10" t="str">
        <x:f>IF(M551="","",MAX(0.01,MIN(0.99,0.5+(M551-0.5)*'Motor_Meciuri'!BG44*'Calibrare_Linii'!D19)))</x:f>
      </x:c>
      <x:c r="O551" s="10" t="str">
        <x:f>IF(M551="","",1-M551)</x:f>
      </x:c>
      <x:c r="P551" s="10" t="str">
        <x:f>IF(OR(NOT(AND(J551="PASS",'Calibrare_Linii'!U19="VALID")),AK551=0),""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*('Istoric_Nativ'!$Q$6:$Q$405&gt;H551))/AK551)</x:f>
      </x:c>
      <x:c r="Q551" s="10" t="str">
        <x:f>IF(OR(NOT(AND(J551="PASS",'Calibrare_Linii'!U19="VALID")),AL551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M44)+((('Istoric_Nativ'!$E$6:$E$405='Input_Meci'!E44)+('Istoric_Nativ'!$F$6:$F$405='Input_Meci'!E44))&gt;0)*('Istoric_Nativ'!$D$6:$D$405&gt;='Motor_Meciuri'!BN44))&gt;0)*('Istoric_Nativ'!$Q$6:$Q$405&gt;H551))/AL551)</x:f>
      </x:c>
      <x:c r="R551" s="10" t="str">
        <x:f>IF(OR(NOT(AND(J551="PASS",'Calibrare_Linii'!U19="VALID")),AM551=0),""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'Motor_Meciuri'!BO44)+((('Istoric_Nativ'!$E$6:$E$405='Input_Meci'!E44)+('Istoric_Nativ'!$F$6:$F$405='Input_Meci'!E44))&gt;0)*('Istoric_Nativ'!$D$6:$D$405&gt;='Motor_Meciuri'!BP44))&gt;0)*('Istoric_Nativ'!$Q$6:$Q$405&gt;H551))/AM551)</x:f>
      </x:c>
      <x:c r="S551" s="10" t="str">
        <x:f>IF(M551="","",MAX(O551,P551,Q551,R551))</x:f>
      </x:c>
      <x:c r="T551" s="11" t="str">
        <x:f>IF(M551="","",MIN(100,S551*100*'Config_v6'!$B$44+MIN(100,L551/'Config_v6'!$B$13*100)*'Config_v6'!$B$45+(100-'Motor_Meciuri'!BF44)*'Config_v6'!$B$46+'Motor_Meciuri'!BH44*100*'Config_v6'!$B$47))</x:f>
      </x:c>
      <x:c r="U551" s="2" t="str">
        <x:f>IF(T551="","",IF(T551&lt;=20,1,IF(T551&lt;=40,2,IF(T551&lt;=60,3,IF(T551&lt;=80,4,5)))))</x:f>
      </x:c>
      <x:c r="V551" s="2" t="str">
        <x:f>IF(M551="","",MAX(0,'Motor_Meciuri'!BF44-IF(W551="OOS PENDING",'Config_v6'!$B$35,0)-IF(L551&gt;'Config_v6'!$B$12,'Config_v6'!$B$37,IF(L551&gt;'Config_v6'!$B$11,'Config_v6'!$B$36,0))))</x:f>
      </x:c>
      <x:c r="W551" s="2" t="str">
        <x:f>IF(B551="","",IF(I551&lt;&gt;"READY","NOT RELEASED",IF(NOT(AND(J551="PASS",'Calibrare_Linii'!U19="VALID")),"INVALID",IF(NOT(AND('Calibrare_Linii'!S19="VALIDATED",AND('Calibrare_Linii'!H19=C551,ISNUMBER('Calibrare_Linii'!J19),'Calibrare_Linii'!J19&lt;='Input_Meci'!G44))),"OOS PENDING",IF(S551&lt;='Calibrare_Linii'!E19,"PASS",IF(S551&lt;='Calibrare_Linii'!F19,"PENALTY","WATCH"))))))</x:f>
      </x:c>
      <x:c r="X551" s="2" t="str">
        <x:f>IF(M551="","",IF(AND(AND(J551="PASS",'Calibrare_Linii'!U19="VALID"),'Motor_Meciuri'!K44=12,'Motor_Meciuri'!L44=12,'Motor_Meciuri'!M44="NO",'Motor_Meciuri'!BL44='Motor_Meciuri'!C44,AB551&gt;='Config_v6'!$B$50,AN551&gt;='Config_v6'!$B$51,T551&lt;='Config_v6'!$B$52,L551&lt;='Config_v6'!$B$53,ISNUMBER('Calibrare_Linii'!E19),S551&lt;='Calibrare_Linii'!E19,SUM(AK551:AM551)&gt;0),"CANDIDATE","NO"))</x:f>
      </x:c>
      <x:c r="Y551" s="2" t="str">
        <x:f>IF(B551="","",IF(I551&lt;&gt;"READY","NOT RELEASED",IF(AND(X551="CANDIDATE",V551&gt;='Config_v6'!$B$51,W551="PASS",'Calibrare_Linii'!T19="VALIDATED",AND('Calibrare_Linii'!H19=C551,ISNUMBER('Calibrare_Linii'!J19),'Calibrare_Linii'!J19&lt;='Input_Meci'!G44)),"PASS",IF(X551="CANDIDATE","OOS PENDING","FAIL"))))</x:f>
      </x:c>
      <x:c r="Z551" s="2" t="str">
        <x:f>IF(B551="","",IF(I551&lt;&gt;"READY","",IF(OR(NOT(AND(J551="PASS",'Calibrare_Linii'!U19="VALID")),L551&gt;'Config_v6'!$B$13,W551="WATCH"),5,IF(Y551="PASS",1,MIN(5,MAX('Config_v6'!$B$42,U551)+IF(W551="PENALTY",1,0))))))</x:f>
      </x:c>
      <x:c r="AA551" s="2" t="str">
        <x:f>IF(B551="","",IF(I551&lt;&gt;"READY","NOT RELEASED",IF(Z551=5,"NO BET",IF(OR(AB551&lt;'Config_v6'!$B$16,V551&lt;'Config_v6'!$B$18),"WATCH",IF(Z551=1,"DEFENSIV",IF(Z551=2,"PRUDENT",IF(Z551=3,"MODERAT","RIDICAT")))))))</x:f>
      </x:c>
      <x:c r="AB551" s="10" t="str">
        <x:f>IF(N551="","",MIN(N551,1-S551))</x:f>
      </x:c>
      <x:c r="AC551" s="2" t="str">
        <x:f>IF(AD551&lt;&gt;1,"",COUNTIFS($Z$538:$Z$551,"&lt;"&amp;Z551,$AD$538:$AD$551,1)+COUNTIFS($Z$538:$Z$551,Z551,$AB$538:$AB$551,"&gt;"&amp;AB551,$AD$538:$AD$551,1)+COUNTIFS($Z$538:$Z$551,Z551,$AB$538:$AB$551,AB551,$V$538:$V$551,"&gt;"&amp;V551,$AD$538:$AD$551,1)+COUNTIFS($Z$538:Z551,Z551,$AB$538:AB551,AB551,$V$538:V551,V551,$AD$538:AD551,1))</x:f>
      </x:c>
      <x:c r="AD551" s="2" t="n">
        <x:f>IF(OR(AA551="DEFENSIV",AA551="PRUDENT",AA551="MODERAT",AA551="RIDICAT"),1,0)</x:f>
        <x:v>0</x:v>
      </x:c>
      <x:c r="AE551" s="2" t="str">
        <x:f>IF(AD551&lt;&gt;1,"NO",IF(W551="PASS","YES",IF(W551="OOS PENDING","CONDITIONAL","NO")))</x:f>
        <x:v>NO</x:v>
      </x:c>
      <x:c r="AF551" s="2" t="n">
        <x:f>IF(AND(AD551=1,AC551=1,E551="LIVE"),1,0)</x:f>
        <x:v>0</x:v>
      </x:c>
      <x:c r="AG551" s="2" t="str">
        <x:f>IF(AF551&lt;&gt;1,"",'Dashboard'!P64)</x:f>
      </x:c>
      <x:c r="AH551" s="2" t="str">
        <x:f>IF(B551="","",IF(J551&lt;&gt;"PASS",'Motor_Meciuri'!J44,IF('Calibrare_Linii'!U19&lt;&gt;"VALID","Parametri linie invalizi",IF(L551&gt;'Config_v6'!$B$13,"Dispersie peste limita",IF(W551="WATCH","Failure peste limita",IF(AB551&lt;'Config_v6'!$B$16,"P finala sub prag",IF(V551&lt;'Config_v6'!$B$18,"Confidence sub prag",IF(E551="REPLAY","Exemplu retrospectiv; exclus din Top LIVE",IF(Y551="PASS","DEFENSIV validat",IF(W551="OOS PENDING","Eligibil; calibrare linie in monitorizare","Eligibil"))))))))))</x:f>
      </x:c>
      <x:c r="AI551" s="2" t="str">
        <x:f>IF(B551="","",'Calibrare_Linii'!V19)</x:f>
      </x:c>
      <x:c r="AJ551" s="2" t="str">
        <x:f>IF(B551="","",IF(AND('Calibrare_Linii'!T19="VALIDATED",AND('Calibrare_Linii'!H19=C551,ISNUMBER('Calibrare_Linii'!J19),'Calibrare_Linii'!J19&lt;='Input_Meci'!G44)),"DEFENSIVE VALIDATED",IF(AND('Calibrare_Linii'!S19="VALIDATED",AND('Calibrare_Linii'!H19=C551,ISNUMBER('Calibrare_Linii'!J19),'Calibrare_Linii'!J19&lt;='Input_Meci'!G44)),"TAIL VALIDATED","OOS PENDING")))</x:f>
      </x:c>
      <x:c r="AK551" s="2" t="n">
        <x:f>IF(J551&lt;&gt;"PASS",0,'Motor_Meciuri'!BR44)</x:f>
        <x:v>0</x:v>
      </x:c>
      <x:c r="AL551" s="2" t="n">
        <x:f>IF(J551&lt;&gt;"PASS",0,'Motor_Meciuri'!BS44)</x:f>
        <x:v>0</x:v>
      </x:c>
      <x:c r="AM551" s="2" t="n">
        <x:f>IF(J551&lt;&gt;"PASS",0,'Motor_Meciuri'!BT44)</x:f>
        <x:v>0</x:v>
      </x:c>
      <x:c r="AN551" s="2" t="str">
        <x:f>IF(M551="","",MAX(0,'Motor_Meciuri'!BF44-IF(L551&gt;'Config_v6'!$B$12,'Config_v6'!$B$37,IF(L551&gt;'Config_v6'!$B$11,'Config_v6'!$B$36,0))))</x:f>
      </x:c>
    </x:row>
    <x:row r="552" ht="21" customHeight="1">
      <x:c r="A552" s="2" t="n">
        <x:v>40</x:v>
      </x:c>
      <x:c r="B552" s="2" t="str">
        <x:f>IF('Motor_Meciuri'!A45="","",'Motor_Meciuri'!A45)</x:f>
      </x:c>
      <x:c r="C552" s="2" t="str">
        <x:f>IF(B552="","",'Motor_Meciuri'!B45)</x:f>
      </x:c>
      <x:c r="D552" s="2" t="str">
        <x:f>IF(B552="","",'Motor_Meciuri'!D45)</x:f>
      </x:c>
      <x:c r="E552" s="2" t="str">
        <x:f>IF(B552="","",'Motor_Meciuri'!E45)</x:f>
      </x:c>
      <x:c r="F552" s="2" t="str">
        <x:v>O3,5</x:v>
      </x:c>
      <x:c r="G552" s="2" t="str">
        <x:v>OVER</x:v>
      </x:c>
      <x:c r="H552" s="2" t="n">
        <x:v>3</x:v>
      </x:c>
      <x:c r="I552" s="2" t="str">
        <x:f>IF(B552="","",'Motor_Meciuri'!H45)</x:f>
      </x:c>
      <x:c r="J552" s="2" t="str">
        <x:f>IF(B552="","",'Motor_Meciuri'!I45)</x:f>
      </x:c>
      <x:c r="K552" s="11" t="str">
        <x:f>IF(J552&lt;&gt;"PASS","",'Motor_Meciuri'!BD45)</x:f>
      </x:c>
      <x:c r="L552" s="11" t="str">
        <x:f>IF(J552&lt;&gt;"PASS","",'Motor_Meciuri'!AU45)</x:f>
      </x:c>
      <x:c r="M552" s="10" t="str">
        <x:f>IF(NOT(AND(J552="PASS",'Calibrare_Linii'!U6="VALID")),"",1-'Distributie'!AA45)</x:f>
      </x:c>
      <x:c r="N552" s="10" t="str">
        <x:f>IF(M552="","",MAX(0.01,MIN(0.99,0.5+(M552-0.5)*'Motor_Meciuri'!BG45*'Calibrare_Linii'!D6)))</x:f>
      </x:c>
      <x:c r="O552" s="10" t="str">
        <x:f>IF(M552="","",1-M552)</x:f>
      </x:c>
      <x:c r="P552" s="10" t="str">
        <x:f>IF(OR(NOT(AND(J552="PASS",'Calibrare_Linii'!U6="VALID")),AK552=0),""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*('Istoric_Nativ'!$Q$6:$Q$405&lt;=H552))/AK552)</x:f>
      </x:c>
      <x:c r="Q552" s="10" t="str">
        <x:f>IF(OR(NOT(AND(J552="PASS",'Calibrare_Linii'!U6="VALID")),AL552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M45)+((('Istoric_Nativ'!$E$6:$E$405='Input_Meci'!E45)+('Istoric_Nativ'!$F$6:$F$405='Input_Meci'!E45))&gt;0)*('Istoric_Nativ'!$D$6:$D$405&gt;='Motor_Meciuri'!BN45))&gt;0)*('Istoric_Nativ'!$Q$6:$Q$405&lt;=H552))/AL552)</x:f>
      </x:c>
      <x:c r="R552" s="10" t="str">
        <x:f>IF(OR(NOT(AND(J552="PASS",'Calibrare_Linii'!U6="VALID")),AM552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O45)+((('Istoric_Nativ'!$E$6:$E$405='Input_Meci'!E45)+('Istoric_Nativ'!$F$6:$F$405='Input_Meci'!E45))&gt;0)*('Istoric_Nativ'!$D$6:$D$405&gt;='Motor_Meciuri'!BP45))&gt;0)*('Istoric_Nativ'!$Q$6:$Q$405&lt;=H552))/AM552)</x:f>
      </x:c>
      <x:c r="S552" s="10" t="str">
        <x:f>IF(M552="","",MAX(O552,P552,Q552,R552))</x:f>
      </x:c>
      <x:c r="T552" s="11" t="str">
        <x:f>IF(M552="","",MIN(100,S552*100*'Config_v6'!$B$44+MIN(100,L552/'Config_v6'!$B$13*100)*'Config_v6'!$B$45+(100-'Motor_Meciuri'!BF45)*'Config_v6'!$B$46+'Motor_Meciuri'!BH45*100*'Config_v6'!$B$47))</x:f>
      </x:c>
      <x:c r="U552" s="2" t="str">
        <x:f>IF(T552="","",IF(T552&lt;=20,1,IF(T552&lt;=40,2,IF(T552&lt;=60,3,IF(T552&lt;=80,4,5)))))</x:f>
      </x:c>
      <x:c r="V552" s="2" t="str">
        <x:f>IF(M552="","",MAX(0,'Motor_Meciuri'!BF45-IF(W552="OOS PENDING",'Config_v6'!$B$35,0)-IF(L552&gt;'Config_v6'!$B$12,'Config_v6'!$B$37,IF(L552&gt;'Config_v6'!$B$11,'Config_v6'!$B$36,0))))</x:f>
      </x:c>
      <x:c r="W552" s="2" t="str">
        <x:f>IF(B552="","",IF(I552&lt;&gt;"READY","NOT RELEASED",IF(NOT(AND(J552="PASS",'Calibrare_Linii'!U6="VALID")),"INVALID",IF(NOT(TRUE),"OOS PENDING",IF(S552&lt;=IF(AND('Calibrare_Linii'!S6="VALIDATED",AND('Calibrare_Linii'!H6=C552,ISNUMBER('Calibrare_Linii'!J6),'Calibrare_Linii'!J6&lt;='Input_Meci'!G45)),'Calibrare_Linii'!E6,'Config_v6'!$B$26),"PASS",IF(S552&lt;=IF(AND('Calibrare_Linii'!S6="VALIDATED",AND('Calibrare_Linii'!H6=C552,ISNUMBER('Calibrare_Linii'!J6),'Calibrare_Linii'!J6&lt;='Input_Meci'!G45)),'Calibrare_Linii'!F6,'Config_v6'!$C$26),"PENALTY","WATCH"))))))</x:f>
      </x:c>
      <x:c r="X552" s="2" t="str">
        <x:f>IF(M552="","",IF(AND(AND(J552="PASS",'Calibrare_Linii'!U6="VALID"),'Motor_Meciuri'!K45=12,'Motor_Meciuri'!L45=12,'Motor_Meciuri'!M45="NO",'Motor_Meciuri'!BL45='Motor_Meciuri'!C45,AB552&gt;='Config_v6'!$B$50,AN552&gt;='Config_v6'!$B$51,T552&lt;='Config_v6'!$B$52,L552&lt;='Config_v6'!$B$53,ISNUMBER('Calibrare_Linii'!E6),S552&lt;='Calibrare_Linii'!E6,SUM(AK552:AM552)&gt;0),"CANDIDATE","NO"))</x:f>
      </x:c>
      <x:c r="Y552" s="2" t="str">
        <x:f>IF(B552="","",IF(I552&lt;&gt;"READY","NOT RELEASED",IF(AND(X552="CANDIDATE",V552&gt;='Config_v6'!$B$51,W552="PASS",'Calibrare_Linii'!T6="VALIDATED",AND('Calibrare_Linii'!H6=C552,ISNUMBER('Calibrare_Linii'!J6),'Calibrare_Linii'!J6&lt;='Input_Meci'!G45)),"PASS",IF(X552="CANDIDATE","OOS PENDING","FAIL"))))</x:f>
      </x:c>
      <x:c r="Z552" s="2" t="str">
        <x:f>IF(B552="","",IF(I552&lt;&gt;"READY","",IF(OR(NOT(AND(J552="PASS",'Calibrare_Linii'!U6="VALID")),L552&gt;'Config_v6'!$B$13,W552="WATCH"),5,IF(Y552="PASS",1,MIN(5,MAX('Config_v6'!$B$42,U552)+IF(W552="PENALTY",1,0))))))</x:f>
      </x:c>
      <x:c r="AA552" s="2" t="str">
        <x:f>IF(B552="","",IF(I552&lt;&gt;"READY","NOT RELEASED",IF(Z552=5,"NO BET",IF(OR(AB552&lt;'Config_v6'!$B$16,V552&lt;'Config_v6'!$B$18),"WATCH",IF(Z552=1,"DEFENSIV",IF(Z552=2,"PRUDENT",IF(Z552=3,"MODERAT","RIDICAT")))))))</x:f>
      </x:c>
      <x:c r="AB552" s="10" t="str">
        <x:f>IF(N552="","",MIN(N552,1-S552))</x:f>
      </x:c>
      <x:c r="AC552" s="2" t="str">
        <x:f>IF(AD552&lt;&gt;1,"",COUNTIFS($Z$552:$Z$565,"&lt;"&amp;Z552,$AD$552:$AD$565,1)+COUNTIFS($Z$552:$Z$565,Z552,$AB$552:$AB$565,"&gt;"&amp;AB552,$AD$552:$AD$565,1)+COUNTIFS($Z$552:$Z$565,Z552,$AB$552:$AB$565,AB552,$V$552:$V$565,"&gt;"&amp;V552,$AD$552:$AD$565,1)+COUNTIFS($Z$552:Z552,Z552,$AB$552:AB552,AB552,$V$552:V552,V552,$AD$552:AD552,1))</x:f>
      </x:c>
      <x:c r="AD552" s="2" t="n">
        <x:f>IF(OR(AA552="DEFENSIV",AA552="PRUDENT",AA552="MODERAT",AA552="RIDICAT"),1,0)</x:f>
        <x:v>0</x:v>
      </x:c>
      <x:c r="AE552" s="2" t="str">
        <x:f>IF(AD552&lt;&gt;1,"NO",IF(W552="PASS","YES",IF(W552="OOS PENDING","CONDITIONAL","NO")))</x:f>
        <x:v>NO</x:v>
      </x:c>
      <x:c r="AF552" s="2" t="n">
        <x:f>IF(AND(AD552=1,AC552=1,E552="LIVE"),1,0)</x:f>
        <x:v>0</x:v>
      </x:c>
      <x:c r="AG552" s="2" t="str">
        <x:f>IF(AF552&lt;&gt;1,"",'Dashboard'!P65)</x:f>
      </x:c>
      <x:c r="AH552" s="2" t="str">
        <x:f>IF(B552="","",IF(J552&lt;&gt;"PASS",'Motor_Meciuri'!J45,IF('Calibrare_Linii'!U6&lt;&gt;"VALID","Parametri linie invalizi",IF(L552&gt;'Config_v6'!$B$13,"Dispersie peste limita",IF(W552="WATCH","Failure peste limita",IF(AB552&lt;'Config_v6'!$B$16,"P finala sub prag",IF(V552&lt;'Config_v6'!$B$18,"Confidence sub prag",IF(E552="REPLAY","Exemplu retrospectiv; exclus din Top LIVE",IF(Y552="PASS","DEFENSIV validat",IF(W552="OOS PENDING","Eligibil; calibrare linie in monitorizare","Eligibil"))))))))))</x:f>
      </x:c>
      <x:c r="AI552" s="2" t="str">
        <x:f>IF(B552="","",'Calibrare_Linii'!V6)</x:f>
      </x:c>
      <x:c r="AJ552" s="2" t="str">
        <x:f>IF(B552="","",IF(AND('Calibrare_Linii'!T6="VALIDATED",AND('Calibrare_Linii'!H6=C552,ISNUMBER('Calibrare_Linii'!J6),'Calibrare_Linii'!J6&lt;='Input_Meci'!G45)),"DEFENSIVE VALIDATED",IF(AND('Calibrare_Linii'!S6="VALIDATED",AND('Calibrare_Linii'!H6=C552,ISNUMBER('Calibrare_Linii'!J6),'Calibrare_Linii'!J6&lt;='Input_Meci'!G45)),"TAIL VALIDATED","OOS PENDING")))</x:f>
      </x:c>
      <x:c r="AK552" s="2" t="n">
        <x:f>IF(J552&lt;&gt;"PASS",0,'Motor_Meciuri'!BR45)</x:f>
        <x:v>0</x:v>
      </x:c>
      <x:c r="AL552" s="2" t="n">
        <x:f>IF(J552&lt;&gt;"PASS",0,'Motor_Meciuri'!BS45)</x:f>
        <x:v>0</x:v>
      </x:c>
      <x:c r="AM552" s="2" t="n">
        <x:f>IF(J552&lt;&gt;"PASS",0,'Motor_Meciuri'!BT45)</x:f>
        <x:v>0</x:v>
      </x:c>
      <x:c r="AN552" s="2" t="str">
        <x:f>IF(M552="","",MAX(0,'Motor_Meciuri'!BF45-IF(L552&gt;'Config_v6'!$B$12,'Config_v6'!$B$37,IF(L552&gt;'Config_v6'!$B$11,'Config_v6'!$B$36,0))))</x:f>
      </x:c>
    </x:row>
    <x:row r="553" ht="21" customHeight="1">
      <x:c r="A553" s="2" t="n">
        <x:v>40</x:v>
      </x:c>
      <x:c r="B553" s="2" t="str">
        <x:f>IF('Motor_Meciuri'!A45="","",'Motor_Meciuri'!A45)</x:f>
      </x:c>
      <x:c r="C553" s="2" t="str">
        <x:f>IF(B553="","",'Motor_Meciuri'!B45)</x:f>
      </x:c>
      <x:c r="D553" s="2" t="str">
        <x:f>IF(B553="","",'Motor_Meciuri'!D45)</x:f>
      </x:c>
      <x:c r="E553" s="2" t="str">
        <x:f>IF(B553="","",'Motor_Meciuri'!E45)</x:f>
      </x:c>
      <x:c r="F553" s="2" t="str">
        <x:v>O4,5</x:v>
      </x:c>
      <x:c r="G553" s="2" t="str">
        <x:v>OVER</x:v>
      </x:c>
      <x:c r="H553" s="2" t="n">
        <x:v>4</x:v>
      </x:c>
      <x:c r="I553" s="2" t="str">
        <x:f>IF(B553="","",'Motor_Meciuri'!H45)</x:f>
      </x:c>
      <x:c r="J553" s="2" t="str">
        <x:f>IF(B553="","",'Motor_Meciuri'!I45)</x:f>
      </x:c>
      <x:c r="K553" s="11" t="str">
        <x:f>IF(J553&lt;&gt;"PASS","",'Motor_Meciuri'!BD45)</x:f>
      </x:c>
      <x:c r="L553" s="11" t="str">
        <x:f>IF(J553&lt;&gt;"PASS","",'Motor_Meciuri'!AU45)</x:f>
      </x:c>
      <x:c r="M553" s="10" t="str">
        <x:f>IF(NOT(AND(J553="PASS",'Calibrare_Linii'!U7="VALID")),"",1-'Distributie'!AB45)</x:f>
      </x:c>
      <x:c r="N553" s="10" t="str">
        <x:f>IF(M553="","",MAX(0.01,MIN(0.99,0.5+(M553-0.5)*'Motor_Meciuri'!BG45*'Calibrare_Linii'!D7)))</x:f>
      </x:c>
      <x:c r="O553" s="10" t="str">
        <x:f>IF(M553="","",1-M553)</x:f>
      </x:c>
      <x:c r="P553" s="10" t="str">
        <x:f>IF(OR(NOT(AND(J553="PASS",'Calibrare_Linii'!U7="VALID")),AK553=0),""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*('Istoric_Nativ'!$Q$6:$Q$405&lt;=H553))/AK553)</x:f>
      </x:c>
      <x:c r="Q553" s="10" t="str">
        <x:f>IF(OR(NOT(AND(J553="PASS",'Calibrare_Linii'!U7="VALID")),AL553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M45)+((('Istoric_Nativ'!$E$6:$E$405='Input_Meci'!E45)+('Istoric_Nativ'!$F$6:$F$405='Input_Meci'!E45))&gt;0)*('Istoric_Nativ'!$D$6:$D$405&gt;='Motor_Meciuri'!BN45))&gt;0)*('Istoric_Nativ'!$Q$6:$Q$405&lt;=H553))/AL553)</x:f>
      </x:c>
      <x:c r="R553" s="10" t="str">
        <x:f>IF(OR(NOT(AND(J553="PASS",'Calibrare_Linii'!U7="VALID")),AM553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O45)+((('Istoric_Nativ'!$E$6:$E$405='Input_Meci'!E45)+('Istoric_Nativ'!$F$6:$F$405='Input_Meci'!E45))&gt;0)*('Istoric_Nativ'!$D$6:$D$405&gt;='Motor_Meciuri'!BP45))&gt;0)*('Istoric_Nativ'!$Q$6:$Q$405&lt;=H553))/AM553)</x:f>
      </x:c>
      <x:c r="S553" s="10" t="str">
        <x:f>IF(M553="","",MAX(O553,P553,Q553,R553))</x:f>
      </x:c>
      <x:c r="T553" s="11" t="str">
        <x:f>IF(M553="","",MIN(100,S553*100*'Config_v6'!$B$44+MIN(100,L553/'Config_v6'!$B$13*100)*'Config_v6'!$B$45+(100-'Motor_Meciuri'!BF45)*'Config_v6'!$B$46+'Motor_Meciuri'!BH45*100*'Config_v6'!$B$47))</x:f>
      </x:c>
      <x:c r="U553" s="2" t="str">
        <x:f>IF(T553="","",IF(T553&lt;=20,1,IF(T553&lt;=40,2,IF(T553&lt;=60,3,IF(T553&lt;=80,4,5)))))</x:f>
      </x:c>
      <x:c r="V553" s="2" t="str">
        <x:f>IF(M553="","",MAX(0,'Motor_Meciuri'!BF45-IF(W553="OOS PENDING",'Config_v6'!$B$35,0)-IF(L553&gt;'Config_v6'!$B$12,'Config_v6'!$B$37,IF(L553&gt;'Config_v6'!$B$11,'Config_v6'!$B$36,0))))</x:f>
      </x:c>
      <x:c r="W553" s="2" t="str">
        <x:f>IF(B553="","",IF(I553&lt;&gt;"READY","NOT RELEASED",IF(NOT(AND(J553="PASS",'Calibrare_Linii'!U7="VALID")),"INVALID",IF(NOT(AND('Calibrare_Linii'!S7="VALIDATED",AND('Calibrare_Linii'!H7=C553,ISNUMBER('Calibrare_Linii'!J7),'Calibrare_Linii'!J7&lt;='Input_Meci'!G45))),"OOS PENDING",IF(S553&lt;='Calibrare_Linii'!E7,"PASS",IF(S553&lt;='Calibrare_Linii'!F7,"PENALTY","WATCH"))))))</x:f>
      </x:c>
      <x:c r="X553" s="2" t="str">
        <x:f>IF(M553="","",IF(AND(AND(J553="PASS",'Calibrare_Linii'!U7="VALID"),'Motor_Meciuri'!K45=12,'Motor_Meciuri'!L45=12,'Motor_Meciuri'!M45="NO",'Motor_Meciuri'!BL45='Motor_Meciuri'!C45,AB553&gt;='Config_v6'!$B$50,AN553&gt;='Config_v6'!$B$51,T553&lt;='Config_v6'!$B$52,L553&lt;='Config_v6'!$B$53,ISNUMBER('Calibrare_Linii'!E7),S553&lt;='Calibrare_Linii'!E7,SUM(AK553:AM553)&gt;0),"CANDIDATE","NO"))</x:f>
      </x:c>
      <x:c r="Y553" s="2" t="str">
        <x:f>IF(B553="","",IF(I553&lt;&gt;"READY","NOT RELEASED",IF(AND(X553="CANDIDATE",V553&gt;='Config_v6'!$B$51,W553="PASS",'Calibrare_Linii'!T7="VALIDATED",AND('Calibrare_Linii'!H7=C553,ISNUMBER('Calibrare_Linii'!J7),'Calibrare_Linii'!J7&lt;='Input_Meci'!G45)),"PASS",IF(X553="CANDIDATE","OOS PENDING","FAIL"))))</x:f>
      </x:c>
      <x:c r="Z553" s="2" t="str">
        <x:f>IF(B553="","",IF(I553&lt;&gt;"READY","",IF(OR(NOT(AND(J553="PASS",'Calibrare_Linii'!U7="VALID")),L553&gt;'Config_v6'!$B$13,W553="WATCH"),5,IF(Y553="PASS",1,MIN(5,MAX('Config_v6'!$B$42,U553)+IF(W553="PENALTY",1,0))))))</x:f>
      </x:c>
      <x:c r="AA553" s="2" t="str">
        <x:f>IF(B553="","",IF(I553&lt;&gt;"READY","NOT RELEASED",IF(Z553=5,"NO BET",IF(OR(AB553&lt;'Config_v6'!$B$16,V553&lt;'Config_v6'!$B$18),"WATCH",IF(Z553=1,"DEFENSIV",IF(Z553=2,"PRUDENT",IF(Z553=3,"MODERAT","RIDICAT")))))))</x:f>
      </x:c>
      <x:c r="AB553" s="10" t="str">
        <x:f>IF(N553="","",MIN(N553,1-S553))</x:f>
      </x:c>
      <x:c r="AC553" s="2" t="str">
        <x:f>IF(AD553&lt;&gt;1,"",COUNTIFS($Z$552:$Z$565,"&lt;"&amp;Z553,$AD$552:$AD$565,1)+COUNTIFS($Z$552:$Z$565,Z553,$AB$552:$AB$565,"&gt;"&amp;AB553,$AD$552:$AD$565,1)+COUNTIFS($Z$552:$Z$565,Z553,$AB$552:$AB$565,AB553,$V$552:$V$565,"&gt;"&amp;V553,$AD$552:$AD$565,1)+COUNTIFS($Z$552:Z553,Z553,$AB$552:AB553,AB553,$V$552:V553,V553,$AD$552:AD553,1))</x:f>
      </x:c>
      <x:c r="AD553" s="2" t="n">
        <x:f>IF(OR(AA553="DEFENSIV",AA553="PRUDENT",AA553="MODERAT",AA553="RIDICAT"),1,0)</x:f>
        <x:v>0</x:v>
      </x:c>
      <x:c r="AE553" s="2" t="str">
        <x:f>IF(AD553&lt;&gt;1,"NO",IF(W553="PASS","YES",IF(W553="OOS PENDING","CONDITIONAL","NO")))</x:f>
        <x:v>NO</x:v>
      </x:c>
      <x:c r="AF553" s="2" t="n">
        <x:f>IF(AND(AD553=1,AC553=1,E553="LIVE"),1,0)</x:f>
        <x:v>0</x:v>
      </x:c>
      <x:c r="AG553" s="2" t="str">
        <x:f>IF(AF553&lt;&gt;1,"",'Dashboard'!P65)</x:f>
      </x:c>
      <x:c r="AH553" s="2" t="str">
        <x:f>IF(B553="","",IF(J553&lt;&gt;"PASS",'Motor_Meciuri'!J45,IF('Calibrare_Linii'!U7&lt;&gt;"VALID","Parametri linie invalizi",IF(L553&gt;'Config_v6'!$B$13,"Dispersie peste limita",IF(W553="WATCH","Failure peste limita",IF(AB553&lt;'Config_v6'!$B$16,"P finala sub prag",IF(V553&lt;'Config_v6'!$B$18,"Confidence sub prag",IF(E553="REPLAY","Exemplu retrospectiv; exclus din Top LIVE",IF(Y553="PASS","DEFENSIV validat",IF(W553="OOS PENDING","Eligibil; calibrare linie in monitorizare","Eligibil"))))))))))</x:f>
      </x:c>
      <x:c r="AI553" s="2" t="str">
        <x:f>IF(B553="","",'Calibrare_Linii'!V7)</x:f>
      </x:c>
      <x:c r="AJ553" s="2" t="str">
        <x:f>IF(B553="","",IF(AND('Calibrare_Linii'!T7="VALIDATED",AND('Calibrare_Linii'!H7=C553,ISNUMBER('Calibrare_Linii'!J7),'Calibrare_Linii'!J7&lt;='Input_Meci'!G45)),"DEFENSIVE VALIDATED",IF(AND('Calibrare_Linii'!S7="VALIDATED",AND('Calibrare_Linii'!H7=C553,ISNUMBER('Calibrare_Linii'!J7),'Calibrare_Linii'!J7&lt;='Input_Meci'!G45)),"TAIL VALIDATED","OOS PENDING")))</x:f>
      </x:c>
      <x:c r="AK553" s="2" t="n">
        <x:f>IF(J553&lt;&gt;"PASS",0,'Motor_Meciuri'!BR45)</x:f>
        <x:v>0</x:v>
      </x:c>
      <x:c r="AL553" s="2" t="n">
        <x:f>IF(J553&lt;&gt;"PASS",0,'Motor_Meciuri'!BS45)</x:f>
        <x:v>0</x:v>
      </x:c>
      <x:c r="AM553" s="2" t="n">
        <x:f>IF(J553&lt;&gt;"PASS",0,'Motor_Meciuri'!BT45)</x:f>
        <x:v>0</x:v>
      </x:c>
      <x:c r="AN553" s="2" t="str">
        <x:f>IF(M553="","",MAX(0,'Motor_Meciuri'!BF45-IF(L553&gt;'Config_v6'!$B$12,'Config_v6'!$B$37,IF(L553&gt;'Config_v6'!$B$11,'Config_v6'!$B$36,0))))</x:f>
      </x:c>
    </x:row>
    <x:row r="554" ht="21" customHeight="1">
      <x:c r="A554" s="2" t="n">
        <x:v>40</x:v>
      </x:c>
      <x:c r="B554" s="2" t="str">
        <x:f>IF('Motor_Meciuri'!A45="","",'Motor_Meciuri'!A45)</x:f>
      </x:c>
      <x:c r="C554" s="2" t="str">
        <x:f>IF(B554="","",'Motor_Meciuri'!B45)</x:f>
      </x:c>
      <x:c r="D554" s="2" t="str">
        <x:f>IF(B554="","",'Motor_Meciuri'!D45)</x:f>
      </x:c>
      <x:c r="E554" s="2" t="str">
        <x:f>IF(B554="","",'Motor_Meciuri'!E45)</x:f>
      </x:c>
      <x:c r="F554" s="2" t="str">
        <x:v>O5,5</x:v>
      </x:c>
      <x:c r="G554" s="2" t="str">
        <x:v>OVER</x:v>
      </x:c>
      <x:c r="H554" s="2" t="n">
        <x:v>5</x:v>
      </x:c>
      <x:c r="I554" s="2" t="str">
        <x:f>IF(B554="","",'Motor_Meciuri'!H45)</x:f>
      </x:c>
      <x:c r="J554" s="2" t="str">
        <x:f>IF(B554="","",'Motor_Meciuri'!I45)</x:f>
      </x:c>
      <x:c r="K554" s="11" t="str">
        <x:f>IF(J554&lt;&gt;"PASS","",'Motor_Meciuri'!BD45)</x:f>
      </x:c>
      <x:c r="L554" s="11" t="str">
        <x:f>IF(J554&lt;&gt;"PASS","",'Motor_Meciuri'!AU45)</x:f>
      </x:c>
      <x:c r="M554" s="10" t="str">
        <x:f>IF(NOT(AND(J554="PASS",'Calibrare_Linii'!U8="VALID")),"",1-'Distributie'!AC45)</x:f>
      </x:c>
      <x:c r="N554" s="10" t="str">
        <x:f>IF(M554="","",MAX(0.01,MIN(0.99,0.5+(M554-0.5)*'Motor_Meciuri'!BG45*'Calibrare_Linii'!D8)))</x:f>
      </x:c>
      <x:c r="O554" s="10" t="str">
        <x:f>IF(M554="","",1-M554)</x:f>
      </x:c>
      <x:c r="P554" s="10" t="str">
        <x:f>IF(OR(NOT(AND(J554="PASS",'Calibrare_Linii'!U8="VALID")),AK554=0),""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*('Istoric_Nativ'!$Q$6:$Q$405&lt;=H554))/AK554)</x:f>
      </x:c>
      <x:c r="Q554" s="10" t="str">
        <x:f>IF(OR(NOT(AND(J554="PASS",'Calibrare_Linii'!U8="VALID")),AL554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M45)+((('Istoric_Nativ'!$E$6:$E$405='Input_Meci'!E45)+('Istoric_Nativ'!$F$6:$F$405='Input_Meci'!E45))&gt;0)*('Istoric_Nativ'!$D$6:$D$405&gt;='Motor_Meciuri'!BN45))&gt;0)*('Istoric_Nativ'!$Q$6:$Q$405&lt;=H554))/AL554)</x:f>
      </x:c>
      <x:c r="R554" s="10" t="str">
        <x:f>IF(OR(NOT(AND(J554="PASS",'Calibrare_Linii'!U8="VALID")),AM554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O45)+((('Istoric_Nativ'!$E$6:$E$405='Input_Meci'!E45)+('Istoric_Nativ'!$F$6:$F$405='Input_Meci'!E45))&gt;0)*('Istoric_Nativ'!$D$6:$D$405&gt;='Motor_Meciuri'!BP45))&gt;0)*('Istoric_Nativ'!$Q$6:$Q$405&lt;=H554))/AM554)</x:f>
      </x:c>
      <x:c r="S554" s="10" t="str">
        <x:f>IF(M554="","",MAX(O554,P554,Q554,R554))</x:f>
      </x:c>
      <x:c r="T554" s="11" t="str">
        <x:f>IF(M554="","",MIN(100,S554*100*'Config_v6'!$B$44+MIN(100,L554/'Config_v6'!$B$13*100)*'Config_v6'!$B$45+(100-'Motor_Meciuri'!BF45)*'Config_v6'!$B$46+'Motor_Meciuri'!BH45*100*'Config_v6'!$B$47))</x:f>
      </x:c>
      <x:c r="U554" s="2" t="str">
        <x:f>IF(T554="","",IF(T554&lt;=20,1,IF(T554&lt;=40,2,IF(T554&lt;=60,3,IF(T554&lt;=80,4,5)))))</x:f>
      </x:c>
      <x:c r="V554" s="2" t="str">
        <x:f>IF(M554="","",MAX(0,'Motor_Meciuri'!BF45-IF(W554="OOS PENDING",'Config_v6'!$B$35,0)-IF(L554&gt;'Config_v6'!$B$12,'Config_v6'!$B$37,IF(L554&gt;'Config_v6'!$B$11,'Config_v6'!$B$36,0))))</x:f>
      </x:c>
      <x:c r="W554" s="2" t="str">
        <x:f>IF(B554="","",IF(I554&lt;&gt;"READY","NOT RELEASED",IF(NOT(AND(J554="PASS",'Calibrare_Linii'!U8="VALID")),"INVALID",IF(NOT(AND('Calibrare_Linii'!S8="VALIDATED",AND('Calibrare_Linii'!H8=C554,ISNUMBER('Calibrare_Linii'!J8),'Calibrare_Linii'!J8&lt;='Input_Meci'!G45))),"OOS PENDING",IF(S554&lt;='Calibrare_Linii'!E8,"PASS",IF(S554&lt;='Calibrare_Linii'!F8,"PENALTY","WATCH"))))))</x:f>
      </x:c>
      <x:c r="X554" s="2" t="str">
        <x:f>IF(M554="","",IF(AND(AND(J554="PASS",'Calibrare_Linii'!U8="VALID"),'Motor_Meciuri'!K45=12,'Motor_Meciuri'!L45=12,'Motor_Meciuri'!M45="NO",'Motor_Meciuri'!BL45='Motor_Meciuri'!C45,AB554&gt;='Config_v6'!$B$50,AN554&gt;='Config_v6'!$B$51,T554&lt;='Config_v6'!$B$52,L554&lt;='Config_v6'!$B$53,ISNUMBER('Calibrare_Linii'!E8),S554&lt;='Calibrare_Linii'!E8,SUM(AK554:AM554)&gt;0),"CANDIDATE","NO"))</x:f>
      </x:c>
      <x:c r="Y554" s="2" t="str">
        <x:f>IF(B554="","",IF(I554&lt;&gt;"READY","NOT RELEASED",IF(AND(X554="CANDIDATE",V554&gt;='Config_v6'!$B$51,W554="PASS",'Calibrare_Linii'!T8="VALIDATED",AND('Calibrare_Linii'!H8=C554,ISNUMBER('Calibrare_Linii'!J8),'Calibrare_Linii'!J8&lt;='Input_Meci'!G45)),"PASS",IF(X554="CANDIDATE","OOS PENDING","FAIL"))))</x:f>
      </x:c>
      <x:c r="Z554" s="2" t="str">
        <x:f>IF(B554="","",IF(I554&lt;&gt;"READY","",IF(OR(NOT(AND(J554="PASS",'Calibrare_Linii'!U8="VALID")),L554&gt;'Config_v6'!$B$13,W554="WATCH"),5,IF(Y554="PASS",1,MIN(5,MAX('Config_v6'!$B$42,U554)+IF(W554="PENALTY",1,0))))))</x:f>
      </x:c>
      <x:c r="AA554" s="2" t="str">
        <x:f>IF(B554="","",IF(I554&lt;&gt;"READY","NOT RELEASED",IF(Z554=5,"NO BET",IF(OR(AB554&lt;'Config_v6'!$B$16,V554&lt;'Config_v6'!$B$18),"WATCH",IF(Z554=1,"DEFENSIV",IF(Z554=2,"PRUDENT",IF(Z554=3,"MODERAT","RIDICAT")))))))</x:f>
      </x:c>
      <x:c r="AB554" s="10" t="str">
        <x:f>IF(N554="","",MIN(N554,1-S554))</x:f>
      </x:c>
      <x:c r="AC554" s="2" t="str">
        <x:f>IF(AD554&lt;&gt;1,"",COUNTIFS($Z$552:$Z$565,"&lt;"&amp;Z554,$AD$552:$AD$565,1)+COUNTIFS($Z$552:$Z$565,Z554,$AB$552:$AB$565,"&gt;"&amp;AB554,$AD$552:$AD$565,1)+COUNTIFS($Z$552:$Z$565,Z554,$AB$552:$AB$565,AB554,$V$552:$V$565,"&gt;"&amp;V554,$AD$552:$AD$565,1)+COUNTIFS($Z$552:Z554,Z554,$AB$552:AB554,AB554,$V$552:V554,V554,$AD$552:AD554,1))</x:f>
      </x:c>
      <x:c r="AD554" s="2" t="n">
        <x:f>IF(OR(AA554="DEFENSIV",AA554="PRUDENT",AA554="MODERAT",AA554="RIDICAT"),1,0)</x:f>
        <x:v>0</x:v>
      </x:c>
      <x:c r="AE554" s="2" t="str">
        <x:f>IF(AD554&lt;&gt;1,"NO",IF(W554="PASS","YES",IF(W554="OOS PENDING","CONDITIONAL","NO")))</x:f>
        <x:v>NO</x:v>
      </x:c>
      <x:c r="AF554" s="2" t="n">
        <x:f>IF(AND(AD554=1,AC554=1,E554="LIVE"),1,0)</x:f>
        <x:v>0</x:v>
      </x:c>
      <x:c r="AG554" s="2" t="str">
        <x:f>IF(AF554&lt;&gt;1,"",'Dashboard'!P65)</x:f>
      </x:c>
      <x:c r="AH554" s="2" t="str">
        <x:f>IF(B554="","",IF(J554&lt;&gt;"PASS",'Motor_Meciuri'!J45,IF('Calibrare_Linii'!U8&lt;&gt;"VALID","Parametri linie invalizi",IF(L554&gt;'Config_v6'!$B$13,"Dispersie peste limita",IF(W554="WATCH","Failure peste limita",IF(AB554&lt;'Config_v6'!$B$16,"P finala sub prag",IF(V554&lt;'Config_v6'!$B$18,"Confidence sub prag",IF(E554="REPLAY","Exemplu retrospectiv; exclus din Top LIVE",IF(Y554="PASS","DEFENSIV validat",IF(W554="OOS PENDING","Eligibil; calibrare linie in monitorizare","Eligibil"))))))))))</x:f>
      </x:c>
      <x:c r="AI554" s="2" t="str">
        <x:f>IF(B554="","",'Calibrare_Linii'!V8)</x:f>
      </x:c>
      <x:c r="AJ554" s="2" t="str">
        <x:f>IF(B554="","",IF(AND('Calibrare_Linii'!T8="VALIDATED",AND('Calibrare_Linii'!H8=C554,ISNUMBER('Calibrare_Linii'!J8),'Calibrare_Linii'!J8&lt;='Input_Meci'!G45)),"DEFENSIVE VALIDATED",IF(AND('Calibrare_Linii'!S8="VALIDATED",AND('Calibrare_Linii'!H8=C554,ISNUMBER('Calibrare_Linii'!J8),'Calibrare_Linii'!J8&lt;='Input_Meci'!G45)),"TAIL VALIDATED","OOS PENDING")))</x:f>
      </x:c>
      <x:c r="AK554" s="2" t="n">
        <x:f>IF(J554&lt;&gt;"PASS",0,'Motor_Meciuri'!BR45)</x:f>
        <x:v>0</x:v>
      </x:c>
      <x:c r="AL554" s="2" t="n">
        <x:f>IF(J554&lt;&gt;"PASS",0,'Motor_Meciuri'!BS45)</x:f>
        <x:v>0</x:v>
      </x:c>
      <x:c r="AM554" s="2" t="n">
        <x:f>IF(J554&lt;&gt;"PASS",0,'Motor_Meciuri'!BT45)</x:f>
        <x:v>0</x:v>
      </x:c>
      <x:c r="AN554" s="2" t="str">
        <x:f>IF(M554="","",MAX(0,'Motor_Meciuri'!BF45-IF(L554&gt;'Config_v6'!$B$12,'Config_v6'!$B$37,IF(L554&gt;'Config_v6'!$B$11,'Config_v6'!$B$36,0))))</x:f>
      </x:c>
    </x:row>
    <x:row r="555" ht="21" customHeight="1">
      <x:c r="A555" s="2" t="n">
        <x:v>40</x:v>
      </x:c>
      <x:c r="B555" s="2" t="str">
        <x:f>IF('Motor_Meciuri'!A45="","",'Motor_Meciuri'!A45)</x:f>
      </x:c>
      <x:c r="C555" s="2" t="str">
        <x:f>IF(B555="","",'Motor_Meciuri'!B45)</x:f>
      </x:c>
      <x:c r="D555" s="2" t="str">
        <x:f>IF(B555="","",'Motor_Meciuri'!D45)</x:f>
      </x:c>
      <x:c r="E555" s="2" t="str">
        <x:f>IF(B555="","",'Motor_Meciuri'!E45)</x:f>
      </x:c>
      <x:c r="F555" s="2" t="str">
        <x:v>O6,5</x:v>
      </x:c>
      <x:c r="G555" s="2" t="str">
        <x:v>OVER</x:v>
      </x:c>
      <x:c r="H555" s="2" t="n">
        <x:v>6</x:v>
      </x:c>
      <x:c r="I555" s="2" t="str">
        <x:f>IF(B555="","",'Motor_Meciuri'!H45)</x:f>
      </x:c>
      <x:c r="J555" s="2" t="str">
        <x:f>IF(B555="","",'Motor_Meciuri'!I45)</x:f>
      </x:c>
      <x:c r="K555" s="11" t="str">
        <x:f>IF(J555&lt;&gt;"PASS","",'Motor_Meciuri'!BD45)</x:f>
      </x:c>
      <x:c r="L555" s="11" t="str">
        <x:f>IF(J555&lt;&gt;"PASS","",'Motor_Meciuri'!AU45)</x:f>
      </x:c>
      <x:c r="M555" s="10" t="str">
        <x:f>IF(NOT(AND(J555="PASS",'Calibrare_Linii'!U9="VALID")),"",1-'Distributie'!AD45)</x:f>
      </x:c>
      <x:c r="N555" s="10" t="str">
        <x:f>IF(M555="","",MAX(0.01,MIN(0.99,0.5+(M555-0.5)*'Motor_Meciuri'!BG45*'Calibrare_Linii'!D9)))</x:f>
      </x:c>
      <x:c r="O555" s="10" t="str">
        <x:f>IF(M555="","",1-M555)</x:f>
      </x:c>
      <x:c r="P555" s="10" t="str">
        <x:f>IF(OR(NOT(AND(J555="PASS",'Calibrare_Linii'!U9="VALID")),AK555=0),""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*('Istoric_Nativ'!$Q$6:$Q$405&lt;=H555))/AK555)</x:f>
      </x:c>
      <x:c r="Q555" s="10" t="str">
        <x:f>IF(OR(NOT(AND(J555="PASS",'Calibrare_Linii'!U9="VALID")),AL555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M45)+((('Istoric_Nativ'!$E$6:$E$405='Input_Meci'!E45)+('Istoric_Nativ'!$F$6:$F$405='Input_Meci'!E45))&gt;0)*('Istoric_Nativ'!$D$6:$D$405&gt;='Motor_Meciuri'!BN45))&gt;0)*('Istoric_Nativ'!$Q$6:$Q$405&lt;=H555))/AL555)</x:f>
      </x:c>
      <x:c r="R555" s="10" t="str">
        <x:f>IF(OR(NOT(AND(J555="PASS",'Calibrare_Linii'!U9="VALID")),AM555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O45)+((('Istoric_Nativ'!$E$6:$E$405='Input_Meci'!E45)+('Istoric_Nativ'!$F$6:$F$405='Input_Meci'!E45))&gt;0)*('Istoric_Nativ'!$D$6:$D$405&gt;='Motor_Meciuri'!BP45))&gt;0)*('Istoric_Nativ'!$Q$6:$Q$405&lt;=H555))/AM555)</x:f>
      </x:c>
      <x:c r="S555" s="10" t="str">
        <x:f>IF(M555="","",MAX(O555,P555,Q555,R555))</x:f>
      </x:c>
      <x:c r="T555" s="11" t="str">
        <x:f>IF(M555="","",MIN(100,S555*100*'Config_v6'!$B$44+MIN(100,L555/'Config_v6'!$B$13*100)*'Config_v6'!$B$45+(100-'Motor_Meciuri'!BF45)*'Config_v6'!$B$46+'Motor_Meciuri'!BH45*100*'Config_v6'!$B$47))</x:f>
      </x:c>
      <x:c r="U555" s="2" t="str">
        <x:f>IF(T555="","",IF(T555&lt;=20,1,IF(T555&lt;=40,2,IF(T555&lt;=60,3,IF(T555&lt;=80,4,5)))))</x:f>
      </x:c>
      <x:c r="V555" s="2" t="str">
        <x:f>IF(M555="","",MAX(0,'Motor_Meciuri'!BF45-IF(W555="OOS PENDING",'Config_v6'!$B$35,0)-IF(L555&gt;'Config_v6'!$B$12,'Config_v6'!$B$37,IF(L555&gt;'Config_v6'!$B$11,'Config_v6'!$B$36,0))))</x:f>
      </x:c>
      <x:c r="W555" s="2" t="str">
        <x:f>IF(B555="","",IF(I555&lt;&gt;"READY","NOT RELEASED",IF(NOT(AND(J555="PASS",'Calibrare_Linii'!U9="VALID")),"INVALID",IF(NOT(AND('Calibrare_Linii'!S9="VALIDATED",AND('Calibrare_Linii'!H9=C555,ISNUMBER('Calibrare_Linii'!J9),'Calibrare_Linii'!J9&lt;='Input_Meci'!G45))),"OOS PENDING",IF(S555&lt;='Calibrare_Linii'!E9,"PASS",IF(S555&lt;='Calibrare_Linii'!F9,"PENALTY","WATCH"))))))</x:f>
      </x:c>
      <x:c r="X555" s="2" t="str">
        <x:f>IF(M555="","",IF(AND(AND(J555="PASS",'Calibrare_Linii'!U9="VALID"),'Motor_Meciuri'!K45=12,'Motor_Meciuri'!L45=12,'Motor_Meciuri'!M45="NO",'Motor_Meciuri'!BL45='Motor_Meciuri'!C45,AB555&gt;='Config_v6'!$B$50,AN555&gt;='Config_v6'!$B$51,T555&lt;='Config_v6'!$B$52,L555&lt;='Config_v6'!$B$53,ISNUMBER('Calibrare_Linii'!E9),S555&lt;='Calibrare_Linii'!E9,SUM(AK555:AM555)&gt;0),"CANDIDATE","NO"))</x:f>
      </x:c>
      <x:c r="Y555" s="2" t="str">
        <x:f>IF(B555="","",IF(I555&lt;&gt;"READY","NOT RELEASED",IF(AND(X555="CANDIDATE",V555&gt;='Config_v6'!$B$51,W555="PASS",'Calibrare_Linii'!T9="VALIDATED",AND('Calibrare_Linii'!H9=C555,ISNUMBER('Calibrare_Linii'!J9),'Calibrare_Linii'!J9&lt;='Input_Meci'!G45)),"PASS",IF(X555="CANDIDATE","OOS PENDING","FAIL"))))</x:f>
      </x:c>
      <x:c r="Z555" s="2" t="str">
        <x:f>IF(B555="","",IF(I555&lt;&gt;"READY","",IF(OR(NOT(AND(J555="PASS",'Calibrare_Linii'!U9="VALID")),L555&gt;'Config_v6'!$B$13,W555="WATCH"),5,IF(Y555="PASS",1,MIN(5,MAX('Config_v6'!$B$42,U555)+IF(W555="PENALTY",1,0))))))</x:f>
      </x:c>
      <x:c r="AA555" s="2" t="str">
        <x:f>IF(B555="","",IF(I555&lt;&gt;"READY","NOT RELEASED",IF(Z555=5,"NO BET",IF(OR(AB555&lt;'Config_v6'!$B$16,V555&lt;'Config_v6'!$B$18),"WATCH",IF(Z555=1,"DEFENSIV",IF(Z555=2,"PRUDENT",IF(Z555=3,"MODERAT","RIDICAT")))))))</x:f>
      </x:c>
      <x:c r="AB555" s="10" t="str">
        <x:f>IF(N555="","",MIN(N555,1-S555))</x:f>
      </x:c>
      <x:c r="AC555" s="2" t="str">
        <x:f>IF(AD555&lt;&gt;1,"",COUNTIFS($Z$552:$Z$565,"&lt;"&amp;Z555,$AD$552:$AD$565,1)+COUNTIFS($Z$552:$Z$565,Z555,$AB$552:$AB$565,"&gt;"&amp;AB555,$AD$552:$AD$565,1)+COUNTIFS($Z$552:$Z$565,Z555,$AB$552:$AB$565,AB555,$V$552:$V$565,"&gt;"&amp;V555,$AD$552:$AD$565,1)+COUNTIFS($Z$552:Z555,Z555,$AB$552:AB555,AB555,$V$552:V555,V555,$AD$552:AD555,1))</x:f>
      </x:c>
      <x:c r="AD555" s="2" t="n">
        <x:f>IF(OR(AA555="DEFENSIV",AA555="PRUDENT",AA555="MODERAT",AA555="RIDICAT"),1,0)</x:f>
        <x:v>0</x:v>
      </x:c>
      <x:c r="AE555" s="2" t="str">
        <x:f>IF(AD555&lt;&gt;1,"NO",IF(W555="PASS","YES",IF(W555="OOS PENDING","CONDITIONAL","NO")))</x:f>
        <x:v>NO</x:v>
      </x:c>
      <x:c r="AF555" s="2" t="n">
        <x:f>IF(AND(AD555=1,AC555=1,E555="LIVE"),1,0)</x:f>
        <x:v>0</x:v>
      </x:c>
      <x:c r="AG555" s="2" t="str">
        <x:f>IF(AF555&lt;&gt;1,"",'Dashboard'!P65)</x:f>
      </x:c>
      <x:c r="AH555" s="2" t="str">
        <x:f>IF(B555="","",IF(J555&lt;&gt;"PASS",'Motor_Meciuri'!J45,IF('Calibrare_Linii'!U9&lt;&gt;"VALID","Parametri linie invalizi",IF(L555&gt;'Config_v6'!$B$13,"Dispersie peste limita",IF(W555="WATCH","Failure peste limita",IF(AB555&lt;'Config_v6'!$B$16,"P finala sub prag",IF(V555&lt;'Config_v6'!$B$18,"Confidence sub prag",IF(E555="REPLAY","Exemplu retrospectiv; exclus din Top LIVE",IF(Y555="PASS","DEFENSIV validat",IF(W555="OOS PENDING","Eligibil; calibrare linie in monitorizare","Eligibil"))))))))))</x:f>
      </x:c>
      <x:c r="AI555" s="2" t="str">
        <x:f>IF(B555="","",'Calibrare_Linii'!V9)</x:f>
      </x:c>
      <x:c r="AJ555" s="2" t="str">
        <x:f>IF(B555="","",IF(AND('Calibrare_Linii'!T9="VALIDATED",AND('Calibrare_Linii'!H9=C555,ISNUMBER('Calibrare_Linii'!J9),'Calibrare_Linii'!J9&lt;='Input_Meci'!G45)),"DEFENSIVE VALIDATED",IF(AND('Calibrare_Linii'!S9="VALIDATED",AND('Calibrare_Linii'!H9=C555,ISNUMBER('Calibrare_Linii'!J9),'Calibrare_Linii'!J9&lt;='Input_Meci'!G45)),"TAIL VALIDATED","OOS PENDING")))</x:f>
      </x:c>
      <x:c r="AK555" s="2" t="n">
        <x:f>IF(J555&lt;&gt;"PASS",0,'Motor_Meciuri'!BR45)</x:f>
        <x:v>0</x:v>
      </x:c>
      <x:c r="AL555" s="2" t="n">
        <x:f>IF(J555&lt;&gt;"PASS",0,'Motor_Meciuri'!BS45)</x:f>
        <x:v>0</x:v>
      </x:c>
      <x:c r="AM555" s="2" t="n">
        <x:f>IF(J555&lt;&gt;"PASS",0,'Motor_Meciuri'!BT45)</x:f>
        <x:v>0</x:v>
      </x:c>
      <x:c r="AN555" s="2" t="str">
        <x:f>IF(M555="","",MAX(0,'Motor_Meciuri'!BF45-IF(L555&gt;'Config_v6'!$B$12,'Config_v6'!$B$37,IF(L555&gt;'Config_v6'!$B$11,'Config_v6'!$B$36,0))))</x:f>
      </x:c>
    </x:row>
    <x:row r="556" ht="21" customHeight="1">
      <x:c r="A556" s="2" t="n">
        <x:v>40</x:v>
      </x:c>
      <x:c r="B556" s="2" t="str">
        <x:f>IF('Motor_Meciuri'!A45="","",'Motor_Meciuri'!A45)</x:f>
      </x:c>
      <x:c r="C556" s="2" t="str">
        <x:f>IF(B556="","",'Motor_Meciuri'!B45)</x:f>
      </x:c>
      <x:c r="D556" s="2" t="str">
        <x:f>IF(B556="","",'Motor_Meciuri'!D45)</x:f>
      </x:c>
      <x:c r="E556" s="2" t="str">
        <x:f>IF(B556="","",'Motor_Meciuri'!E45)</x:f>
      </x:c>
      <x:c r="F556" s="2" t="str">
        <x:v>O7,5</x:v>
      </x:c>
      <x:c r="G556" s="2" t="str">
        <x:v>OVER</x:v>
      </x:c>
      <x:c r="H556" s="2" t="n">
        <x:v>7</x:v>
      </x:c>
      <x:c r="I556" s="2" t="str">
        <x:f>IF(B556="","",'Motor_Meciuri'!H45)</x:f>
      </x:c>
      <x:c r="J556" s="2" t="str">
        <x:f>IF(B556="","",'Motor_Meciuri'!I45)</x:f>
      </x:c>
      <x:c r="K556" s="11" t="str">
        <x:f>IF(J556&lt;&gt;"PASS","",'Motor_Meciuri'!BD45)</x:f>
      </x:c>
      <x:c r="L556" s="11" t="str">
        <x:f>IF(J556&lt;&gt;"PASS","",'Motor_Meciuri'!AU45)</x:f>
      </x:c>
      <x:c r="M556" s="10" t="str">
        <x:f>IF(NOT(AND(J556="PASS",'Calibrare_Linii'!U10="VALID")),"",1-'Distributie'!AE45)</x:f>
      </x:c>
      <x:c r="N556" s="10" t="str">
        <x:f>IF(M556="","",MAX(0.01,MIN(0.99,0.5+(M556-0.5)*'Motor_Meciuri'!BG45*'Calibrare_Linii'!D10)))</x:f>
      </x:c>
      <x:c r="O556" s="10" t="str">
        <x:f>IF(M556="","",1-M556)</x:f>
      </x:c>
      <x:c r="P556" s="10" t="str">
        <x:f>IF(OR(NOT(AND(J556="PASS",'Calibrare_Linii'!U10="VALID")),AK556=0),""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*('Istoric_Nativ'!$Q$6:$Q$405&lt;=H556))/AK556)</x:f>
      </x:c>
      <x:c r="Q556" s="10" t="str">
        <x:f>IF(OR(NOT(AND(J556="PASS",'Calibrare_Linii'!U10="VALID")),AL556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M45)+((('Istoric_Nativ'!$E$6:$E$405='Input_Meci'!E45)+('Istoric_Nativ'!$F$6:$F$405='Input_Meci'!E45))&gt;0)*('Istoric_Nativ'!$D$6:$D$405&gt;='Motor_Meciuri'!BN45))&gt;0)*('Istoric_Nativ'!$Q$6:$Q$405&lt;=H556))/AL556)</x:f>
      </x:c>
      <x:c r="R556" s="10" t="str">
        <x:f>IF(OR(NOT(AND(J556="PASS",'Calibrare_Linii'!U10="VALID")),AM556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O45)+((('Istoric_Nativ'!$E$6:$E$405='Input_Meci'!E45)+('Istoric_Nativ'!$F$6:$F$405='Input_Meci'!E45))&gt;0)*('Istoric_Nativ'!$D$6:$D$405&gt;='Motor_Meciuri'!BP45))&gt;0)*('Istoric_Nativ'!$Q$6:$Q$405&lt;=H556))/AM556)</x:f>
      </x:c>
      <x:c r="S556" s="10" t="str">
        <x:f>IF(M556="","",MAX(O556,P556,Q556,R556))</x:f>
      </x:c>
      <x:c r="T556" s="11" t="str">
        <x:f>IF(M556="","",MIN(100,S556*100*'Config_v6'!$B$44+MIN(100,L556/'Config_v6'!$B$13*100)*'Config_v6'!$B$45+(100-'Motor_Meciuri'!BF45)*'Config_v6'!$B$46+'Motor_Meciuri'!BH45*100*'Config_v6'!$B$47))</x:f>
      </x:c>
      <x:c r="U556" s="2" t="str">
        <x:f>IF(T556="","",IF(T556&lt;=20,1,IF(T556&lt;=40,2,IF(T556&lt;=60,3,IF(T556&lt;=80,4,5)))))</x:f>
      </x:c>
      <x:c r="V556" s="2" t="str">
        <x:f>IF(M556="","",MAX(0,'Motor_Meciuri'!BF45-IF(W556="OOS PENDING",'Config_v6'!$B$35,0)-IF(L556&gt;'Config_v6'!$B$12,'Config_v6'!$B$37,IF(L556&gt;'Config_v6'!$B$11,'Config_v6'!$B$36,0))))</x:f>
      </x:c>
      <x:c r="W556" s="2" t="str">
        <x:f>IF(B556="","",IF(I556&lt;&gt;"READY","NOT RELEASED",IF(NOT(AND(J556="PASS",'Calibrare_Linii'!U10="VALID")),"INVALID",IF(NOT(AND('Calibrare_Linii'!S10="VALIDATED",AND('Calibrare_Linii'!H10=C556,ISNUMBER('Calibrare_Linii'!J10),'Calibrare_Linii'!J10&lt;='Input_Meci'!G45))),"OOS PENDING",IF(S556&lt;='Calibrare_Linii'!E10,"PASS",IF(S556&lt;='Calibrare_Linii'!F10,"PENALTY","WATCH"))))))</x:f>
      </x:c>
      <x:c r="X556" s="2" t="str">
        <x:f>IF(M556="","",IF(AND(AND(J556="PASS",'Calibrare_Linii'!U10="VALID"),'Motor_Meciuri'!K45=12,'Motor_Meciuri'!L45=12,'Motor_Meciuri'!M45="NO",'Motor_Meciuri'!BL45='Motor_Meciuri'!C45,AB556&gt;='Config_v6'!$B$50,AN556&gt;='Config_v6'!$B$51,T556&lt;='Config_v6'!$B$52,L556&lt;='Config_v6'!$B$53,ISNUMBER('Calibrare_Linii'!E10),S556&lt;='Calibrare_Linii'!E10,SUM(AK556:AM556)&gt;0),"CANDIDATE","NO"))</x:f>
      </x:c>
      <x:c r="Y556" s="2" t="str">
        <x:f>IF(B556="","",IF(I556&lt;&gt;"READY","NOT RELEASED",IF(AND(X556="CANDIDATE",V556&gt;='Config_v6'!$B$51,W556="PASS",'Calibrare_Linii'!T10="VALIDATED",AND('Calibrare_Linii'!H10=C556,ISNUMBER('Calibrare_Linii'!J10),'Calibrare_Linii'!J10&lt;='Input_Meci'!G45)),"PASS",IF(X556="CANDIDATE","OOS PENDING","FAIL"))))</x:f>
      </x:c>
      <x:c r="Z556" s="2" t="str">
        <x:f>IF(B556="","",IF(I556&lt;&gt;"READY","",IF(OR(NOT(AND(J556="PASS",'Calibrare_Linii'!U10="VALID")),L556&gt;'Config_v6'!$B$13,W556="WATCH"),5,IF(Y556="PASS",1,MIN(5,MAX('Config_v6'!$B$42,U556)+IF(W556="PENALTY",1,0))))))</x:f>
      </x:c>
      <x:c r="AA556" s="2" t="str">
        <x:f>IF(B556="","",IF(I556&lt;&gt;"READY","NOT RELEASED",IF(Z556=5,"NO BET",IF(OR(AB556&lt;'Config_v6'!$B$16,V556&lt;'Config_v6'!$B$18),"WATCH",IF(Z556=1,"DEFENSIV",IF(Z556=2,"PRUDENT",IF(Z556=3,"MODERAT","RIDICAT")))))))</x:f>
      </x:c>
      <x:c r="AB556" s="10" t="str">
        <x:f>IF(N556="","",MIN(N556,1-S556))</x:f>
      </x:c>
      <x:c r="AC556" s="2" t="str">
        <x:f>IF(AD556&lt;&gt;1,"",COUNTIFS($Z$552:$Z$565,"&lt;"&amp;Z556,$AD$552:$AD$565,1)+COUNTIFS($Z$552:$Z$565,Z556,$AB$552:$AB$565,"&gt;"&amp;AB556,$AD$552:$AD$565,1)+COUNTIFS($Z$552:$Z$565,Z556,$AB$552:$AB$565,AB556,$V$552:$V$565,"&gt;"&amp;V556,$AD$552:$AD$565,1)+COUNTIFS($Z$552:Z556,Z556,$AB$552:AB556,AB556,$V$552:V556,V556,$AD$552:AD556,1))</x:f>
      </x:c>
      <x:c r="AD556" s="2" t="n">
        <x:f>IF(OR(AA556="DEFENSIV",AA556="PRUDENT",AA556="MODERAT",AA556="RIDICAT"),1,0)</x:f>
        <x:v>0</x:v>
      </x:c>
      <x:c r="AE556" s="2" t="str">
        <x:f>IF(AD556&lt;&gt;1,"NO",IF(W556="PASS","YES",IF(W556="OOS PENDING","CONDITIONAL","NO")))</x:f>
        <x:v>NO</x:v>
      </x:c>
      <x:c r="AF556" s="2" t="n">
        <x:f>IF(AND(AD556=1,AC556=1,E556="LIVE"),1,0)</x:f>
        <x:v>0</x:v>
      </x:c>
      <x:c r="AG556" s="2" t="str">
        <x:f>IF(AF556&lt;&gt;1,"",'Dashboard'!P65)</x:f>
      </x:c>
      <x:c r="AH556" s="2" t="str">
        <x:f>IF(B556="","",IF(J556&lt;&gt;"PASS",'Motor_Meciuri'!J45,IF('Calibrare_Linii'!U10&lt;&gt;"VALID","Parametri linie invalizi",IF(L556&gt;'Config_v6'!$B$13,"Dispersie peste limita",IF(W556="WATCH","Failure peste limita",IF(AB556&lt;'Config_v6'!$B$16,"P finala sub prag",IF(V556&lt;'Config_v6'!$B$18,"Confidence sub prag",IF(E556="REPLAY","Exemplu retrospectiv; exclus din Top LIVE",IF(Y556="PASS","DEFENSIV validat",IF(W556="OOS PENDING","Eligibil; calibrare linie in monitorizare","Eligibil"))))))))))</x:f>
      </x:c>
      <x:c r="AI556" s="2" t="str">
        <x:f>IF(B556="","",'Calibrare_Linii'!V10)</x:f>
      </x:c>
      <x:c r="AJ556" s="2" t="str">
        <x:f>IF(B556="","",IF(AND('Calibrare_Linii'!T10="VALIDATED",AND('Calibrare_Linii'!H10=C556,ISNUMBER('Calibrare_Linii'!J10),'Calibrare_Linii'!J10&lt;='Input_Meci'!G45)),"DEFENSIVE VALIDATED",IF(AND('Calibrare_Linii'!S10="VALIDATED",AND('Calibrare_Linii'!H10=C556,ISNUMBER('Calibrare_Linii'!J10),'Calibrare_Linii'!J10&lt;='Input_Meci'!G45)),"TAIL VALIDATED","OOS PENDING")))</x:f>
      </x:c>
      <x:c r="AK556" s="2" t="n">
        <x:f>IF(J556&lt;&gt;"PASS",0,'Motor_Meciuri'!BR45)</x:f>
        <x:v>0</x:v>
      </x:c>
      <x:c r="AL556" s="2" t="n">
        <x:f>IF(J556&lt;&gt;"PASS",0,'Motor_Meciuri'!BS45)</x:f>
        <x:v>0</x:v>
      </x:c>
      <x:c r="AM556" s="2" t="n">
        <x:f>IF(J556&lt;&gt;"PASS",0,'Motor_Meciuri'!BT45)</x:f>
        <x:v>0</x:v>
      </x:c>
      <x:c r="AN556" s="2" t="str">
        <x:f>IF(M556="","",MAX(0,'Motor_Meciuri'!BF45-IF(L556&gt;'Config_v6'!$B$12,'Config_v6'!$B$37,IF(L556&gt;'Config_v6'!$B$11,'Config_v6'!$B$36,0))))</x:f>
      </x:c>
    </x:row>
    <x:row r="557" ht="21" customHeight="1">
      <x:c r="A557" s="2" t="n">
        <x:v>40</x:v>
      </x:c>
      <x:c r="B557" s="2" t="str">
        <x:f>IF('Motor_Meciuri'!A45="","",'Motor_Meciuri'!A45)</x:f>
      </x:c>
      <x:c r="C557" s="2" t="str">
        <x:f>IF(B557="","",'Motor_Meciuri'!B45)</x:f>
      </x:c>
      <x:c r="D557" s="2" t="str">
        <x:f>IF(B557="","",'Motor_Meciuri'!D45)</x:f>
      </x:c>
      <x:c r="E557" s="2" t="str">
        <x:f>IF(B557="","",'Motor_Meciuri'!E45)</x:f>
      </x:c>
      <x:c r="F557" s="2" t="str">
        <x:v>O8,5</x:v>
      </x:c>
      <x:c r="G557" s="2" t="str">
        <x:v>OVER</x:v>
      </x:c>
      <x:c r="H557" s="2" t="n">
        <x:v>8</x:v>
      </x:c>
      <x:c r="I557" s="2" t="str">
        <x:f>IF(B557="","",'Motor_Meciuri'!H45)</x:f>
      </x:c>
      <x:c r="J557" s="2" t="str">
        <x:f>IF(B557="","",'Motor_Meciuri'!I45)</x:f>
      </x:c>
      <x:c r="K557" s="11" t="str">
        <x:f>IF(J557&lt;&gt;"PASS","",'Motor_Meciuri'!BD45)</x:f>
      </x:c>
      <x:c r="L557" s="11" t="str">
        <x:f>IF(J557&lt;&gt;"PASS","",'Motor_Meciuri'!AU45)</x:f>
      </x:c>
      <x:c r="M557" s="10" t="str">
        <x:f>IF(NOT(AND(J557="PASS",'Calibrare_Linii'!U11="VALID")),"",1-'Distributie'!AF45)</x:f>
      </x:c>
      <x:c r="N557" s="10" t="str">
        <x:f>IF(M557="","",MAX(0.01,MIN(0.99,0.5+(M557-0.5)*'Motor_Meciuri'!BG45*'Calibrare_Linii'!D11)))</x:f>
      </x:c>
      <x:c r="O557" s="10" t="str">
        <x:f>IF(M557="","",1-M557)</x:f>
      </x:c>
      <x:c r="P557" s="10" t="str">
        <x:f>IF(OR(NOT(AND(J557="PASS",'Calibrare_Linii'!U11="VALID")),AK557=0),""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*('Istoric_Nativ'!$Q$6:$Q$405&lt;=H557))/AK557)</x:f>
      </x:c>
      <x:c r="Q557" s="10" t="str">
        <x:f>IF(OR(NOT(AND(J557="PASS",'Calibrare_Linii'!U11="VALID")),AL557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M45)+((('Istoric_Nativ'!$E$6:$E$405='Input_Meci'!E45)+('Istoric_Nativ'!$F$6:$F$405='Input_Meci'!E45))&gt;0)*('Istoric_Nativ'!$D$6:$D$405&gt;='Motor_Meciuri'!BN45))&gt;0)*('Istoric_Nativ'!$Q$6:$Q$405&lt;=H557))/AL557)</x:f>
      </x:c>
      <x:c r="R557" s="10" t="str">
        <x:f>IF(OR(NOT(AND(J557="PASS",'Calibrare_Linii'!U11="VALID")),AM557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O45)+((('Istoric_Nativ'!$E$6:$E$405='Input_Meci'!E45)+('Istoric_Nativ'!$F$6:$F$405='Input_Meci'!E45))&gt;0)*('Istoric_Nativ'!$D$6:$D$405&gt;='Motor_Meciuri'!BP45))&gt;0)*('Istoric_Nativ'!$Q$6:$Q$405&lt;=H557))/AM557)</x:f>
      </x:c>
      <x:c r="S557" s="10" t="str">
        <x:f>IF(M557="","",MAX(O557,P557,Q557,R557))</x:f>
      </x:c>
      <x:c r="T557" s="11" t="str">
        <x:f>IF(M557="","",MIN(100,S557*100*'Config_v6'!$B$44+MIN(100,L557/'Config_v6'!$B$13*100)*'Config_v6'!$B$45+(100-'Motor_Meciuri'!BF45)*'Config_v6'!$B$46+'Motor_Meciuri'!BH45*100*'Config_v6'!$B$47))</x:f>
      </x:c>
      <x:c r="U557" s="2" t="str">
        <x:f>IF(T557="","",IF(T557&lt;=20,1,IF(T557&lt;=40,2,IF(T557&lt;=60,3,IF(T557&lt;=80,4,5)))))</x:f>
      </x:c>
      <x:c r="V557" s="2" t="str">
        <x:f>IF(M557="","",MAX(0,'Motor_Meciuri'!BF45-IF(W557="OOS PENDING",'Config_v6'!$B$35,0)-IF(L557&gt;'Config_v6'!$B$12,'Config_v6'!$B$37,IF(L557&gt;'Config_v6'!$B$11,'Config_v6'!$B$36,0))))</x:f>
      </x:c>
      <x:c r="W557" s="2" t="str">
        <x:f>IF(B557="","",IF(I557&lt;&gt;"READY","NOT RELEASED",IF(NOT(AND(J557="PASS",'Calibrare_Linii'!U11="VALID")),"INVALID",IF(NOT(AND('Calibrare_Linii'!S11="VALIDATED",AND('Calibrare_Linii'!H11=C557,ISNUMBER('Calibrare_Linii'!J11),'Calibrare_Linii'!J11&lt;='Input_Meci'!G45))),"OOS PENDING",IF(S557&lt;='Calibrare_Linii'!E11,"PASS",IF(S557&lt;='Calibrare_Linii'!F11,"PENALTY","WATCH"))))))</x:f>
      </x:c>
      <x:c r="X557" s="2" t="str">
        <x:f>IF(M557="","",IF(AND(AND(J557="PASS",'Calibrare_Linii'!U11="VALID"),'Motor_Meciuri'!K45=12,'Motor_Meciuri'!L45=12,'Motor_Meciuri'!M45="NO",'Motor_Meciuri'!BL45='Motor_Meciuri'!C45,AB557&gt;='Config_v6'!$B$50,AN557&gt;='Config_v6'!$B$51,T557&lt;='Config_v6'!$B$52,L557&lt;='Config_v6'!$B$53,ISNUMBER('Calibrare_Linii'!E11),S557&lt;='Calibrare_Linii'!E11,SUM(AK557:AM557)&gt;0),"CANDIDATE","NO"))</x:f>
      </x:c>
      <x:c r="Y557" s="2" t="str">
        <x:f>IF(B557="","",IF(I557&lt;&gt;"READY","NOT RELEASED",IF(AND(X557="CANDIDATE",V557&gt;='Config_v6'!$B$51,W557="PASS",'Calibrare_Linii'!T11="VALIDATED",AND('Calibrare_Linii'!H11=C557,ISNUMBER('Calibrare_Linii'!J11),'Calibrare_Linii'!J11&lt;='Input_Meci'!G45)),"PASS",IF(X557="CANDIDATE","OOS PENDING","FAIL"))))</x:f>
      </x:c>
      <x:c r="Z557" s="2" t="str">
        <x:f>IF(B557="","",IF(I557&lt;&gt;"READY","",IF(OR(NOT(AND(J557="PASS",'Calibrare_Linii'!U11="VALID")),L557&gt;'Config_v6'!$B$13,W557="WATCH"),5,IF(Y557="PASS",1,MIN(5,MAX('Config_v6'!$B$42,U557)+IF(W557="PENALTY",1,0))))))</x:f>
      </x:c>
      <x:c r="AA557" s="2" t="str">
        <x:f>IF(B557="","",IF(I557&lt;&gt;"READY","NOT RELEASED",IF(Z557=5,"NO BET",IF(OR(AB557&lt;'Config_v6'!$B$16,V557&lt;'Config_v6'!$B$18),"WATCH",IF(Z557=1,"DEFENSIV",IF(Z557=2,"PRUDENT",IF(Z557=3,"MODERAT","RIDICAT")))))))</x:f>
      </x:c>
      <x:c r="AB557" s="10" t="str">
        <x:f>IF(N557="","",MIN(N557,1-S557))</x:f>
      </x:c>
      <x:c r="AC557" s="2" t="str">
        <x:f>IF(AD557&lt;&gt;1,"",COUNTIFS($Z$552:$Z$565,"&lt;"&amp;Z557,$AD$552:$AD$565,1)+COUNTIFS($Z$552:$Z$565,Z557,$AB$552:$AB$565,"&gt;"&amp;AB557,$AD$552:$AD$565,1)+COUNTIFS($Z$552:$Z$565,Z557,$AB$552:$AB$565,AB557,$V$552:$V$565,"&gt;"&amp;V557,$AD$552:$AD$565,1)+COUNTIFS($Z$552:Z557,Z557,$AB$552:AB557,AB557,$V$552:V557,V557,$AD$552:AD557,1))</x:f>
      </x:c>
      <x:c r="AD557" s="2" t="n">
        <x:f>IF(OR(AA557="DEFENSIV",AA557="PRUDENT",AA557="MODERAT",AA557="RIDICAT"),1,0)</x:f>
        <x:v>0</x:v>
      </x:c>
      <x:c r="AE557" s="2" t="str">
        <x:f>IF(AD557&lt;&gt;1,"NO",IF(W557="PASS","YES",IF(W557="OOS PENDING","CONDITIONAL","NO")))</x:f>
        <x:v>NO</x:v>
      </x:c>
      <x:c r="AF557" s="2" t="n">
        <x:f>IF(AND(AD557=1,AC557=1,E557="LIVE"),1,0)</x:f>
        <x:v>0</x:v>
      </x:c>
      <x:c r="AG557" s="2" t="str">
        <x:f>IF(AF557&lt;&gt;1,"",'Dashboard'!P65)</x:f>
      </x:c>
      <x:c r="AH557" s="2" t="str">
        <x:f>IF(B557="","",IF(J557&lt;&gt;"PASS",'Motor_Meciuri'!J45,IF('Calibrare_Linii'!U11&lt;&gt;"VALID","Parametri linie invalizi",IF(L557&gt;'Config_v6'!$B$13,"Dispersie peste limita",IF(W557="WATCH","Failure peste limita",IF(AB557&lt;'Config_v6'!$B$16,"P finala sub prag",IF(V557&lt;'Config_v6'!$B$18,"Confidence sub prag",IF(E557="REPLAY","Exemplu retrospectiv; exclus din Top LIVE",IF(Y557="PASS","DEFENSIV validat",IF(W557="OOS PENDING","Eligibil; calibrare linie in monitorizare","Eligibil"))))))))))</x:f>
      </x:c>
      <x:c r="AI557" s="2" t="str">
        <x:f>IF(B557="","",'Calibrare_Linii'!V11)</x:f>
      </x:c>
      <x:c r="AJ557" s="2" t="str">
        <x:f>IF(B557="","",IF(AND('Calibrare_Linii'!T11="VALIDATED",AND('Calibrare_Linii'!H11=C557,ISNUMBER('Calibrare_Linii'!J11),'Calibrare_Linii'!J11&lt;='Input_Meci'!G45)),"DEFENSIVE VALIDATED",IF(AND('Calibrare_Linii'!S11="VALIDATED",AND('Calibrare_Linii'!H11=C557,ISNUMBER('Calibrare_Linii'!J11),'Calibrare_Linii'!J11&lt;='Input_Meci'!G45)),"TAIL VALIDATED","OOS PENDING")))</x:f>
      </x:c>
      <x:c r="AK557" s="2" t="n">
        <x:f>IF(J557&lt;&gt;"PASS",0,'Motor_Meciuri'!BR45)</x:f>
        <x:v>0</x:v>
      </x:c>
      <x:c r="AL557" s="2" t="n">
        <x:f>IF(J557&lt;&gt;"PASS",0,'Motor_Meciuri'!BS45)</x:f>
        <x:v>0</x:v>
      </x:c>
      <x:c r="AM557" s="2" t="n">
        <x:f>IF(J557&lt;&gt;"PASS",0,'Motor_Meciuri'!BT45)</x:f>
        <x:v>0</x:v>
      </x:c>
      <x:c r="AN557" s="2" t="str">
        <x:f>IF(M557="","",MAX(0,'Motor_Meciuri'!BF45-IF(L557&gt;'Config_v6'!$B$12,'Config_v6'!$B$37,IF(L557&gt;'Config_v6'!$B$11,'Config_v6'!$B$36,0))))</x:f>
      </x:c>
    </x:row>
    <x:row r="558" ht="21" customHeight="1">
      <x:c r="A558" s="2" t="n">
        <x:v>40</x:v>
      </x:c>
      <x:c r="B558" s="2" t="str">
        <x:f>IF('Motor_Meciuri'!A45="","",'Motor_Meciuri'!A45)</x:f>
      </x:c>
      <x:c r="C558" s="2" t="str">
        <x:f>IF(B558="","",'Motor_Meciuri'!B45)</x:f>
      </x:c>
      <x:c r="D558" s="2" t="str">
        <x:f>IF(B558="","",'Motor_Meciuri'!D45)</x:f>
      </x:c>
      <x:c r="E558" s="2" t="str">
        <x:f>IF(B558="","",'Motor_Meciuri'!E45)</x:f>
      </x:c>
      <x:c r="F558" s="2" t="str">
        <x:v>U10,5</x:v>
      </x:c>
      <x:c r="G558" s="2" t="str">
        <x:v>UNDER</x:v>
      </x:c>
      <x:c r="H558" s="2" t="n">
        <x:v>10</x:v>
      </x:c>
      <x:c r="I558" s="2" t="str">
        <x:f>IF(B558="","",'Motor_Meciuri'!H45)</x:f>
      </x:c>
      <x:c r="J558" s="2" t="str">
        <x:f>IF(B558="","",'Motor_Meciuri'!I45)</x:f>
      </x:c>
      <x:c r="K558" s="11" t="str">
        <x:f>IF(J558&lt;&gt;"PASS","",'Motor_Meciuri'!BD45)</x:f>
      </x:c>
      <x:c r="L558" s="11" t="str">
        <x:f>IF(J558&lt;&gt;"PASS","",'Motor_Meciuri'!AU45)</x:f>
      </x:c>
      <x:c r="M558" s="10" t="str">
        <x:f>IF(NOT(AND(J558="PASS",'Calibrare_Linii'!U12="VALID")),"",'Distributie'!AH45)</x:f>
      </x:c>
      <x:c r="N558" s="10" t="str">
        <x:f>IF(M558="","",MAX(0.01,MIN(0.99,0.5+(M558-0.5)*'Motor_Meciuri'!BG45*'Calibrare_Linii'!D12)))</x:f>
      </x:c>
      <x:c r="O558" s="10" t="str">
        <x:f>IF(M558="","",1-M558)</x:f>
      </x:c>
      <x:c r="P558" s="10" t="str">
        <x:f>IF(OR(NOT(AND(J558="PASS",'Calibrare_Linii'!U12="VALID")),AK558=0),""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*('Istoric_Nativ'!$Q$6:$Q$405&gt;H558))/AK558)</x:f>
      </x:c>
      <x:c r="Q558" s="10" t="str">
        <x:f>IF(OR(NOT(AND(J558="PASS",'Calibrare_Linii'!U12="VALID")),AL558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M45)+((('Istoric_Nativ'!$E$6:$E$405='Input_Meci'!E45)+('Istoric_Nativ'!$F$6:$F$405='Input_Meci'!E45))&gt;0)*('Istoric_Nativ'!$D$6:$D$405&gt;='Motor_Meciuri'!BN45))&gt;0)*('Istoric_Nativ'!$Q$6:$Q$405&gt;H558))/AL558)</x:f>
      </x:c>
      <x:c r="R558" s="10" t="str">
        <x:f>IF(OR(NOT(AND(J558="PASS",'Calibrare_Linii'!U12="VALID")),AM558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O45)+((('Istoric_Nativ'!$E$6:$E$405='Input_Meci'!E45)+('Istoric_Nativ'!$F$6:$F$405='Input_Meci'!E45))&gt;0)*('Istoric_Nativ'!$D$6:$D$405&gt;='Motor_Meciuri'!BP45))&gt;0)*('Istoric_Nativ'!$Q$6:$Q$405&gt;H558))/AM558)</x:f>
      </x:c>
      <x:c r="S558" s="10" t="str">
        <x:f>IF(M558="","",MAX(O558,P558,Q558,R558))</x:f>
      </x:c>
      <x:c r="T558" s="11" t="str">
        <x:f>IF(M558="","",MIN(100,S558*100*'Config_v6'!$B$44+MIN(100,L558/'Config_v6'!$B$13*100)*'Config_v6'!$B$45+(100-'Motor_Meciuri'!BF45)*'Config_v6'!$B$46+'Motor_Meciuri'!BH45*100*'Config_v6'!$B$47))</x:f>
      </x:c>
      <x:c r="U558" s="2" t="str">
        <x:f>IF(T558="","",IF(T558&lt;=20,1,IF(T558&lt;=40,2,IF(T558&lt;=60,3,IF(T558&lt;=80,4,5)))))</x:f>
      </x:c>
      <x:c r="V558" s="2" t="str">
        <x:f>IF(M558="","",MAX(0,'Motor_Meciuri'!BF45-IF(W558="OOS PENDING",'Config_v6'!$B$35,0)-IF(L558&gt;'Config_v6'!$B$12,'Config_v6'!$B$37,IF(L558&gt;'Config_v6'!$B$11,'Config_v6'!$B$36,0))))</x:f>
      </x:c>
      <x:c r="W558" s="2" t="str">
        <x:f>IF(B558="","",IF(I558&lt;&gt;"READY","NOT RELEASED",IF(NOT(AND(J558="PASS",'Calibrare_Linii'!U12="VALID")),"INVALID",IF(NOT(AND('Calibrare_Linii'!S12="VALIDATED",AND('Calibrare_Linii'!H12=C558,ISNUMBER('Calibrare_Linii'!J12),'Calibrare_Linii'!J12&lt;='Input_Meci'!G45))),"OOS PENDING",IF(S558&lt;='Calibrare_Linii'!E12,"PASS",IF(S558&lt;='Calibrare_Linii'!F12,"PENALTY","WATCH"))))))</x:f>
      </x:c>
      <x:c r="X558" s="2" t="str">
        <x:f>IF(M558="","",IF(AND(AND(J558="PASS",'Calibrare_Linii'!U12="VALID"),'Motor_Meciuri'!K45=12,'Motor_Meciuri'!L45=12,'Motor_Meciuri'!M45="NO",'Motor_Meciuri'!BL45='Motor_Meciuri'!C45,AB558&gt;='Config_v6'!$B$50,AN558&gt;='Config_v6'!$B$51,T558&lt;='Config_v6'!$B$52,L558&lt;='Config_v6'!$B$53,ISNUMBER('Calibrare_Linii'!E12),S558&lt;='Calibrare_Linii'!E12,SUM(AK558:AM558)&gt;0),"CANDIDATE","NO"))</x:f>
      </x:c>
      <x:c r="Y558" s="2" t="str">
        <x:f>IF(B558="","",IF(I558&lt;&gt;"READY","NOT RELEASED",IF(AND(X558="CANDIDATE",V558&gt;='Config_v6'!$B$51,W558="PASS",'Calibrare_Linii'!T12="VALIDATED",AND('Calibrare_Linii'!H12=C558,ISNUMBER('Calibrare_Linii'!J12),'Calibrare_Linii'!J12&lt;='Input_Meci'!G45)),"PASS",IF(X558="CANDIDATE","OOS PENDING","FAIL"))))</x:f>
      </x:c>
      <x:c r="Z558" s="2" t="str">
        <x:f>IF(B558="","",IF(I558&lt;&gt;"READY","",IF(OR(NOT(AND(J558="PASS",'Calibrare_Linii'!U12="VALID")),L558&gt;'Config_v6'!$B$13,W558="WATCH"),5,IF(Y558="PASS",1,MIN(5,MAX('Config_v6'!$B$42,U558)+IF(W558="PENALTY",1,0))))))</x:f>
      </x:c>
      <x:c r="AA558" s="2" t="str">
        <x:f>IF(B558="","",IF(I558&lt;&gt;"READY","NOT RELEASED",IF(Z558=5,"NO BET",IF(OR(AB558&lt;'Config_v6'!$B$16,V558&lt;'Config_v6'!$B$18),"WATCH",IF(Z558=1,"DEFENSIV",IF(Z558=2,"PRUDENT",IF(Z558=3,"MODERAT","RIDICAT")))))))</x:f>
      </x:c>
      <x:c r="AB558" s="10" t="str">
        <x:f>IF(N558="","",MIN(N558,1-S558))</x:f>
      </x:c>
      <x:c r="AC558" s="2" t="str">
        <x:f>IF(AD558&lt;&gt;1,"",COUNTIFS($Z$552:$Z$565,"&lt;"&amp;Z558,$AD$552:$AD$565,1)+COUNTIFS($Z$552:$Z$565,Z558,$AB$552:$AB$565,"&gt;"&amp;AB558,$AD$552:$AD$565,1)+COUNTIFS($Z$552:$Z$565,Z558,$AB$552:$AB$565,AB558,$V$552:$V$565,"&gt;"&amp;V558,$AD$552:$AD$565,1)+COUNTIFS($Z$552:Z558,Z558,$AB$552:AB558,AB558,$V$552:V558,V558,$AD$552:AD558,1))</x:f>
      </x:c>
      <x:c r="AD558" s="2" t="n">
        <x:f>IF(OR(AA558="DEFENSIV",AA558="PRUDENT",AA558="MODERAT",AA558="RIDICAT"),1,0)</x:f>
        <x:v>0</x:v>
      </x:c>
      <x:c r="AE558" s="2" t="str">
        <x:f>IF(AD558&lt;&gt;1,"NO",IF(W558="PASS","YES",IF(W558="OOS PENDING","CONDITIONAL","NO")))</x:f>
        <x:v>NO</x:v>
      </x:c>
      <x:c r="AF558" s="2" t="n">
        <x:f>IF(AND(AD558=1,AC558=1,E558="LIVE"),1,0)</x:f>
        <x:v>0</x:v>
      </x:c>
      <x:c r="AG558" s="2" t="str">
        <x:f>IF(AF558&lt;&gt;1,"",'Dashboard'!P65)</x:f>
      </x:c>
      <x:c r="AH558" s="2" t="str">
        <x:f>IF(B558="","",IF(J558&lt;&gt;"PASS",'Motor_Meciuri'!J45,IF('Calibrare_Linii'!U12&lt;&gt;"VALID","Parametri linie invalizi",IF(L558&gt;'Config_v6'!$B$13,"Dispersie peste limita",IF(W558="WATCH","Failure peste limita",IF(AB558&lt;'Config_v6'!$B$16,"P finala sub prag",IF(V558&lt;'Config_v6'!$B$18,"Confidence sub prag",IF(E558="REPLAY","Exemplu retrospectiv; exclus din Top LIVE",IF(Y558="PASS","DEFENSIV validat",IF(W558="OOS PENDING","Eligibil; calibrare linie in monitorizare","Eligibil"))))))))))</x:f>
      </x:c>
      <x:c r="AI558" s="2" t="str">
        <x:f>IF(B558="","",'Calibrare_Linii'!V12)</x:f>
      </x:c>
      <x:c r="AJ558" s="2" t="str">
        <x:f>IF(B558="","",IF(AND('Calibrare_Linii'!T12="VALIDATED",AND('Calibrare_Linii'!H12=C558,ISNUMBER('Calibrare_Linii'!J12),'Calibrare_Linii'!J12&lt;='Input_Meci'!G45)),"DEFENSIVE VALIDATED",IF(AND('Calibrare_Linii'!S12="VALIDATED",AND('Calibrare_Linii'!H12=C558,ISNUMBER('Calibrare_Linii'!J12),'Calibrare_Linii'!J12&lt;='Input_Meci'!G45)),"TAIL VALIDATED","OOS PENDING")))</x:f>
      </x:c>
      <x:c r="AK558" s="2" t="n">
        <x:f>IF(J558&lt;&gt;"PASS",0,'Motor_Meciuri'!BR45)</x:f>
        <x:v>0</x:v>
      </x:c>
      <x:c r="AL558" s="2" t="n">
        <x:f>IF(J558&lt;&gt;"PASS",0,'Motor_Meciuri'!BS45)</x:f>
        <x:v>0</x:v>
      </x:c>
      <x:c r="AM558" s="2" t="n">
        <x:f>IF(J558&lt;&gt;"PASS",0,'Motor_Meciuri'!BT45)</x:f>
        <x:v>0</x:v>
      </x:c>
      <x:c r="AN558" s="2" t="str">
        <x:f>IF(M558="","",MAX(0,'Motor_Meciuri'!BF45-IF(L558&gt;'Config_v6'!$B$12,'Config_v6'!$B$37,IF(L558&gt;'Config_v6'!$B$11,'Config_v6'!$B$36,0))))</x:f>
      </x:c>
    </x:row>
    <x:row r="559" ht="21" customHeight="1">
      <x:c r="A559" s="2" t="n">
        <x:v>40</x:v>
      </x:c>
      <x:c r="B559" s="2" t="str">
        <x:f>IF('Motor_Meciuri'!A45="","",'Motor_Meciuri'!A45)</x:f>
      </x:c>
      <x:c r="C559" s="2" t="str">
        <x:f>IF(B559="","",'Motor_Meciuri'!B45)</x:f>
      </x:c>
      <x:c r="D559" s="2" t="str">
        <x:f>IF(B559="","",'Motor_Meciuri'!D45)</x:f>
      </x:c>
      <x:c r="E559" s="2" t="str">
        <x:f>IF(B559="","",'Motor_Meciuri'!E45)</x:f>
      </x:c>
      <x:c r="F559" s="2" t="str">
        <x:v>U11,5</x:v>
      </x:c>
      <x:c r="G559" s="2" t="str">
        <x:v>UNDER</x:v>
      </x:c>
      <x:c r="H559" s="2" t="n">
        <x:v>11</x:v>
      </x:c>
      <x:c r="I559" s="2" t="str">
        <x:f>IF(B559="","",'Motor_Meciuri'!H45)</x:f>
      </x:c>
      <x:c r="J559" s="2" t="str">
        <x:f>IF(B559="","",'Motor_Meciuri'!I45)</x:f>
      </x:c>
      <x:c r="K559" s="11" t="str">
        <x:f>IF(J559&lt;&gt;"PASS","",'Motor_Meciuri'!BD45)</x:f>
      </x:c>
      <x:c r="L559" s="11" t="str">
        <x:f>IF(J559&lt;&gt;"PASS","",'Motor_Meciuri'!AU45)</x:f>
      </x:c>
      <x:c r="M559" s="10" t="str">
        <x:f>IF(NOT(AND(J559="PASS",'Calibrare_Linii'!U13="VALID")),"",'Distributie'!AI45)</x:f>
      </x:c>
      <x:c r="N559" s="10" t="str">
        <x:f>IF(M559="","",MAX(0.01,MIN(0.99,0.5+(M559-0.5)*'Motor_Meciuri'!BG45*'Calibrare_Linii'!D13)))</x:f>
      </x:c>
      <x:c r="O559" s="10" t="str">
        <x:f>IF(M559="","",1-M559)</x:f>
      </x:c>
      <x:c r="P559" s="10" t="str">
        <x:f>IF(OR(NOT(AND(J559="PASS",'Calibrare_Linii'!U13="VALID")),AK559=0),""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*('Istoric_Nativ'!$Q$6:$Q$405&gt;H559))/AK559)</x:f>
      </x:c>
      <x:c r="Q559" s="10" t="str">
        <x:f>IF(OR(NOT(AND(J559="PASS",'Calibrare_Linii'!U13="VALID")),AL559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M45)+((('Istoric_Nativ'!$E$6:$E$405='Input_Meci'!E45)+('Istoric_Nativ'!$F$6:$F$405='Input_Meci'!E45))&gt;0)*('Istoric_Nativ'!$D$6:$D$405&gt;='Motor_Meciuri'!BN45))&gt;0)*('Istoric_Nativ'!$Q$6:$Q$405&gt;H559))/AL559)</x:f>
      </x:c>
      <x:c r="R559" s="10" t="str">
        <x:f>IF(OR(NOT(AND(J559="PASS",'Calibrare_Linii'!U13="VALID")),AM559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O45)+((('Istoric_Nativ'!$E$6:$E$405='Input_Meci'!E45)+('Istoric_Nativ'!$F$6:$F$405='Input_Meci'!E45))&gt;0)*('Istoric_Nativ'!$D$6:$D$405&gt;='Motor_Meciuri'!BP45))&gt;0)*('Istoric_Nativ'!$Q$6:$Q$405&gt;H559))/AM559)</x:f>
      </x:c>
      <x:c r="S559" s="10" t="str">
        <x:f>IF(M559="","",MAX(O559,P559,Q559,R559))</x:f>
      </x:c>
      <x:c r="T559" s="11" t="str">
        <x:f>IF(M559="","",MIN(100,S559*100*'Config_v6'!$B$44+MIN(100,L559/'Config_v6'!$B$13*100)*'Config_v6'!$B$45+(100-'Motor_Meciuri'!BF45)*'Config_v6'!$B$46+'Motor_Meciuri'!BH45*100*'Config_v6'!$B$47))</x:f>
      </x:c>
      <x:c r="U559" s="2" t="str">
        <x:f>IF(T559="","",IF(T559&lt;=20,1,IF(T559&lt;=40,2,IF(T559&lt;=60,3,IF(T559&lt;=80,4,5)))))</x:f>
      </x:c>
      <x:c r="V559" s="2" t="str">
        <x:f>IF(M559="","",MAX(0,'Motor_Meciuri'!BF45-IF(W559="OOS PENDING",'Config_v6'!$B$35,0)-IF(L559&gt;'Config_v6'!$B$12,'Config_v6'!$B$37,IF(L559&gt;'Config_v6'!$B$11,'Config_v6'!$B$36,0))))</x:f>
      </x:c>
      <x:c r="W559" s="2" t="str">
        <x:f>IF(B559="","",IF(I559&lt;&gt;"READY","NOT RELEASED",IF(NOT(AND(J559="PASS",'Calibrare_Linii'!U13="VALID")),"INVALID",IF(NOT(AND('Calibrare_Linii'!S13="VALIDATED",AND('Calibrare_Linii'!H13=C559,ISNUMBER('Calibrare_Linii'!J13),'Calibrare_Linii'!J13&lt;='Input_Meci'!G45))),"OOS PENDING",IF(S559&lt;='Calibrare_Linii'!E13,"PASS",IF(S559&lt;='Calibrare_Linii'!F13,"PENALTY","WATCH"))))))</x:f>
      </x:c>
      <x:c r="X559" s="2" t="str">
        <x:f>IF(M559="","",IF(AND(AND(J559="PASS",'Calibrare_Linii'!U13="VALID"),'Motor_Meciuri'!K45=12,'Motor_Meciuri'!L45=12,'Motor_Meciuri'!M45="NO",'Motor_Meciuri'!BL45='Motor_Meciuri'!C45,AB559&gt;='Config_v6'!$B$50,AN559&gt;='Config_v6'!$B$51,T559&lt;='Config_v6'!$B$52,L559&lt;='Config_v6'!$B$53,ISNUMBER('Calibrare_Linii'!E13),S559&lt;='Calibrare_Linii'!E13,SUM(AK559:AM559)&gt;0),"CANDIDATE","NO"))</x:f>
      </x:c>
      <x:c r="Y559" s="2" t="str">
        <x:f>IF(B559="","",IF(I559&lt;&gt;"READY","NOT RELEASED",IF(AND(X559="CANDIDATE",V559&gt;='Config_v6'!$B$51,W559="PASS",'Calibrare_Linii'!T13="VALIDATED",AND('Calibrare_Linii'!H13=C559,ISNUMBER('Calibrare_Linii'!J13),'Calibrare_Linii'!J13&lt;='Input_Meci'!G45)),"PASS",IF(X559="CANDIDATE","OOS PENDING","FAIL"))))</x:f>
      </x:c>
      <x:c r="Z559" s="2" t="str">
        <x:f>IF(B559="","",IF(I559&lt;&gt;"READY","",IF(OR(NOT(AND(J559="PASS",'Calibrare_Linii'!U13="VALID")),L559&gt;'Config_v6'!$B$13,W559="WATCH"),5,IF(Y559="PASS",1,MIN(5,MAX('Config_v6'!$B$42,U559)+IF(W559="PENALTY",1,0))))))</x:f>
      </x:c>
      <x:c r="AA559" s="2" t="str">
        <x:f>IF(B559="","",IF(I559&lt;&gt;"READY","NOT RELEASED",IF(Z559=5,"NO BET",IF(OR(AB559&lt;'Config_v6'!$B$16,V559&lt;'Config_v6'!$B$18),"WATCH",IF(Z559=1,"DEFENSIV",IF(Z559=2,"PRUDENT",IF(Z559=3,"MODERAT","RIDICAT")))))))</x:f>
      </x:c>
      <x:c r="AB559" s="10" t="str">
        <x:f>IF(N559="","",MIN(N559,1-S559))</x:f>
      </x:c>
      <x:c r="AC559" s="2" t="str">
        <x:f>IF(AD559&lt;&gt;1,"",COUNTIFS($Z$552:$Z$565,"&lt;"&amp;Z559,$AD$552:$AD$565,1)+COUNTIFS($Z$552:$Z$565,Z559,$AB$552:$AB$565,"&gt;"&amp;AB559,$AD$552:$AD$565,1)+COUNTIFS($Z$552:$Z$565,Z559,$AB$552:$AB$565,AB559,$V$552:$V$565,"&gt;"&amp;V559,$AD$552:$AD$565,1)+COUNTIFS($Z$552:Z559,Z559,$AB$552:AB559,AB559,$V$552:V559,V559,$AD$552:AD559,1))</x:f>
      </x:c>
      <x:c r="AD559" s="2" t="n">
        <x:f>IF(OR(AA559="DEFENSIV",AA559="PRUDENT",AA559="MODERAT",AA559="RIDICAT"),1,0)</x:f>
        <x:v>0</x:v>
      </x:c>
      <x:c r="AE559" s="2" t="str">
        <x:f>IF(AD559&lt;&gt;1,"NO",IF(W559="PASS","YES",IF(W559="OOS PENDING","CONDITIONAL","NO")))</x:f>
        <x:v>NO</x:v>
      </x:c>
      <x:c r="AF559" s="2" t="n">
        <x:f>IF(AND(AD559=1,AC559=1,E559="LIVE"),1,0)</x:f>
        <x:v>0</x:v>
      </x:c>
      <x:c r="AG559" s="2" t="str">
        <x:f>IF(AF559&lt;&gt;1,"",'Dashboard'!P65)</x:f>
      </x:c>
      <x:c r="AH559" s="2" t="str">
        <x:f>IF(B559="","",IF(J559&lt;&gt;"PASS",'Motor_Meciuri'!J45,IF('Calibrare_Linii'!U13&lt;&gt;"VALID","Parametri linie invalizi",IF(L559&gt;'Config_v6'!$B$13,"Dispersie peste limita",IF(W559="WATCH","Failure peste limita",IF(AB559&lt;'Config_v6'!$B$16,"P finala sub prag",IF(V559&lt;'Config_v6'!$B$18,"Confidence sub prag",IF(E559="REPLAY","Exemplu retrospectiv; exclus din Top LIVE",IF(Y559="PASS","DEFENSIV validat",IF(W559="OOS PENDING","Eligibil; calibrare linie in monitorizare","Eligibil"))))))))))</x:f>
      </x:c>
      <x:c r="AI559" s="2" t="str">
        <x:f>IF(B559="","",'Calibrare_Linii'!V13)</x:f>
      </x:c>
      <x:c r="AJ559" s="2" t="str">
        <x:f>IF(B559="","",IF(AND('Calibrare_Linii'!T13="VALIDATED",AND('Calibrare_Linii'!H13=C559,ISNUMBER('Calibrare_Linii'!J13),'Calibrare_Linii'!J13&lt;='Input_Meci'!G45)),"DEFENSIVE VALIDATED",IF(AND('Calibrare_Linii'!S13="VALIDATED",AND('Calibrare_Linii'!H13=C559,ISNUMBER('Calibrare_Linii'!J13),'Calibrare_Linii'!J13&lt;='Input_Meci'!G45)),"TAIL VALIDATED","OOS PENDING")))</x:f>
      </x:c>
      <x:c r="AK559" s="2" t="n">
        <x:f>IF(J559&lt;&gt;"PASS",0,'Motor_Meciuri'!BR45)</x:f>
        <x:v>0</x:v>
      </x:c>
      <x:c r="AL559" s="2" t="n">
        <x:f>IF(J559&lt;&gt;"PASS",0,'Motor_Meciuri'!BS45)</x:f>
        <x:v>0</x:v>
      </x:c>
      <x:c r="AM559" s="2" t="n">
        <x:f>IF(J559&lt;&gt;"PASS",0,'Motor_Meciuri'!BT45)</x:f>
        <x:v>0</x:v>
      </x:c>
      <x:c r="AN559" s="2" t="str">
        <x:f>IF(M559="","",MAX(0,'Motor_Meciuri'!BF45-IF(L559&gt;'Config_v6'!$B$12,'Config_v6'!$B$37,IF(L559&gt;'Config_v6'!$B$11,'Config_v6'!$B$36,0))))</x:f>
      </x:c>
    </x:row>
    <x:row r="560" ht="21" customHeight="1">
      <x:c r="A560" s="2" t="n">
        <x:v>40</x:v>
      </x:c>
      <x:c r="B560" s="2" t="str">
        <x:f>IF('Motor_Meciuri'!A45="","",'Motor_Meciuri'!A45)</x:f>
      </x:c>
      <x:c r="C560" s="2" t="str">
        <x:f>IF(B560="","",'Motor_Meciuri'!B45)</x:f>
      </x:c>
      <x:c r="D560" s="2" t="str">
        <x:f>IF(B560="","",'Motor_Meciuri'!D45)</x:f>
      </x:c>
      <x:c r="E560" s="2" t="str">
        <x:f>IF(B560="","",'Motor_Meciuri'!E45)</x:f>
      </x:c>
      <x:c r="F560" s="2" t="str">
        <x:v>U12,5</x:v>
      </x:c>
      <x:c r="G560" s="2" t="str">
        <x:v>UNDER</x:v>
      </x:c>
      <x:c r="H560" s="2" t="n">
        <x:v>12</x:v>
      </x:c>
      <x:c r="I560" s="2" t="str">
        <x:f>IF(B560="","",'Motor_Meciuri'!H45)</x:f>
      </x:c>
      <x:c r="J560" s="2" t="str">
        <x:f>IF(B560="","",'Motor_Meciuri'!I45)</x:f>
      </x:c>
      <x:c r="K560" s="11" t="str">
        <x:f>IF(J560&lt;&gt;"PASS","",'Motor_Meciuri'!BD45)</x:f>
      </x:c>
      <x:c r="L560" s="11" t="str">
        <x:f>IF(J560&lt;&gt;"PASS","",'Motor_Meciuri'!AU45)</x:f>
      </x:c>
      <x:c r="M560" s="10" t="str">
        <x:f>IF(NOT(AND(J560="PASS",'Calibrare_Linii'!U14="VALID")),"",'Distributie'!AJ45)</x:f>
      </x:c>
      <x:c r="N560" s="10" t="str">
        <x:f>IF(M560="","",MAX(0.01,MIN(0.99,0.5+(M560-0.5)*'Motor_Meciuri'!BG45*'Calibrare_Linii'!D14)))</x:f>
      </x:c>
      <x:c r="O560" s="10" t="str">
        <x:f>IF(M560="","",1-M560)</x:f>
      </x:c>
      <x:c r="P560" s="10" t="str">
        <x:f>IF(OR(NOT(AND(J560="PASS",'Calibrare_Linii'!U14="VALID")),AK560=0),""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*('Istoric_Nativ'!$Q$6:$Q$405&gt;H560))/AK560)</x:f>
      </x:c>
      <x:c r="Q560" s="10" t="str">
        <x:f>IF(OR(NOT(AND(J560="PASS",'Calibrare_Linii'!U14="VALID")),AL560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M45)+((('Istoric_Nativ'!$E$6:$E$405='Input_Meci'!E45)+('Istoric_Nativ'!$F$6:$F$405='Input_Meci'!E45))&gt;0)*('Istoric_Nativ'!$D$6:$D$405&gt;='Motor_Meciuri'!BN45))&gt;0)*('Istoric_Nativ'!$Q$6:$Q$405&gt;H560))/AL560)</x:f>
      </x:c>
      <x:c r="R560" s="10" t="str">
        <x:f>IF(OR(NOT(AND(J560="PASS",'Calibrare_Linii'!U14="VALID")),AM560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O45)+((('Istoric_Nativ'!$E$6:$E$405='Input_Meci'!E45)+('Istoric_Nativ'!$F$6:$F$405='Input_Meci'!E45))&gt;0)*('Istoric_Nativ'!$D$6:$D$405&gt;='Motor_Meciuri'!BP45))&gt;0)*('Istoric_Nativ'!$Q$6:$Q$405&gt;H560))/AM560)</x:f>
      </x:c>
      <x:c r="S560" s="10" t="str">
        <x:f>IF(M560="","",MAX(O560,P560,Q560,R560))</x:f>
      </x:c>
      <x:c r="T560" s="11" t="str">
        <x:f>IF(M560="","",MIN(100,S560*100*'Config_v6'!$B$44+MIN(100,L560/'Config_v6'!$B$13*100)*'Config_v6'!$B$45+(100-'Motor_Meciuri'!BF45)*'Config_v6'!$B$46+'Motor_Meciuri'!BH45*100*'Config_v6'!$B$47))</x:f>
      </x:c>
      <x:c r="U560" s="2" t="str">
        <x:f>IF(T560="","",IF(T560&lt;=20,1,IF(T560&lt;=40,2,IF(T560&lt;=60,3,IF(T560&lt;=80,4,5)))))</x:f>
      </x:c>
      <x:c r="V560" s="2" t="str">
        <x:f>IF(M560="","",MAX(0,'Motor_Meciuri'!BF45-IF(W560="OOS PENDING",'Config_v6'!$B$35,0)-IF(L560&gt;'Config_v6'!$B$12,'Config_v6'!$B$37,IF(L560&gt;'Config_v6'!$B$11,'Config_v6'!$B$36,0))))</x:f>
      </x:c>
      <x:c r="W560" s="2" t="str">
        <x:f>IF(B560="","",IF(I560&lt;&gt;"READY","NOT RELEASED",IF(NOT(AND(J560="PASS",'Calibrare_Linii'!U14="VALID")),"INVALID",IF(NOT(AND('Calibrare_Linii'!S14="VALIDATED",AND('Calibrare_Linii'!H14=C560,ISNUMBER('Calibrare_Linii'!J14),'Calibrare_Linii'!J14&lt;='Input_Meci'!G45))),"OOS PENDING",IF(S560&lt;='Calibrare_Linii'!E14,"PASS",IF(S560&lt;='Calibrare_Linii'!F14,"PENALTY","WATCH"))))))</x:f>
      </x:c>
      <x:c r="X560" s="2" t="str">
        <x:f>IF(M560="","",IF(AND(AND(J560="PASS",'Calibrare_Linii'!U14="VALID"),'Motor_Meciuri'!K45=12,'Motor_Meciuri'!L45=12,'Motor_Meciuri'!M45="NO",'Motor_Meciuri'!BL45='Motor_Meciuri'!C45,AB560&gt;='Config_v6'!$B$50,AN560&gt;='Config_v6'!$B$51,T560&lt;='Config_v6'!$B$52,L560&lt;='Config_v6'!$B$53,ISNUMBER('Calibrare_Linii'!E14),S560&lt;='Calibrare_Linii'!E14,SUM(AK560:AM560)&gt;0),"CANDIDATE","NO"))</x:f>
      </x:c>
      <x:c r="Y560" s="2" t="str">
        <x:f>IF(B560="","",IF(I560&lt;&gt;"READY","NOT RELEASED",IF(AND(X560="CANDIDATE",V560&gt;='Config_v6'!$B$51,W560="PASS",'Calibrare_Linii'!T14="VALIDATED",AND('Calibrare_Linii'!H14=C560,ISNUMBER('Calibrare_Linii'!J14),'Calibrare_Linii'!J14&lt;='Input_Meci'!G45)),"PASS",IF(X560="CANDIDATE","OOS PENDING","FAIL"))))</x:f>
      </x:c>
      <x:c r="Z560" s="2" t="str">
        <x:f>IF(B560="","",IF(I560&lt;&gt;"READY","",IF(OR(NOT(AND(J560="PASS",'Calibrare_Linii'!U14="VALID")),L560&gt;'Config_v6'!$B$13,W560="WATCH"),5,IF(Y560="PASS",1,MIN(5,MAX('Config_v6'!$B$42,U560)+IF(W560="PENALTY",1,0))))))</x:f>
      </x:c>
      <x:c r="AA560" s="2" t="str">
        <x:f>IF(B560="","",IF(I560&lt;&gt;"READY","NOT RELEASED",IF(Z560=5,"NO BET",IF(OR(AB560&lt;'Config_v6'!$B$16,V560&lt;'Config_v6'!$B$18),"WATCH",IF(Z560=1,"DEFENSIV",IF(Z560=2,"PRUDENT",IF(Z560=3,"MODERAT","RIDICAT")))))))</x:f>
      </x:c>
      <x:c r="AB560" s="10" t="str">
        <x:f>IF(N560="","",MIN(N560,1-S560))</x:f>
      </x:c>
      <x:c r="AC560" s="2" t="str">
        <x:f>IF(AD560&lt;&gt;1,"",COUNTIFS($Z$552:$Z$565,"&lt;"&amp;Z560,$AD$552:$AD$565,1)+COUNTIFS($Z$552:$Z$565,Z560,$AB$552:$AB$565,"&gt;"&amp;AB560,$AD$552:$AD$565,1)+COUNTIFS($Z$552:$Z$565,Z560,$AB$552:$AB$565,AB560,$V$552:$V$565,"&gt;"&amp;V560,$AD$552:$AD$565,1)+COUNTIFS($Z$552:Z560,Z560,$AB$552:AB560,AB560,$V$552:V560,V560,$AD$552:AD560,1))</x:f>
      </x:c>
      <x:c r="AD560" s="2" t="n">
        <x:f>IF(OR(AA560="DEFENSIV",AA560="PRUDENT",AA560="MODERAT",AA560="RIDICAT"),1,0)</x:f>
        <x:v>0</x:v>
      </x:c>
      <x:c r="AE560" s="2" t="str">
        <x:f>IF(AD560&lt;&gt;1,"NO",IF(W560="PASS","YES",IF(W560="OOS PENDING","CONDITIONAL","NO")))</x:f>
        <x:v>NO</x:v>
      </x:c>
      <x:c r="AF560" s="2" t="n">
        <x:f>IF(AND(AD560=1,AC560=1,E560="LIVE"),1,0)</x:f>
        <x:v>0</x:v>
      </x:c>
      <x:c r="AG560" s="2" t="str">
        <x:f>IF(AF560&lt;&gt;1,"",'Dashboard'!P65)</x:f>
      </x:c>
      <x:c r="AH560" s="2" t="str">
        <x:f>IF(B560="","",IF(J560&lt;&gt;"PASS",'Motor_Meciuri'!J45,IF('Calibrare_Linii'!U14&lt;&gt;"VALID","Parametri linie invalizi",IF(L560&gt;'Config_v6'!$B$13,"Dispersie peste limita",IF(W560="WATCH","Failure peste limita",IF(AB560&lt;'Config_v6'!$B$16,"P finala sub prag",IF(V560&lt;'Config_v6'!$B$18,"Confidence sub prag",IF(E560="REPLAY","Exemplu retrospectiv; exclus din Top LIVE",IF(Y560="PASS","DEFENSIV validat",IF(W560="OOS PENDING","Eligibil; calibrare linie in monitorizare","Eligibil"))))))))))</x:f>
      </x:c>
      <x:c r="AI560" s="2" t="str">
        <x:f>IF(B560="","",'Calibrare_Linii'!V14)</x:f>
      </x:c>
      <x:c r="AJ560" s="2" t="str">
        <x:f>IF(B560="","",IF(AND('Calibrare_Linii'!T14="VALIDATED",AND('Calibrare_Linii'!H14=C560,ISNUMBER('Calibrare_Linii'!J14),'Calibrare_Linii'!J14&lt;='Input_Meci'!G45)),"DEFENSIVE VALIDATED",IF(AND('Calibrare_Linii'!S14="VALIDATED",AND('Calibrare_Linii'!H14=C560,ISNUMBER('Calibrare_Linii'!J14),'Calibrare_Linii'!J14&lt;='Input_Meci'!G45)),"TAIL VALIDATED","OOS PENDING")))</x:f>
      </x:c>
      <x:c r="AK560" s="2" t="n">
        <x:f>IF(J560&lt;&gt;"PASS",0,'Motor_Meciuri'!BR45)</x:f>
        <x:v>0</x:v>
      </x:c>
      <x:c r="AL560" s="2" t="n">
        <x:f>IF(J560&lt;&gt;"PASS",0,'Motor_Meciuri'!BS45)</x:f>
        <x:v>0</x:v>
      </x:c>
      <x:c r="AM560" s="2" t="n">
        <x:f>IF(J560&lt;&gt;"PASS",0,'Motor_Meciuri'!BT45)</x:f>
        <x:v>0</x:v>
      </x:c>
      <x:c r="AN560" s="2" t="str">
        <x:f>IF(M560="","",MAX(0,'Motor_Meciuri'!BF45-IF(L560&gt;'Config_v6'!$B$12,'Config_v6'!$B$37,IF(L560&gt;'Config_v6'!$B$11,'Config_v6'!$B$36,0))))</x:f>
      </x:c>
    </x:row>
    <x:row r="561" ht="21" customHeight="1">
      <x:c r="A561" s="2" t="n">
        <x:v>40</x:v>
      </x:c>
      <x:c r="B561" s="2" t="str">
        <x:f>IF('Motor_Meciuri'!A45="","",'Motor_Meciuri'!A45)</x:f>
      </x:c>
      <x:c r="C561" s="2" t="str">
        <x:f>IF(B561="","",'Motor_Meciuri'!B45)</x:f>
      </x:c>
      <x:c r="D561" s="2" t="str">
        <x:f>IF(B561="","",'Motor_Meciuri'!D45)</x:f>
      </x:c>
      <x:c r="E561" s="2" t="str">
        <x:f>IF(B561="","",'Motor_Meciuri'!E45)</x:f>
      </x:c>
      <x:c r="F561" s="2" t="str">
        <x:v>U13,5</x:v>
      </x:c>
      <x:c r="G561" s="2" t="str">
        <x:v>UNDER</x:v>
      </x:c>
      <x:c r="H561" s="2" t="n">
        <x:v>13</x:v>
      </x:c>
      <x:c r="I561" s="2" t="str">
        <x:f>IF(B561="","",'Motor_Meciuri'!H45)</x:f>
      </x:c>
      <x:c r="J561" s="2" t="str">
        <x:f>IF(B561="","",'Motor_Meciuri'!I45)</x:f>
      </x:c>
      <x:c r="K561" s="11" t="str">
        <x:f>IF(J561&lt;&gt;"PASS","",'Motor_Meciuri'!BD45)</x:f>
      </x:c>
      <x:c r="L561" s="11" t="str">
        <x:f>IF(J561&lt;&gt;"PASS","",'Motor_Meciuri'!AU45)</x:f>
      </x:c>
      <x:c r="M561" s="10" t="str">
        <x:f>IF(NOT(AND(J561="PASS",'Calibrare_Linii'!U15="VALID")),"",'Distributie'!AK45)</x:f>
      </x:c>
      <x:c r="N561" s="10" t="str">
        <x:f>IF(M561="","",MAX(0.01,MIN(0.99,0.5+(M561-0.5)*'Motor_Meciuri'!BG45*'Calibrare_Linii'!D15)))</x:f>
      </x:c>
      <x:c r="O561" s="10" t="str">
        <x:f>IF(M561="","",1-M561)</x:f>
      </x:c>
      <x:c r="P561" s="10" t="str">
        <x:f>IF(OR(NOT(AND(J561="PASS",'Calibrare_Linii'!U15="VALID")),AK561=0),""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*('Istoric_Nativ'!$Q$6:$Q$405&gt;H561))/AK561)</x:f>
      </x:c>
      <x:c r="Q561" s="10" t="str">
        <x:f>IF(OR(NOT(AND(J561="PASS",'Calibrare_Linii'!U15="VALID")),AL561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M45)+((('Istoric_Nativ'!$E$6:$E$405='Input_Meci'!E45)+('Istoric_Nativ'!$F$6:$F$405='Input_Meci'!E45))&gt;0)*('Istoric_Nativ'!$D$6:$D$405&gt;='Motor_Meciuri'!BN45))&gt;0)*('Istoric_Nativ'!$Q$6:$Q$405&gt;H561))/AL561)</x:f>
      </x:c>
      <x:c r="R561" s="10" t="str">
        <x:f>IF(OR(NOT(AND(J561="PASS",'Calibrare_Linii'!U15="VALID")),AM561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O45)+((('Istoric_Nativ'!$E$6:$E$405='Input_Meci'!E45)+('Istoric_Nativ'!$F$6:$F$405='Input_Meci'!E45))&gt;0)*('Istoric_Nativ'!$D$6:$D$405&gt;='Motor_Meciuri'!BP45))&gt;0)*('Istoric_Nativ'!$Q$6:$Q$405&gt;H561))/AM561)</x:f>
      </x:c>
      <x:c r="S561" s="10" t="str">
        <x:f>IF(M561="","",MAX(O561,P561,Q561,R561))</x:f>
      </x:c>
      <x:c r="T561" s="11" t="str">
        <x:f>IF(M561="","",MIN(100,S561*100*'Config_v6'!$B$44+MIN(100,L561/'Config_v6'!$B$13*100)*'Config_v6'!$B$45+(100-'Motor_Meciuri'!BF45)*'Config_v6'!$B$46+'Motor_Meciuri'!BH45*100*'Config_v6'!$B$47))</x:f>
      </x:c>
      <x:c r="U561" s="2" t="str">
        <x:f>IF(T561="","",IF(T561&lt;=20,1,IF(T561&lt;=40,2,IF(T561&lt;=60,3,IF(T561&lt;=80,4,5)))))</x:f>
      </x:c>
      <x:c r="V561" s="2" t="str">
        <x:f>IF(M561="","",MAX(0,'Motor_Meciuri'!BF45-IF(W561="OOS PENDING",'Config_v6'!$B$35,0)-IF(L561&gt;'Config_v6'!$B$12,'Config_v6'!$B$37,IF(L561&gt;'Config_v6'!$B$11,'Config_v6'!$B$36,0))))</x:f>
      </x:c>
      <x:c r="W561" s="2" t="str">
        <x:f>IF(B561="","",IF(I561&lt;&gt;"READY","NOT RELEASED",IF(NOT(AND(J561="PASS",'Calibrare_Linii'!U15="VALID")),"INVALID",IF(NOT(AND('Calibrare_Linii'!S15="VALIDATED",AND('Calibrare_Linii'!H15=C561,ISNUMBER('Calibrare_Linii'!J15),'Calibrare_Linii'!J15&lt;='Input_Meci'!G45))),"OOS PENDING",IF(S561&lt;='Calibrare_Linii'!E15,"PASS",IF(S561&lt;='Calibrare_Linii'!F15,"PENALTY","WATCH"))))))</x:f>
      </x:c>
      <x:c r="X561" s="2" t="str">
        <x:f>IF(M561="","",IF(AND(AND(J561="PASS",'Calibrare_Linii'!U15="VALID"),'Motor_Meciuri'!K45=12,'Motor_Meciuri'!L45=12,'Motor_Meciuri'!M45="NO",'Motor_Meciuri'!BL45='Motor_Meciuri'!C45,AB561&gt;='Config_v6'!$B$50,AN561&gt;='Config_v6'!$B$51,T561&lt;='Config_v6'!$B$52,L561&lt;='Config_v6'!$B$53,ISNUMBER('Calibrare_Linii'!E15),S561&lt;='Calibrare_Linii'!E15,SUM(AK561:AM561)&gt;0),"CANDIDATE","NO"))</x:f>
      </x:c>
      <x:c r="Y561" s="2" t="str">
        <x:f>IF(B561="","",IF(I561&lt;&gt;"READY","NOT RELEASED",IF(AND(X561="CANDIDATE",V561&gt;='Config_v6'!$B$51,W561="PASS",'Calibrare_Linii'!T15="VALIDATED",AND('Calibrare_Linii'!H15=C561,ISNUMBER('Calibrare_Linii'!J15),'Calibrare_Linii'!J15&lt;='Input_Meci'!G45)),"PASS",IF(X561="CANDIDATE","OOS PENDING","FAIL"))))</x:f>
      </x:c>
      <x:c r="Z561" s="2" t="str">
        <x:f>IF(B561="","",IF(I561&lt;&gt;"READY","",IF(OR(NOT(AND(J561="PASS",'Calibrare_Linii'!U15="VALID")),L561&gt;'Config_v6'!$B$13,W561="WATCH"),5,IF(Y561="PASS",1,MIN(5,MAX('Config_v6'!$B$42,U561)+IF(W561="PENALTY",1,0))))))</x:f>
      </x:c>
      <x:c r="AA561" s="2" t="str">
        <x:f>IF(B561="","",IF(I561&lt;&gt;"READY","NOT RELEASED",IF(Z561=5,"NO BET",IF(OR(AB561&lt;'Config_v6'!$B$16,V561&lt;'Config_v6'!$B$18),"WATCH",IF(Z561=1,"DEFENSIV",IF(Z561=2,"PRUDENT",IF(Z561=3,"MODERAT","RIDICAT")))))))</x:f>
      </x:c>
      <x:c r="AB561" s="10" t="str">
        <x:f>IF(N561="","",MIN(N561,1-S561))</x:f>
      </x:c>
      <x:c r="AC561" s="2" t="str">
        <x:f>IF(AD561&lt;&gt;1,"",COUNTIFS($Z$552:$Z$565,"&lt;"&amp;Z561,$AD$552:$AD$565,1)+COUNTIFS($Z$552:$Z$565,Z561,$AB$552:$AB$565,"&gt;"&amp;AB561,$AD$552:$AD$565,1)+COUNTIFS($Z$552:$Z$565,Z561,$AB$552:$AB$565,AB561,$V$552:$V$565,"&gt;"&amp;V561,$AD$552:$AD$565,1)+COUNTIFS($Z$552:Z561,Z561,$AB$552:AB561,AB561,$V$552:V561,V561,$AD$552:AD561,1))</x:f>
      </x:c>
      <x:c r="AD561" s="2" t="n">
        <x:f>IF(OR(AA561="DEFENSIV",AA561="PRUDENT",AA561="MODERAT",AA561="RIDICAT"),1,0)</x:f>
        <x:v>0</x:v>
      </x:c>
      <x:c r="AE561" s="2" t="str">
        <x:f>IF(AD561&lt;&gt;1,"NO",IF(W561="PASS","YES",IF(W561="OOS PENDING","CONDITIONAL","NO")))</x:f>
        <x:v>NO</x:v>
      </x:c>
      <x:c r="AF561" s="2" t="n">
        <x:f>IF(AND(AD561=1,AC561=1,E561="LIVE"),1,0)</x:f>
        <x:v>0</x:v>
      </x:c>
      <x:c r="AG561" s="2" t="str">
        <x:f>IF(AF561&lt;&gt;1,"",'Dashboard'!P65)</x:f>
      </x:c>
      <x:c r="AH561" s="2" t="str">
        <x:f>IF(B561="","",IF(J561&lt;&gt;"PASS",'Motor_Meciuri'!J45,IF('Calibrare_Linii'!U15&lt;&gt;"VALID","Parametri linie invalizi",IF(L561&gt;'Config_v6'!$B$13,"Dispersie peste limita",IF(W561="WATCH","Failure peste limita",IF(AB561&lt;'Config_v6'!$B$16,"P finala sub prag",IF(V561&lt;'Config_v6'!$B$18,"Confidence sub prag",IF(E561="REPLAY","Exemplu retrospectiv; exclus din Top LIVE",IF(Y561="PASS","DEFENSIV validat",IF(W561="OOS PENDING","Eligibil; calibrare linie in monitorizare","Eligibil"))))))))))</x:f>
      </x:c>
      <x:c r="AI561" s="2" t="str">
        <x:f>IF(B561="","",'Calibrare_Linii'!V15)</x:f>
      </x:c>
      <x:c r="AJ561" s="2" t="str">
        <x:f>IF(B561="","",IF(AND('Calibrare_Linii'!T15="VALIDATED",AND('Calibrare_Linii'!H15=C561,ISNUMBER('Calibrare_Linii'!J15),'Calibrare_Linii'!J15&lt;='Input_Meci'!G45)),"DEFENSIVE VALIDATED",IF(AND('Calibrare_Linii'!S15="VALIDATED",AND('Calibrare_Linii'!H15=C561,ISNUMBER('Calibrare_Linii'!J15),'Calibrare_Linii'!J15&lt;='Input_Meci'!G45)),"TAIL VALIDATED","OOS PENDING")))</x:f>
      </x:c>
      <x:c r="AK561" s="2" t="n">
        <x:f>IF(J561&lt;&gt;"PASS",0,'Motor_Meciuri'!BR45)</x:f>
        <x:v>0</x:v>
      </x:c>
      <x:c r="AL561" s="2" t="n">
        <x:f>IF(J561&lt;&gt;"PASS",0,'Motor_Meciuri'!BS45)</x:f>
        <x:v>0</x:v>
      </x:c>
      <x:c r="AM561" s="2" t="n">
        <x:f>IF(J561&lt;&gt;"PASS",0,'Motor_Meciuri'!BT45)</x:f>
        <x:v>0</x:v>
      </x:c>
      <x:c r="AN561" s="2" t="str">
        <x:f>IF(M561="","",MAX(0,'Motor_Meciuri'!BF45-IF(L561&gt;'Config_v6'!$B$12,'Config_v6'!$B$37,IF(L561&gt;'Config_v6'!$B$11,'Config_v6'!$B$36,0))))</x:f>
      </x:c>
    </x:row>
    <x:row r="562" ht="21" customHeight="1">
      <x:c r="A562" s="2" t="n">
        <x:v>40</x:v>
      </x:c>
      <x:c r="B562" s="2" t="str">
        <x:f>IF('Motor_Meciuri'!A45="","",'Motor_Meciuri'!A45)</x:f>
      </x:c>
      <x:c r="C562" s="2" t="str">
        <x:f>IF(B562="","",'Motor_Meciuri'!B45)</x:f>
      </x:c>
      <x:c r="D562" s="2" t="str">
        <x:f>IF(B562="","",'Motor_Meciuri'!D45)</x:f>
      </x:c>
      <x:c r="E562" s="2" t="str">
        <x:f>IF(B562="","",'Motor_Meciuri'!E45)</x:f>
      </x:c>
      <x:c r="F562" s="2" t="str">
        <x:v>U14,5</x:v>
      </x:c>
      <x:c r="G562" s="2" t="str">
        <x:v>UNDER</x:v>
      </x:c>
      <x:c r="H562" s="2" t="n">
        <x:v>14</x:v>
      </x:c>
      <x:c r="I562" s="2" t="str">
        <x:f>IF(B562="","",'Motor_Meciuri'!H45)</x:f>
      </x:c>
      <x:c r="J562" s="2" t="str">
        <x:f>IF(B562="","",'Motor_Meciuri'!I45)</x:f>
      </x:c>
      <x:c r="K562" s="11" t="str">
        <x:f>IF(J562&lt;&gt;"PASS","",'Motor_Meciuri'!BD45)</x:f>
      </x:c>
      <x:c r="L562" s="11" t="str">
        <x:f>IF(J562&lt;&gt;"PASS","",'Motor_Meciuri'!AU45)</x:f>
      </x:c>
      <x:c r="M562" s="10" t="str">
        <x:f>IF(NOT(AND(J562="PASS",'Calibrare_Linii'!U16="VALID")),"",'Distributie'!AL45)</x:f>
      </x:c>
      <x:c r="N562" s="10" t="str">
        <x:f>IF(M562="","",MAX(0.01,MIN(0.99,0.5+(M562-0.5)*'Motor_Meciuri'!BG45*'Calibrare_Linii'!D16)))</x:f>
      </x:c>
      <x:c r="O562" s="10" t="str">
        <x:f>IF(M562="","",1-M562)</x:f>
      </x:c>
      <x:c r="P562" s="10" t="str">
        <x:f>IF(OR(NOT(AND(J562="PASS",'Calibrare_Linii'!U16="VALID")),AK562=0),""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*('Istoric_Nativ'!$Q$6:$Q$405&gt;H562))/AK562)</x:f>
      </x:c>
      <x:c r="Q562" s="10" t="str">
        <x:f>IF(OR(NOT(AND(J562="PASS",'Calibrare_Linii'!U16="VALID")),AL562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M45)+((('Istoric_Nativ'!$E$6:$E$405='Input_Meci'!E45)+('Istoric_Nativ'!$F$6:$F$405='Input_Meci'!E45))&gt;0)*('Istoric_Nativ'!$D$6:$D$405&gt;='Motor_Meciuri'!BN45))&gt;0)*('Istoric_Nativ'!$Q$6:$Q$405&gt;H562))/AL562)</x:f>
      </x:c>
      <x:c r="R562" s="10" t="str">
        <x:f>IF(OR(NOT(AND(J562="PASS",'Calibrare_Linii'!U16="VALID")),AM562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O45)+((('Istoric_Nativ'!$E$6:$E$405='Input_Meci'!E45)+('Istoric_Nativ'!$F$6:$F$405='Input_Meci'!E45))&gt;0)*('Istoric_Nativ'!$D$6:$D$405&gt;='Motor_Meciuri'!BP45))&gt;0)*('Istoric_Nativ'!$Q$6:$Q$405&gt;H562))/AM562)</x:f>
      </x:c>
      <x:c r="S562" s="10" t="str">
        <x:f>IF(M562="","",MAX(O562,P562,Q562,R562))</x:f>
      </x:c>
      <x:c r="T562" s="11" t="str">
        <x:f>IF(M562="","",MIN(100,S562*100*'Config_v6'!$B$44+MIN(100,L562/'Config_v6'!$B$13*100)*'Config_v6'!$B$45+(100-'Motor_Meciuri'!BF45)*'Config_v6'!$B$46+'Motor_Meciuri'!BH45*100*'Config_v6'!$B$47))</x:f>
      </x:c>
      <x:c r="U562" s="2" t="str">
        <x:f>IF(T562="","",IF(T562&lt;=20,1,IF(T562&lt;=40,2,IF(T562&lt;=60,3,IF(T562&lt;=80,4,5)))))</x:f>
      </x:c>
      <x:c r="V562" s="2" t="str">
        <x:f>IF(M562="","",MAX(0,'Motor_Meciuri'!BF45-IF(W562="OOS PENDING",'Config_v6'!$B$35,0)-IF(L562&gt;'Config_v6'!$B$12,'Config_v6'!$B$37,IF(L562&gt;'Config_v6'!$B$11,'Config_v6'!$B$36,0))))</x:f>
      </x:c>
      <x:c r="W562" s="2" t="str">
        <x:f>IF(B562="","",IF(I562&lt;&gt;"READY","NOT RELEASED",IF(NOT(AND(J562="PASS",'Calibrare_Linii'!U16="VALID")),"INVALID",IF(NOT(AND('Calibrare_Linii'!S16="VALIDATED",AND('Calibrare_Linii'!H16=C562,ISNUMBER('Calibrare_Linii'!J16),'Calibrare_Linii'!J16&lt;='Input_Meci'!G45))),"OOS PENDING",IF(S562&lt;='Calibrare_Linii'!E16,"PASS",IF(S562&lt;='Calibrare_Linii'!F16,"PENALTY","WATCH"))))))</x:f>
      </x:c>
      <x:c r="X562" s="2" t="str">
        <x:f>IF(M562="","",IF(AND(AND(J562="PASS",'Calibrare_Linii'!U16="VALID"),'Motor_Meciuri'!K45=12,'Motor_Meciuri'!L45=12,'Motor_Meciuri'!M45="NO",'Motor_Meciuri'!BL45='Motor_Meciuri'!C45,AB562&gt;='Config_v6'!$B$50,AN562&gt;='Config_v6'!$B$51,T562&lt;='Config_v6'!$B$52,L562&lt;='Config_v6'!$B$53,ISNUMBER('Calibrare_Linii'!E16),S562&lt;='Calibrare_Linii'!E16,SUM(AK562:AM562)&gt;0),"CANDIDATE","NO"))</x:f>
      </x:c>
      <x:c r="Y562" s="2" t="str">
        <x:f>IF(B562="","",IF(I562&lt;&gt;"READY","NOT RELEASED",IF(AND(X562="CANDIDATE",V562&gt;='Config_v6'!$B$51,W562="PASS",'Calibrare_Linii'!T16="VALIDATED",AND('Calibrare_Linii'!H16=C562,ISNUMBER('Calibrare_Linii'!J16),'Calibrare_Linii'!J16&lt;='Input_Meci'!G45)),"PASS",IF(X562="CANDIDATE","OOS PENDING","FAIL"))))</x:f>
      </x:c>
      <x:c r="Z562" s="2" t="str">
        <x:f>IF(B562="","",IF(I562&lt;&gt;"READY","",IF(OR(NOT(AND(J562="PASS",'Calibrare_Linii'!U16="VALID")),L562&gt;'Config_v6'!$B$13,W562="WATCH"),5,IF(Y562="PASS",1,MIN(5,MAX('Config_v6'!$B$42,U562)+IF(W562="PENALTY",1,0))))))</x:f>
      </x:c>
      <x:c r="AA562" s="2" t="str">
        <x:f>IF(B562="","",IF(I562&lt;&gt;"READY","NOT RELEASED",IF(Z562=5,"NO BET",IF(OR(AB562&lt;'Config_v6'!$B$16,V562&lt;'Config_v6'!$B$18),"WATCH",IF(Z562=1,"DEFENSIV",IF(Z562=2,"PRUDENT",IF(Z562=3,"MODERAT","RIDICAT")))))))</x:f>
      </x:c>
      <x:c r="AB562" s="10" t="str">
        <x:f>IF(N562="","",MIN(N562,1-S562))</x:f>
      </x:c>
      <x:c r="AC562" s="2" t="str">
        <x:f>IF(AD562&lt;&gt;1,"",COUNTIFS($Z$552:$Z$565,"&lt;"&amp;Z562,$AD$552:$AD$565,1)+COUNTIFS($Z$552:$Z$565,Z562,$AB$552:$AB$565,"&gt;"&amp;AB562,$AD$552:$AD$565,1)+COUNTIFS($Z$552:$Z$565,Z562,$AB$552:$AB$565,AB562,$V$552:$V$565,"&gt;"&amp;V562,$AD$552:$AD$565,1)+COUNTIFS($Z$552:Z562,Z562,$AB$552:AB562,AB562,$V$552:V562,V562,$AD$552:AD562,1))</x:f>
      </x:c>
      <x:c r="AD562" s="2" t="n">
        <x:f>IF(OR(AA562="DEFENSIV",AA562="PRUDENT",AA562="MODERAT",AA562="RIDICAT"),1,0)</x:f>
        <x:v>0</x:v>
      </x:c>
      <x:c r="AE562" s="2" t="str">
        <x:f>IF(AD562&lt;&gt;1,"NO",IF(W562="PASS","YES",IF(W562="OOS PENDING","CONDITIONAL","NO")))</x:f>
        <x:v>NO</x:v>
      </x:c>
      <x:c r="AF562" s="2" t="n">
        <x:f>IF(AND(AD562=1,AC562=1,E562="LIVE"),1,0)</x:f>
        <x:v>0</x:v>
      </x:c>
      <x:c r="AG562" s="2" t="str">
        <x:f>IF(AF562&lt;&gt;1,"",'Dashboard'!P65)</x:f>
      </x:c>
      <x:c r="AH562" s="2" t="str">
        <x:f>IF(B562="","",IF(J562&lt;&gt;"PASS",'Motor_Meciuri'!J45,IF('Calibrare_Linii'!U16&lt;&gt;"VALID","Parametri linie invalizi",IF(L562&gt;'Config_v6'!$B$13,"Dispersie peste limita",IF(W562="WATCH","Failure peste limita",IF(AB562&lt;'Config_v6'!$B$16,"P finala sub prag",IF(V562&lt;'Config_v6'!$B$18,"Confidence sub prag",IF(E562="REPLAY","Exemplu retrospectiv; exclus din Top LIVE",IF(Y562="PASS","DEFENSIV validat",IF(W562="OOS PENDING","Eligibil; calibrare linie in monitorizare","Eligibil"))))))))))</x:f>
      </x:c>
      <x:c r="AI562" s="2" t="str">
        <x:f>IF(B562="","",'Calibrare_Linii'!V16)</x:f>
      </x:c>
      <x:c r="AJ562" s="2" t="str">
        <x:f>IF(B562="","",IF(AND('Calibrare_Linii'!T16="VALIDATED",AND('Calibrare_Linii'!H16=C562,ISNUMBER('Calibrare_Linii'!J16),'Calibrare_Linii'!J16&lt;='Input_Meci'!G45)),"DEFENSIVE VALIDATED",IF(AND('Calibrare_Linii'!S16="VALIDATED",AND('Calibrare_Linii'!H16=C562,ISNUMBER('Calibrare_Linii'!J16),'Calibrare_Linii'!J16&lt;='Input_Meci'!G45)),"TAIL VALIDATED","OOS PENDING")))</x:f>
      </x:c>
      <x:c r="AK562" s="2" t="n">
        <x:f>IF(J562&lt;&gt;"PASS",0,'Motor_Meciuri'!BR45)</x:f>
        <x:v>0</x:v>
      </x:c>
      <x:c r="AL562" s="2" t="n">
        <x:f>IF(J562&lt;&gt;"PASS",0,'Motor_Meciuri'!BS45)</x:f>
        <x:v>0</x:v>
      </x:c>
      <x:c r="AM562" s="2" t="n">
        <x:f>IF(J562&lt;&gt;"PASS",0,'Motor_Meciuri'!BT45)</x:f>
        <x:v>0</x:v>
      </x:c>
      <x:c r="AN562" s="2" t="str">
        <x:f>IF(M562="","",MAX(0,'Motor_Meciuri'!BF45-IF(L562&gt;'Config_v6'!$B$12,'Config_v6'!$B$37,IF(L562&gt;'Config_v6'!$B$11,'Config_v6'!$B$36,0))))</x:f>
      </x:c>
    </x:row>
    <x:row r="563" ht="21" customHeight="1">
      <x:c r="A563" s="2" t="n">
        <x:v>40</x:v>
      </x:c>
      <x:c r="B563" s="2" t="str">
        <x:f>IF('Motor_Meciuri'!A45="","",'Motor_Meciuri'!A45)</x:f>
      </x:c>
      <x:c r="C563" s="2" t="str">
        <x:f>IF(B563="","",'Motor_Meciuri'!B45)</x:f>
      </x:c>
      <x:c r="D563" s="2" t="str">
        <x:f>IF(B563="","",'Motor_Meciuri'!D45)</x:f>
      </x:c>
      <x:c r="E563" s="2" t="str">
        <x:f>IF(B563="","",'Motor_Meciuri'!E45)</x:f>
      </x:c>
      <x:c r="F563" s="2" t="str">
        <x:v>U15,5</x:v>
      </x:c>
      <x:c r="G563" s="2" t="str">
        <x:v>UNDER</x:v>
      </x:c>
      <x:c r="H563" s="2" t="n">
        <x:v>15</x:v>
      </x:c>
      <x:c r="I563" s="2" t="str">
        <x:f>IF(B563="","",'Motor_Meciuri'!H45)</x:f>
      </x:c>
      <x:c r="J563" s="2" t="str">
        <x:f>IF(B563="","",'Motor_Meciuri'!I45)</x:f>
      </x:c>
      <x:c r="K563" s="11" t="str">
        <x:f>IF(J563&lt;&gt;"PASS","",'Motor_Meciuri'!BD45)</x:f>
      </x:c>
      <x:c r="L563" s="11" t="str">
        <x:f>IF(J563&lt;&gt;"PASS","",'Motor_Meciuri'!AU45)</x:f>
      </x:c>
      <x:c r="M563" s="10" t="str">
        <x:f>IF(NOT(AND(J563="PASS",'Calibrare_Linii'!U17="VALID")),"",'Distributie'!AM45)</x:f>
      </x:c>
      <x:c r="N563" s="10" t="str">
        <x:f>IF(M563="","",MAX(0.01,MIN(0.99,0.5+(M563-0.5)*'Motor_Meciuri'!BG45*'Calibrare_Linii'!D17)))</x:f>
      </x:c>
      <x:c r="O563" s="10" t="str">
        <x:f>IF(M563="","",1-M563)</x:f>
      </x:c>
      <x:c r="P563" s="10" t="str">
        <x:f>IF(OR(NOT(AND(J563="PASS",'Calibrare_Linii'!U17="VALID")),AK563=0),""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*('Istoric_Nativ'!$Q$6:$Q$405&gt;H563))/AK563)</x:f>
      </x:c>
      <x:c r="Q563" s="10" t="str">
        <x:f>IF(OR(NOT(AND(J563="PASS",'Calibrare_Linii'!U17="VALID")),AL563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M45)+((('Istoric_Nativ'!$E$6:$E$405='Input_Meci'!E45)+('Istoric_Nativ'!$F$6:$F$405='Input_Meci'!E45))&gt;0)*('Istoric_Nativ'!$D$6:$D$405&gt;='Motor_Meciuri'!BN45))&gt;0)*('Istoric_Nativ'!$Q$6:$Q$405&gt;H563))/AL563)</x:f>
      </x:c>
      <x:c r="R563" s="10" t="str">
        <x:f>IF(OR(NOT(AND(J563="PASS",'Calibrare_Linii'!U17="VALID")),AM563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O45)+((('Istoric_Nativ'!$E$6:$E$405='Input_Meci'!E45)+('Istoric_Nativ'!$F$6:$F$405='Input_Meci'!E45))&gt;0)*('Istoric_Nativ'!$D$6:$D$405&gt;='Motor_Meciuri'!BP45))&gt;0)*('Istoric_Nativ'!$Q$6:$Q$405&gt;H563))/AM563)</x:f>
      </x:c>
      <x:c r="S563" s="10" t="str">
        <x:f>IF(M563="","",MAX(O563,P563,Q563,R563))</x:f>
      </x:c>
      <x:c r="T563" s="11" t="str">
        <x:f>IF(M563="","",MIN(100,S563*100*'Config_v6'!$B$44+MIN(100,L563/'Config_v6'!$B$13*100)*'Config_v6'!$B$45+(100-'Motor_Meciuri'!BF45)*'Config_v6'!$B$46+'Motor_Meciuri'!BH45*100*'Config_v6'!$B$47))</x:f>
      </x:c>
      <x:c r="U563" s="2" t="str">
        <x:f>IF(T563="","",IF(T563&lt;=20,1,IF(T563&lt;=40,2,IF(T563&lt;=60,3,IF(T563&lt;=80,4,5)))))</x:f>
      </x:c>
      <x:c r="V563" s="2" t="str">
        <x:f>IF(M563="","",MAX(0,'Motor_Meciuri'!BF45-IF(W563="OOS PENDING",'Config_v6'!$B$35,0)-IF(L563&gt;'Config_v6'!$B$12,'Config_v6'!$B$37,IF(L563&gt;'Config_v6'!$B$11,'Config_v6'!$B$36,0))))</x:f>
      </x:c>
      <x:c r="W563" s="2" t="str">
        <x:f>IF(B563="","",IF(I563&lt;&gt;"READY","NOT RELEASED",IF(NOT(AND(J563="PASS",'Calibrare_Linii'!U17="VALID")),"INVALID",IF(NOT(AND('Calibrare_Linii'!S17="VALIDATED",AND('Calibrare_Linii'!H17=C563,ISNUMBER('Calibrare_Linii'!J17),'Calibrare_Linii'!J17&lt;='Input_Meci'!G45))),"OOS PENDING",IF(S563&lt;='Calibrare_Linii'!E17,"PASS",IF(S563&lt;='Calibrare_Linii'!F17,"PENALTY","WATCH"))))))</x:f>
      </x:c>
      <x:c r="X563" s="2" t="str">
        <x:f>IF(M563="","",IF(AND(AND(J563="PASS",'Calibrare_Linii'!U17="VALID"),'Motor_Meciuri'!K45=12,'Motor_Meciuri'!L45=12,'Motor_Meciuri'!M45="NO",'Motor_Meciuri'!BL45='Motor_Meciuri'!C45,AB563&gt;='Config_v6'!$B$50,AN563&gt;='Config_v6'!$B$51,T563&lt;='Config_v6'!$B$52,L563&lt;='Config_v6'!$B$53,ISNUMBER('Calibrare_Linii'!E17),S563&lt;='Calibrare_Linii'!E17,SUM(AK563:AM563)&gt;0),"CANDIDATE","NO"))</x:f>
      </x:c>
      <x:c r="Y563" s="2" t="str">
        <x:f>IF(B563="","",IF(I563&lt;&gt;"READY","NOT RELEASED",IF(AND(X563="CANDIDATE",V563&gt;='Config_v6'!$B$51,W563="PASS",'Calibrare_Linii'!T17="VALIDATED",AND('Calibrare_Linii'!H17=C563,ISNUMBER('Calibrare_Linii'!J17),'Calibrare_Linii'!J17&lt;='Input_Meci'!G45)),"PASS",IF(X563="CANDIDATE","OOS PENDING","FAIL"))))</x:f>
      </x:c>
      <x:c r="Z563" s="2" t="str">
        <x:f>IF(B563="","",IF(I563&lt;&gt;"READY","",IF(OR(NOT(AND(J563="PASS",'Calibrare_Linii'!U17="VALID")),L563&gt;'Config_v6'!$B$13,W563="WATCH"),5,IF(Y563="PASS",1,MIN(5,MAX('Config_v6'!$B$42,U563)+IF(W563="PENALTY",1,0))))))</x:f>
      </x:c>
      <x:c r="AA563" s="2" t="str">
        <x:f>IF(B563="","",IF(I563&lt;&gt;"READY","NOT RELEASED",IF(Z563=5,"NO BET",IF(OR(AB563&lt;'Config_v6'!$B$16,V563&lt;'Config_v6'!$B$18),"WATCH",IF(Z563=1,"DEFENSIV",IF(Z563=2,"PRUDENT",IF(Z563=3,"MODERAT","RIDICAT")))))))</x:f>
      </x:c>
      <x:c r="AB563" s="10" t="str">
        <x:f>IF(N563="","",MIN(N563,1-S563))</x:f>
      </x:c>
      <x:c r="AC563" s="2" t="str">
        <x:f>IF(AD563&lt;&gt;1,"",COUNTIFS($Z$552:$Z$565,"&lt;"&amp;Z563,$AD$552:$AD$565,1)+COUNTIFS($Z$552:$Z$565,Z563,$AB$552:$AB$565,"&gt;"&amp;AB563,$AD$552:$AD$565,1)+COUNTIFS($Z$552:$Z$565,Z563,$AB$552:$AB$565,AB563,$V$552:$V$565,"&gt;"&amp;V563,$AD$552:$AD$565,1)+COUNTIFS($Z$552:Z563,Z563,$AB$552:AB563,AB563,$V$552:V563,V563,$AD$552:AD563,1))</x:f>
      </x:c>
      <x:c r="AD563" s="2" t="n">
        <x:f>IF(OR(AA563="DEFENSIV",AA563="PRUDENT",AA563="MODERAT",AA563="RIDICAT"),1,0)</x:f>
        <x:v>0</x:v>
      </x:c>
      <x:c r="AE563" s="2" t="str">
        <x:f>IF(AD563&lt;&gt;1,"NO",IF(W563="PASS","YES",IF(W563="OOS PENDING","CONDITIONAL","NO")))</x:f>
        <x:v>NO</x:v>
      </x:c>
      <x:c r="AF563" s="2" t="n">
        <x:f>IF(AND(AD563=1,AC563=1,E563="LIVE"),1,0)</x:f>
        <x:v>0</x:v>
      </x:c>
      <x:c r="AG563" s="2" t="str">
        <x:f>IF(AF563&lt;&gt;1,"",'Dashboard'!P65)</x:f>
      </x:c>
      <x:c r="AH563" s="2" t="str">
        <x:f>IF(B563="","",IF(J563&lt;&gt;"PASS",'Motor_Meciuri'!J45,IF('Calibrare_Linii'!U17&lt;&gt;"VALID","Parametri linie invalizi",IF(L563&gt;'Config_v6'!$B$13,"Dispersie peste limita",IF(W563="WATCH","Failure peste limita",IF(AB563&lt;'Config_v6'!$B$16,"P finala sub prag",IF(V563&lt;'Config_v6'!$B$18,"Confidence sub prag",IF(E563="REPLAY","Exemplu retrospectiv; exclus din Top LIVE",IF(Y563="PASS","DEFENSIV validat",IF(W563="OOS PENDING","Eligibil; calibrare linie in monitorizare","Eligibil"))))))))))</x:f>
      </x:c>
      <x:c r="AI563" s="2" t="str">
        <x:f>IF(B563="","",'Calibrare_Linii'!V17)</x:f>
      </x:c>
      <x:c r="AJ563" s="2" t="str">
        <x:f>IF(B563="","",IF(AND('Calibrare_Linii'!T17="VALIDATED",AND('Calibrare_Linii'!H17=C563,ISNUMBER('Calibrare_Linii'!J17),'Calibrare_Linii'!J17&lt;='Input_Meci'!G45)),"DEFENSIVE VALIDATED",IF(AND('Calibrare_Linii'!S17="VALIDATED",AND('Calibrare_Linii'!H17=C563,ISNUMBER('Calibrare_Linii'!J17),'Calibrare_Linii'!J17&lt;='Input_Meci'!G45)),"TAIL VALIDATED","OOS PENDING")))</x:f>
      </x:c>
      <x:c r="AK563" s="2" t="n">
        <x:f>IF(J563&lt;&gt;"PASS",0,'Motor_Meciuri'!BR45)</x:f>
        <x:v>0</x:v>
      </x:c>
      <x:c r="AL563" s="2" t="n">
        <x:f>IF(J563&lt;&gt;"PASS",0,'Motor_Meciuri'!BS45)</x:f>
        <x:v>0</x:v>
      </x:c>
      <x:c r="AM563" s="2" t="n">
        <x:f>IF(J563&lt;&gt;"PASS",0,'Motor_Meciuri'!BT45)</x:f>
        <x:v>0</x:v>
      </x:c>
      <x:c r="AN563" s="2" t="str">
        <x:f>IF(M563="","",MAX(0,'Motor_Meciuri'!BF45-IF(L563&gt;'Config_v6'!$B$12,'Config_v6'!$B$37,IF(L563&gt;'Config_v6'!$B$11,'Config_v6'!$B$36,0))))</x:f>
      </x:c>
    </x:row>
    <x:row r="564" ht="21" customHeight="1">
      <x:c r="A564" s="2" t="n">
        <x:v>40</x:v>
      </x:c>
      <x:c r="B564" s="2" t="str">
        <x:f>IF('Motor_Meciuri'!A45="","",'Motor_Meciuri'!A45)</x:f>
      </x:c>
      <x:c r="C564" s="2" t="str">
        <x:f>IF(B564="","",'Motor_Meciuri'!B45)</x:f>
      </x:c>
      <x:c r="D564" s="2" t="str">
        <x:f>IF(B564="","",'Motor_Meciuri'!D45)</x:f>
      </x:c>
      <x:c r="E564" s="2" t="str">
        <x:f>IF(B564="","",'Motor_Meciuri'!E45)</x:f>
      </x:c>
      <x:c r="F564" s="2" t="str">
        <x:v>U16,5</x:v>
      </x:c>
      <x:c r="G564" s="2" t="str">
        <x:v>UNDER</x:v>
      </x:c>
      <x:c r="H564" s="2" t="n">
        <x:v>16</x:v>
      </x:c>
      <x:c r="I564" s="2" t="str">
        <x:f>IF(B564="","",'Motor_Meciuri'!H45)</x:f>
      </x:c>
      <x:c r="J564" s="2" t="str">
        <x:f>IF(B564="","",'Motor_Meciuri'!I45)</x:f>
      </x:c>
      <x:c r="K564" s="11" t="str">
        <x:f>IF(J564&lt;&gt;"PASS","",'Motor_Meciuri'!BD45)</x:f>
      </x:c>
      <x:c r="L564" s="11" t="str">
        <x:f>IF(J564&lt;&gt;"PASS","",'Motor_Meciuri'!AU45)</x:f>
      </x:c>
      <x:c r="M564" s="10" t="str">
        <x:f>IF(NOT(AND(J564="PASS",'Calibrare_Linii'!U18="VALID")),"",'Distributie'!AN45)</x:f>
      </x:c>
      <x:c r="N564" s="10" t="str">
        <x:f>IF(M564="","",MAX(0.01,MIN(0.99,0.5+(M564-0.5)*'Motor_Meciuri'!BG45*'Calibrare_Linii'!D18)))</x:f>
      </x:c>
      <x:c r="O564" s="10" t="str">
        <x:f>IF(M564="","",1-M564)</x:f>
      </x:c>
      <x:c r="P564" s="10" t="str">
        <x:f>IF(OR(NOT(AND(J564="PASS",'Calibrare_Linii'!U18="VALID")),AK564=0),""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*('Istoric_Nativ'!$Q$6:$Q$405&gt;H564))/AK564)</x:f>
      </x:c>
      <x:c r="Q564" s="10" t="str">
        <x:f>IF(OR(NOT(AND(J564="PASS",'Calibrare_Linii'!U18="VALID")),AL564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M45)+((('Istoric_Nativ'!$E$6:$E$405='Input_Meci'!E45)+('Istoric_Nativ'!$F$6:$F$405='Input_Meci'!E45))&gt;0)*('Istoric_Nativ'!$D$6:$D$405&gt;='Motor_Meciuri'!BN45))&gt;0)*('Istoric_Nativ'!$Q$6:$Q$405&gt;H564))/AL564)</x:f>
      </x:c>
      <x:c r="R564" s="10" t="str">
        <x:f>IF(OR(NOT(AND(J564="PASS",'Calibrare_Linii'!U18="VALID")),AM564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O45)+((('Istoric_Nativ'!$E$6:$E$405='Input_Meci'!E45)+('Istoric_Nativ'!$F$6:$F$405='Input_Meci'!E45))&gt;0)*('Istoric_Nativ'!$D$6:$D$405&gt;='Motor_Meciuri'!BP45))&gt;0)*('Istoric_Nativ'!$Q$6:$Q$405&gt;H564))/AM564)</x:f>
      </x:c>
      <x:c r="S564" s="10" t="str">
        <x:f>IF(M564="","",MAX(O564,P564,Q564,R564))</x:f>
      </x:c>
      <x:c r="T564" s="11" t="str">
        <x:f>IF(M564="","",MIN(100,S564*100*'Config_v6'!$B$44+MIN(100,L564/'Config_v6'!$B$13*100)*'Config_v6'!$B$45+(100-'Motor_Meciuri'!BF45)*'Config_v6'!$B$46+'Motor_Meciuri'!BH45*100*'Config_v6'!$B$47))</x:f>
      </x:c>
      <x:c r="U564" s="2" t="str">
        <x:f>IF(T564="","",IF(T564&lt;=20,1,IF(T564&lt;=40,2,IF(T564&lt;=60,3,IF(T564&lt;=80,4,5)))))</x:f>
      </x:c>
      <x:c r="V564" s="2" t="str">
        <x:f>IF(M564="","",MAX(0,'Motor_Meciuri'!BF45-IF(W564="OOS PENDING",'Config_v6'!$B$35,0)-IF(L564&gt;'Config_v6'!$B$12,'Config_v6'!$B$37,IF(L564&gt;'Config_v6'!$B$11,'Config_v6'!$B$36,0))))</x:f>
      </x:c>
      <x:c r="W564" s="2" t="str">
        <x:f>IF(B564="","",IF(I564&lt;&gt;"READY","NOT RELEASED",IF(NOT(AND(J564="PASS",'Calibrare_Linii'!U18="VALID")),"INVALID",IF(NOT(AND('Calibrare_Linii'!S18="VALIDATED",AND('Calibrare_Linii'!H18=C564,ISNUMBER('Calibrare_Linii'!J18),'Calibrare_Linii'!J18&lt;='Input_Meci'!G45))),"OOS PENDING",IF(S564&lt;='Calibrare_Linii'!E18,"PASS",IF(S564&lt;='Calibrare_Linii'!F18,"PENALTY","WATCH"))))))</x:f>
      </x:c>
      <x:c r="X564" s="2" t="str">
        <x:f>IF(M564="","",IF(AND(AND(J564="PASS",'Calibrare_Linii'!U18="VALID"),'Motor_Meciuri'!K45=12,'Motor_Meciuri'!L45=12,'Motor_Meciuri'!M45="NO",'Motor_Meciuri'!BL45='Motor_Meciuri'!C45,AB564&gt;='Config_v6'!$B$50,AN564&gt;='Config_v6'!$B$51,T564&lt;='Config_v6'!$B$52,L564&lt;='Config_v6'!$B$53,ISNUMBER('Calibrare_Linii'!E18),S564&lt;='Calibrare_Linii'!E18,SUM(AK564:AM564)&gt;0),"CANDIDATE","NO"))</x:f>
      </x:c>
      <x:c r="Y564" s="2" t="str">
        <x:f>IF(B564="","",IF(I564&lt;&gt;"READY","NOT RELEASED",IF(AND(X564="CANDIDATE",V564&gt;='Config_v6'!$B$51,W564="PASS",'Calibrare_Linii'!T18="VALIDATED",AND('Calibrare_Linii'!H18=C564,ISNUMBER('Calibrare_Linii'!J18),'Calibrare_Linii'!J18&lt;='Input_Meci'!G45)),"PASS",IF(X564="CANDIDATE","OOS PENDING","FAIL"))))</x:f>
      </x:c>
      <x:c r="Z564" s="2" t="str">
        <x:f>IF(B564="","",IF(I564&lt;&gt;"READY","",IF(OR(NOT(AND(J564="PASS",'Calibrare_Linii'!U18="VALID")),L564&gt;'Config_v6'!$B$13,W564="WATCH"),5,IF(Y564="PASS",1,MIN(5,MAX('Config_v6'!$B$42,U564)+IF(W564="PENALTY",1,0))))))</x:f>
      </x:c>
      <x:c r="AA564" s="2" t="str">
        <x:f>IF(B564="","",IF(I564&lt;&gt;"READY","NOT RELEASED",IF(Z564=5,"NO BET",IF(OR(AB564&lt;'Config_v6'!$B$16,V564&lt;'Config_v6'!$B$18),"WATCH",IF(Z564=1,"DEFENSIV",IF(Z564=2,"PRUDENT",IF(Z564=3,"MODERAT","RIDICAT")))))))</x:f>
      </x:c>
      <x:c r="AB564" s="10" t="str">
        <x:f>IF(N564="","",MIN(N564,1-S564))</x:f>
      </x:c>
      <x:c r="AC564" s="2" t="str">
        <x:f>IF(AD564&lt;&gt;1,"",COUNTIFS($Z$552:$Z$565,"&lt;"&amp;Z564,$AD$552:$AD$565,1)+COUNTIFS($Z$552:$Z$565,Z564,$AB$552:$AB$565,"&gt;"&amp;AB564,$AD$552:$AD$565,1)+COUNTIFS($Z$552:$Z$565,Z564,$AB$552:$AB$565,AB564,$V$552:$V$565,"&gt;"&amp;V564,$AD$552:$AD$565,1)+COUNTIFS($Z$552:Z564,Z564,$AB$552:AB564,AB564,$V$552:V564,V564,$AD$552:AD564,1))</x:f>
      </x:c>
      <x:c r="AD564" s="2" t="n">
        <x:f>IF(OR(AA564="DEFENSIV",AA564="PRUDENT",AA564="MODERAT",AA564="RIDICAT"),1,0)</x:f>
        <x:v>0</x:v>
      </x:c>
      <x:c r="AE564" s="2" t="str">
        <x:f>IF(AD564&lt;&gt;1,"NO",IF(W564="PASS","YES",IF(W564="OOS PENDING","CONDITIONAL","NO")))</x:f>
        <x:v>NO</x:v>
      </x:c>
      <x:c r="AF564" s="2" t="n">
        <x:f>IF(AND(AD564=1,AC564=1,E564="LIVE"),1,0)</x:f>
        <x:v>0</x:v>
      </x:c>
      <x:c r="AG564" s="2" t="str">
        <x:f>IF(AF564&lt;&gt;1,"",'Dashboard'!P65)</x:f>
      </x:c>
      <x:c r="AH564" s="2" t="str">
        <x:f>IF(B564="","",IF(J564&lt;&gt;"PASS",'Motor_Meciuri'!J45,IF('Calibrare_Linii'!U18&lt;&gt;"VALID","Parametri linie invalizi",IF(L564&gt;'Config_v6'!$B$13,"Dispersie peste limita",IF(W564="WATCH","Failure peste limita",IF(AB564&lt;'Config_v6'!$B$16,"P finala sub prag",IF(V564&lt;'Config_v6'!$B$18,"Confidence sub prag",IF(E564="REPLAY","Exemplu retrospectiv; exclus din Top LIVE",IF(Y564="PASS","DEFENSIV validat",IF(W564="OOS PENDING","Eligibil; calibrare linie in monitorizare","Eligibil"))))))))))</x:f>
      </x:c>
      <x:c r="AI564" s="2" t="str">
        <x:f>IF(B564="","",'Calibrare_Linii'!V18)</x:f>
      </x:c>
      <x:c r="AJ564" s="2" t="str">
        <x:f>IF(B564="","",IF(AND('Calibrare_Linii'!T18="VALIDATED",AND('Calibrare_Linii'!H18=C564,ISNUMBER('Calibrare_Linii'!J18),'Calibrare_Linii'!J18&lt;='Input_Meci'!G45)),"DEFENSIVE VALIDATED",IF(AND('Calibrare_Linii'!S18="VALIDATED",AND('Calibrare_Linii'!H18=C564,ISNUMBER('Calibrare_Linii'!J18),'Calibrare_Linii'!J18&lt;='Input_Meci'!G45)),"TAIL VALIDATED","OOS PENDING")))</x:f>
      </x:c>
      <x:c r="AK564" s="2" t="n">
        <x:f>IF(J564&lt;&gt;"PASS",0,'Motor_Meciuri'!BR45)</x:f>
        <x:v>0</x:v>
      </x:c>
      <x:c r="AL564" s="2" t="n">
        <x:f>IF(J564&lt;&gt;"PASS",0,'Motor_Meciuri'!BS45)</x:f>
        <x:v>0</x:v>
      </x:c>
      <x:c r="AM564" s="2" t="n">
        <x:f>IF(J564&lt;&gt;"PASS",0,'Motor_Meciuri'!BT45)</x:f>
        <x:v>0</x:v>
      </x:c>
      <x:c r="AN564" s="2" t="str">
        <x:f>IF(M564="","",MAX(0,'Motor_Meciuri'!BF45-IF(L564&gt;'Config_v6'!$B$12,'Config_v6'!$B$37,IF(L564&gt;'Config_v6'!$B$11,'Config_v6'!$B$36,0))))</x:f>
      </x:c>
    </x:row>
    <x:row r="565" ht="21" customHeight="1">
      <x:c r="A565" s="2" t="n">
        <x:v>40</x:v>
      </x:c>
      <x:c r="B565" s="2" t="str">
        <x:f>IF('Motor_Meciuri'!A45="","",'Motor_Meciuri'!A45)</x:f>
      </x:c>
      <x:c r="C565" s="2" t="str">
        <x:f>IF(B565="","",'Motor_Meciuri'!B45)</x:f>
      </x:c>
      <x:c r="D565" s="2" t="str">
        <x:f>IF(B565="","",'Motor_Meciuri'!D45)</x:f>
      </x:c>
      <x:c r="E565" s="2" t="str">
        <x:f>IF(B565="","",'Motor_Meciuri'!E45)</x:f>
      </x:c>
      <x:c r="F565" s="2" t="str">
        <x:v>U17,5</x:v>
      </x:c>
      <x:c r="G565" s="2" t="str">
        <x:v>UNDER</x:v>
      </x:c>
      <x:c r="H565" s="2" t="n">
        <x:v>17</x:v>
      </x:c>
      <x:c r="I565" s="2" t="str">
        <x:f>IF(B565="","",'Motor_Meciuri'!H45)</x:f>
      </x:c>
      <x:c r="J565" s="2" t="str">
        <x:f>IF(B565="","",'Motor_Meciuri'!I45)</x:f>
      </x:c>
      <x:c r="K565" s="11" t="str">
        <x:f>IF(J565&lt;&gt;"PASS","",'Motor_Meciuri'!BD45)</x:f>
      </x:c>
      <x:c r="L565" s="11" t="str">
        <x:f>IF(J565&lt;&gt;"PASS","",'Motor_Meciuri'!AU45)</x:f>
      </x:c>
      <x:c r="M565" s="10" t="str">
        <x:f>IF(NOT(AND(J565="PASS",'Calibrare_Linii'!U19="VALID")),"",'Distributie'!AO45)</x:f>
      </x:c>
      <x:c r="N565" s="10" t="str">
        <x:f>IF(M565="","",MAX(0.01,MIN(0.99,0.5+(M565-0.5)*'Motor_Meciuri'!BG45*'Calibrare_Linii'!D19)))</x:f>
      </x:c>
      <x:c r="O565" s="10" t="str">
        <x:f>IF(M565="","",1-M565)</x:f>
      </x:c>
      <x:c r="P565" s="10" t="str">
        <x:f>IF(OR(NOT(AND(J565="PASS",'Calibrare_Linii'!U19="VALID")),AK565=0),""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*('Istoric_Nativ'!$Q$6:$Q$405&gt;H565))/AK565)</x:f>
      </x:c>
      <x:c r="Q565" s="10" t="str">
        <x:f>IF(OR(NOT(AND(J565="PASS",'Calibrare_Linii'!U19="VALID")),AL565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M45)+((('Istoric_Nativ'!$E$6:$E$405='Input_Meci'!E45)+('Istoric_Nativ'!$F$6:$F$405='Input_Meci'!E45))&gt;0)*('Istoric_Nativ'!$D$6:$D$405&gt;='Motor_Meciuri'!BN45))&gt;0)*('Istoric_Nativ'!$Q$6:$Q$405&gt;H565))/AL565)</x:f>
      </x:c>
      <x:c r="R565" s="10" t="str">
        <x:f>IF(OR(NOT(AND(J565="PASS",'Calibrare_Linii'!U19="VALID")),AM565=0),""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'Motor_Meciuri'!BO45)+((('Istoric_Nativ'!$E$6:$E$405='Input_Meci'!E45)+('Istoric_Nativ'!$F$6:$F$405='Input_Meci'!E45))&gt;0)*('Istoric_Nativ'!$D$6:$D$405&gt;='Motor_Meciuri'!BP45))&gt;0)*('Istoric_Nativ'!$Q$6:$Q$405&gt;H565))/AM565)</x:f>
      </x:c>
      <x:c r="S565" s="10" t="str">
        <x:f>IF(M565="","",MAX(O565,P565,Q565,R565))</x:f>
      </x:c>
      <x:c r="T565" s="11" t="str">
        <x:f>IF(M565="","",MIN(100,S565*100*'Config_v6'!$B$44+MIN(100,L565/'Config_v6'!$B$13*100)*'Config_v6'!$B$45+(100-'Motor_Meciuri'!BF45)*'Config_v6'!$B$46+'Motor_Meciuri'!BH45*100*'Config_v6'!$B$47))</x:f>
      </x:c>
      <x:c r="U565" s="2" t="str">
        <x:f>IF(T565="","",IF(T565&lt;=20,1,IF(T565&lt;=40,2,IF(T565&lt;=60,3,IF(T565&lt;=80,4,5)))))</x:f>
      </x:c>
      <x:c r="V565" s="2" t="str">
        <x:f>IF(M565="","",MAX(0,'Motor_Meciuri'!BF45-IF(W565="OOS PENDING",'Config_v6'!$B$35,0)-IF(L565&gt;'Config_v6'!$B$12,'Config_v6'!$B$37,IF(L565&gt;'Config_v6'!$B$11,'Config_v6'!$B$36,0))))</x:f>
      </x:c>
      <x:c r="W565" s="2" t="str">
        <x:f>IF(B565="","",IF(I565&lt;&gt;"READY","NOT RELEASED",IF(NOT(AND(J565="PASS",'Calibrare_Linii'!U19="VALID")),"INVALID",IF(NOT(AND('Calibrare_Linii'!S19="VALIDATED",AND('Calibrare_Linii'!H19=C565,ISNUMBER('Calibrare_Linii'!J19),'Calibrare_Linii'!J19&lt;='Input_Meci'!G45))),"OOS PENDING",IF(S565&lt;='Calibrare_Linii'!E19,"PASS",IF(S565&lt;='Calibrare_Linii'!F19,"PENALTY","WATCH"))))))</x:f>
      </x:c>
      <x:c r="X565" s="2" t="str">
        <x:f>IF(M565="","",IF(AND(AND(J565="PASS",'Calibrare_Linii'!U19="VALID"),'Motor_Meciuri'!K45=12,'Motor_Meciuri'!L45=12,'Motor_Meciuri'!M45="NO",'Motor_Meciuri'!BL45='Motor_Meciuri'!C45,AB565&gt;='Config_v6'!$B$50,AN565&gt;='Config_v6'!$B$51,T565&lt;='Config_v6'!$B$52,L565&lt;='Config_v6'!$B$53,ISNUMBER('Calibrare_Linii'!E19),S565&lt;='Calibrare_Linii'!E19,SUM(AK565:AM565)&gt;0),"CANDIDATE","NO"))</x:f>
      </x:c>
      <x:c r="Y565" s="2" t="str">
        <x:f>IF(B565="","",IF(I565&lt;&gt;"READY","NOT RELEASED",IF(AND(X565="CANDIDATE",V565&gt;='Config_v6'!$B$51,W565="PASS",'Calibrare_Linii'!T19="VALIDATED",AND('Calibrare_Linii'!H19=C565,ISNUMBER('Calibrare_Linii'!J19),'Calibrare_Linii'!J19&lt;='Input_Meci'!G45)),"PASS",IF(X565="CANDIDATE","OOS PENDING","FAIL"))))</x:f>
      </x:c>
      <x:c r="Z565" s="2" t="str">
        <x:f>IF(B565="","",IF(I565&lt;&gt;"READY","",IF(OR(NOT(AND(J565="PASS",'Calibrare_Linii'!U19="VALID")),L565&gt;'Config_v6'!$B$13,W565="WATCH"),5,IF(Y565="PASS",1,MIN(5,MAX('Config_v6'!$B$42,U565)+IF(W565="PENALTY",1,0))))))</x:f>
      </x:c>
      <x:c r="AA565" s="2" t="str">
        <x:f>IF(B565="","",IF(I565&lt;&gt;"READY","NOT RELEASED",IF(Z565=5,"NO BET",IF(OR(AB565&lt;'Config_v6'!$B$16,V565&lt;'Config_v6'!$B$18),"WATCH",IF(Z565=1,"DEFENSIV",IF(Z565=2,"PRUDENT",IF(Z565=3,"MODERAT","RIDICAT")))))))</x:f>
      </x:c>
      <x:c r="AB565" s="10" t="str">
        <x:f>IF(N565="","",MIN(N565,1-S565))</x:f>
      </x:c>
      <x:c r="AC565" s="2" t="str">
        <x:f>IF(AD565&lt;&gt;1,"",COUNTIFS($Z$552:$Z$565,"&lt;"&amp;Z565,$AD$552:$AD$565,1)+COUNTIFS($Z$552:$Z$565,Z565,$AB$552:$AB$565,"&gt;"&amp;AB565,$AD$552:$AD$565,1)+COUNTIFS($Z$552:$Z$565,Z565,$AB$552:$AB$565,AB565,$V$552:$V$565,"&gt;"&amp;V565,$AD$552:$AD$565,1)+COUNTIFS($Z$552:Z565,Z565,$AB$552:AB565,AB565,$V$552:V565,V565,$AD$552:AD565,1))</x:f>
      </x:c>
      <x:c r="AD565" s="2" t="n">
        <x:f>IF(OR(AA565="DEFENSIV",AA565="PRUDENT",AA565="MODERAT",AA565="RIDICAT"),1,0)</x:f>
        <x:v>0</x:v>
      </x:c>
      <x:c r="AE565" s="2" t="str">
        <x:f>IF(AD565&lt;&gt;1,"NO",IF(W565="PASS","YES",IF(W565="OOS PENDING","CONDITIONAL","NO")))</x:f>
        <x:v>NO</x:v>
      </x:c>
      <x:c r="AF565" s="2" t="n">
        <x:f>IF(AND(AD565=1,AC565=1,E565="LIVE"),1,0)</x:f>
        <x:v>0</x:v>
      </x:c>
      <x:c r="AG565" s="2" t="str">
        <x:f>IF(AF565&lt;&gt;1,"",'Dashboard'!P65)</x:f>
      </x:c>
      <x:c r="AH565" s="2" t="str">
        <x:f>IF(B565="","",IF(J565&lt;&gt;"PASS",'Motor_Meciuri'!J45,IF('Calibrare_Linii'!U19&lt;&gt;"VALID","Parametri linie invalizi",IF(L565&gt;'Config_v6'!$B$13,"Dispersie peste limita",IF(W565="WATCH","Failure peste limita",IF(AB565&lt;'Config_v6'!$B$16,"P finala sub prag",IF(V565&lt;'Config_v6'!$B$18,"Confidence sub prag",IF(E565="REPLAY","Exemplu retrospectiv; exclus din Top LIVE",IF(Y565="PASS","DEFENSIV validat",IF(W565="OOS PENDING","Eligibil; calibrare linie in monitorizare","Eligibil"))))))))))</x:f>
      </x:c>
      <x:c r="AI565" s="2" t="str">
        <x:f>IF(B565="","",'Calibrare_Linii'!V19)</x:f>
      </x:c>
      <x:c r="AJ565" s="2" t="str">
        <x:f>IF(B565="","",IF(AND('Calibrare_Linii'!T19="VALIDATED",AND('Calibrare_Linii'!H19=C565,ISNUMBER('Calibrare_Linii'!J19),'Calibrare_Linii'!J19&lt;='Input_Meci'!G45)),"DEFENSIVE VALIDATED",IF(AND('Calibrare_Linii'!S19="VALIDATED",AND('Calibrare_Linii'!H19=C565,ISNUMBER('Calibrare_Linii'!J19),'Calibrare_Linii'!J19&lt;='Input_Meci'!G45)),"TAIL VALIDATED","OOS PENDING")))</x:f>
      </x:c>
      <x:c r="AK565" s="2" t="n">
        <x:f>IF(J565&lt;&gt;"PASS",0,'Motor_Meciuri'!BR45)</x:f>
        <x:v>0</x:v>
      </x:c>
      <x:c r="AL565" s="2" t="n">
        <x:f>IF(J565&lt;&gt;"PASS",0,'Motor_Meciuri'!BS45)</x:f>
        <x:v>0</x:v>
      </x:c>
      <x:c r="AM565" s="2" t="n">
        <x:f>IF(J565&lt;&gt;"PASS",0,'Motor_Meciuri'!BT45)</x:f>
        <x:v>0</x:v>
      </x:c>
      <x:c r="AN565" s="2" t="str">
        <x:f>IF(M565="","",MAX(0,'Motor_Meciuri'!BF45-IF(L565&gt;'Config_v6'!$B$12,'Config_v6'!$B$37,IF(L565&gt;'Config_v6'!$B$11,'Config_v6'!$B$36,0))))</x:f>
      </x:c>
    </x:row>
    <x:row r="566" ht="21" customHeight="1">
      <x:c r="A566" s="2" t="n">
        <x:v>41</x:v>
      </x:c>
      <x:c r="B566" s="2" t="str">
        <x:f>IF('Motor_Meciuri'!A46="","",'Motor_Meciuri'!A46)</x:f>
      </x:c>
      <x:c r="C566" s="2" t="str">
        <x:f>IF(B566="","",'Motor_Meciuri'!B46)</x:f>
      </x:c>
      <x:c r="D566" s="2" t="str">
        <x:f>IF(B566="","",'Motor_Meciuri'!D46)</x:f>
      </x:c>
      <x:c r="E566" s="2" t="str">
        <x:f>IF(B566="","",'Motor_Meciuri'!E46)</x:f>
      </x:c>
      <x:c r="F566" s="2" t="str">
        <x:v>O3,5</x:v>
      </x:c>
      <x:c r="G566" s="2" t="str">
        <x:v>OVER</x:v>
      </x:c>
      <x:c r="H566" s="2" t="n">
        <x:v>3</x:v>
      </x:c>
      <x:c r="I566" s="2" t="str">
        <x:f>IF(B566="","",'Motor_Meciuri'!H46)</x:f>
      </x:c>
      <x:c r="J566" s="2" t="str">
        <x:f>IF(B566="","",'Motor_Meciuri'!I46)</x:f>
      </x:c>
      <x:c r="K566" s="11" t="str">
        <x:f>IF(J566&lt;&gt;"PASS","",'Motor_Meciuri'!BD46)</x:f>
      </x:c>
      <x:c r="L566" s="11" t="str">
        <x:f>IF(J566&lt;&gt;"PASS","",'Motor_Meciuri'!AU46)</x:f>
      </x:c>
      <x:c r="M566" s="10" t="str">
        <x:f>IF(NOT(AND(J566="PASS",'Calibrare_Linii'!U6="VALID")),"",1-'Distributie'!AA46)</x:f>
      </x:c>
      <x:c r="N566" s="10" t="str">
        <x:f>IF(M566="","",MAX(0.01,MIN(0.99,0.5+(M566-0.5)*'Motor_Meciuri'!BG46*'Calibrare_Linii'!D6)))</x:f>
      </x:c>
      <x:c r="O566" s="10" t="str">
        <x:f>IF(M566="","",1-M566)</x:f>
      </x:c>
      <x:c r="P566" s="10" t="str">
        <x:f>IF(OR(NOT(AND(J566="PASS",'Calibrare_Linii'!U6="VALID")),AK566=0),""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*('Istoric_Nativ'!$Q$6:$Q$405&lt;=H566))/AK566)</x:f>
      </x:c>
      <x:c r="Q566" s="10" t="str">
        <x:f>IF(OR(NOT(AND(J566="PASS",'Calibrare_Linii'!U6="VALID")),AL566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M46)+((('Istoric_Nativ'!$E$6:$E$405='Input_Meci'!E46)+('Istoric_Nativ'!$F$6:$F$405='Input_Meci'!E46))&gt;0)*('Istoric_Nativ'!$D$6:$D$405&gt;='Motor_Meciuri'!BN46))&gt;0)*('Istoric_Nativ'!$Q$6:$Q$405&lt;=H566))/AL566)</x:f>
      </x:c>
      <x:c r="R566" s="10" t="str">
        <x:f>IF(OR(NOT(AND(J566="PASS",'Calibrare_Linii'!U6="VALID")),AM566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O46)+((('Istoric_Nativ'!$E$6:$E$405='Input_Meci'!E46)+('Istoric_Nativ'!$F$6:$F$405='Input_Meci'!E46))&gt;0)*('Istoric_Nativ'!$D$6:$D$405&gt;='Motor_Meciuri'!BP46))&gt;0)*('Istoric_Nativ'!$Q$6:$Q$405&lt;=H566))/AM566)</x:f>
      </x:c>
      <x:c r="S566" s="10" t="str">
        <x:f>IF(M566="","",MAX(O566,P566,Q566,R566))</x:f>
      </x:c>
      <x:c r="T566" s="11" t="str">
        <x:f>IF(M566="","",MIN(100,S566*100*'Config_v6'!$B$44+MIN(100,L566/'Config_v6'!$B$13*100)*'Config_v6'!$B$45+(100-'Motor_Meciuri'!BF46)*'Config_v6'!$B$46+'Motor_Meciuri'!BH46*100*'Config_v6'!$B$47))</x:f>
      </x:c>
      <x:c r="U566" s="2" t="str">
        <x:f>IF(T566="","",IF(T566&lt;=20,1,IF(T566&lt;=40,2,IF(T566&lt;=60,3,IF(T566&lt;=80,4,5)))))</x:f>
      </x:c>
      <x:c r="V566" s="2" t="str">
        <x:f>IF(M566="","",MAX(0,'Motor_Meciuri'!BF46-IF(W566="OOS PENDING",'Config_v6'!$B$35,0)-IF(L566&gt;'Config_v6'!$B$12,'Config_v6'!$B$37,IF(L566&gt;'Config_v6'!$B$11,'Config_v6'!$B$36,0))))</x:f>
      </x:c>
      <x:c r="W566" s="2" t="str">
        <x:f>IF(B566="","",IF(I566&lt;&gt;"READY","NOT RELEASED",IF(NOT(AND(J566="PASS",'Calibrare_Linii'!U6="VALID")),"INVALID",IF(NOT(TRUE),"OOS PENDING",IF(S566&lt;=IF(AND('Calibrare_Linii'!S6="VALIDATED",AND('Calibrare_Linii'!H6=C566,ISNUMBER('Calibrare_Linii'!J6),'Calibrare_Linii'!J6&lt;='Input_Meci'!G46)),'Calibrare_Linii'!E6,'Config_v6'!$B$26),"PASS",IF(S566&lt;=IF(AND('Calibrare_Linii'!S6="VALIDATED",AND('Calibrare_Linii'!H6=C566,ISNUMBER('Calibrare_Linii'!J6),'Calibrare_Linii'!J6&lt;='Input_Meci'!G46)),'Calibrare_Linii'!F6,'Config_v6'!$C$26),"PENALTY","WATCH"))))))</x:f>
      </x:c>
      <x:c r="X566" s="2" t="str">
        <x:f>IF(M566="","",IF(AND(AND(J566="PASS",'Calibrare_Linii'!U6="VALID"),'Motor_Meciuri'!K46=12,'Motor_Meciuri'!L46=12,'Motor_Meciuri'!M46="NO",'Motor_Meciuri'!BL46='Motor_Meciuri'!C46,AB566&gt;='Config_v6'!$B$50,AN566&gt;='Config_v6'!$B$51,T566&lt;='Config_v6'!$B$52,L566&lt;='Config_v6'!$B$53,ISNUMBER('Calibrare_Linii'!E6),S566&lt;='Calibrare_Linii'!E6,SUM(AK566:AM566)&gt;0),"CANDIDATE","NO"))</x:f>
      </x:c>
      <x:c r="Y566" s="2" t="str">
        <x:f>IF(B566="","",IF(I566&lt;&gt;"READY","NOT RELEASED",IF(AND(X566="CANDIDATE",V566&gt;='Config_v6'!$B$51,W566="PASS",'Calibrare_Linii'!T6="VALIDATED",AND('Calibrare_Linii'!H6=C566,ISNUMBER('Calibrare_Linii'!J6),'Calibrare_Linii'!J6&lt;='Input_Meci'!G46)),"PASS",IF(X566="CANDIDATE","OOS PENDING","FAIL"))))</x:f>
      </x:c>
      <x:c r="Z566" s="2" t="str">
        <x:f>IF(B566="","",IF(I566&lt;&gt;"READY","",IF(OR(NOT(AND(J566="PASS",'Calibrare_Linii'!U6="VALID")),L566&gt;'Config_v6'!$B$13,W566="WATCH"),5,IF(Y566="PASS",1,MIN(5,MAX('Config_v6'!$B$42,U566)+IF(W566="PENALTY",1,0))))))</x:f>
      </x:c>
      <x:c r="AA566" s="2" t="str">
        <x:f>IF(B566="","",IF(I566&lt;&gt;"READY","NOT RELEASED",IF(Z566=5,"NO BET",IF(OR(AB566&lt;'Config_v6'!$B$16,V566&lt;'Config_v6'!$B$18),"WATCH",IF(Z566=1,"DEFENSIV",IF(Z566=2,"PRUDENT",IF(Z566=3,"MODERAT","RIDICAT")))))))</x:f>
      </x:c>
      <x:c r="AB566" s="10" t="str">
        <x:f>IF(N566="","",MIN(N566,1-S566))</x:f>
      </x:c>
      <x:c r="AC566" s="2" t="str">
        <x:f>IF(AD566&lt;&gt;1,"",COUNTIFS($Z$566:$Z$579,"&lt;"&amp;Z566,$AD$566:$AD$579,1)+COUNTIFS($Z$566:$Z$579,Z566,$AB$566:$AB$579,"&gt;"&amp;AB566,$AD$566:$AD$579,1)+COUNTIFS($Z$566:$Z$579,Z566,$AB$566:$AB$579,AB566,$V$566:$V$579,"&gt;"&amp;V566,$AD$566:$AD$579,1)+COUNTIFS($Z$566:Z566,Z566,$AB$566:AB566,AB566,$V$566:V566,V566,$AD$566:AD566,1))</x:f>
      </x:c>
      <x:c r="AD566" s="2" t="n">
        <x:f>IF(OR(AA566="DEFENSIV",AA566="PRUDENT",AA566="MODERAT",AA566="RIDICAT"),1,0)</x:f>
        <x:v>0</x:v>
      </x:c>
      <x:c r="AE566" s="2" t="str">
        <x:f>IF(AD566&lt;&gt;1,"NO",IF(W566="PASS","YES",IF(W566="OOS PENDING","CONDITIONAL","NO")))</x:f>
        <x:v>NO</x:v>
      </x:c>
      <x:c r="AF566" s="2" t="n">
        <x:f>IF(AND(AD566=1,AC566=1,E566="LIVE"),1,0)</x:f>
        <x:v>0</x:v>
      </x:c>
      <x:c r="AG566" s="2" t="str">
        <x:f>IF(AF566&lt;&gt;1,"",'Dashboard'!P66)</x:f>
      </x:c>
      <x:c r="AH566" s="2" t="str">
        <x:f>IF(B566="","",IF(J566&lt;&gt;"PASS",'Motor_Meciuri'!J46,IF('Calibrare_Linii'!U6&lt;&gt;"VALID","Parametri linie invalizi",IF(L566&gt;'Config_v6'!$B$13,"Dispersie peste limita",IF(W566="WATCH","Failure peste limita",IF(AB566&lt;'Config_v6'!$B$16,"P finala sub prag",IF(V566&lt;'Config_v6'!$B$18,"Confidence sub prag",IF(E566="REPLAY","Exemplu retrospectiv; exclus din Top LIVE",IF(Y566="PASS","DEFENSIV validat",IF(W566="OOS PENDING","Eligibil; calibrare linie in monitorizare","Eligibil"))))))))))</x:f>
      </x:c>
      <x:c r="AI566" s="2" t="str">
        <x:f>IF(B566="","",'Calibrare_Linii'!V6)</x:f>
      </x:c>
      <x:c r="AJ566" s="2" t="str">
        <x:f>IF(B566="","",IF(AND('Calibrare_Linii'!T6="VALIDATED",AND('Calibrare_Linii'!H6=C566,ISNUMBER('Calibrare_Linii'!J6),'Calibrare_Linii'!J6&lt;='Input_Meci'!G46)),"DEFENSIVE VALIDATED",IF(AND('Calibrare_Linii'!S6="VALIDATED",AND('Calibrare_Linii'!H6=C566,ISNUMBER('Calibrare_Linii'!J6),'Calibrare_Linii'!J6&lt;='Input_Meci'!G46)),"TAIL VALIDATED","OOS PENDING")))</x:f>
      </x:c>
      <x:c r="AK566" s="2" t="n">
        <x:f>IF(J566&lt;&gt;"PASS",0,'Motor_Meciuri'!BR46)</x:f>
        <x:v>0</x:v>
      </x:c>
      <x:c r="AL566" s="2" t="n">
        <x:f>IF(J566&lt;&gt;"PASS",0,'Motor_Meciuri'!BS46)</x:f>
        <x:v>0</x:v>
      </x:c>
      <x:c r="AM566" s="2" t="n">
        <x:f>IF(J566&lt;&gt;"PASS",0,'Motor_Meciuri'!BT46)</x:f>
        <x:v>0</x:v>
      </x:c>
      <x:c r="AN566" s="2" t="str">
        <x:f>IF(M566="","",MAX(0,'Motor_Meciuri'!BF46-IF(L566&gt;'Config_v6'!$B$12,'Config_v6'!$B$37,IF(L566&gt;'Config_v6'!$B$11,'Config_v6'!$B$36,0))))</x:f>
      </x:c>
    </x:row>
    <x:row r="567" ht="21" customHeight="1">
      <x:c r="A567" s="2" t="n">
        <x:v>41</x:v>
      </x:c>
      <x:c r="B567" s="2" t="str">
        <x:f>IF('Motor_Meciuri'!A46="","",'Motor_Meciuri'!A46)</x:f>
      </x:c>
      <x:c r="C567" s="2" t="str">
        <x:f>IF(B567="","",'Motor_Meciuri'!B46)</x:f>
      </x:c>
      <x:c r="D567" s="2" t="str">
        <x:f>IF(B567="","",'Motor_Meciuri'!D46)</x:f>
      </x:c>
      <x:c r="E567" s="2" t="str">
        <x:f>IF(B567="","",'Motor_Meciuri'!E46)</x:f>
      </x:c>
      <x:c r="F567" s="2" t="str">
        <x:v>O4,5</x:v>
      </x:c>
      <x:c r="G567" s="2" t="str">
        <x:v>OVER</x:v>
      </x:c>
      <x:c r="H567" s="2" t="n">
        <x:v>4</x:v>
      </x:c>
      <x:c r="I567" s="2" t="str">
        <x:f>IF(B567="","",'Motor_Meciuri'!H46)</x:f>
      </x:c>
      <x:c r="J567" s="2" t="str">
        <x:f>IF(B567="","",'Motor_Meciuri'!I46)</x:f>
      </x:c>
      <x:c r="K567" s="11" t="str">
        <x:f>IF(J567&lt;&gt;"PASS","",'Motor_Meciuri'!BD46)</x:f>
      </x:c>
      <x:c r="L567" s="11" t="str">
        <x:f>IF(J567&lt;&gt;"PASS","",'Motor_Meciuri'!AU46)</x:f>
      </x:c>
      <x:c r="M567" s="10" t="str">
        <x:f>IF(NOT(AND(J567="PASS",'Calibrare_Linii'!U7="VALID")),"",1-'Distributie'!AB46)</x:f>
      </x:c>
      <x:c r="N567" s="10" t="str">
        <x:f>IF(M567="","",MAX(0.01,MIN(0.99,0.5+(M567-0.5)*'Motor_Meciuri'!BG46*'Calibrare_Linii'!D7)))</x:f>
      </x:c>
      <x:c r="O567" s="10" t="str">
        <x:f>IF(M567="","",1-M567)</x:f>
      </x:c>
      <x:c r="P567" s="10" t="str">
        <x:f>IF(OR(NOT(AND(J567="PASS",'Calibrare_Linii'!U7="VALID")),AK567=0),""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*('Istoric_Nativ'!$Q$6:$Q$405&lt;=H567))/AK567)</x:f>
      </x:c>
      <x:c r="Q567" s="10" t="str">
        <x:f>IF(OR(NOT(AND(J567="PASS",'Calibrare_Linii'!U7="VALID")),AL567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M46)+((('Istoric_Nativ'!$E$6:$E$405='Input_Meci'!E46)+('Istoric_Nativ'!$F$6:$F$405='Input_Meci'!E46))&gt;0)*('Istoric_Nativ'!$D$6:$D$405&gt;='Motor_Meciuri'!BN46))&gt;0)*('Istoric_Nativ'!$Q$6:$Q$405&lt;=H567))/AL567)</x:f>
      </x:c>
      <x:c r="R567" s="10" t="str">
        <x:f>IF(OR(NOT(AND(J567="PASS",'Calibrare_Linii'!U7="VALID")),AM567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O46)+((('Istoric_Nativ'!$E$6:$E$405='Input_Meci'!E46)+('Istoric_Nativ'!$F$6:$F$405='Input_Meci'!E46))&gt;0)*('Istoric_Nativ'!$D$6:$D$405&gt;='Motor_Meciuri'!BP46))&gt;0)*('Istoric_Nativ'!$Q$6:$Q$405&lt;=H567))/AM567)</x:f>
      </x:c>
      <x:c r="S567" s="10" t="str">
        <x:f>IF(M567="","",MAX(O567,P567,Q567,R567))</x:f>
      </x:c>
      <x:c r="T567" s="11" t="str">
        <x:f>IF(M567="","",MIN(100,S567*100*'Config_v6'!$B$44+MIN(100,L567/'Config_v6'!$B$13*100)*'Config_v6'!$B$45+(100-'Motor_Meciuri'!BF46)*'Config_v6'!$B$46+'Motor_Meciuri'!BH46*100*'Config_v6'!$B$47))</x:f>
      </x:c>
      <x:c r="U567" s="2" t="str">
        <x:f>IF(T567="","",IF(T567&lt;=20,1,IF(T567&lt;=40,2,IF(T567&lt;=60,3,IF(T567&lt;=80,4,5)))))</x:f>
      </x:c>
      <x:c r="V567" s="2" t="str">
        <x:f>IF(M567="","",MAX(0,'Motor_Meciuri'!BF46-IF(W567="OOS PENDING",'Config_v6'!$B$35,0)-IF(L567&gt;'Config_v6'!$B$12,'Config_v6'!$B$37,IF(L567&gt;'Config_v6'!$B$11,'Config_v6'!$B$36,0))))</x:f>
      </x:c>
      <x:c r="W567" s="2" t="str">
        <x:f>IF(B567="","",IF(I567&lt;&gt;"READY","NOT RELEASED",IF(NOT(AND(J567="PASS",'Calibrare_Linii'!U7="VALID")),"INVALID",IF(NOT(AND('Calibrare_Linii'!S7="VALIDATED",AND('Calibrare_Linii'!H7=C567,ISNUMBER('Calibrare_Linii'!J7),'Calibrare_Linii'!J7&lt;='Input_Meci'!G46))),"OOS PENDING",IF(S567&lt;='Calibrare_Linii'!E7,"PASS",IF(S567&lt;='Calibrare_Linii'!F7,"PENALTY","WATCH"))))))</x:f>
      </x:c>
      <x:c r="X567" s="2" t="str">
        <x:f>IF(M567="","",IF(AND(AND(J567="PASS",'Calibrare_Linii'!U7="VALID"),'Motor_Meciuri'!K46=12,'Motor_Meciuri'!L46=12,'Motor_Meciuri'!M46="NO",'Motor_Meciuri'!BL46='Motor_Meciuri'!C46,AB567&gt;='Config_v6'!$B$50,AN567&gt;='Config_v6'!$B$51,T567&lt;='Config_v6'!$B$52,L567&lt;='Config_v6'!$B$53,ISNUMBER('Calibrare_Linii'!E7),S567&lt;='Calibrare_Linii'!E7,SUM(AK567:AM567)&gt;0),"CANDIDATE","NO"))</x:f>
      </x:c>
      <x:c r="Y567" s="2" t="str">
        <x:f>IF(B567="","",IF(I567&lt;&gt;"READY","NOT RELEASED",IF(AND(X567="CANDIDATE",V567&gt;='Config_v6'!$B$51,W567="PASS",'Calibrare_Linii'!T7="VALIDATED",AND('Calibrare_Linii'!H7=C567,ISNUMBER('Calibrare_Linii'!J7),'Calibrare_Linii'!J7&lt;='Input_Meci'!G46)),"PASS",IF(X567="CANDIDATE","OOS PENDING","FAIL"))))</x:f>
      </x:c>
      <x:c r="Z567" s="2" t="str">
        <x:f>IF(B567="","",IF(I567&lt;&gt;"READY","",IF(OR(NOT(AND(J567="PASS",'Calibrare_Linii'!U7="VALID")),L567&gt;'Config_v6'!$B$13,W567="WATCH"),5,IF(Y567="PASS",1,MIN(5,MAX('Config_v6'!$B$42,U567)+IF(W567="PENALTY",1,0))))))</x:f>
      </x:c>
      <x:c r="AA567" s="2" t="str">
        <x:f>IF(B567="","",IF(I567&lt;&gt;"READY","NOT RELEASED",IF(Z567=5,"NO BET",IF(OR(AB567&lt;'Config_v6'!$B$16,V567&lt;'Config_v6'!$B$18),"WATCH",IF(Z567=1,"DEFENSIV",IF(Z567=2,"PRUDENT",IF(Z567=3,"MODERAT","RIDICAT")))))))</x:f>
      </x:c>
      <x:c r="AB567" s="10" t="str">
        <x:f>IF(N567="","",MIN(N567,1-S567))</x:f>
      </x:c>
      <x:c r="AC567" s="2" t="str">
        <x:f>IF(AD567&lt;&gt;1,"",COUNTIFS($Z$566:$Z$579,"&lt;"&amp;Z567,$AD$566:$AD$579,1)+COUNTIFS($Z$566:$Z$579,Z567,$AB$566:$AB$579,"&gt;"&amp;AB567,$AD$566:$AD$579,1)+COUNTIFS($Z$566:$Z$579,Z567,$AB$566:$AB$579,AB567,$V$566:$V$579,"&gt;"&amp;V567,$AD$566:$AD$579,1)+COUNTIFS($Z$566:Z567,Z567,$AB$566:AB567,AB567,$V$566:V567,V567,$AD$566:AD567,1))</x:f>
      </x:c>
      <x:c r="AD567" s="2" t="n">
        <x:f>IF(OR(AA567="DEFENSIV",AA567="PRUDENT",AA567="MODERAT",AA567="RIDICAT"),1,0)</x:f>
        <x:v>0</x:v>
      </x:c>
      <x:c r="AE567" s="2" t="str">
        <x:f>IF(AD567&lt;&gt;1,"NO",IF(W567="PASS","YES",IF(W567="OOS PENDING","CONDITIONAL","NO")))</x:f>
        <x:v>NO</x:v>
      </x:c>
      <x:c r="AF567" s="2" t="n">
        <x:f>IF(AND(AD567=1,AC567=1,E567="LIVE"),1,0)</x:f>
        <x:v>0</x:v>
      </x:c>
      <x:c r="AG567" s="2" t="str">
        <x:f>IF(AF567&lt;&gt;1,"",'Dashboard'!P66)</x:f>
      </x:c>
      <x:c r="AH567" s="2" t="str">
        <x:f>IF(B567="","",IF(J567&lt;&gt;"PASS",'Motor_Meciuri'!J46,IF('Calibrare_Linii'!U7&lt;&gt;"VALID","Parametri linie invalizi",IF(L567&gt;'Config_v6'!$B$13,"Dispersie peste limita",IF(W567="WATCH","Failure peste limita",IF(AB567&lt;'Config_v6'!$B$16,"P finala sub prag",IF(V567&lt;'Config_v6'!$B$18,"Confidence sub prag",IF(E567="REPLAY","Exemplu retrospectiv; exclus din Top LIVE",IF(Y567="PASS","DEFENSIV validat",IF(W567="OOS PENDING","Eligibil; calibrare linie in monitorizare","Eligibil"))))))))))</x:f>
      </x:c>
      <x:c r="AI567" s="2" t="str">
        <x:f>IF(B567="","",'Calibrare_Linii'!V7)</x:f>
      </x:c>
      <x:c r="AJ567" s="2" t="str">
        <x:f>IF(B567="","",IF(AND('Calibrare_Linii'!T7="VALIDATED",AND('Calibrare_Linii'!H7=C567,ISNUMBER('Calibrare_Linii'!J7),'Calibrare_Linii'!J7&lt;='Input_Meci'!G46)),"DEFENSIVE VALIDATED",IF(AND('Calibrare_Linii'!S7="VALIDATED",AND('Calibrare_Linii'!H7=C567,ISNUMBER('Calibrare_Linii'!J7),'Calibrare_Linii'!J7&lt;='Input_Meci'!G46)),"TAIL VALIDATED","OOS PENDING")))</x:f>
      </x:c>
      <x:c r="AK567" s="2" t="n">
        <x:f>IF(J567&lt;&gt;"PASS",0,'Motor_Meciuri'!BR46)</x:f>
        <x:v>0</x:v>
      </x:c>
      <x:c r="AL567" s="2" t="n">
        <x:f>IF(J567&lt;&gt;"PASS",0,'Motor_Meciuri'!BS46)</x:f>
        <x:v>0</x:v>
      </x:c>
      <x:c r="AM567" s="2" t="n">
        <x:f>IF(J567&lt;&gt;"PASS",0,'Motor_Meciuri'!BT46)</x:f>
        <x:v>0</x:v>
      </x:c>
      <x:c r="AN567" s="2" t="str">
        <x:f>IF(M567="","",MAX(0,'Motor_Meciuri'!BF46-IF(L567&gt;'Config_v6'!$B$12,'Config_v6'!$B$37,IF(L567&gt;'Config_v6'!$B$11,'Config_v6'!$B$36,0))))</x:f>
      </x:c>
    </x:row>
    <x:row r="568" ht="21" customHeight="1">
      <x:c r="A568" s="2" t="n">
        <x:v>41</x:v>
      </x:c>
      <x:c r="B568" s="2" t="str">
        <x:f>IF('Motor_Meciuri'!A46="","",'Motor_Meciuri'!A46)</x:f>
      </x:c>
      <x:c r="C568" s="2" t="str">
        <x:f>IF(B568="","",'Motor_Meciuri'!B46)</x:f>
      </x:c>
      <x:c r="D568" s="2" t="str">
        <x:f>IF(B568="","",'Motor_Meciuri'!D46)</x:f>
      </x:c>
      <x:c r="E568" s="2" t="str">
        <x:f>IF(B568="","",'Motor_Meciuri'!E46)</x:f>
      </x:c>
      <x:c r="F568" s="2" t="str">
        <x:v>O5,5</x:v>
      </x:c>
      <x:c r="G568" s="2" t="str">
        <x:v>OVER</x:v>
      </x:c>
      <x:c r="H568" s="2" t="n">
        <x:v>5</x:v>
      </x:c>
      <x:c r="I568" s="2" t="str">
        <x:f>IF(B568="","",'Motor_Meciuri'!H46)</x:f>
      </x:c>
      <x:c r="J568" s="2" t="str">
        <x:f>IF(B568="","",'Motor_Meciuri'!I46)</x:f>
      </x:c>
      <x:c r="K568" s="11" t="str">
        <x:f>IF(J568&lt;&gt;"PASS","",'Motor_Meciuri'!BD46)</x:f>
      </x:c>
      <x:c r="L568" s="11" t="str">
        <x:f>IF(J568&lt;&gt;"PASS","",'Motor_Meciuri'!AU46)</x:f>
      </x:c>
      <x:c r="M568" s="10" t="str">
        <x:f>IF(NOT(AND(J568="PASS",'Calibrare_Linii'!U8="VALID")),"",1-'Distributie'!AC46)</x:f>
      </x:c>
      <x:c r="N568" s="10" t="str">
        <x:f>IF(M568="","",MAX(0.01,MIN(0.99,0.5+(M568-0.5)*'Motor_Meciuri'!BG46*'Calibrare_Linii'!D8)))</x:f>
      </x:c>
      <x:c r="O568" s="10" t="str">
        <x:f>IF(M568="","",1-M568)</x:f>
      </x:c>
      <x:c r="P568" s="10" t="str">
        <x:f>IF(OR(NOT(AND(J568="PASS",'Calibrare_Linii'!U8="VALID")),AK568=0),""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*('Istoric_Nativ'!$Q$6:$Q$405&lt;=H568))/AK568)</x:f>
      </x:c>
      <x:c r="Q568" s="10" t="str">
        <x:f>IF(OR(NOT(AND(J568="PASS",'Calibrare_Linii'!U8="VALID")),AL568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M46)+((('Istoric_Nativ'!$E$6:$E$405='Input_Meci'!E46)+('Istoric_Nativ'!$F$6:$F$405='Input_Meci'!E46))&gt;0)*('Istoric_Nativ'!$D$6:$D$405&gt;='Motor_Meciuri'!BN46))&gt;0)*('Istoric_Nativ'!$Q$6:$Q$405&lt;=H568))/AL568)</x:f>
      </x:c>
      <x:c r="R568" s="10" t="str">
        <x:f>IF(OR(NOT(AND(J568="PASS",'Calibrare_Linii'!U8="VALID")),AM568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O46)+((('Istoric_Nativ'!$E$6:$E$405='Input_Meci'!E46)+('Istoric_Nativ'!$F$6:$F$405='Input_Meci'!E46))&gt;0)*('Istoric_Nativ'!$D$6:$D$405&gt;='Motor_Meciuri'!BP46))&gt;0)*('Istoric_Nativ'!$Q$6:$Q$405&lt;=H568))/AM568)</x:f>
      </x:c>
      <x:c r="S568" s="10" t="str">
        <x:f>IF(M568="","",MAX(O568,P568,Q568,R568))</x:f>
      </x:c>
      <x:c r="T568" s="11" t="str">
        <x:f>IF(M568="","",MIN(100,S568*100*'Config_v6'!$B$44+MIN(100,L568/'Config_v6'!$B$13*100)*'Config_v6'!$B$45+(100-'Motor_Meciuri'!BF46)*'Config_v6'!$B$46+'Motor_Meciuri'!BH46*100*'Config_v6'!$B$47))</x:f>
      </x:c>
      <x:c r="U568" s="2" t="str">
        <x:f>IF(T568="","",IF(T568&lt;=20,1,IF(T568&lt;=40,2,IF(T568&lt;=60,3,IF(T568&lt;=80,4,5)))))</x:f>
      </x:c>
      <x:c r="V568" s="2" t="str">
        <x:f>IF(M568="","",MAX(0,'Motor_Meciuri'!BF46-IF(W568="OOS PENDING",'Config_v6'!$B$35,0)-IF(L568&gt;'Config_v6'!$B$12,'Config_v6'!$B$37,IF(L568&gt;'Config_v6'!$B$11,'Config_v6'!$B$36,0))))</x:f>
      </x:c>
      <x:c r="W568" s="2" t="str">
        <x:f>IF(B568="","",IF(I568&lt;&gt;"READY","NOT RELEASED",IF(NOT(AND(J568="PASS",'Calibrare_Linii'!U8="VALID")),"INVALID",IF(NOT(AND('Calibrare_Linii'!S8="VALIDATED",AND('Calibrare_Linii'!H8=C568,ISNUMBER('Calibrare_Linii'!J8),'Calibrare_Linii'!J8&lt;='Input_Meci'!G46))),"OOS PENDING",IF(S568&lt;='Calibrare_Linii'!E8,"PASS",IF(S568&lt;='Calibrare_Linii'!F8,"PENALTY","WATCH"))))))</x:f>
      </x:c>
      <x:c r="X568" s="2" t="str">
        <x:f>IF(M568="","",IF(AND(AND(J568="PASS",'Calibrare_Linii'!U8="VALID"),'Motor_Meciuri'!K46=12,'Motor_Meciuri'!L46=12,'Motor_Meciuri'!M46="NO",'Motor_Meciuri'!BL46='Motor_Meciuri'!C46,AB568&gt;='Config_v6'!$B$50,AN568&gt;='Config_v6'!$B$51,T568&lt;='Config_v6'!$B$52,L568&lt;='Config_v6'!$B$53,ISNUMBER('Calibrare_Linii'!E8),S568&lt;='Calibrare_Linii'!E8,SUM(AK568:AM568)&gt;0),"CANDIDATE","NO"))</x:f>
      </x:c>
      <x:c r="Y568" s="2" t="str">
        <x:f>IF(B568="","",IF(I568&lt;&gt;"READY","NOT RELEASED",IF(AND(X568="CANDIDATE",V568&gt;='Config_v6'!$B$51,W568="PASS",'Calibrare_Linii'!T8="VALIDATED",AND('Calibrare_Linii'!H8=C568,ISNUMBER('Calibrare_Linii'!J8),'Calibrare_Linii'!J8&lt;='Input_Meci'!G46)),"PASS",IF(X568="CANDIDATE","OOS PENDING","FAIL"))))</x:f>
      </x:c>
      <x:c r="Z568" s="2" t="str">
        <x:f>IF(B568="","",IF(I568&lt;&gt;"READY","",IF(OR(NOT(AND(J568="PASS",'Calibrare_Linii'!U8="VALID")),L568&gt;'Config_v6'!$B$13,W568="WATCH"),5,IF(Y568="PASS",1,MIN(5,MAX('Config_v6'!$B$42,U568)+IF(W568="PENALTY",1,0))))))</x:f>
      </x:c>
      <x:c r="AA568" s="2" t="str">
        <x:f>IF(B568="","",IF(I568&lt;&gt;"READY","NOT RELEASED",IF(Z568=5,"NO BET",IF(OR(AB568&lt;'Config_v6'!$B$16,V568&lt;'Config_v6'!$B$18),"WATCH",IF(Z568=1,"DEFENSIV",IF(Z568=2,"PRUDENT",IF(Z568=3,"MODERAT","RIDICAT")))))))</x:f>
      </x:c>
      <x:c r="AB568" s="10" t="str">
        <x:f>IF(N568="","",MIN(N568,1-S568))</x:f>
      </x:c>
      <x:c r="AC568" s="2" t="str">
        <x:f>IF(AD568&lt;&gt;1,"",COUNTIFS($Z$566:$Z$579,"&lt;"&amp;Z568,$AD$566:$AD$579,1)+COUNTIFS($Z$566:$Z$579,Z568,$AB$566:$AB$579,"&gt;"&amp;AB568,$AD$566:$AD$579,1)+COUNTIFS($Z$566:$Z$579,Z568,$AB$566:$AB$579,AB568,$V$566:$V$579,"&gt;"&amp;V568,$AD$566:$AD$579,1)+COUNTIFS($Z$566:Z568,Z568,$AB$566:AB568,AB568,$V$566:V568,V568,$AD$566:AD568,1))</x:f>
      </x:c>
      <x:c r="AD568" s="2" t="n">
        <x:f>IF(OR(AA568="DEFENSIV",AA568="PRUDENT",AA568="MODERAT",AA568="RIDICAT"),1,0)</x:f>
        <x:v>0</x:v>
      </x:c>
      <x:c r="AE568" s="2" t="str">
        <x:f>IF(AD568&lt;&gt;1,"NO",IF(W568="PASS","YES",IF(W568="OOS PENDING","CONDITIONAL","NO")))</x:f>
        <x:v>NO</x:v>
      </x:c>
      <x:c r="AF568" s="2" t="n">
        <x:f>IF(AND(AD568=1,AC568=1,E568="LIVE"),1,0)</x:f>
        <x:v>0</x:v>
      </x:c>
      <x:c r="AG568" s="2" t="str">
        <x:f>IF(AF568&lt;&gt;1,"",'Dashboard'!P66)</x:f>
      </x:c>
      <x:c r="AH568" s="2" t="str">
        <x:f>IF(B568="","",IF(J568&lt;&gt;"PASS",'Motor_Meciuri'!J46,IF('Calibrare_Linii'!U8&lt;&gt;"VALID","Parametri linie invalizi",IF(L568&gt;'Config_v6'!$B$13,"Dispersie peste limita",IF(W568="WATCH","Failure peste limita",IF(AB568&lt;'Config_v6'!$B$16,"P finala sub prag",IF(V568&lt;'Config_v6'!$B$18,"Confidence sub prag",IF(E568="REPLAY","Exemplu retrospectiv; exclus din Top LIVE",IF(Y568="PASS","DEFENSIV validat",IF(W568="OOS PENDING","Eligibil; calibrare linie in monitorizare","Eligibil"))))))))))</x:f>
      </x:c>
      <x:c r="AI568" s="2" t="str">
        <x:f>IF(B568="","",'Calibrare_Linii'!V8)</x:f>
      </x:c>
      <x:c r="AJ568" s="2" t="str">
        <x:f>IF(B568="","",IF(AND('Calibrare_Linii'!T8="VALIDATED",AND('Calibrare_Linii'!H8=C568,ISNUMBER('Calibrare_Linii'!J8),'Calibrare_Linii'!J8&lt;='Input_Meci'!G46)),"DEFENSIVE VALIDATED",IF(AND('Calibrare_Linii'!S8="VALIDATED",AND('Calibrare_Linii'!H8=C568,ISNUMBER('Calibrare_Linii'!J8),'Calibrare_Linii'!J8&lt;='Input_Meci'!G46)),"TAIL VALIDATED","OOS PENDING")))</x:f>
      </x:c>
      <x:c r="AK568" s="2" t="n">
        <x:f>IF(J568&lt;&gt;"PASS",0,'Motor_Meciuri'!BR46)</x:f>
        <x:v>0</x:v>
      </x:c>
      <x:c r="AL568" s="2" t="n">
        <x:f>IF(J568&lt;&gt;"PASS",0,'Motor_Meciuri'!BS46)</x:f>
        <x:v>0</x:v>
      </x:c>
      <x:c r="AM568" s="2" t="n">
        <x:f>IF(J568&lt;&gt;"PASS",0,'Motor_Meciuri'!BT46)</x:f>
        <x:v>0</x:v>
      </x:c>
      <x:c r="AN568" s="2" t="str">
        <x:f>IF(M568="","",MAX(0,'Motor_Meciuri'!BF46-IF(L568&gt;'Config_v6'!$B$12,'Config_v6'!$B$37,IF(L568&gt;'Config_v6'!$B$11,'Config_v6'!$B$36,0))))</x:f>
      </x:c>
    </x:row>
    <x:row r="569" ht="21" customHeight="1">
      <x:c r="A569" s="2" t="n">
        <x:v>41</x:v>
      </x:c>
      <x:c r="B569" s="2" t="str">
        <x:f>IF('Motor_Meciuri'!A46="","",'Motor_Meciuri'!A46)</x:f>
      </x:c>
      <x:c r="C569" s="2" t="str">
        <x:f>IF(B569="","",'Motor_Meciuri'!B46)</x:f>
      </x:c>
      <x:c r="D569" s="2" t="str">
        <x:f>IF(B569="","",'Motor_Meciuri'!D46)</x:f>
      </x:c>
      <x:c r="E569" s="2" t="str">
        <x:f>IF(B569="","",'Motor_Meciuri'!E46)</x:f>
      </x:c>
      <x:c r="F569" s="2" t="str">
        <x:v>O6,5</x:v>
      </x:c>
      <x:c r="G569" s="2" t="str">
        <x:v>OVER</x:v>
      </x:c>
      <x:c r="H569" s="2" t="n">
        <x:v>6</x:v>
      </x:c>
      <x:c r="I569" s="2" t="str">
        <x:f>IF(B569="","",'Motor_Meciuri'!H46)</x:f>
      </x:c>
      <x:c r="J569" s="2" t="str">
        <x:f>IF(B569="","",'Motor_Meciuri'!I46)</x:f>
      </x:c>
      <x:c r="K569" s="11" t="str">
        <x:f>IF(J569&lt;&gt;"PASS","",'Motor_Meciuri'!BD46)</x:f>
      </x:c>
      <x:c r="L569" s="11" t="str">
        <x:f>IF(J569&lt;&gt;"PASS","",'Motor_Meciuri'!AU46)</x:f>
      </x:c>
      <x:c r="M569" s="10" t="str">
        <x:f>IF(NOT(AND(J569="PASS",'Calibrare_Linii'!U9="VALID")),"",1-'Distributie'!AD46)</x:f>
      </x:c>
      <x:c r="N569" s="10" t="str">
        <x:f>IF(M569="","",MAX(0.01,MIN(0.99,0.5+(M569-0.5)*'Motor_Meciuri'!BG46*'Calibrare_Linii'!D9)))</x:f>
      </x:c>
      <x:c r="O569" s="10" t="str">
        <x:f>IF(M569="","",1-M569)</x:f>
      </x:c>
      <x:c r="P569" s="10" t="str">
        <x:f>IF(OR(NOT(AND(J569="PASS",'Calibrare_Linii'!U9="VALID")),AK569=0),""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*('Istoric_Nativ'!$Q$6:$Q$405&lt;=H569))/AK569)</x:f>
      </x:c>
      <x:c r="Q569" s="10" t="str">
        <x:f>IF(OR(NOT(AND(J569="PASS",'Calibrare_Linii'!U9="VALID")),AL569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M46)+((('Istoric_Nativ'!$E$6:$E$405='Input_Meci'!E46)+('Istoric_Nativ'!$F$6:$F$405='Input_Meci'!E46))&gt;0)*('Istoric_Nativ'!$D$6:$D$405&gt;='Motor_Meciuri'!BN46))&gt;0)*('Istoric_Nativ'!$Q$6:$Q$405&lt;=H569))/AL569)</x:f>
      </x:c>
      <x:c r="R569" s="10" t="str">
        <x:f>IF(OR(NOT(AND(J569="PASS",'Calibrare_Linii'!U9="VALID")),AM569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O46)+((('Istoric_Nativ'!$E$6:$E$405='Input_Meci'!E46)+('Istoric_Nativ'!$F$6:$F$405='Input_Meci'!E46))&gt;0)*('Istoric_Nativ'!$D$6:$D$405&gt;='Motor_Meciuri'!BP46))&gt;0)*('Istoric_Nativ'!$Q$6:$Q$405&lt;=H569))/AM569)</x:f>
      </x:c>
      <x:c r="S569" s="10" t="str">
        <x:f>IF(M569="","",MAX(O569,P569,Q569,R569))</x:f>
      </x:c>
      <x:c r="T569" s="11" t="str">
        <x:f>IF(M569="","",MIN(100,S569*100*'Config_v6'!$B$44+MIN(100,L569/'Config_v6'!$B$13*100)*'Config_v6'!$B$45+(100-'Motor_Meciuri'!BF46)*'Config_v6'!$B$46+'Motor_Meciuri'!BH46*100*'Config_v6'!$B$47))</x:f>
      </x:c>
      <x:c r="U569" s="2" t="str">
        <x:f>IF(T569="","",IF(T569&lt;=20,1,IF(T569&lt;=40,2,IF(T569&lt;=60,3,IF(T569&lt;=80,4,5)))))</x:f>
      </x:c>
      <x:c r="V569" s="2" t="str">
        <x:f>IF(M569="","",MAX(0,'Motor_Meciuri'!BF46-IF(W569="OOS PENDING",'Config_v6'!$B$35,0)-IF(L569&gt;'Config_v6'!$B$12,'Config_v6'!$B$37,IF(L569&gt;'Config_v6'!$B$11,'Config_v6'!$B$36,0))))</x:f>
      </x:c>
      <x:c r="W569" s="2" t="str">
        <x:f>IF(B569="","",IF(I569&lt;&gt;"READY","NOT RELEASED",IF(NOT(AND(J569="PASS",'Calibrare_Linii'!U9="VALID")),"INVALID",IF(NOT(AND('Calibrare_Linii'!S9="VALIDATED",AND('Calibrare_Linii'!H9=C569,ISNUMBER('Calibrare_Linii'!J9),'Calibrare_Linii'!J9&lt;='Input_Meci'!G46))),"OOS PENDING",IF(S569&lt;='Calibrare_Linii'!E9,"PASS",IF(S569&lt;='Calibrare_Linii'!F9,"PENALTY","WATCH"))))))</x:f>
      </x:c>
      <x:c r="X569" s="2" t="str">
        <x:f>IF(M569="","",IF(AND(AND(J569="PASS",'Calibrare_Linii'!U9="VALID"),'Motor_Meciuri'!K46=12,'Motor_Meciuri'!L46=12,'Motor_Meciuri'!M46="NO",'Motor_Meciuri'!BL46='Motor_Meciuri'!C46,AB569&gt;='Config_v6'!$B$50,AN569&gt;='Config_v6'!$B$51,T569&lt;='Config_v6'!$B$52,L569&lt;='Config_v6'!$B$53,ISNUMBER('Calibrare_Linii'!E9),S569&lt;='Calibrare_Linii'!E9,SUM(AK569:AM569)&gt;0),"CANDIDATE","NO"))</x:f>
      </x:c>
      <x:c r="Y569" s="2" t="str">
        <x:f>IF(B569="","",IF(I569&lt;&gt;"READY","NOT RELEASED",IF(AND(X569="CANDIDATE",V569&gt;='Config_v6'!$B$51,W569="PASS",'Calibrare_Linii'!T9="VALIDATED",AND('Calibrare_Linii'!H9=C569,ISNUMBER('Calibrare_Linii'!J9),'Calibrare_Linii'!J9&lt;='Input_Meci'!G46)),"PASS",IF(X569="CANDIDATE","OOS PENDING","FAIL"))))</x:f>
      </x:c>
      <x:c r="Z569" s="2" t="str">
        <x:f>IF(B569="","",IF(I569&lt;&gt;"READY","",IF(OR(NOT(AND(J569="PASS",'Calibrare_Linii'!U9="VALID")),L569&gt;'Config_v6'!$B$13,W569="WATCH"),5,IF(Y569="PASS",1,MIN(5,MAX('Config_v6'!$B$42,U569)+IF(W569="PENALTY",1,0))))))</x:f>
      </x:c>
      <x:c r="AA569" s="2" t="str">
        <x:f>IF(B569="","",IF(I569&lt;&gt;"READY","NOT RELEASED",IF(Z569=5,"NO BET",IF(OR(AB569&lt;'Config_v6'!$B$16,V569&lt;'Config_v6'!$B$18),"WATCH",IF(Z569=1,"DEFENSIV",IF(Z569=2,"PRUDENT",IF(Z569=3,"MODERAT","RIDICAT")))))))</x:f>
      </x:c>
      <x:c r="AB569" s="10" t="str">
        <x:f>IF(N569="","",MIN(N569,1-S569))</x:f>
      </x:c>
      <x:c r="AC569" s="2" t="str">
        <x:f>IF(AD569&lt;&gt;1,"",COUNTIFS($Z$566:$Z$579,"&lt;"&amp;Z569,$AD$566:$AD$579,1)+COUNTIFS($Z$566:$Z$579,Z569,$AB$566:$AB$579,"&gt;"&amp;AB569,$AD$566:$AD$579,1)+COUNTIFS($Z$566:$Z$579,Z569,$AB$566:$AB$579,AB569,$V$566:$V$579,"&gt;"&amp;V569,$AD$566:$AD$579,1)+COUNTIFS($Z$566:Z569,Z569,$AB$566:AB569,AB569,$V$566:V569,V569,$AD$566:AD569,1))</x:f>
      </x:c>
      <x:c r="AD569" s="2" t="n">
        <x:f>IF(OR(AA569="DEFENSIV",AA569="PRUDENT",AA569="MODERAT",AA569="RIDICAT"),1,0)</x:f>
        <x:v>0</x:v>
      </x:c>
      <x:c r="AE569" s="2" t="str">
        <x:f>IF(AD569&lt;&gt;1,"NO",IF(W569="PASS","YES",IF(W569="OOS PENDING","CONDITIONAL","NO")))</x:f>
        <x:v>NO</x:v>
      </x:c>
      <x:c r="AF569" s="2" t="n">
        <x:f>IF(AND(AD569=1,AC569=1,E569="LIVE"),1,0)</x:f>
        <x:v>0</x:v>
      </x:c>
      <x:c r="AG569" s="2" t="str">
        <x:f>IF(AF569&lt;&gt;1,"",'Dashboard'!P66)</x:f>
      </x:c>
      <x:c r="AH569" s="2" t="str">
        <x:f>IF(B569="","",IF(J569&lt;&gt;"PASS",'Motor_Meciuri'!J46,IF('Calibrare_Linii'!U9&lt;&gt;"VALID","Parametri linie invalizi",IF(L569&gt;'Config_v6'!$B$13,"Dispersie peste limita",IF(W569="WATCH","Failure peste limita",IF(AB569&lt;'Config_v6'!$B$16,"P finala sub prag",IF(V569&lt;'Config_v6'!$B$18,"Confidence sub prag",IF(E569="REPLAY","Exemplu retrospectiv; exclus din Top LIVE",IF(Y569="PASS","DEFENSIV validat",IF(W569="OOS PENDING","Eligibil; calibrare linie in monitorizare","Eligibil"))))))))))</x:f>
      </x:c>
      <x:c r="AI569" s="2" t="str">
        <x:f>IF(B569="","",'Calibrare_Linii'!V9)</x:f>
      </x:c>
      <x:c r="AJ569" s="2" t="str">
        <x:f>IF(B569="","",IF(AND('Calibrare_Linii'!T9="VALIDATED",AND('Calibrare_Linii'!H9=C569,ISNUMBER('Calibrare_Linii'!J9),'Calibrare_Linii'!J9&lt;='Input_Meci'!G46)),"DEFENSIVE VALIDATED",IF(AND('Calibrare_Linii'!S9="VALIDATED",AND('Calibrare_Linii'!H9=C569,ISNUMBER('Calibrare_Linii'!J9),'Calibrare_Linii'!J9&lt;='Input_Meci'!G46)),"TAIL VALIDATED","OOS PENDING")))</x:f>
      </x:c>
      <x:c r="AK569" s="2" t="n">
        <x:f>IF(J569&lt;&gt;"PASS",0,'Motor_Meciuri'!BR46)</x:f>
        <x:v>0</x:v>
      </x:c>
      <x:c r="AL569" s="2" t="n">
        <x:f>IF(J569&lt;&gt;"PASS",0,'Motor_Meciuri'!BS46)</x:f>
        <x:v>0</x:v>
      </x:c>
      <x:c r="AM569" s="2" t="n">
        <x:f>IF(J569&lt;&gt;"PASS",0,'Motor_Meciuri'!BT46)</x:f>
        <x:v>0</x:v>
      </x:c>
      <x:c r="AN569" s="2" t="str">
        <x:f>IF(M569="","",MAX(0,'Motor_Meciuri'!BF46-IF(L569&gt;'Config_v6'!$B$12,'Config_v6'!$B$37,IF(L569&gt;'Config_v6'!$B$11,'Config_v6'!$B$36,0))))</x:f>
      </x:c>
    </x:row>
    <x:row r="570" ht="21" customHeight="1">
      <x:c r="A570" s="2" t="n">
        <x:v>41</x:v>
      </x:c>
      <x:c r="B570" s="2" t="str">
        <x:f>IF('Motor_Meciuri'!A46="","",'Motor_Meciuri'!A46)</x:f>
      </x:c>
      <x:c r="C570" s="2" t="str">
        <x:f>IF(B570="","",'Motor_Meciuri'!B46)</x:f>
      </x:c>
      <x:c r="D570" s="2" t="str">
        <x:f>IF(B570="","",'Motor_Meciuri'!D46)</x:f>
      </x:c>
      <x:c r="E570" s="2" t="str">
        <x:f>IF(B570="","",'Motor_Meciuri'!E46)</x:f>
      </x:c>
      <x:c r="F570" s="2" t="str">
        <x:v>O7,5</x:v>
      </x:c>
      <x:c r="G570" s="2" t="str">
        <x:v>OVER</x:v>
      </x:c>
      <x:c r="H570" s="2" t="n">
        <x:v>7</x:v>
      </x:c>
      <x:c r="I570" s="2" t="str">
        <x:f>IF(B570="","",'Motor_Meciuri'!H46)</x:f>
      </x:c>
      <x:c r="J570" s="2" t="str">
        <x:f>IF(B570="","",'Motor_Meciuri'!I46)</x:f>
      </x:c>
      <x:c r="K570" s="11" t="str">
        <x:f>IF(J570&lt;&gt;"PASS","",'Motor_Meciuri'!BD46)</x:f>
      </x:c>
      <x:c r="L570" s="11" t="str">
        <x:f>IF(J570&lt;&gt;"PASS","",'Motor_Meciuri'!AU46)</x:f>
      </x:c>
      <x:c r="M570" s="10" t="str">
        <x:f>IF(NOT(AND(J570="PASS",'Calibrare_Linii'!U10="VALID")),"",1-'Distributie'!AE46)</x:f>
      </x:c>
      <x:c r="N570" s="10" t="str">
        <x:f>IF(M570="","",MAX(0.01,MIN(0.99,0.5+(M570-0.5)*'Motor_Meciuri'!BG46*'Calibrare_Linii'!D10)))</x:f>
      </x:c>
      <x:c r="O570" s="10" t="str">
        <x:f>IF(M570="","",1-M570)</x:f>
      </x:c>
      <x:c r="P570" s="10" t="str">
        <x:f>IF(OR(NOT(AND(J570="PASS",'Calibrare_Linii'!U10="VALID")),AK570=0),""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*('Istoric_Nativ'!$Q$6:$Q$405&lt;=H570))/AK570)</x:f>
      </x:c>
      <x:c r="Q570" s="10" t="str">
        <x:f>IF(OR(NOT(AND(J570="PASS",'Calibrare_Linii'!U10="VALID")),AL570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M46)+((('Istoric_Nativ'!$E$6:$E$405='Input_Meci'!E46)+('Istoric_Nativ'!$F$6:$F$405='Input_Meci'!E46))&gt;0)*('Istoric_Nativ'!$D$6:$D$405&gt;='Motor_Meciuri'!BN46))&gt;0)*('Istoric_Nativ'!$Q$6:$Q$405&lt;=H570))/AL570)</x:f>
      </x:c>
      <x:c r="R570" s="10" t="str">
        <x:f>IF(OR(NOT(AND(J570="PASS",'Calibrare_Linii'!U10="VALID")),AM570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O46)+((('Istoric_Nativ'!$E$6:$E$405='Input_Meci'!E46)+('Istoric_Nativ'!$F$6:$F$405='Input_Meci'!E46))&gt;0)*('Istoric_Nativ'!$D$6:$D$405&gt;='Motor_Meciuri'!BP46))&gt;0)*('Istoric_Nativ'!$Q$6:$Q$405&lt;=H570))/AM570)</x:f>
      </x:c>
      <x:c r="S570" s="10" t="str">
        <x:f>IF(M570="","",MAX(O570,P570,Q570,R570))</x:f>
      </x:c>
      <x:c r="T570" s="11" t="str">
        <x:f>IF(M570="","",MIN(100,S570*100*'Config_v6'!$B$44+MIN(100,L570/'Config_v6'!$B$13*100)*'Config_v6'!$B$45+(100-'Motor_Meciuri'!BF46)*'Config_v6'!$B$46+'Motor_Meciuri'!BH46*100*'Config_v6'!$B$47))</x:f>
      </x:c>
      <x:c r="U570" s="2" t="str">
        <x:f>IF(T570="","",IF(T570&lt;=20,1,IF(T570&lt;=40,2,IF(T570&lt;=60,3,IF(T570&lt;=80,4,5)))))</x:f>
      </x:c>
      <x:c r="V570" s="2" t="str">
        <x:f>IF(M570="","",MAX(0,'Motor_Meciuri'!BF46-IF(W570="OOS PENDING",'Config_v6'!$B$35,0)-IF(L570&gt;'Config_v6'!$B$12,'Config_v6'!$B$37,IF(L570&gt;'Config_v6'!$B$11,'Config_v6'!$B$36,0))))</x:f>
      </x:c>
      <x:c r="W570" s="2" t="str">
        <x:f>IF(B570="","",IF(I570&lt;&gt;"READY","NOT RELEASED",IF(NOT(AND(J570="PASS",'Calibrare_Linii'!U10="VALID")),"INVALID",IF(NOT(AND('Calibrare_Linii'!S10="VALIDATED",AND('Calibrare_Linii'!H10=C570,ISNUMBER('Calibrare_Linii'!J10),'Calibrare_Linii'!J10&lt;='Input_Meci'!G46))),"OOS PENDING",IF(S570&lt;='Calibrare_Linii'!E10,"PASS",IF(S570&lt;='Calibrare_Linii'!F10,"PENALTY","WATCH"))))))</x:f>
      </x:c>
      <x:c r="X570" s="2" t="str">
        <x:f>IF(M570="","",IF(AND(AND(J570="PASS",'Calibrare_Linii'!U10="VALID"),'Motor_Meciuri'!K46=12,'Motor_Meciuri'!L46=12,'Motor_Meciuri'!M46="NO",'Motor_Meciuri'!BL46='Motor_Meciuri'!C46,AB570&gt;='Config_v6'!$B$50,AN570&gt;='Config_v6'!$B$51,T570&lt;='Config_v6'!$B$52,L570&lt;='Config_v6'!$B$53,ISNUMBER('Calibrare_Linii'!E10),S570&lt;='Calibrare_Linii'!E10,SUM(AK570:AM570)&gt;0),"CANDIDATE","NO"))</x:f>
      </x:c>
      <x:c r="Y570" s="2" t="str">
        <x:f>IF(B570="","",IF(I570&lt;&gt;"READY","NOT RELEASED",IF(AND(X570="CANDIDATE",V570&gt;='Config_v6'!$B$51,W570="PASS",'Calibrare_Linii'!T10="VALIDATED",AND('Calibrare_Linii'!H10=C570,ISNUMBER('Calibrare_Linii'!J10),'Calibrare_Linii'!J10&lt;='Input_Meci'!G46)),"PASS",IF(X570="CANDIDATE","OOS PENDING","FAIL"))))</x:f>
      </x:c>
      <x:c r="Z570" s="2" t="str">
        <x:f>IF(B570="","",IF(I570&lt;&gt;"READY","",IF(OR(NOT(AND(J570="PASS",'Calibrare_Linii'!U10="VALID")),L570&gt;'Config_v6'!$B$13,W570="WATCH"),5,IF(Y570="PASS",1,MIN(5,MAX('Config_v6'!$B$42,U570)+IF(W570="PENALTY",1,0))))))</x:f>
      </x:c>
      <x:c r="AA570" s="2" t="str">
        <x:f>IF(B570="","",IF(I570&lt;&gt;"READY","NOT RELEASED",IF(Z570=5,"NO BET",IF(OR(AB570&lt;'Config_v6'!$B$16,V570&lt;'Config_v6'!$B$18),"WATCH",IF(Z570=1,"DEFENSIV",IF(Z570=2,"PRUDENT",IF(Z570=3,"MODERAT","RIDICAT")))))))</x:f>
      </x:c>
      <x:c r="AB570" s="10" t="str">
        <x:f>IF(N570="","",MIN(N570,1-S570))</x:f>
      </x:c>
      <x:c r="AC570" s="2" t="str">
        <x:f>IF(AD570&lt;&gt;1,"",COUNTIFS($Z$566:$Z$579,"&lt;"&amp;Z570,$AD$566:$AD$579,1)+COUNTIFS($Z$566:$Z$579,Z570,$AB$566:$AB$579,"&gt;"&amp;AB570,$AD$566:$AD$579,1)+COUNTIFS($Z$566:$Z$579,Z570,$AB$566:$AB$579,AB570,$V$566:$V$579,"&gt;"&amp;V570,$AD$566:$AD$579,1)+COUNTIFS($Z$566:Z570,Z570,$AB$566:AB570,AB570,$V$566:V570,V570,$AD$566:AD570,1))</x:f>
      </x:c>
      <x:c r="AD570" s="2" t="n">
        <x:f>IF(OR(AA570="DEFENSIV",AA570="PRUDENT",AA570="MODERAT",AA570="RIDICAT"),1,0)</x:f>
        <x:v>0</x:v>
      </x:c>
      <x:c r="AE570" s="2" t="str">
        <x:f>IF(AD570&lt;&gt;1,"NO",IF(W570="PASS","YES",IF(W570="OOS PENDING","CONDITIONAL","NO")))</x:f>
        <x:v>NO</x:v>
      </x:c>
      <x:c r="AF570" s="2" t="n">
        <x:f>IF(AND(AD570=1,AC570=1,E570="LIVE"),1,0)</x:f>
        <x:v>0</x:v>
      </x:c>
      <x:c r="AG570" s="2" t="str">
        <x:f>IF(AF570&lt;&gt;1,"",'Dashboard'!P66)</x:f>
      </x:c>
      <x:c r="AH570" s="2" t="str">
        <x:f>IF(B570="","",IF(J570&lt;&gt;"PASS",'Motor_Meciuri'!J46,IF('Calibrare_Linii'!U10&lt;&gt;"VALID","Parametri linie invalizi",IF(L570&gt;'Config_v6'!$B$13,"Dispersie peste limita",IF(W570="WATCH","Failure peste limita",IF(AB570&lt;'Config_v6'!$B$16,"P finala sub prag",IF(V570&lt;'Config_v6'!$B$18,"Confidence sub prag",IF(E570="REPLAY","Exemplu retrospectiv; exclus din Top LIVE",IF(Y570="PASS","DEFENSIV validat",IF(W570="OOS PENDING","Eligibil; calibrare linie in monitorizare","Eligibil"))))))))))</x:f>
      </x:c>
      <x:c r="AI570" s="2" t="str">
        <x:f>IF(B570="","",'Calibrare_Linii'!V10)</x:f>
      </x:c>
      <x:c r="AJ570" s="2" t="str">
        <x:f>IF(B570="","",IF(AND('Calibrare_Linii'!T10="VALIDATED",AND('Calibrare_Linii'!H10=C570,ISNUMBER('Calibrare_Linii'!J10),'Calibrare_Linii'!J10&lt;='Input_Meci'!G46)),"DEFENSIVE VALIDATED",IF(AND('Calibrare_Linii'!S10="VALIDATED",AND('Calibrare_Linii'!H10=C570,ISNUMBER('Calibrare_Linii'!J10),'Calibrare_Linii'!J10&lt;='Input_Meci'!G46)),"TAIL VALIDATED","OOS PENDING")))</x:f>
      </x:c>
      <x:c r="AK570" s="2" t="n">
        <x:f>IF(J570&lt;&gt;"PASS",0,'Motor_Meciuri'!BR46)</x:f>
        <x:v>0</x:v>
      </x:c>
      <x:c r="AL570" s="2" t="n">
        <x:f>IF(J570&lt;&gt;"PASS",0,'Motor_Meciuri'!BS46)</x:f>
        <x:v>0</x:v>
      </x:c>
      <x:c r="AM570" s="2" t="n">
        <x:f>IF(J570&lt;&gt;"PASS",0,'Motor_Meciuri'!BT46)</x:f>
        <x:v>0</x:v>
      </x:c>
      <x:c r="AN570" s="2" t="str">
        <x:f>IF(M570="","",MAX(0,'Motor_Meciuri'!BF46-IF(L570&gt;'Config_v6'!$B$12,'Config_v6'!$B$37,IF(L570&gt;'Config_v6'!$B$11,'Config_v6'!$B$36,0))))</x:f>
      </x:c>
    </x:row>
    <x:row r="571" ht="21" customHeight="1">
      <x:c r="A571" s="2" t="n">
        <x:v>41</x:v>
      </x:c>
      <x:c r="B571" s="2" t="str">
        <x:f>IF('Motor_Meciuri'!A46="","",'Motor_Meciuri'!A46)</x:f>
      </x:c>
      <x:c r="C571" s="2" t="str">
        <x:f>IF(B571="","",'Motor_Meciuri'!B46)</x:f>
      </x:c>
      <x:c r="D571" s="2" t="str">
        <x:f>IF(B571="","",'Motor_Meciuri'!D46)</x:f>
      </x:c>
      <x:c r="E571" s="2" t="str">
        <x:f>IF(B571="","",'Motor_Meciuri'!E46)</x:f>
      </x:c>
      <x:c r="F571" s="2" t="str">
        <x:v>O8,5</x:v>
      </x:c>
      <x:c r="G571" s="2" t="str">
        <x:v>OVER</x:v>
      </x:c>
      <x:c r="H571" s="2" t="n">
        <x:v>8</x:v>
      </x:c>
      <x:c r="I571" s="2" t="str">
        <x:f>IF(B571="","",'Motor_Meciuri'!H46)</x:f>
      </x:c>
      <x:c r="J571" s="2" t="str">
        <x:f>IF(B571="","",'Motor_Meciuri'!I46)</x:f>
      </x:c>
      <x:c r="K571" s="11" t="str">
        <x:f>IF(J571&lt;&gt;"PASS","",'Motor_Meciuri'!BD46)</x:f>
      </x:c>
      <x:c r="L571" s="11" t="str">
        <x:f>IF(J571&lt;&gt;"PASS","",'Motor_Meciuri'!AU46)</x:f>
      </x:c>
      <x:c r="M571" s="10" t="str">
        <x:f>IF(NOT(AND(J571="PASS",'Calibrare_Linii'!U11="VALID")),"",1-'Distributie'!AF46)</x:f>
      </x:c>
      <x:c r="N571" s="10" t="str">
        <x:f>IF(M571="","",MAX(0.01,MIN(0.99,0.5+(M571-0.5)*'Motor_Meciuri'!BG46*'Calibrare_Linii'!D11)))</x:f>
      </x:c>
      <x:c r="O571" s="10" t="str">
        <x:f>IF(M571="","",1-M571)</x:f>
      </x:c>
      <x:c r="P571" s="10" t="str">
        <x:f>IF(OR(NOT(AND(J571="PASS",'Calibrare_Linii'!U11="VALID")),AK571=0),""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*('Istoric_Nativ'!$Q$6:$Q$405&lt;=H571))/AK571)</x:f>
      </x:c>
      <x:c r="Q571" s="10" t="str">
        <x:f>IF(OR(NOT(AND(J571="PASS",'Calibrare_Linii'!U11="VALID")),AL571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M46)+((('Istoric_Nativ'!$E$6:$E$405='Input_Meci'!E46)+('Istoric_Nativ'!$F$6:$F$405='Input_Meci'!E46))&gt;0)*('Istoric_Nativ'!$D$6:$D$405&gt;='Motor_Meciuri'!BN46))&gt;0)*('Istoric_Nativ'!$Q$6:$Q$405&lt;=H571))/AL571)</x:f>
      </x:c>
      <x:c r="R571" s="10" t="str">
        <x:f>IF(OR(NOT(AND(J571="PASS",'Calibrare_Linii'!U11="VALID")),AM571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O46)+((('Istoric_Nativ'!$E$6:$E$405='Input_Meci'!E46)+('Istoric_Nativ'!$F$6:$F$405='Input_Meci'!E46))&gt;0)*('Istoric_Nativ'!$D$6:$D$405&gt;='Motor_Meciuri'!BP46))&gt;0)*('Istoric_Nativ'!$Q$6:$Q$405&lt;=H571))/AM571)</x:f>
      </x:c>
      <x:c r="S571" s="10" t="str">
        <x:f>IF(M571="","",MAX(O571,P571,Q571,R571))</x:f>
      </x:c>
      <x:c r="T571" s="11" t="str">
        <x:f>IF(M571="","",MIN(100,S571*100*'Config_v6'!$B$44+MIN(100,L571/'Config_v6'!$B$13*100)*'Config_v6'!$B$45+(100-'Motor_Meciuri'!BF46)*'Config_v6'!$B$46+'Motor_Meciuri'!BH46*100*'Config_v6'!$B$47))</x:f>
      </x:c>
      <x:c r="U571" s="2" t="str">
        <x:f>IF(T571="","",IF(T571&lt;=20,1,IF(T571&lt;=40,2,IF(T571&lt;=60,3,IF(T571&lt;=80,4,5)))))</x:f>
      </x:c>
      <x:c r="V571" s="2" t="str">
        <x:f>IF(M571="","",MAX(0,'Motor_Meciuri'!BF46-IF(W571="OOS PENDING",'Config_v6'!$B$35,0)-IF(L571&gt;'Config_v6'!$B$12,'Config_v6'!$B$37,IF(L571&gt;'Config_v6'!$B$11,'Config_v6'!$B$36,0))))</x:f>
      </x:c>
      <x:c r="W571" s="2" t="str">
        <x:f>IF(B571="","",IF(I571&lt;&gt;"READY","NOT RELEASED",IF(NOT(AND(J571="PASS",'Calibrare_Linii'!U11="VALID")),"INVALID",IF(NOT(AND('Calibrare_Linii'!S11="VALIDATED",AND('Calibrare_Linii'!H11=C571,ISNUMBER('Calibrare_Linii'!J11),'Calibrare_Linii'!J11&lt;='Input_Meci'!G46))),"OOS PENDING",IF(S571&lt;='Calibrare_Linii'!E11,"PASS",IF(S571&lt;='Calibrare_Linii'!F11,"PENALTY","WATCH"))))))</x:f>
      </x:c>
      <x:c r="X571" s="2" t="str">
        <x:f>IF(M571="","",IF(AND(AND(J571="PASS",'Calibrare_Linii'!U11="VALID"),'Motor_Meciuri'!K46=12,'Motor_Meciuri'!L46=12,'Motor_Meciuri'!M46="NO",'Motor_Meciuri'!BL46='Motor_Meciuri'!C46,AB571&gt;='Config_v6'!$B$50,AN571&gt;='Config_v6'!$B$51,T571&lt;='Config_v6'!$B$52,L571&lt;='Config_v6'!$B$53,ISNUMBER('Calibrare_Linii'!E11),S571&lt;='Calibrare_Linii'!E11,SUM(AK571:AM571)&gt;0),"CANDIDATE","NO"))</x:f>
      </x:c>
      <x:c r="Y571" s="2" t="str">
        <x:f>IF(B571="","",IF(I571&lt;&gt;"READY","NOT RELEASED",IF(AND(X571="CANDIDATE",V571&gt;='Config_v6'!$B$51,W571="PASS",'Calibrare_Linii'!T11="VALIDATED",AND('Calibrare_Linii'!H11=C571,ISNUMBER('Calibrare_Linii'!J11),'Calibrare_Linii'!J11&lt;='Input_Meci'!G46)),"PASS",IF(X571="CANDIDATE","OOS PENDING","FAIL"))))</x:f>
      </x:c>
      <x:c r="Z571" s="2" t="str">
        <x:f>IF(B571="","",IF(I571&lt;&gt;"READY","",IF(OR(NOT(AND(J571="PASS",'Calibrare_Linii'!U11="VALID")),L571&gt;'Config_v6'!$B$13,W571="WATCH"),5,IF(Y571="PASS",1,MIN(5,MAX('Config_v6'!$B$42,U571)+IF(W571="PENALTY",1,0))))))</x:f>
      </x:c>
      <x:c r="AA571" s="2" t="str">
        <x:f>IF(B571="","",IF(I571&lt;&gt;"READY","NOT RELEASED",IF(Z571=5,"NO BET",IF(OR(AB571&lt;'Config_v6'!$B$16,V571&lt;'Config_v6'!$B$18),"WATCH",IF(Z571=1,"DEFENSIV",IF(Z571=2,"PRUDENT",IF(Z571=3,"MODERAT","RIDICAT")))))))</x:f>
      </x:c>
      <x:c r="AB571" s="10" t="str">
        <x:f>IF(N571="","",MIN(N571,1-S571))</x:f>
      </x:c>
      <x:c r="AC571" s="2" t="str">
        <x:f>IF(AD571&lt;&gt;1,"",COUNTIFS($Z$566:$Z$579,"&lt;"&amp;Z571,$AD$566:$AD$579,1)+COUNTIFS($Z$566:$Z$579,Z571,$AB$566:$AB$579,"&gt;"&amp;AB571,$AD$566:$AD$579,1)+COUNTIFS($Z$566:$Z$579,Z571,$AB$566:$AB$579,AB571,$V$566:$V$579,"&gt;"&amp;V571,$AD$566:$AD$579,1)+COUNTIFS($Z$566:Z571,Z571,$AB$566:AB571,AB571,$V$566:V571,V571,$AD$566:AD571,1))</x:f>
      </x:c>
      <x:c r="AD571" s="2" t="n">
        <x:f>IF(OR(AA571="DEFENSIV",AA571="PRUDENT",AA571="MODERAT",AA571="RIDICAT"),1,0)</x:f>
        <x:v>0</x:v>
      </x:c>
      <x:c r="AE571" s="2" t="str">
        <x:f>IF(AD571&lt;&gt;1,"NO",IF(W571="PASS","YES",IF(W571="OOS PENDING","CONDITIONAL","NO")))</x:f>
        <x:v>NO</x:v>
      </x:c>
      <x:c r="AF571" s="2" t="n">
        <x:f>IF(AND(AD571=1,AC571=1,E571="LIVE"),1,0)</x:f>
        <x:v>0</x:v>
      </x:c>
      <x:c r="AG571" s="2" t="str">
        <x:f>IF(AF571&lt;&gt;1,"",'Dashboard'!P66)</x:f>
      </x:c>
      <x:c r="AH571" s="2" t="str">
        <x:f>IF(B571="","",IF(J571&lt;&gt;"PASS",'Motor_Meciuri'!J46,IF('Calibrare_Linii'!U11&lt;&gt;"VALID","Parametri linie invalizi",IF(L571&gt;'Config_v6'!$B$13,"Dispersie peste limita",IF(W571="WATCH","Failure peste limita",IF(AB571&lt;'Config_v6'!$B$16,"P finala sub prag",IF(V571&lt;'Config_v6'!$B$18,"Confidence sub prag",IF(E571="REPLAY","Exemplu retrospectiv; exclus din Top LIVE",IF(Y571="PASS","DEFENSIV validat",IF(W571="OOS PENDING","Eligibil; calibrare linie in monitorizare","Eligibil"))))))))))</x:f>
      </x:c>
      <x:c r="AI571" s="2" t="str">
        <x:f>IF(B571="","",'Calibrare_Linii'!V11)</x:f>
      </x:c>
      <x:c r="AJ571" s="2" t="str">
        <x:f>IF(B571="","",IF(AND('Calibrare_Linii'!T11="VALIDATED",AND('Calibrare_Linii'!H11=C571,ISNUMBER('Calibrare_Linii'!J11),'Calibrare_Linii'!J11&lt;='Input_Meci'!G46)),"DEFENSIVE VALIDATED",IF(AND('Calibrare_Linii'!S11="VALIDATED",AND('Calibrare_Linii'!H11=C571,ISNUMBER('Calibrare_Linii'!J11),'Calibrare_Linii'!J11&lt;='Input_Meci'!G46)),"TAIL VALIDATED","OOS PENDING")))</x:f>
      </x:c>
      <x:c r="AK571" s="2" t="n">
        <x:f>IF(J571&lt;&gt;"PASS",0,'Motor_Meciuri'!BR46)</x:f>
        <x:v>0</x:v>
      </x:c>
      <x:c r="AL571" s="2" t="n">
        <x:f>IF(J571&lt;&gt;"PASS",0,'Motor_Meciuri'!BS46)</x:f>
        <x:v>0</x:v>
      </x:c>
      <x:c r="AM571" s="2" t="n">
        <x:f>IF(J571&lt;&gt;"PASS",0,'Motor_Meciuri'!BT46)</x:f>
        <x:v>0</x:v>
      </x:c>
      <x:c r="AN571" s="2" t="str">
        <x:f>IF(M571="","",MAX(0,'Motor_Meciuri'!BF46-IF(L571&gt;'Config_v6'!$B$12,'Config_v6'!$B$37,IF(L571&gt;'Config_v6'!$B$11,'Config_v6'!$B$36,0))))</x:f>
      </x:c>
    </x:row>
    <x:row r="572" ht="21" customHeight="1">
      <x:c r="A572" s="2" t="n">
        <x:v>41</x:v>
      </x:c>
      <x:c r="B572" s="2" t="str">
        <x:f>IF('Motor_Meciuri'!A46="","",'Motor_Meciuri'!A46)</x:f>
      </x:c>
      <x:c r="C572" s="2" t="str">
        <x:f>IF(B572="","",'Motor_Meciuri'!B46)</x:f>
      </x:c>
      <x:c r="D572" s="2" t="str">
        <x:f>IF(B572="","",'Motor_Meciuri'!D46)</x:f>
      </x:c>
      <x:c r="E572" s="2" t="str">
        <x:f>IF(B572="","",'Motor_Meciuri'!E46)</x:f>
      </x:c>
      <x:c r="F572" s="2" t="str">
        <x:v>U10,5</x:v>
      </x:c>
      <x:c r="G572" s="2" t="str">
        <x:v>UNDER</x:v>
      </x:c>
      <x:c r="H572" s="2" t="n">
        <x:v>10</x:v>
      </x:c>
      <x:c r="I572" s="2" t="str">
        <x:f>IF(B572="","",'Motor_Meciuri'!H46)</x:f>
      </x:c>
      <x:c r="J572" s="2" t="str">
        <x:f>IF(B572="","",'Motor_Meciuri'!I46)</x:f>
      </x:c>
      <x:c r="K572" s="11" t="str">
        <x:f>IF(J572&lt;&gt;"PASS","",'Motor_Meciuri'!BD46)</x:f>
      </x:c>
      <x:c r="L572" s="11" t="str">
        <x:f>IF(J572&lt;&gt;"PASS","",'Motor_Meciuri'!AU46)</x:f>
      </x:c>
      <x:c r="M572" s="10" t="str">
        <x:f>IF(NOT(AND(J572="PASS",'Calibrare_Linii'!U12="VALID")),"",'Distributie'!AH46)</x:f>
      </x:c>
      <x:c r="N572" s="10" t="str">
        <x:f>IF(M572="","",MAX(0.01,MIN(0.99,0.5+(M572-0.5)*'Motor_Meciuri'!BG46*'Calibrare_Linii'!D12)))</x:f>
      </x:c>
      <x:c r="O572" s="10" t="str">
        <x:f>IF(M572="","",1-M572)</x:f>
      </x:c>
      <x:c r="P572" s="10" t="str">
        <x:f>IF(OR(NOT(AND(J572="PASS",'Calibrare_Linii'!U12="VALID")),AK572=0),""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*('Istoric_Nativ'!$Q$6:$Q$405&gt;H572))/AK572)</x:f>
      </x:c>
      <x:c r="Q572" s="10" t="str">
        <x:f>IF(OR(NOT(AND(J572="PASS",'Calibrare_Linii'!U12="VALID")),AL572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M46)+((('Istoric_Nativ'!$E$6:$E$405='Input_Meci'!E46)+('Istoric_Nativ'!$F$6:$F$405='Input_Meci'!E46))&gt;0)*('Istoric_Nativ'!$D$6:$D$405&gt;='Motor_Meciuri'!BN46))&gt;0)*('Istoric_Nativ'!$Q$6:$Q$405&gt;H572))/AL572)</x:f>
      </x:c>
      <x:c r="R572" s="10" t="str">
        <x:f>IF(OR(NOT(AND(J572="PASS",'Calibrare_Linii'!U12="VALID")),AM572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O46)+((('Istoric_Nativ'!$E$6:$E$405='Input_Meci'!E46)+('Istoric_Nativ'!$F$6:$F$405='Input_Meci'!E46))&gt;0)*('Istoric_Nativ'!$D$6:$D$405&gt;='Motor_Meciuri'!BP46))&gt;0)*('Istoric_Nativ'!$Q$6:$Q$405&gt;H572))/AM572)</x:f>
      </x:c>
      <x:c r="S572" s="10" t="str">
        <x:f>IF(M572="","",MAX(O572,P572,Q572,R572))</x:f>
      </x:c>
      <x:c r="T572" s="11" t="str">
        <x:f>IF(M572="","",MIN(100,S572*100*'Config_v6'!$B$44+MIN(100,L572/'Config_v6'!$B$13*100)*'Config_v6'!$B$45+(100-'Motor_Meciuri'!BF46)*'Config_v6'!$B$46+'Motor_Meciuri'!BH46*100*'Config_v6'!$B$47))</x:f>
      </x:c>
      <x:c r="U572" s="2" t="str">
        <x:f>IF(T572="","",IF(T572&lt;=20,1,IF(T572&lt;=40,2,IF(T572&lt;=60,3,IF(T572&lt;=80,4,5)))))</x:f>
      </x:c>
      <x:c r="V572" s="2" t="str">
        <x:f>IF(M572="","",MAX(0,'Motor_Meciuri'!BF46-IF(W572="OOS PENDING",'Config_v6'!$B$35,0)-IF(L572&gt;'Config_v6'!$B$12,'Config_v6'!$B$37,IF(L572&gt;'Config_v6'!$B$11,'Config_v6'!$B$36,0))))</x:f>
      </x:c>
      <x:c r="W572" s="2" t="str">
        <x:f>IF(B572="","",IF(I572&lt;&gt;"READY","NOT RELEASED",IF(NOT(AND(J572="PASS",'Calibrare_Linii'!U12="VALID")),"INVALID",IF(NOT(AND('Calibrare_Linii'!S12="VALIDATED",AND('Calibrare_Linii'!H12=C572,ISNUMBER('Calibrare_Linii'!J12),'Calibrare_Linii'!J12&lt;='Input_Meci'!G46))),"OOS PENDING",IF(S572&lt;='Calibrare_Linii'!E12,"PASS",IF(S572&lt;='Calibrare_Linii'!F12,"PENALTY","WATCH"))))))</x:f>
      </x:c>
      <x:c r="X572" s="2" t="str">
        <x:f>IF(M572="","",IF(AND(AND(J572="PASS",'Calibrare_Linii'!U12="VALID"),'Motor_Meciuri'!K46=12,'Motor_Meciuri'!L46=12,'Motor_Meciuri'!M46="NO",'Motor_Meciuri'!BL46='Motor_Meciuri'!C46,AB572&gt;='Config_v6'!$B$50,AN572&gt;='Config_v6'!$B$51,T572&lt;='Config_v6'!$B$52,L572&lt;='Config_v6'!$B$53,ISNUMBER('Calibrare_Linii'!E12),S572&lt;='Calibrare_Linii'!E12,SUM(AK572:AM572)&gt;0),"CANDIDATE","NO"))</x:f>
      </x:c>
      <x:c r="Y572" s="2" t="str">
        <x:f>IF(B572="","",IF(I572&lt;&gt;"READY","NOT RELEASED",IF(AND(X572="CANDIDATE",V572&gt;='Config_v6'!$B$51,W572="PASS",'Calibrare_Linii'!T12="VALIDATED",AND('Calibrare_Linii'!H12=C572,ISNUMBER('Calibrare_Linii'!J12),'Calibrare_Linii'!J12&lt;='Input_Meci'!G46)),"PASS",IF(X572="CANDIDATE","OOS PENDING","FAIL"))))</x:f>
      </x:c>
      <x:c r="Z572" s="2" t="str">
        <x:f>IF(B572="","",IF(I572&lt;&gt;"READY","",IF(OR(NOT(AND(J572="PASS",'Calibrare_Linii'!U12="VALID")),L572&gt;'Config_v6'!$B$13,W572="WATCH"),5,IF(Y572="PASS",1,MIN(5,MAX('Config_v6'!$B$42,U572)+IF(W572="PENALTY",1,0))))))</x:f>
      </x:c>
      <x:c r="AA572" s="2" t="str">
        <x:f>IF(B572="","",IF(I572&lt;&gt;"READY","NOT RELEASED",IF(Z572=5,"NO BET",IF(OR(AB572&lt;'Config_v6'!$B$16,V572&lt;'Config_v6'!$B$18),"WATCH",IF(Z572=1,"DEFENSIV",IF(Z572=2,"PRUDENT",IF(Z572=3,"MODERAT","RIDICAT")))))))</x:f>
      </x:c>
      <x:c r="AB572" s="10" t="str">
        <x:f>IF(N572="","",MIN(N572,1-S572))</x:f>
      </x:c>
      <x:c r="AC572" s="2" t="str">
        <x:f>IF(AD572&lt;&gt;1,"",COUNTIFS($Z$566:$Z$579,"&lt;"&amp;Z572,$AD$566:$AD$579,1)+COUNTIFS($Z$566:$Z$579,Z572,$AB$566:$AB$579,"&gt;"&amp;AB572,$AD$566:$AD$579,1)+COUNTIFS($Z$566:$Z$579,Z572,$AB$566:$AB$579,AB572,$V$566:$V$579,"&gt;"&amp;V572,$AD$566:$AD$579,1)+COUNTIFS($Z$566:Z572,Z572,$AB$566:AB572,AB572,$V$566:V572,V572,$AD$566:AD572,1))</x:f>
      </x:c>
      <x:c r="AD572" s="2" t="n">
        <x:f>IF(OR(AA572="DEFENSIV",AA572="PRUDENT",AA572="MODERAT",AA572="RIDICAT"),1,0)</x:f>
        <x:v>0</x:v>
      </x:c>
      <x:c r="AE572" s="2" t="str">
        <x:f>IF(AD572&lt;&gt;1,"NO",IF(W572="PASS","YES",IF(W572="OOS PENDING","CONDITIONAL","NO")))</x:f>
        <x:v>NO</x:v>
      </x:c>
      <x:c r="AF572" s="2" t="n">
        <x:f>IF(AND(AD572=1,AC572=1,E572="LIVE"),1,0)</x:f>
        <x:v>0</x:v>
      </x:c>
      <x:c r="AG572" s="2" t="str">
        <x:f>IF(AF572&lt;&gt;1,"",'Dashboard'!P66)</x:f>
      </x:c>
      <x:c r="AH572" s="2" t="str">
        <x:f>IF(B572="","",IF(J572&lt;&gt;"PASS",'Motor_Meciuri'!J46,IF('Calibrare_Linii'!U12&lt;&gt;"VALID","Parametri linie invalizi",IF(L572&gt;'Config_v6'!$B$13,"Dispersie peste limita",IF(W572="WATCH","Failure peste limita",IF(AB572&lt;'Config_v6'!$B$16,"P finala sub prag",IF(V572&lt;'Config_v6'!$B$18,"Confidence sub prag",IF(E572="REPLAY","Exemplu retrospectiv; exclus din Top LIVE",IF(Y572="PASS","DEFENSIV validat",IF(W572="OOS PENDING","Eligibil; calibrare linie in monitorizare","Eligibil"))))))))))</x:f>
      </x:c>
      <x:c r="AI572" s="2" t="str">
        <x:f>IF(B572="","",'Calibrare_Linii'!V12)</x:f>
      </x:c>
      <x:c r="AJ572" s="2" t="str">
        <x:f>IF(B572="","",IF(AND('Calibrare_Linii'!T12="VALIDATED",AND('Calibrare_Linii'!H12=C572,ISNUMBER('Calibrare_Linii'!J12),'Calibrare_Linii'!J12&lt;='Input_Meci'!G46)),"DEFENSIVE VALIDATED",IF(AND('Calibrare_Linii'!S12="VALIDATED",AND('Calibrare_Linii'!H12=C572,ISNUMBER('Calibrare_Linii'!J12),'Calibrare_Linii'!J12&lt;='Input_Meci'!G46)),"TAIL VALIDATED","OOS PENDING")))</x:f>
      </x:c>
      <x:c r="AK572" s="2" t="n">
        <x:f>IF(J572&lt;&gt;"PASS",0,'Motor_Meciuri'!BR46)</x:f>
        <x:v>0</x:v>
      </x:c>
      <x:c r="AL572" s="2" t="n">
        <x:f>IF(J572&lt;&gt;"PASS",0,'Motor_Meciuri'!BS46)</x:f>
        <x:v>0</x:v>
      </x:c>
      <x:c r="AM572" s="2" t="n">
        <x:f>IF(J572&lt;&gt;"PASS",0,'Motor_Meciuri'!BT46)</x:f>
        <x:v>0</x:v>
      </x:c>
      <x:c r="AN572" s="2" t="str">
        <x:f>IF(M572="","",MAX(0,'Motor_Meciuri'!BF46-IF(L572&gt;'Config_v6'!$B$12,'Config_v6'!$B$37,IF(L572&gt;'Config_v6'!$B$11,'Config_v6'!$B$36,0))))</x:f>
      </x:c>
    </x:row>
    <x:row r="573" ht="21" customHeight="1">
      <x:c r="A573" s="2" t="n">
        <x:v>41</x:v>
      </x:c>
      <x:c r="B573" s="2" t="str">
        <x:f>IF('Motor_Meciuri'!A46="","",'Motor_Meciuri'!A46)</x:f>
      </x:c>
      <x:c r="C573" s="2" t="str">
        <x:f>IF(B573="","",'Motor_Meciuri'!B46)</x:f>
      </x:c>
      <x:c r="D573" s="2" t="str">
        <x:f>IF(B573="","",'Motor_Meciuri'!D46)</x:f>
      </x:c>
      <x:c r="E573" s="2" t="str">
        <x:f>IF(B573="","",'Motor_Meciuri'!E46)</x:f>
      </x:c>
      <x:c r="F573" s="2" t="str">
        <x:v>U11,5</x:v>
      </x:c>
      <x:c r="G573" s="2" t="str">
        <x:v>UNDER</x:v>
      </x:c>
      <x:c r="H573" s="2" t="n">
        <x:v>11</x:v>
      </x:c>
      <x:c r="I573" s="2" t="str">
        <x:f>IF(B573="","",'Motor_Meciuri'!H46)</x:f>
      </x:c>
      <x:c r="J573" s="2" t="str">
        <x:f>IF(B573="","",'Motor_Meciuri'!I46)</x:f>
      </x:c>
      <x:c r="K573" s="11" t="str">
        <x:f>IF(J573&lt;&gt;"PASS","",'Motor_Meciuri'!BD46)</x:f>
      </x:c>
      <x:c r="L573" s="11" t="str">
        <x:f>IF(J573&lt;&gt;"PASS","",'Motor_Meciuri'!AU46)</x:f>
      </x:c>
      <x:c r="M573" s="10" t="str">
        <x:f>IF(NOT(AND(J573="PASS",'Calibrare_Linii'!U13="VALID")),"",'Distributie'!AI46)</x:f>
      </x:c>
      <x:c r="N573" s="10" t="str">
        <x:f>IF(M573="","",MAX(0.01,MIN(0.99,0.5+(M573-0.5)*'Motor_Meciuri'!BG46*'Calibrare_Linii'!D13)))</x:f>
      </x:c>
      <x:c r="O573" s="10" t="str">
        <x:f>IF(M573="","",1-M573)</x:f>
      </x:c>
      <x:c r="P573" s="10" t="str">
        <x:f>IF(OR(NOT(AND(J573="PASS",'Calibrare_Linii'!U13="VALID")),AK573=0),""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*('Istoric_Nativ'!$Q$6:$Q$405&gt;H573))/AK573)</x:f>
      </x:c>
      <x:c r="Q573" s="10" t="str">
        <x:f>IF(OR(NOT(AND(J573="PASS",'Calibrare_Linii'!U13="VALID")),AL573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M46)+((('Istoric_Nativ'!$E$6:$E$405='Input_Meci'!E46)+('Istoric_Nativ'!$F$6:$F$405='Input_Meci'!E46))&gt;0)*('Istoric_Nativ'!$D$6:$D$405&gt;='Motor_Meciuri'!BN46))&gt;0)*('Istoric_Nativ'!$Q$6:$Q$405&gt;H573))/AL573)</x:f>
      </x:c>
      <x:c r="R573" s="10" t="str">
        <x:f>IF(OR(NOT(AND(J573="PASS",'Calibrare_Linii'!U13="VALID")),AM573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O46)+((('Istoric_Nativ'!$E$6:$E$405='Input_Meci'!E46)+('Istoric_Nativ'!$F$6:$F$405='Input_Meci'!E46))&gt;0)*('Istoric_Nativ'!$D$6:$D$405&gt;='Motor_Meciuri'!BP46))&gt;0)*('Istoric_Nativ'!$Q$6:$Q$405&gt;H573))/AM573)</x:f>
      </x:c>
      <x:c r="S573" s="10" t="str">
        <x:f>IF(M573="","",MAX(O573,P573,Q573,R573))</x:f>
      </x:c>
      <x:c r="T573" s="11" t="str">
        <x:f>IF(M573="","",MIN(100,S573*100*'Config_v6'!$B$44+MIN(100,L573/'Config_v6'!$B$13*100)*'Config_v6'!$B$45+(100-'Motor_Meciuri'!BF46)*'Config_v6'!$B$46+'Motor_Meciuri'!BH46*100*'Config_v6'!$B$47))</x:f>
      </x:c>
      <x:c r="U573" s="2" t="str">
        <x:f>IF(T573="","",IF(T573&lt;=20,1,IF(T573&lt;=40,2,IF(T573&lt;=60,3,IF(T573&lt;=80,4,5)))))</x:f>
      </x:c>
      <x:c r="V573" s="2" t="str">
        <x:f>IF(M573="","",MAX(0,'Motor_Meciuri'!BF46-IF(W573="OOS PENDING",'Config_v6'!$B$35,0)-IF(L573&gt;'Config_v6'!$B$12,'Config_v6'!$B$37,IF(L573&gt;'Config_v6'!$B$11,'Config_v6'!$B$36,0))))</x:f>
      </x:c>
      <x:c r="W573" s="2" t="str">
        <x:f>IF(B573="","",IF(I573&lt;&gt;"READY","NOT RELEASED",IF(NOT(AND(J573="PASS",'Calibrare_Linii'!U13="VALID")),"INVALID",IF(NOT(AND('Calibrare_Linii'!S13="VALIDATED",AND('Calibrare_Linii'!H13=C573,ISNUMBER('Calibrare_Linii'!J13),'Calibrare_Linii'!J13&lt;='Input_Meci'!G46))),"OOS PENDING",IF(S573&lt;='Calibrare_Linii'!E13,"PASS",IF(S573&lt;='Calibrare_Linii'!F13,"PENALTY","WATCH"))))))</x:f>
      </x:c>
      <x:c r="X573" s="2" t="str">
        <x:f>IF(M573="","",IF(AND(AND(J573="PASS",'Calibrare_Linii'!U13="VALID"),'Motor_Meciuri'!K46=12,'Motor_Meciuri'!L46=12,'Motor_Meciuri'!M46="NO",'Motor_Meciuri'!BL46='Motor_Meciuri'!C46,AB573&gt;='Config_v6'!$B$50,AN573&gt;='Config_v6'!$B$51,T573&lt;='Config_v6'!$B$52,L573&lt;='Config_v6'!$B$53,ISNUMBER('Calibrare_Linii'!E13),S573&lt;='Calibrare_Linii'!E13,SUM(AK573:AM573)&gt;0),"CANDIDATE","NO"))</x:f>
      </x:c>
      <x:c r="Y573" s="2" t="str">
        <x:f>IF(B573="","",IF(I573&lt;&gt;"READY","NOT RELEASED",IF(AND(X573="CANDIDATE",V573&gt;='Config_v6'!$B$51,W573="PASS",'Calibrare_Linii'!T13="VALIDATED",AND('Calibrare_Linii'!H13=C573,ISNUMBER('Calibrare_Linii'!J13),'Calibrare_Linii'!J13&lt;='Input_Meci'!G46)),"PASS",IF(X573="CANDIDATE","OOS PENDING","FAIL"))))</x:f>
      </x:c>
      <x:c r="Z573" s="2" t="str">
        <x:f>IF(B573="","",IF(I573&lt;&gt;"READY","",IF(OR(NOT(AND(J573="PASS",'Calibrare_Linii'!U13="VALID")),L573&gt;'Config_v6'!$B$13,W573="WATCH"),5,IF(Y573="PASS",1,MIN(5,MAX('Config_v6'!$B$42,U573)+IF(W573="PENALTY",1,0))))))</x:f>
      </x:c>
      <x:c r="AA573" s="2" t="str">
        <x:f>IF(B573="","",IF(I573&lt;&gt;"READY","NOT RELEASED",IF(Z573=5,"NO BET",IF(OR(AB573&lt;'Config_v6'!$B$16,V573&lt;'Config_v6'!$B$18),"WATCH",IF(Z573=1,"DEFENSIV",IF(Z573=2,"PRUDENT",IF(Z573=3,"MODERAT","RIDICAT")))))))</x:f>
      </x:c>
      <x:c r="AB573" s="10" t="str">
        <x:f>IF(N573="","",MIN(N573,1-S573))</x:f>
      </x:c>
      <x:c r="AC573" s="2" t="str">
        <x:f>IF(AD573&lt;&gt;1,"",COUNTIFS($Z$566:$Z$579,"&lt;"&amp;Z573,$AD$566:$AD$579,1)+COUNTIFS($Z$566:$Z$579,Z573,$AB$566:$AB$579,"&gt;"&amp;AB573,$AD$566:$AD$579,1)+COUNTIFS($Z$566:$Z$579,Z573,$AB$566:$AB$579,AB573,$V$566:$V$579,"&gt;"&amp;V573,$AD$566:$AD$579,1)+COUNTIFS($Z$566:Z573,Z573,$AB$566:AB573,AB573,$V$566:V573,V573,$AD$566:AD573,1))</x:f>
      </x:c>
      <x:c r="AD573" s="2" t="n">
        <x:f>IF(OR(AA573="DEFENSIV",AA573="PRUDENT",AA573="MODERAT",AA573="RIDICAT"),1,0)</x:f>
        <x:v>0</x:v>
      </x:c>
      <x:c r="AE573" s="2" t="str">
        <x:f>IF(AD573&lt;&gt;1,"NO",IF(W573="PASS","YES",IF(W573="OOS PENDING","CONDITIONAL","NO")))</x:f>
        <x:v>NO</x:v>
      </x:c>
      <x:c r="AF573" s="2" t="n">
        <x:f>IF(AND(AD573=1,AC573=1,E573="LIVE"),1,0)</x:f>
        <x:v>0</x:v>
      </x:c>
      <x:c r="AG573" s="2" t="str">
        <x:f>IF(AF573&lt;&gt;1,"",'Dashboard'!P66)</x:f>
      </x:c>
      <x:c r="AH573" s="2" t="str">
        <x:f>IF(B573="","",IF(J573&lt;&gt;"PASS",'Motor_Meciuri'!J46,IF('Calibrare_Linii'!U13&lt;&gt;"VALID","Parametri linie invalizi",IF(L573&gt;'Config_v6'!$B$13,"Dispersie peste limita",IF(W573="WATCH","Failure peste limita",IF(AB573&lt;'Config_v6'!$B$16,"P finala sub prag",IF(V573&lt;'Config_v6'!$B$18,"Confidence sub prag",IF(E573="REPLAY","Exemplu retrospectiv; exclus din Top LIVE",IF(Y573="PASS","DEFENSIV validat",IF(W573="OOS PENDING","Eligibil; calibrare linie in monitorizare","Eligibil"))))))))))</x:f>
      </x:c>
      <x:c r="AI573" s="2" t="str">
        <x:f>IF(B573="","",'Calibrare_Linii'!V13)</x:f>
      </x:c>
      <x:c r="AJ573" s="2" t="str">
        <x:f>IF(B573="","",IF(AND('Calibrare_Linii'!T13="VALIDATED",AND('Calibrare_Linii'!H13=C573,ISNUMBER('Calibrare_Linii'!J13),'Calibrare_Linii'!J13&lt;='Input_Meci'!G46)),"DEFENSIVE VALIDATED",IF(AND('Calibrare_Linii'!S13="VALIDATED",AND('Calibrare_Linii'!H13=C573,ISNUMBER('Calibrare_Linii'!J13),'Calibrare_Linii'!J13&lt;='Input_Meci'!G46)),"TAIL VALIDATED","OOS PENDING")))</x:f>
      </x:c>
      <x:c r="AK573" s="2" t="n">
        <x:f>IF(J573&lt;&gt;"PASS",0,'Motor_Meciuri'!BR46)</x:f>
        <x:v>0</x:v>
      </x:c>
      <x:c r="AL573" s="2" t="n">
        <x:f>IF(J573&lt;&gt;"PASS",0,'Motor_Meciuri'!BS46)</x:f>
        <x:v>0</x:v>
      </x:c>
      <x:c r="AM573" s="2" t="n">
        <x:f>IF(J573&lt;&gt;"PASS",0,'Motor_Meciuri'!BT46)</x:f>
        <x:v>0</x:v>
      </x:c>
      <x:c r="AN573" s="2" t="str">
        <x:f>IF(M573="","",MAX(0,'Motor_Meciuri'!BF46-IF(L573&gt;'Config_v6'!$B$12,'Config_v6'!$B$37,IF(L573&gt;'Config_v6'!$B$11,'Config_v6'!$B$36,0))))</x:f>
      </x:c>
    </x:row>
    <x:row r="574" ht="21" customHeight="1">
      <x:c r="A574" s="2" t="n">
        <x:v>41</x:v>
      </x:c>
      <x:c r="B574" s="2" t="str">
        <x:f>IF('Motor_Meciuri'!A46="","",'Motor_Meciuri'!A46)</x:f>
      </x:c>
      <x:c r="C574" s="2" t="str">
        <x:f>IF(B574="","",'Motor_Meciuri'!B46)</x:f>
      </x:c>
      <x:c r="D574" s="2" t="str">
        <x:f>IF(B574="","",'Motor_Meciuri'!D46)</x:f>
      </x:c>
      <x:c r="E574" s="2" t="str">
        <x:f>IF(B574="","",'Motor_Meciuri'!E46)</x:f>
      </x:c>
      <x:c r="F574" s="2" t="str">
        <x:v>U12,5</x:v>
      </x:c>
      <x:c r="G574" s="2" t="str">
        <x:v>UNDER</x:v>
      </x:c>
      <x:c r="H574" s="2" t="n">
        <x:v>12</x:v>
      </x:c>
      <x:c r="I574" s="2" t="str">
        <x:f>IF(B574="","",'Motor_Meciuri'!H46)</x:f>
      </x:c>
      <x:c r="J574" s="2" t="str">
        <x:f>IF(B574="","",'Motor_Meciuri'!I46)</x:f>
      </x:c>
      <x:c r="K574" s="11" t="str">
        <x:f>IF(J574&lt;&gt;"PASS","",'Motor_Meciuri'!BD46)</x:f>
      </x:c>
      <x:c r="L574" s="11" t="str">
        <x:f>IF(J574&lt;&gt;"PASS","",'Motor_Meciuri'!AU46)</x:f>
      </x:c>
      <x:c r="M574" s="10" t="str">
        <x:f>IF(NOT(AND(J574="PASS",'Calibrare_Linii'!U14="VALID")),"",'Distributie'!AJ46)</x:f>
      </x:c>
      <x:c r="N574" s="10" t="str">
        <x:f>IF(M574="","",MAX(0.01,MIN(0.99,0.5+(M574-0.5)*'Motor_Meciuri'!BG46*'Calibrare_Linii'!D14)))</x:f>
      </x:c>
      <x:c r="O574" s="10" t="str">
        <x:f>IF(M574="","",1-M574)</x:f>
      </x:c>
      <x:c r="P574" s="10" t="str">
        <x:f>IF(OR(NOT(AND(J574="PASS",'Calibrare_Linii'!U14="VALID")),AK574=0),""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*('Istoric_Nativ'!$Q$6:$Q$405&gt;H574))/AK574)</x:f>
      </x:c>
      <x:c r="Q574" s="10" t="str">
        <x:f>IF(OR(NOT(AND(J574="PASS",'Calibrare_Linii'!U14="VALID")),AL574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M46)+((('Istoric_Nativ'!$E$6:$E$405='Input_Meci'!E46)+('Istoric_Nativ'!$F$6:$F$405='Input_Meci'!E46))&gt;0)*('Istoric_Nativ'!$D$6:$D$405&gt;='Motor_Meciuri'!BN46))&gt;0)*('Istoric_Nativ'!$Q$6:$Q$405&gt;H574))/AL574)</x:f>
      </x:c>
      <x:c r="R574" s="10" t="str">
        <x:f>IF(OR(NOT(AND(J574="PASS",'Calibrare_Linii'!U14="VALID")),AM574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O46)+((('Istoric_Nativ'!$E$6:$E$405='Input_Meci'!E46)+('Istoric_Nativ'!$F$6:$F$405='Input_Meci'!E46))&gt;0)*('Istoric_Nativ'!$D$6:$D$405&gt;='Motor_Meciuri'!BP46))&gt;0)*('Istoric_Nativ'!$Q$6:$Q$405&gt;H574))/AM574)</x:f>
      </x:c>
      <x:c r="S574" s="10" t="str">
        <x:f>IF(M574="","",MAX(O574,P574,Q574,R574))</x:f>
      </x:c>
      <x:c r="T574" s="11" t="str">
        <x:f>IF(M574="","",MIN(100,S574*100*'Config_v6'!$B$44+MIN(100,L574/'Config_v6'!$B$13*100)*'Config_v6'!$B$45+(100-'Motor_Meciuri'!BF46)*'Config_v6'!$B$46+'Motor_Meciuri'!BH46*100*'Config_v6'!$B$47))</x:f>
      </x:c>
      <x:c r="U574" s="2" t="str">
        <x:f>IF(T574="","",IF(T574&lt;=20,1,IF(T574&lt;=40,2,IF(T574&lt;=60,3,IF(T574&lt;=80,4,5)))))</x:f>
      </x:c>
      <x:c r="V574" s="2" t="str">
        <x:f>IF(M574="","",MAX(0,'Motor_Meciuri'!BF46-IF(W574="OOS PENDING",'Config_v6'!$B$35,0)-IF(L574&gt;'Config_v6'!$B$12,'Config_v6'!$B$37,IF(L574&gt;'Config_v6'!$B$11,'Config_v6'!$B$36,0))))</x:f>
      </x:c>
      <x:c r="W574" s="2" t="str">
        <x:f>IF(B574="","",IF(I574&lt;&gt;"READY","NOT RELEASED",IF(NOT(AND(J574="PASS",'Calibrare_Linii'!U14="VALID")),"INVALID",IF(NOT(AND('Calibrare_Linii'!S14="VALIDATED",AND('Calibrare_Linii'!H14=C574,ISNUMBER('Calibrare_Linii'!J14),'Calibrare_Linii'!J14&lt;='Input_Meci'!G46))),"OOS PENDING",IF(S574&lt;='Calibrare_Linii'!E14,"PASS",IF(S574&lt;='Calibrare_Linii'!F14,"PENALTY","WATCH"))))))</x:f>
      </x:c>
      <x:c r="X574" s="2" t="str">
        <x:f>IF(M574="","",IF(AND(AND(J574="PASS",'Calibrare_Linii'!U14="VALID"),'Motor_Meciuri'!K46=12,'Motor_Meciuri'!L46=12,'Motor_Meciuri'!M46="NO",'Motor_Meciuri'!BL46='Motor_Meciuri'!C46,AB574&gt;='Config_v6'!$B$50,AN574&gt;='Config_v6'!$B$51,T574&lt;='Config_v6'!$B$52,L574&lt;='Config_v6'!$B$53,ISNUMBER('Calibrare_Linii'!E14),S574&lt;='Calibrare_Linii'!E14,SUM(AK574:AM574)&gt;0),"CANDIDATE","NO"))</x:f>
      </x:c>
      <x:c r="Y574" s="2" t="str">
        <x:f>IF(B574="","",IF(I574&lt;&gt;"READY","NOT RELEASED",IF(AND(X574="CANDIDATE",V574&gt;='Config_v6'!$B$51,W574="PASS",'Calibrare_Linii'!T14="VALIDATED",AND('Calibrare_Linii'!H14=C574,ISNUMBER('Calibrare_Linii'!J14),'Calibrare_Linii'!J14&lt;='Input_Meci'!G46)),"PASS",IF(X574="CANDIDATE","OOS PENDING","FAIL"))))</x:f>
      </x:c>
      <x:c r="Z574" s="2" t="str">
        <x:f>IF(B574="","",IF(I574&lt;&gt;"READY","",IF(OR(NOT(AND(J574="PASS",'Calibrare_Linii'!U14="VALID")),L574&gt;'Config_v6'!$B$13,W574="WATCH"),5,IF(Y574="PASS",1,MIN(5,MAX('Config_v6'!$B$42,U574)+IF(W574="PENALTY",1,0))))))</x:f>
      </x:c>
      <x:c r="AA574" s="2" t="str">
        <x:f>IF(B574="","",IF(I574&lt;&gt;"READY","NOT RELEASED",IF(Z574=5,"NO BET",IF(OR(AB574&lt;'Config_v6'!$B$16,V574&lt;'Config_v6'!$B$18),"WATCH",IF(Z574=1,"DEFENSIV",IF(Z574=2,"PRUDENT",IF(Z574=3,"MODERAT","RIDICAT")))))))</x:f>
      </x:c>
      <x:c r="AB574" s="10" t="str">
        <x:f>IF(N574="","",MIN(N574,1-S574))</x:f>
      </x:c>
      <x:c r="AC574" s="2" t="str">
        <x:f>IF(AD574&lt;&gt;1,"",COUNTIFS($Z$566:$Z$579,"&lt;"&amp;Z574,$AD$566:$AD$579,1)+COUNTIFS($Z$566:$Z$579,Z574,$AB$566:$AB$579,"&gt;"&amp;AB574,$AD$566:$AD$579,1)+COUNTIFS($Z$566:$Z$579,Z574,$AB$566:$AB$579,AB574,$V$566:$V$579,"&gt;"&amp;V574,$AD$566:$AD$579,1)+COUNTIFS($Z$566:Z574,Z574,$AB$566:AB574,AB574,$V$566:V574,V574,$AD$566:AD574,1))</x:f>
      </x:c>
      <x:c r="AD574" s="2" t="n">
        <x:f>IF(OR(AA574="DEFENSIV",AA574="PRUDENT",AA574="MODERAT",AA574="RIDICAT"),1,0)</x:f>
        <x:v>0</x:v>
      </x:c>
      <x:c r="AE574" s="2" t="str">
        <x:f>IF(AD574&lt;&gt;1,"NO",IF(W574="PASS","YES",IF(W574="OOS PENDING","CONDITIONAL","NO")))</x:f>
        <x:v>NO</x:v>
      </x:c>
      <x:c r="AF574" s="2" t="n">
        <x:f>IF(AND(AD574=1,AC574=1,E574="LIVE"),1,0)</x:f>
        <x:v>0</x:v>
      </x:c>
      <x:c r="AG574" s="2" t="str">
        <x:f>IF(AF574&lt;&gt;1,"",'Dashboard'!P66)</x:f>
      </x:c>
      <x:c r="AH574" s="2" t="str">
        <x:f>IF(B574="","",IF(J574&lt;&gt;"PASS",'Motor_Meciuri'!J46,IF('Calibrare_Linii'!U14&lt;&gt;"VALID","Parametri linie invalizi",IF(L574&gt;'Config_v6'!$B$13,"Dispersie peste limita",IF(W574="WATCH","Failure peste limita",IF(AB574&lt;'Config_v6'!$B$16,"P finala sub prag",IF(V574&lt;'Config_v6'!$B$18,"Confidence sub prag",IF(E574="REPLAY","Exemplu retrospectiv; exclus din Top LIVE",IF(Y574="PASS","DEFENSIV validat",IF(W574="OOS PENDING","Eligibil; calibrare linie in monitorizare","Eligibil"))))))))))</x:f>
      </x:c>
      <x:c r="AI574" s="2" t="str">
        <x:f>IF(B574="","",'Calibrare_Linii'!V14)</x:f>
      </x:c>
      <x:c r="AJ574" s="2" t="str">
        <x:f>IF(B574="","",IF(AND('Calibrare_Linii'!T14="VALIDATED",AND('Calibrare_Linii'!H14=C574,ISNUMBER('Calibrare_Linii'!J14),'Calibrare_Linii'!J14&lt;='Input_Meci'!G46)),"DEFENSIVE VALIDATED",IF(AND('Calibrare_Linii'!S14="VALIDATED",AND('Calibrare_Linii'!H14=C574,ISNUMBER('Calibrare_Linii'!J14),'Calibrare_Linii'!J14&lt;='Input_Meci'!G46)),"TAIL VALIDATED","OOS PENDING")))</x:f>
      </x:c>
      <x:c r="AK574" s="2" t="n">
        <x:f>IF(J574&lt;&gt;"PASS",0,'Motor_Meciuri'!BR46)</x:f>
        <x:v>0</x:v>
      </x:c>
      <x:c r="AL574" s="2" t="n">
        <x:f>IF(J574&lt;&gt;"PASS",0,'Motor_Meciuri'!BS46)</x:f>
        <x:v>0</x:v>
      </x:c>
      <x:c r="AM574" s="2" t="n">
        <x:f>IF(J574&lt;&gt;"PASS",0,'Motor_Meciuri'!BT46)</x:f>
        <x:v>0</x:v>
      </x:c>
      <x:c r="AN574" s="2" t="str">
        <x:f>IF(M574="","",MAX(0,'Motor_Meciuri'!BF46-IF(L574&gt;'Config_v6'!$B$12,'Config_v6'!$B$37,IF(L574&gt;'Config_v6'!$B$11,'Config_v6'!$B$36,0))))</x:f>
      </x:c>
    </x:row>
    <x:row r="575" ht="21" customHeight="1">
      <x:c r="A575" s="2" t="n">
        <x:v>41</x:v>
      </x:c>
      <x:c r="B575" s="2" t="str">
        <x:f>IF('Motor_Meciuri'!A46="","",'Motor_Meciuri'!A46)</x:f>
      </x:c>
      <x:c r="C575" s="2" t="str">
        <x:f>IF(B575="","",'Motor_Meciuri'!B46)</x:f>
      </x:c>
      <x:c r="D575" s="2" t="str">
        <x:f>IF(B575="","",'Motor_Meciuri'!D46)</x:f>
      </x:c>
      <x:c r="E575" s="2" t="str">
        <x:f>IF(B575="","",'Motor_Meciuri'!E46)</x:f>
      </x:c>
      <x:c r="F575" s="2" t="str">
        <x:v>U13,5</x:v>
      </x:c>
      <x:c r="G575" s="2" t="str">
        <x:v>UNDER</x:v>
      </x:c>
      <x:c r="H575" s="2" t="n">
        <x:v>13</x:v>
      </x:c>
      <x:c r="I575" s="2" t="str">
        <x:f>IF(B575="","",'Motor_Meciuri'!H46)</x:f>
      </x:c>
      <x:c r="J575" s="2" t="str">
        <x:f>IF(B575="","",'Motor_Meciuri'!I46)</x:f>
      </x:c>
      <x:c r="K575" s="11" t="str">
        <x:f>IF(J575&lt;&gt;"PASS","",'Motor_Meciuri'!BD46)</x:f>
      </x:c>
      <x:c r="L575" s="11" t="str">
        <x:f>IF(J575&lt;&gt;"PASS","",'Motor_Meciuri'!AU46)</x:f>
      </x:c>
      <x:c r="M575" s="10" t="str">
        <x:f>IF(NOT(AND(J575="PASS",'Calibrare_Linii'!U15="VALID")),"",'Distributie'!AK46)</x:f>
      </x:c>
      <x:c r="N575" s="10" t="str">
        <x:f>IF(M575="","",MAX(0.01,MIN(0.99,0.5+(M575-0.5)*'Motor_Meciuri'!BG46*'Calibrare_Linii'!D15)))</x:f>
      </x:c>
      <x:c r="O575" s="10" t="str">
        <x:f>IF(M575="","",1-M575)</x:f>
      </x:c>
      <x:c r="P575" s="10" t="str">
        <x:f>IF(OR(NOT(AND(J575="PASS",'Calibrare_Linii'!U15="VALID")),AK575=0),""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*('Istoric_Nativ'!$Q$6:$Q$405&gt;H575))/AK575)</x:f>
      </x:c>
      <x:c r="Q575" s="10" t="str">
        <x:f>IF(OR(NOT(AND(J575="PASS",'Calibrare_Linii'!U15="VALID")),AL575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M46)+((('Istoric_Nativ'!$E$6:$E$405='Input_Meci'!E46)+('Istoric_Nativ'!$F$6:$F$405='Input_Meci'!E46))&gt;0)*('Istoric_Nativ'!$D$6:$D$405&gt;='Motor_Meciuri'!BN46))&gt;0)*('Istoric_Nativ'!$Q$6:$Q$405&gt;H575))/AL575)</x:f>
      </x:c>
      <x:c r="R575" s="10" t="str">
        <x:f>IF(OR(NOT(AND(J575="PASS",'Calibrare_Linii'!U15="VALID")),AM575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O46)+((('Istoric_Nativ'!$E$6:$E$405='Input_Meci'!E46)+('Istoric_Nativ'!$F$6:$F$405='Input_Meci'!E46))&gt;0)*('Istoric_Nativ'!$D$6:$D$405&gt;='Motor_Meciuri'!BP46))&gt;0)*('Istoric_Nativ'!$Q$6:$Q$405&gt;H575))/AM575)</x:f>
      </x:c>
      <x:c r="S575" s="10" t="str">
        <x:f>IF(M575="","",MAX(O575,P575,Q575,R575))</x:f>
      </x:c>
      <x:c r="T575" s="11" t="str">
        <x:f>IF(M575="","",MIN(100,S575*100*'Config_v6'!$B$44+MIN(100,L575/'Config_v6'!$B$13*100)*'Config_v6'!$B$45+(100-'Motor_Meciuri'!BF46)*'Config_v6'!$B$46+'Motor_Meciuri'!BH46*100*'Config_v6'!$B$47))</x:f>
      </x:c>
      <x:c r="U575" s="2" t="str">
        <x:f>IF(T575="","",IF(T575&lt;=20,1,IF(T575&lt;=40,2,IF(T575&lt;=60,3,IF(T575&lt;=80,4,5)))))</x:f>
      </x:c>
      <x:c r="V575" s="2" t="str">
        <x:f>IF(M575="","",MAX(0,'Motor_Meciuri'!BF46-IF(W575="OOS PENDING",'Config_v6'!$B$35,0)-IF(L575&gt;'Config_v6'!$B$12,'Config_v6'!$B$37,IF(L575&gt;'Config_v6'!$B$11,'Config_v6'!$B$36,0))))</x:f>
      </x:c>
      <x:c r="W575" s="2" t="str">
        <x:f>IF(B575="","",IF(I575&lt;&gt;"READY","NOT RELEASED",IF(NOT(AND(J575="PASS",'Calibrare_Linii'!U15="VALID")),"INVALID",IF(NOT(AND('Calibrare_Linii'!S15="VALIDATED",AND('Calibrare_Linii'!H15=C575,ISNUMBER('Calibrare_Linii'!J15),'Calibrare_Linii'!J15&lt;='Input_Meci'!G46))),"OOS PENDING",IF(S575&lt;='Calibrare_Linii'!E15,"PASS",IF(S575&lt;='Calibrare_Linii'!F15,"PENALTY","WATCH"))))))</x:f>
      </x:c>
      <x:c r="X575" s="2" t="str">
        <x:f>IF(M575="","",IF(AND(AND(J575="PASS",'Calibrare_Linii'!U15="VALID"),'Motor_Meciuri'!K46=12,'Motor_Meciuri'!L46=12,'Motor_Meciuri'!M46="NO",'Motor_Meciuri'!BL46='Motor_Meciuri'!C46,AB575&gt;='Config_v6'!$B$50,AN575&gt;='Config_v6'!$B$51,T575&lt;='Config_v6'!$B$52,L575&lt;='Config_v6'!$B$53,ISNUMBER('Calibrare_Linii'!E15),S575&lt;='Calibrare_Linii'!E15,SUM(AK575:AM575)&gt;0),"CANDIDATE","NO"))</x:f>
      </x:c>
      <x:c r="Y575" s="2" t="str">
        <x:f>IF(B575="","",IF(I575&lt;&gt;"READY","NOT RELEASED",IF(AND(X575="CANDIDATE",V575&gt;='Config_v6'!$B$51,W575="PASS",'Calibrare_Linii'!T15="VALIDATED",AND('Calibrare_Linii'!H15=C575,ISNUMBER('Calibrare_Linii'!J15),'Calibrare_Linii'!J15&lt;='Input_Meci'!G46)),"PASS",IF(X575="CANDIDATE","OOS PENDING","FAIL"))))</x:f>
      </x:c>
      <x:c r="Z575" s="2" t="str">
        <x:f>IF(B575="","",IF(I575&lt;&gt;"READY","",IF(OR(NOT(AND(J575="PASS",'Calibrare_Linii'!U15="VALID")),L575&gt;'Config_v6'!$B$13,W575="WATCH"),5,IF(Y575="PASS",1,MIN(5,MAX('Config_v6'!$B$42,U575)+IF(W575="PENALTY",1,0))))))</x:f>
      </x:c>
      <x:c r="AA575" s="2" t="str">
        <x:f>IF(B575="","",IF(I575&lt;&gt;"READY","NOT RELEASED",IF(Z575=5,"NO BET",IF(OR(AB575&lt;'Config_v6'!$B$16,V575&lt;'Config_v6'!$B$18),"WATCH",IF(Z575=1,"DEFENSIV",IF(Z575=2,"PRUDENT",IF(Z575=3,"MODERAT","RIDICAT")))))))</x:f>
      </x:c>
      <x:c r="AB575" s="10" t="str">
        <x:f>IF(N575="","",MIN(N575,1-S575))</x:f>
      </x:c>
      <x:c r="AC575" s="2" t="str">
        <x:f>IF(AD575&lt;&gt;1,"",COUNTIFS($Z$566:$Z$579,"&lt;"&amp;Z575,$AD$566:$AD$579,1)+COUNTIFS($Z$566:$Z$579,Z575,$AB$566:$AB$579,"&gt;"&amp;AB575,$AD$566:$AD$579,1)+COUNTIFS($Z$566:$Z$579,Z575,$AB$566:$AB$579,AB575,$V$566:$V$579,"&gt;"&amp;V575,$AD$566:$AD$579,1)+COUNTIFS($Z$566:Z575,Z575,$AB$566:AB575,AB575,$V$566:V575,V575,$AD$566:AD575,1))</x:f>
      </x:c>
      <x:c r="AD575" s="2" t="n">
        <x:f>IF(OR(AA575="DEFENSIV",AA575="PRUDENT",AA575="MODERAT",AA575="RIDICAT"),1,0)</x:f>
        <x:v>0</x:v>
      </x:c>
      <x:c r="AE575" s="2" t="str">
        <x:f>IF(AD575&lt;&gt;1,"NO",IF(W575="PASS","YES",IF(W575="OOS PENDING","CONDITIONAL","NO")))</x:f>
        <x:v>NO</x:v>
      </x:c>
      <x:c r="AF575" s="2" t="n">
        <x:f>IF(AND(AD575=1,AC575=1,E575="LIVE"),1,0)</x:f>
        <x:v>0</x:v>
      </x:c>
      <x:c r="AG575" s="2" t="str">
        <x:f>IF(AF575&lt;&gt;1,"",'Dashboard'!P66)</x:f>
      </x:c>
      <x:c r="AH575" s="2" t="str">
        <x:f>IF(B575="","",IF(J575&lt;&gt;"PASS",'Motor_Meciuri'!J46,IF('Calibrare_Linii'!U15&lt;&gt;"VALID","Parametri linie invalizi",IF(L575&gt;'Config_v6'!$B$13,"Dispersie peste limita",IF(W575="WATCH","Failure peste limita",IF(AB575&lt;'Config_v6'!$B$16,"P finala sub prag",IF(V575&lt;'Config_v6'!$B$18,"Confidence sub prag",IF(E575="REPLAY","Exemplu retrospectiv; exclus din Top LIVE",IF(Y575="PASS","DEFENSIV validat",IF(W575="OOS PENDING","Eligibil; calibrare linie in monitorizare","Eligibil"))))))))))</x:f>
      </x:c>
      <x:c r="AI575" s="2" t="str">
        <x:f>IF(B575="","",'Calibrare_Linii'!V15)</x:f>
      </x:c>
      <x:c r="AJ575" s="2" t="str">
        <x:f>IF(B575="","",IF(AND('Calibrare_Linii'!T15="VALIDATED",AND('Calibrare_Linii'!H15=C575,ISNUMBER('Calibrare_Linii'!J15),'Calibrare_Linii'!J15&lt;='Input_Meci'!G46)),"DEFENSIVE VALIDATED",IF(AND('Calibrare_Linii'!S15="VALIDATED",AND('Calibrare_Linii'!H15=C575,ISNUMBER('Calibrare_Linii'!J15),'Calibrare_Linii'!J15&lt;='Input_Meci'!G46)),"TAIL VALIDATED","OOS PENDING")))</x:f>
      </x:c>
      <x:c r="AK575" s="2" t="n">
        <x:f>IF(J575&lt;&gt;"PASS",0,'Motor_Meciuri'!BR46)</x:f>
        <x:v>0</x:v>
      </x:c>
      <x:c r="AL575" s="2" t="n">
        <x:f>IF(J575&lt;&gt;"PASS",0,'Motor_Meciuri'!BS46)</x:f>
        <x:v>0</x:v>
      </x:c>
      <x:c r="AM575" s="2" t="n">
        <x:f>IF(J575&lt;&gt;"PASS",0,'Motor_Meciuri'!BT46)</x:f>
        <x:v>0</x:v>
      </x:c>
      <x:c r="AN575" s="2" t="str">
        <x:f>IF(M575="","",MAX(0,'Motor_Meciuri'!BF46-IF(L575&gt;'Config_v6'!$B$12,'Config_v6'!$B$37,IF(L575&gt;'Config_v6'!$B$11,'Config_v6'!$B$36,0))))</x:f>
      </x:c>
    </x:row>
    <x:row r="576" ht="21" customHeight="1">
      <x:c r="A576" s="2" t="n">
        <x:v>41</x:v>
      </x:c>
      <x:c r="B576" s="2" t="str">
        <x:f>IF('Motor_Meciuri'!A46="","",'Motor_Meciuri'!A46)</x:f>
      </x:c>
      <x:c r="C576" s="2" t="str">
        <x:f>IF(B576="","",'Motor_Meciuri'!B46)</x:f>
      </x:c>
      <x:c r="D576" s="2" t="str">
        <x:f>IF(B576="","",'Motor_Meciuri'!D46)</x:f>
      </x:c>
      <x:c r="E576" s="2" t="str">
        <x:f>IF(B576="","",'Motor_Meciuri'!E46)</x:f>
      </x:c>
      <x:c r="F576" s="2" t="str">
        <x:v>U14,5</x:v>
      </x:c>
      <x:c r="G576" s="2" t="str">
        <x:v>UNDER</x:v>
      </x:c>
      <x:c r="H576" s="2" t="n">
        <x:v>14</x:v>
      </x:c>
      <x:c r="I576" s="2" t="str">
        <x:f>IF(B576="","",'Motor_Meciuri'!H46)</x:f>
      </x:c>
      <x:c r="J576" s="2" t="str">
        <x:f>IF(B576="","",'Motor_Meciuri'!I46)</x:f>
      </x:c>
      <x:c r="K576" s="11" t="str">
        <x:f>IF(J576&lt;&gt;"PASS","",'Motor_Meciuri'!BD46)</x:f>
      </x:c>
      <x:c r="L576" s="11" t="str">
        <x:f>IF(J576&lt;&gt;"PASS","",'Motor_Meciuri'!AU46)</x:f>
      </x:c>
      <x:c r="M576" s="10" t="str">
        <x:f>IF(NOT(AND(J576="PASS",'Calibrare_Linii'!U16="VALID")),"",'Distributie'!AL46)</x:f>
      </x:c>
      <x:c r="N576" s="10" t="str">
        <x:f>IF(M576="","",MAX(0.01,MIN(0.99,0.5+(M576-0.5)*'Motor_Meciuri'!BG46*'Calibrare_Linii'!D16)))</x:f>
      </x:c>
      <x:c r="O576" s="10" t="str">
        <x:f>IF(M576="","",1-M576)</x:f>
      </x:c>
      <x:c r="P576" s="10" t="str">
        <x:f>IF(OR(NOT(AND(J576="PASS",'Calibrare_Linii'!U16="VALID")),AK576=0),""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*('Istoric_Nativ'!$Q$6:$Q$405&gt;H576))/AK576)</x:f>
      </x:c>
      <x:c r="Q576" s="10" t="str">
        <x:f>IF(OR(NOT(AND(J576="PASS",'Calibrare_Linii'!U16="VALID")),AL576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M46)+((('Istoric_Nativ'!$E$6:$E$405='Input_Meci'!E46)+('Istoric_Nativ'!$F$6:$F$405='Input_Meci'!E46))&gt;0)*('Istoric_Nativ'!$D$6:$D$405&gt;='Motor_Meciuri'!BN46))&gt;0)*('Istoric_Nativ'!$Q$6:$Q$405&gt;H576))/AL576)</x:f>
      </x:c>
      <x:c r="R576" s="10" t="str">
        <x:f>IF(OR(NOT(AND(J576="PASS",'Calibrare_Linii'!U16="VALID")),AM576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O46)+((('Istoric_Nativ'!$E$6:$E$405='Input_Meci'!E46)+('Istoric_Nativ'!$F$6:$F$405='Input_Meci'!E46))&gt;0)*('Istoric_Nativ'!$D$6:$D$405&gt;='Motor_Meciuri'!BP46))&gt;0)*('Istoric_Nativ'!$Q$6:$Q$405&gt;H576))/AM576)</x:f>
      </x:c>
      <x:c r="S576" s="10" t="str">
        <x:f>IF(M576="","",MAX(O576,P576,Q576,R576))</x:f>
      </x:c>
      <x:c r="T576" s="11" t="str">
        <x:f>IF(M576="","",MIN(100,S576*100*'Config_v6'!$B$44+MIN(100,L576/'Config_v6'!$B$13*100)*'Config_v6'!$B$45+(100-'Motor_Meciuri'!BF46)*'Config_v6'!$B$46+'Motor_Meciuri'!BH46*100*'Config_v6'!$B$47))</x:f>
      </x:c>
      <x:c r="U576" s="2" t="str">
        <x:f>IF(T576="","",IF(T576&lt;=20,1,IF(T576&lt;=40,2,IF(T576&lt;=60,3,IF(T576&lt;=80,4,5)))))</x:f>
      </x:c>
      <x:c r="V576" s="2" t="str">
        <x:f>IF(M576="","",MAX(0,'Motor_Meciuri'!BF46-IF(W576="OOS PENDING",'Config_v6'!$B$35,0)-IF(L576&gt;'Config_v6'!$B$12,'Config_v6'!$B$37,IF(L576&gt;'Config_v6'!$B$11,'Config_v6'!$B$36,0))))</x:f>
      </x:c>
      <x:c r="W576" s="2" t="str">
        <x:f>IF(B576="","",IF(I576&lt;&gt;"READY","NOT RELEASED",IF(NOT(AND(J576="PASS",'Calibrare_Linii'!U16="VALID")),"INVALID",IF(NOT(AND('Calibrare_Linii'!S16="VALIDATED",AND('Calibrare_Linii'!H16=C576,ISNUMBER('Calibrare_Linii'!J16),'Calibrare_Linii'!J16&lt;='Input_Meci'!G46))),"OOS PENDING",IF(S576&lt;='Calibrare_Linii'!E16,"PASS",IF(S576&lt;='Calibrare_Linii'!F16,"PENALTY","WATCH"))))))</x:f>
      </x:c>
      <x:c r="X576" s="2" t="str">
        <x:f>IF(M576="","",IF(AND(AND(J576="PASS",'Calibrare_Linii'!U16="VALID"),'Motor_Meciuri'!K46=12,'Motor_Meciuri'!L46=12,'Motor_Meciuri'!M46="NO",'Motor_Meciuri'!BL46='Motor_Meciuri'!C46,AB576&gt;='Config_v6'!$B$50,AN576&gt;='Config_v6'!$B$51,T576&lt;='Config_v6'!$B$52,L576&lt;='Config_v6'!$B$53,ISNUMBER('Calibrare_Linii'!E16),S576&lt;='Calibrare_Linii'!E16,SUM(AK576:AM576)&gt;0),"CANDIDATE","NO"))</x:f>
      </x:c>
      <x:c r="Y576" s="2" t="str">
        <x:f>IF(B576="","",IF(I576&lt;&gt;"READY","NOT RELEASED",IF(AND(X576="CANDIDATE",V576&gt;='Config_v6'!$B$51,W576="PASS",'Calibrare_Linii'!T16="VALIDATED",AND('Calibrare_Linii'!H16=C576,ISNUMBER('Calibrare_Linii'!J16),'Calibrare_Linii'!J16&lt;='Input_Meci'!G46)),"PASS",IF(X576="CANDIDATE","OOS PENDING","FAIL"))))</x:f>
      </x:c>
      <x:c r="Z576" s="2" t="str">
        <x:f>IF(B576="","",IF(I576&lt;&gt;"READY","",IF(OR(NOT(AND(J576="PASS",'Calibrare_Linii'!U16="VALID")),L576&gt;'Config_v6'!$B$13,W576="WATCH"),5,IF(Y576="PASS",1,MIN(5,MAX('Config_v6'!$B$42,U576)+IF(W576="PENALTY",1,0))))))</x:f>
      </x:c>
      <x:c r="AA576" s="2" t="str">
        <x:f>IF(B576="","",IF(I576&lt;&gt;"READY","NOT RELEASED",IF(Z576=5,"NO BET",IF(OR(AB576&lt;'Config_v6'!$B$16,V576&lt;'Config_v6'!$B$18),"WATCH",IF(Z576=1,"DEFENSIV",IF(Z576=2,"PRUDENT",IF(Z576=3,"MODERAT","RIDICAT")))))))</x:f>
      </x:c>
      <x:c r="AB576" s="10" t="str">
        <x:f>IF(N576="","",MIN(N576,1-S576))</x:f>
      </x:c>
      <x:c r="AC576" s="2" t="str">
        <x:f>IF(AD576&lt;&gt;1,"",COUNTIFS($Z$566:$Z$579,"&lt;"&amp;Z576,$AD$566:$AD$579,1)+COUNTIFS($Z$566:$Z$579,Z576,$AB$566:$AB$579,"&gt;"&amp;AB576,$AD$566:$AD$579,1)+COUNTIFS($Z$566:$Z$579,Z576,$AB$566:$AB$579,AB576,$V$566:$V$579,"&gt;"&amp;V576,$AD$566:$AD$579,1)+COUNTIFS($Z$566:Z576,Z576,$AB$566:AB576,AB576,$V$566:V576,V576,$AD$566:AD576,1))</x:f>
      </x:c>
      <x:c r="AD576" s="2" t="n">
        <x:f>IF(OR(AA576="DEFENSIV",AA576="PRUDENT",AA576="MODERAT",AA576="RIDICAT"),1,0)</x:f>
        <x:v>0</x:v>
      </x:c>
      <x:c r="AE576" s="2" t="str">
        <x:f>IF(AD576&lt;&gt;1,"NO",IF(W576="PASS","YES",IF(W576="OOS PENDING","CONDITIONAL","NO")))</x:f>
        <x:v>NO</x:v>
      </x:c>
      <x:c r="AF576" s="2" t="n">
        <x:f>IF(AND(AD576=1,AC576=1,E576="LIVE"),1,0)</x:f>
        <x:v>0</x:v>
      </x:c>
      <x:c r="AG576" s="2" t="str">
        <x:f>IF(AF576&lt;&gt;1,"",'Dashboard'!P66)</x:f>
      </x:c>
      <x:c r="AH576" s="2" t="str">
        <x:f>IF(B576="","",IF(J576&lt;&gt;"PASS",'Motor_Meciuri'!J46,IF('Calibrare_Linii'!U16&lt;&gt;"VALID","Parametri linie invalizi",IF(L576&gt;'Config_v6'!$B$13,"Dispersie peste limita",IF(W576="WATCH","Failure peste limita",IF(AB576&lt;'Config_v6'!$B$16,"P finala sub prag",IF(V576&lt;'Config_v6'!$B$18,"Confidence sub prag",IF(E576="REPLAY","Exemplu retrospectiv; exclus din Top LIVE",IF(Y576="PASS","DEFENSIV validat",IF(W576="OOS PENDING","Eligibil; calibrare linie in monitorizare","Eligibil"))))))))))</x:f>
      </x:c>
      <x:c r="AI576" s="2" t="str">
        <x:f>IF(B576="","",'Calibrare_Linii'!V16)</x:f>
      </x:c>
      <x:c r="AJ576" s="2" t="str">
        <x:f>IF(B576="","",IF(AND('Calibrare_Linii'!T16="VALIDATED",AND('Calibrare_Linii'!H16=C576,ISNUMBER('Calibrare_Linii'!J16),'Calibrare_Linii'!J16&lt;='Input_Meci'!G46)),"DEFENSIVE VALIDATED",IF(AND('Calibrare_Linii'!S16="VALIDATED",AND('Calibrare_Linii'!H16=C576,ISNUMBER('Calibrare_Linii'!J16),'Calibrare_Linii'!J16&lt;='Input_Meci'!G46)),"TAIL VALIDATED","OOS PENDING")))</x:f>
      </x:c>
      <x:c r="AK576" s="2" t="n">
        <x:f>IF(J576&lt;&gt;"PASS",0,'Motor_Meciuri'!BR46)</x:f>
        <x:v>0</x:v>
      </x:c>
      <x:c r="AL576" s="2" t="n">
        <x:f>IF(J576&lt;&gt;"PASS",0,'Motor_Meciuri'!BS46)</x:f>
        <x:v>0</x:v>
      </x:c>
      <x:c r="AM576" s="2" t="n">
        <x:f>IF(J576&lt;&gt;"PASS",0,'Motor_Meciuri'!BT46)</x:f>
        <x:v>0</x:v>
      </x:c>
      <x:c r="AN576" s="2" t="str">
        <x:f>IF(M576="","",MAX(0,'Motor_Meciuri'!BF46-IF(L576&gt;'Config_v6'!$B$12,'Config_v6'!$B$37,IF(L576&gt;'Config_v6'!$B$11,'Config_v6'!$B$36,0))))</x:f>
      </x:c>
    </x:row>
    <x:row r="577" ht="21" customHeight="1">
      <x:c r="A577" s="2" t="n">
        <x:v>41</x:v>
      </x:c>
      <x:c r="B577" s="2" t="str">
        <x:f>IF('Motor_Meciuri'!A46="","",'Motor_Meciuri'!A46)</x:f>
      </x:c>
      <x:c r="C577" s="2" t="str">
        <x:f>IF(B577="","",'Motor_Meciuri'!B46)</x:f>
      </x:c>
      <x:c r="D577" s="2" t="str">
        <x:f>IF(B577="","",'Motor_Meciuri'!D46)</x:f>
      </x:c>
      <x:c r="E577" s="2" t="str">
        <x:f>IF(B577="","",'Motor_Meciuri'!E46)</x:f>
      </x:c>
      <x:c r="F577" s="2" t="str">
        <x:v>U15,5</x:v>
      </x:c>
      <x:c r="G577" s="2" t="str">
        <x:v>UNDER</x:v>
      </x:c>
      <x:c r="H577" s="2" t="n">
        <x:v>15</x:v>
      </x:c>
      <x:c r="I577" s="2" t="str">
        <x:f>IF(B577="","",'Motor_Meciuri'!H46)</x:f>
      </x:c>
      <x:c r="J577" s="2" t="str">
        <x:f>IF(B577="","",'Motor_Meciuri'!I46)</x:f>
      </x:c>
      <x:c r="K577" s="11" t="str">
        <x:f>IF(J577&lt;&gt;"PASS","",'Motor_Meciuri'!BD46)</x:f>
      </x:c>
      <x:c r="L577" s="11" t="str">
        <x:f>IF(J577&lt;&gt;"PASS","",'Motor_Meciuri'!AU46)</x:f>
      </x:c>
      <x:c r="M577" s="10" t="str">
        <x:f>IF(NOT(AND(J577="PASS",'Calibrare_Linii'!U17="VALID")),"",'Distributie'!AM46)</x:f>
      </x:c>
      <x:c r="N577" s="10" t="str">
        <x:f>IF(M577="","",MAX(0.01,MIN(0.99,0.5+(M577-0.5)*'Motor_Meciuri'!BG46*'Calibrare_Linii'!D17)))</x:f>
      </x:c>
      <x:c r="O577" s="10" t="str">
        <x:f>IF(M577="","",1-M577)</x:f>
      </x:c>
      <x:c r="P577" s="10" t="str">
        <x:f>IF(OR(NOT(AND(J577="PASS",'Calibrare_Linii'!U17="VALID")),AK577=0),""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*('Istoric_Nativ'!$Q$6:$Q$405&gt;H577))/AK577)</x:f>
      </x:c>
      <x:c r="Q577" s="10" t="str">
        <x:f>IF(OR(NOT(AND(J577="PASS",'Calibrare_Linii'!U17="VALID")),AL577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M46)+((('Istoric_Nativ'!$E$6:$E$405='Input_Meci'!E46)+('Istoric_Nativ'!$F$6:$F$405='Input_Meci'!E46))&gt;0)*('Istoric_Nativ'!$D$6:$D$405&gt;='Motor_Meciuri'!BN46))&gt;0)*('Istoric_Nativ'!$Q$6:$Q$405&gt;H577))/AL577)</x:f>
      </x:c>
      <x:c r="R577" s="10" t="str">
        <x:f>IF(OR(NOT(AND(J577="PASS",'Calibrare_Linii'!U17="VALID")),AM577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O46)+((('Istoric_Nativ'!$E$6:$E$405='Input_Meci'!E46)+('Istoric_Nativ'!$F$6:$F$405='Input_Meci'!E46))&gt;0)*('Istoric_Nativ'!$D$6:$D$405&gt;='Motor_Meciuri'!BP46))&gt;0)*('Istoric_Nativ'!$Q$6:$Q$405&gt;H577))/AM577)</x:f>
      </x:c>
      <x:c r="S577" s="10" t="str">
        <x:f>IF(M577="","",MAX(O577,P577,Q577,R577))</x:f>
      </x:c>
      <x:c r="T577" s="11" t="str">
        <x:f>IF(M577="","",MIN(100,S577*100*'Config_v6'!$B$44+MIN(100,L577/'Config_v6'!$B$13*100)*'Config_v6'!$B$45+(100-'Motor_Meciuri'!BF46)*'Config_v6'!$B$46+'Motor_Meciuri'!BH46*100*'Config_v6'!$B$47))</x:f>
      </x:c>
      <x:c r="U577" s="2" t="str">
        <x:f>IF(T577="","",IF(T577&lt;=20,1,IF(T577&lt;=40,2,IF(T577&lt;=60,3,IF(T577&lt;=80,4,5)))))</x:f>
      </x:c>
      <x:c r="V577" s="2" t="str">
        <x:f>IF(M577="","",MAX(0,'Motor_Meciuri'!BF46-IF(W577="OOS PENDING",'Config_v6'!$B$35,0)-IF(L577&gt;'Config_v6'!$B$12,'Config_v6'!$B$37,IF(L577&gt;'Config_v6'!$B$11,'Config_v6'!$B$36,0))))</x:f>
      </x:c>
      <x:c r="W577" s="2" t="str">
        <x:f>IF(B577="","",IF(I577&lt;&gt;"READY","NOT RELEASED",IF(NOT(AND(J577="PASS",'Calibrare_Linii'!U17="VALID")),"INVALID",IF(NOT(AND('Calibrare_Linii'!S17="VALIDATED",AND('Calibrare_Linii'!H17=C577,ISNUMBER('Calibrare_Linii'!J17),'Calibrare_Linii'!J17&lt;='Input_Meci'!G46))),"OOS PENDING",IF(S577&lt;='Calibrare_Linii'!E17,"PASS",IF(S577&lt;='Calibrare_Linii'!F17,"PENALTY","WATCH"))))))</x:f>
      </x:c>
      <x:c r="X577" s="2" t="str">
        <x:f>IF(M577="","",IF(AND(AND(J577="PASS",'Calibrare_Linii'!U17="VALID"),'Motor_Meciuri'!K46=12,'Motor_Meciuri'!L46=12,'Motor_Meciuri'!M46="NO",'Motor_Meciuri'!BL46='Motor_Meciuri'!C46,AB577&gt;='Config_v6'!$B$50,AN577&gt;='Config_v6'!$B$51,T577&lt;='Config_v6'!$B$52,L577&lt;='Config_v6'!$B$53,ISNUMBER('Calibrare_Linii'!E17),S577&lt;='Calibrare_Linii'!E17,SUM(AK577:AM577)&gt;0),"CANDIDATE","NO"))</x:f>
      </x:c>
      <x:c r="Y577" s="2" t="str">
        <x:f>IF(B577="","",IF(I577&lt;&gt;"READY","NOT RELEASED",IF(AND(X577="CANDIDATE",V577&gt;='Config_v6'!$B$51,W577="PASS",'Calibrare_Linii'!T17="VALIDATED",AND('Calibrare_Linii'!H17=C577,ISNUMBER('Calibrare_Linii'!J17),'Calibrare_Linii'!J17&lt;='Input_Meci'!G46)),"PASS",IF(X577="CANDIDATE","OOS PENDING","FAIL"))))</x:f>
      </x:c>
      <x:c r="Z577" s="2" t="str">
        <x:f>IF(B577="","",IF(I577&lt;&gt;"READY","",IF(OR(NOT(AND(J577="PASS",'Calibrare_Linii'!U17="VALID")),L577&gt;'Config_v6'!$B$13,W577="WATCH"),5,IF(Y577="PASS",1,MIN(5,MAX('Config_v6'!$B$42,U577)+IF(W577="PENALTY",1,0))))))</x:f>
      </x:c>
      <x:c r="AA577" s="2" t="str">
        <x:f>IF(B577="","",IF(I577&lt;&gt;"READY","NOT RELEASED",IF(Z577=5,"NO BET",IF(OR(AB577&lt;'Config_v6'!$B$16,V577&lt;'Config_v6'!$B$18),"WATCH",IF(Z577=1,"DEFENSIV",IF(Z577=2,"PRUDENT",IF(Z577=3,"MODERAT","RIDICAT")))))))</x:f>
      </x:c>
      <x:c r="AB577" s="10" t="str">
        <x:f>IF(N577="","",MIN(N577,1-S577))</x:f>
      </x:c>
      <x:c r="AC577" s="2" t="str">
        <x:f>IF(AD577&lt;&gt;1,"",COUNTIFS($Z$566:$Z$579,"&lt;"&amp;Z577,$AD$566:$AD$579,1)+COUNTIFS($Z$566:$Z$579,Z577,$AB$566:$AB$579,"&gt;"&amp;AB577,$AD$566:$AD$579,1)+COUNTIFS($Z$566:$Z$579,Z577,$AB$566:$AB$579,AB577,$V$566:$V$579,"&gt;"&amp;V577,$AD$566:$AD$579,1)+COUNTIFS($Z$566:Z577,Z577,$AB$566:AB577,AB577,$V$566:V577,V577,$AD$566:AD577,1))</x:f>
      </x:c>
      <x:c r="AD577" s="2" t="n">
        <x:f>IF(OR(AA577="DEFENSIV",AA577="PRUDENT",AA577="MODERAT",AA577="RIDICAT"),1,0)</x:f>
        <x:v>0</x:v>
      </x:c>
      <x:c r="AE577" s="2" t="str">
        <x:f>IF(AD577&lt;&gt;1,"NO",IF(W577="PASS","YES",IF(W577="OOS PENDING","CONDITIONAL","NO")))</x:f>
        <x:v>NO</x:v>
      </x:c>
      <x:c r="AF577" s="2" t="n">
        <x:f>IF(AND(AD577=1,AC577=1,E577="LIVE"),1,0)</x:f>
        <x:v>0</x:v>
      </x:c>
      <x:c r="AG577" s="2" t="str">
        <x:f>IF(AF577&lt;&gt;1,"",'Dashboard'!P66)</x:f>
      </x:c>
      <x:c r="AH577" s="2" t="str">
        <x:f>IF(B577="","",IF(J577&lt;&gt;"PASS",'Motor_Meciuri'!J46,IF('Calibrare_Linii'!U17&lt;&gt;"VALID","Parametri linie invalizi",IF(L577&gt;'Config_v6'!$B$13,"Dispersie peste limita",IF(W577="WATCH","Failure peste limita",IF(AB577&lt;'Config_v6'!$B$16,"P finala sub prag",IF(V577&lt;'Config_v6'!$B$18,"Confidence sub prag",IF(E577="REPLAY","Exemplu retrospectiv; exclus din Top LIVE",IF(Y577="PASS","DEFENSIV validat",IF(W577="OOS PENDING","Eligibil; calibrare linie in monitorizare","Eligibil"))))))))))</x:f>
      </x:c>
      <x:c r="AI577" s="2" t="str">
        <x:f>IF(B577="","",'Calibrare_Linii'!V17)</x:f>
      </x:c>
      <x:c r="AJ577" s="2" t="str">
        <x:f>IF(B577="","",IF(AND('Calibrare_Linii'!T17="VALIDATED",AND('Calibrare_Linii'!H17=C577,ISNUMBER('Calibrare_Linii'!J17),'Calibrare_Linii'!J17&lt;='Input_Meci'!G46)),"DEFENSIVE VALIDATED",IF(AND('Calibrare_Linii'!S17="VALIDATED",AND('Calibrare_Linii'!H17=C577,ISNUMBER('Calibrare_Linii'!J17),'Calibrare_Linii'!J17&lt;='Input_Meci'!G46)),"TAIL VALIDATED","OOS PENDING")))</x:f>
      </x:c>
      <x:c r="AK577" s="2" t="n">
        <x:f>IF(J577&lt;&gt;"PASS",0,'Motor_Meciuri'!BR46)</x:f>
        <x:v>0</x:v>
      </x:c>
      <x:c r="AL577" s="2" t="n">
        <x:f>IF(J577&lt;&gt;"PASS",0,'Motor_Meciuri'!BS46)</x:f>
        <x:v>0</x:v>
      </x:c>
      <x:c r="AM577" s="2" t="n">
        <x:f>IF(J577&lt;&gt;"PASS",0,'Motor_Meciuri'!BT46)</x:f>
        <x:v>0</x:v>
      </x:c>
      <x:c r="AN577" s="2" t="str">
        <x:f>IF(M577="","",MAX(0,'Motor_Meciuri'!BF46-IF(L577&gt;'Config_v6'!$B$12,'Config_v6'!$B$37,IF(L577&gt;'Config_v6'!$B$11,'Config_v6'!$B$36,0))))</x:f>
      </x:c>
    </x:row>
    <x:row r="578" ht="21" customHeight="1">
      <x:c r="A578" s="2" t="n">
        <x:v>41</x:v>
      </x:c>
      <x:c r="B578" s="2" t="str">
        <x:f>IF('Motor_Meciuri'!A46="","",'Motor_Meciuri'!A46)</x:f>
      </x:c>
      <x:c r="C578" s="2" t="str">
        <x:f>IF(B578="","",'Motor_Meciuri'!B46)</x:f>
      </x:c>
      <x:c r="D578" s="2" t="str">
        <x:f>IF(B578="","",'Motor_Meciuri'!D46)</x:f>
      </x:c>
      <x:c r="E578" s="2" t="str">
        <x:f>IF(B578="","",'Motor_Meciuri'!E46)</x:f>
      </x:c>
      <x:c r="F578" s="2" t="str">
        <x:v>U16,5</x:v>
      </x:c>
      <x:c r="G578" s="2" t="str">
        <x:v>UNDER</x:v>
      </x:c>
      <x:c r="H578" s="2" t="n">
        <x:v>16</x:v>
      </x:c>
      <x:c r="I578" s="2" t="str">
        <x:f>IF(B578="","",'Motor_Meciuri'!H46)</x:f>
      </x:c>
      <x:c r="J578" s="2" t="str">
        <x:f>IF(B578="","",'Motor_Meciuri'!I46)</x:f>
      </x:c>
      <x:c r="K578" s="11" t="str">
        <x:f>IF(J578&lt;&gt;"PASS","",'Motor_Meciuri'!BD46)</x:f>
      </x:c>
      <x:c r="L578" s="11" t="str">
        <x:f>IF(J578&lt;&gt;"PASS","",'Motor_Meciuri'!AU46)</x:f>
      </x:c>
      <x:c r="M578" s="10" t="str">
        <x:f>IF(NOT(AND(J578="PASS",'Calibrare_Linii'!U18="VALID")),"",'Distributie'!AN46)</x:f>
      </x:c>
      <x:c r="N578" s="10" t="str">
        <x:f>IF(M578="","",MAX(0.01,MIN(0.99,0.5+(M578-0.5)*'Motor_Meciuri'!BG46*'Calibrare_Linii'!D18)))</x:f>
      </x:c>
      <x:c r="O578" s="10" t="str">
        <x:f>IF(M578="","",1-M578)</x:f>
      </x:c>
      <x:c r="P578" s="10" t="str">
        <x:f>IF(OR(NOT(AND(J578="PASS",'Calibrare_Linii'!U18="VALID")),AK578=0),""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*('Istoric_Nativ'!$Q$6:$Q$405&gt;H578))/AK578)</x:f>
      </x:c>
      <x:c r="Q578" s="10" t="str">
        <x:f>IF(OR(NOT(AND(J578="PASS",'Calibrare_Linii'!U18="VALID")),AL578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M46)+((('Istoric_Nativ'!$E$6:$E$405='Input_Meci'!E46)+('Istoric_Nativ'!$F$6:$F$405='Input_Meci'!E46))&gt;0)*('Istoric_Nativ'!$D$6:$D$405&gt;='Motor_Meciuri'!BN46))&gt;0)*('Istoric_Nativ'!$Q$6:$Q$405&gt;H578))/AL578)</x:f>
      </x:c>
      <x:c r="R578" s="10" t="str">
        <x:f>IF(OR(NOT(AND(J578="PASS",'Calibrare_Linii'!U18="VALID")),AM578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O46)+((('Istoric_Nativ'!$E$6:$E$405='Input_Meci'!E46)+('Istoric_Nativ'!$F$6:$F$405='Input_Meci'!E46))&gt;0)*('Istoric_Nativ'!$D$6:$D$405&gt;='Motor_Meciuri'!BP46))&gt;0)*('Istoric_Nativ'!$Q$6:$Q$405&gt;H578))/AM578)</x:f>
      </x:c>
      <x:c r="S578" s="10" t="str">
        <x:f>IF(M578="","",MAX(O578,P578,Q578,R578))</x:f>
      </x:c>
      <x:c r="T578" s="11" t="str">
        <x:f>IF(M578="","",MIN(100,S578*100*'Config_v6'!$B$44+MIN(100,L578/'Config_v6'!$B$13*100)*'Config_v6'!$B$45+(100-'Motor_Meciuri'!BF46)*'Config_v6'!$B$46+'Motor_Meciuri'!BH46*100*'Config_v6'!$B$47))</x:f>
      </x:c>
      <x:c r="U578" s="2" t="str">
        <x:f>IF(T578="","",IF(T578&lt;=20,1,IF(T578&lt;=40,2,IF(T578&lt;=60,3,IF(T578&lt;=80,4,5)))))</x:f>
      </x:c>
      <x:c r="V578" s="2" t="str">
        <x:f>IF(M578="","",MAX(0,'Motor_Meciuri'!BF46-IF(W578="OOS PENDING",'Config_v6'!$B$35,0)-IF(L578&gt;'Config_v6'!$B$12,'Config_v6'!$B$37,IF(L578&gt;'Config_v6'!$B$11,'Config_v6'!$B$36,0))))</x:f>
      </x:c>
      <x:c r="W578" s="2" t="str">
        <x:f>IF(B578="","",IF(I578&lt;&gt;"READY","NOT RELEASED",IF(NOT(AND(J578="PASS",'Calibrare_Linii'!U18="VALID")),"INVALID",IF(NOT(AND('Calibrare_Linii'!S18="VALIDATED",AND('Calibrare_Linii'!H18=C578,ISNUMBER('Calibrare_Linii'!J18),'Calibrare_Linii'!J18&lt;='Input_Meci'!G46))),"OOS PENDING",IF(S578&lt;='Calibrare_Linii'!E18,"PASS",IF(S578&lt;='Calibrare_Linii'!F18,"PENALTY","WATCH"))))))</x:f>
      </x:c>
      <x:c r="X578" s="2" t="str">
        <x:f>IF(M578="","",IF(AND(AND(J578="PASS",'Calibrare_Linii'!U18="VALID"),'Motor_Meciuri'!K46=12,'Motor_Meciuri'!L46=12,'Motor_Meciuri'!M46="NO",'Motor_Meciuri'!BL46='Motor_Meciuri'!C46,AB578&gt;='Config_v6'!$B$50,AN578&gt;='Config_v6'!$B$51,T578&lt;='Config_v6'!$B$52,L578&lt;='Config_v6'!$B$53,ISNUMBER('Calibrare_Linii'!E18),S578&lt;='Calibrare_Linii'!E18,SUM(AK578:AM578)&gt;0),"CANDIDATE","NO"))</x:f>
      </x:c>
      <x:c r="Y578" s="2" t="str">
        <x:f>IF(B578="","",IF(I578&lt;&gt;"READY","NOT RELEASED",IF(AND(X578="CANDIDATE",V578&gt;='Config_v6'!$B$51,W578="PASS",'Calibrare_Linii'!T18="VALIDATED",AND('Calibrare_Linii'!H18=C578,ISNUMBER('Calibrare_Linii'!J18),'Calibrare_Linii'!J18&lt;='Input_Meci'!G46)),"PASS",IF(X578="CANDIDATE","OOS PENDING","FAIL"))))</x:f>
      </x:c>
      <x:c r="Z578" s="2" t="str">
        <x:f>IF(B578="","",IF(I578&lt;&gt;"READY","",IF(OR(NOT(AND(J578="PASS",'Calibrare_Linii'!U18="VALID")),L578&gt;'Config_v6'!$B$13,W578="WATCH"),5,IF(Y578="PASS",1,MIN(5,MAX('Config_v6'!$B$42,U578)+IF(W578="PENALTY",1,0))))))</x:f>
      </x:c>
      <x:c r="AA578" s="2" t="str">
        <x:f>IF(B578="","",IF(I578&lt;&gt;"READY","NOT RELEASED",IF(Z578=5,"NO BET",IF(OR(AB578&lt;'Config_v6'!$B$16,V578&lt;'Config_v6'!$B$18),"WATCH",IF(Z578=1,"DEFENSIV",IF(Z578=2,"PRUDENT",IF(Z578=3,"MODERAT","RIDICAT")))))))</x:f>
      </x:c>
      <x:c r="AB578" s="10" t="str">
        <x:f>IF(N578="","",MIN(N578,1-S578))</x:f>
      </x:c>
      <x:c r="AC578" s="2" t="str">
        <x:f>IF(AD578&lt;&gt;1,"",COUNTIFS($Z$566:$Z$579,"&lt;"&amp;Z578,$AD$566:$AD$579,1)+COUNTIFS($Z$566:$Z$579,Z578,$AB$566:$AB$579,"&gt;"&amp;AB578,$AD$566:$AD$579,1)+COUNTIFS($Z$566:$Z$579,Z578,$AB$566:$AB$579,AB578,$V$566:$V$579,"&gt;"&amp;V578,$AD$566:$AD$579,1)+COUNTIFS($Z$566:Z578,Z578,$AB$566:AB578,AB578,$V$566:V578,V578,$AD$566:AD578,1))</x:f>
      </x:c>
      <x:c r="AD578" s="2" t="n">
        <x:f>IF(OR(AA578="DEFENSIV",AA578="PRUDENT",AA578="MODERAT",AA578="RIDICAT"),1,0)</x:f>
        <x:v>0</x:v>
      </x:c>
      <x:c r="AE578" s="2" t="str">
        <x:f>IF(AD578&lt;&gt;1,"NO",IF(W578="PASS","YES",IF(W578="OOS PENDING","CONDITIONAL","NO")))</x:f>
        <x:v>NO</x:v>
      </x:c>
      <x:c r="AF578" s="2" t="n">
        <x:f>IF(AND(AD578=1,AC578=1,E578="LIVE"),1,0)</x:f>
        <x:v>0</x:v>
      </x:c>
      <x:c r="AG578" s="2" t="str">
        <x:f>IF(AF578&lt;&gt;1,"",'Dashboard'!P66)</x:f>
      </x:c>
      <x:c r="AH578" s="2" t="str">
        <x:f>IF(B578="","",IF(J578&lt;&gt;"PASS",'Motor_Meciuri'!J46,IF('Calibrare_Linii'!U18&lt;&gt;"VALID","Parametri linie invalizi",IF(L578&gt;'Config_v6'!$B$13,"Dispersie peste limita",IF(W578="WATCH","Failure peste limita",IF(AB578&lt;'Config_v6'!$B$16,"P finala sub prag",IF(V578&lt;'Config_v6'!$B$18,"Confidence sub prag",IF(E578="REPLAY","Exemplu retrospectiv; exclus din Top LIVE",IF(Y578="PASS","DEFENSIV validat",IF(W578="OOS PENDING","Eligibil; calibrare linie in monitorizare","Eligibil"))))))))))</x:f>
      </x:c>
      <x:c r="AI578" s="2" t="str">
        <x:f>IF(B578="","",'Calibrare_Linii'!V18)</x:f>
      </x:c>
      <x:c r="AJ578" s="2" t="str">
        <x:f>IF(B578="","",IF(AND('Calibrare_Linii'!T18="VALIDATED",AND('Calibrare_Linii'!H18=C578,ISNUMBER('Calibrare_Linii'!J18),'Calibrare_Linii'!J18&lt;='Input_Meci'!G46)),"DEFENSIVE VALIDATED",IF(AND('Calibrare_Linii'!S18="VALIDATED",AND('Calibrare_Linii'!H18=C578,ISNUMBER('Calibrare_Linii'!J18),'Calibrare_Linii'!J18&lt;='Input_Meci'!G46)),"TAIL VALIDATED","OOS PENDING")))</x:f>
      </x:c>
      <x:c r="AK578" s="2" t="n">
        <x:f>IF(J578&lt;&gt;"PASS",0,'Motor_Meciuri'!BR46)</x:f>
        <x:v>0</x:v>
      </x:c>
      <x:c r="AL578" s="2" t="n">
        <x:f>IF(J578&lt;&gt;"PASS",0,'Motor_Meciuri'!BS46)</x:f>
        <x:v>0</x:v>
      </x:c>
      <x:c r="AM578" s="2" t="n">
        <x:f>IF(J578&lt;&gt;"PASS",0,'Motor_Meciuri'!BT46)</x:f>
        <x:v>0</x:v>
      </x:c>
      <x:c r="AN578" s="2" t="str">
        <x:f>IF(M578="","",MAX(0,'Motor_Meciuri'!BF46-IF(L578&gt;'Config_v6'!$B$12,'Config_v6'!$B$37,IF(L578&gt;'Config_v6'!$B$11,'Config_v6'!$B$36,0))))</x:f>
      </x:c>
    </x:row>
    <x:row r="579" ht="21" customHeight="1">
      <x:c r="A579" s="2" t="n">
        <x:v>41</x:v>
      </x:c>
      <x:c r="B579" s="2" t="str">
        <x:f>IF('Motor_Meciuri'!A46="","",'Motor_Meciuri'!A46)</x:f>
      </x:c>
      <x:c r="C579" s="2" t="str">
        <x:f>IF(B579="","",'Motor_Meciuri'!B46)</x:f>
      </x:c>
      <x:c r="D579" s="2" t="str">
        <x:f>IF(B579="","",'Motor_Meciuri'!D46)</x:f>
      </x:c>
      <x:c r="E579" s="2" t="str">
        <x:f>IF(B579="","",'Motor_Meciuri'!E46)</x:f>
      </x:c>
      <x:c r="F579" s="2" t="str">
        <x:v>U17,5</x:v>
      </x:c>
      <x:c r="G579" s="2" t="str">
        <x:v>UNDER</x:v>
      </x:c>
      <x:c r="H579" s="2" t="n">
        <x:v>17</x:v>
      </x:c>
      <x:c r="I579" s="2" t="str">
        <x:f>IF(B579="","",'Motor_Meciuri'!H46)</x:f>
      </x:c>
      <x:c r="J579" s="2" t="str">
        <x:f>IF(B579="","",'Motor_Meciuri'!I46)</x:f>
      </x:c>
      <x:c r="K579" s="11" t="str">
        <x:f>IF(J579&lt;&gt;"PASS","",'Motor_Meciuri'!BD46)</x:f>
      </x:c>
      <x:c r="L579" s="11" t="str">
        <x:f>IF(J579&lt;&gt;"PASS","",'Motor_Meciuri'!AU46)</x:f>
      </x:c>
      <x:c r="M579" s="10" t="str">
        <x:f>IF(NOT(AND(J579="PASS",'Calibrare_Linii'!U19="VALID")),"",'Distributie'!AO46)</x:f>
      </x:c>
      <x:c r="N579" s="10" t="str">
        <x:f>IF(M579="","",MAX(0.01,MIN(0.99,0.5+(M579-0.5)*'Motor_Meciuri'!BG46*'Calibrare_Linii'!D19)))</x:f>
      </x:c>
      <x:c r="O579" s="10" t="str">
        <x:f>IF(M579="","",1-M579)</x:f>
      </x:c>
      <x:c r="P579" s="10" t="str">
        <x:f>IF(OR(NOT(AND(J579="PASS",'Calibrare_Linii'!U19="VALID")),AK579=0),""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*('Istoric_Nativ'!$Q$6:$Q$405&gt;H579))/AK579)</x:f>
      </x:c>
      <x:c r="Q579" s="10" t="str">
        <x:f>IF(OR(NOT(AND(J579="PASS",'Calibrare_Linii'!U19="VALID")),AL579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M46)+((('Istoric_Nativ'!$E$6:$E$405='Input_Meci'!E46)+('Istoric_Nativ'!$F$6:$F$405='Input_Meci'!E46))&gt;0)*('Istoric_Nativ'!$D$6:$D$405&gt;='Motor_Meciuri'!BN46))&gt;0)*('Istoric_Nativ'!$Q$6:$Q$405&gt;H579))/AL579)</x:f>
      </x:c>
      <x:c r="R579" s="10" t="str">
        <x:f>IF(OR(NOT(AND(J579="PASS",'Calibrare_Linii'!U19="VALID")),AM579=0),""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'Motor_Meciuri'!BO46)+((('Istoric_Nativ'!$E$6:$E$405='Input_Meci'!E46)+('Istoric_Nativ'!$F$6:$F$405='Input_Meci'!E46))&gt;0)*('Istoric_Nativ'!$D$6:$D$405&gt;='Motor_Meciuri'!BP46))&gt;0)*('Istoric_Nativ'!$Q$6:$Q$405&gt;H579))/AM579)</x:f>
      </x:c>
      <x:c r="S579" s="10" t="str">
        <x:f>IF(M579="","",MAX(O579,P579,Q579,R579))</x:f>
      </x:c>
      <x:c r="T579" s="11" t="str">
        <x:f>IF(M579="","",MIN(100,S579*100*'Config_v6'!$B$44+MIN(100,L579/'Config_v6'!$B$13*100)*'Config_v6'!$B$45+(100-'Motor_Meciuri'!BF46)*'Config_v6'!$B$46+'Motor_Meciuri'!BH46*100*'Config_v6'!$B$47))</x:f>
      </x:c>
      <x:c r="U579" s="2" t="str">
        <x:f>IF(T579="","",IF(T579&lt;=20,1,IF(T579&lt;=40,2,IF(T579&lt;=60,3,IF(T579&lt;=80,4,5)))))</x:f>
      </x:c>
      <x:c r="V579" s="2" t="str">
        <x:f>IF(M579="","",MAX(0,'Motor_Meciuri'!BF46-IF(W579="OOS PENDING",'Config_v6'!$B$35,0)-IF(L579&gt;'Config_v6'!$B$12,'Config_v6'!$B$37,IF(L579&gt;'Config_v6'!$B$11,'Config_v6'!$B$36,0))))</x:f>
      </x:c>
      <x:c r="W579" s="2" t="str">
        <x:f>IF(B579="","",IF(I579&lt;&gt;"READY","NOT RELEASED",IF(NOT(AND(J579="PASS",'Calibrare_Linii'!U19="VALID")),"INVALID",IF(NOT(AND('Calibrare_Linii'!S19="VALIDATED",AND('Calibrare_Linii'!H19=C579,ISNUMBER('Calibrare_Linii'!J19),'Calibrare_Linii'!J19&lt;='Input_Meci'!G46))),"OOS PENDING",IF(S579&lt;='Calibrare_Linii'!E19,"PASS",IF(S579&lt;='Calibrare_Linii'!F19,"PENALTY","WATCH"))))))</x:f>
      </x:c>
      <x:c r="X579" s="2" t="str">
        <x:f>IF(M579="","",IF(AND(AND(J579="PASS",'Calibrare_Linii'!U19="VALID"),'Motor_Meciuri'!K46=12,'Motor_Meciuri'!L46=12,'Motor_Meciuri'!M46="NO",'Motor_Meciuri'!BL46='Motor_Meciuri'!C46,AB579&gt;='Config_v6'!$B$50,AN579&gt;='Config_v6'!$B$51,T579&lt;='Config_v6'!$B$52,L579&lt;='Config_v6'!$B$53,ISNUMBER('Calibrare_Linii'!E19),S579&lt;='Calibrare_Linii'!E19,SUM(AK579:AM579)&gt;0),"CANDIDATE","NO"))</x:f>
      </x:c>
      <x:c r="Y579" s="2" t="str">
        <x:f>IF(B579="","",IF(I579&lt;&gt;"READY","NOT RELEASED",IF(AND(X579="CANDIDATE",V579&gt;='Config_v6'!$B$51,W579="PASS",'Calibrare_Linii'!T19="VALIDATED",AND('Calibrare_Linii'!H19=C579,ISNUMBER('Calibrare_Linii'!J19),'Calibrare_Linii'!J19&lt;='Input_Meci'!G46)),"PASS",IF(X579="CANDIDATE","OOS PENDING","FAIL"))))</x:f>
      </x:c>
      <x:c r="Z579" s="2" t="str">
        <x:f>IF(B579="","",IF(I579&lt;&gt;"READY","",IF(OR(NOT(AND(J579="PASS",'Calibrare_Linii'!U19="VALID")),L579&gt;'Config_v6'!$B$13,W579="WATCH"),5,IF(Y579="PASS",1,MIN(5,MAX('Config_v6'!$B$42,U579)+IF(W579="PENALTY",1,0))))))</x:f>
      </x:c>
      <x:c r="AA579" s="2" t="str">
        <x:f>IF(B579="","",IF(I579&lt;&gt;"READY","NOT RELEASED",IF(Z579=5,"NO BET",IF(OR(AB579&lt;'Config_v6'!$B$16,V579&lt;'Config_v6'!$B$18),"WATCH",IF(Z579=1,"DEFENSIV",IF(Z579=2,"PRUDENT",IF(Z579=3,"MODERAT","RIDICAT")))))))</x:f>
      </x:c>
      <x:c r="AB579" s="10" t="str">
        <x:f>IF(N579="","",MIN(N579,1-S579))</x:f>
      </x:c>
      <x:c r="AC579" s="2" t="str">
        <x:f>IF(AD579&lt;&gt;1,"",COUNTIFS($Z$566:$Z$579,"&lt;"&amp;Z579,$AD$566:$AD$579,1)+COUNTIFS($Z$566:$Z$579,Z579,$AB$566:$AB$579,"&gt;"&amp;AB579,$AD$566:$AD$579,1)+COUNTIFS($Z$566:$Z$579,Z579,$AB$566:$AB$579,AB579,$V$566:$V$579,"&gt;"&amp;V579,$AD$566:$AD$579,1)+COUNTIFS($Z$566:Z579,Z579,$AB$566:AB579,AB579,$V$566:V579,V579,$AD$566:AD579,1))</x:f>
      </x:c>
      <x:c r="AD579" s="2" t="n">
        <x:f>IF(OR(AA579="DEFENSIV",AA579="PRUDENT",AA579="MODERAT",AA579="RIDICAT"),1,0)</x:f>
        <x:v>0</x:v>
      </x:c>
      <x:c r="AE579" s="2" t="str">
        <x:f>IF(AD579&lt;&gt;1,"NO",IF(W579="PASS","YES",IF(W579="OOS PENDING","CONDITIONAL","NO")))</x:f>
        <x:v>NO</x:v>
      </x:c>
      <x:c r="AF579" s="2" t="n">
        <x:f>IF(AND(AD579=1,AC579=1,E579="LIVE"),1,0)</x:f>
        <x:v>0</x:v>
      </x:c>
      <x:c r="AG579" s="2" t="str">
        <x:f>IF(AF579&lt;&gt;1,"",'Dashboard'!P66)</x:f>
      </x:c>
      <x:c r="AH579" s="2" t="str">
        <x:f>IF(B579="","",IF(J579&lt;&gt;"PASS",'Motor_Meciuri'!J46,IF('Calibrare_Linii'!U19&lt;&gt;"VALID","Parametri linie invalizi",IF(L579&gt;'Config_v6'!$B$13,"Dispersie peste limita",IF(W579="WATCH","Failure peste limita",IF(AB579&lt;'Config_v6'!$B$16,"P finala sub prag",IF(V579&lt;'Config_v6'!$B$18,"Confidence sub prag",IF(E579="REPLAY","Exemplu retrospectiv; exclus din Top LIVE",IF(Y579="PASS","DEFENSIV validat",IF(W579="OOS PENDING","Eligibil; calibrare linie in monitorizare","Eligibil"))))))))))</x:f>
      </x:c>
      <x:c r="AI579" s="2" t="str">
        <x:f>IF(B579="","",'Calibrare_Linii'!V19)</x:f>
      </x:c>
      <x:c r="AJ579" s="2" t="str">
        <x:f>IF(B579="","",IF(AND('Calibrare_Linii'!T19="VALIDATED",AND('Calibrare_Linii'!H19=C579,ISNUMBER('Calibrare_Linii'!J19),'Calibrare_Linii'!J19&lt;='Input_Meci'!G46)),"DEFENSIVE VALIDATED",IF(AND('Calibrare_Linii'!S19="VALIDATED",AND('Calibrare_Linii'!H19=C579,ISNUMBER('Calibrare_Linii'!J19),'Calibrare_Linii'!J19&lt;='Input_Meci'!G46)),"TAIL VALIDATED","OOS PENDING")))</x:f>
      </x:c>
      <x:c r="AK579" s="2" t="n">
        <x:f>IF(J579&lt;&gt;"PASS",0,'Motor_Meciuri'!BR46)</x:f>
        <x:v>0</x:v>
      </x:c>
      <x:c r="AL579" s="2" t="n">
        <x:f>IF(J579&lt;&gt;"PASS",0,'Motor_Meciuri'!BS46)</x:f>
        <x:v>0</x:v>
      </x:c>
      <x:c r="AM579" s="2" t="n">
        <x:f>IF(J579&lt;&gt;"PASS",0,'Motor_Meciuri'!BT46)</x:f>
        <x:v>0</x:v>
      </x:c>
      <x:c r="AN579" s="2" t="str">
        <x:f>IF(M579="","",MAX(0,'Motor_Meciuri'!BF46-IF(L579&gt;'Config_v6'!$B$12,'Config_v6'!$B$37,IF(L579&gt;'Config_v6'!$B$11,'Config_v6'!$B$36,0))))</x:f>
      </x:c>
    </x:row>
    <x:row r="580" ht="21" customHeight="1">
      <x:c r="A580" s="2" t="n">
        <x:v>42</x:v>
      </x:c>
      <x:c r="B580" s="2" t="str">
        <x:f>IF('Motor_Meciuri'!A47="","",'Motor_Meciuri'!A47)</x:f>
      </x:c>
      <x:c r="C580" s="2" t="str">
        <x:f>IF(B580="","",'Motor_Meciuri'!B47)</x:f>
      </x:c>
      <x:c r="D580" s="2" t="str">
        <x:f>IF(B580="","",'Motor_Meciuri'!D47)</x:f>
      </x:c>
      <x:c r="E580" s="2" t="str">
        <x:f>IF(B580="","",'Motor_Meciuri'!E47)</x:f>
      </x:c>
      <x:c r="F580" s="2" t="str">
        <x:v>O3,5</x:v>
      </x:c>
      <x:c r="G580" s="2" t="str">
        <x:v>OVER</x:v>
      </x:c>
      <x:c r="H580" s="2" t="n">
        <x:v>3</x:v>
      </x:c>
      <x:c r="I580" s="2" t="str">
        <x:f>IF(B580="","",'Motor_Meciuri'!H47)</x:f>
      </x:c>
      <x:c r="J580" s="2" t="str">
        <x:f>IF(B580="","",'Motor_Meciuri'!I47)</x:f>
      </x:c>
      <x:c r="K580" s="11" t="str">
        <x:f>IF(J580&lt;&gt;"PASS","",'Motor_Meciuri'!BD47)</x:f>
      </x:c>
      <x:c r="L580" s="11" t="str">
        <x:f>IF(J580&lt;&gt;"PASS","",'Motor_Meciuri'!AU47)</x:f>
      </x:c>
      <x:c r="M580" s="10" t="str">
        <x:f>IF(NOT(AND(J580="PASS",'Calibrare_Linii'!U6="VALID")),"",1-'Distributie'!AA47)</x:f>
      </x:c>
      <x:c r="N580" s="10" t="str">
        <x:f>IF(M580="","",MAX(0.01,MIN(0.99,0.5+(M580-0.5)*'Motor_Meciuri'!BG47*'Calibrare_Linii'!D6)))</x:f>
      </x:c>
      <x:c r="O580" s="10" t="str">
        <x:f>IF(M580="","",1-M580)</x:f>
      </x:c>
      <x:c r="P580" s="10" t="str">
        <x:f>IF(OR(NOT(AND(J580="PASS",'Calibrare_Linii'!U6="VALID")),AK580=0),""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*('Istoric_Nativ'!$Q$6:$Q$405&lt;=H580))/AK580)</x:f>
      </x:c>
      <x:c r="Q580" s="10" t="str">
        <x:f>IF(OR(NOT(AND(J580="PASS",'Calibrare_Linii'!U6="VALID")),AL580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M47)+((('Istoric_Nativ'!$E$6:$E$405='Input_Meci'!E47)+('Istoric_Nativ'!$F$6:$F$405='Input_Meci'!E47))&gt;0)*('Istoric_Nativ'!$D$6:$D$405&gt;='Motor_Meciuri'!BN47))&gt;0)*('Istoric_Nativ'!$Q$6:$Q$405&lt;=H580))/AL580)</x:f>
      </x:c>
      <x:c r="R580" s="10" t="str">
        <x:f>IF(OR(NOT(AND(J580="PASS",'Calibrare_Linii'!U6="VALID")),AM580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O47)+((('Istoric_Nativ'!$E$6:$E$405='Input_Meci'!E47)+('Istoric_Nativ'!$F$6:$F$405='Input_Meci'!E47))&gt;0)*('Istoric_Nativ'!$D$6:$D$405&gt;='Motor_Meciuri'!BP47))&gt;0)*('Istoric_Nativ'!$Q$6:$Q$405&lt;=H580))/AM580)</x:f>
      </x:c>
      <x:c r="S580" s="10" t="str">
        <x:f>IF(M580="","",MAX(O580,P580,Q580,R580))</x:f>
      </x:c>
      <x:c r="T580" s="11" t="str">
        <x:f>IF(M580="","",MIN(100,S580*100*'Config_v6'!$B$44+MIN(100,L580/'Config_v6'!$B$13*100)*'Config_v6'!$B$45+(100-'Motor_Meciuri'!BF47)*'Config_v6'!$B$46+'Motor_Meciuri'!BH47*100*'Config_v6'!$B$47))</x:f>
      </x:c>
      <x:c r="U580" s="2" t="str">
        <x:f>IF(T580="","",IF(T580&lt;=20,1,IF(T580&lt;=40,2,IF(T580&lt;=60,3,IF(T580&lt;=80,4,5)))))</x:f>
      </x:c>
      <x:c r="V580" s="2" t="str">
        <x:f>IF(M580="","",MAX(0,'Motor_Meciuri'!BF47-IF(W580="OOS PENDING",'Config_v6'!$B$35,0)-IF(L580&gt;'Config_v6'!$B$12,'Config_v6'!$B$37,IF(L580&gt;'Config_v6'!$B$11,'Config_v6'!$B$36,0))))</x:f>
      </x:c>
      <x:c r="W580" s="2" t="str">
        <x:f>IF(B580="","",IF(I580&lt;&gt;"READY","NOT RELEASED",IF(NOT(AND(J580="PASS",'Calibrare_Linii'!U6="VALID")),"INVALID",IF(NOT(TRUE),"OOS PENDING",IF(S580&lt;=IF(AND('Calibrare_Linii'!S6="VALIDATED",AND('Calibrare_Linii'!H6=C580,ISNUMBER('Calibrare_Linii'!J6),'Calibrare_Linii'!J6&lt;='Input_Meci'!G47)),'Calibrare_Linii'!E6,'Config_v6'!$B$26),"PASS",IF(S580&lt;=IF(AND('Calibrare_Linii'!S6="VALIDATED",AND('Calibrare_Linii'!H6=C580,ISNUMBER('Calibrare_Linii'!J6),'Calibrare_Linii'!J6&lt;='Input_Meci'!G47)),'Calibrare_Linii'!F6,'Config_v6'!$C$26),"PENALTY","WATCH"))))))</x:f>
      </x:c>
      <x:c r="X580" s="2" t="str">
        <x:f>IF(M580="","",IF(AND(AND(J580="PASS",'Calibrare_Linii'!U6="VALID"),'Motor_Meciuri'!K47=12,'Motor_Meciuri'!L47=12,'Motor_Meciuri'!M47="NO",'Motor_Meciuri'!BL47='Motor_Meciuri'!C47,AB580&gt;='Config_v6'!$B$50,AN580&gt;='Config_v6'!$B$51,T580&lt;='Config_v6'!$B$52,L580&lt;='Config_v6'!$B$53,ISNUMBER('Calibrare_Linii'!E6),S580&lt;='Calibrare_Linii'!E6,SUM(AK580:AM580)&gt;0),"CANDIDATE","NO"))</x:f>
      </x:c>
      <x:c r="Y580" s="2" t="str">
        <x:f>IF(B580="","",IF(I580&lt;&gt;"READY","NOT RELEASED",IF(AND(X580="CANDIDATE",V580&gt;='Config_v6'!$B$51,W580="PASS",'Calibrare_Linii'!T6="VALIDATED",AND('Calibrare_Linii'!H6=C580,ISNUMBER('Calibrare_Linii'!J6),'Calibrare_Linii'!J6&lt;='Input_Meci'!G47)),"PASS",IF(X580="CANDIDATE","OOS PENDING","FAIL"))))</x:f>
      </x:c>
      <x:c r="Z580" s="2" t="str">
        <x:f>IF(B580="","",IF(I580&lt;&gt;"READY","",IF(OR(NOT(AND(J580="PASS",'Calibrare_Linii'!U6="VALID")),L580&gt;'Config_v6'!$B$13,W580="WATCH"),5,IF(Y580="PASS",1,MIN(5,MAX('Config_v6'!$B$42,U580)+IF(W580="PENALTY",1,0))))))</x:f>
      </x:c>
      <x:c r="AA580" s="2" t="str">
        <x:f>IF(B580="","",IF(I580&lt;&gt;"READY","NOT RELEASED",IF(Z580=5,"NO BET",IF(OR(AB580&lt;'Config_v6'!$B$16,V580&lt;'Config_v6'!$B$18),"WATCH",IF(Z580=1,"DEFENSIV",IF(Z580=2,"PRUDENT",IF(Z580=3,"MODERAT","RIDICAT")))))))</x:f>
      </x:c>
      <x:c r="AB580" s="10" t="str">
        <x:f>IF(N580="","",MIN(N580,1-S580))</x:f>
      </x:c>
      <x:c r="AC580" s="2" t="str">
        <x:f>IF(AD580&lt;&gt;1,"",COUNTIFS($Z$580:$Z$593,"&lt;"&amp;Z580,$AD$580:$AD$593,1)+COUNTIFS($Z$580:$Z$593,Z580,$AB$580:$AB$593,"&gt;"&amp;AB580,$AD$580:$AD$593,1)+COUNTIFS($Z$580:$Z$593,Z580,$AB$580:$AB$593,AB580,$V$580:$V$593,"&gt;"&amp;V580,$AD$580:$AD$593,1)+COUNTIFS($Z$580:Z580,Z580,$AB$580:AB580,AB580,$V$580:V580,V580,$AD$580:AD580,1))</x:f>
      </x:c>
      <x:c r="AD580" s="2" t="n">
        <x:f>IF(OR(AA580="DEFENSIV",AA580="PRUDENT",AA580="MODERAT",AA580="RIDICAT"),1,0)</x:f>
        <x:v>0</x:v>
      </x:c>
      <x:c r="AE580" s="2" t="str">
        <x:f>IF(AD580&lt;&gt;1,"NO",IF(W580="PASS","YES",IF(W580="OOS PENDING","CONDITIONAL","NO")))</x:f>
        <x:v>NO</x:v>
      </x:c>
      <x:c r="AF580" s="2" t="n">
        <x:f>IF(AND(AD580=1,AC580=1,E580="LIVE"),1,0)</x:f>
        <x:v>0</x:v>
      </x:c>
      <x:c r="AG580" s="2" t="str">
        <x:f>IF(AF580&lt;&gt;1,"",'Dashboard'!P67)</x:f>
      </x:c>
      <x:c r="AH580" s="2" t="str">
        <x:f>IF(B580="","",IF(J580&lt;&gt;"PASS",'Motor_Meciuri'!J47,IF('Calibrare_Linii'!U6&lt;&gt;"VALID","Parametri linie invalizi",IF(L580&gt;'Config_v6'!$B$13,"Dispersie peste limita",IF(W580="WATCH","Failure peste limita",IF(AB580&lt;'Config_v6'!$B$16,"P finala sub prag",IF(V580&lt;'Config_v6'!$B$18,"Confidence sub prag",IF(E580="REPLAY","Exemplu retrospectiv; exclus din Top LIVE",IF(Y580="PASS","DEFENSIV validat",IF(W580="OOS PENDING","Eligibil; calibrare linie in monitorizare","Eligibil"))))))))))</x:f>
      </x:c>
      <x:c r="AI580" s="2" t="str">
        <x:f>IF(B580="","",'Calibrare_Linii'!V6)</x:f>
      </x:c>
      <x:c r="AJ580" s="2" t="str">
        <x:f>IF(B580="","",IF(AND('Calibrare_Linii'!T6="VALIDATED",AND('Calibrare_Linii'!H6=C580,ISNUMBER('Calibrare_Linii'!J6),'Calibrare_Linii'!J6&lt;='Input_Meci'!G47)),"DEFENSIVE VALIDATED",IF(AND('Calibrare_Linii'!S6="VALIDATED",AND('Calibrare_Linii'!H6=C580,ISNUMBER('Calibrare_Linii'!J6),'Calibrare_Linii'!J6&lt;='Input_Meci'!G47)),"TAIL VALIDATED","OOS PENDING")))</x:f>
      </x:c>
      <x:c r="AK580" s="2" t="n">
        <x:f>IF(J580&lt;&gt;"PASS",0,'Motor_Meciuri'!BR47)</x:f>
        <x:v>0</x:v>
      </x:c>
      <x:c r="AL580" s="2" t="n">
        <x:f>IF(J580&lt;&gt;"PASS",0,'Motor_Meciuri'!BS47)</x:f>
        <x:v>0</x:v>
      </x:c>
      <x:c r="AM580" s="2" t="n">
        <x:f>IF(J580&lt;&gt;"PASS",0,'Motor_Meciuri'!BT47)</x:f>
        <x:v>0</x:v>
      </x:c>
      <x:c r="AN580" s="2" t="str">
        <x:f>IF(M580="","",MAX(0,'Motor_Meciuri'!BF47-IF(L580&gt;'Config_v6'!$B$12,'Config_v6'!$B$37,IF(L580&gt;'Config_v6'!$B$11,'Config_v6'!$B$36,0))))</x:f>
      </x:c>
    </x:row>
    <x:row r="581" ht="21" customHeight="1">
      <x:c r="A581" s="2" t="n">
        <x:v>42</x:v>
      </x:c>
      <x:c r="B581" s="2" t="str">
        <x:f>IF('Motor_Meciuri'!A47="","",'Motor_Meciuri'!A47)</x:f>
      </x:c>
      <x:c r="C581" s="2" t="str">
        <x:f>IF(B581="","",'Motor_Meciuri'!B47)</x:f>
      </x:c>
      <x:c r="D581" s="2" t="str">
        <x:f>IF(B581="","",'Motor_Meciuri'!D47)</x:f>
      </x:c>
      <x:c r="E581" s="2" t="str">
        <x:f>IF(B581="","",'Motor_Meciuri'!E47)</x:f>
      </x:c>
      <x:c r="F581" s="2" t="str">
        <x:v>O4,5</x:v>
      </x:c>
      <x:c r="G581" s="2" t="str">
        <x:v>OVER</x:v>
      </x:c>
      <x:c r="H581" s="2" t="n">
        <x:v>4</x:v>
      </x:c>
      <x:c r="I581" s="2" t="str">
        <x:f>IF(B581="","",'Motor_Meciuri'!H47)</x:f>
      </x:c>
      <x:c r="J581" s="2" t="str">
        <x:f>IF(B581="","",'Motor_Meciuri'!I47)</x:f>
      </x:c>
      <x:c r="K581" s="11" t="str">
        <x:f>IF(J581&lt;&gt;"PASS","",'Motor_Meciuri'!BD47)</x:f>
      </x:c>
      <x:c r="L581" s="11" t="str">
        <x:f>IF(J581&lt;&gt;"PASS","",'Motor_Meciuri'!AU47)</x:f>
      </x:c>
      <x:c r="M581" s="10" t="str">
        <x:f>IF(NOT(AND(J581="PASS",'Calibrare_Linii'!U7="VALID")),"",1-'Distributie'!AB47)</x:f>
      </x:c>
      <x:c r="N581" s="10" t="str">
        <x:f>IF(M581="","",MAX(0.01,MIN(0.99,0.5+(M581-0.5)*'Motor_Meciuri'!BG47*'Calibrare_Linii'!D7)))</x:f>
      </x:c>
      <x:c r="O581" s="10" t="str">
        <x:f>IF(M581="","",1-M581)</x:f>
      </x:c>
      <x:c r="P581" s="10" t="str">
        <x:f>IF(OR(NOT(AND(J581="PASS",'Calibrare_Linii'!U7="VALID")),AK581=0),""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*('Istoric_Nativ'!$Q$6:$Q$405&lt;=H581))/AK581)</x:f>
      </x:c>
      <x:c r="Q581" s="10" t="str">
        <x:f>IF(OR(NOT(AND(J581="PASS",'Calibrare_Linii'!U7="VALID")),AL581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M47)+((('Istoric_Nativ'!$E$6:$E$405='Input_Meci'!E47)+('Istoric_Nativ'!$F$6:$F$405='Input_Meci'!E47))&gt;0)*('Istoric_Nativ'!$D$6:$D$405&gt;='Motor_Meciuri'!BN47))&gt;0)*('Istoric_Nativ'!$Q$6:$Q$405&lt;=H581))/AL581)</x:f>
      </x:c>
      <x:c r="R581" s="10" t="str">
        <x:f>IF(OR(NOT(AND(J581="PASS",'Calibrare_Linii'!U7="VALID")),AM581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O47)+((('Istoric_Nativ'!$E$6:$E$405='Input_Meci'!E47)+('Istoric_Nativ'!$F$6:$F$405='Input_Meci'!E47))&gt;0)*('Istoric_Nativ'!$D$6:$D$405&gt;='Motor_Meciuri'!BP47))&gt;0)*('Istoric_Nativ'!$Q$6:$Q$405&lt;=H581))/AM581)</x:f>
      </x:c>
      <x:c r="S581" s="10" t="str">
        <x:f>IF(M581="","",MAX(O581,P581,Q581,R581))</x:f>
      </x:c>
      <x:c r="T581" s="11" t="str">
        <x:f>IF(M581="","",MIN(100,S581*100*'Config_v6'!$B$44+MIN(100,L581/'Config_v6'!$B$13*100)*'Config_v6'!$B$45+(100-'Motor_Meciuri'!BF47)*'Config_v6'!$B$46+'Motor_Meciuri'!BH47*100*'Config_v6'!$B$47))</x:f>
      </x:c>
      <x:c r="U581" s="2" t="str">
        <x:f>IF(T581="","",IF(T581&lt;=20,1,IF(T581&lt;=40,2,IF(T581&lt;=60,3,IF(T581&lt;=80,4,5)))))</x:f>
      </x:c>
      <x:c r="V581" s="2" t="str">
        <x:f>IF(M581="","",MAX(0,'Motor_Meciuri'!BF47-IF(W581="OOS PENDING",'Config_v6'!$B$35,0)-IF(L581&gt;'Config_v6'!$B$12,'Config_v6'!$B$37,IF(L581&gt;'Config_v6'!$B$11,'Config_v6'!$B$36,0))))</x:f>
      </x:c>
      <x:c r="W581" s="2" t="str">
        <x:f>IF(B581="","",IF(I581&lt;&gt;"READY","NOT RELEASED",IF(NOT(AND(J581="PASS",'Calibrare_Linii'!U7="VALID")),"INVALID",IF(NOT(AND('Calibrare_Linii'!S7="VALIDATED",AND('Calibrare_Linii'!H7=C581,ISNUMBER('Calibrare_Linii'!J7),'Calibrare_Linii'!J7&lt;='Input_Meci'!G47))),"OOS PENDING",IF(S581&lt;='Calibrare_Linii'!E7,"PASS",IF(S581&lt;='Calibrare_Linii'!F7,"PENALTY","WATCH"))))))</x:f>
      </x:c>
      <x:c r="X581" s="2" t="str">
        <x:f>IF(M581="","",IF(AND(AND(J581="PASS",'Calibrare_Linii'!U7="VALID"),'Motor_Meciuri'!K47=12,'Motor_Meciuri'!L47=12,'Motor_Meciuri'!M47="NO",'Motor_Meciuri'!BL47='Motor_Meciuri'!C47,AB581&gt;='Config_v6'!$B$50,AN581&gt;='Config_v6'!$B$51,T581&lt;='Config_v6'!$B$52,L581&lt;='Config_v6'!$B$53,ISNUMBER('Calibrare_Linii'!E7),S581&lt;='Calibrare_Linii'!E7,SUM(AK581:AM581)&gt;0),"CANDIDATE","NO"))</x:f>
      </x:c>
      <x:c r="Y581" s="2" t="str">
        <x:f>IF(B581="","",IF(I581&lt;&gt;"READY","NOT RELEASED",IF(AND(X581="CANDIDATE",V581&gt;='Config_v6'!$B$51,W581="PASS",'Calibrare_Linii'!T7="VALIDATED",AND('Calibrare_Linii'!H7=C581,ISNUMBER('Calibrare_Linii'!J7),'Calibrare_Linii'!J7&lt;='Input_Meci'!G47)),"PASS",IF(X581="CANDIDATE","OOS PENDING","FAIL"))))</x:f>
      </x:c>
      <x:c r="Z581" s="2" t="str">
        <x:f>IF(B581="","",IF(I581&lt;&gt;"READY","",IF(OR(NOT(AND(J581="PASS",'Calibrare_Linii'!U7="VALID")),L581&gt;'Config_v6'!$B$13,W581="WATCH"),5,IF(Y581="PASS",1,MIN(5,MAX('Config_v6'!$B$42,U581)+IF(W581="PENALTY",1,0))))))</x:f>
      </x:c>
      <x:c r="AA581" s="2" t="str">
        <x:f>IF(B581="","",IF(I581&lt;&gt;"READY","NOT RELEASED",IF(Z581=5,"NO BET",IF(OR(AB581&lt;'Config_v6'!$B$16,V581&lt;'Config_v6'!$B$18),"WATCH",IF(Z581=1,"DEFENSIV",IF(Z581=2,"PRUDENT",IF(Z581=3,"MODERAT","RIDICAT")))))))</x:f>
      </x:c>
      <x:c r="AB581" s="10" t="str">
        <x:f>IF(N581="","",MIN(N581,1-S581))</x:f>
      </x:c>
      <x:c r="AC581" s="2" t="str">
        <x:f>IF(AD581&lt;&gt;1,"",COUNTIFS($Z$580:$Z$593,"&lt;"&amp;Z581,$AD$580:$AD$593,1)+COUNTIFS($Z$580:$Z$593,Z581,$AB$580:$AB$593,"&gt;"&amp;AB581,$AD$580:$AD$593,1)+COUNTIFS($Z$580:$Z$593,Z581,$AB$580:$AB$593,AB581,$V$580:$V$593,"&gt;"&amp;V581,$AD$580:$AD$593,1)+COUNTIFS($Z$580:Z581,Z581,$AB$580:AB581,AB581,$V$580:V581,V581,$AD$580:AD581,1))</x:f>
      </x:c>
      <x:c r="AD581" s="2" t="n">
        <x:f>IF(OR(AA581="DEFENSIV",AA581="PRUDENT",AA581="MODERAT",AA581="RIDICAT"),1,0)</x:f>
        <x:v>0</x:v>
      </x:c>
      <x:c r="AE581" s="2" t="str">
        <x:f>IF(AD581&lt;&gt;1,"NO",IF(W581="PASS","YES",IF(W581="OOS PENDING","CONDITIONAL","NO")))</x:f>
        <x:v>NO</x:v>
      </x:c>
      <x:c r="AF581" s="2" t="n">
        <x:f>IF(AND(AD581=1,AC581=1,E581="LIVE"),1,0)</x:f>
        <x:v>0</x:v>
      </x:c>
      <x:c r="AG581" s="2" t="str">
        <x:f>IF(AF581&lt;&gt;1,"",'Dashboard'!P67)</x:f>
      </x:c>
      <x:c r="AH581" s="2" t="str">
        <x:f>IF(B581="","",IF(J581&lt;&gt;"PASS",'Motor_Meciuri'!J47,IF('Calibrare_Linii'!U7&lt;&gt;"VALID","Parametri linie invalizi",IF(L581&gt;'Config_v6'!$B$13,"Dispersie peste limita",IF(W581="WATCH","Failure peste limita",IF(AB581&lt;'Config_v6'!$B$16,"P finala sub prag",IF(V581&lt;'Config_v6'!$B$18,"Confidence sub prag",IF(E581="REPLAY","Exemplu retrospectiv; exclus din Top LIVE",IF(Y581="PASS","DEFENSIV validat",IF(W581="OOS PENDING","Eligibil; calibrare linie in monitorizare","Eligibil"))))))))))</x:f>
      </x:c>
      <x:c r="AI581" s="2" t="str">
        <x:f>IF(B581="","",'Calibrare_Linii'!V7)</x:f>
      </x:c>
      <x:c r="AJ581" s="2" t="str">
        <x:f>IF(B581="","",IF(AND('Calibrare_Linii'!T7="VALIDATED",AND('Calibrare_Linii'!H7=C581,ISNUMBER('Calibrare_Linii'!J7),'Calibrare_Linii'!J7&lt;='Input_Meci'!G47)),"DEFENSIVE VALIDATED",IF(AND('Calibrare_Linii'!S7="VALIDATED",AND('Calibrare_Linii'!H7=C581,ISNUMBER('Calibrare_Linii'!J7),'Calibrare_Linii'!J7&lt;='Input_Meci'!G47)),"TAIL VALIDATED","OOS PENDING")))</x:f>
      </x:c>
      <x:c r="AK581" s="2" t="n">
        <x:f>IF(J581&lt;&gt;"PASS",0,'Motor_Meciuri'!BR47)</x:f>
        <x:v>0</x:v>
      </x:c>
      <x:c r="AL581" s="2" t="n">
        <x:f>IF(J581&lt;&gt;"PASS",0,'Motor_Meciuri'!BS47)</x:f>
        <x:v>0</x:v>
      </x:c>
      <x:c r="AM581" s="2" t="n">
        <x:f>IF(J581&lt;&gt;"PASS",0,'Motor_Meciuri'!BT47)</x:f>
        <x:v>0</x:v>
      </x:c>
      <x:c r="AN581" s="2" t="str">
        <x:f>IF(M581="","",MAX(0,'Motor_Meciuri'!BF47-IF(L581&gt;'Config_v6'!$B$12,'Config_v6'!$B$37,IF(L581&gt;'Config_v6'!$B$11,'Config_v6'!$B$36,0))))</x:f>
      </x:c>
    </x:row>
    <x:row r="582" ht="21" customHeight="1">
      <x:c r="A582" s="2" t="n">
        <x:v>42</x:v>
      </x:c>
      <x:c r="B582" s="2" t="str">
        <x:f>IF('Motor_Meciuri'!A47="","",'Motor_Meciuri'!A47)</x:f>
      </x:c>
      <x:c r="C582" s="2" t="str">
        <x:f>IF(B582="","",'Motor_Meciuri'!B47)</x:f>
      </x:c>
      <x:c r="D582" s="2" t="str">
        <x:f>IF(B582="","",'Motor_Meciuri'!D47)</x:f>
      </x:c>
      <x:c r="E582" s="2" t="str">
        <x:f>IF(B582="","",'Motor_Meciuri'!E47)</x:f>
      </x:c>
      <x:c r="F582" s="2" t="str">
        <x:v>O5,5</x:v>
      </x:c>
      <x:c r="G582" s="2" t="str">
        <x:v>OVER</x:v>
      </x:c>
      <x:c r="H582" s="2" t="n">
        <x:v>5</x:v>
      </x:c>
      <x:c r="I582" s="2" t="str">
        <x:f>IF(B582="","",'Motor_Meciuri'!H47)</x:f>
      </x:c>
      <x:c r="J582" s="2" t="str">
        <x:f>IF(B582="","",'Motor_Meciuri'!I47)</x:f>
      </x:c>
      <x:c r="K582" s="11" t="str">
        <x:f>IF(J582&lt;&gt;"PASS","",'Motor_Meciuri'!BD47)</x:f>
      </x:c>
      <x:c r="L582" s="11" t="str">
        <x:f>IF(J582&lt;&gt;"PASS","",'Motor_Meciuri'!AU47)</x:f>
      </x:c>
      <x:c r="M582" s="10" t="str">
        <x:f>IF(NOT(AND(J582="PASS",'Calibrare_Linii'!U8="VALID")),"",1-'Distributie'!AC47)</x:f>
      </x:c>
      <x:c r="N582" s="10" t="str">
        <x:f>IF(M582="","",MAX(0.01,MIN(0.99,0.5+(M582-0.5)*'Motor_Meciuri'!BG47*'Calibrare_Linii'!D8)))</x:f>
      </x:c>
      <x:c r="O582" s="10" t="str">
        <x:f>IF(M582="","",1-M582)</x:f>
      </x:c>
      <x:c r="P582" s="10" t="str">
        <x:f>IF(OR(NOT(AND(J582="PASS",'Calibrare_Linii'!U8="VALID")),AK582=0),""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*('Istoric_Nativ'!$Q$6:$Q$405&lt;=H582))/AK582)</x:f>
      </x:c>
      <x:c r="Q582" s="10" t="str">
        <x:f>IF(OR(NOT(AND(J582="PASS",'Calibrare_Linii'!U8="VALID")),AL582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M47)+((('Istoric_Nativ'!$E$6:$E$405='Input_Meci'!E47)+('Istoric_Nativ'!$F$6:$F$405='Input_Meci'!E47))&gt;0)*('Istoric_Nativ'!$D$6:$D$405&gt;='Motor_Meciuri'!BN47))&gt;0)*('Istoric_Nativ'!$Q$6:$Q$405&lt;=H582))/AL582)</x:f>
      </x:c>
      <x:c r="R582" s="10" t="str">
        <x:f>IF(OR(NOT(AND(J582="PASS",'Calibrare_Linii'!U8="VALID")),AM582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O47)+((('Istoric_Nativ'!$E$6:$E$405='Input_Meci'!E47)+('Istoric_Nativ'!$F$6:$F$405='Input_Meci'!E47))&gt;0)*('Istoric_Nativ'!$D$6:$D$405&gt;='Motor_Meciuri'!BP47))&gt;0)*('Istoric_Nativ'!$Q$6:$Q$405&lt;=H582))/AM582)</x:f>
      </x:c>
      <x:c r="S582" s="10" t="str">
        <x:f>IF(M582="","",MAX(O582,P582,Q582,R582))</x:f>
      </x:c>
      <x:c r="T582" s="11" t="str">
        <x:f>IF(M582="","",MIN(100,S582*100*'Config_v6'!$B$44+MIN(100,L582/'Config_v6'!$B$13*100)*'Config_v6'!$B$45+(100-'Motor_Meciuri'!BF47)*'Config_v6'!$B$46+'Motor_Meciuri'!BH47*100*'Config_v6'!$B$47))</x:f>
      </x:c>
      <x:c r="U582" s="2" t="str">
        <x:f>IF(T582="","",IF(T582&lt;=20,1,IF(T582&lt;=40,2,IF(T582&lt;=60,3,IF(T582&lt;=80,4,5)))))</x:f>
      </x:c>
      <x:c r="V582" s="2" t="str">
        <x:f>IF(M582="","",MAX(0,'Motor_Meciuri'!BF47-IF(W582="OOS PENDING",'Config_v6'!$B$35,0)-IF(L582&gt;'Config_v6'!$B$12,'Config_v6'!$B$37,IF(L582&gt;'Config_v6'!$B$11,'Config_v6'!$B$36,0))))</x:f>
      </x:c>
      <x:c r="W582" s="2" t="str">
        <x:f>IF(B582="","",IF(I582&lt;&gt;"READY","NOT RELEASED",IF(NOT(AND(J582="PASS",'Calibrare_Linii'!U8="VALID")),"INVALID",IF(NOT(AND('Calibrare_Linii'!S8="VALIDATED",AND('Calibrare_Linii'!H8=C582,ISNUMBER('Calibrare_Linii'!J8),'Calibrare_Linii'!J8&lt;='Input_Meci'!G47))),"OOS PENDING",IF(S582&lt;='Calibrare_Linii'!E8,"PASS",IF(S582&lt;='Calibrare_Linii'!F8,"PENALTY","WATCH"))))))</x:f>
      </x:c>
      <x:c r="X582" s="2" t="str">
        <x:f>IF(M582="","",IF(AND(AND(J582="PASS",'Calibrare_Linii'!U8="VALID"),'Motor_Meciuri'!K47=12,'Motor_Meciuri'!L47=12,'Motor_Meciuri'!M47="NO",'Motor_Meciuri'!BL47='Motor_Meciuri'!C47,AB582&gt;='Config_v6'!$B$50,AN582&gt;='Config_v6'!$B$51,T582&lt;='Config_v6'!$B$52,L582&lt;='Config_v6'!$B$53,ISNUMBER('Calibrare_Linii'!E8),S582&lt;='Calibrare_Linii'!E8,SUM(AK582:AM582)&gt;0),"CANDIDATE","NO"))</x:f>
      </x:c>
      <x:c r="Y582" s="2" t="str">
        <x:f>IF(B582="","",IF(I582&lt;&gt;"READY","NOT RELEASED",IF(AND(X582="CANDIDATE",V582&gt;='Config_v6'!$B$51,W582="PASS",'Calibrare_Linii'!T8="VALIDATED",AND('Calibrare_Linii'!H8=C582,ISNUMBER('Calibrare_Linii'!J8),'Calibrare_Linii'!J8&lt;='Input_Meci'!G47)),"PASS",IF(X582="CANDIDATE","OOS PENDING","FAIL"))))</x:f>
      </x:c>
      <x:c r="Z582" s="2" t="str">
        <x:f>IF(B582="","",IF(I582&lt;&gt;"READY","",IF(OR(NOT(AND(J582="PASS",'Calibrare_Linii'!U8="VALID")),L582&gt;'Config_v6'!$B$13,W582="WATCH"),5,IF(Y582="PASS",1,MIN(5,MAX('Config_v6'!$B$42,U582)+IF(W582="PENALTY",1,0))))))</x:f>
      </x:c>
      <x:c r="AA582" s="2" t="str">
        <x:f>IF(B582="","",IF(I582&lt;&gt;"READY","NOT RELEASED",IF(Z582=5,"NO BET",IF(OR(AB582&lt;'Config_v6'!$B$16,V582&lt;'Config_v6'!$B$18),"WATCH",IF(Z582=1,"DEFENSIV",IF(Z582=2,"PRUDENT",IF(Z582=3,"MODERAT","RIDICAT")))))))</x:f>
      </x:c>
      <x:c r="AB582" s="10" t="str">
        <x:f>IF(N582="","",MIN(N582,1-S582))</x:f>
      </x:c>
      <x:c r="AC582" s="2" t="str">
        <x:f>IF(AD582&lt;&gt;1,"",COUNTIFS($Z$580:$Z$593,"&lt;"&amp;Z582,$AD$580:$AD$593,1)+COUNTIFS($Z$580:$Z$593,Z582,$AB$580:$AB$593,"&gt;"&amp;AB582,$AD$580:$AD$593,1)+COUNTIFS($Z$580:$Z$593,Z582,$AB$580:$AB$593,AB582,$V$580:$V$593,"&gt;"&amp;V582,$AD$580:$AD$593,1)+COUNTIFS($Z$580:Z582,Z582,$AB$580:AB582,AB582,$V$580:V582,V582,$AD$580:AD582,1))</x:f>
      </x:c>
      <x:c r="AD582" s="2" t="n">
        <x:f>IF(OR(AA582="DEFENSIV",AA582="PRUDENT",AA582="MODERAT",AA582="RIDICAT"),1,0)</x:f>
        <x:v>0</x:v>
      </x:c>
      <x:c r="AE582" s="2" t="str">
        <x:f>IF(AD582&lt;&gt;1,"NO",IF(W582="PASS","YES",IF(W582="OOS PENDING","CONDITIONAL","NO")))</x:f>
        <x:v>NO</x:v>
      </x:c>
      <x:c r="AF582" s="2" t="n">
        <x:f>IF(AND(AD582=1,AC582=1,E582="LIVE"),1,0)</x:f>
        <x:v>0</x:v>
      </x:c>
      <x:c r="AG582" s="2" t="str">
        <x:f>IF(AF582&lt;&gt;1,"",'Dashboard'!P67)</x:f>
      </x:c>
      <x:c r="AH582" s="2" t="str">
        <x:f>IF(B582="","",IF(J582&lt;&gt;"PASS",'Motor_Meciuri'!J47,IF('Calibrare_Linii'!U8&lt;&gt;"VALID","Parametri linie invalizi",IF(L582&gt;'Config_v6'!$B$13,"Dispersie peste limita",IF(W582="WATCH","Failure peste limita",IF(AB582&lt;'Config_v6'!$B$16,"P finala sub prag",IF(V582&lt;'Config_v6'!$B$18,"Confidence sub prag",IF(E582="REPLAY","Exemplu retrospectiv; exclus din Top LIVE",IF(Y582="PASS","DEFENSIV validat",IF(W582="OOS PENDING","Eligibil; calibrare linie in monitorizare","Eligibil"))))))))))</x:f>
      </x:c>
      <x:c r="AI582" s="2" t="str">
        <x:f>IF(B582="","",'Calibrare_Linii'!V8)</x:f>
      </x:c>
      <x:c r="AJ582" s="2" t="str">
        <x:f>IF(B582="","",IF(AND('Calibrare_Linii'!T8="VALIDATED",AND('Calibrare_Linii'!H8=C582,ISNUMBER('Calibrare_Linii'!J8),'Calibrare_Linii'!J8&lt;='Input_Meci'!G47)),"DEFENSIVE VALIDATED",IF(AND('Calibrare_Linii'!S8="VALIDATED",AND('Calibrare_Linii'!H8=C582,ISNUMBER('Calibrare_Linii'!J8),'Calibrare_Linii'!J8&lt;='Input_Meci'!G47)),"TAIL VALIDATED","OOS PENDING")))</x:f>
      </x:c>
      <x:c r="AK582" s="2" t="n">
        <x:f>IF(J582&lt;&gt;"PASS",0,'Motor_Meciuri'!BR47)</x:f>
        <x:v>0</x:v>
      </x:c>
      <x:c r="AL582" s="2" t="n">
        <x:f>IF(J582&lt;&gt;"PASS",0,'Motor_Meciuri'!BS47)</x:f>
        <x:v>0</x:v>
      </x:c>
      <x:c r="AM582" s="2" t="n">
        <x:f>IF(J582&lt;&gt;"PASS",0,'Motor_Meciuri'!BT47)</x:f>
        <x:v>0</x:v>
      </x:c>
      <x:c r="AN582" s="2" t="str">
        <x:f>IF(M582="","",MAX(0,'Motor_Meciuri'!BF47-IF(L582&gt;'Config_v6'!$B$12,'Config_v6'!$B$37,IF(L582&gt;'Config_v6'!$B$11,'Config_v6'!$B$36,0))))</x:f>
      </x:c>
    </x:row>
    <x:row r="583" ht="21" customHeight="1">
      <x:c r="A583" s="2" t="n">
        <x:v>42</x:v>
      </x:c>
      <x:c r="B583" s="2" t="str">
        <x:f>IF('Motor_Meciuri'!A47="","",'Motor_Meciuri'!A47)</x:f>
      </x:c>
      <x:c r="C583" s="2" t="str">
        <x:f>IF(B583="","",'Motor_Meciuri'!B47)</x:f>
      </x:c>
      <x:c r="D583" s="2" t="str">
        <x:f>IF(B583="","",'Motor_Meciuri'!D47)</x:f>
      </x:c>
      <x:c r="E583" s="2" t="str">
        <x:f>IF(B583="","",'Motor_Meciuri'!E47)</x:f>
      </x:c>
      <x:c r="F583" s="2" t="str">
        <x:v>O6,5</x:v>
      </x:c>
      <x:c r="G583" s="2" t="str">
        <x:v>OVER</x:v>
      </x:c>
      <x:c r="H583" s="2" t="n">
        <x:v>6</x:v>
      </x:c>
      <x:c r="I583" s="2" t="str">
        <x:f>IF(B583="","",'Motor_Meciuri'!H47)</x:f>
      </x:c>
      <x:c r="J583" s="2" t="str">
        <x:f>IF(B583="","",'Motor_Meciuri'!I47)</x:f>
      </x:c>
      <x:c r="K583" s="11" t="str">
        <x:f>IF(J583&lt;&gt;"PASS","",'Motor_Meciuri'!BD47)</x:f>
      </x:c>
      <x:c r="L583" s="11" t="str">
        <x:f>IF(J583&lt;&gt;"PASS","",'Motor_Meciuri'!AU47)</x:f>
      </x:c>
      <x:c r="M583" s="10" t="str">
        <x:f>IF(NOT(AND(J583="PASS",'Calibrare_Linii'!U9="VALID")),"",1-'Distributie'!AD47)</x:f>
      </x:c>
      <x:c r="N583" s="10" t="str">
        <x:f>IF(M583="","",MAX(0.01,MIN(0.99,0.5+(M583-0.5)*'Motor_Meciuri'!BG47*'Calibrare_Linii'!D9)))</x:f>
      </x:c>
      <x:c r="O583" s="10" t="str">
        <x:f>IF(M583="","",1-M583)</x:f>
      </x:c>
      <x:c r="P583" s="10" t="str">
        <x:f>IF(OR(NOT(AND(J583="PASS",'Calibrare_Linii'!U9="VALID")),AK583=0),""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*('Istoric_Nativ'!$Q$6:$Q$405&lt;=H583))/AK583)</x:f>
      </x:c>
      <x:c r="Q583" s="10" t="str">
        <x:f>IF(OR(NOT(AND(J583="PASS",'Calibrare_Linii'!U9="VALID")),AL583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M47)+((('Istoric_Nativ'!$E$6:$E$405='Input_Meci'!E47)+('Istoric_Nativ'!$F$6:$F$405='Input_Meci'!E47))&gt;0)*('Istoric_Nativ'!$D$6:$D$405&gt;='Motor_Meciuri'!BN47))&gt;0)*('Istoric_Nativ'!$Q$6:$Q$405&lt;=H583))/AL583)</x:f>
      </x:c>
      <x:c r="R583" s="10" t="str">
        <x:f>IF(OR(NOT(AND(J583="PASS",'Calibrare_Linii'!U9="VALID")),AM583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O47)+((('Istoric_Nativ'!$E$6:$E$405='Input_Meci'!E47)+('Istoric_Nativ'!$F$6:$F$405='Input_Meci'!E47))&gt;0)*('Istoric_Nativ'!$D$6:$D$405&gt;='Motor_Meciuri'!BP47))&gt;0)*('Istoric_Nativ'!$Q$6:$Q$405&lt;=H583))/AM583)</x:f>
      </x:c>
      <x:c r="S583" s="10" t="str">
        <x:f>IF(M583="","",MAX(O583,P583,Q583,R583))</x:f>
      </x:c>
      <x:c r="T583" s="11" t="str">
        <x:f>IF(M583="","",MIN(100,S583*100*'Config_v6'!$B$44+MIN(100,L583/'Config_v6'!$B$13*100)*'Config_v6'!$B$45+(100-'Motor_Meciuri'!BF47)*'Config_v6'!$B$46+'Motor_Meciuri'!BH47*100*'Config_v6'!$B$47))</x:f>
      </x:c>
      <x:c r="U583" s="2" t="str">
        <x:f>IF(T583="","",IF(T583&lt;=20,1,IF(T583&lt;=40,2,IF(T583&lt;=60,3,IF(T583&lt;=80,4,5)))))</x:f>
      </x:c>
      <x:c r="V583" s="2" t="str">
        <x:f>IF(M583="","",MAX(0,'Motor_Meciuri'!BF47-IF(W583="OOS PENDING",'Config_v6'!$B$35,0)-IF(L583&gt;'Config_v6'!$B$12,'Config_v6'!$B$37,IF(L583&gt;'Config_v6'!$B$11,'Config_v6'!$B$36,0))))</x:f>
      </x:c>
      <x:c r="W583" s="2" t="str">
        <x:f>IF(B583="","",IF(I583&lt;&gt;"READY","NOT RELEASED",IF(NOT(AND(J583="PASS",'Calibrare_Linii'!U9="VALID")),"INVALID",IF(NOT(AND('Calibrare_Linii'!S9="VALIDATED",AND('Calibrare_Linii'!H9=C583,ISNUMBER('Calibrare_Linii'!J9),'Calibrare_Linii'!J9&lt;='Input_Meci'!G47))),"OOS PENDING",IF(S583&lt;='Calibrare_Linii'!E9,"PASS",IF(S583&lt;='Calibrare_Linii'!F9,"PENALTY","WATCH"))))))</x:f>
      </x:c>
      <x:c r="X583" s="2" t="str">
        <x:f>IF(M583="","",IF(AND(AND(J583="PASS",'Calibrare_Linii'!U9="VALID"),'Motor_Meciuri'!K47=12,'Motor_Meciuri'!L47=12,'Motor_Meciuri'!M47="NO",'Motor_Meciuri'!BL47='Motor_Meciuri'!C47,AB583&gt;='Config_v6'!$B$50,AN583&gt;='Config_v6'!$B$51,T583&lt;='Config_v6'!$B$52,L583&lt;='Config_v6'!$B$53,ISNUMBER('Calibrare_Linii'!E9),S583&lt;='Calibrare_Linii'!E9,SUM(AK583:AM583)&gt;0),"CANDIDATE","NO"))</x:f>
      </x:c>
      <x:c r="Y583" s="2" t="str">
        <x:f>IF(B583="","",IF(I583&lt;&gt;"READY","NOT RELEASED",IF(AND(X583="CANDIDATE",V583&gt;='Config_v6'!$B$51,W583="PASS",'Calibrare_Linii'!T9="VALIDATED",AND('Calibrare_Linii'!H9=C583,ISNUMBER('Calibrare_Linii'!J9),'Calibrare_Linii'!J9&lt;='Input_Meci'!G47)),"PASS",IF(X583="CANDIDATE","OOS PENDING","FAIL"))))</x:f>
      </x:c>
      <x:c r="Z583" s="2" t="str">
        <x:f>IF(B583="","",IF(I583&lt;&gt;"READY","",IF(OR(NOT(AND(J583="PASS",'Calibrare_Linii'!U9="VALID")),L583&gt;'Config_v6'!$B$13,W583="WATCH"),5,IF(Y583="PASS",1,MIN(5,MAX('Config_v6'!$B$42,U583)+IF(W583="PENALTY",1,0))))))</x:f>
      </x:c>
      <x:c r="AA583" s="2" t="str">
        <x:f>IF(B583="","",IF(I583&lt;&gt;"READY","NOT RELEASED",IF(Z583=5,"NO BET",IF(OR(AB583&lt;'Config_v6'!$B$16,V583&lt;'Config_v6'!$B$18),"WATCH",IF(Z583=1,"DEFENSIV",IF(Z583=2,"PRUDENT",IF(Z583=3,"MODERAT","RIDICAT")))))))</x:f>
      </x:c>
      <x:c r="AB583" s="10" t="str">
        <x:f>IF(N583="","",MIN(N583,1-S583))</x:f>
      </x:c>
      <x:c r="AC583" s="2" t="str">
        <x:f>IF(AD583&lt;&gt;1,"",COUNTIFS($Z$580:$Z$593,"&lt;"&amp;Z583,$AD$580:$AD$593,1)+COUNTIFS($Z$580:$Z$593,Z583,$AB$580:$AB$593,"&gt;"&amp;AB583,$AD$580:$AD$593,1)+COUNTIFS($Z$580:$Z$593,Z583,$AB$580:$AB$593,AB583,$V$580:$V$593,"&gt;"&amp;V583,$AD$580:$AD$593,1)+COUNTIFS($Z$580:Z583,Z583,$AB$580:AB583,AB583,$V$580:V583,V583,$AD$580:AD583,1))</x:f>
      </x:c>
      <x:c r="AD583" s="2" t="n">
        <x:f>IF(OR(AA583="DEFENSIV",AA583="PRUDENT",AA583="MODERAT",AA583="RIDICAT"),1,0)</x:f>
        <x:v>0</x:v>
      </x:c>
      <x:c r="AE583" s="2" t="str">
        <x:f>IF(AD583&lt;&gt;1,"NO",IF(W583="PASS","YES",IF(W583="OOS PENDING","CONDITIONAL","NO")))</x:f>
        <x:v>NO</x:v>
      </x:c>
      <x:c r="AF583" s="2" t="n">
        <x:f>IF(AND(AD583=1,AC583=1,E583="LIVE"),1,0)</x:f>
        <x:v>0</x:v>
      </x:c>
      <x:c r="AG583" s="2" t="str">
        <x:f>IF(AF583&lt;&gt;1,"",'Dashboard'!P67)</x:f>
      </x:c>
      <x:c r="AH583" s="2" t="str">
        <x:f>IF(B583="","",IF(J583&lt;&gt;"PASS",'Motor_Meciuri'!J47,IF('Calibrare_Linii'!U9&lt;&gt;"VALID","Parametri linie invalizi",IF(L583&gt;'Config_v6'!$B$13,"Dispersie peste limita",IF(W583="WATCH","Failure peste limita",IF(AB583&lt;'Config_v6'!$B$16,"P finala sub prag",IF(V583&lt;'Config_v6'!$B$18,"Confidence sub prag",IF(E583="REPLAY","Exemplu retrospectiv; exclus din Top LIVE",IF(Y583="PASS","DEFENSIV validat",IF(W583="OOS PENDING","Eligibil; calibrare linie in monitorizare","Eligibil"))))))))))</x:f>
      </x:c>
      <x:c r="AI583" s="2" t="str">
        <x:f>IF(B583="","",'Calibrare_Linii'!V9)</x:f>
      </x:c>
      <x:c r="AJ583" s="2" t="str">
        <x:f>IF(B583="","",IF(AND('Calibrare_Linii'!T9="VALIDATED",AND('Calibrare_Linii'!H9=C583,ISNUMBER('Calibrare_Linii'!J9),'Calibrare_Linii'!J9&lt;='Input_Meci'!G47)),"DEFENSIVE VALIDATED",IF(AND('Calibrare_Linii'!S9="VALIDATED",AND('Calibrare_Linii'!H9=C583,ISNUMBER('Calibrare_Linii'!J9),'Calibrare_Linii'!J9&lt;='Input_Meci'!G47)),"TAIL VALIDATED","OOS PENDING")))</x:f>
      </x:c>
      <x:c r="AK583" s="2" t="n">
        <x:f>IF(J583&lt;&gt;"PASS",0,'Motor_Meciuri'!BR47)</x:f>
        <x:v>0</x:v>
      </x:c>
      <x:c r="AL583" s="2" t="n">
        <x:f>IF(J583&lt;&gt;"PASS",0,'Motor_Meciuri'!BS47)</x:f>
        <x:v>0</x:v>
      </x:c>
      <x:c r="AM583" s="2" t="n">
        <x:f>IF(J583&lt;&gt;"PASS",0,'Motor_Meciuri'!BT47)</x:f>
        <x:v>0</x:v>
      </x:c>
      <x:c r="AN583" s="2" t="str">
        <x:f>IF(M583="","",MAX(0,'Motor_Meciuri'!BF47-IF(L583&gt;'Config_v6'!$B$12,'Config_v6'!$B$37,IF(L583&gt;'Config_v6'!$B$11,'Config_v6'!$B$36,0))))</x:f>
      </x:c>
    </x:row>
    <x:row r="584" ht="21" customHeight="1">
      <x:c r="A584" s="2" t="n">
        <x:v>42</x:v>
      </x:c>
      <x:c r="B584" s="2" t="str">
        <x:f>IF('Motor_Meciuri'!A47="","",'Motor_Meciuri'!A47)</x:f>
      </x:c>
      <x:c r="C584" s="2" t="str">
        <x:f>IF(B584="","",'Motor_Meciuri'!B47)</x:f>
      </x:c>
      <x:c r="D584" s="2" t="str">
        <x:f>IF(B584="","",'Motor_Meciuri'!D47)</x:f>
      </x:c>
      <x:c r="E584" s="2" t="str">
        <x:f>IF(B584="","",'Motor_Meciuri'!E47)</x:f>
      </x:c>
      <x:c r="F584" s="2" t="str">
        <x:v>O7,5</x:v>
      </x:c>
      <x:c r="G584" s="2" t="str">
        <x:v>OVER</x:v>
      </x:c>
      <x:c r="H584" s="2" t="n">
        <x:v>7</x:v>
      </x:c>
      <x:c r="I584" s="2" t="str">
        <x:f>IF(B584="","",'Motor_Meciuri'!H47)</x:f>
      </x:c>
      <x:c r="J584" s="2" t="str">
        <x:f>IF(B584="","",'Motor_Meciuri'!I47)</x:f>
      </x:c>
      <x:c r="K584" s="11" t="str">
        <x:f>IF(J584&lt;&gt;"PASS","",'Motor_Meciuri'!BD47)</x:f>
      </x:c>
      <x:c r="L584" s="11" t="str">
        <x:f>IF(J584&lt;&gt;"PASS","",'Motor_Meciuri'!AU47)</x:f>
      </x:c>
      <x:c r="M584" s="10" t="str">
        <x:f>IF(NOT(AND(J584="PASS",'Calibrare_Linii'!U10="VALID")),"",1-'Distributie'!AE47)</x:f>
      </x:c>
      <x:c r="N584" s="10" t="str">
        <x:f>IF(M584="","",MAX(0.01,MIN(0.99,0.5+(M584-0.5)*'Motor_Meciuri'!BG47*'Calibrare_Linii'!D10)))</x:f>
      </x:c>
      <x:c r="O584" s="10" t="str">
        <x:f>IF(M584="","",1-M584)</x:f>
      </x:c>
      <x:c r="P584" s="10" t="str">
        <x:f>IF(OR(NOT(AND(J584="PASS",'Calibrare_Linii'!U10="VALID")),AK584=0),""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*('Istoric_Nativ'!$Q$6:$Q$405&lt;=H584))/AK584)</x:f>
      </x:c>
      <x:c r="Q584" s="10" t="str">
        <x:f>IF(OR(NOT(AND(J584="PASS",'Calibrare_Linii'!U10="VALID")),AL584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M47)+((('Istoric_Nativ'!$E$6:$E$405='Input_Meci'!E47)+('Istoric_Nativ'!$F$6:$F$405='Input_Meci'!E47))&gt;0)*('Istoric_Nativ'!$D$6:$D$405&gt;='Motor_Meciuri'!BN47))&gt;0)*('Istoric_Nativ'!$Q$6:$Q$405&lt;=H584))/AL584)</x:f>
      </x:c>
      <x:c r="R584" s="10" t="str">
        <x:f>IF(OR(NOT(AND(J584="PASS",'Calibrare_Linii'!U10="VALID")),AM584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O47)+((('Istoric_Nativ'!$E$6:$E$405='Input_Meci'!E47)+('Istoric_Nativ'!$F$6:$F$405='Input_Meci'!E47))&gt;0)*('Istoric_Nativ'!$D$6:$D$405&gt;='Motor_Meciuri'!BP47))&gt;0)*('Istoric_Nativ'!$Q$6:$Q$405&lt;=H584))/AM584)</x:f>
      </x:c>
      <x:c r="S584" s="10" t="str">
        <x:f>IF(M584="","",MAX(O584,P584,Q584,R584))</x:f>
      </x:c>
      <x:c r="T584" s="11" t="str">
        <x:f>IF(M584="","",MIN(100,S584*100*'Config_v6'!$B$44+MIN(100,L584/'Config_v6'!$B$13*100)*'Config_v6'!$B$45+(100-'Motor_Meciuri'!BF47)*'Config_v6'!$B$46+'Motor_Meciuri'!BH47*100*'Config_v6'!$B$47))</x:f>
      </x:c>
      <x:c r="U584" s="2" t="str">
        <x:f>IF(T584="","",IF(T584&lt;=20,1,IF(T584&lt;=40,2,IF(T584&lt;=60,3,IF(T584&lt;=80,4,5)))))</x:f>
      </x:c>
      <x:c r="V584" s="2" t="str">
        <x:f>IF(M584="","",MAX(0,'Motor_Meciuri'!BF47-IF(W584="OOS PENDING",'Config_v6'!$B$35,0)-IF(L584&gt;'Config_v6'!$B$12,'Config_v6'!$B$37,IF(L584&gt;'Config_v6'!$B$11,'Config_v6'!$B$36,0))))</x:f>
      </x:c>
      <x:c r="W584" s="2" t="str">
        <x:f>IF(B584="","",IF(I584&lt;&gt;"READY","NOT RELEASED",IF(NOT(AND(J584="PASS",'Calibrare_Linii'!U10="VALID")),"INVALID",IF(NOT(AND('Calibrare_Linii'!S10="VALIDATED",AND('Calibrare_Linii'!H10=C584,ISNUMBER('Calibrare_Linii'!J10),'Calibrare_Linii'!J10&lt;='Input_Meci'!G47))),"OOS PENDING",IF(S584&lt;='Calibrare_Linii'!E10,"PASS",IF(S584&lt;='Calibrare_Linii'!F10,"PENALTY","WATCH"))))))</x:f>
      </x:c>
      <x:c r="X584" s="2" t="str">
        <x:f>IF(M584="","",IF(AND(AND(J584="PASS",'Calibrare_Linii'!U10="VALID"),'Motor_Meciuri'!K47=12,'Motor_Meciuri'!L47=12,'Motor_Meciuri'!M47="NO",'Motor_Meciuri'!BL47='Motor_Meciuri'!C47,AB584&gt;='Config_v6'!$B$50,AN584&gt;='Config_v6'!$B$51,T584&lt;='Config_v6'!$B$52,L584&lt;='Config_v6'!$B$53,ISNUMBER('Calibrare_Linii'!E10),S584&lt;='Calibrare_Linii'!E10,SUM(AK584:AM584)&gt;0),"CANDIDATE","NO"))</x:f>
      </x:c>
      <x:c r="Y584" s="2" t="str">
        <x:f>IF(B584="","",IF(I584&lt;&gt;"READY","NOT RELEASED",IF(AND(X584="CANDIDATE",V584&gt;='Config_v6'!$B$51,W584="PASS",'Calibrare_Linii'!T10="VALIDATED",AND('Calibrare_Linii'!H10=C584,ISNUMBER('Calibrare_Linii'!J10),'Calibrare_Linii'!J10&lt;='Input_Meci'!G47)),"PASS",IF(X584="CANDIDATE","OOS PENDING","FAIL"))))</x:f>
      </x:c>
      <x:c r="Z584" s="2" t="str">
        <x:f>IF(B584="","",IF(I584&lt;&gt;"READY","",IF(OR(NOT(AND(J584="PASS",'Calibrare_Linii'!U10="VALID")),L584&gt;'Config_v6'!$B$13,W584="WATCH"),5,IF(Y584="PASS",1,MIN(5,MAX('Config_v6'!$B$42,U584)+IF(W584="PENALTY",1,0))))))</x:f>
      </x:c>
      <x:c r="AA584" s="2" t="str">
        <x:f>IF(B584="","",IF(I584&lt;&gt;"READY","NOT RELEASED",IF(Z584=5,"NO BET",IF(OR(AB584&lt;'Config_v6'!$B$16,V584&lt;'Config_v6'!$B$18),"WATCH",IF(Z584=1,"DEFENSIV",IF(Z584=2,"PRUDENT",IF(Z584=3,"MODERAT","RIDICAT")))))))</x:f>
      </x:c>
      <x:c r="AB584" s="10" t="str">
        <x:f>IF(N584="","",MIN(N584,1-S584))</x:f>
      </x:c>
      <x:c r="AC584" s="2" t="str">
        <x:f>IF(AD584&lt;&gt;1,"",COUNTIFS($Z$580:$Z$593,"&lt;"&amp;Z584,$AD$580:$AD$593,1)+COUNTIFS($Z$580:$Z$593,Z584,$AB$580:$AB$593,"&gt;"&amp;AB584,$AD$580:$AD$593,1)+COUNTIFS($Z$580:$Z$593,Z584,$AB$580:$AB$593,AB584,$V$580:$V$593,"&gt;"&amp;V584,$AD$580:$AD$593,1)+COUNTIFS($Z$580:Z584,Z584,$AB$580:AB584,AB584,$V$580:V584,V584,$AD$580:AD584,1))</x:f>
      </x:c>
      <x:c r="AD584" s="2" t="n">
        <x:f>IF(OR(AA584="DEFENSIV",AA584="PRUDENT",AA584="MODERAT",AA584="RIDICAT"),1,0)</x:f>
        <x:v>0</x:v>
      </x:c>
      <x:c r="AE584" s="2" t="str">
        <x:f>IF(AD584&lt;&gt;1,"NO",IF(W584="PASS","YES",IF(W584="OOS PENDING","CONDITIONAL","NO")))</x:f>
        <x:v>NO</x:v>
      </x:c>
      <x:c r="AF584" s="2" t="n">
        <x:f>IF(AND(AD584=1,AC584=1,E584="LIVE"),1,0)</x:f>
        <x:v>0</x:v>
      </x:c>
      <x:c r="AG584" s="2" t="str">
        <x:f>IF(AF584&lt;&gt;1,"",'Dashboard'!P67)</x:f>
      </x:c>
      <x:c r="AH584" s="2" t="str">
        <x:f>IF(B584="","",IF(J584&lt;&gt;"PASS",'Motor_Meciuri'!J47,IF('Calibrare_Linii'!U10&lt;&gt;"VALID","Parametri linie invalizi",IF(L584&gt;'Config_v6'!$B$13,"Dispersie peste limita",IF(W584="WATCH","Failure peste limita",IF(AB584&lt;'Config_v6'!$B$16,"P finala sub prag",IF(V584&lt;'Config_v6'!$B$18,"Confidence sub prag",IF(E584="REPLAY","Exemplu retrospectiv; exclus din Top LIVE",IF(Y584="PASS","DEFENSIV validat",IF(W584="OOS PENDING","Eligibil; calibrare linie in monitorizare","Eligibil"))))))))))</x:f>
      </x:c>
      <x:c r="AI584" s="2" t="str">
        <x:f>IF(B584="","",'Calibrare_Linii'!V10)</x:f>
      </x:c>
      <x:c r="AJ584" s="2" t="str">
        <x:f>IF(B584="","",IF(AND('Calibrare_Linii'!T10="VALIDATED",AND('Calibrare_Linii'!H10=C584,ISNUMBER('Calibrare_Linii'!J10),'Calibrare_Linii'!J10&lt;='Input_Meci'!G47)),"DEFENSIVE VALIDATED",IF(AND('Calibrare_Linii'!S10="VALIDATED",AND('Calibrare_Linii'!H10=C584,ISNUMBER('Calibrare_Linii'!J10),'Calibrare_Linii'!J10&lt;='Input_Meci'!G47)),"TAIL VALIDATED","OOS PENDING")))</x:f>
      </x:c>
      <x:c r="AK584" s="2" t="n">
        <x:f>IF(J584&lt;&gt;"PASS",0,'Motor_Meciuri'!BR47)</x:f>
        <x:v>0</x:v>
      </x:c>
      <x:c r="AL584" s="2" t="n">
        <x:f>IF(J584&lt;&gt;"PASS",0,'Motor_Meciuri'!BS47)</x:f>
        <x:v>0</x:v>
      </x:c>
      <x:c r="AM584" s="2" t="n">
        <x:f>IF(J584&lt;&gt;"PASS",0,'Motor_Meciuri'!BT47)</x:f>
        <x:v>0</x:v>
      </x:c>
      <x:c r="AN584" s="2" t="str">
        <x:f>IF(M584="","",MAX(0,'Motor_Meciuri'!BF47-IF(L584&gt;'Config_v6'!$B$12,'Config_v6'!$B$37,IF(L584&gt;'Config_v6'!$B$11,'Config_v6'!$B$36,0))))</x:f>
      </x:c>
    </x:row>
    <x:row r="585" ht="21" customHeight="1">
      <x:c r="A585" s="2" t="n">
        <x:v>42</x:v>
      </x:c>
      <x:c r="B585" s="2" t="str">
        <x:f>IF('Motor_Meciuri'!A47="","",'Motor_Meciuri'!A47)</x:f>
      </x:c>
      <x:c r="C585" s="2" t="str">
        <x:f>IF(B585="","",'Motor_Meciuri'!B47)</x:f>
      </x:c>
      <x:c r="D585" s="2" t="str">
        <x:f>IF(B585="","",'Motor_Meciuri'!D47)</x:f>
      </x:c>
      <x:c r="E585" s="2" t="str">
        <x:f>IF(B585="","",'Motor_Meciuri'!E47)</x:f>
      </x:c>
      <x:c r="F585" s="2" t="str">
        <x:v>O8,5</x:v>
      </x:c>
      <x:c r="G585" s="2" t="str">
        <x:v>OVER</x:v>
      </x:c>
      <x:c r="H585" s="2" t="n">
        <x:v>8</x:v>
      </x:c>
      <x:c r="I585" s="2" t="str">
        <x:f>IF(B585="","",'Motor_Meciuri'!H47)</x:f>
      </x:c>
      <x:c r="J585" s="2" t="str">
        <x:f>IF(B585="","",'Motor_Meciuri'!I47)</x:f>
      </x:c>
      <x:c r="K585" s="11" t="str">
        <x:f>IF(J585&lt;&gt;"PASS","",'Motor_Meciuri'!BD47)</x:f>
      </x:c>
      <x:c r="L585" s="11" t="str">
        <x:f>IF(J585&lt;&gt;"PASS","",'Motor_Meciuri'!AU47)</x:f>
      </x:c>
      <x:c r="M585" s="10" t="str">
        <x:f>IF(NOT(AND(J585="PASS",'Calibrare_Linii'!U11="VALID")),"",1-'Distributie'!AF47)</x:f>
      </x:c>
      <x:c r="N585" s="10" t="str">
        <x:f>IF(M585="","",MAX(0.01,MIN(0.99,0.5+(M585-0.5)*'Motor_Meciuri'!BG47*'Calibrare_Linii'!D11)))</x:f>
      </x:c>
      <x:c r="O585" s="10" t="str">
        <x:f>IF(M585="","",1-M585)</x:f>
      </x:c>
      <x:c r="P585" s="10" t="str">
        <x:f>IF(OR(NOT(AND(J585="PASS",'Calibrare_Linii'!U11="VALID")),AK585=0),""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*('Istoric_Nativ'!$Q$6:$Q$405&lt;=H585))/AK585)</x:f>
      </x:c>
      <x:c r="Q585" s="10" t="str">
        <x:f>IF(OR(NOT(AND(J585="PASS",'Calibrare_Linii'!U11="VALID")),AL585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M47)+((('Istoric_Nativ'!$E$6:$E$405='Input_Meci'!E47)+('Istoric_Nativ'!$F$6:$F$405='Input_Meci'!E47))&gt;0)*('Istoric_Nativ'!$D$6:$D$405&gt;='Motor_Meciuri'!BN47))&gt;0)*('Istoric_Nativ'!$Q$6:$Q$405&lt;=H585))/AL585)</x:f>
      </x:c>
      <x:c r="R585" s="10" t="str">
        <x:f>IF(OR(NOT(AND(J585="PASS",'Calibrare_Linii'!U11="VALID")),AM585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O47)+((('Istoric_Nativ'!$E$6:$E$405='Input_Meci'!E47)+('Istoric_Nativ'!$F$6:$F$405='Input_Meci'!E47))&gt;0)*('Istoric_Nativ'!$D$6:$D$405&gt;='Motor_Meciuri'!BP47))&gt;0)*('Istoric_Nativ'!$Q$6:$Q$405&lt;=H585))/AM585)</x:f>
      </x:c>
      <x:c r="S585" s="10" t="str">
        <x:f>IF(M585="","",MAX(O585,P585,Q585,R585))</x:f>
      </x:c>
      <x:c r="T585" s="11" t="str">
        <x:f>IF(M585="","",MIN(100,S585*100*'Config_v6'!$B$44+MIN(100,L585/'Config_v6'!$B$13*100)*'Config_v6'!$B$45+(100-'Motor_Meciuri'!BF47)*'Config_v6'!$B$46+'Motor_Meciuri'!BH47*100*'Config_v6'!$B$47))</x:f>
      </x:c>
      <x:c r="U585" s="2" t="str">
        <x:f>IF(T585="","",IF(T585&lt;=20,1,IF(T585&lt;=40,2,IF(T585&lt;=60,3,IF(T585&lt;=80,4,5)))))</x:f>
      </x:c>
      <x:c r="V585" s="2" t="str">
        <x:f>IF(M585="","",MAX(0,'Motor_Meciuri'!BF47-IF(W585="OOS PENDING",'Config_v6'!$B$35,0)-IF(L585&gt;'Config_v6'!$B$12,'Config_v6'!$B$37,IF(L585&gt;'Config_v6'!$B$11,'Config_v6'!$B$36,0))))</x:f>
      </x:c>
      <x:c r="W585" s="2" t="str">
        <x:f>IF(B585="","",IF(I585&lt;&gt;"READY","NOT RELEASED",IF(NOT(AND(J585="PASS",'Calibrare_Linii'!U11="VALID")),"INVALID",IF(NOT(AND('Calibrare_Linii'!S11="VALIDATED",AND('Calibrare_Linii'!H11=C585,ISNUMBER('Calibrare_Linii'!J11),'Calibrare_Linii'!J11&lt;='Input_Meci'!G47))),"OOS PENDING",IF(S585&lt;='Calibrare_Linii'!E11,"PASS",IF(S585&lt;='Calibrare_Linii'!F11,"PENALTY","WATCH"))))))</x:f>
      </x:c>
      <x:c r="X585" s="2" t="str">
        <x:f>IF(M585="","",IF(AND(AND(J585="PASS",'Calibrare_Linii'!U11="VALID"),'Motor_Meciuri'!K47=12,'Motor_Meciuri'!L47=12,'Motor_Meciuri'!M47="NO",'Motor_Meciuri'!BL47='Motor_Meciuri'!C47,AB585&gt;='Config_v6'!$B$50,AN585&gt;='Config_v6'!$B$51,T585&lt;='Config_v6'!$B$52,L585&lt;='Config_v6'!$B$53,ISNUMBER('Calibrare_Linii'!E11),S585&lt;='Calibrare_Linii'!E11,SUM(AK585:AM585)&gt;0),"CANDIDATE","NO"))</x:f>
      </x:c>
      <x:c r="Y585" s="2" t="str">
        <x:f>IF(B585="","",IF(I585&lt;&gt;"READY","NOT RELEASED",IF(AND(X585="CANDIDATE",V585&gt;='Config_v6'!$B$51,W585="PASS",'Calibrare_Linii'!T11="VALIDATED",AND('Calibrare_Linii'!H11=C585,ISNUMBER('Calibrare_Linii'!J11),'Calibrare_Linii'!J11&lt;='Input_Meci'!G47)),"PASS",IF(X585="CANDIDATE","OOS PENDING","FAIL"))))</x:f>
      </x:c>
      <x:c r="Z585" s="2" t="str">
        <x:f>IF(B585="","",IF(I585&lt;&gt;"READY","",IF(OR(NOT(AND(J585="PASS",'Calibrare_Linii'!U11="VALID")),L585&gt;'Config_v6'!$B$13,W585="WATCH"),5,IF(Y585="PASS",1,MIN(5,MAX('Config_v6'!$B$42,U585)+IF(W585="PENALTY",1,0))))))</x:f>
      </x:c>
      <x:c r="AA585" s="2" t="str">
        <x:f>IF(B585="","",IF(I585&lt;&gt;"READY","NOT RELEASED",IF(Z585=5,"NO BET",IF(OR(AB585&lt;'Config_v6'!$B$16,V585&lt;'Config_v6'!$B$18),"WATCH",IF(Z585=1,"DEFENSIV",IF(Z585=2,"PRUDENT",IF(Z585=3,"MODERAT","RIDICAT")))))))</x:f>
      </x:c>
      <x:c r="AB585" s="10" t="str">
        <x:f>IF(N585="","",MIN(N585,1-S585))</x:f>
      </x:c>
      <x:c r="AC585" s="2" t="str">
        <x:f>IF(AD585&lt;&gt;1,"",COUNTIFS($Z$580:$Z$593,"&lt;"&amp;Z585,$AD$580:$AD$593,1)+COUNTIFS($Z$580:$Z$593,Z585,$AB$580:$AB$593,"&gt;"&amp;AB585,$AD$580:$AD$593,1)+COUNTIFS($Z$580:$Z$593,Z585,$AB$580:$AB$593,AB585,$V$580:$V$593,"&gt;"&amp;V585,$AD$580:$AD$593,1)+COUNTIFS($Z$580:Z585,Z585,$AB$580:AB585,AB585,$V$580:V585,V585,$AD$580:AD585,1))</x:f>
      </x:c>
      <x:c r="AD585" s="2" t="n">
        <x:f>IF(OR(AA585="DEFENSIV",AA585="PRUDENT",AA585="MODERAT",AA585="RIDICAT"),1,0)</x:f>
        <x:v>0</x:v>
      </x:c>
      <x:c r="AE585" s="2" t="str">
        <x:f>IF(AD585&lt;&gt;1,"NO",IF(W585="PASS","YES",IF(W585="OOS PENDING","CONDITIONAL","NO")))</x:f>
        <x:v>NO</x:v>
      </x:c>
      <x:c r="AF585" s="2" t="n">
        <x:f>IF(AND(AD585=1,AC585=1,E585="LIVE"),1,0)</x:f>
        <x:v>0</x:v>
      </x:c>
      <x:c r="AG585" s="2" t="str">
        <x:f>IF(AF585&lt;&gt;1,"",'Dashboard'!P67)</x:f>
      </x:c>
      <x:c r="AH585" s="2" t="str">
        <x:f>IF(B585="","",IF(J585&lt;&gt;"PASS",'Motor_Meciuri'!J47,IF('Calibrare_Linii'!U11&lt;&gt;"VALID","Parametri linie invalizi",IF(L585&gt;'Config_v6'!$B$13,"Dispersie peste limita",IF(W585="WATCH","Failure peste limita",IF(AB585&lt;'Config_v6'!$B$16,"P finala sub prag",IF(V585&lt;'Config_v6'!$B$18,"Confidence sub prag",IF(E585="REPLAY","Exemplu retrospectiv; exclus din Top LIVE",IF(Y585="PASS","DEFENSIV validat",IF(W585="OOS PENDING","Eligibil; calibrare linie in monitorizare","Eligibil"))))))))))</x:f>
      </x:c>
      <x:c r="AI585" s="2" t="str">
        <x:f>IF(B585="","",'Calibrare_Linii'!V11)</x:f>
      </x:c>
      <x:c r="AJ585" s="2" t="str">
        <x:f>IF(B585="","",IF(AND('Calibrare_Linii'!T11="VALIDATED",AND('Calibrare_Linii'!H11=C585,ISNUMBER('Calibrare_Linii'!J11),'Calibrare_Linii'!J11&lt;='Input_Meci'!G47)),"DEFENSIVE VALIDATED",IF(AND('Calibrare_Linii'!S11="VALIDATED",AND('Calibrare_Linii'!H11=C585,ISNUMBER('Calibrare_Linii'!J11),'Calibrare_Linii'!J11&lt;='Input_Meci'!G47)),"TAIL VALIDATED","OOS PENDING")))</x:f>
      </x:c>
      <x:c r="AK585" s="2" t="n">
        <x:f>IF(J585&lt;&gt;"PASS",0,'Motor_Meciuri'!BR47)</x:f>
        <x:v>0</x:v>
      </x:c>
      <x:c r="AL585" s="2" t="n">
        <x:f>IF(J585&lt;&gt;"PASS",0,'Motor_Meciuri'!BS47)</x:f>
        <x:v>0</x:v>
      </x:c>
      <x:c r="AM585" s="2" t="n">
        <x:f>IF(J585&lt;&gt;"PASS",0,'Motor_Meciuri'!BT47)</x:f>
        <x:v>0</x:v>
      </x:c>
      <x:c r="AN585" s="2" t="str">
        <x:f>IF(M585="","",MAX(0,'Motor_Meciuri'!BF47-IF(L585&gt;'Config_v6'!$B$12,'Config_v6'!$B$37,IF(L585&gt;'Config_v6'!$B$11,'Config_v6'!$B$36,0))))</x:f>
      </x:c>
    </x:row>
    <x:row r="586" ht="21" customHeight="1">
      <x:c r="A586" s="2" t="n">
        <x:v>42</x:v>
      </x:c>
      <x:c r="B586" s="2" t="str">
        <x:f>IF('Motor_Meciuri'!A47="","",'Motor_Meciuri'!A47)</x:f>
      </x:c>
      <x:c r="C586" s="2" t="str">
        <x:f>IF(B586="","",'Motor_Meciuri'!B47)</x:f>
      </x:c>
      <x:c r="D586" s="2" t="str">
        <x:f>IF(B586="","",'Motor_Meciuri'!D47)</x:f>
      </x:c>
      <x:c r="E586" s="2" t="str">
        <x:f>IF(B586="","",'Motor_Meciuri'!E47)</x:f>
      </x:c>
      <x:c r="F586" s="2" t="str">
        <x:v>U10,5</x:v>
      </x:c>
      <x:c r="G586" s="2" t="str">
        <x:v>UNDER</x:v>
      </x:c>
      <x:c r="H586" s="2" t="n">
        <x:v>10</x:v>
      </x:c>
      <x:c r="I586" s="2" t="str">
        <x:f>IF(B586="","",'Motor_Meciuri'!H47)</x:f>
      </x:c>
      <x:c r="J586" s="2" t="str">
        <x:f>IF(B586="","",'Motor_Meciuri'!I47)</x:f>
      </x:c>
      <x:c r="K586" s="11" t="str">
        <x:f>IF(J586&lt;&gt;"PASS","",'Motor_Meciuri'!BD47)</x:f>
      </x:c>
      <x:c r="L586" s="11" t="str">
        <x:f>IF(J586&lt;&gt;"PASS","",'Motor_Meciuri'!AU47)</x:f>
      </x:c>
      <x:c r="M586" s="10" t="str">
        <x:f>IF(NOT(AND(J586="PASS",'Calibrare_Linii'!U12="VALID")),"",'Distributie'!AH47)</x:f>
      </x:c>
      <x:c r="N586" s="10" t="str">
        <x:f>IF(M586="","",MAX(0.01,MIN(0.99,0.5+(M586-0.5)*'Motor_Meciuri'!BG47*'Calibrare_Linii'!D12)))</x:f>
      </x:c>
      <x:c r="O586" s="10" t="str">
        <x:f>IF(M586="","",1-M586)</x:f>
      </x:c>
      <x:c r="P586" s="10" t="str">
        <x:f>IF(OR(NOT(AND(J586="PASS",'Calibrare_Linii'!U12="VALID")),AK586=0),""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*('Istoric_Nativ'!$Q$6:$Q$405&gt;H586))/AK586)</x:f>
      </x:c>
      <x:c r="Q586" s="10" t="str">
        <x:f>IF(OR(NOT(AND(J586="PASS",'Calibrare_Linii'!U12="VALID")),AL586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M47)+((('Istoric_Nativ'!$E$6:$E$405='Input_Meci'!E47)+('Istoric_Nativ'!$F$6:$F$405='Input_Meci'!E47))&gt;0)*('Istoric_Nativ'!$D$6:$D$405&gt;='Motor_Meciuri'!BN47))&gt;0)*('Istoric_Nativ'!$Q$6:$Q$405&gt;H586))/AL586)</x:f>
      </x:c>
      <x:c r="R586" s="10" t="str">
        <x:f>IF(OR(NOT(AND(J586="PASS",'Calibrare_Linii'!U12="VALID")),AM586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O47)+((('Istoric_Nativ'!$E$6:$E$405='Input_Meci'!E47)+('Istoric_Nativ'!$F$6:$F$405='Input_Meci'!E47))&gt;0)*('Istoric_Nativ'!$D$6:$D$405&gt;='Motor_Meciuri'!BP47))&gt;0)*('Istoric_Nativ'!$Q$6:$Q$405&gt;H586))/AM586)</x:f>
      </x:c>
      <x:c r="S586" s="10" t="str">
        <x:f>IF(M586="","",MAX(O586,P586,Q586,R586))</x:f>
      </x:c>
      <x:c r="T586" s="11" t="str">
        <x:f>IF(M586="","",MIN(100,S586*100*'Config_v6'!$B$44+MIN(100,L586/'Config_v6'!$B$13*100)*'Config_v6'!$B$45+(100-'Motor_Meciuri'!BF47)*'Config_v6'!$B$46+'Motor_Meciuri'!BH47*100*'Config_v6'!$B$47))</x:f>
      </x:c>
      <x:c r="U586" s="2" t="str">
        <x:f>IF(T586="","",IF(T586&lt;=20,1,IF(T586&lt;=40,2,IF(T586&lt;=60,3,IF(T586&lt;=80,4,5)))))</x:f>
      </x:c>
      <x:c r="V586" s="2" t="str">
        <x:f>IF(M586="","",MAX(0,'Motor_Meciuri'!BF47-IF(W586="OOS PENDING",'Config_v6'!$B$35,0)-IF(L586&gt;'Config_v6'!$B$12,'Config_v6'!$B$37,IF(L586&gt;'Config_v6'!$B$11,'Config_v6'!$B$36,0))))</x:f>
      </x:c>
      <x:c r="W586" s="2" t="str">
        <x:f>IF(B586="","",IF(I586&lt;&gt;"READY","NOT RELEASED",IF(NOT(AND(J586="PASS",'Calibrare_Linii'!U12="VALID")),"INVALID",IF(NOT(AND('Calibrare_Linii'!S12="VALIDATED",AND('Calibrare_Linii'!H12=C586,ISNUMBER('Calibrare_Linii'!J12),'Calibrare_Linii'!J12&lt;='Input_Meci'!G47))),"OOS PENDING",IF(S586&lt;='Calibrare_Linii'!E12,"PASS",IF(S586&lt;='Calibrare_Linii'!F12,"PENALTY","WATCH"))))))</x:f>
      </x:c>
      <x:c r="X586" s="2" t="str">
        <x:f>IF(M586="","",IF(AND(AND(J586="PASS",'Calibrare_Linii'!U12="VALID"),'Motor_Meciuri'!K47=12,'Motor_Meciuri'!L47=12,'Motor_Meciuri'!M47="NO",'Motor_Meciuri'!BL47='Motor_Meciuri'!C47,AB586&gt;='Config_v6'!$B$50,AN586&gt;='Config_v6'!$B$51,T586&lt;='Config_v6'!$B$52,L586&lt;='Config_v6'!$B$53,ISNUMBER('Calibrare_Linii'!E12),S586&lt;='Calibrare_Linii'!E12,SUM(AK586:AM586)&gt;0),"CANDIDATE","NO"))</x:f>
      </x:c>
      <x:c r="Y586" s="2" t="str">
        <x:f>IF(B586="","",IF(I586&lt;&gt;"READY","NOT RELEASED",IF(AND(X586="CANDIDATE",V586&gt;='Config_v6'!$B$51,W586="PASS",'Calibrare_Linii'!T12="VALIDATED",AND('Calibrare_Linii'!H12=C586,ISNUMBER('Calibrare_Linii'!J12),'Calibrare_Linii'!J12&lt;='Input_Meci'!G47)),"PASS",IF(X586="CANDIDATE","OOS PENDING","FAIL"))))</x:f>
      </x:c>
      <x:c r="Z586" s="2" t="str">
        <x:f>IF(B586="","",IF(I586&lt;&gt;"READY","",IF(OR(NOT(AND(J586="PASS",'Calibrare_Linii'!U12="VALID")),L586&gt;'Config_v6'!$B$13,W586="WATCH"),5,IF(Y586="PASS",1,MIN(5,MAX('Config_v6'!$B$42,U586)+IF(W586="PENALTY",1,0))))))</x:f>
      </x:c>
      <x:c r="AA586" s="2" t="str">
        <x:f>IF(B586="","",IF(I586&lt;&gt;"READY","NOT RELEASED",IF(Z586=5,"NO BET",IF(OR(AB586&lt;'Config_v6'!$B$16,V586&lt;'Config_v6'!$B$18),"WATCH",IF(Z586=1,"DEFENSIV",IF(Z586=2,"PRUDENT",IF(Z586=3,"MODERAT","RIDICAT")))))))</x:f>
      </x:c>
      <x:c r="AB586" s="10" t="str">
        <x:f>IF(N586="","",MIN(N586,1-S586))</x:f>
      </x:c>
      <x:c r="AC586" s="2" t="str">
        <x:f>IF(AD586&lt;&gt;1,"",COUNTIFS($Z$580:$Z$593,"&lt;"&amp;Z586,$AD$580:$AD$593,1)+COUNTIFS($Z$580:$Z$593,Z586,$AB$580:$AB$593,"&gt;"&amp;AB586,$AD$580:$AD$593,1)+COUNTIFS($Z$580:$Z$593,Z586,$AB$580:$AB$593,AB586,$V$580:$V$593,"&gt;"&amp;V586,$AD$580:$AD$593,1)+COUNTIFS($Z$580:Z586,Z586,$AB$580:AB586,AB586,$V$580:V586,V586,$AD$580:AD586,1))</x:f>
      </x:c>
      <x:c r="AD586" s="2" t="n">
        <x:f>IF(OR(AA586="DEFENSIV",AA586="PRUDENT",AA586="MODERAT",AA586="RIDICAT"),1,0)</x:f>
        <x:v>0</x:v>
      </x:c>
      <x:c r="AE586" s="2" t="str">
        <x:f>IF(AD586&lt;&gt;1,"NO",IF(W586="PASS","YES",IF(W586="OOS PENDING","CONDITIONAL","NO")))</x:f>
        <x:v>NO</x:v>
      </x:c>
      <x:c r="AF586" s="2" t="n">
        <x:f>IF(AND(AD586=1,AC586=1,E586="LIVE"),1,0)</x:f>
        <x:v>0</x:v>
      </x:c>
      <x:c r="AG586" s="2" t="str">
        <x:f>IF(AF586&lt;&gt;1,"",'Dashboard'!P67)</x:f>
      </x:c>
      <x:c r="AH586" s="2" t="str">
        <x:f>IF(B586="","",IF(J586&lt;&gt;"PASS",'Motor_Meciuri'!J47,IF('Calibrare_Linii'!U12&lt;&gt;"VALID","Parametri linie invalizi",IF(L586&gt;'Config_v6'!$B$13,"Dispersie peste limita",IF(W586="WATCH","Failure peste limita",IF(AB586&lt;'Config_v6'!$B$16,"P finala sub prag",IF(V586&lt;'Config_v6'!$B$18,"Confidence sub prag",IF(E586="REPLAY","Exemplu retrospectiv; exclus din Top LIVE",IF(Y586="PASS","DEFENSIV validat",IF(W586="OOS PENDING","Eligibil; calibrare linie in monitorizare","Eligibil"))))))))))</x:f>
      </x:c>
      <x:c r="AI586" s="2" t="str">
        <x:f>IF(B586="","",'Calibrare_Linii'!V12)</x:f>
      </x:c>
      <x:c r="AJ586" s="2" t="str">
        <x:f>IF(B586="","",IF(AND('Calibrare_Linii'!T12="VALIDATED",AND('Calibrare_Linii'!H12=C586,ISNUMBER('Calibrare_Linii'!J12),'Calibrare_Linii'!J12&lt;='Input_Meci'!G47)),"DEFENSIVE VALIDATED",IF(AND('Calibrare_Linii'!S12="VALIDATED",AND('Calibrare_Linii'!H12=C586,ISNUMBER('Calibrare_Linii'!J12),'Calibrare_Linii'!J12&lt;='Input_Meci'!G47)),"TAIL VALIDATED","OOS PENDING")))</x:f>
      </x:c>
      <x:c r="AK586" s="2" t="n">
        <x:f>IF(J586&lt;&gt;"PASS",0,'Motor_Meciuri'!BR47)</x:f>
        <x:v>0</x:v>
      </x:c>
      <x:c r="AL586" s="2" t="n">
        <x:f>IF(J586&lt;&gt;"PASS",0,'Motor_Meciuri'!BS47)</x:f>
        <x:v>0</x:v>
      </x:c>
      <x:c r="AM586" s="2" t="n">
        <x:f>IF(J586&lt;&gt;"PASS",0,'Motor_Meciuri'!BT47)</x:f>
        <x:v>0</x:v>
      </x:c>
      <x:c r="AN586" s="2" t="str">
        <x:f>IF(M586="","",MAX(0,'Motor_Meciuri'!BF47-IF(L586&gt;'Config_v6'!$B$12,'Config_v6'!$B$37,IF(L586&gt;'Config_v6'!$B$11,'Config_v6'!$B$36,0))))</x:f>
      </x:c>
    </x:row>
    <x:row r="587" ht="21" customHeight="1">
      <x:c r="A587" s="2" t="n">
        <x:v>42</x:v>
      </x:c>
      <x:c r="B587" s="2" t="str">
        <x:f>IF('Motor_Meciuri'!A47="","",'Motor_Meciuri'!A47)</x:f>
      </x:c>
      <x:c r="C587" s="2" t="str">
        <x:f>IF(B587="","",'Motor_Meciuri'!B47)</x:f>
      </x:c>
      <x:c r="D587" s="2" t="str">
        <x:f>IF(B587="","",'Motor_Meciuri'!D47)</x:f>
      </x:c>
      <x:c r="E587" s="2" t="str">
        <x:f>IF(B587="","",'Motor_Meciuri'!E47)</x:f>
      </x:c>
      <x:c r="F587" s="2" t="str">
        <x:v>U11,5</x:v>
      </x:c>
      <x:c r="G587" s="2" t="str">
        <x:v>UNDER</x:v>
      </x:c>
      <x:c r="H587" s="2" t="n">
        <x:v>11</x:v>
      </x:c>
      <x:c r="I587" s="2" t="str">
        <x:f>IF(B587="","",'Motor_Meciuri'!H47)</x:f>
      </x:c>
      <x:c r="J587" s="2" t="str">
        <x:f>IF(B587="","",'Motor_Meciuri'!I47)</x:f>
      </x:c>
      <x:c r="K587" s="11" t="str">
        <x:f>IF(J587&lt;&gt;"PASS","",'Motor_Meciuri'!BD47)</x:f>
      </x:c>
      <x:c r="L587" s="11" t="str">
        <x:f>IF(J587&lt;&gt;"PASS","",'Motor_Meciuri'!AU47)</x:f>
      </x:c>
      <x:c r="M587" s="10" t="str">
        <x:f>IF(NOT(AND(J587="PASS",'Calibrare_Linii'!U13="VALID")),"",'Distributie'!AI47)</x:f>
      </x:c>
      <x:c r="N587" s="10" t="str">
        <x:f>IF(M587="","",MAX(0.01,MIN(0.99,0.5+(M587-0.5)*'Motor_Meciuri'!BG47*'Calibrare_Linii'!D13)))</x:f>
      </x:c>
      <x:c r="O587" s="10" t="str">
        <x:f>IF(M587="","",1-M587)</x:f>
      </x:c>
      <x:c r="P587" s="10" t="str">
        <x:f>IF(OR(NOT(AND(J587="PASS",'Calibrare_Linii'!U13="VALID")),AK587=0),""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*('Istoric_Nativ'!$Q$6:$Q$405&gt;H587))/AK587)</x:f>
      </x:c>
      <x:c r="Q587" s="10" t="str">
        <x:f>IF(OR(NOT(AND(J587="PASS",'Calibrare_Linii'!U13="VALID")),AL587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M47)+((('Istoric_Nativ'!$E$6:$E$405='Input_Meci'!E47)+('Istoric_Nativ'!$F$6:$F$405='Input_Meci'!E47))&gt;0)*('Istoric_Nativ'!$D$6:$D$405&gt;='Motor_Meciuri'!BN47))&gt;0)*('Istoric_Nativ'!$Q$6:$Q$405&gt;H587))/AL587)</x:f>
      </x:c>
      <x:c r="R587" s="10" t="str">
        <x:f>IF(OR(NOT(AND(J587="PASS",'Calibrare_Linii'!U13="VALID")),AM587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O47)+((('Istoric_Nativ'!$E$6:$E$405='Input_Meci'!E47)+('Istoric_Nativ'!$F$6:$F$405='Input_Meci'!E47))&gt;0)*('Istoric_Nativ'!$D$6:$D$405&gt;='Motor_Meciuri'!BP47))&gt;0)*('Istoric_Nativ'!$Q$6:$Q$405&gt;H587))/AM587)</x:f>
      </x:c>
      <x:c r="S587" s="10" t="str">
        <x:f>IF(M587="","",MAX(O587,P587,Q587,R587))</x:f>
      </x:c>
      <x:c r="T587" s="11" t="str">
        <x:f>IF(M587="","",MIN(100,S587*100*'Config_v6'!$B$44+MIN(100,L587/'Config_v6'!$B$13*100)*'Config_v6'!$B$45+(100-'Motor_Meciuri'!BF47)*'Config_v6'!$B$46+'Motor_Meciuri'!BH47*100*'Config_v6'!$B$47))</x:f>
      </x:c>
      <x:c r="U587" s="2" t="str">
        <x:f>IF(T587="","",IF(T587&lt;=20,1,IF(T587&lt;=40,2,IF(T587&lt;=60,3,IF(T587&lt;=80,4,5)))))</x:f>
      </x:c>
      <x:c r="V587" s="2" t="str">
        <x:f>IF(M587="","",MAX(0,'Motor_Meciuri'!BF47-IF(W587="OOS PENDING",'Config_v6'!$B$35,0)-IF(L587&gt;'Config_v6'!$B$12,'Config_v6'!$B$37,IF(L587&gt;'Config_v6'!$B$11,'Config_v6'!$B$36,0))))</x:f>
      </x:c>
      <x:c r="W587" s="2" t="str">
        <x:f>IF(B587="","",IF(I587&lt;&gt;"READY","NOT RELEASED",IF(NOT(AND(J587="PASS",'Calibrare_Linii'!U13="VALID")),"INVALID",IF(NOT(AND('Calibrare_Linii'!S13="VALIDATED",AND('Calibrare_Linii'!H13=C587,ISNUMBER('Calibrare_Linii'!J13),'Calibrare_Linii'!J13&lt;='Input_Meci'!G47))),"OOS PENDING",IF(S587&lt;='Calibrare_Linii'!E13,"PASS",IF(S587&lt;='Calibrare_Linii'!F13,"PENALTY","WATCH"))))))</x:f>
      </x:c>
      <x:c r="X587" s="2" t="str">
        <x:f>IF(M587="","",IF(AND(AND(J587="PASS",'Calibrare_Linii'!U13="VALID"),'Motor_Meciuri'!K47=12,'Motor_Meciuri'!L47=12,'Motor_Meciuri'!M47="NO",'Motor_Meciuri'!BL47='Motor_Meciuri'!C47,AB587&gt;='Config_v6'!$B$50,AN587&gt;='Config_v6'!$B$51,T587&lt;='Config_v6'!$B$52,L587&lt;='Config_v6'!$B$53,ISNUMBER('Calibrare_Linii'!E13),S587&lt;='Calibrare_Linii'!E13,SUM(AK587:AM587)&gt;0),"CANDIDATE","NO"))</x:f>
      </x:c>
      <x:c r="Y587" s="2" t="str">
        <x:f>IF(B587="","",IF(I587&lt;&gt;"READY","NOT RELEASED",IF(AND(X587="CANDIDATE",V587&gt;='Config_v6'!$B$51,W587="PASS",'Calibrare_Linii'!T13="VALIDATED",AND('Calibrare_Linii'!H13=C587,ISNUMBER('Calibrare_Linii'!J13),'Calibrare_Linii'!J13&lt;='Input_Meci'!G47)),"PASS",IF(X587="CANDIDATE","OOS PENDING","FAIL"))))</x:f>
      </x:c>
      <x:c r="Z587" s="2" t="str">
        <x:f>IF(B587="","",IF(I587&lt;&gt;"READY","",IF(OR(NOT(AND(J587="PASS",'Calibrare_Linii'!U13="VALID")),L587&gt;'Config_v6'!$B$13,W587="WATCH"),5,IF(Y587="PASS",1,MIN(5,MAX('Config_v6'!$B$42,U587)+IF(W587="PENALTY",1,0))))))</x:f>
      </x:c>
      <x:c r="AA587" s="2" t="str">
        <x:f>IF(B587="","",IF(I587&lt;&gt;"READY","NOT RELEASED",IF(Z587=5,"NO BET",IF(OR(AB587&lt;'Config_v6'!$B$16,V587&lt;'Config_v6'!$B$18),"WATCH",IF(Z587=1,"DEFENSIV",IF(Z587=2,"PRUDENT",IF(Z587=3,"MODERAT","RIDICAT")))))))</x:f>
      </x:c>
      <x:c r="AB587" s="10" t="str">
        <x:f>IF(N587="","",MIN(N587,1-S587))</x:f>
      </x:c>
      <x:c r="AC587" s="2" t="str">
        <x:f>IF(AD587&lt;&gt;1,"",COUNTIFS($Z$580:$Z$593,"&lt;"&amp;Z587,$AD$580:$AD$593,1)+COUNTIFS($Z$580:$Z$593,Z587,$AB$580:$AB$593,"&gt;"&amp;AB587,$AD$580:$AD$593,1)+COUNTIFS($Z$580:$Z$593,Z587,$AB$580:$AB$593,AB587,$V$580:$V$593,"&gt;"&amp;V587,$AD$580:$AD$593,1)+COUNTIFS($Z$580:Z587,Z587,$AB$580:AB587,AB587,$V$580:V587,V587,$AD$580:AD587,1))</x:f>
      </x:c>
      <x:c r="AD587" s="2" t="n">
        <x:f>IF(OR(AA587="DEFENSIV",AA587="PRUDENT",AA587="MODERAT",AA587="RIDICAT"),1,0)</x:f>
        <x:v>0</x:v>
      </x:c>
      <x:c r="AE587" s="2" t="str">
        <x:f>IF(AD587&lt;&gt;1,"NO",IF(W587="PASS","YES",IF(W587="OOS PENDING","CONDITIONAL","NO")))</x:f>
        <x:v>NO</x:v>
      </x:c>
      <x:c r="AF587" s="2" t="n">
        <x:f>IF(AND(AD587=1,AC587=1,E587="LIVE"),1,0)</x:f>
        <x:v>0</x:v>
      </x:c>
      <x:c r="AG587" s="2" t="str">
        <x:f>IF(AF587&lt;&gt;1,"",'Dashboard'!P67)</x:f>
      </x:c>
      <x:c r="AH587" s="2" t="str">
        <x:f>IF(B587="","",IF(J587&lt;&gt;"PASS",'Motor_Meciuri'!J47,IF('Calibrare_Linii'!U13&lt;&gt;"VALID","Parametri linie invalizi",IF(L587&gt;'Config_v6'!$B$13,"Dispersie peste limita",IF(W587="WATCH","Failure peste limita",IF(AB587&lt;'Config_v6'!$B$16,"P finala sub prag",IF(V587&lt;'Config_v6'!$B$18,"Confidence sub prag",IF(E587="REPLAY","Exemplu retrospectiv; exclus din Top LIVE",IF(Y587="PASS","DEFENSIV validat",IF(W587="OOS PENDING","Eligibil; calibrare linie in monitorizare","Eligibil"))))))))))</x:f>
      </x:c>
      <x:c r="AI587" s="2" t="str">
        <x:f>IF(B587="","",'Calibrare_Linii'!V13)</x:f>
      </x:c>
      <x:c r="AJ587" s="2" t="str">
        <x:f>IF(B587="","",IF(AND('Calibrare_Linii'!T13="VALIDATED",AND('Calibrare_Linii'!H13=C587,ISNUMBER('Calibrare_Linii'!J13),'Calibrare_Linii'!J13&lt;='Input_Meci'!G47)),"DEFENSIVE VALIDATED",IF(AND('Calibrare_Linii'!S13="VALIDATED",AND('Calibrare_Linii'!H13=C587,ISNUMBER('Calibrare_Linii'!J13),'Calibrare_Linii'!J13&lt;='Input_Meci'!G47)),"TAIL VALIDATED","OOS PENDING")))</x:f>
      </x:c>
      <x:c r="AK587" s="2" t="n">
        <x:f>IF(J587&lt;&gt;"PASS",0,'Motor_Meciuri'!BR47)</x:f>
        <x:v>0</x:v>
      </x:c>
      <x:c r="AL587" s="2" t="n">
        <x:f>IF(J587&lt;&gt;"PASS",0,'Motor_Meciuri'!BS47)</x:f>
        <x:v>0</x:v>
      </x:c>
      <x:c r="AM587" s="2" t="n">
        <x:f>IF(J587&lt;&gt;"PASS",0,'Motor_Meciuri'!BT47)</x:f>
        <x:v>0</x:v>
      </x:c>
      <x:c r="AN587" s="2" t="str">
        <x:f>IF(M587="","",MAX(0,'Motor_Meciuri'!BF47-IF(L587&gt;'Config_v6'!$B$12,'Config_v6'!$B$37,IF(L587&gt;'Config_v6'!$B$11,'Config_v6'!$B$36,0))))</x:f>
      </x:c>
    </x:row>
    <x:row r="588" ht="21" customHeight="1">
      <x:c r="A588" s="2" t="n">
        <x:v>42</x:v>
      </x:c>
      <x:c r="B588" s="2" t="str">
        <x:f>IF('Motor_Meciuri'!A47="","",'Motor_Meciuri'!A47)</x:f>
      </x:c>
      <x:c r="C588" s="2" t="str">
        <x:f>IF(B588="","",'Motor_Meciuri'!B47)</x:f>
      </x:c>
      <x:c r="D588" s="2" t="str">
        <x:f>IF(B588="","",'Motor_Meciuri'!D47)</x:f>
      </x:c>
      <x:c r="E588" s="2" t="str">
        <x:f>IF(B588="","",'Motor_Meciuri'!E47)</x:f>
      </x:c>
      <x:c r="F588" s="2" t="str">
        <x:v>U12,5</x:v>
      </x:c>
      <x:c r="G588" s="2" t="str">
        <x:v>UNDER</x:v>
      </x:c>
      <x:c r="H588" s="2" t="n">
        <x:v>12</x:v>
      </x:c>
      <x:c r="I588" s="2" t="str">
        <x:f>IF(B588="","",'Motor_Meciuri'!H47)</x:f>
      </x:c>
      <x:c r="J588" s="2" t="str">
        <x:f>IF(B588="","",'Motor_Meciuri'!I47)</x:f>
      </x:c>
      <x:c r="K588" s="11" t="str">
        <x:f>IF(J588&lt;&gt;"PASS","",'Motor_Meciuri'!BD47)</x:f>
      </x:c>
      <x:c r="L588" s="11" t="str">
        <x:f>IF(J588&lt;&gt;"PASS","",'Motor_Meciuri'!AU47)</x:f>
      </x:c>
      <x:c r="M588" s="10" t="str">
        <x:f>IF(NOT(AND(J588="PASS",'Calibrare_Linii'!U14="VALID")),"",'Distributie'!AJ47)</x:f>
      </x:c>
      <x:c r="N588" s="10" t="str">
        <x:f>IF(M588="","",MAX(0.01,MIN(0.99,0.5+(M588-0.5)*'Motor_Meciuri'!BG47*'Calibrare_Linii'!D14)))</x:f>
      </x:c>
      <x:c r="O588" s="10" t="str">
        <x:f>IF(M588="","",1-M588)</x:f>
      </x:c>
      <x:c r="P588" s="10" t="str">
        <x:f>IF(OR(NOT(AND(J588="PASS",'Calibrare_Linii'!U14="VALID")),AK588=0),""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*('Istoric_Nativ'!$Q$6:$Q$405&gt;H588))/AK588)</x:f>
      </x:c>
      <x:c r="Q588" s="10" t="str">
        <x:f>IF(OR(NOT(AND(J588="PASS",'Calibrare_Linii'!U14="VALID")),AL588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M47)+((('Istoric_Nativ'!$E$6:$E$405='Input_Meci'!E47)+('Istoric_Nativ'!$F$6:$F$405='Input_Meci'!E47))&gt;0)*('Istoric_Nativ'!$D$6:$D$405&gt;='Motor_Meciuri'!BN47))&gt;0)*('Istoric_Nativ'!$Q$6:$Q$405&gt;H588))/AL588)</x:f>
      </x:c>
      <x:c r="R588" s="10" t="str">
        <x:f>IF(OR(NOT(AND(J588="PASS",'Calibrare_Linii'!U14="VALID")),AM588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O47)+((('Istoric_Nativ'!$E$6:$E$405='Input_Meci'!E47)+('Istoric_Nativ'!$F$6:$F$405='Input_Meci'!E47))&gt;0)*('Istoric_Nativ'!$D$6:$D$405&gt;='Motor_Meciuri'!BP47))&gt;0)*('Istoric_Nativ'!$Q$6:$Q$405&gt;H588))/AM588)</x:f>
      </x:c>
      <x:c r="S588" s="10" t="str">
        <x:f>IF(M588="","",MAX(O588,P588,Q588,R588))</x:f>
      </x:c>
      <x:c r="T588" s="11" t="str">
        <x:f>IF(M588="","",MIN(100,S588*100*'Config_v6'!$B$44+MIN(100,L588/'Config_v6'!$B$13*100)*'Config_v6'!$B$45+(100-'Motor_Meciuri'!BF47)*'Config_v6'!$B$46+'Motor_Meciuri'!BH47*100*'Config_v6'!$B$47))</x:f>
      </x:c>
      <x:c r="U588" s="2" t="str">
        <x:f>IF(T588="","",IF(T588&lt;=20,1,IF(T588&lt;=40,2,IF(T588&lt;=60,3,IF(T588&lt;=80,4,5)))))</x:f>
      </x:c>
      <x:c r="V588" s="2" t="str">
        <x:f>IF(M588="","",MAX(0,'Motor_Meciuri'!BF47-IF(W588="OOS PENDING",'Config_v6'!$B$35,0)-IF(L588&gt;'Config_v6'!$B$12,'Config_v6'!$B$37,IF(L588&gt;'Config_v6'!$B$11,'Config_v6'!$B$36,0))))</x:f>
      </x:c>
      <x:c r="W588" s="2" t="str">
        <x:f>IF(B588="","",IF(I588&lt;&gt;"READY","NOT RELEASED",IF(NOT(AND(J588="PASS",'Calibrare_Linii'!U14="VALID")),"INVALID",IF(NOT(AND('Calibrare_Linii'!S14="VALIDATED",AND('Calibrare_Linii'!H14=C588,ISNUMBER('Calibrare_Linii'!J14),'Calibrare_Linii'!J14&lt;='Input_Meci'!G47))),"OOS PENDING",IF(S588&lt;='Calibrare_Linii'!E14,"PASS",IF(S588&lt;='Calibrare_Linii'!F14,"PENALTY","WATCH"))))))</x:f>
      </x:c>
      <x:c r="X588" s="2" t="str">
        <x:f>IF(M588="","",IF(AND(AND(J588="PASS",'Calibrare_Linii'!U14="VALID"),'Motor_Meciuri'!K47=12,'Motor_Meciuri'!L47=12,'Motor_Meciuri'!M47="NO",'Motor_Meciuri'!BL47='Motor_Meciuri'!C47,AB588&gt;='Config_v6'!$B$50,AN588&gt;='Config_v6'!$B$51,T588&lt;='Config_v6'!$B$52,L588&lt;='Config_v6'!$B$53,ISNUMBER('Calibrare_Linii'!E14),S588&lt;='Calibrare_Linii'!E14,SUM(AK588:AM588)&gt;0),"CANDIDATE","NO"))</x:f>
      </x:c>
      <x:c r="Y588" s="2" t="str">
        <x:f>IF(B588="","",IF(I588&lt;&gt;"READY","NOT RELEASED",IF(AND(X588="CANDIDATE",V588&gt;='Config_v6'!$B$51,W588="PASS",'Calibrare_Linii'!T14="VALIDATED",AND('Calibrare_Linii'!H14=C588,ISNUMBER('Calibrare_Linii'!J14),'Calibrare_Linii'!J14&lt;='Input_Meci'!G47)),"PASS",IF(X588="CANDIDATE","OOS PENDING","FAIL"))))</x:f>
      </x:c>
      <x:c r="Z588" s="2" t="str">
        <x:f>IF(B588="","",IF(I588&lt;&gt;"READY","",IF(OR(NOT(AND(J588="PASS",'Calibrare_Linii'!U14="VALID")),L588&gt;'Config_v6'!$B$13,W588="WATCH"),5,IF(Y588="PASS",1,MIN(5,MAX('Config_v6'!$B$42,U588)+IF(W588="PENALTY",1,0))))))</x:f>
      </x:c>
      <x:c r="AA588" s="2" t="str">
        <x:f>IF(B588="","",IF(I588&lt;&gt;"READY","NOT RELEASED",IF(Z588=5,"NO BET",IF(OR(AB588&lt;'Config_v6'!$B$16,V588&lt;'Config_v6'!$B$18),"WATCH",IF(Z588=1,"DEFENSIV",IF(Z588=2,"PRUDENT",IF(Z588=3,"MODERAT","RIDICAT")))))))</x:f>
      </x:c>
      <x:c r="AB588" s="10" t="str">
        <x:f>IF(N588="","",MIN(N588,1-S588))</x:f>
      </x:c>
      <x:c r="AC588" s="2" t="str">
        <x:f>IF(AD588&lt;&gt;1,"",COUNTIFS($Z$580:$Z$593,"&lt;"&amp;Z588,$AD$580:$AD$593,1)+COUNTIFS($Z$580:$Z$593,Z588,$AB$580:$AB$593,"&gt;"&amp;AB588,$AD$580:$AD$593,1)+COUNTIFS($Z$580:$Z$593,Z588,$AB$580:$AB$593,AB588,$V$580:$V$593,"&gt;"&amp;V588,$AD$580:$AD$593,1)+COUNTIFS($Z$580:Z588,Z588,$AB$580:AB588,AB588,$V$580:V588,V588,$AD$580:AD588,1))</x:f>
      </x:c>
      <x:c r="AD588" s="2" t="n">
        <x:f>IF(OR(AA588="DEFENSIV",AA588="PRUDENT",AA588="MODERAT",AA588="RIDICAT"),1,0)</x:f>
        <x:v>0</x:v>
      </x:c>
      <x:c r="AE588" s="2" t="str">
        <x:f>IF(AD588&lt;&gt;1,"NO",IF(W588="PASS","YES",IF(W588="OOS PENDING","CONDITIONAL","NO")))</x:f>
        <x:v>NO</x:v>
      </x:c>
      <x:c r="AF588" s="2" t="n">
        <x:f>IF(AND(AD588=1,AC588=1,E588="LIVE"),1,0)</x:f>
        <x:v>0</x:v>
      </x:c>
      <x:c r="AG588" s="2" t="str">
        <x:f>IF(AF588&lt;&gt;1,"",'Dashboard'!P67)</x:f>
      </x:c>
      <x:c r="AH588" s="2" t="str">
        <x:f>IF(B588="","",IF(J588&lt;&gt;"PASS",'Motor_Meciuri'!J47,IF('Calibrare_Linii'!U14&lt;&gt;"VALID","Parametri linie invalizi",IF(L588&gt;'Config_v6'!$B$13,"Dispersie peste limita",IF(W588="WATCH","Failure peste limita",IF(AB588&lt;'Config_v6'!$B$16,"P finala sub prag",IF(V588&lt;'Config_v6'!$B$18,"Confidence sub prag",IF(E588="REPLAY","Exemplu retrospectiv; exclus din Top LIVE",IF(Y588="PASS","DEFENSIV validat",IF(W588="OOS PENDING","Eligibil; calibrare linie in monitorizare","Eligibil"))))))))))</x:f>
      </x:c>
      <x:c r="AI588" s="2" t="str">
        <x:f>IF(B588="","",'Calibrare_Linii'!V14)</x:f>
      </x:c>
      <x:c r="AJ588" s="2" t="str">
        <x:f>IF(B588="","",IF(AND('Calibrare_Linii'!T14="VALIDATED",AND('Calibrare_Linii'!H14=C588,ISNUMBER('Calibrare_Linii'!J14),'Calibrare_Linii'!J14&lt;='Input_Meci'!G47)),"DEFENSIVE VALIDATED",IF(AND('Calibrare_Linii'!S14="VALIDATED",AND('Calibrare_Linii'!H14=C588,ISNUMBER('Calibrare_Linii'!J14),'Calibrare_Linii'!J14&lt;='Input_Meci'!G47)),"TAIL VALIDATED","OOS PENDING")))</x:f>
      </x:c>
      <x:c r="AK588" s="2" t="n">
        <x:f>IF(J588&lt;&gt;"PASS",0,'Motor_Meciuri'!BR47)</x:f>
        <x:v>0</x:v>
      </x:c>
      <x:c r="AL588" s="2" t="n">
        <x:f>IF(J588&lt;&gt;"PASS",0,'Motor_Meciuri'!BS47)</x:f>
        <x:v>0</x:v>
      </x:c>
      <x:c r="AM588" s="2" t="n">
        <x:f>IF(J588&lt;&gt;"PASS",0,'Motor_Meciuri'!BT47)</x:f>
        <x:v>0</x:v>
      </x:c>
      <x:c r="AN588" s="2" t="str">
        <x:f>IF(M588="","",MAX(0,'Motor_Meciuri'!BF47-IF(L588&gt;'Config_v6'!$B$12,'Config_v6'!$B$37,IF(L588&gt;'Config_v6'!$B$11,'Config_v6'!$B$36,0))))</x:f>
      </x:c>
    </x:row>
    <x:row r="589" ht="21" customHeight="1">
      <x:c r="A589" s="2" t="n">
        <x:v>42</x:v>
      </x:c>
      <x:c r="B589" s="2" t="str">
        <x:f>IF('Motor_Meciuri'!A47="","",'Motor_Meciuri'!A47)</x:f>
      </x:c>
      <x:c r="C589" s="2" t="str">
        <x:f>IF(B589="","",'Motor_Meciuri'!B47)</x:f>
      </x:c>
      <x:c r="D589" s="2" t="str">
        <x:f>IF(B589="","",'Motor_Meciuri'!D47)</x:f>
      </x:c>
      <x:c r="E589" s="2" t="str">
        <x:f>IF(B589="","",'Motor_Meciuri'!E47)</x:f>
      </x:c>
      <x:c r="F589" s="2" t="str">
        <x:v>U13,5</x:v>
      </x:c>
      <x:c r="G589" s="2" t="str">
        <x:v>UNDER</x:v>
      </x:c>
      <x:c r="H589" s="2" t="n">
        <x:v>13</x:v>
      </x:c>
      <x:c r="I589" s="2" t="str">
        <x:f>IF(B589="","",'Motor_Meciuri'!H47)</x:f>
      </x:c>
      <x:c r="J589" s="2" t="str">
        <x:f>IF(B589="","",'Motor_Meciuri'!I47)</x:f>
      </x:c>
      <x:c r="K589" s="11" t="str">
        <x:f>IF(J589&lt;&gt;"PASS","",'Motor_Meciuri'!BD47)</x:f>
      </x:c>
      <x:c r="L589" s="11" t="str">
        <x:f>IF(J589&lt;&gt;"PASS","",'Motor_Meciuri'!AU47)</x:f>
      </x:c>
      <x:c r="M589" s="10" t="str">
        <x:f>IF(NOT(AND(J589="PASS",'Calibrare_Linii'!U15="VALID")),"",'Distributie'!AK47)</x:f>
      </x:c>
      <x:c r="N589" s="10" t="str">
        <x:f>IF(M589="","",MAX(0.01,MIN(0.99,0.5+(M589-0.5)*'Motor_Meciuri'!BG47*'Calibrare_Linii'!D15)))</x:f>
      </x:c>
      <x:c r="O589" s="10" t="str">
        <x:f>IF(M589="","",1-M589)</x:f>
      </x:c>
      <x:c r="P589" s="10" t="str">
        <x:f>IF(OR(NOT(AND(J589="PASS",'Calibrare_Linii'!U15="VALID")),AK589=0),""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*('Istoric_Nativ'!$Q$6:$Q$405&gt;H589))/AK589)</x:f>
      </x:c>
      <x:c r="Q589" s="10" t="str">
        <x:f>IF(OR(NOT(AND(J589="PASS",'Calibrare_Linii'!U15="VALID")),AL589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M47)+((('Istoric_Nativ'!$E$6:$E$405='Input_Meci'!E47)+('Istoric_Nativ'!$F$6:$F$405='Input_Meci'!E47))&gt;0)*('Istoric_Nativ'!$D$6:$D$405&gt;='Motor_Meciuri'!BN47))&gt;0)*('Istoric_Nativ'!$Q$6:$Q$405&gt;H589))/AL589)</x:f>
      </x:c>
      <x:c r="R589" s="10" t="str">
        <x:f>IF(OR(NOT(AND(J589="PASS",'Calibrare_Linii'!U15="VALID")),AM589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O47)+((('Istoric_Nativ'!$E$6:$E$405='Input_Meci'!E47)+('Istoric_Nativ'!$F$6:$F$405='Input_Meci'!E47))&gt;0)*('Istoric_Nativ'!$D$6:$D$405&gt;='Motor_Meciuri'!BP47))&gt;0)*('Istoric_Nativ'!$Q$6:$Q$405&gt;H589))/AM589)</x:f>
      </x:c>
      <x:c r="S589" s="10" t="str">
        <x:f>IF(M589="","",MAX(O589,P589,Q589,R589))</x:f>
      </x:c>
      <x:c r="T589" s="11" t="str">
        <x:f>IF(M589="","",MIN(100,S589*100*'Config_v6'!$B$44+MIN(100,L589/'Config_v6'!$B$13*100)*'Config_v6'!$B$45+(100-'Motor_Meciuri'!BF47)*'Config_v6'!$B$46+'Motor_Meciuri'!BH47*100*'Config_v6'!$B$47))</x:f>
      </x:c>
      <x:c r="U589" s="2" t="str">
        <x:f>IF(T589="","",IF(T589&lt;=20,1,IF(T589&lt;=40,2,IF(T589&lt;=60,3,IF(T589&lt;=80,4,5)))))</x:f>
      </x:c>
      <x:c r="V589" s="2" t="str">
        <x:f>IF(M589="","",MAX(0,'Motor_Meciuri'!BF47-IF(W589="OOS PENDING",'Config_v6'!$B$35,0)-IF(L589&gt;'Config_v6'!$B$12,'Config_v6'!$B$37,IF(L589&gt;'Config_v6'!$B$11,'Config_v6'!$B$36,0))))</x:f>
      </x:c>
      <x:c r="W589" s="2" t="str">
        <x:f>IF(B589="","",IF(I589&lt;&gt;"READY","NOT RELEASED",IF(NOT(AND(J589="PASS",'Calibrare_Linii'!U15="VALID")),"INVALID",IF(NOT(AND('Calibrare_Linii'!S15="VALIDATED",AND('Calibrare_Linii'!H15=C589,ISNUMBER('Calibrare_Linii'!J15),'Calibrare_Linii'!J15&lt;='Input_Meci'!G47))),"OOS PENDING",IF(S589&lt;='Calibrare_Linii'!E15,"PASS",IF(S589&lt;='Calibrare_Linii'!F15,"PENALTY","WATCH"))))))</x:f>
      </x:c>
      <x:c r="X589" s="2" t="str">
        <x:f>IF(M589="","",IF(AND(AND(J589="PASS",'Calibrare_Linii'!U15="VALID"),'Motor_Meciuri'!K47=12,'Motor_Meciuri'!L47=12,'Motor_Meciuri'!M47="NO",'Motor_Meciuri'!BL47='Motor_Meciuri'!C47,AB589&gt;='Config_v6'!$B$50,AN589&gt;='Config_v6'!$B$51,T589&lt;='Config_v6'!$B$52,L589&lt;='Config_v6'!$B$53,ISNUMBER('Calibrare_Linii'!E15),S589&lt;='Calibrare_Linii'!E15,SUM(AK589:AM589)&gt;0),"CANDIDATE","NO"))</x:f>
      </x:c>
      <x:c r="Y589" s="2" t="str">
        <x:f>IF(B589="","",IF(I589&lt;&gt;"READY","NOT RELEASED",IF(AND(X589="CANDIDATE",V589&gt;='Config_v6'!$B$51,W589="PASS",'Calibrare_Linii'!T15="VALIDATED",AND('Calibrare_Linii'!H15=C589,ISNUMBER('Calibrare_Linii'!J15),'Calibrare_Linii'!J15&lt;='Input_Meci'!G47)),"PASS",IF(X589="CANDIDATE","OOS PENDING","FAIL"))))</x:f>
      </x:c>
      <x:c r="Z589" s="2" t="str">
        <x:f>IF(B589="","",IF(I589&lt;&gt;"READY","",IF(OR(NOT(AND(J589="PASS",'Calibrare_Linii'!U15="VALID")),L589&gt;'Config_v6'!$B$13,W589="WATCH"),5,IF(Y589="PASS",1,MIN(5,MAX('Config_v6'!$B$42,U589)+IF(W589="PENALTY",1,0))))))</x:f>
      </x:c>
      <x:c r="AA589" s="2" t="str">
        <x:f>IF(B589="","",IF(I589&lt;&gt;"READY","NOT RELEASED",IF(Z589=5,"NO BET",IF(OR(AB589&lt;'Config_v6'!$B$16,V589&lt;'Config_v6'!$B$18),"WATCH",IF(Z589=1,"DEFENSIV",IF(Z589=2,"PRUDENT",IF(Z589=3,"MODERAT","RIDICAT")))))))</x:f>
      </x:c>
      <x:c r="AB589" s="10" t="str">
        <x:f>IF(N589="","",MIN(N589,1-S589))</x:f>
      </x:c>
      <x:c r="AC589" s="2" t="str">
        <x:f>IF(AD589&lt;&gt;1,"",COUNTIFS($Z$580:$Z$593,"&lt;"&amp;Z589,$AD$580:$AD$593,1)+COUNTIFS($Z$580:$Z$593,Z589,$AB$580:$AB$593,"&gt;"&amp;AB589,$AD$580:$AD$593,1)+COUNTIFS($Z$580:$Z$593,Z589,$AB$580:$AB$593,AB589,$V$580:$V$593,"&gt;"&amp;V589,$AD$580:$AD$593,1)+COUNTIFS($Z$580:Z589,Z589,$AB$580:AB589,AB589,$V$580:V589,V589,$AD$580:AD589,1))</x:f>
      </x:c>
      <x:c r="AD589" s="2" t="n">
        <x:f>IF(OR(AA589="DEFENSIV",AA589="PRUDENT",AA589="MODERAT",AA589="RIDICAT"),1,0)</x:f>
        <x:v>0</x:v>
      </x:c>
      <x:c r="AE589" s="2" t="str">
        <x:f>IF(AD589&lt;&gt;1,"NO",IF(W589="PASS","YES",IF(W589="OOS PENDING","CONDITIONAL","NO")))</x:f>
        <x:v>NO</x:v>
      </x:c>
      <x:c r="AF589" s="2" t="n">
        <x:f>IF(AND(AD589=1,AC589=1,E589="LIVE"),1,0)</x:f>
        <x:v>0</x:v>
      </x:c>
      <x:c r="AG589" s="2" t="str">
        <x:f>IF(AF589&lt;&gt;1,"",'Dashboard'!P67)</x:f>
      </x:c>
      <x:c r="AH589" s="2" t="str">
        <x:f>IF(B589="","",IF(J589&lt;&gt;"PASS",'Motor_Meciuri'!J47,IF('Calibrare_Linii'!U15&lt;&gt;"VALID","Parametri linie invalizi",IF(L589&gt;'Config_v6'!$B$13,"Dispersie peste limita",IF(W589="WATCH","Failure peste limita",IF(AB589&lt;'Config_v6'!$B$16,"P finala sub prag",IF(V589&lt;'Config_v6'!$B$18,"Confidence sub prag",IF(E589="REPLAY","Exemplu retrospectiv; exclus din Top LIVE",IF(Y589="PASS","DEFENSIV validat",IF(W589="OOS PENDING","Eligibil; calibrare linie in monitorizare","Eligibil"))))))))))</x:f>
      </x:c>
      <x:c r="AI589" s="2" t="str">
        <x:f>IF(B589="","",'Calibrare_Linii'!V15)</x:f>
      </x:c>
      <x:c r="AJ589" s="2" t="str">
        <x:f>IF(B589="","",IF(AND('Calibrare_Linii'!T15="VALIDATED",AND('Calibrare_Linii'!H15=C589,ISNUMBER('Calibrare_Linii'!J15),'Calibrare_Linii'!J15&lt;='Input_Meci'!G47)),"DEFENSIVE VALIDATED",IF(AND('Calibrare_Linii'!S15="VALIDATED",AND('Calibrare_Linii'!H15=C589,ISNUMBER('Calibrare_Linii'!J15),'Calibrare_Linii'!J15&lt;='Input_Meci'!G47)),"TAIL VALIDATED","OOS PENDING")))</x:f>
      </x:c>
      <x:c r="AK589" s="2" t="n">
        <x:f>IF(J589&lt;&gt;"PASS",0,'Motor_Meciuri'!BR47)</x:f>
        <x:v>0</x:v>
      </x:c>
      <x:c r="AL589" s="2" t="n">
        <x:f>IF(J589&lt;&gt;"PASS",0,'Motor_Meciuri'!BS47)</x:f>
        <x:v>0</x:v>
      </x:c>
      <x:c r="AM589" s="2" t="n">
        <x:f>IF(J589&lt;&gt;"PASS",0,'Motor_Meciuri'!BT47)</x:f>
        <x:v>0</x:v>
      </x:c>
      <x:c r="AN589" s="2" t="str">
        <x:f>IF(M589="","",MAX(0,'Motor_Meciuri'!BF47-IF(L589&gt;'Config_v6'!$B$12,'Config_v6'!$B$37,IF(L589&gt;'Config_v6'!$B$11,'Config_v6'!$B$36,0))))</x:f>
      </x:c>
    </x:row>
    <x:row r="590" ht="21" customHeight="1">
      <x:c r="A590" s="2" t="n">
        <x:v>42</x:v>
      </x:c>
      <x:c r="B590" s="2" t="str">
        <x:f>IF('Motor_Meciuri'!A47="","",'Motor_Meciuri'!A47)</x:f>
      </x:c>
      <x:c r="C590" s="2" t="str">
        <x:f>IF(B590="","",'Motor_Meciuri'!B47)</x:f>
      </x:c>
      <x:c r="D590" s="2" t="str">
        <x:f>IF(B590="","",'Motor_Meciuri'!D47)</x:f>
      </x:c>
      <x:c r="E590" s="2" t="str">
        <x:f>IF(B590="","",'Motor_Meciuri'!E47)</x:f>
      </x:c>
      <x:c r="F590" s="2" t="str">
        <x:v>U14,5</x:v>
      </x:c>
      <x:c r="G590" s="2" t="str">
        <x:v>UNDER</x:v>
      </x:c>
      <x:c r="H590" s="2" t="n">
        <x:v>14</x:v>
      </x:c>
      <x:c r="I590" s="2" t="str">
        <x:f>IF(B590="","",'Motor_Meciuri'!H47)</x:f>
      </x:c>
      <x:c r="J590" s="2" t="str">
        <x:f>IF(B590="","",'Motor_Meciuri'!I47)</x:f>
      </x:c>
      <x:c r="K590" s="11" t="str">
        <x:f>IF(J590&lt;&gt;"PASS","",'Motor_Meciuri'!BD47)</x:f>
      </x:c>
      <x:c r="L590" s="11" t="str">
        <x:f>IF(J590&lt;&gt;"PASS","",'Motor_Meciuri'!AU47)</x:f>
      </x:c>
      <x:c r="M590" s="10" t="str">
        <x:f>IF(NOT(AND(J590="PASS",'Calibrare_Linii'!U16="VALID")),"",'Distributie'!AL47)</x:f>
      </x:c>
      <x:c r="N590" s="10" t="str">
        <x:f>IF(M590="","",MAX(0.01,MIN(0.99,0.5+(M590-0.5)*'Motor_Meciuri'!BG47*'Calibrare_Linii'!D16)))</x:f>
      </x:c>
      <x:c r="O590" s="10" t="str">
        <x:f>IF(M590="","",1-M590)</x:f>
      </x:c>
      <x:c r="P590" s="10" t="str">
        <x:f>IF(OR(NOT(AND(J590="PASS",'Calibrare_Linii'!U16="VALID")),AK590=0),""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*('Istoric_Nativ'!$Q$6:$Q$405&gt;H590))/AK590)</x:f>
      </x:c>
      <x:c r="Q590" s="10" t="str">
        <x:f>IF(OR(NOT(AND(J590="PASS",'Calibrare_Linii'!U16="VALID")),AL590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M47)+((('Istoric_Nativ'!$E$6:$E$405='Input_Meci'!E47)+('Istoric_Nativ'!$F$6:$F$405='Input_Meci'!E47))&gt;0)*('Istoric_Nativ'!$D$6:$D$405&gt;='Motor_Meciuri'!BN47))&gt;0)*('Istoric_Nativ'!$Q$6:$Q$405&gt;H590))/AL590)</x:f>
      </x:c>
      <x:c r="R590" s="10" t="str">
        <x:f>IF(OR(NOT(AND(J590="PASS",'Calibrare_Linii'!U16="VALID")),AM590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O47)+((('Istoric_Nativ'!$E$6:$E$405='Input_Meci'!E47)+('Istoric_Nativ'!$F$6:$F$405='Input_Meci'!E47))&gt;0)*('Istoric_Nativ'!$D$6:$D$405&gt;='Motor_Meciuri'!BP47))&gt;0)*('Istoric_Nativ'!$Q$6:$Q$405&gt;H590))/AM590)</x:f>
      </x:c>
      <x:c r="S590" s="10" t="str">
        <x:f>IF(M590="","",MAX(O590,P590,Q590,R590))</x:f>
      </x:c>
      <x:c r="T590" s="11" t="str">
        <x:f>IF(M590="","",MIN(100,S590*100*'Config_v6'!$B$44+MIN(100,L590/'Config_v6'!$B$13*100)*'Config_v6'!$B$45+(100-'Motor_Meciuri'!BF47)*'Config_v6'!$B$46+'Motor_Meciuri'!BH47*100*'Config_v6'!$B$47))</x:f>
      </x:c>
      <x:c r="U590" s="2" t="str">
        <x:f>IF(T590="","",IF(T590&lt;=20,1,IF(T590&lt;=40,2,IF(T590&lt;=60,3,IF(T590&lt;=80,4,5)))))</x:f>
      </x:c>
      <x:c r="V590" s="2" t="str">
        <x:f>IF(M590="","",MAX(0,'Motor_Meciuri'!BF47-IF(W590="OOS PENDING",'Config_v6'!$B$35,0)-IF(L590&gt;'Config_v6'!$B$12,'Config_v6'!$B$37,IF(L590&gt;'Config_v6'!$B$11,'Config_v6'!$B$36,0))))</x:f>
      </x:c>
      <x:c r="W590" s="2" t="str">
        <x:f>IF(B590="","",IF(I590&lt;&gt;"READY","NOT RELEASED",IF(NOT(AND(J590="PASS",'Calibrare_Linii'!U16="VALID")),"INVALID",IF(NOT(AND('Calibrare_Linii'!S16="VALIDATED",AND('Calibrare_Linii'!H16=C590,ISNUMBER('Calibrare_Linii'!J16),'Calibrare_Linii'!J16&lt;='Input_Meci'!G47))),"OOS PENDING",IF(S590&lt;='Calibrare_Linii'!E16,"PASS",IF(S590&lt;='Calibrare_Linii'!F16,"PENALTY","WATCH"))))))</x:f>
      </x:c>
      <x:c r="X590" s="2" t="str">
        <x:f>IF(M590="","",IF(AND(AND(J590="PASS",'Calibrare_Linii'!U16="VALID"),'Motor_Meciuri'!K47=12,'Motor_Meciuri'!L47=12,'Motor_Meciuri'!M47="NO",'Motor_Meciuri'!BL47='Motor_Meciuri'!C47,AB590&gt;='Config_v6'!$B$50,AN590&gt;='Config_v6'!$B$51,T590&lt;='Config_v6'!$B$52,L590&lt;='Config_v6'!$B$53,ISNUMBER('Calibrare_Linii'!E16),S590&lt;='Calibrare_Linii'!E16,SUM(AK590:AM590)&gt;0),"CANDIDATE","NO"))</x:f>
      </x:c>
      <x:c r="Y590" s="2" t="str">
        <x:f>IF(B590="","",IF(I590&lt;&gt;"READY","NOT RELEASED",IF(AND(X590="CANDIDATE",V590&gt;='Config_v6'!$B$51,W590="PASS",'Calibrare_Linii'!T16="VALIDATED",AND('Calibrare_Linii'!H16=C590,ISNUMBER('Calibrare_Linii'!J16),'Calibrare_Linii'!J16&lt;='Input_Meci'!G47)),"PASS",IF(X590="CANDIDATE","OOS PENDING","FAIL"))))</x:f>
      </x:c>
      <x:c r="Z590" s="2" t="str">
        <x:f>IF(B590="","",IF(I590&lt;&gt;"READY","",IF(OR(NOT(AND(J590="PASS",'Calibrare_Linii'!U16="VALID")),L590&gt;'Config_v6'!$B$13,W590="WATCH"),5,IF(Y590="PASS",1,MIN(5,MAX('Config_v6'!$B$42,U590)+IF(W590="PENALTY",1,0))))))</x:f>
      </x:c>
      <x:c r="AA590" s="2" t="str">
        <x:f>IF(B590="","",IF(I590&lt;&gt;"READY","NOT RELEASED",IF(Z590=5,"NO BET",IF(OR(AB590&lt;'Config_v6'!$B$16,V590&lt;'Config_v6'!$B$18),"WATCH",IF(Z590=1,"DEFENSIV",IF(Z590=2,"PRUDENT",IF(Z590=3,"MODERAT","RIDICAT")))))))</x:f>
      </x:c>
      <x:c r="AB590" s="10" t="str">
        <x:f>IF(N590="","",MIN(N590,1-S590))</x:f>
      </x:c>
      <x:c r="AC590" s="2" t="str">
        <x:f>IF(AD590&lt;&gt;1,"",COUNTIFS($Z$580:$Z$593,"&lt;"&amp;Z590,$AD$580:$AD$593,1)+COUNTIFS($Z$580:$Z$593,Z590,$AB$580:$AB$593,"&gt;"&amp;AB590,$AD$580:$AD$593,1)+COUNTIFS($Z$580:$Z$593,Z590,$AB$580:$AB$593,AB590,$V$580:$V$593,"&gt;"&amp;V590,$AD$580:$AD$593,1)+COUNTIFS($Z$580:Z590,Z590,$AB$580:AB590,AB590,$V$580:V590,V590,$AD$580:AD590,1))</x:f>
      </x:c>
      <x:c r="AD590" s="2" t="n">
        <x:f>IF(OR(AA590="DEFENSIV",AA590="PRUDENT",AA590="MODERAT",AA590="RIDICAT"),1,0)</x:f>
        <x:v>0</x:v>
      </x:c>
      <x:c r="AE590" s="2" t="str">
        <x:f>IF(AD590&lt;&gt;1,"NO",IF(W590="PASS","YES",IF(W590="OOS PENDING","CONDITIONAL","NO")))</x:f>
        <x:v>NO</x:v>
      </x:c>
      <x:c r="AF590" s="2" t="n">
        <x:f>IF(AND(AD590=1,AC590=1,E590="LIVE"),1,0)</x:f>
        <x:v>0</x:v>
      </x:c>
      <x:c r="AG590" s="2" t="str">
        <x:f>IF(AF590&lt;&gt;1,"",'Dashboard'!P67)</x:f>
      </x:c>
      <x:c r="AH590" s="2" t="str">
        <x:f>IF(B590="","",IF(J590&lt;&gt;"PASS",'Motor_Meciuri'!J47,IF('Calibrare_Linii'!U16&lt;&gt;"VALID","Parametri linie invalizi",IF(L590&gt;'Config_v6'!$B$13,"Dispersie peste limita",IF(W590="WATCH","Failure peste limita",IF(AB590&lt;'Config_v6'!$B$16,"P finala sub prag",IF(V590&lt;'Config_v6'!$B$18,"Confidence sub prag",IF(E590="REPLAY","Exemplu retrospectiv; exclus din Top LIVE",IF(Y590="PASS","DEFENSIV validat",IF(W590="OOS PENDING","Eligibil; calibrare linie in monitorizare","Eligibil"))))))))))</x:f>
      </x:c>
      <x:c r="AI590" s="2" t="str">
        <x:f>IF(B590="","",'Calibrare_Linii'!V16)</x:f>
      </x:c>
      <x:c r="AJ590" s="2" t="str">
        <x:f>IF(B590="","",IF(AND('Calibrare_Linii'!T16="VALIDATED",AND('Calibrare_Linii'!H16=C590,ISNUMBER('Calibrare_Linii'!J16),'Calibrare_Linii'!J16&lt;='Input_Meci'!G47)),"DEFENSIVE VALIDATED",IF(AND('Calibrare_Linii'!S16="VALIDATED",AND('Calibrare_Linii'!H16=C590,ISNUMBER('Calibrare_Linii'!J16),'Calibrare_Linii'!J16&lt;='Input_Meci'!G47)),"TAIL VALIDATED","OOS PENDING")))</x:f>
      </x:c>
      <x:c r="AK590" s="2" t="n">
        <x:f>IF(J590&lt;&gt;"PASS",0,'Motor_Meciuri'!BR47)</x:f>
        <x:v>0</x:v>
      </x:c>
      <x:c r="AL590" s="2" t="n">
        <x:f>IF(J590&lt;&gt;"PASS",0,'Motor_Meciuri'!BS47)</x:f>
        <x:v>0</x:v>
      </x:c>
      <x:c r="AM590" s="2" t="n">
        <x:f>IF(J590&lt;&gt;"PASS",0,'Motor_Meciuri'!BT47)</x:f>
        <x:v>0</x:v>
      </x:c>
      <x:c r="AN590" s="2" t="str">
        <x:f>IF(M590="","",MAX(0,'Motor_Meciuri'!BF47-IF(L590&gt;'Config_v6'!$B$12,'Config_v6'!$B$37,IF(L590&gt;'Config_v6'!$B$11,'Config_v6'!$B$36,0))))</x:f>
      </x:c>
    </x:row>
    <x:row r="591" ht="21" customHeight="1">
      <x:c r="A591" s="2" t="n">
        <x:v>42</x:v>
      </x:c>
      <x:c r="B591" s="2" t="str">
        <x:f>IF('Motor_Meciuri'!A47="","",'Motor_Meciuri'!A47)</x:f>
      </x:c>
      <x:c r="C591" s="2" t="str">
        <x:f>IF(B591="","",'Motor_Meciuri'!B47)</x:f>
      </x:c>
      <x:c r="D591" s="2" t="str">
        <x:f>IF(B591="","",'Motor_Meciuri'!D47)</x:f>
      </x:c>
      <x:c r="E591" s="2" t="str">
        <x:f>IF(B591="","",'Motor_Meciuri'!E47)</x:f>
      </x:c>
      <x:c r="F591" s="2" t="str">
        <x:v>U15,5</x:v>
      </x:c>
      <x:c r="G591" s="2" t="str">
        <x:v>UNDER</x:v>
      </x:c>
      <x:c r="H591" s="2" t="n">
        <x:v>15</x:v>
      </x:c>
      <x:c r="I591" s="2" t="str">
        <x:f>IF(B591="","",'Motor_Meciuri'!H47)</x:f>
      </x:c>
      <x:c r="J591" s="2" t="str">
        <x:f>IF(B591="","",'Motor_Meciuri'!I47)</x:f>
      </x:c>
      <x:c r="K591" s="11" t="str">
        <x:f>IF(J591&lt;&gt;"PASS","",'Motor_Meciuri'!BD47)</x:f>
      </x:c>
      <x:c r="L591" s="11" t="str">
        <x:f>IF(J591&lt;&gt;"PASS","",'Motor_Meciuri'!AU47)</x:f>
      </x:c>
      <x:c r="M591" s="10" t="str">
        <x:f>IF(NOT(AND(J591="PASS",'Calibrare_Linii'!U17="VALID")),"",'Distributie'!AM47)</x:f>
      </x:c>
      <x:c r="N591" s="10" t="str">
        <x:f>IF(M591="","",MAX(0.01,MIN(0.99,0.5+(M591-0.5)*'Motor_Meciuri'!BG47*'Calibrare_Linii'!D17)))</x:f>
      </x:c>
      <x:c r="O591" s="10" t="str">
        <x:f>IF(M591="","",1-M591)</x:f>
      </x:c>
      <x:c r="P591" s="10" t="str">
        <x:f>IF(OR(NOT(AND(J591="PASS",'Calibrare_Linii'!U17="VALID")),AK591=0),""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*('Istoric_Nativ'!$Q$6:$Q$405&gt;H591))/AK591)</x:f>
      </x:c>
      <x:c r="Q591" s="10" t="str">
        <x:f>IF(OR(NOT(AND(J591="PASS",'Calibrare_Linii'!U17="VALID")),AL591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M47)+((('Istoric_Nativ'!$E$6:$E$405='Input_Meci'!E47)+('Istoric_Nativ'!$F$6:$F$405='Input_Meci'!E47))&gt;0)*('Istoric_Nativ'!$D$6:$D$405&gt;='Motor_Meciuri'!BN47))&gt;0)*('Istoric_Nativ'!$Q$6:$Q$405&gt;H591))/AL591)</x:f>
      </x:c>
      <x:c r="R591" s="10" t="str">
        <x:f>IF(OR(NOT(AND(J591="PASS",'Calibrare_Linii'!U17="VALID")),AM591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O47)+((('Istoric_Nativ'!$E$6:$E$405='Input_Meci'!E47)+('Istoric_Nativ'!$F$6:$F$405='Input_Meci'!E47))&gt;0)*('Istoric_Nativ'!$D$6:$D$405&gt;='Motor_Meciuri'!BP47))&gt;0)*('Istoric_Nativ'!$Q$6:$Q$405&gt;H591))/AM591)</x:f>
      </x:c>
      <x:c r="S591" s="10" t="str">
        <x:f>IF(M591="","",MAX(O591,P591,Q591,R591))</x:f>
      </x:c>
      <x:c r="T591" s="11" t="str">
        <x:f>IF(M591="","",MIN(100,S591*100*'Config_v6'!$B$44+MIN(100,L591/'Config_v6'!$B$13*100)*'Config_v6'!$B$45+(100-'Motor_Meciuri'!BF47)*'Config_v6'!$B$46+'Motor_Meciuri'!BH47*100*'Config_v6'!$B$47))</x:f>
      </x:c>
      <x:c r="U591" s="2" t="str">
        <x:f>IF(T591="","",IF(T591&lt;=20,1,IF(T591&lt;=40,2,IF(T591&lt;=60,3,IF(T591&lt;=80,4,5)))))</x:f>
      </x:c>
      <x:c r="V591" s="2" t="str">
        <x:f>IF(M591="","",MAX(0,'Motor_Meciuri'!BF47-IF(W591="OOS PENDING",'Config_v6'!$B$35,0)-IF(L591&gt;'Config_v6'!$B$12,'Config_v6'!$B$37,IF(L591&gt;'Config_v6'!$B$11,'Config_v6'!$B$36,0))))</x:f>
      </x:c>
      <x:c r="W591" s="2" t="str">
        <x:f>IF(B591="","",IF(I591&lt;&gt;"READY","NOT RELEASED",IF(NOT(AND(J591="PASS",'Calibrare_Linii'!U17="VALID")),"INVALID",IF(NOT(AND('Calibrare_Linii'!S17="VALIDATED",AND('Calibrare_Linii'!H17=C591,ISNUMBER('Calibrare_Linii'!J17),'Calibrare_Linii'!J17&lt;='Input_Meci'!G47))),"OOS PENDING",IF(S591&lt;='Calibrare_Linii'!E17,"PASS",IF(S591&lt;='Calibrare_Linii'!F17,"PENALTY","WATCH"))))))</x:f>
      </x:c>
      <x:c r="X591" s="2" t="str">
        <x:f>IF(M591="","",IF(AND(AND(J591="PASS",'Calibrare_Linii'!U17="VALID"),'Motor_Meciuri'!K47=12,'Motor_Meciuri'!L47=12,'Motor_Meciuri'!M47="NO",'Motor_Meciuri'!BL47='Motor_Meciuri'!C47,AB591&gt;='Config_v6'!$B$50,AN591&gt;='Config_v6'!$B$51,T591&lt;='Config_v6'!$B$52,L591&lt;='Config_v6'!$B$53,ISNUMBER('Calibrare_Linii'!E17),S591&lt;='Calibrare_Linii'!E17,SUM(AK591:AM591)&gt;0),"CANDIDATE","NO"))</x:f>
      </x:c>
      <x:c r="Y591" s="2" t="str">
        <x:f>IF(B591="","",IF(I591&lt;&gt;"READY","NOT RELEASED",IF(AND(X591="CANDIDATE",V591&gt;='Config_v6'!$B$51,W591="PASS",'Calibrare_Linii'!T17="VALIDATED",AND('Calibrare_Linii'!H17=C591,ISNUMBER('Calibrare_Linii'!J17),'Calibrare_Linii'!J17&lt;='Input_Meci'!G47)),"PASS",IF(X591="CANDIDATE","OOS PENDING","FAIL"))))</x:f>
      </x:c>
      <x:c r="Z591" s="2" t="str">
        <x:f>IF(B591="","",IF(I591&lt;&gt;"READY","",IF(OR(NOT(AND(J591="PASS",'Calibrare_Linii'!U17="VALID")),L591&gt;'Config_v6'!$B$13,W591="WATCH"),5,IF(Y591="PASS",1,MIN(5,MAX('Config_v6'!$B$42,U591)+IF(W591="PENALTY",1,0))))))</x:f>
      </x:c>
      <x:c r="AA591" s="2" t="str">
        <x:f>IF(B591="","",IF(I591&lt;&gt;"READY","NOT RELEASED",IF(Z591=5,"NO BET",IF(OR(AB591&lt;'Config_v6'!$B$16,V591&lt;'Config_v6'!$B$18),"WATCH",IF(Z591=1,"DEFENSIV",IF(Z591=2,"PRUDENT",IF(Z591=3,"MODERAT","RIDICAT")))))))</x:f>
      </x:c>
      <x:c r="AB591" s="10" t="str">
        <x:f>IF(N591="","",MIN(N591,1-S591))</x:f>
      </x:c>
      <x:c r="AC591" s="2" t="str">
        <x:f>IF(AD591&lt;&gt;1,"",COUNTIFS($Z$580:$Z$593,"&lt;"&amp;Z591,$AD$580:$AD$593,1)+COUNTIFS($Z$580:$Z$593,Z591,$AB$580:$AB$593,"&gt;"&amp;AB591,$AD$580:$AD$593,1)+COUNTIFS($Z$580:$Z$593,Z591,$AB$580:$AB$593,AB591,$V$580:$V$593,"&gt;"&amp;V591,$AD$580:$AD$593,1)+COUNTIFS($Z$580:Z591,Z591,$AB$580:AB591,AB591,$V$580:V591,V591,$AD$580:AD591,1))</x:f>
      </x:c>
      <x:c r="AD591" s="2" t="n">
        <x:f>IF(OR(AA591="DEFENSIV",AA591="PRUDENT",AA591="MODERAT",AA591="RIDICAT"),1,0)</x:f>
        <x:v>0</x:v>
      </x:c>
      <x:c r="AE591" s="2" t="str">
        <x:f>IF(AD591&lt;&gt;1,"NO",IF(W591="PASS","YES",IF(W591="OOS PENDING","CONDITIONAL","NO")))</x:f>
        <x:v>NO</x:v>
      </x:c>
      <x:c r="AF591" s="2" t="n">
        <x:f>IF(AND(AD591=1,AC591=1,E591="LIVE"),1,0)</x:f>
        <x:v>0</x:v>
      </x:c>
      <x:c r="AG591" s="2" t="str">
        <x:f>IF(AF591&lt;&gt;1,"",'Dashboard'!P67)</x:f>
      </x:c>
      <x:c r="AH591" s="2" t="str">
        <x:f>IF(B591="","",IF(J591&lt;&gt;"PASS",'Motor_Meciuri'!J47,IF('Calibrare_Linii'!U17&lt;&gt;"VALID","Parametri linie invalizi",IF(L591&gt;'Config_v6'!$B$13,"Dispersie peste limita",IF(W591="WATCH","Failure peste limita",IF(AB591&lt;'Config_v6'!$B$16,"P finala sub prag",IF(V591&lt;'Config_v6'!$B$18,"Confidence sub prag",IF(E591="REPLAY","Exemplu retrospectiv; exclus din Top LIVE",IF(Y591="PASS","DEFENSIV validat",IF(W591="OOS PENDING","Eligibil; calibrare linie in monitorizare","Eligibil"))))))))))</x:f>
      </x:c>
      <x:c r="AI591" s="2" t="str">
        <x:f>IF(B591="","",'Calibrare_Linii'!V17)</x:f>
      </x:c>
      <x:c r="AJ591" s="2" t="str">
        <x:f>IF(B591="","",IF(AND('Calibrare_Linii'!T17="VALIDATED",AND('Calibrare_Linii'!H17=C591,ISNUMBER('Calibrare_Linii'!J17),'Calibrare_Linii'!J17&lt;='Input_Meci'!G47)),"DEFENSIVE VALIDATED",IF(AND('Calibrare_Linii'!S17="VALIDATED",AND('Calibrare_Linii'!H17=C591,ISNUMBER('Calibrare_Linii'!J17),'Calibrare_Linii'!J17&lt;='Input_Meci'!G47)),"TAIL VALIDATED","OOS PENDING")))</x:f>
      </x:c>
      <x:c r="AK591" s="2" t="n">
        <x:f>IF(J591&lt;&gt;"PASS",0,'Motor_Meciuri'!BR47)</x:f>
        <x:v>0</x:v>
      </x:c>
      <x:c r="AL591" s="2" t="n">
        <x:f>IF(J591&lt;&gt;"PASS",0,'Motor_Meciuri'!BS47)</x:f>
        <x:v>0</x:v>
      </x:c>
      <x:c r="AM591" s="2" t="n">
        <x:f>IF(J591&lt;&gt;"PASS",0,'Motor_Meciuri'!BT47)</x:f>
        <x:v>0</x:v>
      </x:c>
      <x:c r="AN591" s="2" t="str">
        <x:f>IF(M591="","",MAX(0,'Motor_Meciuri'!BF47-IF(L591&gt;'Config_v6'!$B$12,'Config_v6'!$B$37,IF(L591&gt;'Config_v6'!$B$11,'Config_v6'!$B$36,0))))</x:f>
      </x:c>
    </x:row>
    <x:row r="592" ht="21" customHeight="1">
      <x:c r="A592" s="2" t="n">
        <x:v>42</x:v>
      </x:c>
      <x:c r="B592" s="2" t="str">
        <x:f>IF('Motor_Meciuri'!A47="","",'Motor_Meciuri'!A47)</x:f>
      </x:c>
      <x:c r="C592" s="2" t="str">
        <x:f>IF(B592="","",'Motor_Meciuri'!B47)</x:f>
      </x:c>
      <x:c r="D592" s="2" t="str">
        <x:f>IF(B592="","",'Motor_Meciuri'!D47)</x:f>
      </x:c>
      <x:c r="E592" s="2" t="str">
        <x:f>IF(B592="","",'Motor_Meciuri'!E47)</x:f>
      </x:c>
      <x:c r="F592" s="2" t="str">
        <x:v>U16,5</x:v>
      </x:c>
      <x:c r="G592" s="2" t="str">
        <x:v>UNDER</x:v>
      </x:c>
      <x:c r="H592" s="2" t="n">
        <x:v>16</x:v>
      </x:c>
      <x:c r="I592" s="2" t="str">
        <x:f>IF(B592="","",'Motor_Meciuri'!H47)</x:f>
      </x:c>
      <x:c r="J592" s="2" t="str">
        <x:f>IF(B592="","",'Motor_Meciuri'!I47)</x:f>
      </x:c>
      <x:c r="K592" s="11" t="str">
        <x:f>IF(J592&lt;&gt;"PASS","",'Motor_Meciuri'!BD47)</x:f>
      </x:c>
      <x:c r="L592" s="11" t="str">
        <x:f>IF(J592&lt;&gt;"PASS","",'Motor_Meciuri'!AU47)</x:f>
      </x:c>
      <x:c r="M592" s="10" t="str">
        <x:f>IF(NOT(AND(J592="PASS",'Calibrare_Linii'!U18="VALID")),"",'Distributie'!AN47)</x:f>
      </x:c>
      <x:c r="N592" s="10" t="str">
        <x:f>IF(M592="","",MAX(0.01,MIN(0.99,0.5+(M592-0.5)*'Motor_Meciuri'!BG47*'Calibrare_Linii'!D18)))</x:f>
      </x:c>
      <x:c r="O592" s="10" t="str">
        <x:f>IF(M592="","",1-M592)</x:f>
      </x:c>
      <x:c r="P592" s="10" t="str">
        <x:f>IF(OR(NOT(AND(J592="PASS",'Calibrare_Linii'!U18="VALID")),AK592=0),""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*('Istoric_Nativ'!$Q$6:$Q$405&gt;H592))/AK592)</x:f>
      </x:c>
      <x:c r="Q592" s="10" t="str">
        <x:f>IF(OR(NOT(AND(J592="PASS",'Calibrare_Linii'!U18="VALID")),AL592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M47)+((('Istoric_Nativ'!$E$6:$E$405='Input_Meci'!E47)+('Istoric_Nativ'!$F$6:$F$405='Input_Meci'!E47))&gt;0)*('Istoric_Nativ'!$D$6:$D$405&gt;='Motor_Meciuri'!BN47))&gt;0)*('Istoric_Nativ'!$Q$6:$Q$405&gt;H592))/AL592)</x:f>
      </x:c>
      <x:c r="R592" s="10" t="str">
        <x:f>IF(OR(NOT(AND(J592="PASS",'Calibrare_Linii'!U18="VALID")),AM592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O47)+((('Istoric_Nativ'!$E$6:$E$405='Input_Meci'!E47)+('Istoric_Nativ'!$F$6:$F$405='Input_Meci'!E47))&gt;0)*('Istoric_Nativ'!$D$6:$D$405&gt;='Motor_Meciuri'!BP47))&gt;0)*('Istoric_Nativ'!$Q$6:$Q$405&gt;H592))/AM592)</x:f>
      </x:c>
      <x:c r="S592" s="10" t="str">
        <x:f>IF(M592="","",MAX(O592,P592,Q592,R592))</x:f>
      </x:c>
      <x:c r="T592" s="11" t="str">
        <x:f>IF(M592="","",MIN(100,S592*100*'Config_v6'!$B$44+MIN(100,L592/'Config_v6'!$B$13*100)*'Config_v6'!$B$45+(100-'Motor_Meciuri'!BF47)*'Config_v6'!$B$46+'Motor_Meciuri'!BH47*100*'Config_v6'!$B$47))</x:f>
      </x:c>
      <x:c r="U592" s="2" t="str">
        <x:f>IF(T592="","",IF(T592&lt;=20,1,IF(T592&lt;=40,2,IF(T592&lt;=60,3,IF(T592&lt;=80,4,5)))))</x:f>
      </x:c>
      <x:c r="V592" s="2" t="str">
        <x:f>IF(M592="","",MAX(0,'Motor_Meciuri'!BF47-IF(W592="OOS PENDING",'Config_v6'!$B$35,0)-IF(L592&gt;'Config_v6'!$B$12,'Config_v6'!$B$37,IF(L592&gt;'Config_v6'!$B$11,'Config_v6'!$B$36,0))))</x:f>
      </x:c>
      <x:c r="W592" s="2" t="str">
        <x:f>IF(B592="","",IF(I592&lt;&gt;"READY","NOT RELEASED",IF(NOT(AND(J592="PASS",'Calibrare_Linii'!U18="VALID")),"INVALID",IF(NOT(AND('Calibrare_Linii'!S18="VALIDATED",AND('Calibrare_Linii'!H18=C592,ISNUMBER('Calibrare_Linii'!J18),'Calibrare_Linii'!J18&lt;='Input_Meci'!G47))),"OOS PENDING",IF(S592&lt;='Calibrare_Linii'!E18,"PASS",IF(S592&lt;='Calibrare_Linii'!F18,"PENALTY","WATCH"))))))</x:f>
      </x:c>
      <x:c r="X592" s="2" t="str">
        <x:f>IF(M592="","",IF(AND(AND(J592="PASS",'Calibrare_Linii'!U18="VALID"),'Motor_Meciuri'!K47=12,'Motor_Meciuri'!L47=12,'Motor_Meciuri'!M47="NO",'Motor_Meciuri'!BL47='Motor_Meciuri'!C47,AB592&gt;='Config_v6'!$B$50,AN592&gt;='Config_v6'!$B$51,T592&lt;='Config_v6'!$B$52,L592&lt;='Config_v6'!$B$53,ISNUMBER('Calibrare_Linii'!E18),S592&lt;='Calibrare_Linii'!E18,SUM(AK592:AM592)&gt;0),"CANDIDATE","NO"))</x:f>
      </x:c>
      <x:c r="Y592" s="2" t="str">
        <x:f>IF(B592="","",IF(I592&lt;&gt;"READY","NOT RELEASED",IF(AND(X592="CANDIDATE",V592&gt;='Config_v6'!$B$51,W592="PASS",'Calibrare_Linii'!T18="VALIDATED",AND('Calibrare_Linii'!H18=C592,ISNUMBER('Calibrare_Linii'!J18),'Calibrare_Linii'!J18&lt;='Input_Meci'!G47)),"PASS",IF(X592="CANDIDATE","OOS PENDING","FAIL"))))</x:f>
      </x:c>
      <x:c r="Z592" s="2" t="str">
        <x:f>IF(B592="","",IF(I592&lt;&gt;"READY","",IF(OR(NOT(AND(J592="PASS",'Calibrare_Linii'!U18="VALID")),L592&gt;'Config_v6'!$B$13,W592="WATCH"),5,IF(Y592="PASS",1,MIN(5,MAX('Config_v6'!$B$42,U592)+IF(W592="PENALTY",1,0))))))</x:f>
      </x:c>
      <x:c r="AA592" s="2" t="str">
        <x:f>IF(B592="","",IF(I592&lt;&gt;"READY","NOT RELEASED",IF(Z592=5,"NO BET",IF(OR(AB592&lt;'Config_v6'!$B$16,V592&lt;'Config_v6'!$B$18),"WATCH",IF(Z592=1,"DEFENSIV",IF(Z592=2,"PRUDENT",IF(Z592=3,"MODERAT","RIDICAT")))))))</x:f>
      </x:c>
      <x:c r="AB592" s="10" t="str">
        <x:f>IF(N592="","",MIN(N592,1-S592))</x:f>
      </x:c>
      <x:c r="AC592" s="2" t="str">
        <x:f>IF(AD592&lt;&gt;1,"",COUNTIFS($Z$580:$Z$593,"&lt;"&amp;Z592,$AD$580:$AD$593,1)+COUNTIFS($Z$580:$Z$593,Z592,$AB$580:$AB$593,"&gt;"&amp;AB592,$AD$580:$AD$593,1)+COUNTIFS($Z$580:$Z$593,Z592,$AB$580:$AB$593,AB592,$V$580:$V$593,"&gt;"&amp;V592,$AD$580:$AD$593,1)+COUNTIFS($Z$580:Z592,Z592,$AB$580:AB592,AB592,$V$580:V592,V592,$AD$580:AD592,1))</x:f>
      </x:c>
      <x:c r="AD592" s="2" t="n">
        <x:f>IF(OR(AA592="DEFENSIV",AA592="PRUDENT",AA592="MODERAT",AA592="RIDICAT"),1,0)</x:f>
        <x:v>0</x:v>
      </x:c>
      <x:c r="AE592" s="2" t="str">
        <x:f>IF(AD592&lt;&gt;1,"NO",IF(W592="PASS","YES",IF(W592="OOS PENDING","CONDITIONAL","NO")))</x:f>
        <x:v>NO</x:v>
      </x:c>
      <x:c r="AF592" s="2" t="n">
        <x:f>IF(AND(AD592=1,AC592=1,E592="LIVE"),1,0)</x:f>
        <x:v>0</x:v>
      </x:c>
      <x:c r="AG592" s="2" t="str">
        <x:f>IF(AF592&lt;&gt;1,"",'Dashboard'!P67)</x:f>
      </x:c>
      <x:c r="AH592" s="2" t="str">
        <x:f>IF(B592="","",IF(J592&lt;&gt;"PASS",'Motor_Meciuri'!J47,IF('Calibrare_Linii'!U18&lt;&gt;"VALID","Parametri linie invalizi",IF(L592&gt;'Config_v6'!$B$13,"Dispersie peste limita",IF(W592="WATCH","Failure peste limita",IF(AB592&lt;'Config_v6'!$B$16,"P finala sub prag",IF(V592&lt;'Config_v6'!$B$18,"Confidence sub prag",IF(E592="REPLAY","Exemplu retrospectiv; exclus din Top LIVE",IF(Y592="PASS","DEFENSIV validat",IF(W592="OOS PENDING","Eligibil; calibrare linie in monitorizare","Eligibil"))))))))))</x:f>
      </x:c>
      <x:c r="AI592" s="2" t="str">
        <x:f>IF(B592="","",'Calibrare_Linii'!V18)</x:f>
      </x:c>
      <x:c r="AJ592" s="2" t="str">
        <x:f>IF(B592="","",IF(AND('Calibrare_Linii'!T18="VALIDATED",AND('Calibrare_Linii'!H18=C592,ISNUMBER('Calibrare_Linii'!J18),'Calibrare_Linii'!J18&lt;='Input_Meci'!G47)),"DEFENSIVE VALIDATED",IF(AND('Calibrare_Linii'!S18="VALIDATED",AND('Calibrare_Linii'!H18=C592,ISNUMBER('Calibrare_Linii'!J18),'Calibrare_Linii'!J18&lt;='Input_Meci'!G47)),"TAIL VALIDATED","OOS PENDING")))</x:f>
      </x:c>
      <x:c r="AK592" s="2" t="n">
        <x:f>IF(J592&lt;&gt;"PASS",0,'Motor_Meciuri'!BR47)</x:f>
        <x:v>0</x:v>
      </x:c>
      <x:c r="AL592" s="2" t="n">
        <x:f>IF(J592&lt;&gt;"PASS",0,'Motor_Meciuri'!BS47)</x:f>
        <x:v>0</x:v>
      </x:c>
      <x:c r="AM592" s="2" t="n">
        <x:f>IF(J592&lt;&gt;"PASS",0,'Motor_Meciuri'!BT47)</x:f>
        <x:v>0</x:v>
      </x:c>
      <x:c r="AN592" s="2" t="str">
        <x:f>IF(M592="","",MAX(0,'Motor_Meciuri'!BF47-IF(L592&gt;'Config_v6'!$B$12,'Config_v6'!$B$37,IF(L592&gt;'Config_v6'!$B$11,'Config_v6'!$B$36,0))))</x:f>
      </x:c>
    </x:row>
    <x:row r="593" ht="21" customHeight="1">
      <x:c r="A593" s="2" t="n">
        <x:v>42</x:v>
      </x:c>
      <x:c r="B593" s="2" t="str">
        <x:f>IF('Motor_Meciuri'!A47="","",'Motor_Meciuri'!A47)</x:f>
      </x:c>
      <x:c r="C593" s="2" t="str">
        <x:f>IF(B593="","",'Motor_Meciuri'!B47)</x:f>
      </x:c>
      <x:c r="D593" s="2" t="str">
        <x:f>IF(B593="","",'Motor_Meciuri'!D47)</x:f>
      </x:c>
      <x:c r="E593" s="2" t="str">
        <x:f>IF(B593="","",'Motor_Meciuri'!E47)</x:f>
      </x:c>
      <x:c r="F593" s="2" t="str">
        <x:v>U17,5</x:v>
      </x:c>
      <x:c r="G593" s="2" t="str">
        <x:v>UNDER</x:v>
      </x:c>
      <x:c r="H593" s="2" t="n">
        <x:v>17</x:v>
      </x:c>
      <x:c r="I593" s="2" t="str">
        <x:f>IF(B593="","",'Motor_Meciuri'!H47)</x:f>
      </x:c>
      <x:c r="J593" s="2" t="str">
        <x:f>IF(B593="","",'Motor_Meciuri'!I47)</x:f>
      </x:c>
      <x:c r="K593" s="11" t="str">
        <x:f>IF(J593&lt;&gt;"PASS","",'Motor_Meciuri'!BD47)</x:f>
      </x:c>
      <x:c r="L593" s="11" t="str">
        <x:f>IF(J593&lt;&gt;"PASS","",'Motor_Meciuri'!AU47)</x:f>
      </x:c>
      <x:c r="M593" s="10" t="str">
        <x:f>IF(NOT(AND(J593="PASS",'Calibrare_Linii'!U19="VALID")),"",'Distributie'!AO47)</x:f>
      </x:c>
      <x:c r="N593" s="10" t="str">
        <x:f>IF(M593="","",MAX(0.01,MIN(0.99,0.5+(M593-0.5)*'Motor_Meciuri'!BG47*'Calibrare_Linii'!D19)))</x:f>
      </x:c>
      <x:c r="O593" s="10" t="str">
        <x:f>IF(M593="","",1-M593)</x:f>
      </x:c>
      <x:c r="P593" s="10" t="str">
        <x:f>IF(OR(NOT(AND(J593="PASS",'Calibrare_Linii'!U19="VALID")),AK593=0),""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*('Istoric_Nativ'!$Q$6:$Q$405&gt;H593))/AK593)</x:f>
      </x:c>
      <x:c r="Q593" s="10" t="str">
        <x:f>IF(OR(NOT(AND(J593="PASS",'Calibrare_Linii'!U19="VALID")),AL593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M47)+((('Istoric_Nativ'!$E$6:$E$405='Input_Meci'!E47)+('Istoric_Nativ'!$F$6:$F$405='Input_Meci'!E47))&gt;0)*('Istoric_Nativ'!$D$6:$D$405&gt;='Motor_Meciuri'!BN47))&gt;0)*('Istoric_Nativ'!$Q$6:$Q$405&gt;H593))/AL593)</x:f>
      </x:c>
      <x:c r="R593" s="10" t="str">
        <x:f>IF(OR(NOT(AND(J593="PASS",'Calibrare_Linii'!U19="VALID")),AM593=0),""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'Motor_Meciuri'!BO47)+((('Istoric_Nativ'!$E$6:$E$405='Input_Meci'!E47)+('Istoric_Nativ'!$F$6:$F$405='Input_Meci'!E47))&gt;0)*('Istoric_Nativ'!$D$6:$D$405&gt;='Motor_Meciuri'!BP47))&gt;0)*('Istoric_Nativ'!$Q$6:$Q$405&gt;H593))/AM593)</x:f>
      </x:c>
      <x:c r="S593" s="10" t="str">
        <x:f>IF(M593="","",MAX(O593,P593,Q593,R593))</x:f>
      </x:c>
      <x:c r="T593" s="11" t="str">
        <x:f>IF(M593="","",MIN(100,S593*100*'Config_v6'!$B$44+MIN(100,L593/'Config_v6'!$B$13*100)*'Config_v6'!$B$45+(100-'Motor_Meciuri'!BF47)*'Config_v6'!$B$46+'Motor_Meciuri'!BH47*100*'Config_v6'!$B$47))</x:f>
      </x:c>
      <x:c r="U593" s="2" t="str">
        <x:f>IF(T593="","",IF(T593&lt;=20,1,IF(T593&lt;=40,2,IF(T593&lt;=60,3,IF(T593&lt;=80,4,5)))))</x:f>
      </x:c>
      <x:c r="V593" s="2" t="str">
        <x:f>IF(M593="","",MAX(0,'Motor_Meciuri'!BF47-IF(W593="OOS PENDING",'Config_v6'!$B$35,0)-IF(L593&gt;'Config_v6'!$B$12,'Config_v6'!$B$37,IF(L593&gt;'Config_v6'!$B$11,'Config_v6'!$B$36,0))))</x:f>
      </x:c>
      <x:c r="W593" s="2" t="str">
        <x:f>IF(B593="","",IF(I593&lt;&gt;"READY","NOT RELEASED",IF(NOT(AND(J593="PASS",'Calibrare_Linii'!U19="VALID")),"INVALID",IF(NOT(AND('Calibrare_Linii'!S19="VALIDATED",AND('Calibrare_Linii'!H19=C593,ISNUMBER('Calibrare_Linii'!J19),'Calibrare_Linii'!J19&lt;='Input_Meci'!G47))),"OOS PENDING",IF(S593&lt;='Calibrare_Linii'!E19,"PASS",IF(S593&lt;='Calibrare_Linii'!F19,"PENALTY","WATCH"))))))</x:f>
      </x:c>
      <x:c r="X593" s="2" t="str">
        <x:f>IF(M593="","",IF(AND(AND(J593="PASS",'Calibrare_Linii'!U19="VALID"),'Motor_Meciuri'!K47=12,'Motor_Meciuri'!L47=12,'Motor_Meciuri'!M47="NO",'Motor_Meciuri'!BL47='Motor_Meciuri'!C47,AB593&gt;='Config_v6'!$B$50,AN593&gt;='Config_v6'!$B$51,T593&lt;='Config_v6'!$B$52,L593&lt;='Config_v6'!$B$53,ISNUMBER('Calibrare_Linii'!E19),S593&lt;='Calibrare_Linii'!E19,SUM(AK593:AM593)&gt;0),"CANDIDATE","NO"))</x:f>
      </x:c>
      <x:c r="Y593" s="2" t="str">
        <x:f>IF(B593="","",IF(I593&lt;&gt;"READY","NOT RELEASED",IF(AND(X593="CANDIDATE",V593&gt;='Config_v6'!$B$51,W593="PASS",'Calibrare_Linii'!T19="VALIDATED",AND('Calibrare_Linii'!H19=C593,ISNUMBER('Calibrare_Linii'!J19),'Calibrare_Linii'!J19&lt;='Input_Meci'!G47)),"PASS",IF(X593="CANDIDATE","OOS PENDING","FAIL"))))</x:f>
      </x:c>
      <x:c r="Z593" s="2" t="str">
        <x:f>IF(B593="","",IF(I593&lt;&gt;"READY","",IF(OR(NOT(AND(J593="PASS",'Calibrare_Linii'!U19="VALID")),L593&gt;'Config_v6'!$B$13,W593="WATCH"),5,IF(Y593="PASS",1,MIN(5,MAX('Config_v6'!$B$42,U593)+IF(W593="PENALTY",1,0))))))</x:f>
      </x:c>
      <x:c r="AA593" s="2" t="str">
        <x:f>IF(B593="","",IF(I593&lt;&gt;"READY","NOT RELEASED",IF(Z593=5,"NO BET",IF(OR(AB593&lt;'Config_v6'!$B$16,V593&lt;'Config_v6'!$B$18),"WATCH",IF(Z593=1,"DEFENSIV",IF(Z593=2,"PRUDENT",IF(Z593=3,"MODERAT","RIDICAT")))))))</x:f>
      </x:c>
      <x:c r="AB593" s="10" t="str">
        <x:f>IF(N593="","",MIN(N593,1-S593))</x:f>
      </x:c>
      <x:c r="AC593" s="2" t="str">
        <x:f>IF(AD593&lt;&gt;1,"",COUNTIFS($Z$580:$Z$593,"&lt;"&amp;Z593,$AD$580:$AD$593,1)+COUNTIFS($Z$580:$Z$593,Z593,$AB$580:$AB$593,"&gt;"&amp;AB593,$AD$580:$AD$593,1)+COUNTIFS($Z$580:$Z$593,Z593,$AB$580:$AB$593,AB593,$V$580:$V$593,"&gt;"&amp;V593,$AD$580:$AD$593,1)+COUNTIFS($Z$580:Z593,Z593,$AB$580:AB593,AB593,$V$580:V593,V593,$AD$580:AD593,1))</x:f>
      </x:c>
      <x:c r="AD593" s="2" t="n">
        <x:f>IF(OR(AA593="DEFENSIV",AA593="PRUDENT",AA593="MODERAT",AA593="RIDICAT"),1,0)</x:f>
        <x:v>0</x:v>
      </x:c>
      <x:c r="AE593" s="2" t="str">
        <x:f>IF(AD593&lt;&gt;1,"NO",IF(W593="PASS","YES",IF(W593="OOS PENDING","CONDITIONAL","NO")))</x:f>
        <x:v>NO</x:v>
      </x:c>
      <x:c r="AF593" s="2" t="n">
        <x:f>IF(AND(AD593=1,AC593=1,E593="LIVE"),1,0)</x:f>
        <x:v>0</x:v>
      </x:c>
      <x:c r="AG593" s="2" t="str">
        <x:f>IF(AF593&lt;&gt;1,"",'Dashboard'!P67)</x:f>
      </x:c>
      <x:c r="AH593" s="2" t="str">
        <x:f>IF(B593="","",IF(J593&lt;&gt;"PASS",'Motor_Meciuri'!J47,IF('Calibrare_Linii'!U19&lt;&gt;"VALID","Parametri linie invalizi",IF(L593&gt;'Config_v6'!$B$13,"Dispersie peste limita",IF(W593="WATCH","Failure peste limita",IF(AB593&lt;'Config_v6'!$B$16,"P finala sub prag",IF(V593&lt;'Config_v6'!$B$18,"Confidence sub prag",IF(E593="REPLAY","Exemplu retrospectiv; exclus din Top LIVE",IF(Y593="PASS","DEFENSIV validat",IF(W593="OOS PENDING","Eligibil; calibrare linie in monitorizare","Eligibil"))))))))))</x:f>
      </x:c>
      <x:c r="AI593" s="2" t="str">
        <x:f>IF(B593="","",'Calibrare_Linii'!V19)</x:f>
      </x:c>
      <x:c r="AJ593" s="2" t="str">
        <x:f>IF(B593="","",IF(AND('Calibrare_Linii'!T19="VALIDATED",AND('Calibrare_Linii'!H19=C593,ISNUMBER('Calibrare_Linii'!J19),'Calibrare_Linii'!J19&lt;='Input_Meci'!G47)),"DEFENSIVE VALIDATED",IF(AND('Calibrare_Linii'!S19="VALIDATED",AND('Calibrare_Linii'!H19=C593,ISNUMBER('Calibrare_Linii'!J19),'Calibrare_Linii'!J19&lt;='Input_Meci'!G47)),"TAIL VALIDATED","OOS PENDING")))</x:f>
      </x:c>
      <x:c r="AK593" s="2" t="n">
        <x:f>IF(J593&lt;&gt;"PASS",0,'Motor_Meciuri'!BR47)</x:f>
        <x:v>0</x:v>
      </x:c>
      <x:c r="AL593" s="2" t="n">
        <x:f>IF(J593&lt;&gt;"PASS",0,'Motor_Meciuri'!BS47)</x:f>
        <x:v>0</x:v>
      </x:c>
      <x:c r="AM593" s="2" t="n">
        <x:f>IF(J593&lt;&gt;"PASS",0,'Motor_Meciuri'!BT47)</x:f>
        <x:v>0</x:v>
      </x:c>
      <x:c r="AN593" s="2" t="str">
        <x:f>IF(M593="","",MAX(0,'Motor_Meciuri'!BF47-IF(L593&gt;'Config_v6'!$B$12,'Config_v6'!$B$37,IF(L593&gt;'Config_v6'!$B$11,'Config_v6'!$B$36,0))))</x:f>
      </x:c>
    </x:row>
    <x:row r="594" ht="21" customHeight="1">
      <x:c r="A594" s="2" t="n">
        <x:v>43</x:v>
      </x:c>
      <x:c r="B594" s="2" t="str">
        <x:f>IF('Motor_Meciuri'!A48="","",'Motor_Meciuri'!A48)</x:f>
      </x:c>
      <x:c r="C594" s="2" t="str">
        <x:f>IF(B594="","",'Motor_Meciuri'!B48)</x:f>
      </x:c>
      <x:c r="D594" s="2" t="str">
        <x:f>IF(B594="","",'Motor_Meciuri'!D48)</x:f>
      </x:c>
      <x:c r="E594" s="2" t="str">
        <x:f>IF(B594="","",'Motor_Meciuri'!E48)</x:f>
      </x:c>
      <x:c r="F594" s="2" t="str">
        <x:v>O3,5</x:v>
      </x:c>
      <x:c r="G594" s="2" t="str">
        <x:v>OVER</x:v>
      </x:c>
      <x:c r="H594" s="2" t="n">
        <x:v>3</x:v>
      </x:c>
      <x:c r="I594" s="2" t="str">
        <x:f>IF(B594="","",'Motor_Meciuri'!H48)</x:f>
      </x:c>
      <x:c r="J594" s="2" t="str">
        <x:f>IF(B594="","",'Motor_Meciuri'!I48)</x:f>
      </x:c>
      <x:c r="K594" s="11" t="str">
        <x:f>IF(J594&lt;&gt;"PASS","",'Motor_Meciuri'!BD48)</x:f>
      </x:c>
      <x:c r="L594" s="11" t="str">
        <x:f>IF(J594&lt;&gt;"PASS","",'Motor_Meciuri'!AU48)</x:f>
      </x:c>
      <x:c r="M594" s="10" t="str">
        <x:f>IF(NOT(AND(J594="PASS",'Calibrare_Linii'!U6="VALID")),"",1-'Distributie'!AA48)</x:f>
      </x:c>
      <x:c r="N594" s="10" t="str">
        <x:f>IF(M594="","",MAX(0.01,MIN(0.99,0.5+(M594-0.5)*'Motor_Meciuri'!BG48*'Calibrare_Linii'!D6)))</x:f>
      </x:c>
      <x:c r="O594" s="10" t="str">
        <x:f>IF(M594="","",1-M594)</x:f>
      </x:c>
      <x:c r="P594" s="10" t="str">
        <x:f>IF(OR(NOT(AND(J594="PASS",'Calibrare_Linii'!U6="VALID")),AK594=0),""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*('Istoric_Nativ'!$Q$6:$Q$405&lt;=H594))/AK594)</x:f>
      </x:c>
      <x:c r="Q594" s="10" t="str">
        <x:f>IF(OR(NOT(AND(J594="PASS",'Calibrare_Linii'!U6="VALID")),AL594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M48)+((('Istoric_Nativ'!$E$6:$E$405='Input_Meci'!E48)+('Istoric_Nativ'!$F$6:$F$405='Input_Meci'!E48))&gt;0)*('Istoric_Nativ'!$D$6:$D$405&gt;='Motor_Meciuri'!BN48))&gt;0)*('Istoric_Nativ'!$Q$6:$Q$405&lt;=H594))/AL594)</x:f>
      </x:c>
      <x:c r="R594" s="10" t="str">
        <x:f>IF(OR(NOT(AND(J594="PASS",'Calibrare_Linii'!U6="VALID")),AM594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O48)+((('Istoric_Nativ'!$E$6:$E$405='Input_Meci'!E48)+('Istoric_Nativ'!$F$6:$F$405='Input_Meci'!E48))&gt;0)*('Istoric_Nativ'!$D$6:$D$405&gt;='Motor_Meciuri'!BP48))&gt;0)*('Istoric_Nativ'!$Q$6:$Q$405&lt;=H594))/AM594)</x:f>
      </x:c>
      <x:c r="S594" s="10" t="str">
        <x:f>IF(M594="","",MAX(O594,P594,Q594,R594))</x:f>
      </x:c>
      <x:c r="T594" s="11" t="str">
        <x:f>IF(M594="","",MIN(100,S594*100*'Config_v6'!$B$44+MIN(100,L594/'Config_v6'!$B$13*100)*'Config_v6'!$B$45+(100-'Motor_Meciuri'!BF48)*'Config_v6'!$B$46+'Motor_Meciuri'!BH48*100*'Config_v6'!$B$47))</x:f>
      </x:c>
      <x:c r="U594" s="2" t="str">
        <x:f>IF(T594="","",IF(T594&lt;=20,1,IF(T594&lt;=40,2,IF(T594&lt;=60,3,IF(T594&lt;=80,4,5)))))</x:f>
      </x:c>
      <x:c r="V594" s="2" t="str">
        <x:f>IF(M594="","",MAX(0,'Motor_Meciuri'!BF48-IF(W594="OOS PENDING",'Config_v6'!$B$35,0)-IF(L594&gt;'Config_v6'!$B$12,'Config_v6'!$B$37,IF(L594&gt;'Config_v6'!$B$11,'Config_v6'!$B$36,0))))</x:f>
      </x:c>
      <x:c r="W594" s="2" t="str">
        <x:f>IF(B594="","",IF(I594&lt;&gt;"READY","NOT RELEASED",IF(NOT(AND(J594="PASS",'Calibrare_Linii'!U6="VALID")),"INVALID",IF(NOT(TRUE),"OOS PENDING",IF(S594&lt;=IF(AND('Calibrare_Linii'!S6="VALIDATED",AND('Calibrare_Linii'!H6=C594,ISNUMBER('Calibrare_Linii'!J6),'Calibrare_Linii'!J6&lt;='Input_Meci'!G48)),'Calibrare_Linii'!E6,'Config_v6'!$B$26),"PASS",IF(S594&lt;=IF(AND('Calibrare_Linii'!S6="VALIDATED",AND('Calibrare_Linii'!H6=C594,ISNUMBER('Calibrare_Linii'!J6),'Calibrare_Linii'!J6&lt;='Input_Meci'!G48)),'Calibrare_Linii'!F6,'Config_v6'!$C$26),"PENALTY","WATCH"))))))</x:f>
      </x:c>
      <x:c r="X594" s="2" t="str">
        <x:f>IF(M594="","",IF(AND(AND(J594="PASS",'Calibrare_Linii'!U6="VALID"),'Motor_Meciuri'!K48=12,'Motor_Meciuri'!L48=12,'Motor_Meciuri'!M48="NO",'Motor_Meciuri'!BL48='Motor_Meciuri'!C48,AB594&gt;='Config_v6'!$B$50,AN594&gt;='Config_v6'!$B$51,T594&lt;='Config_v6'!$B$52,L594&lt;='Config_v6'!$B$53,ISNUMBER('Calibrare_Linii'!E6),S594&lt;='Calibrare_Linii'!E6,SUM(AK594:AM594)&gt;0),"CANDIDATE","NO"))</x:f>
      </x:c>
      <x:c r="Y594" s="2" t="str">
        <x:f>IF(B594="","",IF(I594&lt;&gt;"READY","NOT RELEASED",IF(AND(X594="CANDIDATE",V594&gt;='Config_v6'!$B$51,W594="PASS",'Calibrare_Linii'!T6="VALIDATED",AND('Calibrare_Linii'!H6=C594,ISNUMBER('Calibrare_Linii'!J6),'Calibrare_Linii'!J6&lt;='Input_Meci'!G48)),"PASS",IF(X594="CANDIDATE","OOS PENDING","FAIL"))))</x:f>
      </x:c>
      <x:c r="Z594" s="2" t="str">
        <x:f>IF(B594="","",IF(I594&lt;&gt;"READY","",IF(OR(NOT(AND(J594="PASS",'Calibrare_Linii'!U6="VALID")),L594&gt;'Config_v6'!$B$13,W594="WATCH"),5,IF(Y594="PASS",1,MIN(5,MAX('Config_v6'!$B$42,U594)+IF(W594="PENALTY",1,0))))))</x:f>
      </x:c>
      <x:c r="AA594" s="2" t="str">
        <x:f>IF(B594="","",IF(I594&lt;&gt;"READY","NOT RELEASED",IF(Z594=5,"NO BET",IF(OR(AB594&lt;'Config_v6'!$B$16,V594&lt;'Config_v6'!$B$18),"WATCH",IF(Z594=1,"DEFENSIV",IF(Z594=2,"PRUDENT",IF(Z594=3,"MODERAT","RIDICAT")))))))</x:f>
      </x:c>
      <x:c r="AB594" s="10" t="str">
        <x:f>IF(N594="","",MIN(N594,1-S594))</x:f>
      </x:c>
      <x:c r="AC594" s="2" t="str">
        <x:f>IF(AD594&lt;&gt;1,"",COUNTIFS($Z$594:$Z$607,"&lt;"&amp;Z594,$AD$594:$AD$607,1)+COUNTIFS($Z$594:$Z$607,Z594,$AB$594:$AB$607,"&gt;"&amp;AB594,$AD$594:$AD$607,1)+COUNTIFS($Z$594:$Z$607,Z594,$AB$594:$AB$607,AB594,$V$594:$V$607,"&gt;"&amp;V594,$AD$594:$AD$607,1)+COUNTIFS($Z$594:Z594,Z594,$AB$594:AB594,AB594,$V$594:V594,V594,$AD$594:AD594,1))</x:f>
      </x:c>
      <x:c r="AD594" s="2" t="n">
        <x:f>IF(OR(AA594="DEFENSIV",AA594="PRUDENT",AA594="MODERAT",AA594="RIDICAT"),1,0)</x:f>
        <x:v>0</x:v>
      </x:c>
      <x:c r="AE594" s="2" t="str">
        <x:f>IF(AD594&lt;&gt;1,"NO",IF(W594="PASS","YES",IF(W594="OOS PENDING","CONDITIONAL","NO")))</x:f>
        <x:v>NO</x:v>
      </x:c>
      <x:c r="AF594" s="2" t="n">
        <x:f>IF(AND(AD594=1,AC594=1,E594="LIVE"),1,0)</x:f>
        <x:v>0</x:v>
      </x:c>
      <x:c r="AG594" s="2" t="str">
        <x:f>IF(AF594&lt;&gt;1,"",'Dashboard'!P68)</x:f>
      </x:c>
      <x:c r="AH594" s="2" t="str">
        <x:f>IF(B594="","",IF(J594&lt;&gt;"PASS",'Motor_Meciuri'!J48,IF('Calibrare_Linii'!U6&lt;&gt;"VALID","Parametri linie invalizi",IF(L594&gt;'Config_v6'!$B$13,"Dispersie peste limita",IF(W594="WATCH","Failure peste limita",IF(AB594&lt;'Config_v6'!$B$16,"P finala sub prag",IF(V594&lt;'Config_v6'!$B$18,"Confidence sub prag",IF(E594="REPLAY","Exemplu retrospectiv; exclus din Top LIVE",IF(Y594="PASS","DEFENSIV validat",IF(W594="OOS PENDING","Eligibil; calibrare linie in monitorizare","Eligibil"))))))))))</x:f>
      </x:c>
      <x:c r="AI594" s="2" t="str">
        <x:f>IF(B594="","",'Calibrare_Linii'!V6)</x:f>
      </x:c>
      <x:c r="AJ594" s="2" t="str">
        <x:f>IF(B594="","",IF(AND('Calibrare_Linii'!T6="VALIDATED",AND('Calibrare_Linii'!H6=C594,ISNUMBER('Calibrare_Linii'!J6),'Calibrare_Linii'!J6&lt;='Input_Meci'!G48)),"DEFENSIVE VALIDATED",IF(AND('Calibrare_Linii'!S6="VALIDATED",AND('Calibrare_Linii'!H6=C594,ISNUMBER('Calibrare_Linii'!J6),'Calibrare_Linii'!J6&lt;='Input_Meci'!G48)),"TAIL VALIDATED","OOS PENDING")))</x:f>
      </x:c>
      <x:c r="AK594" s="2" t="n">
        <x:f>IF(J594&lt;&gt;"PASS",0,'Motor_Meciuri'!BR48)</x:f>
        <x:v>0</x:v>
      </x:c>
      <x:c r="AL594" s="2" t="n">
        <x:f>IF(J594&lt;&gt;"PASS",0,'Motor_Meciuri'!BS48)</x:f>
        <x:v>0</x:v>
      </x:c>
      <x:c r="AM594" s="2" t="n">
        <x:f>IF(J594&lt;&gt;"PASS",0,'Motor_Meciuri'!BT48)</x:f>
        <x:v>0</x:v>
      </x:c>
      <x:c r="AN594" s="2" t="str">
        <x:f>IF(M594="","",MAX(0,'Motor_Meciuri'!BF48-IF(L594&gt;'Config_v6'!$B$12,'Config_v6'!$B$37,IF(L594&gt;'Config_v6'!$B$11,'Config_v6'!$B$36,0))))</x:f>
      </x:c>
    </x:row>
    <x:row r="595" ht="21" customHeight="1">
      <x:c r="A595" s="2" t="n">
        <x:v>43</x:v>
      </x:c>
      <x:c r="B595" s="2" t="str">
        <x:f>IF('Motor_Meciuri'!A48="","",'Motor_Meciuri'!A48)</x:f>
      </x:c>
      <x:c r="C595" s="2" t="str">
        <x:f>IF(B595="","",'Motor_Meciuri'!B48)</x:f>
      </x:c>
      <x:c r="D595" s="2" t="str">
        <x:f>IF(B595="","",'Motor_Meciuri'!D48)</x:f>
      </x:c>
      <x:c r="E595" s="2" t="str">
        <x:f>IF(B595="","",'Motor_Meciuri'!E48)</x:f>
      </x:c>
      <x:c r="F595" s="2" t="str">
        <x:v>O4,5</x:v>
      </x:c>
      <x:c r="G595" s="2" t="str">
        <x:v>OVER</x:v>
      </x:c>
      <x:c r="H595" s="2" t="n">
        <x:v>4</x:v>
      </x:c>
      <x:c r="I595" s="2" t="str">
        <x:f>IF(B595="","",'Motor_Meciuri'!H48)</x:f>
      </x:c>
      <x:c r="J595" s="2" t="str">
        <x:f>IF(B595="","",'Motor_Meciuri'!I48)</x:f>
      </x:c>
      <x:c r="K595" s="11" t="str">
        <x:f>IF(J595&lt;&gt;"PASS","",'Motor_Meciuri'!BD48)</x:f>
      </x:c>
      <x:c r="L595" s="11" t="str">
        <x:f>IF(J595&lt;&gt;"PASS","",'Motor_Meciuri'!AU48)</x:f>
      </x:c>
      <x:c r="M595" s="10" t="str">
        <x:f>IF(NOT(AND(J595="PASS",'Calibrare_Linii'!U7="VALID")),"",1-'Distributie'!AB48)</x:f>
      </x:c>
      <x:c r="N595" s="10" t="str">
        <x:f>IF(M595="","",MAX(0.01,MIN(0.99,0.5+(M595-0.5)*'Motor_Meciuri'!BG48*'Calibrare_Linii'!D7)))</x:f>
      </x:c>
      <x:c r="O595" s="10" t="str">
        <x:f>IF(M595="","",1-M595)</x:f>
      </x:c>
      <x:c r="P595" s="10" t="str">
        <x:f>IF(OR(NOT(AND(J595="PASS",'Calibrare_Linii'!U7="VALID")),AK595=0),""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*('Istoric_Nativ'!$Q$6:$Q$405&lt;=H595))/AK595)</x:f>
      </x:c>
      <x:c r="Q595" s="10" t="str">
        <x:f>IF(OR(NOT(AND(J595="PASS",'Calibrare_Linii'!U7="VALID")),AL595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M48)+((('Istoric_Nativ'!$E$6:$E$405='Input_Meci'!E48)+('Istoric_Nativ'!$F$6:$F$405='Input_Meci'!E48))&gt;0)*('Istoric_Nativ'!$D$6:$D$405&gt;='Motor_Meciuri'!BN48))&gt;0)*('Istoric_Nativ'!$Q$6:$Q$405&lt;=H595))/AL595)</x:f>
      </x:c>
      <x:c r="R595" s="10" t="str">
        <x:f>IF(OR(NOT(AND(J595="PASS",'Calibrare_Linii'!U7="VALID")),AM595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O48)+((('Istoric_Nativ'!$E$6:$E$405='Input_Meci'!E48)+('Istoric_Nativ'!$F$6:$F$405='Input_Meci'!E48))&gt;0)*('Istoric_Nativ'!$D$6:$D$405&gt;='Motor_Meciuri'!BP48))&gt;0)*('Istoric_Nativ'!$Q$6:$Q$405&lt;=H595))/AM595)</x:f>
      </x:c>
      <x:c r="S595" s="10" t="str">
        <x:f>IF(M595="","",MAX(O595,P595,Q595,R595))</x:f>
      </x:c>
      <x:c r="T595" s="11" t="str">
        <x:f>IF(M595="","",MIN(100,S595*100*'Config_v6'!$B$44+MIN(100,L595/'Config_v6'!$B$13*100)*'Config_v6'!$B$45+(100-'Motor_Meciuri'!BF48)*'Config_v6'!$B$46+'Motor_Meciuri'!BH48*100*'Config_v6'!$B$47))</x:f>
      </x:c>
      <x:c r="U595" s="2" t="str">
        <x:f>IF(T595="","",IF(T595&lt;=20,1,IF(T595&lt;=40,2,IF(T595&lt;=60,3,IF(T595&lt;=80,4,5)))))</x:f>
      </x:c>
      <x:c r="V595" s="2" t="str">
        <x:f>IF(M595="","",MAX(0,'Motor_Meciuri'!BF48-IF(W595="OOS PENDING",'Config_v6'!$B$35,0)-IF(L595&gt;'Config_v6'!$B$12,'Config_v6'!$B$37,IF(L595&gt;'Config_v6'!$B$11,'Config_v6'!$B$36,0))))</x:f>
      </x:c>
      <x:c r="W595" s="2" t="str">
        <x:f>IF(B595="","",IF(I595&lt;&gt;"READY","NOT RELEASED",IF(NOT(AND(J595="PASS",'Calibrare_Linii'!U7="VALID")),"INVALID",IF(NOT(AND('Calibrare_Linii'!S7="VALIDATED",AND('Calibrare_Linii'!H7=C595,ISNUMBER('Calibrare_Linii'!J7),'Calibrare_Linii'!J7&lt;='Input_Meci'!G48))),"OOS PENDING",IF(S595&lt;='Calibrare_Linii'!E7,"PASS",IF(S595&lt;='Calibrare_Linii'!F7,"PENALTY","WATCH"))))))</x:f>
      </x:c>
      <x:c r="X595" s="2" t="str">
        <x:f>IF(M595="","",IF(AND(AND(J595="PASS",'Calibrare_Linii'!U7="VALID"),'Motor_Meciuri'!K48=12,'Motor_Meciuri'!L48=12,'Motor_Meciuri'!M48="NO",'Motor_Meciuri'!BL48='Motor_Meciuri'!C48,AB595&gt;='Config_v6'!$B$50,AN595&gt;='Config_v6'!$B$51,T595&lt;='Config_v6'!$B$52,L595&lt;='Config_v6'!$B$53,ISNUMBER('Calibrare_Linii'!E7),S595&lt;='Calibrare_Linii'!E7,SUM(AK595:AM595)&gt;0),"CANDIDATE","NO"))</x:f>
      </x:c>
      <x:c r="Y595" s="2" t="str">
        <x:f>IF(B595="","",IF(I595&lt;&gt;"READY","NOT RELEASED",IF(AND(X595="CANDIDATE",V595&gt;='Config_v6'!$B$51,W595="PASS",'Calibrare_Linii'!T7="VALIDATED",AND('Calibrare_Linii'!H7=C595,ISNUMBER('Calibrare_Linii'!J7),'Calibrare_Linii'!J7&lt;='Input_Meci'!G48)),"PASS",IF(X595="CANDIDATE","OOS PENDING","FAIL"))))</x:f>
      </x:c>
      <x:c r="Z595" s="2" t="str">
        <x:f>IF(B595="","",IF(I595&lt;&gt;"READY","",IF(OR(NOT(AND(J595="PASS",'Calibrare_Linii'!U7="VALID")),L595&gt;'Config_v6'!$B$13,W595="WATCH"),5,IF(Y595="PASS",1,MIN(5,MAX('Config_v6'!$B$42,U595)+IF(W595="PENALTY",1,0))))))</x:f>
      </x:c>
      <x:c r="AA595" s="2" t="str">
        <x:f>IF(B595="","",IF(I595&lt;&gt;"READY","NOT RELEASED",IF(Z595=5,"NO BET",IF(OR(AB595&lt;'Config_v6'!$B$16,V595&lt;'Config_v6'!$B$18),"WATCH",IF(Z595=1,"DEFENSIV",IF(Z595=2,"PRUDENT",IF(Z595=3,"MODERAT","RIDICAT")))))))</x:f>
      </x:c>
      <x:c r="AB595" s="10" t="str">
        <x:f>IF(N595="","",MIN(N595,1-S595))</x:f>
      </x:c>
      <x:c r="AC595" s="2" t="str">
        <x:f>IF(AD595&lt;&gt;1,"",COUNTIFS($Z$594:$Z$607,"&lt;"&amp;Z595,$AD$594:$AD$607,1)+COUNTIFS($Z$594:$Z$607,Z595,$AB$594:$AB$607,"&gt;"&amp;AB595,$AD$594:$AD$607,1)+COUNTIFS($Z$594:$Z$607,Z595,$AB$594:$AB$607,AB595,$V$594:$V$607,"&gt;"&amp;V595,$AD$594:$AD$607,1)+COUNTIFS($Z$594:Z595,Z595,$AB$594:AB595,AB595,$V$594:V595,V595,$AD$594:AD595,1))</x:f>
      </x:c>
      <x:c r="AD595" s="2" t="n">
        <x:f>IF(OR(AA595="DEFENSIV",AA595="PRUDENT",AA595="MODERAT",AA595="RIDICAT"),1,0)</x:f>
        <x:v>0</x:v>
      </x:c>
      <x:c r="AE595" s="2" t="str">
        <x:f>IF(AD595&lt;&gt;1,"NO",IF(W595="PASS","YES",IF(W595="OOS PENDING","CONDITIONAL","NO")))</x:f>
        <x:v>NO</x:v>
      </x:c>
      <x:c r="AF595" s="2" t="n">
        <x:f>IF(AND(AD595=1,AC595=1,E595="LIVE"),1,0)</x:f>
        <x:v>0</x:v>
      </x:c>
      <x:c r="AG595" s="2" t="str">
        <x:f>IF(AF595&lt;&gt;1,"",'Dashboard'!P68)</x:f>
      </x:c>
      <x:c r="AH595" s="2" t="str">
        <x:f>IF(B595="","",IF(J595&lt;&gt;"PASS",'Motor_Meciuri'!J48,IF('Calibrare_Linii'!U7&lt;&gt;"VALID","Parametri linie invalizi",IF(L595&gt;'Config_v6'!$B$13,"Dispersie peste limita",IF(W595="WATCH","Failure peste limita",IF(AB595&lt;'Config_v6'!$B$16,"P finala sub prag",IF(V595&lt;'Config_v6'!$B$18,"Confidence sub prag",IF(E595="REPLAY","Exemplu retrospectiv; exclus din Top LIVE",IF(Y595="PASS","DEFENSIV validat",IF(W595="OOS PENDING","Eligibil; calibrare linie in monitorizare","Eligibil"))))))))))</x:f>
      </x:c>
      <x:c r="AI595" s="2" t="str">
        <x:f>IF(B595="","",'Calibrare_Linii'!V7)</x:f>
      </x:c>
      <x:c r="AJ595" s="2" t="str">
        <x:f>IF(B595="","",IF(AND('Calibrare_Linii'!T7="VALIDATED",AND('Calibrare_Linii'!H7=C595,ISNUMBER('Calibrare_Linii'!J7),'Calibrare_Linii'!J7&lt;='Input_Meci'!G48)),"DEFENSIVE VALIDATED",IF(AND('Calibrare_Linii'!S7="VALIDATED",AND('Calibrare_Linii'!H7=C595,ISNUMBER('Calibrare_Linii'!J7),'Calibrare_Linii'!J7&lt;='Input_Meci'!G48)),"TAIL VALIDATED","OOS PENDING")))</x:f>
      </x:c>
      <x:c r="AK595" s="2" t="n">
        <x:f>IF(J595&lt;&gt;"PASS",0,'Motor_Meciuri'!BR48)</x:f>
        <x:v>0</x:v>
      </x:c>
      <x:c r="AL595" s="2" t="n">
        <x:f>IF(J595&lt;&gt;"PASS",0,'Motor_Meciuri'!BS48)</x:f>
        <x:v>0</x:v>
      </x:c>
      <x:c r="AM595" s="2" t="n">
        <x:f>IF(J595&lt;&gt;"PASS",0,'Motor_Meciuri'!BT48)</x:f>
        <x:v>0</x:v>
      </x:c>
      <x:c r="AN595" s="2" t="str">
        <x:f>IF(M595="","",MAX(0,'Motor_Meciuri'!BF48-IF(L595&gt;'Config_v6'!$B$12,'Config_v6'!$B$37,IF(L595&gt;'Config_v6'!$B$11,'Config_v6'!$B$36,0))))</x:f>
      </x:c>
    </x:row>
    <x:row r="596" ht="21" customHeight="1">
      <x:c r="A596" s="2" t="n">
        <x:v>43</x:v>
      </x:c>
      <x:c r="B596" s="2" t="str">
        <x:f>IF('Motor_Meciuri'!A48="","",'Motor_Meciuri'!A48)</x:f>
      </x:c>
      <x:c r="C596" s="2" t="str">
        <x:f>IF(B596="","",'Motor_Meciuri'!B48)</x:f>
      </x:c>
      <x:c r="D596" s="2" t="str">
        <x:f>IF(B596="","",'Motor_Meciuri'!D48)</x:f>
      </x:c>
      <x:c r="E596" s="2" t="str">
        <x:f>IF(B596="","",'Motor_Meciuri'!E48)</x:f>
      </x:c>
      <x:c r="F596" s="2" t="str">
        <x:v>O5,5</x:v>
      </x:c>
      <x:c r="G596" s="2" t="str">
        <x:v>OVER</x:v>
      </x:c>
      <x:c r="H596" s="2" t="n">
        <x:v>5</x:v>
      </x:c>
      <x:c r="I596" s="2" t="str">
        <x:f>IF(B596="","",'Motor_Meciuri'!H48)</x:f>
      </x:c>
      <x:c r="J596" s="2" t="str">
        <x:f>IF(B596="","",'Motor_Meciuri'!I48)</x:f>
      </x:c>
      <x:c r="K596" s="11" t="str">
        <x:f>IF(J596&lt;&gt;"PASS","",'Motor_Meciuri'!BD48)</x:f>
      </x:c>
      <x:c r="L596" s="11" t="str">
        <x:f>IF(J596&lt;&gt;"PASS","",'Motor_Meciuri'!AU48)</x:f>
      </x:c>
      <x:c r="M596" s="10" t="str">
        <x:f>IF(NOT(AND(J596="PASS",'Calibrare_Linii'!U8="VALID")),"",1-'Distributie'!AC48)</x:f>
      </x:c>
      <x:c r="N596" s="10" t="str">
        <x:f>IF(M596="","",MAX(0.01,MIN(0.99,0.5+(M596-0.5)*'Motor_Meciuri'!BG48*'Calibrare_Linii'!D8)))</x:f>
      </x:c>
      <x:c r="O596" s="10" t="str">
        <x:f>IF(M596="","",1-M596)</x:f>
      </x:c>
      <x:c r="P596" s="10" t="str">
        <x:f>IF(OR(NOT(AND(J596="PASS",'Calibrare_Linii'!U8="VALID")),AK596=0),""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*('Istoric_Nativ'!$Q$6:$Q$405&lt;=H596))/AK596)</x:f>
      </x:c>
      <x:c r="Q596" s="10" t="str">
        <x:f>IF(OR(NOT(AND(J596="PASS",'Calibrare_Linii'!U8="VALID")),AL596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M48)+((('Istoric_Nativ'!$E$6:$E$405='Input_Meci'!E48)+('Istoric_Nativ'!$F$6:$F$405='Input_Meci'!E48))&gt;0)*('Istoric_Nativ'!$D$6:$D$405&gt;='Motor_Meciuri'!BN48))&gt;0)*('Istoric_Nativ'!$Q$6:$Q$405&lt;=H596))/AL596)</x:f>
      </x:c>
      <x:c r="R596" s="10" t="str">
        <x:f>IF(OR(NOT(AND(J596="PASS",'Calibrare_Linii'!U8="VALID")),AM596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O48)+((('Istoric_Nativ'!$E$6:$E$405='Input_Meci'!E48)+('Istoric_Nativ'!$F$6:$F$405='Input_Meci'!E48))&gt;0)*('Istoric_Nativ'!$D$6:$D$405&gt;='Motor_Meciuri'!BP48))&gt;0)*('Istoric_Nativ'!$Q$6:$Q$405&lt;=H596))/AM596)</x:f>
      </x:c>
      <x:c r="S596" s="10" t="str">
        <x:f>IF(M596="","",MAX(O596,P596,Q596,R596))</x:f>
      </x:c>
      <x:c r="T596" s="11" t="str">
        <x:f>IF(M596="","",MIN(100,S596*100*'Config_v6'!$B$44+MIN(100,L596/'Config_v6'!$B$13*100)*'Config_v6'!$B$45+(100-'Motor_Meciuri'!BF48)*'Config_v6'!$B$46+'Motor_Meciuri'!BH48*100*'Config_v6'!$B$47))</x:f>
      </x:c>
      <x:c r="U596" s="2" t="str">
        <x:f>IF(T596="","",IF(T596&lt;=20,1,IF(T596&lt;=40,2,IF(T596&lt;=60,3,IF(T596&lt;=80,4,5)))))</x:f>
      </x:c>
      <x:c r="V596" s="2" t="str">
        <x:f>IF(M596="","",MAX(0,'Motor_Meciuri'!BF48-IF(W596="OOS PENDING",'Config_v6'!$B$35,0)-IF(L596&gt;'Config_v6'!$B$12,'Config_v6'!$B$37,IF(L596&gt;'Config_v6'!$B$11,'Config_v6'!$B$36,0))))</x:f>
      </x:c>
      <x:c r="W596" s="2" t="str">
        <x:f>IF(B596="","",IF(I596&lt;&gt;"READY","NOT RELEASED",IF(NOT(AND(J596="PASS",'Calibrare_Linii'!U8="VALID")),"INVALID",IF(NOT(AND('Calibrare_Linii'!S8="VALIDATED",AND('Calibrare_Linii'!H8=C596,ISNUMBER('Calibrare_Linii'!J8),'Calibrare_Linii'!J8&lt;='Input_Meci'!G48))),"OOS PENDING",IF(S596&lt;='Calibrare_Linii'!E8,"PASS",IF(S596&lt;='Calibrare_Linii'!F8,"PENALTY","WATCH"))))))</x:f>
      </x:c>
      <x:c r="X596" s="2" t="str">
        <x:f>IF(M596="","",IF(AND(AND(J596="PASS",'Calibrare_Linii'!U8="VALID"),'Motor_Meciuri'!K48=12,'Motor_Meciuri'!L48=12,'Motor_Meciuri'!M48="NO",'Motor_Meciuri'!BL48='Motor_Meciuri'!C48,AB596&gt;='Config_v6'!$B$50,AN596&gt;='Config_v6'!$B$51,T596&lt;='Config_v6'!$B$52,L596&lt;='Config_v6'!$B$53,ISNUMBER('Calibrare_Linii'!E8),S596&lt;='Calibrare_Linii'!E8,SUM(AK596:AM596)&gt;0),"CANDIDATE","NO"))</x:f>
      </x:c>
      <x:c r="Y596" s="2" t="str">
        <x:f>IF(B596="","",IF(I596&lt;&gt;"READY","NOT RELEASED",IF(AND(X596="CANDIDATE",V596&gt;='Config_v6'!$B$51,W596="PASS",'Calibrare_Linii'!T8="VALIDATED",AND('Calibrare_Linii'!H8=C596,ISNUMBER('Calibrare_Linii'!J8),'Calibrare_Linii'!J8&lt;='Input_Meci'!G48)),"PASS",IF(X596="CANDIDATE","OOS PENDING","FAIL"))))</x:f>
      </x:c>
      <x:c r="Z596" s="2" t="str">
        <x:f>IF(B596="","",IF(I596&lt;&gt;"READY","",IF(OR(NOT(AND(J596="PASS",'Calibrare_Linii'!U8="VALID")),L596&gt;'Config_v6'!$B$13,W596="WATCH"),5,IF(Y596="PASS",1,MIN(5,MAX('Config_v6'!$B$42,U596)+IF(W596="PENALTY",1,0))))))</x:f>
      </x:c>
      <x:c r="AA596" s="2" t="str">
        <x:f>IF(B596="","",IF(I596&lt;&gt;"READY","NOT RELEASED",IF(Z596=5,"NO BET",IF(OR(AB596&lt;'Config_v6'!$B$16,V596&lt;'Config_v6'!$B$18),"WATCH",IF(Z596=1,"DEFENSIV",IF(Z596=2,"PRUDENT",IF(Z596=3,"MODERAT","RIDICAT")))))))</x:f>
      </x:c>
      <x:c r="AB596" s="10" t="str">
        <x:f>IF(N596="","",MIN(N596,1-S596))</x:f>
      </x:c>
      <x:c r="AC596" s="2" t="str">
        <x:f>IF(AD596&lt;&gt;1,"",COUNTIFS($Z$594:$Z$607,"&lt;"&amp;Z596,$AD$594:$AD$607,1)+COUNTIFS($Z$594:$Z$607,Z596,$AB$594:$AB$607,"&gt;"&amp;AB596,$AD$594:$AD$607,1)+COUNTIFS($Z$594:$Z$607,Z596,$AB$594:$AB$607,AB596,$V$594:$V$607,"&gt;"&amp;V596,$AD$594:$AD$607,1)+COUNTIFS($Z$594:Z596,Z596,$AB$594:AB596,AB596,$V$594:V596,V596,$AD$594:AD596,1))</x:f>
      </x:c>
      <x:c r="AD596" s="2" t="n">
        <x:f>IF(OR(AA596="DEFENSIV",AA596="PRUDENT",AA596="MODERAT",AA596="RIDICAT"),1,0)</x:f>
        <x:v>0</x:v>
      </x:c>
      <x:c r="AE596" s="2" t="str">
        <x:f>IF(AD596&lt;&gt;1,"NO",IF(W596="PASS","YES",IF(W596="OOS PENDING","CONDITIONAL","NO")))</x:f>
        <x:v>NO</x:v>
      </x:c>
      <x:c r="AF596" s="2" t="n">
        <x:f>IF(AND(AD596=1,AC596=1,E596="LIVE"),1,0)</x:f>
        <x:v>0</x:v>
      </x:c>
      <x:c r="AG596" s="2" t="str">
        <x:f>IF(AF596&lt;&gt;1,"",'Dashboard'!P68)</x:f>
      </x:c>
      <x:c r="AH596" s="2" t="str">
        <x:f>IF(B596="","",IF(J596&lt;&gt;"PASS",'Motor_Meciuri'!J48,IF('Calibrare_Linii'!U8&lt;&gt;"VALID","Parametri linie invalizi",IF(L596&gt;'Config_v6'!$B$13,"Dispersie peste limita",IF(W596="WATCH","Failure peste limita",IF(AB596&lt;'Config_v6'!$B$16,"P finala sub prag",IF(V596&lt;'Config_v6'!$B$18,"Confidence sub prag",IF(E596="REPLAY","Exemplu retrospectiv; exclus din Top LIVE",IF(Y596="PASS","DEFENSIV validat",IF(W596="OOS PENDING","Eligibil; calibrare linie in monitorizare","Eligibil"))))))))))</x:f>
      </x:c>
      <x:c r="AI596" s="2" t="str">
        <x:f>IF(B596="","",'Calibrare_Linii'!V8)</x:f>
      </x:c>
      <x:c r="AJ596" s="2" t="str">
        <x:f>IF(B596="","",IF(AND('Calibrare_Linii'!T8="VALIDATED",AND('Calibrare_Linii'!H8=C596,ISNUMBER('Calibrare_Linii'!J8),'Calibrare_Linii'!J8&lt;='Input_Meci'!G48)),"DEFENSIVE VALIDATED",IF(AND('Calibrare_Linii'!S8="VALIDATED",AND('Calibrare_Linii'!H8=C596,ISNUMBER('Calibrare_Linii'!J8),'Calibrare_Linii'!J8&lt;='Input_Meci'!G48)),"TAIL VALIDATED","OOS PENDING")))</x:f>
      </x:c>
      <x:c r="AK596" s="2" t="n">
        <x:f>IF(J596&lt;&gt;"PASS",0,'Motor_Meciuri'!BR48)</x:f>
        <x:v>0</x:v>
      </x:c>
      <x:c r="AL596" s="2" t="n">
        <x:f>IF(J596&lt;&gt;"PASS",0,'Motor_Meciuri'!BS48)</x:f>
        <x:v>0</x:v>
      </x:c>
      <x:c r="AM596" s="2" t="n">
        <x:f>IF(J596&lt;&gt;"PASS",0,'Motor_Meciuri'!BT48)</x:f>
        <x:v>0</x:v>
      </x:c>
      <x:c r="AN596" s="2" t="str">
        <x:f>IF(M596="","",MAX(0,'Motor_Meciuri'!BF48-IF(L596&gt;'Config_v6'!$B$12,'Config_v6'!$B$37,IF(L596&gt;'Config_v6'!$B$11,'Config_v6'!$B$36,0))))</x:f>
      </x:c>
    </x:row>
    <x:row r="597" ht="21" customHeight="1">
      <x:c r="A597" s="2" t="n">
        <x:v>43</x:v>
      </x:c>
      <x:c r="B597" s="2" t="str">
        <x:f>IF('Motor_Meciuri'!A48="","",'Motor_Meciuri'!A48)</x:f>
      </x:c>
      <x:c r="C597" s="2" t="str">
        <x:f>IF(B597="","",'Motor_Meciuri'!B48)</x:f>
      </x:c>
      <x:c r="D597" s="2" t="str">
        <x:f>IF(B597="","",'Motor_Meciuri'!D48)</x:f>
      </x:c>
      <x:c r="E597" s="2" t="str">
        <x:f>IF(B597="","",'Motor_Meciuri'!E48)</x:f>
      </x:c>
      <x:c r="F597" s="2" t="str">
        <x:v>O6,5</x:v>
      </x:c>
      <x:c r="G597" s="2" t="str">
        <x:v>OVER</x:v>
      </x:c>
      <x:c r="H597" s="2" t="n">
        <x:v>6</x:v>
      </x:c>
      <x:c r="I597" s="2" t="str">
        <x:f>IF(B597="","",'Motor_Meciuri'!H48)</x:f>
      </x:c>
      <x:c r="J597" s="2" t="str">
        <x:f>IF(B597="","",'Motor_Meciuri'!I48)</x:f>
      </x:c>
      <x:c r="K597" s="11" t="str">
        <x:f>IF(J597&lt;&gt;"PASS","",'Motor_Meciuri'!BD48)</x:f>
      </x:c>
      <x:c r="L597" s="11" t="str">
        <x:f>IF(J597&lt;&gt;"PASS","",'Motor_Meciuri'!AU48)</x:f>
      </x:c>
      <x:c r="M597" s="10" t="str">
        <x:f>IF(NOT(AND(J597="PASS",'Calibrare_Linii'!U9="VALID")),"",1-'Distributie'!AD48)</x:f>
      </x:c>
      <x:c r="N597" s="10" t="str">
        <x:f>IF(M597="","",MAX(0.01,MIN(0.99,0.5+(M597-0.5)*'Motor_Meciuri'!BG48*'Calibrare_Linii'!D9)))</x:f>
      </x:c>
      <x:c r="O597" s="10" t="str">
        <x:f>IF(M597="","",1-M597)</x:f>
      </x:c>
      <x:c r="P597" s="10" t="str">
        <x:f>IF(OR(NOT(AND(J597="PASS",'Calibrare_Linii'!U9="VALID")),AK597=0),""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*('Istoric_Nativ'!$Q$6:$Q$405&lt;=H597))/AK597)</x:f>
      </x:c>
      <x:c r="Q597" s="10" t="str">
        <x:f>IF(OR(NOT(AND(J597="PASS",'Calibrare_Linii'!U9="VALID")),AL597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M48)+((('Istoric_Nativ'!$E$6:$E$405='Input_Meci'!E48)+('Istoric_Nativ'!$F$6:$F$405='Input_Meci'!E48))&gt;0)*('Istoric_Nativ'!$D$6:$D$405&gt;='Motor_Meciuri'!BN48))&gt;0)*('Istoric_Nativ'!$Q$6:$Q$405&lt;=H597))/AL597)</x:f>
      </x:c>
      <x:c r="R597" s="10" t="str">
        <x:f>IF(OR(NOT(AND(J597="PASS",'Calibrare_Linii'!U9="VALID")),AM597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O48)+((('Istoric_Nativ'!$E$6:$E$405='Input_Meci'!E48)+('Istoric_Nativ'!$F$6:$F$405='Input_Meci'!E48))&gt;0)*('Istoric_Nativ'!$D$6:$D$405&gt;='Motor_Meciuri'!BP48))&gt;0)*('Istoric_Nativ'!$Q$6:$Q$405&lt;=H597))/AM597)</x:f>
      </x:c>
      <x:c r="S597" s="10" t="str">
        <x:f>IF(M597="","",MAX(O597,P597,Q597,R597))</x:f>
      </x:c>
      <x:c r="T597" s="11" t="str">
        <x:f>IF(M597="","",MIN(100,S597*100*'Config_v6'!$B$44+MIN(100,L597/'Config_v6'!$B$13*100)*'Config_v6'!$B$45+(100-'Motor_Meciuri'!BF48)*'Config_v6'!$B$46+'Motor_Meciuri'!BH48*100*'Config_v6'!$B$47))</x:f>
      </x:c>
      <x:c r="U597" s="2" t="str">
        <x:f>IF(T597="","",IF(T597&lt;=20,1,IF(T597&lt;=40,2,IF(T597&lt;=60,3,IF(T597&lt;=80,4,5)))))</x:f>
      </x:c>
      <x:c r="V597" s="2" t="str">
        <x:f>IF(M597="","",MAX(0,'Motor_Meciuri'!BF48-IF(W597="OOS PENDING",'Config_v6'!$B$35,0)-IF(L597&gt;'Config_v6'!$B$12,'Config_v6'!$B$37,IF(L597&gt;'Config_v6'!$B$11,'Config_v6'!$B$36,0))))</x:f>
      </x:c>
      <x:c r="W597" s="2" t="str">
        <x:f>IF(B597="","",IF(I597&lt;&gt;"READY","NOT RELEASED",IF(NOT(AND(J597="PASS",'Calibrare_Linii'!U9="VALID")),"INVALID",IF(NOT(AND('Calibrare_Linii'!S9="VALIDATED",AND('Calibrare_Linii'!H9=C597,ISNUMBER('Calibrare_Linii'!J9),'Calibrare_Linii'!J9&lt;='Input_Meci'!G48))),"OOS PENDING",IF(S597&lt;='Calibrare_Linii'!E9,"PASS",IF(S597&lt;='Calibrare_Linii'!F9,"PENALTY","WATCH"))))))</x:f>
      </x:c>
      <x:c r="X597" s="2" t="str">
        <x:f>IF(M597="","",IF(AND(AND(J597="PASS",'Calibrare_Linii'!U9="VALID"),'Motor_Meciuri'!K48=12,'Motor_Meciuri'!L48=12,'Motor_Meciuri'!M48="NO",'Motor_Meciuri'!BL48='Motor_Meciuri'!C48,AB597&gt;='Config_v6'!$B$50,AN597&gt;='Config_v6'!$B$51,T597&lt;='Config_v6'!$B$52,L597&lt;='Config_v6'!$B$53,ISNUMBER('Calibrare_Linii'!E9),S597&lt;='Calibrare_Linii'!E9,SUM(AK597:AM597)&gt;0),"CANDIDATE","NO"))</x:f>
      </x:c>
      <x:c r="Y597" s="2" t="str">
        <x:f>IF(B597="","",IF(I597&lt;&gt;"READY","NOT RELEASED",IF(AND(X597="CANDIDATE",V597&gt;='Config_v6'!$B$51,W597="PASS",'Calibrare_Linii'!T9="VALIDATED",AND('Calibrare_Linii'!H9=C597,ISNUMBER('Calibrare_Linii'!J9),'Calibrare_Linii'!J9&lt;='Input_Meci'!G48)),"PASS",IF(X597="CANDIDATE","OOS PENDING","FAIL"))))</x:f>
      </x:c>
      <x:c r="Z597" s="2" t="str">
        <x:f>IF(B597="","",IF(I597&lt;&gt;"READY","",IF(OR(NOT(AND(J597="PASS",'Calibrare_Linii'!U9="VALID")),L597&gt;'Config_v6'!$B$13,W597="WATCH"),5,IF(Y597="PASS",1,MIN(5,MAX('Config_v6'!$B$42,U597)+IF(W597="PENALTY",1,0))))))</x:f>
      </x:c>
      <x:c r="AA597" s="2" t="str">
        <x:f>IF(B597="","",IF(I597&lt;&gt;"READY","NOT RELEASED",IF(Z597=5,"NO BET",IF(OR(AB597&lt;'Config_v6'!$B$16,V597&lt;'Config_v6'!$B$18),"WATCH",IF(Z597=1,"DEFENSIV",IF(Z597=2,"PRUDENT",IF(Z597=3,"MODERAT","RIDICAT")))))))</x:f>
      </x:c>
      <x:c r="AB597" s="10" t="str">
        <x:f>IF(N597="","",MIN(N597,1-S597))</x:f>
      </x:c>
      <x:c r="AC597" s="2" t="str">
        <x:f>IF(AD597&lt;&gt;1,"",COUNTIFS($Z$594:$Z$607,"&lt;"&amp;Z597,$AD$594:$AD$607,1)+COUNTIFS($Z$594:$Z$607,Z597,$AB$594:$AB$607,"&gt;"&amp;AB597,$AD$594:$AD$607,1)+COUNTIFS($Z$594:$Z$607,Z597,$AB$594:$AB$607,AB597,$V$594:$V$607,"&gt;"&amp;V597,$AD$594:$AD$607,1)+COUNTIFS($Z$594:Z597,Z597,$AB$594:AB597,AB597,$V$594:V597,V597,$AD$594:AD597,1))</x:f>
      </x:c>
      <x:c r="AD597" s="2" t="n">
        <x:f>IF(OR(AA597="DEFENSIV",AA597="PRUDENT",AA597="MODERAT",AA597="RIDICAT"),1,0)</x:f>
        <x:v>0</x:v>
      </x:c>
      <x:c r="AE597" s="2" t="str">
        <x:f>IF(AD597&lt;&gt;1,"NO",IF(W597="PASS","YES",IF(W597="OOS PENDING","CONDITIONAL","NO")))</x:f>
        <x:v>NO</x:v>
      </x:c>
      <x:c r="AF597" s="2" t="n">
        <x:f>IF(AND(AD597=1,AC597=1,E597="LIVE"),1,0)</x:f>
        <x:v>0</x:v>
      </x:c>
      <x:c r="AG597" s="2" t="str">
        <x:f>IF(AF597&lt;&gt;1,"",'Dashboard'!P68)</x:f>
      </x:c>
      <x:c r="AH597" s="2" t="str">
        <x:f>IF(B597="","",IF(J597&lt;&gt;"PASS",'Motor_Meciuri'!J48,IF('Calibrare_Linii'!U9&lt;&gt;"VALID","Parametri linie invalizi",IF(L597&gt;'Config_v6'!$B$13,"Dispersie peste limita",IF(W597="WATCH","Failure peste limita",IF(AB597&lt;'Config_v6'!$B$16,"P finala sub prag",IF(V597&lt;'Config_v6'!$B$18,"Confidence sub prag",IF(E597="REPLAY","Exemplu retrospectiv; exclus din Top LIVE",IF(Y597="PASS","DEFENSIV validat",IF(W597="OOS PENDING","Eligibil; calibrare linie in monitorizare","Eligibil"))))))))))</x:f>
      </x:c>
      <x:c r="AI597" s="2" t="str">
        <x:f>IF(B597="","",'Calibrare_Linii'!V9)</x:f>
      </x:c>
      <x:c r="AJ597" s="2" t="str">
        <x:f>IF(B597="","",IF(AND('Calibrare_Linii'!T9="VALIDATED",AND('Calibrare_Linii'!H9=C597,ISNUMBER('Calibrare_Linii'!J9),'Calibrare_Linii'!J9&lt;='Input_Meci'!G48)),"DEFENSIVE VALIDATED",IF(AND('Calibrare_Linii'!S9="VALIDATED",AND('Calibrare_Linii'!H9=C597,ISNUMBER('Calibrare_Linii'!J9),'Calibrare_Linii'!J9&lt;='Input_Meci'!G48)),"TAIL VALIDATED","OOS PENDING")))</x:f>
      </x:c>
      <x:c r="AK597" s="2" t="n">
        <x:f>IF(J597&lt;&gt;"PASS",0,'Motor_Meciuri'!BR48)</x:f>
        <x:v>0</x:v>
      </x:c>
      <x:c r="AL597" s="2" t="n">
        <x:f>IF(J597&lt;&gt;"PASS",0,'Motor_Meciuri'!BS48)</x:f>
        <x:v>0</x:v>
      </x:c>
      <x:c r="AM597" s="2" t="n">
        <x:f>IF(J597&lt;&gt;"PASS",0,'Motor_Meciuri'!BT48)</x:f>
        <x:v>0</x:v>
      </x:c>
      <x:c r="AN597" s="2" t="str">
        <x:f>IF(M597="","",MAX(0,'Motor_Meciuri'!BF48-IF(L597&gt;'Config_v6'!$B$12,'Config_v6'!$B$37,IF(L597&gt;'Config_v6'!$B$11,'Config_v6'!$B$36,0))))</x:f>
      </x:c>
    </x:row>
    <x:row r="598" ht="21" customHeight="1">
      <x:c r="A598" s="2" t="n">
        <x:v>43</x:v>
      </x:c>
      <x:c r="B598" s="2" t="str">
        <x:f>IF('Motor_Meciuri'!A48="","",'Motor_Meciuri'!A48)</x:f>
      </x:c>
      <x:c r="C598" s="2" t="str">
        <x:f>IF(B598="","",'Motor_Meciuri'!B48)</x:f>
      </x:c>
      <x:c r="D598" s="2" t="str">
        <x:f>IF(B598="","",'Motor_Meciuri'!D48)</x:f>
      </x:c>
      <x:c r="E598" s="2" t="str">
        <x:f>IF(B598="","",'Motor_Meciuri'!E48)</x:f>
      </x:c>
      <x:c r="F598" s="2" t="str">
        <x:v>O7,5</x:v>
      </x:c>
      <x:c r="G598" s="2" t="str">
        <x:v>OVER</x:v>
      </x:c>
      <x:c r="H598" s="2" t="n">
        <x:v>7</x:v>
      </x:c>
      <x:c r="I598" s="2" t="str">
        <x:f>IF(B598="","",'Motor_Meciuri'!H48)</x:f>
      </x:c>
      <x:c r="J598" s="2" t="str">
        <x:f>IF(B598="","",'Motor_Meciuri'!I48)</x:f>
      </x:c>
      <x:c r="K598" s="11" t="str">
        <x:f>IF(J598&lt;&gt;"PASS","",'Motor_Meciuri'!BD48)</x:f>
      </x:c>
      <x:c r="L598" s="11" t="str">
        <x:f>IF(J598&lt;&gt;"PASS","",'Motor_Meciuri'!AU48)</x:f>
      </x:c>
      <x:c r="M598" s="10" t="str">
        <x:f>IF(NOT(AND(J598="PASS",'Calibrare_Linii'!U10="VALID")),"",1-'Distributie'!AE48)</x:f>
      </x:c>
      <x:c r="N598" s="10" t="str">
        <x:f>IF(M598="","",MAX(0.01,MIN(0.99,0.5+(M598-0.5)*'Motor_Meciuri'!BG48*'Calibrare_Linii'!D10)))</x:f>
      </x:c>
      <x:c r="O598" s="10" t="str">
        <x:f>IF(M598="","",1-M598)</x:f>
      </x:c>
      <x:c r="P598" s="10" t="str">
        <x:f>IF(OR(NOT(AND(J598="PASS",'Calibrare_Linii'!U10="VALID")),AK598=0),""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*('Istoric_Nativ'!$Q$6:$Q$405&lt;=H598))/AK598)</x:f>
      </x:c>
      <x:c r="Q598" s="10" t="str">
        <x:f>IF(OR(NOT(AND(J598="PASS",'Calibrare_Linii'!U10="VALID")),AL598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M48)+((('Istoric_Nativ'!$E$6:$E$405='Input_Meci'!E48)+('Istoric_Nativ'!$F$6:$F$405='Input_Meci'!E48))&gt;0)*('Istoric_Nativ'!$D$6:$D$405&gt;='Motor_Meciuri'!BN48))&gt;0)*('Istoric_Nativ'!$Q$6:$Q$405&lt;=H598))/AL598)</x:f>
      </x:c>
      <x:c r="R598" s="10" t="str">
        <x:f>IF(OR(NOT(AND(J598="PASS",'Calibrare_Linii'!U10="VALID")),AM598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O48)+((('Istoric_Nativ'!$E$6:$E$405='Input_Meci'!E48)+('Istoric_Nativ'!$F$6:$F$405='Input_Meci'!E48))&gt;0)*('Istoric_Nativ'!$D$6:$D$405&gt;='Motor_Meciuri'!BP48))&gt;0)*('Istoric_Nativ'!$Q$6:$Q$405&lt;=H598))/AM598)</x:f>
      </x:c>
      <x:c r="S598" s="10" t="str">
        <x:f>IF(M598="","",MAX(O598,P598,Q598,R598))</x:f>
      </x:c>
      <x:c r="T598" s="11" t="str">
        <x:f>IF(M598="","",MIN(100,S598*100*'Config_v6'!$B$44+MIN(100,L598/'Config_v6'!$B$13*100)*'Config_v6'!$B$45+(100-'Motor_Meciuri'!BF48)*'Config_v6'!$B$46+'Motor_Meciuri'!BH48*100*'Config_v6'!$B$47))</x:f>
      </x:c>
      <x:c r="U598" s="2" t="str">
        <x:f>IF(T598="","",IF(T598&lt;=20,1,IF(T598&lt;=40,2,IF(T598&lt;=60,3,IF(T598&lt;=80,4,5)))))</x:f>
      </x:c>
      <x:c r="V598" s="2" t="str">
        <x:f>IF(M598="","",MAX(0,'Motor_Meciuri'!BF48-IF(W598="OOS PENDING",'Config_v6'!$B$35,0)-IF(L598&gt;'Config_v6'!$B$12,'Config_v6'!$B$37,IF(L598&gt;'Config_v6'!$B$11,'Config_v6'!$B$36,0))))</x:f>
      </x:c>
      <x:c r="W598" s="2" t="str">
        <x:f>IF(B598="","",IF(I598&lt;&gt;"READY","NOT RELEASED",IF(NOT(AND(J598="PASS",'Calibrare_Linii'!U10="VALID")),"INVALID",IF(NOT(AND('Calibrare_Linii'!S10="VALIDATED",AND('Calibrare_Linii'!H10=C598,ISNUMBER('Calibrare_Linii'!J10),'Calibrare_Linii'!J10&lt;='Input_Meci'!G48))),"OOS PENDING",IF(S598&lt;='Calibrare_Linii'!E10,"PASS",IF(S598&lt;='Calibrare_Linii'!F10,"PENALTY","WATCH"))))))</x:f>
      </x:c>
      <x:c r="X598" s="2" t="str">
        <x:f>IF(M598="","",IF(AND(AND(J598="PASS",'Calibrare_Linii'!U10="VALID"),'Motor_Meciuri'!K48=12,'Motor_Meciuri'!L48=12,'Motor_Meciuri'!M48="NO",'Motor_Meciuri'!BL48='Motor_Meciuri'!C48,AB598&gt;='Config_v6'!$B$50,AN598&gt;='Config_v6'!$B$51,T598&lt;='Config_v6'!$B$52,L598&lt;='Config_v6'!$B$53,ISNUMBER('Calibrare_Linii'!E10),S598&lt;='Calibrare_Linii'!E10,SUM(AK598:AM598)&gt;0),"CANDIDATE","NO"))</x:f>
      </x:c>
      <x:c r="Y598" s="2" t="str">
        <x:f>IF(B598="","",IF(I598&lt;&gt;"READY","NOT RELEASED",IF(AND(X598="CANDIDATE",V598&gt;='Config_v6'!$B$51,W598="PASS",'Calibrare_Linii'!T10="VALIDATED",AND('Calibrare_Linii'!H10=C598,ISNUMBER('Calibrare_Linii'!J10),'Calibrare_Linii'!J10&lt;='Input_Meci'!G48)),"PASS",IF(X598="CANDIDATE","OOS PENDING","FAIL"))))</x:f>
      </x:c>
      <x:c r="Z598" s="2" t="str">
        <x:f>IF(B598="","",IF(I598&lt;&gt;"READY","",IF(OR(NOT(AND(J598="PASS",'Calibrare_Linii'!U10="VALID")),L598&gt;'Config_v6'!$B$13,W598="WATCH"),5,IF(Y598="PASS",1,MIN(5,MAX('Config_v6'!$B$42,U598)+IF(W598="PENALTY",1,0))))))</x:f>
      </x:c>
      <x:c r="AA598" s="2" t="str">
        <x:f>IF(B598="","",IF(I598&lt;&gt;"READY","NOT RELEASED",IF(Z598=5,"NO BET",IF(OR(AB598&lt;'Config_v6'!$B$16,V598&lt;'Config_v6'!$B$18),"WATCH",IF(Z598=1,"DEFENSIV",IF(Z598=2,"PRUDENT",IF(Z598=3,"MODERAT","RIDICAT")))))))</x:f>
      </x:c>
      <x:c r="AB598" s="10" t="str">
        <x:f>IF(N598="","",MIN(N598,1-S598))</x:f>
      </x:c>
      <x:c r="AC598" s="2" t="str">
        <x:f>IF(AD598&lt;&gt;1,"",COUNTIFS($Z$594:$Z$607,"&lt;"&amp;Z598,$AD$594:$AD$607,1)+COUNTIFS($Z$594:$Z$607,Z598,$AB$594:$AB$607,"&gt;"&amp;AB598,$AD$594:$AD$607,1)+COUNTIFS($Z$594:$Z$607,Z598,$AB$594:$AB$607,AB598,$V$594:$V$607,"&gt;"&amp;V598,$AD$594:$AD$607,1)+COUNTIFS($Z$594:Z598,Z598,$AB$594:AB598,AB598,$V$594:V598,V598,$AD$594:AD598,1))</x:f>
      </x:c>
      <x:c r="AD598" s="2" t="n">
        <x:f>IF(OR(AA598="DEFENSIV",AA598="PRUDENT",AA598="MODERAT",AA598="RIDICAT"),1,0)</x:f>
        <x:v>0</x:v>
      </x:c>
      <x:c r="AE598" s="2" t="str">
        <x:f>IF(AD598&lt;&gt;1,"NO",IF(W598="PASS","YES",IF(W598="OOS PENDING","CONDITIONAL","NO")))</x:f>
        <x:v>NO</x:v>
      </x:c>
      <x:c r="AF598" s="2" t="n">
        <x:f>IF(AND(AD598=1,AC598=1,E598="LIVE"),1,0)</x:f>
        <x:v>0</x:v>
      </x:c>
      <x:c r="AG598" s="2" t="str">
        <x:f>IF(AF598&lt;&gt;1,"",'Dashboard'!P68)</x:f>
      </x:c>
      <x:c r="AH598" s="2" t="str">
        <x:f>IF(B598="","",IF(J598&lt;&gt;"PASS",'Motor_Meciuri'!J48,IF('Calibrare_Linii'!U10&lt;&gt;"VALID","Parametri linie invalizi",IF(L598&gt;'Config_v6'!$B$13,"Dispersie peste limita",IF(W598="WATCH","Failure peste limita",IF(AB598&lt;'Config_v6'!$B$16,"P finala sub prag",IF(V598&lt;'Config_v6'!$B$18,"Confidence sub prag",IF(E598="REPLAY","Exemplu retrospectiv; exclus din Top LIVE",IF(Y598="PASS","DEFENSIV validat",IF(W598="OOS PENDING","Eligibil; calibrare linie in monitorizare","Eligibil"))))))))))</x:f>
      </x:c>
      <x:c r="AI598" s="2" t="str">
        <x:f>IF(B598="","",'Calibrare_Linii'!V10)</x:f>
      </x:c>
      <x:c r="AJ598" s="2" t="str">
        <x:f>IF(B598="","",IF(AND('Calibrare_Linii'!T10="VALIDATED",AND('Calibrare_Linii'!H10=C598,ISNUMBER('Calibrare_Linii'!J10),'Calibrare_Linii'!J10&lt;='Input_Meci'!G48)),"DEFENSIVE VALIDATED",IF(AND('Calibrare_Linii'!S10="VALIDATED",AND('Calibrare_Linii'!H10=C598,ISNUMBER('Calibrare_Linii'!J10),'Calibrare_Linii'!J10&lt;='Input_Meci'!G48)),"TAIL VALIDATED","OOS PENDING")))</x:f>
      </x:c>
      <x:c r="AK598" s="2" t="n">
        <x:f>IF(J598&lt;&gt;"PASS",0,'Motor_Meciuri'!BR48)</x:f>
        <x:v>0</x:v>
      </x:c>
      <x:c r="AL598" s="2" t="n">
        <x:f>IF(J598&lt;&gt;"PASS",0,'Motor_Meciuri'!BS48)</x:f>
        <x:v>0</x:v>
      </x:c>
      <x:c r="AM598" s="2" t="n">
        <x:f>IF(J598&lt;&gt;"PASS",0,'Motor_Meciuri'!BT48)</x:f>
        <x:v>0</x:v>
      </x:c>
      <x:c r="AN598" s="2" t="str">
        <x:f>IF(M598="","",MAX(0,'Motor_Meciuri'!BF48-IF(L598&gt;'Config_v6'!$B$12,'Config_v6'!$B$37,IF(L598&gt;'Config_v6'!$B$11,'Config_v6'!$B$36,0))))</x:f>
      </x:c>
    </x:row>
    <x:row r="599" ht="21" customHeight="1">
      <x:c r="A599" s="2" t="n">
        <x:v>43</x:v>
      </x:c>
      <x:c r="B599" s="2" t="str">
        <x:f>IF('Motor_Meciuri'!A48="","",'Motor_Meciuri'!A48)</x:f>
      </x:c>
      <x:c r="C599" s="2" t="str">
        <x:f>IF(B599="","",'Motor_Meciuri'!B48)</x:f>
      </x:c>
      <x:c r="D599" s="2" t="str">
        <x:f>IF(B599="","",'Motor_Meciuri'!D48)</x:f>
      </x:c>
      <x:c r="E599" s="2" t="str">
        <x:f>IF(B599="","",'Motor_Meciuri'!E48)</x:f>
      </x:c>
      <x:c r="F599" s="2" t="str">
        <x:v>O8,5</x:v>
      </x:c>
      <x:c r="G599" s="2" t="str">
        <x:v>OVER</x:v>
      </x:c>
      <x:c r="H599" s="2" t="n">
        <x:v>8</x:v>
      </x:c>
      <x:c r="I599" s="2" t="str">
        <x:f>IF(B599="","",'Motor_Meciuri'!H48)</x:f>
      </x:c>
      <x:c r="J599" s="2" t="str">
        <x:f>IF(B599="","",'Motor_Meciuri'!I48)</x:f>
      </x:c>
      <x:c r="K599" s="11" t="str">
        <x:f>IF(J599&lt;&gt;"PASS","",'Motor_Meciuri'!BD48)</x:f>
      </x:c>
      <x:c r="L599" s="11" t="str">
        <x:f>IF(J599&lt;&gt;"PASS","",'Motor_Meciuri'!AU48)</x:f>
      </x:c>
      <x:c r="M599" s="10" t="str">
        <x:f>IF(NOT(AND(J599="PASS",'Calibrare_Linii'!U11="VALID")),"",1-'Distributie'!AF48)</x:f>
      </x:c>
      <x:c r="N599" s="10" t="str">
        <x:f>IF(M599="","",MAX(0.01,MIN(0.99,0.5+(M599-0.5)*'Motor_Meciuri'!BG48*'Calibrare_Linii'!D11)))</x:f>
      </x:c>
      <x:c r="O599" s="10" t="str">
        <x:f>IF(M599="","",1-M599)</x:f>
      </x:c>
      <x:c r="P599" s="10" t="str">
        <x:f>IF(OR(NOT(AND(J599="PASS",'Calibrare_Linii'!U11="VALID")),AK599=0),""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*('Istoric_Nativ'!$Q$6:$Q$405&lt;=H599))/AK599)</x:f>
      </x:c>
      <x:c r="Q599" s="10" t="str">
        <x:f>IF(OR(NOT(AND(J599="PASS",'Calibrare_Linii'!U11="VALID")),AL599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M48)+((('Istoric_Nativ'!$E$6:$E$405='Input_Meci'!E48)+('Istoric_Nativ'!$F$6:$F$405='Input_Meci'!E48))&gt;0)*('Istoric_Nativ'!$D$6:$D$405&gt;='Motor_Meciuri'!BN48))&gt;0)*('Istoric_Nativ'!$Q$6:$Q$405&lt;=H599))/AL599)</x:f>
      </x:c>
      <x:c r="R599" s="10" t="str">
        <x:f>IF(OR(NOT(AND(J599="PASS",'Calibrare_Linii'!U11="VALID")),AM599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O48)+((('Istoric_Nativ'!$E$6:$E$405='Input_Meci'!E48)+('Istoric_Nativ'!$F$6:$F$405='Input_Meci'!E48))&gt;0)*('Istoric_Nativ'!$D$6:$D$405&gt;='Motor_Meciuri'!BP48))&gt;0)*('Istoric_Nativ'!$Q$6:$Q$405&lt;=H599))/AM599)</x:f>
      </x:c>
      <x:c r="S599" s="10" t="str">
        <x:f>IF(M599="","",MAX(O599,P599,Q599,R599))</x:f>
      </x:c>
      <x:c r="T599" s="11" t="str">
        <x:f>IF(M599="","",MIN(100,S599*100*'Config_v6'!$B$44+MIN(100,L599/'Config_v6'!$B$13*100)*'Config_v6'!$B$45+(100-'Motor_Meciuri'!BF48)*'Config_v6'!$B$46+'Motor_Meciuri'!BH48*100*'Config_v6'!$B$47))</x:f>
      </x:c>
      <x:c r="U599" s="2" t="str">
        <x:f>IF(T599="","",IF(T599&lt;=20,1,IF(T599&lt;=40,2,IF(T599&lt;=60,3,IF(T599&lt;=80,4,5)))))</x:f>
      </x:c>
      <x:c r="V599" s="2" t="str">
        <x:f>IF(M599="","",MAX(0,'Motor_Meciuri'!BF48-IF(W599="OOS PENDING",'Config_v6'!$B$35,0)-IF(L599&gt;'Config_v6'!$B$12,'Config_v6'!$B$37,IF(L599&gt;'Config_v6'!$B$11,'Config_v6'!$B$36,0))))</x:f>
      </x:c>
      <x:c r="W599" s="2" t="str">
        <x:f>IF(B599="","",IF(I599&lt;&gt;"READY","NOT RELEASED",IF(NOT(AND(J599="PASS",'Calibrare_Linii'!U11="VALID")),"INVALID",IF(NOT(AND('Calibrare_Linii'!S11="VALIDATED",AND('Calibrare_Linii'!H11=C599,ISNUMBER('Calibrare_Linii'!J11),'Calibrare_Linii'!J11&lt;='Input_Meci'!G48))),"OOS PENDING",IF(S599&lt;='Calibrare_Linii'!E11,"PASS",IF(S599&lt;='Calibrare_Linii'!F11,"PENALTY","WATCH"))))))</x:f>
      </x:c>
      <x:c r="X599" s="2" t="str">
        <x:f>IF(M599="","",IF(AND(AND(J599="PASS",'Calibrare_Linii'!U11="VALID"),'Motor_Meciuri'!K48=12,'Motor_Meciuri'!L48=12,'Motor_Meciuri'!M48="NO",'Motor_Meciuri'!BL48='Motor_Meciuri'!C48,AB599&gt;='Config_v6'!$B$50,AN599&gt;='Config_v6'!$B$51,T599&lt;='Config_v6'!$B$52,L599&lt;='Config_v6'!$B$53,ISNUMBER('Calibrare_Linii'!E11),S599&lt;='Calibrare_Linii'!E11,SUM(AK599:AM599)&gt;0),"CANDIDATE","NO"))</x:f>
      </x:c>
      <x:c r="Y599" s="2" t="str">
        <x:f>IF(B599="","",IF(I599&lt;&gt;"READY","NOT RELEASED",IF(AND(X599="CANDIDATE",V599&gt;='Config_v6'!$B$51,W599="PASS",'Calibrare_Linii'!T11="VALIDATED",AND('Calibrare_Linii'!H11=C599,ISNUMBER('Calibrare_Linii'!J11),'Calibrare_Linii'!J11&lt;='Input_Meci'!G48)),"PASS",IF(X599="CANDIDATE","OOS PENDING","FAIL"))))</x:f>
      </x:c>
      <x:c r="Z599" s="2" t="str">
        <x:f>IF(B599="","",IF(I599&lt;&gt;"READY","",IF(OR(NOT(AND(J599="PASS",'Calibrare_Linii'!U11="VALID")),L599&gt;'Config_v6'!$B$13,W599="WATCH"),5,IF(Y599="PASS",1,MIN(5,MAX('Config_v6'!$B$42,U599)+IF(W599="PENALTY",1,0))))))</x:f>
      </x:c>
      <x:c r="AA599" s="2" t="str">
        <x:f>IF(B599="","",IF(I599&lt;&gt;"READY","NOT RELEASED",IF(Z599=5,"NO BET",IF(OR(AB599&lt;'Config_v6'!$B$16,V599&lt;'Config_v6'!$B$18),"WATCH",IF(Z599=1,"DEFENSIV",IF(Z599=2,"PRUDENT",IF(Z599=3,"MODERAT","RIDICAT")))))))</x:f>
      </x:c>
      <x:c r="AB599" s="10" t="str">
        <x:f>IF(N599="","",MIN(N599,1-S599))</x:f>
      </x:c>
      <x:c r="AC599" s="2" t="str">
        <x:f>IF(AD599&lt;&gt;1,"",COUNTIFS($Z$594:$Z$607,"&lt;"&amp;Z599,$AD$594:$AD$607,1)+COUNTIFS($Z$594:$Z$607,Z599,$AB$594:$AB$607,"&gt;"&amp;AB599,$AD$594:$AD$607,1)+COUNTIFS($Z$594:$Z$607,Z599,$AB$594:$AB$607,AB599,$V$594:$V$607,"&gt;"&amp;V599,$AD$594:$AD$607,1)+COUNTIFS($Z$594:Z599,Z599,$AB$594:AB599,AB599,$V$594:V599,V599,$AD$594:AD599,1))</x:f>
      </x:c>
      <x:c r="AD599" s="2" t="n">
        <x:f>IF(OR(AA599="DEFENSIV",AA599="PRUDENT",AA599="MODERAT",AA599="RIDICAT"),1,0)</x:f>
        <x:v>0</x:v>
      </x:c>
      <x:c r="AE599" s="2" t="str">
        <x:f>IF(AD599&lt;&gt;1,"NO",IF(W599="PASS","YES",IF(W599="OOS PENDING","CONDITIONAL","NO")))</x:f>
        <x:v>NO</x:v>
      </x:c>
      <x:c r="AF599" s="2" t="n">
        <x:f>IF(AND(AD599=1,AC599=1,E599="LIVE"),1,0)</x:f>
        <x:v>0</x:v>
      </x:c>
      <x:c r="AG599" s="2" t="str">
        <x:f>IF(AF599&lt;&gt;1,"",'Dashboard'!P68)</x:f>
      </x:c>
      <x:c r="AH599" s="2" t="str">
        <x:f>IF(B599="","",IF(J599&lt;&gt;"PASS",'Motor_Meciuri'!J48,IF('Calibrare_Linii'!U11&lt;&gt;"VALID","Parametri linie invalizi",IF(L599&gt;'Config_v6'!$B$13,"Dispersie peste limita",IF(W599="WATCH","Failure peste limita",IF(AB599&lt;'Config_v6'!$B$16,"P finala sub prag",IF(V599&lt;'Config_v6'!$B$18,"Confidence sub prag",IF(E599="REPLAY","Exemplu retrospectiv; exclus din Top LIVE",IF(Y599="PASS","DEFENSIV validat",IF(W599="OOS PENDING","Eligibil; calibrare linie in monitorizare","Eligibil"))))))))))</x:f>
      </x:c>
      <x:c r="AI599" s="2" t="str">
        <x:f>IF(B599="","",'Calibrare_Linii'!V11)</x:f>
      </x:c>
      <x:c r="AJ599" s="2" t="str">
        <x:f>IF(B599="","",IF(AND('Calibrare_Linii'!T11="VALIDATED",AND('Calibrare_Linii'!H11=C599,ISNUMBER('Calibrare_Linii'!J11),'Calibrare_Linii'!J11&lt;='Input_Meci'!G48)),"DEFENSIVE VALIDATED",IF(AND('Calibrare_Linii'!S11="VALIDATED",AND('Calibrare_Linii'!H11=C599,ISNUMBER('Calibrare_Linii'!J11),'Calibrare_Linii'!J11&lt;='Input_Meci'!G48)),"TAIL VALIDATED","OOS PENDING")))</x:f>
      </x:c>
      <x:c r="AK599" s="2" t="n">
        <x:f>IF(J599&lt;&gt;"PASS",0,'Motor_Meciuri'!BR48)</x:f>
        <x:v>0</x:v>
      </x:c>
      <x:c r="AL599" s="2" t="n">
        <x:f>IF(J599&lt;&gt;"PASS",0,'Motor_Meciuri'!BS48)</x:f>
        <x:v>0</x:v>
      </x:c>
      <x:c r="AM599" s="2" t="n">
        <x:f>IF(J599&lt;&gt;"PASS",0,'Motor_Meciuri'!BT48)</x:f>
        <x:v>0</x:v>
      </x:c>
      <x:c r="AN599" s="2" t="str">
        <x:f>IF(M599="","",MAX(0,'Motor_Meciuri'!BF48-IF(L599&gt;'Config_v6'!$B$12,'Config_v6'!$B$37,IF(L599&gt;'Config_v6'!$B$11,'Config_v6'!$B$36,0))))</x:f>
      </x:c>
    </x:row>
    <x:row r="600" ht="21" customHeight="1">
      <x:c r="A600" s="2" t="n">
        <x:v>43</x:v>
      </x:c>
      <x:c r="B600" s="2" t="str">
        <x:f>IF('Motor_Meciuri'!A48="","",'Motor_Meciuri'!A48)</x:f>
      </x:c>
      <x:c r="C600" s="2" t="str">
        <x:f>IF(B600="","",'Motor_Meciuri'!B48)</x:f>
      </x:c>
      <x:c r="D600" s="2" t="str">
        <x:f>IF(B600="","",'Motor_Meciuri'!D48)</x:f>
      </x:c>
      <x:c r="E600" s="2" t="str">
        <x:f>IF(B600="","",'Motor_Meciuri'!E48)</x:f>
      </x:c>
      <x:c r="F600" s="2" t="str">
        <x:v>U10,5</x:v>
      </x:c>
      <x:c r="G600" s="2" t="str">
        <x:v>UNDER</x:v>
      </x:c>
      <x:c r="H600" s="2" t="n">
        <x:v>10</x:v>
      </x:c>
      <x:c r="I600" s="2" t="str">
        <x:f>IF(B600="","",'Motor_Meciuri'!H48)</x:f>
      </x:c>
      <x:c r="J600" s="2" t="str">
        <x:f>IF(B600="","",'Motor_Meciuri'!I48)</x:f>
      </x:c>
      <x:c r="K600" s="11" t="str">
        <x:f>IF(J600&lt;&gt;"PASS","",'Motor_Meciuri'!BD48)</x:f>
      </x:c>
      <x:c r="L600" s="11" t="str">
        <x:f>IF(J600&lt;&gt;"PASS","",'Motor_Meciuri'!AU48)</x:f>
      </x:c>
      <x:c r="M600" s="10" t="str">
        <x:f>IF(NOT(AND(J600="PASS",'Calibrare_Linii'!U12="VALID")),"",'Distributie'!AH48)</x:f>
      </x:c>
      <x:c r="N600" s="10" t="str">
        <x:f>IF(M600="","",MAX(0.01,MIN(0.99,0.5+(M600-0.5)*'Motor_Meciuri'!BG48*'Calibrare_Linii'!D12)))</x:f>
      </x:c>
      <x:c r="O600" s="10" t="str">
        <x:f>IF(M600="","",1-M600)</x:f>
      </x:c>
      <x:c r="P600" s="10" t="str">
        <x:f>IF(OR(NOT(AND(J600="PASS",'Calibrare_Linii'!U12="VALID")),AK600=0),""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*('Istoric_Nativ'!$Q$6:$Q$405&gt;H600))/AK600)</x:f>
      </x:c>
      <x:c r="Q600" s="10" t="str">
        <x:f>IF(OR(NOT(AND(J600="PASS",'Calibrare_Linii'!U12="VALID")),AL600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M48)+((('Istoric_Nativ'!$E$6:$E$405='Input_Meci'!E48)+('Istoric_Nativ'!$F$6:$F$405='Input_Meci'!E48))&gt;0)*('Istoric_Nativ'!$D$6:$D$405&gt;='Motor_Meciuri'!BN48))&gt;0)*('Istoric_Nativ'!$Q$6:$Q$405&gt;H600))/AL600)</x:f>
      </x:c>
      <x:c r="R600" s="10" t="str">
        <x:f>IF(OR(NOT(AND(J600="PASS",'Calibrare_Linii'!U12="VALID")),AM600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O48)+((('Istoric_Nativ'!$E$6:$E$405='Input_Meci'!E48)+('Istoric_Nativ'!$F$6:$F$405='Input_Meci'!E48))&gt;0)*('Istoric_Nativ'!$D$6:$D$405&gt;='Motor_Meciuri'!BP48))&gt;0)*('Istoric_Nativ'!$Q$6:$Q$405&gt;H600))/AM600)</x:f>
      </x:c>
      <x:c r="S600" s="10" t="str">
        <x:f>IF(M600="","",MAX(O600,P600,Q600,R600))</x:f>
      </x:c>
      <x:c r="T600" s="11" t="str">
        <x:f>IF(M600="","",MIN(100,S600*100*'Config_v6'!$B$44+MIN(100,L600/'Config_v6'!$B$13*100)*'Config_v6'!$B$45+(100-'Motor_Meciuri'!BF48)*'Config_v6'!$B$46+'Motor_Meciuri'!BH48*100*'Config_v6'!$B$47))</x:f>
      </x:c>
      <x:c r="U600" s="2" t="str">
        <x:f>IF(T600="","",IF(T600&lt;=20,1,IF(T600&lt;=40,2,IF(T600&lt;=60,3,IF(T600&lt;=80,4,5)))))</x:f>
      </x:c>
      <x:c r="V600" s="2" t="str">
        <x:f>IF(M600="","",MAX(0,'Motor_Meciuri'!BF48-IF(W600="OOS PENDING",'Config_v6'!$B$35,0)-IF(L600&gt;'Config_v6'!$B$12,'Config_v6'!$B$37,IF(L600&gt;'Config_v6'!$B$11,'Config_v6'!$B$36,0))))</x:f>
      </x:c>
      <x:c r="W600" s="2" t="str">
        <x:f>IF(B600="","",IF(I600&lt;&gt;"READY","NOT RELEASED",IF(NOT(AND(J600="PASS",'Calibrare_Linii'!U12="VALID")),"INVALID",IF(NOT(AND('Calibrare_Linii'!S12="VALIDATED",AND('Calibrare_Linii'!H12=C600,ISNUMBER('Calibrare_Linii'!J12),'Calibrare_Linii'!J12&lt;='Input_Meci'!G48))),"OOS PENDING",IF(S600&lt;='Calibrare_Linii'!E12,"PASS",IF(S600&lt;='Calibrare_Linii'!F12,"PENALTY","WATCH"))))))</x:f>
      </x:c>
      <x:c r="X600" s="2" t="str">
        <x:f>IF(M600="","",IF(AND(AND(J600="PASS",'Calibrare_Linii'!U12="VALID"),'Motor_Meciuri'!K48=12,'Motor_Meciuri'!L48=12,'Motor_Meciuri'!M48="NO",'Motor_Meciuri'!BL48='Motor_Meciuri'!C48,AB600&gt;='Config_v6'!$B$50,AN600&gt;='Config_v6'!$B$51,T600&lt;='Config_v6'!$B$52,L600&lt;='Config_v6'!$B$53,ISNUMBER('Calibrare_Linii'!E12),S600&lt;='Calibrare_Linii'!E12,SUM(AK600:AM600)&gt;0),"CANDIDATE","NO"))</x:f>
      </x:c>
      <x:c r="Y600" s="2" t="str">
        <x:f>IF(B600="","",IF(I600&lt;&gt;"READY","NOT RELEASED",IF(AND(X600="CANDIDATE",V600&gt;='Config_v6'!$B$51,W600="PASS",'Calibrare_Linii'!T12="VALIDATED",AND('Calibrare_Linii'!H12=C600,ISNUMBER('Calibrare_Linii'!J12),'Calibrare_Linii'!J12&lt;='Input_Meci'!G48)),"PASS",IF(X600="CANDIDATE","OOS PENDING","FAIL"))))</x:f>
      </x:c>
      <x:c r="Z600" s="2" t="str">
        <x:f>IF(B600="","",IF(I600&lt;&gt;"READY","",IF(OR(NOT(AND(J600="PASS",'Calibrare_Linii'!U12="VALID")),L600&gt;'Config_v6'!$B$13,W600="WATCH"),5,IF(Y600="PASS",1,MIN(5,MAX('Config_v6'!$B$42,U600)+IF(W600="PENALTY",1,0))))))</x:f>
      </x:c>
      <x:c r="AA600" s="2" t="str">
        <x:f>IF(B600="","",IF(I600&lt;&gt;"READY","NOT RELEASED",IF(Z600=5,"NO BET",IF(OR(AB600&lt;'Config_v6'!$B$16,V600&lt;'Config_v6'!$B$18),"WATCH",IF(Z600=1,"DEFENSIV",IF(Z600=2,"PRUDENT",IF(Z600=3,"MODERAT","RIDICAT")))))))</x:f>
      </x:c>
      <x:c r="AB600" s="10" t="str">
        <x:f>IF(N600="","",MIN(N600,1-S600))</x:f>
      </x:c>
      <x:c r="AC600" s="2" t="str">
        <x:f>IF(AD600&lt;&gt;1,"",COUNTIFS($Z$594:$Z$607,"&lt;"&amp;Z600,$AD$594:$AD$607,1)+COUNTIFS($Z$594:$Z$607,Z600,$AB$594:$AB$607,"&gt;"&amp;AB600,$AD$594:$AD$607,1)+COUNTIFS($Z$594:$Z$607,Z600,$AB$594:$AB$607,AB600,$V$594:$V$607,"&gt;"&amp;V600,$AD$594:$AD$607,1)+COUNTIFS($Z$594:Z600,Z600,$AB$594:AB600,AB600,$V$594:V600,V600,$AD$594:AD600,1))</x:f>
      </x:c>
      <x:c r="AD600" s="2" t="n">
        <x:f>IF(OR(AA600="DEFENSIV",AA600="PRUDENT",AA600="MODERAT",AA600="RIDICAT"),1,0)</x:f>
        <x:v>0</x:v>
      </x:c>
      <x:c r="AE600" s="2" t="str">
        <x:f>IF(AD600&lt;&gt;1,"NO",IF(W600="PASS","YES",IF(W600="OOS PENDING","CONDITIONAL","NO")))</x:f>
        <x:v>NO</x:v>
      </x:c>
      <x:c r="AF600" s="2" t="n">
        <x:f>IF(AND(AD600=1,AC600=1,E600="LIVE"),1,0)</x:f>
        <x:v>0</x:v>
      </x:c>
      <x:c r="AG600" s="2" t="str">
        <x:f>IF(AF600&lt;&gt;1,"",'Dashboard'!P68)</x:f>
      </x:c>
      <x:c r="AH600" s="2" t="str">
        <x:f>IF(B600="","",IF(J600&lt;&gt;"PASS",'Motor_Meciuri'!J48,IF('Calibrare_Linii'!U12&lt;&gt;"VALID","Parametri linie invalizi",IF(L600&gt;'Config_v6'!$B$13,"Dispersie peste limita",IF(W600="WATCH","Failure peste limita",IF(AB600&lt;'Config_v6'!$B$16,"P finala sub prag",IF(V600&lt;'Config_v6'!$B$18,"Confidence sub prag",IF(E600="REPLAY","Exemplu retrospectiv; exclus din Top LIVE",IF(Y600="PASS","DEFENSIV validat",IF(W600="OOS PENDING","Eligibil; calibrare linie in monitorizare","Eligibil"))))))))))</x:f>
      </x:c>
      <x:c r="AI600" s="2" t="str">
        <x:f>IF(B600="","",'Calibrare_Linii'!V12)</x:f>
      </x:c>
      <x:c r="AJ600" s="2" t="str">
        <x:f>IF(B600="","",IF(AND('Calibrare_Linii'!T12="VALIDATED",AND('Calibrare_Linii'!H12=C600,ISNUMBER('Calibrare_Linii'!J12),'Calibrare_Linii'!J12&lt;='Input_Meci'!G48)),"DEFENSIVE VALIDATED",IF(AND('Calibrare_Linii'!S12="VALIDATED",AND('Calibrare_Linii'!H12=C600,ISNUMBER('Calibrare_Linii'!J12),'Calibrare_Linii'!J12&lt;='Input_Meci'!G48)),"TAIL VALIDATED","OOS PENDING")))</x:f>
      </x:c>
      <x:c r="AK600" s="2" t="n">
        <x:f>IF(J600&lt;&gt;"PASS",0,'Motor_Meciuri'!BR48)</x:f>
        <x:v>0</x:v>
      </x:c>
      <x:c r="AL600" s="2" t="n">
        <x:f>IF(J600&lt;&gt;"PASS",0,'Motor_Meciuri'!BS48)</x:f>
        <x:v>0</x:v>
      </x:c>
      <x:c r="AM600" s="2" t="n">
        <x:f>IF(J600&lt;&gt;"PASS",0,'Motor_Meciuri'!BT48)</x:f>
        <x:v>0</x:v>
      </x:c>
      <x:c r="AN600" s="2" t="str">
        <x:f>IF(M600="","",MAX(0,'Motor_Meciuri'!BF48-IF(L600&gt;'Config_v6'!$B$12,'Config_v6'!$B$37,IF(L600&gt;'Config_v6'!$B$11,'Config_v6'!$B$36,0))))</x:f>
      </x:c>
    </x:row>
    <x:row r="601" ht="21" customHeight="1">
      <x:c r="A601" s="2" t="n">
        <x:v>43</x:v>
      </x:c>
      <x:c r="B601" s="2" t="str">
        <x:f>IF('Motor_Meciuri'!A48="","",'Motor_Meciuri'!A48)</x:f>
      </x:c>
      <x:c r="C601" s="2" t="str">
        <x:f>IF(B601="","",'Motor_Meciuri'!B48)</x:f>
      </x:c>
      <x:c r="D601" s="2" t="str">
        <x:f>IF(B601="","",'Motor_Meciuri'!D48)</x:f>
      </x:c>
      <x:c r="E601" s="2" t="str">
        <x:f>IF(B601="","",'Motor_Meciuri'!E48)</x:f>
      </x:c>
      <x:c r="F601" s="2" t="str">
        <x:v>U11,5</x:v>
      </x:c>
      <x:c r="G601" s="2" t="str">
        <x:v>UNDER</x:v>
      </x:c>
      <x:c r="H601" s="2" t="n">
        <x:v>11</x:v>
      </x:c>
      <x:c r="I601" s="2" t="str">
        <x:f>IF(B601="","",'Motor_Meciuri'!H48)</x:f>
      </x:c>
      <x:c r="J601" s="2" t="str">
        <x:f>IF(B601="","",'Motor_Meciuri'!I48)</x:f>
      </x:c>
      <x:c r="K601" s="11" t="str">
        <x:f>IF(J601&lt;&gt;"PASS","",'Motor_Meciuri'!BD48)</x:f>
      </x:c>
      <x:c r="L601" s="11" t="str">
        <x:f>IF(J601&lt;&gt;"PASS","",'Motor_Meciuri'!AU48)</x:f>
      </x:c>
      <x:c r="M601" s="10" t="str">
        <x:f>IF(NOT(AND(J601="PASS",'Calibrare_Linii'!U13="VALID")),"",'Distributie'!AI48)</x:f>
      </x:c>
      <x:c r="N601" s="10" t="str">
        <x:f>IF(M601="","",MAX(0.01,MIN(0.99,0.5+(M601-0.5)*'Motor_Meciuri'!BG48*'Calibrare_Linii'!D13)))</x:f>
      </x:c>
      <x:c r="O601" s="10" t="str">
        <x:f>IF(M601="","",1-M601)</x:f>
      </x:c>
      <x:c r="P601" s="10" t="str">
        <x:f>IF(OR(NOT(AND(J601="PASS",'Calibrare_Linii'!U13="VALID")),AK601=0),""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*('Istoric_Nativ'!$Q$6:$Q$405&gt;H601))/AK601)</x:f>
      </x:c>
      <x:c r="Q601" s="10" t="str">
        <x:f>IF(OR(NOT(AND(J601="PASS",'Calibrare_Linii'!U13="VALID")),AL601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M48)+((('Istoric_Nativ'!$E$6:$E$405='Input_Meci'!E48)+('Istoric_Nativ'!$F$6:$F$405='Input_Meci'!E48))&gt;0)*('Istoric_Nativ'!$D$6:$D$405&gt;='Motor_Meciuri'!BN48))&gt;0)*('Istoric_Nativ'!$Q$6:$Q$405&gt;H601))/AL601)</x:f>
      </x:c>
      <x:c r="R601" s="10" t="str">
        <x:f>IF(OR(NOT(AND(J601="PASS",'Calibrare_Linii'!U13="VALID")),AM601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O48)+((('Istoric_Nativ'!$E$6:$E$405='Input_Meci'!E48)+('Istoric_Nativ'!$F$6:$F$405='Input_Meci'!E48))&gt;0)*('Istoric_Nativ'!$D$6:$D$405&gt;='Motor_Meciuri'!BP48))&gt;0)*('Istoric_Nativ'!$Q$6:$Q$405&gt;H601))/AM601)</x:f>
      </x:c>
      <x:c r="S601" s="10" t="str">
        <x:f>IF(M601="","",MAX(O601,P601,Q601,R601))</x:f>
      </x:c>
      <x:c r="T601" s="11" t="str">
        <x:f>IF(M601="","",MIN(100,S601*100*'Config_v6'!$B$44+MIN(100,L601/'Config_v6'!$B$13*100)*'Config_v6'!$B$45+(100-'Motor_Meciuri'!BF48)*'Config_v6'!$B$46+'Motor_Meciuri'!BH48*100*'Config_v6'!$B$47))</x:f>
      </x:c>
      <x:c r="U601" s="2" t="str">
        <x:f>IF(T601="","",IF(T601&lt;=20,1,IF(T601&lt;=40,2,IF(T601&lt;=60,3,IF(T601&lt;=80,4,5)))))</x:f>
      </x:c>
      <x:c r="V601" s="2" t="str">
        <x:f>IF(M601="","",MAX(0,'Motor_Meciuri'!BF48-IF(W601="OOS PENDING",'Config_v6'!$B$35,0)-IF(L601&gt;'Config_v6'!$B$12,'Config_v6'!$B$37,IF(L601&gt;'Config_v6'!$B$11,'Config_v6'!$B$36,0))))</x:f>
      </x:c>
      <x:c r="W601" s="2" t="str">
        <x:f>IF(B601="","",IF(I601&lt;&gt;"READY","NOT RELEASED",IF(NOT(AND(J601="PASS",'Calibrare_Linii'!U13="VALID")),"INVALID",IF(NOT(AND('Calibrare_Linii'!S13="VALIDATED",AND('Calibrare_Linii'!H13=C601,ISNUMBER('Calibrare_Linii'!J13),'Calibrare_Linii'!J13&lt;='Input_Meci'!G48))),"OOS PENDING",IF(S601&lt;='Calibrare_Linii'!E13,"PASS",IF(S601&lt;='Calibrare_Linii'!F13,"PENALTY","WATCH"))))))</x:f>
      </x:c>
      <x:c r="X601" s="2" t="str">
        <x:f>IF(M601="","",IF(AND(AND(J601="PASS",'Calibrare_Linii'!U13="VALID"),'Motor_Meciuri'!K48=12,'Motor_Meciuri'!L48=12,'Motor_Meciuri'!M48="NO",'Motor_Meciuri'!BL48='Motor_Meciuri'!C48,AB601&gt;='Config_v6'!$B$50,AN601&gt;='Config_v6'!$B$51,T601&lt;='Config_v6'!$B$52,L601&lt;='Config_v6'!$B$53,ISNUMBER('Calibrare_Linii'!E13),S601&lt;='Calibrare_Linii'!E13,SUM(AK601:AM601)&gt;0),"CANDIDATE","NO"))</x:f>
      </x:c>
      <x:c r="Y601" s="2" t="str">
        <x:f>IF(B601="","",IF(I601&lt;&gt;"READY","NOT RELEASED",IF(AND(X601="CANDIDATE",V601&gt;='Config_v6'!$B$51,W601="PASS",'Calibrare_Linii'!T13="VALIDATED",AND('Calibrare_Linii'!H13=C601,ISNUMBER('Calibrare_Linii'!J13),'Calibrare_Linii'!J13&lt;='Input_Meci'!G48)),"PASS",IF(X601="CANDIDATE","OOS PENDING","FAIL"))))</x:f>
      </x:c>
      <x:c r="Z601" s="2" t="str">
        <x:f>IF(B601="","",IF(I601&lt;&gt;"READY","",IF(OR(NOT(AND(J601="PASS",'Calibrare_Linii'!U13="VALID")),L601&gt;'Config_v6'!$B$13,W601="WATCH"),5,IF(Y601="PASS",1,MIN(5,MAX('Config_v6'!$B$42,U601)+IF(W601="PENALTY",1,0))))))</x:f>
      </x:c>
      <x:c r="AA601" s="2" t="str">
        <x:f>IF(B601="","",IF(I601&lt;&gt;"READY","NOT RELEASED",IF(Z601=5,"NO BET",IF(OR(AB601&lt;'Config_v6'!$B$16,V601&lt;'Config_v6'!$B$18),"WATCH",IF(Z601=1,"DEFENSIV",IF(Z601=2,"PRUDENT",IF(Z601=3,"MODERAT","RIDICAT")))))))</x:f>
      </x:c>
      <x:c r="AB601" s="10" t="str">
        <x:f>IF(N601="","",MIN(N601,1-S601))</x:f>
      </x:c>
      <x:c r="AC601" s="2" t="str">
        <x:f>IF(AD601&lt;&gt;1,"",COUNTIFS($Z$594:$Z$607,"&lt;"&amp;Z601,$AD$594:$AD$607,1)+COUNTIFS($Z$594:$Z$607,Z601,$AB$594:$AB$607,"&gt;"&amp;AB601,$AD$594:$AD$607,1)+COUNTIFS($Z$594:$Z$607,Z601,$AB$594:$AB$607,AB601,$V$594:$V$607,"&gt;"&amp;V601,$AD$594:$AD$607,1)+COUNTIFS($Z$594:Z601,Z601,$AB$594:AB601,AB601,$V$594:V601,V601,$AD$594:AD601,1))</x:f>
      </x:c>
      <x:c r="AD601" s="2" t="n">
        <x:f>IF(OR(AA601="DEFENSIV",AA601="PRUDENT",AA601="MODERAT",AA601="RIDICAT"),1,0)</x:f>
        <x:v>0</x:v>
      </x:c>
      <x:c r="AE601" s="2" t="str">
        <x:f>IF(AD601&lt;&gt;1,"NO",IF(W601="PASS","YES",IF(W601="OOS PENDING","CONDITIONAL","NO")))</x:f>
        <x:v>NO</x:v>
      </x:c>
      <x:c r="AF601" s="2" t="n">
        <x:f>IF(AND(AD601=1,AC601=1,E601="LIVE"),1,0)</x:f>
        <x:v>0</x:v>
      </x:c>
      <x:c r="AG601" s="2" t="str">
        <x:f>IF(AF601&lt;&gt;1,"",'Dashboard'!P68)</x:f>
      </x:c>
      <x:c r="AH601" s="2" t="str">
        <x:f>IF(B601="","",IF(J601&lt;&gt;"PASS",'Motor_Meciuri'!J48,IF('Calibrare_Linii'!U13&lt;&gt;"VALID","Parametri linie invalizi",IF(L601&gt;'Config_v6'!$B$13,"Dispersie peste limita",IF(W601="WATCH","Failure peste limita",IF(AB601&lt;'Config_v6'!$B$16,"P finala sub prag",IF(V601&lt;'Config_v6'!$B$18,"Confidence sub prag",IF(E601="REPLAY","Exemplu retrospectiv; exclus din Top LIVE",IF(Y601="PASS","DEFENSIV validat",IF(W601="OOS PENDING","Eligibil; calibrare linie in monitorizare","Eligibil"))))))))))</x:f>
      </x:c>
      <x:c r="AI601" s="2" t="str">
        <x:f>IF(B601="","",'Calibrare_Linii'!V13)</x:f>
      </x:c>
      <x:c r="AJ601" s="2" t="str">
        <x:f>IF(B601="","",IF(AND('Calibrare_Linii'!T13="VALIDATED",AND('Calibrare_Linii'!H13=C601,ISNUMBER('Calibrare_Linii'!J13),'Calibrare_Linii'!J13&lt;='Input_Meci'!G48)),"DEFENSIVE VALIDATED",IF(AND('Calibrare_Linii'!S13="VALIDATED",AND('Calibrare_Linii'!H13=C601,ISNUMBER('Calibrare_Linii'!J13),'Calibrare_Linii'!J13&lt;='Input_Meci'!G48)),"TAIL VALIDATED","OOS PENDING")))</x:f>
      </x:c>
      <x:c r="AK601" s="2" t="n">
        <x:f>IF(J601&lt;&gt;"PASS",0,'Motor_Meciuri'!BR48)</x:f>
        <x:v>0</x:v>
      </x:c>
      <x:c r="AL601" s="2" t="n">
        <x:f>IF(J601&lt;&gt;"PASS",0,'Motor_Meciuri'!BS48)</x:f>
        <x:v>0</x:v>
      </x:c>
      <x:c r="AM601" s="2" t="n">
        <x:f>IF(J601&lt;&gt;"PASS",0,'Motor_Meciuri'!BT48)</x:f>
        <x:v>0</x:v>
      </x:c>
      <x:c r="AN601" s="2" t="str">
        <x:f>IF(M601="","",MAX(0,'Motor_Meciuri'!BF48-IF(L601&gt;'Config_v6'!$B$12,'Config_v6'!$B$37,IF(L601&gt;'Config_v6'!$B$11,'Config_v6'!$B$36,0))))</x:f>
      </x:c>
    </x:row>
    <x:row r="602" ht="21" customHeight="1">
      <x:c r="A602" s="2" t="n">
        <x:v>43</x:v>
      </x:c>
      <x:c r="B602" s="2" t="str">
        <x:f>IF('Motor_Meciuri'!A48="","",'Motor_Meciuri'!A48)</x:f>
      </x:c>
      <x:c r="C602" s="2" t="str">
        <x:f>IF(B602="","",'Motor_Meciuri'!B48)</x:f>
      </x:c>
      <x:c r="D602" s="2" t="str">
        <x:f>IF(B602="","",'Motor_Meciuri'!D48)</x:f>
      </x:c>
      <x:c r="E602" s="2" t="str">
        <x:f>IF(B602="","",'Motor_Meciuri'!E48)</x:f>
      </x:c>
      <x:c r="F602" s="2" t="str">
        <x:v>U12,5</x:v>
      </x:c>
      <x:c r="G602" s="2" t="str">
        <x:v>UNDER</x:v>
      </x:c>
      <x:c r="H602" s="2" t="n">
        <x:v>12</x:v>
      </x:c>
      <x:c r="I602" s="2" t="str">
        <x:f>IF(B602="","",'Motor_Meciuri'!H48)</x:f>
      </x:c>
      <x:c r="J602" s="2" t="str">
        <x:f>IF(B602="","",'Motor_Meciuri'!I48)</x:f>
      </x:c>
      <x:c r="K602" s="11" t="str">
        <x:f>IF(J602&lt;&gt;"PASS","",'Motor_Meciuri'!BD48)</x:f>
      </x:c>
      <x:c r="L602" s="11" t="str">
        <x:f>IF(J602&lt;&gt;"PASS","",'Motor_Meciuri'!AU48)</x:f>
      </x:c>
      <x:c r="M602" s="10" t="str">
        <x:f>IF(NOT(AND(J602="PASS",'Calibrare_Linii'!U14="VALID")),"",'Distributie'!AJ48)</x:f>
      </x:c>
      <x:c r="N602" s="10" t="str">
        <x:f>IF(M602="","",MAX(0.01,MIN(0.99,0.5+(M602-0.5)*'Motor_Meciuri'!BG48*'Calibrare_Linii'!D14)))</x:f>
      </x:c>
      <x:c r="O602" s="10" t="str">
        <x:f>IF(M602="","",1-M602)</x:f>
      </x:c>
      <x:c r="P602" s="10" t="str">
        <x:f>IF(OR(NOT(AND(J602="PASS",'Calibrare_Linii'!U14="VALID")),AK602=0),""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*('Istoric_Nativ'!$Q$6:$Q$405&gt;H602))/AK602)</x:f>
      </x:c>
      <x:c r="Q602" s="10" t="str">
        <x:f>IF(OR(NOT(AND(J602="PASS",'Calibrare_Linii'!U14="VALID")),AL602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M48)+((('Istoric_Nativ'!$E$6:$E$405='Input_Meci'!E48)+('Istoric_Nativ'!$F$6:$F$405='Input_Meci'!E48))&gt;0)*('Istoric_Nativ'!$D$6:$D$405&gt;='Motor_Meciuri'!BN48))&gt;0)*('Istoric_Nativ'!$Q$6:$Q$405&gt;H602))/AL602)</x:f>
      </x:c>
      <x:c r="R602" s="10" t="str">
        <x:f>IF(OR(NOT(AND(J602="PASS",'Calibrare_Linii'!U14="VALID")),AM602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O48)+((('Istoric_Nativ'!$E$6:$E$405='Input_Meci'!E48)+('Istoric_Nativ'!$F$6:$F$405='Input_Meci'!E48))&gt;0)*('Istoric_Nativ'!$D$6:$D$405&gt;='Motor_Meciuri'!BP48))&gt;0)*('Istoric_Nativ'!$Q$6:$Q$405&gt;H602))/AM602)</x:f>
      </x:c>
      <x:c r="S602" s="10" t="str">
        <x:f>IF(M602="","",MAX(O602,P602,Q602,R602))</x:f>
      </x:c>
      <x:c r="T602" s="11" t="str">
        <x:f>IF(M602="","",MIN(100,S602*100*'Config_v6'!$B$44+MIN(100,L602/'Config_v6'!$B$13*100)*'Config_v6'!$B$45+(100-'Motor_Meciuri'!BF48)*'Config_v6'!$B$46+'Motor_Meciuri'!BH48*100*'Config_v6'!$B$47))</x:f>
      </x:c>
      <x:c r="U602" s="2" t="str">
        <x:f>IF(T602="","",IF(T602&lt;=20,1,IF(T602&lt;=40,2,IF(T602&lt;=60,3,IF(T602&lt;=80,4,5)))))</x:f>
      </x:c>
      <x:c r="V602" s="2" t="str">
        <x:f>IF(M602="","",MAX(0,'Motor_Meciuri'!BF48-IF(W602="OOS PENDING",'Config_v6'!$B$35,0)-IF(L602&gt;'Config_v6'!$B$12,'Config_v6'!$B$37,IF(L602&gt;'Config_v6'!$B$11,'Config_v6'!$B$36,0))))</x:f>
      </x:c>
      <x:c r="W602" s="2" t="str">
        <x:f>IF(B602="","",IF(I602&lt;&gt;"READY","NOT RELEASED",IF(NOT(AND(J602="PASS",'Calibrare_Linii'!U14="VALID")),"INVALID",IF(NOT(AND('Calibrare_Linii'!S14="VALIDATED",AND('Calibrare_Linii'!H14=C602,ISNUMBER('Calibrare_Linii'!J14),'Calibrare_Linii'!J14&lt;='Input_Meci'!G48))),"OOS PENDING",IF(S602&lt;='Calibrare_Linii'!E14,"PASS",IF(S602&lt;='Calibrare_Linii'!F14,"PENALTY","WATCH"))))))</x:f>
      </x:c>
      <x:c r="X602" s="2" t="str">
        <x:f>IF(M602="","",IF(AND(AND(J602="PASS",'Calibrare_Linii'!U14="VALID"),'Motor_Meciuri'!K48=12,'Motor_Meciuri'!L48=12,'Motor_Meciuri'!M48="NO",'Motor_Meciuri'!BL48='Motor_Meciuri'!C48,AB602&gt;='Config_v6'!$B$50,AN602&gt;='Config_v6'!$B$51,T602&lt;='Config_v6'!$B$52,L602&lt;='Config_v6'!$B$53,ISNUMBER('Calibrare_Linii'!E14),S602&lt;='Calibrare_Linii'!E14,SUM(AK602:AM602)&gt;0),"CANDIDATE","NO"))</x:f>
      </x:c>
      <x:c r="Y602" s="2" t="str">
        <x:f>IF(B602="","",IF(I602&lt;&gt;"READY","NOT RELEASED",IF(AND(X602="CANDIDATE",V602&gt;='Config_v6'!$B$51,W602="PASS",'Calibrare_Linii'!T14="VALIDATED",AND('Calibrare_Linii'!H14=C602,ISNUMBER('Calibrare_Linii'!J14),'Calibrare_Linii'!J14&lt;='Input_Meci'!G48)),"PASS",IF(X602="CANDIDATE","OOS PENDING","FAIL"))))</x:f>
      </x:c>
      <x:c r="Z602" s="2" t="str">
        <x:f>IF(B602="","",IF(I602&lt;&gt;"READY","",IF(OR(NOT(AND(J602="PASS",'Calibrare_Linii'!U14="VALID")),L602&gt;'Config_v6'!$B$13,W602="WATCH"),5,IF(Y602="PASS",1,MIN(5,MAX('Config_v6'!$B$42,U602)+IF(W602="PENALTY",1,0))))))</x:f>
      </x:c>
      <x:c r="AA602" s="2" t="str">
        <x:f>IF(B602="","",IF(I602&lt;&gt;"READY","NOT RELEASED",IF(Z602=5,"NO BET",IF(OR(AB602&lt;'Config_v6'!$B$16,V602&lt;'Config_v6'!$B$18),"WATCH",IF(Z602=1,"DEFENSIV",IF(Z602=2,"PRUDENT",IF(Z602=3,"MODERAT","RIDICAT")))))))</x:f>
      </x:c>
      <x:c r="AB602" s="10" t="str">
        <x:f>IF(N602="","",MIN(N602,1-S602))</x:f>
      </x:c>
      <x:c r="AC602" s="2" t="str">
        <x:f>IF(AD602&lt;&gt;1,"",COUNTIFS($Z$594:$Z$607,"&lt;"&amp;Z602,$AD$594:$AD$607,1)+COUNTIFS($Z$594:$Z$607,Z602,$AB$594:$AB$607,"&gt;"&amp;AB602,$AD$594:$AD$607,1)+COUNTIFS($Z$594:$Z$607,Z602,$AB$594:$AB$607,AB602,$V$594:$V$607,"&gt;"&amp;V602,$AD$594:$AD$607,1)+COUNTIFS($Z$594:Z602,Z602,$AB$594:AB602,AB602,$V$594:V602,V602,$AD$594:AD602,1))</x:f>
      </x:c>
      <x:c r="AD602" s="2" t="n">
        <x:f>IF(OR(AA602="DEFENSIV",AA602="PRUDENT",AA602="MODERAT",AA602="RIDICAT"),1,0)</x:f>
        <x:v>0</x:v>
      </x:c>
      <x:c r="AE602" s="2" t="str">
        <x:f>IF(AD602&lt;&gt;1,"NO",IF(W602="PASS","YES",IF(W602="OOS PENDING","CONDITIONAL","NO")))</x:f>
        <x:v>NO</x:v>
      </x:c>
      <x:c r="AF602" s="2" t="n">
        <x:f>IF(AND(AD602=1,AC602=1,E602="LIVE"),1,0)</x:f>
        <x:v>0</x:v>
      </x:c>
      <x:c r="AG602" s="2" t="str">
        <x:f>IF(AF602&lt;&gt;1,"",'Dashboard'!P68)</x:f>
      </x:c>
      <x:c r="AH602" s="2" t="str">
        <x:f>IF(B602="","",IF(J602&lt;&gt;"PASS",'Motor_Meciuri'!J48,IF('Calibrare_Linii'!U14&lt;&gt;"VALID","Parametri linie invalizi",IF(L602&gt;'Config_v6'!$B$13,"Dispersie peste limita",IF(W602="WATCH","Failure peste limita",IF(AB602&lt;'Config_v6'!$B$16,"P finala sub prag",IF(V602&lt;'Config_v6'!$B$18,"Confidence sub prag",IF(E602="REPLAY","Exemplu retrospectiv; exclus din Top LIVE",IF(Y602="PASS","DEFENSIV validat",IF(W602="OOS PENDING","Eligibil; calibrare linie in monitorizare","Eligibil"))))))))))</x:f>
      </x:c>
      <x:c r="AI602" s="2" t="str">
        <x:f>IF(B602="","",'Calibrare_Linii'!V14)</x:f>
      </x:c>
      <x:c r="AJ602" s="2" t="str">
        <x:f>IF(B602="","",IF(AND('Calibrare_Linii'!T14="VALIDATED",AND('Calibrare_Linii'!H14=C602,ISNUMBER('Calibrare_Linii'!J14),'Calibrare_Linii'!J14&lt;='Input_Meci'!G48)),"DEFENSIVE VALIDATED",IF(AND('Calibrare_Linii'!S14="VALIDATED",AND('Calibrare_Linii'!H14=C602,ISNUMBER('Calibrare_Linii'!J14),'Calibrare_Linii'!J14&lt;='Input_Meci'!G48)),"TAIL VALIDATED","OOS PENDING")))</x:f>
      </x:c>
      <x:c r="AK602" s="2" t="n">
        <x:f>IF(J602&lt;&gt;"PASS",0,'Motor_Meciuri'!BR48)</x:f>
        <x:v>0</x:v>
      </x:c>
      <x:c r="AL602" s="2" t="n">
        <x:f>IF(J602&lt;&gt;"PASS",0,'Motor_Meciuri'!BS48)</x:f>
        <x:v>0</x:v>
      </x:c>
      <x:c r="AM602" s="2" t="n">
        <x:f>IF(J602&lt;&gt;"PASS",0,'Motor_Meciuri'!BT48)</x:f>
        <x:v>0</x:v>
      </x:c>
      <x:c r="AN602" s="2" t="str">
        <x:f>IF(M602="","",MAX(0,'Motor_Meciuri'!BF48-IF(L602&gt;'Config_v6'!$B$12,'Config_v6'!$B$37,IF(L602&gt;'Config_v6'!$B$11,'Config_v6'!$B$36,0))))</x:f>
      </x:c>
    </x:row>
    <x:row r="603" ht="21" customHeight="1">
      <x:c r="A603" s="2" t="n">
        <x:v>43</x:v>
      </x:c>
      <x:c r="B603" s="2" t="str">
        <x:f>IF('Motor_Meciuri'!A48="","",'Motor_Meciuri'!A48)</x:f>
      </x:c>
      <x:c r="C603" s="2" t="str">
        <x:f>IF(B603="","",'Motor_Meciuri'!B48)</x:f>
      </x:c>
      <x:c r="D603" s="2" t="str">
        <x:f>IF(B603="","",'Motor_Meciuri'!D48)</x:f>
      </x:c>
      <x:c r="E603" s="2" t="str">
        <x:f>IF(B603="","",'Motor_Meciuri'!E48)</x:f>
      </x:c>
      <x:c r="F603" s="2" t="str">
        <x:v>U13,5</x:v>
      </x:c>
      <x:c r="G603" s="2" t="str">
        <x:v>UNDER</x:v>
      </x:c>
      <x:c r="H603" s="2" t="n">
        <x:v>13</x:v>
      </x:c>
      <x:c r="I603" s="2" t="str">
        <x:f>IF(B603="","",'Motor_Meciuri'!H48)</x:f>
      </x:c>
      <x:c r="J603" s="2" t="str">
        <x:f>IF(B603="","",'Motor_Meciuri'!I48)</x:f>
      </x:c>
      <x:c r="K603" s="11" t="str">
        <x:f>IF(J603&lt;&gt;"PASS","",'Motor_Meciuri'!BD48)</x:f>
      </x:c>
      <x:c r="L603" s="11" t="str">
        <x:f>IF(J603&lt;&gt;"PASS","",'Motor_Meciuri'!AU48)</x:f>
      </x:c>
      <x:c r="M603" s="10" t="str">
        <x:f>IF(NOT(AND(J603="PASS",'Calibrare_Linii'!U15="VALID")),"",'Distributie'!AK48)</x:f>
      </x:c>
      <x:c r="N603" s="10" t="str">
        <x:f>IF(M603="","",MAX(0.01,MIN(0.99,0.5+(M603-0.5)*'Motor_Meciuri'!BG48*'Calibrare_Linii'!D15)))</x:f>
      </x:c>
      <x:c r="O603" s="10" t="str">
        <x:f>IF(M603="","",1-M603)</x:f>
      </x:c>
      <x:c r="P603" s="10" t="str">
        <x:f>IF(OR(NOT(AND(J603="PASS",'Calibrare_Linii'!U15="VALID")),AK603=0),""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*('Istoric_Nativ'!$Q$6:$Q$405&gt;H603))/AK603)</x:f>
      </x:c>
      <x:c r="Q603" s="10" t="str">
        <x:f>IF(OR(NOT(AND(J603="PASS",'Calibrare_Linii'!U15="VALID")),AL603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M48)+((('Istoric_Nativ'!$E$6:$E$405='Input_Meci'!E48)+('Istoric_Nativ'!$F$6:$F$405='Input_Meci'!E48))&gt;0)*('Istoric_Nativ'!$D$6:$D$405&gt;='Motor_Meciuri'!BN48))&gt;0)*('Istoric_Nativ'!$Q$6:$Q$405&gt;H603))/AL603)</x:f>
      </x:c>
      <x:c r="R603" s="10" t="str">
        <x:f>IF(OR(NOT(AND(J603="PASS",'Calibrare_Linii'!U15="VALID")),AM603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O48)+((('Istoric_Nativ'!$E$6:$E$405='Input_Meci'!E48)+('Istoric_Nativ'!$F$6:$F$405='Input_Meci'!E48))&gt;0)*('Istoric_Nativ'!$D$6:$D$405&gt;='Motor_Meciuri'!BP48))&gt;0)*('Istoric_Nativ'!$Q$6:$Q$405&gt;H603))/AM603)</x:f>
      </x:c>
      <x:c r="S603" s="10" t="str">
        <x:f>IF(M603="","",MAX(O603,P603,Q603,R603))</x:f>
      </x:c>
      <x:c r="T603" s="11" t="str">
        <x:f>IF(M603="","",MIN(100,S603*100*'Config_v6'!$B$44+MIN(100,L603/'Config_v6'!$B$13*100)*'Config_v6'!$B$45+(100-'Motor_Meciuri'!BF48)*'Config_v6'!$B$46+'Motor_Meciuri'!BH48*100*'Config_v6'!$B$47))</x:f>
      </x:c>
      <x:c r="U603" s="2" t="str">
        <x:f>IF(T603="","",IF(T603&lt;=20,1,IF(T603&lt;=40,2,IF(T603&lt;=60,3,IF(T603&lt;=80,4,5)))))</x:f>
      </x:c>
      <x:c r="V603" s="2" t="str">
        <x:f>IF(M603="","",MAX(0,'Motor_Meciuri'!BF48-IF(W603="OOS PENDING",'Config_v6'!$B$35,0)-IF(L603&gt;'Config_v6'!$B$12,'Config_v6'!$B$37,IF(L603&gt;'Config_v6'!$B$11,'Config_v6'!$B$36,0))))</x:f>
      </x:c>
      <x:c r="W603" s="2" t="str">
        <x:f>IF(B603="","",IF(I603&lt;&gt;"READY","NOT RELEASED",IF(NOT(AND(J603="PASS",'Calibrare_Linii'!U15="VALID")),"INVALID",IF(NOT(AND('Calibrare_Linii'!S15="VALIDATED",AND('Calibrare_Linii'!H15=C603,ISNUMBER('Calibrare_Linii'!J15),'Calibrare_Linii'!J15&lt;='Input_Meci'!G48))),"OOS PENDING",IF(S603&lt;='Calibrare_Linii'!E15,"PASS",IF(S603&lt;='Calibrare_Linii'!F15,"PENALTY","WATCH"))))))</x:f>
      </x:c>
      <x:c r="X603" s="2" t="str">
        <x:f>IF(M603="","",IF(AND(AND(J603="PASS",'Calibrare_Linii'!U15="VALID"),'Motor_Meciuri'!K48=12,'Motor_Meciuri'!L48=12,'Motor_Meciuri'!M48="NO",'Motor_Meciuri'!BL48='Motor_Meciuri'!C48,AB603&gt;='Config_v6'!$B$50,AN603&gt;='Config_v6'!$B$51,T603&lt;='Config_v6'!$B$52,L603&lt;='Config_v6'!$B$53,ISNUMBER('Calibrare_Linii'!E15),S603&lt;='Calibrare_Linii'!E15,SUM(AK603:AM603)&gt;0),"CANDIDATE","NO"))</x:f>
      </x:c>
      <x:c r="Y603" s="2" t="str">
        <x:f>IF(B603="","",IF(I603&lt;&gt;"READY","NOT RELEASED",IF(AND(X603="CANDIDATE",V603&gt;='Config_v6'!$B$51,W603="PASS",'Calibrare_Linii'!T15="VALIDATED",AND('Calibrare_Linii'!H15=C603,ISNUMBER('Calibrare_Linii'!J15),'Calibrare_Linii'!J15&lt;='Input_Meci'!G48)),"PASS",IF(X603="CANDIDATE","OOS PENDING","FAIL"))))</x:f>
      </x:c>
      <x:c r="Z603" s="2" t="str">
        <x:f>IF(B603="","",IF(I603&lt;&gt;"READY","",IF(OR(NOT(AND(J603="PASS",'Calibrare_Linii'!U15="VALID")),L603&gt;'Config_v6'!$B$13,W603="WATCH"),5,IF(Y603="PASS",1,MIN(5,MAX('Config_v6'!$B$42,U603)+IF(W603="PENALTY",1,0))))))</x:f>
      </x:c>
      <x:c r="AA603" s="2" t="str">
        <x:f>IF(B603="","",IF(I603&lt;&gt;"READY","NOT RELEASED",IF(Z603=5,"NO BET",IF(OR(AB603&lt;'Config_v6'!$B$16,V603&lt;'Config_v6'!$B$18),"WATCH",IF(Z603=1,"DEFENSIV",IF(Z603=2,"PRUDENT",IF(Z603=3,"MODERAT","RIDICAT")))))))</x:f>
      </x:c>
      <x:c r="AB603" s="10" t="str">
        <x:f>IF(N603="","",MIN(N603,1-S603))</x:f>
      </x:c>
      <x:c r="AC603" s="2" t="str">
        <x:f>IF(AD603&lt;&gt;1,"",COUNTIFS($Z$594:$Z$607,"&lt;"&amp;Z603,$AD$594:$AD$607,1)+COUNTIFS($Z$594:$Z$607,Z603,$AB$594:$AB$607,"&gt;"&amp;AB603,$AD$594:$AD$607,1)+COUNTIFS($Z$594:$Z$607,Z603,$AB$594:$AB$607,AB603,$V$594:$V$607,"&gt;"&amp;V603,$AD$594:$AD$607,1)+COUNTIFS($Z$594:Z603,Z603,$AB$594:AB603,AB603,$V$594:V603,V603,$AD$594:AD603,1))</x:f>
      </x:c>
      <x:c r="AD603" s="2" t="n">
        <x:f>IF(OR(AA603="DEFENSIV",AA603="PRUDENT",AA603="MODERAT",AA603="RIDICAT"),1,0)</x:f>
        <x:v>0</x:v>
      </x:c>
      <x:c r="AE603" s="2" t="str">
        <x:f>IF(AD603&lt;&gt;1,"NO",IF(W603="PASS","YES",IF(W603="OOS PENDING","CONDITIONAL","NO")))</x:f>
        <x:v>NO</x:v>
      </x:c>
      <x:c r="AF603" s="2" t="n">
        <x:f>IF(AND(AD603=1,AC603=1,E603="LIVE"),1,0)</x:f>
        <x:v>0</x:v>
      </x:c>
      <x:c r="AG603" s="2" t="str">
        <x:f>IF(AF603&lt;&gt;1,"",'Dashboard'!P68)</x:f>
      </x:c>
      <x:c r="AH603" s="2" t="str">
        <x:f>IF(B603="","",IF(J603&lt;&gt;"PASS",'Motor_Meciuri'!J48,IF('Calibrare_Linii'!U15&lt;&gt;"VALID","Parametri linie invalizi",IF(L603&gt;'Config_v6'!$B$13,"Dispersie peste limita",IF(W603="WATCH","Failure peste limita",IF(AB603&lt;'Config_v6'!$B$16,"P finala sub prag",IF(V603&lt;'Config_v6'!$B$18,"Confidence sub prag",IF(E603="REPLAY","Exemplu retrospectiv; exclus din Top LIVE",IF(Y603="PASS","DEFENSIV validat",IF(W603="OOS PENDING","Eligibil; calibrare linie in monitorizare","Eligibil"))))))))))</x:f>
      </x:c>
      <x:c r="AI603" s="2" t="str">
        <x:f>IF(B603="","",'Calibrare_Linii'!V15)</x:f>
      </x:c>
      <x:c r="AJ603" s="2" t="str">
        <x:f>IF(B603="","",IF(AND('Calibrare_Linii'!T15="VALIDATED",AND('Calibrare_Linii'!H15=C603,ISNUMBER('Calibrare_Linii'!J15),'Calibrare_Linii'!J15&lt;='Input_Meci'!G48)),"DEFENSIVE VALIDATED",IF(AND('Calibrare_Linii'!S15="VALIDATED",AND('Calibrare_Linii'!H15=C603,ISNUMBER('Calibrare_Linii'!J15),'Calibrare_Linii'!J15&lt;='Input_Meci'!G48)),"TAIL VALIDATED","OOS PENDING")))</x:f>
      </x:c>
      <x:c r="AK603" s="2" t="n">
        <x:f>IF(J603&lt;&gt;"PASS",0,'Motor_Meciuri'!BR48)</x:f>
        <x:v>0</x:v>
      </x:c>
      <x:c r="AL603" s="2" t="n">
        <x:f>IF(J603&lt;&gt;"PASS",0,'Motor_Meciuri'!BS48)</x:f>
        <x:v>0</x:v>
      </x:c>
      <x:c r="AM603" s="2" t="n">
        <x:f>IF(J603&lt;&gt;"PASS",0,'Motor_Meciuri'!BT48)</x:f>
        <x:v>0</x:v>
      </x:c>
      <x:c r="AN603" s="2" t="str">
        <x:f>IF(M603="","",MAX(0,'Motor_Meciuri'!BF48-IF(L603&gt;'Config_v6'!$B$12,'Config_v6'!$B$37,IF(L603&gt;'Config_v6'!$B$11,'Config_v6'!$B$36,0))))</x:f>
      </x:c>
    </x:row>
    <x:row r="604" ht="21" customHeight="1">
      <x:c r="A604" s="2" t="n">
        <x:v>43</x:v>
      </x:c>
      <x:c r="B604" s="2" t="str">
        <x:f>IF('Motor_Meciuri'!A48="","",'Motor_Meciuri'!A48)</x:f>
      </x:c>
      <x:c r="C604" s="2" t="str">
        <x:f>IF(B604="","",'Motor_Meciuri'!B48)</x:f>
      </x:c>
      <x:c r="D604" s="2" t="str">
        <x:f>IF(B604="","",'Motor_Meciuri'!D48)</x:f>
      </x:c>
      <x:c r="E604" s="2" t="str">
        <x:f>IF(B604="","",'Motor_Meciuri'!E48)</x:f>
      </x:c>
      <x:c r="F604" s="2" t="str">
        <x:v>U14,5</x:v>
      </x:c>
      <x:c r="G604" s="2" t="str">
        <x:v>UNDER</x:v>
      </x:c>
      <x:c r="H604" s="2" t="n">
        <x:v>14</x:v>
      </x:c>
      <x:c r="I604" s="2" t="str">
        <x:f>IF(B604="","",'Motor_Meciuri'!H48)</x:f>
      </x:c>
      <x:c r="J604" s="2" t="str">
        <x:f>IF(B604="","",'Motor_Meciuri'!I48)</x:f>
      </x:c>
      <x:c r="K604" s="11" t="str">
        <x:f>IF(J604&lt;&gt;"PASS","",'Motor_Meciuri'!BD48)</x:f>
      </x:c>
      <x:c r="L604" s="11" t="str">
        <x:f>IF(J604&lt;&gt;"PASS","",'Motor_Meciuri'!AU48)</x:f>
      </x:c>
      <x:c r="M604" s="10" t="str">
        <x:f>IF(NOT(AND(J604="PASS",'Calibrare_Linii'!U16="VALID")),"",'Distributie'!AL48)</x:f>
      </x:c>
      <x:c r="N604" s="10" t="str">
        <x:f>IF(M604="","",MAX(0.01,MIN(0.99,0.5+(M604-0.5)*'Motor_Meciuri'!BG48*'Calibrare_Linii'!D16)))</x:f>
      </x:c>
      <x:c r="O604" s="10" t="str">
        <x:f>IF(M604="","",1-M604)</x:f>
      </x:c>
      <x:c r="P604" s="10" t="str">
        <x:f>IF(OR(NOT(AND(J604="PASS",'Calibrare_Linii'!U16="VALID")),AK604=0),""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*('Istoric_Nativ'!$Q$6:$Q$405&gt;H604))/AK604)</x:f>
      </x:c>
      <x:c r="Q604" s="10" t="str">
        <x:f>IF(OR(NOT(AND(J604="PASS",'Calibrare_Linii'!U16="VALID")),AL604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M48)+((('Istoric_Nativ'!$E$6:$E$405='Input_Meci'!E48)+('Istoric_Nativ'!$F$6:$F$405='Input_Meci'!E48))&gt;0)*('Istoric_Nativ'!$D$6:$D$405&gt;='Motor_Meciuri'!BN48))&gt;0)*('Istoric_Nativ'!$Q$6:$Q$405&gt;H604))/AL604)</x:f>
      </x:c>
      <x:c r="R604" s="10" t="str">
        <x:f>IF(OR(NOT(AND(J604="PASS",'Calibrare_Linii'!U16="VALID")),AM604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O48)+((('Istoric_Nativ'!$E$6:$E$405='Input_Meci'!E48)+('Istoric_Nativ'!$F$6:$F$405='Input_Meci'!E48))&gt;0)*('Istoric_Nativ'!$D$6:$D$405&gt;='Motor_Meciuri'!BP48))&gt;0)*('Istoric_Nativ'!$Q$6:$Q$405&gt;H604))/AM604)</x:f>
      </x:c>
      <x:c r="S604" s="10" t="str">
        <x:f>IF(M604="","",MAX(O604,P604,Q604,R604))</x:f>
      </x:c>
      <x:c r="T604" s="11" t="str">
        <x:f>IF(M604="","",MIN(100,S604*100*'Config_v6'!$B$44+MIN(100,L604/'Config_v6'!$B$13*100)*'Config_v6'!$B$45+(100-'Motor_Meciuri'!BF48)*'Config_v6'!$B$46+'Motor_Meciuri'!BH48*100*'Config_v6'!$B$47))</x:f>
      </x:c>
      <x:c r="U604" s="2" t="str">
        <x:f>IF(T604="","",IF(T604&lt;=20,1,IF(T604&lt;=40,2,IF(T604&lt;=60,3,IF(T604&lt;=80,4,5)))))</x:f>
      </x:c>
      <x:c r="V604" s="2" t="str">
        <x:f>IF(M604="","",MAX(0,'Motor_Meciuri'!BF48-IF(W604="OOS PENDING",'Config_v6'!$B$35,0)-IF(L604&gt;'Config_v6'!$B$12,'Config_v6'!$B$37,IF(L604&gt;'Config_v6'!$B$11,'Config_v6'!$B$36,0))))</x:f>
      </x:c>
      <x:c r="W604" s="2" t="str">
        <x:f>IF(B604="","",IF(I604&lt;&gt;"READY","NOT RELEASED",IF(NOT(AND(J604="PASS",'Calibrare_Linii'!U16="VALID")),"INVALID",IF(NOT(AND('Calibrare_Linii'!S16="VALIDATED",AND('Calibrare_Linii'!H16=C604,ISNUMBER('Calibrare_Linii'!J16),'Calibrare_Linii'!J16&lt;='Input_Meci'!G48))),"OOS PENDING",IF(S604&lt;='Calibrare_Linii'!E16,"PASS",IF(S604&lt;='Calibrare_Linii'!F16,"PENALTY","WATCH"))))))</x:f>
      </x:c>
      <x:c r="X604" s="2" t="str">
        <x:f>IF(M604="","",IF(AND(AND(J604="PASS",'Calibrare_Linii'!U16="VALID"),'Motor_Meciuri'!K48=12,'Motor_Meciuri'!L48=12,'Motor_Meciuri'!M48="NO",'Motor_Meciuri'!BL48='Motor_Meciuri'!C48,AB604&gt;='Config_v6'!$B$50,AN604&gt;='Config_v6'!$B$51,T604&lt;='Config_v6'!$B$52,L604&lt;='Config_v6'!$B$53,ISNUMBER('Calibrare_Linii'!E16),S604&lt;='Calibrare_Linii'!E16,SUM(AK604:AM604)&gt;0),"CANDIDATE","NO"))</x:f>
      </x:c>
      <x:c r="Y604" s="2" t="str">
        <x:f>IF(B604="","",IF(I604&lt;&gt;"READY","NOT RELEASED",IF(AND(X604="CANDIDATE",V604&gt;='Config_v6'!$B$51,W604="PASS",'Calibrare_Linii'!T16="VALIDATED",AND('Calibrare_Linii'!H16=C604,ISNUMBER('Calibrare_Linii'!J16),'Calibrare_Linii'!J16&lt;='Input_Meci'!G48)),"PASS",IF(X604="CANDIDATE","OOS PENDING","FAIL"))))</x:f>
      </x:c>
      <x:c r="Z604" s="2" t="str">
        <x:f>IF(B604="","",IF(I604&lt;&gt;"READY","",IF(OR(NOT(AND(J604="PASS",'Calibrare_Linii'!U16="VALID")),L604&gt;'Config_v6'!$B$13,W604="WATCH"),5,IF(Y604="PASS",1,MIN(5,MAX('Config_v6'!$B$42,U604)+IF(W604="PENALTY",1,0))))))</x:f>
      </x:c>
      <x:c r="AA604" s="2" t="str">
        <x:f>IF(B604="","",IF(I604&lt;&gt;"READY","NOT RELEASED",IF(Z604=5,"NO BET",IF(OR(AB604&lt;'Config_v6'!$B$16,V604&lt;'Config_v6'!$B$18),"WATCH",IF(Z604=1,"DEFENSIV",IF(Z604=2,"PRUDENT",IF(Z604=3,"MODERAT","RIDICAT")))))))</x:f>
      </x:c>
      <x:c r="AB604" s="10" t="str">
        <x:f>IF(N604="","",MIN(N604,1-S604))</x:f>
      </x:c>
      <x:c r="AC604" s="2" t="str">
        <x:f>IF(AD604&lt;&gt;1,"",COUNTIFS($Z$594:$Z$607,"&lt;"&amp;Z604,$AD$594:$AD$607,1)+COUNTIFS($Z$594:$Z$607,Z604,$AB$594:$AB$607,"&gt;"&amp;AB604,$AD$594:$AD$607,1)+COUNTIFS($Z$594:$Z$607,Z604,$AB$594:$AB$607,AB604,$V$594:$V$607,"&gt;"&amp;V604,$AD$594:$AD$607,1)+COUNTIFS($Z$594:Z604,Z604,$AB$594:AB604,AB604,$V$594:V604,V604,$AD$594:AD604,1))</x:f>
      </x:c>
      <x:c r="AD604" s="2" t="n">
        <x:f>IF(OR(AA604="DEFENSIV",AA604="PRUDENT",AA604="MODERAT",AA604="RIDICAT"),1,0)</x:f>
        <x:v>0</x:v>
      </x:c>
      <x:c r="AE604" s="2" t="str">
        <x:f>IF(AD604&lt;&gt;1,"NO",IF(W604="PASS","YES",IF(W604="OOS PENDING","CONDITIONAL","NO")))</x:f>
        <x:v>NO</x:v>
      </x:c>
      <x:c r="AF604" s="2" t="n">
        <x:f>IF(AND(AD604=1,AC604=1,E604="LIVE"),1,0)</x:f>
        <x:v>0</x:v>
      </x:c>
      <x:c r="AG604" s="2" t="str">
        <x:f>IF(AF604&lt;&gt;1,"",'Dashboard'!P68)</x:f>
      </x:c>
      <x:c r="AH604" s="2" t="str">
        <x:f>IF(B604="","",IF(J604&lt;&gt;"PASS",'Motor_Meciuri'!J48,IF('Calibrare_Linii'!U16&lt;&gt;"VALID","Parametri linie invalizi",IF(L604&gt;'Config_v6'!$B$13,"Dispersie peste limita",IF(W604="WATCH","Failure peste limita",IF(AB604&lt;'Config_v6'!$B$16,"P finala sub prag",IF(V604&lt;'Config_v6'!$B$18,"Confidence sub prag",IF(E604="REPLAY","Exemplu retrospectiv; exclus din Top LIVE",IF(Y604="PASS","DEFENSIV validat",IF(W604="OOS PENDING","Eligibil; calibrare linie in monitorizare","Eligibil"))))))))))</x:f>
      </x:c>
      <x:c r="AI604" s="2" t="str">
        <x:f>IF(B604="","",'Calibrare_Linii'!V16)</x:f>
      </x:c>
      <x:c r="AJ604" s="2" t="str">
        <x:f>IF(B604="","",IF(AND('Calibrare_Linii'!T16="VALIDATED",AND('Calibrare_Linii'!H16=C604,ISNUMBER('Calibrare_Linii'!J16),'Calibrare_Linii'!J16&lt;='Input_Meci'!G48)),"DEFENSIVE VALIDATED",IF(AND('Calibrare_Linii'!S16="VALIDATED",AND('Calibrare_Linii'!H16=C604,ISNUMBER('Calibrare_Linii'!J16),'Calibrare_Linii'!J16&lt;='Input_Meci'!G48)),"TAIL VALIDATED","OOS PENDING")))</x:f>
      </x:c>
      <x:c r="AK604" s="2" t="n">
        <x:f>IF(J604&lt;&gt;"PASS",0,'Motor_Meciuri'!BR48)</x:f>
        <x:v>0</x:v>
      </x:c>
      <x:c r="AL604" s="2" t="n">
        <x:f>IF(J604&lt;&gt;"PASS",0,'Motor_Meciuri'!BS48)</x:f>
        <x:v>0</x:v>
      </x:c>
      <x:c r="AM604" s="2" t="n">
        <x:f>IF(J604&lt;&gt;"PASS",0,'Motor_Meciuri'!BT48)</x:f>
        <x:v>0</x:v>
      </x:c>
      <x:c r="AN604" s="2" t="str">
        <x:f>IF(M604="","",MAX(0,'Motor_Meciuri'!BF48-IF(L604&gt;'Config_v6'!$B$12,'Config_v6'!$B$37,IF(L604&gt;'Config_v6'!$B$11,'Config_v6'!$B$36,0))))</x:f>
      </x:c>
    </x:row>
    <x:row r="605" ht="21" customHeight="1">
      <x:c r="A605" s="2" t="n">
        <x:v>43</x:v>
      </x:c>
      <x:c r="B605" s="2" t="str">
        <x:f>IF('Motor_Meciuri'!A48="","",'Motor_Meciuri'!A48)</x:f>
      </x:c>
      <x:c r="C605" s="2" t="str">
        <x:f>IF(B605="","",'Motor_Meciuri'!B48)</x:f>
      </x:c>
      <x:c r="D605" s="2" t="str">
        <x:f>IF(B605="","",'Motor_Meciuri'!D48)</x:f>
      </x:c>
      <x:c r="E605" s="2" t="str">
        <x:f>IF(B605="","",'Motor_Meciuri'!E48)</x:f>
      </x:c>
      <x:c r="F605" s="2" t="str">
        <x:v>U15,5</x:v>
      </x:c>
      <x:c r="G605" s="2" t="str">
        <x:v>UNDER</x:v>
      </x:c>
      <x:c r="H605" s="2" t="n">
        <x:v>15</x:v>
      </x:c>
      <x:c r="I605" s="2" t="str">
        <x:f>IF(B605="","",'Motor_Meciuri'!H48)</x:f>
      </x:c>
      <x:c r="J605" s="2" t="str">
        <x:f>IF(B605="","",'Motor_Meciuri'!I48)</x:f>
      </x:c>
      <x:c r="K605" s="11" t="str">
        <x:f>IF(J605&lt;&gt;"PASS","",'Motor_Meciuri'!BD48)</x:f>
      </x:c>
      <x:c r="L605" s="11" t="str">
        <x:f>IF(J605&lt;&gt;"PASS","",'Motor_Meciuri'!AU48)</x:f>
      </x:c>
      <x:c r="M605" s="10" t="str">
        <x:f>IF(NOT(AND(J605="PASS",'Calibrare_Linii'!U17="VALID")),"",'Distributie'!AM48)</x:f>
      </x:c>
      <x:c r="N605" s="10" t="str">
        <x:f>IF(M605="","",MAX(0.01,MIN(0.99,0.5+(M605-0.5)*'Motor_Meciuri'!BG48*'Calibrare_Linii'!D17)))</x:f>
      </x:c>
      <x:c r="O605" s="10" t="str">
        <x:f>IF(M605="","",1-M605)</x:f>
      </x:c>
      <x:c r="P605" s="10" t="str">
        <x:f>IF(OR(NOT(AND(J605="PASS",'Calibrare_Linii'!U17="VALID")),AK605=0),""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*('Istoric_Nativ'!$Q$6:$Q$405&gt;H605))/AK605)</x:f>
      </x:c>
      <x:c r="Q605" s="10" t="str">
        <x:f>IF(OR(NOT(AND(J605="PASS",'Calibrare_Linii'!U17="VALID")),AL605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M48)+((('Istoric_Nativ'!$E$6:$E$405='Input_Meci'!E48)+('Istoric_Nativ'!$F$6:$F$405='Input_Meci'!E48))&gt;0)*('Istoric_Nativ'!$D$6:$D$405&gt;='Motor_Meciuri'!BN48))&gt;0)*('Istoric_Nativ'!$Q$6:$Q$405&gt;H605))/AL605)</x:f>
      </x:c>
      <x:c r="R605" s="10" t="str">
        <x:f>IF(OR(NOT(AND(J605="PASS",'Calibrare_Linii'!U17="VALID")),AM605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O48)+((('Istoric_Nativ'!$E$6:$E$405='Input_Meci'!E48)+('Istoric_Nativ'!$F$6:$F$405='Input_Meci'!E48))&gt;0)*('Istoric_Nativ'!$D$6:$D$405&gt;='Motor_Meciuri'!BP48))&gt;0)*('Istoric_Nativ'!$Q$6:$Q$405&gt;H605))/AM605)</x:f>
      </x:c>
      <x:c r="S605" s="10" t="str">
        <x:f>IF(M605="","",MAX(O605,P605,Q605,R605))</x:f>
      </x:c>
      <x:c r="T605" s="11" t="str">
        <x:f>IF(M605="","",MIN(100,S605*100*'Config_v6'!$B$44+MIN(100,L605/'Config_v6'!$B$13*100)*'Config_v6'!$B$45+(100-'Motor_Meciuri'!BF48)*'Config_v6'!$B$46+'Motor_Meciuri'!BH48*100*'Config_v6'!$B$47))</x:f>
      </x:c>
      <x:c r="U605" s="2" t="str">
        <x:f>IF(T605="","",IF(T605&lt;=20,1,IF(T605&lt;=40,2,IF(T605&lt;=60,3,IF(T605&lt;=80,4,5)))))</x:f>
      </x:c>
      <x:c r="V605" s="2" t="str">
        <x:f>IF(M605="","",MAX(0,'Motor_Meciuri'!BF48-IF(W605="OOS PENDING",'Config_v6'!$B$35,0)-IF(L605&gt;'Config_v6'!$B$12,'Config_v6'!$B$37,IF(L605&gt;'Config_v6'!$B$11,'Config_v6'!$B$36,0))))</x:f>
      </x:c>
      <x:c r="W605" s="2" t="str">
        <x:f>IF(B605="","",IF(I605&lt;&gt;"READY","NOT RELEASED",IF(NOT(AND(J605="PASS",'Calibrare_Linii'!U17="VALID")),"INVALID",IF(NOT(AND('Calibrare_Linii'!S17="VALIDATED",AND('Calibrare_Linii'!H17=C605,ISNUMBER('Calibrare_Linii'!J17),'Calibrare_Linii'!J17&lt;='Input_Meci'!G48))),"OOS PENDING",IF(S605&lt;='Calibrare_Linii'!E17,"PASS",IF(S605&lt;='Calibrare_Linii'!F17,"PENALTY","WATCH"))))))</x:f>
      </x:c>
      <x:c r="X605" s="2" t="str">
        <x:f>IF(M605="","",IF(AND(AND(J605="PASS",'Calibrare_Linii'!U17="VALID"),'Motor_Meciuri'!K48=12,'Motor_Meciuri'!L48=12,'Motor_Meciuri'!M48="NO",'Motor_Meciuri'!BL48='Motor_Meciuri'!C48,AB605&gt;='Config_v6'!$B$50,AN605&gt;='Config_v6'!$B$51,T605&lt;='Config_v6'!$B$52,L605&lt;='Config_v6'!$B$53,ISNUMBER('Calibrare_Linii'!E17),S605&lt;='Calibrare_Linii'!E17,SUM(AK605:AM605)&gt;0),"CANDIDATE","NO"))</x:f>
      </x:c>
      <x:c r="Y605" s="2" t="str">
        <x:f>IF(B605="","",IF(I605&lt;&gt;"READY","NOT RELEASED",IF(AND(X605="CANDIDATE",V605&gt;='Config_v6'!$B$51,W605="PASS",'Calibrare_Linii'!T17="VALIDATED",AND('Calibrare_Linii'!H17=C605,ISNUMBER('Calibrare_Linii'!J17),'Calibrare_Linii'!J17&lt;='Input_Meci'!G48)),"PASS",IF(X605="CANDIDATE","OOS PENDING","FAIL"))))</x:f>
      </x:c>
      <x:c r="Z605" s="2" t="str">
        <x:f>IF(B605="","",IF(I605&lt;&gt;"READY","",IF(OR(NOT(AND(J605="PASS",'Calibrare_Linii'!U17="VALID")),L605&gt;'Config_v6'!$B$13,W605="WATCH"),5,IF(Y605="PASS",1,MIN(5,MAX('Config_v6'!$B$42,U605)+IF(W605="PENALTY",1,0))))))</x:f>
      </x:c>
      <x:c r="AA605" s="2" t="str">
        <x:f>IF(B605="","",IF(I605&lt;&gt;"READY","NOT RELEASED",IF(Z605=5,"NO BET",IF(OR(AB605&lt;'Config_v6'!$B$16,V605&lt;'Config_v6'!$B$18),"WATCH",IF(Z605=1,"DEFENSIV",IF(Z605=2,"PRUDENT",IF(Z605=3,"MODERAT","RIDICAT")))))))</x:f>
      </x:c>
      <x:c r="AB605" s="10" t="str">
        <x:f>IF(N605="","",MIN(N605,1-S605))</x:f>
      </x:c>
      <x:c r="AC605" s="2" t="str">
        <x:f>IF(AD605&lt;&gt;1,"",COUNTIFS($Z$594:$Z$607,"&lt;"&amp;Z605,$AD$594:$AD$607,1)+COUNTIFS($Z$594:$Z$607,Z605,$AB$594:$AB$607,"&gt;"&amp;AB605,$AD$594:$AD$607,1)+COUNTIFS($Z$594:$Z$607,Z605,$AB$594:$AB$607,AB605,$V$594:$V$607,"&gt;"&amp;V605,$AD$594:$AD$607,1)+COUNTIFS($Z$594:Z605,Z605,$AB$594:AB605,AB605,$V$594:V605,V605,$AD$594:AD605,1))</x:f>
      </x:c>
      <x:c r="AD605" s="2" t="n">
        <x:f>IF(OR(AA605="DEFENSIV",AA605="PRUDENT",AA605="MODERAT",AA605="RIDICAT"),1,0)</x:f>
        <x:v>0</x:v>
      </x:c>
      <x:c r="AE605" s="2" t="str">
        <x:f>IF(AD605&lt;&gt;1,"NO",IF(W605="PASS","YES",IF(W605="OOS PENDING","CONDITIONAL","NO")))</x:f>
        <x:v>NO</x:v>
      </x:c>
      <x:c r="AF605" s="2" t="n">
        <x:f>IF(AND(AD605=1,AC605=1,E605="LIVE"),1,0)</x:f>
        <x:v>0</x:v>
      </x:c>
      <x:c r="AG605" s="2" t="str">
        <x:f>IF(AF605&lt;&gt;1,"",'Dashboard'!P68)</x:f>
      </x:c>
      <x:c r="AH605" s="2" t="str">
        <x:f>IF(B605="","",IF(J605&lt;&gt;"PASS",'Motor_Meciuri'!J48,IF('Calibrare_Linii'!U17&lt;&gt;"VALID","Parametri linie invalizi",IF(L605&gt;'Config_v6'!$B$13,"Dispersie peste limita",IF(W605="WATCH","Failure peste limita",IF(AB605&lt;'Config_v6'!$B$16,"P finala sub prag",IF(V605&lt;'Config_v6'!$B$18,"Confidence sub prag",IF(E605="REPLAY","Exemplu retrospectiv; exclus din Top LIVE",IF(Y605="PASS","DEFENSIV validat",IF(W605="OOS PENDING","Eligibil; calibrare linie in monitorizare","Eligibil"))))))))))</x:f>
      </x:c>
      <x:c r="AI605" s="2" t="str">
        <x:f>IF(B605="","",'Calibrare_Linii'!V17)</x:f>
      </x:c>
      <x:c r="AJ605" s="2" t="str">
        <x:f>IF(B605="","",IF(AND('Calibrare_Linii'!T17="VALIDATED",AND('Calibrare_Linii'!H17=C605,ISNUMBER('Calibrare_Linii'!J17),'Calibrare_Linii'!J17&lt;='Input_Meci'!G48)),"DEFENSIVE VALIDATED",IF(AND('Calibrare_Linii'!S17="VALIDATED",AND('Calibrare_Linii'!H17=C605,ISNUMBER('Calibrare_Linii'!J17),'Calibrare_Linii'!J17&lt;='Input_Meci'!G48)),"TAIL VALIDATED","OOS PENDING")))</x:f>
      </x:c>
      <x:c r="AK605" s="2" t="n">
        <x:f>IF(J605&lt;&gt;"PASS",0,'Motor_Meciuri'!BR48)</x:f>
        <x:v>0</x:v>
      </x:c>
      <x:c r="AL605" s="2" t="n">
        <x:f>IF(J605&lt;&gt;"PASS",0,'Motor_Meciuri'!BS48)</x:f>
        <x:v>0</x:v>
      </x:c>
      <x:c r="AM605" s="2" t="n">
        <x:f>IF(J605&lt;&gt;"PASS",0,'Motor_Meciuri'!BT48)</x:f>
        <x:v>0</x:v>
      </x:c>
      <x:c r="AN605" s="2" t="str">
        <x:f>IF(M605="","",MAX(0,'Motor_Meciuri'!BF48-IF(L605&gt;'Config_v6'!$B$12,'Config_v6'!$B$37,IF(L605&gt;'Config_v6'!$B$11,'Config_v6'!$B$36,0))))</x:f>
      </x:c>
    </x:row>
    <x:row r="606" ht="21" customHeight="1">
      <x:c r="A606" s="2" t="n">
        <x:v>43</x:v>
      </x:c>
      <x:c r="B606" s="2" t="str">
        <x:f>IF('Motor_Meciuri'!A48="","",'Motor_Meciuri'!A48)</x:f>
      </x:c>
      <x:c r="C606" s="2" t="str">
        <x:f>IF(B606="","",'Motor_Meciuri'!B48)</x:f>
      </x:c>
      <x:c r="D606" s="2" t="str">
        <x:f>IF(B606="","",'Motor_Meciuri'!D48)</x:f>
      </x:c>
      <x:c r="E606" s="2" t="str">
        <x:f>IF(B606="","",'Motor_Meciuri'!E48)</x:f>
      </x:c>
      <x:c r="F606" s="2" t="str">
        <x:v>U16,5</x:v>
      </x:c>
      <x:c r="G606" s="2" t="str">
        <x:v>UNDER</x:v>
      </x:c>
      <x:c r="H606" s="2" t="n">
        <x:v>16</x:v>
      </x:c>
      <x:c r="I606" s="2" t="str">
        <x:f>IF(B606="","",'Motor_Meciuri'!H48)</x:f>
      </x:c>
      <x:c r="J606" s="2" t="str">
        <x:f>IF(B606="","",'Motor_Meciuri'!I48)</x:f>
      </x:c>
      <x:c r="K606" s="11" t="str">
        <x:f>IF(J606&lt;&gt;"PASS","",'Motor_Meciuri'!BD48)</x:f>
      </x:c>
      <x:c r="L606" s="11" t="str">
        <x:f>IF(J606&lt;&gt;"PASS","",'Motor_Meciuri'!AU48)</x:f>
      </x:c>
      <x:c r="M606" s="10" t="str">
        <x:f>IF(NOT(AND(J606="PASS",'Calibrare_Linii'!U18="VALID")),"",'Distributie'!AN48)</x:f>
      </x:c>
      <x:c r="N606" s="10" t="str">
        <x:f>IF(M606="","",MAX(0.01,MIN(0.99,0.5+(M606-0.5)*'Motor_Meciuri'!BG48*'Calibrare_Linii'!D18)))</x:f>
      </x:c>
      <x:c r="O606" s="10" t="str">
        <x:f>IF(M606="","",1-M606)</x:f>
      </x:c>
      <x:c r="P606" s="10" t="str">
        <x:f>IF(OR(NOT(AND(J606="PASS",'Calibrare_Linii'!U18="VALID")),AK606=0),""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*('Istoric_Nativ'!$Q$6:$Q$405&gt;H606))/AK606)</x:f>
      </x:c>
      <x:c r="Q606" s="10" t="str">
        <x:f>IF(OR(NOT(AND(J606="PASS",'Calibrare_Linii'!U18="VALID")),AL606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M48)+((('Istoric_Nativ'!$E$6:$E$405='Input_Meci'!E48)+('Istoric_Nativ'!$F$6:$F$405='Input_Meci'!E48))&gt;0)*('Istoric_Nativ'!$D$6:$D$405&gt;='Motor_Meciuri'!BN48))&gt;0)*('Istoric_Nativ'!$Q$6:$Q$405&gt;H606))/AL606)</x:f>
      </x:c>
      <x:c r="R606" s="10" t="str">
        <x:f>IF(OR(NOT(AND(J606="PASS",'Calibrare_Linii'!U18="VALID")),AM606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O48)+((('Istoric_Nativ'!$E$6:$E$405='Input_Meci'!E48)+('Istoric_Nativ'!$F$6:$F$405='Input_Meci'!E48))&gt;0)*('Istoric_Nativ'!$D$6:$D$405&gt;='Motor_Meciuri'!BP48))&gt;0)*('Istoric_Nativ'!$Q$6:$Q$405&gt;H606))/AM606)</x:f>
      </x:c>
      <x:c r="S606" s="10" t="str">
        <x:f>IF(M606="","",MAX(O606,P606,Q606,R606))</x:f>
      </x:c>
      <x:c r="T606" s="11" t="str">
        <x:f>IF(M606="","",MIN(100,S606*100*'Config_v6'!$B$44+MIN(100,L606/'Config_v6'!$B$13*100)*'Config_v6'!$B$45+(100-'Motor_Meciuri'!BF48)*'Config_v6'!$B$46+'Motor_Meciuri'!BH48*100*'Config_v6'!$B$47))</x:f>
      </x:c>
      <x:c r="U606" s="2" t="str">
        <x:f>IF(T606="","",IF(T606&lt;=20,1,IF(T606&lt;=40,2,IF(T606&lt;=60,3,IF(T606&lt;=80,4,5)))))</x:f>
      </x:c>
      <x:c r="V606" s="2" t="str">
        <x:f>IF(M606="","",MAX(0,'Motor_Meciuri'!BF48-IF(W606="OOS PENDING",'Config_v6'!$B$35,0)-IF(L606&gt;'Config_v6'!$B$12,'Config_v6'!$B$37,IF(L606&gt;'Config_v6'!$B$11,'Config_v6'!$B$36,0))))</x:f>
      </x:c>
      <x:c r="W606" s="2" t="str">
        <x:f>IF(B606="","",IF(I606&lt;&gt;"READY","NOT RELEASED",IF(NOT(AND(J606="PASS",'Calibrare_Linii'!U18="VALID")),"INVALID",IF(NOT(AND('Calibrare_Linii'!S18="VALIDATED",AND('Calibrare_Linii'!H18=C606,ISNUMBER('Calibrare_Linii'!J18),'Calibrare_Linii'!J18&lt;='Input_Meci'!G48))),"OOS PENDING",IF(S606&lt;='Calibrare_Linii'!E18,"PASS",IF(S606&lt;='Calibrare_Linii'!F18,"PENALTY","WATCH"))))))</x:f>
      </x:c>
      <x:c r="X606" s="2" t="str">
        <x:f>IF(M606="","",IF(AND(AND(J606="PASS",'Calibrare_Linii'!U18="VALID"),'Motor_Meciuri'!K48=12,'Motor_Meciuri'!L48=12,'Motor_Meciuri'!M48="NO",'Motor_Meciuri'!BL48='Motor_Meciuri'!C48,AB606&gt;='Config_v6'!$B$50,AN606&gt;='Config_v6'!$B$51,T606&lt;='Config_v6'!$B$52,L606&lt;='Config_v6'!$B$53,ISNUMBER('Calibrare_Linii'!E18),S606&lt;='Calibrare_Linii'!E18,SUM(AK606:AM606)&gt;0),"CANDIDATE","NO"))</x:f>
      </x:c>
      <x:c r="Y606" s="2" t="str">
        <x:f>IF(B606="","",IF(I606&lt;&gt;"READY","NOT RELEASED",IF(AND(X606="CANDIDATE",V606&gt;='Config_v6'!$B$51,W606="PASS",'Calibrare_Linii'!T18="VALIDATED",AND('Calibrare_Linii'!H18=C606,ISNUMBER('Calibrare_Linii'!J18),'Calibrare_Linii'!J18&lt;='Input_Meci'!G48)),"PASS",IF(X606="CANDIDATE","OOS PENDING","FAIL"))))</x:f>
      </x:c>
      <x:c r="Z606" s="2" t="str">
        <x:f>IF(B606="","",IF(I606&lt;&gt;"READY","",IF(OR(NOT(AND(J606="PASS",'Calibrare_Linii'!U18="VALID")),L606&gt;'Config_v6'!$B$13,W606="WATCH"),5,IF(Y606="PASS",1,MIN(5,MAX('Config_v6'!$B$42,U606)+IF(W606="PENALTY",1,0))))))</x:f>
      </x:c>
      <x:c r="AA606" s="2" t="str">
        <x:f>IF(B606="","",IF(I606&lt;&gt;"READY","NOT RELEASED",IF(Z606=5,"NO BET",IF(OR(AB606&lt;'Config_v6'!$B$16,V606&lt;'Config_v6'!$B$18),"WATCH",IF(Z606=1,"DEFENSIV",IF(Z606=2,"PRUDENT",IF(Z606=3,"MODERAT","RIDICAT")))))))</x:f>
      </x:c>
      <x:c r="AB606" s="10" t="str">
        <x:f>IF(N606="","",MIN(N606,1-S606))</x:f>
      </x:c>
      <x:c r="AC606" s="2" t="str">
        <x:f>IF(AD606&lt;&gt;1,"",COUNTIFS($Z$594:$Z$607,"&lt;"&amp;Z606,$AD$594:$AD$607,1)+COUNTIFS($Z$594:$Z$607,Z606,$AB$594:$AB$607,"&gt;"&amp;AB606,$AD$594:$AD$607,1)+COUNTIFS($Z$594:$Z$607,Z606,$AB$594:$AB$607,AB606,$V$594:$V$607,"&gt;"&amp;V606,$AD$594:$AD$607,1)+COUNTIFS($Z$594:Z606,Z606,$AB$594:AB606,AB606,$V$594:V606,V606,$AD$594:AD606,1))</x:f>
      </x:c>
      <x:c r="AD606" s="2" t="n">
        <x:f>IF(OR(AA606="DEFENSIV",AA606="PRUDENT",AA606="MODERAT",AA606="RIDICAT"),1,0)</x:f>
        <x:v>0</x:v>
      </x:c>
      <x:c r="AE606" s="2" t="str">
        <x:f>IF(AD606&lt;&gt;1,"NO",IF(W606="PASS","YES",IF(W606="OOS PENDING","CONDITIONAL","NO")))</x:f>
        <x:v>NO</x:v>
      </x:c>
      <x:c r="AF606" s="2" t="n">
        <x:f>IF(AND(AD606=1,AC606=1,E606="LIVE"),1,0)</x:f>
        <x:v>0</x:v>
      </x:c>
      <x:c r="AG606" s="2" t="str">
        <x:f>IF(AF606&lt;&gt;1,"",'Dashboard'!P68)</x:f>
      </x:c>
      <x:c r="AH606" s="2" t="str">
        <x:f>IF(B606="","",IF(J606&lt;&gt;"PASS",'Motor_Meciuri'!J48,IF('Calibrare_Linii'!U18&lt;&gt;"VALID","Parametri linie invalizi",IF(L606&gt;'Config_v6'!$B$13,"Dispersie peste limita",IF(W606="WATCH","Failure peste limita",IF(AB606&lt;'Config_v6'!$B$16,"P finala sub prag",IF(V606&lt;'Config_v6'!$B$18,"Confidence sub prag",IF(E606="REPLAY","Exemplu retrospectiv; exclus din Top LIVE",IF(Y606="PASS","DEFENSIV validat",IF(W606="OOS PENDING","Eligibil; calibrare linie in monitorizare","Eligibil"))))))))))</x:f>
      </x:c>
      <x:c r="AI606" s="2" t="str">
        <x:f>IF(B606="","",'Calibrare_Linii'!V18)</x:f>
      </x:c>
      <x:c r="AJ606" s="2" t="str">
        <x:f>IF(B606="","",IF(AND('Calibrare_Linii'!T18="VALIDATED",AND('Calibrare_Linii'!H18=C606,ISNUMBER('Calibrare_Linii'!J18),'Calibrare_Linii'!J18&lt;='Input_Meci'!G48)),"DEFENSIVE VALIDATED",IF(AND('Calibrare_Linii'!S18="VALIDATED",AND('Calibrare_Linii'!H18=C606,ISNUMBER('Calibrare_Linii'!J18),'Calibrare_Linii'!J18&lt;='Input_Meci'!G48)),"TAIL VALIDATED","OOS PENDING")))</x:f>
      </x:c>
      <x:c r="AK606" s="2" t="n">
        <x:f>IF(J606&lt;&gt;"PASS",0,'Motor_Meciuri'!BR48)</x:f>
        <x:v>0</x:v>
      </x:c>
      <x:c r="AL606" s="2" t="n">
        <x:f>IF(J606&lt;&gt;"PASS",0,'Motor_Meciuri'!BS48)</x:f>
        <x:v>0</x:v>
      </x:c>
      <x:c r="AM606" s="2" t="n">
        <x:f>IF(J606&lt;&gt;"PASS",0,'Motor_Meciuri'!BT48)</x:f>
        <x:v>0</x:v>
      </x:c>
      <x:c r="AN606" s="2" t="str">
        <x:f>IF(M606="","",MAX(0,'Motor_Meciuri'!BF48-IF(L606&gt;'Config_v6'!$B$12,'Config_v6'!$B$37,IF(L606&gt;'Config_v6'!$B$11,'Config_v6'!$B$36,0))))</x:f>
      </x:c>
    </x:row>
    <x:row r="607" ht="21" customHeight="1">
      <x:c r="A607" s="2" t="n">
        <x:v>43</x:v>
      </x:c>
      <x:c r="B607" s="2" t="str">
        <x:f>IF('Motor_Meciuri'!A48="","",'Motor_Meciuri'!A48)</x:f>
      </x:c>
      <x:c r="C607" s="2" t="str">
        <x:f>IF(B607="","",'Motor_Meciuri'!B48)</x:f>
      </x:c>
      <x:c r="D607" s="2" t="str">
        <x:f>IF(B607="","",'Motor_Meciuri'!D48)</x:f>
      </x:c>
      <x:c r="E607" s="2" t="str">
        <x:f>IF(B607="","",'Motor_Meciuri'!E48)</x:f>
      </x:c>
      <x:c r="F607" s="2" t="str">
        <x:v>U17,5</x:v>
      </x:c>
      <x:c r="G607" s="2" t="str">
        <x:v>UNDER</x:v>
      </x:c>
      <x:c r="H607" s="2" t="n">
        <x:v>17</x:v>
      </x:c>
      <x:c r="I607" s="2" t="str">
        <x:f>IF(B607="","",'Motor_Meciuri'!H48)</x:f>
      </x:c>
      <x:c r="J607" s="2" t="str">
        <x:f>IF(B607="","",'Motor_Meciuri'!I48)</x:f>
      </x:c>
      <x:c r="K607" s="11" t="str">
        <x:f>IF(J607&lt;&gt;"PASS","",'Motor_Meciuri'!BD48)</x:f>
      </x:c>
      <x:c r="L607" s="11" t="str">
        <x:f>IF(J607&lt;&gt;"PASS","",'Motor_Meciuri'!AU48)</x:f>
      </x:c>
      <x:c r="M607" s="10" t="str">
        <x:f>IF(NOT(AND(J607="PASS",'Calibrare_Linii'!U19="VALID")),"",'Distributie'!AO48)</x:f>
      </x:c>
      <x:c r="N607" s="10" t="str">
        <x:f>IF(M607="","",MAX(0.01,MIN(0.99,0.5+(M607-0.5)*'Motor_Meciuri'!BG48*'Calibrare_Linii'!D19)))</x:f>
      </x:c>
      <x:c r="O607" s="10" t="str">
        <x:f>IF(M607="","",1-M607)</x:f>
      </x:c>
      <x:c r="P607" s="10" t="str">
        <x:f>IF(OR(NOT(AND(J607="PASS",'Calibrare_Linii'!U19="VALID")),AK607=0),""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*('Istoric_Nativ'!$Q$6:$Q$405&gt;H607))/AK607)</x:f>
      </x:c>
      <x:c r="Q607" s="10" t="str">
        <x:f>IF(OR(NOT(AND(J607="PASS",'Calibrare_Linii'!U19="VALID")),AL607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M48)+((('Istoric_Nativ'!$E$6:$E$405='Input_Meci'!E48)+('Istoric_Nativ'!$F$6:$F$405='Input_Meci'!E48))&gt;0)*('Istoric_Nativ'!$D$6:$D$405&gt;='Motor_Meciuri'!BN48))&gt;0)*('Istoric_Nativ'!$Q$6:$Q$405&gt;H607))/AL607)</x:f>
      </x:c>
      <x:c r="R607" s="10" t="str">
        <x:f>IF(OR(NOT(AND(J607="PASS",'Calibrare_Linii'!U19="VALID")),AM607=0),""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'Motor_Meciuri'!BO48)+((('Istoric_Nativ'!$E$6:$E$405='Input_Meci'!E48)+('Istoric_Nativ'!$F$6:$F$405='Input_Meci'!E48))&gt;0)*('Istoric_Nativ'!$D$6:$D$405&gt;='Motor_Meciuri'!BP48))&gt;0)*('Istoric_Nativ'!$Q$6:$Q$405&gt;H607))/AM607)</x:f>
      </x:c>
      <x:c r="S607" s="10" t="str">
        <x:f>IF(M607="","",MAX(O607,P607,Q607,R607))</x:f>
      </x:c>
      <x:c r="T607" s="11" t="str">
        <x:f>IF(M607="","",MIN(100,S607*100*'Config_v6'!$B$44+MIN(100,L607/'Config_v6'!$B$13*100)*'Config_v6'!$B$45+(100-'Motor_Meciuri'!BF48)*'Config_v6'!$B$46+'Motor_Meciuri'!BH48*100*'Config_v6'!$B$47))</x:f>
      </x:c>
      <x:c r="U607" s="2" t="str">
        <x:f>IF(T607="","",IF(T607&lt;=20,1,IF(T607&lt;=40,2,IF(T607&lt;=60,3,IF(T607&lt;=80,4,5)))))</x:f>
      </x:c>
      <x:c r="V607" s="2" t="str">
        <x:f>IF(M607="","",MAX(0,'Motor_Meciuri'!BF48-IF(W607="OOS PENDING",'Config_v6'!$B$35,0)-IF(L607&gt;'Config_v6'!$B$12,'Config_v6'!$B$37,IF(L607&gt;'Config_v6'!$B$11,'Config_v6'!$B$36,0))))</x:f>
      </x:c>
      <x:c r="W607" s="2" t="str">
        <x:f>IF(B607="","",IF(I607&lt;&gt;"READY","NOT RELEASED",IF(NOT(AND(J607="PASS",'Calibrare_Linii'!U19="VALID")),"INVALID",IF(NOT(AND('Calibrare_Linii'!S19="VALIDATED",AND('Calibrare_Linii'!H19=C607,ISNUMBER('Calibrare_Linii'!J19),'Calibrare_Linii'!J19&lt;='Input_Meci'!G48))),"OOS PENDING",IF(S607&lt;='Calibrare_Linii'!E19,"PASS",IF(S607&lt;='Calibrare_Linii'!F19,"PENALTY","WATCH"))))))</x:f>
      </x:c>
      <x:c r="X607" s="2" t="str">
        <x:f>IF(M607="","",IF(AND(AND(J607="PASS",'Calibrare_Linii'!U19="VALID"),'Motor_Meciuri'!K48=12,'Motor_Meciuri'!L48=12,'Motor_Meciuri'!M48="NO",'Motor_Meciuri'!BL48='Motor_Meciuri'!C48,AB607&gt;='Config_v6'!$B$50,AN607&gt;='Config_v6'!$B$51,T607&lt;='Config_v6'!$B$52,L607&lt;='Config_v6'!$B$53,ISNUMBER('Calibrare_Linii'!E19),S607&lt;='Calibrare_Linii'!E19,SUM(AK607:AM607)&gt;0),"CANDIDATE","NO"))</x:f>
      </x:c>
      <x:c r="Y607" s="2" t="str">
        <x:f>IF(B607="","",IF(I607&lt;&gt;"READY","NOT RELEASED",IF(AND(X607="CANDIDATE",V607&gt;='Config_v6'!$B$51,W607="PASS",'Calibrare_Linii'!T19="VALIDATED",AND('Calibrare_Linii'!H19=C607,ISNUMBER('Calibrare_Linii'!J19),'Calibrare_Linii'!J19&lt;='Input_Meci'!G48)),"PASS",IF(X607="CANDIDATE","OOS PENDING","FAIL"))))</x:f>
      </x:c>
      <x:c r="Z607" s="2" t="str">
        <x:f>IF(B607="","",IF(I607&lt;&gt;"READY","",IF(OR(NOT(AND(J607="PASS",'Calibrare_Linii'!U19="VALID")),L607&gt;'Config_v6'!$B$13,W607="WATCH"),5,IF(Y607="PASS",1,MIN(5,MAX('Config_v6'!$B$42,U607)+IF(W607="PENALTY",1,0))))))</x:f>
      </x:c>
      <x:c r="AA607" s="2" t="str">
        <x:f>IF(B607="","",IF(I607&lt;&gt;"READY","NOT RELEASED",IF(Z607=5,"NO BET",IF(OR(AB607&lt;'Config_v6'!$B$16,V607&lt;'Config_v6'!$B$18),"WATCH",IF(Z607=1,"DEFENSIV",IF(Z607=2,"PRUDENT",IF(Z607=3,"MODERAT","RIDICAT")))))))</x:f>
      </x:c>
      <x:c r="AB607" s="10" t="str">
        <x:f>IF(N607="","",MIN(N607,1-S607))</x:f>
      </x:c>
      <x:c r="AC607" s="2" t="str">
        <x:f>IF(AD607&lt;&gt;1,"",COUNTIFS($Z$594:$Z$607,"&lt;"&amp;Z607,$AD$594:$AD$607,1)+COUNTIFS($Z$594:$Z$607,Z607,$AB$594:$AB$607,"&gt;"&amp;AB607,$AD$594:$AD$607,1)+COUNTIFS($Z$594:$Z$607,Z607,$AB$594:$AB$607,AB607,$V$594:$V$607,"&gt;"&amp;V607,$AD$594:$AD$607,1)+COUNTIFS($Z$594:Z607,Z607,$AB$594:AB607,AB607,$V$594:V607,V607,$AD$594:AD607,1))</x:f>
      </x:c>
      <x:c r="AD607" s="2" t="n">
        <x:f>IF(OR(AA607="DEFENSIV",AA607="PRUDENT",AA607="MODERAT",AA607="RIDICAT"),1,0)</x:f>
        <x:v>0</x:v>
      </x:c>
      <x:c r="AE607" s="2" t="str">
        <x:f>IF(AD607&lt;&gt;1,"NO",IF(W607="PASS","YES",IF(W607="OOS PENDING","CONDITIONAL","NO")))</x:f>
        <x:v>NO</x:v>
      </x:c>
      <x:c r="AF607" s="2" t="n">
        <x:f>IF(AND(AD607=1,AC607=1,E607="LIVE"),1,0)</x:f>
        <x:v>0</x:v>
      </x:c>
      <x:c r="AG607" s="2" t="str">
        <x:f>IF(AF607&lt;&gt;1,"",'Dashboard'!P68)</x:f>
      </x:c>
      <x:c r="AH607" s="2" t="str">
        <x:f>IF(B607="","",IF(J607&lt;&gt;"PASS",'Motor_Meciuri'!J48,IF('Calibrare_Linii'!U19&lt;&gt;"VALID","Parametri linie invalizi",IF(L607&gt;'Config_v6'!$B$13,"Dispersie peste limita",IF(W607="WATCH","Failure peste limita",IF(AB607&lt;'Config_v6'!$B$16,"P finala sub prag",IF(V607&lt;'Config_v6'!$B$18,"Confidence sub prag",IF(E607="REPLAY","Exemplu retrospectiv; exclus din Top LIVE",IF(Y607="PASS","DEFENSIV validat",IF(W607="OOS PENDING","Eligibil; calibrare linie in monitorizare","Eligibil"))))))))))</x:f>
      </x:c>
      <x:c r="AI607" s="2" t="str">
        <x:f>IF(B607="","",'Calibrare_Linii'!V19)</x:f>
      </x:c>
      <x:c r="AJ607" s="2" t="str">
        <x:f>IF(B607="","",IF(AND('Calibrare_Linii'!T19="VALIDATED",AND('Calibrare_Linii'!H19=C607,ISNUMBER('Calibrare_Linii'!J19),'Calibrare_Linii'!J19&lt;='Input_Meci'!G48)),"DEFENSIVE VALIDATED",IF(AND('Calibrare_Linii'!S19="VALIDATED",AND('Calibrare_Linii'!H19=C607,ISNUMBER('Calibrare_Linii'!J19),'Calibrare_Linii'!J19&lt;='Input_Meci'!G48)),"TAIL VALIDATED","OOS PENDING")))</x:f>
      </x:c>
      <x:c r="AK607" s="2" t="n">
        <x:f>IF(J607&lt;&gt;"PASS",0,'Motor_Meciuri'!BR48)</x:f>
        <x:v>0</x:v>
      </x:c>
      <x:c r="AL607" s="2" t="n">
        <x:f>IF(J607&lt;&gt;"PASS",0,'Motor_Meciuri'!BS48)</x:f>
        <x:v>0</x:v>
      </x:c>
      <x:c r="AM607" s="2" t="n">
        <x:f>IF(J607&lt;&gt;"PASS",0,'Motor_Meciuri'!BT48)</x:f>
        <x:v>0</x:v>
      </x:c>
      <x:c r="AN607" s="2" t="str">
        <x:f>IF(M607="","",MAX(0,'Motor_Meciuri'!BF48-IF(L607&gt;'Config_v6'!$B$12,'Config_v6'!$B$37,IF(L607&gt;'Config_v6'!$B$11,'Config_v6'!$B$36,0))))</x:f>
      </x:c>
    </x:row>
    <x:row r="608" ht="21" customHeight="1">
      <x:c r="A608" s="2" t="n">
        <x:v>44</x:v>
      </x:c>
      <x:c r="B608" s="2" t="str">
        <x:f>IF('Motor_Meciuri'!A49="","",'Motor_Meciuri'!A49)</x:f>
      </x:c>
      <x:c r="C608" s="2" t="str">
        <x:f>IF(B608="","",'Motor_Meciuri'!B49)</x:f>
      </x:c>
      <x:c r="D608" s="2" t="str">
        <x:f>IF(B608="","",'Motor_Meciuri'!D49)</x:f>
      </x:c>
      <x:c r="E608" s="2" t="str">
        <x:f>IF(B608="","",'Motor_Meciuri'!E49)</x:f>
      </x:c>
      <x:c r="F608" s="2" t="str">
        <x:v>O3,5</x:v>
      </x:c>
      <x:c r="G608" s="2" t="str">
        <x:v>OVER</x:v>
      </x:c>
      <x:c r="H608" s="2" t="n">
        <x:v>3</x:v>
      </x:c>
      <x:c r="I608" s="2" t="str">
        <x:f>IF(B608="","",'Motor_Meciuri'!H49)</x:f>
      </x:c>
      <x:c r="J608" s="2" t="str">
        <x:f>IF(B608="","",'Motor_Meciuri'!I49)</x:f>
      </x:c>
      <x:c r="K608" s="11" t="str">
        <x:f>IF(J608&lt;&gt;"PASS","",'Motor_Meciuri'!BD49)</x:f>
      </x:c>
      <x:c r="L608" s="11" t="str">
        <x:f>IF(J608&lt;&gt;"PASS","",'Motor_Meciuri'!AU49)</x:f>
      </x:c>
      <x:c r="M608" s="10" t="str">
        <x:f>IF(NOT(AND(J608="PASS",'Calibrare_Linii'!U6="VALID")),"",1-'Distributie'!AA49)</x:f>
      </x:c>
      <x:c r="N608" s="10" t="str">
        <x:f>IF(M608="","",MAX(0.01,MIN(0.99,0.5+(M608-0.5)*'Motor_Meciuri'!BG49*'Calibrare_Linii'!D6)))</x:f>
      </x:c>
      <x:c r="O608" s="10" t="str">
        <x:f>IF(M608="","",1-M608)</x:f>
      </x:c>
      <x:c r="P608" s="10" t="str">
        <x:f>IF(OR(NOT(AND(J608="PASS",'Calibrare_Linii'!U6="VALID")),AK608=0),""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*('Istoric_Nativ'!$Q$6:$Q$405&lt;=H608))/AK608)</x:f>
      </x:c>
      <x:c r="Q608" s="10" t="str">
        <x:f>IF(OR(NOT(AND(J608="PASS",'Calibrare_Linii'!U6="VALID")),AL608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M49)+((('Istoric_Nativ'!$E$6:$E$405='Input_Meci'!E49)+('Istoric_Nativ'!$F$6:$F$405='Input_Meci'!E49))&gt;0)*('Istoric_Nativ'!$D$6:$D$405&gt;='Motor_Meciuri'!BN49))&gt;0)*('Istoric_Nativ'!$Q$6:$Q$405&lt;=H608))/AL608)</x:f>
      </x:c>
      <x:c r="R608" s="10" t="str">
        <x:f>IF(OR(NOT(AND(J608="PASS",'Calibrare_Linii'!U6="VALID")),AM608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O49)+((('Istoric_Nativ'!$E$6:$E$405='Input_Meci'!E49)+('Istoric_Nativ'!$F$6:$F$405='Input_Meci'!E49))&gt;0)*('Istoric_Nativ'!$D$6:$D$405&gt;='Motor_Meciuri'!BP49))&gt;0)*('Istoric_Nativ'!$Q$6:$Q$405&lt;=H608))/AM608)</x:f>
      </x:c>
      <x:c r="S608" s="10" t="str">
        <x:f>IF(M608="","",MAX(O608,P608,Q608,R608))</x:f>
      </x:c>
      <x:c r="T608" s="11" t="str">
        <x:f>IF(M608="","",MIN(100,S608*100*'Config_v6'!$B$44+MIN(100,L608/'Config_v6'!$B$13*100)*'Config_v6'!$B$45+(100-'Motor_Meciuri'!BF49)*'Config_v6'!$B$46+'Motor_Meciuri'!BH49*100*'Config_v6'!$B$47))</x:f>
      </x:c>
      <x:c r="U608" s="2" t="str">
        <x:f>IF(T608="","",IF(T608&lt;=20,1,IF(T608&lt;=40,2,IF(T608&lt;=60,3,IF(T608&lt;=80,4,5)))))</x:f>
      </x:c>
      <x:c r="V608" s="2" t="str">
        <x:f>IF(M608="","",MAX(0,'Motor_Meciuri'!BF49-IF(W608="OOS PENDING",'Config_v6'!$B$35,0)-IF(L608&gt;'Config_v6'!$B$12,'Config_v6'!$B$37,IF(L608&gt;'Config_v6'!$B$11,'Config_v6'!$B$36,0))))</x:f>
      </x:c>
      <x:c r="W608" s="2" t="str">
        <x:f>IF(B608="","",IF(I608&lt;&gt;"READY","NOT RELEASED",IF(NOT(AND(J608="PASS",'Calibrare_Linii'!U6="VALID")),"INVALID",IF(NOT(TRUE),"OOS PENDING",IF(S608&lt;=IF(AND('Calibrare_Linii'!S6="VALIDATED",AND('Calibrare_Linii'!H6=C608,ISNUMBER('Calibrare_Linii'!J6),'Calibrare_Linii'!J6&lt;='Input_Meci'!G49)),'Calibrare_Linii'!E6,'Config_v6'!$B$26),"PASS",IF(S608&lt;=IF(AND('Calibrare_Linii'!S6="VALIDATED",AND('Calibrare_Linii'!H6=C608,ISNUMBER('Calibrare_Linii'!J6),'Calibrare_Linii'!J6&lt;='Input_Meci'!G49)),'Calibrare_Linii'!F6,'Config_v6'!$C$26),"PENALTY","WATCH"))))))</x:f>
      </x:c>
      <x:c r="X608" s="2" t="str">
        <x:f>IF(M608="","",IF(AND(AND(J608="PASS",'Calibrare_Linii'!U6="VALID"),'Motor_Meciuri'!K49=12,'Motor_Meciuri'!L49=12,'Motor_Meciuri'!M49="NO",'Motor_Meciuri'!BL49='Motor_Meciuri'!C49,AB608&gt;='Config_v6'!$B$50,AN608&gt;='Config_v6'!$B$51,T608&lt;='Config_v6'!$B$52,L608&lt;='Config_v6'!$B$53,ISNUMBER('Calibrare_Linii'!E6),S608&lt;='Calibrare_Linii'!E6,SUM(AK608:AM608)&gt;0),"CANDIDATE","NO"))</x:f>
      </x:c>
      <x:c r="Y608" s="2" t="str">
        <x:f>IF(B608="","",IF(I608&lt;&gt;"READY","NOT RELEASED",IF(AND(X608="CANDIDATE",V608&gt;='Config_v6'!$B$51,W608="PASS",'Calibrare_Linii'!T6="VALIDATED",AND('Calibrare_Linii'!H6=C608,ISNUMBER('Calibrare_Linii'!J6),'Calibrare_Linii'!J6&lt;='Input_Meci'!G49)),"PASS",IF(X608="CANDIDATE","OOS PENDING","FAIL"))))</x:f>
      </x:c>
      <x:c r="Z608" s="2" t="str">
        <x:f>IF(B608="","",IF(I608&lt;&gt;"READY","",IF(OR(NOT(AND(J608="PASS",'Calibrare_Linii'!U6="VALID")),L608&gt;'Config_v6'!$B$13,W608="WATCH"),5,IF(Y608="PASS",1,MIN(5,MAX('Config_v6'!$B$42,U608)+IF(W608="PENALTY",1,0))))))</x:f>
      </x:c>
      <x:c r="AA608" s="2" t="str">
        <x:f>IF(B608="","",IF(I608&lt;&gt;"READY","NOT RELEASED",IF(Z608=5,"NO BET",IF(OR(AB608&lt;'Config_v6'!$B$16,V608&lt;'Config_v6'!$B$18),"WATCH",IF(Z608=1,"DEFENSIV",IF(Z608=2,"PRUDENT",IF(Z608=3,"MODERAT","RIDICAT")))))))</x:f>
      </x:c>
      <x:c r="AB608" s="10" t="str">
        <x:f>IF(N608="","",MIN(N608,1-S608))</x:f>
      </x:c>
      <x:c r="AC608" s="2" t="str">
        <x:f>IF(AD608&lt;&gt;1,"",COUNTIFS($Z$608:$Z$621,"&lt;"&amp;Z608,$AD$608:$AD$621,1)+COUNTIFS($Z$608:$Z$621,Z608,$AB$608:$AB$621,"&gt;"&amp;AB608,$AD$608:$AD$621,1)+COUNTIFS($Z$608:$Z$621,Z608,$AB$608:$AB$621,AB608,$V$608:$V$621,"&gt;"&amp;V608,$AD$608:$AD$621,1)+COUNTIFS($Z$608:Z608,Z608,$AB$608:AB608,AB608,$V$608:V608,V608,$AD$608:AD608,1))</x:f>
      </x:c>
      <x:c r="AD608" s="2" t="n">
        <x:f>IF(OR(AA608="DEFENSIV",AA608="PRUDENT",AA608="MODERAT",AA608="RIDICAT"),1,0)</x:f>
        <x:v>0</x:v>
      </x:c>
      <x:c r="AE608" s="2" t="str">
        <x:f>IF(AD608&lt;&gt;1,"NO",IF(W608="PASS","YES",IF(W608="OOS PENDING","CONDITIONAL","NO")))</x:f>
        <x:v>NO</x:v>
      </x:c>
      <x:c r="AF608" s="2" t="n">
        <x:f>IF(AND(AD608=1,AC608=1,E608="LIVE"),1,0)</x:f>
        <x:v>0</x:v>
      </x:c>
      <x:c r="AG608" s="2" t="str">
        <x:f>IF(AF608&lt;&gt;1,"",'Dashboard'!P69)</x:f>
      </x:c>
      <x:c r="AH608" s="2" t="str">
        <x:f>IF(B608="","",IF(J608&lt;&gt;"PASS",'Motor_Meciuri'!J49,IF('Calibrare_Linii'!U6&lt;&gt;"VALID","Parametri linie invalizi",IF(L608&gt;'Config_v6'!$B$13,"Dispersie peste limita",IF(W608="WATCH","Failure peste limita",IF(AB608&lt;'Config_v6'!$B$16,"P finala sub prag",IF(V608&lt;'Config_v6'!$B$18,"Confidence sub prag",IF(E608="REPLAY","Exemplu retrospectiv; exclus din Top LIVE",IF(Y608="PASS","DEFENSIV validat",IF(W608="OOS PENDING","Eligibil; calibrare linie in monitorizare","Eligibil"))))))))))</x:f>
      </x:c>
      <x:c r="AI608" s="2" t="str">
        <x:f>IF(B608="","",'Calibrare_Linii'!V6)</x:f>
      </x:c>
      <x:c r="AJ608" s="2" t="str">
        <x:f>IF(B608="","",IF(AND('Calibrare_Linii'!T6="VALIDATED",AND('Calibrare_Linii'!H6=C608,ISNUMBER('Calibrare_Linii'!J6),'Calibrare_Linii'!J6&lt;='Input_Meci'!G49)),"DEFENSIVE VALIDATED",IF(AND('Calibrare_Linii'!S6="VALIDATED",AND('Calibrare_Linii'!H6=C608,ISNUMBER('Calibrare_Linii'!J6),'Calibrare_Linii'!J6&lt;='Input_Meci'!G49)),"TAIL VALIDATED","OOS PENDING")))</x:f>
      </x:c>
      <x:c r="AK608" s="2" t="n">
        <x:f>IF(J608&lt;&gt;"PASS",0,'Motor_Meciuri'!BR49)</x:f>
        <x:v>0</x:v>
      </x:c>
      <x:c r="AL608" s="2" t="n">
        <x:f>IF(J608&lt;&gt;"PASS",0,'Motor_Meciuri'!BS49)</x:f>
        <x:v>0</x:v>
      </x:c>
      <x:c r="AM608" s="2" t="n">
        <x:f>IF(J608&lt;&gt;"PASS",0,'Motor_Meciuri'!BT49)</x:f>
        <x:v>0</x:v>
      </x:c>
      <x:c r="AN608" s="2" t="str">
        <x:f>IF(M608="","",MAX(0,'Motor_Meciuri'!BF49-IF(L608&gt;'Config_v6'!$B$12,'Config_v6'!$B$37,IF(L608&gt;'Config_v6'!$B$11,'Config_v6'!$B$36,0))))</x:f>
      </x:c>
    </x:row>
    <x:row r="609" ht="21" customHeight="1">
      <x:c r="A609" s="2" t="n">
        <x:v>44</x:v>
      </x:c>
      <x:c r="B609" s="2" t="str">
        <x:f>IF('Motor_Meciuri'!A49="","",'Motor_Meciuri'!A49)</x:f>
      </x:c>
      <x:c r="C609" s="2" t="str">
        <x:f>IF(B609="","",'Motor_Meciuri'!B49)</x:f>
      </x:c>
      <x:c r="D609" s="2" t="str">
        <x:f>IF(B609="","",'Motor_Meciuri'!D49)</x:f>
      </x:c>
      <x:c r="E609" s="2" t="str">
        <x:f>IF(B609="","",'Motor_Meciuri'!E49)</x:f>
      </x:c>
      <x:c r="F609" s="2" t="str">
        <x:v>O4,5</x:v>
      </x:c>
      <x:c r="G609" s="2" t="str">
        <x:v>OVER</x:v>
      </x:c>
      <x:c r="H609" s="2" t="n">
        <x:v>4</x:v>
      </x:c>
      <x:c r="I609" s="2" t="str">
        <x:f>IF(B609="","",'Motor_Meciuri'!H49)</x:f>
      </x:c>
      <x:c r="J609" s="2" t="str">
        <x:f>IF(B609="","",'Motor_Meciuri'!I49)</x:f>
      </x:c>
      <x:c r="K609" s="11" t="str">
        <x:f>IF(J609&lt;&gt;"PASS","",'Motor_Meciuri'!BD49)</x:f>
      </x:c>
      <x:c r="L609" s="11" t="str">
        <x:f>IF(J609&lt;&gt;"PASS","",'Motor_Meciuri'!AU49)</x:f>
      </x:c>
      <x:c r="M609" s="10" t="str">
        <x:f>IF(NOT(AND(J609="PASS",'Calibrare_Linii'!U7="VALID")),"",1-'Distributie'!AB49)</x:f>
      </x:c>
      <x:c r="N609" s="10" t="str">
        <x:f>IF(M609="","",MAX(0.01,MIN(0.99,0.5+(M609-0.5)*'Motor_Meciuri'!BG49*'Calibrare_Linii'!D7)))</x:f>
      </x:c>
      <x:c r="O609" s="10" t="str">
        <x:f>IF(M609="","",1-M609)</x:f>
      </x:c>
      <x:c r="P609" s="10" t="str">
        <x:f>IF(OR(NOT(AND(J609="PASS",'Calibrare_Linii'!U7="VALID")),AK609=0),""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*('Istoric_Nativ'!$Q$6:$Q$405&lt;=H609))/AK609)</x:f>
      </x:c>
      <x:c r="Q609" s="10" t="str">
        <x:f>IF(OR(NOT(AND(J609="PASS",'Calibrare_Linii'!U7="VALID")),AL609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M49)+((('Istoric_Nativ'!$E$6:$E$405='Input_Meci'!E49)+('Istoric_Nativ'!$F$6:$F$405='Input_Meci'!E49))&gt;0)*('Istoric_Nativ'!$D$6:$D$405&gt;='Motor_Meciuri'!BN49))&gt;0)*('Istoric_Nativ'!$Q$6:$Q$405&lt;=H609))/AL609)</x:f>
      </x:c>
      <x:c r="R609" s="10" t="str">
        <x:f>IF(OR(NOT(AND(J609="PASS",'Calibrare_Linii'!U7="VALID")),AM609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O49)+((('Istoric_Nativ'!$E$6:$E$405='Input_Meci'!E49)+('Istoric_Nativ'!$F$6:$F$405='Input_Meci'!E49))&gt;0)*('Istoric_Nativ'!$D$6:$D$405&gt;='Motor_Meciuri'!BP49))&gt;0)*('Istoric_Nativ'!$Q$6:$Q$405&lt;=H609))/AM609)</x:f>
      </x:c>
      <x:c r="S609" s="10" t="str">
        <x:f>IF(M609="","",MAX(O609,P609,Q609,R609))</x:f>
      </x:c>
      <x:c r="T609" s="11" t="str">
        <x:f>IF(M609="","",MIN(100,S609*100*'Config_v6'!$B$44+MIN(100,L609/'Config_v6'!$B$13*100)*'Config_v6'!$B$45+(100-'Motor_Meciuri'!BF49)*'Config_v6'!$B$46+'Motor_Meciuri'!BH49*100*'Config_v6'!$B$47))</x:f>
      </x:c>
      <x:c r="U609" s="2" t="str">
        <x:f>IF(T609="","",IF(T609&lt;=20,1,IF(T609&lt;=40,2,IF(T609&lt;=60,3,IF(T609&lt;=80,4,5)))))</x:f>
      </x:c>
      <x:c r="V609" s="2" t="str">
        <x:f>IF(M609="","",MAX(0,'Motor_Meciuri'!BF49-IF(W609="OOS PENDING",'Config_v6'!$B$35,0)-IF(L609&gt;'Config_v6'!$B$12,'Config_v6'!$B$37,IF(L609&gt;'Config_v6'!$B$11,'Config_v6'!$B$36,0))))</x:f>
      </x:c>
      <x:c r="W609" s="2" t="str">
        <x:f>IF(B609="","",IF(I609&lt;&gt;"READY","NOT RELEASED",IF(NOT(AND(J609="PASS",'Calibrare_Linii'!U7="VALID")),"INVALID",IF(NOT(AND('Calibrare_Linii'!S7="VALIDATED",AND('Calibrare_Linii'!H7=C609,ISNUMBER('Calibrare_Linii'!J7),'Calibrare_Linii'!J7&lt;='Input_Meci'!G49))),"OOS PENDING",IF(S609&lt;='Calibrare_Linii'!E7,"PASS",IF(S609&lt;='Calibrare_Linii'!F7,"PENALTY","WATCH"))))))</x:f>
      </x:c>
      <x:c r="X609" s="2" t="str">
        <x:f>IF(M609="","",IF(AND(AND(J609="PASS",'Calibrare_Linii'!U7="VALID"),'Motor_Meciuri'!K49=12,'Motor_Meciuri'!L49=12,'Motor_Meciuri'!M49="NO",'Motor_Meciuri'!BL49='Motor_Meciuri'!C49,AB609&gt;='Config_v6'!$B$50,AN609&gt;='Config_v6'!$B$51,T609&lt;='Config_v6'!$B$52,L609&lt;='Config_v6'!$B$53,ISNUMBER('Calibrare_Linii'!E7),S609&lt;='Calibrare_Linii'!E7,SUM(AK609:AM609)&gt;0),"CANDIDATE","NO"))</x:f>
      </x:c>
      <x:c r="Y609" s="2" t="str">
        <x:f>IF(B609="","",IF(I609&lt;&gt;"READY","NOT RELEASED",IF(AND(X609="CANDIDATE",V609&gt;='Config_v6'!$B$51,W609="PASS",'Calibrare_Linii'!T7="VALIDATED",AND('Calibrare_Linii'!H7=C609,ISNUMBER('Calibrare_Linii'!J7),'Calibrare_Linii'!J7&lt;='Input_Meci'!G49)),"PASS",IF(X609="CANDIDATE","OOS PENDING","FAIL"))))</x:f>
      </x:c>
      <x:c r="Z609" s="2" t="str">
        <x:f>IF(B609="","",IF(I609&lt;&gt;"READY","",IF(OR(NOT(AND(J609="PASS",'Calibrare_Linii'!U7="VALID")),L609&gt;'Config_v6'!$B$13,W609="WATCH"),5,IF(Y609="PASS",1,MIN(5,MAX('Config_v6'!$B$42,U609)+IF(W609="PENALTY",1,0))))))</x:f>
      </x:c>
      <x:c r="AA609" s="2" t="str">
        <x:f>IF(B609="","",IF(I609&lt;&gt;"READY","NOT RELEASED",IF(Z609=5,"NO BET",IF(OR(AB609&lt;'Config_v6'!$B$16,V609&lt;'Config_v6'!$B$18),"WATCH",IF(Z609=1,"DEFENSIV",IF(Z609=2,"PRUDENT",IF(Z609=3,"MODERAT","RIDICAT")))))))</x:f>
      </x:c>
      <x:c r="AB609" s="10" t="str">
        <x:f>IF(N609="","",MIN(N609,1-S609))</x:f>
      </x:c>
      <x:c r="AC609" s="2" t="str">
        <x:f>IF(AD609&lt;&gt;1,"",COUNTIFS($Z$608:$Z$621,"&lt;"&amp;Z609,$AD$608:$AD$621,1)+COUNTIFS($Z$608:$Z$621,Z609,$AB$608:$AB$621,"&gt;"&amp;AB609,$AD$608:$AD$621,1)+COUNTIFS($Z$608:$Z$621,Z609,$AB$608:$AB$621,AB609,$V$608:$V$621,"&gt;"&amp;V609,$AD$608:$AD$621,1)+COUNTIFS($Z$608:Z609,Z609,$AB$608:AB609,AB609,$V$608:V609,V609,$AD$608:AD609,1))</x:f>
      </x:c>
      <x:c r="AD609" s="2" t="n">
        <x:f>IF(OR(AA609="DEFENSIV",AA609="PRUDENT",AA609="MODERAT",AA609="RIDICAT"),1,0)</x:f>
        <x:v>0</x:v>
      </x:c>
      <x:c r="AE609" s="2" t="str">
        <x:f>IF(AD609&lt;&gt;1,"NO",IF(W609="PASS","YES",IF(W609="OOS PENDING","CONDITIONAL","NO")))</x:f>
        <x:v>NO</x:v>
      </x:c>
      <x:c r="AF609" s="2" t="n">
        <x:f>IF(AND(AD609=1,AC609=1,E609="LIVE"),1,0)</x:f>
        <x:v>0</x:v>
      </x:c>
      <x:c r="AG609" s="2" t="str">
        <x:f>IF(AF609&lt;&gt;1,"",'Dashboard'!P69)</x:f>
      </x:c>
      <x:c r="AH609" s="2" t="str">
        <x:f>IF(B609="","",IF(J609&lt;&gt;"PASS",'Motor_Meciuri'!J49,IF('Calibrare_Linii'!U7&lt;&gt;"VALID","Parametri linie invalizi",IF(L609&gt;'Config_v6'!$B$13,"Dispersie peste limita",IF(W609="WATCH","Failure peste limita",IF(AB609&lt;'Config_v6'!$B$16,"P finala sub prag",IF(V609&lt;'Config_v6'!$B$18,"Confidence sub prag",IF(E609="REPLAY","Exemplu retrospectiv; exclus din Top LIVE",IF(Y609="PASS","DEFENSIV validat",IF(W609="OOS PENDING","Eligibil; calibrare linie in monitorizare","Eligibil"))))))))))</x:f>
      </x:c>
      <x:c r="AI609" s="2" t="str">
        <x:f>IF(B609="","",'Calibrare_Linii'!V7)</x:f>
      </x:c>
      <x:c r="AJ609" s="2" t="str">
        <x:f>IF(B609="","",IF(AND('Calibrare_Linii'!T7="VALIDATED",AND('Calibrare_Linii'!H7=C609,ISNUMBER('Calibrare_Linii'!J7),'Calibrare_Linii'!J7&lt;='Input_Meci'!G49)),"DEFENSIVE VALIDATED",IF(AND('Calibrare_Linii'!S7="VALIDATED",AND('Calibrare_Linii'!H7=C609,ISNUMBER('Calibrare_Linii'!J7),'Calibrare_Linii'!J7&lt;='Input_Meci'!G49)),"TAIL VALIDATED","OOS PENDING")))</x:f>
      </x:c>
      <x:c r="AK609" s="2" t="n">
        <x:f>IF(J609&lt;&gt;"PASS",0,'Motor_Meciuri'!BR49)</x:f>
        <x:v>0</x:v>
      </x:c>
      <x:c r="AL609" s="2" t="n">
        <x:f>IF(J609&lt;&gt;"PASS",0,'Motor_Meciuri'!BS49)</x:f>
        <x:v>0</x:v>
      </x:c>
      <x:c r="AM609" s="2" t="n">
        <x:f>IF(J609&lt;&gt;"PASS",0,'Motor_Meciuri'!BT49)</x:f>
        <x:v>0</x:v>
      </x:c>
      <x:c r="AN609" s="2" t="str">
        <x:f>IF(M609="","",MAX(0,'Motor_Meciuri'!BF49-IF(L609&gt;'Config_v6'!$B$12,'Config_v6'!$B$37,IF(L609&gt;'Config_v6'!$B$11,'Config_v6'!$B$36,0))))</x:f>
      </x:c>
    </x:row>
    <x:row r="610" ht="21" customHeight="1">
      <x:c r="A610" s="2" t="n">
        <x:v>44</x:v>
      </x:c>
      <x:c r="B610" s="2" t="str">
        <x:f>IF('Motor_Meciuri'!A49="","",'Motor_Meciuri'!A49)</x:f>
      </x:c>
      <x:c r="C610" s="2" t="str">
        <x:f>IF(B610="","",'Motor_Meciuri'!B49)</x:f>
      </x:c>
      <x:c r="D610" s="2" t="str">
        <x:f>IF(B610="","",'Motor_Meciuri'!D49)</x:f>
      </x:c>
      <x:c r="E610" s="2" t="str">
        <x:f>IF(B610="","",'Motor_Meciuri'!E49)</x:f>
      </x:c>
      <x:c r="F610" s="2" t="str">
        <x:v>O5,5</x:v>
      </x:c>
      <x:c r="G610" s="2" t="str">
        <x:v>OVER</x:v>
      </x:c>
      <x:c r="H610" s="2" t="n">
        <x:v>5</x:v>
      </x:c>
      <x:c r="I610" s="2" t="str">
        <x:f>IF(B610="","",'Motor_Meciuri'!H49)</x:f>
      </x:c>
      <x:c r="J610" s="2" t="str">
        <x:f>IF(B610="","",'Motor_Meciuri'!I49)</x:f>
      </x:c>
      <x:c r="K610" s="11" t="str">
        <x:f>IF(J610&lt;&gt;"PASS","",'Motor_Meciuri'!BD49)</x:f>
      </x:c>
      <x:c r="L610" s="11" t="str">
        <x:f>IF(J610&lt;&gt;"PASS","",'Motor_Meciuri'!AU49)</x:f>
      </x:c>
      <x:c r="M610" s="10" t="str">
        <x:f>IF(NOT(AND(J610="PASS",'Calibrare_Linii'!U8="VALID")),"",1-'Distributie'!AC49)</x:f>
      </x:c>
      <x:c r="N610" s="10" t="str">
        <x:f>IF(M610="","",MAX(0.01,MIN(0.99,0.5+(M610-0.5)*'Motor_Meciuri'!BG49*'Calibrare_Linii'!D8)))</x:f>
      </x:c>
      <x:c r="O610" s="10" t="str">
        <x:f>IF(M610="","",1-M610)</x:f>
      </x:c>
      <x:c r="P610" s="10" t="str">
        <x:f>IF(OR(NOT(AND(J610="PASS",'Calibrare_Linii'!U8="VALID")),AK610=0),""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*('Istoric_Nativ'!$Q$6:$Q$405&lt;=H610))/AK610)</x:f>
      </x:c>
      <x:c r="Q610" s="10" t="str">
        <x:f>IF(OR(NOT(AND(J610="PASS",'Calibrare_Linii'!U8="VALID")),AL610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M49)+((('Istoric_Nativ'!$E$6:$E$405='Input_Meci'!E49)+('Istoric_Nativ'!$F$6:$F$405='Input_Meci'!E49))&gt;0)*('Istoric_Nativ'!$D$6:$D$405&gt;='Motor_Meciuri'!BN49))&gt;0)*('Istoric_Nativ'!$Q$6:$Q$405&lt;=H610))/AL610)</x:f>
      </x:c>
      <x:c r="R610" s="10" t="str">
        <x:f>IF(OR(NOT(AND(J610="PASS",'Calibrare_Linii'!U8="VALID")),AM610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O49)+((('Istoric_Nativ'!$E$6:$E$405='Input_Meci'!E49)+('Istoric_Nativ'!$F$6:$F$405='Input_Meci'!E49))&gt;0)*('Istoric_Nativ'!$D$6:$D$405&gt;='Motor_Meciuri'!BP49))&gt;0)*('Istoric_Nativ'!$Q$6:$Q$405&lt;=H610))/AM610)</x:f>
      </x:c>
      <x:c r="S610" s="10" t="str">
        <x:f>IF(M610="","",MAX(O610,P610,Q610,R610))</x:f>
      </x:c>
      <x:c r="T610" s="11" t="str">
        <x:f>IF(M610="","",MIN(100,S610*100*'Config_v6'!$B$44+MIN(100,L610/'Config_v6'!$B$13*100)*'Config_v6'!$B$45+(100-'Motor_Meciuri'!BF49)*'Config_v6'!$B$46+'Motor_Meciuri'!BH49*100*'Config_v6'!$B$47))</x:f>
      </x:c>
      <x:c r="U610" s="2" t="str">
        <x:f>IF(T610="","",IF(T610&lt;=20,1,IF(T610&lt;=40,2,IF(T610&lt;=60,3,IF(T610&lt;=80,4,5)))))</x:f>
      </x:c>
      <x:c r="V610" s="2" t="str">
        <x:f>IF(M610="","",MAX(0,'Motor_Meciuri'!BF49-IF(W610="OOS PENDING",'Config_v6'!$B$35,0)-IF(L610&gt;'Config_v6'!$B$12,'Config_v6'!$B$37,IF(L610&gt;'Config_v6'!$B$11,'Config_v6'!$B$36,0))))</x:f>
      </x:c>
      <x:c r="W610" s="2" t="str">
        <x:f>IF(B610="","",IF(I610&lt;&gt;"READY","NOT RELEASED",IF(NOT(AND(J610="PASS",'Calibrare_Linii'!U8="VALID")),"INVALID",IF(NOT(AND('Calibrare_Linii'!S8="VALIDATED",AND('Calibrare_Linii'!H8=C610,ISNUMBER('Calibrare_Linii'!J8),'Calibrare_Linii'!J8&lt;='Input_Meci'!G49))),"OOS PENDING",IF(S610&lt;='Calibrare_Linii'!E8,"PASS",IF(S610&lt;='Calibrare_Linii'!F8,"PENALTY","WATCH"))))))</x:f>
      </x:c>
      <x:c r="X610" s="2" t="str">
        <x:f>IF(M610="","",IF(AND(AND(J610="PASS",'Calibrare_Linii'!U8="VALID"),'Motor_Meciuri'!K49=12,'Motor_Meciuri'!L49=12,'Motor_Meciuri'!M49="NO",'Motor_Meciuri'!BL49='Motor_Meciuri'!C49,AB610&gt;='Config_v6'!$B$50,AN610&gt;='Config_v6'!$B$51,T610&lt;='Config_v6'!$B$52,L610&lt;='Config_v6'!$B$53,ISNUMBER('Calibrare_Linii'!E8),S610&lt;='Calibrare_Linii'!E8,SUM(AK610:AM610)&gt;0),"CANDIDATE","NO"))</x:f>
      </x:c>
      <x:c r="Y610" s="2" t="str">
        <x:f>IF(B610="","",IF(I610&lt;&gt;"READY","NOT RELEASED",IF(AND(X610="CANDIDATE",V610&gt;='Config_v6'!$B$51,W610="PASS",'Calibrare_Linii'!T8="VALIDATED",AND('Calibrare_Linii'!H8=C610,ISNUMBER('Calibrare_Linii'!J8),'Calibrare_Linii'!J8&lt;='Input_Meci'!G49)),"PASS",IF(X610="CANDIDATE","OOS PENDING","FAIL"))))</x:f>
      </x:c>
      <x:c r="Z610" s="2" t="str">
        <x:f>IF(B610="","",IF(I610&lt;&gt;"READY","",IF(OR(NOT(AND(J610="PASS",'Calibrare_Linii'!U8="VALID")),L610&gt;'Config_v6'!$B$13,W610="WATCH"),5,IF(Y610="PASS",1,MIN(5,MAX('Config_v6'!$B$42,U610)+IF(W610="PENALTY",1,0))))))</x:f>
      </x:c>
      <x:c r="AA610" s="2" t="str">
        <x:f>IF(B610="","",IF(I610&lt;&gt;"READY","NOT RELEASED",IF(Z610=5,"NO BET",IF(OR(AB610&lt;'Config_v6'!$B$16,V610&lt;'Config_v6'!$B$18),"WATCH",IF(Z610=1,"DEFENSIV",IF(Z610=2,"PRUDENT",IF(Z610=3,"MODERAT","RIDICAT")))))))</x:f>
      </x:c>
      <x:c r="AB610" s="10" t="str">
        <x:f>IF(N610="","",MIN(N610,1-S610))</x:f>
      </x:c>
      <x:c r="AC610" s="2" t="str">
        <x:f>IF(AD610&lt;&gt;1,"",COUNTIFS($Z$608:$Z$621,"&lt;"&amp;Z610,$AD$608:$AD$621,1)+COUNTIFS($Z$608:$Z$621,Z610,$AB$608:$AB$621,"&gt;"&amp;AB610,$AD$608:$AD$621,1)+COUNTIFS($Z$608:$Z$621,Z610,$AB$608:$AB$621,AB610,$V$608:$V$621,"&gt;"&amp;V610,$AD$608:$AD$621,1)+COUNTIFS($Z$608:Z610,Z610,$AB$608:AB610,AB610,$V$608:V610,V610,$AD$608:AD610,1))</x:f>
      </x:c>
      <x:c r="AD610" s="2" t="n">
        <x:f>IF(OR(AA610="DEFENSIV",AA610="PRUDENT",AA610="MODERAT",AA610="RIDICAT"),1,0)</x:f>
        <x:v>0</x:v>
      </x:c>
      <x:c r="AE610" s="2" t="str">
        <x:f>IF(AD610&lt;&gt;1,"NO",IF(W610="PASS","YES",IF(W610="OOS PENDING","CONDITIONAL","NO")))</x:f>
        <x:v>NO</x:v>
      </x:c>
      <x:c r="AF610" s="2" t="n">
        <x:f>IF(AND(AD610=1,AC610=1,E610="LIVE"),1,0)</x:f>
        <x:v>0</x:v>
      </x:c>
      <x:c r="AG610" s="2" t="str">
        <x:f>IF(AF610&lt;&gt;1,"",'Dashboard'!P69)</x:f>
      </x:c>
      <x:c r="AH610" s="2" t="str">
        <x:f>IF(B610="","",IF(J610&lt;&gt;"PASS",'Motor_Meciuri'!J49,IF('Calibrare_Linii'!U8&lt;&gt;"VALID","Parametri linie invalizi",IF(L610&gt;'Config_v6'!$B$13,"Dispersie peste limita",IF(W610="WATCH","Failure peste limita",IF(AB610&lt;'Config_v6'!$B$16,"P finala sub prag",IF(V610&lt;'Config_v6'!$B$18,"Confidence sub prag",IF(E610="REPLAY","Exemplu retrospectiv; exclus din Top LIVE",IF(Y610="PASS","DEFENSIV validat",IF(W610="OOS PENDING","Eligibil; calibrare linie in monitorizare","Eligibil"))))))))))</x:f>
      </x:c>
      <x:c r="AI610" s="2" t="str">
        <x:f>IF(B610="","",'Calibrare_Linii'!V8)</x:f>
      </x:c>
      <x:c r="AJ610" s="2" t="str">
        <x:f>IF(B610="","",IF(AND('Calibrare_Linii'!T8="VALIDATED",AND('Calibrare_Linii'!H8=C610,ISNUMBER('Calibrare_Linii'!J8),'Calibrare_Linii'!J8&lt;='Input_Meci'!G49)),"DEFENSIVE VALIDATED",IF(AND('Calibrare_Linii'!S8="VALIDATED",AND('Calibrare_Linii'!H8=C610,ISNUMBER('Calibrare_Linii'!J8),'Calibrare_Linii'!J8&lt;='Input_Meci'!G49)),"TAIL VALIDATED","OOS PENDING")))</x:f>
      </x:c>
      <x:c r="AK610" s="2" t="n">
        <x:f>IF(J610&lt;&gt;"PASS",0,'Motor_Meciuri'!BR49)</x:f>
        <x:v>0</x:v>
      </x:c>
      <x:c r="AL610" s="2" t="n">
        <x:f>IF(J610&lt;&gt;"PASS",0,'Motor_Meciuri'!BS49)</x:f>
        <x:v>0</x:v>
      </x:c>
      <x:c r="AM610" s="2" t="n">
        <x:f>IF(J610&lt;&gt;"PASS",0,'Motor_Meciuri'!BT49)</x:f>
        <x:v>0</x:v>
      </x:c>
      <x:c r="AN610" s="2" t="str">
        <x:f>IF(M610="","",MAX(0,'Motor_Meciuri'!BF49-IF(L610&gt;'Config_v6'!$B$12,'Config_v6'!$B$37,IF(L610&gt;'Config_v6'!$B$11,'Config_v6'!$B$36,0))))</x:f>
      </x:c>
    </x:row>
    <x:row r="611" ht="21" customHeight="1">
      <x:c r="A611" s="2" t="n">
        <x:v>44</x:v>
      </x:c>
      <x:c r="B611" s="2" t="str">
        <x:f>IF('Motor_Meciuri'!A49="","",'Motor_Meciuri'!A49)</x:f>
      </x:c>
      <x:c r="C611" s="2" t="str">
        <x:f>IF(B611="","",'Motor_Meciuri'!B49)</x:f>
      </x:c>
      <x:c r="D611" s="2" t="str">
        <x:f>IF(B611="","",'Motor_Meciuri'!D49)</x:f>
      </x:c>
      <x:c r="E611" s="2" t="str">
        <x:f>IF(B611="","",'Motor_Meciuri'!E49)</x:f>
      </x:c>
      <x:c r="F611" s="2" t="str">
        <x:v>O6,5</x:v>
      </x:c>
      <x:c r="G611" s="2" t="str">
        <x:v>OVER</x:v>
      </x:c>
      <x:c r="H611" s="2" t="n">
        <x:v>6</x:v>
      </x:c>
      <x:c r="I611" s="2" t="str">
        <x:f>IF(B611="","",'Motor_Meciuri'!H49)</x:f>
      </x:c>
      <x:c r="J611" s="2" t="str">
        <x:f>IF(B611="","",'Motor_Meciuri'!I49)</x:f>
      </x:c>
      <x:c r="K611" s="11" t="str">
        <x:f>IF(J611&lt;&gt;"PASS","",'Motor_Meciuri'!BD49)</x:f>
      </x:c>
      <x:c r="L611" s="11" t="str">
        <x:f>IF(J611&lt;&gt;"PASS","",'Motor_Meciuri'!AU49)</x:f>
      </x:c>
      <x:c r="M611" s="10" t="str">
        <x:f>IF(NOT(AND(J611="PASS",'Calibrare_Linii'!U9="VALID")),"",1-'Distributie'!AD49)</x:f>
      </x:c>
      <x:c r="N611" s="10" t="str">
        <x:f>IF(M611="","",MAX(0.01,MIN(0.99,0.5+(M611-0.5)*'Motor_Meciuri'!BG49*'Calibrare_Linii'!D9)))</x:f>
      </x:c>
      <x:c r="O611" s="10" t="str">
        <x:f>IF(M611="","",1-M611)</x:f>
      </x:c>
      <x:c r="P611" s="10" t="str">
        <x:f>IF(OR(NOT(AND(J611="PASS",'Calibrare_Linii'!U9="VALID")),AK611=0),""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*('Istoric_Nativ'!$Q$6:$Q$405&lt;=H611))/AK611)</x:f>
      </x:c>
      <x:c r="Q611" s="10" t="str">
        <x:f>IF(OR(NOT(AND(J611="PASS",'Calibrare_Linii'!U9="VALID")),AL611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M49)+((('Istoric_Nativ'!$E$6:$E$405='Input_Meci'!E49)+('Istoric_Nativ'!$F$6:$F$405='Input_Meci'!E49))&gt;0)*('Istoric_Nativ'!$D$6:$D$405&gt;='Motor_Meciuri'!BN49))&gt;0)*('Istoric_Nativ'!$Q$6:$Q$405&lt;=H611))/AL611)</x:f>
      </x:c>
      <x:c r="R611" s="10" t="str">
        <x:f>IF(OR(NOT(AND(J611="PASS",'Calibrare_Linii'!U9="VALID")),AM611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O49)+((('Istoric_Nativ'!$E$6:$E$405='Input_Meci'!E49)+('Istoric_Nativ'!$F$6:$F$405='Input_Meci'!E49))&gt;0)*('Istoric_Nativ'!$D$6:$D$405&gt;='Motor_Meciuri'!BP49))&gt;0)*('Istoric_Nativ'!$Q$6:$Q$405&lt;=H611))/AM611)</x:f>
      </x:c>
      <x:c r="S611" s="10" t="str">
        <x:f>IF(M611="","",MAX(O611,P611,Q611,R611))</x:f>
      </x:c>
      <x:c r="T611" s="11" t="str">
        <x:f>IF(M611="","",MIN(100,S611*100*'Config_v6'!$B$44+MIN(100,L611/'Config_v6'!$B$13*100)*'Config_v6'!$B$45+(100-'Motor_Meciuri'!BF49)*'Config_v6'!$B$46+'Motor_Meciuri'!BH49*100*'Config_v6'!$B$47))</x:f>
      </x:c>
      <x:c r="U611" s="2" t="str">
        <x:f>IF(T611="","",IF(T611&lt;=20,1,IF(T611&lt;=40,2,IF(T611&lt;=60,3,IF(T611&lt;=80,4,5)))))</x:f>
      </x:c>
      <x:c r="V611" s="2" t="str">
        <x:f>IF(M611="","",MAX(0,'Motor_Meciuri'!BF49-IF(W611="OOS PENDING",'Config_v6'!$B$35,0)-IF(L611&gt;'Config_v6'!$B$12,'Config_v6'!$B$37,IF(L611&gt;'Config_v6'!$B$11,'Config_v6'!$B$36,0))))</x:f>
      </x:c>
      <x:c r="W611" s="2" t="str">
        <x:f>IF(B611="","",IF(I611&lt;&gt;"READY","NOT RELEASED",IF(NOT(AND(J611="PASS",'Calibrare_Linii'!U9="VALID")),"INVALID",IF(NOT(AND('Calibrare_Linii'!S9="VALIDATED",AND('Calibrare_Linii'!H9=C611,ISNUMBER('Calibrare_Linii'!J9),'Calibrare_Linii'!J9&lt;='Input_Meci'!G49))),"OOS PENDING",IF(S611&lt;='Calibrare_Linii'!E9,"PASS",IF(S611&lt;='Calibrare_Linii'!F9,"PENALTY","WATCH"))))))</x:f>
      </x:c>
      <x:c r="X611" s="2" t="str">
        <x:f>IF(M611="","",IF(AND(AND(J611="PASS",'Calibrare_Linii'!U9="VALID"),'Motor_Meciuri'!K49=12,'Motor_Meciuri'!L49=12,'Motor_Meciuri'!M49="NO",'Motor_Meciuri'!BL49='Motor_Meciuri'!C49,AB611&gt;='Config_v6'!$B$50,AN611&gt;='Config_v6'!$B$51,T611&lt;='Config_v6'!$B$52,L611&lt;='Config_v6'!$B$53,ISNUMBER('Calibrare_Linii'!E9),S611&lt;='Calibrare_Linii'!E9,SUM(AK611:AM611)&gt;0),"CANDIDATE","NO"))</x:f>
      </x:c>
      <x:c r="Y611" s="2" t="str">
        <x:f>IF(B611="","",IF(I611&lt;&gt;"READY","NOT RELEASED",IF(AND(X611="CANDIDATE",V611&gt;='Config_v6'!$B$51,W611="PASS",'Calibrare_Linii'!T9="VALIDATED",AND('Calibrare_Linii'!H9=C611,ISNUMBER('Calibrare_Linii'!J9),'Calibrare_Linii'!J9&lt;='Input_Meci'!G49)),"PASS",IF(X611="CANDIDATE","OOS PENDING","FAIL"))))</x:f>
      </x:c>
      <x:c r="Z611" s="2" t="str">
        <x:f>IF(B611="","",IF(I611&lt;&gt;"READY","",IF(OR(NOT(AND(J611="PASS",'Calibrare_Linii'!U9="VALID")),L611&gt;'Config_v6'!$B$13,W611="WATCH"),5,IF(Y611="PASS",1,MIN(5,MAX('Config_v6'!$B$42,U611)+IF(W611="PENALTY",1,0))))))</x:f>
      </x:c>
      <x:c r="AA611" s="2" t="str">
        <x:f>IF(B611="","",IF(I611&lt;&gt;"READY","NOT RELEASED",IF(Z611=5,"NO BET",IF(OR(AB611&lt;'Config_v6'!$B$16,V611&lt;'Config_v6'!$B$18),"WATCH",IF(Z611=1,"DEFENSIV",IF(Z611=2,"PRUDENT",IF(Z611=3,"MODERAT","RIDICAT")))))))</x:f>
      </x:c>
      <x:c r="AB611" s="10" t="str">
        <x:f>IF(N611="","",MIN(N611,1-S611))</x:f>
      </x:c>
      <x:c r="AC611" s="2" t="str">
        <x:f>IF(AD611&lt;&gt;1,"",COUNTIFS($Z$608:$Z$621,"&lt;"&amp;Z611,$AD$608:$AD$621,1)+COUNTIFS($Z$608:$Z$621,Z611,$AB$608:$AB$621,"&gt;"&amp;AB611,$AD$608:$AD$621,1)+COUNTIFS($Z$608:$Z$621,Z611,$AB$608:$AB$621,AB611,$V$608:$V$621,"&gt;"&amp;V611,$AD$608:$AD$621,1)+COUNTIFS($Z$608:Z611,Z611,$AB$608:AB611,AB611,$V$608:V611,V611,$AD$608:AD611,1))</x:f>
      </x:c>
      <x:c r="AD611" s="2" t="n">
        <x:f>IF(OR(AA611="DEFENSIV",AA611="PRUDENT",AA611="MODERAT",AA611="RIDICAT"),1,0)</x:f>
        <x:v>0</x:v>
      </x:c>
      <x:c r="AE611" s="2" t="str">
        <x:f>IF(AD611&lt;&gt;1,"NO",IF(W611="PASS","YES",IF(W611="OOS PENDING","CONDITIONAL","NO")))</x:f>
        <x:v>NO</x:v>
      </x:c>
      <x:c r="AF611" s="2" t="n">
        <x:f>IF(AND(AD611=1,AC611=1,E611="LIVE"),1,0)</x:f>
        <x:v>0</x:v>
      </x:c>
      <x:c r="AG611" s="2" t="str">
        <x:f>IF(AF611&lt;&gt;1,"",'Dashboard'!P69)</x:f>
      </x:c>
      <x:c r="AH611" s="2" t="str">
        <x:f>IF(B611="","",IF(J611&lt;&gt;"PASS",'Motor_Meciuri'!J49,IF('Calibrare_Linii'!U9&lt;&gt;"VALID","Parametri linie invalizi",IF(L611&gt;'Config_v6'!$B$13,"Dispersie peste limita",IF(W611="WATCH","Failure peste limita",IF(AB611&lt;'Config_v6'!$B$16,"P finala sub prag",IF(V611&lt;'Config_v6'!$B$18,"Confidence sub prag",IF(E611="REPLAY","Exemplu retrospectiv; exclus din Top LIVE",IF(Y611="PASS","DEFENSIV validat",IF(W611="OOS PENDING","Eligibil; calibrare linie in monitorizare","Eligibil"))))))))))</x:f>
      </x:c>
      <x:c r="AI611" s="2" t="str">
        <x:f>IF(B611="","",'Calibrare_Linii'!V9)</x:f>
      </x:c>
      <x:c r="AJ611" s="2" t="str">
        <x:f>IF(B611="","",IF(AND('Calibrare_Linii'!T9="VALIDATED",AND('Calibrare_Linii'!H9=C611,ISNUMBER('Calibrare_Linii'!J9),'Calibrare_Linii'!J9&lt;='Input_Meci'!G49)),"DEFENSIVE VALIDATED",IF(AND('Calibrare_Linii'!S9="VALIDATED",AND('Calibrare_Linii'!H9=C611,ISNUMBER('Calibrare_Linii'!J9),'Calibrare_Linii'!J9&lt;='Input_Meci'!G49)),"TAIL VALIDATED","OOS PENDING")))</x:f>
      </x:c>
      <x:c r="AK611" s="2" t="n">
        <x:f>IF(J611&lt;&gt;"PASS",0,'Motor_Meciuri'!BR49)</x:f>
        <x:v>0</x:v>
      </x:c>
      <x:c r="AL611" s="2" t="n">
        <x:f>IF(J611&lt;&gt;"PASS",0,'Motor_Meciuri'!BS49)</x:f>
        <x:v>0</x:v>
      </x:c>
      <x:c r="AM611" s="2" t="n">
        <x:f>IF(J611&lt;&gt;"PASS",0,'Motor_Meciuri'!BT49)</x:f>
        <x:v>0</x:v>
      </x:c>
      <x:c r="AN611" s="2" t="str">
        <x:f>IF(M611="","",MAX(0,'Motor_Meciuri'!BF49-IF(L611&gt;'Config_v6'!$B$12,'Config_v6'!$B$37,IF(L611&gt;'Config_v6'!$B$11,'Config_v6'!$B$36,0))))</x:f>
      </x:c>
    </x:row>
    <x:row r="612" ht="21" customHeight="1">
      <x:c r="A612" s="2" t="n">
        <x:v>44</x:v>
      </x:c>
      <x:c r="B612" s="2" t="str">
        <x:f>IF('Motor_Meciuri'!A49="","",'Motor_Meciuri'!A49)</x:f>
      </x:c>
      <x:c r="C612" s="2" t="str">
        <x:f>IF(B612="","",'Motor_Meciuri'!B49)</x:f>
      </x:c>
      <x:c r="D612" s="2" t="str">
        <x:f>IF(B612="","",'Motor_Meciuri'!D49)</x:f>
      </x:c>
      <x:c r="E612" s="2" t="str">
        <x:f>IF(B612="","",'Motor_Meciuri'!E49)</x:f>
      </x:c>
      <x:c r="F612" s="2" t="str">
        <x:v>O7,5</x:v>
      </x:c>
      <x:c r="G612" s="2" t="str">
        <x:v>OVER</x:v>
      </x:c>
      <x:c r="H612" s="2" t="n">
        <x:v>7</x:v>
      </x:c>
      <x:c r="I612" s="2" t="str">
        <x:f>IF(B612="","",'Motor_Meciuri'!H49)</x:f>
      </x:c>
      <x:c r="J612" s="2" t="str">
        <x:f>IF(B612="","",'Motor_Meciuri'!I49)</x:f>
      </x:c>
      <x:c r="K612" s="11" t="str">
        <x:f>IF(J612&lt;&gt;"PASS","",'Motor_Meciuri'!BD49)</x:f>
      </x:c>
      <x:c r="L612" s="11" t="str">
        <x:f>IF(J612&lt;&gt;"PASS","",'Motor_Meciuri'!AU49)</x:f>
      </x:c>
      <x:c r="M612" s="10" t="str">
        <x:f>IF(NOT(AND(J612="PASS",'Calibrare_Linii'!U10="VALID")),"",1-'Distributie'!AE49)</x:f>
      </x:c>
      <x:c r="N612" s="10" t="str">
        <x:f>IF(M612="","",MAX(0.01,MIN(0.99,0.5+(M612-0.5)*'Motor_Meciuri'!BG49*'Calibrare_Linii'!D10)))</x:f>
      </x:c>
      <x:c r="O612" s="10" t="str">
        <x:f>IF(M612="","",1-M612)</x:f>
      </x:c>
      <x:c r="P612" s="10" t="str">
        <x:f>IF(OR(NOT(AND(J612="PASS",'Calibrare_Linii'!U10="VALID")),AK612=0),""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*('Istoric_Nativ'!$Q$6:$Q$405&lt;=H612))/AK612)</x:f>
      </x:c>
      <x:c r="Q612" s="10" t="str">
        <x:f>IF(OR(NOT(AND(J612="PASS",'Calibrare_Linii'!U10="VALID")),AL612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M49)+((('Istoric_Nativ'!$E$6:$E$405='Input_Meci'!E49)+('Istoric_Nativ'!$F$6:$F$405='Input_Meci'!E49))&gt;0)*('Istoric_Nativ'!$D$6:$D$405&gt;='Motor_Meciuri'!BN49))&gt;0)*('Istoric_Nativ'!$Q$6:$Q$405&lt;=H612))/AL612)</x:f>
      </x:c>
      <x:c r="R612" s="10" t="str">
        <x:f>IF(OR(NOT(AND(J612="PASS",'Calibrare_Linii'!U10="VALID")),AM612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O49)+((('Istoric_Nativ'!$E$6:$E$405='Input_Meci'!E49)+('Istoric_Nativ'!$F$6:$F$405='Input_Meci'!E49))&gt;0)*('Istoric_Nativ'!$D$6:$D$405&gt;='Motor_Meciuri'!BP49))&gt;0)*('Istoric_Nativ'!$Q$6:$Q$405&lt;=H612))/AM612)</x:f>
      </x:c>
      <x:c r="S612" s="10" t="str">
        <x:f>IF(M612="","",MAX(O612,P612,Q612,R612))</x:f>
      </x:c>
      <x:c r="T612" s="11" t="str">
        <x:f>IF(M612="","",MIN(100,S612*100*'Config_v6'!$B$44+MIN(100,L612/'Config_v6'!$B$13*100)*'Config_v6'!$B$45+(100-'Motor_Meciuri'!BF49)*'Config_v6'!$B$46+'Motor_Meciuri'!BH49*100*'Config_v6'!$B$47))</x:f>
      </x:c>
      <x:c r="U612" s="2" t="str">
        <x:f>IF(T612="","",IF(T612&lt;=20,1,IF(T612&lt;=40,2,IF(T612&lt;=60,3,IF(T612&lt;=80,4,5)))))</x:f>
      </x:c>
      <x:c r="V612" s="2" t="str">
        <x:f>IF(M612="","",MAX(0,'Motor_Meciuri'!BF49-IF(W612="OOS PENDING",'Config_v6'!$B$35,0)-IF(L612&gt;'Config_v6'!$B$12,'Config_v6'!$B$37,IF(L612&gt;'Config_v6'!$B$11,'Config_v6'!$B$36,0))))</x:f>
      </x:c>
      <x:c r="W612" s="2" t="str">
        <x:f>IF(B612="","",IF(I612&lt;&gt;"READY","NOT RELEASED",IF(NOT(AND(J612="PASS",'Calibrare_Linii'!U10="VALID")),"INVALID",IF(NOT(AND('Calibrare_Linii'!S10="VALIDATED",AND('Calibrare_Linii'!H10=C612,ISNUMBER('Calibrare_Linii'!J10),'Calibrare_Linii'!J10&lt;='Input_Meci'!G49))),"OOS PENDING",IF(S612&lt;='Calibrare_Linii'!E10,"PASS",IF(S612&lt;='Calibrare_Linii'!F10,"PENALTY","WATCH"))))))</x:f>
      </x:c>
      <x:c r="X612" s="2" t="str">
        <x:f>IF(M612="","",IF(AND(AND(J612="PASS",'Calibrare_Linii'!U10="VALID"),'Motor_Meciuri'!K49=12,'Motor_Meciuri'!L49=12,'Motor_Meciuri'!M49="NO",'Motor_Meciuri'!BL49='Motor_Meciuri'!C49,AB612&gt;='Config_v6'!$B$50,AN612&gt;='Config_v6'!$B$51,T612&lt;='Config_v6'!$B$52,L612&lt;='Config_v6'!$B$53,ISNUMBER('Calibrare_Linii'!E10),S612&lt;='Calibrare_Linii'!E10,SUM(AK612:AM612)&gt;0),"CANDIDATE","NO"))</x:f>
      </x:c>
      <x:c r="Y612" s="2" t="str">
        <x:f>IF(B612="","",IF(I612&lt;&gt;"READY","NOT RELEASED",IF(AND(X612="CANDIDATE",V612&gt;='Config_v6'!$B$51,W612="PASS",'Calibrare_Linii'!T10="VALIDATED",AND('Calibrare_Linii'!H10=C612,ISNUMBER('Calibrare_Linii'!J10),'Calibrare_Linii'!J10&lt;='Input_Meci'!G49)),"PASS",IF(X612="CANDIDATE","OOS PENDING","FAIL"))))</x:f>
      </x:c>
      <x:c r="Z612" s="2" t="str">
        <x:f>IF(B612="","",IF(I612&lt;&gt;"READY","",IF(OR(NOT(AND(J612="PASS",'Calibrare_Linii'!U10="VALID")),L612&gt;'Config_v6'!$B$13,W612="WATCH"),5,IF(Y612="PASS",1,MIN(5,MAX('Config_v6'!$B$42,U612)+IF(W612="PENALTY",1,0))))))</x:f>
      </x:c>
      <x:c r="AA612" s="2" t="str">
        <x:f>IF(B612="","",IF(I612&lt;&gt;"READY","NOT RELEASED",IF(Z612=5,"NO BET",IF(OR(AB612&lt;'Config_v6'!$B$16,V612&lt;'Config_v6'!$B$18),"WATCH",IF(Z612=1,"DEFENSIV",IF(Z612=2,"PRUDENT",IF(Z612=3,"MODERAT","RIDICAT")))))))</x:f>
      </x:c>
      <x:c r="AB612" s="10" t="str">
        <x:f>IF(N612="","",MIN(N612,1-S612))</x:f>
      </x:c>
      <x:c r="AC612" s="2" t="str">
        <x:f>IF(AD612&lt;&gt;1,"",COUNTIFS($Z$608:$Z$621,"&lt;"&amp;Z612,$AD$608:$AD$621,1)+COUNTIFS($Z$608:$Z$621,Z612,$AB$608:$AB$621,"&gt;"&amp;AB612,$AD$608:$AD$621,1)+COUNTIFS($Z$608:$Z$621,Z612,$AB$608:$AB$621,AB612,$V$608:$V$621,"&gt;"&amp;V612,$AD$608:$AD$621,1)+COUNTIFS($Z$608:Z612,Z612,$AB$608:AB612,AB612,$V$608:V612,V612,$AD$608:AD612,1))</x:f>
      </x:c>
      <x:c r="AD612" s="2" t="n">
        <x:f>IF(OR(AA612="DEFENSIV",AA612="PRUDENT",AA612="MODERAT",AA612="RIDICAT"),1,0)</x:f>
        <x:v>0</x:v>
      </x:c>
      <x:c r="AE612" s="2" t="str">
        <x:f>IF(AD612&lt;&gt;1,"NO",IF(W612="PASS","YES",IF(W612="OOS PENDING","CONDITIONAL","NO")))</x:f>
        <x:v>NO</x:v>
      </x:c>
      <x:c r="AF612" s="2" t="n">
        <x:f>IF(AND(AD612=1,AC612=1,E612="LIVE"),1,0)</x:f>
        <x:v>0</x:v>
      </x:c>
      <x:c r="AG612" s="2" t="str">
        <x:f>IF(AF612&lt;&gt;1,"",'Dashboard'!P69)</x:f>
      </x:c>
      <x:c r="AH612" s="2" t="str">
        <x:f>IF(B612="","",IF(J612&lt;&gt;"PASS",'Motor_Meciuri'!J49,IF('Calibrare_Linii'!U10&lt;&gt;"VALID","Parametri linie invalizi",IF(L612&gt;'Config_v6'!$B$13,"Dispersie peste limita",IF(W612="WATCH","Failure peste limita",IF(AB612&lt;'Config_v6'!$B$16,"P finala sub prag",IF(V612&lt;'Config_v6'!$B$18,"Confidence sub prag",IF(E612="REPLAY","Exemplu retrospectiv; exclus din Top LIVE",IF(Y612="PASS","DEFENSIV validat",IF(W612="OOS PENDING","Eligibil; calibrare linie in monitorizare","Eligibil"))))))))))</x:f>
      </x:c>
      <x:c r="AI612" s="2" t="str">
        <x:f>IF(B612="","",'Calibrare_Linii'!V10)</x:f>
      </x:c>
      <x:c r="AJ612" s="2" t="str">
        <x:f>IF(B612="","",IF(AND('Calibrare_Linii'!T10="VALIDATED",AND('Calibrare_Linii'!H10=C612,ISNUMBER('Calibrare_Linii'!J10),'Calibrare_Linii'!J10&lt;='Input_Meci'!G49)),"DEFENSIVE VALIDATED",IF(AND('Calibrare_Linii'!S10="VALIDATED",AND('Calibrare_Linii'!H10=C612,ISNUMBER('Calibrare_Linii'!J10),'Calibrare_Linii'!J10&lt;='Input_Meci'!G49)),"TAIL VALIDATED","OOS PENDING")))</x:f>
      </x:c>
      <x:c r="AK612" s="2" t="n">
        <x:f>IF(J612&lt;&gt;"PASS",0,'Motor_Meciuri'!BR49)</x:f>
        <x:v>0</x:v>
      </x:c>
      <x:c r="AL612" s="2" t="n">
        <x:f>IF(J612&lt;&gt;"PASS",0,'Motor_Meciuri'!BS49)</x:f>
        <x:v>0</x:v>
      </x:c>
      <x:c r="AM612" s="2" t="n">
        <x:f>IF(J612&lt;&gt;"PASS",0,'Motor_Meciuri'!BT49)</x:f>
        <x:v>0</x:v>
      </x:c>
      <x:c r="AN612" s="2" t="str">
        <x:f>IF(M612="","",MAX(0,'Motor_Meciuri'!BF49-IF(L612&gt;'Config_v6'!$B$12,'Config_v6'!$B$37,IF(L612&gt;'Config_v6'!$B$11,'Config_v6'!$B$36,0))))</x:f>
      </x:c>
    </x:row>
    <x:row r="613" ht="21" customHeight="1">
      <x:c r="A613" s="2" t="n">
        <x:v>44</x:v>
      </x:c>
      <x:c r="B613" s="2" t="str">
        <x:f>IF('Motor_Meciuri'!A49="","",'Motor_Meciuri'!A49)</x:f>
      </x:c>
      <x:c r="C613" s="2" t="str">
        <x:f>IF(B613="","",'Motor_Meciuri'!B49)</x:f>
      </x:c>
      <x:c r="D613" s="2" t="str">
        <x:f>IF(B613="","",'Motor_Meciuri'!D49)</x:f>
      </x:c>
      <x:c r="E613" s="2" t="str">
        <x:f>IF(B613="","",'Motor_Meciuri'!E49)</x:f>
      </x:c>
      <x:c r="F613" s="2" t="str">
        <x:v>O8,5</x:v>
      </x:c>
      <x:c r="G613" s="2" t="str">
        <x:v>OVER</x:v>
      </x:c>
      <x:c r="H613" s="2" t="n">
        <x:v>8</x:v>
      </x:c>
      <x:c r="I613" s="2" t="str">
        <x:f>IF(B613="","",'Motor_Meciuri'!H49)</x:f>
      </x:c>
      <x:c r="J613" s="2" t="str">
        <x:f>IF(B613="","",'Motor_Meciuri'!I49)</x:f>
      </x:c>
      <x:c r="K613" s="11" t="str">
        <x:f>IF(J613&lt;&gt;"PASS","",'Motor_Meciuri'!BD49)</x:f>
      </x:c>
      <x:c r="L613" s="11" t="str">
        <x:f>IF(J613&lt;&gt;"PASS","",'Motor_Meciuri'!AU49)</x:f>
      </x:c>
      <x:c r="M613" s="10" t="str">
        <x:f>IF(NOT(AND(J613="PASS",'Calibrare_Linii'!U11="VALID")),"",1-'Distributie'!AF49)</x:f>
      </x:c>
      <x:c r="N613" s="10" t="str">
        <x:f>IF(M613="","",MAX(0.01,MIN(0.99,0.5+(M613-0.5)*'Motor_Meciuri'!BG49*'Calibrare_Linii'!D11)))</x:f>
      </x:c>
      <x:c r="O613" s="10" t="str">
        <x:f>IF(M613="","",1-M613)</x:f>
      </x:c>
      <x:c r="P613" s="10" t="str">
        <x:f>IF(OR(NOT(AND(J613="PASS",'Calibrare_Linii'!U11="VALID")),AK613=0),""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*('Istoric_Nativ'!$Q$6:$Q$405&lt;=H613))/AK613)</x:f>
      </x:c>
      <x:c r="Q613" s="10" t="str">
        <x:f>IF(OR(NOT(AND(J613="PASS",'Calibrare_Linii'!U11="VALID")),AL613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M49)+((('Istoric_Nativ'!$E$6:$E$405='Input_Meci'!E49)+('Istoric_Nativ'!$F$6:$F$405='Input_Meci'!E49))&gt;0)*('Istoric_Nativ'!$D$6:$D$405&gt;='Motor_Meciuri'!BN49))&gt;0)*('Istoric_Nativ'!$Q$6:$Q$405&lt;=H613))/AL613)</x:f>
      </x:c>
      <x:c r="R613" s="10" t="str">
        <x:f>IF(OR(NOT(AND(J613="PASS",'Calibrare_Linii'!U11="VALID")),AM613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O49)+((('Istoric_Nativ'!$E$6:$E$405='Input_Meci'!E49)+('Istoric_Nativ'!$F$6:$F$405='Input_Meci'!E49))&gt;0)*('Istoric_Nativ'!$D$6:$D$405&gt;='Motor_Meciuri'!BP49))&gt;0)*('Istoric_Nativ'!$Q$6:$Q$405&lt;=H613))/AM613)</x:f>
      </x:c>
      <x:c r="S613" s="10" t="str">
        <x:f>IF(M613="","",MAX(O613,P613,Q613,R613))</x:f>
      </x:c>
      <x:c r="T613" s="11" t="str">
        <x:f>IF(M613="","",MIN(100,S613*100*'Config_v6'!$B$44+MIN(100,L613/'Config_v6'!$B$13*100)*'Config_v6'!$B$45+(100-'Motor_Meciuri'!BF49)*'Config_v6'!$B$46+'Motor_Meciuri'!BH49*100*'Config_v6'!$B$47))</x:f>
      </x:c>
      <x:c r="U613" s="2" t="str">
        <x:f>IF(T613="","",IF(T613&lt;=20,1,IF(T613&lt;=40,2,IF(T613&lt;=60,3,IF(T613&lt;=80,4,5)))))</x:f>
      </x:c>
      <x:c r="V613" s="2" t="str">
        <x:f>IF(M613="","",MAX(0,'Motor_Meciuri'!BF49-IF(W613="OOS PENDING",'Config_v6'!$B$35,0)-IF(L613&gt;'Config_v6'!$B$12,'Config_v6'!$B$37,IF(L613&gt;'Config_v6'!$B$11,'Config_v6'!$B$36,0))))</x:f>
      </x:c>
      <x:c r="W613" s="2" t="str">
        <x:f>IF(B613="","",IF(I613&lt;&gt;"READY","NOT RELEASED",IF(NOT(AND(J613="PASS",'Calibrare_Linii'!U11="VALID")),"INVALID",IF(NOT(AND('Calibrare_Linii'!S11="VALIDATED",AND('Calibrare_Linii'!H11=C613,ISNUMBER('Calibrare_Linii'!J11),'Calibrare_Linii'!J11&lt;='Input_Meci'!G49))),"OOS PENDING",IF(S613&lt;='Calibrare_Linii'!E11,"PASS",IF(S613&lt;='Calibrare_Linii'!F11,"PENALTY","WATCH"))))))</x:f>
      </x:c>
      <x:c r="X613" s="2" t="str">
        <x:f>IF(M613="","",IF(AND(AND(J613="PASS",'Calibrare_Linii'!U11="VALID"),'Motor_Meciuri'!K49=12,'Motor_Meciuri'!L49=12,'Motor_Meciuri'!M49="NO",'Motor_Meciuri'!BL49='Motor_Meciuri'!C49,AB613&gt;='Config_v6'!$B$50,AN613&gt;='Config_v6'!$B$51,T613&lt;='Config_v6'!$B$52,L613&lt;='Config_v6'!$B$53,ISNUMBER('Calibrare_Linii'!E11),S613&lt;='Calibrare_Linii'!E11,SUM(AK613:AM613)&gt;0),"CANDIDATE","NO"))</x:f>
      </x:c>
      <x:c r="Y613" s="2" t="str">
        <x:f>IF(B613="","",IF(I613&lt;&gt;"READY","NOT RELEASED",IF(AND(X613="CANDIDATE",V613&gt;='Config_v6'!$B$51,W613="PASS",'Calibrare_Linii'!T11="VALIDATED",AND('Calibrare_Linii'!H11=C613,ISNUMBER('Calibrare_Linii'!J11),'Calibrare_Linii'!J11&lt;='Input_Meci'!G49)),"PASS",IF(X613="CANDIDATE","OOS PENDING","FAIL"))))</x:f>
      </x:c>
      <x:c r="Z613" s="2" t="str">
        <x:f>IF(B613="","",IF(I613&lt;&gt;"READY","",IF(OR(NOT(AND(J613="PASS",'Calibrare_Linii'!U11="VALID")),L613&gt;'Config_v6'!$B$13,W613="WATCH"),5,IF(Y613="PASS",1,MIN(5,MAX('Config_v6'!$B$42,U613)+IF(W613="PENALTY",1,0))))))</x:f>
      </x:c>
      <x:c r="AA613" s="2" t="str">
        <x:f>IF(B613="","",IF(I613&lt;&gt;"READY","NOT RELEASED",IF(Z613=5,"NO BET",IF(OR(AB613&lt;'Config_v6'!$B$16,V613&lt;'Config_v6'!$B$18),"WATCH",IF(Z613=1,"DEFENSIV",IF(Z613=2,"PRUDENT",IF(Z613=3,"MODERAT","RIDICAT")))))))</x:f>
      </x:c>
      <x:c r="AB613" s="10" t="str">
        <x:f>IF(N613="","",MIN(N613,1-S613))</x:f>
      </x:c>
      <x:c r="AC613" s="2" t="str">
        <x:f>IF(AD613&lt;&gt;1,"",COUNTIFS($Z$608:$Z$621,"&lt;"&amp;Z613,$AD$608:$AD$621,1)+COUNTIFS($Z$608:$Z$621,Z613,$AB$608:$AB$621,"&gt;"&amp;AB613,$AD$608:$AD$621,1)+COUNTIFS($Z$608:$Z$621,Z613,$AB$608:$AB$621,AB613,$V$608:$V$621,"&gt;"&amp;V613,$AD$608:$AD$621,1)+COUNTIFS($Z$608:Z613,Z613,$AB$608:AB613,AB613,$V$608:V613,V613,$AD$608:AD613,1))</x:f>
      </x:c>
      <x:c r="AD613" s="2" t="n">
        <x:f>IF(OR(AA613="DEFENSIV",AA613="PRUDENT",AA613="MODERAT",AA613="RIDICAT"),1,0)</x:f>
        <x:v>0</x:v>
      </x:c>
      <x:c r="AE613" s="2" t="str">
        <x:f>IF(AD613&lt;&gt;1,"NO",IF(W613="PASS","YES",IF(W613="OOS PENDING","CONDITIONAL","NO")))</x:f>
        <x:v>NO</x:v>
      </x:c>
      <x:c r="AF613" s="2" t="n">
        <x:f>IF(AND(AD613=1,AC613=1,E613="LIVE"),1,0)</x:f>
        <x:v>0</x:v>
      </x:c>
      <x:c r="AG613" s="2" t="str">
        <x:f>IF(AF613&lt;&gt;1,"",'Dashboard'!P69)</x:f>
      </x:c>
      <x:c r="AH613" s="2" t="str">
        <x:f>IF(B613="","",IF(J613&lt;&gt;"PASS",'Motor_Meciuri'!J49,IF('Calibrare_Linii'!U11&lt;&gt;"VALID","Parametri linie invalizi",IF(L613&gt;'Config_v6'!$B$13,"Dispersie peste limita",IF(W613="WATCH","Failure peste limita",IF(AB613&lt;'Config_v6'!$B$16,"P finala sub prag",IF(V613&lt;'Config_v6'!$B$18,"Confidence sub prag",IF(E613="REPLAY","Exemplu retrospectiv; exclus din Top LIVE",IF(Y613="PASS","DEFENSIV validat",IF(W613="OOS PENDING","Eligibil; calibrare linie in monitorizare","Eligibil"))))))))))</x:f>
      </x:c>
      <x:c r="AI613" s="2" t="str">
        <x:f>IF(B613="","",'Calibrare_Linii'!V11)</x:f>
      </x:c>
      <x:c r="AJ613" s="2" t="str">
        <x:f>IF(B613="","",IF(AND('Calibrare_Linii'!T11="VALIDATED",AND('Calibrare_Linii'!H11=C613,ISNUMBER('Calibrare_Linii'!J11),'Calibrare_Linii'!J11&lt;='Input_Meci'!G49)),"DEFENSIVE VALIDATED",IF(AND('Calibrare_Linii'!S11="VALIDATED",AND('Calibrare_Linii'!H11=C613,ISNUMBER('Calibrare_Linii'!J11),'Calibrare_Linii'!J11&lt;='Input_Meci'!G49)),"TAIL VALIDATED","OOS PENDING")))</x:f>
      </x:c>
      <x:c r="AK613" s="2" t="n">
        <x:f>IF(J613&lt;&gt;"PASS",0,'Motor_Meciuri'!BR49)</x:f>
        <x:v>0</x:v>
      </x:c>
      <x:c r="AL613" s="2" t="n">
        <x:f>IF(J613&lt;&gt;"PASS",0,'Motor_Meciuri'!BS49)</x:f>
        <x:v>0</x:v>
      </x:c>
      <x:c r="AM613" s="2" t="n">
        <x:f>IF(J613&lt;&gt;"PASS",0,'Motor_Meciuri'!BT49)</x:f>
        <x:v>0</x:v>
      </x:c>
      <x:c r="AN613" s="2" t="str">
        <x:f>IF(M613="","",MAX(0,'Motor_Meciuri'!BF49-IF(L613&gt;'Config_v6'!$B$12,'Config_v6'!$B$37,IF(L613&gt;'Config_v6'!$B$11,'Config_v6'!$B$36,0))))</x:f>
      </x:c>
    </x:row>
    <x:row r="614" ht="21" customHeight="1">
      <x:c r="A614" s="2" t="n">
        <x:v>44</x:v>
      </x:c>
      <x:c r="B614" s="2" t="str">
        <x:f>IF('Motor_Meciuri'!A49="","",'Motor_Meciuri'!A49)</x:f>
      </x:c>
      <x:c r="C614" s="2" t="str">
        <x:f>IF(B614="","",'Motor_Meciuri'!B49)</x:f>
      </x:c>
      <x:c r="D614" s="2" t="str">
        <x:f>IF(B614="","",'Motor_Meciuri'!D49)</x:f>
      </x:c>
      <x:c r="E614" s="2" t="str">
        <x:f>IF(B614="","",'Motor_Meciuri'!E49)</x:f>
      </x:c>
      <x:c r="F614" s="2" t="str">
        <x:v>U10,5</x:v>
      </x:c>
      <x:c r="G614" s="2" t="str">
        <x:v>UNDER</x:v>
      </x:c>
      <x:c r="H614" s="2" t="n">
        <x:v>10</x:v>
      </x:c>
      <x:c r="I614" s="2" t="str">
        <x:f>IF(B614="","",'Motor_Meciuri'!H49)</x:f>
      </x:c>
      <x:c r="J614" s="2" t="str">
        <x:f>IF(B614="","",'Motor_Meciuri'!I49)</x:f>
      </x:c>
      <x:c r="K614" s="11" t="str">
        <x:f>IF(J614&lt;&gt;"PASS","",'Motor_Meciuri'!BD49)</x:f>
      </x:c>
      <x:c r="L614" s="11" t="str">
        <x:f>IF(J614&lt;&gt;"PASS","",'Motor_Meciuri'!AU49)</x:f>
      </x:c>
      <x:c r="M614" s="10" t="str">
        <x:f>IF(NOT(AND(J614="PASS",'Calibrare_Linii'!U12="VALID")),"",'Distributie'!AH49)</x:f>
      </x:c>
      <x:c r="N614" s="10" t="str">
        <x:f>IF(M614="","",MAX(0.01,MIN(0.99,0.5+(M614-0.5)*'Motor_Meciuri'!BG49*'Calibrare_Linii'!D12)))</x:f>
      </x:c>
      <x:c r="O614" s="10" t="str">
        <x:f>IF(M614="","",1-M614)</x:f>
      </x:c>
      <x:c r="P614" s="10" t="str">
        <x:f>IF(OR(NOT(AND(J614="PASS",'Calibrare_Linii'!U12="VALID")),AK614=0),""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*('Istoric_Nativ'!$Q$6:$Q$405&gt;H614))/AK614)</x:f>
      </x:c>
      <x:c r="Q614" s="10" t="str">
        <x:f>IF(OR(NOT(AND(J614="PASS",'Calibrare_Linii'!U12="VALID")),AL614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M49)+((('Istoric_Nativ'!$E$6:$E$405='Input_Meci'!E49)+('Istoric_Nativ'!$F$6:$F$405='Input_Meci'!E49))&gt;0)*('Istoric_Nativ'!$D$6:$D$405&gt;='Motor_Meciuri'!BN49))&gt;0)*('Istoric_Nativ'!$Q$6:$Q$405&gt;H614))/AL614)</x:f>
      </x:c>
      <x:c r="R614" s="10" t="str">
        <x:f>IF(OR(NOT(AND(J614="PASS",'Calibrare_Linii'!U12="VALID")),AM614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O49)+((('Istoric_Nativ'!$E$6:$E$405='Input_Meci'!E49)+('Istoric_Nativ'!$F$6:$F$405='Input_Meci'!E49))&gt;0)*('Istoric_Nativ'!$D$6:$D$405&gt;='Motor_Meciuri'!BP49))&gt;0)*('Istoric_Nativ'!$Q$6:$Q$405&gt;H614))/AM614)</x:f>
      </x:c>
      <x:c r="S614" s="10" t="str">
        <x:f>IF(M614="","",MAX(O614,P614,Q614,R614))</x:f>
      </x:c>
      <x:c r="T614" s="11" t="str">
        <x:f>IF(M614="","",MIN(100,S614*100*'Config_v6'!$B$44+MIN(100,L614/'Config_v6'!$B$13*100)*'Config_v6'!$B$45+(100-'Motor_Meciuri'!BF49)*'Config_v6'!$B$46+'Motor_Meciuri'!BH49*100*'Config_v6'!$B$47))</x:f>
      </x:c>
      <x:c r="U614" s="2" t="str">
        <x:f>IF(T614="","",IF(T614&lt;=20,1,IF(T614&lt;=40,2,IF(T614&lt;=60,3,IF(T614&lt;=80,4,5)))))</x:f>
      </x:c>
      <x:c r="V614" s="2" t="str">
        <x:f>IF(M614="","",MAX(0,'Motor_Meciuri'!BF49-IF(W614="OOS PENDING",'Config_v6'!$B$35,0)-IF(L614&gt;'Config_v6'!$B$12,'Config_v6'!$B$37,IF(L614&gt;'Config_v6'!$B$11,'Config_v6'!$B$36,0))))</x:f>
      </x:c>
      <x:c r="W614" s="2" t="str">
        <x:f>IF(B614="","",IF(I614&lt;&gt;"READY","NOT RELEASED",IF(NOT(AND(J614="PASS",'Calibrare_Linii'!U12="VALID")),"INVALID",IF(NOT(AND('Calibrare_Linii'!S12="VALIDATED",AND('Calibrare_Linii'!H12=C614,ISNUMBER('Calibrare_Linii'!J12),'Calibrare_Linii'!J12&lt;='Input_Meci'!G49))),"OOS PENDING",IF(S614&lt;='Calibrare_Linii'!E12,"PASS",IF(S614&lt;='Calibrare_Linii'!F12,"PENALTY","WATCH"))))))</x:f>
      </x:c>
      <x:c r="X614" s="2" t="str">
        <x:f>IF(M614="","",IF(AND(AND(J614="PASS",'Calibrare_Linii'!U12="VALID"),'Motor_Meciuri'!K49=12,'Motor_Meciuri'!L49=12,'Motor_Meciuri'!M49="NO",'Motor_Meciuri'!BL49='Motor_Meciuri'!C49,AB614&gt;='Config_v6'!$B$50,AN614&gt;='Config_v6'!$B$51,T614&lt;='Config_v6'!$B$52,L614&lt;='Config_v6'!$B$53,ISNUMBER('Calibrare_Linii'!E12),S614&lt;='Calibrare_Linii'!E12,SUM(AK614:AM614)&gt;0),"CANDIDATE","NO"))</x:f>
      </x:c>
      <x:c r="Y614" s="2" t="str">
        <x:f>IF(B614="","",IF(I614&lt;&gt;"READY","NOT RELEASED",IF(AND(X614="CANDIDATE",V614&gt;='Config_v6'!$B$51,W614="PASS",'Calibrare_Linii'!T12="VALIDATED",AND('Calibrare_Linii'!H12=C614,ISNUMBER('Calibrare_Linii'!J12),'Calibrare_Linii'!J12&lt;='Input_Meci'!G49)),"PASS",IF(X614="CANDIDATE","OOS PENDING","FAIL"))))</x:f>
      </x:c>
      <x:c r="Z614" s="2" t="str">
        <x:f>IF(B614="","",IF(I614&lt;&gt;"READY","",IF(OR(NOT(AND(J614="PASS",'Calibrare_Linii'!U12="VALID")),L614&gt;'Config_v6'!$B$13,W614="WATCH"),5,IF(Y614="PASS",1,MIN(5,MAX('Config_v6'!$B$42,U614)+IF(W614="PENALTY",1,0))))))</x:f>
      </x:c>
      <x:c r="AA614" s="2" t="str">
        <x:f>IF(B614="","",IF(I614&lt;&gt;"READY","NOT RELEASED",IF(Z614=5,"NO BET",IF(OR(AB614&lt;'Config_v6'!$B$16,V614&lt;'Config_v6'!$B$18),"WATCH",IF(Z614=1,"DEFENSIV",IF(Z614=2,"PRUDENT",IF(Z614=3,"MODERAT","RIDICAT")))))))</x:f>
      </x:c>
      <x:c r="AB614" s="10" t="str">
        <x:f>IF(N614="","",MIN(N614,1-S614))</x:f>
      </x:c>
      <x:c r="AC614" s="2" t="str">
        <x:f>IF(AD614&lt;&gt;1,"",COUNTIFS($Z$608:$Z$621,"&lt;"&amp;Z614,$AD$608:$AD$621,1)+COUNTIFS($Z$608:$Z$621,Z614,$AB$608:$AB$621,"&gt;"&amp;AB614,$AD$608:$AD$621,1)+COUNTIFS($Z$608:$Z$621,Z614,$AB$608:$AB$621,AB614,$V$608:$V$621,"&gt;"&amp;V614,$AD$608:$AD$621,1)+COUNTIFS($Z$608:Z614,Z614,$AB$608:AB614,AB614,$V$608:V614,V614,$AD$608:AD614,1))</x:f>
      </x:c>
      <x:c r="AD614" s="2" t="n">
        <x:f>IF(OR(AA614="DEFENSIV",AA614="PRUDENT",AA614="MODERAT",AA614="RIDICAT"),1,0)</x:f>
        <x:v>0</x:v>
      </x:c>
      <x:c r="AE614" s="2" t="str">
        <x:f>IF(AD614&lt;&gt;1,"NO",IF(W614="PASS","YES",IF(W614="OOS PENDING","CONDITIONAL","NO")))</x:f>
        <x:v>NO</x:v>
      </x:c>
      <x:c r="AF614" s="2" t="n">
        <x:f>IF(AND(AD614=1,AC614=1,E614="LIVE"),1,0)</x:f>
        <x:v>0</x:v>
      </x:c>
      <x:c r="AG614" s="2" t="str">
        <x:f>IF(AF614&lt;&gt;1,"",'Dashboard'!P69)</x:f>
      </x:c>
      <x:c r="AH614" s="2" t="str">
        <x:f>IF(B614="","",IF(J614&lt;&gt;"PASS",'Motor_Meciuri'!J49,IF('Calibrare_Linii'!U12&lt;&gt;"VALID","Parametri linie invalizi",IF(L614&gt;'Config_v6'!$B$13,"Dispersie peste limita",IF(W614="WATCH","Failure peste limita",IF(AB614&lt;'Config_v6'!$B$16,"P finala sub prag",IF(V614&lt;'Config_v6'!$B$18,"Confidence sub prag",IF(E614="REPLAY","Exemplu retrospectiv; exclus din Top LIVE",IF(Y614="PASS","DEFENSIV validat",IF(W614="OOS PENDING","Eligibil; calibrare linie in monitorizare","Eligibil"))))))))))</x:f>
      </x:c>
      <x:c r="AI614" s="2" t="str">
        <x:f>IF(B614="","",'Calibrare_Linii'!V12)</x:f>
      </x:c>
      <x:c r="AJ614" s="2" t="str">
        <x:f>IF(B614="","",IF(AND('Calibrare_Linii'!T12="VALIDATED",AND('Calibrare_Linii'!H12=C614,ISNUMBER('Calibrare_Linii'!J12),'Calibrare_Linii'!J12&lt;='Input_Meci'!G49)),"DEFENSIVE VALIDATED",IF(AND('Calibrare_Linii'!S12="VALIDATED",AND('Calibrare_Linii'!H12=C614,ISNUMBER('Calibrare_Linii'!J12),'Calibrare_Linii'!J12&lt;='Input_Meci'!G49)),"TAIL VALIDATED","OOS PENDING")))</x:f>
      </x:c>
      <x:c r="AK614" s="2" t="n">
        <x:f>IF(J614&lt;&gt;"PASS",0,'Motor_Meciuri'!BR49)</x:f>
        <x:v>0</x:v>
      </x:c>
      <x:c r="AL614" s="2" t="n">
        <x:f>IF(J614&lt;&gt;"PASS",0,'Motor_Meciuri'!BS49)</x:f>
        <x:v>0</x:v>
      </x:c>
      <x:c r="AM614" s="2" t="n">
        <x:f>IF(J614&lt;&gt;"PASS",0,'Motor_Meciuri'!BT49)</x:f>
        <x:v>0</x:v>
      </x:c>
      <x:c r="AN614" s="2" t="str">
        <x:f>IF(M614="","",MAX(0,'Motor_Meciuri'!BF49-IF(L614&gt;'Config_v6'!$B$12,'Config_v6'!$B$37,IF(L614&gt;'Config_v6'!$B$11,'Config_v6'!$B$36,0))))</x:f>
      </x:c>
    </x:row>
    <x:row r="615" ht="21" customHeight="1">
      <x:c r="A615" s="2" t="n">
        <x:v>44</x:v>
      </x:c>
      <x:c r="B615" s="2" t="str">
        <x:f>IF('Motor_Meciuri'!A49="","",'Motor_Meciuri'!A49)</x:f>
      </x:c>
      <x:c r="C615" s="2" t="str">
        <x:f>IF(B615="","",'Motor_Meciuri'!B49)</x:f>
      </x:c>
      <x:c r="D615" s="2" t="str">
        <x:f>IF(B615="","",'Motor_Meciuri'!D49)</x:f>
      </x:c>
      <x:c r="E615" s="2" t="str">
        <x:f>IF(B615="","",'Motor_Meciuri'!E49)</x:f>
      </x:c>
      <x:c r="F615" s="2" t="str">
        <x:v>U11,5</x:v>
      </x:c>
      <x:c r="G615" s="2" t="str">
        <x:v>UNDER</x:v>
      </x:c>
      <x:c r="H615" s="2" t="n">
        <x:v>11</x:v>
      </x:c>
      <x:c r="I615" s="2" t="str">
        <x:f>IF(B615="","",'Motor_Meciuri'!H49)</x:f>
      </x:c>
      <x:c r="J615" s="2" t="str">
        <x:f>IF(B615="","",'Motor_Meciuri'!I49)</x:f>
      </x:c>
      <x:c r="K615" s="11" t="str">
        <x:f>IF(J615&lt;&gt;"PASS","",'Motor_Meciuri'!BD49)</x:f>
      </x:c>
      <x:c r="L615" s="11" t="str">
        <x:f>IF(J615&lt;&gt;"PASS","",'Motor_Meciuri'!AU49)</x:f>
      </x:c>
      <x:c r="M615" s="10" t="str">
        <x:f>IF(NOT(AND(J615="PASS",'Calibrare_Linii'!U13="VALID")),"",'Distributie'!AI49)</x:f>
      </x:c>
      <x:c r="N615" s="10" t="str">
        <x:f>IF(M615="","",MAX(0.01,MIN(0.99,0.5+(M615-0.5)*'Motor_Meciuri'!BG49*'Calibrare_Linii'!D13)))</x:f>
      </x:c>
      <x:c r="O615" s="10" t="str">
        <x:f>IF(M615="","",1-M615)</x:f>
      </x:c>
      <x:c r="P615" s="10" t="str">
        <x:f>IF(OR(NOT(AND(J615="PASS",'Calibrare_Linii'!U13="VALID")),AK615=0),""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*('Istoric_Nativ'!$Q$6:$Q$405&gt;H615))/AK615)</x:f>
      </x:c>
      <x:c r="Q615" s="10" t="str">
        <x:f>IF(OR(NOT(AND(J615="PASS",'Calibrare_Linii'!U13="VALID")),AL615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M49)+((('Istoric_Nativ'!$E$6:$E$405='Input_Meci'!E49)+('Istoric_Nativ'!$F$6:$F$405='Input_Meci'!E49))&gt;0)*('Istoric_Nativ'!$D$6:$D$405&gt;='Motor_Meciuri'!BN49))&gt;0)*('Istoric_Nativ'!$Q$6:$Q$405&gt;H615))/AL615)</x:f>
      </x:c>
      <x:c r="R615" s="10" t="str">
        <x:f>IF(OR(NOT(AND(J615="PASS",'Calibrare_Linii'!U13="VALID")),AM615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O49)+((('Istoric_Nativ'!$E$6:$E$405='Input_Meci'!E49)+('Istoric_Nativ'!$F$6:$F$405='Input_Meci'!E49))&gt;0)*('Istoric_Nativ'!$D$6:$D$405&gt;='Motor_Meciuri'!BP49))&gt;0)*('Istoric_Nativ'!$Q$6:$Q$405&gt;H615))/AM615)</x:f>
      </x:c>
      <x:c r="S615" s="10" t="str">
        <x:f>IF(M615="","",MAX(O615,P615,Q615,R615))</x:f>
      </x:c>
      <x:c r="T615" s="11" t="str">
        <x:f>IF(M615="","",MIN(100,S615*100*'Config_v6'!$B$44+MIN(100,L615/'Config_v6'!$B$13*100)*'Config_v6'!$B$45+(100-'Motor_Meciuri'!BF49)*'Config_v6'!$B$46+'Motor_Meciuri'!BH49*100*'Config_v6'!$B$47))</x:f>
      </x:c>
      <x:c r="U615" s="2" t="str">
        <x:f>IF(T615="","",IF(T615&lt;=20,1,IF(T615&lt;=40,2,IF(T615&lt;=60,3,IF(T615&lt;=80,4,5)))))</x:f>
      </x:c>
      <x:c r="V615" s="2" t="str">
        <x:f>IF(M615="","",MAX(0,'Motor_Meciuri'!BF49-IF(W615="OOS PENDING",'Config_v6'!$B$35,0)-IF(L615&gt;'Config_v6'!$B$12,'Config_v6'!$B$37,IF(L615&gt;'Config_v6'!$B$11,'Config_v6'!$B$36,0))))</x:f>
      </x:c>
      <x:c r="W615" s="2" t="str">
        <x:f>IF(B615="","",IF(I615&lt;&gt;"READY","NOT RELEASED",IF(NOT(AND(J615="PASS",'Calibrare_Linii'!U13="VALID")),"INVALID",IF(NOT(AND('Calibrare_Linii'!S13="VALIDATED",AND('Calibrare_Linii'!H13=C615,ISNUMBER('Calibrare_Linii'!J13),'Calibrare_Linii'!J13&lt;='Input_Meci'!G49))),"OOS PENDING",IF(S615&lt;='Calibrare_Linii'!E13,"PASS",IF(S615&lt;='Calibrare_Linii'!F13,"PENALTY","WATCH"))))))</x:f>
      </x:c>
      <x:c r="X615" s="2" t="str">
        <x:f>IF(M615="","",IF(AND(AND(J615="PASS",'Calibrare_Linii'!U13="VALID"),'Motor_Meciuri'!K49=12,'Motor_Meciuri'!L49=12,'Motor_Meciuri'!M49="NO",'Motor_Meciuri'!BL49='Motor_Meciuri'!C49,AB615&gt;='Config_v6'!$B$50,AN615&gt;='Config_v6'!$B$51,T615&lt;='Config_v6'!$B$52,L615&lt;='Config_v6'!$B$53,ISNUMBER('Calibrare_Linii'!E13),S615&lt;='Calibrare_Linii'!E13,SUM(AK615:AM615)&gt;0),"CANDIDATE","NO"))</x:f>
      </x:c>
      <x:c r="Y615" s="2" t="str">
        <x:f>IF(B615="","",IF(I615&lt;&gt;"READY","NOT RELEASED",IF(AND(X615="CANDIDATE",V615&gt;='Config_v6'!$B$51,W615="PASS",'Calibrare_Linii'!T13="VALIDATED",AND('Calibrare_Linii'!H13=C615,ISNUMBER('Calibrare_Linii'!J13),'Calibrare_Linii'!J13&lt;='Input_Meci'!G49)),"PASS",IF(X615="CANDIDATE","OOS PENDING","FAIL"))))</x:f>
      </x:c>
      <x:c r="Z615" s="2" t="str">
        <x:f>IF(B615="","",IF(I615&lt;&gt;"READY","",IF(OR(NOT(AND(J615="PASS",'Calibrare_Linii'!U13="VALID")),L615&gt;'Config_v6'!$B$13,W615="WATCH"),5,IF(Y615="PASS",1,MIN(5,MAX('Config_v6'!$B$42,U615)+IF(W615="PENALTY",1,0))))))</x:f>
      </x:c>
      <x:c r="AA615" s="2" t="str">
        <x:f>IF(B615="","",IF(I615&lt;&gt;"READY","NOT RELEASED",IF(Z615=5,"NO BET",IF(OR(AB615&lt;'Config_v6'!$B$16,V615&lt;'Config_v6'!$B$18),"WATCH",IF(Z615=1,"DEFENSIV",IF(Z615=2,"PRUDENT",IF(Z615=3,"MODERAT","RIDICAT")))))))</x:f>
      </x:c>
      <x:c r="AB615" s="10" t="str">
        <x:f>IF(N615="","",MIN(N615,1-S615))</x:f>
      </x:c>
      <x:c r="AC615" s="2" t="str">
        <x:f>IF(AD615&lt;&gt;1,"",COUNTIFS($Z$608:$Z$621,"&lt;"&amp;Z615,$AD$608:$AD$621,1)+COUNTIFS($Z$608:$Z$621,Z615,$AB$608:$AB$621,"&gt;"&amp;AB615,$AD$608:$AD$621,1)+COUNTIFS($Z$608:$Z$621,Z615,$AB$608:$AB$621,AB615,$V$608:$V$621,"&gt;"&amp;V615,$AD$608:$AD$621,1)+COUNTIFS($Z$608:Z615,Z615,$AB$608:AB615,AB615,$V$608:V615,V615,$AD$608:AD615,1))</x:f>
      </x:c>
      <x:c r="AD615" s="2" t="n">
        <x:f>IF(OR(AA615="DEFENSIV",AA615="PRUDENT",AA615="MODERAT",AA615="RIDICAT"),1,0)</x:f>
        <x:v>0</x:v>
      </x:c>
      <x:c r="AE615" s="2" t="str">
        <x:f>IF(AD615&lt;&gt;1,"NO",IF(W615="PASS","YES",IF(W615="OOS PENDING","CONDITIONAL","NO")))</x:f>
        <x:v>NO</x:v>
      </x:c>
      <x:c r="AF615" s="2" t="n">
        <x:f>IF(AND(AD615=1,AC615=1,E615="LIVE"),1,0)</x:f>
        <x:v>0</x:v>
      </x:c>
      <x:c r="AG615" s="2" t="str">
        <x:f>IF(AF615&lt;&gt;1,"",'Dashboard'!P69)</x:f>
      </x:c>
      <x:c r="AH615" s="2" t="str">
        <x:f>IF(B615="","",IF(J615&lt;&gt;"PASS",'Motor_Meciuri'!J49,IF('Calibrare_Linii'!U13&lt;&gt;"VALID","Parametri linie invalizi",IF(L615&gt;'Config_v6'!$B$13,"Dispersie peste limita",IF(W615="WATCH","Failure peste limita",IF(AB615&lt;'Config_v6'!$B$16,"P finala sub prag",IF(V615&lt;'Config_v6'!$B$18,"Confidence sub prag",IF(E615="REPLAY","Exemplu retrospectiv; exclus din Top LIVE",IF(Y615="PASS","DEFENSIV validat",IF(W615="OOS PENDING","Eligibil; calibrare linie in monitorizare","Eligibil"))))))))))</x:f>
      </x:c>
      <x:c r="AI615" s="2" t="str">
        <x:f>IF(B615="","",'Calibrare_Linii'!V13)</x:f>
      </x:c>
      <x:c r="AJ615" s="2" t="str">
        <x:f>IF(B615="","",IF(AND('Calibrare_Linii'!T13="VALIDATED",AND('Calibrare_Linii'!H13=C615,ISNUMBER('Calibrare_Linii'!J13),'Calibrare_Linii'!J13&lt;='Input_Meci'!G49)),"DEFENSIVE VALIDATED",IF(AND('Calibrare_Linii'!S13="VALIDATED",AND('Calibrare_Linii'!H13=C615,ISNUMBER('Calibrare_Linii'!J13),'Calibrare_Linii'!J13&lt;='Input_Meci'!G49)),"TAIL VALIDATED","OOS PENDING")))</x:f>
      </x:c>
      <x:c r="AK615" s="2" t="n">
        <x:f>IF(J615&lt;&gt;"PASS",0,'Motor_Meciuri'!BR49)</x:f>
        <x:v>0</x:v>
      </x:c>
      <x:c r="AL615" s="2" t="n">
        <x:f>IF(J615&lt;&gt;"PASS",0,'Motor_Meciuri'!BS49)</x:f>
        <x:v>0</x:v>
      </x:c>
      <x:c r="AM615" s="2" t="n">
        <x:f>IF(J615&lt;&gt;"PASS",0,'Motor_Meciuri'!BT49)</x:f>
        <x:v>0</x:v>
      </x:c>
      <x:c r="AN615" s="2" t="str">
        <x:f>IF(M615="","",MAX(0,'Motor_Meciuri'!BF49-IF(L615&gt;'Config_v6'!$B$12,'Config_v6'!$B$37,IF(L615&gt;'Config_v6'!$B$11,'Config_v6'!$B$36,0))))</x:f>
      </x:c>
    </x:row>
    <x:row r="616" ht="21" customHeight="1">
      <x:c r="A616" s="2" t="n">
        <x:v>44</x:v>
      </x:c>
      <x:c r="B616" s="2" t="str">
        <x:f>IF('Motor_Meciuri'!A49="","",'Motor_Meciuri'!A49)</x:f>
      </x:c>
      <x:c r="C616" s="2" t="str">
        <x:f>IF(B616="","",'Motor_Meciuri'!B49)</x:f>
      </x:c>
      <x:c r="D616" s="2" t="str">
        <x:f>IF(B616="","",'Motor_Meciuri'!D49)</x:f>
      </x:c>
      <x:c r="E616" s="2" t="str">
        <x:f>IF(B616="","",'Motor_Meciuri'!E49)</x:f>
      </x:c>
      <x:c r="F616" s="2" t="str">
        <x:v>U12,5</x:v>
      </x:c>
      <x:c r="G616" s="2" t="str">
        <x:v>UNDER</x:v>
      </x:c>
      <x:c r="H616" s="2" t="n">
        <x:v>12</x:v>
      </x:c>
      <x:c r="I616" s="2" t="str">
        <x:f>IF(B616="","",'Motor_Meciuri'!H49)</x:f>
      </x:c>
      <x:c r="J616" s="2" t="str">
        <x:f>IF(B616="","",'Motor_Meciuri'!I49)</x:f>
      </x:c>
      <x:c r="K616" s="11" t="str">
        <x:f>IF(J616&lt;&gt;"PASS","",'Motor_Meciuri'!BD49)</x:f>
      </x:c>
      <x:c r="L616" s="11" t="str">
        <x:f>IF(J616&lt;&gt;"PASS","",'Motor_Meciuri'!AU49)</x:f>
      </x:c>
      <x:c r="M616" s="10" t="str">
        <x:f>IF(NOT(AND(J616="PASS",'Calibrare_Linii'!U14="VALID")),"",'Distributie'!AJ49)</x:f>
      </x:c>
      <x:c r="N616" s="10" t="str">
        <x:f>IF(M616="","",MAX(0.01,MIN(0.99,0.5+(M616-0.5)*'Motor_Meciuri'!BG49*'Calibrare_Linii'!D14)))</x:f>
      </x:c>
      <x:c r="O616" s="10" t="str">
        <x:f>IF(M616="","",1-M616)</x:f>
      </x:c>
      <x:c r="P616" s="10" t="str">
        <x:f>IF(OR(NOT(AND(J616="PASS",'Calibrare_Linii'!U14="VALID")),AK616=0),""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*('Istoric_Nativ'!$Q$6:$Q$405&gt;H616))/AK616)</x:f>
      </x:c>
      <x:c r="Q616" s="10" t="str">
        <x:f>IF(OR(NOT(AND(J616="PASS",'Calibrare_Linii'!U14="VALID")),AL616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M49)+((('Istoric_Nativ'!$E$6:$E$405='Input_Meci'!E49)+('Istoric_Nativ'!$F$6:$F$405='Input_Meci'!E49))&gt;0)*('Istoric_Nativ'!$D$6:$D$405&gt;='Motor_Meciuri'!BN49))&gt;0)*('Istoric_Nativ'!$Q$6:$Q$405&gt;H616))/AL616)</x:f>
      </x:c>
      <x:c r="R616" s="10" t="str">
        <x:f>IF(OR(NOT(AND(J616="PASS",'Calibrare_Linii'!U14="VALID")),AM616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O49)+((('Istoric_Nativ'!$E$6:$E$405='Input_Meci'!E49)+('Istoric_Nativ'!$F$6:$F$405='Input_Meci'!E49))&gt;0)*('Istoric_Nativ'!$D$6:$D$405&gt;='Motor_Meciuri'!BP49))&gt;0)*('Istoric_Nativ'!$Q$6:$Q$405&gt;H616))/AM616)</x:f>
      </x:c>
      <x:c r="S616" s="10" t="str">
        <x:f>IF(M616="","",MAX(O616,P616,Q616,R616))</x:f>
      </x:c>
      <x:c r="T616" s="11" t="str">
        <x:f>IF(M616="","",MIN(100,S616*100*'Config_v6'!$B$44+MIN(100,L616/'Config_v6'!$B$13*100)*'Config_v6'!$B$45+(100-'Motor_Meciuri'!BF49)*'Config_v6'!$B$46+'Motor_Meciuri'!BH49*100*'Config_v6'!$B$47))</x:f>
      </x:c>
      <x:c r="U616" s="2" t="str">
        <x:f>IF(T616="","",IF(T616&lt;=20,1,IF(T616&lt;=40,2,IF(T616&lt;=60,3,IF(T616&lt;=80,4,5)))))</x:f>
      </x:c>
      <x:c r="V616" s="2" t="str">
        <x:f>IF(M616="","",MAX(0,'Motor_Meciuri'!BF49-IF(W616="OOS PENDING",'Config_v6'!$B$35,0)-IF(L616&gt;'Config_v6'!$B$12,'Config_v6'!$B$37,IF(L616&gt;'Config_v6'!$B$11,'Config_v6'!$B$36,0))))</x:f>
      </x:c>
      <x:c r="W616" s="2" t="str">
        <x:f>IF(B616="","",IF(I616&lt;&gt;"READY","NOT RELEASED",IF(NOT(AND(J616="PASS",'Calibrare_Linii'!U14="VALID")),"INVALID",IF(NOT(AND('Calibrare_Linii'!S14="VALIDATED",AND('Calibrare_Linii'!H14=C616,ISNUMBER('Calibrare_Linii'!J14),'Calibrare_Linii'!J14&lt;='Input_Meci'!G49))),"OOS PENDING",IF(S616&lt;='Calibrare_Linii'!E14,"PASS",IF(S616&lt;='Calibrare_Linii'!F14,"PENALTY","WATCH"))))))</x:f>
      </x:c>
      <x:c r="X616" s="2" t="str">
        <x:f>IF(M616="","",IF(AND(AND(J616="PASS",'Calibrare_Linii'!U14="VALID"),'Motor_Meciuri'!K49=12,'Motor_Meciuri'!L49=12,'Motor_Meciuri'!M49="NO",'Motor_Meciuri'!BL49='Motor_Meciuri'!C49,AB616&gt;='Config_v6'!$B$50,AN616&gt;='Config_v6'!$B$51,T616&lt;='Config_v6'!$B$52,L616&lt;='Config_v6'!$B$53,ISNUMBER('Calibrare_Linii'!E14),S616&lt;='Calibrare_Linii'!E14,SUM(AK616:AM616)&gt;0),"CANDIDATE","NO"))</x:f>
      </x:c>
      <x:c r="Y616" s="2" t="str">
        <x:f>IF(B616="","",IF(I616&lt;&gt;"READY","NOT RELEASED",IF(AND(X616="CANDIDATE",V616&gt;='Config_v6'!$B$51,W616="PASS",'Calibrare_Linii'!T14="VALIDATED",AND('Calibrare_Linii'!H14=C616,ISNUMBER('Calibrare_Linii'!J14),'Calibrare_Linii'!J14&lt;='Input_Meci'!G49)),"PASS",IF(X616="CANDIDATE","OOS PENDING","FAIL"))))</x:f>
      </x:c>
      <x:c r="Z616" s="2" t="str">
        <x:f>IF(B616="","",IF(I616&lt;&gt;"READY","",IF(OR(NOT(AND(J616="PASS",'Calibrare_Linii'!U14="VALID")),L616&gt;'Config_v6'!$B$13,W616="WATCH"),5,IF(Y616="PASS",1,MIN(5,MAX('Config_v6'!$B$42,U616)+IF(W616="PENALTY",1,0))))))</x:f>
      </x:c>
      <x:c r="AA616" s="2" t="str">
        <x:f>IF(B616="","",IF(I616&lt;&gt;"READY","NOT RELEASED",IF(Z616=5,"NO BET",IF(OR(AB616&lt;'Config_v6'!$B$16,V616&lt;'Config_v6'!$B$18),"WATCH",IF(Z616=1,"DEFENSIV",IF(Z616=2,"PRUDENT",IF(Z616=3,"MODERAT","RIDICAT")))))))</x:f>
      </x:c>
      <x:c r="AB616" s="10" t="str">
        <x:f>IF(N616="","",MIN(N616,1-S616))</x:f>
      </x:c>
      <x:c r="AC616" s="2" t="str">
        <x:f>IF(AD616&lt;&gt;1,"",COUNTIFS($Z$608:$Z$621,"&lt;"&amp;Z616,$AD$608:$AD$621,1)+COUNTIFS($Z$608:$Z$621,Z616,$AB$608:$AB$621,"&gt;"&amp;AB616,$AD$608:$AD$621,1)+COUNTIFS($Z$608:$Z$621,Z616,$AB$608:$AB$621,AB616,$V$608:$V$621,"&gt;"&amp;V616,$AD$608:$AD$621,1)+COUNTIFS($Z$608:Z616,Z616,$AB$608:AB616,AB616,$V$608:V616,V616,$AD$608:AD616,1))</x:f>
      </x:c>
      <x:c r="AD616" s="2" t="n">
        <x:f>IF(OR(AA616="DEFENSIV",AA616="PRUDENT",AA616="MODERAT",AA616="RIDICAT"),1,0)</x:f>
        <x:v>0</x:v>
      </x:c>
      <x:c r="AE616" s="2" t="str">
        <x:f>IF(AD616&lt;&gt;1,"NO",IF(W616="PASS","YES",IF(W616="OOS PENDING","CONDITIONAL","NO")))</x:f>
        <x:v>NO</x:v>
      </x:c>
      <x:c r="AF616" s="2" t="n">
        <x:f>IF(AND(AD616=1,AC616=1,E616="LIVE"),1,0)</x:f>
        <x:v>0</x:v>
      </x:c>
      <x:c r="AG616" s="2" t="str">
        <x:f>IF(AF616&lt;&gt;1,"",'Dashboard'!P69)</x:f>
      </x:c>
      <x:c r="AH616" s="2" t="str">
        <x:f>IF(B616="","",IF(J616&lt;&gt;"PASS",'Motor_Meciuri'!J49,IF('Calibrare_Linii'!U14&lt;&gt;"VALID","Parametri linie invalizi",IF(L616&gt;'Config_v6'!$B$13,"Dispersie peste limita",IF(W616="WATCH","Failure peste limita",IF(AB616&lt;'Config_v6'!$B$16,"P finala sub prag",IF(V616&lt;'Config_v6'!$B$18,"Confidence sub prag",IF(E616="REPLAY","Exemplu retrospectiv; exclus din Top LIVE",IF(Y616="PASS","DEFENSIV validat",IF(W616="OOS PENDING","Eligibil; calibrare linie in monitorizare","Eligibil"))))))))))</x:f>
      </x:c>
      <x:c r="AI616" s="2" t="str">
        <x:f>IF(B616="","",'Calibrare_Linii'!V14)</x:f>
      </x:c>
      <x:c r="AJ616" s="2" t="str">
        <x:f>IF(B616="","",IF(AND('Calibrare_Linii'!T14="VALIDATED",AND('Calibrare_Linii'!H14=C616,ISNUMBER('Calibrare_Linii'!J14),'Calibrare_Linii'!J14&lt;='Input_Meci'!G49)),"DEFENSIVE VALIDATED",IF(AND('Calibrare_Linii'!S14="VALIDATED",AND('Calibrare_Linii'!H14=C616,ISNUMBER('Calibrare_Linii'!J14),'Calibrare_Linii'!J14&lt;='Input_Meci'!G49)),"TAIL VALIDATED","OOS PENDING")))</x:f>
      </x:c>
      <x:c r="AK616" s="2" t="n">
        <x:f>IF(J616&lt;&gt;"PASS",0,'Motor_Meciuri'!BR49)</x:f>
        <x:v>0</x:v>
      </x:c>
      <x:c r="AL616" s="2" t="n">
        <x:f>IF(J616&lt;&gt;"PASS",0,'Motor_Meciuri'!BS49)</x:f>
        <x:v>0</x:v>
      </x:c>
      <x:c r="AM616" s="2" t="n">
        <x:f>IF(J616&lt;&gt;"PASS",0,'Motor_Meciuri'!BT49)</x:f>
        <x:v>0</x:v>
      </x:c>
      <x:c r="AN616" s="2" t="str">
        <x:f>IF(M616="","",MAX(0,'Motor_Meciuri'!BF49-IF(L616&gt;'Config_v6'!$B$12,'Config_v6'!$B$37,IF(L616&gt;'Config_v6'!$B$11,'Config_v6'!$B$36,0))))</x:f>
      </x:c>
    </x:row>
    <x:row r="617" ht="21" customHeight="1">
      <x:c r="A617" s="2" t="n">
        <x:v>44</x:v>
      </x:c>
      <x:c r="B617" s="2" t="str">
        <x:f>IF('Motor_Meciuri'!A49="","",'Motor_Meciuri'!A49)</x:f>
      </x:c>
      <x:c r="C617" s="2" t="str">
        <x:f>IF(B617="","",'Motor_Meciuri'!B49)</x:f>
      </x:c>
      <x:c r="D617" s="2" t="str">
        <x:f>IF(B617="","",'Motor_Meciuri'!D49)</x:f>
      </x:c>
      <x:c r="E617" s="2" t="str">
        <x:f>IF(B617="","",'Motor_Meciuri'!E49)</x:f>
      </x:c>
      <x:c r="F617" s="2" t="str">
        <x:v>U13,5</x:v>
      </x:c>
      <x:c r="G617" s="2" t="str">
        <x:v>UNDER</x:v>
      </x:c>
      <x:c r="H617" s="2" t="n">
        <x:v>13</x:v>
      </x:c>
      <x:c r="I617" s="2" t="str">
        <x:f>IF(B617="","",'Motor_Meciuri'!H49)</x:f>
      </x:c>
      <x:c r="J617" s="2" t="str">
        <x:f>IF(B617="","",'Motor_Meciuri'!I49)</x:f>
      </x:c>
      <x:c r="K617" s="11" t="str">
        <x:f>IF(J617&lt;&gt;"PASS","",'Motor_Meciuri'!BD49)</x:f>
      </x:c>
      <x:c r="L617" s="11" t="str">
        <x:f>IF(J617&lt;&gt;"PASS","",'Motor_Meciuri'!AU49)</x:f>
      </x:c>
      <x:c r="M617" s="10" t="str">
        <x:f>IF(NOT(AND(J617="PASS",'Calibrare_Linii'!U15="VALID")),"",'Distributie'!AK49)</x:f>
      </x:c>
      <x:c r="N617" s="10" t="str">
        <x:f>IF(M617="","",MAX(0.01,MIN(0.99,0.5+(M617-0.5)*'Motor_Meciuri'!BG49*'Calibrare_Linii'!D15)))</x:f>
      </x:c>
      <x:c r="O617" s="10" t="str">
        <x:f>IF(M617="","",1-M617)</x:f>
      </x:c>
      <x:c r="P617" s="10" t="str">
        <x:f>IF(OR(NOT(AND(J617="PASS",'Calibrare_Linii'!U15="VALID")),AK617=0),""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*('Istoric_Nativ'!$Q$6:$Q$405&gt;H617))/AK617)</x:f>
      </x:c>
      <x:c r="Q617" s="10" t="str">
        <x:f>IF(OR(NOT(AND(J617="PASS",'Calibrare_Linii'!U15="VALID")),AL617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M49)+((('Istoric_Nativ'!$E$6:$E$405='Input_Meci'!E49)+('Istoric_Nativ'!$F$6:$F$405='Input_Meci'!E49))&gt;0)*('Istoric_Nativ'!$D$6:$D$405&gt;='Motor_Meciuri'!BN49))&gt;0)*('Istoric_Nativ'!$Q$6:$Q$405&gt;H617))/AL617)</x:f>
      </x:c>
      <x:c r="R617" s="10" t="str">
        <x:f>IF(OR(NOT(AND(J617="PASS",'Calibrare_Linii'!U15="VALID")),AM617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O49)+((('Istoric_Nativ'!$E$6:$E$405='Input_Meci'!E49)+('Istoric_Nativ'!$F$6:$F$405='Input_Meci'!E49))&gt;0)*('Istoric_Nativ'!$D$6:$D$405&gt;='Motor_Meciuri'!BP49))&gt;0)*('Istoric_Nativ'!$Q$6:$Q$405&gt;H617))/AM617)</x:f>
      </x:c>
      <x:c r="S617" s="10" t="str">
        <x:f>IF(M617="","",MAX(O617,P617,Q617,R617))</x:f>
      </x:c>
      <x:c r="T617" s="11" t="str">
        <x:f>IF(M617="","",MIN(100,S617*100*'Config_v6'!$B$44+MIN(100,L617/'Config_v6'!$B$13*100)*'Config_v6'!$B$45+(100-'Motor_Meciuri'!BF49)*'Config_v6'!$B$46+'Motor_Meciuri'!BH49*100*'Config_v6'!$B$47))</x:f>
      </x:c>
      <x:c r="U617" s="2" t="str">
        <x:f>IF(T617="","",IF(T617&lt;=20,1,IF(T617&lt;=40,2,IF(T617&lt;=60,3,IF(T617&lt;=80,4,5)))))</x:f>
      </x:c>
      <x:c r="V617" s="2" t="str">
        <x:f>IF(M617="","",MAX(0,'Motor_Meciuri'!BF49-IF(W617="OOS PENDING",'Config_v6'!$B$35,0)-IF(L617&gt;'Config_v6'!$B$12,'Config_v6'!$B$37,IF(L617&gt;'Config_v6'!$B$11,'Config_v6'!$B$36,0))))</x:f>
      </x:c>
      <x:c r="W617" s="2" t="str">
        <x:f>IF(B617="","",IF(I617&lt;&gt;"READY","NOT RELEASED",IF(NOT(AND(J617="PASS",'Calibrare_Linii'!U15="VALID")),"INVALID",IF(NOT(AND('Calibrare_Linii'!S15="VALIDATED",AND('Calibrare_Linii'!H15=C617,ISNUMBER('Calibrare_Linii'!J15),'Calibrare_Linii'!J15&lt;='Input_Meci'!G49))),"OOS PENDING",IF(S617&lt;='Calibrare_Linii'!E15,"PASS",IF(S617&lt;='Calibrare_Linii'!F15,"PENALTY","WATCH"))))))</x:f>
      </x:c>
      <x:c r="X617" s="2" t="str">
        <x:f>IF(M617="","",IF(AND(AND(J617="PASS",'Calibrare_Linii'!U15="VALID"),'Motor_Meciuri'!K49=12,'Motor_Meciuri'!L49=12,'Motor_Meciuri'!M49="NO",'Motor_Meciuri'!BL49='Motor_Meciuri'!C49,AB617&gt;='Config_v6'!$B$50,AN617&gt;='Config_v6'!$B$51,T617&lt;='Config_v6'!$B$52,L617&lt;='Config_v6'!$B$53,ISNUMBER('Calibrare_Linii'!E15),S617&lt;='Calibrare_Linii'!E15,SUM(AK617:AM617)&gt;0),"CANDIDATE","NO"))</x:f>
      </x:c>
      <x:c r="Y617" s="2" t="str">
        <x:f>IF(B617="","",IF(I617&lt;&gt;"READY","NOT RELEASED",IF(AND(X617="CANDIDATE",V617&gt;='Config_v6'!$B$51,W617="PASS",'Calibrare_Linii'!T15="VALIDATED",AND('Calibrare_Linii'!H15=C617,ISNUMBER('Calibrare_Linii'!J15),'Calibrare_Linii'!J15&lt;='Input_Meci'!G49)),"PASS",IF(X617="CANDIDATE","OOS PENDING","FAIL"))))</x:f>
      </x:c>
      <x:c r="Z617" s="2" t="str">
        <x:f>IF(B617="","",IF(I617&lt;&gt;"READY","",IF(OR(NOT(AND(J617="PASS",'Calibrare_Linii'!U15="VALID")),L617&gt;'Config_v6'!$B$13,W617="WATCH"),5,IF(Y617="PASS",1,MIN(5,MAX('Config_v6'!$B$42,U617)+IF(W617="PENALTY",1,0))))))</x:f>
      </x:c>
      <x:c r="AA617" s="2" t="str">
        <x:f>IF(B617="","",IF(I617&lt;&gt;"READY","NOT RELEASED",IF(Z617=5,"NO BET",IF(OR(AB617&lt;'Config_v6'!$B$16,V617&lt;'Config_v6'!$B$18),"WATCH",IF(Z617=1,"DEFENSIV",IF(Z617=2,"PRUDENT",IF(Z617=3,"MODERAT","RIDICAT")))))))</x:f>
      </x:c>
      <x:c r="AB617" s="10" t="str">
        <x:f>IF(N617="","",MIN(N617,1-S617))</x:f>
      </x:c>
      <x:c r="AC617" s="2" t="str">
        <x:f>IF(AD617&lt;&gt;1,"",COUNTIFS($Z$608:$Z$621,"&lt;"&amp;Z617,$AD$608:$AD$621,1)+COUNTIFS($Z$608:$Z$621,Z617,$AB$608:$AB$621,"&gt;"&amp;AB617,$AD$608:$AD$621,1)+COUNTIFS($Z$608:$Z$621,Z617,$AB$608:$AB$621,AB617,$V$608:$V$621,"&gt;"&amp;V617,$AD$608:$AD$621,1)+COUNTIFS($Z$608:Z617,Z617,$AB$608:AB617,AB617,$V$608:V617,V617,$AD$608:AD617,1))</x:f>
      </x:c>
      <x:c r="AD617" s="2" t="n">
        <x:f>IF(OR(AA617="DEFENSIV",AA617="PRUDENT",AA617="MODERAT",AA617="RIDICAT"),1,0)</x:f>
        <x:v>0</x:v>
      </x:c>
      <x:c r="AE617" s="2" t="str">
        <x:f>IF(AD617&lt;&gt;1,"NO",IF(W617="PASS","YES",IF(W617="OOS PENDING","CONDITIONAL","NO")))</x:f>
        <x:v>NO</x:v>
      </x:c>
      <x:c r="AF617" s="2" t="n">
        <x:f>IF(AND(AD617=1,AC617=1,E617="LIVE"),1,0)</x:f>
        <x:v>0</x:v>
      </x:c>
      <x:c r="AG617" s="2" t="str">
        <x:f>IF(AF617&lt;&gt;1,"",'Dashboard'!P69)</x:f>
      </x:c>
      <x:c r="AH617" s="2" t="str">
        <x:f>IF(B617="","",IF(J617&lt;&gt;"PASS",'Motor_Meciuri'!J49,IF('Calibrare_Linii'!U15&lt;&gt;"VALID","Parametri linie invalizi",IF(L617&gt;'Config_v6'!$B$13,"Dispersie peste limita",IF(W617="WATCH","Failure peste limita",IF(AB617&lt;'Config_v6'!$B$16,"P finala sub prag",IF(V617&lt;'Config_v6'!$B$18,"Confidence sub prag",IF(E617="REPLAY","Exemplu retrospectiv; exclus din Top LIVE",IF(Y617="PASS","DEFENSIV validat",IF(W617="OOS PENDING","Eligibil; calibrare linie in monitorizare","Eligibil"))))))))))</x:f>
      </x:c>
      <x:c r="AI617" s="2" t="str">
        <x:f>IF(B617="","",'Calibrare_Linii'!V15)</x:f>
      </x:c>
      <x:c r="AJ617" s="2" t="str">
        <x:f>IF(B617="","",IF(AND('Calibrare_Linii'!T15="VALIDATED",AND('Calibrare_Linii'!H15=C617,ISNUMBER('Calibrare_Linii'!J15),'Calibrare_Linii'!J15&lt;='Input_Meci'!G49)),"DEFENSIVE VALIDATED",IF(AND('Calibrare_Linii'!S15="VALIDATED",AND('Calibrare_Linii'!H15=C617,ISNUMBER('Calibrare_Linii'!J15),'Calibrare_Linii'!J15&lt;='Input_Meci'!G49)),"TAIL VALIDATED","OOS PENDING")))</x:f>
      </x:c>
      <x:c r="AK617" s="2" t="n">
        <x:f>IF(J617&lt;&gt;"PASS",0,'Motor_Meciuri'!BR49)</x:f>
        <x:v>0</x:v>
      </x:c>
      <x:c r="AL617" s="2" t="n">
        <x:f>IF(J617&lt;&gt;"PASS",0,'Motor_Meciuri'!BS49)</x:f>
        <x:v>0</x:v>
      </x:c>
      <x:c r="AM617" s="2" t="n">
        <x:f>IF(J617&lt;&gt;"PASS",0,'Motor_Meciuri'!BT49)</x:f>
        <x:v>0</x:v>
      </x:c>
      <x:c r="AN617" s="2" t="str">
        <x:f>IF(M617="","",MAX(0,'Motor_Meciuri'!BF49-IF(L617&gt;'Config_v6'!$B$12,'Config_v6'!$B$37,IF(L617&gt;'Config_v6'!$B$11,'Config_v6'!$B$36,0))))</x:f>
      </x:c>
    </x:row>
    <x:row r="618" ht="21" customHeight="1">
      <x:c r="A618" s="2" t="n">
        <x:v>44</x:v>
      </x:c>
      <x:c r="B618" s="2" t="str">
        <x:f>IF('Motor_Meciuri'!A49="","",'Motor_Meciuri'!A49)</x:f>
      </x:c>
      <x:c r="C618" s="2" t="str">
        <x:f>IF(B618="","",'Motor_Meciuri'!B49)</x:f>
      </x:c>
      <x:c r="D618" s="2" t="str">
        <x:f>IF(B618="","",'Motor_Meciuri'!D49)</x:f>
      </x:c>
      <x:c r="E618" s="2" t="str">
        <x:f>IF(B618="","",'Motor_Meciuri'!E49)</x:f>
      </x:c>
      <x:c r="F618" s="2" t="str">
        <x:v>U14,5</x:v>
      </x:c>
      <x:c r="G618" s="2" t="str">
        <x:v>UNDER</x:v>
      </x:c>
      <x:c r="H618" s="2" t="n">
        <x:v>14</x:v>
      </x:c>
      <x:c r="I618" s="2" t="str">
        <x:f>IF(B618="","",'Motor_Meciuri'!H49)</x:f>
      </x:c>
      <x:c r="J618" s="2" t="str">
        <x:f>IF(B618="","",'Motor_Meciuri'!I49)</x:f>
      </x:c>
      <x:c r="K618" s="11" t="str">
        <x:f>IF(J618&lt;&gt;"PASS","",'Motor_Meciuri'!BD49)</x:f>
      </x:c>
      <x:c r="L618" s="11" t="str">
        <x:f>IF(J618&lt;&gt;"PASS","",'Motor_Meciuri'!AU49)</x:f>
      </x:c>
      <x:c r="M618" s="10" t="str">
        <x:f>IF(NOT(AND(J618="PASS",'Calibrare_Linii'!U16="VALID")),"",'Distributie'!AL49)</x:f>
      </x:c>
      <x:c r="N618" s="10" t="str">
        <x:f>IF(M618="","",MAX(0.01,MIN(0.99,0.5+(M618-0.5)*'Motor_Meciuri'!BG49*'Calibrare_Linii'!D16)))</x:f>
      </x:c>
      <x:c r="O618" s="10" t="str">
        <x:f>IF(M618="","",1-M618)</x:f>
      </x:c>
      <x:c r="P618" s="10" t="str">
        <x:f>IF(OR(NOT(AND(J618="PASS",'Calibrare_Linii'!U16="VALID")),AK618=0),""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*('Istoric_Nativ'!$Q$6:$Q$405&gt;H618))/AK618)</x:f>
      </x:c>
      <x:c r="Q618" s="10" t="str">
        <x:f>IF(OR(NOT(AND(J618="PASS",'Calibrare_Linii'!U16="VALID")),AL618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M49)+((('Istoric_Nativ'!$E$6:$E$405='Input_Meci'!E49)+('Istoric_Nativ'!$F$6:$F$405='Input_Meci'!E49))&gt;0)*('Istoric_Nativ'!$D$6:$D$405&gt;='Motor_Meciuri'!BN49))&gt;0)*('Istoric_Nativ'!$Q$6:$Q$405&gt;H618))/AL618)</x:f>
      </x:c>
      <x:c r="R618" s="10" t="str">
        <x:f>IF(OR(NOT(AND(J618="PASS",'Calibrare_Linii'!U16="VALID")),AM618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O49)+((('Istoric_Nativ'!$E$6:$E$405='Input_Meci'!E49)+('Istoric_Nativ'!$F$6:$F$405='Input_Meci'!E49))&gt;0)*('Istoric_Nativ'!$D$6:$D$405&gt;='Motor_Meciuri'!BP49))&gt;0)*('Istoric_Nativ'!$Q$6:$Q$405&gt;H618))/AM618)</x:f>
      </x:c>
      <x:c r="S618" s="10" t="str">
        <x:f>IF(M618="","",MAX(O618,P618,Q618,R618))</x:f>
      </x:c>
      <x:c r="T618" s="11" t="str">
        <x:f>IF(M618="","",MIN(100,S618*100*'Config_v6'!$B$44+MIN(100,L618/'Config_v6'!$B$13*100)*'Config_v6'!$B$45+(100-'Motor_Meciuri'!BF49)*'Config_v6'!$B$46+'Motor_Meciuri'!BH49*100*'Config_v6'!$B$47))</x:f>
      </x:c>
      <x:c r="U618" s="2" t="str">
        <x:f>IF(T618="","",IF(T618&lt;=20,1,IF(T618&lt;=40,2,IF(T618&lt;=60,3,IF(T618&lt;=80,4,5)))))</x:f>
      </x:c>
      <x:c r="V618" s="2" t="str">
        <x:f>IF(M618="","",MAX(0,'Motor_Meciuri'!BF49-IF(W618="OOS PENDING",'Config_v6'!$B$35,0)-IF(L618&gt;'Config_v6'!$B$12,'Config_v6'!$B$37,IF(L618&gt;'Config_v6'!$B$11,'Config_v6'!$B$36,0))))</x:f>
      </x:c>
      <x:c r="W618" s="2" t="str">
        <x:f>IF(B618="","",IF(I618&lt;&gt;"READY","NOT RELEASED",IF(NOT(AND(J618="PASS",'Calibrare_Linii'!U16="VALID")),"INVALID",IF(NOT(AND('Calibrare_Linii'!S16="VALIDATED",AND('Calibrare_Linii'!H16=C618,ISNUMBER('Calibrare_Linii'!J16),'Calibrare_Linii'!J16&lt;='Input_Meci'!G49))),"OOS PENDING",IF(S618&lt;='Calibrare_Linii'!E16,"PASS",IF(S618&lt;='Calibrare_Linii'!F16,"PENALTY","WATCH"))))))</x:f>
      </x:c>
      <x:c r="X618" s="2" t="str">
        <x:f>IF(M618="","",IF(AND(AND(J618="PASS",'Calibrare_Linii'!U16="VALID"),'Motor_Meciuri'!K49=12,'Motor_Meciuri'!L49=12,'Motor_Meciuri'!M49="NO",'Motor_Meciuri'!BL49='Motor_Meciuri'!C49,AB618&gt;='Config_v6'!$B$50,AN618&gt;='Config_v6'!$B$51,T618&lt;='Config_v6'!$B$52,L618&lt;='Config_v6'!$B$53,ISNUMBER('Calibrare_Linii'!E16),S618&lt;='Calibrare_Linii'!E16,SUM(AK618:AM618)&gt;0),"CANDIDATE","NO"))</x:f>
      </x:c>
      <x:c r="Y618" s="2" t="str">
        <x:f>IF(B618="","",IF(I618&lt;&gt;"READY","NOT RELEASED",IF(AND(X618="CANDIDATE",V618&gt;='Config_v6'!$B$51,W618="PASS",'Calibrare_Linii'!T16="VALIDATED",AND('Calibrare_Linii'!H16=C618,ISNUMBER('Calibrare_Linii'!J16),'Calibrare_Linii'!J16&lt;='Input_Meci'!G49)),"PASS",IF(X618="CANDIDATE","OOS PENDING","FAIL"))))</x:f>
      </x:c>
      <x:c r="Z618" s="2" t="str">
        <x:f>IF(B618="","",IF(I618&lt;&gt;"READY","",IF(OR(NOT(AND(J618="PASS",'Calibrare_Linii'!U16="VALID")),L618&gt;'Config_v6'!$B$13,W618="WATCH"),5,IF(Y618="PASS",1,MIN(5,MAX('Config_v6'!$B$42,U618)+IF(W618="PENALTY",1,0))))))</x:f>
      </x:c>
      <x:c r="AA618" s="2" t="str">
        <x:f>IF(B618="","",IF(I618&lt;&gt;"READY","NOT RELEASED",IF(Z618=5,"NO BET",IF(OR(AB618&lt;'Config_v6'!$B$16,V618&lt;'Config_v6'!$B$18),"WATCH",IF(Z618=1,"DEFENSIV",IF(Z618=2,"PRUDENT",IF(Z618=3,"MODERAT","RIDICAT")))))))</x:f>
      </x:c>
      <x:c r="AB618" s="10" t="str">
        <x:f>IF(N618="","",MIN(N618,1-S618))</x:f>
      </x:c>
      <x:c r="AC618" s="2" t="str">
        <x:f>IF(AD618&lt;&gt;1,"",COUNTIFS($Z$608:$Z$621,"&lt;"&amp;Z618,$AD$608:$AD$621,1)+COUNTIFS($Z$608:$Z$621,Z618,$AB$608:$AB$621,"&gt;"&amp;AB618,$AD$608:$AD$621,1)+COUNTIFS($Z$608:$Z$621,Z618,$AB$608:$AB$621,AB618,$V$608:$V$621,"&gt;"&amp;V618,$AD$608:$AD$621,1)+COUNTIFS($Z$608:Z618,Z618,$AB$608:AB618,AB618,$V$608:V618,V618,$AD$608:AD618,1))</x:f>
      </x:c>
      <x:c r="AD618" s="2" t="n">
        <x:f>IF(OR(AA618="DEFENSIV",AA618="PRUDENT",AA618="MODERAT",AA618="RIDICAT"),1,0)</x:f>
        <x:v>0</x:v>
      </x:c>
      <x:c r="AE618" s="2" t="str">
        <x:f>IF(AD618&lt;&gt;1,"NO",IF(W618="PASS","YES",IF(W618="OOS PENDING","CONDITIONAL","NO")))</x:f>
        <x:v>NO</x:v>
      </x:c>
      <x:c r="AF618" s="2" t="n">
        <x:f>IF(AND(AD618=1,AC618=1,E618="LIVE"),1,0)</x:f>
        <x:v>0</x:v>
      </x:c>
      <x:c r="AG618" s="2" t="str">
        <x:f>IF(AF618&lt;&gt;1,"",'Dashboard'!P69)</x:f>
      </x:c>
      <x:c r="AH618" s="2" t="str">
        <x:f>IF(B618="","",IF(J618&lt;&gt;"PASS",'Motor_Meciuri'!J49,IF('Calibrare_Linii'!U16&lt;&gt;"VALID","Parametri linie invalizi",IF(L618&gt;'Config_v6'!$B$13,"Dispersie peste limita",IF(W618="WATCH","Failure peste limita",IF(AB618&lt;'Config_v6'!$B$16,"P finala sub prag",IF(V618&lt;'Config_v6'!$B$18,"Confidence sub prag",IF(E618="REPLAY","Exemplu retrospectiv; exclus din Top LIVE",IF(Y618="PASS","DEFENSIV validat",IF(W618="OOS PENDING","Eligibil; calibrare linie in monitorizare","Eligibil"))))))))))</x:f>
      </x:c>
      <x:c r="AI618" s="2" t="str">
        <x:f>IF(B618="","",'Calibrare_Linii'!V16)</x:f>
      </x:c>
      <x:c r="AJ618" s="2" t="str">
        <x:f>IF(B618="","",IF(AND('Calibrare_Linii'!T16="VALIDATED",AND('Calibrare_Linii'!H16=C618,ISNUMBER('Calibrare_Linii'!J16),'Calibrare_Linii'!J16&lt;='Input_Meci'!G49)),"DEFENSIVE VALIDATED",IF(AND('Calibrare_Linii'!S16="VALIDATED",AND('Calibrare_Linii'!H16=C618,ISNUMBER('Calibrare_Linii'!J16),'Calibrare_Linii'!J16&lt;='Input_Meci'!G49)),"TAIL VALIDATED","OOS PENDING")))</x:f>
      </x:c>
      <x:c r="AK618" s="2" t="n">
        <x:f>IF(J618&lt;&gt;"PASS",0,'Motor_Meciuri'!BR49)</x:f>
        <x:v>0</x:v>
      </x:c>
      <x:c r="AL618" s="2" t="n">
        <x:f>IF(J618&lt;&gt;"PASS",0,'Motor_Meciuri'!BS49)</x:f>
        <x:v>0</x:v>
      </x:c>
      <x:c r="AM618" s="2" t="n">
        <x:f>IF(J618&lt;&gt;"PASS",0,'Motor_Meciuri'!BT49)</x:f>
        <x:v>0</x:v>
      </x:c>
      <x:c r="AN618" s="2" t="str">
        <x:f>IF(M618="","",MAX(0,'Motor_Meciuri'!BF49-IF(L618&gt;'Config_v6'!$B$12,'Config_v6'!$B$37,IF(L618&gt;'Config_v6'!$B$11,'Config_v6'!$B$36,0))))</x:f>
      </x:c>
    </x:row>
    <x:row r="619" ht="21" customHeight="1">
      <x:c r="A619" s="2" t="n">
        <x:v>44</x:v>
      </x:c>
      <x:c r="B619" s="2" t="str">
        <x:f>IF('Motor_Meciuri'!A49="","",'Motor_Meciuri'!A49)</x:f>
      </x:c>
      <x:c r="C619" s="2" t="str">
        <x:f>IF(B619="","",'Motor_Meciuri'!B49)</x:f>
      </x:c>
      <x:c r="D619" s="2" t="str">
        <x:f>IF(B619="","",'Motor_Meciuri'!D49)</x:f>
      </x:c>
      <x:c r="E619" s="2" t="str">
        <x:f>IF(B619="","",'Motor_Meciuri'!E49)</x:f>
      </x:c>
      <x:c r="F619" s="2" t="str">
        <x:v>U15,5</x:v>
      </x:c>
      <x:c r="G619" s="2" t="str">
        <x:v>UNDER</x:v>
      </x:c>
      <x:c r="H619" s="2" t="n">
        <x:v>15</x:v>
      </x:c>
      <x:c r="I619" s="2" t="str">
        <x:f>IF(B619="","",'Motor_Meciuri'!H49)</x:f>
      </x:c>
      <x:c r="J619" s="2" t="str">
        <x:f>IF(B619="","",'Motor_Meciuri'!I49)</x:f>
      </x:c>
      <x:c r="K619" s="11" t="str">
        <x:f>IF(J619&lt;&gt;"PASS","",'Motor_Meciuri'!BD49)</x:f>
      </x:c>
      <x:c r="L619" s="11" t="str">
        <x:f>IF(J619&lt;&gt;"PASS","",'Motor_Meciuri'!AU49)</x:f>
      </x:c>
      <x:c r="M619" s="10" t="str">
        <x:f>IF(NOT(AND(J619="PASS",'Calibrare_Linii'!U17="VALID")),"",'Distributie'!AM49)</x:f>
      </x:c>
      <x:c r="N619" s="10" t="str">
        <x:f>IF(M619="","",MAX(0.01,MIN(0.99,0.5+(M619-0.5)*'Motor_Meciuri'!BG49*'Calibrare_Linii'!D17)))</x:f>
      </x:c>
      <x:c r="O619" s="10" t="str">
        <x:f>IF(M619="","",1-M619)</x:f>
      </x:c>
      <x:c r="P619" s="10" t="str">
        <x:f>IF(OR(NOT(AND(J619="PASS",'Calibrare_Linii'!U17="VALID")),AK619=0),""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*('Istoric_Nativ'!$Q$6:$Q$405&gt;H619))/AK619)</x:f>
      </x:c>
      <x:c r="Q619" s="10" t="str">
        <x:f>IF(OR(NOT(AND(J619="PASS",'Calibrare_Linii'!U17="VALID")),AL619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M49)+((('Istoric_Nativ'!$E$6:$E$405='Input_Meci'!E49)+('Istoric_Nativ'!$F$6:$F$405='Input_Meci'!E49))&gt;0)*('Istoric_Nativ'!$D$6:$D$405&gt;='Motor_Meciuri'!BN49))&gt;0)*('Istoric_Nativ'!$Q$6:$Q$405&gt;H619))/AL619)</x:f>
      </x:c>
      <x:c r="R619" s="10" t="str">
        <x:f>IF(OR(NOT(AND(J619="PASS",'Calibrare_Linii'!U17="VALID")),AM619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O49)+((('Istoric_Nativ'!$E$6:$E$405='Input_Meci'!E49)+('Istoric_Nativ'!$F$6:$F$405='Input_Meci'!E49))&gt;0)*('Istoric_Nativ'!$D$6:$D$405&gt;='Motor_Meciuri'!BP49))&gt;0)*('Istoric_Nativ'!$Q$6:$Q$405&gt;H619))/AM619)</x:f>
      </x:c>
      <x:c r="S619" s="10" t="str">
        <x:f>IF(M619="","",MAX(O619,P619,Q619,R619))</x:f>
      </x:c>
      <x:c r="T619" s="11" t="str">
        <x:f>IF(M619="","",MIN(100,S619*100*'Config_v6'!$B$44+MIN(100,L619/'Config_v6'!$B$13*100)*'Config_v6'!$B$45+(100-'Motor_Meciuri'!BF49)*'Config_v6'!$B$46+'Motor_Meciuri'!BH49*100*'Config_v6'!$B$47))</x:f>
      </x:c>
      <x:c r="U619" s="2" t="str">
        <x:f>IF(T619="","",IF(T619&lt;=20,1,IF(T619&lt;=40,2,IF(T619&lt;=60,3,IF(T619&lt;=80,4,5)))))</x:f>
      </x:c>
      <x:c r="V619" s="2" t="str">
        <x:f>IF(M619="","",MAX(0,'Motor_Meciuri'!BF49-IF(W619="OOS PENDING",'Config_v6'!$B$35,0)-IF(L619&gt;'Config_v6'!$B$12,'Config_v6'!$B$37,IF(L619&gt;'Config_v6'!$B$11,'Config_v6'!$B$36,0))))</x:f>
      </x:c>
      <x:c r="W619" s="2" t="str">
        <x:f>IF(B619="","",IF(I619&lt;&gt;"READY","NOT RELEASED",IF(NOT(AND(J619="PASS",'Calibrare_Linii'!U17="VALID")),"INVALID",IF(NOT(AND('Calibrare_Linii'!S17="VALIDATED",AND('Calibrare_Linii'!H17=C619,ISNUMBER('Calibrare_Linii'!J17),'Calibrare_Linii'!J17&lt;='Input_Meci'!G49))),"OOS PENDING",IF(S619&lt;='Calibrare_Linii'!E17,"PASS",IF(S619&lt;='Calibrare_Linii'!F17,"PENALTY","WATCH"))))))</x:f>
      </x:c>
      <x:c r="X619" s="2" t="str">
        <x:f>IF(M619="","",IF(AND(AND(J619="PASS",'Calibrare_Linii'!U17="VALID"),'Motor_Meciuri'!K49=12,'Motor_Meciuri'!L49=12,'Motor_Meciuri'!M49="NO",'Motor_Meciuri'!BL49='Motor_Meciuri'!C49,AB619&gt;='Config_v6'!$B$50,AN619&gt;='Config_v6'!$B$51,T619&lt;='Config_v6'!$B$52,L619&lt;='Config_v6'!$B$53,ISNUMBER('Calibrare_Linii'!E17),S619&lt;='Calibrare_Linii'!E17,SUM(AK619:AM619)&gt;0),"CANDIDATE","NO"))</x:f>
      </x:c>
      <x:c r="Y619" s="2" t="str">
        <x:f>IF(B619="","",IF(I619&lt;&gt;"READY","NOT RELEASED",IF(AND(X619="CANDIDATE",V619&gt;='Config_v6'!$B$51,W619="PASS",'Calibrare_Linii'!T17="VALIDATED",AND('Calibrare_Linii'!H17=C619,ISNUMBER('Calibrare_Linii'!J17),'Calibrare_Linii'!J17&lt;='Input_Meci'!G49)),"PASS",IF(X619="CANDIDATE","OOS PENDING","FAIL"))))</x:f>
      </x:c>
      <x:c r="Z619" s="2" t="str">
        <x:f>IF(B619="","",IF(I619&lt;&gt;"READY","",IF(OR(NOT(AND(J619="PASS",'Calibrare_Linii'!U17="VALID")),L619&gt;'Config_v6'!$B$13,W619="WATCH"),5,IF(Y619="PASS",1,MIN(5,MAX('Config_v6'!$B$42,U619)+IF(W619="PENALTY",1,0))))))</x:f>
      </x:c>
      <x:c r="AA619" s="2" t="str">
        <x:f>IF(B619="","",IF(I619&lt;&gt;"READY","NOT RELEASED",IF(Z619=5,"NO BET",IF(OR(AB619&lt;'Config_v6'!$B$16,V619&lt;'Config_v6'!$B$18),"WATCH",IF(Z619=1,"DEFENSIV",IF(Z619=2,"PRUDENT",IF(Z619=3,"MODERAT","RIDICAT")))))))</x:f>
      </x:c>
      <x:c r="AB619" s="10" t="str">
        <x:f>IF(N619="","",MIN(N619,1-S619))</x:f>
      </x:c>
      <x:c r="AC619" s="2" t="str">
        <x:f>IF(AD619&lt;&gt;1,"",COUNTIFS($Z$608:$Z$621,"&lt;"&amp;Z619,$AD$608:$AD$621,1)+COUNTIFS($Z$608:$Z$621,Z619,$AB$608:$AB$621,"&gt;"&amp;AB619,$AD$608:$AD$621,1)+COUNTIFS($Z$608:$Z$621,Z619,$AB$608:$AB$621,AB619,$V$608:$V$621,"&gt;"&amp;V619,$AD$608:$AD$621,1)+COUNTIFS($Z$608:Z619,Z619,$AB$608:AB619,AB619,$V$608:V619,V619,$AD$608:AD619,1))</x:f>
      </x:c>
      <x:c r="AD619" s="2" t="n">
        <x:f>IF(OR(AA619="DEFENSIV",AA619="PRUDENT",AA619="MODERAT",AA619="RIDICAT"),1,0)</x:f>
        <x:v>0</x:v>
      </x:c>
      <x:c r="AE619" s="2" t="str">
        <x:f>IF(AD619&lt;&gt;1,"NO",IF(W619="PASS","YES",IF(W619="OOS PENDING","CONDITIONAL","NO")))</x:f>
        <x:v>NO</x:v>
      </x:c>
      <x:c r="AF619" s="2" t="n">
        <x:f>IF(AND(AD619=1,AC619=1,E619="LIVE"),1,0)</x:f>
        <x:v>0</x:v>
      </x:c>
      <x:c r="AG619" s="2" t="str">
        <x:f>IF(AF619&lt;&gt;1,"",'Dashboard'!P69)</x:f>
      </x:c>
      <x:c r="AH619" s="2" t="str">
        <x:f>IF(B619="","",IF(J619&lt;&gt;"PASS",'Motor_Meciuri'!J49,IF('Calibrare_Linii'!U17&lt;&gt;"VALID","Parametri linie invalizi",IF(L619&gt;'Config_v6'!$B$13,"Dispersie peste limita",IF(W619="WATCH","Failure peste limita",IF(AB619&lt;'Config_v6'!$B$16,"P finala sub prag",IF(V619&lt;'Config_v6'!$B$18,"Confidence sub prag",IF(E619="REPLAY","Exemplu retrospectiv; exclus din Top LIVE",IF(Y619="PASS","DEFENSIV validat",IF(W619="OOS PENDING","Eligibil; calibrare linie in monitorizare","Eligibil"))))))))))</x:f>
      </x:c>
      <x:c r="AI619" s="2" t="str">
        <x:f>IF(B619="","",'Calibrare_Linii'!V17)</x:f>
      </x:c>
      <x:c r="AJ619" s="2" t="str">
        <x:f>IF(B619="","",IF(AND('Calibrare_Linii'!T17="VALIDATED",AND('Calibrare_Linii'!H17=C619,ISNUMBER('Calibrare_Linii'!J17),'Calibrare_Linii'!J17&lt;='Input_Meci'!G49)),"DEFENSIVE VALIDATED",IF(AND('Calibrare_Linii'!S17="VALIDATED",AND('Calibrare_Linii'!H17=C619,ISNUMBER('Calibrare_Linii'!J17),'Calibrare_Linii'!J17&lt;='Input_Meci'!G49)),"TAIL VALIDATED","OOS PENDING")))</x:f>
      </x:c>
      <x:c r="AK619" s="2" t="n">
        <x:f>IF(J619&lt;&gt;"PASS",0,'Motor_Meciuri'!BR49)</x:f>
        <x:v>0</x:v>
      </x:c>
      <x:c r="AL619" s="2" t="n">
        <x:f>IF(J619&lt;&gt;"PASS",0,'Motor_Meciuri'!BS49)</x:f>
        <x:v>0</x:v>
      </x:c>
      <x:c r="AM619" s="2" t="n">
        <x:f>IF(J619&lt;&gt;"PASS",0,'Motor_Meciuri'!BT49)</x:f>
        <x:v>0</x:v>
      </x:c>
      <x:c r="AN619" s="2" t="str">
        <x:f>IF(M619="","",MAX(0,'Motor_Meciuri'!BF49-IF(L619&gt;'Config_v6'!$B$12,'Config_v6'!$B$37,IF(L619&gt;'Config_v6'!$B$11,'Config_v6'!$B$36,0))))</x:f>
      </x:c>
    </x:row>
    <x:row r="620" ht="21" customHeight="1">
      <x:c r="A620" s="2" t="n">
        <x:v>44</x:v>
      </x:c>
      <x:c r="B620" s="2" t="str">
        <x:f>IF('Motor_Meciuri'!A49="","",'Motor_Meciuri'!A49)</x:f>
      </x:c>
      <x:c r="C620" s="2" t="str">
        <x:f>IF(B620="","",'Motor_Meciuri'!B49)</x:f>
      </x:c>
      <x:c r="D620" s="2" t="str">
        <x:f>IF(B620="","",'Motor_Meciuri'!D49)</x:f>
      </x:c>
      <x:c r="E620" s="2" t="str">
        <x:f>IF(B620="","",'Motor_Meciuri'!E49)</x:f>
      </x:c>
      <x:c r="F620" s="2" t="str">
        <x:v>U16,5</x:v>
      </x:c>
      <x:c r="G620" s="2" t="str">
        <x:v>UNDER</x:v>
      </x:c>
      <x:c r="H620" s="2" t="n">
        <x:v>16</x:v>
      </x:c>
      <x:c r="I620" s="2" t="str">
        <x:f>IF(B620="","",'Motor_Meciuri'!H49)</x:f>
      </x:c>
      <x:c r="J620" s="2" t="str">
        <x:f>IF(B620="","",'Motor_Meciuri'!I49)</x:f>
      </x:c>
      <x:c r="K620" s="11" t="str">
        <x:f>IF(J620&lt;&gt;"PASS","",'Motor_Meciuri'!BD49)</x:f>
      </x:c>
      <x:c r="L620" s="11" t="str">
        <x:f>IF(J620&lt;&gt;"PASS","",'Motor_Meciuri'!AU49)</x:f>
      </x:c>
      <x:c r="M620" s="10" t="str">
        <x:f>IF(NOT(AND(J620="PASS",'Calibrare_Linii'!U18="VALID")),"",'Distributie'!AN49)</x:f>
      </x:c>
      <x:c r="N620" s="10" t="str">
        <x:f>IF(M620="","",MAX(0.01,MIN(0.99,0.5+(M620-0.5)*'Motor_Meciuri'!BG49*'Calibrare_Linii'!D18)))</x:f>
      </x:c>
      <x:c r="O620" s="10" t="str">
        <x:f>IF(M620="","",1-M620)</x:f>
      </x:c>
      <x:c r="P620" s="10" t="str">
        <x:f>IF(OR(NOT(AND(J620="PASS",'Calibrare_Linii'!U18="VALID")),AK620=0),""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*('Istoric_Nativ'!$Q$6:$Q$405&gt;H620))/AK620)</x:f>
      </x:c>
      <x:c r="Q620" s="10" t="str">
        <x:f>IF(OR(NOT(AND(J620="PASS",'Calibrare_Linii'!U18="VALID")),AL620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M49)+((('Istoric_Nativ'!$E$6:$E$405='Input_Meci'!E49)+('Istoric_Nativ'!$F$6:$F$405='Input_Meci'!E49))&gt;0)*('Istoric_Nativ'!$D$6:$D$405&gt;='Motor_Meciuri'!BN49))&gt;0)*('Istoric_Nativ'!$Q$6:$Q$405&gt;H620))/AL620)</x:f>
      </x:c>
      <x:c r="R620" s="10" t="str">
        <x:f>IF(OR(NOT(AND(J620="PASS",'Calibrare_Linii'!U18="VALID")),AM620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O49)+((('Istoric_Nativ'!$E$6:$E$405='Input_Meci'!E49)+('Istoric_Nativ'!$F$6:$F$405='Input_Meci'!E49))&gt;0)*('Istoric_Nativ'!$D$6:$D$405&gt;='Motor_Meciuri'!BP49))&gt;0)*('Istoric_Nativ'!$Q$6:$Q$405&gt;H620))/AM620)</x:f>
      </x:c>
      <x:c r="S620" s="10" t="str">
        <x:f>IF(M620="","",MAX(O620,P620,Q620,R620))</x:f>
      </x:c>
      <x:c r="T620" s="11" t="str">
        <x:f>IF(M620="","",MIN(100,S620*100*'Config_v6'!$B$44+MIN(100,L620/'Config_v6'!$B$13*100)*'Config_v6'!$B$45+(100-'Motor_Meciuri'!BF49)*'Config_v6'!$B$46+'Motor_Meciuri'!BH49*100*'Config_v6'!$B$47))</x:f>
      </x:c>
      <x:c r="U620" s="2" t="str">
        <x:f>IF(T620="","",IF(T620&lt;=20,1,IF(T620&lt;=40,2,IF(T620&lt;=60,3,IF(T620&lt;=80,4,5)))))</x:f>
      </x:c>
      <x:c r="V620" s="2" t="str">
        <x:f>IF(M620="","",MAX(0,'Motor_Meciuri'!BF49-IF(W620="OOS PENDING",'Config_v6'!$B$35,0)-IF(L620&gt;'Config_v6'!$B$12,'Config_v6'!$B$37,IF(L620&gt;'Config_v6'!$B$11,'Config_v6'!$B$36,0))))</x:f>
      </x:c>
      <x:c r="W620" s="2" t="str">
        <x:f>IF(B620="","",IF(I620&lt;&gt;"READY","NOT RELEASED",IF(NOT(AND(J620="PASS",'Calibrare_Linii'!U18="VALID")),"INVALID",IF(NOT(AND('Calibrare_Linii'!S18="VALIDATED",AND('Calibrare_Linii'!H18=C620,ISNUMBER('Calibrare_Linii'!J18),'Calibrare_Linii'!J18&lt;='Input_Meci'!G49))),"OOS PENDING",IF(S620&lt;='Calibrare_Linii'!E18,"PASS",IF(S620&lt;='Calibrare_Linii'!F18,"PENALTY","WATCH"))))))</x:f>
      </x:c>
      <x:c r="X620" s="2" t="str">
        <x:f>IF(M620="","",IF(AND(AND(J620="PASS",'Calibrare_Linii'!U18="VALID"),'Motor_Meciuri'!K49=12,'Motor_Meciuri'!L49=12,'Motor_Meciuri'!M49="NO",'Motor_Meciuri'!BL49='Motor_Meciuri'!C49,AB620&gt;='Config_v6'!$B$50,AN620&gt;='Config_v6'!$B$51,T620&lt;='Config_v6'!$B$52,L620&lt;='Config_v6'!$B$53,ISNUMBER('Calibrare_Linii'!E18),S620&lt;='Calibrare_Linii'!E18,SUM(AK620:AM620)&gt;0),"CANDIDATE","NO"))</x:f>
      </x:c>
      <x:c r="Y620" s="2" t="str">
        <x:f>IF(B620="","",IF(I620&lt;&gt;"READY","NOT RELEASED",IF(AND(X620="CANDIDATE",V620&gt;='Config_v6'!$B$51,W620="PASS",'Calibrare_Linii'!T18="VALIDATED",AND('Calibrare_Linii'!H18=C620,ISNUMBER('Calibrare_Linii'!J18),'Calibrare_Linii'!J18&lt;='Input_Meci'!G49)),"PASS",IF(X620="CANDIDATE","OOS PENDING","FAIL"))))</x:f>
      </x:c>
      <x:c r="Z620" s="2" t="str">
        <x:f>IF(B620="","",IF(I620&lt;&gt;"READY","",IF(OR(NOT(AND(J620="PASS",'Calibrare_Linii'!U18="VALID")),L620&gt;'Config_v6'!$B$13,W620="WATCH"),5,IF(Y620="PASS",1,MIN(5,MAX('Config_v6'!$B$42,U620)+IF(W620="PENALTY",1,0))))))</x:f>
      </x:c>
      <x:c r="AA620" s="2" t="str">
        <x:f>IF(B620="","",IF(I620&lt;&gt;"READY","NOT RELEASED",IF(Z620=5,"NO BET",IF(OR(AB620&lt;'Config_v6'!$B$16,V620&lt;'Config_v6'!$B$18),"WATCH",IF(Z620=1,"DEFENSIV",IF(Z620=2,"PRUDENT",IF(Z620=3,"MODERAT","RIDICAT")))))))</x:f>
      </x:c>
      <x:c r="AB620" s="10" t="str">
        <x:f>IF(N620="","",MIN(N620,1-S620))</x:f>
      </x:c>
      <x:c r="AC620" s="2" t="str">
        <x:f>IF(AD620&lt;&gt;1,"",COUNTIFS($Z$608:$Z$621,"&lt;"&amp;Z620,$AD$608:$AD$621,1)+COUNTIFS($Z$608:$Z$621,Z620,$AB$608:$AB$621,"&gt;"&amp;AB620,$AD$608:$AD$621,1)+COUNTIFS($Z$608:$Z$621,Z620,$AB$608:$AB$621,AB620,$V$608:$V$621,"&gt;"&amp;V620,$AD$608:$AD$621,1)+COUNTIFS($Z$608:Z620,Z620,$AB$608:AB620,AB620,$V$608:V620,V620,$AD$608:AD620,1))</x:f>
      </x:c>
      <x:c r="AD620" s="2" t="n">
        <x:f>IF(OR(AA620="DEFENSIV",AA620="PRUDENT",AA620="MODERAT",AA620="RIDICAT"),1,0)</x:f>
        <x:v>0</x:v>
      </x:c>
      <x:c r="AE620" s="2" t="str">
        <x:f>IF(AD620&lt;&gt;1,"NO",IF(W620="PASS","YES",IF(W620="OOS PENDING","CONDITIONAL","NO")))</x:f>
        <x:v>NO</x:v>
      </x:c>
      <x:c r="AF620" s="2" t="n">
        <x:f>IF(AND(AD620=1,AC620=1,E620="LIVE"),1,0)</x:f>
        <x:v>0</x:v>
      </x:c>
      <x:c r="AG620" s="2" t="str">
        <x:f>IF(AF620&lt;&gt;1,"",'Dashboard'!P69)</x:f>
      </x:c>
      <x:c r="AH620" s="2" t="str">
        <x:f>IF(B620="","",IF(J620&lt;&gt;"PASS",'Motor_Meciuri'!J49,IF('Calibrare_Linii'!U18&lt;&gt;"VALID","Parametri linie invalizi",IF(L620&gt;'Config_v6'!$B$13,"Dispersie peste limita",IF(W620="WATCH","Failure peste limita",IF(AB620&lt;'Config_v6'!$B$16,"P finala sub prag",IF(V620&lt;'Config_v6'!$B$18,"Confidence sub prag",IF(E620="REPLAY","Exemplu retrospectiv; exclus din Top LIVE",IF(Y620="PASS","DEFENSIV validat",IF(W620="OOS PENDING","Eligibil; calibrare linie in monitorizare","Eligibil"))))))))))</x:f>
      </x:c>
      <x:c r="AI620" s="2" t="str">
        <x:f>IF(B620="","",'Calibrare_Linii'!V18)</x:f>
      </x:c>
      <x:c r="AJ620" s="2" t="str">
        <x:f>IF(B620="","",IF(AND('Calibrare_Linii'!T18="VALIDATED",AND('Calibrare_Linii'!H18=C620,ISNUMBER('Calibrare_Linii'!J18),'Calibrare_Linii'!J18&lt;='Input_Meci'!G49)),"DEFENSIVE VALIDATED",IF(AND('Calibrare_Linii'!S18="VALIDATED",AND('Calibrare_Linii'!H18=C620,ISNUMBER('Calibrare_Linii'!J18),'Calibrare_Linii'!J18&lt;='Input_Meci'!G49)),"TAIL VALIDATED","OOS PENDING")))</x:f>
      </x:c>
      <x:c r="AK620" s="2" t="n">
        <x:f>IF(J620&lt;&gt;"PASS",0,'Motor_Meciuri'!BR49)</x:f>
        <x:v>0</x:v>
      </x:c>
      <x:c r="AL620" s="2" t="n">
        <x:f>IF(J620&lt;&gt;"PASS",0,'Motor_Meciuri'!BS49)</x:f>
        <x:v>0</x:v>
      </x:c>
      <x:c r="AM620" s="2" t="n">
        <x:f>IF(J620&lt;&gt;"PASS",0,'Motor_Meciuri'!BT49)</x:f>
        <x:v>0</x:v>
      </x:c>
      <x:c r="AN620" s="2" t="str">
        <x:f>IF(M620="","",MAX(0,'Motor_Meciuri'!BF49-IF(L620&gt;'Config_v6'!$B$12,'Config_v6'!$B$37,IF(L620&gt;'Config_v6'!$B$11,'Config_v6'!$B$36,0))))</x:f>
      </x:c>
    </x:row>
    <x:row r="621" ht="21" customHeight="1">
      <x:c r="A621" s="2" t="n">
        <x:v>44</x:v>
      </x:c>
      <x:c r="B621" s="2" t="str">
        <x:f>IF('Motor_Meciuri'!A49="","",'Motor_Meciuri'!A49)</x:f>
      </x:c>
      <x:c r="C621" s="2" t="str">
        <x:f>IF(B621="","",'Motor_Meciuri'!B49)</x:f>
      </x:c>
      <x:c r="D621" s="2" t="str">
        <x:f>IF(B621="","",'Motor_Meciuri'!D49)</x:f>
      </x:c>
      <x:c r="E621" s="2" t="str">
        <x:f>IF(B621="","",'Motor_Meciuri'!E49)</x:f>
      </x:c>
      <x:c r="F621" s="2" t="str">
        <x:v>U17,5</x:v>
      </x:c>
      <x:c r="G621" s="2" t="str">
        <x:v>UNDER</x:v>
      </x:c>
      <x:c r="H621" s="2" t="n">
        <x:v>17</x:v>
      </x:c>
      <x:c r="I621" s="2" t="str">
        <x:f>IF(B621="","",'Motor_Meciuri'!H49)</x:f>
      </x:c>
      <x:c r="J621" s="2" t="str">
        <x:f>IF(B621="","",'Motor_Meciuri'!I49)</x:f>
      </x:c>
      <x:c r="K621" s="11" t="str">
        <x:f>IF(J621&lt;&gt;"PASS","",'Motor_Meciuri'!BD49)</x:f>
      </x:c>
      <x:c r="L621" s="11" t="str">
        <x:f>IF(J621&lt;&gt;"PASS","",'Motor_Meciuri'!AU49)</x:f>
      </x:c>
      <x:c r="M621" s="10" t="str">
        <x:f>IF(NOT(AND(J621="PASS",'Calibrare_Linii'!U19="VALID")),"",'Distributie'!AO49)</x:f>
      </x:c>
      <x:c r="N621" s="10" t="str">
        <x:f>IF(M621="","",MAX(0.01,MIN(0.99,0.5+(M621-0.5)*'Motor_Meciuri'!BG49*'Calibrare_Linii'!D19)))</x:f>
      </x:c>
      <x:c r="O621" s="10" t="str">
        <x:f>IF(M621="","",1-M621)</x:f>
      </x:c>
      <x:c r="P621" s="10" t="str">
        <x:f>IF(OR(NOT(AND(J621="PASS",'Calibrare_Linii'!U19="VALID")),AK621=0),""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*('Istoric_Nativ'!$Q$6:$Q$405&gt;H621))/AK621)</x:f>
      </x:c>
      <x:c r="Q621" s="10" t="str">
        <x:f>IF(OR(NOT(AND(J621="PASS",'Calibrare_Linii'!U19="VALID")),AL621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M49)+((('Istoric_Nativ'!$E$6:$E$405='Input_Meci'!E49)+('Istoric_Nativ'!$F$6:$F$405='Input_Meci'!E49))&gt;0)*('Istoric_Nativ'!$D$6:$D$405&gt;='Motor_Meciuri'!BN49))&gt;0)*('Istoric_Nativ'!$Q$6:$Q$405&gt;H621))/AL621)</x:f>
      </x:c>
      <x:c r="R621" s="10" t="str">
        <x:f>IF(OR(NOT(AND(J621="PASS",'Calibrare_Linii'!U19="VALID")),AM621=0),""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'Motor_Meciuri'!BO49)+((('Istoric_Nativ'!$E$6:$E$405='Input_Meci'!E49)+('Istoric_Nativ'!$F$6:$F$405='Input_Meci'!E49))&gt;0)*('Istoric_Nativ'!$D$6:$D$405&gt;='Motor_Meciuri'!BP49))&gt;0)*('Istoric_Nativ'!$Q$6:$Q$405&gt;H621))/AM621)</x:f>
      </x:c>
      <x:c r="S621" s="10" t="str">
        <x:f>IF(M621="","",MAX(O621,P621,Q621,R621))</x:f>
      </x:c>
      <x:c r="T621" s="11" t="str">
        <x:f>IF(M621="","",MIN(100,S621*100*'Config_v6'!$B$44+MIN(100,L621/'Config_v6'!$B$13*100)*'Config_v6'!$B$45+(100-'Motor_Meciuri'!BF49)*'Config_v6'!$B$46+'Motor_Meciuri'!BH49*100*'Config_v6'!$B$47))</x:f>
      </x:c>
      <x:c r="U621" s="2" t="str">
        <x:f>IF(T621="","",IF(T621&lt;=20,1,IF(T621&lt;=40,2,IF(T621&lt;=60,3,IF(T621&lt;=80,4,5)))))</x:f>
      </x:c>
      <x:c r="V621" s="2" t="str">
        <x:f>IF(M621="","",MAX(0,'Motor_Meciuri'!BF49-IF(W621="OOS PENDING",'Config_v6'!$B$35,0)-IF(L621&gt;'Config_v6'!$B$12,'Config_v6'!$B$37,IF(L621&gt;'Config_v6'!$B$11,'Config_v6'!$B$36,0))))</x:f>
      </x:c>
      <x:c r="W621" s="2" t="str">
        <x:f>IF(B621="","",IF(I621&lt;&gt;"READY","NOT RELEASED",IF(NOT(AND(J621="PASS",'Calibrare_Linii'!U19="VALID")),"INVALID",IF(NOT(AND('Calibrare_Linii'!S19="VALIDATED",AND('Calibrare_Linii'!H19=C621,ISNUMBER('Calibrare_Linii'!J19),'Calibrare_Linii'!J19&lt;='Input_Meci'!G49))),"OOS PENDING",IF(S621&lt;='Calibrare_Linii'!E19,"PASS",IF(S621&lt;='Calibrare_Linii'!F19,"PENALTY","WATCH"))))))</x:f>
      </x:c>
      <x:c r="X621" s="2" t="str">
        <x:f>IF(M621="","",IF(AND(AND(J621="PASS",'Calibrare_Linii'!U19="VALID"),'Motor_Meciuri'!K49=12,'Motor_Meciuri'!L49=12,'Motor_Meciuri'!M49="NO",'Motor_Meciuri'!BL49='Motor_Meciuri'!C49,AB621&gt;='Config_v6'!$B$50,AN621&gt;='Config_v6'!$B$51,T621&lt;='Config_v6'!$B$52,L621&lt;='Config_v6'!$B$53,ISNUMBER('Calibrare_Linii'!E19),S621&lt;='Calibrare_Linii'!E19,SUM(AK621:AM621)&gt;0),"CANDIDATE","NO"))</x:f>
      </x:c>
      <x:c r="Y621" s="2" t="str">
        <x:f>IF(B621="","",IF(I621&lt;&gt;"READY","NOT RELEASED",IF(AND(X621="CANDIDATE",V621&gt;='Config_v6'!$B$51,W621="PASS",'Calibrare_Linii'!T19="VALIDATED",AND('Calibrare_Linii'!H19=C621,ISNUMBER('Calibrare_Linii'!J19),'Calibrare_Linii'!J19&lt;='Input_Meci'!G49)),"PASS",IF(X621="CANDIDATE","OOS PENDING","FAIL"))))</x:f>
      </x:c>
      <x:c r="Z621" s="2" t="str">
        <x:f>IF(B621="","",IF(I621&lt;&gt;"READY","",IF(OR(NOT(AND(J621="PASS",'Calibrare_Linii'!U19="VALID")),L621&gt;'Config_v6'!$B$13,W621="WATCH"),5,IF(Y621="PASS",1,MIN(5,MAX('Config_v6'!$B$42,U621)+IF(W621="PENALTY",1,0))))))</x:f>
      </x:c>
      <x:c r="AA621" s="2" t="str">
        <x:f>IF(B621="","",IF(I621&lt;&gt;"READY","NOT RELEASED",IF(Z621=5,"NO BET",IF(OR(AB621&lt;'Config_v6'!$B$16,V621&lt;'Config_v6'!$B$18),"WATCH",IF(Z621=1,"DEFENSIV",IF(Z621=2,"PRUDENT",IF(Z621=3,"MODERAT","RIDICAT")))))))</x:f>
      </x:c>
      <x:c r="AB621" s="10" t="str">
        <x:f>IF(N621="","",MIN(N621,1-S621))</x:f>
      </x:c>
      <x:c r="AC621" s="2" t="str">
        <x:f>IF(AD621&lt;&gt;1,"",COUNTIFS($Z$608:$Z$621,"&lt;"&amp;Z621,$AD$608:$AD$621,1)+COUNTIFS($Z$608:$Z$621,Z621,$AB$608:$AB$621,"&gt;"&amp;AB621,$AD$608:$AD$621,1)+COUNTIFS($Z$608:$Z$621,Z621,$AB$608:$AB$621,AB621,$V$608:$V$621,"&gt;"&amp;V621,$AD$608:$AD$621,1)+COUNTIFS($Z$608:Z621,Z621,$AB$608:AB621,AB621,$V$608:V621,V621,$AD$608:AD621,1))</x:f>
      </x:c>
      <x:c r="AD621" s="2" t="n">
        <x:f>IF(OR(AA621="DEFENSIV",AA621="PRUDENT",AA621="MODERAT",AA621="RIDICAT"),1,0)</x:f>
        <x:v>0</x:v>
      </x:c>
      <x:c r="AE621" s="2" t="str">
        <x:f>IF(AD621&lt;&gt;1,"NO",IF(W621="PASS","YES",IF(W621="OOS PENDING","CONDITIONAL","NO")))</x:f>
        <x:v>NO</x:v>
      </x:c>
      <x:c r="AF621" s="2" t="n">
        <x:f>IF(AND(AD621=1,AC621=1,E621="LIVE"),1,0)</x:f>
        <x:v>0</x:v>
      </x:c>
      <x:c r="AG621" s="2" t="str">
        <x:f>IF(AF621&lt;&gt;1,"",'Dashboard'!P69)</x:f>
      </x:c>
      <x:c r="AH621" s="2" t="str">
        <x:f>IF(B621="","",IF(J621&lt;&gt;"PASS",'Motor_Meciuri'!J49,IF('Calibrare_Linii'!U19&lt;&gt;"VALID","Parametri linie invalizi",IF(L621&gt;'Config_v6'!$B$13,"Dispersie peste limita",IF(W621="WATCH","Failure peste limita",IF(AB621&lt;'Config_v6'!$B$16,"P finala sub prag",IF(V621&lt;'Config_v6'!$B$18,"Confidence sub prag",IF(E621="REPLAY","Exemplu retrospectiv; exclus din Top LIVE",IF(Y621="PASS","DEFENSIV validat",IF(W621="OOS PENDING","Eligibil; calibrare linie in monitorizare","Eligibil"))))))))))</x:f>
      </x:c>
      <x:c r="AI621" s="2" t="str">
        <x:f>IF(B621="","",'Calibrare_Linii'!V19)</x:f>
      </x:c>
      <x:c r="AJ621" s="2" t="str">
        <x:f>IF(B621="","",IF(AND('Calibrare_Linii'!T19="VALIDATED",AND('Calibrare_Linii'!H19=C621,ISNUMBER('Calibrare_Linii'!J19),'Calibrare_Linii'!J19&lt;='Input_Meci'!G49)),"DEFENSIVE VALIDATED",IF(AND('Calibrare_Linii'!S19="VALIDATED",AND('Calibrare_Linii'!H19=C621,ISNUMBER('Calibrare_Linii'!J19),'Calibrare_Linii'!J19&lt;='Input_Meci'!G49)),"TAIL VALIDATED","OOS PENDING")))</x:f>
      </x:c>
      <x:c r="AK621" s="2" t="n">
        <x:f>IF(J621&lt;&gt;"PASS",0,'Motor_Meciuri'!BR49)</x:f>
        <x:v>0</x:v>
      </x:c>
      <x:c r="AL621" s="2" t="n">
        <x:f>IF(J621&lt;&gt;"PASS",0,'Motor_Meciuri'!BS49)</x:f>
        <x:v>0</x:v>
      </x:c>
      <x:c r="AM621" s="2" t="n">
        <x:f>IF(J621&lt;&gt;"PASS",0,'Motor_Meciuri'!BT49)</x:f>
        <x:v>0</x:v>
      </x:c>
      <x:c r="AN621" s="2" t="str">
        <x:f>IF(M621="","",MAX(0,'Motor_Meciuri'!BF49-IF(L621&gt;'Config_v6'!$B$12,'Config_v6'!$B$37,IF(L621&gt;'Config_v6'!$B$11,'Config_v6'!$B$36,0))))</x:f>
      </x:c>
    </x:row>
    <x:row r="622" ht="21" customHeight="1">
      <x:c r="A622" s="2" t="n">
        <x:v>45</x:v>
      </x:c>
      <x:c r="B622" s="2" t="str">
        <x:f>IF('Motor_Meciuri'!A50="","",'Motor_Meciuri'!A50)</x:f>
      </x:c>
      <x:c r="C622" s="2" t="str">
        <x:f>IF(B622="","",'Motor_Meciuri'!B50)</x:f>
      </x:c>
      <x:c r="D622" s="2" t="str">
        <x:f>IF(B622="","",'Motor_Meciuri'!D50)</x:f>
      </x:c>
      <x:c r="E622" s="2" t="str">
        <x:f>IF(B622="","",'Motor_Meciuri'!E50)</x:f>
      </x:c>
      <x:c r="F622" s="2" t="str">
        <x:v>O3,5</x:v>
      </x:c>
      <x:c r="G622" s="2" t="str">
        <x:v>OVER</x:v>
      </x:c>
      <x:c r="H622" s="2" t="n">
        <x:v>3</x:v>
      </x:c>
      <x:c r="I622" s="2" t="str">
        <x:f>IF(B622="","",'Motor_Meciuri'!H50)</x:f>
      </x:c>
      <x:c r="J622" s="2" t="str">
        <x:f>IF(B622="","",'Motor_Meciuri'!I50)</x:f>
      </x:c>
      <x:c r="K622" s="11" t="str">
        <x:f>IF(J622&lt;&gt;"PASS","",'Motor_Meciuri'!BD50)</x:f>
      </x:c>
      <x:c r="L622" s="11" t="str">
        <x:f>IF(J622&lt;&gt;"PASS","",'Motor_Meciuri'!AU50)</x:f>
      </x:c>
      <x:c r="M622" s="10" t="str">
        <x:f>IF(NOT(AND(J622="PASS",'Calibrare_Linii'!U6="VALID")),"",1-'Distributie'!AA50)</x:f>
      </x:c>
      <x:c r="N622" s="10" t="str">
        <x:f>IF(M622="","",MAX(0.01,MIN(0.99,0.5+(M622-0.5)*'Motor_Meciuri'!BG50*'Calibrare_Linii'!D6)))</x:f>
      </x:c>
      <x:c r="O622" s="10" t="str">
        <x:f>IF(M622="","",1-M622)</x:f>
      </x:c>
      <x:c r="P622" s="10" t="str">
        <x:f>IF(OR(NOT(AND(J622="PASS",'Calibrare_Linii'!U6="VALID")),AK622=0),""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*('Istoric_Nativ'!$Q$6:$Q$405&lt;=H622))/AK622)</x:f>
      </x:c>
      <x:c r="Q622" s="10" t="str">
        <x:f>IF(OR(NOT(AND(J622="PASS",'Calibrare_Linii'!U6="VALID")),AL622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M50)+((('Istoric_Nativ'!$E$6:$E$405='Input_Meci'!E50)+('Istoric_Nativ'!$F$6:$F$405='Input_Meci'!E50))&gt;0)*('Istoric_Nativ'!$D$6:$D$405&gt;='Motor_Meciuri'!BN50))&gt;0)*('Istoric_Nativ'!$Q$6:$Q$405&lt;=H622))/AL622)</x:f>
      </x:c>
      <x:c r="R622" s="10" t="str">
        <x:f>IF(OR(NOT(AND(J622="PASS",'Calibrare_Linii'!U6="VALID")),AM622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O50)+((('Istoric_Nativ'!$E$6:$E$405='Input_Meci'!E50)+('Istoric_Nativ'!$F$6:$F$405='Input_Meci'!E50))&gt;0)*('Istoric_Nativ'!$D$6:$D$405&gt;='Motor_Meciuri'!BP50))&gt;0)*('Istoric_Nativ'!$Q$6:$Q$405&lt;=H622))/AM622)</x:f>
      </x:c>
      <x:c r="S622" s="10" t="str">
        <x:f>IF(M622="","",MAX(O622,P622,Q622,R622))</x:f>
      </x:c>
      <x:c r="T622" s="11" t="str">
        <x:f>IF(M622="","",MIN(100,S622*100*'Config_v6'!$B$44+MIN(100,L622/'Config_v6'!$B$13*100)*'Config_v6'!$B$45+(100-'Motor_Meciuri'!BF50)*'Config_v6'!$B$46+'Motor_Meciuri'!BH50*100*'Config_v6'!$B$47))</x:f>
      </x:c>
      <x:c r="U622" s="2" t="str">
        <x:f>IF(T622="","",IF(T622&lt;=20,1,IF(T622&lt;=40,2,IF(T622&lt;=60,3,IF(T622&lt;=80,4,5)))))</x:f>
      </x:c>
      <x:c r="V622" s="2" t="str">
        <x:f>IF(M622="","",MAX(0,'Motor_Meciuri'!BF50-IF(W622="OOS PENDING",'Config_v6'!$B$35,0)-IF(L622&gt;'Config_v6'!$B$12,'Config_v6'!$B$37,IF(L622&gt;'Config_v6'!$B$11,'Config_v6'!$B$36,0))))</x:f>
      </x:c>
      <x:c r="W622" s="2" t="str">
        <x:f>IF(B622="","",IF(I622&lt;&gt;"READY","NOT RELEASED",IF(NOT(AND(J622="PASS",'Calibrare_Linii'!U6="VALID")),"INVALID",IF(NOT(TRUE),"OOS PENDING",IF(S622&lt;=IF(AND('Calibrare_Linii'!S6="VALIDATED",AND('Calibrare_Linii'!H6=C622,ISNUMBER('Calibrare_Linii'!J6),'Calibrare_Linii'!J6&lt;='Input_Meci'!G50)),'Calibrare_Linii'!E6,'Config_v6'!$B$26),"PASS",IF(S622&lt;=IF(AND('Calibrare_Linii'!S6="VALIDATED",AND('Calibrare_Linii'!H6=C622,ISNUMBER('Calibrare_Linii'!J6),'Calibrare_Linii'!J6&lt;='Input_Meci'!G50)),'Calibrare_Linii'!F6,'Config_v6'!$C$26),"PENALTY","WATCH"))))))</x:f>
      </x:c>
      <x:c r="X622" s="2" t="str">
        <x:f>IF(M622="","",IF(AND(AND(J622="PASS",'Calibrare_Linii'!U6="VALID"),'Motor_Meciuri'!K50=12,'Motor_Meciuri'!L50=12,'Motor_Meciuri'!M50="NO",'Motor_Meciuri'!BL50='Motor_Meciuri'!C50,AB622&gt;='Config_v6'!$B$50,AN622&gt;='Config_v6'!$B$51,T622&lt;='Config_v6'!$B$52,L622&lt;='Config_v6'!$B$53,ISNUMBER('Calibrare_Linii'!E6),S622&lt;='Calibrare_Linii'!E6,SUM(AK622:AM622)&gt;0),"CANDIDATE","NO"))</x:f>
      </x:c>
      <x:c r="Y622" s="2" t="str">
        <x:f>IF(B622="","",IF(I622&lt;&gt;"READY","NOT RELEASED",IF(AND(X622="CANDIDATE",V622&gt;='Config_v6'!$B$51,W622="PASS",'Calibrare_Linii'!T6="VALIDATED",AND('Calibrare_Linii'!H6=C622,ISNUMBER('Calibrare_Linii'!J6),'Calibrare_Linii'!J6&lt;='Input_Meci'!G50)),"PASS",IF(X622="CANDIDATE","OOS PENDING","FAIL"))))</x:f>
      </x:c>
      <x:c r="Z622" s="2" t="str">
        <x:f>IF(B622="","",IF(I622&lt;&gt;"READY","",IF(OR(NOT(AND(J622="PASS",'Calibrare_Linii'!U6="VALID")),L622&gt;'Config_v6'!$B$13,W622="WATCH"),5,IF(Y622="PASS",1,MIN(5,MAX('Config_v6'!$B$42,U622)+IF(W622="PENALTY",1,0))))))</x:f>
      </x:c>
      <x:c r="AA622" s="2" t="str">
        <x:f>IF(B622="","",IF(I622&lt;&gt;"READY","NOT RELEASED",IF(Z622=5,"NO BET",IF(OR(AB622&lt;'Config_v6'!$B$16,V622&lt;'Config_v6'!$B$18),"WATCH",IF(Z622=1,"DEFENSIV",IF(Z622=2,"PRUDENT",IF(Z622=3,"MODERAT","RIDICAT")))))))</x:f>
      </x:c>
      <x:c r="AB622" s="10" t="str">
        <x:f>IF(N622="","",MIN(N622,1-S622))</x:f>
      </x:c>
      <x:c r="AC622" s="2" t="str">
        <x:f>IF(AD622&lt;&gt;1,"",COUNTIFS($Z$622:$Z$635,"&lt;"&amp;Z622,$AD$622:$AD$635,1)+COUNTIFS($Z$622:$Z$635,Z622,$AB$622:$AB$635,"&gt;"&amp;AB622,$AD$622:$AD$635,1)+COUNTIFS($Z$622:$Z$635,Z622,$AB$622:$AB$635,AB622,$V$622:$V$635,"&gt;"&amp;V622,$AD$622:$AD$635,1)+COUNTIFS($Z$622:Z622,Z622,$AB$622:AB622,AB622,$V$622:V622,V622,$AD$622:AD622,1))</x:f>
      </x:c>
      <x:c r="AD622" s="2" t="n">
        <x:f>IF(OR(AA622="DEFENSIV",AA622="PRUDENT",AA622="MODERAT",AA622="RIDICAT"),1,0)</x:f>
        <x:v>0</x:v>
      </x:c>
      <x:c r="AE622" s="2" t="str">
        <x:f>IF(AD622&lt;&gt;1,"NO",IF(W622="PASS","YES",IF(W622="OOS PENDING","CONDITIONAL","NO")))</x:f>
        <x:v>NO</x:v>
      </x:c>
      <x:c r="AF622" s="2" t="n">
        <x:f>IF(AND(AD622=1,AC622=1,E622="LIVE"),1,0)</x:f>
        <x:v>0</x:v>
      </x:c>
      <x:c r="AG622" s="2" t="str">
        <x:f>IF(AF622&lt;&gt;1,"",'Dashboard'!P70)</x:f>
      </x:c>
      <x:c r="AH622" s="2" t="str">
        <x:f>IF(B622="","",IF(J622&lt;&gt;"PASS",'Motor_Meciuri'!J50,IF('Calibrare_Linii'!U6&lt;&gt;"VALID","Parametri linie invalizi",IF(L622&gt;'Config_v6'!$B$13,"Dispersie peste limita",IF(W622="WATCH","Failure peste limita",IF(AB622&lt;'Config_v6'!$B$16,"P finala sub prag",IF(V622&lt;'Config_v6'!$B$18,"Confidence sub prag",IF(E622="REPLAY","Exemplu retrospectiv; exclus din Top LIVE",IF(Y622="PASS","DEFENSIV validat",IF(W622="OOS PENDING","Eligibil; calibrare linie in monitorizare","Eligibil"))))))))))</x:f>
      </x:c>
      <x:c r="AI622" s="2" t="str">
        <x:f>IF(B622="","",'Calibrare_Linii'!V6)</x:f>
      </x:c>
      <x:c r="AJ622" s="2" t="str">
        <x:f>IF(B622="","",IF(AND('Calibrare_Linii'!T6="VALIDATED",AND('Calibrare_Linii'!H6=C622,ISNUMBER('Calibrare_Linii'!J6),'Calibrare_Linii'!J6&lt;='Input_Meci'!G50)),"DEFENSIVE VALIDATED",IF(AND('Calibrare_Linii'!S6="VALIDATED",AND('Calibrare_Linii'!H6=C622,ISNUMBER('Calibrare_Linii'!J6),'Calibrare_Linii'!J6&lt;='Input_Meci'!G50)),"TAIL VALIDATED","OOS PENDING")))</x:f>
      </x:c>
      <x:c r="AK622" s="2" t="n">
        <x:f>IF(J622&lt;&gt;"PASS",0,'Motor_Meciuri'!BR50)</x:f>
        <x:v>0</x:v>
      </x:c>
      <x:c r="AL622" s="2" t="n">
        <x:f>IF(J622&lt;&gt;"PASS",0,'Motor_Meciuri'!BS50)</x:f>
        <x:v>0</x:v>
      </x:c>
      <x:c r="AM622" s="2" t="n">
        <x:f>IF(J622&lt;&gt;"PASS",0,'Motor_Meciuri'!BT50)</x:f>
        <x:v>0</x:v>
      </x:c>
      <x:c r="AN622" s="2" t="str">
        <x:f>IF(M622="","",MAX(0,'Motor_Meciuri'!BF50-IF(L622&gt;'Config_v6'!$B$12,'Config_v6'!$B$37,IF(L622&gt;'Config_v6'!$B$11,'Config_v6'!$B$36,0))))</x:f>
      </x:c>
    </x:row>
    <x:row r="623" ht="21" customHeight="1">
      <x:c r="A623" s="2" t="n">
        <x:v>45</x:v>
      </x:c>
      <x:c r="B623" s="2" t="str">
        <x:f>IF('Motor_Meciuri'!A50="","",'Motor_Meciuri'!A50)</x:f>
      </x:c>
      <x:c r="C623" s="2" t="str">
        <x:f>IF(B623="","",'Motor_Meciuri'!B50)</x:f>
      </x:c>
      <x:c r="D623" s="2" t="str">
        <x:f>IF(B623="","",'Motor_Meciuri'!D50)</x:f>
      </x:c>
      <x:c r="E623" s="2" t="str">
        <x:f>IF(B623="","",'Motor_Meciuri'!E50)</x:f>
      </x:c>
      <x:c r="F623" s="2" t="str">
        <x:v>O4,5</x:v>
      </x:c>
      <x:c r="G623" s="2" t="str">
        <x:v>OVER</x:v>
      </x:c>
      <x:c r="H623" s="2" t="n">
        <x:v>4</x:v>
      </x:c>
      <x:c r="I623" s="2" t="str">
        <x:f>IF(B623="","",'Motor_Meciuri'!H50)</x:f>
      </x:c>
      <x:c r="J623" s="2" t="str">
        <x:f>IF(B623="","",'Motor_Meciuri'!I50)</x:f>
      </x:c>
      <x:c r="K623" s="11" t="str">
        <x:f>IF(J623&lt;&gt;"PASS","",'Motor_Meciuri'!BD50)</x:f>
      </x:c>
      <x:c r="L623" s="11" t="str">
        <x:f>IF(J623&lt;&gt;"PASS","",'Motor_Meciuri'!AU50)</x:f>
      </x:c>
      <x:c r="M623" s="10" t="str">
        <x:f>IF(NOT(AND(J623="PASS",'Calibrare_Linii'!U7="VALID")),"",1-'Distributie'!AB50)</x:f>
      </x:c>
      <x:c r="N623" s="10" t="str">
        <x:f>IF(M623="","",MAX(0.01,MIN(0.99,0.5+(M623-0.5)*'Motor_Meciuri'!BG50*'Calibrare_Linii'!D7)))</x:f>
      </x:c>
      <x:c r="O623" s="10" t="str">
        <x:f>IF(M623="","",1-M623)</x:f>
      </x:c>
      <x:c r="P623" s="10" t="str">
        <x:f>IF(OR(NOT(AND(J623="PASS",'Calibrare_Linii'!U7="VALID")),AK623=0),""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*('Istoric_Nativ'!$Q$6:$Q$405&lt;=H623))/AK623)</x:f>
      </x:c>
      <x:c r="Q623" s="10" t="str">
        <x:f>IF(OR(NOT(AND(J623="PASS",'Calibrare_Linii'!U7="VALID")),AL623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M50)+((('Istoric_Nativ'!$E$6:$E$405='Input_Meci'!E50)+('Istoric_Nativ'!$F$6:$F$405='Input_Meci'!E50))&gt;0)*('Istoric_Nativ'!$D$6:$D$405&gt;='Motor_Meciuri'!BN50))&gt;0)*('Istoric_Nativ'!$Q$6:$Q$405&lt;=H623))/AL623)</x:f>
      </x:c>
      <x:c r="R623" s="10" t="str">
        <x:f>IF(OR(NOT(AND(J623="PASS",'Calibrare_Linii'!U7="VALID")),AM623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O50)+((('Istoric_Nativ'!$E$6:$E$405='Input_Meci'!E50)+('Istoric_Nativ'!$F$6:$F$405='Input_Meci'!E50))&gt;0)*('Istoric_Nativ'!$D$6:$D$405&gt;='Motor_Meciuri'!BP50))&gt;0)*('Istoric_Nativ'!$Q$6:$Q$405&lt;=H623))/AM623)</x:f>
      </x:c>
      <x:c r="S623" s="10" t="str">
        <x:f>IF(M623="","",MAX(O623,P623,Q623,R623))</x:f>
      </x:c>
      <x:c r="T623" s="11" t="str">
        <x:f>IF(M623="","",MIN(100,S623*100*'Config_v6'!$B$44+MIN(100,L623/'Config_v6'!$B$13*100)*'Config_v6'!$B$45+(100-'Motor_Meciuri'!BF50)*'Config_v6'!$B$46+'Motor_Meciuri'!BH50*100*'Config_v6'!$B$47))</x:f>
      </x:c>
      <x:c r="U623" s="2" t="str">
        <x:f>IF(T623="","",IF(T623&lt;=20,1,IF(T623&lt;=40,2,IF(T623&lt;=60,3,IF(T623&lt;=80,4,5)))))</x:f>
      </x:c>
      <x:c r="V623" s="2" t="str">
        <x:f>IF(M623="","",MAX(0,'Motor_Meciuri'!BF50-IF(W623="OOS PENDING",'Config_v6'!$B$35,0)-IF(L623&gt;'Config_v6'!$B$12,'Config_v6'!$B$37,IF(L623&gt;'Config_v6'!$B$11,'Config_v6'!$B$36,0))))</x:f>
      </x:c>
      <x:c r="W623" s="2" t="str">
        <x:f>IF(B623="","",IF(I623&lt;&gt;"READY","NOT RELEASED",IF(NOT(AND(J623="PASS",'Calibrare_Linii'!U7="VALID")),"INVALID",IF(NOT(AND('Calibrare_Linii'!S7="VALIDATED",AND('Calibrare_Linii'!H7=C623,ISNUMBER('Calibrare_Linii'!J7),'Calibrare_Linii'!J7&lt;='Input_Meci'!G50))),"OOS PENDING",IF(S623&lt;='Calibrare_Linii'!E7,"PASS",IF(S623&lt;='Calibrare_Linii'!F7,"PENALTY","WATCH"))))))</x:f>
      </x:c>
      <x:c r="X623" s="2" t="str">
        <x:f>IF(M623="","",IF(AND(AND(J623="PASS",'Calibrare_Linii'!U7="VALID"),'Motor_Meciuri'!K50=12,'Motor_Meciuri'!L50=12,'Motor_Meciuri'!M50="NO",'Motor_Meciuri'!BL50='Motor_Meciuri'!C50,AB623&gt;='Config_v6'!$B$50,AN623&gt;='Config_v6'!$B$51,T623&lt;='Config_v6'!$B$52,L623&lt;='Config_v6'!$B$53,ISNUMBER('Calibrare_Linii'!E7),S623&lt;='Calibrare_Linii'!E7,SUM(AK623:AM623)&gt;0),"CANDIDATE","NO"))</x:f>
      </x:c>
      <x:c r="Y623" s="2" t="str">
        <x:f>IF(B623="","",IF(I623&lt;&gt;"READY","NOT RELEASED",IF(AND(X623="CANDIDATE",V623&gt;='Config_v6'!$B$51,W623="PASS",'Calibrare_Linii'!T7="VALIDATED",AND('Calibrare_Linii'!H7=C623,ISNUMBER('Calibrare_Linii'!J7),'Calibrare_Linii'!J7&lt;='Input_Meci'!G50)),"PASS",IF(X623="CANDIDATE","OOS PENDING","FAIL"))))</x:f>
      </x:c>
      <x:c r="Z623" s="2" t="str">
        <x:f>IF(B623="","",IF(I623&lt;&gt;"READY","",IF(OR(NOT(AND(J623="PASS",'Calibrare_Linii'!U7="VALID")),L623&gt;'Config_v6'!$B$13,W623="WATCH"),5,IF(Y623="PASS",1,MIN(5,MAX('Config_v6'!$B$42,U623)+IF(W623="PENALTY",1,0))))))</x:f>
      </x:c>
      <x:c r="AA623" s="2" t="str">
        <x:f>IF(B623="","",IF(I623&lt;&gt;"READY","NOT RELEASED",IF(Z623=5,"NO BET",IF(OR(AB623&lt;'Config_v6'!$B$16,V623&lt;'Config_v6'!$B$18),"WATCH",IF(Z623=1,"DEFENSIV",IF(Z623=2,"PRUDENT",IF(Z623=3,"MODERAT","RIDICAT")))))))</x:f>
      </x:c>
      <x:c r="AB623" s="10" t="str">
        <x:f>IF(N623="","",MIN(N623,1-S623))</x:f>
      </x:c>
      <x:c r="AC623" s="2" t="str">
        <x:f>IF(AD623&lt;&gt;1,"",COUNTIFS($Z$622:$Z$635,"&lt;"&amp;Z623,$AD$622:$AD$635,1)+COUNTIFS($Z$622:$Z$635,Z623,$AB$622:$AB$635,"&gt;"&amp;AB623,$AD$622:$AD$635,1)+COUNTIFS($Z$622:$Z$635,Z623,$AB$622:$AB$635,AB623,$V$622:$V$635,"&gt;"&amp;V623,$AD$622:$AD$635,1)+COUNTIFS($Z$622:Z623,Z623,$AB$622:AB623,AB623,$V$622:V623,V623,$AD$622:AD623,1))</x:f>
      </x:c>
      <x:c r="AD623" s="2" t="n">
        <x:f>IF(OR(AA623="DEFENSIV",AA623="PRUDENT",AA623="MODERAT",AA623="RIDICAT"),1,0)</x:f>
        <x:v>0</x:v>
      </x:c>
      <x:c r="AE623" s="2" t="str">
        <x:f>IF(AD623&lt;&gt;1,"NO",IF(W623="PASS","YES",IF(W623="OOS PENDING","CONDITIONAL","NO")))</x:f>
        <x:v>NO</x:v>
      </x:c>
      <x:c r="AF623" s="2" t="n">
        <x:f>IF(AND(AD623=1,AC623=1,E623="LIVE"),1,0)</x:f>
        <x:v>0</x:v>
      </x:c>
      <x:c r="AG623" s="2" t="str">
        <x:f>IF(AF623&lt;&gt;1,"",'Dashboard'!P70)</x:f>
      </x:c>
      <x:c r="AH623" s="2" t="str">
        <x:f>IF(B623="","",IF(J623&lt;&gt;"PASS",'Motor_Meciuri'!J50,IF('Calibrare_Linii'!U7&lt;&gt;"VALID","Parametri linie invalizi",IF(L623&gt;'Config_v6'!$B$13,"Dispersie peste limita",IF(W623="WATCH","Failure peste limita",IF(AB623&lt;'Config_v6'!$B$16,"P finala sub prag",IF(V623&lt;'Config_v6'!$B$18,"Confidence sub prag",IF(E623="REPLAY","Exemplu retrospectiv; exclus din Top LIVE",IF(Y623="PASS","DEFENSIV validat",IF(W623="OOS PENDING","Eligibil; calibrare linie in monitorizare","Eligibil"))))))))))</x:f>
      </x:c>
      <x:c r="AI623" s="2" t="str">
        <x:f>IF(B623="","",'Calibrare_Linii'!V7)</x:f>
      </x:c>
      <x:c r="AJ623" s="2" t="str">
        <x:f>IF(B623="","",IF(AND('Calibrare_Linii'!T7="VALIDATED",AND('Calibrare_Linii'!H7=C623,ISNUMBER('Calibrare_Linii'!J7),'Calibrare_Linii'!J7&lt;='Input_Meci'!G50)),"DEFENSIVE VALIDATED",IF(AND('Calibrare_Linii'!S7="VALIDATED",AND('Calibrare_Linii'!H7=C623,ISNUMBER('Calibrare_Linii'!J7),'Calibrare_Linii'!J7&lt;='Input_Meci'!G50)),"TAIL VALIDATED","OOS PENDING")))</x:f>
      </x:c>
      <x:c r="AK623" s="2" t="n">
        <x:f>IF(J623&lt;&gt;"PASS",0,'Motor_Meciuri'!BR50)</x:f>
        <x:v>0</x:v>
      </x:c>
      <x:c r="AL623" s="2" t="n">
        <x:f>IF(J623&lt;&gt;"PASS",0,'Motor_Meciuri'!BS50)</x:f>
        <x:v>0</x:v>
      </x:c>
      <x:c r="AM623" s="2" t="n">
        <x:f>IF(J623&lt;&gt;"PASS",0,'Motor_Meciuri'!BT50)</x:f>
        <x:v>0</x:v>
      </x:c>
      <x:c r="AN623" s="2" t="str">
        <x:f>IF(M623="","",MAX(0,'Motor_Meciuri'!BF50-IF(L623&gt;'Config_v6'!$B$12,'Config_v6'!$B$37,IF(L623&gt;'Config_v6'!$B$11,'Config_v6'!$B$36,0))))</x:f>
      </x:c>
    </x:row>
    <x:row r="624" ht="21" customHeight="1">
      <x:c r="A624" s="2" t="n">
        <x:v>45</x:v>
      </x:c>
      <x:c r="B624" s="2" t="str">
        <x:f>IF('Motor_Meciuri'!A50="","",'Motor_Meciuri'!A50)</x:f>
      </x:c>
      <x:c r="C624" s="2" t="str">
        <x:f>IF(B624="","",'Motor_Meciuri'!B50)</x:f>
      </x:c>
      <x:c r="D624" s="2" t="str">
        <x:f>IF(B624="","",'Motor_Meciuri'!D50)</x:f>
      </x:c>
      <x:c r="E624" s="2" t="str">
        <x:f>IF(B624="","",'Motor_Meciuri'!E50)</x:f>
      </x:c>
      <x:c r="F624" s="2" t="str">
        <x:v>O5,5</x:v>
      </x:c>
      <x:c r="G624" s="2" t="str">
        <x:v>OVER</x:v>
      </x:c>
      <x:c r="H624" s="2" t="n">
        <x:v>5</x:v>
      </x:c>
      <x:c r="I624" s="2" t="str">
        <x:f>IF(B624="","",'Motor_Meciuri'!H50)</x:f>
      </x:c>
      <x:c r="J624" s="2" t="str">
        <x:f>IF(B624="","",'Motor_Meciuri'!I50)</x:f>
      </x:c>
      <x:c r="K624" s="11" t="str">
        <x:f>IF(J624&lt;&gt;"PASS","",'Motor_Meciuri'!BD50)</x:f>
      </x:c>
      <x:c r="L624" s="11" t="str">
        <x:f>IF(J624&lt;&gt;"PASS","",'Motor_Meciuri'!AU50)</x:f>
      </x:c>
      <x:c r="M624" s="10" t="str">
        <x:f>IF(NOT(AND(J624="PASS",'Calibrare_Linii'!U8="VALID")),"",1-'Distributie'!AC50)</x:f>
      </x:c>
      <x:c r="N624" s="10" t="str">
        <x:f>IF(M624="","",MAX(0.01,MIN(0.99,0.5+(M624-0.5)*'Motor_Meciuri'!BG50*'Calibrare_Linii'!D8)))</x:f>
      </x:c>
      <x:c r="O624" s="10" t="str">
        <x:f>IF(M624="","",1-M624)</x:f>
      </x:c>
      <x:c r="P624" s="10" t="str">
        <x:f>IF(OR(NOT(AND(J624="PASS",'Calibrare_Linii'!U8="VALID")),AK624=0),""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*('Istoric_Nativ'!$Q$6:$Q$405&lt;=H624))/AK624)</x:f>
      </x:c>
      <x:c r="Q624" s="10" t="str">
        <x:f>IF(OR(NOT(AND(J624="PASS",'Calibrare_Linii'!U8="VALID")),AL624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M50)+((('Istoric_Nativ'!$E$6:$E$405='Input_Meci'!E50)+('Istoric_Nativ'!$F$6:$F$405='Input_Meci'!E50))&gt;0)*('Istoric_Nativ'!$D$6:$D$405&gt;='Motor_Meciuri'!BN50))&gt;0)*('Istoric_Nativ'!$Q$6:$Q$405&lt;=H624))/AL624)</x:f>
      </x:c>
      <x:c r="R624" s="10" t="str">
        <x:f>IF(OR(NOT(AND(J624="PASS",'Calibrare_Linii'!U8="VALID")),AM624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O50)+((('Istoric_Nativ'!$E$6:$E$405='Input_Meci'!E50)+('Istoric_Nativ'!$F$6:$F$405='Input_Meci'!E50))&gt;0)*('Istoric_Nativ'!$D$6:$D$405&gt;='Motor_Meciuri'!BP50))&gt;0)*('Istoric_Nativ'!$Q$6:$Q$405&lt;=H624))/AM624)</x:f>
      </x:c>
      <x:c r="S624" s="10" t="str">
        <x:f>IF(M624="","",MAX(O624,P624,Q624,R624))</x:f>
      </x:c>
      <x:c r="T624" s="11" t="str">
        <x:f>IF(M624="","",MIN(100,S624*100*'Config_v6'!$B$44+MIN(100,L624/'Config_v6'!$B$13*100)*'Config_v6'!$B$45+(100-'Motor_Meciuri'!BF50)*'Config_v6'!$B$46+'Motor_Meciuri'!BH50*100*'Config_v6'!$B$47))</x:f>
      </x:c>
      <x:c r="U624" s="2" t="str">
        <x:f>IF(T624="","",IF(T624&lt;=20,1,IF(T624&lt;=40,2,IF(T624&lt;=60,3,IF(T624&lt;=80,4,5)))))</x:f>
      </x:c>
      <x:c r="V624" s="2" t="str">
        <x:f>IF(M624="","",MAX(0,'Motor_Meciuri'!BF50-IF(W624="OOS PENDING",'Config_v6'!$B$35,0)-IF(L624&gt;'Config_v6'!$B$12,'Config_v6'!$B$37,IF(L624&gt;'Config_v6'!$B$11,'Config_v6'!$B$36,0))))</x:f>
      </x:c>
      <x:c r="W624" s="2" t="str">
        <x:f>IF(B624="","",IF(I624&lt;&gt;"READY","NOT RELEASED",IF(NOT(AND(J624="PASS",'Calibrare_Linii'!U8="VALID")),"INVALID",IF(NOT(AND('Calibrare_Linii'!S8="VALIDATED",AND('Calibrare_Linii'!H8=C624,ISNUMBER('Calibrare_Linii'!J8),'Calibrare_Linii'!J8&lt;='Input_Meci'!G50))),"OOS PENDING",IF(S624&lt;='Calibrare_Linii'!E8,"PASS",IF(S624&lt;='Calibrare_Linii'!F8,"PENALTY","WATCH"))))))</x:f>
      </x:c>
      <x:c r="X624" s="2" t="str">
        <x:f>IF(M624="","",IF(AND(AND(J624="PASS",'Calibrare_Linii'!U8="VALID"),'Motor_Meciuri'!K50=12,'Motor_Meciuri'!L50=12,'Motor_Meciuri'!M50="NO",'Motor_Meciuri'!BL50='Motor_Meciuri'!C50,AB624&gt;='Config_v6'!$B$50,AN624&gt;='Config_v6'!$B$51,T624&lt;='Config_v6'!$B$52,L624&lt;='Config_v6'!$B$53,ISNUMBER('Calibrare_Linii'!E8),S624&lt;='Calibrare_Linii'!E8,SUM(AK624:AM624)&gt;0),"CANDIDATE","NO"))</x:f>
      </x:c>
      <x:c r="Y624" s="2" t="str">
        <x:f>IF(B624="","",IF(I624&lt;&gt;"READY","NOT RELEASED",IF(AND(X624="CANDIDATE",V624&gt;='Config_v6'!$B$51,W624="PASS",'Calibrare_Linii'!T8="VALIDATED",AND('Calibrare_Linii'!H8=C624,ISNUMBER('Calibrare_Linii'!J8),'Calibrare_Linii'!J8&lt;='Input_Meci'!G50)),"PASS",IF(X624="CANDIDATE","OOS PENDING","FAIL"))))</x:f>
      </x:c>
      <x:c r="Z624" s="2" t="str">
        <x:f>IF(B624="","",IF(I624&lt;&gt;"READY","",IF(OR(NOT(AND(J624="PASS",'Calibrare_Linii'!U8="VALID")),L624&gt;'Config_v6'!$B$13,W624="WATCH"),5,IF(Y624="PASS",1,MIN(5,MAX('Config_v6'!$B$42,U624)+IF(W624="PENALTY",1,0))))))</x:f>
      </x:c>
      <x:c r="AA624" s="2" t="str">
        <x:f>IF(B624="","",IF(I624&lt;&gt;"READY","NOT RELEASED",IF(Z624=5,"NO BET",IF(OR(AB624&lt;'Config_v6'!$B$16,V624&lt;'Config_v6'!$B$18),"WATCH",IF(Z624=1,"DEFENSIV",IF(Z624=2,"PRUDENT",IF(Z624=3,"MODERAT","RIDICAT")))))))</x:f>
      </x:c>
      <x:c r="AB624" s="10" t="str">
        <x:f>IF(N624="","",MIN(N624,1-S624))</x:f>
      </x:c>
      <x:c r="AC624" s="2" t="str">
        <x:f>IF(AD624&lt;&gt;1,"",COUNTIFS($Z$622:$Z$635,"&lt;"&amp;Z624,$AD$622:$AD$635,1)+COUNTIFS($Z$622:$Z$635,Z624,$AB$622:$AB$635,"&gt;"&amp;AB624,$AD$622:$AD$635,1)+COUNTIFS($Z$622:$Z$635,Z624,$AB$622:$AB$635,AB624,$V$622:$V$635,"&gt;"&amp;V624,$AD$622:$AD$635,1)+COUNTIFS($Z$622:Z624,Z624,$AB$622:AB624,AB624,$V$622:V624,V624,$AD$622:AD624,1))</x:f>
      </x:c>
      <x:c r="AD624" s="2" t="n">
        <x:f>IF(OR(AA624="DEFENSIV",AA624="PRUDENT",AA624="MODERAT",AA624="RIDICAT"),1,0)</x:f>
        <x:v>0</x:v>
      </x:c>
      <x:c r="AE624" s="2" t="str">
        <x:f>IF(AD624&lt;&gt;1,"NO",IF(W624="PASS","YES",IF(W624="OOS PENDING","CONDITIONAL","NO")))</x:f>
        <x:v>NO</x:v>
      </x:c>
      <x:c r="AF624" s="2" t="n">
        <x:f>IF(AND(AD624=1,AC624=1,E624="LIVE"),1,0)</x:f>
        <x:v>0</x:v>
      </x:c>
      <x:c r="AG624" s="2" t="str">
        <x:f>IF(AF624&lt;&gt;1,"",'Dashboard'!P70)</x:f>
      </x:c>
      <x:c r="AH624" s="2" t="str">
        <x:f>IF(B624="","",IF(J624&lt;&gt;"PASS",'Motor_Meciuri'!J50,IF('Calibrare_Linii'!U8&lt;&gt;"VALID","Parametri linie invalizi",IF(L624&gt;'Config_v6'!$B$13,"Dispersie peste limita",IF(W624="WATCH","Failure peste limita",IF(AB624&lt;'Config_v6'!$B$16,"P finala sub prag",IF(V624&lt;'Config_v6'!$B$18,"Confidence sub prag",IF(E624="REPLAY","Exemplu retrospectiv; exclus din Top LIVE",IF(Y624="PASS","DEFENSIV validat",IF(W624="OOS PENDING","Eligibil; calibrare linie in monitorizare","Eligibil"))))))))))</x:f>
      </x:c>
      <x:c r="AI624" s="2" t="str">
        <x:f>IF(B624="","",'Calibrare_Linii'!V8)</x:f>
      </x:c>
      <x:c r="AJ624" s="2" t="str">
        <x:f>IF(B624="","",IF(AND('Calibrare_Linii'!T8="VALIDATED",AND('Calibrare_Linii'!H8=C624,ISNUMBER('Calibrare_Linii'!J8),'Calibrare_Linii'!J8&lt;='Input_Meci'!G50)),"DEFENSIVE VALIDATED",IF(AND('Calibrare_Linii'!S8="VALIDATED",AND('Calibrare_Linii'!H8=C624,ISNUMBER('Calibrare_Linii'!J8),'Calibrare_Linii'!J8&lt;='Input_Meci'!G50)),"TAIL VALIDATED","OOS PENDING")))</x:f>
      </x:c>
      <x:c r="AK624" s="2" t="n">
        <x:f>IF(J624&lt;&gt;"PASS",0,'Motor_Meciuri'!BR50)</x:f>
        <x:v>0</x:v>
      </x:c>
      <x:c r="AL624" s="2" t="n">
        <x:f>IF(J624&lt;&gt;"PASS",0,'Motor_Meciuri'!BS50)</x:f>
        <x:v>0</x:v>
      </x:c>
      <x:c r="AM624" s="2" t="n">
        <x:f>IF(J624&lt;&gt;"PASS",0,'Motor_Meciuri'!BT50)</x:f>
        <x:v>0</x:v>
      </x:c>
      <x:c r="AN624" s="2" t="str">
        <x:f>IF(M624="","",MAX(0,'Motor_Meciuri'!BF50-IF(L624&gt;'Config_v6'!$B$12,'Config_v6'!$B$37,IF(L624&gt;'Config_v6'!$B$11,'Config_v6'!$B$36,0))))</x:f>
      </x:c>
    </x:row>
    <x:row r="625" ht="21" customHeight="1">
      <x:c r="A625" s="2" t="n">
        <x:v>45</x:v>
      </x:c>
      <x:c r="B625" s="2" t="str">
        <x:f>IF('Motor_Meciuri'!A50="","",'Motor_Meciuri'!A50)</x:f>
      </x:c>
      <x:c r="C625" s="2" t="str">
        <x:f>IF(B625="","",'Motor_Meciuri'!B50)</x:f>
      </x:c>
      <x:c r="D625" s="2" t="str">
        <x:f>IF(B625="","",'Motor_Meciuri'!D50)</x:f>
      </x:c>
      <x:c r="E625" s="2" t="str">
        <x:f>IF(B625="","",'Motor_Meciuri'!E50)</x:f>
      </x:c>
      <x:c r="F625" s="2" t="str">
        <x:v>O6,5</x:v>
      </x:c>
      <x:c r="G625" s="2" t="str">
        <x:v>OVER</x:v>
      </x:c>
      <x:c r="H625" s="2" t="n">
        <x:v>6</x:v>
      </x:c>
      <x:c r="I625" s="2" t="str">
        <x:f>IF(B625="","",'Motor_Meciuri'!H50)</x:f>
      </x:c>
      <x:c r="J625" s="2" t="str">
        <x:f>IF(B625="","",'Motor_Meciuri'!I50)</x:f>
      </x:c>
      <x:c r="K625" s="11" t="str">
        <x:f>IF(J625&lt;&gt;"PASS","",'Motor_Meciuri'!BD50)</x:f>
      </x:c>
      <x:c r="L625" s="11" t="str">
        <x:f>IF(J625&lt;&gt;"PASS","",'Motor_Meciuri'!AU50)</x:f>
      </x:c>
      <x:c r="M625" s="10" t="str">
        <x:f>IF(NOT(AND(J625="PASS",'Calibrare_Linii'!U9="VALID")),"",1-'Distributie'!AD50)</x:f>
      </x:c>
      <x:c r="N625" s="10" t="str">
        <x:f>IF(M625="","",MAX(0.01,MIN(0.99,0.5+(M625-0.5)*'Motor_Meciuri'!BG50*'Calibrare_Linii'!D9)))</x:f>
      </x:c>
      <x:c r="O625" s="10" t="str">
        <x:f>IF(M625="","",1-M625)</x:f>
      </x:c>
      <x:c r="P625" s="10" t="str">
        <x:f>IF(OR(NOT(AND(J625="PASS",'Calibrare_Linii'!U9="VALID")),AK625=0),""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*('Istoric_Nativ'!$Q$6:$Q$405&lt;=H625))/AK625)</x:f>
      </x:c>
      <x:c r="Q625" s="10" t="str">
        <x:f>IF(OR(NOT(AND(J625="PASS",'Calibrare_Linii'!U9="VALID")),AL625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M50)+((('Istoric_Nativ'!$E$6:$E$405='Input_Meci'!E50)+('Istoric_Nativ'!$F$6:$F$405='Input_Meci'!E50))&gt;0)*('Istoric_Nativ'!$D$6:$D$405&gt;='Motor_Meciuri'!BN50))&gt;0)*('Istoric_Nativ'!$Q$6:$Q$405&lt;=H625))/AL625)</x:f>
      </x:c>
      <x:c r="R625" s="10" t="str">
        <x:f>IF(OR(NOT(AND(J625="PASS",'Calibrare_Linii'!U9="VALID")),AM625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O50)+((('Istoric_Nativ'!$E$6:$E$405='Input_Meci'!E50)+('Istoric_Nativ'!$F$6:$F$405='Input_Meci'!E50))&gt;0)*('Istoric_Nativ'!$D$6:$D$405&gt;='Motor_Meciuri'!BP50))&gt;0)*('Istoric_Nativ'!$Q$6:$Q$405&lt;=H625))/AM625)</x:f>
      </x:c>
      <x:c r="S625" s="10" t="str">
        <x:f>IF(M625="","",MAX(O625,P625,Q625,R625))</x:f>
      </x:c>
      <x:c r="T625" s="11" t="str">
        <x:f>IF(M625="","",MIN(100,S625*100*'Config_v6'!$B$44+MIN(100,L625/'Config_v6'!$B$13*100)*'Config_v6'!$B$45+(100-'Motor_Meciuri'!BF50)*'Config_v6'!$B$46+'Motor_Meciuri'!BH50*100*'Config_v6'!$B$47))</x:f>
      </x:c>
      <x:c r="U625" s="2" t="str">
        <x:f>IF(T625="","",IF(T625&lt;=20,1,IF(T625&lt;=40,2,IF(T625&lt;=60,3,IF(T625&lt;=80,4,5)))))</x:f>
      </x:c>
      <x:c r="V625" s="2" t="str">
        <x:f>IF(M625="","",MAX(0,'Motor_Meciuri'!BF50-IF(W625="OOS PENDING",'Config_v6'!$B$35,0)-IF(L625&gt;'Config_v6'!$B$12,'Config_v6'!$B$37,IF(L625&gt;'Config_v6'!$B$11,'Config_v6'!$B$36,0))))</x:f>
      </x:c>
      <x:c r="W625" s="2" t="str">
        <x:f>IF(B625="","",IF(I625&lt;&gt;"READY","NOT RELEASED",IF(NOT(AND(J625="PASS",'Calibrare_Linii'!U9="VALID")),"INVALID",IF(NOT(AND('Calibrare_Linii'!S9="VALIDATED",AND('Calibrare_Linii'!H9=C625,ISNUMBER('Calibrare_Linii'!J9),'Calibrare_Linii'!J9&lt;='Input_Meci'!G50))),"OOS PENDING",IF(S625&lt;='Calibrare_Linii'!E9,"PASS",IF(S625&lt;='Calibrare_Linii'!F9,"PENALTY","WATCH"))))))</x:f>
      </x:c>
      <x:c r="X625" s="2" t="str">
        <x:f>IF(M625="","",IF(AND(AND(J625="PASS",'Calibrare_Linii'!U9="VALID"),'Motor_Meciuri'!K50=12,'Motor_Meciuri'!L50=12,'Motor_Meciuri'!M50="NO",'Motor_Meciuri'!BL50='Motor_Meciuri'!C50,AB625&gt;='Config_v6'!$B$50,AN625&gt;='Config_v6'!$B$51,T625&lt;='Config_v6'!$B$52,L625&lt;='Config_v6'!$B$53,ISNUMBER('Calibrare_Linii'!E9),S625&lt;='Calibrare_Linii'!E9,SUM(AK625:AM625)&gt;0),"CANDIDATE","NO"))</x:f>
      </x:c>
      <x:c r="Y625" s="2" t="str">
        <x:f>IF(B625="","",IF(I625&lt;&gt;"READY","NOT RELEASED",IF(AND(X625="CANDIDATE",V625&gt;='Config_v6'!$B$51,W625="PASS",'Calibrare_Linii'!T9="VALIDATED",AND('Calibrare_Linii'!H9=C625,ISNUMBER('Calibrare_Linii'!J9),'Calibrare_Linii'!J9&lt;='Input_Meci'!G50)),"PASS",IF(X625="CANDIDATE","OOS PENDING","FAIL"))))</x:f>
      </x:c>
      <x:c r="Z625" s="2" t="str">
        <x:f>IF(B625="","",IF(I625&lt;&gt;"READY","",IF(OR(NOT(AND(J625="PASS",'Calibrare_Linii'!U9="VALID")),L625&gt;'Config_v6'!$B$13,W625="WATCH"),5,IF(Y625="PASS",1,MIN(5,MAX('Config_v6'!$B$42,U625)+IF(W625="PENALTY",1,0))))))</x:f>
      </x:c>
      <x:c r="AA625" s="2" t="str">
        <x:f>IF(B625="","",IF(I625&lt;&gt;"READY","NOT RELEASED",IF(Z625=5,"NO BET",IF(OR(AB625&lt;'Config_v6'!$B$16,V625&lt;'Config_v6'!$B$18),"WATCH",IF(Z625=1,"DEFENSIV",IF(Z625=2,"PRUDENT",IF(Z625=3,"MODERAT","RIDICAT")))))))</x:f>
      </x:c>
      <x:c r="AB625" s="10" t="str">
        <x:f>IF(N625="","",MIN(N625,1-S625))</x:f>
      </x:c>
      <x:c r="AC625" s="2" t="str">
        <x:f>IF(AD625&lt;&gt;1,"",COUNTIFS($Z$622:$Z$635,"&lt;"&amp;Z625,$AD$622:$AD$635,1)+COUNTIFS($Z$622:$Z$635,Z625,$AB$622:$AB$635,"&gt;"&amp;AB625,$AD$622:$AD$635,1)+COUNTIFS($Z$622:$Z$635,Z625,$AB$622:$AB$635,AB625,$V$622:$V$635,"&gt;"&amp;V625,$AD$622:$AD$635,1)+COUNTIFS($Z$622:Z625,Z625,$AB$622:AB625,AB625,$V$622:V625,V625,$AD$622:AD625,1))</x:f>
      </x:c>
      <x:c r="AD625" s="2" t="n">
        <x:f>IF(OR(AA625="DEFENSIV",AA625="PRUDENT",AA625="MODERAT",AA625="RIDICAT"),1,0)</x:f>
        <x:v>0</x:v>
      </x:c>
      <x:c r="AE625" s="2" t="str">
        <x:f>IF(AD625&lt;&gt;1,"NO",IF(W625="PASS","YES",IF(W625="OOS PENDING","CONDITIONAL","NO")))</x:f>
        <x:v>NO</x:v>
      </x:c>
      <x:c r="AF625" s="2" t="n">
        <x:f>IF(AND(AD625=1,AC625=1,E625="LIVE"),1,0)</x:f>
        <x:v>0</x:v>
      </x:c>
      <x:c r="AG625" s="2" t="str">
        <x:f>IF(AF625&lt;&gt;1,"",'Dashboard'!P70)</x:f>
      </x:c>
      <x:c r="AH625" s="2" t="str">
        <x:f>IF(B625="","",IF(J625&lt;&gt;"PASS",'Motor_Meciuri'!J50,IF('Calibrare_Linii'!U9&lt;&gt;"VALID","Parametri linie invalizi",IF(L625&gt;'Config_v6'!$B$13,"Dispersie peste limita",IF(W625="WATCH","Failure peste limita",IF(AB625&lt;'Config_v6'!$B$16,"P finala sub prag",IF(V625&lt;'Config_v6'!$B$18,"Confidence sub prag",IF(E625="REPLAY","Exemplu retrospectiv; exclus din Top LIVE",IF(Y625="PASS","DEFENSIV validat",IF(W625="OOS PENDING","Eligibil; calibrare linie in monitorizare","Eligibil"))))))))))</x:f>
      </x:c>
      <x:c r="AI625" s="2" t="str">
        <x:f>IF(B625="","",'Calibrare_Linii'!V9)</x:f>
      </x:c>
      <x:c r="AJ625" s="2" t="str">
        <x:f>IF(B625="","",IF(AND('Calibrare_Linii'!T9="VALIDATED",AND('Calibrare_Linii'!H9=C625,ISNUMBER('Calibrare_Linii'!J9),'Calibrare_Linii'!J9&lt;='Input_Meci'!G50)),"DEFENSIVE VALIDATED",IF(AND('Calibrare_Linii'!S9="VALIDATED",AND('Calibrare_Linii'!H9=C625,ISNUMBER('Calibrare_Linii'!J9),'Calibrare_Linii'!J9&lt;='Input_Meci'!G50)),"TAIL VALIDATED","OOS PENDING")))</x:f>
      </x:c>
      <x:c r="AK625" s="2" t="n">
        <x:f>IF(J625&lt;&gt;"PASS",0,'Motor_Meciuri'!BR50)</x:f>
        <x:v>0</x:v>
      </x:c>
      <x:c r="AL625" s="2" t="n">
        <x:f>IF(J625&lt;&gt;"PASS",0,'Motor_Meciuri'!BS50)</x:f>
        <x:v>0</x:v>
      </x:c>
      <x:c r="AM625" s="2" t="n">
        <x:f>IF(J625&lt;&gt;"PASS",0,'Motor_Meciuri'!BT50)</x:f>
        <x:v>0</x:v>
      </x:c>
      <x:c r="AN625" s="2" t="str">
        <x:f>IF(M625="","",MAX(0,'Motor_Meciuri'!BF50-IF(L625&gt;'Config_v6'!$B$12,'Config_v6'!$B$37,IF(L625&gt;'Config_v6'!$B$11,'Config_v6'!$B$36,0))))</x:f>
      </x:c>
    </x:row>
    <x:row r="626" ht="21" customHeight="1">
      <x:c r="A626" s="2" t="n">
        <x:v>45</x:v>
      </x:c>
      <x:c r="B626" s="2" t="str">
        <x:f>IF('Motor_Meciuri'!A50="","",'Motor_Meciuri'!A50)</x:f>
      </x:c>
      <x:c r="C626" s="2" t="str">
        <x:f>IF(B626="","",'Motor_Meciuri'!B50)</x:f>
      </x:c>
      <x:c r="D626" s="2" t="str">
        <x:f>IF(B626="","",'Motor_Meciuri'!D50)</x:f>
      </x:c>
      <x:c r="E626" s="2" t="str">
        <x:f>IF(B626="","",'Motor_Meciuri'!E50)</x:f>
      </x:c>
      <x:c r="F626" s="2" t="str">
        <x:v>O7,5</x:v>
      </x:c>
      <x:c r="G626" s="2" t="str">
        <x:v>OVER</x:v>
      </x:c>
      <x:c r="H626" s="2" t="n">
        <x:v>7</x:v>
      </x:c>
      <x:c r="I626" s="2" t="str">
        <x:f>IF(B626="","",'Motor_Meciuri'!H50)</x:f>
      </x:c>
      <x:c r="J626" s="2" t="str">
        <x:f>IF(B626="","",'Motor_Meciuri'!I50)</x:f>
      </x:c>
      <x:c r="K626" s="11" t="str">
        <x:f>IF(J626&lt;&gt;"PASS","",'Motor_Meciuri'!BD50)</x:f>
      </x:c>
      <x:c r="L626" s="11" t="str">
        <x:f>IF(J626&lt;&gt;"PASS","",'Motor_Meciuri'!AU50)</x:f>
      </x:c>
      <x:c r="M626" s="10" t="str">
        <x:f>IF(NOT(AND(J626="PASS",'Calibrare_Linii'!U10="VALID")),"",1-'Distributie'!AE50)</x:f>
      </x:c>
      <x:c r="N626" s="10" t="str">
        <x:f>IF(M626="","",MAX(0.01,MIN(0.99,0.5+(M626-0.5)*'Motor_Meciuri'!BG50*'Calibrare_Linii'!D10)))</x:f>
      </x:c>
      <x:c r="O626" s="10" t="str">
        <x:f>IF(M626="","",1-M626)</x:f>
      </x:c>
      <x:c r="P626" s="10" t="str">
        <x:f>IF(OR(NOT(AND(J626="PASS",'Calibrare_Linii'!U10="VALID")),AK626=0),""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*('Istoric_Nativ'!$Q$6:$Q$405&lt;=H626))/AK626)</x:f>
      </x:c>
      <x:c r="Q626" s="10" t="str">
        <x:f>IF(OR(NOT(AND(J626="PASS",'Calibrare_Linii'!U10="VALID")),AL626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M50)+((('Istoric_Nativ'!$E$6:$E$405='Input_Meci'!E50)+('Istoric_Nativ'!$F$6:$F$405='Input_Meci'!E50))&gt;0)*('Istoric_Nativ'!$D$6:$D$405&gt;='Motor_Meciuri'!BN50))&gt;0)*('Istoric_Nativ'!$Q$6:$Q$405&lt;=H626))/AL626)</x:f>
      </x:c>
      <x:c r="R626" s="10" t="str">
        <x:f>IF(OR(NOT(AND(J626="PASS",'Calibrare_Linii'!U10="VALID")),AM626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O50)+((('Istoric_Nativ'!$E$6:$E$405='Input_Meci'!E50)+('Istoric_Nativ'!$F$6:$F$405='Input_Meci'!E50))&gt;0)*('Istoric_Nativ'!$D$6:$D$405&gt;='Motor_Meciuri'!BP50))&gt;0)*('Istoric_Nativ'!$Q$6:$Q$405&lt;=H626))/AM626)</x:f>
      </x:c>
      <x:c r="S626" s="10" t="str">
        <x:f>IF(M626="","",MAX(O626,P626,Q626,R626))</x:f>
      </x:c>
      <x:c r="T626" s="11" t="str">
        <x:f>IF(M626="","",MIN(100,S626*100*'Config_v6'!$B$44+MIN(100,L626/'Config_v6'!$B$13*100)*'Config_v6'!$B$45+(100-'Motor_Meciuri'!BF50)*'Config_v6'!$B$46+'Motor_Meciuri'!BH50*100*'Config_v6'!$B$47))</x:f>
      </x:c>
      <x:c r="U626" s="2" t="str">
        <x:f>IF(T626="","",IF(T626&lt;=20,1,IF(T626&lt;=40,2,IF(T626&lt;=60,3,IF(T626&lt;=80,4,5)))))</x:f>
      </x:c>
      <x:c r="V626" s="2" t="str">
        <x:f>IF(M626="","",MAX(0,'Motor_Meciuri'!BF50-IF(W626="OOS PENDING",'Config_v6'!$B$35,0)-IF(L626&gt;'Config_v6'!$B$12,'Config_v6'!$B$37,IF(L626&gt;'Config_v6'!$B$11,'Config_v6'!$B$36,0))))</x:f>
      </x:c>
      <x:c r="W626" s="2" t="str">
        <x:f>IF(B626="","",IF(I626&lt;&gt;"READY","NOT RELEASED",IF(NOT(AND(J626="PASS",'Calibrare_Linii'!U10="VALID")),"INVALID",IF(NOT(AND('Calibrare_Linii'!S10="VALIDATED",AND('Calibrare_Linii'!H10=C626,ISNUMBER('Calibrare_Linii'!J10),'Calibrare_Linii'!J10&lt;='Input_Meci'!G50))),"OOS PENDING",IF(S626&lt;='Calibrare_Linii'!E10,"PASS",IF(S626&lt;='Calibrare_Linii'!F10,"PENALTY","WATCH"))))))</x:f>
      </x:c>
      <x:c r="X626" s="2" t="str">
        <x:f>IF(M626="","",IF(AND(AND(J626="PASS",'Calibrare_Linii'!U10="VALID"),'Motor_Meciuri'!K50=12,'Motor_Meciuri'!L50=12,'Motor_Meciuri'!M50="NO",'Motor_Meciuri'!BL50='Motor_Meciuri'!C50,AB626&gt;='Config_v6'!$B$50,AN626&gt;='Config_v6'!$B$51,T626&lt;='Config_v6'!$B$52,L626&lt;='Config_v6'!$B$53,ISNUMBER('Calibrare_Linii'!E10),S626&lt;='Calibrare_Linii'!E10,SUM(AK626:AM626)&gt;0),"CANDIDATE","NO"))</x:f>
      </x:c>
      <x:c r="Y626" s="2" t="str">
        <x:f>IF(B626="","",IF(I626&lt;&gt;"READY","NOT RELEASED",IF(AND(X626="CANDIDATE",V626&gt;='Config_v6'!$B$51,W626="PASS",'Calibrare_Linii'!T10="VALIDATED",AND('Calibrare_Linii'!H10=C626,ISNUMBER('Calibrare_Linii'!J10),'Calibrare_Linii'!J10&lt;='Input_Meci'!G50)),"PASS",IF(X626="CANDIDATE","OOS PENDING","FAIL"))))</x:f>
      </x:c>
      <x:c r="Z626" s="2" t="str">
        <x:f>IF(B626="","",IF(I626&lt;&gt;"READY","",IF(OR(NOT(AND(J626="PASS",'Calibrare_Linii'!U10="VALID")),L626&gt;'Config_v6'!$B$13,W626="WATCH"),5,IF(Y626="PASS",1,MIN(5,MAX('Config_v6'!$B$42,U626)+IF(W626="PENALTY",1,0))))))</x:f>
      </x:c>
      <x:c r="AA626" s="2" t="str">
        <x:f>IF(B626="","",IF(I626&lt;&gt;"READY","NOT RELEASED",IF(Z626=5,"NO BET",IF(OR(AB626&lt;'Config_v6'!$B$16,V626&lt;'Config_v6'!$B$18),"WATCH",IF(Z626=1,"DEFENSIV",IF(Z626=2,"PRUDENT",IF(Z626=3,"MODERAT","RIDICAT")))))))</x:f>
      </x:c>
      <x:c r="AB626" s="10" t="str">
        <x:f>IF(N626="","",MIN(N626,1-S626))</x:f>
      </x:c>
      <x:c r="AC626" s="2" t="str">
        <x:f>IF(AD626&lt;&gt;1,"",COUNTIFS($Z$622:$Z$635,"&lt;"&amp;Z626,$AD$622:$AD$635,1)+COUNTIFS($Z$622:$Z$635,Z626,$AB$622:$AB$635,"&gt;"&amp;AB626,$AD$622:$AD$635,1)+COUNTIFS($Z$622:$Z$635,Z626,$AB$622:$AB$635,AB626,$V$622:$V$635,"&gt;"&amp;V626,$AD$622:$AD$635,1)+COUNTIFS($Z$622:Z626,Z626,$AB$622:AB626,AB626,$V$622:V626,V626,$AD$622:AD626,1))</x:f>
      </x:c>
      <x:c r="AD626" s="2" t="n">
        <x:f>IF(OR(AA626="DEFENSIV",AA626="PRUDENT",AA626="MODERAT",AA626="RIDICAT"),1,0)</x:f>
        <x:v>0</x:v>
      </x:c>
      <x:c r="AE626" s="2" t="str">
        <x:f>IF(AD626&lt;&gt;1,"NO",IF(W626="PASS","YES",IF(W626="OOS PENDING","CONDITIONAL","NO")))</x:f>
        <x:v>NO</x:v>
      </x:c>
      <x:c r="AF626" s="2" t="n">
        <x:f>IF(AND(AD626=1,AC626=1,E626="LIVE"),1,0)</x:f>
        <x:v>0</x:v>
      </x:c>
      <x:c r="AG626" s="2" t="str">
        <x:f>IF(AF626&lt;&gt;1,"",'Dashboard'!P70)</x:f>
      </x:c>
      <x:c r="AH626" s="2" t="str">
        <x:f>IF(B626="","",IF(J626&lt;&gt;"PASS",'Motor_Meciuri'!J50,IF('Calibrare_Linii'!U10&lt;&gt;"VALID","Parametri linie invalizi",IF(L626&gt;'Config_v6'!$B$13,"Dispersie peste limita",IF(W626="WATCH","Failure peste limita",IF(AB626&lt;'Config_v6'!$B$16,"P finala sub prag",IF(V626&lt;'Config_v6'!$B$18,"Confidence sub prag",IF(E626="REPLAY","Exemplu retrospectiv; exclus din Top LIVE",IF(Y626="PASS","DEFENSIV validat",IF(W626="OOS PENDING","Eligibil; calibrare linie in monitorizare","Eligibil"))))))))))</x:f>
      </x:c>
      <x:c r="AI626" s="2" t="str">
        <x:f>IF(B626="","",'Calibrare_Linii'!V10)</x:f>
      </x:c>
      <x:c r="AJ626" s="2" t="str">
        <x:f>IF(B626="","",IF(AND('Calibrare_Linii'!T10="VALIDATED",AND('Calibrare_Linii'!H10=C626,ISNUMBER('Calibrare_Linii'!J10),'Calibrare_Linii'!J10&lt;='Input_Meci'!G50)),"DEFENSIVE VALIDATED",IF(AND('Calibrare_Linii'!S10="VALIDATED",AND('Calibrare_Linii'!H10=C626,ISNUMBER('Calibrare_Linii'!J10),'Calibrare_Linii'!J10&lt;='Input_Meci'!G50)),"TAIL VALIDATED","OOS PENDING")))</x:f>
      </x:c>
      <x:c r="AK626" s="2" t="n">
        <x:f>IF(J626&lt;&gt;"PASS",0,'Motor_Meciuri'!BR50)</x:f>
        <x:v>0</x:v>
      </x:c>
      <x:c r="AL626" s="2" t="n">
        <x:f>IF(J626&lt;&gt;"PASS",0,'Motor_Meciuri'!BS50)</x:f>
        <x:v>0</x:v>
      </x:c>
      <x:c r="AM626" s="2" t="n">
        <x:f>IF(J626&lt;&gt;"PASS",0,'Motor_Meciuri'!BT50)</x:f>
        <x:v>0</x:v>
      </x:c>
      <x:c r="AN626" s="2" t="str">
        <x:f>IF(M626="","",MAX(0,'Motor_Meciuri'!BF50-IF(L626&gt;'Config_v6'!$B$12,'Config_v6'!$B$37,IF(L626&gt;'Config_v6'!$B$11,'Config_v6'!$B$36,0))))</x:f>
      </x:c>
    </x:row>
    <x:row r="627" ht="21" customHeight="1">
      <x:c r="A627" s="2" t="n">
        <x:v>45</x:v>
      </x:c>
      <x:c r="B627" s="2" t="str">
        <x:f>IF('Motor_Meciuri'!A50="","",'Motor_Meciuri'!A50)</x:f>
      </x:c>
      <x:c r="C627" s="2" t="str">
        <x:f>IF(B627="","",'Motor_Meciuri'!B50)</x:f>
      </x:c>
      <x:c r="D627" s="2" t="str">
        <x:f>IF(B627="","",'Motor_Meciuri'!D50)</x:f>
      </x:c>
      <x:c r="E627" s="2" t="str">
        <x:f>IF(B627="","",'Motor_Meciuri'!E50)</x:f>
      </x:c>
      <x:c r="F627" s="2" t="str">
        <x:v>O8,5</x:v>
      </x:c>
      <x:c r="G627" s="2" t="str">
        <x:v>OVER</x:v>
      </x:c>
      <x:c r="H627" s="2" t="n">
        <x:v>8</x:v>
      </x:c>
      <x:c r="I627" s="2" t="str">
        <x:f>IF(B627="","",'Motor_Meciuri'!H50)</x:f>
      </x:c>
      <x:c r="J627" s="2" t="str">
        <x:f>IF(B627="","",'Motor_Meciuri'!I50)</x:f>
      </x:c>
      <x:c r="K627" s="11" t="str">
        <x:f>IF(J627&lt;&gt;"PASS","",'Motor_Meciuri'!BD50)</x:f>
      </x:c>
      <x:c r="L627" s="11" t="str">
        <x:f>IF(J627&lt;&gt;"PASS","",'Motor_Meciuri'!AU50)</x:f>
      </x:c>
      <x:c r="M627" s="10" t="str">
        <x:f>IF(NOT(AND(J627="PASS",'Calibrare_Linii'!U11="VALID")),"",1-'Distributie'!AF50)</x:f>
      </x:c>
      <x:c r="N627" s="10" t="str">
        <x:f>IF(M627="","",MAX(0.01,MIN(0.99,0.5+(M627-0.5)*'Motor_Meciuri'!BG50*'Calibrare_Linii'!D11)))</x:f>
      </x:c>
      <x:c r="O627" s="10" t="str">
        <x:f>IF(M627="","",1-M627)</x:f>
      </x:c>
      <x:c r="P627" s="10" t="str">
        <x:f>IF(OR(NOT(AND(J627="PASS",'Calibrare_Linii'!U11="VALID")),AK627=0),""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*('Istoric_Nativ'!$Q$6:$Q$405&lt;=H627))/AK627)</x:f>
      </x:c>
      <x:c r="Q627" s="10" t="str">
        <x:f>IF(OR(NOT(AND(J627="PASS",'Calibrare_Linii'!U11="VALID")),AL627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M50)+((('Istoric_Nativ'!$E$6:$E$405='Input_Meci'!E50)+('Istoric_Nativ'!$F$6:$F$405='Input_Meci'!E50))&gt;0)*('Istoric_Nativ'!$D$6:$D$405&gt;='Motor_Meciuri'!BN50))&gt;0)*('Istoric_Nativ'!$Q$6:$Q$405&lt;=H627))/AL627)</x:f>
      </x:c>
      <x:c r="R627" s="10" t="str">
        <x:f>IF(OR(NOT(AND(J627="PASS",'Calibrare_Linii'!U11="VALID")),AM627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O50)+((('Istoric_Nativ'!$E$6:$E$405='Input_Meci'!E50)+('Istoric_Nativ'!$F$6:$F$405='Input_Meci'!E50))&gt;0)*('Istoric_Nativ'!$D$6:$D$405&gt;='Motor_Meciuri'!BP50))&gt;0)*('Istoric_Nativ'!$Q$6:$Q$405&lt;=H627))/AM627)</x:f>
      </x:c>
      <x:c r="S627" s="10" t="str">
        <x:f>IF(M627="","",MAX(O627,P627,Q627,R627))</x:f>
      </x:c>
      <x:c r="T627" s="11" t="str">
        <x:f>IF(M627="","",MIN(100,S627*100*'Config_v6'!$B$44+MIN(100,L627/'Config_v6'!$B$13*100)*'Config_v6'!$B$45+(100-'Motor_Meciuri'!BF50)*'Config_v6'!$B$46+'Motor_Meciuri'!BH50*100*'Config_v6'!$B$47))</x:f>
      </x:c>
      <x:c r="U627" s="2" t="str">
        <x:f>IF(T627="","",IF(T627&lt;=20,1,IF(T627&lt;=40,2,IF(T627&lt;=60,3,IF(T627&lt;=80,4,5)))))</x:f>
      </x:c>
      <x:c r="V627" s="2" t="str">
        <x:f>IF(M627="","",MAX(0,'Motor_Meciuri'!BF50-IF(W627="OOS PENDING",'Config_v6'!$B$35,0)-IF(L627&gt;'Config_v6'!$B$12,'Config_v6'!$B$37,IF(L627&gt;'Config_v6'!$B$11,'Config_v6'!$B$36,0))))</x:f>
      </x:c>
      <x:c r="W627" s="2" t="str">
        <x:f>IF(B627="","",IF(I627&lt;&gt;"READY","NOT RELEASED",IF(NOT(AND(J627="PASS",'Calibrare_Linii'!U11="VALID")),"INVALID",IF(NOT(AND('Calibrare_Linii'!S11="VALIDATED",AND('Calibrare_Linii'!H11=C627,ISNUMBER('Calibrare_Linii'!J11),'Calibrare_Linii'!J11&lt;='Input_Meci'!G50))),"OOS PENDING",IF(S627&lt;='Calibrare_Linii'!E11,"PASS",IF(S627&lt;='Calibrare_Linii'!F11,"PENALTY","WATCH"))))))</x:f>
      </x:c>
      <x:c r="X627" s="2" t="str">
        <x:f>IF(M627="","",IF(AND(AND(J627="PASS",'Calibrare_Linii'!U11="VALID"),'Motor_Meciuri'!K50=12,'Motor_Meciuri'!L50=12,'Motor_Meciuri'!M50="NO",'Motor_Meciuri'!BL50='Motor_Meciuri'!C50,AB627&gt;='Config_v6'!$B$50,AN627&gt;='Config_v6'!$B$51,T627&lt;='Config_v6'!$B$52,L627&lt;='Config_v6'!$B$53,ISNUMBER('Calibrare_Linii'!E11),S627&lt;='Calibrare_Linii'!E11,SUM(AK627:AM627)&gt;0),"CANDIDATE","NO"))</x:f>
      </x:c>
      <x:c r="Y627" s="2" t="str">
        <x:f>IF(B627="","",IF(I627&lt;&gt;"READY","NOT RELEASED",IF(AND(X627="CANDIDATE",V627&gt;='Config_v6'!$B$51,W627="PASS",'Calibrare_Linii'!T11="VALIDATED",AND('Calibrare_Linii'!H11=C627,ISNUMBER('Calibrare_Linii'!J11),'Calibrare_Linii'!J11&lt;='Input_Meci'!G50)),"PASS",IF(X627="CANDIDATE","OOS PENDING","FAIL"))))</x:f>
      </x:c>
      <x:c r="Z627" s="2" t="str">
        <x:f>IF(B627="","",IF(I627&lt;&gt;"READY","",IF(OR(NOT(AND(J627="PASS",'Calibrare_Linii'!U11="VALID")),L627&gt;'Config_v6'!$B$13,W627="WATCH"),5,IF(Y627="PASS",1,MIN(5,MAX('Config_v6'!$B$42,U627)+IF(W627="PENALTY",1,0))))))</x:f>
      </x:c>
      <x:c r="AA627" s="2" t="str">
        <x:f>IF(B627="","",IF(I627&lt;&gt;"READY","NOT RELEASED",IF(Z627=5,"NO BET",IF(OR(AB627&lt;'Config_v6'!$B$16,V627&lt;'Config_v6'!$B$18),"WATCH",IF(Z627=1,"DEFENSIV",IF(Z627=2,"PRUDENT",IF(Z627=3,"MODERAT","RIDICAT")))))))</x:f>
      </x:c>
      <x:c r="AB627" s="10" t="str">
        <x:f>IF(N627="","",MIN(N627,1-S627))</x:f>
      </x:c>
      <x:c r="AC627" s="2" t="str">
        <x:f>IF(AD627&lt;&gt;1,"",COUNTIFS($Z$622:$Z$635,"&lt;"&amp;Z627,$AD$622:$AD$635,1)+COUNTIFS($Z$622:$Z$635,Z627,$AB$622:$AB$635,"&gt;"&amp;AB627,$AD$622:$AD$635,1)+COUNTIFS($Z$622:$Z$635,Z627,$AB$622:$AB$635,AB627,$V$622:$V$635,"&gt;"&amp;V627,$AD$622:$AD$635,1)+COUNTIFS($Z$622:Z627,Z627,$AB$622:AB627,AB627,$V$622:V627,V627,$AD$622:AD627,1))</x:f>
      </x:c>
      <x:c r="AD627" s="2" t="n">
        <x:f>IF(OR(AA627="DEFENSIV",AA627="PRUDENT",AA627="MODERAT",AA627="RIDICAT"),1,0)</x:f>
        <x:v>0</x:v>
      </x:c>
      <x:c r="AE627" s="2" t="str">
        <x:f>IF(AD627&lt;&gt;1,"NO",IF(W627="PASS","YES",IF(W627="OOS PENDING","CONDITIONAL","NO")))</x:f>
        <x:v>NO</x:v>
      </x:c>
      <x:c r="AF627" s="2" t="n">
        <x:f>IF(AND(AD627=1,AC627=1,E627="LIVE"),1,0)</x:f>
        <x:v>0</x:v>
      </x:c>
      <x:c r="AG627" s="2" t="str">
        <x:f>IF(AF627&lt;&gt;1,"",'Dashboard'!P70)</x:f>
      </x:c>
      <x:c r="AH627" s="2" t="str">
        <x:f>IF(B627="","",IF(J627&lt;&gt;"PASS",'Motor_Meciuri'!J50,IF('Calibrare_Linii'!U11&lt;&gt;"VALID","Parametri linie invalizi",IF(L627&gt;'Config_v6'!$B$13,"Dispersie peste limita",IF(W627="WATCH","Failure peste limita",IF(AB627&lt;'Config_v6'!$B$16,"P finala sub prag",IF(V627&lt;'Config_v6'!$B$18,"Confidence sub prag",IF(E627="REPLAY","Exemplu retrospectiv; exclus din Top LIVE",IF(Y627="PASS","DEFENSIV validat",IF(W627="OOS PENDING","Eligibil; calibrare linie in monitorizare","Eligibil"))))))))))</x:f>
      </x:c>
      <x:c r="AI627" s="2" t="str">
        <x:f>IF(B627="","",'Calibrare_Linii'!V11)</x:f>
      </x:c>
      <x:c r="AJ627" s="2" t="str">
        <x:f>IF(B627="","",IF(AND('Calibrare_Linii'!T11="VALIDATED",AND('Calibrare_Linii'!H11=C627,ISNUMBER('Calibrare_Linii'!J11),'Calibrare_Linii'!J11&lt;='Input_Meci'!G50)),"DEFENSIVE VALIDATED",IF(AND('Calibrare_Linii'!S11="VALIDATED",AND('Calibrare_Linii'!H11=C627,ISNUMBER('Calibrare_Linii'!J11),'Calibrare_Linii'!J11&lt;='Input_Meci'!G50)),"TAIL VALIDATED","OOS PENDING")))</x:f>
      </x:c>
      <x:c r="AK627" s="2" t="n">
        <x:f>IF(J627&lt;&gt;"PASS",0,'Motor_Meciuri'!BR50)</x:f>
        <x:v>0</x:v>
      </x:c>
      <x:c r="AL627" s="2" t="n">
        <x:f>IF(J627&lt;&gt;"PASS",0,'Motor_Meciuri'!BS50)</x:f>
        <x:v>0</x:v>
      </x:c>
      <x:c r="AM627" s="2" t="n">
        <x:f>IF(J627&lt;&gt;"PASS",0,'Motor_Meciuri'!BT50)</x:f>
        <x:v>0</x:v>
      </x:c>
      <x:c r="AN627" s="2" t="str">
        <x:f>IF(M627="","",MAX(0,'Motor_Meciuri'!BF50-IF(L627&gt;'Config_v6'!$B$12,'Config_v6'!$B$37,IF(L627&gt;'Config_v6'!$B$11,'Config_v6'!$B$36,0))))</x:f>
      </x:c>
    </x:row>
    <x:row r="628" ht="21" customHeight="1">
      <x:c r="A628" s="2" t="n">
        <x:v>45</x:v>
      </x:c>
      <x:c r="B628" s="2" t="str">
        <x:f>IF('Motor_Meciuri'!A50="","",'Motor_Meciuri'!A50)</x:f>
      </x:c>
      <x:c r="C628" s="2" t="str">
        <x:f>IF(B628="","",'Motor_Meciuri'!B50)</x:f>
      </x:c>
      <x:c r="D628" s="2" t="str">
        <x:f>IF(B628="","",'Motor_Meciuri'!D50)</x:f>
      </x:c>
      <x:c r="E628" s="2" t="str">
        <x:f>IF(B628="","",'Motor_Meciuri'!E50)</x:f>
      </x:c>
      <x:c r="F628" s="2" t="str">
        <x:v>U10,5</x:v>
      </x:c>
      <x:c r="G628" s="2" t="str">
        <x:v>UNDER</x:v>
      </x:c>
      <x:c r="H628" s="2" t="n">
        <x:v>10</x:v>
      </x:c>
      <x:c r="I628" s="2" t="str">
        <x:f>IF(B628="","",'Motor_Meciuri'!H50)</x:f>
      </x:c>
      <x:c r="J628" s="2" t="str">
        <x:f>IF(B628="","",'Motor_Meciuri'!I50)</x:f>
      </x:c>
      <x:c r="K628" s="11" t="str">
        <x:f>IF(J628&lt;&gt;"PASS","",'Motor_Meciuri'!BD50)</x:f>
      </x:c>
      <x:c r="L628" s="11" t="str">
        <x:f>IF(J628&lt;&gt;"PASS","",'Motor_Meciuri'!AU50)</x:f>
      </x:c>
      <x:c r="M628" s="10" t="str">
        <x:f>IF(NOT(AND(J628="PASS",'Calibrare_Linii'!U12="VALID")),"",'Distributie'!AH50)</x:f>
      </x:c>
      <x:c r="N628" s="10" t="str">
        <x:f>IF(M628="","",MAX(0.01,MIN(0.99,0.5+(M628-0.5)*'Motor_Meciuri'!BG50*'Calibrare_Linii'!D12)))</x:f>
      </x:c>
      <x:c r="O628" s="10" t="str">
        <x:f>IF(M628="","",1-M628)</x:f>
      </x:c>
      <x:c r="P628" s="10" t="str">
        <x:f>IF(OR(NOT(AND(J628="PASS",'Calibrare_Linii'!U12="VALID")),AK628=0),""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*('Istoric_Nativ'!$Q$6:$Q$405&gt;H628))/AK628)</x:f>
      </x:c>
      <x:c r="Q628" s="10" t="str">
        <x:f>IF(OR(NOT(AND(J628="PASS",'Calibrare_Linii'!U12="VALID")),AL628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M50)+((('Istoric_Nativ'!$E$6:$E$405='Input_Meci'!E50)+('Istoric_Nativ'!$F$6:$F$405='Input_Meci'!E50))&gt;0)*('Istoric_Nativ'!$D$6:$D$405&gt;='Motor_Meciuri'!BN50))&gt;0)*('Istoric_Nativ'!$Q$6:$Q$405&gt;H628))/AL628)</x:f>
      </x:c>
      <x:c r="R628" s="10" t="str">
        <x:f>IF(OR(NOT(AND(J628="PASS",'Calibrare_Linii'!U12="VALID")),AM628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O50)+((('Istoric_Nativ'!$E$6:$E$405='Input_Meci'!E50)+('Istoric_Nativ'!$F$6:$F$405='Input_Meci'!E50))&gt;0)*('Istoric_Nativ'!$D$6:$D$405&gt;='Motor_Meciuri'!BP50))&gt;0)*('Istoric_Nativ'!$Q$6:$Q$405&gt;H628))/AM628)</x:f>
      </x:c>
      <x:c r="S628" s="10" t="str">
        <x:f>IF(M628="","",MAX(O628,P628,Q628,R628))</x:f>
      </x:c>
      <x:c r="T628" s="11" t="str">
        <x:f>IF(M628="","",MIN(100,S628*100*'Config_v6'!$B$44+MIN(100,L628/'Config_v6'!$B$13*100)*'Config_v6'!$B$45+(100-'Motor_Meciuri'!BF50)*'Config_v6'!$B$46+'Motor_Meciuri'!BH50*100*'Config_v6'!$B$47))</x:f>
      </x:c>
      <x:c r="U628" s="2" t="str">
        <x:f>IF(T628="","",IF(T628&lt;=20,1,IF(T628&lt;=40,2,IF(T628&lt;=60,3,IF(T628&lt;=80,4,5)))))</x:f>
      </x:c>
      <x:c r="V628" s="2" t="str">
        <x:f>IF(M628="","",MAX(0,'Motor_Meciuri'!BF50-IF(W628="OOS PENDING",'Config_v6'!$B$35,0)-IF(L628&gt;'Config_v6'!$B$12,'Config_v6'!$B$37,IF(L628&gt;'Config_v6'!$B$11,'Config_v6'!$B$36,0))))</x:f>
      </x:c>
      <x:c r="W628" s="2" t="str">
        <x:f>IF(B628="","",IF(I628&lt;&gt;"READY","NOT RELEASED",IF(NOT(AND(J628="PASS",'Calibrare_Linii'!U12="VALID")),"INVALID",IF(NOT(AND('Calibrare_Linii'!S12="VALIDATED",AND('Calibrare_Linii'!H12=C628,ISNUMBER('Calibrare_Linii'!J12),'Calibrare_Linii'!J12&lt;='Input_Meci'!G50))),"OOS PENDING",IF(S628&lt;='Calibrare_Linii'!E12,"PASS",IF(S628&lt;='Calibrare_Linii'!F12,"PENALTY","WATCH"))))))</x:f>
      </x:c>
      <x:c r="X628" s="2" t="str">
        <x:f>IF(M628="","",IF(AND(AND(J628="PASS",'Calibrare_Linii'!U12="VALID"),'Motor_Meciuri'!K50=12,'Motor_Meciuri'!L50=12,'Motor_Meciuri'!M50="NO",'Motor_Meciuri'!BL50='Motor_Meciuri'!C50,AB628&gt;='Config_v6'!$B$50,AN628&gt;='Config_v6'!$B$51,T628&lt;='Config_v6'!$B$52,L628&lt;='Config_v6'!$B$53,ISNUMBER('Calibrare_Linii'!E12),S628&lt;='Calibrare_Linii'!E12,SUM(AK628:AM628)&gt;0),"CANDIDATE","NO"))</x:f>
      </x:c>
      <x:c r="Y628" s="2" t="str">
        <x:f>IF(B628="","",IF(I628&lt;&gt;"READY","NOT RELEASED",IF(AND(X628="CANDIDATE",V628&gt;='Config_v6'!$B$51,W628="PASS",'Calibrare_Linii'!T12="VALIDATED",AND('Calibrare_Linii'!H12=C628,ISNUMBER('Calibrare_Linii'!J12),'Calibrare_Linii'!J12&lt;='Input_Meci'!G50)),"PASS",IF(X628="CANDIDATE","OOS PENDING","FAIL"))))</x:f>
      </x:c>
      <x:c r="Z628" s="2" t="str">
        <x:f>IF(B628="","",IF(I628&lt;&gt;"READY","",IF(OR(NOT(AND(J628="PASS",'Calibrare_Linii'!U12="VALID")),L628&gt;'Config_v6'!$B$13,W628="WATCH"),5,IF(Y628="PASS",1,MIN(5,MAX('Config_v6'!$B$42,U628)+IF(W628="PENALTY",1,0))))))</x:f>
      </x:c>
      <x:c r="AA628" s="2" t="str">
        <x:f>IF(B628="","",IF(I628&lt;&gt;"READY","NOT RELEASED",IF(Z628=5,"NO BET",IF(OR(AB628&lt;'Config_v6'!$B$16,V628&lt;'Config_v6'!$B$18),"WATCH",IF(Z628=1,"DEFENSIV",IF(Z628=2,"PRUDENT",IF(Z628=3,"MODERAT","RIDICAT")))))))</x:f>
      </x:c>
      <x:c r="AB628" s="10" t="str">
        <x:f>IF(N628="","",MIN(N628,1-S628))</x:f>
      </x:c>
      <x:c r="AC628" s="2" t="str">
        <x:f>IF(AD628&lt;&gt;1,"",COUNTIFS($Z$622:$Z$635,"&lt;"&amp;Z628,$AD$622:$AD$635,1)+COUNTIFS($Z$622:$Z$635,Z628,$AB$622:$AB$635,"&gt;"&amp;AB628,$AD$622:$AD$635,1)+COUNTIFS($Z$622:$Z$635,Z628,$AB$622:$AB$635,AB628,$V$622:$V$635,"&gt;"&amp;V628,$AD$622:$AD$635,1)+COUNTIFS($Z$622:Z628,Z628,$AB$622:AB628,AB628,$V$622:V628,V628,$AD$622:AD628,1))</x:f>
      </x:c>
      <x:c r="AD628" s="2" t="n">
        <x:f>IF(OR(AA628="DEFENSIV",AA628="PRUDENT",AA628="MODERAT",AA628="RIDICAT"),1,0)</x:f>
        <x:v>0</x:v>
      </x:c>
      <x:c r="AE628" s="2" t="str">
        <x:f>IF(AD628&lt;&gt;1,"NO",IF(W628="PASS","YES",IF(W628="OOS PENDING","CONDITIONAL","NO")))</x:f>
        <x:v>NO</x:v>
      </x:c>
      <x:c r="AF628" s="2" t="n">
        <x:f>IF(AND(AD628=1,AC628=1,E628="LIVE"),1,0)</x:f>
        <x:v>0</x:v>
      </x:c>
      <x:c r="AG628" s="2" t="str">
        <x:f>IF(AF628&lt;&gt;1,"",'Dashboard'!P70)</x:f>
      </x:c>
      <x:c r="AH628" s="2" t="str">
        <x:f>IF(B628="","",IF(J628&lt;&gt;"PASS",'Motor_Meciuri'!J50,IF('Calibrare_Linii'!U12&lt;&gt;"VALID","Parametri linie invalizi",IF(L628&gt;'Config_v6'!$B$13,"Dispersie peste limita",IF(W628="WATCH","Failure peste limita",IF(AB628&lt;'Config_v6'!$B$16,"P finala sub prag",IF(V628&lt;'Config_v6'!$B$18,"Confidence sub prag",IF(E628="REPLAY","Exemplu retrospectiv; exclus din Top LIVE",IF(Y628="PASS","DEFENSIV validat",IF(W628="OOS PENDING","Eligibil; calibrare linie in monitorizare","Eligibil"))))))))))</x:f>
      </x:c>
      <x:c r="AI628" s="2" t="str">
        <x:f>IF(B628="","",'Calibrare_Linii'!V12)</x:f>
      </x:c>
      <x:c r="AJ628" s="2" t="str">
        <x:f>IF(B628="","",IF(AND('Calibrare_Linii'!T12="VALIDATED",AND('Calibrare_Linii'!H12=C628,ISNUMBER('Calibrare_Linii'!J12),'Calibrare_Linii'!J12&lt;='Input_Meci'!G50)),"DEFENSIVE VALIDATED",IF(AND('Calibrare_Linii'!S12="VALIDATED",AND('Calibrare_Linii'!H12=C628,ISNUMBER('Calibrare_Linii'!J12),'Calibrare_Linii'!J12&lt;='Input_Meci'!G50)),"TAIL VALIDATED","OOS PENDING")))</x:f>
      </x:c>
      <x:c r="AK628" s="2" t="n">
        <x:f>IF(J628&lt;&gt;"PASS",0,'Motor_Meciuri'!BR50)</x:f>
        <x:v>0</x:v>
      </x:c>
      <x:c r="AL628" s="2" t="n">
        <x:f>IF(J628&lt;&gt;"PASS",0,'Motor_Meciuri'!BS50)</x:f>
        <x:v>0</x:v>
      </x:c>
      <x:c r="AM628" s="2" t="n">
        <x:f>IF(J628&lt;&gt;"PASS",0,'Motor_Meciuri'!BT50)</x:f>
        <x:v>0</x:v>
      </x:c>
      <x:c r="AN628" s="2" t="str">
        <x:f>IF(M628="","",MAX(0,'Motor_Meciuri'!BF50-IF(L628&gt;'Config_v6'!$B$12,'Config_v6'!$B$37,IF(L628&gt;'Config_v6'!$B$11,'Config_v6'!$B$36,0))))</x:f>
      </x:c>
    </x:row>
    <x:row r="629" ht="21" customHeight="1">
      <x:c r="A629" s="2" t="n">
        <x:v>45</x:v>
      </x:c>
      <x:c r="B629" s="2" t="str">
        <x:f>IF('Motor_Meciuri'!A50="","",'Motor_Meciuri'!A50)</x:f>
      </x:c>
      <x:c r="C629" s="2" t="str">
        <x:f>IF(B629="","",'Motor_Meciuri'!B50)</x:f>
      </x:c>
      <x:c r="D629" s="2" t="str">
        <x:f>IF(B629="","",'Motor_Meciuri'!D50)</x:f>
      </x:c>
      <x:c r="E629" s="2" t="str">
        <x:f>IF(B629="","",'Motor_Meciuri'!E50)</x:f>
      </x:c>
      <x:c r="F629" s="2" t="str">
        <x:v>U11,5</x:v>
      </x:c>
      <x:c r="G629" s="2" t="str">
        <x:v>UNDER</x:v>
      </x:c>
      <x:c r="H629" s="2" t="n">
        <x:v>11</x:v>
      </x:c>
      <x:c r="I629" s="2" t="str">
        <x:f>IF(B629="","",'Motor_Meciuri'!H50)</x:f>
      </x:c>
      <x:c r="J629" s="2" t="str">
        <x:f>IF(B629="","",'Motor_Meciuri'!I50)</x:f>
      </x:c>
      <x:c r="K629" s="11" t="str">
        <x:f>IF(J629&lt;&gt;"PASS","",'Motor_Meciuri'!BD50)</x:f>
      </x:c>
      <x:c r="L629" s="11" t="str">
        <x:f>IF(J629&lt;&gt;"PASS","",'Motor_Meciuri'!AU50)</x:f>
      </x:c>
      <x:c r="M629" s="10" t="str">
        <x:f>IF(NOT(AND(J629="PASS",'Calibrare_Linii'!U13="VALID")),"",'Distributie'!AI50)</x:f>
      </x:c>
      <x:c r="N629" s="10" t="str">
        <x:f>IF(M629="","",MAX(0.01,MIN(0.99,0.5+(M629-0.5)*'Motor_Meciuri'!BG50*'Calibrare_Linii'!D13)))</x:f>
      </x:c>
      <x:c r="O629" s="10" t="str">
        <x:f>IF(M629="","",1-M629)</x:f>
      </x:c>
      <x:c r="P629" s="10" t="str">
        <x:f>IF(OR(NOT(AND(J629="PASS",'Calibrare_Linii'!U13="VALID")),AK629=0),""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*('Istoric_Nativ'!$Q$6:$Q$405&gt;H629))/AK629)</x:f>
      </x:c>
      <x:c r="Q629" s="10" t="str">
        <x:f>IF(OR(NOT(AND(J629="PASS",'Calibrare_Linii'!U13="VALID")),AL629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M50)+((('Istoric_Nativ'!$E$6:$E$405='Input_Meci'!E50)+('Istoric_Nativ'!$F$6:$F$405='Input_Meci'!E50))&gt;0)*('Istoric_Nativ'!$D$6:$D$405&gt;='Motor_Meciuri'!BN50))&gt;0)*('Istoric_Nativ'!$Q$6:$Q$405&gt;H629))/AL629)</x:f>
      </x:c>
      <x:c r="R629" s="10" t="str">
        <x:f>IF(OR(NOT(AND(J629="PASS",'Calibrare_Linii'!U13="VALID")),AM629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O50)+((('Istoric_Nativ'!$E$6:$E$405='Input_Meci'!E50)+('Istoric_Nativ'!$F$6:$F$405='Input_Meci'!E50))&gt;0)*('Istoric_Nativ'!$D$6:$D$405&gt;='Motor_Meciuri'!BP50))&gt;0)*('Istoric_Nativ'!$Q$6:$Q$405&gt;H629))/AM629)</x:f>
      </x:c>
      <x:c r="S629" s="10" t="str">
        <x:f>IF(M629="","",MAX(O629,P629,Q629,R629))</x:f>
      </x:c>
      <x:c r="T629" s="11" t="str">
        <x:f>IF(M629="","",MIN(100,S629*100*'Config_v6'!$B$44+MIN(100,L629/'Config_v6'!$B$13*100)*'Config_v6'!$B$45+(100-'Motor_Meciuri'!BF50)*'Config_v6'!$B$46+'Motor_Meciuri'!BH50*100*'Config_v6'!$B$47))</x:f>
      </x:c>
      <x:c r="U629" s="2" t="str">
        <x:f>IF(T629="","",IF(T629&lt;=20,1,IF(T629&lt;=40,2,IF(T629&lt;=60,3,IF(T629&lt;=80,4,5)))))</x:f>
      </x:c>
      <x:c r="V629" s="2" t="str">
        <x:f>IF(M629="","",MAX(0,'Motor_Meciuri'!BF50-IF(W629="OOS PENDING",'Config_v6'!$B$35,0)-IF(L629&gt;'Config_v6'!$B$12,'Config_v6'!$B$37,IF(L629&gt;'Config_v6'!$B$11,'Config_v6'!$B$36,0))))</x:f>
      </x:c>
      <x:c r="W629" s="2" t="str">
        <x:f>IF(B629="","",IF(I629&lt;&gt;"READY","NOT RELEASED",IF(NOT(AND(J629="PASS",'Calibrare_Linii'!U13="VALID")),"INVALID",IF(NOT(AND('Calibrare_Linii'!S13="VALIDATED",AND('Calibrare_Linii'!H13=C629,ISNUMBER('Calibrare_Linii'!J13),'Calibrare_Linii'!J13&lt;='Input_Meci'!G50))),"OOS PENDING",IF(S629&lt;='Calibrare_Linii'!E13,"PASS",IF(S629&lt;='Calibrare_Linii'!F13,"PENALTY","WATCH"))))))</x:f>
      </x:c>
      <x:c r="X629" s="2" t="str">
        <x:f>IF(M629="","",IF(AND(AND(J629="PASS",'Calibrare_Linii'!U13="VALID"),'Motor_Meciuri'!K50=12,'Motor_Meciuri'!L50=12,'Motor_Meciuri'!M50="NO",'Motor_Meciuri'!BL50='Motor_Meciuri'!C50,AB629&gt;='Config_v6'!$B$50,AN629&gt;='Config_v6'!$B$51,T629&lt;='Config_v6'!$B$52,L629&lt;='Config_v6'!$B$53,ISNUMBER('Calibrare_Linii'!E13),S629&lt;='Calibrare_Linii'!E13,SUM(AK629:AM629)&gt;0),"CANDIDATE","NO"))</x:f>
      </x:c>
      <x:c r="Y629" s="2" t="str">
        <x:f>IF(B629="","",IF(I629&lt;&gt;"READY","NOT RELEASED",IF(AND(X629="CANDIDATE",V629&gt;='Config_v6'!$B$51,W629="PASS",'Calibrare_Linii'!T13="VALIDATED",AND('Calibrare_Linii'!H13=C629,ISNUMBER('Calibrare_Linii'!J13),'Calibrare_Linii'!J13&lt;='Input_Meci'!G50)),"PASS",IF(X629="CANDIDATE","OOS PENDING","FAIL"))))</x:f>
      </x:c>
      <x:c r="Z629" s="2" t="str">
        <x:f>IF(B629="","",IF(I629&lt;&gt;"READY","",IF(OR(NOT(AND(J629="PASS",'Calibrare_Linii'!U13="VALID")),L629&gt;'Config_v6'!$B$13,W629="WATCH"),5,IF(Y629="PASS",1,MIN(5,MAX('Config_v6'!$B$42,U629)+IF(W629="PENALTY",1,0))))))</x:f>
      </x:c>
      <x:c r="AA629" s="2" t="str">
        <x:f>IF(B629="","",IF(I629&lt;&gt;"READY","NOT RELEASED",IF(Z629=5,"NO BET",IF(OR(AB629&lt;'Config_v6'!$B$16,V629&lt;'Config_v6'!$B$18),"WATCH",IF(Z629=1,"DEFENSIV",IF(Z629=2,"PRUDENT",IF(Z629=3,"MODERAT","RIDICAT")))))))</x:f>
      </x:c>
      <x:c r="AB629" s="10" t="str">
        <x:f>IF(N629="","",MIN(N629,1-S629))</x:f>
      </x:c>
      <x:c r="AC629" s="2" t="str">
        <x:f>IF(AD629&lt;&gt;1,"",COUNTIFS($Z$622:$Z$635,"&lt;"&amp;Z629,$AD$622:$AD$635,1)+COUNTIFS($Z$622:$Z$635,Z629,$AB$622:$AB$635,"&gt;"&amp;AB629,$AD$622:$AD$635,1)+COUNTIFS($Z$622:$Z$635,Z629,$AB$622:$AB$635,AB629,$V$622:$V$635,"&gt;"&amp;V629,$AD$622:$AD$635,1)+COUNTIFS($Z$622:Z629,Z629,$AB$622:AB629,AB629,$V$622:V629,V629,$AD$622:AD629,1))</x:f>
      </x:c>
      <x:c r="AD629" s="2" t="n">
        <x:f>IF(OR(AA629="DEFENSIV",AA629="PRUDENT",AA629="MODERAT",AA629="RIDICAT"),1,0)</x:f>
        <x:v>0</x:v>
      </x:c>
      <x:c r="AE629" s="2" t="str">
        <x:f>IF(AD629&lt;&gt;1,"NO",IF(W629="PASS","YES",IF(W629="OOS PENDING","CONDITIONAL","NO")))</x:f>
        <x:v>NO</x:v>
      </x:c>
      <x:c r="AF629" s="2" t="n">
        <x:f>IF(AND(AD629=1,AC629=1,E629="LIVE"),1,0)</x:f>
        <x:v>0</x:v>
      </x:c>
      <x:c r="AG629" s="2" t="str">
        <x:f>IF(AF629&lt;&gt;1,"",'Dashboard'!P70)</x:f>
      </x:c>
      <x:c r="AH629" s="2" t="str">
        <x:f>IF(B629="","",IF(J629&lt;&gt;"PASS",'Motor_Meciuri'!J50,IF('Calibrare_Linii'!U13&lt;&gt;"VALID","Parametri linie invalizi",IF(L629&gt;'Config_v6'!$B$13,"Dispersie peste limita",IF(W629="WATCH","Failure peste limita",IF(AB629&lt;'Config_v6'!$B$16,"P finala sub prag",IF(V629&lt;'Config_v6'!$B$18,"Confidence sub prag",IF(E629="REPLAY","Exemplu retrospectiv; exclus din Top LIVE",IF(Y629="PASS","DEFENSIV validat",IF(W629="OOS PENDING","Eligibil; calibrare linie in monitorizare","Eligibil"))))))))))</x:f>
      </x:c>
      <x:c r="AI629" s="2" t="str">
        <x:f>IF(B629="","",'Calibrare_Linii'!V13)</x:f>
      </x:c>
      <x:c r="AJ629" s="2" t="str">
        <x:f>IF(B629="","",IF(AND('Calibrare_Linii'!T13="VALIDATED",AND('Calibrare_Linii'!H13=C629,ISNUMBER('Calibrare_Linii'!J13),'Calibrare_Linii'!J13&lt;='Input_Meci'!G50)),"DEFENSIVE VALIDATED",IF(AND('Calibrare_Linii'!S13="VALIDATED",AND('Calibrare_Linii'!H13=C629,ISNUMBER('Calibrare_Linii'!J13),'Calibrare_Linii'!J13&lt;='Input_Meci'!G50)),"TAIL VALIDATED","OOS PENDING")))</x:f>
      </x:c>
      <x:c r="AK629" s="2" t="n">
        <x:f>IF(J629&lt;&gt;"PASS",0,'Motor_Meciuri'!BR50)</x:f>
        <x:v>0</x:v>
      </x:c>
      <x:c r="AL629" s="2" t="n">
        <x:f>IF(J629&lt;&gt;"PASS",0,'Motor_Meciuri'!BS50)</x:f>
        <x:v>0</x:v>
      </x:c>
      <x:c r="AM629" s="2" t="n">
        <x:f>IF(J629&lt;&gt;"PASS",0,'Motor_Meciuri'!BT50)</x:f>
        <x:v>0</x:v>
      </x:c>
      <x:c r="AN629" s="2" t="str">
        <x:f>IF(M629="","",MAX(0,'Motor_Meciuri'!BF50-IF(L629&gt;'Config_v6'!$B$12,'Config_v6'!$B$37,IF(L629&gt;'Config_v6'!$B$11,'Config_v6'!$B$36,0))))</x:f>
      </x:c>
    </x:row>
    <x:row r="630" ht="21" customHeight="1">
      <x:c r="A630" s="2" t="n">
        <x:v>45</x:v>
      </x:c>
      <x:c r="B630" s="2" t="str">
        <x:f>IF('Motor_Meciuri'!A50="","",'Motor_Meciuri'!A50)</x:f>
      </x:c>
      <x:c r="C630" s="2" t="str">
        <x:f>IF(B630="","",'Motor_Meciuri'!B50)</x:f>
      </x:c>
      <x:c r="D630" s="2" t="str">
        <x:f>IF(B630="","",'Motor_Meciuri'!D50)</x:f>
      </x:c>
      <x:c r="E630" s="2" t="str">
        <x:f>IF(B630="","",'Motor_Meciuri'!E50)</x:f>
      </x:c>
      <x:c r="F630" s="2" t="str">
        <x:v>U12,5</x:v>
      </x:c>
      <x:c r="G630" s="2" t="str">
        <x:v>UNDER</x:v>
      </x:c>
      <x:c r="H630" s="2" t="n">
        <x:v>12</x:v>
      </x:c>
      <x:c r="I630" s="2" t="str">
        <x:f>IF(B630="","",'Motor_Meciuri'!H50)</x:f>
      </x:c>
      <x:c r="J630" s="2" t="str">
        <x:f>IF(B630="","",'Motor_Meciuri'!I50)</x:f>
      </x:c>
      <x:c r="K630" s="11" t="str">
        <x:f>IF(J630&lt;&gt;"PASS","",'Motor_Meciuri'!BD50)</x:f>
      </x:c>
      <x:c r="L630" s="11" t="str">
        <x:f>IF(J630&lt;&gt;"PASS","",'Motor_Meciuri'!AU50)</x:f>
      </x:c>
      <x:c r="M630" s="10" t="str">
        <x:f>IF(NOT(AND(J630="PASS",'Calibrare_Linii'!U14="VALID")),"",'Distributie'!AJ50)</x:f>
      </x:c>
      <x:c r="N630" s="10" t="str">
        <x:f>IF(M630="","",MAX(0.01,MIN(0.99,0.5+(M630-0.5)*'Motor_Meciuri'!BG50*'Calibrare_Linii'!D14)))</x:f>
      </x:c>
      <x:c r="O630" s="10" t="str">
        <x:f>IF(M630="","",1-M630)</x:f>
      </x:c>
      <x:c r="P630" s="10" t="str">
        <x:f>IF(OR(NOT(AND(J630="PASS",'Calibrare_Linii'!U14="VALID")),AK630=0),""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*('Istoric_Nativ'!$Q$6:$Q$405&gt;H630))/AK630)</x:f>
      </x:c>
      <x:c r="Q630" s="10" t="str">
        <x:f>IF(OR(NOT(AND(J630="PASS",'Calibrare_Linii'!U14="VALID")),AL630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M50)+((('Istoric_Nativ'!$E$6:$E$405='Input_Meci'!E50)+('Istoric_Nativ'!$F$6:$F$405='Input_Meci'!E50))&gt;0)*('Istoric_Nativ'!$D$6:$D$405&gt;='Motor_Meciuri'!BN50))&gt;0)*('Istoric_Nativ'!$Q$6:$Q$405&gt;H630))/AL630)</x:f>
      </x:c>
      <x:c r="R630" s="10" t="str">
        <x:f>IF(OR(NOT(AND(J630="PASS",'Calibrare_Linii'!U14="VALID")),AM630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O50)+((('Istoric_Nativ'!$E$6:$E$405='Input_Meci'!E50)+('Istoric_Nativ'!$F$6:$F$405='Input_Meci'!E50))&gt;0)*('Istoric_Nativ'!$D$6:$D$405&gt;='Motor_Meciuri'!BP50))&gt;0)*('Istoric_Nativ'!$Q$6:$Q$405&gt;H630))/AM630)</x:f>
      </x:c>
      <x:c r="S630" s="10" t="str">
        <x:f>IF(M630="","",MAX(O630,P630,Q630,R630))</x:f>
      </x:c>
      <x:c r="T630" s="11" t="str">
        <x:f>IF(M630="","",MIN(100,S630*100*'Config_v6'!$B$44+MIN(100,L630/'Config_v6'!$B$13*100)*'Config_v6'!$B$45+(100-'Motor_Meciuri'!BF50)*'Config_v6'!$B$46+'Motor_Meciuri'!BH50*100*'Config_v6'!$B$47))</x:f>
      </x:c>
      <x:c r="U630" s="2" t="str">
        <x:f>IF(T630="","",IF(T630&lt;=20,1,IF(T630&lt;=40,2,IF(T630&lt;=60,3,IF(T630&lt;=80,4,5)))))</x:f>
      </x:c>
      <x:c r="V630" s="2" t="str">
        <x:f>IF(M630="","",MAX(0,'Motor_Meciuri'!BF50-IF(W630="OOS PENDING",'Config_v6'!$B$35,0)-IF(L630&gt;'Config_v6'!$B$12,'Config_v6'!$B$37,IF(L630&gt;'Config_v6'!$B$11,'Config_v6'!$B$36,0))))</x:f>
      </x:c>
      <x:c r="W630" s="2" t="str">
        <x:f>IF(B630="","",IF(I630&lt;&gt;"READY","NOT RELEASED",IF(NOT(AND(J630="PASS",'Calibrare_Linii'!U14="VALID")),"INVALID",IF(NOT(AND('Calibrare_Linii'!S14="VALIDATED",AND('Calibrare_Linii'!H14=C630,ISNUMBER('Calibrare_Linii'!J14),'Calibrare_Linii'!J14&lt;='Input_Meci'!G50))),"OOS PENDING",IF(S630&lt;='Calibrare_Linii'!E14,"PASS",IF(S630&lt;='Calibrare_Linii'!F14,"PENALTY","WATCH"))))))</x:f>
      </x:c>
      <x:c r="X630" s="2" t="str">
        <x:f>IF(M630="","",IF(AND(AND(J630="PASS",'Calibrare_Linii'!U14="VALID"),'Motor_Meciuri'!K50=12,'Motor_Meciuri'!L50=12,'Motor_Meciuri'!M50="NO",'Motor_Meciuri'!BL50='Motor_Meciuri'!C50,AB630&gt;='Config_v6'!$B$50,AN630&gt;='Config_v6'!$B$51,T630&lt;='Config_v6'!$B$52,L630&lt;='Config_v6'!$B$53,ISNUMBER('Calibrare_Linii'!E14),S630&lt;='Calibrare_Linii'!E14,SUM(AK630:AM630)&gt;0),"CANDIDATE","NO"))</x:f>
      </x:c>
      <x:c r="Y630" s="2" t="str">
        <x:f>IF(B630="","",IF(I630&lt;&gt;"READY","NOT RELEASED",IF(AND(X630="CANDIDATE",V630&gt;='Config_v6'!$B$51,W630="PASS",'Calibrare_Linii'!T14="VALIDATED",AND('Calibrare_Linii'!H14=C630,ISNUMBER('Calibrare_Linii'!J14),'Calibrare_Linii'!J14&lt;='Input_Meci'!G50)),"PASS",IF(X630="CANDIDATE","OOS PENDING","FAIL"))))</x:f>
      </x:c>
      <x:c r="Z630" s="2" t="str">
        <x:f>IF(B630="","",IF(I630&lt;&gt;"READY","",IF(OR(NOT(AND(J630="PASS",'Calibrare_Linii'!U14="VALID")),L630&gt;'Config_v6'!$B$13,W630="WATCH"),5,IF(Y630="PASS",1,MIN(5,MAX('Config_v6'!$B$42,U630)+IF(W630="PENALTY",1,0))))))</x:f>
      </x:c>
      <x:c r="AA630" s="2" t="str">
        <x:f>IF(B630="","",IF(I630&lt;&gt;"READY","NOT RELEASED",IF(Z630=5,"NO BET",IF(OR(AB630&lt;'Config_v6'!$B$16,V630&lt;'Config_v6'!$B$18),"WATCH",IF(Z630=1,"DEFENSIV",IF(Z630=2,"PRUDENT",IF(Z630=3,"MODERAT","RIDICAT")))))))</x:f>
      </x:c>
      <x:c r="AB630" s="10" t="str">
        <x:f>IF(N630="","",MIN(N630,1-S630))</x:f>
      </x:c>
      <x:c r="AC630" s="2" t="str">
        <x:f>IF(AD630&lt;&gt;1,"",COUNTIFS($Z$622:$Z$635,"&lt;"&amp;Z630,$AD$622:$AD$635,1)+COUNTIFS($Z$622:$Z$635,Z630,$AB$622:$AB$635,"&gt;"&amp;AB630,$AD$622:$AD$635,1)+COUNTIFS($Z$622:$Z$635,Z630,$AB$622:$AB$635,AB630,$V$622:$V$635,"&gt;"&amp;V630,$AD$622:$AD$635,1)+COUNTIFS($Z$622:Z630,Z630,$AB$622:AB630,AB630,$V$622:V630,V630,$AD$622:AD630,1))</x:f>
      </x:c>
      <x:c r="AD630" s="2" t="n">
        <x:f>IF(OR(AA630="DEFENSIV",AA630="PRUDENT",AA630="MODERAT",AA630="RIDICAT"),1,0)</x:f>
        <x:v>0</x:v>
      </x:c>
      <x:c r="AE630" s="2" t="str">
        <x:f>IF(AD630&lt;&gt;1,"NO",IF(W630="PASS","YES",IF(W630="OOS PENDING","CONDITIONAL","NO")))</x:f>
        <x:v>NO</x:v>
      </x:c>
      <x:c r="AF630" s="2" t="n">
        <x:f>IF(AND(AD630=1,AC630=1,E630="LIVE"),1,0)</x:f>
        <x:v>0</x:v>
      </x:c>
      <x:c r="AG630" s="2" t="str">
        <x:f>IF(AF630&lt;&gt;1,"",'Dashboard'!P70)</x:f>
      </x:c>
      <x:c r="AH630" s="2" t="str">
        <x:f>IF(B630="","",IF(J630&lt;&gt;"PASS",'Motor_Meciuri'!J50,IF('Calibrare_Linii'!U14&lt;&gt;"VALID","Parametri linie invalizi",IF(L630&gt;'Config_v6'!$B$13,"Dispersie peste limita",IF(W630="WATCH","Failure peste limita",IF(AB630&lt;'Config_v6'!$B$16,"P finala sub prag",IF(V630&lt;'Config_v6'!$B$18,"Confidence sub prag",IF(E630="REPLAY","Exemplu retrospectiv; exclus din Top LIVE",IF(Y630="PASS","DEFENSIV validat",IF(W630="OOS PENDING","Eligibil; calibrare linie in monitorizare","Eligibil"))))))))))</x:f>
      </x:c>
      <x:c r="AI630" s="2" t="str">
        <x:f>IF(B630="","",'Calibrare_Linii'!V14)</x:f>
      </x:c>
      <x:c r="AJ630" s="2" t="str">
        <x:f>IF(B630="","",IF(AND('Calibrare_Linii'!T14="VALIDATED",AND('Calibrare_Linii'!H14=C630,ISNUMBER('Calibrare_Linii'!J14),'Calibrare_Linii'!J14&lt;='Input_Meci'!G50)),"DEFENSIVE VALIDATED",IF(AND('Calibrare_Linii'!S14="VALIDATED",AND('Calibrare_Linii'!H14=C630,ISNUMBER('Calibrare_Linii'!J14),'Calibrare_Linii'!J14&lt;='Input_Meci'!G50)),"TAIL VALIDATED","OOS PENDING")))</x:f>
      </x:c>
      <x:c r="AK630" s="2" t="n">
        <x:f>IF(J630&lt;&gt;"PASS",0,'Motor_Meciuri'!BR50)</x:f>
        <x:v>0</x:v>
      </x:c>
      <x:c r="AL630" s="2" t="n">
        <x:f>IF(J630&lt;&gt;"PASS",0,'Motor_Meciuri'!BS50)</x:f>
        <x:v>0</x:v>
      </x:c>
      <x:c r="AM630" s="2" t="n">
        <x:f>IF(J630&lt;&gt;"PASS",0,'Motor_Meciuri'!BT50)</x:f>
        <x:v>0</x:v>
      </x:c>
      <x:c r="AN630" s="2" t="str">
        <x:f>IF(M630="","",MAX(0,'Motor_Meciuri'!BF50-IF(L630&gt;'Config_v6'!$B$12,'Config_v6'!$B$37,IF(L630&gt;'Config_v6'!$B$11,'Config_v6'!$B$36,0))))</x:f>
      </x:c>
    </x:row>
    <x:row r="631" ht="21" customHeight="1">
      <x:c r="A631" s="2" t="n">
        <x:v>45</x:v>
      </x:c>
      <x:c r="B631" s="2" t="str">
        <x:f>IF('Motor_Meciuri'!A50="","",'Motor_Meciuri'!A50)</x:f>
      </x:c>
      <x:c r="C631" s="2" t="str">
        <x:f>IF(B631="","",'Motor_Meciuri'!B50)</x:f>
      </x:c>
      <x:c r="D631" s="2" t="str">
        <x:f>IF(B631="","",'Motor_Meciuri'!D50)</x:f>
      </x:c>
      <x:c r="E631" s="2" t="str">
        <x:f>IF(B631="","",'Motor_Meciuri'!E50)</x:f>
      </x:c>
      <x:c r="F631" s="2" t="str">
        <x:v>U13,5</x:v>
      </x:c>
      <x:c r="G631" s="2" t="str">
        <x:v>UNDER</x:v>
      </x:c>
      <x:c r="H631" s="2" t="n">
        <x:v>13</x:v>
      </x:c>
      <x:c r="I631" s="2" t="str">
        <x:f>IF(B631="","",'Motor_Meciuri'!H50)</x:f>
      </x:c>
      <x:c r="J631" s="2" t="str">
        <x:f>IF(B631="","",'Motor_Meciuri'!I50)</x:f>
      </x:c>
      <x:c r="K631" s="11" t="str">
        <x:f>IF(J631&lt;&gt;"PASS","",'Motor_Meciuri'!BD50)</x:f>
      </x:c>
      <x:c r="L631" s="11" t="str">
        <x:f>IF(J631&lt;&gt;"PASS","",'Motor_Meciuri'!AU50)</x:f>
      </x:c>
      <x:c r="M631" s="10" t="str">
        <x:f>IF(NOT(AND(J631="PASS",'Calibrare_Linii'!U15="VALID")),"",'Distributie'!AK50)</x:f>
      </x:c>
      <x:c r="N631" s="10" t="str">
        <x:f>IF(M631="","",MAX(0.01,MIN(0.99,0.5+(M631-0.5)*'Motor_Meciuri'!BG50*'Calibrare_Linii'!D15)))</x:f>
      </x:c>
      <x:c r="O631" s="10" t="str">
        <x:f>IF(M631="","",1-M631)</x:f>
      </x:c>
      <x:c r="P631" s="10" t="str">
        <x:f>IF(OR(NOT(AND(J631="PASS",'Calibrare_Linii'!U15="VALID")),AK631=0),""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*('Istoric_Nativ'!$Q$6:$Q$405&gt;H631))/AK631)</x:f>
      </x:c>
      <x:c r="Q631" s="10" t="str">
        <x:f>IF(OR(NOT(AND(J631="PASS",'Calibrare_Linii'!U15="VALID")),AL631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M50)+((('Istoric_Nativ'!$E$6:$E$405='Input_Meci'!E50)+('Istoric_Nativ'!$F$6:$F$405='Input_Meci'!E50))&gt;0)*('Istoric_Nativ'!$D$6:$D$405&gt;='Motor_Meciuri'!BN50))&gt;0)*('Istoric_Nativ'!$Q$6:$Q$405&gt;H631))/AL631)</x:f>
      </x:c>
      <x:c r="R631" s="10" t="str">
        <x:f>IF(OR(NOT(AND(J631="PASS",'Calibrare_Linii'!U15="VALID")),AM631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O50)+((('Istoric_Nativ'!$E$6:$E$405='Input_Meci'!E50)+('Istoric_Nativ'!$F$6:$F$405='Input_Meci'!E50))&gt;0)*('Istoric_Nativ'!$D$6:$D$405&gt;='Motor_Meciuri'!BP50))&gt;0)*('Istoric_Nativ'!$Q$6:$Q$405&gt;H631))/AM631)</x:f>
      </x:c>
      <x:c r="S631" s="10" t="str">
        <x:f>IF(M631="","",MAX(O631,P631,Q631,R631))</x:f>
      </x:c>
      <x:c r="T631" s="11" t="str">
        <x:f>IF(M631="","",MIN(100,S631*100*'Config_v6'!$B$44+MIN(100,L631/'Config_v6'!$B$13*100)*'Config_v6'!$B$45+(100-'Motor_Meciuri'!BF50)*'Config_v6'!$B$46+'Motor_Meciuri'!BH50*100*'Config_v6'!$B$47))</x:f>
      </x:c>
      <x:c r="U631" s="2" t="str">
        <x:f>IF(T631="","",IF(T631&lt;=20,1,IF(T631&lt;=40,2,IF(T631&lt;=60,3,IF(T631&lt;=80,4,5)))))</x:f>
      </x:c>
      <x:c r="V631" s="2" t="str">
        <x:f>IF(M631="","",MAX(0,'Motor_Meciuri'!BF50-IF(W631="OOS PENDING",'Config_v6'!$B$35,0)-IF(L631&gt;'Config_v6'!$B$12,'Config_v6'!$B$37,IF(L631&gt;'Config_v6'!$B$11,'Config_v6'!$B$36,0))))</x:f>
      </x:c>
      <x:c r="W631" s="2" t="str">
        <x:f>IF(B631="","",IF(I631&lt;&gt;"READY","NOT RELEASED",IF(NOT(AND(J631="PASS",'Calibrare_Linii'!U15="VALID")),"INVALID",IF(NOT(AND('Calibrare_Linii'!S15="VALIDATED",AND('Calibrare_Linii'!H15=C631,ISNUMBER('Calibrare_Linii'!J15),'Calibrare_Linii'!J15&lt;='Input_Meci'!G50))),"OOS PENDING",IF(S631&lt;='Calibrare_Linii'!E15,"PASS",IF(S631&lt;='Calibrare_Linii'!F15,"PENALTY","WATCH"))))))</x:f>
      </x:c>
      <x:c r="X631" s="2" t="str">
        <x:f>IF(M631="","",IF(AND(AND(J631="PASS",'Calibrare_Linii'!U15="VALID"),'Motor_Meciuri'!K50=12,'Motor_Meciuri'!L50=12,'Motor_Meciuri'!M50="NO",'Motor_Meciuri'!BL50='Motor_Meciuri'!C50,AB631&gt;='Config_v6'!$B$50,AN631&gt;='Config_v6'!$B$51,T631&lt;='Config_v6'!$B$52,L631&lt;='Config_v6'!$B$53,ISNUMBER('Calibrare_Linii'!E15),S631&lt;='Calibrare_Linii'!E15,SUM(AK631:AM631)&gt;0),"CANDIDATE","NO"))</x:f>
      </x:c>
      <x:c r="Y631" s="2" t="str">
        <x:f>IF(B631="","",IF(I631&lt;&gt;"READY","NOT RELEASED",IF(AND(X631="CANDIDATE",V631&gt;='Config_v6'!$B$51,W631="PASS",'Calibrare_Linii'!T15="VALIDATED",AND('Calibrare_Linii'!H15=C631,ISNUMBER('Calibrare_Linii'!J15),'Calibrare_Linii'!J15&lt;='Input_Meci'!G50)),"PASS",IF(X631="CANDIDATE","OOS PENDING","FAIL"))))</x:f>
      </x:c>
      <x:c r="Z631" s="2" t="str">
        <x:f>IF(B631="","",IF(I631&lt;&gt;"READY","",IF(OR(NOT(AND(J631="PASS",'Calibrare_Linii'!U15="VALID")),L631&gt;'Config_v6'!$B$13,W631="WATCH"),5,IF(Y631="PASS",1,MIN(5,MAX('Config_v6'!$B$42,U631)+IF(W631="PENALTY",1,0))))))</x:f>
      </x:c>
      <x:c r="AA631" s="2" t="str">
        <x:f>IF(B631="","",IF(I631&lt;&gt;"READY","NOT RELEASED",IF(Z631=5,"NO BET",IF(OR(AB631&lt;'Config_v6'!$B$16,V631&lt;'Config_v6'!$B$18),"WATCH",IF(Z631=1,"DEFENSIV",IF(Z631=2,"PRUDENT",IF(Z631=3,"MODERAT","RIDICAT")))))))</x:f>
      </x:c>
      <x:c r="AB631" s="10" t="str">
        <x:f>IF(N631="","",MIN(N631,1-S631))</x:f>
      </x:c>
      <x:c r="AC631" s="2" t="str">
        <x:f>IF(AD631&lt;&gt;1,"",COUNTIFS($Z$622:$Z$635,"&lt;"&amp;Z631,$AD$622:$AD$635,1)+COUNTIFS($Z$622:$Z$635,Z631,$AB$622:$AB$635,"&gt;"&amp;AB631,$AD$622:$AD$635,1)+COUNTIFS($Z$622:$Z$635,Z631,$AB$622:$AB$635,AB631,$V$622:$V$635,"&gt;"&amp;V631,$AD$622:$AD$635,1)+COUNTIFS($Z$622:Z631,Z631,$AB$622:AB631,AB631,$V$622:V631,V631,$AD$622:AD631,1))</x:f>
      </x:c>
      <x:c r="AD631" s="2" t="n">
        <x:f>IF(OR(AA631="DEFENSIV",AA631="PRUDENT",AA631="MODERAT",AA631="RIDICAT"),1,0)</x:f>
        <x:v>0</x:v>
      </x:c>
      <x:c r="AE631" s="2" t="str">
        <x:f>IF(AD631&lt;&gt;1,"NO",IF(W631="PASS","YES",IF(W631="OOS PENDING","CONDITIONAL","NO")))</x:f>
        <x:v>NO</x:v>
      </x:c>
      <x:c r="AF631" s="2" t="n">
        <x:f>IF(AND(AD631=1,AC631=1,E631="LIVE"),1,0)</x:f>
        <x:v>0</x:v>
      </x:c>
      <x:c r="AG631" s="2" t="str">
        <x:f>IF(AF631&lt;&gt;1,"",'Dashboard'!P70)</x:f>
      </x:c>
      <x:c r="AH631" s="2" t="str">
        <x:f>IF(B631="","",IF(J631&lt;&gt;"PASS",'Motor_Meciuri'!J50,IF('Calibrare_Linii'!U15&lt;&gt;"VALID","Parametri linie invalizi",IF(L631&gt;'Config_v6'!$B$13,"Dispersie peste limita",IF(W631="WATCH","Failure peste limita",IF(AB631&lt;'Config_v6'!$B$16,"P finala sub prag",IF(V631&lt;'Config_v6'!$B$18,"Confidence sub prag",IF(E631="REPLAY","Exemplu retrospectiv; exclus din Top LIVE",IF(Y631="PASS","DEFENSIV validat",IF(W631="OOS PENDING","Eligibil; calibrare linie in monitorizare","Eligibil"))))))))))</x:f>
      </x:c>
      <x:c r="AI631" s="2" t="str">
        <x:f>IF(B631="","",'Calibrare_Linii'!V15)</x:f>
      </x:c>
      <x:c r="AJ631" s="2" t="str">
        <x:f>IF(B631="","",IF(AND('Calibrare_Linii'!T15="VALIDATED",AND('Calibrare_Linii'!H15=C631,ISNUMBER('Calibrare_Linii'!J15),'Calibrare_Linii'!J15&lt;='Input_Meci'!G50)),"DEFENSIVE VALIDATED",IF(AND('Calibrare_Linii'!S15="VALIDATED",AND('Calibrare_Linii'!H15=C631,ISNUMBER('Calibrare_Linii'!J15),'Calibrare_Linii'!J15&lt;='Input_Meci'!G50)),"TAIL VALIDATED","OOS PENDING")))</x:f>
      </x:c>
      <x:c r="AK631" s="2" t="n">
        <x:f>IF(J631&lt;&gt;"PASS",0,'Motor_Meciuri'!BR50)</x:f>
        <x:v>0</x:v>
      </x:c>
      <x:c r="AL631" s="2" t="n">
        <x:f>IF(J631&lt;&gt;"PASS",0,'Motor_Meciuri'!BS50)</x:f>
        <x:v>0</x:v>
      </x:c>
      <x:c r="AM631" s="2" t="n">
        <x:f>IF(J631&lt;&gt;"PASS",0,'Motor_Meciuri'!BT50)</x:f>
        <x:v>0</x:v>
      </x:c>
      <x:c r="AN631" s="2" t="str">
        <x:f>IF(M631="","",MAX(0,'Motor_Meciuri'!BF50-IF(L631&gt;'Config_v6'!$B$12,'Config_v6'!$B$37,IF(L631&gt;'Config_v6'!$B$11,'Config_v6'!$B$36,0))))</x:f>
      </x:c>
    </x:row>
    <x:row r="632" ht="21" customHeight="1">
      <x:c r="A632" s="2" t="n">
        <x:v>45</x:v>
      </x:c>
      <x:c r="B632" s="2" t="str">
        <x:f>IF('Motor_Meciuri'!A50="","",'Motor_Meciuri'!A50)</x:f>
      </x:c>
      <x:c r="C632" s="2" t="str">
        <x:f>IF(B632="","",'Motor_Meciuri'!B50)</x:f>
      </x:c>
      <x:c r="D632" s="2" t="str">
        <x:f>IF(B632="","",'Motor_Meciuri'!D50)</x:f>
      </x:c>
      <x:c r="E632" s="2" t="str">
        <x:f>IF(B632="","",'Motor_Meciuri'!E50)</x:f>
      </x:c>
      <x:c r="F632" s="2" t="str">
        <x:v>U14,5</x:v>
      </x:c>
      <x:c r="G632" s="2" t="str">
        <x:v>UNDER</x:v>
      </x:c>
      <x:c r="H632" s="2" t="n">
        <x:v>14</x:v>
      </x:c>
      <x:c r="I632" s="2" t="str">
        <x:f>IF(B632="","",'Motor_Meciuri'!H50)</x:f>
      </x:c>
      <x:c r="J632" s="2" t="str">
        <x:f>IF(B632="","",'Motor_Meciuri'!I50)</x:f>
      </x:c>
      <x:c r="K632" s="11" t="str">
        <x:f>IF(J632&lt;&gt;"PASS","",'Motor_Meciuri'!BD50)</x:f>
      </x:c>
      <x:c r="L632" s="11" t="str">
        <x:f>IF(J632&lt;&gt;"PASS","",'Motor_Meciuri'!AU50)</x:f>
      </x:c>
      <x:c r="M632" s="10" t="str">
        <x:f>IF(NOT(AND(J632="PASS",'Calibrare_Linii'!U16="VALID")),"",'Distributie'!AL50)</x:f>
      </x:c>
      <x:c r="N632" s="10" t="str">
        <x:f>IF(M632="","",MAX(0.01,MIN(0.99,0.5+(M632-0.5)*'Motor_Meciuri'!BG50*'Calibrare_Linii'!D16)))</x:f>
      </x:c>
      <x:c r="O632" s="10" t="str">
        <x:f>IF(M632="","",1-M632)</x:f>
      </x:c>
      <x:c r="P632" s="10" t="str">
        <x:f>IF(OR(NOT(AND(J632="PASS",'Calibrare_Linii'!U16="VALID")),AK632=0),""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*('Istoric_Nativ'!$Q$6:$Q$405&gt;H632))/AK632)</x:f>
      </x:c>
      <x:c r="Q632" s="10" t="str">
        <x:f>IF(OR(NOT(AND(J632="PASS",'Calibrare_Linii'!U16="VALID")),AL632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M50)+((('Istoric_Nativ'!$E$6:$E$405='Input_Meci'!E50)+('Istoric_Nativ'!$F$6:$F$405='Input_Meci'!E50))&gt;0)*('Istoric_Nativ'!$D$6:$D$405&gt;='Motor_Meciuri'!BN50))&gt;0)*('Istoric_Nativ'!$Q$6:$Q$405&gt;H632))/AL632)</x:f>
      </x:c>
      <x:c r="R632" s="10" t="str">
        <x:f>IF(OR(NOT(AND(J632="PASS",'Calibrare_Linii'!U16="VALID")),AM632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O50)+((('Istoric_Nativ'!$E$6:$E$405='Input_Meci'!E50)+('Istoric_Nativ'!$F$6:$F$405='Input_Meci'!E50))&gt;0)*('Istoric_Nativ'!$D$6:$D$405&gt;='Motor_Meciuri'!BP50))&gt;0)*('Istoric_Nativ'!$Q$6:$Q$405&gt;H632))/AM632)</x:f>
      </x:c>
      <x:c r="S632" s="10" t="str">
        <x:f>IF(M632="","",MAX(O632,P632,Q632,R632))</x:f>
      </x:c>
      <x:c r="T632" s="11" t="str">
        <x:f>IF(M632="","",MIN(100,S632*100*'Config_v6'!$B$44+MIN(100,L632/'Config_v6'!$B$13*100)*'Config_v6'!$B$45+(100-'Motor_Meciuri'!BF50)*'Config_v6'!$B$46+'Motor_Meciuri'!BH50*100*'Config_v6'!$B$47))</x:f>
      </x:c>
      <x:c r="U632" s="2" t="str">
        <x:f>IF(T632="","",IF(T632&lt;=20,1,IF(T632&lt;=40,2,IF(T632&lt;=60,3,IF(T632&lt;=80,4,5)))))</x:f>
      </x:c>
      <x:c r="V632" s="2" t="str">
        <x:f>IF(M632="","",MAX(0,'Motor_Meciuri'!BF50-IF(W632="OOS PENDING",'Config_v6'!$B$35,0)-IF(L632&gt;'Config_v6'!$B$12,'Config_v6'!$B$37,IF(L632&gt;'Config_v6'!$B$11,'Config_v6'!$B$36,0))))</x:f>
      </x:c>
      <x:c r="W632" s="2" t="str">
        <x:f>IF(B632="","",IF(I632&lt;&gt;"READY","NOT RELEASED",IF(NOT(AND(J632="PASS",'Calibrare_Linii'!U16="VALID")),"INVALID",IF(NOT(AND('Calibrare_Linii'!S16="VALIDATED",AND('Calibrare_Linii'!H16=C632,ISNUMBER('Calibrare_Linii'!J16),'Calibrare_Linii'!J16&lt;='Input_Meci'!G50))),"OOS PENDING",IF(S632&lt;='Calibrare_Linii'!E16,"PASS",IF(S632&lt;='Calibrare_Linii'!F16,"PENALTY","WATCH"))))))</x:f>
      </x:c>
      <x:c r="X632" s="2" t="str">
        <x:f>IF(M632="","",IF(AND(AND(J632="PASS",'Calibrare_Linii'!U16="VALID"),'Motor_Meciuri'!K50=12,'Motor_Meciuri'!L50=12,'Motor_Meciuri'!M50="NO",'Motor_Meciuri'!BL50='Motor_Meciuri'!C50,AB632&gt;='Config_v6'!$B$50,AN632&gt;='Config_v6'!$B$51,T632&lt;='Config_v6'!$B$52,L632&lt;='Config_v6'!$B$53,ISNUMBER('Calibrare_Linii'!E16),S632&lt;='Calibrare_Linii'!E16,SUM(AK632:AM632)&gt;0),"CANDIDATE","NO"))</x:f>
      </x:c>
      <x:c r="Y632" s="2" t="str">
        <x:f>IF(B632="","",IF(I632&lt;&gt;"READY","NOT RELEASED",IF(AND(X632="CANDIDATE",V632&gt;='Config_v6'!$B$51,W632="PASS",'Calibrare_Linii'!T16="VALIDATED",AND('Calibrare_Linii'!H16=C632,ISNUMBER('Calibrare_Linii'!J16),'Calibrare_Linii'!J16&lt;='Input_Meci'!G50)),"PASS",IF(X632="CANDIDATE","OOS PENDING","FAIL"))))</x:f>
      </x:c>
      <x:c r="Z632" s="2" t="str">
        <x:f>IF(B632="","",IF(I632&lt;&gt;"READY","",IF(OR(NOT(AND(J632="PASS",'Calibrare_Linii'!U16="VALID")),L632&gt;'Config_v6'!$B$13,W632="WATCH"),5,IF(Y632="PASS",1,MIN(5,MAX('Config_v6'!$B$42,U632)+IF(W632="PENALTY",1,0))))))</x:f>
      </x:c>
      <x:c r="AA632" s="2" t="str">
        <x:f>IF(B632="","",IF(I632&lt;&gt;"READY","NOT RELEASED",IF(Z632=5,"NO BET",IF(OR(AB632&lt;'Config_v6'!$B$16,V632&lt;'Config_v6'!$B$18),"WATCH",IF(Z632=1,"DEFENSIV",IF(Z632=2,"PRUDENT",IF(Z632=3,"MODERAT","RIDICAT")))))))</x:f>
      </x:c>
      <x:c r="AB632" s="10" t="str">
        <x:f>IF(N632="","",MIN(N632,1-S632))</x:f>
      </x:c>
      <x:c r="AC632" s="2" t="str">
        <x:f>IF(AD632&lt;&gt;1,"",COUNTIFS($Z$622:$Z$635,"&lt;"&amp;Z632,$AD$622:$AD$635,1)+COUNTIFS($Z$622:$Z$635,Z632,$AB$622:$AB$635,"&gt;"&amp;AB632,$AD$622:$AD$635,1)+COUNTIFS($Z$622:$Z$635,Z632,$AB$622:$AB$635,AB632,$V$622:$V$635,"&gt;"&amp;V632,$AD$622:$AD$635,1)+COUNTIFS($Z$622:Z632,Z632,$AB$622:AB632,AB632,$V$622:V632,V632,$AD$622:AD632,1))</x:f>
      </x:c>
      <x:c r="AD632" s="2" t="n">
        <x:f>IF(OR(AA632="DEFENSIV",AA632="PRUDENT",AA632="MODERAT",AA632="RIDICAT"),1,0)</x:f>
        <x:v>0</x:v>
      </x:c>
      <x:c r="AE632" s="2" t="str">
        <x:f>IF(AD632&lt;&gt;1,"NO",IF(W632="PASS","YES",IF(W632="OOS PENDING","CONDITIONAL","NO")))</x:f>
        <x:v>NO</x:v>
      </x:c>
      <x:c r="AF632" s="2" t="n">
        <x:f>IF(AND(AD632=1,AC632=1,E632="LIVE"),1,0)</x:f>
        <x:v>0</x:v>
      </x:c>
      <x:c r="AG632" s="2" t="str">
        <x:f>IF(AF632&lt;&gt;1,"",'Dashboard'!P70)</x:f>
      </x:c>
      <x:c r="AH632" s="2" t="str">
        <x:f>IF(B632="","",IF(J632&lt;&gt;"PASS",'Motor_Meciuri'!J50,IF('Calibrare_Linii'!U16&lt;&gt;"VALID","Parametri linie invalizi",IF(L632&gt;'Config_v6'!$B$13,"Dispersie peste limita",IF(W632="WATCH","Failure peste limita",IF(AB632&lt;'Config_v6'!$B$16,"P finala sub prag",IF(V632&lt;'Config_v6'!$B$18,"Confidence sub prag",IF(E632="REPLAY","Exemplu retrospectiv; exclus din Top LIVE",IF(Y632="PASS","DEFENSIV validat",IF(W632="OOS PENDING","Eligibil; calibrare linie in monitorizare","Eligibil"))))))))))</x:f>
      </x:c>
      <x:c r="AI632" s="2" t="str">
        <x:f>IF(B632="","",'Calibrare_Linii'!V16)</x:f>
      </x:c>
      <x:c r="AJ632" s="2" t="str">
        <x:f>IF(B632="","",IF(AND('Calibrare_Linii'!T16="VALIDATED",AND('Calibrare_Linii'!H16=C632,ISNUMBER('Calibrare_Linii'!J16),'Calibrare_Linii'!J16&lt;='Input_Meci'!G50)),"DEFENSIVE VALIDATED",IF(AND('Calibrare_Linii'!S16="VALIDATED",AND('Calibrare_Linii'!H16=C632,ISNUMBER('Calibrare_Linii'!J16),'Calibrare_Linii'!J16&lt;='Input_Meci'!G50)),"TAIL VALIDATED","OOS PENDING")))</x:f>
      </x:c>
      <x:c r="AK632" s="2" t="n">
        <x:f>IF(J632&lt;&gt;"PASS",0,'Motor_Meciuri'!BR50)</x:f>
        <x:v>0</x:v>
      </x:c>
      <x:c r="AL632" s="2" t="n">
        <x:f>IF(J632&lt;&gt;"PASS",0,'Motor_Meciuri'!BS50)</x:f>
        <x:v>0</x:v>
      </x:c>
      <x:c r="AM632" s="2" t="n">
        <x:f>IF(J632&lt;&gt;"PASS",0,'Motor_Meciuri'!BT50)</x:f>
        <x:v>0</x:v>
      </x:c>
      <x:c r="AN632" s="2" t="str">
        <x:f>IF(M632="","",MAX(0,'Motor_Meciuri'!BF50-IF(L632&gt;'Config_v6'!$B$12,'Config_v6'!$B$37,IF(L632&gt;'Config_v6'!$B$11,'Config_v6'!$B$36,0))))</x:f>
      </x:c>
    </x:row>
    <x:row r="633" ht="21" customHeight="1">
      <x:c r="A633" s="2" t="n">
        <x:v>45</x:v>
      </x:c>
      <x:c r="B633" s="2" t="str">
        <x:f>IF('Motor_Meciuri'!A50="","",'Motor_Meciuri'!A50)</x:f>
      </x:c>
      <x:c r="C633" s="2" t="str">
        <x:f>IF(B633="","",'Motor_Meciuri'!B50)</x:f>
      </x:c>
      <x:c r="D633" s="2" t="str">
        <x:f>IF(B633="","",'Motor_Meciuri'!D50)</x:f>
      </x:c>
      <x:c r="E633" s="2" t="str">
        <x:f>IF(B633="","",'Motor_Meciuri'!E50)</x:f>
      </x:c>
      <x:c r="F633" s="2" t="str">
        <x:v>U15,5</x:v>
      </x:c>
      <x:c r="G633" s="2" t="str">
        <x:v>UNDER</x:v>
      </x:c>
      <x:c r="H633" s="2" t="n">
        <x:v>15</x:v>
      </x:c>
      <x:c r="I633" s="2" t="str">
        <x:f>IF(B633="","",'Motor_Meciuri'!H50)</x:f>
      </x:c>
      <x:c r="J633" s="2" t="str">
        <x:f>IF(B633="","",'Motor_Meciuri'!I50)</x:f>
      </x:c>
      <x:c r="K633" s="11" t="str">
        <x:f>IF(J633&lt;&gt;"PASS","",'Motor_Meciuri'!BD50)</x:f>
      </x:c>
      <x:c r="L633" s="11" t="str">
        <x:f>IF(J633&lt;&gt;"PASS","",'Motor_Meciuri'!AU50)</x:f>
      </x:c>
      <x:c r="M633" s="10" t="str">
        <x:f>IF(NOT(AND(J633="PASS",'Calibrare_Linii'!U17="VALID")),"",'Distributie'!AM50)</x:f>
      </x:c>
      <x:c r="N633" s="10" t="str">
        <x:f>IF(M633="","",MAX(0.01,MIN(0.99,0.5+(M633-0.5)*'Motor_Meciuri'!BG50*'Calibrare_Linii'!D17)))</x:f>
      </x:c>
      <x:c r="O633" s="10" t="str">
        <x:f>IF(M633="","",1-M633)</x:f>
      </x:c>
      <x:c r="P633" s="10" t="str">
        <x:f>IF(OR(NOT(AND(J633="PASS",'Calibrare_Linii'!U17="VALID")),AK633=0),""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*('Istoric_Nativ'!$Q$6:$Q$405&gt;H633))/AK633)</x:f>
      </x:c>
      <x:c r="Q633" s="10" t="str">
        <x:f>IF(OR(NOT(AND(J633="PASS",'Calibrare_Linii'!U17="VALID")),AL633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M50)+((('Istoric_Nativ'!$E$6:$E$405='Input_Meci'!E50)+('Istoric_Nativ'!$F$6:$F$405='Input_Meci'!E50))&gt;0)*('Istoric_Nativ'!$D$6:$D$405&gt;='Motor_Meciuri'!BN50))&gt;0)*('Istoric_Nativ'!$Q$6:$Q$405&gt;H633))/AL633)</x:f>
      </x:c>
      <x:c r="R633" s="10" t="str">
        <x:f>IF(OR(NOT(AND(J633="PASS",'Calibrare_Linii'!U17="VALID")),AM633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O50)+((('Istoric_Nativ'!$E$6:$E$405='Input_Meci'!E50)+('Istoric_Nativ'!$F$6:$F$405='Input_Meci'!E50))&gt;0)*('Istoric_Nativ'!$D$6:$D$405&gt;='Motor_Meciuri'!BP50))&gt;0)*('Istoric_Nativ'!$Q$6:$Q$405&gt;H633))/AM633)</x:f>
      </x:c>
      <x:c r="S633" s="10" t="str">
        <x:f>IF(M633="","",MAX(O633,P633,Q633,R633))</x:f>
      </x:c>
      <x:c r="T633" s="11" t="str">
        <x:f>IF(M633="","",MIN(100,S633*100*'Config_v6'!$B$44+MIN(100,L633/'Config_v6'!$B$13*100)*'Config_v6'!$B$45+(100-'Motor_Meciuri'!BF50)*'Config_v6'!$B$46+'Motor_Meciuri'!BH50*100*'Config_v6'!$B$47))</x:f>
      </x:c>
      <x:c r="U633" s="2" t="str">
        <x:f>IF(T633="","",IF(T633&lt;=20,1,IF(T633&lt;=40,2,IF(T633&lt;=60,3,IF(T633&lt;=80,4,5)))))</x:f>
      </x:c>
      <x:c r="V633" s="2" t="str">
        <x:f>IF(M633="","",MAX(0,'Motor_Meciuri'!BF50-IF(W633="OOS PENDING",'Config_v6'!$B$35,0)-IF(L633&gt;'Config_v6'!$B$12,'Config_v6'!$B$37,IF(L633&gt;'Config_v6'!$B$11,'Config_v6'!$B$36,0))))</x:f>
      </x:c>
      <x:c r="W633" s="2" t="str">
        <x:f>IF(B633="","",IF(I633&lt;&gt;"READY","NOT RELEASED",IF(NOT(AND(J633="PASS",'Calibrare_Linii'!U17="VALID")),"INVALID",IF(NOT(AND('Calibrare_Linii'!S17="VALIDATED",AND('Calibrare_Linii'!H17=C633,ISNUMBER('Calibrare_Linii'!J17),'Calibrare_Linii'!J17&lt;='Input_Meci'!G50))),"OOS PENDING",IF(S633&lt;='Calibrare_Linii'!E17,"PASS",IF(S633&lt;='Calibrare_Linii'!F17,"PENALTY","WATCH"))))))</x:f>
      </x:c>
      <x:c r="X633" s="2" t="str">
        <x:f>IF(M633="","",IF(AND(AND(J633="PASS",'Calibrare_Linii'!U17="VALID"),'Motor_Meciuri'!K50=12,'Motor_Meciuri'!L50=12,'Motor_Meciuri'!M50="NO",'Motor_Meciuri'!BL50='Motor_Meciuri'!C50,AB633&gt;='Config_v6'!$B$50,AN633&gt;='Config_v6'!$B$51,T633&lt;='Config_v6'!$B$52,L633&lt;='Config_v6'!$B$53,ISNUMBER('Calibrare_Linii'!E17),S633&lt;='Calibrare_Linii'!E17,SUM(AK633:AM633)&gt;0),"CANDIDATE","NO"))</x:f>
      </x:c>
      <x:c r="Y633" s="2" t="str">
        <x:f>IF(B633="","",IF(I633&lt;&gt;"READY","NOT RELEASED",IF(AND(X633="CANDIDATE",V633&gt;='Config_v6'!$B$51,W633="PASS",'Calibrare_Linii'!T17="VALIDATED",AND('Calibrare_Linii'!H17=C633,ISNUMBER('Calibrare_Linii'!J17),'Calibrare_Linii'!J17&lt;='Input_Meci'!G50)),"PASS",IF(X633="CANDIDATE","OOS PENDING","FAIL"))))</x:f>
      </x:c>
      <x:c r="Z633" s="2" t="str">
        <x:f>IF(B633="","",IF(I633&lt;&gt;"READY","",IF(OR(NOT(AND(J633="PASS",'Calibrare_Linii'!U17="VALID")),L633&gt;'Config_v6'!$B$13,W633="WATCH"),5,IF(Y633="PASS",1,MIN(5,MAX('Config_v6'!$B$42,U633)+IF(W633="PENALTY",1,0))))))</x:f>
      </x:c>
      <x:c r="AA633" s="2" t="str">
        <x:f>IF(B633="","",IF(I633&lt;&gt;"READY","NOT RELEASED",IF(Z633=5,"NO BET",IF(OR(AB633&lt;'Config_v6'!$B$16,V633&lt;'Config_v6'!$B$18),"WATCH",IF(Z633=1,"DEFENSIV",IF(Z633=2,"PRUDENT",IF(Z633=3,"MODERAT","RIDICAT")))))))</x:f>
      </x:c>
      <x:c r="AB633" s="10" t="str">
        <x:f>IF(N633="","",MIN(N633,1-S633))</x:f>
      </x:c>
      <x:c r="AC633" s="2" t="str">
        <x:f>IF(AD633&lt;&gt;1,"",COUNTIFS($Z$622:$Z$635,"&lt;"&amp;Z633,$AD$622:$AD$635,1)+COUNTIFS($Z$622:$Z$635,Z633,$AB$622:$AB$635,"&gt;"&amp;AB633,$AD$622:$AD$635,1)+COUNTIFS($Z$622:$Z$635,Z633,$AB$622:$AB$635,AB633,$V$622:$V$635,"&gt;"&amp;V633,$AD$622:$AD$635,1)+COUNTIFS($Z$622:Z633,Z633,$AB$622:AB633,AB633,$V$622:V633,V633,$AD$622:AD633,1))</x:f>
      </x:c>
      <x:c r="AD633" s="2" t="n">
        <x:f>IF(OR(AA633="DEFENSIV",AA633="PRUDENT",AA633="MODERAT",AA633="RIDICAT"),1,0)</x:f>
        <x:v>0</x:v>
      </x:c>
      <x:c r="AE633" s="2" t="str">
        <x:f>IF(AD633&lt;&gt;1,"NO",IF(W633="PASS","YES",IF(W633="OOS PENDING","CONDITIONAL","NO")))</x:f>
        <x:v>NO</x:v>
      </x:c>
      <x:c r="AF633" s="2" t="n">
        <x:f>IF(AND(AD633=1,AC633=1,E633="LIVE"),1,0)</x:f>
        <x:v>0</x:v>
      </x:c>
      <x:c r="AG633" s="2" t="str">
        <x:f>IF(AF633&lt;&gt;1,"",'Dashboard'!P70)</x:f>
      </x:c>
      <x:c r="AH633" s="2" t="str">
        <x:f>IF(B633="","",IF(J633&lt;&gt;"PASS",'Motor_Meciuri'!J50,IF('Calibrare_Linii'!U17&lt;&gt;"VALID","Parametri linie invalizi",IF(L633&gt;'Config_v6'!$B$13,"Dispersie peste limita",IF(W633="WATCH","Failure peste limita",IF(AB633&lt;'Config_v6'!$B$16,"P finala sub prag",IF(V633&lt;'Config_v6'!$B$18,"Confidence sub prag",IF(E633="REPLAY","Exemplu retrospectiv; exclus din Top LIVE",IF(Y633="PASS","DEFENSIV validat",IF(W633="OOS PENDING","Eligibil; calibrare linie in monitorizare","Eligibil"))))))))))</x:f>
      </x:c>
      <x:c r="AI633" s="2" t="str">
        <x:f>IF(B633="","",'Calibrare_Linii'!V17)</x:f>
      </x:c>
      <x:c r="AJ633" s="2" t="str">
        <x:f>IF(B633="","",IF(AND('Calibrare_Linii'!T17="VALIDATED",AND('Calibrare_Linii'!H17=C633,ISNUMBER('Calibrare_Linii'!J17),'Calibrare_Linii'!J17&lt;='Input_Meci'!G50)),"DEFENSIVE VALIDATED",IF(AND('Calibrare_Linii'!S17="VALIDATED",AND('Calibrare_Linii'!H17=C633,ISNUMBER('Calibrare_Linii'!J17),'Calibrare_Linii'!J17&lt;='Input_Meci'!G50)),"TAIL VALIDATED","OOS PENDING")))</x:f>
      </x:c>
      <x:c r="AK633" s="2" t="n">
        <x:f>IF(J633&lt;&gt;"PASS",0,'Motor_Meciuri'!BR50)</x:f>
        <x:v>0</x:v>
      </x:c>
      <x:c r="AL633" s="2" t="n">
        <x:f>IF(J633&lt;&gt;"PASS",0,'Motor_Meciuri'!BS50)</x:f>
        <x:v>0</x:v>
      </x:c>
      <x:c r="AM633" s="2" t="n">
        <x:f>IF(J633&lt;&gt;"PASS",0,'Motor_Meciuri'!BT50)</x:f>
        <x:v>0</x:v>
      </x:c>
      <x:c r="AN633" s="2" t="str">
        <x:f>IF(M633="","",MAX(0,'Motor_Meciuri'!BF50-IF(L633&gt;'Config_v6'!$B$12,'Config_v6'!$B$37,IF(L633&gt;'Config_v6'!$B$11,'Config_v6'!$B$36,0))))</x:f>
      </x:c>
    </x:row>
    <x:row r="634" ht="21" customHeight="1">
      <x:c r="A634" s="2" t="n">
        <x:v>45</x:v>
      </x:c>
      <x:c r="B634" s="2" t="str">
        <x:f>IF('Motor_Meciuri'!A50="","",'Motor_Meciuri'!A50)</x:f>
      </x:c>
      <x:c r="C634" s="2" t="str">
        <x:f>IF(B634="","",'Motor_Meciuri'!B50)</x:f>
      </x:c>
      <x:c r="D634" s="2" t="str">
        <x:f>IF(B634="","",'Motor_Meciuri'!D50)</x:f>
      </x:c>
      <x:c r="E634" s="2" t="str">
        <x:f>IF(B634="","",'Motor_Meciuri'!E50)</x:f>
      </x:c>
      <x:c r="F634" s="2" t="str">
        <x:v>U16,5</x:v>
      </x:c>
      <x:c r="G634" s="2" t="str">
        <x:v>UNDER</x:v>
      </x:c>
      <x:c r="H634" s="2" t="n">
        <x:v>16</x:v>
      </x:c>
      <x:c r="I634" s="2" t="str">
        <x:f>IF(B634="","",'Motor_Meciuri'!H50)</x:f>
      </x:c>
      <x:c r="J634" s="2" t="str">
        <x:f>IF(B634="","",'Motor_Meciuri'!I50)</x:f>
      </x:c>
      <x:c r="K634" s="11" t="str">
        <x:f>IF(J634&lt;&gt;"PASS","",'Motor_Meciuri'!BD50)</x:f>
      </x:c>
      <x:c r="L634" s="11" t="str">
        <x:f>IF(J634&lt;&gt;"PASS","",'Motor_Meciuri'!AU50)</x:f>
      </x:c>
      <x:c r="M634" s="10" t="str">
        <x:f>IF(NOT(AND(J634="PASS",'Calibrare_Linii'!U18="VALID")),"",'Distributie'!AN50)</x:f>
      </x:c>
      <x:c r="N634" s="10" t="str">
        <x:f>IF(M634="","",MAX(0.01,MIN(0.99,0.5+(M634-0.5)*'Motor_Meciuri'!BG50*'Calibrare_Linii'!D18)))</x:f>
      </x:c>
      <x:c r="O634" s="10" t="str">
        <x:f>IF(M634="","",1-M634)</x:f>
      </x:c>
      <x:c r="P634" s="10" t="str">
        <x:f>IF(OR(NOT(AND(J634="PASS",'Calibrare_Linii'!U18="VALID")),AK634=0),""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*('Istoric_Nativ'!$Q$6:$Q$405&gt;H634))/AK634)</x:f>
      </x:c>
      <x:c r="Q634" s="10" t="str">
        <x:f>IF(OR(NOT(AND(J634="PASS",'Calibrare_Linii'!U18="VALID")),AL634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M50)+((('Istoric_Nativ'!$E$6:$E$405='Input_Meci'!E50)+('Istoric_Nativ'!$F$6:$F$405='Input_Meci'!E50))&gt;0)*('Istoric_Nativ'!$D$6:$D$405&gt;='Motor_Meciuri'!BN50))&gt;0)*('Istoric_Nativ'!$Q$6:$Q$405&gt;H634))/AL634)</x:f>
      </x:c>
      <x:c r="R634" s="10" t="str">
        <x:f>IF(OR(NOT(AND(J634="PASS",'Calibrare_Linii'!U18="VALID")),AM634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O50)+((('Istoric_Nativ'!$E$6:$E$405='Input_Meci'!E50)+('Istoric_Nativ'!$F$6:$F$405='Input_Meci'!E50))&gt;0)*('Istoric_Nativ'!$D$6:$D$405&gt;='Motor_Meciuri'!BP50))&gt;0)*('Istoric_Nativ'!$Q$6:$Q$405&gt;H634))/AM634)</x:f>
      </x:c>
      <x:c r="S634" s="10" t="str">
        <x:f>IF(M634="","",MAX(O634,P634,Q634,R634))</x:f>
      </x:c>
      <x:c r="T634" s="11" t="str">
        <x:f>IF(M634="","",MIN(100,S634*100*'Config_v6'!$B$44+MIN(100,L634/'Config_v6'!$B$13*100)*'Config_v6'!$B$45+(100-'Motor_Meciuri'!BF50)*'Config_v6'!$B$46+'Motor_Meciuri'!BH50*100*'Config_v6'!$B$47))</x:f>
      </x:c>
      <x:c r="U634" s="2" t="str">
        <x:f>IF(T634="","",IF(T634&lt;=20,1,IF(T634&lt;=40,2,IF(T634&lt;=60,3,IF(T634&lt;=80,4,5)))))</x:f>
      </x:c>
      <x:c r="V634" s="2" t="str">
        <x:f>IF(M634="","",MAX(0,'Motor_Meciuri'!BF50-IF(W634="OOS PENDING",'Config_v6'!$B$35,0)-IF(L634&gt;'Config_v6'!$B$12,'Config_v6'!$B$37,IF(L634&gt;'Config_v6'!$B$11,'Config_v6'!$B$36,0))))</x:f>
      </x:c>
      <x:c r="W634" s="2" t="str">
        <x:f>IF(B634="","",IF(I634&lt;&gt;"READY","NOT RELEASED",IF(NOT(AND(J634="PASS",'Calibrare_Linii'!U18="VALID")),"INVALID",IF(NOT(AND('Calibrare_Linii'!S18="VALIDATED",AND('Calibrare_Linii'!H18=C634,ISNUMBER('Calibrare_Linii'!J18),'Calibrare_Linii'!J18&lt;='Input_Meci'!G50))),"OOS PENDING",IF(S634&lt;='Calibrare_Linii'!E18,"PASS",IF(S634&lt;='Calibrare_Linii'!F18,"PENALTY","WATCH"))))))</x:f>
      </x:c>
      <x:c r="X634" s="2" t="str">
        <x:f>IF(M634="","",IF(AND(AND(J634="PASS",'Calibrare_Linii'!U18="VALID"),'Motor_Meciuri'!K50=12,'Motor_Meciuri'!L50=12,'Motor_Meciuri'!M50="NO",'Motor_Meciuri'!BL50='Motor_Meciuri'!C50,AB634&gt;='Config_v6'!$B$50,AN634&gt;='Config_v6'!$B$51,T634&lt;='Config_v6'!$B$52,L634&lt;='Config_v6'!$B$53,ISNUMBER('Calibrare_Linii'!E18),S634&lt;='Calibrare_Linii'!E18,SUM(AK634:AM634)&gt;0),"CANDIDATE","NO"))</x:f>
      </x:c>
      <x:c r="Y634" s="2" t="str">
        <x:f>IF(B634="","",IF(I634&lt;&gt;"READY","NOT RELEASED",IF(AND(X634="CANDIDATE",V634&gt;='Config_v6'!$B$51,W634="PASS",'Calibrare_Linii'!T18="VALIDATED",AND('Calibrare_Linii'!H18=C634,ISNUMBER('Calibrare_Linii'!J18),'Calibrare_Linii'!J18&lt;='Input_Meci'!G50)),"PASS",IF(X634="CANDIDATE","OOS PENDING","FAIL"))))</x:f>
      </x:c>
      <x:c r="Z634" s="2" t="str">
        <x:f>IF(B634="","",IF(I634&lt;&gt;"READY","",IF(OR(NOT(AND(J634="PASS",'Calibrare_Linii'!U18="VALID")),L634&gt;'Config_v6'!$B$13,W634="WATCH"),5,IF(Y634="PASS",1,MIN(5,MAX('Config_v6'!$B$42,U634)+IF(W634="PENALTY",1,0))))))</x:f>
      </x:c>
      <x:c r="AA634" s="2" t="str">
        <x:f>IF(B634="","",IF(I634&lt;&gt;"READY","NOT RELEASED",IF(Z634=5,"NO BET",IF(OR(AB634&lt;'Config_v6'!$B$16,V634&lt;'Config_v6'!$B$18),"WATCH",IF(Z634=1,"DEFENSIV",IF(Z634=2,"PRUDENT",IF(Z634=3,"MODERAT","RIDICAT")))))))</x:f>
      </x:c>
      <x:c r="AB634" s="10" t="str">
        <x:f>IF(N634="","",MIN(N634,1-S634))</x:f>
      </x:c>
      <x:c r="AC634" s="2" t="str">
        <x:f>IF(AD634&lt;&gt;1,"",COUNTIFS($Z$622:$Z$635,"&lt;"&amp;Z634,$AD$622:$AD$635,1)+COUNTIFS($Z$622:$Z$635,Z634,$AB$622:$AB$635,"&gt;"&amp;AB634,$AD$622:$AD$635,1)+COUNTIFS($Z$622:$Z$635,Z634,$AB$622:$AB$635,AB634,$V$622:$V$635,"&gt;"&amp;V634,$AD$622:$AD$635,1)+COUNTIFS($Z$622:Z634,Z634,$AB$622:AB634,AB634,$V$622:V634,V634,$AD$622:AD634,1))</x:f>
      </x:c>
      <x:c r="AD634" s="2" t="n">
        <x:f>IF(OR(AA634="DEFENSIV",AA634="PRUDENT",AA634="MODERAT",AA634="RIDICAT"),1,0)</x:f>
        <x:v>0</x:v>
      </x:c>
      <x:c r="AE634" s="2" t="str">
        <x:f>IF(AD634&lt;&gt;1,"NO",IF(W634="PASS","YES",IF(W634="OOS PENDING","CONDITIONAL","NO")))</x:f>
        <x:v>NO</x:v>
      </x:c>
      <x:c r="AF634" s="2" t="n">
        <x:f>IF(AND(AD634=1,AC634=1,E634="LIVE"),1,0)</x:f>
        <x:v>0</x:v>
      </x:c>
      <x:c r="AG634" s="2" t="str">
        <x:f>IF(AF634&lt;&gt;1,"",'Dashboard'!P70)</x:f>
      </x:c>
      <x:c r="AH634" s="2" t="str">
        <x:f>IF(B634="","",IF(J634&lt;&gt;"PASS",'Motor_Meciuri'!J50,IF('Calibrare_Linii'!U18&lt;&gt;"VALID","Parametri linie invalizi",IF(L634&gt;'Config_v6'!$B$13,"Dispersie peste limita",IF(W634="WATCH","Failure peste limita",IF(AB634&lt;'Config_v6'!$B$16,"P finala sub prag",IF(V634&lt;'Config_v6'!$B$18,"Confidence sub prag",IF(E634="REPLAY","Exemplu retrospectiv; exclus din Top LIVE",IF(Y634="PASS","DEFENSIV validat",IF(W634="OOS PENDING","Eligibil; calibrare linie in monitorizare","Eligibil"))))))))))</x:f>
      </x:c>
      <x:c r="AI634" s="2" t="str">
        <x:f>IF(B634="","",'Calibrare_Linii'!V18)</x:f>
      </x:c>
      <x:c r="AJ634" s="2" t="str">
        <x:f>IF(B634="","",IF(AND('Calibrare_Linii'!T18="VALIDATED",AND('Calibrare_Linii'!H18=C634,ISNUMBER('Calibrare_Linii'!J18),'Calibrare_Linii'!J18&lt;='Input_Meci'!G50)),"DEFENSIVE VALIDATED",IF(AND('Calibrare_Linii'!S18="VALIDATED",AND('Calibrare_Linii'!H18=C634,ISNUMBER('Calibrare_Linii'!J18),'Calibrare_Linii'!J18&lt;='Input_Meci'!G50)),"TAIL VALIDATED","OOS PENDING")))</x:f>
      </x:c>
      <x:c r="AK634" s="2" t="n">
        <x:f>IF(J634&lt;&gt;"PASS",0,'Motor_Meciuri'!BR50)</x:f>
        <x:v>0</x:v>
      </x:c>
      <x:c r="AL634" s="2" t="n">
        <x:f>IF(J634&lt;&gt;"PASS",0,'Motor_Meciuri'!BS50)</x:f>
        <x:v>0</x:v>
      </x:c>
      <x:c r="AM634" s="2" t="n">
        <x:f>IF(J634&lt;&gt;"PASS",0,'Motor_Meciuri'!BT50)</x:f>
        <x:v>0</x:v>
      </x:c>
      <x:c r="AN634" s="2" t="str">
        <x:f>IF(M634="","",MAX(0,'Motor_Meciuri'!BF50-IF(L634&gt;'Config_v6'!$B$12,'Config_v6'!$B$37,IF(L634&gt;'Config_v6'!$B$11,'Config_v6'!$B$36,0))))</x:f>
      </x:c>
    </x:row>
    <x:row r="635" ht="21" customHeight="1">
      <x:c r="A635" s="2" t="n">
        <x:v>45</x:v>
      </x:c>
      <x:c r="B635" s="2" t="str">
        <x:f>IF('Motor_Meciuri'!A50="","",'Motor_Meciuri'!A50)</x:f>
      </x:c>
      <x:c r="C635" s="2" t="str">
        <x:f>IF(B635="","",'Motor_Meciuri'!B50)</x:f>
      </x:c>
      <x:c r="D635" s="2" t="str">
        <x:f>IF(B635="","",'Motor_Meciuri'!D50)</x:f>
      </x:c>
      <x:c r="E635" s="2" t="str">
        <x:f>IF(B635="","",'Motor_Meciuri'!E50)</x:f>
      </x:c>
      <x:c r="F635" s="2" t="str">
        <x:v>U17,5</x:v>
      </x:c>
      <x:c r="G635" s="2" t="str">
        <x:v>UNDER</x:v>
      </x:c>
      <x:c r="H635" s="2" t="n">
        <x:v>17</x:v>
      </x:c>
      <x:c r="I635" s="2" t="str">
        <x:f>IF(B635="","",'Motor_Meciuri'!H50)</x:f>
      </x:c>
      <x:c r="J635" s="2" t="str">
        <x:f>IF(B635="","",'Motor_Meciuri'!I50)</x:f>
      </x:c>
      <x:c r="K635" s="11" t="str">
        <x:f>IF(J635&lt;&gt;"PASS","",'Motor_Meciuri'!BD50)</x:f>
      </x:c>
      <x:c r="L635" s="11" t="str">
        <x:f>IF(J635&lt;&gt;"PASS","",'Motor_Meciuri'!AU50)</x:f>
      </x:c>
      <x:c r="M635" s="10" t="str">
        <x:f>IF(NOT(AND(J635="PASS",'Calibrare_Linii'!U19="VALID")),"",'Distributie'!AO50)</x:f>
      </x:c>
      <x:c r="N635" s="10" t="str">
        <x:f>IF(M635="","",MAX(0.01,MIN(0.99,0.5+(M635-0.5)*'Motor_Meciuri'!BG50*'Calibrare_Linii'!D19)))</x:f>
      </x:c>
      <x:c r="O635" s="10" t="str">
        <x:f>IF(M635="","",1-M635)</x:f>
      </x:c>
      <x:c r="P635" s="10" t="str">
        <x:f>IF(OR(NOT(AND(J635="PASS",'Calibrare_Linii'!U19="VALID")),AK635=0),""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*('Istoric_Nativ'!$Q$6:$Q$405&gt;H635))/AK635)</x:f>
      </x:c>
      <x:c r="Q635" s="10" t="str">
        <x:f>IF(OR(NOT(AND(J635="PASS",'Calibrare_Linii'!U19="VALID")),AL635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M50)+((('Istoric_Nativ'!$E$6:$E$405='Input_Meci'!E50)+('Istoric_Nativ'!$F$6:$F$405='Input_Meci'!E50))&gt;0)*('Istoric_Nativ'!$D$6:$D$405&gt;='Motor_Meciuri'!BN50))&gt;0)*('Istoric_Nativ'!$Q$6:$Q$405&gt;H635))/AL635)</x:f>
      </x:c>
      <x:c r="R635" s="10" t="str">
        <x:f>IF(OR(NOT(AND(J635="PASS",'Calibrare_Linii'!U19="VALID")),AM635=0),""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'Motor_Meciuri'!BO50)+((('Istoric_Nativ'!$E$6:$E$405='Input_Meci'!E50)+('Istoric_Nativ'!$F$6:$F$405='Input_Meci'!E50))&gt;0)*('Istoric_Nativ'!$D$6:$D$405&gt;='Motor_Meciuri'!BP50))&gt;0)*('Istoric_Nativ'!$Q$6:$Q$405&gt;H635))/AM635)</x:f>
      </x:c>
      <x:c r="S635" s="10" t="str">
        <x:f>IF(M635="","",MAX(O635,P635,Q635,R635))</x:f>
      </x:c>
      <x:c r="T635" s="11" t="str">
        <x:f>IF(M635="","",MIN(100,S635*100*'Config_v6'!$B$44+MIN(100,L635/'Config_v6'!$B$13*100)*'Config_v6'!$B$45+(100-'Motor_Meciuri'!BF50)*'Config_v6'!$B$46+'Motor_Meciuri'!BH50*100*'Config_v6'!$B$47))</x:f>
      </x:c>
      <x:c r="U635" s="2" t="str">
        <x:f>IF(T635="","",IF(T635&lt;=20,1,IF(T635&lt;=40,2,IF(T635&lt;=60,3,IF(T635&lt;=80,4,5)))))</x:f>
      </x:c>
      <x:c r="V635" s="2" t="str">
        <x:f>IF(M635="","",MAX(0,'Motor_Meciuri'!BF50-IF(W635="OOS PENDING",'Config_v6'!$B$35,0)-IF(L635&gt;'Config_v6'!$B$12,'Config_v6'!$B$37,IF(L635&gt;'Config_v6'!$B$11,'Config_v6'!$B$36,0))))</x:f>
      </x:c>
      <x:c r="W635" s="2" t="str">
        <x:f>IF(B635="","",IF(I635&lt;&gt;"READY","NOT RELEASED",IF(NOT(AND(J635="PASS",'Calibrare_Linii'!U19="VALID")),"INVALID",IF(NOT(AND('Calibrare_Linii'!S19="VALIDATED",AND('Calibrare_Linii'!H19=C635,ISNUMBER('Calibrare_Linii'!J19),'Calibrare_Linii'!J19&lt;='Input_Meci'!G50))),"OOS PENDING",IF(S635&lt;='Calibrare_Linii'!E19,"PASS",IF(S635&lt;='Calibrare_Linii'!F19,"PENALTY","WATCH"))))))</x:f>
      </x:c>
      <x:c r="X635" s="2" t="str">
        <x:f>IF(M635="","",IF(AND(AND(J635="PASS",'Calibrare_Linii'!U19="VALID"),'Motor_Meciuri'!K50=12,'Motor_Meciuri'!L50=12,'Motor_Meciuri'!M50="NO",'Motor_Meciuri'!BL50='Motor_Meciuri'!C50,AB635&gt;='Config_v6'!$B$50,AN635&gt;='Config_v6'!$B$51,T635&lt;='Config_v6'!$B$52,L635&lt;='Config_v6'!$B$53,ISNUMBER('Calibrare_Linii'!E19),S635&lt;='Calibrare_Linii'!E19,SUM(AK635:AM635)&gt;0),"CANDIDATE","NO"))</x:f>
      </x:c>
      <x:c r="Y635" s="2" t="str">
        <x:f>IF(B635="","",IF(I635&lt;&gt;"READY","NOT RELEASED",IF(AND(X635="CANDIDATE",V635&gt;='Config_v6'!$B$51,W635="PASS",'Calibrare_Linii'!T19="VALIDATED",AND('Calibrare_Linii'!H19=C635,ISNUMBER('Calibrare_Linii'!J19),'Calibrare_Linii'!J19&lt;='Input_Meci'!G50)),"PASS",IF(X635="CANDIDATE","OOS PENDING","FAIL"))))</x:f>
      </x:c>
      <x:c r="Z635" s="2" t="str">
        <x:f>IF(B635="","",IF(I635&lt;&gt;"READY","",IF(OR(NOT(AND(J635="PASS",'Calibrare_Linii'!U19="VALID")),L635&gt;'Config_v6'!$B$13,W635="WATCH"),5,IF(Y635="PASS",1,MIN(5,MAX('Config_v6'!$B$42,U635)+IF(W635="PENALTY",1,0))))))</x:f>
      </x:c>
      <x:c r="AA635" s="2" t="str">
        <x:f>IF(B635="","",IF(I635&lt;&gt;"READY","NOT RELEASED",IF(Z635=5,"NO BET",IF(OR(AB635&lt;'Config_v6'!$B$16,V635&lt;'Config_v6'!$B$18),"WATCH",IF(Z635=1,"DEFENSIV",IF(Z635=2,"PRUDENT",IF(Z635=3,"MODERAT","RIDICAT")))))))</x:f>
      </x:c>
      <x:c r="AB635" s="10" t="str">
        <x:f>IF(N635="","",MIN(N635,1-S635))</x:f>
      </x:c>
      <x:c r="AC635" s="2" t="str">
        <x:f>IF(AD635&lt;&gt;1,"",COUNTIFS($Z$622:$Z$635,"&lt;"&amp;Z635,$AD$622:$AD$635,1)+COUNTIFS($Z$622:$Z$635,Z635,$AB$622:$AB$635,"&gt;"&amp;AB635,$AD$622:$AD$635,1)+COUNTIFS($Z$622:$Z$635,Z635,$AB$622:$AB$635,AB635,$V$622:$V$635,"&gt;"&amp;V635,$AD$622:$AD$635,1)+COUNTIFS($Z$622:Z635,Z635,$AB$622:AB635,AB635,$V$622:V635,V635,$AD$622:AD635,1))</x:f>
      </x:c>
      <x:c r="AD635" s="2" t="n">
        <x:f>IF(OR(AA635="DEFENSIV",AA635="PRUDENT",AA635="MODERAT",AA635="RIDICAT"),1,0)</x:f>
        <x:v>0</x:v>
      </x:c>
      <x:c r="AE635" s="2" t="str">
        <x:f>IF(AD635&lt;&gt;1,"NO",IF(W635="PASS","YES",IF(W635="OOS PENDING","CONDITIONAL","NO")))</x:f>
        <x:v>NO</x:v>
      </x:c>
      <x:c r="AF635" s="2" t="n">
        <x:f>IF(AND(AD635=1,AC635=1,E635="LIVE"),1,0)</x:f>
        <x:v>0</x:v>
      </x:c>
      <x:c r="AG635" s="2" t="str">
        <x:f>IF(AF635&lt;&gt;1,"",'Dashboard'!P70)</x:f>
      </x:c>
      <x:c r="AH635" s="2" t="str">
        <x:f>IF(B635="","",IF(J635&lt;&gt;"PASS",'Motor_Meciuri'!J50,IF('Calibrare_Linii'!U19&lt;&gt;"VALID","Parametri linie invalizi",IF(L635&gt;'Config_v6'!$B$13,"Dispersie peste limita",IF(W635="WATCH","Failure peste limita",IF(AB635&lt;'Config_v6'!$B$16,"P finala sub prag",IF(V635&lt;'Config_v6'!$B$18,"Confidence sub prag",IF(E635="REPLAY","Exemplu retrospectiv; exclus din Top LIVE",IF(Y635="PASS","DEFENSIV validat",IF(W635="OOS PENDING","Eligibil; calibrare linie in monitorizare","Eligibil"))))))))))</x:f>
      </x:c>
      <x:c r="AI635" s="2" t="str">
        <x:f>IF(B635="","",'Calibrare_Linii'!V19)</x:f>
      </x:c>
      <x:c r="AJ635" s="2" t="str">
        <x:f>IF(B635="","",IF(AND('Calibrare_Linii'!T19="VALIDATED",AND('Calibrare_Linii'!H19=C635,ISNUMBER('Calibrare_Linii'!J19),'Calibrare_Linii'!J19&lt;='Input_Meci'!G50)),"DEFENSIVE VALIDATED",IF(AND('Calibrare_Linii'!S19="VALIDATED",AND('Calibrare_Linii'!H19=C635,ISNUMBER('Calibrare_Linii'!J19),'Calibrare_Linii'!J19&lt;='Input_Meci'!G50)),"TAIL VALIDATED","OOS PENDING")))</x:f>
      </x:c>
      <x:c r="AK635" s="2" t="n">
        <x:f>IF(J635&lt;&gt;"PASS",0,'Motor_Meciuri'!BR50)</x:f>
        <x:v>0</x:v>
      </x:c>
      <x:c r="AL635" s="2" t="n">
        <x:f>IF(J635&lt;&gt;"PASS",0,'Motor_Meciuri'!BS50)</x:f>
        <x:v>0</x:v>
      </x:c>
      <x:c r="AM635" s="2" t="n">
        <x:f>IF(J635&lt;&gt;"PASS",0,'Motor_Meciuri'!BT50)</x:f>
        <x:v>0</x:v>
      </x:c>
      <x:c r="AN635" s="2" t="str">
        <x:f>IF(M635="","",MAX(0,'Motor_Meciuri'!BF50-IF(L635&gt;'Config_v6'!$B$12,'Config_v6'!$B$37,IF(L635&gt;'Config_v6'!$B$11,'Config_v6'!$B$36,0))))</x:f>
      </x:c>
    </x:row>
    <x:row r="636" ht="21" customHeight="1">
      <x:c r="A636" s="2" t="n">
        <x:v>46</x:v>
      </x:c>
      <x:c r="B636" s="2" t="str">
        <x:f>IF('Motor_Meciuri'!A51="","",'Motor_Meciuri'!A51)</x:f>
      </x:c>
      <x:c r="C636" s="2" t="str">
        <x:f>IF(B636="","",'Motor_Meciuri'!B51)</x:f>
      </x:c>
      <x:c r="D636" s="2" t="str">
        <x:f>IF(B636="","",'Motor_Meciuri'!D51)</x:f>
      </x:c>
      <x:c r="E636" s="2" t="str">
        <x:f>IF(B636="","",'Motor_Meciuri'!E51)</x:f>
      </x:c>
      <x:c r="F636" s="2" t="str">
        <x:v>O3,5</x:v>
      </x:c>
      <x:c r="G636" s="2" t="str">
        <x:v>OVER</x:v>
      </x:c>
      <x:c r="H636" s="2" t="n">
        <x:v>3</x:v>
      </x:c>
      <x:c r="I636" s="2" t="str">
        <x:f>IF(B636="","",'Motor_Meciuri'!H51)</x:f>
      </x:c>
      <x:c r="J636" s="2" t="str">
        <x:f>IF(B636="","",'Motor_Meciuri'!I51)</x:f>
      </x:c>
      <x:c r="K636" s="11" t="str">
        <x:f>IF(J636&lt;&gt;"PASS","",'Motor_Meciuri'!BD51)</x:f>
      </x:c>
      <x:c r="L636" s="11" t="str">
        <x:f>IF(J636&lt;&gt;"PASS","",'Motor_Meciuri'!AU51)</x:f>
      </x:c>
      <x:c r="M636" s="10" t="str">
        <x:f>IF(NOT(AND(J636="PASS",'Calibrare_Linii'!U6="VALID")),"",1-'Distributie'!AA51)</x:f>
      </x:c>
      <x:c r="N636" s="10" t="str">
        <x:f>IF(M636="","",MAX(0.01,MIN(0.99,0.5+(M636-0.5)*'Motor_Meciuri'!BG51*'Calibrare_Linii'!D6)))</x:f>
      </x:c>
      <x:c r="O636" s="10" t="str">
        <x:f>IF(M636="","",1-M636)</x:f>
      </x:c>
      <x:c r="P636" s="10" t="str">
        <x:f>IF(OR(NOT(AND(J636="PASS",'Calibrare_Linii'!U6="VALID")),AK636=0),""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*('Istoric_Nativ'!$Q$6:$Q$405&lt;=H636))/AK636)</x:f>
      </x:c>
      <x:c r="Q636" s="10" t="str">
        <x:f>IF(OR(NOT(AND(J636="PASS",'Calibrare_Linii'!U6="VALID")),AL636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M51)+((('Istoric_Nativ'!$E$6:$E$405='Input_Meci'!E51)+('Istoric_Nativ'!$F$6:$F$405='Input_Meci'!E51))&gt;0)*('Istoric_Nativ'!$D$6:$D$405&gt;='Motor_Meciuri'!BN51))&gt;0)*('Istoric_Nativ'!$Q$6:$Q$405&lt;=H636))/AL636)</x:f>
      </x:c>
      <x:c r="R636" s="10" t="str">
        <x:f>IF(OR(NOT(AND(J636="PASS",'Calibrare_Linii'!U6="VALID")),AM636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O51)+((('Istoric_Nativ'!$E$6:$E$405='Input_Meci'!E51)+('Istoric_Nativ'!$F$6:$F$405='Input_Meci'!E51))&gt;0)*('Istoric_Nativ'!$D$6:$D$405&gt;='Motor_Meciuri'!BP51))&gt;0)*('Istoric_Nativ'!$Q$6:$Q$405&lt;=H636))/AM636)</x:f>
      </x:c>
      <x:c r="S636" s="10" t="str">
        <x:f>IF(M636="","",MAX(O636,P636,Q636,R636))</x:f>
      </x:c>
      <x:c r="T636" s="11" t="str">
        <x:f>IF(M636="","",MIN(100,S636*100*'Config_v6'!$B$44+MIN(100,L636/'Config_v6'!$B$13*100)*'Config_v6'!$B$45+(100-'Motor_Meciuri'!BF51)*'Config_v6'!$B$46+'Motor_Meciuri'!BH51*100*'Config_v6'!$B$47))</x:f>
      </x:c>
      <x:c r="U636" s="2" t="str">
        <x:f>IF(T636="","",IF(T636&lt;=20,1,IF(T636&lt;=40,2,IF(T636&lt;=60,3,IF(T636&lt;=80,4,5)))))</x:f>
      </x:c>
      <x:c r="V636" s="2" t="str">
        <x:f>IF(M636="","",MAX(0,'Motor_Meciuri'!BF51-IF(W636="OOS PENDING",'Config_v6'!$B$35,0)-IF(L636&gt;'Config_v6'!$B$12,'Config_v6'!$B$37,IF(L636&gt;'Config_v6'!$B$11,'Config_v6'!$B$36,0))))</x:f>
      </x:c>
      <x:c r="W636" s="2" t="str">
        <x:f>IF(B636="","",IF(I636&lt;&gt;"READY","NOT RELEASED",IF(NOT(AND(J636="PASS",'Calibrare_Linii'!U6="VALID")),"INVALID",IF(NOT(TRUE),"OOS PENDING",IF(S636&lt;=IF(AND('Calibrare_Linii'!S6="VALIDATED",AND('Calibrare_Linii'!H6=C636,ISNUMBER('Calibrare_Linii'!J6),'Calibrare_Linii'!J6&lt;='Input_Meci'!G51)),'Calibrare_Linii'!E6,'Config_v6'!$B$26),"PASS",IF(S636&lt;=IF(AND('Calibrare_Linii'!S6="VALIDATED",AND('Calibrare_Linii'!H6=C636,ISNUMBER('Calibrare_Linii'!J6),'Calibrare_Linii'!J6&lt;='Input_Meci'!G51)),'Calibrare_Linii'!F6,'Config_v6'!$C$26),"PENALTY","WATCH"))))))</x:f>
      </x:c>
      <x:c r="X636" s="2" t="str">
        <x:f>IF(M636="","",IF(AND(AND(J636="PASS",'Calibrare_Linii'!U6="VALID"),'Motor_Meciuri'!K51=12,'Motor_Meciuri'!L51=12,'Motor_Meciuri'!M51="NO",'Motor_Meciuri'!BL51='Motor_Meciuri'!C51,AB636&gt;='Config_v6'!$B$50,AN636&gt;='Config_v6'!$B$51,T636&lt;='Config_v6'!$B$52,L636&lt;='Config_v6'!$B$53,ISNUMBER('Calibrare_Linii'!E6),S636&lt;='Calibrare_Linii'!E6,SUM(AK636:AM636)&gt;0),"CANDIDATE","NO"))</x:f>
      </x:c>
      <x:c r="Y636" s="2" t="str">
        <x:f>IF(B636="","",IF(I636&lt;&gt;"READY","NOT RELEASED",IF(AND(X636="CANDIDATE",V636&gt;='Config_v6'!$B$51,W636="PASS",'Calibrare_Linii'!T6="VALIDATED",AND('Calibrare_Linii'!H6=C636,ISNUMBER('Calibrare_Linii'!J6),'Calibrare_Linii'!J6&lt;='Input_Meci'!G51)),"PASS",IF(X636="CANDIDATE","OOS PENDING","FAIL"))))</x:f>
      </x:c>
      <x:c r="Z636" s="2" t="str">
        <x:f>IF(B636="","",IF(I636&lt;&gt;"READY","",IF(OR(NOT(AND(J636="PASS",'Calibrare_Linii'!U6="VALID")),L636&gt;'Config_v6'!$B$13,W636="WATCH"),5,IF(Y636="PASS",1,MIN(5,MAX('Config_v6'!$B$42,U636)+IF(W636="PENALTY",1,0))))))</x:f>
      </x:c>
      <x:c r="AA636" s="2" t="str">
        <x:f>IF(B636="","",IF(I636&lt;&gt;"READY","NOT RELEASED",IF(Z636=5,"NO BET",IF(OR(AB636&lt;'Config_v6'!$B$16,V636&lt;'Config_v6'!$B$18),"WATCH",IF(Z636=1,"DEFENSIV",IF(Z636=2,"PRUDENT",IF(Z636=3,"MODERAT","RIDICAT")))))))</x:f>
      </x:c>
      <x:c r="AB636" s="10" t="str">
        <x:f>IF(N636="","",MIN(N636,1-S636))</x:f>
      </x:c>
      <x:c r="AC636" s="2" t="str">
        <x:f>IF(AD636&lt;&gt;1,"",COUNTIFS($Z$636:$Z$649,"&lt;"&amp;Z636,$AD$636:$AD$649,1)+COUNTIFS($Z$636:$Z$649,Z636,$AB$636:$AB$649,"&gt;"&amp;AB636,$AD$636:$AD$649,1)+COUNTIFS($Z$636:$Z$649,Z636,$AB$636:$AB$649,AB636,$V$636:$V$649,"&gt;"&amp;V636,$AD$636:$AD$649,1)+COUNTIFS($Z$636:Z636,Z636,$AB$636:AB636,AB636,$V$636:V636,V636,$AD$636:AD636,1))</x:f>
      </x:c>
      <x:c r="AD636" s="2" t="n">
        <x:f>IF(OR(AA636="DEFENSIV",AA636="PRUDENT",AA636="MODERAT",AA636="RIDICAT"),1,0)</x:f>
        <x:v>0</x:v>
      </x:c>
      <x:c r="AE636" s="2" t="str">
        <x:f>IF(AD636&lt;&gt;1,"NO",IF(W636="PASS","YES",IF(W636="OOS PENDING","CONDITIONAL","NO")))</x:f>
        <x:v>NO</x:v>
      </x:c>
      <x:c r="AF636" s="2" t="n">
        <x:f>IF(AND(AD636=1,AC636=1,E636="LIVE"),1,0)</x:f>
        <x:v>0</x:v>
      </x:c>
      <x:c r="AG636" s="2" t="str">
        <x:f>IF(AF636&lt;&gt;1,"",'Dashboard'!P71)</x:f>
      </x:c>
      <x:c r="AH636" s="2" t="str">
        <x:f>IF(B636="","",IF(J636&lt;&gt;"PASS",'Motor_Meciuri'!J51,IF('Calibrare_Linii'!U6&lt;&gt;"VALID","Parametri linie invalizi",IF(L636&gt;'Config_v6'!$B$13,"Dispersie peste limita",IF(W636="WATCH","Failure peste limita",IF(AB636&lt;'Config_v6'!$B$16,"P finala sub prag",IF(V636&lt;'Config_v6'!$B$18,"Confidence sub prag",IF(E636="REPLAY","Exemplu retrospectiv; exclus din Top LIVE",IF(Y636="PASS","DEFENSIV validat",IF(W636="OOS PENDING","Eligibil; calibrare linie in monitorizare","Eligibil"))))))))))</x:f>
      </x:c>
      <x:c r="AI636" s="2" t="str">
        <x:f>IF(B636="","",'Calibrare_Linii'!V6)</x:f>
      </x:c>
      <x:c r="AJ636" s="2" t="str">
        <x:f>IF(B636="","",IF(AND('Calibrare_Linii'!T6="VALIDATED",AND('Calibrare_Linii'!H6=C636,ISNUMBER('Calibrare_Linii'!J6),'Calibrare_Linii'!J6&lt;='Input_Meci'!G51)),"DEFENSIVE VALIDATED",IF(AND('Calibrare_Linii'!S6="VALIDATED",AND('Calibrare_Linii'!H6=C636,ISNUMBER('Calibrare_Linii'!J6),'Calibrare_Linii'!J6&lt;='Input_Meci'!G51)),"TAIL VALIDATED","OOS PENDING")))</x:f>
      </x:c>
      <x:c r="AK636" s="2" t="n">
        <x:f>IF(J636&lt;&gt;"PASS",0,'Motor_Meciuri'!BR51)</x:f>
        <x:v>0</x:v>
      </x:c>
      <x:c r="AL636" s="2" t="n">
        <x:f>IF(J636&lt;&gt;"PASS",0,'Motor_Meciuri'!BS51)</x:f>
        <x:v>0</x:v>
      </x:c>
      <x:c r="AM636" s="2" t="n">
        <x:f>IF(J636&lt;&gt;"PASS",0,'Motor_Meciuri'!BT51)</x:f>
        <x:v>0</x:v>
      </x:c>
      <x:c r="AN636" s="2" t="str">
        <x:f>IF(M636="","",MAX(0,'Motor_Meciuri'!BF51-IF(L636&gt;'Config_v6'!$B$12,'Config_v6'!$B$37,IF(L636&gt;'Config_v6'!$B$11,'Config_v6'!$B$36,0))))</x:f>
      </x:c>
    </x:row>
    <x:row r="637" ht="21" customHeight="1">
      <x:c r="A637" s="2" t="n">
        <x:v>46</x:v>
      </x:c>
      <x:c r="B637" s="2" t="str">
        <x:f>IF('Motor_Meciuri'!A51="","",'Motor_Meciuri'!A51)</x:f>
      </x:c>
      <x:c r="C637" s="2" t="str">
        <x:f>IF(B637="","",'Motor_Meciuri'!B51)</x:f>
      </x:c>
      <x:c r="D637" s="2" t="str">
        <x:f>IF(B637="","",'Motor_Meciuri'!D51)</x:f>
      </x:c>
      <x:c r="E637" s="2" t="str">
        <x:f>IF(B637="","",'Motor_Meciuri'!E51)</x:f>
      </x:c>
      <x:c r="F637" s="2" t="str">
        <x:v>O4,5</x:v>
      </x:c>
      <x:c r="G637" s="2" t="str">
        <x:v>OVER</x:v>
      </x:c>
      <x:c r="H637" s="2" t="n">
        <x:v>4</x:v>
      </x:c>
      <x:c r="I637" s="2" t="str">
        <x:f>IF(B637="","",'Motor_Meciuri'!H51)</x:f>
      </x:c>
      <x:c r="J637" s="2" t="str">
        <x:f>IF(B637="","",'Motor_Meciuri'!I51)</x:f>
      </x:c>
      <x:c r="K637" s="11" t="str">
        <x:f>IF(J637&lt;&gt;"PASS","",'Motor_Meciuri'!BD51)</x:f>
      </x:c>
      <x:c r="L637" s="11" t="str">
        <x:f>IF(J637&lt;&gt;"PASS","",'Motor_Meciuri'!AU51)</x:f>
      </x:c>
      <x:c r="M637" s="10" t="str">
        <x:f>IF(NOT(AND(J637="PASS",'Calibrare_Linii'!U7="VALID")),"",1-'Distributie'!AB51)</x:f>
      </x:c>
      <x:c r="N637" s="10" t="str">
        <x:f>IF(M637="","",MAX(0.01,MIN(0.99,0.5+(M637-0.5)*'Motor_Meciuri'!BG51*'Calibrare_Linii'!D7)))</x:f>
      </x:c>
      <x:c r="O637" s="10" t="str">
        <x:f>IF(M637="","",1-M637)</x:f>
      </x:c>
      <x:c r="P637" s="10" t="str">
        <x:f>IF(OR(NOT(AND(J637="PASS",'Calibrare_Linii'!U7="VALID")),AK637=0),""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*('Istoric_Nativ'!$Q$6:$Q$405&lt;=H637))/AK637)</x:f>
      </x:c>
      <x:c r="Q637" s="10" t="str">
        <x:f>IF(OR(NOT(AND(J637="PASS",'Calibrare_Linii'!U7="VALID")),AL637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M51)+((('Istoric_Nativ'!$E$6:$E$405='Input_Meci'!E51)+('Istoric_Nativ'!$F$6:$F$405='Input_Meci'!E51))&gt;0)*('Istoric_Nativ'!$D$6:$D$405&gt;='Motor_Meciuri'!BN51))&gt;0)*('Istoric_Nativ'!$Q$6:$Q$405&lt;=H637))/AL637)</x:f>
      </x:c>
      <x:c r="R637" s="10" t="str">
        <x:f>IF(OR(NOT(AND(J637="PASS",'Calibrare_Linii'!U7="VALID")),AM637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O51)+((('Istoric_Nativ'!$E$6:$E$405='Input_Meci'!E51)+('Istoric_Nativ'!$F$6:$F$405='Input_Meci'!E51))&gt;0)*('Istoric_Nativ'!$D$6:$D$405&gt;='Motor_Meciuri'!BP51))&gt;0)*('Istoric_Nativ'!$Q$6:$Q$405&lt;=H637))/AM637)</x:f>
      </x:c>
      <x:c r="S637" s="10" t="str">
        <x:f>IF(M637="","",MAX(O637,P637,Q637,R637))</x:f>
      </x:c>
      <x:c r="T637" s="11" t="str">
        <x:f>IF(M637="","",MIN(100,S637*100*'Config_v6'!$B$44+MIN(100,L637/'Config_v6'!$B$13*100)*'Config_v6'!$B$45+(100-'Motor_Meciuri'!BF51)*'Config_v6'!$B$46+'Motor_Meciuri'!BH51*100*'Config_v6'!$B$47))</x:f>
      </x:c>
      <x:c r="U637" s="2" t="str">
        <x:f>IF(T637="","",IF(T637&lt;=20,1,IF(T637&lt;=40,2,IF(T637&lt;=60,3,IF(T637&lt;=80,4,5)))))</x:f>
      </x:c>
      <x:c r="V637" s="2" t="str">
        <x:f>IF(M637="","",MAX(0,'Motor_Meciuri'!BF51-IF(W637="OOS PENDING",'Config_v6'!$B$35,0)-IF(L637&gt;'Config_v6'!$B$12,'Config_v6'!$B$37,IF(L637&gt;'Config_v6'!$B$11,'Config_v6'!$B$36,0))))</x:f>
      </x:c>
      <x:c r="W637" s="2" t="str">
        <x:f>IF(B637="","",IF(I637&lt;&gt;"READY","NOT RELEASED",IF(NOT(AND(J637="PASS",'Calibrare_Linii'!U7="VALID")),"INVALID",IF(NOT(AND('Calibrare_Linii'!S7="VALIDATED",AND('Calibrare_Linii'!H7=C637,ISNUMBER('Calibrare_Linii'!J7),'Calibrare_Linii'!J7&lt;='Input_Meci'!G51))),"OOS PENDING",IF(S637&lt;='Calibrare_Linii'!E7,"PASS",IF(S637&lt;='Calibrare_Linii'!F7,"PENALTY","WATCH"))))))</x:f>
      </x:c>
      <x:c r="X637" s="2" t="str">
        <x:f>IF(M637="","",IF(AND(AND(J637="PASS",'Calibrare_Linii'!U7="VALID"),'Motor_Meciuri'!K51=12,'Motor_Meciuri'!L51=12,'Motor_Meciuri'!M51="NO",'Motor_Meciuri'!BL51='Motor_Meciuri'!C51,AB637&gt;='Config_v6'!$B$50,AN637&gt;='Config_v6'!$B$51,T637&lt;='Config_v6'!$B$52,L637&lt;='Config_v6'!$B$53,ISNUMBER('Calibrare_Linii'!E7),S637&lt;='Calibrare_Linii'!E7,SUM(AK637:AM637)&gt;0),"CANDIDATE","NO"))</x:f>
      </x:c>
      <x:c r="Y637" s="2" t="str">
        <x:f>IF(B637="","",IF(I637&lt;&gt;"READY","NOT RELEASED",IF(AND(X637="CANDIDATE",V637&gt;='Config_v6'!$B$51,W637="PASS",'Calibrare_Linii'!T7="VALIDATED",AND('Calibrare_Linii'!H7=C637,ISNUMBER('Calibrare_Linii'!J7),'Calibrare_Linii'!J7&lt;='Input_Meci'!G51)),"PASS",IF(X637="CANDIDATE","OOS PENDING","FAIL"))))</x:f>
      </x:c>
      <x:c r="Z637" s="2" t="str">
        <x:f>IF(B637="","",IF(I637&lt;&gt;"READY","",IF(OR(NOT(AND(J637="PASS",'Calibrare_Linii'!U7="VALID")),L637&gt;'Config_v6'!$B$13,W637="WATCH"),5,IF(Y637="PASS",1,MIN(5,MAX('Config_v6'!$B$42,U637)+IF(W637="PENALTY",1,0))))))</x:f>
      </x:c>
      <x:c r="AA637" s="2" t="str">
        <x:f>IF(B637="","",IF(I637&lt;&gt;"READY","NOT RELEASED",IF(Z637=5,"NO BET",IF(OR(AB637&lt;'Config_v6'!$B$16,V637&lt;'Config_v6'!$B$18),"WATCH",IF(Z637=1,"DEFENSIV",IF(Z637=2,"PRUDENT",IF(Z637=3,"MODERAT","RIDICAT")))))))</x:f>
      </x:c>
      <x:c r="AB637" s="10" t="str">
        <x:f>IF(N637="","",MIN(N637,1-S637))</x:f>
      </x:c>
      <x:c r="AC637" s="2" t="str">
        <x:f>IF(AD637&lt;&gt;1,"",COUNTIFS($Z$636:$Z$649,"&lt;"&amp;Z637,$AD$636:$AD$649,1)+COUNTIFS($Z$636:$Z$649,Z637,$AB$636:$AB$649,"&gt;"&amp;AB637,$AD$636:$AD$649,1)+COUNTIFS($Z$636:$Z$649,Z637,$AB$636:$AB$649,AB637,$V$636:$V$649,"&gt;"&amp;V637,$AD$636:$AD$649,1)+COUNTIFS($Z$636:Z637,Z637,$AB$636:AB637,AB637,$V$636:V637,V637,$AD$636:AD637,1))</x:f>
      </x:c>
      <x:c r="AD637" s="2" t="n">
        <x:f>IF(OR(AA637="DEFENSIV",AA637="PRUDENT",AA637="MODERAT",AA637="RIDICAT"),1,0)</x:f>
        <x:v>0</x:v>
      </x:c>
      <x:c r="AE637" s="2" t="str">
        <x:f>IF(AD637&lt;&gt;1,"NO",IF(W637="PASS","YES",IF(W637="OOS PENDING","CONDITIONAL","NO")))</x:f>
        <x:v>NO</x:v>
      </x:c>
      <x:c r="AF637" s="2" t="n">
        <x:f>IF(AND(AD637=1,AC637=1,E637="LIVE"),1,0)</x:f>
        <x:v>0</x:v>
      </x:c>
      <x:c r="AG637" s="2" t="str">
        <x:f>IF(AF637&lt;&gt;1,"",'Dashboard'!P71)</x:f>
      </x:c>
      <x:c r="AH637" s="2" t="str">
        <x:f>IF(B637="","",IF(J637&lt;&gt;"PASS",'Motor_Meciuri'!J51,IF('Calibrare_Linii'!U7&lt;&gt;"VALID","Parametri linie invalizi",IF(L637&gt;'Config_v6'!$B$13,"Dispersie peste limita",IF(W637="WATCH","Failure peste limita",IF(AB637&lt;'Config_v6'!$B$16,"P finala sub prag",IF(V637&lt;'Config_v6'!$B$18,"Confidence sub prag",IF(E637="REPLAY","Exemplu retrospectiv; exclus din Top LIVE",IF(Y637="PASS","DEFENSIV validat",IF(W637="OOS PENDING","Eligibil; calibrare linie in monitorizare","Eligibil"))))))))))</x:f>
      </x:c>
      <x:c r="AI637" s="2" t="str">
        <x:f>IF(B637="","",'Calibrare_Linii'!V7)</x:f>
      </x:c>
      <x:c r="AJ637" s="2" t="str">
        <x:f>IF(B637="","",IF(AND('Calibrare_Linii'!T7="VALIDATED",AND('Calibrare_Linii'!H7=C637,ISNUMBER('Calibrare_Linii'!J7),'Calibrare_Linii'!J7&lt;='Input_Meci'!G51)),"DEFENSIVE VALIDATED",IF(AND('Calibrare_Linii'!S7="VALIDATED",AND('Calibrare_Linii'!H7=C637,ISNUMBER('Calibrare_Linii'!J7),'Calibrare_Linii'!J7&lt;='Input_Meci'!G51)),"TAIL VALIDATED","OOS PENDING")))</x:f>
      </x:c>
      <x:c r="AK637" s="2" t="n">
        <x:f>IF(J637&lt;&gt;"PASS",0,'Motor_Meciuri'!BR51)</x:f>
        <x:v>0</x:v>
      </x:c>
      <x:c r="AL637" s="2" t="n">
        <x:f>IF(J637&lt;&gt;"PASS",0,'Motor_Meciuri'!BS51)</x:f>
        <x:v>0</x:v>
      </x:c>
      <x:c r="AM637" s="2" t="n">
        <x:f>IF(J637&lt;&gt;"PASS",0,'Motor_Meciuri'!BT51)</x:f>
        <x:v>0</x:v>
      </x:c>
      <x:c r="AN637" s="2" t="str">
        <x:f>IF(M637="","",MAX(0,'Motor_Meciuri'!BF51-IF(L637&gt;'Config_v6'!$B$12,'Config_v6'!$B$37,IF(L637&gt;'Config_v6'!$B$11,'Config_v6'!$B$36,0))))</x:f>
      </x:c>
    </x:row>
    <x:row r="638" ht="21" customHeight="1">
      <x:c r="A638" s="2" t="n">
        <x:v>46</x:v>
      </x:c>
      <x:c r="B638" s="2" t="str">
        <x:f>IF('Motor_Meciuri'!A51="","",'Motor_Meciuri'!A51)</x:f>
      </x:c>
      <x:c r="C638" s="2" t="str">
        <x:f>IF(B638="","",'Motor_Meciuri'!B51)</x:f>
      </x:c>
      <x:c r="D638" s="2" t="str">
        <x:f>IF(B638="","",'Motor_Meciuri'!D51)</x:f>
      </x:c>
      <x:c r="E638" s="2" t="str">
        <x:f>IF(B638="","",'Motor_Meciuri'!E51)</x:f>
      </x:c>
      <x:c r="F638" s="2" t="str">
        <x:v>O5,5</x:v>
      </x:c>
      <x:c r="G638" s="2" t="str">
        <x:v>OVER</x:v>
      </x:c>
      <x:c r="H638" s="2" t="n">
        <x:v>5</x:v>
      </x:c>
      <x:c r="I638" s="2" t="str">
        <x:f>IF(B638="","",'Motor_Meciuri'!H51)</x:f>
      </x:c>
      <x:c r="J638" s="2" t="str">
        <x:f>IF(B638="","",'Motor_Meciuri'!I51)</x:f>
      </x:c>
      <x:c r="K638" s="11" t="str">
        <x:f>IF(J638&lt;&gt;"PASS","",'Motor_Meciuri'!BD51)</x:f>
      </x:c>
      <x:c r="L638" s="11" t="str">
        <x:f>IF(J638&lt;&gt;"PASS","",'Motor_Meciuri'!AU51)</x:f>
      </x:c>
      <x:c r="M638" s="10" t="str">
        <x:f>IF(NOT(AND(J638="PASS",'Calibrare_Linii'!U8="VALID")),"",1-'Distributie'!AC51)</x:f>
      </x:c>
      <x:c r="N638" s="10" t="str">
        <x:f>IF(M638="","",MAX(0.01,MIN(0.99,0.5+(M638-0.5)*'Motor_Meciuri'!BG51*'Calibrare_Linii'!D8)))</x:f>
      </x:c>
      <x:c r="O638" s="10" t="str">
        <x:f>IF(M638="","",1-M638)</x:f>
      </x:c>
      <x:c r="P638" s="10" t="str">
        <x:f>IF(OR(NOT(AND(J638="PASS",'Calibrare_Linii'!U8="VALID")),AK638=0),""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*('Istoric_Nativ'!$Q$6:$Q$405&lt;=H638))/AK638)</x:f>
      </x:c>
      <x:c r="Q638" s="10" t="str">
        <x:f>IF(OR(NOT(AND(J638="PASS",'Calibrare_Linii'!U8="VALID")),AL638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M51)+((('Istoric_Nativ'!$E$6:$E$405='Input_Meci'!E51)+('Istoric_Nativ'!$F$6:$F$405='Input_Meci'!E51))&gt;0)*('Istoric_Nativ'!$D$6:$D$405&gt;='Motor_Meciuri'!BN51))&gt;0)*('Istoric_Nativ'!$Q$6:$Q$405&lt;=H638))/AL638)</x:f>
      </x:c>
      <x:c r="R638" s="10" t="str">
        <x:f>IF(OR(NOT(AND(J638="PASS",'Calibrare_Linii'!U8="VALID")),AM638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O51)+((('Istoric_Nativ'!$E$6:$E$405='Input_Meci'!E51)+('Istoric_Nativ'!$F$6:$F$405='Input_Meci'!E51))&gt;0)*('Istoric_Nativ'!$D$6:$D$405&gt;='Motor_Meciuri'!BP51))&gt;0)*('Istoric_Nativ'!$Q$6:$Q$405&lt;=H638))/AM638)</x:f>
      </x:c>
      <x:c r="S638" s="10" t="str">
        <x:f>IF(M638="","",MAX(O638,P638,Q638,R638))</x:f>
      </x:c>
      <x:c r="T638" s="11" t="str">
        <x:f>IF(M638="","",MIN(100,S638*100*'Config_v6'!$B$44+MIN(100,L638/'Config_v6'!$B$13*100)*'Config_v6'!$B$45+(100-'Motor_Meciuri'!BF51)*'Config_v6'!$B$46+'Motor_Meciuri'!BH51*100*'Config_v6'!$B$47))</x:f>
      </x:c>
      <x:c r="U638" s="2" t="str">
        <x:f>IF(T638="","",IF(T638&lt;=20,1,IF(T638&lt;=40,2,IF(T638&lt;=60,3,IF(T638&lt;=80,4,5)))))</x:f>
      </x:c>
      <x:c r="V638" s="2" t="str">
        <x:f>IF(M638="","",MAX(0,'Motor_Meciuri'!BF51-IF(W638="OOS PENDING",'Config_v6'!$B$35,0)-IF(L638&gt;'Config_v6'!$B$12,'Config_v6'!$B$37,IF(L638&gt;'Config_v6'!$B$11,'Config_v6'!$B$36,0))))</x:f>
      </x:c>
      <x:c r="W638" s="2" t="str">
        <x:f>IF(B638="","",IF(I638&lt;&gt;"READY","NOT RELEASED",IF(NOT(AND(J638="PASS",'Calibrare_Linii'!U8="VALID")),"INVALID",IF(NOT(AND('Calibrare_Linii'!S8="VALIDATED",AND('Calibrare_Linii'!H8=C638,ISNUMBER('Calibrare_Linii'!J8),'Calibrare_Linii'!J8&lt;='Input_Meci'!G51))),"OOS PENDING",IF(S638&lt;='Calibrare_Linii'!E8,"PASS",IF(S638&lt;='Calibrare_Linii'!F8,"PENALTY","WATCH"))))))</x:f>
      </x:c>
      <x:c r="X638" s="2" t="str">
        <x:f>IF(M638="","",IF(AND(AND(J638="PASS",'Calibrare_Linii'!U8="VALID"),'Motor_Meciuri'!K51=12,'Motor_Meciuri'!L51=12,'Motor_Meciuri'!M51="NO",'Motor_Meciuri'!BL51='Motor_Meciuri'!C51,AB638&gt;='Config_v6'!$B$50,AN638&gt;='Config_v6'!$B$51,T638&lt;='Config_v6'!$B$52,L638&lt;='Config_v6'!$B$53,ISNUMBER('Calibrare_Linii'!E8),S638&lt;='Calibrare_Linii'!E8,SUM(AK638:AM638)&gt;0),"CANDIDATE","NO"))</x:f>
      </x:c>
      <x:c r="Y638" s="2" t="str">
        <x:f>IF(B638="","",IF(I638&lt;&gt;"READY","NOT RELEASED",IF(AND(X638="CANDIDATE",V638&gt;='Config_v6'!$B$51,W638="PASS",'Calibrare_Linii'!T8="VALIDATED",AND('Calibrare_Linii'!H8=C638,ISNUMBER('Calibrare_Linii'!J8),'Calibrare_Linii'!J8&lt;='Input_Meci'!G51)),"PASS",IF(X638="CANDIDATE","OOS PENDING","FAIL"))))</x:f>
      </x:c>
      <x:c r="Z638" s="2" t="str">
        <x:f>IF(B638="","",IF(I638&lt;&gt;"READY","",IF(OR(NOT(AND(J638="PASS",'Calibrare_Linii'!U8="VALID")),L638&gt;'Config_v6'!$B$13,W638="WATCH"),5,IF(Y638="PASS",1,MIN(5,MAX('Config_v6'!$B$42,U638)+IF(W638="PENALTY",1,0))))))</x:f>
      </x:c>
      <x:c r="AA638" s="2" t="str">
        <x:f>IF(B638="","",IF(I638&lt;&gt;"READY","NOT RELEASED",IF(Z638=5,"NO BET",IF(OR(AB638&lt;'Config_v6'!$B$16,V638&lt;'Config_v6'!$B$18),"WATCH",IF(Z638=1,"DEFENSIV",IF(Z638=2,"PRUDENT",IF(Z638=3,"MODERAT","RIDICAT")))))))</x:f>
      </x:c>
      <x:c r="AB638" s="10" t="str">
        <x:f>IF(N638="","",MIN(N638,1-S638))</x:f>
      </x:c>
      <x:c r="AC638" s="2" t="str">
        <x:f>IF(AD638&lt;&gt;1,"",COUNTIFS($Z$636:$Z$649,"&lt;"&amp;Z638,$AD$636:$AD$649,1)+COUNTIFS($Z$636:$Z$649,Z638,$AB$636:$AB$649,"&gt;"&amp;AB638,$AD$636:$AD$649,1)+COUNTIFS($Z$636:$Z$649,Z638,$AB$636:$AB$649,AB638,$V$636:$V$649,"&gt;"&amp;V638,$AD$636:$AD$649,1)+COUNTIFS($Z$636:Z638,Z638,$AB$636:AB638,AB638,$V$636:V638,V638,$AD$636:AD638,1))</x:f>
      </x:c>
      <x:c r="AD638" s="2" t="n">
        <x:f>IF(OR(AA638="DEFENSIV",AA638="PRUDENT",AA638="MODERAT",AA638="RIDICAT"),1,0)</x:f>
        <x:v>0</x:v>
      </x:c>
      <x:c r="AE638" s="2" t="str">
        <x:f>IF(AD638&lt;&gt;1,"NO",IF(W638="PASS","YES",IF(W638="OOS PENDING","CONDITIONAL","NO")))</x:f>
        <x:v>NO</x:v>
      </x:c>
      <x:c r="AF638" s="2" t="n">
        <x:f>IF(AND(AD638=1,AC638=1,E638="LIVE"),1,0)</x:f>
        <x:v>0</x:v>
      </x:c>
      <x:c r="AG638" s="2" t="str">
        <x:f>IF(AF638&lt;&gt;1,"",'Dashboard'!P71)</x:f>
      </x:c>
      <x:c r="AH638" s="2" t="str">
        <x:f>IF(B638="","",IF(J638&lt;&gt;"PASS",'Motor_Meciuri'!J51,IF('Calibrare_Linii'!U8&lt;&gt;"VALID","Parametri linie invalizi",IF(L638&gt;'Config_v6'!$B$13,"Dispersie peste limita",IF(W638="WATCH","Failure peste limita",IF(AB638&lt;'Config_v6'!$B$16,"P finala sub prag",IF(V638&lt;'Config_v6'!$B$18,"Confidence sub prag",IF(E638="REPLAY","Exemplu retrospectiv; exclus din Top LIVE",IF(Y638="PASS","DEFENSIV validat",IF(W638="OOS PENDING","Eligibil; calibrare linie in monitorizare","Eligibil"))))))))))</x:f>
      </x:c>
      <x:c r="AI638" s="2" t="str">
        <x:f>IF(B638="","",'Calibrare_Linii'!V8)</x:f>
      </x:c>
      <x:c r="AJ638" s="2" t="str">
        <x:f>IF(B638="","",IF(AND('Calibrare_Linii'!T8="VALIDATED",AND('Calibrare_Linii'!H8=C638,ISNUMBER('Calibrare_Linii'!J8),'Calibrare_Linii'!J8&lt;='Input_Meci'!G51)),"DEFENSIVE VALIDATED",IF(AND('Calibrare_Linii'!S8="VALIDATED",AND('Calibrare_Linii'!H8=C638,ISNUMBER('Calibrare_Linii'!J8),'Calibrare_Linii'!J8&lt;='Input_Meci'!G51)),"TAIL VALIDATED","OOS PENDING")))</x:f>
      </x:c>
      <x:c r="AK638" s="2" t="n">
        <x:f>IF(J638&lt;&gt;"PASS",0,'Motor_Meciuri'!BR51)</x:f>
        <x:v>0</x:v>
      </x:c>
      <x:c r="AL638" s="2" t="n">
        <x:f>IF(J638&lt;&gt;"PASS",0,'Motor_Meciuri'!BS51)</x:f>
        <x:v>0</x:v>
      </x:c>
      <x:c r="AM638" s="2" t="n">
        <x:f>IF(J638&lt;&gt;"PASS",0,'Motor_Meciuri'!BT51)</x:f>
        <x:v>0</x:v>
      </x:c>
      <x:c r="AN638" s="2" t="str">
        <x:f>IF(M638="","",MAX(0,'Motor_Meciuri'!BF51-IF(L638&gt;'Config_v6'!$B$12,'Config_v6'!$B$37,IF(L638&gt;'Config_v6'!$B$11,'Config_v6'!$B$36,0))))</x:f>
      </x:c>
    </x:row>
    <x:row r="639" ht="21" customHeight="1">
      <x:c r="A639" s="2" t="n">
        <x:v>46</x:v>
      </x:c>
      <x:c r="B639" s="2" t="str">
        <x:f>IF('Motor_Meciuri'!A51="","",'Motor_Meciuri'!A51)</x:f>
      </x:c>
      <x:c r="C639" s="2" t="str">
        <x:f>IF(B639="","",'Motor_Meciuri'!B51)</x:f>
      </x:c>
      <x:c r="D639" s="2" t="str">
        <x:f>IF(B639="","",'Motor_Meciuri'!D51)</x:f>
      </x:c>
      <x:c r="E639" s="2" t="str">
        <x:f>IF(B639="","",'Motor_Meciuri'!E51)</x:f>
      </x:c>
      <x:c r="F639" s="2" t="str">
        <x:v>O6,5</x:v>
      </x:c>
      <x:c r="G639" s="2" t="str">
        <x:v>OVER</x:v>
      </x:c>
      <x:c r="H639" s="2" t="n">
        <x:v>6</x:v>
      </x:c>
      <x:c r="I639" s="2" t="str">
        <x:f>IF(B639="","",'Motor_Meciuri'!H51)</x:f>
      </x:c>
      <x:c r="J639" s="2" t="str">
        <x:f>IF(B639="","",'Motor_Meciuri'!I51)</x:f>
      </x:c>
      <x:c r="K639" s="11" t="str">
        <x:f>IF(J639&lt;&gt;"PASS","",'Motor_Meciuri'!BD51)</x:f>
      </x:c>
      <x:c r="L639" s="11" t="str">
        <x:f>IF(J639&lt;&gt;"PASS","",'Motor_Meciuri'!AU51)</x:f>
      </x:c>
      <x:c r="M639" s="10" t="str">
        <x:f>IF(NOT(AND(J639="PASS",'Calibrare_Linii'!U9="VALID")),"",1-'Distributie'!AD51)</x:f>
      </x:c>
      <x:c r="N639" s="10" t="str">
        <x:f>IF(M639="","",MAX(0.01,MIN(0.99,0.5+(M639-0.5)*'Motor_Meciuri'!BG51*'Calibrare_Linii'!D9)))</x:f>
      </x:c>
      <x:c r="O639" s="10" t="str">
        <x:f>IF(M639="","",1-M639)</x:f>
      </x:c>
      <x:c r="P639" s="10" t="str">
        <x:f>IF(OR(NOT(AND(J639="PASS",'Calibrare_Linii'!U9="VALID")),AK639=0),""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*('Istoric_Nativ'!$Q$6:$Q$405&lt;=H639))/AK639)</x:f>
      </x:c>
      <x:c r="Q639" s="10" t="str">
        <x:f>IF(OR(NOT(AND(J639="PASS",'Calibrare_Linii'!U9="VALID")),AL639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M51)+((('Istoric_Nativ'!$E$6:$E$405='Input_Meci'!E51)+('Istoric_Nativ'!$F$6:$F$405='Input_Meci'!E51))&gt;0)*('Istoric_Nativ'!$D$6:$D$405&gt;='Motor_Meciuri'!BN51))&gt;0)*('Istoric_Nativ'!$Q$6:$Q$405&lt;=H639))/AL639)</x:f>
      </x:c>
      <x:c r="R639" s="10" t="str">
        <x:f>IF(OR(NOT(AND(J639="PASS",'Calibrare_Linii'!U9="VALID")),AM639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O51)+((('Istoric_Nativ'!$E$6:$E$405='Input_Meci'!E51)+('Istoric_Nativ'!$F$6:$F$405='Input_Meci'!E51))&gt;0)*('Istoric_Nativ'!$D$6:$D$405&gt;='Motor_Meciuri'!BP51))&gt;0)*('Istoric_Nativ'!$Q$6:$Q$405&lt;=H639))/AM639)</x:f>
      </x:c>
      <x:c r="S639" s="10" t="str">
        <x:f>IF(M639="","",MAX(O639,P639,Q639,R639))</x:f>
      </x:c>
      <x:c r="T639" s="11" t="str">
        <x:f>IF(M639="","",MIN(100,S639*100*'Config_v6'!$B$44+MIN(100,L639/'Config_v6'!$B$13*100)*'Config_v6'!$B$45+(100-'Motor_Meciuri'!BF51)*'Config_v6'!$B$46+'Motor_Meciuri'!BH51*100*'Config_v6'!$B$47))</x:f>
      </x:c>
      <x:c r="U639" s="2" t="str">
        <x:f>IF(T639="","",IF(T639&lt;=20,1,IF(T639&lt;=40,2,IF(T639&lt;=60,3,IF(T639&lt;=80,4,5)))))</x:f>
      </x:c>
      <x:c r="V639" s="2" t="str">
        <x:f>IF(M639="","",MAX(0,'Motor_Meciuri'!BF51-IF(W639="OOS PENDING",'Config_v6'!$B$35,0)-IF(L639&gt;'Config_v6'!$B$12,'Config_v6'!$B$37,IF(L639&gt;'Config_v6'!$B$11,'Config_v6'!$B$36,0))))</x:f>
      </x:c>
      <x:c r="W639" s="2" t="str">
        <x:f>IF(B639="","",IF(I639&lt;&gt;"READY","NOT RELEASED",IF(NOT(AND(J639="PASS",'Calibrare_Linii'!U9="VALID")),"INVALID",IF(NOT(AND('Calibrare_Linii'!S9="VALIDATED",AND('Calibrare_Linii'!H9=C639,ISNUMBER('Calibrare_Linii'!J9),'Calibrare_Linii'!J9&lt;='Input_Meci'!G51))),"OOS PENDING",IF(S639&lt;='Calibrare_Linii'!E9,"PASS",IF(S639&lt;='Calibrare_Linii'!F9,"PENALTY","WATCH"))))))</x:f>
      </x:c>
      <x:c r="X639" s="2" t="str">
        <x:f>IF(M639="","",IF(AND(AND(J639="PASS",'Calibrare_Linii'!U9="VALID"),'Motor_Meciuri'!K51=12,'Motor_Meciuri'!L51=12,'Motor_Meciuri'!M51="NO",'Motor_Meciuri'!BL51='Motor_Meciuri'!C51,AB639&gt;='Config_v6'!$B$50,AN639&gt;='Config_v6'!$B$51,T639&lt;='Config_v6'!$B$52,L639&lt;='Config_v6'!$B$53,ISNUMBER('Calibrare_Linii'!E9),S639&lt;='Calibrare_Linii'!E9,SUM(AK639:AM639)&gt;0),"CANDIDATE","NO"))</x:f>
      </x:c>
      <x:c r="Y639" s="2" t="str">
        <x:f>IF(B639="","",IF(I639&lt;&gt;"READY","NOT RELEASED",IF(AND(X639="CANDIDATE",V639&gt;='Config_v6'!$B$51,W639="PASS",'Calibrare_Linii'!T9="VALIDATED",AND('Calibrare_Linii'!H9=C639,ISNUMBER('Calibrare_Linii'!J9),'Calibrare_Linii'!J9&lt;='Input_Meci'!G51)),"PASS",IF(X639="CANDIDATE","OOS PENDING","FAIL"))))</x:f>
      </x:c>
      <x:c r="Z639" s="2" t="str">
        <x:f>IF(B639="","",IF(I639&lt;&gt;"READY","",IF(OR(NOT(AND(J639="PASS",'Calibrare_Linii'!U9="VALID")),L639&gt;'Config_v6'!$B$13,W639="WATCH"),5,IF(Y639="PASS",1,MIN(5,MAX('Config_v6'!$B$42,U639)+IF(W639="PENALTY",1,0))))))</x:f>
      </x:c>
      <x:c r="AA639" s="2" t="str">
        <x:f>IF(B639="","",IF(I639&lt;&gt;"READY","NOT RELEASED",IF(Z639=5,"NO BET",IF(OR(AB639&lt;'Config_v6'!$B$16,V639&lt;'Config_v6'!$B$18),"WATCH",IF(Z639=1,"DEFENSIV",IF(Z639=2,"PRUDENT",IF(Z639=3,"MODERAT","RIDICAT")))))))</x:f>
      </x:c>
      <x:c r="AB639" s="10" t="str">
        <x:f>IF(N639="","",MIN(N639,1-S639))</x:f>
      </x:c>
      <x:c r="AC639" s="2" t="str">
        <x:f>IF(AD639&lt;&gt;1,"",COUNTIFS($Z$636:$Z$649,"&lt;"&amp;Z639,$AD$636:$AD$649,1)+COUNTIFS($Z$636:$Z$649,Z639,$AB$636:$AB$649,"&gt;"&amp;AB639,$AD$636:$AD$649,1)+COUNTIFS($Z$636:$Z$649,Z639,$AB$636:$AB$649,AB639,$V$636:$V$649,"&gt;"&amp;V639,$AD$636:$AD$649,1)+COUNTIFS($Z$636:Z639,Z639,$AB$636:AB639,AB639,$V$636:V639,V639,$AD$636:AD639,1))</x:f>
      </x:c>
      <x:c r="AD639" s="2" t="n">
        <x:f>IF(OR(AA639="DEFENSIV",AA639="PRUDENT",AA639="MODERAT",AA639="RIDICAT"),1,0)</x:f>
        <x:v>0</x:v>
      </x:c>
      <x:c r="AE639" s="2" t="str">
        <x:f>IF(AD639&lt;&gt;1,"NO",IF(W639="PASS","YES",IF(W639="OOS PENDING","CONDITIONAL","NO")))</x:f>
        <x:v>NO</x:v>
      </x:c>
      <x:c r="AF639" s="2" t="n">
        <x:f>IF(AND(AD639=1,AC639=1,E639="LIVE"),1,0)</x:f>
        <x:v>0</x:v>
      </x:c>
      <x:c r="AG639" s="2" t="str">
        <x:f>IF(AF639&lt;&gt;1,"",'Dashboard'!P71)</x:f>
      </x:c>
      <x:c r="AH639" s="2" t="str">
        <x:f>IF(B639="","",IF(J639&lt;&gt;"PASS",'Motor_Meciuri'!J51,IF('Calibrare_Linii'!U9&lt;&gt;"VALID","Parametri linie invalizi",IF(L639&gt;'Config_v6'!$B$13,"Dispersie peste limita",IF(W639="WATCH","Failure peste limita",IF(AB639&lt;'Config_v6'!$B$16,"P finala sub prag",IF(V639&lt;'Config_v6'!$B$18,"Confidence sub prag",IF(E639="REPLAY","Exemplu retrospectiv; exclus din Top LIVE",IF(Y639="PASS","DEFENSIV validat",IF(W639="OOS PENDING","Eligibil; calibrare linie in monitorizare","Eligibil"))))))))))</x:f>
      </x:c>
      <x:c r="AI639" s="2" t="str">
        <x:f>IF(B639="","",'Calibrare_Linii'!V9)</x:f>
      </x:c>
      <x:c r="AJ639" s="2" t="str">
        <x:f>IF(B639="","",IF(AND('Calibrare_Linii'!T9="VALIDATED",AND('Calibrare_Linii'!H9=C639,ISNUMBER('Calibrare_Linii'!J9),'Calibrare_Linii'!J9&lt;='Input_Meci'!G51)),"DEFENSIVE VALIDATED",IF(AND('Calibrare_Linii'!S9="VALIDATED",AND('Calibrare_Linii'!H9=C639,ISNUMBER('Calibrare_Linii'!J9),'Calibrare_Linii'!J9&lt;='Input_Meci'!G51)),"TAIL VALIDATED","OOS PENDING")))</x:f>
      </x:c>
      <x:c r="AK639" s="2" t="n">
        <x:f>IF(J639&lt;&gt;"PASS",0,'Motor_Meciuri'!BR51)</x:f>
        <x:v>0</x:v>
      </x:c>
      <x:c r="AL639" s="2" t="n">
        <x:f>IF(J639&lt;&gt;"PASS",0,'Motor_Meciuri'!BS51)</x:f>
        <x:v>0</x:v>
      </x:c>
      <x:c r="AM639" s="2" t="n">
        <x:f>IF(J639&lt;&gt;"PASS",0,'Motor_Meciuri'!BT51)</x:f>
        <x:v>0</x:v>
      </x:c>
      <x:c r="AN639" s="2" t="str">
        <x:f>IF(M639="","",MAX(0,'Motor_Meciuri'!BF51-IF(L639&gt;'Config_v6'!$B$12,'Config_v6'!$B$37,IF(L639&gt;'Config_v6'!$B$11,'Config_v6'!$B$36,0))))</x:f>
      </x:c>
    </x:row>
    <x:row r="640" ht="21" customHeight="1">
      <x:c r="A640" s="2" t="n">
        <x:v>46</x:v>
      </x:c>
      <x:c r="B640" s="2" t="str">
        <x:f>IF('Motor_Meciuri'!A51="","",'Motor_Meciuri'!A51)</x:f>
      </x:c>
      <x:c r="C640" s="2" t="str">
        <x:f>IF(B640="","",'Motor_Meciuri'!B51)</x:f>
      </x:c>
      <x:c r="D640" s="2" t="str">
        <x:f>IF(B640="","",'Motor_Meciuri'!D51)</x:f>
      </x:c>
      <x:c r="E640" s="2" t="str">
        <x:f>IF(B640="","",'Motor_Meciuri'!E51)</x:f>
      </x:c>
      <x:c r="F640" s="2" t="str">
        <x:v>O7,5</x:v>
      </x:c>
      <x:c r="G640" s="2" t="str">
        <x:v>OVER</x:v>
      </x:c>
      <x:c r="H640" s="2" t="n">
        <x:v>7</x:v>
      </x:c>
      <x:c r="I640" s="2" t="str">
        <x:f>IF(B640="","",'Motor_Meciuri'!H51)</x:f>
      </x:c>
      <x:c r="J640" s="2" t="str">
        <x:f>IF(B640="","",'Motor_Meciuri'!I51)</x:f>
      </x:c>
      <x:c r="K640" s="11" t="str">
        <x:f>IF(J640&lt;&gt;"PASS","",'Motor_Meciuri'!BD51)</x:f>
      </x:c>
      <x:c r="L640" s="11" t="str">
        <x:f>IF(J640&lt;&gt;"PASS","",'Motor_Meciuri'!AU51)</x:f>
      </x:c>
      <x:c r="M640" s="10" t="str">
        <x:f>IF(NOT(AND(J640="PASS",'Calibrare_Linii'!U10="VALID")),"",1-'Distributie'!AE51)</x:f>
      </x:c>
      <x:c r="N640" s="10" t="str">
        <x:f>IF(M640="","",MAX(0.01,MIN(0.99,0.5+(M640-0.5)*'Motor_Meciuri'!BG51*'Calibrare_Linii'!D10)))</x:f>
      </x:c>
      <x:c r="O640" s="10" t="str">
        <x:f>IF(M640="","",1-M640)</x:f>
      </x:c>
      <x:c r="P640" s="10" t="str">
        <x:f>IF(OR(NOT(AND(J640="PASS",'Calibrare_Linii'!U10="VALID")),AK640=0),""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*('Istoric_Nativ'!$Q$6:$Q$405&lt;=H640))/AK640)</x:f>
      </x:c>
      <x:c r="Q640" s="10" t="str">
        <x:f>IF(OR(NOT(AND(J640="PASS",'Calibrare_Linii'!U10="VALID")),AL640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M51)+((('Istoric_Nativ'!$E$6:$E$405='Input_Meci'!E51)+('Istoric_Nativ'!$F$6:$F$405='Input_Meci'!E51))&gt;0)*('Istoric_Nativ'!$D$6:$D$405&gt;='Motor_Meciuri'!BN51))&gt;0)*('Istoric_Nativ'!$Q$6:$Q$405&lt;=H640))/AL640)</x:f>
      </x:c>
      <x:c r="R640" s="10" t="str">
        <x:f>IF(OR(NOT(AND(J640="PASS",'Calibrare_Linii'!U10="VALID")),AM640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O51)+((('Istoric_Nativ'!$E$6:$E$405='Input_Meci'!E51)+('Istoric_Nativ'!$F$6:$F$405='Input_Meci'!E51))&gt;0)*('Istoric_Nativ'!$D$6:$D$405&gt;='Motor_Meciuri'!BP51))&gt;0)*('Istoric_Nativ'!$Q$6:$Q$405&lt;=H640))/AM640)</x:f>
      </x:c>
      <x:c r="S640" s="10" t="str">
        <x:f>IF(M640="","",MAX(O640,P640,Q640,R640))</x:f>
      </x:c>
      <x:c r="T640" s="11" t="str">
        <x:f>IF(M640="","",MIN(100,S640*100*'Config_v6'!$B$44+MIN(100,L640/'Config_v6'!$B$13*100)*'Config_v6'!$B$45+(100-'Motor_Meciuri'!BF51)*'Config_v6'!$B$46+'Motor_Meciuri'!BH51*100*'Config_v6'!$B$47))</x:f>
      </x:c>
      <x:c r="U640" s="2" t="str">
        <x:f>IF(T640="","",IF(T640&lt;=20,1,IF(T640&lt;=40,2,IF(T640&lt;=60,3,IF(T640&lt;=80,4,5)))))</x:f>
      </x:c>
      <x:c r="V640" s="2" t="str">
        <x:f>IF(M640="","",MAX(0,'Motor_Meciuri'!BF51-IF(W640="OOS PENDING",'Config_v6'!$B$35,0)-IF(L640&gt;'Config_v6'!$B$12,'Config_v6'!$B$37,IF(L640&gt;'Config_v6'!$B$11,'Config_v6'!$B$36,0))))</x:f>
      </x:c>
      <x:c r="W640" s="2" t="str">
        <x:f>IF(B640="","",IF(I640&lt;&gt;"READY","NOT RELEASED",IF(NOT(AND(J640="PASS",'Calibrare_Linii'!U10="VALID")),"INVALID",IF(NOT(AND('Calibrare_Linii'!S10="VALIDATED",AND('Calibrare_Linii'!H10=C640,ISNUMBER('Calibrare_Linii'!J10),'Calibrare_Linii'!J10&lt;='Input_Meci'!G51))),"OOS PENDING",IF(S640&lt;='Calibrare_Linii'!E10,"PASS",IF(S640&lt;='Calibrare_Linii'!F10,"PENALTY","WATCH"))))))</x:f>
      </x:c>
      <x:c r="X640" s="2" t="str">
        <x:f>IF(M640="","",IF(AND(AND(J640="PASS",'Calibrare_Linii'!U10="VALID"),'Motor_Meciuri'!K51=12,'Motor_Meciuri'!L51=12,'Motor_Meciuri'!M51="NO",'Motor_Meciuri'!BL51='Motor_Meciuri'!C51,AB640&gt;='Config_v6'!$B$50,AN640&gt;='Config_v6'!$B$51,T640&lt;='Config_v6'!$B$52,L640&lt;='Config_v6'!$B$53,ISNUMBER('Calibrare_Linii'!E10),S640&lt;='Calibrare_Linii'!E10,SUM(AK640:AM640)&gt;0),"CANDIDATE","NO"))</x:f>
      </x:c>
      <x:c r="Y640" s="2" t="str">
        <x:f>IF(B640="","",IF(I640&lt;&gt;"READY","NOT RELEASED",IF(AND(X640="CANDIDATE",V640&gt;='Config_v6'!$B$51,W640="PASS",'Calibrare_Linii'!T10="VALIDATED",AND('Calibrare_Linii'!H10=C640,ISNUMBER('Calibrare_Linii'!J10),'Calibrare_Linii'!J10&lt;='Input_Meci'!G51)),"PASS",IF(X640="CANDIDATE","OOS PENDING","FAIL"))))</x:f>
      </x:c>
      <x:c r="Z640" s="2" t="str">
        <x:f>IF(B640="","",IF(I640&lt;&gt;"READY","",IF(OR(NOT(AND(J640="PASS",'Calibrare_Linii'!U10="VALID")),L640&gt;'Config_v6'!$B$13,W640="WATCH"),5,IF(Y640="PASS",1,MIN(5,MAX('Config_v6'!$B$42,U640)+IF(W640="PENALTY",1,0))))))</x:f>
      </x:c>
      <x:c r="AA640" s="2" t="str">
        <x:f>IF(B640="","",IF(I640&lt;&gt;"READY","NOT RELEASED",IF(Z640=5,"NO BET",IF(OR(AB640&lt;'Config_v6'!$B$16,V640&lt;'Config_v6'!$B$18),"WATCH",IF(Z640=1,"DEFENSIV",IF(Z640=2,"PRUDENT",IF(Z640=3,"MODERAT","RIDICAT")))))))</x:f>
      </x:c>
      <x:c r="AB640" s="10" t="str">
        <x:f>IF(N640="","",MIN(N640,1-S640))</x:f>
      </x:c>
      <x:c r="AC640" s="2" t="str">
        <x:f>IF(AD640&lt;&gt;1,"",COUNTIFS($Z$636:$Z$649,"&lt;"&amp;Z640,$AD$636:$AD$649,1)+COUNTIFS($Z$636:$Z$649,Z640,$AB$636:$AB$649,"&gt;"&amp;AB640,$AD$636:$AD$649,1)+COUNTIFS($Z$636:$Z$649,Z640,$AB$636:$AB$649,AB640,$V$636:$V$649,"&gt;"&amp;V640,$AD$636:$AD$649,1)+COUNTIFS($Z$636:Z640,Z640,$AB$636:AB640,AB640,$V$636:V640,V640,$AD$636:AD640,1))</x:f>
      </x:c>
      <x:c r="AD640" s="2" t="n">
        <x:f>IF(OR(AA640="DEFENSIV",AA640="PRUDENT",AA640="MODERAT",AA640="RIDICAT"),1,0)</x:f>
        <x:v>0</x:v>
      </x:c>
      <x:c r="AE640" s="2" t="str">
        <x:f>IF(AD640&lt;&gt;1,"NO",IF(W640="PASS","YES",IF(W640="OOS PENDING","CONDITIONAL","NO")))</x:f>
        <x:v>NO</x:v>
      </x:c>
      <x:c r="AF640" s="2" t="n">
        <x:f>IF(AND(AD640=1,AC640=1,E640="LIVE"),1,0)</x:f>
        <x:v>0</x:v>
      </x:c>
      <x:c r="AG640" s="2" t="str">
        <x:f>IF(AF640&lt;&gt;1,"",'Dashboard'!P71)</x:f>
      </x:c>
      <x:c r="AH640" s="2" t="str">
        <x:f>IF(B640="","",IF(J640&lt;&gt;"PASS",'Motor_Meciuri'!J51,IF('Calibrare_Linii'!U10&lt;&gt;"VALID","Parametri linie invalizi",IF(L640&gt;'Config_v6'!$B$13,"Dispersie peste limita",IF(W640="WATCH","Failure peste limita",IF(AB640&lt;'Config_v6'!$B$16,"P finala sub prag",IF(V640&lt;'Config_v6'!$B$18,"Confidence sub prag",IF(E640="REPLAY","Exemplu retrospectiv; exclus din Top LIVE",IF(Y640="PASS","DEFENSIV validat",IF(W640="OOS PENDING","Eligibil; calibrare linie in monitorizare","Eligibil"))))))))))</x:f>
      </x:c>
      <x:c r="AI640" s="2" t="str">
        <x:f>IF(B640="","",'Calibrare_Linii'!V10)</x:f>
      </x:c>
      <x:c r="AJ640" s="2" t="str">
        <x:f>IF(B640="","",IF(AND('Calibrare_Linii'!T10="VALIDATED",AND('Calibrare_Linii'!H10=C640,ISNUMBER('Calibrare_Linii'!J10),'Calibrare_Linii'!J10&lt;='Input_Meci'!G51)),"DEFENSIVE VALIDATED",IF(AND('Calibrare_Linii'!S10="VALIDATED",AND('Calibrare_Linii'!H10=C640,ISNUMBER('Calibrare_Linii'!J10),'Calibrare_Linii'!J10&lt;='Input_Meci'!G51)),"TAIL VALIDATED","OOS PENDING")))</x:f>
      </x:c>
      <x:c r="AK640" s="2" t="n">
        <x:f>IF(J640&lt;&gt;"PASS",0,'Motor_Meciuri'!BR51)</x:f>
        <x:v>0</x:v>
      </x:c>
      <x:c r="AL640" s="2" t="n">
        <x:f>IF(J640&lt;&gt;"PASS",0,'Motor_Meciuri'!BS51)</x:f>
        <x:v>0</x:v>
      </x:c>
      <x:c r="AM640" s="2" t="n">
        <x:f>IF(J640&lt;&gt;"PASS",0,'Motor_Meciuri'!BT51)</x:f>
        <x:v>0</x:v>
      </x:c>
      <x:c r="AN640" s="2" t="str">
        <x:f>IF(M640="","",MAX(0,'Motor_Meciuri'!BF51-IF(L640&gt;'Config_v6'!$B$12,'Config_v6'!$B$37,IF(L640&gt;'Config_v6'!$B$11,'Config_v6'!$B$36,0))))</x:f>
      </x:c>
    </x:row>
    <x:row r="641" ht="21" customHeight="1">
      <x:c r="A641" s="2" t="n">
        <x:v>46</x:v>
      </x:c>
      <x:c r="B641" s="2" t="str">
        <x:f>IF('Motor_Meciuri'!A51="","",'Motor_Meciuri'!A51)</x:f>
      </x:c>
      <x:c r="C641" s="2" t="str">
        <x:f>IF(B641="","",'Motor_Meciuri'!B51)</x:f>
      </x:c>
      <x:c r="D641" s="2" t="str">
        <x:f>IF(B641="","",'Motor_Meciuri'!D51)</x:f>
      </x:c>
      <x:c r="E641" s="2" t="str">
        <x:f>IF(B641="","",'Motor_Meciuri'!E51)</x:f>
      </x:c>
      <x:c r="F641" s="2" t="str">
        <x:v>O8,5</x:v>
      </x:c>
      <x:c r="G641" s="2" t="str">
        <x:v>OVER</x:v>
      </x:c>
      <x:c r="H641" s="2" t="n">
        <x:v>8</x:v>
      </x:c>
      <x:c r="I641" s="2" t="str">
        <x:f>IF(B641="","",'Motor_Meciuri'!H51)</x:f>
      </x:c>
      <x:c r="J641" s="2" t="str">
        <x:f>IF(B641="","",'Motor_Meciuri'!I51)</x:f>
      </x:c>
      <x:c r="K641" s="11" t="str">
        <x:f>IF(J641&lt;&gt;"PASS","",'Motor_Meciuri'!BD51)</x:f>
      </x:c>
      <x:c r="L641" s="11" t="str">
        <x:f>IF(J641&lt;&gt;"PASS","",'Motor_Meciuri'!AU51)</x:f>
      </x:c>
      <x:c r="M641" s="10" t="str">
        <x:f>IF(NOT(AND(J641="PASS",'Calibrare_Linii'!U11="VALID")),"",1-'Distributie'!AF51)</x:f>
      </x:c>
      <x:c r="N641" s="10" t="str">
        <x:f>IF(M641="","",MAX(0.01,MIN(0.99,0.5+(M641-0.5)*'Motor_Meciuri'!BG51*'Calibrare_Linii'!D11)))</x:f>
      </x:c>
      <x:c r="O641" s="10" t="str">
        <x:f>IF(M641="","",1-M641)</x:f>
      </x:c>
      <x:c r="P641" s="10" t="str">
        <x:f>IF(OR(NOT(AND(J641="PASS",'Calibrare_Linii'!U11="VALID")),AK641=0),""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*('Istoric_Nativ'!$Q$6:$Q$405&lt;=H641))/AK641)</x:f>
      </x:c>
      <x:c r="Q641" s="10" t="str">
        <x:f>IF(OR(NOT(AND(J641="PASS",'Calibrare_Linii'!U11="VALID")),AL641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M51)+((('Istoric_Nativ'!$E$6:$E$405='Input_Meci'!E51)+('Istoric_Nativ'!$F$6:$F$405='Input_Meci'!E51))&gt;0)*('Istoric_Nativ'!$D$6:$D$405&gt;='Motor_Meciuri'!BN51))&gt;0)*('Istoric_Nativ'!$Q$6:$Q$405&lt;=H641))/AL641)</x:f>
      </x:c>
      <x:c r="R641" s="10" t="str">
        <x:f>IF(OR(NOT(AND(J641="PASS",'Calibrare_Linii'!U11="VALID")),AM641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O51)+((('Istoric_Nativ'!$E$6:$E$405='Input_Meci'!E51)+('Istoric_Nativ'!$F$6:$F$405='Input_Meci'!E51))&gt;0)*('Istoric_Nativ'!$D$6:$D$405&gt;='Motor_Meciuri'!BP51))&gt;0)*('Istoric_Nativ'!$Q$6:$Q$405&lt;=H641))/AM641)</x:f>
      </x:c>
      <x:c r="S641" s="10" t="str">
        <x:f>IF(M641="","",MAX(O641,P641,Q641,R641))</x:f>
      </x:c>
      <x:c r="T641" s="11" t="str">
        <x:f>IF(M641="","",MIN(100,S641*100*'Config_v6'!$B$44+MIN(100,L641/'Config_v6'!$B$13*100)*'Config_v6'!$B$45+(100-'Motor_Meciuri'!BF51)*'Config_v6'!$B$46+'Motor_Meciuri'!BH51*100*'Config_v6'!$B$47))</x:f>
      </x:c>
      <x:c r="U641" s="2" t="str">
        <x:f>IF(T641="","",IF(T641&lt;=20,1,IF(T641&lt;=40,2,IF(T641&lt;=60,3,IF(T641&lt;=80,4,5)))))</x:f>
      </x:c>
      <x:c r="V641" s="2" t="str">
        <x:f>IF(M641="","",MAX(0,'Motor_Meciuri'!BF51-IF(W641="OOS PENDING",'Config_v6'!$B$35,0)-IF(L641&gt;'Config_v6'!$B$12,'Config_v6'!$B$37,IF(L641&gt;'Config_v6'!$B$11,'Config_v6'!$B$36,0))))</x:f>
      </x:c>
      <x:c r="W641" s="2" t="str">
        <x:f>IF(B641="","",IF(I641&lt;&gt;"READY","NOT RELEASED",IF(NOT(AND(J641="PASS",'Calibrare_Linii'!U11="VALID")),"INVALID",IF(NOT(AND('Calibrare_Linii'!S11="VALIDATED",AND('Calibrare_Linii'!H11=C641,ISNUMBER('Calibrare_Linii'!J11),'Calibrare_Linii'!J11&lt;='Input_Meci'!G51))),"OOS PENDING",IF(S641&lt;='Calibrare_Linii'!E11,"PASS",IF(S641&lt;='Calibrare_Linii'!F11,"PENALTY","WATCH"))))))</x:f>
      </x:c>
      <x:c r="X641" s="2" t="str">
        <x:f>IF(M641="","",IF(AND(AND(J641="PASS",'Calibrare_Linii'!U11="VALID"),'Motor_Meciuri'!K51=12,'Motor_Meciuri'!L51=12,'Motor_Meciuri'!M51="NO",'Motor_Meciuri'!BL51='Motor_Meciuri'!C51,AB641&gt;='Config_v6'!$B$50,AN641&gt;='Config_v6'!$B$51,T641&lt;='Config_v6'!$B$52,L641&lt;='Config_v6'!$B$53,ISNUMBER('Calibrare_Linii'!E11),S641&lt;='Calibrare_Linii'!E11,SUM(AK641:AM641)&gt;0),"CANDIDATE","NO"))</x:f>
      </x:c>
      <x:c r="Y641" s="2" t="str">
        <x:f>IF(B641="","",IF(I641&lt;&gt;"READY","NOT RELEASED",IF(AND(X641="CANDIDATE",V641&gt;='Config_v6'!$B$51,W641="PASS",'Calibrare_Linii'!T11="VALIDATED",AND('Calibrare_Linii'!H11=C641,ISNUMBER('Calibrare_Linii'!J11),'Calibrare_Linii'!J11&lt;='Input_Meci'!G51)),"PASS",IF(X641="CANDIDATE","OOS PENDING","FAIL"))))</x:f>
      </x:c>
      <x:c r="Z641" s="2" t="str">
        <x:f>IF(B641="","",IF(I641&lt;&gt;"READY","",IF(OR(NOT(AND(J641="PASS",'Calibrare_Linii'!U11="VALID")),L641&gt;'Config_v6'!$B$13,W641="WATCH"),5,IF(Y641="PASS",1,MIN(5,MAX('Config_v6'!$B$42,U641)+IF(W641="PENALTY",1,0))))))</x:f>
      </x:c>
      <x:c r="AA641" s="2" t="str">
        <x:f>IF(B641="","",IF(I641&lt;&gt;"READY","NOT RELEASED",IF(Z641=5,"NO BET",IF(OR(AB641&lt;'Config_v6'!$B$16,V641&lt;'Config_v6'!$B$18),"WATCH",IF(Z641=1,"DEFENSIV",IF(Z641=2,"PRUDENT",IF(Z641=3,"MODERAT","RIDICAT")))))))</x:f>
      </x:c>
      <x:c r="AB641" s="10" t="str">
        <x:f>IF(N641="","",MIN(N641,1-S641))</x:f>
      </x:c>
      <x:c r="AC641" s="2" t="str">
        <x:f>IF(AD641&lt;&gt;1,"",COUNTIFS($Z$636:$Z$649,"&lt;"&amp;Z641,$AD$636:$AD$649,1)+COUNTIFS($Z$636:$Z$649,Z641,$AB$636:$AB$649,"&gt;"&amp;AB641,$AD$636:$AD$649,1)+COUNTIFS($Z$636:$Z$649,Z641,$AB$636:$AB$649,AB641,$V$636:$V$649,"&gt;"&amp;V641,$AD$636:$AD$649,1)+COUNTIFS($Z$636:Z641,Z641,$AB$636:AB641,AB641,$V$636:V641,V641,$AD$636:AD641,1))</x:f>
      </x:c>
      <x:c r="AD641" s="2" t="n">
        <x:f>IF(OR(AA641="DEFENSIV",AA641="PRUDENT",AA641="MODERAT",AA641="RIDICAT"),1,0)</x:f>
        <x:v>0</x:v>
      </x:c>
      <x:c r="AE641" s="2" t="str">
        <x:f>IF(AD641&lt;&gt;1,"NO",IF(W641="PASS","YES",IF(W641="OOS PENDING","CONDITIONAL","NO")))</x:f>
        <x:v>NO</x:v>
      </x:c>
      <x:c r="AF641" s="2" t="n">
        <x:f>IF(AND(AD641=1,AC641=1,E641="LIVE"),1,0)</x:f>
        <x:v>0</x:v>
      </x:c>
      <x:c r="AG641" s="2" t="str">
        <x:f>IF(AF641&lt;&gt;1,"",'Dashboard'!P71)</x:f>
      </x:c>
      <x:c r="AH641" s="2" t="str">
        <x:f>IF(B641="","",IF(J641&lt;&gt;"PASS",'Motor_Meciuri'!J51,IF('Calibrare_Linii'!U11&lt;&gt;"VALID","Parametri linie invalizi",IF(L641&gt;'Config_v6'!$B$13,"Dispersie peste limita",IF(W641="WATCH","Failure peste limita",IF(AB641&lt;'Config_v6'!$B$16,"P finala sub prag",IF(V641&lt;'Config_v6'!$B$18,"Confidence sub prag",IF(E641="REPLAY","Exemplu retrospectiv; exclus din Top LIVE",IF(Y641="PASS","DEFENSIV validat",IF(W641="OOS PENDING","Eligibil; calibrare linie in monitorizare","Eligibil"))))))))))</x:f>
      </x:c>
      <x:c r="AI641" s="2" t="str">
        <x:f>IF(B641="","",'Calibrare_Linii'!V11)</x:f>
      </x:c>
      <x:c r="AJ641" s="2" t="str">
        <x:f>IF(B641="","",IF(AND('Calibrare_Linii'!T11="VALIDATED",AND('Calibrare_Linii'!H11=C641,ISNUMBER('Calibrare_Linii'!J11),'Calibrare_Linii'!J11&lt;='Input_Meci'!G51)),"DEFENSIVE VALIDATED",IF(AND('Calibrare_Linii'!S11="VALIDATED",AND('Calibrare_Linii'!H11=C641,ISNUMBER('Calibrare_Linii'!J11),'Calibrare_Linii'!J11&lt;='Input_Meci'!G51)),"TAIL VALIDATED","OOS PENDING")))</x:f>
      </x:c>
      <x:c r="AK641" s="2" t="n">
        <x:f>IF(J641&lt;&gt;"PASS",0,'Motor_Meciuri'!BR51)</x:f>
        <x:v>0</x:v>
      </x:c>
      <x:c r="AL641" s="2" t="n">
        <x:f>IF(J641&lt;&gt;"PASS",0,'Motor_Meciuri'!BS51)</x:f>
        <x:v>0</x:v>
      </x:c>
      <x:c r="AM641" s="2" t="n">
        <x:f>IF(J641&lt;&gt;"PASS",0,'Motor_Meciuri'!BT51)</x:f>
        <x:v>0</x:v>
      </x:c>
      <x:c r="AN641" s="2" t="str">
        <x:f>IF(M641="","",MAX(0,'Motor_Meciuri'!BF51-IF(L641&gt;'Config_v6'!$B$12,'Config_v6'!$B$37,IF(L641&gt;'Config_v6'!$B$11,'Config_v6'!$B$36,0))))</x:f>
      </x:c>
    </x:row>
    <x:row r="642" ht="21" customHeight="1">
      <x:c r="A642" s="2" t="n">
        <x:v>46</x:v>
      </x:c>
      <x:c r="B642" s="2" t="str">
        <x:f>IF('Motor_Meciuri'!A51="","",'Motor_Meciuri'!A51)</x:f>
      </x:c>
      <x:c r="C642" s="2" t="str">
        <x:f>IF(B642="","",'Motor_Meciuri'!B51)</x:f>
      </x:c>
      <x:c r="D642" s="2" t="str">
        <x:f>IF(B642="","",'Motor_Meciuri'!D51)</x:f>
      </x:c>
      <x:c r="E642" s="2" t="str">
        <x:f>IF(B642="","",'Motor_Meciuri'!E51)</x:f>
      </x:c>
      <x:c r="F642" s="2" t="str">
        <x:v>U10,5</x:v>
      </x:c>
      <x:c r="G642" s="2" t="str">
        <x:v>UNDER</x:v>
      </x:c>
      <x:c r="H642" s="2" t="n">
        <x:v>10</x:v>
      </x:c>
      <x:c r="I642" s="2" t="str">
        <x:f>IF(B642="","",'Motor_Meciuri'!H51)</x:f>
      </x:c>
      <x:c r="J642" s="2" t="str">
        <x:f>IF(B642="","",'Motor_Meciuri'!I51)</x:f>
      </x:c>
      <x:c r="K642" s="11" t="str">
        <x:f>IF(J642&lt;&gt;"PASS","",'Motor_Meciuri'!BD51)</x:f>
      </x:c>
      <x:c r="L642" s="11" t="str">
        <x:f>IF(J642&lt;&gt;"PASS","",'Motor_Meciuri'!AU51)</x:f>
      </x:c>
      <x:c r="M642" s="10" t="str">
        <x:f>IF(NOT(AND(J642="PASS",'Calibrare_Linii'!U12="VALID")),"",'Distributie'!AH51)</x:f>
      </x:c>
      <x:c r="N642" s="10" t="str">
        <x:f>IF(M642="","",MAX(0.01,MIN(0.99,0.5+(M642-0.5)*'Motor_Meciuri'!BG51*'Calibrare_Linii'!D12)))</x:f>
      </x:c>
      <x:c r="O642" s="10" t="str">
        <x:f>IF(M642="","",1-M642)</x:f>
      </x:c>
      <x:c r="P642" s="10" t="str">
        <x:f>IF(OR(NOT(AND(J642="PASS",'Calibrare_Linii'!U12="VALID")),AK642=0),""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*('Istoric_Nativ'!$Q$6:$Q$405&gt;H642))/AK642)</x:f>
      </x:c>
      <x:c r="Q642" s="10" t="str">
        <x:f>IF(OR(NOT(AND(J642="PASS",'Calibrare_Linii'!U12="VALID")),AL642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M51)+((('Istoric_Nativ'!$E$6:$E$405='Input_Meci'!E51)+('Istoric_Nativ'!$F$6:$F$405='Input_Meci'!E51))&gt;0)*('Istoric_Nativ'!$D$6:$D$405&gt;='Motor_Meciuri'!BN51))&gt;0)*('Istoric_Nativ'!$Q$6:$Q$405&gt;H642))/AL642)</x:f>
      </x:c>
      <x:c r="R642" s="10" t="str">
        <x:f>IF(OR(NOT(AND(J642="PASS",'Calibrare_Linii'!U12="VALID")),AM642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O51)+((('Istoric_Nativ'!$E$6:$E$405='Input_Meci'!E51)+('Istoric_Nativ'!$F$6:$F$405='Input_Meci'!E51))&gt;0)*('Istoric_Nativ'!$D$6:$D$405&gt;='Motor_Meciuri'!BP51))&gt;0)*('Istoric_Nativ'!$Q$6:$Q$405&gt;H642))/AM642)</x:f>
      </x:c>
      <x:c r="S642" s="10" t="str">
        <x:f>IF(M642="","",MAX(O642,P642,Q642,R642))</x:f>
      </x:c>
      <x:c r="T642" s="11" t="str">
        <x:f>IF(M642="","",MIN(100,S642*100*'Config_v6'!$B$44+MIN(100,L642/'Config_v6'!$B$13*100)*'Config_v6'!$B$45+(100-'Motor_Meciuri'!BF51)*'Config_v6'!$B$46+'Motor_Meciuri'!BH51*100*'Config_v6'!$B$47))</x:f>
      </x:c>
      <x:c r="U642" s="2" t="str">
        <x:f>IF(T642="","",IF(T642&lt;=20,1,IF(T642&lt;=40,2,IF(T642&lt;=60,3,IF(T642&lt;=80,4,5)))))</x:f>
      </x:c>
      <x:c r="V642" s="2" t="str">
        <x:f>IF(M642="","",MAX(0,'Motor_Meciuri'!BF51-IF(W642="OOS PENDING",'Config_v6'!$B$35,0)-IF(L642&gt;'Config_v6'!$B$12,'Config_v6'!$B$37,IF(L642&gt;'Config_v6'!$B$11,'Config_v6'!$B$36,0))))</x:f>
      </x:c>
      <x:c r="W642" s="2" t="str">
        <x:f>IF(B642="","",IF(I642&lt;&gt;"READY","NOT RELEASED",IF(NOT(AND(J642="PASS",'Calibrare_Linii'!U12="VALID")),"INVALID",IF(NOT(AND('Calibrare_Linii'!S12="VALIDATED",AND('Calibrare_Linii'!H12=C642,ISNUMBER('Calibrare_Linii'!J12),'Calibrare_Linii'!J12&lt;='Input_Meci'!G51))),"OOS PENDING",IF(S642&lt;='Calibrare_Linii'!E12,"PASS",IF(S642&lt;='Calibrare_Linii'!F12,"PENALTY","WATCH"))))))</x:f>
      </x:c>
      <x:c r="X642" s="2" t="str">
        <x:f>IF(M642="","",IF(AND(AND(J642="PASS",'Calibrare_Linii'!U12="VALID"),'Motor_Meciuri'!K51=12,'Motor_Meciuri'!L51=12,'Motor_Meciuri'!M51="NO",'Motor_Meciuri'!BL51='Motor_Meciuri'!C51,AB642&gt;='Config_v6'!$B$50,AN642&gt;='Config_v6'!$B$51,T642&lt;='Config_v6'!$B$52,L642&lt;='Config_v6'!$B$53,ISNUMBER('Calibrare_Linii'!E12),S642&lt;='Calibrare_Linii'!E12,SUM(AK642:AM642)&gt;0),"CANDIDATE","NO"))</x:f>
      </x:c>
      <x:c r="Y642" s="2" t="str">
        <x:f>IF(B642="","",IF(I642&lt;&gt;"READY","NOT RELEASED",IF(AND(X642="CANDIDATE",V642&gt;='Config_v6'!$B$51,W642="PASS",'Calibrare_Linii'!T12="VALIDATED",AND('Calibrare_Linii'!H12=C642,ISNUMBER('Calibrare_Linii'!J12),'Calibrare_Linii'!J12&lt;='Input_Meci'!G51)),"PASS",IF(X642="CANDIDATE","OOS PENDING","FAIL"))))</x:f>
      </x:c>
      <x:c r="Z642" s="2" t="str">
        <x:f>IF(B642="","",IF(I642&lt;&gt;"READY","",IF(OR(NOT(AND(J642="PASS",'Calibrare_Linii'!U12="VALID")),L642&gt;'Config_v6'!$B$13,W642="WATCH"),5,IF(Y642="PASS",1,MIN(5,MAX('Config_v6'!$B$42,U642)+IF(W642="PENALTY",1,0))))))</x:f>
      </x:c>
      <x:c r="AA642" s="2" t="str">
        <x:f>IF(B642="","",IF(I642&lt;&gt;"READY","NOT RELEASED",IF(Z642=5,"NO BET",IF(OR(AB642&lt;'Config_v6'!$B$16,V642&lt;'Config_v6'!$B$18),"WATCH",IF(Z642=1,"DEFENSIV",IF(Z642=2,"PRUDENT",IF(Z642=3,"MODERAT","RIDICAT")))))))</x:f>
      </x:c>
      <x:c r="AB642" s="10" t="str">
        <x:f>IF(N642="","",MIN(N642,1-S642))</x:f>
      </x:c>
      <x:c r="AC642" s="2" t="str">
        <x:f>IF(AD642&lt;&gt;1,"",COUNTIFS($Z$636:$Z$649,"&lt;"&amp;Z642,$AD$636:$AD$649,1)+COUNTIFS($Z$636:$Z$649,Z642,$AB$636:$AB$649,"&gt;"&amp;AB642,$AD$636:$AD$649,1)+COUNTIFS($Z$636:$Z$649,Z642,$AB$636:$AB$649,AB642,$V$636:$V$649,"&gt;"&amp;V642,$AD$636:$AD$649,1)+COUNTIFS($Z$636:Z642,Z642,$AB$636:AB642,AB642,$V$636:V642,V642,$AD$636:AD642,1))</x:f>
      </x:c>
      <x:c r="AD642" s="2" t="n">
        <x:f>IF(OR(AA642="DEFENSIV",AA642="PRUDENT",AA642="MODERAT",AA642="RIDICAT"),1,0)</x:f>
        <x:v>0</x:v>
      </x:c>
      <x:c r="AE642" s="2" t="str">
        <x:f>IF(AD642&lt;&gt;1,"NO",IF(W642="PASS","YES",IF(W642="OOS PENDING","CONDITIONAL","NO")))</x:f>
        <x:v>NO</x:v>
      </x:c>
      <x:c r="AF642" s="2" t="n">
        <x:f>IF(AND(AD642=1,AC642=1,E642="LIVE"),1,0)</x:f>
        <x:v>0</x:v>
      </x:c>
      <x:c r="AG642" s="2" t="str">
        <x:f>IF(AF642&lt;&gt;1,"",'Dashboard'!P71)</x:f>
      </x:c>
      <x:c r="AH642" s="2" t="str">
        <x:f>IF(B642="","",IF(J642&lt;&gt;"PASS",'Motor_Meciuri'!J51,IF('Calibrare_Linii'!U12&lt;&gt;"VALID","Parametri linie invalizi",IF(L642&gt;'Config_v6'!$B$13,"Dispersie peste limita",IF(W642="WATCH","Failure peste limita",IF(AB642&lt;'Config_v6'!$B$16,"P finala sub prag",IF(V642&lt;'Config_v6'!$B$18,"Confidence sub prag",IF(E642="REPLAY","Exemplu retrospectiv; exclus din Top LIVE",IF(Y642="PASS","DEFENSIV validat",IF(W642="OOS PENDING","Eligibil; calibrare linie in monitorizare","Eligibil"))))))))))</x:f>
      </x:c>
      <x:c r="AI642" s="2" t="str">
        <x:f>IF(B642="","",'Calibrare_Linii'!V12)</x:f>
      </x:c>
      <x:c r="AJ642" s="2" t="str">
        <x:f>IF(B642="","",IF(AND('Calibrare_Linii'!T12="VALIDATED",AND('Calibrare_Linii'!H12=C642,ISNUMBER('Calibrare_Linii'!J12),'Calibrare_Linii'!J12&lt;='Input_Meci'!G51)),"DEFENSIVE VALIDATED",IF(AND('Calibrare_Linii'!S12="VALIDATED",AND('Calibrare_Linii'!H12=C642,ISNUMBER('Calibrare_Linii'!J12),'Calibrare_Linii'!J12&lt;='Input_Meci'!G51)),"TAIL VALIDATED","OOS PENDING")))</x:f>
      </x:c>
      <x:c r="AK642" s="2" t="n">
        <x:f>IF(J642&lt;&gt;"PASS",0,'Motor_Meciuri'!BR51)</x:f>
        <x:v>0</x:v>
      </x:c>
      <x:c r="AL642" s="2" t="n">
        <x:f>IF(J642&lt;&gt;"PASS",0,'Motor_Meciuri'!BS51)</x:f>
        <x:v>0</x:v>
      </x:c>
      <x:c r="AM642" s="2" t="n">
        <x:f>IF(J642&lt;&gt;"PASS",0,'Motor_Meciuri'!BT51)</x:f>
        <x:v>0</x:v>
      </x:c>
      <x:c r="AN642" s="2" t="str">
        <x:f>IF(M642="","",MAX(0,'Motor_Meciuri'!BF51-IF(L642&gt;'Config_v6'!$B$12,'Config_v6'!$B$37,IF(L642&gt;'Config_v6'!$B$11,'Config_v6'!$B$36,0))))</x:f>
      </x:c>
    </x:row>
    <x:row r="643" ht="21" customHeight="1">
      <x:c r="A643" s="2" t="n">
        <x:v>46</x:v>
      </x:c>
      <x:c r="B643" s="2" t="str">
        <x:f>IF('Motor_Meciuri'!A51="","",'Motor_Meciuri'!A51)</x:f>
      </x:c>
      <x:c r="C643" s="2" t="str">
        <x:f>IF(B643="","",'Motor_Meciuri'!B51)</x:f>
      </x:c>
      <x:c r="D643" s="2" t="str">
        <x:f>IF(B643="","",'Motor_Meciuri'!D51)</x:f>
      </x:c>
      <x:c r="E643" s="2" t="str">
        <x:f>IF(B643="","",'Motor_Meciuri'!E51)</x:f>
      </x:c>
      <x:c r="F643" s="2" t="str">
        <x:v>U11,5</x:v>
      </x:c>
      <x:c r="G643" s="2" t="str">
        <x:v>UNDER</x:v>
      </x:c>
      <x:c r="H643" s="2" t="n">
        <x:v>11</x:v>
      </x:c>
      <x:c r="I643" s="2" t="str">
        <x:f>IF(B643="","",'Motor_Meciuri'!H51)</x:f>
      </x:c>
      <x:c r="J643" s="2" t="str">
        <x:f>IF(B643="","",'Motor_Meciuri'!I51)</x:f>
      </x:c>
      <x:c r="K643" s="11" t="str">
        <x:f>IF(J643&lt;&gt;"PASS","",'Motor_Meciuri'!BD51)</x:f>
      </x:c>
      <x:c r="L643" s="11" t="str">
        <x:f>IF(J643&lt;&gt;"PASS","",'Motor_Meciuri'!AU51)</x:f>
      </x:c>
      <x:c r="M643" s="10" t="str">
        <x:f>IF(NOT(AND(J643="PASS",'Calibrare_Linii'!U13="VALID")),"",'Distributie'!AI51)</x:f>
      </x:c>
      <x:c r="N643" s="10" t="str">
        <x:f>IF(M643="","",MAX(0.01,MIN(0.99,0.5+(M643-0.5)*'Motor_Meciuri'!BG51*'Calibrare_Linii'!D13)))</x:f>
      </x:c>
      <x:c r="O643" s="10" t="str">
        <x:f>IF(M643="","",1-M643)</x:f>
      </x:c>
      <x:c r="P643" s="10" t="str">
        <x:f>IF(OR(NOT(AND(J643="PASS",'Calibrare_Linii'!U13="VALID")),AK643=0),""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*('Istoric_Nativ'!$Q$6:$Q$405&gt;H643))/AK643)</x:f>
      </x:c>
      <x:c r="Q643" s="10" t="str">
        <x:f>IF(OR(NOT(AND(J643="PASS",'Calibrare_Linii'!U13="VALID")),AL643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M51)+((('Istoric_Nativ'!$E$6:$E$405='Input_Meci'!E51)+('Istoric_Nativ'!$F$6:$F$405='Input_Meci'!E51))&gt;0)*('Istoric_Nativ'!$D$6:$D$405&gt;='Motor_Meciuri'!BN51))&gt;0)*('Istoric_Nativ'!$Q$6:$Q$405&gt;H643))/AL643)</x:f>
      </x:c>
      <x:c r="R643" s="10" t="str">
        <x:f>IF(OR(NOT(AND(J643="PASS",'Calibrare_Linii'!U13="VALID")),AM643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O51)+((('Istoric_Nativ'!$E$6:$E$405='Input_Meci'!E51)+('Istoric_Nativ'!$F$6:$F$405='Input_Meci'!E51))&gt;0)*('Istoric_Nativ'!$D$6:$D$405&gt;='Motor_Meciuri'!BP51))&gt;0)*('Istoric_Nativ'!$Q$6:$Q$405&gt;H643))/AM643)</x:f>
      </x:c>
      <x:c r="S643" s="10" t="str">
        <x:f>IF(M643="","",MAX(O643,P643,Q643,R643))</x:f>
      </x:c>
      <x:c r="T643" s="11" t="str">
        <x:f>IF(M643="","",MIN(100,S643*100*'Config_v6'!$B$44+MIN(100,L643/'Config_v6'!$B$13*100)*'Config_v6'!$B$45+(100-'Motor_Meciuri'!BF51)*'Config_v6'!$B$46+'Motor_Meciuri'!BH51*100*'Config_v6'!$B$47))</x:f>
      </x:c>
      <x:c r="U643" s="2" t="str">
        <x:f>IF(T643="","",IF(T643&lt;=20,1,IF(T643&lt;=40,2,IF(T643&lt;=60,3,IF(T643&lt;=80,4,5)))))</x:f>
      </x:c>
      <x:c r="V643" s="2" t="str">
        <x:f>IF(M643="","",MAX(0,'Motor_Meciuri'!BF51-IF(W643="OOS PENDING",'Config_v6'!$B$35,0)-IF(L643&gt;'Config_v6'!$B$12,'Config_v6'!$B$37,IF(L643&gt;'Config_v6'!$B$11,'Config_v6'!$B$36,0))))</x:f>
      </x:c>
      <x:c r="W643" s="2" t="str">
        <x:f>IF(B643="","",IF(I643&lt;&gt;"READY","NOT RELEASED",IF(NOT(AND(J643="PASS",'Calibrare_Linii'!U13="VALID")),"INVALID",IF(NOT(AND('Calibrare_Linii'!S13="VALIDATED",AND('Calibrare_Linii'!H13=C643,ISNUMBER('Calibrare_Linii'!J13),'Calibrare_Linii'!J13&lt;='Input_Meci'!G51))),"OOS PENDING",IF(S643&lt;='Calibrare_Linii'!E13,"PASS",IF(S643&lt;='Calibrare_Linii'!F13,"PENALTY","WATCH"))))))</x:f>
      </x:c>
      <x:c r="X643" s="2" t="str">
        <x:f>IF(M643="","",IF(AND(AND(J643="PASS",'Calibrare_Linii'!U13="VALID"),'Motor_Meciuri'!K51=12,'Motor_Meciuri'!L51=12,'Motor_Meciuri'!M51="NO",'Motor_Meciuri'!BL51='Motor_Meciuri'!C51,AB643&gt;='Config_v6'!$B$50,AN643&gt;='Config_v6'!$B$51,T643&lt;='Config_v6'!$B$52,L643&lt;='Config_v6'!$B$53,ISNUMBER('Calibrare_Linii'!E13),S643&lt;='Calibrare_Linii'!E13,SUM(AK643:AM643)&gt;0),"CANDIDATE","NO"))</x:f>
      </x:c>
      <x:c r="Y643" s="2" t="str">
        <x:f>IF(B643="","",IF(I643&lt;&gt;"READY","NOT RELEASED",IF(AND(X643="CANDIDATE",V643&gt;='Config_v6'!$B$51,W643="PASS",'Calibrare_Linii'!T13="VALIDATED",AND('Calibrare_Linii'!H13=C643,ISNUMBER('Calibrare_Linii'!J13),'Calibrare_Linii'!J13&lt;='Input_Meci'!G51)),"PASS",IF(X643="CANDIDATE","OOS PENDING","FAIL"))))</x:f>
      </x:c>
      <x:c r="Z643" s="2" t="str">
        <x:f>IF(B643="","",IF(I643&lt;&gt;"READY","",IF(OR(NOT(AND(J643="PASS",'Calibrare_Linii'!U13="VALID")),L643&gt;'Config_v6'!$B$13,W643="WATCH"),5,IF(Y643="PASS",1,MIN(5,MAX('Config_v6'!$B$42,U643)+IF(W643="PENALTY",1,0))))))</x:f>
      </x:c>
      <x:c r="AA643" s="2" t="str">
        <x:f>IF(B643="","",IF(I643&lt;&gt;"READY","NOT RELEASED",IF(Z643=5,"NO BET",IF(OR(AB643&lt;'Config_v6'!$B$16,V643&lt;'Config_v6'!$B$18),"WATCH",IF(Z643=1,"DEFENSIV",IF(Z643=2,"PRUDENT",IF(Z643=3,"MODERAT","RIDICAT")))))))</x:f>
      </x:c>
      <x:c r="AB643" s="10" t="str">
        <x:f>IF(N643="","",MIN(N643,1-S643))</x:f>
      </x:c>
      <x:c r="AC643" s="2" t="str">
        <x:f>IF(AD643&lt;&gt;1,"",COUNTIFS($Z$636:$Z$649,"&lt;"&amp;Z643,$AD$636:$AD$649,1)+COUNTIFS($Z$636:$Z$649,Z643,$AB$636:$AB$649,"&gt;"&amp;AB643,$AD$636:$AD$649,1)+COUNTIFS($Z$636:$Z$649,Z643,$AB$636:$AB$649,AB643,$V$636:$V$649,"&gt;"&amp;V643,$AD$636:$AD$649,1)+COUNTIFS($Z$636:Z643,Z643,$AB$636:AB643,AB643,$V$636:V643,V643,$AD$636:AD643,1))</x:f>
      </x:c>
      <x:c r="AD643" s="2" t="n">
        <x:f>IF(OR(AA643="DEFENSIV",AA643="PRUDENT",AA643="MODERAT",AA643="RIDICAT"),1,0)</x:f>
        <x:v>0</x:v>
      </x:c>
      <x:c r="AE643" s="2" t="str">
        <x:f>IF(AD643&lt;&gt;1,"NO",IF(W643="PASS","YES",IF(W643="OOS PENDING","CONDITIONAL","NO")))</x:f>
        <x:v>NO</x:v>
      </x:c>
      <x:c r="AF643" s="2" t="n">
        <x:f>IF(AND(AD643=1,AC643=1,E643="LIVE"),1,0)</x:f>
        <x:v>0</x:v>
      </x:c>
      <x:c r="AG643" s="2" t="str">
        <x:f>IF(AF643&lt;&gt;1,"",'Dashboard'!P71)</x:f>
      </x:c>
      <x:c r="AH643" s="2" t="str">
        <x:f>IF(B643="","",IF(J643&lt;&gt;"PASS",'Motor_Meciuri'!J51,IF('Calibrare_Linii'!U13&lt;&gt;"VALID","Parametri linie invalizi",IF(L643&gt;'Config_v6'!$B$13,"Dispersie peste limita",IF(W643="WATCH","Failure peste limita",IF(AB643&lt;'Config_v6'!$B$16,"P finala sub prag",IF(V643&lt;'Config_v6'!$B$18,"Confidence sub prag",IF(E643="REPLAY","Exemplu retrospectiv; exclus din Top LIVE",IF(Y643="PASS","DEFENSIV validat",IF(W643="OOS PENDING","Eligibil; calibrare linie in monitorizare","Eligibil"))))))))))</x:f>
      </x:c>
      <x:c r="AI643" s="2" t="str">
        <x:f>IF(B643="","",'Calibrare_Linii'!V13)</x:f>
      </x:c>
      <x:c r="AJ643" s="2" t="str">
        <x:f>IF(B643="","",IF(AND('Calibrare_Linii'!T13="VALIDATED",AND('Calibrare_Linii'!H13=C643,ISNUMBER('Calibrare_Linii'!J13),'Calibrare_Linii'!J13&lt;='Input_Meci'!G51)),"DEFENSIVE VALIDATED",IF(AND('Calibrare_Linii'!S13="VALIDATED",AND('Calibrare_Linii'!H13=C643,ISNUMBER('Calibrare_Linii'!J13),'Calibrare_Linii'!J13&lt;='Input_Meci'!G51)),"TAIL VALIDATED","OOS PENDING")))</x:f>
      </x:c>
      <x:c r="AK643" s="2" t="n">
        <x:f>IF(J643&lt;&gt;"PASS",0,'Motor_Meciuri'!BR51)</x:f>
        <x:v>0</x:v>
      </x:c>
      <x:c r="AL643" s="2" t="n">
        <x:f>IF(J643&lt;&gt;"PASS",0,'Motor_Meciuri'!BS51)</x:f>
        <x:v>0</x:v>
      </x:c>
      <x:c r="AM643" s="2" t="n">
        <x:f>IF(J643&lt;&gt;"PASS",0,'Motor_Meciuri'!BT51)</x:f>
        <x:v>0</x:v>
      </x:c>
      <x:c r="AN643" s="2" t="str">
        <x:f>IF(M643="","",MAX(0,'Motor_Meciuri'!BF51-IF(L643&gt;'Config_v6'!$B$12,'Config_v6'!$B$37,IF(L643&gt;'Config_v6'!$B$11,'Config_v6'!$B$36,0))))</x:f>
      </x:c>
    </x:row>
    <x:row r="644" ht="21" customHeight="1">
      <x:c r="A644" s="2" t="n">
        <x:v>46</x:v>
      </x:c>
      <x:c r="B644" s="2" t="str">
        <x:f>IF('Motor_Meciuri'!A51="","",'Motor_Meciuri'!A51)</x:f>
      </x:c>
      <x:c r="C644" s="2" t="str">
        <x:f>IF(B644="","",'Motor_Meciuri'!B51)</x:f>
      </x:c>
      <x:c r="D644" s="2" t="str">
        <x:f>IF(B644="","",'Motor_Meciuri'!D51)</x:f>
      </x:c>
      <x:c r="E644" s="2" t="str">
        <x:f>IF(B644="","",'Motor_Meciuri'!E51)</x:f>
      </x:c>
      <x:c r="F644" s="2" t="str">
        <x:v>U12,5</x:v>
      </x:c>
      <x:c r="G644" s="2" t="str">
        <x:v>UNDER</x:v>
      </x:c>
      <x:c r="H644" s="2" t="n">
        <x:v>12</x:v>
      </x:c>
      <x:c r="I644" s="2" t="str">
        <x:f>IF(B644="","",'Motor_Meciuri'!H51)</x:f>
      </x:c>
      <x:c r="J644" s="2" t="str">
        <x:f>IF(B644="","",'Motor_Meciuri'!I51)</x:f>
      </x:c>
      <x:c r="K644" s="11" t="str">
        <x:f>IF(J644&lt;&gt;"PASS","",'Motor_Meciuri'!BD51)</x:f>
      </x:c>
      <x:c r="L644" s="11" t="str">
        <x:f>IF(J644&lt;&gt;"PASS","",'Motor_Meciuri'!AU51)</x:f>
      </x:c>
      <x:c r="M644" s="10" t="str">
        <x:f>IF(NOT(AND(J644="PASS",'Calibrare_Linii'!U14="VALID")),"",'Distributie'!AJ51)</x:f>
      </x:c>
      <x:c r="N644" s="10" t="str">
        <x:f>IF(M644="","",MAX(0.01,MIN(0.99,0.5+(M644-0.5)*'Motor_Meciuri'!BG51*'Calibrare_Linii'!D14)))</x:f>
      </x:c>
      <x:c r="O644" s="10" t="str">
        <x:f>IF(M644="","",1-M644)</x:f>
      </x:c>
      <x:c r="P644" s="10" t="str">
        <x:f>IF(OR(NOT(AND(J644="PASS",'Calibrare_Linii'!U14="VALID")),AK644=0),""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*('Istoric_Nativ'!$Q$6:$Q$405&gt;H644))/AK644)</x:f>
      </x:c>
      <x:c r="Q644" s="10" t="str">
        <x:f>IF(OR(NOT(AND(J644="PASS",'Calibrare_Linii'!U14="VALID")),AL644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M51)+((('Istoric_Nativ'!$E$6:$E$405='Input_Meci'!E51)+('Istoric_Nativ'!$F$6:$F$405='Input_Meci'!E51))&gt;0)*('Istoric_Nativ'!$D$6:$D$405&gt;='Motor_Meciuri'!BN51))&gt;0)*('Istoric_Nativ'!$Q$6:$Q$405&gt;H644))/AL644)</x:f>
      </x:c>
      <x:c r="R644" s="10" t="str">
        <x:f>IF(OR(NOT(AND(J644="PASS",'Calibrare_Linii'!U14="VALID")),AM644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O51)+((('Istoric_Nativ'!$E$6:$E$405='Input_Meci'!E51)+('Istoric_Nativ'!$F$6:$F$405='Input_Meci'!E51))&gt;0)*('Istoric_Nativ'!$D$6:$D$405&gt;='Motor_Meciuri'!BP51))&gt;0)*('Istoric_Nativ'!$Q$6:$Q$405&gt;H644))/AM644)</x:f>
      </x:c>
      <x:c r="S644" s="10" t="str">
        <x:f>IF(M644="","",MAX(O644,P644,Q644,R644))</x:f>
      </x:c>
      <x:c r="T644" s="11" t="str">
        <x:f>IF(M644="","",MIN(100,S644*100*'Config_v6'!$B$44+MIN(100,L644/'Config_v6'!$B$13*100)*'Config_v6'!$B$45+(100-'Motor_Meciuri'!BF51)*'Config_v6'!$B$46+'Motor_Meciuri'!BH51*100*'Config_v6'!$B$47))</x:f>
      </x:c>
      <x:c r="U644" s="2" t="str">
        <x:f>IF(T644="","",IF(T644&lt;=20,1,IF(T644&lt;=40,2,IF(T644&lt;=60,3,IF(T644&lt;=80,4,5)))))</x:f>
      </x:c>
      <x:c r="V644" s="2" t="str">
        <x:f>IF(M644="","",MAX(0,'Motor_Meciuri'!BF51-IF(W644="OOS PENDING",'Config_v6'!$B$35,0)-IF(L644&gt;'Config_v6'!$B$12,'Config_v6'!$B$37,IF(L644&gt;'Config_v6'!$B$11,'Config_v6'!$B$36,0))))</x:f>
      </x:c>
      <x:c r="W644" s="2" t="str">
        <x:f>IF(B644="","",IF(I644&lt;&gt;"READY","NOT RELEASED",IF(NOT(AND(J644="PASS",'Calibrare_Linii'!U14="VALID")),"INVALID",IF(NOT(AND('Calibrare_Linii'!S14="VALIDATED",AND('Calibrare_Linii'!H14=C644,ISNUMBER('Calibrare_Linii'!J14),'Calibrare_Linii'!J14&lt;='Input_Meci'!G51))),"OOS PENDING",IF(S644&lt;='Calibrare_Linii'!E14,"PASS",IF(S644&lt;='Calibrare_Linii'!F14,"PENALTY","WATCH"))))))</x:f>
      </x:c>
      <x:c r="X644" s="2" t="str">
        <x:f>IF(M644="","",IF(AND(AND(J644="PASS",'Calibrare_Linii'!U14="VALID"),'Motor_Meciuri'!K51=12,'Motor_Meciuri'!L51=12,'Motor_Meciuri'!M51="NO",'Motor_Meciuri'!BL51='Motor_Meciuri'!C51,AB644&gt;='Config_v6'!$B$50,AN644&gt;='Config_v6'!$B$51,T644&lt;='Config_v6'!$B$52,L644&lt;='Config_v6'!$B$53,ISNUMBER('Calibrare_Linii'!E14),S644&lt;='Calibrare_Linii'!E14,SUM(AK644:AM644)&gt;0),"CANDIDATE","NO"))</x:f>
      </x:c>
      <x:c r="Y644" s="2" t="str">
        <x:f>IF(B644="","",IF(I644&lt;&gt;"READY","NOT RELEASED",IF(AND(X644="CANDIDATE",V644&gt;='Config_v6'!$B$51,W644="PASS",'Calibrare_Linii'!T14="VALIDATED",AND('Calibrare_Linii'!H14=C644,ISNUMBER('Calibrare_Linii'!J14),'Calibrare_Linii'!J14&lt;='Input_Meci'!G51)),"PASS",IF(X644="CANDIDATE","OOS PENDING","FAIL"))))</x:f>
      </x:c>
      <x:c r="Z644" s="2" t="str">
        <x:f>IF(B644="","",IF(I644&lt;&gt;"READY","",IF(OR(NOT(AND(J644="PASS",'Calibrare_Linii'!U14="VALID")),L644&gt;'Config_v6'!$B$13,W644="WATCH"),5,IF(Y644="PASS",1,MIN(5,MAX('Config_v6'!$B$42,U644)+IF(W644="PENALTY",1,0))))))</x:f>
      </x:c>
      <x:c r="AA644" s="2" t="str">
        <x:f>IF(B644="","",IF(I644&lt;&gt;"READY","NOT RELEASED",IF(Z644=5,"NO BET",IF(OR(AB644&lt;'Config_v6'!$B$16,V644&lt;'Config_v6'!$B$18),"WATCH",IF(Z644=1,"DEFENSIV",IF(Z644=2,"PRUDENT",IF(Z644=3,"MODERAT","RIDICAT")))))))</x:f>
      </x:c>
      <x:c r="AB644" s="10" t="str">
        <x:f>IF(N644="","",MIN(N644,1-S644))</x:f>
      </x:c>
      <x:c r="AC644" s="2" t="str">
        <x:f>IF(AD644&lt;&gt;1,"",COUNTIFS($Z$636:$Z$649,"&lt;"&amp;Z644,$AD$636:$AD$649,1)+COUNTIFS($Z$636:$Z$649,Z644,$AB$636:$AB$649,"&gt;"&amp;AB644,$AD$636:$AD$649,1)+COUNTIFS($Z$636:$Z$649,Z644,$AB$636:$AB$649,AB644,$V$636:$V$649,"&gt;"&amp;V644,$AD$636:$AD$649,1)+COUNTIFS($Z$636:Z644,Z644,$AB$636:AB644,AB644,$V$636:V644,V644,$AD$636:AD644,1))</x:f>
      </x:c>
      <x:c r="AD644" s="2" t="n">
        <x:f>IF(OR(AA644="DEFENSIV",AA644="PRUDENT",AA644="MODERAT",AA644="RIDICAT"),1,0)</x:f>
        <x:v>0</x:v>
      </x:c>
      <x:c r="AE644" s="2" t="str">
        <x:f>IF(AD644&lt;&gt;1,"NO",IF(W644="PASS","YES",IF(W644="OOS PENDING","CONDITIONAL","NO")))</x:f>
        <x:v>NO</x:v>
      </x:c>
      <x:c r="AF644" s="2" t="n">
        <x:f>IF(AND(AD644=1,AC644=1,E644="LIVE"),1,0)</x:f>
        <x:v>0</x:v>
      </x:c>
      <x:c r="AG644" s="2" t="str">
        <x:f>IF(AF644&lt;&gt;1,"",'Dashboard'!P71)</x:f>
      </x:c>
      <x:c r="AH644" s="2" t="str">
        <x:f>IF(B644="","",IF(J644&lt;&gt;"PASS",'Motor_Meciuri'!J51,IF('Calibrare_Linii'!U14&lt;&gt;"VALID","Parametri linie invalizi",IF(L644&gt;'Config_v6'!$B$13,"Dispersie peste limita",IF(W644="WATCH","Failure peste limita",IF(AB644&lt;'Config_v6'!$B$16,"P finala sub prag",IF(V644&lt;'Config_v6'!$B$18,"Confidence sub prag",IF(E644="REPLAY","Exemplu retrospectiv; exclus din Top LIVE",IF(Y644="PASS","DEFENSIV validat",IF(W644="OOS PENDING","Eligibil; calibrare linie in monitorizare","Eligibil"))))))))))</x:f>
      </x:c>
      <x:c r="AI644" s="2" t="str">
        <x:f>IF(B644="","",'Calibrare_Linii'!V14)</x:f>
      </x:c>
      <x:c r="AJ644" s="2" t="str">
        <x:f>IF(B644="","",IF(AND('Calibrare_Linii'!T14="VALIDATED",AND('Calibrare_Linii'!H14=C644,ISNUMBER('Calibrare_Linii'!J14),'Calibrare_Linii'!J14&lt;='Input_Meci'!G51)),"DEFENSIVE VALIDATED",IF(AND('Calibrare_Linii'!S14="VALIDATED",AND('Calibrare_Linii'!H14=C644,ISNUMBER('Calibrare_Linii'!J14),'Calibrare_Linii'!J14&lt;='Input_Meci'!G51)),"TAIL VALIDATED","OOS PENDING")))</x:f>
      </x:c>
      <x:c r="AK644" s="2" t="n">
        <x:f>IF(J644&lt;&gt;"PASS",0,'Motor_Meciuri'!BR51)</x:f>
        <x:v>0</x:v>
      </x:c>
      <x:c r="AL644" s="2" t="n">
        <x:f>IF(J644&lt;&gt;"PASS",0,'Motor_Meciuri'!BS51)</x:f>
        <x:v>0</x:v>
      </x:c>
      <x:c r="AM644" s="2" t="n">
        <x:f>IF(J644&lt;&gt;"PASS",0,'Motor_Meciuri'!BT51)</x:f>
        <x:v>0</x:v>
      </x:c>
      <x:c r="AN644" s="2" t="str">
        <x:f>IF(M644="","",MAX(0,'Motor_Meciuri'!BF51-IF(L644&gt;'Config_v6'!$B$12,'Config_v6'!$B$37,IF(L644&gt;'Config_v6'!$B$11,'Config_v6'!$B$36,0))))</x:f>
      </x:c>
    </x:row>
    <x:row r="645" ht="21" customHeight="1">
      <x:c r="A645" s="2" t="n">
        <x:v>46</x:v>
      </x:c>
      <x:c r="B645" s="2" t="str">
        <x:f>IF('Motor_Meciuri'!A51="","",'Motor_Meciuri'!A51)</x:f>
      </x:c>
      <x:c r="C645" s="2" t="str">
        <x:f>IF(B645="","",'Motor_Meciuri'!B51)</x:f>
      </x:c>
      <x:c r="D645" s="2" t="str">
        <x:f>IF(B645="","",'Motor_Meciuri'!D51)</x:f>
      </x:c>
      <x:c r="E645" s="2" t="str">
        <x:f>IF(B645="","",'Motor_Meciuri'!E51)</x:f>
      </x:c>
      <x:c r="F645" s="2" t="str">
        <x:v>U13,5</x:v>
      </x:c>
      <x:c r="G645" s="2" t="str">
        <x:v>UNDER</x:v>
      </x:c>
      <x:c r="H645" s="2" t="n">
        <x:v>13</x:v>
      </x:c>
      <x:c r="I645" s="2" t="str">
        <x:f>IF(B645="","",'Motor_Meciuri'!H51)</x:f>
      </x:c>
      <x:c r="J645" s="2" t="str">
        <x:f>IF(B645="","",'Motor_Meciuri'!I51)</x:f>
      </x:c>
      <x:c r="K645" s="11" t="str">
        <x:f>IF(J645&lt;&gt;"PASS","",'Motor_Meciuri'!BD51)</x:f>
      </x:c>
      <x:c r="L645" s="11" t="str">
        <x:f>IF(J645&lt;&gt;"PASS","",'Motor_Meciuri'!AU51)</x:f>
      </x:c>
      <x:c r="M645" s="10" t="str">
        <x:f>IF(NOT(AND(J645="PASS",'Calibrare_Linii'!U15="VALID")),"",'Distributie'!AK51)</x:f>
      </x:c>
      <x:c r="N645" s="10" t="str">
        <x:f>IF(M645="","",MAX(0.01,MIN(0.99,0.5+(M645-0.5)*'Motor_Meciuri'!BG51*'Calibrare_Linii'!D15)))</x:f>
      </x:c>
      <x:c r="O645" s="10" t="str">
        <x:f>IF(M645="","",1-M645)</x:f>
      </x:c>
      <x:c r="P645" s="10" t="str">
        <x:f>IF(OR(NOT(AND(J645="PASS",'Calibrare_Linii'!U15="VALID")),AK645=0),""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*('Istoric_Nativ'!$Q$6:$Q$405&gt;H645))/AK645)</x:f>
      </x:c>
      <x:c r="Q645" s="10" t="str">
        <x:f>IF(OR(NOT(AND(J645="PASS",'Calibrare_Linii'!U15="VALID")),AL645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M51)+((('Istoric_Nativ'!$E$6:$E$405='Input_Meci'!E51)+('Istoric_Nativ'!$F$6:$F$405='Input_Meci'!E51))&gt;0)*('Istoric_Nativ'!$D$6:$D$405&gt;='Motor_Meciuri'!BN51))&gt;0)*('Istoric_Nativ'!$Q$6:$Q$405&gt;H645))/AL645)</x:f>
      </x:c>
      <x:c r="R645" s="10" t="str">
        <x:f>IF(OR(NOT(AND(J645="PASS",'Calibrare_Linii'!U15="VALID")),AM645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O51)+((('Istoric_Nativ'!$E$6:$E$405='Input_Meci'!E51)+('Istoric_Nativ'!$F$6:$F$405='Input_Meci'!E51))&gt;0)*('Istoric_Nativ'!$D$6:$D$405&gt;='Motor_Meciuri'!BP51))&gt;0)*('Istoric_Nativ'!$Q$6:$Q$405&gt;H645))/AM645)</x:f>
      </x:c>
      <x:c r="S645" s="10" t="str">
        <x:f>IF(M645="","",MAX(O645,P645,Q645,R645))</x:f>
      </x:c>
      <x:c r="T645" s="11" t="str">
        <x:f>IF(M645="","",MIN(100,S645*100*'Config_v6'!$B$44+MIN(100,L645/'Config_v6'!$B$13*100)*'Config_v6'!$B$45+(100-'Motor_Meciuri'!BF51)*'Config_v6'!$B$46+'Motor_Meciuri'!BH51*100*'Config_v6'!$B$47))</x:f>
      </x:c>
      <x:c r="U645" s="2" t="str">
        <x:f>IF(T645="","",IF(T645&lt;=20,1,IF(T645&lt;=40,2,IF(T645&lt;=60,3,IF(T645&lt;=80,4,5)))))</x:f>
      </x:c>
      <x:c r="V645" s="2" t="str">
        <x:f>IF(M645="","",MAX(0,'Motor_Meciuri'!BF51-IF(W645="OOS PENDING",'Config_v6'!$B$35,0)-IF(L645&gt;'Config_v6'!$B$12,'Config_v6'!$B$37,IF(L645&gt;'Config_v6'!$B$11,'Config_v6'!$B$36,0))))</x:f>
      </x:c>
      <x:c r="W645" s="2" t="str">
        <x:f>IF(B645="","",IF(I645&lt;&gt;"READY","NOT RELEASED",IF(NOT(AND(J645="PASS",'Calibrare_Linii'!U15="VALID")),"INVALID",IF(NOT(AND('Calibrare_Linii'!S15="VALIDATED",AND('Calibrare_Linii'!H15=C645,ISNUMBER('Calibrare_Linii'!J15),'Calibrare_Linii'!J15&lt;='Input_Meci'!G51))),"OOS PENDING",IF(S645&lt;='Calibrare_Linii'!E15,"PASS",IF(S645&lt;='Calibrare_Linii'!F15,"PENALTY","WATCH"))))))</x:f>
      </x:c>
      <x:c r="X645" s="2" t="str">
        <x:f>IF(M645="","",IF(AND(AND(J645="PASS",'Calibrare_Linii'!U15="VALID"),'Motor_Meciuri'!K51=12,'Motor_Meciuri'!L51=12,'Motor_Meciuri'!M51="NO",'Motor_Meciuri'!BL51='Motor_Meciuri'!C51,AB645&gt;='Config_v6'!$B$50,AN645&gt;='Config_v6'!$B$51,T645&lt;='Config_v6'!$B$52,L645&lt;='Config_v6'!$B$53,ISNUMBER('Calibrare_Linii'!E15),S645&lt;='Calibrare_Linii'!E15,SUM(AK645:AM645)&gt;0),"CANDIDATE","NO"))</x:f>
      </x:c>
      <x:c r="Y645" s="2" t="str">
        <x:f>IF(B645="","",IF(I645&lt;&gt;"READY","NOT RELEASED",IF(AND(X645="CANDIDATE",V645&gt;='Config_v6'!$B$51,W645="PASS",'Calibrare_Linii'!T15="VALIDATED",AND('Calibrare_Linii'!H15=C645,ISNUMBER('Calibrare_Linii'!J15),'Calibrare_Linii'!J15&lt;='Input_Meci'!G51)),"PASS",IF(X645="CANDIDATE","OOS PENDING","FAIL"))))</x:f>
      </x:c>
      <x:c r="Z645" s="2" t="str">
        <x:f>IF(B645="","",IF(I645&lt;&gt;"READY","",IF(OR(NOT(AND(J645="PASS",'Calibrare_Linii'!U15="VALID")),L645&gt;'Config_v6'!$B$13,W645="WATCH"),5,IF(Y645="PASS",1,MIN(5,MAX('Config_v6'!$B$42,U645)+IF(W645="PENALTY",1,0))))))</x:f>
      </x:c>
      <x:c r="AA645" s="2" t="str">
        <x:f>IF(B645="","",IF(I645&lt;&gt;"READY","NOT RELEASED",IF(Z645=5,"NO BET",IF(OR(AB645&lt;'Config_v6'!$B$16,V645&lt;'Config_v6'!$B$18),"WATCH",IF(Z645=1,"DEFENSIV",IF(Z645=2,"PRUDENT",IF(Z645=3,"MODERAT","RIDICAT")))))))</x:f>
      </x:c>
      <x:c r="AB645" s="10" t="str">
        <x:f>IF(N645="","",MIN(N645,1-S645))</x:f>
      </x:c>
      <x:c r="AC645" s="2" t="str">
        <x:f>IF(AD645&lt;&gt;1,"",COUNTIFS($Z$636:$Z$649,"&lt;"&amp;Z645,$AD$636:$AD$649,1)+COUNTIFS($Z$636:$Z$649,Z645,$AB$636:$AB$649,"&gt;"&amp;AB645,$AD$636:$AD$649,1)+COUNTIFS($Z$636:$Z$649,Z645,$AB$636:$AB$649,AB645,$V$636:$V$649,"&gt;"&amp;V645,$AD$636:$AD$649,1)+COUNTIFS($Z$636:Z645,Z645,$AB$636:AB645,AB645,$V$636:V645,V645,$AD$636:AD645,1))</x:f>
      </x:c>
      <x:c r="AD645" s="2" t="n">
        <x:f>IF(OR(AA645="DEFENSIV",AA645="PRUDENT",AA645="MODERAT",AA645="RIDICAT"),1,0)</x:f>
        <x:v>0</x:v>
      </x:c>
      <x:c r="AE645" s="2" t="str">
        <x:f>IF(AD645&lt;&gt;1,"NO",IF(W645="PASS","YES",IF(W645="OOS PENDING","CONDITIONAL","NO")))</x:f>
        <x:v>NO</x:v>
      </x:c>
      <x:c r="AF645" s="2" t="n">
        <x:f>IF(AND(AD645=1,AC645=1,E645="LIVE"),1,0)</x:f>
        <x:v>0</x:v>
      </x:c>
      <x:c r="AG645" s="2" t="str">
        <x:f>IF(AF645&lt;&gt;1,"",'Dashboard'!P71)</x:f>
      </x:c>
      <x:c r="AH645" s="2" t="str">
        <x:f>IF(B645="","",IF(J645&lt;&gt;"PASS",'Motor_Meciuri'!J51,IF('Calibrare_Linii'!U15&lt;&gt;"VALID","Parametri linie invalizi",IF(L645&gt;'Config_v6'!$B$13,"Dispersie peste limita",IF(W645="WATCH","Failure peste limita",IF(AB645&lt;'Config_v6'!$B$16,"P finala sub prag",IF(V645&lt;'Config_v6'!$B$18,"Confidence sub prag",IF(E645="REPLAY","Exemplu retrospectiv; exclus din Top LIVE",IF(Y645="PASS","DEFENSIV validat",IF(W645="OOS PENDING","Eligibil; calibrare linie in monitorizare","Eligibil"))))))))))</x:f>
      </x:c>
      <x:c r="AI645" s="2" t="str">
        <x:f>IF(B645="","",'Calibrare_Linii'!V15)</x:f>
      </x:c>
      <x:c r="AJ645" s="2" t="str">
        <x:f>IF(B645="","",IF(AND('Calibrare_Linii'!T15="VALIDATED",AND('Calibrare_Linii'!H15=C645,ISNUMBER('Calibrare_Linii'!J15),'Calibrare_Linii'!J15&lt;='Input_Meci'!G51)),"DEFENSIVE VALIDATED",IF(AND('Calibrare_Linii'!S15="VALIDATED",AND('Calibrare_Linii'!H15=C645,ISNUMBER('Calibrare_Linii'!J15),'Calibrare_Linii'!J15&lt;='Input_Meci'!G51)),"TAIL VALIDATED","OOS PENDING")))</x:f>
      </x:c>
      <x:c r="AK645" s="2" t="n">
        <x:f>IF(J645&lt;&gt;"PASS",0,'Motor_Meciuri'!BR51)</x:f>
        <x:v>0</x:v>
      </x:c>
      <x:c r="AL645" s="2" t="n">
        <x:f>IF(J645&lt;&gt;"PASS",0,'Motor_Meciuri'!BS51)</x:f>
        <x:v>0</x:v>
      </x:c>
      <x:c r="AM645" s="2" t="n">
        <x:f>IF(J645&lt;&gt;"PASS",0,'Motor_Meciuri'!BT51)</x:f>
        <x:v>0</x:v>
      </x:c>
      <x:c r="AN645" s="2" t="str">
        <x:f>IF(M645="","",MAX(0,'Motor_Meciuri'!BF51-IF(L645&gt;'Config_v6'!$B$12,'Config_v6'!$B$37,IF(L645&gt;'Config_v6'!$B$11,'Config_v6'!$B$36,0))))</x:f>
      </x:c>
    </x:row>
    <x:row r="646" ht="21" customHeight="1">
      <x:c r="A646" s="2" t="n">
        <x:v>46</x:v>
      </x:c>
      <x:c r="B646" s="2" t="str">
        <x:f>IF('Motor_Meciuri'!A51="","",'Motor_Meciuri'!A51)</x:f>
      </x:c>
      <x:c r="C646" s="2" t="str">
        <x:f>IF(B646="","",'Motor_Meciuri'!B51)</x:f>
      </x:c>
      <x:c r="D646" s="2" t="str">
        <x:f>IF(B646="","",'Motor_Meciuri'!D51)</x:f>
      </x:c>
      <x:c r="E646" s="2" t="str">
        <x:f>IF(B646="","",'Motor_Meciuri'!E51)</x:f>
      </x:c>
      <x:c r="F646" s="2" t="str">
        <x:v>U14,5</x:v>
      </x:c>
      <x:c r="G646" s="2" t="str">
        <x:v>UNDER</x:v>
      </x:c>
      <x:c r="H646" s="2" t="n">
        <x:v>14</x:v>
      </x:c>
      <x:c r="I646" s="2" t="str">
        <x:f>IF(B646="","",'Motor_Meciuri'!H51)</x:f>
      </x:c>
      <x:c r="J646" s="2" t="str">
        <x:f>IF(B646="","",'Motor_Meciuri'!I51)</x:f>
      </x:c>
      <x:c r="K646" s="11" t="str">
        <x:f>IF(J646&lt;&gt;"PASS","",'Motor_Meciuri'!BD51)</x:f>
      </x:c>
      <x:c r="L646" s="11" t="str">
        <x:f>IF(J646&lt;&gt;"PASS","",'Motor_Meciuri'!AU51)</x:f>
      </x:c>
      <x:c r="M646" s="10" t="str">
        <x:f>IF(NOT(AND(J646="PASS",'Calibrare_Linii'!U16="VALID")),"",'Distributie'!AL51)</x:f>
      </x:c>
      <x:c r="N646" s="10" t="str">
        <x:f>IF(M646="","",MAX(0.01,MIN(0.99,0.5+(M646-0.5)*'Motor_Meciuri'!BG51*'Calibrare_Linii'!D16)))</x:f>
      </x:c>
      <x:c r="O646" s="10" t="str">
        <x:f>IF(M646="","",1-M646)</x:f>
      </x:c>
      <x:c r="P646" s="10" t="str">
        <x:f>IF(OR(NOT(AND(J646="PASS",'Calibrare_Linii'!U16="VALID")),AK646=0),""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*('Istoric_Nativ'!$Q$6:$Q$405&gt;H646))/AK646)</x:f>
      </x:c>
      <x:c r="Q646" s="10" t="str">
        <x:f>IF(OR(NOT(AND(J646="PASS",'Calibrare_Linii'!U16="VALID")),AL646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M51)+((('Istoric_Nativ'!$E$6:$E$405='Input_Meci'!E51)+('Istoric_Nativ'!$F$6:$F$405='Input_Meci'!E51))&gt;0)*('Istoric_Nativ'!$D$6:$D$405&gt;='Motor_Meciuri'!BN51))&gt;0)*('Istoric_Nativ'!$Q$6:$Q$405&gt;H646))/AL646)</x:f>
      </x:c>
      <x:c r="R646" s="10" t="str">
        <x:f>IF(OR(NOT(AND(J646="PASS",'Calibrare_Linii'!U16="VALID")),AM646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O51)+((('Istoric_Nativ'!$E$6:$E$405='Input_Meci'!E51)+('Istoric_Nativ'!$F$6:$F$405='Input_Meci'!E51))&gt;0)*('Istoric_Nativ'!$D$6:$D$405&gt;='Motor_Meciuri'!BP51))&gt;0)*('Istoric_Nativ'!$Q$6:$Q$405&gt;H646))/AM646)</x:f>
      </x:c>
      <x:c r="S646" s="10" t="str">
        <x:f>IF(M646="","",MAX(O646,P646,Q646,R646))</x:f>
      </x:c>
      <x:c r="T646" s="11" t="str">
        <x:f>IF(M646="","",MIN(100,S646*100*'Config_v6'!$B$44+MIN(100,L646/'Config_v6'!$B$13*100)*'Config_v6'!$B$45+(100-'Motor_Meciuri'!BF51)*'Config_v6'!$B$46+'Motor_Meciuri'!BH51*100*'Config_v6'!$B$47))</x:f>
      </x:c>
      <x:c r="U646" s="2" t="str">
        <x:f>IF(T646="","",IF(T646&lt;=20,1,IF(T646&lt;=40,2,IF(T646&lt;=60,3,IF(T646&lt;=80,4,5)))))</x:f>
      </x:c>
      <x:c r="V646" s="2" t="str">
        <x:f>IF(M646="","",MAX(0,'Motor_Meciuri'!BF51-IF(W646="OOS PENDING",'Config_v6'!$B$35,0)-IF(L646&gt;'Config_v6'!$B$12,'Config_v6'!$B$37,IF(L646&gt;'Config_v6'!$B$11,'Config_v6'!$B$36,0))))</x:f>
      </x:c>
      <x:c r="W646" s="2" t="str">
        <x:f>IF(B646="","",IF(I646&lt;&gt;"READY","NOT RELEASED",IF(NOT(AND(J646="PASS",'Calibrare_Linii'!U16="VALID")),"INVALID",IF(NOT(AND('Calibrare_Linii'!S16="VALIDATED",AND('Calibrare_Linii'!H16=C646,ISNUMBER('Calibrare_Linii'!J16),'Calibrare_Linii'!J16&lt;='Input_Meci'!G51))),"OOS PENDING",IF(S646&lt;='Calibrare_Linii'!E16,"PASS",IF(S646&lt;='Calibrare_Linii'!F16,"PENALTY","WATCH"))))))</x:f>
      </x:c>
      <x:c r="X646" s="2" t="str">
        <x:f>IF(M646="","",IF(AND(AND(J646="PASS",'Calibrare_Linii'!U16="VALID"),'Motor_Meciuri'!K51=12,'Motor_Meciuri'!L51=12,'Motor_Meciuri'!M51="NO",'Motor_Meciuri'!BL51='Motor_Meciuri'!C51,AB646&gt;='Config_v6'!$B$50,AN646&gt;='Config_v6'!$B$51,T646&lt;='Config_v6'!$B$52,L646&lt;='Config_v6'!$B$53,ISNUMBER('Calibrare_Linii'!E16),S646&lt;='Calibrare_Linii'!E16,SUM(AK646:AM646)&gt;0),"CANDIDATE","NO"))</x:f>
      </x:c>
      <x:c r="Y646" s="2" t="str">
        <x:f>IF(B646="","",IF(I646&lt;&gt;"READY","NOT RELEASED",IF(AND(X646="CANDIDATE",V646&gt;='Config_v6'!$B$51,W646="PASS",'Calibrare_Linii'!T16="VALIDATED",AND('Calibrare_Linii'!H16=C646,ISNUMBER('Calibrare_Linii'!J16),'Calibrare_Linii'!J16&lt;='Input_Meci'!G51)),"PASS",IF(X646="CANDIDATE","OOS PENDING","FAIL"))))</x:f>
      </x:c>
      <x:c r="Z646" s="2" t="str">
        <x:f>IF(B646="","",IF(I646&lt;&gt;"READY","",IF(OR(NOT(AND(J646="PASS",'Calibrare_Linii'!U16="VALID")),L646&gt;'Config_v6'!$B$13,W646="WATCH"),5,IF(Y646="PASS",1,MIN(5,MAX('Config_v6'!$B$42,U646)+IF(W646="PENALTY",1,0))))))</x:f>
      </x:c>
      <x:c r="AA646" s="2" t="str">
        <x:f>IF(B646="","",IF(I646&lt;&gt;"READY","NOT RELEASED",IF(Z646=5,"NO BET",IF(OR(AB646&lt;'Config_v6'!$B$16,V646&lt;'Config_v6'!$B$18),"WATCH",IF(Z646=1,"DEFENSIV",IF(Z646=2,"PRUDENT",IF(Z646=3,"MODERAT","RIDICAT")))))))</x:f>
      </x:c>
      <x:c r="AB646" s="10" t="str">
        <x:f>IF(N646="","",MIN(N646,1-S646))</x:f>
      </x:c>
      <x:c r="AC646" s="2" t="str">
        <x:f>IF(AD646&lt;&gt;1,"",COUNTIFS($Z$636:$Z$649,"&lt;"&amp;Z646,$AD$636:$AD$649,1)+COUNTIFS($Z$636:$Z$649,Z646,$AB$636:$AB$649,"&gt;"&amp;AB646,$AD$636:$AD$649,1)+COUNTIFS($Z$636:$Z$649,Z646,$AB$636:$AB$649,AB646,$V$636:$V$649,"&gt;"&amp;V646,$AD$636:$AD$649,1)+COUNTIFS($Z$636:Z646,Z646,$AB$636:AB646,AB646,$V$636:V646,V646,$AD$636:AD646,1))</x:f>
      </x:c>
      <x:c r="AD646" s="2" t="n">
        <x:f>IF(OR(AA646="DEFENSIV",AA646="PRUDENT",AA646="MODERAT",AA646="RIDICAT"),1,0)</x:f>
        <x:v>0</x:v>
      </x:c>
      <x:c r="AE646" s="2" t="str">
        <x:f>IF(AD646&lt;&gt;1,"NO",IF(W646="PASS","YES",IF(W646="OOS PENDING","CONDITIONAL","NO")))</x:f>
        <x:v>NO</x:v>
      </x:c>
      <x:c r="AF646" s="2" t="n">
        <x:f>IF(AND(AD646=1,AC646=1,E646="LIVE"),1,0)</x:f>
        <x:v>0</x:v>
      </x:c>
      <x:c r="AG646" s="2" t="str">
        <x:f>IF(AF646&lt;&gt;1,"",'Dashboard'!P71)</x:f>
      </x:c>
      <x:c r="AH646" s="2" t="str">
        <x:f>IF(B646="","",IF(J646&lt;&gt;"PASS",'Motor_Meciuri'!J51,IF('Calibrare_Linii'!U16&lt;&gt;"VALID","Parametri linie invalizi",IF(L646&gt;'Config_v6'!$B$13,"Dispersie peste limita",IF(W646="WATCH","Failure peste limita",IF(AB646&lt;'Config_v6'!$B$16,"P finala sub prag",IF(V646&lt;'Config_v6'!$B$18,"Confidence sub prag",IF(E646="REPLAY","Exemplu retrospectiv; exclus din Top LIVE",IF(Y646="PASS","DEFENSIV validat",IF(W646="OOS PENDING","Eligibil; calibrare linie in monitorizare","Eligibil"))))))))))</x:f>
      </x:c>
      <x:c r="AI646" s="2" t="str">
        <x:f>IF(B646="","",'Calibrare_Linii'!V16)</x:f>
      </x:c>
      <x:c r="AJ646" s="2" t="str">
        <x:f>IF(B646="","",IF(AND('Calibrare_Linii'!T16="VALIDATED",AND('Calibrare_Linii'!H16=C646,ISNUMBER('Calibrare_Linii'!J16),'Calibrare_Linii'!J16&lt;='Input_Meci'!G51)),"DEFENSIVE VALIDATED",IF(AND('Calibrare_Linii'!S16="VALIDATED",AND('Calibrare_Linii'!H16=C646,ISNUMBER('Calibrare_Linii'!J16),'Calibrare_Linii'!J16&lt;='Input_Meci'!G51)),"TAIL VALIDATED","OOS PENDING")))</x:f>
      </x:c>
      <x:c r="AK646" s="2" t="n">
        <x:f>IF(J646&lt;&gt;"PASS",0,'Motor_Meciuri'!BR51)</x:f>
        <x:v>0</x:v>
      </x:c>
      <x:c r="AL646" s="2" t="n">
        <x:f>IF(J646&lt;&gt;"PASS",0,'Motor_Meciuri'!BS51)</x:f>
        <x:v>0</x:v>
      </x:c>
      <x:c r="AM646" s="2" t="n">
        <x:f>IF(J646&lt;&gt;"PASS",0,'Motor_Meciuri'!BT51)</x:f>
        <x:v>0</x:v>
      </x:c>
      <x:c r="AN646" s="2" t="str">
        <x:f>IF(M646="","",MAX(0,'Motor_Meciuri'!BF51-IF(L646&gt;'Config_v6'!$B$12,'Config_v6'!$B$37,IF(L646&gt;'Config_v6'!$B$11,'Config_v6'!$B$36,0))))</x:f>
      </x:c>
    </x:row>
    <x:row r="647" ht="21" customHeight="1">
      <x:c r="A647" s="2" t="n">
        <x:v>46</x:v>
      </x:c>
      <x:c r="B647" s="2" t="str">
        <x:f>IF('Motor_Meciuri'!A51="","",'Motor_Meciuri'!A51)</x:f>
      </x:c>
      <x:c r="C647" s="2" t="str">
        <x:f>IF(B647="","",'Motor_Meciuri'!B51)</x:f>
      </x:c>
      <x:c r="D647" s="2" t="str">
        <x:f>IF(B647="","",'Motor_Meciuri'!D51)</x:f>
      </x:c>
      <x:c r="E647" s="2" t="str">
        <x:f>IF(B647="","",'Motor_Meciuri'!E51)</x:f>
      </x:c>
      <x:c r="F647" s="2" t="str">
        <x:v>U15,5</x:v>
      </x:c>
      <x:c r="G647" s="2" t="str">
        <x:v>UNDER</x:v>
      </x:c>
      <x:c r="H647" s="2" t="n">
        <x:v>15</x:v>
      </x:c>
      <x:c r="I647" s="2" t="str">
        <x:f>IF(B647="","",'Motor_Meciuri'!H51)</x:f>
      </x:c>
      <x:c r="J647" s="2" t="str">
        <x:f>IF(B647="","",'Motor_Meciuri'!I51)</x:f>
      </x:c>
      <x:c r="K647" s="11" t="str">
        <x:f>IF(J647&lt;&gt;"PASS","",'Motor_Meciuri'!BD51)</x:f>
      </x:c>
      <x:c r="L647" s="11" t="str">
        <x:f>IF(J647&lt;&gt;"PASS","",'Motor_Meciuri'!AU51)</x:f>
      </x:c>
      <x:c r="M647" s="10" t="str">
        <x:f>IF(NOT(AND(J647="PASS",'Calibrare_Linii'!U17="VALID")),"",'Distributie'!AM51)</x:f>
      </x:c>
      <x:c r="N647" s="10" t="str">
        <x:f>IF(M647="","",MAX(0.01,MIN(0.99,0.5+(M647-0.5)*'Motor_Meciuri'!BG51*'Calibrare_Linii'!D17)))</x:f>
      </x:c>
      <x:c r="O647" s="10" t="str">
        <x:f>IF(M647="","",1-M647)</x:f>
      </x:c>
      <x:c r="P647" s="10" t="str">
        <x:f>IF(OR(NOT(AND(J647="PASS",'Calibrare_Linii'!U17="VALID")),AK647=0),""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*('Istoric_Nativ'!$Q$6:$Q$405&gt;H647))/AK647)</x:f>
      </x:c>
      <x:c r="Q647" s="10" t="str">
        <x:f>IF(OR(NOT(AND(J647="PASS",'Calibrare_Linii'!U17="VALID")),AL647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M51)+((('Istoric_Nativ'!$E$6:$E$405='Input_Meci'!E51)+('Istoric_Nativ'!$F$6:$F$405='Input_Meci'!E51))&gt;0)*('Istoric_Nativ'!$D$6:$D$405&gt;='Motor_Meciuri'!BN51))&gt;0)*('Istoric_Nativ'!$Q$6:$Q$405&gt;H647))/AL647)</x:f>
      </x:c>
      <x:c r="R647" s="10" t="str">
        <x:f>IF(OR(NOT(AND(J647="PASS",'Calibrare_Linii'!U17="VALID")),AM647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O51)+((('Istoric_Nativ'!$E$6:$E$405='Input_Meci'!E51)+('Istoric_Nativ'!$F$6:$F$405='Input_Meci'!E51))&gt;0)*('Istoric_Nativ'!$D$6:$D$405&gt;='Motor_Meciuri'!BP51))&gt;0)*('Istoric_Nativ'!$Q$6:$Q$405&gt;H647))/AM647)</x:f>
      </x:c>
      <x:c r="S647" s="10" t="str">
        <x:f>IF(M647="","",MAX(O647,P647,Q647,R647))</x:f>
      </x:c>
      <x:c r="T647" s="11" t="str">
        <x:f>IF(M647="","",MIN(100,S647*100*'Config_v6'!$B$44+MIN(100,L647/'Config_v6'!$B$13*100)*'Config_v6'!$B$45+(100-'Motor_Meciuri'!BF51)*'Config_v6'!$B$46+'Motor_Meciuri'!BH51*100*'Config_v6'!$B$47))</x:f>
      </x:c>
      <x:c r="U647" s="2" t="str">
        <x:f>IF(T647="","",IF(T647&lt;=20,1,IF(T647&lt;=40,2,IF(T647&lt;=60,3,IF(T647&lt;=80,4,5)))))</x:f>
      </x:c>
      <x:c r="V647" s="2" t="str">
        <x:f>IF(M647="","",MAX(0,'Motor_Meciuri'!BF51-IF(W647="OOS PENDING",'Config_v6'!$B$35,0)-IF(L647&gt;'Config_v6'!$B$12,'Config_v6'!$B$37,IF(L647&gt;'Config_v6'!$B$11,'Config_v6'!$B$36,0))))</x:f>
      </x:c>
      <x:c r="W647" s="2" t="str">
        <x:f>IF(B647="","",IF(I647&lt;&gt;"READY","NOT RELEASED",IF(NOT(AND(J647="PASS",'Calibrare_Linii'!U17="VALID")),"INVALID",IF(NOT(AND('Calibrare_Linii'!S17="VALIDATED",AND('Calibrare_Linii'!H17=C647,ISNUMBER('Calibrare_Linii'!J17),'Calibrare_Linii'!J17&lt;='Input_Meci'!G51))),"OOS PENDING",IF(S647&lt;='Calibrare_Linii'!E17,"PASS",IF(S647&lt;='Calibrare_Linii'!F17,"PENALTY","WATCH"))))))</x:f>
      </x:c>
      <x:c r="X647" s="2" t="str">
        <x:f>IF(M647="","",IF(AND(AND(J647="PASS",'Calibrare_Linii'!U17="VALID"),'Motor_Meciuri'!K51=12,'Motor_Meciuri'!L51=12,'Motor_Meciuri'!M51="NO",'Motor_Meciuri'!BL51='Motor_Meciuri'!C51,AB647&gt;='Config_v6'!$B$50,AN647&gt;='Config_v6'!$B$51,T647&lt;='Config_v6'!$B$52,L647&lt;='Config_v6'!$B$53,ISNUMBER('Calibrare_Linii'!E17),S647&lt;='Calibrare_Linii'!E17,SUM(AK647:AM647)&gt;0),"CANDIDATE","NO"))</x:f>
      </x:c>
      <x:c r="Y647" s="2" t="str">
        <x:f>IF(B647="","",IF(I647&lt;&gt;"READY","NOT RELEASED",IF(AND(X647="CANDIDATE",V647&gt;='Config_v6'!$B$51,W647="PASS",'Calibrare_Linii'!T17="VALIDATED",AND('Calibrare_Linii'!H17=C647,ISNUMBER('Calibrare_Linii'!J17),'Calibrare_Linii'!J17&lt;='Input_Meci'!G51)),"PASS",IF(X647="CANDIDATE","OOS PENDING","FAIL"))))</x:f>
      </x:c>
      <x:c r="Z647" s="2" t="str">
        <x:f>IF(B647="","",IF(I647&lt;&gt;"READY","",IF(OR(NOT(AND(J647="PASS",'Calibrare_Linii'!U17="VALID")),L647&gt;'Config_v6'!$B$13,W647="WATCH"),5,IF(Y647="PASS",1,MIN(5,MAX('Config_v6'!$B$42,U647)+IF(W647="PENALTY",1,0))))))</x:f>
      </x:c>
      <x:c r="AA647" s="2" t="str">
        <x:f>IF(B647="","",IF(I647&lt;&gt;"READY","NOT RELEASED",IF(Z647=5,"NO BET",IF(OR(AB647&lt;'Config_v6'!$B$16,V647&lt;'Config_v6'!$B$18),"WATCH",IF(Z647=1,"DEFENSIV",IF(Z647=2,"PRUDENT",IF(Z647=3,"MODERAT","RIDICAT")))))))</x:f>
      </x:c>
      <x:c r="AB647" s="10" t="str">
        <x:f>IF(N647="","",MIN(N647,1-S647))</x:f>
      </x:c>
      <x:c r="AC647" s="2" t="str">
        <x:f>IF(AD647&lt;&gt;1,"",COUNTIFS($Z$636:$Z$649,"&lt;"&amp;Z647,$AD$636:$AD$649,1)+COUNTIFS($Z$636:$Z$649,Z647,$AB$636:$AB$649,"&gt;"&amp;AB647,$AD$636:$AD$649,1)+COUNTIFS($Z$636:$Z$649,Z647,$AB$636:$AB$649,AB647,$V$636:$V$649,"&gt;"&amp;V647,$AD$636:$AD$649,1)+COUNTIFS($Z$636:Z647,Z647,$AB$636:AB647,AB647,$V$636:V647,V647,$AD$636:AD647,1))</x:f>
      </x:c>
      <x:c r="AD647" s="2" t="n">
        <x:f>IF(OR(AA647="DEFENSIV",AA647="PRUDENT",AA647="MODERAT",AA647="RIDICAT"),1,0)</x:f>
        <x:v>0</x:v>
      </x:c>
      <x:c r="AE647" s="2" t="str">
        <x:f>IF(AD647&lt;&gt;1,"NO",IF(W647="PASS","YES",IF(W647="OOS PENDING","CONDITIONAL","NO")))</x:f>
        <x:v>NO</x:v>
      </x:c>
      <x:c r="AF647" s="2" t="n">
        <x:f>IF(AND(AD647=1,AC647=1,E647="LIVE"),1,0)</x:f>
        <x:v>0</x:v>
      </x:c>
      <x:c r="AG647" s="2" t="str">
        <x:f>IF(AF647&lt;&gt;1,"",'Dashboard'!P71)</x:f>
      </x:c>
      <x:c r="AH647" s="2" t="str">
        <x:f>IF(B647="","",IF(J647&lt;&gt;"PASS",'Motor_Meciuri'!J51,IF('Calibrare_Linii'!U17&lt;&gt;"VALID","Parametri linie invalizi",IF(L647&gt;'Config_v6'!$B$13,"Dispersie peste limita",IF(W647="WATCH","Failure peste limita",IF(AB647&lt;'Config_v6'!$B$16,"P finala sub prag",IF(V647&lt;'Config_v6'!$B$18,"Confidence sub prag",IF(E647="REPLAY","Exemplu retrospectiv; exclus din Top LIVE",IF(Y647="PASS","DEFENSIV validat",IF(W647="OOS PENDING","Eligibil; calibrare linie in monitorizare","Eligibil"))))))))))</x:f>
      </x:c>
      <x:c r="AI647" s="2" t="str">
        <x:f>IF(B647="","",'Calibrare_Linii'!V17)</x:f>
      </x:c>
      <x:c r="AJ647" s="2" t="str">
        <x:f>IF(B647="","",IF(AND('Calibrare_Linii'!T17="VALIDATED",AND('Calibrare_Linii'!H17=C647,ISNUMBER('Calibrare_Linii'!J17),'Calibrare_Linii'!J17&lt;='Input_Meci'!G51)),"DEFENSIVE VALIDATED",IF(AND('Calibrare_Linii'!S17="VALIDATED",AND('Calibrare_Linii'!H17=C647,ISNUMBER('Calibrare_Linii'!J17),'Calibrare_Linii'!J17&lt;='Input_Meci'!G51)),"TAIL VALIDATED","OOS PENDING")))</x:f>
      </x:c>
      <x:c r="AK647" s="2" t="n">
        <x:f>IF(J647&lt;&gt;"PASS",0,'Motor_Meciuri'!BR51)</x:f>
        <x:v>0</x:v>
      </x:c>
      <x:c r="AL647" s="2" t="n">
        <x:f>IF(J647&lt;&gt;"PASS",0,'Motor_Meciuri'!BS51)</x:f>
        <x:v>0</x:v>
      </x:c>
      <x:c r="AM647" s="2" t="n">
        <x:f>IF(J647&lt;&gt;"PASS",0,'Motor_Meciuri'!BT51)</x:f>
        <x:v>0</x:v>
      </x:c>
      <x:c r="AN647" s="2" t="str">
        <x:f>IF(M647="","",MAX(0,'Motor_Meciuri'!BF51-IF(L647&gt;'Config_v6'!$B$12,'Config_v6'!$B$37,IF(L647&gt;'Config_v6'!$B$11,'Config_v6'!$B$36,0))))</x:f>
      </x:c>
    </x:row>
    <x:row r="648" ht="21" customHeight="1">
      <x:c r="A648" s="2" t="n">
        <x:v>46</x:v>
      </x:c>
      <x:c r="B648" s="2" t="str">
        <x:f>IF('Motor_Meciuri'!A51="","",'Motor_Meciuri'!A51)</x:f>
      </x:c>
      <x:c r="C648" s="2" t="str">
        <x:f>IF(B648="","",'Motor_Meciuri'!B51)</x:f>
      </x:c>
      <x:c r="D648" s="2" t="str">
        <x:f>IF(B648="","",'Motor_Meciuri'!D51)</x:f>
      </x:c>
      <x:c r="E648" s="2" t="str">
        <x:f>IF(B648="","",'Motor_Meciuri'!E51)</x:f>
      </x:c>
      <x:c r="F648" s="2" t="str">
        <x:v>U16,5</x:v>
      </x:c>
      <x:c r="G648" s="2" t="str">
        <x:v>UNDER</x:v>
      </x:c>
      <x:c r="H648" s="2" t="n">
        <x:v>16</x:v>
      </x:c>
      <x:c r="I648" s="2" t="str">
        <x:f>IF(B648="","",'Motor_Meciuri'!H51)</x:f>
      </x:c>
      <x:c r="J648" s="2" t="str">
        <x:f>IF(B648="","",'Motor_Meciuri'!I51)</x:f>
      </x:c>
      <x:c r="K648" s="11" t="str">
        <x:f>IF(J648&lt;&gt;"PASS","",'Motor_Meciuri'!BD51)</x:f>
      </x:c>
      <x:c r="L648" s="11" t="str">
        <x:f>IF(J648&lt;&gt;"PASS","",'Motor_Meciuri'!AU51)</x:f>
      </x:c>
      <x:c r="M648" s="10" t="str">
        <x:f>IF(NOT(AND(J648="PASS",'Calibrare_Linii'!U18="VALID")),"",'Distributie'!AN51)</x:f>
      </x:c>
      <x:c r="N648" s="10" t="str">
        <x:f>IF(M648="","",MAX(0.01,MIN(0.99,0.5+(M648-0.5)*'Motor_Meciuri'!BG51*'Calibrare_Linii'!D18)))</x:f>
      </x:c>
      <x:c r="O648" s="10" t="str">
        <x:f>IF(M648="","",1-M648)</x:f>
      </x:c>
      <x:c r="P648" s="10" t="str">
        <x:f>IF(OR(NOT(AND(J648="PASS",'Calibrare_Linii'!U18="VALID")),AK648=0),""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*('Istoric_Nativ'!$Q$6:$Q$405&gt;H648))/AK648)</x:f>
      </x:c>
      <x:c r="Q648" s="10" t="str">
        <x:f>IF(OR(NOT(AND(J648="PASS",'Calibrare_Linii'!U18="VALID")),AL648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M51)+((('Istoric_Nativ'!$E$6:$E$405='Input_Meci'!E51)+('Istoric_Nativ'!$F$6:$F$405='Input_Meci'!E51))&gt;0)*('Istoric_Nativ'!$D$6:$D$405&gt;='Motor_Meciuri'!BN51))&gt;0)*('Istoric_Nativ'!$Q$6:$Q$405&gt;H648))/AL648)</x:f>
      </x:c>
      <x:c r="R648" s="10" t="str">
        <x:f>IF(OR(NOT(AND(J648="PASS",'Calibrare_Linii'!U18="VALID")),AM648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O51)+((('Istoric_Nativ'!$E$6:$E$405='Input_Meci'!E51)+('Istoric_Nativ'!$F$6:$F$405='Input_Meci'!E51))&gt;0)*('Istoric_Nativ'!$D$6:$D$405&gt;='Motor_Meciuri'!BP51))&gt;0)*('Istoric_Nativ'!$Q$6:$Q$405&gt;H648))/AM648)</x:f>
      </x:c>
      <x:c r="S648" s="10" t="str">
        <x:f>IF(M648="","",MAX(O648,P648,Q648,R648))</x:f>
      </x:c>
      <x:c r="T648" s="11" t="str">
        <x:f>IF(M648="","",MIN(100,S648*100*'Config_v6'!$B$44+MIN(100,L648/'Config_v6'!$B$13*100)*'Config_v6'!$B$45+(100-'Motor_Meciuri'!BF51)*'Config_v6'!$B$46+'Motor_Meciuri'!BH51*100*'Config_v6'!$B$47))</x:f>
      </x:c>
      <x:c r="U648" s="2" t="str">
        <x:f>IF(T648="","",IF(T648&lt;=20,1,IF(T648&lt;=40,2,IF(T648&lt;=60,3,IF(T648&lt;=80,4,5)))))</x:f>
      </x:c>
      <x:c r="V648" s="2" t="str">
        <x:f>IF(M648="","",MAX(0,'Motor_Meciuri'!BF51-IF(W648="OOS PENDING",'Config_v6'!$B$35,0)-IF(L648&gt;'Config_v6'!$B$12,'Config_v6'!$B$37,IF(L648&gt;'Config_v6'!$B$11,'Config_v6'!$B$36,0))))</x:f>
      </x:c>
      <x:c r="W648" s="2" t="str">
        <x:f>IF(B648="","",IF(I648&lt;&gt;"READY","NOT RELEASED",IF(NOT(AND(J648="PASS",'Calibrare_Linii'!U18="VALID")),"INVALID",IF(NOT(AND('Calibrare_Linii'!S18="VALIDATED",AND('Calibrare_Linii'!H18=C648,ISNUMBER('Calibrare_Linii'!J18),'Calibrare_Linii'!J18&lt;='Input_Meci'!G51))),"OOS PENDING",IF(S648&lt;='Calibrare_Linii'!E18,"PASS",IF(S648&lt;='Calibrare_Linii'!F18,"PENALTY","WATCH"))))))</x:f>
      </x:c>
      <x:c r="X648" s="2" t="str">
        <x:f>IF(M648="","",IF(AND(AND(J648="PASS",'Calibrare_Linii'!U18="VALID"),'Motor_Meciuri'!K51=12,'Motor_Meciuri'!L51=12,'Motor_Meciuri'!M51="NO",'Motor_Meciuri'!BL51='Motor_Meciuri'!C51,AB648&gt;='Config_v6'!$B$50,AN648&gt;='Config_v6'!$B$51,T648&lt;='Config_v6'!$B$52,L648&lt;='Config_v6'!$B$53,ISNUMBER('Calibrare_Linii'!E18),S648&lt;='Calibrare_Linii'!E18,SUM(AK648:AM648)&gt;0),"CANDIDATE","NO"))</x:f>
      </x:c>
      <x:c r="Y648" s="2" t="str">
        <x:f>IF(B648="","",IF(I648&lt;&gt;"READY","NOT RELEASED",IF(AND(X648="CANDIDATE",V648&gt;='Config_v6'!$B$51,W648="PASS",'Calibrare_Linii'!T18="VALIDATED",AND('Calibrare_Linii'!H18=C648,ISNUMBER('Calibrare_Linii'!J18),'Calibrare_Linii'!J18&lt;='Input_Meci'!G51)),"PASS",IF(X648="CANDIDATE","OOS PENDING","FAIL"))))</x:f>
      </x:c>
      <x:c r="Z648" s="2" t="str">
        <x:f>IF(B648="","",IF(I648&lt;&gt;"READY","",IF(OR(NOT(AND(J648="PASS",'Calibrare_Linii'!U18="VALID")),L648&gt;'Config_v6'!$B$13,W648="WATCH"),5,IF(Y648="PASS",1,MIN(5,MAX('Config_v6'!$B$42,U648)+IF(W648="PENALTY",1,0))))))</x:f>
      </x:c>
      <x:c r="AA648" s="2" t="str">
        <x:f>IF(B648="","",IF(I648&lt;&gt;"READY","NOT RELEASED",IF(Z648=5,"NO BET",IF(OR(AB648&lt;'Config_v6'!$B$16,V648&lt;'Config_v6'!$B$18),"WATCH",IF(Z648=1,"DEFENSIV",IF(Z648=2,"PRUDENT",IF(Z648=3,"MODERAT","RIDICAT")))))))</x:f>
      </x:c>
      <x:c r="AB648" s="10" t="str">
        <x:f>IF(N648="","",MIN(N648,1-S648))</x:f>
      </x:c>
      <x:c r="AC648" s="2" t="str">
        <x:f>IF(AD648&lt;&gt;1,"",COUNTIFS($Z$636:$Z$649,"&lt;"&amp;Z648,$AD$636:$AD$649,1)+COUNTIFS($Z$636:$Z$649,Z648,$AB$636:$AB$649,"&gt;"&amp;AB648,$AD$636:$AD$649,1)+COUNTIFS($Z$636:$Z$649,Z648,$AB$636:$AB$649,AB648,$V$636:$V$649,"&gt;"&amp;V648,$AD$636:$AD$649,1)+COUNTIFS($Z$636:Z648,Z648,$AB$636:AB648,AB648,$V$636:V648,V648,$AD$636:AD648,1))</x:f>
      </x:c>
      <x:c r="AD648" s="2" t="n">
        <x:f>IF(OR(AA648="DEFENSIV",AA648="PRUDENT",AA648="MODERAT",AA648="RIDICAT"),1,0)</x:f>
        <x:v>0</x:v>
      </x:c>
      <x:c r="AE648" s="2" t="str">
        <x:f>IF(AD648&lt;&gt;1,"NO",IF(W648="PASS","YES",IF(W648="OOS PENDING","CONDITIONAL","NO")))</x:f>
        <x:v>NO</x:v>
      </x:c>
      <x:c r="AF648" s="2" t="n">
        <x:f>IF(AND(AD648=1,AC648=1,E648="LIVE"),1,0)</x:f>
        <x:v>0</x:v>
      </x:c>
      <x:c r="AG648" s="2" t="str">
        <x:f>IF(AF648&lt;&gt;1,"",'Dashboard'!P71)</x:f>
      </x:c>
      <x:c r="AH648" s="2" t="str">
        <x:f>IF(B648="","",IF(J648&lt;&gt;"PASS",'Motor_Meciuri'!J51,IF('Calibrare_Linii'!U18&lt;&gt;"VALID","Parametri linie invalizi",IF(L648&gt;'Config_v6'!$B$13,"Dispersie peste limita",IF(W648="WATCH","Failure peste limita",IF(AB648&lt;'Config_v6'!$B$16,"P finala sub prag",IF(V648&lt;'Config_v6'!$B$18,"Confidence sub prag",IF(E648="REPLAY","Exemplu retrospectiv; exclus din Top LIVE",IF(Y648="PASS","DEFENSIV validat",IF(W648="OOS PENDING","Eligibil; calibrare linie in monitorizare","Eligibil"))))))))))</x:f>
      </x:c>
      <x:c r="AI648" s="2" t="str">
        <x:f>IF(B648="","",'Calibrare_Linii'!V18)</x:f>
      </x:c>
      <x:c r="AJ648" s="2" t="str">
        <x:f>IF(B648="","",IF(AND('Calibrare_Linii'!T18="VALIDATED",AND('Calibrare_Linii'!H18=C648,ISNUMBER('Calibrare_Linii'!J18),'Calibrare_Linii'!J18&lt;='Input_Meci'!G51)),"DEFENSIVE VALIDATED",IF(AND('Calibrare_Linii'!S18="VALIDATED",AND('Calibrare_Linii'!H18=C648,ISNUMBER('Calibrare_Linii'!J18),'Calibrare_Linii'!J18&lt;='Input_Meci'!G51)),"TAIL VALIDATED","OOS PENDING")))</x:f>
      </x:c>
      <x:c r="AK648" s="2" t="n">
        <x:f>IF(J648&lt;&gt;"PASS",0,'Motor_Meciuri'!BR51)</x:f>
        <x:v>0</x:v>
      </x:c>
      <x:c r="AL648" s="2" t="n">
        <x:f>IF(J648&lt;&gt;"PASS",0,'Motor_Meciuri'!BS51)</x:f>
        <x:v>0</x:v>
      </x:c>
      <x:c r="AM648" s="2" t="n">
        <x:f>IF(J648&lt;&gt;"PASS",0,'Motor_Meciuri'!BT51)</x:f>
        <x:v>0</x:v>
      </x:c>
      <x:c r="AN648" s="2" t="str">
        <x:f>IF(M648="","",MAX(0,'Motor_Meciuri'!BF51-IF(L648&gt;'Config_v6'!$B$12,'Config_v6'!$B$37,IF(L648&gt;'Config_v6'!$B$11,'Config_v6'!$B$36,0))))</x:f>
      </x:c>
    </x:row>
    <x:row r="649" ht="21" customHeight="1">
      <x:c r="A649" s="2" t="n">
        <x:v>46</x:v>
      </x:c>
      <x:c r="B649" s="2" t="str">
        <x:f>IF('Motor_Meciuri'!A51="","",'Motor_Meciuri'!A51)</x:f>
      </x:c>
      <x:c r="C649" s="2" t="str">
        <x:f>IF(B649="","",'Motor_Meciuri'!B51)</x:f>
      </x:c>
      <x:c r="D649" s="2" t="str">
        <x:f>IF(B649="","",'Motor_Meciuri'!D51)</x:f>
      </x:c>
      <x:c r="E649" s="2" t="str">
        <x:f>IF(B649="","",'Motor_Meciuri'!E51)</x:f>
      </x:c>
      <x:c r="F649" s="2" t="str">
        <x:v>U17,5</x:v>
      </x:c>
      <x:c r="G649" s="2" t="str">
        <x:v>UNDER</x:v>
      </x:c>
      <x:c r="H649" s="2" t="n">
        <x:v>17</x:v>
      </x:c>
      <x:c r="I649" s="2" t="str">
        <x:f>IF(B649="","",'Motor_Meciuri'!H51)</x:f>
      </x:c>
      <x:c r="J649" s="2" t="str">
        <x:f>IF(B649="","",'Motor_Meciuri'!I51)</x:f>
      </x:c>
      <x:c r="K649" s="11" t="str">
        <x:f>IF(J649&lt;&gt;"PASS","",'Motor_Meciuri'!BD51)</x:f>
      </x:c>
      <x:c r="L649" s="11" t="str">
        <x:f>IF(J649&lt;&gt;"PASS","",'Motor_Meciuri'!AU51)</x:f>
      </x:c>
      <x:c r="M649" s="10" t="str">
        <x:f>IF(NOT(AND(J649="PASS",'Calibrare_Linii'!U19="VALID")),"",'Distributie'!AO51)</x:f>
      </x:c>
      <x:c r="N649" s="10" t="str">
        <x:f>IF(M649="","",MAX(0.01,MIN(0.99,0.5+(M649-0.5)*'Motor_Meciuri'!BG51*'Calibrare_Linii'!D19)))</x:f>
      </x:c>
      <x:c r="O649" s="10" t="str">
        <x:f>IF(M649="","",1-M649)</x:f>
      </x:c>
      <x:c r="P649" s="10" t="str">
        <x:f>IF(OR(NOT(AND(J649="PASS",'Calibrare_Linii'!U19="VALID")),AK649=0),""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*('Istoric_Nativ'!$Q$6:$Q$405&gt;H649))/AK649)</x:f>
      </x:c>
      <x:c r="Q649" s="10" t="str">
        <x:f>IF(OR(NOT(AND(J649="PASS",'Calibrare_Linii'!U19="VALID")),AL649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M51)+((('Istoric_Nativ'!$E$6:$E$405='Input_Meci'!E51)+('Istoric_Nativ'!$F$6:$F$405='Input_Meci'!E51))&gt;0)*('Istoric_Nativ'!$D$6:$D$405&gt;='Motor_Meciuri'!BN51))&gt;0)*('Istoric_Nativ'!$Q$6:$Q$405&gt;H649))/AL649)</x:f>
      </x:c>
      <x:c r="R649" s="10" t="str">
        <x:f>IF(OR(NOT(AND(J649="PASS",'Calibrare_Linii'!U19="VALID")),AM649=0),""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'Motor_Meciuri'!BO51)+((('Istoric_Nativ'!$E$6:$E$405='Input_Meci'!E51)+('Istoric_Nativ'!$F$6:$F$405='Input_Meci'!E51))&gt;0)*('Istoric_Nativ'!$D$6:$D$405&gt;='Motor_Meciuri'!BP51))&gt;0)*('Istoric_Nativ'!$Q$6:$Q$405&gt;H649))/AM649)</x:f>
      </x:c>
      <x:c r="S649" s="10" t="str">
        <x:f>IF(M649="","",MAX(O649,P649,Q649,R649))</x:f>
      </x:c>
      <x:c r="T649" s="11" t="str">
        <x:f>IF(M649="","",MIN(100,S649*100*'Config_v6'!$B$44+MIN(100,L649/'Config_v6'!$B$13*100)*'Config_v6'!$B$45+(100-'Motor_Meciuri'!BF51)*'Config_v6'!$B$46+'Motor_Meciuri'!BH51*100*'Config_v6'!$B$47))</x:f>
      </x:c>
      <x:c r="U649" s="2" t="str">
        <x:f>IF(T649="","",IF(T649&lt;=20,1,IF(T649&lt;=40,2,IF(T649&lt;=60,3,IF(T649&lt;=80,4,5)))))</x:f>
      </x:c>
      <x:c r="V649" s="2" t="str">
        <x:f>IF(M649="","",MAX(0,'Motor_Meciuri'!BF51-IF(W649="OOS PENDING",'Config_v6'!$B$35,0)-IF(L649&gt;'Config_v6'!$B$12,'Config_v6'!$B$37,IF(L649&gt;'Config_v6'!$B$11,'Config_v6'!$B$36,0))))</x:f>
      </x:c>
      <x:c r="W649" s="2" t="str">
        <x:f>IF(B649="","",IF(I649&lt;&gt;"READY","NOT RELEASED",IF(NOT(AND(J649="PASS",'Calibrare_Linii'!U19="VALID")),"INVALID",IF(NOT(AND('Calibrare_Linii'!S19="VALIDATED",AND('Calibrare_Linii'!H19=C649,ISNUMBER('Calibrare_Linii'!J19),'Calibrare_Linii'!J19&lt;='Input_Meci'!G51))),"OOS PENDING",IF(S649&lt;='Calibrare_Linii'!E19,"PASS",IF(S649&lt;='Calibrare_Linii'!F19,"PENALTY","WATCH"))))))</x:f>
      </x:c>
      <x:c r="X649" s="2" t="str">
        <x:f>IF(M649="","",IF(AND(AND(J649="PASS",'Calibrare_Linii'!U19="VALID"),'Motor_Meciuri'!K51=12,'Motor_Meciuri'!L51=12,'Motor_Meciuri'!M51="NO",'Motor_Meciuri'!BL51='Motor_Meciuri'!C51,AB649&gt;='Config_v6'!$B$50,AN649&gt;='Config_v6'!$B$51,T649&lt;='Config_v6'!$B$52,L649&lt;='Config_v6'!$B$53,ISNUMBER('Calibrare_Linii'!E19),S649&lt;='Calibrare_Linii'!E19,SUM(AK649:AM649)&gt;0),"CANDIDATE","NO"))</x:f>
      </x:c>
      <x:c r="Y649" s="2" t="str">
        <x:f>IF(B649="","",IF(I649&lt;&gt;"READY","NOT RELEASED",IF(AND(X649="CANDIDATE",V649&gt;='Config_v6'!$B$51,W649="PASS",'Calibrare_Linii'!T19="VALIDATED",AND('Calibrare_Linii'!H19=C649,ISNUMBER('Calibrare_Linii'!J19),'Calibrare_Linii'!J19&lt;='Input_Meci'!G51)),"PASS",IF(X649="CANDIDATE","OOS PENDING","FAIL"))))</x:f>
      </x:c>
      <x:c r="Z649" s="2" t="str">
        <x:f>IF(B649="","",IF(I649&lt;&gt;"READY","",IF(OR(NOT(AND(J649="PASS",'Calibrare_Linii'!U19="VALID")),L649&gt;'Config_v6'!$B$13,W649="WATCH"),5,IF(Y649="PASS",1,MIN(5,MAX('Config_v6'!$B$42,U649)+IF(W649="PENALTY",1,0))))))</x:f>
      </x:c>
      <x:c r="AA649" s="2" t="str">
        <x:f>IF(B649="","",IF(I649&lt;&gt;"READY","NOT RELEASED",IF(Z649=5,"NO BET",IF(OR(AB649&lt;'Config_v6'!$B$16,V649&lt;'Config_v6'!$B$18),"WATCH",IF(Z649=1,"DEFENSIV",IF(Z649=2,"PRUDENT",IF(Z649=3,"MODERAT","RIDICAT")))))))</x:f>
      </x:c>
      <x:c r="AB649" s="10" t="str">
        <x:f>IF(N649="","",MIN(N649,1-S649))</x:f>
      </x:c>
      <x:c r="AC649" s="2" t="str">
        <x:f>IF(AD649&lt;&gt;1,"",COUNTIFS($Z$636:$Z$649,"&lt;"&amp;Z649,$AD$636:$AD$649,1)+COUNTIFS($Z$636:$Z$649,Z649,$AB$636:$AB$649,"&gt;"&amp;AB649,$AD$636:$AD$649,1)+COUNTIFS($Z$636:$Z$649,Z649,$AB$636:$AB$649,AB649,$V$636:$V$649,"&gt;"&amp;V649,$AD$636:$AD$649,1)+COUNTIFS($Z$636:Z649,Z649,$AB$636:AB649,AB649,$V$636:V649,V649,$AD$636:AD649,1))</x:f>
      </x:c>
      <x:c r="AD649" s="2" t="n">
        <x:f>IF(OR(AA649="DEFENSIV",AA649="PRUDENT",AA649="MODERAT",AA649="RIDICAT"),1,0)</x:f>
        <x:v>0</x:v>
      </x:c>
      <x:c r="AE649" s="2" t="str">
        <x:f>IF(AD649&lt;&gt;1,"NO",IF(W649="PASS","YES",IF(W649="OOS PENDING","CONDITIONAL","NO")))</x:f>
        <x:v>NO</x:v>
      </x:c>
      <x:c r="AF649" s="2" t="n">
        <x:f>IF(AND(AD649=1,AC649=1,E649="LIVE"),1,0)</x:f>
        <x:v>0</x:v>
      </x:c>
      <x:c r="AG649" s="2" t="str">
        <x:f>IF(AF649&lt;&gt;1,"",'Dashboard'!P71)</x:f>
      </x:c>
      <x:c r="AH649" s="2" t="str">
        <x:f>IF(B649="","",IF(J649&lt;&gt;"PASS",'Motor_Meciuri'!J51,IF('Calibrare_Linii'!U19&lt;&gt;"VALID","Parametri linie invalizi",IF(L649&gt;'Config_v6'!$B$13,"Dispersie peste limita",IF(W649="WATCH","Failure peste limita",IF(AB649&lt;'Config_v6'!$B$16,"P finala sub prag",IF(V649&lt;'Config_v6'!$B$18,"Confidence sub prag",IF(E649="REPLAY","Exemplu retrospectiv; exclus din Top LIVE",IF(Y649="PASS","DEFENSIV validat",IF(W649="OOS PENDING","Eligibil; calibrare linie in monitorizare","Eligibil"))))))))))</x:f>
      </x:c>
      <x:c r="AI649" s="2" t="str">
        <x:f>IF(B649="","",'Calibrare_Linii'!V19)</x:f>
      </x:c>
      <x:c r="AJ649" s="2" t="str">
        <x:f>IF(B649="","",IF(AND('Calibrare_Linii'!T19="VALIDATED",AND('Calibrare_Linii'!H19=C649,ISNUMBER('Calibrare_Linii'!J19),'Calibrare_Linii'!J19&lt;='Input_Meci'!G51)),"DEFENSIVE VALIDATED",IF(AND('Calibrare_Linii'!S19="VALIDATED",AND('Calibrare_Linii'!H19=C649,ISNUMBER('Calibrare_Linii'!J19),'Calibrare_Linii'!J19&lt;='Input_Meci'!G51)),"TAIL VALIDATED","OOS PENDING")))</x:f>
      </x:c>
      <x:c r="AK649" s="2" t="n">
        <x:f>IF(J649&lt;&gt;"PASS",0,'Motor_Meciuri'!BR51)</x:f>
        <x:v>0</x:v>
      </x:c>
      <x:c r="AL649" s="2" t="n">
        <x:f>IF(J649&lt;&gt;"PASS",0,'Motor_Meciuri'!BS51)</x:f>
        <x:v>0</x:v>
      </x:c>
      <x:c r="AM649" s="2" t="n">
        <x:f>IF(J649&lt;&gt;"PASS",0,'Motor_Meciuri'!BT51)</x:f>
        <x:v>0</x:v>
      </x:c>
      <x:c r="AN649" s="2" t="str">
        <x:f>IF(M649="","",MAX(0,'Motor_Meciuri'!BF51-IF(L649&gt;'Config_v6'!$B$12,'Config_v6'!$B$37,IF(L649&gt;'Config_v6'!$B$11,'Config_v6'!$B$36,0))))</x:f>
      </x:c>
    </x:row>
    <x:row r="650" ht="21" customHeight="1">
      <x:c r="A650" s="2" t="n">
        <x:v>47</x:v>
      </x:c>
      <x:c r="B650" s="2" t="str">
        <x:f>IF('Motor_Meciuri'!A52="","",'Motor_Meciuri'!A52)</x:f>
      </x:c>
      <x:c r="C650" s="2" t="str">
        <x:f>IF(B650="","",'Motor_Meciuri'!B52)</x:f>
      </x:c>
      <x:c r="D650" s="2" t="str">
        <x:f>IF(B650="","",'Motor_Meciuri'!D52)</x:f>
      </x:c>
      <x:c r="E650" s="2" t="str">
        <x:f>IF(B650="","",'Motor_Meciuri'!E52)</x:f>
      </x:c>
      <x:c r="F650" s="2" t="str">
        <x:v>O3,5</x:v>
      </x:c>
      <x:c r="G650" s="2" t="str">
        <x:v>OVER</x:v>
      </x:c>
      <x:c r="H650" s="2" t="n">
        <x:v>3</x:v>
      </x:c>
      <x:c r="I650" s="2" t="str">
        <x:f>IF(B650="","",'Motor_Meciuri'!H52)</x:f>
      </x:c>
      <x:c r="J650" s="2" t="str">
        <x:f>IF(B650="","",'Motor_Meciuri'!I52)</x:f>
      </x:c>
      <x:c r="K650" s="11" t="str">
        <x:f>IF(J650&lt;&gt;"PASS","",'Motor_Meciuri'!BD52)</x:f>
      </x:c>
      <x:c r="L650" s="11" t="str">
        <x:f>IF(J650&lt;&gt;"PASS","",'Motor_Meciuri'!AU52)</x:f>
      </x:c>
      <x:c r="M650" s="10" t="str">
        <x:f>IF(NOT(AND(J650="PASS",'Calibrare_Linii'!U6="VALID")),"",1-'Distributie'!AA52)</x:f>
      </x:c>
      <x:c r="N650" s="10" t="str">
        <x:f>IF(M650="","",MAX(0.01,MIN(0.99,0.5+(M650-0.5)*'Motor_Meciuri'!BG52*'Calibrare_Linii'!D6)))</x:f>
      </x:c>
      <x:c r="O650" s="10" t="str">
        <x:f>IF(M650="","",1-M650)</x:f>
      </x:c>
      <x:c r="P650" s="10" t="str">
        <x:f>IF(OR(NOT(AND(J650="PASS",'Calibrare_Linii'!U6="VALID")),AK650=0),""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*('Istoric_Nativ'!$Q$6:$Q$405&lt;=H650))/AK650)</x:f>
      </x:c>
      <x:c r="Q650" s="10" t="str">
        <x:f>IF(OR(NOT(AND(J650="PASS",'Calibrare_Linii'!U6="VALID")),AL650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M52)+((('Istoric_Nativ'!$E$6:$E$405='Input_Meci'!E52)+('Istoric_Nativ'!$F$6:$F$405='Input_Meci'!E52))&gt;0)*('Istoric_Nativ'!$D$6:$D$405&gt;='Motor_Meciuri'!BN52))&gt;0)*('Istoric_Nativ'!$Q$6:$Q$405&lt;=H650))/AL650)</x:f>
      </x:c>
      <x:c r="R650" s="10" t="str">
        <x:f>IF(OR(NOT(AND(J650="PASS",'Calibrare_Linii'!U6="VALID")),AM650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O52)+((('Istoric_Nativ'!$E$6:$E$405='Input_Meci'!E52)+('Istoric_Nativ'!$F$6:$F$405='Input_Meci'!E52))&gt;0)*('Istoric_Nativ'!$D$6:$D$405&gt;='Motor_Meciuri'!BP52))&gt;0)*('Istoric_Nativ'!$Q$6:$Q$405&lt;=H650))/AM650)</x:f>
      </x:c>
      <x:c r="S650" s="10" t="str">
        <x:f>IF(M650="","",MAX(O650,P650,Q650,R650))</x:f>
      </x:c>
      <x:c r="T650" s="11" t="str">
        <x:f>IF(M650="","",MIN(100,S650*100*'Config_v6'!$B$44+MIN(100,L650/'Config_v6'!$B$13*100)*'Config_v6'!$B$45+(100-'Motor_Meciuri'!BF52)*'Config_v6'!$B$46+'Motor_Meciuri'!BH52*100*'Config_v6'!$B$47))</x:f>
      </x:c>
      <x:c r="U650" s="2" t="str">
        <x:f>IF(T650="","",IF(T650&lt;=20,1,IF(T650&lt;=40,2,IF(T650&lt;=60,3,IF(T650&lt;=80,4,5)))))</x:f>
      </x:c>
      <x:c r="V650" s="2" t="str">
        <x:f>IF(M650="","",MAX(0,'Motor_Meciuri'!BF52-IF(W650="OOS PENDING",'Config_v6'!$B$35,0)-IF(L650&gt;'Config_v6'!$B$12,'Config_v6'!$B$37,IF(L650&gt;'Config_v6'!$B$11,'Config_v6'!$B$36,0))))</x:f>
      </x:c>
      <x:c r="W650" s="2" t="str">
        <x:f>IF(B650="","",IF(I650&lt;&gt;"READY","NOT RELEASED",IF(NOT(AND(J650="PASS",'Calibrare_Linii'!U6="VALID")),"INVALID",IF(NOT(TRUE),"OOS PENDING",IF(S650&lt;=IF(AND('Calibrare_Linii'!S6="VALIDATED",AND('Calibrare_Linii'!H6=C650,ISNUMBER('Calibrare_Linii'!J6),'Calibrare_Linii'!J6&lt;='Input_Meci'!G52)),'Calibrare_Linii'!E6,'Config_v6'!$B$26),"PASS",IF(S650&lt;=IF(AND('Calibrare_Linii'!S6="VALIDATED",AND('Calibrare_Linii'!H6=C650,ISNUMBER('Calibrare_Linii'!J6),'Calibrare_Linii'!J6&lt;='Input_Meci'!G52)),'Calibrare_Linii'!F6,'Config_v6'!$C$26),"PENALTY","WATCH"))))))</x:f>
      </x:c>
      <x:c r="X650" s="2" t="str">
        <x:f>IF(M650="","",IF(AND(AND(J650="PASS",'Calibrare_Linii'!U6="VALID"),'Motor_Meciuri'!K52=12,'Motor_Meciuri'!L52=12,'Motor_Meciuri'!M52="NO",'Motor_Meciuri'!BL52='Motor_Meciuri'!C52,AB650&gt;='Config_v6'!$B$50,AN650&gt;='Config_v6'!$B$51,T650&lt;='Config_v6'!$B$52,L650&lt;='Config_v6'!$B$53,ISNUMBER('Calibrare_Linii'!E6),S650&lt;='Calibrare_Linii'!E6,SUM(AK650:AM650)&gt;0),"CANDIDATE","NO"))</x:f>
      </x:c>
      <x:c r="Y650" s="2" t="str">
        <x:f>IF(B650="","",IF(I650&lt;&gt;"READY","NOT RELEASED",IF(AND(X650="CANDIDATE",V650&gt;='Config_v6'!$B$51,W650="PASS",'Calibrare_Linii'!T6="VALIDATED",AND('Calibrare_Linii'!H6=C650,ISNUMBER('Calibrare_Linii'!J6),'Calibrare_Linii'!J6&lt;='Input_Meci'!G52)),"PASS",IF(X650="CANDIDATE","OOS PENDING","FAIL"))))</x:f>
      </x:c>
      <x:c r="Z650" s="2" t="str">
        <x:f>IF(B650="","",IF(I650&lt;&gt;"READY","",IF(OR(NOT(AND(J650="PASS",'Calibrare_Linii'!U6="VALID")),L650&gt;'Config_v6'!$B$13,W650="WATCH"),5,IF(Y650="PASS",1,MIN(5,MAX('Config_v6'!$B$42,U650)+IF(W650="PENALTY",1,0))))))</x:f>
      </x:c>
      <x:c r="AA650" s="2" t="str">
        <x:f>IF(B650="","",IF(I650&lt;&gt;"READY","NOT RELEASED",IF(Z650=5,"NO BET",IF(OR(AB650&lt;'Config_v6'!$B$16,V650&lt;'Config_v6'!$B$18),"WATCH",IF(Z650=1,"DEFENSIV",IF(Z650=2,"PRUDENT",IF(Z650=3,"MODERAT","RIDICAT")))))))</x:f>
      </x:c>
      <x:c r="AB650" s="10" t="str">
        <x:f>IF(N650="","",MIN(N650,1-S650))</x:f>
      </x:c>
      <x:c r="AC650" s="2" t="str">
        <x:f>IF(AD650&lt;&gt;1,"",COUNTIFS($Z$650:$Z$663,"&lt;"&amp;Z650,$AD$650:$AD$663,1)+COUNTIFS($Z$650:$Z$663,Z650,$AB$650:$AB$663,"&gt;"&amp;AB650,$AD$650:$AD$663,1)+COUNTIFS($Z$650:$Z$663,Z650,$AB$650:$AB$663,AB650,$V$650:$V$663,"&gt;"&amp;V650,$AD$650:$AD$663,1)+COUNTIFS($Z$650:Z650,Z650,$AB$650:AB650,AB650,$V$650:V650,V650,$AD$650:AD650,1))</x:f>
      </x:c>
      <x:c r="AD650" s="2" t="n">
        <x:f>IF(OR(AA650="DEFENSIV",AA650="PRUDENT",AA650="MODERAT",AA650="RIDICAT"),1,0)</x:f>
        <x:v>0</x:v>
      </x:c>
      <x:c r="AE650" s="2" t="str">
        <x:f>IF(AD650&lt;&gt;1,"NO",IF(W650="PASS","YES",IF(W650="OOS PENDING","CONDITIONAL","NO")))</x:f>
        <x:v>NO</x:v>
      </x:c>
      <x:c r="AF650" s="2" t="n">
        <x:f>IF(AND(AD650=1,AC650=1,E650="LIVE"),1,0)</x:f>
        <x:v>0</x:v>
      </x:c>
      <x:c r="AG650" s="2" t="str">
        <x:f>IF(AF650&lt;&gt;1,"",'Dashboard'!P72)</x:f>
      </x:c>
      <x:c r="AH650" s="2" t="str">
        <x:f>IF(B650="","",IF(J650&lt;&gt;"PASS",'Motor_Meciuri'!J52,IF('Calibrare_Linii'!U6&lt;&gt;"VALID","Parametri linie invalizi",IF(L650&gt;'Config_v6'!$B$13,"Dispersie peste limita",IF(W650="WATCH","Failure peste limita",IF(AB650&lt;'Config_v6'!$B$16,"P finala sub prag",IF(V650&lt;'Config_v6'!$B$18,"Confidence sub prag",IF(E650="REPLAY","Exemplu retrospectiv; exclus din Top LIVE",IF(Y650="PASS","DEFENSIV validat",IF(W650="OOS PENDING","Eligibil; calibrare linie in monitorizare","Eligibil"))))))))))</x:f>
      </x:c>
      <x:c r="AI650" s="2" t="str">
        <x:f>IF(B650="","",'Calibrare_Linii'!V6)</x:f>
      </x:c>
      <x:c r="AJ650" s="2" t="str">
        <x:f>IF(B650="","",IF(AND('Calibrare_Linii'!T6="VALIDATED",AND('Calibrare_Linii'!H6=C650,ISNUMBER('Calibrare_Linii'!J6),'Calibrare_Linii'!J6&lt;='Input_Meci'!G52)),"DEFENSIVE VALIDATED",IF(AND('Calibrare_Linii'!S6="VALIDATED",AND('Calibrare_Linii'!H6=C650,ISNUMBER('Calibrare_Linii'!J6),'Calibrare_Linii'!J6&lt;='Input_Meci'!G52)),"TAIL VALIDATED","OOS PENDING")))</x:f>
      </x:c>
      <x:c r="AK650" s="2" t="n">
        <x:f>IF(J650&lt;&gt;"PASS",0,'Motor_Meciuri'!BR52)</x:f>
        <x:v>0</x:v>
      </x:c>
      <x:c r="AL650" s="2" t="n">
        <x:f>IF(J650&lt;&gt;"PASS",0,'Motor_Meciuri'!BS52)</x:f>
        <x:v>0</x:v>
      </x:c>
      <x:c r="AM650" s="2" t="n">
        <x:f>IF(J650&lt;&gt;"PASS",0,'Motor_Meciuri'!BT52)</x:f>
        <x:v>0</x:v>
      </x:c>
      <x:c r="AN650" s="2" t="str">
        <x:f>IF(M650="","",MAX(0,'Motor_Meciuri'!BF52-IF(L650&gt;'Config_v6'!$B$12,'Config_v6'!$B$37,IF(L650&gt;'Config_v6'!$B$11,'Config_v6'!$B$36,0))))</x:f>
      </x:c>
    </x:row>
    <x:row r="651" ht="21" customHeight="1">
      <x:c r="A651" s="2" t="n">
        <x:v>47</x:v>
      </x:c>
      <x:c r="B651" s="2" t="str">
        <x:f>IF('Motor_Meciuri'!A52="","",'Motor_Meciuri'!A52)</x:f>
      </x:c>
      <x:c r="C651" s="2" t="str">
        <x:f>IF(B651="","",'Motor_Meciuri'!B52)</x:f>
      </x:c>
      <x:c r="D651" s="2" t="str">
        <x:f>IF(B651="","",'Motor_Meciuri'!D52)</x:f>
      </x:c>
      <x:c r="E651" s="2" t="str">
        <x:f>IF(B651="","",'Motor_Meciuri'!E52)</x:f>
      </x:c>
      <x:c r="F651" s="2" t="str">
        <x:v>O4,5</x:v>
      </x:c>
      <x:c r="G651" s="2" t="str">
        <x:v>OVER</x:v>
      </x:c>
      <x:c r="H651" s="2" t="n">
        <x:v>4</x:v>
      </x:c>
      <x:c r="I651" s="2" t="str">
        <x:f>IF(B651="","",'Motor_Meciuri'!H52)</x:f>
      </x:c>
      <x:c r="J651" s="2" t="str">
        <x:f>IF(B651="","",'Motor_Meciuri'!I52)</x:f>
      </x:c>
      <x:c r="K651" s="11" t="str">
        <x:f>IF(J651&lt;&gt;"PASS","",'Motor_Meciuri'!BD52)</x:f>
      </x:c>
      <x:c r="L651" s="11" t="str">
        <x:f>IF(J651&lt;&gt;"PASS","",'Motor_Meciuri'!AU52)</x:f>
      </x:c>
      <x:c r="M651" s="10" t="str">
        <x:f>IF(NOT(AND(J651="PASS",'Calibrare_Linii'!U7="VALID")),"",1-'Distributie'!AB52)</x:f>
      </x:c>
      <x:c r="N651" s="10" t="str">
        <x:f>IF(M651="","",MAX(0.01,MIN(0.99,0.5+(M651-0.5)*'Motor_Meciuri'!BG52*'Calibrare_Linii'!D7)))</x:f>
      </x:c>
      <x:c r="O651" s="10" t="str">
        <x:f>IF(M651="","",1-M651)</x:f>
      </x:c>
      <x:c r="P651" s="10" t="str">
        <x:f>IF(OR(NOT(AND(J651="PASS",'Calibrare_Linii'!U7="VALID")),AK651=0),""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*('Istoric_Nativ'!$Q$6:$Q$405&lt;=H651))/AK651)</x:f>
      </x:c>
      <x:c r="Q651" s="10" t="str">
        <x:f>IF(OR(NOT(AND(J651="PASS",'Calibrare_Linii'!U7="VALID")),AL651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M52)+((('Istoric_Nativ'!$E$6:$E$405='Input_Meci'!E52)+('Istoric_Nativ'!$F$6:$F$405='Input_Meci'!E52))&gt;0)*('Istoric_Nativ'!$D$6:$D$405&gt;='Motor_Meciuri'!BN52))&gt;0)*('Istoric_Nativ'!$Q$6:$Q$405&lt;=H651))/AL651)</x:f>
      </x:c>
      <x:c r="R651" s="10" t="str">
        <x:f>IF(OR(NOT(AND(J651="PASS",'Calibrare_Linii'!U7="VALID")),AM651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O52)+((('Istoric_Nativ'!$E$6:$E$405='Input_Meci'!E52)+('Istoric_Nativ'!$F$6:$F$405='Input_Meci'!E52))&gt;0)*('Istoric_Nativ'!$D$6:$D$405&gt;='Motor_Meciuri'!BP52))&gt;0)*('Istoric_Nativ'!$Q$6:$Q$405&lt;=H651))/AM651)</x:f>
      </x:c>
      <x:c r="S651" s="10" t="str">
        <x:f>IF(M651="","",MAX(O651,P651,Q651,R651))</x:f>
      </x:c>
      <x:c r="T651" s="11" t="str">
        <x:f>IF(M651="","",MIN(100,S651*100*'Config_v6'!$B$44+MIN(100,L651/'Config_v6'!$B$13*100)*'Config_v6'!$B$45+(100-'Motor_Meciuri'!BF52)*'Config_v6'!$B$46+'Motor_Meciuri'!BH52*100*'Config_v6'!$B$47))</x:f>
      </x:c>
      <x:c r="U651" s="2" t="str">
        <x:f>IF(T651="","",IF(T651&lt;=20,1,IF(T651&lt;=40,2,IF(T651&lt;=60,3,IF(T651&lt;=80,4,5)))))</x:f>
      </x:c>
      <x:c r="V651" s="2" t="str">
        <x:f>IF(M651="","",MAX(0,'Motor_Meciuri'!BF52-IF(W651="OOS PENDING",'Config_v6'!$B$35,0)-IF(L651&gt;'Config_v6'!$B$12,'Config_v6'!$B$37,IF(L651&gt;'Config_v6'!$B$11,'Config_v6'!$B$36,0))))</x:f>
      </x:c>
      <x:c r="W651" s="2" t="str">
        <x:f>IF(B651="","",IF(I651&lt;&gt;"READY","NOT RELEASED",IF(NOT(AND(J651="PASS",'Calibrare_Linii'!U7="VALID")),"INVALID",IF(NOT(AND('Calibrare_Linii'!S7="VALIDATED",AND('Calibrare_Linii'!H7=C651,ISNUMBER('Calibrare_Linii'!J7),'Calibrare_Linii'!J7&lt;='Input_Meci'!G52))),"OOS PENDING",IF(S651&lt;='Calibrare_Linii'!E7,"PASS",IF(S651&lt;='Calibrare_Linii'!F7,"PENALTY","WATCH"))))))</x:f>
      </x:c>
      <x:c r="X651" s="2" t="str">
        <x:f>IF(M651="","",IF(AND(AND(J651="PASS",'Calibrare_Linii'!U7="VALID"),'Motor_Meciuri'!K52=12,'Motor_Meciuri'!L52=12,'Motor_Meciuri'!M52="NO",'Motor_Meciuri'!BL52='Motor_Meciuri'!C52,AB651&gt;='Config_v6'!$B$50,AN651&gt;='Config_v6'!$B$51,T651&lt;='Config_v6'!$B$52,L651&lt;='Config_v6'!$B$53,ISNUMBER('Calibrare_Linii'!E7),S651&lt;='Calibrare_Linii'!E7,SUM(AK651:AM651)&gt;0),"CANDIDATE","NO"))</x:f>
      </x:c>
      <x:c r="Y651" s="2" t="str">
        <x:f>IF(B651="","",IF(I651&lt;&gt;"READY","NOT RELEASED",IF(AND(X651="CANDIDATE",V651&gt;='Config_v6'!$B$51,W651="PASS",'Calibrare_Linii'!T7="VALIDATED",AND('Calibrare_Linii'!H7=C651,ISNUMBER('Calibrare_Linii'!J7),'Calibrare_Linii'!J7&lt;='Input_Meci'!G52)),"PASS",IF(X651="CANDIDATE","OOS PENDING","FAIL"))))</x:f>
      </x:c>
      <x:c r="Z651" s="2" t="str">
        <x:f>IF(B651="","",IF(I651&lt;&gt;"READY","",IF(OR(NOT(AND(J651="PASS",'Calibrare_Linii'!U7="VALID")),L651&gt;'Config_v6'!$B$13,W651="WATCH"),5,IF(Y651="PASS",1,MIN(5,MAX('Config_v6'!$B$42,U651)+IF(W651="PENALTY",1,0))))))</x:f>
      </x:c>
      <x:c r="AA651" s="2" t="str">
        <x:f>IF(B651="","",IF(I651&lt;&gt;"READY","NOT RELEASED",IF(Z651=5,"NO BET",IF(OR(AB651&lt;'Config_v6'!$B$16,V651&lt;'Config_v6'!$B$18),"WATCH",IF(Z651=1,"DEFENSIV",IF(Z651=2,"PRUDENT",IF(Z651=3,"MODERAT","RIDICAT")))))))</x:f>
      </x:c>
      <x:c r="AB651" s="10" t="str">
        <x:f>IF(N651="","",MIN(N651,1-S651))</x:f>
      </x:c>
      <x:c r="AC651" s="2" t="str">
        <x:f>IF(AD651&lt;&gt;1,"",COUNTIFS($Z$650:$Z$663,"&lt;"&amp;Z651,$AD$650:$AD$663,1)+COUNTIFS($Z$650:$Z$663,Z651,$AB$650:$AB$663,"&gt;"&amp;AB651,$AD$650:$AD$663,1)+COUNTIFS($Z$650:$Z$663,Z651,$AB$650:$AB$663,AB651,$V$650:$V$663,"&gt;"&amp;V651,$AD$650:$AD$663,1)+COUNTIFS($Z$650:Z651,Z651,$AB$650:AB651,AB651,$V$650:V651,V651,$AD$650:AD651,1))</x:f>
      </x:c>
      <x:c r="AD651" s="2" t="n">
        <x:f>IF(OR(AA651="DEFENSIV",AA651="PRUDENT",AA651="MODERAT",AA651="RIDICAT"),1,0)</x:f>
        <x:v>0</x:v>
      </x:c>
      <x:c r="AE651" s="2" t="str">
        <x:f>IF(AD651&lt;&gt;1,"NO",IF(W651="PASS","YES",IF(W651="OOS PENDING","CONDITIONAL","NO")))</x:f>
        <x:v>NO</x:v>
      </x:c>
      <x:c r="AF651" s="2" t="n">
        <x:f>IF(AND(AD651=1,AC651=1,E651="LIVE"),1,0)</x:f>
        <x:v>0</x:v>
      </x:c>
      <x:c r="AG651" s="2" t="str">
        <x:f>IF(AF651&lt;&gt;1,"",'Dashboard'!P72)</x:f>
      </x:c>
      <x:c r="AH651" s="2" t="str">
        <x:f>IF(B651="","",IF(J651&lt;&gt;"PASS",'Motor_Meciuri'!J52,IF('Calibrare_Linii'!U7&lt;&gt;"VALID","Parametri linie invalizi",IF(L651&gt;'Config_v6'!$B$13,"Dispersie peste limita",IF(W651="WATCH","Failure peste limita",IF(AB651&lt;'Config_v6'!$B$16,"P finala sub prag",IF(V651&lt;'Config_v6'!$B$18,"Confidence sub prag",IF(E651="REPLAY","Exemplu retrospectiv; exclus din Top LIVE",IF(Y651="PASS","DEFENSIV validat",IF(W651="OOS PENDING","Eligibil; calibrare linie in monitorizare","Eligibil"))))))))))</x:f>
      </x:c>
      <x:c r="AI651" s="2" t="str">
        <x:f>IF(B651="","",'Calibrare_Linii'!V7)</x:f>
      </x:c>
      <x:c r="AJ651" s="2" t="str">
        <x:f>IF(B651="","",IF(AND('Calibrare_Linii'!T7="VALIDATED",AND('Calibrare_Linii'!H7=C651,ISNUMBER('Calibrare_Linii'!J7),'Calibrare_Linii'!J7&lt;='Input_Meci'!G52)),"DEFENSIVE VALIDATED",IF(AND('Calibrare_Linii'!S7="VALIDATED",AND('Calibrare_Linii'!H7=C651,ISNUMBER('Calibrare_Linii'!J7),'Calibrare_Linii'!J7&lt;='Input_Meci'!G52)),"TAIL VALIDATED","OOS PENDING")))</x:f>
      </x:c>
      <x:c r="AK651" s="2" t="n">
        <x:f>IF(J651&lt;&gt;"PASS",0,'Motor_Meciuri'!BR52)</x:f>
        <x:v>0</x:v>
      </x:c>
      <x:c r="AL651" s="2" t="n">
        <x:f>IF(J651&lt;&gt;"PASS",0,'Motor_Meciuri'!BS52)</x:f>
        <x:v>0</x:v>
      </x:c>
      <x:c r="AM651" s="2" t="n">
        <x:f>IF(J651&lt;&gt;"PASS",0,'Motor_Meciuri'!BT52)</x:f>
        <x:v>0</x:v>
      </x:c>
      <x:c r="AN651" s="2" t="str">
        <x:f>IF(M651="","",MAX(0,'Motor_Meciuri'!BF52-IF(L651&gt;'Config_v6'!$B$12,'Config_v6'!$B$37,IF(L651&gt;'Config_v6'!$B$11,'Config_v6'!$B$36,0))))</x:f>
      </x:c>
    </x:row>
    <x:row r="652" ht="21" customHeight="1">
      <x:c r="A652" s="2" t="n">
        <x:v>47</x:v>
      </x:c>
      <x:c r="B652" s="2" t="str">
        <x:f>IF('Motor_Meciuri'!A52="","",'Motor_Meciuri'!A52)</x:f>
      </x:c>
      <x:c r="C652" s="2" t="str">
        <x:f>IF(B652="","",'Motor_Meciuri'!B52)</x:f>
      </x:c>
      <x:c r="D652" s="2" t="str">
        <x:f>IF(B652="","",'Motor_Meciuri'!D52)</x:f>
      </x:c>
      <x:c r="E652" s="2" t="str">
        <x:f>IF(B652="","",'Motor_Meciuri'!E52)</x:f>
      </x:c>
      <x:c r="F652" s="2" t="str">
        <x:v>O5,5</x:v>
      </x:c>
      <x:c r="G652" s="2" t="str">
        <x:v>OVER</x:v>
      </x:c>
      <x:c r="H652" s="2" t="n">
        <x:v>5</x:v>
      </x:c>
      <x:c r="I652" s="2" t="str">
        <x:f>IF(B652="","",'Motor_Meciuri'!H52)</x:f>
      </x:c>
      <x:c r="J652" s="2" t="str">
        <x:f>IF(B652="","",'Motor_Meciuri'!I52)</x:f>
      </x:c>
      <x:c r="K652" s="11" t="str">
        <x:f>IF(J652&lt;&gt;"PASS","",'Motor_Meciuri'!BD52)</x:f>
      </x:c>
      <x:c r="L652" s="11" t="str">
        <x:f>IF(J652&lt;&gt;"PASS","",'Motor_Meciuri'!AU52)</x:f>
      </x:c>
      <x:c r="M652" s="10" t="str">
        <x:f>IF(NOT(AND(J652="PASS",'Calibrare_Linii'!U8="VALID")),"",1-'Distributie'!AC52)</x:f>
      </x:c>
      <x:c r="N652" s="10" t="str">
        <x:f>IF(M652="","",MAX(0.01,MIN(0.99,0.5+(M652-0.5)*'Motor_Meciuri'!BG52*'Calibrare_Linii'!D8)))</x:f>
      </x:c>
      <x:c r="O652" s="10" t="str">
        <x:f>IF(M652="","",1-M652)</x:f>
      </x:c>
      <x:c r="P652" s="10" t="str">
        <x:f>IF(OR(NOT(AND(J652="PASS",'Calibrare_Linii'!U8="VALID")),AK652=0),""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*('Istoric_Nativ'!$Q$6:$Q$405&lt;=H652))/AK652)</x:f>
      </x:c>
      <x:c r="Q652" s="10" t="str">
        <x:f>IF(OR(NOT(AND(J652="PASS",'Calibrare_Linii'!U8="VALID")),AL652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M52)+((('Istoric_Nativ'!$E$6:$E$405='Input_Meci'!E52)+('Istoric_Nativ'!$F$6:$F$405='Input_Meci'!E52))&gt;0)*('Istoric_Nativ'!$D$6:$D$405&gt;='Motor_Meciuri'!BN52))&gt;0)*('Istoric_Nativ'!$Q$6:$Q$405&lt;=H652))/AL652)</x:f>
      </x:c>
      <x:c r="R652" s="10" t="str">
        <x:f>IF(OR(NOT(AND(J652="PASS",'Calibrare_Linii'!U8="VALID")),AM652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O52)+((('Istoric_Nativ'!$E$6:$E$405='Input_Meci'!E52)+('Istoric_Nativ'!$F$6:$F$405='Input_Meci'!E52))&gt;0)*('Istoric_Nativ'!$D$6:$D$405&gt;='Motor_Meciuri'!BP52))&gt;0)*('Istoric_Nativ'!$Q$6:$Q$405&lt;=H652))/AM652)</x:f>
      </x:c>
      <x:c r="S652" s="10" t="str">
        <x:f>IF(M652="","",MAX(O652,P652,Q652,R652))</x:f>
      </x:c>
      <x:c r="T652" s="11" t="str">
        <x:f>IF(M652="","",MIN(100,S652*100*'Config_v6'!$B$44+MIN(100,L652/'Config_v6'!$B$13*100)*'Config_v6'!$B$45+(100-'Motor_Meciuri'!BF52)*'Config_v6'!$B$46+'Motor_Meciuri'!BH52*100*'Config_v6'!$B$47))</x:f>
      </x:c>
      <x:c r="U652" s="2" t="str">
        <x:f>IF(T652="","",IF(T652&lt;=20,1,IF(T652&lt;=40,2,IF(T652&lt;=60,3,IF(T652&lt;=80,4,5)))))</x:f>
      </x:c>
      <x:c r="V652" s="2" t="str">
        <x:f>IF(M652="","",MAX(0,'Motor_Meciuri'!BF52-IF(W652="OOS PENDING",'Config_v6'!$B$35,0)-IF(L652&gt;'Config_v6'!$B$12,'Config_v6'!$B$37,IF(L652&gt;'Config_v6'!$B$11,'Config_v6'!$B$36,0))))</x:f>
      </x:c>
      <x:c r="W652" s="2" t="str">
        <x:f>IF(B652="","",IF(I652&lt;&gt;"READY","NOT RELEASED",IF(NOT(AND(J652="PASS",'Calibrare_Linii'!U8="VALID")),"INVALID",IF(NOT(AND('Calibrare_Linii'!S8="VALIDATED",AND('Calibrare_Linii'!H8=C652,ISNUMBER('Calibrare_Linii'!J8),'Calibrare_Linii'!J8&lt;='Input_Meci'!G52))),"OOS PENDING",IF(S652&lt;='Calibrare_Linii'!E8,"PASS",IF(S652&lt;='Calibrare_Linii'!F8,"PENALTY","WATCH"))))))</x:f>
      </x:c>
      <x:c r="X652" s="2" t="str">
        <x:f>IF(M652="","",IF(AND(AND(J652="PASS",'Calibrare_Linii'!U8="VALID"),'Motor_Meciuri'!K52=12,'Motor_Meciuri'!L52=12,'Motor_Meciuri'!M52="NO",'Motor_Meciuri'!BL52='Motor_Meciuri'!C52,AB652&gt;='Config_v6'!$B$50,AN652&gt;='Config_v6'!$B$51,T652&lt;='Config_v6'!$B$52,L652&lt;='Config_v6'!$B$53,ISNUMBER('Calibrare_Linii'!E8),S652&lt;='Calibrare_Linii'!E8,SUM(AK652:AM652)&gt;0),"CANDIDATE","NO"))</x:f>
      </x:c>
      <x:c r="Y652" s="2" t="str">
        <x:f>IF(B652="","",IF(I652&lt;&gt;"READY","NOT RELEASED",IF(AND(X652="CANDIDATE",V652&gt;='Config_v6'!$B$51,W652="PASS",'Calibrare_Linii'!T8="VALIDATED",AND('Calibrare_Linii'!H8=C652,ISNUMBER('Calibrare_Linii'!J8),'Calibrare_Linii'!J8&lt;='Input_Meci'!G52)),"PASS",IF(X652="CANDIDATE","OOS PENDING","FAIL"))))</x:f>
      </x:c>
      <x:c r="Z652" s="2" t="str">
        <x:f>IF(B652="","",IF(I652&lt;&gt;"READY","",IF(OR(NOT(AND(J652="PASS",'Calibrare_Linii'!U8="VALID")),L652&gt;'Config_v6'!$B$13,W652="WATCH"),5,IF(Y652="PASS",1,MIN(5,MAX('Config_v6'!$B$42,U652)+IF(W652="PENALTY",1,0))))))</x:f>
      </x:c>
      <x:c r="AA652" s="2" t="str">
        <x:f>IF(B652="","",IF(I652&lt;&gt;"READY","NOT RELEASED",IF(Z652=5,"NO BET",IF(OR(AB652&lt;'Config_v6'!$B$16,V652&lt;'Config_v6'!$B$18),"WATCH",IF(Z652=1,"DEFENSIV",IF(Z652=2,"PRUDENT",IF(Z652=3,"MODERAT","RIDICAT")))))))</x:f>
      </x:c>
      <x:c r="AB652" s="10" t="str">
        <x:f>IF(N652="","",MIN(N652,1-S652))</x:f>
      </x:c>
      <x:c r="AC652" s="2" t="str">
        <x:f>IF(AD652&lt;&gt;1,"",COUNTIFS($Z$650:$Z$663,"&lt;"&amp;Z652,$AD$650:$AD$663,1)+COUNTIFS($Z$650:$Z$663,Z652,$AB$650:$AB$663,"&gt;"&amp;AB652,$AD$650:$AD$663,1)+COUNTIFS($Z$650:$Z$663,Z652,$AB$650:$AB$663,AB652,$V$650:$V$663,"&gt;"&amp;V652,$AD$650:$AD$663,1)+COUNTIFS($Z$650:Z652,Z652,$AB$650:AB652,AB652,$V$650:V652,V652,$AD$650:AD652,1))</x:f>
      </x:c>
      <x:c r="AD652" s="2" t="n">
        <x:f>IF(OR(AA652="DEFENSIV",AA652="PRUDENT",AA652="MODERAT",AA652="RIDICAT"),1,0)</x:f>
        <x:v>0</x:v>
      </x:c>
      <x:c r="AE652" s="2" t="str">
        <x:f>IF(AD652&lt;&gt;1,"NO",IF(W652="PASS","YES",IF(W652="OOS PENDING","CONDITIONAL","NO")))</x:f>
        <x:v>NO</x:v>
      </x:c>
      <x:c r="AF652" s="2" t="n">
        <x:f>IF(AND(AD652=1,AC652=1,E652="LIVE"),1,0)</x:f>
        <x:v>0</x:v>
      </x:c>
      <x:c r="AG652" s="2" t="str">
        <x:f>IF(AF652&lt;&gt;1,"",'Dashboard'!P72)</x:f>
      </x:c>
      <x:c r="AH652" s="2" t="str">
        <x:f>IF(B652="","",IF(J652&lt;&gt;"PASS",'Motor_Meciuri'!J52,IF('Calibrare_Linii'!U8&lt;&gt;"VALID","Parametri linie invalizi",IF(L652&gt;'Config_v6'!$B$13,"Dispersie peste limita",IF(W652="WATCH","Failure peste limita",IF(AB652&lt;'Config_v6'!$B$16,"P finala sub prag",IF(V652&lt;'Config_v6'!$B$18,"Confidence sub prag",IF(E652="REPLAY","Exemplu retrospectiv; exclus din Top LIVE",IF(Y652="PASS","DEFENSIV validat",IF(W652="OOS PENDING","Eligibil; calibrare linie in monitorizare","Eligibil"))))))))))</x:f>
      </x:c>
      <x:c r="AI652" s="2" t="str">
        <x:f>IF(B652="","",'Calibrare_Linii'!V8)</x:f>
      </x:c>
      <x:c r="AJ652" s="2" t="str">
        <x:f>IF(B652="","",IF(AND('Calibrare_Linii'!T8="VALIDATED",AND('Calibrare_Linii'!H8=C652,ISNUMBER('Calibrare_Linii'!J8),'Calibrare_Linii'!J8&lt;='Input_Meci'!G52)),"DEFENSIVE VALIDATED",IF(AND('Calibrare_Linii'!S8="VALIDATED",AND('Calibrare_Linii'!H8=C652,ISNUMBER('Calibrare_Linii'!J8),'Calibrare_Linii'!J8&lt;='Input_Meci'!G52)),"TAIL VALIDATED","OOS PENDING")))</x:f>
      </x:c>
      <x:c r="AK652" s="2" t="n">
        <x:f>IF(J652&lt;&gt;"PASS",0,'Motor_Meciuri'!BR52)</x:f>
        <x:v>0</x:v>
      </x:c>
      <x:c r="AL652" s="2" t="n">
        <x:f>IF(J652&lt;&gt;"PASS",0,'Motor_Meciuri'!BS52)</x:f>
        <x:v>0</x:v>
      </x:c>
      <x:c r="AM652" s="2" t="n">
        <x:f>IF(J652&lt;&gt;"PASS",0,'Motor_Meciuri'!BT52)</x:f>
        <x:v>0</x:v>
      </x:c>
      <x:c r="AN652" s="2" t="str">
        <x:f>IF(M652="","",MAX(0,'Motor_Meciuri'!BF52-IF(L652&gt;'Config_v6'!$B$12,'Config_v6'!$B$37,IF(L652&gt;'Config_v6'!$B$11,'Config_v6'!$B$36,0))))</x:f>
      </x:c>
    </x:row>
    <x:row r="653" ht="21" customHeight="1">
      <x:c r="A653" s="2" t="n">
        <x:v>47</x:v>
      </x:c>
      <x:c r="B653" s="2" t="str">
        <x:f>IF('Motor_Meciuri'!A52="","",'Motor_Meciuri'!A52)</x:f>
      </x:c>
      <x:c r="C653" s="2" t="str">
        <x:f>IF(B653="","",'Motor_Meciuri'!B52)</x:f>
      </x:c>
      <x:c r="D653" s="2" t="str">
        <x:f>IF(B653="","",'Motor_Meciuri'!D52)</x:f>
      </x:c>
      <x:c r="E653" s="2" t="str">
        <x:f>IF(B653="","",'Motor_Meciuri'!E52)</x:f>
      </x:c>
      <x:c r="F653" s="2" t="str">
        <x:v>O6,5</x:v>
      </x:c>
      <x:c r="G653" s="2" t="str">
        <x:v>OVER</x:v>
      </x:c>
      <x:c r="H653" s="2" t="n">
        <x:v>6</x:v>
      </x:c>
      <x:c r="I653" s="2" t="str">
        <x:f>IF(B653="","",'Motor_Meciuri'!H52)</x:f>
      </x:c>
      <x:c r="J653" s="2" t="str">
        <x:f>IF(B653="","",'Motor_Meciuri'!I52)</x:f>
      </x:c>
      <x:c r="K653" s="11" t="str">
        <x:f>IF(J653&lt;&gt;"PASS","",'Motor_Meciuri'!BD52)</x:f>
      </x:c>
      <x:c r="L653" s="11" t="str">
        <x:f>IF(J653&lt;&gt;"PASS","",'Motor_Meciuri'!AU52)</x:f>
      </x:c>
      <x:c r="M653" s="10" t="str">
        <x:f>IF(NOT(AND(J653="PASS",'Calibrare_Linii'!U9="VALID")),"",1-'Distributie'!AD52)</x:f>
      </x:c>
      <x:c r="N653" s="10" t="str">
        <x:f>IF(M653="","",MAX(0.01,MIN(0.99,0.5+(M653-0.5)*'Motor_Meciuri'!BG52*'Calibrare_Linii'!D9)))</x:f>
      </x:c>
      <x:c r="O653" s="10" t="str">
        <x:f>IF(M653="","",1-M653)</x:f>
      </x:c>
      <x:c r="P653" s="10" t="str">
        <x:f>IF(OR(NOT(AND(J653="PASS",'Calibrare_Linii'!U9="VALID")),AK653=0),""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*('Istoric_Nativ'!$Q$6:$Q$405&lt;=H653))/AK653)</x:f>
      </x:c>
      <x:c r="Q653" s="10" t="str">
        <x:f>IF(OR(NOT(AND(J653="PASS",'Calibrare_Linii'!U9="VALID")),AL653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M52)+((('Istoric_Nativ'!$E$6:$E$405='Input_Meci'!E52)+('Istoric_Nativ'!$F$6:$F$405='Input_Meci'!E52))&gt;0)*('Istoric_Nativ'!$D$6:$D$405&gt;='Motor_Meciuri'!BN52))&gt;0)*('Istoric_Nativ'!$Q$6:$Q$405&lt;=H653))/AL653)</x:f>
      </x:c>
      <x:c r="R653" s="10" t="str">
        <x:f>IF(OR(NOT(AND(J653="PASS",'Calibrare_Linii'!U9="VALID")),AM653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O52)+((('Istoric_Nativ'!$E$6:$E$405='Input_Meci'!E52)+('Istoric_Nativ'!$F$6:$F$405='Input_Meci'!E52))&gt;0)*('Istoric_Nativ'!$D$6:$D$405&gt;='Motor_Meciuri'!BP52))&gt;0)*('Istoric_Nativ'!$Q$6:$Q$405&lt;=H653))/AM653)</x:f>
      </x:c>
      <x:c r="S653" s="10" t="str">
        <x:f>IF(M653="","",MAX(O653,P653,Q653,R653))</x:f>
      </x:c>
      <x:c r="T653" s="11" t="str">
        <x:f>IF(M653="","",MIN(100,S653*100*'Config_v6'!$B$44+MIN(100,L653/'Config_v6'!$B$13*100)*'Config_v6'!$B$45+(100-'Motor_Meciuri'!BF52)*'Config_v6'!$B$46+'Motor_Meciuri'!BH52*100*'Config_v6'!$B$47))</x:f>
      </x:c>
      <x:c r="U653" s="2" t="str">
        <x:f>IF(T653="","",IF(T653&lt;=20,1,IF(T653&lt;=40,2,IF(T653&lt;=60,3,IF(T653&lt;=80,4,5)))))</x:f>
      </x:c>
      <x:c r="V653" s="2" t="str">
        <x:f>IF(M653="","",MAX(0,'Motor_Meciuri'!BF52-IF(W653="OOS PENDING",'Config_v6'!$B$35,0)-IF(L653&gt;'Config_v6'!$B$12,'Config_v6'!$B$37,IF(L653&gt;'Config_v6'!$B$11,'Config_v6'!$B$36,0))))</x:f>
      </x:c>
      <x:c r="W653" s="2" t="str">
        <x:f>IF(B653="","",IF(I653&lt;&gt;"READY","NOT RELEASED",IF(NOT(AND(J653="PASS",'Calibrare_Linii'!U9="VALID")),"INVALID",IF(NOT(AND('Calibrare_Linii'!S9="VALIDATED",AND('Calibrare_Linii'!H9=C653,ISNUMBER('Calibrare_Linii'!J9),'Calibrare_Linii'!J9&lt;='Input_Meci'!G52))),"OOS PENDING",IF(S653&lt;='Calibrare_Linii'!E9,"PASS",IF(S653&lt;='Calibrare_Linii'!F9,"PENALTY","WATCH"))))))</x:f>
      </x:c>
      <x:c r="X653" s="2" t="str">
        <x:f>IF(M653="","",IF(AND(AND(J653="PASS",'Calibrare_Linii'!U9="VALID"),'Motor_Meciuri'!K52=12,'Motor_Meciuri'!L52=12,'Motor_Meciuri'!M52="NO",'Motor_Meciuri'!BL52='Motor_Meciuri'!C52,AB653&gt;='Config_v6'!$B$50,AN653&gt;='Config_v6'!$B$51,T653&lt;='Config_v6'!$B$52,L653&lt;='Config_v6'!$B$53,ISNUMBER('Calibrare_Linii'!E9),S653&lt;='Calibrare_Linii'!E9,SUM(AK653:AM653)&gt;0),"CANDIDATE","NO"))</x:f>
      </x:c>
      <x:c r="Y653" s="2" t="str">
        <x:f>IF(B653="","",IF(I653&lt;&gt;"READY","NOT RELEASED",IF(AND(X653="CANDIDATE",V653&gt;='Config_v6'!$B$51,W653="PASS",'Calibrare_Linii'!T9="VALIDATED",AND('Calibrare_Linii'!H9=C653,ISNUMBER('Calibrare_Linii'!J9),'Calibrare_Linii'!J9&lt;='Input_Meci'!G52)),"PASS",IF(X653="CANDIDATE","OOS PENDING","FAIL"))))</x:f>
      </x:c>
      <x:c r="Z653" s="2" t="str">
        <x:f>IF(B653="","",IF(I653&lt;&gt;"READY","",IF(OR(NOT(AND(J653="PASS",'Calibrare_Linii'!U9="VALID")),L653&gt;'Config_v6'!$B$13,W653="WATCH"),5,IF(Y653="PASS",1,MIN(5,MAX('Config_v6'!$B$42,U653)+IF(W653="PENALTY",1,0))))))</x:f>
      </x:c>
      <x:c r="AA653" s="2" t="str">
        <x:f>IF(B653="","",IF(I653&lt;&gt;"READY","NOT RELEASED",IF(Z653=5,"NO BET",IF(OR(AB653&lt;'Config_v6'!$B$16,V653&lt;'Config_v6'!$B$18),"WATCH",IF(Z653=1,"DEFENSIV",IF(Z653=2,"PRUDENT",IF(Z653=3,"MODERAT","RIDICAT")))))))</x:f>
      </x:c>
      <x:c r="AB653" s="10" t="str">
        <x:f>IF(N653="","",MIN(N653,1-S653))</x:f>
      </x:c>
      <x:c r="AC653" s="2" t="str">
        <x:f>IF(AD653&lt;&gt;1,"",COUNTIFS($Z$650:$Z$663,"&lt;"&amp;Z653,$AD$650:$AD$663,1)+COUNTIFS($Z$650:$Z$663,Z653,$AB$650:$AB$663,"&gt;"&amp;AB653,$AD$650:$AD$663,1)+COUNTIFS($Z$650:$Z$663,Z653,$AB$650:$AB$663,AB653,$V$650:$V$663,"&gt;"&amp;V653,$AD$650:$AD$663,1)+COUNTIFS($Z$650:Z653,Z653,$AB$650:AB653,AB653,$V$650:V653,V653,$AD$650:AD653,1))</x:f>
      </x:c>
      <x:c r="AD653" s="2" t="n">
        <x:f>IF(OR(AA653="DEFENSIV",AA653="PRUDENT",AA653="MODERAT",AA653="RIDICAT"),1,0)</x:f>
        <x:v>0</x:v>
      </x:c>
      <x:c r="AE653" s="2" t="str">
        <x:f>IF(AD653&lt;&gt;1,"NO",IF(W653="PASS","YES",IF(W653="OOS PENDING","CONDITIONAL","NO")))</x:f>
        <x:v>NO</x:v>
      </x:c>
      <x:c r="AF653" s="2" t="n">
        <x:f>IF(AND(AD653=1,AC653=1,E653="LIVE"),1,0)</x:f>
        <x:v>0</x:v>
      </x:c>
      <x:c r="AG653" s="2" t="str">
        <x:f>IF(AF653&lt;&gt;1,"",'Dashboard'!P72)</x:f>
      </x:c>
      <x:c r="AH653" s="2" t="str">
        <x:f>IF(B653="","",IF(J653&lt;&gt;"PASS",'Motor_Meciuri'!J52,IF('Calibrare_Linii'!U9&lt;&gt;"VALID","Parametri linie invalizi",IF(L653&gt;'Config_v6'!$B$13,"Dispersie peste limita",IF(W653="WATCH","Failure peste limita",IF(AB653&lt;'Config_v6'!$B$16,"P finala sub prag",IF(V653&lt;'Config_v6'!$B$18,"Confidence sub prag",IF(E653="REPLAY","Exemplu retrospectiv; exclus din Top LIVE",IF(Y653="PASS","DEFENSIV validat",IF(W653="OOS PENDING","Eligibil; calibrare linie in monitorizare","Eligibil"))))))))))</x:f>
      </x:c>
      <x:c r="AI653" s="2" t="str">
        <x:f>IF(B653="","",'Calibrare_Linii'!V9)</x:f>
      </x:c>
      <x:c r="AJ653" s="2" t="str">
        <x:f>IF(B653="","",IF(AND('Calibrare_Linii'!T9="VALIDATED",AND('Calibrare_Linii'!H9=C653,ISNUMBER('Calibrare_Linii'!J9),'Calibrare_Linii'!J9&lt;='Input_Meci'!G52)),"DEFENSIVE VALIDATED",IF(AND('Calibrare_Linii'!S9="VALIDATED",AND('Calibrare_Linii'!H9=C653,ISNUMBER('Calibrare_Linii'!J9),'Calibrare_Linii'!J9&lt;='Input_Meci'!G52)),"TAIL VALIDATED","OOS PENDING")))</x:f>
      </x:c>
      <x:c r="AK653" s="2" t="n">
        <x:f>IF(J653&lt;&gt;"PASS",0,'Motor_Meciuri'!BR52)</x:f>
        <x:v>0</x:v>
      </x:c>
      <x:c r="AL653" s="2" t="n">
        <x:f>IF(J653&lt;&gt;"PASS",0,'Motor_Meciuri'!BS52)</x:f>
        <x:v>0</x:v>
      </x:c>
      <x:c r="AM653" s="2" t="n">
        <x:f>IF(J653&lt;&gt;"PASS",0,'Motor_Meciuri'!BT52)</x:f>
        <x:v>0</x:v>
      </x:c>
      <x:c r="AN653" s="2" t="str">
        <x:f>IF(M653="","",MAX(0,'Motor_Meciuri'!BF52-IF(L653&gt;'Config_v6'!$B$12,'Config_v6'!$B$37,IF(L653&gt;'Config_v6'!$B$11,'Config_v6'!$B$36,0))))</x:f>
      </x:c>
    </x:row>
    <x:row r="654" ht="21" customHeight="1">
      <x:c r="A654" s="2" t="n">
        <x:v>47</x:v>
      </x:c>
      <x:c r="B654" s="2" t="str">
        <x:f>IF('Motor_Meciuri'!A52="","",'Motor_Meciuri'!A52)</x:f>
      </x:c>
      <x:c r="C654" s="2" t="str">
        <x:f>IF(B654="","",'Motor_Meciuri'!B52)</x:f>
      </x:c>
      <x:c r="D654" s="2" t="str">
        <x:f>IF(B654="","",'Motor_Meciuri'!D52)</x:f>
      </x:c>
      <x:c r="E654" s="2" t="str">
        <x:f>IF(B654="","",'Motor_Meciuri'!E52)</x:f>
      </x:c>
      <x:c r="F654" s="2" t="str">
        <x:v>O7,5</x:v>
      </x:c>
      <x:c r="G654" s="2" t="str">
        <x:v>OVER</x:v>
      </x:c>
      <x:c r="H654" s="2" t="n">
        <x:v>7</x:v>
      </x:c>
      <x:c r="I654" s="2" t="str">
        <x:f>IF(B654="","",'Motor_Meciuri'!H52)</x:f>
      </x:c>
      <x:c r="J654" s="2" t="str">
        <x:f>IF(B654="","",'Motor_Meciuri'!I52)</x:f>
      </x:c>
      <x:c r="K654" s="11" t="str">
        <x:f>IF(J654&lt;&gt;"PASS","",'Motor_Meciuri'!BD52)</x:f>
      </x:c>
      <x:c r="L654" s="11" t="str">
        <x:f>IF(J654&lt;&gt;"PASS","",'Motor_Meciuri'!AU52)</x:f>
      </x:c>
      <x:c r="M654" s="10" t="str">
        <x:f>IF(NOT(AND(J654="PASS",'Calibrare_Linii'!U10="VALID")),"",1-'Distributie'!AE52)</x:f>
      </x:c>
      <x:c r="N654" s="10" t="str">
        <x:f>IF(M654="","",MAX(0.01,MIN(0.99,0.5+(M654-0.5)*'Motor_Meciuri'!BG52*'Calibrare_Linii'!D10)))</x:f>
      </x:c>
      <x:c r="O654" s="10" t="str">
        <x:f>IF(M654="","",1-M654)</x:f>
      </x:c>
      <x:c r="P654" s="10" t="str">
        <x:f>IF(OR(NOT(AND(J654="PASS",'Calibrare_Linii'!U10="VALID")),AK654=0),""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*('Istoric_Nativ'!$Q$6:$Q$405&lt;=H654))/AK654)</x:f>
      </x:c>
      <x:c r="Q654" s="10" t="str">
        <x:f>IF(OR(NOT(AND(J654="PASS",'Calibrare_Linii'!U10="VALID")),AL654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M52)+((('Istoric_Nativ'!$E$6:$E$405='Input_Meci'!E52)+('Istoric_Nativ'!$F$6:$F$405='Input_Meci'!E52))&gt;0)*('Istoric_Nativ'!$D$6:$D$405&gt;='Motor_Meciuri'!BN52))&gt;0)*('Istoric_Nativ'!$Q$6:$Q$405&lt;=H654))/AL654)</x:f>
      </x:c>
      <x:c r="R654" s="10" t="str">
        <x:f>IF(OR(NOT(AND(J654="PASS",'Calibrare_Linii'!U10="VALID")),AM654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O52)+((('Istoric_Nativ'!$E$6:$E$405='Input_Meci'!E52)+('Istoric_Nativ'!$F$6:$F$405='Input_Meci'!E52))&gt;0)*('Istoric_Nativ'!$D$6:$D$405&gt;='Motor_Meciuri'!BP52))&gt;0)*('Istoric_Nativ'!$Q$6:$Q$405&lt;=H654))/AM654)</x:f>
      </x:c>
      <x:c r="S654" s="10" t="str">
        <x:f>IF(M654="","",MAX(O654,P654,Q654,R654))</x:f>
      </x:c>
      <x:c r="T654" s="11" t="str">
        <x:f>IF(M654="","",MIN(100,S654*100*'Config_v6'!$B$44+MIN(100,L654/'Config_v6'!$B$13*100)*'Config_v6'!$B$45+(100-'Motor_Meciuri'!BF52)*'Config_v6'!$B$46+'Motor_Meciuri'!BH52*100*'Config_v6'!$B$47))</x:f>
      </x:c>
      <x:c r="U654" s="2" t="str">
        <x:f>IF(T654="","",IF(T654&lt;=20,1,IF(T654&lt;=40,2,IF(T654&lt;=60,3,IF(T654&lt;=80,4,5)))))</x:f>
      </x:c>
      <x:c r="V654" s="2" t="str">
        <x:f>IF(M654="","",MAX(0,'Motor_Meciuri'!BF52-IF(W654="OOS PENDING",'Config_v6'!$B$35,0)-IF(L654&gt;'Config_v6'!$B$12,'Config_v6'!$B$37,IF(L654&gt;'Config_v6'!$B$11,'Config_v6'!$B$36,0))))</x:f>
      </x:c>
      <x:c r="W654" s="2" t="str">
        <x:f>IF(B654="","",IF(I654&lt;&gt;"READY","NOT RELEASED",IF(NOT(AND(J654="PASS",'Calibrare_Linii'!U10="VALID")),"INVALID",IF(NOT(AND('Calibrare_Linii'!S10="VALIDATED",AND('Calibrare_Linii'!H10=C654,ISNUMBER('Calibrare_Linii'!J10),'Calibrare_Linii'!J10&lt;='Input_Meci'!G52))),"OOS PENDING",IF(S654&lt;='Calibrare_Linii'!E10,"PASS",IF(S654&lt;='Calibrare_Linii'!F10,"PENALTY","WATCH"))))))</x:f>
      </x:c>
      <x:c r="X654" s="2" t="str">
        <x:f>IF(M654="","",IF(AND(AND(J654="PASS",'Calibrare_Linii'!U10="VALID"),'Motor_Meciuri'!K52=12,'Motor_Meciuri'!L52=12,'Motor_Meciuri'!M52="NO",'Motor_Meciuri'!BL52='Motor_Meciuri'!C52,AB654&gt;='Config_v6'!$B$50,AN654&gt;='Config_v6'!$B$51,T654&lt;='Config_v6'!$B$52,L654&lt;='Config_v6'!$B$53,ISNUMBER('Calibrare_Linii'!E10),S654&lt;='Calibrare_Linii'!E10,SUM(AK654:AM654)&gt;0),"CANDIDATE","NO"))</x:f>
      </x:c>
      <x:c r="Y654" s="2" t="str">
        <x:f>IF(B654="","",IF(I654&lt;&gt;"READY","NOT RELEASED",IF(AND(X654="CANDIDATE",V654&gt;='Config_v6'!$B$51,W654="PASS",'Calibrare_Linii'!T10="VALIDATED",AND('Calibrare_Linii'!H10=C654,ISNUMBER('Calibrare_Linii'!J10),'Calibrare_Linii'!J10&lt;='Input_Meci'!G52)),"PASS",IF(X654="CANDIDATE","OOS PENDING","FAIL"))))</x:f>
      </x:c>
      <x:c r="Z654" s="2" t="str">
        <x:f>IF(B654="","",IF(I654&lt;&gt;"READY","",IF(OR(NOT(AND(J654="PASS",'Calibrare_Linii'!U10="VALID")),L654&gt;'Config_v6'!$B$13,W654="WATCH"),5,IF(Y654="PASS",1,MIN(5,MAX('Config_v6'!$B$42,U654)+IF(W654="PENALTY",1,0))))))</x:f>
      </x:c>
      <x:c r="AA654" s="2" t="str">
        <x:f>IF(B654="","",IF(I654&lt;&gt;"READY","NOT RELEASED",IF(Z654=5,"NO BET",IF(OR(AB654&lt;'Config_v6'!$B$16,V654&lt;'Config_v6'!$B$18),"WATCH",IF(Z654=1,"DEFENSIV",IF(Z654=2,"PRUDENT",IF(Z654=3,"MODERAT","RIDICAT")))))))</x:f>
      </x:c>
      <x:c r="AB654" s="10" t="str">
        <x:f>IF(N654="","",MIN(N654,1-S654))</x:f>
      </x:c>
      <x:c r="AC654" s="2" t="str">
        <x:f>IF(AD654&lt;&gt;1,"",COUNTIFS($Z$650:$Z$663,"&lt;"&amp;Z654,$AD$650:$AD$663,1)+COUNTIFS($Z$650:$Z$663,Z654,$AB$650:$AB$663,"&gt;"&amp;AB654,$AD$650:$AD$663,1)+COUNTIFS($Z$650:$Z$663,Z654,$AB$650:$AB$663,AB654,$V$650:$V$663,"&gt;"&amp;V654,$AD$650:$AD$663,1)+COUNTIFS($Z$650:Z654,Z654,$AB$650:AB654,AB654,$V$650:V654,V654,$AD$650:AD654,1))</x:f>
      </x:c>
      <x:c r="AD654" s="2" t="n">
        <x:f>IF(OR(AA654="DEFENSIV",AA654="PRUDENT",AA654="MODERAT",AA654="RIDICAT"),1,0)</x:f>
        <x:v>0</x:v>
      </x:c>
      <x:c r="AE654" s="2" t="str">
        <x:f>IF(AD654&lt;&gt;1,"NO",IF(W654="PASS","YES",IF(W654="OOS PENDING","CONDITIONAL","NO")))</x:f>
        <x:v>NO</x:v>
      </x:c>
      <x:c r="AF654" s="2" t="n">
        <x:f>IF(AND(AD654=1,AC654=1,E654="LIVE"),1,0)</x:f>
        <x:v>0</x:v>
      </x:c>
      <x:c r="AG654" s="2" t="str">
        <x:f>IF(AF654&lt;&gt;1,"",'Dashboard'!P72)</x:f>
      </x:c>
      <x:c r="AH654" s="2" t="str">
        <x:f>IF(B654="","",IF(J654&lt;&gt;"PASS",'Motor_Meciuri'!J52,IF('Calibrare_Linii'!U10&lt;&gt;"VALID","Parametri linie invalizi",IF(L654&gt;'Config_v6'!$B$13,"Dispersie peste limita",IF(W654="WATCH","Failure peste limita",IF(AB654&lt;'Config_v6'!$B$16,"P finala sub prag",IF(V654&lt;'Config_v6'!$B$18,"Confidence sub prag",IF(E654="REPLAY","Exemplu retrospectiv; exclus din Top LIVE",IF(Y654="PASS","DEFENSIV validat",IF(W654="OOS PENDING","Eligibil; calibrare linie in monitorizare","Eligibil"))))))))))</x:f>
      </x:c>
      <x:c r="AI654" s="2" t="str">
        <x:f>IF(B654="","",'Calibrare_Linii'!V10)</x:f>
      </x:c>
      <x:c r="AJ654" s="2" t="str">
        <x:f>IF(B654="","",IF(AND('Calibrare_Linii'!T10="VALIDATED",AND('Calibrare_Linii'!H10=C654,ISNUMBER('Calibrare_Linii'!J10),'Calibrare_Linii'!J10&lt;='Input_Meci'!G52)),"DEFENSIVE VALIDATED",IF(AND('Calibrare_Linii'!S10="VALIDATED",AND('Calibrare_Linii'!H10=C654,ISNUMBER('Calibrare_Linii'!J10),'Calibrare_Linii'!J10&lt;='Input_Meci'!G52)),"TAIL VALIDATED","OOS PENDING")))</x:f>
      </x:c>
      <x:c r="AK654" s="2" t="n">
        <x:f>IF(J654&lt;&gt;"PASS",0,'Motor_Meciuri'!BR52)</x:f>
        <x:v>0</x:v>
      </x:c>
      <x:c r="AL654" s="2" t="n">
        <x:f>IF(J654&lt;&gt;"PASS",0,'Motor_Meciuri'!BS52)</x:f>
        <x:v>0</x:v>
      </x:c>
      <x:c r="AM654" s="2" t="n">
        <x:f>IF(J654&lt;&gt;"PASS",0,'Motor_Meciuri'!BT52)</x:f>
        <x:v>0</x:v>
      </x:c>
      <x:c r="AN654" s="2" t="str">
        <x:f>IF(M654="","",MAX(0,'Motor_Meciuri'!BF52-IF(L654&gt;'Config_v6'!$B$12,'Config_v6'!$B$37,IF(L654&gt;'Config_v6'!$B$11,'Config_v6'!$B$36,0))))</x:f>
      </x:c>
    </x:row>
    <x:row r="655" ht="21" customHeight="1">
      <x:c r="A655" s="2" t="n">
        <x:v>47</x:v>
      </x:c>
      <x:c r="B655" s="2" t="str">
        <x:f>IF('Motor_Meciuri'!A52="","",'Motor_Meciuri'!A52)</x:f>
      </x:c>
      <x:c r="C655" s="2" t="str">
        <x:f>IF(B655="","",'Motor_Meciuri'!B52)</x:f>
      </x:c>
      <x:c r="D655" s="2" t="str">
        <x:f>IF(B655="","",'Motor_Meciuri'!D52)</x:f>
      </x:c>
      <x:c r="E655" s="2" t="str">
        <x:f>IF(B655="","",'Motor_Meciuri'!E52)</x:f>
      </x:c>
      <x:c r="F655" s="2" t="str">
        <x:v>O8,5</x:v>
      </x:c>
      <x:c r="G655" s="2" t="str">
        <x:v>OVER</x:v>
      </x:c>
      <x:c r="H655" s="2" t="n">
        <x:v>8</x:v>
      </x:c>
      <x:c r="I655" s="2" t="str">
        <x:f>IF(B655="","",'Motor_Meciuri'!H52)</x:f>
      </x:c>
      <x:c r="J655" s="2" t="str">
        <x:f>IF(B655="","",'Motor_Meciuri'!I52)</x:f>
      </x:c>
      <x:c r="K655" s="11" t="str">
        <x:f>IF(J655&lt;&gt;"PASS","",'Motor_Meciuri'!BD52)</x:f>
      </x:c>
      <x:c r="L655" s="11" t="str">
        <x:f>IF(J655&lt;&gt;"PASS","",'Motor_Meciuri'!AU52)</x:f>
      </x:c>
      <x:c r="M655" s="10" t="str">
        <x:f>IF(NOT(AND(J655="PASS",'Calibrare_Linii'!U11="VALID")),"",1-'Distributie'!AF52)</x:f>
      </x:c>
      <x:c r="N655" s="10" t="str">
        <x:f>IF(M655="","",MAX(0.01,MIN(0.99,0.5+(M655-0.5)*'Motor_Meciuri'!BG52*'Calibrare_Linii'!D11)))</x:f>
      </x:c>
      <x:c r="O655" s="10" t="str">
        <x:f>IF(M655="","",1-M655)</x:f>
      </x:c>
      <x:c r="P655" s="10" t="str">
        <x:f>IF(OR(NOT(AND(J655="PASS",'Calibrare_Linii'!U11="VALID")),AK655=0),""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*('Istoric_Nativ'!$Q$6:$Q$405&lt;=H655))/AK655)</x:f>
      </x:c>
      <x:c r="Q655" s="10" t="str">
        <x:f>IF(OR(NOT(AND(J655="PASS",'Calibrare_Linii'!U11="VALID")),AL655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M52)+((('Istoric_Nativ'!$E$6:$E$405='Input_Meci'!E52)+('Istoric_Nativ'!$F$6:$F$405='Input_Meci'!E52))&gt;0)*('Istoric_Nativ'!$D$6:$D$405&gt;='Motor_Meciuri'!BN52))&gt;0)*('Istoric_Nativ'!$Q$6:$Q$405&lt;=H655))/AL655)</x:f>
      </x:c>
      <x:c r="R655" s="10" t="str">
        <x:f>IF(OR(NOT(AND(J655="PASS",'Calibrare_Linii'!U11="VALID")),AM655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O52)+((('Istoric_Nativ'!$E$6:$E$405='Input_Meci'!E52)+('Istoric_Nativ'!$F$6:$F$405='Input_Meci'!E52))&gt;0)*('Istoric_Nativ'!$D$6:$D$405&gt;='Motor_Meciuri'!BP52))&gt;0)*('Istoric_Nativ'!$Q$6:$Q$405&lt;=H655))/AM655)</x:f>
      </x:c>
      <x:c r="S655" s="10" t="str">
        <x:f>IF(M655="","",MAX(O655,P655,Q655,R655))</x:f>
      </x:c>
      <x:c r="T655" s="11" t="str">
        <x:f>IF(M655="","",MIN(100,S655*100*'Config_v6'!$B$44+MIN(100,L655/'Config_v6'!$B$13*100)*'Config_v6'!$B$45+(100-'Motor_Meciuri'!BF52)*'Config_v6'!$B$46+'Motor_Meciuri'!BH52*100*'Config_v6'!$B$47))</x:f>
      </x:c>
      <x:c r="U655" s="2" t="str">
        <x:f>IF(T655="","",IF(T655&lt;=20,1,IF(T655&lt;=40,2,IF(T655&lt;=60,3,IF(T655&lt;=80,4,5)))))</x:f>
      </x:c>
      <x:c r="V655" s="2" t="str">
        <x:f>IF(M655="","",MAX(0,'Motor_Meciuri'!BF52-IF(W655="OOS PENDING",'Config_v6'!$B$35,0)-IF(L655&gt;'Config_v6'!$B$12,'Config_v6'!$B$37,IF(L655&gt;'Config_v6'!$B$11,'Config_v6'!$B$36,0))))</x:f>
      </x:c>
      <x:c r="W655" s="2" t="str">
        <x:f>IF(B655="","",IF(I655&lt;&gt;"READY","NOT RELEASED",IF(NOT(AND(J655="PASS",'Calibrare_Linii'!U11="VALID")),"INVALID",IF(NOT(AND('Calibrare_Linii'!S11="VALIDATED",AND('Calibrare_Linii'!H11=C655,ISNUMBER('Calibrare_Linii'!J11),'Calibrare_Linii'!J11&lt;='Input_Meci'!G52))),"OOS PENDING",IF(S655&lt;='Calibrare_Linii'!E11,"PASS",IF(S655&lt;='Calibrare_Linii'!F11,"PENALTY","WATCH"))))))</x:f>
      </x:c>
      <x:c r="X655" s="2" t="str">
        <x:f>IF(M655="","",IF(AND(AND(J655="PASS",'Calibrare_Linii'!U11="VALID"),'Motor_Meciuri'!K52=12,'Motor_Meciuri'!L52=12,'Motor_Meciuri'!M52="NO",'Motor_Meciuri'!BL52='Motor_Meciuri'!C52,AB655&gt;='Config_v6'!$B$50,AN655&gt;='Config_v6'!$B$51,T655&lt;='Config_v6'!$B$52,L655&lt;='Config_v6'!$B$53,ISNUMBER('Calibrare_Linii'!E11),S655&lt;='Calibrare_Linii'!E11,SUM(AK655:AM655)&gt;0),"CANDIDATE","NO"))</x:f>
      </x:c>
      <x:c r="Y655" s="2" t="str">
        <x:f>IF(B655="","",IF(I655&lt;&gt;"READY","NOT RELEASED",IF(AND(X655="CANDIDATE",V655&gt;='Config_v6'!$B$51,W655="PASS",'Calibrare_Linii'!T11="VALIDATED",AND('Calibrare_Linii'!H11=C655,ISNUMBER('Calibrare_Linii'!J11),'Calibrare_Linii'!J11&lt;='Input_Meci'!G52)),"PASS",IF(X655="CANDIDATE","OOS PENDING","FAIL"))))</x:f>
      </x:c>
      <x:c r="Z655" s="2" t="str">
        <x:f>IF(B655="","",IF(I655&lt;&gt;"READY","",IF(OR(NOT(AND(J655="PASS",'Calibrare_Linii'!U11="VALID")),L655&gt;'Config_v6'!$B$13,W655="WATCH"),5,IF(Y655="PASS",1,MIN(5,MAX('Config_v6'!$B$42,U655)+IF(W655="PENALTY",1,0))))))</x:f>
      </x:c>
      <x:c r="AA655" s="2" t="str">
        <x:f>IF(B655="","",IF(I655&lt;&gt;"READY","NOT RELEASED",IF(Z655=5,"NO BET",IF(OR(AB655&lt;'Config_v6'!$B$16,V655&lt;'Config_v6'!$B$18),"WATCH",IF(Z655=1,"DEFENSIV",IF(Z655=2,"PRUDENT",IF(Z655=3,"MODERAT","RIDICAT")))))))</x:f>
      </x:c>
      <x:c r="AB655" s="10" t="str">
        <x:f>IF(N655="","",MIN(N655,1-S655))</x:f>
      </x:c>
      <x:c r="AC655" s="2" t="str">
        <x:f>IF(AD655&lt;&gt;1,"",COUNTIFS($Z$650:$Z$663,"&lt;"&amp;Z655,$AD$650:$AD$663,1)+COUNTIFS($Z$650:$Z$663,Z655,$AB$650:$AB$663,"&gt;"&amp;AB655,$AD$650:$AD$663,1)+COUNTIFS($Z$650:$Z$663,Z655,$AB$650:$AB$663,AB655,$V$650:$V$663,"&gt;"&amp;V655,$AD$650:$AD$663,1)+COUNTIFS($Z$650:Z655,Z655,$AB$650:AB655,AB655,$V$650:V655,V655,$AD$650:AD655,1))</x:f>
      </x:c>
      <x:c r="AD655" s="2" t="n">
        <x:f>IF(OR(AA655="DEFENSIV",AA655="PRUDENT",AA655="MODERAT",AA655="RIDICAT"),1,0)</x:f>
        <x:v>0</x:v>
      </x:c>
      <x:c r="AE655" s="2" t="str">
        <x:f>IF(AD655&lt;&gt;1,"NO",IF(W655="PASS","YES",IF(W655="OOS PENDING","CONDITIONAL","NO")))</x:f>
        <x:v>NO</x:v>
      </x:c>
      <x:c r="AF655" s="2" t="n">
        <x:f>IF(AND(AD655=1,AC655=1,E655="LIVE"),1,0)</x:f>
        <x:v>0</x:v>
      </x:c>
      <x:c r="AG655" s="2" t="str">
        <x:f>IF(AF655&lt;&gt;1,"",'Dashboard'!P72)</x:f>
      </x:c>
      <x:c r="AH655" s="2" t="str">
        <x:f>IF(B655="","",IF(J655&lt;&gt;"PASS",'Motor_Meciuri'!J52,IF('Calibrare_Linii'!U11&lt;&gt;"VALID","Parametri linie invalizi",IF(L655&gt;'Config_v6'!$B$13,"Dispersie peste limita",IF(W655="WATCH","Failure peste limita",IF(AB655&lt;'Config_v6'!$B$16,"P finala sub prag",IF(V655&lt;'Config_v6'!$B$18,"Confidence sub prag",IF(E655="REPLAY","Exemplu retrospectiv; exclus din Top LIVE",IF(Y655="PASS","DEFENSIV validat",IF(W655="OOS PENDING","Eligibil; calibrare linie in monitorizare","Eligibil"))))))))))</x:f>
      </x:c>
      <x:c r="AI655" s="2" t="str">
        <x:f>IF(B655="","",'Calibrare_Linii'!V11)</x:f>
      </x:c>
      <x:c r="AJ655" s="2" t="str">
        <x:f>IF(B655="","",IF(AND('Calibrare_Linii'!T11="VALIDATED",AND('Calibrare_Linii'!H11=C655,ISNUMBER('Calibrare_Linii'!J11),'Calibrare_Linii'!J11&lt;='Input_Meci'!G52)),"DEFENSIVE VALIDATED",IF(AND('Calibrare_Linii'!S11="VALIDATED",AND('Calibrare_Linii'!H11=C655,ISNUMBER('Calibrare_Linii'!J11),'Calibrare_Linii'!J11&lt;='Input_Meci'!G52)),"TAIL VALIDATED","OOS PENDING")))</x:f>
      </x:c>
      <x:c r="AK655" s="2" t="n">
        <x:f>IF(J655&lt;&gt;"PASS",0,'Motor_Meciuri'!BR52)</x:f>
        <x:v>0</x:v>
      </x:c>
      <x:c r="AL655" s="2" t="n">
        <x:f>IF(J655&lt;&gt;"PASS",0,'Motor_Meciuri'!BS52)</x:f>
        <x:v>0</x:v>
      </x:c>
      <x:c r="AM655" s="2" t="n">
        <x:f>IF(J655&lt;&gt;"PASS",0,'Motor_Meciuri'!BT52)</x:f>
        <x:v>0</x:v>
      </x:c>
      <x:c r="AN655" s="2" t="str">
        <x:f>IF(M655="","",MAX(0,'Motor_Meciuri'!BF52-IF(L655&gt;'Config_v6'!$B$12,'Config_v6'!$B$37,IF(L655&gt;'Config_v6'!$B$11,'Config_v6'!$B$36,0))))</x:f>
      </x:c>
    </x:row>
    <x:row r="656" ht="21" customHeight="1">
      <x:c r="A656" s="2" t="n">
        <x:v>47</x:v>
      </x:c>
      <x:c r="B656" s="2" t="str">
        <x:f>IF('Motor_Meciuri'!A52="","",'Motor_Meciuri'!A52)</x:f>
      </x:c>
      <x:c r="C656" s="2" t="str">
        <x:f>IF(B656="","",'Motor_Meciuri'!B52)</x:f>
      </x:c>
      <x:c r="D656" s="2" t="str">
        <x:f>IF(B656="","",'Motor_Meciuri'!D52)</x:f>
      </x:c>
      <x:c r="E656" s="2" t="str">
        <x:f>IF(B656="","",'Motor_Meciuri'!E52)</x:f>
      </x:c>
      <x:c r="F656" s="2" t="str">
        <x:v>U10,5</x:v>
      </x:c>
      <x:c r="G656" s="2" t="str">
        <x:v>UNDER</x:v>
      </x:c>
      <x:c r="H656" s="2" t="n">
        <x:v>10</x:v>
      </x:c>
      <x:c r="I656" s="2" t="str">
        <x:f>IF(B656="","",'Motor_Meciuri'!H52)</x:f>
      </x:c>
      <x:c r="J656" s="2" t="str">
        <x:f>IF(B656="","",'Motor_Meciuri'!I52)</x:f>
      </x:c>
      <x:c r="K656" s="11" t="str">
        <x:f>IF(J656&lt;&gt;"PASS","",'Motor_Meciuri'!BD52)</x:f>
      </x:c>
      <x:c r="L656" s="11" t="str">
        <x:f>IF(J656&lt;&gt;"PASS","",'Motor_Meciuri'!AU52)</x:f>
      </x:c>
      <x:c r="M656" s="10" t="str">
        <x:f>IF(NOT(AND(J656="PASS",'Calibrare_Linii'!U12="VALID")),"",'Distributie'!AH52)</x:f>
      </x:c>
      <x:c r="N656" s="10" t="str">
        <x:f>IF(M656="","",MAX(0.01,MIN(0.99,0.5+(M656-0.5)*'Motor_Meciuri'!BG52*'Calibrare_Linii'!D12)))</x:f>
      </x:c>
      <x:c r="O656" s="10" t="str">
        <x:f>IF(M656="","",1-M656)</x:f>
      </x:c>
      <x:c r="P656" s="10" t="str">
        <x:f>IF(OR(NOT(AND(J656="PASS",'Calibrare_Linii'!U12="VALID")),AK656=0),""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*('Istoric_Nativ'!$Q$6:$Q$405&gt;H656))/AK656)</x:f>
      </x:c>
      <x:c r="Q656" s="10" t="str">
        <x:f>IF(OR(NOT(AND(J656="PASS",'Calibrare_Linii'!U12="VALID")),AL656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M52)+((('Istoric_Nativ'!$E$6:$E$405='Input_Meci'!E52)+('Istoric_Nativ'!$F$6:$F$405='Input_Meci'!E52))&gt;0)*('Istoric_Nativ'!$D$6:$D$405&gt;='Motor_Meciuri'!BN52))&gt;0)*('Istoric_Nativ'!$Q$6:$Q$405&gt;H656))/AL656)</x:f>
      </x:c>
      <x:c r="R656" s="10" t="str">
        <x:f>IF(OR(NOT(AND(J656="PASS",'Calibrare_Linii'!U12="VALID")),AM656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O52)+((('Istoric_Nativ'!$E$6:$E$405='Input_Meci'!E52)+('Istoric_Nativ'!$F$6:$F$405='Input_Meci'!E52))&gt;0)*('Istoric_Nativ'!$D$6:$D$405&gt;='Motor_Meciuri'!BP52))&gt;0)*('Istoric_Nativ'!$Q$6:$Q$405&gt;H656))/AM656)</x:f>
      </x:c>
      <x:c r="S656" s="10" t="str">
        <x:f>IF(M656="","",MAX(O656,P656,Q656,R656))</x:f>
      </x:c>
      <x:c r="T656" s="11" t="str">
        <x:f>IF(M656="","",MIN(100,S656*100*'Config_v6'!$B$44+MIN(100,L656/'Config_v6'!$B$13*100)*'Config_v6'!$B$45+(100-'Motor_Meciuri'!BF52)*'Config_v6'!$B$46+'Motor_Meciuri'!BH52*100*'Config_v6'!$B$47))</x:f>
      </x:c>
      <x:c r="U656" s="2" t="str">
        <x:f>IF(T656="","",IF(T656&lt;=20,1,IF(T656&lt;=40,2,IF(T656&lt;=60,3,IF(T656&lt;=80,4,5)))))</x:f>
      </x:c>
      <x:c r="V656" s="2" t="str">
        <x:f>IF(M656="","",MAX(0,'Motor_Meciuri'!BF52-IF(W656="OOS PENDING",'Config_v6'!$B$35,0)-IF(L656&gt;'Config_v6'!$B$12,'Config_v6'!$B$37,IF(L656&gt;'Config_v6'!$B$11,'Config_v6'!$B$36,0))))</x:f>
      </x:c>
      <x:c r="W656" s="2" t="str">
        <x:f>IF(B656="","",IF(I656&lt;&gt;"READY","NOT RELEASED",IF(NOT(AND(J656="PASS",'Calibrare_Linii'!U12="VALID")),"INVALID",IF(NOT(AND('Calibrare_Linii'!S12="VALIDATED",AND('Calibrare_Linii'!H12=C656,ISNUMBER('Calibrare_Linii'!J12),'Calibrare_Linii'!J12&lt;='Input_Meci'!G52))),"OOS PENDING",IF(S656&lt;='Calibrare_Linii'!E12,"PASS",IF(S656&lt;='Calibrare_Linii'!F12,"PENALTY","WATCH"))))))</x:f>
      </x:c>
      <x:c r="X656" s="2" t="str">
        <x:f>IF(M656="","",IF(AND(AND(J656="PASS",'Calibrare_Linii'!U12="VALID"),'Motor_Meciuri'!K52=12,'Motor_Meciuri'!L52=12,'Motor_Meciuri'!M52="NO",'Motor_Meciuri'!BL52='Motor_Meciuri'!C52,AB656&gt;='Config_v6'!$B$50,AN656&gt;='Config_v6'!$B$51,T656&lt;='Config_v6'!$B$52,L656&lt;='Config_v6'!$B$53,ISNUMBER('Calibrare_Linii'!E12),S656&lt;='Calibrare_Linii'!E12,SUM(AK656:AM656)&gt;0),"CANDIDATE","NO"))</x:f>
      </x:c>
      <x:c r="Y656" s="2" t="str">
        <x:f>IF(B656="","",IF(I656&lt;&gt;"READY","NOT RELEASED",IF(AND(X656="CANDIDATE",V656&gt;='Config_v6'!$B$51,W656="PASS",'Calibrare_Linii'!T12="VALIDATED",AND('Calibrare_Linii'!H12=C656,ISNUMBER('Calibrare_Linii'!J12),'Calibrare_Linii'!J12&lt;='Input_Meci'!G52)),"PASS",IF(X656="CANDIDATE","OOS PENDING","FAIL"))))</x:f>
      </x:c>
      <x:c r="Z656" s="2" t="str">
        <x:f>IF(B656="","",IF(I656&lt;&gt;"READY","",IF(OR(NOT(AND(J656="PASS",'Calibrare_Linii'!U12="VALID")),L656&gt;'Config_v6'!$B$13,W656="WATCH"),5,IF(Y656="PASS",1,MIN(5,MAX('Config_v6'!$B$42,U656)+IF(W656="PENALTY",1,0))))))</x:f>
      </x:c>
      <x:c r="AA656" s="2" t="str">
        <x:f>IF(B656="","",IF(I656&lt;&gt;"READY","NOT RELEASED",IF(Z656=5,"NO BET",IF(OR(AB656&lt;'Config_v6'!$B$16,V656&lt;'Config_v6'!$B$18),"WATCH",IF(Z656=1,"DEFENSIV",IF(Z656=2,"PRUDENT",IF(Z656=3,"MODERAT","RIDICAT")))))))</x:f>
      </x:c>
      <x:c r="AB656" s="10" t="str">
        <x:f>IF(N656="","",MIN(N656,1-S656))</x:f>
      </x:c>
      <x:c r="AC656" s="2" t="str">
        <x:f>IF(AD656&lt;&gt;1,"",COUNTIFS($Z$650:$Z$663,"&lt;"&amp;Z656,$AD$650:$AD$663,1)+COUNTIFS($Z$650:$Z$663,Z656,$AB$650:$AB$663,"&gt;"&amp;AB656,$AD$650:$AD$663,1)+COUNTIFS($Z$650:$Z$663,Z656,$AB$650:$AB$663,AB656,$V$650:$V$663,"&gt;"&amp;V656,$AD$650:$AD$663,1)+COUNTIFS($Z$650:Z656,Z656,$AB$650:AB656,AB656,$V$650:V656,V656,$AD$650:AD656,1))</x:f>
      </x:c>
      <x:c r="AD656" s="2" t="n">
        <x:f>IF(OR(AA656="DEFENSIV",AA656="PRUDENT",AA656="MODERAT",AA656="RIDICAT"),1,0)</x:f>
        <x:v>0</x:v>
      </x:c>
      <x:c r="AE656" s="2" t="str">
        <x:f>IF(AD656&lt;&gt;1,"NO",IF(W656="PASS","YES",IF(W656="OOS PENDING","CONDITIONAL","NO")))</x:f>
        <x:v>NO</x:v>
      </x:c>
      <x:c r="AF656" s="2" t="n">
        <x:f>IF(AND(AD656=1,AC656=1,E656="LIVE"),1,0)</x:f>
        <x:v>0</x:v>
      </x:c>
      <x:c r="AG656" s="2" t="str">
        <x:f>IF(AF656&lt;&gt;1,"",'Dashboard'!P72)</x:f>
      </x:c>
      <x:c r="AH656" s="2" t="str">
        <x:f>IF(B656="","",IF(J656&lt;&gt;"PASS",'Motor_Meciuri'!J52,IF('Calibrare_Linii'!U12&lt;&gt;"VALID","Parametri linie invalizi",IF(L656&gt;'Config_v6'!$B$13,"Dispersie peste limita",IF(W656="WATCH","Failure peste limita",IF(AB656&lt;'Config_v6'!$B$16,"P finala sub prag",IF(V656&lt;'Config_v6'!$B$18,"Confidence sub prag",IF(E656="REPLAY","Exemplu retrospectiv; exclus din Top LIVE",IF(Y656="PASS","DEFENSIV validat",IF(W656="OOS PENDING","Eligibil; calibrare linie in monitorizare","Eligibil"))))))))))</x:f>
      </x:c>
      <x:c r="AI656" s="2" t="str">
        <x:f>IF(B656="","",'Calibrare_Linii'!V12)</x:f>
      </x:c>
      <x:c r="AJ656" s="2" t="str">
        <x:f>IF(B656="","",IF(AND('Calibrare_Linii'!T12="VALIDATED",AND('Calibrare_Linii'!H12=C656,ISNUMBER('Calibrare_Linii'!J12),'Calibrare_Linii'!J12&lt;='Input_Meci'!G52)),"DEFENSIVE VALIDATED",IF(AND('Calibrare_Linii'!S12="VALIDATED",AND('Calibrare_Linii'!H12=C656,ISNUMBER('Calibrare_Linii'!J12),'Calibrare_Linii'!J12&lt;='Input_Meci'!G52)),"TAIL VALIDATED","OOS PENDING")))</x:f>
      </x:c>
      <x:c r="AK656" s="2" t="n">
        <x:f>IF(J656&lt;&gt;"PASS",0,'Motor_Meciuri'!BR52)</x:f>
        <x:v>0</x:v>
      </x:c>
      <x:c r="AL656" s="2" t="n">
        <x:f>IF(J656&lt;&gt;"PASS",0,'Motor_Meciuri'!BS52)</x:f>
        <x:v>0</x:v>
      </x:c>
      <x:c r="AM656" s="2" t="n">
        <x:f>IF(J656&lt;&gt;"PASS",0,'Motor_Meciuri'!BT52)</x:f>
        <x:v>0</x:v>
      </x:c>
      <x:c r="AN656" s="2" t="str">
        <x:f>IF(M656="","",MAX(0,'Motor_Meciuri'!BF52-IF(L656&gt;'Config_v6'!$B$12,'Config_v6'!$B$37,IF(L656&gt;'Config_v6'!$B$11,'Config_v6'!$B$36,0))))</x:f>
      </x:c>
    </x:row>
    <x:row r="657" ht="21" customHeight="1">
      <x:c r="A657" s="2" t="n">
        <x:v>47</x:v>
      </x:c>
      <x:c r="B657" s="2" t="str">
        <x:f>IF('Motor_Meciuri'!A52="","",'Motor_Meciuri'!A52)</x:f>
      </x:c>
      <x:c r="C657" s="2" t="str">
        <x:f>IF(B657="","",'Motor_Meciuri'!B52)</x:f>
      </x:c>
      <x:c r="D657" s="2" t="str">
        <x:f>IF(B657="","",'Motor_Meciuri'!D52)</x:f>
      </x:c>
      <x:c r="E657" s="2" t="str">
        <x:f>IF(B657="","",'Motor_Meciuri'!E52)</x:f>
      </x:c>
      <x:c r="F657" s="2" t="str">
        <x:v>U11,5</x:v>
      </x:c>
      <x:c r="G657" s="2" t="str">
        <x:v>UNDER</x:v>
      </x:c>
      <x:c r="H657" s="2" t="n">
        <x:v>11</x:v>
      </x:c>
      <x:c r="I657" s="2" t="str">
        <x:f>IF(B657="","",'Motor_Meciuri'!H52)</x:f>
      </x:c>
      <x:c r="J657" s="2" t="str">
        <x:f>IF(B657="","",'Motor_Meciuri'!I52)</x:f>
      </x:c>
      <x:c r="K657" s="11" t="str">
        <x:f>IF(J657&lt;&gt;"PASS","",'Motor_Meciuri'!BD52)</x:f>
      </x:c>
      <x:c r="L657" s="11" t="str">
        <x:f>IF(J657&lt;&gt;"PASS","",'Motor_Meciuri'!AU52)</x:f>
      </x:c>
      <x:c r="M657" s="10" t="str">
        <x:f>IF(NOT(AND(J657="PASS",'Calibrare_Linii'!U13="VALID")),"",'Distributie'!AI52)</x:f>
      </x:c>
      <x:c r="N657" s="10" t="str">
        <x:f>IF(M657="","",MAX(0.01,MIN(0.99,0.5+(M657-0.5)*'Motor_Meciuri'!BG52*'Calibrare_Linii'!D13)))</x:f>
      </x:c>
      <x:c r="O657" s="10" t="str">
        <x:f>IF(M657="","",1-M657)</x:f>
      </x:c>
      <x:c r="P657" s="10" t="str">
        <x:f>IF(OR(NOT(AND(J657="PASS",'Calibrare_Linii'!U13="VALID")),AK657=0),""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*('Istoric_Nativ'!$Q$6:$Q$405&gt;H657))/AK657)</x:f>
      </x:c>
      <x:c r="Q657" s="10" t="str">
        <x:f>IF(OR(NOT(AND(J657="PASS",'Calibrare_Linii'!U13="VALID")),AL657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M52)+((('Istoric_Nativ'!$E$6:$E$405='Input_Meci'!E52)+('Istoric_Nativ'!$F$6:$F$405='Input_Meci'!E52))&gt;0)*('Istoric_Nativ'!$D$6:$D$405&gt;='Motor_Meciuri'!BN52))&gt;0)*('Istoric_Nativ'!$Q$6:$Q$405&gt;H657))/AL657)</x:f>
      </x:c>
      <x:c r="R657" s="10" t="str">
        <x:f>IF(OR(NOT(AND(J657="PASS",'Calibrare_Linii'!U13="VALID")),AM657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O52)+((('Istoric_Nativ'!$E$6:$E$405='Input_Meci'!E52)+('Istoric_Nativ'!$F$6:$F$405='Input_Meci'!E52))&gt;0)*('Istoric_Nativ'!$D$6:$D$405&gt;='Motor_Meciuri'!BP52))&gt;0)*('Istoric_Nativ'!$Q$6:$Q$405&gt;H657))/AM657)</x:f>
      </x:c>
      <x:c r="S657" s="10" t="str">
        <x:f>IF(M657="","",MAX(O657,P657,Q657,R657))</x:f>
      </x:c>
      <x:c r="T657" s="11" t="str">
        <x:f>IF(M657="","",MIN(100,S657*100*'Config_v6'!$B$44+MIN(100,L657/'Config_v6'!$B$13*100)*'Config_v6'!$B$45+(100-'Motor_Meciuri'!BF52)*'Config_v6'!$B$46+'Motor_Meciuri'!BH52*100*'Config_v6'!$B$47))</x:f>
      </x:c>
      <x:c r="U657" s="2" t="str">
        <x:f>IF(T657="","",IF(T657&lt;=20,1,IF(T657&lt;=40,2,IF(T657&lt;=60,3,IF(T657&lt;=80,4,5)))))</x:f>
      </x:c>
      <x:c r="V657" s="2" t="str">
        <x:f>IF(M657="","",MAX(0,'Motor_Meciuri'!BF52-IF(W657="OOS PENDING",'Config_v6'!$B$35,0)-IF(L657&gt;'Config_v6'!$B$12,'Config_v6'!$B$37,IF(L657&gt;'Config_v6'!$B$11,'Config_v6'!$B$36,0))))</x:f>
      </x:c>
      <x:c r="W657" s="2" t="str">
        <x:f>IF(B657="","",IF(I657&lt;&gt;"READY","NOT RELEASED",IF(NOT(AND(J657="PASS",'Calibrare_Linii'!U13="VALID")),"INVALID",IF(NOT(AND('Calibrare_Linii'!S13="VALIDATED",AND('Calibrare_Linii'!H13=C657,ISNUMBER('Calibrare_Linii'!J13),'Calibrare_Linii'!J13&lt;='Input_Meci'!G52))),"OOS PENDING",IF(S657&lt;='Calibrare_Linii'!E13,"PASS",IF(S657&lt;='Calibrare_Linii'!F13,"PENALTY","WATCH"))))))</x:f>
      </x:c>
      <x:c r="X657" s="2" t="str">
        <x:f>IF(M657="","",IF(AND(AND(J657="PASS",'Calibrare_Linii'!U13="VALID"),'Motor_Meciuri'!K52=12,'Motor_Meciuri'!L52=12,'Motor_Meciuri'!M52="NO",'Motor_Meciuri'!BL52='Motor_Meciuri'!C52,AB657&gt;='Config_v6'!$B$50,AN657&gt;='Config_v6'!$B$51,T657&lt;='Config_v6'!$B$52,L657&lt;='Config_v6'!$B$53,ISNUMBER('Calibrare_Linii'!E13),S657&lt;='Calibrare_Linii'!E13,SUM(AK657:AM657)&gt;0),"CANDIDATE","NO"))</x:f>
      </x:c>
      <x:c r="Y657" s="2" t="str">
        <x:f>IF(B657="","",IF(I657&lt;&gt;"READY","NOT RELEASED",IF(AND(X657="CANDIDATE",V657&gt;='Config_v6'!$B$51,W657="PASS",'Calibrare_Linii'!T13="VALIDATED",AND('Calibrare_Linii'!H13=C657,ISNUMBER('Calibrare_Linii'!J13),'Calibrare_Linii'!J13&lt;='Input_Meci'!G52)),"PASS",IF(X657="CANDIDATE","OOS PENDING","FAIL"))))</x:f>
      </x:c>
      <x:c r="Z657" s="2" t="str">
        <x:f>IF(B657="","",IF(I657&lt;&gt;"READY","",IF(OR(NOT(AND(J657="PASS",'Calibrare_Linii'!U13="VALID")),L657&gt;'Config_v6'!$B$13,W657="WATCH"),5,IF(Y657="PASS",1,MIN(5,MAX('Config_v6'!$B$42,U657)+IF(W657="PENALTY",1,0))))))</x:f>
      </x:c>
      <x:c r="AA657" s="2" t="str">
        <x:f>IF(B657="","",IF(I657&lt;&gt;"READY","NOT RELEASED",IF(Z657=5,"NO BET",IF(OR(AB657&lt;'Config_v6'!$B$16,V657&lt;'Config_v6'!$B$18),"WATCH",IF(Z657=1,"DEFENSIV",IF(Z657=2,"PRUDENT",IF(Z657=3,"MODERAT","RIDICAT")))))))</x:f>
      </x:c>
      <x:c r="AB657" s="10" t="str">
        <x:f>IF(N657="","",MIN(N657,1-S657))</x:f>
      </x:c>
      <x:c r="AC657" s="2" t="str">
        <x:f>IF(AD657&lt;&gt;1,"",COUNTIFS($Z$650:$Z$663,"&lt;"&amp;Z657,$AD$650:$AD$663,1)+COUNTIFS($Z$650:$Z$663,Z657,$AB$650:$AB$663,"&gt;"&amp;AB657,$AD$650:$AD$663,1)+COUNTIFS($Z$650:$Z$663,Z657,$AB$650:$AB$663,AB657,$V$650:$V$663,"&gt;"&amp;V657,$AD$650:$AD$663,1)+COUNTIFS($Z$650:Z657,Z657,$AB$650:AB657,AB657,$V$650:V657,V657,$AD$650:AD657,1))</x:f>
      </x:c>
      <x:c r="AD657" s="2" t="n">
        <x:f>IF(OR(AA657="DEFENSIV",AA657="PRUDENT",AA657="MODERAT",AA657="RIDICAT"),1,0)</x:f>
        <x:v>0</x:v>
      </x:c>
      <x:c r="AE657" s="2" t="str">
        <x:f>IF(AD657&lt;&gt;1,"NO",IF(W657="PASS","YES",IF(W657="OOS PENDING","CONDITIONAL","NO")))</x:f>
        <x:v>NO</x:v>
      </x:c>
      <x:c r="AF657" s="2" t="n">
        <x:f>IF(AND(AD657=1,AC657=1,E657="LIVE"),1,0)</x:f>
        <x:v>0</x:v>
      </x:c>
      <x:c r="AG657" s="2" t="str">
        <x:f>IF(AF657&lt;&gt;1,"",'Dashboard'!P72)</x:f>
      </x:c>
      <x:c r="AH657" s="2" t="str">
        <x:f>IF(B657="","",IF(J657&lt;&gt;"PASS",'Motor_Meciuri'!J52,IF('Calibrare_Linii'!U13&lt;&gt;"VALID","Parametri linie invalizi",IF(L657&gt;'Config_v6'!$B$13,"Dispersie peste limita",IF(W657="WATCH","Failure peste limita",IF(AB657&lt;'Config_v6'!$B$16,"P finala sub prag",IF(V657&lt;'Config_v6'!$B$18,"Confidence sub prag",IF(E657="REPLAY","Exemplu retrospectiv; exclus din Top LIVE",IF(Y657="PASS","DEFENSIV validat",IF(W657="OOS PENDING","Eligibil; calibrare linie in monitorizare","Eligibil"))))))))))</x:f>
      </x:c>
      <x:c r="AI657" s="2" t="str">
        <x:f>IF(B657="","",'Calibrare_Linii'!V13)</x:f>
      </x:c>
      <x:c r="AJ657" s="2" t="str">
        <x:f>IF(B657="","",IF(AND('Calibrare_Linii'!T13="VALIDATED",AND('Calibrare_Linii'!H13=C657,ISNUMBER('Calibrare_Linii'!J13),'Calibrare_Linii'!J13&lt;='Input_Meci'!G52)),"DEFENSIVE VALIDATED",IF(AND('Calibrare_Linii'!S13="VALIDATED",AND('Calibrare_Linii'!H13=C657,ISNUMBER('Calibrare_Linii'!J13),'Calibrare_Linii'!J13&lt;='Input_Meci'!G52)),"TAIL VALIDATED","OOS PENDING")))</x:f>
      </x:c>
      <x:c r="AK657" s="2" t="n">
        <x:f>IF(J657&lt;&gt;"PASS",0,'Motor_Meciuri'!BR52)</x:f>
        <x:v>0</x:v>
      </x:c>
      <x:c r="AL657" s="2" t="n">
        <x:f>IF(J657&lt;&gt;"PASS",0,'Motor_Meciuri'!BS52)</x:f>
        <x:v>0</x:v>
      </x:c>
      <x:c r="AM657" s="2" t="n">
        <x:f>IF(J657&lt;&gt;"PASS",0,'Motor_Meciuri'!BT52)</x:f>
        <x:v>0</x:v>
      </x:c>
      <x:c r="AN657" s="2" t="str">
        <x:f>IF(M657="","",MAX(0,'Motor_Meciuri'!BF52-IF(L657&gt;'Config_v6'!$B$12,'Config_v6'!$B$37,IF(L657&gt;'Config_v6'!$B$11,'Config_v6'!$B$36,0))))</x:f>
      </x:c>
    </x:row>
    <x:row r="658" ht="21" customHeight="1">
      <x:c r="A658" s="2" t="n">
        <x:v>47</x:v>
      </x:c>
      <x:c r="B658" s="2" t="str">
        <x:f>IF('Motor_Meciuri'!A52="","",'Motor_Meciuri'!A52)</x:f>
      </x:c>
      <x:c r="C658" s="2" t="str">
        <x:f>IF(B658="","",'Motor_Meciuri'!B52)</x:f>
      </x:c>
      <x:c r="D658" s="2" t="str">
        <x:f>IF(B658="","",'Motor_Meciuri'!D52)</x:f>
      </x:c>
      <x:c r="E658" s="2" t="str">
        <x:f>IF(B658="","",'Motor_Meciuri'!E52)</x:f>
      </x:c>
      <x:c r="F658" s="2" t="str">
        <x:v>U12,5</x:v>
      </x:c>
      <x:c r="G658" s="2" t="str">
        <x:v>UNDER</x:v>
      </x:c>
      <x:c r="H658" s="2" t="n">
        <x:v>12</x:v>
      </x:c>
      <x:c r="I658" s="2" t="str">
        <x:f>IF(B658="","",'Motor_Meciuri'!H52)</x:f>
      </x:c>
      <x:c r="J658" s="2" t="str">
        <x:f>IF(B658="","",'Motor_Meciuri'!I52)</x:f>
      </x:c>
      <x:c r="K658" s="11" t="str">
        <x:f>IF(J658&lt;&gt;"PASS","",'Motor_Meciuri'!BD52)</x:f>
      </x:c>
      <x:c r="L658" s="11" t="str">
        <x:f>IF(J658&lt;&gt;"PASS","",'Motor_Meciuri'!AU52)</x:f>
      </x:c>
      <x:c r="M658" s="10" t="str">
        <x:f>IF(NOT(AND(J658="PASS",'Calibrare_Linii'!U14="VALID")),"",'Distributie'!AJ52)</x:f>
      </x:c>
      <x:c r="N658" s="10" t="str">
        <x:f>IF(M658="","",MAX(0.01,MIN(0.99,0.5+(M658-0.5)*'Motor_Meciuri'!BG52*'Calibrare_Linii'!D14)))</x:f>
      </x:c>
      <x:c r="O658" s="10" t="str">
        <x:f>IF(M658="","",1-M658)</x:f>
      </x:c>
      <x:c r="P658" s="10" t="str">
        <x:f>IF(OR(NOT(AND(J658="PASS",'Calibrare_Linii'!U14="VALID")),AK658=0),""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*('Istoric_Nativ'!$Q$6:$Q$405&gt;H658))/AK658)</x:f>
      </x:c>
      <x:c r="Q658" s="10" t="str">
        <x:f>IF(OR(NOT(AND(J658="PASS",'Calibrare_Linii'!U14="VALID")),AL658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M52)+((('Istoric_Nativ'!$E$6:$E$405='Input_Meci'!E52)+('Istoric_Nativ'!$F$6:$F$405='Input_Meci'!E52))&gt;0)*('Istoric_Nativ'!$D$6:$D$405&gt;='Motor_Meciuri'!BN52))&gt;0)*('Istoric_Nativ'!$Q$6:$Q$405&gt;H658))/AL658)</x:f>
      </x:c>
      <x:c r="R658" s="10" t="str">
        <x:f>IF(OR(NOT(AND(J658="PASS",'Calibrare_Linii'!U14="VALID")),AM658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O52)+((('Istoric_Nativ'!$E$6:$E$405='Input_Meci'!E52)+('Istoric_Nativ'!$F$6:$F$405='Input_Meci'!E52))&gt;0)*('Istoric_Nativ'!$D$6:$D$405&gt;='Motor_Meciuri'!BP52))&gt;0)*('Istoric_Nativ'!$Q$6:$Q$405&gt;H658))/AM658)</x:f>
      </x:c>
      <x:c r="S658" s="10" t="str">
        <x:f>IF(M658="","",MAX(O658,P658,Q658,R658))</x:f>
      </x:c>
      <x:c r="T658" s="11" t="str">
        <x:f>IF(M658="","",MIN(100,S658*100*'Config_v6'!$B$44+MIN(100,L658/'Config_v6'!$B$13*100)*'Config_v6'!$B$45+(100-'Motor_Meciuri'!BF52)*'Config_v6'!$B$46+'Motor_Meciuri'!BH52*100*'Config_v6'!$B$47))</x:f>
      </x:c>
      <x:c r="U658" s="2" t="str">
        <x:f>IF(T658="","",IF(T658&lt;=20,1,IF(T658&lt;=40,2,IF(T658&lt;=60,3,IF(T658&lt;=80,4,5)))))</x:f>
      </x:c>
      <x:c r="V658" s="2" t="str">
        <x:f>IF(M658="","",MAX(0,'Motor_Meciuri'!BF52-IF(W658="OOS PENDING",'Config_v6'!$B$35,0)-IF(L658&gt;'Config_v6'!$B$12,'Config_v6'!$B$37,IF(L658&gt;'Config_v6'!$B$11,'Config_v6'!$B$36,0))))</x:f>
      </x:c>
      <x:c r="W658" s="2" t="str">
        <x:f>IF(B658="","",IF(I658&lt;&gt;"READY","NOT RELEASED",IF(NOT(AND(J658="PASS",'Calibrare_Linii'!U14="VALID")),"INVALID",IF(NOT(AND('Calibrare_Linii'!S14="VALIDATED",AND('Calibrare_Linii'!H14=C658,ISNUMBER('Calibrare_Linii'!J14),'Calibrare_Linii'!J14&lt;='Input_Meci'!G52))),"OOS PENDING",IF(S658&lt;='Calibrare_Linii'!E14,"PASS",IF(S658&lt;='Calibrare_Linii'!F14,"PENALTY","WATCH"))))))</x:f>
      </x:c>
      <x:c r="X658" s="2" t="str">
        <x:f>IF(M658="","",IF(AND(AND(J658="PASS",'Calibrare_Linii'!U14="VALID"),'Motor_Meciuri'!K52=12,'Motor_Meciuri'!L52=12,'Motor_Meciuri'!M52="NO",'Motor_Meciuri'!BL52='Motor_Meciuri'!C52,AB658&gt;='Config_v6'!$B$50,AN658&gt;='Config_v6'!$B$51,T658&lt;='Config_v6'!$B$52,L658&lt;='Config_v6'!$B$53,ISNUMBER('Calibrare_Linii'!E14),S658&lt;='Calibrare_Linii'!E14,SUM(AK658:AM658)&gt;0),"CANDIDATE","NO"))</x:f>
      </x:c>
      <x:c r="Y658" s="2" t="str">
        <x:f>IF(B658="","",IF(I658&lt;&gt;"READY","NOT RELEASED",IF(AND(X658="CANDIDATE",V658&gt;='Config_v6'!$B$51,W658="PASS",'Calibrare_Linii'!T14="VALIDATED",AND('Calibrare_Linii'!H14=C658,ISNUMBER('Calibrare_Linii'!J14),'Calibrare_Linii'!J14&lt;='Input_Meci'!G52)),"PASS",IF(X658="CANDIDATE","OOS PENDING","FAIL"))))</x:f>
      </x:c>
      <x:c r="Z658" s="2" t="str">
        <x:f>IF(B658="","",IF(I658&lt;&gt;"READY","",IF(OR(NOT(AND(J658="PASS",'Calibrare_Linii'!U14="VALID")),L658&gt;'Config_v6'!$B$13,W658="WATCH"),5,IF(Y658="PASS",1,MIN(5,MAX('Config_v6'!$B$42,U658)+IF(W658="PENALTY",1,0))))))</x:f>
      </x:c>
      <x:c r="AA658" s="2" t="str">
        <x:f>IF(B658="","",IF(I658&lt;&gt;"READY","NOT RELEASED",IF(Z658=5,"NO BET",IF(OR(AB658&lt;'Config_v6'!$B$16,V658&lt;'Config_v6'!$B$18),"WATCH",IF(Z658=1,"DEFENSIV",IF(Z658=2,"PRUDENT",IF(Z658=3,"MODERAT","RIDICAT")))))))</x:f>
      </x:c>
      <x:c r="AB658" s="10" t="str">
        <x:f>IF(N658="","",MIN(N658,1-S658))</x:f>
      </x:c>
      <x:c r="AC658" s="2" t="str">
        <x:f>IF(AD658&lt;&gt;1,"",COUNTIFS($Z$650:$Z$663,"&lt;"&amp;Z658,$AD$650:$AD$663,1)+COUNTIFS($Z$650:$Z$663,Z658,$AB$650:$AB$663,"&gt;"&amp;AB658,$AD$650:$AD$663,1)+COUNTIFS($Z$650:$Z$663,Z658,$AB$650:$AB$663,AB658,$V$650:$V$663,"&gt;"&amp;V658,$AD$650:$AD$663,1)+COUNTIFS($Z$650:Z658,Z658,$AB$650:AB658,AB658,$V$650:V658,V658,$AD$650:AD658,1))</x:f>
      </x:c>
      <x:c r="AD658" s="2" t="n">
        <x:f>IF(OR(AA658="DEFENSIV",AA658="PRUDENT",AA658="MODERAT",AA658="RIDICAT"),1,0)</x:f>
        <x:v>0</x:v>
      </x:c>
      <x:c r="AE658" s="2" t="str">
        <x:f>IF(AD658&lt;&gt;1,"NO",IF(W658="PASS","YES",IF(W658="OOS PENDING","CONDITIONAL","NO")))</x:f>
        <x:v>NO</x:v>
      </x:c>
      <x:c r="AF658" s="2" t="n">
        <x:f>IF(AND(AD658=1,AC658=1,E658="LIVE"),1,0)</x:f>
        <x:v>0</x:v>
      </x:c>
      <x:c r="AG658" s="2" t="str">
        <x:f>IF(AF658&lt;&gt;1,"",'Dashboard'!P72)</x:f>
      </x:c>
      <x:c r="AH658" s="2" t="str">
        <x:f>IF(B658="","",IF(J658&lt;&gt;"PASS",'Motor_Meciuri'!J52,IF('Calibrare_Linii'!U14&lt;&gt;"VALID","Parametri linie invalizi",IF(L658&gt;'Config_v6'!$B$13,"Dispersie peste limita",IF(W658="WATCH","Failure peste limita",IF(AB658&lt;'Config_v6'!$B$16,"P finala sub prag",IF(V658&lt;'Config_v6'!$B$18,"Confidence sub prag",IF(E658="REPLAY","Exemplu retrospectiv; exclus din Top LIVE",IF(Y658="PASS","DEFENSIV validat",IF(W658="OOS PENDING","Eligibil; calibrare linie in monitorizare","Eligibil"))))))))))</x:f>
      </x:c>
      <x:c r="AI658" s="2" t="str">
        <x:f>IF(B658="","",'Calibrare_Linii'!V14)</x:f>
      </x:c>
      <x:c r="AJ658" s="2" t="str">
        <x:f>IF(B658="","",IF(AND('Calibrare_Linii'!T14="VALIDATED",AND('Calibrare_Linii'!H14=C658,ISNUMBER('Calibrare_Linii'!J14),'Calibrare_Linii'!J14&lt;='Input_Meci'!G52)),"DEFENSIVE VALIDATED",IF(AND('Calibrare_Linii'!S14="VALIDATED",AND('Calibrare_Linii'!H14=C658,ISNUMBER('Calibrare_Linii'!J14),'Calibrare_Linii'!J14&lt;='Input_Meci'!G52)),"TAIL VALIDATED","OOS PENDING")))</x:f>
      </x:c>
      <x:c r="AK658" s="2" t="n">
        <x:f>IF(J658&lt;&gt;"PASS",0,'Motor_Meciuri'!BR52)</x:f>
        <x:v>0</x:v>
      </x:c>
      <x:c r="AL658" s="2" t="n">
        <x:f>IF(J658&lt;&gt;"PASS",0,'Motor_Meciuri'!BS52)</x:f>
        <x:v>0</x:v>
      </x:c>
      <x:c r="AM658" s="2" t="n">
        <x:f>IF(J658&lt;&gt;"PASS",0,'Motor_Meciuri'!BT52)</x:f>
        <x:v>0</x:v>
      </x:c>
      <x:c r="AN658" s="2" t="str">
        <x:f>IF(M658="","",MAX(0,'Motor_Meciuri'!BF52-IF(L658&gt;'Config_v6'!$B$12,'Config_v6'!$B$37,IF(L658&gt;'Config_v6'!$B$11,'Config_v6'!$B$36,0))))</x:f>
      </x:c>
    </x:row>
    <x:row r="659" ht="21" customHeight="1">
      <x:c r="A659" s="2" t="n">
        <x:v>47</x:v>
      </x:c>
      <x:c r="B659" s="2" t="str">
        <x:f>IF('Motor_Meciuri'!A52="","",'Motor_Meciuri'!A52)</x:f>
      </x:c>
      <x:c r="C659" s="2" t="str">
        <x:f>IF(B659="","",'Motor_Meciuri'!B52)</x:f>
      </x:c>
      <x:c r="D659" s="2" t="str">
        <x:f>IF(B659="","",'Motor_Meciuri'!D52)</x:f>
      </x:c>
      <x:c r="E659" s="2" t="str">
        <x:f>IF(B659="","",'Motor_Meciuri'!E52)</x:f>
      </x:c>
      <x:c r="F659" s="2" t="str">
        <x:v>U13,5</x:v>
      </x:c>
      <x:c r="G659" s="2" t="str">
        <x:v>UNDER</x:v>
      </x:c>
      <x:c r="H659" s="2" t="n">
        <x:v>13</x:v>
      </x:c>
      <x:c r="I659" s="2" t="str">
        <x:f>IF(B659="","",'Motor_Meciuri'!H52)</x:f>
      </x:c>
      <x:c r="J659" s="2" t="str">
        <x:f>IF(B659="","",'Motor_Meciuri'!I52)</x:f>
      </x:c>
      <x:c r="K659" s="11" t="str">
        <x:f>IF(J659&lt;&gt;"PASS","",'Motor_Meciuri'!BD52)</x:f>
      </x:c>
      <x:c r="L659" s="11" t="str">
        <x:f>IF(J659&lt;&gt;"PASS","",'Motor_Meciuri'!AU52)</x:f>
      </x:c>
      <x:c r="M659" s="10" t="str">
        <x:f>IF(NOT(AND(J659="PASS",'Calibrare_Linii'!U15="VALID")),"",'Distributie'!AK52)</x:f>
      </x:c>
      <x:c r="N659" s="10" t="str">
        <x:f>IF(M659="","",MAX(0.01,MIN(0.99,0.5+(M659-0.5)*'Motor_Meciuri'!BG52*'Calibrare_Linii'!D15)))</x:f>
      </x:c>
      <x:c r="O659" s="10" t="str">
        <x:f>IF(M659="","",1-M659)</x:f>
      </x:c>
      <x:c r="P659" s="10" t="str">
        <x:f>IF(OR(NOT(AND(J659="PASS",'Calibrare_Linii'!U15="VALID")),AK659=0),""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*('Istoric_Nativ'!$Q$6:$Q$405&gt;H659))/AK659)</x:f>
      </x:c>
      <x:c r="Q659" s="10" t="str">
        <x:f>IF(OR(NOT(AND(J659="PASS",'Calibrare_Linii'!U15="VALID")),AL659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M52)+((('Istoric_Nativ'!$E$6:$E$405='Input_Meci'!E52)+('Istoric_Nativ'!$F$6:$F$405='Input_Meci'!E52))&gt;0)*('Istoric_Nativ'!$D$6:$D$405&gt;='Motor_Meciuri'!BN52))&gt;0)*('Istoric_Nativ'!$Q$6:$Q$405&gt;H659))/AL659)</x:f>
      </x:c>
      <x:c r="R659" s="10" t="str">
        <x:f>IF(OR(NOT(AND(J659="PASS",'Calibrare_Linii'!U15="VALID")),AM659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O52)+((('Istoric_Nativ'!$E$6:$E$405='Input_Meci'!E52)+('Istoric_Nativ'!$F$6:$F$405='Input_Meci'!E52))&gt;0)*('Istoric_Nativ'!$D$6:$D$405&gt;='Motor_Meciuri'!BP52))&gt;0)*('Istoric_Nativ'!$Q$6:$Q$405&gt;H659))/AM659)</x:f>
      </x:c>
      <x:c r="S659" s="10" t="str">
        <x:f>IF(M659="","",MAX(O659,P659,Q659,R659))</x:f>
      </x:c>
      <x:c r="T659" s="11" t="str">
        <x:f>IF(M659="","",MIN(100,S659*100*'Config_v6'!$B$44+MIN(100,L659/'Config_v6'!$B$13*100)*'Config_v6'!$B$45+(100-'Motor_Meciuri'!BF52)*'Config_v6'!$B$46+'Motor_Meciuri'!BH52*100*'Config_v6'!$B$47))</x:f>
      </x:c>
      <x:c r="U659" s="2" t="str">
        <x:f>IF(T659="","",IF(T659&lt;=20,1,IF(T659&lt;=40,2,IF(T659&lt;=60,3,IF(T659&lt;=80,4,5)))))</x:f>
      </x:c>
      <x:c r="V659" s="2" t="str">
        <x:f>IF(M659="","",MAX(0,'Motor_Meciuri'!BF52-IF(W659="OOS PENDING",'Config_v6'!$B$35,0)-IF(L659&gt;'Config_v6'!$B$12,'Config_v6'!$B$37,IF(L659&gt;'Config_v6'!$B$11,'Config_v6'!$B$36,0))))</x:f>
      </x:c>
      <x:c r="W659" s="2" t="str">
        <x:f>IF(B659="","",IF(I659&lt;&gt;"READY","NOT RELEASED",IF(NOT(AND(J659="PASS",'Calibrare_Linii'!U15="VALID")),"INVALID",IF(NOT(AND('Calibrare_Linii'!S15="VALIDATED",AND('Calibrare_Linii'!H15=C659,ISNUMBER('Calibrare_Linii'!J15),'Calibrare_Linii'!J15&lt;='Input_Meci'!G52))),"OOS PENDING",IF(S659&lt;='Calibrare_Linii'!E15,"PASS",IF(S659&lt;='Calibrare_Linii'!F15,"PENALTY","WATCH"))))))</x:f>
      </x:c>
      <x:c r="X659" s="2" t="str">
        <x:f>IF(M659="","",IF(AND(AND(J659="PASS",'Calibrare_Linii'!U15="VALID"),'Motor_Meciuri'!K52=12,'Motor_Meciuri'!L52=12,'Motor_Meciuri'!M52="NO",'Motor_Meciuri'!BL52='Motor_Meciuri'!C52,AB659&gt;='Config_v6'!$B$50,AN659&gt;='Config_v6'!$B$51,T659&lt;='Config_v6'!$B$52,L659&lt;='Config_v6'!$B$53,ISNUMBER('Calibrare_Linii'!E15),S659&lt;='Calibrare_Linii'!E15,SUM(AK659:AM659)&gt;0),"CANDIDATE","NO"))</x:f>
      </x:c>
      <x:c r="Y659" s="2" t="str">
        <x:f>IF(B659="","",IF(I659&lt;&gt;"READY","NOT RELEASED",IF(AND(X659="CANDIDATE",V659&gt;='Config_v6'!$B$51,W659="PASS",'Calibrare_Linii'!T15="VALIDATED",AND('Calibrare_Linii'!H15=C659,ISNUMBER('Calibrare_Linii'!J15),'Calibrare_Linii'!J15&lt;='Input_Meci'!G52)),"PASS",IF(X659="CANDIDATE","OOS PENDING","FAIL"))))</x:f>
      </x:c>
      <x:c r="Z659" s="2" t="str">
        <x:f>IF(B659="","",IF(I659&lt;&gt;"READY","",IF(OR(NOT(AND(J659="PASS",'Calibrare_Linii'!U15="VALID")),L659&gt;'Config_v6'!$B$13,W659="WATCH"),5,IF(Y659="PASS",1,MIN(5,MAX('Config_v6'!$B$42,U659)+IF(W659="PENALTY",1,0))))))</x:f>
      </x:c>
      <x:c r="AA659" s="2" t="str">
        <x:f>IF(B659="","",IF(I659&lt;&gt;"READY","NOT RELEASED",IF(Z659=5,"NO BET",IF(OR(AB659&lt;'Config_v6'!$B$16,V659&lt;'Config_v6'!$B$18),"WATCH",IF(Z659=1,"DEFENSIV",IF(Z659=2,"PRUDENT",IF(Z659=3,"MODERAT","RIDICAT")))))))</x:f>
      </x:c>
      <x:c r="AB659" s="10" t="str">
        <x:f>IF(N659="","",MIN(N659,1-S659))</x:f>
      </x:c>
      <x:c r="AC659" s="2" t="str">
        <x:f>IF(AD659&lt;&gt;1,"",COUNTIFS($Z$650:$Z$663,"&lt;"&amp;Z659,$AD$650:$AD$663,1)+COUNTIFS($Z$650:$Z$663,Z659,$AB$650:$AB$663,"&gt;"&amp;AB659,$AD$650:$AD$663,1)+COUNTIFS($Z$650:$Z$663,Z659,$AB$650:$AB$663,AB659,$V$650:$V$663,"&gt;"&amp;V659,$AD$650:$AD$663,1)+COUNTIFS($Z$650:Z659,Z659,$AB$650:AB659,AB659,$V$650:V659,V659,$AD$650:AD659,1))</x:f>
      </x:c>
      <x:c r="AD659" s="2" t="n">
        <x:f>IF(OR(AA659="DEFENSIV",AA659="PRUDENT",AA659="MODERAT",AA659="RIDICAT"),1,0)</x:f>
        <x:v>0</x:v>
      </x:c>
      <x:c r="AE659" s="2" t="str">
        <x:f>IF(AD659&lt;&gt;1,"NO",IF(W659="PASS","YES",IF(W659="OOS PENDING","CONDITIONAL","NO")))</x:f>
        <x:v>NO</x:v>
      </x:c>
      <x:c r="AF659" s="2" t="n">
        <x:f>IF(AND(AD659=1,AC659=1,E659="LIVE"),1,0)</x:f>
        <x:v>0</x:v>
      </x:c>
      <x:c r="AG659" s="2" t="str">
        <x:f>IF(AF659&lt;&gt;1,"",'Dashboard'!P72)</x:f>
      </x:c>
      <x:c r="AH659" s="2" t="str">
        <x:f>IF(B659="","",IF(J659&lt;&gt;"PASS",'Motor_Meciuri'!J52,IF('Calibrare_Linii'!U15&lt;&gt;"VALID","Parametri linie invalizi",IF(L659&gt;'Config_v6'!$B$13,"Dispersie peste limita",IF(W659="WATCH","Failure peste limita",IF(AB659&lt;'Config_v6'!$B$16,"P finala sub prag",IF(V659&lt;'Config_v6'!$B$18,"Confidence sub prag",IF(E659="REPLAY","Exemplu retrospectiv; exclus din Top LIVE",IF(Y659="PASS","DEFENSIV validat",IF(W659="OOS PENDING","Eligibil; calibrare linie in monitorizare","Eligibil"))))))))))</x:f>
      </x:c>
      <x:c r="AI659" s="2" t="str">
        <x:f>IF(B659="","",'Calibrare_Linii'!V15)</x:f>
      </x:c>
      <x:c r="AJ659" s="2" t="str">
        <x:f>IF(B659="","",IF(AND('Calibrare_Linii'!T15="VALIDATED",AND('Calibrare_Linii'!H15=C659,ISNUMBER('Calibrare_Linii'!J15),'Calibrare_Linii'!J15&lt;='Input_Meci'!G52)),"DEFENSIVE VALIDATED",IF(AND('Calibrare_Linii'!S15="VALIDATED",AND('Calibrare_Linii'!H15=C659,ISNUMBER('Calibrare_Linii'!J15),'Calibrare_Linii'!J15&lt;='Input_Meci'!G52)),"TAIL VALIDATED","OOS PENDING")))</x:f>
      </x:c>
      <x:c r="AK659" s="2" t="n">
        <x:f>IF(J659&lt;&gt;"PASS",0,'Motor_Meciuri'!BR52)</x:f>
        <x:v>0</x:v>
      </x:c>
      <x:c r="AL659" s="2" t="n">
        <x:f>IF(J659&lt;&gt;"PASS",0,'Motor_Meciuri'!BS52)</x:f>
        <x:v>0</x:v>
      </x:c>
      <x:c r="AM659" s="2" t="n">
        <x:f>IF(J659&lt;&gt;"PASS",0,'Motor_Meciuri'!BT52)</x:f>
        <x:v>0</x:v>
      </x:c>
      <x:c r="AN659" s="2" t="str">
        <x:f>IF(M659="","",MAX(0,'Motor_Meciuri'!BF52-IF(L659&gt;'Config_v6'!$B$12,'Config_v6'!$B$37,IF(L659&gt;'Config_v6'!$B$11,'Config_v6'!$B$36,0))))</x:f>
      </x:c>
    </x:row>
    <x:row r="660" ht="21" customHeight="1">
      <x:c r="A660" s="2" t="n">
        <x:v>47</x:v>
      </x:c>
      <x:c r="B660" s="2" t="str">
        <x:f>IF('Motor_Meciuri'!A52="","",'Motor_Meciuri'!A52)</x:f>
      </x:c>
      <x:c r="C660" s="2" t="str">
        <x:f>IF(B660="","",'Motor_Meciuri'!B52)</x:f>
      </x:c>
      <x:c r="D660" s="2" t="str">
        <x:f>IF(B660="","",'Motor_Meciuri'!D52)</x:f>
      </x:c>
      <x:c r="E660" s="2" t="str">
        <x:f>IF(B660="","",'Motor_Meciuri'!E52)</x:f>
      </x:c>
      <x:c r="F660" s="2" t="str">
        <x:v>U14,5</x:v>
      </x:c>
      <x:c r="G660" s="2" t="str">
        <x:v>UNDER</x:v>
      </x:c>
      <x:c r="H660" s="2" t="n">
        <x:v>14</x:v>
      </x:c>
      <x:c r="I660" s="2" t="str">
        <x:f>IF(B660="","",'Motor_Meciuri'!H52)</x:f>
      </x:c>
      <x:c r="J660" s="2" t="str">
        <x:f>IF(B660="","",'Motor_Meciuri'!I52)</x:f>
      </x:c>
      <x:c r="K660" s="11" t="str">
        <x:f>IF(J660&lt;&gt;"PASS","",'Motor_Meciuri'!BD52)</x:f>
      </x:c>
      <x:c r="L660" s="11" t="str">
        <x:f>IF(J660&lt;&gt;"PASS","",'Motor_Meciuri'!AU52)</x:f>
      </x:c>
      <x:c r="M660" s="10" t="str">
        <x:f>IF(NOT(AND(J660="PASS",'Calibrare_Linii'!U16="VALID")),"",'Distributie'!AL52)</x:f>
      </x:c>
      <x:c r="N660" s="10" t="str">
        <x:f>IF(M660="","",MAX(0.01,MIN(0.99,0.5+(M660-0.5)*'Motor_Meciuri'!BG52*'Calibrare_Linii'!D16)))</x:f>
      </x:c>
      <x:c r="O660" s="10" t="str">
        <x:f>IF(M660="","",1-M660)</x:f>
      </x:c>
      <x:c r="P660" s="10" t="str">
        <x:f>IF(OR(NOT(AND(J660="PASS",'Calibrare_Linii'!U16="VALID")),AK660=0),""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*('Istoric_Nativ'!$Q$6:$Q$405&gt;H660))/AK660)</x:f>
      </x:c>
      <x:c r="Q660" s="10" t="str">
        <x:f>IF(OR(NOT(AND(J660="PASS",'Calibrare_Linii'!U16="VALID")),AL660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M52)+((('Istoric_Nativ'!$E$6:$E$405='Input_Meci'!E52)+('Istoric_Nativ'!$F$6:$F$405='Input_Meci'!E52))&gt;0)*('Istoric_Nativ'!$D$6:$D$405&gt;='Motor_Meciuri'!BN52))&gt;0)*('Istoric_Nativ'!$Q$6:$Q$405&gt;H660))/AL660)</x:f>
      </x:c>
      <x:c r="R660" s="10" t="str">
        <x:f>IF(OR(NOT(AND(J660="PASS",'Calibrare_Linii'!U16="VALID")),AM660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O52)+((('Istoric_Nativ'!$E$6:$E$405='Input_Meci'!E52)+('Istoric_Nativ'!$F$6:$F$405='Input_Meci'!E52))&gt;0)*('Istoric_Nativ'!$D$6:$D$405&gt;='Motor_Meciuri'!BP52))&gt;0)*('Istoric_Nativ'!$Q$6:$Q$405&gt;H660))/AM660)</x:f>
      </x:c>
      <x:c r="S660" s="10" t="str">
        <x:f>IF(M660="","",MAX(O660,P660,Q660,R660))</x:f>
      </x:c>
      <x:c r="T660" s="11" t="str">
        <x:f>IF(M660="","",MIN(100,S660*100*'Config_v6'!$B$44+MIN(100,L660/'Config_v6'!$B$13*100)*'Config_v6'!$B$45+(100-'Motor_Meciuri'!BF52)*'Config_v6'!$B$46+'Motor_Meciuri'!BH52*100*'Config_v6'!$B$47))</x:f>
      </x:c>
      <x:c r="U660" s="2" t="str">
        <x:f>IF(T660="","",IF(T660&lt;=20,1,IF(T660&lt;=40,2,IF(T660&lt;=60,3,IF(T660&lt;=80,4,5)))))</x:f>
      </x:c>
      <x:c r="V660" s="2" t="str">
        <x:f>IF(M660="","",MAX(0,'Motor_Meciuri'!BF52-IF(W660="OOS PENDING",'Config_v6'!$B$35,0)-IF(L660&gt;'Config_v6'!$B$12,'Config_v6'!$B$37,IF(L660&gt;'Config_v6'!$B$11,'Config_v6'!$B$36,0))))</x:f>
      </x:c>
      <x:c r="W660" s="2" t="str">
        <x:f>IF(B660="","",IF(I660&lt;&gt;"READY","NOT RELEASED",IF(NOT(AND(J660="PASS",'Calibrare_Linii'!U16="VALID")),"INVALID",IF(NOT(AND('Calibrare_Linii'!S16="VALIDATED",AND('Calibrare_Linii'!H16=C660,ISNUMBER('Calibrare_Linii'!J16),'Calibrare_Linii'!J16&lt;='Input_Meci'!G52))),"OOS PENDING",IF(S660&lt;='Calibrare_Linii'!E16,"PASS",IF(S660&lt;='Calibrare_Linii'!F16,"PENALTY","WATCH"))))))</x:f>
      </x:c>
      <x:c r="X660" s="2" t="str">
        <x:f>IF(M660="","",IF(AND(AND(J660="PASS",'Calibrare_Linii'!U16="VALID"),'Motor_Meciuri'!K52=12,'Motor_Meciuri'!L52=12,'Motor_Meciuri'!M52="NO",'Motor_Meciuri'!BL52='Motor_Meciuri'!C52,AB660&gt;='Config_v6'!$B$50,AN660&gt;='Config_v6'!$B$51,T660&lt;='Config_v6'!$B$52,L660&lt;='Config_v6'!$B$53,ISNUMBER('Calibrare_Linii'!E16),S660&lt;='Calibrare_Linii'!E16,SUM(AK660:AM660)&gt;0),"CANDIDATE","NO"))</x:f>
      </x:c>
      <x:c r="Y660" s="2" t="str">
        <x:f>IF(B660="","",IF(I660&lt;&gt;"READY","NOT RELEASED",IF(AND(X660="CANDIDATE",V660&gt;='Config_v6'!$B$51,W660="PASS",'Calibrare_Linii'!T16="VALIDATED",AND('Calibrare_Linii'!H16=C660,ISNUMBER('Calibrare_Linii'!J16),'Calibrare_Linii'!J16&lt;='Input_Meci'!G52)),"PASS",IF(X660="CANDIDATE","OOS PENDING","FAIL"))))</x:f>
      </x:c>
      <x:c r="Z660" s="2" t="str">
        <x:f>IF(B660="","",IF(I660&lt;&gt;"READY","",IF(OR(NOT(AND(J660="PASS",'Calibrare_Linii'!U16="VALID")),L660&gt;'Config_v6'!$B$13,W660="WATCH"),5,IF(Y660="PASS",1,MIN(5,MAX('Config_v6'!$B$42,U660)+IF(W660="PENALTY",1,0))))))</x:f>
      </x:c>
      <x:c r="AA660" s="2" t="str">
        <x:f>IF(B660="","",IF(I660&lt;&gt;"READY","NOT RELEASED",IF(Z660=5,"NO BET",IF(OR(AB660&lt;'Config_v6'!$B$16,V660&lt;'Config_v6'!$B$18),"WATCH",IF(Z660=1,"DEFENSIV",IF(Z660=2,"PRUDENT",IF(Z660=3,"MODERAT","RIDICAT")))))))</x:f>
      </x:c>
      <x:c r="AB660" s="10" t="str">
        <x:f>IF(N660="","",MIN(N660,1-S660))</x:f>
      </x:c>
      <x:c r="AC660" s="2" t="str">
        <x:f>IF(AD660&lt;&gt;1,"",COUNTIFS($Z$650:$Z$663,"&lt;"&amp;Z660,$AD$650:$AD$663,1)+COUNTIFS($Z$650:$Z$663,Z660,$AB$650:$AB$663,"&gt;"&amp;AB660,$AD$650:$AD$663,1)+COUNTIFS($Z$650:$Z$663,Z660,$AB$650:$AB$663,AB660,$V$650:$V$663,"&gt;"&amp;V660,$AD$650:$AD$663,1)+COUNTIFS($Z$650:Z660,Z660,$AB$650:AB660,AB660,$V$650:V660,V660,$AD$650:AD660,1))</x:f>
      </x:c>
      <x:c r="AD660" s="2" t="n">
        <x:f>IF(OR(AA660="DEFENSIV",AA660="PRUDENT",AA660="MODERAT",AA660="RIDICAT"),1,0)</x:f>
        <x:v>0</x:v>
      </x:c>
      <x:c r="AE660" s="2" t="str">
        <x:f>IF(AD660&lt;&gt;1,"NO",IF(W660="PASS","YES",IF(W660="OOS PENDING","CONDITIONAL","NO")))</x:f>
        <x:v>NO</x:v>
      </x:c>
      <x:c r="AF660" s="2" t="n">
        <x:f>IF(AND(AD660=1,AC660=1,E660="LIVE"),1,0)</x:f>
        <x:v>0</x:v>
      </x:c>
      <x:c r="AG660" s="2" t="str">
        <x:f>IF(AF660&lt;&gt;1,"",'Dashboard'!P72)</x:f>
      </x:c>
      <x:c r="AH660" s="2" t="str">
        <x:f>IF(B660="","",IF(J660&lt;&gt;"PASS",'Motor_Meciuri'!J52,IF('Calibrare_Linii'!U16&lt;&gt;"VALID","Parametri linie invalizi",IF(L660&gt;'Config_v6'!$B$13,"Dispersie peste limita",IF(W660="WATCH","Failure peste limita",IF(AB660&lt;'Config_v6'!$B$16,"P finala sub prag",IF(V660&lt;'Config_v6'!$B$18,"Confidence sub prag",IF(E660="REPLAY","Exemplu retrospectiv; exclus din Top LIVE",IF(Y660="PASS","DEFENSIV validat",IF(W660="OOS PENDING","Eligibil; calibrare linie in monitorizare","Eligibil"))))))))))</x:f>
      </x:c>
      <x:c r="AI660" s="2" t="str">
        <x:f>IF(B660="","",'Calibrare_Linii'!V16)</x:f>
      </x:c>
      <x:c r="AJ660" s="2" t="str">
        <x:f>IF(B660="","",IF(AND('Calibrare_Linii'!T16="VALIDATED",AND('Calibrare_Linii'!H16=C660,ISNUMBER('Calibrare_Linii'!J16),'Calibrare_Linii'!J16&lt;='Input_Meci'!G52)),"DEFENSIVE VALIDATED",IF(AND('Calibrare_Linii'!S16="VALIDATED",AND('Calibrare_Linii'!H16=C660,ISNUMBER('Calibrare_Linii'!J16),'Calibrare_Linii'!J16&lt;='Input_Meci'!G52)),"TAIL VALIDATED","OOS PENDING")))</x:f>
      </x:c>
      <x:c r="AK660" s="2" t="n">
        <x:f>IF(J660&lt;&gt;"PASS",0,'Motor_Meciuri'!BR52)</x:f>
        <x:v>0</x:v>
      </x:c>
      <x:c r="AL660" s="2" t="n">
        <x:f>IF(J660&lt;&gt;"PASS",0,'Motor_Meciuri'!BS52)</x:f>
        <x:v>0</x:v>
      </x:c>
      <x:c r="AM660" s="2" t="n">
        <x:f>IF(J660&lt;&gt;"PASS",0,'Motor_Meciuri'!BT52)</x:f>
        <x:v>0</x:v>
      </x:c>
      <x:c r="AN660" s="2" t="str">
        <x:f>IF(M660="","",MAX(0,'Motor_Meciuri'!BF52-IF(L660&gt;'Config_v6'!$B$12,'Config_v6'!$B$37,IF(L660&gt;'Config_v6'!$B$11,'Config_v6'!$B$36,0))))</x:f>
      </x:c>
    </x:row>
    <x:row r="661" ht="21" customHeight="1">
      <x:c r="A661" s="2" t="n">
        <x:v>47</x:v>
      </x:c>
      <x:c r="B661" s="2" t="str">
        <x:f>IF('Motor_Meciuri'!A52="","",'Motor_Meciuri'!A52)</x:f>
      </x:c>
      <x:c r="C661" s="2" t="str">
        <x:f>IF(B661="","",'Motor_Meciuri'!B52)</x:f>
      </x:c>
      <x:c r="D661" s="2" t="str">
        <x:f>IF(B661="","",'Motor_Meciuri'!D52)</x:f>
      </x:c>
      <x:c r="E661" s="2" t="str">
        <x:f>IF(B661="","",'Motor_Meciuri'!E52)</x:f>
      </x:c>
      <x:c r="F661" s="2" t="str">
        <x:v>U15,5</x:v>
      </x:c>
      <x:c r="G661" s="2" t="str">
        <x:v>UNDER</x:v>
      </x:c>
      <x:c r="H661" s="2" t="n">
        <x:v>15</x:v>
      </x:c>
      <x:c r="I661" s="2" t="str">
        <x:f>IF(B661="","",'Motor_Meciuri'!H52)</x:f>
      </x:c>
      <x:c r="J661" s="2" t="str">
        <x:f>IF(B661="","",'Motor_Meciuri'!I52)</x:f>
      </x:c>
      <x:c r="K661" s="11" t="str">
        <x:f>IF(J661&lt;&gt;"PASS","",'Motor_Meciuri'!BD52)</x:f>
      </x:c>
      <x:c r="L661" s="11" t="str">
        <x:f>IF(J661&lt;&gt;"PASS","",'Motor_Meciuri'!AU52)</x:f>
      </x:c>
      <x:c r="M661" s="10" t="str">
        <x:f>IF(NOT(AND(J661="PASS",'Calibrare_Linii'!U17="VALID")),"",'Distributie'!AM52)</x:f>
      </x:c>
      <x:c r="N661" s="10" t="str">
        <x:f>IF(M661="","",MAX(0.01,MIN(0.99,0.5+(M661-0.5)*'Motor_Meciuri'!BG52*'Calibrare_Linii'!D17)))</x:f>
      </x:c>
      <x:c r="O661" s="10" t="str">
        <x:f>IF(M661="","",1-M661)</x:f>
      </x:c>
      <x:c r="P661" s="10" t="str">
        <x:f>IF(OR(NOT(AND(J661="PASS",'Calibrare_Linii'!U17="VALID")),AK661=0),""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*('Istoric_Nativ'!$Q$6:$Q$405&gt;H661))/AK661)</x:f>
      </x:c>
      <x:c r="Q661" s="10" t="str">
        <x:f>IF(OR(NOT(AND(J661="PASS",'Calibrare_Linii'!U17="VALID")),AL661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M52)+((('Istoric_Nativ'!$E$6:$E$405='Input_Meci'!E52)+('Istoric_Nativ'!$F$6:$F$405='Input_Meci'!E52))&gt;0)*('Istoric_Nativ'!$D$6:$D$405&gt;='Motor_Meciuri'!BN52))&gt;0)*('Istoric_Nativ'!$Q$6:$Q$405&gt;H661))/AL661)</x:f>
      </x:c>
      <x:c r="R661" s="10" t="str">
        <x:f>IF(OR(NOT(AND(J661="PASS",'Calibrare_Linii'!U17="VALID")),AM661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O52)+((('Istoric_Nativ'!$E$6:$E$405='Input_Meci'!E52)+('Istoric_Nativ'!$F$6:$F$405='Input_Meci'!E52))&gt;0)*('Istoric_Nativ'!$D$6:$D$405&gt;='Motor_Meciuri'!BP52))&gt;0)*('Istoric_Nativ'!$Q$6:$Q$405&gt;H661))/AM661)</x:f>
      </x:c>
      <x:c r="S661" s="10" t="str">
        <x:f>IF(M661="","",MAX(O661,P661,Q661,R661))</x:f>
      </x:c>
      <x:c r="T661" s="11" t="str">
        <x:f>IF(M661="","",MIN(100,S661*100*'Config_v6'!$B$44+MIN(100,L661/'Config_v6'!$B$13*100)*'Config_v6'!$B$45+(100-'Motor_Meciuri'!BF52)*'Config_v6'!$B$46+'Motor_Meciuri'!BH52*100*'Config_v6'!$B$47))</x:f>
      </x:c>
      <x:c r="U661" s="2" t="str">
        <x:f>IF(T661="","",IF(T661&lt;=20,1,IF(T661&lt;=40,2,IF(T661&lt;=60,3,IF(T661&lt;=80,4,5)))))</x:f>
      </x:c>
      <x:c r="V661" s="2" t="str">
        <x:f>IF(M661="","",MAX(0,'Motor_Meciuri'!BF52-IF(W661="OOS PENDING",'Config_v6'!$B$35,0)-IF(L661&gt;'Config_v6'!$B$12,'Config_v6'!$B$37,IF(L661&gt;'Config_v6'!$B$11,'Config_v6'!$B$36,0))))</x:f>
      </x:c>
      <x:c r="W661" s="2" t="str">
        <x:f>IF(B661="","",IF(I661&lt;&gt;"READY","NOT RELEASED",IF(NOT(AND(J661="PASS",'Calibrare_Linii'!U17="VALID")),"INVALID",IF(NOT(AND('Calibrare_Linii'!S17="VALIDATED",AND('Calibrare_Linii'!H17=C661,ISNUMBER('Calibrare_Linii'!J17),'Calibrare_Linii'!J17&lt;='Input_Meci'!G52))),"OOS PENDING",IF(S661&lt;='Calibrare_Linii'!E17,"PASS",IF(S661&lt;='Calibrare_Linii'!F17,"PENALTY","WATCH"))))))</x:f>
      </x:c>
      <x:c r="X661" s="2" t="str">
        <x:f>IF(M661="","",IF(AND(AND(J661="PASS",'Calibrare_Linii'!U17="VALID"),'Motor_Meciuri'!K52=12,'Motor_Meciuri'!L52=12,'Motor_Meciuri'!M52="NO",'Motor_Meciuri'!BL52='Motor_Meciuri'!C52,AB661&gt;='Config_v6'!$B$50,AN661&gt;='Config_v6'!$B$51,T661&lt;='Config_v6'!$B$52,L661&lt;='Config_v6'!$B$53,ISNUMBER('Calibrare_Linii'!E17),S661&lt;='Calibrare_Linii'!E17,SUM(AK661:AM661)&gt;0),"CANDIDATE","NO"))</x:f>
      </x:c>
      <x:c r="Y661" s="2" t="str">
        <x:f>IF(B661="","",IF(I661&lt;&gt;"READY","NOT RELEASED",IF(AND(X661="CANDIDATE",V661&gt;='Config_v6'!$B$51,W661="PASS",'Calibrare_Linii'!T17="VALIDATED",AND('Calibrare_Linii'!H17=C661,ISNUMBER('Calibrare_Linii'!J17),'Calibrare_Linii'!J17&lt;='Input_Meci'!G52)),"PASS",IF(X661="CANDIDATE","OOS PENDING","FAIL"))))</x:f>
      </x:c>
      <x:c r="Z661" s="2" t="str">
        <x:f>IF(B661="","",IF(I661&lt;&gt;"READY","",IF(OR(NOT(AND(J661="PASS",'Calibrare_Linii'!U17="VALID")),L661&gt;'Config_v6'!$B$13,W661="WATCH"),5,IF(Y661="PASS",1,MIN(5,MAX('Config_v6'!$B$42,U661)+IF(W661="PENALTY",1,0))))))</x:f>
      </x:c>
      <x:c r="AA661" s="2" t="str">
        <x:f>IF(B661="","",IF(I661&lt;&gt;"READY","NOT RELEASED",IF(Z661=5,"NO BET",IF(OR(AB661&lt;'Config_v6'!$B$16,V661&lt;'Config_v6'!$B$18),"WATCH",IF(Z661=1,"DEFENSIV",IF(Z661=2,"PRUDENT",IF(Z661=3,"MODERAT","RIDICAT")))))))</x:f>
      </x:c>
      <x:c r="AB661" s="10" t="str">
        <x:f>IF(N661="","",MIN(N661,1-S661))</x:f>
      </x:c>
      <x:c r="AC661" s="2" t="str">
        <x:f>IF(AD661&lt;&gt;1,"",COUNTIFS($Z$650:$Z$663,"&lt;"&amp;Z661,$AD$650:$AD$663,1)+COUNTIFS($Z$650:$Z$663,Z661,$AB$650:$AB$663,"&gt;"&amp;AB661,$AD$650:$AD$663,1)+COUNTIFS($Z$650:$Z$663,Z661,$AB$650:$AB$663,AB661,$V$650:$V$663,"&gt;"&amp;V661,$AD$650:$AD$663,1)+COUNTIFS($Z$650:Z661,Z661,$AB$650:AB661,AB661,$V$650:V661,V661,$AD$650:AD661,1))</x:f>
      </x:c>
      <x:c r="AD661" s="2" t="n">
        <x:f>IF(OR(AA661="DEFENSIV",AA661="PRUDENT",AA661="MODERAT",AA661="RIDICAT"),1,0)</x:f>
        <x:v>0</x:v>
      </x:c>
      <x:c r="AE661" s="2" t="str">
        <x:f>IF(AD661&lt;&gt;1,"NO",IF(W661="PASS","YES",IF(W661="OOS PENDING","CONDITIONAL","NO")))</x:f>
        <x:v>NO</x:v>
      </x:c>
      <x:c r="AF661" s="2" t="n">
        <x:f>IF(AND(AD661=1,AC661=1,E661="LIVE"),1,0)</x:f>
        <x:v>0</x:v>
      </x:c>
      <x:c r="AG661" s="2" t="str">
        <x:f>IF(AF661&lt;&gt;1,"",'Dashboard'!P72)</x:f>
      </x:c>
      <x:c r="AH661" s="2" t="str">
        <x:f>IF(B661="","",IF(J661&lt;&gt;"PASS",'Motor_Meciuri'!J52,IF('Calibrare_Linii'!U17&lt;&gt;"VALID","Parametri linie invalizi",IF(L661&gt;'Config_v6'!$B$13,"Dispersie peste limita",IF(W661="WATCH","Failure peste limita",IF(AB661&lt;'Config_v6'!$B$16,"P finala sub prag",IF(V661&lt;'Config_v6'!$B$18,"Confidence sub prag",IF(E661="REPLAY","Exemplu retrospectiv; exclus din Top LIVE",IF(Y661="PASS","DEFENSIV validat",IF(W661="OOS PENDING","Eligibil; calibrare linie in monitorizare","Eligibil"))))))))))</x:f>
      </x:c>
      <x:c r="AI661" s="2" t="str">
        <x:f>IF(B661="","",'Calibrare_Linii'!V17)</x:f>
      </x:c>
      <x:c r="AJ661" s="2" t="str">
        <x:f>IF(B661="","",IF(AND('Calibrare_Linii'!T17="VALIDATED",AND('Calibrare_Linii'!H17=C661,ISNUMBER('Calibrare_Linii'!J17),'Calibrare_Linii'!J17&lt;='Input_Meci'!G52)),"DEFENSIVE VALIDATED",IF(AND('Calibrare_Linii'!S17="VALIDATED",AND('Calibrare_Linii'!H17=C661,ISNUMBER('Calibrare_Linii'!J17),'Calibrare_Linii'!J17&lt;='Input_Meci'!G52)),"TAIL VALIDATED","OOS PENDING")))</x:f>
      </x:c>
      <x:c r="AK661" s="2" t="n">
        <x:f>IF(J661&lt;&gt;"PASS",0,'Motor_Meciuri'!BR52)</x:f>
        <x:v>0</x:v>
      </x:c>
      <x:c r="AL661" s="2" t="n">
        <x:f>IF(J661&lt;&gt;"PASS",0,'Motor_Meciuri'!BS52)</x:f>
        <x:v>0</x:v>
      </x:c>
      <x:c r="AM661" s="2" t="n">
        <x:f>IF(J661&lt;&gt;"PASS",0,'Motor_Meciuri'!BT52)</x:f>
        <x:v>0</x:v>
      </x:c>
      <x:c r="AN661" s="2" t="str">
        <x:f>IF(M661="","",MAX(0,'Motor_Meciuri'!BF52-IF(L661&gt;'Config_v6'!$B$12,'Config_v6'!$B$37,IF(L661&gt;'Config_v6'!$B$11,'Config_v6'!$B$36,0))))</x:f>
      </x:c>
    </x:row>
    <x:row r="662" ht="21" customHeight="1">
      <x:c r="A662" s="2" t="n">
        <x:v>47</x:v>
      </x:c>
      <x:c r="B662" s="2" t="str">
        <x:f>IF('Motor_Meciuri'!A52="","",'Motor_Meciuri'!A52)</x:f>
      </x:c>
      <x:c r="C662" s="2" t="str">
        <x:f>IF(B662="","",'Motor_Meciuri'!B52)</x:f>
      </x:c>
      <x:c r="D662" s="2" t="str">
        <x:f>IF(B662="","",'Motor_Meciuri'!D52)</x:f>
      </x:c>
      <x:c r="E662" s="2" t="str">
        <x:f>IF(B662="","",'Motor_Meciuri'!E52)</x:f>
      </x:c>
      <x:c r="F662" s="2" t="str">
        <x:v>U16,5</x:v>
      </x:c>
      <x:c r="G662" s="2" t="str">
        <x:v>UNDER</x:v>
      </x:c>
      <x:c r="H662" s="2" t="n">
        <x:v>16</x:v>
      </x:c>
      <x:c r="I662" s="2" t="str">
        <x:f>IF(B662="","",'Motor_Meciuri'!H52)</x:f>
      </x:c>
      <x:c r="J662" s="2" t="str">
        <x:f>IF(B662="","",'Motor_Meciuri'!I52)</x:f>
      </x:c>
      <x:c r="K662" s="11" t="str">
        <x:f>IF(J662&lt;&gt;"PASS","",'Motor_Meciuri'!BD52)</x:f>
      </x:c>
      <x:c r="L662" s="11" t="str">
        <x:f>IF(J662&lt;&gt;"PASS","",'Motor_Meciuri'!AU52)</x:f>
      </x:c>
      <x:c r="M662" s="10" t="str">
        <x:f>IF(NOT(AND(J662="PASS",'Calibrare_Linii'!U18="VALID")),"",'Distributie'!AN52)</x:f>
      </x:c>
      <x:c r="N662" s="10" t="str">
        <x:f>IF(M662="","",MAX(0.01,MIN(0.99,0.5+(M662-0.5)*'Motor_Meciuri'!BG52*'Calibrare_Linii'!D18)))</x:f>
      </x:c>
      <x:c r="O662" s="10" t="str">
        <x:f>IF(M662="","",1-M662)</x:f>
      </x:c>
      <x:c r="P662" s="10" t="str">
        <x:f>IF(OR(NOT(AND(J662="PASS",'Calibrare_Linii'!U18="VALID")),AK662=0),""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*('Istoric_Nativ'!$Q$6:$Q$405&gt;H662))/AK662)</x:f>
      </x:c>
      <x:c r="Q662" s="10" t="str">
        <x:f>IF(OR(NOT(AND(J662="PASS",'Calibrare_Linii'!U18="VALID")),AL662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M52)+((('Istoric_Nativ'!$E$6:$E$405='Input_Meci'!E52)+('Istoric_Nativ'!$F$6:$F$405='Input_Meci'!E52))&gt;0)*('Istoric_Nativ'!$D$6:$D$405&gt;='Motor_Meciuri'!BN52))&gt;0)*('Istoric_Nativ'!$Q$6:$Q$405&gt;H662))/AL662)</x:f>
      </x:c>
      <x:c r="R662" s="10" t="str">
        <x:f>IF(OR(NOT(AND(J662="PASS",'Calibrare_Linii'!U18="VALID")),AM662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O52)+((('Istoric_Nativ'!$E$6:$E$405='Input_Meci'!E52)+('Istoric_Nativ'!$F$6:$F$405='Input_Meci'!E52))&gt;0)*('Istoric_Nativ'!$D$6:$D$405&gt;='Motor_Meciuri'!BP52))&gt;0)*('Istoric_Nativ'!$Q$6:$Q$405&gt;H662))/AM662)</x:f>
      </x:c>
      <x:c r="S662" s="10" t="str">
        <x:f>IF(M662="","",MAX(O662,P662,Q662,R662))</x:f>
      </x:c>
      <x:c r="T662" s="11" t="str">
        <x:f>IF(M662="","",MIN(100,S662*100*'Config_v6'!$B$44+MIN(100,L662/'Config_v6'!$B$13*100)*'Config_v6'!$B$45+(100-'Motor_Meciuri'!BF52)*'Config_v6'!$B$46+'Motor_Meciuri'!BH52*100*'Config_v6'!$B$47))</x:f>
      </x:c>
      <x:c r="U662" s="2" t="str">
        <x:f>IF(T662="","",IF(T662&lt;=20,1,IF(T662&lt;=40,2,IF(T662&lt;=60,3,IF(T662&lt;=80,4,5)))))</x:f>
      </x:c>
      <x:c r="V662" s="2" t="str">
        <x:f>IF(M662="","",MAX(0,'Motor_Meciuri'!BF52-IF(W662="OOS PENDING",'Config_v6'!$B$35,0)-IF(L662&gt;'Config_v6'!$B$12,'Config_v6'!$B$37,IF(L662&gt;'Config_v6'!$B$11,'Config_v6'!$B$36,0))))</x:f>
      </x:c>
      <x:c r="W662" s="2" t="str">
        <x:f>IF(B662="","",IF(I662&lt;&gt;"READY","NOT RELEASED",IF(NOT(AND(J662="PASS",'Calibrare_Linii'!U18="VALID")),"INVALID",IF(NOT(AND('Calibrare_Linii'!S18="VALIDATED",AND('Calibrare_Linii'!H18=C662,ISNUMBER('Calibrare_Linii'!J18),'Calibrare_Linii'!J18&lt;='Input_Meci'!G52))),"OOS PENDING",IF(S662&lt;='Calibrare_Linii'!E18,"PASS",IF(S662&lt;='Calibrare_Linii'!F18,"PENALTY","WATCH"))))))</x:f>
      </x:c>
      <x:c r="X662" s="2" t="str">
        <x:f>IF(M662="","",IF(AND(AND(J662="PASS",'Calibrare_Linii'!U18="VALID"),'Motor_Meciuri'!K52=12,'Motor_Meciuri'!L52=12,'Motor_Meciuri'!M52="NO",'Motor_Meciuri'!BL52='Motor_Meciuri'!C52,AB662&gt;='Config_v6'!$B$50,AN662&gt;='Config_v6'!$B$51,T662&lt;='Config_v6'!$B$52,L662&lt;='Config_v6'!$B$53,ISNUMBER('Calibrare_Linii'!E18),S662&lt;='Calibrare_Linii'!E18,SUM(AK662:AM662)&gt;0),"CANDIDATE","NO"))</x:f>
      </x:c>
      <x:c r="Y662" s="2" t="str">
        <x:f>IF(B662="","",IF(I662&lt;&gt;"READY","NOT RELEASED",IF(AND(X662="CANDIDATE",V662&gt;='Config_v6'!$B$51,W662="PASS",'Calibrare_Linii'!T18="VALIDATED",AND('Calibrare_Linii'!H18=C662,ISNUMBER('Calibrare_Linii'!J18),'Calibrare_Linii'!J18&lt;='Input_Meci'!G52)),"PASS",IF(X662="CANDIDATE","OOS PENDING","FAIL"))))</x:f>
      </x:c>
      <x:c r="Z662" s="2" t="str">
        <x:f>IF(B662="","",IF(I662&lt;&gt;"READY","",IF(OR(NOT(AND(J662="PASS",'Calibrare_Linii'!U18="VALID")),L662&gt;'Config_v6'!$B$13,W662="WATCH"),5,IF(Y662="PASS",1,MIN(5,MAX('Config_v6'!$B$42,U662)+IF(W662="PENALTY",1,0))))))</x:f>
      </x:c>
      <x:c r="AA662" s="2" t="str">
        <x:f>IF(B662="","",IF(I662&lt;&gt;"READY","NOT RELEASED",IF(Z662=5,"NO BET",IF(OR(AB662&lt;'Config_v6'!$B$16,V662&lt;'Config_v6'!$B$18),"WATCH",IF(Z662=1,"DEFENSIV",IF(Z662=2,"PRUDENT",IF(Z662=3,"MODERAT","RIDICAT")))))))</x:f>
      </x:c>
      <x:c r="AB662" s="10" t="str">
        <x:f>IF(N662="","",MIN(N662,1-S662))</x:f>
      </x:c>
      <x:c r="AC662" s="2" t="str">
        <x:f>IF(AD662&lt;&gt;1,"",COUNTIFS($Z$650:$Z$663,"&lt;"&amp;Z662,$AD$650:$AD$663,1)+COUNTIFS($Z$650:$Z$663,Z662,$AB$650:$AB$663,"&gt;"&amp;AB662,$AD$650:$AD$663,1)+COUNTIFS($Z$650:$Z$663,Z662,$AB$650:$AB$663,AB662,$V$650:$V$663,"&gt;"&amp;V662,$AD$650:$AD$663,1)+COUNTIFS($Z$650:Z662,Z662,$AB$650:AB662,AB662,$V$650:V662,V662,$AD$650:AD662,1))</x:f>
      </x:c>
      <x:c r="AD662" s="2" t="n">
        <x:f>IF(OR(AA662="DEFENSIV",AA662="PRUDENT",AA662="MODERAT",AA662="RIDICAT"),1,0)</x:f>
        <x:v>0</x:v>
      </x:c>
      <x:c r="AE662" s="2" t="str">
        <x:f>IF(AD662&lt;&gt;1,"NO",IF(W662="PASS","YES",IF(W662="OOS PENDING","CONDITIONAL","NO")))</x:f>
        <x:v>NO</x:v>
      </x:c>
      <x:c r="AF662" s="2" t="n">
        <x:f>IF(AND(AD662=1,AC662=1,E662="LIVE"),1,0)</x:f>
        <x:v>0</x:v>
      </x:c>
      <x:c r="AG662" s="2" t="str">
        <x:f>IF(AF662&lt;&gt;1,"",'Dashboard'!P72)</x:f>
      </x:c>
      <x:c r="AH662" s="2" t="str">
        <x:f>IF(B662="","",IF(J662&lt;&gt;"PASS",'Motor_Meciuri'!J52,IF('Calibrare_Linii'!U18&lt;&gt;"VALID","Parametri linie invalizi",IF(L662&gt;'Config_v6'!$B$13,"Dispersie peste limita",IF(W662="WATCH","Failure peste limita",IF(AB662&lt;'Config_v6'!$B$16,"P finala sub prag",IF(V662&lt;'Config_v6'!$B$18,"Confidence sub prag",IF(E662="REPLAY","Exemplu retrospectiv; exclus din Top LIVE",IF(Y662="PASS","DEFENSIV validat",IF(W662="OOS PENDING","Eligibil; calibrare linie in monitorizare","Eligibil"))))))))))</x:f>
      </x:c>
      <x:c r="AI662" s="2" t="str">
        <x:f>IF(B662="","",'Calibrare_Linii'!V18)</x:f>
      </x:c>
      <x:c r="AJ662" s="2" t="str">
        <x:f>IF(B662="","",IF(AND('Calibrare_Linii'!T18="VALIDATED",AND('Calibrare_Linii'!H18=C662,ISNUMBER('Calibrare_Linii'!J18),'Calibrare_Linii'!J18&lt;='Input_Meci'!G52)),"DEFENSIVE VALIDATED",IF(AND('Calibrare_Linii'!S18="VALIDATED",AND('Calibrare_Linii'!H18=C662,ISNUMBER('Calibrare_Linii'!J18),'Calibrare_Linii'!J18&lt;='Input_Meci'!G52)),"TAIL VALIDATED","OOS PENDING")))</x:f>
      </x:c>
      <x:c r="AK662" s="2" t="n">
        <x:f>IF(J662&lt;&gt;"PASS",0,'Motor_Meciuri'!BR52)</x:f>
        <x:v>0</x:v>
      </x:c>
      <x:c r="AL662" s="2" t="n">
        <x:f>IF(J662&lt;&gt;"PASS",0,'Motor_Meciuri'!BS52)</x:f>
        <x:v>0</x:v>
      </x:c>
      <x:c r="AM662" s="2" t="n">
        <x:f>IF(J662&lt;&gt;"PASS",0,'Motor_Meciuri'!BT52)</x:f>
        <x:v>0</x:v>
      </x:c>
      <x:c r="AN662" s="2" t="str">
        <x:f>IF(M662="","",MAX(0,'Motor_Meciuri'!BF52-IF(L662&gt;'Config_v6'!$B$12,'Config_v6'!$B$37,IF(L662&gt;'Config_v6'!$B$11,'Config_v6'!$B$36,0))))</x:f>
      </x:c>
    </x:row>
    <x:row r="663" ht="21" customHeight="1">
      <x:c r="A663" s="2" t="n">
        <x:v>47</x:v>
      </x:c>
      <x:c r="B663" s="2" t="str">
        <x:f>IF('Motor_Meciuri'!A52="","",'Motor_Meciuri'!A52)</x:f>
      </x:c>
      <x:c r="C663" s="2" t="str">
        <x:f>IF(B663="","",'Motor_Meciuri'!B52)</x:f>
      </x:c>
      <x:c r="D663" s="2" t="str">
        <x:f>IF(B663="","",'Motor_Meciuri'!D52)</x:f>
      </x:c>
      <x:c r="E663" s="2" t="str">
        <x:f>IF(B663="","",'Motor_Meciuri'!E52)</x:f>
      </x:c>
      <x:c r="F663" s="2" t="str">
        <x:v>U17,5</x:v>
      </x:c>
      <x:c r="G663" s="2" t="str">
        <x:v>UNDER</x:v>
      </x:c>
      <x:c r="H663" s="2" t="n">
        <x:v>17</x:v>
      </x:c>
      <x:c r="I663" s="2" t="str">
        <x:f>IF(B663="","",'Motor_Meciuri'!H52)</x:f>
      </x:c>
      <x:c r="J663" s="2" t="str">
        <x:f>IF(B663="","",'Motor_Meciuri'!I52)</x:f>
      </x:c>
      <x:c r="K663" s="11" t="str">
        <x:f>IF(J663&lt;&gt;"PASS","",'Motor_Meciuri'!BD52)</x:f>
      </x:c>
      <x:c r="L663" s="11" t="str">
        <x:f>IF(J663&lt;&gt;"PASS","",'Motor_Meciuri'!AU52)</x:f>
      </x:c>
      <x:c r="M663" s="10" t="str">
        <x:f>IF(NOT(AND(J663="PASS",'Calibrare_Linii'!U19="VALID")),"",'Distributie'!AO52)</x:f>
      </x:c>
      <x:c r="N663" s="10" t="str">
        <x:f>IF(M663="","",MAX(0.01,MIN(0.99,0.5+(M663-0.5)*'Motor_Meciuri'!BG52*'Calibrare_Linii'!D19)))</x:f>
      </x:c>
      <x:c r="O663" s="10" t="str">
        <x:f>IF(M663="","",1-M663)</x:f>
      </x:c>
      <x:c r="P663" s="10" t="str">
        <x:f>IF(OR(NOT(AND(J663="PASS",'Calibrare_Linii'!U19="VALID")),AK663=0),""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*('Istoric_Nativ'!$Q$6:$Q$405&gt;H663))/AK663)</x:f>
      </x:c>
      <x:c r="Q663" s="10" t="str">
        <x:f>IF(OR(NOT(AND(J663="PASS",'Calibrare_Linii'!U19="VALID")),AL663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M52)+((('Istoric_Nativ'!$E$6:$E$405='Input_Meci'!E52)+('Istoric_Nativ'!$F$6:$F$405='Input_Meci'!E52))&gt;0)*('Istoric_Nativ'!$D$6:$D$405&gt;='Motor_Meciuri'!BN52))&gt;0)*('Istoric_Nativ'!$Q$6:$Q$405&gt;H663))/AL663)</x:f>
      </x:c>
      <x:c r="R663" s="10" t="str">
        <x:f>IF(OR(NOT(AND(J663="PASS",'Calibrare_Linii'!U19="VALID")),AM663=0),""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'Motor_Meciuri'!BO52)+((('Istoric_Nativ'!$E$6:$E$405='Input_Meci'!E52)+('Istoric_Nativ'!$F$6:$F$405='Input_Meci'!E52))&gt;0)*('Istoric_Nativ'!$D$6:$D$405&gt;='Motor_Meciuri'!BP52))&gt;0)*('Istoric_Nativ'!$Q$6:$Q$405&gt;H663))/AM663)</x:f>
      </x:c>
      <x:c r="S663" s="10" t="str">
        <x:f>IF(M663="","",MAX(O663,P663,Q663,R663))</x:f>
      </x:c>
      <x:c r="T663" s="11" t="str">
        <x:f>IF(M663="","",MIN(100,S663*100*'Config_v6'!$B$44+MIN(100,L663/'Config_v6'!$B$13*100)*'Config_v6'!$B$45+(100-'Motor_Meciuri'!BF52)*'Config_v6'!$B$46+'Motor_Meciuri'!BH52*100*'Config_v6'!$B$47))</x:f>
      </x:c>
      <x:c r="U663" s="2" t="str">
        <x:f>IF(T663="","",IF(T663&lt;=20,1,IF(T663&lt;=40,2,IF(T663&lt;=60,3,IF(T663&lt;=80,4,5)))))</x:f>
      </x:c>
      <x:c r="V663" s="2" t="str">
        <x:f>IF(M663="","",MAX(0,'Motor_Meciuri'!BF52-IF(W663="OOS PENDING",'Config_v6'!$B$35,0)-IF(L663&gt;'Config_v6'!$B$12,'Config_v6'!$B$37,IF(L663&gt;'Config_v6'!$B$11,'Config_v6'!$B$36,0))))</x:f>
      </x:c>
      <x:c r="W663" s="2" t="str">
        <x:f>IF(B663="","",IF(I663&lt;&gt;"READY","NOT RELEASED",IF(NOT(AND(J663="PASS",'Calibrare_Linii'!U19="VALID")),"INVALID",IF(NOT(AND('Calibrare_Linii'!S19="VALIDATED",AND('Calibrare_Linii'!H19=C663,ISNUMBER('Calibrare_Linii'!J19),'Calibrare_Linii'!J19&lt;='Input_Meci'!G52))),"OOS PENDING",IF(S663&lt;='Calibrare_Linii'!E19,"PASS",IF(S663&lt;='Calibrare_Linii'!F19,"PENALTY","WATCH"))))))</x:f>
      </x:c>
      <x:c r="X663" s="2" t="str">
        <x:f>IF(M663="","",IF(AND(AND(J663="PASS",'Calibrare_Linii'!U19="VALID"),'Motor_Meciuri'!K52=12,'Motor_Meciuri'!L52=12,'Motor_Meciuri'!M52="NO",'Motor_Meciuri'!BL52='Motor_Meciuri'!C52,AB663&gt;='Config_v6'!$B$50,AN663&gt;='Config_v6'!$B$51,T663&lt;='Config_v6'!$B$52,L663&lt;='Config_v6'!$B$53,ISNUMBER('Calibrare_Linii'!E19),S663&lt;='Calibrare_Linii'!E19,SUM(AK663:AM663)&gt;0),"CANDIDATE","NO"))</x:f>
      </x:c>
      <x:c r="Y663" s="2" t="str">
        <x:f>IF(B663="","",IF(I663&lt;&gt;"READY","NOT RELEASED",IF(AND(X663="CANDIDATE",V663&gt;='Config_v6'!$B$51,W663="PASS",'Calibrare_Linii'!T19="VALIDATED",AND('Calibrare_Linii'!H19=C663,ISNUMBER('Calibrare_Linii'!J19),'Calibrare_Linii'!J19&lt;='Input_Meci'!G52)),"PASS",IF(X663="CANDIDATE","OOS PENDING","FAIL"))))</x:f>
      </x:c>
      <x:c r="Z663" s="2" t="str">
        <x:f>IF(B663="","",IF(I663&lt;&gt;"READY","",IF(OR(NOT(AND(J663="PASS",'Calibrare_Linii'!U19="VALID")),L663&gt;'Config_v6'!$B$13,W663="WATCH"),5,IF(Y663="PASS",1,MIN(5,MAX('Config_v6'!$B$42,U663)+IF(W663="PENALTY",1,0))))))</x:f>
      </x:c>
      <x:c r="AA663" s="2" t="str">
        <x:f>IF(B663="","",IF(I663&lt;&gt;"READY","NOT RELEASED",IF(Z663=5,"NO BET",IF(OR(AB663&lt;'Config_v6'!$B$16,V663&lt;'Config_v6'!$B$18),"WATCH",IF(Z663=1,"DEFENSIV",IF(Z663=2,"PRUDENT",IF(Z663=3,"MODERAT","RIDICAT")))))))</x:f>
      </x:c>
      <x:c r="AB663" s="10" t="str">
        <x:f>IF(N663="","",MIN(N663,1-S663))</x:f>
      </x:c>
      <x:c r="AC663" s="2" t="str">
        <x:f>IF(AD663&lt;&gt;1,"",COUNTIFS($Z$650:$Z$663,"&lt;"&amp;Z663,$AD$650:$AD$663,1)+COUNTIFS($Z$650:$Z$663,Z663,$AB$650:$AB$663,"&gt;"&amp;AB663,$AD$650:$AD$663,1)+COUNTIFS($Z$650:$Z$663,Z663,$AB$650:$AB$663,AB663,$V$650:$V$663,"&gt;"&amp;V663,$AD$650:$AD$663,1)+COUNTIFS($Z$650:Z663,Z663,$AB$650:AB663,AB663,$V$650:V663,V663,$AD$650:AD663,1))</x:f>
      </x:c>
      <x:c r="AD663" s="2" t="n">
        <x:f>IF(OR(AA663="DEFENSIV",AA663="PRUDENT",AA663="MODERAT",AA663="RIDICAT"),1,0)</x:f>
        <x:v>0</x:v>
      </x:c>
      <x:c r="AE663" s="2" t="str">
        <x:f>IF(AD663&lt;&gt;1,"NO",IF(W663="PASS","YES",IF(W663="OOS PENDING","CONDITIONAL","NO")))</x:f>
        <x:v>NO</x:v>
      </x:c>
      <x:c r="AF663" s="2" t="n">
        <x:f>IF(AND(AD663=1,AC663=1,E663="LIVE"),1,0)</x:f>
        <x:v>0</x:v>
      </x:c>
      <x:c r="AG663" s="2" t="str">
        <x:f>IF(AF663&lt;&gt;1,"",'Dashboard'!P72)</x:f>
      </x:c>
      <x:c r="AH663" s="2" t="str">
        <x:f>IF(B663="","",IF(J663&lt;&gt;"PASS",'Motor_Meciuri'!J52,IF('Calibrare_Linii'!U19&lt;&gt;"VALID","Parametri linie invalizi",IF(L663&gt;'Config_v6'!$B$13,"Dispersie peste limita",IF(W663="WATCH","Failure peste limita",IF(AB663&lt;'Config_v6'!$B$16,"P finala sub prag",IF(V663&lt;'Config_v6'!$B$18,"Confidence sub prag",IF(E663="REPLAY","Exemplu retrospectiv; exclus din Top LIVE",IF(Y663="PASS","DEFENSIV validat",IF(W663="OOS PENDING","Eligibil; calibrare linie in monitorizare","Eligibil"))))))))))</x:f>
      </x:c>
      <x:c r="AI663" s="2" t="str">
        <x:f>IF(B663="","",'Calibrare_Linii'!V19)</x:f>
      </x:c>
      <x:c r="AJ663" s="2" t="str">
        <x:f>IF(B663="","",IF(AND('Calibrare_Linii'!T19="VALIDATED",AND('Calibrare_Linii'!H19=C663,ISNUMBER('Calibrare_Linii'!J19),'Calibrare_Linii'!J19&lt;='Input_Meci'!G52)),"DEFENSIVE VALIDATED",IF(AND('Calibrare_Linii'!S19="VALIDATED",AND('Calibrare_Linii'!H19=C663,ISNUMBER('Calibrare_Linii'!J19),'Calibrare_Linii'!J19&lt;='Input_Meci'!G52)),"TAIL VALIDATED","OOS PENDING")))</x:f>
      </x:c>
      <x:c r="AK663" s="2" t="n">
        <x:f>IF(J663&lt;&gt;"PASS",0,'Motor_Meciuri'!BR52)</x:f>
        <x:v>0</x:v>
      </x:c>
      <x:c r="AL663" s="2" t="n">
        <x:f>IF(J663&lt;&gt;"PASS",0,'Motor_Meciuri'!BS52)</x:f>
        <x:v>0</x:v>
      </x:c>
      <x:c r="AM663" s="2" t="n">
        <x:f>IF(J663&lt;&gt;"PASS",0,'Motor_Meciuri'!BT52)</x:f>
        <x:v>0</x:v>
      </x:c>
      <x:c r="AN663" s="2" t="str">
        <x:f>IF(M663="","",MAX(0,'Motor_Meciuri'!BF52-IF(L663&gt;'Config_v6'!$B$12,'Config_v6'!$B$37,IF(L663&gt;'Config_v6'!$B$11,'Config_v6'!$B$36,0))))</x:f>
      </x:c>
    </x:row>
    <x:row r="664" ht="21" customHeight="1">
      <x:c r="A664" s="2" t="n">
        <x:v>48</x:v>
      </x:c>
      <x:c r="B664" s="2" t="str">
        <x:f>IF('Motor_Meciuri'!A53="","",'Motor_Meciuri'!A53)</x:f>
      </x:c>
      <x:c r="C664" s="2" t="str">
        <x:f>IF(B664="","",'Motor_Meciuri'!B53)</x:f>
      </x:c>
      <x:c r="D664" s="2" t="str">
        <x:f>IF(B664="","",'Motor_Meciuri'!D53)</x:f>
      </x:c>
      <x:c r="E664" s="2" t="str">
        <x:f>IF(B664="","",'Motor_Meciuri'!E53)</x:f>
      </x:c>
      <x:c r="F664" s="2" t="str">
        <x:v>O3,5</x:v>
      </x:c>
      <x:c r="G664" s="2" t="str">
        <x:v>OVER</x:v>
      </x:c>
      <x:c r="H664" s="2" t="n">
        <x:v>3</x:v>
      </x:c>
      <x:c r="I664" s="2" t="str">
        <x:f>IF(B664="","",'Motor_Meciuri'!H53)</x:f>
      </x:c>
      <x:c r="J664" s="2" t="str">
        <x:f>IF(B664="","",'Motor_Meciuri'!I53)</x:f>
      </x:c>
      <x:c r="K664" s="11" t="str">
        <x:f>IF(J664&lt;&gt;"PASS","",'Motor_Meciuri'!BD53)</x:f>
      </x:c>
      <x:c r="L664" s="11" t="str">
        <x:f>IF(J664&lt;&gt;"PASS","",'Motor_Meciuri'!AU53)</x:f>
      </x:c>
      <x:c r="M664" s="10" t="str">
        <x:f>IF(NOT(AND(J664="PASS",'Calibrare_Linii'!U6="VALID")),"",1-'Distributie'!AA53)</x:f>
      </x:c>
      <x:c r="N664" s="10" t="str">
        <x:f>IF(M664="","",MAX(0.01,MIN(0.99,0.5+(M664-0.5)*'Motor_Meciuri'!BG53*'Calibrare_Linii'!D6)))</x:f>
      </x:c>
      <x:c r="O664" s="10" t="str">
        <x:f>IF(M664="","",1-M664)</x:f>
      </x:c>
      <x:c r="P664" s="10" t="str">
        <x:f>IF(OR(NOT(AND(J664="PASS",'Calibrare_Linii'!U6="VALID")),AK664=0),""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*('Istoric_Nativ'!$Q$6:$Q$405&lt;=H664))/AK664)</x:f>
      </x:c>
      <x:c r="Q664" s="10" t="str">
        <x:f>IF(OR(NOT(AND(J664="PASS",'Calibrare_Linii'!U6="VALID")),AL664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M53)+((('Istoric_Nativ'!$E$6:$E$405='Input_Meci'!E53)+('Istoric_Nativ'!$F$6:$F$405='Input_Meci'!E53))&gt;0)*('Istoric_Nativ'!$D$6:$D$405&gt;='Motor_Meciuri'!BN53))&gt;0)*('Istoric_Nativ'!$Q$6:$Q$405&lt;=H664))/AL664)</x:f>
      </x:c>
      <x:c r="R664" s="10" t="str">
        <x:f>IF(OR(NOT(AND(J664="PASS",'Calibrare_Linii'!U6="VALID")),AM664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O53)+((('Istoric_Nativ'!$E$6:$E$405='Input_Meci'!E53)+('Istoric_Nativ'!$F$6:$F$405='Input_Meci'!E53))&gt;0)*('Istoric_Nativ'!$D$6:$D$405&gt;='Motor_Meciuri'!BP53))&gt;0)*('Istoric_Nativ'!$Q$6:$Q$405&lt;=H664))/AM664)</x:f>
      </x:c>
      <x:c r="S664" s="10" t="str">
        <x:f>IF(M664="","",MAX(O664,P664,Q664,R664))</x:f>
      </x:c>
      <x:c r="T664" s="11" t="str">
        <x:f>IF(M664="","",MIN(100,S664*100*'Config_v6'!$B$44+MIN(100,L664/'Config_v6'!$B$13*100)*'Config_v6'!$B$45+(100-'Motor_Meciuri'!BF53)*'Config_v6'!$B$46+'Motor_Meciuri'!BH53*100*'Config_v6'!$B$47))</x:f>
      </x:c>
      <x:c r="U664" s="2" t="str">
        <x:f>IF(T664="","",IF(T664&lt;=20,1,IF(T664&lt;=40,2,IF(T664&lt;=60,3,IF(T664&lt;=80,4,5)))))</x:f>
      </x:c>
      <x:c r="V664" s="2" t="str">
        <x:f>IF(M664="","",MAX(0,'Motor_Meciuri'!BF53-IF(W664="OOS PENDING",'Config_v6'!$B$35,0)-IF(L664&gt;'Config_v6'!$B$12,'Config_v6'!$B$37,IF(L664&gt;'Config_v6'!$B$11,'Config_v6'!$B$36,0))))</x:f>
      </x:c>
      <x:c r="W664" s="2" t="str">
        <x:f>IF(B664="","",IF(I664&lt;&gt;"READY","NOT RELEASED",IF(NOT(AND(J664="PASS",'Calibrare_Linii'!U6="VALID")),"INVALID",IF(NOT(TRUE),"OOS PENDING",IF(S664&lt;=IF(AND('Calibrare_Linii'!S6="VALIDATED",AND('Calibrare_Linii'!H6=C664,ISNUMBER('Calibrare_Linii'!J6),'Calibrare_Linii'!J6&lt;='Input_Meci'!G53)),'Calibrare_Linii'!E6,'Config_v6'!$B$26),"PASS",IF(S664&lt;=IF(AND('Calibrare_Linii'!S6="VALIDATED",AND('Calibrare_Linii'!H6=C664,ISNUMBER('Calibrare_Linii'!J6),'Calibrare_Linii'!J6&lt;='Input_Meci'!G53)),'Calibrare_Linii'!F6,'Config_v6'!$C$26),"PENALTY","WATCH"))))))</x:f>
      </x:c>
      <x:c r="X664" s="2" t="str">
        <x:f>IF(M664="","",IF(AND(AND(J664="PASS",'Calibrare_Linii'!U6="VALID"),'Motor_Meciuri'!K53=12,'Motor_Meciuri'!L53=12,'Motor_Meciuri'!M53="NO",'Motor_Meciuri'!BL53='Motor_Meciuri'!C53,AB664&gt;='Config_v6'!$B$50,AN664&gt;='Config_v6'!$B$51,T664&lt;='Config_v6'!$B$52,L664&lt;='Config_v6'!$B$53,ISNUMBER('Calibrare_Linii'!E6),S664&lt;='Calibrare_Linii'!E6,SUM(AK664:AM664)&gt;0),"CANDIDATE","NO"))</x:f>
      </x:c>
      <x:c r="Y664" s="2" t="str">
        <x:f>IF(B664="","",IF(I664&lt;&gt;"READY","NOT RELEASED",IF(AND(X664="CANDIDATE",V664&gt;='Config_v6'!$B$51,W664="PASS",'Calibrare_Linii'!T6="VALIDATED",AND('Calibrare_Linii'!H6=C664,ISNUMBER('Calibrare_Linii'!J6),'Calibrare_Linii'!J6&lt;='Input_Meci'!G53)),"PASS",IF(X664="CANDIDATE","OOS PENDING","FAIL"))))</x:f>
      </x:c>
      <x:c r="Z664" s="2" t="str">
        <x:f>IF(B664="","",IF(I664&lt;&gt;"READY","",IF(OR(NOT(AND(J664="PASS",'Calibrare_Linii'!U6="VALID")),L664&gt;'Config_v6'!$B$13,W664="WATCH"),5,IF(Y664="PASS",1,MIN(5,MAX('Config_v6'!$B$42,U664)+IF(W664="PENALTY",1,0))))))</x:f>
      </x:c>
      <x:c r="AA664" s="2" t="str">
        <x:f>IF(B664="","",IF(I664&lt;&gt;"READY","NOT RELEASED",IF(Z664=5,"NO BET",IF(OR(AB664&lt;'Config_v6'!$B$16,V664&lt;'Config_v6'!$B$18),"WATCH",IF(Z664=1,"DEFENSIV",IF(Z664=2,"PRUDENT",IF(Z664=3,"MODERAT","RIDICAT")))))))</x:f>
      </x:c>
      <x:c r="AB664" s="10" t="str">
        <x:f>IF(N664="","",MIN(N664,1-S664))</x:f>
      </x:c>
      <x:c r="AC664" s="2" t="str">
        <x:f>IF(AD664&lt;&gt;1,"",COUNTIFS($Z$664:$Z$677,"&lt;"&amp;Z664,$AD$664:$AD$677,1)+COUNTIFS($Z$664:$Z$677,Z664,$AB$664:$AB$677,"&gt;"&amp;AB664,$AD$664:$AD$677,1)+COUNTIFS($Z$664:$Z$677,Z664,$AB$664:$AB$677,AB664,$V$664:$V$677,"&gt;"&amp;V664,$AD$664:$AD$677,1)+COUNTIFS($Z$664:Z664,Z664,$AB$664:AB664,AB664,$V$664:V664,V664,$AD$664:AD664,1))</x:f>
      </x:c>
      <x:c r="AD664" s="2" t="n">
        <x:f>IF(OR(AA664="DEFENSIV",AA664="PRUDENT",AA664="MODERAT",AA664="RIDICAT"),1,0)</x:f>
        <x:v>0</x:v>
      </x:c>
      <x:c r="AE664" s="2" t="str">
        <x:f>IF(AD664&lt;&gt;1,"NO",IF(W664="PASS","YES",IF(W664="OOS PENDING","CONDITIONAL","NO")))</x:f>
        <x:v>NO</x:v>
      </x:c>
      <x:c r="AF664" s="2" t="n">
        <x:f>IF(AND(AD664=1,AC664=1,E664="LIVE"),1,0)</x:f>
        <x:v>0</x:v>
      </x:c>
      <x:c r="AG664" s="2" t="str">
        <x:f>IF(AF664&lt;&gt;1,"",'Dashboard'!P73)</x:f>
      </x:c>
      <x:c r="AH664" s="2" t="str">
        <x:f>IF(B664="","",IF(J664&lt;&gt;"PASS",'Motor_Meciuri'!J53,IF('Calibrare_Linii'!U6&lt;&gt;"VALID","Parametri linie invalizi",IF(L664&gt;'Config_v6'!$B$13,"Dispersie peste limita",IF(W664="WATCH","Failure peste limita",IF(AB664&lt;'Config_v6'!$B$16,"P finala sub prag",IF(V664&lt;'Config_v6'!$B$18,"Confidence sub prag",IF(E664="REPLAY","Exemplu retrospectiv; exclus din Top LIVE",IF(Y664="PASS","DEFENSIV validat",IF(W664="OOS PENDING","Eligibil; calibrare linie in monitorizare","Eligibil"))))))))))</x:f>
      </x:c>
      <x:c r="AI664" s="2" t="str">
        <x:f>IF(B664="","",'Calibrare_Linii'!V6)</x:f>
      </x:c>
      <x:c r="AJ664" s="2" t="str">
        <x:f>IF(B664="","",IF(AND('Calibrare_Linii'!T6="VALIDATED",AND('Calibrare_Linii'!H6=C664,ISNUMBER('Calibrare_Linii'!J6),'Calibrare_Linii'!J6&lt;='Input_Meci'!G53)),"DEFENSIVE VALIDATED",IF(AND('Calibrare_Linii'!S6="VALIDATED",AND('Calibrare_Linii'!H6=C664,ISNUMBER('Calibrare_Linii'!J6),'Calibrare_Linii'!J6&lt;='Input_Meci'!G53)),"TAIL VALIDATED","OOS PENDING")))</x:f>
      </x:c>
      <x:c r="AK664" s="2" t="n">
        <x:f>IF(J664&lt;&gt;"PASS",0,'Motor_Meciuri'!BR53)</x:f>
        <x:v>0</x:v>
      </x:c>
      <x:c r="AL664" s="2" t="n">
        <x:f>IF(J664&lt;&gt;"PASS",0,'Motor_Meciuri'!BS53)</x:f>
        <x:v>0</x:v>
      </x:c>
      <x:c r="AM664" s="2" t="n">
        <x:f>IF(J664&lt;&gt;"PASS",0,'Motor_Meciuri'!BT53)</x:f>
        <x:v>0</x:v>
      </x:c>
      <x:c r="AN664" s="2" t="str">
        <x:f>IF(M664="","",MAX(0,'Motor_Meciuri'!BF53-IF(L664&gt;'Config_v6'!$B$12,'Config_v6'!$B$37,IF(L664&gt;'Config_v6'!$B$11,'Config_v6'!$B$36,0))))</x:f>
      </x:c>
    </x:row>
    <x:row r="665" ht="21" customHeight="1">
      <x:c r="A665" s="2" t="n">
        <x:v>48</x:v>
      </x:c>
      <x:c r="B665" s="2" t="str">
        <x:f>IF('Motor_Meciuri'!A53="","",'Motor_Meciuri'!A53)</x:f>
      </x:c>
      <x:c r="C665" s="2" t="str">
        <x:f>IF(B665="","",'Motor_Meciuri'!B53)</x:f>
      </x:c>
      <x:c r="D665" s="2" t="str">
        <x:f>IF(B665="","",'Motor_Meciuri'!D53)</x:f>
      </x:c>
      <x:c r="E665" s="2" t="str">
        <x:f>IF(B665="","",'Motor_Meciuri'!E53)</x:f>
      </x:c>
      <x:c r="F665" s="2" t="str">
        <x:v>O4,5</x:v>
      </x:c>
      <x:c r="G665" s="2" t="str">
        <x:v>OVER</x:v>
      </x:c>
      <x:c r="H665" s="2" t="n">
        <x:v>4</x:v>
      </x:c>
      <x:c r="I665" s="2" t="str">
        <x:f>IF(B665="","",'Motor_Meciuri'!H53)</x:f>
      </x:c>
      <x:c r="J665" s="2" t="str">
        <x:f>IF(B665="","",'Motor_Meciuri'!I53)</x:f>
      </x:c>
      <x:c r="K665" s="11" t="str">
        <x:f>IF(J665&lt;&gt;"PASS","",'Motor_Meciuri'!BD53)</x:f>
      </x:c>
      <x:c r="L665" s="11" t="str">
        <x:f>IF(J665&lt;&gt;"PASS","",'Motor_Meciuri'!AU53)</x:f>
      </x:c>
      <x:c r="M665" s="10" t="str">
        <x:f>IF(NOT(AND(J665="PASS",'Calibrare_Linii'!U7="VALID")),"",1-'Distributie'!AB53)</x:f>
      </x:c>
      <x:c r="N665" s="10" t="str">
        <x:f>IF(M665="","",MAX(0.01,MIN(0.99,0.5+(M665-0.5)*'Motor_Meciuri'!BG53*'Calibrare_Linii'!D7)))</x:f>
      </x:c>
      <x:c r="O665" s="10" t="str">
        <x:f>IF(M665="","",1-M665)</x:f>
      </x:c>
      <x:c r="P665" s="10" t="str">
        <x:f>IF(OR(NOT(AND(J665="PASS",'Calibrare_Linii'!U7="VALID")),AK665=0),""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*('Istoric_Nativ'!$Q$6:$Q$405&lt;=H665))/AK665)</x:f>
      </x:c>
      <x:c r="Q665" s="10" t="str">
        <x:f>IF(OR(NOT(AND(J665="PASS",'Calibrare_Linii'!U7="VALID")),AL665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M53)+((('Istoric_Nativ'!$E$6:$E$405='Input_Meci'!E53)+('Istoric_Nativ'!$F$6:$F$405='Input_Meci'!E53))&gt;0)*('Istoric_Nativ'!$D$6:$D$405&gt;='Motor_Meciuri'!BN53))&gt;0)*('Istoric_Nativ'!$Q$6:$Q$405&lt;=H665))/AL665)</x:f>
      </x:c>
      <x:c r="R665" s="10" t="str">
        <x:f>IF(OR(NOT(AND(J665="PASS",'Calibrare_Linii'!U7="VALID")),AM665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O53)+((('Istoric_Nativ'!$E$6:$E$405='Input_Meci'!E53)+('Istoric_Nativ'!$F$6:$F$405='Input_Meci'!E53))&gt;0)*('Istoric_Nativ'!$D$6:$D$405&gt;='Motor_Meciuri'!BP53))&gt;0)*('Istoric_Nativ'!$Q$6:$Q$405&lt;=H665))/AM665)</x:f>
      </x:c>
      <x:c r="S665" s="10" t="str">
        <x:f>IF(M665="","",MAX(O665,P665,Q665,R665))</x:f>
      </x:c>
      <x:c r="T665" s="11" t="str">
        <x:f>IF(M665="","",MIN(100,S665*100*'Config_v6'!$B$44+MIN(100,L665/'Config_v6'!$B$13*100)*'Config_v6'!$B$45+(100-'Motor_Meciuri'!BF53)*'Config_v6'!$B$46+'Motor_Meciuri'!BH53*100*'Config_v6'!$B$47))</x:f>
      </x:c>
      <x:c r="U665" s="2" t="str">
        <x:f>IF(T665="","",IF(T665&lt;=20,1,IF(T665&lt;=40,2,IF(T665&lt;=60,3,IF(T665&lt;=80,4,5)))))</x:f>
      </x:c>
      <x:c r="V665" s="2" t="str">
        <x:f>IF(M665="","",MAX(0,'Motor_Meciuri'!BF53-IF(W665="OOS PENDING",'Config_v6'!$B$35,0)-IF(L665&gt;'Config_v6'!$B$12,'Config_v6'!$B$37,IF(L665&gt;'Config_v6'!$B$11,'Config_v6'!$B$36,0))))</x:f>
      </x:c>
      <x:c r="W665" s="2" t="str">
        <x:f>IF(B665="","",IF(I665&lt;&gt;"READY","NOT RELEASED",IF(NOT(AND(J665="PASS",'Calibrare_Linii'!U7="VALID")),"INVALID",IF(NOT(AND('Calibrare_Linii'!S7="VALIDATED",AND('Calibrare_Linii'!H7=C665,ISNUMBER('Calibrare_Linii'!J7),'Calibrare_Linii'!J7&lt;='Input_Meci'!G53))),"OOS PENDING",IF(S665&lt;='Calibrare_Linii'!E7,"PASS",IF(S665&lt;='Calibrare_Linii'!F7,"PENALTY","WATCH"))))))</x:f>
      </x:c>
      <x:c r="X665" s="2" t="str">
        <x:f>IF(M665="","",IF(AND(AND(J665="PASS",'Calibrare_Linii'!U7="VALID"),'Motor_Meciuri'!K53=12,'Motor_Meciuri'!L53=12,'Motor_Meciuri'!M53="NO",'Motor_Meciuri'!BL53='Motor_Meciuri'!C53,AB665&gt;='Config_v6'!$B$50,AN665&gt;='Config_v6'!$B$51,T665&lt;='Config_v6'!$B$52,L665&lt;='Config_v6'!$B$53,ISNUMBER('Calibrare_Linii'!E7),S665&lt;='Calibrare_Linii'!E7,SUM(AK665:AM665)&gt;0),"CANDIDATE","NO"))</x:f>
      </x:c>
      <x:c r="Y665" s="2" t="str">
        <x:f>IF(B665="","",IF(I665&lt;&gt;"READY","NOT RELEASED",IF(AND(X665="CANDIDATE",V665&gt;='Config_v6'!$B$51,W665="PASS",'Calibrare_Linii'!T7="VALIDATED",AND('Calibrare_Linii'!H7=C665,ISNUMBER('Calibrare_Linii'!J7),'Calibrare_Linii'!J7&lt;='Input_Meci'!G53)),"PASS",IF(X665="CANDIDATE","OOS PENDING","FAIL"))))</x:f>
      </x:c>
      <x:c r="Z665" s="2" t="str">
        <x:f>IF(B665="","",IF(I665&lt;&gt;"READY","",IF(OR(NOT(AND(J665="PASS",'Calibrare_Linii'!U7="VALID")),L665&gt;'Config_v6'!$B$13,W665="WATCH"),5,IF(Y665="PASS",1,MIN(5,MAX('Config_v6'!$B$42,U665)+IF(W665="PENALTY",1,0))))))</x:f>
      </x:c>
      <x:c r="AA665" s="2" t="str">
        <x:f>IF(B665="","",IF(I665&lt;&gt;"READY","NOT RELEASED",IF(Z665=5,"NO BET",IF(OR(AB665&lt;'Config_v6'!$B$16,V665&lt;'Config_v6'!$B$18),"WATCH",IF(Z665=1,"DEFENSIV",IF(Z665=2,"PRUDENT",IF(Z665=3,"MODERAT","RIDICAT")))))))</x:f>
      </x:c>
      <x:c r="AB665" s="10" t="str">
        <x:f>IF(N665="","",MIN(N665,1-S665))</x:f>
      </x:c>
      <x:c r="AC665" s="2" t="str">
        <x:f>IF(AD665&lt;&gt;1,"",COUNTIFS($Z$664:$Z$677,"&lt;"&amp;Z665,$AD$664:$AD$677,1)+COUNTIFS($Z$664:$Z$677,Z665,$AB$664:$AB$677,"&gt;"&amp;AB665,$AD$664:$AD$677,1)+COUNTIFS($Z$664:$Z$677,Z665,$AB$664:$AB$677,AB665,$V$664:$V$677,"&gt;"&amp;V665,$AD$664:$AD$677,1)+COUNTIFS($Z$664:Z665,Z665,$AB$664:AB665,AB665,$V$664:V665,V665,$AD$664:AD665,1))</x:f>
      </x:c>
      <x:c r="AD665" s="2" t="n">
        <x:f>IF(OR(AA665="DEFENSIV",AA665="PRUDENT",AA665="MODERAT",AA665="RIDICAT"),1,0)</x:f>
        <x:v>0</x:v>
      </x:c>
      <x:c r="AE665" s="2" t="str">
        <x:f>IF(AD665&lt;&gt;1,"NO",IF(W665="PASS","YES",IF(W665="OOS PENDING","CONDITIONAL","NO")))</x:f>
        <x:v>NO</x:v>
      </x:c>
      <x:c r="AF665" s="2" t="n">
        <x:f>IF(AND(AD665=1,AC665=1,E665="LIVE"),1,0)</x:f>
        <x:v>0</x:v>
      </x:c>
      <x:c r="AG665" s="2" t="str">
        <x:f>IF(AF665&lt;&gt;1,"",'Dashboard'!P73)</x:f>
      </x:c>
      <x:c r="AH665" s="2" t="str">
        <x:f>IF(B665="","",IF(J665&lt;&gt;"PASS",'Motor_Meciuri'!J53,IF('Calibrare_Linii'!U7&lt;&gt;"VALID","Parametri linie invalizi",IF(L665&gt;'Config_v6'!$B$13,"Dispersie peste limita",IF(W665="WATCH","Failure peste limita",IF(AB665&lt;'Config_v6'!$B$16,"P finala sub prag",IF(V665&lt;'Config_v6'!$B$18,"Confidence sub prag",IF(E665="REPLAY","Exemplu retrospectiv; exclus din Top LIVE",IF(Y665="PASS","DEFENSIV validat",IF(W665="OOS PENDING","Eligibil; calibrare linie in monitorizare","Eligibil"))))))))))</x:f>
      </x:c>
      <x:c r="AI665" s="2" t="str">
        <x:f>IF(B665="","",'Calibrare_Linii'!V7)</x:f>
      </x:c>
      <x:c r="AJ665" s="2" t="str">
        <x:f>IF(B665="","",IF(AND('Calibrare_Linii'!T7="VALIDATED",AND('Calibrare_Linii'!H7=C665,ISNUMBER('Calibrare_Linii'!J7),'Calibrare_Linii'!J7&lt;='Input_Meci'!G53)),"DEFENSIVE VALIDATED",IF(AND('Calibrare_Linii'!S7="VALIDATED",AND('Calibrare_Linii'!H7=C665,ISNUMBER('Calibrare_Linii'!J7),'Calibrare_Linii'!J7&lt;='Input_Meci'!G53)),"TAIL VALIDATED","OOS PENDING")))</x:f>
      </x:c>
      <x:c r="AK665" s="2" t="n">
        <x:f>IF(J665&lt;&gt;"PASS",0,'Motor_Meciuri'!BR53)</x:f>
        <x:v>0</x:v>
      </x:c>
      <x:c r="AL665" s="2" t="n">
        <x:f>IF(J665&lt;&gt;"PASS",0,'Motor_Meciuri'!BS53)</x:f>
        <x:v>0</x:v>
      </x:c>
      <x:c r="AM665" s="2" t="n">
        <x:f>IF(J665&lt;&gt;"PASS",0,'Motor_Meciuri'!BT53)</x:f>
        <x:v>0</x:v>
      </x:c>
      <x:c r="AN665" s="2" t="str">
        <x:f>IF(M665="","",MAX(0,'Motor_Meciuri'!BF53-IF(L665&gt;'Config_v6'!$B$12,'Config_v6'!$B$37,IF(L665&gt;'Config_v6'!$B$11,'Config_v6'!$B$36,0))))</x:f>
      </x:c>
    </x:row>
    <x:row r="666" ht="21" customHeight="1">
      <x:c r="A666" s="2" t="n">
        <x:v>48</x:v>
      </x:c>
      <x:c r="B666" s="2" t="str">
        <x:f>IF('Motor_Meciuri'!A53="","",'Motor_Meciuri'!A53)</x:f>
      </x:c>
      <x:c r="C666" s="2" t="str">
        <x:f>IF(B666="","",'Motor_Meciuri'!B53)</x:f>
      </x:c>
      <x:c r="D666" s="2" t="str">
        <x:f>IF(B666="","",'Motor_Meciuri'!D53)</x:f>
      </x:c>
      <x:c r="E666" s="2" t="str">
        <x:f>IF(B666="","",'Motor_Meciuri'!E53)</x:f>
      </x:c>
      <x:c r="F666" s="2" t="str">
        <x:v>O5,5</x:v>
      </x:c>
      <x:c r="G666" s="2" t="str">
        <x:v>OVER</x:v>
      </x:c>
      <x:c r="H666" s="2" t="n">
        <x:v>5</x:v>
      </x:c>
      <x:c r="I666" s="2" t="str">
        <x:f>IF(B666="","",'Motor_Meciuri'!H53)</x:f>
      </x:c>
      <x:c r="J666" s="2" t="str">
        <x:f>IF(B666="","",'Motor_Meciuri'!I53)</x:f>
      </x:c>
      <x:c r="K666" s="11" t="str">
        <x:f>IF(J666&lt;&gt;"PASS","",'Motor_Meciuri'!BD53)</x:f>
      </x:c>
      <x:c r="L666" s="11" t="str">
        <x:f>IF(J666&lt;&gt;"PASS","",'Motor_Meciuri'!AU53)</x:f>
      </x:c>
      <x:c r="M666" s="10" t="str">
        <x:f>IF(NOT(AND(J666="PASS",'Calibrare_Linii'!U8="VALID")),"",1-'Distributie'!AC53)</x:f>
      </x:c>
      <x:c r="N666" s="10" t="str">
        <x:f>IF(M666="","",MAX(0.01,MIN(0.99,0.5+(M666-0.5)*'Motor_Meciuri'!BG53*'Calibrare_Linii'!D8)))</x:f>
      </x:c>
      <x:c r="O666" s="10" t="str">
        <x:f>IF(M666="","",1-M666)</x:f>
      </x:c>
      <x:c r="P666" s="10" t="str">
        <x:f>IF(OR(NOT(AND(J666="PASS",'Calibrare_Linii'!U8="VALID")),AK666=0),""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*('Istoric_Nativ'!$Q$6:$Q$405&lt;=H666))/AK666)</x:f>
      </x:c>
      <x:c r="Q666" s="10" t="str">
        <x:f>IF(OR(NOT(AND(J666="PASS",'Calibrare_Linii'!U8="VALID")),AL666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M53)+((('Istoric_Nativ'!$E$6:$E$405='Input_Meci'!E53)+('Istoric_Nativ'!$F$6:$F$405='Input_Meci'!E53))&gt;0)*('Istoric_Nativ'!$D$6:$D$405&gt;='Motor_Meciuri'!BN53))&gt;0)*('Istoric_Nativ'!$Q$6:$Q$405&lt;=H666))/AL666)</x:f>
      </x:c>
      <x:c r="R666" s="10" t="str">
        <x:f>IF(OR(NOT(AND(J666="PASS",'Calibrare_Linii'!U8="VALID")),AM666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O53)+((('Istoric_Nativ'!$E$6:$E$405='Input_Meci'!E53)+('Istoric_Nativ'!$F$6:$F$405='Input_Meci'!E53))&gt;0)*('Istoric_Nativ'!$D$6:$D$405&gt;='Motor_Meciuri'!BP53))&gt;0)*('Istoric_Nativ'!$Q$6:$Q$405&lt;=H666))/AM666)</x:f>
      </x:c>
      <x:c r="S666" s="10" t="str">
        <x:f>IF(M666="","",MAX(O666,P666,Q666,R666))</x:f>
      </x:c>
      <x:c r="T666" s="11" t="str">
        <x:f>IF(M666="","",MIN(100,S666*100*'Config_v6'!$B$44+MIN(100,L666/'Config_v6'!$B$13*100)*'Config_v6'!$B$45+(100-'Motor_Meciuri'!BF53)*'Config_v6'!$B$46+'Motor_Meciuri'!BH53*100*'Config_v6'!$B$47))</x:f>
      </x:c>
      <x:c r="U666" s="2" t="str">
        <x:f>IF(T666="","",IF(T666&lt;=20,1,IF(T666&lt;=40,2,IF(T666&lt;=60,3,IF(T666&lt;=80,4,5)))))</x:f>
      </x:c>
      <x:c r="V666" s="2" t="str">
        <x:f>IF(M666="","",MAX(0,'Motor_Meciuri'!BF53-IF(W666="OOS PENDING",'Config_v6'!$B$35,0)-IF(L666&gt;'Config_v6'!$B$12,'Config_v6'!$B$37,IF(L666&gt;'Config_v6'!$B$11,'Config_v6'!$B$36,0))))</x:f>
      </x:c>
      <x:c r="W666" s="2" t="str">
        <x:f>IF(B666="","",IF(I666&lt;&gt;"READY","NOT RELEASED",IF(NOT(AND(J666="PASS",'Calibrare_Linii'!U8="VALID")),"INVALID",IF(NOT(AND('Calibrare_Linii'!S8="VALIDATED",AND('Calibrare_Linii'!H8=C666,ISNUMBER('Calibrare_Linii'!J8),'Calibrare_Linii'!J8&lt;='Input_Meci'!G53))),"OOS PENDING",IF(S666&lt;='Calibrare_Linii'!E8,"PASS",IF(S666&lt;='Calibrare_Linii'!F8,"PENALTY","WATCH"))))))</x:f>
      </x:c>
      <x:c r="X666" s="2" t="str">
        <x:f>IF(M666="","",IF(AND(AND(J666="PASS",'Calibrare_Linii'!U8="VALID"),'Motor_Meciuri'!K53=12,'Motor_Meciuri'!L53=12,'Motor_Meciuri'!M53="NO",'Motor_Meciuri'!BL53='Motor_Meciuri'!C53,AB666&gt;='Config_v6'!$B$50,AN666&gt;='Config_v6'!$B$51,T666&lt;='Config_v6'!$B$52,L666&lt;='Config_v6'!$B$53,ISNUMBER('Calibrare_Linii'!E8),S666&lt;='Calibrare_Linii'!E8,SUM(AK666:AM666)&gt;0),"CANDIDATE","NO"))</x:f>
      </x:c>
      <x:c r="Y666" s="2" t="str">
        <x:f>IF(B666="","",IF(I666&lt;&gt;"READY","NOT RELEASED",IF(AND(X666="CANDIDATE",V666&gt;='Config_v6'!$B$51,W666="PASS",'Calibrare_Linii'!T8="VALIDATED",AND('Calibrare_Linii'!H8=C666,ISNUMBER('Calibrare_Linii'!J8),'Calibrare_Linii'!J8&lt;='Input_Meci'!G53)),"PASS",IF(X666="CANDIDATE","OOS PENDING","FAIL"))))</x:f>
      </x:c>
      <x:c r="Z666" s="2" t="str">
        <x:f>IF(B666="","",IF(I666&lt;&gt;"READY","",IF(OR(NOT(AND(J666="PASS",'Calibrare_Linii'!U8="VALID")),L666&gt;'Config_v6'!$B$13,W666="WATCH"),5,IF(Y666="PASS",1,MIN(5,MAX('Config_v6'!$B$42,U666)+IF(W666="PENALTY",1,0))))))</x:f>
      </x:c>
      <x:c r="AA666" s="2" t="str">
        <x:f>IF(B666="","",IF(I666&lt;&gt;"READY","NOT RELEASED",IF(Z666=5,"NO BET",IF(OR(AB666&lt;'Config_v6'!$B$16,V666&lt;'Config_v6'!$B$18),"WATCH",IF(Z666=1,"DEFENSIV",IF(Z666=2,"PRUDENT",IF(Z666=3,"MODERAT","RIDICAT")))))))</x:f>
      </x:c>
      <x:c r="AB666" s="10" t="str">
        <x:f>IF(N666="","",MIN(N666,1-S666))</x:f>
      </x:c>
      <x:c r="AC666" s="2" t="str">
        <x:f>IF(AD666&lt;&gt;1,"",COUNTIFS($Z$664:$Z$677,"&lt;"&amp;Z666,$AD$664:$AD$677,1)+COUNTIFS($Z$664:$Z$677,Z666,$AB$664:$AB$677,"&gt;"&amp;AB666,$AD$664:$AD$677,1)+COUNTIFS($Z$664:$Z$677,Z666,$AB$664:$AB$677,AB666,$V$664:$V$677,"&gt;"&amp;V666,$AD$664:$AD$677,1)+COUNTIFS($Z$664:Z666,Z666,$AB$664:AB666,AB666,$V$664:V666,V666,$AD$664:AD666,1))</x:f>
      </x:c>
      <x:c r="AD666" s="2" t="n">
        <x:f>IF(OR(AA666="DEFENSIV",AA666="PRUDENT",AA666="MODERAT",AA666="RIDICAT"),1,0)</x:f>
        <x:v>0</x:v>
      </x:c>
      <x:c r="AE666" s="2" t="str">
        <x:f>IF(AD666&lt;&gt;1,"NO",IF(W666="PASS","YES",IF(W666="OOS PENDING","CONDITIONAL","NO")))</x:f>
        <x:v>NO</x:v>
      </x:c>
      <x:c r="AF666" s="2" t="n">
        <x:f>IF(AND(AD666=1,AC666=1,E666="LIVE"),1,0)</x:f>
        <x:v>0</x:v>
      </x:c>
      <x:c r="AG666" s="2" t="str">
        <x:f>IF(AF666&lt;&gt;1,"",'Dashboard'!P73)</x:f>
      </x:c>
      <x:c r="AH666" s="2" t="str">
        <x:f>IF(B666="","",IF(J666&lt;&gt;"PASS",'Motor_Meciuri'!J53,IF('Calibrare_Linii'!U8&lt;&gt;"VALID","Parametri linie invalizi",IF(L666&gt;'Config_v6'!$B$13,"Dispersie peste limita",IF(W666="WATCH","Failure peste limita",IF(AB666&lt;'Config_v6'!$B$16,"P finala sub prag",IF(V666&lt;'Config_v6'!$B$18,"Confidence sub prag",IF(E666="REPLAY","Exemplu retrospectiv; exclus din Top LIVE",IF(Y666="PASS","DEFENSIV validat",IF(W666="OOS PENDING","Eligibil; calibrare linie in monitorizare","Eligibil"))))))))))</x:f>
      </x:c>
      <x:c r="AI666" s="2" t="str">
        <x:f>IF(B666="","",'Calibrare_Linii'!V8)</x:f>
      </x:c>
      <x:c r="AJ666" s="2" t="str">
        <x:f>IF(B666="","",IF(AND('Calibrare_Linii'!T8="VALIDATED",AND('Calibrare_Linii'!H8=C666,ISNUMBER('Calibrare_Linii'!J8),'Calibrare_Linii'!J8&lt;='Input_Meci'!G53)),"DEFENSIVE VALIDATED",IF(AND('Calibrare_Linii'!S8="VALIDATED",AND('Calibrare_Linii'!H8=C666,ISNUMBER('Calibrare_Linii'!J8),'Calibrare_Linii'!J8&lt;='Input_Meci'!G53)),"TAIL VALIDATED","OOS PENDING")))</x:f>
      </x:c>
      <x:c r="AK666" s="2" t="n">
        <x:f>IF(J666&lt;&gt;"PASS",0,'Motor_Meciuri'!BR53)</x:f>
        <x:v>0</x:v>
      </x:c>
      <x:c r="AL666" s="2" t="n">
        <x:f>IF(J666&lt;&gt;"PASS",0,'Motor_Meciuri'!BS53)</x:f>
        <x:v>0</x:v>
      </x:c>
      <x:c r="AM666" s="2" t="n">
        <x:f>IF(J666&lt;&gt;"PASS",0,'Motor_Meciuri'!BT53)</x:f>
        <x:v>0</x:v>
      </x:c>
      <x:c r="AN666" s="2" t="str">
        <x:f>IF(M666="","",MAX(0,'Motor_Meciuri'!BF53-IF(L666&gt;'Config_v6'!$B$12,'Config_v6'!$B$37,IF(L666&gt;'Config_v6'!$B$11,'Config_v6'!$B$36,0))))</x:f>
      </x:c>
    </x:row>
    <x:row r="667" ht="21" customHeight="1">
      <x:c r="A667" s="2" t="n">
        <x:v>48</x:v>
      </x:c>
      <x:c r="B667" s="2" t="str">
        <x:f>IF('Motor_Meciuri'!A53="","",'Motor_Meciuri'!A53)</x:f>
      </x:c>
      <x:c r="C667" s="2" t="str">
        <x:f>IF(B667="","",'Motor_Meciuri'!B53)</x:f>
      </x:c>
      <x:c r="D667" s="2" t="str">
        <x:f>IF(B667="","",'Motor_Meciuri'!D53)</x:f>
      </x:c>
      <x:c r="E667" s="2" t="str">
        <x:f>IF(B667="","",'Motor_Meciuri'!E53)</x:f>
      </x:c>
      <x:c r="F667" s="2" t="str">
        <x:v>O6,5</x:v>
      </x:c>
      <x:c r="G667" s="2" t="str">
        <x:v>OVER</x:v>
      </x:c>
      <x:c r="H667" s="2" t="n">
        <x:v>6</x:v>
      </x:c>
      <x:c r="I667" s="2" t="str">
        <x:f>IF(B667="","",'Motor_Meciuri'!H53)</x:f>
      </x:c>
      <x:c r="J667" s="2" t="str">
        <x:f>IF(B667="","",'Motor_Meciuri'!I53)</x:f>
      </x:c>
      <x:c r="K667" s="11" t="str">
        <x:f>IF(J667&lt;&gt;"PASS","",'Motor_Meciuri'!BD53)</x:f>
      </x:c>
      <x:c r="L667" s="11" t="str">
        <x:f>IF(J667&lt;&gt;"PASS","",'Motor_Meciuri'!AU53)</x:f>
      </x:c>
      <x:c r="M667" s="10" t="str">
        <x:f>IF(NOT(AND(J667="PASS",'Calibrare_Linii'!U9="VALID")),"",1-'Distributie'!AD53)</x:f>
      </x:c>
      <x:c r="N667" s="10" t="str">
        <x:f>IF(M667="","",MAX(0.01,MIN(0.99,0.5+(M667-0.5)*'Motor_Meciuri'!BG53*'Calibrare_Linii'!D9)))</x:f>
      </x:c>
      <x:c r="O667" s="10" t="str">
        <x:f>IF(M667="","",1-M667)</x:f>
      </x:c>
      <x:c r="P667" s="10" t="str">
        <x:f>IF(OR(NOT(AND(J667="PASS",'Calibrare_Linii'!U9="VALID")),AK667=0),""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*('Istoric_Nativ'!$Q$6:$Q$405&lt;=H667))/AK667)</x:f>
      </x:c>
      <x:c r="Q667" s="10" t="str">
        <x:f>IF(OR(NOT(AND(J667="PASS",'Calibrare_Linii'!U9="VALID")),AL667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M53)+((('Istoric_Nativ'!$E$6:$E$405='Input_Meci'!E53)+('Istoric_Nativ'!$F$6:$F$405='Input_Meci'!E53))&gt;0)*('Istoric_Nativ'!$D$6:$D$405&gt;='Motor_Meciuri'!BN53))&gt;0)*('Istoric_Nativ'!$Q$6:$Q$405&lt;=H667))/AL667)</x:f>
      </x:c>
      <x:c r="R667" s="10" t="str">
        <x:f>IF(OR(NOT(AND(J667="PASS",'Calibrare_Linii'!U9="VALID")),AM667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O53)+((('Istoric_Nativ'!$E$6:$E$405='Input_Meci'!E53)+('Istoric_Nativ'!$F$6:$F$405='Input_Meci'!E53))&gt;0)*('Istoric_Nativ'!$D$6:$D$405&gt;='Motor_Meciuri'!BP53))&gt;0)*('Istoric_Nativ'!$Q$6:$Q$405&lt;=H667))/AM667)</x:f>
      </x:c>
      <x:c r="S667" s="10" t="str">
        <x:f>IF(M667="","",MAX(O667,P667,Q667,R667))</x:f>
      </x:c>
      <x:c r="T667" s="11" t="str">
        <x:f>IF(M667="","",MIN(100,S667*100*'Config_v6'!$B$44+MIN(100,L667/'Config_v6'!$B$13*100)*'Config_v6'!$B$45+(100-'Motor_Meciuri'!BF53)*'Config_v6'!$B$46+'Motor_Meciuri'!BH53*100*'Config_v6'!$B$47))</x:f>
      </x:c>
      <x:c r="U667" s="2" t="str">
        <x:f>IF(T667="","",IF(T667&lt;=20,1,IF(T667&lt;=40,2,IF(T667&lt;=60,3,IF(T667&lt;=80,4,5)))))</x:f>
      </x:c>
      <x:c r="V667" s="2" t="str">
        <x:f>IF(M667="","",MAX(0,'Motor_Meciuri'!BF53-IF(W667="OOS PENDING",'Config_v6'!$B$35,0)-IF(L667&gt;'Config_v6'!$B$12,'Config_v6'!$B$37,IF(L667&gt;'Config_v6'!$B$11,'Config_v6'!$B$36,0))))</x:f>
      </x:c>
      <x:c r="W667" s="2" t="str">
        <x:f>IF(B667="","",IF(I667&lt;&gt;"READY","NOT RELEASED",IF(NOT(AND(J667="PASS",'Calibrare_Linii'!U9="VALID")),"INVALID",IF(NOT(AND('Calibrare_Linii'!S9="VALIDATED",AND('Calibrare_Linii'!H9=C667,ISNUMBER('Calibrare_Linii'!J9),'Calibrare_Linii'!J9&lt;='Input_Meci'!G53))),"OOS PENDING",IF(S667&lt;='Calibrare_Linii'!E9,"PASS",IF(S667&lt;='Calibrare_Linii'!F9,"PENALTY","WATCH"))))))</x:f>
      </x:c>
      <x:c r="X667" s="2" t="str">
        <x:f>IF(M667="","",IF(AND(AND(J667="PASS",'Calibrare_Linii'!U9="VALID"),'Motor_Meciuri'!K53=12,'Motor_Meciuri'!L53=12,'Motor_Meciuri'!M53="NO",'Motor_Meciuri'!BL53='Motor_Meciuri'!C53,AB667&gt;='Config_v6'!$B$50,AN667&gt;='Config_v6'!$B$51,T667&lt;='Config_v6'!$B$52,L667&lt;='Config_v6'!$B$53,ISNUMBER('Calibrare_Linii'!E9),S667&lt;='Calibrare_Linii'!E9,SUM(AK667:AM667)&gt;0),"CANDIDATE","NO"))</x:f>
      </x:c>
      <x:c r="Y667" s="2" t="str">
        <x:f>IF(B667="","",IF(I667&lt;&gt;"READY","NOT RELEASED",IF(AND(X667="CANDIDATE",V667&gt;='Config_v6'!$B$51,W667="PASS",'Calibrare_Linii'!T9="VALIDATED",AND('Calibrare_Linii'!H9=C667,ISNUMBER('Calibrare_Linii'!J9),'Calibrare_Linii'!J9&lt;='Input_Meci'!G53)),"PASS",IF(X667="CANDIDATE","OOS PENDING","FAIL"))))</x:f>
      </x:c>
      <x:c r="Z667" s="2" t="str">
        <x:f>IF(B667="","",IF(I667&lt;&gt;"READY","",IF(OR(NOT(AND(J667="PASS",'Calibrare_Linii'!U9="VALID")),L667&gt;'Config_v6'!$B$13,W667="WATCH"),5,IF(Y667="PASS",1,MIN(5,MAX('Config_v6'!$B$42,U667)+IF(W667="PENALTY",1,0))))))</x:f>
      </x:c>
      <x:c r="AA667" s="2" t="str">
        <x:f>IF(B667="","",IF(I667&lt;&gt;"READY","NOT RELEASED",IF(Z667=5,"NO BET",IF(OR(AB667&lt;'Config_v6'!$B$16,V667&lt;'Config_v6'!$B$18),"WATCH",IF(Z667=1,"DEFENSIV",IF(Z667=2,"PRUDENT",IF(Z667=3,"MODERAT","RIDICAT")))))))</x:f>
      </x:c>
      <x:c r="AB667" s="10" t="str">
        <x:f>IF(N667="","",MIN(N667,1-S667))</x:f>
      </x:c>
      <x:c r="AC667" s="2" t="str">
        <x:f>IF(AD667&lt;&gt;1,"",COUNTIFS($Z$664:$Z$677,"&lt;"&amp;Z667,$AD$664:$AD$677,1)+COUNTIFS($Z$664:$Z$677,Z667,$AB$664:$AB$677,"&gt;"&amp;AB667,$AD$664:$AD$677,1)+COUNTIFS($Z$664:$Z$677,Z667,$AB$664:$AB$677,AB667,$V$664:$V$677,"&gt;"&amp;V667,$AD$664:$AD$677,1)+COUNTIFS($Z$664:Z667,Z667,$AB$664:AB667,AB667,$V$664:V667,V667,$AD$664:AD667,1))</x:f>
      </x:c>
      <x:c r="AD667" s="2" t="n">
        <x:f>IF(OR(AA667="DEFENSIV",AA667="PRUDENT",AA667="MODERAT",AA667="RIDICAT"),1,0)</x:f>
        <x:v>0</x:v>
      </x:c>
      <x:c r="AE667" s="2" t="str">
        <x:f>IF(AD667&lt;&gt;1,"NO",IF(W667="PASS","YES",IF(W667="OOS PENDING","CONDITIONAL","NO")))</x:f>
        <x:v>NO</x:v>
      </x:c>
      <x:c r="AF667" s="2" t="n">
        <x:f>IF(AND(AD667=1,AC667=1,E667="LIVE"),1,0)</x:f>
        <x:v>0</x:v>
      </x:c>
      <x:c r="AG667" s="2" t="str">
        <x:f>IF(AF667&lt;&gt;1,"",'Dashboard'!P73)</x:f>
      </x:c>
      <x:c r="AH667" s="2" t="str">
        <x:f>IF(B667="","",IF(J667&lt;&gt;"PASS",'Motor_Meciuri'!J53,IF('Calibrare_Linii'!U9&lt;&gt;"VALID","Parametri linie invalizi",IF(L667&gt;'Config_v6'!$B$13,"Dispersie peste limita",IF(W667="WATCH","Failure peste limita",IF(AB667&lt;'Config_v6'!$B$16,"P finala sub prag",IF(V667&lt;'Config_v6'!$B$18,"Confidence sub prag",IF(E667="REPLAY","Exemplu retrospectiv; exclus din Top LIVE",IF(Y667="PASS","DEFENSIV validat",IF(W667="OOS PENDING","Eligibil; calibrare linie in monitorizare","Eligibil"))))))))))</x:f>
      </x:c>
      <x:c r="AI667" s="2" t="str">
        <x:f>IF(B667="","",'Calibrare_Linii'!V9)</x:f>
      </x:c>
      <x:c r="AJ667" s="2" t="str">
        <x:f>IF(B667="","",IF(AND('Calibrare_Linii'!T9="VALIDATED",AND('Calibrare_Linii'!H9=C667,ISNUMBER('Calibrare_Linii'!J9),'Calibrare_Linii'!J9&lt;='Input_Meci'!G53)),"DEFENSIVE VALIDATED",IF(AND('Calibrare_Linii'!S9="VALIDATED",AND('Calibrare_Linii'!H9=C667,ISNUMBER('Calibrare_Linii'!J9),'Calibrare_Linii'!J9&lt;='Input_Meci'!G53)),"TAIL VALIDATED","OOS PENDING")))</x:f>
      </x:c>
      <x:c r="AK667" s="2" t="n">
        <x:f>IF(J667&lt;&gt;"PASS",0,'Motor_Meciuri'!BR53)</x:f>
        <x:v>0</x:v>
      </x:c>
      <x:c r="AL667" s="2" t="n">
        <x:f>IF(J667&lt;&gt;"PASS",0,'Motor_Meciuri'!BS53)</x:f>
        <x:v>0</x:v>
      </x:c>
      <x:c r="AM667" s="2" t="n">
        <x:f>IF(J667&lt;&gt;"PASS",0,'Motor_Meciuri'!BT53)</x:f>
        <x:v>0</x:v>
      </x:c>
      <x:c r="AN667" s="2" t="str">
        <x:f>IF(M667="","",MAX(0,'Motor_Meciuri'!BF53-IF(L667&gt;'Config_v6'!$B$12,'Config_v6'!$B$37,IF(L667&gt;'Config_v6'!$B$11,'Config_v6'!$B$36,0))))</x:f>
      </x:c>
    </x:row>
    <x:row r="668" ht="21" customHeight="1">
      <x:c r="A668" s="2" t="n">
        <x:v>48</x:v>
      </x:c>
      <x:c r="B668" s="2" t="str">
        <x:f>IF('Motor_Meciuri'!A53="","",'Motor_Meciuri'!A53)</x:f>
      </x:c>
      <x:c r="C668" s="2" t="str">
        <x:f>IF(B668="","",'Motor_Meciuri'!B53)</x:f>
      </x:c>
      <x:c r="D668" s="2" t="str">
        <x:f>IF(B668="","",'Motor_Meciuri'!D53)</x:f>
      </x:c>
      <x:c r="E668" s="2" t="str">
        <x:f>IF(B668="","",'Motor_Meciuri'!E53)</x:f>
      </x:c>
      <x:c r="F668" s="2" t="str">
        <x:v>O7,5</x:v>
      </x:c>
      <x:c r="G668" s="2" t="str">
        <x:v>OVER</x:v>
      </x:c>
      <x:c r="H668" s="2" t="n">
        <x:v>7</x:v>
      </x:c>
      <x:c r="I668" s="2" t="str">
        <x:f>IF(B668="","",'Motor_Meciuri'!H53)</x:f>
      </x:c>
      <x:c r="J668" s="2" t="str">
        <x:f>IF(B668="","",'Motor_Meciuri'!I53)</x:f>
      </x:c>
      <x:c r="K668" s="11" t="str">
        <x:f>IF(J668&lt;&gt;"PASS","",'Motor_Meciuri'!BD53)</x:f>
      </x:c>
      <x:c r="L668" s="11" t="str">
        <x:f>IF(J668&lt;&gt;"PASS","",'Motor_Meciuri'!AU53)</x:f>
      </x:c>
      <x:c r="M668" s="10" t="str">
        <x:f>IF(NOT(AND(J668="PASS",'Calibrare_Linii'!U10="VALID")),"",1-'Distributie'!AE53)</x:f>
      </x:c>
      <x:c r="N668" s="10" t="str">
        <x:f>IF(M668="","",MAX(0.01,MIN(0.99,0.5+(M668-0.5)*'Motor_Meciuri'!BG53*'Calibrare_Linii'!D10)))</x:f>
      </x:c>
      <x:c r="O668" s="10" t="str">
        <x:f>IF(M668="","",1-M668)</x:f>
      </x:c>
      <x:c r="P668" s="10" t="str">
        <x:f>IF(OR(NOT(AND(J668="PASS",'Calibrare_Linii'!U10="VALID")),AK668=0),""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*('Istoric_Nativ'!$Q$6:$Q$405&lt;=H668))/AK668)</x:f>
      </x:c>
      <x:c r="Q668" s="10" t="str">
        <x:f>IF(OR(NOT(AND(J668="PASS",'Calibrare_Linii'!U10="VALID")),AL668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M53)+((('Istoric_Nativ'!$E$6:$E$405='Input_Meci'!E53)+('Istoric_Nativ'!$F$6:$F$405='Input_Meci'!E53))&gt;0)*('Istoric_Nativ'!$D$6:$D$405&gt;='Motor_Meciuri'!BN53))&gt;0)*('Istoric_Nativ'!$Q$6:$Q$405&lt;=H668))/AL668)</x:f>
      </x:c>
      <x:c r="R668" s="10" t="str">
        <x:f>IF(OR(NOT(AND(J668="PASS",'Calibrare_Linii'!U10="VALID")),AM668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O53)+((('Istoric_Nativ'!$E$6:$E$405='Input_Meci'!E53)+('Istoric_Nativ'!$F$6:$F$405='Input_Meci'!E53))&gt;0)*('Istoric_Nativ'!$D$6:$D$405&gt;='Motor_Meciuri'!BP53))&gt;0)*('Istoric_Nativ'!$Q$6:$Q$405&lt;=H668))/AM668)</x:f>
      </x:c>
      <x:c r="S668" s="10" t="str">
        <x:f>IF(M668="","",MAX(O668,P668,Q668,R668))</x:f>
      </x:c>
      <x:c r="T668" s="11" t="str">
        <x:f>IF(M668="","",MIN(100,S668*100*'Config_v6'!$B$44+MIN(100,L668/'Config_v6'!$B$13*100)*'Config_v6'!$B$45+(100-'Motor_Meciuri'!BF53)*'Config_v6'!$B$46+'Motor_Meciuri'!BH53*100*'Config_v6'!$B$47))</x:f>
      </x:c>
      <x:c r="U668" s="2" t="str">
        <x:f>IF(T668="","",IF(T668&lt;=20,1,IF(T668&lt;=40,2,IF(T668&lt;=60,3,IF(T668&lt;=80,4,5)))))</x:f>
      </x:c>
      <x:c r="V668" s="2" t="str">
        <x:f>IF(M668="","",MAX(0,'Motor_Meciuri'!BF53-IF(W668="OOS PENDING",'Config_v6'!$B$35,0)-IF(L668&gt;'Config_v6'!$B$12,'Config_v6'!$B$37,IF(L668&gt;'Config_v6'!$B$11,'Config_v6'!$B$36,0))))</x:f>
      </x:c>
      <x:c r="W668" s="2" t="str">
        <x:f>IF(B668="","",IF(I668&lt;&gt;"READY","NOT RELEASED",IF(NOT(AND(J668="PASS",'Calibrare_Linii'!U10="VALID")),"INVALID",IF(NOT(AND('Calibrare_Linii'!S10="VALIDATED",AND('Calibrare_Linii'!H10=C668,ISNUMBER('Calibrare_Linii'!J10),'Calibrare_Linii'!J10&lt;='Input_Meci'!G53))),"OOS PENDING",IF(S668&lt;='Calibrare_Linii'!E10,"PASS",IF(S668&lt;='Calibrare_Linii'!F10,"PENALTY","WATCH"))))))</x:f>
      </x:c>
      <x:c r="X668" s="2" t="str">
        <x:f>IF(M668="","",IF(AND(AND(J668="PASS",'Calibrare_Linii'!U10="VALID"),'Motor_Meciuri'!K53=12,'Motor_Meciuri'!L53=12,'Motor_Meciuri'!M53="NO",'Motor_Meciuri'!BL53='Motor_Meciuri'!C53,AB668&gt;='Config_v6'!$B$50,AN668&gt;='Config_v6'!$B$51,T668&lt;='Config_v6'!$B$52,L668&lt;='Config_v6'!$B$53,ISNUMBER('Calibrare_Linii'!E10),S668&lt;='Calibrare_Linii'!E10,SUM(AK668:AM668)&gt;0),"CANDIDATE","NO"))</x:f>
      </x:c>
      <x:c r="Y668" s="2" t="str">
        <x:f>IF(B668="","",IF(I668&lt;&gt;"READY","NOT RELEASED",IF(AND(X668="CANDIDATE",V668&gt;='Config_v6'!$B$51,W668="PASS",'Calibrare_Linii'!T10="VALIDATED",AND('Calibrare_Linii'!H10=C668,ISNUMBER('Calibrare_Linii'!J10),'Calibrare_Linii'!J10&lt;='Input_Meci'!G53)),"PASS",IF(X668="CANDIDATE","OOS PENDING","FAIL"))))</x:f>
      </x:c>
      <x:c r="Z668" s="2" t="str">
        <x:f>IF(B668="","",IF(I668&lt;&gt;"READY","",IF(OR(NOT(AND(J668="PASS",'Calibrare_Linii'!U10="VALID")),L668&gt;'Config_v6'!$B$13,W668="WATCH"),5,IF(Y668="PASS",1,MIN(5,MAX('Config_v6'!$B$42,U668)+IF(W668="PENALTY",1,0))))))</x:f>
      </x:c>
      <x:c r="AA668" s="2" t="str">
        <x:f>IF(B668="","",IF(I668&lt;&gt;"READY","NOT RELEASED",IF(Z668=5,"NO BET",IF(OR(AB668&lt;'Config_v6'!$B$16,V668&lt;'Config_v6'!$B$18),"WATCH",IF(Z668=1,"DEFENSIV",IF(Z668=2,"PRUDENT",IF(Z668=3,"MODERAT","RIDICAT")))))))</x:f>
      </x:c>
      <x:c r="AB668" s="10" t="str">
        <x:f>IF(N668="","",MIN(N668,1-S668))</x:f>
      </x:c>
      <x:c r="AC668" s="2" t="str">
        <x:f>IF(AD668&lt;&gt;1,"",COUNTIFS($Z$664:$Z$677,"&lt;"&amp;Z668,$AD$664:$AD$677,1)+COUNTIFS($Z$664:$Z$677,Z668,$AB$664:$AB$677,"&gt;"&amp;AB668,$AD$664:$AD$677,1)+COUNTIFS($Z$664:$Z$677,Z668,$AB$664:$AB$677,AB668,$V$664:$V$677,"&gt;"&amp;V668,$AD$664:$AD$677,1)+COUNTIFS($Z$664:Z668,Z668,$AB$664:AB668,AB668,$V$664:V668,V668,$AD$664:AD668,1))</x:f>
      </x:c>
      <x:c r="AD668" s="2" t="n">
        <x:f>IF(OR(AA668="DEFENSIV",AA668="PRUDENT",AA668="MODERAT",AA668="RIDICAT"),1,0)</x:f>
        <x:v>0</x:v>
      </x:c>
      <x:c r="AE668" s="2" t="str">
        <x:f>IF(AD668&lt;&gt;1,"NO",IF(W668="PASS","YES",IF(W668="OOS PENDING","CONDITIONAL","NO")))</x:f>
        <x:v>NO</x:v>
      </x:c>
      <x:c r="AF668" s="2" t="n">
        <x:f>IF(AND(AD668=1,AC668=1,E668="LIVE"),1,0)</x:f>
        <x:v>0</x:v>
      </x:c>
      <x:c r="AG668" s="2" t="str">
        <x:f>IF(AF668&lt;&gt;1,"",'Dashboard'!P73)</x:f>
      </x:c>
      <x:c r="AH668" s="2" t="str">
        <x:f>IF(B668="","",IF(J668&lt;&gt;"PASS",'Motor_Meciuri'!J53,IF('Calibrare_Linii'!U10&lt;&gt;"VALID","Parametri linie invalizi",IF(L668&gt;'Config_v6'!$B$13,"Dispersie peste limita",IF(W668="WATCH","Failure peste limita",IF(AB668&lt;'Config_v6'!$B$16,"P finala sub prag",IF(V668&lt;'Config_v6'!$B$18,"Confidence sub prag",IF(E668="REPLAY","Exemplu retrospectiv; exclus din Top LIVE",IF(Y668="PASS","DEFENSIV validat",IF(W668="OOS PENDING","Eligibil; calibrare linie in monitorizare","Eligibil"))))))))))</x:f>
      </x:c>
      <x:c r="AI668" s="2" t="str">
        <x:f>IF(B668="","",'Calibrare_Linii'!V10)</x:f>
      </x:c>
      <x:c r="AJ668" s="2" t="str">
        <x:f>IF(B668="","",IF(AND('Calibrare_Linii'!T10="VALIDATED",AND('Calibrare_Linii'!H10=C668,ISNUMBER('Calibrare_Linii'!J10),'Calibrare_Linii'!J10&lt;='Input_Meci'!G53)),"DEFENSIVE VALIDATED",IF(AND('Calibrare_Linii'!S10="VALIDATED",AND('Calibrare_Linii'!H10=C668,ISNUMBER('Calibrare_Linii'!J10),'Calibrare_Linii'!J10&lt;='Input_Meci'!G53)),"TAIL VALIDATED","OOS PENDING")))</x:f>
      </x:c>
      <x:c r="AK668" s="2" t="n">
        <x:f>IF(J668&lt;&gt;"PASS",0,'Motor_Meciuri'!BR53)</x:f>
        <x:v>0</x:v>
      </x:c>
      <x:c r="AL668" s="2" t="n">
        <x:f>IF(J668&lt;&gt;"PASS",0,'Motor_Meciuri'!BS53)</x:f>
        <x:v>0</x:v>
      </x:c>
      <x:c r="AM668" s="2" t="n">
        <x:f>IF(J668&lt;&gt;"PASS",0,'Motor_Meciuri'!BT53)</x:f>
        <x:v>0</x:v>
      </x:c>
      <x:c r="AN668" s="2" t="str">
        <x:f>IF(M668="","",MAX(0,'Motor_Meciuri'!BF53-IF(L668&gt;'Config_v6'!$B$12,'Config_v6'!$B$37,IF(L668&gt;'Config_v6'!$B$11,'Config_v6'!$B$36,0))))</x:f>
      </x:c>
    </x:row>
    <x:row r="669" ht="21" customHeight="1">
      <x:c r="A669" s="2" t="n">
        <x:v>48</x:v>
      </x:c>
      <x:c r="B669" s="2" t="str">
        <x:f>IF('Motor_Meciuri'!A53="","",'Motor_Meciuri'!A53)</x:f>
      </x:c>
      <x:c r="C669" s="2" t="str">
        <x:f>IF(B669="","",'Motor_Meciuri'!B53)</x:f>
      </x:c>
      <x:c r="D669" s="2" t="str">
        <x:f>IF(B669="","",'Motor_Meciuri'!D53)</x:f>
      </x:c>
      <x:c r="E669" s="2" t="str">
        <x:f>IF(B669="","",'Motor_Meciuri'!E53)</x:f>
      </x:c>
      <x:c r="F669" s="2" t="str">
        <x:v>O8,5</x:v>
      </x:c>
      <x:c r="G669" s="2" t="str">
        <x:v>OVER</x:v>
      </x:c>
      <x:c r="H669" s="2" t="n">
        <x:v>8</x:v>
      </x:c>
      <x:c r="I669" s="2" t="str">
        <x:f>IF(B669="","",'Motor_Meciuri'!H53)</x:f>
      </x:c>
      <x:c r="J669" s="2" t="str">
        <x:f>IF(B669="","",'Motor_Meciuri'!I53)</x:f>
      </x:c>
      <x:c r="K669" s="11" t="str">
        <x:f>IF(J669&lt;&gt;"PASS","",'Motor_Meciuri'!BD53)</x:f>
      </x:c>
      <x:c r="L669" s="11" t="str">
        <x:f>IF(J669&lt;&gt;"PASS","",'Motor_Meciuri'!AU53)</x:f>
      </x:c>
      <x:c r="M669" s="10" t="str">
        <x:f>IF(NOT(AND(J669="PASS",'Calibrare_Linii'!U11="VALID")),"",1-'Distributie'!AF53)</x:f>
      </x:c>
      <x:c r="N669" s="10" t="str">
        <x:f>IF(M669="","",MAX(0.01,MIN(0.99,0.5+(M669-0.5)*'Motor_Meciuri'!BG53*'Calibrare_Linii'!D11)))</x:f>
      </x:c>
      <x:c r="O669" s="10" t="str">
        <x:f>IF(M669="","",1-M669)</x:f>
      </x:c>
      <x:c r="P669" s="10" t="str">
        <x:f>IF(OR(NOT(AND(J669="PASS",'Calibrare_Linii'!U11="VALID")),AK669=0),""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*('Istoric_Nativ'!$Q$6:$Q$405&lt;=H669))/AK669)</x:f>
      </x:c>
      <x:c r="Q669" s="10" t="str">
        <x:f>IF(OR(NOT(AND(J669="PASS",'Calibrare_Linii'!U11="VALID")),AL669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M53)+((('Istoric_Nativ'!$E$6:$E$405='Input_Meci'!E53)+('Istoric_Nativ'!$F$6:$F$405='Input_Meci'!E53))&gt;0)*('Istoric_Nativ'!$D$6:$D$405&gt;='Motor_Meciuri'!BN53))&gt;0)*('Istoric_Nativ'!$Q$6:$Q$405&lt;=H669))/AL669)</x:f>
      </x:c>
      <x:c r="R669" s="10" t="str">
        <x:f>IF(OR(NOT(AND(J669="PASS",'Calibrare_Linii'!U11="VALID")),AM669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O53)+((('Istoric_Nativ'!$E$6:$E$405='Input_Meci'!E53)+('Istoric_Nativ'!$F$6:$F$405='Input_Meci'!E53))&gt;0)*('Istoric_Nativ'!$D$6:$D$405&gt;='Motor_Meciuri'!BP53))&gt;0)*('Istoric_Nativ'!$Q$6:$Q$405&lt;=H669))/AM669)</x:f>
      </x:c>
      <x:c r="S669" s="10" t="str">
        <x:f>IF(M669="","",MAX(O669,P669,Q669,R669))</x:f>
      </x:c>
      <x:c r="T669" s="11" t="str">
        <x:f>IF(M669="","",MIN(100,S669*100*'Config_v6'!$B$44+MIN(100,L669/'Config_v6'!$B$13*100)*'Config_v6'!$B$45+(100-'Motor_Meciuri'!BF53)*'Config_v6'!$B$46+'Motor_Meciuri'!BH53*100*'Config_v6'!$B$47))</x:f>
      </x:c>
      <x:c r="U669" s="2" t="str">
        <x:f>IF(T669="","",IF(T669&lt;=20,1,IF(T669&lt;=40,2,IF(T669&lt;=60,3,IF(T669&lt;=80,4,5)))))</x:f>
      </x:c>
      <x:c r="V669" s="2" t="str">
        <x:f>IF(M669="","",MAX(0,'Motor_Meciuri'!BF53-IF(W669="OOS PENDING",'Config_v6'!$B$35,0)-IF(L669&gt;'Config_v6'!$B$12,'Config_v6'!$B$37,IF(L669&gt;'Config_v6'!$B$11,'Config_v6'!$B$36,0))))</x:f>
      </x:c>
      <x:c r="W669" s="2" t="str">
        <x:f>IF(B669="","",IF(I669&lt;&gt;"READY","NOT RELEASED",IF(NOT(AND(J669="PASS",'Calibrare_Linii'!U11="VALID")),"INVALID",IF(NOT(AND('Calibrare_Linii'!S11="VALIDATED",AND('Calibrare_Linii'!H11=C669,ISNUMBER('Calibrare_Linii'!J11),'Calibrare_Linii'!J11&lt;='Input_Meci'!G53))),"OOS PENDING",IF(S669&lt;='Calibrare_Linii'!E11,"PASS",IF(S669&lt;='Calibrare_Linii'!F11,"PENALTY","WATCH"))))))</x:f>
      </x:c>
      <x:c r="X669" s="2" t="str">
        <x:f>IF(M669="","",IF(AND(AND(J669="PASS",'Calibrare_Linii'!U11="VALID"),'Motor_Meciuri'!K53=12,'Motor_Meciuri'!L53=12,'Motor_Meciuri'!M53="NO",'Motor_Meciuri'!BL53='Motor_Meciuri'!C53,AB669&gt;='Config_v6'!$B$50,AN669&gt;='Config_v6'!$B$51,T669&lt;='Config_v6'!$B$52,L669&lt;='Config_v6'!$B$53,ISNUMBER('Calibrare_Linii'!E11),S669&lt;='Calibrare_Linii'!E11,SUM(AK669:AM669)&gt;0),"CANDIDATE","NO"))</x:f>
      </x:c>
      <x:c r="Y669" s="2" t="str">
        <x:f>IF(B669="","",IF(I669&lt;&gt;"READY","NOT RELEASED",IF(AND(X669="CANDIDATE",V669&gt;='Config_v6'!$B$51,W669="PASS",'Calibrare_Linii'!T11="VALIDATED",AND('Calibrare_Linii'!H11=C669,ISNUMBER('Calibrare_Linii'!J11),'Calibrare_Linii'!J11&lt;='Input_Meci'!G53)),"PASS",IF(X669="CANDIDATE","OOS PENDING","FAIL"))))</x:f>
      </x:c>
      <x:c r="Z669" s="2" t="str">
        <x:f>IF(B669="","",IF(I669&lt;&gt;"READY","",IF(OR(NOT(AND(J669="PASS",'Calibrare_Linii'!U11="VALID")),L669&gt;'Config_v6'!$B$13,W669="WATCH"),5,IF(Y669="PASS",1,MIN(5,MAX('Config_v6'!$B$42,U669)+IF(W669="PENALTY",1,0))))))</x:f>
      </x:c>
      <x:c r="AA669" s="2" t="str">
        <x:f>IF(B669="","",IF(I669&lt;&gt;"READY","NOT RELEASED",IF(Z669=5,"NO BET",IF(OR(AB669&lt;'Config_v6'!$B$16,V669&lt;'Config_v6'!$B$18),"WATCH",IF(Z669=1,"DEFENSIV",IF(Z669=2,"PRUDENT",IF(Z669=3,"MODERAT","RIDICAT")))))))</x:f>
      </x:c>
      <x:c r="AB669" s="10" t="str">
        <x:f>IF(N669="","",MIN(N669,1-S669))</x:f>
      </x:c>
      <x:c r="AC669" s="2" t="str">
        <x:f>IF(AD669&lt;&gt;1,"",COUNTIFS($Z$664:$Z$677,"&lt;"&amp;Z669,$AD$664:$AD$677,1)+COUNTIFS($Z$664:$Z$677,Z669,$AB$664:$AB$677,"&gt;"&amp;AB669,$AD$664:$AD$677,1)+COUNTIFS($Z$664:$Z$677,Z669,$AB$664:$AB$677,AB669,$V$664:$V$677,"&gt;"&amp;V669,$AD$664:$AD$677,1)+COUNTIFS($Z$664:Z669,Z669,$AB$664:AB669,AB669,$V$664:V669,V669,$AD$664:AD669,1))</x:f>
      </x:c>
      <x:c r="AD669" s="2" t="n">
        <x:f>IF(OR(AA669="DEFENSIV",AA669="PRUDENT",AA669="MODERAT",AA669="RIDICAT"),1,0)</x:f>
        <x:v>0</x:v>
      </x:c>
      <x:c r="AE669" s="2" t="str">
        <x:f>IF(AD669&lt;&gt;1,"NO",IF(W669="PASS","YES",IF(W669="OOS PENDING","CONDITIONAL","NO")))</x:f>
        <x:v>NO</x:v>
      </x:c>
      <x:c r="AF669" s="2" t="n">
        <x:f>IF(AND(AD669=1,AC669=1,E669="LIVE"),1,0)</x:f>
        <x:v>0</x:v>
      </x:c>
      <x:c r="AG669" s="2" t="str">
        <x:f>IF(AF669&lt;&gt;1,"",'Dashboard'!P73)</x:f>
      </x:c>
      <x:c r="AH669" s="2" t="str">
        <x:f>IF(B669="","",IF(J669&lt;&gt;"PASS",'Motor_Meciuri'!J53,IF('Calibrare_Linii'!U11&lt;&gt;"VALID","Parametri linie invalizi",IF(L669&gt;'Config_v6'!$B$13,"Dispersie peste limita",IF(W669="WATCH","Failure peste limita",IF(AB669&lt;'Config_v6'!$B$16,"P finala sub prag",IF(V669&lt;'Config_v6'!$B$18,"Confidence sub prag",IF(E669="REPLAY","Exemplu retrospectiv; exclus din Top LIVE",IF(Y669="PASS","DEFENSIV validat",IF(W669="OOS PENDING","Eligibil; calibrare linie in monitorizare","Eligibil"))))))))))</x:f>
      </x:c>
      <x:c r="AI669" s="2" t="str">
        <x:f>IF(B669="","",'Calibrare_Linii'!V11)</x:f>
      </x:c>
      <x:c r="AJ669" s="2" t="str">
        <x:f>IF(B669="","",IF(AND('Calibrare_Linii'!T11="VALIDATED",AND('Calibrare_Linii'!H11=C669,ISNUMBER('Calibrare_Linii'!J11),'Calibrare_Linii'!J11&lt;='Input_Meci'!G53)),"DEFENSIVE VALIDATED",IF(AND('Calibrare_Linii'!S11="VALIDATED",AND('Calibrare_Linii'!H11=C669,ISNUMBER('Calibrare_Linii'!J11),'Calibrare_Linii'!J11&lt;='Input_Meci'!G53)),"TAIL VALIDATED","OOS PENDING")))</x:f>
      </x:c>
      <x:c r="AK669" s="2" t="n">
        <x:f>IF(J669&lt;&gt;"PASS",0,'Motor_Meciuri'!BR53)</x:f>
        <x:v>0</x:v>
      </x:c>
      <x:c r="AL669" s="2" t="n">
        <x:f>IF(J669&lt;&gt;"PASS",0,'Motor_Meciuri'!BS53)</x:f>
        <x:v>0</x:v>
      </x:c>
      <x:c r="AM669" s="2" t="n">
        <x:f>IF(J669&lt;&gt;"PASS",0,'Motor_Meciuri'!BT53)</x:f>
        <x:v>0</x:v>
      </x:c>
      <x:c r="AN669" s="2" t="str">
        <x:f>IF(M669="","",MAX(0,'Motor_Meciuri'!BF53-IF(L669&gt;'Config_v6'!$B$12,'Config_v6'!$B$37,IF(L669&gt;'Config_v6'!$B$11,'Config_v6'!$B$36,0))))</x:f>
      </x:c>
    </x:row>
    <x:row r="670" ht="21" customHeight="1">
      <x:c r="A670" s="2" t="n">
        <x:v>48</x:v>
      </x:c>
      <x:c r="B670" s="2" t="str">
        <x:f>IF('Motor_Meciuri'!A53="","",'Motor_Meciuri'!A53)</x:f>
      </x:c>
      <x:c r="C670" s="2" t="str">
        <x:f>IF(B670="","",'Motor_Meciuri'!B53)</x:f>
      </x:c>
      <x:c r="D670" s="2" t="str">
        <x:f>IF(B670="","",'Motor_Meciuri'!D53)</x:f>
      </x:c>
      <x:c r="E670" s="2" t="str">
        <x:f>IF(B670="","",'Motor_Meciuri'!E53)</x:f>
      </x:c>
      <x:c r="F670" s="2" t="str">
        <x:v>U10,5</x:v>
      </x:c>
      <x:c r="G670" s="2" t="str">
        <x:v>UNDER</x:v>
      </x:c>
      <x:c r="H670" s="2" t="n">
        <x:v>10</x:v>
      </x:c>
      <x:c r="I670" s="2" t="str">
        <x:f>IF(B670="","",'Motor_Meciuri'!H53)</x:f>
      </x:c>
      <x:c r="J670" s="2" t="str">
        <x:f>IF(B670="","",'Motor_Meciuri'!I53)</x:f>
      </x:c>
      <x:c r="K670" s="11" t="str">
        <x:f>IF(J670&lt;&gt;"PASS","",'Motor_Meciuri'!BD53)</x:f>
      </x:c>
      <x:c r="L670" s="11" t="str">
        <x:f>IF(J670&lt;&gt;"PASS","",'Motor_Meciuri'!AU53)</x:f>
      </x:c>
      <x:c r="M670" s="10" t="str">
        <x:f>IF(NOT(AND(J670="PASS",'Calibrare_Linii'!U12="VALID")),"",'Distributie'!AH53)</x:f>
      </x:c>
      <x:c r="N670" s="10" t="str">
        <x:f>IF(M670="","",MAX(0.01,MIN(0.99,0.5+(M670-0.5)*'Motor_Meciuri'!BG53*'Calibrare_Linii'!D12)))</x:f>
      </x:c>
      <x:c r="O670" s="10" t="str">
        <x:f>IF(M670="","",1-M670)</x:f>
      </x:c>
      <x:c r="P670" s="10" t="str">
        <x:f>IF(OR(NOT(AND(J670="PASS",'Calibrare_Linii'!U12="VALID")),AK670=0),""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*('Istoric_Nativ'!$Q$6:$Q$405&gt;H670))/AK670)</x:f>
      </x:c>
      <x:c r="Q670" s="10" t="str">
        <x:f>IF(OR(NOT(AND(J670="PASS",'Calibrare_Linii'!U12="VALID")),AL670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M53)+((('Istoric_Nativ'!$E$6:$E$405='Input_Meci'!E53)+('Istoric_Nativ'!$F$6:$F$405='Input_Meci'!E53))&gt;0)*('Istoric_Nativ'!$D$6:$D$405&gt;='Motor_Meciuri'!BN53))&gt;0)*('Istoric_Nativ'!$Q$6:$Q$405&gt;H670))/AL670)</x:f>
      </x:c>
      <x:c r="R670" s="10" t="str">
        <x:f>IF(OR(NOT(AND(J670="PASS",'Calibrare_Linii'!U12="VALID")),AM670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O53)+((('Istoric_Nativ'!$E$6:$E$405='Input_Meci'!E53)+('Istoric_Nativ'!$F$6:$F$405='Input_Meci'!E53))&gt;0)*('Istoric_Nativ'!$D$6:$D$405&gt;='Motor_Meciuri'!BP53))&gt;0)*('Istoric_Nativ'!$Q$6:$Q$405&gt;H670))/AM670)</x:f>
      </x:c>
      <x:c r="S670" s="10" t="str">
        <x:f>IF(M670="","",MAX(O670,P670,Q670,R670))</x:f>
      </x:c>
      <x:c r="T670" s="11" t="str">
        <x:f>IF(M670="","",MIN(100,S670*100*'Config_v6'!$B$44+MIN(100,L670/'Config_v6'!$B$13*100)*'Config_v6'!$B$45+(100-'Motor_Meciuri'!BF53)*'Config_v6'!$B$46+'Motor_Meciuri'!BH53*100*'Config_v6'!$B$47))</x:f>
      </x:c>
      <x:c r="U670" s="2" t="str">
        <x:f>IF(T670="","",IF(T670&lt;=20,1,IF(T670&lt;=40,2,IF(T670&lt;=60,3,IF(T670&lt;=80,4,5)))))</x:f>
      </x:c>
      <x:c r="V670" s="2" t="str">
        <x:f>IF(M670="","",MAX(0,'Motor_Meciuri'!BF53-IF(W670="OOS PENDING",'Config_v6'!$B$35,0)-IF(L670&gt;'Config_v6'!$B$12,'Config_v6'!$B$37,IF(L670&gt;'Config_v6'!$B$11,'Config_v6'!$B$36,0))))</x:f>
      </x:c>
      <x:c r="W670" s="2" t="str">
        <x:f>IF(B670="","",IF(I670&lt;&gt;"READY","NOT RELEASED",IF(NOT(AND(J670="PASS",'Calibrare_Linii'!U12="VALID")),"INVALID",IF(NOT(AND('Calibrare_Linii'!S12="VALIDATED",AND('Calibrare_Linii'!H12=C670,ISNUMBER('Calibrare_Linii'!J12),'Calibrare_Linii'!J12&lt;='Input_Meci'!G53))),"OOS PENDING",IF(S670&lt;='Calibrare_Linii'!E12,"PASS",IF(S670&lt;='Calibrare_Linii'!F12,"PENALTY","WATCH"))))))</x:f>
      </x:c>
      <x:c r="X670" s="2" t="str">
        <x:f>IF(M670="","",IF(AND(AND(J670="PASS",'Calibrare_Linii'!U12="VALID"),'Motor_Meciuri'!K53=12,'Motor_Meciuri'!L53=12,'Motor_Meciuri'!M53="NO",'Motor_Meciuri'!BL53='Motor_Meciuri'!C53,AB670&gt;='Config_v6'!$B$50,AN670&gt;='Config_v6'!$B$51,T670&lt;='Config_v6'!$B$52,L670&lt;='Config_v6'!$B$53,ISNUMBER('Calibrare_Linii'!E12),S670&lt;='Calibrare_Linii'!E12,SUM(AK670:AM670)&gt;0),"CANDIDATE","NO"))</x:f>
      </x:c>
      <x:c r="Y670" s="2" t="str">
        <x:f>IF(B670="","",IF(I670&lt;&gt;"READY","NOT RELEASED",IF(AND(X670="CANDIDATE",V670&gt;='Config_v6'!$B$51,W670="PASS",'Calibrare_Linii'!T12="VALIDATED",AND('Calibrare_Linii'!H12=C670,ISNUMBER('Calibrare_Linii'!J12),'Calibrare_Linii'!J12&lt;='Input_Meci'!G53)),"PASS",IF(X670="CANDIDATE","OOS PENDING","FAIL"))))</x:f>
      </x:c>
      <x:c r="Z670" s="2" t="str">
        <x:f>IF(B670="","",IF(I670&lt;&gt;"READY","",IF(OR(NOT(AND(J670="PASS",'Calibrare_Linii'!U12="VALID")),L670&gt;'Config_v6'!$B$13,W670="WATCH"),5,IF(Y670="PASS",1,MIN(5,MAX('Config_v6'!$B$42,U670)+IF(W670="PENALTY",1,0))))))</x:f>
      </x:c>
      <x:c r="AA670" s="2" t="str">
        <x:f>IF(B670="","",IF(I670&lt;&gt;"READY","NOT RELEASED",IF(Z670=5,"NO BET",IF(OR(AB670&lt;'Config_v6'!$B$16,V670&lt;'Config_v6'!$B$18),"WATCH",IF(Z670=1,"DEFENSIV",IF(Z670=2,"PRUDENT",IF(Z670=3,"MODERAT","RIDICAT")))))))</x:f>
      </x:c>
      <x:c r="AB670" s="10" t="str">
        <x:f>IF(N670="","",MIN(N670,1-S670))</x:f>
      </x:c>
      <x:c r="AC670" s="2" t="str">
        <x:f>IF(AD670&lt;&gt;1,"",COUNTIFS($Z$664:$Z$677,"&lt;"&amp;Z670,$AD$664:$AD$677,1)+COUNTIFS($Z$664:$Z$677,Z670,$AB$664:$AB$677,"&gt;"&amp;AB670,$AD$664:$AD$677,1)+COUNTIFS($Z$664:$Z$677,Z670,$AB$664:$AB$677,AB670,$V$664:$V$677,"&gt;"&amp;V670,$AD$664:$AD$677,1)+COUNTIFS($Z$664:Z670,Z670,$AB$664:AB670,AB670,$V$664:V670,V670,$AD$664:AD670,1))</x:f>
      </x:c>
      <x:c r="AD670" s="2" t="n">
        <x:f>IF(OR(AA670="DEFENSIV",AA670="PRUDENT",AA670="MODERAT",AA670="RIDICAT"),1,0)</x:f>
        <x:v>0</x:v>
      </x:c>
      <x:c r="AE670" s="2" t="str">
        <x:f>IF(AD670&lt;&gt;1,"NO",IF(W670="PASS","YES",IF(W670="OOS PENDING","CONDITIONAL","NO")))</x:f>
        <x:v>NO</x:v>
      </x:c>
      <x:c r="AF670" s="2" t="n">
        <x:f>IF(AND(AD670=1,AC670=1,E670="LIVE"),1,0)</x:f>
        <x:v>0</x:v>
      </x:c>
      <x:c r="AG670" s="2" t="str">
        <x:f>IF(AF670&lt;&gt;1,"",'Dashboard'!P73)</x:f>
      </x:c>
      <x:c r="AH670" s="2" t="str">
        <x:f>IF(B670="","",IF(J670&lt;&gt;"PASS",'Motor_Meciuri'!J53,IF('Calibrare_Linii'!U12&lt;&gt;"VALID","Parametri linie invalizi",IF(L670&gt;'Config_v6'!$B$13,"Dispersie peste limita",IF(W670="WATCH","Failure peste limita",IF(AB670&lt;'Config_v6'!$B$16,"P finala sub prag",IF(V670&lt;'Config_v6'!$B$18,"Confidence sub prag",IF(E670="REPLAY","Exemplu retrospectiv; exclus din Top LIVE",IF(Y670="PASS","DEFENSIV validat",IF(W670="OOS PENDING","Eligibil; calibrare linie in monitorizare","Eligibil"))))))))))</x:f>
      </x:c>
      <x:c r="AI670" s="2" t="str">
        <x:f>IF(B670="","",'Calibrare_Linii'!V12)</x:f>
      </x:c>
      <x:c r="AJ670" s="2" t="str">
        <x:f>IF(B670="","",IF(AND('Calibrare_Linii'!T12="VALIDATED",AND('Calibrare_Linii'!H12=C670,ISNUMBER('Calibrare_Linii'!J12),'Calibrare_Linii'!J12&lt;='Input_Meci'!G53)),"DEFENSIVE VALIDATED",IF(AND('Calibrare_Linii'!S12="VALIDATED",AND('Calibrare_Linii'!H12=C670,ISNUMBER('Calibrare_Linii'!J12),'Calibrare_Linii'!J12&lt;='Input_Meci'!G53)),"TAIL VALIDATED","OOS PENDING")))</x:f>
      </x:c>
      <x:c r="AK670" s="2" t="n">
        <x:f>IF(J670&lt;&gt;"PASS",0,'Motor_Meciuri'!BR53)</x:f>
        <x:v>0</x:v>
      </x:c>
      <x:c r="AL670" s="2" t="n">
        <x:f>IF(J670&lt;&gt;"PASS",0,'Motor_Meciuri'!BS53)</x:f>
        <x:v>0</x:v>
      </x:c>
      <x:c r="AM670" s="2" t="n">
        <x:f>IF(J670&lt;&gt;"PASS",0,'Motor_Meciuri'!BT53)</x:f>
        <x:v>0</x:v>
      </x:c>
      <x:c r="AN670" s="2" t="str">
        <x:f>IF(M670="","",MAX(0,'Motor_Meciuri'!BF53-IF(L670&gt;'Config_v6'!$B$12,'Config_v6'!$B$37,IF(L670&gt;'Config_v6'!$B$11,'Config_v6'!$B$36,0))))</x:f>
      </x:c>
    </x:row>
    <x:row r="671" ht="21" customHeight="1">
      <x:c r="A671" s="2" t="n">
        <x:v>48</x:v>
      </x:c>
      <x:c r="B671" s="2" t="str">
        <x:f>IF('Motor_Meciuri'!A53="","",'Motor_Meciuri'!A53)</x:f>
      </x:c>
      <x:c r="C671" s="2" t="str">
        <x:f>IF(B671="","",'Motor_Meciuri'!B53)</x:f>
      </x:c>
      <x:c r="D671" s="2" t="str">
        <x:f>IF(B671="","",'Motor_Meciuri'!D53)</x:f>
      </x:c>
      <x:c r="E671" s="2" t="str">
        <x:f>IF(B671="","",'Motor_Meciuri'!E53)</x:f>
      </x:c>
      <x:c r="F671" s="2" t="str">
        <x:v>U11,5</x:v>
      </x:c>
      <x:c r="G671" s="2" t="str">
        <x:v>UNDER</x:v>
      </x:c>
      <x:c r="H671" s="2" t="n">
        <x:v>11</x:v>
      </x:c>
      <x:c r="I671" s="2" t="str">
        <x:f>IF(B671="","",'Motor_Meciuri'!H53)</x:f>
      </x:c>
      <x:c r="J671" s="2" t="str">
        <x:f>IF(B671="","",'Motor_Meciuri'!I53)</x:f>
      </x:c>
      <x:c r="K671" s="11" t="str">
        <x:f>IF(J671&lt;&gt;"PASS","",'Motor_Meciuri'!BD53)</x:f>
      </x:c>
      <x:c r="L671" s="11" t="str">
        <x:f>IF(J671&lt;&gt;"PASS","",'Motor_Meciuri'!AU53)</x:f>
      </x:c>
      <x:c r="M671" s="10" t="str">
        <x:f>IF(NOT(AND(J671="PASS",'Calibrare_Linii'!U13="VALID")),"",'Distributie'!AI53)</x:f>
      </x:c>
      <x:c r="N671" s="10" t="str">
        <x:f>IF(M671="","",MAX(0.01,MIN(0.99,0.5+(M671-0.5)*'Motor_Meciuri'!BG53*'Calibrare_Linii'!D13)))</x:f>
      </x:c>
      <x:c r="O671" s="10" t="str">
        <x:f>IF(M671="","",1-M671)</x:f>
      </x:c>
      <x:c r="P671" s="10" t="str">
        <x:f>IF(OR(NOT(AND(J671="PASS",'Calibrare_Linii'!U13="VALID")),AK671=0),""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*('Istoric_Nativ'!$Q$6:$Q$405&gt;H671))/AK671)</x:f>
      </x:c>
      <x:c r="Q671" s="10" t="str">
        <x:f>IF(OR(NOT(AND(J671="PASS",'Calibrare_Linii'!U13="VALID")),AL671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M53)+((('Istoric_Nativ'!$E$6:$E$405='Input_Meci'!E53)+('Istoric_Nativ'!$F$6:$F$405='Input_Meci'!E53))&gt;0)*('Istoric_Nativ'!$D$6:$D$405&gt;='Motor_Meciuri'!BN53))&gt;0)*('Istoric_Nativ'!$Q$6:$Q$405&gt;H671))/AL671)</x:f>
      </x:c>
      <x:c r="R671" s="10" t="str">
        <x:f>IF(OR(NOT(AND(J671="PASS",'Calibrare_Linii'!U13="VALID")),AM671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O53)+((('Istoric_Nativ'!$E$6:$E$405='Input_Meci'!E53)+('Istoric_Nativ'!$F$6:$F$405='Input_Meci'!E53))&gt;0)*('Istoric_Nativ'!$D$6:$D$405&gt;='Motor_Meciuri'!BP53))&gt;0)*('Istoric_Nativ'!$Q$6:$Q$405&gt;H671))/AM671)</x:f>
      </x:c>
      <x:c r="S671" s="10" t="str">
        <x:f>IF(M671="","",MAX(O671,P671,Q671,R671))</x:f>
      </x:c>
      <x:c r="T671" s="11" t="str">
        <x:f>IF(M671="","",MIN(100,S671*100*'Config_v6'!$B$44+MIN(100,L671/'Config_v6'!$B$13*100)*'Config_v6'!$B$45+(100-'Motor_Meciuri'!BF53)*'Config_v6'!$B$46+'Motor_Meciuri'!BH53*100*'Config_v6'!$B$47))</x:f>
      </x:c>
      <x:c r="U671" s="2" t="str">
        <x:f>IF(T671="","",IF(T671&lt;=20,1,IF(T671&lt;=40,2,IF(T671&lt;=60,3,IF(T671&lt;=80,4,5)))))</x:f>
      </x:c>
      <x:c r="V671" s="2" t="str">
        <x:f>IF(M671="","",MAX(0,'Motor_Meciuri'!BF53-IF(W671="OOS PENDING",'Config_v6'!$B$35,0)-IF(L671&gt;'Config_v6'!$B$12,'Config_v6'!$B$37,IF(L671&gt;'Config_v6'!$B$11,'Config_v6'!$B$36,0))))</x:f>
      </x:c>
      <x:c r="W671" s="2" t="str">
        <x:f>IF(B671="","",IF(I671&lt;&gt;"READY","NOT RELEASED",IF(NOT(AND(J671="PASS",'Calibrare_Linii'!U13="VALID")),"INVALID",IF(NOT(AND('Calibrare_Linii'!S13="VALIDATED",AND('Calibrare_Linii'!H13=C671,ISNUMBER('Calibrare_Linii'!J13),'Calibrare_Linii'!J13&lt;='Input_Meci'!G53))),"OOS PENDING",IF(S671&lt;='Calibrare_Linii'!E13,"PASS",IF(S671&lt;='Calibrare_Linii'!F13,"PENALTY","WATCH"))))))</x:f>
      </x:c>
      <x:c r="X671" s="2" t="str">
        <x:f>IF(M671="","",IF(AND(AND(J671="PASS",'Calibrare_Linii'!U13="VALID"),'Motor_Meciuri'!K53=12,'Motor_Meciuri'!L53=12,'Motor_Meciuri'!M53="NO",'Motor_Meciuri'!BL53='Motor_Meciuri'!C53,AB671&gt;='Config_v6'!$B$50,AN671&gt;='Config_v6'!$B$51,T671&lt;='Config_v6'!$B$52,L671&lt;='Config_v6'!$B$53,ISNUMBER('Calibrare_Linii'!E13),S671&lt;='Calibrare_Linii'!E13,SUM(AK671:AM671)&gt;0),"CANDIDATE","NO"))</x:f>
      </x:c>
      <x:c r="Y671" s="2" t="str">
        <x:f>IF(B671="","",IF(I671&lt;&gt;"READY","NOT RELEASED",IF(AND(X671="CANDIDATE",V671&gt;='Config_v6'!$B$51,W671="PASS",'Calibrare_Linii'!T13="VALIDATED",AND('Calibrare_Linii'!H13=C671,ISNUMBER('Calibrare_Linii'!J13),'Calibrare_Linii'!J13&lt;='Input_Meci'!G53)),"PASS",IF(X671="CANDIDATE","OOS PENDING","FAIL"))))</x:f>
      </x:c>
      <x:c r="Z671" s="2" t="str">
        <x:f>IF(B671="","",IF(I671&lt;&gt;"READY","",IF(OR(NOT(AND(J671="PASS",'Calibrare_Linii'!U13="VALID")),L671&gt;'Config_v6'!$B$13,W671="WATCH"),5,IF(Y671="PASS",1,MIN(5,MAX('Config_v6'!$B$42,U671)+IF(W671="PENALTY",1,0))))))</x:f>
      </x:c>
      <x:c r="AA671" s="2" t="str">
        <x:f>IF(B671="","",IF(I671&lt;&gt;"READY","NOT RELEASED",IF(Z671=5,"NO BET",IF(OR(AB671&lt;'Config_v6'!$B$16,V671&lt;'Config_v6'!$B$18),"WATCH",IF(Z671=1,"DEFENSIV",IF(Z671=2,"PRUDENT",IF(Z671=3,"MODERAT","RIDICAT")))))))</x:f>
      </x:c>
      <x:c r="AB671" s="10" t="str">
        <x:f>IF(N671="","",MIN(N671,1-S671))</x:f>
      </x:c>
      <x:c r="AC671" s="2" t="str">
        <x:f>IF(AD671&lt;&gt;1,"",COUNTIFS($Z$664:$Z$677,"&lt;"&amp;Z671,$AD$664:$AD$677,1)+COUNTIFS($Z$664:$Z$677,Z671,$AB$664:$AB$677,"&gt;"&amp;AB671,$AD$664:$AD$677,1)+COUNTIFS($Z$664:$Z$677,Z671,$AB$664:$AB$677,AB671,$V$664:$V$677,"&gt;"&amp;V671,$AD$664:$AD$677,1)+COUNTIFS($Z$664:Z671,Z671,$AB$664:AB671,AB671,$V$664:V671,V671,$AD$664:AD671,1))</x:f>
      </x:c>
      <x:c r="AD671" s="2" t="n">
        <x:f>IF(OR(AA671="DEFENSIV",AA671="PRUDENT",AA671="MODERAT",AA671="RIDICAT"),1,0)</x:f>
        <x:v>0</x:v>
      </x:c>
      <x:c r="AE671" s="2" t="str">
        <x:f>IF(AD671&lt;&gt;1,"NO",IF(W671="PASS","YES",IF(W671="OOS PENDING","CONDITIONAL","NO")))</x:f>
        <x:v>NO</x:v>
      </x:c>
      <x:c r="AF671" s="2" t="n">
        <x:f>IF(AND(AD671=1,AC671=1,E671="LIVE"),1,0)</x:f>
        <x:v>0</x:v>
      </x:c>
      <x:c r="AG671" s="2" t="str">
        <x:f>IF(AF671&lt;&gt;1,"",'Dashboard'!P73)</x:f>
      </x:c>
      <x:c r="AH671" s="2" t="str">
        <x:f>IF(B671="","",IF(J671&lt;&gt;"PASS",'Motor_Meciuri'!J53,IF('Calibrare_Linii'!U13&lt;&gt;"VALID","Parametri linie invalizi",IF(L671&gt;'Config_v6'!$B$13,"Dispersie peste limita",IF(W671="WATCH","Failure peste limita",IF(AB671&lt;'Config_v6'!$B$16,"P finala sub prag",IF(V671&lt;'Config_v6'!$B$18,"Confidence sub prag",IF(E671="REPLAY","Exemplu retrospectiv; exclus din Top LIVE",IF(Y671="PASS","DEFENSIV validat",IF(W671="OOS PENDING","Eligibil; calibrare linie in monitorizare","Eligibil"))))))))))</x:f>
      </x:c>
      <x:c r="AI671" s="2" t="str">
        <x:f>IF(B671="","",'Calibrare_Linii'!V13)</x:f>
      </x:c>
      <x:c r="AJ671" s="2" t="str">
        <x:f>IF(B671="","",IF(AND('Calibrare_Linii'!T13="VALIDATED",AND('Calibrare_Linii'!H13=C671,ISNUMBER('Calibrare_Linii'!J13),'Calibrare_Linii'!J13&lt;='Input_Meci'!G53)),"DEFENSIVE VALIDATED",IF(AND('Calibrare_Linii'!S13="VALIDATED",AND('Calibrare_Linii'!H13=C671,ISNUMBER('Calibrare_Linii'!J13),'Calibrare_Linii'!J13&lt;='Input_Meci'!G53)),"TAIL VALIDATED","OOS PENDING")))</x:f>
      </x:c>
      <x:c r="AK671" s="2" t="n">
        <x:f>IF(J671&lt;&gt;"PASS",0,'Motor_Meciuri'!BR53)</x:f>
        <x:v>0</x:v>
      </x:c>
      <x:c r="AL671" s="2" t="n">
        <x:f>IF(J671&lt;&gt;"PASS",0,'Motor_Meciuri'!BS53)</x:f>
        <x:v>0</x:v>
      </x:c>
      <x:c r="AM671" s="2" t="n">
        <x:f>IF(J671&lt;&gt;"PASS",0,'Motor_Meciuri'!BT53)</x:f>
        <x:v>0</x:v>
      </x:c>
      <x:c r="AN671" s="2" t="str">
        <x:f>IF(M671="","",MAX(0,'Motor_Meciuri'!BF53-IF(L671&gt;'Config_v6'!$B$12,'Config_v6'!$B$37,IF(L671&gt;'Config_v6'!$B$11,'Config_v6'!$B$36,0))))</x:f>
      </x:c>
    </x:row>
    <x:row r="672" ht="21" customHeight="1">
      <x:c r="A672" s="2" t="n">
        <x:v>48</x:v>
      </x:c>
      <x:c r="B672" s="2" t="str">
        <x:f>IF('Motor_Meciuri'!A53="","",'Motor_Meciuri'!A53)</x:f>
      </x:c>
      <x:c r="C672" s="2" t="str">
        <x:f>IF(B672="","",'Motor_Meciuri'!B53)</x:f>
      </x:c>
      <x:c r="D672" s="2" t="str">
        <x:f>IF(B672="","",'Motor_Meciuri'!D53)</x:f>
      </x:c>
      <x:c r="E672" s="2" t="str">
        <x:f>IF(B672="","",'Motor_Meciuri'!E53)</x:f>
      </x:c>
      <x:c r="F672" s="2" t="str">
        <x:v>U12,5</x:v>
      </x:c>
      <x:c r="G672" s="2" t="str">
        <x:v>UNDER</x:v>
      </x:c>
      <x:c r="H672" s="2" t="n">
        <x:v>12</x:v>
      </x:c>
      <x:c r="I672" s="2" t="str">
        <x:f>IF(B672="","",'Motor_Meciuri'!H53)</x:f>
      </x:c>
      <x:c r="J672" s="2" t="str">
        <x:f>IF(B672="","",'Motor_Meciuri'!I53)</x:f>
      </x:c>
      <x:c r="K672" s="11" t="str">
        <x:f>IF(J672&lt;&gt;"PASS","",'Motor_Meciuri'!BD53)</x:f>
      </x:c>
      <x:c r="L672" s="11" t="str">
        <x:f>IF(J672&lt;&gt;"PASS","",'Motor_Meciuri'!AU53)</x:f>
      </x:c>
      <x:c r="M672" s="10" t="str">
        <x:f>IF(NOT(AND(J672="PASS",'Calibrare_Linii'!U14="VALID")),"",'Distributie'!AJ53)</x:f>
      </x:c>
      <x:c r="N672" s="10" t="str">
        <x:f>IF(M672="","",MAX(0.01,MIN(0.99,0.5+(M672-0.5)*'Motor_Meciuri'!BG53*'Calibrare_Linii'!D14)))</x:f>
      </x:c>
      <x:c r="O672" s="10" t="str">
        <x:f>IF(M672="","",1-M672)</x:f>
      </x:c>
      <x:c r="P672" s="10" t="str">
        <x:f>IF(OR(NOT(AND(J672="PASS",'Calibrare_Linii'!U14="VALID")),AK672=0),""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*('Istoric_Nativ'!$Q$6:$Q$405&gt;H672))/AK672)</x:f>
      </x:c>
      <x:c r="Q672" s="10" t="str">
        <x:f>IF(OR(NOT(AND(J672="PASS",'Calibrare_Linii'!U14="VALID")),AL672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M53)+((('Istoric_Nativ'!$E$6:$E$405='Input_Meci'!E53)+('Istoric_Nativ'!$F$6:$F$405='Input_Meci'!E53))&gt;0)*('Istoric_Nativ'!$D$6:$D$405&gt;='Motor_Meciuri'!BN53))&gt;0)*('Istoric_Nativ'!$Q$6:$Q$405&gt;H672))/AL672)</x:f>
      </x:c>
      <x:c r="R672" s="10" t="str">
        <x:f>IF(OR(NOT(AND(J672="PASS",'Calibrare_Linii'!U14="VALID")),AM672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O53)+((('Istoric_Nativ'!$E$6:$E$405='Input_Meci'!E53)+('Istoric_Nativ'!$F$6:$F$405='Input_Meci'!E53))&gt;0)*('Istoric_Nativ'!$D$6:$D$405&gt;='Motor_Meciuri'!BP53))&gt;0)*('Istoric_Nativ'!$Q$6:$Q$405&gt;H672))/AM672)</x:f>
      </x:c>
      <x:c r="S672" s="10" t="str">
        <x:f>IF(M672="","",MAX(O672,P672,Q672,R672))</x:f>
      </x:c>
      <x:c r="T672" s="11" t="str">
        <x:f>IF(M672="","",MIN(100,S672*100*'Config_v6'!$B$44+MIN(100,L672/'Config_v6'!$B$13*100)*'Config_v6'!$B$45+(100-'Motor_Meciuri'!BF53)*'Config_v6'!$B$46+'Motor_Meciuri'!BH53*100*'Config_v6'!$B$47))</x:f>
      </x:c>
      <x:c r="U672" s="2" t="str">
        <x:f>IF(T672="","",IF(T672&lt;=20,1,IF(T672&lt;=40,2,IF(T672&lt;=60,3,IF(T672&lt;=80,4,5)))))</x:f>
      </x:c>
      <x:c r="V672" s="2" t="str">
        <x:f>IF(M672="","",MAX(0,'Motor_Meciuri'!BF53-IF(W672="OOS PENDING",'Config_v6'!$B$35,0)-IF(L672&gt;'Config_v6'!$B$12,'Config_v6'!$B$37,IF(L672&gt;'Config_v6'!$B$11,'Config_v6'!$B$36,0))))</x:f>
      </x:c>
      <x:c r="W672" s="2" t="str">
        <x:f>IF(B672="","",IF(I672&lt;&gt;"READY","NOT RELEASED",IF(NOT(AND(J672="PASS",'Calibrare_Linii'!U14="VALID")),"INVALID",IF(NOT(AND('Calibrare_Linii'!S14="VALIDATED",AND('Calibrare_Linii'!H14=C672,ISNUMBER('Calibrare_Linii'!J14),'Calibrare_Linii'!J14&lt;='Input_Meci'!G53))),"OOS PENDING",IF(S672&lt;='Calibrare_Linii'!E14,"PASS",IF(S672&lt;='Calibrare_Linii'!F14,"PENALTY","WATCH"))))))</x:f>
      </x:c>
      <x:c r="X672" s="2" t="str">
        <x:f>IF(M672="","",IF(AND(AND(J672="PASS",'Calibrare_Linii'!U14="VALID"),'Motor_Meciuri'!K53=12,'Motor_Meciuri'!L53=12,'Motor_Meciuri'!M53="NO",'Motor_Meciuri'!BL53='Motor_Meciuri'!C53,AB672&gt;='Config_v6'!$B$50,AN672&gt;='Config_v6'!$B$51,T672&lt;='Config_v6'!$B$52,L672&lt;='Config_v6'!$B$53,ISNUMBER('Calibrare_Linii'!E14),S672&lt;='Calibrare_Linii'!E14,SUM(AK672:AM672)&gt;0),"CANDIDATE","NO"))</x:f>
      </x:c>
      <x:c r="Y672" s="2" t="str">
        <x:f>IF(B672="","",IF(I672&lt;&gt;"READY","NOT RELEASED",IF(AND(X672="CANDIDATE",V672&gt;='Config_v6'!$B$51,W672="PASS",'Calibrare_Linii'!T14="VALIDATED",AND('Calibrare_Linii'!H14=C672,ISNUMBER('Calibrare_Linii'!J14),'Calibrare_Linii'!J14&lt;='Input_Meci'!G53)),"PASS",IF(X672="CANDIDATE","OOS PENDING","FAIL"))))</x:f>
      </x:c>
      <x:c r="Z672" s="2" t="str">
        <x:f>IF(B672="","",IF(I672&lt;&gt;"READY","",IF(OR(NOT(AND(J672="PASS",'Calibrare_Linii'!U14="VALID")),L672&gt;'Config_v6'!$B$13,W672="WATCH"),5,IF(Y672="PASS",1,MIN(5,MAX('Config_v6'!$B$42,U672)+IF(W672="PENALTY",1,0))))))</x:f>
      </x:c>
      <x:c r="AA672" s="2" t="str">
        <x:f>IF(B672="","",IF(I672&lt;&gt;"READY","NOT RELEASED",IF(Z672=5,"NO BET",IF(OR(AB672&lt;'Config_v6'!$B$16,V672&lt;'Config_v6'!$B$18),"WATCH",IF(Z672=1,"DEFENSIV",IF(Z672=2,"PRUDENT",IF(Z672=3,"MODERAT","RIDICAT")))))))</x:f>
      </x:c>
      <x:c r="AB672" s="10" t="str">
        <x:f>IF(N672="","",MIN(N672,1-S672))</x:f>
      </x:c>
      <x:c r="AC672" s="2" t="str">
        <x:f>IF(AD672&lt;&gt;1,"",COUNTIFS($Z$664:$Z$677,"&lt;"&amp;Z672,$AD$664:$AD$677,1)+COUNTIFS($Z$664:$Z$677,Z672,$AB$664:$AB$677,"&gt;"&amp;AB672,$AD$664:$AD$677,1)+COUNTIFS($Z$664:$Z$677,Z672,$AB$664:$AB$677,AB672,$V$664:$V$677,"&gt;"&amp;V672,$AD$664:$AD$677,1)+COUNTIFS($Z$664:Z672,Z672,$AB$664:AB672,AB672,$V$664:V672,V672,$AD$664:AD672,1))</x:f>
      </x:c>
      <x:c r="AD672" s="2" t="n">
        <x:f>IF(OR(AA672="DEFENSIV",AA672="PRUDENT",AA672="MODERAT",AA672="RIDICAT"),1,0)</x:f>
        <x:v>0</x:v>
      </x:c>
      <x:c r="AE672" s="2" t="str">
        <x:f>IF(AD672&lt;&gt;1,"NO",IF(W672="PASS","YES",IF(W672="OOS PENDING","CONDITIONAL","NO")))</x:f>
        <x:v>NO</x:v>
      </x:c>
      <x:c r="AF672" s="2" t="n">
        <x:f>IF(AND(AD672=1,AC672=1,E672="LIVE"),1,0)</x:f>
        <x:v>0</x:v>
      </x:c>
      <x:c r="AG672" s="2" t="str">
        <x:f>IF(AF672&lt;&gt;1,"",'Dashboard'!P73)</x:f>
      </x:c>
      <x:c r="AH672" s="2" t="str">
        <x:f>IF(B672="","",IF(J672&lt;&gt;"PASS",'Motor_Meciuri'!J53,IF('Calibrare_Linii'!U14&lt;&gt;"VALID","Parametri linie invalizi",IF(L672&gt;'Config_v6'!$B$13,"Dispersie peste limita",IF(W672="WATCH","Failure peste limita",IF(AB672&lt;'Config_v6'!$B$16,"P finala sub prag",IF(V672&lt;'Config_v6'!$B$18,"Confidence sub prag",IF(E672="REPLAY","Exemplu retrospectiv; exclus din Top LIVE",IF(Y672="PASS","DEFENSIV validat",IF(W672="OOS PENDING","Eligibil; calibrare linie in monitorizare","Eligibil"))))))))))</x:f>
      </x:c>
      <x:c r="AI672" s="2" t="str">
        <x:f>IF(B672="","",'Calibrare_Linii'!V14)</x:f>
      </x:c>
      <x:c r="AJ672" s="2" t="str">
        <x:f>IF(B672="","",IF(AND('Calibrare_Linii'!T14="VALIDATED",AND('Calibrare_Linii'!H14=C672,ISNUMBER('Calibrare_Linii'!J14),'Calibrare_Linii'!J14&lt;='Input_Meci'!G53)),"DEFENSIVE VALIDATED",IF(AND('Calibrare_Linii'!S14="VALIDATED",AND('Calibrare_Linii'!H14=C672,ISNUMBER('Calibrare_Linii'!J14),'Calibrare_Linii'!J14&lt;='Input_Meci'!G53)),"TAIL VALIDATED","OOS PENDING")))</x:f>
      </x:c>
      <x:c r="AK672" s="2" t="n">
        <x:f>IF(J672&lt;&gt;"PASS",0,'Motor_Meciuri'!BR53)</x:f>
        <x:v>0</x:v>
      </x:c>
      <x:c r="AL672" s="2" t="n">
        <x:f>IF(J672&lt;&gt;"PASS",0,'Motor_Meciuri'!BS53)</x:f>
        <x:v>0</x:v>
      </x:c>
      <x:c r="AM672" s="2" t="n">
        <x:f>IF(J672&lt;&gt;"PASS",0,'Motor_Meciuri'!BT53)</x:f>
        <x:v>0</x:v>
      </x:c>
      <x:c r="AN672" s="2" t="str">
        <x:f>IF(M672="","",MAX(0,'Motor_Meciuri'!BF53-IF(L672&gt;'Config_v6'!$B$12,'Config_v6'!$B$37,IF(L672&gt;'Config_v6'!$B$11,'Config_v6'!$B$36,0))))</x:f>
      </x:c>
    </x:row>
    <x:row r="673" ht="21" customHeight="1">
      <x:c r="A673" s="2" t="n">
        <x:v>48</x:v>
      </x:c>
      <x:c r="B673" s="2" t="str">
        <x:f>IF('Motor_Meciuri'!A53="","",'Motor_Meciuri'!A53)</x:f>
      </x:c>
      <x:c r="C673" s="2" t="str">
        <x:f>IF(B673="","",'Motor_Meciuri'!B53)</x:f>
      </x:c>
      <x:c r="D673" s="2" t="str">
        <x:f>IF(B673="","",'Motor_Meciuri'!D53)</x:f>
      </x:c>
      <x:c r="E673" s="2" t="str">
        <x:f>IF(B673="","",'Motor_Meciuri'!E53)</x:f>
      </x:c>
      <x:c r="F673" s="2" t="str">
        <x:v>U13,5</x:v>
      </x:c>
      <x:c r="G673" s="2" t="str">
        <x:v>UNDER</x:v>
      </x:c>
      <x:c r="H673" s="2" t="n">
        <x:v>13</x:v>
      </x:c>
      <x:c r="I673" s="2" t="str">
        <x:f>IF(B673="","",'Motor_Meciuri'!H53)</x:f>
      </x:c>
      <x:c r="J673" s="2" t="str">
        <x:f>IF(B673="","",'Motor_Meciuri'!I53)</x:f>
      </x:c>
      <x:c r="K673" s="11" t="str">
        <x:f>IF(J673&lt;&gt;"PASS","",'Motor_Meciuri'!BD53)</x:f>
      </x:c>
      <x:c r="L673" s="11" t="str">
        <x:f>IF(J673&lt;&gt;"PASS","",'Motor_Meciuri'!AU53)</x:f>
      </x:c>
      <x:c r="M673" s="10" t="str">
        <x:f>IF(NOT(AND(J673="PASS",'Calibrare_Linii'!U15="VALID")),"",'Distributie'!AK53)</x:f>
      </x:c>
      <x:c r="N673" s="10" t="str">
        <x:f>IF(M673="","",MAX(0.01,MIN(0.99,0.5+(M673-0.5)*'Motor_Meciuri'!BG53*'Calibrare_Linii'!D15)))</x:f>
      </x:c>
      <x:c r="O673" s="10" t="str">
        <x:f>IF(M673="","",1-M673)</x:f>
      </x:c>
      <x:c r="P673" s="10" t="str">
        <x:f>IF(OR(NOT(AND(J673="PASS",'Calibrare_Linii'!U15="VALID")),AK673=0),""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*('Istoric_Nativ'!$Q$6:$Q$405&gt;H673))/AK673)</x:f>
      </x:c>
      <x:c r="Q673" s="10" t="str">
        <x:f>IF(OR(NOT(AND(J673="PASS",'Calibrare_Linii'!U15="VALID")),AL673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M53)+((('Istoric_Nativ'!$E$6:$E$405='Input_Meci'!E53)+('Istoric_Nativ'!$F$6:$F$405='Input_Meci'!E53))&gt;0)*('Istoric_Nativ'!$D$6:$D$405&gt;='Motor_Meciuri'!BN53))&gt;0)*('Istoric_Nativ'!$Q$6:$Q$405&gt;H673))/AL673)</x:f>
      </x:c>
      <x:c r="R673" s="10" t="str">
        <x:f>IF(OR(NOT(AND(J673="PASS",'Calibrare_Linii'!U15="VALID")),AM673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O53)+((('Istoric_Nativ'!$E$6:$E$405='Input_Meci'!E53)+('Istoric_Nativ'!$F$6:$F$405='Input_Meci'!E53))&gt;0)*('Istoric_Nativ'!$D$6:$D$405&gt;='Motor_Meciuri'!BP53))&gt;0)*('Istoric_Nativ'!$Q$6:$Q$405&gt;H673))/AM673)</x:f>
      </x:c>
      <x:c r="S673" s="10" t="str">
        <x:f>IF(M673="","",MAX(O673,P673,Q673,R673))</x:f>
      </x:c>
      <x:c r="T673" s="11" t="str">
        <x:f>IF(M673="","",MIN(100,S673*100*'Config_v6'!$B$44+MIN(100,L673/'Config_v6'!$B$13*100)*'Config_v6'!$B$45+(100-'Motor_Meciuri'!BF53)*'Config_v6'!$B$46+'Motor_Meciuri'!BH53*100*'Config_v6'!$B$47))</x:f>
      </x:c>
      <x:c r="U673" s="2" t="str">
        <x:f>IF(T673="","",IF(T673&lt;=20,1,IF(T673&lt;=40,2,IF(T673&lt;=60,3,IF(T673&lt;=80,4,5)))))</x:f>
      </x:c>
      <x:c r="V673" s="2" t="str">
        <x:f>IF(M673="","",MAX(0,'Motor_Meciuri'!BF53-IF(W673="OOS PENDING",'Config_v6'!$B$35,0)-IF(L673&gt;'Config_v6'!$B$12,'Config_v6'!$B$37,IF(L673&gt;'Config_v6'!$B$11,'Config_v6'!$B$36,0))))</x:f>
      </x:c>
      <x:c r="W673" s="2" t="str">
        <x:f>IF(B673="","",IF(I673&lt;&gt;"READY","NOT RELEASED",IF(NOT(AND(J673="PASS",'Calibrare_Linii'!U15="VALID")),"INVALID",IF(NOT(AND('Calibrare_Linii'!S15="VALIDATED",AND('Calibrare_Linii'!H15=C673,ISNUMBER('Calibrare_Linii'!J15),'Calibrare_Linii'!J15&lt;='Input_Meci'!G53))),"OOS PENDING",IF(S673&lt;='Calibrare_Linii'!E15,"PASS",IF(S673&lt;='Calibrare_Linii'!F15,"PENALTY","WATCH"))))))</x:f>
      </x:c>
      <x:c r="X673" s="2" t="str">
        <x:f>IF(M673="","",IF(AND(AND(J673="PASS",'Calibrare_Linii'!U15="VALID"),'Motor_Meciuri'!K53=12,'Motor_Meciuri'!L53=12,'Motor_Meciuri'!M53="NO",'Motor_Meciuri'!BL53='Motor_Meciuri'!C53,AB673&gt;='Config_v6'!$B$50,AN673&gt;='Config_v6'!$B$51,T673&lt;='Config_v6'!$B$52,L673&lt;='Config_v6'!$B$53,ISNUMBER('Calibrare_Linii'!E15),S673&lt;='Calibrare_Linii'!E15,SUM(AK673:AM673)&gt;0),"CANDIDATE","NO"))</x:f>
      </x:c>
      <x:c r="Y673" s="2" t="str">
        <x:f>IF(B673="","",IF(I673&lt;&gt;"READY","NOT RELEASED",IF(AND(X673="CANDIDATE",V673&gt;='Config_v6'!$B$51,W673="PASS",'Calibrare_Linii'!T15="VALIDATED",AND('Calibrare_Linii'!H15=C673,ISNUMBER('Calibrare_Linii'!J15),'Calibrare_Linii'!J15&lt;='Input_Meci'!G53)),"PASS",IF(X673="CANDIDATE","OOS PENDING","FAIL"))))</x:f>
      </x:c>
      <x:c r="Z673" s="2" t="str">
        <x:f>IF(B673="","",IF(I673&lt;&gt;"READY","",IF(OR(NOT(AND(J673="PASS",'Calibrare_Linii'!U15="VALID")),L673&gt;'Config_v6'!$B$13,W673="WATCH"),5,IF(Y673="PASS",1,MIN(5,MAX('Config_v6'!$B$42,U673)+IF(W673="PENALTY",1,0))))))</x:f>
      </x:c>
      <x:c r="AA673" s="2" t="str">
        <x:f>IF(B673="","",IF(I673&lt;&gt;"READY","NOT RELEASED",IF(Z673=5,"NO BET",IF(OR(AB673&lt;'Config_v6'!$B$16,V673&lt;'Config_v6'!$B$18),"WATCH",IF(Z673=1,"DEFENSIV",IF(Z673=2,"PRUDENT",IF(Z673=3,"MODERAT","RIDICAT")))))))</x:f>
      </x:c>
      <x:c r="AB673" s="10" t="str">
        <x:f>IF(N673="","",MIN(N673,1-S673))</x:f>
      </x:c>
      <x:c r="AC673" s="2" t="str">
        <x:f>IF(AD673&lt;&gt;1,"",COUNTIFS($Z$664:$Z$677,"&lt;"&amp;Z673,$AD$664:$AD$677,1)+COUNTIFS($Z$664:$Z$677,Z673,$AB$664:$AB$677,"&gt;"&amp;AB673,$AD$664:$AD$677,1)+COUNTIFS($Z$664:$Z$677,Z673,$AB$664:$AB$677,AB673,$V$664:$V$677,"&gt;"&amp;V673,$AD$664:$AD$677,1)+COUNTIFS($Z$664:Z673,Z673,$AB$664:AB673,AB673,$V$664:V673,V673,$AD$664:AD673,1))</x:f>
      </x:c>
      <x:c r="AD673" s="2" t="n">
        <x:f>IF(OR(AA673="DEFENSIV",AA673="PRUDENT",AA673="MODERAT",AA673="RIDICAT"),1,0)</x:f>
        <x:v>0</x:v>
      </x:c>
      <x:c r="AE673" s="2" t="str">
        <x:f>IF(AD673&lt;&gt;1,"NO",IF(W673="PASS","YES",IF(W673="OOS PENDING","CONDITIONAL","NO")))</x:f>
        <x:v>NO</x:v>
      </x:c>
      <x:c r="AF673" s="2" t="n">
        <x:f>IF(AND(AD673=1,AC673=1,E673="LIVE"),1,0)</x:f>
        <x:v>0</x:v>
      </x:c>
      <x:c r="AG673" s="2" t="str">
        <x:f>IF(AF673&lt;&gt;1,"",'Dashboard'!P73)</x:f>
      </x:c>
      <x:c r="AH673" s="2" t="str">
        <x:f>IF(B673="","",IF(J673&lt;&gt;"PASS",'Motor_Meciuri'!J53,IF('Calibrare_Linii'!U15&lt;&gt;"VALID","Parametri linie invalizi",IF(L673&gt;'Config_v6'!$B$13,"Dispersie peste limita",IF(W673="WATCH","Failure peste limita",IF(AB673&lt;'Config_v6'!$B$16,"P finala sub prag",IF(V673&lt;'Config_v6'!$B$18,"Confidence sub prag",IF(E673="REPLAY","Exemplu retrospectiv; exclus din Top LIVE",IF(Y673="PASS","DEFENSIV validat",IF(W673="OOS PENDING","Eligibil; calibrare linie in monitorizare","Eligibil"))))))))))</x:f>
      </x:c>
      <x:c r="AI673" s="2" t="str">
        <x:f>IF(B673="","",'Calibrare_Linii'!V15)</x:f>
      </x:c>
      <x:c r="AJ673" s="2" t="str">
        <x:f>IF(B673="","",IF(AND('Calibrare_Linii'!T15="VALIDATED",AND('Calibrare_Linii'!H15=C673,ISNUMBER('Calibrare_Linii'!J15),'Calibrare_Linii'!J15&lt;='Input_Meci'!G53)),"DEFENSIVE VALIDATED",IF(AND('Calibrare_Linii'!S15="VALIDATED",AND('Calibrare_Linii'!H15=C673,ISNUMBER('Calibrare_Linii'!J15),'Calibrare_Linii'!J15&lt;='Input_Meci'!G53)),"TAIL VALIDATED","OOS PENDING")))</x:f>
      </x:c>
      <x:c r="AK673" s="2" t="n">
        <x:f>IF(J673&lt;&gt;"PASS",0,'Motor_Meciuri'!BR53)</x:f>
        <x:v>0</x:v>
      </x:c>
      <x:c r="AL673" s="2" t="n">
        <x:f>IF(J673&lt;&gt;"PASS",0,'Motor_Meciuri'!BS53)</x:f>
        <x:v>0</x:v>
      </x:c>
      <x:c r="AM673" s="2" t="n">
        <x:f>IF(J673&lt;&gt;"PASS",0,'Motor_Meciuri'!BT53)</x:f>
        <x:v>0</x:v>
      </x:c>
      <x:c r="AN673" s="2" t="str">
        <x:f>IF(M673="","",MAX(0,'Motor_Meciuri'!BF53-IF(L673&gt;'Config_v6'!$B$12,'Config_v6'!$B$37,IF(L673&gt;'Config_v6'!$B$11,'Config_v6'!$B$36,0))))</x:f>
      </x:c>
    </x:row>
    <x:row r="674" ht="21" customHeight="1">
      <x:c r="A674" s="2" t="n">
        <x:v>48</x:v>
      </x:c>
      <x:c r="B674" s="2" t="str">
        <x:f>IF('Motor_Meciuri'!A53="","",'Motor_Meciuri'!A53)</x:f>
      </x:c>
      <x:c r="C674" s="2" t="str">
        <x:f>IF(B674="","",'Motor_Meciuri'!B53)</x:f>
      </x:c>
      <x:c r="D674" s="2" t="str">
        <x:f>IF(B674="","",'Motor_Meciuri'!D53)</x:f>
      </x:c>
      <x:c r="E674" s="2" t="str">
        <x:f>IF(B674="","",'Motor_Meciuri'!E53)</x:f>
      </x:c>
      <x:c r="F674" s="2" t="str">
        <x:v>U14,5</x:v>
      </x:c>
      <x:c r="G674" s="2" t="str">
        <x:v>UNDER</x:v>
      </x:c>
      <x:c r="H674" s="2" t="n">
        <x:v>14</x:v>
      </x:c>
      <x:c r="I674" s="2" t="str">
        <x:f>IF(B674="","",'Motor_Meciuri'!H53)</x:f>
      </x:c>
      <x:c r="J674" s="2" t="str">
        <x:f>IF(B674="","",'Motor_Meciuri'!I53)</x:f>
      </x:c>
      <x:c r="K674" s="11" t="str">
        <x:f>IF(J674&lt;&gt;"PASS","",'Motor_Meciuri'!BD53)</x:f>
      </x:c>
      <x:c r="L674" s="11" t="str">
        <x:f>IF(J674&lt;&gt;"PASS","",'Motor_Meciuri'!AU53)</x:f>
      </x:c>
      <x:c r="M674" s="10" t="str">
        <x:f>IF(NOT(AND(J674="PASS",'Calibrare_Linii'!U16="VALID")),"",'Distributie'!AL53)</x:f>
      </x:c>
      <x:c r="N674" s="10" t="str">
        <x:f>IF(M674="","",MAX(0.01,MIN(0.99,0.5+(M674-0.5)*'Motor_Meciuri'!BG53*'Calibrare_Linii'!D16)))</x:f>
      </x:c>
      <x:c r="O674" s="10" t="str">
        <x:f>IF(M674="","",1-M674)</x:f>
      </x:c>
      <x:c r="P674" s="10" t="str">
        <x:f>IF(OR(NOT(AND(J674="PASS",'Calibrare_Linii'!U16="VALID")),AK674=0),""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*('Istoric_Nativ'!$Q$6:$Q$405&gt;H674))/AK674)</x:f>
      </x:c>
      <x:c r="Q674" s="10" t="str">
        <x:f>IF(OR(NOT(AND(J674="PASS",'Calibrare_Linii'!U16="VALID")),AL674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M53)+((('Istoric_Nativ'!$E$6:$E$405='Input_Meci'!E53)+('Istoric_Nativ'!$F$6:$F$405='Input_Meci'!E53))&gt;0)*('Istoric_Nativ'!$D$6:$D$405&gt;='Motor_Meciuri'!BN53))&gt;0)*('Istoric_Nativ'!$Q$6:$Q$405&gt;H674))/AL674)</x:f>
      </x:c>
      <x:c r="R674" s="10" t="str">
        <x:f>IF(OR(NOT(AND(J674="PASS",'Calibrare_Linii'!U16="VALID")),AM674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O53)+((('Istoric_Nativ'!$E$6:$E$405='Input_Meci'!E53)+('Istoric_Nativ'!$F$6:$F$405='Input_Meci'!E53))&gt;0)*('Istoric_Nativ'!$D$6:$D$405&gt;='Motor_Meciuri'!BP53))&gt;0)*('Istoric_Nativ'!$Q$6:$Q$405&gt;H674))/AM674)</x:f>
      </x:c>
      <x:c r="S674" s="10" t="str">
        <x:f>IF(M674="","",MAX(O674,P674,Q674,R674))</x:f>
      </x:c>
      <x:c r="T674" s="11" t="str">
        <x:f>IF(M674="","",MIN(100,S674*100*'Config_v6'!$B$44+MIN(100,L674/'Config_v6'!$B$13*100)*'Config_v6'!$B$45+(100-'Motor_Meciuri'!BF53)*'Config_v6'!$B$46+'Motor_Meciuri'!BH53*100*'Config_v6'!$B$47))</x:f>
      </x:c>
      <x:c r="U674" s="2" t="str">
        <x:f>IF(T674="","",IF(T674&lt;=20,1,IF(T674&lt;=40,2,IF(T674&lt;=60,3,IF(T674&lt;=80,4,5)))))</x:f>
      </x:c>
      <x:c r="V674" s="2" t="str">
        <x:f>IF(M674="","",MAX(0,'Motor_Meciuri'!BF53-IF(W674="OOS PENDING",'Config_v6'!$B$35,0)-IF(L674&gt;'Config_v6'!$B$12,'Config_v6'!$B$37,IF(L674&gt;'Config_v6'!$B$11,'Config_v6'!$B$36,0))))</x:f>
      </x:c>
      <x:c r="W674" s="2" t="str">
        <x:f>IF(B674="","",IF(I674&lt;&gt;"READY","NOT RELEASED",IF(NOT(AND(J674="PASS",'Calibrare_Linii'!U16="VALID")),"INVALID",IF(NOT(AND('Calibrare_Linii'!S16="VALIDATED",AND('Calibrare_Linii'!H16=C674,ISNUMBER('Calibrare_Linii'!J16),'Calibrare_Linii'!J16&lt;='Input_Meci'!G53))),"OOS PENDING",IF(S674&lt;='Calibrare_Linii'!E16,"PASS",IF(S674&lt;='Calibrare_Linii'!F16,"PENALTY","WATCH"))))))</x:f>
      </x:c>
      <x:c r="X674" s="2" t="str">
        <x:f>IF(M674="","",IF(AND(AND(J674="PASS",'Calibrare_Linii'!U16="VALID"),'Motor_Meciuri'!K53=12,'Motor_Meciuri'!L53=12,'Motor_Meciuri'!M53="NO",'Motor_Meciuri'!BL53='Motor_Meciuri'!C53,AB674&gt;='Config_v6'!$B$50,AN674&gt;='Config_v6'!$B$51,T674&lt;='Config_v6'!$B$52,L674&lt;='Config_v6'!$B$53,ISNUMBER('Calibrare_Linii'!E16),S674&lt;='Calibrare_Linii'!E16,SUM(AK674:AM674)&gt;0),"CANDIDATE","NO"))</x:f>
      </x:c>
      <x:c r="Y674" s="2" t="str">
        <x:f>IF(B674="","",IF(I674&lt;&gt;"READY","NOT RELEASED",IF(AND(X674="CANDIDATE",V674&gt;='Config_v6'!$B$51,W674="PASS",'Calibrare_Linii'!T16="VALIDATED",AND('Calibrare_Linii'!H16=C674,ISNUMBER('Calibrare_Linii'!J16),'Calibrare_Linii'!J16&lt;='Input_Meci'!G53)),"PASS",IF(X674="CANDIDATE","OOS PENDING","FAIL"))))</x:f>
      </x:c>
      <x:c r="Z674" s="2" t="str">
        <x:f>IF(B674="","",IF(I674&lt;&gt;"READY","",IF(OR(NOT(AND(J674="PASS",'Calibrare_Linii'!U16="VALID")),L674&gt;'Config_v6'!$B$13,W674="WATCH"),5,IF(Y674="PASS",1,MIN(5,MAX('Config_v6'!$B$42,U674)+IF(W674="PENALTY",1,0))))))</x:f>
      </x:c>
      <x:c r="AA674" s="2" t="str">
        <x:f>IF(B674="","",IF(I674&lt;&gt;"READY","NOT RELEASED",IF(Z674=5,"NO BET",IF(OR(AB674&lt;'Config_v6'!$B$16,V674&lt;'Config_v6'!$B$18),"WATCH",IF(Z674=1,"DEFENSIV",IF(Z674=2,"PRUDENT",IF(Z674=3,"MODERAT","RIDICAT")))))))</x:f>
      </x:c>
      <x:c r="AB674" s="10" t="str">
        <x:f>IF(N674="","",MIN(N674,1-S674))</x:f>
      </x:c>
      <x:c r="AC674" s="2" t="str">
        <x:f>IF(AD674&lt;&gt;1,"",COUNTIFS($Z$664:$Z$677,"&lt;"&amp;Z674,$AD$664:$AD$677,1)+COUNTIFS($Z$664:$Z$677,Z674,$AB$664:$AB$677,"&gt;"&amp;AB674,$AD$664:$AD$677,1)+COUNTIFS($Z$664:$Z$677,Z674,$AB$664:$AB$677,AB674,$V$664:$V$677,"&gt;"&amp;V674,$AD$664:$AD$677,1)+COUNTIFS($Z$664:Z674,Z674,$AB$664:AB674,AB674,$V$664:V674,V674,$AD$664:AD674,1))</x:f>
      </x:c>
      <x:c r="AD674" s="2" t="n">
        <x:f>IF(OR(AA674="DEFENSIV",AA674="PRUDENT",AA674="MODERAT",AA674="RIDICAT"),1,0)</x:f>
        <x:v>0</x:v>
      </x:c>
      <x:c r="AE674" s="2" t="str">
        <x:f>IF(AD674&lt;&gt;1,"NO",IF(W674="PASS","YES",IF(W674="OOS PENDING","CONDITIONAL","NO")))</x:f>
        <x:v>NO</x:v>
      </x:c>
      <x:c r="AF674" s="2" t="n">
        <x:f>IF(AND(AD674=1,AC674=1,E674="LIVE"),1,0)</x:f>
        <x:v>0</x:v>
      </x:c>
      <x:c r="AG674" s="2" t="str">
        <x:f>IF(AF674&lt;&gt;1,"",'Dashboard'!P73)</x:f>
      </x:c>
      <x:c r="AH674" s="2" t="str">
        <x:f>IF(B674="","",IF(J674&lt;&gt;"PASS",'Motor_Meciuri'!J53,IF('Calibrare_Linii'!U16&lt;&gt;"VALID","Parametri linie invalizi",IF(L674&gt;'Config_v6'!$B$13,"Dispersie peste limita",IF(W674="WATCH","Failure peste limita",IF(AB674&lt;'Config_v6'!$B$16,"P finala sub prag",IF(V674&lt;'Config_v6'!$B$18,"Confidence sub prag",IF(E674="REPLAY","Exemplu retrospectiv; exclus din Top LIVE",IF(Y674="PASS","DEFENSIV validat",IF(W674="OOS PENDING","Eligibil; calibrare linie in monitorizare","Eligibil"))))))))))</x:f>
      </x:c>
      <x:c r="AI674" s="2" t="str">
        <x:f>IF(B674="","",'Calibrare_Linii'!V16)</x:f>
      </x:c>
      <x:c r="AJ674" s="2" t="str">
        <x:f>IF(B674="","",IF(AND('Calibrare_Linii'!T16="VALIDATED",AND('Calibrare_Linii'!H16=C674,ISNUMBER('Calibrare_Linii'!J16),'Calibrare_Linii'!J16&lt;='Input_Meci'!G53)),"DEFENSIVE VALIDATED",IF(AND('Calibrare_Linii'!S16="VALIDATED",AND('Calibrare_Linii'!H16=C674,ISNUMBER('Calibrare_Linii'!J16),'Calibrare_Linii'!J16&lt;='Input_Meci'!G53)),"TAIL VALIDATED","OOS PENDING")))</x:f>
      </x:c>
      <x:c r="AK674" s="2" t="n">
        <x:f>IF(J674&lt;&gt;"PASS",0,'Motor_Meciuri'!BR53)</x:f>
        <x:v>0</x:v>
      </x:c>
      <x:c r="AL674" s="2" t="n">
        <x:f>IF(J674&lt;&gt;"PASS",0,'Motor_Meciuri'!BS53)</x:f>
        <x:v>0</x:v>
      </x:c>
      <x:c r="AM674" s="2" t="n">
        <x:f>IF(J674&lt;&gt;"PASS",0,'Motor_Meciuri'!BT53)</x:f>
        <x:v>0</x:v>
      </x:c>
      <x:c r="AN674" s="2" t="str">
        <x:f>IF(M674="","",MAX(0,'Motor_Meciuri'!BF53-IF(L674&gt;'Config_v6'!$B$12,'Config_v6'!$B$37,IF(L674&gt;'Config_v6'!$B$11,'Config_v6'!$B$36,0))))</x:f>
      </x:c>
    </x:row>
    <x:row r="675" ht="21" customHeight="1">
      <x:c r="A675" s="2" t="n">
        <x:v>48</x:v>
      </x:c>
      <x:c r="B675" s="2" t="str">
        <x:f>IF('Motor_Meciuri'!A53="","",'Motor_Meciuri'!A53)</x:f>
      </x:c>
      <x:c r="C675" s="2" t="str">
        <x:f>IF(B675="","",'Motor_Meciuri'!B53)</x:f>
      </x:c>
      <x:c r="D675" s="2" t="str">
        <x:f>IF(B675="","",'Motor_Meciuri'!D53)</x:f>
      </x:c>
      <x:c r="E675" s="2" t="str">
        <x:f>IF(B675="","",'Motor_Meciuri'!E53)</x:f>
      </x:c>
      <x:c r="F675" s="2" t="str">
        <x:v>U15,5</x:v>
      </x:c>
      <x:c r="G675" s="2" t="str">
        <x:v>UNDER</x:v>
      </x:c>
      <x:c r="H675" s="2" t="n">
        <x:v>15</x:v>
      </x:c>
      <x:c r="I675" s="2" t="str">
        <x:f>IF(B675="","",'Motor_Meciuri'!H53)</x:f>
      </x:c>
      <x:c r="J675" s="2" t="str">
        <x:f>IF(B675="","",'Motor_Meciuri'!I53)</x:f>
      </x:c>
      <x:c r="K675" s="11" t="str">
        <x:f>IF(J675&lt;&gt;"PASS","",'Motor_Meciuri'!BD53)</x:f>
      </x:c>
      <x:c r="L675" s="11" t="str">
        <x:f>IF(J675&lt;&gt;"PASS","",'Motor_Meciuri'!AU53)</x:f>
      </x:c>
      <x:c r="M675" s="10" t="str">
        <x:f>IF(NOT(AND(J675="PASS",'Calibrare_Linii'!U17="VALID")),"",'Distributie'!AM53)</x:f>
      </x:c>
      <x:c r="N675" s="10" t="str">
        <x:f>IF(M675="","",MAX(0.01,MIN(0.99,0.5+(M675-0.5)*'Motor_Meciuri'!BG53*'Calibrare_Linii'!D17)))</x:f>
      </x:c>
      <x:c r="O675" s="10" t="str">
        <x:f>IF(M675="","",1-M675)</x:f>
      </x:c>
      <x:c r="P675" s="10" t="str">
        <x:f>IF(OR(NOT(AND(J675="PASS",'Calibrare_Linii'!U17="VALID")),AK675=0),""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*('Istoric_Nativ'!$Q$6:$Q$405&gt;H675))/AK675)</x:f>
      </x:c>
      <x:c r="Q675" s="10" t="str">
        <x:f>IF(OR(NOT(AND(J675="PASS",'Calibrare_Linii'!U17="VALID")),AL675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M53)+((('Istoric_Nativ'!$E$6:$E$405='Input_Meci'!E53)+('Istoric_Nativ'!$F$6:$F$405='Input_Meci'!E53))&gt;0)*('Istoric_Nativ'!$D$6:$D$405&gt;='Motor_Meciuri'!BN53))&gt;0)*('Istoric_Nativ'!$Q$6:$Q$405&gt;H675))/AL675)</x:f>
      </x:c>
      <x:c r="R675" s="10" t="str">
        <x:f>IF(OR(NOT(AND(J675="PASS",'Calibrare_Linii'!U17="VALID")),AM675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O53)+((('Istoric_Nativ'!$E$6:$E$405='Input_Meci'!E53)+('Istoric_Nativ'!$F$6:$F$405='Input_Meci'!E53))&gt;0)*('Istoric_Nativ'!$D$6:$D$405&gt;='Motor_Meciuri'!BP53))&gt;0)*('Istoric_Nativ'!$Q$6:$Q$405&gt;H675))/AM675)</x:f>
      </x:c>
      <x:c r="S675" s="10" t="str">
        <x:f>IF(M675="","",MAX(O675,P675,Q675,R675))</x:f>
      </x:c>
      <x:c r="T675" s="11" t="str">
        <x:f>IF(M675="","",MIN(100,S675*100*'Config_v6'!$B$44+MIN(100,L675/'Config_v6'!$B$13*100)*'Config_v6'!$B$45+(100-'Motor_Meciuri'!BF53)*'Config_v6'!$B$46+'Motor_Meciuri'!BH53*100*'Config_v6'!$B$47))</x:f>
      </x:c>
      <x:c r="U675" s="2" t="str">
        <x:f>IF(T675="","",IF(T675&lt;=20,1,IF(T675&lt;=40,2,IF(T675&lt;=60,3,IF(T675&lt;=80,4,5)))))</x:f>
      </x:c>
      <x:c r="V675" s="2" t="str">
        <x:f>IF(M675="","",MAX(0,'Motor_Meciuri'!BF53-IF(W675="OOS PENDING",'Config_v6'!$B$35,0)-IF(L675&gt;'Config_v6'!$B$12,'Config_v6'!$B$37,IF(L675&gt;'Config_v6'!$B$11,'Config_v6'!$B$36,0))))</x:f>
      </x:c>
      <x:c r="W675" s="2" t="str">
        <x:f>IF(B675="","",IF(I675&lt;&gt;"READY","NOT RELEASED",IF(NOT(AND(J675="PASS",'Calibrare_Linii'!U17="VALID")),"INVALID",IF(NOT(AND('Calibrare_Linii'!S17="VALIDATED",AND('Calibrare_Linii'!H17=C675,ISNUMBER('Calibrare_Linii'!J17),'Calibrare_Linii'!J17&lt;='Input_Meci'!G53))),"OOS PENDING",IF(S675&lt;='Calibrare_Linii'!E17,"PASS",IF(S675&lt;='Calibrare_Linii'!F17,"PENALTY","WATCH"))))))</x:f>
      </x:c>
      <x:c r="X675" s="2" t="str">
        <x:f>IF(M675="","",IF(AND(AND(J675="PASS",'Calibrare_Linii'!U17="VALID"),'Motor_Meciuri'!K53=12,'Motor_Meciuri'!L53=12,'Motor_Meciuri'!M53="NO",'Motor_Meciuri'!BL53='Motor_Meciuri'!C53,AB675&gt;='Config_v6'!$B$50,AN675&gt;='Config_v6'!$B$51,T675&lt;='Config_v6'!$B$52,L675&lt;='Config_v6'!$B$53,ISNUMBER('Calibrare_Linii'!E17),S675&lt;='Calibrare_Linii'!E17,SUM(AK675:AM675)&gt;0),"CANDIDATE","NO"))</x:f>
      </x:c>
      <x:c r="Y675" s="2" t="str">
        <x:f>IF(B675="","",IF(I675&lt;&gt;"READY","NOT RELEASED",IF(AND(X675="CANDIDATE",V675&gt;='Config_v6'!$B$51,W675="PASS",'Calibrare_Linii'!T17="VALIDATED",AND('Calibrare_Linii'!H17=C675,ISNUMBER('Calibrare_Linii'!J17),'Calibrare_Linii'!J17&lt;='Input_Meci'!G53)),"PASS",IF(X675="CANDIDATE","OOS PENDING","FAIL"))))</x:f>
      </x:c>
      <x:c r="Z675" s="2" t="str">
        <x:f>IF(B675="","",IF(I675&lt;&gt;"READY","",IF(OR(NOT(AND(J675="PASS",'Calibrare_Linii'!U17="VALID")),L675&gt;'Config_v6'!$B$13,W675="WATCH"),5,IF(Y675="PASS",1,MIN(5,MAX('Config_v6'!$B$42,U675)+IF(W675="PENALTY",1,0))))))</x:f>
      </x:c>
      <x:c r="AA675" s="2" t="str">
        <x:f>IF(B675="","",IF(I675&lt;&gt;"READY","NOT RELEASED",IF(Z675=5,"NO BET",IF(OR(AB675&lt;'Config_v6'!$B$16,V675&lt;'Config_v6'!$B$18),"WATCH",IF(Z675=1,"DEFENSIV",IF(Z675=2,"PRUDENT",IF(Z675=3,"MODERAT","RIDICAT")))))))</x:f>
      </x:c>
      <x:c r="AB675" s="10" t="str">
        <x:f>IF(N675="","",MIN(N675,1-S675))</x:f>
      </x:c>
      <x:c r="AC675" s="2" t="str">
        <x:f>IF(AD675&lt;&gt;1,"",COUNTIFS($Z$664:$Z$677,"&lt;"&amp;Z675,$AD$664:$AD$677,1)+COUNTIFS($Z$664:$Z$677,Z675,$AB$664:$AB$677,"&gt;"&amp;AB675,$AD$664:$AD$677,1)+COUNTIFS($Z$664:$Z$677,Z675,$AB$664:$AB$677,AB675,$V$664:$V$677,"&gt;"&amp;V675,$AD$664:$AD$677,1)+COUNTIFS($Z$664:Z675,Z675,$AB$664:AB675,AB675,$V$664:V675,V675,$AD$664:AD675,1))</x:f>
      </x:c>
      <x:c r="AD675" s="2" t="n">
        <x:f>IF(OR(AA675="DEFENSIV",AA675="PRUDENT",AA675="MODERAT",AA675="RIDICAT"),1,0)</x:f>
        <x:v>0</x:v>
      </x:c>
      <x:c r="AE675" s="2" t="str">
        <x:f>IF(AD675&lt;&gt;1,"NO",IF(W675="PASS","YES",IF(W675="OOS PENDING","CONDITIONAL","NO")))</x:f>
        <x:v>NO</x:v>
      </x:c>
      <x:c r="AF675" s="2" t="n">
        <x:f>IF(AND(AD675=1,AC675=1,E675="LIVE"),1,0)</x:f>
        <x:v>0</x:v>
      </x:c>
      <x:c r="AG675" s="2" t="str">
        <x:f>IF(AF675&lt;&gt;1,"",'Dashboard'!P73)</x:f>
      </x:c>
      <x:c r="AH675" s="2" t="str">
        <x:f>IF(B675="","",IF(J675&lt;&gt;"PASS",'Motor_Meciuri'!J53,IF('Calibrare_Linii'!U17&lt;&gt;"VALID","Parametri linie invalizi",IF(L675&gt;'Config_v6'!$B$13,"Dispersie peste limita",IF(W675="WATCH","Failure peste limita",IF(AB675&lt;'Config_v6'!$B$16,"P finala sub prag",IF(V675&lt;'Config_v6'!$B$18,"Confidence sub prag",IF(E675="REPLAY","Exemplu retrospectiv; exclus din Top LIVE",IF(Y675="PASS","DEFENSIV validat",IF(W675="OOS PENDING","Eligibil; calibrare linie in monitorizare","Eligibil"))))))))))</x:f>
      </x:c>
      <x:c r="AI675" s="2" t="str">
        <x:f>IF(B675="","",'Calibrare_Linii'!V17)</x:f>
      </x:c>
      <x:c r="AJ675" s="2" t="str">
        <x:f>IF(B675="","",IF(AND('Calibrare_Linii'!T17="VALIDATED",AND('Calibrare_Linii'!H17=C675,ISNUMBER('Calibrare_Linii'!J17),'Calibrare_Linii'!J17&lt;='Input_Meci'!G53)),"DEFENSIVE VALIDATED",IF(AND('Calibrare_Linii'!S17="VALIDATED",AND('Calibrare_Linii'!H17=C675,ISNUMBER('Calibrare_Linii'!J17),'Calibrare_Linii'!J17&lt;='Input_Meci'!G53)),"TAIL VALIDATED","OOS PENDING")))</x:f>
      </x:c>
      <x:c r="AK675" s="2" t="n">
        <x:f>IF(J675&lt;&gt;"PASS",0,'Motor_Meciuri'!BR53)</x:f>
        <x:v>0</x:v>
      </x:c>
      <x:c r="AL675" s="2" t="n">
        <x:f>IF(J675&lt;&gt;"PASS",0,'Motor_Meciuri'!BS53)</x:f>
        <x:v>0</x:v>
      </x:c>
      <x:c r="AM675" s="2" t="n">
        <x:f>IF(J675&lt;&gt;"PASS",0,'Motor_Meciuri'!BT53)</x:f>
        <x:v>0</x:v>
      </x:c>
      <x:c r="AN675" s="2" t="str">
        <x:f>IF(M675="","",MAX(0,'Motor_Meciuri'!BF53-IF(L675&gt;'Config_v6'!$B$12,'Config_v6'!$B$37,IF(L675&gt;'Config_v6'!$B$11,'Config_v6'!$B$36,0))))</x:f>
      </x:c>
    </x:row>
    <x:row r="676" ht="21" customHeight="1">
      <x:c r="A676" s="2" t="n">
        <x:v>48</x:v>
      </x:c>
      <x:c r="B676" s="2" t="str">
        <x:f>IF('Motor_Meciuri'!A53="","",'Motor_Meciuri'!A53)</x:f>
      </x:c>
      <x:c r="C676" s="2" t="str">
        <x:f>IF(B676="","",'Motor_Meciuri'!B53)</x:f>
      </x:c>
      <x:c r="D676" s="2" t="str">
        <x:f>IF(B676="","",'Motor_Meciuri'!D53)</x:f>
      </x:c>
      <x:c r="E676" s="2" t="str">
        <x:f>IF(B676="","",'Motor_Meciuri'!E53)</x:f>
      </x:c>
      <x:c r="F676" s="2" t="str">
        <x:v>U16,5</x:v>
      </x:c>
      <x:c r="G676" s="2" t="str">
        <x:v>UNDER</x:v>
      </x:c>
      <x:c r="H676" s="2" t="n">
        <x:v>16</x:v>
      </x:c>
      <x:c r="I676" s="2" t="str">
        <x:f>IF(B676="","",'Motor_Meciuri'!H53)</x:f>
      </x:c>
      <x:c r="J676" s="2" t="str">
        <x:f>IF(B676="","",'Motor_Meciuri'!I53)</x:f>
      </x:c>
      <x:c r="K676" s="11" t="str">
        <x:f>IF(J676&lt;&gt;"PASS","",'Motor_Meciuri'!BD53)</x:f>
      </x:c>
      <x:c r="L676" s="11" t="str">
        <x:f>IF(J676&lt;&gt;"PASS","",'Motor_Meciuri'!AU53)</x:f>
      </x:c>
      <x:c r="M676" s="10" t="str">
        <x:f>IF(NOT(AND(J676="PASS",'Calibrare_Linii'!U18="VALID")),"",'Distributie'!AN53)</x:f>
      </x:c>
      <x:c r="N676" s="10" t="str">
        <x:f>IF(M676="","",MAX(0.01,MIN(0.99,0.5+(M676-0.5)*'Motor_Meciuri'!BG53*'Calibrare_Linii'!D18)))</x:f>
      </x:c>
      <x:c r="O676" s="10" t="str">
        <x:f>IF(M676="","",1-M676)</x:f>
      </x:c>
      <x:c r="P676" s="10" t="str">
        <x:f>IF(OR(NOT(AND(J676="PASS",'Calibrare_Linii'!U18="VALID")),AK676=0),""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*('Istoric_Nativ'!$Q$6:$Q$405&gt;H676))/AK676)</x:f>
      </x:c>
      <x:c r="Q676" s="10" t="str">
        <x:f>IF(OR(NOT(AND(J676="PASS",'Calibrare_Linii'!U18="VALID")),AL676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M53)+((('Istoric_Nativ'!$E$6:$E$405='Input_Meci'!E53)+('Istoric_Nativ'!$F$6:$F$405='Input_Meci'!E53))&gt;0)*('Istoric_Nativ'!$D$6:$D$405&gt;='Motor_Meciuri'!BN53))&gt;0)*('Istoric_Nativ'!$Q$6:$Q$405&gt;H676))/AL676)</x:f>
      </x:c>
      <x:c r="R676" s="10" t="str">
        <x:f>IF(OR(NOT(AND(J676="PASS",'Calibrare_Linii'!U18="VALID")),AM676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O53)+((('Istoric_Nativ'!$E$6:$E$405='Input_Meci'!E53)+('Istoric_Nativ'!$F$6:$F$405='Input_Meci'!E53))&gt;0)*('Istoric_Nativ'!$D$6:$D$405&gt;='Motor_Meciuri'!BP53))&gt;0)*('Istoric_Nativ'!$Q$6:$Q$405&gt;H676))/AM676)</x:f>
      </x:c>
      <x:c r="S676" s="10" t="str">
        <x:f>IF(M676="","",MAX(O676,P676,Q676,R676))</x:f>
      </x:c>
      <x:c r="T676" s="11" t="str">
        <x:f>IF(M676="","",MIN(100,S676*100*'Config_v6'!$B$44+MIN(100,L676/'Config_v6'!$B$13*100)*'Config_v6'!$B$45+(100-'Motor_Meciuri'!BF53)*'Config_v6'!$B$46+'Motor_Meciuri'!BH53*100*'Config_v6'!$B$47))</x:f>
      </x:c>
      <x:c r="U676" s="2" t="str">
        <x:f>IF(T676="","",IF(T676&lt;=20,1,IF(T676&lt;=40,2,IF(T676&lt;=60,3,IF(T676&lt;=80,4,5)))))</x:f>
      </x:c>
      <x:c r="V676" s="2" t="str">
        <x:f>IF(M676="","",MAX(0,'Motor_Meciuri'!BF53-IF(W676="OOS PENDING",'Config_v6'!$B$35,0)-IF(L676&gt;'Config_v6'!$B$12,'Config_v6'!$B$37,IF(L676&gt;'Config_v6'!$B$11,'Config_v6'!$B$36,0))))</x:f>
      </x:c>
      <x:c r="W676" s="2" t="str">
        <x:f>IF(B676="","",IF(I676&lt;&gt;"READY","NOT RELEASED",IF(NOT(AND(J676="PASS",'Calibrare_Linii'!U18="VALID")),"INVALID",IF(NOT(AND('Calibrare_Linii'!S18="VALIDATED",AND('Calibrare_Linii'!H18=C676,ISNUMBER('Calibrare_Linii'!J18),'Calibrare_Linii'!J18&lt;='Input_Meci'!G53))),"OOS PENDING",IF(S676&lt;='Calibrare_Linii'!E18,"PASS",IF(S676&lt;='Calibrare_Linii'!F18,"PENALTY","WATCH"))))))</x:f>
      </x:c>
      <x:c r="X676" s="2" t="str">
        <x:f>IF(M676="","",IF(AND(AND(J676="PASS",'Calibrare_Linii'!U18="VALID"),'Motor_Meciuri'!K53=12,'Motor_Meciuri'!L53=12,'Motor_Meciuri'!M53="NO",'Motor_Meciuri'!BL53='Motor_Meciuri'!C53,AB676&gt;='Config_v6'!$B$50,AN676&gt;='Config_v6'!$B$51,T676&lt;='Config_v6'!$B$52,L676&lt;='Config_v6'!$B$53,ISNUMBER('Calibrare_Linii'!E18),S676&lt;='Calibrare_Linii'!E18,SUM(AK676:AM676)&gt;0),"CANDIDATE","NO"))</x:f>
      </x:c>
      <x:c r="Y676" s="2" t="str">
        <x:f>IF(B676="","",IF(I676&lt;&gt;"READY","NOT RELEASED",IF(AND(X676="CANDIDATE",V676&gt;='Config_v6'!$B$51,W676="PASS",'Calibrare_Linii'!T18="VALIDATED",AND('Calibrare_Linii'!H18=C676,ISNUMBER('Calibrare_Linii'!J18),'Calibrare_Linii'!J18&lt;='Input_Meci'!G53)),"PASS",IF(X676="CANDIDATE","OOS PENDING","FAIL"))))</x:f>
      </x:c>
      <x:c r="Z676" s="2" t="str">
        <x:f>IF(B676="","",IF(I676&lt;&gt;"READY","",IF(OR(NOT(AND(J676="PASS",'Calibrare_Linii'!U18="VALID")),L676&gt;'Config_v6'!$B$13,W676="WATCH"),5,IF(Y676="PASS",1,MIN(5,MAX('Config_v6'!$B$42,U676)+IF(W676="PENALTY",1,0))))))</x:f>
      </x:c>
      <x:c r="AA676" s="2" t="str">
        <x:f>IF(B676="","",IF(I676&lt;&gt;"READY","NOT RELEASED",IF(Z676=5,"NO BET",IF(OR(AB676&lt;'Config_v6'!$B$16,V676&lt;'Config_v6'!$B$18),"WATCH",IF(Z676=1,"DEFENSIV",IF(Z676=2,"PRUDENT",IF(Z676=3,"MODERAT","RIDICAT")))))))</x:f>
      </x:c>
      <x:c r="AB676" s="10" t="str">
        <x:f>IF(N676="","",MIN(N676,1-S676))</x:f>
      </x:c>
      <x:c r="AC676" s="2" t="str">
        <x:f>IF(AD676&lt;&gt;1,"",COUNTIFS($Z$664:$Z$677,"&lt;"&amp;Z676,$AD$664:$AD$677,1)+COUNTIFS($Z$664:$Z$677,Z676,$AB$664:$AB$677,"&gt;"&amp;AB676,$AD$664:$AD$677,1)+COUNTIFS($Z$664:$Z$677,Z676,$AB$664:$AB$677,AB676,$V$664:$V$677,"&gt;"&amp;V676,$AD$664:$AD$677,1)+COUNTIFS($Z$664:Z676,Z676,$AB$664:AB676,AB676,$V$664:V676,V676,$AD$664:AD676,1))</x:f>
      </x:c>
      <x:c r="AD676" s="2" t="n">
        <x:f>IF(OR(AA676="DEFENSIV",AA676="PRUDENT",AA676="MODERAT",AA676="RIDICAT"),1,0)</x:f>
        <x:v>0</x:v>
      </x:c>
      <x:c r="AE676" s="2" t="str">
        <x:f>IF(AD676&lt;&gt;1,"NO",IF(W676="PASS","YES",IF(W676="OOS PENDING","CONDITIONAL","NO")))</x:f>
        <x:v>NO</x:v>
      </x:c>
      <x:c r="AF676" s="2" t="n">
        <x:f>IF(AND(AD676=1,AC676=1,E676="LIVE"),1,0)</x:f>
        <x:v>0</x:v>
      </x:c>
      <x:c r="AG676" s="2" t="str">
        <x:f>IF(AF676&lt;&gt;1,"",'Dashboard'!P73)</x:f>
      </x:c>
      <x:c r="AH676" s="2" t="str">
        <x:f>IF(B676="","",IF(J676&lt;&gt;"PASS",'Motor_Meciuri'!J53,IF('Calibrare_Linii'!U18&lt;&gt;"VALID","Parametri linie invalizi",IF(L676&gt;'Config_v6'!$B$13,"Dispersie peste limita",IF(W676="WATCH","Failure peste limita",IF(AB676&lt;'Config_v6'!$B$16,"P finala sub prag",IF(V676&lt;'Config_v6'!$B$18,"Confidence sub prag",IF(E676="REPLAY","Exemplu retrospectiv; exclus din Top LIVE",IF(Y676="PASS","DEFENSIV validat",IF(W676="OOS PENDING","Eligibil; calibrare linie in monitorizare","Eligibil"))))))))))</x:f>
      </x:c>
      <x:c r="AI676" s="2" t="str">
        <x:f>IF(B676="","",'Calibrare_Linii'!V18)</x:f>
      </x:c>
      <x:c r="AJ676" s="2" t="str">
        <x:f>IF(B676="","",IF(AND('Calibrare_Linii'!T18="VALIDATED",AND('Calibrare_Linii'!H18=C676,ISNUMBER('Calibrare_Linii'!J18),'Calibrare_Linii'!J18&lt;='Input_Meci'!G53)),"DEFENSIVE VALIDATED",IF(AND('Calibrare_Linii'!S18="VALIDATED",AND('Calibrare_Linii'!H18=C676,ISNUMBER('Calibrare_Linii'!J18),'Calibrare_Linii'!J18&lt;='Input_Meci'!G53)),"TAIL VALIDATED","OOS PENDING")))</x:f>
      </x:c>
      <x:c r="AK676" s="2" t="n">
        <x:f>IF(J676&lt;&gt;"PASS",0,'Motor_Meciuri'!BR53)</x:f>
        <x:v>0</x:v>
      </x:c>
      <x:c r="AL676" s="2" t="n">
        <x:f>IF(J676&lt;&gt;"PASS",0,'Motor_Meciuri'!BS53)</x:f>
        <x:v>0</x:v>
      </x:c>
      <x:c r="AM676" s="2" t="n">
        <x:f>IF(J676&lt;&gt;"PASS",0,'Motor_Meciuri'!BT53)</x:f>
        <x:v>0</x:v>
      </x:c>
      <x:c r="AN676" s="2" t="str">
        <x:f>IF(M676="","",MAX(0,'Motor_Meciuri'!BF53-IF(L676&gt;'Config_v6'!$B$12,'Config_v6'!$B$37,IF(L676&gt;'Config_v6'!$B$11,'Config_v6'!$B$36,0))))</x:f>
      </x:c>
    </x:row>
    <x:row r="677" ht="21" customHeight="1">
      <x:c r="A677" s="2" t="n">
        <x:v>48</x:v>
      </x:c>
      <x:c r="B677" s="2" t="str">
        <x:f>IF('Motor_Meciuri'!A53="","",'Motor_Meciuri'!A53)</x:f>
      </x:c>
      <x:c r="C677" s="2" t="str">
        <x:f>IF(B677="","",'Motor_Meciuri'!B53)</x:f>
      </x:c>
      <x:c r="D677" s="2" t="str">
        <x:f>IF(B677="","",'Motor_Meciuri'!D53)</x:f>
      </x:c>
      <x:c r="E677" s="2" t="str">
        <x:f>IF(B677="","",'Motor_Meciuri'!E53)</x:f>
      </x:c>
      <x:c r="F677" s="2" t="str">
        <x:v>U17,5</x:v>
      </x:c>
      <x:c r="G677" s="2" t="str">
        <x:v>UNDER</x:v>
      </x:c>
      <x:c r="H677" s="2" t="n">
        <x:v>17</x:v>
      </x:c>
      <x:c r="I677" s="2" t="str">
        <x:f>IF(B677="","",'Motor_Meciuri'!H53)</x:f>
      </x:c>
      <x:c r="J677" s="2" t="str">
        <x:f>IF(B677="","",'Motor_Meciuri'!I53)</x:f>
      </x:c>
      <x:c r="K677" s="11" t="str">
        <x:f>IF(J677&lt;&gt;"PASS","",'Motor_Meciuri'!BD53)</x:f>
      </x:c>
      <x:c r="L677" s="11" t="str">
        <x:f>IF(J677&lt;&gt;"PASS","",'Motor_Meciuri'!AU53)</x:f>
      </x:c>
      <x:c r="M677" s="10" t="str">
        <x:f>IF(NOT(AND(J677="PASS",'Calibrare_Linii'!U19="VALID")),"",'Distributie'!AO53)</x:f>
      </x:c>
      <x:c r="N677" s="10" t="str">
        <x:f>IF(M677="","",MAX(0.01,MIN(0.99,0.5+(M677-0.5)*'Motor_Meciuri'!BG53*'Calibrare_Linii'!D19)))</x:f>
      </x:c>
      <x:c r="O677" s="10" t="str">
        <x:f>IF(M677="","",1-M677)</x:f>
      </x:c>
      <x:c r="P677" s="10" t="str">
        <x:f>IF(OR(NOT(AND(J677="PASS",'Calibrare_Linii'!U19="VALID")),AK677=0),""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*('Istoric_Nativ'!$Q$6:$Q$405&gt;H677))/AK677)</x:f>
      </x:c>
      <x:c r="Q677" s="10" t="str">
        <x:f>IF(OR(NOT(AND(J677="PASS",'Calibrare_Linii'!U19="VALID")),AL677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M53)+((('Istoric_Nativ'!$E$6:$E$405='Input_Meci'!E53)+('Istoric_Nativ'!$F$6:$F$405='Input_Meci'!E53))&gt;0)*('Istoric_Nativ'!$D$6:$D$405&gt;='Motor_Meciuri'!BN53))&gt;0)*('Istoric_Nativ'!$Q$6:$Q$405&gt;H677))/AL677)</x:f>
      </x:c>
      <x:c r="R677" s="10" t="str">
        <x:f>IF(OR(NOT(AND(J677="PASS",'Calibrare_Linii'!U19="VALID")),AM677=0),""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'Motor_Meciuri'!BO53)+((('Istoric_Nativ'!$E$6:$E$405='Input_Meci'!E53)+('Istoric_Nativ'!$F$6:$F$405='Input_Meci'!E53))&gt;0)*('Istoric_Nativ'!$D$6:$D$405&gt;='Motor_Meciuri'!BP53))&gt;0)*('Istoric_Nativ'!$Q$6:$Q$405&gt;H677))/AM677)</x:f>
      </x:c>
      <x:c r="S677" s="10" t="str">
        <x:f>IF(M677="","",MAX(O677,P677,Q677,R677))</x:f>
      </x:c>
      <x:c r="T677" s="11" t="str">
        <x:f>IF(M677="","",MIN(100,S677*100*'Config_v6'!$B$44+MIN(100,L677/'Config_v6'!$B$13*100)*'Config_v6'!$B$45+(100-'Motor_Meciuri'!BF53)*'Config_v6'!$B$46+'Motor_Meciuri'!BH53*100*'Config_v6'!$B$47))</x:f>
      </x:c>
      <x:c r="U677" s="2" t="str">
        <x:f>IF(T677="","",IF(T677&lt;=20,1,IF(T677&lt;=40,2,IF(T677&lt;=60,3,IF(T677&lt;=80,4,5)))))</x:f>
      </x:c>
      <x:c r="V677" s="2" t="str">
        <x:f>IF(M677="","",MAX(0,'Motor_Meciuri'!BF53-IF(W677="OOS PENDING",'Config_v6'!$B$35,0)-IF(L677&gt;'Config_v6'!$B$12,'Config_v6'!$B$37,IF(L677&gt;'Config_v6'!$B$11,'Config_v6'!$B$36,0))))</x:f>
      </x:c>
      <x:c r="W677" s="2" t="str">
        <x:f>IF(B677="","",IF(I677&lt;&gt;"READY","NOT RELEASED",IF(NOT(AND(J677="PASS",'Calibrare_Linii'!U19="VALID")),"INVALID",IF(NOT(AND('Calibrare_Linii'!S19="VALIDATED",AND('Calibrare_Linii'!H19=C677,ISNUMBER('Calibrare_Linii'!J19),'Calibrare_Linii'!J19&lt;='Input_Meci'!G53))),"OOS PENDING",IF(S677&lt;='Calibrare_Linii'!E19,"PASS",IF(S677&lt;='Calibrare_Linii'!F19,"PENALTY","WATCH"))))))</x:f>
      </x:c>
      <x:c r="X677" s="2" t="str">
        <x:f>IF(M677="","",IF(AND(AND(J677="PASS",'Calibrare_Linii'!U19="VALID"),'Motor_Meciuri'!K53=12,'Motor_Meciuri'!L53=12,'Motor_Meciuri'!M53="NO",'Motor_Meciuri'!BL53='Motor_Meciuri'!C53,AB677&gt;='Config_v6'!$B$50,AN677&gt;='Config_v6'!$B$51,T677&lt;='Config_v6'!$B$52,L677&lt;='Config_v6'!$B$53,ISNUMBER('Calibrare_Linii'!E19),S677&lt;='Calibrare_Linii'!E19,SUM(AK677:AM677)&gt;0),"CANDIDATE","NO"))</x:f>
      </x:c>
      <x:c r="Y677" s="2" t="str">
        <x:f>IF(B677="","",IF(I677&lt;&gt;"READY","NOT RELEASED",IF(AND(X677="CANDIDATE",V677&gt;='Config_v6'!$B$51,W677="PASS",'Calibrare_Linii'!T19="VALIDATED",AND('Calibrare_Linii'!H19=C677,ISNUMBER('Calibrare_Linii'!J19),'Calibrare_Linii'!J19&lt;='Input_Meci'!G53)),"PASS",IF(X677="CANDIDATE","OOS PENDING","FAIL"))))</x:f>
      </x:c>
      <x:c r="Z677" s="2" t="str">
        <x:f>IF(B677="","",IF(I677&lt;&gt;"READY","",IF(OR(NOT(AND(J677="PASS",'Calibrare_Linii'!U19="VALID")),L677&gt;'Config_v6'!$B$13,W677="WATCH"),5,IF(Y677="PASS",1,MIN(5,MAX('Config_v6'!$B$42,U677)+IF(W677="PENALTY",1,0))))))</x:f>
      </x:c>
      <x:c r="AA677" s="2" t="str">
        <x:f>IF(B677="","",IF(I677&lt;&gt;"READY","NOT RELEASED",IF(Z677=5,"NO BET",IF(OR(AB677&lt;'Config_v6'!$B$16,V677&lt;'Config_v6'!$B$18),"WATCH",IF(Z677=1,"DEFENSIV",IF(Z677=2,"PRUDENT",IF(Z677=3,"MODERAT","RIDICAT")))))))</x:f>
      </x:c>
      <x:c r="AB677" s="10" t="str">
        <x:f>IF(N677="","",MIN(N677,1-S677))</x:f>
      </x:c>
      <x:c r="AC677" s="2" t="str">
        <x:f>IF(AD677&lt;&gt;1,"",COUNTIFS($Z$664:$Z$677,"&lt;"&amp;Z677,$AD$664:$AD$677,1)+COUNTIFS($Z$664:$Z$677,Z677,$AB$664:$AB$677,"&gt;"&amp;AB677,$AD$664:$AD$677,1)+COUNTIFS($Z$664:$Z$677,Z677,$AB$664:$AB$677,AB677,$V$664:$V$677,"&gt;"&amp;V677,$AD$664:$AD$677,1)+COUNTIFS($Z$664:Z677,Z677,$AB$664:AB677,AB677,$V$664:V677,V677,$AD$664:AD677,1))</x:f>
      </x:c>
      <x:c r="AD677" s="2" t="n">
        <x:f>IF(OR(AA677="DEFENSIV",AA677="PRUDENT",AA677="MODERAT",AA677="RIDICAT"),1,0)</x:f>
        <x:v>0</x:v>
      </x:c>
      <x:c r="AE677" s="2" t="str">
        <x:f>IF(AD677&lt;&gt;1,"NO",IF(W677="PASS","YES",IF(W677="OOS PENDING","CONDITIONAL","NO")))</x:f>
        <x:v>NO</x:v>
      </x:c>
      <x:c r="AF677" s="2" t="n">
        <x:f>IF(AND(AD677=1,AC677=1,E677="LIVE"),1,0)</x:f>
        <x:v>0</x:v>
      </x:c>
      <x:c r="AG677" s="2" t="str">
        <x:f>IF(AF677&lt;&gt;1,"",'Dashboard'!P73)</x:f>
      </x:c>
      <x:c r="AH677" s="2" t="str">
        <x:f>IF(B677="","",IF(J677&lt;&gt;"PASS",'Motor_Meciuri'!J53,IF('Calibrare_Linii'!U19&lt;&gt;"VALID","Parametri linie invalizi",IF(L677&gt;'Config_v6'!$B$13,"Dispersie peste limita",IF(W677="WATCH","Failure peste limita",IF(AB677&lt;'Config_v6'!$B$16,"P finala sub prag",IF(V677&lt;'Config_v6'!$B$18,"Confidence sub prag",IF(E677="REPLAY","Exemplu retrospectiv; exclus din Top LIVE",IF(Y677="PASS","DEFENSIV validat",IF(W677="OOS PENDING","Eligibil; calibrare linie in monitorizare","Eligibil"))))))))))</x:f>
      </x:c>
      <x:c r="AI677" s="2" t="str">
        <x:f>IF(B677="","",'Calibrare_Linii'!V19)</x:f>
      </x:c>
      <x:c r="AJ677" s="2" t="str">
        <x:f>IF(B677="","",IF(AND('Calibrare_Linii'!T19="VALIDATED",AND('Calibrare_Linii'!H19=C677,ISNUMBER('Calibrare_Linii'!J19),'Calibrare_Linii'!J19&lt;='Input_Meci'!G53)),"DEFENSIVE VALIDATED",IF(AND('Calibrare_Linii'!S19="VALIDATED",AND('Calibrare_Linii'!H19=C677,ISNUMBER('Calibrare_Linii'!J19),'Calibrare_Linii'!J19&lt;='Input_Meci'!G53)),"TAIL VALIDATED","OOS PENDING")))</x:f>
      </x:c>
      <x:c r="AK677" s="2" t="n">
        <x:f>IF(J677&lt;&gt;"PASS",0,'Motor_Meciuri'!BR53)</x:f>
        <x:v>0</x:v>
      </x:c>
      <x:c r="AL677" s="2" t="n">
        <x:f>IF(J677&lt;&gt;"PASS",0,'Motor_Meciuri'!BS53)</x:f>
        <x:v>0</x:v>
      </x:c>
      <x:c r="AM677" s="2" t="n">
        <x:f>IF(J677&lt;&gt;"PASS",0,'Motor_Meciuri'!BT53)</x:f>
        <x:v>0</x:v>
      </x:c>
      <x:c r="AN677" s="2" t="str">
        <x:f>IF(M677="","",MAX(0,'Motor_Meciuri'!BF53-IF(L677&gt;'Config_v6'!$B$12,'Config_v6'!$B$37,IF(L677&gt;'Config_v6'!$B$11,'Config_v6'!$B$36,0))))</x:f>
      </x:c>
    </x:row>
    <x:row r="678" ht="21" customHeight="1">
      <x:c r="A678" s="2" t="n">
        <x:v>49</x:v>
      </x:c>
      <x:c r="B678" s="2" t="str">
        <x:f>IF('Motor_Meciuri'!A54="","",'Motor_Meciuri'!A54)</x:f>
      </x:c>
      <x:c r="C678" s="2" t="str">
        <x:f>IF(B678="","",'Motor_Meciuri'!B54)</x:f>
      </x:c>
      <x:c r="D678" s="2" t="str">
        <x:f>IF(B678="","",'Motor_Meciuri'!D54)</x:f>
      </x:c>
      <x:c r="E678" s="2" t="str">
        <x:f>IF(B678="","",'Motor_Meciuri'!E54)</x:f>
      </x:c>
      <x:c r="F678" s="2" t="str">
        <x:v>O3,5</x:v>
      </x:c>
      <x:c r="G678" s="2" t="str">
        <x:v>OVER</x:v>
      </x:c>
      <x:c r="H678" s="2" t="n">
        <x:v>3</x:v>
      </x:c>
      <x:c r="I678" s="2" t="str">
        <x:f>IF(B678="","",'Motor_Meciuri'!H54)</x:f>
      </x:c>
      <x:c r="J678" s="2" t="str">
        <x:f>IF(B678="","",'Motor_Meciuri'!I54)</x:f>
      </x:c>
      <x:c r="K678" s="11" t="str">
        <x:f>IF(J678&lt;&gt;"PASS","",'Motor_Meciuri'!BD54)</x:f>
      </x:c>
      <x:c r="L678" s="11" t="str">
        <x:f>IF(J678&lt;&gt;"PASS","",'Motor_Meciuri'!AU54)</x:f>
      </x:c>
      <x:c r="M678" s="10" t="str">
        <x:f>IF(NOT(AND(J678="PASS",'Calibrare_Linii'!U6="VALID")),"",1-'Distributie'!AA54)</x:f>
      </x:c>
      <x:c r="N678" s="10" t="str">
        <x:f>IF(M678="","",MAX(0.01,MIN(0.99,0.5+(M678-0.5)*'Motor_Meciuri'!BG54*'Calibrare_Linii'!D6)))</x:f>
      </x:c>
      <x:c r="O678" s="10" t="str">
        <x:f>IF(M678="","",1-M678)</x:f>
      </x:c>
      <x:c r="P678" s="10" t="str">
        <x:f>IF(OR(NOT(AND(J678="PASS",'Calibrare_Linii'!U6="VALID")),AK678=0),""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*('Istoric_Nativ'!$Q$6:$Q$405&lt;=H678))/AK678)</x:f>
      </x:c>
      <x:c r="Q678" s="10" t="str">
        <x:f>IF(OR(NOT(AND(J678="PASS",'Calibrare_Linii'!U6="VALID")),AL678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M54)+((('Istoric_Nativ'!$E$6:$E$405='Input_Meci'!E54)+('Istoric_Nativ'!$F$6:$F$405='Input_Meci'!E54))&gt;0)*('Istoric_Nativ'!$D$6:$D$405&gt;='Motor_Meciuri'!BN54))&gt;0)*('Istoric_Nativ'!$Q$6:$Q$405&lt;=H678))/AL678)</x:f>
      </x:c>
      <x:c r="R678" s="10" t="str">
        <x:f>IF(OR(NOT(AND(J678="PASS",'Calibrare_Linii'!U6="VALID")),AM678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O54)+((('Istoric_Nativ'!$E$6:$E$405='Input_Meci'!E54)+('Istoric_Nativ'!$F$6:$F$405='Input_Meci'!E54))&gt;0)*('Istoric_Nativ'!$D$6:$D$405&gt;='Motor_Meciuri'!BP54))&gt;0)*('Istoric_Nativ'!$Q$6:$Q$405&lt;=H678))/AM678)</x:f>
      </x:c>
      <x:c r="S678" s="10" t="str">
        <x:f>IF(M678="","",MAX(O678,P678,Q678,R678))</x:f>
      </x:c>
      <x:c r="T678" s="11" t="str">
        <x:f>IF(M678="","",MIN(100,S678*100*'Config_v6'!$B$44+MIN(100,L678/'Config_v6'!$B$13*100)*'Config_v6'!$B$45+(100-'Motor_Meciuri'!BF54)*'Config_v6'!$B$46+'Motor_Meciuri'!BH54*100*'Config_v6'!$B$47))</x:f>
      </x:c>
      <x:c r="U678" s="2" t="str">
        <x:f>IF(T678="","",IF(T678&lt;=20,1,IF(T678&lt;=40,2,IF(T678&lt;=60,3,IF(T678&lt;=80,4,5)))))</x:f>
      </x:c>
      <x:c r="V678" s="2" t="str">
        <x:f>IF(M678="","",MAX(0,'Motor_Meciuri'!BF54-IF(W678="OOS PENDING",'Config_v6'!$B$35,0)-IF(L678&gt;'Config_v6'!$B$12,'Config_v6'!$B$37,IF(L678&gt;'Config_v6'!$B$11,'Config_v6'!$B$36,0))))</x:f>
      </x:c>
      <x:c r="W678" s="2" t="str">
        <x:f>IF(B678="","",IF(I678&lt;&gt;"READY","NOT RELEASED",IF(NOT(AND(J678="PASS",'Calibrare_Linii'!U6="VALID")),"INVALID",IF(NOT(TRUE),"OOS PENDING",IF(S678&lt;=IF(AND('Calibrare_Linii'!S6="VALIDATED",AND('Calibrare_Linii'!H6=C678,ISNUMBER('Calibrare_Linii'!J6),'Calibrare_Linii'!J6&lt;='Input_Meci'!G54)),'Calibrare_Linii'!E6,'Config_v6'!$B$26),"PASS",IF(S678&lt;=IF(AND('Calibrare_Linii'!S6="VALIDATED",AND('Calibrare_Linii'!H6=C678,ISNUMBER('Calibrare_Linii'!J6),'Calibrare_Linii'!J6&lt;='Input_Meci'!G54)),'Calibrare_Linii'!F6,'Config_v6'!$C$26),"PENALTY","WATCH"))))))</x:f>
      </x:c>
      <x:c r="X678" s="2" t="str">
        <x:f>IF(M678="","",IF(AND(AND(J678="PASS",'Calibrare_Linii'!U6="VALID"),'Motor_Meciuri'!K54=12,'Motor_Meciuri'!L54=12,'Motor_Meciuri'!M54="NO",'Motor_Meciuri'!BL54='Motor_Meciuri'!C54,AB678&gt;='Config_v6'!$B$50,AN678&gt;='Config_v6'!$B$51,T678&lt;='Config_v6'!$B$52,L678&lt;='Config_v6'!$B$53,ISNUMBER('Calibrare_Linii'!E6),S678&lt;='Calibrare_Linii'!E6,SUM(AK678:AM678)&gt;0),"CANDIDATE","NO"))</x:f>
      </x:c>
      <x:c r="Y678" s="2" t="str">
        <x:f>IF(B678="","",IF(I678&lt;&gt;"READY","NOT RELEASED",IF(AND(X678="CANDIDATE",V678&gt;='Config_v6'!$B$51,W678="PASS",'Calibrare_Linii'!T6="VALIDATED",AND('Calibrare_Linii'!H6=C678,ISNUMBER('Calibrare_Linii'!J6),'Calibrare_Linii'!J6&lt;='Input_Meci'!G54)),"PASS",IF(X678="CANDIDATE","OOS PENDING","FAIL"))))</x:f>
      </x:c>
      <x:c r="Z678" s="2" t="str">
        <x:f>IF(B678="","",IF(I678&lt;&gt;"READY","",IF(OR(NOT(AND(J678="PASS",'Calibrare_Linii'!U6="VALID")),L678&gt;'Config_v6'!$B$13,W678="WATCH"),5,IF(Y678="PASS",1,MIN(5,MAX('Config_v6'!$B$42,U678)+IF(W678="PENALTY",1,0))))))</x:f>
      </x:c>
      <x:c r="AA678" s="2" t="str">
        <x:f>IF(B678="","",IF(I678&lt;&gt;"READY","NOT RELEASED",IF(Z678=5,"NO BET",IF(OR(AB678&lt;'Config_v6'!$B$16,V678&lt;'Config_v6'!$B$18),"WATCH",IF(Z678=1,"DEFENSIV",IF(Z678=2,"PRUDENT",IF(Z678=3,"MODERAT","RIDICAT")))))))</x:f>
      </x:c>
      <x:c r="AB678" s="10" t="str">
        <x:f>IF(N678="","",MIN(N678,1-S678))</x:f>
      </x:c>
      <x:c r="AC678" s="2" t="str">
        <x:f>IF(AD678&lt;&gt;1,"",COUNTIFS($Z$678:$Z$691,"&lt;"&amp;Z678,$AD$678:$AD$691,1)+COUNTIFS($Z$678:$Z$691,Z678,$AB$678:$AB$691,"&gt;"&amp;AB678,$AD$678:$AD$691,1)+COUNTIFS($Z$678:$Z$691,Z678,$AB$678:$AB$691,AB678,$V$678:$V$691,"&gt;"&amp;V678,$AD$678:$AD$691,1)+COUNTIFS($Z$678:Z678,Z678,$AB$678:AB678,AB678,$V$678:V678,V678,$AD$678:AD678,1))</x:f>
      </x:c>
      <x:c r="AD678" s="2" t="n">
        <x:f>IF(OR(AA678="DEFENSIV",AA678="PRUDENT",AA678="MODERAT",AA678="RIDICAT"),1,0)</x:f>
        <x:v>0</x:v>
      </x:c>
      <x:c r="AE678" s="2" t="str">
        <x:f>IF(AD678&lt;&gt;1,"NO",IF(W678="PASS","YES",IF(W678="OOS PENDING","CONDITIONAL","NO")))</x:f>
        <x:v>NO</x:v>
      </x:c>
      <x:c r="AF678" s="2" t="n">
        <x:f>IF(AND(AD678=1,AC678=1,E678="LIVE"),1,0)</x:f>
        <x:v>0</x:v>
      </x:c>
      <x:c r="AG678" s="2" t="str">
        <x:f>IF(AF678&lt;&gt;1,"",'Dashboard'!P74)</x:f>
      </x:c>
      <x:c r="AH678" s="2" t="str">
        <x:f>IF(B678="","",IF(J678&lt;&gt;"PASS",'Motor_Meciuri'!J54,IF('Calibrare_Linii'!U6&lt;&gt;"VALID","Parametri linie invalizi",IF(L678&gt;'Config_v6'!$B$13,"Dispersie peste limita",IF(W678="WATCH","Failure peste limita",IF(AB678&lt;'Config_v6'!$B$16,"P finala sub prag",IF(V678&lt;'Config_v6'!$B$18,"Confidence sub prag",IF(E678="REPLAY","Exemplu retrospectiv; exclus din Top LIVE",IF(Y678="PASS","DEFENSIV validat",IF(W678="OOS PENDING","Eligibil; calibrare linie in monitorizare","Eligibil"))))))))))</x:f>
      </x:c>
      <x:c r="AI678" s="2" t="str">
        <x:f>IF(B678="","",'Calibrare_Linii'!V6)</x:f>
      </x:c>
      <x:c r="AJ678" s="2" t="str">
        <x:f>IF(B678="","",IF(AND('Calibrare_Linii'!T6="VALIDATED",AND('Calibrare_Linii'!H6=C678,ISNUMBER('Calibrare_Linii'!J6),'Calibrare_Linii'!J6&lt;='Input_Meci'!G54)),"DEFENSIVE VALIDATED",IF(AND('Calibrare_Linii'!S6="VALIDATED",AND('Calibrare_Linii'!H6=C678,ISNUMBER('Calibrare_Linii'!J6),'Calibrare_Linii'!J6&lt;='Input_Meci'!G54)),"TAIL VALIDATED","OOS PENDING")))</x:f>
      </x:c>
      <x:c r="AK678" s="2" t="n">
        <x:f>IF(J678&lt;&gt;"PASS",0,'Motor_Meciuri'!BR54)</x:f>
        <x:v>0</x:v>
      </x:c>
      <x:c r="AL678" s="2" t="n">
        <x:f>IF(J678&lt;&gt;"PASS",0,'Motor_Meciuri'!BS54)</x:f>
        <x:v>0</x:v>
      </x:c>
      <x:c r="AM678" s="2" t="n">
        <x:f>IF(J678&lt;&gt;"PASS",0,'Motor_Meciuri'!BT54)</x:f>
        <x:v>0</x:v>
      </x:c>
      <x:c r="AN678" s="2" t="str">
        <x:f>IF(M678="","",MAX(0,'Motor_Meciuri'!BF54-IF(L678&gt;'Config_v6'!$B$12,'Config_v6'!$B$37,IF(L678&gt;'Config_v6'!$B$11,'Config_v6'!$B$36,0))))</x:f>
      </x:c>
    </x:row>
    <x:row r="679" ht="21" customHeight="1">
      <x:c r="A679" s="2" t="n">
        <x:v>49</x:v>
      </x:c>
      <x:c r="B679" s="2" t="str">
        <x:f>IF('Motor_Meciuri'!A54="","",'Motor_Meciuri'!A54)</x:f>
      </x:c>
      <x:c r="C679" s="2" t="str">
        <x:f>IF(B679="","",'Motor_Meciuri'!B54)</x:f>
      </x:c>
      <x:c r="D679" s="2" t="str">
        <x:f>IF(B679="","",'Motor_Meciuri'!D54)</x:f>
      </x:c>
      <x:c r="E679" s="2" t="str">
        <x:f>IF(B679="","",'Motor_Meciuri'!E54)</x:f>
      </x:c>
      <x:c r="F679" s="2" t="str">
        <x:v>O4,5</x:v>
      </x:c>
      <x:c r="G679" s="2" t="str">
        <x:v>OVER</x:v>
      </x:c>
      <x:c r="H679" s="2" t="n">
        <x:v>4</x:v>
      </x:c>
      <x:c r="I679" s="2" t="str">
        <x:f>IF(B679="","",'Motor_Meciuri'!H54)</x:f>
      </x:c>
      <x:c r="J679" s="2" t="str">
        <x:f>IF(B679="","",'Motor_Meciuri'!I54)</x:f>
      </x:c>
      <x:c r="K679" s="11" t="str">
        <x:f>IF(J679&lt;&gt;"PASS","",'Motor_Meciuri'!BD54)</x:f>
      </x:c>
      <x:c r="L679" s="11" t="str">
        <x:f>IF(J679&lt;&gt;"PASS","",'Motor_Meciuri'!AU54)</x:f>
      </x:c>
      <x:c r="M679" s="10" t="str">
        <x:f>IF(NOT(AND(J679="PASS",'Calibrare_Linii'!U7="VALID")),"",1-'Distributie'!AB54)</x:f>
      </x:c>
      <x:c r="N679" s="10" t="str">
        <x:f>IF(M679="","",MAX(0.01,MIN(0.99,0.5+(M679-0.5)*'Motor_Meciuri'!BG54*'Calibrare_Linii'!D7)))</x:f>
      </x:c>
      <x:c r="O679" s="10" t="str">
        <x:f>IF(M679="","",1-M679)</x:f>
      </x:c>
      <x:c r="P679" s="10" t="str">
        <x:f>IF(OR(NOT(AND(J679="PASS",'Calibrare_Linii'!U7="VALID")),AK679=0),""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*('Istoric_Nativ'!$Q$6:$Q$405&lt;=H679))/AK679)</x:f>
      </x:c>
      <x:c r="Q679" s="10" t="str">
        <x:f>IF(OR(NOT(AND(J679="PASS",'Calibrare_Linii'!U7="VALID")),AL679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M54)+((('Istoric_Nativ'!$E$6:$E$405='Input_Meci'!E54)+('Istoric_Nativ'!$F$6:$F$405='Input_Meci'!E54))&gt;0)*('Istoric_Nativ'!$D$6:$D$405&gt;='Motor_Meciuri'!BN54))&gt;0)*('Istoric_Nativ'!$Q$6:$Q$405&lt;=H679))/AL679)</x:f>
      </x:c>
      <x:c r="R679" s="10" t="str">
        <x:f>IF(OR(NOT(AND(J679="PASS",'Calibrare_Linii'!U7="VALID")),AM679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O54)+((('Istoric_Nativ'!$E$6:$E$405='Input_Meci'!E54)+('Istoric_Nativ'!$F$6:$F$405='Input_Meci'!E54))&gt;0)*('Istoric_Nativ'!$D$6:$D$405&gt;='Motor_Meciuri'!BP54))&gt;0)*('Istoric_Nativ'!$Q$6:$Q$405&lt;=H679))/AM679)</x:f>
      </x:c>
      <x:c r="S679" s="10" t="str">
        <x:f>IF(M679="","",MAX(O679,P679,Q679,R679))</x:f>
      </x:c>
      <x:c r="T679" s="11" t="str">
        <x:f>IF(M679="","",MIN(100,S679*100*'Config_v6'!$B$44+MIN(100,L679/'Config_v6'!$B$13*100)*'Config_v6'!$B$45+(100-'Motor_Meciuri'!BF54)*'Config_v6'!$B$46+'Motor_Meciuri'!BH54*100*'Config_v6'!$B$47))</x:f>
      </x:c>
      <x:c r="U679" s="2" t="str">
        <x:f>IF(T679="","",IF(T679&lt;=20,1,IF(T679&lt;=40,2,IF(T679&lt;=60,3,IF(T679&lt;=80,4,5)))))</x:f>
      </x:c>
      <x:c r="V679" s="2" t="str">
        <x:f>IF(M679="","",MAX(0,'Motor_Meciuri'!BF54-IF(W679="OOS PENDING",'Config_v6'!$B$35,0)-IF(L679&gt;'Config_v6'!$B$12,'Config_v6'!$B$37,IF(L679&gt;'Config_v6'!$B$11,'Config_v6'!$B$36,0))))</x:f>
      </x:c>
      <x:c r="W679" s="2" t="str">
        <x:f>IF(B679="","",IF(I679&lt;&gt;"READY","NOT RELEASED",IF(NOT(AND(J679="PASS",'Calibrare_Linii'!U7="VALID")),"INVALID",IF(NOT(AND('Calibrare_Linii'!S7="VALIDATED",AND('Calibrare_Linii'!H7=C679,ISNUMBER('Calibrare_Linii'!J7),'Calibrare_Linii'!J7&lt;='Input_Meci'!G54))),"OOS PENDING",IF(S679&lt;='Calibrare_Linii'!E7,"PASS",IF(S679&lt;='Calibrare_Linii'!F7,"PENALTY","WATCH"))))))</x:f>
      </x:c>
      <x:c r="X679" s="2" t="str">
        <x:f>IF(M679="","",IF(AND(AND(J679="PASS",'Calibrare_Linii'!U7="VALID"),'Motor_Meciuri'!K54=12,'Motor_Meciuri'!L54=12,'Motor_Meciuri'!M54="NO",'Motor_Meciuri'!BL54='Motor_Meciuri'!C54,AB679&gt;='Config_v6'!$B$50,AN679&gt;='Config_v6'!$B$51,T679&lt;='Config_v6'!$B$52,L679&lt;='Config_v6'!$B$53,ISNUMBER('Calibrare_Linii'!E7),S679&lt;='Calibrare_Linii'!E7,SUM(AK679:AM679)&gt;0),"CANDIDATE","NO"))</x:f>
      </x:c>
      <x:c r="Y679" s="2" t="str">
        <x:f>IF(B679="","",IF(I679&lt;&gt;"READY","NOT RELEASED",IF(AND(X679="CANDIDATE",V679&gt;='Config_v6'!$B$51,W679="PASS",'Calibrare_Linii'!T7="VALIDATED",AND('Calibrare_Linii'!H7=C679,ISNUMBER('Calibrare_Linii'!J7),'Calibrare_Linii'!J7&lt;='Input_Meci'!G54)),"PASS",IF(X679="CANDIDATE","OOS PENDING","FAIL"))))</x:f>
      </x:c>
      <x:c r="Z679" s="2" t="str">
        <x:f>IF(B679="","",IF(I679&lt;&gt;"READY","",IF(OR(NOT(AND(J679="PASS",'Calibrare_Linii'!U7="VALID")),L679&gt;'Config_v6'!$B$13,W679="WATCH"),5,IF(Y679="PASS",1,MIN(5,MAX('Config_v6'!$B$42,U679)+IF(W679="PENALTY",1,0))))))</x:f>
      </x:c>
      <x:c r="AA679" s="2" t="str">
        <x:f>IF(B679="","",IF(I679&lt;&gt;"READY","NOT RELEASED",IF(Z679=5,"NO BET",IF(OR(AB679&lt;'Config_v6'!$B$16,V679&lt;'Config_v6'!$B$18),"WATCH",IF(Z679=1,"DEFENSIV",IF(Z679=2,"PRUDENT",IF(Z679=3,"MODERAT","RIDICAT")))))))</x:f>
      </x:c>
      <x:c r="AB679" s="10" t="str">
        <x:f>IF(N679="","",MIN(N679,1-S679))</x:f>
      </x:c>
      <x:c r="AC679" s="2" t="str">
        <x:f>IF(AD679&lt;&gt;1,"",COUNTIFS($Z$678:$Z$691,"&lt;"&amp;Z679,$AD$678:$AD$691,1)+COUNTIFS($Z$678:$Z$691,Z679,$AB$678:$AB$691,"&gt;"&amp;AB679,$AD$678:$AD$691,1)+COUNTIFS($Z$678:$Z$691,Z679,$AB$678:$AB$691,AB679,$V$678:$V$691,"&gt;"&amp;V679,$AD$678:$AD$691,1)+COUNTIFS($Z$678:Z679,Z679,$AB$678:AB679,AB679,$V$678:V679,V679,$AD$678:AD679,1))</x:f>
      </x:c>
      <x:c r="AD679" s="2" t="n">
        <x:f>IF(OR(AA679="DEFENSIV",AA679="PRUDENT",AA679="MODERAT",AA679="RIDICAT"),1,0)</x:f>
        <x:v>0</x:v>
      </x:c>
      <x:c r="AE679" s="2" t="str">
        <x:f>IF(AD679&lt;&gt;1,"NO",IF(W679="PASS","YES",IF(W679="OOS PENDING","CONDITIONAL","NO")))</x:f>
        <x:v>NO</x:v>
      </x:c>
      <x:c r="AF679" s="2" t="n">
        <x:f>IF(AND(AD679=1,AC679=1,E679="LIVE"),1,0)</x:f>
        <x:v>0</x:v>
      </x:c>
      <x:c r="AG679" s="2" t="str">
        <x:f>IF(AF679&lt;&gt;1,"",'Dashboard'!P74)</x:f>
      </x:c>
      <x:c r="AH679" s="2" t="str">
        <x:f>IF(B679="","",IF(J679&lt;&gt;"PASS",'Motor_Meciuri'!J54,IF('Calibrare_Linii'!U7&lt;&gt;"VALID","Parametri linie invalizi",IF(L679&gt;'Config_v6'!$B$13,"Dispersie peste limita",IF(W679="WATCH","Failure peste limita",IF(AB679&lt;'Config_v6'!$B$16,"P finala sub prag",IF(V679&lt;'Config_v6'!$B$18,"Confidence sub prag",IF(E679="REPLAY","Exemplu retrospectiv; exclus din Top LIVE",IF(Y679="PASS","DEFENSIV validat",IF(W679="OOS PENDING","Eligibil; calibrare linie in monitorizare","Eligibil"))))))))))</x:f>
      </x:c>
      <x:c r="AI679" s="2" t="str">
        <x:f>IF(B679="","",'Calibrare_Linii'!V7)</x:f>
      </x:c>
      <x:c r="AJ679" s="2" t="str">
        <x:f>IF(B679="","",IF(AND('Calibrare_Linii'!T7="VALIDATED",AND('Calibrare_Linii'!H7=C679,ISNUMBER('Calibrare_Linii'!J7),'Calibrare_Linii'!J7&lt;='Input_Meci'!G54)),"DEFENSIVE VALIDATED",IF(AND('Calibrare_Linii'!S7="VALIDATED",AND('Calibrare_Linii'!H7=C679,ISNUMBER('Calibrare_Linii'!J7),'Calibrare_Linii'!J7&lt;='Input_Meci'!G54)),"TAIL VALIDATED","OOS PENDING")))</x:f>
      </x:c>
      <x:c r="AK679" s="2" t="n">
        <x:f>IF(J679&lt;&gt;"PASS",0,'Motor_Meciuri'!BR54)</x:f>
        <x:v>0</x:v>
      </x:c>
      <x:c r="AL679" s="2" t="n">
        <x:f>IF(J679&lt;&gt;"PASS",0,'Motor_Meciuri'!BS54)</x:f>
        <x:v>0</x:v>
      </x:c>
      <x:c r="AM679" s="2" t="n">
        <x:f>IF(J679&lt;&gt;"PASS",0,'Motor_Meciuri'!BT54)</x:f>
        <x:v>0</x:v>
      </x:c>
      <x:c r="AN679" s="2" t="str">
        <x:f>IF(M679="","",MAX(0,'Motor_Meciuri'!BF54-IF(L679&gt;'Config_v6'!$B$12,'Config_v6'!$B$37,IF(L679&gt;'Config_v6'!$B$11,'Config_v6'!$B$36,0))))</x:f>
      </x:c>
    </x:row>
    <x:row r="680" ht="21" customHeight="1">
      <x:c r="A680" s="2" t="n">
        <x:v>49</x:v>
      </x:c>
      <x:c r="B680" s="2" t="str">
        <x:f>IF('Motor_Meciuri'!A54="","",'Motor_Meciuri'!A54)</x:f>
      </x:c>
      <x:c r="C680" s="2" t="str">
        <x:f>IF(B680="","",'Motor_Meciuri'!B54)</x:f>
      </x:c>
      <x:c r="D680" s="2" t="str">
        <x:f>IF(B680="","",'Motor_Meciuri'!D54)</x:f>
      </x:c>
      <x:c r="E680" s="2" t="str">
        <x:f>IF(B680="","",'Motor_Meciuri'!E54)</x:f>
      </x:c>
      <x:c r="F680" s="2" t="str">
        <x:v>O5,5</x:v>
      </x:c>
      <x:c r="G680" s="2" t="str">
        <x:v>OVER</x:v>
      </x:c>
      <x:c r="H680" s="2" t="n">
        <x:v>5</x:v>
      </x:c>
      <x:c r="I680" s="2" t="str">
        <x:f>IF(B680="","",'Motor_Meciuri'!H54)</x:f>
      </x:c>
      <x:c r="J680" s="2" t="str">
        <x:f>IF(B680="","",'Motor_Meciuri'!I54)</x:f>
      </x:c>
      <x:c r="K680" s="11" t="str">
        <x:f>IF(J680&lt;&gt;"PASS","",'Motor_Meciuri'!BD54)</x:f>
      </x:c>
      <x:c r="L680" s="11" t="str">
        <x:f>IF(J680&lt;&gt;"PASS","",'Motor_Meciuri'!AU54)</x:f>
      </x:c>
      <x:c r="M680" s="10" t="str">
        <x:f>IF(NOT(AND(J680="PASS",'Calibrare_Linii'!U8="VALID")),"",1-'Distributie'!AC54)</x:f>
      </x:c>
      <x:c r="N680" s="10" t="str">
        <x:f>IF(M680="","",MAX(0.01,MIN(0.99,0.5+(M680-0.5)*'Motor_Meciuri'!BG54*'Calibrare_Linii'!D8)))</x:f>
      </x:c>
      <x:c r="O680" s="10" t="str">
        <x:f>IF(M680="","",1-M680)</x:f>
      </x:c>
      <x:c r="P680" s="10" t="str">
        <x:f>IF(OR(NOT(AND(J680="PASS",'Calibrare_Linii'!U8="VALID")),AK680=0),""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*('Istoric_Nativ'!$Q$6:$Q$405&lt;=H680))/AK680)</x:f>
      </x:c>
      <x:c r="Q680" s="10" t="str">
        <x:f>IF(OR(NOT(AND(J680="PASS",'Calibrare_Linii'!U8="VALID")),AL680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M54)+((('Istoric_Nativ'!$E$6:$E$405='Input_Meci'!E54)+('Istoric_Nativ'!$F$6:$F$405='Input_Meci'!E54))&gt;0)*('Istoric_Nativ'!$D$6:$D$405&gt;='Motor_Meciuri'!BN54))&gt;0)*('Istoric_Nativ'!$Q$6:$Q$405&lt;=H680))/AL680)</x:f>
      </x:c>
      <x:c r="R680" s="10" t="str">
        <x:f>IF(OR(NOT(AND(J680="PASS",'Calibrare_Linii'!U8="VALID")),AM680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O54)+((('Istoric_Nativ'!$E$6:$E$405='Input_Meci'!E54)+('Istoric_Nativ'!$F$6:$F$405='Input_Meci'!E54))&gt;0)*('Istoric_Nativ'!$D$6:$D$405&gt;='Motor_Meciuri'!BP54))&gt;0)*('Istoric_Nativ'!$Q$6:$Q$405&lt;=H680))/AM680)</x:f>
      </x:c>
      <x:c r="S680" s="10" t="str">
        <x:f>IF(M680="","",MAX(O680,P680,Q680,R680))</x:f>
      </x:c>
      <x:c r="T680" s="11" t="str">
        <x:f>IF(M680="","",MIN(100,S680*100*'Config_v6'!$B$44+MIN(100,L680/'Config_v6'!$B$13*100)*'Config_v6'!$B$45+(100-'Motor_Meciuri'!BF54)*'Config_v6'!$B$46+'Motor_Meciuri'!BH54*100*'Config_v6'!$B$47))</x:f>
      </x:c>
      <x:c r="U680" s="2" t="str">
        <x:f>IF(T680="","",IF(T680&lt;=20,1,IF(T680&lt;=40,2,IF(T680&lt;=60,3,IF(T680&lt;=80,4,5)))))</x:f>
      </x:c>
      <x:c r="V680" s="2" t="str">
        <x:f>IF(M680="","",MAX(0,'Motor_Meciuri'!BF54-IF(W680="OOS PENDING",'Config_v6'!$B$35,0)-IF(L680&gt;'Config_v6'!$B$12,'Config_v6'!$B$37,IF(L680&gt;'Config_v6'!$B$11,'Config_v6'!$B$36,0))))</x:f>
      </x:c>
      <x:c r="W680" s="2" t="str">
        <x:f>IF(B680="","",IF(I680&lt;&gt;"READY","NOT RELEASED",IF(NOT(AND(J680="PASS",'Calibrare_Linii'!U8="VALID")),"INVALID",IF(NOT(AND('Calibrare_Linii'!S8="VALIDATED",AND('Calibrare_Linii'!H8=C680,ISNUMBER('Calibrare_Linii'!J8),'Calibrare_Linii'!J8&lt;='Input_Meci'!G54))),"OOS PENDING",IF(S680&lt;='Calibrare_Linii'!E8,"PASS",IF(S680&lt;='Calibrare_Linii'!F8,"PENALTY","WATCH"))))))</x:f>
      </x:c>
      <x:c r="X680" s="2" t="str">
        <x:f>IF(M680="","",IF(AND(AND(J680="PASS",'Calibrare_Linii'!U8="VALID"),'Motor_Meciuri'!K54=12,'Motor_Meciuri'!L54=12,'Motor_Meciuri'!M54="NO",'Motor_Meciuri'!BL54='Motor_Meciuri'!C54,AB680&gt;='Config_v6'!$B$50,AN680&gt;='Config_v6'!$B$51,T680&lt;='Config_v6'!$B$52,L680&lt;='Config_v6'!$B$53,ISNUMBER('Calibrare_Linii'!E8),S680&lt;='Calibrare_Linii'!E8,SUM(AK680:AM680)&gt;0),"CANDIDATE","NO"))</x:f>
      </x:c>
      <x:c r="Y680" s="2" t="str">
        <x:f>IF(B680="","",IF(I680&lt;&gt;"READY","NOT RELEASED",IF(AND(X680="CANDIDATE",V680&gt;='Config_v6'!$B$51,W680="PASS",'Calibrare_Linii'!T8="VALIDATED",AND('Calibrare_Linii'!H8=C680,ISNUMBER('Calibrare_Linii'!J8),'Calibrare_Linii'!J8&lt;='Input_Meci'!G54)),"PASS",IF(X680="CANDIDATE","OOS PENDING","FAIL"))))</x:f>
      </x:c>
      <x:c r="Z680" s="2" t="str">
        <x:f>IF(B680="","",IF(I680&lt;&gt;"READY","",IF(OR(NOT(AND(J680="PASS",'Calibrare_Linii'!U8="VALID")),L680&gt;'Config_v6'!$B$13,W680="WATCH"),5,IF(Y680="PASS",1,MIN(5,MAX('Config_v6'!$B$42,U680)+IF(W680="PENALTY",1,0))))))</x:f>
      </x:c>
      <x:c r="AA680" s="2" t="str">
        <x:f>IF(B680="","",IF(I680&lt;&gt;"READY","NOT RELEASED",IF(Z680=5,"NO BET",IF(OR(AB680&lt;'Config_v6'!$B$16,V680&lt;'Config_v6'!$B$18),"WATCH",IF(Z680=1,"DEFENSIV",IF(Z680=2,"PRUDENT",IF(Z680=3,"MODERAT","RIDICAT")))))))</x:f>
      </x:c>
      <x:c r="AB680" s="10" t="str">
        <x:f>IF(N680="","",MIN(N680,1-S680))</x:f>
      </x:c>
      <x:c r="AC680" s="2" t="str">
        <x:f>IF(AD680&lt;&gt;1,"",COUNTIFS($Z$678:$Z$691,"&lt;"&amp;Z680,$AD$678:$AD$691,1)+COUNTIFS($Z$678:$Z$691,Z680,$AB$678:$AB$691,"&gt;"&amp;AB680,$AD$678:$AD$691,1)+COUNTIFS($Z$678:$Z$691,Z680,$AB$678:$AB$691,AB680,$V$678:$V$691,"&gt;"&amp;V680,$AD$678:$AD$691,1)+COUNTIFS($Z$678:Z680,Z680,$AB$678:AB680,AB680,$V$678:V680,V680,$AD$678:AD680,1))</x:f>
      </x:c>
      <x:c r="AD680" s="2" t="n">
        <x:f>IF(OR(AA680="DEFENSIV",AA680="PRUDENT",AA680="MODERAT",AA680="RIDICAT"),1,0)</x:f>
        <x:v>0</x:v>
      </x:c>
      <x:c r="AE680" s="2" t="str">
        <x:f>IF(AD680&lt;&gt;1,"NO",IF(W680="PASS","YES",IF(W680="OOS PENDING","CONDITIONAL","NO")))</x:f>
        <x:v>NO</x:v>
      </x:c>
      <x:c r="AF680" s="2" t="n">
        <x:f>IF(AND(AD680=1,AC680=1,E680="LIVE"),1,0)</x:f>
        <x:v>0</x:v>
      </x:c>
      <x:c r="AG680" s="2" t="str">
        <x:f>IF(AF680&lt;&gt;1,"",'Dashboard'!P74)</x:f>
      </x:c>
      <x:c r="AH680" s="2" t="str">
        <x:f>IF(B680="","",IF(J680&lt;&gt;"PASS",'Motor_Meciuri'!J54,IF('Calibrare_Linii'!U8&lt;&gt;"VALID","Parametri linie invalizi",IF(L680&gt;'Config_v6'!$B$13,"Dispersie peste limita",IF(W680="WATCH","Failure peste limita",IF(AB680&lt;'Config_v6'!$B$16,"P finala sub prag",IF(V680&lt;'Config_v6'!$B$18,"Confidence sub prag",IF(E680="REPLAY","Exemplu retrospectiv; exclus din Top LIVE",IF(Y680="PASS","DEFENSIV validat",IF(W680="OOS PENDING","Eligibil; calibrare linie in monitorizare","Eligibil"))))))))))</x:f>
      </x:c>
      <x:c r="AI680" s="2" t="str">
        <x:f>IF(B680="","",'Calibrare_Linii'!V8)</x:f>
      </x:c>
      <x:c r="AJ680" s="2" t="str">
        <x:f>IF(B680="","",IF(AND('Calibrare_Linii'!T8="VALIDATED",AND('Calibrare_Linii'!H8=C680,ISNUMBER('Calibrare_Linii'!J8),'Calibrare_Linii'!J8&lt;='Input_Meci'!G54)),"DEFENSIVE VALIDATED",IF(AND('Calibrare_Linii'!S8="VALIDATED",AND('Calibrare_Linii'!H8=C680,ISNUMBER('Calibrare_Linii'!J8),'Calibrare_Linii'!J8&lt;='Input_Meci'!G54)),"TAIL VALIDATED","OOS PENDING")))</x:f>
      </x:c>
      <x:c r="AK680" s="2" t="n">
        <x:f>IF(J680&lt;&gt;"PASS",0,'Motor_Meciuri'!BR54)</x:f>
        <x:v>0</x:v>
      </x:c>
      <x:c r="AL680" s="2" t="n">
        <x:f>IF(J680&lt;&gt;"PASS",0,'Motor_Meciuri'!BS54)</x:f>
        <x:v>0</x:v>
      </x:c>
      <x:c r="AM680" s="2" t="n">
        <x:f>IF(J680&lt;&gt;"PASS",0,'Motor_Meciuri'!BT54)</x:f>
        <x:v>0</x:v>
      </x:c>
      <x:c r="AN680" s="2" t="str">
        <x:f>IF(M680="","",MAX(0,'Motor_Meciuri'!BF54-IF(L680&gt;'Config_v6'!$B$12,'Config_v6'!$B$37,IF(L680&gt;'Config_v6'!$B$11,'Config_v6'!$B$36,0))))</x:f>
      </x:c>
    </x:row>
    <x:row r="681" ht="21" customHeight="1">
      <x:c r="A681" s="2" t="n">
        <x:v>49</x:v>
      </x:c>
      <x:c r="B681" s="2" t="str">
        <x:f>IF('Motor_Meciuri'!A54="","",'Motor_Meciuri'!A54)</x:f>
      </x:c>
      <x:c r="C681" s="2" t="str">
        <x:f>IF(B681="","",'Motor_Meciuri'!B54)</x:f>
      </x:c>
      <x:c r="D681" s="2" t="str">
        <x:f>IF(B681="","",'Motor_Meciuri'!D54)</x:f>
      </x:c>
      <x:c r="E681" s="2" t="str">
        <x:f>IF(B681="","",'Motor_Meciuri'!E54)</x:f>
      </x:c>
      <x:c r="F681" s="2" t="str">
        <x:v>O6,5</x:v>
      </x:c>
      <x:c r="G681" s="2" t="str">
        <x:v>OVER</x:v>
      </x:c>
      <x:c r="H681" s="2" t="n">
        <x:v>6</x:v>
      </x:c>
      <x:c r="I681" s="2" t="str">
        <x:f>IF(B681="","",'Motor_Meciuri'!H54)</x:f>
      </x:c>
      <x:c r="J681" s="2" t="str">
        <x:f>IF(B681="","",'Motor_Meciuri'!I54)</x:f>
      </x:c>
      <x:c r="K681" s="11" t="str">
        <x:f>IF(J681&lt;&gt;"PASS","",'Motor_Meciuri'!BD54)</x:f>
      </x:c>
      <x:c r="L681" s="11" t="str">
        <x:f>IF(J681&lt;&gt;"PASS","",'Motor_Meciuri'!AU54)</x:f>
      </x:c>
      <x:c r="M681" s="10" t="str">
        <x:f>IF(NOT(AND(J681="PASS",'Calibrare_Linii'!U9="VALID")),"",1-'Distributie'!AD54)</x:f>
      </x:c>
      <x:c r="N681" s="10" t="str">
        <x:f>IF(M681="","",MAX(0.01,MIN(0.99,0.5+(M681-0.5)*'Motor_Meciuri'!BG54*'Calibrare_Linii'!D9)))</x:f>
      </x:c>
      <x:c r="O681" s="10" t="str">
        <x:f>IF(M681="","",1-M681)</x:f>
      </x:c>
      <x:c r="P681" s="10" t="str">
        <x:f>IF(OR(NOT(AND(J681="PASS",'Calibrare_Linii'!U9="VALID")),AK681=0),""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*('Istoric_Nativ'!$Q$6:$Q$405&lt;=H681))/AK681)</x:f>
      </x:c>
      <x:c r="Q681" s="10" t="str">
        <x:f>IF(OR(NOT(AND(J681="PASS",'Calibrare_Linii'!U9="VALID")),AL681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M54)+((('Istoric_Nativ'!$E$6:$E$405='Input_Meci'!E54)+('Istoric_Nativ'!$F$6:$F$405='Input_Meci'!E54))&gt;0)*('Istoric_Nativ'!$D$6:$D$405&gt;='Motor_Meciuri'!BN54))&gt;0)*('Istoric_Nativ'!$Q$6:$Q$405&lt;=H681))/AL681)</x:f>
      </x:c>
      <x:c r="R681" s="10" t="str">
        <x:f>IF(OR(NOT(AND(J681="PASS",'Calibrare_Linii'!U9="VALID")),AM681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O54)+((('Istoric_Nativ'!$E$6:$E$405='Input_Meci'!E54)+('Istoric_Nativ'!$F$6:$F$405='Input_Meci'!E54))&gt;0)*('Istoric_Nativ'!$D$6:$D$405&gt;='Motor_Meciuri'!BP54))&gt;0)*('Istoric_Nativ'!$Q$6:$Q$405&lt;=H681))/AM681)</x:f>
      </x:c>
      <x:c r="S681" s="10" t="str">
        <x:f>IF(M681="","",MAX(O681,P681,Q681,R681))</x:f>
      </x:c>
      <x:c r="T681" s="11" t="str">
        <x:f>IF(M681="","",MIN(100,S681*100*'Config_v6'!$B$44+MIN(100,L681/'Config_v6'!$B$13*100)*'Config_v6'!$B$45+(100-'Motor_Meciuri'!BF54)*'Config_v6'!$B$46+'Motor_Meciuri'!BH54*100*'Config_v6'!$B$47))</x:f>
      </x:c>
      <x:c r="U681" s="2" t="str">
        <x:f>IF(T681="","",IF(T681&lt;=20,1,IF(T681&lt;=40,2,IF(T681&lt;=60,3,IF(T681&lt;=80,4,5)))))</x:f>
      </x:c>
      <x:c r="V681" s="2" t="str">
        <x:f>IF(M681="","",MAX(0,'Motor_Meciuri'!BF54-IF(W681="OOS PENDING",'Config_v6'!$B$35,0)-IF(L681&gt;'Config_v6'!$B$12,'Config_v6'!$B$37,IF(L681&gt;'Config_v6'!$B$11,'Config_v6'!$B$36,0))))</x:f>
      </x:c>
      <x:c r="W681" s="2" t="str">
        <x:f>IF(B681="","",IF(I681&lt;&gt;"READY","NOT RELEASED",IF(NOT(AND(J681="PASS",'Calibrare_Linii'!U9="VALID")),"INVALID",IF(NOT(AND('Calibrare_Linii'!S9="VALIDATED",AND('Calibrare_Linii'!H9=C681,ISNUMBER('Calibrare_Linii'!J9),'Calibrare_Linii'!J9&lt;='Input_Meci'!G54))),"OOS PENDING",IF(S681&lt;='Calibrare_Linii'!E9,"PASS",IF(S681&lt;='Calibrare_Linii'!F9,"PENALTY","WATCH"))))))</x:f>
      </x:c>
      <x:c r="X681" s="2" t="str">
        <x:f>IF(M681="","",IF(AND(AND(J681="PASS",'Calibrare_Linii'!U9="VALID"),'Motor_Meciuri'!K54=12,'Motor_Meciuri'!L54=12,'Motor_Meciuri'!M54="NO",'Motor_Meciuri'!BL54='Motor_Meciuri'!C54,AB681&gt;='Config_v6'!$B$50,AN681&gt;='Config_v6'!$B$51,T681&lt;='Config_v6'!$B$52,L681&lt;='Config_v6'!$B$53,ISNUMBER('Calibrare_Linii'!E9),S681&lt;='Calibrare_Linii'!E9,SUM(AK681:AM681)&gt;0),"CANDIDATE","NO"))</x:f>
      </x:c>
      <x:c r="Y681" s="2" t="str">
        <x:f>IF(B681="","",IF(I681&lt;&gt;"READY","NOT RELEASED",IF(AND(X681="CANDIDATE",V681&gt;='Config_v6'!$B$51,W681="PASS",'Calibrare_Linii'!T9="VALIDATED",AND('Calibrare_Linii'!H9=C681,ISNUMBER('Calibrare_Linii'!J9),'Calibrare_Linii'!J9&lt;='Input_Meci'!G54)),"PASS",IF(X681="CANDIDATE","OOS PENDING","FAIL"))))</x:f>
      </x:c>
      <x:c r="Z681" s="2" t="str">
        <x:f>IF(B681="","",IF(I681&lt;&gt;"READY","",IF(OR(NOT(AND(J681="PASS",'Calibrare_Linii'!U9="VALID")),L681&gt;'Config_v6'!$B$13,W681="WATCH"),5,IF(Y681="PASS",1,MIN(5,MAX('Config_v6'!$B$42,U681)+IF(W681="PENALTY",1,0))))))</x:f>
      </x:c>
      <x:c r="AA681" s="2" t="str">
        <x:f>IF(B681="","",IF(I681&lt;&gt;"READY","NOT RELEASED",IF(Z681=5,"NO BET",IF(OR(AB681&lt;'Config_v6'!$B$16,V681&lt;'Config_v6'!$B$18),"WATCH",IF(Z681=1,"DEFENSIV",IF(Z681=2,"PRUDENT",IF(Z681=3,"MODERAT","RIDICAT")))))))</x:f>
      </x:c>
      <x:c r="AB681" s="10" t="str">
        <x:f>IF(N681="","",MIN(N681,1-S681))</x:f>
      </x:c>
      <x:c r="AC681" s="2" t="str">
        <x:f>IF(AD681&lt;&gt;1,"",COUNTIFS($Z$678:$Z$691,"&lt;"&amp;Z681,$AD$678:$AD$691,1)+COUNTIFS($Z$678:$Z$691,Z681,$AB$678:$AB$691,"&gt;"&amp;AB681,$AD$678:$AD$691,1)+COUNTIFS($Z$678:$Z$691,Z681,$AB$678:$AB$691,AB681,$V$678:$V$691,"&gt;"&amp;V681,$AD$678:$AD$691,1)+COUNTIFS($Z$678:Z681,Z681,$AB$678:AB681,AB681,$V$678:V681,V681,$AD$678:AD681,1))</x:f>
      </x:c>
      <x:c r="AD681" s="2" t="n">
        <x:f>IF(OR(AA681="DEFENSIV",AA681="PRUDENT",AA681="MODERAT",AA681="RIDICAT"),1,0)</x:f>
        <x:v>0</x:v>
      </x:c>
      <x:c r="AE681" s="2" t="str">
        <x:f>IF(AD681&lt;&gt;1,"NO",IF(W681="PASS","YES",IF(W681="OOS PENDING","CONDITIONAL","NO")))</x:f>
        <x:v>NO</x:v>
      </x:c>
      <x:c r="AF681" s="2" t="n">
        <x:f>IF(AND(AD681=1,AC681=1,E681="LIVE"),1,0)</x:f>
        <x:v>0</x:v>
      </x:c>
      <x:c r="AG681" s="2" t="str">
        <x:f>IF(AF681&lt;&gt;1,"",'Dashboard'!P74)</x:f>
      </x:c>
      <x:c r="AH681" s="2" t="str">
        <x:f>IF(B681="","",IF(J681&lt;&gt;"PASS",'Motor_Meciuri'!J54,IF('Calibrare_Linii'!U9&lt;&gt;"VALID","Parametri linie invalizi",IF(L681&gt;'Config_v6'!$B$13,"Dispersie peste limita",IF(W681="WATCH","Failure peste limita",IF(AB681&lt;'Config_v6'!$B$16,"P finala sub prag",IF(V681&lt;'Config_v6'!$B$18,"Confidence sub prag",IF(E681="REPLAY","Exemplu retrospectiv; exclus din Top LIVE",IF(Y681="PASS","DEFENSIV validat",IF(W681="OOS PENDING","Eligibil; calibrare linie in monitorizare","Eligibil"))))))))))</x:f>
      </x:c>
      <x:c r="AI681" s="2" t="str">
        <x:f>IF(B681="","",'Calibrare_Linii'!V9)</x:f>
      </x:c>
      <x:c r="AJ681" s="2" t="str">
        <x:f>IF(B681="","",IF(AND('Calibrare_Linii'!T9="VALIDATED",AND('Calibrare_Linii'!H9=C681,ISNUMBER('Calibrare_Linii'!J9),'Calibrare_Linii'!J9&lt;='Input_Meci'!G54)),"DEFENSIVE VALIDATED",IF(AND('Calibrare_Linii'!S9="VALIDATED",AND('Calibrare_Linii'!H9=C681,ISNUMBER('Calibrare_Linii'!J9),'Calibrare_Linii'!J9&lt;='Input_Meci'!G54)),"TAIL VALIDATED","OOS PENDING")))</x:f>
      </x:c>
      <x:c r="AK681" s="2" t="n">
        <x:f>IF(J681&lt;&gt;"PASS",0,'Motor_Meciuri'!BR54)</x:f>
        <x:v>0</x:v>
      </x:c>
      <x:c r="AL681" s="2" t="n">
        <x:f>IF(J681&lt;&gt;"PASS",0,'Motor_Meciuri'!BS54)</x:f>
        <x:v>0</x:v>
      </x:c>
      <x:c r="AM681" s="2" t="n">
        <x:f>IF(J681&lt;&gt;"PASS",0,'Motor_Meciuri'!BT54)</x:f>
        <x:v>0</x:v>
      </x:c>
      <x:c r="AN681" s="2" t="str">
        <x:f>IF(M681="","",MAX(0,'Motor_Meciuri'!BF54-IF(L681&gt;'Config_v6'!$B$12,'Config_v6'!$B$37,IF(L681&gt;'Config_v6'!$B$11,'Config_v6'!$B$36,0))))</x:f>
      </x:c>
    </x:row>
    <x:row r="682" ht="21" customHeight="1">
      <x:c r="A682" s="2" t="n">
        <x:v>49</x:v>
      </x:c>
      <x:c r="B682" s="2" t="str">
        <x:f>IF('Motor_Meciuri'!A54="","",'Motor_Meciuri'!A54)</x:f>
      </x:c>
      <x:c r="C682" s="2" t="str">
        <x:f>IF(B682="","",'Motor_Meciuri'!B54)</x:f>
      </x:c>
      <x:c r="D682" s="2" t="str">
        <x:f>IF(B682="","",'Motor_Meciuri'!D54)</x:f>
      </x:c>
      <x:c r="E682" s="2" t="str">
        <x:f>IF(B682="","",'Motor_Meciuri'!E54)</x:f>
      </x:c>
      <x:c r="F682" s="2" t="str">
        <x:v>O7,5</x:v>
      </x:c>
      <x:c r="G682" s="2" t="str">
        <x:v>OVER</x:v>
      </x:c>
      <x:c r="H682" s="2" t="n">
        <x:v>7</x:v>
      </x:c>
      <x:c r="I682" s="2" t="str">
        <x:f>IF(B682="","",'Motor_Meciuri'!H54)</x:f>
      </x:c>
      <x:c r="J682" s="2" t="str">
        <x:f>IF(B682="","",'Motor_Meciuri'!I54)</x:f>
      </x:c>
      <x:c r="K682" s="11" t="str">
        <x:f>IF(J682&lt;&gt;"PASS","",'Motor_Meciuri'!BD54)</x:f>
      </x:c>
      <x:c r="L682" s="11" t="str">
        <x:f>IF(J682&lt;&gt;"PASS","",'Motor_Meciuri'!AU54)</x:f>
      </x:c>
      <x:c r="M682" s="10" t="str">
        <x:f>IF(NOT(AND(J682="PASS",'Calibrare_Linii'!U10="VALID")),"",1-'Distributie'!AE54)</x:f>
      </x:c>
      <x:c r="N682" s="10" t="str">
        <x:f>IF(M682="","",MAX(0.01,MIN(0.99,0.5+(M682-0.5)*'Motor_Meciuri'!BG54*'Calibrare_Linii'!D10)))</x:f>
      </x:c>
      <x:c r="O682" s="10" t="str">
        <x:f>IF(M682="","",1-M682)</x:f>
      </x:c>
      <x:c r="P682" s="10" t="str">
        <x:f>IF(OR(NOT(AND(J682="PASS",'Calibrare_Linii'!U10="VALID")),AK682=0),""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*('Istoric_Nativ'!$Q$6:$Q$405&lt;=H682))/AK682)</x:f>
      </x:c>
      <x:c r="Q682" s="10" t="str">
        <x:f>IF(OR(NOT(AND(J682="PASS",'Calibrare_Linii'!U10="VALID")),AL682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M54)+((('Istoric_Nativ'!$E$6:$E$405='Input_Meci'!E54)+('Istoric_Nativ'!$F$6:$F$405='Input_Meci'!E54))&gt;0)*('Istoric_Nativ'!$D$6:$D$405&gt;='Motor_Meciuri'!BN54))&gt;0)*('Istoric_Nativ'!$Q$6:$Q$405&lt;=H682))/AL682)</x:f>
      </x:c>
      <x:c r="R682" s="10" t="str">
        <x:f>IF(OR(NOT(AND(J682="PASS",'Calibrare_Linii'!U10="VALID")),AM682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O54)+((('Istoric_Nativ'!$E$6:$E$405='Input_Meci'!E54)+('Istoric_Nativ'!$F$6:$F$405='Input_Meci'!E54))&gt;0)*('Istoric_Nativ'!$D$6:$D$405&gt;='Motor_Meciuri'!BP54))&gt;0)*('Istoric_Nativ'!$Q$6:$Q$405&lt;=H682))/AM682)</x:f>
      </x:c>
      <x:c r="S682" s="10" t="str">
        <x:f>IF(M682="","",MAX(O682,P682,Q682,R682))</x:f>
      </x:c>
      <x:c r="T682" s="11" t="str">
        <x:f>IF(M682="","",MIN(100,S682*100*'Config_v6'!$B$44+MIN(100,L682/'Config_v6'!$B$13*100)*'Config_v6'!$B$45+(100-'Motor_Meciuri'!BF54)*'Config_v6'!$B$46+'Motor_Meciuri'!BH54*100*'Config_v6'!$B$47))</x:f>
      </x:c>
      <x:c r="U682" s="2" t="str">
        <x:f>IF(T682="","",IF(T682&lt;=20,1,IF(T682&lt;=40,2,IF(T682&lt;=60,3,IF(T682&lt;=80,4,5)))))</x:f>
      </x:c>
      <x:c r="V682" s="2" t="str">
        <x:f>IF(M682="","",MAX(0,'Motor_Meciuri'!BF54-IF(W682="OOS PENDING",'Config_v6'!$B$35,0)-IF(L682&gt;'Config_v6'!$B$12,'Config_v6'!$B$37,IF(L682&gt;'Config_v6'!$B$11,'Config_v6'!$B$36,0))))</x:f>
      </x:c>
      <x:c r="W682" s="2" t="str">
        <x:f>IF(B682="","",IF(I682&lt;&gt;"READY","NOT RELEASED",IF(NOT(AND(J682="PASS",'Calibrare_Linii'!U10="VALID")),"INVALID",IF(NOT(AND('Calibrare_Linii'!S10="VALIDATED",AND('Calibrare_Linii'!H10=C682,ISNUMBER('Calibrare_Linii'!J10),'Calibrare_Linii'!J10&lt;='Input_Meci'!G54))),"OOS PENDING",IF(S682&lt;='Calibrare_Linii'!E10,"PASS",IF(S682&lt;='Calibrare_Linii'!F10,"PENALTY","WATCH"))))))</x:f>
      </x:c>
      <x:c r="X682" s="2" t="str">
        <x:f>IF(M682="","",IF(AND(AND(J682="PASS",'Calibrare_Linii'!U10="VALID"),'Motor_Meciuri'!K54=12,'Motor_Meciuri'!L54=12,'Motor_Meciuri'!M54="NO",'Motor_Meciuri'!BL54='Motor_Meciuri'!C54,AB682&gt;='Config_v6'!$B$50,AN682&gt;='Config_v6'!$B$51,T682&lt;='Config_v6'!$B$52,L682&lt;='Config_v6'!$B$53,ISNUMBER('Calibrare_Linii'!E10),S682&lt;='Calibrare_Linii'!E10,SUM(AK682:AM682)&gt;0),"CANDIDATE","NO"))</x:f>
      </x:c>
      <x:c r="Y682" s="2" t="str">
        <x:f>IF(B682="","",IF(I682&lt;&gt;"READY","NOT RELEASED",IF(AND(X682="CANDIDATE",V682&gt;='Config_v6'!$B$51,W682="PASS",'Calibrare_Linii'!T10="VALIDATED",AND('Calibrare_Linii'!H10=C682,ISNUMBER('Calibrare_Linii'!J10),'Calibrare_Linii'!J10&lt;='Input_Meci'!G54)),"PASS",IF(X682="CANDIDATE","OOS PENDING","FAIL"))))</x:f>
      </x:c>
      <x:c r="Z682" s="2" t="str">
        <x:f>IF(B682="","",IF(I682&lt;&gt;"READY","",IF(OR(NOT(AND(J682="PASS",'Calibrare_Linii'!U10="VALID")),L682&gt;'Config_v6'!$B$13,W682="WATCH"),5,IF(Y682="PASS",1,MIN(5,MAX('Config_v6'!$B$42,U682)+IF(W682="PENALTY",1,0))))))</x:f>
      </x:c>
      <x:c r="AA682" s="2" t="str">
        <x:f>IF(B682="","",IF(I682&lt;&gt;"READY","NOT RELEASED",IF(Z682=5,"NO BET",IF(OR(AB682&lt;'Config_v6'!$B$16,V682&lt;'Config_v6'!$B$18),"WATCH",IF(Z682=1,"DEFENSIV",IF(Z682=2,"PRUDENT",IF(Z682=3,"MODERAT","RIDICAT")))))))</x:f>
      </x:c>
      <x:c r="AB682" s="10" t="str">
        <x:f>IF(N682="","",MIN(N682,1-S682))</x:f>
      </x:c>
      <x:c r="AC682" s="2" t="str">
        <x:f>IF(AD682&lt;&gt;1,"",COUNTIFS($Z$678:$Z$691,"&lt;"&amp;Z682,$AD$678:$AD$691,1)+COUNTIFS($Z$678:$Z$691,Z682,$AB$678:$AB$691,"&gt;"&amp;AB682,$AD$678:$AD$691,1)+COUNTIFS($Z$678:$Z$691,Z682,$AB$678:$AB$691,AB682,$V$678:$V$691,"&gt;"&amp;V682,$AD$678:$AD$691,1)+COUNTIFS($Z$678:Z682,Z682,$AB$678:AB682,AB682,$V$678:V682,V682,$AD$678:AD682,1))</x:f>
      </x:c>
      <x:c r="AD682" s="2" t="n">
        <x:f>IF(OR(AA682="DEFENSIV",AA682="PRUDENT",AA682="MODERAT",AA682="RIDICAT"),1,0)</x:f>
        <x:v>0</x:v>
      </x:c>
      <x:c r="AE682" s="2" t="str">
        <x:f>IF(AD682&lt;&gt;1,"NO",IF(W682="PASS","YES",IF(W682="OOS PENDING","CONDITIONAL","NO")))</x:f>
        <x:v>NO</x:v>
      </x:c>
      <x:c r="AF682" s="2" t="n">
        <x:f>IF(AND(AD682=1,AC682=1,E682="LIVE"),1,0)</x:f>
        <x:v>0</x:v>
      </x:c>
      <x:c r="AG682" s="2" t="str">
        <x:f>IF(AF682&lt;&gt;1,"",'Dashboard'!P74)</x:f>
      </x:c>
      <x:c r="AH682" s="2" t="str">
        <x:f>IF(B682="","",IF(J682&lt;&gt;"PASS",'Motor_Meciuri'!J54,IF('Calibrare_Linii'!U10&lt;&gt;"VALID","Parametri linie invalizi",IF(L682&gt;'Config_v6'!$B$13,"Dispersie peste limita",IF(W682="WATCH","Failure peste limita",IF(AB682&lt;'Config_v6'!$B$16,"P finala sub prag",IF(V682&lt;'Config_v6'!$B$18,"Confidence sub prag",IF(E682="REPLAY","Exemplu retrospectiv; exclus din Top LIVE",IF(Y682="PASS","DEFENSIV validat",IF(W682="OOS PENDING","Eligibil; calibrare linie in monitorizare","Eligibil"))))))))))</x:f>
      </x:c>
      <x:c r="AI682" s="2" t="str">
        <x:f>IF(B682="","",'Calibrare_Linii'!V10)</x:f>
      </x:c>
      <x:c r="AJ682" s="2" t="str">
        <x:f>IF(B682="","",IF(AND('Calibrare_Linii'!T10="VALIDATED",AND('Calibrare_Linii'!H10=C682,ISNUMBER('Calibrare_Linii'!J10),'Calibrare_Linii'!J10&lt;='Input_Meci'!G54)),"DEFENSIVE VALIDATED",IF(AND('Calibrare_Linii'!S10="VALIDATED",AND('Calibrare_Linii'!H10=C682,ISNUMBER('Calibrare_Linii'!J10),'Calibrare_Linii'!J10&lt;='Input_Meci'!G54)),"TAIL VALIDATED","OOS PENDING")))</x:f>
      </x:c>
      <x:c r="AK682" s="2" t="n">
        <x:f>IF(J682&lt;&gt;"PASS",0,'Motor_Meciuri'!BR54)</x:f>
        <x:v>0</x:v>
      </x:c>
      <x:c r="AL682" s="2" t="n">
        <x:f>IF(J682&lt;&gt;"PASS",0,'Motor_Meciuri'!BS54)</x:f>
        <x:v>0</x:v>
      </x:c>
      <x:c r="AM682" s="2" t="n">
        <x:f>IF(J682&lt;&gt;"PASS",0,'Motor_Meciuri'!BT54)</x:f>
        <x:v>0</x:v>
      </x:c>
      <x:c r="AN682" s="2" t="str">
        <x:f>IF(M682="","",MAX(0,'Motor_Meciuri'!BF54-IF(L682&gt;'Config_v6'!$B$12,'Config_v6'!$B$37,IF(L682&gt;'Config_v6'!$B$11,'Config_v6'!$B$36,0))))</x:f>
      </x:c>
    </x:row>
    <x:row r="683" ht="21" customHeight="1">
      <x:c r="A683" s="2" t="n">
        <x:v>49</x:v>
      </x:c>
      <x:c r="B683" s="2" t="str">
        <x:f>IF('Motor_Meciuri'!A54="","",'Motor_Meciuri'!A54)</x:f>
      </x:c>
      <x:c r="C683" s="2" t="str">
        <x:f>IF(B683="","",'Motor_Meciuri'!B54)</x:f>
      </x:c>
      <x:c r="D683" s="2" t="str">
        <x:f>IF(B683="","",'Motor_Meciuri'!D54)</x:f>
      </x:c>
      <x:c r="E683" s="2" t="str">
        <x:f>IF(B683="","",'Motor_Meciuri'!E54)</x:f>
      </x:c>
      <x:c r="F683" s="2" t="str">
        <x:v>O8,5</x:v>
      </x:c>
      <x:c r="G683" s="2" t="str">
        <x:v>OVER</x:v>
      </x:c>
      <x:c r="H683" s="2" t="n">
        <x:v>8</x:v>
      </x:c>
      <x:c r="I683" s="2" t="str">
        <x:f>IF(B683="","",'Motor_Meciuri'!H54)</x:f>
      </x:c>
      <x:c r="J683" s="2" t="str">
        <x:f>IF(B683="","",'Motor_Meciuri'!I54)</x:f>
      </x:c>
      <x:c r="K683" s="11" t="str">
        <x:f>IF(J683&lt;&gt;"PASS","",'Motor_Meciuri'!BD54)</x:f>
      </x:c>
      <x:c r="L683" s="11" t="str">
        <x:f>IF(J683&lt;&gt;"PASS","",'Motor_Meciuri'!AU54)</x:f>
      </x:c>
      <x:c r="M683" s="10" t="str">
        <x:f>IF(NOT(AND(J683="PASS",'Calibrare_Linii'!U11="VALID")),"",1-'Distributie'!AF54)</x:f>
      </x:c>
      <x:c r="N683" s="10" t="str">
        <x:f>IF(M683="","",MAX(0.01,MIN(0.99,0.5+(M683-0.5)*'Motor_Meciuri'!BG54*'Calibrare_Linii'!D11)))</x:f>
      </x:c>
      <x:c r="O683" s="10" t="str">
        <x:f>IF(M683="","",1-M683)</x:f>
      </x:c>
      <x:c r="P683" s="10" t="str">
        <x:f>IF(OR(NOT(AND(J683="PASS",'Calibrare_Linii'!U11="VALID")),AK683=0),""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*('Istoric_Nativ'!$Q$6:$Q$405&lt;=H683))/AK683)</x:f>
      </x:c>
      <x:c r="Q683" s="10" t="str">
        <x:f>IF(OR(NOT(AND(J683="PASS",'Calibrare_Linii'!U11="VALID")),AL683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M54)+((('Istoric_Nativ'!$E$6:$E$405='Input_Meci'!E54)+('Istoric_Nativ'!$F$6:$F$405='Input_Meci'!E54))&gt;0)*('Istoric_Nativ'!$D$6:$D$405&gt;='Motor_Meciuri'!BN54))&gt;0)*('Istoric_Nativ'!$Q$6:$Q$405&lt;=H683))/AL683)</x:f>
      </x:c>
      <x:c r="R683" s="10" t="str">
        <x:f>IF(OR(NOT(AND(J683="PASS",'Calibrare_Linii'!U11="VALID")),AM683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O54)+((('Istoric_Nativ'!$E$6:$E$405='Input_Meci'!E54)+('Istoric_Nativ'!$F$6:$F$405='Input_Meci'!E54))&gt;0)*('Istoric_Nativ'!$D$6:$D$405&gt;='Motor_Meciuri'!BP54))&gt;0)*('Istoric_Nativ'!$Q$6:$Q$405&lt;=H683))/AM683)</x:f>
      </x:c>
      <x:c r="S683" s="10" t="str">
        <x:f>IF(M683="","",MAX(O683,P683,Q683,R683))</x:f>
      </x:c>
      <x:c r="T683" s="11" t="str">
        <x:f>IF(M683="","",MIN(100,S683*100*'Config_v6'!$B$44+MIN(100,L683/'Config_v6'!$B$13*100)*'Config_v6'!$B$45+(100-'Motor_Meciuri'!BF54)*'Config_v6'!$B$46+'Motor_Meciuri'!BH54*100*'Config_v6'!$B$47))</x:f>
      </x:c>
      <x:c r="U683" s="2" t="str">
        <x:f>IF(T683="","",IF(T683&lt;=20,1,IF(T683&lt;=40,2,IF(T683&lt;=60,3,IF(T683&lt;=80,4,5)))))</x:f>
      </x:c>
      <x:c r="V683" s="2" t="str">
        <x:f>IF(M683="","",MAX(0,'Motor_Meciuri'!BF54-IF(W683="OOS PENDING",'Config_v6'!$B$35,0)-IF(L683&gt;'Config_v6'!$B$12,'Config_v6'!$B$37,IF(L683&gt;'Config_v6'!$B$11,'Config_v6'!$B$36,0))))</x:f>
      </x:c>
      <x:c r="W683" s="2" t="str">
        <x:f>IF(B683="","",IF(I683&lt;&gt;"READY","NOT RELEASED",IF(NOT(AND(J683="PASS",'Calibrare_Linii'!U11="VALID")),"INVALID",IF(NOT(AND('Calibrare_Linii'!S11="VALIDATED",AND('Calibrare_Linii'!H11=C683,ISNUMBER('Calibrare_Linii'!J11),'Calibrare_Linii'!J11&lt;='Input_Meci'!G54))),"OOS PENDING",IF(S683&lt;='Calibrare_Linii'!E11,"PASS",IF(S683&lt;='Calibrare_Linii'!F11,"PENALTY","WATCH"))))))</x:f>
      </x:c>
      <x:c r="X683" s="2" t="str">
        <x:f>IF(M683="","",IF(AND(AND(J683="PASS",'Calibrare_Linii'!U11="VALID"),'Motor_Meciuri'!K54=12,'Motor_Meciuri'!L54=12,'Motor_Meciuri'!M54="NO",'Motor_Meciuri'!BL54='Motor_Meciuri'!C54,AB683&gt;='Config_v6'!$B$50,AN683&gt;='Config_v6'!$B$51,T683&lt;='Config_v6'!$B$52,L683&lt;='Config_v6'!$B$53,ISNUMBER('Calibrare_Linii'!E11),S683&lt;='Calibrare_Linii'!E11,SUM(AK683:AM683)&gt;0),"CANDIDATE","NO"))</x:f>
      </x:c>
      <x:c r="Y683" s="2" t="str">
        <x:f>IF(B683="","",IF(I683&lt;&gt;"READY","NOT RELEASED",IF(AND(X683="CANDIDATE",V683&gt;='Config_v6'!$B$51,W683="PASS",'Calibrare_Linii'!T11="VALIDATED",AND('Calibrare_Linii'!H11=C683,ISNUMBER('Calibrare_Linii'!J11),'Calibrare_Linii'!J11&lt;='Input_Meci'!G54)),"PASS",IF(X683="CANDIDATE","OOS PENDING","FAIL"))))</x:f>
      </x:c>
      <x:c r="Z683" s="2" t="str">
        <x:f>IF(B683="","",IF(I683&lt;&gt;"READY","",IF(OR(NOT(AND(J683="PASS",'Calibrare_Linii'!U11="VALID")),L683&gt;'Config_v6'!$B$13,W683="WATCH"),5,IF(Y683="PASS",1,MIN(5,MAX('Config_v6'!$B$42,U683)+IF(W683="PENALTY",1,0))))))</x:f>
      </x:c>
      <x:c r="AA683" s="2" t="str">
        <x:f>IF(B683="","",IF(I683&lt;&gt;"READY","NOT RELEASED",IF(Z683=5,"NO BET",IF(OR(AB683&lt;'Config_v6'!$B$16,V683&lt;'Config_v6'!$B$18),"WATCH",IF(Z683=1,"DEFENSIV",IF(Z683=2,"PRUDENT",IF(Z683=3,"MODERAT","RIDICAT")))))))</x:f>
      </x:c>
      <x:c r="AB683" s="10" t="str">
        <x:f>IF(N683="","",MIN(N683,1-S683))</x:f>
      </x:c>
      <x:c r="AC683" s="2" t="str">
        <x:f>IF(AD683&lt;&gt;1,"",COUNTIFS($Z$678:$Z$691,"&lt;"&amp;Z683,$AD$678:$AD$691,1)+COUNTIFS($Z$678:$Z$691,Z683,$AB$678:$AB$691,"&gt;"&amp;AB683,$AD$678:$AD$691,1)+COUNTIFS($Z$678:$Z$691,Z683,$AB$678:$AB$691,AB683,$V$678:$V$691,"&gt;"&amp;V683,$AD$678:$AD$691,1)+COUNTIFS($Z$678:Z683,Z683,$AB$678:AB683,AB683,$V$678:V683,V683,$AD$678:AD683,1))</x:f>
      </x:c>
      <x:c r="AD683" s="2" t="n">
        <x:f>IF(OR(AA683="DEFENSIV",AA683="PRUDENT",AA683="MODERAT",AA683="RIDICAT"),1,0)</x:f>
        <x:v>0</x:v>
      </x:c>
      <x:c r="AE683" s="2" t="str">
        <x:f>IF(AD683&lt;&gt;1,"NO",IF(W683="PASS","YES",IF(W683="OOS PENDING","CONDITIONAL","NO")))</x:f>
        <x:v>NO</x:v>
      </x:c>
      <x:c r="AF683" s="2" t="n">
        <x:f>IF(AND(AD683=1,AC683=1,E683="LIVE"),1,0)</x:f>
        <x:v>0</x:v>
      </x:c>
      <x:c r="AG683" s="2" t="str">
        <x:f>IF(AF683&lt;&gt;1,"",'Dashboard'!P74)</x:f>
      </x:c>
      <x:c r="AH683" s="2" t="str">
        <x:f>IF(B683="","",IF(J683&lt;&gt;"PASS",'Motor_Meciuri'!J54,IF('Calibrare_Linii'!U11&lt;&gt;"VALID","Parametri linie invalizi",IF(L683&gt;'Config_v6'!$B$13,"Dispersie peste limita",IF(W683="WATCH","Failure peste limita",IF(AB683&lt;'Config_v6'!$B$16,"P finala sub prag",IF(V683&lt;'Config_v6'!$B$18,"Confidence sub prag",IF(E683="REPLAY","Exemplu retrospectiv; exclus din Top LIVE",IF(Y683="PASS","DEFENSIV validat",IF(W683="OOS PENDING","Eligibil; calibrare linie in monitorizare","Eligibil"))))))))))</x:f>
      </x:c>
      <x:c r="AI683" s="2" t="str">
        <x:f>IF(B683="","",'Calibrare_Linii'!V11)</x:f>
      </x:c>
      <x:c r="AJ683" s="2" t="str">
        <x:f>IF(B683="","",IF(AND('Calibrare_Linii'!T11="VALIDATED",AND('Calibrare_Linii'!H11=C683,ISNUMBER('Calibrare_Linii'!J11),'Calibrare_Linii'!J11&lt;='Input_Meci'!G54)),"DEFENSIVE VALIDATED",IF(AND('Calibrare_Linii'!S11="VALIDATED",AND('Calibrare_Linii'!H11=C683,ISNUMBER('Calibrare_Linii'!J11),'Calibrare_Linii'!J11&lt;='Input_Meci'!G54)),"TAIL VALIDATED","OOS PENDING")))</x:f>
      </x:c>
      <x:c r="AK683" s="2" t="n">
        <x:f>IF(J683&lt;&gt;"PASS",0,'Motor_Meciuri'!BR54)</x:f>
        <x:v>0</x:v>
      </x:c>
      <x:c r="AL683" s="2" t="n">
        <x:f>IF(J683&lt;&gt;"PASS",0,'Motor_Meciuri'!BS54)</x:f>
        <x:v>0</x:v>
      </x:c>
      <x:c r="AM683" s="2" t="n">
        <x:f>IF(J683&lt;&gt;"PASS",0,'Motor_Meciuri'!BT54)</x:f>
        <x:v>0</x:v>
      </x:c>
      <x:c r="AN683" s="2" t="str">
        <x:f>IF(M683="","",MAX(0,'Motor_Meciuri'!BF54-IF(L683&gt;'Config_v6'!$B$12,'Config_v6'!$B$37,IF(L683&gt;'Config_v6'!$B$11,'Config_v6'!$B$36,0))))</x:f>
      </x:c>
    </x:row>
    <x:row r="684" ht="21" customHeight="1">
      <x:c r="A684" s="2" t="n">
        <x:v>49</x:v>
      </x:c>
      <x:c r="B684" s="2" t="str">
        <x:f>IF('Motor_Meciuri'!A54="","",'Motor_Meciuri'!A54)</x:f>
      </x:c>
      <x:c r="C684" s="2" t="str">
        <x:f>IF(B684="","",'Motor_Meciuri'!B54)</x:f>
      </x:c>
      <x:c r="D684" s="2" t="str">
        <x:f>IF(B684="","",'Motor_Meciuri'!D54)</x:f>
      </x:c>
      <x:c r="E684" s="2" t="str">
        <x:f>IF(B684="","",'Motor_Meciuri'!E54)</x:f>
      </x:c>
      <x:c r="F684" s="2" t="str">
        <x:v>U10,5</x:v>
      </x:c>
      <x:c r="G684" s="2" t="str">
        <x:v>UNDER</x:v>
      </x:c>
      <x:c r="H684" s="2" t="n">
        <x:v>10</x:v>
      </x:c>
      <x:c r="I684" s="2" t="str">
        <x:f>IF(B684="","",'Motor_Meciuri'!H54)</x:f>
      </x:c>
      <x:c r="J684" s="2" t="str">
        <x:f>IF(B684="","",'Motor_Meciuri'!I54)</x:f>
      </x:c>
      <x:c r="K684" s="11" t="str">
        <x:f>IF(J684&lt;&gt;"PASS","",'Motor_Meciuri'!BD54)</x:f>
      </x:c>
      <x:c r="L684" s="11" t="str">
        <x:f>IF(J684&lt;&gt;"PASS","",'Motor_Meciuri'!AU54)</x:f>
      </x:c>
      <x:c r="M684" s="10" t="str">
        <x:f>IF(NOT(AND(J684="PASS",'Calibrare_Linii'!U12="VALID")),"",'Distributie'!AH54)</x:f>
      </x:c>
      <x:c r="N684" s="10" t="str">
        <x:f>IF(M684="","",MAX(0.01,MIN(0.99,0.5+(M684-0.5)*'Motor_Meciuri'!BG54*'Calibrare_Linii'!D12)))</x:f>
      </x:c>
      <x:c r="O684" s="10" t="str">
        <x:f>IF(M684="","",1-M684)</x:f>
      </x:c>
      <x:c r="P684" s="10" t="str">
        <x:f>IF(OR(NOT(AND(J684="PASS",'Calibrare_Linii'!U12="VALID")),AK684=0),""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*('Istoric_Nativ'!$Q$6:$Q$405&gt;H684))/AK684)</x:f>
      </x:c>
      <x:c r="Q684" s="10" t="str">
        <x:f>IF(OR(NOT(AND(J684="PASS",'Calibrare_Linii'!U12="VALID")),AL684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M54)+((('Istoric_Nativ'!$E$6:$E$405='Input_Meci'!E54)+('Istoric_Nativ'!$F$6:$F$405='Input_Meci'!E54))&gt;0)*('Istoric_Nativ'!$D$6:$D$405&gt;='Motor_Meciuri'!BN54))&gt;0)*('Istoric_Nativ'!$Q$6:$Q$405&gt;H684))/AL684)</x:f>
      </x:c>
      <x:c r="R684" s="10" t="str">
        <x:f>IF(OR(NOT(AND(J684="PASS",'Calibrare_Linii'!U12="VALID")),AM684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O54)+((('Istoric_Nativ'!$E$6:$E$405='Input_Meci'!E54)+('Istoric_Nativ'!$F$6:$F$405='Input_Meci'!E54))&gt;0)*('Istoric_Nativ'!$D$6:$D$405&gt;='Motor_Meciuri'!BP54))&gt;0)*('Istoric_Nativ'!$Q$6:$Q$405&gt;H684))/AM684)</x:f>
      </x:c>
      <x:c r="S684" s="10" t="str">
        <x:f>IF(M684="","",MAX(O684,P684,Q684,R684))</x:f>
      </x:c>
      <x:c r="T684" s="11" t="str">
        <x:f>IF(M684="","",MIN(100,S684*100*'Config_v6'!$B$44+MIN(100,L684/'Config_v6'!$B$13*100)*'Config_v6'!$B$45+(100-'Motor_Meciuri'!BF54)*'Config_v6'!$B$46+'Motor_Meciuri'!BH54*100*'Config_v6'!$B$47))</x:f>
      </x:c>
      <x:c r="U684" s="2" t="str">
        <x:f>IF(T684="","",IF(T684&lt;=20,1,IF(T684&lt;=40,2,IF(T684&lt;=60,3,IF(T684&lt;=80,4,5)))))</x:f>
      </x:c>
      <x:c r="V684" s="2" t="str">
        <x:f>IF(M684="","",MAX(0,'Motor_Meciuri'!BF54-IF(W684="OOS PENDING",'Config_v6'!$B$35,0)-IF(L684&gt;'Config_v6'!$B$12,'Config_v6'!$B$37,IF(L684&gt;'Config_v6'!$B$11,'Config_v6'!$B$36,0))))</x:f>
      </x:c>
      <x:c r="W684" s="2" t="str">
        <x:f>IF(B684="","",IF(I684&lt;&gt;"READY","NOT RELEASED",IF(NOT(AND(J684="PASS",'Calibrare_Linii'!U12="VALID")),"INVALID",IF(NOT(AND('Calibrare_Linii'!S12="VALIDATED",AND('Calibrare_Linii'!H12=C684,ISNUMBER('Calibrare_Linii'!J12),'Calibrare_Linii'!J12&lt;='Input_Meci'!G54))),"OOS PENDING",IF(S684&lt;='Calibrare_Linii'!E12,"PASS",IF(S684&lt;='Calibrare_Linii'!F12,"PENALTY","WATCH"))))))</x:f>
      </x:c>
      <x:c r="X684" s="2" t="str">
        <x:f>IF(M684="","",IF(AND(AND(J684="PASS",'Calibrare_Linii'!U12="VALID"),'Motor_Meciuri'!K54=12,'Motor_Meciuri'!L54=12,'Motor_Meciuri'!M54="NO",'Motor_Meciuri'!BL54='Motor_Meciuri'!C54,AB684&gt;='Config_v6'!$B$50,AN684&gt;='Config_v6'!$B$51,T684&lt;='Config_v6'!$B$52,L684&lt;='Config_v6'!$B$53,ISNUMBER('Calibrare_Linii'!E12),S684&lt;='Calibrare_Linii'!E12,SUM(AK684:AM684)&gt;0),"CANDIDATE","NO"))</x:f>
      </x:c>
      <x:c r="Y684" s="2" t="str">
        <x:f>IF(B684="","",IF(I684&lt;&gt;"READY","NOT RELEASED",IF(AND(X684="CANDIDATE",V684&gt;='Config_v6'!$B$51,W684="PASS",'Calibrare_Linii'!T12="VALIDATED",AND('Calibrare_Linii'!H12=C684,ISNUMBER('Calibrare_Linii'!J12),'Calibrare_Linii'!J12&lt;='Input_Meci'!G54)),"PASS",IF(X684="CANDIDATE","OOS PENDING","FAIL"))))</x:f>
      </x:c>
      <x:c r="Z684" s="2" t="str">
        <x:f>IF(B684="","",IF(I684&lt;&gt;"READY","",IF(OR(NOT(AND(J684="PASS",'Calibrare_Linii'!U12="VALID")),L684&gt;'Config_v6'!$B$13,W684="WATCH"),5,IF(Y684="PASS",1,MIN(5,MAX('Config_v6'!$B$42,U684)+IF(W684="PENALTY",1,0))))))</x:f>
      </x:c>
      <x:c r="AA684" s="2" t="str">
        <x:f>IF(B684="","",IF(I684&lt;&gt;"READY","NOT RELEASED",IF(Z684=5,"NO BET",IF(OR(AB684&lt;'Config_v6'!$B$16,V684&lt;'Config_v6'!$B$18),"WATCH",IF(Z684=1,"DEFENSIV",IF(Z684=2,"PRUDENT",IF(Z684=3,"MODERAT","RIDICAT")))))))</x:f>
      </x:c>
      <x:c r="AB684" s="10" t="str">
        <x:f>IF(N684="","",MIN(N684,1-S684))</x:f>
      </x:c>
      <x:c r="AC684" s="2" t="str">
        <x:f>IF(AD684&lt;&gt;1,"",COUNTIFS($Z$678:$Z$691,"&lt;"&amp;Z684,$AD$678:$AD$691,1)+COUNTIFS($Z$678:$Z$691,Z684,$AB$678:$AB$691,"&gt;"&amp;AB684,$AD$678:$AD$691,1)+COUNTIFS($Z$678:$Z$691,Z684,$AB$678:$AB$691,AB684,$V$678:$V$691,"&gt;"&amp;V684,$AD$678:$AD$691,1)+COUNTIFS($Z$678:Z684,Z684,$AB$678:AB684,AB684,$V$678:V684,V684,$AD$678:AD684,1))</x:f>
      </x:c>
      <x:c r="AD684" s="2" t="n">
        <x:f>IF(OR(AA684="DEFENSIV",AA684="PRUDENT",AA684="MODERAT",AA684="RIDICAT"),1,0)</x:f>
        <x:v>0</x:v>
      </x:c>
      <x:c r="AE684" s="2" t="str">
        <x:f>IF(AD684&lt;&gt;1,"NO",IF(W684="PASS","YES",IF(W684="OOS PENDING","CONDITIONAL","NO")))</x:f>
        <x:v>NO</x:v>
      </x:c>
      <x:c r="AF684" s="2" t="n">
        <x:f>IF(AND(AD684=1,AC684=1,E684="LIVE"),1,0)</x:f>
        <x:v>0</x:v>
      </x:c>
      <x:c r="AG684" s="2" t="str">
        <x:f>IF(AF684&lt;&gt;1,"",'Dashboard'!P74)</x:f>
      </x:c>
      <x:c r="AH684" s="2" t="str">
        <x:f>IF(B684="","",IF(J684&lt;&gt;"PASS",'Motor_Meciuri'!J54,IF('Calibrare_Linii'!U12&lt;&gt;"VALID","Parametri linie invalizi",IF(L684&gt;'Config_v6'!$B$13,"Dispersie peste limita",IF(W684="WATCH","Failure peste limita",IF(AB684&lt;'Config_v6'!$B$16,"P finala sub prag",IF(V684&lt;'Config_v6'!$B$18,"Confidence sub prag",IF(E684="REPLAY","Exemplu retrospectiv; exclus din Top LIVE",IF(Y684="PASS","DEFENSIV validat",IF(W684="OOS PENDING","Eligibil; calibrare linie in monitorizare","Eligibil"))))))))))</x:f>
      </x:c>
      <x:c r="AI684" s="2" t="str">
        <x:f>IF(B684="","",'Calibrare_Linii'!V12)</x:f>
      </x:c>
      <x:c r="AJ684" s="2" t="str">
        <x:f>IF(B684="","",IF(AND('Calibrare_Linii'!T12="VALIDATED",AND('Calibrare_Linii'!H12=C684,ISNUMBER('Calibrare_Linii'!J12),'Calibrare_Linii'!J12&lt;='Input_Meci'!G54)),"DEFENSIVE VALIDATED",IF(AND('Calibrare_Linii'!S12="VALIDATED",AND('Calibrare_Linii'!H12=C684,ISNUMBER('Calibrare_Linii'!J12),'Calibrare_Linii'!J12&lt;='Input_Meci'!G54)),"TAIL VALIDATED","OOS PENDING")))</x:f>
      </x:c>
      <x:c r="AK684" s="2" t="n">
        <x:f>IF(J684&lt;&gt;"PASS",0,'Motor_Meciuri'!BR54)</x:f>
        <x:v>0</x:v>
      </x:c>
      <x:c r="AL684" s="2" t="n">
        <x:f>IF(J684&lt;&gt;"PASS",0,'Motor_Meciuri'!BS54)</x:f>
        <x:v>0</x:v>
      </x:c>
      <x:c r="AM684" s="2" t="n">
        <x:f>IF(J684&lt;&gt;"PASS",0,'Motor_Meciuri'!BT54)</x:f>
        <x:v>0</x:v>
      </x:c>
      <x:c r="AN684" s="2" t="str">
        <x:f>IF(M684="","",MAX(0,'Motor_Meciuri'!BF54-IF(L684&gt;'Config_v6'!$B$12,'Config_v6'!$B$37,IF(L684&gt;'Config_v6'!$B$11,'Config_v6'!$B$36,0))))</x:f>
      </x:c>
    </x:row>
    <x:row r="685" ht="21" customHeight="1">
      <x:c r="A685" s="2" t="n">
        <x:v>49</x:v>
      </x:c>
      <x:c r="B685" s="2" t="str">
        <x:f>IF('Motor_Meciuri'!A54="","",'Motor_Meciuri'!A54)</x:f>
      </x:c>
      <x:c r="C685" s="2" t="str">
        <x:f>IF(B685="","",'Motor_Meciuri'!B54)</x:f>
      </x:c>
      <x:c r="D685" s="2" t="str">
        <x:f>IF(B685="","",'Motor_Meciuri'!D54)</x:f>
      </x:c>
      <x:c r="E685" s="2" t="str">
        <x:f>IF(B685="","",'Motor_Meciuri'!E54)</x:f>
      </x:c>
      <x:c r="F685" s="2" t="str">
        <x:v>U11,5</x:v>
      </x:c>
      <x:c r="G685" s="2" t="str">
        <x:v>UNDER</x:v>
      </x:c>
      <x:c r="H685" s="2" t="n">
        <x:v>11</x:v>
      </x:c>
      <x:c r="I685" s="2" t="str">
        <x:f>IF(B685="","",'Motor_Meciuri'!H54)</x:f>
      </x:c>
      <x:c r="J685" s="2" t="str">
        <x:f>IF(B685="","",'Motor_Meciuri'!I54)</x:f>
      </x:c>
      <x:c r="K685" s="11" t="str">
        <x:f>IF(J685&lt;&gt;"PASS","",'Motor_Meciuri'!BD54)</x:f>
      </x:c>
      <x:c r="L685" s="11" t="str">
        <x:f>IF(J685&lt;&gt;"PASS","",'Motor_Meciuri'!AU54)</x:f>
      </x:c>
      <x:c r="M685" s="10" t="str">
        <x:f>IF(NOT(AND(J685="PASS",'Calibrare_Linii'!U13="VALID")),"",'Distributie'!AI54)</x:f>
      </x:c>
      <x:c r="N685" s="10" t="str">
        <x:f>IF(M685="","",MAX(0.01,MIN(0.99,0.5+(M685-0.5)*'Motor_Meciuri'!BG54*'Calibrare_Linii'!D13)))</x:f>
      </x:c>
      <x:c r="O685" s="10" t="str">
        <x:f>IF(M685="","",1-M685)</x:f>
      </x:c>
      <x:c r="P685" s="10" t="str">
        <x:f>IF(OR(NOT(AND(J685="PASS",'Calibrare_Linii'!U13="VALID")),AK685=0),""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*('Istoric_Nativ'!$Q$6:$Q$405&gt;H685))/AK685)</x:f>
      </x:c>
      <x:c r="Q685" s="10" t="str">
        <x:f>IF(OR(NOT(AND(J685="PASS",'Calibrare_Linii'!U13="VALID")),AL685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M54)+((('Istoric_Nativ'!$E$6:$E$405='Input_Meci'!E54)+('Istoric_Nativ'!$F$6:$F$405='Input_Meci'!E54))&gt;0)*('Istoric_Nativ'!$D$6:$D$405&gt;='Motor_Meciuri'!BN54))&gt;0)*('Istoric_Nativ'!$Q$6:$Q$405&gt;H685))/AL685)</x:f>
      </x:c>
      <x:c r="R685" s="10" t="str">
        <x:f>IF(OR(NOT(AND(J685="PASS",'Calibrare_Linii'!U13="VALID")),AM685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O54)+((('Istoric_Nativ'!$E$6:$E$405='Input_Meci'!E54)+('Istoric_Nativ'!$F$6:$F$405='Input_Meci'!E54))&gt;0)*('Istoric_Nativ'!$D$6:$D$405&gt;='Motor_Meciuri'!BP54))&gt;0)*('Istoric_Nativ'!$Q$6:$Q$405&gt;H685))/AM685)</x:f>
      </x:c>
      <x:c r="S685" s="10" t="str">
        <x:f>IF(M685="","",MAX(O685,P685,Q685,R685))</x:f>
      </x:c>
      <x:c r="T685" s="11" t="str">
        <x:f>IF(M685="","",MIN(100,S685*100*'Config_v6'!$B$44+MIN(100,L685/'Config_v6'!$B$13*100)*'Config_v6'!$B$45+(100-'Motor_Meciuri'!BF54)*'Config_v6'!$B$46+'Motor_Meciuri'!BH54*100*'Config_v6'!$B$47))</x:f>
      </x:c>
      <x:c r="U685" s="2" t="str">
        <x:f>IF(T685="","",IF(T685&lt;=20,1,IF(T685&lt;=40,2,IF(T685&lt;=60,3,IF(T685&lt;=80,4,5)))))</x:f>
      </x:c>
      <x:c r="V685" s="2" t="str">
        <x:f>IF(M685="","",MAX(0,'Motor_Meciuri'!BF54-IF(W685="OOS PENDING",'Config_v6'!$B$35,0)-IF(L685&gt;'Config_v6'!$B$12,'Config_v6'!$B$37,IF(L685&gt;'Config_v6'!$B$11,'Config_v6'!$B$36,0))))</x:f>
      </x:c>
      <x:c r="W685" s="2" t="str">
        <x:f>IF(B685="","",IF(I685&lt;&gt;"READY","NOT RELEASED",IF(NOT(AND(J685="PASS",'Calibrare_Linii'!U13="VALID")),"INVALID",IF(NOT(AND('Calibrare_Linii'!S13="VALIDATED",AND('Calibrare_Linii'!H13=C685,ISNUMBER('Calibrare_Linii'!J13),'Calibrare_Linii'!J13&lt;='Input_Meci'!G54))),"OOS PENDING",IF(S685&lt;='Calibrare_Linii'!E13,"PASS",IF(S685&lt;='Calibrare_Linii'!F13,"PENALTY","WATCH"))))))</x:f>
      </x:c>
      <x:c r="X685" s="2" t="str">
        <x:f>IF(M685="","",IF(AND(AND(J685="PASS",'Calibrare_Linii'!U13="VALID"),'Motor_Meciuri'!K54=12,'Motor_Meciuri'!L54=12,'Motor_Meciuri'!M54="NO",'Motor_Meciuri'!BL54='Motor_Meciuri'!C54,AB685&gt;='Config_v6'!$B$50,AN685&gt;='Config_v6'!$B$51,T685&lt;='Config_v6'!$B$52,L685&lt;='Config_v6'!$B$53,ISNUMBER('Calibrare_Linii'!E13),S685&lt;='Calibrare_Linii'!E13,SUM(AK685:AM685)&gt;0),"CANDIDATE","NO"))</x:f>
      </x:c>
      <x:c r="Y685" s="2" t="str">
        <x:f>IF(B685="","",IF(I685&lt;&gt;"READY","NOT RELEASED",IF(AND(X685="CANDIDATE",V685&gt;='Config_v6'!$B$51,W685="PASS",'Calibrare_Linii'!T13="VALIDATED",AND('Calibrare_Linii'!H13=C685,ISNUMBER('Calibrare_Linii'!J13),'Calibrare_Linii'!J13&lt;='Input_Meci'!G54)),"PASS",IF(X685="CANDIDATE","OOS PENDING","FAIL"))))</x:f>
      </x:c>
      <x:c r="Z685" s="2" t="str">
        <x:f>IF(B685="","",IF(I685&lt;&gt;"READY","",IF(OR(NOT(AND(J685="PASS",'Calibrare_Linii'!U13="VALID")),L685&gt;'Config_v6'!$B$13,W685="WATCH"),5,IF(Y685="PASS",1,MIN(5,MAX('Config_v6'!$B$42,U685)+IF(W685="PENALTY",1,0))))))</x:f>
      </x:c>
      <x:c r="AA685" s="2" t="str">
        <x:f>IF(B685="","",IF(I685&lt;&gt;"READY","NOT RELEASED",IF(Z685=5,"NO BET",IF(OR(AB685&lt;'Config_v6'!$B$16,V685&lt;'Config_v6'!$B$18),"WATCH",IF(Z685=1,"DEFENSIV",IF(Z685=2,"PRUDENT",IF(Z685=3,"MODERAT","RIDICAT")))))))</x:f>
      </x:c>
      <x:c r="AB685" s="10" t="str">
        <x:f>IF(N685="","",MIN(N685,1-S685))</x:f>
      </x:c>
      <x:c r="AC685" s="2" t="str">
        <x:f>IF(AD685&lt;&gt;1,"",COUNTIFS($Z$678:$Z$691,"&lt;"&amp;Z685,$AD$678:$AD$691,1)+COUNTIFS($Z$678:$Z$691,Z685,$AB$678:$AB$691,"&gt;"&amp;AB685,$AD$678:$AD$691,1)+COUNTIFS($Z$678:$Z$691,Z685,$AB$678:$AB$691,AB685,$V$678:$V$691,"&gt;"&amp;V685,$AD$678:$AD$691,1)+COUNTIFS($Z$678:Z685,Z685,$AB$678:AB685,AB685,$V$678:V685,V685,$AD$678:AD685,1))</x:f>
      </x:c>
      <x:c r="AD685" s="2" t="n">
        <x:f>IF(OR(AA685="DEFENSIV",AA685="PRUDENT",AA685="MODERAT",AA685="RIDICAT"),1,0)</x:f>
        <x:v>0</x:v>
      </x:c>
      <x:c r="AE685" s="2" t="str">
        <x:f>IF(AD685&lt;&gt;1,"NO",IF(W685="PASS","YES",IF(W685="OOS PENDING","CONDITIONAL","NO")))</x:f>
        <x:v>NO</x:v>
      </x:c>
      <x:c r="AF685" s="2" t="n">
        <x:f>IF(AND(AD685=1,AC685=1,E685="LIVE"),1,0)</x:f>
        <x:v>0</x:v>
      </x:c>
      <x:c r="AG685" s="2" t="str">
        <x:f>IF(AF685&lt;&gt;1,"",'Dashboard'!P74)</x:f>
      </x:c>
      <x:c r="AH685" s="2" t="str">
        <x:f>IF(B685="","",IF(J685&lt;&gt;"PASS",'Motor_Meciuri'!J54,IF('Calibrare_Linii'!U13&lt;&gt;"VALID","Parametri linie invalizi",IF(L685&gt;'Config_v6'!$B$13,"Dispersie peste limita",IF(W685="WATCH","Failure peste limita",IF(AB685&lt;'Config_v6'!$B$16,"P finala sub prag",IF(V685&lt;'Config_v6'!$B$18,"Confidence sub prag",IF(E685="REPLAY","Exemplu retrospectiv; exclus din Top LIVE",IF(Y685="PASS","DEFENSIV validat",IF(W685="OOS PENDING","Eligibil; calibrare linie in monitorizare","Eligibil"))))))))))</x:f>
      </x:c>
      <x:c r="AI685" s="2" t="str">
        <x:f>IF(B685="","",'Calibrare_Linii'!V13)</x:f>
      </x:c>
      <x:c r="AJ685" s="2" t="str">
        <x:f>IF(B685="","",IF(AND('Calibrare_Linii'!T13="VALIDATED",AND('Calibrare_Linii'!H13=C685,ISNUMBER('Calibrare_Linii'!J13),'Calibrare_Linii'!J13&lt;='Input_Meci'!G54)),"DEFENSIVE VALIDATED",IF(AND('Calibrare_Linii'!S13="VALIDATED",AND('Calibrare_Linii'!H13=C685,ISNUMBER('Calibrare_Linii'!J13),'Calibrare_Linii'!J13&lt;='Input_Meci'!G54)),"TAIL VALIDATED","OOS PENDING")))</x:f>
      </x:c>
      <x:c r="AK685" s="2" t="n">
        <x:f>IF(J685&lt;&gt;"PASS",0,'Motor_Meciuri'!BR54)</x:f>
        <x:v>0</x:v>
      </x:c>
      <x:c r="AL685" s="2" t="n">
        <x:f>IF(J685&lt;&gt;"PASS",0,'Motor_Meciuri'!BS54)</x:f>
        <x:v>0</x:v>
      </x:c>
      <x:c r="AM685" s="2" t="n">
        <x:f>IF(J685&lt;&gt;"PASS",0,'Motor_Meciuri'!BT54)</x:f>
        <x:v>0</x:v>
      </x:c>
      <x:c r="AN685" s="2" t="str">
        <x:f>IF(M685="","",MAX(0,'Motor_Meciuri'!BF54-IF(L685&gt;'Config_v6'!$B$12,'Config_v6'!$B$37,IF(L685&gt;'Config_v6'!$B$11,'Config_v6'!$B$36,0))))</x:f>
      </x:c>
    </x:row>
    <x:row r="686" ht="21" customHeight="1">
      <x:c r="A686" s="2" t="n">
        <x:v>49</x:v>
      </x:c>
      <x:c r="B686" s="2" t="str">
        <x:f>IF('Motor_Meciuri'!A54="","",'Motor_Meciuri'!A54)</x:f>
      </x:c>
      <x:c r="C686" s="2" t="str">
        <x:f>IF(B686="","",'Motor_Meciuri'!B54)</x:f>
      </x:c>
      <x:c r="D686" s="2" t="str">
        <x:f>IF(B686="","",'Motor_Meciuri'!D54)</x:f>
      </x:c>
      <x:c r="E686" s="2" t="str">
        <x:f>IF(B686="","",'Motor_Meciuri'!E54)</x:f>
      </x:c>
      <x:c r="F686" s="2" t="str">
        <x:v>U12,5</x:v>
      </x:c>
      <x:c r="G686" s="2" t="str">
        <x:v>UNDER</x:v>
      </x:c>
      <x:c r="H686" s="2" t="n">
        <x:v>12</x:v>
      </x:c>
      <x:c r="I686" s="2" t="str">
        <x:f>IF(B686="","",'Motor_Meciuri'!H54)</x:f>
      </x:c>
      <x:c r="J686" s="2" t="str">
        <x:f>IF(B686="","",'Motor_Meciuri'!I54)</x:f>
      </x:c>
      <x:c r="K686" s="11" t="str">
        <x:f>IF(J686&lt;&gt;"PASS","",'Motor_Meciuri'!BD54)</x:f>
      </x:c>
      <x:c r="L686" s="11" t="str">
        <x:f>IF(J686&lt;&gt;"PASS","",'Motor_Meciuri'!AU54)</x:f>
      </x:c>
      <x:c r="M686" s="10" t="str">
        <x:f>IF(NOT(AND(J686="PASS",'Calibrare_Linii'!U14="VALID")),"",'Distributie'!AJ54)</x:f>
      </x:c>
      <x:c r="N686" s="10" t="str">
        <x:f>IF(M686="","",MAX(0.01,MIN(0.99,0.5+(M686-0.5)*'Motor_Meciuri'!BG54*'Calibrare_Linii'!D14)))</x:f>
      </x:c>
      <x:c r="O686" s="10" t="str">
        <x:f>IF(M686="","",1-M686)</x:f>
      </x:c>
      <x:c r="P686" s="10" t="str">
        <x:f>IF(OR(NOT(AND(J686="PASS",'Calibrare_Linii'!U14="VALID")),AK686=0),""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*('Istoric_Nativ'!$Q$6:$Q$405&gt;H686))/AK686)</x:f>
      </x:c>
      <x:c r="Q686" s="10" t="str">
        <x:f>IF(OR(NOT(AND(J686="PASS",'Calibrare_Linii'!U14="VALID")),AL686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M54)+((('Istoric_Nativ'!$E$6:$E$405='Input_Meci'!E54)+('Istoric_Nativ'!$F$6:$F$405='Input_Meci'!E54))&gt;0)*('Istoric_Nativ'!$D$6:$D$405&gt;='Motor_Meciuri'!BN54))&gt;0)*('Istoric_Nativ'!$Q$6:$Q$405&gt;H686))/AL686)</x:f>
      </x:c>
      <x:c r="R686" s="10" t="str">
        <x:f>IF(OR(NOT(AND(J686="PASS",'Calibrare_Linii'!U14="VALID")),AM686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O54)+((('Istoric_Nativ'!$E$6:$E$405='Input_Meci'!E54)+('Istoric_Nativ'!$F$6:$F$405='Input_Meci'!E54))&gt;0)*('Istoric_Nativ'!$D$6:$D$405&gt;='Motor_Meciuri'!BP54))&gt;0)*('Istoric_Nativ'!$Q$6:$Q$405&gt;H686))/AM686)</x:f>
      </x:c>
      <x:c r="S686" s="10" t="str">
        <x:f>IF(M686="","",MAX(O686,P686,Q686,R686))</x:f>
      </x:c>
      <x:c r="T686" s="11" t="str">
        <x:f>IF(M686="","",MIN(100,S686*100*'Config_v6'!$B$44+MIN(100,L686/'Config_v6'!$B$13*100)*'Config_v6'!$B$45+(100-'Motor_Meciuri'!BF54)*'Config_v6'!$B$46+'Motor_Meciuri'!BH54*100*'Config_v6'!$B$47))</x:f>
      </x:c>
      <x:c r="U686" s="2" t="str">
        <x:f>IF(T686="","",IF(T686&lt;=20,1,IF(T686&lt;=40,2,IF(T686&lt;=60,3,IF(T686&lt;=80,4,5)))))</x:f>
      </x:c>
      <x:c r="V686" s="2" t="str">
        <x:f>IF(M686="","",MAX(0,'Motor_Meciuri'!BF54-IF(W686="OOS PENDING",'Config_v6'!$B$35,0)-IF(L686&gt;'Config_v6'!$B$12,'Config_v6'!$B$37,IF(L686&gt;'Config_v6'!$B$11,'Config_v6'!$B$36,0))))</x:f>
      </x:c>
      <x:c r="W686" s="2" t="str">
        <x:f>IF(B686="","",IF(I686&lt;&gt;"READY","NOT RELEASED",IF(NOT(AND(J686="PASS",'Calibrare_Linii'!U14="VALID")),"INVALID",IF(NOT(AND('Calibrare_Linii'!S14="VALIDATED",AND('Calibrare_Linii'!H14=C686,ISNUMBER('Calibrare_Linii'!J14),'Calibrare_Linii'!J14&lt;='Input_Meci'!G54))),"OOS PENDING",IF(S686&lt;='Calibrare_Linii'!E14,"PASS",IF(S686&lt;='Calibrare_Linii'!F14,"PENALTY","WATCH"))))))</x:f>
      </x:c>
      <x:c r="X686" s="2" t="str">
        <x:f>IF(M686="","",IF(AND(AND(J686="PASS",'Calibrare_Linii'!U14="VALID"),'Motor_Meciuri'!K54=12,'Motor_Meciuri'!L54=12,'Motor_Meciuri'!M54="NO",'Motor_Meciuri'!BL54='Motor_Meciuri'!C54,AB686&gt;='Config_v6'!$B$50,AN686&gt;='Config_v6'!$B$51,T686&lt;='Config_v6'!$B$52,L686&lt;='Config_v6'!$B$53,ISNUMBER('Calibrare_Linii'!E14),S686&lt;='Calibrare_Linii'!E14,SUM(AK686:AM686)&gt;0),"CANDIDATE","NO"))</x:f>
      </x:c>
      <x:c r="Y686" s="2" t="str">
        <x:f>IF(B686="","",IF(I686&lt;&gt;"READY","NOT RELEASED",IF(AND(X686="CANDIDATE",V686&gt;='Config_v6'!$B$51,W686="PASS",'Calibrare_Linii'!T14="VALIDATED",AND('Calibrare_Linii'!H14=C686,ISNUMBER('Calibrare_Linii'!J14),'Calibrare_Linii'!J14&lt;='Input_Meci'!G54)),"PASS",IF(X686="CANDIDATE","OOS PENDING","FAIL"))))</x:f>
      </x:c>
      <x:c r="Z686" s="2" t="str">
        <x:f>IF(B686="","",IF(I686&lt;&gt;"READY","",IF(OR(NOT(AND(J686="PASS",'Calibrare_Linii'!U14="VALID")),L686&gt;'Config_v6'!$B$13,W686="WATCH"),5,IF(Y686="PASS",1,MIN(5,MAX('Config_v6'!$B$42,U686)+IF(W686="PENALTY",1,0))))))</x:f>
      </x:c>
      <x:c r="AA686" s="2" t="str">
        <x:f>IF(B686="","",IF(I686&lt;&gt;"READY","NOT RELEASED",IF(Z686=5,"NO BET",IF(OR(AB686&lt;'Config_v6'!$B$16,V686&lt;'Config_v6'!$B$18),"WATCH",IF(Z686=1,"DEFENSIV",IF(Z686=2,"PRUDENT",IF(Z686=3,"MODERAT","RIDICAT")))))))</x:f>
      </x:c>
      <x:c r="AB686" s="10" t="str">
        <x:f>IF(N686="","",MIN(N686,1-S686))</x:f>
      </x:c>
      <x:c r="AC686" s="2" t="str">
        <x:f>IF(AD686&lt;&gt;1,"",COUNTIFS($Z$678:$Z$691,"&lt;"&amp;Z686,$AD$678:$AD$691,1)+COUNTIFS($Z$678:$Z$691,Z686,$AB$678:$AB$691,"&gt;"&amp;AB686,$AD$678:$AD$691,1)+COUNTIFS($Z$678:$Z$691,Z686,$AB$678:$AB$691,AB686,$V$678:$V$691,"&gt;"&amp;V686,$AD$678:$AD$691,1)+COUNTIFS($Z$678:Z686,Z686,$AB$678:AB686,AB686,$V$678:V686,V686,$AD$678:AD686,1))</x:f>
      </x:c>
      <x:c r="AD686" s="2" t="n">
        <x:f>IF(OR(AA686="DEFENSIV",AA686="PRUDENT",AA686="MODERAT",AA686="RIDICAT"),1,0)</x:f>
        <x:v>0</x:v>
      </x:c>
      <x:c r="AE686" s="2" t="str">
        <x:f>IF(AD686&lt;&gt;1,"NO",IF(W686="PASS","YES",IF(W686="OOS PENDING","CONDITIONAL","NO")))</x:f>
        <x:v>NO</x:v>
      </x:c>
      <x:c r="AF686" s="2" t="n">
        <x:f>IF(AND(AD686=1,AC686=1,E686="LIVE"),1,0)</x:f>
        <x:v>0</x:v>
      </x:c>
      <x:c r="AG686" s="2" t="str">
        <x:f>IF(AF686&lt;&gt;1,"",'Dashboard'!P74)</x:f>
      </x:c>
      <x:c r="AH686" s="2" t="str">
        <x:f>IF(B686="","",IF(J686&lt;&gt;"PASS",'Motor_Meciuri'!J54,IF('Calibrare_Linii'!U14&lt;&gt;"VALID","Parametri linie invalizi",IF(L686&gt;'Config_v6'!$B$13,"Dispersie peste limita",IF(W686="WATCH","Failure peste limita",IF(AB686&lt;'Config_v6'!$B$16,"P finala sub prag",IF(V686&lt;'Config_v6'!$B$18,"Confidence sub prag",IF(E686="REPLAY","Exemplu retrospectiv; exclus din Top LIVE",IF(Y686="PASS","DEFENSIV validat",IF(W686="OOS PENDING","Eligibil; calibrare linie in monitorizare","Eligibil"))))))))))</x:f>
      </x:c>
      <x:c r="AI686" s="2" t="str">
        <x:f>IF(B686="","",'Calibrare_Linii'!V14)</x:f>
      </x:c>
      <x:c r="AJ686" s="2" t="str">
        <x:f>IF(B686="","",IF(AND('Calibrare_Linii'!T14="VALIDATED",AND('Calibrare_Linii'!H14=C686,ISNUMBER('Calibrare_Linii'!J14),'Calibrare_Linii'!J14&lt;='Input_Meci'!G54)),"DEFENSIVE VALIDATED",IF(AND('Calibrare_Linii'!S14="VALIDATED",AND('Calibrare_Linii'!H14=C686,ISNUMBER('Calibrare_Linii'!J14),'Calibrare_Linii'!J14&lt;='Input_Meci'!G54)),"TAIL VALIDATED","OOS PENDING")))</x:f>
      </x:c>
      <x:c r="AK686" s="2" t="n">
        <x:f>IF(J686&lt;&gt;"PASS",0,'Motor_Meciuri'!BR54)</x:f>
        <x:v>0</x:v>
      </x:c>
      <x:c r="AL686" s="2" t="n">
        <x:f>IF(J686&lt;&gt;"PASS",0,'Motor_Meciuri'!BS54)</x:f>
        <x:v>0</x:v>
      </x:c>
      <x:c r="AM686" s="2" t="n">
        <x:f>IF(J686&lt;&gt;"PASS",0,'Motor_Meciuri'!BT54)</x:f>
        <x:v>0</x:v>
      </x:c>
      <x:c r="AN686" s="2" t="str">
        <x:f>IF(M686="","",MAX(0,'Motor_Meciuri'!BF54-IF(L686&gt;'Config_v6'!$B$12,'Config_v6'!$B$37,IF(L686&gt;'Config_v6'!$B$11,'Config_v6'!$B$36,0))))</x:f>
      </x:c>
    </x:row>
    <x:row r="687" ht="21" customHeight="1">
      <x:c r="A687" s="2" t="n">
        <x:v>49</x:v>
      </x:c>
      <x:c r="B687" s="2" t="str">
        <x:f>IF('Motor_Meciuri'!A54="","",'Motor_Meciuri'!A54)</x:f>
      </x:c>
      <x:c r="C687" s="2" t="str">
        <x:f>IF(B687="","",'Motor_Meciuri'!B54)</x:f>
      </x:c>
      <x:c r="D687" s="2" t="str">
        <x:f>IF(B687="","",'Motor_Meciuri'!D54)</x:f>
      </x:c>
      <x:c r="E687" s="2" t="str">
        <x:f>IF(B687="","",'Motor_Meciuri'!E54)</x:f>
      </x:c>
      <x:c r="F687" s="2" t="str">
        <x:v>U13,5</x:v>
      </x:c>
      <x:c r="G687" s="2" t="str">
        <x:v>UNDER</x:v>
      </x:c>
      <x:c r="H687" s="2" t="n">
        <x:v>13</x:v>
      </x:c>
      <x:c r="I687" s="2" t="str">
        <x:f>IF(B687="","",'Motor_Meciuri'!H54)</x:f>
      </x:c>
      <x:c r="J687" s="2" t="str">
        <x:f>IF(B687="","",'Motor_Meciuri'!I54)</x:f>
      </x:c>
      <x:c r="K687" s="11" t="str">
        <x:f>IF(J687&lt;&gt;"PASS","",'Motor_Meciuri'!BD54)</x:f>
      </x:c>
      <x:c r="L687" s="11" t="str">
        <x:f>IF(J687&lt;&gt;"PASS","",'Motor_Meciuri'!AU54)</x:f>
      </x:c>
      <x:c r="M687" s="10" t="str">
        <x:f>IF(NOT(AND(J687="PASS",'Calibrare_Linii'!U15="VALID")),"",'Distributie'!AK54)</x:f>
      </x:c>
      <x:c r="N687" s="10" t="str">
        <x:f>IF(M687="","",MAX(0.01,MIN(0.99,0.5+(M687-0.5)*'Motor_Meciuri'!BG54*'Calibrare_Linii'!D15)))</x:f>
      </x:c>
      <x:c r="O687" s="10" t="str">
        <x:f>IF(M687="","",1-M687)</x:f>
      </x:c>
      <x:c r="P687" s="10" t="str">
        <x:f>IF(OR(NOT(AND(J687="PASS",'Calibrare_Linii'!U15="VALID")),AK687=0),""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*('Istoric_Nativ'!$Q$6:$Q$405&gt;H687))/AK687)</x:f>
      </x:c>
      <x:c r="Q687" s="10" t="str">
        <x:f>IF(OR(NOT(AND(J687="PASS",'Calibrare_Linii'!U15="VALID")),AL687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M54)+((('Istoric_Nativ'!$E$6:$E$405='Input_Meci'!E54)+('Istoric_Nativ'!$F$6:$F$405='Input_Meci'!E54))&gt;0)*('Istoric_Nativ'!$D$6:$D$405&gt;='Motor_Meciuri'!BN54))&gt;0)*('Istoric_Nativ'!$Q$6:$Q$405&gt;H687))/AL687)</x:f>
      </x:c>
      <x:c r="R687" s="10" t="str">
        <x:f>IF(OR(NOT(AND(J687="PASS",'Calibrare_Linii'!U15="VALID")),AM687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O54)+((('Istoric_Nativ'!$E$6:$E$405='Input_Meci'!E54)+('Istoric_Nativ'!$F$6:$F$405='Input_Meci'!E54))&gt;0)*('Istoric_Nativ'!$D$6:$D$405&gt;='Motor_Meciuri'!BP54))&gt;0)*('Istoric_Nativ'!$Q$6:$Q$405&gt;H687))/AM687)</x:f>
      </x:c>
      <x:c r="S687" s="10" t="str">
        <x:f>IF(M687="","",MAX(O687,P687,Q687,R687))</x:f>
      </x:c>
      <x:c r="T687" s="11" t="str">
        <x:f>IF(M687="","",MIN(100,S687*100*'Config_v6'!$B$44+MIN(100,L687/'Config_v6'!$B$13*100)*'Config_v6'!$B$45+(100-'Motor_Meciuri'!BF54)*'Config_v6'!$B$46+'Motor_Meciuri'!BH54*100*'Config_v6'!$B$47))</x:f>
      </x:c>
      <x:c r="U687" s="2" t="str">
        <x:f>IF(T687="","",IF(T687&lt;=20,1,IF(T687&lt;=40,2,IF(T687&lt;=60,3,IF(T687&lt;=80,4,5)))))</x:f>
      </x:c>
      <x:c r="V687" s="2" t="str">
        <x:f>IF(M687="","",MAX(0,'Motor_Meciuri'!BF54-IF(W687="OOS PENDING",'Config_v6'!$B$35,0)-IF(L687&gt;'Config_v6'!$B$12,'Config_v6'!$B$37,IF(L687&gt;'Config_v6'!$B$11,'Config_v6'!$B$36,0))))</x:f>
      </x:c>
      <x:c r="W687" s="2" t="str">
        <x:f>IF(B687="","",IF(I687&lt;&gt;"READY","NOT RELEASED",IF(NOT(AND(J687="PASS",'Calibrare_Linii'!U15="VALID")),"INVALID",IF(NOT(AND('Calibrare_Linii'!S15="VALIDATED",AND('Calibrare_Linii'!H15=C687,ISNUMBER('Calibrare_Linii'!J15),'Calibrare_Linii'!J15&lt;='Input_Meci'!G54))),"OOS PENDING",IF(S687&lt;='Calibrare_Linii'!E15,"PASS",IF(S687&lt;='Calibrare_Linii'!F15,"PENALTY","WATCH"))))))</x:f>
      </x:c>
      <x:c r="X687" s="2" t="str">
        <x:f>IF(M687="","",IF(AND(AND(J687="PASS",'Calibrare_Linii'!U15="VALID"),'Motor_Meciuri'!K54=12,'Motor_Meciuri'!L54=12,'Motor_Meciuri'!M54="NO",'Motor_Meciuri'!BL54='Motor_Meciuri'!C54,AB687&gt;='Config_v6'!$B$50,AN687&gt;='Config_v6'!$B$51,T687&lt;='Config_v6'!$B$52,L687&lt;='Config_v6'!$B$53,ISNUMBER('Calibrare_Linii'!E15),S687&lt;='Calibrare_Linii'!E15,SUM(AK687:AM687)&gt;0),"CANDIDATE","NO"))</x:f>
      </x:c>
      <x:c r="Y687" s="2" t="str">
        <x:f>IF(B687="","",IF(I687&lt;&gt;"READY","NOT RELEASED",IF(AND(X687="CANDIDATE",V687&gt;='Config_v6'!$B$51,W687="PASS",'Calibrare_Linii'!T15="VALIDATED",AND('Calibrare_Linii'!H15=C687,ISNUMBER('Calibrare_Linii'!J15),'Calibrare_Linii'!J15&lt;='Input_Meci'!G54)),"PASS",IF(X687="CANDIDATE","OOS PENDING","FAIL"))))</x:f>
      </x:c>
      <x:c r="Z687" s="2" t="str">
        <x:f>IF(B687="","",IF(I687&lt;&gt;"READY","",IF(OR(NOT(AND(J687="PASS",'Calibrare_Linii'!U15="VALID")),L687&gt;'Config_v6'!$B$13,W687="WATCH"),5,IF(Y687="PASS",1,MIN(5,MAX('Config_v6'!$B$42,U687)+IF(W687="PENALTY",1,0))))))</x:f>
      </x:c>
      <x:c r="AA687" s="2" t="str">
        <x:f>IF(B687="","",IF(I687&lt;&gt;"READY","NOT RELEASED",IF(Z687=5,"NO BET",IF(OR(AB687&lt;'Config_v6'!$B$16,V687&lt;'Config_v6'!$B$18),"WATCH",IF(Z687=1,"DEFENSIV",IF(Z687=2,"PRUDENT",IF(Z687=3,"MODERAT","RIDICAT")))))))</x:f>
      </x:c>
      <x:c r="AB687" s="10" t="str">
        <x:f>IF(N687="","",MIN(N687,1-S687))</x:f>
      </x:c>
      <x:c r="AC687" s="2" t="str">
        <x:f>IF(AD687&lt;&gt;1,"",COUNTIFS($Z$678:$Z$691,"&lt;"&amp;Z687,$AD$678:$AD$691,1)+COUNTIFS($Z$678:$Z$691,Z687,$AB$678:$AB$691,"&gt;"&amp;AB687,$AD$678:$AD$691,1)+COUNTIFS($Z$678:$Z$691,Z687,$AB$678:$AB$691,AB687,$V$678:$V$691,"&gt;"&amp;V687,$AD$678:$AD$691,1)+COUNTIFS($Z$678:Z687,Z687,$AB$678:AB687,AB687,$V$678:V687,V687,$AD$678:AD687,1))</x:f>
      </x:c>
      <x:c r="AD687" s="2" t="n">
        <x:f>IF(OR(AA687="DEFENSIV",AA687="PRUDENT",AA687="MODERAT",AA687="RIDICAT"),1,0)</x:f>
        <x:v>0</x:v>
      </x:c>
      <x:c r="AE687" s="2" t="str">
        <x:f>IF(AD687&lt;&gt;1,"NO",IF(W687="PASS","YES",IF(W687="OOS PENDING","CONDITIONAL","NO")))</x:f>
        <x:v>NO</x:v>
      </x:c>
      <x:c r="AF687" s="2" t="n">
        <x:f>IF(AND(AD687=1,AC687=1,E687="LIVE"),1,0)</x:f>
        <x:v>0</x:v>
      </x:c>
      <x:c r="AG687" s="2" t="str">
        <x:f>IF(AF687&lt;&gt;1,"",'Dashboard'!P74)</x:f>
      </x:c>
      <x:c r="AH687" s="2" t="str">
        <x:f>IF(B687="","",IF(J687&lt;&gt;"PASS",'Motor_Meciuri'!J54,IF('Calibrare_Linii'!U15&lt;&gt;"VALID","Parametri linie invalizi",IF(L687&gt;'Config_v6'!$B$13,"Dispersie peste limita",IF(W687="WATCH","Failure peste limita",IF(AB687&lt;'Config_v6'!$B$16,"P finala sub prag",IF(V687&lt;'Config_v6'!$B$18,"Confidence sub prag",IF(E687="REPLAY","Exemplu retrospectiv; exclus din Top LIVE",IF(Y687="PASS","DEFENSIV validat",IF(W687="OOS PENDING","Eligibil; calibrare linie in monitorizare","Eligibil"))))))))))</x:f>
      </x:c>
      <x:c r="AI687" s="2" t="str">
        <x:f>IF(B687="","",'Calibrare_Linii'!V15)</x:f>
      </x:c>
      <x:c r="AJ687" s="2" t="str">
        <x:f>IF(B687="","",IF(AND('Calibrare_Linii'!T15="VALIDATED",AND('Calibrare_Linii'!H15=C687,ISNUMBER('Calibrare_Linii'!J15),'Calibrare_Linii'!J15&lt;='Input_Meci'!G54)),"DEFENSIVE VALIDATED",IF(AND('Calibrare_Linii'!S15="VALIDATED",AND('Calibrare_Linii'!H15=C687,ISNUMBER('Calibrare_Linii'!J15),'Calibrare_Linii'!J15&lt;='Input_Meci'!G54)),"TAIL VALIDATED","OOS PENDING")))</x:f>
      </x:c>
      <x:c r="AK687" s="2" t="n">
        <x:f>IF(J687&lt;&gt;"PASS",0,'Motor_Meciuri'!BR54)</x:f>
        <x:v>0</x:v>
      </x:c>
      <x:c r="AL687" s="2" t="n">
        <x:f>IF(J687&lt;&gt;"PASS",0,'Motor_Meciuri'!BS54)</x:f>
        <x:v>0</x:v>
      </x:c>
      <x:c r="AM687" s="2" t="n">
        <x:f>IF(J687&lt;&gt;"PASS",0,'Motor_Meciuri'!BT54)</x:f>
        <x:v>0</x:v>
      </x:c>
      <x:c r="AN687" s="2" t="str">
        <x:f>IF(M687="","",MAX(0,'Motor_Meciuri'!BF54-IF(L687&gt;'Config_v6'!$B$12,'Config_v6'!$B$37,IF(L687&gt;'Config_v6'!$B$11,'Config_v6'!$B$36,0))))</x:f>
      </x:c>
    </x:row>
    <x:row r="688" ht="21" customHeight="1">
      <x:c r="A688" s="2" t="n">
        <x:v>49</x:v>
      </x:c>
      <x:c r="B688" s="2" t="str">
        <x:f>IF('Motor_Meciuri'!A54="","",'Motor_Meciuri'!A54)</x:f>
      </x:c>
      <x:c r="C688" s="2" t="str">
        <x:f>IF(B688="","",'Motor_Meciuri'!B54)</x:f>
      </x:c>
      <x:c r="D688" s="2" t="str">
        <x:f>IF(B688="","",'Motor_Meciuri'!D54)</x:f>
      </x:c>
      <x:c r="E688" s="2" t="str">
        <x:f>IF(B688="","",'Motor_Meciuri'!E54)</x:f>
      </x:c>
      <x:c r="F688" s="2" t="str">
        <x:v>U14,5</x:v>
      </x:c>
      <x:c r="G688" s="2" t="str">
        <x:v>UNDER</x:v>
      </x:c>
      <x:c r="H688" s="2" t="n">
        <x:v>14</x:v>
      </x:c>
      <x:c r="I688" s="2" t="str">
        <x:f>IF(B688="","",'Motor_Meciuri'!H54)</x:f>
      </x:c>
      <x:c r="J688" s="2" t="str">
        <x:f>IF(B688="","",'Motor_Meciuri'!I54)</x:f>
      </x:c>
      <x:c r="K688" s="11" t="str">
        <x:f>IF(J688&lt;&gt;"PASS","",'Motor_Meciuri'!BD54)</x:f>
      </x:c>
      <x:c r="L688" s="11" t="str">
        <x:f>IF(J688&lt;&gt;"PASS","",'Motor_Meciuri'!AU54)</x:f>
      </x:c>
      <x:c r="M688" s="10" t="str">
        <x:f>IF(NOT(AND(J688="PASS",'Calibrare_Linii'!U16="VALID")),"",'Distributie'!AL54)</x:f>
      </x:c>
      <x:c r="N688" s="10" t="str">
        <x:f>IF(M688="","",MAX(0.01,MIN(0.99,0.5+(M688-0.5)*'Motor_Meciuri'!BG54*'Calibrare_Linii'!D16)))</x:f>
      </x:c>
      <x:c r="O688" s="10" t="str">
        <x:f>IF(M688="","",1-M688)</x:f>
      </x:c>
      <x:c r="P688" s="10" t="str">
        <x:f>IF(OR(NOT(AND(J688="PASS",'Calibrare_Linii'!U16="VALID")),AK688=0),""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*('Istoric_Nativ'!$Q$6:$Q$405&gt;H688))/AK688)</x:f>
      </x:c>
      <x:c r="Q688" s="10" t="str">
        <x:f>IF(OR(NOT(AND(J688="PASS",'Calibrare_Linii'!U16="VALID")),AL688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M54)+((('Istoric_Nativ'!$E$6:$E$405='Input_Meci'!E54)+('Istoric_Nativ'!$F$6:$F$405='Input_Meci'!E54))&gt;0)*('Istoric_Nativ'!$D$6:$D$405&gt;='Motor_Meciuri'!BN54))&gt;0)*('Istoric_Nativ'!$Q$6:$Q$405&gt;H688))/AL688)</x:f>
      </x:c>
      <x:c r="R688" s="10" t="str">
        <x:f>IF(OR(NOT(AND(J688="PASS",'Calibrare_Linii'!U16="VALID")),AM688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O54)+((('Istoric_Nativ'!$E$6:$E$405='Input_Meci'!E54)+('Istoric_Nativ'!$F$6:$F$405='Input_Meci'!E54))&gt;0)*('Istoric_Nativ'!$D$6:$D$405&gt;='Motor_Meciuri'!BP54))&gt;0)*('Istoric_Nativ'!$Q$6:$Q$405&gt;H688))/AM688)</x:f>
      </x:c>
      <x:c r="S688" s="10" t="str">
        <x:f>IF(M688="","",MAX(O688,P688,Q688,R688))</x:f>
      </x:c>
      <x:c r="T688" s="11" t="str">
        <x:f>IF(M688="","",MIN(100,S688*100*'Config_v6'!$B$44+MIN(100,L688/'Config_v6'!$B$13*100)*'Config_v6'!$B$45+(100-'Motor_Meciuri'!BF54)*'Config_v6'!$B$46+'Motor_Meciuri'!BH54*100*'Config_v6'!$B$47))</x:f>
      </x:c>
      <x:c r="U688" s="2" t="str">
        <x:f>IF(T688="","",IF(T688&lt;=20,1,IF(T688&lt;=40,2,IF(T688&lt;=60,3,IF(T688&lt;=80,4,5)))))</x:f>
      </x:c>
      <x:c r="V688" s="2" t="str">
        <x:f>IF(M688="","",MAX(0,'Motor_Meciuri'!BF54-IF(W688="OOS PENDING",'Config_v6'!$B$35,0)-IF(L688&gt;'Config_v6'!$B$12,'Config_v6'!$B$37,IF(L688&gt;'Config_v6'!$B$11,'Config_v6'!$B$36,0))))</x:f>
      </x:c>
      <x:c r="W688" s="2" t="str">
        <x:f>IF(B688="","",IF(I688&lt;&gt;"READY","NOT RELEASED",IF(NOT(AND(J688="PASS",'Calibrare_Linii'!U16="VALID")),"INVALID",IF(NOT(AND('Calibrare_Linii'!S16="VALIDATED",AND('Calibrare_Linii'!H16=C688,ISNUMBER('Calibrare_Linii'!J16),'Calibrare_Linii'!J16&lt;='Input_Meci'!G54))),"OOS PENDING",IF(S688&lt;='Calibrare_Linii'!E16,"PASS",IF(S688&lt;='Calibrare_Linii'!F16,"PENALTY","WATCH"))))))</x:f>
      </x:c>
      <x:c r="X688" s="2" t="str">
        <x:f>IF(M688="","",IF(AND(AND(J688="PASS",'Calibrare_Linii'!U16="VALID"),'Motor_Meciuri'!K54=12,'Motor_Meciuri'!L54=12,'Motor_Meciuri'!M54="NO",'Motor_Meciuri'!BL54='Motor_Meciuri'!C54,AB688&gt;='Config_v6'!$B$50,AN688&gt;='Config_v6'!$B$51,T688&lt;='Config_v6'!$B$52,L688&lt;='Config_v6'!$B$53,ISNUMBER('Calibrare_Linii'!E16),S688&lt;='Calibrare_Linii'!E16,SUM(AK688:AM688)&gt;0),"CANDIDATE","NO"))</x:f>
      </x:c>
      <x:c r="Y688" s="2" t="str">
        <x:f>IF(B688="","",IF(I688&lt;&gt;"READY","NOT RELEASED",IF(AND(X688="CANDIDATE",V688&gt;='Config_v6'!$B$51,W688="PASS",'Calibrare_Linii'!T16="VALIDATED",AND('Calibrare_Linii'!H16=C688,ISNUMBER('Calibrare_Linii'!J16),'Calibrare_Linii'!J16&lt;='Input_Meci'!G54)),"PASS",IF(X688="CANDIDATE","OOS PENDING","FAIL"))))</x:f>
      </x:c>
      <x:c r="Z688" s="2" t="str">
        <x:f>IF(B688="","",IF(I688&lt;&gt;"READY","",IF(OR(NOT(AND(J688="PASS",'Calibrare_Linii'!U16="VALID")),L688&gt;'Config_v6'!$B$13,W688="WATCH"),5,IF(Y688="PASS",1,MIN(5,MAX('Config_v6'!$B$42,U688)+IF(W688="PENALTY",1,0))))))</x:f>
      </x:c>
      <x:c r="AA688" s="2" t="str">
        <x:f>IF(B688="","",IF(I688&lt;&gt;"READY","NOT RELEASED",IF(Z688=5,"NO BET",IF(OR(AB688&lt;'Config_v6'!$B$16,V688&lt;'Config_v6'!$B$18),"WATCH",IF(Z688=1,"DEFENSIV",IF(Z688=2,"PRUDENT",IF(Z688=3,"MODERAT","RIDICAT")))))))</x:f>
      </x:c>
      <x:c r="AB688" s="10" t="str">
        <x:f>IF(N688="","",MIN(N688,1-S688))</x:f>
      </x:c>
      <x:c r="AC688" s="2" t="str">
        <x:f>IF(AD688&lt;&gt;1,"",COUNTIFS($Z$678:$Z$691,"&lt;"&amp;Z688,$AD$678:$AD$691,1)+COUNTIFS($Z$678:$Z$691,Z688,$AB$678:$AB$691,"&gt;"&amp;AB688,$AD$678:$AD$691,1)+COUNTIFS($Z$678:$Z$691,Z688,$AB$678:$AB$691,AB688,$V$678:$V$691,"&gt;"&amp;V688,$AD$678:$AD$691,1)+COUNTIFS($Z$678:Z688,Z688,$AB$678:AB688,AB688,$V$678:V688,V688,$AD$678:AD688,1))</x:f>
      </x:c>
      <x:c r="AD688" s="2" t="n">
        <x:f>IF(OR(AA688="DEFENSIV",AA688="PRUDENT",AA688="MODERAT",AA688="RIDICAT"),1,0)</x:f>
        <x:v>0</x:v>
      </x:c>
      <x:c r="AE688" s="2" t="str">
        <x:f>IF(AD688&lt;&gt;1,"NO",IF(W688="PASS","YES",IF(W688="OOS PENDING","CONDITIONAL","NO")))</x:f>
        <x:v>NO</x:v>
      </x:c>
      <x:c r="AF688" s="2" t="n">
        <x:f>IF(AND(AD688=1,AC688=1,E688="LIVE"),1,0)</x:f>
        <x:v>0</x:v>
      </x:c>
      <x:c r="AG688" s="2" t="str">
        <x:f>IF(AF688&lt;&gt;1,"",'Dashboard'!P74)</x:f>
      </x:c>
      <x:c r="AH688" s="2" t="str">
        <x:f>IF(B688="","",IF(J688&lt;&gt;"PASS",'Motor_Meciuri'!J54,IF('Calibrare_Linii'!U16&lt;&gt;"VALID","Parametri linie invalizi",IF(L688&gt;'Config_v6'!$B$13,"Dispersie peste limita",IF(W688="WATCH","Failure peste limita",IF(AB688&lt;'Config_v6'!$B$16,"P finala sub prag",IF(V688&lt;'Config_v6'!$B$18,"Confidence sub prag",IF(E688="REPLAY","Exemplu retrospectiv; exclus din Top LIVE",IF(Y688="PASS","DEFENSIV validat",IF(W688="OOS PENDING","Eligibil; calibrare linie in monitorizare","Eligibil"))))))))))</x:f>
      </x:c>
      <x:c r="AI688" s="2" t="str">
        <x:f>IF(B688="","",'Calibrare_Linii'!V16)</x:f>
      </x:c>
      <x:c r="AJ688" s="2" t="str">
        <x:f>IF(B688="","",IF(AND('Calibrare_Linii'!T16="VALIDATED",AND('Calibrare_Linii'!H16=C688,ISNUMBER('Calibrare_Linii'!J16),'Calibrare_Linii'!J16&lt;='Input_Meci'!G54)),"DEFENSIVE VALIDATED",IF(AND('Calibrare_Linii'!S16="VALIDATED",AND('Calibrare_Linii'!H16=C688,ISNUMBER('Calibrare_Linii'!J16),'Calibrare_Linii'!J16&lt;='Input_Meci'!G54)),"TAIL VALIDATED","OOS PENDING")))</x:f>
      </x:c>
      <x:c r="AK688" s="2" t="n">
        <x:f>IF(J688&lt;&gt;"PASS",0,'Motor_Meciuri'!BR54)</x:f>
        <x:v>0</x:v>
      </x:c>
      <x:c r="AL688" s="2" t="n">
        <x:f>IF(J688&lt;&gt;"PASS",0,'Motor_Meciuri'!BS54)</x:f>
        <x:v>0</x:v>
      </x:c>
      <x:c r="AM688" s="2" t="n">
        <x:f>IF(J688&lt;&gt;"PASS",0,'Motor_Meciuri'!BT54)</x:f>
        <x:v>0</x:v>
      </x:c>
      <x:c r="AN688" s="2" t="str">
        <x:f>IF(M688="","",MAX(0,'Motor_Meciuri'!BF54-IF(L688&gt;'Config_v6'!$B$12,'Config_v6'!$B$37,IF(L688&gt;'Config_v6'!$B$11,'Config_v6'!$B$36,0))))</x:f>
      </x:c>
    </x:row>
    <x:row r="689" ht="21" customHeight="1">
      <x:c r="A689" s="2" t="n">
        <x:v>49</x:v>
      </x:c>
      <x:c r="B689" s="2" t="str">
        <x:f>IF('Motor_Meciuri'!A54="","",'Motor_Meciuri'!A54)</x:f>
      </x:c>
      <x:c r="C689" s="2" t="str">
        <x:f>IF(B689="","",'Motor_Meciuri'!B54)</x:f>
      </x:c>
      <x:c r="D689" s="2" t="str">
        <x:f>IF(B689="","",'Motor_Meciuri'!D54)</x:f>
      </x:c>
      <x:c r="E689" s="2" t="str">
        <x:f>IF(B689="","",'Motor_Meciuri'!E54)</x:f>
      </x:c>
      <x:c r="F689" s="2" t="str">
        <x:v>U15,5</x:v>
      </x:c>
      <x:c r="G689" s="2" t="str">
        <x:v>UNDER</x:v>
      </x:c>
      <x:c r="H689" s="2" t="n">
        <x:v>15</x:v>
      </x:c>
      <x:c r="I689" s="2" t="str">
        <x:f>IF(B689="","",'Motor_Meciuri'!H54)</x:f>
      </x:c>
      <x:c r="J689" s="2" t="str">
        <x:f>IF(B689="","",'Motor_Meciuri'!I54)</x:f>
      </x:c>
      <x:c r="K689" s="11" t="str">
        <x:f>IF(J689&lt;&gt;"PASS","",'Motor_Meciuri'!BD54)</x:f>
      </x:c>
      <x:c r="L689" s="11" t="str">
        <x:f>IF(J689&lt;&gt;"PASS","",'Motor_Meciuri'!AU54)</x:f>
      </x:c>
      <x:c r="M689" s="10" t="str">
        <x:f>IF(NOT(AND(J689="PASS",'Calibrare_Linii'!U17="VALID")),"",'Distributie'!AM54)</x:f>
      </x:c>
      <x:c r="N689" s="10" t="str">
        <x:f>IF(M689="","",MAX(0.01,MIN(0.99,0.5+(M689-0.5)*'Motor_Meciuri'!BG54*'Calibrare_Linii'!D17)))</x:f>
      </x:c>
      <x:c r="O689" s="10" t="str">
        <x:f>IF(M689="","",1-M689)</x:f>
      </x:c>
      <x:c r="P689" s="10" t="str">
        <x:f>IF(OR(NOT(AND(J689="PASS",'Calibrare_Linii'!U17="VALID")),AK689=0),""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*('Istoric_Nativ'!$Q$6:$Q$405&gt;H689))/AK689)</x:f>
      </x:c>
      <x:c r="Q689" s="10" t="str">
        <x:f>IF(OR(NOT(AND(J689="PASS",'Calibrare_Linii'!U17="VALID")),AL689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M54)+((('Istoric_Nativ'!$E$6:$E$405='Input_Meci'!E54)+('Istoric_Nativ'!$F$6:$F$405='Input_Meci'!E54))&gt;0)*('Istoric_Nativ'!$D$6:$D$405&gt;='Motor_Meciuri'!BN54))&gt;0)*('Istoric_Nativ'!$Q$6:$Q$405&gt;H689))/AL689)</x:f>
      </x:c>
      <x:c r="R689" s="10" t="str">
        <x:f>IF(OR(NOT(AND(J689="PASS",'Calibrare_Linii'!U17="VALID")),AM689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O54)+((('Istoric_Nativ'!$E$6:$E$405='Input_Meci'!E54)+('Istoric_Nativ'!$F$6:$F$405='Input_Meci'!E54))&gt;0)*('Istoric_Nativ'!$D$6:$D$405&gt;='Motor_Meciuri'!BP54))&gt;0)*('Istoric_Nativ'!$Q$6:$Q$405&gt;H689))/AM689)</x:f>
      </x:c>
      <x:c r="S689" s="10" t="str">
        <x:f>IF(M689="","",MAX(O689,P689,Q689,R689))</x:f>
      </x:c>
      <x:c r="T689" s="11" t="str">
        <x:f>IF(M689="","",MIN(100,S689*100*'Config_v6'!$B$44+MIN(100,L689/'Config_v6'!$B$13*100)*'Config_v6'!$B$45+(100-'Motor_Meciuri'!BF54)*'Config_v6'!$B$46+'Motor_Meciuri'!BH54*100*'Config_v6'!$B$47))</x:f>
      </x:c>
      <x:c r="U689" s="2" t="str">
        <x:f>IF(T689="","",IF(T689&lt;=20,1,IF(T689&lt;=40,2,IF(T689&lt;=60,3,IF(T689&lt;=80,4,5)))))</x:f>
      </x:c>
      <x:c r="V689" s="2" t="str">
        <x:f>IF(M689="","",MAX(0,'Motor_Meciuri'!BF54-IF(W689="OOS PENDING",'Config_v6'!$B$35,0)-IF(L689&gt;'Config_v6'!$B$12,'Config_v6'!$B$37,IF(L689&gt;'Config_v6'!$B$11,'Config_v6'!$B$36,0))))</x:f>
      </x:c>
      <x:c r="W689" s="2" t="str">
        <x:f>IF(B689="","",IF(I689&lt;&gt;"READY","NOT RELEASED",IF(NOT(AND(J689="PASS",'Calibrare_Linii'!U17="VALID")),"INVALID",IF(NOT(AND('Calibrare_Linii'!S17="VALIDATED",AND('Calibrare_Linii'!H17=C689,ISNUMBER('Calibrare_Linii'!J17),'Calibrare_Linii'!J17&lt;='Input_Meci'!G54))),"OOS PENDING",IF(S689&lt;='Calibrare_Linii'!E17,"PASS",IF(S689&lt;='Calibrare_Linii'!F17,"PENALTY","WATCH"))))))</x:f>
      </x:c>
      <x:c r="X689" s="2" t="str">
        <x:f>IF(M689="","",IF(AND(AND(J689="PASS",'Calibrare_Linii'!U17="VALID"),'Motor_Meciuri'!K54=12,'Motor_Meciuri'!L54=12,'Motor_Meciuri'!M54="NO",'Motor_Meciuri'!BL54='Motor_Meciuri'!C54,AB689&gt;='Config_v6'!$B$50,AN689&gt;='Config_v6'!$B$51,T689&lt;='Config_v6'!$B$52,L689&lt;='Config_v6'!$B$53,ISNUMBER('Calibrare_Linii'!E17),S689&lt;='Calibrare_Linii'!E17,SUM(AK689:AM689)&gt;0),"CANDIDATE","NO"))</x:f>
      </x:c>
      <x:c r="Y689" s="2" t="str">
        <x:f>IF(B689="","",IF(I689&lt;&gt;"READY","NOT RELEASED",IF(AND(X689="CANDIDATE",V689&gt;='Config_v6'!$B$51,W689="PASS",'Calibrare_Linii'!T17="VALIDATED",AND('Calibrare_Linii'!H17=C689,ISNUMBER('Calibrare_Linii'!J17),'Calibrare_Linii'!J17&lt;='Input_Meci'!G54)),"PASS",IF(X689="CANDIDATE","OOS PENDING","FAIL"))))</x:f>
      </x:c>
      <x:c r="Z689" s="2" t="str">
        <x:f>IF(B689="","",IF(I689&lt;&gt;"READY","",IF(OR(NOT(AND(J689="PASS",'Calibrare_Linii'!U17="VALID")),L689&gt;'Config_v6'!$B$13,W689="WATCH"),5,IF(Y689="PASS",1,MIN(5,MAX('Config_v6'!$B$42,U689)+IF(W689="PENALTY",1,0))))))</x:f>
      </x:c>
      <x:c r="AA689" s="2" t="str">
        <x:f>IF(B689="","",IF(I689&lt;&gt;"READY","NOT RELEASED",IF(Z689=5,"NO BET",IF(OR(AB689&lt;'Config_v6'!$B$16,V689&lt;'Config_v6'!$B$18),"WATCH",IF(Z689=1,"DEFENSIV",IF(Z689=2,"PRUDENT",IF(Z689=3,"MODERAT","RIDICAT")))))))</x:f>
      </x:c>
      <x:c r="AB689" s="10" t="str">
        <x:f>IF(N689="","",MIN(N689,1-S689))</x:f>
      </x:c>
      <x:c r="AC689" s="2" t="str">
        <x:f>IF(AD689&lt;&gt;1,"",COUNTIFS($Z$678:$Z$691,"&lt;"&amp;Z689,$AD$678:$AD$691,1)+COUNTIFS($Z$678:$Z$691,Z689,$AB$678:$AB$691,"&gt;"&amp;AB689,$AD$678:$AD$691,1)+COUNTIFS($Z$678:$Z$691,Z689,$AB$678:$AB$691,AB689,$V$678:$V$691,"&gt;"&amp;V689,$AD$678:$AD$691,1)+COUNTIFS($Z$678:Z689,Z689,$AB$678:AB689,AB689,$V$678:V689,V689,$AD$678:AD689,1))</x:f>
      </x:c>
      <x:c r="AD689" s="2" t="n">
        <x:f>IF(OR(AA689="DEFENSIV",AA689="PRUDENT",AA689="MODERAT",AA689="RIDICAT"),1,0)</x:f>
        <x:v>0</x:v>
      </x:c>
      <x:c r="AE689" s="2" t="str">
        <x:f>IF(AD689&lt;&gt;1,"NO",IF(W689="PASS","YES",IF(W689="OOS PENDING","CONDITIONAL","NO")))</x:f>
        <x:v>NO</x:v>
      </x:c>
      <x:c r="AF689" s="2" t="n">
        <x:f>IF(AND(AD689=1,AC689=1,E689="LIVE"),1,0)</x:f>
        <x:v>0</x:v>
      </x:c>
      <x:c r="AG689" s="2" t="str">
        <x:f>IF(AF689&lt;&gt;1,"",'Dashboard'!P74)</x:f>
      </x:c>
      <x:c r="AH689" s="2" t="str">
        <x:f>IF(B689="","",IF(J689&lt;&gt;"PASS",'Motor_Meciuri'!J54,IF('Calibrare_Linii'!U17&lt;&gt;"VALID","Parametri linie invalizi",IF(L689&gt;'Config_v6'!$B$13,"Dispersie peste limita",IF(W689="WATCH","Failure peste limita",IF(AB689&lt;'Config_v6'!$B$16,"P finala sub prag",IF(V689&lt;'Config_v6'!$B$18,"Confidence sub prag",IF(E689="REPLAY","Exemplu retrospectiv; exclus din Top LIVE",IF(Y689="PASS","DEFENSIV validat",IF(W689="OOS PENDING","Eligibil; calibrare linie in monitorizare","Eligibil"))))))))))</x:f>
      </x:c>
      <x:c r="AI689" s="2" t="str">
        <x:f>IF(B689="","",'Calibrare_Linii'!V17)</x:f>
      </x:c>
      <x:c r="AJ689" s="2" t="str">
        <x:f>IF(B689="","",IF(AND('Calibrare_Linii'!T17="VALIDATED",AND('Calibrare_Linii'!H17=C689,ISNUMBER('Calibrare_Linii'!J17),'Calibrare_Linii'!J17&lt;='Input_Meci'!G54)),"DEFENSIVE VALIDATED",IF(AND('Calibrare_Linii'!S17="VALIDATED",AND('Calibrare_Linii'!H17=C689,ISNUMBER('Calibrare_Linii'!J17),'Calibrare_Linii'!J17&lt;='Input_Meci'!G54)),"TAIL VALIDATED","OOS PENDING")))</x:f>
      </x:c>
      <x:c r="AK689" s="2" t="n">
        <x:f>IF(J689&lt;&gt;"PASS",0,'Motor_Meciuri'!BR54)</x:f>
        <x:v>0</x:v>
      </x:c>
      <x:c r="AL689" s="2" t="n">
        <x:f>IF(J689&lt;&gt;"PASS",0,'Motor_Meciuri'!BS54)</x:f>
        <x:v>0</x:v>
      </x:c>
      <x:c r="AM689" s="2" t="n">
        <x:f>IF(J689&lt;&gt;"PASS",0,'Motor_Meciuri'!BT54)</x:f>
        <x:v>0</x:v>
      </x:c>
      <x:c r="AN689" s="2" t="str">
        <x:f>IF(M689="","",MAX(0,'Motor_Meciuri'!BF54-IF(L689&gt;'Config_v6'!$B$12,'Config_v6'!$B$37,IF(L689&gt;'Config_v6'!$B$11,'Config_v6'!$B$36,0))))</x:f>
      </x:c>
    </x:row>
    <x:row r="690" ht="21" customHeight="1">
      <x:c r="A690" s="2" t="n">
        <x:v>49</x:v>
      </x:c>
      <x:c r="B690" s="2" t="str">
        <x:f>IF('Motor_Meciuri'!A54="","",'Motor_Meciuri'!A54)</x:f>
      </x:c>
      <x:c r="C690" s="2" t="str">
        <x:f>IF(B690="","",'Motor_Meciuri'!B54)</x:f>
      </x:c>
      <x:c r="D690" s="2" t="str">
        <x:f>IF(B690="","",'Motor_Meciuri'!D54)</x:f>
      </x:c>
      <x:c r="E690" s="2" t="str">
        <x:f>IF(B690="","",'Motor_Meciuri'!E54)</x:f>
      </x:c>
      <x:c r="F690" s="2" t="str">
        <x:v>U16,5</x:v>
      </x:c>
      <x:c r="G690" s="2" t="str">
        <x:v>UNDER</x:v>
      </x:c>
      <x:c r="H690" s="2" t="n">
        <x:v>16</x:v>
      </x:c>
      <x:c r="I690" s="2" t="str">
        <x:f>IF(B690="","",'Motor_Meciuri'!H54)</x:f>
      </x:c>
      <x:c r="J690" s="2" t="str">
        <x:f>IF(B690="","",'Motor_Meciuri'!I54)</x:f>
      </x:c>
      <x:c r="K690" s="11" t="str">
        <x:f>IF(J690&lt;&gt;"PASS","",'Motor_Meciuri'!BD54)</x:f>
      </x:c>
      <x:c r="L690" s="11" t="str">
        <x:f>IF(J690&lt;&gt;"PASS","",'Motor_Meciuri'!AU54)</x:f>
      </x:c>
      <x:c r="M690" s="10" t="str">
        <x:f>IF(NOT(AND(J690="PASS",'Calibrare_Linii'!U18="VALID")),"",'Distributie'!AN54)</x:f>
      </x:c>
      <x:c r="N690" s="10" t="str">
        <x:f>IF(M690="","",MAX(0.01,MIN(0.99,0.5+(M690-0.5)*'Motor_Meciuri'!BG54*'Calibrare_Linii'!D18)))</x:f>
      </x:c>
      <x:c r="O690" s="10" t="str">
        <x:f>IF(M690="","",1-M690)</x:f>
      </x:c>
      <x:c r="P690" s="10" t="str">
        <x:f>IF(OR(NOT(AND(J690="PASS",'Calibrare_Linii'!U18="VALID")),AK690=0),""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*('Istoric_Nativ'!$Q$6:$Q$405&gt;H690))/AK690)</x:f>
      </x:c>
      <x:c r="Q690" s="10" t="str">
        <x:f>IF(OR(NOT(AND(J690="PASS",'Calibrare_Linii'!U18="VALID")),AL690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M54)+((('Istoric_Nativ'!$E$6:$E$405='Input_Meci'!E54)+('Istoric_Nativ'!$F$6:$F$405='Input_Meci'!E54))&gt;0)*('Istoric_Nativ'!$D$6:$D$405&gt;='Motor_Meciuri'!BN54))&gt;0)*('Istoric_Nativ'!$Q$6:$Q$405&gt;H690))/AL690)</x:f>
      </x:c>
      <x:c r="R690" s="10" t="str">
        <x:f>IF(OR(NOT(AND(J690="PASS",'Calibrare_Linii'!U18="VALID")),AM690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O54)+((('Istoric_Nativ'!$E$6:$E$405='Input_Meci'!E54)+('Istoric_Nativ'!$F$6:$F$405='Input_Meci'!E54))&gt;0)*('Istoric_Nativ'!$D$6:$D$405&gt;='Motor_Meciuri'!BP54))&gt;0)*('Istoric_Nativ'!$Q$6:$Q$405&gt;H690))/AM690)</x:f>
      </x:c>
      <x:c r="S690" s="10" t="str">
        <x:f>IF(M690="","",MAX(O690,P690,Q690,R690))</x:f>
      </x:c>
      <x:c r="T690" s="11" t="str">
        <x:f>IF(M690="","",MIN(100,S690*100*'Config_v6'!$B$44+MIN(100,L690/'Config_v6'!$B$13*100)*'Config_v6'!$B$45+(100-'Motor_Meciuri'!BF54)*'Config_v6'!$B$46+'Motor_Meciuri'!BH54*100*'Config_v6'!$B$47))</x:f>
      </x:c>
      <x:c r="U690" s="2" t="str">
        <x:f>IF(T690="","",IF(T690&lt;=20,1,IF(T690&lt;=40,2,IF(T690&lt;=60,3,IF(T690&lt;=80,4,5)))))</x:f>
      </x:c>
      <x:c r="V690" s="2" t="str">
        <x:f>IF(M690="","",MAX(0,'Motor_Meciuri'!BF54-IF(W690="OOS PENDING",'Config_v6'!$B$35,0)-IF(L690&gt;'Config_v6'!$B$12,'Config_v6'!$B$37,IF(L690&gt;'Config_v6'!$B$11,'Config_v6'!$B$36,0))))</x:f>
      </x:c>
      <x:c r="W690" s="2" t="str">
        <x:f>IF(B690="","",IF(I690&lt;&gt;"READY","NOT RELEASED",IF(NOT(AND(J690="PASS",'Calibrare_Linii'!U18="VALID")),"INVALID",IF(NOT(AND('Calibrare_Linii'!S18="VALIDATED",AND('Calibrare_Linii'!H18=C690,ISNUMBER('Calibrare_Linii'!J18),'Calibrare_Linii'!J18&lt;='Input_Meci'!G54))),"OOS PENDING",IF(S690&lt;='Calibrare_Linii'!E18,"PASS",IF(S690&lt;='Calibrare_Linii'!F18,"PENALTY","WATCH"))))))</x:f>
      </x:c>
      <x:c r="X690" s="2" t="str">
        <x:f>IF(M690="","",IF(AND(AND(J690="PASS",'Calibrare_Linii'!U18="VALID"),'Motor_Meciuri'!K54=12,'Motor_Meciuri'!L54=12,'Motor_Meciuri'!M54="NO",'Motor_Meciuri'!BL54='Motor_Meciuri'!C54,AB690&gt;='Config_v6'!$B$50,AN690&gt;='Config_v6'!$B$51,T690&lt;='Config_v6'!$B$52,L690&lt;='Config_v6'!$B$53,ISNUMBER('Calibrare_Linii'!E18),S690&lt;='Calibrare_Linii'!E18,SUM(AK690:AM690)&gt;0),"CANDIDATE","NO"))</x:f>
      </x:c>
      <x:c r="Y690" s="2" t="str">
        <x:f>IF(B690="","",IF(I690&lt;&gt;"READY","NOT RELEASED",IF(AND(X690="CANDIDATE",V690&gt;='Config_v6'!$B$51,W690="PASS",'Calibrare_Linii'!T18="VALIDATED",AND('Calibrare_Linii'!H18=C690,ISNUMBER('Calibrare_Linii'!J18),'Calibrare_Linii'!J18&lt;='Input_Meci'!G54)),"PASS",IF(X690="CANDIDATE","OOS PENDING","FAIL"))))</x:f>
      </x:c>
      <x:c r="Z690" s="2" t="str">
        <x:f>IF(B690="","",IF(I690&lt;&gt;"READY","",IF(OR(NOT(AND(J690="PASS",'Calibrare_Linii'!U18="VALID")),L690&gt;'Config_v6'!$B$13,W690="WATCH"),5,IF(Y690="PASS",1,MIN(5,MAX('Config_v6'!$B$42,U690)+IF(W690="PENALTY",1,0))))))</x:f>
      </x:c>
      <x:c r="AA690" s="2" t="str">
        <x:f>IF(B690="","",IF(I690&lt;&gt;"READY","NOT RELEASED",IF(Z690=5,"NO BET",IF(OR(AB690&lt;'Config_v6'!$B$16,V690&lt;'Config_v6'!$B$18),"WATCH",IF(Z690=1,"DEFENSIV",IF(Z690=2,"PRUDENT",IF(Z690=3,"MODERAT","RIDICAT")))))))</x:f>
      </x:c>
      <x:c r="AB690" s="10" t="str">
        <x:f>IF(N690="","",MIN(N690,1-S690))</x:f>
      </x:c>
      <x:c r="AC690" s="2" t="str">
        <x:f>IF(AD690&lt;&gt;1,"",COUNTIFS($Z$678:$Z$691,"&lt;"&amp;Z690,$AD$678:$AD$691,1)+COUNTIFS($Z$678:$Z$691,Z690,$AB$678:$AB$691,"&gt;"&amp;AB690,$AD$678:$AD$691,1)+COUNTIFS($Z$678:$Z$691,Z690,$AB$678:$AB$691,AB690,$V$678:$V$691,"&gt;"&amp;V690,$AD$678:$AD$691,1)+COUNTIFS($Z$678:Z690,Z690,$AB$678:AB690,AB690,$V$678:V690,V690,$AD$678:AD690,1))</x:f>
      </x:c>
      <x:c r="AD690" s="2" t="n">
        <x:f>IF(OR(AA690="DEFENSIV",AA690="PRUDENT",AA690="MODERAT",AA690="RIDICAT"),1,0)</x:f>
        <x:v>0</x:v>
      </x:c>
      <x:c r="AE690" s="2" t="str">
        <x:f>IF(AD690&lt;&gt;1,"NO",IF(W690="PASS","YES",IF(W690="OOS PENDING","CONDITIONAL","NO")))</x:f>
        <x:v>NO</x:v>
      </x:c>
      <x:c r="AF690" s="2" t="n">
        <x:f>IF(AND(AD690=1,AC690=1,E690="LIVE"),1,0)</x:f>
        <x:v>0</x:v>
      </x:c>
      <x:c r="AG690" s="2" t="str">
        <x:f>IF(AF690&lt;&gt;1,"",'Dashboard'!P74)</x:f>
      </x:c>
      <x:c r="AH690" s="2" t="str">
        <x:f>IF(B690="","",IF(J690&lt;&gt;"PASS",'Motor_Meciuri'!J54,IF('Calibrare_Linii'!U18&lt;&gt;"VALID","Parametri linie invalizi",IF(L690&gt;'Config_v6'!$B$13,"Dispersie peste limita",IF(W690="WATCH","Failure peste limita",IF(AB690&lt;'Config_v6'!$B$16,"P finala sub prag",IF(V690&lt;'Config_v6'!$B$18,"Confidence sub prag",IF(E690="REPLAY","Exemplu retrospectiv; exclus din Top LIVE",IF(Y690="PASS","DEFENSIV validat",IF(W690="OOS PENDING","Eligibil; calibrare linie in monitorizare","Eligibil"))))))))))</x:f>
      </x:c>
      <x:c r="AI690" s="2" t="str">
        <x:f>IF(B690="","",'Calibrare_Linii'!V18)</x:f>
      </x:c>
      <x:c r="AJ690" s="2" t="str">
        <x:f>IF(B690="","",IF(AND('Calibrare_Linii'!T18="VALIDATED",AND('Calibrare_Linii'!H18=C690,ISNUMBER('Calibrare_Linii'!J18),'Calibrare_Linii'!J18&lt;='Input_Meci'!G54)),"DEFENSIVE VALIDATED",IF(AND('Calibrare_Linii'!S18="VALIDATED",AND('Calibrare_Linii'!H18=C690,ISNUMBER('Calibrare_Linii'!J18),'Calibrare_Linii'!J18&lt;='Input_Meci'!G54)),"TAIL VALIDATED","OOS PENDING")))</x:f>
      </x:c>
      <x:c r="AK690" s="2" t="n">
        <x:f>IF(J690&lt;&gt;"PASS",0,'Motor_Meciuri'!BR54)</x:f>
        <x:v>0</x:v>
      </x:c>
      <x:c r="AL690" s="2" t="n">
        <x:f>IF(J690&lt;&gt;"PASS",0,'Motor_Meciuri'!BS54)</x:f>
        <x:v>0</x:v>
      </x:c>
      <x:c r="AM690" s="2" t="n">
        <x:f>IF(J690&lt;&gt;"PASS",0,'Motor_Meciuri'!BT54)</x:f>
        <x:v>0</x:v>
      </x:c>
      <x:c r="AN690" s="2" t="str">
        <x:f>IF(M690="","",MAX(0,'Motor_Meciuri'!BF54-IF(L690&gt;'Config_v6'!$B$12,'Config_v6'!$B$37,IF(L690&gt;'Config_v6'!$B$11,'Config_v6'!$B$36,0))))</x:f>
      </x:c>
    </x:row>
    <x:row r="691" ht="21" customHeight="1">
      <x:c r="A691" s="2" t="n">
        <x:v>49</x:v>
      </x:c>
      <x:c r="B691" s="2" t="str">
        <x:f>IF('Motor_Meciuri'!A54="","",'Motor_Meciuri'!A54)</x:f>
      </x:c>
      <x:c r="C691" s="2" t="str">
        <x:f>IF(B691="","",'Motor_Meciuri'!B54)</x:f>
      </x:c>
      <x:c r="D691" s="2" t="str">
        <x:f>IF(B691="","",'Motor_Meciuri'!D54)</x:f>
      </x:c>
      <x:c r="E691" s="2" t="str">
        <x:f>IF(B691="","",'Motor_Meciuri'!E54)</x:f>
      </x:c>
      <x:c r="F691" s="2" t="str">
        <x:v>U17,5</x:v>
      </x:c>
      <x:c r="G691" s="2" t="str">
        <x:v>UNDER</x:v>
      </x:c>
      <x:c r="H691" s="2" t="n">
        <x:v>17</x:v>
      </x:c>
      <x:c r="I691" s="2" t="str">
        <x:f>IF(B691="","",'Motor_Meciuri'!H54)</x:f>
      </x:c>
      <x:c r="J691" s="2" t="str">
        <x:f>IF(B691="","",'Motor_Meciuri'!I54)</x:f>
      </x:c>
      <x:c r="K691" s="11" t="str">
        <x:f>IF(J691&lt;&gt;"PASS","",'Motor_Meciuri'!BD54)</x:f>
      </x:c>
      <x:c r="L691" s="11" t="str">
        <x:f>IF(J691&lt;&gt;"PASS","",'Motor_Meciuri'!AU54)</x:f>
      </x:c>
      <x:c r="M691" s="10" t="str">
        <x:f>IF(NOT(AND(J691="PASS",'Calibrare_Linii'!U19="VALID")),"",'Distributie'!AO54)</x:f>
      </x:c>
      <x:c r="N691" s="10" t="str">
        <x:f>IF(M691="","",MAX(0.01,MIN(0.99,0.5+(M691-0.5)*'Motor_Meciuri'!BG54*'Calibrare_Linii'!D19)))</x:f>
      </x:c>
      <x:c r="O691" s="10" t="str">
        <x:f>IF(M691="","",1-M691)</x:f>
      </x:c>
      <x:c r="P691" s="10" t="str">
        <x:f>IF(OR(NOT(AND(J691="PASS",'Calibrare_Linii'!U19="VALID")),AK691=0),""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*('Istoric_Nativ'!$Q$6:$Q$405&gt;H691))/AK691)</x:f>
      </x:c>
      <x:c r="Q691" s="10" t="str">
        <x:f>IF(OR(NOT(AND(J691="PASS",'Calibrare_Linii'!U19="VALID")),AL691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M54)+((('Istoric_Nativ'!$E$6:$E$405='Input_Meci'!E54)+('Istoric_Nativ'!$F$6:$F$405='Input_Meci'!E54))&gt;0)*('Istoric_Nativ'!$D$6:$D$405&gt;='Motor_Meciuri'!BN54))&gt;0)*('Istoric_Nativ'!$Q$6:$Q$405&gt;H691))/AL691)</x:f>
      </x:c>
      <x:c r="R691" s="10" t="str">
        <x:f>IF(OR(NOT(AND(J691="PASS",'Calibrare_Linii'!U19="VALID")),AM691=0),""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'Motor_Meciuri'!BO54)+((('Istoric_Nativ'!$E$6:$E$405='Input_Meci'!E54)+('Istoric_Nativ'!$F$6:$F$405='Input_Meci'!E54))&gt;0)*('Istoric_Nativ'!$D$6:$D$405&gt;='Motor_Meciuri'!BP54))&gt;0)*('Istoric_Nativ'!$Q$6:$Q$405&gt;H691))/AM691)</x:f>
      </x:c>
      <x:c r="S691" s="10" t="str">
        <x:f>IF(M691="","",MAX(O691,P691,Q691,R691))</x:f>
      </x:c>
      <x:c r="T691" s="11" t="str">
        <x:f>IF(M691="","",MIN(100,S691*100*'Config_v6'!$B$44+MIN(100,L691/'Config_v6'!$B$13*100)*'Config_v6'!$B$45+(100-'Motor_Meciuri'!BF54)*'Config_v6'!$B$46+'Motor_Meciuri'!BH54*100*'Config_v6'!$B$47))</x:f>
      </x:c>
      <x:c r="U691" s="2" t="str">
        <x:f>IF(T691="","",IF(T691&lt;=20,1,IF(T691&lt;=40,2,IF(T691&lt;=60,3,IF(T691&lt;=80,4,5)))))</x:f>
      </x:c>
      <x:c r="V691" s="2" t="str">
        <x:f>IF(M691="","",MAX(0,'Motor_Meciuri'!BF54-IF(W691="OOS PENDING",'Config_v6'!$B$35,0)-IF(L691&gt;'Config_v6'!$B$12,'Config_v6'!$B$37,IF(L691&gt;'Config_v6'!$B$11,'Config_v6'!$B$36,0))))</x:f>
      </x:c>
      <x:c r="W691" s="2" t="str">
        <x:f>IF(B691="","",IF(I691&lt;&gt;"READY","NOT RELEASED",IF(NOT(AND(J691="PASS",'Calibrare_Linii'!U19="VALID")),"INVALID",IF(NOT(AND('Calibrare_Linii'!S19="VALIDATED",AND('Calibrare_Linii'!H19=C691,ISNUMBER('Calibrare_Linii'!J19),'Calibrare_Linii'!J19&lt;='Input_Meci'!G54))),"OOS PENDING",IF(S691&lt;='Calibrare_Linii'!E19,"PASS",IF(S691&lt;='Calibrare_Linii'!F19,"PENALTY","WATCH"))))))</x:f>
      </x:c>
      <x:c r="X691" s="2" t="str">
        <x:f>IF(M691="","",IF(AND(AND(J691="PASS",'Calibrare_Linii'!U19="VALID"),'Motor_Meciuri'!K54=12,'Motor_Meciuri'!L54=12,'Motor_Meciuri'!M54="NO",'Motor_Meciuri'!BL54='Motor_Meciuri'!C54,AB691&gt;='Config_v6'!$B$50,AN691&gt;='Config_v6'!$B$51,T691&lt;='Config_v6'!$B$52,L691&lt;='Config_v6'!$B$53,ISNUMBER('Calibrare_Linii'!E19),S691&lt;='Calibrare_Linii'!E19,SUM(AK691:AM691)&gt;0),"CANDIDATE","NO"))</x:f>
      </x:c>
      <x:c r="Y691" s="2" t="str">
        <x:f>IF(B691="","",IF(I691&lt;&gt;"READY","NOT RELEASED",IF(AND(X691="CANDIDATE",V691&gt;='Config_v6'!$B$51,W691="PASS",'Calibrare_Linii'!T19="VALIDATED",AND('Calibrare_Linii'!H19=C691,ISNUMBER('Calibrare_Linii'!J19),'Calibrare_Linii'!J19&lt;='Input_Meci'!G54)),"PASS",IF(X691="CANDIDATE","OOS PENDING","FAIL"))))</x:f>
      </x:c>
      <x:c r="Z691" s="2" t="str">
        <x:f>IF(B691="","",IF(I691&lt;&gt;"READY","",IF(OR(NOT(AND(J691="PASS",'Calibrare_Linii'!U19="VALID")),L691&gt;'Config_v6'!$B$13,W691="WATCH"),5,IF(Y691="PASS",1,MIN(5,MAX('Config_v6'!$B$42,U691)+IF(W691="PENALTY",1,0))))))</x:f>
      </x:c>
      <x:c r="AA691" s="2" t="str">
        <x:f>IF(B691="","",IF(I691&lt;&gt;"READY","NOT RELEASED",IF(Z691=5,"NO BET",IF(OR(AB691&lt;'Config_v6'!$B$16,V691&lt;'Config_v6'!$B$18),"WATCH",IF(Z691=1,"DEFENSIV",IF(Z691=2,"PRUDENT",IF(Z691=3,"MODERAT","RIDICAT")))))))</x:f>
      </x:c>
      <x:c r="AB691" s="10" t="str">
        <x:f>IF(N691="","",MIN(N691,1-S691))</x:f>
      </x:c>
      <x:c r="AC691" s="2" t="str">
        <x:f>IF(AD691&lt;&gt;1,"",COUNTIFS($Z$678:$Z$691,"&lt;"&amp;Z691,$AD$678:$AD$691,1)+COUNTIFS($Z$678:$Z$691,Z691,$AB$678:$AB$691,"&gt;"&amp;AB691,$AD$678:$AD$691,1)+COUNTIFS($Z$678:$Z$691,Z691,$AB$678:$AB$691,AB691,$V$678:$V$691,"&gt;"&amp;V691,$AD$678:$AD$691,1)+COUNTIFS($Z$678:Z691,Z691,$AB$678:AB691,AB691,$V$678:V691,V691,$AD$678:AD691,1))</x:f>
      </x:c>
      <x:c r="AD691" s="2" t="n">
        <x:f>IF(OR(AA691="DEFENSIV",AA691="PRUDENT",AA691="MODERAT",AA691="RIDICAT"),1,0)</x:f>
        <x:v>0</x:v>
      </x:c>
      <x:c r="AE691" s="2" t="str">
        <x:f>IF(AD691&lt;&gt;1,"NO",IF(W691="PASS","YES",IF(W691="OOS PENDING","CONDITIONAL","NO")))</x:f>
        <x:v>NO</x:v>
      </x:c>
      <x:c r="AF691" s="2" t="n">
        <x:f>IF(AND(AD691=1,AC691=1,E691="LIVE"),1,0)</x:f>
        <x:v>0</x:v>
      </x:c>
      <x:c r="AG691" s="2" t="str">
        <x:f>IF(AF691&lt;&gt;1,"",'Dashboard'!P74)</x:f>
      </x:c>
      <x:c r="AH691" s="2" t="str">
        <x:f>IF(B691="","",IF(J691&lt;&gt;"PASS",'Motor_Meciuri'!J54,IF('Calibrare_Linii'!U19&lt;&gt;"VALID","Parametri linie invalizi",IF(L691&gt;'Config_v6'!$B$13,"Dispersie peste limita",IF(W691="WATCH","Failure peste limita",IF(AB691&lt;'Config_v6'!$B$16,"P finala sub prag",IF(V691&lt;'Config_v6'!$B$18,"Confidence sub prag",IF(E691="REPLAY","Exemplu retrospectiv; exclus din Top LIVE",IF(Y691="PASS","DEFENSIV validat",IF(W691="OOS PENDING","Eligibil; calibrare linie in monitorizare","Eligibil"))))))))))</x:f>
      </x:c>
      <x:c r="AI691" s="2" t="str">
        <x:f>IF(B691="","",'Calibrare_Linii'!V19)</x:f>
      </x:c>
      <x:c r="AJ691" s="2" t="str">
        <x:f>IF(B691="","",IF(AND('Calibrare_Linii'!T19="VALIDATED",AND('Calibrare_Linii'!H19=C691,ISNUMBER('Calibrare_Linii'!J19),'Calibrare_Linii'!J19&lt;='Input_Meci'!G54)),"DEFENSIVE VALIDATED",IF(AND('Calibrare_Linii'!S19="VALIDATED",AND('Calibrare_Linii'!H19=C691,ISNUMBER('Calibrare_Linii'!J19),'Calibrare_Linii'!J19&lt;='Input_Meci'!G54)),"TAIL VALIDATED","OOS PENDING")))</x:f>
      </x:c>
      <x:c r="AK691" s="2" t="n">
        <x:f>IF(J691&lt;&gt;"PASS",0,'Motor_Meciuri'!BR54)</x:f>
        <x:v>0</x:v>
      </x:c>
      <x:c r="AL691" s="2" t="n">
        <x:f>IF(J691&lt;&gt;"PASS",0,'Motor_Meciuri'!BS54)</x:f>
        <x:v>0</x:v>
      </x:c>
      <x:c r="AM691" s="2" t="n">
        <x:f>IF(J691&lt;&gt;"PASS",0,'Motor_Meciuri'!BT54)</x:f>
        <x:v>0</x:v>
      </x:c>
      <x:c r="AN691" s="2" t="str">
        <x:f>IF(M691="","",MAX(0,'Motor_Meciuri'!BF54-IF(L691&gt;'Config_v6'!$B$12,'Config_v6'!$B$37,IF(L691&gt;'Config_v6'!$B$11,'Config_v6'!$B$36,0))))</x:f>
      </x:c>
    </x:row>
    <x:row r="692" ht="21" customHeight="1">
      <x:c r="A692" s="2" t="n">
        <x:v>50</x:v>
      </x:c>
      <x:c r="B692" s="2" t="str">
        <x:f>IF('Motor_Meciuri'!A55="","",'Motor_Meciuri'!A55)</x:f>
      </x:c>
      <x:c r="C692" s="2" t="str">
        <x:f>IF(B692="","",'Motor_Meciuri'!B55)</x:f>
      </x:c>
      <x:c r="D692" s="2" t="str">
        <x:f>IF(B692="","",'Motor_Meciuri'!D55)</x:f>
      </x:c>
      <x:c r="E692" s="2" t="str">
        <x:f>IF(B692="","",'Motor_Meciuri'!E55)</x:f>
      </x:c>
      <x:c r="F692" s="2" t="str">
        <x:v>O3,5</x:v>
      </x:c>
      <x:c r="G692" s="2" t="str">
        <x:v>OVER</x:v>
      </x:c>
      <x:c r="H692" s="2" t="n">
        <x:v>3</x:v>
      </x:c>
      <x:c r="I692" s="2" t="str">
        <x:f>IF(B692="","",'Motor_Meciuri'!H55)</x:f>
      </x:c>
      <x:c r="J692" s="2" t="str">
        <x:f>IF(B692="","",'Motor_Meciuri'!I55)</x:f>
      </x:c>
      <x:c r="K692" s="11" t="str">
        <x:f>IF(J692&lt;&gt;"PASS","",'Motor_Meciuri'!BD55)</x:f>
      </x:c>
      <x:c r="L692" s="11" t="str">
        <x:f>IF(J692&lt;&gt;"PASS","",'Motor_Meciuri'!AU55)</x:f>
      </x:c>
      <x:c r="M692" s="10" t="str">
        <x:f>IF(NOT(AND(J692="PASS",'Calibrare_Linii'!U6="VALID")),"",1-'Distributie'!AA55)</x:f>
      </x:c>
      <x:c r="N692" s="10" t="str">
        <x:f>IF(M692="","",MAX(0.01,MIN(0.99,0.5+(M692-0.5)*'Motor_Meciuri'!BG55*'Calibrare_Linii'!D6)))</x:f>
      </x:c>
      <x:c r="O692" s="10" t="str">
        <x:f>IF(M692="","",1-M692)</x:f>
      </x:c>
      <x:c r="P692" s="10" t="str">
        <x:f>IF(OR(NOT(AND(J692="PASS",'Calibrare_Linii'!U6="VALID")),AK692=0),""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*('Istoric_Nativ'!$Q$6:$Q$405&lt;=H692))/AK692)</x:f>
      </x:c>
      <x:c r="Q692" s="10" t="str">
        <x:f>IF(OR(NOT(AND(J692="PASS",'Calibrare_Linii'!U6="VALID")),AL692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M55)+((('Istoric_Nativ'!$E$6:$E$405='Input_Meci'!E55)+('Istoric_Nativ'!$F$6:$F$405='Input_Meci'!E55))&gt;0)*('Istoric_Nativ'!$D$6:$D$405&gt;='Motor_Meciuri'!BN55))&gt;0)*('Istoric_Nativ'!$Q$6:$Q$405&lt;=H692))/AL692)</x:f>
      </x:c>
      <x:c r="R692" s="10" t="str">
        <x:f>IF(OR(NOT(AND(J692="PASS",'Calibrare_Linii'!U6="VALID")),AM692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O55)+((('Istoric_Nativ'!$E$6:$E$405='Input_Meci'!E55)+('Istoric_Nativ'!$F$6:$F$405='Input_Meci'!E55))&gt;0)*('Istoric_Nativ'!$D$6:$D$405&gt;='Motor_Meciuri'!BP55))&gt;0)*('Istoric_Nativ'!$Q$6:$Q$405&lt;=H692))/AM692)</x:f>
      </x:c>
      <x:c r="S692" s="10" t="str">
        <x:f>IF(M692="","",MAX(O692,P692,Q692,R692))</x:f>
      </x:c>
      <x:c r="T692" s="11" t="str">
        <x:f>IF(M692="","",MIN(100,S692*100*'Config_v6'!$B$44+MIN(100,L692/'Config_v6'!$B$13*100)*'Config_v6'!$B$45+(100-'Motor_Meciuri'!BF55)*'Config_v6'!$B$46+'Motor_Meciuri'!BH55*100*'Config_v6'!$B$47))</x:f>
      </x:c>
      <x:c r="U692" s="2" t="str">
        <x:f>IF(T692="","",IF(T692&lt;=20,1,IF(T692&lt;=40,2,IF(T692&lt;=60,3,IF(T692&lt;=80,4,5)))))</x:f>
      </x:c>
      <x:c r="V692" s="2" t="str">
        <x:f>IF(M692="","",MAX(0,'Motor_Meciuri'!BF55-IF(W692="OOS PENDING",'Config_v6'!$B$35,0)-IF(L692&gt;'Config_v6'!$B$12,'Config_v6'!$B$37,IF(L692&gt;'Config_v6'!$B$11,'Config_v6'!$B$36,0))))</x:f>
      </x:c>
      <x:c r="W692" s="2" t="str">
        <x:f>IF(B692="","",IF(I692&lt;&gt;"READY","NOT RELEASED",IF(NOT(AND(J692="PASS",'Calibrare_Linii'!U6="VALID")),"INVALID",IF(NOT(TRUE),"OOS PENDING",IF(S692&lt;=IF(AND('Calibrare_Linii'!S6="VALIDATED",AND('Calibrare_Linii'!H6=C692,ISNUMBER('Calibrare_Linii'!J6),'Calibrare_Linii'!J6&lt;='Input_Meci'!G55)),'Calibrare_Linii'!E6,'Config_v6'!$B$26),"PASS",IF(S692&lt;=IF(AND('Calibrare_Linii'!S6="VALIDATED",AND('Calibrare_Linii'!H6=C692,ISNUMBER('Calibrare_Linii'!J6),'Calibrare_Linii'!J6&lt;='Input_Meci'!G55)),'Calibrare_Linii'!F6,'Config_v6'!$C$26),"PENALTY","WATCH"))))))</x:f>
      </x:c>
      <x:c r="X692" s="2" t="str">
        <x:f>IF(M692="","",IF(AND(AND(J692="PASS",'Calibrare_Linii'!U6="VALID"),'Motor_Meciuri'!K55=12,'Motor_Meciuri'!L55=12,'Motor_Meciuri'!M55="NO",'Motor_Meciuri'!BL55='Motor_Meciuri'!C55,AB692&gt;='Config_v6'!$B$50,AN692&gt;='Config_v6'!$B$51,T692&lt;='Config_v6'!$B$52,L692&lt;='Config_v6'!$B$53,ISNUMBER('Calibrare_Linii'!E6),S692&lt;='Calibrare_Linii'!E6,SUM(AK692:AM692)&gt;0),"CANDIDATE","NO"))</x:f>
      </x:c>
      <x:c r="Y692" s="2" t="str">
        <x:f>IF(B692="","",IF(I692&lt;&gt;"READY","NOT RELEASED",IF(AND(X692="CANDIDATE",V692&gt;='Config_v6'!$B$51,W692="PASS",'Calibrare_Linii'!T6="VALIDATED",AND('Calibrare_Linii'!H6=C692,ISNUMBER('Calibrare_Linii'!J6),'Calibrare_Linii'!J6&lt;='Input_Meci'!G55)),"PASS",IF(X692="CANDIDATE","OOS PENDING","FAIL"))))</x:f>
      </x:c>
      <x:c r="Z692" s="2" t="str">
        <x:f>IF(B692="","",IF(I692&lt;&gt;"READY","",IF(OR(NOT(AND(J692="PASS",'Calibrare_Linii'!U6="VALID")),L692&gt;'Config_v6'!$B$13,W692="WATCH"),5,IF(Y692="PASS",1,MIN(5,MAX('Config_v6'!$B$42,U692)+IF(W692="PENALTY",1,0))))))</x:f>
      </x:c>
      <x:c r="AA692" s="2" t="str">
        <x:f>IF(B692="","",IF(I692&lt;&gt;"READY","NOT RELEASED",IF(Z692=5,"NO BET",IF(OR(AB692&lt;'Config_v6'!$B$16,V692&lt;'Config_v6'!$B$18),"WATCH",IF(Z692=1,"DEFENSIV",IF(Z692=2,"PRUDENT",IF(Z692=3,"MODERAT","RIDICAT")))))))</x:f>
      </x:c>
      <x:c r="AB692" s="10" t="str">
        <x:f>IF(N692="","",MIN(N692,1-S692))</x:f>
      </x:c>
      <x:c r="AC692" s="2" t="str">
        <x:f>IF(AD692&lt;&gt;1,"",COUNTIFS($Z$692:$Z$705,"&lt;"&amp;Z692,$AD$692:$AD$705,1)+COUNTIFS($Z$692:$Z$705,Z692,$AB$692:$AB$705,"&gt;"&amp;AB692,$AD$692:$AD$705,1)+COUNTIFS($Z$692:$Z$705,Z692,$AB$692:$AB$705,AB692,$V$692:$V$705,"&gt;"&amp;V692,$AD$692:$AD$705,1)+COUNTIFS($Z$692:Z692,Z692,$AB$692:AB692,AB692,$V$692:V692,V692,$AD$692:AD692,1))</x:f>
      </x:c>
      <x:c r="AD692" s="2" t="n">
        <x:f>IF(OR(AA692="DEFENSIV",AA692="PRUDENT",AA692="MODERAT",AA692="RIDICAT"),1,0)</x:f>
        <x:v>0</x:v>
      </x:c>
      <x:c r="AE692" s="2" t="str">
        <x:f>IF(AD692&lt;&gt;1,"NO",IF(W692="PASS","YES",IF(W692="OOS PENDING","CONDITIONAL","NO")))</x:f>
        <x:v>NO</x:v>
      </x:c>
      <x:c r="AF692" s="2" t="n">
        <x:f>IF(AND(AD692=1,AC692=1,E692="LIVE"),1,0)</x:f>
        <x:v>0</x:v>
      </x:c>
      <x:c r="AG692" s="2" t="str">
        <x:f>IF(AF692&lt;&gt;1,"",'Dashboard'!P75)</x:f>
      </x:c>
      <x:c r="AH692" s="2" t="str">
        <x:f>IF(B692="","",IF(J692&lt;&gt;"PASS",'Motor_Meciuri'!J55,IF('Calibrare_Linii'!U6&lt;&gt;"VALID","Parametri linie invalizi",IF(L692&gt;'Config_v6'!$B$13,"Dispersie peste limita",IF(W692="WATCH","Failure peste limita",IF(AB692&lt;'Config_v6'!$B$16,"P finala sub prag",IF(V692&lt;'Config_v6'!$B$18,"Confidence sub prag",IF(E692="REPLAY","Exemplu retrospectiv; exclus din Top LIVE",IF(Y692="PASS","DEFENSIV validat",IF(W692="OOS PENDING","Eligibil; calibrare linie in monitorizare","Eligibil"))))))))))</x:f>
      </x:c>
      <x:c r="AI692" s="2" t="str">
        <x:f>IF(B692="","",'Calibrare_Linii'!V6)</x:f>
      </x:c>
      <x:c r="AJ692" s="2" t="str">
        <x:f>IF(B692="","",IF(AND('Calibrare_Linii'!T6="VALIDATED",AND('Calibrare_Linii'!H6=C692,ISNUMBER('Calibrare_Linii'!J6),'Calibrare_Linii'!J6&lt;='Input_Meci'!G55)),"DEFENSIVE VALIDATED",IF(AND('Calibrare_Linii'!S6="VALIDATED",AND('Calibrare_Linii'!H6=C692,ISNUMBER('Calibrare_Linii'!J6),'Calibrare_Linii'!J6&lt;='Input_Meci'!G55)),"TAIL VALIDATED","OOS PENDING")))</x:f>
      </x:c>
      <x:c r="AK692" s="2" t="n">
        <x:f>IF(J692&lt;&gt;"PASS",0,'Motor_Meciuri'!BR55)</x:f>
        <x:v>0</x:v>
      </x:c>
      <x:c r="AL692" s="2" t="n">
        <x:f>IF(J692&lt;&gt;"PASS",0,'Motor_Meciuri'!BS55)</x:f>
        <x:v>0</x:v>
      </x:c>
      <x:c r="AM692" s="2" t="n">
        <x:f>IF(J692&lt;&gt;"PASS",0,'Motor_Meciuri'!BT55)</x:f>
        <x:v>0</x:v>
      </x:c>
      <x:c r="AN692" s="2" t="str">
        <x:f>IF(M692="","",MAX(0,'Motor_Meciuri'!BF55-IF(L692&gt;'Config_v6'!$B$12,'Config_v6'!$B$37,IF(L692&gt;'Config_v6'!$B$11,'Config_v6'!$B$36,0))))</x:f>
      </x:c>
    </x:row>
    <x:row r="693" ht="21" customHeight="1">
      <x:c r="A693" s="2" t="n">
        <x:v>50</x:v>
      </x:c>
      <x:c r="B693" s="2" t="str">
        <x:f>IF('Motor_Meciuri'!A55="","",'Motor_Meciuri'!A55)</x:f>
      </x:c>
      <x:c r="C693" s="2" t="str">
        <x:f>IF(B693="","",'Motor_Meciuri'!B55)</x:f>
      </x:c>
      <x:c r="D693" s="2" t="str">
        <x:f>IF(B693="","",'Motor_Meciuri'!D55)</x:f>
      </x:c>
      <x:c r="E693" s="2" t="str">
        <x:f>IF(B693="","",'Motor_Meciuri'!E55)</x:f>
      </x:c>
      <x:c r="F693" s="2" t="str">
        <x:v>O4,5</x:v>
      </x:c>
      <x:c r="G693" s="2" t="str">
        <x:v>OVER</x:v>
      </x:c>
      <x:c r="H693" s="2" t="n">
        <x:v>4</x:v>
      </x:c>
      <x:c r="I693" s="2" t="str">
        <x:f>IF(B693="","",'Motor_Meciuri'!H55)</x:f>
      </x:c>
      <x:c r="J693" s="2" t="str">
        <x:f>IF(B693="","",'Motor_Meciuri'!I55)</x:f>
      </x:c>
      <x:c r="K693" s="11" t="str">
        <x:f>IF(J693&lt;&gt;"PASS","",'Motor_Meciuri'!BD55)</x:f>
      </x:c>
      <x:c r="L693" s="11" t="str">
        <x:f>IF(J693&lt;&gt;"PASS","",'Motor_Meciuri'!AU55)</x:f>
      </x:c>
      <x:c r="M693" s="10" t="str">
        <x:f>IF(NOT(AND(J693="PASS",'Calibrare_Linii'!U7="VALID")),"",1-'Distributie'!AB55)</x:f>
      </x:c>
      <x:c r="N693" s="10" t="str">
        <x:f>IF(M693="","",MAX(0.01,MIN(0.99,0.5+(M693-0.5)*'Motor_Meciuri'!BG55*'Calibrare_Linii'!D7)))</x:f>
      </x:c>
      <x:c r="O693" s="10" t="str">
        <x:f>IF(M693="","",1-M693)</x:f>
      </x:c>
      <x:c r="P693" s="10" t="str">
        <x:f>IF(OR(NOT(AND(J693="PASS",'Calibrare_Linii'!U7="VALID")),AK693=0),""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*('Istoric_Nativ'!$Q$6:$Q$405&lt;=H693))/AK693)</x:f>
      </x:c>
      <x:c r="Q693" s="10" t="str">
        <x:f>IF(OR(NOT(AND(J693="PASS",'Calibrare_Linii'!U7="VALID")),AL693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M55)+((('Istoric_Nativ'!$E$6:$E$405='Input_Meci'!E55)+('Istoric_Nativ'!$F$6:$F$405='Input_Meci'!E55))&gt;0)*('Istoric_Nativ'!$D$6:$D$405&gt;='Motor_Meciuri'!BN55))&gt;0)*('Istoric_Nativ'!$Q$6:$Q$405&lt;=H693))/AL693)</x:f>
      </x:c>
      <x:c r="R693" s="10" t="str">
        <x:f>IF(OR(NOT(AND(J693="PASS",'Calibrare_Linii'!U7="VALID")),AM693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O55)+((('Istoric_Nativ'!$E$6:$E$405='Input_Meci'!E55)+('Istoric_Nativ'!$F$6:$F$405='Input_Meci'!E55))&gt;0)*('Istoric_Nativ'!$D$6:$D$405&gt;='Motor_Meciuri'!BP55))&gt;0)*('Istoric_Nativ'!$Q$6:$Q$405&lt;=H693))/AM693)</x:f>
      </x:c>
      <x:c r="S693" s="10" t="str">
        <x:f>IF(M693="","",MAX(O693,P693,Q693,R693))</x:f>
      </x:c>
      <x:c r="T693" s="11" t="str">
        <x:f>IF(M693="","",MIN(100,S693*100*'Config_v6'!$B$44+MIN(100,L693/'Config_v6'!$B$13*100)*'Config_v6'!$B$45+(100-'Motor_Meciuri'!BF55)*'Config_v6'!$B$46+'Motor_Meciuri'!BH55*100*'Config_v6'!$B$47))</x:f>
      </x:c>
      <x:c r="U693" s="2" t="str">
        <x:f>IF(T693="","",IF(T693&lt;=20,1,IF(T693&lt;=40,2,IF(T693&lt;=60,3,IF(T693&lt;=80,4,5)))))</x:f>
      </x:c>
      <x:c r="V693" s="2" t="str">
        <x:f>IF(M693="","",MAX(0,'Motor_Meciuri'!BF55-IF(W693="OOS PENDING",'Config_v6'!$B$35,0)-IF(L693&gt;'Config_v6'!$B$12,'Config_v6'!$B$37,IF(L693&gt;'Config_v6'!$B$11,'Config_v6'!$B$36,0))))</x:f>
      </x:c>
      <x:c r="W693" s="2" t="str">
        <x:f>IF(B693="","",IF(I693&lt;&gt;"READY","NOT RELEASED",IF(NOT(AND(J693="PASS",'Calibrare_Linii'!U7="VALID")),"INVALID",IF(NOT(AND('Calibrare_Linii'!S7="VALIDATED",AND('Calibrare_Linii'!H7=C693,ISNUMBER('Calibrare_Linii'!J7),'Calibrare_Linii'!J7&lt;='Input_Meci'!G55))),"OOS PENDING",IF(S693&lt;='Calibrare_Linii'!E7,"PASS",IF(S693&lt;='Calibrare_Linii'!F7,"PENALTY","WATCH"))))))</x:f>
      </x:c>
      <x:c r="X693" s="2" t="str">
        <x:f>IF(M693="","",IF(AND(AND(J693="PASS",'Calibrare_Linii'!U7="VALID"),'Motor_Meciuri'!K55=12,'Motor_Meciuri'!L55=12,'Motor_Meciuri'!M55="NO",'Motor_Meciuri'!BL55='Motor_Meciuri'!C55,AB693&gt;='Config_v6'!$B$50,AN693&gt;='Config_v6'!$B$51,T693&lt;='Config_v6'!$B$52,L693&lt;='Config_v6'!$B$53,ISNUMBER('Calibrare_Linii'!E7),S693&lt;='Calibrare_Linii'!E7,SUM(AK693:AM693)&gt;0),"CANDIDATE","NO"))</x:f>
      </x:c>
      <x:c r="Y693" s="2" t="str">
        <x:f>IF(B693="","",IF(I693&lt;&gt;"READY","NOT RELEASED",IF(AND(X693="CANDIDATE",V693&gt;='Config_v6'!$B$51,W693="PASS",'Calibrare_Linii'!T7="VALIDATED",AND('Calibrare_Linii'!H7=C693,ISNUMBER('Calibrare_Linii'!J7),'Calibrare_Linii'!J7&lt;='Input_Meci'!G55)),"PASS",IF(X693="CANDIDATE","OOS PENDING","FAIL"))))</x:f>
      </x:c>
      <x:c r="Z693" s="2" t="str">
        <x:f>IF(B693="","",IF(I693&lt;&gt;"READY","",IF(OR(NOT(AND(J693="PASS",'Calibrare_Linii'!U7="VALID")),L693&gt;'Config_v6'!$B$13,W693="WATCH"),5,IF(Y693="PASS",1,MIN(5,MAX('Config_v6'!$B$42,U693)+IF(W693="PENALTY",1,0))))))</x:f>
      </x:c>
      <x:c r="AA693" s="2" t="str">
        <x:f>IF(B693="","",IF(I693&lt;&gt;"READY","NOT RELEASED",IF(Z693=5,"NO BET",IF(OR(AB693&lt;'Config_v6'!$B$16,V693&lt;'Config_v6'!$B$18),"WATCH",IF(Z693=1,"DEFENSIV",IF(Z693=2,"PRUDENT",IF(Z693=3,"MODERAT","RIDICAT")))))))</x:f>
      </x:c>
      <x:c r="AB693" s="10" t="str">
        <x:f>IF(N693="","",MIN(N693,1-S693))</x:f>
      </x:c>
      <x:c r="AC693" s="2" t="str">
        <x:f>IF(AD693&lt;&gt;1,"",COUNTIFS($Z$692:$Z$705,"&lt;"&amp;Z693,$AD$692:$AD$705,1)+COUNTIFS($Z$692:$Z$705,Z693,$AB$692:$AB$705,"&gt;"&amp;AB693,$AD$692:$AD$705,1)+COUNTIFS($Z$692:$Z$705,Z693,$AB$692:$AB$705,AB693,$V$692:$V$705,"&gt;"&amp;V693,$AD$692:$AD$705,1)+COUNTIFS($Z$692:Z693,Z693,$AB$692:AB693,AB693,$V$692:V693,V693,$AD$692:AD693,1))</x:f>
      </x:c>
      <x:c r="AD693" s="2" t="n">
        <x:f>IF(OR(AA693="DEFENSIV",AA693="PRUDENT",AA693="MODERAT",AA693="RIDICAT"),1,0)</x:f>
        <x:v>0</x:v>
      </x:c>
      <x:c r="AE693" s="2" t="str">
        <x:f>IF(AD693&lt;&gt;1,"NO",IF(W693="PASS","YES",IF(W693="OOS PENDING","CONDITIONAL","NO")))</x:f>
        <x:v>NO</x:v>
      </x:c>
      <x:c r="AF693" s="2" t="n">
        <x:f>IF(AND(AD693=1,AC693=1,E693="LIVE"),1,0)</x:f>
        <x:v>0</x:v>
      </x:c>
      <x:c r="AG693" s="2" t="str">
        <x:f>IF(AF693&lt;&gt;1,"",'Dashboard'!P75)</x:f>
      </x:c>
      <x:c r="AH693" s="2" t="str">
        <x:f>IF(B693="","",IF(J693&lt;&gt;"PASS",'Motor_Meciuri'!J55,IF('Calibrare_Linii'!U7&lt;&gt;"VALID","Parametri linie invalizi",IF(L693&gt;'Config_v6'!$B$13,"Dispersie peste limita",IF(W693="WATCH","Failure peste limita",IF(AB693&lt;'Config_v6'!$B$16,"P finala sub prag",IF(V693&lt;'Config_v6'!$B$18,"Confidence sub prag",IF(E693="REPLAY","Exemplu retrospectiv; exclus din Top LIVE",IF(Y693="PASS","DEFENSIV validat",IF(W693="OOS PENDING","Eligibil; calibrare linie in monitorizare","Eligibil"))))))))))</x:f>
      </x:c>
      <x:c r="AI693" s="2" t="str">
        <x:f>IF(B693="","",'Calibrare_Linii'!V7)</x:f>
      </x:c>
      <x:c r="AJ693" s="2" t="str">
        <x:f>IF(B693="","",IF(AND('Calibrare_Linii'!T7="VALIDATED",AND('Calibrare_Linii'!H7=C693,ISNUMBER('Calibrare_Linii'!J7),'Calibrare_Linii'!J7&lt;='Input_Meci'!G55)),"DEFENSIVE VALIDATED",IF(AND('Calibrare_Linii'!S7="VALIDATED",AND('Calibrare_Linii'!H7=C693,ISNUMBER('Calibrare_Linii'!J7),'Calibrare_Linii'!J7&lt;='Input_Meci'!G55)),"TAIL VALIDATED","OOS PENDING")))</x:f>
      </x:c>
      <x:c r="AK693" s="2" t="n">
        <x:f>IF(J693&lt;&gt;"PASS",0,'Motor_Meciuri'!BR55)</x:f>
        <x:v>0</x:v>
      </x:c>
      <x:c r="AL693" s="2" t="n">
        <x:f>IF(J693&lt;&gt;"PASS",0,'Motor_Meciuri'!BS55)</x:f>
        <x:v>0</x:v>
      </x:c>
      <x:c r="AM693" s="2" t="n">
        <x:f>IF(J693&lt;&gt;"PASS",0,'Motor_Meciuri'!BT55)</x:f>
        <x:v>0</x:v>
      </x:c>
      <x:c r="AN693" s="2" t="str">
        <x:f>IF(M693="","",MAX(0,'Motor_Meciuri'!BF55-IF(L693&gt;'Config_v6'!$B$12,'Config_v6'!$B$37,IF(L693&gt;'Config_v6'!$B$11,'Config_v6'!$B$36,0))))</x:f>
      </x:c>
    </x:row>
    <x:row r="694" ht="21" customHeight="1">
      <x:c r="A694" s="2" t="n">
        <x:v>50</x:v>
      </x:c>
      <x:c r="B694" s="2" t="str">
        <x:f>IF('Motor_Meciuri'!A55="","",'Motor_Meciuri'!A55)</x:f>
      </x:c>
      <x:c r="C694" s="2" t="str">
        <x:f>IF(B694="","",'Motor_Meciuri'!B55)</x:f>
      </x:c>
      <x:c r="D694" s="2" t="str">
        <x:f>IF(B694="","",'Motor_Meciuri'!D55)</x:f>
      </x:c>
      <x:c r="E694" s="2" t="str">
        <x:f>IF(B694="","",'Motor_Meciuri'!E55)</x:f>
      </x:c>
      <x:c r="F694" s="2" t="str">
        <x:v>O5,5</x:v>
      </x:c>
      <x:c r="G694" s="2" t="str">
        <x:v>OVER</x:v>
      </x:c>
      <x:c r="H694" s="2" t="n">
        <x:v>5</x:v>
      </x:c>
      <x:c r="I694" s="2" t="str">
        <x:f>IF(B694="","",'Motor_Meciuri'!H55)</x:f>
      </x:c>
      <x:c r="J694" s="2" t="str">
        <x:f>IF(B694="","",'Motor_Meciuri'!I55)</x:f>
      </x:c>
      <x:c r="K694" s="11" t="str">
        <x:f>IF(J694&lt;&gt;"PASS","",'Motor_Meciuri'!BD55)</x:f>
      </x:c>
      <x:c r="L694" s="11" t="str">
        <x:f>IF(J694&lt;&gt;"PASS","",'Motor_Meciuri'!AU55)</x:f>
      </x:c>
      <x:c r="M694" s="10" t="str">
        <x:f>IF(NOT(AND(J694="PASS",'Calibrare_Linii'!U8="VALID")),"",1-'Distributie'!AC55)</x:f>
      </x:c>
      <x:c r="N694" s="10" t="str">
        <x:f>IF(M694="","",MAX(0.01,MIN(0.99,0.5+(M694-0.5)*'Motor_Meciuri'!BG55*'Calibrare_Linii'!D8)))</x:f>
      </x:c>
      <x:c r="O694" s="10" t="str">
        <x:f>IF(M694="","",1-M694)</x:f>
      </x:c>
      <x:c r="P694" s="10" t="str">
        <x:f>IF(OR(NOT(AND(J694="PASS",'Calibrare_Linii'!U8="VALID")),AK694=0),""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*('Istoric_Nativ'!$Q$6:$Q$405&lt;=H694))/AK694)</x:f>
      </x:c>
      <x:c r="Q694" s="10" t="str">
        <x:f>IF(OR(NOT(AND(J694="PASS",'Calibrare_Linii'!U8="VALID")),AL694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M55)+((('Istoric_Nativ'!$E$6:$E$405='Input_Meci'!E55)+('Istoric_Nativ'!$F$6:$F$405='Input_Meci'!E55))&gt;0)*('Istoric_Nativ'!$D$6:$D$405&gt;='Motor_Meciuri'!BN55))&gt;0)*('Istoric_Nativ'!$Q$6:$Q$405&lt;=H694))/AL694)</x:f>
      </x:c>
      <x:c r="R694" s="10" t="str">
        <x:f>IF(OR(NOT(AND(J694="PASS",'Calibrare_Linii'!U8="VALID")),AM694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O55)+((('Istoric_Nativ'!$E$6:$E$405='Input_Meci'!E55)+('Istoric_Nativ'!$F$6:$F$405='Input_Meci'!E55))&gt;0)*('Istoric_Nativ'!$D$6:$D$405&gt;='Motor_Meciuri'!BP55))&gt;0)*('Istoric_Nativ'!$Q$6:$Q$405&lt;=H694))/AM694)</x:f>
      </x:c>
      <x:c r="S694" s="10" t="str">
        <x:f>IF(M694="","",MAX(O694,P694,Q694,R694))</x:f>
      </x:c>
      <x:c r="T694" s="11" t="str">
        <x:f>IF(M694="","",MIN(100,S694*100*'Config_v6'!$B$44+MIN(100,L694/'Config_v6'!$B$13*100)*'Config_v6'!$B$45+(100-'Motor_Meciuri'!BF55)*'Config_v6'!$B$46+'Motor_Meciuri'!BH55*100*'Config_v6'!$B$47))</x:f>
      </x:c>
      <x:c r="U694" s="2" t="str">
        <x:f>IF(T694="","",IF(T694&lt;=20,1,IF(T694&lt;=40,2,IF(T694&lt;=60,3,IF(T694&lt;=80,4,5)))))</x:f>
      </x:c>
      <x:c r="V694" s="2" t="str">
        <x:f>IF(M694="","",MAX(0,'Motor_Meciuri'!BF55-IF(W694="OOS PENDING",'Config_v6'!$B$35,0)-IF(L694&gt;'Config_v6'!$B$12,'Config_v6'!$B$37,IF(L694&gt;'Config_v6'!$B$11,'Config_v6'!$B$36,0))))</x:f>
      </x:c>
      <x:c r="W694" s="2" t="str">
        <x:f>IF(B694="","",IF(I694&lt;&gt;"READY","NOT RELEASED",IF(NOT(AND(J694="PASS",'Calibrare_Linii'!U8="VALID")),"INVALID",IF(NOT(AND('Calibrare_Linii'!S8="VALIDATED",AND('Calibrare_Linii'!H8=C694,ISNUMBER('Calibrare_Linii'!J8),'Calibrare_Linii'!J8&lt;='Input_Meci'!G55))),"OOS PENDING",IF(S694&lt;='Calibrare_Linii'!E8,"PASS",IF(S694&lt;='Calibrare_Linii'!F8,"PENALTY","WATCH"))))))</x:f>
      </x:c>
      <x:c r="X694" s="2" t="str">
        <x:f>IF(M694="","",IF(AND(AND(J694="PASS",'Calibrare_Linii'!U8="VALID"),'Motor_Meciuri'!K55=12,'Motor_Meciuri'!L55=12,'Motor_Meciuri'!M55="NO",'Motor_Meciuri'!BL55='Motor_Meciuri'!C55,AB694&gt;='Config_v6'!$B$50,AN694&gt;='Config_v6'!$B$51,T694&lt;='Config_v6'!$B$52,L694&lt;='Config_v6'!$B$53,ISNUMBER('Calibrare_Linii'!E8),S694&lt;='Calibrare_Linii'!E8,SUM(AK694:AM694)&gt;0),"CANDIDATE","NO"))</x:f>
      </x:c>
      <x:c r="Y694" s="2" t="str">
        <x:f>IF(B694="","",IF(I694&lt;&gt;"READY","NOT RELEASED",IF(AND(X694="CANDIDATE",V694&gt;='Config_v6'!$B$51,W694="PASS",'Calibrare_Linii'!T8="VALIDATED",AND('Calibrare_Linii'!H8=C694,ISNUMBER('Calibrare_Linii'!J8),'Calibrare_Linii'!J8&lt;='Input_Meci'!G55)),"PASS",IF(X694="CANDIDATE","OOS PENDING","FAIL"))))</x:f>
      </x:c>
      <x:c r="Z694" s="2" t="str">
        <x:f>IF(B694="","",IF(I694&lt;&gt;"READY","",IF(OR(NOT(AND(J694="PASS",'Calibrare_Linii'!U8="VALID")),L694&gt;'Config_v6'!$B$13,W694="WATCH"),5,IF(Y694="PASS",1,MIN(5,MAX('Config_v6'!$B$42,U694)+IF(W694="PENALTY",1,0))))))</x:f>
      </x:c>
      <x:c r="AA694" s="2" t="str">
        <x:f>IF(B694="","",IF(I694&lt;&gt;"READY","NOT RELEASED",IF(Z694=5,"NO BET",IF(OR(AB694&lt;'Config_v6'!$B$16,V694&lt;'Config_v6'!$B$18),"WATCH",IF(Z694=1,"DEFENSIV",IF(Z694=2,"PRUDENT",IF(Z694=3,"MODERAT","RIDICAT")))))))</x:f>
      </x:c>
      <x:c r="AB694" s="10" t="str">
        <x:f>IF(N694="","",MIN(N694,1-S694))</x:f>
      </x:c>
      <x:c r="AC694" s="2" t="str">
        <x:f>IF(AD694&lt;&gt;1,"",COUNTIFS($Z$692:$Z$705,"&lt;"&amp;Z694,$AD$692:$AD$705,1)+COUNTIFS($Z$692:$Z$705,Z694,$AB$692:$AB$705,"&gt;"&amp;AB694,$AD$692:$AD$705,1)+COUNTIFS($Z$692:$Z$705,Z694,$AB$692:$AB$705,AB694,$V$692:$V$705,"&gt;"&amp;V694,$AD$692:$AD$705,1)+COUNTIFS($Z$692:Z694,Z694,$AB$692:AB694,AB694,$V$692:V694,V694,$AD$692:AD694,1))</x:f>
      </x:c>
      <x:c r="AD694" s="2" t="n">
        <x:f>IF(OR(AA694="DEFENSIV",AA694="PRUDENT",AA694="MODERAT",AA694="RIDICAT"),1,0)</x:f>
        <x:v>0</x:v>
      </x:c>
      <x:c r="AE694" s="2" t="str">
        <x:f>IF(AD694&lt;&gt;1,"NO",IF(W694="PASS","YES",IF(W694="OOS PENDING","CONDITIONAL","NO")))</x:f>
        <x:v>NO</x:v>
      </x:c>
      <x:c r="AF694" s="2" t="n">
        <x:f>IF(AND(AD694=1,AC694=1,E694="LIVE"),1,0)</x:f>
        <x:v>0</x:v>
      </x:c>
      <x:c r="AG694" s="2" t="str">
        <x:f>IF(AF694&lt;&gt;1,"",'Dashboard'!P75)</x:f>
      </x:c>
      <x:c r="AH694" s="2" t="str">
        <x:f>IF(B694="","",IF(J694&lt;&gt;"PASS",'Motor_Meciuri'!J55,IF('Calibrare_Linii'!U8&lt;&gt;"VALID","Parametri linie invalizi",IF(L694&gt;'Config_v6'!$B$13,"Dispersie peste limita",IF(W694="WATCH","Failure peste limita",IF(AB694&lt;'Config_v6'!$B$16,"P finala sub prag",IF(V694&lt;'Config_v6'!$B$18,"Confidence sub prag",IF(E694="REPLAY","Exemplu retrospectiv; exclus din Top LIVE",IF(Y694="PASS","DEFENSIV validat",IF(W694="OOS PENDING","Eligibil; calibrare linie in monitorizare","Eligibil"))))))))))</x:f>
      </x:c>
      <x:c r="AI694" s="2" t="str">
        <x:f>IF(B694="","",'Calibrare_Linii'!V8)</x:f>
      </x:c>
      <x:c r="AJ694" s="2" t="str">
        <x:f>IF(B694="","",IF(AND('Calibrare_Linii'!T8="VALIDATED",AND('Calibrare_Linii'!H8=C694,ISNUMBER('Calibrare_Linii'!J8),'Calibrare_Linii'!J8&lt;='Input_Meci'!G55)),"DEFENSIVE VALIDATED",IF(AND('Calibrare_Linii'!S8="VALIDATED",AND('Calibrare_Linii'!H8=C694,ISNUMBER('Calibrare_Linii'!J8),'Calibrare_Linii'!J8&lt;='Input_Meci'!G55)),"TAIL VALIDATED","OOS PENDING")))</x:f>
      </x:c>
      <x:c r="AK694" s="2" t="n">
        <x:f>IF(J694&lt;&gt;"PASS",0,'Motor_Meciuri'!BR55)</x:f>
        <x:v>0</x:v>
      </x:c>
      <x:c r="AL694" s="2" t="n">
        <x:f>IF(J694&lt;&gt;"PASS",0,'Motor_Meciuri'!BS55)</x:f>
        <x:v>0</x:v>
      </x:c>
      <x:c r="AM694" s="2" t="n">
        <x:f>IF(J694&lt;&gt;"PASS",0,'Motor_Meciuri'!BT55)</x:f>
        <x:v>0</x:v>
      </x:c>
      <x:c r="AN694" s="2" t="str">
        <x:f>IF(M694="","",MAX(0,'Motor_Meciuri'!BF55-IF(L694&gt;'Config_v6'!$B$12,'Config_v6'!$B$37,IF(L694&gt;'Config_v6'!$B$11,'Config_v6'!$B$36,0))))</x:f>
      </x:c>
    </x:row>
    <x:row r="695" ht="21" customHeight="1">
      <x:c r="A695" s="2" t="n">
        <x:v>50</x:v>
      </x:c>
      <x:c r="B695" s="2" t="str">
        <x:f>IF('Motor_Meciuri'!A55="","",'Motor_Meciuri'!A55)</x:f>
      </x:c>
      <x:c r="C695" s="2" t="str">
        <x:f>IF(B695="","",'Motor_Meciuri'!B55)</x:f>
      </x:c>
      <x:c r="D695" s="2" t="str">
        <x:f>IF(B695="","",'Motor_Meciuri'!D55)</x:f>
      </x:c>
      <x:c r="E695" s="2" t="str">
        <x:f>IF(B695="","",'Motor_Meciuri'!E55)</x:f>
      </x:c>
      <x:c r="F695" s="2" t="str">
        <x:v>O6,5</x:v>
      </x:c>
      <x:c r="G695" s="2" t="str">
        <x:v>OVER</x:v>
      </x:c>
      <x:c r="H695" s="2" t="n">
        <x:v>6</x:v>
      </x:c>
      <x:c r="I695" s="2" t="str">
        <x:f>IF(B695="","",'Motor_Meciuri'!H55)</x:f>
      </x:c>
      <x:c r="J695" s="2" t="str">
        <x:f>IF(B695="","",'Motor_Meciuri'!I55)</x:f>
      </x:c>
      <x:c r="K695" s="11" t="str">
        <x:f>IF(J695&lt;&gt;"PASS","",'Motor_Meciuri'!BD55)</x:f>
      </x:c>
      <x:c r="L695" s="11" t="str">
        <x:f>IF(J695&lt;&gt;"PASS","",'Motor_Meciuri'!AU55)</x:f>
      </x:c>
      <x:c r="M695" s="10" t="str">
        <x:f>IF(NOT(AND(J695="PASS",'Calibrare_Linii'!U9="VALID")),"",1-'Distributie'!AD55)</x:f>
      </x:c>
      <x:c r="N695" s="10" t="str">
        <x:f>IF(M695="","",MAX(0.01,MIN(0.99,0.5+(M695-0.5)*'Motor_Meciuri'!BG55*'Calibrare_Linii'!D9)))</x:f>
      </x:c>
      <x:c r="O695" s="10" t="str">
        <x:f>IF(M695="","",1-M695)</x:f>
      </x:c>
      <x:c r="P695" s="10" t="str">
        <x:f>IF(OR(NOT(AND(J695="PASS",'Calibrare_Linii'!U9="VALID")),AK695=0),""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*('Istoric_Nativ'!$Q$6:$Q$405&lt;=H695))/AK695)</x:f>
      </x:c>
      <x:c r="Q695" s="10" t="str">
        <x:f>IF(OR(NOT(AND(J695="PASS",'Calibrare_Linii'!U9="VALID")),AL695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M55)+((('Istoric_Nativ'!$E$6:$E$405='Input_Meci'!E55)+('Istoric_Nativ'!$F$6:$F$405='Input_Meci'!E55))&gt;0)*('Istoric_Nativ'!$D$6:$D$405&gt;='Motor_Meciuri'!BN55))&gt;0)*('Istoric_Nativ'!$Q$6:$Q$405&lt;=H695))/AL695)</x:f>
      </x:c>
      <x:c r="R695" s="10" t="str">
        <x:f>IF(OR(NOT(AND(J695="PASS",'Calibrare_Linii'!U9="VALID")),AM695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O55)+((('Istoric_Nativ'!$E$6:$E$405='Input_Meci'!E55)+('Istoric_Nativ'!$F$6:$F$405='Input_Meci'!E55))&gt;0)*('Istoric_Nativ'!$D$6:$D$405&gt;='Motor_Meciuri'!BP55))&gt;0)*('Istoric_Nativ'!$Q$6:$Q$405&lt;=H695))/AM695)</x:f>
      </x:c>
      <x:c r="S695" s="10" t="str">
        <x:f>IF(M695="","",MAX(O695,P695,Q695,R695))</x:f>
      </x:c>
      <x:c r="T695" s="11" t="str">
        <x:f>IF(M695="","",MIN(100,S695*100*'Config_v6'!$B$44+MIN(100,L695/'Config_v6'!$B$13*100)*'Config_v6'!$B$45+(100-'Motor_Meciuri'!BF55)*'Config_v6'!$B$46+'Motor_Meciuri'!BH55*100*'Config_v6'!$B$47))</x:f>
      </x:c>
      <x:c r="U695" s="2" t="str">
        <x:f>IF(T695="","",IF(T695&lt;=20,1,IF(T695&lt;=40,2,IF(T695&lt;=60,3,IF(T695&lt;=80,4,5)))))</x:f>
      </x:c>
      <x:c r="V695" s="2" t="str">
        <x:f>IF(M695="","",MAX(0,'Motor_Meciuri'!BF55-IF(W695="OOS PENDING",'Config_v6'!$B$35,0)-IF(L695&gt;'Config_v6'!$B$12,'Config_v6'!$B$37,IF(L695&gt;'Config_v6'!$B$11,'Config_v6'!$B$36,0))))</x:f>
      </x:c>
      <x:c r="W695" s="2" t="str">
        <x:f>IF(B695="","",IF(I695&lt;&gt;"READY","NOT RELEASED",IF(NOT(AND(J695="PASS",'Calibrare_Linii'!U9="VALID")),"INVALID",IF(NOT(AND('Calibrare_Linii'!S9="VALIDATED",AND('Calibrare_Linii'!H9=C695,ISNUMBER('Calibrare_Linii'!J9),'Calibrare_Linii'!J9&lt;='Input_Meci'!G55))),"OOS PENDING",IF(S695&lt;='Calibrare_Linii'!E9,"PASS",IF(S695&lt;='Calibrare_Linii'!F9,"PENALTY","WATCH"))))))</x:f>
      </x:c>
      <x:c r="X695" s="2" t="str">
        <x:f>IF(M695="","",IF(AND(AND(J695="PASS",'Calibrare_Linii'!U9="VALID"),'Motor_Meciuri'!K55=12,'Motor_Meciuri'!L55=12,'Motor_Meciuri'!M55="NO",'Motor_Meciuri'!BL55='Motor_Meciuri'!C55,AB695&gt;='Config_v6'!$B$50,AN695&gt;='Config_v6'!$B$51,T695&lt;='Config_v6'!$B$52,L695&lt;='Config_v6'!$B$53,ISNUMBER('Calibrare_Linii'!E9),S695&lt;='Calibrare_Linii'!E9,SUM(AK695:AM695)&gt;0),"CANDIDATE","NO"))</x:f>
      </x:c>
      <x:c r="Y695" s="2" t="str">
        <x:f>IF(B695="","",IF(I695&lt;&gt;"READY","NOT RELEASED",IF(AND(X695="CANDIDATE",V695&gt;='Config_v6'!$B$51,W695="PASS",'Calibrare_Linii'!T9="VALIDATED",AND('Calibrare_Linii'!H9=C695,ISNUMBER('Calibrare_Linii'!J9),'Calibrare_Linii'!J9&lt;='Input_Meci'!G55)),"PASS",IF(X695="CANDIDATE","OOS PENDING","FAIL"))))</x:f>
      </x:c>
      <x:c r="Z695" s="2" t="str">
        <x:f>IF(B695="","",IF(I695&lt;&gt;"READY","",IF(OR(NOT(AND(J695="PASS",'Calibrare_Linii'!U9="VALID")),L695&gt;'Config_v6'!$B$13,W695="WATCH"),5,IF(Y695="PASS",1,MIN(5,MAX('Config_v6'!$B$42,U695)+IF(W695="PENALTY",1,0))))))</x:f>
      </x:c>
      <x:c r="AA695" s="2" t="str">
        <x:f>IF(B695="","",IF(I695&lt;&gt;"READY","NOT RELEASED",IF(Z695=5,"NO BET",IF(OR(AB695&lt;'Config_v6'!$B$16,V695&lt;'Config_v6'!$B$18),"WATCH",IF(Z695=1,"DEFENSIV",IF(Z695=2,"PRUDENT",IF(Z695=3,"MODERAT","RIDICAT")))))))</x:f>
      </x:c>
      <x:c r="AB695" s="10" t="str">
        <x:f>IF(N695="","",MIN(N695,1-S695))</x:f>
      </x:c>
      <x:c r="AC695" s="2" t="str">
        <x:f>IF(AD695&lt;&gt;1,"",COUNTIFS($Z$692:$Z$705,"&lt;"&amp;Z695,$AD$692:$AD$705,1)+COUNTIFS($Z$692:$Z$705,Z695,$AB$692:$AB$705,"&gt;"&amp;AB695,$AD$692:$AD$705,1)+COUNTIFS($Z$692:$Z$705,Z695,$AB$692:$AB$705,AB695,$V$692:$V$705,"&gt;"&amp;V695,$AD$692:$AD$705,1)+COUNTIFS($Z$692:Z695,Z695,$AB$692:AB695,AB695,$V$692:V695,V695,$AD$692:AD695,1))</x:f>
      </x:c>
      <x:c r="AD695" s="2" t="n">
        <x:f>IF(OR(AA695="DEFENSIV",AA695="PRUDENT",AA695="MODERAT",AA695="RIDICAT"),1,0)</x:f>
        <x:v>0</x:v>
      </x:c>
      <x:c r="AE695" s="2" t="str">
        <x:f>IF(AD695&lt;&gt;1,"NO",IF(W695="PASS","YES",IF(W695="OOS PENDING","CONDITIONAL","NO")))</x:f>
        <x:v>NO</x:v>
      </x:c>
      <x:c r="AF695" s="2" t="n">
        <x:f>IF(AND(AD695=1,AC695=1,E695="LIVE"),1,0)</x:f>
        <x:v>0</x:v>
      </x:c>
      <x:c r="AG695" s="2" t="str">
        <x:f>IF(AF695&lt;&gt;1,"",'Dashboard'!P75)</x:f>
      </x:c>
      <x:c r="AH695" s="2" t="str">
        <x:f>IF(B695="","",IF(J695&lt;&gt;"PASS",'Motor_Meciuri'!J55,IF('Calibrare_Linii'!U9&lt;&gt;"VALID","Parametri linie invalizi",IF(L695&gt;'Config_v6'!$B$13,"Dispersie peste limita",IF(W695="WATCH","Failure peste limita",IF(AB695&lt;'Config_v6'!$B$16,"P finala sub prag",IF(V695&lt;'Config_v6'!$B$18,"Confidence sub prag",IF(E695="REPLAY","Exemplu retrospectiv; exclus din Top LIVE",IF(Y695="PASS","DEFENSIV validat",IF(W695="OOS PENDING","Eligibil; calibrare linie in monitorizare","Eligibil"))))))))))</x:f>
      </x:c>
      <x:c r="AI695" s="2" t="str">
        <x:f>IF(B695="","",'Calibrare_Linii'!V9)</x:f>
      </x:c>
      <x:c r="AJ695" s="2" t="str">
        <x:f>IF(B695="","",IF(AND('Calibrare_Linii'!T9="VALIDATED",AND('Calibrare_Linii'!H9=C695,ISNUMBER('Calibrare_Linii'!J9),'Calibrare_Linii'!J9&lt;='Input_Meci'!G55)),"DEFENSIVE VALIDATED",IF(AND('Calibrare_Linii'!S9="VALIDATED",AND('Calibrare_Linii'!H9=C695,ISNUMBER('Calibrare_Linii'!J9),'Calibrare_Linii'!J9&lt;='Input_Meci'!G55)),"TAIL VALIDATED","OOS PENDING")))</x:f>
      </x:c>
      <x:c r="AK695" s="2" t="n">
        <x:f>IF(J695&lt;&gt;"PASS",0,'Motor_Meciuri'!BR55)</x:f>
        <x:v>0</x:v>
      </x:c>
      <x:c r="AL695" s="2" t="n">
        <x:f>IF(J695&lt;&gt;"PASS",0,'Motor_Meciuri'!BS55)</x:f>
        <x:v>0</x:v>
      </x:c>
      <x:c r="AM695" s="2" t="n">
        <x:f>IF(J695&lt;&gt;"PASS",0,'Motor_Meciuri'!BT55)</x:f>
        <x:v>0</x:v>
      </x:c>
      <x:c r="AN695" s="2" t="str">
        <x:f>IF(M695="","",MAX(0,'Motor_Meciuri'!BF55-IF(L695&gt;'Config_v6'!$B$12,'Config_v6'!$B$37,IF(L695&gt;'Config_v6'!$B$11,'Config_v6'!$B$36,0))))</x:f>
      </x:c>
    </x:row>
    <x:row r="696" ht="21" customHeight="1">
      <x:c r="A696" s="2" t="n">
        <x:v>50</x:v>
      </x:c>
      <x:c r="B696" s="2" t="str">
        <x:f>IF('Motor_Meciuri'!A55="","",'Motor_Meciuri'!A55)</x:f>
      </x:c>
      <x:c r="C696" s="2" t="str">
        <x:f>IF(B696="","",'Motor_Meciuri'!B55)</x:f>
      </x:c>
      <x:c r="D696" s="2" t="str">
        <x:f>IF(B696="","",'Motor_Meciuri'!D55)</x:f>
      </x:c>
      <x:c r="E696" s="2" t="str">
        <x:f>IF(B696="","",'Motor_Meciuri'!E55)</x:f>
      </x:c>
      <x:c r="F696" s="2" t="str">
        <x:v>O7,5</x:v>
      </x:c>
      <x:c r="G696" s="2" t="str">
        <x:v>OVER</x:v>
      </x:c>
      <x:c r="H696" s="2" t="n">
        <x:v>7</x:v>
      </x:c>
      <x:c r="I696" s="2" t="str">
        <x:f>IF(B696="","",'Motor_Meciuri'!H55)</x:f>
      </x:c>
      <x:c r="J696" s="2" t="str">
        <x:f>IF(B696="","",'Motor_Meciuri'!I55)</x:f>
      </x:c>
      <x:c r="K696" s="11" t="str">
        <x:f>IF(J696&lt;&gt;"PASS","",'Motor_Meciuri'!BD55)</x:f>
      </x:c>
      <x:c r="L696" s="11" t="str">
        <x:f>IF(J696&lt;&gt;"PASS","",'Motor_Meciuri'!AU55)</x:f>
      </x:c>
      <x:c r="M696" s="10" t="str">
        <x:f>IF(NOT(AND(J696="PASS",'Calibrare_Linii'!U10="VALID")),"",1-'Distributie'!AE55)</x:f>
      </x:c>
      <x:c r="N696" s="10" t="str">
        <x:f>IF(M696="","",MAX(0.01,MIN(0.99,0.5+(M696-0.5)*'Motor_Meciuri'!BG55*'Calibrare_Linii'!D10)))</x:f>
      </x:c>
      <x:c r="O696" s="10" t="str">
        <x:f>IF(M696="","",1-M696)</x:f>
      </x:c>
      <x:c r="P696" s="10" t="str">
        <x:f>IF(OR(NOT(AND(J696="PASS",'Calibrare_Linii'!U10="VALID")),AK696=0),""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*('Istoric_Nativ'!$Q$6:$Q$405&lt;=H696))/AK696)</x:f>
      </x:c>
      <x:c r="Q696" s="10" t="str">
        <x:f>IF(OR(NOT(AND(J696="PASS",'Calibrare_Linii'!U10="VALID")),AL696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M55)+((('Istoric_Nativ'!$E$6:$E$405='Input_Meci'!E55)+('Istoric_Nativ'!$F$6:$F$405='Input_Meci'!E55))&gt;0)*('Istoric_Nativ'!$D$6:$D$405&gt;='Motor_Meciuri'!BN55))&gt;0)*('Istoric_Nativ'!$Q$6:$Q$405&lt;=H696))/AL696)</x:f>
      </x:c>
      <x:c r="R696" s="10" t="str">
        <x:f>IF(OR(NOT(AND(J696="PASS",'Calibrare_Linii'!U10="VALID")),AM696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O55)+((('Istoric_Nativ'!$E$6:$E$405='Input_Meci'!E55)+('Istoric_Nativ'!$F$6:$F$405='Input_Meci'!E55))&gt;0)*('Istoric_Nativ'!$D$6:$D$405&gt;='Motor_Meciuri'!BP55))&gt;0)*('Istoric_Nativ'!$Q$6:$Q$405&lt;=H696))/AM696)</x:f>
      </x:c>
      <x:c r="S696" s="10" t="str">
        <x:f>IF(M696="","",MAX(O696,P696,Q696,R696))</x:f>
      </x:c>
      <x:c r="T696" s="11" t="str">
        <x:f>IF(M696="","",MIN(100,S696*100*'Config_v6'!$B$44+MIN(100,L696/'Config_v6'!$B$13*100)*'Config_v6'!$B$45+(100-'Motor_Meciuri'!BF55)*'Config_v6'!$B$46+'Motor_Meciuri'!BH55*100*'Config_v6'!$B$47))</x:f>
      </x:c>
      <x:c r="U696" s="2" t="str">
        <x:f>IF(T696="","",IF(T696&lt;=20,1,IF(T696&lt;=40,2,IF(T696&lt;=60,3,IF(T696&lt;=80,4,5)))))</x:f>
      </x:c>
      <x:c r="V696" s="2" t="str">
        <x:f>IF(M696="","",MAX(0,'Motor_Meciuri'!BF55-IF(W696="OOS PENDING",'Config_v6'!$B$35,0)-IF(L696&gt;'Config_v6'!$B$12,'Config_v6'!$B$37,IF(L696&gt;'Config_v6'!$B$11,'Config_v6'!$B$36,0))))</x:f>
      </x:c>
      <x:c r="W696" s="2" t="str">
        <x:f>IF(B696="","",IF(I696&lt;&gt;"READY","NOT RELEASED",IF(NOT(AND(J696="PASS",'Calibrare_Linii'!U10="VALID")),"INVALID",IF(NOT(AND('Calibrare_Linii'!S10="VALIDATED",AND('Calibrare_Linii'!H10=C696,ISNUMBER('Calibrare_Linii'!J10),'Calibrare_Linii'!J10&lt;='Input_Meci'!G55))),"OOS PENDING",IF(S696&lt;='Calibrare_Linii'!E10,"PASS",IF(S696&lt;='Calibrare_Linii'!F10,"PENALTY","WATCH"))))))</x:f>
      </x:c>
      <x:c r="X696" s="2" t="str">
        <x:f>IF(M696="","",IF(AND(AND(J696="PASS",'Calibrare_Linii'!U10="VALID"),'Motor_Meciuri'!K55=12,'Motor_Meciuri'!L55=12,'Motor_Meciuri'!M55="NO",'Motor_Meciuri'!BL55='Motor_Meciuri'!C55,AB696&gt;='Config_v6'!$B$50,AN696&gt;='Config_v6'!$B$51,T696&lt;='Config_v6'!$B$52,L696&lt;='Config_v6'!$B$53,ISNUMBER('Calibrare_Linii'!E10),S696&lt;='Calibrare_Linii'!E10,SUM(AK696:AM696)&gt;0),"CANDIDATE","NO"))</x:f>
      </x:c>
      <x:c r="Y696" s="2" t="str">
        <x:f>IF(B696="","",IF(I696&lt;&gt;"READY","NOT RELEASED",IF(AND(X696="CANDIDATE",V696&gt;='Config_v6'!$B$51,W696="PASS",'Calibrare_Linii'!T10="VALIDATED",AND('Calibrare_Linii'!H10=C696,ISNUMBER('Calibrare_Linii'!J10),'Calibrare_Linii'!J10&lt;='Input_Meci'!G55)),"PASS",IF(X696="CANDIDATE","OOS PENDING","FAIL"))))</x:f>
      </x:c>
      <x:c r="Z696" s="2" t="str">
        <x:f>IF(B696="","",IF(I696&lt;&gt;"READY","",IF(OR(NOT(AND(J696="PASS",'Calibrare_Linii'!U10="VALID")),L696&gt;'Config_v6'!$B$13,W696="WATCH"),5,IF(Y696="PASS",1,MIN(5,MAX('Config_v6'!$B$42,U696)+IF(W696="PENALTY",1,0))))))</x:f>
      </x:c>
      <x:c r="AA696" s="2" t="str">
        <x:f>IF(B696="","",IF(I696&lt;&gt;"READY","NOT RELEASED",IF(Z696=5,"NO BET",IF(OR(AB696&lt;'Config_v6'!$B$16,V696&lt;'Config_v6'!$B$18),"WATCH",IF(Z696=1,"DEFENSIV",IF(Z696=2,"PRUDENT",IF(Z696=3,"MODERAT","RIDICAT")))))))</x:f>
      </x:c>
      <x:c r="AB696" s="10" t="str">
        <x:f>IF(N696="","",MIN(N696,1-S696))</x:f>
      </x:c>
      <x:c r="AC696" s="2" t="str">
        <x:f>IF(AD696&lt;&gt;1,"",COUNTIFS($Z$692:$Z$705,"&lt;"&amp;Z696,$AD$692:$AD$705,1)+COUNTIFS($Z$692:$Z$705,Z696,$AB$692:$AB$705,"&gt;"&amp;AB696,$AD$692:$AD$705,1)+COUNTIFS($Z$692:$Z$705,Z696,$AB$692:$AB$705,AB696,$V$692:$V$705,"&gt;"&amp;V696,$AD$692:$AD$705,1)+COUNTIFS($Z$692:Z696,Z696,$AB$692:AB696,AB696,$V$692:V696,V696,$AD$692:AD696,1))</x:f>
      </x:c>
      <x:c r="AD696" s="2" t="n">
        <x:f>IF(OR(AA696="DEFENSIV",AA696="PRUDENT",AA696="MODERAT",AA696="RIDICAT"),1,0)</x:f>
        <x:v>0</x:v>
      </x:c>
      <x:c r="AE696" s="2" t="str">
        <x:f>IF(AD696&lt;&gt;1,"NO",IF(W696="PASS","YES",IF(W696="OOS PENDING","CONDITIONAL","NO")))</x:f>
        <x:v>NO</x:v>
      </x:c>
      <x:c r="AF696" s="2" t="n">
        <x:f>IF(AND(AD696=1,AC696=1,E696="LIVE"),1,0)</x:f>
        <x:v>0</x:v>
      </x:c>
      <x:c r="AG696" s="2" t="str">
        <x:f>IF(AF696&lt;&gt;1,"",'Dashboard'!P75)</x:f>
      </x:c>
      <x:c r="AH696" s="2" t="str">
        <x:f>IF(B696="","",IF(J696&lt;&gt;"PASS",'Motor_Meciuri'!J55,IF('Calibrare_Linii'!U10&lt;&gt;"VALID","Parametri linie invalizi",IF(L696&gt;'Config_v6'!$B$13,"Dispersie peste limita",IF(W696="WATCH","Failure peste limita",IF(AB696&lt;'Config_v6'!$B$16,"P finala sub prag",IF(V696&lt;'Config_v6'!$B$18,"Confidence sub prag",IF(E696="REPLAY","Exemplu retrospectiv; exclus din Top LIVE",IF(Y696="PASS","DEFENSIV validat",IF(W696="OOS PENDING","Eligibil; calibrare linie in monitorizare","Eligibil"))))))))))</x:f>
      </x:c>
      <x:c r="AI696" s="2" t="str">
        <x:f>IF(B696="","",'Calibrare_Linii'!V10)</x:f>
      </x:c>
      <x:c r="AJ696" s="2" t="str">
        <x:f>IF(B696="","",IF(AND('Calibrare_Linii'!T10="VALIDATED",AND('Calibrare_Linii'!H10=C696,ISNUMBER('Calibrare_Linii'!J10),'Calibrare_Linii'!J10&lt;='Input_Meci'!G55)),"DEFENSIVE VALIDATED",IF(AND('Calibrare_Linii'!S10="VALIDATED",AND('Calibrare_Linii'!H10=C696,ISNUMBER('Calibrare_Linii'!J10),'Calibrare_Linii'!J10&lt;='Input_Meci'!G55)),"TAIL VALIDATED","OOS PENDING")))</x:f>
      </x:c>
      <x:c r="AK696" s="2" t="n">
        <x:f>IF(J696&lt;&gt;"PASS",0,'Motor_Meciuri'!BR55)</x:f>
        <x:v>0</x:v>
      </x:c>
      <x:c r="AL696" s="2" t="n">
        <x:f>IF(J696&lt;&gt;"PASS",0,'Motor_Meciuri'!BS55)</x:f>
        <x:v>0</x:v>
      </x:c>
      <x:c r="AM696" s="2" t="n">
        <x:f>IF(J696&lt;&gt;"PASS",0,'Motor_Meciuri'!BT55)</x:f>
        <x:v>0</x:v>
      </x:c>
      <x:c r="AN696" s="2" t="str">
        <x:f>IF(M696="","",MAX(0,'Motor_Meciuri'!BF55-IF(L696&gt;'Config_v6'!$B$12,'Config_v6'!$B$37,IF(L696&gt;'Config_v6'!$B$11,'Config_v6'!$B$36,0))))</x:f>
      </x:c>
    </x:row>
    <x:row r="697" ht="21" customHeight="1">
      <x:c r="A697" s="2" t="n">
        <x:v>50</x:v>
      </x:c>
      <x:c r="B697" s="2" t="str">
        <x:f>IF('Motor_Meciuri'!A55="","",'Motor_Meciuri'!A55)</x:f>
      </x:c>
      <x:c r="C697" s="2" t="str">
        <x:f>IF(B697="","",'Motor_Meciuri'!B55)</x:f>
      </x:c>
      <x:c r="D697" s="2" t="str">
        <x:f>IF(B697="","",'Motor_Meciuri'!D55)</x:f>
      </x:c>
      <x:c r="E697" s="2" t="str">
        <x:f>IF(B697="","",'Motor_Meciuri'!E55)</x:f>
      </x:c>
      <x:c r="F697" s="2" t="str">
        <x:v>O8,5</x:v>
      </x:c>
      <x:c r="G697" s="2" t="str">
        <x:v>OVER</x:v>
      </x:c>
      <x:c r="H697" s="2" t="n">
        <x:v>8</x:v>
      </x:c>
      <x:c r="I697" s="2" t="str">
        <x:f>IF(B697="","",'Motor_Meciuri'!H55)</x:f>
      </x:c>
      <x:c r="J697" s="2" t="str">
        <x:f>IF(B697="","",'Motor_Meciuri'!I55)</x:f>
      </x:c>
      <x:c r="K697" s="11" t="str">
        <x:f>IF(J697&lt;&gt;"PASS","",'Motor_Meciuri'!BD55)</x:f>
      </x:c>
      <x:c r="L697" s="11" t="str">
        <x:f>IF(J697&lt;&gt;"PASS","",'Motor_Meciuri'!AU55)</x:f>
      </x:c>
      <x:c r="M697" s="10" t="str">
        <x:f>IF(NOT(AND(J697="PASS",'Calibrare_Linii'!U11="VALID")),"",1-'Distributie'!AF55)</x:f>
      </x:c>
      <x:c r="N697" s="10" t="str">
        <x:f>IF(M697="","",MAX(0.01,MIN(0.99,0.5+(M697-0.5)*'Motor_Meciuri'!BG55*'Calibrare_Linii'!D11)))</x:f>
      </x:c>
      <x:c r="O697" s="10" t="str">
        <x:f>IF(M697="","",1-M697)</x:f>
      </x:c>
      <x:c r="P697" s="10" t="str">
        <x:f>IF(OR(NOT(AND(J697="PASS",'Calibrare_Linii'!U11="VALID")),AK697=0),""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*('Istoric_Nativ'!$Q$6:$Q$405&lt;=H697))/AK697)</x:f>
      </x:c>
      <x:c r="Q697" s="10" t="str">
        <x:f>IF(OR(NOT(AND(J697="PASS",'Calibrare_Linii'!U11="VALID")),AL697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M55)+((('Istoric_Nativ'!$E$6:$E$405='Input_Meci'!E55)+('Istoric_Nativ'!$F$6:$F$405='Input_Meci'!E55))&gt;0)*('Istoric_Nativ'!$D$6:$D$405&gt;='Motor_Meciuri'!BN55))&gt;0)*('Istoric_Nativ'!$Q$6:$Q$405&lt;=H697))/AL697)</x:f>
      </x:c>
      <x:c r="R697" s="10" t="str">
        <x:f>IF(OR(NOT(AND(J697="PASS",'Calibrare_Linii'!U11="VALID")),AM697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O55)+((('Istoric_Nativ'!$E$6:$E$405='Input_Meci'!E55)+('Istoric_Nativ'!$F$6:$F$405='Input_Meci'!E55))&gt;0)*('Istoric_Nativ'!$D$6:$D$405&gt;='Motor_Meciuri'!BP55))&gt;0)*('Istoric_Nativ'!$Q$6:$Q$405&lt;=H697))/AM697)</x:f>
      </x:c>
      <x:c r="S697" s="10" t="str">
        <x:f>IF(M697="","",MAX(O697,P697,Q697,R697))</x:f>
      </x:c>
      <x:c r="T697" s="11" t="str">
        <x:f>IF(M697="","",MIN(100,S697*100*'Config_v6'!$B$44+MIN(100,L697/'Config_v6'!$B$13*100)*'Config_v6'!$B$45+(100-'Motor_Meciuri'!BF55)*'Config_v6'!$B$46+'Motor_Meciuri'!BH55*100*'Config_v6'!$B$47))</x:f>
      </x:c>
      <x:c r="U697" s="2" t="str">
        <x:f>IF(T697="","",IF(T697&lt;=20,1,IF(T697&lt;=40,2,IF(T697&lt;=60,3,IF(T697&lt;=80,4,5)))))</x:f>
      </x:c>
      <x:c r="V697" s="2" t="str">
        <x:f>IF(M697="","",MAX(0,'Motor_Meciuri'!BF55-IF(W697="OOS PENDING",'Config_v6'!$B$35,0)-IF(L697&gt;'Config_v6'!$B$12,'Config_v6'!$B$37,IF(L697&gt;'Config_v6'!$B$11,'Config_v6'!$B$36,0))))</x:f>
      </x:c>
      <x:c r="W697" s="2" t="str">
        <x:f>IF(B697="","",IF(I697&lt;&gt;"READY","NOT RELEASED",IF(NOT(AND(J697="PASS",'Calibrare_Linii'!U11="VALID")),"INVALID",IF(NOT(AND('Calibrare_Linii'!S11="VALIDATED",AND('Calibrare_Linii'!H11=C697,ISNUMBER('Calibrare_Linii'!J11),'Calibrare_Linii'!J11&lt;='Input_Meci'!G55))),"OOS PENDING",IF(S697&lt;='Calibrare_Linii'!E11,"PASS",IF(S697&lt;='Calibrare_Linii'!F11,"PENALTY","WATCH"))))))</x:f>
      </x:c>
      <x:c r="X697" s="2" t="str">
        <x:f>IF(M697="","",IF(AND(AND(J697="PASS",'Calibrare_Linii'!U11="VALID"),'Motor_Meciuri'!K55=12,'Motor_Meciuri'!L55=12,'Motor_Meciuri'!M55="NO",'Motor_Meciuri'!BL55='Motor_Meciuri'!C55,AB697&gt;='Config_v6'!$B$50,AN697&gt;='Config_v6'!$B$51,T697&lt;='Config_v6'!$B$52,L697&lt;='Config_v6'!$B$53,ISNUMBER('Calibrare_Linii'!E11),S697&lt;='Calibrare_Linii'!E11,SUM(AK697:AM697)&gt;0),"CANDIDATE","NO"))</x:f>
      </x:c>
      <x:c r="Y697" s="2" t="str">
        <x:f>IF(B697="","",IF(I697&lt;&gt;"READY","NOT RELEASED",IF(AND(X697="CANDIDATE",V697&gt;='Config_v6'!$B$51,W697="PASS",'Calibrare_Linii'!T11="VALIDATED",AND('Calibrare_Linii'!H11=C697,ISNUMBER('Calibrare_Linii'!J11),'Calibrare_Linii'!J11&lt;='Input_Meci'!G55)),"PASS",IF(X697="CANDIDATE","OOS PENDING","FAIL"))))</x:f>
      </x:c>
      <x:c r="Z697" s="2" t="str">
        <x:f>IF(B697="","",IF(I697&lt;&gt;"READY","",IF(OR(NOT(AND(J697="PASS",'Calibrare_Linii'!U11="VALID")),L697&gt;'Config_v6'!$B$13,W697="WATCH"),5,IF(Y697="PASS",1,MIN(5,MAX('Config_v6'!$B$42,U697)+IF(W697="PENALTY",1,0))))))</x:f>
      </x:c>
      <x:c r="AA697" s="2" t="str">
        <x:f>IF(B697="","",IF(I697&lt;&gt;"READY","NOT RELEASED",IF(Z697=5,"NO BET",IF(OR(AB697&lt;'Config_v6'!$B$16,V697&lt;'Config_v6'!$B$18),"WATCH",IF(Z697=1,"DEFENSIV",IF(Z697=2,"PRUDENT",IF(Z697=3,"MODERAT","RIDICAT")))))))</x:f>
      </x:c>
      <x:c r="AB697" s="10" t="str">
        <x:f>IF(N697="","",MIN(N697,1-S697))</x:f>
      </x:c>
      <x:c r="AC697" s="2" t="str">
        <x:f>IF(AD697&lt;&gt;1,"",COUNTIFS($Z$692:$Z$705,"&lt;"&amp;Z697,$AD$692:$AD$705,1)+COUNTIFS($Z$692:$Z$705,Z697,$AB$692:$AB$705,"&gt;"&amp;AB697,$AD$692:$AD$705,1)+COUNTIFS($Z$692:$Z$705,Z697,$AB$692:$AB$705,AB697,$V$692:$V$705,"&gt;"&amp;V697,$AD$692:$AD$705,1)+COUNTIFS($Z$692:Z697,Z697,$AB$692:AB697,AB697,$V$692:V697,V697,$AD$692:AD697,1))</x:f>
      </x:c>
      <x:c r="AD697" s="2" t="n">
        <x:f>IF(OR(AA697="DEFENSIV",AA697="PRUDENT",AA697="MODERAT",AA697="RIDICAT"),1,0)</x:f>
        <x:v>0</x:v>
      </x:c>
      <x:c r="AE697" s="2" t="str">
        <x:f>IF(AD697&lt;&gt;1,"NO",IF(W697="PASS","YES",IF(W697="OOS PENDING","CONDITIONAL","NO")))</x:f>
        <x:v>NO</x:v>
      </x:c>
      <x:c r="AF697" s="2" t="n">
        <x:f>IF(AND(AD697=1,AC697=1,E697="LIVE"),1,0)</x:f>
        <x:v>0</x:v>
      </x:c>
      <x:c r="AG697" s="2" t="str">
        <x:f>IF(AF697&lt;&gt;1,"",'Dashboard'!P75)</x:f>
      </x:c>
      <x:c r="AH697" s="2" t="str">
        <x:f>IF(B697="","",IF(J697&lt;&gt;"PASS",'Motor_Meciuri'!J55,IF('Calibrare_Linii'!U11&lt;&gt;"VALID","Parametri linie invalizi",IF(L697&gt;'Config_v6'!$B$13,"Dispersie peste limita",IF(W697="WATCH","Failure peste limita",IF(AB697&lt;'Config_v6'!$B$16,"P finala sub prag",IF(V697&lt;'Config_v6'!$B$18,"Confidence sub prag",IF(E697="REPLAY","Exemplu retrospectiv; exclus din Top LIVE",IF(Y697="PASS","DEFENSIV validat",IF(W697="OOS PENDING","Eligibil; calibrare linie in monitorizare","Eligibil"))))))))))</x:f>
      </x:c>
      <x:c r="AI697" s="2" t="str">
        <x:f>IF(B697="","",'Calibrare_Linii'!V11)</x:f>
      </x:c>
      <x:c r="AJ697" s="2" t="str">
        <x:f>IF(B697="","",IF(AND('Calibrare_Linii'!T11="VALIDATED",AND('Calibrare_Linii'!H11=C697,ISNUMBER('Calibrare_Linii'!J11),'Calibrare_Linii'!J11&lt;='Input_Meci'!G55)),"DEFENSIVE VALIDATED",IF(AND('Calibrare_Linii'!S11="VALIDATED",AND('Calibrare_Linii'!H11=C697,ISNUMBER('Calibrare_Linii'!J11),'Calibrare_Linii'!J11&lt;='Input_Meci'!G55)),"TAIL VALIDATED","OOS PENDING")))</x:f>
      </x:c>
      <x:c r="AK697" s="2" t="n">
        <x:f>IF(J697&lt;&gt;"PASS",0,'Motor_Meciuri'!BR55)</x:f>
        <x:v>0</x:v>
      </x:c>
      <x:c r="AL697" s="2" t="n">
        <x:f>IF(J697&lt;&gt;"PASS",0,'Motor_Meciuri'!BS55)</x:f>
        <x:v>0</x:v>
      </x:c>
      <x:c r="AM697" s="2" t="n">
        <x:f>IF(J697&lt;&gt;"PASS",0,'Motor_Meciuri'!BT55)</x:f>
        <x:v>0</x:v>
      </x:c>
      <x:c r="AN697" s="2" t="str">
        <x:f>IF(M697="","",MAX(0,'Motor_Meciuri'!BF55-IF(L697&gt;'Config_v6'!$B$12,'Config_v6'!$B$37,IF(L697&gt;'Config_v6'!$B$11,'Config_v6'!$B$36,0))))</x:f>
      </x:c>
    </x:row>
    <x:row r="698" ht="21" customHeight="1">
      <x:c r="A698" s="2" t="n">
        <x:v>50</x:v>
      </x:c>
      <x:c r="B698" s="2" t="str">
        <x:f>IF('Motor_Meciuri'!A55="","",'Motor_Meciuri'!A55)</x:f>
      </x:c>
      <x:c r="C698" s="2" t="str">
        <x:f>IF(B698="","",'Motor_Meciuri'!B55)</x:f>
      </x:c>
      <x:c r="D698" s="2" t="str">
        <x:f>IF(B698="","",'Motor_Meciuri'!D55)</x:f>
      </x:c>
      <x:c r="E698" s="2" t="str">
        <x:f>IF(B698="","",'Motor_Meciuri'!E55)</x:f>
      </x:c>
      <x:c r="F698" s="2" t="str">
        <x:v>U10,5</x:v>
      </x:c>
      <x:c r="G698" s="2" t="str">
        <x:v>UNDER</x:v>
      </x:c>
      <x:c r="H698" s="2" t="n">
        <x:v>10</x:v>
      </x:c>
      <x:c r="I698" s="2" t="str">
        <x:f>IF(B698="","",'Motor_Meciuri'!H55)</x:f>
      </x:c>
      <x:c r="J698" s="2" t="str">
        <x:f>IF(B698="","",'Motor_Meciuri'!I55)</x:f>
      </x:c>
      <x:c r="K698" s="11" t="str">
        <x:f>IF(J698&lt;&gt;"PASS","",'Motor_Meciuri'!BD55)</x:f>
      </x:c>
      <x:c r="L698" s="11" t="str">
        <x:f>IF(J698&lt;&gt;"PASS","",'Motor_Meciuri'!AU55)</x:f>
      </x:c>
      <x:c r="M698" s="10" t="str">
        <x:f>IF(NOT(AND(J698="PASS",'Calibrare_Linii'!U12="VALID")),"",'Distributie'!AH55)</x:f>
      </x:c>
      <x:c r="N698" s="10" t="str">
        <x:f>IF(M698="","",MAX(0.01,MIN(0.99,0.5+(M698-0.5)*'Motor_Meciuri'!BG55*'Calibrare_Linii'!D12)))</x:f>
      </x:c>
      <x:c r="O698" s="10" t="str">
        <x:f>IF(M698="","",1-M698)</x:f>
      </x:c>
      <x:c r="P698" s="10" t="str">
        <x:f>IF(OR(NOT(AND(J698="PASS",'Calibrare_Linii'!U12="VALID")),AK698=0),""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*('Istoric_Nativ'!$Q$6:$Q$405&gt;H698))/AK698)</x:f>
      </x:c>
      <x:c r="Q698" s="10" t="str">
        <x:f>IF(OR(NOT(AND(J698="PASS",'Calibrare_Linii'!U12="VALID")),AL698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M55)+((('Istoric_Nativ'!$E$6:$E$405='Input_Meci'!E55)+('Istoric_Nativ'!$F$6:$F$405='Input_Meci'!E55))&gt;0)*('Istoric_Nativ'!$D$6:$D$405&gt;='Motor_Meciuri'!BN55))&gt;0)*('Istoric_Nativ'!$Q$6:$Q$405&gt;H698))/AL698)</x:f>
      </x:c>
      <x:c r="R698" s="10" t="str">
        <x:f>IF(OR(NOT(AND(J698="PASS",'Calibrare_Linii'!U12="VALID")),AM698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O55)+((('Istoric_Nativ'!$E$6:$E$405='Input_Meci'!E55)+('Istoric_Nativ'!$F$6:$F$405='Input_Meci'!E55))&gt;0)*('Istoric_Nativ'!$D$6:$D$405&gt;='Motor_Meciuri'!BP55))&gt;0)*('Istoric_Nativ'!$Q$6:$Q$405&gt;H698))/AM698)</x:f>
      </x:c>
      <x:c r="S698" s="10" t="str">
        <x:f>IF(M698="","",MAX(O698,P698,Q698,R698))</x:f>
      </x:c>
      <x:c r="T698" s="11" t="str">
        <x:f>IF(M698="","",MIN(100,S698*100*'Config_v6'!$B$44+MIN(100,L698/'Config_v6'!$B$13*100)*'Config_v6'!$B$45+(100-'Motor_Meciuri'!BF55)*'Config_v6'!$B$46+'Motor_Meciuri'!BH55*100*'Config_v6'!$B$47))</x:f>
      </x:c>
      <x:c r="U698" s="2" t="str">
        <x:f>IF(T698="","",IF(T698&lt;=20,1,IF(T698&lt;=40,2,IF(T698&lt;=60,3,IF(T698&lt;=80,4,5)))))</x:f>
      </x:c>
      <x:c r="V698" s="2" t="str">
        <x:f>IF(M698="","",MAX(0,'Motor_Meciuri'!BF55-IF(W698="OOS PENDING",'Config_v6'!$B$35,0)-IF(L698&gt;'Config_v6'!$B$12,'Config_v6'!$B$37,IF(L698&gt;'Config_v6'!$B$11,'Config_v6'!$B$36,0))))</x:f>
      </x:c>
      <x:c r="W698" s="2" t="str">
        <x:f>IF(B698="","",IF(I698&lt;&gt;"READY","NOT RELEASED",IF(NOT(AND(J698="PASS",'Calibrare_Linii'!U12="VALID")),"INVALID",IF(NOT(AND('Calibrare_Linii'!S12="VALIDATED",AND('Calibrare_Linii'!H12=C698,ISNUMBER('Calibrare_Linii'!J12),'Calibrare_Linii'!J12&lt;='Input_Meci'!G55))),"OOS PENDING",IF(S698&lt;='Calibrare_Linii'!E12,"PASS",IF(S698&lt;='Calibrare_Linii'!F12,"PENALTY","WATCH"))))))</x:f>
      </x:c>
      <x:c r="X698" s="2" t="str">
        <x:f>IF(M698="","",IF(AND(AND(J698="PASS",'Calibrare_Linii'!U12="VALID"),'Motor_Meciuri'!K55=12,'Motor_Meciuri'!L55=12,'Motor_Meciuri'!M55="NO",'Motor_Meciuri'!BL55='Motor_Meciuri'!C55,AB698&gt;='Config_v6'!$B$50,AN698&gt;='Config_v6'!$B$51,T698&lt;='Config_v6'!$B$52,L698&lt;='Config_v6'!$B$53,ISNUMBER('Calibrare_Linii'!E12),S698&lt;='Calibrare_Linii'!E12,SUM(AK698:AM698)&gt;0),"CANDIDATE","NO"))</x:f>
      </x:c>
      <x:c r="Y698" s="2" t="str">
        <x:f>IF(B698="","",IF(I698&lt;&gt;"READY","NOT RELEASED",IF(AND(X698="CANDIDATE",V698&gt;='Config_v6'!$B$51,W698="PASS",'Calibrare_Linii'!T12="VALIDATED",AND('Calibrare_Linii'!H12=C698,ISNUMBER('Calibrare_Linii'!J12),'Calibrare_Linii'!J12&lt;='Input_Meci'!G55)),"PASS",IF(X698="CANDIDATE","OOS PENDING","FAIL"))))</x:f>
      </x:c>
      <x:c r="Z698" s="2" t="str">
        <x:f>IF(B698="","",IF(I698&lt;&gt;"READY","",IF(OR(NOT(AND(J698="PASS",'Calibrare_Linii'!U12="VALID")),L698&gt;'Config_v6'!$B$13,W698="WATCH"),5,IF(Y698="PASS",1,MIN(5,MAX('Config_v6'!$B$42,U698)+IF(W698="PENALTY",1,0))))))</x:f>
      </x:c>
      <x:c r="AA698" s="2" t="str">
        <x:f>IF(B698="","",IF(I698&lt;&gt;"READY","NOT RELEASED",IF(Z698=5,"NO BET",IF(OR(AB698&lt;'Config_v6'!$B$16,V698&lt;'Config_v6'!$B$18),"WATCH",IF(Z698=1,"DEFENSIV",IF(Z698=2,"PRUDENT",IF(Z698=3,"MODERAT","RIDICAT")))))))</x:f>
      </x:c>
      <x:c r="AB698" s="10" t="str">
        <x:f>IF(N698="","",MIN(N698,1-S698))</x:f>
      </x:c>
      <x:c r="AC698" s="2" t="str">
        <x:f>IF(AD698&lt;&gt;1,"",COUNTIFS($Z$692:$Z$705,"&lt;"&amp;Z698,$AD$692:$AD$705,1)+COUNTIFS($Z$692:$Z$705,Z698,$AB$692:$AB$705,"&gt;"&amp;AB698,$AD$692:$AD$705,1)+COUNTIFS($Z$692:$Z$705,Z698,$AB$692:$AB$705,AB698,$V$692:$V$705,"&gt;"&amp;V698,$AD$692:$AD$705,1)+COUNTIFS($Z$692:Z698,Z698,$AB$692:AB698,AB698,$V$692:V698,V698,$AD$692:AD698,1))</x:f>
      </x:c>
      <x:c r="AD698" s="2" t="n">
        <x:f>IF(OR(AA698="DEFENSIV",AA698="PRUDENT",AA698="MODERAT",AA698="RIDICAT"),1,0)</x:f>
        <x:v>0</x:v>
      </x:c>
      <x:c r="AE698" s="2" t="str">
        <x:f>IF(AD698&lt;&gt;1,"NO",IF(W698="PASS","YES",IF(W698="OOS PENDING","CONDITIONAL","NO")))</x:f>
        <x:v>NO</x:v>
      </x:c>
      <x:c r="AF698" s="2" t="n">
        <x:f>IF(AND(AD698=1,AC698=1,E698="LIVE"),1,0)</x:f>
        <x:v>0</x:v>
      </x:c>
      <x:c r="AG698" s="2" t="str">
        <x:f>IF(AF698&lt;&gt;1,"",'Dashboard'!P75)</x:f>
      </x:c>
      <x:c r="AH698" s="2" t="str">
        <x:f>IF(B698="","",IF(J698&lt;&gt;"PASS",'Motor_Meciuri'!J55,IF('Calibrare_Linii'!U12&lt;&gt;"VALID","Parametri linie invalizi",IF(L698&gt;'Config_v6'!$B$13,"Dispersie peste limita",IF(W698="WATCH","Failure peste limita",IF(AB698&lt;'Config_v6'!$B$16,"P finala sub prag",IF(V698&lt;'Config_v6'!$B$18,"Confidence sub prag",IF(E698="REPLAY","Exemplu retrospectiv; exclus din Top LIVE",IF(Y698="PASS","DEFENSIV validat",IF(W698="OOS PENDING","Eligibil; calibrare linie in monitorizare","Eligibil"))))))))))</x:f>
      </x:c>
      <x:c r="AI698" s="2" t="str">
        <x:f>IF(B698="","",'Calibrare_Linii'!V12)</x:f>
      </x:c>
      <x:c r="AJ698" s="2" t="str">
        <x:f>IF(B698="","",IF(AND('Calibrare_Linii'!T12="VALIDATED",AND('Calibrare_Linii'!H12=C698,ISNUMBER('Calibrare_Linii'!J12),'Calibrare_Linii'!J12&lt;='Input_Meci'!G55)),"DEFENSIVE VALIDATED",IF(AND('Calibrare_Linii'!S12="VALIDATED",AND('Calibrare_Linii'!H12=C698,ISNUMBER('Calibrare_Linii'!J12),'Calibrare_Linii'!J12&lt;='Input_Meci'!G55)),"TAIL VALIDATED","OOS PENDING")))</x:f>
      </x:c>
      <x:c r="AK698" s="2" t="n">
        <x:f>IF(J698&lt;&gt;"PASS",0,'Motor_Meciuri'!BR55)</x:f>
        <x:v>0</x:v>
      </x:c>
      <x:c r="AL698" s="2" t="n">
        <x:f>IF(J698&lt;&gt;"PASS",0,'Motor_Meciuri'!BS55)</x:f>
        <x:v>0</x:v>
      </x:c>
      <x:c r="AM698" s="2" t="n">
        <x:f>IF(J698&lt;&gt;"PASS",0,'Motor_Meciuri'!BT55)</x:f>
        <x:v>0</x:v>
      </x:c>
      <x:c r="AN698" s="2" t="str">
        <x:f>IF(M698="","",MAX(0,'Motor_Meciuri'!BF55-IF(L698&gt;'Config_v6'!$B$12,'Config_v6'!$B$37,IF(L698&gt;'Config_v6'!$B$11,'Config_v6'!$B$36,0))))</x:f>
      </x:c>
    </x:row>
    <x:row r="699" ht="21" customHeight="1">
      <x:c r="A699" s="2" t="n">
        <x:v>50</x:v>
      </x:c>
      <x:c r="B699" s="2" t="str">
        <x:f>IF('Motor_Meciuri'!A55="","",'Motor_Meciuri'!A55)</x:f>
      </x:c>
      <x:c r="C699" s="2" t="str">
        <x:f>IF(B699="","",'Motor_Meciuri'!B55)</x:f>
      </x:c>
      <x:c r="D699" s="2" t="str">
        <x:f>IF(B699="","",'Motor_Meciuri'!D55)</x:f>
      </x:c>
      <x:c r="E699" s="2" t="str">
        <x:f>IF(B699="","",'Motor_Meciuri'!E55)</x:f>
      </x:c>
      <x:c r="F699" s="2" t="str">
        <x:v>U11,5</x:v>
      </x:c>
      <x:c r="G699" s="2" t="str">
        <x:v>UNDER</x:v>
      </x:c>
      <x:c r="H699" s="2" t="n">
        <x:v>11</x:v>
      </x:c>
      <x:c r="I699" s="2" t="str">
        <x:f>IF(B699="","",'Motor_Meciuri'!H55)</x:f>
      </x:c>
      <x:c r="J699" s="2" t="str">
        <x:f>IF(B699="","",'Motor_Meciuri'!I55)</x:f>
      </x:c>
      <x:c r="K699" s="11" t="str">
        <x:f>IF(J699&lt;&gt;"PASS","",'Motor_Meciuri'!BD55)</x:f>
      </x:c>
      <x:c r="L699" s="11" t="str">
        <x:f>IF(J699&lt;&gt;"PASS","",'Motor_Meciuri'!AU55)</x:f>
      </x:c>
      <x:c r="M699" s="10" t="str">
        <x:f>IF(NOT(AND(J699="PASS",'Calibrare_Linii'!U13="VALID")),"",'Distributie'!AI55)</x:f>
      </x:c>
      <x:c r="N699" s="10" t="str">
        <x:f>IF(M699="","",MAX(0.01,MIN(0.99,0.5+(M699-0.5)*'Motor_Meciuri'!BG55*'Calibrare_Linii'!D13)))</x:f>
      </x:c>
      <x:c r="O699" s="10" t="str">
        <x:f>IF(M699="","",1-M699)</x:f>
      </x:c>
      <x:c r="P699" s="10" t="str">
        <x:f>IF(OR(NOT(AND(J699="PASS",'Calibrare_Linii'!U13="VALID")),AK699=0),""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*('Istoric_Nativ'!$Q$6:$Q$405&gt;H699))/AK699)</x:f>
      </x:c>
      <x:c r="Q699" s="10" t="str">
        <x:f>IF(OR(NOT(AND(J699="PASS",'Calibrare_Linii'!U13="VALID")),AL699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M55)+((('Istoric_Nativ'!$E$6:$E$405='Input_Meci'!E55)+('Istoric_Nativ'!$F$6:$F$405='Input_Meci'!E55))&gt;0)*('Istoric_Nativ'!$D$6:$D$405&gt;='Motor_Meciuri'!BN55))&gt;0)*('Istoric_Nativ'!$Q$6:$Q$405&gt;H699))/AL699)</x:f>
      </x:c>
      <x:c r="R699" s="10" t="str">
        <x:f>IF(OR(NOT(AND(J699="PASS",'Calibrare_Linii'!U13="VALID")),AM699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O55)+((('Istoric_Nativ'!$E$6:$E$405='Input_Meci'!E55)+('Istoric_Nativ'!$F$6:$F$405='Input_Meci'!E55))&gt;0)*('Istoric_Nativ'!$D$6:$D$405&gt;='Motor_Meciuri'!BP55))&gt;0)*('Istoric_Nativ'!$Q$6:$Q$405&gt;H699))/AM699)</x:f>
      </x:c>
      <x:c r="S699" s="10" t="str">
        <x:f>IF(M699="","",MAX(O699,P699,Q699,R699))</x:f>
      </x:c>
      <x:c r="T699" s="11" t="str">
        <x:f>IF(M699="","",MIN(100,S699*100*'Config_v6'!$B$44+MIN(100,L699/'Config_v6'!$B$13*100)*'Config_v6'!$B$45+(100-'Motor_Meciuri'!BF55)*'Config_v6'!$B$46+'Motor_Meciuri'!BH55*100*'Config_v6'!$B$47))</x:f>
      </x:c>
      <x:c r="U699" s="2" t="str">
        <x:f>IF(T699="","",IF(T699&lt;=20,1,IF(T699&lt;=40,2,IF(T699&lt;=60,3,IF(T699&lt;=80,4,5)))))</x:f>
      </x:c>
      <x:c r="V699" s="2" t="str">
        <x:f>IF(M699="","",MAX(0,'Motor_Meciuri'!BF55-IF(W699="OOS PENDING",'Config_v6'!$B$35,0)-IF(L699&gt;'Config_v6'!$B$12,'Config_v6'!$B$37,IF(L699&gt;'Config_v6'!$B$11,'Config_v6'!$B$36,0))))</x:f>
      </x:c>
      <x:c r="W699" s="2" t="str">
        <x:f>IF(B699="","",IF(I699&lt;&gt;"READY","NOT RELEASED",IF(NOT(AND(J699="PASS",'Calibrare_Linii'!U13="VALID")),"INVALID",IF(NOT(AND('Calibrare_Linii'!S13="VALIDATED",AND('Calibrare_Linii'!H13=C699,ISNUMBER('Calibrare_Linii'!J13),'Calibrare_Linii'!J13&lt;='Input_Meci'!G55))),"OOS PENDING",IF(S699&lt;='Calibrare_Linii'!E13,"PASS",IF(S699&lt;='Calibrare_Linii'!F13,"PENALTY","WATCH"))))))</x:f>
      </x:c>
      <x:c r="X699" s="2" t="str">
        <x:f>IF(M699="","",IF(AND(AND(J699="PASS",'Calibrare_Linii'!U13="VALID"),'Motor_Meciuri'!K55=12,'Motor_Meciuri'!L55=12,'Motor_Meciuri'!M55="NO",'Motor_Meciuri'!BL55='Motor_Meciuri'!C55,AB699&gt;='Config_v6'!$B$50,AN699&gt;='Config_v6'!$B$51,T699&lt;='Config_v6'!$B$52,L699&lt;='Config_v6'!$B$53,ISNUMBER('Calibrare_Linii'!E13),S699&lt;='Calibrare_Linii'!E13,SUM(AK699:AM699)&gt;0),"CANDIDATE","NO"))</x:f>
      </x:c>
      <x:c r="Y699" s="2" t="str">
        <x:f>IF(B699="","",IF(I699&lt;&gt;"READY","NOT RELEASED",IF(AND(X699="CANDIDATE",V699&gt;='Config_v6'!$B$51,W699="PASS",'Calibrare_Linii'!T13="VALIDATED",AND('Calibrare_Linii'!H13=C699,ISNUMBER('Calibrare_Linii'!J13),'Calibrare_Linii'!J13&lt;='Input_Meci'!G55)),"PASS",IF(X699="CANDIDATE","OOS PENDING","FAIL"))))</x:f>
      </x:c>
      <x:c r="Z699" s="2" t="str">
        <x:f>IF(B699="","",IF(I699&lt;&gt;"READY","",IF(OR(NOT(AND(J699="PASS",'Calibrare_Linii'!U13="VALID")),L699&gt;'Config_v6'!$B$13,W699="WATCH"),5,IF(Y699="PASS",1,MIN(5,MAX('Config_v6'!$B$42,U699)+IF(W699="PENALTY",1,0))))))</x:f>
      </x:c>
      <x:c r="AA699" s="2" t="str">
        <x:f>IF(B699="","",IF(I699&lt;&gt;"READY","NOT RELEASED",IF(Z699=5,"NO BET",IF(OR(AB699&lt;'Config_v6'!$B$16,V699&lt;'Config_v6'!$B$18),"WATCH",IF(Z699=1,"DEFENSIV",IF(Z699=2,"PRUDENT",IF(Z699=3,"MODERAT","RIDICAT")))))))</x:f>
      </x:c>
      <x:c r="AB699" s="10" t="str">
        <x:f>IF(N699="","",MIN(N699,1-S699))</x:f>
      </x:c>
      <x:c r="AC699" s="2" t="str">
        <x:f>IF(AD699&lt;&gt;1,"",COUNTIFS($Z$692:$Z$705,"&lt;"&amp;Z699,$AD$692:$AD$705,1)+COUNTIFS($Z$692:$Z$705,Z699,$AB$692:$AB$705,"&gt;"&amp;AB699,$AD$692:$AD$705,1)+COUNTIFS($Z$692:$Z$705,Z699,$AB$692:$AB$705,AB699,$V$692:$V$705,"&gt;"&amp;V699,$AD$692:$AD$705,1)+COUNTIFS($Z$692:Z699,Z699,$AB$692:AB699,AB699,$V$692:V699,V699,$AD$692:AD699,1))</x:f>
      </x:c>
      <x:c r="AD699" s="2" t="n">
        <x:f>IF(OR(AA699="DEFENSIV",AA699="PRUDENT",AA699="MODERAT",AA699="RIDICAT"),1,0)</x:f>
        <x:v>0</x:v>
      </x:c>
      <x:c r="AE699" s="2" t="str">
        <x:f>IF(AD699&lt;&gt;1,"NO",IF(W699="PASS","YES",IF(W699="OOS PENDING","CONDITIONAL","NO")))</x:f>
        <x:v>NO</x:v>
      </x:c>
      <x:c r="AF699" s="2" t="n">
        <x:f>IF(AND(AD699=1,AC699=1,E699="LIVE"),1,0)</x:f>
        <x:v>0</x:v>
      </x:c>
      <x:c r="AG699" s="2" t="str">
        <x:f>IF(AF699&lt;&gt;1,"",'Dashboard'!P75)</x:f>
      </x:c>
      <x:c r="AH699" s="2" t="str">
        <x:f>IF(B699="","",IF(J699&lt;&gt;"PASS",'Motor_Meciuri'!J55,IF('Calibrare_Linii'!U13&lt;&gt;"VALID","Parametri linie invalizi",IF(L699&gt;'Config_v6'!$B$13,"Dispersie peste limita",IF(W699="WATCH","Failure peste limita",IF(AB699&lt;'Config_v6'!$B$16,"P finala sub prag",IF(V699&lt;'Config_v6'!$B$18,"Confidence sub prag",IF(E699="REPLAY","Exemplu retrospectiv; exclus din Top LIVE",IF(Y699="PASS","DEFENSIV validat",IF(W699="OOS PENDING","Eligibil; calibrare linie in monitorizare","Eligibil"))))))))))</x:f>
      </x:c>
      <x:c r="AI699" s="2" t="str">
        <x:f>IF(B699="","",'Calibrare_Linii'!V13)</x:f>
      </x:c>
      <x:c r="AJ699" s="2" t="str">
        <x:f>IF(B699="","",IF(AND('Calibrare_Linii'!T13="VALIDATED",AND('Calibrare_Linii'!H13=C699,ISNUMBER('Calibrare_Linii'!J13),'Calibrare_Linii'!J13&lt;='Input_Meci'!G55)),"DEFENSIVE VALIDATED",IF(AND('Calibrare_Linii'!S13="VALIDATED",AND('Calibrare_Linii'!H13=C699,ISNUMBER('Calibrare_Linii'!J13),'Calibrare_Linii'!J13&lt;='Input_Meci'!G55)),"TAIL VALIDATED","OOS PENDING")))</x:f>
      </x:c>
      <x:c r="AK699" s="2" t="n">
        <x:f>IF(J699&lt;&gt;"PASS",0,'Motor_Meciuri'!BR55)</x:f>
        <x:v>0</x:v>
      </x:c>
      <x:c r="AL699" s="2" t="n">
        <x:f>IF(J699&lt;&gt;"PASS",0,'Motor_Meciuri'!BS55)</x:f>
        <x:v>0</x:v>
      </x:c>
      <x:c r="AM699" s="2" t="n">
        <x:f>IF(J699&lt;&gt;"PASS",0,'Motor_Meciuri'!BT55)</x:f>
        <x:v>0</x:v>
      </x:c>
      <x:c r="AN699" s="2" t="str">
        <x:f>IF(M699="","",MAX(0,'Motor_Meciuri'!BF55-IF(L699&gt;'Config_v6'!$B$12,'Config_v6'!$B$37,IF(L699&gt;'Config_v6'!$B$11,'Config_v6'!$B$36,0))))</x:f>
      </x:c>
    </x:row>
    <x:row r="700" ht="21" customHeight="1">
      <x:c r="A700" s="2" t="n">
        <x:v>50</x:v>
      </x:c>
      <x:c r="B700" s="2" t="str">
        <x:f>IF('Motor_Meciuri'!A55="","",'Motor_Meciuri'!A55)</x:f>
      </x:c>
      <x:c r="C700" s="2" t="str">
        <x:f>IF(B700="","",'Motor_Meciuri'!B55)</x:f>
      </x:c>
      <x:c r="D700" s="2" t="str">
        <x:f>IF(B700="","",'Motor_Meciuri'!D55)</x:f>
      </x:c>
      <x:c r="E700" s="2" t="str">
        <x:f>IF(B700="","",'Motor_Meciuri'!E55)</x:f>
      </x:c>
      <x:c r="F700" s="2" t="str">
        <x:v>U12,5</x:v>
      </x:c>
      <x:c r="G700" s="2" t="str">
        <x:v>UNDER</x:v>
      </x:c>
      <x:c r="H700" s="2" t="n">
        <x:v>12</x:v>
      </x:c>
      <x:c r="I700" s="2" t="str">
        <x:f>IF(B700="","",'Motor_Meciuri'!H55)</x:f>
      </x:c>
      <x:c r="J700" s="2" t="str">
        <x:f>IF(B700="","",'Motor_Meciuri'!I55)</x:f>
      </x:c>
      <x:c r="K700" s="11" t="str">
        <x:f>IF(J700&lt;&gt;"PASS","",'Motor_Meciuri'!BD55)</x:f>
      </x:c>
      <x:c r="L700" s="11" t="str">
        <x:f>IF(J700&lt;&gt;"PASS","",'Motor_Meciuri'!AU55)</x:f>
      </x:c>
      <x:c r="M700" s="10" t="str">
        <x:f>IF(NOT(AND(J700="PASS",'Calibrare_Linii'!U14="VALID")),"",'Distributie'!AJ55)</x:f>
      </x:c>
      <x:c r="N700" s="10" t="str">
        <x:f>IF(M700="","",MAX(0.01,MIN(0.99,0.5+(M700-0.5)*'Motor_Meciuri'!BG55*'Calibrare_Linii'!D14)))</x:f>
      </x:c>
      <x:c r="O700" s="10" t="str">
        <x:f>IF(M700="","",1-M700)</x:f>
      </x:c>
      <x:c r="P700" s="10" t="str">
        <x:f>IF(OR(NOT(AND(J700="PASS",'Calibrare_Linii'!U14="VALID")),AK700=0),""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*('Istoric_Nativ'!$Q$6:$Q$405&gt;H700))/AK700)</x:f>
      </x:c>
      <x:c r="Q700" s="10" t="str">
        <x:f>IF(OR(NOT(AND(J700="PASS",'Calibrare_Linii'!U14="VALID")),AL700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M55)+((('Istoric_Nativ'!$E$6:$E$405='Input_Meci'!E55)+('Istoric_Nativ'!$F$6:$F$405='Input_Meci'!E55))&gt;0)*('Istoric_Nativ'!$D$6:$D$405&gt;='Motor_Meciuri'!BN55))&gt;0)*('Istoric_Nativ'!$Q$6:$Q$405&gt;H700))/AL700)</x:f>
      </x:c>
      <x:c r="R700" s="10" t="str">
        <x:f>IF(OR(NOT(AND(J700="PASS",'Calibrare_Linii'!U14="VALID")),AM700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O55)+((('Istoric_Nativ'!$E$6:$E$405='Input_Meci'!E55)+('Istoric_Nativ'!$F$6:$F$405='Input_Meci'!E55))&gt;0)*('Istoric_Nativ'!$D$6:$D$405&gt;='Motor_Meciuri'!BP55))&gt;0)*('Istoric_Nativ'!$Q$6:$Q$405&gt;H700))/AM700)</x:f>
      </x:c>
      <x:c r="S700" s="10" t="str">
        <x:f>IF(M700="","",MAX(O700,P700,Q700,R700))</x:f>
      </x:c>
      <x:c r="T700" s="11" t="str">
        <x:f>IF(M700="","",MIN(100,S700*100*'Config_v6'!$B$44+MIN(100,L700/'Config_v6'!$B$13*100)*'Config_v6'!$B$45+(100-'Motor_Meciuri'!BF55)*'Config_v6'!$B$46+'Motor_Meciuri'!BH55*100*'Config_v6'!$B$47))</x:f>
      </x:c>
      <x:c r="U700" s="2" t="str">
        <x:f>IF(T700="","",IF(T700&lt;=20,1,IF(T700&lt;=40,2,IF(T700&lt;=60,3,IF(T700&lt;=80,4,5)))))</x:f>
      </x:c>
      <x:c r="V700" s="2" t="str">
        <x:f>IF(M700="","",MAX(0,'Motor_Meciuri'!BF55-IF(W700="OOS PENDING",'Config_v6'!$B$35,0)-IF(L700&gt;'Config_v6'!$B$12,'Config_v6'!$B$37,IF(L700&gt;'Config_v6'!$B$11,'Config_v6'!$B$36,0))))</x:f>
      </x:c>
      <x:c r="W700" s="2" t="str">
        <x:f>IF(B700="","",IF(I700&lt;&gt;"READY","NOT RELEASED",IF(NOT(AND(J700="PASS",'Calibrare_Linii'!U14="VALID")),"INVALID",IF(NOT(AND('Calibrare_Linii'!S14="VALIDATED",AND('Calibrare_Linii'!H14=C700,ISNUMBER('Calibrare_Linii'!J14),'Calibrare_Linii'!J14&lt;='Input_Meci'!G55))),"OOS PENDING",IF(S700&lt;='Calibrare_Linii'!E14,"PASS",IF(S700&lt;='Calibrare_Linii'!F14,"PENALTY","WATCH"))))))</x:f>
      </x:c>
      <x:c r="X700" s="2" t="str">
        <x:f>IF(M700="","",IF(AND(AND(J700="PASS",'Calibrare_Linii'!U14="VALID"),'Motor_Meciuri'!K55=12,'Motor_Meciuri'!L55=12,'Motor_Meciuri'!M55="NO",'Motor_Meciuri'!BL55='Motor_Meciuri'!C55,AB700&gt;='Config_v6'!$B$50,AN700&gt;='Config_v6'!$B$51,T700&lt;='Config_v6'!$B$52,L700&lt;='Config_v6'!$B$53,ISNUMBER('Calibrare_Linii'!E14),S700&lt;='Calibrare_Linii'!E14,SUM(AK700:AM700)&gt;0),"CANDIDATE","NO"))</x:f>
      </x:c>
      <x:c r="Y700" s="2" t="str">
        <x:f>IF(B700="","",IF(I700&lt;&gt;"READY","NOT RELEASED",IF(AND(X700="CANDIDATE",V700&gt;='Config_v6'!$B$51,W700="PASS",'Calibrare_Linii'!T14="VALIDATED",AND('Calibrare_Linii'!H14=C700,ISNUMBER('Calibrare_Linii'!J14),'Calibrare_Linii'!J14&lt;='Input_Meci'!G55)),"PASS",IF(X700="CANDIDATE","OOS PENDING","FAIL"))))</x:f>
      </x:c>
      <x:c r="Z700" s="2" t="str">
        <x:f>IF(B700="","",IF(I700&lt;&gt;"READY","",IF(OR(NOT(AND(J700="PASS",'Calibrare_Linii'!U14="VALID")),L700&gt;'Config_v6'!$B$13,W700="WATCH"),5,IF(Y700="PASS",1,MIN(5,MAX('Config_v6'!$B$42,U700)+IF(W700="PENALTY",1,0))))))</x:f>
      </x:c>
      <x:c r="AA700" s="2" t="str">
        <x:f>IF(B700="","",IF(I700&lt;&gt;"READY","NOT RELEASED",IF(Z700=5,"NO BET",IF(OR(AB700&lt;'Config_v6'!$B$16,V700&lt;'Config_v6'!$B$18),"WATCH",IF(Z700=1,"DEFENSIV",IF(Z700=2,"PRUDENT",IF(Z700=3,"MODERAT","RIDICAT")))))))</x:f>
      </x:c>
      <x:c r="AB700" s="10" t="str">
        <x:f>IF(N700="","",MIN(N700,1-S700))</x:f>
      </x:c>
      <x:c r="AC700" s="2" t="str">
        <x:f>IF(AD700&lt;&gt;1,"",COUNTIFS($Z$692:$Z$705,"&lt;"&amp;Z700,$AD$692:$AD$705,1)+COUNTIFS($Z$692:$Z$705,Z700,$AB$692:$AB$705,"&gt;"&amp;AB700,$AD$692:$AD$705,1)+COUNTIFS($Z$692:$Z$705,Z700,$AB$692:$AB$705,AB700,$V$692:$V$705,"&gt;"&amp;V700,$AD$692:$AD$705,1)+COUNTIFS($Z$692:Z700,Z700,$AB$692:AB700,AB700,$V$692:V700,V700,$AD$692:AD700,1))</x:f>
      </x:c>
      <x:c r="AD700" s="2" t="n">
        <x:f>IF(OR(AA700="DEFENSIV",AA700="PRUDENT",AA700="MODERAT",AA700="RIDICAT"),1,0)</x:f>
        <x:v>0</x:v>
      </x:c>
      <x:c r="AE700" s="2" t="str">
        <x:f>IF(AD700&lt;&gt;1,"NO",IF(W700="PASS","YES",IF(W700="OOS PENDING","CONDITIONAL","NO")))</x:f>
        <x:v>NO</x:v>
      </x:c>
      <x:c r="AF700" s="2" t="n">
        <x:f>IF(AND(AD700=1,AC700=1,E700="LIVE"),1,0)</x:f>
        <x:v>0</x:v>
      </x:c>
      <x:c r="AG700" s="2" t="str">
        <x:f>IF(AF700&lt;&gt;1,"",'Dashboard'!P75)</x:f>
      </x:c>
      <x:c r="AH700" s="2" t="str">
        <x:f>IF(B700="","",IF(J700&lt;&gt;"PASS",'Motor_Meciuri'!J55,IF('Calibrare_Linii'!U14&lt;&gt;"VALID","Parametri linie invalizi",IF(L700&gt;'Config_v6'!$B$13,"Dispersie peste limita",IF(W700="WATCH","Failure peste limita",IF(AB700&lt;'Config_v6'!$B$16,"P finala sub prag",IF(V700&lt;'Config_v6'!$B$18,"Confidence sub prag",IF(E700="REPLAY","Exemplu retrospectiv; exclus din Top LIVE",IF(Y700="PASS","DEFENSIV validat",IF(W700="OOS PENDING","Eligibil; calibrare linie in monitorizare","Eligibil"))))))))))</x:f>
      </x:c>
      <x:c r="AI700" s="2" t="str">
        <x:f>IF(B700="","",'Calibrare_Linii'!V14)</x:f>
      </x:c>
      <x:c r="AJ700" s="2" t="str">
        <x:f>IF(B700="","",IF(AND('Calibrare_Linii'!T14="VALIDATED",AND('Calibrare_Linii'!H14=C700,ISNUMBER('Calibrare_Linii'!J14),'Calibrare_Linii'!J14&lt;='Input_Meci'!G55)),"DEFENSIVE VALIDATED",IF(AND('Calibrare_Linii'!S14="VALIDATED",AND('Calibrare_Linii'!H14=C700,ISNUMBER('Calibrare_Linii'!J14),'Calibrare_Linii'!J14&lt;='Input_Meci'!G55)),"TAIL VALIDATED","OOS PENDING")))</x:f>
      </x:c>
      <x:c r="AK700" s="2" t="n">
        <x:f>IF(J700&lt;&gt;"PASS",0,'Motor_Meciuri'!BR55)</x:f>
        <x:v>0</x:v>
      </x:c>
      <x:c r="AL700" s="2" t="n">
        <x:f>IF(J700&lt;&gt;"PASS",0,'Motor_Meciuri'!BS55)</x:f>
        <x:v>0</x:v>
      </x:c>
      <x:c r="AM700" s="2" t="n">
        <x:f>IF(J700&lt;&gt;"PASS",0,'Motor_Meciuri'!BT55)</x:f>
        <x:v>0</x:v>
      </x:c>
      <x:c r="AN700" s="2" t="str">
        <x:f>IF(M700="","",MAX(0,'Motor_Meciuri'!BF55-IF(L700&gt;'Config_v6'!$B$12,'Config_v6'!$B$37,IF(L700&gt;'Config_v6'!$B$11,'Config_v6'!$B$36,0))))</x:f>
      </x:c>
    </x:row>
    <x:row r="701" ht="21" customHeight="1">
      <x:c r="A701" s="2" t="n">
        <x:v>50</x:v>
      </x:c>
      <x:c r="B701" s="2" t="str">
        <x:f>IF('Motor_Meciuri'!A55="","",'Motor_Meciuri'!A55)</x:f>
      </x:c>
      <x:c r="C701" s="2" t="str">
        <x:f>IF(B701="","",'Motor_Meciuri'!B55)</x:f>
      </x:c>
      <x:c r="D701" s="2" t="str">
        <x:f>IF(B701="","",'Motor_Meciuri'!D55)</x:f>
      </x:c>
      <x:c r="E701" s="2" t="str">
        <x:f>IF(B701="","",'Motor_Meciuri'!E55)</x:f>
      </x:c>
      <x:c r="F701" s="2" t="str">
        <x:v>U13,5</x:v>
      </x:c>
      <x:c r="G701" s="2" t="str">
        <x:v>UNDER</x:v>
      </x:c>
      <x:c r="H701" s="2" t="n">
        <x:v>13</x:v>
      </x:c>
      <x:c r="I701" s="2" t="str">
        <x:f>IF(B701="","",'Motor_Meciuri'!H55)</x:f>
      </x:c>
      <x:c r="J701" s="2" t="str">
        <x:f>IF(B701="","",'Motor_Meciuri'!I55)</x:f>
      </x:c>
      <x:c r="K701" s="11" t="str">
        <x:f>IF(J701&lt;&gt;"PASS","",'Motor_Meciuri'!BD55)</x:f>
      </x:c>
      <x:c r="L701" s="11" t="str">
        <x:f>IF(J701&lt;&gt;"PASS","",'Motor_Meciuri'!AU55)</x:f>
      </x:c>
      <x:c r="M701" s="10" t="str">
        <x:f>IF(NOT(AND(J701="PASS",'Calibrare_Linii'!U15="VALID")),"",'Distributie'!AK55)</x:f>
      </x:c>
      <x:c r="N701" s="10" t="str">
        <x:f>IF(M701="","",MAX(0.01,MIN(0.99,0.5+(M701-0.5)*'Motor_Meciuri'!BG55*'Calibrare_Linii'!D15)))</x:f>
      </x:c>
      <x:c r="O701" s="10" t="str">
        <x:f>IF(M701="","",1-M701)</x:f>
      </x:c>
      <x:c r="P701" s="10" t="str">
        <x:f>IF(OR(NOT(AND(J701="PASS",'Calibrare_Linii'!U15="VALID")),AK701=0),""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*('Istoric_Nativ'!$Q$6:$Q$405&gt;H701))/AK701)</x:f>
      </x:c>
      <x:c r="Q701" s="10" t="str">
        <x:f>IF(OR(NOT(AND(J701="PASS",'Calibrare_Linii'!U15="VALID")),AL701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M55)+((('Istoric_Nativ'!$E$6:$E$405='Input_Meci'!E55)+('Istoric_Nativ'!$F$6:$F$405='Input_Meci'!E55))&gt;0)*('Istoric_Nativ'!$D$6:$D$405&gt;='Motor_Meciuri'!BN55))&gt;0)*('Istoric_Nativ'!$Q$6:$Q$405&gt;H701))/AL701)</x:f>
      </x:c>
      <x:c r="R701" s="10" t="str">
        <x:f>IF(OR(NOT(AND(J701="PASS",'Calibrare_Linii'!U15="VALID")),AM701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O55)+((('Istoric_Nativ'!$E$6:$E$405='Input_Meci'!E55)+('Istoric_Nativ'!$F$6:$F$405='Input_Meci'!E55))&gt;0)*('Istoric_Nativ'!$D$6:$D$405&gt;='Motor_Meciuri'!BP55))&gt;0)*('Istoric_Nativ'!$Q$6:$Q$405&gt;H701))/AM701)</x:f>
      </x:c>
      <x:c r="S701" s="10" t="str">
        <x:f>IF(M701="","",MAX(O701,P701,Q701,R701))</x:f>
      </x:c>
      <x:c r="T701" s="11" t="str">
        <x:f>IF(M701="","",MIN(100,S701*100*'Config_v6'!$B$44+MIN(100,L701/'Config_v6'!$B$13*100)*'Config_v6'!$B$45+(100-'Motor_Meciuri'!BF55)*'Config_v6'!$B$46+'Motor_Meciuri'!BH55*100*'Config_v6'!$B$47))</x:f>
      </x:c>
      <x:c r="U701" s="2" t="str">
        <x:f>IF(T701="","",IF(T701&lt;=20,1,IF(T701&lt;=40,2,IF(T701&lt;=60,3,IF(T701&lt;=80,4,5)))))</x:f>
      </x:c>
      <x:c r="V701" s="2" t="str">
        <x:f>IF(M701="","",MAX(0,'Motor_Meciuri'!BF55-IF(W701="OOS PENDING",'Config_v6'!$B$35,0)-IF(L701&gt;'Config_v6'!$B$12,'Config_v6'!$B$37,IF(L701&gt;'Config_v6'!$B$11,'Config_v6'!$B$36,0))))</x:f>
      </x:c>
      <x:c r="W701" s="2" t="str">
        <x:f>IF(B701="","",IF(I701&lt;&gt;"READY","NOT RELEASED",IF(NOT(AND(J701="PASS",'Calibrare_Linii'!U15="VALID")),"INVALID",IF(NOT(AND('Calibrare_Linii'!S15="VALIDATED",AND('Calibrare_Linii'!H15=C701,ISNUMBER('Calibrare_Linii'!J15),'Calibrare_Linii'!J15&lt;='Input_Meci'!G55))),"OOS PENDING",IF(S701&lt;='Calibrare_Linii'!E15,"PASS",IF(S701&lt;='Calibrare_Linii'!F15,"PENALTY","WATCH"))))))</x:f>
      </x:c>
      <x:c r="X701" s="2" t="str">
        <x:f>IF(M701="","",IF(AND(AND(J701="PASS",'Calibrare_Linii'!U15="VALID"),'Motor_Meciuri'!K55=12,'Motor_Meciuri'!L55=12,'Motor_Meciuri'!M55="NO",'Motor_Meciuri'!BL55='Motor_Meciuri'!C55,AB701&gt;='Config_v6'!$B$50,AN701&gt;='Config_v6'!$B$51,T701&lt;='Config_v6'!$B$52,L701&lt;='Config_v6'!$B$53,ISNUMBER('Calibrare_Linii'!E15),S701&lt;='Calibrare_Linii'!E15,SUM(AK701:AM701)&gt;0),"CANDIDATE","NO"))</x:f>
      </x:c>
      <x:c r="Y701" s="2" t="str">
        <x:f>IF(B701="","",IF(I701&lt;&gt;"READY","NOT RELEASED",IF(AND(X701="CANDIDATE",V701&gt;='Config_v6'!$B$51,W701="PASS",'Calibrare_Linii'!T15="VALIDATED",AND('Calibrare_Linii'!H15=C701,ISNUMBER('Calibrare_Linii'!J15),'Calibrare_Linii'!J15&lt;='Input_Meci'!G55)),"PASS",IF(X701="CANDIDATE","OOS PENDING","FAIL"))))</x:f>
      </x:c>
      <x:c r="Z701" s="2" t="str">
        <x:f>IF(B701="","",IF(I701&lt;&gt;"READY","",IF(OR(NOT(AND(J701="PASS",'Calibrare_Linii'!U15="VALID")),L701&gt;'Config_v6'!$B$13,W701="WATCH"),5,IF(Y701="PASS",1,MIN(5,MAX('Config_v6'!$B$42,U701)+IF(W701="PENALTY",1,0))))))</x:f>
      </x:c>
      <x:c r="AA701" s="2" t="str">
        <x:f>IF(B701="","",IF(I701&lt;&gt;"READY","NOT RELEASED",IF(Z701=5,"NO BET",IF(OR(AB701&lt;'Config_v6'!$B$16,V701&lt;'Config_v6'!$B$18),"WATCH",IF(Z701=1,"DEFENSIV",IF(Z701=2,"PRUDENT",IF(Z701=3,"MODERAT","RIDICAT")))))))</x:f>
      </x:c>
      <x:c r="AB701" s="10" t="str">
        <x:f>IF(N701="","",MIN(N701,1-S701))</x:f>
      </x:c>
      <x:c r="AC701" s="2" t="str">
        <x:f>IF(AD701&lt;&gt;1,"",COUNTIFS($Z$692:$Z$705,"&lt;"&amp;Z701,$AD$692:$AD$705,1)+COUNTIFS($Z$692:$Z$705,Z701,$AB$692:$AB$705,"&gt;"&amp;AB701,$AD$692:$AD$705,1)+COUNTIFS($Z$692:$Z$705,Z701,$AB$692:$AB$705,AB701,$V$692:$V$705,"&gt;"&amp;V701,$AD$692:$AD$705,1)+COUNTIFS($Z$692:Z701,Z701,$AB$692:AB701,AB701,$V$692:V701,V701,$AD$692:AD701,1))</x:f>
      </x:c>
      <x:c r="AD701" s="2" t="n">
        <x:f>IF(OR(AA701="DEFENSIV",AA701="PRUDENT",AA701="MODERAT",AA701="RIDICAT"),1,0)</x:f>
        <x:v>0</x:v>
      </x:c>
      <x:c r="AE701" s="2" t="str">
        <x:f>IF(AD701&lt;&gt;1,"NO",IF(W701="PASS","YES",IF(W701="OOS PENDING","CONDITIONAL","NO")))</x:f>
        <x:v>NO</x:v>
      </x:c>
      <x:c r="AF701" s="2" t="n">
        <x:f>IF(AND(AD701=1,AC701=1,E701="LIVE"),1,0)</x:f>
        <x:v>0</x:v>
      </x:c>
      <x:c r="AG701" s="2" t="str">
        <x:f>IF(AF701&lt;&gt;1,"",'Dashboard'!P75)</x:f>
      </x:c>
      <x:c r="AH701" s="2" t="str">
        <x:f>IF(B701="","",IF(J701&lt;&gt;"PASS",'Motor_Meciuri'!J55,IF('Calibrare_Linii'!U15&lt;&gt;"VALID","Parametri linie invalizi",IF(L701&gt;'Config_v6'!$B$13,"Dispersie peste limita",IF(W701="WATCH","Failure peste limita",IF(AB701&lt;'Config_v6'!$B$16,"P finala sub prag",IF(V701&lt;'Config_v6'!$B$18,"Confidence sub prag",IF(E701="REPLAY","Exemplu retrospectiv; exclus din Top LIVE",IF(Y701="PASS","DEFENSIV validat",IF(W701="OOS PENDING","Eligibil; calibrare linie in monitorizare","Eligibil"))))))))))</x:f>
      </x:c>
      <x:c r="AI701" s="2" t="str">
        <x:f>IF(B701="","",'Calibrare_Linii'!V15)</x:f>
      </x:c>
      <x:c r="AJ701" s="2" t="str">
        <x:f>IF(B701="","",IF(AND('Calibrare_Linii'!T15="VALIDATED",AND('Calibrare_Linii'!H15=C701,ISNUMBER('Calibrare_Linii'!J15),'Calibrare_Linii'!J15&lt;='Input_Meci'!G55)),"DEFENSIVE VALIDATED",IF(AND('Calibrare_Linii'!S15="VALIDATED",AND('Calibrare_Linii'!H15=C701,ISNUMBER('Calibrare_Linii'!J15),'Calibrare_Linii'!J15&lt;='Input_Meci'!G55)),"TAIL VALIDATED","OOS PENDING")))</x:f>
      </x:c>
      <x:c r="AK701" s="2" t="n">
        <x:f>IF(J701&lt;&gt;"PASS",0,'Motor_Meciuri'!BR55)</x:f>
        <x:v>0</x:v>
      </x:c>
      <x:c r="AL701" s="2" t="n">
        <x:f>IF(J701&lt;&gt;"PASS",0,'Motor_Meciuri'!BS55)</x:f>
        <x:v>0</x:v>
      </x:c>
      <x:c r="AM701" s="2" t="n">
        <x:f>IF(J701&lt;&gt;"PASS",0,'Motor_Meciuri'!BT55)</x:f>
        <x:v>0</x:v>
      </x:c>
      <x:c r="AN701" s="2" t="str">
        <x:f>IF(M701="","",MAX(0,'Motor_Meciuri'!BF55-IF(L701&gt;'Config_v6'!$B$12,'Config_v6'!$B$37,IF(L701&gt;'Config_v6'!$B$11,'Config_v6'!$B$36,0))))</x:f>
      </x:c>
    </x:row>
    <x:row r="702" ht="21" customHeight="1">
      <x:c r="A702" s="2" t="n">
        <x:v>50</x:v>
      </x:c>
      <x:c r="B702" s="2" t="str">
        <x:f>IF('Motor_Meciuri'!A55="","",'Motor_Meciuri'!A55)</x:f>
      </x:c>
      <x:c r="C702" s="2" t="str">
        <x:f>IF(B702="","",'Motor_Meciuri'!B55)</x:f>
      </x:c>
      <x:c r="D702" s="2" t="str">
        <x:f>IF(B702="","",'Motor_Meciuri'!D55)</x:f>
      </x:c>
      <x:c r="E702" s="2" t="str">
        <x:f>IF(B702="","",'Motor_Meciuri'!E55)</x:f>
      </x:c>
      <x:c r="F702" s="2" t="str">
        <x:v>U14,5</x:v>
      </x:c>
      <x:c r="G702" s="2" t="str">
        <x:v>UNDER</x:v>
      </x:c>
      <x:c r="H702" s="2" t="n">
        <x:v>14</x:v>
      </x:c>
      <x:c r="I702" s="2" t="str">
        <x:f>IF(B702="","",'Motor_Meciuri'!H55)</x:f>
      </x:c>
      <x:c r="J702" s="2" t="str">
        <x:f>IF(B702="","",'Motor_Meciuri'!I55)</x:f>
      </x:c>
      <x:c r="K702" s="11" t="str">
        <x:f>IF(J702&lt;&gt;"PASS","",'Motor_Meciuri'!BD55)</x:f>
      </x:c>
      <x:c r="L702" s="11" t="str">
        <x:f>IF(J702&lt;&gt;"PASS","",'Motor_Meciuri'!AU55)</x:f>
      </x:c>
      <x:c r="M702" s="10" t="str">
        <x:f>IF(NOT(AND(J702="PASS",'Calibrare_Linii'!U16="VALID")),"",'Distributie'!AL55)</x:f>
      </x:c>
      <x:c r="N702" s="10" t="str">
        <x:f>IF(M702="","",MAX(0.01,MIN(0.99,0.5+(M702-0.5)*'Motor_Meciuri'!BG55*'Calibrare_Linii'!D16)))</x:f>
      </x:c>
      <x:c r="O702" s="10" t="str">
        <x:f>IF(M702="","",1-M702)</x:f>
      </x:c>
      <x:c r="P702" s="10" t="str">
        <x:f>IF(OR(NOT(AND(J702="PASS",'Calibrare_Linii'!U16="VALID")),AK702=0),""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*('Istoric_Nativ'!$Q$6:$Q$405&gt;H702))/AK702)</x:f>
      </x:c>
      <x:c r="Q702" s="10" t="str">
        <x:f>IF(OR(NOT(AND(J702="PASS",'Calibrare_Linii'!U16="VALID")),AL702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M55)+((('Istoric_Nativ'!$E$6:$E$405='Input_Meci'!E55)+('Istoric_Nativ'!$F$6:$F$405='Input_Meci'!E55))&gt;0)*('Istoric_Nativ'!$D$6:$D$405&gt;='Motor_Meciuri'!BN55))&gt;0)*('Istoric_Nativ'!$Q$6:$Q$405&gt;H702))/AL702)</x:f>
      </x:c>
      <x:c r="R702" s="10" t="str">
        <x:f>IF(OR(NOT(AND(J702="PASS",'Calibrare_Linii'!U16="VALID")),AM702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O55)+((('Istoric_Nativ'!$E$6:$E$405='Input_Meci'!E55)+('Istoric_Nativ'!$F$6:$F$405='Input_Meci'!E55))&gt;0)*('Istoric_Nativ'!$D$6:$D$405&gt;='Motor_Meciuri'!BP55))&gt;0)*('Istoric_Nativ'!$Q$6:$Q$405&gt;H702))/AM702)</x:f>
      </x:c>
      <x:c r="S702" s="10" t="str">
        <x:f>IF(M702="","",MAX(O702,P702,Q702,R702))</x:f>
      </x:c>
      <x:c r="T702" s="11" t="str">
        <x:f>IF(M702="","",MIN(100,S702*100*'Config_v6'!$B$44+MIN(100,L702/'Config_v6'!$B$13*100)*'Config_v6'!$B$45+(100-'Motor_Meciuri'!BF55)*'Config_v6'!$B$46+'Motor_Meciuri'!BH55*100*'Config_v6'!$B$47))</x:f>
      </x:c>
      <x:c r="U702" s="2" t="str">
        <x:f>IF(T702="","",IF(T702&lt;=20,1,IF(T702&lt;=40,2,IF(T702&lt;=60,3,IF(T702&lt;=80,4,5)))))</x:f>
      </x:c>
      <x:c r="V702" s="2" t="str">
        <x:f>IF(M702="","",MAX(0,'Motor_Meciuri'!BF55-IF(W702="OOS PENDING",'Config_v6'!$B$35,0)-IF(L702&gt;'Config_v6'!$B$12,'Config_v6'!$B$37,IF(L702&gt;'Config_v6'!$B$11,'Config_v6'!$B$36,0))))</x:f>
      </x:c>
      <x:c r="W702" s="2" t="str">
        <x:f>IF(B702="","",IF(I702&lt;&gt;"READY","NOT RELEASED",IF(NOT(AND(J702="PASS",'Calibrare_Linii'!U16="VALID")),"INVALID",IF(NOT(AND('Calibrare_Linii'!S16="VALIDATED",AND('Calibrare_Linii'!H16=C702,ISNUMBER('Calibrare_Linii'!J16),'Calibrare_Linii'!J16&lt;='Input_Meci'!G55))),"OOS PENDING",IF(S702&lt;='Calibrare_Linii'!E16,"PASS",IF(S702&lt;='Calibrare_Linii'!F16,"PENALTY","WATCH"))))))</x:f>
      </x:c>
      <x:c r="X702" s="2" t="str">
        <x:f>IF(M702="","",IF(AND(AND(J702="PASS",'Calibrare_Linii'!U16="VALID"),'Motor_Meciuri'!K55=12,'Motor_Meciuri'!L55=12,'Motor_Meciuri'!M55="NO",'Motor_Meciuri'!BL55='Motor_Meciuri'!C55,AB702&gt;='Config_v6'!$B$50,AN702&gt;='Config_v6'!$B$51,T702&lt;='Config_v6'!$B$52,L702&lt;='Config_v6'!$B$53,ISNUMBER('Calibrare_Linii'!E16),S702&lt;='Calibrare_Linii'!E16,SUM(AK702:AM702)&gt;0),"CANDIDATE","NO"))</x:f>
      </x:c>
      <x:c r="Y702" s="2" t="str">
        <x:f>IF(B702="","",IF(I702&lt;&gt;"READY","NOT RELEASED",IF(AND(X702="CANDIDATE",V702&gt;='Config_v6'!$B$51,W702="PASS",'Calibrare_Linii'!T16="VALIDATED",AND('Calibrare_Linii'!H16=C702,ISNUMBER('Calibrare_Linii'!J16),'Calibrare_Linii'!J16&lt;='Input_Meci'!G55)),"PASS",IF(X702="CANDIDATE","OOS PENDING","FAIL"))))</x:f>
      </x:c>
      <x:c r="Z702" s="2" t="str">
        <x:f>IF(B702="","",IF(I702&lt;&gt;"READY","",IF(OR(NOT(AND(J702="PASS",'Calibrare_Linii'!U16="VALID")),L702&gt;'Config_v6'!$B$13,W702="WATCH"),5,IF(Y702="PASS",1,MIN(5,MAX('Config_v6'!$B$42,U702)+IF(W702="PENALTY",1,0))))))</x:f>
      </x:c>
      <x:c r="AA702" s="2" t="str">
        <x:f>IF(B702="","",IF(I702&lt;&gt;"READY","NOT RELEASED",IF(Z702=5,"NO BET",IF(OR(AB702&lt;'Config_v6'!$B$16,V702&lt;'Config_v6'!$B$18),"WATCH",IF(Z702=1,"DEFENSIV",IF(Z702=2,"PRUDENT",IF(Z702=3,"MODERAT","RIDICAT")))))))</x:f>
      </x:c>
      <x:c r="AB702" s="10" t="str">
        <x:f>IF(N702="","",MIN(N702,1-S702))</x:f>
      </x:c>
      <x:c r="AC702" s="2" t="str">
        <x:f>IF(AD702&lt;&gt;1,"",COUNTIFS($Z$692:$Z$705,"&lt;"&amp;Z702,$AD$692:$AD$705,1)+COUNTIFS($Z$692:$Z$705,Z702,$AB$692:$AB$705,"&gt;"&amp;AB702,$AD$692:$AD$705,1)+COUNTIFS($Z$692:$Z$705,Z702,$AB$692:$AB$705,AB702,$V$692:$V$705,"&gt;"&amp;V702,$AD$692:$AD$705,1)+COUNTIFS($Z$692:Z702,Z702,$AB$692:AB702,AB702,$V$692:V702,V702,$AD$692:AD702,1))</x:f>
      </x:c>
      <x:c r="AD702" s="2" t="n">
        <x:f>IF(OR(AA702="DEFENSIV",AA702="PRUDENT",AA702="MODERAT",AA702="RIDICAT"),1,0)</x:f>
        <x:v>0</x:v>
      </x:c>
      <x:c r="AE702" s="2" t="str">
        <x:f>IF(AD702&lt;&gt;1,"NO",IF(W702="PASS","YES",IF(W702="OOS PENDING","CONDITIONAL","NO")))</x:f>
        <x:v>NO</x:v>
      </x:c>
      <x:c r="AF702" s="2" t="n">
        <x:f>IF(AND(AD702=1,AC702=1,E702="LIVE"),1,0)</x:f>
        <x:v>0</x:v>
      </x:c>
      <x:c r="AG702" s="2" t="str">
        <x:f>IF(AF702&lt;&gt;1,"",'Dashboard'!P75)</x:f>
      </x:c>
      <x:c r="AH702" s="2" t="str">
        <x:f>IF(B702="","",IF(J702&lt;&gt;"PASS",'Motor_Meciuri'!J55,IF('Calibrare_Linii'!U16&lt;&gt;"VALID","Parametri linie invalizi",IF(L702&gt;'Config_v6'!$B$13,"Dispersie peste limita",IF(W702="WATCH","Failure peste limita",IF(AB702&lt;'Config_v6'!$B$16,"P finala sub prag",IF(V702&lt;'Config_v6'!$B$18,"Confidence sub prag",IF(E702="REPLAY","Exemplu retrospectiv; exclus din Top LIVE",IF(Y702="PASS","DEFENSIV validat",IF(W702="OOS PENDING","Eligibil; calibrare linie in monitorizare","Eligibil"))))))))))</x:f>
      </x:c>
      <x:c r="AI702" s="2" t="str">
        <x:f>IF(B702="","",'Calibrare_Linii'!V16)</x:f>
      </x:c>
      <x:c r="AJ702" s="2" t="str">
        <x:f>IF(B702="","",IF(AND('Calibrare_Linii'!T16="VALIDATED",AND('Calibrare_Linii'!H16=C702,ISNUMBER('Calibrare_Linii'!J16),'Calibrare_Linii'!J16&lt;='Input_Meci'!G55)),"DEFENSIVE VALIDATED",IF(AND('Calibrare_Linii'!S16="VALIDATED",AND('Calibrare_Linii'!H16=C702,ISNUMBER('Calibrare_Linii'!J16),'Calibrare_Linii'!J16&lt;='Input_Meci'!G55)),"TAIL VALIDATED","OOS PENDING")))</x:f>
      </x:c>
      <x:c r="AK702" s="2" t="n">
        <x:f>IF(J702&lt;&gt;"PASS",0,'Motor_Meciuri'!BR55)</x:f>
        <x:v>0</x:v>
      </x:c>
      <x:c r="AL702" s="2" t="n">
        <x:f>IF(J702&lt;&gt;"PASS",0,'Motor_Meciuri'!BS55)</x:f>
        <x:v>0</x:v>
      </x:c>
      <x:c r="AM702" s="2" t="n">
        <x:f>IF(J702&lt;&gt;"PASS",0,'Motor_Meciuri'!BT55)</x:f>
        <x:v>0</x:v>
      </x:c>
      <x:c r="AN702" s="2" t="str">
        <x:f>IF(M702="","",MAX(0,'Motor_Meciuri'!BF55-IF(L702&gt;'Config_v6'!$B$12,'Config_v6'!$B$37,IF(L702&gt;'Config_v6'!$B$11,'Config_v6'!$B$36,0))))</x:f>
      </x:c>
    </x:row>
    <x:row r="703" ht="21" customHeight="1">
      <x:c r="A703" s="2" t="n">
        <x:v>50</x:v>
      </x:c>
      <x:c r="B703" s="2" t="str">
        <x:f>IF('Motor_Meciuri'!A55="","",'Motor_Meciuri'!A55)</x:f>
      </x:c>
      <x:c r="C703" s="2" t="str">
        <x:f>IF(B703="","",'Motor_Meciuri'!B55)</x:f>
      </x:c>
      <x:c r="D703" s="2" t="str">
        <x:f>IF(B703="","",'Motor_Meciuri'!D55)</x:f>
      </x:c>
      <x:c r="E703" s="2" t="str">
        <x:f>IF(B703="","",'Motor_Meciuri'!E55)</x:f>
      </x:c>
      <x:c r="F703" s="2" t="str">
        <x:v>U15,5</x:v>
      </x:c>
      <x:c r="G703" s="2" t="str">
        <x:v>UNDER</x:v>
      </x:c>
      <x:c r="H703" s="2" t="n">
        <x:v>15</x:v>
      </x:c>
      <x:c r="I703" s="2" t="str">
        <x:f>IF(B703="","",'Motor_Meciuri'!H55)</x:f>
      </x:c>
      <x:c r="J703" s="2" t="str">
        <x:f>IF(B703="","",'Motor_Meciuri'!I55)</x:f>
      </x:c>
      <x:c r="K703" s="11" t="str">
        <x:f>IF(J703&lt;&gt;"PASS","",'Motor_Meciuri'!BD55)</x:f>
      </x:c>
      <x:c r="L703" s="11" t="str">
        <x:f>IF(J703&lt;&gt;"PASS","",'Motor_Meciuri'!AU55)</x:f>
      </x:c>
      <x:c r="M703" s="10" t="str">
        <x:f>IF(NOT(AND(J703="PASS",'Calibrare_Linii'!U17="VALID")),"",'Distributie'!AM55)</x:f>
      </x:c>
      <x:c r="N703" s="10" t="str">
        <x:f>IF(M703="","",MAX(0.01,MIN(0.99,0.5+(M703-0.5)*'Motor_Meciuri'!BG55*'Calibrare_Linii'!D17)))</x:f>
      </x:c>
      <x:c r="O703" s="10" t="str">
        <x:f>IF(M703="","",1-M703)</x:f>
      </x:c>
      <x:c r="P703" s="10" t="str">
        <x:f>IF(OR(NOT(AND(J703="PASS",'Calibrare_Linii'!U17="VALID")),AK703=0),""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*('Istoric_Nativ'!$Q$6:$Q$405&gt;H703))/AK703)</x:f>
      </x:c>
      <x:c r="Q703" s="10" t="str">
        <x:f>IF(OR(NOT(AND(J703="PASS",'Calibrare_Linii'!U17="VALID")),AL703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M55)+((('Istoric_Nativ'!$E$6:$E$405='Input_Meci'!E55)+('Istoric_Nativ'!$F$6:$F$405='Input_Meci'!E55))&gt;0)*('Istoric_Nativ'!$D$6:$D$405&gt;='Motor_Meciuri'!BN55))&gt;0)*('Istoric_Nativ'!$Q$6:$Q$405&gt;H703))/AL703)</x:f>
      </x:c>
      <x:c r="R703" s="10" t="str">
        <x:f>IF(OR(NOT(AND(J703="PASS",'Calibrare_Linii'!U17="VALID")),AM703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O55)+((('Istoric_Nativ'!$E$6:$E$405='Input_Meci'!E55)+('Istoric_Nativ'!$F$6:$F$405='Input_Meci'!E55))&gt;0)*('Istoric_Nativ'!$D$6:$D$405&gt;='Motor_Meciuri'!BP55))&gt;0)*('Istoric_Nativ'!$Q$6:$Q$405&gt;H703))/AM703)</x:f>
      </x:c>
      <x:c r="S703" s="10" t="str">
        <x:f>IF(M703="","",MAX(O703,P703,Q703,R703))</x:f>
      </x:c>
      <x:c r="T703" s="11" t="str">
        <x:f>IF(M703="","",MIN(100,S703*100*'Config_v6'!$B$44+MIN(100,L703/'Config_v6'!$B$13*100)*'Config_v6'!$B$45+(100-'Motor_Meciuri'!BF55)*'Config_v6'!$B$46+'Motor_Meciuri'!BH55*100*'Config_v6'!$B$47))</x:f>
      </x:c>
      <x:c r="U703" s="2" t="str">
        <x:f>IF(T703="","",IF(T703&lt;=20,1,IF(T703&lt;=40,2,IF(T703&lt;=60,3,IF(T703&lt;=80,4,5)))))</x:f>
      </x:c>
      <x:c r="V703" s="2" t="str">
        <x:f>IF(M703="","",MAX(0,'Motor_Meciuri'!BF55-IF(W703="OOS PENDING",'Config_v6'!$B$35,0)-IF(L703&gt;'Config_v6'!$B$12,'Config_v6'!$B$37,IF(L703&gt;'Config_v6'!$B$11,'Config_v6'!$B$36,0))))</x:f>
      </x:c>
      <x:c r="W703" s="2" t="str">
        <x:f>IF(B703="","",IF(I703&lt;&gt;"READY","NOT RELEASED",IF(NOT(AND(J703="PASS",'Calibrare_Linii'!U17="VALID")),"INVALID",IF(NOT(AND('Calibrare_Linii'!S17="VALIDATED",AND('Calibrare_Linii'!H17=C703,ISNUMBER('Calibrare_Linii'!J17),'Calibrare_Linii'!J17&lt;='Input_Meci'!G55))),"OOS PENDING",IF(S703&lt;='Calibrare_Linii'!E17,"PASS",IF(S703&lt;='Calibrare_Linii'!F17,"PENALTY","WATCH"))))))</x:f>
      </x:c>
      <x:c r="X703" s="2" t="str">
        <x:f>IF(M703="","",IF(AND(AND(J703="PASS",'Calibrare_Linii'!U17="VALID"),'Motor_Meciuri'!K55=12,'Motor_Meciuri'!L55=12,'Motor_Meciuri'!M55="NO",'Motor_Meciuri'!BL55='Motor_Meciuri'!C55,AB703&gt;='Config_v6'!$B$50,AN703&gt;='Config_v6'!$B$51,T703&lt;='Config_v6'!$B$52,L703&lt;='Config_v6'!$B$53,ISNUMBER('Calibrare_Linii'!E17),S703&lt;='Calibrare_Linii'!E17,SUM(AK703:AM703)&gt;0),"CANDIDATE","NO"))</x:f>
      </x:c>
      <x:c r="Y703" s="2" t="str">
        <x:f>IF(B703="","",IF(I703&lt;&gt;"READY","NOT RELEASED",IF(AND(X703="CANDIDATE",V703&gt;='Config_v6'!$B$51,W703="PASS",'Calibrare_Linii'!T17="VALIDATED",AND('Calibrare_Linii'!H17=C703,ISNUMBER('Calibrare_Linii'!J17),'Calibrare_Linii'!J17&lt;='Input_Meci'!G55)),"PASS",IF(X703="CANDIDATE","OOS PENDING","FAIL"))))</x:f>
      </x:c>
      <x:c r="Z703" s="2" t="str">
        <x:f>IF(B703="","",IF(I703&lt;&gt;"READY","",IF(OR(NOT(AND(J703="PASS",'Calibrare_Linii'!U17="VALID")),L703&gt;'Config_v6'!$B$13,W703="WATCH"),5,IF(Y703="PASS",1,MIN(5,MAX('Config_v6'!$B$42,U703)+IF(W703="PENALTY",1,0))))))</x:f>
      </x:c>
      <x:c r="AA703" s="2" t="str">
        <x:f>IF(B703="","",IF(I703&lt;&gt;"READY","NOT RELEASED",IF(Z703=5,"NO BET",IF(OR(AB703&lt;'Config_v6'!$B$16,V703&lt;'Config_v6'!$B$18),"WATCH",IF(Z703=1,"DEFENSIV",IF(Z703=2,"PRUDENT",IF(Z703=3,"MODERAT","RIDICAT")))))))</x:f>
      </x:c>
      <x:c r="AB703" s="10" t="str">
        <x:f>IF(N703="","",MIN(N703,1-S703))</x:f>
      </x:c>
      <x:c r="AC703" s="2" t="str">
        <x:f>IF(AD703&lt;&gt;1,"",COUNTIFS($Z$692:$Z$705,"&lt;"&amp;Z703,$AD$692:$AD$705,1)+COUNTIFS($Z$692:$Z$705,Z703,$AB$692:$AB$705,"&gt;"&amp;AB703,$AD$692:$AD$705,1)+COUNTIFS($Z$692:$Z$705,Z703,$AB$692:$AB$705,AB703,$V$692:$V$705,"&gt;"&amp;V703,$AD$692:$AD$705,1)+COUNTIFS($Z$692:Z703,Z703,$AB$692:AB703,AB703,$V$692:V703,V703,$AD$692:AD703,1))</x:f>
      </x:c>
      <x:c r="AD703" s="2" t="n">
        <x:f>IF(OR(AA703="DEFENSIV",AA703="PRUDENT",AA703="MODERAT",AA703="RIDICAT"),1,0)</x:f>
        <x:v>0</x:v>
      </x:c>
      <x:c r="AE703" s="2" t="str">
        <x:f>IF(AD703&lt;&gt;1,"NO",IF(W703="PASS","YES",IF(W703="OOS PENDING","CONDITIONAL","NO")))</x:f>
        <x:v>NO</x:v>
      </x:c>
      <x:c r="AF703" s="2" t="n">
        <x:f>IF(AND(AD703=1,AC703=1,E703="LIVE"),1,0)</x:f>
        <x:v>0</x:v>
      </x:c>
      <x:c r="AG703" s="2" t="str">
        <x:f>IF(AF703&lt;&gt;1,"",'Dashboard'!P75)</x:f>
      </x:c>
      <x:c r="AH703" s="2" t="str">
        <x:f>IF(B703="","",IF(J703&lt;&gt;"PASS",'Motor_Meciuri'!J55,IF('Calibrare_Linii'!U17&lt;&gt;"VALID","Parametri linie invalizi",IF(L703&gt;'Config_v6'!$B$13,"Dispersie peste limita",IF(W703="WATCH","Failure peste limita",IF(AB703&lt;'Config_v6'!$B$16,"P finala sub prag",IF(V703&lt;'Config_v6'!$B$18,"Confidence sub prag",IF(E703="REPLAY","Exemplu retrospectiv; exclus din Top LIVE",IF(Y703="PASS","DEFENSIV validat",IF(W703="OOS PENDING","Eligibil; calibrare linie in monitorizare","Eligibil"))))))))))</x:f>
      </x:c>
      <x:c r="AI703" s="2" t="str">
        <x:f>IF(B703="","",'Calibrare_Linii'!V17)</x:f>
      </x:c>
      <x:c r="AJ703" s="2" t="str">
        <x:f>IF(B703="","",IF(AND('Calibrare_Linii'!T17="VALIDATED",AND('Calibrare_Linii'!H17=C703,ISNUMBER('Calibrare_Linii'!J17),'Calibrare_Linii'!J17&lt;='Input_Meci'!G55)),"DEFENSIVE VALIDATED",IF(AND('Calibrare_Linii'!S17="VALIDATED",AND('Calibrare_Linii'!H17=C703,ISNUMBER('Calibrare_Linii'!J17),'Calibrare_Linii'!J17&lt;='Input_Meci'!G55)),"TAIL VALIDATED","OOS PENDING")))</x:f>
      </x:c>
      <x:c r="AK703" s="2" t="n">
        <x:f>IF(J703&lt;&gt;"PASS",0,'Motor_Meciuri'!BR55)</x:f>
        <x:v>0</x:v>
      </x:c>
      <x:c r="AL703" s="2" t="n">
        <x:f>IF(J703&lt;&gt;"PASS",0,'Motor_Meciuri'!BS55)</x:f>
        <x:v>0</x:v>
      </x:c>
      <x:c r="AM703" s="2" t="n">
        <x:f>IF(J703&lt;&gt;"PASS",0,'Motor_Meciuri'!BT55)</x:f>
        <x:v>0</x:v>
      </x:c>
      <x:c r="AN703" s="2" t="str">
        <x:f>IF(M703="","",MAX(0,'Motor_Meciuri'!BF55-IF(L703&gt;'Config_v6'!$B$12,'Config_v6'!$B$37,IF(L703&gt;'Config_v6'!$B$11,'Config_v6'!$B$36,0))))</x:f>
      </x:c>
    </x:row>
    <x:row r="704" ht="21" customHeight="1">
      <x:c r="A704" s="2" t="n">
        <x:v>50</x:v>
      </x:c>
      <x:c r="B704" s="2" t="str">
        <x:f>IF('Motor_Meciuri'!A55="","",'Motor_Meciuri'!A55)</x:f>
      </x:c>
      <x:c r="C704" s="2" t="str">
        <x:f>IF(B704="","",'Motor_Meciuri'!B55)</x:f>
      </x:c>
      <x:c r="D704" s="2" t="str">
        <x:f>IF(B704="","",'Motor_Meciuri'!D55)</x:f>
      </x:c>
      <x:c r="E704" s="2" t="str">
        <x:f>IF(B704="","",'Motor_Meciuri'!E55)</x:f>
      </x:c>
      <x:c r="F704" s="2" t="str">
        <x:v>U16,5</x:v>
      </x:c>
      <x:c r="G704" s="2" t="str">
        <x:v>UNDER</x:v>
      </x:c>
      <x:c r="H704" s="2" t="n">
        <x:v>16</x:v>
      </x:c>
      <x:c r="I704" s="2" t="str">
        <x:f>IF(B704="","",'Motor_Meciuri'!H55)</x:f>
      </x:c>
      <x:c r="J704" s="2" t="str">
        <x:f>IF(B704="","",'Motor_Meciuri'!I55)</x:f>
      </x:c>
      <x:c r="K704" s="11" t="str">
        <x:f>IF(J704&lt;&gt;"PASS","",'Motor_Meciuri'!BD55)</x:f>
      </x:c>
      <x:c r="L704" s="11" t="str">
        <x:f>IF(J704&lt;&gt;"PASS","",'Motor_Meciuri'!AU55)</x:f>
      </x:c>
      <x:c r="M704" s="10" t="str">
        <x:f>IF(NOT(AND(J704="PASS",'Calibrare_Linii'!U18="VALID")),"",'Distributie'!AN55)</x:f>
      </x:c>
      <x:c r="N704" s="10" t="str">
        <x:f>IF(M704="","",MAX(0.01,MIN(0.99,0.5+(M704-0.5)*'Motor_Meciuri'!BG55*'Calibrare_Linii'!D18)))</x:f>
      </x:c>
      <x:c r="O704" s="10" t="str">
        <x:f>IF(M704="","",1-M704)</x:f>
      </x:c>
      <x:c r="P704" s="10" t="str">
        <x:f>IF(OR(NOT(AND(J704="PASS",'Calibrare_Linii'!U18="VALID")),AK704=0),""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*('Istoric_Nativ'!$Q$6:$Q$405&gt;H704))/AK704)</x:f>
      </x:c>
      <x:c r="Q704" s="10" t="str">
        <x:f>IF(OR(NOT(AND(J704="PASS",'Calibrare_Linii'!U18="VALID")),AL704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M55)+((('Istoric_Nativ'!$E$6:$E$405='Input_Meci'!E55)+('Istoric_Nativ'!$F$6:$F$405='Input_Meci'!E55))&gt;0)*('Istoric_Nativ'!$D$6:$D$405&gt;='Motor_Meciuri'!BN55))&gt;0)*('Istoric_Nativ'!$Q$6:$Q$405&gt;H704))/AL704)</x:f>
      </x:c>
      <x:c r="R704" s="10" t="str">
        <x:f>IF(OR(NOT(AND(J704="PASS",'Calibrare_Linii'!U18="VALID")),AM704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O55)+((('Istoric_Nativ'!$E$6:$E$405='Input_Meci'!E55)+('Istoric_Nativ'!$F$6:$F$405='Input_Meci'!E55))&gt;0)*('Istoric_Nativ'!$D$6:$D$405&gt;='Motor_Meciuri'!BP55))&gt;0)*('Istoric_Nativ'!$Q$6:$Q$405&gt;H704))/AM704)</x:f>
      </x:c>
      <x:c r="S704" s="10" t="str">
        <x:f>IF(M704="","",MAX(O704,P704,Q704,R704))</x:f>
      </x:c>
      <x:c r="T704" s="11" t="str">
        <x:f>IF(M704="","",MIN(100,S704*100*'Config_v6'!$B$44+MIN(100,L704/'Config_v6'!$B$13*100)*'Config_v6'!$B$45+(100-'Motor_Meciuri'!BF55)*'Config_v6'!$B$46+'Motor_Meciuri'!BH55*100*'Config_v6'!$B$47))</x:f>
      </x:c>
      <x:c r="U704" s="2" t="str">
        <x:f>IF(T704="","",IF(T704&lt;=20,1,IF(T704&lt;=40,2,IF(T704&lt;=60,3,IF(T704&lt;=80,4,5)))))</x:f>
      </x:c>
      <x:c r="V704" s="2" t="str">
        <x:f>IF(M704="","",MAX(0,'Motor_Meciuri'!BF55-IF(W704="OOS PENDING",'Config_v6'!$B$35,0)-IF(L704&gt;'Config_v6'!$B$12,'Config_v6'!$B$37,IF(L704&gt;'Config_v6'!$B$11,'Config_v6'!$B$36,0))))</x:f>
      </x:c>
      <x:c r="W704" s="2" t="str">
        <x:f>IF(B704="","",IF(I704&lt;&gt;"READY","NOT RELEASED",IF(NOT(AND(J704="PASS",'Calibrare_Linii'!U18="VALID")),"INVALID",IF(NOT(AND('Calibrare_Linii'!S18="VALIDATED",AND('Calibrare_Linii'!H18=C704,ISNUMBER('Calibrare_Linii'!J18),'Calibrare_Linii'!J18&lt;='Input_Meci'!G55))),"OOS PENDING",IF(S704&lt;='Calibrare_Linii'!E18,"PASS",IF(S704&lt;='Calibrare_Linii'!F18,"PENALTY","WATCH"))))))</x:f>
      </x:c>
      <x:c r="X704" s="2" t="str">
        <x:f>IF(M704="","",IF(AND(AND(J704="PASS",'Calibrare_Linii'!U18="VALID"),'Motor_Meciuri'!K55=12,'Motor_Meciuri'!L55=12,'Motor_Meciuri'!M55="NO",'Motor_Meciuri'!BL55='Motor_Meciuri'!C55,AB704&gt;='Config_v6'!$B$50,AN704&gt;='Config_v6'!$B$51,T704&lt;='Config_v6'!$B$52,L704&lt;='Config_v6'!$B$53,ISNUMBER('Calibrare_Linii'!E18),S704&lt;='Calibrare_Linii'!E18,SUM(AK704:AM704)&gt;0),"CANDIDATE","NO"))</x:f>
      </x:c>
      <x:c r="Y704" s="2" t="str">
        <x:f>IF(B704="","",IF(I704&lt;&gt;"READY","NOT RELEASED",IF(AND(X704="CANDIDATE",V704&gt;='Config_v6'!$B$51,W704="PASS",'Calibrare_Linii'!T18="VALIDATED",AND('Calibrare_Linii'!H18=C704,ISNUMBER('Calibrare_Linii'!J18),'Calibrare_Linii'!J18&lt;='Input_Meci'!G55)),"PASS",IF(X704="CANDIDATE","OOS PENDING","FAIL"))))</x:f>
      </x:c>
      <x:c r="Z704" s="2" t="str">
        <x:f>IF(B704="","",IF(I704&lt;&gt;"READY","",IF(OR(NOT(AND(J704="PASS",'Calibrare_Linii'!U18="VALID")),L704&gt;'Config_v6'!$B$13,W704="WATCH"),5,IF(Y704="PASS",1,MIN(5,MAX('Config_v6'!$B$42,U704)+IF(W704="PENALTY",1,0))))))</x:f>
      </x:c>
      <x:c r="AA704" s="2" t="str">
        <x:f>IF(B704="","",IF(I704&lt;&gt;"READY","NOT RELEASED",IF(Z704=5,"NO BET",IF(OR(AB704&lt;'Config_v6'!$B$16,V704&lt;'Config_v6'!$B$18),"WATCH",IF(Z704=1,"DEFENSIV",IF(Z704=2,"PRUDENT",IF(Z704=3,"MODERAT","RIDICAT")))))))</x:f>
      </x:c>
      <x:c r="AB704" s="10" t="str">
        <x:f>IF(N704="","",MIN(N704,1-S704))</x:f>
      </x:c>
      <x:c r="AC704" s="2" t="str">
        <x:f>IF(AD704&lt;&gt;1,"",COUNTIFS($Z$692:$Z$705,"&lt;"&amp;Z704,$AD$692:$AD$705,1)+COUNTIFS($Z$692:$Z$705,Z704,$AB$692:$AB$705,"&gt;"&amp;AB704,$AD$692:$AD$705,1)+COUNTIFS($Z$692:$Z$705,Z704,$AB$692:$AB$705,AB704,$V$692:$V$705,"&gt;"&amp;V704,$AD$692:$AD$705,1)+COUNTIFS($Z$692:Z704,Z704,$AB$692:AB704,AB704,$V$692:V704,V704,$AD$692:AD704,1))</x:f>
      </x:c>
      <x:c r="AD704" s="2" t="n">
        <x:f>IF(OR(AA704="DEFENSIV",AA704="PRUDENT",AA704="MODERAT",AA704="RIDICAT"),1,0)</x:f>
        <x:v>0</x:v>
      </x:c>
      <x:c r="AE704" s="2" t="str">
        <x:f>IF(AD704&lt;&gt;1,"NO",IF(W704="PASS","YES",IF(W704="OOS PENDING","CONDITIONAL","NO")))</x:f>
        <x:v>NO</x:v>
      </x:c>
      <x:c r="AF704" s="2" t="n">
        <x:f>IF(AND(AD704=1,AC704=1,E704="LIVE"),1,0)</x:f>
        <x:v>0</x:v>
      </x:c>
      <x:c r="AG704" s="2" t="str">
        <x:f>IF(AF704&lt;&gt;1,"",'Dashboard'!P75)</x:f>
      </x:c>
      <x:c r="AH704" s="2" t="str">
        <x:f>IF(B704="","",IF(J704&lt;&gt;"PASS",'Motor_Meciuri'!J55,IF('Calibrare_Linii'!U18&lt;&gt;"VALID","Parametri linie invalizi",IF(L704&gt;'Config_v6'!$B$13,"Dispersie peste limita",IF(W704="WATCH","Failure peste limita",IF(AB704&lt;'Config_v6'!$B$16,"P finala sub prag",IF(V704&lt;'Config_v6'!$B$18,"Confidence sub prag",IF(E704="REPLAY","Exemplu retrospectiv; exclus din Top LIVE",IF(Y704="PASS","DEFENSIV validat",IF(W704="OOS PENDING","Eligibil; calibrare linie in monitorizare","Eligibil"))))))))))</x:f>
      </x:c>
      <x:c r="AI704" s="2" t="str">
        <x:f>IF(B704="","",'Calibrare_Linii'!V18)</x:f>
      </x:c>
      <x:c r="AJ704" s="2" t="str">
        <x:f>IF(B704="","",IF(AND('Calibrare_Linii'!T18="VALIDATED",AND('Calibrare_Linii'!H18=C704,ISNUMBER('Calibrare_Linii'!J18),'Calibrare_Linii'!J18&lt;='Input_Meci'!G55)),"DEFENSIVE VALIDATED",IF(AND('Calibrare_Linii'!S18="VALIDATED",AND('Calibrare_Linii'!H18=C704,ISNUMBER('Calibrare_Linii'!J18),'Calibrare_Linii'!J18&lt;='Input_Meci'!G55)),"TAIL VALIDATED","OOS PENDING")))</x:f>
      </x:c>
      <x:c r="AK704" s="2" t="n">
        <x:f>IF(J704&lt;&gt;"PASS",0,'Motor_Meciuri'!BR55)</x:f>
        <x:v>0</x:v>
      </x:c>
      <x:c r="AL704" s="2" t="n">
        <x:f>IF(J704&lt;&gt;"PASS",0,'Motor_Meciuri'!BS55)</x:f>
        <x:v>0</x:v>
      </x:c>
      <x:c r="AM704" s="2" t="n">
        <x:f>IF(J704&lt;&gt;"PASS",0,'Motor_Meciuri'!BT55)</x:f>
        <x:v>0</x:v>
      </x:c>
      <x:c r="AN704" s="2" t="str">
        <x:f>IF(M704="","",MAX(0,'Motor_Meciuri'!BF55-IF(L704&gt;'Config_v6'!$B$12,'Config_v6'!$B$37,IF(L704&gt;'Config_v6'!$B$11,'Config_v6'!$B$36,0))))</x:f>
      </x:c>
    </x:row>
    <x:row r="705" ht="21" customHeight="1">
      <x:c r="A705" s="2" t="n">
        <x:v>50</x:v>
      </x:c>
      <x:c r="B705" s="2" t="str">
        <x:f>IF('Motor_Meciuri'!A55="","",'Motor_Meciuri'!A55)</x:f>
      </x:c>
      <x:c r="C705" s="2" t="str">
        <x:f>IF(B705="","",'Motor_Meciuri'!B55)</x:f>
      </x:c>
      <x:c r="D705" s="2" t="str">
        <x:f>IF(B705="","",'Motor_Meciuri'!D55)</x:f>
      </x:c>
      <x:c r="E705" s="2" t="str">
        <x:f>IF(B705="","",'Motor_Meciuri'!E55)</x:f>
      </x:c>
      <x:c r="F705" s="2" t="str">
        <x:v>U17,5</x:v>
      </x:c>
      <x:c r="G705" s="2" t="str">
        <x:v>UNDER</x:v>
      </x:c>
      <x:c r="H705" s="2" t="n">
        <x:v>17</x:v>
      </x:c>
      <x:c r="I705" s="2" t="str">
        <x:f>IF(B705="","",'Motor_Meciuri'!H55)</x:f>
      </x:c>
      <x:c r="J705" s="2" t="str">
        <x:f>IF(B705="","",'Motor_Meciuri'!I55)</x:f>
      </x:c>
      <x:c r="K705" s="11" t="str">
        <x:f>IF(J705&lt;&gt;"PASS","",'Motor_Meciuri'!BD55)</x:f>
      </x:c>
      <x:c r="L705" s="11" t="str">
        <x:f>IF(J705&lt;&gt;"PASS","",'Motor_Meciuri'!AU55)</x:f>
      </x:c>
      <x:c r="M705" s="10" t="str">
        <x:f>IF(NOT(AND(J705="PASS",'Calibrare_Linii'!U19="VALID")),"",'Distributie'!AO55)</x:f>
      </x:c>
      <x:c r="N705" s="10" t="str">
        <x:f>IF(M705="","",MAX(0.01,MIN(0.99,0.5+(M705-0.5)*'Motor_Meciuri'!BG55*'Calibrare_Linii'!D19)))</x:f>
      </x:c>
      <x:c r="O705" s="10" t="str">
        <x:f>IF(M705="","",1-M705)</x:f>
      </x:c>
      <x:c r="P705" s="10" t="str">
        <x:f>IF(OR(NOT(AND(J705="PASS",'Calibrare_Linii'!U19="VALID")),AK705=0),""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*('Istoric_Nativ'!$Q$6:$Q$405&gt;H705))/AK705)</x:f>
      </x:c>
      <x:c r="Q705" s="10" t="str">
        <x:f>IF(OR(NOT(AND(J705="PASS",'Calibrare_Linii'!U19="VALID")),AL705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M55)+((('Istoric_Nativ'!$E$6:$E$405='Input_Meci'!E55)+('Istoric_Nativ'!$F$6:$F$405='Input_Meci'!E55))&gt;0)*('Istoric_Nativ'!$D$6:$D$405&gt;='Motor_Meciuri'!BN55))&gt;0)*('Istoric_Nativ'!$Q$6:$Q$405&gt;H705))/AL705)</x:f>
      </x:c>
      <x:c r="R705" s="10" t="str">
        <x:f>IF(OR(NOT(AND(J705="PASS",'Calibrare_Linii'!U19="VALID")),AM705=0),""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'Motor_Meciuri'!BO55)+((('Istoric_Nativ'!$E$6:$E$405='Input_Meci'!E55)+('Istoric_Nativ'!$F$6:$F$405='Input_Meci'!E55))&gt;0)*('Istoric_Nativ'!$D$6:$D$405&gt;='Motor_Meciuri'!BP55))&gt;0)*('Istoric_Nativ'!$Q$6:$Q$405&gt;H705))/AM705)</x:f>
      </x:c>
      <x:c r="S705" s="10" t="str">
        <x:f>IF(M705="","",MAX(O705,P705,Q705,R705))</x:f>
      </x:c>
      <x:c r="T705" s="11" t="str">
        <x:f>IF(M705="","",MIN(100,S705*100*'Config_v6'!$B$44+MIN(100,L705/'Config_v6'!$B$13*100)*'Config_v6'!$B$45+(100-'Motor_Meciuri'!BF55)*'Config_v6'!$B$46+'Motor_Meciuri'!BH55*100*'Config_v6'!$B$47))</x:f>
      </x:c>
      <x:c r="U705" s="2" t="str">
        <x:f>IF(T705="","",IF(T705&lt;=20,1,IF(T705&lt;=40,2,IF(T705&lt;=60,3,IF(T705&lt;=80,4,5)))))</x:f>
      </x:c>
      <x:c r="V705" s="2" t="str">
        <x:f>IF(M705="","",MAX(0,'Motor_Meciuri'!BF55-IF(W705="OOS PENDING",'Config_v6'!$B$35,0)-IF(L705&gt;'Config_v6'!$B$12,'Config_v6'!$B$37,IF(L705&gt;'Config_v6'!$B$11,'Config_v6'!$B$36,0))))</x:f>
      </x:c>
      <x:c r="W705" s="2" t="str">
        <x:f>IF(B705="","",IF(I705&lt;&gt;"READY","NOT RELEASED",IF(NOT(AND(J705="PASS",'Calibrare_Linii'!U19="VALID")),"INVALID",IF(NOT(AND('Calibrare_Linii'!S19="VALIDATED",AND('Calibrare_Linii'!H19=C705,ISNUMBER('Calibrare_Linii'!J19),'Calibrare_Linii'!J19&lt;='Input_Meci'!G55))),"OOS PENDING",IF(S705&lt;='Calibrare_Linii'!E19,"PASS",IF(S705&lt;='Calibrare_Linii'!F19,"PENALTY","WATCH"))))))</x:f>
      </x:c>
      <x:c r="X705" s="2" t="str">
        <x:f>IF(M705="","",IF(AND(AND(J705="PASS",'Calibrare_Linii'!U19="VALID"),'Motor_Meciuri'!K55=12,'Motor_Meciuri'!L55=12,'Motor_Meciuri'!M55="NO",'Motor_Meciuri'!BL55='Motor_Meciuri'!C55,AB705&gt;='Config_v6'!$B$50,AN705&gt;='Config_v6'!$B$51,T705&lt;='Config_v6'!$B$52,L705&lt;='Config_v6'!$B$53,ISNUMBER('Calibrare_Linii'!E19),S705&lt;='Calibrare_Linii'!E19,SUM(AK705:AM705)&gt;0),"CANDIDATE","NO"))</x:f>
      </x:c>
      <x:c r="Y705" s="2" t="str">
        <x:f>IF(B705="","",IF(I705&lt;&gt;"READY","NOT RELEASED",IF(AND(X705="CANDIDATE",V705&gt;='Config_v6'!$B$51,W705="PASS",'Calibrare_Linii'!T19="VALIDATED",AND('Calibrare_Linii'!H19=C705,ISNUMBER('Calibrare_Linii'!J19),'Calibrare_Linii'!J19&lt;='Input_Meci'!G55)),"PASS",IF(X705="CANDIDATE","OOS PENDING","FAIL"))))</x:f>
      </x:c>
      <x:c r="Z705" s="2" t="str">
        <x:f>IF(B705="","",IF(I705&lt;&gt;"READY","",IF(OR(NOT(AND(J705="PASS",'Calibrare_Linii'!U19="VALID")),L705&gt;'Config_v6'!$B$13,W705="WATCH"),5,IF(Y705="PASS",1,MIN(5,MAX('Config_v6'!$B$42,U705)+IF(W705="PENALTY",1,0))))))</x:f>
      </x:c>
      <x:c r="AA705" s="2" t="str">
        <x:f>IF(B705="","",IF(I705&lt;&gt;"READY","NOT RELEASED",IF(Z705=5,"NO BET",IF(OR(AB705&lt;'Config_v6'!$B$16,V705&lt;'Config_v6'!$B$18),"WATCH",IF(Z705=1,"DEFENSIV",IF(Z705=2,"PRUDENT",IF(Z705=3,"MODERAT","RIDICAT")))))))</x:f>
      </x:c>
      <x:c r="AB705" s="10" t="str">
        <x:f>IF(N705="","",MIN(N705,1-S705))</x:f>
      </x:c>
      <x:c r="AC705" s="2" t="str">
        <x:f>IF(AD705&lt;&gt;1,"",COUNTIFS($Z$692:$Z$705,"&lt;"&amp;Z705,$AD$692:$AD$705,1)+COUNTIFS($Z$692:$Z$705,Z705,$AB$692:$AB$705,"&gt;"&amp;AB705,$AD$692:$AD$705,1)+COUNTIFS($Z$692:$Z$705,Z705,$AB$692:$AB$705,AB705,$V$692:$V$705,"&gt;"&amp;V705,$AD$692:$AD$705,1)+COUNTIFS($Z$692:Z705,Z705,$AB$692:AB705,AB705,$V$692:V705,V705,$AD$692:AD705,1))</x:f>
      </x:c>
      <x:c r="AD705" s="2" t="n">
        <x:f>IF(OR(AA705="DEFENSIV",AA705="PRUDENT",AA705="MODERAT",AA705="RIDICAT"),1,0)</x:f>
        <x:v>0</x:v>
      </x:c>
      <x:c r="AE705" s="2" t="str">
        <x:f>IF(AD705&lt;&gt;1,"NO",IF(W705="PASS","YES",IF(W705="OOS PENDING","CONDITIONAL","NO")))</x:f>
        <x:v>NO</x:v>
      </x:c>
      <x:c r="AF705" s="2" t="n">
        <x:f>IF(AND(AD705=1,AC705=1,E705="LIVE"),1,0)</x:f>
        <x:v>0</x:v>
      </x:c>
      <x:c r="AG705" s="2" t="str">
        <x:f>IF(AF705&lt;&gt;1,"",'Dashboard'!P75)</x:f>
      </x:c>
      <x:c r="AH705" s="2" t="str">
        <x:f>IF(B705="","",IF(J705&lt;&gt;"PASS",'Motor_Meciuri'!J55,IF('Calibrare_Linii'!U19&lt;&gt;"VALID","Parametri linie invalizi",IF(L705&gt;'Config_v6'!$B$13,"Dispersie peste limita",IF(W705="WATCH","Failure peste limita",IF(AB705&lt;'Config_v6'!$B$16,"P finala sub prag",IF(V705&lt;'Config_v6'!$B$18,"Confidence sub prag",IF(E705="REPLAY","Exemplu retrospectiv; exclus din Top LIVE",IF(Y705="PASS","DEFENSIV validat",IF(W705="OOS PENDING","Eligibil; calibrare linie in monitorizare","Eligibil"))))))))))</x:f>
      </x:c>
      <x:c r="AI705" s="2" t="str">
        <x:f>IF(B705="","",'Calibrare_Linii'!V19)</x:f>
      </x:c>
      <x:c r="AJ705" s="2" t="str">
        <x:f>IF(B705="","",IF(AND('Calibrare_Linii'!T19="VALIDATED",AND('Calibrare_Linii'!H19=C705,ISNUMBER('Calibrare_Linii'!J19),'Calibrare_Linii'!J19&lt;='Input_Meci'!G55)),"DEFENSIVE VALIDATED",IF(AND('Calibrare_Linii'!S19="VALIDATED",AND('Calibrare_Linii'!H19=C705,ISNUMBER('Calibrare_Linii'!J19),'Calibrare_Linii'!J19&lt;='Input_Meci'!G55)),"TAIL VALIDATED","OOS PENDING")))</x:f>
      </x:c>
      <x:c r="AK705" s="2" t="n">
        <x:f>IF(J705&lt;&gt;"PASS",0,'Motor_Meciuri'!BR55)</x:f>
        <x:v>0</x:v>
      </x:c>
      <x:c r="AL705" s="2" t="n">
        <x:f>IF(J705&lt;&gt;"PASS",0,'Motor_Meciuri'!BS55)</x:f>
        <x:v>0</x:v>
      </x:c>
      <x:c r="AM705" s="2" t="n">
        <x:f>IF(J705&lt;&gt;"PASS",0,'Motor_Meciuri'!BT55)</x:f>
        <x:v>0</x:v>
      </x:c>
      <x:c r="AN705" s="2" t="str">
        <x:f>IF(M705="","",MAX(0,'Motor_Meciuri'!BF55-IF(L705&gt;'Config_v6'!$B$12,'Config_v6'!$B$37,IF(L705&gt;'Config_v6'!$B$11,'Config_v6'!$B$36,0))))</x:f>
      </x:c>
    </x:row>
    <x:row r="706" ht="21" customHeight="1">
      <x:c r="A706" s="2" t="n">
        <x:v>51</x:v>
      </x:c>
      <x:c r="B706" s="2" t="str">
        <x:f>IF('Motor_Meciuri'!A56="","",'Motor_Meciuri'!A56)</x:f>
      </x:c>
      <x:c r="C706" s="2" t="str">
        <x:f>IF(B706="","",'Motor_Meciuri'!B56)</x:f>
      </x:c>
      <x:c r="D706" s="2" t="str">
        <x:f>IF(B706="","",'Motor_Meciuri'!D56)</x:f>
      </x:c>
      <x:c r="E706" s="2" t="str">
        <x:f>IF(B706="","",'Motor_Meciuri'!E56)</x:f>
      </x:c>
      <x:c r="F706" s="2" t="str">
        <x:v>O3,5</x:v>
      </x:c>
      <x:c r="G706" s="2" t="str">
        <x:v>OVER</x:v>
      </x:c>
      <x:c r="H706" s="2" t="n">
        <x:v>3</x:v>
      </x:c>
      <x:c r="I706" s="2" t="str">
        <x:f>IF(B706="","",'Motor_Meciuri'!H56)</x:f>
      </x:c>
      <x:c r="J706" s="2" t="str">
        <x:f>IF(B706="","",'Motor_Meciuri'!I56)</x:f>
      </x:c>
      <x:c r="K706" s="11" t="str">
        <x:f>IF(J706&lt;&gt;"PASS","",'Motor_Meciuri'!BD56)</x:f>
      </x:c>
      <x:c r="L706" s="11" t="str">
        <x:f>IF(J706&lt;&gt;"PASS","",'Motor_Meciuri'!AU56)</x:f>
      </x:c>
      <x:c r="M706" s="10" t="str">
        <x:f>IF(NOT(AND(J706="PASS",'Calibrare_Linii'!U6="VALID")),"",1-'Distributie'!AA56)</x:f>
      </x:c>
      <x:c r="N706" s="10" t="str">
        <x:f>IF(M706="","",MAX(0.01,MIN(0.99,0.5+(M706-0.5)*'Motor_Meciuri'!BG56*'Calibrare_Linii'!D6)))</x:f>
      </x:c>
      <x:c r="O706" s="10" t="str">
        <x:f>IF(M706="","",1-M706)</x:f>
      </x:c>
      <x:c r="P706" s="10" t="str">
        <x:f>IF(OR(NOT(AND(J706="PASS",'Calibrare_Linii'!U6="VALID")),AK706=0),""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*('Istoric_Nativ'!$Q$6:$Q$405&lt;=H706))/AK706)</x:f>
      </x:c>
      <x:c r="Q706" s="10" t="str">
        <x:f>IF(OR(NOT(AND(J706="PASS",'Calibrare_Linii'!U6="VALID")),AL706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M56)+((('Istoric_Nativ'!$E$6:$E$405='Input_Meci'!E56)+('Istoric_Nativ'!$F$6:$F$405='Input_Meci'!E56))&gt;0)*('Istoric_Nativ'!$D$6:$D$405&gt;='Motor_Meciuri'!BN56))&gt;0)*('Istoric_Nativ'!$Q$6:$Q$405&lt;=H706))/AL706)</x:f>
      </x:c>
      <x:c r="R706" s="10" t="str">
        <x:f>IF(OR(NOT(AND(J706="PASS",'Calibrare_Linii'!U6="VALID")),AM706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O56)+((('Istoric_Nativ'!$E$6:$E$405='Input_Meci'!E56)+('Istoric_Nativ'!$F$6:$F$405='Input_Meci'!E56))&gt;0)*('Istoric_Nativ'!$D$6:$D$405&gt;='Motor_Meciuri'!BP56))&gt;0)*('Istoric_Nativ'!$Q$6:$Q$405&lt;=H706))/AM706)</x:f>
      </x:c>
      <x:c r="S706" s="10" t="str">
        <x:f>IF(M706="","",MAX(O706,P706,Q706,R706))</x:f>
      </x:c>
      <x:c r="T706" s="11" t="str">
        <x:f>IF(M706="","",MIN(100,S706*100*'Config_v6'!$B$44+MIN(100,L706/'Config_v6'!$B$13*100)*'Config_v6'!$B$45+(100-'Motor_Meciuri'!BF56)*'Config_v6'!$B$46+'Motor_Meciuri'!BH56*100*'Config_v6'!$B$47))</x:f>
      </x:c>
      <x:c r="U706" s="2" t="str">
        <x:f>IF(T706="","",IF(T706&lt;=20,1,IF(T706&lt;=40,2,IF(T706&lt;=60,3,IF(T706&lt;=80,4,5)))))</x:f>
      </x:c>
      <x:c r="V706" s="2" t="str">
        <x:f>IF(M706="","",MAX(0,'Motor_Meciuri'!BF56-IF(W706="OOS PENDING",'Config_v6'!$B$35,0)-IF(L706&gt;'Config_v6'!$B$12,'Config_v6'!$B$37,IF(L706&gt;'Config_v6'!$B$11,'Config_v6'!$B$36,0))))</x:f>
      </x:c>
      <x:c r="W706" s="2" t="str">
        <x:f>IF(B706="","",IF(I706&lt;&gt;"READY","NOT RELEASED",IF(NOT(AND(J706="PASS",'Calibrare_Linii'!U6="VALID")),"INVALID",IF(NOT(TRUE),"OOS PENDING",IF(S706&lt;=IF(AND('Calibrare_Linii'!S6="VALIDATED",AND('Calibrare_Linii'!H6=C706,ISNUMBER('Calibrare_Linii'!J6),'Calibrare_Linii'!J6&lt;='Input_Meci'!G56)),'Calibrare_Linii'!E6,'Config_v6'!$B$26),"PASS",IF(S706&lt;=IF(AND('Calibrare_Linii'!S6="VALIDATED",AND('Calibrare_Linii'!H6=C706,ISNUMBER('Calibrare_Linii'!J6),'Calibrare_Linii'!J6&lt;='Input_Meci'!G56)),'Calibrare_Linii'!F6,'Config_v6'!$C$26),"PENALTY","WATCH"))))))</x:f>
      </x:c>
      <x:c r="X706" s="2" t="str">
        <x:f>IF(M706="","",IF(AND(AND(J706="PASS",'Calibrare_Linii'!U6="VALID"),'Motor_Meciuri'!K56=12,'Motor_Meciuri'!L56=12,'Motor_Meciuri'!M56="NO",'Motor_Meciuri'!BL56='Motor_Meciuri'!C56,AB706&gt;='Config_v6'!$B$50,AN706&gt;='Config_v6'!$B$51,T706&lt;='Config_v6'!$B$52,L706&lt;='Config_v6'!$B$53,ISNUMBER('Calibrare_Linii'!E6),S706&lt;='Calibrare_Linii'!E6,SUM(AK706:AM706)&gt;0),"CANDIDATE","NO"))</x:f>
      </x:c>
      <x:c r="Y706" s="2" t="str">
        <x:f>IF(B706="","",IF(I706&lt;&gt;"READY","NOT RELEASED",IF(AND(X706="CANDIDATE",V706&gt;='Config_v6'!$B$51,W706="PASS",'Calibrare_Linii'!T6="VALIDATED",AND('Calibrare_Linii'!H6=C706,ISNUMBER('Calibrare_Linii'!J6),'Calibrare_Linii'!J6&lt;='Input_Meci'!G56)),"PASS",IF(X706="CANDIDATE","OOS PENDING","FAIL"))))</x:f>
      </x:c>
      <x:c r="Z706" s="2" t="str">
        <x:f>IF(B706="","",IF(I706&lt;&gt;"READY","",IF(OR(NOT(AND(J706="PASS",'Calibrare_Linii'!U6="VALID")),L706&gt;'Config_v6'!$B$13,W706="WATCH"),5,IF(Y706="PASS",1,MIN(5,MAX('Config_v6'!$B$42,U706)+IF(W706="PENALTY",1,0))))))</x:f>
      </x:c>
      <x:c r="AA706" s="2" t="str">
        <x:f>IF(B706="","",IF(I706&lt;&gt;"READY","NOT RELEASED",IF(Z706=5,"NO BET",IF(OR(AB706&lt;'Config_v6'!$B$16,V706&lt;'Config_v6'!$B$18),"WATCH",IF(Z706=1,"DEFENSIV",IF(Z706=2,"PRUDENT",IF(Z706=3,"MODERAT","RIDICAT")))))))</x:f>
      </x:c>
      <x:c r="AB706" s="10" t="str">
        <x:f>IF(N706="","",MIN(N706,1-S706))</x:f>
      </x:c>
      <x:c r="AC706" s="2" t="str">
        <x:f>IF(AD706&lt;&gt;1,"",COUNTIFS($Z$706:$Z$719,"&lt;"&amp;Z706,$AD$706:$AD$719,1)+COUNTIFS($Z$706:$Z$719,Z706,$AB$706:$AB$719,"&gt;"&amp;AB706,$AD$706:$AD$719,1)+COUNTIFS($Z$706:$Z$719,Z706,$AB$706:$AB$719,AB706,$V$706:$V$719,"&gt;"&amp;V706,$AD$706:$AD$719,1)+COUNTIFS($Z$706:Z706,Z706,$AB$706:AB706,AB706,$V$706:V706,V706,$AD$706:AD706,1))</x:f>
      </x:c>
      <x:c r="AD706" s="2" t="n">
        <x:f>IF(OR(AA706="DEFENSIV",AA706="PRUDENT",AA706="MODERAT",AA706="RIDICAT"),1,0)</x:f>
        <x:v>0</x:v>
      </x:c>
      <x:c r="AE706" s="2" t="str">
        <x:f>IF(AD706&lt;&gt;1,"NO",IF(W706="PASS","YES",IF(W706="OOS PENDING","CONDITIONAL","NO")))</x:f>
        <x:v>NO</x:v>
      </x:c>
      <x:c r="AF706" s="2" t="n">
        <x:f>IF(AND(AD706=1,AC706=1,E706="LIVE"),1,0)</x:f>
        <x:v>0</x:v>
      </x:c>
      <x:c r="AG706" s="2" t="str">
        <x:f>IF(AF706&lt;&gt;1,"",'Dashboard'!P76)</x:f>
      </x:c>
      <x:c r="AH706" s="2" t="str">
        <x:f>IF(B706="","",IF(J706&lt;&gt;"PASS",'Motor_Meciuri'!J56,IF('Calibrare_Linii'!U6&lt;&gt;"VALID","Parametri linie invalizi",IF(L706&gt;'Config_v6'!$B$13,"Dispersie peste limita",IF(W706="WATCH","Failure peste limita",IF(AB706&lt;'Config_v6'!$B$16,"P finala sub prag",IF(V706&lt;'Config_v6'!$B$18,"Confidence sub prag",IF(E706="REPLAY","Exemplu retrospectiv; exclus din Top LIVE",IF(Y706="PASS","DEFENSIV validat",IF(W706="OOS PENDING","Eligibil; calibrare linie in monitorizare","Eligibil"))))))))))</x:f>
      </x:c>
      <x:c r="AI706" s="2" t="str">
        <x:f>IF(B706="","",'Calibrare_Linii'!V6)</x:f>
      </x:c>
      <x:c r="AJ706" s="2" t="str">
        <x:f>IF(B706="","",IF(AND('Calibrare_Linii'!T6="VALIDATED",AND('Calibrare_Linii'!H6=C706,ISNUMBER('Calibrare_Linii'!J6),'Calibrare_Linii'!J6&lt;='Input_Meci'!G56)),"DEFENSIVE VALIDATED",IF(AND('Calibrare_Linii'!S6="VALIDATED",AND('Calibrare_Linii'!H6=C706,ISNUMBER('Calibrare_Linii'!J6),'Calibrare_Linii'!J6&lt;='Input_Meci'!G56)),"TAIL VALIDATED","OOS PENDING")))</x:f>
      </x:c>
      <x:c r="AK706" s="2" t="n">
        <x:f>IF(J706&lt;&gt;"PASS",0,'Motor_Meciuri'!BR56)</x:f>
        <x:v>0</x:v>
      </x:c>
      <x:c r="AL706" s="2" t="n">
        <x:f>IF(J706&lt;&gt;"PASS",0,'Motor_Meciuri'!BS56)</x:f>
        <x:v>0</x:v>
      </x:c>
      <x:c r="AM706" s="2" t="n">
        <x:f>IF(J706&lt;&gt;"PASS",0,'Motor_Meciuri'!BT56)</x:f>
        <x:v>0</x:v>
      </x:c>
      <x:c r="AN706" s="2" t="str">
        <x:f>IF(M706="","",MAX(0,'Motor_Meciuri'!BF56-IF(L706&gt;'Config_v6'!$B$12,'Config_v6'!$B$37,IF(L706&gt;'Config_v6'!$B$11,'Config_v6'!$B$36,0))))</x:f>
      </x:c>
    </x:row>
    <x:row r="707" ht="21" customHeight="1">
      <x:c r="A707" s="2" t="n">
        <x:v>51</x:v>
      </x:c>
      <x:c r="B707" s="2" t="str">
        <x:f>IF('Motor_Meciuri'!A56="","",'Motor_Meciuri'!A56)</x:f>
      </x:c>
      <x:c r="C707" s="2" t="str">
        <x:f>IF(B707="","",'Motor_Meciuri'!B56)</x:f>
      </x:c>
      <x:c r="D707" s="2" t="str">
        <x:f>IF(B707="","",'Motor_Meciuri'!D56)</x:f>
      </x:c>
      <x:c r="E707" s="2" t="str">
        <x:f>IF(B707="","",'Motor_Meciuri'!E56)</x:f>
      </x:c>
      <x:c r="F707" s="2" t="str">
        <x:v>O4,5</x:v>
      </x:c>
      <x:c r="G707" s="2" t="str">
        <x:v>OVER</x:v>
      </x:c>
      <x:c r="H707" s="2" t="n">
        <x:v>4</x:v>
      </x:c>
      <x:c r="I707" s="2" t="str">
        <x:f>IF(B707="","",'Motor_Meciuri'!H56)</x:f>
      </x:c>
      <x:c r="J707" s="2" t="str">
        <x:f>IF(B707="","",'Motor_Meciuri'!I56)</x:f>
      </x:c>
      <x:c r="K707" s="11" t="str">
        <x:f>IF(J707&lt;&gt;"PASS","",'Motor_Meciuri'!BD56)</x:f>
      </x:c>
      <x:c r="L707" s="11" t="str">
        <x:f>IF(J707&lt;&gt;"PASS","",'Motor_Meciuri'!AU56)</x:f>
      </x:c>
      <x:c r="M707" s="10" t="str">
        <x:f>IF(NOT(AND(J707="PASS",'Calibrare_Linii'!U7="VALID")),"",1-'Distributie'!AB56)</x:f>
      </x:c>
      <x:c r="N707" s="10" t="str">
        <x:f>IF(M707="","",MAX(0.01,MIN(0.99,0.5+(M707-0.5)*'Motor_Meciuri'!BG56*'Calibrare_Linii'!D7)))</x:f>
      </x:c>
      <x:c r="O707" s="10" t="str">
        <x:f>IF(M707="","",1-M707)</x:f>
      </x:c>
      <x:c r="P707" s="10" t="str">
        <x:f>IF(OR(NOT(AND(J707="PASS",'Calibrare_Linii'!U7="VALID")),AK707=0),""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*('Istoric_Nativ'!$Q$6:$Q$405&lt;=H707))/AK707)</x:f>
      </x:c>
      <x:c r="Q707" s="10" t="str">
        <x:f>IF(OR(NOT(AND(J707="PASS",'Calibrare_Linii'!U7="VALID")),AL707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M56)+((('Istoric_Nativ'!$E$6:$E$405='Input_Meci'!E56)+('Istoric_Nativ'!$F$6:$F$405='Input_Meci'!E56))&gt;0)*('Istoric_Nativ'!$D$6:$D$405&gt;='Motor_Meciuri'!BN56))&gt;0)*('Istoric_Nativ'!$Q$6:$Q$405&lt;=H707))/AL707)</x:f>
      </x:c>
      <x:c r="R707" s="10" t="str">
        <x:f>IF(OR(NOT(AND(J707="PASS",'Calibrare_Linii'!U7="VALID")),AM707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O56)+((('Istoric_Nativ'!$E$6:$E$405='Input_Meci'!E56)+('Istoric_Nativ'!$F$6:$F$405='Input_Meci'!E56))&gt;0)*('Istoric_Nativ'!$D$6:$D$405&gt;='Motor_Meciuri'!BP56))&gt;0)*('Istoric_Nativ'!$Q$6:$Q$405&lt;=H707))/AM707)</x:f>
      </x:c>
      <x:c r="S707" s="10" t="str">
        <x:f>IF(M707="","",MAX(O707,P707,Q707,R707))</x:f>
      </x:c>
      <x:c r="T707" s="11" t="str">
        <x:f>IF(M707="","",MIN(100,S707*100*'Config_v6'!$B$44+MIN(100,L707/'Config_v6'!$B$13*100)*'Config_v6'!$B$45+(100-'Motor_Meciuri'!BF56)*'Config_v6'!$B$46+'Motor_Meciuri'!BH56*100*'Config_v6'!$B$47))</x:f>
      </x:c>
      <x:c r="U707" s="2" t="str">
        <x:f>IF(T707="","",IF(T707&lt;=20,1,IF(T707&lt;=40,2,IF(T707&lt;=60,3,IF(T707&lt;=80,4,5)))))</x:f>
      </x:c>
      <x:c r="V707" s="2" t="str">
        <x:f>IF(M707="","",MAX(0,'Motor_Meciuri'!BF56-IF(W707="OOS PENDING",'Config_v6'!$B$35,0)-IF(L707&gt;'Config_v6'!$B$12,'Config_v6'!$B$37,IF(L707&gt;'Config_v6'!$B$11,'Config_v6'!$B$36,0))))</x:f>
      </x:c>
      <x:c r="W707" s="2" t="str">
        <x:f>IF(B707="","",IF(I707&lt;&gt;"READY","NOT RELEASED",IF(NOT(AND(J707="PASS",'Calibrare_Linii'!U7="VALID")),"INVALID",IF(NOT(AND('Calibrare_Linii'!S7="VALIDATED",AND('Calibrare_Linii'!H7=C707,ISNUMBER('Calibrare_Linii'!J7),'Calibrare_Linii'!J7&lt;='Input_Meci'!G56))),"OOS PENDING",IF(S707&lt;='Calibrare_Linii'!E7,"PASS",IF(S707&lt;='Calibrare_Linii'!F7,"PENALTY","WATCH"))))))</x:f>
      </x:c>
      <x:c r="X707" s="2" t="str">
        <x:f>IF(M707="","",IF(AND(AND(J707="PASS",'Calibrare_Linii'!U7="VALID"),'Motor_Meciuri'!K56=12,'Motor_Meciuri'!L56=12,'Motor_Meciuri'!M56="NO",'Motor_Meciuri'!BL56='Motor_Meciuri'!C56,AB707&gt;='Config_v6'!$B$50,AN707&gt;='Config_v6'!$B$51,T707&lt;='Config_v6'!$B$52,L707&lt;='Config_v6'!$B$53,ISNUMBER('Calibrare_Linii'!E7),S707&lt;='Calibrare_Linii'!E7,SUM(AK707:AM707)&gt;0),"CANDIDATE","NO"))</x:f>
      </x:c>
      <x:c r="Y707" s="2" t="str">
        <x:f>IF(B707="","",IF(I707&lt;&gt;"READY","NOT RELEASED",IF(AND(X707="CANDIDATE",V707&gt;='Config_v6'!$B$51,W707="PASS",'Calibrare_Linii'!T7="VALIDATED",AND('Calibrare_Linii'!H7=C707,ISNUMBER('Calibrare_Linii'!J7),'Calibrare_Linii'!J7&lt;='Input_Meci'!G56)),"PASS",IF(X707="CANDIDATE","OOS PENDING","FAIL"))))</x:f>
      </x:c>
      <x:c r="Z707" s="2" t="str">
        <x:f>IF(B707="","",IF(I707&lt;&gt;"READY","",IF(OR(NOT(AND(J707="PASS",'Calibrare_Linii'!U7="VALID")),L707&gt;'Config_v6'!$B$13,W707="WATCH"),5,IF(Y707="PASS",1,MIN(5,MAX('Config_v6'!$B$42,U707)+IF(W707="PENALTY",1,0))))))</x:f>
      </x:c>
      <x:c r="AA707" s="2" t="str">
        <x:f>IF(B707="","",IF(I707&lt;&gt;"READY","NOT RELEASED",IF(Z707=5,"NO BET",IF(OR(AB707&lt;'Config_v6'!$B$16,V707&lt;'Config_v6'!$B$18),"WATCH",IF(Z707=1,"DEFENSIV",IF(Z707=2,"PRUDENT",IF(Z707=3,"MODERAT","RIDICAT")))))))</x:f>
      </x:c>
      <x:c r="AB707" s="10" t="str">
        <x:f>IF(N707="","",MIN(N707,1-S707))</x:f>
      </x:c>
      <x:c r="AC707" s="2" t="str">
        <x:f>IF(AD707&lt;&gt;1,"",COUNTIFS($Z$706:$Z$719,"&lt;"&amp;Z707,$AD$706:$AD$719,1)+COUNTIFS($Z$706:$Z$719,Z707,$AB$706:$AB$719,"&gt;"&amp;AB707,$AD$706:$AD$719,1)+COUNTIFS($Z$706:$Z$719,Z707,$AB$706:$AB$719,AB707,$V$706:$V$719,"&gt;"&amp;V707,$AD$706:$AD$719,1)+COUNTIFS($Z$706:Z707,Z707,$AB$706:AB707,AB707,$V$706:V707,V707,$AD$706:AD707,1))</x:f>
      </x:c>
      <x:c r="AD707" s="2" t="n">
        <x:f>IF(OR(AA707="DEFENSIV",AA707="PRUDENT",AA707="MODERAT",AA707="RIDICAT"),1,0)</x:f>
        <x:v>0</x:v>
      </x:c>
      <x:c r="AE707" s="2" t="str">
        <x:f>IF(AD707&lt;&gt;1,"NO",IF(W707="PASS","YES",IF(W707="OOS PENDING","CONDITIONAL","NO")))</x:f>
        <x:v>NO</x:v>
      </x:c>
      <x:c r="AF707" s="2" t="n">
        <x:f>IF(AND(AD707=1,AC707=1,E707="LIVE"),1,0)</x:f>
        <x:v>0</x:v>
      </x:c>
      <x:c r="AG707" s="2" t="str">
        <x:f>IF(AF707&lt;&gt;1,"",'Dashboard'!P76)</x:f>
      </x:c>
      <x:c r="AH707" s="2" t="str">
        <x:f>IF(B707="","",IF(J707&lt;&gt;"PASS",'Motor_Meciuri'!J56,IF('Calibrare_Linii'!U7&lt;&gt;"VALID","Parametri linie invalizi",IF(L707&gt;'Config_v6'!$B$13,"Dispersie peste limita",IF(W707="WATCH","Failure peste limita",IF(AB707&lt;'Config_v6'!$B$16,"P finala sub prag",IF(V707&lt;'Config_v6'!$B$18,"Confidence sub prag",IF(E707="REPLAY","Exemplu retrospectiv; exclus din Top LIVE",IF(Y707="PASS","DEFENSIV validat",IF(W707="OOS PENDING","Eligibil; calibrare linie in monitorizare","Eligibil"))))))))))</x:f>
      </x:c>
      <x:c r="AI707" s="2" t="str">
        <x:f>IF(B707="","",'Calibrare_Linii'!V7)</x:f>
      </x:c>
      <x:c r="AJ707" s="2" t="str">
        <x:f>IF(B707="","",IF(AND('Calibrare_Linii'!T7="VALIDATED",AND('Calibrare_Linii'!H7=C707,ISNUMBER('Calibrare_Linii'!J7),'Calibrare_Linii'!J7&lt;='Input_Meci'!G56)),"DEFENSIVE VALIDATED",IF(AND('Calibrare_Linii'!S7="VALIDATED",AND('Calibrare_Linii'!H7=C707,ISNUMBER('Calibrare_Linii'!J7),'Calibrare_Linii'!J7&lt;='Input_Meci'!G56)),"TAIL VALIDATED","OOS PENDING")))</x:f>
      </x:c>
      <x:c r="AK707" s="2" t="n">
        <x:f>IF(J707&lt;&gt;"PASS",0,'Motor_Meciuri'!BR56)</x:f>
        <x:v>0</x:v>
      </x:c>
      <x:c r="AL707" s="2" t="n">
        <x:f>IF(J707&lt;&gt;"PASS",0,'Motor_Meciuri'!BS56)</x:f>
        <x:v>0</x:v>
      </x:c>
      <x:c r="AM707" s="2" t="n">
        <x:f>IF(J707&lt;&gt;"PASS",0,'Motor_Meciuri'!BT56)</x:f>
        <x:v>0</x:v>
      </x:c>
      <x:c r="AN707" s="2" t="str">
        <x:f>IF(M707="","",MAX(0,'Motor_Meciuri'!BF56-IF(L707&gt;'Config_v6'!$B$12,'Config_v6'!$B$37,IF(L707&gt;'Config_v6'!$B$11,'Config_v6'!$B$36,0))))</x:f>
      </x:c>
    </x:row>
    <x:row r="708" ht="21" customHeight="1">
      <x:c r="A708" s="2" t="n">
        <x:v>51</x:v>
      </x:c>
      <x:c r="B708" s="2" t="str">
        <x:f>IF('Motor_Meciuri'!A56="","",'Motor_Meciuri'!A56)</x:f>
      </x:c>
      <x:c r="C708" s="2" t="str">
        <x:f>IF(B708="","",'Motor_Meciuri'!B56)</x:f>
      </x:c>
      <x:c r="D708" s="2" t="str">
        <x:f>IF(B708="","",'Motor_Meciuri'!D56)</x:f>
      </x:c>
      <x:c r="E708" s="2" t="str">
        <x:f>IF(B708="","",'Motor_Meciuri'!E56)</x:f>
      </x:c>
      <x:c r="F708" s="2" t="str">
        <x:v>O5,5</x:v>
      </x:c>
      <x:c r="G708" s="2" t="str">
        <x:v>OVER</x:v>
      </x:c>
      <x:c r="H708" s="2" t="n">
        <x:v>5</x:v>
      </x:c>
      <x:c r="I708" s="2" t="str">
        <x:f>IF(B708="","",'Motor_Meciuri'!H56)</x:f>
      </x:c>
      <x:c r="J708" s="2" t="str">
        <x:f>IF(B708="","",'Motor_Meciuri'!I56)</x:f>
      </x:c>
      <x:c r="K708" s="11" t="str">
        <x:f>IF(J708&lt;&gt;"PASS","",'Motor_Meciuri'!BD56)</x:f>
      </x:c>
      <x:c r="L708" s="11" t="str">
        <x:f>IF(J708&lt;&gt;"PASS","",'Motor_Meciuri'!AU56)</x:f>
      </x:c>
      <x:c r="M708" s="10" t="str">
        <x:f>IF(NOT(AND(J708="PASS",'Calibrare_Linii'!U8="VALID")),"",1-'Distributie'!AC56)</x:f>
      </x:c>
      <x:c r="N708" s="10" t="str">
        <x:f>IF(M708="","",MAX(0.01,MIN(0.99,0.5+(M708-0.5)*'Motor_Meciuri'!BG56*'Calibrare_Linii'!D8)))</x:f>
      </x:c>
      <x:c r="O708" s="10" t="str">
        <x:f>IF(M708="","",1-M708)</x:f>
      </x:c>
      <x:c r="P708" s="10" t="str">
        <x:f>IF(OR(NOT(AND(J708="PASS",'Calibrare_Linii'!U8="VALID")),AK708=0),""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*('Istoric_Nativ'!$Q$6:$Q$405&lt;=H708))/AK708)</x:f>
      </x:c>
      <x:c r="Q708" s="10" t="str">
        <x:f>IF(OR(NOT(AND(J708="PASS",'Calibrare_Linii'!U8="VALID")),AL708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M56)+((('Istoric_Nativ'!$E$6:$E$405='Input_Meci'!E56)+('Istoric_Nativ'!$F$6:$F$405='Input_Meci'!E56))&gt;0)*('Istoric_Nativ'!$D$6:$D$405&gt;='Motor_Meciuri'!BN56))&gt;0)*('Istoric_Nativ'!$Q$6:$Q$405&lt;=H708))/AL708)</x:f>
      </x:c>
      <x:c r="R708" s="10" t="str">
        <x:f>IF(OR(NOT(AND(J708="PASS",'Calibrare_Linii'!U8="VALID")),AM708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O56)+((('Istoric_Nativ'!$E$6:$E$405='Input_Meci'!E56)+('Istoric_Nativ'!$F$6:$F$405='Input_Meci'!E56))&gt;0)*('Istoric_Nativ'!$D$6:$D$405&gt;='Motor_Meciuri'!BP56))&gt;0)*('Istoric_Nativ'!$Q$6:$Q$405&lt;=H708))/AM708)</x:f>
      </x:c>
      <x:c r="S708" s="10" t="str">
        <x:f>IF(M708="","",MAX(O708,P708,Q708,R708))</x:f>
      </x:c>
      <x:c r="T708" s="11" t="str">
        <x:f>IF(M708="","",MIN(100,S708*100*'Config_v6'!$B$44+MIN(100,L708/'Config_v6'!$B$13*100)*'Config_v6'!$B$45+(100-'Motor_Meciuri'!BF56)*'Config_v6'!$B$46+'Motor_Meciuri'!BH56*100*'Config_v6'!$B$47))</x:f>
      </x:c>
      <x:c r="U708" s="2" t="str">
        <x:f>IF(T708="","",IF(T708&lt;=20,1,IF(T708&lt;=40,2,IF(T708&lt;=60,3,IF(T708&lt;=80,4,5)))))</x:f>
      </x:c>
      <x:c r="V708" s="2" t="str">
        <x:f>IF(M708="","",MAX(0,'Motor_Meciuri'!BF56-IF(W708="OOS PENDING",'Config_v6'!$B$35,0)-IF(L708&gt;'Config_v6'!$B$12,'Config_v6'!$B$37,IF(L708&gt;'Config_v6'!$B$11,'Config_v6'!$B$36,0))))</x:f>
      </x:c>
      <x:c r="W708" s="2" t="str">
        <x:f>IF(B708="","",IF(I708&lt;&gt;"READY","NOT RELEASED",IF(NOT(AND(J708="PASS",'Calibrare_Linii'!U8="VALID")),"INVALID",IF(NOT(AND('Calibrare_Linii'!S8="VALIDATED",AND('Calibrare_Linii'!H8=C708,ISNUMBER('Calibrare_Linii'!J8),'Calibrare_Linii'!J8&lt;='Input_Meci'!G56))),"OOS PENDING",IF(S708&lt;='Calibrare_Linii'!E8,"PASS",IF(S708&lt;='Calibrare_Linii'!F8,"PENALTY","WATCH"))))))</x:f>
      </x:c>
      <x:c r="X708" s="2" t="str">
        <x:f>IF(M708="","",IF(AND(AND(J708="PASS",'Calibrare_Linii'!U8="VALID"),'Motor_Meciuri'!K56=12,'Motor_Meciuri'!L56=12,'Motor_Meciuri'!M56="NO",'Motor_Meciuri'!BL56='Motor_Meciuri'!C56,AB708&gt;='Config_v6'!$B$50,AN708&gt;='Config_v6'!$B$51,T708&lt;='Config_v6'!$B$52,L708&lt;='Config_v6'!$B$53,ISNUMBER('Calibrare_Linii'!E8),S708&lt;='Calibrare_Linii'!E8,SUM(AK708:AM708)&gt;0),"CANDIDATE","NO"))</x:f>
      </x:c>
      <x:c r="Y708" s="2" t="str">
        <x:f>IF(B708="","",IF(I708&lt;&gt;"READY","NOT RELEASED",IF(AND(X708="CANDIDATE",V708&gt;='Config_v6'!$B$51,W708="PASS",'Calibrare_Linii'!T8="VALIDATED",AND('Calibrare_Linii'!H8=C708,ISNUMBER('Calibrare_Linii'!J8),'Calibrare_Linii'!J8&lt;='Input_Meci'!G56)),"PASS",IF(X708="CANDIDATE","OOS PENDING","FAIL"))))</x:f>
      </x:c>
      <x:c r="Z708" s="2" t="str">
        <x:f>IF(B708="","",IF(I708&lt;&gt;"READY","",IF(OR(NOT(AND(J708="PASS",'Calibrare_Linii'!U8="VALID")),L708&gt;'Config_v6'!$B$13,W708="WATCH"),5,IF(Y708="PASS",1,MIN(5,MAX('Config_v6'!$B$42,U708)+IF(W708="PENALTY",1,0))))))</x:f>
      </x:c>
      <x:c r="AA708" s="2" t="str">
        <x:f>IF(B708="","",IF(I708&lt;&gt;"READY","NOT RELEASED",IF(Z708=5,"NO BET",IF(OR(AB708&lt;'Config_v6'!$B$16,V708&lt;'Config_v6'!$B$18),"WATCH",IF(Z708=1,"DEFENSIV",IF(Z708=2,"PRUDENT",IF(Z708=3,"MODERAT","RIDICAT")))))))</x:f>
      </x:c>
      <x:c r="AB708" s="10" t="str">
        <x:f>IF(N708="","",MIN(N708,1-S708))</x:f>
      </x:c>
      <x:c r="AC708" s="2" t="str">
        <x:f>IF(AD708&lt;&gt;1,"",COUNTIFS($Z$706:$Z$719,"&lt;"&amp;Z708,$AD$706:$AD$719,1)+COUNTIFS($Z$706:$Z$719,Z708,$AB$706:$AB$719,"&gt;"&amp;AB708,$AD$706:$AD$719,1)+COUNTIFS($Z$706:$Z$719,Z708,$AB$706:$AB$719,AB708,$V$706:$V$719,"&gt;"&amp;V708,$AD$706:$AD$719,1)+COUNTIFS($Z$706:Z708,Z708,$AB$706:AB708,AB708,$V$706:V708,V708,$AD$706:AD708,1))</x:f>
      </x:c>
      <x:c r="AD708" s="2" t="n">
        <x:f>IF(OR(AA708="DEFENSIV",AA708="PRUDENT",AA708="MODERAT",AA708="RIDICAT"),1,0)</x:f>
        <x:v>0</x:v>
      </x:c>
      <x:c r="AE708" s="2" t="str">
        <x:f>IF(AD708&lt;&gt;1,"NO",IF(W708="PASS","YES",IF(W708="OOS PENDING","CONDITIONAL","NO")))</x:f>
        <x:v>NO</x:v>
      </x:c>
      <x:c r="AF708" s="2" t="n">
        <x:f>IF(AND(AD708=1,AC708=1,E708="LIVE"),1,0)</x:f>
        <x:v>0</x:v>
      </x:c>
      <x:c r="AG708" s="2" t="str">
        <x:f>IF(AF708&lt;&gt;1,"",'Dashboard'!P76)</x:f>
      </x:c>
      <x:c r="AH708" s="2" t="str">
        <x:f>IF(B708="","",IF(J708&lt;&gt;"PASS",'Motor_Meciuri'!J56,IF('Calibrare_Linii'!U8&lt;&gt;"VALID","Parametri linie invalizi",IF(L708&gt;'Config_v6'!$B$13,"Dispersie peste limita",IF(W708="WATCH","Failure peste limita",IF(AB708&lt;'Config_v6'!$B$16,"P finala sub prag",IF(V708&lt;'Config_v6'!$B$18,"Confidence sub prag",IF(E708="REPLAY","Exemplu retrospectiv; exclus din Top LIVE",IF(Y708="PASS","DEFENSIV validat",IF(W708="OOS PENDING","Eligibil; calibrare linie in monitorizare","Eligibil"))))))))))</x:f>
      </x:c>
      <x:c r="AI708" s="2" t="str">
        <x:f>IF(B708="","",'Calibrare_Linii'!V8)</x:f>
      </x:c>
      <x:c r="AJ708" s="2" t="str">
        <x:f>IF(B708="","",IF(AND('Calibrare_Linii'!T8="VALIDATED",AND('Calibrare_Linii'!H8=C708,ISNUMBER('Calibrare_Linii'!J8),'Calibrare_Linii'!J8&lt;='Input_Meci'!G56)),"DEFENSIVE VALIDATED",IF(AND('Calibrare_Linii'!S8="VALIDATED",AND('Calibrare_Linii'!H8=C708,ISNUMBER('Calibrare_Linii'!J8),'Calibrare_Linii'!J8&lt;='Input_Meci'!G56)),"TAIL VALIDATED","OOS PENDING")))</x:f>
      </x:c>
      <x:c r="AK708" s="2" t="n">
        <x:f>IF(J708&lt;&gt;"PASS",0,'Motor_Meciuri'!BR56)</x:f>
        <x:v>0</x:v>
      </x:c>
      <x:c r="AL708" s="2" t="n">
        <x:f>IF(J708&lt;&gt;"PASS",0,'Motor_Meciuri'!BS56)</x:f>
        <x:v>0</x:v>
      </x:c>
      <x:c r="AM708" s="2" t="n">
        <x:f>IF(J708&lt;&gt;"PASS",0,'Motor_Meciuri'!BT56)</x:f>
        <x:v>0</x:v>
      </x:c>
      <x:c r="AN708" s="2" t="str">
        <x:f>IF(M708="","",MAX(0,'Motor_Meciuri'!BF56-IF(L708&gt;'Config_v6'!$B$12,'Config_v6'!$B$37,IF(L708&gt;'Config_v6'!$B$11,'Config_v6'!$B$36,0))))</x:f>
      </x:c>
    </x:row>
    <x:row r="709" ht="21" customHeight="1">
      <x:c r="A709" s="2" t="n">
        <x:v>51</x:v>
      </x:c>
      <x:c r="B709" s="2" t="str">
        <x:f>IF('Motor_Meciuri'!A56="","",'Motor_Meciuri'!A56)</x:f>
      </x:c>
      <x:c r="C709" s="2" t="str">
        <x:f>IF(B709="","",'Motor_Meciuri'!B56)</x:f>
      </x:c>
      <x:c r="D709" s="2" t="str">
        <x:f>IF(B709="","",'Motor_Meciuri'!D56)</x:f>
      </x:c>
      <x:c r="E709" s="2" t="str">
        <x:f>IF(B709="","",'Motor_Meciuri'!E56)</x:f>
      </x:c>
      <x:c r="F709" s="2" t="str">
        <x:v>O6,5</x:v>
      </x:c>
      <x:c r="G709" s="2" t="str">
        <x:v>OVER</x:v>
      </x:c>
      <x:c r="H709" s="2" t="n">
        <x:v>6</x:v>
      </x:c>
      <x:c r="I709" s="2" t="str">
        <x:f>IF(B709="","",'Motor_Meciuri'!H56)</x:f>
      </x:c>
      <x:c r="J709" s="2" t="str">
        <x:f>IF(B709="","",'Motor_Meciuri'!I56)</x:f>
      </x:c>
      <x:c r="K709" s="11" t="str">
        <x:f>IF(J709&lt;&gt;"PASS","",'Motor_Meciuri'!BD56)</x:f>
      </x:c>
      <x:c r="L709" s="11" t="str">
        <x:f>IF(J709&lt;&gt;"PASS","",'Motor_Meciuri'!AU56)</x:f>
      </x:c>
      <x:c r="M709" s="10" t="str">
        <x:f>IF(NOT(AND(J709="PASS",'Calibrare_Linii'!U9="VALID")),"",1-'Distributie'!AD56)</x:f>
      </x:c>
      <x:c r="N709" s="10" t="str">
        <x:f>IF(M709="","",MAX(0.01,MIN(0.99,0.5+(M709-0.5)*'Motor_Meciuri'!BG56*'Calibrare_Linii'!D9)))</x:f>
      </x:c>
      <x:c r="O709" s="10" t="str">
        <x:f>IF(M709="","",1-M709)</x:f>
      </x:c>
      <x:c r="P709" s="10" t="str">
        <x:f>IF(OR(NOT(AND(J709="PASS",'Calibrare_Linii'!U9="VALID")),AK709=0),""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*('Istoric_Nativ'!$Q$6:$Q$405&lt;=H709))/AK709)</x:f>
      </x:c>
      <x:c r="Q709" s="10" t="str">
        <x:f>IF(OR(NOT(AND(J709="PASS",'Calibrare_Linii'!U9="VALID")),AL709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M56)+((('Istoric_Nativ'!$E$6:$E$405='Input_Meci'!E56)+('Istoric_Nativ'!$F$6:$F$405='Input_Meci'!E56))&gt;0)*('Istoric_Nativ'!$D$6:$D$405&gt;='Motor_Meciuri'!BN56))&gt;0)*('Istoric_Nativ'!$Q$6:$Q$405&lt;=H709))/AL709)</x:f>
      </x:c>
      <x:c r="R709" s="10" t="str">
        <x:f>IF(OR(NOT(AND(J709="PASS",'Calibrare_Linii'!U9="VALID")),AM709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O56)+((('Istoric_Nativ'!$E$6:$E$405='Input_Meci'!E56)+('Istoric_Nativ'!$F$6:$F$405='Input_Meci'!E56))&gt;0)*('Istoric_Nativ'!$D$6:$D$405&gt;='Motor_Meciuri'!BP56))&gt;0)*('Istoric_Nativ'!$Q$6:$Q$405&lt;=H709))/AM709)</x:f>
      </x:c>
      <x:c r="S709" s="10" t="str">
        <x:f>IF(M709="","",MAX(O709,P709,Q709,R709))</x:f>
      </x:c>
      <x:c r="T709" s="11" t="str">
        <x:f>IF(M709="","",MIN(100,S709*100*'Config_v6'!$B$44+MIN(100,L709/'Config_v6'!$B$13*100)*'Config_v6'!$B$45+(100-'Motor_Meciuri'!BF56)*'Config_v6'!$B$46+'Motor_Meciuri'!BH56*100*'Config_v6'!$B$47))</x:f>
      </x:c>
      <x:c r="U709" s="2" t="str">
        <x:f>IF(T709="","",IF(T709&lt;=20,1,IF(T709&lt;=40,2,IF(T709&lt;=60,3,IF(T709&lt;=80,4,5)))))</x:f>
      </x:c>
      <x:c r="V709" s="2" t="str">
        <x:f>IF(M709="","",MAX(0,'Motor_Meciuri'!BF56-IF(W709="OOS PENDING",'Config_v6'!$B$35,0)-IF(L709&gt;'Config_v6'!$B$12,'Config_v6'!$B$37,IF(L709&gt;'Config_v6'!$B$11,'Config_v6'!$B$36,0))))</x:f>
      </x:c>
      <x:c r="W709" s="2" t="str">
        <x:f>IF(B709="","",IF(I709&lt;&gt;"READY","NOT RELEASED",IF(NOT(AND(J709="PASS",'Calibrare_Linii'!U9="VALID")),"INVALID",IF(NOT(AND('Calibrare_Linii'!S9="VALIDATED",AND('Calibrare_Linii'!H9=C709,ISNUMBER('Calibrare_Linii'!J9),'Calibrare_Linii'!J9&lt;='Input_Meci'!G56))),"OOS PENDING",IF(S709&lt;='Calibrare_Linii'!E9,"PASS",IF(S709&lt;='Calibrare_Linii'!F9,"PENALTY","WATCH"))))))</x:f>
      </x:c>
      <x:c r="X709" s="2" t="str">
        <x:f>IF(M709="","",IF(AND(AND(J709="PASS",'Calibrare_Linii'!U9="VALID"),'Motor_Meciuri'!K56=12,'Motor_Meciuri'!L56=12,'Motor_Meciuri'!M56="NO",'Motor_Meciuri'!BL56='Motor_Meciuri'!C56,AB709&gt;='Config_v6'!$B$50,AN709&gt;='Config_v6'!$B$51,T709&lt;='Config_v6'!$B$52,L709&lt;='Config_v6'!$B$53,ISNUMBER('Calibrare_Linii'!E9),S709&lt;='Calibrare_Linii'!E9,SUM(AK709:AM709)&gt;0),"CANDIDATE","NO"))</x:f>
      </x:c>
      <x:c r="Y709" s="2" t="str">
        <x:f>IF(B709="","",IF(I709&lt;&gt;"READY","NOT RELEASED",IF(AND(X709="CANDIDATE",V709&gt;='Config_v6'!$B$51,W709="PASS",'Calibrare_Linii'!T9="VALIDATED",AND('Calibrare_Linii'!H9=C709,ISNUMBER('Calibrare_Linii'!J9),'Calibrare_Linii'!J9&lt;='Input_Meci'!G56)),"PASS",IF(X709="CANDIDATE","OOS PENDING","FAIL"))))</x:f>
      </x:c>
      <x:c r="Z709" s="2" t="str">
        <x:f>IF(B709="","",IF(I709&lt;&gt;"READY","",IF(OR(NOT(AND(J709="PASS",'Calibrare_Linii'!U9="VALID")),L709&gt;'Config_v6'!$B$13,W709="WATCH"),5,IF(Y709="PASS",1,MIN(5,MAX('Config_v6'!$B$42,U709)+IF(W709="PENALTY",1,0))))))</x:f>
      </x:c>
      <x:c r="AA709" s="2" t="str">
        <x:f>IF(B709="","",IF(I709&lt;&gt;"READY","NOT RELEASED",IF(Z709=5,"NO BET",IF(OR(AB709&lt;'Config_v6'!$B$16,V709&lt;'Config_v6'!$B$18),"WATCH",IF(Z709=1,"DEFENSIV",IF(Z709=2,"PRUDENT",IF(Z709=3,"MODERAT","RIDICAT")))))))</x:f>
      </x:c>
      <x:c r="AB709" s="10" t="str">
        <x:f>IF(N709="","",MIN(N709,1-S709))</x:f>
      </x:c>
      <x:c r="AC709" s="2" t="str">
        <x:f>IF(AD709&lt;&gt;1,"",COUNTIFS($Z$706:$Z$719,"&lt;"&amp;Z709,$AD$706:$AD$719,1)+COUNTIFS($Z$706:$Z$719,Z709,$AB$706:$AB$719,"&gt;"&amp;AB709,$AD$706:$AD$719,1)+COUNTIFS($Z$706:$Z$719,Z709,$AB$706:$AB$719,AB709,$V$706:$V$719,"&gt;"&amp;V709,$AD$706:$AD$719,1)+COUNTIFS($Z$706:Z709,Z709,$AB$706:AB709,AB709,$V$706:V709,V709,$AD$706:AD709,1))</x:f>
      </x:c>
      <x:c r="AD709" s="2" t="n">
        <x:f>IF(OR(AA709="DEFENSIV",AA709="PRUDENT",AA709="MODERAT",AA709="RIDICAT"),1,0)</x:f>
        <x:v>0</x:v>
      </x:c>
      <x:c r="AE709" s="2" t="str">
        <x:f>IF(AD709&lt;&gt;1,"NO",IF(W709="PASS","YES",IF(W709="OOS PENDING","CONDITIONAL","NO")))</x:f>
        <x:v>NO</x:v>
      </x:c>
      <x:c r="AF709" s="2" t="n">
        <x:f>IF(AND(AD709=1,AC709=1,E709="LIVE"),1,0)</x:f>
        <x:v>0</x:v>
      </x:c>
      <x:c r="AG709" s="2" t="str">
        <x:f>IF(AF709&lt;&gt;1,"",'Dashboard'!P76)</x:f>
      </x:c>
      <x:c r="AH709" s="2" t="str">
        <x:f>IF(B709="","",IF(J709&lt;&gt;"PASS",'Motor_Meciuri'!J56,IF('Calibrare_Linii'!U9&lt;&gt;"VALID","Parametri linie invalizi",IF(L709&gt;'Config_v6'!$B$13,"Dispersie peste limita",IF(W709="WATCH","Failure peste limita",IF(AB709&lt;'Config_v6'!$B$16,"P finala sub prag",IF(V709&lt;'Config_v6'!$B$18,"Confidence sub prag",IF(E709="REPLAY","Exemplu retrospectiv; exclus din Top LIVE",IF(Y709="PASS","DEFENSIV validat",IF(W709="OOS PENDING","Eligibil; calibrare linie in monitorizare","Eligibil"))))))))))</x:f>
      </x:c>
      <x:c r="AI709" s="2" t="str">
        <x:f>IF(B709="","",'Calibrare_Linii'!V9)</x:f>
      </x:c>
      <x:c r="AJ709" s="2" t="str">
        <x:f>IF(B709="","",IF(AND('Calibrare_Linii'!T9="VALIDATED",AND('Calibrare_Linii'!H9=C709,ISNUMBER('Calibrare_Linii'!J9),'Calibrare_Linii'!J9&lt;='Input_Meci'!G56)),"DEFENSIVE VALIDATED",IF(AND('Calibrare_Linii'!S9="VALIDATED",AND('Calibrare_Linii'!H9=C709,ISNUMBER('Calibrare_Linii'!J9),'Calibrare_Linii'!J9&lt;='Input_Meci'!G56)),"TAIL VALIDATED","OOS PENDING")))</x:f>
      </x:c>
      <x:c r="AK709" s="2" t="n">
        <x:f>IF(J709&lt;&gt;"PASS",0,'Motor_Meciuri'!BR56)</x:f>
        <x:v>0</x:v>
      </x:c>
      <x:c r="AL709" s="2" t="n">
        <x:f>IF(J709&lt;&gt;"PASS",0,'Motor_Meciuri'!BS56)</x:f>
        <x:v>0</x:v>
      </x:c>
      <x:c r="AM709" s="2" t="n">
        <x:f>IF(J709&lt;&gt;"PASS",0,'Motor_Meciuri'!BT56)</x:f>
        <x:v>0</x:v>
      </x:c>
      <x:c r="AN709" s="2" t="str">
        <x:f>IF(M709="","",MAX(0,'Motor_Meciuri'!BF56-IF(L709&gt;'Config_v6'!$B$12,'Config_v6'!$B$37,IF(L709&gt;'Config_v6'!$B$11,'Config_v6'!$B$36,0))))</x:f>
      </x:c>
    </x:row>
    <x:row r="710" ht="21" customHeight="1">
      <x:c r="A710" s="2" t="n">
        <x:v>51</x:v>
      </x:c>
      <x:c r="B710" s="2" t="str">
        <x:f>IF('Motor_Meciuri'!A56="","",'Motor_Meciuri'!A56)</x:f>
      </x:c>
      <x:c r="C710" s="2" t="str">
        <x:f>IF(B710="","",'Motor_Meciuri'!B56)</x:f>
      </x:c>
      <x:c r="D710" s="2" t="str">
        <x:f>IF(B710="","",'Motor_Meciuri'!D56)</x:f>
      </x:c>
      <x:c r="E710" s="2" t="str">
        <x:f>IF(B710="","",'Motor_Meciuri'!E56)</x:f>
      </x:c>
      <x:c r="F710" s="2" t="str">
        <x:v>O7,5</x:v>
      </x:c>
      <x:c r="G710" s="2" t="str">
        <x:v>OVER</x:v>
      </x:c>
      <x:c r="H710" s="2" t="n">
        <x:v>7</x:v>
      </x:c>
      <x:c r="I710" s="2" t="str">
        <x:f>IF(B710="","",'Motor_Meciuri'!H56)</x:f>
      </x:c>
      <x:c r="J710" s="2" t="str">
        <x:f>IF(B710="","",'Motor_Meciuri'!I56)</x:f>
      </x:c>
      <x:c r="K710" s="11" t="str">
        <x:f>IF(J710&lt;&gt;"PASS","",'Motor_Meciuri'!BD56)</x:f>
      </x:c>
      <x:c r="L710" s="11" t="str">
        <x:f>IF(J710&lt;&gt;"PASS","",'Motor_Meciuri'!AU56)</x:f>
      </x:c>
      <x:c r="M710" s="10" t="str">
        <x:f>IF(NOT(AND(J710="PASS",'Calibrare_Linii'!U10="VALID")),"",1-'Distributie'!AE56)</x:f>
      </x:c>
      <x:c r="N710" s="10" t="str">
        <x:f>IF(M710="","",MAX(0.01,MIN(0.99,0.5+(M710-0.5)*'Motor_Meciuri'!BG56*'Calibrare_Linii'!D10)))</x:f>
      </x:c>
      <x:c r="O710" s="10" t="str">
        <x:f>IF(M710="","",1-M710)</x:f>
      </x:c>
      <x:c r="P710" s="10" t="str">
        <x:f>IF(OR(NOT(AND(J710="PASS",'Calibrare_Linii'!U10="VALID")),AK710=0),""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*('Istoric_Nativ'!$Q$6:$Q$405&lt;=H710))/AK710)</x:f>
      </x:c>
      <x:c r="Q710" s="10" t="str">
        <x:f>IF(OR(NOT(AND(J710="PASS",'Calibrare_Linii'!U10="VALID")),AL710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M56)+((('Istoric_Nativ'!$E$6:$E$405='Input_Meci'!E56)+('Istoric_Nativ'!$F$6:$F$405='Input_Meci'!E56))&gt;0)*('Istoric_Nativ'!$D$6:$D$405&gt;='Motor_Meciuri'!BN56))&gt;0)*('Istoric_Nativ'!$Q$6:$Q$405&lt;=H710))/AL710)</x:f>
      </x:c>
      <x:c r="R710" s="10" t="str">
        <x:f>IF(OR(NOT(AND(J710="PASS",'Calibrare_Linii'!U10="VALID")),AM710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O56)+((('Istoric_Nativ'!$E$6:$E$405='Input_Meci'!E56)+('Istoric_Nativ'!$F$6:$F$405='Input_Meci'!E56))&gt;0)*('Istoric_Nativ'!$D$6:$D$405&gt;='Motor_Meciuri'!BP56))&gt;0)*('Istoric_Nativ'!$Q$6:$Q$405&lt;=H710))/AM710)</x:f>
      </x:c>
      <x:c r="S710" s="10" t="str">
        <x:f>IF(M710="","",MAX(O710,P710,Q710,R710))</x:f>
      </x:c>
      <x:c r="T710" s="11" t="str">
        <x:f>IF(M710="","",MIN(100,S710*100*'Config_v6'!$B$44+MIN(100,L710/'Config_v6'!$B$13*100)*'Config_v6'!$B$45+(100-'Motor_Meciuri'!BF56)*'Config_v6'!$B$46+'Motor_Meciuri'!BH56*100*'Config_v6'!$B$47))</x:f>
      </x:c>
      <x:c r="U710" s="2" t="str">
        <x:f>IF(T710="","",IF(T710&lt;=20,1,IF(T710&lt;=40,2,IF(T710&lt;=60,3,IF(T710&lt;=80,4,5)))))</x:f>
      </x:c>
      <x:c r="V710" s="2" t="str">
        <x:f>IF(M710="","",MAX(0,'Motor_Meciuri'!BF56-IF(W710="OOS PENDING",'Config_v6'!$B$35,0)-IF(L710&gt;'Config_v6'!$B$12,'Config_v6'!$B$37,IF(L710&gt;'Config_v6'!$B$11,'Config_v6'!$B$36,0))))</x:f>
      </x:c>
      <x:c r="W710" s="2" t="str">
        <x:f>IF(B710="","",IF(I710&lt;&gt;"READY","NOT RELEASED",IF(NOT(AND(J710="PASS",'Calibrare_Linii'!U10="VALID")),"INVALID",IF(NOT(AND('Calibrare_Linii'!S10="VALIDATED",AND('Calibrare_Linii'!H10=C710,ISNUMBER('Calibrare_Linii'!J10),'Calibrare_Linii'!J10&lt;='Input_Meci'!G56))),"OOS PENDING",IF(S710&lt;='Calibrare_Linii'!E10,"PASS",IF(S710&lt;='Calibrare_Linii'!F10,"PENALTY","WATCH"))))))</x:f>
      </x:c>
      <x:c r="X710" s="2" t="str">
        <x:f>IF(M710="","",IF(AND(AND(J710="PASS",'Calibrare_Linii'!U10="VALID"),'Motor_Meciuri'!K56=12,'Motor_Meciuri'!L56=12,'Motor_Meciuri'!M56="NO",'Motor_Meciuri'!BL56='Motor_Meciuri'!C56,AB710&gt;='Config_v6'!$B$50,AN710&gt;='Config_v6'!$B$51,T710&lt;='Config_v6'!$B$52,L710&lt;='Config_v6'!$B$53,ISNUMBER('Calibrare_Linii'!E10),S710&lt;='Calibrare_Linii'!E10,SUM(AK710:AM710)&gt;0),"CANDIDATE","NO"))</x:f>
      </x:c>
      <x:c r="Y710" s="2" t="str">
        <x:f>IF(B710="","",IF(I710&lt;&gt;"READY","NOT RELEASED",IF(AND(X710="CANDIDATE",V710&gt;='Config_v6'!$B$51,W710="PASS",'Calibrare_Linii'!T10="VALIDATED",AND('Calibrare_Linii'!H10=C710,ISNUMBER('Calibrare_Linii'!J10),'Calibrare_Linii'!J10&lt;='Input_Meci'!G56)),"PASS",IF(X710="CANDIDATE","OOS PENDING","FAIL"))))</x:f>
      </x:c>
      <x:c r="Z710" s="2" t="str">
        <x:f>IF(B710="","",IF(I710&lt;&gt;"READY","",IF(OR(NOT(AND(J710="PASS",'Calibrare_Linii'!U10="VALID")),L710&gt;'Config_v6'!$B$13,W710="WATCH"),5,IF(Y710="PASS",1,MIN(5,MAX('Config_v6'!$B$42,U710)+IF(W710="PENALTY",1,0))))))</x:f>
      </x:c>
      <x:c r="AA710" s="2" t="str">
        <x:f>IF(B710="","",IF(I710&lt;&gt;"READY","NOT RELEASED",IF(Z710=5,"NO BET",IF(OR(AB710&lt;'Config_v6'!$B$16,V710&lt;'Config_v6'!$B$18),"WATCH",IF(Z710=1,"DEFENSIV",IF(Z710=2,"PRUDENT",IF(Z710=3,"MODERAT","RIDICAT")))))))</x:f>
      </x:c>
      <x:c r="AB710" s="10" t="str">
        <x:f>IF(N710="","",MIN(N710,1-S710))</x:f>
      </x:c>
      <x:c r="AC710" s="2" t="str">
        <x:f>IF(AD710&lt;&gt;1,"",COUNTIFS($Z$706:$Z$719,"&lt;"&amp;Z710,$AD$706:$AD$719,1)+COUNTIFS($Z$706:$Z$719,Z710,$AB$706:$AB$719,"&gt;"&amp;AB710,$AD$706:$AD$719,1)+COUNTIFS($Z$706:$Z$719,Z710,$AB$706:$AB$719,AB710,$V$706:$V$719,"&gt;"&amp;V710,$AD$706:$AD$719,1)+COUNTIFS($Z$706:Z710,Z710,$AB$706:AB710,AB710,$V$706:V710,V710,$AD$706:AD710,1))</x:f>
      </x:c>
      <x:c r="AD710" s="2" t="n">
        <x:f>IF(OR(AA710="DEFENSIV",AA710="PRUDENT",AA710="MODERAT",AA710="RIDICAT"),1,0)</x:f>
        <x:v>0</x:v>
      </x:c>
      <x:c r="AE710" s="2" t="str">
        <x:f>IF(AD710&lt;&gt;1,"NO",IF(W710="PASS","YES",IF(W710="OOS PENDING","CONDITIONAL","NO")))</x:f>
        <x:v>NO</x:v>
      </x:c>
      <x:c r="AF710" s="2" t="n">
        <x:f>IF(AND(AD710=1,AC710=1,E710="LIVE"),1,0)</x:f>
        <x:v>0</x:v>
      </x:c>
      <x:c r="AG710" s="2" t="str">
        <x:f>IF(AF710&lt;&gt;1,"",'Dashboard'!P76)</x:f>
      </x:c>
      <x:c r="AH710" s="2" t="str">
        <x:f>IF(B710="","",IF(J710&lt;&gt;"PASS",'Motor_Meciuri'!J56,IF('Calibrare_Linii'!U10&lt;&gt;"VALID","Parametri linie invalizi",IF(L710&gt;'Config_v6'!$B$13,"Dispersie peste limita",IF(W710="WATCH","Failure peste limita",IF(AB710&lt;'Config_v6'!$B$16,"P finala sub prag",IF(V710&lt;'Config_v6'!$B$18,"Confidence sub prag",IF(E710="REPLAY","Exemplu retrospectiv; exclus din Top LIVE",IF(Y710="PASS","DEFENSIV validat",IF(W710="OOS PENDING","Eligibil; calibrare linie in monitorizare","Eligibil"))))))))))</x:f>
      </x:c>
      <x:c r="AI710" s="2" t="str">
        <x:f>IF(B710="","",'Calibrare_Linii'!V10)</x:f>
      </x:c>
      <x:c r="AJ710" s="2" t="str">
        <x:f>IF(B710="","",IF(AND('Calibrare_Linii'!T10="VALIDATED",AND('Calibrare_Linii'!H10=C710,ISNUMBER('Calibrare_Linii'!J10),'Calibrare_Linii'!J10&lt;='Input_Meci'!G56)),"DEFENSIVE VALIDATED",IF(AND('Calibrare_Linii'!S10="VALIDATED",AND('Calibrare_Linii'!H10=C710,ISNUMBER('Calibrare_Linii'!J10),'Calibrare_Linii'!J10&lt;='Input_Meci'!G56)),"TAIL VALIDATED","OOS PENDING")))</x:f>
      </x:c>
      <x:c r="AK710" s="2" t="n">
        <x:f>IF(J710&lt;&gt;"PASS",0,'Motor_Meciuri'!BR56)</x:f>
        <x:v>0</x:v>
      </x:c>
      <x:c r="AL710" s="2" t="n">
        <x:f>IF(J710&lt;&gt;"PASS",0,'Motor_Meciuri'!BS56)</x:f>
        <x:v>0</x:v>
      </x:c>
      <x:c r="AM710" s="2" t="n">
        <x:f>IF(J710&lt;&gt;"PASS",0,'Motor_Meciuri'!BT56)</x:f>
        <x:v>0</x:v>
      </x:c>
      <x:c r="AN710" s="2" t="str">
        <x:f>IF(M710="","",MAX(0,'Motor_Meciuri'!BF56-IF(L710&gt;'Config_v6'!$B$12,'Config_v6'!$B$37,IF(L710&gt;'Config_v6'!$B$11,'Config_v6'!$B$36,0))))</x:f>
      </x:c>
    </x:row>
    <x:row r="711" ht="21" customHeight="1">
      <x:c r="A711" s="2" t="n">
        <x:v>51</x:v>
      </x:c>
      <x:c r="B711" s="2" t="str">
        <x:f>IF('Motor_Meciuri'!A56="","",'Motor_Meciuri'!A56)</x:f>
      </x:c>
      <x:c r="C711" s="2" t="str">
        <x:f>IF(B711="","",'Motor_Meciuri'!B56)</x:f>
      </x:c>
      <x:c r="D711" s="2" t="str">
        <x:f>IF(B711="","",'Motor_Meciuri'!D56)</x:f>
      </x:c>
      <x:c r="E711" s="2" t="str">
        <x:f>IF(B711="","",'Motor_Meciuri'!E56)</x:f>
      </x:c>
      <x:c r="F711" s="2" t="str">
        <x:v>O8,5</x:v>
      </x:c>
      <x:c r="G711" s="2" t="str">
        <x:v>OVER</x:v>
      </x:c>
      <x:c r="H711" s="2" t="n">
        <x:v>8</x:v>
      </x:c>
      <x:c r="I711" s="2" t="str">
        <x:f>IF(B711="","",'Motor_Meciuri'!H56)</x:f>
      </x:c>
      <x:c r="J711" s="2" t="str">
        <x:f>IF(B711="","",'Motor_Meciuri'!I56)</x:f>
      </x:c>
      <x:c r="K711" s="11" t="str">
        <x:f>IF(J711&lt;&gt;"PASS","",'Motor_Meciuri'!BD56)</x:f>
      </x:c>
      <x:c r="L711" s="11" t="str">
        <x:f>IF(J711&lt;&gt;"PASS","",'Motor_Meciuri'!AU56)</x:f>
      </x:c>
      <x:c r="M711" s="10" t="str">
        <x:f>IF(NOT(AND(J711="PASS",'Calibrare_Linii'!U11="VALID")),"",1-'Distributie'!AF56)</x:f>
      </x:c>
      <x:c r="N711" s="10" t="str">
        <x:f>IF(M711="","",MAX(0.01,MIN(0.99,0.5+(M711-0.5)*'Motor_Meciuri'!BG56*'Calibrare_Linii'!D11)))</x:f>
      </x:c>
      <x:c r="O711" s="10" t="str">
        <x:f>IF(M711="","",1-M711)</x:f>
      </x:c>
      <x:c r="P711" s="10" t="str">
        <x:f>IF(OR(NOT(AND(J711="PASS",'Calibrare_Linii'!U11="VALID")),AK711=0),""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*('Istoric_Nativ'!$Q$6:$Q$405&lt;=H711))/AK711)</x:f>
      </x:c>
      <x:c r="Q711" s="10" t="str">
        <x:f>IF(OR(NOT(AND(J711="PASS",'Calibrare_Linii'!U11="VALID")),AL711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M56)+((('Istoric_Nativ'!$E$6:$E$405='Input_Meci'!E56)+('Istoric_Nativ'!$F$6:$F$405='Input_Meci'!E56))&gt;0)*('Istoric_Nativ'!$D$6:$D$405&gt;='Motor_Meciuri'!BN56))&gt;0)*('Istoric_Nativ'!$Q$6:$Q$405&lt;=H711))/AL711)</x:f>
      </x:c>
      <x:c r="R711" s="10" t="str">
        <x:f>IF(OR(NOT(AND(J711="PASS",'Calibrare_Linii'!U11="VALID")),AM711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O56)+((('Istoric_Nativ'!$E$6:$E$405='Input_Meci'!E56)+('Istoric_Nativ'!$F$6:$F$405='Input_Meci'!E56))&gt;0)*('Istoric_Nativ'!$D$6:$D$405&gt;='Motor_Meciuri'!BP56))&gt;0)*('Istoric_Nativ'!$Q$6:$Q$405&lt;=H711))/AM711)</x:f>
      </x:c>
      <x:c r="S711" s="10" t="str">
        <x:f>IF(M711="","",MAX(O711,P711,Q711,R711))</x:f>
      </x:c>
      <x:c r="T711" s="11" t="str">
        <x:f>IF(M711="","",MIN(100,S711*100*'Config_v6'!$B$44+MIN(100,L711/'Config_v6'!$B$13*100)*'Config_v6'!$B$45+(100-'Motor_Meciuri'!BF56)*'Config_v6'!$B$46+'Motor_Meciuri'!BH56*100*'Config_v6'!$B$47))</x:f>
      </x:c>
      <x:c r="U711" s="2" t="str">
        <x:f>IF(T711="","",IF(T711&lt;=20,1,IF(T711&lt;=40,2,IF(T711&lt;=60,3,IF(T711&lt;=80,4,5)))))</x:f>
      </x:c>
      <x:c r="V711" s="2" t="str">
        <x:f>IF(M711="","",MAX(0,'Motor_Meciuri'!BF56-IF(W711="OOS PENDING",'Config_v6'!$B$35,0)-IF(L711&gt;'Config_v6'!$B$12,'Config_v6'!$B$37,IF(L711&gt;'Config_v6'!$B$11,'Config_v6'!$B$36,0))))</x:f>
      </x:c>
      <x:c r="W711" s="2" t="str">
        <x:f>IF(B711="","",IF(I711&lt;&gt;"READY","NOT RELEASED",IF(NOT(AND(J711="PASS",'Calibrare_Linii'!U11="VALID")),"INVALID",IF(NOT(AND('Calibrare_Linii'!S11="VALIDATED",AND('Calibrare_Linii'!H11=C711,ISNUMBER('Calibrare_Linii'!J11),'Calibrare_Linii'!J11&lt;='Input_Meci'!G56))),"OOS PENDING",IF(S711&lt;='Calibrare_Linii'!E11,"PASS",IF(S711&lt;='Calibrare_Linii'!F11,"PENALTY","WATCH"))))))</x:f>
      </x:c>
      <x:c r="X711" s="2" t="str">
        <x:f>IF(M711="","",IF(AND(AND(J711="PASS",'Calibrare_Linii'!U11="VALID"),'Motor_Meciuri'!K56=12,'Motor_Meciuri'!L56=12,'Motor_Meciuri'!M56="NO",'Motor_Meciuri'!BL56='Motor_Meciuri'!C56,AB711&gt;='Config_v6'!$B$50,AN711&gt;='Config_v6'!$B$51,T711&lt;='Config_v6'!$B$52,L711&lt;='Config_v6'!$B$53,ISNUMBER('Calibrare_Linii'!E11),S711&lt;='Calibrare_Linii'!E11,SUM(AK711:AM711)&gt;0),"CANDIDATE","NO"))</x:f>
      </x:c>
      <x:c r="Y711" s="2" t="str">
        <x:f>IF(B711="","",IF(I711&lt;&gt;"READY","NOT RELEASED",IF(AND(X711="CANDIDATE",V711&gt;='Config_v6'!$B$51,W711="PASS",'Calibrare_Linii'!T11="VALIDATED",AND('Calibrare_Linii'!H11=C711,ISNUMBER('Calibrare_Linii'!J11),'Calibrare_Linii'!J11&lt;='Input_Meci'!G56)),"PASS",IF(X711="CANDIDATE","OOS PENDING","FAIL"))))</x:f>
      </x:c>
      <x:c r="Z711" s="2" t="str">
        <x:f>IF(B711="","",IF(I711&lt;&gt;"READY","",IF(OR(NOT(AND(J711="PASS",'Calibrare_Linii'!U11="VALID")),L711&gt;'Config_v6'!$B$13,W711="WATCH"),5,IF(Y711="PASS",1,MIN(5,MAX('Config_v6'!$B$42,U711)+IF(W711="PENALTY",1,0))))))</x:f>
      </x:c>
      <x:c r="AA711" s="2" t="str">
        <x:f>IF(B711="","",IF(I711&lt;&gt;"READY","NOT RELEASED",IF(Z711=5,"NO BET",IF(OR(AB711&lt;'Config_v6'!$B$16,V711&lt;'Config_v6'!$B$18),"WATCH",IF(Z711=1,"DEFENSIV",IF(Z711=2,"PRUDENT",IF(Z711=3,"MODERAT","RIDICAT")))))))</x:f>
      </x:c>
      <x:c r="AB711" s="10" t="str">
        <x:f>IF(N711="","",MIN(N711,1-S711))</x:f>
      </x:c>
      <x:c r="AC711" s="2" t="str">
        <x:f>IF(AD711&lt;&gt;1,"",COUNTIFS($Z$706:$Z$719,"&lt;"&amp;Z711,$AD$706:$AD$719,1)+COUNTIFS($Z$706:$Z$719,Z711,$AB$706:$AB$719,"&gt;"&amp;AB711,$AD$706:$AD$719,1)+COUNTIFS($Z$706:$Z$719,Z711,$AB$706:$AB$719,AB711,$V$706:$V$719,"&gt;"&amp;V711,$AD$706:$AD$719,1)+COUNTIFS($Z$706:Z711,Z711,$AB$706:AB711,AB711,$V$706:V711,V711,$AD$706:AD711,1))</x:f>
      </x:c>
      <x:c r="AD711" s="2" t="n">
        <x:f>IF(OR(AA711="DEFENSIV",AA711="PRUDENT",AA711="MODERAT",AA711="RIDICAT"),1,0)</x:f>
        <x:v>0</x:v>
      </x:c>
      <x:c r="AE711" s="2" t="str">
        <x:f>IF(AD711&lt;&gt;1,"NO",IF(W711="PASS","YES",IF(W711="OOS PENDING","CONDITIONAL","NO")))</x:f>
        <x:v>NO</x:v>
      </x:c>
      <x:c r="AF711" s="2" t="n">
        <x:f>IF(AND(AD711=1,AC711=1,E711="LIVE"),1,0)</x:f>
        <x:v>0</x:v>
      </x:c>
      <x:c r="AG711" s="2" t="str">
        <x:f>IF(AF711&lt;&gt;1,"",'Dashboard'!P76)</x:f>
      </x:c>
      <x:c r="AH711" s="2" t="str">
        <x:f>IF(B711="","",IF(J711&lt;&gt;"PASS",'Motor_Meciuri'!J56,IF('Calibrare_Linii'!U11&lt;&gt;"VALID","Parametri linie invalizi",IF(L711&gt;'Config_v6'!$B$13,"Dispersie peste limita",IF(W711="WATCH","Failure peste limita",IF(AB711&lt;'Config_v6'!$B$16,"P finala sub prag",IF(V711&lt;'Config_v6'!$B$18,"Confidence sub prag",IF(E711="REPLAY","Exemplu retrospectiv; exclus din Top LIVE",IF(Y711="PASS","DEFENSIV validat",IF(W711="OOS PENDING","Eligibil; calibrare linie in monitorizare","Eligibil"))))))))))</x:f>
      </x:c>
      <x:c r="AI711" s="2" t="str">
        <x:f>IF(B711="","",'Calibrare_Linii'!V11)</x:f>
      </x:c>
      <x:c r="AJ711" s="2" t="str">
        <x:f>IF(B711="","",IF(AND('Calibrare_Linii'!T11="VALIDATED",AND('Calibrare_Linii'!H11=C711,ISNUMBER('Calibrare_Linii'!J11),'Calibrare_Linii'!J11&lt;='Input_Meci'!G56)),"DEFENSIVE VALIDATED",IF(AND('Calibrare_Linii'!S11="VALIDATED",AND('Calibrare_Linii'!H11=C711,ISNUMBER('Calibrare_Linii'!J11),'Calibrare_Linii'!J11&lt;='Input_Meci'!G56)),"TAIL VALIDATED","OOS PENDING")))</x:f>
      </x:c>
      <x:c r="AK711" s="2" t="n">
        <x:f>IF(J711&lt;&gt;"PASS",0,'Motor_Meciuri'!BR56)</x:f>
        <x:v>0</x:v>
      </x:c>
      <x:c r="AL711" s="2" t="n">
        <x:f>IF(J711&lt;&gt;"PASS",0,'Motor_Meciuri'!BS56)</x:f>
        <x:v>0</x:v>
      </x:c>
      <x:c r="AM711" s="2" t="n">
        <x:f>IF(J711&lt;&gt;"PASS",0,'Motor_Meciuri'!BT56)</x:f>
        <x:v>0</x:v>
      </x:c>
      <x:c r="AN711" s="2" t="str">
        <x:f>IF(M711="","",MAX(0,'Motor_Meciuri'!BF56-IF(L711&gt;'Config_v6'!$B$12,'Config_v6'!$B$37,IF(L711&gt;'Config_v6'!$B$11,'Config_v6'!$B$36,0))))</x:f>
      </x:c>
    </x:row>
    <x:row r="712" ht="21" customHeight="1">
      <x:c r="A712" s="2" t="n">
        <x:v>51</x:v>
      </x:c>
      <x:c r="B712" s="2" t="str">
        <x:f>IF('Motor_Meciuri'!A56="","",'Motor_Meciuri'!A56)</x:f>
      </x:c>
      <x:c r="C712" s="2" t="str">
        <x:f>IF(B712="","",'Motor_Meciuri'!B56)</x:f>
      </x:c>
      <x:c r="D712" s="2" t="str">
        <x:f>IF(B712="","",'Motor_Meciuri'!D56)</x:f>
      </x:c>
      <x:c r="E712" s="2" t="str">
        <x:f>IF(B712="","",'Motor_Meciuri'!E56)</x:f>
      </x:c>
      <x:c r="F712" s="2" t="str">
        <x:v>U10,5</x:v>
      </x:c>
      <x:c r="G712" s="2" t="str">
        <x:v>UNDER</x:v>
      </x:c>
      <x:c r="H712" s="2" t="n">
        <x:v>10</x:v>
      </x:c>
      <x:c r="I712" s="2" t="str">
        <x:f>IF(B712="","",'Motor_Meciuri'!H56)</x:f>
      </x:c>
      <x:c r="J712" s="2" t="str">
        <x:f>IF(B712="","",'Motor_Meciuri'!I56)</x:f>
      </x:c>
      <x:c r="K712" s="11" t="str">
        <x:f>IF(J712&lt;&gt;"PASS","",'Motor_Meciuri'!BD56)</x:f>
      </x:c>
      <x:c r="L712" s="11" t="str">
        <x:f>IF(J712&lt;&gt;"PASS","",'Motor_Meciuri'!AU56)</x:f>
      </x:c>
      <x:c r="M712" s="10" t="str">
        <x:f>IF(NOT(AND(J712="PASS",'Calibrare_Linii'!U12="VALID")),"",'Distributie'!AH56)</x:f>
      </x:c>
      <x:c r="N712" s="10" t="str">
        <x:f>IF(M712="","",MAX(0.01,MIN(0.99,0.5+(M712-0.5)*'Motor_Meciuri'!BG56*'Calibrare_Linii'!D12)))</x:f>
      </x:c>
      <x:c r="O712" s="10" t="str">
        <x:f>IF(M712="","",1-M712)</x:f>
      </x:c>
      <x:c r="P712" s="10" t="str">
        <x:f>IF(OR(NOT(AND(J712="PASS",'Calibrare_Linii'!U12="VALID")),AK712=0),""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*('Istoric_Nativ'!$Q$6:$Q$405&gt;H712))/AK712)</x:f>
      </x:c>
      <x:c r="Q712" s="10" t="str">
        <x:f>IF(OR(NOT(AND(J712="PASS",'Calibrare_Linii'!U12="VALID")),AL712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M56)+((('Istoric_Nativ'!$E$6:$E$405='Input_Meci'!E56)+('Istoric_Nativ'!$F$6:$F$405='Input_Meci'!E56))&gt;0)*('Istoric_Nativ'!$D$6:$D$405&gt;='Motor_Meciuri'!BN56))&gt;0)*('Istoric_Nativ'!$Q$6:$Q$405&gt;H712))/AL712)</x:f>
      </x:c>
      <x:c r="R712" s="10" t="str">
        <x:f>IF(OR(NOT(AND(J712="PASS",'Calibrare_Linii'!U12="VALID")),AM712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O56)+((('Istoric_Nativ'!$E$6:$E$405='Input_Meci'!E56)+('Istoric_Nativ'!$F$6:$F$405='Input_Meci'!E56))&gt;0)*('Istoric_Nativ'!$D$6:$D$405&gt;='Motor_Meciuri'!BP56))&gt;0)*('Istoric_Nativ'!$Q$6:$Q$405&gt;H712))/AM712)</x:f>
      </x:c>
      <x:c r="S712" s="10" t="str">
        <x:f>IF(M712="","",MAX(O712,P712,Q712,R712))</x:f>
      </x:c>
      <x:c r="T712" s="11" t="str">
        <x:f>IF(M712="","",MIN(100,S712*100*'Config_v6'!$B$44+MIN(100,L712/'Config_v6'!$B$13*100)*'Config_v6'!$B$45+(100-'Motor_Meciuri'!BF56)*'Config_v6'!$B$46+'Motor_Meciuri'!BH56*100*'Config_v6'!$B$47))</x:f>
      </x:c>
      <x:c r="U712" s="2" t="str">
        <x:f>IF(T712="","",IF(T712&lt;=20,1,IF(T712&lt;=40,2,IF(T712&lt;=60,3,IF(T712&lt;=80,4,5)))))</x:f>
      </x:c>
      <x:c r="V712" s="2" t="str">
        <x:f>IF(M712="","",MAX(0,'Motor_Meciuri'!BF56-IF(W712="OOS PENDING",'Config_v6'!$B$35,0)-IF(L712&gt;'Config_v6'!$B$12,'Config_v6'!$B$37,IF(L712&gt;'Config_v6'!$B$11,'Config_v6'!$B$36,0))))</x:f>
      </x:c>
      <x:c r="W712" s="2" t="str">
        <x:f>IF(B712="","",IF(I712&lt;&gt;"READY","NOT RELEASED",IF(NOT(AND(J712="PASS",'Calibrare_Linii'!U12="VALID")),"INVALID",IF(NOT(AND('Calibrare_Linii'!S12="VALIDATED",AND('Calibrare_Linii'!H12=C712,ISNUMBER('Calibrare_Linii'!J12),'Calibrare_Linii'!J12&lt;='Input_Meci'!G56))),"OOS PENDING",IF(S712&lt;='Calibrare_Linii'!E12,"PASS",IF(S712&lt;='Calibrare_Linii'!F12,"PENALTY","WATCH"))))))</x:f>
      </x:c>
      <x:c r="X712" s="2" t="str">
        <x:f>IF(M712="","",IF(AND(AND(J712="PASS",'Calibrare_Linii'!U12="VALID"),'Motor_Meciuri'!K56=12,'Motor_Meciuri'!L56=12,'Motor_Meciuri'!M56="NO",'Motor_Meciuri'!BL56='Motor_Meciuri'!C56,AB712&gt;='Config_v6'!$B$50,AN712&gt;='Config_v6'!$B$51,T712&lt;='Config_v6'!$B$52,L712&lt;='Config_v6'!$B$53,ISNUMBER('Calibrare_Linii'!E12),S712&lt;='Calibrare_Linii'!E12,SUM(AK712:AM712)&gt;0),"CANDIDATE","NO"))</x:f>
      </x:c>
      <x:c r="Y712" s="2" t="str">
        <x:f>IF(B712="","",IF(I712&lt;&gt;"READY","NOT RELEASED",IF(AND(X712="CANDIDATE",V712&gt;='Config_v6'!$B$51,W712="PASS",'Calibrare_Linii'!T12="VALIDATED",AND('Calibrare_Linii'!H12=C712,ISNUMBER('Calibrare_Linii'!J12),'Calibrare_Linii'!J12&lt;='Input_Meci'!G56)),"PASS",IF(X712="CANDIDATE","OOS PENDING","FAIL"))))</x:f>
      </x:c>
      <x:c r="Z712" s="2" t="str">
        <x:f>IF(B712="","",IF(I712&lt;&gt;"READY","",IF(OR(NOT(AND(J712="PASS",'Calibrare_Linii'!U12="VALID")),L712&gt;'Config_v6'!$B$13,W712="WATCH"),5,IF(Y712="PASS",1,MIN(5,MAX('Config_v6'!$B$42,U712)+IF(W712="PENALTY",1,0))))))</x:f>
      </x:c>
      <x:c r="AA712" s="2" t="str">
        <x:f>IF(B712="","",IF(I712&lt;&gt;"READY","NOT RELEASED",IF(Z712=5,"NO BET",IF(OR(AB712&lt;'Config_v6'!$B$16,V712&lt;'Config_v6'!$B$18),"WATCH",IF(Z712=1,"DEFENSIV",IF(Z712=2,"PRUDENT",IF(Z712=3,"MODERAT","RIDICAT")))))))</x:f>
      </x:c>
      <x:c r="AB712" s="10" t="str">
        <x:f>IF(N712="","",MIN(N712,1-S712))</x:f>
      </x:c>
      <x:c r="AC712" s="2" t="str">
        <x:f>IF(AD712&lt;&gt;1,"",COUNTIFS($Z$706:$Z$719,"&lt;"&amp;Z712,$AD$706:$AD$719,1)+COUNTIFS($Z$706:$Z$719,Z712,$AB$706:$AB$719,"&gt;"&amp;AB712,$AD$706:$AD$719,1)+COUNTIFS($Z$706:$Z$719,Z712,$AB$706:$AB$719,AB712,$V$706:$V$719,"&gt;"&amp;V712,$AD$706:$AD$719,1)+COUNTIFS($Z$706:Z712,Z712,$AB$706:AB712,AB712,$V$706:V712,V712,$AD$706:AD712,1))</x:f>
      </x:c>
      <x:c r="AD712" s="2" t="n">
        <x:f>IF(OR(AA712="DEFENSIV",AA712="PRUDENT",AA712="MODERAT",AA712="RIDICAT"),1,0)</x:f>
        <x:v>0</x:v>
      </x:c>
      <x:c r="AE712" s="2" t="str">
        <x:f>IF(AD712&lt;&gt;1,"NO",IF(W712="PASS","YES",IF(W712="OOS PENDING","CONDITIONAL","NO")))</x:f>
        <x:v>NO</x:v>
      </x:c>
      <x:c r="AF712" s="2" t="n">
        <x:f>IF(AND(AD712=1,AC712=1,E712="LIVE"),1,0)</x:f>
        <x:v>0</x:v>
      </x:c>
      <x:c r="AG712" s="2" t="str">
        <x:f>IF(AF712&lt;&gt;1,"",'Dashboard'!P76)</x:f>
      </x:c>
      <x:c r="AH712" s="2" t="str">
        <x:f>IF(B712="","",IF(J712&lt;&gt;"PASS",'Motor_Meciuri'!J56,IF('Calibrare_Linii'!U12&lt;&gt;"VALID","Parametri linie invalizi",IF(L712&gt;'Config_v6'!$B$13,"Dispersie peste limita",IF(W712="WATCH","Failure peste limita",IF(AB712&lt;'Config_v6'!$B$16,"P finala sub prag",IF(V712&lt;'Config_v6'!$B$18,"Confidence sub prag",IF(E712="REPLAY","Exemplu retrospectiv; exclus din Top LIVE",IF(Y712="PASS","DEFENSIV validat",IF(W712="OOS PENDING","Eligibil; calibrare linie in monitorizare","Eligibil"))))))))))</x:f>
      </x:c>
      <x:c r="AI712" s="2" t="str">
        <x:f>IF(B712="","",'Calibrare_Linii'!V12)</x:f>
      </x:c>
      <x:c r="AJ712" s="2" t="str">
        <x:f>IF(B712="","",IF(AND('Calibrare_Linii'!T12="VALIDATED",AND('Calibrare_Linii'!H12=C712,ISNUMBER('Calibrare_Linii'!J12),'Calibrare_Linii'!J12&lt;='Input_Meci'!G56)),"DEFENSIVE VALIDATED",IF(AND('Calibrare_Linii'!S12="VALIDATED",AND('Calibrare_Linii'!H12=C712,ISNUMBER('Calibrare_Linii'!J12),'Calibrare_Linii'!J12&lt;='Input_Meci'!G56)),"TAIL VALIDATED","OOS PENDING")))</x:f>
      </x:c>
      <x:c r="AK712" s="2" t="n">
        <x:f>IF(J712&lt;&gt;"PASS",0,'Motor_Meciuri'!BR56)</x:f>
        <x:v>0</x:v>
      </x:c>
      <x:c r="AL712" s="2" t="n">
        <x:f>IF(J712&lt;&gt;"PASS",0,'Motor_Meciuri'!BS56)</x:f>
        <x:v>0</x:v>
      </x:c>
      <x:c r="AM712" s="2" t="n">
        <x:f>IF(J712&lt;&gt;"PASS",0,'Motor_Meciuri'!BT56)</x:f>
        <x:v>0</x:v>
      </x:c>
      <x:c r="AN712" s="2" t="str">
        <x:f>IF(M712="","",MAX(0,'Motor_Meciuri'!BF56-IF(L712&gt;'Config_v6'!$B$12,'Config_v6'!$B$37,IF(L712&gt;'Config_v6'!$B$11,'Config_v6'!$B$36,0))))</x:f>
      </x:c>
    </x:row>
    <x:row r="713" ht="21" customHeight="1">
      <x:c r="A713" s="2" t="n">
        <x:v>51</x:v>
      </x:c>
      <x:c r="B713" s="2" t="str">
        <x:f>IF('Motor_Meciuri'!A56="","",'Motor_Meciuri'!A56)</x:f>
      </x:c>
      <x:c r="C713" s="2" t="str">
        <x:f>IF(B713="","",'Motor_Meciuri'!B56)</x:f>
      </x:c>
      <x:c r="D713" s="2" t="str">
        <x:f>IF(B713="","",'Motor_Meciuri'!D56)</x:f>
      </x:c>
      <x:c r="E713" s="2" t="str">
        <x:f>IF(B713="","",'Motor_Meciuri'!E56)</x:f>
      </x:c>
      <x:c r="F713" s="2" t="str">
        <x:v>U11,5</x:v>
      </x:c>
      <x:c r="G713" s="2" t="str">
        <x:v>UNDER</x:v>
      </x:c>
      <x:c r="H713" s="2" t="n">
        <x:v>11</x:v>
      </x:c>
      <x:c r="I713" s="2" t="str">
        <x:f>IF(B713="","",'Motor_Meciuri'!H56)</x:f>
      </x:c>
      <x:c r="J713" s="2" t="str">
        <x:f>IF(B713="","",'Motor_Meciuri'!I56)</x:f>
      </x:c>
      <x:c r="K713" s="11" t="str">
        <x:f>IF(J713&lt;&gt;"PASS","",'Motor_Meciuri'!BD56)</x:f>
      </x:c>
      <x:c r="L713" s="11" t="str">
        <x:f>IF(J713&lt;&gt;"PASS","",'Motor_Meciuri'!AU56)</x:f>
      </x:c>
      <x:c r="M713" s="10" t="str">
        <x:f>IF(NOT(AND(J713="PASS",'Calibrare_Linii'!U13="VALID")),"",'Distributie'!AI56)</x:f>
      </x:c>
      <x:c r="N713" s="10" t="str">
        <x:f>IF(M713="","",MAX(0.01,MIN(0.99,0.5+(M713-0.5)*'Motor_Meciuri'!BG56*'Calibrare_Linii'!D13)))</x:f>
      </x:c>
      <x:c r="O713" s="10" t="str">
        <x:f>IF(M713="","",1-M713)</x:f>
      </x:c>
      <x:c r="P713" s="10" t="str">
        <x:f>IF(OR(NOT(AND(J713="PASS",'Calibrare_Linii'!U13="VALID")),AK713=0),""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*('Istoric_Nativ'!$Q$6:$Q$405&gt;H713))/AK713)</x:f>
      </x:c>
      <x:c r="Q713" s="10" t="str">
        <x:f>IF(OR(NOT(AND(J713="PASS",'Calibrare_Linii'!U13="VALID")),AL713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M56)+((('Istoric_Nativ'!$E$6:$E$405='Input_Meci'!E56)+('Istoric_Nativ'!$F$6:$F$405='Input_Meci'!E56))&gt;0)*('Istoric_Nativ'!$D$6:$D$405&gt;='Motor_Meciuri'!BN56))&gt;0)*('Istoric_Nativ'!$Q$6:$Q$405&gt;H713))/AL713)</x:f>
      </x:c>
      <x:c r="R713" s="10" t="str">
        <x:f>IF(OR(NOT(AND(J713="PASS",'Calibrare_Linii'!U13="VALID")),AM713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O56)+((('Istoric_Nativ'!$E$6:$E$405='Input_Meci'!E56)+('Istoric_Nativ'!$F$6:$F$405='Input_Meci'!E56))&gt;0)*('Istoric_Nativ'!$D$6:$D$405&gt;='Motor_Meciuri'!BP56))&gt;0)*('Istoric_Nativ'!$Q$6:$Q$405&gt;H713))/AM713)</x:f>
      </x:c>
      <x:c r="S713" s="10" t="str">
        <x:f>IF(M713="","",MAX(O713,P713,Q713,R713))</x:f>
      </x:c>
      <x:c r="T713" s="11" t="str">
        <x:f>IF(M713="","",MIN(100,S713*100*'Config_v6'!$B$44+MIN(100,L713/'Config_v6'!$B$13*100)*'Config_v6'!$B$45+(100-'Motor_Meciuri'!BF56)*'Config_v6'!$B$46+'Motor_Meciuri'!BH56*100*'Config_v6'!$B$47))</x:f>
      </x:c>
      <x:c r="U713" s="2" t="str">
        <x:f>IF(T713="","",IF(T713&lt;=20,1,IF(T713&lt;=40,2,IF(T713&lt;=60,3,IF(T713&lt;=80,4,5)))))</x:f>
      </x:c>
      <x:c r="V713" s="2" t="str">
        <x:f>IF(M713="","",MAX(0,'Motor_Meciuri'!BF56-IF(W713="OOS PENDING",'Config_v6'!$B$35,0)-IF(L713&gt;'Config_v6'!$B$12,'Config_v6'!$B$37,IF(L713&gt;'Config_v6'!$B$11,'Config_v6'!$B$36,0))))</x:f>
      </x:c>
      <x:c r="W713" s="2" t="str">
        <x:f>IF(B713="","",IF(I713&lt;&gt;"READY","NOT RELEASED",IF(NOT(AND(J713="PASS",'Calibrare_Linii'!U13="VALID")),"INVALID",IF(NOT(AND('Calibrare_Linii'!S13="VALIDATED",AND('Calibrare_Linii'!H13=C713,ISNUMBER('Calibrare_Linii'!J13),'Calibrare_Linii'!J13&lt;='Input_Meci'!G56))),"OOS PENDING",IF(S713&lt;='Calibrare_Linii'!E13,"PASS",IF(S713&lt;='Calibrare_Linii'!F13,"PENALTY","WATCH"))))))</x:f>
      </x:c>
      <x:c r="X713" s="2" t="str">
        <x:f>IF(M713="","",IF(AND(AND(J713="PASS",'Calibrare_Linii'!U13="VALID"),'Motor_Meciuri'!K56=12,'Motor_Meciuri'!L56=12,'Motor_Meciuri'!M56="NO",'Motor_Meciuri'!BL56='Motor_Meciuri'!C56,AB713&gt;='Config_v6'!$B$50,AN713&gt;='Config_v6'!$B$51,T713&lt;='Config_v6'!$B$52,L713&lt;='Config_v6'!$B$53,ISNUMBER('Calibrare_Linii'!E13),S713&lt;='Calibrare_Linii'!E13,SUM(AK713:AM713)&gt;0),"CANDIDATE","NO"))</x:f>
      </x:c>
      <x:c r="Y713" s="2" t="str">
        <x:f>IF(B713="","",IF(I713&lt;&gt;"READY","NOT RELEASED",IF(AND(X713="CANDIDATE",V713&gt;='Config_v6'!$B$51,W713="PASS",'Calibrare_Linii'!T13="VALIDATED",AND('Calibrare_Linii'!H13=C713,ISNUMBER('Calibrare_Linii'!J13),'Calibrare_Linii'!J13&lt;='Input_Meci'!G56)),"PASS",IF(X713="CANDIDATE","OOS PENDING","FAIL"))))</x:f>
      </x:c>
      <x:c r="Z713" s="2" t="str">
        <x:f>IF(B713="","",IF(I713&lt;&gt;"READY","",IF(OR(NOT(AND(J713="PASS",'Calibrare_Linii'!U13="VALID")),L713&gt;'Config_v6'!$B$13,W713="WATCH"),5,IF(Y713="PASS",1,MIN(5,MAX('Config_v6'!$B$42,U713)+IF(W713="PENALTY",1,0))))))</x:f>
      </x:c>
      <x:c r="AA713" s="2" t="str">
        <x:f>IF(B713="","",IF(I713&lt;&gt;"READY","NOT RELEASED",IF(Z713=5,"NO BET",IF(OR(AB713&lt;'Config_v6'!$B$16,V713&lt;'Config_v6'!$B$18),"WATCH",IF(Z713=1,"DEFENSIV",IF(Z713=2,"PRUDENT",IF(Z713=3,"MODERAT","RIDICAT")))))))</x:f>
      </x:c>
      <x:c r="AB713" s="10" t="str">
        <x:f>IF(N713="","",MIN(N713,1-S713))</x:f>
      </x:c>
      <x:c r="AC713" s="2" t="str">
        <x:f>IF(AD713&lt;&gt;1,"",COUNTIFS($Z$706:$Z$719,"&lt;"&amp;Z713,$AD$706:$AD$719,1)+COUNTIFS($Z$706:$Z$719,Z713,$AB$706:$AB$719,"&gt;"&amp;AB713,$AD$706:$AD$719,1)+COUNTIFS($Z$706:$Z$719,Z713,$AB$706:$AB$719,AB713,$V$706:$V$719,"&gt;"&amp;V713,$AD$706:$AD$719,1)+COUNTIFS($Z$706:Z713,Z713,$AB$706:AB713,AB713,$V$706:V713,V713,$AD$706:AD713,1))</x:f>
      </x:c>
      <x:c r="AD713" s="2" t="n">
        <x:f>IF(OR(AA713="DEFENSIV",AA713="PRUDENT",AA713="MODERAT",AA713="RIDICAT"),1,0)</x:f>
        <x:v>0</x:v>
      </x:c>
      <x:c r="AE713" s="2" t="str">
        <x:f>IF(AD713&lt;&gt;1,"NO",IF(W713="PASS","YES",IF(W713="OOS PENDING","CONDITIONAL","NO")))</x:f>
        <x:v>NO</x:v>
      </x:c>
      <x:c r="AF713" s="2" t="n">
        <x:f>IF(AND(AD713=1,AC713=1,E713="LIVE"),1,0)</x:f>
        <x:v>0</x:v>
      </x:c>
      <x:c r="AG713" s="2" t="str">
        <x:f>IF(AF713&lt;&gt;1,"",'Dashboard'!P76)</x:f>
      </x:c>
      <x:c r="AH713" s="2" t="str">
        <x:f>IF(B713="","",IF(J713&lt;&gt;"PASS",'Motor_Meciuri'!J56,IF('Calibrare_Linii'!U13&lt;&gt;"VALID","Parametri linie invalizi",IF(L713&gt;'Config_v6'!$B$13,"Dispersie peste limita",IF(W713="WATCH","Failure peste limita",IF(AB713&lt;'Config_v6'!$B$16,"P finala sub prag",IF(V713&lt;'Config_v6'!$B$18,"Confidence sub prag",IF(E713="REPLAY","Exemplu retrospectiv; exclus din Top LIVE",IF(Y713="PASS","DEFENSIV validat",IF(W713="OOS PENDING","Eligibil; calibrare linie in monitorizare","Eligibil"))))))))))</x:f>
      </x:c>
      <x:c r="AI713" s="2" t="str">
        <x:f>IF(B713="","",'Calibrare_Linii'!V13)</x:f>
      </x:c>
      <x:c r="AJ713" s="2" t="str">
        <x:f>IF(B713="","",IF(AND('Calibrare_Linii'!T13="VALIDATED",AND('Calibrare_Linii'!H13=C713,ISNUMBER('Calibrare_Linii'!J13),'Calibrare_Linii'!J13&lt;='Input_Meci'!G56)),"DEFENSIVE VALIDATED",IF(AND('Calibrare_Linii'!S13="VALIDATED",AND('Calibrare_Linii'!H13=C713,ISNUMBER('Calibrare_Linii'!J13),'Calibrare_Linii'!J13&lt;='Input_Meci'!G56)),"TAIL VALIDATED","OOS PENDING")))</x:f>
      </x:c>
      <x:c r="AK713" s="2" t="n">
        <x:f>IF(J713&lt;&gt;"PASS",0,'Motor_Meciuri'!BR56)</x:f>
        <x:v>0</x:v>
      </x:c>
      <x:c r="AL713" s="2" t="n">
        <x:f>IF(J713&lt;&gt;"PASS",0,'Motor_Meciuri'!BS56)</x:f>
        <x:v>0</x:v>
      </x:c>
      <x:c r="AM713" s="2" t="n">
        <x:f>IF(J713&lt;&gt;"PASS",0,'Motor_Meciuri'!BT56)</x:f>
        <x:v>0</x:v>
      </x:c>
      <x:c r="AN713" s="2" t="str">
        <x:f>IF(M713="","",MAX(0,'Motor_Meciuri'!BF56-IF(L713&gt;'Config_v6'!$B$12,'Config_v6'!$B$37,IF(L713&gt;'Config_v6'!$B$11,'Config_v6'!$B$36,0))))</x:f>
      </x:c>
    </x:row>
    <x:row r="714" ht="21" customHeight="1">
      <x:c r="A714" s="2" t="n">
        <x:v>51</x:v>
      </x:c>
      <x:c r="B714" s="2" t="str">
        <x:f>IF('Motor_Meciuri'!A56="","",'Motor_Meciuri'!A56)</x:f>
      </x:c>
      <x:c r="C714" s="2" t="str">
        <x:f>IF(B714="","",'Motor_Meciuri'!B56)</x:f>
      </x:c>
      <x:c r="D714" s="2" t="str">
        <x:f>IF(B714="","",'Motor_Meciuri'!D56)</x:f>
      </x:c>
      <x:c r="E714" s="2" t="str">
        <x:f>IF(B714="","",'Motor_Meciuri'!E56)</x:f>
      </x:c>
      <x:c r="F714" s="2" t="str">
        <x:v>U12,5</x:v>
      </x:c>
      <x:c r="G714" s="2" t="str">
        <x:v>UNDER</x:v>
      </x:c>
      <x:c r="H714" s="2" t="n">
        <x:v>12</x:v>
      </x:c>
      <x:c r="I714" s="2" t="str">
        <x:f>IF(B714="","",'Motor_Meciuri'!H56)</x:f>
      </x:c>
      <x:c r="J714" s="2" t="str">
        <x:f>IF(B714="","",'Motor_Meciuri'!I56)</x:f>
      </x:c>
      <x:c r="K714" s="11" t="str">
        <x:f>IF(J714&lt;&gt;"PASS","",'Motor_Meciuri'!BD56)</x:f>
      </x:c>
      <x:c r="L714" s="11" t="str">
        <x:f>IF(J714&lt;&gt;"PASS","",'Motor_Meciuri'!AU56)</x:f>
      </x:c>
      <x:c r="M714" s="10" t="str">
        <x:f>IF(NOT(AND(J714="PASS",'Calibrare_Linii'!U14="VALID")),"",'Distributie'!AJ56)</x:f>
      </x:c>
      <x:c r="N714" s="10" t="str">
        <x:f>IF(M714="","",MAX(0.01,MIN(0.99,0.5+(M714-0.5)*'Motor_Meciuri'!BG56*'Calibrare_Linii'!D14)))</x:f>
      </x:c>
      <x:c r="O714" s="10" t="str">
        <x:f>IF(M714="","",1-M714)</x:f>
      </x:c>
      <x:c r="P714" s="10" t="str">
        <x:f>IF(OR(NOT(AND(J714="PASS",'Calibrare_Linii'!U14="VALID")),AK714=0),""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*('Istoric_Nativ'!$Q$6:$Q$405&gt;H714))/AK714)</x:f>
      </x:c>
      <x:c r="Q714" s="10" t="str">
        <x:f>IF(OR(NOT(AND(J714="PASS",'Calibrare_Linii'!U14="VALID")),AL714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M56)+((('Istoric_Nativ'!$E$6:$E$405='Input_Meci'!E56)+('Istoric_Nativ'!$F$6:$F$405='Input_Meci'!E56))&gt;0)*('Istoric_Nativ'!$D$6:$D$405&gt;='Motor_Meciuri'!BN56))&gt;0)*('Istoric_Nativ'!$Q$6:$Q$405&gt;H714))/AL714)</x:f>
      </x:c>
      <x:c r="R714" s="10" t="str">
        <x:f>IF(OR(NOT(AND(J714="PASS",'Calibrare_Linii'!U14="VALID")),AM714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O56)+((('Istoric_Nativ'!$E$6:$E$405='Input_Meci'!E56)+('Istoric_Nativ'!$F$6:$F$405='Input_Meci'!E56))&gt;0)*('Istoric_Nativ'!$D$6:$D$405&gt;='Motor_Meciuri'!BP56))&gt;0)*('Istoric_Nativ'!$Q$6:$Q$405&gt;H714))/AM714)</x:f>
      </x:c>
      <x:c r="S714" s="10" t="str">
        <x:f>IF(M714="","",MAX(O714,P714,Q714,R714))</x:f>
      </x:c>
      <x:c r="T714" s="11" t="str">
        <x:f>IF(M714="","",MIN(100,S714*100*'Config_v6'!$B$44+MIN(100,L714/'Config_v6'!$B$13*100)*'Config_v6'!$B$45+(100-'Motor_Meciuri'!BF56)*'Config_v6'!$B$46+'Motor_Meciuri'!BH56*100*'Config_v6'!$B$47))</x:f>
      </x:c>
      <x:c r="U714" s="2" t="str">
        <x:f>IF(T714="","",IF(T714&lt;=20,1,IF(T714&lt;=40,2,IF(T714&lt;=60,3,IF(T714&lt;=80,4,5)))))</x:f>
      </x:c>
      <x:c r="V714" s="2" t="str">
        <x:f>IF(M714="","",MAX(0,'Motor_Meciuri'!BF56-IF(W714="OOS PENDING",'Config_v6'!$B$35,0)-IF(L714&gt;'Config_v6'!$B$12,'Config_v6'!$B$37,IF(L714&gt;'Config_v6'!$B$11,'Config_v6'!$B$36,0))))</x:f>
      </x:c>
      <x:c r="W714" s="2" t="str">
        <x:f>IF(B714="","",IF(I714&lt;&gt;"READY","NOT RELEASED",IF(NOT(AND(J714="PASS",'Calibrare_Linii'!U14="VALID")),"INVALID",IF(NOT(AND('Calibrare_Linii'!S14="VALIDATED",AND('Calibrare_Linii'!H14=C714,ISNUMBER('Calibrare_Linii'!J14),'Calibrare_Linii'!J14&lt;='Input_Meci'!G56))),"OOS PENDING",IF(S714&lt;='Calibrare_Linii'!E14,"PASS",IF(S714&lt;='Calibrare_Linii'!F14,"PENALTY","WATCH"))))))</x:f>
      </x:c>
      <x:c r="X714" s="2" t="str">
        <x:f>IF(M714="","",IF(AND(AND(J714="PASS",'Calibrare_Linii'!U14="VALID"),'Motor_Meciuri'!K56=12,'Motor_Meciuri'!L56=12,'Motor_Meciuri'!M56="NO",'Motor_Meciuri'!BL56='Motor_Meciuri'!C56,AB714&gt;='Config_v6'!$B$50,AN714&gt;='Config_v6'!$B$51,T714&lt;='Config_v6'!$B$52,L714&lt;='Config_v6'!$B$53,ISNUMBER('Calibrare_Linii'!E14),S714&lt;='Calibrare_Linii'!E14,SUM(AK714:AM714)&gt;0),"CANDIDATE","NO"))</x:f>
      </x:c>
      <x:c r="Y714" s="2" t="str">
        <x:f>IF(B714="","",IF(I714&lt;&gt;"READY","NOT RELEASED",IF(AND(X714="CANDIDATE",V714&gt;='Config_v6'!$B$51,W714="PASS",'Calibrare_Linii'!T14="VALIDATED",AND('Calibrare_Linii'!H14=C714,ISNUMBER('Calibrare_Linii'!J14),'Calibrare_Linii'!J14&lt;='Input_Meci'!G56)),"PASS",IF(X714="CANDIDATE","OOS PENDING","FAIL"))))</x:f>
      </x:c>
      <x:c r="Z714" s="2" t="str">
        <x:f>IF(B714="","",IF(I714&lt;&gt;"READY","",IF(OR(NOT(AND(J714="PASS",'Calibrare_Linii'!U14="VALID")),L714&gt;'Config_v6'!$B$13,W714="WATCH"),5,IF(Y714="PASS",1,MIN(5,MAX('Config_v6'!$B$42,U714)+IF(W714="PENALTY",1,0))))))</x:f>
      </x:c>
      <x:c r="AA714" s="2" t="str">
        <x:f>IF(B714="","",IF(I714&lt;&gt;"READY","NOT RELEASED",IF(Z714=5,"NO BET",IF(OR(AB714&lt;'Config_v6'!$B$16,V714&lt;'Config_v6'!$B$18),"WATCH",IF(Z714=1,"DEFENSIV",IF(Z714=2,"PRUDENT",IF(Z714=3,"MODERAT","RIDICAT")))))))</x:f>
      </x:c>
      <x:c r="AB714" s="10" t="str">
        <x:f>IF(N714="","",MIN(N714,1-S714))</x:f>
      </x:c>
      <x:c r="AC714" s="2" t="str">
        <x:f>IF(AD714&lt;&gt;1,"",COUNTIFS($Z$706:$Z$719,"&lt;"&amp;Z714,$AD$706:$AD$719,1)+COUNTIFS($Z$706:$Z$719,Z714,$AB$706:$AB$719,"&gt;"&amp;AB714,$AD$706:$AD$719,1)+COUNTIFS($Z$706:$Z$719,Z714,$AB$706:$AB$719,AB714,$V$706:$V$719,"&gt;"&amp;V714,$AD$706:$AD$719,1)+COUNTIFS($Z$706:Z714,Z714,$AB$706:AB714,AB714,$V$706:V714,V714,$AD$706:AD714,1))</x:f>
      </x:c>
      <x:c r="AD714" s="2" t="n">
        <x:f>IF(OR(AA714="DEFENSIV",AA714="PRUDENT",AA714="MODERAT",AA714="RIDICAT"),1,0)</x:f>
        <x:v>0</x:v>
      </x:c>
      <x:c r="AE714" s="2" t="str">
        <x:f>IF(AD714&lt;&gt;1,"NO",IF(W714="PASS","YES",IF(W714="OOS PENDING","CONDITIONAL","NO")))</x:f>
        <x:v>NO</x:v>
      </x:c>
      <x:c r="AF714" s="2" t="n">
        <x:f>IF(AND(AD714=1,AC714=1,E714="LIVE"),1,0)</x:f>
        <x:v>0</x:v>
      </x:c>
      <x:c r="AG714" s="2" t="str">
        <x:f>IF(AF714&lt;&gt;1,"",'Dashboard'!P76)</x:f>
      </x:c>
      <x:c r="AH714" s="2" t="str">
        <x:f>IF(B714="","",IF(J714&lt;&gt;"PASS",'Motor_Meciuri'!J56,IF('Calibrare_Linii'!U14&lt;&gt;"VALID","Parametri linie invalizi",IF(L714&gt;'Config_v6'!$B$13,"Dispersie peste limita",IF(W714="WATCH","Failure peste limita",IF(AB714&lt;'Config_v6'!$B$16,"P finala sub prag",IF(V714&lt;'Config_v6'!$B$18,"Confidence sub prag",IF(E714="REPLAY","Exemplu retrospectiv; exclus din Top LIVE",IF(Y714="PASS","DEFENSIV validat",IF(W714="OOS PENDING","Eligibil; calibrare linie in monitorizare","Eligibil"))))))))))</x:f>
      </x:c>
      <x:c r="AI714" s="2" t="str">
        <x:f>IF(B714="","",'Calibrare_Linii'!V14)</x:f>
      </x:c>
      <x:c r="AJ714" s="2" t="str">
        <x:f>IF(B714="","",IF(AND('Calibrare_Linii'!T14="VALIDATED",AND('Calibrare_Linii'!H14=C714,ISNUMBER('Calibrare_Linii'!J14),'Calibrare_Linii'!J14&lt;='Input_Meci'!G56)),"DEFENSIVE VALIDATED",IF(AND('Calibrare_Linii'!S14="VALIDATED",AND('Calibrare_Linii'!H14=C714,ISNUMBER('Calibrare_Linii'!J14),'Calibrare_Linii'!J14&lt;='Input_Meci'!G56)),"TAIL VALIDATED","OOS PENDING")))</x:f>
      </x:c>
      <x:c r="AK714" s="2" t="n">
        <x:f>IF(J714&lt;&gt;"PASS",0,'Motor_Meciuri'!BR56)</x:f>
        <x:v>0</x:v>
      </x:c>
      <x:c r="AL714" s="2" t="n">
        <x:f>IF(J714&lt;&gt;"PASS",0,'Motor_Meciuri'!BS56)</x:f>
        <x:v>0</x:v>
      </x:c>
      <x:c r="AM714" s="2" t="n">
        <x:f>IF(J714&lt;&gt;"PASS",0,'Motor_Meciuri'!BT56)</x:f>
        <x:v>0</x:v>
      </x:c>
      <x:c r="AN714" s="2" t="str">
        <x:f>IF(M714="","",MAX(0,'Motor_Meciuri'!BF56-IF(L714&gt;'Config_v6'!$B$12,'Config_v6'!$B$37,IF(L714&gt;'Config_v6'!$B$11,'Config_v6'!$B$36,0))))</x:f>
      </x:c>
    </x:row>
    <x:row r="715" ht="21" customHeight="1">
      <x:c r="A715" s="2" t="n">
        <x:v>51</x:v>
      </x:c>
      <x:c r="B715" s="2" t="str">
        <x:f>IF('Motor_Meciuri'!A56="","",'Motor_Meciuri'!A56)</x:f>
      </x:c>
      <x:c r="C715" s="2" t="str">
        <x:f>IF(B715="","",'Motor_Meciuri'!B56)</x:f>
      </x:c>
      <x:c r="D715" s="2" t="str">
        <x:f>IF(B715="","",'Motor_Meciuri'!D56)</x:f>
      </x:c>
      <x:c r="E715" s="2" t="str">
        <x:f>IF(B715="","",'Motor_Meciuri'!E56)</x:f>
      </x:c>
      <x:c r="F715" s="2" t="str">
        <x:v>U13,5</x:v>
      </x:c>
      <x:c r="G715" s="2" t="str">
        <x:v>UNDER</x:v>
      </x:c>
      <x:c r="H715" s="2" t="n">
        <x:v>13</x:v>
      </x:c>
      <x:c r="I715" s="2" t="str">
        <x:f>IF(B715="","",'Motor_Meciuri'!H56)</x:f>
      </x:c>
      <x:c r="J715" s="2" t="str">
        <x:f>IF(B715="","",'Motor_Meciuri'!I56)</x:f>
      </x:c>
      <x:c r="K715" s="11" t="str">
        <x:f>IF(J715&lt;&gt;"PASS","",'Motor_Meciuri'!BD56)</x:f>
      </x:c>
      <x:c r="L715" s="11" t="str">
        <x:f>IF(J715&lt;&gt;"PASS","",'Motor_Meciuri'!AU56)</x:f>
      </x:c>
      <x:c r="M715" s="10" t="str">
        <x:f>IF(NOT(AND(J715="PASS",'Calibrare_Linii'!U15="VALID")),"",'Distributie'!AK56)</x:f>
      </x:c>
      <x:c r="N715" s="10" t="str">
        <x:f>IF(M715="","",MAX(0.01,MIN(0.99,0.5+(M715-0.5)*'Motor_Meciuri'!BG56*'Calibrare_Linii'!D15)))</x:f>
      </x:c>
      <x:c r="O715" s="10" t="str">
        <x:f>IF(M715="","",1-M715)</x:f>
      </x:c>
      <x:c r="P715" s="10" t="str">
        <x:f>IF(OR(NOT(AND(J715="PASS",'Calibrare_Linii'!U15="VALID")),AK715=0),""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*('Istoric_Nativ'!$Q$6:$Q$405&gt;H715))/AK715)</x:f>
      </x:c>
      <x:c r="Q715" s="10" t="str">
        <x:f>IF(OR(NOT(AND(J715="PASS",'Calibrare_Linii'!U15="VALID")),AL715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M56)+((('Istoric_Nativ'!$E$6:$E$405='Input_Meci'!E56)+('Istoric_Nativ'!$F$6:$F$405='Input_Meci'!E56))&gt;0)*('Istoric_Nativ'!$D$6:$D$405&gt;='Motor_Meciuri'!BN56))&gt;0)*('Istoric_Nativ'!$Q$6:$Q$405&gt;H715))/AL715)</x:f>
      </x:c>
      <x:c r="R715" s="10" t="str">
        <x:f>IF(OR(NOT(AND(J715="PASS",'Calibrare_Linii'!U15="VALID")),AM715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O56)+((('Istoric_Nativ'!$E$6:$E$405='Input_Meci'!E56)+('Istoric_Nativ'!$F$6:$F$405='Input_Meci'!E56))&gt;0)*('Istoric_Nativ'!$D$6:$D$405&gt;='Motor_Meciuri'!BP56))&gt;0)*('Istoric_Nativ'!$Q$6:$Q$405&gt;H715))/AM715)</x:f>
      </x:c>
      <x:c r="S715" s="10" t="str">
        <x:f>IF(M715="","",MAX(O715,P715,Q715,R715))</x:f>
      </x:c>
      <x:c r="T715" s="11" t="str">
        <x:f>IF(M715="","",MIN(100,S715*100*'Config_v6'!$B$44+MIN(100,L715/'Config_v6'!$B$13*100)*'Config_v6'!$B$45+(100-'Motor_Meciuri'!BF56)*'Config_v6'!$B$46+'Motor_Meciuri'!BH56*100*'Config_v6'!$B$47))</x:f>
      </x:c>
      <x:c r="U715" s="2" t="str">
        <x:f>IF(T715="","",IF(T715&lt;=20,1,IF(T715&lt;=40,2,IF(T715&lt;=60,3,IF(T715&lt;=80,4,5)))))</x:f>
      </x:c>
      <x:c r="V715" s="2" t="str">
        <x:f>IF(M715="","",MAX(0,'Motor_Meciuri'!BF56-IF(W715="OOS PENDING",'Config_v6'!$B$35,0)-IF(L715&gt;'Config_v6'!$B$12,'Config_v6'!$B$37,IF(L715&gt;'Config_v6'!$B$11,'Config_v6'!$B$36,0))))</x:f>
      </x:c>
      <x:c r="W715" s="2" t="str">
        <x:f>IF(B715="","",IF(I715&lt;&gt;"READY","NOT RELEASED",IF(NOT(AND(J715="PASS",'Calibrare_Linii'!U15="VALID")),"INVALID",IF(NOT(AND('Calibrare_Linii'!S15="VALIDATED",AND('Calibrare_Linii'!H15=C715,ISNUMBER('Calibrare_Linii'!J15),'Calibrare_Linii'!J15&lt;='Input_Meci'!G56))),"OOS PENDING",IF(S715&lt;='Calibrare_Linii'!E15,"PASS",IF(S715&lt;='Calibrare_Linii'!F15,"PENALTY","WATCH"))))))</x:f>
      </x:c>
      <x:c r="X715" s="2" t="str">
        <x:f>IF(M715="","",IF(AND(AND(J715="PASS",'Calibrare_Linii'!U15="VALID"),'Motor_Meciuri'!K56=12,'Motor_Meciuri'!L56=12,'Motor_Meciuri'!M56="NO",'Motor_Meciuri'!BL56='Motor_Meciuri'!C56,AB715&gt;='Config_v6'!$B$50,AN715&gt;='Config_v6'!$B$51,T715&lt;='Config_v6'!$B$52,L715&lt;='Config_v6'!$B$53,ISNUMBER('Calibrare_Linii'!E15),S715&lt;='Calibrare_Linii'!E15,SUM(AK715:AM715)&gt;0),"CANDIDATE","NO"))</x:f>
      </x:c>
      <x:c r="Y715" s="2" t="str">
        <x:f>IF(B715="","",IF(I715&lt;&gt;"READY","NOT RELEASED",IF(AND(X715="CANDIDATE",V715&gt;='Config_v6'!$B$51,W715="PASS",'Calibrare_Linii'!T15="VALIDATED",AND('Calibrare_Linii'!H15=C715,ISNUMBER('Calibrare_Linii'!J15),'Calibrare_Linii'!J15&lt;='Input_Meci'!G56)),"PASS",IF(X715="CANDIDATE","OOS PENDING","FAIL"))))</x:f>
      </x:c>
      <x:c r="Z715" s="2" t="str">
        <x:f>IF(B715="","",IF(I715&lt;&gt;"READY","",IF(OR(NOT(AND(J715="PASS",'Calibrare_Linii'!U15="VALID")),L715&gt;'Config_v6'!$B$13,W715="WATCH"),5,IF(Y715="PASS",1,MIN(5,MAX('Config_v6'!$B$42,U715)+IF(W715="PENALTY",1,0))))))</x:f>
      </x:c>
      <x:c r="AA715" s="2" t="str">
        <x:f>IF(B715="","",IF(I715&lt;&gt;"READY","NOT RELEASED",IF(Z715=5,"NO BET",IF(OR(AB715&lt;'Config_v6'!$B$16,V715&lt;'Config_v6'!$B$18),"WATCH",IF(Z715=1,"DEFENSIV",IF(Z715=2,"PRUDENT",IF(Z715=3,"MODERAT","RIDICAT")))))))</x:f>
      </x:c>
      <x:c r="AB715" s="10" t="str">
        <x:f>IF(N715="","",MIN(N715,1-S715))</x:f>
      </x:c>
      <x:c r="AC715" s="2" t="str">
        <x:f>IF(AD715&lt;&gt;1,"",COUNTIFS($Z$706:$Z$719,"&lt;"&amp;Z715,$AD$706:$AD$719,1)+COUNTIFS($Z$706:$Z$719,Z715,$AB$706:$AB$719,"&gt;"&amp;AB715,$AD$706:$AD$719,1)+COUNTIFS($Z$706:$Z$719,Z715,$AB$706:$AB$719,AB715,$V$706:$V$719,"&gt;"&amp;V715,$AD$706:$AD$719,1)+COUNTIFS($Z$706:Z715,Z715,$AB$706:AB715,AB715,$V$706:V715,V715,$AD$706:AD715,1))</x:f>
      </x:c>
      <x:c r="AD715" s="2" t="n">
        <x:f>IF(OR(AA715="DEFENSIV",AA715="PRUDENT",AA715="MODERAT",AA715="RIDICAT"),1,0)</x:f>
        <x:v>0</x:v>
      </x:c>
      <x:c r="AE715" s="2" t="str">
        <x:f>IF(AD715&lt;&gt;1,"NO",IF(W715="PASS","YES",IF(W715="OOS PENDING","CONDITIONAL","NO")))</x:f>
        <x:v>NO</x:v>
      </x:c>
      <x:c r="AF715" s="2" t="n">
        <x:f>IF(AND(AD715=1,AC715=1,E715="LIVE"),1,0)</x:f>
        <x:v>0</x:v>
      </x:c>
      <x:c r="AG715" s="2" t="str">
        <x:f>IF(AF715&lt;&gt;1,"",'Dashboard'!P76)</x:f>
      </x:c>
      <x:c r="AH715" s="2" t="str">
        <x:f>IF(B715="","",IF(J715&lt;&gt;"PASS",'Motor_Meciuri'!J56,IF('Calibrare_Linii'!U15&lt;&gt;"VALID","Parametri linie invalizi",IF(L715&gt;'Config_v6'!$B$13,"Dispersie peste limita",IF(W715="WATCH","Failure peste limita",IF(AB715&lt;'Config_v6'!$B$16,"P finala sub prag",IF(V715&lt;'Config_v6'!$B$18,"Confidence sub prag",IF(E715="REPLAY","Exemplu retrospectiv; exclus din Top LIVE",IF(Y715="PASS","DEFENSIV validat",IF(W715="OOS PENDING","Eligibil; calibrare linie in monitorizare","Eligibil"))))))))))</x:f>
      </x:c>
      <x:c r="AI715" s="2" t="str">
        <x:f>IF(B715="","",'Calibrare_Linii'!V15)</x:f>
      </x:c>
      <x:c r="AJ715" s="2" t="str">
        <x:f>IF(B715="","",IF(AND('Calibrare_Linii'!T15="VALIDATED",AND('Calibrare_Linii'!H15=C715,ISNUMBER('Calibrare_Linii'!J15),'Calibrare_Linii'!J15&lt;='Input_Meci'!G56)),"DEFENSIVE VALIDATED",IF(AND('Calibrare_Linii'!S15="VALIDATED",AND('Calibrare_Linii'!H15=C715,ISNUMBER('Calibrare_Linii'!J15),'Calibrare_Linii'!J15&lt;='Input_Meci'!G56)),"TAIL VALIDATED","OOS PENDING")))</x:f>
      </x:c>
      <x:c r="AK715" s="2" t="n">
        <x:f>IF(J715&lt;&gt;"PASS",0,'Motor_Meciuri'!BR56)</x:f>
        <x:v>0</x:v>
      </x:c>
      <x:c r="AL715" s="2" t="n">
        <x:f>IF(J715&lt;&gt;"PASS",0,'Motor_Meciuri'!BS56)</x:f>
        <x:v>0</x:v>
      </x:c>
      <x:c r="AM715" s="2" t="n">
        <x:f>IF(J715&lt;&gt;"PASS",0,'Motor_Meciuri'!BT56)</x:f>
        <x:v>0</x:v>
      </x:c>
      <x:c r="AN715" s="2" t="str">
        <x:f>IF(M715="","",MAX(0,'Motor_Meciuri'!BF56-IF(L715&gt;'Config_v6'!$B$12,'Config_v6'!$B$37,IF(L715&gt;'Config_v6'!$B$11,'Config_v6'!$B$36,0))))</x:f>
      </x:c>
    </x:row>
    <x:row r="716" ht="21" customHeight="1">
      <x:c r="A716" s="2" t="n">
        <x:v>51</x:v>
      </x:c>
      <x:c r="B716" s="2" t="str">
        <x:f>IF('Motor_Meciuri'!A56="","",'Motor_Meciuri'!A56)</x:f>
      </x:c>
      <x:c r="C716" s="2" t="str">
        <x:f>IF(B716="","",'Motor_Meciuri'!B56)</x:f>
      </x:c>
      <x:c r="D716" s="2" t="str">
        <x:f>IF(B716="","",'Motor_Meciuri'!D56)</x:f>
      </x:c>
      <x:c r="E716" s="2" t="str">
        <x:f>IF(B716="","",'Motor_Meciuri'!E56)</x:f>
      </x:c>
      <x:c r="F716" s="2" t="str">
        <x:v>U14,5</x:v>
      </x:c>
      <x:c r="G716" s="2" t="str">
        <x:v>UNDER</x:v>
      </x:c>
      <x:c r="H716" s="2" t="n">
        <x:v>14</x:v>
      </x:c>
      <x:c r="I716" s="2" t="str">
        <x:f>IF(B716="","",'Motor_Meciuri'!H56)</x:f>
      </x:c>
      <x:c r="J716" s="2" t="str">
        <x:f>IF(B716="","",'Motor_Meciuri'!I56)</x:f>
      </x:c>
      <x:c r="K716" s="11" t="str">
        <x:f>IF(J716&lt;&gt;"PASS","",'Motor_Meciuri'!BD56)</x:f>
      </x:c>
      <x:c r="L716" s="11" t="str">
        <x:f>IF(J716&lt;&gt;"PASS","",'Motor_Meciuri'!AU56)</x:f>
      </x:c>
      <x:c r="M716" s="10" t="str">
        <x:f>IF(NOT(AND(J716="PASS",'Calibrare_Linii'!U16="VALID")),"",'Distributie'!AL56)</x:f>
      </x:c>
      <x:c r="N716" s="10" t="str">
        <x:f>IF(M716="","",MAX(0.01,MIN(0.99,0.5+(M716-0.5)*'Motor_Meciuri'!BG56*'Calibrare_Linii'!D16)))</x:f>
      </x:c>
      <x:c r="O716" s="10" t="str">
        <x:f>IF(M716="","",1-M716)</x:f>
      </x:c>
      <x:c r="P716" s="10" t="str">
        <x:f>IF(OR(NOT(AND(J716="PASS",'Calibrare_Linii'!U16="VALID")),AK716=0),""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*('Istoric_Nativ'!$Q$6:$Q$405&gt;H716))/AK716)</x:f>
      </x:c>
      <x:c r="Q716" s="10" t="str">
        <x:f>IF(OR(NOT(AND(J716="PASS",'Calibrare_Linii'!U16="VALID")),AL716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M56)+((('Istoric_Nativ'!$E$6:$E$405='Input_Meci'!E56)+('Istoric_Nativ'!$F$6:$F$405='Input_Meci'!E56))&gt;0)*('Istoric_Nativ'!$D$6:$D$405&gt;='Motor_Meciuri'!BN56))&gt;0)*('Istoric_Nativ'!$Q$6:$Q$405&gt;H716))/AL716)</x:f>
      </x:c>
      <x:c r="R716" s="10" t="str">
        <x:f>IF(OR(NOT(AND(J716="PASS",'Calibrare_Linii'!U16="VALID")),AM716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O56)+((('Istoric_Nativ'!$E$6:$E$405='Input_Meci'!E56)+('Istoric_Nativ'!$F$6:$F$405='Input_Meci'!E56))&gt;0)*('Istoric_Nativ'!$D$6:$D$405&gt;='Motor_Meciuri'!BP56))&gt;0)*('Istoric_Nativ'!$Q$6:$Q$405&gt;H716))/AM716)</x:f>
      </x:c>
      <x:c r="S716" s="10" t="str">
        <x:f>IF(M716="","",MAX(O716,P716,Q716,R716))</x:f>
      </x:c>
      <x:c r="T716" s="11" t="str">
        <x:f>IF(M716="","",MIN(100,S716*100*'Config_v6'!$B$44+MIN(100,L716/'Config_v6'!$B$13*100)*'Config_v6'!$B$45+(100-'Motor_Meciuri'!BF56)*'Config_v6'!$B$46+'Motor_Meciuri'!BH56*100*'Config_v6'!$B$47))</x:f>
      </x:c>
      <x:c r="U716" s="2" t="str">
        <x:f>IF(T716="","",IF(T716&lt;=20,1,IF(T716&lt;=40,2,IF(T716&lt;=60,3,IF(T716&lt;=80,4,5)))))</x:f>
      </x:c>
      <x:c r="V716" s="2" t="str">
        <x:f>IF(M716="","",MAX(0,'Motor_Meciuri'!BF56-IF(W716="OOS PENDING",'Config_v6'!$B$35,0)-IF(L716&gt;'Config_v6'!$B$12,'Config_v6'!$B$37,IF(L716&gt;'Config_v6'!$B$11,'Config_v6'!$B$36,0))))</x:f>
      </x:c>
      <x:c r="W716" s="2" t="str">
        <x:f>IF(B716="","",IF(I716&lt;&gt;"READY","NOT RELEASED",IF(NOT(AND(J716="PASS",'Calibrare_Linii'!U16="VALID")),"INVALID",IF(NOT(AND('Calibrare_Linii'!S16="VALIDATED",AND('Calibrare_Linii'!H16=C716,ISNUMBER('Calibrare_Linii'!J16),'Calibrare_Linii'!J16&lt;='Input_Meci'!G56))),"OOS PENDING",IF(S716&lt;='Calibrare_Linii'!E16,"PASS",IF(S716&lt;='Calibrare_Linii'!F16,"PENALTY","WATCH"))))))</x:f>
      </x:c>
      <x:c r="X716" s="2" t="str">
        <x:f>IF(M716="","",IF(AND(AND(J716="PASS",'Calibrare_Linii'!U16="VALID"),'Motor_Meciuri'!K56=12,'Motor_Meciuri'!L56=12,'Motor_Meciuri'!M56="NO",'Motor_Meciuri'!BL56='Motor_Meciuri'!C56,AB716&gt;='Config_v6'!$B$50,AN716&gt;='Config_v6'!$B$51,T716&lt;='Config_v6'!$B$52,L716&lt;='Config_v6'!$B$53,ISNUMBER('Calibrare_Linii'!E16),S716&lt;='Calibrare_Linii'!E16,SUM(AK716:AM716)&gt;0),"CANDIDATE","NO"))</x:f>
      </x:c>
      <x:c r="Y716" s="2" t="str">
        <x:f>IF(B716="","",IF(I716&lt;&gt;"READY","NOT RELEASED",IF(AND(X716="CANDIDATE",V716&gt;='Config_v6'!$B$51,W716="PASS",'Calibrare_Linii'!T16="VALIDATED",AND('Calibrare_Linii'!H16=C716,ISNUMBER('Calibrare_Linii'!J16),'Calibrare_Linii'!J16&lt;='Input_Meci'!G56)),"PASS",IF(X716="CANDIDATE","OOS PENDING","FAIL"))))</x:f>
      </x:c>
      <x:c r="Z716" s="2" t="str">
        <x:f>IF(B716="","",IF(I716&lt;&gt;"READY","",IF(OR(NOT(AND(J716="PASS",'Calibrare_Linii'!U16="VALID")),L716&gt;'Config_v6'!$B$13,W716="WATCH"),5,IF(Y716="PASS",1,MIN(5,MAX('Config_v6'!$B$42,U716)+IF(W716="PENALTY",1,0))))))</x:f>
      </x:c>
      <x:c r="AA716" s="2" t="str">
        <x:f>IF(B716="","",IF(I716&lt;&gt;"READY","NOT RELEASED",IF(Z716=5,"NO BET",IF(OR(AB716&lt;'Config_v6'!$B$16,V716&lt;'Config_v6'!$B$18),"WATCH",IF(Z716=1,"DEFENSIV",IF(Z716=2,"PRUDENT",IF(Z716=3,"MODERAT","RIDICAT")))))))</x:f>
      </x:c>
      <x:c r="AB716" s="10" t="str">
        <x:f>IF(N716="","",MIN(N716,1-S716))</x:f>
      </x:c>
      <x:c r="AC716" s="2" t="str">
        <x:f>IF(AD716&lt;&gt;1,"",COUNTIFS($Z$706:$Z$719,"&lt;"&amp;Z716,$AD$706:$AD$719,1)+COUNTIFS($Z$706:$Z$719,Z716,$AB$706:$AB$719,"&gt;"&amp;AB716,$AD$706:$AD$719,1)+COUNTIFS($Z$706:$Z$719,Z716,$AB$706:$AB$719,AB716,$V$706:$V$719,"&gt;"&amp;V716,$AD$706:$AD$719,1)+COUNTIFS($Z$706:Z716,Z716,$AB$706:AB716,AB716,$V$706:V716,V716,$AD$706:AD716,1))</x:f>
      </x:c>
      <x:c r="AD716" s="2" t="n">
        <x:f>IF(OR(AA716="DEFENSIV",AA716="PRUDENT",AA716="MODERAT",AA716="RIDICAT"),1,0)</x:f>
        <x:v>0</x:v>
      </x:c>
      <x:c r="AE716" s="2" t="str">
        <x:f>IF(AD716&lt;&gt;1,"NO",IF(W716="PASS","YES",IF(W716="OOS PENDING","CONDITIONAL","NO")))</x:f>
        <x:v>NO</x:v>
      </x:c>
      <x:c r="AF716" s="2" t="n">
        <x:f>IF(AND(AD716=1,AC716=1,E716="LIVE"),1,0)</x:f>
        <x:v>0</x:v>
      </x:c>
      <x:c r="AG716" s="2" t="str">
        <x:f>IF(AF716&lt;&gt;1,"",'Dashboard'!P76)</x:f>
      </x:c>
      <x:c r="AH716" s="2" t="str">
        <x:f>IF(B716="","",IF(J716&lt;&gt;"PASS",'Motor_Meciuri'!J56,IF('Calibrare_Linii'!U16&lt;&gt;"VALID","Parametri linie invalizi",IF(L716&gt;'Config_v6'!$B$13,"Dispersie peste limita",IF(W716="WATCH","Failure peste limita",IF(AB716&lt;'Config_v6'!$B$16,"P finala sub prag",IF(V716&lt;'Config_v6'!$B$18,"Confidence sub prag",IF(E716="REPLAY","Exemplu retrospectiv; exclus din Top LIVE",IF(Y716="PASS","DEFENSIV validat",IF(W716="OOS PENDING","Eligibil; calibrare linie in monitorizare","Eligibil"))))))))))</x:f>
      </x:c>
      <x:c r="AI716" s="2" t="str">
        <x:f>IF(B716="","",'Calibrare_Linii'!V16)</x:f>
      </x:c>
      <x:c r="AJ716" s="2" t="str">
        <x:f>IF(B716="","",IF(AND('Calibrare_Linii'!T16="VALIDATED",AND('Calibrare_Linii'!H16=C716,ISNUMBER('Calibrare_Linii'!J16),'Calibrare_Linii'!J16&lt;='Input_Meci'!G56)),"DEFENSIVE VALIDATED",IF(AND('Calibrare_Linii'!S16="VALIDATED",AND('Calibrare_Linii'!H16=C716,ISNUMBER('Calibrare_Linii'!J16),'Calibrare_Linii'!J16&lt;='Input_Meci'!G56)),"TAIL VALIDATED","OOS PENDING")))</x:f>
      </x:c>
      <x:c r="AK716" s="2" t="n">
        <x:f>IF(J716&lt;&gt;"PASS",0,'Motor_Meciuri'!BR56)</x:f>
        <x:v>0</x:v>
      </x:c>
      <x:c r="AL716" s="2" t="n">
        <x:f>IF(J716&lt;&gt;"PASS",0,'Motor_Meciuri'!BS56)</x:f>
        <x:v>0</x:v>
      </x:c>
      <x:c r="AM716" s="2" t="n">
        <x:f>IF(J716&lt;&gt;"PASS",0,'Motor_Meciuri'!BT56)</x:f>
        <x:v>0</x:v>
      </x:c>
      <x:c r="AN716" s="2" t="str">
        <x:f>IF(M716="","",MAX(0,'Motor_Meciuri'!BF56-IF(L716&gt;'Config_v6'!$B$12,'Config_v6'!$B$37,IF(L716&gt;'Config_v6'!$B$11,'Config_v6'!$B$36,0))))</x:f>
      </x:c>
    </x:row>
    <x:row r="717" ht="21" customHeight="1">
      <x:c r="A717" s="2" t="n">
        <x:v>51</x:v>
      </x:c>
      <x:c r="B717" s="2" t="str">
        <x:f>IF('Motor_Meciuri'!A56="","",'Motor_Meciuri'!A56)</x:f>
      </x:c>
      <x:c r="C717" s="2" t="str">
        <x:f>IF(B717="","",'Motor_Meciuri'!B56)</x:f>
      </x:c>
      <x:c r="D717" s="2" t="str">
        <x:f>IF(B717="","",'Motor_Meciuri'!D56)</x:f>
      </x:c>
      <x:c r="E717" s="2" t="str">
        <x:f>IF(B717="","",'Motor_Meciuri'!E56)</x:f>
      </x:c>
      <x:c r="F717" s="2" t="str">
        <x:v>U15,5</x:v>
      </x:c>
      <x:c r="G717" s="2" t="str">
        <x:v>UNDER</x:v>
      </x:c>
      <x:c r="H717" s="2" t="n">
        <x:v>15</x:v>
      </x:c>
      <x:c r="I717" s="2" t="str">
        <x:f>IF(B717="","",'Motor_Meciuri'!H56)</x:f>
      </x:c>
      <x:c r="J717" s="2" t="str">
        <x:f>IF(B717="","",'Motor_Meciuri'!I56)</x:f>
      </x:c>
      <x:c r="K717" s="11" t="str">
        <x:f>IF(J717&lt;&gt;"PASS","",'Motor_Meciuri'!BD56)</x:f>
      </x:c>
      <x:c r="L717" s="11" t="str">
        <x:f>IF(J717&lt;&gt;"PASS","",'Motor_Meciuri'!AU56)</x:f>
      </x:c>
      <x:c r="M717" s="10" t="str">
        <x:f>IF(NOT(AND(J717="PASS",'Calibrare_Linii'!U17="VALID")),"",'Distributie'!AM56)</x:f>
      </x:c>
      <x:c r="N717" s="10" t="str">
        <x:f>IF(M717="","",MAX(0.01,MIN(0.99,0.5+(M717-0.5)*'Motor_Meciuri'!BG56*'Calibrare_Linii'!D17)))</x:f>
      </x:c>
      <x:c r="O717" s="10" t="str">
        <x:f>IF(M717="","",1-M717)</x:f>
      </x:c>
      <x:c r="P717" s="10" t="str">
        <x:f>IF(OR(NOT(AND(J717="PASS",'Calibrare_Linii'!U17="VALID")),AK717=0),""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*('Istoric_Nativ'!$Q$6:$Q$405&gt;H717))/AK717)</x:f>
      </x:c>
      <x:c r="Q717" s="10" t="str">
        <x:f>IF(OR(NOT(AND(J717="PASS",'Calibrare_Linii'!U17="VALID")),AL717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M56)+((('Istoric_Nativ'!$E$6:$E$405='Input_Meci'!E56)+('Istoric_Nativ'!$F$6:$F$405='Input_Meci'!E56))&gt;0)*('Istoric_Nativ'!$D$6:$D$405&gt;='Motor_Meciuri'!BN56))&gt;0)*('Istoric_Nativ'!$Q$6:$Q$405&gt;H717))/AL717)</x:f>
      </x:c>
      <x:c r="R717" s="10" t="str">
        <x:f>IF(OR(NOT(AND(J717="PASS",'Calibrare_Linii'!U17="VALID")),AM717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O56)+((('Istoric_Nativ'!$E$6:$E$405='Input_Meci'!E56)+('Istoric_Nativ'!$F$6:$F$405='Input_Meci'!E56))&gt;0)*('Istoric_Nativ'!$D$6:$D$405&gt;='Motor_Meciuri'!BP56))&gt;0)*('Istoric_Nativ'!$Q$6:$Q$405&gt;H717))/AM717)</x:f>
      </x:c>
      <x:c r="S717" s="10" t="str">
        <x:f>IF(M717="","",MAX(O717,P717,Q717,R717))</x:f>
      </x:c>
      <x:c r="T717" s="11" t="str">
        <x:f>IF(M717="","",MIN(100,S717*100*'Config_v6'!$B$44+MIN(100,L717/'Config_v6'!$B$13*100)*'Config_v6'!$B$45+(100-'Motor_Meciuri'!BF56)*'Config_v6'!$B$46+'Motor_Meciuri'!BH56*100*'Config_v6'!$B$47))</x:f>
      </x:c>
      <x:c r="U717" s="2" t="str">
        <x:f>IF(T717="","",IF(T717&lt;=20,1,IF(T717&lt;=40,2,IF(T717&lt;=60,3,IF(T717&lt;=80,4,5)))))</x:f>
      </x:c>
      <x:c r="V717" s="2" t="str">
        <x:f>IF(M717="","",MAX(0,'Motor_Meciuri'!BF56-IF(W717="OOS PENDING",'Config_v6'!$B$35,0)-IF(L717&gt;'Config_v6'!$B$12,'Config_v6'!$B$37,IF(L717&gt;'Config_v6'!$B$11,'Config_v6'!$B$36,0))))</x:f>
      </x:c>
      <x:c r="W717" s="2" t="str">
        <x:f>IF(B717="","",IF(I717&lt;&gt;"READY","NOT RELEASED",IF(NOT(AND(J717="PASS",'Calibrare_Linii'!U17="VALID")),"INVALID",IF(NOT(AND('Calibrare_Linii'!S17="VALIDATED",AND('Calibrare_Linii'!H17=C717,ISNUMBER('Calibrare_Linii'!J17),'Calibrare_Linii'!J17&lt;='Input_Meci'!G56))),"OOS PENDING",IF(S717&lt;='Calibrare_Linii'!E17,"PASS",IF(S717&lt;='Calibrare_Linii'!F17,"PENALTY","WATCH"))))))</x:f>
      </x:c>
      <x:c r="X717" s="2" t="str">
        <x:f>IF(M717="","",IF(AND(AND(J717="PASS",'Calibrare_Linii'!U17="VALID"),'Motor_Meciuri'!K56=12,'Motor_Meciuri'!L56=12,'Motor_Meciuri'!M56="NO",'Motor_Meciuri'!BL56='Motor_Meciuri'!C56,AB717&gt;='Config_v6'!$B$50,AN717&gt;='Config_v6'!$B$51,T717&lt;='Config_v6'!$B$52,L717&lt;='Config_v6'!$B$53,ISNUMBER('Calibrare_Linii'!E17),S717&lt;='Calibrare_Linii'!E17,SUM(AK717:AM717)&gt;0),"CANDIDATE","NO"))</x:f>
      </x:c>
      <x:c r="Y717" s="2" t="str">
        <x:f>IF(B717="","",IF(I717&lt;&gt;"READY","NOT RELEASED",IF(AND(X717="CANDIDATE",V717&gt;='Config_v6'!$B$51,W717="PASS",'Calibrare_Linii'!T17="VALIDATED",AND('Calibrare_Linii'!H17=C717,ISNUMBER('Calibrare_Linii'!J17),'Calibrare_Linii'!J17&lt;='Input_Meci'!G56)),"PASS",IF(X717="CANDIDATE","OOS PENDING","FAIL"))))</x:f>
      </x:c>
      <x:c r="Z717" s="2" t="str">
        <x:f>IF(B717="","",IF(I717&lt;&gt;"READY","",IF(OR(NOT(AND(J717="PASS",'Calibrare_Linii'!U17="VALID")),L717&gt;'Config_v6'!$B$13,W717="WATCH"),5,IF(Y717="PASS",1,MIN(5,MAX('Config_v6'!$B$42,U717)+IF(W717="PENALTY",1,0))))))</x:f>
      </x:c>
      <x:c r="AA717" s="2" t="str">
        <x:f>IF(B717="","",IF(I717&lt;&gt;"READY","NOT RELEASED",IF(Z717=5,"NO BET",IF(OR(AB717&lt;'Config_v6'!$B$16,V717&lt;'Config_v6'!$B$18),"WATCH",IF(Z717=1,"DEFENSIV",IF(Z717=2,"PRUDENT",IF(Z717=3,"MODERAT","RIDICAT")))))))</x:f>
      </x:c>
      <x:c r="AB717" s="10" t="str">
        <x:f>IF(N717="","",MIN(N717,1-S717))</x:f>
      </x:c>
      <x:c r="AC717" s="2" t="str">
        <x:f>IF(AD717&lt;&gt;1,"",COUNTIFS($Z$706:$Z$719,"&lt;"&amp;Z717,$AD$706:$AD$719,1)+COUNTIFS($Z$706:$Z$719,Z717,$AB$706:$AB$719,"&gt;"&amp;AB717,$AD$706:$AD$719,1)+COUNTIFS($Z$706:$Z$719,Z717,$AB$706:$AB$719,AB717,$V$706:$V$719,"&gt;"&amp;V717,$AD$706:$AD$719,1)+COUNTIFS($Z$706:Z717,Z717,$AB$706:AB717,AB717,$V$706:V717,V717,$AD$706:AD717,1))</x:f>
      </x:c>
      <x:c r="AD717" s="2" t="n">
        <x:f>IF(OR(AA717="DEFENSIV",AA717="PRUDENT",AA717="MODERAT",AA717="RIDICAT"),1,0)</x:f>
        <x:v>0</x:v>
      </x:c>
      <x:c r="AE717" s="2" t="str">
        <x:f>IF(AD717&lt;&gt;1,"NO",IF(W717="PASS","YES",IF(W717="OOS PENDING","CONDITIONAL","NO")))</x:f>
        <x:v>NO</x:v>
      </x:c>
      <x:c r="AF717" s="2" t="n">
        <x:f>IF(AND(AD717=1,AC717=1,E717="LIVE"),1,0)</x:f>
        <x:v>0</x:v>
      </x:c>
      <x:c r="AG717" s="2" t="str">
        <x:f>IF(AF717&lt;&gt;1,"",'Dashboard'!P76)</x:f>
      </x:c>
      <x:c r="AH717" s="2" t="str">
        <x:f>IF(B717="","",IF(J717&lt;&gt;"PASS",'Motor_Meciuri'!J56,IF('Calibrare_Linii'!U17&lt;&gt;"VALID","Parametri linie invalizi",IF(L717&gt;'Config_v6'!$B$13,"Dispersie peste limita",IF(W717="WATCH","Failure peste limita",IF(AB717&lt;'Config_v6'!$B$16,"P finala sub prag",IF(V717&lt;'Config_v6'!$B$18,"Confidence sub prag",IF(E717="REPLAY","Exemplu retrospectiv; exclus din Top LIVE",IF(Y717="PASS","DEFENSIV validat",IF(W717="OOS PENDING","Eligibil; calibrare linie in monitorizare","Eligibil"))))))))))</x:f>
      </x:c>
      <x:c r="AI717" s="2" t="str">
        <x:f>IF(B717="","",'Calibrare_Linii'!V17)</x:f>
      </x:c>
      <x:c r="AJ717" s="2" t="str">
        <x:f>IF(B717="","",IF(AND('Calibrare_Linii'!T17="VALIDATED",AND('Calibrare_Linii'!H17=C717,ISNUMBER('Calibrare_Linii'!J17),'Calibrare_Linii'!J17&lt;='Input_Meci'!G56)),"DEFENSIVE VALIDATED",IF(AND('Calibrare_Linii'!S17="VALIDATED",AND('Calibrare_Linii'!H17=C717,ISNUMBER('Calibrare_Linii'!J17),'Calibrare_Linii'!J17&lt;='Input_Meci'!G56)),"TAIL VALIDATED","OOS PENDING")))</x:f>
      </x:c>
      <x:c r="AK717" s="2" t="n">
        <x:f>IF(J717&lt;&gt;"PASS",0,'Motor_Meciuri'!BR56)</x:f>
        <x:v>0</x:v>
      </x:c>
      <x:c r="AL717" s="2" t="n">
        <x:f>IF(J717&lt;&gt;"PASS",0,'Motor_Meciuri'!BS56)</x:f>
        <x:v>0</x:v>
      </x:c>
      <x:c r="AM717" s="2" t="n">
        <x:f>IF(J717&lt;&gt;"PASS",0,'Motor_Meciuri'!BT56)</x:f>
        <x:v>0</x:v>
      </x:c>
      <x:c r="AN717" s="2" t="str">
        <x:f>IF(M717="","",MAX(0,'Motor_Meciuri'!BF56-IF(L717&gt;'Config_v6'!$B$12,'Config_v6'!$B$37,IF(L717&gt;'Config_v6'!$B$11,'Config_v6'!$B$36,0))))</x:f>
      </x:c>
    </x:row>
    <x:row r="718" ht="21" customHeight="1">
      <x:c r="A718" s="2" t="n">
        <x:v>51</x:v>
      </x:c>
      <x:c r="B718" s="2" t="str">
        <x:f>IF('Motor_Meciuri'!A56="","",'Motor_Meciuri'!A56)</x:f>
      </x:c>
      <x:c r="C718" s="2" t="str">
        <x:f>IF(B718="","",'Motor_Meciuri'!B56)</x:f>
      </x:c>
      <x:c r="D718" s="2" t="str">
        <x:f>IF(B718="","",'Motor_Meciuri'!D56)</x:f>
      </x:c>
      <x:c r="E718" s="2" t="str">
        <x:f>IF(B718="","",'Motor_Meciuri'!E56)</x:f>
      </x:c>
      <x:c r="F718" s="2" t="str">
        <x:v>U16,5</x:v>
      </x:c>
      <x:c r="G718" s="2" t="str">
        <x:v>UNDER</x:v>
      </x:c>
      <x:c r="H718" s="2" t="n">
        <x:v>16</x:v>
      </x:c>
      <x:c r="I718" s="2" t="str">
        <x:f>IF(B718="","",'Motor_Meciuri'!H56)</x:f>
      </x:c>
      <x:c r="J718" s="2" t="str">
        <x:f>IF(B718="","",'Motor_Meciuri'!I56)</x:f>
      </x:c>
      <x:c r="K718" s="11" t="str">
        <x:f>IF(J718&lt;&gt;"PASS","",'Motor_Meciuri'!BD56)</x:f>
      </x:c>
      <x:c r="L718" s="11" t="str">
        <x:f>IF(J718&lt;&gt;"PASS","",'Motor_Meciuri'!AU56)</x:f>
      </x:c>
      <x:c r="M718" s="10" t="str">
        <x:f>IF(NOT(AND(J718="PASS",'Calibrare_Linii'!U18="VALID")),"",'Distributie'!AN56)</x:f>
      </x:c>
      <x:c r="N718" s="10" t="str">
        <x:f>IF(M718="","",MAX(0.01,MIN(0.99,0.5+(M718-0.5)*'Motor_Meciuri'!BG56*'Calibrare_Linii'!D18)))</x:f>
      </x:c>
      <x:c r="O718" s="10" t="str">
        <x:f>IF(M718="","",1-M718)</x:f>
      </x:c>
      <x:c r="P718" s="10" t="str">
        <x:f>IF(OR(NOT(AND(J718="PASS",'Calibrare_Linii'!U18="VALID")),AK718=0),""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*('Istoric_Nativ'!$Q$6:$Q$405&gt;H718))/AK718)</x:f>
      </x:c>
      <x:c r="Q718" s="10" t="str">
        <x:f>IF(OR(NOT(AND(J718="PASS",'Calibrare_Linii'!U18="VALID")),AL718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M56)+((('Istoric_Nativ'!$E$6:$E$405='Input_Meci'!E56)+('Istoric_Nativ'!$F$6:$F$405='Input_Meci'!E56))&gt;0)*('Istoric_Nativ'!$D$6:$D$405&gt;='Motor_Meciuri'!BN56))&gt;0)*('Istoric_Nativ'!$Q$6:$Q$405&gt;H718))/AL718)</x:f>
      </x:c>
      <x:c r="R718" s="10" t="str">
        <x:f>IF(OR(NOT(AND(J718="PASS",'Calibrare_Linii'!U18="VALID")),AM718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O56)+((('Istoric_Nativ'!$E$6:$E$405='Input_Meci'!E56)+('Istoric_Nativ'!$F$6:$F$405='Input_Meci'!E56))&gt;0)*('Istoric_Nativ'!$D$6:$D$405&gt;='Motor_Meciuri'!BP56))&gt;0)*('Istoric_Nativ'!$Q$6:$Q$405&gt;H718))/AM718)</x:f>
      </x:c>
      <x:c r="S718" s="10" t="str">
        <x:f>IF(M718="","",MAX(O718,P718,Q718,R718))</x:f>
      </x:c>
      <x:c r="T718" s="11" t="str">
        <x:f>IF(M718="","",MIN(100,S718*100*'Config_v6'!$B$44+MIN(100,L718/'Config_v6'!$B$13*100)*'Config_v6'!$B$45+(100-'Motor_Meciuri'!BF56)*'Config_v6'!$B$46+'Motor_Meciuri'!BH56*100*'Config_v6'!$B$47))</x:f>
      </x:c>
      <x:c r="U718" s="2" t="str">
        <x:f>IF(T718="","",IF(T718&lt;=20,1,IF(T718&lt;=40,2,IF(T718&lt;=60,3,IF(T718&lt;=80,4,5)))))</x:f>
      </x:c>
      <x:c r="V718" s="2" t="str">
        <x:f>IF(M718="","",MAX(0,'Motor_Meciuri'!BF56-IF(W718="OOS PENDING",'Config_v6'!$B$35,0)-IF(L718&gt;'Config_v6'!$B$12,'Config_v6'!$B$37,IF(L718&gt;'Config_v6'!$B$11,'Config_v6'!$B$36,0))))</x:f>
      </x:c>
      <x:c r="W718" s="2" t="str">
        <x:f>IF(B718="","",IF(I718&lt;&gt;"READY","NOT RELEASED",IF(NOT(AND(J718="PASS",'Calibrare_Linii'!U18="VALID")),"INVALID",IF(NOT(AND('Calibrare_Linii'!S18="VALIDATED",AND('Calibrare_Linii'!H18=C718,ISNUMBER('Calibrare_Linii'!J18),'Calibrare_Linii'!J18&lt;='Input_Meci'!G56))),"OOS PENDING",IF(S718&lt;='Calibrare_Linii'!E18,"PASS",IF(S718&lt;='Calibrare_Linii'!F18,"PENALTY","WATCH"))))))</x:f>
      </x:c>
      <x:c r="X718" s="2" t="str">
        <x:f>IF(M718="","",IF(AND(AND(J718="PASS",'Calibrare_Linii'!U18="VALID"),'Motor_Meciuri'!K56=12,'Motor_Meciuri'!L56=12,'Motor_Meciuri'!M56="NO",'Motor_Meciuri'!BL56='Motor_Meciuri'!C56,AB718&gt;='Config_v6'!$B$50,AN718&gt;='Config_v6'!$B$51,T718&lt;='Config_v6'!$B$52,L718&lt;='Config_v6'!$B$53,ISNUMBER('Calibrare_Linii'!E18),S718&lt;='Calibrare_Linii'!E18,SUM(AK718:AM718)&gt;0),"CANDIDATE","NO"))</x:f>
      </x:c>
      <x:c r="Y718" s="2" t="str">
        <x:f>IF(B718="","",IF(I718&lt;&gt;"READY","NOT RELEASED",IF(AND(X718="CANDIDATE",V718&gt;='Config_v6'!$B$51,W718="PASS",'Calibrare_Linii'!T18="VALIDATED",AND('Calibrare_Linii'!H18=C718,ISNUMBER('Calibrare_Linii'!J18),'Calibrare_Linii'!J18&lt;='Input_Meci'!G56)),"PASS",IF(X718="CANDIDATE","OOS PENDING","FAIL"))))</x:f>
      </x:c>
      <x:c r="Z718" s="2" t="str">
        <x:f>IF(B718="","",IF(I718&lt;&gt;"READY","",IF(OR(NOT(AND(J718="PASS",'Calibrare_Linii'!U18="VALID")),L718&gt;'Config_v6'!$B$13,W718="WATCH"),5,IF(Y718="PASS",1,MIN(5,MAX('Config_v6'!$B$42,U718)+IF(W718="PENALTY",1,0))))))</x:f>
      </x:c>
      <x:c r="AA718" s="2" t="str">
        <x:f>IF(B718="","",IF(I718&lt;&gt;"READY","NOT RELEASED",IF(Z718=5,"NO BET",IF(OR(AB718&lt;'Config_v6'!$B$16,V718&lt;'Config_v6'!$B$18),"WATCH",IF(Z718=1,"DEFENSIV",IF(Z718=2,"PRUDENT",IF(Z718=3,"MODERAT","RIDICAT")))))))</x:f>
      </x:c>
      <x:c r="AB718" s="10" t="str">
        <x:f>IF(N718="","",MIN(N718,1-S718))</x:f>
      </x:c>
      <x:c r="AC718" s="2" t="str">
        <x:f>IF(AD718&lt;&gt;1,"",COUNTIFS($Z$706:$Z$719,"&lt;"&amp;Z718,$AD$706:$AD$719,1)+COUNTIFS($Z$706:$Z$719,Z718,$AB$706:$AB$719,"&gt;"&amp;AB718,$AD$706:$AD$719,1)+COUNTIFS($Z$706:$Z$719,Z718,$AB$706:$AB$719,AB718,$V$706:$V$719,"&gt;"&amp;V718,$AD$706:$AD$719,1)+COUNTIFS($Z$706:Z718,Z718,$AB$706:AB718,AB718,$V$706:V718,V718,$AD$706:AD718,1))</x:f>
      </x:c>
      <x:c r="AD718" s="2" t="n">
        <x:f>IF(OR(AA718="DEFENSIV",AA718="PRUDENT",AA718="MODERAT",AA718="RIDICAT"),1,0)</x:f>
        <x:v>0</x:v>
      </x:c>
      <x:c r="AE718" s="2" t="str">
        <x:f>IF(AD718&lt;&gt;1,"NO",IF(W718="PASS","YES",IF(W718="OOS PENDING","CONDITIONAL","NO")))</x:f>
        <x:v>NO</x:v>
      </x:c>
      <x:c r="AF718" s="2" t="n">
        <x:f>IF(AND(AD718=1,AC718=1,E718="LIVE"),1,0)</x:f>
        <x:v>0</x:v>
      </x:c>
      <x:c r="AG718" s="2" t="str">
        <x:f>IF(AF718&lt;&gt;1,"",'Dashboard'!P76)</x:f>
      </x:c>
      <x:c r="AH718" s="2" t="str">
        <x:f>IF(B718="","",IF(J718&lt;&gt;"PASS",'Motor_Meciuri'!J56,IF('Calibrare_Linii'!U18&lt;&gt;"VALID","Parametri linie invalizi",IF(L718&gt;'Config_v6'!$B$13,"Dispersie peste limita",IF(W718="WATCH","Failure peste limita",IF(AB718&lt;'Config_v6'!$B$16,"P finala sub prag",IF(V718&lt;'Config_v6'!$B$18,"Confidence sub prag",IF(E718="REPLAY","Exemplu retrospectiv; exclus din Top LIVE",IF(Y718="PASS","DEFENSIV validat",IF(W718="OOS PENDING","Eligibil; calibrare linie in monitorizare","Eligibil"))))))))))</x:f>
      </x:c>
      <x:c r="AI718" s="2" t="str">
        <x:f>IF(B718="","",'Calibrare_Linii'!V18)</x:f>
      </x:c>
      <x:c r="AJ718" s="2" t="str">
        <x:f>IF(B718="","",IF(AND('Calibrare_Linii'!T18="VALIDATED",AND('Calibrare_Linii'!H18=C718,ISNUMBER('Calibrare_Linii'!J18),'Calibrare_Linii'!J18&lt;='Input_Meci'!G56)),"DEFENSIVE VALIDATED",IF(AND('Calibrare_Linii'!S18="VALIDATED",AND('Calibrare_Linii'!H18=C718,ISNUMBER('Calibrare_Linii'!J18),'Calibrare_Linii'!J18&lt;='Input_Meci'!G56)),"TAIL VALIDATED","OOS PENDING")))</x:f>
      </x:c>
      <x:c r="AK718" s="2" t="n">
        <x:f>IF(J718&lt;&gt;"PASS",0,'Motor_Meciuri'!BR56)</x:f>
        <x:v>0</x:v>
      </x:c>
      <x:c r="AL718" s="2" t="n">
        <x:f>IF(J718&lt;&gt;"PASS",0,'Motor_Meciuri'!BS56)</x:f>
        <x:v>0</x:v>
      </x:c>
      <x:c r="AM718" s="2" t="n">
        <x:f>IF(J718&lt;&gt;"PASS",0,'Motor_Meciuri'!BT56)</x:f>
        <x:v>0</x:v>
      </x:c>
      <x:c r="AN718" s="2" t="str">
        <x:f>IF(M718="","",MAX(0,'Motor_Meciuri'!BF56-IF(L718&gt;'Config_v6'!$B$12,'Config_v6'!$B$37,IF(L718&gt;'Config_v6'!$B$11,'Config_v6'!$B$36,0))))</x:f>
      </x:c>
    </x:row>
    <x:row r="719" ht="21" customHeight="1">
      <x:c r="A719" s="2" t="n">
        <x:v>51</x:v>
      </x:c>
      <x:c r="B719" s="2" t="str">
        <x:f>IF('Motor_Meciuri'!A56="","",'Motor_Meciuri'!A56)</x:f>
      </x:c>
      <x:c r="C719" s="2" t="str">
        <x:f>IF(B719="","",'Motor_Meciuri'!B56)</x:f>
      </x:c>
      <x:c r="D719" s="2" t="str">
        <x:f>IF(B719="","",'Motor_Meciuri'!D56)</x:f>
      </x:c>
      <x:c r="E719" s="2" t="str">
        <x:f>IF(B719="","",'Motor_Meciuri'!E56)</x:f>
      </x:c>
      <x:c r="F719" s="2" t="str">
        <x:v>U17,5</x:v>
      </x:c>
      <x:c r="G719" s="2" t="str">
        <x:v>UNDER</x:v>
      </x:c>
      <x:c r="H719" s="2" t="n">
        <x:v>17</x:v>
      </x:c>
      <x:c r="I719" s="2" t="str">
        <x:f>IF(B719="","",'Motor_Meciuri'!H56)</x:f>
      </x:c>
      <x:c r="J719" s="2" t="str">
        <x:f>IF(B719="","",'Motor_Meciuri'!I56)</x:f>
      </x:c>
      <x:c r="K719" s="11" t="str">
        <x:f>IF(J719&lt;&gt;"PASS","",'Motor_Meciuri'!BD56)</x:f>
      </x:c>
      <x:c r="L719" s="11" t="str">
        <x:f>IF(J719&lt;&gt;"PASS","",'Motor_Meciuri'!AU56)</x:f>
      </x:c>
      <x:c r="M719" s="10" t="str">
        <x:f>IF(NOT(AND(J719="PASS",'Calibrare_Linii'!U19="VALID")),"",'Distributie'!AO56)</x:f>
      </x:c>
      <x:c r="N719" s="10" t="str">
        <x:f>IF(M719="","",MAX(0.01,MIN(0.99,0.5+(M719-0.5)*'Motor_Meciuri'!BG56*'Calibrare_Linii'!D19)))</x:f>
      </x:c>
      <x:c r="O719" s="10" t="str">
        <x:f>IF(M719="","",1-M719)</x:f>
      </x:c>
      <x:c r="P719" s="10" t="str">
        <x:f>IF(OR(NOT(AND(J719="PASS",'Calibrare_Linii'!U19="VALID")),AK719=0),""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*('Istoric_Nativ'!$Q$6:$Q$405&gt;H719))/AK719)</x:f>
      </x:c>
      <x:c r="Q719" s="10" t="str">
        <x:f>IF(OR(NOT(AND(J719="PASS",'Calibrare_Linii'!U19="VALID")),AL719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M56)+((('Istoric_Nativ'!$E$6:$E$405='Input_Meci'!E56)+('Istoric_Nativ'!$F$6:$F$405='Input_Meci'!E56))&gt;0)*('Istoric_Nativ'!$D$6:$D$405&gt;='Motor_Meciuri'!BN56))&gt;0)*('Istoric_Nativ'!$Q$6:$Q$405&gt;H719))/AL719)</x:f>
      </x:c>
      <x:c r="R719" s="10" t="str">
        <x:f>IF(OR(NOT(AND(J719="PASS",'Calibrare_Linii'!U19="VALID")),AM719=0),""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'Motor_Meciuri'!BO56)+((('Istoric_Nativ'!$E$6:$E$405='Input_Meci'!E56)+('Istoric_Nativ'!$F$6:$F$405='Input_Meci'!E56))&gt;0)*('Istoric_Nativ'!$D$6:$D$405&gt;='Motor_Meciuri'!BP56))&gt;0)*('Istoric_Nativ'!$Q$6:$Q$405&gt;H719))/AM719)</x:f>
      </x:c>
      <x:c r="S719" s="10" t="str">
        <x:f>IF(M719="","",MAX(O719,P719,Q719,R719))</x:f>
      </x:c>
      <x:c r="T719" s="11" t="str">
        <x:f>IF(M719="","",MIN(100,S719*100*'Config_v6'!$B$44+MIN(100,L719/'Config_v6'!$B$13*100)*'Config_v6'!$B$45+(100-'Motor_Meciuri'!BF56)*'Config_v6'!$B$46+'Motor_Meciuri'!BH56*100*'Config_v6'!$B$47))</x:f>
      </x:c>
      <x:c r="U719" s="2" t="str">
        <x:f>IF(T719="","",IF(T719&lt;=20,1,IF(T719&lt;=40,2,IF(T719&lt;=60,3,IF(T719&lt;=80,4,5)))))</x:f>
      </x:c>
      <x:c r="V719" s="2" t="str">
        <x:f>IF(M719="","",MAX(0,'Motor_Meciuri'!BF56-IF(W719="OOS PENDING",'Config_v6'!$B$35,0)-IF(L719&gt;'Config_v6'!$B$12,'Config_v6'!$B$37,IF(L719&gt;'Config_v6'!$B$11,'Config_v6'!$B$36,0))))</x:f>
      </x:c>
      <x:c r="W719" s="2" t="str">
        <x:f>IF(B719="","",IF(I719&lt;&gt;"READY","NOT RELEASED",IF(NOT(AND(J719="PASS",'Calibrare_Linii'!U19="VALID")),"INVALID",IF(NOT(AND('Calibrare_Linii'!S19="VALIDATED",AND('Calibrare_Linii'!H19=C719,ISNUMBER('Calibrare_Linii'!J19),'Calibrare_Linii'!J19&lt;='Input_Meci'!G56))),"OOS PENDING",IF(S719&lt;='Calibrare_Linii'!E19,"PASS",IF(S719&lt;='Calibrare_Linii'!F19,"PENALTY","WATCH"))))))</x:f>
      </x:c>
      <x:c r="X719" s="2" t="str">
        <x:f>IF(M719="","",IF(AND(AND(J719="PASS",'Calibrare_Linii'!U19="VALID"),'Motor_Meciuri'!K56=12,'Motor_Meciuri'!L56=12,'Motor_Meciuri'!M56="NO",'Motor_Meciuri'!BL56='Motor_Meciuri'!C56,AB719&gt;='Config_v6'!$B$50,AN719&gt;='Config_v6'!$B$51,T719&lt;='Config_v6'!$B$52,L719&lt;='Config_v6'!$B$53,ISNUMBER('Calibrare_Linii'!E19),S719&lt;='Calibrare_Linii'!E19,SUM(AK719:AM719)&gt;0),"CANDIDATE","NO"))</x:f>
      </x:c>
      <x:c r="Y719" s="2" t="str">
        <x:f>IF(B719="","",IF(I719&lt;&gt;"READY","NOT RELEASED",IF(AND(X719="CANDIDATE",V719&gt;='Config_v6'!$B$51,W719="PASS",'Calibrare_Linii'!T19="VALIDATED",AND('Calibrare_Linii'!H19=C719,ISNUMBER('Calibrare_Linii'!J19),'Calibrare_Linii'!J19&lt;='Input_Meci'!G56)),"PASS",IF(X719="CANDIDATE","OOS PENDING","FAIL"))))</x:f>
      </x:c>
      <x:c r="Z719" s="2" t="str">
        <x:f>IF(B719="","",IF(I719&lt;&gt;"READY","",IF(OR(NOT(AND(J719="PASS",'Calibrare_Linii'!U19="VALID")),L719&gt;'Config_v6'!$B$13,W719="WATCH"),5,IF(Y719="PASS",1,MIN(5,MAX('Config_v6'!$B$42,U719)+IF(W719="PENALTY",1,0))))))</x:f>
      </x:c>
      <x:c r="AA719" s="2" t="str">
        <x:f>IF(B719="","",IF(I719&lt;&gt;"READY","NOT RELEASED",IF(Z719=5,"NO BET",IF(OR(AB719&lt;'Config_v6'!$B$16,V719&lt;'Config_v6'!$B$18),"WATCH",IF(Z719=1,"DEFENSIV",IF(Z719=2,"PRUDENT",IF(Z719=3,"MODERAT","RIDICAT")))))))</x:f>
      </x:c>
      <x:c r="AB719" s="10" t="str">
        <x:f>IF(N719="","",MIN(N719,1-S719))</x:f>
      </x:c>
      <x:c r="AC719" s="2" t="str">
        <x:f>IF(AD719&lt;&gt;1,"",COUNTIFS($Z$706:$Z$719,"&lt;"&amp;Z719,$AD$706:$AD$719,1)+COUNTIFS($Z$706:$Z$719,Z719,$AB$706:$AB$719,"&gt;"&amp;AB719,$AD$706:$AD$719,1)+COUNTIFS($Z$706:$Z$719,Z719,$AB$706:$AB$719,AB719,$V$706:$V$719,"&gt;"&amp;V719,$AD$706:$AD$719,1)+COUNTIFS($Z$706:Z719,Z719,$AB$706:AB719,AB719,$V$706:V719,V719,$AD$706:AD719,1))</x:f>
      </x:c>
      <x:c r="AD719" s="2" t="n">
        <x:f>IF(OR(AA719="DEFENSIV",AA719="PRUDENT",AA719="MODERAT",AA719="RIDICAT"),1,0)</x:f>
        <x:v>0</x:v>
      </x:c>
      <x:c r="AE719" s="2" t="str">
        <x:f>IF(AD719&lt;&gt;1,"NO",IF(W719="PASS","YES",IF(W719="OOS PENDING","CONDITIONAL","NO")))</x:f>
        <x:v>NO</x:v>
      </x:c>
      <x:c r="AF719" s="2" t="n">
        <x:f>IF(AND(AD719=1,AC719=1,E719="LIVE"),1,0)</x:f>
        <x:v>0</x:v>
      </x:c>
      <x:c r="AG719" s="2" t="str">
        <x:f>IF(AF719&lt;&gt;1,"",'Dashboard'!P76)</x:f>
      </x:c>
      <x:c r="AH719" s="2" t="str">
        <x:f>IF(B719="","",IF(J719&lt;&gt;"PASS",'Motor_Meciuri'!J56,IF('Calibrare_Linii'!U19&lt;&gt;"VALID","Parametri linie invalizi",IF(L719&gt;'Config_v6'!$B$13,"Dispersie peste limita",IF(W719="WATCH","Failure peste limita",IF(AB719&lt;'Config_v6'!$B$16,"P finala sub prag",IF(V719&lt;'Config_v6'!$B$18,"Confidence sub prag",IF(E719="REPLAY","Exemplu retrospectiv; exclus din Top LIVE",IF(Y719="PASS","DEFENSIV validat",IF(W719="OOS PENDING","Eligibil; calibrare linie in monitorizare","Eligibil"))))))))))</x:f>
      </x:c>
      <x:c r="AI719" s="2" t="str">
        <x:f>IF(B719="","",'Calibrare_Linii'!V19)</x:f>
      </x:c>
      <x:c r="AJ719" s="2" t="str">
        <x:f>IF(B719="","",IF(AND('Calibrare_Linii'!T19="VALIDATED",AND('Calibrare_Linii'!H19=C719,ISNUMBER('Calibrare_Linii'!J19),'Calibrare_Linii'!J19&lt;='Input_Meci'!G56)),"DEFENSIVE VALIDATED",IF(AND('Calibrare_Linii'!S19="VALIDATED",AND('Calibrare_Linii'!H19=C719,ISNUMBER('Calibrare_Linii'!J19),'Calibrare_Linii'!J19&lt;='Input_Meci'!G56)),"TAIL VALIDATED","OOS PENDING")))</x:f>
      </x:c>
      <x:c r="AK719" s="2" t="n">
        <x:f>IF(J719&lt;&gt;"PASS",0,'Motor_Meciuri'!BR56)</x:f>
        <x:v>0</x:v>
      </x:c>
      <x:c r="AL719" s="2" t="n">
        <x:f>IF(J719&lt;&gt;"PASS",0,'Motor_Meciuri'!BS56)</x:f>
        <x:v>0</x:v>
      </x:c>
      <x:c r="AM719" s="2" t="n">
        <x:f>IF(J719&lt;&gt;"PASS",0,'Motor_Meciuri'!BT56)</x:f>
        <x:v>0</x:v>
      </x:c>
      <x:c r="AN719" s="2" t="str">
        <x:f>IF(M719="","",MAX(0,'Motor_Meciuri'!BF56-IF(L719&gt;'Config_v6'!$B$12,'Config_v6'!$B$37,IF(L719&gt;'Config_v6'!$B$11,'Config_v6'!$B$36,0))))</x:f>
      </x:c>
    </x:row>
    <x:row r="720" ht="21" customHeight="1">
      <x:c r="A720" s="2" t="n">
        <x:v>52</x:v>
      </x:c>
      <x:c r="B720" s="2" t="str">
        <x:f>IF('Motor_Meciuri'!A57="","",'Motor_Meciuri'!A57)</x:f>
      </x:c>
      <x:c r="C720" s="2" t="str">
        <x:f>IF(B720="","",'Motor_Meciuri'!B57)</x:f>
      </x:c>
      <x:c r="D720" s="2" t="str">
        <x:f>IF(B720="","",'Motor_Meciuri'!D57)</x:f>
      </x:c>
      <x:c r="E720" s="2" t="str">
        <x:f>IF(B720="","",'Motor_Meciuri'!E57)</x:f>
      </x:c>
      <x:c r="F720" s="2" t="str">
        <x:v>O3,5</x:v>
      </x:c>
      <x:c r="G720" s="2" t="str">
        <x:v>OVER</x:v>
      </x:c>
      <x:c r="H720" s="2" t="n">
        <x:v>3</x:v>
      </x:c>
      <x:c r="I720" s="2" t="str">
        <x:f>IF(B720="","",'Motor_Meciuri'!H57)</x:f>
      </x:c>
      <x:c r="J720" s="2" t="str">
        <x:f>IF(B720="","",'Motor_Meciuri'!I57)</x:f>
      </x:c>
      <x:c r="K720" s="11" t="str">
        <x:f>IF(J720&lt;&gt;"PASS","",'Motor_Meciuri'!BD57)</x:f>
      </x:c>
      <x:c r="L720" s="11" t="str">
        <x:f>IF(J720&lt;&gt;"PASS","",'Motor_Meciuri'!AU57)</x:f>
      </x:c>
      <x:c r="M720" s="10" t="str">
        <x:f>IF(NOT(AND(J720="PASS",'Calibrare_Linii'!U6="VALID")),"",1-'Distributie'!AA57)</x:f>
      </x:c>
      <x:c r="N720" s="10" t="str">
        <x:f>IF(M720="","",MAX(0.01,MIN(0.99,0.5+(M720-0.5)*'Motor_Meciuri'!BG57*'Calibrare_Linii'!D6)))</x:f>
      </x:c>
      <x:c r="O720" s="10" t="str">
        <x:f>IF(M720="","",1-M720)</x:f>
      </x:c>
      <x:c r="P720" s="10" t="str">
        <x:f>IF(OR(NOT(AND(J720="PASS",'Calibrare_Linii'!U6="VALID")),AK720=0),""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*('Istoric_Nativ'!$Q$6:$Q$405&lt;=H720))/AK720)</x:f>
      </x:c>
      <x:c r="Q720" s="10" t="str">
        <x:f>IF(OR(NOT(AND(J720="PASS",'Calibrare_Linii'!U6="VALID")),AL720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M57)+((('Istoric_Nativ'!$E$6:$E$405='Input_Meci'!E57)+('Istoric_Nativ'!$F$6:$F$405='Input_Meci'!E57))&gt;0)*('Istoric_Nativ'!$D$6:$D$405&gt;='Motor_Meciuri'!BN57))&gt;0)*('Istoric_Nativ'!$Q$6:$Q$405&lt;=H720))/AL720)</x:f>
      </x:c>
      <x:c r="R720" s="10" t="str">
        <x:f>IF(OR(NOT(AND(J720="PASS",'Calibrare_Linii'!U6="VALID")),AM720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O57)+((('Istoric_Nativ'!$E$6:$E$405='Input_Meci'!E57)+('Istoric_Nativ'!$F$6:$F$405='Input_Meci'!E57))&gt;0)*('Istoric_Nativ'!$D$6:$D$405&gt;='Motor_Meciuri'!BP57))&gt;0)*('Istoric_Nativ'!$Q$6:$Q$405&lt;=H720))/AM720)</x:f>
      </x:c>
      <x:c r="S720" s="10" t="str">
        <x:f>IF(M720="","",MAX(O720,P720,Q720,R720))</x:f>
      </x:c>
      <x:c r="T720" s="11" t="str">
        <x:f>IF(M720="","",MIN(100,S720*100*'Config_v6'!$B$44+MIN(100,L720/'Config_v6'!$B$13*100)*'Config_v6'!$B$45+(100-'Motor_Meciuri'!BF57)*'Config_v6'!$B$46+'Motor_Meciuri'!BH57*100*'Config_v6'!$B$47))</x:f>
      </x:c>
      <x:c r="U720" s="2" t="str">
        <x:f>IF(T720="","",IF(T720&lt;=20,1,IF(T720&lt;=40,2,IF(T720&lt;=60,3,IF(T720&lt;=80,4,5)))))</x:f>
      </x:c>
      <x:c r="V720" s="2" t="str">
        <x:f>IF(M720="","",MAX(0,'Motor_Meciuri'!BF57-IF(W720="OOS PENDING",'Config_v6'!$B$35,0)-IF(L720&gt;'Config_v6'!$B$12,'Config_v6'!$B$37,IF(L720&gt;'Config_v6'!$B$11,'Config_v6'!$B$36,0))))</x:f>
      </x:c>
      <x:c r="W720" s="2" t="str">
        <x:f>IF(B720="","",IF(I720&lt;&gt;"READY","NOT RELEASED",IF(NOT(AND(J720="PASS",'Calibrare_Linii'!U6="VALID")),"INVALID",IF(NOT(TRUE),"OOS PENDING",IF(S720&lt;=IF(AND('Calibrare_Linii'!S6="VALIDATED",AND('Calibrare_Linii'!H6=C720,ISNUMBER('Calibrare_Linii'!J6),'Calibrare_Linii'!J6&lt;='Input_Meci'!G57)),'Calibrare_Linii'!E6,'Config_v6'!$B$26),"PASS",IF(S720&lt;=IF(AND('Calibrare_Linii'!S6="VALIDATED",AND('Calibrare_Linii'!H6=C720,ISNUMBER('Calibrare_Linii'!J6),'Calibrare_Linii'!J6&lt;='Input_Meci'!G57)),'Calibrare_Linii'!F6,'Config_v6'!$C$26),"PENALTY","WATCH"))))))</x:f>
      </x:c>
      <x:c r="X720" s="2" t="str">
        <x:f>IF(M720="","",IF(AND(AND(J720="PASS",'Calibrare_Linii'!U6="VALID"),'Motor_Meciuri'!K57=12,'Motor_Meciuri'!L57=12,'Motor_Meciuri'!M57="NO",'Motor_Meciuri'!BL57='Motor_Meciuri'!C57,AB720&gt;='Config_v6'!$B$50,AN720&gt;='Config_v6'!$B$51,T720&lt;='Config_v6'!$B$52,L720&lt;='Config_v6'!$B$53,ISNUMBER('Calibrare_Linii'!E6),S720&lt;='Calibrare_Linii'!E6,SUM(AK720:AM720)&gt;0),"CANDIDATE","NO"))</x:f>
      </x:c>
      <x:c r="Y720" s="2" t="str">
        <x:f>IF(B720="","",IF(I720&lt;&gt;"READY","NOT RELEASED",IF(AND(X720="CANDIDATE",V720&gt;='Config_v6'!$B$51,W720="PASS",'Calibrare_Linii'!T6="VALIDATED",AND('Calibrare_Linii'!H6=C720,ISNUMBER('Calibrare_Linii'!J6),'Calibrare_Linii'!J6&lt;='Input_Meci'!G57)),"PASS",IF(X720="CANDIDATE","OOS PENDING","FAIL"))))</x:f>
      </x:c>
      <x:c r="Z720" s="2" t="str">
        <x:f>IF(B720="","",IF(I720&lt;&gt;"READY","",IF(OR(NOT(AND(J720="PASS",'Calibrare_Linii'!U6="VALID")),L720&gt;'Config_v6'!$B$13,W720="WATCH"),5,IF(Y720="PASS",1,MIN(5,MAX('Config_v6'!$B$42,U720)+IF(W720="PENALTY",1,0))))))</x:f>
      </x:c>
      <x:c r="AA720" s="2" t="str">
        <x:f>IF(B720="","",IF(I720&lt;&gt;"READY","NOT RELEASED",IF(Z720=5,"NO BET",IF(OR(AB720&lt;'Config_v6'!$B$16,V720&lt;'Config_v6'!$B$18),"WATCH",IF(Z720=1,"DEFENSIV",IF(Z720=2,"PRUDENT",IF(Z720=3,"MODERAT","RIDICAT")))))))</x:f>
      </x:c>
      <x:c r="AB720" s="10" t="str">
        <x:f>IF(N720="","",MIN(N720,1-S720))</x:f>
      </x:c>
      <x:c r="AC720" s="2" t="str">
        <x:f>IF(AD720&lt;&gt;1,"",COUNTIFS($Z$720:$Z$733,"&lt;"&amp;Z720,$AD$720:$AD$733,1)+COUNTIFS($Z$720:$Z$733,Z720,$AB$720:$AB$733,"&gt;"&amp;AB720,$AD$720:$AD$733,1)+COUNTIFS($Z$720:$Z$733,Z720,$AB$720:$AB$733,AB720,$V$720:$V$733,"&gt;"&amp;V720,$AD$720:$AD$733,1)+COUNTIFS($Z$720:Z720,Z720,$AB$720:AB720,AB720,$V$720:V720,V720,$AD$720:AD720,1))</x:f>
      </x:c>
      <x:c r="AD720" s="2" t="n">
        <x:f>IF(OR(AA720="DEFENSIV",AA720="PRUDENT",AA720="MODERAT",AA720="RIDICAT"),1,0)</x:f>
        <x:v>0</x:v>
      </x:c>
      <x:c r="AE720" s="2" t="str">
        <x:f>IF(AD720&lt;&gt;1,"NO",IF(W720="PASS","YES",IF(W720="OOS PENDING","CONDITIONAL","NO")))</x:f>
        <x:v>NO</x:v>
      </x:c>
      <x:c r="AF720" s="2" t="n">
        <x:f>IF(AND(AD720=1,AC720=1,E720="LIVE"),1,0)</x:f>
        <x:v>0</x:v>
      </x:c>
      <x:c r="AG720" s="2" t="str">
        <x:f>IF(AF720&lt;&gt;1,"",'Dashboard'!P77)</x:f>
      </x:c>
      <x:c r="AH720" s="2" t="str">
        <x:f>IF(B720="","",IF(J720&lt;&gt;"PASS",'Motor_Meciuri'!J57,IF('Calibrare_Linii'!U6&lt;&gt;"VALID","Parametri linie invalizi",IF(L720&gt;'Config_v6'!$B$13,"Dispersie peste limita",IF(W720="WATCH","Failure peste limita",IF(AB720&lt;'Config_v6'!$B$16,"P finala sub prag",IF(V720&lt;'Config_v6'!$B$18,"Confidence sub prag",IF(E720="REPLAY","Exemplu retrospectiv; exclus din Top LIVE",IF(Y720="PASS","DEFENSIV validat",IF(W720="OOS PENDING","Eligibil; calibrare linie in monitorizare","Eligibil"))))))))))</x:f>
      </x:c>
      <x:c r="AI720" s="2" t="str">
        <x:f>IF(B720="","",'Calibrare_Linii'!V6)</x:f>
      </x:c>
      <x:c r="AJ720" s="2" t="str">
        <x:f>IF(B720="","",IF(AND('Calibrare_Linii'!T6="VALIDATED",AND('Calibrare_Linii'!H6=C720,ISNUMBER('Calibrare_Linii'!J6),'Calibrare_Linii'!J6&lt;='Input_Meci'!G57)),"DEFENSIVE VALIDATED",IF(AND('Calibrare_Linii'!S6="VALIDATED",AND('Calibrare_Linii'!H6=C720,ISNUMBER('Calibrare_Linii'!J6),'Calibrare_Linii'!J6&lt;='Input_Meci'!G57)),"TAIL VALIDATED","OOS PENDING")))</x:f>
      </x:c>
      <x:c r="AK720" s="2" t="n">
        <x:f>IF(J720&lt;&gt;"PASS",0,'Motor_Meciuri'!BR57)</x:f>
        <x:v>0</x:v>
      </x:c>
      <x:c r="AL720" s="2" t="n">
        <x:f>IF(J720&lt;&gt;"PASS",0,'Motor_Meciuri'!BS57)</x:f>
        <x:v>0</x:v>
      </x:c>
      <x:c r="AM720" s="2" t="n">
        <x:f>IF(J720&lt;&gt;"PASS",0,'Motor_Meciuri'!BT57)</x:f>
        <x:v>0</x:v>
      </x:c>
      <x:c r="AN720" s="2" t="str">
        <x:f>IF(M720="","",MAX(0,'Motor_Meciuri'!BF57-IF(L720&gt;'Config_v6'!$B$12,'Config_v6'!$B$37,IF(L720&gt;'Config_v6'!$B$11,'Config_v6'!$B$36,0))))</x:f>
      </x:c>
    </x:row>
    <x:row r="721" ht="21" customHeight="1">
      <x:c r="A721" s="2" t="n">
        <x:v>52</x:v>
      </x:c>
      <x:c r="B721" s="2" t="str">
        <x:f>IF('Motor_Meciuri'!A57="","",'Motor_Meciuri'!A57)</x:f>
      </x:c>
      <x:c r="C721" s="2" t="str">
        <x:f>IF(B721="","",'Motor_Meciuri'!B57)</x:f>
      </x:c>
      <x:c r="D721" s="2" t="str">
        <x:f>IF(B721="","",'Motor_Meciuri'!D57)</x:f>
      </x:c>
      <x:c r="E721" s="2" t="str">
        <x:f>IF(B721="","",'Motor_Meciuri'!E57)</x:f>
      </x:c>
      <x:c r="F721" s="2" t="str">
        <x:v>O4,5</x:v>
      </x:c>
      <x:c r="G721" s="2" t="str">
        <x:v>OVER</x:v>
      </x:c>
      <x:c r="H721" s="2" t="n">
        <x:v>4</x:v>
      </x:c>
      <x:c r="I721" s="2" t="str">
        <x:f>IF(B721="","",'Motor_Meciuri'!H57)</x:f>
      </x:c>
      <x:c r="J721" s="2" t="str">
        <x:f>IF(B721="","",'Motor_Meciuri'!I57)</x:f>
      </x:c>
      <x:c r="K721" s="11" t="str">
        <x:f>IF(J721&lt;&gt;"PASS","",'Motor_Meciuri'!BD57)</x:f>
      </x:c>
      <x:c r="L721" s="11" t="str">
        <x:f>IF(J721&lt;&gt;"PASS","",'Motor_Meciuri'!AU57)</x:f>
      </x:c>
      <x:c r="M721" s="10" t="str">
        <x:f>IF(NOT(AND(J721="PASS",'Calibrare_Linii'!U7="VALID")),"",1-'Distributie'!AB57)</x:f>
      </x:c>
      <x:c r="N721" s="10" t="str">
        <x:f>IF(M721="","",MAX(0.01,MIN(0.99,0.5+(M721-0.5)*'Motor_Meciuri'!BG57*'Calibrare_Linii'!D7)))</x:f>
      </x:c>
      <x:c r="O721" s="10" t="str">
        <x:f>IF(M721="","",1-M721)</x:f>
      </x:c>
      <x:c r="P721" s="10" t="str">
        <x:f>IF(OR(NOT(AND(J721="PASS",'Calibrare_Linii'!U7="VALID")),AK721=0),""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*('Istoric_Nativ'!$Q$6:$Q$405&lt;=H721))/AK721)</x:f>
      </x:c>
      <x:c r="Q721" s="10" t="str">
        <x:f>IF(OR(NOT(AND(J721="PASS",'Calibrare_Linii'!U7="VALID")),AL721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M57)+((('Istoric_Nativ'!$E$6:$E$405='Input_Meci'!E57)+('Istoric_Nativ'!$F$6:$F$405='Input_Meci'!E57))&gt;0)*('Istoric_Nativ'!$D$6:$D$405&gt;='Motor_Meciuri'!BN57))&gt;0)*('Istoric_Nativ'!$Q$6:$Q$405&lt;=H721))/AL721)</x:f>
      </x:c>
      <x:c r="R721" s="10" t="str">
        <x:f>IF(OR(NOT(AND(J721="PASS",'Calibrare_Linii'!U7="VALID")),AM721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O57)+((('Istoric_Nativ'!$E$6:$E$405='Input_Meci'!E57)+('Istoric_Nativ'!$F$6:$F$405='Input_Meci'!E57))&gt;0)*('Istoric_Nativ'!$D$6:$D$405&gt;='Motor_Meciuri'!BP57))&gt;0)*('Istoric_Nativ'!$Q$6:$Q$405&lt;=H721))/AM721)</x:f>
      </x:c>
      <x:c r="S721" s="10" t="str">
        <x:f>IF(M721="","",MAX(O721,P721,Q721,R721))</x:f>
      </x:c>
      <x:c r="T721" s="11" t="str">
        <x:f>IF(M721="","",MIN(100,S721*100*'Config_v6'!$B$44+MIN(100,L721/'Config_v6'!$B$13*100)*'Config_v6'!$B$45+(100-'Motor_Meciuri'!BF57)*'Config_v6'!$B$46+'Motor_Meciuri'!BH57*100*'Config_v6'!$B$47))</x:f>
      </x:c>
      <x:c r="U721" s="2" t="str">
        <x:f>IF(T721="","",IF(T721&lt;=20,1,IF(T721&lt;=40,2,IF(T721&lt;=60,3,IF(T721&lt;=80,4,5)))))</x:f>
      </x:c>
      <x:c r="V721" s="2" t="str">
        <x:f>IF(M721="","",MAX(0,'Motor_Meciuri'!BF57-IF(W721="OOS PENDING",'Config_v6'!$B$35,0)-IF(L721&gt;'Config_v6'!$B$12,'Config_v6'!$B$37,IF(L721&gt;'Config_v6'!$B$11,'Config_v6'!$B$36,0))))</x:f>
      </x:c>
      <x:c r="W721" s="2" t="str">
        <x:f>IF(B721="","",IF(I721&lt;&gt;"READY","NOT RELEASED",IF(NOT(AND(J721="PASS",'Calibrare_Linii'!U7="VALID")),"INVALID",IF(NOT(AND('Calibrare_Linii'!S7="VALIDATED",AND('Calibrare_Linii'!H7=C721,ISNUMBER('Calibrare_Linii'!J7),'Calibrare_Linii'!J7&lt;='Input_Meci'!G57))),"OOS PENDING",IF(S721&lt;='Calibrare_Linii'!E7,"PASS",IF(S721&lt;='Calibrare_Linii'!F7,"PENALTY","WATCH"))))))</x:f>
      </x:c>
      <x:c r="X721" s="2" t="str">
        <x:f>IF(M721="","",IF(AND(AND(J721="PASS",'Calibrare_Linii'!U7="VALID"),'Motor_Meciuri'!K57=12,'Motor_Meciuri'!L57=12,'Motor_Meciuri'!M57="NO",'Motor_Meciuri'!BL57='Motor_Meciuri'!C57,AB721&gt;='Config_v6'!$B$50,AN721&gt;='Config_v6'!$B$51,T721&lt;='Config_v6'!$B$52,L721&lt;='Config_v6'!$B$53,ISNUMBER('Calibrare_Linii'!E7),S721&lt;='Calibrare_Linii'!E7,SUM(AK721:AM721)&gt;0),"CANDIDATE","NO"))</x:f>
      </x:c>
      <x:c r="Y721" s="2" t="str">
        <x:f>IF(B721="","",IF(I721&lt;&gt;"READY","NOT RELEASED",IF(AND(X721="CANDIDATE",V721&gt;='Config_v6'!$B$51,W721="PASS",'Calibrare_Linii'!T7="VALIDATED",AND('Calibrare_Linii'!H7=C721,ISNUMBER('Calibrare_Linii'!J7),'Calibrare_Linii'!J7&lt;='Input_Meci'!G57)),"PASS",IF(X721="CANDIDATE","OOS PENDING","FAIL"))))</x:f>
      </x:c>
      <x:c r="Z721" s="2" t="str">
        <x:f>IF(B721="","",IF(I721&lt;&gt;"READY","",IF(OR(NOT(AND(J721="PASS",'Calibrare_Linii'!U7="VALID")),L721&gt;'Config_v6'!$B$13,W721="WATCH"),5,IF(Y721="PASS",1,MIN(5,MAX('Config_v6'!$B$42,U721)+IF(W721="PENALTY",1,0))))))</x:f>
      </x:c>
      <x:c r="AA721" s="2" t="str">
        <x:f>IF(B721="","",IF(I721&lt;&gt;"READY","NOT RELEASED",IF(Z721=5,"NO BET",IF(OR(AB721&lt;'Config_v6'!$B$16,V721&lt;'Config_v6'!$B$18),"WATCH",IF(Z721=1,"DEFENSIV",IF(Z721=2,"PRUDENT",IF(Z721=3,"MODERAT","RIDICAT")))))))</x:f>
      </x:c>
      <x:c r="AB721" s="10" t="str">
        <x:f>IF(N721="","",MIN(N721,1-S721))</x:f>
      </x:c>
      <x:c r="AC721" s="2" t="str">
        <x:f>IF(AD721&lt;&gt;1,"",COUNTIFS($Z$720:$Z$733,"&lt;"&amp;Z721,$AD$720:$AD$733,1)+COUNTIFS($Z$720:$Z$733,Z721,$AB$720:$AB$733,"&gt;"&amp;AB721,$AD$720:$AD$733,1)+COUNTIFS($Z$720:$Z$733,Z721,$AB$720:$AB$733,AB721,$V$720:$V$733,"&gt;"&amp;V721,$AD$720:$AD$733,1)+COUNTIFS($Z$720:Z721,Z721,$AB$720:AB721,AB721,$V$720:V721,V721,$AD$720:AD721,1))</x:f>
      </x:c>
      <x:c r="AD721" s="2" t="n">
        <x:f>IF(OR(AA721="DEFENSIV",AA721="PRUDENT",AA721="MODERAT",AA721="RIDICAT"),1,0)</x:f>
        <x:v>0</x:v>
      </x:c>
      <x:c r="AE721" s="2" t="str">
        <x:f>IF(AD721&lt;&gt;1,"NO",IF(W721="PASS","YES",IF(W721="OOS PENDING","CONDITIONAL","NO")))</x:f>
        <x:v>NO</x:v>
      </x:c>
      <x:c r="AF721" s="2" t="n">
        <x:f>IF(AND(AD721=1,AC721=1,E721="LIVE"),1,0)</x:f>
        <x:v>0</x:v>
      </x:c>
      <x:c r="AG721" s="2" t="str">
        <x:f>IF(AF721&lt;&gt;1,"",'Dashboard'!P77)</x:f>
      </x:c>
      <x:c r="AH721" s="2" t="str">
        <x:f>IF(B721="","",IF(J721&lt;&gt;"PASS",'Motor_Meciuri'!J57,IF('Calibrare_Linii'!U7&lt;&gt;"VALID","Parametri linie invalizi",IF(L721&gt;'Config_v6'!$B$13,"Dispersie peste limita",IF(W721="WATCH","Failure peste limita",IF(AB721&lt;'Config_v6'!$B$16,"P finala sub prag",IF(V721&lt;'Config_v6'!$B$18,"Confidence sub prag",IF(E721="REPLAY","Exemplu retrospectiv; exclus din Top LIVE",IF(Y721="PASS","DEFENSIV validat",IF(W721="OOS PENDING","Eligibil; calibrare linie in monitorizare","Eligibil"))))))))))</x:f>
      </x:c>
      <x:c r="AI721" s="2" t="str">
        <x:f>IF(B721="","",'Calibrare_Linii'!V7)</x:f>
      </x:c>
      <x:c r="AJ721" s="2" t="str">
        <x:f>IF(B721="","",IF(AND('Calibrare_Linii'!T7="VALIDATED",AND('Calibrare_Linii'!H7=C721,ISNUMBER('Calibrare_Linii'!J7),'Calibrare_Linii'!J7&lt;='Input_Meci'!G57)),"DEFENSIVE VALIDATED",IF(AND('Calibrare_Linii'!S7="VALIDATED",AND('Calibrare_Linii'!H7=C721,ISNUMBER('Calibrare_Linii'!J7),'Calibrare_Linii'!J7&lt;='Input_Meci'!G57)),"TAIL VALIDATED","OOS PENDING")))</x:f>
      </x:c>
      <x:c r="AK721" s="2" t="n">
        <x:f>IF(J721&lt;&gt;"PASS",0,'Motor_Meciuri'!BR57)</x:f>
        <x:v>0</x:v>
      </x:c>
      <x:c r="AL721" s="2" t="n">
        <x:f>IF(J721&lt;&gt;"PASS",0,'Motor_Meciuri'!BS57)</x:f>
        <x:v>0</x:v>
      </x:c>
      <x:c r="AM721" s="2" t="n">
        <x:f>IF(J721&lt;&gt;"PASS",0,'Motor_Meciuri'!BT57)</x:f>
        <x:v>0</x:v>
      </x:c>
      <x:c r="AN721" s="2" t="str">
        <x:f>IF(M721="","",MAX(0,'Motor_Meciuri'!BF57-IF(L721&gt;'Config_v6'!$B$12,'Config_v6'!$B$37,IF(L721&gt;'Config_v6'!$B$11,'Config_v6'!$B$36,0))))</x:f>
      </x:c>
    </x:row>
    <x:row r="722" ht="21" customHeight="1">
      <x:c r="A722" s="2" t="n">
        <x:v>52</x:v>
      </x:c>
      <x:c r="B722" s="2" t="str">
        <x:f>IF('Motor_Meciuri'!A57="","",'Motor_Meciuri'!A57)</x:f>
      </x:c>
      <x:c r="C722" s="2" t="str">
        <x:f>IF(B722="","",'Motor_Meciuri'!B57)</x:f>
      </x:c>
      <x:c r="D722" s="2" t="str">
        <x:f>IF(B722="","",'Motor_Meciuri'!D57)</x:f>
      </x:c>
      <x:c r="E722" s="2" t="str">
        <x:f>IF(B722="","",'Motor_Meciuri'!E57)</x:f>
      </x:c>
      <x:c r="F722" s="2" t="str">
        <x:v>O5,5</x:v>
      </x:c>
      <x:c r="G722" s="2" t="str">
        <x:v>OVER</x:v>
      </x:c>
      <x:c r="H722" s="2" t="n">
        <x:v>5</x:v>
      </x:c>
      <x:c r="I722" s="2" t="str">
        <x:f>IF(B722="","",'Motor_Meciuri'!H57)</x:f>
      </x:c>
      <x:c r="J722" s="2" t="str">
        <x:f>IF(B722="","",'Motor_Meciuri'!I57)</x:f>
      </x:c>
      <x:c r="K722" s="11" t="str">
        <x:f>IF(J722&lt;&gt;"PASS","",'Motor_Meciuri'!BD57)</x:f>
      </x:c>
      <x:c r="L722" s="11" t="str">
        <x:f>IF(J722&lt;&gt;"PASS","",'Motor_Meciuri'!AU57)</x:f>
      </x:c>
      <x:c r="M722" s="10" t="str">
        <x:f>IF(NOT(AND(J722="PASS",'Calibrare_Linii'!U8="VALID")),"",1-'Distributie'!AC57)</x:f>
      </x:c>
      <x:c r="N722" s="10" t="str">
        <x:f>IF(M722="","",MAX(0.01,MIN(0.99,0.5+(M722-0.5)*'Motor_Meciuri'!BG57*'Calibrare_Linii'!D8)))</x:f>
      </x:c>
      <x:c r="O722" s="10" t="str">
        <x:f>IF(M722="","",1-M722)</x:f>
      </x:c>
      <x:c r="P722" s="10" t="str">
        <x:f>IF(OR(NOT(AND(J722="PASS",'Calibrare_Linii'!U8="VALID")),AK722=0),""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*('Istoric_Nativ'!$Q$6:$Q$405&lt;=H722))/AK722)</x:f>
      </x:c>
      <x:c r="Q722" s="10" t="str">
        <x:f>IF(OR(NOT(AND(J722="PASS",'Calibrare_Linii'!U8="VALID")),AL722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M57)+((('Istoric_Nativ'!$E$6:$E$405='Input_Meci'!E57)+('Istoric_Nativ'!$F$6:$F$405='Input_Meci'!E57))&gt;0)*('Istoric_Nativ'!$D$6:$D$405&gt;='Motor_Meciuri'!BN57))&gt;0)*('Istoric_Nativ'!$Q$6:$Q$405&lt;=H722))/AL722)</x:f>
      </x:c>
      <x:c r="R722" s="10" t="str">
        <x:f>IF(OR(NOT(AND(J722="PASS",'Calibrare_Linii'!U8="VALID")),AM722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O57)+((('Istoric_Nativ'!$E$6:$E$405='Input_Meci'!E57)+('Istoric_Nativ'!$F$6:$F$405='Input_Meci'!E57))&gt;0)*('Istoric_Nativ'!$D$6:$D$405&gt;='Motor_Meciuri'!BP57))&gt;0)*('Istoric_Nativ'!$Q$6:$Q$405&lt;=H722))/AM722)</x:f>
      </x:c>
      <x:c r="S722" s="10" t="str">
        <x:f>IF(M722="","",MAX(O722,P722,Q722,R722))</x:f>
      </x:c>
      <x:c r="T722" s="11" t="str">
        <x:f>IF(M722="","",MIN(100,S722*100*'Config_v6'!$B$44+MIN(100,L722/'Config_v6'!$B$13*100)*'Config_v6'!$B$45+(100-'Motor_Meciuri'!BF57)*'Config_v6'!$B$46+'Motor_Meciuri'!BH57*100*'Config_v6'!$B$47))</x:f>
      </x:c>
      <x:c r="U722" s="2" t="str">
        <x:f>IF(T722="","",IF(T722&lt;=20,1,IF(T722&lt;=40,2,IF(T722&lt;=60,3,IF(T722&lt;=80,4,5)))))</x:f>
      </x:c>
      <x:c r="V722" s="2" t="str">
        <x:f>IF(M722="","",MAX(0,'Motor_Meciuri'!BF57-IF(W722="OOS PENDING",'Config_v6'!$B$35,0)-IF(L722&gt;'Config_v6'!$B$12,'Config_v6'!$B$37,IF(L722&gt;'Config_v6'!$B$11,'Config_v6'!$B$36,0))))</x:f>
      </x:c>
      <x:c r="W722" s="2" t="str">
        <x:f>IF(B722="","",IF(I722&lt;&gt;"READY","NOT RELEASED",IF(NOT(AND(J722="PASS",'Calibrare_Linii'!U8="VALID")),"INVALID",IF(NOT(AND('Calibrare_Linii'!S8="VALIDATED",AND('Calibrare_Linii'!H8=C722,ISNUMBER('Calibrare_Linii'!J8),'Calibrare_Linii'!J8&lt;='Input_Meci'!G57))),"OOS PENDING",IF(S722&lt;='Calibrare_Linii'!E8,"PASS",IF(S722&lt;='Calibrare_Linii'!F8,"PENALTY","WATCH"))))))</x:f>
      </x:c>
      <x:c r="X722" s="2" t="str">
        <x:f>IF(M722="","",IF(AND(AND(J722="PASS",'Calibrare_Linii'!U8="VALID"),'Motor_Meciuri'!K57=12,'Motor_Meciuri'!L57=12,'Motor_Meciuri'!M57="NO",'Motor_Meciuri'!BL57='Motor_Meciuri'!C57,AB722&gt;='Config_v6'!$B$50,AN722&gt;='Config_v6'!$B$51,T722&lt;='Config_v6'!$B$52,L722&lt;='Config_v6'!$B$53,ISNUMBER('Calibrare_Linii'!E8),S722&lt;='Calibrare_Linii'!E8,SUM(AK722:AM722)&gt;0),"CANDIDATE","NO"))</x:f>
      </x:c>
      <x:c r="Y722" s="2" t="str">
        <x:f>IF(B722="","",IF(I722&lt;&gt;"READY","NOT RELEASED",IF(AND(X722="CANDIDATE",V722&gt;='Config_v6'!$B$51,W722="PASS",'Calibrare_Linii'!T8="VALIDATED",AND('Calibrare_Linii'!H8=C722,ISNUMBER('Calibrare_Linii'!J8),'Calibrare_Linii'!J8&lt;='Input_Meci'!G57)),"PASS",IF(X722="CANDIDATE","OOS PENDING","FAIL"))))</x:f>
      </x:c>
      <x:c r="Z722" s="2" t="str">
        <x:f>IF(B722="","",IF(I722&lt;&gt;"READY","",IF(OR(NOT(AND(J722="PASS",'Calibrare_Linii'!U8="VALID")),L722&gt;'Config_v6'!$B$13,W722="WATCH"),5,IF(Y722="PASS",1,MIN(5,MAX('Config_v6'!$B$42,U722)+IF(W722="PENALTY",1,0))))))</x:f>
      </x:c>
      <x:c r="AA722" s="2" t="str">
        <x:f>IF(B722="","",IF(I722&lt;&gt;"READY","NOT RELEASED",IF(Z722=5,"NO BET",IF(OR(AB722&lt;'Config_v6'!$B$16,V722&lt;'Config_v6'!$B$18),"WATCH",IF(Z722=1,"DEFENSIV",IF(Z722=2,"PRUDENT",IF(Z722=3,"MODERAT","RIDICAT")))))))</x:f>
      </x:c>
      <x:c r="AB722" s="10" t="str">
        <x:f>IF(N722="","",MIN(N722,1-S722))</x:f>
      </x:c>
      <x:c r="AC722" s="2" t="str">
        <x:f>IF(AD722&lt;&gt;1,"",COUNTIFS($Z$720:$Z$733,"&lt;"&amp;Z722,$AD$720:$AD$733,1)+COUNTIFS($Z$720:$Z$733,Z722,$AB$720:$AB$733,"&gt;"&amp;AB722,$AD$720:$AD$733,1)+COUNTIFS($Z$720:$Z$733,Z722,$AB$720:$AB$733,AB722,$V$720:$V$733,"&gt;"&amp;V722,$AD$720:$AD$733,1)+COUNTIFS($Z$720:Z722,Z722,$AB$720:AB722,AB722,$V$720:V722,V722,$AD$720:AD722,1))</x:f>
      </x:c>
      <x:c r="AD722" s="2" t="n">
        <x:f>IF(OR(AA722="DEFENSIV",AA722="PRUDENT",AA722="MODERAT",AA722="RIDICAT"),1,0)</x:f>
        <x:v>0</x:v>
      </x:c>
      <x:c r="AE722" s="2" t="str">
        <x:f>IF(AD722&lt;&gt;1,"NO",IF(W722="PASS","YES",IF(W722="OOS PENDING","CONDITIONAL","NO")))</x:f>
        <x:v>NO</x:v>
      </x:c>
      <x:c r="AF722" s="2" t="n">
        <x:f>IF(AND(AD722=1,AC722=1,E722="LIVE"),1,0)</x:f>
        <x:v>0</x:v>
      </x:c>
      <x:c r="AG722" s="2" t="str">
        <x:f>IF(AF722&lt;&gt;1,"",'Dashboard'!P77)</x:f>
      </x:c>
      <x:c r="AH722" s="2" t="str">
        <x:f>IF(B722="","",IF(J722&lt;&gt;"PASS",'Motor_Meciuri'!J57,IF('Calibrare_Linii'!U8&lt;&gt;"VALID","Parametri linie invalizi",IF(L722&gt;'Config_v6'!$B$13,"Dispersie peste limita",IF(W722="WATCH","Failure peste limita",IF(AB722&lt;'Config_v6'!$B$16,"P finala sub prag",IF(V722&lt;'Config_v6'!$B$18,"Confidence sub prag",IF(E722="REPLAY","Exemplu retrospectiv; exclus din Top LIVE",IF(Y722="PASS","DEFENSIV validat",IF(W722="OOS PENDING","Eligibil; calibrare linie in monitorizare","Eligibil"))))))))))</x:f>
      </x:c>
      <x:c r="AI722" s="2" t="str">
        <x:f>IF(B722="","",'Calibrare_Linii'!V8)</x:f>
      </x:c>
      <x:c r="AJ722" s="2" t="str">
        <x:f>IF(B722="","",IF(AND('Calibrare_Linii'!T8="VALIDATED",AND('Calibrare_Linii'!H8=C722,ISNUMBER('Calibrare_Linii'!J8),'Calibrare_Linii'!J8&lt;='Input_Meci'!G57)),"DEFENSIVE VALIDATED",IF(AND('Calibrare_Linii'!S8="VALIDATED",AND('Calibrare_Linii'!H8=C722,ISNUMBER('Calibrare_Linii'!J8),'Calibrare_Linii'!J8&lt;='Input_Meci'!G57)),"TAIL VALIDATED","OOS PENDING")))</x:f>
      </x:c>
      <x:c r="AK722" s="2" t="n">
        <x:f>IF(J722&lt;&gt;"PASS",0,'Motor_Meciuri'!BR57)</x:f>
        <x:v>0</x:v>
      </x:c>
      <x:c r="AL722" s="2" t="n">
        <x:f>IF(J722&lt;&gt;"PASS",0,'Motor_Meciuri'!BS57)</x:f>
        <x:v>0</x:v>
      </x:c>
      <x:c r="AM722" s="2" t="n">
        <x:f>IF(J722&lt;&gt;"PASS",0,'Motor_Meciuri'!BT57)</x:f>
        <x:v>0</x:v>
      </x:c>
      <x:c r="AN722" s="2" t="str">
        <x:f>IF(M722="","",MAX(0,'Motor_Meciuri'!BF57-IF(L722&gt;'Config_v6'!$B$12,'Config_v6'!$B$37,IF(L722&gt;'Config_v6'!$B$11,'Config_v6'!$B$36,0))))</x:f>
      </x:c>
    </x:row>
    <x:row r="723" ht="21" customHeight="1">
      <x:c r="A723" s="2" t="n">
        <x:v>52</x:v>
      </x:c>
      <x:c r="B723" s="2" t="str">
        <x:f>IF('Motor_Meciuri'!A57="","",'Motor_Meciuri'!A57)</x:f>
      </x:c>
      <x:c r="C723" s="2" t="str">
        <x:f>IF(B723="","",'Motor_Meciuri'!B57)</x:f>
      </x:c>
      <x:c r="D723" s="2" t="str">
        <x:f>IF(B723="","",'Motor_Meciuri'!D57)</x:f>
      </x:c>
      <x:c r="E723" s="2" t="str">
        <x:f>IF(B723="","",'Motor_Meciuri'!E57)</x:f>
      </x:c>
      <x:c r="F723" s="2" t="str">
        <x:v>O6,5</x:v>
      </x:c>
      <x:c r="G723" s="2" t="str">
        <x:v>OVER</x:v>
      </x:c>
      <x:c r="H723" s="2" t="n">
        <x:v>6</x:v>
      </x:c>
      <x:c r="I723" s="2" t="str">
        <x:f>IF(B723="","",'Motor_Meciuri'!H57)</x:f>
      </x:c>
      <x:c r="J723" s="2" t="str">
        <x:f>IF(B723="","",'Motor_Meciuri'!I57)</x:f>
      </x:c>
      <x:c r="K723" s="11" t="str">
        <x:f>IF(J723&lt;&gt;"PASS","",'Motor_Meciuri'!BD57)</x:f>
      </x:c>
      <x:c r="L723" s="11" t="str">
        <x:f>IF(J723&lt;&gt;"PASS","",'Motor_Meciuri'!AU57)</x:f>
      </x:c>
      <x:c r="M723" s="10" t="str">
        <x:f>IF(NOT(AND(J723="PASS",'Calibrare_Linii'!U9="VALID")),"",1-'Distributie'!AD57)</x:f>
      </x:c>
      <x:c r="N723" s="10" t="str">
        <x:f>IF(M723="","",MAX(0.01,MIN(0.99,0.5+(M723-0.5)*'Motor_Meciuri'!BG57*'Calibrare_Linii'!D9)))</x:f>
      </x:c>
      <x:c r="O723" s="10" t="str">
        <x:f>IF(M723="","",1-M723)</x:f>
      </x:c>
      <x:c r="P723" s="10" t="str">
        <x:f>IF(OR(NOT(AND(J723="PASS",'Calibrare_Linii'!U9="VALID")),AK723=0),""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*('Istoric_Nativ'!$Q$6:$Q$405&lt;=H723))/AK723)</x:f>
      </x:c>
      <x:c r="Q723" s="10" t="str">
        <x:f>IF(OR(NOT(AND(J723="PASS",'Calibrare_Linii'!U9="VALID")),AL723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M57)+((('Istoric_Nativ'!$E$6:$E$405='Input_Meci'!E57)+('Istoric_Nativ'!$F$6:$F$405='Input_Meci'!E57))&gt;0)*('Istoric_Nativ'!$D$6:$D$405&gt;='Motor_Meciuri'!BN57))&gt;0)*('Istoric_Nativ'!$Q$6:$Q$405&lt;=H723))/AL723)</x:f>
      </x:c>
      <x:c r="R723" s="10" t="str">
        <x:f>IF(OR(NOT(AND(J723="PASS",'Calibrare_Linii'!U9="VALID")),AM723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O57)+((('Istoric_Nativ'!$E$6:$E$405='Input_Meci'!E57)+('Istoric_Nativ'!$F$6:$F$405='Input_Meci'!E57))&gt;0)*('Istoric_Nativ'!$D$6:$D$405&gt;='Motor_Meciuri'!BP57))&gt;0)*('Istoric_Nativ'!$Q$6:$Q$405&lt;=H723))/AM723)</x:f>
      </x:c>
      <x:c r="S723" s="10" t="str">
        <x:f>IF(M723="","",MAX(O723,P723,Q723,R723))</x:f>
      </x:c>
      <x:c r="T723" s="11" t="str">
        <x:f>IF(M723="","",MIN(100,S723*100*'Config_v6'!$B$44+MIN(100,L723/'Config_v6'!$B$13*100)*'Config_v6'!$B$45+(100-'Motor_Meciuri'!BF57)*'Config_v6'!$B$46+'Motor_Meciuri'!BH57*100*'Config_v6'!$B$47))</x:f>
      </x:c>
      <x:c r="U723" s="2" t="str">
        <x:f>IF(T723="","",IF(T723&lt;=20,1,IF(T723&lt;=40,2,IF(T723&lt;=60,3,IF(T723&lt;=80,4,5)))))</x:f>
      </x:c>
      <x:c r="V723" s="2" t="str">
        <x:f>IF(M723="","",MAX(0,'Motor_Meciuri'!BF57-IF(W723="OOS PENDING",'Config_v6'!$B$35,0)-IF(L723&gt;'Config_v6'!$B$12,'Config_v6'!$B$37,IF(L723&gt;'Config_v6'!$B$11,'Config_v6'!$B$36,0))))</x:f>
      </x:c>
      <x:c r="W723" s="2" t="str">
        <x:f>IF(B723="","",IF(I723&lt;&gt;"READY","NOT RELEASED",IF(NOT(AND(J723="PASS",'Calibrare_Linii'!U9="VALID")),"INVALID",IF(NOT(AND('Calibrare_Linii'!S9="VALIDATED",AND('Calibrare_Linii'!H9=C723,ISNUMBER('Calibrare_Linii'!J9),'Calibrare_Linii'!J9&lt;='Input_Meci'!G57))),"OOS PENDING",IF(S723&lt;='Calibrare_Linii'!E9,"PASS",IF(S723&lt;='Calibrare_Linii'!F9,"PENALTY","WATCH"))))))</x:f>
      </x:c>
      <x:c r="X723" s="2" t="str">
        <x:f>IF(M723="","",IF(AND(AND(J723="PASS",'Calibrare_Linii'!U9="VALID"),'Motor_Meciuri'!K57=12,'Motor_Meciuri'!L57=12,'Motor_Meciuri'!M57="NO",'Motor_Meciuri'!BL57='Motor_Meciuri'!C57,AB723&gt;='Config_v6'!$B$50,AN723&gt;='Config_v6'!$B$51,T723&lt;='Config_v6'!$B$52,L723&lt;='Config_v6'!$B$53,ISNUMBER('Calibrare_Linii'!E9),S723&lt;='Calibrare_Linii'!E9,SUM(AK723:AM723)&gt;0),"CANDIDATE","NO"))</x:f>
      </x:c>
      <x:c r="Y723" s="2" t="str">
        <x:f>IF(B723="","",IF(I723&lt;&gt;"READY","NOT RELEASED",IF(AND(X723="CANDIDATE",V723&gt;='Config_v6'!$B$51,W723="PASS",'Calibrare_Linii'!T9="VALIDATED",AND('Calibrare_Linii'!H9=C723,ISNUMBER('Calibrare_Linii'!J9),'Calibrare_Linii'!J9&lt;='Input_Meci'!G57)),"PASS",IF(X723="CANDIDATE","OOS PENDING","FAIL"))))</x:f>
      </x:c>
      <x:c r="Z723" s="2" t="str">
        <x:f>IF(B723="","",IF(I723&lt;&gt;"READY","",IF(OR(NOT(AND(J723="PASS",'Calibrare_Linii'!U9="VALID")),L723&gt;'Config_v6'!$B$13,W723="WATCH"),5,IF(Y723="PASS",1,MIN(5,MAX('Config_v6'!$B$42,U723)+IF(W723="PENALTY",1,0))))))</x:f>
      </x:c>
      <x:c r="AA723" s="2" t="str">
        <x:f>IF(B723="","",IF(I723&lt;&gt;"READY","NOT RELEASED",IF(Z723=5,"NO BET",IF(OR(AB723&lt;'Config_v6'!$B$16,V723&lt;'Config_v6'!$B$18),"WATCH",IF(Z723=1,"DEFENSIV",IF(Z723=2,"PRUDENT",IF(Z723=3,"MODERAT","RIDICAT")))))))</x:f>
      </x:c>
      <x:c r="AB723" s="10" t="str">
        <x:f>IF(N723="","",MIN(N723,1-S723))</x:f>
      </x:c>
      <x:c r="AC723" s="2" t="str">
        <x:f>IF(AD723&lt;&gt;1,"",COUNTIFS($Z$720:$Z$733,"&lt;"&amp;Z723,$AD$720:$AD$733,1)+COUNTIFS($Z$720:$Z$733,Z723,$AB$720:$AB$733,"&gt;"&amp;AB723,$AD$720:$AD$733,1)+COUNTIFS($Z$720:$Z$733,Z723,$AB$720:$AB$733,AB723,$V$720:$V$733,"&gt;"&amp;V723,$AD$720:$AD$733,1)+COUNTIFS($Z$720:Z723,Z723,$AB$720:AB723,AB723,$V$720:V723,V723,$AD$720:AD723,1))</x:f>
      </x:c>
      <x:c r="AD723" s="2" t="n">
        <x:f>IF(OR(AA723="DEFENSIV",AA723="PRUDENT",AA723="MODERAT",AA723="RIDICAT"),1,0)</x:f>
        <x:v>0</x:v>
      </x:c>
      <x:c r="AE723" s="2" t="str">
        <x:f>IF(AD723&lt;&gt;1,"NO",IF(W723="PASS","YES",IF(W723="OOS PENDING","CONDITIONAL","NO")))</x:f>
        <x:v>NO</x:v>
      </x:c>
      <x:c r="AF723" s="2" t="n">
        <x:f>IF(AND(AD723=1,AC723=1,E723="LIVE"),1,0)</x:f>
        <x:v>0</x:v>
      </x:c>
      <x:c r="AG723" s="2" t="str">
        <x:f>IF(AF723&lt;&gt;1,"",'Dashboard'!P77)</x:f>
      </x:c>
      <x:c r="AH723" s="2" t="str">
        <x:f>IF(B723="","",IF(J723&lt;&gt;"PASS",'Motor_Meciuri'!J57,IF('Calibrare_Linii'!U9&lt;&gt;"VALID","Parametri linie invalizi",IF(L723&gt;'Config_v6'!$B$13,"Dispersie peste limita",IF(W723="WATCH","Failure peste limita",IF(AB723&lt;'Config_v6'!$B$16,"P finala sub prag",IF(V723&lt;'Config_v6'!$B$18,"Confidence sub prag",IF(E723="REPLAY","Exemplu retrospectiv; exclus din Top LIVE",IF(Y723="PASS","DEFENSIV validat",IF(W723="OOS PENDING","Eligibil; calibrare linie in monitorizare","Eligibil"))))))))))</x:f>
      </x:c>
      <x:c r="AI723" s="2" t="str">
        <x:f>IF(B723="","",'Calibrare_Linii'!V9)</x:f>
      </x:c>
      <x:c r="AJ723" s="2" t="str">
        <x:f>IF(B723="","",IF(AND('Calibrare_Linii'!T9="VALIDATED",AND('Calibrare_Linii'!H9=C723,ISNUMBER('Calibrare_Linii'!J9),'Calibrare_Linii'!J9&lt;='Input_Meci'!G57)),"DEFENSIVE VALIDATED",IF(AND('Calibrare_Linii'!S9="VALIDATED",AND('Calibrare_Linii'!H9=C723,ISNUMBER('Calibrare_Linii'!J9),'Calibrare_Linii'!J9&lt;='Input_Meci'!G57)),"TAIL VALIDATED","OOS PENDING")))</x:f>
      </x:c>
      <x:c r="AK723" s="2" t="n">
        <x:f>IF(J723&lt;&gt;"PASS",0,'Motor_Meciuri'!BR57)</x:f>
        <x:v>0</x:v>
      </x:c>
      <x:c r="AL723" s="2" t="n">
        <x:f>IF(J723&lt;&gt;"PASS",0,'Motor_Meciuri'!BS57)</x:f>
        <x:v>0</x:v>
      </x:c>
      <x:c r="AM723" s="2" t="n">
        <x:f>IF(J723&lt;&gt;"PASS",0,'Motor_Meciuri'!BT57)</x:f>
        <x:v>0</x:v>
      </x:c>
      <x:c r="AN723" s="2" t="str">
        <x:f>IF(M723="","",MAX(0,'Motor_Meciuri'!BF57-IF(L723&gt;'Config_v6'!$B$12,'Config_v6'!$B$37,IF(L723&gt;'Config_v6'!$B$11,'Config_v6'!$B$36,0))))</x:f>
      </x:c>
    </x:row>
    <x:row r="724" ht="21" customHeight="1">
      <x:c r="A724" s="2" t="n">
        <x:v>52</x:v>
      </x:c>
      <x:c r="B724" s="2" t="str">
        <x:f>IF('Motor_Meciuri'!A57="","",'Motor_Meciuri'!A57)</x:f>
      </x:c>
      <x:c r="C724" s="2" t="str">
        <x:f>IF(B724="","",'Motor_Meciuri'!B57)</x:f>
      </x:c>
      <x:c r="D724" s="2" t="str">
        <x:f>IF(B724="","",'Motor_Meciuri'!D57)</x:f>
      </x:c>
      <x:c r="E724" s="2" t="str">
        <x:f>IF(B724="","",'Motor_Meciuri'!E57)</x:f>
      </x:c>
      <x:c r="F724" s="2" t="str">
        <x:v>O7,5</x:v>
      </x:c>
      <x:c r="G724" s="2" t="str">
        <x:v>OVER</x:v>
      </x:c>
      <x:c r="H724" s="2" t="n">
        <x:v>7</x:v>
      </x:c>
      <x:c r="I724" s="2" t="str">
        <x:f>IF(B724="","",'Motor_Meciuri'!H57)</x:f>
      </x:c>
      <x:c r="J724" s="2" t="str">
        <x:f>IF(B724="","",'Motor_Meciuri'!I57)</x:f>
      </x:c>
      <x:c r="K724" s="11" t="str">
        <x:f>IF(J724&lt;&gt;"PASS","",'Motor_Meciuri'!BD57)</x:f>
      </x:c>
      <x:c r="L724" s="11" t="str">
        <x:f>IF(J724&lt;&gt;"PASS","",'Motor_Meciuri'!AU57)</x:f>
      </x:c>
      <x:c r="M724" s="10" t="str">
        <x:f>IF(NOT(AND(J724="PASS",'Calibrare_Linii'!U10="VALID")),"",1-'Distributie'!AE57)</x:f>
      </x:c>
      <x:c r="N724" s="10" t="str">
        <x:f>IF(M724="","",MAX(0.01,MIN(0.99,0.5+(M724-0.5)*'Motor_Meciuri'!BG57*'Calibrare_Linii'!D10)))</x:f>
      </x:c>
      <x:c r="O724" s="10" t="str">
        <x:f>IF(M724="","",1-M724)</x:f>
      </x:c>
      <x:c r="P724" s="10" t="str">
        <x:f>IF(OR(NOT(AND(J724="PASS",'Calibrare_Linii'!U10="VALID")),AK724=0),""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*('Istoric_Nativ'!$Q$6:$Q$405&lt;=H724))/AK724)</x:f>
      </x:c>
      <x:c r="Q724" s="10" t="str">
        <x:f>IF(OR(NOT(AND(J724="PASS",'Calibrare_Linii'!U10="VALID")),AL724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M57)+((('Istoric_Nativ'!$E$6:$E$405='Input_Meci'!E57)+('Istoric_Nativ'!$F$6:$F$405='Input_Meci'!E57))&gt;0)*('Istoric_Nativ'!$D$6:$D$405&gt;='Motor_Meciuri'!BN57))&gt;0)*('Istoric_Nativ'!$Q$6:$Q$405&lt;=H724))/AL724)</x:f>
      </x:c>
      <x:c r="R724" s="10" t="str">
        <x:f>IF(OR(NOT(AND(J724="PASS",'Calibrare_Linii'!U10="VALID")),AM724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O57)+((('Istoric_Nativ'!$E$6:$E$405='Input_Meci'!E57)+('Istoric_Nativ'!$F$6:$F$405='Input_Meci'!E57))&gt;0)*('Istoric_Nativ'!$D$6:$D$405&gt;='Motor_Meciuri'!BP57))&gt;0)*('Istoric_Nativ'!$Q$6:$Q$405&lt;=H724))/AM724)</x:f>
      </x:c>
      <x:c r="S724" s="10" t="str">
        <x:f>IF(M724="","",MAX(O724,P724,Q724,R724))</x:f>
      </x:c>
      <x:c r="T724" s="11" t="str">
        <x:f>IF(M724="","",MIN(100,S724*100*'Config_v6'!$B$44+MIN(100,L724/'Config_v6'!$B$13*100)*'Config_v6'!$B$45+(100-'Motor_Meciuri'!BF57)*'Config_v6'!$B$46+'Motor_Meciuri'!BH57*100*'Config_v6'!$B$47))</x:f>
      </x:c>
      <x:c r="U724" s="2" t="str">
        <x:f>IF(T724="","",IF(T724&lt;=20,1,IF(T724&lt;=40,2,IF(T724&lt;=60,3,IF(T724&lt;=80,4,5)))))</x:f>
      </x:c>
      <x:c r="V724" s="2" t="str">
        <x:f>IF(M724="","",MAX(0,'Motor_Meciuri'!BF57-IF(W724="OOS PENDING",'Config_v6'!$B$35,0)-IF(L724&gt;'Config_v6'!$B$12,'Config_v6'!$B$37,IF(L724&gt;'Config_v6'!$B$11,'Config_v6'!$B$36,0))))</x:f>
      </x:c>
      <x:c r="W724" s="2" t="str">
        <x:f>IF(B724="","",IF(I724&lt;&gt;"READY","NOT RELEASED",IF(NOT(AND(J724="PASS",'Calibrare_Linii'!U10="VALID")),"INVALID",IF(NOT(AND('Calibrare_Linii'!S10="VALIDATED",AND('Calibrare_Linii'!H10=C724,ISNUMBER('Calibrare_Linii'!J10),'Calibrare_Linii'!J10&lt;='Input_Meci'!G57))),"OOS PENDING",IF(S724&lt;='Calibrare_Linii'!E10,"PASS",IF(S724&lt;='Calibrare_Linii'!F10,"PENALTY","WATCH"))))))</x:f>
      </x:c>
      <x:c r="X724" s="2" t="str">
        <x:f>IF(M724="","",IF(AND(AND(J724="PASS",'Calibrare_Linii'!U10="VALID"),'Motor_Meciuri'!K57=12,'Motor_Meciuri'!L57=12,'Motor_Meciuri'!M57="NO",'Motor_Meciuri'!BL57='Motor_Meciuri'!C57,AB724&gt;='Config_v6'!$B$50,AN724&gt;='Config_v6'!$B$51,T724&lt;='Config_v6'!$B$52,L724&lt;='Config_v6'!$B$53,ISNUMBER('Calibrare_Linii'!E10),S724&lt;='Calibrare_Linii'!E10,SUM(AK724:AM724)&gt;0),"CANDIDATE","NO"))</x:f>
      </x:c>
      <x:c r="Y724" s="2" t="str">
        <x:f>IF(B724="","",IF(I724&lt;&gt;"READY","NOT RELEASED",IF(AND(X724="CANDIDATE",V724&gt;='Config_v6'!$B$51,W724="PASS",'Calibrare_Linii'!T10="VALIDATED",AND('Calibrare_Linii'!H10=C724,ISNUMBER('Calibrare_Linii'!J10),'Calibrare_Linii'!J10&lt;='Input_Meci'!G57)),"PASS",IF(X724="CANDIDATE","OOS PENDING","FAIL"))))</x:f>
      </x:c>
      <x:c r="Z724" s="2" t="str">
        <x:f>IF(B724="","",IF(I724&lt;&gt;"READY","",IF(OR(NOT(AND(J724="PASS",'Calibrare_Linii'!U10="VALID")),L724&gt;'Config_v6'!$B$13,W724="WATCH"),5,IF(Y724="PASS",1,MIN(5,MAX('Config_v6'!$B$42,U724)+IF(W724="PENALTY",1,0))))))</x:f>
      </x:c>
      <x:c r="AA724" s="2" t="str">
        <x:f>IF(B724="","",IF(I724&lt;&gt;"READY","NOT RELEASED",IF(Z724=5,"NO BET",IF(OR(AB724&lt;'Config_v6'!$B$16,V724&lt;'Config_v6'!$B$18),"WATCH",IF(Z724=1,"DEFENSIV",IF(Z724=2,"PRUDENT",IF(Z724=3,"MODERAT","RIDICAT")))))))</x:f>
      </x:c>
      <x:c r="AB724" s="10" t="str">
        <x:f>IF(N724="","",MIN(N724,1-S724))</x:f>
      </x:c>
      <x:c r="AC724" s="2" t="str">
        <x:f>IF(AD724&lt;&gt;1,"",COUNTIFS($Z$720:$Z$733,"&lt;"&amp;Z724,$AD$720:$AD$733,1)+COUNTIFS($Z$720:$Z$733,Z724,$AB$720:$AB$733,"&gt;"&amp;AB724,$AD$720:$AD$733,1)+COUNTIFS($Z$720:$Z$733,Z724,$AB$720:$AB$733,AB724,$V$720:$V$733,"&gt;"&amp;V724,$AD$720:$AD$733,1)+COUNTIFS($Z$720:Z724,Z724,$AB$720:AB724,AB724,$V$720:V724,V724,$AD$720:AD724,1))</x:f>
      </x:c>
      <x:c r="AD724" s="2" t="n">
        <x:f>IF(OR(AA724="DEFENSIV",AA724="PRUDENT",AA724="MODERAT",AA724="RIDICAT"),1,0)</x:f>
        <x:v>0</x:v>
      </x:c>
      <x:c r="AE724" s="2" t="str">
        <x:f>IF(AD724&lt;&gt;1,"NO",IF(W724="PASS","YES",IF(W724="OOS PENDING","CONDITIONAL","NO")))</x:f>
        <x:v>NO</x:v>
      </x:c>
      <x:c r="AF724" s="2" t="n">
        <x:f>IF(AND(AD724=1,AC724=1,E724="LIVE"),1,0)</x:f>
        <x:v>0</x:v>
      </x:c>
      <x:c r="AG724" s="2" t="str">
        <x:f>IF(AF724&lt;&gt;1,"",'Dashboard'!P77)</x:f>
      </x:c>
      <x:c r="AH724" s="2" t="str">
        <x:f>IF(B724="","",IF(J724&lt;&gt;"PASS",'Motor_Meciuri'!J57,IF('Calibrare_Linii'!U10&lt;&gt;"VALID","Parametri linie invalizi",IF(L724&gt;'Config_v6'!$B$13,"Dispersie peste limita",IF(W724="WATCH","Failure peste limita",IF(AB724&lt;'Config_v6'!$B$16,"P finala sub prag",IF(V724&lt;'Config_v6'!$B$18,"Confidence sub prag",IF(E724="REPLAY","Exemplu retrospectiv; exclus din Top LIVE",IF(Y724="PASS","DEFENSIV validat",IF(W724="OOS PENDING","Eligibil; calibrare linie in monitorizare","Eligibil"))))))))))</x:f>
      </x:c>
      <x:c r="AI724" s="2" t="str">
        <x:f>IF(B724="","",'Calibrare_Linii'!V10)</x:f>
      </x:c>
      <x:c r="AJ724" s="2" t="str">
        <x:f>IF(B724="","",IF(AND('Calibrare_Linii'!T10="VALIDATED",AND('Calibrare_Linii'!H10=C724,ISNUMBER('Calibrare_Linii'!J10),'Calibrare_Linii'!J10&lt;='Input_Meci'!G57)),"DEFENSIVE VALIDATED",IF(AND('Calibrare_Linii'!S10="VALIDATED",AND('Calibrare_Linii'!H10=C724,ISNUMBER('Calibrare_Linii'!J10),'Calibrare_Linii'!J10&lt;='Input_Meci'!G57)),"TAIL VALIDATED","OOS PENDING")))</x:f>
      </x:c>
      <x:c r="AK724" s="2" t="n">
        <x:f>IF(J724&lt;&gt;"PASS",0,'Motor_Meciuri'!BR57)</x:f>
        <x:v>0</x:v>
      </x:c>
      <x:c r="AL724" s="2" t="n">
        <x:f>IF(J724&lt;&gt;"PASS",0,'Motor_Meciuri'!BS57)</x:f>
        <x:v>0</x:v>
      </x:c>
      <x:c r="AM724" s="2" t="n">
        <x:f>IF(J724&lt;&gt;"PASS",0,'Motor_Meciuri'!BT57)</x:f>
        <x:v>0</x:v>
      </x:c>
      <x:c r="AN724" s="2" t="str">
        <x:f>IF(M724="","",MAX(0,'Motor_Meciuri'!BF57-IF(L724&gt;'Config_v6'!$B$12,'Config_v6'!$B$37,IF(L724&gt;'Config_v6'!$B$11,'Config_v6'!$B$36,0))))</x:f>
      </x:c>
    </x:row>
    <x:row r="725" ht="21" customHeight="1">
      <x:c r="A725" s="2" t="n">
        <x:v>52</x:v>
      </x:c>
      <x:c r="B725" s="2" t="str">
        <x:f>IF('Motor_Meciuri'!A57="","",'Motor_Meciuri'!A57)</x:f>
      </x:c>
      <x:c r="C725" s="2" t="str">
        <x:f>IF(B725="","",'Motor_Meciuri'!B57)</x:f>
      </x:c>
      <x:c r="D725" s="2" t="str">
        <x:f>IF(B725="","",'Motor_Meciuri'!D57)</x:f>
      </x:c>
      <x:c r="E725" s="2" t="str">
        <x:f>IF(B725="","",'Motor_Meciuri'!E57)</x:f>
      </x:c>
      <x:c r="F725" s="2" t="str">
        <x:v>O8,5</x:v>
      </x:c>
      <x:c r="G725" s="2" t="str">
        <x:v>OVER</x:v>
      </x:c>
      <x:c r="H725" s="2" t="n">
        <x:v>8</x:v>
      </x:c>
      <x:c r="I725" s="2" t="str">
        <x:f>IF(B725="","",'Motor_Meciuri'!H57)</x:f>
      </x:c>
      <x:c r="J725" s="2" t="str">
        <x:f>IF(B725="","",'Motor_Meciuri'!I57)</x:f>
      </x:c>
      <x:c r="K725" s="11" t="str">
        <x:f>IF(J725&lt;&gt;"PASS","",'Motor_Meciuri'!BD57)</x:f>
      </x:c>
      <x:c r="L725" s="11" t="str">
        <x:f>IF(J725&lt;&gt;"PASS","",'Motor_Meciuri'!AU57)</x:f>
      </x:c>
      <x:c r="M725" s="10" t="str">
        <x:f>IF(NOT(AND(J725="PASS",'Calibrare_Linii'!U11="VALID")),"",1-'Distributie'!AF57)</x:f>
      </x:c>
      <x:c r="N725" s="10" t="str">
        <x:f>IF(M725="","",MAX(0.01,MIN(0.99,0.5+(M725-0.5)*'Motor_Meciuri'!BG57*'Calibrare_Linii'!D11)))</x:f>
      </x:c>
      <x:c r="O725" s="10" t="str">
        <x:f>IF(M725="","",1-M725)</x:f>
      </x:c>
      <x:c r="P725" s="10" t="str">
        <x:f>IF(OR(NOT(AND(J725="PASS",'Calibrare_Linii'!U11="VALID")),AK725=0),""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*('Istoric_Nativ'!$Q$6:$Q$405&lt;=H725))/AK725)</x:f>
      </x:c>
      <x:c r="Q725" s="10" t="str">
        <x:f>IF(OR(NOT(AND(J725="PASS",'Calibrare_Linii'!U11="VALID")),AL725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M57)+((('Istoric_Nativ'!$E$6:$E$405='Input_Meci'!E57)+('Istoric_Nativ'!$F$6:$F$405='Input_Meci'!E57))&gt;0)*('Istoric_Nativ'!$D$6:$D$405&gt;='Motor_Meciuri'!BN57))&gt;0)*('Istoric_Nativ'!$Q$6:$Q$405&lt;=H725))/AL725)</x:f>
      </x:c>
      <x:c r="R725" s="10" t="str">
        <x:f>IF(OR(NOT(AND(J725="PASS",'Calibrare_Linii'!U11="VALID")),AM725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O57)+((('Istoric_Nativ'!$E$6:$E$405='Input_Meci'!E57)+('Istoric_Nativ'!$F$6:$F$405='Input_Meci'!E57))&gt;0)*('Istoric_Nativ'!$D$6:$D$405&gt;='Motor_Meciuri'!BP57))&gt;0)*('Istoric_Nativ'!$Q$6:$Q$405&lt;=H725))/AM725)</x:f>
      </x:c>
      <x:c r="S725" s="10" t="str">
        <x:f>IF(M725="","",MAX(O725,P725,Q725,R725))</x:f>
      </x:c>
      <x:c r="T725" s="11" t="str">
        <x:f>IF(M725="","",MIN(100,S725*100*'Config_v6'!$B$44+MIN(100,L725/'Config_v6'!$B$13*100)*'Config_v6'!$B$45+(100-'Motor_Meciuri'!BF57)*'Config_v6'!$B$46+'Motor_Meciuri'!BH57*100*'Config_v6'!$B$47))</x:f>
      </x:c>
      <x:c r="U725" s="2" t="str">
        <x:f>IF(T725="","",IF(T725&lt;=20,1,IF(T725&lt;=40,2,IF(T725&lt;=60,3,IF(T725&lt;=80,4,5)))))</x:f>
      </x:c>
      <x:c r="V725" s="2" t="str">
        <x:f>IF(M725="","",MAX(0,'Motor_Meciuri'!BF57-IF(W725="OOS PENDING",'Config_v6'!$B$35,0)-IF(L725&gt;'Config_v6'!$B$12,'Config_v6'!$B$37,IF(L725&gt;'Config_v6'!$B$11,'Config_v6'!$B$36,0))))</x:f>
      </x:c>
      <x:c r="W725" s="2" t="str">
        <x:f>IF(B725="","",IF(I725&lt;&gt;"READY","NOT RELEASED",IF(NOT(AND(J725="PASS",'Calibrare_Linii'!U11="VALID")),"INVALID",IF(NOT(AND('Calibrare_Linii'!S11="VALIDATED",AND('Calibrare_Linii'!H11=C725,ISNUMBER('Calibrare_Linii'!J11),'Calibrare_Linii'!J11&lt;='Input_Meci'!G57))),"OOS PENDING",IF(S725&lt;='Calibrare_Linii'!E11,"PASS",IF(S725&lt;='Calibrare_Linii'!F11,"PENALTY","WATCH"))))))</x:f>
      </x:c>
      <x:c r="X725" s="2" t="str">
        <x:f>IF(M725="","",IF(AND(AND(J725="PASS",'Calibrare_Linii'!U11="VALID"),'Motor_Meciuri'!K57=12,'Motor_Meciuri'!L57=12,'Motor_Meciuri'!M57="NO",'Motor_Meciuri'!BL57='Motor_Meciuri'!C57,AB725&gt;='Config_v6'!$B$50,AN725&gt;='Config_v6'!$B$51,T725&lt;='Config_v6'!$B$52,L725&lt;='Config_v6'!$B$53,ISNUMBER('Calibrare_Linii'!E11),S725&lt;='Calibrare_Linii'!E11,SUM(AK725:AM725)&gt;0),"CANDIDATE","NO"))</x:f>
      </x:c>
      <x:c r="Y725" s="2" t="str">
        <x:f>IF(B725="","",IF(I725&lt;&gt;"READY","NOT RELEASED",IF(AND(X725="CANDIDATE",V725&gt;='Config_v6'!$B$51,W725="PASS",'Calibrare_Linii'!T11="VALIDATED",AND('Calibrare_Linii'!H11=C725,ISNUMBER('Calibrare_Linii'!J11),'Calibrare_Linii'!J11&lt;='Input_Meci'!G57)),"PASS",IF(X725="CANDIDATE","OOS PENDING","FAIL"))))</x:f>
      </x:c>
      <x:c r="Z725" s="2" t="str">
        <x:f>IF(B725="","",IF(I725&lt;&gt;"READY","",IF(OR(NOT(AND(J725="PASS",'Calibrare_Linii'!U11="VALID")),L725&gt;'Config_v6'!$B$13,W725="WATCH"),5,IF(Y725="PASS",1,MIN(5,MAX('Config_v6'!$B$42,U725)+IF(W725="PENALTY",1,0))))))</x:f>
      </x:c>
      <x:c r="AA725" s="2" t="str">
        <x:f>IF(B725="","",IF(I725&lt;&gt;"READY","NOT RELEASED",IF(Z725=5,"NO BET",IF(OR(AB725&lt;'Config_v6'!$B$16,V725&lt;'Config_v6'!$B$18),"WATCH",IF(Z725=1,"DEFENSIV",IF(Z725=2,"PRUDENT",IF(Z725=3,"MODERAT","RIDICAT")))))))</x:f>
      </x:c>
      <x:c r="AB725" s="10" t="str">
        <x:f>IF(N725="","",MIN(N725,1-S725))</x:f>
      </x:c>
      <x:c r="AC725" s="2" t="str">
        <x:f>IF(AD725&lt;&gt;1,"",COUNTIFS($Z$720:$Z$733,"&lt;"&amp;Z725,$AD$720:$AD$733,1)+COUNTIFS($Z$720:$Z$733,Z725,$AB$720:$AB$733,"&gt;"&amp;AB725,$AD$720:$AD$733,1)+COUNTIFS($Z$720:$Z$733,Z725,$AB$720:$AB$733,AB725,$V$720:$V$733,"&gt;"&amp;V725,$AD$720:$AD$733,1)+COUNTIFS($Z$720:Z725,Z725,$AB$720:AB725,AB725,$V$720:V725,V725,$AD$720:AD725,1))</x:f>
      </x:c>
      <x:c r="AD725" s="2" t="n">
        <x:f>IF(OR(AA725="DEFENSIV",AA725="PRUDENT",AA725="MODERAT",AA725="RIDICAT"),1,0)</x:f>
        <x:v>0</x:v>
      </x:c>
      <x:c r="AE725" s="2" t="str">
        <x:f>IF(AD725&lt;&gt;1,"NO",IF(W725="PASS","YES",IF(W725="OOS PENDING","CONDITIONAL","NO")))</x:f>
        <x:v>NO</x:v>
      </x:c>
      <x:c r="AF725" s="2" t="n">
        <x:f>IF(AND(AD725=1,AC725=1,E725="LIVE"),1,0)</x:f>
        <x:v>0</x:v>
      </x:c>
      <x:c r="AG725" s="2" t="str">
        <x:f>IF(AF725&lt;&gt;1,"",'Dashboard'!P77)</x:f>
      </x:c>
      <x:c r="AH725" s="2" t="str">
        <x:f>IF(B725="","",IF(J725&lt;&gt;"PASS",'Motor_Meciuri'!J57,IF('Calibrare_Linii'!U11&lt;&gt;"VALID","Parametri linie invalizi",IF(L725&gt;'Config_v6'!$B$13,"Dispersie peste limita",IF(W725="WATCH","Failure peste limita",IF(AB725&lt;'Config_v6'!$B$16,"P finala sub prag",IF(V725&lt;'Config_v6'!$B$18,"Confidence sub prag",IF(E725="REPLAY","Exemplu retrospectiv; exclus din Top LIVE",IF(Y725="PASS","DEFENSIV validat",IF(W725="OOS PENDING","Eligibil; calibrare linie in monitorizare","Eligibil"))))))))))</x:f>
      </x:c>
      <x:c r="AI725" s="2" t="str">
        <x:f>IF(B725="","",'Calibrare_Linii'!V11)</x:f>
      </x:c>
      <x:c r="AJ725" s="2" t="str">
        <x:f>IF(B725="","",IF(AND('Calibrare_Linii'!T11="VALIDATED",AND('Calibrare_Linii'!H11=C725,ISNUMBER('Calibrare_Linii'!J11),'Calibrare_Linii'!J11&lt;='Input_Meci'!G57)),"DEFENSIVE VALIDATED",IF(AND('Calibrare_Linii'!S11="VALIDATED",AND('Calibrare_Linii'!H11=C725,ISNUMBER('Calibrare_Linii'!J11),'Calibrare_Linii'!J11&lt;='Input_Meci'!G57)),"TAIL VALIDATED","OOS PENDING")))</x:f>
      </x:c>
      <x:c r="AK725" s="2" t="n">
        <x:f>IF(J725&lt;&gt;"PASS",0,'Motor_Meciuri'!BR57)</x:f>
        <x:v>0</x:v>
      </x:c>
      <x:c r="AL725" s="2" t="n">
        <x:f>IF(J725&lt;&gt;"PASS",0,'Motor_Meciuri'!BS57)</x:f>
        <x:v>0</x:v>
      </x:c>
      <x:c r="AM725" s="2" t="n">
        <x:f>IF(J725&lt;&gt;"PASS",0,'Motor_Meciuri'!BT57)</x:f>
        <x:v>0</x:v>
      </x:c>
      <x:c r="AN725" s="2" t="str">
        <x:f>IF(M725="","",MAX(0,'Motor_Meciuri'!BF57-IF(L725&gt;'Config_v6'!$B$12,'Config_v6'!$B$37,IF(L725&gt;'Config_v6'!$B$11,'Config_v6'!$B$36,0))))</x:f>
      </x:c>
    </x:row>
    <x:row r="726" ht="21" customHeight="1">
      <x:c r="A726" s="2" t="n">
        <x:v>52</x:v>
      </x:c>
      <x:c r="B726" s="2" t="str">
        <x:f>IF('Motor_Meciuri'!A57="","",'Motor_Meciuri'!A57)</x:f>
      </x:c>
      <x:c r="C726" s="2" t="str">
        <x:f>IF(B726="","",'Motor_Meciuri'!B57)</x:f>
      </x:c>
      <x:c r="D726" s="2" t="str">
        <x:f>IF(B726="","",'Motor_Meciuri'!D57)</x:f>
      </x:c>
      <x:c r="E726" s="2" t="str">
        <x:f>IF(B726="","",'Motor_Meciuri'!E57)</x:f>
      </x:c>
      <x:c r="F726" s="2" t="str">
        <x:v>U10,5</x:v>
      </x:c>
      <x:c r="G726" s="2" t="str">
        <x:v>UNDER</x:v>
      </x:c>
      <x:c r="H726" s="2" t="n">
        <x:v>10</x:v>
      </x:c>
      <x:c r="I726" s="2" t="str">
        <x:f>IF(B726="","",'Motor_Meciuri'!H57)</x:f>
      </x:c>
      <x:c r="J726" s="2" t="str">
        <x:f>IF(B726="","",'Motor_Meciuri'!I57)</x:f>
      </x:c>
      <x:c r="K726" s="11" t="str">
        <x:f>IF(J726&lt;&gt;"PASS","",'Motor_Meciuri'!BD57)</x:f>
      </x:c>
      <x:c r="L726" s="11" t="str">
        <x:f>IF(J726&lt;&gt;"PASS","",'Motor_Meciuri'!AU57)</x:f>
      </x:c>
      <x:c r="M726" s="10" t="str">
        <x:f>IF(NOT(AND(J726="PASS",'Calibrare_Linii'!U12="VALID")),"",'Distributie'!AH57)</x:f>
      </x:c>
      <x:c r="N726" s="10" t="str">
        <x:f>IF(M726="","",MAX(0.01,MIN(0.99,0.5+(M726-0.5)*'Motor_Meciuri'!BG57*'Calibrare_Linii'!D12)))</x:f>
      </x:c>
      <x:c r="O726" s="10" t="str">
        <x:f>IF(M726="","",1-M726)</x:f>
      </x:c>
      <x:c r="P726" s="10" t="str">
        <x:f>IF(OR(NOT(AND(J726="PASS",'Calibrare_Linii'!U12="VALID")),AK726=0),""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*('Istoric_Nativ'!$Q$6:$Q$405&gt;H726))/AK726)</x:f>
      </x:c>
      <x:c r="Q726" s="10" t="str">
        <x:f>IF(OR(NOT(AND(J726="PASS",'Calibrare_Linii'!U12="VALID")),AL726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M57)+((('Istoric_Nativ'!$E$6:$E$405='Input_Meci'!E57)+('Istoric_Nativ'!$F$6:$F$405='Input_Meci'!E57))&gt;0)*('Istoric_Nativ'!$D$6:$D$405&gt;='Motor_Meciuri'!BN57))&gt;0)*('Istoric_Nativ'!$Q$6:$Q$405&gt;H726))/AL726)</x:f>
      </x:c>
      <x:c r="R726" s="10" t="str">
        <x:f>IF(OR(NOT(AND(J726="PASS",'Calibrare_Linii'!U12="VALID")),AM726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O57)+((('Istoric_Nativ'!$E$6:$E$405='Input_Meci'!E57)+('Istoric_Nativ'!$F$6:$F$405='Input_Meci'!E57))&gt;0)*('Istoric_Nativ'!$D$6:$D$405&gt;='Motor_Meciuri'!BP57))&gt;0)*('Istoric_Nativ'!$Q$6:$Q$405&gt;H726))/AM726)</x:f>
      </x:c>
      <x:c r="S726" s="10" t="str">
        <x:f>IF(M726="","",MAX(O726,P726,Q726,R726))</x:f>
      </x:c>
      <x:c r="T726" s="11" t="str">
        <x:f>IF(M726="","",MIN(100,S726*100*'Config_v6'!$B$44+MIN(100,L726/'Config_v6'!$B$13*100)*'Config_v6'!$B$45+(100-'Motor_Meciuri'!BF57)*'Config_v6'!$B$46+'Motor_Meciuri'!BH57*100*'Config_v6'!$B$47))</x:f>
      </x:c>
      <x:c r="U726" s="2" t="str">
        <x:f>IF(T726="","",IF(T726&lt;=20,1,IF(T726&lt;=40,2,IF(T726&lt;=60,3,IF(T726&lt;=80,4,5)))))</x:f>
      </x:c>
      <x:c r="V726" s="2" t="str">
        <x:f>IF(M726="","",MAX(0,'Motor_Meciuri'!BF57-IF(W726="OOS PENDING",'Config_v6'!$B$35,0)-IF(L726&gt;'Config_v6'!$B$12,'Config_v6'!$B$37,IF(L726&gt;'Config_v6'!$B$11,'Config_v6'!$B$36,0))))</x:f>
      </x:c>
      <x:c r="W726" s="2" t="str">
        <x:f>IF(B726="","",IF(I726&lt;&gt;"READY","NOT RELEASED",IF(NOT(AND(J726="PASS",'Calibrare_Linii'!U12="VALID")),"INVALID",IF(NOT(AND('Calibrare_Linii'!S12="VALIDATED",AND('Calibrare_Linii'!H12=C726,ISNUMBER('Calibrare_Linii'!J12),'Calibrare_Linii'!J12&lt;='Input_Meci'!G57))),"OOS PENDING",IF(S726&lt;='Calibrare_Linii'!E12,"PASS",IF(S726&lt;='Calibrare_Linii'!F12,"PENALTY","WATCH"))))))</x:f>
      </x:c>
      <x:c r="X726" s="2" t="str">
        <x:f>IF(M726="","",IF(AND(AND(J726="PASS",'Calibrare_Linii'!U12="VALID"),'Motor_Meciuri'!K57=12,'Motor_Meciuri'!L57=12,'Motor_Meciuri'!M57="NO",'Motor_Meciuri'!BL57='Motor_Meciuri'!C57,AB726&gt;='Config_v6'!$B$50,AN726&gt;='Config_v6'!$B$51,T726&lt;='Config_v6'!$B$52,L726&lt;='Config_v6'!$B$53,ISNUMBER('Calibrare_Linii'!E12),S726&lt;='Calibrare_Linii'!E12,SUM(AK726:AM726)&gt;0),"CANDIDATE","NO"))</x:f>
      </x:c>
      <x:c r="Y726" s="2" t="str">
        <x:f>IF(B726="","",IF(I726&lt;&gt;"READY","NOT RELEASED",IF(AND(X726="CANDIDATE",V726&gt;='Config_v6'!$B$51,W726="PASS",'Calibrare_Linii'!T12="VALIDATED",AND('Calibrare_Linii'!H12=C726,ISNUMBER('Calibrare_Linii'!J12),'Calibrare_Linii'!J12&lt;='Input_Meci'!G57)),"PASS",IF(X726="CANDIDATE","OOS PENDING","FAIL"))))</x:f>
      </x:c>
      <x:c r="Z726" s="2" t="str">
        <x:f>IF(B726="","",IF(I726&lt;&gt;"READY","",IF(OR(NOT(AND(J726="PASS",'Calibrare_Linii'!U12="VALID")),L726&gt;'Config_v6'!$B$13,W726="WATCH"),5,IF(Y726="PASS",1,MIN(5,MAX('Config_v6'!$B$42,U726)+IF(W726="PENALTY",1,0))))))</x:f>
      </x:c>
      <x:c r="AA726" s="2" t="str">
        <x:f>IF(B726="","",IF(I726&lt;&gt;"READY","NOT RELEASED",IF(Z726=5,"NO BET",IF(OR(AB726&lt;'Config_v6'!$B$16,V726&lt;'Config_v6'!$B$18),"WATCH",IF(Z726=1,"DEFENSIV",IF(Z726=2,"PRUDENT",IF(Z726=3,"MODERAT","RIDICAT")))))))</x:f>
      </x:c>
      <x:c r="AB726" s="10" t="str">
        <x:f>IF(N726="","",MIN(N726,1-S726))</x:f>
      </x:c>
      <x:c r="AC726" s="2" t="str">
        <x:f>IF(AD726&lt;&gt;1,"",COUNTIFS($Z$720:$Z$733,"&lt;"&amp;Z726,$AD$720:$AD$733,1)+COUNTIFS($Z$720:$Z$733,Z726,$AB$720:$AB$733,"&gt;"&amp;AB726,$AD$720:$AD$733,1)+COUNTIFS($Z$720:$Z$733,Z726,$AB$720:$AB$733,AB726,$V$720:$V$733,"&gt;"&amp;V726,$AD$720:$AD$733,1)+COUNTIFS($Z$720:Z726,Z726,$AB$720:AB726,AB726,$V$720:V726,V726,$AD$720:AD726,1))</x:f>
      </x:c>
      <x:c r="AD726" s="2" t="n">
        <x:f>IF(OR(AA726="DEFENSIV",AA726="PRUDENT",AA726="MODERAT",AA726="RIDICAT"),1,0)</x:f>
        <x:v>0</x:v>
      </x:c>
      <x:c r="AE726" s="2" t="str">
        <x:f>IF(AD726&lt;&gt;1,"NO",IF(W726="PASS","YES",IF(W726="OOS PENDING","CONDITIONAL","NO")))</x:f>
        <x:v>NO</x:v>
      </x:c>
      <x:c r="AF726" s="2" t="n">
        <x:f>IF(AND(AD726=1,AC726=1,E726="LIVE"),1,0)</x:f>
        <x:v>0</x:v>
      </x:c>
      <x:c r="AG726" s="2" t="str">
        <x:f>IF(AF726&lt;&gt;1,"",'Dashboard'!P77)</x:f>
      </x:c>
      <x:c r="AH726" s="2" t="str">
        <x:f>IF(B726="","",IF(J726&lt;&gt;"PASS",'Motor_Meciuri'!J57,IF('Calibrare_Linii'!U12&lt;&gt;"VALID","Parametri linie invalizi",IF(L726&gt;'Config_v6'!$B$13,"Dispersie peste limita",IF(W726="WATCH","Failure peste limita",IF(AB726&lt;'Config_v6'!$B$16,"P finala sub prag",IF(V726&lt;'Config_v6'!$B$18,"Confidence sub prag",IF(E726="REPLAY","Exemplu retrospectiv; exclus din Top LIVE",IF(Y726="PASS","DEFENSIV validat",IF(W726="OOS PENDING","Eligibil; calibrare linie in monitorizare","Eligibil"))))))))))</x:f>
      </x:c>
      <x:c r="AI726" s="2" t="str">
        <x:f>IF(B726="","",'Calibrare_Linii'!V12)</x:f>
      </x:c>
      <x:c r="AJ726" s="2" t="str">
        <x:f>IF(B726="","",IF(AND('Calibrare_Linii'!T12="VALIDATED",AND('Calibrare_Linii'!H12=C726,ISNUMBER('Calibrare_Linii'!J12),'Calibrare_Linii'!J12&lt;='Input_Meci'!G57)),"DEFENSIVE VALIDATED",IF(AND('Calibrare_Linii'!S12="VALIDATED",AND('Calibrare_Linii'!H12=C726,ISNUMBER('Calibrare_Linii'!J12),'Calibrare_Linii'!J12&lt;='Input_Meci'!G57)),"TAIL VALIDATED","OOS PENDING")))</x:f>
      </x:c>
      <x:c r="AK726" s="2" t="n">
        <x:f>IF(J726&lt;&gt;"PASS",0,'Motor_Meciuri'!BR57)</x:f>
        <x:v>0</x:v>
      </x:c>
      <x:c r="AL726" s="2" t="n">
        <x:f>IF(J726&lt;&gt;"PASS",0,'Motor_Meciuri'!BS57)</x:f>
        <x:v>0</x:v>
      </x:c>
      <x:c r="AM726" s="2" t="n">
        <x:f>IF(J726&lt;&gt;"PASS",0,'Motor_Meciuri'!BT57)</x:f>
        <x:v>0</x:v>
      </x:c>
      <x:c r="AN726" s="2" t="str">
        <x:f>IF(M726="","",MAX(0,'Motor_Meciuri'!BF57-IF(L726&gt;'Config_v6'!$B$12,'Config_v6'!$B$37,IF(L726&gt;'Config_v6'!$B$11,'Config_v6'!$B$36,0))))</x:f>
      </x:c>
    </x:row>
    <x:row r="727" ht="21" customHeight="1">
      <x:c r="A727" s="2" t="n">
        <x:v>52</x:v>
      </x:c>
      <x:c r="B727" s="2" t="str">
        <x:f>IF('Motor_Meciuri'!A57="","",'Motor_Meciuri'!A57)</x:f>
      </x:c>
      <x:c r="C727" s="2" t="str">
        <x:f>IF(B727="","",'Motor_Meciuri'!B57)</x:f>
      </x:c>
      <x:c r="D727" s="2" t="str">
        <x:f>IF(B727="","",'Motor_Meciuri'!D57)</x:f>
      </x:c>
      <x:c r="E727" s="2" t="str">
        <x:f>IF(B727="","",'Motor_Meciuri'!E57)</x:f>
      </x:c>
      <x:c r="F727" s="2" t="str">
        <x:v>U11,5</x:v>
      </x:c>
      <x:c r="G727" s="2" t="str">
        <x:v>UNDER</x:v>
      </x:c>
      <x:c r="H727" s="2" t="n">
        <x:v>11</x:v>
      </x:c>
      <x:c r="I727" s="2" t="str">
        <x:f>IF(B727="","",'Motor_Meciuri'!H57)</x:f>
      </x:c>
      <x:c r="J727" s="2" t="str">
        <x:f>IF(B727="","",'Motor_Meciuri'!I57)</x:f>
      </x:c>
      <x:c r="K727" s="11" t="str">
        <x:f>IF(J727&lt;&gt;"PASS","",'Motor_Meciuri'!BD57)</x:f>
      </x:c>
      <x:c r="L727" s="11" t="str">
        <x:f>IF(J727&lt;&gt;"PASS","",'Motor_Meciuri'!AU57)</x:f>
      </x:c>
      <x:c r="M727" s="10" t="str">
        <x:f>IF(NOT(AND(J727="PASS",'Calibrare_Linii'!U13="VALID")),"",'Distributie'!AI57)</x:f>
      </x:c>
      <x:c r="N727" s="10" t="str">
        <x:f>IF(M727="","",MAX(0.01,MIN(0.99,0.5+(M727-0.5)*'Motor_Meciuri'!BG57*'Calibrare_Linii'!D13)))</x:f>
      </x:c>
      <x:c r="O727" s="10" t="str">
        <x:f>IF(M727="","",1-M727)</x:f>
      </x:c>
      <x:c r="P727" s="10" t="str">
        <x:f>IF(OR(NOT(AND(J727="PASS",'Calibrare_Linii'!U13="VALID")),AK727=0),""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*('Istoric_Nativ'!$Q$6:$Q$405&gt;H727))/AK727)</x:f>
      </x:c>
      <x:c r="Q727" s="10" t="str">
        <x:f>IF(OR(NOT(AND(J727="PASS",'Calibrare_Linii'!U13="VALID")),AL727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M57)+((('Istoric_Nativ'!$E$6:$E$405='Input_Meci'!E57)+('Istoric_Nativ'!$F$6:$F$405='Input_Meci'!E57))&gt;0)*('Istoric_Nativ'!$D$6:$D$405&gt;='Motor_Meciuri'!BN57))&gt;0)*('Istoric_Nativ'!$Q$6:$Q$405&gt;H727))/AL727)</x:f>
      </x:c>
      <x:c r="R727" s="10" t="str">
        <x:f>IF(OR(NOT(AND(J727="PASS",'Calibrare_Linii'!U13="VALID")),AM727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O57)+((('Istoric_Nativ'!$E$6:$E$405='Input_Meci'!E57)+('Istoric_Nativ'!$F$6:$F$405='Input_Meci'!E57))&gt;0)*('Istoric_Nativ'!$D$6:$D$405&gt;='Motor_Meciuri'!BP57))&gt;0)*('Istoric_Nativ'!$Q$6:$Q$405&gt;H727))/AM727)</x:f>
      </x:c>
      <x:c r="S727" s="10" t="str">
        <x:f>IF(M727="","",MAX(O727,P727,Q727,R727))</x:f>
      </x:c>
      <x:c r="T727" s="11" t="str">
        <x:f>IF(M727="","",MIN(100,S727*100*'Config_v6'!$B$44+MIN(100,L727/'Config_v6'!$B$13*100)*'Config_v6'!$B$45+(100-'Motor_Meciuri'!BF57)*'Config_v6'!$B$46+'Motor_Meciuri'!BH57*100*'Config_v6'!$B$47))</x:f>
      </x:c>
      <x:c r="U727" s="2" t="str">
        <x:f>IF(T727="","",IF(T727&lt;=20,1,IF(T727&lt;=40,2,IF(T727&lt;=60,3,IF(T727&lt;=80,4,5)))))</x:f>
      </x:c>
      <x:c r="V727" s="2" t="str">
        <x:f>IF(M727="","",MAX(0,'Motor_Meciuri'!BF57-IF(W727="OOS PENDING",'Config_v6'!$B$35,0)-IF(L727&gt;'Config_v6'!$B$12,'Config_v6'!$B$37,IF(L727&gt;'Config_v6'!$B$11,'Config_v6'!$B$36,0))))</x:f>
      </x:c>
      <x:c r="W727" s="2" t="str">
        <x:f>IF(B727="","",IF(I727&lt;&gt;"READY","NOT RELEASED",IF(NOT(AND(J727="PASS",'Calibrare_Linii'!U13="VALID")),"INVALID",IF(NOT(AND('Calibrare_Linii'!S13="VALIDATED",AND('Calibrare_Linii'!H13=C727,ISNUMBER('Calibrare_Linii'!J13),'Calibrare_Linii'!J13&lt;='Input_Meci'!G57))),"OOS PENDING",IF(S727&lt;='Calibrare_Linii'!E13,"PASS",IF(S727&lt;='Calibrare_Linii'!F13,"PENALTY","WATCH"))))))</x:f>
      </x:c>
      <x:c r="X727" s="2" t="str">
        <x:f>IF(M727="","",IF(AND(AND(J727="PASS",'Calibrare_Linii'!U13="VALID"),'Motor_Meciuri'!K57=12,'Motor_Meciuri'!L57=12,'Motor_Meciuri'!M57="NO",'Motor_Meciuri'!BL57='Motor_Meciuri'!C57,AB727&gt;='Config_v6'!$B$50,AN727&gt;='Config_v6'!$B$51,T727&lt;='Config_v6'!$B$52,L727&lt;='Config_v6'!$B$53,ISNUMBER('Calibrare_Linii'!E13),S727&lt;='Calibrare_Linii'!E13,SUM(AK727:AM727)&gt;0),"CANDIDATE","NO"))</x:f>
      </x:c>
      <x:c r="Y727" s="2" t="str">
        <x:f>IF(B727="","",IF(I727&lt;&gt;"READY","NOT RELEASED",IF(AND(X727="CANDIDATE",V727&gt;='Config_v6'!$B$51,W727="PASS",'Calibrare_Linii'!T13="VALIDATED",AND('Calibrare_Linii'!H13=C727,ISNUMBER('Calibrare_Linii'!J13),'Calibrare_Linii'!J13&lt;='Input_Meci'!G57)),"PASS",IF(X727="CANDIDATE","OOS PENDING","FAIL"))))</x:f>
      </x:c>
      <x:c r="Z727" s="2" t="str">
        <x:f>IF(B727="","",IF(I727&lt;&gt;"READY","",IF(OR(NOT(AND(J727="PASS",'Calibrare_Linii'!U13="VALID")),L727&gt;'Config_v6'!$B$13,W727="WATCH"),5,IF(Y727="PASS",1,MIN(5,MAX('Config_v6'!$B$42,U727)+IF(W727="PENALTY",1,0))))))</x:f>
      </x:c>
      <x:c r="AA727" s="2" t="str">
        <x:f>IF(B727="","",IF(I727&lt;&gt;"READY","NOT RELEASED",IF(Z727=5,"NO BET",IF(OR(AB727&lt;'Config_v6'!$B$16,V727&lt;'Config_v6'!$B$18),"WATCH",IF(Z727=1,"DEFENSIV",IF(Z727=2,"PRUDENT",IF(Z727=3,"MODERAT","RIDICAT")))))))</x:f>
      </x:c>
      <x:c r="AB727" s="10" t="str">
        <x:f>IF(N727="","",MIN(N727,1-S727))</x:f>
      </x:c>
      <x:c r="AC727" s="2" t="str">
        <x:f>IF(AD727&lt;&gt;1,"",COUNTIFS($Z$720:$Z$733,"&lt;"&amp;Z727,$AD$720:$AD$733,1)+COUNTIFS($Z$720:$Z$733,Z727,$AB$720:$AB$733,"&gt;"&amp;AB727,$AD$720:$AD$733,1)+COUNTIFS($Z$720:$Z$733,Z727,$AB$720:$AB$733,AB727,$V$720:$V$733,"&gt;"&amp;V727,$AD$720:$AD$733,1)+COUNTIFS($Z$720:Z727,Z727,$AB$720:AB727,AB727,$V$720:V727,V727,$AD$720:AD727,1))</x:f>
      </x:c>
      <x:c r="AD727" s="2" t="n">
        <x:f>IF(OR(AA727="DEFENSIV",AA727="PRUDENT",AA727="MODERAT",AA727="RIDICAT"),1,0)</x:f>
        <x:v>0</x:v>
      </x:c>
      <x:c r="AE727" s="2" t="str">
        <x:f>IF(AD727&lt;&gt;1,"NO",IF(W727="PASS","YES",IF(W727="OOS PENDING","CONDITIONAL","NO")))</x:f>
        <x:v>NO</x:v>
      </x:c>
      <x:c r="AF727" s="2" t="n">
        <x:f>IF(AND(AD727=1,AC727=1,E727="LIVE"),1,0)</x:f>
        <x:v>0</x:v>
      </x:c>
      <x:c r="AG727" s="2" t="str">
        <x:f>IF(AF727&lt;&gt;1,"",'Dashboard'!P77)</x:f>
      </x:c>
      <x:c r="AH727" s="2" t="str">
        <x:f>IF(B727="","",IF(J727&lt;&gt;"PASS",'Motor_Meciuri'!J57,IF('Calibrare_Linii'!U13&lt;&gt;"VALID","Parametri linie invalizi",IF(L727&gt;'Config_v6'!$B$13,"Dispersie peste limita",IF(W727="WATCH","Failure peste limita",IF(AB727&lt;'Config_v6'!$B$16,"P finala sub prag",IF(V727&lt;'Config_v6'!$B$18,"Confidence sub prag",IF(E727="REPLAY","Exemplu retrospectiv; exclus din Top LIVE",IF(Y727="PASS","DEFENSIV validat",IF(W727="OOS PENDING","Eligibil; calibrare linie in monitorizare","Eligibil"))))))))))</x:f>
      </x:c>
      <x:c r="AI727" s="2" t="str">
        <x:f>IF(B727="","",'Calibrare_Linii'!V13)</x:f>
      </x:c>
      <x:c r="AJ727" s="2" t="str">
        <x:f>IF(B727="","",IF(AND('Calibrare_Linii'!T13="VALIDATED",AND('Calibrare_Linii'!H13=C727,ISNUMBER('Calibrare_Linii'!J13),'Calibrare_Linii'!J13&lt;='Input_Meci'!G57)),"DEFENSIVE VALIDATED",IF(AND('Calibrare_Linii'!S13="VALIDATED",AND('Calibrare_Linii'!H13=C727,ISNUMBER('Calibrare_Linii'!J13),'Calibrare_Linii'!J13&lt;='Input_Meci'!G57)),"TAIL VALIDATED","OOS PENDING")))</x:f>
      </x:c>
      <x:c r="AK727" s="2" t="n">
        <x:f>IF(J727&lt;&gt;"PASS",0,'Motor_Meciuri'!BR57)</x:f>
        <x:v>0</x:v>
      </x:c>
      <x:c r="AL727" s="2" t="n">
        <x:f>IF(J727&lt;&gt;"PASS",0,'Motor_Meciuri'!BS57)</x:f>
        <x:v>0</x:v>
      </x:c>
      <x:c r="AM727" s="2" t="n">
        <x:f>IF(J727&lt;&gt;"PASS",0,'Motor_Meciuri'!BT57)</x:f>
        <x:v>0</x:v>
      </x:c>
      <x:c r="AN727" s="2" t="str">
        <x:f>IF(M727="","",MAX(0,'Motor_Meciuri'!BF57-IF(L727&gt;'Config_v6'!$B$12,'Config_v6'!$B$37,IF(L727&gt;'Config_v6'!$B$11,'Config_v6'!$B$36,0))))</x:f>
      </x:c>
    </x:row>
    <x:row r="728" ht="21" customHeight="1">
      <x:c r="A728" s="2" t="n">
        <x:v>52</x:v>
      </x:c>
      <x:c r="B728" s="2" t="str">
        <x:f>IF('Motor_Meciuri'!A57="","",'Motor_Meciuri'!A57)</x:f>
      </x:c>
      <x:c r="C728" s="2" t="str">
        <x:f>IF(B728="","",'Motor_Meciuri'!B57)</x:f>
      </x:c>
      <x:c r="D728" s="2" t="str">
        <x:f>IF(B728="","",'Motor_Meciuri'!D57)</x:f>
      </x:c>
      <x:c r="E728" s="2" t="str">
        <x:f>IF(B728="","",'Motor_Meciuri'!E57)</x:f>
      </x:c>
      <x:c r="F728" s="2" t="str">
        <x:v>U12,5</x:v>
      </x:c>
      <x:c r="G728" s="2" t="str">
        <x:v>UNDER</x:v>
      </x:c>
      <x:c r="H728" s="2" t="n">
        <x:v>12</x:v>
      </x:c>
      <x:c r="I728" s="2" t="str">
        <x:f>IF(B728="","",'Motor_Meciuri'!H57)</x:f>
      </x:c>
      <x:c r="J728" s="2" t="str">
        <x:f>IF(B728="","",'Motor_Meciuri'!I57)</x:f>
      </x:c>
      <x:c r="K728" s="11" t="str">
        <x:f>IF(J728&lt;&gt;"PASS","",'Motor_Meciuri'!BD57)</x:f>
      </x:c>
      <x:c r="L728" s="11" t="str">
        <x:f>IF(J728&lt;&gt;"PASS","",'Motor_Meciuri'!AU57)</x:f>
      </x:c>
      <x:c r="M728" s="10" t="str">
        <x:f>IF(NOT(AND(J728="PASS",'Calibrare_Linii'!U14="VALID")),"",'Distributie'!AJ57)</x:f>
      </x:c>
      <x:c r="N728" s="10" t="str">
        <x:f>IF(M728="","",MAX(0.01,MIN(0.99,0.5+(M728-0.5)*'Motor_Meciuri'!BG57*'Calibrare_Linii'!D14)))</x:f>
      </x:c>
      <x:c r="O728" s="10" t="str">
        <x:f>IF(M728="","",1-M728)</x:f>
      </x:c>
      <x:c r="P728" s="10" t="str">
        <x:f>IF(OR(NOT(AND(J728="PASS",'Calibrare_Linii'!U14="VALID")),AK728=0),""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*('Istoric_Nativ'!$Q$6:$Q$405&gt;H728))/AK728)</x:f>
      </x:c>
      <x:c r="Q728" s="10" t="str">
        <x:f>IF(OR(NOT(AND(J728="PASS",'Calibrare_Linii'!U14="VALID")),AL728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M57)+((('Istoric_Nativ'!$E$6:$E$405='Input_Meci'!E57)+('Istoric_Nativ'!$F$6:$F$405='Input_Meci'!E57))&gt;0)*('Istoric_Nativ'!$D$6:$D$405&gt;='Motor_Meciuri'!BN57))&gt;0)*('Istoric_Nativ'!$Q$6:$Q$405&gt;H728))/AL728)</x:f>
      </x:c>
      <x:c r="R728" s="10" t="str">
        <x:f>IF(OR(NOT(AND(J728="PASS",'Calibrare_Linii'!U14="VALID")),AM728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O57)+((('Istoric_Nativ'!$E$6:$E$405='Input_Meci'!E57)+('Istoric_Nativ'!$F$6:$F$405='Input_Meci'!E57))&gt;0)*('Istoric_Nativ'!$D$6:$D$405&gt;='Motor_Meciuri'!BP57))&gt;0)*('Istoric_Nativ'!$Q$6:$Q$405&gt;H728))/AM728)</x:f>
      </x:c>
      <x:c r="S728" s="10" t="str">
        <x:f>IF(M728="","",MAX(O728,P728,Q728,R728))</x:f>
      </x:c>
      <x:c r="T728" s="11" t="str">
        <x:f>IF(M728="","",MIN(100,S728*100*'Config_v6'!$B$44+MIN(100,L728/'Config_v6'!$B$13*100)*'Config_v6'!$B$45+(100-'Motor_Meciuri'!BF57)*'Config_v6'!$B$46+'Motor_Meciuri'!BH57*100*'Config_v6'!$B$47))</x:f>
      </x:c>
      <x:c r="U728" s="2" t="str">
        <x:f>IF(T728="","",IF(T728&lt;=20,1,IF(T728&lt;=40,2,IF(T728&lt;=60,3,IF(T728&lt;=80,4,5)))))</x:f>
      </x:c>
      <x:c r="V728" s="2" t="str">
        <x:f>IF(M728="","",MAX(0,'Motor_Meciuri'!BF57-IF(W728="OOS PENDING",'Config_v6'!$B$35,0)-IF(L728&gt;'Config_v6'!$B$12,'Config_v6'!$B$37,IF(L728&gt;'Config_v6'!$B$11,'Config_v6'!$B$36,0))))</x:f>
      </x:c>
      <x:c r="W728" s="2" t="str">
        <x:f>IF(B728="","",IF(I728&lt;&gt;"READY","NOT RELEASED",IF(NOT(AND(J728="PASS",'Calibrare_Linii'!U14="VALID")),"INVALID",IF(NOT(AND('Calibrare_Linii'!S14="VALIDATED",AND('Calibrare_Linii'!H14=C728,ISNUMBER('Calibrare_Linii'!J14),'Calibrare_Linii'!J14&lt;='Input_Meci'!G57))),"OOS PENDING",IF(S728&lt;='Calibrare_Linii'!E14,"PASS",IF(S728&lt;='Calibrare_Linii'!F14,"PENALTY","WATCH"))))))</x:f>
      </x:c>
      <x:c r="X728" s="2" t="str">
        <x:f>IF(M728="","",IF(AND(AND(J728="PASS",'Calibrare_Linii'!U14="VALID"),'Motor_Meciuri'!K57=12,'Motor_Meciuri'!L57=12,'Motor_Meciuri'!M57="NO",'Motor_Meciuri'!BL57='Motor_Meciuri'!C57,AB728&gt;='Config_v6'!$B$50,AN728&gt;='Config_v6'!$B$51,T728&lt;='Config_v6'!$B$52,L728&lt;='Config_v6'!$B$53,ISNUMBER('Calibrare_Linii'!E14),S728&lt;='Calibrare_Linii'!E14,SUM(AK728:AM728)&gt;0),"CANDIDATE","NO"))</x:f>
      </x:c>
      <x:c r="Y728" s="2" t="str">
        <x:f>IF(B728="","",IF(I728&lt;&gt;"READY","NOT RELEASED",IF(AND(X728="CANDIDATE",V728&gt;='Config_v6'!$B$51,W728="PASS",'Calibrare_Linii'!T14="VALIDATED",AND('Calibrare_Linii'!H14=C728,ISNUMBER('Calibrare_Linii'!J14),'Calibrare_Linii'!J14&lt;='Input_Meci'!G57)),"PASS",IF(X728="CANDIDATE","OOS PENDING","FAIL"))))</x:f>
      </x:c>
      <x:c r="Z728" s="2" t="str">
        <x:f>IF(B728="","",IF(I728&lt;&gt;"READY","",IF(OR(NOT(AND(J728="PASS",'Calibrare_Linii'!U14="VALID")),L728&gt;'Config_v6'!$B$13,W728="WATCH"),5,IF(Y728="PASS",1,MIN(5,MAX('Config_v6'!$B$42,U728)+IF(W728="PENALTY",1,0))))))</x:f>
      </x:c>
      <x:c r="AA728" s="2" t="str">
        <x:f>IF(B728="","",IF(I728&lt;&gt;"READY","NOT RELEASED",IF(Z728=5,"NO BET",IF(OR(AB728&lt;'Config_v6'!$B$16,V728&lt;'Config_v6'!$B$18),"WATCH",IF(Z728=1,"DEFENSIV",IF(Z728=2,"PRUDENT",IF(Z728=3,"MODERAT","RIDICAT")))))))</x:f>
      </x:c>
      <x:c r="AB728" s="10" t="str">
        <x:f>IF(N728="","",MIN(N728,1-S728))</x:f>
      </x:c>
      <x:c r="AC728" s="2" t="str">
        <x:f>IF(AD728&lt;&gt;1,"",COUNTIFS($Z$720:$Z$733,"&lt;"&amp;Z728,$AD$720:$AD$733,1)+COUNTIFS($Z$720:$Z$733,Z728,$AB$720:$AB$733,"&gt;"&amp;AB728,$AD$720:$AD$733,1)+COUNTIFS($Z$720:$Z$733,Z728,$AB$720:$AB$733,AB728,$V$720:$V$733,"&gt;"&amp;V728,$AD$720:$AD$733,1)+COUNTIFS($Z$720:Z728,Z728,$AB$720:AB728,AB728,$V$720:V728,V728,$AD$720:AD728,1))</x:f>
      </x:c>
      <x:c r="AD728" s="2" t="n">
        <x:f>IF(OR(AA728="DEFENSIV",AA728="PRUDENT",AA728="MODERAT",AA728="RIDICAT"),1,0)</x:f>
        <x:v>0</x:v>
      </x:c>
      <x:c r="AE728" s="2" t="str">
        <x:f>IF(AD728&lt;&gt;1,"NO",IF(W728="PASS","YES",IF(W728="OOS PENDING","CONDITIONAL","NO")))</x:f>
        <x:v>NO</x:v>
      </x:c>
      <x:c r="AF728" s="2" t="n">
        <x:f>IF(AND(AD728=1,AC728=1,E728="LIVE"),1,0)</x:f>
        <x:v>0</x:v>
      </x:c>
      <x:c r="AG728" s="2" t="str">
        <x:f>IF(AF728&lt;&gt;1,"",'Dashboard'!P77)</x:f>
      </x:c>
      <x:c r="AH728" s="2" t="str">
        <x:f>IF(B728="","",IF(J728&lt;&gt;"PASS",'Motor_Meciuri'!J57,IF('Calibrare_Linii'!U14&lt;&gt;"VALID","Parametri linie invalizi",IF(L728&gt;'Config_v6'!$B$13,"Dispersie peste limita",IF(W728="WATCH","Failure peste limita",IF(AB728&lt;'Config_v6'!$B$16,"P finala sub prag",IF(V728&lt;'Config_v6'!$B$18,"Confidence sub prag",IF(E728="REPLAY","Exemplu retrospectiv; exclus din Top LIVE",IF(Y728="PASS","DEFENSIV validat",IF(W728="OOS PENDING","Eligibil; calibrare linie in monitorizare","Eligibil"))))))))))</x:f>
      </x:c>
      <x:c r="AI728" s="2" t="str">
        <x:f>IF(B728="","",'Calibrare_Linii'!V14)</x:f>
      </x:c>
      <x:c r="AJ728" s="2" t="str">
        <x:f>IF(B728="","",IF(AND('Calibrare_Linii'!T14="VALIDATED",AND('Calibrare_Linii'!H14=C728,ISNUMBER('Calibrare_Linii'!J14),'Calibrare_Linii'!J14&lt;='Input_Meci'!G57)),"DEFENSIVE VALIDATED",IF(AND('Calibrare_Linii'!S14="VALIDATED",AND('Calibrare_Linii'!H14=C728,ISNUMBER('Calibrare_Linii'!J14),'Calibrare_Linii'!J14&lt;='Input_Meci'!G57)),"TAIL VALIDATED","OOS PENDING")))</x:f>
      </x:c>
      <x:c r="AK728" s="2" t="n">
        <x:f>IF(J728&lt;&gt;"PASS",0,'Motor_Meciuri'!BR57)</x:f>
        <x:v>0</x:v>
      </x:c>
      <x:c r="AL728" s="2" t="n">
        <x:f>IF(J728&lt;&gt;"PASS",0,'Motor_Meciuri'!BS57)</x:f>
        <x:v>0</x:v>
      </x:c>
      <x:c r="AM728" s="2" t="n">
        <x:f>IF(J728&lt;&gt;"PASS",0,'Motor_Meciuri'!BT57)</x:f>
        <x:v>0</x:v>
      </x:c>
      <x:c r="AN728" s="2" t="str">
        <x:f>IF(M728="","",MAX(0,'Motor_Meciuri'!BF57-IF(L728&gt;'Config_v6'!$B$12,'Config_v6'!$B$37,IF(L728&gt;'Config_v6'!$B$11,'Config_v6'!$B$36,0))))</x:f>
      </x:c>
    </x:row>
    <x:row r="729" ht="21" customHeight="1">
      <x:c r="A729" s="2" t="n">
        <x:v>52</x:v>
      </x:c>
      <x:c r="B729" s="2" t="str">
        <x:f>IF('Motor_Meciuri'!A57="","",'Motor_Meciuri'!A57)</x:f>
      </x:c>
      <x:c r="C729" s="2" t="str">
        <x:f>IF(B729="","",'Motor_Meciuri'!B57)</x:f>
      </x:c>
      <x:c r="D729" s="2" t="str">
        <x:f>IF(B729="","",'Motor_Meciuri'!D57)</x:f>
      </x:c>
      <x:c r="E729" s="2" t="str">
        <x:f>IF(B729="","",'Motor_Meciuri'!E57)</x:f>
      </x:c>
      <x:c r="F729" s="2" t="str">
        <x:v>U13,5</x:v>
      </x:c>
      <x:c r="G729" s="2" t="str">
        <x:v>UNDER</x:v>
      </x:c>
      <x:c r="H729" s="2" t="n">
        <x:v>13</x:v>
      </x:c>
      <x:c r="I729" s="2" t="str">
        <x:f>IF(B729="","",'Motor_Meciuri'!H57)</x:f>
      </x:c>
      <x:c r="J729" s="2" t="str">
        <x:f>IF(B729="","",'Motor_Meciuri'!I57)</x:f>
      </x:c>
      <x:c r="K729" s="11" t="str">
        <x:f>IF(J729&lt;&gt;"PASS","",'Motor_Meciuri'!BD57)</x:f>
      </x:c>
      <x:c r="L729" s="11" t="str">
        <x:f>IF(J729&lt;&gt;"PASS","",'Motor_Meciuri'!AU57)</x:f>
      </x:c>
      <x:c r="M729" s="10" t="str">
        <x:f>IF(NOT(AND(J729="PASS",'Calibrare_Linii'!U15="VALID")),"",'Distributie'!AK57)</x:f>
      </x:c>
      <x:c r="N729" s="10" t="str">
        <x:f>IF(M729="","",MAX(0.01,MIN(0.99,0.5+(M729-0.5)*'Motor_Meciuri'!BG57*'Calibrare_Linii'!D15)))</x:f>
      </x:c>
      <x:c r="O729" s="10" t="str">
        <x:f>IF(M729="","",1-M729)</x:f>
      </x:c>
      <x:c r="P729" s="10" t="str">
        <x:f>IF(OR(NOT(AND(J729="PASS",'Calibrare_Linii'!U15="VALID")),AK729=0),""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*('Istoric_Nativ'!$Q$6:$Q$405&gt;H729))/AK729)</x:f>
      </x:c>
      <x:c r="Q729" s="10" t="str">
        <x:f>IF(OR(NOT(AND(J729="PASS",'Calibrare_Linii'!U15="VALID")),AL729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M57)+((('Istoric_Nativ'!$E$6:$E$405='Input_Meci'!E57)+('Istoric_Nativ'!$F$6:$F$405='Input_Meci'!E57))&gt;0)*('Istoric_Nativ'!$D$6:$D$405&gt;='Motor_Meciuri'!BN57))&gt;0)*('Istoric_Nativ'!$Q$6:$Q$405&gt;H729))/AL729)</x:f>
      </x:c>
      <x:c r="R729" s="10" t="str">
        <x:f>IF(OR(NOT(AND(J729="PASS",'Calibrare_Linii'!U15="VALID")),AM729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O57)+((('Istoric_Nativ'!$E$6:$E$405='Input_Meci'!E57)+('Istoric_Nativ'!$F$6:$F$405='Input_Meci'!E57))&gt;0)*('Istoric_Nativ'!$D$6:$D$405&gt;='Motor_Meciuri'!BP57))&gt;0)*('Istoric_Nativ'!$Q$6:$Q$405&gt;H729))/AM729)</x:f>
      </x:c>
      <x:c r="S729" s="10" t="str">
        <x:f>IF(M729="","",MAX(O729,P729,Q729,R729))</x:f>
      </x:c>
      <x:c r="T729" s="11" t="str">
        <x:f>IF(M729="","",MIN(100,S729*100*'Config_v6'!$B$44+MIN(100,L729/'Config_v6'!$B$13*100)*'Config_v6'!$B$45+(100-'Motor_Meciuri'!BF57)*'Config_v6'!$B$46+'Motor_Meciuri'!BH57*100*'Config_v6'!$B$47))</x:f>
      </x:c>
      <x:c r="U729" s="2" t="str">
        <x:f>IF(T729="","",IF(T729&lt;=20,1,IF(T729&lt;=40,2,IF(T729&lt;=60,3,IF(T729&lt;=80,4,5)))))</x:f>
      </x:c>
      <x:c r="V729" s="2" t="str">
        <x:f>IF(M729="","",MAX(0,'Motor_Meciuri'!BF57-IF(W729="OOS PENDING",'Config_v6'!$B$35,0)-IF(L729&gt;'Config_v6'!$B$12,'Config_v6'!$B$37,IF(L729&gt;'Config_v6'!$B$11,'Config_v6'!$B$36,0))))</x:f>
      </x:c>
      <x:c r="W729" s="2" t="str">
        <x:f>IF(B729="","",IF(I729&lt;&gt;"READY","NOT RELEASED",IF(NOT(AND(J729="PASS",'Calibrare_Linii'!U15="VALID")),"INVALID",IF(NOT(AND('Calibrare_Linii'!S15="VALIDATED",AND('Calibrare_Linii'!H15=C729,ISNUMBER('Calibrare_Linii'!J15),'Calibrare_Linii'!J15&lt;='Input_Meci'!G57))),"OOS PENDING",IF(S729&lt;='Calibrare_Linii'!E15,"PASS",IF(S729&lt;='Calibrare_Linii'!F15,"PENALTY","WATCH"))))))</x:f>
      </x:c>
      <x:c r="X729" s="2" t="str">
        <x:f>IF(M729="","",IF(AND(AND(J729="PASS",'Calibrare_Linii'!U15="VALID"),'Motor_Meciuri'!K57=12,'Motor_Meciuri'!L57=12,'Motor_Meciuri'!M57="NO",'Motor_Meciuri'!BL57='Motor_Meciuri'!C57,AB729&gt;='Config_v6'!$B$50,AN729&gt;='Config_v6'!$B$51,T729&lt;='Config_v6'!$B$52,L729&lt;='Config_v6'!$B$53,ISNUMBER('Calibrare_Linii'!E15),S729&lt;='Calibrare_Linii'!E15,SUM(AK729:AM729)&gt;0),"CANDIDATE","NO"))</x:f>
      </x:c>
      <x:c r="Y729" s="2" t="str">
        <x:f>IF(B729="","",IF(I729&lt;&gt;"READY","NOT RELEASED",IF(AND(X729="CANDIDATE",V729&gt;='Config_v6'!$B$51,W729="PASS",'Calibrare_Linii'!T15="VALIDATED",AND('Calibrare_Linii'!H15=C729,ISNUMBER('Calibrare_Linii'!J15),'Calibrare_Linii'!J15&lt;='Input_Meci'!G57)),"PASS",IF(X729="CANDIDATE","OOS PENDING","FAIL"))))</x:f>
      </x:c>
      <x:c r="Z729" s="2" t="str">
        <x:f>IF(B729="","",IF(I729&lt;&gt;"READY","",IF(OR(NOT(AND(J729="PASS",'Calibrare_Linii'!U15="VALID")),L729&gt;'Config_v6'!$B$13,W729="WATCH"),5,IF(Y729="PASS",1,MIN(5,MAX('Config_v6'!$B$42,U729)+IF(W729="PENALTY",1,0))))))</x:f>
      </x:c>
      <x:c r="AA729" s="2" t="str">
        <x:f>IF(B729="","",IF(I729&lt;&gt;"READY","NOT RELEASED",IF(Z729=5,"NO BET",IF(OR(AB729&lt;'Config_v6'!$B$16,V729&lt;'Config_v6'!$B$18),"WATCH",IF(Z729=1,"DEFENSIV",IF(Z729=2,"PRUDENT",IF(Z729=3,"MODERAT","RIDICAT")))))))</x:f>
      </x:c>
      <x:c r="AB729" s="10" t="str">
        <x:f>IF(N729="","",MIN(N729,1-S729))</x:f>
      </x:c>
      <x:c r="AC729" s="2" t="str">
        <x:f>IF(AD729&lt;&gt;1,"",COUNTIFS($Z$720:$Z$733,"&lt;"&amp;Z729,$AD$720:$AD$733,1)+COUNTIFS($Z$720:$Z$733,Z729,$AB$720:$AB$733,"&gt;"&amp;AB729,$AD$720:$AD$733,1)+COUNTIFS($Z$720:$Z$733,Z729,$AB$720:$AB$733,AB729,$V$720:$V$733,"&gt;"&amp;V729,$AD$720:$AD$733,1)+COUNTIFS($Z$720:Z729,Z729,$AB$720:AB729,AB729,$V$720:V729,V729,$AD$720:AD729,1))</x:f>
      </x:c>
      <x:c r="AD729" s="2" t="n">
        <x:f>IF(OR(AA729="DEFENSIV",AA729="PRUDENT",AA729="MODERAT",AA729="RIDICAT"),1,0)</x:f>
        <x:v>0</x:v>
      </x:c>
      <x:c r="AE729" s="2" t="str">
        <x:f>IF(AD729&lt;&gt;1,"NO",IF(W729="PASS","YES",IF(W729="OOS PENDING","CONDITIONAL","NO")))</x:f>
        <x:v>NO</x:v>
      </x:c>
      <x:c r="AF729" s="2" t="n">
        <x:f>IF(AND(AD729=1,AC729=1,E729="LIVE"),1,0)</x:f>
        <x:v>0</x:v>
      </x:c>
      <x:c r="AG729" s="2" t="str">
        <x:f>IF(AF729&lt;&gt;1,"",'Dashboard'!P77)</x:f>
      </x:c>
      <x:c r="AH729" s="2" t="str">
        <x:f>IF(B729="","",IF(J729&lt;&gt;"PASS",'Motor_Meciuri'!J57,IF('Calibrare_Linii'!U15&lt;&gt;"VALID","Parametri linie invalizi",IF(L729&gt;'Config_v6'!$B$13,"Dispersie peste limita",IF(W729="WATCH","Failure peste limita",IF(AB729&lt;'Config_v6'!$B$16,"P finala sub prag",IF(V729&lt;'Config_v6'!$B$18,"Confidence sub prag",IF(E729="REPLAY","Exemplu retrospectiv; exclus din Top LIVE",IF(Y729="PASS","DEFENSIV validat",IF(W729="OOS PENDING","Eligibil; calibrare linie in monitorizare","Eligibil"))))))))))</x:f>
      </x:c>
      <x:c r="AI729" s="2" t="str">
        <x:f>IF(B729="","",'Calibrare_Linii'!V15)</x:f>
      </x:c>
      <x:c r="AJ729" s="2" t="str">
        <x:f>IF(B729="","",IF(AND('Calibrare_Linii'!T15="VALIDATED",AND('Calibrare_Linii'!H15=C729,ISNUMBER('Calibrare_Linii'!J15),'Calibrare_Linii'!J15&lt;='Input_Meci'!G57)),"DEFENSIVE VALIDATED",IF(AND('Calibrare_Linii'!S15="VALIDATED",AND('Calibrare_Linii'!H15=C729,ISNUMBER('Calibrare_Linii'!J15),'Calibrare_Linii'!J15&lt;='Input_Meci'!G57)),"TAIL VALIDATED","OOS PENDING")))</x:f>
      </x:c>
      <x:c r="AK729" s="2" t="n">
        <x:f>IF(J729&lt;&gt;"PASS",0,'Motor_Meciuri'!BR57)</x:f>
        <x:v>0</x:v>
      </x:c>
      <x:c r="AL729" s="2" t="n">
        <x:f>IF(J729&lt;&gt;"PASS",0,'Motor_Meciuri'!BS57)</x:f>
        <x:v>0</x:v>
      </x:c>
      <x:c r="AM729" s="2" t="n">
        <x:f>IF(J729&lt;&gt;"PASS",0,'Motor_Meciuri'!BT57)</x:f>
        <x:v>0</x:v>
      </x:c>
      <x:c r="AN729" s="2" t="str">
        <x:f>IF(M729="","",MAX(0,'Motor_Meciuri'!BF57-IF(L729&gt;'Config_v6'!$B$12,'Config_v6'!$B$37,IF(L729&gt;'Config_v6'!$B$11,'Config_v6'!$B$36,0))))</x:f>
      </x:c>
    </x:row>
    <x:row r="730" ht="21" customHeight="1">
      <x:c r="A730" s="2" t="n">
        <x:v>52</x:v>
      </x:c>
      <x:c r="B730" s="2" t="str">
        <x:f>IF('Motor_Meciuri'!A57="","",'Motor_Meciuri'!A57)</x:f>
      </x:c>
      <x:c r="C730" s="2" t="str">
        <x:f>IF(B730="","",'Motor_Meciuri'!B57)</x:f>
      </x:c>
      <x:c r="D730" s="2" t="str">
        <x:f>IF(B730="","",'Motor_Meciuri'!D57)</x:f>
      </x:c>
      <x:c r="E730" s="2" t="str">
        <x:f>IF(B730="","",'Motor_Meciuri'!E57)</x:f>
      </x:c>
      <x:c r="F730" s="2" t="str">
        <x:v>U14,5</x:v>
      </x:c>
      <x:c r="G730" s="2" t="str">
        <x:v>UNDER</x:v>
      </x:c>
      <x:c r="H730" s="2" t="n">
        <x:v>14</x:v>
      </x:c>
      <x:c r="I730" s="2" t="str">
        <x:f>IF(B730="","",'Motor_Meciuri'!H57)</x:f>
      </x:c>
      <x:c r="J730" s="2" t="str">
        <x:f>IF(B730="","",'Motor_Meciuri'!I57)</x:f>
      </x:c>
      <x:c r="K730" s="11" t="str">
        <x:f>IF(J730&lt;&gt;"PASS","",'Motor_Meciuri'!BD57)</x:f>
      </x:c>
      <x:c r="L730" s="11" t="str">
        <x:f>IF(J730&lt;&gt;"PASS","",'Motor_Meciuri'!AU57)</x:f>
      </x:c>
      <x:c r="M730" s="10" t="str">
        <x:f>IF(NOT(AND(J730="PASS",'Calibrare_Linii'!U16="VALID")),"",'Distributie'!AL57)</x:f>
      </x:c>
      <x:c r="N730" s="10" t="str">
        <x:f>IF(M730="","",MAX(0.01,MIN(0.99,0.5+(M730-0.5)*'Motor_Meciuri'!BG57*'Calibrare_Linii'!D16)))</x:f>
      </x:c>
      <x:c r="O730" s="10" t="str">
        <x:f>IF(M730="","",1-M730)</x:f>
      </x:c>
      <x:c r="P730" s="10" t="str">
        <x:f>IF(OR(NOT(AND(J730="PASS",'Calibrare_Linii'!U16="VALID")),AK730=0),""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*('Istoric_Nativ'!$Q$6:$Q$405&gt;H730))/AK730)</x:f>
      </x:c>
      <x:c r="Q730" s="10" t="str">
        <x:f>IF(OR(NOT(AND(J730="PASS",'Calibrare_Linii'!U16="VALID")),AL730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M57)+((('Istoric_Nativ'!$E$6:$E$405='Input_Meci'!E57)+('Istoric_Nativ'!$F$6:$F$405='Input_Meci'!E57))&gt;0)*('Istoric_Nativ'!$D$6:$D$405&gt;='Motor_Meciuri'!BN57))&gt;0)*('Istoric_Nativ'!$Q$6:$Q$405&gt;H730))/AL730)</x:f>
      </x:c>
      <x:c r="R730" s="10" t="str">
        <x:f>IF(OR(NOT(AND(J730="PASS",'Calibrare_Linii'!U16="VALID")),AM730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O57)+((('Istoric_Nativ'!$E$6:$E$405='Input_Meci'!E57)+('Istoric_Nativ'!$F$6:$F$405='Input_Meci'!E57))&gt;0)*('Istoric_Nativ'!$D$6:$D$405&gt;='Motor_Meciuri'!BP57))&gt;0)*('Istoric_Nativ'!$Q$6:$Q$405&gt;H730))/AM730)</x:f>
      </x:c>
      <x:c r="S730" s="10" t="str">
        <x:f>IF(M730="","",MAX(O730,P730,Q730,R730))</x:f>
      </x:c>
      <x:c r="T730" s="11" t="str">
        <x:f>IF(M730="","",MIN(100,S730*100*'Config_v6'!$B$44+MIN(100,L730/'Config_v6'!$B$13*100)*'Config_v6'!$B$45+(100-'Motor_Meciuri'!BF57)*'Config_v6'!$B$46+'Motor_Meciuri'!BH57*100*'Config_v6'!$B$47))</x:f>
      </x:c>
      <x:c r="U730" s="2" t="str">
        <x:f>IF(T730="","",IF(T730&lt;=20,1,IF(T730&lt;=40,2,IF(T730&lt;=60,3,IF(T730&lt;=80,4,5)))))</x:f>
      </x:c>
      <x:c r="V730" s="2" t="str">
        <x:f>IF(M730="","",MAX(0,'Motor_Meciuri'!BF57-IF(W730="OOS PENDING",'Config_v6'!$B$35,0)-IF(L730&gt;'Config_v6'!$B$12,'Config_v6'!$B$37,IF(L730&gt;'Config_v6'!$B$11,'Config_v6'!$B$36,0))))</x:f>
      </x:c>
      <x:c r="W730" s="2" t="str">
        <x:f>IF(B730="","",IF(I730&lt;&gt;"READY","NOT RELEASED",IF(NOT(AND(J730="PASS",'Calibrare_Linii'!U16="VALID")),"INVALID",IF(NOT(AND('Calibrare_Linii'!S16="VALIDATED",AND('Calibrare_Linii'!H16=C730,ISNUMBER('Calibrare_Linii'!J16),'Calibrare_Linii'!J16&lt;='Input_Meci'!G57))),"OOS PENDING",IF(S730&lt;='Calibrare_Linii'!E16,"PASS",IF(S730&lt;='Calibrare_Linii'!F16,"PENALTY","WATCH"))))))</x:f>
      </x:c>
      <x:c r="X730" s="2" t="str">
        <x:f>IF(M730="","",IF(AND(AND(J730="PASS",'Calibrare_Linii'!U16="VALID"),'Motor_Meciuri'!K57=12,'Motor_Meciuri'!L57=12,'Motor_Meciuri'!M57="NO",'Motor_Meciuri'!BL57='Motor_Meciuri'!C57,AB730&gt;='Config_v6'!$B$50,AN730&gt;='Config_v6'!$B$51,T730&lt;='Config_v6'!$B$52,L730&lt;='Config_v6'!$B$53,ISNUMBER('Calibrare_Linii'!E16),S730&lt;='Calibrare_Linii'!E16,SUM(AK730:AM730)&gt;0),"CANDIDATE","NO"))</x:f>
      </x:c>
      <x:c r="Y730" s="2" t="str">
        <x:f>IF(B730="","",IF(I730&lt;&gt;"READY","NOT RELEASED",IF(AND(X730="CANDIDATE",V730&gt;='Config_v6'!$B$51,W730="PASS",'Calibrare_Linii'!T16="VALIDATED",AND('Calibrare_Linii'!H16=C730,ISNUMBER('Calibrare_Linii'!J16),'Calibrare_Linii'!J16&lt;='Input_Meci'!G57)),"PASS",IF(X730="CANDIDATE","OOS PENDING","FAIL"))))</x:f>
      </x:c>
      <x:c r="Z730" s="2" t="str">
        <x:f>IF(B730="","",IF(I730&lt;&gt;"READY","",IF(OR(NOT(AND(J730="PASS",'Calibrare_Linii'!U16="VALID")),L730&gt;'Config_v6'!$B$13,W730="WATCH"),5,IF(Y730="PASS",1,MIN(5,MAX('Config_v6'!$B$42,U730)+IF(W730="PENALTY",1,0))))))</x:f>
      </x:c>
      <x:c r="AA730" s="2" t="str">
        <x:f>IF(B730="","",IF(I730&lt;&gt;"READY","NOT RELEASED",IF(Z730=5,"NO BET",IF(OR(AB730&lt;'Config_v6'!$B$16,V730&lt;'Config_v6'!$B$18),"WATCH",IF(Z730=1,"DEFENSIV",IF(Z730=2,"PRUDENT",IF(Z730=3,"MODERAT","RIDICAT")))))))</x:f>
      </x:c>
      <x:c r="AB730" s="10" t="str">
        <x:f>IF(N730="","",MIN(N730,1-S730))</x:f>
      </x:c>
      <x:c r="AC730" s="2" t="str">
        <x:f>IF(AD730&lt;&gt;1,"",COUNTIFS($Z$720:$Z$733,"&lt;"&amp;Z730,$AD$720:$AD$733,1)+COUNTIFS($Z$720:$Z$733,Z730,$AB$720:$AB$733,"&gt;"&amp;AB730,$AD$720:$AD$733,1)+COUNTIFS($Z$720:$Z$733,Z730,$AB$720:$AB$733,AB730,$V$720:$V$733,"&gt;"&amp;V730,$AD$720:$AD$733,1)+COUNTIFS($Z$720:Z730,Z730,$AB$720:AB730,AB730,$V$720:V730,V730,$AD$720:AD730,1))</x:f>
      </x:c>
      <x:c r="AD730" s="2" t="n">
        <x:f>IF(OR(AA730="DEFENSIV",AA730="PRUDENT",AA730="MODERAT",AA730="RIDICAT"),1,0)</x:f>
        <x:v>0</x:v>
      </x:c>
      <x:c r="AE730" s="2" t="str">
        <x:f>IF(AD730&lt;&gt;1,"NO",IF(W730="PASS","YES",IF(W730="OOS PENDING","CONDITIONAL","NO")))</x:f>
        <x:v>NO</x:v>
      </x:c>
      <x:c r="AF730" s="2" t="n">
        <x:f>IF(AND(AD730=1,AC730=1,E730="LIVE"),1,0)</x:f>
        <x:v>0</x:v>
      </x:c>
      <x:c r="AG730" s="2" t="str">
        <x:f>IF(AF730&lt;&gt;1,"",'Dashboard'!P77)</x:f>
      </x:c>
      <x:c r="AH730" s="2" t="str">
        <x:f>IF(B730="","",IF(J730&lt;&gt;"PASS",'Motor_Meciuri'!J57,IF('Calibrare_Linii'!U16&lt;&gt;"VALID","Parametri linie invalizi",IF(L730&gt;'Config_v6'!$B$13,"Dispersie peste limita",IF(W730="WATCH","Failure peste limita",IF(AB730&lt;'Config_v6'!$B$16,"P finala sub prag",IF(V730&lt;'Config_v6'!$B$18,"Confidence sub prag",IF(E730="REPLAY","Exemplu retrospectiv; exclus din Top LIVE",IF(Y730="PASS","DEFENSIV validat",IF(W730="OOS PENDING","Eligibil; calibrare linie in monitorizare","Eligibil"))))))))))</x:f>
      </x:c>
      <x:c r="AI730" s="2" t="str">
        <x:f>IF(B730="","",'Calibrare_Linii'!V16)</x:f>
      </x:c>
      <x:c r="AJ730" s="2" t="str">
        <x:f>IF(B730="","",IF(AND('Calibrare_Linii'!T16="VALIDATED",AND('Calibrare_Linii'!H16=C730,ISNUMBER('Calibrare_Linii'!J16),'Calibrare_Linii'!J16&lt;='Input_Meci'!G57)),"DEFENSIVE VALIDATED",IF(AND('Calibrare_Linii'!S16="VALIDATED",AND('Calibrare_Linii'!H16=C730,ISNUMBER('Calibrare_Linii'!J16),'Calibrare_Linii'!J16&lt;='Input_Meci'!G57)),"TAIL VALIDATED","OOS PENDING")))</x:f>
      </x:c>
      <x:c r="AK730" s="2" t="n">
        <x:f>IF(J730&lt;&gt;"PASS",0,'Motor_Meciuri'!BR57)</x:f>
        <x:v>0</x:v>
      </x:c>
      <x:c r="AL730" s="2" t="n">
        <x:f>IF(J730&lt;&gt;"PASS",0,'Motor_Meciuri'!BS57)</x:f>
        <x:v>0</x:v>
      </x:c>
      <x:c r="AM730" s="2" t="n">
        <x:f>IF(J730&lt;&gt;"PASS",0,'Motor_Meciuri'!BT57)</x:f>
        <x:v>0</x:v>
      </x:c>
      <x:c r="AN730" s="2" t="str">
        <x:f>IF(M730="","",MAX(0,'Motor_Meciuri'!BF57-IF(L730&gt;'Config_v6'!$B$12,'Config_v6'!$B$37,IF(L730&gt;'Config_v6'!$B$11,'Config_v6'!$B$36,0))))</x:f>
      </x:c>
    </x:row>
    <x:row r="731" ht="21" customHeight="1">
      <x:c r="A731" s="2" t="n">
        <x:v>52</x:v>
      </x:c>
      <x:c r="B731" s="2" t="str">
        <x:f>IF('Motor_Meciuri'!A57="","",'Motor_Meciuri'!A57)</x:f>
      </x:c>
      <x:c r="C731" s="2" t="str">
        <x:f>IF(B731="","",'Motor_Meciuri'!B57)</x:f>
      </x:c>
      <x:c r="D731" s="2" t="str">
        <x:f>IF(B731="","",'Motor_Meciuri'!D57)</x:f>
      </x:c>
      <x:c r="E731" s="2" t="str">
        <x:f>IF(B731="","",'Motor_Meciuri'!E57)</x:f>
      </x:c>
      <x:c r="F731" s="2" t="str">
        <x:v>U15,5</x:v>
      </x:c>
      <x:c r="G731" s="2" t="str">
        <x:v>UNDER</x:v>
      </x:c>
      <x:c r="H731" s="2" t="n">
        <x:v>15</x:v>
      </x:c>
      <x:c r="I731" s="2" t="str">
        <x:f>IF(B731="","",'Motor_Meciuri'!H57)</x:f>
      </x:c>
      <x:c r="J731" s="2" t="str">
        <x:f>IF(B731="","",'Motor_Meciuri'!I57)</x:f>
      </x:c>
      <x:c r="K731" s="11" t="str">
        <x:f>IF(J731&lt;&gt;"PASS","",'Motor_Meciuri'!BD57)</x:f>
      </x:c>
      <x:c r="L731" s="11" t="str">
        <x:f>IF(J731&lt;&gt;"PASS","",'Motor_Meciuri'!AU57)</x:f>
      </x:c>
      <x:c r="M731" s="10" t="str">
        <x:f>IF(NOT(AND(J731="PASS",'Calibrare_Linii'!U17="VALID")),"",'Distributie'!AM57)</x:f>
      </x:c>
      <x:c r="N731" s="10" t="str">
        <x:f>IF(M731="","",MAX(0.01,MIN(0.99,0.5+(M731-0.5)*'Motor_Meciuri'!BG57*'Calibrare_Linii'!D17)))</x:f>
      </x:c>
      <x:c r="O731" s="10" t="str">
        <x:f>IF(M731="","",1-M731)</x:f>
      </x:c>
      <x:c r="P731" s="10" t="str">
        <x:f>IF(OR(NOT(AND(J731="PASS",'Calibrare_Linii'!U17="VALID")),AK731=0),""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*('Istoric_Nativ'!$Q$6:$Q$405&gt;H731))/AK731)</x:f>
      </x:c>
      <x:c r="Q731" s="10" t="str">
        <x:f>IF(OR(NOT(AND(J731="PASS",'Calibrare_Linii'!U17="VALID")),AL731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M57)+((('Istoric_Nativ'!$E$6:$E$405='Input_Meci'!E57)+('Istoric_Nativ'!$F$6:$F$405='Input_Meci'!E57))&gt;0)*('Istoric_Nativ'!$D$6:$D$405&gt;='Motor_Meciuri'!BN57))&gt;0)*('Istoric_Nativ'!$Q$6:$Q$405&gt;H731))/AL731)</x:f>
      </x:c>
      <x:c r="R731" s="10" t="str">
        <x:f>IF(OR(NOT(AND(J731="PASS",'Calibrare_Linii'!U17="VALID")),AM731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O57)+((('Istoric_Nativ'!$E$6:$E$405='Input_Meci'!E57)+('Istoric_Nativ'!$F$6:$F$405='Input_Meci'!E57))&gt;0)*('Istoric_Nativ'!$D$6:$D$405&gt;='Motor_Meciuri'!BP57))&gt;0)*('Istoric_Nativ'!$Q$6:$Q$405&gt;H731))/AM731)</x:f>
      </x:c>
      <x:c r="S731" s="10" t="str">
        <x:f>IF(M731="","",MAX(O731,P731,Q731,R731))</x:f>
      </x:c>
      <x:c r="T731" s="11" t="str">
        <x:f>IF(M731="","",MIN(100,S731*100*'Config_v6'!$B$44+MIN(100,L731/'Config_v6'!$B$13*100)*'Config_v6'!$B$45+(100-'Motor_Meciuri'!BF57)*'Config_v6'!$B$46+'Motor_Meciuri'!BH57*100*'Config_v6'!$B$47))</x:f>
      </x:c>
      <x:c r="U731" s="2" t="str">
        <x:f>IF(T731="","",IF(T731&lt;=20,1,IF(T731&lt;=40,2,IF(T731&lt;=60,3,IF(T731&lt;=80,4,5)))))</x:f>
      </x:c>
      <x:c r="V731" s="2" t="str">
        <x:f>IF(M731="","",MAX(0,'Motor_Meciuri'!BF57-IF(W731="OOS PENDING",'Config_v6'!$B$35,0)-IF(L731&gt;'Config_v6'!$B$12,'Config_v6'!$B$37,IF(L731&gt;'Config_v6'!$B$11,'Config_v6'!$B$36,0))))</x:f>
      </x:c>
      <x:c r="W731" s="2" t="str">
        <x:f>IF(B731="","",IF(I731&lt;&gt;"READY","NOT RELEASED",IF(NOT(AND(J731="PASS",'Calibrare_Linii'!U17="VALID")),"INVALID",IF(NOT(AND('Calibrare_Linii'!S17="VALIDATED",AND('Calibrare_Linii'!H17=C731,ISNUMBER('Calibrare_Linii'!J17),'Calibrare_Linii'!J17&lt;='Input_Meci'!G57))),"OOS PENDING",IF(S731&lt;='Calibrare_Linii'!E17,"PASS",IF(S731&lt;='Calibrare_Linii'!F17,"PENALTY","WATCH"))))))</x:f>
      </x:c>
      <x:c r="X731" s="2" t="str">
        <x:f>IF(M731="","",IF(AND(AND(J731="PASS",'Calibrare_Linii'!U17="VALID"),'Motor_Meciuri'!K57=12,'Motor_Meciuri'!L57=12,'Motor_Meciuri'!M57="NO",'Motor_Meciuri'!BL57='Motor_Meciuri'!C57,AB731&gt;='Config_v6'!$B$50,AN731&gt;='Config_v6'!$B$51,T731&lt;='Config_v6'!$B$52,L731&lt;='Config_v6'!$B$53,ISNUMBER('Calibrare_Linii'!E17),S731&lt;='Calibrare_Linii'!E17,SUM(AK731:AM731)&gt;0),"CANDIDATE","NO"))</x:f>
      </x:c>
      <x:c r="Y731" s="2" t="str">
        <x:f>IF(B731="","",IF(I731&lt;&gt;"READY","NOT RELEASED",IF(AND(X731="CANDIDATE",V731&gt;='Config_v6'!$B$51,W731="PASS",'Calibrare_Linii'!T17="VALIDATED",AND('Calibrare_Linii'!H17=C731,ISNUMBER('Calibrare_Linii'!J17),'Calibrare_Linii'!J17&lt;='Input_Meci'!G57)),"PASS",IF(X731="CANDIDATE","OOS PENDING","FAIL"))))</x:f>
      </x:c>
      <x:c r="Z731" s="2" t="str">
        <x:f>IF(B731="","",IF(I731&lt;&gt;"READY","",IF(OR(NOT(AND(J731="PASS",'Calibrare_Linii'!U17="VALID")),L731&gt;'Config_v6'!$B$13,W731="WATCH"),5,IF(Y731="PASS",1,MIN(5,MAX('Config_v6'!$B$42,U731)+IF(W731="PENALTY",1,0))))))</x:f>
      </x:c>
      <x:c r="AA731" s="2" t="str">
        <x:f>IF(B731="","",IF(I731&lt;&gt;"READY","NOT RELEASED",IF(Z731=5,"NO BET",IF(OR(AB731&lt;'Config_v6'!$B$16,V731&lt;'Config_v6'!$B$18),"WATCH",IF(Z731=1,"DEFENSIV",IF(Z731=2,"PRUDENT",IF(Z731=3,"MODERAT","RIDICAT")))))))</x:f>
      </x:c>
      <x:c r="AB731" s="10" t="str">
        <x:f>IF(N731="","",MIN(N731,1-S731))</x:f>
      </x:c>
      <x:c r="AC731" s="2" t="str">
        <x:f>IF(AD731&lt;&gt;1,"",COUNTIFS($Z$720:$Z$733,"&lt;"&amp;Z731,$AD$720:$AD$733,1)+COUNTIFS($Z$720:$Z$733,Z731,$AB$720:$AB$733,"&gt;"&amp;AB731,$AD$720:$AD$733,1)+COUNTIFS($Z$720:$Z$733,Z731,$AB$720:$AB$733,AB731,$V$720:$V$733,"&gt;"&amp;V731,$AD$720:$AD$733,1)+COUNTIFS($Z$720:Z731,Z731,$AB$720:AB731,AB731,$V$720:V731,V731,$AD$720:AD731,1))</x:f>
      </x:c>
      <x:c r="AD731" s="2" t="n">
        <x:f>IF(OR(AA731="DEFENSIV",AA731="PRUDENT",AA731="MODERAT",AA731="RIDICAT"),1,0)</x:f>
        <x:v>0</x:v>
      </x:c>
      <x:c r="AE731" s="2" t="str">
        <x:f>IF(AD731&lt;&gt;1,"NO",IF(W731="PASS","YES",IF(W731="OOS PENDING","CONDITIONAL","NO")))</x:f>
        <x:v>NO</x:v>
      </x:c>
      <x:c r="AF731" s="2" t="n">
        <x:f>IF(AND(AD731=1,AC731=1,E731="LIVE"),1,0)</x:f>
        <x:v>0</x:v>
      </x:c>
      <x:c r="AG731" s="2" t="str">
        <x:f>IF(AF731&lt;&gt;1,"",'Dashboard'!P77)</x:f>
      </x:c>
      <x:c r="AH731" s="2" t="str">
        <x:f>IF(B731="","",IF(J731&lt;&gt;"PASS",'Motor_Meciuri'!J57,IF('Calibrare_Linii'!U17&lt;&gt;"VALID","Parametri linie invalizi",IF(L731&gt;'Config_v6'!$B$13,"Dispersie peste limita",IF(W731="WATCH","Failure peste limita",IF(AB731&lt;'Config_v6'!$B$16,"P finala sub prag",IF(V731&lt;'Config_v6'!$B$18,"Confidence sub prag",IF(E731="REPLAY","Exemplu retrospectiv; exclus din Top LIVE",IF(Y731="PASS","DEFENSIV validat",IF(W731="OOS PENDING","Eligibil; calibrare linie in monitorizare","Eligibil"))))))))))</x:f>
      </x:c>
      <x:c r="AI731" s="2" t="str">
        <x:f>IF(B731="","",'Calibrare_Linii'!V17)</x:f>
      </x:c>
      <x:c r="AJ731" s="2" t="str">
        <x:f>IF(B731="","",IF(AND('Calibrare_Linii'!T17="VALIDATED",AND('Calibrare_Linii'!H17=C731,ISNUMBER('Calibrare_Linii'!J17),'Calibrare_Linii'!J17&lt;='Input_Meci'!G57)),"DEFENSIVE VALIDATED",IF(AND('Calibrare_Linii'!S17="VALIDATED",AND('Calibrare_Linii'!H17=C731,ISNUMBER('Calibrare_Linii'!J17),'Calibrare_Linii'!J17&lt;='Input_Meci'!G57)),"TAIL VALIDATED","OOS PENDING")))</x:f>
      </x:c>
      <x:c r="AK731" s="2" t="n">
        <x:f>IF(J731&lt;&gt;"PASS",0,'Motor_Meciuri'!BR57)</x:f>
        <x:v>0</x:v>
      </x:c>
      <x:c r="AL731" s="2" t="n">
        <x:f>IF(J731&lt;&gt;"PASS",0,'Motor_Meciuri'!BS57)</x:f>
        <x:v>0</x:v>
      </x:c>
      <x:c r="AM731" s="2" t="n">
        <x:f>IF(J731&lt;&gt;"PASS",0,'Motor_Meciuri'!BT57)</x:f>
        <x:v>0</x:v>
      </x:c>
      <x:c r="AN731" s="2" t="str">
        <x:f>IF(M731="","",MAX(0,'Motor_Meciuri'!BF57-IF(L731&gt;'Config_v6'!$B$12,'Config_v6'!$B$37,IF(L731&gt;'Config_v6'!$B$11,'Config_v6'!$B$36,0))))</x:f>
      </x:c>
    </x:row>
    <x:row r="732" ht="21" customHeight="1">
      <x:c r="A732" s="2" t="n">
        <x:v>52</x:v>
      </x:c>
      <x:c r="B732" s="2" t="str">
        <x:f>IF('Motor_Meciuri'!A57="","",'Motor_Meciuri'!A57)</x:f>
      </x:c>
      <x:c r="C732" s="2" t="str">
        <x:f>IF(B732="","",'Motor_Meciuri'!B57)</x:f>
      </x:c>
      <x:c r="D732" s="2" t="str">
        <x:f>IF(B732="","",'Motor_Meciuri'!D57)</x:f>
      </x:c>
      <x:c r="E732" s="2" t="str">
        <x:f>IF(B732="","",'Motor_Meciuri'!E57)</x:f>
      </x:c>
      <x:c r="F732" s="2" t="str">
        <x:v>U16,5</x:v>
      </x:c>
      <x:c r="G732" s="2" t="str">
        <x:v>UNDER</x:v>
      </x:c>
      <x:c r="H732" s="2" t="n">
        <x:v>16</x:v>
      </x:c>
      <x:c r="I732" s="2" t="str">
        <x:f>IF(B732="","",'Motor_Meciuri'!H57)</x:f>
      </x:c>
      <x:c r="J732" s="2" t="str">
        <x:f>IF(B732="","",'Motor_Meciuri'!I57)</x:f>
      </x:c>
      <x:c r="K732" s="11" t="str">
        <x:f>IF(J732&lt;&gt;"PASS","",'Motor_Meciuri'!BD57)</x:f>
      </x:c>
      <x:c r="L732" s="11" t="str">
        <x:f>IF(J732&lt;&gt;"PASS","",'Motor_Meciuri'!AU57)</x:f>
      </x:c>
      <x:c r="M732" s="10" t="str">
        <x:f>IF(NOT(AND(J732="PASS",'Calibrare_Linii'!U18="VALID")),"",'Distributie'!AN57)</x:f>
      </x:c>
      <x:c r="N732" s="10" t="str">
        <x:f>IF(M732="","",MAX(0.01,MIN(0.99,0.5+(M732-0.5)*'Motor_Meciuri'!BG57*'Calibrare_Linii'!D18)))</x:f>
      </x:c>
      <x:c r="O732" s="10" t="str">
        <x:f>IF(M732="","",1-M732)</x:f>
      </x:c>
      <x:c r="P732" s="10" t="str">
        <x:f>IF(OR(NOT(AND(J732="PASS",'Calibrare_Linii'!U18="VALID")),AK732=0),""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*('Istoric_Nativ'!$Q$6:$Q$405&gt;H732))/AK732)</x:f>
      </x:c>
      <x:c r="Q732" s="10" t="str">
        <x:f>IF(OR(NOT(AND(J732="PASS",'Calibrare_Linii'!U18="VALID")),AL732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M57)+((('Istoric_Nativ'!$E$6:$E$405='Input_Meci'!E57)+('Istoric_Nativ'!$F$6:$F$405='Input_Meci'!E57))&gt;0)*('Istoric_Nativ'!$D$6:$D$405&gt;='Motor_Meciuri'!BN57))&gt;0)*('Istoric_Nativ'!$Q$6:$Q$405&gt;H732))/AL732)</x:f>
      </x:c>
      <x:c r="R732" s="10" t="str">
        <x:f>IF(OR(NOT(AND(J732="PASS",'Calibrare_Linii'!U18="VALID")),AM732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O57)+((('Istoric_Nativ'!$E$6:$E$405='Input_Meci'!E57)+('Istoric_Nativ'!$F$6:$F$405='Input_Meci'!E57))&gt;0)*('Istoric_Nativ'!$D$6:$D$405&gt;='Motor_Meciuri'!BP57))&gt;0)*('Istoric_Nativ'!$Q$6:$Q$405&gt;H732))/AM732)</x:f>
      </x:c>
      <x:c r="S732" s="10" t="str">
        <x:f>IF(M732="","",MAX(O732,P732,Q732,R732))</x:f>
      </x:c>
      <x:c r="T732" s="11" t="str">
        <x:f>IF(M732="","",MIN(100,S732*100*'Config_v6'!$B$44+MIN(100,L732/'Config_v6'!$B$13*100)*'Config_v6'!$B$45+(100-'Motor_Meciuri'!BF57)*'Config_v6'!$B$46+'Motor_Meciuri'!BH57*100*'Config_v6'!$B$47))</x:f>
      </x:c>
      <x:c r="U732" s="2" t="str">
        <x:f>IF(T732="","",IF(T732&lt;=20,1,IF(T732&lt;=40,2,IF(T732&lt;=60,3,IF(T732&lt;=80,4,5)))))</x:f>
      </x:c>
      <x:c r="V732" s="2" t="str">
        <x:f>IF(M732="","",MAX(0,'Motor_Meciuri'!BF57-IF(W732="OOS PENDING",'Config_v6'!$B$35,0)-IF(L732&gt;'Config_v6'!$B$12,'Config_v6'!$B$37,IF(L732&gt;'Config_v6'!$B$11,'Config_v6'!$B$36,0))))</x:f>
      </x:c>
      <x:c r="W732" s="2" t="str">
        <x:f>IF(B732="","",IF(I732&lt;&gt;"READY","NOT RELEASED",IF(NOT(AND(J732="PASS",'Calibrare_Linii'!U18="VALID")),"INVALID",IF(NOT(AND('Calibrare_Linii'!S18="VALIDATED",AND('Calibrare_Linii'!H18=C732,ISNUMBER('Calibrare_Linii'!J18),'Calibrare_Linii'!J18&lt;='Input_Meci'!G57))),"OOS PENDING",IF(S732&lt;='Calibrare_Linii'!E18,"PASS",IF(S732&lt;='Calibrare_Linii'!F18,"PENALTY","WATCH"))))))</x:f>
      </x:c>
      <x:c r="X732" s="2" t="str">
        <x:f>IF(M732="","",IF(AND(AND(J732="PASS",'Calibrare_Linii'!U18="VALID"),'Motor_Meciuri'!K57=12,'Motor_Meciuri'!L57=12,'Motor_Meciuri'!M57="NO",'Motor_Meciuri'!BL57='Motor_Meciuri'!C57,AB732&gt;='Config_v6'!$B$50,AN732&gt;='Config_v6'!$B$51,T732&lt;='Config_v6'!$B$52,L732&lt;='Config_v6'!$B$53,ISNUMBER('Calibrare_Linii'!E18),S732&lt;='Calibrare_Linii'!E18,SUM(AK732:AM732)&gt;0),"CANDIDATE","NO"))</x:f>
      </x:c>
      <x:c r="Y732" s="2" t="str">
        <x:f>IF(B732="","",IF(I732&lt;&gt;"READY","NOT RELEASED",IF(AND(X732="CANDIDATE",V732&gt;='Config_v6'!$B$51,W732="PASS",'Calibrare_Linii'!T18="VALIDATED",AND('Calibrare_Linii'!H18=C732,ISNUMBER('Calibrare_Linii'!J18),'Calibrare_Linii'!J18&lt;='Input_Meci'!G57)),"PASS",IF(X732="CANDIDATE","OOS PENDING","FAIL"))))</x:f>
      </x:c>
      <x:c r="Z732" s="2" t="str">
        <x:f>IF(B732="","",IF(I732&lt;&gt;"READY","",IF(OR(NOT(AND(J732="PASS",'Calibrare_Linii'!U18="VALID")),L732&gt;'Config_v6'!$B$13,W732="WATCH"),5,IF(Y732="PASS",1,MIN(5,MAX('Config_v6'!$B$42,U732)+IF(W732="PENALTY",1,0))))))</x:f>
      </x:c>
      <x:c r="AA732" s="2" t="str">
        <x:f>IF(B732="","",IF(I732&lt;&gt;"READY","NOT RELEASED",IF(Z732=5,"NO BET",IF(OR(AB732&lt;'Config_v6'!$B$16,V732&lt;'Config_v6'!$B$18),"WATCH",IF(Z732=1,"DEFENSIV",IF(Z732=2,"PRUDENT",IF(Z732=3,"MODERAT","RIDICAT")))))))</x:f>
      </x:c>
      <x:c r="AB732" s="10" t="str">
        <x:f>IF(N732="","",MIN(N732,1-S732))</x:f>
      </x:c>
      <x:c r="AC732" s="2" t="str">
        <x:f>IF(AD732&lt;&gt;1,"",COUNTIFS($Z$720:$Z$733,"&lt;"&amp;Z732,$AD$720:$AD$733,1)+COUNTIFS($Z$720:$Z$733,Z732,$AB$720:$AB$733,"&gt;"&amp;AB732,$AD$720:$AD$733,1)+COUNTIFS($Z$720:$Z$733,Z732,$AB$720:$AB$733,AB732,$V$720:$V$733,"&gt;"&amp;V732,$AD$720:$AD$733,1)+COUNTIFS($Z$720:Z732,Z732,$AB$720:AB732,AB732,$V$720:V732,V732,$AD$720:AD732,1))</x:f>
      </x:c>
      <x:c r="AD732" s="2" t="n">
        <x:f>IF(OR(AA732="DEFENSIV",AA732="PRUDENT",AA732="MODERAT",AA732="RIDICAT"),1,0)</x:f>
        <x:v>0</x:v>
      </x:c>
      <x:c r="AE732" s="2" t="str">
        <x:f>IF(AD732&lt;&gt;1,"NO",IF(W732="PASS","YES",IF(W732="OOS PENDING","CONDITIONAL","NO")))</x:f>
        <x:v>NO</x:v>
      </x:c>
      <x:c r="AF732" s="2" t="n">
        <x:f>IF(AND(AD732=1,AC732=1,E732="LIVE"),1,0)</x:f>
        <x:v>0</x:v>
      </x:c>
      <x:c r="AG732" s="2" t="str">
        <x:f>IF(AF732&lt;&gt;1,"",'Dashboard'!P77)</x:f>
      </x:c>
      <x:c r="AH732" s="2" t="str">
        <x:f>IF(B732="","",IF(J732&lt;&gt;"PASS",'Motor_Meciuri'!J57,IF('Calibrare_Linii'!U18&lt;&gt;"VALID","Parametri linie invalizi",IF(L732&gt;'Config_v6'!$B$13,"Dispersie peste limita",IF(W732="WATCH","Failure peste limita",IF(AB732&lt;'Config_v6'!$B$16,"P finala sub prag",IF(V732&lt;'Config_v6'!$B$18,"Confidence sub prag",IF(E732="REPLAY","Exemplu retrospectiv; exclus din Top LIVE",IF(Y732="PASS","DEFENSIV validat",IF(W732="OOS PENDING","Eligibil; calibrare linie in monitorizare","Eligibil"))))))))))</x:f>
      </x:c>
      <x:c r="AI732" s="2" t="str">
        <x:f>IF(B732="","",'Calibrare_Linii'!V18)</x:f>
      </x:c>
      <x:c r="AJ732" s="2" t="str">
        <x:f>IF(B732="","",IF(AND('Calibrare_Linii'!T18="VALIDATED",AND('Calibrare_Linii'!H18=C732,ISNUMBER('Calibrare_Linii'!J18),'Calibrare_Linii'!J18&lt;='Input_Meci'!G57)),"DEFENSIVE VALIDATED",IF(AND('Calibrare_Linii'!S18="VALIDATED",AND('Calibrare_Linii'!H18=C732,ISNUMBER('Calibrare_Linii'!J18),'Calibrare_Linii'!J18&lt;='Input_Meci'!G57)),"TAIL VALIDATED","OOS PENDING")))</x:f>
      </x:c>
      <x:c r="AK732" s="2" t="n">
        <x:f>IF(J732&lt;&gt;"PASS",0,'Motor_Meciuri'!BR57)</x:f>
        <x:v>0</x:v>
      </x:c>
      <x:c r="AL732" s="2" t="n">
        <x:f>IF(J732&lt;&gt;"PASS",0,'Motor_Meciuri'!BS57)</x:f>
        <x:v>0</x:v>
      </x:c>
      <x:c r="AM732" s="2" t="n">
        <x:f>IF(J732&lt;&gt;"PASS",0,'Motor_Meciuri'!BT57)</x:f>
        <x:v>0</x:v>
      </x:c>
      <x:c r="AN732" s="2" t="str">
        <x:f>IF(M732="","",MAX(0,'Motor_Meciuri'!BF57-IF(L732&gt;'Config_v6'!$B$12,'Config_v6'!$B$37,IF(L732&gt;'Config_v6'!$B$11,'Config_v6'!$B$36,0))))</x:f>
      </x:c>
    </x:row>
    <x:row r="733" ht="21" customHeight="1">
      <x:c r="A733" s="2" t="n">
        <x:v>52</x:v>
      </x:c>
      <x:c r="B733" s="2" t="str">
        <x:f>IF('Motor_Meciuri'!A57="","",'Motor_Meciuri'!A57)</x:f>
      </x:c>
      <x:c r="C733" s="2" t="str">
        <x:f>IF(B733="","",'Motor_Meciuri'!B57)</x:f>
      </x:c>
      <x:c r="D733" s="2" t="str">
        <x:f>IF(B733="","",'Motor_Meciuri'!D57)</x:f>
      </x:c>
      <x:c r="E733" s="2" t="str">
        <x:f>IF(B733="","",'Motor_Meciuri'!E57)</x:f>
      </x:c>
      <x:c r="F733" s="2" t="str">
        <x:v>U17,5</x:v>
      </x:c>
      <x:c r="G733" s="2" t="str">
        <x:v>UNDER</x:v>
      </x:c>
      <x:c r="H733" s="2" t="n">
        <x:v>17</x:v>
      </x:c>
      <x:c r="I733" s="2" t="str">
        <x:f>IF(B733="","",'Motor_Meciuri'!H57)</x:f>
      </x:c>
      <x:c r="J733" s="2" t="str">
        <x:f>IF(B733="","",'Motor_Meciuri'!I57)</x:f>
      </x:c>
      <x:c r="K733" s="11" t="str">
        <x:f>IF(J733&lt;&gt;"PASS","",'Motor_Meciuri'!BD57)</x:f>
      </x:c>
      <x:c r="L733" s="11" t="str">
        <x:f>IF(J733&lt;&gt;"PASS","",'Motor_Meciuri'!AU57)</x:f>
      </x:c>
      <x:c r="M733" s="10" t="str">
        <x:f>IF(NOT(AND(J733="PASS",'Calibrare_Linii'!U19="VALID")),"",'Distributie'!AO57)</x:f>
      </x:c>
      <x:c r="N733" s="10" t="str">
        <x:f>IF(M733="","",MAX(0.01,MIN(0.99,0.5+(M733-0.5)*'Motor_Meciuri'!BG57*'Calibrare_Linii'!D19)))</x:f>
      </x:c>
      <x:c r="O733" s="10" t="str">
        <x:f>IF(M733="","",1-M733)</x:f>
      </x:c>
      <x:c r="P733" s="10" t="str">
        <x:f>IF(OR(NOT(AND(J733="PASS",'Calibrare_Linii'!U19="VALID")),AK733=0),""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*('Istoric_Nativ'!$Q$6:$Q$405&gt;H733))/AK733)</x:f>
      </x:c>
      <x:c r="Q733" s="10" t="str">
        <x:f>IF(OR(NOT(AND(J733="PASS",'Calibrare_Linii'!U19="VALID")),AL733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M57)+((('Istoric_Nativ'!$E$6:$E$405='Input_Meci'!E57)+('Istoric_Nativ'!$F$6:$F$405='Input_Meci'!E57))&gt;0)*('Istoric_Nativ'!$D$6:$D$405&gt;='Motor_Meciuri'!BN57))&gt;0)*('Istoric_Nativ'!$Q$6:$Q$405&gt;H733))/AL733)</x:f>
      </x:c>
      <x:c r="R733" s="10" t="str">
        <x:f>IF(OR(NOT(AND(J733="PASS",'Calibrare_Linii'!U19="VALID")),AM733=0),""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'Motor_Meciuri'!BO57)+((('Istoric_Nativ'!$E$6:$E$405='Input_Meci'!E57)+('Istoric_Nativ'!$F$6:$F$405='Input_Meci'!E57))&gt;0)*('Istoric_Nativ'!$D$6:$D$405&gt;='Motor_Meciuri'!BP57))&gt;0)*('Istoric_Nativ'!$Q$6:$Q$405&gt;H733))/AM733)</x:f>
      </x:c>
      <x:c r="S733" s="10" t="str">
        <x:f>IF(M733="","",MAX(O733,P733,Q733,R733))</x:f>
      </x:c>
      <x:c r="T733" s="11" t="str">
        <x:f>IF(M733="","",MIN(100,S733*100*'Config_v6'!$B$44+MIN(100,L733/'Config_v6'!$B$13*100)*'Config_v6'!$B$45+(100-'Motor_Meciuri'!BF57)*'Config_v6'!$B$46+'Motor_Meciuri'!BH57*100*'Config_v6'!$B$47))</x:f>
      </x:c>
      <x:c r="U733" s="2" t="str">
        <x:f>IF(T733="","",IF(T733&lt;=20,1,IF(T733&lt;=40,2,IF(T733&lt;=60,3,IF(T733&lt;=80,4,5)))))</x:f>
      </x:c>
      <x:c r="V733" s="2" t="str">
        <x:f>IF(M733="","",MAX(0,'Motor_Meciuri'!BF57-IF(W733="OOS PENDING",'Config_v6'!$B$35,0)-IF(L733&gt;'Config_v6'!$B$12,'Config_v6'!$B$37,IF(L733&gt;'Config_v6'!$B$11,'Config_v6'!$B$36,0))))</x:f>
      </x:c>
      <x:c r="W733" s="2" t="str">
        <x:f>IF(B733="","",IF(I733&lt;&gt;"READY","NOT RELEASED",IF(NOT(AND(J733="PASS",'Calibrare_Linii'!U19="VALID")),"INVALID",IF(NOT(AND('Calibrare_Linii'!S19="VALIDATED",AND('Calibrare_Linii'!H19=C733,ISNUMBER('Calibrare_Linii'!J19),'Calibrare_Linii'!J19&lt;='Input_Meci'!G57))),"OOS PENDING",IF(S733&lt;='Calibrare_Linii'!E19,"PASS",IF(S733&lt;='Calibrare_Linii'!F19,"PENALTY","WATCH"))))))</x:f>
      </x:c>
      <x:c r="X733" s="2" t="str">
        <x:f>IF(M733="","",IF(AND(AND(J733="PASS",'Calibrare_Linii'!U19="VALID"),'Motor_Meciuri'!K57=12,'Motor_Meciuri'!L57=12,'Motor_Meciuri'!M57="NO",'Motor_Meciuri'!BL57='Motor_Meciuri'!C57,AB733&gt;='Config_v6'!$B$50,AN733&gt;='Config_v6'!$B$51,T733&lt;='Config_v6'!$B$52,L733&lt;='Config_v6'!$B$53,ISNUMBER('Calibrare_Linii'!E19),S733&lt;='Calibrare_Linii'!E19,SUM(AK733:AM733)&gt;0),"CANDIDATE","NO"))</x:f>
      </x:c>
      <x:c r="Y733" s="2" t="str">
        <x:f>IF(B733="","",IF(I733&lt;&gt;"READY","NOT RELEASED",IF(AND(X733="CANDIDATE",V733&gt;='Config_v6'!$B$51,W733="PASS",'Calibrare_Linii'!T19="VALIDATED",AND('Calibrare_Linii'!H19=C733,ISNUMBER('Calibrare_Linii'!J19),'Calibrare_Linii'!J19&lt;='Input_Meci'!G57)),"PASS",IF(X733="CANDIDATE","OOS PENDING","FAIL"))))</x:f>
      </x:c>
      <x:c r="Z733" s="2" t="str">
        <x:f>IF(B733="","",IF(I733&lt;&gt;"READY","",IF(OR(NOT(AND(J733="PASS",'Calibrare_Linii'!U19="VALID")),L733&gt;'Config_v6'!$B$13,W733="WATCH"),5,IF(Y733="PASS",1,MIN(5,MAX('Config_v6'!$B$42,U733)+IF(W733="PENALTY",1,0))))))</x:f>
      </x:c>
      <x:c r="AA733" s="2" t="str">
        <x:f>IF(B733="","",IF(I733&lt;&gt;"READY","NOT RELEASED",IF(Z733=5,"NO BET",IF(OR(AB733&lt;'Config_v6'!$B$16,V733&lt;'Config_v6'!$B$18),"WATCH",IF(Z733=1,"DEFENSIV",IF(Z733=2,"PRUDENT",IF(Z733=3,"MODERAT","RIDICAT")))))))</x:f>
      </x:c>
      <x:c r="AB733" s="10" t="str">
        <x:f>IF(N733="","",MIN(N733,1-S733))</x:f>
      </x:c>
      <x:c r="AC733" s="2" t="str">
        <x:f>IF(AD733&lt;&gt;1,"",COUNTIFS($Z$720:$Z$733,"&lt;"&amp;Z733,$AD$720:$AD$733,1)+COUNTIFS($Z$720:$Z$733,Z733,$AB$720:$AB$733,"&gt;"&amp;AB733,$AD$720:$AD$733,1)+COUNTIFS($Z$720:$Z$733,Z733,$AB$720:$AB$733,AB733,$V$720:$V$733,"&gt;"&amp;V733,$AD$720:$AD$733,1)+COUNTIFS($Z$720:Z733,Z733,$AB$720:AB733,AB733,$V$720:V733,V733,$AD$720:AD733,1))</x:f>
      </x:c>
      <x:c r="AD733" s="2" t="n">
        <x:f>IF(OR(AA733="DEFENSIV",AA733="PRUDENT",AA733="MODERAT",AA733="RIDICAT"),1,0)</x:f>
        <x:v>0</x:v>
      </x:c>
      <x:c r="AE733" s="2" t="str">
        <x:f>IF(AD733&lt;&gt;1,"NO",IF(W733="PASS","YES",IF(W733="OOS PENDING","CONDITIONAL","NO")))</x:f>
        <x:v>NO</x:v>
      </x:c>
      <x:c r="AF733" s="2" t="n">
        <x:f>IF(AND(AD733=1,AC733=1,E733="LIVE"),1,0)</x:f>
        <x:v>0</x:v>
      </x:c>
      <x:c r="AG733" s="2" t="str">
        <x:f>IF(AF733&lt;&gt;1,"",'Dashboard'!P77)</x:f>
      </x:c>
      <x:c r="AH733" s="2" t="str">
        <x:f>IF(B733="","",IF(J733&lt;&gt;"PASS",'Motor_Meciuri'!J57,IF('Calibrare_Linii'!U19&lt;&gt;"VALID","Parametri linie invalizi",IF(L733&gt;'Config_v6'!$B$13,"Dispersie peste limita",IF(W733="WATCH","Failure peste limita",IF(AB733&lt;'Config_v6'!$B$16,"P finala sub prag",IF(V733&lt;'Config_v6'!$B$18,"Confidence sub prag",IF(E733="REPLAY","Exemplu retrospectiv; exclus din Top LIVE",IF(Y733="PASS","DEFENSIV validat",IF(W733="OOS PENDING","Eligibil; calibrare linie in monitorizare","Eligibil"))))))))))</x:f>
      </x:c>
      <x:c r="AI733" s="2" t="str">
        <x:f>IF(B733="","",'Calibrare_Linii'!V19)</x:f>
      </x:c>
      <x:c r="AJ733" s="2" t="str">
        <x:f>IF(B733="","",IF(AND('Calibrare_Linii'!T19="VALIDATED",AND('Calibrare_Linii'!H19=C733,ISNUMBER('Calibrare_Linii'!J19),'Calibrare_Linii'!J19&lt;='Input_Meci'!G57)),"DEFENSIVE VALIDATED",IF(AND('Calibrare_Linii'!S19="VALIDATED",AND('Calibrare_Linii'!H19=C733,ISNUMBER('Calibrare_Linii'!J19),'Calibrare_Linii'!J19&lt;='Input_Meci'!G57)),"TAIL VALIDATED","OOS PENDING")))</x:f>
      </x:c>
      <x:c r="AK733" s="2" t="n">
        <x:f>IF(J733&lt;&gt;"PASS",0,'Motor_Meciuri'!BR57)</x:f>
        <x:v>0</x:v>
      </x:c>
      <x:c r="AL733" s="2" t="n">
        <x:f>IF(J733&lt;&gt;"PASS",0,'Motor_Meciuri'!BS57)</x:f>
        <x:v>0</x:v>
      </x:c>
      <x:c r="AM733" s="2" t="n">
        <x:f>IF(J733&lt;&gt;"PASS",0,'Motor_Meciuri'!BT57)</x:f>
        <x:v>0</x:v>
      </x:c>
      <x:c r="AN733" s="2" t="str">
        <x:f>IF(M733="","",MAX(0,'Motor_Meciuri'!BF57-IF(L733&gt;'Config_v6'!$B$12,'Config_v6'!$B$37,IF(L733&gt;'Config_v6'!$B$11,'Config_v6'!$B$36,0))))</x:f>
      </x:c>
    </x:row>
    <x:row r="734" ht="21" customHeight="1">
      <x:c r="A734" s="2" t="n">
        <x:v>53</x:v>
      </x:c>
      <x:c r="B734" s="2" t="str">
        <x:f>IF('Motor_Meciuri'!A58="","",'Motor_Meciuri'!A58)</x:f>
      </x:c>
      <x:c r="C734" s="2" t="str">
        <x:f>IF(B734="","",'Motor_Meciuri'!B58)</x:f>
      </x:c>
      <x:c r="D734" s="2" t="str">
        <x:f>IF(B734="","",'Motor_Meciuri'!D58)</x:f>
      </x:c>
      <x:c r="E734" s="2" t="str">
        <x:f>IF(B734="","",'Motor_Meciuri'!E58)</x:f>
      </x:c>
      <x:c r="F734" s="2" t="str">
        <x:v>O3,5</x:v>
      </x:c>
      <x:c r="G734" s="2" t="str">
        <x:v>OVER</x:v>
      </x:c>
      <x:c r="H734" s="2" t="n">
        <x:v>3</x:v>
      </x:c>
      <x:c r="I734" s="2" t="str">
        <x:f>IF(B734="","",'Motor_Meciuri'!H58)</x:f>
      </x:c>
      <x:c r="J734" s="2" t="str">
        <x:f>IF(B734="","",'Motor_Meciuri'!I58)</x:f>
      </x:c>
      <x:c r="K734" s="11" t="str">
        <x:f>IF(J734&lt;&gt;"PASS","",'Motor_Meciuri'!BD58)</x:f>
      </x:c>
      <x:c r="L734" s="11" t="str">
        <x:f>IF(J734&lt;&gt;"PASS","",'Motor_Meciuri'!AU58)</x:f>
      </x:c>
      <x:c r="M734" s="10" t="str">
        <x:f>IF(NOT(AND(J734="PASS",'Calibrare_Linii'!U6="VALID")),"",1-'Distributie'!AA58)</x:f>
      </x:c>
      <x:c r="N734" s="10" t="str">
        <x:f>IF(M734="","",MAX(0.01,MIN(0.99,0.5+(M734-0.5)*'Motor_Meciuri'!BG58*'Calibrare_Linii'!D6)))</x:f>
      </x:c>
      <x:c r="O734" s="10" t="str">
        <x:f>IF(M734="","",1-M734)</x:f>
      </x:c>
      <x:c r="P734" s="10" t="str">
        <x:f>IF(OR(NOT(AND(J734="PASS",'Calibrare_Linii'!U6="VALID")),AK734=0),""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*('Istoric_Nativ'!$Q$6:$Q$405&lt;=H734))/AK734)</x:f>
      </x:c>
      <x:c r="Q734" s="10" t="str">
        <x:f>IF(OR(NOT(AND(J734="PASS",'Calibrare_Linii'!U6="VALID")),AL734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M58)+((('Istoric_Nativ'!$E$6:$E$405='Input_Meci'!E58)+('Istoric_Nativ'!$F$6:$F$405='Input_Meci'!E58))&gt;0)*('Istoric_Nativ'!$D$6:$D$405&gt;='Motor_Meciuri'!BN58))&gt;0)*('Istoric_Nativ'!$Q$6:$Q$405&lt;=H734))/AL734)</x:f>
      </x:c>
      <x:c r="R734" s="10" t="str">
        <x:f>IF(OR(NOT(AND(J734="PASS",'Calibrare_Linii'!U6="VALID")),AM734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O58)+((('Istoric_Nativ'!$E$6:$E$405='Input_Meci'!E58)+('Istoric_Nativ'!$F$6:$F$405='Input_Meci'!E58))&gt;0)*('Istoric_Nativ'!$D$6:$D$405&gt;='Motor_Meciuri'!BP58))&gt;0)*('Istoric_Nativ'!$Q$6:$Q$405&lt;=H734))/AM734)</x:f>
      </x:c>
      <x:c r="S734" s="10" t="str">
        <x:f>IF(M734="","",MAX(O734,P734,Q734,R734))</x:f>
      </x:c>
      <x:c r="T734" s="11" t="str">
        <x:f>IF(M734="","",MIN(100,S734*100*'Config_v6'!$B$44+MIN(100,L734/'Config_v6'!$B$13*100)*'Config_v6'!$B$45+(100-'Motor_Meciuri'!BF58)*'Config_v6'!$B$46+'Motor_Meciuri'!BH58*100*'Config_v6'!$B$47))</x:f>
      </x:c>
      <x:c r="U734" s="2" t="str">
        <x:f>IF(T734="","",IF(T734&lt;=20,1,IF(T734&lt;=40,2,IF(T734&lt;=60,3,IF(T734&lt;=80,4,5)))))</x:f>
      </x:c>
      <x:c r="V734" s="2" t="str">
        <x:f>IF(M734="","",MAX(0,'Motor_Meciuri'!BF58-IF(W734="OOS PENDING",'Config_v6'!$B$35,0)-IF(L734&gt;'Config_v6'!$B$12,'Config_v6'!$B$37,IF(L734&gt;'Config_v6'!$B$11,'Config_v6'!$B$36,0))))</x:f>
      </x:c>
      <x:c r="W734" s="2" t="str">
        <x:f>IF(B734="","",IF(I734&lt;&gt;"READY","NOT RELEASED",IF(NOT(AND(J734="PASS",'Calibrare_Linii'!U6="VALID")),"INVALID",IF(NOT(TRUE),"OOS PENDING",IF(S734&lt;=IF(AND('Calibrare_Linii'!S6="VALIDATED",AND('Calibrare_Linii'!H6=C734,ISNUMBER('Calibrare_Linii'!J6),'Calibrare_Linii'!J6&lt;='Input_Meci'!G58)),'Calibrare_Linii'!E6,'Config_v6'!$B$26),"PASS",IF(S734&lt;=IF(AND('Calibrare_Linii'!S6="VALIDATED",AND('Calibrare_Linii'!H6=C734,ISNUMBER('Calibrare_Linii'!J6),'Calibrare_Linii'!J6&lt;='Input_Meci'!G58)),'Calibrare_Linii'!F6,'Config_v6'!$C$26),"PENALTY","WATCH"))))))</x:f>
      </x:c>
      <x:c r="X734" s="2" t="str">
        <x:f>IF(M734="","",IF(AND(AND(J734="PASS",'Calibrare_Linii'!U6="VALID"),'Motor_Meciuri'!K58=12,'Motor_Meciuri'!L58=12,'Motor_Meciuri'!M58="NO",'Motor_Meciuri'!BL58='Motor_Meciuri'!C58,AB734&gt;='Config_v6'!$B$50,AN734&gt;='Config_v6'!$B$51,T734&lt;='Config_v6'!$B$52,L734&lt;='Config_v6'!$B$53,ISNUMBER('Calibrare_Linii'!E6),S734&lt;='Calibrare_Linii'!E6,SUM(AK734:AM734)&gt;0),"CANDIDATE","NO"))</x:f>
      </x:c>
      <x:c r="Y734" s="2" t="str">
        <x:f>IF(B734="","",IF(I734&lt;&gt;"READY","NOT RELEASED",IF(AND(X734="CANDIDATE",V734&gt;='Config_v6'!$B$51,W734="PASS",'Calibrare_Linii'!T6="VALIDATED",AND('Calibrare_Linii'!H6=C734,ISNUMBER('Calibrare_Linii'!J6),'Calibrare_Linii'!J6&lt;='Input_Meci'!G58)),"PASS",IF(X734="CANDIDATE","OOS PENDING","FAIL"))))</x:f>
      </x:c>
      <x:c r="Z734" s="2" t="str">
        <x:f>IF(B734="","",IF(I734&lt;&gt;"READY","",IF(OR(NOT(AND(J734="PASS",'Calibrare_Linii'!U6="VALID")),L734&gt;'Config_v6'!$B$13,W734="WATCH"),5,IF(Y734="PASS",1,MIN(5,MAX('Config_v6'!$B$42,U734)+IF(W734="PENALTY",1,0))))))</x:f>
      </x:c>
      <x:c r="AA734" s="2" t="str">
        <x:f>IF(B734="","",IF(I734&lt;&gt;"READY","NOT RELEASED",IF(Z734=5,"NO BET",IF(OR(AB734&lt;'Config_v6'!$B$16,V734&lt;'Config_v6'!$B$18),"WATCH",IF(Z734=1,"DEFENSIV",IF(Z734=2,"PRUDENT",IF(Z734=3,"MODERAT","RIDICAT")))))))</x:f>
      </x:c>
      <x:c r="AB734" s="10" t="str">
        <x:f>IF(N734="","",MIN(N734,1-S734))</x:f>
      </x:c>
      <x:c r="AC734" s="2" t="str">
        <x:f>IF(AD734&lt;&gt;1,"",COUNTIFS($Z$734:$Z$747,"&lt;"&amp;Z734,$AD$734:$AD$747,1)+COUNTIFS($Z$734:$Z$747,Z734,$AB$734:$AB$747,"&gt;"&amp;AB734,$AD$734:$AD$747,1)+COUNTIFS($Z$734:$Z$747,Z734,$AB$734:$AB$747,AB734,$V$734:$V$747,"&gt;"&amp;V734,$AD$734:$AD$747,1)+COUNTIFS($Z$734:Z734,Z734,$AB$734:AB734,AB734,$V$734:V734,V734,$AD$734:AD734,1))</x:f>
      </x:c>
      <x:c r="AD734" s="2" t="n">
        <x:f>IF(OR(AA734="DEFENSIV",AA734="PRUDENT",AA734="MODERAT",AA734="RIDICAT"),1,0)</x:f>
        <x:v>0</x:v>
      </x:c>
      <x:c r="AE734" s="2" t="str">
        <x:f>IF(AD734&lt;&gt;1,"NO",IF(W734="PASS","YES",IF(W734="OOS PENDING","CONDITIONAL","NO")))</x:f>
        <x:v>NO</x:v>
      </x:c>
      <x:c r="AF734" s="2" t="n">
        <x:f>IF(AND(AD734=1,AC734=1,E734="LIVE"),1,0)</x:f>
        <x:v>0</x:v>
      </x:c>
      <x:c r="AG734" s="2" t="str">
        <x:f>IF(AF734&lt;&gt;1,"",'Dashboard'!P78)</x:f>
      </x:c>
      <x:c r="AH734" s="2" t="str">
        <x:f>IF(B734="","",IF(J734&lt;&gt;"PASS",'Motor_Meciuri'!J58,IF('Calibrare_Linii'!U6&lt;&gt;"VALID","Parametri linie invalizi",IF(L734&gt;'Config_v6'!$B$13,"Dispersie peste limita",IF(W734="WATCH","Failure peste limita",IF(AB734&lt;'Config_v6'!$B$16,"P finala sub prag",IF(V734&lt;'Config_v6'!$B$18,"Confidence sub prag",IF(E734="REPLAY","Exemplu retrospectiv; exclus din Top LIVE",IF(Y734="PASS","DEFENSIV validat",IF(W734="OOS PENDING","Eligibil; calibrare linie in monitorizare","Eligibil"))))))))))</x:f>
      </x:c>
      <x:c r="AI734" s="2" t="str">
        <x:f>IF(B734="","",'Calibrare_Linii'!V6)</x:f>
      </x:c>
      <x:c r="AJ734" s="2" t="str">
        <x:f>IF(B734="","",IF(AND('Calibrare_Linii'!T6="VALIDATED",AND('Calibrare_Linii'!H6=C734,ISNUMBER('Calibrare_Linii'!J6),'Calibrare_Linii'!J6&lt;='Input_Meci'!G58)),"DEFENSIVE VALIDATED",IF(AND('Calibrare_Linii'!S6="VALIDATED",AND('Calibrare_Linii'!H6=C734,ISNUMBER('Calibrare_Linii'!J6),'Calibrare_Linii'!J6&lt;='Input_Meci'!G58)),"TAIL VALIDATED","OOS PENDING")))</x:f>
      </x:c>
      <x:c r="AK734" s="2" t="n">
        <x:f>IF(J734&lt;&gt;"PASS",0,'Motor_Meciuri'!BR58)</x:f>
        <x:v>0</x:v>
      </x:c>
      <x:c r="AL734" s="2" t="n">
        <x:f>IF(J734&lt;&gt;"PASS",0,'Motor_Meciuri'!BS58)</x:f>
        <x:v>0</x:v>
      </x:c>
      <x:c r="AM734" s="2" t="n">
        <x:f>IF(J734&lt;&gt;"PASS",0,'Motor_Meciuri'!BT58)</x:f>
        <x:v>0</x:v>
      </x:c>
      <x:c r="AN734" s="2" t="str">
        <x:f>IF(M734="","",MAX(0,'Motor_Meciuri'!BF58-IF(L734&gt;'Config_v6'!$B$12,'Config_v6'!$B$37,IF(L734&gt;'Config_v6'!$B$11,'Config_v6'!$B$36,0))))</x:f>
      </x:c>
    </x:row>
    <x:row r="735" ht="21" customHeight="1">
      <x:c r="A735" s="2" t="n">
        <x:v>53</x:v>
      </x:c>
      <x:c r="B735" s="2" t="str">
        <x:f>IF('Motor_Meciuri'!A58="","",'Motor_Meciuri'!A58)</x:f>
      </x:c>
      <x:c r="C735" s="2" t="str">
        <x:f>IF(B735="","",'Motor_Meciuri'!B58)</x:f>
      </x:c>
      <x:c r="D735" s="2" t="str">
        <x:f>IF(B735="","",'Motor_Meciuri'!D58)</x:f>
      </x:c>
      <x:c r="E735" s="2" t="str">
        <x:f>IF(B735="","",'Motor_Meciuri'!E58)</x:f>
      </x:c>
      <x:c r="F735" s="2" t="str">
        <x:v>O4,5</x:v>
      </x:c>
      <x:c r="G735" s="2" t="str">
        <x:v>OVER</x:v>
      </x:c>
      <x:c r="H735" s="2" t="n">
        <x:v>4</x:v>
      </x:c>
      <x:c r="I735" s="2" t="str">
        <x:f>IF(B735="","",'Motor_Meciuri'!H58)</x:f>
      </x:c>
      <x:c r="J735" s="2" t="str">
        <x:f>IF(B735="","",'Motor_Meciuri'!I58)</x:f>
      </x:c>
      <x:c r="K735" s="11" t="str">
        <x:f>IF(J735&lt;&gt;"PASS","",'Motor_Meciuri'!BD58)</x:f>
      </x:c>
      <x:c r="L735" s="11" t="str">
        <x:f>IF(J735&lt;&gt;"PASS","",'Motor_Meciuri'!AU58)</x:f>
      </x:c>
      <x:c r="M735" s="10" t="str">
        <x:f>IF(NOT(AND(J735="PASS",'Calibrare_Linii'!U7="VALID")),"",1-'Distributie'!AB58)</x:f>
      </x:c>
      <x:c r="N735" s="10" t="str">
        <x:f>IF(M735="","",MAX(0.01,MIN(0.99,0.5+(M735-0.5)*'Motor_Meciuri'!BG58*'Calibrare_Linii'!D7)))</x:f>
      </x:c>
      <x:c r="O735" s="10" t="str">
        <x:f>IF(M735="","",1-M735)</x:f>
      </x:c>
      <x:c r="P735" s="10" t="str">
        <x:f>IF(OR(NOT(AND(J735="PASS",'Calibrare_Linii'!U7="VALID")),AK735=0),""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*('Istoric_Nativ'!$Q$6:$Q$405&lt;=H735))/AK735)</x:f>
      </x:c>
      <x:c r="Q735" s="10" t="str">
        <x:f>IF(OR(NOT(AND(J735="PASS",'Calibrare_Linii'!U7="VALID")),AL735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M58)+((('Istoric_Nativ'!$E$6:$E$405='Input_Meci'!E58)+('Istoric_Nativ'!$F$6:$F$405='Input_Meci'!E58))&gt;0)*('Istoric_Nativ'!$D$6:$D$405&gt;='Motor_Meciuri'!BN58))&gt;0)*('Istoric_Nativ'!$Q$6:$Q$405&lt;=H735))/AL735)</x:f>
      </x:c>
      <x:c r="R735" s="10" t="str">
        <x:f>IF(OR(NOT(AND(J735="PASS",'Calibrare_Linii'!U7="VALID")),AM735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O58)+((('Istoric_Nativ'!$E$6:$E$405='Input_Meci'!E58)+('Istoric_Nativ'!$F$6:$F$405='Input_Meci'!E58))&gt;0)*('Istoric_Nativ'!$D$6:$D$405&gt;='Motor_Meciuri'!BP58))&gt;0)*('Istoric_Nativ'!$Q$6:$Q$405&lt;=H735))/AM735)</x:f>
      </x:c>
      <x:c r="S735" s="10" t="str">
        <x:f>IF(M735="","",MAX(O735,P735,Q735,R735))</x:f>
      </x:c>
      <x:c r="T735" s="11" t="str">
        <x:f>IF(M735="","",MIN(100,S735*100*'Config_v6'!$B$44+MIN(100,L735/'Config_v6'!$B$13*100)*'Config_v6'!$B$45+(100-'Motor_Meciuri'!BF58)*'Config_v6'!$B$46+'Motor_Meciuri'!BH58*100*'Config_v6'!$B$47))</x:f>
      </x:c>
      <x:c r="U735" s="2" t="str">
        <x:f>IF(T735="","",IF(T735&lt;=20,1,IF(T735&lt;=40,2,IF(T735&lt;=60,3,IF(T735&lt;=80,4,5)))))</x:f>
      </x:c>
      <x:c r="V735" s="2" t="str">
        <x:f>IF(M735="","",MAX(0,'Motor_Meciuri'!BF58-IF(W735="OOS PENDING",'Config_v6'!$B$35,0)-IF(L735&gt;'Config_v6'!$B$12,'Config_v6'!$B$37,IF(L735&gt;'Config_v6'!$B$11,'Config_v6'!$B$36,0))))</x:f>
      </x:c>
      <x:c r="W735" s="2" t="str">
        <x:f>IF(B735="","",IF(I735&lt;&gt;"READY","NOT RELEASED",IF(NOT(AND(J735="PASS",'Calibrare_Linii'!U7="VALID")),"INVALID",IF(NOT(AND('Calibrare_Linii'!S7="VALIDATED",AND('Calibrare_Linii'!H7=C735,ISNUMBER('Calibrare_Linii'!J7),'Calibrare_Linii'!J7&lt;='Input_Meci'!G58))),"OOS PENDING",IF(S735&lt;='Calibrare_Linii'!E7,"PASS",IF(S735&lt;='Calibrare_Linii'!F7,"PENALTY","WATCH"))))))</x:f>
      </x:c>
      <x:c r="X735" s="2" t="str">
        <x:f>IF(M735="","",IF(AND(AND(J735="PASS",'Calibrare_Linii'!U7="VALID"),'Motor_Meciuri'!K58=12,'Motor_Meciuri'!L58=12,'Motor_Meciuri'!M58="NO",'Motor_Meciuri'!BL58='Motor_Meciuri'!C58,AB735&gt;='Config_v6'!$B$50,AN735&gt;='Config_v6'!$B$51,T735&lt;='Config_v6'!$B$52,L735&lt;='Config_v6'!$B$53,ISNUMBER('Calibrare_Linii'!E7),S735&lt;='Calibrare_Linii'!E7,SUM(AK735:AM735)&gt;0),"CANDIDATE","NO"))</x:f>
      </x:c>
      <x:c r="Y735" s="2" t="str">
        <x:f>IF(B735="","",IF(I735&lt;&gt;"READY","NOT RELEASED",IF(AND(X735="CANDIDATE",V735&gt;='Config_v6'!$B$51,W735="PASS",'Calibrare_Linii'!T7="VALIDATED",AND('Calibrare_Linii'!H7=C735,ISNUMBER('Calibrare_Linii'!J7),'Calibrare_Linii'!J7&lt;='Input_Meci'!G58)),"PASS",IF(X735="CANDIDATE","OOS PENDING","FAIL"))))</x:f>
      </x:c>
      <x:c r="Z735" s="2" t="str">
        <x:f>IF(B735="","",IF(I735&lt;&gt;"READY","",IF(OR(NOT(AND(J735="PASS",'Calibrare_Linii'!U7="VALID")),L735&gt;'Config_v6'!$B$13,W735="WATCH"),5,IF(Y735="PASS",1,MIN(5,MAX('Config_v6'!$B$42,U735)+IF(W735="PENALTY",1,0))))))</x:f>
      </x:c>
      <x:c r="AA735" s="2" t="str">
        <x:f>IF(B735="","",IF(I735&lt;&gt;"READY","NOT RELEASED",IF(Z735=5,"NO BET",IF(OR(AB735&lt;'Config_v6'!$B$16,V735&lt;'Config_v6'!$B$18),"WATCH",IF(Z735=1,"DEFENSIV",IF(Z735=2,"PRUDENT",IF(Z735=3,"MODERAT","RIDICAT")))))))</x:f>
      </x:c>
      <x:c r="AB735" s="10" t="str">
        <x:f>IF(N735="","",MIN(N735,1-S735))</x:f>
      </x:c>
      <x:c r="AC735" s="2" t="str">
        <x:f>IF(AD735&lt;&gt;1,"",COUNTIFS($Z$734:$Z$747,"&lt;"&amp;Z735,$AD$734:$AD$747,1)+COUNTIFS($Z$734:$Z$747,Z735,$AB$734:$AB$747,"&gt;"&amp;AB735,$AD$734:$AD$747,1)+COUNTIFS($Z$734:$Z$747,Z735,$AB$734:$AB$747,AB735,$V$734:$V$747,"&gt;"&amp;V735,$AD$734:$AD$747,1)+COUNTIFS($Z$734:Z735,Z735,$AB$734:AB735,AB735,$V$734:V735,V735,$AD$734:AD735,1))</x:f>
      </x:c>
      <x:c r="AD735" s="2" t="n">
        <x:f>IF(OR(AA735="DEFENSIV",AA735="PRUDENT",AA735="MODERAT",AA735="RIDICAT"),1,0)</x:f>
        <x:v>0</x:v>
      </x:c>
      <x:c r="AE735" s="2" t="str">
        <x:f>IF(AD735&lt;&gt;1,"NO",IF(W735="PASS","YES",IF(W735="OOS PENDING","CONDITIONAL","NO")))</x:f>
        <x:v>NO</x:v>
      </x:c>
      <x:c r="AF735" s="2" t="n">
        <x:f>IF(AND(AD735=1,AC735=1,E735="LIVE"),1,0)</x:f>
        <x:v>0</x:v>
      </x:c>
      <x:c r="AG735" s="2" t="str">
        <x:f>IF(AF735&lt;&gt;1,"",'Dashboard'!P78)</x:f>
      </x:c>
      <x:c r="AH735" s="2" t="str">
        <x:f>IF(B735="","",IF(J735&lt;&gt;"PASS",'Motor_Meciuri'!J58,IF('Calibrare_Linii'!U7&lt;&gt;"VALID","Parametri linie invalizi",IF(L735&gt;'Config_v6'!$B$13,"Dispersie peste limita",IF(W735="WATCH","Failure peste limita",IF(AB735&lt;'Config_v6'!$B$16,"P finala sub prag",IF(V735&lt;'Config_v6'!$B$18,"Confidence sub prag",IF(E735="REPLAY","Exemplu retrospectiv; exclus din Top LIVE",IF(Y735="PASS","DEFENSIV validat",IF(W735="OOS PENDING","Eligibil; calibrare linie in monitorizare","Eligibil"))))))))))</x:f>
      </x:c>
      <x:c r="AI735" s="2" t="str">
        <x:f>IF(B735="","",'Calibrare_Linii'!V7)</x:f>
      </x:c>
      <x:c r="AJ735" s="2" t="str">
        <x:f>IF(B735="","",IF(AND('Calibrare_Linii'!T7="VALIDATED",AND('Calibrare_Linii'!H7=C735,ISNUMBER('Calibrare_Linii'!J7),'Calibrare_Linii'!J7&lt;='Input_Meci'!G58)),"DEFENSIVE VALIDATED",IF(AND('Calibrare_Linii'!S7="VALIDATED",AND('Calibrare_Linii'!H7=C735,ISNUMBER('Calibrare_Linii'!J7),'Calibrare_Linii'!J7&lt;='Input_Meci'!G58)),"TAIL VALIDATED","OOS PENDING")))</x:f>
      </x:c>
      <x:c r="AK735" s="2" t="n">
        <x:f>IF(J735&lt;&gt;"PASS",0,'Motor_Meciuri'!BR58)</x:f>
        <x:v>0</x:v>
      </x:c>
      <x:c r="AL735" s="2" t="n">
        <x:f>IF(J735&lt;&gt;"PASS",0,'Motor_Meciuri'!BS58)</x:f>
        <x:v>0</x:v>
      </x:c>
      <x:c r="AM735" s="2" t="n">
        <x:f>IF(J735&lt;&gt;"PASS",0,'Motor_Meciuri'!BT58)</x:f>
        <x:v>0</x:v>
      </x:c>
      <x:c r="AN735" s="2" t="str">
        <x:f>IF(M735="","",MAX(0,'Motor_Meciuri'!BF58-IF(L735&gt;'Config_v6'!$B$12,'Config_v6'!$B$37,IF(L735&gt;'Config_v6'!$B$11,'Config_v6'!$B$36,0))))</x:f>
      </x:c>
    </x:row>
    <x:row r="736" ht="21" customHeight="1">
      <x:c r="A736" s="2" t="n">
        <x:v>53</x:v>
      </x:c>
      <x:c r="B736" s="2" t="str">
        <x:f>IF('Motor_Meciuri'!A58="","",'Motor_Meciuri'!A58)</x:f>
      </x:c>
      <x:c r="C736" s="2" t="str">
        <x:f>IF(B736="","",'Motor_Meciuri'!B58)</x:f>
      </x:c>
      <x:c r="D736" s="2" t="str">
        <x:f>IF(B736="","",'Motor_Meciuri'!D58)</x:f>
      </x:c>
      <x:c r="E736" s="2" t="str">
        <x:f>IF(B736="","",'Motor_Meciuri'!E58)</x:f>
      </x:c>
      <x:c r="F736" s="2" t="str">
        <x:v>O5,5</x:v>
      </x:c>
      <x:c r="G736" s="2" t="str">
        <x:v>OVER</x:v>
      </x:c>
      <x:c r="H736" s="2" t="n">
        <x:v>5</x:v>
      </x:c>
      <x:c r="I736" s="2" t="str">
        <x:f>IF(B736="","",'Motor_Meciuri'!H58)</x:f>
      </x:c>
      <x:c r="J736" s="2" t="str">
        <x:f>IF(B736="","",'Motor_Meciuri'!I58)</x:f>
      </x:c>
      <x:c r="K736" s="11" t="str">
        <x:f>IF(J736&lt;&gt;"PASS","",'Motor_Meciuri'!BD58)</x:f>
      </x:c>
      <x:c r="L736" s="11" t="str">
        <x:f>IF(J736&lt;&gt;"PASS","",'Motor_Meciuri'!AU58)</x:f>
      </x:c>
      <x:c r="M736" s="10" t="str">
        <x:f>IF(NOT(AND(J736="PASS",'Calibrare_Linii'!U8="VALID")),"",1-'Distributie'!AC58)</x:f>
      </x:c>
      <x:c r="N736" s="10" t="str">
        <x:f>IF(M736="","",MAX(0.01,MIN(0.99,0.5+(M736-0.5)*'Motor_Meciuri'!BG58*'Calibrare_Linii'!D8)))</x:f>
      </x:c>
      <x:c r="O736" s="10" t="str">
        <x:f>IF(M736="","",1-M736)</x:f>
      </x:c>
      <x:c r="P736" s="10" t="str">
        <x:f>IF(OR(NOT(AND(J736="PASS",'Calibrare_Linii'!U8="VALID")),AK736=0),""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*('Istoric_Nativ'!$Q$6:$Q$405&lt;=H736))/AK736)</x:f>
      </x:c>
      <x:c r="Q736" s="10" t="str">
        <x:f>IF(OR(NOT(AND(J736="PASS",'Calibrare_Linii'!U8="VALID")),AL736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M58)+((('Istoric_Nativ'!$E$6:$E$405='Input_Meci'!E58)+('Istoric_Nativ'!$F$6:$F$405='Input_Meci'!E58))&gt;0)*('Istoric_Nativ'!$D$6:$D$405&gt;='Motor_Meciuri'!BN58))&gt;0)*('Istoric_Nativ'!$Q$6:$Q$405&lt;=H736))/AL736)</x:f>
      </x:c>
      <x:c r="R736" s="10" t="str">
        <x:f>IF(OR(NOT(AND(J736="PASS",'Calibrare_Linii'!U8="VALID")),AM736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O58)+((('Istoric_Nativ'!$E$6:$E$405='Input_Meci'!E58)+('Istoric_Nativ'!$F$6:$F$405='Input_Meci'!E58))&gt;0)*('Istoric_Nativ'!$D$6:$D$405&gt;='Motor_Meciuri'!BP58))&gt;0)*('Istoric_Nativ'!$Q$6:$Q$405&lt;=H736))/AM736)</x:f>
      </x:c>
      <x:c r="S736" s="10" t="str">
        <x:f>IF(M736="","",MAX(O736,P736,Q736,R736))</x:f>
      </x:c>
      <x:c r="T736" s="11" t="str">
        <x:f>IF(M736="","",MIN(100,S736*100*'Config_v6'!$B$44+MIN(100,L736/'Config_v6'!$B$13*100)*'Config_v6'!$B$45+(100-'Motor_Meciuri'!BF58)*'Config_v6'!$B$46+'Motor_Meciuri'!BH58*100*'Config_v6'!$B$47))</x:f>
      </x:c>
      <x:c r="U736" s="2" t="str">
        <x:f>IF(T736="","",IF(T736&lt;=20,1,IF(T736&lt;=40,2,IF(T736&lt;=60,3,IF(T736&lt;=80,4,5)))))</x:f>
      </x:c>
      <x:c r="V736" s="2" t="str">
        <x:f>IF(M736="","",MAX(0,'Motor_Meciuri'!BF58-IF(W736="OOS PENDING",'Config_v6'!$B$35,0)-IF(L736&gt;'Config_v6'!$B$12,'Config_v6'!$B$37,IF(L736&gt;'Config_v6'!$B$11,'Config_v6'!$B$36,0))))</x:f>
      </x:c>
      <x:c r="W736" s="2" t="str">
        <x:f>IF(B736="","",IF(I736&lt;&gt;"READY","NOT RELEASED",IF(NOT(AND(J736="PASS",'Calibrare_Linii'!U8="VALID")),"INVALID",IF(NOT(AND('Calibrare_Linii'!S8="VALIDATED",AND('Calibrare_Linii'!H8=C736,ISNUMBER('Calibrare_Linii'!J8),'Calibrare_Linii'!J8&lt;='Input_Meci'!G58))),"OOS PENDING",IF(S736&lt;='Calibrare_Linii'!E8,"PASS",IF(S736&lt;='Calibrare_Linii'!F8,"PENALTY","WATCH"))))))</x:f>
      </x:c>
      <x:c r="X736" s="2" t="str">
        <x:f>IF(M736="","",IF(AND(AND(J736="PASS",'Calibrare_Linii'!U8="VALID"),'Motor_Meciuri'!K58=12,'Motor_Meciuri'!L58=12,'Motor_Meciuri'!M58="NO",'Motor_Meciuri'!BL58='Motor_Meciuri'!C58,AB736&gt;='Config_v6'!$B$50,AN736&gt;='Config_v6'!$B$51,T736&lt;='Config_v6'!$B$52,L736&lt;='Config_v6'!$B$53,ISNUMBER('Calibrare_Linii'!E8),S736&lt;='Calibrare_Linii'!E8,SUM(AK736:AM736)&gt;0),"CANDIDATE","NO"))</x:f>
      </x:c>
      <x:c r="Y736" s="2" t="str">
        <x:f>IF(B736="","",IF(I736&lt;&gt;"READY","NOT RELEASED",IF(AND(X736="CANDIDATE",V736&gt;='Config_v6'!$B$51,W736="PASS",'Calibrare_Linii'!T8="VALIDATED",AND('Calibrare_Linii'!H8=C736,ISNUMBER('Calibrare_Linii'!J8),'Calibrare_Linii'!J8&lt;='Input_Meci'!G58)),"PASS",IF(X736="CANDIDATE","OOS PENDING","FAIL"))))</x:f>
      </x:c>
      <x:c r="Z736" s="2" t="str">
        <x:f>IF(B736="","",IF(I736&lt;&gt;"READY","",IF(OR(NOT(AND(J736="PASS",'Calibrare_Linii'!U8="VALID")),L736&gt;'Config_v6'!$B$13,W736="WATCH"),5,IF(Y736="PASS",1,MIN(5,MAX('Config_v6'!$B$42,U736)+IF(W736="PENALTY",1,0))))))</x:f>
      </x:c>
      <x:c r="AA736" s="2" t="str">
        <x:f>IF(B736="","",IF(I736&lt;&gt;"READY","NOT RELEASED",IF(Z736=5,"NO BET",IF(OR(AB736&lt;'Config_v6'!$B$16,V736&lt;'Config_v6'!$B$18),"WATCH",IF(Z736=1,"DEFENSIV",IF(Z736=2,"PRUDENT",IF(Z736=3,"MODERAT","RIDICAT")))))))</x:f>
      </x:c>
      <x:c r="AB736" s="10" t="str">
        <x:f>IF(N736="","",MIN(N736,1-S736))</x:f>
      </x:c>
      <x:c r="AC736" s="2" t="str">
        <x:f>IF(AD736&lt;&gt;1,"",COUNTIFS($Z$734:$Z$747,"&lt;"&amp;Z736,$AD$734:$AD$747,1)+COUNTIFS($Z$734:$Z$747,Z736,$AB$734:$AB$747,"&gt;"&amp;AB736,$AD$734:$AD$747,1)+COUNTIFS($Z$734:$Z$747,Z736,$AB$734:$AB$747,AB736,$V$734:$V$747,"&gt;"&amp;V736,$AD$734:$AD$747,1)+COUNTIFS($Z$734:Z736,Z736,$AB$734:AB736,AB736,$V$734:V736,V736,$AD$734:AD736,1))</x:f>
      </x:c>
      <x:c r="AD736" s="2" t="n">
        <x:f>IF(OR(AA736="DEFENSIV",AA736="PRUDENT",AA736="MODERAT",AA736="RIDICAT"),1,0)</x:f>
        <x:v>0</x:v>
      </x:c>
      <x:c r="AE736" s="2" t="str">
        <x:f>IF(AD736&lt;&gt;1,"NO",IF(W736="PASS","YES",IF(W736="OOS PENDING","CONDITIONAL","NO")))</x:f>
        <x:v>NO</x:v>
      </x:c>
      <x:c r="AF736" s="2" t="n">
        <x:f>IF(AND(AD736=1,AC736=1,E736="LIVE"),1,0)</x:f>
        <x:v>0</x:v>
      </x:c>
      <x:c r="AG736" s="2" t="str">
        <x:f>IF(AF736&lt;&gt;1,"",'Dashboard'!P78)</x:f>
      </x:c>
      <x:c r="AH736" s="2" t="str">
        <x:f>IF(B736="","",IF(J736&lt;&gt;"PASS",'Motor_Meciuri'!J58,IF('Calibrare_Linii'!U8&lt;&gt;"VALID","Parametri linie invalizi",IF(L736&gt;'Config_v6'!$B$13,"Dispersie peste limita",IF(W736="WATCH","Failure peste limita",IF(AB736&lt;'Config_v6'!$B$16,"P finala sub prag",IF(V736&lt;'Config_v6'!$B$18,"Confidence sub prag",IF(E736="REPLAY","Exemplu retrospectiv; exclus din Top LIVE",IF(Y736="PASS","DEFENSIV validat",IF(W736="OOS PENDING","Eligibil; calibrare linie in monitorizare","Eligibil"))))))))))</x:f>
      </x:c>
      <x:c r="AI736" s="2" t="str">
        <x:f>IF(B736="","",'Calibrare_Linii'!V8)</x:f>
      </x:c>
      <x:c r="AJ736" s="2" t="str">
        <x:f>IF(B736="","",IF(AND('Calibrare_Linii'!T8="VALIDATED",AND('Calibrare_Linii'!H8=C736,ISNUMBER('Calibrare_Linii'!J8),'Calibrare_Linii'!J8&lt;='Input_Meci'!G58)),"DEFENSIVE VALIDATED",IF(AND('Calibrare_Linii'!S8="VALIDATED",AND('Calibrare_Linii'!H8=C736,ISNUMBER('Calibrare_Linii'!J8),'Calibrare_Linii'!J8&lt;='Input_Meci'!G58)),"TAIL VALIDATED","OOS PENDING")))</x:f>
      </x:c>
      <x:c r="AK736" s="2" t="n">
        <x:f>IF(J736&lt;&gt;"PASS",0,'Motor_Meciuri'!BR58)</x:f>
        <x:v>0</x:v>
      </x:c>
      <x:c r="AL736" s="2" t="n">
        <x:f>IF(J736&lt;&gt;"PASS",0,'Motor_Meciuri'!BS58)</x:f>
        <x:v>0</x:v>
      </x:c>
      <x:c r="AM736" s="2" t="n">
        <x:f>IF(J736&lt;&gt;"PASS",0,'Motor_Meciuri'!BT58)</x:f>
        <x:v>0</x:v>
      </x:c>
      <x:c r="AN736" s="2" t="str">
        <x:f>IF(M736="","",MAX(0,'Motor_Meciuri'!BF58-IF(L736&gt;'Config_v6'!$B$12,'Config_v6'!$B$37,IF(L736&gt;'Config_v6'!$B$11,'Config_v6'!$B$36,0))))</x:f>
      </x:c>
    </x:row>
    <x:row r="737" ht="21" customHeight="1">
      <x:c r="A737" s="2" t="n">
        <x:v>53</x:v>
      </x:c>
      <x:c r="B737" s="2" t="str">
        <x:f>IF('Motor_Meciuri'!A58="","",'Motor_Meciuri'!A58)</x:f>
      </x:c>
      <x:c r="C737" s="2" t="str">
        <x:f>IF(B737="","",'Motor_Meciuri'!B58)</x:f>
      </x:c>
      <x:c r="D737" s="2" t="str">
        <x:f>IF(B737="","",'Motor_Meciuri'!D58)</x:f>
      </x:c>
      <x:c r="E737" s="2" t="str">
        <x:f>IF(B737="","",'Motor_Meciuri'!E58)</x:f>
      </x:c>
      <x:c r="F737" s="2" t="str">
        <x:v>O6,5</x:v>
      </x:c>
      <x:c r="G737" s="2" t="str">
        <x:v>OVER</x:v>
      </x:c>
      <x:c r="H737" s="2" t="n">
        <x:v>6</x:v>
      </x:c>
      <x:c r="I737" s="2" t="str">
        <x:f>IF(B737="","",'Motor_Meciuri'!H58)</x:f>
      </x:c>
      <x:c r="J737" s="2" t="str">
        <x:f>IF(B737="","",'Motor_Meciuri'!I58)</x:f>
      </x:c>
      <x:c r="K737" s="11" t="str">
        <x:f>IF(J737&lt;&gt;"PASS","",'Motor_Meciuri'!BD58)</x:f>
      </x:c>
      <x:c r="L737" s="11" t="str">
        <x:f>IF(J737&lt;&gt;"PASS","",'Motor_Meciuri'!AU58)</x:f>
      </x:c>
      <x:c r="M737" s="10" t="str">
        <x:f>IF(NOT(AND(J737="PASS",'Calibrare_Linii'!U9="VALID")),"",1-'Distributie'!AD58)</x:f>
      </x:c>
      <x:c r="N737" s="10" t="str">
        <x:f>IF(M737="","",MAX(0.01,MIN(0.99,0.5+(M737-0.5)*'Motor_Meciuri'!BG58*'Calibrare_Linii'!D9)))</x:f>
      </x:c>
      <x:c r="O737" s="10" t="str">
        <x:f>IF(M737="","",1-M737)</x:f>
      </x:c>
      <x:c r="P737" s="10" t="str">
        <x:f>IF(OR(NOT(AND(J737="PASS",'Calibrare_Linii'!U9="VALID")),AK737=0),""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*('Istoric_Nativ'!$Q$6:$Q$405&lt;=H737))/AK737)</x:f>
      </x:c>
      <x:c r="Q737" s="10" t="str">
        <x:f>IF(OR(NOT(AND(J737="PASS",'Calibrare_Linii'!U9="VALID")),AL737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M58)+((('Istoric_Nativ'!$E$6:$E$405='Input_Meci'!E58)+('Istoric_Nativ'!$F$6:$F$405='Input_Meci'!E58))&gt;0)*('Istoric_Nativ'!$D$6:$D$405&gt;='Motor_Meciuri'!BN58))&gt;0)*('Istoric_Nativ'!$Q$6:$Q$405&lt;=H737))/AL737)</x:f>
      </x:c>
      <x:c r="R737" s="10" t="str">
        <x:f>IF(OR(NOT(AND(J737="PASS",'Calibrare_Linii'!U9="VALID")),AM737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O58)+((('Istoric_Nativ'!$E$6:$E$405='Input_Meci'!E58)+('Istoric_Nativ'!$F$6:$F$405='Input_Meci'!E58))&gt;0)*('Istoric_Nativ'!$D$6:$D$405&gt;='Motor_Meciuri'!BP58))&gt;0)*('Istoric_Nativ'!$Q$6:$Q$405&lt;=H737))/AM737)</x:f>
      </x:c>
      <x:c r="S737" s="10" t="str">
        <x:f>IF(M737="","",MAX(O737,P737,Q737,R737))</x:f>
      </x:c>
      <x:c r="T737" s="11" t="str">
        <x:f>IF(M737="","",MIN(100,S737*100*'Config_v6'!$B$44+MIN(100,L737/'Config_v6'!$B$13*100)*'Config_v6'!$B$45+(100-'Motor_Meciuri'!BF58)*'Config_v6'!$B$46+'Motor_Meciuri'!BH58*100*'Config_v6'!$B$47))</x:f>
      </x:c>
      <x:c r="U737" s="2" t="str">
        <x:f>IF(T737="","",IF(T737&lt;=20,1,IF(T737&lt;=40,2,IF(T737&lt;=60,3,IF(T737&lt;=80,4,5)))))</x:f>
      </x:c>
      <x:c r="V737" s="2" t="str">
        <x:f>IF(M737="","",MAX(0,'Motor_Meciuri'!BF58-IF(W737="OOS PENDING",'Config_v6'!$B$35,0)-IF(L737&gt;'Config_v6'!$B$12,'Config_v6'!$B$37,IF(L737&gt;'Config_v6'!$B$11,'Config_v6'!$B$36,0))))</x:f>
      </x:c>
      <x:c r="W737" s="2" t="str">
        <x:f>IF(B737="","",IF(I737&lt;&gt;"READY","NOT RELEASED",IF(NOT(AND(J737="PASS",'Calibrare_Linii'!U9="VALID")),"INVALID",IF(NOT(AND('Calibrare_Linii'!S9="VALIDATED",AND('Calibrare_Linii'!H9=C737,ISNUMBER('Calibrare_Linii'!J9),'Calibrare_Linii'!J9&lt;='Input_Meci'!G58))),"OOS PENDING",IF(S737&lt;='Calibrare_Linii'!E9,"PASS",IF(S737&lt;='Calibrare_Linii'!F9,"PENALTY","WATCH"))))))</x:f>
      </x:c>
      <x:c r="X737" s="2" t="str">
        <x:f>IF(M737="","",IF(AND(AND(J737="PASS",'Calibrare_Linii'!U9="VALID"),'Motor_Meciuri'!K58=12,'Motor_Meciuri'!L58=12,'Motor_Meciuri'!M58="NO",'Motor_Meciuri'!BL58='Motor_Meciuri'!C58,AB737&gt;='Config_v6'!$B$50,AN737&gt;='Config_v6'!$B$51,T737&lt;='Config_v6'!$B$52,L737&lt;='Config_v6'!$B$53,ISNUMBER('Calibrare_Linii'!E9),S737&lt;='Calibrare_Linii'!E9,SUM(AK737:AM737)&gt;0),"CANDIDATE","NO"))</x:f>
      </x:c>
      <x:c r="Y737" s="2" t="str">
        <x:f>IF(B737="","",IF(I737&lt;&gt;"READY","NOT RELEASED",IF(AND(X737="CANDIDATE",V737&gt;='Config_v6'!$B$51,W737="PASS",'Calibrare_Linii'!T9="VALIDATED",AND('Calibrare_Linii'!H9=C737,ISNUMBER('Calibrare_Linii'!J9),'Calibrare_Linii'!J9&lt;='Input_Meci'!G58)),"PASS",IF(X737="CANDIDATE","OOS PENDING","FAIL"))))</x:f>
      </x:c>
      <x:c r="Z737" s="2" t="str">
        <x:f>IF(B737="","",IF(I737&lt;&gt;"READY","",IF(OR(NOT(AND(J737="PASS",'Calibrare_Linii'!U9="VALID")),L737&gt;'Config_v6'!$B$13,W737="WATCH"),5,IF(Y737="PASS",1,MIN(5,MAX('Config_v6'!$B$42,U737)+IF(W737="PENALTY",1,0))))))</x:f>
      </x:c>
      <x:c r="AA737" s="2" t="str">
        <x:f>IF(B737="","",IF(I737&lt;&gt;"READY","NOT RELEASED",IF(Z737=5,"NO BET",IF(OR(AB737&lt;'Config_v6'!$B$16,V737&lt;'Config_v6'!$B$18),"WATCH",IF(Z737=1,"DEFENSIV",IF(Z737=2,"PRUDENT",IF(Z737=3,"MODERAT","RIDICAT")))))))</x:f>
      </x:c>
      <x:c r="AB737" s="10" t="str">
        <x:f>IF(N737="","",MIN(N737,1-S737))</x:f>
      </x:c>
      <x:c r="AC737" s="2" t="str">
        <x:f>IF(AD737&lt;&gt;1,"",COUNTIFS($Z$734:$Z$747,"&lt;"&amp;Z737,$AD$734:$AD$747,1)+COUNTIFS($Z$734:$Z$747,Z737,$AB$734:$AB$747,"&gt;"&amp;AB737,$AD$734:$AD$747,1)+COUNTIFS($Z$734:$Z$747,Z737,$AB$734:$AB$747,AB737,$V$734:$V$747,"&gt;"&amp;V737,$AD$734:$AD$747,1)+COUNTIFS($Z$734:Z737,Z737,$AB$734:AB737,AB737,$V$734:V737,V737,$AD$734:AD737,1))</x:f>
      </x:c>
      <x:c r="AD737" s="2" t="n">
        <x:f>IF(OR(AA737="DEFENSIV",AA737="PRUDENT",AA737="MODERAT",AA737="RIDICAT"),1,0)</x:f>
        <x:v>0</x:v>
      </x:c>
      <x:c r="AE737" s="2" t="str">
        <x:f>IF(AD737&lt;&gt;1,"NO",IF(W737="PASS","YES",IF(W737="OOS PENDING","CONDITIONAL","NO")))</x:f>
        <x:v>NO</x:v>
      </x:c>
      <x:c r="AF737" s="2" t="n">
        <x:f>IF(AND(AD737=1,AC737=1,E737="LIVE"),1,0)</x:f>
        <x:v>0</x:v>
      </x:c>
      <x:c r="AG737" s="2" t="str">
        <x:f>IF(AF737&lt;&gt;1,"",'Dashboard'!P78)</x:f>
      </x:c>
      <x:c r="AH737" s="2" t="str">
        <x:f>IF(B737="","",IF(J737&lt;&gt;"PASS",'Motor_Meciuri'!J58,IF('Calibrare_Linii'!U9&lt;&gt;"VALID","Parametri linie invalizi",IF(L737&gt;'Config_v6'!$B$13,"Dispersie peste limita",IF(W737="WATCH","Failure peste limita",IF(AB737&lt;'Config_v6'!$B$16,"P finala sub prag",IF(V737&lt;'Config_v6'!$B$18,"Confidence sub prag",IF(E737="REPLAY","Exemplu retrospectiv; exclus din Top LIVE",IF(Y737="PASS","DEFENSIV validat",IF(W737="OOS PENDING","Eligibil; calibrare linie in monitorizare","Eligibil"))))))))))</x:f>
      </x:c>
      <x:c r="AI737" s="2" t="str">
        <x:f>IF(B737="","",'Calibrare_Linii'!V9)</x:f>
      </x:c>
      <x:c r="AJ737" s="2" t="str">
        <x:f>IF(B737="","",IF(AND('Calibrare_Linii'!T9="VALIDATED",AND('Calibrare_Linii'!H9=C737,ISNUMBER('Calibrare_Linii'!J9),'Calibrare_Linii'!J9&lt;='Input_Meci'!G58)),"DEFENSIVE VALIDATED",IF(AND('Calibrare_Linii'!S9="VALIDATED",AND('Calibrare_Linii'!H9=C737,ISNUMBER('Calibrare_Linii'!J9),'Calibrare_Linii'!J9&lt;='Input_Meci'!G58)),"TAIL VALIDATED","OOS PENDING")))</x:f>
      </x:c>
      <x:c r="AK737" s="2" t="n">
        <x:f>IF(J737&lt;&gt;"PASS",0,'Motor_Meciuri'!BR58)</x:f>
        <x:v>0</x:v>
      </x:c>
      <x:c r="AL737" s="2" t="n">
        <x:f>IF(J737&lt;&gt;"PASS",0,'Motor_Meciuri'!BS58)</x:f>
        <x:v>0</x:v>
      </x:c>
      <x:c r="AM737" s="2" t="n">
        <x:f>IF(J737&lt;&gt;"PASS",0,'Motor_Meciuri'!BT58)</x:f>
        <x:v>0</x:v>
      </x:c>
      <x:c r="AN737" s="2" t="str">
        <x:f>IF(M737="","",MAX(0,'Motor_Meciuri'!BF58-IF(L737&gt;'Config_v6'!$B$12,'Config_v6'!$B$37,IF(L737&gt;'Config_v6'!$B$11,'Config_v6'!$B$36,0))))</x:f>
      </x:c>
    </x:row>
    <x:row r="738" ht="21" customHeight="1">
      <x:c r="A738" s="2" t="n">
        <x:v>53</x:v>
      </x:c>
      <x:c r="B738" s="2" t="str">
        <x:f>IF('Motor_Meciuri'!A58="","",'Motor_Meciuri'!A58)</x:f>
      </x:c>
      <x:c r="C738" s="2" t="str">
        <x:f>IF(B738="","",'Motor_Meciuri'!B58)</x:f>
      </x:c>
      <x:c r="D738" s="2" t="str">
        <x:f>IF(B738="","",'Motor_Meciuri'!D58)</x:f>
      </x:c>
      <x:c r="E738" s="2" t="str">
        <x:f>IF(B738="","",'Motor_Meciuri'!E58)</x:f>
      </x:c>
      <x:c r="F738" s="2" t="str">
        <x:v>O7,5</x:v>
      </x:c>
      <x:c r="G738" s="2" t="str">
        <x:v>OVER</x:v>
      </x:c>
      <x:c r="H738" s="2" t="n">
        <x:v>7</x:v>
      </x:c>
      <x:c r="I738" s="2" t="str">
        <x:f>IF(B738="","",'Motor_Meciuri'!H58)</x:f>
      </x:c>
      <x:c r="J738" s="2" t="str">
        <x:f>IF(B738="","",'Motor_Meciuri'!I58)</x:f>
      </x:c>
      <x:c r="K738" s="11" t="str">
        <x:f>IF(J738&lt;&gt;"PASS","",'Motor_Meciuri'!BD58)</x:f>
      </x:c>
      <x:c r="L738" s="11" t="str">
        <x:f>IF(J738&lt;&gt;"PASS","",'Motor_Meciuri'!AU58)</x:f>
      </x:c>
      <x:c r="M738" s="10" t="str">
        <x:f>IF(NOT(AND(J738="PASS",'Calibrare_Linii'!U10="VALID")),"",1-'Distributie'!AE58)</x:f>
      </x:c>
      <x:c r="N738" s="10" t="str">
        <x:f>IF(M738="","",MAX(0.01,MIN(0.99,0.5+(M738-0.5)*'Motor_Meciuri'!BG58*'Calibrare_Linii'!D10)))</x:f>
      </x:c>
      <x:c r="O738" s="10" t="str">
        <x:f>IF(M738="","",1-M738)</x:f>
      </x:c>
      <x:c r="P738" s="10" t="str">
        <x:f>IF(OR(NOT(AND(J738="PASS",'Calibrare_Linii'!U10="VALID")),AK738=0),""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*('Istoric_Nativ'!$Q$6:$Q$405&lt;=H738))/AK738)</x:f>
      </x:c>
      <x:c r="Q738" s="10" t="str">
        <x:f>IF(OR(NOT(AND(J738="PASS",'Calibrare_Linii'!U10="VALID")),AL738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M58)+((('Istoric_Nativ'!$E$6:$E$405='Input_Meci'!E58)+('Istoric_Nativ'!$F$6:$F$405='Input_Meci'!E58))&gt;0)*('Istoric_Nativ'!$D$6:$D$405&gt;='Motor_Meciuri'!BN58))&gt;0)*('Istoric_Nativ'!$Q$6:$Q$405&lt;=H738))/AL738)</x:f>
      </x:c>
      <x:c r="R738" s="10" t="str">
        <x:f>IF(OR(NOT(AND(J738="PASS",'Calibrare_Linii'!U10="VALID")),AM738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O58)+((('Istoric_Nativ'!$E$6:$E$405='Input_Meci'!E58)+('Istoric_Nativ'!$F$6:$F$405='Input_Meci'!E58))&gt;0)*('Istoric_Nativ'!$D$6:$D$405&gt;='Motor_Meciuri'!BP58))&gt;0)*('Istoric_Nativ'!$Q$6:$Q$405&lt;=H738))/AM738)</x:f>
      </x:c>
      <x:c r="S738" s="10" t="str">
        <x:f>IF(M738="","",MAX(O738,P738,Q738,R738))</x:f>
      </x:c>
      <x:c r="T738" s="11" t="str">
        <x:f>IF(M738="","",MIN(100,S738*100*'Config_v6'!$B$44+MIN(100,L738/'Config_v6'!$B$13*100)*'Config_v6'!$B$45+(100-'Motor_Meciuri'!BF58)*'Config_v6'!$B$46+'Motor_Meciuri'!BH58*100*'Config_v6'!$B$47))</x:f>
      </x:c>
      <x:c r="U738" s="2" t="str">
        <x:f>IF(T738="","",IF(T738&lt;=20,1,IF(T738&lt;=40,2,IF(T738&lt;=60,3,IF(T738&lt;=80,4,5)))))</x:f>
      </x:c>
      <x:c r="V738" s="2" t="str">
        <x:f>IF(M738="","",MAX(0,'Motor_Meciuri'!BF58-IF(W738="OOS PENDING",'Config_v6'!$B$35,0)-IF(L738&gt;'Config_v6'!$B$12,'Config_v6'!$B$37,IF(L738&gt;'Config_v6'!$B$11,'Config_v6'!$B$36,0))))</x:f>
      </x:c>
      <x:c r="W738" s="2" t="str">
        <x:f>IF(B738="","",IF(I738&lt;&gt;"READY","NOT RELEASED",IF(NOT(AND(J738="PASS",'Calibrare_Linii'!U10="VALID")),"INVALID",IF(NOT(AND('Calibrare_Linii'!S10="VALIDATED",AND('Calibrare_Linii'!H10=C738,ISNUMBER('Calibrare_Linii'!J10),'Calibrare_Linii'!J10&lt;='Input_Meci'!G58))),"OOS PENDING",IF(S738&lt;='Calibrare_Linii'!E10,"PASS",IF(S738&lt;='Calibrare_Linii'!F10,"PENALTY","WATCH"))))))</x:f>
      </x:c>
      <x:c r="X738" s="2" t="str">
        <x:f>IF(M738="","",IF(AND(AND(J738="PASS",'Calibrare_Linii'!U10="VALID"),'Motor_Meciuri'!K58=12,'Motor_Meciuri'!L58=12,'Motor_Meciuri'!M58="NO",'Motor_Meciuri'!BL58='Motor_Meciuri'!C58,AB738&gt;='Config_v6'!$B$50,AN738&gt;='Config_v6'!$B$51,T738&lt;='Config_v6'!$B$52,L738&lt;='Config_v6'!$B$53,ISNUMBER('Calibrare_Linii'!E10),S738&lt;='Calibrare_Linii'!E10,SUM(AK738:AM738)&gt;0),"CANDIDATE","NO"))</x:f>
      </x:c>
      <x:c r="Y738" s="2" t="str">
        <x:f>IF(B738="","",IF(I738&lt;&gt;"READY","NOT RELEASED",IF(AND(X738="CANDIDATE",V738&gt;='Config_v6'!$B$51,W738="PASS",'Calibrare_Linii'!T10="VALIDATED",AND('Calibrare_Linii'!H10=C738,ISNUMBER('Calibrare_Linii'!J10),'Calibrare_Linii'!J10&lt;='Input_Meci'!G58)),"PASS",IF(X738="CANDIDATE","OOS PENDING","FAIL"))))</x:f>
      </x:c>
      <x:c r="Z738" s="2" t="str">
        <x:f>IF(B738="","",IF(I738&lt;&gt;"READY","",IF(OR(NOT(AND(J738="PASS",'Calibrare_Linii'!U10="VALID")),L738&gt;'Config_v6'!$B$13,W738="WATCH"),5,IF(Y738="PASS",1,MIN(5,MAX('Config_v6'!$B$42,U738)+IF(W738="PENALTY",1,0))))))</x:f>
      </x:c>
      <x:c r="AA738" s="2" t="str">
        <x:f>IF(B738="","",IF(I738&lt;&gt;"READY","NOT RELEASED",IF(Z738=5,"NO BET",IF(OR(AB738&lt;'Config_v6'!$B$16,V738&lt;'Config_v6'!$B$18),"WATCH",IF(Z738=1,"DEFENSIV",IF(Z738=2,"PRUDENT",IF(Z738=3,"MODERAT","RIDICAT")))))))</x:f>
      </x:c>
      <x:c r="AB738" s="10" t="str">
        <x:f>IF(N738="","",MIN(N738,1-S738))</x:f>
      </x:c>
      <x:c r="AC738" s="2" t="str">
        <x:f>IF(AD738&lt;&gt;1,"",COUNTIFS($Z$734:$Z$747,"&lt;"&amp;Z738,$AD$734:$AD$747,1)+COUNTIFS($Z$734:$Z$747,Z738,$AB$734:$AB$747,"&gt;"&amp;AB738,$AD$734:$AD$747,1)+COUNTIFS($Z$734:$Z$747,Z738,$AB$734:$AB$747,AB738,$V$734:$V$747,"&gt;"&amp;V738,$AD$734:$AD$747,1)+COUNTIFS($Z$734:Z738,Z738,$AB$734:AB738,AB738,$V$734:V738,V738,$AD$734:AD738,1))</x:f>
      </x:c>
      <x:c r="AD738" s="2" t="n">
        <x:f>IF(OR(AA738="DEFENSIV",AA738="PRUDENT",AA738="MODERAT",AA738="RIDICAT"),1,0)</x:f>
        <x:v>0</x:v>
      </x:c>
      <x:c r="AE738" s="2" t="str">
        <x:f>IF(AD738&lt;&gt;1,"NO",IF(W738="PASS","YES",IF(W738="OOS PENDING","CONDITIONAL","NO")))</x:f>
        <x:v>NO</x:v>
      </x:c>
      <x:c r="AF738" s="2" t="n">
        <x:f>IF(AND(AD738=1,AC738=1,E738="LIVE"),1,0)</x:f>
        <x:v>0</x:v>
      </x:c>
      <x:c r="AG738" s="2" t="str">
        <x:f>IF(AF738&lt;&gt;1,"",'Dashboard'!P78)</x:f>
      </x:c>
      <x:c r="AH738" s="2" t="str">
        <x:f>IF(B738="","",IF(J738&lt;&gt;"PASS",'Motor_Meciuri'!J58,IF('Calibrare_Linii'!U10&lt;&gt;"VALID","Parametri linie invalizi",IF(L738&gt;'Config_v6'!$B$13,"Dispersie peste limita",IF(W738="WATCH","Failure peste limita",IF(AB738&lt;'Config_v6'!$B$16,"P finala sub prag",IF(V738&lt;'Config_v6'!$B$18,"Confidence sub prag",IF(E738="REPLAY","Exemplu retrospectiv; exclus din Top LIVE",IF(Y738="PASS","DEFENSIV validat",IF(W738="OOS PENDING","Eligibil; calibrare linie in monitorizare","Eligibil"))))))))))</x:f>
      </x:c>
      <x:c r="AI738" s="2" t="str">
        <x:f>IF(B738="","",'Calibrare_Linii'!V10)</x:f>
      </x:c>
      <x:c r="AJ738" s="2" t="str">
        <x:f>IF(B738="","",IF(AND('Calibrare_Linii'!T10="VALIDATED",AND('Calibrare_Linii'!H10=C738,ISNUMBER('Calibrare_Linii'!J10),'Calibrare_Linii'!J10&lt;='Input_Meci'!G58)),"DEFENSIVE VALIDATED",IF(AND('Calibrare_Linii'!S10="VALIDATED",AND('Calibrare_Linii'!H10=C738,ISNUMBER('Calibrare_Linii'!J10),'Calibrare_Linii'!J10&lt;='Input_Meci'!G58)),"TAIL VALIDATED","OOS PENDING")))</x:f>
      </x:c>
      <x:c r="AK738" s="2" t="n">
        <x:f>IF(J738&lt;&gt;"PASS",0,'Motor_Meciuri'!BR58)</x:f>
        <x:v>0</x:v>
      </x:c>
      <x:c r="AL738" s="2" t="n">
        <x:f>IF(J738&lt;&gt;"PASS",0,'Motor_Meciuri'!BS58)</x:f>
        <x:v>0</x:v>
      </x:c>
      <x:c r="AM738" s="2" t="n">
        <x:f>IF(J738&lt;&gt;"PASS",0,'Motor_Meciuri'!BT58)</x:f>
        <x:v>0</x:v>
      </x:c>
      <x:c r="AN738" s="2" t="str">
        <x:f>IF(M738="","",MAX(0,'Motor_Meciuri'!BF58-IF(L738&gt;'Config_v6'!$B$12,'Config_v6'!$B$37,IF(L738&gt;'Config_v6'!$B$11,'Config_v6'!$B$36,0))))</x:f>
      </x:c>
    </x:row>
    <x:row r="739" ht="21" customHeight="1">
      <x:c r="A739" s="2" t="n">
        <x:v>53</x:v>
      </x:c>
      <x:c r="B739" s="2" t="str">
        <x:f>IF('Motor_Meciuri'!A58="","",'Motor_Meciuri'!A58)</x:f>
      </x:c>
      <x:c r="C739" s="2" t="str">
        <x:f>IF(B739="","",'Motor_Meciuri'!B58)</x:f>
      </x:c>
      <x:c r="D739" s="2" t="str">
        <x:f>IF(B739="","",'Motor_Meciuri'!D58)</x:f>
      </x:c>
      <x:c r="E739" s="2" t="str">
        <x:f>IF(B739="","",'Motor_Meciuri'!E58)</x:f>
      </x:c>
      <x:c r="F739" s="2" t="str">
        <x:v>O8,5</x:v>
      </x:c>
      <x:c r="G739" s="2" t="str">
        <x:v>OVER</x:v>
      </x:c>
      <x:c r="H739" s="2" t="n">
        <x:v>8</x:v>
      </x:c>
      <x:c r="I739" s="2" t="str">
        <x:f>IF(B739="","",'Motor_Meciuri'!H58)</x:f>
      </x:c>
      <x:c r="J739" s="2" t="str">
        <x:f>IF(B739="","",'Motor_Meciuri'!I58)</x:f>
      </x:c>
      <x:c r="K739" s="11" t="str">
        <x:f>IF(J739&lt;&gt;"PASS","",'Motor_Meciuri'!BD58)</x:f>
      </x:c>
      <x:c r="L739" s="11" t="str">
        <x:f>IF(J739&lt;&gt;"PASS","",'Motor_Meciuri'!AU58)</x:f>
      </x:c>
      <x:c r="M739" s="10" t="str">
        <x:f>IF(NOT(AND(J739="PASS",'Calibrare_Linii'!U11="VALID")),"",1-'Distributie'!AF58)</x:f>
      </x:c>
      <x:c r="N739" s="10" t="str">
        <x:f>IF(M739="","",MAX(0.01,MIN(0.99,0.5+(M739-0.5)*'Motor_Meciuri'!BG58*'Calibrare_Linii'!D11)))</x:f>
      </x:c>
      <x:c r="O739" s="10" t="str">
        <x:f>IF(M739="","",1-M739)</x:f>
      </x:c>
      <x:c r="P739" s="10" t="str">
        <x:f>IF(OR(NOT(AND(J739="PASS",'Calibrare_Linii'!U11="VALID")),AK739=0),""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*('Istoric_Nativ'!$Q$6:$Q$405&lt;=H739))/AK739)</x:f>
      </x:c>
      <x:c r="Q739" s="10" t="str">
        <x:f>IF(OR(NOT(AND(J739="PASS",'Calibrare_Linii'!U11="VALID")),AL739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M58)+((('Istoric_Nativ'!$E$6:$E$405='Input_Meci'!E58)+('Istoric_Nativ'!$F$6:$F$405='Input_Meci'!E58))&gt;0)*('Istoric_Nativ'!$D$6:$D$405&gt;='Motor_Meciuri'!BN58))&gt;0)*('Istoric_Nativ'!$Q$6:$Q$405&lt;=H739))/AL739)</x:f>
      </x:c>
      <x:c r="R739" s="10" t="str">
        <x:f>IF(OR(NOT(AND(J739="PASS",'Calibrare_Linii'!U11="VALID")),AM739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O58)+((('Istoric_Nativ'!$E$6:$E$405='Input_Meci'!E58)+('Istoric_Nativ'!$F$6:$F$405='Input_Meci'!E58))&gt;0)*('Istoric_Nativ'!$D$6:$D$405&gt;='Motor_Meciuri'!BP58))&gt;0)*('Istoric_Nativ'!$Q$6:$Q$405&lt;=H739))/AM739)</x:f>
      </x:c>
      <x:c r="S739" s="10" t="str">
        <x:f>IF(M739="","",MAX(O739,P739,Q739,R739))</x:f>
      </x:c>
      <x:c r="T739" s="11" t="str">
        <x:f>IF(M739="","",MIN(100,S739*100*'Config_v6'!$B$44+MIN(100,L739/'Config_v6'!$B$13*100)*'Config_v6'!$B$45+(100-'Motor_Meciuri'!BF58)*'Config_v6'!$B$46+'Motor_Meciuri'!BH58*100*'Config_v6'!$B$47))</x:f>
      </x:c>
      <x:c r="U739" s="2" t="str">
        <x:f>IF(T739="","",IF(T739&lt;=20,1,IF(T739&lt;=40,2,IF(T739&lt;=60,3,IF(T739&lt;=80,4,5)))))</x:f>
      </x:c>
      <x:c r="V739" s="2" t="str">
        <x:f>IF(M739="","",MAX(0,'Motor_Meciuri'!BF58-IF(W739="OOS PENDING",'Config_v6'!$B$35,0)-IF(L739&gt;'Config_v6'!$B$12,'Config_v6'!$B$37,IF(L739&gt;'Config_v6'!$B$11,'Config_v6'!$B$36,0))))</x:f>
      </x:c>
      <x:c r="W739" s="2" t="str">
        <x:f>IF(B739="","",IF(I739&lt;&gt;"READY","NOT RELEASED",IF(NOT(AND(J739="PASS",'Calibrare_Linii'!U11="VALID")),"INVALID",IF(NOT(AND('Calibrare_Linii'!S11="VALIDATED",AND('Calibrare_Linii'!H11=C739,ISNUMBER('Calibrare_Linii'!J11),'Calibrare_Linii'!J11&lt;='Input_Meci'!G58))),"OOS PENDING",IF(S739&lt;='Calibrare_Linii'!E11,"PASS",IF(S739&lt;='Calibrare_Linii'!F11,"PENALTY","WATCH"))))))</x:f>
      </x:c>
      <x:c r="X739" s="2" t="str">
        <x:f>IF(M739="","",IF(AND(AND(J739="PASS",'Calibrare_Linii'!U11="VALID"),'Motor_Meciuri'!K58=12,'Motor_Meciuri'!L58=12,'Motor_Meciuri'!M58="NO",'Motor_Meciuri'!BL58='Motor_Meciuri'!C58,AB739&gt;='Config_v6'!$B$50,AN739&gt;='Config_v6'!$B$51,T739&lt;='Config_v6'!$B$52,L739&lt;='Config_v6'!$B$53,ISNUMBER('Calibrare_Linii'!E11),S739&lt;='Calibrare_Linii'!E11,SUM(AK739:AM739)&gt;0),"CANDIDATE","NO"))</x:f>
      </x:c>
      <x:c r="Y739" s="2" t="str">
        <x:f>IF(B739="","",IF(I739&lt;&gt;"READY","NOT RELEASED",IF(AND(X739="CANDIDATE",V739&gt;='Config_v6'!$B$51,W739="PASS",'Calibrare_Linii'!T11="VALIDATED",AND('Calibrare_Linii'!H11=C739,ISNUMBER('Calibrare_Linii'!J11),'Calibrare_Linii'!J11&lt;='Input_Meci'!G58)),"PASS",IF(X739="CANDIDATE","OOS PENDING","FAIL"))))</x:f>
      </x:c>
      <x:c r="Z739" s="2" t="str">
        <x:f>IF(B739="","",IF(I739&lt;&gt;"READY","",IF(OR(NOT(AND(J739="PASS",'Calibrare_Linii'!U11="VALID")),L739&gt;'Config_v6'!$B$13,W739="WATCH"),5,IF(Y739="PASS",1,MIN(5,MAX('Config_v6'!$B$42,U739)+IF(W739="PENALTY",1,0))))))</x:f>
      </x:c>
      <x:c r="AA739" s="2" t="str">
        <x:f>IF(B739="","",IF(I739&lt;&gt;"READY","NOT RELEASED",IF(Z739=5,"NO BET",IF(OR(AB739&lt;'Config_v6'!$B$16,V739&lt;'Config_v6'!$B$18),"WATCH",IF(Z739=1,"DEFENSIV",IF(Z739=2,"PRUDENT",IF(Z739=3,"MODERAT","RIDICAT")))))))</x:f>
      </x:c>
      <x:c r="AB739" s="10" t="str">
        <x:f>IF(N739="","",MIN(N739,1-S739))</x:f>
      </x:c>
      <x:c r="AC739" s="2" t="str">
        <x:f>IF(AD739&lt;&gt;1,"",COUNTIFS($Z$734:$Z$747,"&lt;"&amp;Z739,$AD$734:$AD$747,1)+COUNTIFS($Z$734:$Z$747,Z739,$AB$734:$AB$747,"&gt;"&amp;AB739,$AD$734:$AD$747,1)+COUNTIFS($Z$734:$Z$747,Z739,$AB$734:$AB$747,AB739,$V$734:$V$747,"&gt;"&amp;V739,$AD$734:$AD$747,1)+COUNTIFS($Z$734:Z739,Z739,$AB$734:AB739,AB739,$V$734:V739,V739,$AD$734:AD739,1))</x:f>
      </x:c>
      <x:c r="AD739" s="2" t="n">
        <x:f>IF(OR(AA739="DEFENSIV",AA739="PRUDENT",AA739="MODERAT",AA739="RIDICAT"),1,0)</x:f>
        <x:v>0</x:v>
      </x:c>
      <x:c r="AE739" s="2" t="str">
        <x:f>IF(AD739&lt;&gt;1,"NO",IF(W739="PASS","YES",IF(W739="OOS PENDING","CONDITIONAL","NO")))</x:f>
        <x:v>NO</x:v>
      </x:c>
      <x:c r="AF739" s="2" t="n">
        <x:f>IF(AND(AD739=1,AC739=1,E739="LIVE"),1,0)</x:f>
        <x:v>0</x:v>
      </x:c>
      <x:c r="AG739" s="2" t="str">
        <x:f>IF(AF739&lt;&gt;1,"",'Dashboard'!P78)</x:f>
      </x:c>
      <x:c r="AH739" s="2" t="str">
        <x:f>IF(B739="","",IF(J739&lt;&gt;"PASS",'Motor_Meciuri'!J58,IF('Calibrare_Linii'!U11&lt;&gt;"VALID","Parametri linie invalizi",IF(L739&gt;'Config_v6'!$B$13,"Dispersie peste limita",IF(W739="WATCH","Failure peste limita",IF(AB739&lt;'Config_v6'!$B$16,"P finala sub prag",IF(V739&lt;'Config_v6'!$B$18,"Confidence sub prag",IF(E739="REPLAY","Exemplu retrospectiv; exclus din Top LIVE",IF(Y739="PASS","DEFENSIV validat",IF(W739="OOS PENDING","Eligibil; calibrare linie in monitorizare","Eligibil"))))))))))</x:f>
      </x:c>
      <x:c r="AI739" s="2" t="str">
        <x:f>IF(B739="","",'Calibrare_Linii'!V11)</x:f>
      </x:c>
      <x:c r="AJ739" s="2" t="str">
        <x:f>IF(B739="","",IF(AND('Calibrare_Linii'!T11="VALIDATED",AND('Calibrare_Linii'!H11=C739,ISNUMBER('Calibrare_Linii'!J11),'Calibrare_Linii'!J11&lt;='Input_Meci'!G58)),"DEFENSIVE VALIDATED",IF(AND('Calibrare_Linii'!S11="VALIDATED",AND('Calibrare_Linii'!H11=C739,ISNUMBER('Calibrare_Linii'!J11),'Calibrare_Linii'!J11&lt;='Input_Meci'!G58)),"TAIL VALIDATED","OOS PENDING")))</x:f>
      </x:c>
      <x:c r="AK739" s="2" t="n">
        <x:f>IF(J739&lt;&gt;"PASS",0,'Motor_Meciuri'!BR58)</x:f>
        <x:v>0</x:v>
      </x:c>
      <x:c r="AL739" s="2" t="n">
        <x:f>IF(J739&lt;&gt;"PASS",0,'Motor_Meciuri'!BS58)</x:f>
        <x:v>0</x:v>
      </x:c>
      <x:c r="AM739" s="2" t="n">
        <x:f>IF(J739&lt;&gt;"PASS",0,'Motor_Meciuri'!BT58)</x:f>
        <x:v>0</x:v>
      </x:c>
      <x:c r="AN739" s="2" t="str">
        <x:f>IF(M739="","",MAX(0,'Motor_Meciuri'!BF58-IF(L739&gt;'Config_v6'!$B$12,'Config_v6'!$B$37,IF(L739&gt;'Config_v6'!$B$11,'Config_v6'!$B$36,0))))</x:f>
      </x:c>
    </x:row>
    <x:row r="740" ht="21" customHeight="1">
      <x:c r="A740" s="2" t="n">
        <x:v>53</x:v>
      </x:c>
      <x:c r="B740" s="2" t="str">
        <x:f>IF('Motor_Meciuri'!A58="","",'Motor_Meciuri'!A58)</x:f>
      </x:c>
      <x:c r="C740" s="2" t="str">
        <x:f>IF(B740="","",'Motor_Meciuri'!B58)</x:f>
      </x:c>
      <x:c r="D740" s="2" t="str">
        <x:f>IF(B740="","",'Motor_Meciuri'!D58)</x:f>
      </x:c>
      <x:c r="E740" s="2" t="str">
        <x:f>IF(B740="","",'Motor_Meciuri'!E58)</x:f>
      </x:c>
      <x:c r="F740" s="2" t="str">
        <x:v>U10,5</x:v>
      </x:c>
      <x:c r="G740" s="2" t="str">
        <x:v>UNDER</x:v>
      </x:c>
      <x:c r="H740" s="2" t="n">
        <x:v>10</x:v>
      </x:c>
      <x:c r="I740" s="2" t="str">
        <x:f>IF(B740="","",'Motor_Meciuri'!H58)</x:f>
      </x:c>
      <x:c r="J740" s="2" t="str">
        <x:f>IF(B740="","",'Motor_Meciuri'!I58)</x:f>
      </x:c>
      <x:c r="K740" s="11" t="str">
        <x:f>IF(J740&lt;&gt;"PASS","",'Motor_Meciuri'!BD58)</x:f>
      </x:c>
      <x:c r="L740" s="11" t="str">
        <x:f>IF(J740&lt;&gt;"PASS","",'Motor_Meciuri'!AU58)</x:f>
      </x:c>
      <x:c r="M740" s="10" t="str">
        <x:f>IF(NOT(AND(J740="PASS",'Calibrare_Linii'!U12="VALID")),"",'Distributie'!AH58)</x:f>
      </x:c>
      <x:c r="N740" s="10" t="str">
        <x:f>IF(M740="","",MAX(0.01,MIN(0.99,0.5+(M740-0.5)*'Motor_Meciuri'!BG58*'Calibrare_Linii'!D12)))</x:f>
      </x:c>
      <x:c r="O740" s="10" t="str">
        <x:f>IF(M740="","",1-M740)</x:f>
      </x:c>
      <x:c r="P740" s="10" t="str">
        <x:f>IF(OR(NOT(AND(J740="PASS",'Calibrare_Linii'!U12="VALID")),AK740=0),""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*('Istoric_Nativ'!$Q$6:$Q$405&gt;H740))/AK740)</x:f>
      </x:c>
      <x:c r="Q740" s="10" t="str">
        <x:f>IF(OR(NOT(AND(J740="PASS",'Calibrare_Linii'!U12="VALID")),AL740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M58)+((('Istoric_Nativ'!$E$6:$E$405='Input_Meci'!E58)+('Istoric_Nativ'!$F$6:$F$405='Input_Meci'!E58))&gt;0)*('Istoric_Nativ'!$D$6:$D$405&gt;='Motor_Meciuri'!BN58))&gt;0)*('Istoric_Nativ'!$Q$6:$Q$405&gt;H740))/AL740)</x:f>
      </x:c>
      <x:c r="R740" s="10" t="str">
        <x:f>IF(OR(NOT(AND(J740="PASS",'Calibrare_Linii'!U12="VALID")),AM740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O58)+((('Istoric_Nativ'!$E$6:$E$405='Input_Meci'!E58)+('Istoric_Nativ'!$F$6:$F$405='Input_Meci'!E58))&gt;0)*('Istoric_Nativ'!$D$6:$D$405&gt;='Motor_Meciuri'!BP58))&gt;0)*('Istoric_Nativ'!$Q$6:$Q$405&gt;H740))/AM740)</x:f>
      </x:c>
      <x:c r="S740" s="10" t="str">
        <x:f>IF(M740="","",MAX(O740,P740,Q740,R740))</x:f>
      </x:c>
      <x:c r="T740" s="11" t="str">
        <x:f>IF(M740="","",MIN(100,S740*100*'Config_v6'!$B$44+MIN(100,L740/'Config_v6'!$B$13*100)*'Config_v6'!$B$45+(100-'Motor_Meciuri'!BF58)*'Config_v6'!$B$46+'Motor_Meciuri'!BH58*100*'Config_v6'!$B$47))</x:f>
      </x:c>
      <x:c r="U740" s="2" t="str">
        <x:f>IF(T740="","",IF(T740&lt;=20,1,IF(T740&lt;=40,2,IF(T740&lt;=60,3,IF(T740&lt;=80,4,5)))))</x:f>
      </x:c>
      <x:c r="V740" s="2" t="str">
        <x:f>IF(M740="","",MAX(0,'Motor_Meciuri'!BF58-IF(W740="OOS PENDING",'Config_v6'!$B$35,0)-IF(L740&gt;'Config_v6'!$B$12,'Config_v6'!$B$37,IF(L740&gt;'Config_v6'!$B$11,'Config_v6'!$B$36,0))))</x:f>
      </x:c>
      <x:c r="W740" s="2" t="str">
        <x:f>IF(B740="","",IF(I740&lt;&gt;"READY","NOT RELEASED",IF(NOT(AND(J740="PASS",'Calibrare_Linii'!U12="VALID")),"INVALID",IF(NOT(AND('Calibrare_Linii'!S12="VALIDATED",AND('Calibrare_Linii'!H12=C740,ISNUMBER('Calibrare_Linii'!J12),'Calibrare_Linii'!J12&lt;='Input_Meci'!G58))),"OOS PENDING",IF(S740&lt;='Calibrare_Linii'!E12,"PASS",IF(S740&lt;='Calibrare_Linii'!F12,"PENALTY","WATCH"))))))</x:f>
      </x:c>
      <x:c r="X740" s="2" t="str">
        <x:f>IF(M740="","",IF(AND(AND(J740="PASS",'Calibrare_Linii'!U12="VALID"),'Motor_Meciuri'!K58=12,'Motor_Meciuri'!L58=12,'Motor_Meciuri'!M58="NO",'Motor_Meciuri'!BL58='Motor_Meciuri'!C58,AB740&gt;='Config_v6'!$B$50,AN740&gt;='Config_v6'!$B$51,T740&lt;='Config_v6'!$B$52,L740&lt;='Config_v6'!$B$53,ISNUMBER('Calibrare_Linii'!E12),S740&lt;='Calibrare_Linii'!E12,SUM(AK740:AM740)&gt;0),"CANDIDATE","NO"))</x:f>
      </x:c>
      <x:c r="Y740" s="2" t="str">
        <x:f>IF(B740="","",IF(I740&lt;&gt;"READY","NOT RELEASED",IF(AND(X740="CANDIDATE",V740&gt;='Config_v6'!$B$51,W740="PASS",'Calibrare_Linii'!T12="VALIDATED",AND('Calibrare_Linii'!H12=C740,ISNUMBER('Calibrare_Linii'!J12),'Calibrare_Linii'!J12&lt;='Input_Meci'!G58)),"PASS",IF(X740="CANDIDATE","OOS PENDING","FAIL"))))</x:f>
      </x:c>
      <x:c r="Z740" s="2" t="str">
        <x:f>IF(B740="","",IF(I740&lt;&gt;"READY","",IF(OR(NOT(AND(J740="PASS",'Calibrare_Linii'!U12="VALID")),L740&gt;'Config_v6'!$B$13,W740="WATCH"),5,IF(Y740="PASS",1,MIN(5,MAX('Config_v6'!$B$42,U740)+IF(W740="PENALTY",1,0))))))</x:f>
      </x:c>
      <x:c r="AA740" s="2" t="str">
        <x:f>IF(B740="","",IF(I740&lt;&gt;"READY","NOT RELEASED",IF(Z740=5,"NO BET",IF(OR(AB740&lt;'Config_v6'!$B$16,V740&lt;'Config_v6'!$B$18),"WATCH",IF(Z740=1,"DEFENSIV",IF(Z740=2,"PRUDENT",IF(Z740=3,"MODERAT","RIDICAT")))))))</x:f>
      </x:c>
      <x:c r="AB740" s="10" t="str">
        <x:f>IF(N740="","",MIN(N740,1-S740))</x:f>
      </x:c>
      <x:c r="AC740" s="2" t="str">
        <x:f>IF(AD740&lt;&gt;1,"",COUNTIFS($Z$734:$Z$747,"&lt;"&amp;Z740,$AD$734:$AD$747,1)+COUNTIFS($Z$734:$Z$747,Z740,$AB$734:$AB$747,"&gt;"&amp;AB740,$AD$734:$AD$747,1)+COUNTIFS($Z$734:$Z$747,Z740,$AB$734:$AB$747,AB740,$V$734:$V$747,"&gt;"&amp;V740,$AD$734:$AD$747,1)+COUNTIFS($Z$734:Z740,Z740,$AB$734:AB740,AB740,$V$734:V740,V740,$AD$734:AD740,1))</x:f>
      </x:c>
      <x:c r="AD740" s="2" t="n">
        <x:f>IF(OR(AA740="DEFENSIV",AA740="PRUDENT",AA740="MODERAT",AA740="RIDICAT"),1,0)</x:f>
        <x:v>0</x:v>
      </x:c>
      <x:c r="AE740" s="2" t="str">
        <x:f>IF(AD740&lt;&gt;1,"NO",IF(W740="PASS","YES",IF(W740="OOS PENDING","CONDITIONAL","NO")))</x:f>
        <x:v>NO</x:v>
      </x:c>
      <x:c r="AF740" s="2" t="n">
        <x:f>IF(AND(AD740=1,AC740=1,E740="LIVE"),1,0)</x:f>
        <x:v>0</x:v>
      </x:c>
      <x:c r="AG740" s="2" t="str">
        <x:f>IF(AF740&lt;&gt;1,"",'Dashboard'!P78)</x:f>
      </x:c>
      <x:c r="AH740" s="2" t="str">
        <x:f>IF(B740="","",IF(J740&lt;&gt;"PASS",'Motor_Meciuri'!J58,IF('Calibrare_Linii'!U12&lt;&gt;"VALID","Parametri linie invalizi",IF(L740&gt;'Config_v6'!$B$13,"Dispersie peste limita",IF(W740="WATCH","Failure peste limita",IF(AB740&lt;'Config_v6'!$B$16,"P finala sub prag",IF(V740&lt;'Config_v6'!$B$18,"Confidence sub prag",IF(E740="REPLAY","Exemplu retrospectiv; exclus din Top LIVE",IF(Y740="PASS","DEFENSIV validat",IF(W740="OOS PENDING","Eligibil; calibrare linie in monitorizare","Eligibil"))))))))))</x:f>
      </x:c>
      <x:c r="AI740" s="2" t="str">
        <x:f>IF(B740="","",'Calibrare_Linii'!V12)</x:f>
      </x:c>
      <x:c r="AJ740" s="2" t="str">
        <x:f>IF(B740="","",IF(AND('Calibrare_Linii'!T12="VALIDATED",AND('Calibrare_Linii'!H12=C740,ISNUMBER('Calibrare_Linii'!J12),'Calibrare_Linii'!J12&lt;='Input_Meci'!G58)),"DEFENSIVE VALIDATED",IF(AND('Calibrare_Linii'!S12="VALIDATED",AND('Calibrare_Linii'!H12=C740,ISNUMBER('Calibrare_Linii'!J12),'Calibrare_Linii'!J12&lt;='Input_Meci'!G58)),"TAIL VALIDATED","OOS PENDING")))</x:f>
      </x:c>
      <x:c r="AK740" s="2" t="n">
        <x:f>IF(J740&lt;&gt;"PASS",0,'Motor_Meciuri'!BR58)</x:f>
        <x:v>0</x:v>
      </x:c>
      <x:c r="AL740" s="2" t="n">
        <x:f>IF(J740&lt;&gt;"PASS",0,'Motor_Meciuri'!BS58)</x:f>
        <x:v>0</x:v>
      </x:c>
      <x:c r="AM740" s="2" t="n">
        <x:f>IF(J740&lt;&gt;"PASS",0,'Motor_Meciuri'!BT58)</x:f>
        <x:v>0</x:v>
      </x:c>
      <x:c r="AN740" s="2" t="str">
        <x:f>IF(M740="","",MAX(0,'Motor_Meciuri'!BF58-IF(L740&gt;'Config_v6'!$B$12,'Config_v6'!$B$37,IF(L740&gt;'Config_v6'!$B$11,'Config_v6'!$B$36,0))))</x:f>
      </x:c>
    </x:row>
    <x:row r="741" ht="21" customHeight="1">
      <x:c r="A741" s="2" t="n">
        <x:v>53</x:v>
      </x:c>
      <x:c r="B741" s="2" t="str">
        <x:f>IF('Motor_Meciuri'!A58="","",'Motor_Meciuri'!A58)</x:f>
      </x:c>
      <x:c r="C741" s="2" t="str">
        <x:f>IF(B741="","",'Motor_Meciuri'!B58)</x:f>
      </x:c>
      <x:c r="D741" s="2" t="str">
        <x:f>IF(B741="","",'Motor_Meciuri'!D58)</x:f>
      </x:c>
      <x:c r="E741" s="2" t="str">
        <x:f>IF(B741="","",'Motor_Meciuri'!E58)</x:f>
      </x:c>
      <x:c r="F741" s="2" t="str">
        <x:v>U11,5</x:v>
      </x:c>
      <x:c r="G741" s="2" t="str">
        <x:v>UNDER</x:v>
      </x:c>
      <x:c r="H741" s="2" t="n">
        <x:v>11</x:v>
      </x:c>
      <x:c r="I741" s="2" t="str">
        <x:f>IF(B741="","",'Motor_Meciuri'!H58)</x:f>
      </x:c>
      <x:c r="J741" s="2" t="str">
        <x:f>IF(B741="","",'Motor_Meciuri'!I58)</x:f>
      </x:c>
      <x:c r="K741" s="11" t="str">
        <x:f>IF(J741&lt;&gt;"PASS","",'Motor_Meciuri'!BD58)</x:f>
      </x:c>
      <x:c r="L741" s="11" t="str">
        <x:f>IF(J741&lt;&gt;"PASS","",'Motor_Meciuri'!AU58)</x:f>
      </x:c>
      <x:c r="M741" s="10" t="str">
        <x:f>IF(NOT(AND(J741="PASS",'Calibrare_Linii'!U13="VALID")),"",'Distributie'!AI58)</x:f>
      </x:c>
      <x:c r="N741" s="10" t="str">
        <x:f>IF(M741="","",MAX(0.01,MIN(0.99,0.5+(M741-0.5)*'Motor_Meciuri'!BG58*'Calibrare_Linii'!D13)))</x:f>
      </x:c>
      <x:c r="O741" s="10" t="str">
        <x:f>IF(M741="","",1-M741)</x:f>
      </x:c>
      <x:c r="P741" s="10" t="str">
        <x:f>IF(OR(NOT(AND(J741="PASS",'Calibrare_Linii'!U13="VALID")),AK741=0),""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*('Istoric_Nativ'!$Q$6:$Q$405&gt;H741))/AK741)</x:f>
      </x:c>
      <x:c r="Q741" s="10" t="str">
        <x:f>IF(OR(NOT(AND(J741="PASS",'Calibrare_Linii'!U13="VALID")),AL741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M58)+((('Istoric_Nativ'!$E$6:$E$405='Input_Meci'!E58)+('Istoric_Nativ'!$F$6:$F$405='Input_Meci'!E58))&gt;0)*('Istoric_Nativ'!$D$6:$D$405&gt;='Motor_Meciuri'!BN58))&gt;0)*('Istoric_Nativ'!$Q$6:$Q$405&gt;H741))/AL741)</x:f>
      </x:c>
      <x:c r="R741" s="10" t="str">
        <x:f>IF(OR(NOT(AND(J741="PASS",'Calibrare_Linii'!U13="VALID")),AM741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O58)+((('Istoric_Nativ'!$E$6:$E$405='Input_Meci'!E58)+('Istoric_Nativ'!$F$6:$F$405='Input_Meci'!E58))&gt;0)*('Istoric_Nativ'!$D$6:$D$405&gt;='Motor_Meciuri'!BP58))&gt;0)*('Istoric_Nativ'!$Q$6:$Q$405&gt;H741))/AM741)</x:f>
      </x:c>
      <x:c r="S741" s="10" t="str">
        <x:f>IF(M741="","",MAX(O741,P741,Q741,R741))</x:f>
      </x:c>
      <x:c r="T741" s="11" t="str">
        <x:f>IF(M741="","",MIN(100,S741*100*'Config_v6'!$B$44+MIN(100,L741/'Config_v6'!$B$13*100)*'Config_v6'!$B$45+(100-'Motor_Meciuri'!BF58)*'Config_v6'!$B$46+'Motor_Meciuri'!BH58*100*'Config_v6'!$B$47))</x:f>
      </x:c>
      <x:c r="U741" s="2" t="str">
        <x:f>IF(T741="","",IF(T741&lt;=20,1,IF(T741&lt;=40,2,IF(T741&lt;=60,3,IF(T741&lt;=80,4,5)))))</x:f>
      </x:c>
      <x:c r="V741" s="2" t="str">
        <x:f>IF(M741="","",MAX(0,'Motor_Meciuri'!BF58-IF(W741="OOS PENDING",'Config_v6'!$B$35,0)-IF(L741&gt;'Config_v6'!$B$12,'Config_v6'!$B$37,IF(L741&gt;'Config_v6'!$B$11,'Config_v6'!$B$36,0))))</x:f>
      </x:c>
      <x:c r="W741" s="2" t="str">
        <x:f>IF(B741="","",IF(I741&lt;&gt;"READY","NOT RELEASED",IF(NOT(AND(J741="PASS",'Calibrare_Linii'!U13="VALID")),"INVALID",IF(NOT(AND('Calibrare_Linii'!S13="VALIDATED",AND('Calibrare_Linii'!H13=C741,ISNUMBER('Calibrare_Linii'!J13),'Calibrare_Linii'!J13&lt;='Input_Meci'!G58))),"OOS PENDING",IF(S741&lt;='Calibrare_Linii'!E13,"PASS",IF(S741&lt;='Calibrare_Linii'!F13,"PENALTY","WATCH"))))))</x:f>
      </x:c>
      <x:c r="X741" s="2" t="str">
        <x:f>IF(M741="","",IF(AND(AND(J741="PASS",'Calibrare_Linii'!U13="VALID"),'Motor_Meciuri'!K58=12,'Motor_Meciuri'!L58=12,'Motor_Meciuri'!M58="NO",'Motor_Meciuri'!BL58='Motor_Meciuri'!C58,AB741&gt;='Config_v6'!$B$50,AN741&gt;='Config_v6'!$B$51,T741&lt;='Config_v6'!$B$52,L741&lt;='Config_v6'!$B$53,ISNUMBER('Calibrare_Linii'!E13),S741&lt;='Calibrare_Linii'!E13,SUM(AK741:AM741)&gt;0),"CANDIDATE","NO"))</x:f>
      </x:c>
      <x:c r="Y741" s="2" t="str">
        <x:f>IF(B741="","",IF(I741&lt;&gt;"READY","NOT RELEASED",IF(AND(X741="CANDIDATE",V741&gt;='Config_v6'!$B$51,W741="PASS",'Calibrare_Linii'!T13="VALIDATED",AND('Calibrare_Linii'!H13=C741,ISNUMBER('Calibrare_Linii'!J13),'Calibrare_Linii'!J13&lt;='Input_Meci'!G58)),"PASS",IF(X741="CANDIDATE","OOS PENDING","FAIL"))))</x:f>
      </x:c>
      <x:c r="Z741" s="2" t="str">
        <x:f>IF(B741="","",IF(I741&lt;&gt;"READY","",IF(OR(NOT(AND(J741="PASS",'Calibrare_Linii'!U13="VALID")),L741&gt;'Config_v6'!$B$13,W741="WATCH"),5,IF(Y741="PASS",1,MIN(5,MAX('Config_v6'!$B$42,U741)+IF(W741="PENALTY",1,0))))))</x:f>
      </x:c>
      <x:c r="AA741" s="2" t="str">
        <x:f>IF(B741="","",IF(I741&lt;&gt;"READY","NOT RELEASED",IF(Z741=5,"NO BET",IF(OR(AB741&lt;'Config_v6'!$B$16,V741&lt;'Config_v6'!$B$18),"WATCH",IF(Z741=1,"DEFENSIV",IF(Z741=2,"PRUDENT",IF(Z741=3,"MODERAT","RIDICAT")))))))</x:f>
      </x:c>
      <x:c r="AB741" s="10" t="str">
        <x:f>IF(N741="","",MIN(N741,1-S741))</x:f>
      </x:c>
      <x:c r="AC741" s="2" t="str">
        <x:f>IF(AD741&lt;&gt;1,"",COUNTIFS($Z$734:$Z$747,"&lt;"&amp;Z741,$AD$734:$AD$747,1)+COUNTIFS($Z$734:$Z$747,Z741,$AB$734:$AB$747,"&gt;"&amp;AB741,$AD$734:$AD$747,1)+COUNTIFS($Z$734:$Z$747,Z741,$AB$734:$AB$747,AB741,$V$734:$V$747,"&gt;"&amp;V741,$AD$734:$AD$747,1)+COUNTIFS($Z$734:Z741,Z741,$AB$734:AB741,AB741,$V$734:V741,V741,$AD$734:AD741,1))</x:f>
      </x:c>
      <x:c r="AD741" s="2" t="n">
        <x:f>IF(OR(AA741="DEFENSIV",AA741="PRUDENT",AA741="MODERAT",AA741="RIDICAT"),1,0)</x:f>
        <x:v>0</x:v>
      </x:c>
      <x:c r="AE741" s="2" t="str">
        <x:f>IF(AD741&lt;&gt;1,"NO",IF(W741="PASS","YES",IF(W741="OOS PENDING","CONDITIONAL","NO")))</x:f>
        <x:v>NO</x:v>
      </x:c>
      <x:c r="AF741" s="2" t="n">
        <x:f>IF(AND(AD741=1,AC741=1,E741="LIVE"),1,0)</x:f>
        <x:v>0</x:v>
      </x:c>
      <x:c r="AG741" s="2" t="str">
        <x:f>IF(AF741&lt;&gt;1,"",'Dashboard'!P78)</x:f>
      </x:c>
      <x:c r="AH741" s="2" t="str">
        <x:f>IF(B741="","",IF(J741&lt;&gt;"PASS",'Motor_Meciuri'!J58,IF('Calibrare_Linii'!U13&lt;&gt;"VALID","Parametri linie invalizi",IF(L741&gt;'Config_v6'!$B$13,"Dispersie peste limita",IF(W741="WATCH","Failure peste limita",IF(AB741&lt;'Config_v6'!$B$16,"P finala sub prag",IF(V741&lt;'Config_v6'!$B$18,"Confidence sub prag",IF(E741="REPLAY","Exemplu retrospectiv; exclus din Top LIVE",IF(Y741="PASS","DEFENSIV validat",IF(W741="OOS PENDING","Eligibil; calibrare linie in monitorizare","Eligibil"))))))))))</x:f>
      </x:c>
      <x:c r="AI741" s="2" t="str">
        <x:f>IF(B741="","",'Calibrare_Linii'!V13)</x:f>
      </x:c>
      <x:c r="AJ741" s="2" t="str">
        <x:f>IF(B741="","",IF(AND('Calibrare_Linii'!T13="VALIDATED",AND('Calibrare_Linii'!H13=C741,ISNUMBER('Calibrare_Linii'!J13),'Calibrare_Linii'!J13&lt;='Input_Meci'!G58)),"DEFENSIVE VALIDATED",IF(AND('Calibrare_Linii'!S13="VALIDATED",AND('Calibrare_Linii'!H13=C741,ISNUMBER('Calibrare_Linii'!J13),'Calibrare_Linii'!J13&lt;='Input_Meci'!G58)),"TAIL VALIDATED","OOS PENDING")))</x:f>
      </x:c>
      <x:c r="AK741" s="2" t="n">
        <x:f>IF(J741&lt;&gt;"PASS",0,'Motor_Meciuri'!BR58)</x:f>
        <x:v>0</x:v>
      </x:c>
      <x:c r="AL741" s="2" t="n">
        <x:f>IF(J741&lt;&gt;"PASS",0,'Motor_Meciuri'!BS58)</x:f>
        <x:v>0</x:v>
      </x:c>
      <x:c r="AM741" s="2" t="n">
        <x:f>IF(J741&lt;&gt;"PASS",0,'Motor_Meciuri'!BT58)</x:f>
        <x:v>0</x:v>
      </x:c>
      <x:c r="AN741" s="2" t="str">
        <x:f>IF(M741="","",MAX(0,'Motor_Meciuri'!BF58-IF(L741&gt;'Config_v6'!$B$12,'Config_v6'!$B$37,IF(L741&gt;'Config_v6'!$B$11,'Config_v6'!$B$36,0))))</x:f>
      </x:c>
    </x:row>
    <x:row r="742" ht="21" customHeight="1">
      <x:c r="A742" s="2" t="n">
        <x:v>53</x:v>
      </x:c>
      <x:c r="B742" s="2" t="str">
        <x:f>IF('Motor_Meciuri'!A58="","",'Motor_Meciuri'!A58)</x:f>
      </x:c>
      <x:c r="C742" s="2" t="str">
        <x:f>IF(B742="","",'Motor_Meciuri'!B58)</x:f>
      </x:c>
      <x:c r="D742" s="2" t="str">
        <x:f>IF(B742="","",'Motor_Meciuri'!D58)</x:f>
      </x:c>
      <x:c r="E742" s="2" t="str">
        <x:f>IF(B742="","",'Motor_Meciuri'!E58)</x:f>
      </x:c>
      <x:c r="F742" s="2" t="str">
        <x:v>U12,5</x:v>
      </x:c>
      <x:c r="G742" s="2" t="str">
        <x:v>UNDER</x:v>
      </x:c>
      <x:c r="H742" s="2" t="n">
        <x:v>12</x:v>
      </x:c>
      <x:c r="I742" s="2" t="str">
        <x:f>IF(B742="","",'Motor_Meciuri'!H58)</x:f>
      </x:c>
      <x:c r="J742" s="2" t="str">
        <x:f>IF(B742="","",'Motor_Meciuri'!I58)</x:f>
      </x:c>
      <x:c r="K742" s="11" t="str">
        <x:f>IF(J742&lt;&gt;"PASS","",'Motor_Meciuri'!BD58)</x:f>
      </x:c>
      <x:c r="L742" s="11" t="str">
        <x:f>IF(J742&lt;&gt;"PASS","",'Motor_Meciuri'!AU58)</x:f>
      </x:c>
      <x:c r="M742" s="10" t="str">
        <x:f>IF(NOT(AND(J742="PASS",'Calibrare_Linii'!U14="VALID")),"",'Distributie'!AJ58)</x:f>
      </x:c>
      <x:c r="N742" s="10" t="str">
        <x:f>IF(M742="","",MAX(0.01,MIN(0.99,0.5+(M742-0.5)*'Motor_Meciuri'!BG58*'Calibrare_Linii'!D14)))</x:f>
      </x:c>
      <x:c r="O742" s="10" t="str">
        <x:f>IF(M742="","",1-M742)</x:f>
      </x:c>
      <x:c r="P742" s="10" t="str">
        <x:f>IF(OR(NOT(AND(J742="PASS",'Calibrare_Linii'!U14="VALID")),AK742=0),""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*('Istoric_Nativ'!$Q$6:$Q$405&gt;H742))/AK742)</x:f>
      </x:c>
      <x:c r="Q742" s="10" t="str">
        <x:f>IF(OR(NOT(AND(J742="PASS",'Calibrare_Linii'!U14="VALID")),AL742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M58)+((('Istoric_Nativ'!$E$6:$E$405='Input_Meci'!E58)+('Istoric_Nativ'!$F$6:$F$405='Input_Meci'!E58))&gt;0)*('Istoric_Nativ'!$D$6:$D$405&gt;='Motor_Meciuri'!BN58))&gt;0)*('Istoric_Nativ'!$Q$6:$Q$405&gt;H742))/AL742)</x:f>
      </x:c>
      <x:c r="R742" s="10" t="str">
        <x:f>IF(OR(NOT(AND(J742="PASS",'Calibrare_Linii'!U14="VALID")),AM742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O58)+((('Istoric_Nativ'!$E$6:$E$405='Input_Meci'!E58)+('Istoric_Nativ'!$F$6:$F$405='Input_Meci'!E58))&gt;0)*('Istoric_Nativ'!$D$6:$D$405&gt;='Motor_Meciuri'!BP58))&gt;0)*('Istoric_Nativ'!$Q$6:$Q$405&gt;H742))/AM742)</x:f>
      </x:c>
      <x:c r="S742" s="10" t="str">
        <x:f>IF(M742="","",MAX(O742,P742,Q742,R742))</x:f>
      </x:c>
      <x:c r="T742" s="11" t="str">
        <x:f>IF(M742="","",MIN(100,S742*100*'Config_v6'!$B$44+MIN(100,L742/'Config_v6'!$B$13*100)*'Config_v6'!$B$45+(100-'Motor_Meciuri'!BF58)*'Config_v6'!$B$46+'Motor_Meciuri'!BH58*100*'Config_v6'!$B$47))</x:f>
      </x:c>
      <x:c r="U742" s="2" t="str">
        <x:f>IF(T742="","",IF(T742&lt;=20,1,IF(T742&lt;=40,2,IF(T742&lt;=60,3,IF(T742&lt;=80,4,5)))))</x:f>
      </x:c>
      <x:c r="V742" s="2" t="str">
        <x:f>IF(M742="","",MAX(0,'Motor_Meciuri'!BF58-IF(W742="OOS PENDING",'Config_v6'!$B$35,0)-IF(L742&gt;'Config_v6'!$B$12,'Config_v6'!$B$37,IF(L742&gt;'Config_v6'!$B$11,'Config_v6'!$B$36,0))))</x:f>
      </x:c>
      <x:c r="W742" s="2" t="str">
        <x:f>IF(B742="","",IF(I742&lt;&gt;"READY","NOT RELEASED",IF(NOT(AND(J742="PASS",'Calibrare_Linii'!U14="VALID")),"INVALID",IF(NOT(AND('Calibrare_Linii'!S14="VALIDATED",AND('Calibrare_Linii'!H14=C742,ISNUMBER('Calibrare_Linii'!J14),'Calibrare_Linii'!J14&lt;='Input_Meci'!G58))),"OOS PENDING",IF(S742&lt;='Calibrare_Linii'!E14,"PASS",IF(S742&lt;='Calibrare_Linii'!F14,"PENALTY","WATCH"))))))</x:f>
      </x:c>
      <x:c r="X742" s="2" t="str">
        <x:f>IF(M742="","",IF(AND(AND(J742="PASS",'Calibrare_Linii'!U14="VALID"),'Motor_Meciuri'!K58=12,'Motor_Meciuri'!L58=12,'Motor_Meciuri'!M58="NO",'Motor_Meciuri'!BL58='Motor_Meciuri'!C58,AB742&gt;='Config_v6'!$B$50,AN742&gt;='Config_v6'!$B$51,T742&lt;='Config_v6'!$B$52,L742&lt;='Config_v6'!$B$53,ISNUMBER('Calibrare_Linii'!E14),S742&lt;='Calibrare_Linii'!E14,SUM(AK742:AM742)&gt;0),"CANDIDATE","NO"))</x:f>
      </x:c>
      <x:c r="Y742" s="2" t="str">
        <x:f>IF(B742="","",IF(I742&lt;&gt;"READY","NOT RELEASED",IF(AND(X742="CANDIDATE",V742&gt;='Config_v6'!$B$51,W742="PASS",'Calibrare_Linii'!T14="VALIDATED",AND('Calibrare_Linii'!H14=C742,ISNUMBER('Calibrare_Linii'!J14),'Calibrare_Linii'!J14&lt;='Input_Meci'!G58)),"PASS",IF(X742="CANDIDATE","OOS PENDING","FAIL"))))</x:f>
      </x:c>
      <x:c r="Z742" s="2" t="str">
        <x:f>IF(B742="","",IF(I742&lt;&gt;"READY","",IF(OR(NOT(AND(J742="PASS",'Calibrare_Linii'!U14="VALID")),L742&gt;'Config_v6'!$B$13,W742="WATCH"),5,IF(Y742="PASS",1,MIN(5,MAX('Config_v6'!$B$42,U742)+IF(W742="PENALTY",1,0))))))</x:f>
      </x:c>
      <x:c r="AA742" s="2" t="str">
        <x:f>IF(B742="","",IF(I742&lt;&gt;"READY","NOT RELEASED",IF(Z742=5,"NO BET",IF(OR(AB742&lt;'Config_v6'!$B$16,V742&lt;'Config_v6'!$B$18),"WATCH",IF(Z742=1,"DEFENSIV",IF(Z742=2,"PRUDENT",IF(Z742=3,"MODERAT","RIDICAT")))))))</x:f>
      </x:c>
      <x:c r="AB742" s="10" t="str">
        <x:f>IF(N742="","",MIN(N742,1-S742))</x:f>
      </x:c>
      <x:c r="AC742" s="2" t="str">
        <x:f>IF(AD742&lt;&gt;1,"",COUNTIFS($Z$734:$Z$747,"&lt;"&amp;Z742,$AD$734:$AD$747,1)+COUNTIFS($Z$734:$Z$747,Z742,$AB$734:$AB$747,"&gt;"&amp;AB742,$AD$734:$AD$747,1)+COUNTIFS($Z$734:$Z$747,Z742,$AB$734:$AB$747,AB742,$V$734:$V$747,"&gt;"&amp;V742,$AD$734:$AD$747,1)+COUNTIFS($Z$734:Z742,Z742,$AB$734:AB742,AB742,$V$734:V742,V742,$AD$734:AD742,1))</x:f>
      </x:c>
      <x:c r="AD742" s="2" t="n">
        <x:f>IF(OR(AA742="DEFENSIV",AA742="PRUDENT",AA742="MODERAT",AA742="RIDICAT"),1,0)</x:f>
        <x:v>0</x:v>
      </x:c>
      <x:c r="AE742" s="2" t="str">
        <x:f>IF(AD742&lt;&gt;1,"NO",IF(W742="PASS","YES",IF(W742="OOS PENDING","CONDITIONAL","NO")))</x:f>
        <x:v>NO</x:v>
      </x:c>
      <x:c r="AF742" s="2" t="n">
        <x:f>IF(AND(AD742=1,AC742=1,E742="LIVE"),1,0)</x:f>
        <x:v>0</x:v>
      </x:c>
      <x:c r="AG742" s="2" t="str">
        <x:f>IF(AF742&lt;&gt;1,"",'Dashboard'!P78)</x:f>
      </x:c>
      <x:c r="AH742" s="2" t="str">
        <x:f>IF(B742="","",IF(J742&lt;&gt;"PASS",'Motor_Meciuri'!J58,IF('Calibrare_Linii'!U14&lt;&gt;"VALID","Parametri linie invalizi",IF(L742&gt;'Config_v6'!$B$13,"Dispersie peste limita",IF(W742="WATCH","Failure peste limita",IF(AB742&lt;'Config_v6'!$B$16,"P finala sub prag",IF(V742&lt;'Config_v6'!$B$18,"Confidence sub prag",IF(E742="REPLAY","Exemplu retrospectiv; exclus din Top LIVE",IF(Y742="PASS","DEFENSIV validat",IF(W742="OOS PENDING","Eligibil; calibrare linie in monitorizare","Eligibil"))))))))))</x:f>
      </x:c>
      <x:c r="AI742" s="2" t="str">
        <x:f>IF(B742="","",'Calibrare_Linii'!V14)</x:f>
      </x:c>
      <x:c r="AJ742" s="2" t="str">
        <x:f>IF(B742="","",IF(AND('Calibrare_Linii'!T14="VALIDATED",AND('Calibrare_Linii'!H14=C742,ISNUMBER('Calibrare_Linii'!J14),'Calibrare_Linii'!J14&lt;='Input_Meci'!G58)),"DEFENSIVE VALIDATED",IF(AND('Calibrare_Linii'!S14="VALIDATED",AND('Calibrare_Linii'!H14=C742,ISNUMBER('Calibrare_Linii'!J14),'Calibrare_Linii'!J14&lt;='Input_Meci'!G58)),"TAIL VALIDATED","OOS PENDING")))</x:f>
      </x:c>
      <x:c r="AK742" s="2" t="n">
        <x:f>IF(J742&lt;&gt;"PASS",0,'Motor_Meciuri'!BR58)</x:f>
        <x:v>0</x:v>
      </x:c>
      <x:c r="AL742" s="2" t="n">
        <x:f>IF(J742&lt;&gt;"PASS",0,'Motor_Meciuri'!BS58)</x:f>
        <x:v>0</x:v>
      </x:c>
      <x:c r="AM742" s="2" t="n">
        <x:f>IF(J742&lt;&gt;"PASS",0,'Motor_Meciuri'!BT58)</x:f>
        <x:v>0</x:v>
      </x:c>
      <x:c r="AN742" s="2" t="str">
        <x:f>IF(M742="","",MAX(0,'Motor_Meciuri'!BF58-IF(L742&gt;'Config_v6'!$B$12,'Config_v6'!$B$37,IF(L742&gt;'Config_v6'!$B$11,'Config_v6'!$B$36,0))))</x:f>
      </x:c>
    </x:row>
    <x:row r="743" ht="21" customHeight="1">
      <x:c r="A743" s="2" t="n">
        <x:v>53</x:v>
      </x:c>
      <x:c r="B743" s="2" t="str">
        <x:f>IF('Motor_Meciuri'!A58="","",'Motor_Meciuri'!A58)</x:f>
      </x:c>
      <x:c r="C743" s="2" t="str">
        <x:f>IF(B743="","",'Motor_Meciuri'!B58)</x:f>
      </x:c>
      <x:c r="D743" s="2" t="str">
        <x:f>IF(B743="","",'Motor_Meciuri'!D58)</x:f>
      </x:c>
      <x:c r="E743" s="2" t="str">
        <x:f>IF(B743="","",'Motor_Meciuri'!E58)</x:f>
      </x:c>
      <x:c r="F743" s="2" t="str">
        <x:v>U13,5</x:v>
      </x:c>
      <x:c r="G743" s="2" t="str">
        <x:v>UNDER</x:v>
      </x:c>
      <x:c r="H743" s="2" t="n">
        <x:v>13</x:v>
      </x:c>
      <x:c r="I743" s="2" t="str">
        <x:f>IF(B743="","",'Motor_Meciuri'!H58)</x:f>
      </x:c>
      <x:c r="J743" s="2" t="str">
        <x:f>IF(B743="","",'Motor_Meciuri'!I58)</x:f>
      </x:c>
      <x:c r="K743" s="11" t="str">
        <x:f>IF(J743&lt;&gt;"PASS","",'Motor_Meciuri'!BD58)</x:f>
      </x:c>
      <x:c r="L743" s="11" t="str">
        <x:f>IF(J743&lt;&gt;"PASS","",'Motor_Meciuri'!AU58)</x:f>
      </x:c>
      <x:c r="M743" s="10" t="str">
        <x:f>IF(NOT(AND(J743="PASS",'Calibrare_Linii'!U15="VALID")),"",'Distributie'!AK58)</x:f>
      </x:c>
      <x:c r="N743" s="10" t="str">
        <x:f>IF(M743="","",MAX(0.01,MIN(0.99,0.5+(M743-0.5)*'Motor_Meciuri'!BG58*'Calibrare_Linii'!D15)))</x:f>
      </x:c>
      <x:c r="O743" s="10" t="str">
        <x:f>IF(M743="","",1-M743)</x:f>
      </x:c>
      <x:c r="P743" s="10" t="str">
        <x:f>IF(OR(NOT(AND(J743="PASS",'Calibrare_Linii'!U15="VALID")),AK743=0),""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*('Istoric_Nativ'!$Q$6:$Q$405&gt;H743))/AK743)</x:f>
      </x:c>
      <x:c r="Q743" s="10" t="str">
        <x:f>IF(OR(NOT(AND(J743="PASS",'Calibrare_Linii'!U15="VALID")),AL743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M58)+((('Istoric_Nativ'!$E$6:$E$405='Input_Meci'!E58)+('Istoric_Nativ'!$F$6:$F$405='Input_Meci'!E58))&gt;0)*('Istoric_Nativ'!$D$6:$D$405&gt;='Motor_Meciuri'!BN58))&gt;0)*('Istoric_Nativ'!$Q$6:$Q$405&gt;H743))/AL743)</x:f>
      </x:c>
      <x:c r="R743" s="10" t="str">
        <x:f>IF(OR(NOT(AND(J743="PASS",'Calibrare_Linii'!U15="VALID")),AM743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O58)+((('Istoric_Nativ'!$E$6:$E$405='Input_Meci'!E58)+('Istoric_Nativ'!$F$6:$F$405='Input_Meci'!E58))&gt;0)*('Istoric_Nativ'!$D$6:$D$405&gt;='Motor_Meciuri'!BP58))&gt;0)*('Istoric_Nativ'!$Q$6:$Q$405&gt;H743))/AM743)</x:f>
      </x:c>
      <x:c r="S743" s="10" t="str">
        <x:f>IF(M743="","",MAX(O743,P743,Q743,R743))</x:f>
      </x:c>
      <x:c r="T743" s="11" t="str">
        <x:f>IF(M743="","",MIN(100,S743*100*'Config_v6'!$B$44+MIN(100,L743/'Config_v6'!$B$13*100)*'Config_v6'!$B$45+(100-'Motor_Meciuri'!BF58)*'Config_v6'!$B$46+'Motor_Meciuri'!BH58*100*'Config_v6'!$B$47))</x:f>
      </x:c>
      <x:c r="U743" s="2" t="str">
        <x:f>IF(T743="","",IF(T743&lt;=20,1,IF(T743&lt;=40,2,IF(T743&lt;=60,3,IF(T743&lt;=80,4,5)))))</x:f>
      </x:c>
      <x:c r="V743" s="2" t="str">
        <x:f>IF(M743="","",MAX(0,'Motor_Meciuri'!BF58-IF(W743="OOS PENDING",'Config_v6'!$B$35,0)-IF(L743&gt;'Config_v6'!$B$12,'Config_v6'!$B$37,IF(L743&gt;'Config_v6'!$B$11,'Config_v6'!$B$36,0))))</x:f>
      </x:c>
      <x:c r="W743" s="2" t="str">
        <x:f>IF(B743="","",IF(I743&lt;&gt;"READY","NOT RELEASED",IF(NOT(AND(J743="PASS",'Calibrare_Linii'!U15="VALID")),"INVALID",IF(NOT(AND('Calibrare_Linii'!S15="VALIDATED",AND('Calibrare_Linii'!H15=C743,ISNUMBER('Calibrare_Linii'!J15),'Calibrare_Linii'!J15&lt;='Input_Meci'!G58))),"OOS PENDING",IF(S743&lt;='Calibrare_Linii'!E15,"PASS",IF(S743&lt;='Calibrare_Linii'!F15,"PENALTY","WATCH"))))))</x:f>
      </x:c>
      <x:c r="X743" s="2" t="str">
        <x:f>IF(M743="","",IF(AND(AND(J743="PASS",'Calibrare_Linii'!U15="VALID"),'Motor_Meciuri'!K58=12,'Motor_Meciuri'!L58=12,'Motor_Meciuri'!M58="NO",'Motor_Meciuri'!BL58='Motor_Meciuri'!C58,AB743&gt;='Config_v6'!$B$50,AN743&gt;='Config_v6'!$B$51,T743&lt;='Config_v6'!$B$52,L743&lt;='Config_v6'!$B$53,ISNUMBER('Calibrare_Linii'!E15),S743&lt;='Calibrare_Linii'!E15,SUM(AK743:AM743)&gt;0),"CANDIDATE","NO"))</x:f>
      </x:c>
      <x:c r="Y743" s="2" t="str">
        <x:f>IF(B743="","",IF(I743&lt;&gt;"READY","NOT RELEASED",IF(AND(X743="CANDIDATE",V743&gt;='Config_v6'!$B$51,W743="PASS",'Calibrare_Linii'!T15="VALIDATED",AND('Calibrare_Linii'!H15=C743,ISNUMBER('Calibrare_Linii'!J15),'Calibrare_Linii'!J15&lt;='Input_Meci'!G58)),"PASS",IF(X743="CANDIDATE","OOS PENDING","FAIL"))))</x:f>
      </x:c>
      <x:c r="Z743" s="2" t="str">
        <x:f>IF(B743="","",IF(I743&lt;&gt;"READY","",IF(OR(NOT(AND(J743="PASS",'Calibrare_Linii'!U15="VALID")),L743&gt;'Config_v6'!$B$13,W743="WATCH"),5,IF(Y743="PASS",1,MIN(5,MAX('Config_v6'!$B$42,U743)+IF(W743="PENALTY",1,0))))))</x:f>
      </x:c>
      <x:c r="AA743" s="2" t="str">
        <x:f>IF(B743="","",IF(I743&lt;&gt;"READY","NOT RELEASED",IF(Z743=5,"NO BET",IF(OR(AB743&lt;'Config_v6'!$B$16,V743&lt;'Config_v6'!$B$18),"WATCH",IF(Z743=1,"DEFENSIV",IF(Z743=2,"PRUDENT",IF(Z743=3,"MODERAT","RIDICAT")))))))</x:f>
      </x:c>
      <x:c r="AB743" s="10" t="str">
        <x:f>IF(N743="","",MIN(N743,1-S743))</x:f>
      </x:c>
      <x:c r="AC743" s="2" t="str">
        <x:f>IF(AD743&lt;&gt;1,"",COUNTIFS($Z$734:$Z$747,"&lt;"&amp;Z743,$AD$734:$AD$747,1)+COUNTIFS($Z$734:$Z$747,Z743,$AB$734:$AB$747,"&gt;"&amp;AB743,$AD$734:$AD$747,1)+COUNTIFS($Z$734:$Z$747,Z743,$AB$734:$AB$747,AB743,$V$734:$V$747,"&gt;"&amp;V743,$AD$734:$AD$747,1)+COUNTIFS($Z$734:Z743,Z743,$AB$734:AB743,AB743,$V$734:V743,V743,$AD$734:AD743,1))</x:f>
      </x:c>
      <x:c r="AD743" s="2" t="n">
        <x:f>IF(OR(AA743="DEFENSIV",AA743="PRUDENT",AA743="MODERAT",AA743="RIDICAT"),1,0)</x:f>
        <x:v>0</x:v>
      </x:c>
      <x:c r="AE743" s="2" t="str">
        <x:f>IF(AD743&lt;&gt;1,"NO",IF(W743="PASS","YES",IF(W743="OOS PENDING","CONDITIONAL","NO")))</x:f>
        <x:v>NO</x:v>
      </x:c>
      <x:c r="AF743" s="2" t="n">
        <x:f>IF(AND(AD743=1,AC743=1,E743="LIVE"),1,0)</x:f>
        <x:v>0</x:v>
      </x:c>
      <x:c r="AG743" s="2" t="str">
        <x:f>IF(AF743&lt;&gt;1,"",'Dashboard'!P78)</x:f>
      </x:c>
      <x:c r="AH743" s="2" t="str">
        <x:f>IF(B743="","",IF(J743&lt;&gt;"PASS",'Motor_Meciuri'!J58,IF('Calibrare_Linii'!U15&lt;&gt;"VALID","Parametri linie invalizi",IF(L743&gt;'Config_v6'!$B$13,"Dispersie peste limita",IF(W743="WATCH","Failure peste limita",IF(AB743&lt;'Config_v6'!$B$16,"P finala sub prag",IF(V743&lt;'Config_v6'!$B$18,"Confidence sub prag",IF(E743="REPLAY","Exemplu retrospectiv; exclus din Top LIVE",IF(Y743="PASS","DEFENSIV validat",IF(W743="OOS PENDING","Eligibil; calibrare linie in monitorizare","Eligibil"))))))))))</x:f>
      </x:c>
      <x:c r="AI743" s="2" t="str">
        <x:f>IF(B743="","",'Calibrare_Linii'!V15)</x:f>
      </x:c>
      <x:c r="AJ743" s="2" t="str">
        <x:f>IF(B743="","",IF(AND('Calibrare_Linii'!T15="VALIDATED",AND('Calibrare_Linii'!H15=C743,ISNUMBER('Calibrare_Linii'!J15),'Calibrare_Linii'!J15&lt;='Input_Meci'!G58)),"DEFENSIVE VALIDATED",IF(AND('Calibrare_Linii'!S15="VALIDATED",AND('Calibrare_Linii'!H15=C743,ISNUMBER('Calibrare_Linii'!J15),'Calibrare_Linii'!J15&lt;='Input_Meci'!G58)),"TAIL VALIDATED","OOS PENDING")))</x:f>
      </x:c>
      <x:c r="AK743" s="2" t="n">
        <x:f>IF(J743&lt;&gt;"PASS",0,'Motor_Meciuri'!BR58)</x:f>
        <x:v>0</x:v>
      </x:c>
      <x:c r="AL743" s="2" t="n">
        <x:f>IF(J743&lt;&gt;"PASS",0,'Motor_Meciuri'!BS58)</x:f>
        <x:v>0</x:v>
      </x:c>
      <x:c r="AM743" s="2" t="n">
        <x:f>IF(J743&lt;&gt;"PASS",0,'Motor_Meciuri'!BT58)</x:f>
        <x:v>0</x:v>
      </x:c>
      <x:c r="AN743" s="2" t="str">
        <x:f>IF(M743="","",MAX(0,'Motor_Meciuri'!BF58-IF(L743&gt;'Config_v6'!$B$12,'Config_v6'!$B$37,IF(L743&gt;'Config_v6'!$B$11,'Config_v6'!$B$36,0))))</x:f>
      </x:c>
    </x:row>
    <x:row r="744" ht="21" customHeight="1">
      <x:c r="A744" s="2" t="n">
        <x:v>53</x:v>
      </x:c>
      <x:c r="B744" s="2" t="str">
        <x:f>IF('Motor_Meciuri'!A58="","",'Motor_Meciuri'!A58)</x:f>
      </x:c>
      <x:c r="C744" s="2" t="str">
        <x:f>IF(B744="","",'Motor_Meciuri'!B58)</x:f>
      </x:c>
      <x:c r="D744" s="2" t="str">
        <x:f>IF(B744="","",'Motor_Meciuri'!D58)</x:f>
      </x:c>
      <x:c r="E744" s="2" t="str">
        <x:f>IF(B744="","",'Motor_Meciuri'!E58)</x:f>
      </x:c>
      <x:c r="F744" s="2" t="str">
        <x:v>U14,5</x:v>
      </x:c>
      <x:c r="G744" s="2" t="str">
        <x:v>UNDER</x:v>
      </x:c>
      <x:c r="H744" s="2" t="n">
        <x:v>14</x:v>
      </x:c>
      <x:c r="I744" s="2" t="str">
        <x:f>IF(B744="","",'Motor_Meciuri'!H58)</x:f>
      </x:c>
      <x:c r="J744" s="2" t="str">
        <x:f>IF(B744="","",'Motor_Meciuri'!I58)</x:f>
      </x:c>
      <x:c r="K744" s="11" t="str">
        <x:f>IF(J744&lt;&gt;"PASS","",'Motor_Meciuri'!BD58)</x:f>
      </x:c>
      <x:c r="L744" s="11" t="str">
        <x:f>IF(J744&lt;&gt;"PASS","",'Motor_Meciuri'!AU58)</x:f>
      </x:c>
      <x:c r="M744" s="10" t="str">
        <x:f>IF(NOT(AND(J744="PASS",'Calibrare_Linii'!U16="VALID")),"",'Distributie'!AL58)</x:f>
      </x:c>
      <x:c r="N744" s="10" t="str">
        <x:f>IF(M744="","",MAX(0.01,MIN(0.99,0.5+(M744-0.5)*'Motor_Meciuri'!BG58*'Calibrare_Linii'!D16)))</x:f>
      </x:c>
      <x:c r="O744" s="10" t="str">
        <x:f>IF(M744="","",1-M744)</x:f>
      </x:c>
      <x:c r="P744" s="10" t="str">
        <x:f>IF(OR(NOT(AND(J744="PASS",'Calibrare_Linii'!U16="VALID")),AK744=0),""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*('Istoric_Nativ'!$Q$6:$Q$405&gt;H744))/AK744)</x:f>
      </x:c>
      <x:c r="Q744" s="10" t="str">
        <x:f>IF(OR(NOT(AND(J744="PASS",'Calibrare_Linii'!U16="VALID")),AL744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M58)+((('Istoric_Nativ'!$E$6:$E$405='Input_Meci'!E58)+('Istoric_Nativ'!$F$6:$F$405='Input_Meci'!E58))&gt;0)*('Istoric_Nativ'!$D$6:$D$405&gt;='Motor_Meciuri'!BN58))&gt;0)*('Istoric_Nativ'!$Q$6:$Q$405&gt;H744))/AL744)</x:f>
      </x:c>
      <x:c r="R744" s="10" t="str">
        <x:f>IF(OR(NOT(AND(J744="PASS",'Calibrare_Linii'!U16="VALID")),AM744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O58)+((('Istoric_Nativ'!$E$6:$E$405='Input_Meci'!E58)+('Istoric_Nativ'!$F$6:$F$405='Input_Meci'!E58))&gt;0)*('Istoric_Nativ'!$D$6:$D$405&gt;='Motor_Meciuri'!BP58))&gt;0)*('Istoric_Nativ'!$Q$6:$Q$405&gt;H744))/AM744)</x:f>
      </x:c>
      <x:c r="S744" s="10" t="str">
        <x:f>IF(M744="","",MAX(O744,P744,Q744,R744))</x:f>
      </x:c>
      <x:c r="T744" s="11" t="str">
        <x:f>IF(M744="","",MIN(100,S744*100*'Config_v6'!$B$44+MIN(100,L744/'Config_v6'!$B$13*100)*'Config_v6'!$B$45+(100-'Motor_Meciuri'!BF58)*'Config_v6'!$B$46+'Motor_Meciuri'!BH58*100*'Config_v6'!$B$47))</x:f>
      </x:c>
      <x:c r="U744" s="2" t="str">
        <x:f>IF(T744="","",IF(T744&lt;=20,1,IF(T744&lt;=40,2,IF(T744&lt;=60,3,IF(T744&lt;=80,4,5)))))</x:f>
      </x:c>
      <x:c r="V744" s="2" t="str">
        <x:f>IF(M744="","",MAX(0,'Motor_Meciuri'!BF58-IF(W744="OOS PENDING",'Config_v6'!$B$35,0)-IF(L744&gt;'Config_v6'!$B$12,'Config_v6'!$B$37,IF(L744&gt;'Config_v6'!$B$11,'Config_v6'!$B$36,0))))</x:f>
      </x:c>
      <x:c r="W744" s="2" t="str">
        <x:f>IF(B744="","",IF(I744&lt;&gt;"READY","NOT RELEASED",IF(NOT(AND(J744="PASS",'Calibrare_Linii'!U16="VALID")),"INVALID",IF(NOT(AND('Calibrare_Linii'!S16="VALIDATED",AND('Calibrare_Linii'!H16=C744,ISNUMBER('Calibrare_Linii'!J16),'Calibrare_Linii'!J16&lt;='Input_Meci'!G58))),"OOS PENDING",IF(S744&lt;='Calibrare_Linii'!E16,"PASS",IF(S744&lt;='Calibrare_Linii'!F16,"PENALTY","WATCH"))))))</x:f>
      </x:c>
      <x:c r="X744" s="2" t="str">
        <x:f>IF(M744="","",IF(AND(AND(J744="PASS",'Calibrare_Linii'!U16="VALID"),'Motor_Meciuri'!K58=12,'Motor_Meciuri'!L58=12,'Motor_Meciuri'!M58="NO",'Motor_Meciuri'!BL58='Motor_Meciuri'!C58,AB744&gt;='Config_v6'!$B$50,AN744&gt;='Config_v6'!$B$51,T744&lt;='Config_v6'!$B$52,L744&lt;='Config_v6'!$B$53,ISNUMBER('Calibrare_Linii'!E16),S744&lt;='Calibrare_Linii'!E16,SUM(AK744:AM744)&gt;0),"CANDIDATE","NO"))</x:f>
      </x:c>
      <x:c r="Y744" s="2" t="str">
        <x:f>IF(B744="","",IF(I744&lt;&gt;"READY","NOT RELEASED",IF(AND(X744="CANDIDATE",V744&gt;='Config_v6'!$B$51,W744="PASS",'Calibrare_Linii'!T16="VALIDATED",AND('Calibrare_Linii'!H16=C744,ISNUMBER('Calibrare_Linii'!J16),'Calibrare_Linii'!J16&lt;='Input_Meci'!G58)),"PASS",IF(X744="CANDIDATE","OOS PENDING","FAIL"))))</x:f>
      </x:c>
      <x:c r="Z744" s="2" t="str">
        <x:f>IF(B744="","",IF(I744&lt;&gt;"READY","",IF(OR(NOT(AND(J744="PASS",'Calibrare_Linii'!U16="VALID")),L744&gt;'Config_v6'!$B$13,W744="WATCH"),5,IF(Y744="PASS",1,MIN(5,MAX('Config_v6'!$B$42,U744)+IF(W744="PENALTY",1,0))))))</x:f>
      </x:c>
      <x:c r="AA744" s="2" t="str">
        <x:f>IF(B744="","",IF(I744&lt;&gt;"READY","NOT RELEASED",IF(Z744=5,"NO BET",IF(OR(AB744&lt;'Config_v6'!$B$16,V744&lt;'Config_v6'!$B$18),"WATCH",IF(Z744=1,"DEFENSIV",IF(Z744=2,"PRUDENT",IF(Z744=3,"MODERAT","RIDICAT")))))))</x:f>
      </x:c>
      <x:c r="AB744" s="10" t="str">
        <x:f>IF(N744="","",MIN(N744,1-S744))</x:f>
      </x:c>
      <x:c r="AC744" s="2" t="str">
        <x:f>IF(AD744&lt;&gt;1,"",COUNTIFS($Z$734:$Z$747,"&lt;"&amp;Z744,$AD$734:$AD$747,1)+COUNTIFS($Z$734:$Z$747,Z744,$AB$734:$AB$747,"&gt;"&amp;AB744,$AD$734:$AD$747,1)+COUNTIFS($Z$734:$Z$747,Z744,$AB$734:$AB$747,AB744,$V$734:$V$747,"&gt;"&amp;V744,$AD$734:$AD$747,1)+COUNTIFS($Z$734:Z744,Z744,$AB$734:AB744,AB744,$V$734:V744,V744,$AD$734:AD744,1))</x:f>
      </x:c>
      <x:c r="AD744" s="2" t="n">
        <x:f>IF(OR(AA744="DEFENSIV",AA744="PRUDENT",AA744="MODERAT",AA744="RIDICAT"),1,0)</x:f>
        <x:v>0</x:v>
      </x:c>
      <x:c r="AE744" s="2" t="str">
        <x:f>IF(AD744&lt;&gt;1,"NO",IF(W744="PASS","YES",IF(W744="OOS PENDING","CONDITIONAL","NO")))</x:f>
        <x:v>NO</x:v>
      </x:c>
      <x:c r="AF744" s="2" t="n">
        <x:f>IF(AND(AD744=1,AC744=1,E744="LIVE"),1,0)</x:f>
        <x:v>0</x:v>
      </x:c>
      <x:c r="AG744" s="2" t="str">
        <x:f>IF(AF744&lt;&gt;1,"",'Dashboard'!P78)</x:f>
      </x:c>
      <x:c r="AH744" s="2" t="str">
        <x:f>IF(B744="","",IF(J744&lt;&gt;"PASS",'Motor_Meciuri'!J58,IF('Calibrare_Linii'!U16&lt;&gt;"VALID","Parametri linie invalizi",IF(L744&gt;'Config_v6'!$B$13,"Dispersie peste limita",IF(W744="WATCH","Failure peste limita",IF(AB744&lt;'Config_v6'!$B$16,"P finala sub prag",IF(V744&lt;'Config_v6'!$B$18,"Confidence sub prag",IF(E744="REPLAY","Exemplu retrospectiv; exclus din Top LIVE",IF(Y744="PASS","DEFENSIV validat",IF(W744="OOS PENDING","Eligibil; calibrare linie in monitorizare","Eligibil"))))))))))</x:f>
      </x:c>
      <x:c r="AI744" s="2" t="str">
        <x:f>IF(B744="","",'Calibrare_Linii'!V16)</x:f>
      </x:c>
      <x:c r="AJ744" s="2" t="str">
        <x:f>IF(B744="","",IF(AND('Calibrare_Linii'!T16="VALIDATED",AND('Calibrare_Linii'!H16=C744,ISNUMBER('Calibrare_Linii'!J16),'Calibrare_Linii'!J16&lt;='Input_Meci'!G58)),"DEFENSIVE VALIDATED",IF(AND('Calibrare_Linii'!S16="VALIDATED",AND('Calibrare_Linii'!H16=C744,ISNUMBER('Calibrare_Linii'!J16),'Calibrare_Linii'!J16&lt;='Input_Meci'!G58)),"TAIL VALIDATED","OOS PENDING")))</x:f>
      </x:c>
      <x:c r="AK744" s="2" t="n">
        <x:f>IF(J744&lt;&gt;"PASS",0,'Motor_Meciuri'!BR58)</x:f>
        <x:v>0</x:v>
      </x:c>
      <x:c r="AL744" s="2" t="n">
        <x:f>IF(J744&lt;&gt;"PASS",0,'Motor_Meciuri'!BS58)</x:f>
        <x:v>0</x:v>
      </x:c>
      <x:c r="AM744" s="2" t="n">
        <x:f>IF(J744&lt;&gt;"PASS",0,'Motor_Meciuri'!BT58)</x:f>
        <x:v>0</x:v>
      </x:c>
      <x:c r="AN744" s="2" t="str">
        <x:f>IF(M744="","",MAX(0,'Motor_Meciuri'!BF58-IF(L744&gt;'Config_v6'!$B$12,'Config_v6'!$B$37,IF(L744&gt;'Config_v6'!$B$11,'Config_v6'!$B$36,0))))</x:f>
      </x:c>
    </x:row>
    <x:row r="745" ht="21" customHeight="1">
      <x:c r="A745" s="2" t="n">
        <x:v>53</x:v>
      </x:c>
      <x:c r="B745" s="2" t="str">
        <x:f>IF('Motor_Meciuri'!A58="","",'Motor_Meciuri'!A58)</x:f>
      </x:c>
      <x:c r="C745" s="2" t="str">
        <x:f>IF(B745="","",'Motor_Meciuri'!B58)</x:f>
      </x:c>
      <x:c r="D745" s="2" t="str">
        <x:f>IF(B745="","",'Motor_Meciuri'!D58)</x:f>
      </x:c>
      <x:c r="E745" s="2" t="str">
        <x:f>IF(B745="","",'Motor_Meciuri'!E58)</x:f>
      </x:c>
      <x:c r="F745" s="2" t="str">
        <x:v>U15,5</x:v>
      </x:c>
      <x:c r="G745" s="2" t="str">
        <x:v>UNDER</x:v>
      </x:c>
      <x:c r="H745" s="2" t="n">
        <x:v>15</x:v>
      </x:c>
      <x:c r="I745" s="2" t="str">
        <x:f>IF(B745="","",'Motor_Meciuri'!H58)</x:f>
      </x:c>
      <x:c r="J745" s="2" t="str">
        <x:f>IF(B745="","",'Motor_Meciuri'!I58)</x:f>
      </x:c>
      <x:c r="K745" s="11" t="str">
        <x:f>IF(J745&lt;&gt;"PASS","",'Motor_Meciuri'!BD58)</x:f>
      </x:c>
      <x:c r="L745" s="11" t="str">
        <x:f>IF(J745&lt;&gt;"PASS","",'Motor_Meciuri'!AU58)</x:f>
      </x:c>
      <x:c r="M745" s="10" t="str">
        <x:f>IF(NOT(AND(J745="PASS",'Calibrare_Linii'!U17="VALID")),"",'Distributie'!AM58)</x:f>
      </x:c>
      <x:c r="N745" s="10" t="str">
        <x:f>IF(M745="","",MAX(0.01,MIN(0.99,0.5+(M745-0.5)*'Motor_Meciuri'!BG58*'Calibrare_Linii'!D17)))</x:f>
      </x:c>
      <x:c r="O745" s="10" t="str">
        <x:f>IF(M745="","",1-M745)</x:f>
      </x:c>
      <x:c r="P745" s="10" t="str">
        <x:f>IF(OR(NOT(AND(J745="PASS",'Calibrare_Linii'!U17="VALID")),AK745=0),""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*('Istoric_Nativ'!$Q$6:$Q$405&gt;H745))/AK745)</x:f>
      </x:c>
      <x:c r="Q745" s="10" t="str">
        <x:f>IF(OR(NOT(AND(J745="PASS",'Calibrare_Linii'!U17="VALID")),AL745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M58)+((('Istoric_Nativ'!$E$6:$E$405='Input_Meci'!E58)+('Istoric_Nativ'!$F$6:$F$405='Input_Meci'!E58))&gt;0)*('Istoric_Nativ'!$D$6:$D$405&gt;='Motor_Meciuri'!BN58))&gt;0)*('Istoric_Nativ'!$Q$6:$Q$405&gt;H745))/AL745)</x:f>
      </x:c>
      <x:c r="R745" s="10" t="str">
        <x:f>IF(OR(NOT(AND(J745="PASS",'Calibrare_Linii'!U17="VALID")),AM745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O58)+((('Istoric_Nativ'!$E$6:$E$405='Input_Meci'!E58)+('Istoric_Nativ'!$F$6:$F$405='Input_Meci'!E58))&gt;0)*('Istoric_Nativ'!$D$6:$D$405&gt;='Motor_Meciuri'!BP58))&gt;0)*('Istoric_Nativ'!$Q$6:$Q$405&gt;H745))/AM745)</x:f>
      </x:c>
      <x:c r="S745" s="10" t="str">
        <x:f>IF(M745="","",MAX(O745,P745,Q745,R745))</x:f>
      </x:c>
      <x:c r="T745" s="11" t="str">
        <x:f>IF(M745="","",MIN(100,S745*100*'Config_v6'!$B$44+MIN(100,L745/'Config_v6'!$B$13*100)*'Config_v6'!$B$45+(100-'Motor_Meciuri'!BF58)*'Config_v6'!$B$46+'Motor_Meciuri'!BH58*100*'Config_v6'!$B$47))</x:f>
      </x:c>
      <x:c r="U745" s="2" t="str">
        <x:f>IF(T745="","",IF(T745&lt;=20,1,IF(T745&lt;=40,2,IF(T745&lt;=60,3,IF(T745&lt;=80,4,5)))))</x:f>
      </x:c>
      <x:c r="V745" s="2" t="str">
        <x:f>IF(M745="","",MAX(0,'Motor_Meciuri'!BF58-IF(W745="OOS PENDING",'Config_v6'!$B$35,0)-IF(L745&gt;'Config_v6'!$B$12,'Config_v6'!$B$37,IF(L745&gt;'Config_v6'!$B$11,'Config_v6'!$B$36,0))))</x:f>
      </x:c>
      <x:c r="W745" s="2" t="str">
        <x:f>IF(B745="","",IF(I745&lt;&gt;"READY","NOT RELEASED",IF(NOT(AND(J745="PASS",'Calibrare_Linii'!U17="VALID")),"INVALID",IF(NOT(AND('Calibrare_Linii'!S17="VALIDATED",AND('Calibrare_Linii'!H17=C745,ISNUMBER('Calibrare_Linii'!J17),'Calibrare_Linii'!J17&lt;='Input_Meci'!G58))),"OOS PENDING",IF(S745&lt;='Calibrare_Linii'!E17,"PASS",IF(S745&lt;='Calibrare_Linii'!F17,"PENALTY","WATCH"))))))</x:f>
      </x:c>
      <x:c r="X745" s="2" t="str">
        <x:f>IF(M745="","",IF(AND(AND(J745="PASS",'Calibrare_Linii'!U17="VALID"),'Motor_Meciuri'!K58=12,'Motor_Meciuri'!L58=12,'Motor_Meciuri'!M58="NO",'Motor_Meciuri'!BL58='Motor_Meciuri'!C58,AB745&gt;='Config_v6'!$B$50,AN745&gt;='Config_v6'!$B$51,T745&lt;='Config_v6'!$B$52,L745&lt;='Config_v6'!$B$53,ISNUMBER('Calibrare_Linii'!E17),S745&lt;='Calibrare_Linii'!E17,SUM(AK745:AM745)&gt;0),"CANDIDATE","NO"))</x:f>
      </x:c>
      <x:c r="Y745" s="2" t="str">
        <x:f>IF(B745="","",IF(I745&lt;&gt;"READY","NOT RELEASED",IF(AND(X745="CANDIDATE",V745&gt;='Config_v6'!$B$51,W745="PASS",'Calibrare_Linii'!T17="VALIDATED",AND('Calibrare_Linii'!H17=C745,ISNUMBER('Calibrare_Linii'!J17),'Calibrare_Linii'!J17&lt;='Input_Meci'!G58)),"PASS",IF(X745="CANDIDATE","OOS PENDING","FAIL"))))</x:f>
      </x:c>
      <x:c r="Z745" s="2" t="str">
        <x:f>IF(B745="","",IF(I745&lt;&gt;"READY","",IF(OR(NOT(AND(J745="PASS",'Calibrare_Linii'!U17="VALID")),L745&gt;'Config_v6'!$B$13,W745="WATCH"),5,IF(Y745="PASS",1,MIN(5,MAX('Config_v6'!$B$42,U745)+IF(W745="PENALTY",1,0))))))</x:f>
      </x:c>
      <x:c r="AA745" s="2" t="str">
        <x:f>IF(B745="","",IF(I745&lt;&gt;"READY","NOT RELEASED",IF(Z745=5,"NO BET",IF(OR(AB745&lt;'Config_v6'!$B$16,V745&lt;'Config_v6'!$B$18),"WATCH",IF(Z745=1,"DEFENSIV",IF(Z745=2,"PRUDENT",IF(Z745=3,"MODERAT","RIDICAT")))))))</x:f>
      </x:c>
      <x:c r="AB745" s="10" t="str">
        <x:f>IF(N745="","",MIN(N745,1-S745))</x:f>
      </x:c>
      <x:c r="AC745" s="2" t="str">
        <x:f>IF(AD745&lt;&gt;1,"",COUNTIFS($Z$734:$Z$747,"&lt;"&amp;Z745,$AD$734:$AD$747,1)+COUNTIFS($Z$734:$Z$747,Z745,$AB$734:$AB$747,"&gt;"&amp;AB745,$AD$734:$AD$747,1)+COUNTIFS($Z$734:$Z$747,Z745,$AB$734:$AB$747,AB745,$V$734:$V$747,"&gt;"&amp;V745,$AD$734:$AD$747,1)+COUNTIFS($Z$734:Z745,Z745,$AB$734:AB745,AB745,$V$734:V745,V745,$AD$734:AD745,1))</x:f>
      </x:c>
      <x:c r="AD745" s="2" t="n">
        <x:f>IF(OR(AA745="DEFENSIV",AA745="PRUDENT",AA745="MODERAT",AA745="RIDICAT"),1,0)</x:f>
        <x:v>0</x:v>
      </x:c>
      <x:c r="AE745" s="2" t="str">
        <x:f>IF(AD745&lt;&gt;1,"NO",IF(W745="PASS","YES",IF(W745="OOS PENDING","CONDITIONAL","NO")))</x:f>
        <x:v>NO</x:v>
      </x:c>
      <x:c r="AF745" s="2" t="n">
        <x:f>IF(AND(AD745=1,AC745=1,E745="LIVE"),1,0)</x:f>
        <x:v>0</x:v>
      </x:c>
      <x:c r="AG745" s="2" t="str">
        <x:f>IF(AF745&lt;&gt;1,"",'Dashboard'!P78)</x:f>
      </x:c>
      <x:c r="AH745" s="2" t="str">
        <x:f>IF(B745="","",IF(J745&lt;&gt;"PASS",'Motor_Meciuri'!J58,IF('Calibrare_Linii'!U17&lt;&gt;"VALID","Parametri linie invalizi",IF(L745&gt;'Config_v6'!$B$13,"Dispersie peste limita",IF(W745="WATCH","Failure peste limita",IF(AB745&lt;'Config_v6'!$B$16,"P finala sub prag",IF(V745&lt;'Config_v6'!$B$18,"Confidence sub prag",IF(E745="REPLAY","Exemplu retrospectiv; exclus din Top LIVE",IF(Y745="PASS","DEFENSIV validat",IF(W745="OOS PENDING","Eligibil; calibrare linie in monitorizare","Eligibil"))))))))))</x:f>
      </x:c>
      <x:c r="AI745" s="2" t="str">
        <x:f>IF(B745="","",'Calibrare_Linii'!V17)</x:f>
      </x:c>
      <x:c r="AJ745" s="2" t="str">
        <x:f>IF(B745="","",IF(AND('Calibrare_Linii'!T17="VALIDATED",AND('Calibrare_Linii'!H17=C745,ISNUMBER('Calibrare_Linii'!J17),'Calibrare_Linii'!J17&lt;='Input_Meci'!G58)),"DEFENSIVE VALIDATED",IF(AND('Calibrare_Linii'!S17="VALIDATED",AND('Calibrare_Linii'!H17=C745,ISNUMBER('Calibrare_Linii'!J17),'Calibrare_Linii'!J17&lt;='Input_Meci'!G58)),"TAIL VALIDATED","OOS PENDING")))</x:f>
      </x:c>
      <x:c r="AK745" s="2" t="n">
        <x:f>IF(J745&lt;&gt;"PASS",0,'Motor_Meciuri'!BR58)</x:f>
        <x:v>0</x:v>
      </x:c>
      <x:c r="AL745" s="2" t="n">
        <x:f>IF(J745&lt;&gt;"PASS",0,'Motor_Meciuri'!BS58)</x:f>
        <x:v>0</x:v>
      </x:c>
      <x:c r="AM745" s="2" t="n">
        <x:f>IF(J745&lt;&gt;"PASS",0,'Motor_Meciuri'!BT58)</x:f>
        <x:v>0</x:v>
      </x:c>
      <x:c r="AN745" s="2" t="str">
        <x:f>IF(M745="","",MAX(0,'Motor_Meciuri'!BF58-IF(L745&gt;'Config_v6'!$B$12,'Config_v6'!$B$37,IF(L745&gt;'Config_v6'!$B$11,'Config_v6'!$B$36,0))))</x:f>
      </x:c>
    </x:row>
    <x:row r="746" ht="21" customHeight="1">
      <x:c r="A746" s="2" t="n">
        <x:v>53</x:v>
      </x:c>
      <x:c r="B746" s="2" t="str">
        <x:f>IF('Motor_Meciuri'!A58="","",'Motor_Meciuri'!A58)</x:f>
      </x:c>
      <x:c r="C746" s="2" t="str">
        <x:f>IF(B746="","",'Motor_Meciuri'!B58)</x:f>
      </x:c>
      <x:c r="D746" s="2" t="str">
        <x:f>IF(B746="","",'Motor_Meciuri'!D58)</x:f>
      </x:c>
      <x:c r="E746" s="2" t="str">
        <x:f>IF(B746="","",'Motor_Meciuri'!E58)</x:f>
      </x:c>
      <x:c r="F746" s="2" t="str">
        <x:v>U16,5</x:v>
      </x:c>
      <x:c r="G746" s="2" t="str">
        <x:v>UNDER</x:v>
      </x:c>
      <x:c r="H746" s="2" t="n">
        <x:v>16</x:v>
      </x:c>
      <x:c r="I746" s="2" t="str">
        <x:f>IF(B746="","",'Motor_Meciuri'!H58)</x:f>
      </x:c>
      <x:c r="J746" s="2" t="str">
        <x:f>IF(B746="","",'Motor_Meciuri'!I58)</x:f>
      </x:c>
      <x:c r="K746" s="11" t="str">
        <x:f>IF(J746&lt;&gt;"PASS","",'Motor_Meciuri'!BD58)</x:f>
      </x:c>
      <x:c r="L746" s="11" t="str">
        <x:f>IF(J746&lt;&gt;"PASS","",'Motor_Meciuri'!AU58)</x:f>
      </x:c>
      <x:c r="M746" s="10" t="str">
        <x:f>IF(NOT(AND(J746="PASS",'Calibrare_Linii'!U18="VALID")),"",'Distributie'!AN58)</x:f>
      </x:c>
      <x:c r="N746" s="10" t="str">
        <x:f>IF(M746="","",MAX(0.01,MIN(0.99,0.5+(M746-0.5)*'Motor_Meciuri'!BG58*'Calibrare_Linii'!D18)))</x:f>
      </x:c>
      <x:c r="O746" s="10" t="str">
        <x:f>IF(M746="","",1-M746)</x:f>
      </x:c>
      <x:c r="P746" s="10" t="str">
        <x:f>IF(OR(NOT(AND(J746="PASS",'Calibrare_Linii'!U18="VALID")),AK746=0),""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*('Istoric_Nativ'!$Q$6:$Q$405&gt;H746))/AK746)</x:f>
      </x:c>
      <x:c r="Q746" s="10" t="str">
        <x:f>IF(OR(NOT(AND(J746="PASS",'Calibrare_Linii'!U18="VALID")),AL746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M58)+((('Istoric_Nativ'!$E$6:$E$405='Input_Meci'!E58)+('Istoric_Nativ'!$F$6:$F$405='Input_Meci'!E58))&gt;0)*('Istoric_Nativ'!$D$6:$D$405&gt;='Motor_Meciuri'!BN58))&gt;0)*('Istoric_Nativ'!$Q$6:$Q$405&gt;H746))/AL746)</x:f>
      </x:c>
      <x:c r="R746" s="10" t="str">
        <x:f>IF(OR(NOT(AND(J746="PASS",'Calibrare_Linii'!U18="VALID")),AM746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O58)+((('Istoric_Nativ'!$E$6:$E$405='Input_Meci'!E58)+('Istoric_Nativ'!$F$6:$F$405='Input_Meci'!E58))&gt;0)*('Istoric_Nativ'!$D$6:$D$405&gt;='Motor_Meciuri'!BP58))&gt;0)*('Istoric_Nativ'!$Q$6:$Q$405&gt;H746))/AM746)</x:f>
      </x:c>
      <x:c r="S746" s="10" t="str">
        <x:f>IF(M746="","",MAX(O746,P746,Q746,R746))</x:f>
      </x:c>
      <x:c r="T746" s="11" t="str">
        <x:f>IF(M746="","",MIN(100,S746*100*'Config_v6'!$B$44+MIN(100,L746/'Config_v6'!$B$13*100)*'Config_v6'!$B$45+(100-'Motor_Meciuri'!BF58)*'Config_v6'!$B$46+'Motor_Meciuri'!BH58*100*'Config_v6'!$B$47))</x:f>
      </x:c>
      <x:c r="U746" s="2" t="str">
        <x:f>IF(T746="","",IF(T746&lt;=20,1,IF(T746&lt;=40,2,IF(T746&lt;=60,3,IF(T746&lt;=80,4,5)))))</x:f>
      </x:c>
      <x:c r="V746" s="2" t="str">
        <x:f>IF(M746="","",MAX(0,'Motor_Meciuri'!BF58-IF(W746="OOS PENDING",'Config_v6'!$B$35,0)-IF(L746&gt;'Config_v6'!$B$12,'Config_v6'!$B$37,IF(L746&gt;'Config_v6'!$B$11,'Config_v6'!$B$36,0))))</x:f>
      </x:c>
      <x:c r="W746" s="2" t="str">
        <x:f>IF(B746="","",IF(I746&lt;&gt;"READY","NOT RELEASED",IF(NOT(AND(J746="PASS",'Calibrare_Linii'!U18="VALID")),"INVALID",IF(NOT(AND('Calibrare_Linii'!S18="VALIDATED",AND('Calibrare_Linii'!H18=C746,ISNUMBER('Calibrare_Linii'!J18),'Calibrare_Linii'!J18&lt;='Input_Meci'!G58))),"OOS PENDING",IF(S746&lt;='Calibrare_Linii'!E18,"PASS",IF(S746&lt;='Calibrare_Linii'!F18,"PENALTY","WATCH"))))))</x:f>
      </x:c>
      <x:c r="X746" s="2" t="str">
        <x:f>IF(M746="","",IF(AND(AND(J746="PASS",'Calibrare_Linii'!U18="VALID"),'Motor_Meciuri'!K58=12,'Motor_Meciuri'!L58=12,'Motor_Meciuri'!M58="NO",'Motor_Meciuri'!BL58='Motor_Meciuri'!C58,AB746&gt;='Config_v6'!$B$50,AN746&gt;='Config_v6'!$B$51,T746&lt;='Config_v6'!$B$52,L746&lt;='Config_v6'!$B$53,ISNUMBER('Calibrare_Linii'!E18),S746&lt;='Calibrare_Linii'!E18,SUM(AK746:AM746)&gt;0),"CANDIDATE","NO"))</x:f>
      </x:c>
      <x:c r="Y746" s="2" t="str">
        <x:f>IF(B746="","",IF(I746&lt;&gt;"READY","NOT RELEASED",IF(AND(X746="CANDIDATE",V746&gt;='Config_v6'!$B$51,W746="PASS",'Calibrare_Linii'!T18="VALIDATED",AND('Calibrare_Linii'!H18=C746,ISNUMBER('Calibrare_Linii'!J18),'Calibrare_Linii'!J18&lt;='Input_Meci'!G58)),"PASS",IF(X746="CANDIDATE","OOS PENDING","FAIL"))))</x:f>
      </x:c>
      <x:c r="Z746" s="2" t="str">
        <x:f>IF(B746="","",IF(I746&lt;&gt;"READY","",IF(OR(NOT(AND(J746="PASS",'Calibrare_Linii'!U18="VALID")),L746&gt;'Config_v6'!$B$13,W746="WATCH"),5,IF(Y746="PASS",1,MIN(5,MAX('Config_v6'!$B$42,U746)+IF(W746="PENALTY",1,0))))))</x:f>
      </x:c>
      <x:c r="AA746" s="2" t="str">
        <x:f>IF(B746="","",IF(I746&lt;&gt;"READY","NOT RELEASED",IF(Z746=5,"NO BET",IF(OR(AB746&lt;'Config_v6'!$B$16,V746&lt;'Config_v6'!$B$18),"WATCH",IF(Z746=1,"DEFENSIV",IF(Z746=2,"PRUDENT",IF(Z746=3,"MODERAT","RIDICAT")))))))</x:f>
      </x:c>
      <x:c r="AB746" s="10" t="str">
        <x:f>IF(N746="","",MIN(N746,1-S746))</x:f>
      </x:c>
      <x:c r="AC746" s="2" t="str">
        <x:f>IF(AD746&lt;&gt;1,"",COUNTIFS($Z$734:$Z$747,"&lt;"&amp;Z746,$AD$734:$AD$747,1)+COUNTIFS($Z$734:$Z$747,Z746,$AB$734:$AB$747,"&gt;"&amp;AB746,$AD$734:$AD$747,1)+COUNTIFS($Z$734:$Z$747,Z746,$AB$734:$AB$747,AB746,$V$734:$V$747,"&gt;"&amp;V746,$AD$734:$AD$747,1)+COUNTIFS($Z$734:Z746,Z746,$AB$734:AB746,AB746,$V$734:V746,V746,$AD$734:AD746,1))</x:f>
      </x:c>
      <x:c r="AD746" s="2" t="n">
        <x:f>IF(OR(AA746="DEFENSIV",AA746="PRUDENT",AA746="MODERAT",AA746="RIDICAT"),1,0)</x:f>
        <x:v>0</x:v>
      </x:c>
      <x:c r="AE746" s="2" t="str">
        <x:f>IF(AD746&lt;&gt;1,"NO",IF(W746="PASS","YES",IF(W746="OOS PENDING","CONDITIONAL","NO")))</x:f>
        <x:v>NO</x:v>
      </x:c>
      <x:c r="AF746" s="2" t="n">
        <x:f>IF(AND(AD746=1,AC746=1,E746="LIVE"),1,0)</x:f>
        <x:v>0</x:v>
      </x:c>
      <x:c r="AG746" s="2" t="str">
        <x:f>IF(AF746&lt;&gt;1,"",'Dashboard'!P78)</x:f>
      </x:c>
      <x:c r="AH746" s="2" t="str">
        <x:f>IF(B746="","",IF(J746&lt;&gt;"PASS",'Motor_Meciuri'!J58,IF('Calibrare_Linii'!U18&lt;&gt;"VALID","Parametri linie invalizi",IF(L746&gt;'Config_v6'!$B$13,"Dispersie peste limita",IF(W746="WATCH","Failure peste limita",IF(AB746&lt;'Config_v6'!$B$16,"P finala sub prag",IF(V746&lt;'Config_v6'!$B$18,"Confidence sub prag",IF(E746="REPLAY","Exemplu retrospectiv; exclus din Top LIVE",IF(Y746="PASS","DEFENSIV validat",IF(W746="OOS PENDING","Eligibil; calibrare linie in monitorizare","Eligibil"))))))))))</x:f>
      </x:c>
      <x:c r="AI746" s="2" t="str">
        <x:f>IF(B746="","",'Calibrare_Linii'!V18)</x:f>
      </x:c>
      <x:c r="AJ746" s="2" t="str">
        <x:f>IF(B746="","",IF(AND('Calibrare_Linii'!T18="VALIDATED",AND('Calibrare_Linii'!H18=C746,ISNUMBER('Calibrare_Linii'!J18),'Calibrare_Linii'!J18&lt;='Input_Meci'!G58)),"DEFENSIVE VALIDATED",IF(AND('Calibrare_Linii'!S18="VALIDATED",AND('Calibrare_Linii'!H18=C746,ISNUMBER('Calibrare_Linii'!J18),'Calibrare_Linii'!J18&lt;='Input_Meci'!G58)),"TAIL VALIDATED","OOS PENDING")))</x:f>
      </x:c>
      <x:c r="AK746" s="2" t="n">
        <x:f>IF(J746&lt;&gt;"PASS",0,'Motor_Meciuri'!BR58)</x:f>
        <x:v>0</x:v>
      </x:c>
      <x:c r="AL746" s="2" t="n">
        <x:f>IF(J746&lt;&gt;"PASS",0,'Motor_Meciuri'!BS58)</x:f>
        <x:v>0</x:v>
      </x:c>
      <x:c r="AM746" s="2" t="n">
        <x:f>IF(J746&lt;&gt;"PASS",0,'Motor_Meciuri'!BT58)</x:f>
        <x:v>0</x:v>
      </x:c>
      <x:c r="AN746" s="2" t="str">
        <x:f>IF(M746="","",MAX(0,'Motor_Meciuri'!BF58-IF(L746&gt;'Config_v6'!$B$12,'Config_v6'!$B$37,IF(L746&gt;'Config_v6'!$B$11,'Config_v6'!$B$36,0))))</x:f>
      </x:c>
    </x:row>
    <x:row r="747" ht="21" customHeight="1">
      <x:c r="A747" s="2" t="n">
        <x:v>53</x:v>
      </x:c>
      <x:c r="B747" s="2" t="str">
        <x:f>IF('Motor_Meciuri'!A58="","",'Motor_Meciuri'!A58)</x:f>
      </x:c>
      <x:c r="C747" s="2" t="str">
        <x:f>IF(B747="","",'Motor_Meciuri'!B58)</x:f>
      </x:c>
      <x:c r="D747" s="2" t="str">
        <x:f>IF(B747="","",'Motor_Meciuri'!D58)</x:f>
      </x:c>
      <x:c r="E747" s="2" t="str">
        <x:f>IF(B747="","",'Motor_Meciuri'!E58)</x:f>
      </x:c>
      <x:c r="F747" s="2" t="str">
        <x:v>U17,5</x:v>
      </x:c>
      <x:c r="G747" s="2" t="str">
        <x:v>UNDER</x:v>
      </x:c>
      <x:c r="H747" s="2" t="n">
        <x:v>17</x:v>
      </x:c>
      <x:c r="I747" s="2" t="str">
        <x:f>IF(B747="","",'Motor_Meciuri'!H58)</x:f>
      </x:c>
      <x:c r="J747" s="2" t="str">
        <x:f>IF(B747="","",'Motor_Meciuri'!I58)</x:f>
      </x:c>
      <x:c r="K747" s="11" t="str">
        <x:f>IF(J747&lt;&gt;"PASS","",'Motor_Meciuri'!BD58)</x:f>
      </x:c>
      <x:c r="L747" s="11" t="str">
        <x:f>IF(J747&lt;&gt;"PASS","",'Motor_Meciuri'!AU58)</x:f>
      </x:c>
      <x:c r="M747" s="10" t="str">
        <x:f>IF(NOT(AND(J747="PASS",'Calibrare_Linii'!U19="VALID")),"",'Distributie'!AO58)</x:f>
      </x:c>
      <x:c r="N747" s="10" t="str">
        <x:f>IF(M747="","",MAX(0.01,MIN(0.99,0.5+(M747-0.5)*'Motor_Meciuri'!BG58*'Calibrare_Linii'!D19)))</x:f>
      </x:c>
      <x:c r="O747" s="10" t="str">
        <x:f>IF(M747="","",1-M747)</x:f>
      </x:c>
      <x:c r="P747" s="10" t="str">
        <x:f>IF(OR(NOT(AND(J747="PASS",'Calibrare_Linii'!U19="VALID")),AK747=0),""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*('Istoric_Nativ'!$Q$6:$Q$405&gt;H747))/AK747)</x:f>
      </x:c>
      <x:c r="Q747" s="10" t="str">
        <x:f>IF(OR(NOT(AND(J747="PASS",'Calibrare_Linii'!U19="VALID")),AL747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M58)+((('Istoric_Nativ'!$E$6:$E$405='Input_Meci'!E58)+('Istoric_Nativ'!$F$6:$F$405='Input_Meci'!E58))&gt;0)*('Istoric_Nativ'!$D$6:$D$405&gt;='Motor_Meciuri'!BN58))&gt;0)*('Istoric_Nativ'!$Q$6:$Q$405&gt;H747))/AL747)</x:f>
      </x:c>
      <x:c r="R747" s="10" t="str">
        <x:f>IF(OR(NOT(AND(J747="PASS",'Calibrare_Linii'!U19="VALID")),AM747=0),""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'Motor_Meciuri'!BO58)+((('Istoric_Nativ'!$E$6:$E$405='Input_Meci'!E58)+('Istoric_Nativ'!$F$6:$F$405='Input_Meci'!E58))&gt;0)*('Istoric_Nativ'!$D$6:$D$405&gt;='Motor_Meciuri'!BP58))&gt;0)*('Istoric_Nativ'!$Q$6:$Q$405&gt;H747))/AM747)</x:f>
      </x:c>
      <x:c r="S747" s="10" t="str">
        <x:f>IF(M747="","",MAX(O747,P747,Q747,R747))</x:f>
      </x:c>
      <x:c r="T747" s="11" t="str">
        <x:f>IF(M747="","",MIN(100,S747*100*'Config_v6'!$B$44+MIN(100,L747/'Config_v6'!$B$13*100)*'Config_v6'!$B$45+(100-'Motor_Meciuri'!BF58)*'Config_v6'!$B$46+'Motor_Meciuri'!BH58*100*'Config_v6'!$B$47))</x:f>
      </x:c>
      <x:c r="U747" s="2" t="str">
        <x:f>IF(T747="","",IF(T747&lt;=20,1,IF(T747&lt;=40,2,IF(T747&lt;=60,3,IF(T747&lt;=80,4,5)))))</x:f>
      </x:c>
      <x:c r="V747" s="2" t="str">
        <x:f>IF(M747="","",MAX(0,'Motor_Meciuri'!BF58-IF(W747="OOS PENDING",'Config_v6'!$B$35,0)-IF(L747&gt;'Config_v6'!$B$12,'Config_v6'!$B$37,IF(L747&gt;'Config_v6'!$B$11,'Config_v6'!$B$36,0))))</x:f>
      </x:c>
      <x:c r="W747" s="2" t="str">
        <x:f>IF(B747="","",IF(I747&lt;&gt;"READY","NOT RELEASED",IF(NOT(AND(J747="PASS",'Calibrare_Linii'!U19="VALID")),"INVALID",IF(NOT(AND('Calibrare_Linii'!S19="VALIDATED",AND('Calibrare_Linii'!H19=C747,ISNUMBER('Calibrare_Linii'!J19),'Calibrare_Linii'!J19&lt;='Input_Meci'!G58))),"OOS PENDING",IF(S747&lt;='Calibrare_Linii'!E19,"PASS",IF(S747&lt;='Calibrare_Linii'!F19,"PENALTY","WATCH"))))))</x:f>
      </x:c>
      <x:c r="X747" s="2" t="str">
        <x:f>IF(M747="","",IF(AND(AND(J747="PASS",'Calibrare_Linii'!U19="VALID"),'Motor_Meciuri'!K58=12,'Motor_Meciuri'!L58=12,'Motor_Meciuri'!M58="NO",'Motor_Meciuri'!BL58='Motor_Meciuri'!C58,AB747&gt;='Config_v6'!$B$50,AN747&gt;='Config_v6'!$B$51,T747&lt;='Config_v6'!$B$52,L747&lt;='Config_v6'!$B$53,ISNUMBER('Calibrare_Linii'!E19),S747&lt;='Calibrare_Linii'!E19,SUM(AK747:AM747)&gt;0),"CANDIDATE","NO"))</x:f>
      </x:c>
      <x:c r="Y747" s="2" t="str">
        <x:f>IF(B747="","",IF(I747&lt;&gt;"READY","NOT RELEASED",IF(AND(X747="CANDIDATE",V747&gt;='Config_v6'!$B$51,W747="PASS",'Calibrare_Linii'!T19="VALIDATED",AND('Calibrare_Linii'!H19=C747,ISNUMBER('Calibrare_Linii'!J19),'Calibrare_Linii'!J19&lt;='Input_Meci'!G58)),"PASS",IF(X747="CANDIDATE","OOS PENDING","FAIL"))))</x:f>
      </x:c>
      <x:c r="Z747" s="2" t="str">
        <x:f>IF(B747="","",IF(I747&lt;&gt;"READY","",IF(OR(NOT(AND(J747="PASS",'Calibrare_Linii'!U19="VALID")),L747&gt;'Config_v6'!$B$13,W747="WATCH"),5,IF(Y747="PASS",1,MIN(5,MAX('Config_v6'!$B$42,U747)+IF(W747="PENALTY",1,0))))))</x:f>
      </x:c>
      <x:c r="AA747" s="2" t="str">
        <x:f>IF(B747="","",IF(I747&lt;&gt;"READY","NOT RELEASED",IF(Z747=5,"NO BET",IF(OR(AB747&lt;'Config_v6'!$B$16,V747&lt;'Config_v6'!$B$18),"WATCH",IF(Z747=1,"DEFENSIV",IF(Z747=2,"PRUDENT",IF(Z747=3,"MODERAT","RIDICAT")))))))</x:f>
      </x:c>
      <x:c r="AB747" s="10" t="str">
        <x:f>IF(N747="","",MIN(N747,1-S747))</x:f>
      </x:c>
      <x:c r="AC747" s="2" t="str">
        <x:f>IF(AD747&lt;&gt;1,"",COUNTIFS($Z$734:$Z$747,"&lt;"&amp;Z747,$AD$734:$AD$747,1)+COUNTIFS($Z$734:$Z$747,Z747,$AB$734:$AB$747,"&gt;"&amp;AB747,$AD$734:$AD$747,1)+COUNTIFS($Z$734:$Z$747,Z747,$AB$734:$AB$747,AB747,$V$734:$V$747,"&gt;"&amp;V747,$AD$734:$AD$747,1)+COUNTIFS($Z$734:Z747,Z747,$AB$734:AB747,AB747,$V$734:V747,V747,$AD$734:AD747,1))</x:f>
      </x:c>
      <x:c r="AD747" s="2" t="n">
        <x:f>IF(OR(AA747="DEFENSIV",AA747="PRUDENT",AA747="MODERAT",AA747="RIDICAT"),1,0)</x:f>
        <x:v>0</x:v>
      </x:c>
      <x:c r="AE747" s="2" t="str">
        <x:f>IF(AD747&lt;&gt;1,"NO",IF(W747="PASS","YES",IF(W747="OOS PENDING","CONDITIONAL","NO")))</x:f>
        <x:v>NO</x:v>
      </x:c>
      <x:c r="AF747" s="2" t="n">
        <x:f>IF(AND(AD747=1,AC747=1,E747="LIVE"),1,0)</x:f>
        <x:v>0</x:v>
      </x:c>
      <x:c r="AG747" s="2" t="str">
        <x:f>IF(AF747&lt;&gt;1,"",'Dashboard'!P78)</x:f>
      </x:c>
      <x:c r="AH747" s="2" t="str">
        <x:f>IF(B747="","",IF(J747&lt;&gt;"PASS",'Motor_Meciuri'!J58,IF('Calibrare_Linii'!U19&lt;&gt;"VALID","Parametri linie invalizi",IF(L747&gt;'Config_v6'!$B$13,"Dispersie peste limita",IF(W747="WATCH","Failure peste limita",IF(AB747&lt;'Config_v6'!$B$16,"P finala sub prag",IF(V747&lt;'Config_v6'!$B$18,"Confidence sub prag",IF(E747="REPLAY","Exemplu retrospectiv; exclus din Top LIVE",IF(Y747="PASS","DEFENSIV validat",IF(W747="OOS PENDING","Eligibil; calibrare linie in monitorizare","Eligibil"))))))))))</x:f>
      </x:c>
      <x:c r="AI747" s="2" t="str">
        <x:f>IF(B747="","",'Calibrare_Linii'!V19)</x:f>
      </x:c>
      <x:c r="AJ747" s="2" t="str">
        <x:f>IF(B747="","",IF(AND('Calibrare_Linii'!T19="VALIDATED",AND('Calibrare_Linii'!H19=C747,ISNUMBER('Calibrare_Linii'!J19),'Calibrare_Linii'!J19&lt;='Input_Meci'!G58)),"DEFENSIVE VALIDATED",IF(AND('Calibrare_Linii'!S19="VALIDATED",AND('Calibrare_Linii'!H19=C747,ISNUMBER('Calibrare_Linii'!J19),'Calibrare_Linii'!J19&lt;='Input_Meci'!G58)),"TAIL VALIDATED","OOS PENDING")))</x:f>
      </x:c>
      <x:c r="AK747" s="2" t="n">
        <x:f>IF(J747&lt;&gt;"PASS",0,'Motor_Meciuri'!BR58)</x:f>
        <x:v>0</x:v>
      </x:c>
      <x:c r="AL747" s="2" t="n">
        <x:f>IF(J747&lt;&gt;"PASS",0,'Motor_Meciuri'!BS58)</x:f>
        <x:v>0</x:v>
      </x:c>
      <x:c r="AM747" s="2" t="n">
        <x:f>IF(J747&lt;&gt;"PASS",0,'Motor_Meciuri'!BT58)</x:f>
        <x:v>0</x:v>
      </x:c>
      <x:c r="AN747" s="2" t="str">
        <x:f>IF(M747="","",MAX(0,'Motor_Meciuri'!BF58-IF(L747&gt;'Config_v6'!$B$12,'Config_v6'!$B$37,IF(L747&gt;'Config_v6'!$B$11,'Config_v6'!$B$36,0))))</x:f>
      </x:c>
    </x:row>
    <x:row r="748" ht="21" customHeight="1">
      <x:c r="A748" s="2" t="n">
        <x:v>54</x:v>
      </x:c>
      <x:c r="B748" s="2" t="str">
        <x:f>IF('Motor_Meciuri'!A59="","",'Motor_Meciuri'!A59)</x:f>
      </x:c>
      <x:c r="C748" s="2" t="str">
        <x:f>IF(B748="","",'Motor_Meciuri'!B59)</x:f>
      </x:c>
      <x:c r="D748" s="2" t="str">
        <x:f>IF(B748="","",'Motor_Meciuri'!D59)</x:f>
      </x:c>
      <x:c r="E748" s="2" t="str">
        <x:f>IF(B748="","",'Motor_Meciuri'!E59)</x:f>
      </x:c>
      <x:c r="F748" s="2" t="str">
        <x:v>O3,5</x:v>
      </x:c>
      <x:c r="G748" s="2" t="str">
        <x:v>OVER</x:v>
      </x:c>
      <x:c r="H748" s="2" t="n">
        <x:v>3</x:v>
      </x:c>
      <x:c r="I748" s="2" t="str">
        <x:f>IF(B748="","",'Motor_Meciuri'!H59)</x:f>
      </x:c>
      <x:c r="J748" s="2" t="str">
        <x:f>IF(B748="","",'Motor_Meciuri'!I59)</x:f>
      </x:c>
      <x:c r="K748" s="11" t="str">
        <x:f>IF(J748&lt;&gt;"PASS","",'Motor_Meciuri'!BD59)</x:f>
      </x:c>
      <x:c r="L748" s="11" t="str">
        <x:f>IF(J748&lt;&gt;"PASS","",'Motor_Meciuri'!AU59)</x:f>
      </x:c>
      <x:c r="M748" s="10" t="str">
        <x:f>IF(NOT(AND(J748="PASS",'Calibrare_Linii'!U6="VALID")),"",1-'Distributie'!AA59)</x:f>
      </x:c>
      <x:c r="N748" s="10" t="str">
        <x:f>IF(M748="","",MAX(0.01,MIN(0.99,0.5+(M748-0.5)*'Motor_Meciuri'!BG59*'Calibrare_Linii'!D6)))</x:f>
      </x:c>
      <x:c r="O748" s="10" t="str">
        <x:f>IF(M748="","",1-M748)</x:f>
      </x:c>
      <x:c r="P748" s="10" t="str">
        <x:f>IF(OR(NOT(AND(J748="PASS",'Calibrare_Linii'!U6="VALID")),AK748=0),""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*('Istoric_Nativ'!$Q$6:$Q$405&lt;=H748))/AK748)</x:f>
      </x:c>
      <x:c r="Q748" s="10" t="str">
        <x:f>IF(OR(NOT(AND(J748="PASS",'Calibrare_Linii'!U6="VALID")),AL748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M59)+((('Istoric_Nativ'!$E$6:$E$405='Input_Meci'!E59)+('Istoric_Nativ'!$F$6:$F$405='Input_Meci'!E59))&gt;0)*('Istoric_Nativ'!$D$6:$D$405&gt;='Motor_Meciuri'!BN59))&gt;0)*('Istoric_Nativ'!$Q$6:$Q$405&lt;=H748))/AL748)</x:f>
      </x:c>
      <x:c r="R748" s="10" t="str">
        <x:f>IF(OR(NOT(AND(J748="PASS",'Calibrare_Linii'!U6="VALID")),AM748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O59)+((('Istoric_Nativ'!$E$6:$E$405='Input_Meci'!E59)+('Istoric_Nativ'!$F$6:$F$405='Input_Meci'!E59))&gt;0)*('Istoric_Nativ'!$D$6:$D$405&gt;='Motor_Meciuri'!BP59))&gt;0)*('Istoric_Nativ'!$Q$6:$Q$405&lt;=H748))/AM748)</x:f>
      </x:c>
      <x:c r="S748" s="10" t="str">
        <x:f>IF(M748="","",MAX(O748,P748,Q748,R748))</x:f>
      </x:c>
      <x:c r="T748" s="11" t="str">
        <x:f>IF(M748="","",MIN(100,S748*100*'Config_v6'!$B$44+MIN(100,L748/'Config_v6'!$B$13*100)*'Config_v6'!$B$45+(100-'Motor_Meciuri'!BF59)*'Config_v6'!$B$46+'Motor_Meciuri'!BH59*100*'Config_v6'!$B$47))</x:f>
      </x:c>
      <x:c r="U748" s="2" t="str">
        <x:f>IF(T748="","",IF(T748&lt;=20,1,IF(T748&lt;=40,2,IF(T748&lt;=60,3,IF(T748&lt;=80,4,5)))))</x:f>
      </x:c>
      <x:c r="V748" s="2" t="str">
        <x:f>IF(M748="","",MAX(0,'Motor_Meciuri'!BF59-IF(W748="OOS PENDING",'Config_v6'!$B$35,0)-IF(L748&gt;'Config_v6'!$B$12,'Config_v6'!$B$37,IF(L748&gt;'Config_v6'!$B$11,'Config_v6'!$B$36,0))))</x:f>
      </x:c>
      <x:c r="W748" s="2" t="str">
        <x:f>IF(B748="","",IF(I748&lt;&gt;"READY","NOT RELEASED",IF(NOT(AND(J748="PASS",'Calibrare_Linii'!U6="VALID")),"INVALID",IF(NOT(TRUE),"OOS PENDING",IF(S748&lt;=IF(AND('Calibrare_Linii'!S6="VALIDATED",AND('Calibrare_Linii'!H6=C748,ISNUMBER('Calibrare_Linii'!J6),'Calibrare_Linii'!J6&lt;='Input_Meci'!G59)),'Calibrare_Linii'!E6,'Config_v6'!$B$26),"PASS",IF(S748&lt;=IF(AND('Calibrare_Linii'!S6="VALIDATED",AND('Calibrare_Linii'!H6=C748,ISNUMBER('Calibrare_Linii'!J6),'Calibrare_Linii'!J6&lt;='Input_Meci'!G59)),'Calibrare_Linii'!F6,'Config_v6'!$C$26),"PENALTY","WATCH"))))))</x:f>
      </x:c>
      <x:c r="X748" s="2" t="str">
        <x:f>IF(M748="","",IF(AND(AND(J748="PASS",'Calibrare_Linii'!U6="VALID"),'Motor_Meciuri'!K59=12,'Motor_Meciuri'!L59=12,'Motor_Meciuri'!M59="NO",'Motor_Meciuri'!BL59='Motor_Meciuri'!C59,AB748&gt;='Config_v6'!$B$50,AN748&gt;='Config_v6'!$B$51,T748&lt;='Config_v6'!$B$52,L748&lt;='Config_v6'!$B$53,ISNUMBER('Calibrare_Linii'!E6),S748&lt;='Calibrare_Linii'!E6,SUM(AK748:AM748)&gt;0),"CANDIDATE","NO"))</x:f>
      </x:c>
      <x:c r="Y748" s="2" t="str">
        <x:f>IF(B748="","",IF(I748&lt;&gt;"READY","NOT RELEASED",IF(AND(X748="CANDIDATE",V748&gt;='Config_v6'!$B$51,W748="PASS",'Calibrare_Linii'!T6="VALIDATED",AND('Calibrare_Linii'!H6=C748,ISNUMBER('Calibrare_Linii'!J6),'Calibrare_Linii'!J6&lt;='Input_Meci'!G59)),"PASS",IF(X748="CANDIDATE","OOS PENDING","FAIL"))))</x:f>
      </x:c>
      <x:c r="Z748" s="2" t="str">
        <x:f>IF(B748="","",IF(I748&lt;&gt;"READY","",IF(OR(NOT(AND(J748="PASS",'Calibrare_Linii'!U6="VALID")),L748&gt;'Config_v6'!$B$13,W748="WATCH"),5,IF(Y748="PASS",1,MIN(5,MAX('Config_v6'!$B$42,U748)+IF(W748="PENALTY",1,0))))))</x:f>
      </x:c>
      <x:c r="AA748" s="2" t="str">
        <x:f>IF(B748="","",IF(I748&lt;&gt;"READY","NOT RELEASED",IF(Z748=5,"NO BET",IF(OR(AB748&lt;'Config_v6'!$B$16,V748&lt;'Config_v6'!$B$18),"WATCH",IF(Z748=1,"DEFENSIV",IF(Z748=2,"PRUDENT",IF(Z748=3,"MODERAT","RIDICAT")))))))</x:f>
      </x:c>
      <x:c r="AB748" s="10" t="str">
        <x:f>IF(N748="","",MIN(N748,1-S748))</x:f>
      </x:c>
      <x:c r="AC748" s="2" t="str">
        <x:f>IF(AD748&lt;&gt;1,"",COUNTIFS($Z$748:$Z$761,"&lt;"&amp;Z748,$AD$748:$AD$761,1)+COUNTIFS($Z$748:$Z$761,Z748,$AB$748:$AB$761,"&gt;"&amp;AB748,$AD$748:$AD$761,1)+COUNTIFS($Z$748:$Z$761,Z748,$AB$748:$AB$761,AB748,$V$748:$V$761,"&gt;"&amp;V748,$AD$748:$AD$761,1)+COUNTIFS($Z$748:Z748,Z748,$AB$748:AB748,AB748,$V$748:V748,V748,$AD$748:AD748,1))</x:f>
      </x:c>
      <x:c r="AD748" s="2" t="n">
        <x:f>IF(OR(AA748="DEFENSIV",AA748="PRUDENT",AA748="MODERAT",AA748="RIDICAT"),1,0)</x:f>
        <x:v>0</x:v>
      </x:c>
      <x:c r="AE748" s="2" t="str">
        <x:f>IF(AD748&lt;&gt;1,"NO",IF(W748="PASS","YES",IF(W748="OOS PENDING","CONDITIONAL","NO")))</x:f>
        <x:v>NO</x:v>
      </x:c>
      <x:c r="AF748" s="2" t="n">
        <x:f>IF(AND(AD748=1,AC748=1,E748="LIVE"),1,0)</x:f>
        <x:v>0</x:v>
      </x:c>
      <x:c r="AG748" s="2" t="str">
        <x:f>IF(AF748&lt;&gt;1,"",'Dashboard'!P79)</x:f>
      </x:c>
      <x:c r="AH748" s="2" t="str">
        <x:f>IF(B748="","",IF(J748&lt;&gt;"PASS",'Motor_Meciuri'!J59,IF('Calibrare_Linii'!U6&lt;&gt;"VALID","Parametri linie invalizi",IF(L748&gt;'Config_v6'!$B$13,"Dispersie peste limita",IF(W748="WATCH","Failure peste limita",IF(AB748&lt;'Config_v6'!$B$16,"P finala sub prag",IF(V748&lt;'Config_v6'!$B$18,"Confidence sub prag",IF(E748="REPLAY","Exemplu retrospectiv; exclus din Top LIVE",IF(Y748="PASS","DEFENSIV validat",IF(W748="OOS PENDING","Eligibil; calibrare linie in monitorizare","Eligibil"))))))))))</x:f>
      </x:c>
      <x:c r="AI748" s="2" t="str">
        <x:f>IF(B748="","",'Calibrare_Linii'!V6)</x:f>
      </x:c>
      <x:c r="AJ748" s="2" t="str">
        <x:f>IF(B748="","",IF(AND('Calibrare_Linii'!T6="VALIDATED",AND('Calibrare_Linii'!H6=C748,ISNUMBER('Calibrare_Linii'!J6),'Calibrare_Linii'!J6&lt;='Input_Meci'!G59)),"DEFENSIVE VALIDATED",IF(AND('Calibrare_Linii'!S6="VALIDATED",AND('Calibrare_Linii'!H6=C748,ISNUMBER('Calibrare_Linii'!J6),'Calibrare_Linii'!J6&lt;='Input_Meci'!G59)),"TAIL VALIDATED","OOS PENDING")))</x:f>
      </x:c>
      <x:c r="AK748" s="2" t="n">
        <x:f>IF(J748&lt;&gt;"PASS",0,'Motor_Meciuri'!BR59)</x:f>
        <x:v>0</x:v>
      </x:c>
      <x:c r="AL748" s="2" t="n">
        <x:f>IF(J748&lt;&gt;"PASS",0,'Motor_Meciuri'!BS59)</x:f>
        <x:v>0</x:v>
      </x:c>
      <x:c r="AM748" s="2" t="n">
        <x:f>IF(J748&lt;&gt;"PASS",0,'Motor_Meciuri'!BT59)</x:f>
        <x:v>0</x:v>
      </x:c>
      <x:c r="AN748" s="2" t="str">
        <x:f>IF(M748="","",MAX(0,'Motor_Meciuri'!BF59-IF(L748&gt;'Config_v6'!$B$12,'Config_v6'!$B$37,IF(L748&gt;'Config_v6'!$B$11,'Config_v6'!$B$36,0))))</x:f>
      </x:c>
    </x:row>
    <x:row r="749" ht="21" customHeight="1">
      <x:c r="A749" s="2" t="n">
        <x:v>54</x:v>
      </x:c>
      <x:c r="B749" s="2" t="str">
        <x:f>IF('Motor_Meciuri'!A59="","",'Motor_Meciuri'!A59)</x:f>
      </x:c>
      <x:c r="C749" s="2" t="str">
        <x:f>IF(B749="","",'Motor_Meciuri'!B59)</x:f>
      </x:c>
      <x:c r="D749" s="2" t="str">
        <x:f>IF(B749="","",'Motor_Meciuri'!D59)</x:f>
      </x:c>
      <x:c r="E749" s="2" t="str">
        <x:f>IF(B749="","",'Motor_Meciuri'!E59)</x:f>
      </x:c>
      <x:c r="F749" s="2" t="str">
        <x:v>O4,5</x:v>
      </x:c>
      <x:c r="G749" s="2" t="str">
        <x:v>OVER</x:v>
      </x:c>
      <x:c r="H749" s="2" t="n">
        <x:v>4</x:v>
      </x:c>
      <x:c r="I749" s="2" t="str">
        <x:f>IF(B749="","",'Motor_Meciuri'!H59)</x:f>
      </x:c>
      <x:c r="J749" s="2" t="str">
        <x:f>IF(B749="","",'Motor_Meciuri'!I59)</x:f>
      </x:c>
      <x:c r="K749" s="11" t="str">
        <x:f>IF(J749&lt;&gt;"PASS","",'Motor_Meciuri'!BD59)</x:f>
      </x:c>
      <x:c r="L749" s="11" t="str">
        <x:f>IF(J749&lt;&gt;"PASS","",'Motor_Meciuri'!AU59)</x:f>
      </x:c>
      <x:c r="M749" s="10" t="str">
        <x:f>IF(NOT(AND(J749="PASS",'Calibrare_Linii'!U7="VALID")),"",1-'Distributie'!AB59)</x:f>
      </x:c>
      <x:c r="N749" s="10" t="str">
        <x:f>IF(M749="","",MAX(0.01,MIN(0.99,0.5+(M749-0.5)*'Motor_Meciuri'!BG59*'Calibrare_Linii'!D7)))</x:f>
      </x:c>
      <x:c r="O749" s="10" t="str">
        <x:f>IF(M749="","",1-M749)</x:f>
      </x:c>
      <x:c r="P749" s="10" t="str">
        <x:f>IF(OR(NOT(AND(J749="PASS",'Calibrare_Linii'!U7="VALID")),AK749=0),""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*('Istoric_Nativ'!$Q$6:$Q$405&lt;=H749))/AK749)</x:f>
      </x:c>
      <x:c r="Q749" s="10" t="str">
        <x:f>IF(OR(NOT(AND(J749="PASS",'Calibrare_Linii'!U7="VALID")),AL749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M59)+((('Istoric_Nativ'!$E$6:$E$405='Input_Meci'!E59)+('Istoric_Nativ'!$F$6:$F$405='Input_Meci'!E59))&gt;0)*('Istoric_Nativ'!$D$6:$D$405&gt;='Motor_Meciuri'!BN59))&gt;0)*('Istoric_Nativ'!$Q$6:$Q$405&lt;=H749))/AL749)</x:f>
      </x:c>
      <x:c r="R749" s="10" t="str">
        <x:f>IF(OR(NOT(AND(J749="PASS",'Calibrare_Linii'!U7="VALID")),AM749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O59)+((('Istoric_Nativ'!$E$6:$E$405='Input_Meci'!E59)+('Istoric_Nativ'!$F$6:$F$405='Input_Meci'!E59))&gt;0)*('Istoric_Nativ'!$D$6:$D$405&gt;='Motor_Meciuri'!BP59))&gt;0)*('Istoric_Nativ'!$Q$6:$Q$405&lt;=H749))/AM749)</x:f>
      </x:c>
      <x:c r="S749" s="10" t="str">
        <x:f>IF(M749="","",MAX(O749,P749,Q749,R749))</x:f>
      </x:c>
      <x:c r="T749" s="11" t="str">
        <x:f>IF(M749="","",MIN(100,S749*100*'Config_v6'!$B$44+MIN(100,L749/'Config_v6'!$B$13*100)*'Config_v6'!$B$45+(100-'Motor_Meciuri'!BF59)*'Config_v6'!$B$46+'Motor_Meciuri'!BH59*100*'Config_v6'!$B$47))</x:f>
      </x:c>
      <x:c r="U749" s="2" t="str">
        <x:f>IF(T749="","",IF(T749&lt;=20,1,IF(T749&lt;=40,2,IF(T749&lt;=60,3,IF(T749&lt;=80,4,5)))))</x:f>
      </x:c>
      <x:c r="V749" s="2" t="str">
        <x:f>IF(M749="","",MAX(0,'Motor_Meciuri'!BF59-IF(W749="OOS PENDING",'Config_v6'!$B$35,0)-IF(L749&gt;'Config_v6'!$B$12,'Config_v6'!$B$37,IF(L749&gt;'Config_v6'!$B$11,'Config_v6'!$B$36,0))))</x:f>
      </x:c>
      <x:c r="W749" s="2" t="str">
        <x:f>IF(B749="","",IF(I749&lt;&gt;"READY","NOT RELEASED",IF(NOT(AND(J749="PASS",'Calibrare_Linii'!U7="VALID")),"INVALID",IF(NOT(AND('Calibrare_Linii'!S7="VALIDATED",AND('Calibrare_Linii'!H7=C749,ISNUMBER('Calibrare_Linii'!J7),'Calibrare_Linii'!J7&lt;='Input_Meci'!G59))),"OOS PENDING",IF(S749&lt;='Calibrare_Linii'!E7,"PASS",IF(S749&lt;='Calibrare_Linii'!F7,"PENALTY","WATCH"))))))</x:f>
      </x:c>
      <x:c r="X749" s="2" t="str">
        <x:f>IF(M749="","",IF(AND(AND(J749="PASS",'Calibrare_Linii'!U7="VALID"),'Motor_Meciuri'!K59=12,'Motor_Meciuri'!L59=12,'Motor_Meciuri'!M59="NO",'Motor_Meciuri'!BL59='Motor_Meciuri'!C59,AB749&gt;='Config_v6'!$B$50,AN749&gt;='Config_v6'!$B$51,T749&lt;='Config_v6'!$B$52,L749&lt;='Config_v6'!$B$53,ISNUMBER('Calibrare_Linii'!E7),S749&lt;='Calibrare_Linii'!E7,SUM(AK749:AM749)&gt;0),"CANDIDATE","NO"))</x:f>
      </x:c>
      <x:c r="Y749" s="2" t="str">
        <x:f>IF(B749="","",IF(I749&lt;&gt;"READY","NOT RELEASED",IF(AND(X749="CANDIDATE",V749&gt;='Config_v6'!$B$51,W749="PASS",'Calibrare_Linii'!T7="VALIDATED",AND('Calibrare_Linii'!H7=C749,ISNUMBER('Calibrare_Linii'!J7),'Calibrare_Linii'!J7&lt;='Input_Meci'!G59)),"PASS",IF(X749="CANDIDATE","OOS PENDING","FAIL"))))</x:f>
      </x:c>
      <x:c r="Z749" s="2" t="str">
        <x:f>IF(B749="","",IF(I749&lt;&gt;"READY","",IF(OR(NOT(AND(J749="PASS",'Calibrare_Linii'!U7="VALID")),L749&gt;'Config_v6'!$B$13,W749="WATCH"),5,IF(Y749="PASS",1,MIN(5,MAX('Config_v6'!$B$42,U749)+IF(W749="PENALTY",1,0))))))</x:f>
      </x:c>
      <x:c r="AA749" s="2" t="str">
        <x:f>IF(B749="","",IF(I749&lt;&gt;"READY","NOT RELEASED",IF(Z749=5,"NO BET",IF(OR(AB749&lt;'Config_v6'!$B$16,V749&lt;'Config_v6'!$B$18),"WATCH",IF(Z749=1,"DEFENSIV",IF(Z749=2,"PRUDENT",IF(Z749=3,"MODERAT","RIDICAT")))))))</x:f>
      </x:c>
      <x:c r="AB749" s="10" t="str">
        <x:f>IF(N749="","",MIN(N749,1-S749))</x:f>
      </x:c>
      <x:c r="AC749" s="2" t="str">
        <x:f>IF(AD749&lt;&gt;1,"",COUNTIFS($Z$748:$Z$761,"&lt;"&amp;Z749,$AD$748:$AD$761,1)+COUNTIFS($Z$748:$Z$761,Z749,$AB$748:$AB$761,"&gt;"&amp;AB749,$AD$748:$AD$761,1)+COUNTIFS($Z$748:$Z$761,Z749,$AB$748:$AB$761,AB749,$V$748:$V$761,"&gt;"&amp;V749,$AD$748:$AD$761,1)+COUNTIFS($Z$748:Z749,Z749,$AB$748:AB749,AB749,$V$748:V749,V749,$AD$748:AD749,1))</x:f>
      </x:c>
      <x:c r="AD749" s="2" t="n">
        <x:f>IF(OR(AA749="DEFENSIV",AA749="PRUDENT",AA749="MODERAT",AA749="RIDICAT"),1,0)</x:f>
        <x:v>0</x:v>
      </x:c>
      <x:c r="AE749" s="2" t="str">
        <x:f>IF(AD749&lt;&gt;1,"NO",IF(W749="PASS","YES",IF(W749="OOS PENDING","CONDITIONAL","NO")))</x:f>
        <x:v>NO</x:v>
      </x:c>
      <x:c r="AF749" s="2" t="n">
        <x:f>IF(AND(AD749=1,AC749=1,E749="LIVE"),1,0)</x:f>
        <x:v>0</x:v>
      </x:c>
      <x:c r="AG749" s="2" t="str">
        <x:f>IF(AF749&lt;&gt;1,"",'Dashboard'!P79)</x:f>
      </x:c>
      <x:c r="AH749" s="2" t="str">
        <x:f>IF(B749="","",IF(J749&lt;&gt;"PASS",'Motor_Meciuri'!J59,IF('Calibrare_Linii'!U7&lt;&gt;"VALID","Parametri linie invalizi",IF(L749&gt;'Config_v6'!$B$13,"Dispersie peste limita",IF(W749="WATCH","Failure peste limita",IF(AB749&lt;'Config_v6'!$B$16,"P finala sub prag",IF(V749&lt;'Config_v6'!$B$18,"Confidence sub prag",IF(E749="REPLAY","Exemplu retrospectiv; exclus din Top LIVE",IF(Y749="PASS","DEFENSIV validat",IF(W749="OOS PENDING","Eligibil; calibrare linie in monitorizare","Eligibil"))))))))))</x:f>
      </x:c>
      <x:c r="AI749" s="2" t="str">
        <x:f>IF(B749="","",'Calibrare_Linii'!V7)</x:f>
      </x:c>
      <x:c r="AJ749" s="2" t="str">
        <x:f>IF(B749="","",IF(AND('Calibrare_Linii'!T7="VALIDATED",AND('Calibrare_Linii'!H7=C749,ISNUMBER('Calibrare_Linii'!J7),'Calibrare_Linii'!J7&lt;='Input_Meci'!G59)),"DEFENSIVE VALIDATED",IF(AND('Calibrare_Linii'!S7="VALIDATED",AND('Calibrare_Linii'!H7=C749,ISNUMBER('Calibrare_Linii'!J7),'Calibrare_Linii'!J7&lt;='Input_Meci'!G59)),"TAIL VALIDATED","OOS PENDING")))</x:f>
      </x:c>
      <x:c r="AK749" s="2" t="n">
        <x:f>IF(J749&lt;&gt;"PASS",0,'Motor_Meciuri'!BR59)</x:f>
        <x:v>0</x:v>
      </x:c>
      <x:c r="AL749" s="2" t="n">
        <x:f>IF(J749&lt;&gt;"PASS",0,'Motor_Meciuri'!BS59)</x:f>
        <x:v>0</x:v>
      </x:c>
      <x:c r="AM749" s="2" t="n">
        <x:f>IF(J749&lt;&gt;"PASS",0,'Motor_Meciuri'!BT59)</x:f>
        <x:v>0</x:v>
      </x:c>
      <x:c r="AN749" s="2" t="str">
        <x:f>IF(M749="","",MAX(0,'Motor_Meciuri'!BF59-IF(L749&gt;'Config_v6'!$B$12,'Config_v6'!$B$37,IF(L749&gt;'Config_v6'!$B$11,'Config_v6'!$B$36,0))))</x:f>
      </x:c>
    </x:row>
    <x:row r="750" ht="21" customHeight="1">
      <x:c r="A750" s="2" t="n">
        <x:v>54</x:v>
      </x:c>
      <x:c r="B750" s="2" t="str">
        <x:f>IF('Motor_Meciuri'!A59="","",'Motor_Meciuri'!A59)</x:f>
      </x:c>
      <x:c r="C750" s="2" t="str">
        <x:f>IF(B750="","",'Motor_Meciuri'!B59)</x:f>
      </x:c>
      <x:c r="D750" s="2" t="str">
        <x:f>IF(B750="","",'Motor_Meciuri'!D59)</x:f>
      </x:c>
      <x:c r="E750" s="2" t="str">
        <x:f>IF(B750="","",'Motor_Meciuri'!E59)</x:f>
      </x:c>
      <x:c r="F750" s="2" t="str">
        <x:v>O5,5</x:v>
      </x:c>
      <x:c r="G750" s="2" t="str">
        <x:v>OVER</x:v>
      </x:c>
      <x:c r="H750" s="2" t="n">
        <x:v>5</x:v>
      </x:c>
      <x:c r="I750" s="2" t="str">
        <x:f>IF(B750="","",'Motor_Meciuri'!H59)</x:f>
      </x:c>
      <x:c r="J750" s="2" t="str">
        <x:f>IF(B750="","",'Motor_Meciuri'!I59)</x:f>
      </x:c>
      <x:c r="K750" s="11" t="str">
        <x:f>IF(J750&lt;&gt;"PASS","",'Motor_Meciuri'!BD59)</x:f>
      </x:c>
      <x:c r="L750" s="11" t="str">
        <x:f>IF(J750&lt;&gt;"PASS","",'Motor_Meciuri'!AU59)</x:f>
      </x:c>
      <x:c r="M750" s="10" t="str">
        <x:f>IF(NOT(AND(J750="PASS",'Calibrare_Linii'!U8="VALID")),"",1-'Distributie'!AC59)</x:f>
      </x:c>
      <x:c r="N750" s="10" t="str">
        <x:f>IF(M750="","",MAX(0.01,MIN(0.99,0.5+(M750-0.5)*'Motor_Meciuri'!BG59*'Calibrare_Linii'!D8)))</x:f>
      </x:c>
      <x:c r="O750" s="10" t="str">
        <x:f>IF(M750="","",1-M750)</x:f>
      </x:c>
      <x:c r="P750" s="10" t="str">
        <x:f>IF(OR(NOT(AND(J750="PASS",'Calibrare_Linii'!U8="VALID")),AK750=0),""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*('Istoric_Nativ'!$Q$6:$Q$405&lt;=H750))/AK750)</x:f>
      </x:c>
      <x:c r="Q750" s="10" t="str">
        <x:f>IF(OR(NOT(AND(J750="PASS",'Calibrare_Linii'!U8="VALID")),AL750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M59)+((('Istoric_Nativ'!$E$6:$E$405='Input_Meci'!E59)+('Istoric_Nativ'!$F$6:$F$405='Input_Meci'!E59))&gt;0)*('Istoric_Nativ'!$D$6:$D$405&gt;='Motor_Meciuri'!BN59))&gt;0)*('Istoric_Nativ'!$Q$6:$Q$405&lt;=H750))/AL750)</x:f>
      </x:c>
      <x:c r="R750" s="10" t="str">
        <x:f>IF(OR(NOT(AND(J750="PASS",'Calibrare_Linii'!U8="VALID")),AM750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O59)+((('Istoric_Nativ'!$E$6:$E$405='Input_Meci'!E59)+('Istoric_Nativ'!$F$6:$F$405='Input_Meci'!E59))&gt;0)*('Istoric_Nativ'!$D$6:$D$405&gt;='Motor_Meciuri'!BP59))&gt;0)*('Istoric_Nativ'!$Q$6:$Q$405&lt;=H750))/AM750)</x:f>
      </x:c>
      <x:c r="S750" s="10" t="str">
        <x:f>IF(M750="","",MAX(O750,P750,Q750,R750))</x:f>
      </x:c>
      <x:c r="T750" s="11" t="str">
        <x:f>IF(M750="","",MIN(100,S750*100*'Config_v6'!$B$44+MIN(100,L750/'Config_v6'!$B$13*100)*'Config_v6'!$B$45+(100-'Motor_Meciuri'!BF59)*'Config_v6'!$B$46+'Motor_Meciuri'!BH59*100*'Config_v6'!$B$47))</x:f>
      </x:c>
      <x:c r="U750" s="2" t="str">
        <x:f>IF(T750="","",IF(T750&lt;=20,1,IF(T750&lt;=40,2,IF(T750&lt;=60,3,IF(T750&lt;=80,4,5)))))</x:f>
      </x:c>
      <x:c r="V750" s="2" t="str">
        <x:f>IF(M750="","",MAX(0,'Motor_Meciuri'!BF59-IF(W750="OOS PENDING",'Config_v6'!$B$35,0)-IF(L750&gt;'Config_v6'!$B$12,'Config_v6'!$B$37,IF(L750&gt;'Config_v6'!$B$11,'Config_v6'!$B$36,0))))</x:f>
      </x:c>
      <x:c r="W750" s="2" t="str">
        <x:f>IF(B750="","",IF(I750&lt;&gt;"READY","NOT RELEASED",IF(NOT(AND(J750="PASS",'Calibrare_Linii'!U8="VALID")),"INVALID",IF(NOT(AND('Calibrare_Linii'!S8="VALIDATED",AND('Calibrare_Linii'!H8=C750,ISNUMBER('Calibrare_Linii'!J8),'Calibrare_Linii'!J8&lt;='Input_Meci'!G59))),"OOS PENDING",IF(S750&lt;='Calibrare_Linii'!E8,"PASS",IF(S750&lt;='Calibrare_Linii'!F8,"PENALTY","WATCH"))))))</x:f>
      </x:c>
      <x:c r="X750" s="2" t="str">
        <x:f>IF(M750="","",IF(AND(AND(J750="PASS",'Calibrare_Linii'!U8="VALID"),'Motor_Meciuri'!K59=12,'Motor_Meciuri'!L59=12,'Motor_Meciuri'!M59="NO",'Motor_Meciuri'!BL59='Motor_Meciuri'!C59,AB750&gt;='Config_v6'!$B$50,AN750&gt;='Config_v6'!$B$51,T750&lt;='Config_v6'!$B$52,L750&lt;='Config_v6'!$B$53,ISNUMBER('Calibrare_Linii'!E8),S750&lt;='Calibrare_Linii'!E8,SUM(AK750:AM750)&gt;0),"CANDIDATE","NO"))</x:f>
      </x:c>
      <x:c r="Y750" s="2" t="str">
        <x:f>IF(B750="","",IF(I750&lt;&gt;"READY","NOT RELEASED",IF(AND(X750="CANDIDATE",V750&gt;='Config_v6'!$B$51,W750="PASS",'Calibrare_Linii'!T8="VALIDATED",AND('Calibrare_Linii'!H8=C750,ISNUMBER('Calibrare_Linii'!J8),'Calibrare_Linii'!J8&lt;='Input_Meci'!G59)),"PASS",IF(X750="CANDIDATE","OOS PENDING","FAIL"))))</x:f>
      </x:c>
      <x:c r="Z750" s="2" t="str">
        <x:f>IF(B750="","",IF(I750&lt;&gt;"READY","",IF(OR(NOT(AND(J750="PASS",'Calibrare_Linii'!U8="VALID")),L750&gt;'Config_v6'!$B$13,W750="WATCH"),5,IF(Y750="PASS",1,MIN(5,MAX('Config_v6'!$B$42,U750)+IF(W750="PENALTY",1,0))))))</x:f>
      </x:c>
      <x:c r="AA750" s="2" t="str">
        <x:f>IF(B750="","",IF(I750&lt;&gt;"READY","NOT RELEASED",IF(Z750=5,"NO BET",IF(OR(AB750&lt;'Config_v6'!$B$16,V750&lt;'Config_v6'!$B$18),"WATCH",IF(Z750=1,"DEFENSIV",IF(Z750=2,"PRUDENT",IF(Z750=3,"MODERAT","RIDICAT")))))))</x:f>
      </x:c>
      <x:c r="AB750" s="10" t="str">
        <x:f>IF(N750="","",MIN(N750,1-S750))</x:f>
      </x:c>
      <x:c r="AC750" s="2" t="str">
        <x:f>IF(AD750&lt;&gt;1,"",COUNTIFS($Z$748:$Z$761,"&lt;"&amp;Z750,$AD$748:$AD$761,1)+COUNTIFS($Z$748:$Z$761,Z750,$AB$748:$AB$761,"&gt;"&amp;AB750,$AD$748:$AD$761,1)+COUNTIFS($Z$748:$Z$761,Z750,$AB$748:$AB$761,AB750,$V$748:$V$761,"&gt;"&amp;V750,$AD$748:$AD$761,1)+COUNTIFS($Z$748:Z750,Z750,$AB$748:AB750,AB750,$V$748:V750,V750,$AD$748:AD750,1))</x:f>
      </x:c>
      <x:c r="AD750" s="2" t="n">
        <x:f>IF(OR(AA750="DEFENSIV",AA750="PRUDENT",AA750="MODERAT",AA750="RIDICAT"),1,0)</x:f>
        <x:v>0</x:v>
      </x:c>
      <x:c r="AE750" s="2" t="str">
        <x:f>IF(AD750&lt;&gt;1,"NO",IF(W750="PASS","YES",IF(W750="OOS PENDING","CONDITIONAL","NO")))</x:f>
        <x:v>NO</x:v>
      </x:c>
      <x:c r="AF750" s="2" t="n">
        <x:f>IF(AND(AD750=1,AC750=1,E750="LIVE"),1,0)</x:f>
        <x:v>0</x:v>
      </x:c>
      <x:c r="AG750" s="2" t="str">
        <x:f>IF(AF750&lt;&gt;1,"",'Dashboard'!P79)</x:f>
      </x:c>
      <x:c r="AH750" s="2" t="str">
        <x:f>IF(B750="","",IF(J750&lt;&gt;"PASS",'Motor_Meciuri'!J59,IF('Calibrare_Linii'!U8&lt;&gt;"VALID","Parametri linie invalizi",IF(L750&gt;'Config_v6'!$B$13,"Dispersie peste limita",IF(W750="WATCH","Failure peste limita",IF(AB750&lt;'Config_v6'!$B$16,"P finala sub prag",IF(V750&lt;'Config_v6'!$B$18,"Confidence sub prag",IF(E750="REPLAY","Exemplu retrospectiv; exclus din Top LIVE",IF(Y750="PASS","DEFENSIV validat",IF(W750="OOS PENDING","Eligibil; calibrare linie in monitorizare","Eligibil"))))))))))</x:f>
      </x:c>
      <x:c r="AI750" s="2" t="str">
        <x:f>IF(B750="","",'Calibrare_Linii'!V8)</x:f>
      </x:c>
      <x:c r="AJ750" s="2" t="str">
        <x:f>IF(B750="","",IF(AND('Calibrare_Linii'!T8="VALIDATED",AND('Calibrare_Linii'!H8=C750,ISNUMBER('Calibrare_Linii'!J8),'Calibrare_Linii'!J8&lt;='Input_Meci'!G59)),"DEFENSIVE VALIDATED",IF(AND('Calibrare_Linii'!S8="VALIDATED",AND('Calibrare_Linii'!H8=C750,ISNUMBER('Calibrare_Linii'!J8),'Calibrare_Linii'!J8&lt;='Input_Meci'!G59)),"TAIL VALIDATED","OOS PENDING")))</x:f>
      </x:c>
      <x:c r="AK750" s="2" t="n">
        <x:f>IF(J750&lt;&gt;"PASS",0,'Motor_Meciuri'!BR59)</x:f>
        <x:v>0</x:v>
      </x:c>
      <x:c r="AL750" s="2" t="n">
        <x:f>IF(J750&lt;&gt;"PASS",0,'Motor_Meciuri'!BS59)</x:f>
        <x:v>0</x:v>
      </x:c>
      <x:c r="AM750" s="2" t="n">
        <x:f>IF(J750&lt;&gt;"PASS",0,'Motor_Meciuri'!BT59)</x:f>
        <x:v>0</x:v>
      </x:c>
      <x:c r="AN750" s="2" t="str">
        <x:f>IF(M750="","",MAX(0,'Motor_Meciuri'!BF59-IF(L750&gt;'Config_v6'!$B$12,'Config_v6'!$B$37,IF(L750&gt;'Config_v6'!$B$11,'Config_v6'!$B$36,0))))</x:f>
      </x:c>
    </x:row>
    <x:row r="751" ht="21" customHeight="1">
      <x:c r="A751" s="2" t="n">
        <x:v>54</x:v>
      </x:c>
      <x:c r="B751" s="2" t="str">
        <x:f>IF('Motor_Meciuri'!A59="","",'Motor_Meciuri'!A59)</x:f>
      </x:c>
      <x:c r="C751" s="2" t="str">
        <x:f>IF(B751="","",'Motor_Meciuri'!B59)</x:f>
      </x:c>
      <x:c r="D751" s="2" t="str">
        <x:f>IF(B751="","",'Motor_Meciuri'!D59)</x:f>
      </x:c>
      <x:c r="E751" s="2" t="str">
        <x:f>IF(B751="","",'Motor_Meciuri'!E59)</x:f>
      </x:c>
      <x:c r="F751" s="2" t="str">
        <x:v>O6,5</x:v>
      </x:c>
      <x:c r="G751" s="2" t="str">
        <x:v>OVER</x:v>
      </x:c>
      <x:c r="H751" s="2" t="n">
        <x:v>6</x:v>
      </x:c>
      <x:c r="I751" s="2" t="str">
        <x:f>IF(B751="","",'Motor_Meciuri'!H59)</x:f>
      </x:c>
      <x:c r="J751" s="2" t="str">
        <x:f>IF(B751="","",'Motor_Meciuri'!I59)</x:f>
      </x:c>
      <x:c r="K751" s="11" t="str">
        <x:f>IF(J751&lt;&gt;"PASS","",'Motor_Meciuri'!BD59)</x:f>
      </x:c>
      <x:c r="L751" s="11" t="str">
        <x:f>IF(J751&lt;&gt;"PASS","",'Motor_Meciuri'!AU59)</x:f>
      </x:c>
      <x:c r="M751" s="10" t="str">
        <x:f>IF(NOT(AND(J751="PASS",'Calibrare_Linii'!U9="VALID")),"",1-'Distributie'!AD59)</x:f>
      </x:c>
      <x:c r="N751" s="10" t="str">
        <x:f>IF(M751="","",MAX(0.01,MIN(0.99,0.5+(M751-0.5)*'Motor_Meciuri'!BG59*'Calibrare_Linii'!D9)))</x:f>
      </x:c>
      <x:c r="O751" s="10" t="str">
        <x:f>IF(M751="","",1-M751)</x:f>
      </x:c>
      <x:c r="P751" s="10" t="str">
        <x:f>IF(OR(NOT(AND(J751="PASS",'Calibrare_Linii'!U9="VALID")),AK751=0),""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*('Istoric_Nativ'!$Q$6:$Q$405&lt;=H751))/AK751)</x:f>
      </x:c>
      <x:c r="Q751" s="10" t="str">
        <x:f>IF(OR(NOT(AND(J751="PASS",'Calibrare_Linii'!U9="VALID")),AL751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M59)+((('Istoric_Nativ'!$E$6:$E$405='Input_Meci'!E59)+('Istoric_Nativ'!$F$6:$F$405='Input_Meci'!E59))&gt;0)*('Istoric_Nativ'!$D$6:$D$405&gt;='Motor_Meciuri'!BN59))&gt;0)*('Istoric_Nativ'!$Q$6:$Q$405&lt;=H751))/AL751)</x:f>
      </x:c>
      <x:c r="R751" s="10" t="str">
        <x:f>IF(OR(NOT(AND(J751="PASS",'Calibrare_Linii'!U9="VALID")),AM751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O59)+((('Istoric_Nativ'!$E$6:$E$405='Input_Meci'!E59)+('Istoric_Nativ'!$F$6:$F$405='Input_Meci'!E59))&gt;0)*('Istoric_Nativ'!$D$6:$D$405&gt;='Motor_Meciuri'!BP59))&gt;0)*('Istoric_Nativ'!$Q$6:$Q$405&lt;=H751))/AM751)</x:f>
      </x:c>
      <x:c r="S751" s="10" t="str">
        <x:f>IF(M751="","",MAX(O751,P751,Q751,R751))</x:f>
      </x:c>
      <x:c r="T751" s="11" t="str">
        <x:f>IF(M751="","",MIN(100,S751*100*'Config_v6'!$B$44+MIN(100,L751/'Config_v6'!$B$13*100)*'Config_v6'!$B$45+(100-'Motor_Meciuri'!BF59)*'Config_v6'!$B$46+'Motor_Meciuri'!BH59*100*'Config_v6'!$B$47))</x:f>
      </x:c>
      <x:c r="U751" s="2" t="str">
        <x:f>IF(T751="","",IF(T751&lt;=20,1,IF(T751&lt;=40,2,IF(T751&lt;=60,3,IF(T751&lt;=80,4,5)))))</x:f>
      </x:c>
      <x:c r="V751" s="2" t="str">
        <x:f>IF(M751="","",MAX(0,'Motor_Meciuri'!BF59-IF(W751="OOS PENDING",'Config_v6'!$B$35,0)-IF(L751&gt;'Config_v6'!$B$12,'Config_v6'!$B$37,IF(L751&gt;'Config_v6'!$B$11,'Config_v6'!$B$36,0))))</x:f>
      </x:c>
      <x:c r="W751" s="2" t="str">
        <x:f>IF(B751="","",IF(I751&lt;&gt;"READY","NOT RELEASED",IF(NOT(AND(J751="PASS",'Calibrare_Linii'!U9="VALID")),"INVALID",IF(NOT(AND('Calibrare_Linii'!S9="VALIDATED",AND('Calibrare_Linii'!H9=C751,ISNUMBER('Calibrare_Linii'!J9),'Calibrare_Linii'!J9&lt;='Input_Meci'!G59))),"OOS PENDING",IF(S751&lt;='Calibrare_Linii'!E9,"PASS",IF(S751&lt;='Calibrare_Linii'!F9,"PENALTY","WATCH"))))))</x:f>
      </x:c>
      <x:c r="X751" s="2" t="str">
        <x:f>IF(M751="","",IF(AND(AND(J751="PASS",'Calibrare_Linii'!U9="VALID"),'Motor_Meciuri'!K59=12,'Motor_Meciuri'!L59=12,'Motor_Meciuri'!M59="NO",'Motor_Meciuri'!BL59='Motor_Meciuri'!C59,AB751&gt;='Config_v6'!$B$50,AN751&gt;='Config_v6'!$B$51,T751&lt;='Config_v6'!$B$52,L751&lt;='Config_v6'!$B$53,ISNUMBER('Calibrare_Linii'!E9),S751&lt;='Calibrare_Linii'!E9,SUM(AK751:AM751)&gt;0),"CANDIDATE","NO"))</x:f>
      </x:c>
      <x:c r="Y751" s="2" t="str">
        <x:f>IF(B751="","",IF(I751&lt;&gt;"READY","NOT RELEASED",IF(AND(X751="CANDIDATE",V751&gt;='Config_v6'!$B$51,W751="PASS",'Calibrare_Linii'!T9="VALIDATED",AND('Calibrare_Linii'!H9=C751,ISNUMBER('Calibrare_Linii'!J9),'Calibrare_Linii'!J9&lt;='Input_Meci'!G59)),"PASS",IF(X751="CANDIDATE","OOS PENDING","FAIL"))))</x:f>
      </x:c>
      <x:c r="Z751" s="2" t="str">
        <x:f>IF(B751="","",IF(I751&lt;&gt;"READY","",IF(OR(NOT(AND(J751="PASS",'Calibrare_Linii'!U9="VALID")),L751&gt;'Config_v6'!$B$13,W751="WATCH"),5,IF(Y751="PASS",1,MIN(5,MAX('Config_v6'!$B$42,U751)+IF(W751="PENALTY",1,0))))))</x:f>
      </x:c>
      <x:c r="AA751" s="2" t="str">
        <x:f>IF(B751="","",IF(I751&lt;&gt;"READY","NOT RELEASED",IF(Z751=5,"NO BET",IF(OR(AB751&lt;'Config_v6'!$B$16,V751&lt;'Config_v6'!$B$18),"WATCH",IF(Z751=1,"DEFENSIV",IF(Z751=2,"PRUDENT",IF(Z751=3,"MODERAT","RIDICAT")))))))</x:f>
      </x:c>
      <x:c r="AB751" s="10" t="str">
        <x:f>IF(N751="","",MIN(N751,1-S751))</x:f>
      </x:c>
      <x:c r="AC751" s="2" t="str">
        <x:f>IF(AD751&lt;&gt;1,"",COUNTIFS($Z$748:$Z$761,"&lt;"&amp;Z751,$AD$748:$AD$761,1)+COUNTIFS($Z$748:$Z$761,Z751,$AB$748:$AB$761,"&gt;"&amp;AB751,$AD$748:$AD$761,1)+COUNTIFS($Z$748:$Z$761,Z751,$AB$748:$AB$761,AB751,$V$748:$V$761,"&gt;"&amp;V751,$AD$748:$AD$761,1)+COUNTIFS($Z$748:Z751,Z751,$AB$748:AB751,AB751,$V$748:V751,V751,$AD$748:AD751,1))</x:f>
      </x:c>
      <x:c r="AD751" s="2" t="n">
        <x:f>IF(OR(AA751="DEFENSIV",AA751="PRUDENT",AA751="MODERAT",AA751="RIDICAT"),1,0)</x:f>
        <x:v>0</x:v>
      </x:c>
      <x:c r="AE751" s="2" t="str">
        <x:f>IF(AD751&lt;&gt;1,"NO",IF(W751="PASS","YES",IF(W751="OOS PENDING","CONDITIONAL","NO")))</x:f>
        <x:v>NO</x:v>
      </x:c>
      <x:c r="AF751" s="2" t="n">
        <x:f>IF(AND(AD751=1,AC751=1,E751="LIVE"),1,0)</x:f>
        <x:v>0</x:v>
      </x:c>
      <x:c r="AG751" s="2" t="str">
        <x:f>IF(AF751&lt;&gt;1,"",'Dashboard'!P79)</x:f>
      </x:c>
      <x:c r="AH751" s="2" t="str">
        <x:f>IF(B751="","",IF(J751&lt;&gt;"PASS",'Motor_Meciuri'!J59,IF('Calibrare_Linii'!U9&lt;&gt;"VALID","Parametri linie invalizi",IF(L751&gt;'Config_v6'!$B$13,"Dispersie peste limita",IF(W751="WATCH","Failure peste limita",IF(AB751&lt;'Config_v6'!$B$16,"P finala sub prag",IF(V751&lt;'Config_v6'!$B$18,"Confidence sub prag",IF(E751="REPLAY","Exemplu retrospectiv; exclus din Top LIVE",IF(Y751="PASS","DEFENSIV validat",IF(W751="OOS PENDING","Eligibil; calibrare linie in monitorizare","Eligibil"))))))))))</x:f>
      </x:c>
      <x:c r="AI751" s="2" t="str">
        <x:f>IF(B751="","",'Calibrare_Linii'!V9)</x:f>
      </x:c>
      <x:c r="AJ751" s="2" t="str">
        <x:f>IF(B751="","",IF(AND('Calibrare_Linii'!T9="VALIDATED",AND('Calibrare_Linii'!H9=C751,ISNUMBER('Calibrare_Linii'!J9),'Calibrare_Linii'!J9&lt;='Input_Meci'!G59)),"DEFENSIVE VALIDATED",IF(AND('Calibrare_Linii'!S9="VALIDATED",AND('Calibrare_Linii'!H9=C751,ISNUMBER('Calibrare_Linii'!J9),'Calibrare_Linii'!J9&lt;='Input_Meci'!G59)),"TAIL VALIDATED","OOS PENDING")))</x:f>
      </x:c>
      <x:c r="AK751" s="2" t="n">
        <x:f>IF(J751&lt;&gt;"PASS",0,'Motor_Meciuri'!BR59)</x:f>
        <x:v>0</x:v>
      </x:c>
      <x:c r="AL751" s="2" t="n">
        <x:f>IF(J751&lt;&gt;"PASS",0,'Motor_Meciuri'!BS59)</x:f>
        <x:v>0</x:v>
      </x:c>
      <x:c r="AM751" s="2" t="n">
        <x:f>IF(J751&lt;&gt;"PASS",0,'Motor_Meciuri'!BT59)</x:f>
        <x:v>0</x:v>
      </x:c>
      <x:c r="AN751" s="2" t="str">
        <x:f>IF(M751="","",MAX(0,'Motor_Meciuri'!BF59-IF(L751&gt;'Config_v6'!$B$12,'Config_v6'!$B$37,IF(L751&gt;'Config_v6'!$B$11,'Config_v6'!$B$36,0))))</x:f>
      </x:c>
    </x:row>
    <x:row r="752" ht="21" customHeight="1">
      <x:c r="A752" s="2" t="n">
        <x:v>54</x:v>
      </x:c>
      <x:c r="B752" s="2" t="str">
        <x:f>IF('Motor_Meciuri'!A59="","",'Motor_Meciuri'!A59)</x:f>
      </x:c>
      <x:c r="C752" s="2" t="str">
        <x:f>IF(B752="","",'Motor_Meciuri'!B59)</x:f>
      </x:c>
      <x:c r="D752" s="2" t="str">
        <x:f>IF(B752="","",'Motor_Meciuri'!D59)</x:f>
      </x:c>
      <x:c r="E752" s="2" t="str">
        <x:f>IF(B752="","",'Motor_Meciuri'!E59)</x:f>
      </x:c>
      <x:c r="F752" s="2" t="str">
        <x:v>O7,5</x:v>
      </x:c>
      <x:c r="G752" s="2" t="str">
        <x:v>OVER</x:v>
      </x:c>
      <x:c r="H752" s="2" t="n">
        <x:v>7</x:v>
      </x:c>
      <x:c r="I752" s="2" t="str">
        <x:f>IF(B752="","",'Motor_Meciuri'!H59)</x:f>
      </x:c>
      <x:c r="J752" s="2" t="str">
        <x:f>IF(B752="","",'Motor_Meciuri'!I59)</x:f>
      </x:c>
      <x:c r="K752" s="11" t="str">
        <x:f>IF(J752&lt;&gt;"PASS","",'Motor_Meciuri'!BD59)</x:f>
      </x:c>
      <x:c r="L752" s="11" t="str">
        <x:f>IF(J752&lt;&gt;"PASS","",'Motor_Meciuri'!AU59)</x:f>
      </x:c>
      <x:c r="M752" s="10" t="str">
        <x:f>IF(NOT(AND(J752="PASS",'Calibrare_Linii'!U10="VALID")),"",1-'Distributie'!AE59)</x:f>
      </x:c>
      <x:c r="N752" s="10" t="str">
        <x:f>IF(M752="","",MAX(0.01,MIN(0.99,0.5+(M752-0.5)*'Motor_Meciuri'!BG59*'Calibrare_Linii'!D10)))</x:f>
      </x:c>
      <x:c r="O752" s="10" t="str">
        <x:f>IF(M752="","",1-M752)</x:f>
      </x:c>
      <x:c r="P752" s="10" t="str">
        <x:f>IF(OR(NOT(AND(J752="PASS",'Calibrare_Linii'!U10="VALID")),AK752=0),""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*('Istoric_Nativ'!$Q$6:$Q$405&lt;=H752))/AK752)</x:f>
      </x:c>
      <x:c r="Q752" s="10" t="str">
        <x:f>IF(OR(NOT(AND(J752="PASS",'Calibrare_Linii'!U10="VALID")),AL752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M59)+((('Istoric_Nativ'!$E$6:$E$405='Input_Meci'!E59)+('Istoric_Nativ'!$F$6:$F$405='Input_Meci'!E59))&gt;0)*('Istoric_Nativ'!$D$6:$D$405&gt;='Motor_Meciuri'!BN59))&gt;0)*('Istoric_Nativ'!$Q$6:$Q$405&lt;=H752))/AL752)</x:f>
      </x:c>
      <x:c r="R752" s="10" t="str">
        <x:f>IF(OR(NOT(AND(J752="PASS",'Calibrare_Linii'!U10="VALID")),AM752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O59)+((('Istoric_Nativ'!$E$6:$E$405='Input_Meci'!E59)+('Istoric_Nativ'!$F$6:$F$405='Input_Meci'!E59))&gt;0)*('Istoric_Nativ'!$D$6:$D$405&gt;='Motor_Meciuri'!BP59))&gt;0)*('Istoric_Nativ'!$Q$6:$Q$405&lt;=H752))/AM752)</x:f>
      </x:c>
      <x:c r="S752" s="10" t="str">
        <x:f>IF(M752="","",MAX(O752,P752,Q752,R752))</x:f>
      </x:c>
      <x:c r="T752" s="11" t="str">
        <x:f>IF(M752="","",MIN(100,S752*100*'Config_v6'!$B$44+MIN(100,L752/'Config_v6'!$B$13*100)*'Config_v6'!$B$45+(100-'Motor_Meciuri'!BF59)*'Config_v6'!$B$46+'Motor_Meciuri'!BH59*100*'Config_v6'!$B$47))</x:f>
      </x:c>
      <x:c r="U752" s="2" t="str">
        <x:f>IF(T752="","",IF(T752&lt;=20,1,IF(T752&lt;=40,2,IF(T752&lt;=60,3,IF(T752&lt;=80,4,5)))))</x:f>
      </x:c>
      <x:c r="V752" s="2" t="str">
        <x:f>IF(M752="","",MAX(0,'Motor_Meciuri'!BF59-IF(W752="OOS PENDING",'Config_v6'!$B$35,0)-IF(L752&gt;'Config_v6'!$B$12,'Config_v6'!$B$37,IF(L752&gt;'Config_v6'!$B$11,'Config_v6'!$B$36,0))))</x:f>
      </x:c>
      <x:c r="W752" s="2" t="str">
        <x:f>IF(B752="","",IF(I752&lt;&gt;"READY","NOT RELEASED",IF(NOT(AND(J752="PASS",'Calibrare_Linii'!U10="VALID")),"INVALID",IF(NOT(AND('Calibrare_Linii'!S10="VALIDATED",AND('Calibrare_Linii'!H10=C752,ISNUMBER('Calibrare_Linii'!J10),'Calibrare_Linii'!J10&lt;='Input_Meci'!G59))),"OOS PENDING",IF(S752&lt;='Calibrare_Linii'!E10,"PASS",IF(S752&lt;='Calibrare_Linii'!F10,"PENALTY","WATCH"))))))</x:f>
      </x:c>
      <x:c r="X752" s="2" t="str">
        <x:f>IF(M752="","",IF(AND(AND(J752="PASS",'Calibrare_Linii'!U10="VALID"),'Motor_Meciuri'!K59=12,'Motor_Meciuri'!L59=12,'Motor_Meciuri'!M59="NO",'Motor_Meciuri'!BL59='Motor_Meciuri'!C59,AB752&gt;='Config_v6'!$B$50,AN752&gt;='Config_v6'!$B$51,T752&lt;='Config_v6'!$B$52,L752&lt;='Config_v6'!$B$53,ISNUMBER('Calibrare_Linii'!E10),S752&lt;='Calibrare_Linii'!E10,SUM(AK752:AM752)&gt;0),"CANDIDATE","NO"))</x:f>
      </x:c>
      <x:c r="Y752" s="2" t="str">
        <x:f>IF(B752="","",IF(I752&lt;&gt;"READY","NOT RELEASED",IF(AND(X752="CANDIDATE",V752&gt;='Config_v6'!$B$51,W752="PASS",'Calibrare_Linii'!T10="VALIDATED",AND('Calibrare_Linii'!H10=C752,ISNUMBER('Calibrare_Linii'!J10),'Calibrare_Linii'!J10&lt;='Input_Meci'!G59)),"PASS",IF(X752="CANDIDATE","OOS PENDING","FAIL"))))</x:f>
      </x:c>
      <x:c r="Z752" s="2" t="str">
        <x:f>IF(B752="","",IF(I752&lt;&gt;"READY","",IF(OR(NOT(AND(J752="PASS",'Calibrare_Linii'!U10="VALID")),L752&gt;'Config_v6'!$B$13,W752="WATCH"),5,IF(Y752="PASS",1,MIN(5,MAX('Config_v6'!$B$42,U752)+IF(W752="PENALTY",1,0))))))</x:f>
      </x:c>
      <x:c r="AA752" s="2" t="str">
        <x:f>IF(B752="","",IF(I752&lt;&gt;"READY","NOT RELEASED",IF(Z752=5,"NO BET",IF(OR(AB752&lt;'Config_v6'!$B$16,V752&lt;'Config_v6'!$B$18),"WATCH",IF(Z752=1,"DEFENSIV",IF(Z752=2,"PRUDENT",IF(Z752=3,"MODERAT","RIDICAT")))))))</x:f>
      </x:c>
      <x:c r="AB752" s="10" t="str">
        <x:f>IF(N752="","",MIN(N752,1-S752))</x:f>
      </x:c>
      <x:c r="AC752" s="2" t="str">
        <x:f>IF(AD752&lt;&gt;1,"",COUNTIFS($Z$748:$Z$761,"&lt;"&amp;Z752,$AD$748:$AD$761,1)+COUNTIFS($Z$748:$Z$761,Z752,$AB$748:$AB$761,"&gt;"&amp;AB752,$AD$748:$AD$761,1)+COUNTIFS($Z$748:$Z$761,Z752,$AB$748:$AB$761,AB752,$V$748:$V$761,"&gt;"&amp;V752,$AD$748:$AD$761,1)+COUNTIFS($Z$748:Z752,Z752,$AB$748:AB752,AB752,$V$748:V752,V752,$AD$748:AD752,1))</x:f>
      </x:c>
      <x:c r="AD752" s="2" t="n">
        <x:f>IF(OR(AA752="DEFENSIV",AA752="PRUDENT",AA752="MODERAT",AA752="RIDICAT"),1,0)</x:f>
        <x:v>0</x:v>
      </x:c>
      <x:c r="AE752" s="2" t="str">
        <x:f>IF(AD752&lt;&gt;1,"NO",IF(W752="PASS","YES",IF(W752="OOS PENDING","CONDITIONAL","NO")))</x:f>
        <x:v>NO</x:v>
      </x:c>
      <x:c r="AF752" s="2" t="n">
        <x:f>IF(AND(AD752=1,AC752=1,E752="LIVE"),1,0)</x:f>
        <x:v>0</x:v>
      </x:c>
      <x:c r="AG752" s="2" t="str">
        <x:f>IF(AF752&lt;&gt;1,"",'Dashboard'!P79)</x:f>
      </x:c>
      <x:c r="AH752" s="2" t="str">
        <x:f>IF(B752="","",IF(J752&lt;&gt;"PASS",'Motor_Meciuri'!J59,IF('Calibrare_Linii'!U10&lt;&gt;"VALID","Parametri linie invalizi",IF(L752&gt;'Config_v6'!$B$13,"Dispersie peste limita",IF(W752="WATCH","Failure peste limita",IF(AB752&lt;'Config_v6'!$B$16,"P finala sub prag",IF(V752&lt;'Config_v6'!$B$18,"Confidence sub prag",IF(E752="REPLAY","Exemplu retrospectiv; exclus din Top LIVE",IF(Y752="PASS","DEFENSIV validat",IF(W752="OOS PENDING","Eligibil; calibrare linie in monitorizare","Eligibil"))))))))))</x:f>
      </x:c>
      <x:c r="AI752" s="2" t="str">
        <x:f>IF(B752="","",'Calibrare_Linii'!V10)</x:f>
      </x:c>
      <x:c r="AJ752" s="2" t="str">
        <x:f>IF(B752="","",IF(AND('Calibrare_Linii'!T10="VALIDATED",AND('Calibrare_Linii'!H10=C752,ISNUMBER('Calibrare_Linii'!J10),'Calibrare_Linii'!J10&lt;='Input_Meci'!G59)),"DEFENSIVE VALIDATED",IF(AND('Calibrare_Linii'!S10="VALIDATED",AND('Calibrare_Linii'!H10=C752,ISNUMBER('Calibrare_Linii'!J10),'Calibrare_Linii'!J10&lt;='Input_Meci'!G59)),"TAIL VALIDATED","OOS PENDING")))</x:f>
      </x:c>
      <x:c r="AK752" s="2" t="n">
        <x:f>IF(J752&lt;&gt;"PASS",0,'Motor_Meciuri'!BR59)</x:f>
        <x:v>0</x:v>
      </x:c>
      <x:c r="AL752" s="2" t="n">
        <x:f>IF(J752&lt;&gt;"PASS",0,'Motor_Meciuri'!BS59)</x:f>
        <x:v>0</x:v>
      </x:c>
      <x:c r="AM752" s="2" t="n">
        <x:f>IF(J752&lt;&gt;"PASS",0,'Motor_Meciuri'!BT59)</x:f>
        <x:v>0</x:v>
      </x:c>
      <x:c r="AN752" s="2" t="str">
        <x:f>IF(M752="","",MAX(0,'Motor_Meciuri'!BF59-IF(L752&gt;'Config_v6'!$B$12,'Config_v6'!$B$37,IF(L752&gt;'Config_v6'!$B$11,'Config_v6'!$B$36,0))))</x:f>
      </x:c>
    </x:row>
    <x:row r="753" ht="21" customHeight="1">
      <x:c r="A753" s="2" t="n">
        <x:v>54</x:v>
      </x:c>
      <x:c r="B753" s="2" t="str">
        <x:f>IF('Motor_Meciuri'!A59="","",'Motor_Meciuri'!A59)</x:f>
      </x:c>
      <x:c r="C753" s="2" t="str">
        <x:f>IF(B753="","",'Motor_Meciuri'!B59)</x:f>
      </x:c>
      <x:c r="D753" s="2" t="str">
        <x:f>IF(B753="","",'Motor_Meciuri'!D59)</x:f>
      </x:c>
      <x:c r="E753" s="2" t="str">
        <x:f>IF(B753="","",'Motor_Meciuri'!E59)</x:f>
      </x:c>
      <x:c r="F753" s="2" t="str">
        <x:v>O8,5</x:v>
      </x:c>
      <x:c r="G753" s="2" t="str">
        <x:v>OVER</x:v>
      </x:c>
      <x:c r="H753" s="2" t="n">
        <x:v>8</x:v>
      </x:c>
      <x:c r="I753" s="2" t="str">
        <x:f>IF(B753="","",'Motor_Meciuri'!H59)</x:f>
      </x:c>
      <x:c r="J753" s="2" t="str">
        <x:f>IF(B753="","",'Motor_Meciuri'!I59)</x:f>
      </x:c>
      <x:c r="K753" s="11" t="str">
        <x:f>IF(J753&lt;&gt;"PASS","",'Motor_Meciuri'!BD59)</x:f>
      </x:c>
      <x:c r="L753" s="11" t="str">
        <x:f>IF(J753&lt;&gt;"PASS","",'Motor_Meciuri'!AU59)</x:f>
      </x:c>
      <x:c r="M753" s="10" t="str">
        <x:f>IF(NOT(AND(J753="PASS",'Calibrare_Linii'!U11="VALID")),"",1-'Distributie'!AF59)</x:f>
      </x:c>
      <x:c r="N753" s="10" t="str">
        <x:f>IF(M753="","",MAX(0.01,MIN(0.99,0.5+(M753-0.5)*'Motor_Meciuri'!BG59*'Calibrare_Linii'!D11)))</x:f>
      </x:c>
      <x:c r="O753" s="10" t="str">
        <x:f>IF(M753="","",1-M753)</x:f>
      </x:c>
      <x:c r="P753" s="10" t="str">
        <x:f>IF(OR(NOT(AND(J753="PASS",'Calibrare_Linii'!U11="VALID")),AK753=0),""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*('Istoric_Nativ'!$Q$6:$Q$405&lt;=H753))/AK753)</x:f>
      </x:c>
      <x:c r="Q753" s="10" t="str">
        <x:f>IF(OR(NOT(AND(J753="PASS",'Calibrare_Linii'!U11="VALID")),AL753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M59)+((('Istoric_Nativ'!$E$6:$E$405='Input_Meci'!E59)+('Istoric_Nativ'!$F$6:$F$405='Input_Meci'!E59))&gt;0)*('Istoric_Nativ'!$D$6:$D$405&gt;='Motor_Meciuri'!BN59))&gt;0)*('Istoric_Nativ'!$Q$6:$Q$405&lt;=H753))/AL753)</x:f>
      </x:c>
      <x:c r="R753" s="10" t="str">
        <x:f>IF(OR(NOT(AND(J753="PASS",'Calibrare_Linii'!U11="VALID")),AM753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O59)+((('Istoric_Nativ'!$E$6:$E$405='Input_Meci'!E59)+('Istoric_Nativ'!$F$6:$F$405='Input_Meci'!E59))&gt;0)*('Istoric_Nativ'!$D$6:$D$405&gt;='Motor_Meciuri'!BP59))&gt;0)*('Istoric_Nativ'!$Q$6:$Q$405&lt;=H753))/AM753)</x:f>
      </x:c>
      <x:c r="S753" s="10" t="str">
        <x:f>IF(M753="","",MAX(O753,P753,Q753,R753))</x:f>
      </x:c>
      <x:c r="T753" s="11" t="str">
        <x:f>IF(M753="","",MIN(100,S753*100*'Config_v6'!$B$44+MIN(100,L753/'Config_v6'!$B$13*100)*'Config_v6'!$B$45+(100-'Motor_Meciuri'!BF59)*'Config_v6'!$B$46+'Motor_Meciuri'!BH59*100*'Config_v6'!$B$47))</x:f>
      </x:c>
      <x:c r="U753" s="2" t="str">
        <x:f>IF(T753="","",IF(T753&lt;=20,1,IF(T753&lt;=40,2,IF(T753&lt;=60,3,IF(T753&lt;=80,4,5)))))</x:f>
      </x:c>
      <x:c r="V753" s="2" t="str">
        <x:f>IF(M753="","",MAX(0,'Motor_Meciuri'!BF59-IF(W753="OOS PENDING",'Config_v6'!$B$35,0)-IF(L753&gt;'Config_v6'!$B$12,'Config_v6'!$B$37,IF(L753&gt;'Config_v6'!$B$11,'Config_v6'!$B$36,0))))</x:f>
      </x:c>
      <x:c r="W753" s="2" t="str">
        <x:f>IF(B753="","",IF(I753&lt;&gt;"READY","NOT RELEASED",IF(NOT(AND(J753="PASS",'Calibrare_Linii'!U11="VALID")),"INVALID",IF(NOT(AND('Calibrare_Linii'!S11="VALIDATED",AND('Calibrare_Linii'!H11=C753,ISNUMBER('Calibrare_Linii'!J11),'Calibrare_Linii'!J11&lt;='Input_Meci'!G59))),"OOS PENDING",IF(S753&lt;='Calibrare_Linii'!E11,"PASS",IF(S753&lt;='Calibrare_Linii'!F11,"PENALTY","WATCH"))))))</x:f>
      </x:c>
      <x:c r="X753" s="2" t="str">
        <x:f>IF(M753="","",IF(AND(AND(J753="PASS",'Calibrare_Linii'!U11="VALID"),'Motor_Meciuri'!K59=12,'Motor_Meciuri'!L59=12,'Motor_Meciuri'!M59="NO",'Motor_Meciuri'!BL59='Motor_Meciuri'!C59,AB753&gt;='Config_v6'!$B$50,AN753&gt;='Config_v6'!$B$51,T753&lt;='Config_v6'!$B$52,L753&lt;='Config_v6'!$B$53,ISNUMBER('Calibrare_Linii'!E11),S753&lt;='Calibrare_Linii'!E11,SUM(AK753:AM753)&gt;0),"CANDIDATE","NO"))</x:f>
      </x:c>
      <x:c r="Y753" s="2" t="str">
        <x:f>IF(B753="","",IF(I753&lt;&gt;"READY","NOT RELEASED",IF(AND(X753="CANDIDATE",V753&gt;='Config_v6'!$B$51,W753="PASS",'Calibrare_Linii'!T11="VALIDATED",AND('Calibrare_Linii'!H11=C753,ISNUMBER('Calibrare_Linii'!J11),'Calibrare_Linii'!J11&lt;='Input_Meci'!G59)),"PASS",IF(X753="CANDIDATE","OOS PENDING","FAIL"))))</x:f>
      </x:c>
      <x:c r="Z753" s="2" t="str">
        <x:f>IF(B753="","",IF(I753&lt;&gt;"READY","",IF(OR(NOT(AND(J753="PASS",'Calibrare_Linii'!U11="VALID")),L753&gt;'Config_v6'!$B$13,W753="WATCH"),5,IF(Y753="PASS",1,MIN(5,MAX('Config_v6'!$B$42,U753)+IF(W753="PENALTY",1,0))))))</x:f>
      </x:c>
      <x:c r="AA753" s="2" t="str">
        <x:f>IF(B753="","",IF(I753&lt;&gt;"READY","NOT RELEASED",IF(Z753=5,"NO BET",IF(OR(AB753&lt;'Config_v6'!$B$16,V753&lt;'Config_v6'!$B$18),"WATCH",IF(Z753=1,"DEFENSIV",IF(Z753=2,"PRUDENT",IF(Z753=3,"MODERAT","RIDICAT")))))))</x:f>
      </x:c>
      <x:c r="AB753" s="10" t="str">
        <x:f>IF(N753="","",MIN(N753,1-S753))</x:f>
      </x:c>
      <x:c r="AC753" s="2" t="str">
        <x:f>IF(AD753&lt;&gt;1,"",COUNTIFS($Z$748:$Z$761,"&lt;"&amp;Z753,$AD$748:$AD$761,1)+COUNTIFS($Z$748:$Z$761,Z753,$AB$748:$AB$761,"&gt;"&amp;AB753,$AD$748:$AD$761,1)+COUNTIFS($Z$748:$Z$761,Z753,$AB$748:$AB$761,AB753,$V$748:$V$761,"&gt;"&amp;V753,$AD$748:$AD$761,1)+COUNTIFS($Z$748:Z753,Z753,$AB$748:AB753,AB753,$V$748:V753,V753,$AD$748:AD753,1))</x:f>
      </x:c>
      <x:c r="AD753" s="2" t="n">
        <x:f>IF(OR(AA753="DEFENSIV",AA753="PRUDENT",AA753="MODERAT",AA753="RIDICAT"),1,0)</x:f>
        <x:v>0</x:v>
      </x:c>
      <x:c r="AE753" s="2" t="str">
        <x:f>IF(AD753&lt;&gt;1,"NO",IF(W753="PASS","YES",IF(W753="OOS PENDING","CONDITIONAL","NO")))</x:f>
        <x:v>NO</x:v>
      </x:c>
      <x:c r="AF753" s="2" t="n">
        <x:f>IF(AND(AD753=1,AC753=1,E753="LIVE"),1,0)</x:f>
        <x:v>0</x:v>
      </x:c>
      <x:c r="AG753" s="2" t="str">
        <x:f>IF(AF753&lt;&gt;1,"",'Dashboard'!P79)</x:f>
      </x:c>
      <x:c r="AH753" s="2" t="str">
        <x:f>IF(B753="","",IF(J753&lt;&gt;"PASS",'Motor_Meciuri'!J59,IF('Calibrare_Linii'!U11&lt;&gt;"VALID","Parametri linie invalizi",IF(L753&gt;'Config_v6'!$B$13,"Dispersie peste limita",IF(W753="WATCH","Failure peste limita",IF(AB753&lt;'Config_v6'!$B$16,"P finala sub prag",IF(V753&lt;'Config_v6'!$B$18,"Confidence sub prag",IF(E753="REPLAY","Exemplu retrospectiv; exclus din Top LIVE",IF(Y753="PASS","DEFENSIV validat",IF(W753="OOS PENDING","Eligibil; calibrare linie in monitorizare","Eligibil"))))))))))</x:f>
      </x:c>
      <x:c r="AI753" s="2" t="str">
        <x:f>IF(B753="","",'Calibrare_Linii'!V11)</x:f>
      </x:c>
      <x:c r="AJ753" s="2" t="str">
        <x:f>IF(B753="","",IF(AND('Calibrare_Linii'!T11="VALIDATED",AND('Calibrare_Linii'!H11=C753,ISNUMBER('Calibrare_Linii'!J11),'Calibrare_Linii'!J11&lt;='Input_Meci'!G59)),"DEFENSIVE VALIDATED",IF(AND('Calibrare_Linii'!S11="VALIDATED",AND('Calibrare_Linii'!H11=C753,ISNUMBER('Calibrare_Linii'!J11),'Calibrare_Linii'!J11&lt;='Input_Meci'!G59)),"TAIL VALIDATED","OOS PENDING")))</x:f>
      </x:c>
      <x:c r="AK753" s="2" t="n">
        <x:f>IF(J753&lt;&gt;"PASS",0,'Motor_Meciuri'!BR59)</x:f>
        <x:v>0</x:v>
      </x:c>
      <x:c r="AL753" s="2" t="n">
        <x:f>IF(J753&lt;&gt;"PASS",0,'Motor_Meciuri'!BS59)</x:f>
        <x:v>0</x:v>
      </x:c>
      <x:c r="AM753" s="2" t="n">
        <x:f>IF(J753&lt;&gt;"PASS",0,'Motor_Meciuri'!BT59)</x:f>
        <x:v>0</x:v>
      </x:c>
      <x:c r="AN753" s="2" t="str">
        <x:f>IF(M753="","",MAX(0,'Motor_Meciuri'!BF59-IF(L753&gt;'Config_v6'!$B$12,'Config_v6'!$B$37,IF(L753&gt;'Config_v6'!$B$11,'Config_v6'!$B$36,0))))</x:f>
      </x:c>
    </x:row>
    <x:row r="754" ht="21" customHeight="1">
      <x:c r="A754" s="2" t="n">
        <x:v>54</x:v>
      </x:c>
      <x:c r="B754" s="2" t="str">
        <x:f>IF('Motor_Meciuri'!A59="","",'Motor_Meciuri'!A59)</x:f>
      </x:c>
      <x:c r="C754" s="2" t="str">
        <x:f>IF(B754="","",'Motor_Meciuri'!B59)</x:f>
      </x:c>
      <x:c r="D754" s="2" t="str">
        <x:f>IF(B754="","",'Motor_Meciuri'!D59)</x:f>
      </x:c>
      <x:c r="E754" s="2" t="str">
        <x:f>IF(B754="","",'Motor_Meciuri'!E59)</x:f>
      </x:c>
      <x:c r="F754" s="2" t="str">
        <x:v>U10,5</x:v>
      </x:c>
      <x:c r="G754" s="2" t="str">
        <x:v>UNDER</x:v>
      </x:c>
      <x:c r="H754" s="2" t="n">
        <x:v>10</x:v>
      </x:c>
      <x:c r="I754" s="2" t="str">
        <x:f>IF(B754="","",'Motor_Meciuri'!H59)</x:f>
      </x:c>
      <x:c r="J754" s="2" t="str">
        <x:f>IF(B754="","",'Motor_Meciuri'!I59)</x:f>
      </x:c>
      <x:c r="K754" s="11" t="str">
        <x:f>IF(J754&lt;&gt;"PASS","",'Motor_Meciuri'!BD59)</x:f>
      </x:c>
      <x:c r="L754" s="11" t="str">
        <x:f>IF(J754&lt;&gt;"PASS","",'Motor_Meciuri'!AU59)</x:f>
      </x:c>
      <x:c r="M754" s="10" t="str">
        <x:f>IF(NOT(AND(J754="PASS",'Calibrare_Linii'!U12="VALID")),"",'Distributie'!AH59)</x:f>
      </x:c>
      <x:c r="N754" s="10" t="str">
        <x:f>IF(M754="","",MAX(0.01,MIN(0.99,0.5+(M754-0.5)*'Motor_Meciuri'!BG59*'Calibrare_Linii'!D12)))</x:f>
      </x:c>
      <x:c r="O754" s="10" t="str">
        <x:f>IF(M754="","",1-M754)</x:f>
      </x:c>
      <x:c r="P754" s="10" t="str">
        <x:f>IF(OR(NOT(AND(J754="PASS",'Calibrare_Linii'!U12="VALID")),AK754=0),""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*('Istoric_Nativ'!$Q$6:$Q$405&gt;H754))/AK754)</x:f>
      </x:c>
      <x:c r="Q754" s="10" t="str">
        <x:f>IF(OR(NOT(AND(J754="PASS",'Calibrare_Linii'!U12="VALID")),AL754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M59)+((('Istoric_Nativ'!$E$6:$E$405='Input_Meci'!E59)+('Istoric_Nativ'!$F$6:$F$405='Input_Meci'!E59))&gt;0)*('Istoric_Nativ'!$D$6:$D$405&gt;='Motor_Meciuri'!BN59))&gt;0)*('Istoric_Nativ'!$Q$6:$Q$405&gt;H754))/AL754)</x:f>
      </x:c>
      <x:c r="R754" s="10" t="str">
        <x:f>IF(OR(NOT(AND(J754="PASS",'Calibrare_Linii'!U12="VALID")),AM754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O59)+((('Istoric_Nativ'!$E$6:$E$405='Input_Meci'!E59)+('Istoric_Nativ'!$F$6:$F$405='Input_Meci'!E59))&gt;0)*('Istoric_Nativ'!$D$6:$D$405&gt;='Motor_Meciuri'!BP59))&gt;0)*('Istoric_Nativ'!$Q$6:$Q$405&gt;H754))/AM754)</x:f>
      </x:c>
      <x:c r="S754" s="10" t="str">
        <x:f>IF(M754="","",MAX(O754,P754,Q754,R754))</x:f>
      </x:c>
      <x:c r="T754" s="11" t="str">
        <x:f>IF(M754="","",MIN(100,S754*100*'Config_v6'!$B$44+MIN(100,L754/'Config_v6'!$B$13*100)*'Config_v6'!$B$45+(100-'Motor_Meciuri'!BF59)*'Config_v6'!$B$46+'Motor_Meciuri'!BH59*100*'Config_v6'!$B$47))</x:f>
      </x:c>
      <x:c r="U754" s="2" t="str">
        <x:f>IF(T754="","",IF(T754&lt;=20,1,IF(T754&lt;=40,2,IF(T754&lt;=60,3,IF(T754&lt;=80,4,5)))))</x:f>
      </x:c>
      <x:c r="V754" s="2" t="str">
        <x:f>IF(M754="","",MAX(0,'Motor_Meciuri'!BF59-IF(W754="OOS PENDING",'Config_v6'!$B$35,0)-IF(L754&gt;'Config_v6'!$B$12,'Config_v6'!$B$37,IF(L754&gt;'Config_v6'!$B$11,'Config_v6'!$B$36,0))))</x:f>
      </x:c>
      <x:c r="W754" s="2" t="str">
        <x:f>IF(B754="","",IF(I754&lt;&gt;"READY","NOT RELEASED",IF(NOT(AND(J754="PASS",'Calibrare_Linii'!U12="VALID")),"INVALID",IF(NOT(AND('Calibrare_Linii'!S12="VALIDATED",AND('Calibrare_Linii'!H12=C754,ISNUMBER('Calibrare_Linii'!J12),'Calibrare_Linii'!J12&lt;='Input_Meci'!G59))),"OOS PENDING",IF(S754&lt;='Calibrare_Linii'!E12,"PASS",IF(S754&lt;='Calibrare_Linii'!F12,"PENALTY","WATCH"))))))</x:f>
      </x:c>
      <x:c r="X754" s="2" t="str">
        <x:f>IF(M754="","",IF(AND(AND(J754="PASS",'Calibrare_Linii'!U12="VALID"),'Motor_Meciuri'!K59=12,'Motor_Meciuri'!L59=12,'Motor_Meciuri'!M59="NO",'Motor_Meciuri'!BL59='Motor_Meciuri'!C59,AB754&gt;='Config_v6'!$B$50,AN754&gt;='Config_v6'!$B$51,T754&lt;='Config_v6'!$B$52,L754&lt;='Config_v6'!$B$53,ISNUMBER('Calibrare_Linii'!E12),S754&lt;='Calibrare_Linii'!E12,SUM(AK754:AM754)&gt;0),"CANDIDATE","NO"))</x:f>
      </x:c>
      <x:c r="Y754" s="2" t="str">
        <x:f>IF(B754="","",IF(I754&lt;&gt;"READY","NOT RELEASED",IF(AND(X754="CANDIDATE",V754&gt;='Config_v6'!$B$51,W754="PASS",'Calibrare_Linii'!T12="VALIDATED",AND('Calibrare_Linii'!H12=C754,ISNUMBER('Calibrare_Linii'!J12),'Calibrare_Linii'!J12&lt;='Input_Meci'!G59)),"PASS",IF(X754="CANDIDATE","OOS PENDING","FAIL"))))</x:f>
      </x:c>
      <x:c r="Z754" s="2" t="str">
        <x:f>IF(B754="","",IF(I754&lt;&gt;"READY","",IF(OR(NOT(AND(J754="PASS",'Calibrare_Linii'!U12="VALID")),L754&gt;'Config_v6'!$B$13,W754="WATCH"),5,IF(Y754="PASS",1,MIN(5,MAX('Config_v6'!$B$42,U754)+IF(W754="PENALTY",1,0))))))</x:f>
      </x:c>
      <x:c r="AA754" s="2" t="str">
        <x:f>IF(B754="","",IF(I754&lt;&gt;"READY","NOT RELEASED",IF(Z754=5,"NO BET",IF(OR(AB754&lt;'Config_v6'!$B$16,V754&lt;'Config_v6'!$B$18),"WATCH",IF(Z754=1,"DEFENSIV",IF(Z754=2,"PRUDENT",IF(Z754=3,"MODERAT","RIDICAT")))))))</x:f>
      </x:c>
      <x:c r="AB754" s="10" t="str">
        <x:f>IF(N754="","",MIN(N754,1-S754))</x:f>
      </x:c>
      <x:c r="AC754" s="2" t="str">
        <x:f>IF(AD754&lt;&gt;1,"",COUNTIFS($Z$748:$Z$761,"&lt;"&amp;Z754,$AD$748:$AD$761,1)+COUNTIFS($Z$748:$Z$761,Z754,$AB$748:$AB$761,"&gt;"&amp;AB754,$AD$748:$AD$761,1)+COUNTIFS($Z$748:$Z$761,Z754,$AB$748:$AB$761,AB754,$V$748:$V$761,"&gt;"&amp;V754,$AD$748:$AD$761,1)+COUNTIFS($Z$748:Z754,Z754,$AB$748:AB754,AB754,$V$748:V754,V754,$AD$748:AD754,1))</x:f>
      </x:c>
      <x:c r="AD754" s="2" t="n">
        <x:f>IF(OR(AA754="DEFENSIV",AA754="PRUDENT",AA754="MODERAT",AA754="RIDICAT"),1,0)</x:f>
        <x:v>0</x:v>
      </x:c>
      <x:c r="AE754" s="2" t="str">
        <x:f>IF(AD754&lt;&gt;1,"NO",IF(W754="PASS","YES",IF(W754="OOS PENDING","CONDITIONAL","NO")))</x:f>
        <x:v>NO</x:v>
      </x:c>
      <x:c r="AF754" s="2" t="n">
        <x:f>IF(AND(AD754=1,AC754=1,E754="LIVE"),1,0)</x:f>
        <x:v>0</x:v>
      </x:c>
      <x:c r="AG754" s="2" t="str">
        <x:f>IF(AF754&lt;&gt;1,"",'Dashboard'!P79)</x:f>
      </x:c>
      <x:c r="AH754" s="2" t="str">
        <x:f>IF(B754="","",IF(J754&lt;&gt;"PASS",'Motor_Meciuri'!J59,IF('Calibrare_Linii'!U12&lt;&gt;"VALID","Parametri linie invalizi",IF(L754&gt;'Config_v6'!$B$13,"Dispersie peste limita",IF(W754="WATCH","Failure peste limita",IF(AB754&lt;'Config_v6'!$B$16,"P finala sub prag",IF(V754&lt;'Config_v6'!$B$18,"Confidence sub prag",IF(E754="REPLAY","Exemplu retrospectiv; exclus din Top LIVE",IF(Y754="PASS","DEFENSIV validat",IF(W754="OOS PENDING","Eligibil; calibrare linie in monitorizare","Eligibil"))))))))))</x:f>
      </x:c>
      <x:c r="AI754" s="2" t="str">
        <x:f>IF(B754="","",'Calibrare_Linii'!V12)</x:f>
      </x:c>
      <x:c r="AJ754" s="2" t="str">
        <x:f>IF(B754="","",IF(AND('Calibrare_Linii'!T12="VALIDATED",AND('Calibrare_Linii'!H12=C754,ISNUMBER('Calibrare_Linii'!J12),'Calibrare_Linii'!J12&lt;='Input_Meci'!G59)),"DEFENSIVE VALIDATED",IF(AND('Calibrare_Linii'!S12="VALIDATED",AND('Calibrare_Linii'!H12=C754,ISNUMBER('Calibrare_Linii'!J12),'Calibrare_Linii'!J12&lt;='Input_Meci'!G59)),"TAIL VALIDATED","OOS PENDING")))</x:f>
      </x:c>
      <x:c r="AK754" s="2" t="n">
        <x:f>IF(J754&lt;&gt;"PASS",0,'Motor_Meciuri'!BR59)</x:f>
        <x:v>0</x:v>
      </x:c>
      <x:c r="AL754" s="2" t="n">
        <x:f>IF(J754&lt;&gt;"PASS",0,'Motor_Meciuri'!BS59)</x:f>
        <x:v>0</x:v>
      </x:c>
      <x:c r="AM754" s="2" t="n">
        <x:f>IF(J754&lt;&gt;"PASS",0,'Motor_Meciuri'!BT59)</x:f>
        <x:v>0</x:v>
      </x:c>
      <x:c r="AN754" s="2" t="str">
        <x:f>IF(M754="","",MAX(0,'Motor_Meciuri'!BF59-IF(L754&gt;'Config_v6'!$B$12,'Config_v6'!$B$37,IF(L754&gt;'Config_v6'!$B$11,'Config_v6'!$B$36,0))))</x:f>
      </x:c>
    </x:row>
    <x:row r="755" ht="21" customHeight="1">
      <x:c r="A755" s="2" t="n">
        <x:v>54</x:v>
      </x:c>
      <x:c r="B755" s="2" t="str">
        <x:f>IF('Motor_Meciuri'!A59="","",'Motor_Meciuri'!A59)</x:f>
      </x:c>
      <x:c r="C755" s="2" t="str">
        <x:f>IF(B755="","",'Motor_Meciuri'!B59)</x:f>
      </x:c>
      <x:c r="D755" s="2" t="str">
        <x:f>IF(B755="","",'Motor_Meciuri'!D59)</x:f>
      </x:c>
      <x:c r="E755" s="2" t="str">
        <x:f>IF(B755="","",'Motor_Meciuri'!E59)</x:f>
      </x:c>
      <x:c r="F755" s="2" t="str">
        <x:v>U11,5</x:v>
      </x:c>
      <x:c r="G755" s="2" t="str">
        <x:v>UNDER</x:v>
      </x:c>
      <x:c r="H755" s="2" t="n">
        <x:v>11</x:v>
      </x:c>
      <x:c r="I755" s="2" t="str">
        <x:f>IF(B755="","",'Motor_Meciuri'!H59)</x:f>
      </x:c>
      <x:c r="J755" s="2" t="str">
        <x:f>IF(B755="","",'Motor_Meciuri'!I59)</x:f>
      </x:c>
      <x:c r="K755" s="11" t="str">
        <x:f>IF(J755&lt;&gt;"PASS","",'Motor_Meciuri'!BD59)</x:f>
      </x:c>
      <x:c r="L755" s="11" t="str">
        <x:f>IF(J755&lt;&gt;"PASS","",'Motor_Meciuri'!AU59)</x:f>
      </x:c>
      <x:c r="M755" s="10" t="str">
        <x:f>IF(NOT(AND(J755="PASS",'Calibrare_Linii'!U13="VALID")),"",'Distributie'!AI59)</x:f>
      </x:c>
      <x:c r="N755" s="10" t="str">
        <x:f>IF(M755="","",MAX(0.01,MIN(0.99,0.5+(M755-0.5)*'Motor_Meciuri'!BG59*'Calibrare_Linii'!D13)))</x:f>
      </x:c>
      <x:c r="O755" s="10" t="str">
        <x:f>IF(M755="","",1-M755)</x:f>
      </x:c>
      <x:c r="P755" s="10" t="str">
        <x:f>IF(OR(NOT(AND(J755="PASS",'Calibrare_Linii'!U13="VALID")),AK755=0),""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*('Istoric_Nativ'!$Q$6:$Q$405&gt;H755))/AK755)</x:f>
      </x:c>
      <x:c r="Q755" s="10" t="str">
        <x:f>IF(OR(NOT(AND(J755="PASS",'Calibrare_Linii'!U13="VALID")),AL755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M59)+((('Istoric_Nativ'!$E$6:$E$405='Input_Meci'!E59)+('Istoric_Nativ'!$F$6:$F$405='Input_Meci'!E59))&gt;0)*('Istoric_Nativ'!$D$6:$D$405&gt;='Motor_Meciuri'!BN59))&gt;0)*('Istoric_Nativ'!$Q$6:$Q$405&gt;H755))/AL755)</x:f>
      </x:c>
      <x:c r="R755" s="10" t="str">
        <x:f>IF(OR(NOT(AND(J755="PASS",'Calibrare_Linii'!U13="VALID")),AM755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O59)+((('Istoric_Nativ'!$E$6:$E$405='Input_Meci'!E59)+('Istoric_Nativ'!$F$6:$F$405='Input_Meci'!E59))&gt;0)*('Istoric_Nativ'!$D$6:$D$405&gt;='Motor_Meciuri'!BP59))&gt;0)*('Istoric_Nativ'!$Q$6:$Q$405&gt;H755))/AM755)</x:f>
      </x:c>
      <x:c r="S755" s="10" t="str">
        <x:f>IF(M755="","",MAX(O755,P755,Q755,R755))</x:f>
      </x:c>
      <x:c r="T755" s="11" t="str">
        <x:f>IF(M755="","",MIN(100,S755*100*'Config_v6'!$B$44+MIN(100,L755/'Config_v6'!$B$13*100)*'Config_v6'!$B$45+(100-'Motor_Meciuri'!BF59)*'Config_v6'!$B$46+'Motor_Meciuri'!BH59*100*'Config_v6'!$B$47))</x:f>
      </x:c>
      <x:c r="U755" s="2" t="str">
        <x:f>IF(T755="","",IF(T755&lt;=20,1,IF(T755&lt;=40,2,IF(T755&lt;=60,3,IF(T755&lt;=80,4,5)))))</x:f>
      </x:c>
      <x:c r="V755" s="2" t="str">
        <x:f>IF(M755="","",MAX(0,'Motor_Meciuri'!BF59-IF(W755="OOS PENDING",'Config_v6'!$B$35,0)-IF(L755&gt;'Config_v6'!$B$12,'Config_v6'!$B$37,IF(L755&gt;'Config_v6'!$B$11,'Config_v6'!$B$36,0))))</x:f>
      </x:c>
      <x:c r="W755" s="2" t="str">
        <x:f>IF(B755="","",IF(I755&lt;&gt;"READY","NOT RELEASED",IF(NOT(AND(J755="PASS",'Calibrare_Linii'!U13="VALID")),"INVALID",IF(NOT(AND('Calibrare_Linii'!S13="VALIDATED",AND('Calibrare_Linii'!H13=C755,ISNUMBER('Calibrare_Linii'!J13),'Calibrare_Linii'!J13&lt;='Input_Meci'!G59))),"OOS PENDING",IF(S755&lt;='Calibrare_Linii'!E13,"PASS",IF(S755&lt;='Calibrare_Linii'!F13,"PENALTY","WATCH"))))))</x:f>
      </x:c>
      <x:c r="X755" s="2" t="str">
        <x:f>IF(M755="","",IF(AND(AND(J755="PASS",'Calibrare_Linii'!U13="VALID"),'Motor_Meciuri'!K59=12,'Motor_Meciuri'!L59=12,'Motor_Meciuri'!M59="NO",'Motor_Meciuri'!BL59='Motor_Meciuri'!C59,AB755&gt;='Config_v6'!$B$50,AN755&gt;='Config_v6'!$B$51,T755&lt;='Config_v6'!$B$52,L755&lt;='Config_v6'!$B$53,ISNUMBER('Calibrare_Linii'!E13),S755&lt;='Calibrare_Linii'!E13,SUM(AK755:AM755)&gt;0),"CANDIDATE","NO"))</x:f>
      </x:c>
      <x:c r="Y755" s="2" t="str">
        <x:f>IF(B755="","",IF(I755&lt;&gt;"READY","NOT RELEASED",IF(AND(X755="CANDIDATE",V755&gt;='Config_v6'!$B$51,W755="PASS",'Calibrare_Linii'!T13="VALIDATED",AND('Calibrare_Linii'!H13=C755,ISNUMBER('Calibrare_Linii'!J13),'Calibrare_Linii'!J13&lt;='Input_Meci'!G59)),"PASS",IF(X755="CANDIDATE","OOS PENDING","FAIL"))))</x:f>
      </x:c>
      <x:c r="Z755" s="2" t="str">
        <x:f>IF(B755="","",IF(I755&lt;&gt;"READY","",IF(OR(NOT(AND(J755="PASS",'Calibrare_Linii'!U13="VALID")),L755&gt;'Config_v6'!$B$13,W755="WATCH"),5,IF(Y755="PASS",1,MIN(5,MAX('Config_v6'!$B$42,U755)+IF(W755="PENALTY",1,0))))))</x:f>
      </x:c>
      <x:c r="AA755" s="2" t="str">
        <x:f>IF(B755="","",IF(I755&lt;&gt;"READY","NOT RELEASED",IF(Z755=5,"NO BET",IF(OR(AB755&lt;'Config_v6'!$B$16,V755&lt;'Config_v6'!$B$18),"WATCH",IF(Z755=1,"DEFENSIV",IF(Z755=2,"PRUDENT",IF(Z755=3,"MODERAT","RIDICAT")))))))</x:f>
      </x:c>
      <x:c r="AB755" s="10" t="str">
        <x:f>IF(N755="","",MIN(N755,1-S755))</x:f>
      </x:c>
      <x:c r="AC755" s="2" t="str">
        <x:f>IF(AD755&lt;&gt;1,"",COUNTIFS($Z$748:$Z$761,"&lt;"&amp;Z755,$AD$748:$AD$761,1)+COUNTIFS($Z$748:$Z$761,Z755,$AB$748:$AB$761,"&gt;"&amp;AB755,$AD$748:$AD$761,1)+COUNTIFS($Z$748:$Z$761,Z755,$AB$748:$AB$761,AB755,$V$748:$V$761,"&gt;"&amp;V755,$AD$748:$AD$761,1)+COUNTIFS($Z$748:Z755,Z755,$AB$748:AB755,AB755,$V$748:V755,V755,$AD$748:AD755,1))</x:f>
      </x:c>
      <x:c r="AD755" s="2" t="n">
        <x:f>IF(OR(AA755="DEFENSIV",AA755="PRUDENT",AA755="MODERAT",AA755="RIDICAT"),1,0)</x:f>
        <x:v>0</x:v>
      </x:c>
      <x:c r="AE755" s="2" t="str">
        <x:f>IF(AD755&lt;&gt;1,"NO",IF(W755="PASS","YES",IF(W755="OOS PENDING","CONDITIONAL","NO")))</x:f>
        <x:v>NO</x:v>
      </x:c>
      <x:c r="AF755" s="2" t="n">
        <x:f>IF(AND(AD755=1,AC755=1,E755="LIVE"),1,0)</x:f>
        <x:v>0</x:v>
      </x:c>
      <x:c r="AG755" s="2" t="str">
        <x:f>IF(AF755&lt;&gt;1,"",'Dashboard'!P79)</x:f>
      </x:c>
      <x:c r="AH755" s="2" t="str">
        <x:f>IF(B755="","",IF(J755&lt;&gt;"PASS",'Motor_Meciuri'!J59,IF('Calibrare_Linii'!U13&lt;&gt;"VALID","Parametri linie invalizi",IF(L755&gt;'Config_v6'!$B$13,"Dispersie peste limita",IF(W755="WATCH","Failure peste limita",IF(AB755&lt;'Config_v6'!$B$16,"P finala sub prag",IF(V755&lt;'Config_v6'!$B$18,"Confidence sub prag",IF(E755="REPLAY","Exemplu retrospectiv; exclus din Top LIVE",IF(Y755="PASS","DEFENSIV validat",IF(W755="OOS PENDING","Eligibil; calibrare linie in monitorizare","Eligibil"))))))))))</x:f>
      </x:c>
      <x:c r="AI755" s="2" t="str">
        <x:f>IF(B755="","",'Calibrare_Linii'!V13)</x:f>
      </x:c>
      <x:c r="AJ755" s="2" t="str">
        <x:f>IF(B755="","",IF(AND('Calibrare_Linii'!T13="VALIDATED",AND('Calibrare_Linii'!H13=C755,ISNUMBER('Calibrare_Linii'!J13),'Calibrare_Linii'!J13&lt;='Input_Meci'!G59)),"DEFENSIVE VALIDATED",IF(AND('Calibrare_Linii'!S13="VALIDATED",AND('Calibrare_Linii'!H13=C755,ISNUMBER('Calibrare_Linii'!J13),'Calibrare_Linii'!J13&lt;='Input_Meci'!G59)),"TAIL VALIDATED","OOS PENDING")))</x:f>
      </x:c>
      <x:c r="AK755" s="2" t="n">
        <x:f>IF(J755&lt;&gt;"PASS",0,'Motor_Meciuri'!BR59)</x:f>
        <x:v>0</x:v>
      </x:c>
      <x:c r="AL755" s="2" t="n">
        <x:f>IF(J755&lt;&gt;"PASS",0,'Motor_Meciuri'!BS59)</x:f>
        <x:v>0</x:v>
      </x:c>
      <x:c r="AM755" s="2" t="n">
        <x:f>IF(J755&lt;&gt;"PASS",0,'Motor_Meciuri'!BT59)</x:f>
        <x:v>0</x:v>
      </x:c>
      <x:c r="AN755" s="2" t="str">
        <x:f>IF(M755="","",MAX(0,'Motor_Meciuri'!BF59-IF(L755&gt;'Config_v6'!$B$12,'Config_v6'!$B$37,IF(L755&gt;'Config_v6'!$B$11,'Config_v6'!$B$36,0))))</x:f>
      </x:c>
    </x:row>
    <x:row r="756" ht="21" customHeight="1">
      <x:c r="A756" s="2" t="n">
        <x:v>54</x:v>
      </x:c>
      <x:c r="B756" s="2" t="str">
        <x:f>IF('Motor_Meciuri'!A59="","",'Motor_Meciuri'!A59)</x:f>
      </x:c>
      <x:c r="C756" s="2" t="str">
        <x:f>IF(B756="","",'Motor_Meciuri'!B59)</x:f>
      </x:c>
      <x:c r="D756" s="2" t="str">
        <x:f>IF(B756="","",'Motor_Meciuri'!D59)</x:f>
      </x:c>
      <x:c r="E756" s="2" t="str">
        <x:f>IF(B756="","",'Motor_Meciuri'!E59)</x:f>
      </x:c>
      <x:c r="F756" s="2" t="str">
        <x:v>U12,5</x:v>
      </x:c>
      <x:c r="G756" s="2" t="str">
        <x:v>UNDER</x:v>
      </x:c>
      <x:c r="H756" s="2" t="n">
        <x:v>12</x:v>
      </x:c>
      <x:c r="I756" s="2" t="str">
        <x:f>IF(B756="","",'Motor_Meciuri'!H59)</x:f>
      </x:c>
      <x:c r="J756" s="2" t="str">
        <x:f>IF(B756="","",'Motor_Meciuri'!I59)</x:f>
      </x:c>
      <x:c r="K756" s="11" t="str">
        <x:f>IF(J756&lt;&gt;"PASS","",'Motor_Meciuri'!BD59)</x:f>
      </x:c>
      <x:c r="L756" s="11" t="str">
        <x:f>IF(J756&lt;&gt;"PASS","",'Motor_Meciuri'!AU59)</x:f>
      </x:c>
      <x:c r="M756" s="10" t="str">
        <x:f>IF(NOT(AND(J756="PASS",'Calibrare_Linii'!U14="VALID")),"",'Distributie'!AJ59)</x:f>
      </x:c>
      <x:c r="N756" s="10" t="str">
        <x:f>IF(M756="","",MAX(0.01,MIN(0.99,0.5+(M756-0.5)*'Motor_Meciuri'!BG59*'Calibrare_Linii'!D14)))</x:f>
      </x:c>
      <x:c r="O756" s="10" t="str">
        <x:f>IF(M756="","",1-M756)</x:f>
      </x:c>
      <x:c r="P756" s="10" t="str">
        <x:f>IF(OR(NOT(AND(J756="PASS",'Calibrare_Linii'!U14="VALID")),AK756=0),""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*('Istoric_Nativ'!$Q$6:$Q$405&gt;H756))/AK756)</x:f>
      </x:c>
      <x:c r="Q756" s="10" t="str">
        <x:f>IF(OR(NOT(AND(J756="PASS",'Calibrare_Linii'!U14="VALID")),AL756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M59)+((('Istoric_Nativ'!$E$6:$E$405='Input_Meci'!E59)+('Istoric_Nativ'!$F$6:$F$405='Input_Meci'!E59))&gt;0)*('Istoric_Nativ'!$D$6:$D$405&gt;='Motor_Meciuri'!BN59))&gt;0)*('Istoric_Nativ'!$Q$6:$Q$405&gt;H756))/AL756)</x:f>
      </x:c>
      <x:c r="R756" s="10" t="str">
        <x:f>IF(OR(NOT(AND(J756="PASS",'Calibrare_Linii'!U14="VALID")),AM756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O59)+((('Istoric_Nativ'!$E$6:$E$405='Input_Meci'!E59)+('Istoric_Nativ'!$F$6:$F$405='Input_Meci'!E59))&gt;0)*('Istoric_Nativ'!$D$6:$D$405&gt;='Motor_Meciuri'!BP59))&gt;0)*('Istoric_Nativ'!$Q$6:$Q$405&gt;H756))/AM756)</x:f>
      </x:c>
      <x:c r="S756" s="10" t="str">
        <x:f>IF(M756="","",MAX(O756,P756,Q756,R756))</x:f>
      </x:c>
      <x:c r="T756" s="11" t="str">
        <x:f>IF(M756="","",MIN(100,S756*100*'Config_v6'!$B$44+MIN(100,L756/'Config_v6'!$B$13*100)*'Config_v6'!$B$45+(100-'Motor_Meciuri'!BF59)*'Config_v6'!$B$46+'Motor_Meciuri'!BH59*100*'Config_v6'!$B$47))</x:f>
      </x:c>
      <x:c r="U756" s="2" t="str">
        <x:f>IF(T756="","",IF(T756&lt;=20,1,IF(T756&lt;=40,2,IF(T756&lt;=60,3,IF(T756&lt;=80,4,5)))))</x:f>
      </x:c>
      <x:c r="V756" s="2" t="str">
        <x:f>IF(M756="","",MAX(0,'Motor_Meciuri'!BF59-IF(W756="OOS PENDING",'Config_v6'!$B$35,0)-IF(L756&gt;'Config_v6'!$B$12,'Config_v6'!$B$37,IF(L756&gt;'Config_v6'!$B$11,'Config_v6'!$B$36,0))))</x:f>
      </x:c>
      <x:c r="W756" s="2" t="str">
        <x:f>IF(B756="","",IF(I756&lt;&gt;"READY","NOT RELEASED",IF(NOT(AND(J756="PASS",'Calibrare_Linii'!U14="VALID")),"INVALID",IF(NOT(AND('Calibrare_Linii'!S14="VALIDATED",AND('Calibrare_Linii'!H14=C756,ISNUMBER('Calibrare_Linii'!J14),'Calibrare_Linii'!J14&lt;='Input_Meci'!G59))),"OOS PENDING",IF(S756&lt;='Calibrare_Linii'!E14,"PASS",IF(S756&lt;='Calibrare_Linii'!F14,"PENALTY","WATCH"))))))</x:f>
      </x:c>
      <x:c r="X756" s="2" t="str">
        <x:f>IF(M756="","",IF(AND(AND(J756="PASS",'Calibrare_Linii'!U14="VALID"),'Motor_Meciuri'!K59=12,'Motor_Meciuri'!L59=12,'Motor_Meciuri'!M59="NO",'Motor_Meciuri'!BL59='Motor_Meciuri'!C59,AB756&gt;='Config_v6'!$B$50,AN756&gt;='Config_v6'!$B$51,T756&lt;='Config_v6'!$B$52,L756&lt;='Config_v6'!$B$53,ISNUMBER('Calibrare_Linii'!E14),S756&lt;='Calibrare_Linii'!E14,SUM(AK756:AM756)&gt;0),"CANDIDATE","NO"))</x:f>
      </x:c>
      <x:c r="Y756" s="2" t="str">
        <x:f>IF(B756="","",IF(I756&lt;&gt;"READY","NOT RELEASED",IF(AND(X756="CANDIDATE",V756&gt;='Config_v6'!$B$51,W756="PASS",'Calibrare_Linii'!T14="VALIDATED",AND('Calibrare_Linii'!H14=C756,ISNUMBER('Calibrare_Linii'!J14),'Calibrare_Linii'!J14&lt;='Input_Meci'!G59)),"PASS",IF(X756="CANDIDATE","OOS PENDING","FAIL"))))</x:f>
      </x:c>
      <x:c r="Z756" s="2" t="str">
        <x:f>IF(B756="","",IF(I756&lt;&gt;"READY","",IF(OR(NOT(AND(J756="PASS",'Calibrare_Linii'!U14="VALID")),L756&gt;'Config_v6'!$B$13,W756="WATCH"),5,IF(Y756="PASS",1,MIN(5,MAX('Config_v6'!$B$42,U756)+IF(W756="PENALTY",1,0))))))</x:f>
      </x:c>
      <x:c r="AA756" s="2" t="str">
        <x:f>IF(B756="","",IF(I756&lt;&gt;"READY","NOT RELEASED",IF(Z756=5,"NO BET",IF(OR(AB756&lt;'Config_v6'!$B$16,V756&lt;'Config_v6'!$B$18),"WATCH",IF(Z756=1,"DEFENSIV",IF(Z756=2,"PRUDENT",IF(Z756=3,"MODERAT","RIDICAT")))))))</x:f>
      </x:c>
      <x:c r="AB756" s="10" t="str">
        <x:f>IF(N756="","",MIN(N756,1-S756))</x:f>
      </x:c>
      <x:c r="AC756" s="2" t="str">
        <x:f>IF(AD756&lt;&gt;1,"",COUNTIFS($Z$748:$Z$761,"&lt;"&amp;Z756,$AD$748:$AD$761,1)+COUNTIFS($Z$748:$Z$761,Z756,$AB$748:$AB$761,"&gt;"&amp;AB756,$AD$748:$AD$761,1)+COUNTIFS($Z$748:$Z$761,Z756,$AB$748:$AB$761,AB756,$V$748:$V$761,"&gt;"&amp;V756,$AD$748:$AD$761,1)+COUNTIFS($Z$748:Z756,Z756,$AB$748:AB756,AB756,$V$748:V756,V756,$AD$748:AD756,1))</x:f>
      </x:c>
      <x:c r="AD756" s="2" t="n">
        <x:f>IF(OR(AA756="DEFENSIV",AA756="PRUDENT",AA756="MODERAT",AA756="RIDICAT"),1,0)</x:f>
        <x:v>0</x:v>
      </x:c>
      <x:c r="AE756" s="2" t="str">
        <x:f>IF(AD756&lt;&gt;1,"NO",IF(W756="PASS","YES",IF(W756="OOS PENDING","CONDITIONAL","NO")))</x:f>
        <x:v>NO</x:v>
      </x:c>
      <x:c r="AF756" s="2" t="n">
        <x:f>IF(AND(AD756=1,AC756=1,E756="LIVE"),1,0)</x:f>
        <x:v>0</x:v>
      </x:c>
      <x:c r="AG756" s="2" t="str">
        <x:f>IF(AF756&lt;&gt;1,"",'Dashboard'!P79)</x:f>
      </x:c>
      <x:c r="AH756" s="2" t="str">
        <x:f>IF(B756="","",IF(J756&lt;&gt;"PASS",'Motor_Meciuri'!J59,IF('Calibrare_Linii'!U14&lt;&gt;"VALID","Parametri linie invalizi",IF(L756&gt;'Config_v6'!$B$13,"Dispersie peste limita",IF(W756="WATCH","Failure peste limita",IF(AB756&lt;'Config_v6'!$B$16,"P finala sub prag",IF(V756&lt;'Config_v6'!$B$18,"Confidence sub prag",IF(E756="REPLAY","Exemplu retrospectiv; exclus din Top LIVE",IF(Y756="PASS","DEFENSIV validat",IF(W756="OOS PENDING","Eligibil; calibrare linie in monitorizare","Eligibil"))))))))))</x:f>
      </x:c>
      <x:c r="AI756" s="2" t="str">
        <x:f>IF(B756="","",'Calibrare_Linii'!V14)</x:f>
      </x:c>
      <x:c r="AJ756" s="2" t="str">
        <x:f>IF(B756="","",IF(AND('Calibrare_Linii'!T14="VALIDATED",AND('Calibrare_Linii'!H14=C756,ISNUMBER('Calibrare_Linii'!J14),'Calibrare_Linii'!J14&lt;='Input_Meci'!G59)),"DEFENSIVE VALIDATED",IF(AND('Calibrare_Linii'!S14="VALIDATED",AND('Calibrare_Linii'!H14=C756,ISNUMBER('Calibrare_Linii'!J14),'Calibrare_Linii'!J14&lt;='Input_Meci'!G59)),"TAIL VALIDATED","OOS PENDING")))</x:f>
      </x:c>
      <x:c r="AK756" s="2" t="n">
        <x:f>IF(J756&lt;&gt;"PASS",0,'Motor_Meciuri'!BR59)</x:f>
        <x:v>0</x:v>
      </x:c>
      <x:c r="AL756" s="2" t="n">
        <x:f>IF(J756&lt;&gt;"PASS",0,'Motor_Meciuri'!BS59)</x:f>
        <x:v>0</x:v>
      </x:c>
      <x:c r="AM756" s="2" t="n">
        <x:f>IF(J756&lt;&gt;"PASS",0,'Motor_Meciuri'!BT59)</x:f>
        <x:v>0</x:v>
      </x:c>
      <x:c r="AN756" s="2" t="str">
        <x:f>IF(M756="","",MAX(0,'Motor_Meciuri'!BF59-IF(L756&gt;'Config_v6'!$B$12,'Config_v6'!$B$37,IF(L756&gt;'Config_v6'!$B$11,'Config_v6'!$B$36,0))))</x:f>
      </x:c>
    </x:row>
    <x:row r="757" ht="21" customHeight="1">
      <x:c r="A757" s="2" t="n">
        <x:v>54</x:v>
      </x:c>
      <x:c r="B757" s="2" t="str">
        <x:f>IF('Motor_Meciuri'!A59="","",'Motor_Meciuri'!A59)</x:f>
      </x:c>
      <x:c r="C757" s="2" t="str">
        <x:f>IF(B757="","",'Motor_Meciuri'!B59)</x:f>
      </x:c>
      <x:c r="D757" s="2" t="str">
        <x:f>IF(B757="","",'Motor_Meciuri'!D59)</x:f>
      </x:c>
      <x:c r="E757" s="2" t="str">
        <x:f>IF(B757="","",'Motor_Meciuri'!E59)</x:f>
      </x:c>
      <x:c r="F757" s="2" t="str">
        <x:v>U13,5</x:v>
      </x:c>
      <x:c r="G757" s="2" t="str">
        <x:v>UNDER</x:v>
      </x:c>
      <x:c r="H757" s="2" t="n">
        <x:v>13</x:v>
      </x:c>
      <x:c r="I757" s="2" t="str">
        <x:f>IF(B757="","",'Motor_Meciuri'!H59)</x:f>
      </x:c>
      <x:c r="J757" s="2" t="str">
        <x:f>IF(B757="","",'Motor_Meciuri'!I59)</x:f>
      </x:c>
      <x:c r="K757" s="11" t="str">
        <x:f>IF(J757&lt;&gt;"PASS","",'Motor_Meciuri'!BD59)</x:f>
      </x:c>
      <x:c r="L757" s="11" t="str">
        <x:f>IF(J757&lt;&gt;"PASS","",'Motor_Meciuri'!AU59)</x:f>
      </x:c>
      <x:c r="M757" s="10" t="str">
        <x:f>IF(NOT(AND(J757="PASS",'Calibrare_Linii'!U15="VALID")),"",'Distributie'!AK59)</x:f>
      </x:c>
      <x:c r="N757" s="10" t="str">
        <x:f>IF(M757="","",MAX(0.01,MIN(0.99,0.5+(M757-0.5)*'Motor_Meciuri'!BG59*'Calibrare_Linii'!D15)))</x:f>
      </x:c>
      <x:c r="O757" s="10" t="str">
        <x:f>IF(M757="","",1-M757)</x:f>
      </x:c>
      <x:c r="P757" s="10" t="str">
        <x:f>IF(OR(NOT(AND(J757="PASS",'Calibrare_Linii'!U15="VALID")),AK757=0),""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*('Istoric_Nativ'!$Q$6:$Q$405&gt;H757))/AK757)</x:f>
      </x:c>
      <x:c r="Q757" s="10" t="str">
        <x:f>IF(OR(NOT(AND(J757="PASS",'Calibrare_Linii'!U15="VALID")),AL757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M59)+((('Istoric_Nativ'!$E$6:$E$405='Input_Meci'!E59)+('Istoric_Nativ'!$F$6:$F$405='Input_Meci'!E59))&gt;0)*('Istoric_Nativ'!$D$6:$D$405&gt;='Motor_Meciuri'!BN59))&gt;0)*('Istoric_Nativ'!$Q$6:$Q$405&gt;H757))/AL757)</x:f>
      </x:c>
      <x:c r="R757" s="10" t="str">
        <x:f>IF(OR(NOT(AND(J757="PASS",'Calibrare_Linii'!U15="VALID")),AM757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O59)+((('Istoric_Nativ'!$E$6:$E$405='Input_Meci'!E59)+('Istoric_Nativ'!$F$6:$F$405='Input_Meci'!E59))&gt;0)*('Istoric_Nativ'!$D$6:$D$405&gt;='Motor_Meciuri'!BP59))&gt;0)*('Istoric_Nativ'!$Q$6:$Q$405&gt;H757))/AM757)</x:f>
      </x:c>
      <x:c r="S757" s="10" t="str">
        <x:f>IF(M757="","",MAX(O757,P757,Q757,R757))</x:f>
      </x:c>
      <x:c r="T757" s="11" t="str">
        <x:f>IF(M757="","",MIN(100,S757*100*'Config_v6'!$B$44+MIN(100,L757/'Config_v6'!$B$13*100)*'Config_v6'!$B$45+(100-'Motor_Meciuri'!BF59)*'Config_v6'!$B$46+'Motor_Meciuri'!BH59*100*'Config_v6'!$B$47))</x:f>
      </x:c>
      <x:c r="U757" s="2" t="str">
        <x:f>IF(T757="","",IF(T757&lt;=20,1,IF(T757&lt;=40,2,IF(T757&lt;=60,3,IF(T757&lt;=80,4,5)))))</x:f>
      </x:c>
      <x:c r="V757" s="2" t="str">
        <x:f>IF(M757="","",MAX(0,'Motor_Meciuri'!BF59-IF(W757="OOS PENDING",'Config_v6'!$B$35,0)-IF(L757&gt;'Config_v6'!$B$12,'Config_v6'!$B$37,IF(L757&gt;'Config_v6'!$B$11,'Config_v6'!$B$36,0))))</x:f>
      </x:c>
      <x:c r="W757" s="2" t="str">
        <x:f>IF(B757="","",IF(I757&lt;&gt;"READY","NOT RELEASED",IF(NOT(AND(J757="PASS",'Calibrare_Linii'!U15="VALID")),"INVALID",IF(NOT(AND('Calibrare_Linii'!S15="VALIDATED",AND('Calibrare_Linii'!H15=C757,ISNUMBER('Calibrare_Linii'!J15),'Calibrare_Linii'!J15&lt;='Input_Meci'!G59))),"OOS PENDING",IF(S757&lt;='Calibrare_Linii'!E15,"PASS",IF(S757&lt;='Calibrare_Linii'!F15,"PENALTY","WATCH"))))))</x:f>
      </x:c>
      <x:c r="X757" s="2" t="str">
        <x:f>IF(M757="","",IF(AND(AND(J757="PASS",'Calibrare_Linii'!U15="VALID"),'Motor_Meciuri'!K59=12,'Motor_Meciuri'!L59=12,'Motor_Meciuri'!M59="NO",'Motor_Meciuri'!BL59='Motor_Meciuri'!C59,AB757&gt;='Config_v6'!$B$50,AN757&gt;='Config_v6'!$B$51,T757&lt;='Config_v6'!$B$52,L757&lt;='Config_v6'!$B$53,ISNUMBER('Calibrare_Linii'!E15),S757&lt;='Calibrare_Linii'!E15,SUM(AK757:AM757)&gt;0),"CANDIDATE","NO"))</x:f>
      </x:c>
      <x:c r="Y757" s="2" t="str">
        <x:f>IF(B757="","",IF(I757&lt;&gt;"READY","NOT RELEASED",IF(AND(X757="CANDIDATE",V757&gt;='Config_v6'!$B$51,W757="PASS",'Calibrare_Linii'!T15="VALIDATED",AND('Calibrare_Linii'!H15=C757,ISNUMBER('Calibrare_Linii'!J15),'Calibrare_Linii'!J15&lt;='Input_Meci'!G59)),"PASS",IF(X757="CANDIDATE","OOS PENDING","FAIL"))))</x:f>
      </x:c>
      <x:c r="Z757" s="2" t="str">
        <x:f>IF(B757="","",IF(I757&lt;&gt;"READY","",IF(OR(NOT(AND(J757="PASS",'Calibrare_Linii'!U15="VALID")),L757&gt;'Config_v6'!$B$13,W757="WATCH"),5,IF(Y757="PASS",1,MIN(5,MAX('Config_v6'!$B$42,U757)+IF(W757="PENALTY",1,0))))))</x:f>
      </x:c>
      <x:c r="AA757" s="2" t="str">
        <x:f>IF(B757="","",IF(I757&lt;&gt;"READY","NOT RELEASED",IF(Z757=5,"NO BET",IF(OR(AB757&lt;'Config_v6'!$B$16,V757&lt;'Config_v6'!$B$18),"WATCH",IF(Z757=1,"DEFENSIV",IF(Z757=2,"PRUDENT",IF(Z757=3,"MODERAT","RIDICAT")))))))</x:f>
      </x:c>
      <x:c r="AB757" s="10" t="str">
        <x:f>IF(N757="","",MIN(N757,1-S757))</x:f>
      </x:c>
      <x:c r="AC757" s="2" t="str">
        <x:f>IF(AD757&lt;&gt;1,"",COUNTIFS($Z$748:$Z$761,"&lt;"&amp;Z757,$AD$748:$AD$761,1)+COUNTIFS($Z$748:$Z$761,Z757,$AB$748:$AB$761,"&gt;"&amp;AB757,$AD$748:$AD$761,1)+COUNTIFS($Z$748:$Z$761,Z757,$AB$748:$AB$761,AB757,$V$748:$V$761,"&gt;"&amp;V757,$AD$748:$AD$761,1)+COUNTIFS($Z$748:Z757,Z757,$AB$748:AB757,AB757,$V$748:V757,V757,$AD$748:AD757,1))</x:f>
      </x:c>
      <x:c r="AD757" s="2" t="n">
        <x:f>IF(OR(AA757="DEFENSIV",AA757="PRUDENT",AA757="MODERAT",AA757="RIDICAT"),1,0)</x:f>
        <x:v>0</x:v>
      </x:c>
      <x:c r="AE757" s="2" t="str">
        <x:f>IF(AD757&lt;&gt;1,"NO",IF(W757="PASS","YES",IF(W757="OOS PENDING","CONDITIONAL","NO")))</x:f>
        <x:v>NO</x:v>
      </x:c>
      <x:c r="AF757" s="2" t="n">
        <x:f>IF(AND(AD757=1,AC757=1,E757="LIVE"),1,0)</x:f>
        <x:v>0</x:v>
      </x:c>
      <x:c r="AG757" s="2" t="str">
        <x:f>IF(AF757&lt;&gt;1,"",'Dashboard'!P79)</x:f>
      </x:c>
      <x:c r="AH757" s="2" t="str">
        <x:f>IF(B757="","",IF(J757&lt;&gt;"PASS",'Motor_Meciuri'!J59,IF('Calibrare_Linii'!U15&lt;&gt;"VALID","Parametri linie invalizi",IF(L757&gt;'Config_v6'!$B$13,"Dispersie peste limita",IF(W757="WATCH","Failure peste limita",IF(AB757&lt;'Config_v6'!$B$16,"P finala sub prag",IF(V757&lt;'Config_v6'!$B$18,"Confidence sub prag",IF(E757="REPLAY","Exemplu retrospectiv; exclus din Top LIVE",IF(Y757="PASS","DEFENSIV validat",IF(W757="OOS PENDING","Eligibil; calibrare linie in monitorizare","Eligibil"))))))))))</x:f>
      </x:c>
      <x:c r="AI757" s="2" t="str">
        <x:f>IF(B757="","",'Calibrare_Linii'!V15)</x:f>
      </x:c>
      <x:c r="AJ757" s="2" t="str">
        <x:f>IF(B757="","",IF(AND('Calibrare_Linii'!T15="VALIDATED",AND('Calibrare_Linii'!H15=C757,ISNUMBER('Calibrare_Linii'!J15),'Calibrare_Linii'!J15&lt;='Input_Meci'!G59)),"DEFENSIVE VALIDATED",IF(AND('Calibrare_Linii'!S15="VALIDATED",AND('Calibrare_Linii'!H15=C757,ISNUMBER('Calibrare_Linii'!J15),'Calibrare_Linii'!J15&lt;='Input_Meci'!G59)),"TAIL VALIDATED","OOS PENDING")))</x:f>
      </x:c>
      <x:c r="AK757" s="2" t="n">
        <x:f>IF(J757&lt;&gt;"PASS",0,'Motor_Meciuri'!BR59)</x:f>
        <x:v>0</x:v>
      </x:c>
      <x:c r="AL757" s="2" t="n">
        <x:f>IF(J757&lt;&gt;"PASS",0,'Motor_Meciuri'!BS59)</x:f>
        <x:v>0</x:v>
      </x:c>
      <x:c r="AM757" s="2" t="n">
        <x:f>IF(J757&lt;&gt;"PASS",0,'Motor_Meciuri'!BT59)</x:f>
        <x:v>0</x:v>
      </x:c>
      <x:c r="AN757" s="2" t="str">
        <x:f>IF(M757="","",MAX(0,'Motor_Meciuri'!BF59-IF(L757&gt;'Config_v6'!$B$12,'Config_v6'!$B$37,IF(L757&gt;'Config_v6'!$B$11,'Config_v6'!$B$36,0))))</x:f>
      </x:c>
    </x:row>
    <x:row r="758" ht="21" customHeight="1">
      <x:c r="A758" s="2" t="n">
        <x:v>54</x:v>
      </x:c>
      <x:c r="B758" s="2" t="str">
        <x:f>IF('Motor_Meciuri'!A59="","",'Motor_Meciuri'!A59)</x:f>
      </x:c>
      <x:c r="C758" s="2" t="str">
        <x:f>IF(B758="","",'Motor_Meciuri'!B59)</x:f>
      </x:c>
      <x:c r="D758" s="2" t="str">
        <x:f>IF(B758="","",'Motor_Meciuri'!D59)</x:f>
      </x:c>
      <x:c r="E758" s="2" t="str">
        <x:f>IF(B758="","",'Motor_Meciuri'!E59)</x:f>
      </x:c>
      <x:c r="F758" s="2" t="str">
        <x:v>U14,5</x:v>
      </x:c>
      <x:c r="G758" s="2" t="str">
        <x:v>UNDER</x:v>
      </x:c>
      <x:c r="H758" s="2" t="n">
        <x:v>14</x:v>
      </x:c>
      <x:c r="I758" s="2" t="str">
        <x:f>IF(B758="","",'Motor_Meciuri'!H59)</x:f>
      </x:c>
      <x:c r="J758" s="2" t="str">
        <x:f>IF(B758="","",'Motor_Meciuri'!I59)</x:f>
      </x:c>
      <x:c r="K758" s="11" t="str">
        <x:f>IF(J758&lt;&gt;"PASS","",'Motor_Meciuri'!BD59)</x:f>
      </x:c>
      <x:c r="L758" s="11" t="str">
        <x:f>IF(J758&lt;&gt;"PASS","",'Motor_Meciuri'!AU59)</x:f>
      </x:c>
      <x:c r="M758" s="10" t="str">
        <x:f>IF(NOT(AND(J758="PASS",'Calibrare_Linii'!U16="VALID")),"",'Distributie'!AL59)</x:f>
      </x:c>
      <x:c r="N758" s="10" t="str">
        <x:f>IF(M758="","",MAX(0.01,MIN(0.99,0.5+(M758-0.5)*'Motor_Meciuri'!BG59*'Calibrare_Linii'!D16)))</x:f>
      </x:c>
      <x:c r="O758" s="10" t="str">
        <x:f>IF(M758="","",1-M758)</x:f>
      </x:c>
      <x:c r="P758" s="10" t="str">
        <x:f>IF(OR(NOT(AND(J758="PASS",'Calibrare_Linii'!U16="VALID")),AK758=0),""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*('Istoric_Nativ'!$Q$6:$Q$405&gt;H758))/AK758)</x:f>
      </x:c>
      <x:c r="Q758" s="10" t="str">
        <x:f>IF(OR(NOT(AND(J758="PASS",'Calibrare_Linii'!U16="VALID")),AL758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M59)+((('Istoric_Nativ'!$E$6:$E$405='Input_Meci'!E59)+('Istoric_Nativ'!$F$6:$F$405='Input_Meci'!E59))&gt;0)*('Istoric_Nativ'!$D$6:$D$405&gt;='Motor_Meciuri'!BN59))&gt;0)*('Istoric_Nativ'!$Q$6:$Q$405&gt;H758))/AL758)</x:f>
      </x:c>
      <x:c r="R758" s="10" t="str">
        <x:f>IF(OR(NOT(AND(J758="PASS",'Calibrare_Linii'!U16="VALID")),AM758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O59)+((('Istoric_Nativ'!$E$6:$E$405='Input_Meci'!E59)+('Istoric_Nativ'!$F$6:$F$405='Input_Meci'!E59))&gt;0)*('Istoric_Nativ'!$D$6:$D$405&gt;='Motor_Meciuri'!BP59))&gt;0)*('Istoric_Nativ'!$Q$6:$Q$405&gt;H758))/AM758)</x:f>
      </x:c>
      <x:c r="S758" s="10" t="str">
        <x:f>IF(M758="","",MAX(O758,P758,Q758,R758))</x:f>
      </x:c>
      <x:c r="T758" s="11" t="str">
        <x:f>IF(M758="","",MIN(100,S758*100*'Config_v6'!$B$44+MIN(100,L758/'Config_v6'!$B$13*100)*'Config_v6'!$B$45+(100-'Motor_Meciuri'!BF59)*'Config_v6'!$B$46+'Motor_Meciuri'!BH59*100*'Config_v6'!$B$47))</x:f>
      </x:c>
      <x:c r="U758" s="2" t="str">
        <x:f>IF(T758="","",IF(T758&lt;=20,1,IF(T758&lt;=40,2,IF(T758&lt;=60,3,IF(T758&lt;=80,4,5)))))</x:f>
      </x:c>
      <x:c r="V758" s="2" t="str">
        <x:f>IF(M758="","",MAX(0,'Motor_Meciuri'!BF59-IF(W758="OOS PENDING",'Config_v6'!$B$35,0)-IF(L758&gt;'Config_v6'!$B$12,'Config_v6'!$B$37,IF(L758&gt;'Config_v6'!$B$11,'Config_v6'!$B$36,0))))</x:f>
      </x:c>
      <x:c r="W758" s="2" t="str">
        <x:f>IF(B758="","",IF(I758&lt;&gt;"READY","NOT RELEASED",IF(NOT(AND(J758="PASS",'Calibrare_Linii'!U16="VALID")),"INVALID",IF(NOT(AND('Calibrare_Linii'!S16="VALIDATED",AND('Calibrare_Linii'!H16=C758,ISNUMBER('Calibrare_Linii'!J16),'Calibrare_Linii'!J16&lt;='Input_Meci'!G59))),"OOS PENDING",IF(S758&lt;='Calibrare_Linii'!E16,"PASS",IF(S758&lt;='Calibrare_Linii'!F16,"PENALTY","WATCH"))))))</x:f>
      </x:c>
      <x:c r="X758" s="2" t="str">
        <x:f>IF(M758="","",IF(AND(AND(J758="PASS",'Calibrare_Linii'!U16="VALID"),'Motor_Meciuri'!K59=12,'Motor_Meciuri'!L59=12,'Motor_Meciuri'!M59="NO",'Motor_Meciuri'!BL59='Motor_Meciuri'!C59,AB758&gt;='Config_v6'!$B$50,AN758&gt;='Config_v6'!$B$51,T758&lt;='Config_v6'!$B$52,L758&lt;='Config_v6'!$B$53,ISNUMBER('Calibrare_Linii'!E16),S758&lt;='Calibrare_Linii'!E16,SUM(AK758:AM758)&gt;0),"CANDIDATE","NO"))</x:f>
      </x:c>
      <x:c r="Y758" s="2" t="str">
        <x:f>IF(B758="","",IF(I758&lt;&gt;"READY","NOT RELEASED",IF(AND(X758="CANDIDATE",V758&gt;='Config_v6'!$B$51,W758="PASS",'Calibrare_Linii'!T16="VALIDATED",AND('Calibrare_Linii'!H16=C758,ISNUMBER('Calibrare_Linii'!J16),'Calibrare_Linii'!J16&lt;='Input_Meci'!G59)),"PASS",IF(X758="CANDIDATE","OOS PENDING","FAIL"))))</x:f>
      </x:c>
      <x:c r="Z758" s="2" t="str">
        <x:f>IF(B758="","",IF(I758&lt;&gt;"READY","",IF(OR(NOT(AND(J758="PASS",'Calibrare_Linii'!U16="VALID")),L758&gt;'Config_v6'!$B$13,W758="WATCH"),5,IF(Y758="PASS",1,MIN(5,MAX('Config_v6'!$B$42,U758)+IF(W758="PENALTY",1,0))))))</x:f>
      </x:c>
      <x:c r="AA758" s="2" t="str">
        <x:f>IF(B758="","",IF(I758&lt;&gt;"READY","NOT RELEASED",IF(Z758=5,"NO BET",IF(OR(AB758&lt;'Config_v6'!$B$16,V758&lt;'Config_v6'!$B$18),"WATCH",IF(Z758=1,"DEFENSIV",IF(Z758=2,"PRUDENT",IF(Z758=3,"MODERAT","RIDICAT")))))))</x:f>
      </x:c>
      <x:c r="AB758" s="10" t="str">
        <x:f>IF(N758="","",MIN(N758,1-S758))</x:f>
      </x:c>
      <x:c r="AC758" s="2" t="str">
        <x:f>IF(AD758&lt;&gt;1,"",COUNTIFS($Z$748:$Z$761,"&lt;"&amp;Z758,$AD$748:$AD$761,1)+COUNTIFS($Z$748:$Z$761,Z758,$AB$748:$AB$761,"&gt;"&amp;AB758,$AD$748:$AD$761,1)+COUNTIFS($Z$748:$Z$761,Z758,$AB$748:$AB$761,AB758,$V$748:$V$761,"&gt;"&amp;V758,$AD$748:$AD$761,1)+COUNTIFS($Z$748:Z758,Z758,$AB$748:AB758,AB758,$V$748:V758,V758,$AD$748:AD758,1))</x:f>
      </x:c>
      <x:c r="AD758" s="2" t="n">
        <x:f>IF(OR(AA758="DEFENSIV",AA758="PRUDENT",AA758="MODERAT",AA758="RIDICAT"),1,0)</x:f>
        <x:v>0</x:v>
      </x:c>
      <x:c r="AE758" s="2" t="str">
        <x:f>IF(AD758&lt;&gt;1,"NO",IF(W758="PASS","YES",IF(W758="OOS PENDING","CONDITIONAL","NO")))</x:f>
        <x:v>NO</x:v>
      </x:c>
      <x:c r="AF758" s="2" t="n">
        <x:f>IF(AND(AD758=1,AC758=1,E758="LIVE"),1,0)</x:f>
        <x:v>0</x:v>
      </x:c>
      <x:c r="AG758" s="2" t="str">
        <x:f>IF(AF758&lt;&gt;1,"",'Dashboard'!P79)</x:f>
      </x:c>
      <x:c r="AH758" s="2" t="str">
        <x:f>IF(B758="","",IF(J758&lt;&gt;"PASS",'Motor_Meciuri'!J59,IF('Calibrare_Linii'!U16&lt;&gt;"VALID","Parametri linie invalizi",IF(L758&gt;'Config_v6'!$B$13,"Dispersie peste limita",IF(W758="WATCH","Failure peste limita",IF(AB758&lt;'Config_v6'!$B$16,"P finala sub prag",IF(V758&lt;'Config_v6'!$B$18,"Confidence sub prag",IF(E758="REPLAY","Exemplu retrospectiv; exclus din Top LIVE",IF(Y758="PASS","DEFENSIV validat",IF(W758="OOS PENDING","Eligibil; calibrare linie in monitorizare","Eligibil"))))))))))</x:f>
      </x:c>
      <x:c r="AI758" s="2" t="str">
        <x:f>IF(B758="","",'Calibrare_Linii'!V16)</x:f>
      </x:c>
      <x:c r="AJ758" s="2" t="str">
        <x:f>IF(B758="","",IF(AND('Calibrare_Linii'!T16="VALIDATED",AND('Calibrare_Linii'!H16=C758,ISNUMBER('Calibrare_Linii'!J16),'Calibrare_Linii'!J16&lt;='Input_Meci'!G59)),"DEFENSIVE VALIDATED",IF(AND('Calibrare_Linii'!S16="VALIDATED",AND('Calibrare_Linii'!H16=C758,ISNUMBER('Calibrare_Linii'!J16),'Calibrare_Linii'!J16&lt;='Input_Meci'!G59)),"TAIL VALIDATED","OOS PENDING")))</x:f>
      </x:c>
      <x:c r="AK758" s="2" t="n">
        <x:f>IF(J758&lt;&gt;"PASS",0,'Motor_Meciuri'!BR59)</x:f>
        <x:v>0</x:v>
      </x:c>
      <x:c r="AL758" s="2" t="n">
        <x:f>IF(J758&lt;&gt;"PASS",0,'Motor_Meciuri'!BS59)</x:f>
        <x:v>0</x:v>
      </x:c>
      <x:c r="AM758" s="2" t="n">
        <x:f>IF(J758&lt;&gt;"PASS",0,'Motor_Meciuri'!BT59)</x:f>
        <x:v>0</x:v>
      </x:c>
      <x:c r="AN758" s="2" t="str">
        <x:f>IF(M758="","",MAX(0,'Motor_Meciuri'!BF59-IF(L758&gt;'Config_v6'!$B$12,'Config_v6'!$B$37,IF(L758&gt;'Config_v6'!$B$11,'Config_v6'!$B$36,0))))</x:f>
      </x:c>
    </x:row>
    <x:row r="759" ht="21" customHeight="1">
      <x:c r="A759" s="2" t="n">
        <x:v>54</x:v>
      </x:c>
      <x:c r="B759" s="2" t="str">
        <x:f>IF('Motor_Meciuri'!A59="","",'Motor_Meciuri'!A59)</x:f>
      </x:c>
      <x:c r="C759" s="2" t="str">
        <x:f>IF(B759="","",'Motor_Meciuri'!B59)</x:f>
      </x:c>
      <x:c r="D759" s="2" t="str">
        <x:f>IF(B759="","",'Motor_Meciuri'!D59)</x:f>
      </x:c>
      <x:c r="E759" s="2" t="str">
        <x:f>IF(B759="","",'Motor_Meciuri'!E59)</x:f>
      </x:c>
      <x:c r="F759" s="2" t="str">
        <x:v>U15,5</x:v>
      </x:c>
      <x:c r="G759" s="2" t="str">
        <x:v>UNDER</x:v>
      </x:c>
      <x:c r="H759" s="2" t="n">
        <x:v>15</x:v>
      </x:c>
      <x:c r="I759" s="2" t="str">
        <x:f>IF(B759="","",'Motor_Meciuri'!H59)</x:f>
      </x:c>
      <x:c r="J759" s="2" t="str">
        <x:f>IF(B759="","",'Motor_Meciuri'!I59)</x:f>
      </x:c>
      <x:c r="K759" s="11" t="str">
        <x:f>IF(J759&lt;&gt;"PASS","",'Motor_Meciuri'!BD59)</x:f>
      </x:c>
      <x:c r="L759" s="11" t="str">
        <x:f>IF(J759&lt;&gt;"PASS","",'Motor_Meciuri'!AU59)</x:f>
      </x:c>
      <x:c r="M759" s="10" t="str">
        <x:f>IF(NOT(AND(J759="PASS",'Calibrare_Linii'!U17="VALID")),"",'Distributie'!AM59)</x:f>
      </x:c>
      <x:c r="N759" s="10" t="str">
        <x:f>IF(M759="","",MAX(0.01,MIN(0.99,0.5+(M759-0.5)*'Motor_Meciuri'!BG59*'Calibrare_Linii'!D17)))</x:f>
      </x:c>
      <x:c r="O759" s="10" t="str">
        <x:f>IF(M759="","",1-M759)</x:f>
      </x:c>
      <x:c r="P759" s="10" t="str">
        <x:f>IF(OR(NOT(AND(J759="PASS",'Calibrare_Linii'!U17="VALID")),AK759=0),""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*('Istoric_Nativ'!$Q$6:$Q$405&gt;H759))/AK759)</x:f>
      </x:c>
      <x:c r="Q759" s="10" t="str">
        <x:f>IF(OR(NOT(AND(J759="PASS",'Calibrare_Linii'!U17="VALID")),AL759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M59)+((('Istoric_Nativ'!$E$6:$E$405='Input_Meci'!E59)+('Istoric_Nativ'!$F$6:$F$405='Input_Meci'!E59))&gt;0)*('Istoric_Nativ'!$D$6:$D$405&gt;='Motor_Meciuri'!BN59))&gt;0)*('Istoric_Nativ'!$Q$6:$Q$405&gt;H759))/AL759)</x:f>
      </x:c>
      <x:c r="R759" s="10" t="str">
        <x:f>IF(OR(NOT(AND(J759="PASS",'Calibrare_Linii'!U17="VALID")),AM759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O59)+((('Istoric_Nativ'!$E$6:$E$405='Input_Meci'!E59)+('Istoric_Nativ'!$F$6:$F$405='Input_Meci'!E59))&gt;0)*('Istoric_Nativ'!$D$6:$D$405&gt;='Motor_Meciuri'!BP59))&gt;0)*('Istoric_Nativ'!$Q$6:$Q$405&gt;H759))/AM759)</x:f>
      </x:c>
      <x:c r="S759" s="10" t="str">
        <x:f>IF(M759="","",MAX(O759,P759,Q759,R759))</x:f>
      </x:c>
      <x:c r="T759" s="11" t="str">
        <x:f>IF(M759="","",MIN(100,S759*100*'Config_v6'!$B$44+MIN(100,L759/'Config_v6'!$B$13*100)*'Config_v6'!$B$45+(100-'Motor_Meciuri'!BF59)*'Config_v6'!$B$46+'Motor_Meciuri'!BH59*100*'Config_v6'!$B$47))</x:f>
      </x:c>
      <x:c r="U759" s="2" t="str">
        <x:f>IF(T759="","",IF(T759&lt;=20,1,IF(T759&lt;=40,2,IF(T759&lt;=60,3,IF(T759&lt;=80,4,5)))))</x:f>
      </x:c>
      <x:c r="V759" s="2" t="str">
        <x:f>IF(M759="","",MAX(0,'Motor_Meciuri'!BF59-IF(W759="OOS PENDING",'Config_v6'!$B$35,0)-IF(L759&gt;'Config_v6'!$B$12,'Config_v6'!$B$37,IF(L759&gt;'Config_v6'!$B$11,'Config_v6'!$B$36,0))))</x:f>
      </x:c>
      <x:c r="W759" s="2" t="str">
        <x:f>IF(B759="","",IF(I759&lt;&gt;"READY","NOT RELEASED",IF(NOT(AND(J759="PASS",'Calibrare_Linii'!U17="VALID")),"INVALID",IF(NOT(AND('Calibrare_Linii'!S17="VALIDATED",AND('Calibrare_Linii'!H17=C759,ISNUMBER('Calibrare_Linii'!J17),'Calibrare_Linii'!J17&lt;='Input_Meci'!G59))),"OOS PENDING",IF(S759&lt;='Calibrare_Linii'!E17,"PASS",IF(S759&lt;='Calibrare_Linii'!F17,"PENALTY","WATCH"))))))</x:f>
      </x:c>
      <x:c r="X759" s="2" t="str">
        <x:f>IF(M759="","",IF(AND(AND(J759="PASS",'Calibrare_Linii'!U17="VALID"),'Motor_Meciuri'!K59=12,'Motor_Meciuri'!L59=12,'Motor_Meciuri'!M59="NO",'Motor_Meciuri'!BL59='Motor_Meciuri'!C59,AB759&gt;='Config_v6'!$B$50,AN759&gt;='Config_v6'!$B$51,T759&lt;='Config_v6'!$B$52,L759&lt;='Config_v6'!$B$53,ISNUMBER('Calibrare_Linii'!E17),S759&lt;='Calibrare_Linii'!E17,SUM(AK759:AM759)&gt;0),"CANDIDATE","NO"))</x:f>
      </x:c>
      <x:c r="Y759" s="2" t="str">
        <x:f>IF(B759="","",IF(I759&lt;&gt;"READY","NOT RELEASED",IF(AND(X759="CANDIDATE",V759&gt;='Config_v6'!$B$51,W759="PASS",'Calibrare_Linii'!T17="VALIDATED",AND('Calibrare_Linii'!H17=C759,ISNUMBER('Calibrare_Linii'!J17),'Calibrare_Linii'!J17&lt;='Input_Meci'!G59)),"PASS",IF(X759="CANDIDATE","OOS PENDING","FAIL"))))</x:f>
      </x:c>
      <x:c r="Z759" s="2" t="str">
        <x:f>IF(B759="","",IF(I759&lt;&gt;"READY","",IF(OR(NOT(AND(J759="PASS",'Calibrare_Linii'!U17="VALID")),L759&gt;'Config_v6'!$B$13,W759="WATCH"),5,IF(Y759="PASS",1,MIN(5,MAX('Config_v6'!$B$42,U759)+IF(W759="PENALTY",1,0))))))</x:f>
      </x:c>
      <x:c r="AA759" s="2" t="str">
        <x:f>IF(B759="","",IF(I759&lt;&gt;"READY","NOT RELEASED",IF(Z759=5,"NO BET",IF(OR(AB759&lt;'Config_v6'!$B$16,V759&lt;'Config_v6'!$B$18),"WATCH",IF(Z759=1,"DEFENSIV",IF(Z759=2,"PRUDENT",IF(Z759=3,"MODERAT","RIDICAT")))))))</x:f>
      </x:c>
      <x:c r="AB759" s="10" t="str">
        <x:f>IF(N759="","",MIN(N759,1-S759))</x:f>
      </x:c>
      <x:c r="AC759" s="2" t="str">
        <x:f>IF(AD759&lt;&gt;1,"",COUNTIFS($Z$748:$Z$761,"&lt;"&amp;Z759,$AD$748:$AD$761,1)+COUNTIFS($Z$748:$Z$761,Z759,$AB$748:$AB$761,"&gt;"&amp;AB759,$AD$748:$AD$761,1)+COUNTIFS($Z$748:$Z$761,Z759,$AB$748:$AB$761,AB759,$V$748:$V$761,"&gt;"&amp;V759,$AD$748:$AD$761,1)+COUNTIFS($Z$748:Z759,Z759,$AB$748:AB759,AB759,$V$748:V759,V759,$AD$748:AD759,1))</x:f>
      </x:c>
      <x:c r="AD759" s="2" t="n">
        <x:f>IF(OR(AA759="DEFENSIV",AA759="PRUDENT",AA759="MODERAT",AA759="RIDICAT"),1,0)</x:f>
        <x:v>0</x:v>
      </x:c>
      <x:c r="AE759" s="2" t="str">
        <x:f>IF(AD759&lt;&gt;1,"NO",IF(W759="PASS","YES",IF(W759="OOS PENDING","CONDITIONAL","NO")))</x:f>
        <x:v>NO</x:v>
      </x:c>
      <x:c r="AF759" s="2" t="n">
        <x:f>IF(AND(AD759=1,AC759=1,E759="LIVE"),1,0)</x:f>
        <x:v>0</x:v>
      </x:c>
      <x:c r="AG759" s="2" t="str">
        <x:f>IF(AF759&lt;&gt;1,"",'Dashboard'!P79)</x:f>
      </x:c>
      <x:c r="AH759" s="2" t="str">
        <x:f>IF(B759="","",IF(J759&lt;&gt;"PASS",'Motor_Meciuri'!J59,IF('Calibrare_Linii'!U17&lt;&gt;"VALID","Parametri linie invalizi",IF(L759&gt;'Config_v6'!$B$13,"Dispersie peste limita",IF(W759="WATCH","Failure peste limita",IF(AB759&lt;'Config_v6'!$B$16,"P finala sub prag",IF(V759&lt;'Config_v6'!$B$18,"Confidence sub prag",IF(E759="REPLAY","Exemplu retrospectiv; exclus din Top LIVE",IF(Y759="PASS","DEFENSIV validat",IF(W759="OOS PENDING","Eligibil; calibrare linie in monitorizare","Eligibil"))))))))))</x:f>
      </x:c>
      <x:c r="AI759" s="2" t="str">
        <x:f>IF(B759="","",'Calibrare_Linii'!V17)</x:f>
      </x:c>
      <x:c r="AJ759" s="2" t="str">
        <x:f>IF(B759="","",IF(AND('Calibrare_Linii'!T17="VALIDATED",AND('Calibrare_Linii'!H17=C759,ISNUMBER('Calibrare_Linii'!J17),'Calibrare_Linii'!J17&lt;='Input_Meci'!G59)),"DEFENSIVE VALIDATED",IF(AND('Calibrare_Linii'!S17="VALIDATED",AND('Calibrare_Linii'!H17=C759,ISNUMBER('Calibrare_Linii'!J17),'Calibrare_Linii'!J17&lt;='Input_Meci'!G59)),"TAIL VALIDATED","OOS PENDING")))</x:f>
      </x:c>
      <x:c r="AK759" s="2" t="n">
        <x:f>IF(J759&lt;&gt;"PASS",0,'Motor_Meciuri'!BR59)</x:f>
        <x:v>0</x:v>
      </x:c>
      <x:c r="AL759" s="2" t="n">
        <x:f>IF(J759&lt;&gt;"PASS",0,'Motor_Meciuri'!BS59)</x:f>
        <x:v>0</x:v>
      </x:c>
      <x:c r="AM759" s="2" t="n">
        <x:f>IF(J759&lt;&gt;"PASS",0,'Motor_Meciuri'!BT59)</x:f>
        <x:v>0</x:v>
      </x:c>
      <x:c r="AN759" s="2" t="str">
        <x:f>IF(M759="","",MAX(0,'Motor_Meciuri'!BF59-IF(L759&gt;'Config_v6'!$B$12,'Config_v6'!$B$37,IF(L759&gt;'Config_v6'!$B$11,'Config_v6'!$B$36,0))))</x:f>
      </x:c>
    </x:row>
    <x:row r="760" ht="21" customHeight="1">
      <x:c r="A760" s="2" t="n">
        <x:v>54</x:v>
      </x:c>
      <x:c r="B760" s="2" t="str">
        <x:f>IF('Motor_Meciuri'!A59="","",'Motor_Meciuri'!A59)</x:f>
      </x:c>
      <x:c r="C760" s="2" t="str">
        <x:f>IF(B760="","",'Motor_Meciuri'!B59)</x:f>
      </x:c>
      <x:c r="D760" s="2" t="str">
        <x:f>IF(B760="","",'Motor_Meciuri'!D59)</x:f>
      </x:c>
      <x:c r="E760" s="2" t="str">
        <x:f>IF(B760="","",'Motor_Meciuri'!E59)</x:f>
      </x:c>
      <x:c r="F760" s="2" t="str">
        <x:v>U16,5</x:v>
      </x:c>
      <x:c r="G760" s="2" t="str">
        <x:v>UNDER</x:v>
      </x:c>
      <x:c r="H760" s="2" t="n">
        <x:v>16</x:v>
      </x:c>
      <x:c r="I760" s="2" t="str">
        <x:f>IF(B760="","",'Motor_Meciuri'!H59)</x:f>
      </x:c>
      <x:c r="J760" s="2" t="str">
        <x:f>IF(B760="","",'Motor_Meciuri'!I59)</x:f>
      </x:c>
      <x:c r="K760" s="11" t="str">
        <x:f>IF(J760&lt;&gt;"PASS","",'Motor_Meciuri'!BD59)</x:f>
      </x:c>
      <x:c r="L760" s="11" t="str">
        <x:f>IF(J760&lt;&gt;"PASS","",'Motor_Meciuri'!AU59)</x:f>
      </x:c>
      <x:c r="M760" s="10" t="str">
        <x:f>IF(NOT(AND(J760="PASS",'Calibrare_Linii'!U18="VALID")),"",'Distributie'!AN59)</x:f>
      </x:c>
      <x:c r="N760" s="10" t="str">
        <x:f>IF(M760="","",MAX(0.01,MIN(0.99,0.5+(M760-0.5)*'Motor_Meciuri'!BG59*'Calibrare_Linii'!D18)))</x:f>
      </x:c>
      <x:c r="O760" s="10" t="str">
        <x:f>IF(M760="","",1-M760)</x:f>
      </x:c>
      <x:c r="P760" s="10" t="str">
        <x:f>IF(OR(NOT(AND(J760="PASS",'Calibrare_Linii'!U18="VALID")),AK760=0),""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*('Istoric_Nativ'!$Q$6:$Q$405&gt;H760))/AK760)</x:f>
      </x:c>
      <x:c r="Q760" s="10" t="str">
        <x:f>IF(OR(NOT(AND(J760="PASS",'Calibrare_Linii'!U18="VALID")),AL760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M59)+((('Istoric_Nativ'!$E$6:$E$405='Input_Meci'!E59)+('Istoric_Nativ'!$F$6:$F$405='Input_Meci'!E59))&gt;0)*('Istoric_Nativ'!$D$6:$D$405&gt;='Motor_Meciuri'!BN59))&gt;0)*('Istoric_Nativ'!$Q$6:$Q$405&gt;H760))/AL760)</x:f>
      </x:c>
      <x:c r="R760" s="10" t="str">
        <x:f>IF(OR(NOT(AND(J760="PASS",'Calibrare_Linii'!U18="VALID")),AM760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O59)+((('Istoric_Nativ'!$E$6:$E$405='Input_Meci'!E59)+('Istoric_Nativ'!$F$6:$F$405='Input_Meci'!E59))&gt;0)*('Istoric_Nativ'!$D$6:$D$405&gt;='Motor_Meciuri'!BP59))&gt;0)*('Istoric_Nativ'!$Q$6:$Q$405&gt;H760))/AM760)</x:f>
      </x:c>
      <x:c r="S760" s="10" t="str">
        <x:f>IF(M760="","",MAX(O760,P760,Q760,R760))</x:f>
      </x:c>
      <x:c r="T760" s="11" t="str">
        <x:f>IF(M760="","",MIN(100,S760*100*'Config_v6'!$B$44+MIN(100,L760/'Config_v6'!$B$13*100)*'Config_v6'!$B$45+(100-'Motor_Meciuri'!BF59)*'Config_v6'!$B$46+'Motor_Meciuri'!BH59*100*'Config_v6'!$B$47))</x:f>
      </x:c>
      <x:c r="U760" s="2" t="str">
        <x:f>IF(T760="","",IF(T760&lt;=20,1,IF(T760&lt;=40,2,IF(T760&lt;=60,3,IF(T760&lt;=80,4,5)))))</x:f>
      </x:c>
      <x:c r="V760" s="2" t="str">
        <x:f>IF(M760="","",MAX(0,'Motor_Meciuri'!BF59-IF(W760="OOS PENDING",'Config_v6'!$B$35,0)-IF(L760&gt;'Config_v6'!$B$12,'Config_v6'!$B$37,IF(L760&gt;'Config_v6'!$B$11,'Config_v6'!$B$36,0))))</x:f>
      </x:c>
      <x:c r="W760" s="2" t="str">
        <x:f>IF(B760="","",IF(I760&lt;&gt;"READY","NOT RELEASED",IF(NOT(AND(J760="PASS",'Calibrare_Linii'!U18="VALID")),"INVALID",IF(NOT(AND('Calibrare_Linii'!S18="VALIDATED",AND('Calibrare_Linii'!H18=C760,ISNUMBER('Calibrare_Linii'!J18),'Calibrare_Linii'!J18&lt;='Input_Meci'!G59))),"OOS PENDING",IF(S760&lt;='Calibrare_Linii'!E18,"PASS",IF(S760&lt;='Calibrare_Linii'!F18,"PENALTY","WATCH"))))))</x:f>
      </x:c>
      <x:c r="X760" s="2" t="str">
        <x:f>IF(M760="","",IF(AND(AND(J760="PASS",'Calibrare_Linii'!U18="VALID"),'Motor_Meciuri'!K59=12,'Motor_Meciuri'!L59=12,'Motor_Meciuri'!M59="NO",'Motor_Meciuri'!BL59='Motor_Meciuri'!C59,AB760&gt;='Config_v6'!$B$50,AN760&gt;='Config_v6'!$B$51,T760&lt;='Config_v6'!$B$52,L760&lt;='Config_v6'!$B$53,ISNUMBER('Calibrare_Linii'!E18),S760&lt;='Calibrare_Linii'!E18,SUM(AK760:AM760)&gt;0),"CANDIDATE","NO"))</x:f>
      </x:c>
      <x:c r="Y760" s="2" t="str">
        <x:f>IF(B760="","",IF(I760&lt;&gt;"READY","NOT RELEASED",IF(AND(X760="CANDIDATE",V760&gt;='Config_v6'!$B$51,W760="PASS",'Calibrare_Linii'!T18="VALIDATED",AND('Calibrare_Linii'!H18=C760,ISNUMBER('Calibrare_Linii'!J18),'Calibrare_Linii'!J18&lt;='Input_Meci'!G59)),"PASS",IF(X760="CANDIDATE","OOS PENDING","FAIL"))))</x:f>
      </x:c>
      <x:c r="Z760" s="2" t="str">
        <x:f>IF(B760="","",IF(I760&lt;&gt;"READY","",IF(OR(NOT(AND(J760="PASS",'Calibrare_Linii'!U18="VALID")),L760&gt;'Config_v6'!$B$13,W760="WATCH"),5,IF(Y760="PASS",1,MIN(5,MAX('Config_v6'!$B$42,U760)+IF(W760="PENALTY",1,0))))))</x:f>
      </x:c>
      <x:c r="AA760" s="2" t="str">
        <x:f>IF(B760="","",IF(I760&lt;&gt;"READY","NOT RELEASED",IF(Z760=5,"NO BET",IF(OR(AB760&lt;'Config_v6'!$B$16,V760&lt;'Config_v6'!$B$18),"WATCH",IF(Z760=1,"DEFENSIV",IF(Z760=2,"PRUDENT",IF(Z760=3,"MODERAT","RIDICAT")))))))</x:f>
      </x:c>
      <x:c r="AB760" s="10" t="str">
        <x:f>IF(N760="","",MIN(N760,1-S760))</x:f>
      </x:c>
      <x:c r="AC760" s="2" t="str">
        <x:f>IF(AD760&lt;&gt;1,"",COUNTIFS($Z$748:$Z$761,"&lt;"&amp;Z760,$AD$748:$AD$761,1)+COUNTIFS($Z$748:$Z$761,Z760,$AB$748:$AB$761,"&gt;"&amp;AB760,$AD$748:$AD$761,1)+COUNTIFS($Z$748:$Z$761,Z760,$AB$748:$AB$761,AB760,$V$748:$V$761,"&gt;"&amp;V760,$AD$748:$AD$761,1)+COUNTIFS($Z$748:Z760,Z760,$AB$748:AB760,AB760,$V$748:V760,V760,$AD$748:AD760,1))</x:f>
      </x:c>
      <x:c r="AD760" s="2" t="n">
        <x:f>IF(OR(AA760="DEFENSIV",AA760="PRUDENT",AA760="MODERAT",AA760="RIDICAT"),1,0)</x:f>
        <x:v>0</x:v>
      </x:c>
      <x:c r="AE760" s="2" t="str">
        <x:f>IF(AD760&lt;&gt;1,"NO",IF(W760="PASS","YES",IF(W760="OOS PENDING","CONDITIONAL","NO")))</x:f>
        <x:v>NO</x:v>
      </x:c>
      <x:c r="AF760" s="2" t="n">
        <x:f>IF(AND(AD760=1,AC760=1,E760="LIVE"),1,0)</x:f>
        <x:v>0</x:v>
      </x:c>
      <x:c r="AG760" s="2" t="str">
        <x:f>IF(AF760&lt;&gt;1,"",'Dashboard'!P79)</x:f>
      </x:c>
      <x:c r="AH760" s="2" t="str">
        <x:f>IF(B760="","",IF(J760&lt;&gt;"PASS",'Motor_Meciuri'!J59,IF('Calibrare_Linii'!U18&lt;&gt;"VALID","Parametri linie invalizi",IF(L760&gt;'Config_v6'!$B$13,"Dispersie peste limita",IF(W760="WATCH","Failure peste limita",IF(AB760&lt;'Config_v6'!$B$16,"P finala sub prag",IF(V760&lt;'Config_v6'!$B$18,"Confidence sub prag",IF(E760="REPLAY","Exemplu retrospectiv; exclus din Top LIVE",IF(Y760="PASS","DEFENSIV validat",IF(W760="OOS PENDING","Eligibil; calibrare linie in monitorizare","Eligibil"))))))))))</x:f>
      </x:c>
      <x:c r="AI760" s="2" t="str">
        <x:f>IF(B760="","",'Calibrare_Linii'!V18)</x:f>
      </x:c>
      <x:c r="AJ760" s="2" t="str">
        <x:f>IF(B760="","",IF(AND('Calibrare_Linii'!T18="VALIDATED",AND('Calibrare_Linii'!H18=C760,ISNUMBER('Calibrare_Linii'!J18),'Calibrare_Linii'!J18&lt;='Input_Meci'!G59)),"DEFENSIVE VALIDATED",IF(AND('Calibrare_Linii'!S18="VALIDATED",AND('Calibrare_Linii'!H18=C760,ISNUMBER('Calibrare_Linii'!J18),'Calibrare_Linii'!J18&lt;='Input_Meci'!G59)),"TAIL VALIDATED","OOS PENDING")))</x:f>
      </x:c>
      <x:c r="AK760" s="2" t="n">
        <x:f>IF(J760&lt;&gt;"PASS",0,'Motor_Meciuri'!BR59)</x:f>
        <x:v>0</x:v>
      </x:c>
      <x:c r="AL760" s="2" t="n">
        <x:f>IF(J760&lt;&gt;"PASS",0,'Motor_Meciuri'!BS59)</x:f>
        <x:v>0</x:v>
      </x:c>
      <x:c r="AM760" s="2" t="n">
        <x:f>IF(J760&lt;&gt;"PASS",0,'Motor_Meciuri'!BT59)</x:f>
        <x:v>0</x:v>
      </x:c>
      <x:c r="AN760" s="2" t="str">
        <x:f>IF(M760="","",MAX(0,'Motor_Meciuri'!BF59-IF(L760&gt;'Config_v6'!$B$12,'Config_v6'!$B$37,IF(L760&gt;'Config_v6'!$B$11,'Config_v6'!$B$36,0))))</x:f>
      </x:c>
    </x:row>
    <x:row r="761" ht="21" customHeight="1">
      <x:c r="A761" s="2" t="n">
        <x:v>54</x:v>
      </x:c>
      <x:c r="B761" s="2" t="str">
        <x:f>IF('Motor_Meciuri'!A59="","",'Motor_Meciuri'!A59)</x:f>
      </x:c>
      <x:c r="C761" s="2" t="str">
        <x:f>IF(B761="","",'Motor_Meciuri'!B59)</x:f>
      </x:c>
      <x:c r="D761" s="2" t="str">
        <x:f>IF(B761="","",'Motor_Meciuri'!D59)</x:f>
      </x:c>
      <x:c r="E761" s="2" t="str">
        <x:f>IF(B761="","",'Motor_Meciuri'!E59)</x:f>
      </x:c>
      <x:c r="F761" s="2" t="str">
        <x:v>U17,5</x:v>
      </x:c>
      <x:c r="G761" s="2" t="str">
        <x:v>UNDER</x:v>
      </x:c>
      <x:c r="H761" s="2" t="n">
        <x:v>17</x:v>
      </x:c>
      <x:c r="I761" s="2" t="str">
        <x:f>IF(B761="","",'Motor_Meciuri'!H59)</x:f>
      </x:c>
      <x:c r="J761" s="2" t="str">
        <x:f>IF(B761="","",'Motor_Meciuri'!I59)</x:f>
      </x:c>
      <x:c r="K761" s="11" t="str">
        <x:f>IF(J761&lt;&gt;"PASS","",'Motor_Meciuri'!BD59)</x:f>
      </x:c>
      <x:c r="L761" s="11" t="str">
        <x:f>IF(J761&lt;&gt;"PASS","",'Motor_Meciuri'!AU59)</x:f>
      </x:c>
      <x:c r="M761" s="10" t="str">
        <x:f>IF(NOT(AND(J761="PASS",'Calibrare_Linii'!U19="VALID")),"",'Distributie'!AO59)</x:f>
      </x:c>
      <x:c r="N761" s="10" t="str">
        <x:f>IF(M761="","",MAX(0.01,MIN(0.99,0.5+(M761-0.5)*'Motor_Meciuri'!BG59*'Calibrare_Linii'!D19)))</x:f>
      </x:c>
      <x:c r="O761" s="10" t="str">
        <x:f>IF(M761="","",1-M761)</x:f>
      </x:c>
      <x:c r="P761" s="10" t="str">
        <x:f>IF(OR(NOT(AND(J761="PASS",'Calibrare_Linii'!U19="VALID")),AK761=0),""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*('Istoric_Nativ'!$Q$6:$Q$405&gt;H761))/AK761)</x:f>
      </x:c>
      <x:c r="Q761" s="10" t="str">
        <x:f>IF(OR(NOT(AND(J761="PASS",'Calibrare_Linii'!U19="VALID")),AL761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M59)+((('Istoric_Nativ'!$E$6:$E$405='Input_Meci'!E59)+('Istoric_Nativ'!$F$6:$F$405='Input_Meci'!E59))&gt;0)*('Istoric_Nativ'!$D$6:$D$405&gt;='Motor_Meciuri'!BN59))&gt;0)*('Istoric_Nativ'!$Q$6:$Q$405&gt;H761))/AL761)</x:f>
      </x:c>
      <x:c r="R761" s="10" t="str">
        <x:f>IF(OR(NOT(AND(J761="PASS",'Calibrare_Linii'!U19="VALID")),AM761=0),""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'Motor_Meciuri'!BO59)+((('Istoric_Nativ'!$E$6:$E$405='Input_Meci'!E59)+('Istoric_Nativ'!$F$6:$F$405='Input_Meci'!E59))&gt;0)*('Istoric_Nativ'!$D$6:$D$405&gt;='Motor_Meciuri'!BP59))&gt;0)*('Istoric_Nativ'!$Q$6:$Q$405&gt;H761))/AM761)</x:f>
      </x:c>
      <x:c r="S761" s="10" t="str">
        <x:f>IF(M761="","",MAX(O761,P761,Q761,R761))</x:f>
      </x:c>
      <x:c r="T761" s="11" t="str">
        <x:f>IF(M761="","",MIN(100,S761*100*'Config_v6'!$B$44+MIN(100,L761/'Config_v6'!$B$13*100)*'Config_v6'!$B$45+(100-'Motor_Meciuri'!BF59)*'Config_v6'!$B$46+'Motor_Meciuri'!BH59*100*'Config_v6'!$B$47))</x:f>
      </x:c>
      <x:c r="U761" s="2" t="str">
        <x:f>IF(T761="","",IF(T761&lt;=20,1,IF(T761&lt;=40,2,IF(T761&lt;=60,3,IF(T761&lt;=80,4,5)))))</x:f>
      </x:c>
      <x:c r="V761" s="2" t="str">
        <x:f>IF(M761="","",MAX(0,'Motor_Meciuri'!BF59-IF(W761="OOS PENDING",'Config_v6'!$B$35,0)-IF(L761&gt;'Config_v6'!$B$12,'Config_v6'!$B$37,IF(L761&gt;'Config_v6'!$B$11,'Config_v6'!$B$36,0))))</x:f>
      </x:c>
      <x:c r="W761" s="2" t="str">
        <x:f>IF(B761="","",IF(I761&lt;&gt;"READY","NOT RELEASED",IF(NOT(AND(J761="PASS",'Calibrare_Linii'!U19="VALID")),"INVALID",IF(NOT(AND('Calibrare_Linii'!S19="VALIDATED",AND('Calibrare_Linii'!H19=C761,ISNUMBER('Calibrare_Linii'!J19),'Calibrare_Linii'!J19&lt;='Input_Meci'!G59))),"OOS PENDING",IF(S761&lt;='Calibrare_Linii'!E19,"PASS",IF(S761&lt;='Calibrare_Linii'!F19,"PENALTY","WATCH"))))))</x:f>
      </x:c>
      <x:c r="X761" s="2" t="str">
        <x:f>IF(M761="","",IF(AND(AND(J761="PASS",'Calibrare_Linii'!U19="VALID"),'Motor_Meciuri'!K59=12,'Motor_Meciuri'!L59=12,'Motor_Meciuri'!M59="NO",'Motor_Meciuri'!BL59='Motor_Meciuri'!C59,AB761&gt;='Config_v6'!$B$50,AN761&gt;='Config_v6'!$B$51,T761&lt;='Config_v6'!$B$52,L761&lt;='Config_v6'!$B$53,ISNUMBER('Calibrare_Linii'!E19),S761&lt;='Calibrare_Linii'!E19,SUM(AK761:AM761)&gt;0),"CANDIDATE","NO"))</x:f>
      </x:c>
      <x:c r="Y761" s="2" t="str">
        <x:f>IF(B761="","",IF(I761&lt;&gt;"READY","NOT RELEASED",IF(AND(X761="CANDIDATE",V761&gt;='Config_v6'!$B$51,W761="PASS",'Calibrare_Linii'!T19="VALIDATED",AND('Calibrare_Linii'!H19=C761,ISNUMBER('Calibrare_Linii'!J19),'Calibrare_Linii'!J19&lt;='Input_Meci'!G59)),"PASS",IF(X761="CANDIDATE","OOS PENDING","FAIL"))))</x:f>
      </x:c>
      <x:c r="Z761" s="2" t="str">
        <x:f>IF(B761="","",IF(I761&lt;&gt;"READY","",IF(OR(NOT(AND(J761="PASS",'Calibrare_Linii'!U19="VALID")),L761&gt;'Config_v6'!$B$13,W761="WATCH"),5,IF(Y761="PASS",1,MIN(5,MAX('Config_v6'!$B$42,U761)+IF(W761="PENALTY",1,0))))))</x:f>
      </x:c>
      <x:c r="AA761" s="2" t="str">
        <x:f>IF(B761="","",IF(I761&lt;&gt;"READY","NOT RELEASED",IF(Z761=5,"NO BET",IF(OR(AB761&lt;'Config_v6'!$B$16,V761&lt;'Config_v6'!$B$18),"WATCH",IF(Z761=1,"DEFENSIV",IF(Z761=2,"PRUDENT",IF(Z761=3,"MODERAT","RIDICAT")))))))</x:f>
      </x:c>
      <x:c r="AB761" s="10" t="str">
        <x:f>IF(N761="","",MIN(N761,1-S761))</x:f>
      </x:c>
      <x:c r="AC761" s="2" t="str">
        <x:f>IF(AD761&lt;&gt;1,"",COUNTIFS($Z$748:$Z$761,"&lt;"&amp;Z761,$AD$748:$AD$761,1)+COUNTIFS($Z$748:$Z$761,Z761,$AB$748:$AB$761,"&gt;"&amp;AB761,$AD$748:$AD$761,1)+COUNTIFS($Z$748:$Z$761,Z761,$AB$748:$AB$761,AB761,$V$748:$V$761,"&gt;"&amp;V761,$AD$748:$AD$761,1)+COUNTIFS($Z$748:Z761,Z761,$AB$748:AB761,AB761,$V$748:V761,V761,$AD$748:AD761,1))</x:f>
      </x:c>
      <x:c r="AD761" s="2" t="n">
        <x:f>IF(OR(AA761="DEFENSIV",AA761="PRUDENT",AA761="MODERAT",AA761="RIDICAT"),1,0)</x:f>
        <x:v>0</x:v>
      </x:c>
      <x:c r="AE761" s="2" t="str">
        <x:f>IF(AD761&lt;&gt;1,"NO",IF(W761="PASS","YES",IF(W761="OOS PENDING","CONDITIONAL","NO")))</x:f>
        <x:v>NO</x:v>
      </x:c>
      <x:c r="AF761" s="2" t="n">
        <x:f>IF(AND(AD761=1,AC761=1,E761="LIVE"),1,0)</x:f>
        <x:v>0</x:v>
      </x:c>
      <x:c r="AG761" s="2" t="str">
        <x:f>IF(AF761&lt;&gt;1,"",'Dashboard'!P79)</x:f>
      </x:c>
      <x:c r="AH761" s="2" t="str">
        <x:f>IF(B761="","",IF(J761&lt;&gt;"PASS",'Motor_Meciuri'!J59,IF('Calibrare_Linii'!U19&lt;&gt;"VALID","Parametri linie invalizi",IF(L761&gt;'Config_v6'!$B$13,"Dispersie peste limita",IF(W761="WATCH","Failure peste limita",IF(AB761&lt;'Config_v6'!$B$16,"P finala sub prag",IF(V761&lt;'Config_v6'!$B$18,"Confidence sub prag",IF(E761="REPLAY","Exemplu retrospectiv; exclus din Top LIVE",IF(Y761="PASS","DEFENSIV validat",IF(W761="OOS PENDING","Eligibil; calibrare linie in monitorizare","Eligibil"))))))))))</x:f>
      </x:c>
      <x:c r="AI761" s="2" t="str">
        <x:f>IF(B761="","",'Calibrare_Linii'!V19)</x:f>
      </x:c>
      <x:c r="AJ761" s="2" t="str">
        <x:f>IF(B761="","",IF(AND('Calibrare_Linii'!T19="VALIDATED",AND('Calibrare_Linii'!H19=C761,ISNUMBER('Calibrare_Linii'!J19),'Calibrare_Linii'!J19&lt;='Input_Meci'!G59)),"DEFENSIVE VALIDATED",IF(AND('Calibrare_Linii'!S19="VALIDATED",AND('Calibrare_Linii'!H19=C761,ISNUMBER('Calibrare_Linii'!J19),'Calibrare_Linii'!J19&lt;='Input_Meci'!G59)),"TAIL VALIDATED","OOS PENDING")))</x:f>
      </x:c>
      <x:c r="AK761" s="2" t="n">
        <x:f>IF(J761&lt;&gt;"PASS",0,'Motor_Meciuri'!BR59)</x:f>
        <x:v>0</x:v>
      </x:c>
      <x:c r="AL761" s="2" t="n">
        <x:f>IF(J761&lt;&gt;"PASS",0,'Motor_Meciuri'!BS59)</x:f>
        <x:v>0</x:v>
      </x:c>
      <x:c r="AM761" s="2" t="n">
        <x:f>IF(J761&lt;&gt;"PASS",0,'Motor_Meciuri'!BT59)</x:f>
        <x:v>0</x:v>
      </x:c>
      <x:c r="AN761" s="2" t="str">
        <x:f>IF(M761="","",MAX(0,'Motor_Meciuri'!BF59-IF(L761&gt;'Config_v6'!$B$12,'Config_v6'!$B$37,IF(L761&gt;'Config_v6'!$B$11,'Config_v6'!$B$36,0))))</x:f>
      </x:c>
    </x:row>
    <x:row r="762" ht="21" customHeight="1">
      <x:c r="A762" s="2" t="n">
        <x:v>55</x:v>
      </x:c>
      <x:c r="B762" s="2" t="str">
        <x:f>IF('Motor_Meciuri'!A60="","",'Motor_Meciuri'!A60)</x:f>
      </x:c>
      <x:c r="C762" s="2" t="str">
        <x:f>IF(B762="","",'Motor_Meciuri'!B60)</x:f>
      </x:c>
      <x:c r="D762" s="2" t="str">
        <x:f>IF(B762="","",'Motor_Meciuri'!D60)</x:f>
      </x:c>
      <x:c r="E762" s="2" t="str">
        <x:f>IF(B762="","",'Motor_Meciuri'!E60)</x:f>
      </x:c>
      <x:c r="F762" s="2" t="str">
        <x:v>O3,5</x:v>
      </x:c>
      <x:c r="G762" s="2" t="str">
        <x:v>OVER</x:v>
      </x:c>
      <x:c r="H762" s="2" t="n">
        <x:v>3</x:v>
      </x:c>
      <x:c r="I762" s="2" t="str">
        <x:f>IF(B762="","",'Motor_Meciuri'!H60)</x:f>
      </x:c>
      <x:c r="J762" s="2" t="str">
        <x:f>IF(B762="","",'Motor_Meciuri'!I60)</x:f>
      </x:c>
      <x:c r="K762" s="11" t="str">
        <x:f>IF(J762&lt;&gt;"PASS","",'Motor_Meciuri'!BD60)</x:f>
      </x:c>
      <x:c r="L762" s="11" t="str">
        <x:f>IF(J762&lt;&gt;"PASS","",'Motor_Meciuri'!AU60)</x:f>
      </x:c>
      <x:c r="M762" s="10" t="str">
        <x:f>IF(NOT(AND(J762="PASS",'Calibrare_Linii'!U6="VALID")),"",1-'Distributie'!AA60)</x:f>
      </x:c>
      <x:c r="N762" s="10" t="str">
        <x:f>IF(M762="","",MAX(0.01,MIN(0.99,0.5+(M762-0.5)*'Motor_Meciuri'!BG60*'Calibrare_Linii'!D6)))</x:f>
      </x:c>
      <x:c r="O762" s="10" t="str">
        <x:f>IF(M762="","",1-M762)</x:f>
      </x:c>
      <x:c r="P762" s="10" t="str">
        <x:f>IF(OR(NOT(AND(J762="PASS",'Calibrare_Linii'!U6="VALID")),AK762=0),""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*('Istoric_Nativ'!$Q$6:$Q$405&lt;=H762))/AK762)</x:f>
      </x:c>
      <x:c r="Q762" s="10" t="str">
        <x:f>IF(OR(NOT(AND(J762="PASS",'Calibrare_Linii'!U6="VALID")),AL762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M60)+((('Istoric_Nativ'!$E$6:$E$405='Input_Meci'!E60)+('Istoric_Nativ'!$F$6:$F$405='Input_Meci'!E60))&gt;0)*('Istoric_Nativ'!$D$6:$D$405&gt;='Motor_Meciuri'!BN60))&gt;0)*('Istoric_Nativ'!$Q$6:$Q$405&lt;=H762))/AL762)</x:f>
      </x:c>
      <x:c r="R762" s="10" t="str">
        <x:f>IF(OR(NOT(AND(J762="PASS",'Calibrare_Linii'!U6="VALID")),AM762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O60)+((('Istoric_Nativ'!$E$6:$E$405='Input_Meci'!E60)+('Istoric_Nativ'!$F$6:$F$405='Input_Meci'!E60))&gt;0)*('Istoric_Nativ'!$D$6:$D$405&gt;='Motor_Meciuri'!BP60))&gt;0)*('Istoric_Nativ'!$Q$6:$Q$405&lt;=H762))/AM762)</x:f>
      </x:c>
      <x:c r="S762" s="10" t="str">
        <x:f>IF(M762="","",MAX(O762,P762,Q762,R762))</x:f>
      </x:c>
      <x:c r="T762" s="11" t="str">
        <x:f>IF(M762="","",MIN(100,S762*100*'Config_v6'!$B$44+MIN(100,L762/'Config_v6'!$B$13*100)*'Config_v6'!$B$45+(100-'Motor_Meciuri'!BF60)*'Config_v6'!$B$46+'Motor_Meciuri'!BH60*100*'Config_v6'!$B$47))</x:f>
      </x:c>
      <x:c r="U762" s="2" t="str">
        <x:f>IF(T762="","",IF(T762&lt;=20,1,IF(T762&lt;=40,2,IF(T762&lt;=60,3,IF(T762&lt;=80,4,5)))))</x:f>
      </x:c>
      <x:c r="V762" s="2" t="str">
        <x:f>IF(M762="","",MAX(0,'Motor_Meciuri'!BF60-IF(W762="OOS PENDING",'Config_v6'!$B$35,0)-IF(L762&gt;'Config_v6'!$B$12,'Config_v6'!$B$37,IF(L762&gt;'Config_v6'!$B$11,'Config_v6'!$B$36,0))))</x:f>
      </x:c>
      <x:c r="W762" s="2" t="str">
        <x:f>IF(B762="","",IF(I762&lt;&gt;"READY","NOT RELEASED",IF(NOT(AND(J762="PASS",'Calibrare_Linii'!U6="VALID")),"INVALID",IF(NOT(TRUE),"OOS PENDING",IF(S762&lt;=IF(AND('Calibrare_Linii'!S6="VALIDATED",AND('Calibrare_Linii'!H6=C762,ISNUMBER('Calibrare_Linii'!J6),'Calibrare_Linii'!J6&lt;='Input_Meci'!G60)),'Calibrare_Linii'!E6,'Config_v6'!$B$26),"PASS",IF(S762&lt;=IF(AND('Calibrare_Linii'!S6="VALIDATED",AND('Calibrare_Linii'!H6=C762,ISNUMBER('Calibrare_Linii'!J6),'Calibrare_Linii'!J6&lt;='Input_Meci'!G60)),'Calibrare_Linii'!F6,'Config_v6'!$C$26),"PENALTY","WATCH"))))))</x:f>
      </x:c>
      <x:c r="X762" s="2" t="str">
        <x:f>IF(M762="","",IF(AND(AND(J762="PASS",'Calibrare_Linii'!U6="VALID"),'Motor_Meciuri'!K60=12,'Motor_Meciuri'!L60=12,'Motor_Meciuri'!M60="NO",'Motor_Meciuri'!BL60='Motor_Meciuri'!C60,AB762&gt;='Config_v6'!$B$50,AN762&gt;='Config_v6'!$B$51,T762&lt;='Config_v6'!$B$52,L762&lt;='Config_v6'!$B$53,ISNUMBER('Calibrare_Linii'!E6),S762&lt;='Calibrare_Linii'!E6,SUM(AK762:AM762)&gt;0),"CANDIDATE","NO"))</x:f>
      </x:c>
      <x:c r="Y762" s="2" t="str">
        <x:f>IF(B762="","",IF(I762&lt;&gt;"READY","NOT RELEASED",IF(AND(X762="CANDIDATE",V762&gt;='Config_v6'!$B$51,W762="PASS",'Calibrare_Linii'!T6="VALIDATED",AND('Calibrare_Linii'!H6=C762,ISNUMBER('Calibrare_Linii'!J6),'Calibrare_Linii'!J6&lt;='Input_Meci'!G60)),"PASS",IF(X762="CANDIDATE","OOS PENDING","FAIL"))))</x:f>
      </x:c>
      <x:c r="Z762" s="2" t="str">
        <x:f>IF(B762="","",IF(I762&lt;&gt;"READY","",IF(OR(NOT(AND(J762="PASS",'Calibrare_Linii'!U6="VALID")),L762&gt;'Config_v6'!$B$13,W762="WATCH"),5,IF(Y762="PASS",1,MIN(5,MAX('Config_v6'!$B$42,U762)+IF(W762="PENALTY",1,0))))))</x:f>
      </x:c>
      <x:c r="AA762" s="2" t="str">
        <x:f>IF(B762="","",IF(I762&lt;&gt;"READY","NOT RELEASED",IF(Z762=5,"NO BET",IF(OR(AB762&lt;'Config_v6'!$B$16,V762&lt;'Config_v6'!$B$18),"WATCH",IF(Z762=1,"DEFENSIV",IF(Z762=2,"PRUDENT",IF(Z762=3,"MODERAT","RIDICAT")))))))</x:f>
      </x:c>
      <x:c r="AB762" s="10" t="str">
        <x:f>IF(N762="","",MIN(N762,1-S762))</x:f>
      </x:c>
      <x:c r="AC762" s="2" t="str">
        <x:f>IF(AD762&lt;&gt;1,"",COUNTIFS($Z$762:$Z$775,"&lt;"&amp;Z762,$AD$762:$AD$775,1)+COUNTIFS($Z$762:$Z$775,Z762,$AB$762:$AB$775,"&gt;"&amp;AB762,$AD$762:$AD$775,1)+COUNTIFS($Z$762:$Z$775,Z762,$AB$762:$AB$775,AB762,$V$762:$V$775,"&gt;"&amp;V762,$AD$762:$AD$775,1)+COUNTIFS($Z$762:Z762,Z762,$AB$762:AB762,AB762,$V$762:V762,V762,$AD$762:AD762,1))</x:f>
      </x:c>
      <x:c r="AD762" s="2" t="n">
        <x:f>IF(OR(AA762="DEFENSIV",AA762="PRUDENT",AA762="MODERAT",AA762="RIDICAT"),1,0)</x:f>
        <x:v>0</x:v>
      </x:c>
      <x:c r="AE762" s="2" t="str">
        <x:f>IF(AD762&lt;&gt;1,"NO",IF(W762="PASS","YES",IF(W762="OOS PENDING","CONDITIONAL","NO")))</x:f>
        <x:v>NO</x:v>
      </x:c>
      <x:c r="AF762" s="2" t="n">
        <x:f>IF(AND(AD762=1,AC762=1,E762="LIVE"),1,0)</x:f>
        <x:v>0</x:v>
      </x:c>
      <x:c r="AG762" s="2" t="str">
        <x:f>IF(AF762&lt;&gt;1,"",'Dashboard'!P80)</x:f>
      </x:c>
      <x:c r="AH762" s="2" t="str">
        <x:f>IF(B762="","",IF(J762&lt;&gt;"PASS",'Motor_Meciuri'!J60,IF('Calibrare_Linii'!U6&lt;&gt;"VALID","Parametri linie invalizi",IF(L762&gt;'Config_v6'!$B$13,"Dispersie peste limita",IF(W762="WATCH","Failure peste limita",IF(AB762&lt;'Config_v6'!$B$16,"P finala sub prag",IF(V762&lt;'Config_v6'!$B$18,"Confidence sub prag",IF(E762="REPLAY","Exemplu retrospectiv; exclus din Top LIVE",IF(Y762="PASS","DEFENSIV validat",IF(W762="OOS PENDING","Eligibil; calibrare linie in monitorizare","Eligibil"))))))))))</x:f>
      </x:c>
      <x:c r="AI762" s="2" t="str">
        <x:f>IF(B762="","",'Calibrare_Linii'!V6)</x:f>
      </x:c>
      <x:c r="AJ762" s="2" t="str">
        <x:f>IF(B762="","",IF(AND('Calibrare_Linii'!T6="VALIDATED",AND('Calibrare_Linii'!H6=C762,ISNUMBER('Calibrare_Linii'!J6),'Calibrare_Linii'!J6&lt;='Input_Meci'!G60)),"DEFENSIVE VALIDATED",IF(AND('Calibrare_Linii'!S6="VALIDATED",AND('Calibrare_Linii'!H6=C762,ISNUMBER('Calibrare_Linii'!J6),'Calibrare_Linii'!J6&lt;='Input_Meci'!G60)),"TAIL VALIDATED","OOS PENDING")))</x:f>
      </x:c>
      <x:c r="AK762" s="2" t="n">
        <x:f>IF(J762&lt;&gt;"PASS",0,'Motor_Meciuri'!BR60)</x:f>
        <x:v>0</x:v>
      </x:c>
      <x:c r="AL762" s="2" t="n">
        <x:f>IF(J762&lt;&gt;"PASS",0,'Motor_Meciuri'!BS60)</x:f>
        <x:v>0</x:v>
      </x:c>
      <x:c r="AM762" s="2" t="n">
        <x:f>IF(J762&lt;&gt;"PASS",0,'Motor_Meciuri'!BT60)</x:f>
        <x:v>0</x:v>
      </x:c>
      <x:c r="AN762" s="2" t="str">
        <x:f>IF(M762="","",MAX(0,'Motor_Meciuri'!BF60-IF(L762&gt;'Config_v6'!$B$12,'Config_v6'!$B$37,IF(L762&gt;'Config_v6'!$B$11,'Config_v6'!$B$36,0))))</x:f>
      </x:c>
    </x:row>
    <x:row r="763" ht="21" customHeight="1">
      <x:c r="A763" s="2" t="n">
        <x:v>55</x:v>
      </x:c>
      <x:c r="B763" s="2" t="str">
        <x:f>IF('Motor_Meciuri'!A60="","",'Motor_Meciuri'!A60)</x:f>
      </x:c>
      <x:c r="C763" s="2" t="str">
        <x:f>IF(B763="","",'Motor_Meciuri'!B60)</x:f>
      </x:c>
      <x:c r="D763" s="2" t="str">
        <x:f>IF(B763="","",'Motor_Meciuri'!D60)</x:f>
      </x:c>
      <x:c r="E763" s="2" t="str">
        <x:f>IF(B763="","",'Motor_Meciuri'!E60)</x:f>
      </x:c>
      <x:c r="F763" s="2" t="str">
        <x:v>O4,5</x:v>
      </x:c>
      <x:c r="G763" s="2" t="str">
        <x:v>OVER</x:v>
      </x:c>
      <x:c r="H763" s="2" t="n">
        <x:v>4</x:v>
      </x:c>
      <x:c r="I763" s="2" t="str">
        <x:f>IF(B763="","",'Motor_Meciuri'!H60)</x:f>
      </x:c>
      <x:c r="J763" s="2" t="str">
        <x:f>IF(B763="","",'Motor_Meciuri'!I60)</x:f>
      </x:c>
      <x:c r="K763" s="11" t="str">
        <x:f>IF(J763&lt;&gt;"PASS","",'Motor_Meciuri'!BD60)</x:f>
      </x:c>
      <x:c r="L763" s="11" t="str">
        <x:f>IF(J763&lt;&gt;"PASS","",'Motor_Meciuri'!AU60)</x:f>
      </x:c>
      <x:c r="M763" s="10" t="str">
        <x:f>IF(NOT(AND(J763="PASS",'Calibrare_Linii'!U7="VALID")),"",1-'Distributie'!AB60)</x:f>
      </x:c>
      <x:c r="N763" s="10" t="str">
        <x:f>IF(M763="","",MAX(0.01,MIN(0.99,0.5+(M763-0.5)*'Motor_Meciuri'!BG60*'Calibrare_Linii'!D7)))</x:f>
      </x:c>
      <x:c r="O763" s="10" t="str">
        <x:f>IF(M763="","",1-M763)</x:f>
      </x:c>
      <x:c r="P763" s="10" t="str">
        <x:f>IF(OR(NOT(AND(J763="PASS",'Calibrare_Linii'!U7="VALID")),AK763=0),""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*('Istoric_Nativ'!$Q$6:$Q$405&lt;=H763))/AK763)</x:f>
      </x:c>
      <x:c r="Q763" s="10" t="str">
        <x:f>IF(OR(NOT(AND(J763="PASS",'Calibrare_Linii'!U7="VALID")),AL763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M60)+((('Istoric_Nativ'!$E$6:$E$405='Input_Meci'!E60)+('Istoric_Nativ'!$F$6:$F$405='Input_Meci'!E60))&gt;0)*('Istoric_Nativ'!$D$6:$D$405&gt;='Motor_Meciuri'!BN60))&gt;0)*('Istoric_Nativ'!$Q$6:$Q$405&lt;=H763))/AL763)</x:f>
      </x:c>
      <x:c r="R763" s="10" t="str">
        <x:f>IF(OR(NOT(AND(J763="PASS",'Calibrare_Linii'!U7="VALID")),AM763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O60)+((('Istoric_Nativ'!$E$6:$E$405='Input_Meci'!E60)+('Istoric_Nativ'!$F$6:$F$405='Input_Meci'!E60))&gt;0)*('Istoric_Nativ'!$D$6:$D$405&gt;='Motor_Meciuri'!BP60))&gt;0)*('Istoric_Nativ'!$Q$6:$Q$405&lt;=H763))/AM763)</x:f>
      </x:c>
      <x:c r="S763" s="10" t="str">
        <x:f>IF(M763="","",MAX(O763,P763,Q763,R763))</x:f>
      </x:c>
      <x:c r="T763" s="11" t="str">
        <x:f>IF(M763="","",MIN(100,S763*100*'Config_v6'!$B$44+MIN(100,L763/'Config_v6'!$B$13*100)*'Config_v6'!$B$45+(100-'Motor_Meciuri'!BF60)*'Config_v6'!$B$46+'Motor_Meciuri'!BH60*100*'Config_v6'!$B$47))</x:f>
      </x:c>
      <x:c r="U763" s="2" t="str">
        <x:f>IF(T763="","",IF(T763&lt;=20,1,IF(T763&lt;=40,2,IF(T763&lt;=60,3,IF(T763&lt;=80,4,5)))))</x:f>
      </x:c>
      <x:c r="V763" s="2" t="str">
        <x:f>IF(M763="","",MAX(0,'Motor_Meciuri'!BF60-IF(W763="OOS PENDING",'Config_v6'!$B$35,0)-IF(L763&gt;'Config_v6'!$B$12,'Config_v6'!$B$37,IF(L763&gt;'Config_v6'!$B$11,'Config_v6'!$B$36,0))))</x:f>
      </x:c>
      <x:c r="W763" s="2" t="str">
        <x:f>IF(B763="","",IF(I763&lt;&gt;"READY","NOT RELEASED",IF(NOT(AND(J763="PASS",'Calibrare_Linii'!U7="VALID")),"INVALID",IF(NOT(AND('Calibrare_Linii'!S7="VALIDATED",AND('Calibrare_Linii'!H7=C763,ISNUMBER('Calibrare_Linii'!J7),'Calibrare_Linii'!J7&lt;='Input_Meci'!G60))),"OOS PENDING",IF(S763&lt;='Calibrare_Linii'!E7,"PASS",IF(S763&lt;='Calibrare_Linii'!F7,"PENALTY","WATCH"))))))</x:f>
      </x:c>
      <x:c r="X763" s="2" t="str">
        <x:f>IF(M763="","",IF(AND(AND(J763="PASS",'Calibrare_Linii'!U7="VALID"),'Motor_Meciuri'!K60=12,'Motor_Meciuri'!L60=12,'Motor_Meciuri'!M60="NO",'Motor_Meciuri'!BL60='Motor_Meciuri'!C60,AB763&gt;='Config_v6'!$B$50,AN763&gt;='Config_v6'!$B$51,T763&lt;='Config_v6'!$B$52,L763&lt;='Config_v6'!$B$53,ISNUMBER('Calibrare_Linii'!E7),S763&lt;='Calibrare_Linii'!E7,SUM(AK763:AM763)&gt;0),"CANDIDATE","NO"))</x:f>
      </x:c>
      <x:c r="Y763" s="2" t="str">
        <x:f>IF(B763="","",IF(I763&lt;&gt;"READY","NOT RELEASED",IF(AND(X763="CANDIDATE",V763&gt;='Config_v6'!$B$51,W763="PASS",'Calibrare_Linii'!T7="VALIDATED",AND('Calibrare_Linii'!H7=C763,ISNUMBER('Calibrare_Linii'!J7),'Calibrare_Linii'!J7&lt;='Input_Meci'!G60)),"PASS",IF(X763="CANDIDATE","OOS PENDING","FAIL"))))</x:f>
      </x:c>
      <x:c r="Z763" s="2" t="str">
        <x:f>IF(B763="","",IF(I763&lt;&gt;"READY","",IF(OR(NOT(AND(J763="PASS",'Calibrare_Linii'!U7="VALID")),L763&gt;'Config_v6'!$B$13,W763="WATCH"),5,IF(Y763="PASS",1,MIN(5,MAX('Config_v6'!$B$42,U763)+IF(W763="PENALTY",1,0))))))</x:f>
      </x:c>
      <x:c r="AA763" s="2" t="str">
        <x:f>IF(B763="","",IF(I763&lt;&gt;"READY","NOT RELEASED",IF(Z763=5,"NO BET",IF(OR(AB763&lt;'Config_v6'!$B$16,V763&lt;'Config_v6'!$B$18),"WATCH",IF(Z763=1,"DEFENSIV",IF(Z763=2,"PRUDENT",IF(Z763=3,"MODERAT","RIDICAT")))))))</x:f>
      </x:c>
      <x:c r="AB763" s="10" t="str">
        <x:f>IF(N763="","",MIN(N763,1-S763))</x:f>
      </x:c>
      <x:c r="AC763" s="2" t="str">
        <x:f>IF(AD763&lt;&gt;1,"",COUNTIFS($Z$762:$Z$775,"&lt;"&amp;Z763,$AD$762:$AD$775,1)+COUNTIFS($Z$762:$Z$775,Z763,$AB$762:$AB$775,"&gt;"&amp;AB763,$AD$762:$AD$775,1)+COUNTIFS($Z$762:$Z$775,Z763,$AB$762:$AB$775,AB763,$V$762:$V$775,"&gt;"&amp;V763,$AD$762:$AD$775,1)+COUNTIFS($Z$762:Z763,Z763,$AB$762:AB763,AB763,$V$762:V763,V763,$AD$762:AD763,1))</x:f>
      </x:c>
      <x:c r="AD763" s="2" t="n">
        <x:f>IF(OR(AA763="DEFENSIV",AA763="PRUDENT",AA763="MODERAT",AA763="RIDICAT"),1,0)</x:f>
        <x:v>0</x:v>
      </x:c>
      <x:c r="AE763" s="2" t="str">
        <x:f>IF(AD763&lt;&gt;1,"NO",IF(W763="PASS","YES",IF(W763="OOS PENDING","CONDITIONAL","NO")))</x:f>
        <x:v>NO</x:v>
      </x:c>
      <x:c r="AF763" s="2" t="n">
        <x:f>IF(AND(AD763=1,AC763=1,E763="LIVE"),1,0)</x:f>
        <x:v>0</x:v>
      </x:c>
      <x:c r="AG763" s="2" t="str">
        <x:f>IF(AF763&lt;&gt;1,"",'Dashboard'!P80)</x:f>
      </x:c>
      <x:c r="AH763" s="2" t="str">
        <x:f>IF(B763="","",IF(J763&lt;&gt;"PASS",'Motor_Meciuri'!J60,IF('Calibrare_Linii'!U7&lt;&gt;"VALID","Parametri linie invalizi",IF(L763&gt;'Config_v6'!$B$13,"Dispersie peste limita",IF(W763="WATCH","Failure peste limita",IF(AB763&lt;'Config_v6'!$B$16,"P finala sub prag",IF(V763&lt;'Config_v6'!$B$18,"Confidence sub prag",IF(E763="REPLAY","Exemplu retrospectiv; exclus din Top LIVE",IF(Y763="PASS","DEFENSIV validat",IF(W763="OOS PENDING","Eligibil; calibrare linie in monitorizare","Eligibil"))))))))))</x:f>
      </x:c>
      <x:c r="AI763" s="2" t="str">
        <x:f>IF(B763="","",'Calibrare_Linii'!V7)</x:f>
      </x:c>
      <x:c r="AJ763" s="2" t="str">
        <x:f>IF(B763="","",IF(AND('Calibrare_Linii'!T7="VALIDATED",AND('Calibrare_Linii'!H7=C763,ISNUMBER('Calibrare_Linii'!J7),'Calibrare_Linii'!J7&lt;='Input_Meci'!G60)),"DEFENSIVE VALIDATED",IF(AND('Calibrare_Linii'!S7="VALIDATED",AND('Calibrare_Linii'!H7=C763,ISNUMBER('Calibrare_Linii'!J7),'Calibrare_Linii'!J7&lt;='Input_Meci'!G60)),"TAIL VALIDATED","OOS PENDING")))</x:f>
      </x:c>
      <x:c r="AK763" s="2" t="n">
        <x:f>IF(J763&lt;&gt;"PASS",0,'Motor_Meciuri'!BR60)</x:f>
        <x:v>0</x:v>
      </x:c>
      <x:c r="AL763" s="2" t="n">
        <x:f>IF(J763&lt;&gt;"PASS",0,'Motor_Meciuri'!BS60)</x:f>
        <x:v>0</x:v>
      </x:c>
      <x:c r="AM763" s="2" t="n">
        <x:f>IF(J763&lt;&gt;"PASS",0,'Motor_Meciuri'!BT60)</x:f>
        <x:v>0</x:v>
      </x:c>
      <x:c r="AN763" s="2" t="str">
        <x:f>IF(M763="","",MAX(0,'Motor_Meciuri'!BF60-IF(L763&gt;'Config_v6'!$B$12,'Config_v6'!$B$37,IF(L763&gt;'Config_v6'!$B$11,'Config_v6'!$B$36,0))))</x:f>
      </x:c>
    </x:row>
    <x:row r="764" ht="21" customHeight="1">
      <x:c r="A764" s="2" t="n">
        <x:v>55</x:v>
      </x:c>
      <x:c r="B764" s="2" t="str">
        <x:f>IF('Motor_Meciuri'!A60="","",'Motor_Meciuri'!A60)</x:f>
      </x:c>
      <x:c r="C764" s="2" t="str">
        <x:f>IF(B764="","",'Motor_Meciuri'!B60)</x:f>
      </x:c>
      <x:c r="D764" s="2" t="str">
        <x:f>IF(B764="","",'Motor_Meciuri'!D60)</x:f>
      </x:c>
      <x:c r="E764" s="2" t="str">
        <x:f>IF(B764="","",'Motor_Meciuri'!E60)</x:f>
      </x:c>
      <x:c r="F764" s="2" t="str">
        <x:v>O5,5</x:v>
      </x:c>
      <x:c r="G764" s="2" t="str">
        <x:v>OVER</x:v>
      </x:c>
      <x:c r="H764" s="2" t="n">
        <x:v>5</x:v>
      </x:c>
      <x:c r="I764" s="2" t="str">
        <x:f>IF(B764="","",'Motor_Meciuri'!H60)</x:f>
      </x:c>
      <x:c r="J764" s="2" t="str">
        <x:f>IF(B764="","",'Motor_Meciuri'!I60)</x:f>
      </x:c>
      <x:c r="K764" s="11" t="str">
        <x:f>IF(J764&lt;&gt;"PASS","",'Motor_Meciuri'!BD60)</x:f>
      </x:c>
      <x:c r="L764" s="11" t="str">
        <x:f>IF(J764&lt;&gt;"PASS","",'Motor_Meciuri'!AU60)</x:f>
      </x:c>
      <x:c r="M764" s="10" t="str">
        <x:f>IF(NOT(AND(J764="PASS",'Calibrare_Linii'!U8="VALID")),"",1-'Distributie'!AC60)</x:f>
      </x:c>
      <x:c r="N764" s="10" t="str">
        <x:f>IF(M764="","",MAX(0.01,MIN(0.99,0.5+(M764-0.5)*'Motor_Meciuri'!BG60*'Calibrare_Linii'!D8)))</x:f>
      </x:c>
      <x:c r="O764" s="10" t="str">
        <x:f>IF(M764="","",1-M764)</x:f>
      </x:c>
      <x:c r="P764" s="10" t="str">
        <x:f>IF(OR(NOT(AND(J764="PASS",'Calibrare_Linii'!U8="VALID")),AK764=0),""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*('Istoric_Nativ'!$Q$6:$Q$405&lt;=H764))/AK764)</x:f>
      </x:c>
      <x:c r="Q764" s="10" t="str">
        <x:f>IF(OR(NOT(AND(J764="PASS",'Calibrare_Linii'!U8="VALID")),AL764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M60)+((('Istoric_Nativ'!$E$6:$E$405='Input_Meci'!E60)+('Istoric_Nativ'!$F$6:$F$405='Input_Meci'!E60))&gt;0)*('Istoric_Nativ'!$D$6:$D$405&gt;='Motor_Meciuri'!BN60))&gt;0)*('Istoric_Nativ'!$Q$6:$Q$405&lt;=H764))/AL764)</x:f>
      </x:c>
      <x:c r="R764" s="10" t="str">
        <x:f>IF(OR(NOT(AND(J764="PASS",'Calibrare_Linii'!U8="VALID")),AM764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O60)+((('Istoric_Nativ'!$E$6:$E$405='Input_Meci'!E60)+('Istoric_Nativ'!$F$6:$F$405='Input_Meci'!E60))&gt;0)*('Istoric_Nativ'!$D$6:$D$405&gt;='Motor_Meciuri'!BP60))&gt;0)*('Istoric_Nativ'!$Q$6:$Q$405&lt;=H764))/AM764)</x:f>
      </x:c>
      <x:c r="S764" s="10" t="str">
        <x:f>IF(M764="","",MAX(O764,P764,Q764,R764))</x:f>
      </x:c>
      <x:c r="T764" s="11" t="str">
        <x:f>IF(M764="","",MIN(100,S764*100*'Config_v6'!$B$44+MIN(100,L764/'Config_v6'!$B$13*100)*'Config_v6'!$B$45+(100-'Motor_Meciuri'!BF60)*'Config_v6'!$B$46+'Motor_Meciuri'!BH60*100*'Config_v6'!$B$47))</x:f>
      </x:c>
      <x:c r="U764" s="2" t="str">
        <x:f>IF(T764="","",IF(T764&lt;=20,1,IF(T764&lt;=40,2,IF(T764&lt;=60,3,IF(T764&lt;=80,4,5)))))</x:f>
      </x:c>
      <x:c r="V764" s="2" t="str">
        <x:f>IF(M764="","",MAX(0,'Motor_Meciuri'!BF60-IF(W764="OOS PENDING",'Config_v6'!$B$35,0)-IF(L764&gt;'Config_v6'!$B$12,'Config_v6'!$B$37,IF(L764&gt;'Config_v6'!$B$11,'Config_v6'!$B$36,0))))</x:f>
      </x:c>
      <x:c r="W764" s="2" t="str">
        <x:f>IF(B764="","",IF(I764&lt;&gt;"READY","NOT RELEASED",IF(NOT(AND(J764="PASS",'Calibrare_Linii'!U8="VALID")),"INVALID",IF(NOT(AND('Calibrare_Linii'!S8="VALIDATED",AND('Calibrare_Linii'!H8=C764,ISNUMBER('Calibrare_Linii'!J8),'Calibrare_Linii'!J8&lt;='Input_Meci'!G60))),"OOS PENDING",IF(S764&lt;='Calibrare_Linii'!E8,"PASS",IF(S764&lt;='Calibrare_Linii'!F8,"PENALTY","WATCH"))))))</x:f>
      </x:c>
      <x:c r="X764" s="2" t="str">
        <x:f>IF(M764="","",IF(AND(AND(J764="PASS",'Calibrare_Linii'!U8="VALID"),'Motor_Meciuri'!K60=12,'Motor_Meciuri'!L60=12,'Motor_Meciuri'!M60="NO",'Motor_Meciuri'!BL60='Motor_Meciuri'!C60,AB764&gt;='Config_v6'!$B$50,AN764&gt;='Config_v6'!$B$51,T764&lt;='Config_v6'!$B$52,L764&lt;='Config_v6'!$B$53,ISNUMBER('Calibrare_Linii'!E8),S764&lt;='Calibrare_Linii'!E8,SUM(AK764:AM764)&gt;0),"CANDIDATE","NO"))</x:f>
      </x:c>
      <x:c r="Y764" s="2" t="str">
        <x:f>IF(B764="","",IF(I764&lt;&gt;"READY","NOT RELEASED",IF(AND(X764="CANDIDATE",V764&gt;='Config_v6'!$B$51,W764="PASS",'Calibrare_Linii'!T8="VALIDATED",AND('Calibrare_Linii'!H8=C764,ISNUMBER('Calibrare_Linii'!J8),'Calibrare_Linii'!J8&lt;='Input_Meci'!G60)),"PASS",IF(X764="CANDIDATE","OOS PENDING","FAIL"))))</x:f>
      </x:c>
      <x:c r="Z764" s="2" t="str">
        <x:f>IF(B764="","",IF(I764&lt;&gt;"READY","",IF(OR(NOT(AND(J764="PASS",'Calibrare_Linii'!U8="VALID")),L764&gt;'Config_v6'!$B$13,W764="WATCH"),5,IF(Y764="PASS",1,MIN(5,MAX('Config_v6'!$B$42,U764)+IF(W764="PENALTY",1,0))))))</x:f>
      </x:c>
      <x:c r="AA764" s="2" t="str">
        <x:f>IF(B764="","",IF(I764&lt;&gt;"READY","NOT RELEASED",IF(Z764=5,"NO BET",IF(OR(AB764&lt;'Config_v6'!$B$16,V764&lt;'Config_v6'!$B$18),"WATCH",IF(Z764=1,"DEFENSIV",IF(Z764=2,"PRUDENT",IF(Z764=3,"MODERAT","RIDICAT")))))))</x:f>
      </x:c>
      <x:c r="AB764" s="10" t="str">
        <x:f>IF(N764="","",MIN(N764,1-S764))</x:f>
      </x:c>
      <x:c r="AC764" s="2" t="str">
        <x:f>IF(AD764&lt;&gt;1,"",COUNTIFS($Z$762:$Z$775,"&lt;"&amp;Z764,$AD$762:$AD$775,1)+COUNTIFS($Z$762:$Z$775,Z764,$AB$762:$AB$775,"&gt;"&amp;AB764,$AD$762:$AD$775,1)+COUNTIFS($Z$762:$Z$775,Z764,$AB$762:$AB$775,AB764,$V$762:$V$775,"&gt;"&amp;V764,$AD$762:$AD$775,1)+COUNTIFS($Z$762:Z764,Z764,$AB$762:AB764,AB764,$V$762:V764,V764,$AD$762:AD764,1))</x:f>
      </x:c>
      <x:c r="AD764" s="2" t="n">
        <x:f>IF(OR(AA764="DEFENSIV",AA764="PRUDENT",AA764="MODERAT",AA764="RIDICAT"),1,0)</x:f>
        <x:v>0</x:v>
      </x:c>
      <x:c r="AE764" s="2" t="str">
        <x:f>IF(AD764&lt;&gt;1,"NO",IF(W764="PASS","YES",IF(W764="OOS PENDING","CONDITIONAL","NO")))</x:f>
        <x:v>NO</x:v>
      </x:c>
      <x:c r="AF764" s="2" t="n">
        <x:f>IF(AND(AD764=1,AC764=1,E764="LIVE"),1,0)</x:f>
        <x:v>0</x:v>
      </x:c>
      <x:c r="AG764" s="2" t="str">
        <x:f>IF(AF764&lt;&gt;1,"",'Dashboard'!P80)</x:f>
      </x:c>
      <x:c r="AH764" s="2" t="str">
        <x:f>IF(B764="","",IF(J764&lt;&gt;"PASS",'Motor_Meciuri'!J60,IF('Calibrare_Linii'!U8&lt;&gt;"VALID","Parametri linie invalizi",IF(L764&gt;'Config_v6'!$B$13,"Dispersie peste limita",IF(W764="WATCH","Failure peste limita",IF(AB764&lt;'Config_v6'!$B$16,"P finala sub prag",IF(V764&lt;'Config_v6'!$B$18,"Confidence sub prag",IF(E764="REPLAY","Exemplu retrospectiv; exclus din Top LIVE",IF(Y764="PASS","DEFENSIV validat",IF(W764="OOS PENDING","Eligibil; calibrare linie in monitorizare","Eligibil"))))))))))</x:f>
      </x:c>
      <x:c r="AI764" s="2" t="str">
        <x:f>IF(B764="","",'Calibrare_Linii'!V8)</x:f>
      </x:c>
      <x:c r="AJ764" s="2" t="str">
        <x:f>IF(B764="","",IF(AND('Calibrare_Linii'!T8="VALIDATED",AND('Calibrare_Linii'!H8=C764,ISNUMBER('Calibrare_Linii'!J8),'Calibrare_Linii'!J8&lt;='Input_Meci'!G60)),"DEFENSIVE VALIDATED",IF(AND('Calibrare_Linii'!S8="VALIDATED",AND('Calibrare_Linii'!H8=C764,ISNUMBER('Calibrare_Linii'!J8),'Calibrare_Linii'!J8&lt;='Input_Meci'!G60)),"TAIL VALIDATED","OOS PENDING")))</x:f>
      </x:c>
      <x:c r="AK764" s="2" t="n">
        <x:f>IF(J764&lt;&gt;"PASS",0,'Motor_Meciuri'!BR60)</x:f>
        <x:v>0</x:v>
      </x:c>
      <x:c r="AL764" s="2" t="n">
        <x:f>IF(J764&lt;&gt;"PASS",0,'Motor_Meciuri'!BS60)</x:f>
        <x:v>0</x:v>
      </x:c>
      <x:c r="AM764" s="2" t="n">
        <x:f>IF(J764&lt;&gt;"PASS",0,'Motor_Meciuri'!BT60)</x:f>
        <x:v>0</x:v>
      </x:c>
      <x:c r="AN764" s="2" t="str">
        <x:f>IF(M764="","",MAX(0,'Motor_Meciuri'!BF60-IF(L764&gt;'Config_v6'!$B$12,'Config_v6'!$B$37,IF(L764&gt;'Config_v6'!$B$11,'Config_v6'!$B$36,0))))</x:f>
      </x:c>
    </x:row>
    <x:row r="765" ht="21" customHeight="1">
      <x:c r="A765" s="2" t="n">
        <x:v>55</x:v>
      </x:c>
      <x:c r="B765" s="2" t="str">
        <x:f>IF('Motor_Meciuri'!A60="","",'Motor_Meciuri'!A60)</x:f>
      </x:c>
      <x:c r="C765" s="2" t="str">
        <x:f>IF(B765="","",'Motor_Meciuri'!B60)</x:f>
      </x:c>
      <x:c r="D765" s="2" t="str">
        <x:f>IF(B765="","",'Motor_Meciuri'!D60)</x:f>
      </x:c>
      <x:c r="E765" s="2" t="str">
        <x:f>IF(B765="","",'Motor_Meciuri'!E60)</x:f>
      </x:c>
      <x:c r="F765" s="2" t="str">
        <x:v>O6,5</x:v>
      </x:c>
      <x:c r="G765" s="2" t="str">
        <x:v>OVER</x:v>
      </x:c>
      <x:c r="H765" s="2" t="n">
        <x:v>6</x:v>
      </x:c>
      <x:c r="I765" s="2" t="str">
        <x:f>IF(B765="","",'Motor_Meciuri'!H60)</x:f>
      </x:c>
      <x:c r="J765" s="2" t="str">
        <x:f>IF(B765="","",'Motor_Meciuri'!I60)</x:f>
      </x:c>
      <x:c r="K765" s="11" t="str">
        <x:f>IF(J765&lt;&gt;"PASS","",'Motor_Meciuri'!BD60)</x:f>
      </x:c>
      <x:c r="L765" s="11" t="str">
        <x:f>IF(J765&lt;&gt;"PASS","",'Motor_Meciuri'!AU60)</x:f>
      </x:c>
      <x:c r="M765" s="10" t="str">
        <x:f>IF(NOT(AND(J765="PASS",'Calibrare_Linii'!U9="VALID")),"",1-'Distributie'!AD60)</x:f>
      </x:c>
      <x:c r="N765" s="10" t="str">
        <x:f>IF(M765="","",MAX(0.01,MIN(0.99,0.5+(M765-0.5)*'Motor_Meciuri'!BG60*'Calibrare_Linii'!D9)))</x:f>
      </x:c>
      <x:c r="O765" s="10" t="str">
        <x:f>IF(M765="","",1-M765)</x:f>
      </x:c>
      <x:c r="P765" s="10" t="str">
        <x:f>IF(OR(NOT(AND(J765="PASS",'Calibrare_Linii'!U9="VALID")),AK765=0),""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*('Istoric_Nativ'!$Q$6:$Q$405&lt;=H765))/AK765)</x:f>
      </x:c>
      <x:c r="Q765" s="10" t="str">
        <x:f>IF(OR(NOT(AND(J765="PASS",'Calibrare_Linii'!U9="VALID")),AL765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M60)+((('Istoric_Nativ'!$E$6:$E$405='Input_Meci'!E60)+('Istoric_Nativ'!$F$6:$F$405='Input_Meci'!E60))&gt;0)*('Istoric_Nativ'!$D$6:$D$405&gt;='Motor_Meciuri'!BN60))&gt;0)*('Istoric_Nativ'!$Q$6:$Q$405&lt;=H765))/AL765)</x:f>
      </x:c>
      <x:c r="R765" s="10" t="str">
        <x:f>IF(OR(NOT(AND(J765="PASS",'Calibrare_Linii'!U9="VALID")),AM765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O60)+((('Istoric_Nativ'!$E$6:$E$405='Input_Meci'!E60)+('Istoric_Nativ'!$F$6:$F$405='Input_Meci'!E60))&gt;0)*('Istoric_Nativ'!$D$6:$D$405&gt;='Motor_Meciuri'!BP60))&gt;0)*('Istoric_Nativ'!$Q$6:$Q$405&lt;=H765))/AM765)</x:f>
      </x:c>
      <x:c r="S765" s="10" t="str">
        <x:f>IF(M765="","",MAX(O765,P765,Q765,R765))</x:f>
      </x:c>
      <x:c r="T765" s="11" t="str">
        <x:f>IF(M765="","",MIN(100,S765*100*'Config_v6'!$B$44+MIN(100,L765/'Config_v6'!$B$13*100)*'Config_v6'!$B$45+(100-'Motor_Meciuri'!BF60)*'Config_v6'!$B$46+'Motor_Meciuri'!BH60*100*'Config_v6'!$B$47))</x:f>
      </x:c>
      <x:c r="U765" s="2" t="str">
        <x:f>IF(T765="","",IF(T765&lt;=20,1,IF(T765&lt;=40,2,IF(T765&lt;=60,3,IF(T765&lt;=80,4,5)))))</x:f>
      </x:c>
      <x:c r="V765" s="2" t="str">
        <x:f>IF(M765="","",MAX(0,'Motor_Meciuri'!BF60-IF(W765="OOS PENDING",'Config_v6'!$B$35,0)-IF(L765&gt;'Config_v6'!$B$12,'Config_v6'!$B$37,IF(L765&gt;'Config_v6'!$B$11,'Config_v6'!$B$36,0))))</x:f>
      </x:c>
      <x:c r="W765" s="2" t="str">
        <x:f>IF(B765="","",IF(I765&lt;&gt;"READY","NOT RELEASED",IF(NOT(AND(J765="PASS",'Calibrare_Linii'!U9="VALID")),"INVALID",IF(NOT(AND('Calibrare_Linii'!S9="VALIDATED",AND('Calibrare_Linii'!H9=C765,ISNUMBER('Calibrare_Linii'!J9),'Calibrare_Linii'!J9&lt;='Input_Meci'!G60))),"OOS PENDING",IF(S765&lt;='Calibrare_Linii'!E9,"PASS",IF(S765&lt;='Calibrare_Linii'!F9,"PENALTY","WATCH"))))))</x:f>
      </x:c>
      <x:c r="X765" s="2" t="str">
        <x:f>IF(M765="","",IF(AND(AND(J765="PASS",'Calibrare_Linii'!U9="VALID"),'Motor_Meciuri'!K60=12,'Motor_Meciuri'!L60=12,'Motor_Meciuri'!M60="NO",'Motor_Meciuri'!BL60='Motor_Meciuri'!C60,AB765&gt;='Config_v6'!$B$50,AN765&gt;='Config_v6'!$B$51,T765&lt;='Config_v6'!$B$52,L765&lt;='Config_v6'!$B$53,ISNUMBER('Calibrare_Linii'!E9),S765&lt;='Calibrare_Linii'!E9,SUM(AK765:AM765)&gt;0),"CANDIDATE","NO"))</x:f>
      </x:c>
      <x:c r="Y765" s="2" t="str">
        <x:f>IF(B765="","",IF(I765&lt;&gt;"READY","NOT RELEASED",IF(AND(X765="CANDIDATE",V765&gt;='Config_v6'!$B$51,W765="PASS",'Calibrare_Linii'!T9="VALIDATED",AND('Calibrare_Linii'!H9=C765,ISNUMBER('Calibrare_Linii'!J9),'Calibrare_Linii'!J9&lt;='Input_Meci'!G60)),"PASS",IF(X765="CANDIDATE","OOS PENDING","FAIL"))))</x:f>
      </x:c>
      <x:c r="Z765" s="2" t="str">
        <x:f>IF(B765="","",IF(I765&lt;&gt;"READY","",IF(OR(NOT(AND(J765="PASS",'Calibrare_Linii'!U9="VALID")),L765&gt;'Config_v6'!$B$13,W765="WATCH"),5,IF(Y765="PASS",1,MIN(5,MAX('Config_v6'!$B$42,U765)+IF(W765="PENALTY",1,0))))))</x:f>
      </x:c>
      <x:c r="AA765" s="2" t="str">
        <x:f>IF(B765="","",IF(I765&lt;&gt;"READY","NOT RELEASED",IF(Z765=5,"NO BET",IF(OR(AB765&lt;'Config_v6'!$B$16,V765&lt;'Config_v6'!$B$18),"WATCH",IF(Z765=1,"DEFENSIV",IF(Z765=2,"PRUDENT",IF(Z765=3,"MODERAT","RIDICAT")))))))</x:f>
      </x:c>
      <x:c r="AB765" s="10" t="str">
        <x:f>IF(N765="","",MIN(N765,1-S765))</x:f>
      </x:c>
      <x:c r="AC765" s="2" t="str">
        <x:f>IF(AD765&lt;&gt;1,"",COUNTIFS($Z$762:$Z$775,"&lt;"&amp;Z765,$AD$762:$AD$775,1)+COUNTIFS($Z$762:$Z$775,Z765,$AB$762:$AB$775,"&gt;"&amp;AB765,$AD$762:$AD$775,1)+COUNTIFS($Z$762:$Z$775,Z765,$AB$762:$AB$775,AB765,$V$762:$V$775,"&gt;"&amp;V765,$AD$762:$AD$775,1)+COUNTIFS($Z$762:Z765,Z765,$AB$762:AB765,AB765,$V$762:V765,V765,$AD$762:AD765,1))</x:f>
      </x:c>
      <x:c r="AD765" s="2" t="n">
        <x:f>IF(OR(AA765="DEFENSIV",AA765="PRUDENT",AA765="MODERAT",AA765="RIDICAT"),1,0)</x:f>
        <x:v>0</x:v>
      </x:c>
      <x:c r="AE765" s="2" t="str">
        <x:f>IF(AD765&lt;&gt;1,"NO",IF(W765="PASS","YES",IF(W765="OOS PENDING","CONDITIONAL","NO")))</x:f>
        <x:v>NO</x:v>
      </x:c>
      <x:c r="AF765" s="2" t="n">
        <x:f>IF(AND(AD765=1,AC765=1,E765="LIVE"),1,0)</x:f>
        <x:v>0</x:v>
      </x:c>
      <x:c r="AG765" s="2" t="str">
        <x:f>IF(AF765&lt;&gt;1,"",'Dashboard'!P80)</x:f>
      </x:c>
      <x:c r="AH765" s="2" t="str">
        <x:f>IF(B765="","",IF(J765&lt;&gt;"PASS",'Motor_Meciuri'!J60,IF('Calibrare_Linii'!U9&lt;&gt;"VALID","Parametri linie invalizi",IF(L765&gt;'Config_v6'!$B$13,"Dispersie peste limita",IF(W765="WATCH","Failure peste limita",IF(AB765&lt;'Config_v6'!$B$16,"P finala sub prag",IF(V765&lt;'Config_v6'!$B$18,"Confidence sub prag",IF(E765="REPLAY","Exemplu retrospectiv; exclus din Top LIVE",IF(Y765="PASS","DEFENSIV validat",IF(W765="OOS PENDING","Eligibil; calibrare linie in monitorizare","Eligibil"))))))))))</x:f>
      </x:c>
      <x:c r="AI765" s="2" t="str">
        <x:f>IF(B765="","",'Calibrare_Linii'!V9)</x:f>
      </x:c>
      <x:c r="AJ765" s="2" t="str">
        <x:f>IF(B765="","",IF(AND('Calibrare_Linii'!T9="VALIDATED",AND('Calibrare_Linii'!H9=C765,ISNUMBER('Calibrare_Linii'!J9),'Calibrare_Linii'!J9&lt;='Input_Meci'!G60)),"DEFENSIVE VALIDATED",IF(AND('Calibrare_Linii'!S9="VALIDATED",AND('Calibrare_Linii'!H9=C765,ISNUMBER('Calibrare_Linii'!J9),'Calibrare_Linii'!J9&lt;='Input_Meci'!G60)),"TAIL VALIDATED","OOS PENDING")))</x:f>
      </x:c>
      <x:c r="AK765" s="2" t="n">
        <x:f>IF(J765&lt;&gt;"PASS",0,'Motor_Meciuri'!BR60)</x:f>
        <x:v>0</x:v>
      </x:c>
      <x:c r="AL765" s="2" t="n">
        <x:f>IF(J765&lt;&gt;"PASS",0,'Motor_Meciuri'!BS60)</x:f>
        <x:v>0</x:v>
      </x:c>
      <x:c r="AM765" s="2" t="n">
        <x:f>IF(J765&lt;&gt;"PASS",0,'Motor_Meciuri'!BT60)</x:f>
        <x:v>0</x:v>
      </x:c>
      <x:c r="AN765" s="2" t="str">
        <x:f>IF(M765="","",MAX(0,'Motor_Meciuri'!BF60-IF(L765&gt;'Config_v6'!$B$12,'Config_v6'!$B$37,IF(L765&gt;'Config_v6'!$B$11,'Config_v6'!$B$36,0))))</x:f>
      </x:c>
    </x:row>
    <x:row r="766" ht="21" customHeight="1">
      <x:c r="A766" s="2" t="n">
        <x:v>55</x:v>
      </x:c>
      <x:c r="B766" s="2" t="str">
        <x:f>IF('Motor_Meciuri'!A60="","",'Motor_Meciuri'!A60)</x:f>
      </x:c>
      <x:c r="C766" s="2" t="str">
        <x:f>IF(B766="","",'Motor_Meciuri'!B60)</x:f>
      </x:c>
      <x:c r="D766" s="2" t="str">
        <x:f>IF(B766="","",'Motor_Meciuri'!D60)</x:f>
      </x:c>
      <x:c r="E766" s="2" t="str">
        <x:f>IF(B766="","",'Motor_Meciuri'!E60)</x:f>
      </x:c>
      <x:c r="F766" s="2" t="str">
        <x:v>O7,5</x:v>
      </x:c>
      <x:c r="G766" s="2" t="str">
        <x:v>OVER</x:v>
      </x:c>
      <x:c r="H766" s="2" t="n">
        <x:v>7</x:v>
      </x:c>
      <x:c r="I766" s="2" t="str">
        <x:f>IF(B766="","",'Motor_Meciuri'!H60)</x:f>
      </x:c>
      <x:c r="J766" s="2" t="str">
        <x:f>IF(B766="","",'Motor_Meciuri'!I60)</x:f>
      </x:c>
      <x:c r="K766" s="11" t="str">
        <x:f>IF(J766&lt;&gt;"PASS","",'Motor_Meciuri'!BD60)</x:f>
      </x:c>
      <x:c r="L766" s="11" t="str">
        <x:f>IF(J766&lt;&gt;"PASS","",'Motor_Meciuri'!AU60)</x:f>
      </x:c>
      <x:c r="M766" s="10" t="str">
        <x:f>IF(NOT(AND(J766="PASS",'Calibrare_Linii'!U10="VALID")),"",1-'Distributie'!AE60)</x:f>
      </x:c>
      <x:c r="N766" s="10" t="str">
        <x:f>IF(M766="","",MAX(0.01,MIN(0.99,0.5+(M766-0.5)*'Motor_Meciuri'!BG60*'Calibrare_Linii'!D10)))</x:f>
      </x:c>
      <x:c r="O766" s="10" t="str">
        <x:f>IF(M766="","",1-M766)</x:f>
      </x:c>
      <x:c r="P766" s="10" t="str">
        <x:f>IF(OR(NOT(AND(J766="PASS",'Calibrare_Linii'!U10="VALID")),AK766=0),""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*('Istoric_Nativ'!$Q$6:$Q$405&lt;=H766))/AK766)</x:f>
      </x:c>
      <x:c r="Q766" s="10" t="str">
        <x:f>IF(OR(NOT(AND(J766="PASS",'Calibrare_Linii'!U10="VALID")),AL766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M60)+((('Istoric_Nativ'!$E$6:$E$405='Input_Meci'!E60)+('Istoric_Nativ'!$F$6:$F$405='Input_Meci'!E60))&gt;0)*('Istoric_Nativ'!$D$6:$D$405&gt;='Motor_Meciuri'!BN60))&gt;0)*('Istoric_Nativ'!$Q$6:$Q$405&lt;=H766))/AL766)</x:f>
      </x:c>
      <x:c r="R766" s="10" t="str">
        <x:f>IF(OR(NOT(AND(J766="PASS",'Calibrare_Linii'!U10="VALID")),AM766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O60)+((('Istoric_Nativ'!$E$6:$E$405='Input_Meci'!E60)+('Istoric_Nativ'!$F$6:$F$405='Input_Meci'!E60))&gt;0)*('Istoric_Nativ'!$D$6:$D$405&gt;='Motor_Meciuri'!BP60))&gt;0)*('Istoric_Nativ'!$Q$6:$Q$405&lt;=H766))/AM766)</x:f>
      </x:c>
      <x:c r="S766" s="10" t="str">
        <x:f>IF(M766="","",MAX(O766,P766,Q766,R766))</x:f>
      </x:c>
      <x:c r="T766" s="11" t="str">
        <x:f>IF(M766="","",MIN(100,S766*100*'Config_v6'!$B$44+MIN(100,L766/'Config_v6'!$B$13*100)*'Config_v6'!$B$45+(100-'Motor_Meciuri'!BF60)*'Config_v6'!$B$46+'Motor_Meciuri'!BH60*100*'Config_v6'!$B$47))</x:f>
      </x:c>
      <x:c r="U766" s="2" t="str">
        <x:f>IF(T766="","",IF(T766&lt;=20,1,IF(T766&lt;=40,2,IF(T766&lt;=60,3,IF(T766&lt;=80,4,5)))))</x:f>
      </x:c>
      <x:c r="V766" s="2" t="str">
        <x:f>IF(M766="","",MAX(0,'Motor_Meciuri'!BF60-IF(W766="OOS PENDING",'Config_v6'!$B$35,0)-IF(L766&gt;'Config_v6'!$B$12,'Config_v6'!$B$37,IF(L766&gt;'Config_v6'!$B$11,'Config_v6'!$B$36,0))))</x:f>
      </x:c>
      <x:c r="W766" s="2" t="str">
        <x:f>IF(B766="","",IF(I766&lt;&gt;"READY","NOT RELEASED",IF(NOT(AND(J766="PASS",'Calibrare_Linii'!U10="VALID")),"INVALID",IF(NOT(AND('Calibrare_Linii'!S10="VALIDATED",AND('Calibrare_Linii'!H10=C766,ISNUMBER('Calibrare_Linii'!J10),'Calibrare_Linii'!J10&lt;='Input_Meci'!G60))),"OOS PENDING",IF(S766&lt;='Calibrare_Linii'!E10,"PASS",IF(S766&lt;='Calibrare_Linii'!F10,"PENALTY","WATCH"))))))</x:f>
      </x:c>
      <x:c r="X766" s="2" t="str">
        <x:f>IF(M766="","",IF(AND(AND(J766="PASS",'Calibrare_Linii'!U10="VALID"),'Motor_Meciuri'!K60=12,'Motor_Meciuri'!L60=12,'Motor_Meciuri'!M60="NO",'Motor_Meciuri'!BL60='Motor_Meciuri'!C60,AB766&gt;='Config_v6'!$B$50,AN766&gt;='Config_v6'!$B$51,T766&lt;='Config_v6'!$B$52,L766&lt;='Config_v6'!$B$53,ISNUMBER('Calibrare_Linii'!E10),S766&lt;='Calibrare_Linii'!E10,SUM(AK766:AM766)&gt;0),"CANDIDATE","NO"))</x:f>
      </x:c>
      <x:c r="Y766" s="2" t="str">
        <x:f>IF(B766="","",IF(I766&lt;&gt;"READY","NOT RELEASED",IF(AND(X766="CANDIDATE",V766&gt;='Config_v6'!$B$51,W766="PASS",'Calibrare_Linii'!T10="VALIDATED",AND('Calibrare_Linii'!H10=C766,ISNUMBER('Calibrare_Linii'!J10),'Calibrare_Linii'!J10&lt;='Input_Meci'!G60)),"PASS",IF(X766="CANDIDATE","OOS PENDING","FAIL"))))</x:f>
      </x:c>
      <x:c r="Z766" s="2" t="str">
        <x:f>IF(B766="","",IF(I766&lt;&gt;"READY","",IF(OR(NOT(AND(J766="PASS",'Calibrare_Linii'!U10="VALID")),L766&gt;'Config_v6'!$B$13,W766="WATCH"),5,IF(Y766="PASS",1,MIN(5,MAX('Config_v6'!$B$42,U766)+IF(W766="PENALTY",1,0))))))</x:f>
      </x:c>
      <x:c r="AA766" s="2" t="str">
        <x:f>IF(B766="","",IF(I766&lt;&gt;"READY","NOT RELEASED",IF(Z766=5,"NO BET",IF(OR(AB766&lt;'Config_v6'!$B$16,V766&lt;'Config_v6'!$B$18),"WATCH",IF(Z766=1,"DEFENSIV",IF(Z766=2,"PRUDENT",IF(Z766=3,"MODERAT","RIDICAT")))))))</x:f>
      </x:c>
      <x:c r="AB766" s="10" t="str">
        <x:f>IF(N766="","",MIN(N766,1-S766))</x:f>
      </x:c>
      <x:c r="AC766" s="2" t="str">
        <x:f>IF(AD766&lt;&gt;1,"",COUNTIFS($Z$762:$Z$775,"&lt;"&amp;Z766,$AD$762:$AD$775,1)+COUNTIFS($Z$762:$Z$775,Z766,$AB$762:$AB$775,"&gt;"&amp;AB766,$AD$762:$AD$775,1)+COUNTIFS($Z$762:$Z$775,Z766,$AB$762:$AB$775,AB766,$V$762:$V$775,"&gt;"&amp;V766,$AD$762:$AD$775,1)+COUNTIFS($Z$762:Z766,Z766,$AB$762:AB766,AB766,$V$762:V766,V766,$AD$762:AD766,1))</x:f>
      </x:c>
      <x:c r="AD766" s="2" t="n">
        <x:f>IF(OR(AA766="DEFENSIV",AA766="PRUDENT",AA766="MODERAT",AA766="RIDICAT"),1,0)</x:f>
        <x:v>0</x:v>
      </x:c>
      <x:c r="AE766" s="2" t="str">
        <x:f>IF(AD766&lt;&gt;1,"NO",IF(W766="PASS","YES",IF(W766="OOS PENDING","CONDITIONAL","NO")))</x:f>
        <x:v>NO</x:v>
      </x:c>
      <x:c r="AF766" s="2" t="n">
        <x:f>IF(AND(AD766=1,AC766=1,E766="LIVE"),1,0)</x:f>
        <x:v>0</x:v>
      </x:c>
      <x:c r="AG766" s="2" t="str">
        <x:f>IF(AF766&lt;&gt;1,"",'Dashboard'!P80)</x:f>
      </x:c>
      <x:c r="AH766" s="2" t="str">
        <x:f>IF(B766="","",IF(J766&lt;&gt;"PASS",'Motor_Meciuri'!J60,IF('Calibrare_Linii'!U10&lt;&gt;"VALID","Parametri linie invalizi",IF(L766&gt;'Config_v6'!$B$13,"Dispersie peste limita",IF(W766="WATCH","Failure peste limita",IF(AB766&lt;'Config_v6'!$B$16,"P finala sub prag",IF(V766&lt;'Config_v6'!$B$18,"Confidence sub prag",IF(E766="REPLAY","Exemplu retrospectiv; exclus din Top LIVE",IF(Y766="PASS","DEFENSIV validat",IF(W766="OOS PENDING","Eligibil; calibrare linie in monitorizare","Eligibil"))))))))))</x:f>
      </x:c>
      <x:c r="AI766" s="2" t="str">
        <x:f>IF(B766="","",'Calibrare_Linii'!V10)</x:f>
      </x:c>
      <x:c r="AJ766" s="2" t="str">
        <x:f>IF(B766="","",IF(AND('Calibrare_Linii'!T10="VALIDATED",AND('Calibrare_Linii'!H10=C766,ISNUMBER('Calibrare_Linii'!J10),'Calibrare_Linii'!J10&lt;='Input_Meci'!G60)),"DEFENSIVE VALIDATED",IF(AND('Calibrare_Linii'!S10="VALIDATED",AND('Calibrare_Linii'!H10=C766,ISNUMBER('Calibrare_Linii'!J10),'Calibrare_Linii'!J10&lt;='Input_Meci'!G60)),"TAIL VALIDATED","OOS PENDING")))</x:f>
      </x:c>
      <x:c r="AK766" s="2" t="n">
        <x:f>IF(J766&lt;&gt;"PASS",0,'Motor_Meciuri'!BR60)</x:f>
        <x:v>0</x:v>
      </x:c>
      <x:c r="AL766" s="2" t="n">
        <x:f>IF(J766&lt;&gt;"PASS",0,'Motor_Meciuri'!BS60)</x:f>
        <x:v>0</x:v>
      </x:c>
      <x:c r="AM766" s="2" t="n">
        <x:f>IF(J766&lt;&gt;"PASS",0,'Motor_Meciuri'!BT60)</x:f>
        <x:v>0</x:v>
      </x:c>
      <x:c r="AN766" s="2" t="str">
        <x:f>IF(M766="","",MAX(0,'Motor_Meciuri'!BF60-IF(L766&gt;'Config_v6'!$B$12,'Config_v6'!$B$37,IF(L766&gt;'Config_v6'!$B$11,'Config_v6'!$B$36,0))))</x:f>
      </x:c>
    </x:row>
    <x:row r="767" ht="21" customHeight="1">
      <x:c r="A767" s="2" t="n">
        <x:v>55</x:v>
      </x:c>
      <x:c r="B767" s="2" t="str">
        <x:f>IF('Motor_Meciuri'!A60="","",'Motor_Meciuri'!A60)</x:f>
      </x:c>
      <x:c r="C767" s="2" t="str">
        <x:f>IF(B767="","",'Motor_Meciuri'!B60)</x:f>
      </x:c>
      <x:c r="D767" s="2" t="str">
        <x:f>IF(B767="","",'Motor_Meciuri'!D60)</x:f>
      </x:c>
      <x:c r="E767" s="2" t="str">
        <x:f>IF(B767="","",'Motor_Meciuri'!E60)</x:f>
      </x:c>
      <x:c r="F767" s="2" t="str">
        <x:v>O8,5</x:v>
      </x:c>
      <x:c r="G767" s="2" t="str">
        <x:v>OVER</x:v>
      </x:c>
      <x:c r="H767" s="2" t="n">
        <x:v>8</x:v>
      </x:c>
      <x:c r="I767" s="2" t="str">
        <x:f>IF(B767="","",'Motor_Meciuri'!H60)</x:f>
      </x:c>
      <x:c r="J767" s="2" t="str">
        <x:f>IF(B767="","",'Motor_Meciuri'!I60)</x:f>
      </x:c>
      <x:c r="K767" s="11" t="str">
        <x:f>IF(J767&lt;&gt;"PASS","",'Motor_Meciuri'!BD60)</x:f>
      </x:c>
      <x:c r="L767" s="11" t="str">
        <x:f>IF(J767&lt;&gt;"PASS","",'Motor_Meciuri'!AU60)</x:f>
      </x:c>
      <x:c r="M767" s="10" t="str">
        <x:f>IF(NOT(AND(J767="PASS",'Calibrare_Linii'!U11="VALID")),"",1-'Distributie'!AF60)</x:f>
      </x:c>
      <x:c r="N767" s="10" t="str">
        <x:f>IF(M767="","",MAX(0.01,MIN(0.99,0.5+(M767-0.5)*'Motor_Meciuri'!BG60*'Calibrare_Linii'!D11)))</x:f>
      </x:c>
      <x:c r="O767" s="10" t="str">
        <x:f>IF(M767="","",1-M767)</x:f>
      </x:c>
      <x:c r="P767" s="10" t="str">
        <x:f>IF(OR(NOT(AND(J767="PASS",'Calibrare_Linii'!U11="VALID")),AK767=0),""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*('Istoric_Nativ'!$Q$6:$Q$405&lt;=H767))/AK767)</x:f>
      </x:c>
      <x:c r="Q767" s="10" t="str">
        <x:f>IF(OR(NOT(AND(J767="PASS",'Calibrare_Linii'!U11="VALID")),AL767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M60)+((('Istoric_Nativ'!$E$6:$E$405='Input_Meci'!E60)+('Istoric_Nativ'!$F$6:$F$405='Input_Meci'!E60))&gt;0)*('Istoric_Nativ'!$D$6:$D$405&gt;='Motor_Meciuri'!BN60))&gt;0)*('Istoric_Nativ'!$Q$6:$Q$405&lt;=H767))/AL767)</x:f>
      </x:c>
      <x:c r="R767" s="10" t="str">
        <x:f>IF(OR(NOT(AND(J767="PASS",'Calibrare_Linii'!U11="VALID")),AM767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O60)+((('Istoric_Nativ'!$E$6:$E$405='Input_Meci'!E60)+('Istoric_Nativ'!$F$6:$F$405='Input_Meci'!E60))&gt;0)*('Istoric_Nativ'!$D$6:$D$405&gt;='Motor_Meciuri'!BP60))&gt;0)*('Istoric_Nativ'!$Q$6:$Q$405&lt;=H767))/AM767)</x:f>
      </x:c>
      <x:c r="S767" s="10" t="str">
        <x:f>IF(M767="","",MAX(O767,P767,Q767,R767))</x:f>
      </x:c>
      <x:c r="T767" s="11" t="str">
        <x:f>IF(M767="","",MIN(100,S767*100*'Config_v6'!$B$44+MIN(100,L767/'Config_v6'!$B$13*100)*'Config_v6'!$B$45+(100-'Motor_Meciuri'!BF60)*'Config_v6'!$B$46+'Motor_Meciuri'!BH60*100*'Config_v6'!$B$47))</x:f>
      </x:c>
      <x:c r="U767" s="2" t="str">
        <x:f>IF(T767="","",IF(T767&lt;=20,1,IF(T767&lt;=40,2,IF(T767&lt;=60,3,IF(T767&lt;=80,4,5)))))</x:f>
      </x:c>
      <x:c r="V767" s="2" t="str">
        <x:f>IF(M767="","",MAX(0,'Motor_Meciuri'!BF60-IF(W767="OOS PENDING",'Config_v6'!$B$35,0)-IF(L767&gt;'Config_v6'!$B$12,'Config_v6'!$B$37,IF(L767&gt;'Config_v6'!$B$11,'Config_v6'!$B$36,0))))</x:f>
      </x:c>
      <x:c r="W767" s="2" t="str">
        <x:f>IF(B767="","",IF(I767&lt;&gt;"READY","NOT RELEASED",IF(NOT(AND(J767="PASS",'Calibrare_Linii'!U11="VALID")),"INVALID",IF(NOT(AND('Calibrare_Linii'!S11="VALIDATED",AND('Calibrare_Linii'!H11=C767,ISNUMBER('Calibrare_Linii'!J11),'Calibrare_Linii'!J11&lt;='Input_Meci'!G60))),"OOS PENDING",IF(S767&lt;='Calibrare_Linii'!E11,"PASS",IF(S767&lt;='Calibrare_Linii'!F11,"PENALTY","WATCH"))))))</x:f>
      </x:c>
      <x:c r="X767" s="2" t="str">
        <x:f>IF(M767="","",IF(AND(AND(J767="PASS",'Calibrare_Linii'!U11="VALID"),'Motor_Meciuri'!K60=12,'Motor_Meciuri'!L60=12,'Motor_Meciuri'!M60="NO",'Motor_Meciuri'!BL60='Motor_Meciuri'!C60,AB767&gt;='Config_v6'!$B$50,AN767&gt;='Config_v6'!$B$51,T767&lt;='Config_v6'!$B$52,L767&lt;='Config_v6'!$B$53,ISNUMBER('Calibrare_Linii'!E11),S767&lt;='Calibrare_Linii'!E11,SUM(AK767:AM767)&gt;0),"CANDIDATE","NO"))</x:f>
      </x:c>
      <x:c r="Y767" s="2" t="str">
        <x:f>IF(B767="","",IF(I767&lt;&gt;"READY","NOT RELEASED",IF(AND(X767="CANDIDATE",V767&gt;='Config_v6'!$B$51,W767="PASS",'Calibrare_Linii'!T11="VALIDATED",AND('Calibrare_Linii'!H11=C767,ISNUMBER('Calibrare_Linii'!J11),'Calibrare_Linii'!J11&lt;='Input_Meci'!G60)),"PASS",IF(X767="CANDIDATE","OOS PENDING","FAIL"))))</x:f>
      </x:c>
      <x:c r="Z767" s="2" t="str">
        <x:f>IF(B767="","",IF(I767&lt;&gt;"READY","",IF(OR(NOT(AND(J767="PASS",'Calibrare_Linii'!U11="VALID")),L767&gt;'Config_v6'!$B$13,W767="WATCH"),5,IF(Y767="PASS",1,MIN(5,MAX('Config_v6'!$B$42,U767)+IF(W767="PENALTY",1,0))))))</x:f>
      </x:c>
      <x:c r="AA767" s="2" t="str">
        <x:f>IF(B767="","",IF(I767&lt;&gt;"READY","NOT RELEASED",IF(Z767=5,"NO BET",IF(OR(AB767&lt;'Config_v6'!$B$16,V767&lt;'Config_v6'!$B$18),"WATCH",IF(Z767=1,"DEFENSIV",IF(Z767=2,"PRUDENT",IF(Z767=3,"MODERAT","RIDICAT")))))))</x:f>
      </x:c>
      <x:c r="AB767" s="10" t="str">
        <x:f>IF(N767="","",MIN(N767,1-S767))</x:f>
      </x:c>
      <x:c r="AC767" s="2" t="str">
        <x:f>IF(AD767&lt;&gt;1,"",COUNTIFS($Z$762:$Z$775,"&lt;"&amp;Z767,$AD$762:$AD$775,1)+COUNTIFS($Z$762:$Z$775,Z767,$AB$762:$AB$775,"&gt;"&amp;AB767,$AD$762:$AD$775,1)+COUNTIFS($Z$762:$Z$775,Z767,$AB$762:$AB$775,AB767,$V$762:$V$775,"&gt;"&amp;V767,$AD$762:$AD$775,1)+COUNTIFS($Z$762:Z767,Z767,$AB$762:AB767,AB767,$V$762:V767,V767,$AD$762:AD767,1))</x:f>
      </x:c>
      <x:c r="AD767" s="2" t="n">
        <x:f>IF(OR(AA767="DEFENSIV",AA767="PRUDENT",AA767="MODERAT",AA767="RIDICAT"),1,0)</x:f>
        <x:v>0</x:v>
      </x:c>
      <x:c r="AE767" s="2" t="str">
        <x:f>IF(AD767&lt;&gt;1,"NO",IF(W767="PASS","YES",IF(W767="OOS PENDING","CONDITIONAL","NO")))</x:f>
        <x:v>NO</x:v>
      </x:c>
      <x:c r="AF767" s="2" t="n">
        <x:f>IF(AND(AD767=1,AC767=1,E767="LIVE"),1,0)</x:f>
        <x:v>0</x:v>
      </x:c>
      <x:c r="AG767" s="2" t="str">
        <x:f>IF(AF767&lt;&gt;1,"",'Dashboard'!P80)</x:f>
      </x:c>
      <x:c r="AH767" s="2" t="str">
        <x:f>IF(B767="","",IF(J767&lt;&gt;"PASS",'Motor_Meciuri'!J60,IF('Calibrare_Linii'!U11&lt;&gt;"VALID","Parametri linie invalizi",IF(L767&gt;'Config_v6'!$B$13,"Dispersie peste limita",IF(W767="WATCH","Failure peste limita",IF(AB767&lt;'Config_v6'!$B$16,"P finala sub prag",IF(V767&lt;'Config_v6'!$B$18,"Confidence sub prag",IF(E767="REPLAY","Exemplu retrospectiv; exclus din Top LIVE",IF(Y767="PASS","DEFENSIV validat",IF(W767="OOS PENDING","Eligibil; calibrare linie in monitorizare","Eligibil"))))))))))</x:f>
      </x:c>
      <x:c r="AI767" s="2" t="str">
        <x:f>IF(B767="","",'Calibrare_Linii'!V11)</x:f>
      </x:c>
      <x:c r="AJ767" s="2" t="str">
        <x:f>IF(B767="","",IF(AND('Calibrare_Linii'!T11="VALIDATED",AND('Calibrare_Linii'!H11=C767,ISNUMBER('Calibrare_Linii'!J11),'Calibrare_Linii'!J11&lt;='Input_Meci'!G60)),"DEFENSIVE VALIDATED",IF(AND('Calibrare_Linii'!S11="VALIDATED",AND('Calibrare_Linii'!H11=C767,ISNUMBER('Calibrare_Linii'!J11),'Calibrare_Linii'!J11&lt;='Input_Meci'!G60)),"TAIL VALIDATED","OOS PENDING")))</x:f>
      </x:c>
      <x:c r="AK767" s="2" t="n">
        <x:f>IF(J767&lt;&gt;"PASS",0,'Motor_Meciuri'!BR60)</x:f>
        <x:v>0</x:v>
      </x:c>
      <x:c r="AL767" s="2" t="n">
        <x:f>IF(J767&lt;&gt;"PASS",0,'Motor_Meciuri'!BS60)</x:f>
        <x:v>0</x:v>
      </x:c>
      <x:c r="AM767" s="2" t="n">
        <x:f>IF(J767&lt;&gt;"PASS",0,'Motor_Meciuri'!BT60)</x:f>
        <x:v>0</x:v>
      </x:c>
      <x:c r="AN767" s="2" t="str">
        <x:f>IF(M767="","",MAX(0,'Motor_Meciuri'!BF60-IF(L767&gt;'Config_v6'!$B$12,'Config_v6'!$B$37,IF(L767&gt;'Config_v6'!$B$11,'Config_v6'!$B$36,0))))</x:f>
      </x:c>
    </x:row>
    <x:row r="768" ht="21" customHeight="1">
      <x:c r="A768" s="2" t="n">
        <x:v>55</x:v>
      </x:c>
      <x:c r="B768" s="2" t="str">
        <x:f>IF('Motor_Meciuri'!A60="","",'Motor_Meciuri'!A60)</x:f>
      </x:c>
      <x:c r="C768" s="2" t="str">
        <x:f>IF(B768="","",'Motor_Meciuri'!B60)</x:f>
      </x:c>
      <x:c r="D768" s="2" t="str">
        <x:f>IF(B768="","",'Motor_Meciuri'!D60)</x:f>
      </x:c>
      <x:c r="E768" s="2" t="str">
        <x:f>IF(B768="","",'Motor_Meciuri'!E60)</x:f>
      </x:c>
      <x:c r="F768" s="2" t="str">
        <x:v>U10,5</x:v>
      </x:c>
      <x:c r="G768" s="2" t="str">
        <x:v>UNDER</x:v>
      </x:c>
      <x:c r="H768" s="2" t="n">
        <x:v>10</x:v>
      </x:c>
      <x:c r="I768" s="2" t="str">
        <x:f>IF(B768="","",'Motor_Meciuri'!H60)</x:f>
      </x:c>
      <x:c r="J768" s="2" t="str">
        <x:f>IF(B768="","",'Motor_Meciuri'!I60)</x:f>
      </x:c>
      <x:c r="K768" s="11" t="str">
        <x:f>IF(J768&lt;&gt;"PASS","",'Motor_Meciuri'!BD60)</x:f>
      </x:c>
      <x:c r="L768" s="11" t="str">
        <x:f>IF(J768&lt;&gt;"PASS","",'Motor_Meciuri'!AU60)</x:f>
      </x:c>
      <x:c r="M768" s="10" t="str">
        <x:f>IF(NOT(AND(J768="PASS",'Calibrare_Linii'!U12="VALID")),"",'Distributie'!AH60)</x:f>
      </x:c>
      <x:c r="N768" s="10" t="str">
        <x:f>IF(M768="","",MAX(0.01,MIN(0.99,0.5+(M768-0.5)*'Motor_Meciuri'!BG60*'Calibrare_Linii'!D12)))</x:f>
      </x:c>
      <x:c r="O768" s="10" t="str">
        <x:f>IF(M768="","",1-M768)</x:f>
      </x:c>
      <x:c r="P768" s="10" t="str">
        <x:f>IF(OR(NOT(AND(J768="PASS",'Calibrare_Linii'!U12="VALID")),AK768=0),""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*('Istoric_Nativ'!$Q$6:$Q$405&gt;H768))/AK768)</x:f>
      </x:c>
      <x:c r="Q768" s="10" t="str">
        <x:f>IF(OR(NOT(AND(J768="PASS",'Calibrare_Linii'!U12="VALID")),AL768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M60)+((('Istoric_Nativ'!$E$6:$E$405='Input_Meci'!E60)+('Istoric_Nativ'!$F$6:$F$405='Input_Meci'!E60))&gt;0)*('Istoric_Nativ'!$D$6:$D$405&gt;='Motor_Meciuri'!BN60))&gt;0)*('Istoric_Nativ'!$Q$6:$Q$405&gt;H768))/AL768)</x:f>
      </x:c>
      <x:c r="R768" s="10" t="str">
        <x:f>IF(OR(NOT(AND(J768="PASS",'Calibrare_Linii'!U12="VALID")),AM768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O60)+((('Istoric_Nativ'!$E$6:$E$405='Input_Meci'!E60)+('Istoric_Nativ'!$F$6:$F$405='Input_Meci'!E60))&gt;0)*('Istoric_Nativ'!$D$6:$D$405&gt;='Motor_Meciuri'!BP60))&gt;0)*('Istoric_Nativ'!$Q$6:$Q$405&gt;H768))/AM768)</x:f>
      </x:c>
      <x:c r="S768" s="10" t="str">
        <x:f>IF(M768="","",MAX(O768,P768,Q768,R768))</x:f>
      </x:c>
      <x:c r="T768" s="11" t="str">
        <x:f>IF(M768="","",MIN(100,S768*100*'Config_v6'!$B$44+MIN(100,L768/'Config_v6'!$B$13*100)*'Config_v6'!$B$45+(100-'Motor_Meciuri'!BF60)*'Config_v6'!$B$46+'Motor_Meciuri'!BH60*100*'Config_v6'!$B$47))</x:f>
      </x:c>
      <x:c r="U768" s="2" t="str">
        <x:f>IF(T768="","",IF(T768&lt;=20,1,IF(T768&lt;=40,2,IF(T768&lt;=60,3,IF(T768&lt;=80,4,5)))))</x:f>
      </x:c>
      <x:c r="V768" s="2" t="str">
        <x:f>IF(M768="","",MAX(0,'Motor_Meciuri'!BF60-IF(W768="OOS PENDING",'Config_v6'!$B$35,0)-IF(L768&gt;'Config_v6'!$B$12,'Config_v6'!$B$37,IF(L768&gt;'Config_v6'!$B$11,'Config_v6'!$B$36,0))))</x:f>
      </x:c>
      <x:c r="W768" s="2" t="str">
        <x:f>IF(B768="","",IF(I768&lt;&gt;"READY","NOT RELEASED",IF(NOT(AND(J768="PASS",'Calibrare_Linii'!U12="VALID")),"INVALID",IF(NOT(AND('Calibrare_Linii'!S12="VALIDATED",AND('Calibrare_Linii'!H12=C768,ISNUMBER('Calibrare_Linii'!J12),'Calibrare_Linii'!J12&lt;='Input_Meci'!G60))),"OOS PENDING",IF(S768&lt;='Calibrare_Linii'!E12,"PASS",IF(S768&lt;='Calibrare_Linii'!F12,"PENALTY","WATCH"))))))</x:f>
      </x:c>
      <x:c r="X768" s="2" t="str">
        <x:f>IF(M768="","",IF(AND(AND(J768="PASS",'Calibrare_Linii'!U12="VALID"),'Motor_Meciuri'!K60=12,'Motor_Meciuri'!L60=12,'Motor_Meciuri'!M60="NO",'Motor_Meciuri'!BL60='Motor_Meciuri'!C60,AB768&gt;='Config_v6'!$B$50,AN768&gt;='Config_v6'!$B$51,T768&lt;='Config_v6'!$B$52,L768&lt;='Config_v6'!$B$53,ISNUMBER('Calibrare_Linii'!E12),S768&lt;='Calibrare_Linii'!E12,SUM(AK768:AM768)&gt;0),"CANDIDATE","NO"))</x:f>
      </x:c>
      <x:c r="Y768" s="2" t="str">
        <x:f>IF(B768="","",IF(I768&lt;&gt;"READY","NOT RELEASED",IF(AND(X768="CANDIDATE",V768&gt;='Config_v6'!$B$51,W768="PASS",'Calibrare_Linii'!T12="VALIDATED",AND('Calibrare_Linii'!H12=C768,ISNUMBER('Calibrare_Linii'!J12),'Calibrare_Linii'!J12&lt;='Input_Meci'!G60)),"PASS",IF(X768="CANDIDATE","OOS PENDING","FAIL"))))</x:f>
      </x:c>
      <x:c r="Z768" s="2" t="str">
        <x:f>IF(B768="","",IF(I768&lt;&gt;"READY","",IF(OR(NOT(AND(J768="PASS",'Calibrare_Linii'!U12="VALID")),L768&gt;'Config_v6'!$B$13,W768="WATCH"),5,IF(Y768="PASS",1,MIN(5,MAX('Config_v6'!$B$42,U768)+IF(W768="PENALTY",1,0))))))</x:f>
      </x:c>
      <x:c r="AA768" s="2" t="str">
        <x:f>IF(B768="","",IF(I768&lt;&gt;"READY","NOT RELEASED",IF(Z768=5,"NO BET",IF(OR(AB768&lt;'Config_v6'!$B$16,V768&lt;'Config_v6'!$B$18),"WATCH",IF(Z768=1,"DEFENSIV",IF(Z768=2,"PRUDENT",IF(Z768=3,"MODERAT","RIDICAT")))))))</x:f>
      </x:c>
      <x:c r="AB768" s="10" t="str">
        <x:f>IF(N768="","",MIN(N768,1-S768))</x:f>
      </x:c>
      <x:c r="AC768" s="2" t="str">
        <x:f>IF(AD768&lt;&gt;1,"",COUNTIFS($Z$762:$Z$775,"&lt;"&amp;Z768,$AD$762:$AD$775,1)+COUNTIFS($Z$762:$Z$775,Z768,$AB$762:$AB$775,"&gt;"&amp;AB768,$AD$762:$AD$775,1)+COUNTIFS($Z$762:$Z$775,Z768,$AB$762:$AB$775,AB768,$V$762:$V$775,"&gt;"&amp;V768,$AD$762:$AD$775,1)+COUNTIFS($Z$762:Z768,Z768,$AB$762:AB768,AB768,$V$762:V768,V768,$AD$762:AD768,1))</x:f>
      </x:c>
      <x:c r="AD768" s="2" t="n">
        <x:f>IF(OR(AA768="DEFENSIV",AA768="PRUDENT",AA768="MODERAT",AA768="RIDICAT"),1,0)</x:f>
        <x:v>0</x:v>
      </x:c>
      <x:c r="AE768" s="2" t="str">
        <x:f>IF(AD768&lt;&gt;1,"NO",IF(W768="PASS","YES",IF(W768="OOS PENDING","CONDITIONAL","NO")))</x:f>
        <x:v>NO</x:v>
      </x:c>
      <x:c r="AF768" s="2" t="n">
        <x:f>IF(AND(AD768=1,AC768=1,E768="LIVE"),1,0)</x:f>
        <x:v>0</x:v>
      </x:c>
      <x:c r="AG768" s="2" t="str">
        <x:f>IF(AF768&lt;&gt;1,"",'Dashboard'!P80)</x:f>
      </x:c>
      <x:c r="AH768" s="2" t="str">
        <x:f>IF(B768="","",IF(J768&lt;&gt;"PASS",'Motor_Meciuri'!J60,IF('Calibrare_Linii'!U12&lt;&gt;"VALID","Parametri linie invalizi",IF(L768&gt;'Config_v6'!$B$13,"Dispersie peste limita",IF(W768="WATCH","Failure peste limita",IF(AB768&lt;'Config_v6'!$B$16,"P finala sub prag",IF(V768&lt;'Config_v6'!$B$18,"Confidence sub prag",IF(E768="REPLAY","Exemplu retrospectiv; exclus din Top LIVE",IF(Y768="PASS","DEFENSIV validat",IF(W768="OOS PENDING","Eligibil; calibrare linie in monitorizare","Eligibil"))))))))))</x:f>
      </x:c>
      <x:c r="AI768" s="2" t="str">
        <x:f>IF(B768="","",'Calibrare_Linii'!V12)</x:f>
      </x:c>
      <x:c r="AJ768" s="2" t="str">
        <x:f>IF(B768="","",IF(AND('Calibrare_Linii'!T12="VALIDATED",AND('Calibrare_Linii'!H12=C768,ISNUMBER('Calibrare_Linii'!J12),'Calibrare_Linii'!J12&lt;='Input_Meci'!G60)),"DEFENSIVE VALIDATED",IF(AND('Calibrare_Linii'!S12="VALIDATED",AND('Calibrare_Linii'!H12=C768,ISNUMBER('Calibrare_Linii'!J12),'Calibrare_Linii'!J12&lt;='Input_Meci'!G60)),"TAIL VALIDATED","OOS PENDING")))</x:f>
      </x:c>
      <x:c r="AK768" s="2" t="n">
        <x:f>IF(J768&lt;&gt;"PASS",0,'Motor_Meciuri'!BR60)</x:f>
        <x:v>0</x:v>
      </x:c>
      <x:c r="AL768" s="2" t="n">
        <x:f>IF(J768&lt;&gt;"PASS",0,'Motor_Meciuri'!BS60)</x:f>
        <x:v>0</x:v>
      </x:c>
      <x:c r="AM768" s="2" t="n">
        <x:f>IF(J768&lt;&gt;"PASS",0,'Motor_Meciuri'!BT60)</x:f>
        <x:v>0</x:v>
      </x:c>
      <x:c r="AN768" s="2" t="str">
        <x:f>IF(M768="","",MAX(0,'Motor_Meciuri'!BF60-IF(L768&gt;'Config_v6'!$B$12,'Config_v6'!$B$37,IF(L768&gt;'Config_v6'!$B$11,'Config_v6'!$B$36,0))))</x:f>
      </x:c>
    </x:row>
    <x:row r="769" ht="21" customHeight="1">
      <x:c r="A769" s="2" t="n">
        <x:v>55</x:v>
      </x:c>
      <x:c r="B769" s="2" t="str">
        <x:f>IF('Motor_Meciuri'!A60="","",'Motor_Meciuri'!A60)</x:f>
      </x:c>
      <x:c r="C769" s="2" t="str">
        <x:f>IF(B769="","",'Motor_Meciuri'!B60)</x:f>
      </x:c>
      <x:c r="D769" s="2" t="str">
        <x:f>IF(B769="","",'Motor_Meciuri'!D60)</x:f>
      </x:c>
      <x:c r="E769" s="2" t="str">
        <x:f>IF(B769="","",'Motor_Meciuri'!E60)</x:f>
      </x:c>
      <x:c r="F769" s="2" t="str">
        <x:v>U11,5</x:v>
      </x:c>
      <x:c r="G769" s="2" t="str">
        <x:v>UNDER</x:v>
      </x:c>
      <x:c r="H769" s="2" t="n">
        <x:v>11</x:v>
      </x:c>
      <x:c r="I769" s="2" t="str">
        <x:f>IF(B769="","",'Motor_Meciuri'!H60)</x:f>
      </x:c>
      <x:c r="J769" s="2" t="str">
        <x:f>IF(B769="","",'Motor_Meciuri'!I60)</x:f>
      </x:c>
      <x:c r="K769" s="11" t="str">
        <x:f>IF(J769&lt;&gt;"PASS","",'Motor_Meciuri'!BD60)</x:f>
      </x:c>
      <x:c r="L769" s="11" t="str">
        <x:f>IF(J769&lt;&gt;"PASS","",'Motor_Meciuri'!AU60)</x:f>
      </x:c>
      <x:c r="M769" s="10" t="str">
        <x:f>IF(NOT(AND(J769="PASS",'Calibrare_Linii'!U13="VALID")),"",'Distributie'!AI60)</x:f>
      </x:c>
      <x:c r="N769" s="10" t="str">
        <x:f>IF(M769="","",MAX(0.01,MIN(0.99,0.5+(M769-0.5)*'Motor_Meciuri'!BG60*'Calibrare_Linii'!D13)))</x:f>
      </x:c>
      <x:c r="O769" s="10" t="str">
        <x:f>IF(M769="","",1-M769)</x:f>
      </x:c>
      <x:c r="P769" s="10" t="str">
        <x:f>IF(OR(NOT(AND(J769="PASS",'Calibrare_Linii'!U13="VALID")),AK769=0),""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*('Istoric_Nativ'!$Q$6:$Q$405&gt;H769))/AK769)</x:f>
      </x:c>
      <x:c r="Q769" s="10" t="str">
        <x:f>IF(OR(NOT(AND(J769="PASS",'Calibrare_Linii'!U13="VALID")),AL769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M60)+((('Istoric_Nativ'!$E$6:$E$405='Input_Meci'!E60)+('Istoric_Nativ'!$F$6:$F$405='Input_Meci'!E60))&gt;0)*('Istoric_Nativ'!$D$6:$D$405&gt;='Motor_Meciuri'!BN60))&gt;0)*('Istoric_Nativ'!$Q$6:$Q$405&gt;H769))/AL769)</x:f>
      </x:c>
      <x:c r="R769" s="10" t="str">
        <x:f>IF(OR(NOT(AND(J769="PASS",'Calibrare_Linii'!U13="VALID")),AM769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O60)+((('Istoric_Nativ'!$E$6:$E$405='Input_Meci'!E60)+('Istoric_Nativ'!$F$6:$F$405='Input_Meci'!E60))&gt;0)*('Istoric_Nativ'!$D$6:$D$405&gt;='Motor_Meciuri'!BP60))&gt;0)*('Istoric_Nativ'!$Q$6:$Q$405&gt;H769))/AM769)</x:f>
      </x:c>
      <x:c r="S769" s="10" t="str">
        <x:f>IF(M769="","",MAX(O769,P769,Q769,R769))</x:f>
      </x:c>
      <x:c r="T769" s="11" t="str">
        <x:f>IF(M769="","",MIN(100,S769*100*'Config_v6'!$B$44+MIN(100,L769/'Config_v6'!$B$13*100)*'Config_v6'!$B$45+(100-'Motor_Meciuri'!BF60)*'Config_v6'!$B$46+'Motor_Meciuri'!BH60*100*'Config_v6'!$B$47))</x:f>
      </x:c>
      <x:c r="U769" s="2" t="str">
        <x:f>IF(T769="","",IF(T769&lt;=20,1,IF(T769&lt;=40,2,IF(T769&lt;=60,3,IF(T769&lt;=80,4,5)))))</x:f>
      </x:c>
      <x:c r="V769" s="2" t="str">
        <x:f>IF(M769="","",MAX(0,'Motor_Meciuri'!BF60-IF(W769="OOS PENDING",'Config_v6'!$B$35,0)-IF(L769&gt;'Config_v6'!$B$12,'Config_v6'!$B$37,IF(L769&gt;'Config_v6'!$B$11,'Config_v6'!$B$36,0))))</x:f>
      </x:c>
      <x:c r="W769" s="2" t="str">
        <x:f>IF(B769="","",IF(I769&lt;&gt;"READY","NOT RELEASED",IF(NOT(AND(J769="PASS",'Calibrare_Linii'!U13="VALID")),"INVALID",IF(NOT(AND('Calibrare_Linii'!S13="VALIDATED",AND('Calibrare_Linii'!H13=C769,ISNUMBER('Calibrare_Linii'!J13),'Calibrare_Linii'!J13&lt;='Input_Meci'!G60))),"OOS PENDING",IF(S769&lt;='Calibrare_Linii'!E13,"PASS",IF(S769&lt;='Calibrare_Linii'!F13,"PENALTY","WATCH"))))))</x:f>
      </x:c>
      <x:c r="X769" s="2" t="str">
        <x:f>IF(M769="","",IF(AND(AND(J769="PASS",'Calibrare_Linii'!U13="VALID"),'Motor_Meciuri'!K60=12,'Motor_Meciuri'!L60=12,'Motor_Meciuri'!M60="NO",'Motor_Meciuri'!BL60='Motor_Meciuri'!C60,AB769&gt;='Config_v6'!$B$50,AN769&gt;='Config_v6'!$B$51,T769&lt;='Config_v6'!$B$52,L769&lt;='Config_v6'!$B$53,ISNUMBER('Calibrare_Linii'!E13),S769&lt;='Calibrare_Linii'!E13,SUM(AK769:AM769)&gt;0),"CANDIDATE","NO"))</x:f>
      </x:c>
      <x:c r="Y769" s="2" t="str">
        <x:f>IF(B769="","",IF(I769&lt;&gt;"READY","NOT RELEASED",IF(AND(X769="CANDIDATE",V769&gt;='Config_v6'!$B$51,W769="PASS",'Calibrare_Linii'!T13="VALIDATED",AND('Calibrare_Linii'!H13=C769,ISNUMBER('Calibrare_Linii'!J13),'Calibrare_Linii'!J13&lt;='Input_Meci'!G60)),"PASS",IF(X769="CANDIDATE","OOS PENDING","FAIL"))))</x:f>
      </x:c>
      <x:c r="Z769" s="2" t="str">
        <x:f>IF(B769="","",IF(I769&lt;&gt;"READY","",IF(OR(NOT(AND(J769="PASS",'Calibrare_Linii'!U13="VALID")),L769&gt;'Config_v6'!$B$13,W769="WATCH"),5,IF(Y769="PASS",1,MIN(5,MAX('Config_v6'!$B$42,U769)+IF(W769="PENALTY",1,0))))))</x:f>
      </x:c>
      <x:c r="AA769" s="2" t="str">
        <x:f>IF(B769="","",IF(I769&lt;&gt;"READY","NOT RELEASED",IF(Z769=5,"NO BET",IF(OR(AB769&lt;'Config_v6'!$B$16,V769&lt;'Config_v6'!$B$18),"WATCH",IF(Z769=1,"DEFENSIV",IF(Z769=2,"PRUDENT",IF(Z769=3,"MODERAT","RIDICAT")))))))</x:f>
      </x:c>
      <x:c r="AB769" s="10" t="str">
        <x:f>IF(N769="","",MIN(N769,1-S769))</x:f>
      </x:c>
      <x:c r="AC769" s="2" t="str">
        <x:f>IF(AD769&lt;&gt;1,"",COUNTIFS($Z$762:$Z$775,"&lt;"&amp;Z769,$AD$762:$AD$775,1)+COUNTIFS($Z$762:$Z$775,Z769,$AB$762:$AB$775,"&gt;"&amp;AB769,$AD$762:$AD$775,1)+COUNTIFS($Z$762:$Z$775,Z769,$AB$762:$AB$775,AB769,$V$762:$V$775,"&gt;"&amp;V769,$AD$762:$AD$775,1)+COUNTIFS($Z$762:Z769,Z769,$AB$762:AB769,AB769,$V$762:V769,V769,$AD$762:AD769,1))</x:f>
      </x:c>
      <x:c r="AD769" s="2" t="n">
        <x:f>IF(OR(AA769="DEFENSIV",AA769="PRUDENT",AA769="MODERAT",AA769="RIDICAT"),1,0)</x:f>
        <x:v>0</x:v>
      </x:c>
      <x:c r="AE769" s="2" t="str">
        <x:f>IF(AD769&lt;&gt;1,"NO",IF(W769="PASS","YES",IF(W769="OOS PENDING","CONDITIONAL","NO")))</x:f>
        <x:v>NO</x:v>
      </x:c>
      <x:c r="AF769" s="2" t="n">
        <x:f>IF(AND(AD769=1,AC769=1,E769="LIVE"),1,0)</x:f>
        <x:v>0</x:v>
      </x:c>
      <x:c r="AG769" s="2" t="str">
        <x:f>IF(AF769&lt;&gt;1,"",'Dashboard'!P80)</x:f>
      </x:c>
      <x:c r="AH769" s="2" t="str">
        <x:f>IF(B769="","",IF(J769&lt;&gt;"PASS",'Motor_Meciuri'!J60,IF('Calibrare_Linii'!U13&lt;&gt;"VALID","Parametri linie invalizi",IF(L769&gt;'Config_v6'!$B$13,"Dispersie peste limita",IF(W769="WATCH","Failure peste limita",IF(AB769&lt;'Config_v6'!$B$16,"P finala sub prag",IF(V769&lt;'Config_v6'!$B$18,"Confidence sub prag",IF(E769="REPLAY","Exemplu retrospectiv; exclus din Top LIVE",IF(Y769="PASS","DEFENSIV validat",IF(W769="OOS PENDING","Eligibil; calibrare linie in monitorizare","Eligibil"))))))))))</x:f>
      </x:c>
      <x:c r="AI769" s="2" t="str">
        <x:f>IF(B769="","",'Calibrare_Linii'!V13)</x:f>
      </x:c>
      <x:c r="AJ769" s="2" t="str">
        <x:f>IF(B769="","",IF(AND('Calibrare_Linii'!T13="VALIDATED",AND('Calibrare_Linii'!H13=C769,ISNUMBER('Calibrare_Linii'!J13),'Calibrare_Linii'!J13&lt;='Input_Meci'!G60)),"DEFENSIVE VALIDATED",IF(AND('Calibrare_Linii'!S13="VALIDATED",AND('Calibrare_Linii'!H13=C769,ISNUMBER('Calibrare_Linii'!J13),'Calibrare_Linii'!J13&lt;='Input_Meci'!G60)),"TAIL VALIDATED","OOS PENDING")))</x:f>
      </x:c>
      <x:c r="AK769" s="2" t="n">
        <x:f>IF(J769&lt;&gt;"PASS",0,'Motor_Meciuri'!BR60)</x:f>
        <x:v>0</x:v>
      </x:c>
      <x:c r="AL769" s="2" t="n">
        <x:f>IF(J769&lt;&gt;"PASS",0,'Motor_Meciuri'!BS60)</x:f>
        <x:v>0</x:v>
      </x:c>
      <x:c r="AM769" s="2" t="n">
        <x:f>IF(J769&lt;&gt;"PASS",0,'Motor_Meciuri'!BT60)</x:f>
        <x:v>0</x:v>
      </x:c>
      <x:c r="AN769" s="2" t="str">
        <x:f>IF(M769="","",MAX(0,'Motor_Meciuri'!BF60-IF(L769&gt;'Config_v6'!$B$12,'Config_v6'!$B$37,IF(L769&gt;'Config_v6'!$B$11,'Config_v6'!$B$36,0))))</x:f>
      </x:c>
    </x:row>
    <x:row r="770" ht="21" customHeight="1">
      <x:c r="A770" s="2" t="n">
        <x:v>55</x:v>
      </x:c>
      <x:c r="B770" s="2" t="str">
        <x:f>IF('Motor_Meciuri'!A60="","",'Motor_Meciuri'!A60)</x:f>
      </x:c>
      <x:c r="C770" s="2" t="str">
        <x:f>IF(B770="","",'Motor_Meciuri'!B60)</x:f>
      </x:c>
      <x:c r="D770" s="2" t="str">
        <x:f>IF(B770="","",'Motor_Meciuri'!D60)</x:f>
      </x:c>
      <x:c r="E770" s="2" t="str">
        <x:f>IF(B770="","",'Motor_Meciuri'!E60)</x:f>
      </x:c>
      <x:c r="F770" s="2" t="str">
        <x:v>U12,5</x:v>
      </x:c>
      <x:c r="G770" s="2" t="str">
        <x:v>UNDER</x:v>
      </x:c>
      <x:c r="H770" s="2" t="n">
        <x:v>12</x:v>
      </x:c>
      <x:c r="I770" s="2" t="str">
        <x:f>IF(B770="","",'Motor_Meciuri'!H60)</x:f>
      </x:c>
      <x:c r="J770" s="2" t="str">
        <x:f>IF(B770="","",'Motor_Meciuri'!I60)</x:f>
      </x:c>
      <x:c r="K770" s="11" t="str">
        <x:f>IF(J770&lt;&gt;"PASS","",'Motor_Meciuri'!BD60)</x:f>
      </x:c>
      <x:c r="L770" s="11" t="str">
        <x:f>IF(J770&lt;&gt;"PASS","",'Motor_Meciuri'!AU60)</x:f>
      </x:c>
      <x:c r="M770" s="10" t="str">
        <x:f>IF(NOT(AND(J770="PASS",'Calibrare_Linii'!U14="VALID")),"",'Distributie'!AJ60)</x:f>
      </x:c>
      <x:c r="N770" s="10" t="str">
        <x:f>IF(M770="","",MAX(0.01,MIN(0.99,0.5+(M770-0.5)*'Motor_Meciuri'!BG60*'Calibrare_Linii'!D14)))</x:f>
      </x:c>
      <x:c r="O770" s="10" t="str">
        <x:f>IF(M770="","",1-M770)</x:f>
      </x:c>
      <x:c r="P770" s="10" t="str">
        <x:f>IF(OR(NOT(AND(J770="PASS",'Calibrare_Linii'!U14="VALID")),AK770=0),""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*('Istoric_Nativ'!$Q$6:$Q$405&gt;H770))/AK770)</x:f>
      </x:c>
      <x:c r="Q770" s="10" t="str">
        <x:f>IF(OR(NOT(AND(J770="PASS",'Calibrare_Linii'!U14="VALID")),AL770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M60)+((('Istoric_Nativ'!$E$6:$E$405='Input_Meci'!E60)+('Istoric_Nativ'!$F$6:$F$405='Input_Meci'!E60))&gt;0)*('Istoric_Nativ'!$D$6:$D$405&gt;='Motor_Meciuri'!BN60))&gt;0)*('Istoric_Nativ'!$Q$6:$Q$405&gt;H770))/AL770)</x:f>
      </x:c>
      <x:c r="R770" s="10" t="str">
        <x:f>IF(OR(NOT(AND(J770="PASS",'Calibrare_Linii'!U14="VALID")),AM770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O60)+((('Istoric_Nativ'!$E$6:$E$405='Input_Meci'!E60)+('Istoric_Nativ'!$F$6:$F$405='Input_Meci'!E60))&gt;0)*('Istoric_Nativ'!$D$6:$D$405&gt;='Motor_Meciuri'!BP60))&gt;0)*('Istoric_Nativ'!$Q$6:$Q$405&gt;H770))/AM770)</x:f>
      </x:c>
      <x:c r="S770" s="10" t="str">
        <x:f>IF(M770="","",MAX(O770,P770,Q770,R770))</x:f>
      </x:c>
      <x:c r="T770" s="11" t="str">
        <x:f>IF(M770="","",MIN(100,S770*100*'Config_v6'!$B$44+MIN(100,L770/'Config_v6'!$B$13*100)*'Config_v6'!$B$45+(100-'Motor_Meciuri'!BF60)*'Config_v6'!$B$46+'Motor_Meciuri'!BH60*100*'Config_v6'!$B$47))</x:f>
      </x:c>
      <x:c r="U770" s="2" t="str">
        <x:f>IF(T770="","",IF(T770&lt;=20,1,IF(T770&lt;=40,2,IF(T770&lt;=60,3,IF(T770&lt;=80,4,5)))))</x:f>
      </x:c>
      <x:c r="V770" s="2" t="str">
        <x:f>IF(M770="","",MAX(0,'Motor_Meciuri'!BF60-IF(W770="OOS PENDING",'Config_v6'!$B$35,0)-IF(L770&gt;'Config_v6'!$B$12,'Config_v6'!$B$37,IF(L770&gt;'Config_v6'!$B$11,'Config_v6'!$B$36,0))))</x:f>
      </x:c>
      <x:c r="W770" s="2" t="str">
        <x:f>IF(B770="","",IF(I770&lt;&gt;"READY","NOT RELEASED",IF(NOT(AND(J770="PASS",'Calibrare_Linii'!U14="VALID")),"INVALID",IF(NOT(AND('Calibrare_Linii'!S14="VALIDATED",AND('Calibrare_Linii'!H14=C770,ISNUMBER('Calibrare_Linii'!J14),'Calibrare_Linii'!J14&lt;='Input_Meci'!G60))),"OOS PENDING",IF(S770&lt;='Calibrare_Linii'!E14,"PASS",IF(S770&lt;='Calibrare_Linii'!F14,"PENALTY","WATCH"))))))</x:f>
      </x:c>
      <x:c r="X770" s="2" t="str">
        <x:f>IF(M770="","",IF(AND(AND(J770="PASS",'Calibrare_Linii'!U14="VALID"),'Motor_Meciuri'!K60=12,'Motor_Meciuri'!L60=12,'Motor_Meciuri'!M60="NO",'Motor_Meciuri'!BL60='Motor_Meciuri'!C60,AB770&gt;='Config_v6'!$B$50,AN770&gt;='Config_v6'!$B$51,T770&lt;='Config_v6'!$B$52,L770&lt;='Config_v6'!$B$53,ISNUMBER('Calibrare_Linii'!E14),S770&lt;='Calibrare_Linii'!E14,SUM(AK770:AM770)&gt;0),"CANDIDATE","NO"))</x:f>
      </x:c>
      <x:c r="Y770" s="2" t="str">
        <x:f>IF(B770="","",IF(I770&lt;&gt;"READY","NOT RELEASED",IF(AND(X770="CANDIDATE",V770&gt;='Config_v6'!$B$51,W770="PASS",'Calibrare_Linii'!T14="VALIDATED",AND('Calibrare_Linii'!H14=C770,ISNUMBER('Calibrare_Linii'!J14),'Calibrare_Linii'!J14&lt;='Input_Meci'!G60)),"PASS",IF(X770="CANDIDATE","OOS PENDING","FAIL"))))</x:f>
      </x:c>
      <x:c r="Z770" s="2" t="str">
        <x:f>IF(B770="","",IF(I770&lt;&gt;"READY","",IF(OR(NOT(AND(J770="PASS",'Calibrare_Linii'!U14="VALID")),L770&gt;'Config_v6'!$B$13,W770="WATCH"),5,IF(Y770="PASS",1,MIN(5,MAX('Config_v6'!$B$42,U770)+IF(W770="PENALTY",1,0))))))</x:f>
      </x:c>
      <x:c r="AA770" s="2" t="str">
        <x:f>IF(B770="","",IF(I770&lt;&gt;"READY","NOT RELEASED",IF(Z770=5,"NO BET",IF(OR(AB770&lt;'Config_v6'!$B$16,V770&lt;'Config_v6'!$B$18),"WATCH",IF(Z770=1,"DEFENSIV",IF(Z770=2,"PRUDENT",IF(Z770=3,"MODERAT","RIDICAT")))))))</x:f>
      </x:c>
      <x:c r="AB770" s="10" t="str">
        <x:f>IF(N770="","",MIN(N770,1-S770))</x:f>
      </x:c>
      <x:c r="AC770" s="2" t="str">
        <x:f>IF(AD770&lt;&gt;1,"",COUNTIFS($Z$762:$Z$775,"&lt;"&amp;Z770,$AD$762:$AD$775,1)+COUNTIFS($Z$762:$Z$775,Z770,$AB$762:$AB$775,"&gt;"&amp;AB770,$AD$762:$AD$775,1)+COUNTIFS($Z$762:$Z$775,Z770,$AB$762:$AB$775,AB770,$V$762:$V$775,"&gt;"&amp;V770,$AD$762:$AD$775,1)+COUNTIFS($Z$762:Z770,Z770,$AB$762:AB770,AB770,$V$762:V770,V770,$AD$762:AD770,1))</x:f>
      </x:c>
      <x:c r="AD770" s="2" t="n">
        <x:f>IF(OR(AA770="DEFENSIV",AA770="PRUDENT",AA770="MODERAT",AA770="RIDICAT"),1,0)</x:f>
        <x:v>0</x:v>
      </x:c>
      <x:c r="AE770" s="2" t="str">
        <x:f>IF(AD770&lt;&gt;1,"NO",IF(W770="PASS","YES",IF(W770="OOS PENDING","CONDITIONAL","NO")))</x:f>
        <x:v>NO</x:v>
      </x:c>
      <x:c r="AF770" s="2" t="n">
        <x:f>IF(AND(AD770=1,AC770=1,E770="LIVE"),1,0)</x:f>
        <x:v>0</x:v>
      </x:c>
      <x:c r="AG770" s="2" t="str">
        <x:f>IF(AF770&lt;&gt;1,"",'Dashboard'!P80)</x:f>
      </x:c>
      <x:c r="AH770" s="2" t="str">
        <x:f>IF(B770="","",IF(J770&lt;&gt;"PASS",'Motor_Meciuri'!J60,IF('Calibrare_Linii'!U14&lt;&gt;"VALID","Parametri linie invalizi",IF(L770&gt;'Config_v6'!$B$13,"Dispersie peste limita",IF(W770="WATCH","Failure peste limita",IF(AB770&lt;'Config_v6'!$B$16,"P finala sub prag",IF(V770&lt;'Config_v6'!$B$18,"Confidence sub prag",IF(E770="REPLAY","Exemplu retrospectiv; exclus din Top LIVE",IF(Y770="PASS","DEFENSIV validat",IF(W770="OOS PENDING","Eligibil; calibrare linie in monitorizare","Eligibil"))))))))))</x:f>
      </x:c>
      <x:c r="AI770" s="2" t="str">
        <x:f>IF(B770="","",'Calibrare_Linii'!V14)</x:f>
      </x:c>
      <x:c r="AJ770" s="2" t="str">
        <x:f>IF(B770="","",IF(AND('Calibrare_Linii'!T14="VALIDATED",AND('Calibrare_Linii'!H14=C770,ISNUMBER('Calibrare_Linii'!J14),'Calibrare_Linii'!J14&lt;='Input_Meci'!G60)),"DEFENSIVE VALIDATED",IF(AND('Calibrare_Linii'!S14="VALIDATED",AND('Calibrare_Linii'!H14=C770,ISNUMBER('Calibrare_Linii'!J14),'Calibrare_Linii'!J14&lt;='Input_Meci'!G60)),"TAIL VALIDATED","OOS PENDING")))</x:f>
      </x:c>
      <x:c r="AK770" s="2" t="n">
        <x:f>IF(J770&lt;&gt;"PASS",0,'Motor_Meciuri'!BR60)</x:f>
        <x:v>0</x:v>
      </x:c>
      <x:c r="AL770" s="2" t="n">
        <x:f>IF(J770&lt;&gt;"PASS",0,'Motor_Meciuri'!BS60)</x:f>
        <x:v>0</x:v>
      </x:c>
      <x:c r="AM770" s="2" t="n">
        <x:f>IF(J770&lt;&gt;"PASS",0,'Motor_Meciuri'!BT60)</x:f>
        <x:v>0</x:v>
      </x:c>
      <x:c r="AN770" s="2" t="str">
        <x:f>IF(M770="","",MAX(0,'Motor_Meciuri'!BF60-IF(L770&gt;'Config_v6'!$B$12,'Config_v6'!$B$37,IF(L770&gt;'Config_v6'!$B$11,'Config_v6'!$B$36,0))))</x:f>
      </x:c>
    </x:row>
    <x:row r="771" ht="21" customHeight="1">
      <x:c r="A771" s="2" t="n">
        <x:v>55</x:v>
      </x:c>
      <x:c r="B771" s="2" t="str">
        <x:f>IF('Motor_Meciuri'!A60="","",'Motor_Meciuri'!A60)</x:f>
      </x:c>
      <x:c r="C771" s="2" t="str">
        <x:f>IF(B771="","",'Motor_Meciuri'!B60)</x:f>
      </x:c>
      <x:c r="D771" s="2" t="str">
        <x:f>IF(B771="","",'Motor_Meciuri'!D60)</x:f>
      </x:c>
      <x:c r="E771" s="2" t="str">
        <x:f>IF(B771="","",'Motor_Meciuri'!E60)</x:f>
      </x:c>
      <x:c r="F771" s="2" t="str">
        <x:v>U13,5</x:v>
      </x:c>
      <x:c r="G771" s="2" t="str">
        <x:v>UNDER</x:v>
      </x:c>
      <x:c r="H771" s="2" t="n">
        <x:v>13</x:v>
      </x:c>
      <x:c r="I771" s="2" t="str">
        <x:f>IF(B771="","",'Motor_Meciuri'!H60)</x:f>
      </x:c>
      <x:c r="J771" s="2" t="str">
        <x:f>IF(B771="","",'Motor_Meciuri'!I60)</x:f>
      </x:c>
      <x:c r="K771" s="11" t="str">
        <x:f>IF(J771&lt;&gt;"PASS","",'Motor_Meciuri'!BD60)</x:f>
      </x:c>
      <x:c r="L771" s="11" t="str">
        <x:f>IF(J771&lt;&gt;"PASS","",'Motor_Meciuri'!AU60)</x:f>
      </x:c>
      <x:c r="M771" s="10" t="str">
        <x:f>IF(NOT(AND(J771="PASS",'Calibrare_Linii'!U15="VALID")),"",'Distributie'!AK60)</x:f>
      </x:c>
      <x:c r="N771" s="10" t="str">
        <x:f>IF(M771="","",MAX(0.01,MIN(0.99,0.5+(M771-0.5)*'Motor_Meciuri'!BG60*'Calibrare_Linii'!D15)))</x:f>
      </x:c>
      <x:c r="O771" s="10" t="str">
        <x:f>IF(M771="","",1-M771)</x:f>
      </x:c>
      <x:c r="P771" s="10" t="str">
        <x:f>IF(OR(NOT(AND(J771="PASS",'Calibrare_Linii'!U15="VALID")),AK771=0),""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*('Istoric_Nativ'!$Q$6:$Q$405&gt;H771))/AK771)</x:f>
      </x:c>
      <x:c r="Q771" s="10" t="str">
        <x:f>IF(OR(NOT(AND(J771="PASS",'Calibrare_Linii'!U15="VALID")),AL771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M60)+((('Istoric_Nativ'!$E$6:$E$405='Input_Meci'!E60)+('Istoric_Nativ'!$F$6:$F$405='Input_Meci'!E60))&gt;0)*('Istoric_Nativ'!$D$6:$D$405&gt;='Motor_Meciuri'!BN60))&gt;0)*('Istoric_Nativ'!$Q$6:$Q$405&gt;H771))/AL771)</x:f>
      </x:c>
      <x:c r="R771" s="10" t="str">
        <x:f>IF(OR(NOT(AND(J771="PASS",'Calibrare_Linii'!U15="VALID")),AM771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O60)+((('Istoric_Nativ'!$E$6:$E$405='Input_Meci'!E60)+('Istoric_Nativ'!$F$6:$F$405='Input_Meci'!E60))&gt;0)*('Istoric_Nativ'!$D$6:$D$405&gt;='Motor_Meciuri'!BP60))&gt;0)*('Istoric_Nativ'!$Q$6:$Q$405&gt;H771))/AM771)</x:f>
      </x:c>
      <x:c r="S771" s="10" t="str">
        <x:f>IF(M771="","",MAX(O771,P771,Q771,R771))</x:f>
      </x:c>
      <x:c r="T771" s="11" t="str">
        <x:f>IF(M771="","",MIN(100,S771*100*'Config_v6'!$B$44+MIN(100,L771/'Config_v6'!$B$13*100)*'Config_v6'!$B$45+(100-'Motor_Meciuri'!BF60)*'Config_v6'!$B$46+'Motor_Meciuri'!BH60*100*'Config_v6'!$B$47))</x:f>
      </x:c>
      <x:c r="U771" s="2" t="str">
        <x:f>IF(T771="","",IF(T771&lt;=20,1,IF(T771&lt;=40,2,IF(T771&lt;=60,3,IF(T771&lt;=80,4,5)))))</x:f>
      </x:c>
      <x:c r="V771" s="2" t="str">
        <x:f>IF(M771="","",MAX(0,'Motor_Meciuri'!BF60-IF(W771="OOS PENDING",'Config_v6'!$B$35,0)-IF(L771&gt;'Config_v6'!$B$12,'Config_v6'!$B$37,IF(L771&gt;'Config_v6'!$B$11,'Config_v6'!$B$36,0))))</x:f>
      </x:c>
      <x:c r="W771" s="2" t="str">
        <x:f>IF(B771="","",IF(I771&lt;&gt;"READY","NOT RELEASED",IF(NOT(AND(J771="PASS",'Calibrare_Linii'!U15="VALID")),"INVALID",IF(NOT(AND('Calibrare_Linii'!S15="VALIDATED",AND('Calibrare_Linii'!H15=C771,ISNUMBER('Calibrare_Linii'!J15),'Calibrare_Linii'!J15&lt;='Input_Meci'!G60))),"OOS PENDING",IF(S771&lt;='Calibrare_Linii'!E15,"PASS",IF(S771&lt;='Calibrare_Linii'!F15,"PENALTY","WATCH"))))))</x:f>
      </x:c>
      <x:c r="X771" s="2" t="str">
        <x:f>IF(M771="","",IF(AND(AND(J771="PASS",'Calibrare_Linii'!U15="VALID"),'Motor_Meciuri'!K60=12,'Motor_Meciuri'!L60=12,'Motor_Meciuri'!M60="NO",'Motor_Meciuri'!BL60='Motor_Meciuri'!C60,AB771&gt;='Config_v6'!$B$50,AN771&gt;='Config_v6'!$B$51,T771&lt;='Config_v6'!$B$52,L771&lt;='Config_v6'!$B$53,ISNUMBER('Calibrare_Linii'!E15),S771&lt;='Calibrare_Linii'!E15,SUM(AK771:AM771)&gt;0),"CANDIDATE","NO"))</x:f>
      </x:c>
      <x:c r="Y771" s="2" t="str">
        <x:f>IF(B771="","",IF(I771&lt;&gt;"READY","NOT RELEASED",IF(AND(X771="CANDIDATE",V771&gt;='Config_v6'!$B$51,W771="PASS",'Calibrare_Linii'!T15="VALIDATED",AND('Calibrare_Linii'!H15=C771,ISNUMBER('Calibrare_Linii'!J15),'Calibrare_Linii'!J15&lt;='Input_Meci'!G60)),"PASS",IF(X771="CANDIDATE","OOS PENDING","FAIL"))))</x:f>
      </x:c>
      <x:c r="Z771" s="2" t="str">
        <x:f>IF(B771="","",IF(I771&lt;&gt;"READY","",IF(OR(NOT(AND(J771="PASS",'Calibrare_Linii'!U15="VALID")),L771&gt;'Config_v6'!$B$13,W771="WATCH"),5,IF(Y771="PASS",1,MIN(5,MAX('Config_v6'!$B$42,U771)+IF(W771="PENALTY",1,0))))))</x:f>
      </x:c>
      <x:c r="AA771" s="2" t="str">
        <x:f>IF(B771="","",IF(I771&lt;&gt;"READY","NOT RELEASED",IF(Z771=5,"NO BET",IF(OR(AB771&lt;'Config_v6'!$B$16,V771&lt;'Config_v6'!$B$18),"WATCH",IF(Z771=1,"DEFENSIV",IF(Z771=2,"PRUDENT",IF(Z771=3,"MODERAT","RIDICAT")))))))</x:f>
      </x:c>
      <x:c r="AB771" s="10" t="str">
        <x:f>IF(N771="","",MIN(N771,1-S771))</x:f>
      </x:c>
      <x:c r="AC771" s="2" t="str">
        <x:f>IF(AD771&lt;&gt;1,"",COUNTIFS($Z$762:$Z$775,"&lt;"&amp;Z771,$AD$762:$AD$775,1)+COUNTIFS($Z$762:$Z$775,Z771,$AB$762:$AB$775,"&gt;"&amp;AB771,$AD$762:$AD$775,1)+COUNTIFS($Z$762:$Z$775,Z771,$AB$762:$AB$775,AB771,$V$762:$V$775,"&gt;"&amp;V771,$AD$762:$AD$775,1)+COUNTIFS($Z$762:Z771,Z771,$AB$762:AB771,AB771,$V$762:V771,V771,$AD$762:AD771,1))</x:f>
      </x:c>
      <x:c r="AD771" s="2" t="n">
        <x:f>IF(OR(AA771="DEFENSIV",AA771="PRUDENT",AA771="MODERAT",AA771="RIDICAT"),1,0)</x:f>
        <x:v>0</x:v>
      </x:c>
      <x:c r="AE771" s="2" t="str">
        <x:f>IF(AD771&lt;&gt;1,"NO",IF(W771="PASS","YES",IF(W771="OOS PENDING","CONDITIONAL","NO")))</x:f>
        <x:v>NO</x:v>
      </x:c>
      <x:c r="AF771" s="2" t="n">
        <x:f>IF(AND(AD771=1,AC771=1,E771="LIVE"),1,0)</x:f>
        <x:v>0</x:v>
      </x:c>
      <x:c r="AG771" s="2" t="str">
        <x:f>IF(AF771&lt;&gt;1,"",'Dashboard'!P80)</x:f>
      </x:c>
      <x:c r="AH771" s="2" t="str">
        <x:f>IF(B771="","",IF(J771&lt;&gt;"PASS",'Motor_Meciuri'!J60,IF('Calibrare_Linii'!U15&lt;&gt;"VALID","Parametri linie invalizi",IF(L771&gt;'Config_v6'!$B$13,"Dispersie peste limita",IF(W771="WATCH","Failure peste limita",IF(AB771&lt;'Config_v6'!$B$16,"P finala sub prag",IF(V771&lt;'Config_v6'!$B$18,"Confidence sub prag",IF(E771="REPLAY","Exemplu retrospectiv; exclus din Top LIVE",IF(Y771="PASS","DEFENSIV validat",IF(W771="OOS PENDING","Eligibil; calibrare linie in monitorizare","Eligibil"))))))))))</x:f>
      </x:c>
      <x:c r="AI771" s="2" t="str">
        <x:f>IF(B771="","",'Calibrare_Linii'!V15)</x:f>
      </x:c>
      <x:c r="AJ771" s="2" t="str">
        <x:f>IF(B771="","",IF(AND('Calibrare_Linii'!T15="VALIDATED",AND('Calibrare_Linii'!H15=C771,ISNUMBER('Calibrare_Linii'!J15),'Calibrare_Linii'!J15&lt;='Input_Meci'!G60)),"DEFENSIVE VALIDATED",IF(AND('Calibrare_Linii'!S15="VALIDATED",AND('Calibrare_Linii'!H15=C771,ISNUMBER('Calibrare_Linii'!J15),'Calibrare_Linii'!J15&lt;='Input_Meci'!G60)),"TAIL VALIDATED","OOS PENDING")))</x:f>
      </x:c>
      <x:c r="AK771" s="2" t="n">
        <x:f>IF(J771&lt;&gt;"PASS",0,'Motor_Meciuri'!BR60)</x:f>
        <x:v>0</x:v>
      </x:c>
      <x:c r="AL771" s="2" t="n">
        <x:f>IF(J771&lt;&gt;"PASS",0,'Motor_Meciuri'!BS60)</x:f>
        <x:v>0</x:v>
      </x:c>
      <x:c r="AM771" s="2" t="n">
        <x:f>IF(J771&lt;&gt;"PASS",0,'Motor_Meciuri'!BT60)</x:f>
        <x:v>0</x:v>
      </x:c>
      <x:c r="AN771" s="2" t="str">
        <x:f>IF(M771="","",MAX(0,'Motor_Meciuri'!BF60-IF(L771&gt;'Config_v6'!$B$12,'Config_v6'!$B$37,IF(L771&gt;'Config_v6'!$B$11,'Config_v6'!$B$36,0))))</x:f>
      </x:c>
    </x:row>
    <x:row r="772" ht="21" customHeight="1">
      <x:c r="A772" s="2" t="n">
        <x:v>55</x:v>
      </x:c>
      <x:c r="B772" s="2" t="str">
        <x:f>IF('Motor_Meciuri'!A60="","",'Motor_Meciuri'!A60)</x:f>
      </x:c>
      <x:c r="C772" s="2" t="str">
        <x:f>IF(B772="","",'Motor_Meciuri'!B60)</x:f>
      </x:c>
      <x:c r="D772" s="2" t="str">
        <x:f>IF(B772="","",'Motor_Meciuri'!D60)</x:f>
      </x:c>
      <x:c r="E772" s="2" t="str">
        <x:f>IF(B772="","",'Motor_Meciuri'!E60)</x:f>
      </x:c>
      <x:c r="F772" s="2" t="str">
        <x:v>U14,5</x:v>
      </x:c>
      <x:c r="G772" s="2" t="str">
        <x:v>UNDER</x:v>
      </x:c>
      <x:c r="H772" s="2" t="n">
        <x:v>14</x:v>
      </x:c>
      <x:c r="I772" s="2" t="str">
        <x:f>IF(B772="","",'Motor_Meciuri'!H60)</x:f>
      </x:c>
      <x:c r="J772" s="2" t="str">
        <x:f>IF(B772="","",'Motor_Meciuri'!I60)</x:f>
      </x:c>
      <x:c r="K772" s="11" t="str">
        <x:f>IF(J772&lt;&gt;"PASS","",'Motor_Meciuri'!BD60)</x:f>
      </x:c>
      <x:c r="L772" s="11" t="str">
        <x:f>IF(J772&lt;&gt;"PASS","",'Motor_Meciuri'!AU60)</x:f>
      </x:c>
      <x:c r="M772" s="10" t="str">
        <x:f>IF(NOT(AND(J772="PASS",'Calibrare_Linii'!U16="VALID")),"",'Distributie'!AL60)</x:f>
      </x:c>
      <x:c r="N772" s="10" t="str">
        <x:f>IF(M772="","",MAX(0.01,MIN(0.99,0.5+(M772-0.5)*'Motor_Meciuri'!BG60*'Calibrare_Linii'!D16)))</x:f>
      </x:c>
      <x:c r="O772" s="10" t="str">
        <x:f>IF(M772="","",1-M772)</x:f>
      </x:c>
      <x:c r="P772" s="10" t="str">
        <x:f>IF(OR(NOT(AND(J772="PASS",'Calibrare_Linii'!U16="VALID")),AK772=0),""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*('Istoric_Nativ'!$Q$6:$Q$405&gt;H772))/AK772)</x:f>
      </x:c>
      <x:c r="Q772" s="10" t="str">
        <x:f>IF(OR(NOT(AND(J772="PASS",'Calibrare_Linii'!U16="VALID")),AL772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M60)+((('Istoric_Nativ'!$E$6:$E$405='Input_Meci'!E60)+('Istoric_Nativ'!$F$6:$F$405='Input_Meci'!E60))&gt;0)*('Istoric_Nativ'!$D$6:$D$405&gt;='Motor_Meciuri'!BN60))&gt;0)*('Istoric_Nativ'!$Q$6:$Q$405&gt;H772))/AL772)</x:f>
      </x:c>
      <x:c r="R772" s="10" t="str">
        <x:f>IF(OR(NOT(AND(J772="PASS",'Calibrare_Linii'!U16="VALID")),AM772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O60)+((('Istoric_Nativ'!$E$6:$E$405='Input_Meci'!E60)+('Istoric_Nativ'!$F$6:$F$405='Input_Meci'!E60))&gt;0)*('Istoric_Nativ'!$D$6:$D$405&gt;='Motor_Meciuri'!BP60))&gt;0)*('Istoric_Nativ'!$Q$6:$Q$405&gt;H772))/AM772)</x:f>
      </x:c>
      <x:c r="S772" s="10" t="str">
        <x:f>IF(M772="","",MAX(O772,P772,Q772,R772))</x:f>
      </x:c>
      <x:c r="T772" s="11" t="str">
        <x:f>IF(M772="","",MIN(100,S772*100*'Config_v6'!$B$44+MIN(100,L772/'Config_v6'!$B$13*100)*'Config_v6'!$B$45+(100-'Motor_Meciuri'!BF60)*'Config_v6'!$B$46+'Motor_Meciuri'!BH60*100*'Config_v6'!$B$47))</x:f>
      </x:c>
      <x:c r="U772" s="2" t="str">
        <x:f>IF(T772="","",IF(T772&lt;=20,1,IF(T772&lt;=40,2,IF(T772&lt;=60,3,IF(T772&lt;=80,4,5)))))</x:f>
      </x:c>
      <x:c r="V772" s="2" t="str">
        <x:f>IF(M772="","",MAX(0,'Motor_Meciuri'!BF60-IF(W772="OOS PENDING",'Config_v6'!$B$35,0)-IF(L772&gt;'Config_v6'!$B$12,'Config_v6'!$B$37,IF(L772&gt;'Config_v6'!$B$11,'Config_v6'!$B$36,0))))</x:f>
      </x:c>
      <x:c r="W772" s="2" t="str">
        <x:f>IF(B772="","",IF(I772&lt;&gt;"READY","NOT RELEASED",IF(NOT(AND(J772="PASS",'Calibrare_Linii'!U16="VALID")),"INVALID",IF(NOT(AND('Calibrare_Linii'!S16="VALIDATED",AND('Calibrare_Linii'!H16=C772,ISNUMBER('Calibrare_Linii'!J16),'Calibrare_Linii'!J16&lt;='Input_Meci'!G60))),"OOS PENDING",IF(S772&lt;='Calibrare_Linii'!E16,"PASS",IF(S772&lt;='Calibrare_Linii'!F16,"PENALTY","WATCH"))))))</x:f>
      </x:c>
      <x:c r="X772" s="2" t="str">
        <x:f>IF(M772="","",IF(AND(AND(J772="PASS",'Calibrare_Linii'!U16="VALID"),'Motor_Meciuri'!K60=12,'Motor_Meciuri'!L60=12,'Motor_Meciuri'!M60="NO",'Motor_Meciuri'!BL60='Motor_Meciuri'!C60,AB772&gt;='Config_v6'!$B$50,AN772&gt;='Config_v6'!$B$51,T772&lt;='Config_v6'!$B$52,L772&lt;='Config_v6'!$B$53,ISNUMBER('Calibrare_Linii'!E16),S772&lt;='Calibrare_Linii'!E16,SUM(AK772:AM772)&gt;0),"CANDIDATE","NO"))</x:f>
      </x:c>
      <x:c r="Y772" s="2" t="str">
        <x:f>IF(B772="","",IF(I772&lt;&gt;"READY","NOT RELEASED",IF(AND(X772="CANDIDATE",V772&gt;='Config_v6'!$B$51,W772="PASS",'Calibrare_Linii'!T16="VALIDATED",AND('Calibrare_Linii'!H16=C772,ISNUMBER('Calibrare_Linii'!J16),'Calibrare_Linii'!J16&lt;='Input_Meci'!G60)),"PASS",IF(X772="CANDIDATE","OOS PENDING","FAIL"))))</x:f>
      </x:c>
      <x:c r="Z772" s="2" t="str">
        <x:f>IF(B772="","",IF(I772&lt;&gt;"READY","",IF(OR(NOT(AND(J772="PASS",'Calibrare_Linii'!U16="VALID")),L772&gt;'Config_v6'!$B$13,W772="WATCH"),5,IF(Y772="PASS",1,MIN(5,MAX('Config_v6'!$B$42,U772)+IF(W772="PENALTY",1,0))))))</x:f>
      </x:c>
      <x:c r="AA772" s="2" t="str">
        <x:f>IF(B772="","",IF(I772&lt;&gt;"READY","NOT RELEASED",IF(Z772=5,"NO BET",IF(OR(AB772&lt;'Config_v6'!$B$16,V772&lt;'Config_v6'!$B$18),"WATCH",IF(Z772=1,"DEFENSIV",IF(Z772=2,"PRUDENT",IF(Z772=3,"MODERAT","RIDICAT")))))))</x:f>
      </x:c>
      <x:c r="AB772" s="10" t="str">
        <x:f>IF(N772="","",MIN(N772,1-S772))</x:f>
      </x:c>
      <x:c r="AC772" s="2" t="str">
        <x:f>IF(AD772&lt;&gt;1,"",COUNTIFS($Z$762:$Z$775,"&lt;"&amp;Z772,$AD$762:$AD$775,1)+COUNTIFS($Z$762:$Z$775,Z772,$AB$762:$AB$775,"&gt;"&amp;AB772,$AD$762:$AD$775,1)+COUNTIFS($Z$762:$Z$775,Z772,$AB$762:$AB$775,AB772,$V$762:$V$775,"&gt;"&amp;V772,$AD$762:$AD$775,1)+COUNTIFS($Z$762:Z772,Z772,$AB$762:AB772,AB772,$V$762:V772,V772,$AD$762:AD772,1))</x:f>
      </x:c>
      <x:c r="AD772" s="2" t="n">
        <x:f>IF(OR(AA772="DEFENSIV",AA772="PRUDENT",AA772="MODERAT",AA772="RIDICAT"),1,0)</x:f>
        <x:v>0</x:v>
      </x:c>
      <x:c r="AE772" s="2" t="str">
        <x:f>IF(AD772&lt;&gt;1,"NO",IF(W772="PASS","YES",IF(W772="OOS PENDING","CONDITIONAL","NO")))</x:f>
        <x:v>NO</x:v>
      </x:c>
      <x:c r="AF772" s="2" t="n">
        <x:f>IF(AND(AD772=1,AC772=1,E772="LIVE"),1,0)</x:f>
        <x:v>0</x:v>
      </x:c>
      <x:c r="AG772" s="2" t="str">
        <x:f>IF(AF772&lt;&gt;1,"",'Dashboard'!P80)</x:f>
      </x:c>
      <x:c r="AH772" s="2" t="str">
        <x:f>IF(B772="","",IF(J772&lt;&gt;"PASS",'Motor_Meciuri'!J60,IF('Calibrare_Linii'!U16&lt;&gt;"VALID","Parametri linie invalizi",IF(L772&gt;'Config_v6'!$B$13,"Dispersie peste limita",IF(W772="WATCH","Failure peste limita",IF(AB772&lt;'Config_v6'!$B$16,"P finala sub prag",IF(V772&lt;'Config_v6'!$B$18,"Confidence sub prag",IF(E772="REPLAY","Exemplu retrospectiv; exclus din Top LIVE",IF(Y772="PASS","DEFENSIV validat",IF(W772="OOS PENDING","Eligibil; calibrare linie in monitorizare","Eligibil"))))))))))</x:f>
      </x:c>
      <x:c r="AI772" s="2" t="str">
        <x:f>IF(B772="","",'Calibrare_Linii'!V16)</x:f>
      </x:c>
      <x:c r="AJ772" s="2" t="str">
        <x:f>IF(B772="","",IF(AND('Calibrare_Linii'!T16="VALIDATED",AND('Calibrare_Linii'!H16=C772,ISNUMBER('Calibrare_Linii'!J16),'Calibrare_Linii'!J16&lt;='Input_Meci'!G60)),"DEFENSIVE VALIDATED",IF(AND('Calibrare_Linii'!S16="VALIDATED",AND('Calibrare_Linii'!H16=C772,ISNUMBER('Calibrare_Linii'!J16),'Calibrare_Linii'!J16&lt;='Input_Meci'!G60)),"TAIL VALIDATED","OOS PENDING")))</x:f>
      </x:c>
      <x:c r="AK772" s="2" t="n">
        <x:f>IF(J772&lt;&gt;"PASS",0,'Motor_Meciuri'!BR60)</x:f>
        <x:v>0</x:v>
      </x:c>
      <x:c r="AL772" s="2" t="n">
        <x:f>IF(J772&lt;&gt;"PASS",0,'Motor_Meciuri'!BS60)</x:f>
        <x:v>0</x:v>
      </x:c>
      <x:c r="AM772" s="2" t="n">
        <x:f>IF(J772&lt;&gt;"PASS",0,'Motor_Meciuri'!BT60)</x:f>
        <x:v>0</x:v>
      </x:c>
      <x:c r="AN772" s="2" t="str">
        <x:f>IF(M772="","",MAX(0,'Motor_Meciuri'!BF60-IF(L772&gt;'Config_v6'!$B$12,'Config_v6'!$B$37,IF(L772&gt;'Config_v6'!$B$11,'Config_v6'!$B$36,0))))</x:f>
      </x:c>
    </x:row>
    <x:row r="773" ht="21" customHeight="1">
      <x:c r="A773" s="2" t="n">
        <x:v>55</x:v>
      </x:c>
      <x:c r="B773" s="2" t="str">
        <x:f>IF('Motor_Meciuri'!A60="","",'Motor_Meciuri'!A60)</x:f>
      </x:c>
      <x:c r="C773" s="2" t="str">
        <x:f>IF(B773="","",'Motor_Meciuri'!B60)</x:f>
      </x:c>
      <x:c r="D773" s="2" t="str">
        <x:f>IF(B773="","",'Motor_Meciuri'!D60)</x:f>
      </x:c>
      <x:c r="E773" s="2" t="str">
        <x:f>IF(B773="","",'Motor_Meciuri'!E60)</x:f>
      </x:c>
      <x:c r="F773" s="2" t="str">
        <x:v>U15,5</x:v>
      </x:c>
      <x:c r="G773" s="2" t="str">
        <x:v>UNDER</x:v>
      </x:c>
      <x:c r="H773" s="2" t="n">
        <x:v>15</x:v>
      </x:c>
      <x:c r="I773" s="2" t="str">
        <x:f>IF(B773="","",'Motor_Meciuri'!H60)</x:f>
      </x:c>
      <x:c r="J773" s="2" t="str">
        <x:f>IF(B773="","",'Motor_Meciuri'!I60)</x:f>
      </x:c>
      <x:c r="K773" s="11" t="str">
        <x:f>IF(J773&lt;&gt;"PASS","",'Motor_Meciuri'!BD60)</x:f>
      </x:c>
      <x:c r="L773" s="11" t="str">
        <x:f>IF(J773&lt;&gt;"PASS","",'Motor_Meciuri'!AU60)</x:f>
      </x:c>
      <x:c r="M773" s="10" t="str">
        <x:f>IF(NOT(AND(J773="PASS",'Calibrare_Linii'!U17="VALID")),"",'Distributie'!AM60)</x:f>
      </x:c>
      <x:c r="N773" s="10" t="str">
        <x:f>IF(M773="","",MAX(0.01,MIN(0.99,0.5+(M773-0.5)*'Motor_Meciuri'!BG60*'Calibrare_Linii'!D17)))</x:f>
      </x:c>
      <x:c r="O773" s="10" t="str">
        <x:f>IF(M773="","",1-M773)</x:f>
      </x:c>
      <x:c r="P773" s="10" t="str">
        <x:f>IF(OR(NOT(AND(J773="PASS",'Calibrare_Linii'!U17="VALID")),AK773=0),""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*('Istoric_Nativ'!$Q$6:$Q$405&gt;H773))/AK773)</x:f>
      </x:c>
      <x:c r="Q773" s="10" t="str">
        <x:f>IF(OR(NOT(AND(J773="PASS",'Calibrare_Linii'!U17="VALID")),AL773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M60)+((('Istoric_Nativ'!$E$6:$E$405='Input_Meci'!E60)+('Istoric_Nativ'!$F$6:$F$405='Input_Meci'!E60))&gt;0)*('Istoric_Nativ'!$D$6:$D$405&gt;='Motor_Meciuri'!BN60))&gt;0)*('Istoric_Nativ'!$Q$6:$Q$405&gt;H773))/AL773)</x:f>
      </x:c>
      <x:c r="R773" s="10" t="str">
        <x:f>IF(OR(NOT(AND(J773="PASS",'Calibrare_Linii'!U17="VALID")),AM773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O60)+((('Istoric_Nativ'!$E$6:$E$405='Input_Meci'!E60)+('Istoric_Nativ'!$F$6:$F$405='Input_Meci'!E60))&gt;0)*('Istoric_Nativ'!$D$6:$D$405&gt;='Motor_Meciuri'!BP60))&gt;0)*('Istoric_Nativ'!$Q$6:$Q$405&gt;H773))/AM773)</x:f>
      </x:c>
      <x:c r="S773" s="10" t="str">
        <x:f>IF(M773="","",MAX(O773,P773,Q773,R773))</x:f>
      </x:c>
      <x:c r="T773" s="11" t="str">
        <x:f>IF(M773="","",MIN(100,S773*100*'Config_v6'!$B$44+MIN(100,L773/'Config_v6'!$B$13*100)*'Config_v6'!$B$45+(100-'Motor_Meciuri'!BF60)*'Config_v6'!$B$46+'Motor_Meciuri'!BH60*100*'Config_v6'!$B$47))</x:f>
      </x:c>
      <x:c r="U773" s="2" t="str">
        <x:f>IF(T773="","",IF(T773&lt;=20,1,IF(T773&lt;=40,2,IF(T773&lt;=60,3,IF(T773&lt;=80,4,5)))))</x:f>
      </x:c>
      <x:c r="V773" s="2" t="str">
        <x:f>IF(M773="","",MAX(0,'Motor_Meciuri'!BF60-IF(W773="OOS PENDING",'Config_v6'!$B$35,0)-IF(L773&gt;'Config_v6'!$B$12,'Config_v6'!$B$37,IF(L773&gt;'Config_v6'!$B$11,'Config_v6'!$B$36,0))))</x:f>
      </x:c>
      <x:c r="W773" s="2" t="str">
        <x:f>IF(B773="","",IF(I773&lt;&gt;"READY","NOT RELEASED",IF(NOT(AND(J773="PASS",'Calibrare_Linii'!U17="VALID")),"INVALID",IF(NOT(AND('Calibrare_Linii'!S17="VALIDATED",AND('Calibrare_Linii'!H17=C773,ISNUMBER('Calibrare_Linii'!J17),'Calibrare_Linii'!J17&lt;='Input_Meci'!G60))),"OOS PENDING",IF(S773&lt;='Calibrare_Linii'!E17,"PASS",IF(S773&lt;='Calibrare_Linii'!F17,"PENALTY","WATCH"))))))</x:f>
      </x:c>
      <x:c r="X773" s="2" t="str">
        <x:f>IF(M773="","",IF(AND(AND(J773="PASS",'Calibrare_Linii'!U17="VALID"),'Motor_Meciuri'!K60=12,'Motor_Meciuri'!L60=12,'Motor_Meciuri'!M60="NO",'Motor_Meciuri'!BL60='Motor_Meciuri'!C60,AB773&gt;='Config_v6'!$B$50,AN773&gt;='Config_v6'!$B$51,T773&lt;='Config_v6'!$B$52,L773&lt;='Config_v6'!$B$53,ISNUMBER('Calibrare_Linii'!E17),S773&lt;='Calibrare_Linii'!E17,SUM(AK773:AM773)&gt;0),"CANDIDATE","NO"))</x:f>
      </x:c>
      <x:c r="Y773" s="2" t="str">
        <x:f>IF(B773="","",IF(I773&lt;&gt;"READY","NOT RELEASED",IF(AND(X773="CANDIDATE",V773&gt;='Config_v6'!$B$51,W773="PASS",'Calibrare_Linii'!T17="VALIDATED",AND('Calibrare_Linii'!H17=C773,ISNUMBER('Calibrare_Linii'!J17),'Calibrare_Linii'!J17&lt;='Input_Meci'!G60)),"PASS",IF(X773="CANDIDATE","OOS PENDING","FAIL"))))</x:f>
      </x:c>
      <x:c r="Z773" s="2" t="str">
        <x:f>IF(B773="","",IF(I773&lt;&gt;"READY","",IF(OR(NOT(AND(J773="PASS",'Calibrare_Linii'!U17="VALID")),L773&gt;'Config_v6'!$B$13,W773="WATCH"),5,IF(Y773="PASS",1,MIN(5,MAX('Config_v6'!$B$42,U773)+IF(W773="PENALTY",1,0))))))</x:f>
      </x:c>
      <x:c r="AA773" s="2" t="str">
        <x:f>IF(B773="","",IF(I773&lt;&gt;"READY","NOT RELEASED",IF(Z773=5,"NO BET",IF(OR(AB773&lt;'Config_v6'!$B$16,V773&lt;'Config_v6'!$B$18),"WATCH",IF(Z773=1,"DEFENSIV",IF(Z773=2,"PRUDENT",IF(Z773=3,"MODERAT","RIDICAT")))))))</x:f>
      </x:c>
      <x:c r="AB773" s="10" t="str">
        <x:f>IF(N773="","",MIN(N773,1-S773))</x:f>
      </x:c>
      <x:c r="AC773" s="2" t="str">
        <x:f>IF(AD773&lt;&gt;1,"",COUNTIFS($Z$762:$Z$775,"&lt;"&amp;Z773,$AD$762:$AD$775,1)+COUNTIFS($Z$762:$Z$775,Z773,$AB$762:$AB$775,"&gt;"&amp;AB773,$AD$762:$AD$775,1)+COUNTIFS($Z$762:$Z$775,Z773,$AB$762:$AB$775,AB773,$V$762:$V$775,"&gt;"&amp;V773,$AD$762:$AD$775,1)+COUNTIFS($Z$762:Z773,Z773,$AB$762:AB773,AB773,$V$762:V773,V773,$AD$762:AD773,1))</x:f>
      </x:c>
      <x:c r="AD773" s="2" t="n">
        <x:f>IF(OR(AA773="DEFENSIV",AA773="PRUDENT",AA773="MODERAT",AA773="RIDICAT"),1,0)</x:f>
        <x:v>0</x:v>
      </x:c>
      <x:c r="AE773" s="2" t="str">
        <x:f>IF(AD773&lt;&gt;1,"NO",IF(W773="PASS","YES",IF(W773="OOS PENDING","CONDITIONAL","NO")))</x:f>
        <x:v>NO</x:v>
      </x:c>
      <x:c r="AF773" s="2" t="n">
        <x:f>IF(AND(AD773=1,AC773=1,E773="LIVE"),1,0)</x:f>
        <x:v>0</x:v>
      </x:c>
      <x:c r="AG773" s="2" t="str">
        <x:f>IF(AF773&lt;&gt;1,"",'Dashboard'!P80)</x:f>
      </x:c>
      <x:c r="AH773" s="2" t="str">
        <x:f>IF(B773="","",IF(J773&lt;&gt;"PASS",'Motor_Meciuri'!J60,IF('Calibrare_Linii'!U17&lt;&gt;"VALID","Parametri linie invalizi",IF(L773&gt;'Config_v6'!$B$13,"Dispersie peste limita",IF(W773="WATCH","Failure peste limita",IF(AB773&lt;'Config_v6'!$B$16,"P finala sub prag",IF(V773&lt;'Config_v6'!$B$18,"Confidence sub prag",IF(E773="REPLAY","Exemplu retrospectiv; exclus din Top LIVE",IF(Y773="PASS","DEFENSIV validat",IF(W773="OOS PENDING","Eligibil; calibrare linie in monitorizare","Eligibil"))))))))))</x:f>
      </x:c>
      <x:c r="AI773" s="2" t="str">
        <x:f>IF(B773="","",'Calibrare_Linii'!V17)</x:f>
      </x:c>
      <x:c r="AJ773" s="2" t="str">
        <x:f>IF(B773="","",IF(AND('Calibrare_Linii'!T17="VALIDATED",AND('Calibrare_Linii'!H17=C773,ISNUMBER('Calibrare_Linii'!J17),'Calibrare_Linii'!J17&lt;='Input_Meci'!G60)),"DEFENSIVE VALIDATED",IF(AND('Calibrare_Linii'!S17="VALIDATED",AND('Calibrare_Linii'!H17=C773,ISNUMBER('Calibrare_Linii'!J17),'Calibrare_Linii'!J17&lt;='Input_Meci'!G60)),"TAIL VALIDATED","OOS PENDING")))</x:f>
      </x:c>
      <x:c r="AK773" s="2" t="n">
        <x:f>IF(J773&lt;&gt;"PASS",0,'Motor_Meciuri'!BR60)</x:f>
        <x:v>0</x:v>
      </x:c>
      <x:c r="AL773" s="2" t="n">
        <x:f>IF(J773&lt;&gt;"PASS",0,'Motor_Meciuri'!BS60)</x:f>
        <x:v>0</x:v>
      </x:c>
      <x:c r="AM773" s="2" t="n">
        <x:f>IF(J773&lt;&gt;"PASS",0,'Motor_Meciuri'!BT60)</x:f>
        <x:v>0</x:v>
      </x:c>
      <x:c r="AN773" s="2" t="str">
        <x:f>IF(M773="","",MAX(0,'Motor_Meciuri'!BF60-IF(L773&gt;'Config_v6'!$B$12,'Config_v6'!$B$37,IF(L773&gt;'Config_v6'!$B$11,'Config_v6'!$B$36,0))))</x:f>
      </x:c>
    </x:row>
    <x:row r="774" ht="21" customHeight="1">
      <x:c r="A774" s="2" t="n">
        <x:v>55</x:v>
      </x:c>
      <x:c r="B774" s="2" t="str">
        <x:f>IF('Motor_Meciuri'!A60="","",'Motor_Meciuri'!A60)</x:f>
      </x:c>
      <x:c r="C774" s="2" t="str">
        <x:f>IF(B774="","",'Motor_Meciuri'!B60)</x:f>
      </x:c>
      <x:c r="D774" s="2" t="str">
        <x:f>IF(B774="","",'Motor_Meciuri'!D60)</x:f>
      </x:c>
      <x:c r="E774" s="2" t="str">
        <x:f>IF(B774="","",'Motor_Meciuri'!E60)</x:f>
      </x:c>
      <x:c r="F774" s="2" t="str">
        <x:v>U16,5</x:v>
      </x:c>
      <x:c r="G774" s="2" t="str">
        <x:v>UNDER</x:v>
      </x:c>
      <x:c r="H774" s="2" t="n">
        <x:v>16</x:v>
      </x:c>
      <x:c r="I774" s="2" t="str">
        <x:f>IF(B774="","",'Motor_Meciuri'!H60)</x:f>
      </x:c>
      <x:c r="J774" s="2" t="str">
        <x:f>IF(B774="","",'Motor_Meciuri'!I60)</x:f>
      </x:c>
      <x:c r="K774" s="11" t="str">
        <x:f>IF(J774&lt;&gt;"PASS","",'Motor_Meciuri'!BD60)</x:f>
      </x:c>
      <x:c r="L774" s="11" t="str">
        <x:f>IF(J774&lt;&gt;"PASS","",'Motor_Meciuri'!AU60)</x:f>
      </x:c>
      <x:c r="M774" s="10" t="str">
        <x:f>IF(NOT(AND(J774="PASS",'Calibrare_Linii'!U18="VALID")),"",'Distributie'!AN60)</x:f>
      </x:c>
      <x:c r="N774" s="10" t="str">
        <x:f>IF(M774="","",MAX(0.01,MIN(0.99,0.5+(M774-0.5)*'Motor_Meciuri'!BG60*'Calibrare_Linii'!D18)))</x:f>
      </x:c>
      <x:c r="O774" s="10" t="str">
        <x:f>IF(M774="","",1-M774)</x:f>
      </x:c>
      <x:c r="P774" s="10" t="str">
        <x:f>IF(OR(NOT(AND(J774="PASS",'Calibrare_Linii'!U18="VALID")),AK774=0),""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*('Istoric_Nativ'!$Q$6:$Q$405&gt;H774))/AK774)</x:f>
      </x:c>
      <x:c r="Q774" s="10" t="str">
        <x:f>IF(OR(NOT(AND(J774="PASS",'Calibrare_Linii'!U18="VALID")),AL774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M60)+((('Istoric_Nativ'!$E$6:$E$405='Input_Meci'!E60)+('Istoric_Nativ'!$F$6:$F$405='Input_Meci'!E60))&gt;0)*('Istoric_Nativ'!$D$6:$D$405&gt;='Motor_Meciuri'!BN60))&gt;0)*('Istoric_Nativ'!$Q$6:$Q$405&gt;H774))/AL774)</x:f>
      </x:c>
      <x:c r="R774" s="10" t="str">
        <x:f>IF(OR(NOT(AND(J774="PASS",'Calibrare_Linii'!U18="VALID")),AM774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O60)+((('Istoric_Nativ'!$E$6:$E$405='Input_Meci'!E60)+('Istoric_Nativ'!$F$6:$F$405='Input_Meci'!E60))&gt;0)*('Istoric_Nativ'!$D$6:$D$405&gt;='Motor_Meciuri'!BP60))&gt;0)*('Istoric_Nativ'!$Q$6:$Q$405&gt;H774))/AM774)</x:f>
      </x:c>
      <x:c r="S774" s="10" t="str">
        <x:f>IF(M774="","",MAX(O774,P774,Q774,R774))</x:f>
      </x:c>
      <x:c r="T774" s="11" t="str">
        <x:f>IF(M774="","",MIN(100,S774*100*'Config_v6'!$B$44+MIN(100,L774/'Config_v6'!$B$13*100)*'Config_v6'!$B$45+(100-'Motor_Meciuri'!BF60)*'Config_v6'!$B$46+'Motor_Meciuri'!BH60*100*'Config_v6'!$B$47))</x:f>
      </x:c>
      <x:c r="U774" s="2" t="str">
        <x:f>IF(T774="","",IF(T774&lt;=20,1,IF(T774&lt;=40,2,IF(T774&lt;=60,3,IF(T774&lt;=80,4,5)))))</x:f>
      </x:c>
      <x:c r="V774" s="2" t="str">
        <x:f>IF(M774="","",MAX(0,'Motor_Meciuri'!BF60-IF(W774="OOS PENDING",'Config_v6'!$B$35,0)-IF(L774&gt;'Config_v6'!$B$12,'Config_v6'!$B$37,IF(L774&gt;'Config_v6'!$B$11,'Config_v6'!$B$36,0))))</x:f>
      </x:c>
      <x:c r="W774" s="2" t="str">
        <x:f>IF(B774="","",IF(I774&lt;&gt;"READY","NOT RELEASED",IF(NOT(AND(J774="PASS",'Calibrare_Linii'!U18="VALID")),"INVALID",IF(NOT(AND('Calibrare_Linii'!S18="VALIDATED",AND('Calibrare_Linii'!H18=C774,ISNUMBER('Calibrare_Linii'!J18),'Calibrare_Linii'!J18&lt;='Input_Meci'!G60))),"OOS PENDING",IF(S774&lt;='Calibrare_Linii'!E18,"PASS",IF(S774&lt;='Calibrare_Linii'!F18,"PENALTY","WATCH"))))))</x:f>
      </x:c>
      <x:c r="X774" s="2" t="str">
        <x:f>IF(M774="","",IF(AND(AND(J774="PASS",'Calibrare_Linii'!U18="VALID"),'Motor_Meciuri'!K60=12,'Motor_Meciuri'!L60=12,'Motor_Meciuri'!M60="NO",'Motor_Meciuri'!BL60='Motor_Meciuri'!C60,AB774&gt;='Config_v6'!$B$50,AN774&gt;='Config_v6'!$B$51,T774&lt;='Config_v6'!$B$52,L774&lt;='Config_v6'!$B$53,ISNUMBER('Calibrare_Linii'!E18),S774&lt;='Calibrare_Linii'!E18,SUM(AK774:AM774)&gt;0),"CANDIDATE","NO"))</x:f>
      </x:c>
      <x:c r="Y774" s="2" t="str">
        <x:f>IF(B774="","",IF(I774&lt;&gt;"READY","NOT RELEASED",IF(AND(X774="CANDIDATE",V774&gt;='Config_v6'!$B$51,W774="PASS",'Calibrare_Linii'!T18="VALIDATED",AND('Calibrare_Linii'!H18=C774,ISNUMBER('Calibrare_Linii'!J18),'Calibrare_Linii'!J18&lt;='Input_Meci'!G60)),"PASS",IF(X774="CANDIDATE","OOS PENDING","FAIL"))))</x:f>
      </x:c>
      <x:c r="Z774" s="2" t="str">
        <x:f>IF(B774="","",IF(I774&lt;&gt;"READY","",IF(OR(NOT(AND(J774="PASS",'Calibrare_Linii'!U18="VALID")),L774&gt;'Config_v6'!$B$13,W774="WATCH"),5,IF(Y774="PASS",1,MIN(5,MAX('Config_v6'!$B$42,U774)+IF(W774="PENALTY",1,0))))))</x:f>
      </x:c>
      <x:c r="AA774" s="2" t="str">
        <x:f>IF(B774="","",IF(I774&lt;&gt;"READY","NOT RELEASED",IF(Z774=5,"NO BET",IF(OR(AB774&lt;'Config_v6'!$B$16,V774&lt;'Config_v6'!$B$18),"WATCH",IF(Z774=1,"DEFENSIV",IF(Z774=2,"PRUDENT",IF(Z774=3,"MODERAT","RIDICAT")))))))</x:f>
      </x:c>
      <x:c r="AB774" s="10" t="str">
        <x:f>IF(N774="","",MIN(N774,1-S774))</x:f>
      </x:c>
      <x:c r="AC774" s="2" t="str">
        <x:f>IF(AD774&lt;&gt;1,"",COUNTIFS($Z$762:$Z$775,"&lt;"&amp;Z774,$AD$762:$AD$775,1)+COUNTIFS($Z$762:$Z$775,Z774,$AB$762:$AB$775,"&gt;"&amp;AB774,$AD$762:$AD$775,1)+COUNTIFS($Z$762:$Z$775,Z774,$AB$762:$AB$775,AB774,$V$762:$V$775,"&gt;"&amp;V774,$AD$762:$AD$775,1)+COUNTIFS($Z$762:Z774,Z774,$AB$762:AB774,AB774,$V$762:V774,V774,$AD$762:AD774,1))</x:f>
      </x:c>
      <x:c r="AD774" s="2" t="n">
        <x:f>IF(OR(AA774="DEFENSIV",AA774="PRUDENT",AA774="MODERAT",AA774="RIDICAT"),1,0)</x:f>
        <x:v>0</x:v>
      </x:c>
      <x:c r="AE774" s="2" t="str">
        <x:f>IF(AD774&lt;&gt;1,"NO",IF(W774="PASS","YES",IF(W774="OOS PENDING","CONDITIONAL","NO")))</x:f>
        <x:v>NO</x:v>
      </x:c>
      <x:c r="AF774" s="2" t="n">
        <x:f>IF(AND(AD774=1,AC774=1,E774="LIVE"),1,0)</x:f>
        <x:v>0</x:v>
      </x:c>
      <x:c r="AG774" s="2" t="str">
        <x:f>IF(AF774&lt;&gt;1,"",'Dashboard'!P80)</x:f>
      </x:c>
      <x:c r="AH774" s="2" t="str">
        <x:f>IF(B774="","",IF(J774&lt;&gt;"PASS",'Motor_Meciuri'!J60,IF('Calibrare_Linii'!U18&lt;&gt;"VALID","Parametri linie invalizi",IF(L774&gt;'Config_v6'!$B$13,"Dispersie peste limita",IF(W774="WATCH","Failure peste limita",IF(AB774&lt;'Config_v6'!$B$16,"P finala sub prag",IF(V774&lt;'Config_v6'!$B$18,"Confidence sub prag",IF(E774="REPLAY","Exemplu retrospectiv; exclus din Top LIVE",IF(Y774="PASS","DEFENSIV validat",IF(W774="OOS PENDING","Eligibil; calibrare linie in monitorizare","Eligibil"))))))))))</x:f>
      </x:c>
      <x:c r="AI774" s="2" t="str">
        <x:f>IF(B774="","",'Calibrare_Linii'!V18)</x:f>
      </x:c>
      <x:c r="AJ774" s="2" t="str">
        <x:f>IF(B774="","",IF(AND('Calibrare_Linii'!T18="VALIDATED",AND('Calibrare_Linii'!H18=C774,ISNUMBER('Calibrare_Linii'!J18),'Calibrare_Linii'!J18&lt;='Input_Meci'!G60)),"DEFENSIVE VALIDATED",IF(AND('Calibrare_Linii'!S18="VALIDATED",AND('Calibrare_Linii'!H18=C774,ISNUMBER('Calibrare_Linii'!J18),'Calibrare_Linii'!J18&lt;='Input_Meci'!G60)),"TAIL VALIDATED","OOS PENDING")))</x:f>
      </x:c>
      <x:c r="AK774" s="2" t="n">
        <x:f>IF(J774&lt;&gt;"PASS",0,'Motor_Meciuri'!BR60)</x:f>
        <x:v>0</x:v>
      </x:c>
      <x:c r="AL774" s="2" t="n">
        <x:f>IF(J774&lt;&gt;"PASS",0,'Motor_Meciuri'!BS60)</x:f>
        <x:v>0</x:v>
      </x:c>
      <x:c r="AM774" s="2" t="n">
        <x:f>IF(J774&lt;&gt;"PASS",0,'Motor_Meciuri'!BT60)</x:f>
        <x:v>0</x:v>
      </x:c>
      <x:c r="AN774" s="2" t="str">
        <x:f>IF(M774="","",MAX(0,'Motor_Meciuri'!BF60-IF(L774&gt;'Config_v6'!$B$12,'Config_v6'!$B$37,IF(L774&gt;'Config_v6'!$B$11,'Config_v6'!$B$36,0))))</x:f>
      </x:c>
    </x:row>
    <x:row r="775" ht="21" customHeight="1">
      <x:c r="A775" s="2" t="n">
        <x:v>55</x:v>
      </x:c>
      <x:c r="B775" s="2" t="str">
        <x:f>IF('Motor_Meciuri'!A60="","",'Motor_Meciuri'!A60)</x:f>
      </x:c>
      <x:c r="C775" s="2" t="str">
        <x:f>IF(B775="","",'Motor_Meciuri'!B60)</x:f>
      </x:c>
      <x:c r="D775" s="2" t="str">
        <x:f>IF(B775="","",'Motor_Meciuri'!D60)</x:f>
      </x:c>
      <x:c r="E775" s="2" t="str">
        <x:f>IF(B775="","",'Motor_Meciuri'!E60)</x:f>
      </x:c>
      <x:c r="F775" s="2" t="str">
        <x:v>U17,5</x:v>
      </x:c>
      <x:c r="G775" s="2" t="str">
        <x:v>UNDER</x:v>
      </x:c>
      <x:c r="H775" s="2" t="n">
        <x:v>17</x:v>
      </x:c>
      <x:c r="I775" s="2" t="str">
        <x:f>IF(B775="","",'Motor_Meciuri'!H60)</x:f>
      </x:c>
      <x:c r="J775" s="2" t="str">
        <x:f>IF(B775="","",'Motor_Meciuri'!I60)</x:f>
      </x:c>
      <x:c r="K775" s="11" t="str">
        <x:f>IF(J775&lt;&gt;"PASS","",'Motor_Meciuri'!BD60)</x:f>
      </x:c>
      <x:c r="L775" s="11" t="str">
        <x:f>IF(J775&lt;&gt;"PASS","",'Motor_Meciuri'!AU60)</x:f>
      </x:c>
      <x:c r="M775" s="10" t="str">
        <x:f>IF(NOT(AND(J775="PASS",'Calibrare_Linii'!U19="VALID")),"",'Distributie'!AO60)</x:f>
      </x:c>
      <x:c r="N775" s="10" t="str">
        <x:f>IF(M775="","",MAX(0.01,MIN(0.99,0.5+(M775-0.5)*'Motor_Meciuri'!BG60*'Calibrare_Linii'!D19)))</x:f>
      </x:c>
      <x:c r="O775" s="10" t="str">
        <x:f>IF(M775="","",1-M775)</x:f>
      </x:c>
      <x:c r="P775" s="10" t="str">
        <x:f>IF(OR(NOT(AND(J775="PASS",'Calibrare_Linii'!U19="VALID")),AK775=0),""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*('Istoric_Nativ'!$Q$6:$Q$405&gt;H775))/AK775)</x:f>
      </x:c>
      <x:c r="Q775" s="10" t="str">
        <x:f>IF(OR(NOT(AND(J775="PASS",'Calibrare_Linii'!U19="VALID")),AL775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M60)+((('Istoric_Nativ'!$E$6:$E$405='Input_Meci'!E60)+('Istoric_Nativ'!$F$6:$F$405='Input_Meci'!E60))&gt;0)*('Istoric_Nativ'!$D$6:$D$405&gt;='Motor_Meciuri'!BN60))&gt;0)*('Istoric_Nativ'!$Q$6:$Q$405&gt;H775))/AL775)</x:f>
      </x:c>
      <x:c r="R775" s="10" t="str">
        <x:f>IF(OR(NOT(AND(J775="PASS",'Calibrare_Linii'!U19="VALID")),AM775=0),""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'Motor_Meciuri'!BO60)+((('Istoric_Nativ'!$E$6:$E$405='Input_Meci'!E60)+('Istoric_Nativ'!$F$6:$F$405='Input_Meci'!E60))&gt;0)*('Istoric_Nativ'!$D$6:$D$405&gt;='Motor_Meciuri'!BP60))&gt;0)*('Istoric_Nativ'!$Q$6:$Q$405&gt;H775))/AM775)</x:f>
      </x:c>
      <x:c r="S775" s="10" t="str">
        <x:f>IF(M775="","",MAX(O775,P775,Q775,R775))</x:f>
      </x:c>
      <x:c r="T775" s="11" t="str">
        <x:f>IF(M775="","",MIN(100,S775*100*'Config_v6'!$B$44+MIN(100,L775/'Config_v6'!$B$13*100)*'Config_v6'!$B$45+(100-'Motor_Meciuri'!BF60)*'Config_v6'!$B$46+'Motor_Meciuri'!BH60*100*'Config_v6'!$B$47))</x:f>
      </x:c>
      <x:c r="U775" s="2" t="str">
        <x:f>IF(T775="","",IF(T775&lt;=20,1,IF(T775&lt;=40,2,IF(T775&lt;=60,3,IF(T775&lt;=80,4,5)))))</x:f>
      </x:c>
      <x:c r="V775" s="2" t="str">
        <x:f>IF(M775="","",MAX(0,'Motor_Meciuri'!BF60-IF(W775="OOS PENDING",'Config_v6'!$B$35,0)-IF(L775&gt;'Config_v6'!$B$12,'Config_v6'!$B$37,IF(L775&gt;'Config_v6'!$B$11,'Config_v6'!$B$36,0))))</x:f>
      </x:c>
      <x:c r="W775" s="2" t="str">
        <x:f>IF(B775="","",IF(I775&lt;&gt;"READY","NOT RELEASED",IF(NOT(AND(J775="PASS",'Calibrare_Linii'!U19="VALID")),"INVALID",IF(NOT(AND('Calibrare_Linii'!S19="VALIDATED",AND('Calibrare_Linii'!H19=C775,ISNUMBER('Calibrare_Linii'!J19),'Calibrare_Linii'!J19&lt;='Input_Meci'!G60))),"OOS PENDING",IF(S775&lt;='Calibrare_Linii'!E19,"PASS",IF(S775&lt;='Calibrare_Linii'!F19,"PENALTY","WATCH"))))))</x:f>
      </x:c>
      <x:c r="X775" s="2" t="str">
        <x:f>IF(M775="","",IF(AND(AND(J775="PASS",'Calibrare_Linii'!U19="VALID"),'Motor_Meciuri'!K60=12,'Motor_Meciuri'!L60=12,'Motor_Meciuri'!M60="NO",'Motor_Meciuri'!BL60='Motor_Meciuri'!C60,AB775&gt;='Config_v6'!$B$50,AN775&gt;='Config_v6'!$B$51,T775&lt;='Config_v6'!$B$52,L775&lt;='Config_v6'!$B$53,ISNUMBER('Calibrare_Linii'!E19),S775&lt;='Calibrare_Linii'!E19,SUM(AK775:AM775)&gt;0),"CANDIDATE","NO"))</x:f>
      </x:c>
      <x:c r="Y775" s="2" t="str">
        <x:f>IF(B775="","",IF(I775&lt;&gt;"READY","NOT RELEASED",IF(AND(X775="CANDIDATE",V775&gt;='Config_v6'!$B$51,W775="PASS",'Calibrare_Linii'!T19="VALIDATED",AND('Calibrare_Linii'!H19=C775,ISNUMBER('Calibrare_Linii'!J19),'Calibrare_Linii'!J19&lt;='Input_Meci'!G60)),"PASS",IF(X775="CANDIDATE","OOS PENDING","FAIL"))))</x:f>
      </x:c>
      <x:c r="Z775" s="2" t="str">
        <x:f>IF(B775="","",IF(I775&lt;&gt;"READY","",IF(OR(NOT(AND(J775="PASS",'Calibrare_Linii'!U19="VALID")),L775&gt;'Config_v6'!$B$13,W775="WATCH"),5,IF(Y775="PASS",1,MIN(5,MAX('Config_v6'!$B$42,U775)+IF(W775="PENALTY",1,0))))))</x:f>
      </x:c>
      <x:c r="AA775" s="2" t="str">
        <x:f>IF(B775="","",IF(I775&lt;&gt;"READY","NOT RELEASED",IF(Z775=5,"NO BET",IF(OR(AB775&lt;'Config_v6'!$B$16,V775&lt;'Config_v6'!$B$18),"WATCH",IF(Z775=1,"DEFENSIV",IF(Z775=2,"PRUDENT",IF(Z775=3,"MODERAT","RIDICAT")))))))</x:f>
      </x:c>
      <x:c r="AB775" s="10" t="str">
        <x:f>IF(N775="","",MIN(N775,1-S775))</x:f>
      </x:c>
      <x:c r="AC775" s="2" t="str">
        <x:f>IF(AD775&lt;&gt;1,"",COUNTIFS($Z$762:$Z$775,"&lt;"&amp;Z775,$AD$762:$AD$775,1)+COUNTIFS($Z$762:$Z$775,Z775,$AB$762:$AB$775,"&gt;"&amp;AB775,$AD$762:$AD$775,1)+COUNTIFS($Z$762:$Z$775,Z775,$AB$762:$AB$775,AB775,$V$762:$V$775,"&gt;"&amp;V775,$AD$762:$AD$775,1)+COUNTIFS($Z$762:Z775,Z775,$AB$762:AB775,AB775,$V$762:V775,V775,$AD$762:AD775,1))</x:f>
      </x:c>
      <x:c r="AD775" s="2" t="n">
        <x:f>IF(OR(AA775="DEFENSIV",AA775="PRUDENT",AA775="MODERAT",AA775="RIDICAT"),1,0)</x:f>
        <x:v>0</x:v>
      </x:c>
      <x:c r="AE775" s="2" t="str">
        <x:f>IF(AD775&lt;&gt;1,"NO",IF(W775="PASS","YES",IF(W775="OOS PENDING","CONDITIONAL","NO")))</x:f>
        <x:v>NO</x:v>
      </x:c>
      <x:c r="AF775" s="2" t="n">
        <x:f>IF(AND(AD775=1,AC775=1,E775="LIVE"),1,0)</x:f>
        <x:v>0</x:v>
      </x:c>
      <x:c r="AG775" s="2" t="str">
        <x:f>IF(AF775&lt;&gt;1,"",'Dashboard'!P80)</x:f>
      </x:c>
      <x:c r="AH775" s="2" t="str">
        <x:f>IF(B775="","",IF(J775&lt;&gt;"PASS",'Motor_Meciuri'!J60,IF('Calibrare_Linii'!U19&lt;&gt;"VALID","Parametri linie invalizi",IF(L775&gt;'Config_v6'!$B$13,"Dispersie peste limita",IF(W775="WATCH","Failure peste limita",IF(AB775&lt;'Config_v6'!$B$16,"P finala sub prag",IF(V775&lt;'Config_v6'!$B$18,"Confidence sub prag",IF(E775="REPLAY","Exemplu retrospectiv; exclus din Top LIVE",IF(Y775="PASS","DEFENSIV validat",IF(W775="OOS PENDING","Eligibil; calibrare linie in monitorizare","Eligibil"))))))))))</x:f>
      </x:c>
      <x:c r="AI775" s="2" t="str">
        <x:f>IF(B775="","",'Calibrare_Linii'!V19)</x:f>
      </x:c>
      <x:c r="AJ775" s="2" t="str">
        <x:f>IF(B775="","",IF(AND('Calibrare_Linii'!T19="VALIDATED",AND('Calibrare_Linii'!H19=C775,ISNUMBER('Calibrare_Linii'!J19),'Calibrare_Linii'!J19&lt;='Input_Meci'!G60)),"DEFENSIVE VALIDATED",IF(AND('Calibrare_Linii'!S19="VALIDATED",AND('Calibrare_Linii'!H19=C775,ISNUMBER('Calibrare_Linii'!J19),'Calibrare_Linii'!J19&lt;='Input_Meci'!G60)),"TAIL VALIDATED","OOS PENDING")))</x:f>
      </x:c>
      <x:c r="AK775" s="2" t="n">
        <x:f>IF(J775&lt;&gt;"PASS",0,'Motor_Meciuri'!BR60)</x:f>
        <x:v>0</x:v>
      </x:c>
      <x:c r="AL775" s="2" t="n">
        <x:f>IF(J775&lt;&gt;"PASS",0,'Motor_Meciuri'!BS60)</x:f>
        <x:v>0</x:v>
      </x:c>
      <x:c r="AM775" s="2" t="n">
        <x:f>IF(J775&lt;&gt;"PASS",0,'Motor_Meciuri'!BT60)</x:f>
        <x:v>0</x:v>
      </x:c>
      <x:c r="AN775" s="2" t="str">
        <x:f>IF(M775="","",MAX(0,'Motor_Meciuri'!BF60-IF(L775&gt;'Config_v6'!$B$12,'Config_v6'!$B$37,IF(L775&gt;'Config_v6'!$B$11,'Config_v6'!$B$36,0))))</x:f>
      </x:c>
    </x:row>
    <x:row r="776" ht="21" customHeight="1">
      <x:c r="A776" s="2" t="n">
        <x:v>56</x:v>
      </x:c>
      <x:c r="B776" s="2" t="str">
        <x:f>IF('Motor_Meciuri'!A61="","",'Motor_Meciuri'!A61)</x:f>
      </x:c>
      <x:c r="C776" s="2" t="str">
        <x:f>IF(B776="","",'Motor_Meciuri'!B61)</x:f>
      </x:c>
      <x:c r="D776" s="2" t="str">
        <x:f>IF(B776="","",'Motor_Meciuri'!D61)</x:f>
      </x:c>
      <x:c r="E776" s="2" t="str">
        <x:f>IF(B776="","",'Motor_Meciuri'!E61)</x:f>
      </x:c>
      <x:c r="F776" s="2" t="str">
        <x:v>O3,5</x:v>
      </x:c>
      <x:c r="G776" s="2" t="str">
        <x:v>OVER</x:v>
      </x:c>
      <x:c r="H776" s="2" t="n">
        <x:v>3</x:v>
      </x:c>
      <x:c r="I776" s="2" t="str">
        <x:f>IF(B776="","",'Motor_Meciuri'!H61)</x:f>
      </x:c>
      <x:c r="J776" s="2" t="str">
        <x:f>IF(B776="","",'Motor_Meciuri'!I61)</x:f>
      </x:c>
      <x:c r="K776" s="11" t="str">
        <x:f>IF(J776&lt;&gt;"PASS","",'Motor_Meciuri'!BD61)</x:f>
      </x:c>
      <x:c r="L776" s="11" t="str">
        <x:f>IF(J776&lt;&gt;"PASS","",'Motor_Meciuri'!AU61)</x:f>
      </x:c>
      <x:c r="M776" s="10" t="str">
        <x:f>IF(NOT(AND(J776="PASS",'Calibrare_Linii'!U6="VALID")),"",1-'Distributie'!AA61)</x:f>
      </x:c>
      <x:c r="N776" s="10" t="str">
        <x:f>IF(M776="","",MAX(0.01,MIN(0.99,0.5+(M776-0.5)*'Motor_Meciuri'!BG61*'Calibrare_Linii'!D6)))</x:f>
      </x:c>
      <x:c r="O776" s="10" t="str">
        <x:f>IF(M776="","",1-M776)</x:f>
      </x:c>
      <x:c r="P776" s="10" t="str">
        <x:f>IF(OR(NOT(AND(J776="PASS",'Calibrare_Linii'!U6="VALID")),AK776=0),""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*('Istoric_Nativ'!$Q$6:$Q$405&lt;=H776))/AK776)</x:f>
      </x:c>
      <x:c r="Q776" s="10" t="str">
        <x:f>IF(OR(NOT(AND(J776="PASS",'Calibrare_Linii'!U6="VALID")),AL776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M61)+((('Istoric_Nativ'!$E$6:$E$405='Input_Meci'!E61)+('Istoric_Nativ'!$F$6:$F$405='Input_Meci'!E61))&gt;0)*('Istoric_Nativ'!$D$6:$D$405&gt;='Motor_Meciuri'!BN61))&gt;0)*('Istoric_Nativ'!$Q$6:$Q$405&lt;=H776))/AL776)</x:f>
      </x:c>
      <x:c r="R776" s="10" t="str">
        <x:f>IF(OR(NOT(AND(J776="PASS",'Calibrare_Linii'!U6="VALID")),AM776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O61)+((('Istoric_Nativ'!$E$6:$E$405='Input_Meci'!E61)+('Istoric_Nativ'!$F$6:$F$405='Input_Meci'!E61))&gt;0)*('Istoric_Nativ'!$D$6:$D$405&gt;='Motor_Meciuri'!BP61))&gt;0)*('Istoric_Nativ'!$Q$6:$Q$405&lt;=H776))/AM776)</x:f>
      </x:c>
      <x:c r="S776" s="10" t="str">
        <x:f>IF(M776="","",MAX(O776,P776,Q776,R776))</x:f>
      </x:c>
      <x:c r="T776" s="11" t="str">
        <x:f>IF(M776="","",MIN(100,S776*100*'Config_v6'!$B$44+MIN(100,L776/'Config_v6'!$B$13*100)*'Config_v6'!$B$45+(100-'Motor_Meciuri'!BF61)*'Config_v6'!$B$46+'Motor_Meciuri'!BH61*100*'Config_v6'!$B$47))</x:f>
      </x:c>
      <x:c r="U776" s="2" t="str">
        <x:f>IF(T776="","",IF(T776&lt;=20,1,IF(T776&lt;=40,2,IF(T776&lt;=60,3,IF(T776&lt;=80,4,5)))))</x:f>
      </x:c>
      <x:c r="V776" s="2" t="str">
        <x:f>IF(M776="","",MAX(0,'Motor_Meciuri'!BF61-IF(W776="OOS PENDING",'Config_v6'!$B$35,0)-IF(L776&gt;'Config_v6'!$B$12,'Config_v6'!$B$37,IF(L776&gt;'Config_v6'!$B$11,'Config_v6'!$B$36,0))))</x:f>
      </x:c>
      <x:c r="W776" s="2" t="str">
        <x:f>IF(B776="","",IF(I776&lt;&gt;"READY","NOT RELEASED",IF(NOT(AND(J776="PASS",'Calibrare_Linii'!U6="VALID")),"INVALID",IF(NOT(TRUE),"OOS PENDING",IF(S776&lt;=IF(AND('Calibrare_Linii'!S6="VALIDATED",AND('Calibrare_Linii'!H6=C776,ISNUMBER('Calibrare_Linii'!J6),'Calibrare_Linii'!J6&lt;='Input_Meci'!G61)),'Calibrare_Linii'!E6,'Config_v6'!$B$26),"PASS",IF(S776&lt;=IF(AND('Calibrare_Linii'!S6="VALIDATED",AND('Calibrare_Linii'!H6=C776,ISNUMBER('Calibrare_Linii'!J6),'Calibrare_Linii'!J6&lt;='Input_Meci'!G61)),'Calibrare_Linii'!F6,'Config_v6'!$C$26),"PENALTY","WATCH"))))))</x:f>
      </x:c>
      <x:c r="X776" s="2" t="str">
        <x:f>IF(M776="","",IF(AND(AND(J776="PASS",'Calibrare_Linii'!U6="VALID"),'Motor_Meciuri'!K61=12,'Motor_Meciuri'!L61=12,'Motor_Meciuri'!M61="NO",'Motor_Meciuri'!BL61='Motor_Meciuri'!C61,AB776&gt;='Config_v6'!$B$50,AN776&gt;='Config_v6'!$B$51,T776&lt;='Config_v6'!$B$52,L776&lt;='Config_v6'!$B$53,ISNUMBER('Calibrare_Linii'!E6),S776&lt;='Calibrare_Linii'!E6,SUM(AK776:AM776)&gt;0),"CANDIDATE","NO"))</x:f>
      </x:c>
      <x:c r="Y776" s="2" t="str">
        <x:f>IF(B776="","",IF(I776&lt;&gt;"READY","NOT RELEASED",IF(AND(X776="CANDIDATE",V776&gt;='Config_v6'!$B$51,W776="PASS",'Calibrare_Linii'!T6="VALIDATED",AND('Calibrare_Linii'!H6=C776,ISNUMBER('Calibrare_Linii'!J6),'Calibrare_Linii'!J6&lt;='Input_Meci'!G61)),"PASS",IF(X776="CANDIDATE","OOS PENDING","FAIL"))))</x:f>
      </x:c>
      <x:c r="Z776" s="2" t="str">
        <x:f>IF(B776="","",IF(I776&lt;&gt;"READY","",IF(OR(NOT(AND(J776="PASS",'Calibrare_Linii'!U6="VALID")),L776&gt;'Config_v6'!$B$13,W776="WATCH"),5,IF(Y776="PASS",1,MIN(5,MAX('Config_v6'!$B$42,U776)+IF(W776="PENALTY",1,0))))))</x:f>
      </x:c>
      <x:c r="AA776" s="2" t="str">
        <x:f>IF(B776="","",IF(I776&lt;&gt;"READY","NOT RELEASED",IF(Z776=5,"NO BET",IF(OR(AB776&lt;'Config_v6'!$B$16,V776&lt;'Config_v6'!$B$18),"WATCH",IF(Z776=1,"DEFENSIV",IF(Z776=2,"PRUDENT",IF(Z776=3,"MODERAT","RIDICAT")))))))</x:f>
      </x:c>
      <x:c r="AB776" s="10" t="str">
        <x:f>IF(N776="","",MIN(N776,1-S776))</x:f>
      </x:c>
      <x:c r="AC776" s="2" t="str">
        <x:f>IF(AD776&lt;&gt;1,"",COUNTIFS($Z$776:$Z$789,"&lt;"&amp;Z776,$AD$776:$AD$789,1)+COUNTIFS($Z$776:$Z$789,Z776,$AB$776:$AB$789,"&gt;"&amp;AB776,$AD$776:$AD$789,1)+COUNTIFS($Z$776:$Z$789,Z776,$AB$776:$AB$789,AB776,$V$776:$V$789,"&gt;"&amp;V776,$AD$776:$AD$789,1)+COUNTIFS($Z$776:Z776,Z776,$AB$776:AB776,AB776,$V$776:V776,V776,$AD$776:AD776,1))</x:f>
      </x:c>
      <x:c r="AD776" s="2" t="n">
        <x:f>IF(OR(AA776="DEFENSIV",AA776="PRUDENT",AA776="MODERAT",AA776="RIDICAT"),1,0)</x:f>
        <x:v>0</x:v>
      </x:c>
      <x:c r="AE776" s="2" t="str">
        <x:f>IF(AD776&lt;&gt;1,"NO",IF(W776="PASS","YES",IF(W776="OOS PENDING","CONDITIONAL","NO")))</x:f>
        <x:v>NO</x:v>
      </x:c>
      <x:c r="AF776" s="2" t="n">
        <x:f>IF(AND(AD776=1,AC776=1,E776="LIVE"),1,0)</x:f>
        <x:v>0</x:v>
      </x:c>
      <x:c r="AG776" s="2" t="str">
        <x:f>IF(AF776&lt;&gt;1,"",'Dashboard'!P81)</x:f>
      </x:c>
      <x:c r="AH776" s="2" t="str">
        <x:f>IF(B776="","",IF(J776&lt;&gt;"PASS",'Motor_Meciuri'!J61,IF('Calibrare_Linii'!U6&lt;&gt;"VALID","Parametri linie invalizi",IF(L776&gt;'Config_v6'!$B$13,"Dispersie peste limita",IF(W776="WATCH","Failure peste limita",IF(AB776&lt;'Config_v6'!$B$16,"P finala sub prag",IF(V776&lt;'Config_v6'!$B$18,"Confidence sub prag",IF(E776="REPLAY","Exemplu retrospectiv; exclus din Top LIVE",IF(Y776="PASS","DEFENSIV validat",IF(W776="OOS PENDING","Eligibil; calibrare linie in monitorizare","Eligibil"))))))))))</x:f>
      </x:c>
      <x:c r="AI776" s="2" t="str">
        <x:f>IF(B776="","",'Calibrare_Linii'!V6)</x:f>
      </x:c>
      <x:c r="AJ776" s="2" t="str">
        <x:f>IF(B776="","",IF(AND('Calibrare_Linii'!T6="VALIDATED",AND('Calibrare_Linii'!H6=C776,ISNUMBER('Calibrare_Linii'!J6),'Calibrare_Linii'!J6&lt;='Input_Meci'!G61)),"DEFENSIVE VALIDATED",IF(AND('Calibrare_Linii'!S6="VALIDATED",AND('Calibrare_Linii'!H6=C776,ISNUMBER('Calibrare_Linii'!J6),'Calibrare_Linii'!J6&lt;='Input_Meci'!G61)),"TAIL VALIDATED","OOS PENDING")))</x:f>
      </x:c>
      <x:c r="AK776" s="2" t="n">
        <x:f>IF(J776&lt;&gt;"PASS",0,'Motor_Meciuri'!BR61)</x:f>
        <x:v>0</x:v>
      </x:c>
      <x:c r="AL776" s="2" t="n">
        <x:f>IF(J776&lt;&gt;"PASS",0,'Motor_Meciuri'!BS61)</x:f>
        <x:v>0</x:v>
      </x:c>
      <x:c r="AM776" s="2" t="n">
        <x:f>IF(J776&lt;&gt;"PASS",0,'Motor_Meciuri'!BT61)</x:f>
        <x:v>0</x:v>
      </x:c>
      <x:c r="AN776" s="2" t="str">
        <x:f>IF(M776="","",MAX(0,'Motor_Meciuri'!BF61-IF(L776&gt;'Config_v6'!$B$12,'Config_v6'!$B$37,IF(L776&gt;'Config_v6'!$B$11,'Config_v6'!$B$36,0))))</x:f>
      </x:c>
    </x:row>
    <x:row r="777" ht="21" customHeight="1">
      <x:c r="A777" s="2" t="n">
        <x:v>56</x:v>
      </x:c>
      <x:c r="B777" s="2" t="str">
        <x:f>IF('Motor_Meciuri'!A61="","",'Motor_Meciuri'!A61)</x:f>
      </x:c>
      <x:c r="C777" s="2" t="str">
        <x:f>IF(B777="","",'Motor_Meciuri'!B61)</x:f>
      </x:c>
      <x:c r="D777" s="2" t="str">
        <x:f>IF(B777="","",'Motor_Meciuri'!D61)</x:f>
      </x:c>
      <x:c r="E777" s="2" t="str">
        <x:f>IF(B777="","",'Motor_Meciuri'!E61)</x:f>
      </x:c>
      <x:c r="F777" s="2" t="str">
        <x:v>O4,5</x:v>
      </x:c>
      <x:c r="G777" s="2" t="str">
        <x:v>OVER</x:v>
      </x:c>
      <x:c r="H777" s="2" t="n">
        <x:v>4</x:v>
      </x:c>
      <x:c r="I777" s="2" t="str">
        <x:f>IF(B777="","",'Motor_Meciuri'!H61)</x:f>
      </x:c>
      <x:c r="J777" s="2" t="str">
        <x:f>IF(B777="","",'Motor_Meciuri'!I61)</x:f>
      </x:c>
      <x:c r="K777" s="11" t="str">
        <x:f>IF(J777&lt;&gt;"PASS","",'Motor_Meciuri'!BD61)</x:f>
      </x:c>
      <x:c r="L777" s="11" t="str">
        <x:f>IF(J777&lt;&gt;"PASS","",'Motor_Meciuri'!AU61)</x:f>
      </x:c>
      <x:c r="M777" s="10" t="str">
        <x:f>IF(NOT(AND(J777="PASS",'Calibrare_Linii'!U7="VALID")),"",1-'Distributie'!AB61)</x:f>
      </x:c>
      <x:c r="N777" s="10" t="str">
        <x:f>IF(M777="","",MAX(0.01,MIN(0.99,0.5+(M777-0.5)*'Motor_Meciuri'!BG61*'Calibrare_Linii'!D7)))</x:f>
      </x:c>
      <x:c r="O777" s="10" t="str">
        <x:f>IF(M777="","",1-M777)</x:f>
      </x:c>
      <x:c r="P777" s="10" t="str">
        <x:f>IF(OR(NOT(AND(J777="PASS",'Calibrare_Linii'!U7="VALID")),AK777=0),""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*('Istoric_Nativ'!$Q$6:$Q$405&lt;=H777))/AK777)</x:f>
      </x:c>
      <x:c r="Q777" s="10" t="str">
        <x:f>IF(OR(NOT(AND(J777="PASS",'Calibrare_Linii'!U7="VALID")),AL777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M61)+((('Istoric_Nativ'!$E$6:$E$405='Input_Meci'!E61)+('Istoric_Nativ'!$F$6:$F$405='Input_Meci'!E61))&gt;0)*('Istoric_Nativ'!$D$6:$D$405&gt;='Motor_Meciuri'!BN61))&gt;0)*('Istoric_Nativ'!$Q$6:$Q$405&lt;=H777))/AL777)</x:f>
      </x:c>
      <x:c r="R777" s="10" t="str">
        <x:f>IF(OR(NOT(AND(J777="PASS",'Calibrare_Linii'!U7="VALID")),AM777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O61)+((('Istoric_Nativ'!$E$6:$E$405='Input_Meci'!E61)+('Istoric_Nativ'!$F$6:$F$405='Input_Meci'!E61))&gt;0)*('Istoric_Nativ'!$D$6:$D$405&gt;='Motor_Meciuri'!BP61))&gt;0)*('Istoric_Nativ'!$Q$6:$Q$405&lt;=H777))/AM777)</x:f>
      </x:c>
      <x:c r="S777" s="10" t="str">
        <x:f>IF(M777="","",MAX(O777,P777,Q777,R777))</x:f>
      </x:c>
      <x:c r="T777" s="11" t="str">
        <x:f>IF(M777="","",MIN(100,S777*100*'Config_v6'!$B$44+MIN(100,L777/'Config_v6'!$B$13*100)*'Config_v6'!$B$45+(100-'Motor_Meciuri'!BF61)*'Config_v6'!$B$46+'Motor_Meciuri'!BH61*100*'Config_v6'!$B$47))</x:f>
      </x:c>
      <x:c r="U777" s="2" t="str">
        <x:f>IF(T777="","",IF(T777&lt;=20,1,IF(T777&lt;=40,2,IF(T777&lt;=60,3,IF(T777&lt;=80,4,5)))))</x:f>
      </x:c>
      <x:c r="V777" s="2" t="str">
        <x:f>IF(M777="","",MAX(0,'Motor_Meciuri'!BF61-IF(W777="OOS PENDING",'Config_v6'!$B$35,0)-IF(L777&gt;'Config_v6'!$B$12,'Config_v6'!$B$37,IF(L777&gt;'Config_v6'!$B$11,'Config_v6'!$B$36,0))))</x:f>
      </x:c>
      <x:c r="W777" s="2" t="str">
        <x:f>IF(B777="","",IF(I777&lt;&gt;"READY","NOT RELEASED",IF(NOT(AND(J777="PASS",'Calibrare_Linii'!U7="VALID")),"INVALID",IF(NOT(AND('Calibrare_Linii'!S7="VALIDATED",AND('Calibrare_Linii'!H7=C777,ISNUMBER('Calibrare_Linii'!J7),'Calibrare_Linii'!J7&lt;='Input_Meci'!G61))),"OOS PENDING",IF(S777&lt;='Calibrare_Linii'!E7,"PASS",IF(S777&lt;='Calibrare_Linii'!F7,"PENALTY","WATCH"))))))</x:f>
      </x:c>
      <x:c r="X777" s="2" t="str">
        <x:f>IF(M777="","",IF(AND(AND(J777="PASS",'Calibrare_Linii'!U7="VALID"),'Motor_Meciuri'!K61=12,'Motor_Meciuri'!L61=12,'Motor_Meciuri'!M61="NO",'Motor_Meciuri'!BL61='Motor_Meciuri'!C61,AB777&gt;='Config_v6'!$B$50,AN777&gt;='Config_v6'!$B$51,T777&lt;='Config_v6'!$B$52,L777&lt;='Config_v6'!$B$53,ISNUMBER('Calibrare_Linii'!E7),S777&lt;='Calibrare_Linii'!E7,SUM(AK777:AM777)&gt;0),"CANDIDATE","NO"))</x:f>
      </x:c>
      <x:c r="Y777" s="2" t="str">
        <x:f>IF(B777="","",IF(I777&lt;&gt;"READY","NOT RELEASED",IF(AND(X777="CANDIDATE",V777&gt;='Config_v6'!$B$51,W777="PASS",'Calibrare_Linii'!T7="VALIDATED",AND('Calibrare_Linii'!H7=C777,ISNUMBER('Calibrare_Linii'!J7),'Calibrare_Linii'!J7&lt;='Input_Meci'!G61)),"PASS",IF(X777="CANDIDATE","OOS PENDING","FAIL"))))</x:f>
      </x:c>
      <x:c r="Z777" s="2" t="str">
        <x:f>IF(B777="","",IF(I777&lt;&gt;"READY","",IF(OR(NOT(AND(J777="PASS",'Calibrare_Linii'!U7="VALID")),L777&gt;'Config_v6'!$B$13,W777="WATCH"),5,IF(Y777="PASS",1,MIN(5,MAX('Config_v6'!$B$42,U777)+IF(W777="PENALTY",1,0))))))</x:f>
      </x:c>
      <x:c r="AA777" s="2" t="str">
        <x:f>IF(B777="","",IF(I777&lt;&gt;"READY","NOT RELEASED",IF(Z777=5,"NO BET",IF(OR(AB777&lt;'Config_v6'!$B$16,V777&lt;'Config_v6'!$B$18),"WATCH",IF(Z777=1,"DEFENSIV",IF(Z777=2,"PRUDENT",IF(Z777=3,"MODERAT","RIDICAT")))))))</x:f>
      </x:c>
      <x:c r="AB777" s="10" t="str">
        <x:f>IF(N777="","",MIN(N777,1-S777))</x:f>
      </x:c>
      <x:c r="AC777" s="2" t="str">
        <x:f>IF(AD777&lt;&gt;1,"",COUNTIFS($Z$776:$Z$789,"&lt;"&amp;Z777,$AD$776:$AD$789,1)+COUNTIFS($Z$776:$Z$789,Z777,$AB$776:$AB$789,"&gt;"&amp;AB777,$AD$776:$AD$789,1)+COUNTIFS($Z$776:$Z$789,Z777,$AB$776:$AB$789,AB777,$V$776:$V$789,"&gt;"&amp;V777,$AD$776:$AD$789,1)+COUNTIFS($Z$776:Z777,Z777,$AB$776:AB777,AB777,$V$776:V777,V777,$AD$776:AD777,1))</x:f>
      </x:c>
      <x:c r="AD777" s="2" t="n">
        <x:f>IF(OR(AA777="DEFENSIV",AA777="PRUDENT",AA777="MODERAT",AA777="RIDICAT"),1,0)</x:f>
        <x:v>0</x:v>
      </x:c>
      <x:c r="AE777" s="2" t="str">
        <x:f>IF(AD777&lt;&gt;1,"NO",IF(W777="PASS","YES",IF(W777="OOS PENDING","CONDITIONAL","NO")))</x:f>
        <x:v>NO</x:v>
      </x:c>
      <x:c r="AF777" s="2" t="n">
        <x:f>IF(AND(AD777=1,AC777=1,E777="LIVE"),1,0)</x:f>
        <x:v>0</x:v>
      </x:c>
      <x:c r="AG777" s="2" t="str">
        <x:f>IF(AF777&lt;&gt;1,"",'Dashboard'!P81)</x:f>
      </x:c>
      <x:c r="AH777" s="2" t="str">
        <x:f>IF(B777="","",IF(J777&lt;&gt;"PASS",'Motor_Meciuri'!J61,IF('Calibrare_Linii'!U7&lt;&gt;"VALID","Parametri linie invalizi",IF(L777&gt;'Config_v6'!$B$13,"Dispersie peste limita",IF(W777="WATCH","Failure peste limita",IF(AB777&lt;'Config_v6'!$B$16,"P finala sub prag",IF(V777&lt;'Config_v6'!$B$18,"Confidence sub prag",IF(E777="REPLAY","Exemplu retrospectiv; exclus din Top LIVE",IF(Y777="PASS","DEFENSIV validat",IF(W777="OOS PENDING","Eligibil; calibrare linie in monitorizare","Eligibil"))))))))))</x:f>
      </x:c>
      <x:c r="AI777" s="2" t="str">
        <x:f>IF(B777="","",'Calibrare_Linii'!V7)</x:f>
      </x:c>
      <x:c r="AJ777" s="2" t="str">
        <x:f>IF(B777="","",IF(AND('Calibrare_Linii'!T7="VALIDATED",AND('Calibrare_Linii'!H7=C777,ISNUMBER('Calibrare_Linii'!J7),'Calibrare_Linii'!J7&lt;='Input_Meci'!G61)),"DEFENSIVE VALIDATED",IF(AND('Calibrare_Linii'!S7="VALIDATED",AND('Calibrare_Linii'!H7=C777,ISNUMBER('Calibrare_Linii'!J7),'Calibrare_Linii'!J7&lt;='Input_Meci'!G61)),"TAIL VALIDATED","OOS PENDING")))</x:f>
      </x:c>
      <x:c r="AK777" s="2" t="n">
        <x:f>IF(J777&lt;&gt;"PASS",0,'Motor_Meciuri'!BR61)</x:f>
        <x:v>0</x:v>
      </x:c>
      <x:c r="AL777" s="2" t="n">
        <x:f>IF(J777&lt;&gt;"PASS",0,'Motor_Meciuri'!BS61)</x:f>
        <x:v>0</x:v>
      </x:c>
      <x:c r="AM777" s="2" t="n">
        <x:f>IF(J777&lt;&gt;"PASS",0,'Motor_Meciuri'!BT61)</x:f>
        <x:v>0</x:v>
      </x:c>
      <x:c r="AN777" s="2" t="str">
        <x:f>IF(M777="","",MAX(0,'Motor_Meciuri'!BF61-IF(L777&gt;'Config_v6'!$B$12,'Config_v6'!$B$37,IF(L777&gt;'Config_v6'!$B$11,'Config_v6'!$B$36,0))))</x:f>
      </x:c>
    </x:row>
    <x:row r="778" ht="21" customHeight="1">
      <x:c r="A778" s="2" t="n">
        <x:v>56</x:v>
      </x:c>
      <x:c r="B778" s="2" t="str">
        <x:f>IF('Motor_Meciuri'!A61="","",'Motor_Meciuri'!A61)</x:f>
      </x:c>
      <x:c r="C778" s="2" t="str">
        <x:f>IF(B778="","",'Motor_Meciuri'!B61)</x:f>
      </x:c>
      <x:c r="D778" s="2" t="str">
        <x:f>IF(B778="","",'Motor_Meciuri'!D61)</x:f>
      </x:c>
      <x:c r="E778" s="2" t="str">
        <x:f>IF(B778="","",'Motor_Meciuri'!E61)</x:f>
      </x:c>
      <x:c r="F778" s="2" t="str">
        <x:v>O5,5</x:v>
      </x:c>
      <x:c r="G778" s="2" t="str">
        <x:v>OVER</x:v>
      </x:c>
      <x:c r="H778" s="2" t="n">
        <x:v>5</x:v>
      </x:c>
      <x:c r="I778" s="2" t="str">
        <x:f>IF(B778="","",'Motor_Meciuri'!H61)</x:f>
      </x:c>
      <x:c r="J778" s="2" t="str">
        <x:f>IF(B778="","",'Motor_Meciuri'!I61)</x:f>
      </x:c>
      <x:c r="K778" s="11" t="str">
        <x:f>IF(J778&lt;&gt;"PASS","",'Motor_Meciuri'!BD61)</x:f>
      </x:c>
      <x:c r="L778" s="11" t="str">
        <x:f>IF(J778&lt;&gt;"PASS","",'Motor_Meciuri'!AU61)</x:f>
      </x:c>
      <x:c r="M778" s="10" t="str">
        <x:f>IF(NOT(AND(J778="PASS",'Calibrare_Linii'!U8="VALID")),"",1-'Distributie'!AC61)</x:f>
      </x:c>
      <x:c r="N778" s="10" t="str">
        <x:f>IF(M778="","",MAX(0.01,MIN(0.99,0.5+(M778-0.5)*'Motor_Meciuri'!BG61*'Calibrare_Linii'!D8)))</x:f>
      </x:c>
      <x:c r="O778" s="10" t="str">
        <x:f>IF(M778="","",1-M778)</x:f>
      </x:c>
      <x:c r="P778" s="10" t="str">
        <x:f>IF(OR(NOT(AND(J778="PASS",'Calibrare_Linii'!U8="VALID")),AK778=0),""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*('Istoric_Nativ'!$Q$6:$Q$405&lt;=H778))/AK778)</x:f>
      </x:c>
      <x:c r="Q778" s="10" t="str">
        <x:f>IF(OR(NOT(AND(J778="PASS",'Calibrare_Linii'!U8="VALID")),AL778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M61)+((('Istoric_Nativ'!$E$6:$E$405='Input_Meci'!E61)+('Istoric_Nativ'!$F$6:$F$405='Input_Meci'!E61))&gt;0)*('Istoric_Nativ'!$D$6:$D$405&gt;='Motor_Meciuri'!BN61))&gt;0)*('Istoric_Nativ'!$Q$6:$Q$405&lt;=H778))/AL778)</x:f>
      </x:c>
      <x:c r="R778" s="10" t="str">
        <x:f>IF(OR(NOT(AND(J778="PASS",'Calibrare_Linii'!U8="VALID")),AM778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O61)+((('Istoric_Nativ'!$E$6:$E$405='Input_Meci'!E61)+('Istoric_Nativ'!$F$6:$F$405='Input_Meci'!E61))&gt;0)*('Istoric_Nativ'!$D$6:$D$405&gt;='Motor_Meciuri'!BP61))&gt;0)*('Istoric_Nativ'!$Q$6:$Q$405&lt;=H778))/AM778)</x:f>
      </x:c>
      <x:c r="S778" s="10" t="str">
        <x:f>IF(M778="","",MAX(O778,P778,Q778,R778))</x:f>
      </x:c>
      <x:c r="T778" s="11" t="str">
        <x:f>IF(M778="","",MIN(100,S778*100*'Config_v6'!$B$44+MIN(100,L778/'Config_v6'!$B$13*100)*'Config_v6'!$B$45+(100-'Motor_Meciuri'!BF61)*'Config_v6'!$B$46+'Motor_Meciuri'!BH61*100*'Config_v6'!$B$47))</x:f>
      </x:c>
      <x:c r="U778" s="2" t="str">
        <x:f>IF(T778="","",IF(T778&lt;=20,1,IF(T778&lt;=40,2,IF(T778&lt;=60,3,IF(T778&lt;=80,4,5)))))</x:f>
      </x:c>
      <x:c r="V778" s="2" t="str">
        <x:f>IF(M778="","",MAX(0,'Motor_Meciuri'!BF61-IF(W778="OOS PENDING",'Config_v6'!$B$35,0)-IF(L778&gt;'Config_v6'!$B$12,'Config_v6'!$B$37,IF(L778&gt;'Config_v6'!$B$11,'Config_v6'!$B$36,0))))</x:f>
      </x:c>
      <x:c r="W778" s="2" t="str">
        <x:f>IF(B778="","",IF(I778&lt;&gt;"READY","NOT RELEASED",IF(NOT(AND(J778="PASS",'Calibrare_Linii'!U8="VALID")),"INVALID",IF(NOT(AND('Calibrare_Linii'!S8="VALIDATED",AND('Calibrare_Linii'!H8=C778,ISNUMBER('Calibrare_Linii'!J8),'Calibrare_Linii'!J8&lt;='Input_Meci'!G61))),"OOS PENDING",IF(S778&lt;='Calibrare_Linii'!E8,"PASS",IF(S778&lt;='Calibrare_Linii'!F8,"PENALTY","WATCH"))))))</x:f>
      </x:c>
      <x:c r="X778" s="2" t="str">
        <x:f>IF(M778="","",IF(AND(AND(J778="PASS",'Calibrare_Linii'!U8="VALID"),'Motor_Meciuri'!K61=12,'Motor_Meciuri'!L61=12,'Motor_Meciuri'!M61="NO",'Motor_Meciuri'!BL61='Motor_Meciuri'!C61,AB778&gt;='Config_v6'!$B$50,AN778&gt;='Config_v6'!$B$51,T778&lt;='Config_v6'!$B$52,L778&lt;='Config_v6'!$B$53,ISNUMBER('Calibrare_Linii'!E8),S778&lt;='Calibrare_Linii'!E8,SUM(AK778:AM778)&gt;0),"CANDIDATE","NO"))</x:f>
      </x:c>
      <x:c r="Y778" s="2" t="str">
        <x:f>IF(B778="","",IF(I778&lt;&gt;"READY","NOT RELEASED",IF(AND(X778="CANDIDATE",V778&gt;='Config_v6'!$B$51,W778="PASS",'Calibrare_Linii'!T8="VALIDATED",AND('Calibrare_Linii'!H8=C778,ISNUMBER('Calibrare_Linii'!J8),'Calibrare_Linii'!J8&lt;='Input_Meci'!G61)),"PASS",IF(X778="CANDIDATE","OOS PENDING","FAIL"))))</x:f>
      </x:c>
      <x:c r="Z778" s="2" t="str">
        <x:f>IF(B778="","",IF(I778&lt;&gt;"READY","",IF(OR(NOT(AND(J778="PASS",'Calibrare_Linii'!U8="VALID")),L778&gt;'Config_v6'!$B$13,W778="WATCH"),5,IF(Y778="PASS",1,MIN(5,MAX('Config_v6'!$B$42,U778)+IF(W778="PENALTY",1,0))))))</x:f>
      </x:c>
      <x:c r="AA778" s="2" t="str">
        <x:f>IF(B778="","",IF(I778&lt;&gt;"READY","NOT RELEASED",IF(Z778=5,"NO BET",IF(OR(AB778&lt;'Config_v6'!$B$16,V778&lt;'Config_v6'!$B$18),"WATCH",IF(Z778=1,"DEFENSIV",IF(Z778=2,"PRUDENT",IF(Z778=3,"MODERAT","RIDICAT")))))))</x:f>
      </x:c>
      <x:c r="AB778" s="10" t="str">
        <x:f>IF(N778="","",MIN(N778,1-S778))</x:f>
      </x:c>
      <x:c r="AC778" s="2" t="str">
        <x:f>IF(AD778&lt;&gt;1,"",COUNTIFS($Z$776:$Z$789,"&lt;"&amp;Z778,$AD$776:$AD$789,1)+COUNTIFS($Z$776:$Z$789,Z778,$AB$776:$AB$789,"&gt;"&amp;AB778,$AD$776:$AD$789,1)+COUNTIFS($Z$776:$Z$789,Z778,$AB$776:$AB$789,AB778,$V$776:$V$789,"&gt;"&amp;V778,$AD$776:$AD$789,1)+COUNTIFS($Z$776:Z778,Z778,$AB$776:AB778,AB778,$V$776:V778,V778,$AD$776:AD778,1))</x:f>
      </x:c>
      <x:c r="AD778" s="2" t="n">
        <x:f>IF(OR(AA778="DEFENSIV",AA778="PRUDENT",AA778="MODERAT",AA778="RIDICAT"),1,0)</x:f>
        <x:v>0</x:v>
      </x:c>
      <x:c r="AE778" s="2" t="str">
        <x:f>IF(AD778&lt;&gt;1,"NO",IF(W778="PASS","YES",IF(W778="OOS PENDING","CONDITIONAL","NO")))</x:f>
        <x:v>NO</x:v>
      </x:c>
      <x:c r="AF778" s="2" t="n">
        <x:f>IF(AND(AD778=1,AC778=1,E778="LIVE"),1,0)</x:f>
        <x:v>0</x:v>
      </x:c>
      <x:c r="AG778" s="2" t="str">
        <x:f>IF(AF778&lt;&gt;1,"",'Dashboard'!P81)</x:f>
      </x:c>
      <x:c r="AH778" s="2" t="str">
        <x:f>IF(B778="","",IF(J778&lt;&gt;"PASS",'Motor_Meciuri'!J61,IF('Calibrare_Linii'!U8&lt;&gt;"VALID","Parametri linie invalizi",IF(L778&gt;'Config_v6'!$B$13,"Dispersie peste limita",IF(W778="WATCH","Failure peste limita",IF(AB778&lt;'Config_v6'!$B$16,"P finala sub prag",IF(V778&lt;'Config_v6'!$B$18,"Confidence sub prag",IF(E778="REPLAY","Exemplu retrospectiv; exclus din Top LIVE",IF(Y778="PASS","DEFENSIV validat",IF(W778="OOS PENDING","Eligibil; calibrare linie in monitorizare","Eligibil"))))))))))</x:f>
      </x:c>
      <x:c r="AI778" s="2" t="str">
        <x:f>IF(B778="","",'Calibrare_Linii'!V8)</x:f>
      </x:c>
      <x:c r="AJ778" s="2" t="str">
        <x:f>IF(B778="","",IF(AND('Calibrare_Linii'!T8="VALIDATED",AND('Calibrare_Linii'!H8=C778,ISNUMBER('Calibrare_Linii'!J8),'Calibrare_Linii'!J8&lt;='Input_Meci'!G61)),"DEFENSIVE VALIDATED",IF(AND('Calibrare_Linii'!S8="VALIDATED",AND('Calibrare_Linii'!H8=C778,ISNUMBER('Calibrare_Linii'!J8),'Calibrare_Linii'!J8&lt;='Input_Meci'!G61)),"TAIL VALIDATED","OOS PENDING")))</x:f>
      </x:c>
      <x:c r="AK778" s="2" t="n">
        <x:f>IF(J778&lt;&gt;"PASS",0,'Motor_Meciuri'!BR61)</x:f>
        <x:v>0</x:v>
      </x:c>
      <x:c r="AL778" s="2" t="n">
        <x:f>IF(J778&lt;&gt;"PASS",0,'Motor_Meciuri'!BS61)</x:f>
        <x:v>0</x:v>
      </x:c>
      <x:c r="AM778" s="2" t="n">
        <x:f>IF(J778&lt;&gt;"PASS",0,'Motor_Meciuri'!BT61)</x:f>
        <x:v>0</x:v>
      </x:c>
      <x:c r="AN778" s="2" t="str">
        <x:f>IF(M778="","",MAX(0,'Motor_Meciuri'!BF61-IF(L778&gt;'Config_v6'!$B$12,'Config_v6'!$B$37,IF(L778&gt;'Config_v6'!$B$11,'Config_v6'!$B$36,0))))</x:f>
      </x:c>
    </x:row>
    <x:row r="779" ht="21" customHeight="1">
      <x:c r="A779" s="2" t="n">
        <x:v>56</x:v>
      </x:c>
      <x:c r="B779" s="2" t="str">
        <x:f>IF('Motor_Meciuri'!A61="","",'Motor_Meciuri'!A61)</x:f>
      </x:c>
      <x:c r="C779" s="2" t="str">
        <x:f>IF(B779="","",'Motor_Meciuri'!B61)</x:f>
      </x:c>
      <x:c r="D779" s="2" t="str">
        <x:f>IF(B779="","",'Motor_Meciuri'!D61)</x:f>
      </x:c>
      <x:c r="E779" s="2" t="str">
        <x:f>IF(B779="","",'Motor_Meciuri'!E61)</x:f>
      </x:c>
      <x:c r="F779" s="2" t="str">
        <x:v>O6,5</x:v>
      </x:c>
      <x:c r="G779" s="2" t="str">
        <x:v>OVER</x:v>
      </x:c>
      <x:c r="H779" s="2" t="n">
        <x:v>6</x:v>
      </x:c>
      <x:c r="I779" s="2" t="str">
        <x:f>IF(B779="","",'Motor_Meciuri'!H61)</x:f>
      </x:c>
      <x:c r="J779" s="2" t="str">
        <x:f>IF(B779="","",'Motor_Meciuri'!I61)</x:f>
      </x:c>
      <x:c r="K779" s="11" t="str">
        <x:f>IF(J779&lt;&gt;"PASS","",'Motor_Meciuri'!BD61)</x:f>
      </x:c>
      <x:c r="L779" s="11" t="str">
        <x:f>IF(J779&lt;&gt;"PASS","",'Motor_Meciuri'!AU61)</x:f>
      </x:c>
      <x:c r="M779" s="10" t="str">
        <x:f>IF(NOT(AND(J779="PASS",'Calibrare_Linii'!U9="VALID")),"",1-'Distributie'!AD61)</x:f>
      </x:c>
      <x:c r="N779" s="10" t="str">
        <x:f>IF(M779="","",MAX(0.01,MIN(0.99,0.5+(M779-0.5)*'Motor_Meciuri'!BG61*'Calibrare_Linii'!D9)))</x:f>
      </x:c>
      <x:c r="O779" s="10" t="str">
        <x:f>IF(M779="","",1-M779)</x:f>
      </x:c>
      <x:c r="P779" s="10" t="str">
        <x:f>IF(OR(NOT(AND(J779="PASS",'Calibrare_Linii'!U9="VALID")),AK779=0),""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*('Istoric_Nativ'!$Q$6:$Q$405&lt;=H779))/AK779)</x:f>
      </x:c>
      <x:c r="Q779" s="10" t="str">
        <x:f>IF(OR(NOT(AND(J779="PASS",'Calibrare_Linii'!U9="VALID")),AL779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M61)+((('Istoric_Nativ'!$E$6:$E$405='Input_Meci'!E61)+('Istoric_Nativ'!$F$6:$F$405='Input_Meci'!E61))&gt;0)*('Istoric_Nativ'!$D$6:$D$405&gt;='Motor_Meciuri'!BN61))&gt;0)*('Istoric_Nativ'!$Q$6:$Q$405&lt;=H779))/AL779)</x:f>
      </x:c>
      <x:c r="R779" s="10" t="str">
        <x:f>IF(OR(NOT(AND(J779="PASS",'Calibrare_Linii'!U9="VALID")),AM779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O61)+((('Istoric_Nativ'!$E$6:$E$405='Input_Meci'!E61)+('Istoric_Nativ'!$F$6:$F$405='Input_Meci'!E61))&gt;0)*('Istoric_Nativ'!$D$6:$D$405&gt;='Motor_Meciuri'!BP61))&gt;0)*('Istoric_Nativ'!$Q$6:$Q$405&lt;=H779))/AM779)</x:f>
      </x:c>
      <x:c r="S779" s="10" t="str">
        <x:f>IF(M779="","",MAX(O779,P779,Q779,R779))</x:f>
      </x:c>
      <x:c r="T779" s="11" t="str">
        <x:f>IF(M779="","",MIN(100,S779*100*'Config_v6'!$B$44+MIN(100,L779/'Config_v6'!$B$13*100)*'Config_v6'!$B$45+(100-'Motor_Meciuri'!BF61)*'Config_v6'!$B$46+'Motor_Meciuri'!BH61*100*'Config_v6'!$B$47))</x:f>
      </x:c>
      <x:c r="U779" s="2" t="str">
        <x:f>IF(T779="","",IF(T779&lt;=20,1,IF(T779&lt;=40,2,IF(T779&lt;=60,3,IF(T779&lt;=80,4,5)))))</x:f>
      </x:c>
      <x:c r="V779" s="2" t="str">
        <x:f>IF(M779="","",MAX(0,'Motor_Meciuri'!BF61-IF(W779="OOS PENDING",'Config_v6'!$B$35,0)-IF(L779&gt;'Config_v6'!$B$12,'Config_v6'!$B$37,IF(L779&gt;'Config_v6'!$B$11,'Config_v6'!$B$36,0))))</x:f>
      </x:c>
      <x:c r="W779" s="2" t="str">
        <x:f>IF(B779="","",IF(I779&lt;&gt;"READY","NOT RELEASED",IF(NOT(AND(J779="PASS",'Calibrare_Linii'!U9="VALID")),"INVALID",IF(NOT(AND('Calibrare_Linii'!S9="VALIDATED",AND('Calibrare_Linii'!H9=C779,ISNUMBER('Calibrare_Linii'!J9),'Calibrare_Linii'!J9&lt;='Input_Meci'!G61))),"OOS PENDING",IF(S779&lt;='Calibrare_Linii'!E9,"PASS",IF(S779&lt;='Calibrare_Linii'!F9,"PENALTY","WATCH"))))))</x:f>
      </x:c>
      <x:c r="X779" s="2" t="str">
        <x:f>IF(M779="","",IF(AND(AND(J779="PASS",'Calibrare_Linii'!U9="VALID"),'Motor_Meciuri'!K61=12,'Motor_Meciuri'!L61=12,'Motor_Meciuri'!M61="NO",'Motor_Meciuri'!BL61='Motor_Meciuri'!C61,AB779&gt;='Config_v6'!$B$50,AN779&gt;='Config_v6'!$B$51,T779&lt;='Config_v6'!$B$52,L779&lt;='Config_v6'!$B$53,ISNUMBER('Calibrare_Linii'!E9),S779&lt;='Calibrare_Linii'!E9,SUM(AK779:AM779)&gt;0),"CANDIDATE","NO"))</x:f>
      </x:c>
      <x:c r="Y779" s="2" t="str">
        <x:f>IF(B779="","",IF(I779&lt;&gt;"READY","NOT RELEASED",IF(AND(X779="CANDIDATE",V779&gt;='Config_v6'!$B$51,W779="PASS",'Calibrare_Linii'!T9="VALIDATED",AND('Calibrare_Linii'!H9=C779,ISNUMBER('Calibrare_Linii'!J9),'Calibrare_Linii'!J9&lt;='Input_Meci'!G61)),"PASS",IF(X779="CANDIDATE","OOS PENDING","FAIL"))))</x:f>
      </x:c>
      <x:c r="Z779" s="2" t="str">
        <x:f>IF(B779="","",IF(I779&lt;&gt;"READY","",IF(OR(NOT(AND(J779="PASS",'Calibrare_Linii'!U9="VALID")),L779&gt;'Config_v6'!$B$13,W779="WATCH"),5,IF(Y779="PASS",1,MIN(5,MAX('Config_v6'!$B$42,U779)+IF(W779="PENALTY",1,0))))))</x:f>
      </x:c>
      <x:c r="AA779" s="2" t="str">
        <x:f>IF(B779="","",IF(I779&lt;&gt;"READY","NOT RELEASED",IF(Z779=5,"NO BET",IF(OR(AB779&lt;'Config_v6'!$B$16,V779&lt;'Config_v6'!$B$18),"WATCH",IF(Z779=1,"DEFENSIV",IF(Z779=2,"PRUDENT",IF(Z779=3,"MODERAT","RIDICAT")))))))</x:f>
      </x:c>
      <x:c r="AB779" s="10" t="str">
        <x:f>IF(N779="","",MIN(N779,1-S779))</x:f>
      </x:c>
      <x:c r="AC779" s="2" t="str">
        <x:f>IF(AD779&lt;&gt;1,"",COUNTIFS($Z$776:$Z$789,"&lt;"&amp;Z779,$AD$776:$AD$789,1)+COUNTIFS($Z$776:$Z$789,Z779,$AB$776:$AB$789,"&gt;"&amp;AB779,$AD$776:$AD$789,1)+COUNTIFS($Z$776:$Z$789,Z779,$AB$776:$AB$789,AB779,$V$776:$V$789,"&gt;"&amp;V779,$AD$776:$AD$789,1)+COUNTIFS($Z$776:Z779,Z779,$AB$776:AB779,AB779,$V$776:V779,V779,$AD$776:AD779,1))</x:f>
      </x:c>
      <x:c r="AD779" s="2" t="n">
        <x:f>IF(OR(AA779="DEFENSIV",AA779="PRUDENT",AA779="MODERAT",AA779="RIDICAT"),1,0)</x:f>
        <x:v>0</x:v>
      </x:c>
      <x:c r="AE779" s="2" t="str">
        <x:f>IF(AD779&lt;&gt;1,"NO",IF(W779="PASS","YES",IF(W779="OOS PENDING","CONDITIONAL","NO")))</x:f>
        <x:v>NO</x:v>
      </x:c>
      <x:c r="AF779" s="2" t="n">
        <x:f>IF(AND(AD779=1,AC779=1,E779="LIVE"),1,0)</x:f>
        <x:v>0</x:v>
      </x:c>
      <x:c r="AG779" s="2" t="str">
        <x:f>IF(AF779&lt;&gt;1,"",'Dashboard'!P81)</x:f>
      </x:c>
      <x:c r="AH779" s="2" t="str">
        <x:f>IF(B779="","",IF(J779&lt;&gt;"PASS",'Motor_Meciuri'!J61,IF('Calibrare_Linii'!U9&lt;&gt;"VALID","Parametri linie invalizi",IF(L779&gt;'Config_v6'!$B$13,"Dispersie peste limita",IF(W779="WATCH","Failure peste limita",IF(AB779&lt;'Config_v6'!$B$16,"P finala sub prag",IF(V779&lt;'Config_v6'!$B$18,"Confidence sub prag",IF(E779="REPLAY","Exemplu retrospectiv; exclus din Top LIVE",IF(Y779="PASS","DEFENSIV validat",IF(W779="OOS PENDING","Eligibil; calibrare linie in monitorizare","Eligibil"))))))))))</x:f>
      </x:c>
      <x:c r="AI779" s="2" t="str">
        <x:f>IF(B779="","",'Calibrare_Linii'!V9)</x:f>
      </x:c>
      <x:c r="AJ779" s="2" t="str">
        <x:f>IF(B779="","",IF(AND('Calibrare_Linii'!T9="VALIDATED",AND('Calibrare_Linii'!H9=C779,ISNUMBER('Calibrare_Linii'!J9),'Calibrare_Linii'!J9&lt;='Input_Meci'!G61)),"DEFENSIVE VALIDATED",IF(AND('Calibrare_Linii'!S9="VALIDATED",AND('Calibrare_Linii'!H9=C779,ISNUMBER('Calibrare_Linii'!J9),'Calibrare_Linii'!J9&lt;='Input_Meci'!G61)),"TAIL VALIDATED","OOS PENDING")))</x:f>
      </x:c>
      <x:c r="AK779" s="2" t="n">
        <x:f>IF(J779&lt;&gt;"PASS",0,'Motor_Meciuri'!BR61)</x:f>
        <x:v>0</x:v>
      </x:c>
      <x:c r="AL779" s="2" t="n">
        <x:f>IF(J779&lt;&gt;"PASS",0,'Motor_Meciuri'!BS61)</x:f>
        <x:v>0</x:v>
      </x:c>
      <x:c r="AM779" s="2" t="n">
        <x:f>IF(J779&lt;&gt;"PASS",0,'Motor_Meciuri'!BT61)</x:f>
        <x:v>0</x:v>
      </x:c>
      <x:c r="AN779" s="2" t="str">
        <x:f>IF(M779="","",MAX(0,'Motor_Meciuri'!BF61-IF(L779&gt;'Config_v6'!$B$12,'Config_v6'!$B$37,IF(L779&gt;'Config_v6'!$B$11,'Config_v6'!$B$36,0))))</x:f>
      </x:c>
    </x:row>
    <x:row r="780" ht="21" customHeight="1">
      <x:c r="A780" s="2" t="n">
        <x:v>56</x:v>
      </x:c>
      <x:c r="B780" s="2" t="str">
        <x:f>IF('Motor_Meciuri'!A61="","",'Motor_Meciuri'!A61)</x:f>
      </x:c>
      <x:c r="C780" s="2" t="str">
        <x:f>IF(B780="","",'Motor_Meciuri'!B61)</x:f>
      </x:c>
      <x:c r="D780" s="2" t="str">
        <x:f>IF(B780="","",'Motor_Meciuri'!D61)</x:f>
      </x:c>
      <x:c r="E780" s="2" t="str">
        <x:f>IF(B780="","",'Motor_Meciuri'!E61)</x:f>
      </x:c>
      <x:c r="F780" s="2" t="str">
        <x:v>O7,5</x:v>
      </x:c>
      <x:c r="G780" s="2" t="str">
        <x:v>OVER</x:v>
      </x:c>
      <x:c r="H780" s="2" t="n">
        <x:v>7</x:v>
      </x:c>
      <x:c r="I780" s="2" t="str">
        <x:f>IF(B780="","",'Motor_Meciuri'!H61)</x:f>
      </x:c>
      <x:c r="J780" s="2" t="str">
        <x:f>IF(B780="","",'Motor_Meciuri'!I61)</x:f>
      </x:c>
      <x:c r="K780" s="11" t="str">
        <x:f>IF(J780&lt;&gt;"PASS","",'Motor_Meciuri'!BD61)</x:f>
      </x:c>
      <x:c r="L780" s="11" t="str">
        <x:f>IF(J780&lt;&gt;"PASS","",'Motor_Meciuri'!AU61)</x:f>
      </x:c>
      <x:c r="M780" s="10" t="str">
        <x:f>IF(NOT(AND(J780="PASS",'Calibrare_Linii'!U10="VALID")),"",1-'Distributie'!AE61)</x:f>
      </x:c>
      <x:c r="N780" s="10" t="str">
        <x:f>IF(M780="","",MAX(0.01,MIN(0.99,0.5+(M780-0.5)*'Motor_Meciuri'!BG61*'Calibrare_Linii'!D10)))</x:f>
      </x:c>
      <x:c r="O780" s="10" t="str">
        <x:f>IF(M780="","",1-M780)</x:f>
      </x:c>
      <x:c r="P780" s="10" t="str">
        <x:f>IF(OR(NOT(AND(J780="PASS",'Calibrare_Linii'!U10="VALID")),AK780=0),""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*('Istoric_Nativ'!$Q$6:$Q$405&lt;=H780))/AK780)</x:f>
      </x:c>
      <x:c r="Q780" s="10" t="str">
        <x:f>IF(OR(NOT(AND(J780="PASS",'Calibrare_Linii'!U10="VALID")),AL780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M61)+((('Istoric_Nativ'!$E$6:$E$405='Input_Meci'!E61)+('Istoric_Nativ'!$F$6:$F$405='Input_Meci'!E61))&gt;0)*('Istoric_Nativ'!$D$6:$D$405&gt;='Motor_Meciuri'!BN61))&gt;0)*('Istoric_Nativ'!$Q$6:$Q$405&lt;=H780))/AL780)</x:f>
      </x:c>
      <x:c r="R780" s="10" t="str">
        <x:f>IF(OR(NOT(AND(J780="PASS",'Calibrare_Linii'!U10="VALID")),AM780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O61)+((('Istoric_Nativ'!$E$6:$E$405='Input_Meci'!E61)+('Istoric_Nativ'!$F$6:$F$405='Input_Meci'!E61))&gt;0)*('Istoric_Nativ'!$D$6:$D$405&gt;='Motor_Meciuri'!BP61))&gt;0)*('Istoric_Nativ'!$Q$6:$Q$405&lt;=H780))/AM780)</x:f>
      </x:c>
      <x:c r="S780" s="10" t="str">
        <x:f>IF(M780="","",MAX(O780,P780,Q780,R780))</x:f>
      </x:c>
      <x:c r="T780" s="11" t="str">
        <x:f>IF(M780="","",MIN(100,S780*100*'Config_v6'!$B$44+MIN(100,L780/'Config_v6'!$B$13*100)*'Config_v6'!$B$45+(100-'Motor_Meciuri'!BF61)*'Config_v6'!$B$46+'Motor_Meciuri'!BH61*100*'Config_v6'!$B$47))</x:f>
      </x:c>
      <x:c r="U780" s="2" t="str">
        <x:f>IF(T780="","",IF(T780&lt;=20,1,IF(T780&lt;=40,2,IF(T780&lt;=60,3,IF(T780&lt;=80,4,5)))))</x:f>
      </x:c>
      <x:c r="V780" s="2" t="str">
        <x:f>IF(M780="","",MAX(0,'Motor_Meciuri'!BF61-IF(W780="OOS PENDING",'Config_v6'!$B$35,0)-IF(L780&gt;'Config_v6'!$B$12,'Config_v6'!$B$37,IF(L780&gt;'Config_v6'!$B$11,'Config_v6'!$B$36,0))))</x:f>
      </x:c>
      <x:c r="W780" s="2" t="str">
        <x:f>IF(B780="","",IF(I780&lt;&gt;"READY","NOT RELEASED",IF(NOT(AND(J780="PASS",'Calibrare_Linii'!U10="VALID")),"INVALID",IF(NOT(AND('Calibrare_Linii'!S10="VALIDATED",AND('Calibrare_Linii'!H10=C780,ISNUMBER('Calibrare_Linii'!J10),'Calibrare_Linii'!J10&lt;='Input_Meci'!G61))),"OOS PENDING",IF(S780&lt;='Calibrare_Linii'!E10,"PASS",IF(S780&lt;='Calibrare_Linii'!F10,"PENALTY","WATCH"))))))</x:f>
      </x:c>
      <x:c r="X780" s="2" t="str">
        <x:f>IF(M780="","",IF(AND(AND(J780="PASS",'Calibrare_Linii'!U10="VALID"),'Motor_Meciuri'!K61=12,'Motor_Meciuri'!L61=12,'Motor_Meciuri'!M61="NO",'Motor_Meciuri'!BL61='Motor_Meciuri'!C61,AB780&gt;='Config_v6'!$B$50,AN780&gt;='Config_v6'!$B$51,T780&lt;='Config_v6'!$B$52,L780&lt;='Config_v6'!$B$53,ISNUMBER('Calibrare_Linii'!E10),S780&lt;='Calibrare_Linii'!E10,SUM(AK780:AM780)&gt;0),"CANDIDATE","NO"))</x:f>
      </x:c>
      <x:c r="Y780" s="2" t="str">
        <x:f>IF(B780="","",IF(I780&lt;&gt;"READY","NOT RELEASED",IF(AND(X780="CANDIDATE",V780&gt;='Config_v6'!$B$51,W780="PASS",'Calibrare_Linii'!T10="VALIDATED",AND('Calibrare_Linii'!H10=C780,ISNUMBER('Calibrare_Linii'!J10),'Calibrare_Linii'!J10&lt;='Input_Meci'!G61)),"PASS",IF(X780="CANDIDATE","OOS PENDING","FAIL"))))</x:f>
      </x:c>
      <x:c r="Z780" s="2" t="str">
        <x:f>IF(B780="","",IF(I780&lt;&gt;"READY","",IF(OR(NOT(AND(J780="PASS",'Calibrare_Linii'!U10="VALID")),L780&gt;'Config_v6'!$B$13,W780="WATCH"),5,IF(Y780="PASS",1,MIN(5,MAX('Config_v6'!$B$42,U780)+IF(W780="PENALTY",1,0))))))</x:f>
      </x:c>
      <x:c r="AA780" s="2" t="str">
        <x:f>IF(B780="","",IF(I780&lt;&gt;"READY","NOT RELEASED",IF(Z780=5,"NO BET",IF(OR(AB780&lt;'Config_v6'!$B$16,V780&lt;'Config_v6'!$B$18),"WATCH",IF(Z780=1,"DEFENSIV",IF(Z780=2,"PRUDENT",IF(Z780=3,"MODERAT","RIDICAT")))))))</x:f>
      </x:c>
      <x:c r="AB780" s="10" t="str">
        <x:f>IF(N780="","",MIN(N780,1-S780))</x:f>
      </x:c>
      <x:c r="AC780" s="2" t="str">
        <x:f>IF(AD780&lt;&gt;1,"",COUNTIFS($Z$776:$Z$789,"&lt;"&amp;Z780,$AD$776:$AD$789,1)+COUNTIFS($Z$776:$Z$789,Z780,$AB$776:$AB$789,"&gt;"&amp;AB780,$AD$776:$AD$789,1)+COUNTIFS($Z$776:$Z$789,Z780,$AB$776:$AB$789,AB780,$V$776:$V$789,"&gt;"&amp;V780,$AD$776:$AD$789,1)+COUNTIFS($Z$776:Z780,Z780,$AB$776:AB780,AB780,$V$776:V780,V780,$AD$776:AD780,1))</x:f>
      </x:c>
      <x:c r="AD780" s="2" t="n">
        <x:f>IF(OR(AA780="DEFENSIV",AA780="PRUDENT",AA780="MODERAT",AA780="RIDICAT"),1,0)</x:f>
        <x:v>0</x:v>
      </x:c>
      <x:c r="AE780" s="2" t="str">
        <x:f>IF(AD780&lt;&gt;1,"NO",IF(W780="PASS","YES",IF(W780="OOS PENDING","CONDITIONAL","NO")))</x:f>
        <x:v>NO</x:v>
      </x:c>
      <x:c r="AF780" s="2" t="n">
        <x:f>IF(AND(AD780=1,AC780=1,E780="LIVE"),1,0)</x:f>
        <x:v>0</x:v>
      </x:c>
      <x:c r="AG780" s="2" t="str">
        <x:f>IF(AF780&lt;&gt;1,"",'Dashboard'!P81)</x:f>
      </x:c>
      <x:c r="AH780" s="2" t="str">
        <x:f>IF(B780="","",IF(J780&lt;&gt;"PASS",'Motor_Meciuri'!J61,IF('Calibrare_Linii'!U10&lt;&gt;"VALID","Parametri linie invalizi",IF(L780&gt;'Config_v6'!$B$13,"Dispersie peste limita",IF(W780="WATCH","Failure peste limita",IF(AB780&lt;'Config_v6'!$B$16,"P finala sub prag",IF(V780&lt;'Config_v6'!$B$18,"Confidence sub prag",IF(E780="REPLAY","Exemplu retrospectiv; exclus din Top LIVE",IF(Y780="PASS","DEFENSIV validat",IF(W780="OOS PENDING","Eligibil; calibrare linie in monitorizare","Eligibil"))))))))))</x:f>
      </x:c>
      <x:c r="AI780" s="2" t="str">
        <x:f>IF(B780="","",'Calibrare_Linii'!V10)</x:f>
      </x:c>
      <x:c r="AJ780" s="2" t="str">
        <x:f>IF(B780="","",IF(AND('Calibrare_Linii'!T10="VALIDATED",AND('Calibrare_Linii'!H10=C780,ISNUMBER('Calibrare_Linii'!J10),'Calibrare_Linii'!J10&lt;='Input_Meci'!G61)),"DEFENSIVE VALIDATED",IF(AND('Calibrare_Linii'!S10="VALIDATED",AND('Calibrare_Linii'!H10=C780,ISNUMBER('Calibrare_Linii'!J10),'Calibrare_Linii'!J10&lt;='Input_Meci'!G61)),"TAIL VALIDATED","OOS PENDING")))</x:f>
      </x:c>
      <x:c r="AK780" s="2" t="n">
        <x:f>IF(J780&lt;&gt;"PASS",0,'Motor_Meciuri'!BR61)</x:f>
        <x:v>0</x:v>
      </x:c>
      <x:c r="AL780" s="2" t="n">
        <x:f>IF(J780&lt;&gt;"PASS",0,'Motor_Meciuri'!BS61)</x:f>
        <x:v>0</x:v>
      </x:c>
      <x:c r="AM780" s="2" t="n">
        <x:f>IF(J780&lt;&gt;"PASS",0,'Motor_Meciuri'!BT61)</x:f>
        <x:v>0</x:v>
      </x:c>
      <x:c r="AN780" s="2" t="str">
        <x:f>IF(M780="","",MAX(0,'Motor_Meciuri'!BF61-IF(L780&gt;'Config_v6'!$B$12,'Config_v6'!$B$37,IF(L780&gt;'Config_v6'!$B$11,'Config_v6'!$B$36,0))))</x:f>
      </x:c>
    </x:row>
    <x:row r="781" ht="21" customHeight="1">
      <x:c r="A781" s="2" t="n">
        <x:v>56</x:v>
      </x:c>
      <x:c r="B781" s="2" t="str">
        <x:f>IF('Motor_Meciuri'!A61="","",'Motor_Meciuri'!A61)</x:f>
      </x:c>
      <x:c r="C781" s="2" t="str">
        <x:f>IF(B781="","",'Motor_Meciuri'!B61)</x:f>
      </x:c>
      <x:c r="D781" s="2" t="str">
        <x:f>IF(B781="","",'Motor_Meciuri'!D61)</x:f>
      </x:c>
      <x:c r="E781" s="2" t="str">
        <x:f>IF(B781="","",'Motor_Meciuri'!E61)</x:f>
      </x:c>
      <x:c r="F781" s="2" t="str">
        <x:v>O8,5</x:v>
      </x:c>
      <x:c r="G781" s="2" t="str">
        <x:v>OVER</x:v>
      </x:c>
      <x:c r="H781" s="2" t="n">
        <x:v>8</x:v>
      </x:c>
      <x:c r="I781" s="2" t="str">
        <x:f>IF(B781="","",'Motor_Meciuri'!H61)</x:f>
      </x:c>
      <x:c r="J781" s="2" t="str">
        <x:f>IF(B781="","",'Motor_Meciuri'!I61)</x:f>
      </x:c>
      <x:c r="K781" s="11" t="str">
        <x:f>IF(J781&lt;&gt;"PASS","",'Motor_Meciuri'!BD61)</x:f>
      </x:c>
      <x:c r="L781" s="11" t="str">
        <x:f>IF(J781&lt;&gt;"PASS","",'Motor_Meciuri'!AU61)</x:f>
      </x:c>
      <x:c r="M781" s="10" t="str">
        <x:f>IF(NOT(AND(J781="PASS",'Calibrare_Linii'!U11="VALID")),"",1-'Distributie'!AF61)</x:f>
      </x:c>
      <x:c r="N781" s="10" t="str">
        <x:f>IF(M781="","",MAX(0.01,MIN(0.99,0.5+(M781-0.5)*'Motor_Meciuri'!BG61*'Calibrare_Linii'!D11)))</x:f>
      </x:c>
      <x:c r="O781" s="10" t="str">
        <x:f>IF(M781="","",1-M781)</x:f>
      </x:c>
      <x:c r="P781" s="10" t="str">
        <x:f>IF(OR(NOT(AND(J781="PASS",'Calibrare_Linii'!U11="VALID")),AK781=0),""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*('Istoric_Nativ'!$Q$6:$Q$405&lt;=H781))/AK781)</x:f>
      </x:c>
      <x:c r="Q781" s="10" t="str">
        <x:f>IF(OR(NOT(AND(J781="PASS",'Calibrare_Linii'!U11="VALID")),AL781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M61)+((('Istoric_Nativ'!$E$6:$E$405='Input_Meci'!E61)+('Istoric_Nativ'!$F$6:$F$405='Input_Meci'!E61))&gt;0)*('Istoric_Nativ'!$D$6:$D$405&gt;='Motor_Meciuri'!BN61))&gt;0)*('Istoric_Nativ'!$Q$6:$Q$405&lt;=H781))/AL781)</x:f>
      </x:c>
      <x:c r="R781" s="10" t="str">
        <x:f>IF(OR(NOT(AND(J781="PASS",'Calibrare_Linii'!U11="VALID")),AM781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O61)+((('Istoric_Nativ'!$E$6:$E$405='Input_Meci'!E61)+('Istoric_Nativ'!$F$6:$F$405='Input_Meci'!E61))&gt;0)*('Istoric_Nativ'!$D$6:$D$405&gt;='Motor_Meciuri'!BP61))&gt;0)*('Istoric_Nativ'!$Q$6:$Q$405&lt;=H781))/AM781)</x:f>
      </x:c>
      <x:c r="S781" s="10" t="str">
        <x:f>IF(M781="","",MAX(O781,P781,Q781,R781))</x:f>
      </x:c>
      <x:c r="T781" s="11" t="str">
        <x:f>IF(M781="","",MIN(100,S781*100*'Config_v6'!$B$44+MIN(100,L781/'Config_v6'!$B$13*100)*'Config_v6'!$B$45+(100-'Motor_Meciuri'!BF61)*'Config_v6'!$B$46+'Motor_Meciuri'!BH61*100*'Config_v6'!$B$47))</x:f>
      </x:c>
      <x:c r="U781" s="2" t="str">
        <x:f>IF(T781="","",IF(T781&lt;=20,1,IF(T781&lt;=40,2,IF(T781&lt;=60,3,IF(T781&lt;=80,4,5)))))</x:f>
      </x:c>
      <x:c r="V781" s="2" t="str">
        <x:f>IF(M781="","",MAX(0,'Motor_Meciuri'!BF61-IF(W781="OOS PENDING",'Config_v6'!$B$35,0)-IF(L781&gt;'Config_v6'!$B$12,'Config_v6'!$B$37,IF(L781&gt;'Config_v6'!$B$11,'Config_v6'!$B$36,0))))</x:f>
      </x:c>
      <x:c r="W781" s="2" t="str">
        <x:f>IF(B781="","",IF(I781&lt;&gt;"READY","NOT RELEASED",IF(NOT(AND(J781="PASS",'Calibrare_Linii'!U11="VALID")),"INVALID",IF(NOT(AND('Calibrare_Linii'!S11="VALIDATED",AND('Calibrare_Linii'!H11=C781,ISNUMBER('Calibrare_Linii'!J11),'Calibrare_Linii'!J11&lt;='Input_Meci'!G61))),"OOS PENDING",IF(S781&lt;='Calibrare_Linii'!E11,"PASS",IF(S781&lt;='Calibrare_Linii'!F11,"PENALTY","WATCH"))))))</x:f>
      </x:c>
      <x:c r="X781" s="2" t="str">
        <x:f>IF(M781="","",IF(AND(AND(J781="PASS",'Calibrare_Linii'!U11="VALID"),'Motor_Meciuri'!K61=12,'Motor_Meciuri'!L61=12,'Motor_Meciuri'!M61="NO",'Motor_Meciuri'!BL61='Motor_Meciuri'!C61,AB781&gt;='Config_v6'!$B$50,AN781&gt;='Config_v6'!$B$51,T781&lt;='Config_v6'!$B$52,L781&lt;='Config_v6'!$B$53,ISNUMBER('Calibrare_Linii'!E11),S781&lt;='Calibrare_Linii'!E11,SUM(AK781:AM781)&gt;0),"CANDIDATE","NO"))</x:f>
      </x:c>
      <x:c r="Y781" s="2" t="str">
        <x:f>IF(B781="","",IF(I781&lt;&gt;"READY","NOT RELEASED",IF(AND(X781="CANDIDATE",V781&gt;='Config_v6'!$B$51,W781="PASS",'Calibrare_Linii'!T11="VALIDATED",AND('Calibrare_Linii'!H11=C781,ISNUMBER('Calibrare_Linii'!J11),'Calibrare_Linii'!J11&lt;='Input_Meci'!G61)),"PASS",IF(X781="CANDIDATE","OOS PENDING","FAIL"))))</x:f>
      </x:c>
      <x:c r="Z781" s="2" t="str">
        <x:f>IF(B781="","",IF(I781&lt;&gt;"READY","",IF(OR(NOT(AND(J781="PASS",'Calibrare_Linii'!U11="VALID")),L781&gt;'Config_v6'!$B$13,W781="WATCH"),5,IF(Y781="PASS",1,MIN(5,MAX('Config_v6'!$B$42,U781)+IF(W781="PENALTY",1,0))))))</x:f>
      </x:c>
      <x:c r="AA781" s="2" t="str">
        <x:f>IF(B781="","",IF(I781&lt;&gt;"READY","NOT RELEASED",IF(Z781=5,"NO BET",IF(OR(AB781&lt;'Config_v6'!$B$16,V781&lt;'Config_v6'!$B$18),"WATCH",IF(Z781=1,"DEFENSIV",IF(Z781=2,"PRUDENT",IF(Z781=3,"MODERAT","RIDICAT")))))))</x:f>
      </x:c>
      <x:c r="AB781" s="10" t="str">
        <x:f>IF(N781="","",MIN(N781,1-S781))</x:f>
      </x:c>
      <x:c r="AC781" s="2" t="str">
        <x:f>IF(AD781&lt;&gt;1,"",COUNTIFS($Z$776:$Z$789,"&lt;"&amp;Z781,$AD$776:$AD$789,1)+COUNTIFS($Z$776:$Z$789,Z781,$AB$776:$AB$789,"&gt;"&amp;AB781,$AD$776:$AD$789,1)+COUNTIFS($Z$776:$Z$789,Z781,$AB$776:$AB$789,AB781,$V$776:$V$789,"&gt;"&amp;V781,$AD$776:$AD$789,1)+COUNTIFS($Z$776:Z781,Z781,$AB$776:AB781,AB781,$V$776:V781,V781,$AD$776:AD781,1))</x:f>
      </x:c>
      <x:c r="AD781" s="2" t="n">
        <x:f>IF(OR(AA781="DEFENSIV",AA781="PRUDENT",AA781="MODERAT",AA781="RIDICAT"),1,0)</x:f>
        <x:v>0</x:v>
      </x:c>
      <x:c r="AE781" s="2" t="str">
        <x:f>IF(AD781&lt;&gt;1,"NO",IF(W781="PASS","YES",IF(W781="OOS PENDING","CONDITIONAL","NO")))</x:f>
        <x:v>NO</x:v>
      </x:c>
      <x:c r="AF781" s="2" t="n">
        <x:f>IF(AND(AD781=1,AC781=1,E781="LIVE"),1,0)</x:f>
        <x:v>0</x:v>
      </x:c>
      <x:c r="AG781" s="2" t="str">
        <x:f>IF(AF781&lt;&gt;1,"",'Dashboard'!P81)</x:f>
      </x:c>
      <x:c r="AH781" s="2" t="str">
        <x:f>IF(B781="","",IF(J781&lt;&gt;"PASS",'Motor_Meciuri'!J61,IF('Calibrare_Linii'!U11&lt;&gt;"VALID","Parametri linie invalizi",IF(L781&gt;'Config_v6'!$B$13,"Dispersie peste limita",IF(W781="WATCH","Failure peste limita",IF(AB781&lt;'Config_v6'!$B$16,"P finala sub prag",IF(V781&lt;'Config_v6'!$B$18,"Confidence sub prag",IF(E781="REPLAY","Exemplu retrospectiv; exclus din Top LIVE",IF(Y781="PASS","DEFENSIV validat",IF(W781="OOS PENDING","Eligibil; calibrare linie in monitorizare","Eligibil"))))))))))</x:f>
      </x:c>
      <x:c r="AI781" s="2" t="str">
        <x:f>IF(B781="","",'Calibrare_Linii'!V11)</x:f>
      </x:c>
      <x:c r="AJ781" s="2" t="str">
        <x:f>IF(B781="","",IF(AND('Calibrare_Linii'!T11="VALIDATED",AND('Calibrare_Linii'!H11=C781,ISNUMBER('Calibrare_Linii'!J11),'Calibrare_Linii'!J11&lt;='Input_Meci'!G61)),"DEFENSIVE VALIDATED",IF(AND('Calibrare_Linii'!S11="VALIDATED",AND('Calibrare_Linii'!H11=C781,ISNUMBER('Calibrare_Linii'!J11),'Calibrare_Linii'!J11&lt;='Input_Meci'!G61)),"TAIL VALIDATED","OOS PENDING")))</x:f>
      </x:c>
      <x:c r="AK781" s="2" t="n">
        <x:f>IF(J781&lt;&gt;"PASS",0,'Motor_Meciuri'!BR61)</x:f>
        <x:v>0</x:v>
      </x:c>
      <x:c r="AL781" s="2" t="n">
        <x:f>IF(J781&lt;&gt;"PASS",0,'Motor_Meciuri'!BS61)</x:f>
        <x:v>0</x:v>
      </x:c>
      <x:c r="AM781" s="2" t="n">
        <x:f>IF(J781&lt;&gt;"PASS",0,'Motor_Meciuri'!BT61)</x:f>
        <x:v>0</x:v>
      </x:c>
      <x:c r="AN781" s="2" t="str">
        <x:f>IF(M781="","",MAX(0,'Motor_Meciuri'!BF61-IF(L781&gt;'Config_v6'!$B$12,'Config_v6'!$B$37,IF(L781&gt;'Config_v6'!$B$11,'Config_v6'!$B$36,0))))</x:f>
      </x:c>
    </x:row>
    <x:row r="782" ht="21" customHeight="1">
      <x:c r="A782" s="2" t="n">
        <x:v>56</x:v>
      </x:c>
      <x:c r="B782" s="2" t="str">
        <x:f>IF('Motor_Meciuri'!A61="","",'Motor_Meciuri'!A61)</x:f>
      </x:c>
      <x:c r="C782" s="2" t="str">
        <x:f>IF(B782="","",'Motor_Meciuri'!B61)</x:f>
      </x:c>
      <x:c r="D782" s="2" t="str">
        <x:f>IF(B782="","",'Motor_Meciuri'!D61)</x:f>
      </x:c>
      <x:c r="E782" s="2" t="str">
        <x:f>IF(B782="","",'Motor_Meciuri'!E61)</x:f>
      </x:c>
      <x:c r="F782" s="2" t="str">
        <x:v>U10,5</x:v>
      </x:c>
      <x:c r="G782" s="2" t="str">
        <x:v>UNDER</x:v>
      </x:c>
      <x:c r="H782" s="2" t="n">
        <x:v>10</x:v>
      </x:c>
      <x:c r="I782" s="2" t="str">
        <x:f>IF(B782="","",'Motor_Meciuri'!H61)</x:f>
      </x:c>
      <x:c r="J782" s="2" t="str">
        <x:f>IF(B782="","",'Motor_Meciuri'!I61)</x:f>
      </x:c>
      <x:c r="K782" s="11" t="str">
        <x:f>IF(J782&lt;&gt;"PASS","",'Motor_Meciuri'!BD61)</x:f>
      </x:c>
      <x:c r="L782" s="11" t="str">
        <x:f>IF(J782&lt;&gt;"PASS","",'Motor_Meciuri'!AU61)</x:f>
      </x:c>
      <x:c r="M782" s="10" t="str">
        <x:f>IF(NOT(AND(J782="PASS",'Calibrare_Linii'!U12="VALID")),"",'Distributie'!AH61)</x:f>
      </x:c>
      <x:c r="N782" s="10" t="str">
        <x:f>IF(M782="","",MAX(0.01,MIN(0.99,0.5+(M782-0.5)*'Motor_Meciuri'!BG61*'Calibrare_Linii'!D12)))</x:f>
      </x:c>
      <x:c r="O782" s="10" t="str">
        <x:f>IF(M782="","",1-M782)</x:f>
      </x:c>
      <x:c r="P782" s="10" t="str">
        <x:f>IF(OR(NOT(AND(J782="PASS",'Calibrare_Linii'!U12="VALID")),AK782=0),""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*('Istoric_Nativ'!$Q$6:$Q$405&gt;H782))/AK782)</x:f>
      </x:c>
      <x:c r="Q782" s="10" t="str">
        <x:f>IF(OR(NOT(AND(J782="PASS",'Calibrare_Linii'!U12="VALID")),AL782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M61)+((('Istoric_Nativ'!$E$6:$E$405='Input_Meci'!E61)+('Istoric_Nativ'!$F$6:$F$405='Input_Meci'!E61))&gt;0)*('Istoric_Nativ'!$D$6:$D$405&gt;='Motor_Meciuri'!BN61))&gt;0)*('Istoric_Nativ'!$Q$6:$Q$405&gt;H782))/AL782)</x:f>
      </x:c>
      <x:c r="R782" s="10" t="str">
        <x:f>IF(OR(NOT(AND(J782="PASS",'Calibrare_Linii'!U12="VALID")),AM782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O61)+((('Istoric_Nativ'!$E$6:$E$405='Input_Meci'!E61)+('Istoric_Nativ'!$F$6:$F$405='Input_Meci'!E61))&gt;0)*('Istoric_Nativ'!$D$6:$D$405&gt;='Motor_Meciuri'!BP61))&gt;0)*('Istoric_Nativ'!$Q$6:$Q$405&gt;H782))/AM782)</x:f>
      </x:c>
      <x:c r="S782" s="10" t="str">
        <x:f>IF(M782="","",MAX(O782,P782,Q782,R782))</x:f>
      </x:c>
      <x:c r="T782" s="11" t="str">
        <x:f>IF(M782="","",MIN(100,S782*100*'Config_v6'!$B$44+MIN(100,L782/'Config_v6'!$B$13*100)*'Config_v6'!$B$45+(100-'Motor_Meciuri'!BF61)*'Config_v6'!$B$46+'Motor_Meciuri'!BH61*100*'Config_v6'!$B$47))</x:f>
      </x:c>
      <x:c r="U782" s="2" t="str">
        <x:f>IF(T782="","",IF(T782&lt;=20,1,IF(T782&lt;=40,2,IF(T782&lt;=60,3,IF(T782&lt;=80,4,5)))))</x:f>
      </x:c>
      <x:c r="V782" s="2" t="str">
        <x:f>IF(M782="","",MAX(0,'Motor_Meciuri'!BF61-IF(W782="OOS PENDING",'Config_v6'!$B$35,0)-IF(L782&gt;'Config_v6'!$B$12,'Config_v6'!$B$37,IF(L782&gt;'Config_v6'!$B$11,'Config_v6'!$B$36,0))))</x:f>
      </x:c>
      <x:c r="W782" s="2" t="str">
        <x:f>IF(B782="","",IF(I782&lt;&gt;"READY","NOT RELEASED",IF(NOT(AND(J782="PASS",'Calibrare_Linii'!U12="VALID")),"INVALID",IF(NOT(AND('Calibrare_Linii'!S12="VALIDATED",AND('Calibrare_Linii'!H12=C782,ISNUMBER('Calibrare_Linii'!J12),'Calibrare_Linii'!J12&lt;='Input_Meci'!G61))),"OOS PENDING",IF(S782&lt;='Calibrare_Linii'!E12,"PASS",IF(S782&lt;='Calibrare_Linii'!F12,"PENALTY","WATCH"))))))</x:f>
      </x:c>
      <x:c r="X782" s="2" t="str">
        <x:f>IF(M782="","",IF(AND(AND(J782="PASS",'Calibrare_Linii'!U12="VALID"),'Motor_Meciuri'!K61=12,'Motor_Meciuri'!L61=12,'Motor_Meciuri'!M61="NO",'Motor_Meciuri'!BL61='Motor_Meciuri'!C61,AB782&gt;='Config_v6'!$B$50,AN782&gt;='Config_v6'!$B$51,T782&lt;='Config_v6'!$B$52,L782&lt;='Config_v6'!$B$53,ISNUMBER('Calibrare_Linii'!E12),S782&lt;='Calibrare_Linii'!E12,SUM(AK782:AM782)&gt;0),"CANDIDATE","NO"))</x:f>
      </x:c>
      <x:c r="Y782" s="2" t="str">
        <x:f>IF(B782="","",IF(I782&lt;&gt;"READY","NOT RELEASED",IF(AND(X782="CANDIDATE",V782&gt;='Config_v6'!$B$51,W782="PASS",'Calibrare_Linii'!T12="VALIDATED",AND('Calibrare_Linii'!H12=C782,ISNUMBER('Calibrare_Linii'!J12),'Calibrare_Linii'!J12&lt;='Input_Meci'!G61)),"PASS",IF(X782="CANDIDATE","OOS PENDING","FAIL"))))</x:f>
      </x:c>
      <x:c r="Z782" s="2" t="str">
        <x:f>IF(B782="","",IF(I782&lt;&gt;"READY","",IF(OR(NOT(AND(J782="PASS",'Calibrare_Linii'!U12="VALID")),L782&gt;'Config_v6'!$B$13,W782="WATCH"),5,IF(Y782="PASS",1,MIN(5,MAX('Config_v6'!$B$42,U782)+IF(W782="PENALTY",1,0))))))</x:f>
      </x:c>
      <x:c r="AA782" s="2" t="str">
        <x:f>IF(B782="","",IF(I782&lt;&gt;"READY","NOT RELEASED",IF(Z782=5,"NO BET",IF(OR(AB782&lt;'Config_v6'!$B$16,V782&lt;'Config_v6'!$B$18),"WATCH",IF(Z782=1,"DEFENSIV",IF(Z782=2,"PRUDENT",IF(Z782=3,"MODERAT","RIDICAT")))))))</x:f>
      </x:c>
      <x:c r="AB782" s="10" t="str">
        <x:f>IF(N782="","",MIN(N782,1-S782))</x:f>
      </x:c>
      <x:c r="AC782" s="2" t="str">
        <x:f>IF(AD782&lt;&gt;1,"",COUNTIFS($Z$776:$Z$789,"&lt;"&amp;Z782,$AD$776:$AD$789,1)+COUNTIFS($Z$776:$Z$789,Z782,$AB$776:$AB$789,"&gt;"&amp;AB782,$AD$776:$AD$789,1)+COUNTIFS($Z$776:$Z$789,Z782,$AB$776:$AB$789,AB782,$V$776:$V$789,"&gt;"&amp;V782,$AD$776:$AD$789,1)+COUNTIFS($Z$776:Z782,Z782,$AB$776:AB782,AB782,$V$776:V782,V782,$AD$776:AD782,1))</x:f>
      </x:c>
      <x:c r="AD782" s="2" t="n">
        <x:f>IF(OR(AA782="DEFENSIV",AA782="PRUDENT",AA782="MODERAT",AA782="RIDICAT"),1,0)</x:f>
        <x:v>0</x:v>
      </x:c>
      <x:c r="AE782" s="2" t="str">
        <x:f>IF(AD782&lt;&gt;1,"NO",IF(W782="PASS","YES",IF(W782="OOS PENDING","CONDITIONAL","NO")))</x:f>
        <x:v>NO</x:v>
      </x:c>
      <x:c r="AF782" s="2" t="n">
        <x:f>IF(AND(AD782=1,AC782=1,E782="LIVE"),1,0)</x:f>
        <x:v>0</x:v>
      </x:c>
      <x:c r="AG782" s="2" t="str">
        <x:f>IF(AF782&lt;&gt;1,"",'Dashboard'!P81)</x:f>
      </x:c>
      <x:c r="AH782" s="2" t="str">
        <x:f>IF(B782="","",IF(J782&lt;&gt;"PASS",'Motor_Meciuri'!J61,IF('Calibrare_Linii'!U12&lt;&gt;"VALID","Parametri linie invalizi",IF(L782&gt;'Config_v6'!$B$13,"Dispersie peste limita",IF(W782="WATCH","Failure peste limita",IF(AB782&lt;'Config_v6'!$B$16,"P finala sub prag",IF(V782&lt;'Config_v6'!$B$18,"Confidence sub prag",IF(E782="REPLAY","Exemplu retrospectiv; exclus din Top LIVE",IF(Y782="PASS","DEFENSIV validat",IF(W782="OOS PENDING","Eligibil; calibrare linie in monitorizare","Eligibil"))))))))))</x:f>
      </x:c>
      <x:c r="AI782" s="2" t="str">
        <x:f>IF(B782="","",'Calibrare_Linii'!V12)</x:f>
      </x:c>
      <x:c r="AJ782" s="2" t="str">
        <x:f>IF(B782="","",IF(AND('Calibrare_Linii'!T12="VALIDATED",AND('Calibrare_Linii'!H12=C782,ISNUMBER('Calibrare_Linii'!J12),'Calibrare_Linii'!J12&lt;='Input_Meci'!G61)),"DEFENSIVE VALIDATED",IF(AND('Calibrare_Linii'!S12="VALIDATED",AND('Calibrare_Linii'!H12=C782,ISNUMBER('Calibrare_Linii'!J12),'Calibrare_Linii'!J12&lt;='Input_Meci'!G61)),"TAIL VALIDATED","OOS PENDING")))</x:f>
      </x:c>
      <x:c r="AK782" s="2" t="n">
        <x:f>IF(J782&lt;&gt;"PASS",0,'Motor_Meciuri'!BR61)</x:f>
        <x:v>0</x:v>
      </x:c>
      <x:c r="AL782" s="2" t="n">
        <x:f>IF(J782&lt;&gt;"PASS",0,'Motor_Meciuri'!BS61)</x:f>
        <x:v>0</x:v>
      </x:c>
      <x:c r="AM782" s="2" t="n">
        <x:f>IF(J782&lt;&gt;"PASS",0,'Motor_Meciuri'!BT61)</x:f>
        <x:v>0</x:v>
      </x:c>
      <x:c r="AN782" s="2" t="str">
        <x:f>IF(M782="","",MAX(0,'Motor_Meciuri'!BF61-IF(L782&gt;'Config_v6'!$B$12,'Config_v6'!$B$37,IF(L782&gt;'Config_v6'!$B$11,'Config_v6'!$B$36,0))))</x:f>
      </x:c>
    </x:row>
    <x:row r="783" ht="21" customHeight="1">
      <x:c r="A783" s="2" t="n">
        <x:v>56</x:v>
      </x:c>
      <x:c r="B783" s="2" t="str">
        <x:f>IF('Motor_Meciuri'!A61="","",'Motor_Meciuri'!A61)</x:f>
      </x:c>
      <x:c r="C783" s="2" t="str">
        <x:f>IF(B783="","",'Motor_Meciuri'!B61)</x:f>
      </x:c>
      <x:c r="D783" s="2" t="str">
        <x:f>IF(B783="","",'Motor_Meciuri'!D61)</x:f>
      </x:c>
      <x:c r="E783" s="2" t="str">
        <x:f>IF(B783="","",'Motor_Meciuri'!E61)</x:f>
      </x:c>
      <x:c r="F783" s="2" t="str">
        <x:v>U11,5</x:v>
      </x:c>
      <x:c r="G783" s="2" t="str">
        <x:v>UNDER</x:v>
      </x:c>
      <x:c r="H783" s="2" t="n">
        <x:v>11</x:v>
      </x:c>
      <x:c r="I783" s="2" t="str">
        <x:f>IF(B783="","",'Motor_Meciuri'!H61)</x:f>
      </x:c>
      <x:c r="J783" s="2" t="str">
        <x:f>IF(B783="","",'Motor_Meciuri'!I61)</x:f>
      </x:c>
      <x:c r="K783" s="11" t="str">
        <x:f>IF(J783&lt;&gt;"PASS","",'Motor_Meciuri'!BD61)</x:f>
      </x:c>
      <x:c r="L783" s="11" t="str">
        <x:f>IF(J783&lt;&gt;"PASS","",'Motor_Meciuri'!AU61)</x:f>
      </x:c>
      <x:c r="M783" s="10" t="str">
        <x:f>IF(NOT(AND(J783="PASS",'Calibrare_Linii'!U13="VALID")),"",'Distributie'!AI61)</x:f>
      </x:c>
      <x:c r="N783" s="10" t="str">
        <x:f>IF(M783="","",MAX(0.01,MIN(0.99,0.5+(M783-0.5)*'Motor_Meciuri'!BG61*'Calibrare_Linii'!D13)))</x:f>
      </x:c>
      <x:c r="O783" s="10" t="str">
        <x:f>IF(M783="","",1-M783)</x:f>
      </x:c>
      <x:c r="P783" s="10" t="str">
        <x:f>IF(OR(NOT(AND(J783="PASS",'Calibrare_Linii'!U13="VALID")),AK783=0),""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*('Istoric_Nativ'!$Q$6:$Q$405&gt;H783))/AK783)</x:f>
      </x:c>
      <x:c r="Q783" s="10" t="str">
        <x:f>IF(OR(NOT(AND(J783="PASS",'Calibrare_Linii'!U13="VALID")),AL783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M61)+((('Istoric_Nativ'!$E$6:$E$405='Input_Meci'!E61)+('Istoric_Nativ'!$F$6:$F$405='Input_Meci'!E61))&gt;0)*('Istoric_Nativ'!$D$6:$D$405&gt;='Motor_Meciuri'!BN61))&gt;0)*('Istoric_Nativ'!$Q$6:$Q$405&gt;H783))/AL783)</x:f>
      </x:c>
      <x:c r="R783" s="10" t="str">
        <x:f>IF(OR(NOT(AND(J783="PASS",'Calibrare_Linii'!U13="VALID")),AM783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O61)+((('Istoric_Nativ'!$E$6:$E$405='Input_Meci'!E61)+('Istoric_Nativ'!$F$6:$F$405='Input_Meci'!E61))&gt;0)*('Istoric_Nativ'!$D$6:$D$405&gt;='Motor_Meciuri'!BP61))&gt;0)*('Istoric_Nativ'!$Q$6:$Q$405&gt;H783))/AM783)</x:f>
      </x:c>
      <x:c r="S783" s="10" t="str">
        <x:f>IF(M783="","",MAX(O783,P783,Q783,R783))</x:f>
      </x:c>
      <x:c r="T783" s="11" t="str">
        <x:f>IF(M783="","",MIN(100,S783*100*'Config_v6'!$B$44+MIN(100,L783/'Config_v6'!$B$13*100)*'Config_v6'!$B$45+(100-'Motor_Meciuri'!BF61)*'Config_v6'!$B$46+'Motor_Meciuri'!BH61*100*'Config_v6'!$B$47))</x:f>
      </x:c>
      <x:c r="U783" s="2" t="str">
        <x:f>IF(T783="","",IF(T783&lt;=20,1,IF(T783&lt;=40,2,IF(T783&lt;=60,3,IF(T783&lt;=80,4,5)))))</x:f>
      </x:c>
      <x:c r="V783" s="2" t="str">
        <x:f>IF(M783="","",MAX(0,'Motor_Meciuri'!BF61-IF(W783="OOS PENDING",'Config_v6'!$B$35,0)-IF(L783&gt;'Config_v6'!$B$12,'Config_v6'!$B$37,IF(L783&gt;'Config_v6'!$B$11,'Config_v6'!$B$36,0))))</x:f>
      </x:c>
      <x:c r="W783" s="2" t="str">
        <x:f>IF(B783="","",IF(I783&lt;&gt;"READY","NOT RELEASED",IF(NOT(AND(J783="PASS",'Calibrare_Linii'!U13="VALID")),"INVALID",IF(NOT(AND('Calibrare_Linii'!S13="VALIDATED",AND('Calibrare_Linii'!H13=C783,ISNUMBER('Calibrare_Linii'!J13),'Calibrare_Linii'!J13&lt;='Input_Meci'!G61))),"OOS PENDING",IF(S783&lt;='Calibrare_Linii'!E13,"PASS",IF(S783&lt;='Calibrare_Linii'!F13,"PENALTY","WATCH"))))))</x:f>
      </x:c>
      <x:c r="X783" s="2" t="str">
        <x:f>IF(M783="","",IF(AND(AND(J783="PASS",'Calibrare_Linii'!U13="VALID"),'Motor_Meciuri'!K61=12,'Motor_Meciuri'!L61=12,'Motor_Meciuri'!M61="NO",'Motor_Meciuri'!BL61='Motor_Meciuri'!C61,AB783&gt;='Config_v6'!$B$50,AN783&gt;='Config_v6'!$B$51,T783&lt;='Config_v6'!$B$52,L783&lt;='Config_v6'!$B$53,ISNUMBER('Calibrare_Linii'!E13),S783&lt;='Calibrare_Linii'!E13,SUM(AK783:AM783)&gt;0),"CANDIDATE","NO"))</x:f>
      </x:c>
      <x:c r="Y783" s="2" t="str">
        <x:f>IF(B783="","",IF(I783&lt;&gt;"READY","NOT RELEASED",IF(AND(X783="CANDIDATE",V783&gt;='Config_v6'!$B$51,W783="PASS",'Calibrare_Linii'!T13="VALIDATED",AND('Calibrare_Linii'!H13=C783,ISNUMBER('Calibrare_Linii'!J13),'Calibrare_Linii'!J13&lt;='Input_Meci'!G61)),"PASS",IF(X783="CANDIDATE","OOS PENDING","FAIL"))))</x:f>
      </x:c>
      <x:c r="Z783" s="2" t="str">
        <x:f>IF(B783="","",IF(I783&lt;&gt;"READY","",IF(OR(NOT(AND(J783="PASS",'Calibrare_Linii'!U13="VALID")),L783&gt;'Config_v6'!$B$13,W783="WATCH"),5,IF(Y783="PASS",1,MIN(5,MAX('Config_v6'!$B$42,U783)+IF(W783="PENALTY",1,0))))))</x:f>
      </x:c>
      <x:c r="AA783" s="2" t="str">
        <x:f>IF(B783="","",IF(I783&lt;&gt;"READY","NOT RELEASED",IF(Z783=5,"NO BET",IF(OR(AB783&lt;'Config_v6'!$B$16,V783&lt;'Config_v6'!$B$18),"WATCH",IF(Z783=1,"DEFENSIV",IF(Z783=2,"PRUDENT",IF(Z783=3,"MODERAT","RIDICAT")))))))</x:f>
      </x:c>
      <x:c r="AB783" s="10" t="str">
        <x:f>IF(N783="","",MIN(N783,1-S783))</x:f>
      </x:c>
      <x:c r="AC783" s="2" t="str">
        <x:f>IF(AD783&lt;&gt;1,"",COUNTIFS($Z$776:$Z$789,"&lt;"&amp;Z783,$AD$776:$AD$789,1)+COUNTIFS($Z$776:$Z$789,Z783,$AB$776:$AB$789,"&gt;"&amp;AB783,$AD$776:$AD$789,1)+COUNTIFS($Z$776:$Z$789,Z783,$AB$776:$AB$789,AB783,$V$776:$V$789,"&gt;"&amp;V783,$AD$776:$AD$789,1)+COUNTIFS($Z$776:Z783,Z783,$AB$776:AB783,AB783,$V$776:V783,V783,$AD$776:AD783,1))</x:f>
      </x:c>
      <x:c r="AD783" s="2" t="n">
        <x:f>IF(OR(AA783="DEFENSIV",AA783="PRUDENT",AA783="MODERAT",AA783="RIDICAT"),1,0)</x:f>
        <x:v>0</x:v>
      </x:c>
      <x:c r="AE783" s="2" t="str">
        <x:f>IF(AD783&lt;&gt;1,"NO",IF(W783="PASS","YES",IF(W783="OOS PENDING","CONDITIONAL","NO")))</x:f>
        <x:v>NO</x:v>
      </x:c>
      <x:c r="AF783" s="2" t="n">
        <x:f>IF(AND(AD783=1,AC783=1,E783="LIVE"),1,0)</x:f>
        <x:v>0</x:v>
      </x:c>
      <x:c r="AG783" s="2" t="str">
        <x:f>IF(AF783&lt;&gt;1,"",'Dashboard'!P81)</x:f>
      </x:c>
      <x:c r="AH783" s="2" t="str">
        <x:f>IF(B783="","",IF(J783&lt;&gt;"PASS",'Motor_Meciuri'!J61,IF('Calibrare_Linii'!U13&lt;&gt;"VALID","Parametri linie invalizi",IF(L783&gt;'Config_v6'!$B$13,"Dispersie peste limita",IF(W783="WATCH","Failure peste limita",IF(AB783&lt;'Config_v6'!$B$16,"P finala sub prag",IF(V783&lt;'Config_v6'!$B$18,"Confidence sub prag",IF(E783="REPLAY","Exemplu retrospectiv; exclus din Top LIVE",IF(Y783="PASS","DEFENSIV validat",IF(W783="OOS PENDING","Eligibil; calibrare linie in monitorizare","Eligibil"))))))))))</x:f>
      </x:c>
      <x:c r="AI783" s="2" t="str">
        <x:f>IF(B783="","",'Calibrare_Linii'!V13)</x:f>
      </x:c>
      <x:c r="AJ783" s="2" t="str">
        <x:f>IF(B783="","",IF(AND('Calibrare_Linii'!T13="VALIDATED",AND('Calibrare_Linii'!H13=C783,ISNUMBER('Calibrare_Linii'!J13),'Calibrare_Linii'!J13&lt;='Input_Meci'!G61)),"DEFENSIVE VALIDATED",IF(AND('Calibrare_Linii'!S13="VALIDATED",AND('Calibrare_Linii'!H13=C783,ISNUMBER('Calibrare_Linii'!J13),'Calibrare_Linii'!J13&lt;='Input_Meci'!G61)),"TAIL VALIDATED","OOS PENDING")))</x:f>
      </x:c>
      <x:c r="AK783" s="2" t="n">
        <x:f>IF(J783&lt;&gt;"PASS",0,'Motor_Meciuri'!BR61)</x:f>
        <x:v>0</x:v>
      </x:c>
      <x:c r="AL783" s="2" t="n">
        <x:f>IF(J783&lt;&gt;"PASS",0,'Motor_Meciuri'!BS61)</x:f>
        <x:v>0</x:v>
      </x:c>
      <x:c r="AM783" s="2" t="n">
        <x:f>IF(J783&lt;&gt;"PASS",0,'Motor_Meciuri'!BT61)</x:f>
        <x:v>0</x:v>
      </x:c>
      <x:c r="AN783" s="2" t="str">
        <x:f>IF(M783="","",MAX(0,'Motor_Meciuri'!BF61-IF(L783&gt;'Config_v6'!$B$12,'Config_v6'!$B$37,IF(L783&gt;'Config_v6'!$B$11,'Config_v6'!$B$36,0))))</x:f>
      </x:c>
    </x:row>
    <x:row r="784" ht="21" customHeight="1">
      <x:c r="A784" s="2" t="n">
        <x:v>56</x:v>
      </x:c>
      <x:c r="B784" s="2" t="str">
        <x:f>IF('Motor_Meciuri'!A61="","",'Motor_Meciuri'!A61)</x:f>
      </x:c>
      <x:c r="C784" s="2" t="str">
        <x:f>IF(B784="","",'Motor_Meciuri'!B61)</x:f>
      </x:c>
      <x:c r="D784" s="2" t="str">
        <x:f>IF(B784="","",'Motor_Meciuri'!D61)</x:f>
      </x:c>
      <x:c r="E784" s="2" t="str">
        <x:f>IF(B784="","",'Motor_Meciuri'!E61)</x:f>
      </x:c>
      <x:c r="F784" s="2" t="str">
        <x:v>U12,5</x:v>
      </x:c>
      <x:c r="G784" s="2" t="str">
        <x:v>UNDER</x:v>
      </x:c>
      <x:c r="H784" s="2" t="n">
        <x:v>12</x:v>
      </x:c>
      <x:c r="I784" s="2" t="str">
        <x:f>IF(B784="","",'Motor_Meciuri'!H61)</x:f>
      </x:c>
      <x:c r="J784" s="2" t="str">
        <x:f>IF(B784="","",'Motor_Meciuri'!I61)</x:f>
      </x:c>
      <x:c r="K784" s="11" t="str">
        <x:f>IF(J784&lt;&gt;"PASS","",'Motor_Meciuri'!BD61)</x:f>
      </x:c>
      <x:c r="L784" s="11" t="str">
        <x:f>IF(J784&lt;&gt;"PASS","",'Motor_Meciuri'!AU61)</x:f>
      </x:c>
      <x:c r="M784" s="10" t="str">
        <x:f>IF(NOT(AND(J784="PASS",'Calibrare_Linii'!U14="VALID")),"",'Distributie'!AJ61)</x:f>
      </x:c>
      <x:c r="N784" s="10" t="str">
        <x:f>IF(M784="","",MAX(0.01,MIN(0.99,0.5+(M784-0.5)*'Motor_Meciuri'!BG61*'Calibrare_Linii'!D14)))</x:f>
      </x:c>
      <x:c r="O784" s="10" t="str">
        <x:f>IF(M784="","",1-M784)</x:f>
      </x:c>
      <x:c r="P784" s="10" t="str">
        <x:f>IF(OR(NOT(AND(J784="PASS",'Calibrare_Linii'!U14="VALID")),AK784=0),""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*('Istoric_Nativ'!$Q$6:$Q$405&gt;H784))/AK784)</x:f>
      </x:c>
      <x:c r="Q784" s="10" t="str">
        <x:f>IF(OR(NOT(AND(J784="PASS",'Calibrare_Linii'!U14="VALID")),AL784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M61)+((('Istoric_Nativ'!$E$6:$E$405='Input_Meci'!E61)+('Istoric_Nativ'!$F$6:$F$405='Input_Meci'!E61))&gt;0)*('Istoric_Nativ'!$D$6:$D$405&gt;='Motor_Meciuri'!BN61))&gt;0)*('Istoric_Nativ'!$Q$6:$Q$405&gt;H784))/AL784)</x:f>
      </x:c>
      <x:c r="R784" s="10" t="str">
        <x:f>IF(OR(NOT(AND(J784="PASS",'Calibrare_Linii'!U14="VALID")),AM784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O61)+((('Istoric_Nativ'!$E$6:$E$405='Input_Meci'!E61)+('Istoric_Nativ'!$F$6:$F$405='Input_Meci'!E61))&gt;0)*('Istoric_Nativ'!$D$6:$D$405&gt;='Motor_Meciuri'!BP61))&gt;0)*('Istoric_Nativ'!$Q$6:$Q$405&gt;H784))/AM784)</x:f>
      </x:c>
      <x:c r="S784" s="10" t="str">
        <x:f>IF(M784="","",MAX(O784,P784,Q784,R784))</x:f>
      </x:c>
      <x:c r="T784" s="11" t="str">
        <x:f>IF(M784="","",MIN(100,S784*100*'Config_v6'!$B$44+MIN(100,L784/'Config_v6'!$B$13*100)*'Config_v6'!$B$45+(100-'Motor_Meciuri'!BF61)*'Config_v6'!$B$46+'Motor_Meciuri'!BH61*100*'Config_v6'!$B$47))</x:f>
      </x:c>
      <x:c r="U784" s="2" t="str">
        <x:f>IF(T784="","",IF(T784&lt;=20,1,IF(T784&lt;=40,2,IF(T784&lt;=60,3,IF(T784&lt;=80,4,5)))))</x:f>
      </x:c>
      <x:c r="V784" s="2" t="str">
        <x:f>IF(M784="","",MAX(0,'Motor_Meciuri'!BF61-IF(W784="OOS PENDING",'Config_v6'!$B$35,0)-IF(L784&gt;'Config_v6'!$B$12,'Config_v6'!$B$37,IF(L784&gt;'Config_v6'!$B$11,'Config_v6'!$B$36,0))))</x:f>
      </x:c>
      <x:c r="W784" s="2" t="str">
        <x:f>IF(B784="","",IF(I784&lt;&gt;"READY","NOT RELEASED",IF(NOT(AND(J784="PASS",'Calibrare_Linii'!U14="VALID")),"INVALID",IF(NOT(AND('Calibrare_Linii'!S14="VALIDATED",AND('Calibrare_Linii'!H14=C784,ISNUMBER('Calibrare_Linii'!J14),'Calibrare_Linii'!J14&lt;='Input_Meci'!G61))),"OOS PENDING",IF(S784&lt;='Calibrare_Linii'!E14,"PASS",IF(S784&lt;='Calibrare_Linii'!F14,"PENALTY","WATCH"))))))</x:f>
      </x:c>
      <x:c r="X784" s="2" t="str">
        <x:f>IF(M784="","",IF(AND(AND(J784="PASS",'Calibrare_Linii'!U14="VALID"),'Motor_Meciuri'!K61=12,'Motor_Meciuri'!L61=12,'Motor_Meciuri'!M61="NO",'Motor_Meciuri'!BL61='Motor_Meciuri'!C61,AB784&gt;='Config_v6'!$B$50,AN784&gt;='Config_v6'!$B$51,T784&lt;='Config_v6'!$B$52,L784&lt;='Config_v6'!$B$53,ISNUMBER('Calibrare_Linii'!E14),S784&lt;='Calibrare_Linii'!E14,SUM(AK784:AM784)&gt;0),"CANDIDATE","NO"))</x:f>
      </x:c>
      <x:c r="Y784" s="2" t="str">
        <x:f>IF(B784="","",IF(I784&lt;&gt;"READY","NOT RELEASED",IF(AND(X784="CANDIDATE",V784&gt;='Config_v6'!$B$51,W784="PASS",'Calibrare_Linii'!T14="VALIDATED",AND('Calibrare_Linii'!H14=C784,ISNUMBER('Calibrare_Linii'!J14),'Calibrare_Linii'!J14&lt;='Input_Meci'!G61)),"PASS",IF(X784="CANDIDATE","OOS PENDING","FAIL"))))</x:f>
      </x:c>
      <x:c r="Z784" s="2" t="str">
        <x:f>IF(B784="","",IF(I784&lt;&gt;"READY","",IF(OR(NOT(AND(J784="PASS",'Calibrare_Linii'!U14="VALID")),L784&gt;'Config_v6'!$B$13,W784="WATCH"),5,IF(Y784="PASS",1,MIN(5,MAX('Config_v6'!$B$42,U784)+IF(W784="PENALTY",1,0))))))</x:f>
      </x:c>
      <x:c r="AA784" s="2" t="str">
        <x:f>IF(B784="","",IF(I784&lt;&gt;"READY","NOT RELEASED",IF(Z784=5,"NO BET",IF(OR(AB784&lt;'Config_v6'!$B$16,V784&lt;'Config_v6'!$B$18),"WATCH",IF(Z784=1,"DEFENSIV",IF(Z784=2,"PRUDENT",IF(Z784=3,"MODERAT","RIDICAT")))))))</x:f>
      </x:c>
      <x:c r="AB784" s="10" t="str">
        <x:f>IF(N784="","",MIN(N784,1-S784))</x:f>
      </x:c>
      <x:c r="AC784" s="2" t="str">
        <x:f>IF(AD784&lt;&gt;1,"",COUNTIFS($Z$776:$Z$789,"&lt;"&amp;Z784,$AD$776:$AD$789,1)+COUNTIFS($Z$776:$Z$789,Z784,$AB$776:$AB$789,"&gt;"&amp;AB784,$AD$776:$AD$789,1)+COUNTIFS($Z$776:$Z$789,Z784,$AB$776:$AB$789,AB784,$V$776:$V$789,"&gt;"&amp;V784,$AD$776:$AD$789,1)+COUNTIFS($Z$776:Z784,Z784,$AB$776:AB784,AB784,$V$776:V784,V784,$AD$776:AD784,1))</x:f>
      </x:c>
      <x:c r="AD784" s="2" t="n">
        <x:f>IF(OR(AA784="DEFENSIV",AA784="PRUDENT",AA784="MODERAT",AA784="RIDICAT"),1,0)</x:f>
        <x:v>0</x:v>
      </x:c>
      <x:c r="AE784" s="2" t="str">
        <x:f>IF(AD784&lt;&gt;1,"NO",IF(W784="PASS","YES",IF(W784="OOS PENDING","CONDITIONAL","NO")))</x:f>
        <x:v>NO</x:v>
      </x:c>
      <x:c r="AF784" s="2" t="n">
        <x:f>IF(AND(AD784=1,AC784=1,E784="LIVE"),1,0)</x:f>
        <x:v>0</x:v>
      </x:c>
      <x:c r="AG784" s="2" t="str">
        <x:f>IF(AF784&lt;&gt;1,"",'Dashboard'!P81)</x:f>
      </x:c>
      <x:c r="AH784" s="2" t="str">
        <x:f>IF(B784="","",IF(J784&lt;&gt;"PASS",'Motor_Meciuri'!J61,IF('Calibrare_Linii'!U14&lt;&gt;"VALID","Parametri linie invalizi",IF(L784&gt;'Config_v6'!$B$13,"Dispersie peste limita",IF(W784="WATCH","Failure peste limita",IF(AB784&lt;'Config_v6'!$B$16,"P finala sub prag",IF(V784&lt;'Config_v6'!$B$18,"Confidence sub prag",IF(E784="REPLAY","Exemplu retrospectiv; exclus din Top LIVE",IF(Y784="PASS","DEFENSIV validat",IF(W784="OOS PENDING","Eligibil; calibrare linie in monitorizare","Eligibil"))))))))))</x:f>
      </x:c>
      <x:c r="AI784" s="2" t="str">
        <x:f>IF(B784="","",'Calibrare_Linii'!V14)</x:f>
      </x:c>
      <x:c r="AJ784" s="2" t="str">
        <x:f>IF(B784="","",IF(AND('Calibrare_Linii'!T14="VALIDATED",AND('Calibrare_Linii'!H14=C784,ISNUMBER('Calibrare_Linii'!J14),'Calibrare_Linii'!J14&lt;='Input_Meci'!G61)),"DEFENSIVE VALIDATED",IF(AND('Calibrare_Linii'!S14="VALIDATED",AND('Calibrare_Linii'!H14=C784,ISNUMBER('Calibrare_Linii'!J14),'Calibrare_Linii'!J14&lt;='Input_Meci'!G61)),"TAIL VALIDATED","OOS PENDING")))</x:f>
      </x:c>
      <x:c r="AK784" s="2" t="n">
        <x:f>IF(J784&lt;&gt;"PASS",0,'Motor_Meciuri'!BR61)</x:f>
        <x:v>0</x:v>
      </x:c>
      <x:c r="AL784" s="2" t="n">
        <x:f>IF(J784&lt;&gt;"PASS",0,'Motor_Meciuri'!BS61)</x:f>
        <x:v>0</x:v>
      </x:c>
      <x:c r="AM784" s="2" t="n">
        <x:f>IF(J784&lt;&gt;"PASS",0,'Motor_Meciuri'!BT61)</x:f>
        <x:v>0</x:v>
      </x:c>
      <x:c r="AN784" s="2" t="str">
        <x:f>IF(M784="","",MAX(0,'Motor_Meciuri'!BF61-IF(L784&gt;'Config_v6'!$B$12,'Config_v6'!$B$37,IF(L784&gt;'Config_v6'!$B$11,'Config_v6'!$B$36,0))))</x:f>
      </x:c>
    </x:row>
    <x:row r="785" ht="21" customHeight="1">
      <x:c r="A785" s="2" t="n">
        <x:v>56</x:v>
      </x:c>
      <x:c r="B785" s="2" t="str">
        <x:f>IF('Motor_Meciuri'!A61="","",'Motor_Meciuri'!A61)</x:f>
      </x:c>
      <x:c r="C785" s="2" t="str">
        <x:f>IF(B785="","",'Motor_Meciuri'!B61)</x:f>
      </x:c>
      <x:c r="D785" s="2" t="str">
        <x:f>IF(B785="","",'Motor_Meciuri'!D61)</x:f>
      </x:c>
      <x:c r="E785" s="2" t="str">
        <x:f>IF(B785="","",'Motor_Meciuri'!E61)</x:f>
      </x:c>
      <x:c r="F785" s="2" t="str">
        <x:v>U13,5</x:v>
      </x:c>
      <x:c r="G785" s="2" t="str">
        <x:v>UNDER</x:v>
      </x:c>
      <x:c r="H785" s="2" t="n">
        <x:v>13</x:v>
      </x:c>
      <x:c r="I785" s="2" t="str">
        <x:f>IF(B785="","",'Motor_Meciuri'!H61)</x:f>
      </x:c>
      <x:c r="J785" s="2" t="str">
        <x:f>IF(B785="","",'Motor_Meciuri'!I61)</x:f>
      </x:c>
      <x:c r="K785" s="11" t="str">
        <x:f>IF(J785&lt;&gt;"PASS","",'Motor_Meciuri'!BD61)</x:f>
      </x:c>
      <x:c r="L785" s="11" t="str">
        <x:f>IF(J785&lt;&gt;"PASS","",'Motor_Meciuri'!AU61)</x:f>
      </x:c>
      <x:c r="M785" s="10" t="str">
        <x:f>IF(NOT(AND(J785="PASS",'Calibrare_Linii'!U15="VALID")),"",'Distributie'!AK61)</x:f>
      </x:c>
      <x:c r="N785" s="10" t="str">
        <x:f>IF(M785="","",MAX(0.01,MIN(0.99,0.5+(M785-0.5)*'Motor_Meciuri'!BG61*'Calibrare_Linii'!D15)))</x:f>
      </x:c>
      <x:c r="O785" s="10" t="str">
        <x:f>IF(M785="","",1-M785)</x:f>
      </x:c>
      <x:c r="P785" s="10" t="str">
        <x:f>IF(OR(NOT(AND(J785="PASS",'Calibrare_Linii'!U15="VALID")),AK785=0),""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*('Istoric_Nativ'!$Q$6:$Q$405&gt;H785))/AK785)</x:f>
      </x:c>
      <x:c r="Q785" s="10" t="str">
        <x:f>IF(OR(NOT(AND(J785="PASS",'Calibrare_Linii'!U15="VALID")),AL785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M61)+((('Istoric_Nativ'!$E$6:$E$405='Input_Meci'!E61)+('Istoric_Nativ'!$F$6:$F$405='Input_Meci'!E61))&gt;0)*('Istoric_Nativ'!$D$6:$D$405&gt;='Motor_Meciuri'!BN61))&gt;0)*('Istoric_Nativ'!$Q$6:$Q$405&gt;H785))/AL785)</x:f>
      </x:c>
      <x:c r="R785" s="10" t="str">
        <x:f>IF(OR(NOT(AND(J785="PASS",'Calibrare_Linii'!U15="VALID")),AM785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O61)+((('Istoric_Nativ'!$E$6:$E$405='Input_Meci'!E61)+('Istoric_Nativ'!$F$6:$F$405='Input_Meci'!E61))&gt;0)*('Istoric_Nativ'!$D$6:$D$405&gt;='Motor_Meciuri'!BP61))&gt;0)*('Istoric_Nativ'!$Q$6:$Q$405&gt;H785))/AM785)</x:f>
      </x:c>
      <x:c r="S785" s="10" t="str">
        <x:f>IF(M785="","",MAX(O785,P785,Q785,R785))</x:f>
      </x:c>
      <x:c r="T785" s="11" t="str">
        <x:f>IF(M785="","",MIN(100,S785*100*'Config_v6'!$B$44+MIN(100,L785/'Config_v6'!$B$13*100)*'Config_v6'!$B$45+(100-'Motor_Meciuri'!BF61)*'Config_v6'!$B$46+'Motor_Meciuri'!BH61*100*'Config_v6'!$B$47))</x:f>
      </x:c>
      <x:c r="U785" s="2" t="str">
        <x:f>IF(T785="","",IF(T785&lt;=20,1,IF(T785&lt;=40,2,IF(T785&lt;=60,3,IF(T785&lt;=80,4,5)))))</x:f>
      </x:c>
      <x:c r="V785" s="2" t="str">
        <x:f>IF(M785="","",MAX(0,'Motor_Meciuri'!BF61-IF(W785="OOS PENDING",'Config_v6'!$B$35,0)-IF(L785&gt;'Config_v6'!$B$12,'Config_v6'!$B$37,IF(L785&gt;'Config_v6'!$B$11,'Config_v6'!$B$36,0))))</x:f>
      </x:c>
      <x:c r="W785" s="2" t="str">
        <x:f>IF(B785="","",IF(I785&lt;&gt;"READY","NOT RELEASED",IF(NOT(AND(J785="PASS",'Calibrare_Linii'!U15="VALID")),"INVALID",IF(NOT(AND('Calibrare_Linii'!S15="VALIDATED",AND('Calibrare_Linii'!H15=C785,ISNUMBER('Calibrare_Linii'!J15),'Calibrare_Linii'!J15&lt;='Input_Meci'!G61))),"OOS PENDING",IF(S785&lt;='Calibrare_Linii'!E15,"PASS",IF(S785&lt;='Calibrare_Linii'!F15,"PENALTY","WATCH"))))))</x:f>
      </x:c>
      <x:c r="X785" s="2" t="str">
        <x:f>IF(M785="","",IF(AND(AND(J785="PASS",'Calibrare_Linii'!U15="VALID"),'Motor_Meciuri'!K61=12,'Motor_Meciuri'!L61=12,'Motor_Meciuri'!M61="NO",'Motor_Meciuri'!BL61='Motor_Meciuri'!C61,AB785&gt;='Config_v6'!$B$50,AN785&gt;='Config_v6'!$B$51,T785&lt;='Config_v6'!$B$52,L785&lt;='Config_v6'!$B$53,ISNUMBER('Calibrare_Linii'!E15),S785&lt;='Calibrare_Linii'!E15,SUM(AK785:AM785)&gt;0),"CANDIDATE","NO"))</x:f>
      </x:c>
      <x:c r="Y785" s="2" t="str">
        <x:f>IF(B785="","",IF(I785&lt;&gt;"READY","NOT RELEASED",IF(AND(X785="CANDIDATE",V785&gt;='Config_v6'!$B$51,W785="PASS",'Calibrare_Linii'!T15="VALIDATED",AND('Calibrare_Linii'!H15=C785,ISNUMBER('Calibrare_Linii'!J15),'Calibrare_Linii'!J15&lt;='Input_Meci'!G61)),"PASS",IF(X785="CANDIDATE","OOS PENDING","FAIL"))))</x:f>
      </x:c>
      <x:c r="Z785" s="2" t="str">
        <x:f>IF(B785="","",IF(I785&lt;&gt;"READY","",IF(OR(NOT(AND(J785="PASS",'Calibrare_Linii'!U15="VALID")),L785&gt;'Config_v6'!$B$13,W785="WATCH"),5,IF(Y785="PASS",1,MIN(5,MAX('Config_v6'!$B$42,U785)+IF(W785="PENALTY",1,0))))))</x:f>
      </x:c>
      <x:c r="AA785" s="2" t="str">
        <x:f>IF(B785="","",IF(I785&lt;&gt;"READY","NOT RELEASED",IF(Z785=5,"NO BET",IF(OR(AB785&lt;'Config_v6'!$B$16,V785&lt;'Config_v6'!$B$18),"WATCH",IF(Z785=1,"DEFENSIV",IF(Z785=2,"PRUDENT",IF(Z785=3,"MODERAT","RIDICAT")))))))</x:f>
      </x:c>
      <x:c r="AB785" s="10" t="str">
        <x:f>IF(N785="","",MIN(N785,1-S785))</x:f>
      </x:c>
      <x:c r="AC785" s="2" t="str">
        <x:f>IF(AD785&lt;&gt;1,"",COUNTIFS($Z$776:$Z$789,"&lt;"&amp;Z785,$AD$776:$AD$789,1)+COUNTIFS($Z$776:$Z$789,Z785,$AB$776:$AB$789,"&gt;"&amp;AB785,$AD$776:$AD$789,1)+COUNTIFS($Z$776:$Z$789,Z785,$AB$776:$AB$789,AB785,$V$776:$V$789,"&gt;"&amp;V785,$AD$776:$AD$789,1)+COUNTIFS($Z$776:Z785,Z785,$AB$776:AB785,AB785,$V$776:V785,V785,$AD$776:AD785,1))</x:f>
      </x:c>
      <x:c r="AD785" s="2" t="n">
        <x:f>IF(OR(AA785="DEFENSIV",AA785="PRUDENT",AA785="MODERAT",AA785="RIDICAT"),1,0)</x:f>
        <x:v>0</x:v>
      </x:c>
      <x:c r="AE785" s="2" t="str">
        <x:f>IF(AD785&lt;&gt;1,"NO",IF(W785="PASS","YES",IF(W785="OOS PENDING","CONDITIONAL","NO")))</x:f>
        <x:v>NO</x:v>
      </x:c>
      <x:c r="AF785" s="2" t="n">
        <x:f>IF(AND(AD785=1,AC785=1,E785="LIVE"),1,0)</x:f>
        <x:v>0</x:v>
      </x:c>
      <x:c r="AG785" s="2" t="str">
        <x:f>IF(AF785&lt;&gt;1,"",'Dashboard'!P81)</x:f>
      </x:c>
      <x:c r="AH785" s="2" t="str">
        <x:f>IF(B785="","",IF(J785&lt;&gt;"PASS",'Motor_Meciuri'!J61,IF('Calibrare_Linii'!U15&lt;&gt;"VALID","Parametri linie invalizi",IF(L785&gt;'Config_v6'!$B$13,"Dispersie peste limita",IF(W785="WATCH","Failure peste limita",IF(AB785&lt;'Config_v6'!$B$16,"P finala sub prag",IF(V785&lt;'Config_v6'!$B$18,"Confidence sub prag",IF(E785="REPLAY","Exemplu retrospectiv; exclus din Top LIVE",IF(Y785="PASS","DEFENSIV validat",IF(W785="OOS PENDING","Eligibil; calibrare linie in monitorizare","Eligibil"))))))))))</x:f>
      </x:c>
      <x:c r="AI785" s="2" t="str">
        <x:f>IF(B785="","",'Calibrare_Linii'!V15)</x:f>
      </x:c>
      <x:c r="AJ785" s="2" t="str">
        <x:f>IF(B785="","",IF(AND('Calibrare_Linii'!T15="VALIDATED",AND('Calibrare_Linii'!H15=C785,ISNUMBER('Calibrare_Linii'!J15),'Calibrare_Linii'!J15&lt;='Input_Meci'!G61)),"DEFENSIVE VALIDATED",IF(AND('Calibrare_Linii'!S15="VALIDATED",AND('Calibrare_Linii'!H15=C785,ISNUMBER('Calibrare_Linii'!J15),'Calibrare_Linii'!J15&lt;='Input_Meci'!G61)),"TAIL VALIDATED","OOS PENDING")))</x:f>
      </x:c>
      <x:c r="AK785" s="2" t="n">
        <x:f>IF(J785&lt;&gt;"PASS",0,'Motor_Meciuri'!BR61)</x:f>
        <x:v>0</x:v>
      </x:c>
      <x:c r="AL785" s="2" t="n">
        <x:f>IF(J785&lt;&gt;"PASS",0,'Motor_Meciuri'!BS61)</x:f>
        <x:v>0</x:v>
      </x:c>
      <x:c r="AM785" s="2" t="n">
        <x:f>IF(J785&lt;&gt;"PASS",0,'Motor_Meciuri'!BT61)</x:f>
        <x:v>0</x:v>
      </x:c>
      <x:c r="AN785" s="2" t="str">
        <x:f>IF(M785="","",MAX(0,'Motor_Meciuri'!BF61-IF(L785&gt;'Config_v6'!$B$12,'Config_v6'!$B$37,IF(L785&gt;'Config_v6'!$B$11,'Config_v6'!$B$36,0))))</x:f>
      </x:c>
    </x:row>
    <x:row r="786" ht="21" customHeight="1">
      <x:c r="A786" s="2" t="n">
        <x:v>56</x:v>
      </x:c>
      <x:c r="B786" s="2" t="str">
        <x:f>IF('Motor_Meciuri'!A61="","",'Motor_Meciuri'!A61)</x:f>
      </x:c>
      <x:c r="C786" s="2" t="str">
        <x:f>IF(B786="","",'Motor_Meciuri'!B61)</x:f>
      </x:c>
      <x:c r="D786" s="2" t="str">
        <x:f>IF(B786="","",'Motor_Meciuri'!D61)</x:f>
      </x:c>
      <x:c r="E786" s="2" t="str">
        <x:f>IF(B786="","",'Motor_Meciuri'!E61)</x:f>
      </x:c>
      <x:c r="F786" s="2" t="str">
        <x:v>U14,5</x:v>
      </x:c>
      <x:c r="G786" s="2" t="str">
        <x:v>UNDER</x:v>
      </x:c>
      <x:c r="H786" s="2" t="n">
        <x:v>14</x:v>
      </x:c>
      <x:c r="I786" s="2" t="str">
        <x:f>IF(B786="","",'Motor_Meciuri'!H61)</x:f>
      </x:c>
      <x:c r="J786" s="2" t="str">
        <x:f>IF(B786="","",'Motor_Meciuri'!I61)</x:f>
      </x:c>
      <x:c r="K786" s="11" t="str">
        <x:f>IF(J786&lt;&gt;"PASS","",'Motor_Meciuri'!BD61)</x:f>
      </x:c>
      <x:c r="L786" s="11" t="str">
        <x:f>IF(J786&lt;&gt;"PASS","",'Motor_Meciuri'!AU61)</x:f>
      </x:c>
      <x:c r="M786" s="10" t="str">
        <x:f>IF(NOT(AND(J786="PASS",'Calibrare_Linii'!U16="VALID")),"",'Distributie'!AL61)</x:f>
      </x:c>
      <x:c r="N786" s="10" t="str">
        <x:f>IF(M786="","",MAX(0.01,MIN(0.99,0.5+(M786-0.5)*'Motor_Meciuri'!BG61*'Calibrare_Linii'!D16)))</x:f>
      </x:c>
      <x:c r="O786" s="10" t="str">
        <x:f>IF(M786="","",1-M786)</x:f>
      </x:c>
      <x:c r="P786" s="10" t="str">
        <x:f>IF(OR(NOT(AND(J786="PASS",'Calibrare_Linii'!U16="VALID")),AK786=0),""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*('Istoric_Nativ'!$Q$6:$Q$405&gt;H786))/AK786)</x:f>
      </x:c>
      <x:c r="Q786" s="10" t="str">
        <x:f>IF(OR(NOT(AND(J786="PASS",'Calibrare_Linii'!U16="VALID")),AL786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M61)+((('Istoric_Nativ'!$E$6:$E$405='Input_Meci'!E61)+('Istoric_Nativ'!$F$6:$F$405='Input_Meci'!E61))&gt;0)*('Istoric_Nativ'!$D$6:$D$405&gt;='Motor_Meciuri'!BN61))&gt;0)*('Istoric_Nativ'!$Q$6:$Q$405&gt;H786))/AL786)</x:f>
      </x:c>
      <x:c r="R786" s="10" t="str">
        <x:f>IF(OR(NOT(AND(J786="PASS",'Calibrare_Linii'!U16="VALID")),AM786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O61)+((('Istoric_Nativ'!$E$6:$E$405='Input_Meci'!E61)+('Istoric_Nativ'!$F$6:$F$405='Input_Meci'!E61))&gt;0)*('Istoric_Nativ'!$D$6:$D$405&gt;='Motor_Meciuri'!BP61))&gt;0)*('Istoric_Nativ'!$Q$6:$Q$405&gt;H786))/AM786)</x:f>
      </x:c>
      <x:c r="S786" s="10" t="str">
        <x:f>IF(M786="","",MAX(O786,P786,Q786,R786))</x:f>
      </x:c>
      <x:c r="T786" s="11" t="str">
        <x:f>IF(M786="","",MIN(100,S786*100*'Config_v6'!$B$44+MIN(100,L786/'Config_v6'!$B$13*100)*'Config_v6'!$B$45+(100-'Motor_Meciuri'!BF61)*'Config_v6'!$B$46+'Motor_Meciuri'!BH61*100*'Config_v6'!$B$47))</x:f>
      </x:c>
      <x:c r="U786" s="2" t="str">
        <x:f>IF(T786="","",IF(T786&lt;=20,1,IF(T786&lt;=40,2,IF(T786&lt;=60,3,IF(T786&lt;=80,4,5)))))</x:f>
      </x:c>
      <x:c r="V786" s="2" t="str">
        <x:f>IF(M786="","",MAX(0,'Motor_Meciuri'!BF61-IF(W786="OOS PENDING",'Config_v6'!$B$35,0)-IF(L786&gt;'Config_v6'!$B$12,'Config_v6'!$B$37,IF(L786&gt;'Config_v6'!$B$11,'Config_v6'!$B$36,0))))</x:f>
      </x:c>
      <x:c r="W786" s="2" t="str">
        <x:f>IF(B786="","",IF(I786&lt;&gt;"READY","NOT RELEASED",IF(NOT(AND(J786="PASS",'Calibrare_Linii'!U16="VALID")),"INVALID",IF(NOT(AND('Calibrare_Linii'!S16="VALIDATED",AND('Calibrare_Linii'!H16=C786,ISNUMBER('Calibrare_Linii'!J16),'Calibrare_Linii'!J16&lt;='Input_Meci'!G61))),"OOS PENDING",IF(S786&lt;='Calibrare_Linii'!E16,"PASS",IF(S786&lt;='Calibrare_Linii'!F16,"PENALTY","WATCH"))))))</x:f>
      </x:c>
      <x:c r="X786" s="2" t="str">
        <x:f>IF(M786="","",IF(AND(AND(J786="PASS",'Calibrare_Linii'!U16="VALID"),'Motor_Meciuri'!K61=12,'Motor_Meciuri'!L61=12,'Motor_Meciuri'!M61="NO",'Motor_Meciuri'!BL61='Motor_Meciuri'!C61,AB786&gt;='Config_v6'!$B$50,AN786&gt;='Config_v6'!$B$51,T786&lt;='Config_v6'!$B$52,L786&lt;='Config_v6'!$B$53,ISNUMBER('Calibrare_Linii'!E16),S786&lt;='Calibrare_Linii'!E16,SUM(AK786:AM786)&gt;0),"CANDIDATE","NO"))</x:f>
      </x:c>
      <x:c r="Y786" s="2" t="str">
        <x:f>IF(B786="","",IF(I786&lt;&gt;"READY","NOT RELEASED",IF(AND(X786="CANDIDATE",V786&gt;='Config_v6'!$B$51,W786="PASS",'Calibrare_Linii'!T16="VALIDATED",AND('Calibrare_Linii'!H16=C786,ISNUMBER('Calibrare_Linii'!J16),'Calibrare_Linii'!J16&lt;='Input_Meci'!G61)),"PASS",IF(X786="CANDIDATE","OOS PENDING","FAIL"))))</x:f>
      </x:c>
      <x:c r="Z786" s="2" t="str">
        <x:f>IF(B786="","",IF(I786&lt;&gt;"READY","",IF(OR(NOT(AND(J786="PASS",'Calibrare_Linii'!U16="VALID")),L786&gt;'Config_v6'!$B$13,W786="WATCH"),5,IF(Y786="PASS",1,MIN(5,MAX('Config_v6'!$B$42,U786)+IF(W786="PENALTY",1,0))))))</x:f>
      </x:c>
      <x:c r="AA786" s="2" t="str">
        <x:f>IF(B786="","",IF(I786&lt;&gt;"READY","NOT RELEASED",IF(Z786=5,"NO BET",IF(OR(AB786&lt;'Config_v6'!$B$16,V786&lt;'Config_v6'!$B$18),"WATCH",IF(Z786=1,"DEFENSIV",IF(Z786=2,"PRUDENT",IF(Z786=3,"MODERAT","RIDICAT")))))))</x:f>
      </x:c>
      <x:c r="AB786" s="10" t="str">
        <x:f>IF(N786="","",MIN(N786,1-S786))</x:f>
      </x:c>
      <x:c r="AC786" s="2" t="str">
        <x:f>IF(AD786&lt;&gt;1,"",COUNTIFS($Z$776:$Z$789,"&lt;"&amp;Z786,$AD$776:$AD$789,1)+COUNTIFS($Z$776:$Z$789,Z786,$AB$776:$AB$789,"&gt;"&amp;AB786,$AD$776:$AD$789,1)+COUNTIFS($Z$776:$Z$789,Z786,$AB$776:$AB$789,AB786,$V$776:$V$789,"&gt;"&amp;V786,$AD$776:$AD$789,1)+COUNTIFS($Z$776:Z786,Z786,$AB$776:AB786,AB786,$V$776:V786,V786,$AD$776:AD786,1))</x:f>
      </x:c>
      <x:c r="AD786" s="2" t="n">
        <x:f>IF(OR(AA786="DEFENSIV",AA786="PRUDENT",AA786="MODERAT",AA786="RIDICAT"),1,0)</x:f>
        <x:v>0</x:v>
      </x:c>
      <x:c r="AE786" s="2" t="str">
        <x:f>IF(AD786&lt;&gt;1,"NO",IF(W786="PASS","YES",IF(W786="OOS PENDING","CONDITIONAL","NO")))</x:f>
        <x:v>NO</x:v>
      </x:c>
      <x:c r="AF786" s="2" t="n">
        <x:f>IF(AND(AD786=1,AC786=1,E786="LIVE"),1,0)</x:f>
        <x:v>0</x:v>
      </x:c>
      <x:c r="AG786" s="2" t="str">
        <x:f>IF(AF786&lt;&gt;1,"",'Dashboard'!P81)</x:f>
      </x:c>
      <x:c r="AH786" s="2" t="str">
        <x:f>IF(B786="","",IF(J786&lt;&gt;"PASS",'Motor_Meciuri'!J61,IF('Calibrare_Linii'!U16&lt;&gt;"VALID","Parametri linie invalizi",IF(L786&gt;'Config_v6'!$B$13,"Dispersie peste limita",IF(W786="WATCH","Failure peste limita",IF(AB786&lt;'Config_v6'!$B$16,"P finala sub prag",IF(V786&lt;'Config_v6'!$B$18,"Confidence sub prag",IF(E786="REPLAY","Exemplu retrospectiv; exclus din Top LIVE",IF(Y786="PASS","DEFENSIV validat",IF(W786="OOS PENDING","Eligibil; calibrare linie in monitorizare","Eligibil"))))))))))</x:f>
      </x:c>
      <x:c r="AI786" s="2" t="str">
        <x:f>IF(B786="","",'Calibrare_Linii'!V16)</x:f>
      </x:c>
      <x:c r="AJ786" s="2" t="str">
        <x:f>IF(B786="","",IF(AND('Calibrare_Linii'!T16="VALIDATED",AND('Calibrare_Linii'!H16=C786,ISNUMBER('Calibrare_Linii'!J16),'Calibrare_Linii'!J16&lt;='Input_Meci'!G61)),"DEFENSIVE VALIDATED",IF(AND('Calibrare_Linii'!S16="VALIDATED",AND('Calibrare_Linii'!H16=C786,ISNUMBER('Calibrare_Linii'!J16),'Calibrare_Linii'!J16&lt;='Input_Meci'!G61)),"TAIL VALIDATED","OOS PENDING")))</x:f>
      </x:c>
      <x:c r="AK786" s="2" t="n">
        <x:f>IF(J786&lt;&gt;"PASS",0,'Motor_Meciuri'!BR61)</x:f>
        <x:v>0</x:v>
      </x:c>
      <x:c r="AL786" s="2" t="n">
        <x:f>IF(J786&lt;&gt;"PASS",0,'Motor_Meciuri'!BS61)</x:f>
        <x:v>0</x:v>
      </x:c>
      <x:c r="AM786" s="2" t="n">
        <x:f>IF(J786&lt;&gt;"PASS",0,'Motor_Meciuri'!BT61)</x:f>
        <x:v>0</x:v>
      </x:c>
      <x:c r="AN786" s="2" t="str">
        <x:f>IF(M786="","",MAX(0,'Motor_Meciuri'!BF61-IF(L786&gt;'Config_v6'!$B$12,'Config_v6'!$B$37,IF(L786&gt;'Config_v6'!$B$11,'Config_v6'!$B$36,0))))</x:f>
      </x:c>
    </x:row>
    <x:row r="787" ht="21" customHeight="1">
      <x:c r="A787" s="2" t="n">
        <x:v>56</x:v>
      </x:c>
      <x:c r="B787" s="2" t="str">
        <x:f>IF('Motor_Meciuri'!A61="","",'Motor_Meciuri'!A61)</x:f>
      </x:c>
      <x:c r="C787" s="2" t="str">
        <x:f>IF(B787="","",'Motor_Meciuri'!B61)</x:f>
      </x:c>
      <x:c r="D787" s="2" t="str">
        <x:f>IF(B787="","",'Motor_Meciuri'!D61)</x:f>
      </x:c>
      <x:c r="E787" s="2" t="str">
        <x:f>IF(B787="","",'Motor_Meciuri'!E61)</x:f>
      </x:c>
      <x:c r="F787" s="2" t="str">
        <x:v>U15,5</x:v>
      </x:c>
      <x:c r="G787" s="2" t="str">
        <x:v>UNDER</x:v>
      </x:c>
      <x:c r="H787" s="2" t="n">
        <x:v>15</x:v>
      </x:c>
      <x:c r="I787" s="2" t="str">
        <x:f>IF(B787="","",'Motor_Meciuri'!H61)</x:f>
      </x:c>
      <x:c r="J787" s="2" t="str">
        <x:f>IF(B787="","",'Motor_Meciuri'!I61)</x:f>
      </x:c>
      <x:c r="K787" s="11" t="str">
        <x:f>IF(J787&lt;&gt;"PASS","",'Motor_Meciuri'!BD61)</x:f>
      </x:c>
      <x:c r="L787" s="11" t="str">
        <x:f>IF(J787&lt;&gt;"PASS","",'Motor_Meciuri'!AU61)</x:f>
      </x:c>
      <x:c r="M787" s="10" t="str">
        <x:f>IF(NOT(AND(J787="PASS",'Calibrare_Linii'!U17="VALID")),"",'Distributie'!AM61)</x:f>
      </x:c>
      <x:c r="N787" s="10" t="str">
        <x:f>IF(M787="","",MAX(0.01,MIN(0.99,0.5+(M787-0.5)*'Motor_Meciuri'!BG61*'Calibrare_Linii'!D17)))</x:f>
      </x:c>
      <x:c r="O787" s="10" t="str">
        <x:f>IF(M787="","",1-M787)</x:f>
      </x:c>
      <x:c r="P787" s="10" t="str">
        <x:f>IF(OR(NOT(AND(J787="PASS",'Calibrare_Linii'!U17="VALID")),AK787=0),""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*('Istoric_Nativ'!$Q$6:$Q$405&gt;H787))/AK787)</x:f>
      </x:c>
      <x:c r="Q787" s="10" t="str">
        <x:f>IF(OR(NOT(AND(J787="PASS",'Calibrare_Linii'!U17="VALID")),AL787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M61)+((('Istoric_Nativ'!$E$6:$E$405='Input_Meci'!E61)+('Istoric_Nativ'!$F$6:$F$405='Input_Meci'!E61))&gt;0)*('Istoric_Nativ'!$D$6:$D$405&gt;='Motor_Meciuri'!BN61))&gt;0)*('Istoric_Nativ'!$Q$6:$Q$405&gt;H787))/AL787)</x:f>
      </x:c>
      <x:c r="R787" s="10" t="str">
        <x:f>IF(OR(NOT(AND(J787="PASS",'Calibrare_Linii'!U17="VALID")),AM787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O61)+((('Istoric_Nativ'!$E$6:$E$405='Input_Meci'!E61)+('Istoric_Nativ'!$F$6:$F$405='Input_Meci'!E61))&gt;0)*('Istoric_Nativ'!$D$6:$D$405&gt;='Motor_Meciuri'!BP61))&gt;0)*('Istoric_Nativ'!$Q$6:$Q$405&gt;H787))/AM787)</x:f>
      </x:c>
      <x:c r="S787" s="10" t="str">
        <x:f>IF(M787="","",MAX(O787,P787,Q787,R787))</x:f>
      </x:c>
      <x:c r="T787" s="11" t="str">
        <x:f>IF(M787="","",MIN(100,S787*100*'Config_v6'!$B$44+MIN(100,L787/'Config_v6'!$B$13*100)*'Config_v6'!$B$45+(100-'Motor_Meciuri'!BF61)*'Config_v6'!$B$46+'Motor_Meciuri'!BH61*100*'Config_v6'!$B$47))</x:f>
      </x:c>
      <x:c r="U787" s="2" t="str">
        <x:f>IF(T787="","",IF(T787&lt;=20,1,IF(T787&lt;=40,2,IF(T787&lt;=60,3,IF(T787&lt;=80,4,5)))))</x:f>
      </x:c>
      <x:c r="V787" s="2" t="str">
        <x:f>IF(M787="","",MAX(0,'Motor_Meciuri'!BF61-IF(W787="OOS PENDING",'Config_v6'!$B$35,0)-IF(L787&gt;'Config_v6'!$B$12,'Config_v6'!$B$37,IF(L787&gt;'Config_v6'!$B$11,'Config_v6'!$B$36,0))))</x:f>
      </x:c>
      <x:c r="W787" s="2" t="str">
        <x:f>IF(B787="","",IF(I787&lt;&gt;"READY","NOT RELEASED",IF(NOT(AND(J787="PASS",'Calibrare_Linii'!U17="VALID")),"INVALID",IF(NOT(AND('Calibrare_Linii'!S17="VALIDATED",AND('Calibrare_Linii'!H17=C787,ISNUMBER('Calibrare_Linii'!J17),'Calibrare_Linii'!J17&lt;='Input_Meci'!G61))),"OOS PENDING",IF(S787&lt;='Calibrare_Linii'!E17,"PASS",IF(S787&lt;='Calibrare_Linii'!F17,"PENALTY","WATCH"))))))</x:f>
      </x:c>
      <x:c r="X787" s="2" t="str">
        <x:f>IF(M787="","",IF(AND(AND(J787="PASS",'Calibrare_Linii'!U17="VALID"),'Motor_Meciuri'!K61=12,'Motor_Meciuri'!L61=12,'Motor_Meciuri'!M61="NO",'Motor_Meciuri'!BL61='Motor_Meciuri'!C61,AB787&gt;='Config_v6'!$B$50,AN787&gt;='Config_v6'!$B$51,T787&lt;='Config_v6'!$B$52,L787&lt;='Config_v6'!$B$53,ISNUMBER('Calibrare_Linii'!E17),S787&lt;='Calibrare_Linii'!E17,SUM(AK787:AM787)&gt;0),"CANDIDATE","NO"))</x:f>
      </x:c>
      <x:c r="Y787" s="2" t="str">
        <x:f>IF(B787="","",IF(I787&lt;&gt;"READY","NOT RELEASED",IF(AND(X787="CANDIDATE",V787&gt;='Config_v6'!$B$51,W787="PASS",'Calibrare_Linii'!T17="VALIDATED",AND('Calibrare_Linii'!H17=C787,ISNUMBER('Calibrare_Linii'!J17),'Calibrare_Linii'!J17&lt;='Input_Meci'!G61)),"PASS",IF(X787="CANDIDATE","OOS PENDING","FAIL"))))</x:f>
      </x:c>
      <x:c r="Z787" s="2" t="str">
        <x:f>IF(B787="","",IF(I787&lt;&gt;"READY","",IF(OR(NOT(AND(J787="PASS",'Calibrare_Linii'!U17="VALID")),L787&gt;'Config_v6'!$B$13,W787="WATCH"),5,IF(Y787="PASS",1,MIN(5,MAX('Config_v6'!$B$42,U787)+IF(W787="PENALTY",1,0))))))</x:f>
      </x:c>
      <x:c r="AA787" s="2" t="str">
        <x:f>IF(B787="","",IF(I787&lt;&gt;"READY","NOT RELEASED",IF(Z787=5,"NO BET",IF(OR(AB787&lt;'Config_v6'!$B$16,V787&lt;'Config_v6'!$B$18),"WATCH",IF(Z787=1,"DEFENSIV",IF(Z787=2,"PRUDENT",IF(Z787=3,"MODERAT","RIDICAT")))))))</x:f>
      </x:c>
      <x:c r="AB787" s="10" t="str">
        <x:f>IF(N787="","",MIN(N787,1-S787))</x:f>
      </x:c>
      <x:c r="AC787" s="2" t="str">
        <x:f>IF(AD787&lt;&gt;1,"",COUNTIFS($Z$776:$Z$789,"&lt;"&amp;Z787,$AD$776:$AD$789,1)+COUNTIFS($Z$776:$Z$789,Z787,$AB$776:$AB$789,"&gt;"&amp;AB787,$AD$776:$AD$789,1)+COUNTIFS($Z$776:$Z$789,Z787,$AB$776:$AB$789,AB787,$V$776:$V$789,"&gt;"&amp;V787,$AD$776:$AD$789,1)+COUNTIFS($Z$776:Z787,Z787,$AB$776:AB787,AB787,$V$776:V787,V787,$AD$776:AD787,1))</x:f>
      </x:c>
      <x:c r="AD787" s="2" t="n">
        <x:f>IF(OR(AA787="DEFENSIV",AA787="PRUDENT",AA787="MODERAT",AA787="RIDICAT"),1,0)</x:f>
        <x:v>0</x:v>
      </x:c>
      <x:c r="AE787" s="2" t="str">
        <x:f>IF(AD787&lt;&gt;1,"NO",IF(W787="PASS","YES",IF(W787="OOS PENDING","CONDITIONAL","NO")))</x:f>
        <x:v>NO</x:v>
      </x:c>
      <x:c r="AF787" s="2" t="n">
        <x:f>IF(AND(AD787=1,AC787=1,E787="LIVE"),1,0)</x:f>
        <x:v>0</x:v>
      </x:c>
      <x:c r="AG787" s="2" t="str">
        <x:f>IF(AF787&lt;&gt;1,"",'Dashboard'!P81)</x:f>
      </x:c>
      <x:c r="AH787" s="2" t="str">
        <x:f>IF(B787="","",IF(J787&lt;&gt;"PASS",'Motor_Meciuri'!J61,IF('Calibrare_Linii'!U17&lt;&gt;"VALID","Parametri linie invalizi",IF(L787&gt;'Config_v6'!$B$13,"Dispersie peste limita",IF(W787="WATCH","Failure peste limita",IF(AB787&lt;'Config_v6'!$B$16,"P finala sub prag",IF(V787&lt;'Config_v6'!$B$18,"Confidence sub prag",IF(E787="REPLAY","Exemplu retrospectiv; exclus din Top LIVE",IF(Y787="PASS","DEFENSIV validat",IF(W787="OOS PENDING","Eligibil; calibrare linie in monitorizare","Eligibil"))))))))))</x:f>
      </x:c>
      <x:c r="AI787" s="2" t="str">
        <x:f>IF(B787="","",'Calibrare_Linii'!V17)</x:f>
      </x:c>
      <x:c r="AJ787" s="2" t="str">
        <x:f>IF(B787="","",IF(AND('Calibrare_Linii'!T17="VALIDATED",AND('Calibrare_Linii'!H17=C787,ISNUMBER('Calibrare_Linii'!J17),'Calibrare_Linii'!J17&lt;='Input_Meci'!G61)),"DEFENSIVE VALIDATED",IF(AND('Calibrare_Linii'!S17="VALIDATED",AND('Calibrare_Linii'!H17=C787,ISNUMBER('Calibrare_Linii'!J17),'Calibrare_Linii'!J17&lt;='Input_Meci'!G61)),"TAIL VALIDATED","OOS PENDING")))</x:f>
      </x:c>
      <x:c r="AK787" s="2" t="n">
        <x:f>IF(J787&lt;&gt;"PASS",0,'Motor_Meciuri'!BR61)</x:f>
        <x:v>0</x:v>
      </x:c>
      <x:c r="AL787" s="2" t="n">
        <x:f>IF(J787&lt;&gt;"PASS",0,'Motor_Meciuri'!BS61)</x:f>
        <x:v>0</x:v>
      </x:c>
      <x:c r="AM787" s="2" t="n">
        <x:f>IF(J787&lt;&gt;"PASS",0,'Motor_Meciuri'!BT61)</x:f>
        <x:v>0</x:v>
      </x:c>
      <x:c r="AN787" s="2" t="str">
        <x:f>IF(M787="","",MAX(0,'Motor_Meciuri'!BF61-IF(L787&gt;'Config_v6'!$B$12,'Config_v6'!$B$37,IF(L787&gt;'Config_v6'!$B$11,'Config_v6'!$B$36,0))))</x:f>
      </x:c>
    </x:row>
    <x:row r="788" ht="21" customHeight="1">
      <x:c r="A788" s="2" t="n">
        <x:v>56</x:v>
      </x:c>
      <x:c r="B788" s="2" t="str">
        <x:f>IF('Motor_Meciuri'!A61="","",'Motor_Meciuri'!A61)</x:f>
      </x:c>
      <x:c r="C788" s="2" t="str">
        <x:f>IF(B788="","",'Motor_Meciuri'!B61)</x:f>
      </x:c>
      <x:c r="D788" s="2" t="str">
        <x:f>IF(B788="","",'Motor_Meciuri'!D61)</x:f>
      </x:c>
      <x:c r="E788" s="2" t="str">
        <x:f>IF(B788="","",'Motor_Meciuri'!E61)</x:f>
      </x:c>
      <x:c r="F788" s="2" t="str">
        <x:v>U16,5</x:v>
      </x:c>
      <x:c r="G788" s="2" t="str">
        <x:v>UNDER</x:v>
      </x:c>
      <x:c r="H788" s="2" t="n">
        <x:v>16</x:v>
      </x:c>
      <x:c r="I788" s="2" t="str">
        <x:f>IF(B788="","",'Motor_Meciuri'!H61)</x:f>
      </x:c>
      <x:c r="J788" s="2" t="str">
        <x:f>IF(B788="","",'Motor_Meciuri'!I61)</x:f>
      </x:c>
      <x:c r="K788" s="11" t="str">
        <x:f>IF(J788&lt;&gt;"PASS","",'Motor_Meciuri'!BD61)</x:f>
      </x:c>
      <x:c r="L788" s="11" t="str">
        <x:f>IF(J788&lt;&gt;"PASS","",'Motor_Meciuri'!AU61)</x:f>
      </x:c>
      <x:c r="M788" s="10" t="str">
        <x:f>IF(NOT(AND(J788="PASS",'Calibrare_Linii'!U18="VALID")),"",'Distributie'!AN61)</x:f>
      </x:c>
      <x:c r="N788" s="10" t="str">
        <x:f>IF(M788="","",MAX(0.01,MIN(0.99,0.5+(M788-0.5)*'Motor_Meciuri'!BG61*'Calibrare_Linii'!D18)))</x:f>
      </x:c>
      <x:c r="O788" s="10" t="str">
        <x:f>IF(M788="","",1-M788)</x:f>
      </x:c>
      <x:c r="P788" s="10" t="str">
        <x:f>IF(OR(NOT(AND(J788="PASS",'Calibrare_Linii'!U18="VALID")),AK788=0),""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*('Istoric_Nativ'!$Q$6:$Q$405&gt;H788))/AK788)</x:f>
      </x:c>
      <x:c r="Q788" s="10" t="str">
        <x:f>IF(OR(NOT(AND(J788="PASS",'Calibrare_Linii'!U18="VALID")),AL788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M61)+((('Istoric_Nativ'!$E$6:$E$405='Input_Meci'!E61)+('Istoric_Nativ'!$F$6:$F$405='Input_Meci'!E61))&gt;0)*('Istoric_Nativ'!$D$6:$D$405&gt;='Motor_Meciuri'!BN61))&gt;0)*('Istoric_Nativ'!$Q$6:$Q$405&gt;H788))/AL788)</x:f>
      </x:c>
      <x:c r="R788" s="10" t="str">
        <x:f>IF(OR(NOT(AND(J788="PASS",'Calibrare_Linii'!U18="VALID")),AM788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O61)+((('Istoric_Nativ'!$E$6:$E$405='Input_Meci'!E61)+('Istoric_Nativ'!$F$6:$F$405='Input_Meci'!E61))&gt;0)*('Istoric_Nativ'!$D$6:$D$405&gt;='Motor_Meciuri'!BP61))&gt;0)*('Istoric_Nativ'!$Q$6:$Q$405&gt;H788))/AM788)</x:f>
      </x:c>
      <x:c r="S788" s="10" t="str">
        <x:f>IF(M788="","",MAX(O788,P788,Q788,R788))</x:f>
      </x:c>
      <x:c r="T788" s="11" t="str">
        <x:f>IF(M788="","",MIN(100,S788*100*'Config_v6'!$B$44+MIN(100,L788/'Config_v6'!$B$13*100)*'Config_v6'!$B$45+(100-'Motor_Meciuri'!BF61)*'Config_v6'!$B$46+'Motor_Meciuri'!BH61*100*'Config_v6'!$B$47))</x:f>
      </x:c>
      <x:c r="U788" s="2" t="str">
        <x:f>IF(T788="","",IF(T788&lt;=20,1,IF(T788&lt;=40,2,IF(T788&lt;=60,3,IF(T788&lt;=80,4,5)))))</x:f>
      </x:c>
      <x:c r="V788" s="2" t="str">
        <x:f>IF(M788="","",MAX(0,'Motor_Meciuri'!BF61-IF(W788="OOS PENDING",'Config_v6'!$B$35,0)-IF(L788&gt;'Config_v6'!$B$12,'Config_v6'!$B$37,IF(L788&gt;'Config_v6'!$B$11,'Config_v6'!$B$36,0))))</x:f>
      </x:c>
      <x:c r="W788" s="2" t="str">
        <x:f>IF(B788="","",IF(I788&lt;&gt;"READY","NOT RELEASED",IF(NOT(AND(J788="PASS",'Calibrare_Linii'!U18="VALID")),"INVALID",IF(NOT(AND('Calibrare_Linii'!S18="VALIDATED",AND('Calibrare_Linii'!H18=C788,ISNUMBER('Calibrare_Linii'!J18),'Calibrare_Linii'!J18&lt;='Input_Meci'!G61))),"OOS PENDING",IF(S788&lt;='Calibrare_Linii'!E18,"PASS",IF(S788&lt;='Calibrare_Linii'!F18,"PENALTY","WATCH"))))))</x:f>
      </x:c>
      <x:c r="X788" s="2" t="str">
        <x:f>IF(M788="","",IF(AND(AND(J788="PASS",'Calibrare_Linii'!U18="VALID"),'Motor_Meciuri'!K61=12,'Motor_Meciuri'!L61=12,'Motor_Meciuri'!M61="NO",'Motor_Meciuri'!BL61='Motor_Meciuri'!C61,AB788&gt;='Config_v6'!$B$50,AN788&gt;='Config_v6'!$B$51,T788&lt;='Config_v6'!$B$52,L788&lt;='Config_v6'!$B$53,ISNUMBER('Calibrare_Linii'!E18),S788&lt;='Calibrare_Linii'!E18,SUM(AK788:AM788)&gt;0),"CANDIDATE","NO"))</x:f>
      </x:c>
      <x:c r="Y788" s="2" t="str">
        <x:f>IF(B788="","",IF(I788&lt;&gt;"READY","NOT RELEASED",IF(AND(X788="CANDIDATE",V788&gt;='Config_v6'!$B$51,W788="PASS",'Calibrare_Linii'!T18="VALIDATED",AND('Calibrare_Linii'!H18=C788,ISNUMBER('Calibrare_Linii'!J18),'Calibrare_Linii'!J18&lt;='Input_Meci'!G61)),"PASS",IF(X788="CANDIDATE","OOS PENDING","FAIL"))))</x:f>
      </x:c>
      <x:c r="Z788" s="2" t="str">
        <x:f>IF(B788="","",IF(I788&lt;&gt;"READY","",IF(OR(NOT(AND(J788="PASS",'Calibrare_Linii'!U18="VALID")),L788&gt;'Config_v6'!$B$13,W788="WATCH"),5,IF(Y788="PASS",1,MIN(5,MAX('Config_v6'!$B$42,U788)+IF(W788="PENALTY",1,0))))))</x:f>
      </x:c>
      <x:c r="AA788" s="2" t="str">
        <x:f>IF(B788="","",IF(I788&lt;&gt;"READY","NOT RELEASED",IF(Z788=5,"NO BET",IF(OR(AB788&lt;'Config_v6'!$B$16,V788&lt;'Config_v6'!$B$18),"WATCH",IF(Z788=1,"DEFENSIV",IF(Z788=2,"PRUDENT",IF(Z788=3,"MODERAT","RIDICAT")))))))</x:f>
      </x:c>
      <x:c r="AB788" s="10" t="str">
        <x:f>IF(N788="","",MIN(N788,1-S788))</x:f>
      </x:c>
      <x:c r="AC788" s="2" t="str">
        <x:f>IF(AD788&lt;&gt;1,"",COUNTIFS($Z$776:$Z$789,"&lt;"&amp;Z788,$AD$776:$AD$789,1)+COUNTIFS($Z$776:$Z$789,Z788,$AB$776:$AB$789,"&gt;"&amp;AB788,$AD$776:$AD$789,1)+COUNTIFS($Z$776:$Z$789,Z788,$AB$776:$AB$789,AB788,$V$776:$V$789,"&gt;"&amp;V788,$AD$776:$AD$789,1)+COUNTIFS($Z$776:Z788,Z788,$AB$776:AB788,AB788,$V$776:V788,V788,$AD$776:AD788,1))</x:f>
      </x:c>
      <x:c r="AD788" s="2" t="n">
        <x:f>IF(OR(AA788="DEFENSIV",AA788="PRUDENT",AA788="MODERAT",AA788="RIDICAT"),1,0)</x:f>
        <x:v>0</x:v>
      </x:c>
      <x:c r="AE788" s="2" t="str">
        <x:f>IF(AD788&lt;&gt;1,"NO",IF(W788="PASS","YES",IF(W788="OOS PENDING","CONDITIONAL","NO")))</x:f>
        <x:v>NO</x:v>
      </x:c>
      <x:c r="AF788" s="2" t="n">
        <x:f>IF(AND(AD788=1,AC788=1,E788="LIVE"),1,0)</x:f>
        <x:v>0</x:v>
      </x:c>
      <x:c r="AG788" s="2" t="str">
        <x:f>IF(AF788&lt;&gt;1,"",'Dashboard'!P81)</x:f>
      </x:c>
      <x:c r="AH788" s="2" t="str">
        <x:f>IF(B788="","",IF(J788&lt;&gt;"PASS",'Motor_Meciuri'!J61,IF('Calibrare_Linii'!U18&lt;&gt;"VALID","Parametri linie invalizi",IF(L788&gt;'Config_v6'!$B$13,"Dispersie peste limita",IF(W788="WATCH","Failure peste limita",IF(AB788&lt;'Config_v6'!$B$16,"P finala sub prag",IF(V788&lt;'Config_v6'!$B$18,"Confidence sub prag",IF(E788="REPLAY","Exemplu retrospectiv; exclus din Top LIVE",IF(Y788="PASS","DEFENSIV validat",IF(W788="OOS PENDING","Eligibil; calibrare linie in monitorizare","Eligibil"))))))))))</x:f>
      </x:c>
      <x:c r="AI788" s="2" t="str">
        <x:f>IF(B788="","",'Calibrare_Linii'!V18)</x:f>
      </x:c>
      <x:c r="AJ788" s="2" t="str">
        <x:f>IF(B788="","",IF(AND('Calibrare_Linii'!T18="VALIDATED",AND('Calibrare_Linii'!H18=C788,ISNUMBER('Calibrare_Linii'!J18),'Calibrare_Linii'!J18&lt;='Input_Meci'!G61)),"DEFENSIVE VALIDATED",IF(AND('Calibrare_Linii'!S18="VALIDATED",AND('Calibrare_Linii'!H18=C788,ISNUMBER('Calibrare_Linii'!J18),'Calibrare_Linii'!J18&lt;='Input_Meci'!G61)),"TAIL VALIDATED","OOS PENDING")))</x:f>
      </x:c>
      <x:c r="AK788" s="2" t="n">
        <x:f>IF(J788&lt;&gt;"PASS",0,'Motor_Meciuri'!BR61)</x:f>
        <x:v>0</x:v>
      </x:c>
      <x:c r="AL788" s="2" t="n">
        <x:f>IF(J788&lt;&gt;"PASS",0,'Motor_Meciuri'!BS61)</x:f>
        <x:v>0</x:v>
      </x:c>
      <x:c r="AM788" s="2" t="n">
        <x:f>IF(J788&lt;&gt;"PASS",0,'Motor_Meciuri'!BT61)</x:f>
        <x:v>0</x:v>
      </x:c>
      <x:c r="AN788" s="2" t="str">
        <x:f>IF(M788="","",MAX(0,'Motor_Meciuri'!BF61-IF(L788&gt;'Config_v6'!$B$12,'Config_v6'!$B$37,IF(L788&gt;'Config_v6'!$B$11,'Config_v6'!$B$36,0))))</x:f>
      </x:c>
    </x:row>
    <x:row r="789" ht="21" customHeight="1">
      <x:c r="A789" s="2" t="n">
        <x:v>56</x:v>
      </x:c>
      <x:c r="B789" s="2" t="str">
        <x:f>IF('Motor_Meciuri'!A61="","",'Motor_Meciuri'!A61)</x:f>
      </x:c>
      <x:c r="C789" s="2" t="str">
        <x:f>IF(B789="","",'Motor_Meciuri'!B61)</x:f>
      </x:c>
      <x:c r="D789" s="2" t="str">
        <x:f>IF(B789="","",'Motor_Meciuri'!D61)</x:f>
      </x:c>
      <x:c r="E789" s="2" t="str">
        <x:f>IF(B789="","",'Motor_Meciuri'!E61)</x:f>
      </x:c>
      <x:c r="F789" s="2" t="str">
        <x:v>U17,5</x:v>
      </x:c>
      <x:c r="G789" s="2" t="str">
        <x:v>UNDER</x:v>
      </x:c>
      <x:c r="H789" s="2" t="n">
        <x:v>17</x:v>
      </x:c>
      <x:c r="I789" s="2" t="str">
        <x:f>IF(B789="","",'Motor_Meciuri'!H61)</x:f>
      </x:c>
      <x:c r="J789" s="2" t="str">
        <x:f>IF(B789="","",'Motor_Meciuri'!I61)</x:f>
      </x:c>
      <x:c r="K789" s="11" t="str">
        <x:f>IF(J789&lt;&gt;"PASS","",'Motor_Meciuri'!BD61)</x:f>
      </x:c>
      <x:c r="L789" s="11" t="str">
        <x:f>IF(J789&lt;&gt;"PASS","",'Motor_Meciuri'!AU61)</x:f>
      </x:c>
      <x:c r="M789" s="10" t="str">
        <x:f>IF(NOT(AND(J789="PASS",'Calibrare_Linii'!U19="VALID")),"",'Distributie'!AO61)</x:f>
      </x:c>
      <x:c r="N789" s="10" t="str">
        <x:f>IF(M789="","",MAX(0.01,MIN(0.99,0.5+(M789-0.5)*'Motor_Meciuri'!BG61*'Calibrare_Linii'!D19)))</x:f>
      </x:c>
      <x:c r="O789" s="10" t="str">
        <x:f>IF(M789="","",1-M789)</x:f>
      </x:c>
      <x:c r="P789" s="10" t="str">
        <x:f>IF(OR(NOT(AND(J789="PASS",'Calibrare_Linii'!U19="VALID")),AK789=0),""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*('Istoric_Nativ'!$Q$6:$Q$405&gt;H789))/AK789)</x:f>
      </x:c>
      <x:c r="Q789" s="10" t="str">
        <x:f>IF(OR(NOT(AND(J789="PASS",'Calibrare_Linii'!U19="VALID")),AL789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M61)+((('Istoric_Nativ'!$E$6:$E$405='Input_Meci'!E61)+('Istoric_Nativ'!$F$6:$F$405='Input_Meci'!E61))&gt;0)*('Istoric_Nativ'!$D$6:$D$405&gt;='Motor_Meciuri'!BN61))&gt;0)*('Istoric_Nativ'!$Q$6:$Q$405&gt;H789))/AL789)</x:f>
      </x:c>
      <x:c r="R789" s="10" t="str">
        <x:f>IF(OR(NOT(AND(J789="PASS",'Calibrare_Linii'!U19="VALID")),AM789=0),""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'Motor_Meciuri'!BO61)+((('Istoric_Nativ'!$E$6:$E$405='Input_Meci'!E61)+('Istoric_Nativ'!$F$6:$F$405='Input_Meci'!E61))&gt;0)*('Istoric_Nativ'!$D$6:$D$405&gt;='Motor_Meciuri'!BP61))&gt;0)*('Istoric_Nativ'!$Q$6:$Q$405&gt;H789))/AM789)</x:f>
      </x:c>
      <x:c r="S789" s="10" t="str">
        <x:f>IF(M789="","",MAX(O789,P789,Q789,R789))</x:f>
      </x:c>
      <x:c r="T789" s="11" t="str">
        <x:f>IF(M789="","",MIN(100,S789*100*'Config_v6'!$B$44+MIN(100,L789/'Config_v6'!$B$13*100)*'Config_v6'!$B$45+(100-'Motor_Meciuri'!BF61)*'Config_v6'!$B$46+'Motor_Meciuri'!BH61*100*'Config_v6'!$B$47))</x:f>
      </x:c>
      <x:c r="U789" s="2" t="str">
        <x:f>IF(T789="","",IF(T789&lt;=20,1,IF(T789&lt;=40,2,IF(T789&lt;=60,3,IF(T789&lt;=80,4,5)))))</x:f>
      </x:c>
      <x:c r="V789" s="2" t="str">
        <x:f>IF(M789="","",MAX(0,'Motor_Meciuri'!BF61-IF(W789="OOS PENDING",'Config_v6'!$B$35,0)-IF(L789&gt;'Config_v6'!$B$12,'Config_v6'!$B$37,IF(L789&gt;'Config_v6'!$B$11,'Config_v6'!$B$36,0))))</x:f>
      </x:c>
      <x:c r="W789" s="2" t="str">
        <x:f>IF(B789="","",IF(I789&lt;&gt;"READY","NOT RELEASED",IF(NOT(AND(J789="PASS",'Calibrare_Linii'!U19="VALID")),"INVALID",IF(NOT(AND('Calibrare_Linii'!S19="VALIDATED",AND('Calibrare_Linii'!H19=C789,ISNUMBER('Calibrare_Linii'!J19),'Calibrare_Linii'!J19&lt;='Input_Meci'!G61))),"OOS PENDING",IF(S789&lt;='Calibrare_Linii'!E19,"PASS",IF(S789&lt;='Calibrare_Linii'!F19,"PENALTY","WATCH"))))))</x:f>
      </x:c>
      <x:c r="X789" s="2" t="str">
        <x:f>IF(M789="","",IF(AND(AND(J789="PASS",'Calibrare_Linii'!U19="VALID"),'Motor_Meciuri'!K61=12,'Motor_Meciuri'!L61=12,'Motor_Meciuri'!M61="NO",'Motor_Meciuri'!BL61='Motor_Meciuri'!C61,AB789&gt;='Config_v6'!$B$50,AN789&gt;='Config_v6'!$B$51,T789&lt;='Config_v6'!$B$52,L789&lt;='Config_v6'!$B$53,ISNUMBER('Calibrare_Linii'!E19),S789&lt;='Calibrare_Linii'!E19,SUM(AK789:AM789)&gt;0),"CANDIDATE","NO"))</x:f>
      </x:c>
      <x:c r="Y789" s="2" t="str">
        <x:f>IF(B789="","",IF(I789&lt;&gt;"READY","NOT RELEASED",IF(AND(X789="CANDIDATE",V789&gt;='Config_v6'!$B$51,W789="PASS",'Calibrare_Linii'!T19="VALIDATED",AND('Calibrare_Linii'!H19=C789,ISNUMBER('Calibrare_Linii'!J19),'Calibrare_Linii'!J19&lt;='Input_Meci'!G61)),"PASS",IF(X789="CANDIDATE","OOS PENDING","FAIL"))))</x:f>
      </x:c>
      <x:c r="Z789" s="2" t="str">
        <x:f>IF(B789="","",IF(I789&lt;&gt;"READY","",IF(OR(NOT(AND(J789="PASS",'Calibrare_Linii'!U19="VALID")),L789&gt;'Config_v6'!$B$13,W789="WATCH"),5,IF(Y789="PASS",1,MIN(5,MAX('Config_v6'!$B$42,U789)+IF(W789="PENALTY",1,0))))))</x:f>
      </x:c>
      <x:c r="AA789" s="2" t="str">
        <x:f>IF(B789="","",IF(I789&lt;&gt;"READY","NOT RELEASED",IF(Z789=5,"NO BET",IF(OR(AB789&lt;'Config_v6'!$B$16,V789&lt;'Config_v6'!$B$18),"WATCH",IF(Z789=1,"DEFENSIV",IF(Z789=2,"PRUDENT",IF(Z789=3,"MODERAT","RIDICAT")))))))</x:f>
      </x:c>
      <x:c r="AB789" s="10" t="str">
        <x:f>IF(N789="","",MIN(N789,1-S789))</x:f>
      </x:c>
      <x:c r="AC789" s="2" t="str">
        <x:f>IF(AD789&lt;&gt;1,"",COUNTIFS($Z$776:$Z$789,"&lt;"&amp;Z789,$AD$776:$AD$789,1)+COUNTIFS($Z$776:$Z$789,Z789,$AB$776:$AB$789,"&gt;"&amp;AB789,$AD$776:$AD$789,1)+COUNTIFS($Z$776:$Z$789,Z789,$AB$776:$AB$789,AB789,$V$776:$V$789,"&gt;"&amp;V789,$AD$776:$AD$789,1)+COUNTIFS($Z$776:Z789,Z789,$AB$776:AB789,AB789,$V$776:V789,V789,$AD$776:AD789,1))</x:f>
      </x:c>
      <x:c r="AD789" s="2" t="n">
        <x:f>IF(OR(AA789="DEFENSIV",AA789="PRUDENT",AA789="MODERAT",AA789="RIDICAT"),1,0)</x:f>
        <x:v>0</x:v>
      </x:c>
      <x:c r="AE789" s="2" t="str">
        <x:f>IF(AD789&lt;&gt;1,"NO",IF(W789="PASS","YES",IF(W789="OOS PENDING","CONDITIONAL","NO")))</x:f>
        <x:v>NO</x:v>
      </x:c>
      <x:c r="AF789" s="2" t="n">
        <x:f>IF(AND(AD789=1,AC789=1,E789="LIVE"),1,0)</x:f>
        <x:v>0</x:v>
      </x:c>
      <x:c r="AG789" s="2" t="str">
        <x:f>IF(AF789&lt;&gt;1,"",'Dashboard'!P81)</x:f>
      </x:c>
      <x:c r="AH789" s="2" t="str">
        <x:f>IF(B789="","",IF(J789&lt;&gt;"PASS",'Motor_Meciuri'!J61,IF('Calibrare_Linii'!U19&lt;&gt;"VALID","Parametri linie invalizi",IF(L789&gt;'Config_v6'!$B$13,"Dispersie peste limita",IF(W789="WATCH","Failure peste limita",IF(AB789&lt;'Config_v6'!$B$16,"P finala sub prag",IF(V789&lt;'Config_v6'!$B$18,"Confidence sub prag",IF(E789="REPLAY","Exemplu retrospectiv; exclus din Top LIVE",IF(Y789="PASS","DEFENSIV validat",IF(W789="OOS PENDING","Eligibil; calibrare linie in monitorizare","Eligibil"))))))))))</x:f>
      </x:c>
      <x:c r="AI789" s="2" t="str">
        <x:f>IF(B789="","",'Calibrare_Linii'!V19)</x:f>
      </x:c>
      <x:c r="AJ789" s="2" t="str">
        <x:f>IF(B789="","",IF(AND('Calibrare_Linii'!T19="VALIDATED",AND('Calibrare_Linii'!H19=C789,ISNUMBER('Calibrare_Linii'!J19),'Calibrare_Linii'!J19&lt;='Input_Meci'!G61)),"DEFENSIVE VALIDATED",IF(AND('Calibrare_Linii'!S19="VALIDATED",AND('Calibrare_Linii'!H19=C789,ISNUMBER('Calibrare_Linii'!J19),'Calibrare_Linii'!J19&lt;='Input_Meci'!G61)),"TAIL VALIDATED","OOS PENDING")))</x:f>
      </x:c>
      <x:c r="AK789" s="2" t="n">
        <x:f>IF(J789&lt;&gt;"PASS",0,'Motor_Meciuri'!BR61)</x:f>
        <x:v>0</x:v>
      </x:c>
      <x:c r="AL789" s="2" t="n">
        <x:f>IF(J789&lt;&gt;"PASS",0,'Motor_Meciuri'!BS61)</x:f>
        <x:v>0</x:v>
      </x:c>
      <x:c r="AM789" s="2" t="n">
        <x:f>IF(J789&lt;&gt;"PASS",0,'Motor_Meciuri'!BT61)</x:f>
        <x:v>0</x:v>
      </x:c>
      <x:c r="AN789" s="2" t="str">
        <x:f>IF(M789="","",MAX(0,'Motor_Meciuri'!BF61-IF(L789&gt;'Config_v6'!$B$12,'Config_v6'!$B$37,IF(L789&gt;'Config_v6'!$B$11,'Config_v6'!$B$36,0))))</x:f>
      </x:c>
    </x:row>
    <x:row r="790" ht="21" customHeight="1">
      <x:c r="A790" s="2" t="n">
        <x:v>57</x:v>
      </x:c>
      <x:c r="B790" s="2" t="str">
        <x:f>IF('Motor_Meciuri'!A62="","",'Motor_Meciuri'!A62)</x:f>
      </x:c>
      <x:c r="C790" s="2" t="str">
        <x:f>IF(B790="","",'Motor_Meciuri'!B62)</x:f>
      </x:c>
      <x:c r="D790" s="2" t="str">
        <x:f>IF(B790="","",'Motor_Meciuri'!D62)</x:f>
      </x:c>
      <x:c r="E790" s="2" t="str">
        <x:f>IF(B790="","",'Motor_Meciuri'!E62)</x:f>
      </x:c>
      <x:c r="F790" s="2" t="str">
        <x:v>O3,5</x:v>
      </x:c>
      <x:c r="G790" s="2" t="str">
        <x:v>OVER</x:v>
      </x:c>
      <x:c r="H790" s="2" t="n">
        <x:v>3</x:v>
      </x:c>
      <x:c r="I790" s="2" t="str">
        <x:f>IF(B790="","",'Motor_Meciuri'!H62)</x:f>
      </x:c>
      <x:c r="J790" s="2" t="str">
        <x:f>IF(B790="","",'Motor_Meciuri'!I62)</x:f>
      </x:c>
      <x:c r="K790" s="11" t="str">
        <x:f>IF(J790&lt;&gt;"PASS","",'Motor_Meciuri'!BD62)</x:f>
      </x:c>
      <x:c r="L790" s="11" t="str">
        <x:f>IF(J790&lt;&gt;"PASS","",'Motor_Meciuri'!AU62)</x:f>
      </x:c>
      <x:c r="M790" s="10" t="str">
        <x:f>IF(NOT(AND(J790="PASS",'Calibrare_Linii'!U6="VALID")),"",1-'Distributie'!AA62)</x:f>
      </x:c>
      <x:c r="N790" s="10" t="str">
        <x:f>IF(M790="","",MAX(0.01,MIN(0.99,0.5+(M790-0.5)*'Motor_Meciuri'!BG62*'Calibrare_Linii'!D6)))</x:f>
      </x:c>
      <x:c r="O790" s="10" t="str">
        <x:f>IF(M790="","",1-M790)</x:f>
      </x:c>
      <x:c r="P790" s="10" t="str">
        <x:f>IF(OR(NOT(AND(J790="PASS",'Calibrare_Linii'!U6="VALID")),AK790=0),""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*('Istoric_Nativ'!$Q$6:$Q$405&lt;=H790))/AK790)</x:f>
      </x:c>
      <x:c r="Q790" s="10" t="str">
        <x:f>IF(OR(NOT(AND(J790="PASS",'Calibrare_Linii'!U6="VALID")),AL790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M62)+((('Istoric_Nativ'!$E$6:$E$405='Input_Meci'!E62)+('Istoric_Nativ'!$F$6:$F$405='Input_Meci'!E62))&gt;0)*('Istoric_Nativ'!$D$6:$D$405&gt;='Motor_Meciuri'!BN62))&gt;0)*('Istoric_Nativ'!$Q$6:$Q$405&lt;=H790))/AL790)</x:f>
      </x:c>
      <x:c r="R790" s="10" t="str">
        <x:f>IF(OR(NOT(AND(J790="PASS",'Calibrare_Linii'!U6="VALID")),AM790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O62)+((('Istoric_Nativ'!$E$6:$E$405='Input_Meci'!E62)+('Istoric_Nativ'!$F$6:$F$405='Input_Meci'!E62))&gt;0)*('Istoric_Nativ'!$D$6:$D$405&gt;='Motor_Meciuri'!BP62))&gt;0)*('Istoric_Nativ'!$Q$6:$Q$405&lt;=H790))/AM790)</x:f>
      </x:c>
      <x:c r="S790" s="10" t="str">
        <x:f>IF(M790="","",MAX(O790,P790,Q790,R790))</x:f>
      </x:c>
      <x:c r="T790" s="11" t="str">
        <x:f>IF(M790="","",MIN(100,S790*100*'Config_v6'!$B$44+MIN(100,L790/'Config_v6'!$B$13*100)*'Config_v6'!$B$45+(100-'Motor_Meciuri'!BF62)*'Config_v6'!$B$46+'Motor_Meciuri'!BH62*100*'Config_v6'!$B$47))</x:f>
      </x:c>
      <x:c r="U790" s="2" t="str">
        <x:f>IF(T790="","",IF(T790&lt;=20,1,IF(T790&lt;=40,2,IF(T790&lt;=60,3,IF(T790&lt;=80,4,5)))))</x:f>
      </x:c>
      <x:c r="V790" s="2" t="str">
        <x:f>IF(M790="","",MAX(0,'Motor_Meciuri'!BF62-IF(W790="OOS PENDING",'Config_v6'!$B$35,0)-IF(L790&gt;'Config_v6'!$B$12,'Config_v6'!$B$37,IF(L790&gt;'Config_v6'!$B$11,'Config_v6'!$B$36,0))))</x:f>
      </x:c>
      <x:c r="W790" s="2" t="str">
        <x:f>IF(B790="","",IF(I790&lt;&gt;"READY","NOT RELEASED",IF(NOT(AND(J790="PASS",'Calibrare_Linii'!U6="VALID")),"INVALID",IF(NOT(TRUE),"OOS PENDING",IF(S790&lt;=IF(AND('Calibrare_Linii'!S6="VALIDATED",AND('Calibrare_Linii'!H6=C790,ISNUMBER('Calibrare_Linii'!J6),'Calibrare_Linii'!J6&lt;='Input_Meci'!G62)),'Calibrare_Linii'!E6,'Config_v6'!$B$26),"PASS",IF(S790&lt;=IF(AND('Calibrare_Linii'!S6="VALIDATED",AND('Calibrare_Linii'!H6=C790,ISNUMBER('Calibrare_Linii'!J6),'Calibrare_Linii'!J6&lt;='Input_Meci'!G62)),'Calibrare_Linii'!F6,'Config_v6'!$C$26),"PENALTY","WATCH"))))))</x:f>
      </x:c>
      <x:c r="X790" s="2" t="str">
        <x:f>IF(M790="","",IF(AND(AND(J790="PASS",'Calibrare_Linii'!U6="VALID"),'Motor_Meciuri'!K62=12,'Motor_Meciuri'!L62=12,'Motor_Meciuri'!M62="NO",'Motor_Meciuri'!BL62='Motor_Meciuri'!C62,AB790&gt;='Config_v6'!$B$50,AN790&gt;='Config_v6'!$B$51,T790&lt;='Config_v6'!$B$52,L790&lt;='Config_v6'!$B$53,ISNUMBER('Calibrare_Linii'!E6),S790&lt;='Calibrare_Linii'!E6,SUM(AK790:AM790)&gt;0),"CANDIDATE","NO"))</x:f>
      </x:c>
      <x:c r="Y790" s="2" t="str">
        <x:f>IF(B790="","",IF(I790&lt;&gt;"READY","NOT RELEASED",IF(AND(X790="CANDIDATE",V790&gt;='Config_v6'!$B$51,W790="PASS",'Calibrare_Linii'!T6="VALIDATED",AND('Calibrare_Linii'!H6=C790,ISNUMBER('Calibrare_Linii'!J6),'Calibrare_Linii'!J6&lt;='Input_Meci'!G62)),"PASS",IF(X790="CANDIDATE","OOS PENDING","FAIL"))))</x:f>
      </x:c>
      <x:c r="Z790" s="2" t="str">
        <x:f>IF(B790="","",IF(I790&lt;&gt;"READY","",IF(OR(NOT(AND(J790="PASS",'Calibrare_Linii'!U6="VALID")),L790&gt;'Config_v6'!$B$13,W790="WATCH"),5,IF(Y790="PASS",1,MIN(5,MAX('Config_v6'!$B$42,U790)+IF(W790="PENALTY",1,0))))))</x:f>
      </x:c>
      <x:c r="AA790" s="2" t="str">
        <x:f>IF(B790="","",IF(I790&lt;&gt;"READY","NOT RELEASED",IF(Z790=5,"NO BET",IF(OR(AB790&lt;'Config_v6'!$B$16,V790&lt;'Config_v6'!$B$18),"WATCH",IF(Z790=1,"DEFENSIV",IF(Z790=2,"PRUDENT",IF(Z790=3,"MODERAT","RIDICAT")))))))</x:f>
      </x:c>
      <x:c r="AB790" s="10" t="str">
        <x:f>IF(N790="","",MIN(N790,1-S790))</x:f>
      </x:c>
      <x:c r="AC790" s="2" t="str">
        <x:f>IF(AD790&lt;&gt;1,"",COUNTIFS($Z$790:$Z$803,"&lt;"&amp;Z790,$AD$790:$AD$803,1)+COUNTIFS($Z$790:$Z$803,Z790,$AB$790:$AB$803,"&gt;"&amp;AB790,$AD$790:$AD$803,1)+COUNTIFS($Z$790:$Z$803,Z790,$AB$790:$AB$803,AB790,$V$790:$V$803,"&gt;"&amp;V790,$AD$790:$AD$803,1)+COUNTIFS($Z$790:Z790,Z790,$AB$790:AB790,AB790,$V$790:V790,V790,$AD$790:AD790,1))</x:f>
      </x:c>
      <x:c r="AD790" s="2" t="n">
        <x:f>IF(OR(AA790="DEFENSIV",AA790="PRUDENT",AA790="MODERAT",AA790="RIDICAT"),1,0)</x:f>
        <x:v>0</x:v>
      </x:c>
      <x:c r="AE790" s="2" t="str">
        <x:f>IF(AD790&lt;&gt;1,"NO",IF(W790="PASS","YES",IF(W790="OOS PENDING","CONDITIONAL","NO")))</x:f>
        <x:v>NO</x:v>
      </x:c>
      <x:c r="AF790" s="2" t="n">
        <x:f>IF(AND(AD790=1,AC790=1,E790="LIVE"),1,0)</x:f>
        <x:v>0</x:v>
      </x:c>
      <x:c r="AG790" s="2" t="str">
        <x:f>IF(AF790&lt;&gt;1,"",'Dashboard'!P82)</x:f>
      </x:c>
      <x:c r="AH790" s="2" t="str">
        <x:f>IF(B790="","",IF(J790&lt;&gt;"PASS",'Motor_Meciuri'!J62,IF('Calibrare_Linii'!U6&lt;&gt;"VALID","Parametri linie invalizi",IF(L790&gt;'Config_v6'!$B$13,"Dispersie peste limita",IF(W790="WATCH","Failure peste limita",IF(AB790&lt;'Config_v6'!$B$16,"P finala sub prag",IF(V790&lt;'Config_v6'!$B$18,"Confidence sub prag",IF(E790="REPLAY","Exemplu retrospectiv; exclus din Top LIVE",IF(Y790="PASS","DEFENSIV validat",IF(W790="OOS PENDING","Eligibil; calibrare linie in monitorizare","Eligibil"))))))))))</x:f>
      </x:c>
      <x:c r="AI790" s="2" t="str">
        <x:f>IF(B790="","",'Calibrare_Linii'!V6)</x:f>
      </x:c>
      <x:c r="AJ790" s="2" t="str">
        <x:f>IF(B790="","",IF(AND('Calibrare_Linii'!T6="VALIDATED",AND('Calibrare_Linii'!H6=C790,ISNUMBER('Calibrare_Linii'!J6),'Calibrare_Linii'!J6&lt;='Input_Meci'!G62)),"DEFENSIVE VALIDATED",IF(AND('Calibrare_Linii'!S6="VALIDATED",AND('Calibrare_Linii'!H6=C790,ISNUMBER('Calibrare_Linii'!J6),'Calibrare_Linii'!J6&lt;='Input_Meci'!G62)),"TAIL VALIDATED","OOS PENDING")))</x:f>
      </x:c>
      <x:c r="AK790" s="2" t="n">
        <x:f>IF(J790&lt;&gt;"PASS",0,'Motor_Meciuri'!BR62)</x:f>
        <x:v>0</x:v>
      </x:c>
      <x:c r="AL790" s="2" t="n">
        <x:f>IF(J790&lt;&gt;"PASS",0,'Motor_Meciuri'!BS62)</x:f>
        <x:v>0</x:v>
      </x:c>
      <x:c r="AM790" s="2" t="n">
        <x:f>IF(J790&lt;&gt;"PASS",0,'Motor_Meciuri'!BT62)</x:f>
        <x:v>0</x:v>
      </x:c>
      <x:c r="AN790" s="2" t="str">
        <x:f>IF(M790="","",MAX(0,'Motor_Meciuri'!BF62-IF(L790&gt;'Config_v6'!$B$12,'Config_v6'!$B$37,IF(L790&gt;'Config_v6'!$B$11,'Config_v6'!$B$36,0))))</x:f>
      </x:c>
    </x:row>
    <x:row r="791" ht="21" customHeight="1">
      <x:c r="A791" s="2" t="n">
        <x:v>57</x:v>
      </x:c>
      <x:c r="B791" s="2" t="str">
        <x:f>IF('Motor_Meciuri'!A62="","",'Motor_Meciuri'!A62)</x:f>
      </x:c>
      <x:c r="C791" s="2" t="str">
        <x:f>IF(B791="","",'Motor_Meciuri'!B62)</x:f>
      </x:c>
      <x:c r="D791" s="2" t="str">
        <x:f>IF(B791="","",'Motor_Meciuri'!D62)</x:f>
      </x:c>
      <x:c r="E791" s="2" t="str">
        <x:f>IF(B791="","",'Motor_Meciuri'!E62)</x:f>
      </x:c>
      <x:c r="F791" s="2" t="str">
        <x:v>O4,5</x:v>
      </x:c>
      <x:c r="G791" s="2" t="str">
        <x:v>OVER</x:v>
      </x:c>
      <x:c r="H791" s="2" t="n">
        <x:v>4</x:v>
      </x:c>
      <x:c r="I791" s="2" t="str">
        <x:f>IF(B791="","",'Motor_Meciuri'!H62)</x:f>
      </x:c>
      <x:c r="J791" s="2" t="str">
        <x:f>IF(B791="","",'Motor_Meciuri'!I62)</x:f>
      </x:c>
      <x:c r="K791" s="11" t="str">
        <x:f>IF(J791&lt;&gt;"PASS","",'Motor_Meciuri'!BD62)</x:f>
      </x:c>
      <x:c r="L791" s="11" t="str">
        <x:f>IF(J791&lt;&gt;"PASS","",'Motor_Meciuri'!AU62)</x:f>
      </x:c>
      <x:c r="M791" s="10" t="str">
        <x:f>IF(NOT(AND(J791="PASS",'Calibrare_Linii'!U7="VALID")),"",1-'Distributie'!AB62)</x:f>
      </x:c>
      <x:c r="N791" s="10" t="str">
        <x:f>IF(M791="","",MAX(0.01,MIN(0.99,0.5+(M791-0.5)*'Motor_Meciuri'!BG62*'Calibrare_Linii'!D7)))</x:f>
      </x:c>
      <x:c r="O791" s="10" t="str">
        <x:f>IF(M791="","",1-M791)</x:f>
      </x:c>
      <x:c r="P791" s="10" t="str">
        <x:f>IF(OR(NOT(AND(J791="PASS",'Calibrare_Linii'!U7="VALID")),AK791=0),""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*('Istoric_Nativ'!$Q$6:$Q$405&lt;=H791))/AK791)</x:f>
      </x:c>
      <x:c r="Q791" s="10" t="str">
        <x:f>IF(OR(NOT(AND(J791="PASS",'Calibrare_Linii'!U7="VALID")),AL791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M62)+((('Istoric_Nativ'!$E$6:$E$405='Input_Meci'!E62)+('Istoric_Nativ'!$F$6:$F$405='Input_Meci'!E62))&gt;0)*('Istoric_Nativ'!$D$6:$D$405&gt;='Motor_Meciuri'!BN62))&gt;0)*('Istoric_Nativ'!$Q$6:$Q$405&lt;=H791))/AL791)</x:f>
      </x:c>
      <x:c r="R791" s="10" t="str">
        <x:f>IF(OR(NOT(AND(J791="PASS",'Calibrare_Linii'!U7="VALID")),AM791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O62)+((('Istoric_Nativ'!$E$6:$E$405='Input_Meci'!E62)+('Istoric_Nativ'!$F$6:$F$405='Input_Meci'!E62))&gt;0)*('Istoric_Nativ'!$D$6:$D$405&gt;='Motor_Meciuri'!BP62))&gt;0)*('Istoric_Nativ'!$Q$6:$Q$405&lt;=H791))/AM791)</x:f>
      </x:c>
      <x:c r="S791" s="10" t="str">
        <x:f>IF(M791="","",MAX(O791,P791,Q791,R791))</x:f>
      </x:c>
      <x:c r="T791" s="11" t="str">
        <x:f>IF(M791="","",MIN(100,S791*100*'Config_v6'!$B$44+MIN(100,L791/'Config_v6'!$B$13*100)*'Config_v6'!$B$45+(100-'Motor_Meciuri'!BF62)*'Config_v6'!$B$46+'Motor_Meciuri'!BH62*100*'Config_v6'!$B$47))</x:f>
      </x:c>
      <x:c r="U791" s="2" t="str">
        <x:f>IF(T791="","",IF(T791&lt;=20,1,IF(T791&lt;=40,2,IF(T791&lt;=60,3,IF(T791&lt;=80,4,5)))))</x:f>
      </x:c>
      <x:c r="V791" s="2" t="str">
        <x:f>IF(M791="","",MAX(0,'Motor_Meciuri'!BF62-IF(W791="OOS PENDING",'Config_v6'!$B$35,0)-IF(L791&gt;'Config_v6'!$B$12,'Config_v6'!$B$37,IF(L791&gt;'Config_v6'!$B$11,'Config_v6'!$B$36,0))))</x:f>
      </x:c>
      <x:c r="W791" s="2" t="str">
        <x:f>IF(B791="","",IF(I791&lt;&gt;"READY","NOT RELEASED",IF(NOT(AND(J791="PASS",'Calibrare_Linii'!U7="VALID")),"INVALID",IF(NOT(AND('Calibrare_Linii'!S7="VALIDATED",AND('Calibrare_Linii'!H7=C791,ISNUMBER('Calibrare_Linii'!J7),'Calibrare_Linii'!J7&lt;='Input_Meci'!G62))),"OOS PENDING",IF(S791&lt;='Calibrare_Linii'!E7,"PASS",IF(S791&lt;='Calibrare_Linii'!F7,"PENALTY","WATCH"))))))</x:f>
      </x:c>
      <x:c r="X791" s="2" t="str">
        <x:f>IF(M791="","",IF(AND(AND(J791="PASS",'Calibrare_Linii'!U7="VALID"),'Motor_Meciuri'!K62=12,'Motor_Meciuri'!L62=12,'Motor_Meciuri'!M62="NO",'Motor_Meciuri'!BL62='Motor_Meciuri'!C62,AB791&gt;='Config_v6'!$B$50,AN791&gt;='Config_v6'!$B$51,T791&lt;='Config_v6'!$B$52,L791&lt;='Config_v6'!$B$53,ISNUMBER('Calibrare_Linii'!E7),S791&lt;='Calibrare_Linii'!E7,SUM(AK791:AM791)&gt;0),"CANDIDATE","NO"))</x:f>
      </x:c>
      <x:c r="Y791" s="2" t="str">
        <x:f>IF(B791="","",IF(I791&lt;&gt;"READY","NOT RELEASED",IF(AND(X791="CANDIDATE",V791&gt;='Config_v6'!$B$51,W791="PASS",'Calibrare_Linii'!T7="VALIDATED",AND('Calibrare_Linii'!H7=C791,ISNUMBER('Calibrare_Linii'!J7),'Calibrare_Linii'!J7&lt;='Input_Meci'!G62)),"PASS",IF(X791="CANDIDATE","OOS PENDING","FAIL"))))</x:f>
      </x:c>
      <x:c r="Z791" s="2" t="str">
        <x:f>IF(B791="","",IF(I791&lt;&gt;"READY","",IF(OR(NOT(AND(J791="PASS",'Calibrare_Linii'!U7="VALID")),L791&gt;'Config_v6'!$B$13,W791="WATCH"),5,IF(Y791="PASS",1,MIN(5,MAX('Config_v6'!$B$42,U791)+IF(W791="PENALTY",1,0))))))</x:f>
      </x:c>
      <x:c r="AA791" s="2" t="str">
        <x:f>IF(B791="","",IF(I791&lt;&gt;"READY","NOT RELEASED",IF(Z791=5,"NO BET",IF(OR(AB791&lt;'Config_v6'!$B$16,V791&lt;'Config_v6'!$B$18),"WATCH",IF(Z791=1,"DEFENSIV",IF(Z791=2,"PRUDENT",IF(Z791=3,"MODERAT","RIDICAT")))))))</x:f>
      </x:c>
      <x:c r="AB791" s="10" t="str">
        <x:f>IF(N791="","",MIN(N791,1-S791))</x:f>
      </x:c>
      <x:c r="AC791" s="2" t="str">
        <x:f>IF(AD791&lt;&gt;1,"",COUNTIFS($Z$790:$Z$803,"&lt;"&amp;Z791,$AD$790:$AD$803,1)+COUNTIFS($Z$790:$Z$803,Z791,$AB$790:$AB$803,"&gt;"&amp;AB791,$AD$790:$AD$803,1)+COUNTIFS($Z$790:$Z$803,Z791,$AB$790:$AB$803,AB791,$V$790:$V$803,"&gt;"&amp;V791,$AD$790:$AD$803,1)+COUNTIFS($Z$790:Z791,Z791,$AB$790:AB791,AB791,$V$790:V791,V791,$AD$790:AD791,1))</x:f>
      </x:c>
      <x:c r="AD791" s="2" t="n">
        <x:f>IF(OR(AA791="DEFENSIV",AA791="PRUDENT",AA791="MODERAT",AA791="RIDICAT"),1,0)</x:f>
        <x:v>0</x:v>
      </x:c>
      <x:c r="AE791" s="2" t="str">
        <x:f>IF(AD791&lt;&gt;1,"NO",IF(W791="PASS","YES",IF(W791="OOS PENDING","CONDITIONAL","NO")))</x:f>
        <x:v>NO</x:v>
      </x:c>
      <x:c r="AF791" s="2" t="n">
        <x:f>IF(AND(AD791=1,AC791=1,E791="LIVE"),1,0)</x:f>
        <x:v>0</x:v>
      </x:c>
      <x:c r="AG791" s="2" t="str">
        <x:f>IF(AF791&lt;&gt;1,"",'Dashboard'!P82)</x:f>
      </x:c>
      <x:c r="AH791" s="2" t="str">
        <x:f>IF(B791="","",IF(J791&lt;&gt;"PASS",'Motor_Meciuri'!J62,IF('Calibrare_Linii'!U7&lt;&gt;"VALID","Parametri linie invalizi",IF(L791&gt;'Config_v6'!$B$13,"Dispersie peste limita",IF(W791="WATCH","Failure peste limita",IF(AB791&lt;'Config_v6'!$B$16,"P finala sub prag",IF(V791&lt;'Config_v6'!$B$18,"Confidence sub prag",IF(E791="REPLAY","Exemplu retrospectiv; exclus din Top LIVE",IF(Y791="PASS","DEFENSIV validat",IF(W791="OOS PENDING","Eligibil; calibrare linie in monitorizare","Eligibil"))))))))))</x:f>
      </x:c>
      <x:c r="AI791" s="2" t="str">
        <x:f>IF(B791="","",'Calibrare_Linii'!V7)</x:f>
      </x:c>
      <x:c r="AJ791" s="2" t="str">
        <x:f>IF(B791="","",IF(AND('Calibrare_Linii'!T7="VALIDATED",AND('Calibrare_Linii'!H7=C791,ISNUMBER('Calibrare_Linii'!J7),'Calibrare_Linii'!J7&lt;='Input_Meci'!G62)),"DEFENSIVE VALIDATED",IF(AND('Calibrare_Linii'!S7="VALIDATED",AND('Calibrare_Linii'!H7=C791,ISNUMBER('Calibrare_Linii'!J7),'Calibrare_Linii'!J7&lt;='Input_Meci'!G62)),"TAIL VALIDATED","OOS PENDING")))</x:f>
      </x:c>
      <x:c r="AK791" s="2" t="n">
        <x:f>IF(J791&lt;&gt;"PASS",0,'Motor_Meciuri'!BR62)</x:f>
        <x:v>0</x:v>
      </x:c>
      <x:c r="AL791" s="2" t="n">
        <x:f>IF(J791&lt;&gt;"PASS",0,'Motor_Meciuri'!BS62)</x:f>
        <x:v>0</x:v>
      </x:c>
      <x:c r="AM791" s="2" t="n">
        <x:f>IF(J791&lt;&gt;"PASS",0,'Motor_Meciuri'!BT62)</x:f>
        <x:v>0</x:v>
      </x:c>
      <x:c r="AN791" s="2" t="str">
        <x:f>IF(M791="","",MAX(0,'Motor_Meciuri'!BF62-IF(L791&gt;'Config_v6'!$B$12,'Config_v6'!$B$37,IF(L791&gt;'Config_v6'!$B$11,'Config_v6'!$B$36,0))))</x:f>
      </x:c>
    </x:row>
    <x:row r="792" ht="21" customHeight="1">
      <x:c r="A792" s="2" t="n">
        <x:v>57</x:v>
      </x:c>
      <x:c r="B792" s="2" t="str">
        <x:f>IF('Motor_Meciuri'!A62="","",'Motor_Meciuri'!A62)</x:f>
      </x:c>
      <x:c r="C792" s="2" t="str">
        <x:f>IF(B792="","",'Motor_Meciuri'!B62)</x:f>
      </x:c>
      <x:c r="D792" s="2" t="str">
        <x:f>IF(B792="","",'Motor_Meciuri'!D62)</x:f>
      </x:c>
      <x:c r="E792" s="2" t="str">
        <x:f>IF(B792="","",'Motor_Meciuri'!E62)</x:f>
      </x:c>
      <x:c r="F792" s="2" t="str">
        <x:v>O5,5</x:v>
      </x:c>
      <x:c r="G792" s="2" t="str">
        <x:v>OVER</x:v>
      </x:c>
      <x:c r="H792" s="2" t="n">
        <x:v>5</x:v>
      </x:c>
      <x:c r="I792" s="2" t="str">
        <x:f>IF(B792="","",'Motor_Meciuri'!H62)</x:f>
      </x:c>
      <x:c r="J792" s="2" t="str">
        <x:f>IF(B792="","",'Motor_Meciuri'!I62)</x:f>
      </x:c>
      <x:c r="K792" s="11" t="str">
        <x:f>IF(J792&lt;&gt;"PASS","",'Motor_Meciuri'!BD62)</x:f>
      </x:c>
      <x:c r="L792" s="11" t="str">
        <x:f>IF(J792&lt;&gt;"PASS","",'Motor_Meciuri'!AU62)</x:f>
      </x:c>
      <x:c r="M792" s="10" t="str">
        <x:f>IF(NOT(AND(J792="PASS",'Calibrare_Linii'!U8="VALID")),"",1-'Distributie'!AC62)</x:f>
      </x:c>
      <x:c r="N792" s="10" t="str">
        <x:f>IF(M792="","",MAX(0.01,MIN(0.99,0.5+(M792-0.5)*'Motor_Meciuri'!BG62*'Calibrare_Linii'!D8)))</x:f>
      </x:c>
      <x:c r="O792" s="10" t="str">
        <x:f>IF(M792="","",1-M792)</x:f>
      </x:c>
      <x:c r="P792" s="10" t="str">
        <x:f>IF(OR(NOT(AND(J792="PASS",'Calibrare_Linii'!U8="VALID")),AK792=0),""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*('Istoric_Nativ'!$Q$6:$Q$405&lt;=H792))/AK792)</x:f>
      </x:c>
      <x:c r="Q792" s="10" t="str">
        <x:f>IF(OR(NOT(AND(J792="PASS",'Calibrare_Linii'!U8="VALID")),AL792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M62)+((('Istoric_Nativ'!$E$6:$E$405='Input_Meci'!E62)+('Istoric_Nativ'!$F$6:$F$405='Input_Meci'!E62))&gt;0)*('Istoric_Nativ'!$D$6:$D$405&gt;='Motor_Meciuri'!BN62))&gt;0)*('Istoric_Nativ'!$Q$6:$Q$405&lt;=H792))/AL792)</x:f>
      </x:c>
      <x:c r="R792" s="10" t="str">
        <x:f>IF(OR(NOT(AND(J792="PASS",'Calibrare_Linii'!U8="VALID")),AM792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O62)+((('Istoric_Nativ'!$E$6:$E$405='Input_Meci'!E62)+('Istoric_Nativ'!$F$6:$F$405='Input_Meci'!E62))&gt;0)*('Istoric_Nativ'!$D$6:$D$405&gt;='Motor_Meciuri'!BP62))&gt;0)*('Istoric_Nativ'!$Q$6:$Q$405&lt;=H792))/AM792)</x:f>
      </x:c>
      <x:c r="S792" s="10" t="str">
        <x:f>IF(M792="","",MAX(O792,P792,Q792,R792))</x:f>
      </x:c>
      <x:c r="T792" s="11" t="str">
        <x:f>IF(M792="","",MIN(100,S792*100*'Config_v6'!$B$44+MIN(100,L792/'Config_v6'!$B$13*100)*'Config_v6'!$B$45+(100-'Motor_Meciuri'!BF62)*'Config_v6'!$B$46+'Motor_Meciuri'!BH62*100*'Config_v6'!$B$47))</x:f>
      </x:c>
      <x:c r="U792" s="2" t="str">
        <x:f>IF(T792="","",IF(T792&lt;=20,1,IF(T792&lt;=40,2,IF(T792&lt;=60,3,IF(T792&lt;=80,4,5)))))</x:f>
      </x:c>
      <x:c r="V792" s="2" t="str">
        <x:f>IF(M792="","",MAX(0,'Motor_Meciuri'!BF62-IF(W792="OOS PENDING",'Config_v6'!$B$35,0)-IF(L792&gt;'Config_v6'!$B$12,'Config_v6'!$B$37,IF(L792&gt;'Config_v6'!$B$11,'Config_v6'!$B$36,0))))</x:f>
      </x:c>
      <x:c r="W792" s="2" t="str">
        <x:f>IF(B792="","",IF(I792&lt;&gt;"READY","NOT RELEASED",IF(NOT(AND(J792="PASS",'Calibrare_Linii'!U8="VALID")),"INVALID",IF(NOT(AND('Calibrare_Linii'!S8="VALIDATED",AND('Calibrare_Linii'!H8=C792,ISNUMBER('Calibrare_Linii'!J8),'Calibrare_Linii'!J8&lt;='Input_Meci'!G62))),"OOS PENDING",IF(S792&lt;='Calibrare_Linii'!E8,"PASS",IF(S792&lt;='Calibrare_Linii'!F8,"PENALTY","WATCH"))))))</x:f>
      </x:c>
      <x:c r="X792" s="2" t="str">
        <x:f>IF(M792="","",IF(AND(AND(J792="PASS",'Calibrare_Linii'!U8="VALID"),'Motor_Meciuri'!K62=12,'Motor_Meciuri'!L62=12,'Motor_Meciuri'!M62="NO",'Motor_Meciuri'!BL62='Motor_Meciuri'!C62,AB792&gt;='Config_v6'!$B$50,AN792&gt;='Config_v6'!$B$51,T792&lt;='Config_v6'!$B$52,L792&lt;='Config_v6'!$B$53,ISNUMBER('Calibrare_Linii'!E8),S792&lt;='Calibrare_Linii'!E8,SUM(AK792:AM792)&gt;0),"CANDIDATE","NO"))</x:f>
      </x:c>
      <x:c r="Y792" s="2" t="str">
        <x:f>IF(B792="","",IF(I792&lt;&gt;"READY","NOT RELEASED",IF(AND(X792="CANDIDATE",V792&gt;='Config_v6'!$B$51,W792="PASS",'Calibrare_Linii'!T8="VALIDATED",AND('Calibrare_Linii'!H8=C792,ISNUMBER('Calibrare_Linii'!J8),'Calibrare_Linii'!J8&lt;='Input_Meci'!G62)),"PASS",IF(X792="CANDIDATE","OOS PENDING","FAIL"))))</x:f>
      </x:c>
      <x:c r="Z792" s="2" t="str">
        <x:f>IF(B792="","",IF(I792&lt;&gt;"READY","",IF(OR(NOT(AND(J792="PASS",'Calibrare_Linii'!U8="VALID")),L792&gt;'Config_v6'!$B$13,W792="WATCH"),5,IF(Y792="PASS",1,MIN(5,MAX('Config_v6'!$B$42,U792)+IF(W792="PENALTY",1,0))))))</x:f>
      </x:c>
      <x:c r="AA792" s="2" t="str">
        <x:f>IF(B792="","",IF(I792&lt;&gt;"READY","NOT RELEASED",IF(Z792=5,"NO BET",IF(OR(AB792&lt;'Config_v6'!$B$16,V792&lt;'Config_v6'!$B$18),"WATCH",IF(Z792=1,"DEFENSIV",IF(Z792=2,"PRUDENT",IF(Z792=3,"MODERAT","RIDICAT")))))))</x:f>
      </x:c>
      <x:c r="AB792" s="10" t="str">
        <x:f>IF(N792="","",MIN(N792,1-S792))</x:f>
      </x:c>
      <x:c r="AC792" s="2" t="str">
        <x:f>IF(AD792&lt;&gt;1,"",COUNTIFS($Z$790:$Z$803,"&lt;"&amp;Z792,$AD$790:$AD$803,1)+COUNTIFS($Z$790:$Z$803,Z792,$AB$790:$AB$803,"&gt;"&amp;AB792,$AD$790:$AD$803,1)+COUNTIFS($Z$790:$Z$803,Z792,$AB$790:$AB$803,AB792,$V$790:$V$803,"&gt;"&amp;V792,$AD$790:$AD$803,1)+COUNTIFS($Z$790:Z792,Z792,$AB$790:AB792,AB792,$V$790:V792,V792,$AD$790:AD792,1))</x:f>
      </x:c>
      <x:c r="AD792" s="2" t="n">
        <x:f>IF(OR(AA792="DEFENSIV",AA792="PRUDENT",AA792="MODERAT",AA792="RIDICAT"),1,0)</x:f>
        <x:v>0</x:v>
      </x:c>
      <x:c r="AE792" s="2" t="str">
        <x:f>IF(AD792&lt;&gt;1,"NO",IF(W792="PASS","YES",IF(W792="OOS PENDING","CONDITIONAL","NO")))</x:f>
        <x:v>NO</x:v>
      </x:c>
      <x:c r="AF792" s="2" t="n">
        <x:f>IF(AND(AD792=1,AC792=1,E792="LIVE"),1,0)</x:f>
        <x:v>0</x:v>
      </x:c>
      <x:c r="AG792" s="2" t="str">
        <x:f>IF(AF792&lt;&gt;1,"",'Dashboard'!P82)</x:f>
      </x:c>
      <x:c r="AH792" s="2" t="str">
        <x:f>IF(B792="","",IF(J792&lt;&gt;"PASS",'Motor_Meciuri'!J62,IF('Calibrare_Linii'!U8&lt;&gt;"VALID","Parametri linie invalizi",IF(L792&gt;'Config_v6'!$B$13,"Dispersie peste limita",IF(W792="WATCH","Failure peste limita",IF(AB792&lt;'Config_v6'!$B$16,"P finala sub prag",IF(V792&lt;'Config_v6'!$B$18,"Confidence sub prag",IF(E792="REPLAY","Exemplu retrospectiv; exclus din Top LIVE",IF(Y792="PASS","DEFENSIV validat",IF(W792="OOS PENDING","Eligibil; calibrare linie in monitorizare","Eligibil"))))))))))</x:f>
      </x:c>
      <x:c r="AI792" s="2" t="str">
        <x:f>IF(B792="","",'Calibrare_Linii'!V8)</x:f>
      </x:c>
      <x:c r="AJ792" s="2" t="str">
        <x:f>IF(B792="","",IF(AND('Calibrare_Linii'!T8="VALIDATED",AND('Calibrare_Linii'!H8=C792,ISNUMBER('Calibrare_Linii'!J8),'Calibrare_Linii'!J8&lt;='Input_Meci'!G62)),"DEFENSIVE VALIDATED",IF(AND('Calibrare_Linii'!S8="VALIDATED",AND('Calibrare_Linii'!H8=C792,ISNUMBER('Calibrare_Linii'!J8),'Calibrare_Linii'!J8&lt;='Input_Meci'!G62)),"TAIL VALIDATED","OOS PENDING")))</x:f>
      </x:c>
      <x:c r="AK792" s="2" t="n">
        <x:f>IF(J792&lt;&gt;"PASS",0,'Motor_Meciuri'!BR62)</x:f>
        <x:v>0</x:v>
      </x:c>
      <x:c r="AL792" s="2" t="n">
        <x:f>IF(J792&lt;&gt;"PASS",0,'Motor_Meciuri'!BS62)</x:f>
        <x:v>0</x:v>
      </x:c>
      <x:c r="AM792" s="2" t="n">
        <x:f>IF(J792&lt;&gt;"PASS",0,'Motor_Meciuri'!BT62)</x:f>
        <x:v>0</x:v>
      </x:c>
      <x:c r="AN792" s="2" t="str">
        <x:f>IF(M792="","",MAX(0,'Motor_Meciuri'!BF62-IF(L792&gt;'Config_v6'!$B$12,'Config_v6'!$B$37,IF(L792&gt;'Config_v6'!$B$11,'Config_v6'!$B$36,0))))</x:f>
      </x:c>
    </x:row>
    <x:row r="793" ht="21" customHeight="1">
      <x:c r="A793" s="2" t="n">
        <x:v>57</x:v>
      </x:c>
      <x:c r="B793" s="2" t="str">
        <x:f>IF('Motor_Meciuri'!A62="","",'Motor_Meciuri'!A62)</x:f>
      </x:c>
      <x:c r="C793" s="2" t="str">
        <x:f>IF(B793="","",'Motor_Meciuri'!B62)</x:f>
      </x:c>
      <x:c r="D793" s="2" t="str">
        <x:f>IF(B793="","",'Motor_Meciuri'!D62)</x:f>
      </x:c>
      <x:c r="E793" s="2" t="str">
        <x:f>IF(B793="","",'Motor_Meciuri'!E62)</x:f>
      </x:c>
      <x:c r="F793" s="2" t="str">
        <x:v>O6,5</x:v>
      </x:c>
      <x:c r="G793" s="2" t="str">
        <x:v>OVER</x:v>
      </x:c>
      <x:c r="H793" s="2" t="n">
        <x:v>6</x:v>
      </x:c>
      <x:c r="I793" s="2" t="str">
        <x:f>IF(B793="","",'Motor_Meciuri'!H62)</x:f>
      </x:c>
      <x:c r="J793" s="2" t="str">
        <x:f>IF(B793="","",'Motor_Meciuri'!I62)</x:f>
      </x:c>
      <x:c r="K793" s="11" t="str">
        <x:f>IF(J793&lt;&gt;"PASS","",'Motor_Meciuri'!BD62)</x:f>
      </x:c>
      <x:c r="L793" s="11" t="str">
        <x:f>IF(J793&lt;&gt;"PASS","",'Motor_Meciuri'!AU62)</x:f>
      </x:c>
      <x:c r="M793" s="10" t="str">
        <x:f>IF(NOT(AND(J793="PASS",'Calibrare_Linii'!U9="VALID")),"",1-'Distributie'!AD62)</x:f>
      </x:c>
      <x:c r="N793" s="10" t="str">
        <x:f>IF(M793="","",MAX(0.01,MIN(0.99,0.5+(M793-0.5)*'Motor_Meciuri'!BG62*'Calibrare_Linii'!D9)))</x:f>
      </x:c>
      <x:c r="O793" s="10" t="str">
        <x:f>IF(M793="","",1-M793)</x:f>
      </x:c>
      <x:c r="P793" s="10" t="str">
        <x:f>IF(OR(NOT(AND(J793="PASS",'Calibrare_Linii'!U9="VALID")),AK793=0),""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*('Istoric_Nativ'!$Q$6:$Q$405&lt;=H793))/AK793)</x:f>
      </x:c>
      <x:c r="Q793" s="10" t="str">
        <x:f>IF(OR(NOT(AND(J793="PASS",'Calibrare_Linii'!U9="VALID")),AL793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M62)+((('Istoric_Nativ'!$E$6:$E$405='Input_Meci'!E62)+('Istoric_Nativ'!$F$6:$F$405='Input_Meci'!E62))&gt;0)*('Istoric_Nativ'!$D$6:$D$405&gt;='Motor_Meciuri'!BN62))&gt;0)*('Istoric_Nativ'!$Q$6:$Q$405&lt;=H793))/AL793)</x:f>
      </x:c>
      <x:c r="R793" s="10" t="str">
        <x:f>IF(OR(NOT(AND(J793="PASS",'Calibrare_Linii'!U9="VALID")),AM793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O62)+((('Istoric_Nativ'!$E$6:$E$405='Input_Meci'!E62)+('Istoric_Nativ'!$F$6:$F$405='Input_Meci'!E62))&gt;0)*('Istoric_Nativ'!$D$6:$D$405&gt;='Motor_Meciuri'!BP62))&gt;0)*('Istoric_Nativ'!$Q$6:$Q$405&lt;=H793))/AM793)</x:f>
      </x:c>
      <x:c r="S793" s="10" t="str">
        <x:f>IF(M793="","",MAX(O793,P793,Q793,R793))</x:f>
      </x:c>
      <x:c r="T793" s="11" t="str">
        <x:f>IF(M793="","",MIN(100,S793*100*'Config_v6'!$B$44+MIN(100,L793/'Config_v6'!$B$13*100)*'Config_v6'!$B$45+(100-'Motor_Meciuri'!BF62)*'Config_v6'!$B$46+'Motor_Meciuri'!BH62*100*'Config_v6'!$B$47))</x:f>
      </x:c>
      <x:c r="U793" s="2" t="str">
        <x:f>IF(T793="","",IF(T793&lt;=20,1,IF(T793&lt;=40,2,IF(T793&lt;=60,3,IF(T793&lt;=80,4,5)))))</x:f>
      </x:c>
      <x:c r="V793" s="2" t="str">
        <x:f>IF(M793="","",MAX(0,'Motor_Meciuri'!BF62-IF(W793="OOS PENDING",'Config_v6'!$B$35,0)-IF(L793&gt;'Config_v6'!$B$12,'Config_v6'!$B$37,IF(L793&gt;'Config_v6'!$B$11,'Config_v6'!$B$36,0))))</x:f>
      </x:c>
      <x:c r="W793" s="2" t="str">
        <x:f>IF(B793="","",IF(I793&lt;&gt;"READY","NOT RELEASED",IF(NOT(AND(J793="PASS",'Calibrare_Linii'!U9="VALID")),"INVALID",IF(NOT(AND('Calibrare_Linii'!S9="VALIDATED",AND('Calibrare_Linii'!H9=C793,ISNUMBER('Calibrare_Linii'!J9),'Calibrare_Linii'!J9&lt;='Input_Meci'!G62))),"OOS PENDING",IF(S793&lt;='Calibrare_Linii'!E9,"PASS",IF(S793&lt;='Calibrare_Linii'!F9,"PENALTY","WATCH"))))))</x:f>
      </x:c>
      <x:c r="X793" s="2" t="str">
        <x:f>IF(M793="","",IF(AND(AND(J793="PASS",'Calibrare_Linii'!U9="VALID"),'Motor_Meciuri'!K62=12,'Motor_Meciuri'!L62=12,'Motor_Meciuri'!M62="NO",'Motor_Meciuri'!BL62='Motor_Meciuri'!C62,AB793&gt;='Config_v6'!$B$50,AN793&gt;='Config_v6'!$B$51,T793&lt;='Config_v6'!$B$52,L793&lt;='Config_v6'!$B$53,ISNUMBER('Calibrare_Linii'!E9),S793&lt;='Calibrare_Linii'!E9,SUM(AK793:AM793)&gt;0),"CANDIDATE","NO"))</x:f>
      </x:c>
      <x:c r="Y793" s="2" t="str">
        <x:f>IF(B793="","",IF(I793&lt;&gt;"READY","NOT RELEASED",IF(AND(X793="CANDIDATE",V793&gt;='Config_v6'!$B$51,W793="PASS",'Calibrare_Linii'!T9="VALIDATED",AND('Calibrare_Linii'!H9=C793,ISNUMBER('Calibrare_Linii'!J9),'Calibrare_Linii'!J9&lt;='Input_Meci'!G62)),"PASS",IF(X793="CANDIDATE","OOS PENDING","FAIL"))))</x:f>
      </x:c>
      <x:c r="Z793" s="2" t="str">
        <x:f>IF(B793="","",IF(I793&lt;&gt;"READY","",IF(OR(NOT(AND(J793="PASS",'Calibrare_Linii'!U9="VALID")),L793&gt;'Config_v6'!$B$13,W793="WATCH"),5,IF(Y793="PASS",1,MIN(5,MAX('Config_v6'!$B$42,U793)+IF(W793="PENALTY",1,0))))))</x:f>
      </x:c>
      <x:c r="AA793" s="2" t="str">
        <x:f>IF(B793="","",IF(I793&lt;&gt;"READY","NOT RELEASED",IF(Z793=5,"NO BET",IF(OR(AB793&lt;'Config_v6'!$B$16,V793&lt;'Config_v6'!$B$18),"WATCH",IF(Z793=1,"DEFENSIV",IF(Z793=2,"PRUDENT",IF(Z793=3,"MODERAT","RIDICAT")))))))</x:f>
      </x:c>
      <x:c r="AB793" s="10" t="str">
        <x:f>IF(N793="","",MIN(N793,1-S793))</x:f>
      </x:c>
      <x:c r="AC793" s="2" t="str">
        <x:f>IF(AD793&lt;&gt;1,"",COUNTIFS($Z$790:$Z$803,"&lt;"&amp;Z793,$AD$790:$AD$803,1)+COUNTIFS($Z$790:$Z$803,Z793,$AB$790:$AB$803,"&gt;"&amp;AB793,$AD$790:$AD$803,1)+COUNTIFS($Z$790:$Z$803,Z793,$AB$790:$AB$803,AB793,$V$790:$V$803,"&gt;"&amp;V793,$AD$790:$AD$803,1)+COUNTIFS($Z$790:Z793,Z793,$AB$790:AB793,AB793,$V$790:V793,V793,$AD$790:AD793,1))</x:f>
      </x:c>
      <x:c r="AD793" s="2" t="n">
        <x:f>IF(OR(AA793="DEFENSIV",AA793="PRUDENT",AA793="MODERAT",AA793="RIDICAT"),1,0)</x:f>
        <x:v>0</x:v>
      </x:c>
      <x:c r="AE793" s="2" t="str">
        <x:f>IF(AD793&lt;&gt;1,"NO",IF(W793="PASS","YES",IF(W793="OOS PENDING","CONDITIONAL","NO")))</x:f>
        <x:v>NO</x:v>
      </x:c>
      <x:c r="AF793" s="2" t="n">
        <x:f>IF(AND(AD793=1,AC793=1,E793="LIVE"),1,0)</x:f>
        <x:v>0</x:v>
      </x:c>
      <x:c r="AG793" s="2" t="str">
        <x:f>IF(AF793&lt;&gt;1,"",'Dashboard'!P82)</x:f>
      </x:c>
      <x:c r="AH793" s="2" t="str">
        <x:f>IF(B793="","",IF(J793&lt;&gt;"PASS",'Motor_Meciuri'!J62,IF('Calibrare_Linii'!U9&lt;&gt;"VALID","Parametri linie invalizi",IF(L793&gt;'Config_v6'!$B$13,"Dispersie peste limita",IF(W793="WATCH","Failure peste limita",IF(AB793&lt;'Config_v6'!$B$16,"P finala sub prag",IF(V793&lt;'Config_v6'!$B$18,"Confidence sub prag",IF(E793="REPLAY","Exemplu retrospectiv; exclus din Top LIVE",IF(Y793="PASS","DEFENSIV validat",IF(W793="OOS PENDING","Eligibil; calibrare linie in monitorizare","Eligibil"))))))))))</x:f>
      </x:c>
      <x:c r="AI793" s="2" t="str">
        <x:f>IF(B793="","",'Calibrare_Linii'!V9)</x:f>
      </x:c>
      <x:c r="AJ793" s="2" t="str">
        <x:f>IF(B793="","",IF(AND('Calibrare_Linii'!T9="VALIDATED",AND('Calibrare_Linii'!H9=C793,ISNUMBER('Calibrare_Linii'!J9),'Calibrare_Linii'!J9&lt;='Input_Meci'!G62)),"DEFENSIVE VALIDATED",IF(AND('Calibrare_Linii'!S9="VALIDATED",AND('Calibrare_Linii'!H9=C793,ISNUMBER('Calibrare_Linii'!J9),'Calibrare_Linii'!J9&lt;='Input_Meci'!G62)),"TAIL VALIDATED","OOS PENDING")))</x:f>
      </x:c>
      <x:c r="AK793" s="2" t="n">
        <x:f>IF(J793&lt;&gt;"PASS",0,'Motor_Meciuri'!BR62)</x:f>
        <x:v>0</x:v>
      </x:c>
      <x:c r="AL793" s="2" t="n">
        <x:f>IF(J793&lt;&gt;"PASS",0,'Motor_Meciuri'!BS62)</x:f>
        <x:v>0</x:v>
      </x:c>
      <x:c r="AM793" s="2" t="n">
        <x:f>IF(J793&lt;&gt;"PASS",0,'Motor_Meciuri'!BT62)</x:f>
        <x:v>0</x:v>
      </x:c>
      <x:c r="AN793" s="2" t="str">
        <x:f>IF(M793="","",MAX(0,'Motor_Meciuri'!BF62-IF(L793&gt;'Config_v6'!$B$12,'Config_v6'!$B$37,IF(L793&gt;'Config_v6'!$B$11,'Config_v6'!$B$36,0))))</x:f>
      </x:c>
    </x:row>
    <x:row r="794" ht="21" customHeight="1">
      <x:c r="A794" s="2" t="n">
        <x:v>57</x:v>
      </x:c>
      <x:c r="B794" s="2" t="str">
        <x:f>IF('Motor_Meciuri'!A62="","",'Motor_Meciuri'!A62)</x:f>
      </x:c>
      <x:c r="C794" s="2" t="str">
        <x:f>IF(B794="","",'Motor_Meciuri'!B62)</x:f>
      </x:c>
      <x:c r="D794" s="2" t="str">
        <x:f>IF(B794="","",'Motor_Meciuri'!D62)</x:f>
      </x:c>
      <x:c r="E794" s="2" t="str">
        <x:f>IF(B794="","",'Motor_Meciuri'!E62)</x:f>
      </x:c>
      <x:c r="F794" s="2" t="str">
        <x:v>O7,5</x:v>
      </x:c>
      <x:c r="G794" s="2" t="str">
        <x:v>OVER</x:v>
      </x:c>
      <x:c r="H794" s="2" t="n">
        <x:v>7</x:v>
      </x:c>
      <x:c r="I794" s="2" t="str">
        <x:f>IF(B794="","",'Motor_Meciuri'!H62)</x:f>
      </x:c>
      <x:c r="J794" s="2" t="str">
        <x:f>IF(B794="","",'Motor_Meciuri'!I62)</x:f>
      </x:c>
      <x:c r="K794" s="11" t="str">
        <x:f>IF(J794&lt;&gt;"PASS","",'Motor_Meciuri'!BD62)</x:f>
      </x:c>
      <x:c r="L794" s="11" t="str">
        <x:f>IF(J794&lt;&gt;"PASS","",'Motor_Meciuri'!AU62)</x:f>
      </x:c>
      <x:c r="M794" s="10" t="str">
        <x:f>IF(NOT(AND(J794="PASS",'Calibrare_Linii'!U10="VALID")),"",1-'Distributie'!AE62)</x:f>
      </x:c>
      <x:c r="N794" s="10" t="str">
        <x:f>IF(M794="","",MAX(0.01,MIN(0.99,0.5+(M794-0.5)*'Motor_Meciuri'!BG62*'Calibrare_Linii'!D10)))</x:f>
      </x:c>
      <x:c r="O794" s="10" t="str">
        <x:f>IF(M794="","",1-M794)</x:f>
      </x:c>
      <x:c r="P794" s="10" t="str">
        <x:f>IF(OR(NOT(AND(J794="PASS",'Calibrare_Linii'!U10="VALID")),AK794=0),""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*('Istoric_Nativ'!$Q$6:$Q$405&lt;=H794))/AK794)</x:f>
      </x:c>
      <x:c r="Q794" s="10" t="str">
        <x:f>IF(OR(NOT(AND(J794="PASS",'Calibrare_Linii'!U10="VALID")),AL794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M62)+((('Istoric_Nativ'!$E$6:$E$405='Input_Meci'!E62)+('Istoric_Nativ'!$F$6:$F$405='Input_Meci'!E62))&gt;0)*('Istoric_Nativ'!$D$6:$D$405&gt;='Motor_Meciuri'!BN62))&gt;0)*('Istoric_Nativ'!$Q$6:$Q$405&lt;=H794))/AL794)</x:f>
      </x:c>
      <x:c r="R794" s="10" t="str">
        <x:f>IF(OR(NOT(AND(J794="PASS",'Calibrare_Linii'!U10="VALID")),AM794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O62)+((('Istoric_Nativ'!$E$6:$E$405='Input_Meci'!E62)+('Istoric_Nativ'!$F$6:$F$405='Input_Meci'!E62))&gt;0)*('Istoric_Nativ'!$D$6:$D$405&gt;='Motor_Meciuri'!BP62))&gt;0)*('Istoric_Nativ'!$Q$6:$Q$405&lt;=H794))/AM794)</x:f>
      </x:c>
      <x:c r="S794" s="10" t="str">
        <x:f>IF(M794="","",MAX(O794,P794,Q794,R794))</x:f>
      </x:c>
      <x:c r="T794" s="11" t="str">
        <x:f>IF(M794="","",MIN(100,S794*100*'Config_v6'!$B$44+MIN(100,L794/'Config_v6'!$B$13*100)*'Config_v6'!$B$45+(100-'Motor_Meciuri'!BF62)*'Config_v6'!$B$46+'Motor_Meciuri'!BH62*100*'Config_v6'!$B$47))</x:f>
      </x:c>
      <x:c r="U794" s="2" t="str">
        <x:f>IF(T794="","",IF(T794&lt;=20,1,IF(T794&lt;=40,2,IF(T794&lt;=60,3,IF(T794&lt;=80,4,5)))))</x:f>
      </x:c>
      <x:c r="V794" s="2" t="str">
        <x:f>IF(M794="","",MAX(0,'Motor_Meciuri'!BF62-IF(W794="OOS PENDING",'Config_v6'!$B$35,0)-IF(L794&gt;'Config_v6'!$B$12,'Config_v6'!$B$37,IF(L794&gt;'Config_v6'!$B$11,'Config_v6'!$B$36,0))))</x:f>
      </x:c>
      <x:c r="W794" s="2" t="str">
        <x:f>IF(B794="","",IF(I794&lt;&gt;"READY","NOT RELEASED",IF(NOT(AND(J794="PASS",'Calibrare_Linii'!U10="VALID")),"INVALID",IF(NOT(AND('Calibrare_Linii'!S10="VALIDATED",AND('Calibrare_Linii'!H10=C794,ISNUMBER('Calibrare_Linii'!J10),'Calibrare_Linii'!J10&lt;='Input_Meci'!G62))),"OOS PENDING",IF(S794&lt;='Calibrare_Linii'!E10,"PASS",IF(S794&lt;='Calibrare_Linii'!F10,"PENALTY","WATCH"))))))</x:f>
      </x:c>
      <x:c r="X794" s="2" t="str">
        <x:f>IF(M794="","",IF(AND(AND(J794="PASS",'Calibrare_Linii'!U10="VALID"),'Motor_Meciuri'!K62=12,'Motor_Meciuri'!L62=12,'Motor_Meciuri'!M62="NO",'Motor_Meciuri'!BL62='Motor_Meciuri'!C62,AB794&gt;='Config_v6'!$B$50,AN794&gt;='Config_v6'!$B$51,T794&lt;='Config_v6'!$B$52,L794&lt;='Config_v6'!$B$53,ISNUMBER('Calibrare_Linii'!E10),S794&lt;='Calibrare_Linii'!E10,SUM(AK794:AM794)&gt;0),"CANDIDATE","NO"))</x:f>
      </x:c>
      <x:c r="Y794" s="2" t="str">
        <x:f>IF(B794="","",IF(I794&lt;&gt;"READY","NOT RELEASED",IF(AND(X794="CANDIDATE",V794&gt;='Config_v6'!$B$51,W794="PASS",'Calibrare_Linii'!T10="VALIDATED",AND('Calibrare_Linii'!H10=C794,ISNUMBER('Calibrare_Linii'!J10),'Calibrare_Linii'!J10&lt;='Input_Meci'!G62)),"PASS",IF(X794="CANDIDATE","OOS PENDING","FAIL"))))</x:f>
      </x:c>
      <x:c r="Z794" s="2" t="str">
        <x:f>IF(B794="","",IF(I794&lt;&gt;"READY","",IF(OR(NOT(AND(J794="PASS",'Calibrare_Linii'!U10="VALID")),L794&gt;'Config_v6'!$B$13,W794="WATCH"),5,IF(Y794="PASS",1,MIN(5,MAX('Config_v6'!$B$42,U794)+IF(W794="PENALTY",1,0))))))</x:f>
      </x:c>
      <x:c r="AA794" s="2" t="str">
        <x:f>IF(B794="","",IF(I794&lt;&gt;"READY","NOT RELEASED",IF(Z794=5,"NO BET",IF(OR(AB794&lt;'Config_v6'!$B$16,V794&lt;'Config_v6'!$B$18),"WATCH",IF(Z794=1,"DEFENSIV",IF(Z794=2,"PRUDENT",IF(Z794=3,"MODERAT","RIDICAT")))))))</x:f>
      </x:c>
      <x:c r="AB794" s="10" t="str">
        <x:f>IF(N794="","",MIN(N794,1-S794))</x:f>
      </x:c>
      <x:c r="AC794" s="2" t="str">
        <x:f>IF(AD794&lt;&gt;1,"",COUNTIFS($Z$790:$Z$803,"&lt;"&amp;Z794,$AD$790:$AD$803,1)+COUNTIFS($Z$790:$Z$803,Z794,$AB$790:$AB$803,"&gt;"&amp;AB794,$AD$790:$AD$803,1)+COUNTIFS($Z$790:$Z$803,Z794,$AB$790:$AB$803,AB794,$V$790:$V$803,"&gt;"&amp;V794,$AD$790:$AD$803,1)+COUNTIFS($Z$790:Z794,Z794,$AB$790:AB794,AB794,$V$790:V794,V794,$AD$790:AD794,1))</x:f>
      </x:c>
      <x:c r="AD794" s="2" t="n">
        <x:f>IF(OR(AA794="DEFENSIV",AA794="PRUDENT",AA794="MODERAT",AA794="RIDICAT"),1,0)</x:f>
        <x:v>0</x:v>
      </x:c>
      <x:c r="AE794" s="2" t="str">
        <x:f>IF(AD794&lt;&gt;1,"NO",IF(W794="PASS","YES",IF(W794="OOS PENDING","CONDITIONAL","NO")))</x:f>
        <x:v>NO</x:v>
      </x:c>
      <x:c r="AF794" s="2" t="n">
        <x:f>IF(AND(AD794=1,AC794=1,E794="LIVE"),1,0)</x:f>
        <x:v>0</x:v>
      </x:c>
      <x:c r="AG794" s="2" t="str">
        <x:f>IF(AF794&lt;&gt;1,"",'Dashboard'!P82)</x:f>
      </x:c>
      <x:c r="AH794" s="2" t="str">
        <x:f>IF(B794="","",IF(J794&lt;&gt;"PASS",'Motor_Meciuri'!J62,IF('Calibrare_Linii'!U10&lt;&gt;"VALID","Parametri linie invalizi",IF(L794&gt;'Config_v6'!$B$13,"Dispersie peste limita",IF(W794="WATCH","Failure peste limita",IF(AB794&lt;'Config_v6'!$B$16,"P finala sub prag",IF(V794&lt;'Config_v6'!$B$18,"Confidence sub prag",IF(E794="REPLAY","Exemplu retrospectiv; exclus din Top LIVE",IF(Y794="PASS","DEFENSIV validat",IF(W794="OOS PENDING","Eligibil; calibrare linie in monitorizare","Eligibil"))))))))))</x:f>
      </x:c>
      <x:c r="AI794" s="2" t="str">
        <x:f>IF(B794="","",'Calibrare_Linii'!V10)</x:f>
      </x:c>
      <x:c r="AJ794" s="2" t="str">
        <x:f>IF(B794="","",IF(AND('Calibrare_Linii'!T10="VALIDATED",AND('Calibrare_Linii'!H10=C794,ISNUMBER('Calibrare_Linii'!J10),'Calibrare_Linii'!J10&lt;='Input_Meci'!G62)),"DEFENSIVE VALIDATED",IF(AND('Calibrare_Linii'!S10="VALIDATED",AND('Calibrare_Linii'!H10=C794,ISNUMBER('Calibrare_Linii'!J10),'Calibrare_Linii'!J10&lt;='Input_Meci'!G62)),"TAIL VALIDATED","OOS PENDING")))</x:f>
      </x:c>
      <x:c r="AK794" s="2" t="n">
        <x:f>IF(J794&lt;&gt;"PASS",0,'Motor_Meciuri'!BR62)</x:f>
        <x:v>0</x:v>
      </x:c>
      <x:c r="AL794" s="2" t="n">
        <x:f>IF(J794&lt;&gt;"PASS",0,'Motor_Meciuri'!BS62)</x:f>
        <x:v>0</x:v>
      </x:c>
      <x:c r="AM794" s="2" t="n">
        <x:f>IF(J794&lt;&gt;"PASS",0,'Motor_Meciuri'!BT62)</x:f>
        <x:v>0</x:v>
      </x:c>
      <x:c r="AN794" s="2" t="str">
        <x:f>IF(M794="","",MAX(0,'Motor_Meciuri'!BF62-IF(L794&gt;'Config_v6'!$B$12,'Config_v6'!$B$37,IF(L794&gt;'Config_v6'!$B$11,'Config_v6'!$B$36,0))))</x:f>
      </x:c>
    </x:row>
    <x:row r="795" ht="21" customHeight="1">
      <x:c r="A795" s="2" t="n">
        <x:v>57</x:v>
      </x:c>
      <x:c r="B795" s="2" t="str">
        <x:f>IF('Motor_Meciuri'!A62="","",'Motor_Meciuri'!A62)</x:f>
      </x:c>
      <x:c r="C795" s="2" t="str">
        <x:f>IF(B795="","",'Motor_Meciuri'!B62)</x:f>
      </x:c>
      <x:c r="D795" s="2" t="str">
        <x:f>IF(B795="","",'Motor_Meciuri'!D62)</x:f>
      </x:c>
      <x:c r="E795" s="2" t="str">
        <x:f>IF(B795="","",'Motor_Meciuri'!E62)</x:f>
      </x:c>
      <x:c r="F795" s="2" t="str">
        <x:v>O8,5</x:v>
      </x:c>
      <x:c r="G795" s="2" t="str">
        <x:v>OVER</x:v>
      </x:c>
      <x:c r="H795" s="2" t="n">
        <x:v>8</x:v>
      </x:c>
      <x:c r="I795" s="2" t="str">
        <x:f>IF(B795="","",'Motor_Meciuri'!H62)</x:f>
      </x:c>
      <x:c r="J795" s="2" t="str">
        <x:f>IF(B795="","",'Motor_Meciuri'!I62)</x:f>
      </x:c>
      <x:c r="K795" s="11" t="str">
        <x:f>IF(J795&lt;&gt;"PASS","",'Motor_Meciuri'!BD62)</x:f>
      </x:c>
      <x:c r="L795" s="11" t="str">
        <x:f>IF(J795&lt;&gt;"PASS","",'Motor_Meciuri'!AU62)</x:f>
      </x:c>
      <x:c r="M795" s="10" t="str">
        <x:f>IF(NOT(AND(J795="PASS",'Calibrare_Linii'!U11="VALID")),"",1-'Distributie'!AF62)</x:f>
      </x:c>
      <x:c r="N795" s="10" t="str">
        <x:f>IF(M795="","",MAX(0.01,MIN(0.99,0.5+(M795-0.5)*'Motor_Meciuri'!BG62*'Calibrare_Linii'!D11)))</x:f>
      </x:c>
      <x:c r="O795" s="10" t="str">
        <x:f>IF(M795="","",1-M795)</x:f>
      </x:c>
      <x:c r="P795" s="10" t="str">
        <x:f>IF(OR(NOT(AND(J795="PASS",'Calibrare_Linii'!U11="VALID")),AK795=0),""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*('Istoric_Nativ'!$Q$6:$Q$405&lt;=H795))/AK795)</x:f>
      </x:c>
      <x:c r="Q795" s="10" t="str">
        <x:f>IF(OR(NOT(AND(J795="PASS",'Calibrare_Linii'!U11="VALID")),AL795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M62)+((('Istoric_Nativ'!$E$6:$E$405='Input_Meci'!E62)+('Istoric_Nativ'!$F$6:$F$405='Input_Meci'!E62))&gt;0)*('Istoric_Nativ'!$D$6:$D$405&gt;='Motor_Meciuri'!BN62))&gt;0)*('Istoric_Nativ'!$Q$6:$Q$405&lt;=H795))/AL795)</x:f>
      </x:c>
      <x:c r="R795" s="10" t="str">
        <x:f>IF(OR(NOT(AND(J795="PASS",'Calibrare_Linii'!U11="VALID")),AM795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O62)+((('Istoric_Nativ'!$E$6:$E$405='Input_Meci'!E62)+('Istoric_Nativ'!$F$6:$F$405='Input_Meci'!E62))&gt;0)*('Istoric_Nativ'!$D$6:$D$405&gt;='Motor_Meciuri'!BP62))&gt;0)*('Istoric_Nativ'!$Q$6:$Q$405&lt;=H795))/AM795)</x:f>
      </x:c>
      <x:c r="S795" s="10" t="str">
        <x:f>IF(M795="","",MAX(O795,P795,Q795,R795))</x:f>
      </x:c>
      <x:c r="T795" s="11" t="str">
        <x:f>IF(M795="","",MIN(100,S795*100*'Config_v6'!$B$44+MIN(100,L795/'Config_v6'!$B$13*100)*'Config_v6'!$B$45+(100-'Motor_Meciuri'!BF62)*'Config_v6'!$B$46+'Motor_Meciuri'!BH62*100*'Config_v6'!$B$47))</x:f>
      </x:c>
      <x:c r="U795" s="2" t="str">
        <x:f>IF(T795="","",IF(T795&lt;=20,1,IF(T795&lt;=40,2,IF(T795&lt;=60,3,IF(T795&lt;=80,4,5)))))</x:f>
      </x:c>
      <x:c r="V795" s="2" t="str">
        <x:f>IF(M795="","",MAX(0,'Motor_Meciuri'!BF62-IF(W795="OOS PENDING",'Config_v6'!$B$35,0)-IF(L795&gt;'Config_v6'!$B$12,'Config_v6'!$B$37,IF(L795&gt;'Config_v6'!$B$11,'Config_v6'!$B$36,0))))</x:f>
      </x:c>
      <x:c r="W795" s="2" t="str">
        <x:f>IF(B795="","",IF(I795&lt;&gt;"READY","NOT RELEASED",IF(NOT(AND(J795="PASS",'Calibrare_Linii'!U11="VALID")),"INVALID",IF(NOT(AND('Calibrare_Linii'!S11="VALIDATED",AND('Calibrare_Linii'!H11=C795,ISNUMBER('Calibrare_Linii'!J11),'Calibrare_Linii'!J11&lt;='Input_Meci'!G62))),"OOS PENDING",IF(S795&lt;='Calibrare_Linii'!E11,"PASS",IF(S795&lt;='Calibrare_Linii'!F11,"PENALTY","WATCH"))))))</x:f>
      </x:c>
      <x:c r="X795" s="2" t="str">
        <x:f>IF(M795="","",IF(AND(AND(J795="PASS",'Calibrare_Linii'!U11="VALID"),'Motor_Meciuri'!K62=12,'Motor_Meciuri'!L62=12,'Motor_Meciuri'!M62="NO",'Motor_Meciuri'!BL62='Motor_Meciuri'!C62,AB795&gt;='Config_v6'!$B$50,AN795&gt;='Config_v6'!$B$51,T795&lt;='Config_v6'!$B$52,L795&lt;='Config_v6'!$B$53,ISNUMBER('Calibrare_Linii'!E11),S795&lt;='Calibrare_Linii'!E11,SUM(AK795:AM795)&gt;0),"CANDIDATE","NO"))</x:f>
      </x:c>
      <x:c r="Y795" s="2" t="str">
        <x:f>IF(B795="","",IF(I795&lt;&gt;"READY","NOT RELEASED",IF(AND(X795="CANDIDATE",V795&gt;='Config_v6'!$B$51,W795="PASS",'Calibrare_Linii'!T11="VALIDATED",AND('Calibrare_Linii'!H11=C795,ISNUMBER('Calibrare_Linii'!J11),'Calibrare_Linii'!J11&lt;='Input_Meci'!G62)),"PASS",IF(X795="CANDIDATE","OOS PENDING","FAIL"))))</x:f>
      </x:c>
      <x:c r="Z795" s="2" t="str">
        <x:f>IF(B795="","",IF(I795&lt;&gt;"READY","",IF(OR(NOT(AND(J795="PASS",'Calibrare_Linii'!U11="VALID")),L795&gt;'Config_v6'!$B$13,W795="WATCH"),5,IF(Y795="PASS",1,MIN(5,MAX('Config_v6'!$B$42,U795)+IF(W795="PENALTY",1,0))))))</x:f>
      </x:c>
      <x:c r="AA795" s="2" t="str">
        <x:f>IF(B795="","",IF(I795&lt;&gt;"READY","NOT RELEASED",IF(Z795=5,"NO BET",IF(OR(AB795&lt;'Config_v6'!$B$16,V795&lt;'Config_v6'!$B$18),"WATCH",IF(Z795=1,"DEFENSIV",IF(Z795=2,"PRUDENT",IF(Z795=3,"MODERAT","RIDICAT")))))))</x:f>
      </x:c>
      <x:c r="AB795" s="10" t="str">
        <x:f>IF(N795="","",MIN(N795,1-S795))</x:f>
      </x:c>
      <x:c r="AC795" s="2" t="str">
        <x:f>IF(AD795&lt;&gt;1,"",COUNTIFS($Z$790:$Z$803,"&lt;"&amp;Z795,$AD$790:$AD$803,1)+COUNTIFS($Z$790:$Z$803,Z795,$AB$790:$AB$803,"&gt;"&amp;AB795,$AD$790:$AD$803,1)+COUNTIFS($Z$790:$Z$803,Z795,$AB$790:$AB$803,AB795,$V$790:$V$803,"&gt;"&amp;V795,$AD$790:$AD$803,1)+COUNTIFS($Z$790:Z795,Z795,$AB$790:AB795,AB795,$V$790:V795,V795,$AD$790:AD795,1))</x:f>
      </x:c>
      <x:c r="AD795" s="2" t="n">
        <x:f>IF(OR(AA795="DEFENSIV",AA795="PRUDENT",AA795="MODERAT",AA795="RIDICAT"),1,0)</x:f>
        <x:v>0</x:v>
      </x:c>
      <x:c r="AE795" s="2" t="str">
        <x:f>IF(AD795&lt;&gt;1,"NO",IF(W795="PASS","YES",IF(W795="OOS PENDING","CONDITIONAL","NO")))</x:f>
        <x:v>NO</x:v>
      </x:c>
      <x:c r="AF795" s="2" t="n">
        <x:f>IF(AND(AD795=1,AC795=1,E795="LIVE"),1,0)</x:f>
        <x:v>0</x:v>
      </x:c>
      <x:c r="AG795" s="2" t="str">
        <x:f>IF(AF795&lt;&gt;1,"",'Dashboard'!P82)</x:f>
      </x:c>
      <x:c r="AH795" s="2" t="str">
        <x:f>IF(B795="","",IF(J795&lt;&gt;"PASS",'Motor_Meciuri'!J62,IF('Calibrare_Linii'!U11&lt;&gt;"VALID","Parametri linie invalizi",IF(L795&gt;'Config_v6'!$B$13,"Dispersie peste limita",IF(W795="WATCH","Failure peste limita",IF(AB795&lt;'Config_v6'!$B$16,"P finala sub prag",IF(V795&lt;'Config_v6'!$B$18,"Confidence sub prag",IF(E795="REPLAY","Exemplu retrospectiv; exclus din Top LIVE",IF(Y795="PASS","DEFENSIV validat",IF(W795="OOS PENDING","Eligibil; calibrare linie in monitorizare","Eligibil"))))))))))</x:f>
      </x:c>
      <x:c r="AI795" s="2" t="str">
        <x:f>IF(B795="","",'Calibrare_Linii'!V11)</x:f>
      </x:c>
      <x:c r="AJ795" s="2" t="str">
        <x:f>IF(B795="","",IF(AND('Calibrare_Linii'!T11="VALIDATED",AND('Calibrare_Linii'!H11=C795,ISNUMBER('Calibrare_Linii'!J11),'Calibrare_Linii'!J11&lt;='Input_Meci'!G62)),"DEFENSIVE VALIDATED",IF(AND('Calibrare_Linii'!S11="VALIDATED",AND('Calibrare_Linii'!H11=C795,ISNUMBER('Calibrare_Linii'!J11),'Calibrare_Linii'!J11&lt;='Input_Meci'!G62)),"TAIL VALIDATED","OOS PENDING")))</x:f>
      </x:c>
      <x:c r="AK795" s="2" t="n">
        <x:f>IF(J795&lt;&gt;"PASS",0,'Motor_Meciuri'!BR62)</x:f>
        <x:v>0</x:v>
      </x:c>
      <x:c r="AL795" s="2" t="n">
        <x:f>IF(J795&lt;&gt;"PASS",0,'Motor_Meciuri'!BS62)</x:f>
        <x:v>0</x:v>
      </x:c>
      <x:c r="AM795" s="2" t="n">
        <x:f>IF(J795&lt;&gt;"PASS",0,'Motor_Meciuri'!BT62)</x:f>
        <x:v>0</x:v>
      </x:c>
      <x:c r="AN795" s="2" t="str">
        <x:f>IF(M795="","",MAX(0,'Motor_Meciuri'!BF62-IF(L795&gt;'Config_v6'!$B$12,'Config_v6'!$B$37,IF(L795&gt;'Config_v6'!$B$11,'Config_v6'!$B$36,0))))</x:f>
      </x:c>
    </x:row>
    <x:row r="796" ht="21" customHeight="1">
      <x:c r="A796" s="2" t="n">
        <x:v>57</x:v>
      </x:c>
      <x:c r="B796" s="2" t="str">
        <x:f>IF('Motor_Meciuri'!A62="","",'Motor_Meciuri'!A62)</x:f>
      </x:c>
      <x:c r="C796" s="2" t="str">
        <x:f>IF(B796="","",'Motor_Meciuri'!B62)</x:f>
      </x:c>
      <x:c r="D796" s="2" t="str">
        <x:f>IF(B796="","",'Motor_Meciuri'!D62)</x:f>
      </x:c>
      <x:c r="E796" s="2" t="str">
        <x:f>IF(B796="","",'Motor_Meciuri'!E62)</x:f>
      </x:c>
      <x:c r="F796" s="2" t="str">
        <x:v>U10,5</x:v>
      </x:c>
      <x:c r="G796" s="2" t="str">
        <x:v>UNDER</x:v>
      </x:c>
      <x:c r="H796" s="2" t="n">
        <x:v>10</x:v>
      </x:c>
      <x:c r="I796" s="2" t="str">
        <x:f>IF(B796="","",'Motor_Meciuri'!H62)</x:f>
      </x:c>
      <x:c r="J796" s="2" t="str">
        <x:f>IF(B796="","",'Motor_Meciuri'!I62)</x:f>
      </x:c>
      <x:c r="K796" s="11" t="str">
        <x:f>IF(J796&lt;&gt;"PASS","",'Motor_Meciuri'!BD62)</x:f>
      </x:c>
      <x:c r="L796" s="11" t="str">
        <x:f>IF(J796&lt;&gt;"PASS","",'Motor_Meciuri'!AU62)</x:f>
      </x:c>
      <x:c r="M796" s="10" t="str">
        <x:f>IF(NOT(AND(J796="PASS",'Calibrare_Linii'!U12="VALID")),"",'Distributie'!AH62)</x:f>
      </x:c>
      <x:c r="N796" s="10" t="str">
        <x:f>IF(M796="","",MAX(0.01,MIN(0.99,0.5+(M796-0.5)*'Motor_Meciuri'!BG62*'Calibrare_Linii'!D12)))</x:f>
      </x:c>
      <x:c r="O796" s="10" t="str">
        <x:f>IF(M796="","",1-M796)</x:f>
      </x:c>
      <x:c r="P796" s="10" t="str">
        <x:f>IF(OR(NOT(AND(J796="PASS",'Calibrare_Linii'!U12="VALID")),AK796=0),""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*('Istoric_Nativ'!$Q$6:$Q$405&gt;H796))/AK796)</x:f>
      </x:c>
      <x:c r="Q796" s="10" t="str">
        <x:f>IF(OR(NOT(AND(J796="PASS",'Calibrare_Linii'!U12="VALID")),AL796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M62)+((('Istoric_Nativ'!$E$6:$E$405='Input_Meci'!E62)+('Istoric_Nativ'!$F$6:$F$405='Input_Meci'!E62))&gt;0)*('Istoric_Nativ'!$D$6:$D$405&gt;='Motor_Meciuri'!BN62))&gt;0)*('Istoric_Nativ'!$Q$6:$Q$405&gt;H796))/AL796)</x:f>
      </x:c>
      <x:c r="R796" s="10" t="str">
        <x:f>IF(OR(NOT(AND(J796="PASS",'Calibrare_Linii'!U12="VALID")),AM796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O62)+((('Istoric_Nativ'!$E$6:$E$405='Input_Meci'!E62)+('Istoric_Nativ'!$F$6:$F$405='Input_Meci'!E62))&gt;0)*('Istoric_Nativ'!$D$6:$D$405&gt;='Motor_Meciuri'!BP62))&gt;0)*('Istoric_Nativ'!$Q$6:$Q$405&gt;H796))/AM796)</x:f>
      </x:c>
      <x:c r="S796" s="10" t="str">
        <x:f>IF(M796="","",MAX(O796,P796,Q796,R796))</x:f>
      </x:c>
      <x:c r="T796" s="11" t="str">
        <x:f>IF(M796="","",MIN(100,S796*100*'Config_v6'!$B$44+MIN(100,L796/'Config_v6'!$B$13*100)*'Config_v6'!$B$45+(100-'Motor_Meciuri'!BF62)*'Config_v6'!$B$46+'Motor_Meciuri'!BH62*100*'Config_v6'!$B$47))</x:f>
      </x:c>
      <x:c r="U796" s="2" t="str">
        <x:f>IF(T796="","",IF(T796&lt;=20,1,IF(T796&lt;=40,2,IF(T796&lt;=60,3,IF(T796&lt;=80,4,5)))))</x:f>
      </x:c>
      <x:c r="V796" s="2" t="str">
        <x:f>IF(M796="","",MAX(0,'Motor_Meciuri'!BF62-IF(W796="OOS PENDING",'Config_v6'!$B$35,0)-IF(L796&gt;'Config_v6'!$B$12,'Config_v6'!$B$37,IF(L796&gt;'Config_v6'!$B$11,'Config_v6'!$B$36,0))))</x:f>
      </x:c>
      <x:c r="W796" s="2" t="str">
        <x:f>IF(B796="","",IF(I796&lt;&gt;"READY","NOT RELEASED",IF(NOT(AND(J796="PASS",'Calibrare_Linii'!U12="VALID")),"INVALID",IF(NOT(AND('Calibrare_Linii'!S12="VALIDATED",AND('Calibrare_Linii'!H12=C796,ISNUMBER('Calibrare_Linii'!J12),'Calibrare_Linii'!J12&lt;='Input_Meci'!G62))),"OOS PENDING",IF(S796&lt;='Calibrare_Linii'!E12,"PASS",IF(S796&lt;='Calibrare_Linii'!F12,"PENALTY","WATCH"))))))</x:f>
      </x:c>
      <x:c r="X796" s="2" t="str">
        <x:f>IF(M796="","",IF(AND(AND(J796="PASS",'Calibrare_Linii'!U12="VALID"),'Motor_Meciuri'!K62=12,'Motor_Meciuri'!L62=12,'Motor_Meciuri'!M62="NO",'Motor_Meciuri'!BL62='Motor_Meciuri'!C62,AB796&gt;='Config_v6'!$B$50,AN796&gt;='Config_v6'!$B$51,T796&lt;='Config_v6'!$B$52,L796&lt;='Config_v6'!$B$53,ISNUMBER('Calibrare_Linii'!E12),S796&lt;='Calibrare_Linii'!E12,SUM(AK796:AM796)&gt;0),"CANDIDATE","NO"))</x:f>
      </x:c>
      <x:c r="Y796" s="2" t="str">
        <x:f>IF(B796="","",IF(I796&lt;&gt;"READY","NOT RELEASED",IF(AND(X796="CANDIDATE",V796&gt;='Config_v6'!$B$51,W796="PASS",'Calibrare_Linii'!T12="VALIDATED",AND('Calibrare_Linii'!H12=C796,ISNUMBER('Calibrare_Linii'!J12),'Calibrare_Linii'!J12&lt;='Input_Meci'!G62)),"PASS",IF(X796="CANDIDATE","OOS PENDING","FAIL"))))</x:f>
      </x:c>
      <x:c r="Z796" s="2" t="str">
        <x:f>IF(B796="","",IF(I796&lt;&gt;"READY","",IF(OR(NOT(AND(J796="PASS",'Calibrare_Linii'!U12="VALID")),L796&gt;'Config_v6'!$B$13,W796="WATCH"),5,IF(Y796="PASS",1,MIN(5,MAX('Config_v6'!$B$42,U796)+IF(W796="PENALTY",1,0))))))</x:f>
      </x:c>
      <x:c r="AA796" s="2" t="str">
        <x:f>IF(B796="","",IF(I796&lt;&gt;"READY","NOT RELEASED",IF(Z796=5,"NO BET",IF(OR(AB796&lt;'Config_v6'!$B$16,V796&lt;'Config_v6'!$B$18),"WATCH",IF(Z796=1,"DEFENSIV",IF(Z796=2,"PRUDENT",IF(Z796=3,"MODERAT","RIDICAT")))))))</x:f>
      </x:c>
      <x:c r="AB796" s="10" t="str">
        <x:f>IF(N796="","",MIN(N796,1-S796))</x:f>
      </x:c>
      <x:c r="AC796" s="2" t="str">
        <x:f>IF(AD796&lt;&gt;1,"",COUNTIFS($Z$790:$Z$803,"&lt;"&amp;Z796,$AD$790:$AD$803,1)+COUNTIFS($Z$790:$Z$803,Z796,$AB$790:$AB$803,"&gt;"&amp;AB796,$AD$790:$AD$803,1)+COUNTIFS($Z$790:$Z$803,Z796,$AB$790:$AB$803,AB796,$V$790:$V$803,"&gt;"&amp;V796,$AD$790:$AD$803,1)+COUNTIFS($Z$790:Z796,Z796,$AB$790:AB796,AB796,$V$790:V796,V796,$AD$790:AD796,1))</x:f>
      </x:c>
      <x:c r="AD796" s="2" t="n">
        <x:f>IF(OR(AA796="DEFENSIV",AA796="PRUDENT",AA796="MODERAT",AA796="RIDICAT"),1,0)</x:f>
        <x:v>0</x:v>
      </x:c>
      <x:c r="AE796" s="2" t="str">
        <x:f>IF(AD796&lt;&gt;1,"NO",IF(W796="PASS","YES",IF(W796="OOS PENDING","CONDITIONAL","NO")))</x:f>
        <x:v>NO</x:v>
      </x:c>
      <x:c r="AF796" s="2" t="n">
        <x:f>IF(AND(AD796=1,AC796=1,E796="LIVE"),1,0)</x:f>
        <x:v>0</x:v>
      </x:c>
      <x:c r="AG796" s="2" t="str">
        <x:f>IF(AF796&lt;&gt;1,"",'Dashboard'!P82)</x:f>
      </x:c>
      <x:c r="AH796" s="2" t="str">
        <x:f>IF(B796="","",IF(J796&lt;&gt;"PASS",'Motor_Meciuri'!J62,IF('Calibrare_Linii'!U12&lt;&gt;"VALID","Parametri linie invalizi",IF(L796&gt;'Config_v6'!$B$13,"Dispersie peste limita",IF(W796="WATCH","Failure peste limita",IF(AB796&lt;'Config_v6'!$B$16,"P finala sub prag",IF(V796&lt;'Config_v6'!$B$18,"Confidence sub prag",IF(E796="REPLAY","Exemplu retrospectiv; exclus din Top LIVE",IF(Y796="PASS","DEFENSIV validat",IF(W796="OOS PENDING","Eligibil; calibrare linie in monitorizare","Eligibil"))))))))))</x:f>
      </x:c>
      <x:c r="AI796" s="2" t="str">
        <x:f>IF(B796="","",'Calibrare_Linii'!V12)</x:f>
      </x:c>
      <x:c r="AJ796" s="2" t="str">
        <x:f>IF(B796="","",IF(AND('Calibrare_Linii'!T12="VALIDATED",AND('Calibrare_Linii'!H12=C796,ISNUMBER('Calibrare_Linii'!J12),'Calibrare_Linii'!J12&lt;='Input_Meci'!G62)),"DEFENSIVE VALIDATED",IF(AND('Calibrare_Linii'!S12="VALIDATED",AND('Calibrare_Linii'!H12=C796,ISNUMBER('Calibrare_Linii'!J12),'Calibrare_Linii'!J12&lt;='Input_Meci'!G62)),"TAIL VALIDATED","OOS PENDING")))</x:f>
      </x:c>
      <x:c r="AK796" s="2" t="n">
        <x:f>IF(J796&lt;&gt;"PASS",0,'Motor_Meciuri'!BR62)</x:f>
        <x:v>0</x:v>
      </x:c>
      <x:c r="AL796" s="2" t="n">
        <x:f>IF(J796&lt;&gt;"PASS",0,'Motor_Meciuri'!BS62)</x:f>
        <x:v>0</x:v>
      </x:c>
      <x:c r="AM796" s="2" t="n">
        <x:f>IF(J796&lt;&gt;"PASS",0,'Motor_Meciuri'!BT62)</x:f>
        <x:v>0</x:v>
      </x:c>
      <x:c r="AN796" s="2" t="str">
        <x:f>IF(M796="","",MAX(0,'Motor_Meciuri'!BF62-IF(L796&gt;'Config_v6'!$B$12,'Config_v6'!$B$37,IF(L796&gt;'Config_v6'!$B$11,'Config_v6'!$B$36,0))))</x:f>
      </x:c>
    </x:row>
    <x:row r="797" ht="21" customHeight="1">
      <x:c r="A797" s="2" t="n">
        <x:v>57</x:v>
      </x:c>
      <x:c r="B797" s="2" t="str">
        <x:f>IF('Motor_Meciuri'!A62="","",'Motor_Meciuri'!A62)</x:f>
      </x:c>
      <x:c r="C797" s="2" t="str">
        <x:f>IF(B797="","",'Motor_Meciuri'!B62)</x:f>
      </x:c>
      <x:c r="D797" s="2" t="str">
        <x:f>IF(B797="","",'Motor_Meciuri'!D62)</x:f>
      </x:c>
      <x:c r="E797" s="2" t="str">
        <x:f>IF(B797="","",'Motor_Meciuri'!E62)</x:f>
      </x:c>
      <x:c r="F797" s="2" t="str">
        <x:v>U11,5</x:v>
      </x:c>
      <x:c r="G797" s="2" t="str">
        <x:v>UNDER</x:v>
      </x:c>
      <x:c r="H797" s="2" t="n">
        <x:v>11</x:v>
      </x:c>
      <x:c r="I797" s="2" t="str">
        <x:f>IF(B797="","",'Motor_Meciuri'!H62)</x:f>
      </x:c>
      <x:c r="J797" s="2" t="str">
        <x:f>IF(B797="","",'Motor_Meciuri'!I62)</x:f>
      </x:c>
      <x:c r="K797" s="11" t="str">
        <x:f>IF(J797&lt;&gt;"PASS","",'Motor_Meciuri'!BD62)</x:f>
      </x:c>
      <x:c r="L797" s="11" t="str">
        <x:f>IF(J797&lt;&gt;"PASS","",'Motor_Meciuri'!AU62)</x:f>
      </x:c>
      <x:c r="M797" s="10" t="str">
        <x:f>IF(NOT(AND(J797="PASS",'Calibrare_Linii'!U13="VALID")),"",'Distributie'!AI62)</x:f>
      </x:c>
      <x:c r="N797" s="10" t="str">
        <x:f>IF(M797="","",MAX(0.01,MIN(0.99,0.5+(M797-0.5)*'Motor_Meciuri'!BG62*'Calibrare_Linii'!D13)))</x:f>
      </x:c>
      <x:c r="O797" s="10" t="str">
        <x:f>IF(M797="","",1-M797)</x:f>
      </x:c>
      <x:c r="P797" s="10" t="str">
        <x:f>IF(OR(NOT(AND(J797="PASS",'Calibrare_Linii'!U13="VALID")),AK797=0),""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*('Istoric_Nativ'!$Q$6:$Q$405&gt;H797))/AK797)</x:f>
      </x:c>
      <x:c r="Q797" s="10" t="str">
        <x:f>IF(OR(NOT(AND(J797="PASS",'Calibrare_Linii'!U13="VALID")),AL797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M62)+((('Istoric_Nativ'!$E$6:$E$405='Input_Meci'!E62)+('Istoric_Nativ'!$F$6:$F$405='Input_Meci'!E62))&gt;0)*('Istoric_Nativ'!$D$6:$D$405&gt;='Motor_Meciuri'!BN62))&gt;0)*('Istoric_Nativ'!$Q$6:$Q$405&gt;H797))/AL797)</x:f>
      </x:c>
      <x:c r="R797" s="10" t="str">
        <x:f>IF(OR(NOT(AND(J797="PASS",'Calibrare_Linii'!U13="VALID")),AM797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O62)+((('Istoric_Nativ'!$E$6:$E$405='Input_Meci'!E62)+('Istoric_Nativ'!$F$6:$F$405='Input_Meci'!E62))&gt;0)*('Istoric_Nativ'!$D$6:$D$405&gt;='Motor_Meciuri'!BP62))&gt;0)*('Istoric_Nativ'!$Q$6:$Q$405&gt;H797))/AM797)</x:f>
      </x:c>
      <x:c r="S797" s="10" t="str">
        <x:f>IF(M797="","",MAX(O797,P797,Q797,R797))</x:f>
      </x:c>
      <x:c r="T797" s="11" t="str">
        <x:f>IF(M797="","",MIN(100,S797*100*'Config_v6'!$B$44+MIN(100,L797/'Config_v6'!$B$13*100)*'Config_v6'!$B$45+(100-'Motor_Meciuri'!BF62)*'Config_v6'!$B$46+'Motor_Meciuri'!BH62*100*'Config_v6'!$B$47))</x:f>
      </x:c>
      <x:c r="U797" s="2" t="str">
        <x:f>IF(T797="","",IF(T797&lt;=20,1,IF(T797&lt;=40,2,IF(T797&lt;=60,3,IF(T797&lt;=80,4,5)))))</x:f>
      </x:c>
      <x:c r="V797" s="2" t="str">
        <x:f>IF(M797="","",MAX(0,'Motor_Meciuri'!BF62-IF(W797="OOS PENDING",'Config_v6'!$B$35,0)-IF(L797&gt;'Config_v6'!$B$12,'Config_v6'!$B$37,IF(L797&gt;'Config_v6'!$B$11,'Config_v6'!$B$36,0))))</x:f>
      </x:c>
      <x:c r="W797" s="2" t="str">
        <x:f>IF(B797="","",IF(I797&lt;&gt;"READY","NOT RELEASED",IF(NOT(AND(J797="PASS",'Calibrare_Linii'!U13="VALID")),"INVALID",IF(NOT(AND('Calibrare_Linii'!S13="VALIDATED",AND('Calibrare_Linii'!H13=C797,ISNUMBER('Calibrare_Linii'!J13),'Calibrare_Linii'!J13&lt;='Input_Meci'!G62))),"OOS PENDING",IF(S797&lt;='Calibrare_Linii'!E13,"PASS",IF(S797&lt;='Calibrare_Linii'!F13,"PENALTY","WATCH"))))))</x:f>
      </x:c>
      <x:c r="X797" s="2" t="str">
        <x:f>IF(M797="","",IF(AND(AND(J797="PASS",'Calibrare_Linii'!U13="VALID"),'Motor_Meciuri'!K62=12,'Motor_Meciuri'!L62=12,'Motor_Meciuri'!M62="NO",'Motor_Meciuri'!BL62='Motor_Meciuri'!C62,AB797&gt;='Config_v6'!$B$50,AN797&gt;='Config_v6'!$B$51,T797&lt;='Config_v6'!$B$52,L797&lt;='Config_v6'!$B$53,ISNUMBER('Calibrare_Linii'!E13),S797&lt;='Calibrare_Linii'!E13,SUM(AK797:AM797)&gt;0),"CANDIDATE","NO"))</x:f>
      </x:c>
      <x:c r="Y797" s="2" t="str">
        <x:f>IF(B797="","",IF(I797&lt;&gt;"READY","NOT RELEASED",IF(AND(X797="CANDIDATE",V797&gt;='Config_v6'!$B$51,W797="PASS",'Calibrare_Linii'!T13="VALIDATED",AND('Calibrare_Linii'!H13=C797,ISNUMBER('Calibrare_Linii'!J13),'Calibrare_Linii'!J13&lt;='Input_Meci'!G62)),"PASS",IF(X797="CANDIDATE","OOS PENDING","FAIL"))))</x:f>
      </x:c>
      <x:c r="Z797" s="2" t="str">
        <x:f>IF(B797="","",IF(I797&lt;&gt;"READY","",IF(OR(NOT(AND(J797="PASS",'Calibrare_Linii'!U13="VALID")),L797&gt;'Config_v6'!$B$13,W797="WATCH"),5,IF(Y797="PASS",1,MIN(5,MAX('Config_v6'!$B$42,U797)+IF(W797="PENALTY",1,0))))))</x:f>
      </x:c>
      <x:c r="AA797" s="2" t="str">
        <x:f>IF(B797="","",IF(I797&lt;&gt;"READY","NOT RELEASED",IF(Z797=5,"NO BET",IF(OR(AB797&lt;'Config_v6'!$B$16,V797&lt;'Config_v6'!$B$18),"WATCH",IF(Z797=1,"DEFENSIV",IF(Z797=2,"PRUDENT",IF(Z797=3,"MODERAT","RIDICAT")))))))</x:f>
      </x:c>
      <x:c r="AB797" s="10" t="str">
        <x:f>IF(N797="","",MIN(N797,1-S797))</x:f>
      </x:c>
      <x:c r="AC797" s="2" t="str">
        <x:f>IF(AD797&lt;&gt;1,"",COUNTIFS($Z$790:$Z$803,"&lt;"&amp;Z797,$AD$790:$AD$803,1)+COUNTIFS($Z$790:$Z$803,Z797,$AB$790:$AB$803,"&gt;"&amp;AB797,$AD$790:$AD$803,1)+COUNTIFS($Z$790:$Z$803,Z797,$AB$790:$AB$803,AB797,$V$790:$V$803,"&gt;"&amp;V797,$AD$790:$AD$803,1)+COUNTIFS($Z$790:Z797,Z797,$AB$790:AB797,AB797,$V$790:V797,V797,$AD$790:AD797,1))</x:f>
      </x:c>
      <x:c r="AD797" s="2" t="n">
        <x:f>IF(OR(AA797="DEFENSIV",AA797="PRUDENT",AA797="MODERAT",AA797="RIDICAT"),1,0)</x:f>
        <x:v>0</x:v>
      </x:c>
      <x:c r="AE797" s="2" t="str">
        <x:f>IF(AD797&lt;&gt;1,"NO",IF(W797="PASS","YES",IF(W797="OOS PENDING","CONDITIONAL","NO")))</x:f>
        <x:v>NO</x:v>
      </x:c>
      <x:c r="AF797" s="2" t="n">
        <x:f>IF(AND(AD797=1,AC797=1,E797="LIVE"),1,0)</x:f>
        <x:v>0</x:v>
      </x:c>
      <x:c r="AG797" s="2" t="str">
        <x:f>IF(AF797&lt;&gt;1,"",'Dashboard'!P82)</x:f>
      </x:c>
      <x:c r="AH797" s="2" t="str">
        <x:f>IF(B797="","",IF(J797&lt;&gt;"PASS",'Motor_Meciuri'!J62,IF('Calibrare_Linii'!U13&lt;&gt;"VALID","Parametri linie invalizi",IF(L797&gt;'Config_v6'!$B$13,"Dispersie peste limita",IF(W797="WATCH","Failure peste limita",IF(AB797&lt;'Config_v6'!$B$16,"P finala sub prag",IF(V797&lt;'Config_v6'!$B$18,"Confidence sub prag",IF(E797="REPLAY","Exemplu retrospectiv; exclus din Top LIVE",IF(Y797="PASS","DEFENSIV validat",IF(W797="OOS PENDING","Eligibil; calibrare linie in monitorizare","Eligibil"))))))))))</x:f>
      </x:c>
      <x:c r="AI797" s="2" t="str">
        <x:f>IF(B797="","",'Calibrare_Linii'!V13)</x:f>
      </x:c>
      <x:c r="AJ797" s="2" t="str">
        <x:f>IF(B797="","",IF(AND('Calibrare_Linii'!T13="VALIDATED",AND('Calibrare_Linii'!H13=C797,ISNUMBER('Calibrare_Linii'!J13),'Calibrare_Linii'!J13&lt;='Input_Meci'!G62)),"DEFENSIVE VALIDATED",IF(AND('Calibrare_Linii'!S13="VALIDATED",AND('Calibrare_Linii'!H13=C797,ISNUMBER('Calibrare_Linii'!J13),'Calibrare_Linii'!J13&lt;='Input_Meci'!G62)),"TAIL VALIDATED","OOS PENDING")))</x:f>
      </x:c>
      <x:c r="AK797" s="2" t="n">
        <x:f>IF(J797&lt;&gt;"PASS",0,'Motor_Meciuri'!BR62)</x:f>
        <x:v>0</x:v>
      </x:c>
      <x:c r="AL797" s="2" t="n">
        <x:f>IF(J797&lt;&gt;"PASS",0,'Motor_Meciuri'!BS62)</x:f>
        <x:v>0</x:v>
      </x:c>
      <x:c r="AM797" s="2" t="n">
        <x:f>IF(J797&lt;&gt;"PASS",0,'Motor_Meciuri'!BT62)</x:f>
        <x:v>0</x:v>
      </x:c>
      <x:c r="AN797" s="2" t="str">
        <x:f>IF(M797="","",MAX(0,'Motor_Meciuri'!BF62-IF(L797&gt;'Config_v6'!$B$12,'Config_v6'!$B$37,IF(L797&gt;'Config_v6'!$B$11,'Config_v6'!$B$36,0))))</x:f>
      </x:c>
    </x:row>
    <x:row r="798" ht="21" customHeight="1">
      <x:c r="A798" s="2" t="n">
        <x:v>57</x:v>
      </x:c>
      <x:c r="B798" s="2" t="str">
        <x:f>IF('Motor_Meciuri'!A62="","",'Motor_Meciuri'!A62)</x:f>
      </x:c>
      <x:c r="C798" s="2" t="str">
        <x:f>IF(B798="","",'Motor_Meciuri'!B62)</x:f>
      </x:c>
      <x:c r="D798" s="2" t="str">
        <x:f>IF(B798="","",'Motor_Meciuri'!D62)</x:f>
      </x:c>
      <x:c r="E798" s="2" t="str">
        <x:f>IF(B798="","",'Motor_Meciuri'!E62)</x:f>
      </x:c>
      <x:c r="F798" s="2" t="str">
        <x:v>U12,5</x:v>
      </x:c>
      <x:c r="G798" s="2" t="str">
        <x:v>UNDER</x:v>
      </x:c>
      <x:c r="H798" s="2" t="n">
        <x:v>12</x:v>
      </x:c>
      <x:c r="I798" s="2" t="str">
        <x:f>IF(B798="","",'Motor_Meciuri'!H62)</x:f>
      </x:c>
      <x:c r="J798" s="2" t="str">
        <x:f>IF(B798="","",'Motor_Meciuri'!I62)</x:f>
      </x:c>
      <x:c r="K798" s="11" t="str">
        <x:f>IF(J798&lt;&gt;"PASS","",'Motor_Meciuri'!BD62)</x:f>
      </x:c>
      <x:c r="L798" s="11" t="str">
        <x:f>IF(J798&lt;&gt;"PASS","",'Motor_Meciuri'!AU62)</x:f>
      </x:c>
      <x:c r="M798" s="10" t="str">
        <x:f>IF(NOT(AND(J798="PASS",'Calibrare_Linii'!U14="VALID")),"",'Distributie'!AJ62)</x:f>
      </x:c>
      <x:c r="N798" s="10" t="str">
        <x:f>IF(M798="","",MAX(0.01,MIN(0.99,0.5+(M798-0.5)*'Motor_Meciuri'!BG62*'Calibrare_Linii'!D14)))</x:f>
      </x:c>
      <x:c r="O798" s="10" t="str">
        <x:f>IF(M798="","",1-M798)</x:f>
      </x:c>
      <x:c r="P798" s="10" t="str">
        <x:f>IF(OR(NOT(AND(J798="PASS",'Calibrare_Linii'!U14="VALID")),AK798=0),""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*('Istoric_Nativ'!$Q$6:$Q$405&gt;H798))/AK798)</x:f>
      </x:c>
      <x:c r="Q798" s="10" t="str">
        <x:f>IF(OR(NOT(AND(J798="PASS",'Calibrare_Linii'!U14="VALID")),AL798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M62)+((('Istoric_Nativ'!$E$6:$E$405='Input_Meci'!E62)+('Istoric_Nativ'!$F$6:$F$405='Input_Meci'!E62))&gt;0)*('Istoric_Nativ'!$D$6:$D$405&gt;='Motor_Meciuri'!BN62))&gt;0)*('Istoric_Nativ'!$Q$6:$Q$405&gt;H798))/AL798)</x:f>
      </x:c>
      <x:c r="R798" s="10" t="str">
        <x:f>IF(OR(NOT(AND(J798="PASS",'Calibrare_Linii'!U14="VALID")),AM798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O62)+((('Istoric_Nativ'!$E$6:$E$405='Input_Meci'!E62)+('Istoric_Nativ'!$F$6:$F$405='Input_Meci'!E62))&gt;0)*('Istoric_Nativ'!$D$6:$D$405&gt;='Motor_Meciuri'!BP62))&gt;0)*('Istoric_Nativ'!$Q$6:$Q$405&gt;H798))/AM798)</x:f>
      </x:c>
      <x:c r="S798" s="10" t="str">
        <x:f>IF(M798="","",MAX(O798,P798,Q798,R798))</x:f>
      </x:c>
      <x:c r="T798" s="11" t="str">
        <x:f>IF(M798="","",MIN(100,S798*100*'Config_v6'!$B$44+MIN(100,L798/'Config_v6'!$B$13*100)*'Config_v6'!$B$45+(100-'Motor_Meciuri'!BF62)*'Config_v6'!$B$46+'Motor_Meciuri'!BH62*100*'Config_v6'!$B$47))</x:f>
      </x:c>
      <x:c r="U798" s="2" t="str">
        <x:f>IF(T798="","",IF(T798&lt;=20,1,IF(T798&lt;=40,2,IF(T798&lt;=60,3,IF(T798&lt;=80,4,5)))))</x:f>
      </x:c>
      <x:c r="V798" s="2" t="str">
        <x:f>IF(M798="","",MAX(0,'Motor_Meciuri'!BF62-IF(W798="OOS PENDING",'Config_v6'!$B$35,0)-IF(L798&gt;'Config_v6'!$B$12,'Config_v6'!$B$37,IF(L798&gt;'Config_v6'!$B$11,'Config_v6'!$B$36,0))))</x:f>
      </x:c>
      <x:c r="W798" s="2" t="str">
        <x:f>IF(B798="","",IF(I798&lt;&gt;"READY","NOT RELEASED",IF(NOT(AND(J798="PASS",'Calibrare_Linii'!U14="VALID")),"INVALID",IF(NOT(AND('Calibrare_Linii'!S14="VALIDATED",AND('Calibrare_Linii'!H14=C798,ISNUMBER('Calibrare_Linii'!J14),'Calibrare_Linii'!J14&lt;='Input_Meci'!G62))),"OOS PENDING",IF(S798&lt;='Calibrare_Linii'!E14,"PASS",IF(S798&lt;='Calibrare_Linii'!F14,"PENALTY","WATCH"))))))</x:f>
      </x:c>
      <x:c r="X798" s="2" t="str">
        <x:f>IF(M798="","",IF(AND(AND(J798="PASS",'Calibrare_Linii'!U14="VALID"),'Motor_Meciuri'!K62=12,'Motor_Meciuri'!L62=12,'Motor_Meciuri'!M62="NO",'Motor_Meciuri'!BL62='Motor_Meciuri'!C62,AB798&gt;='Config_v6'!$B$50,AN798&gt;='Config_v6'!$B$51,T798&lt;='Config_v6'!$B$52,L798&lt;='Config_v6'!$B$53,ISNUMBER('Calibrare_Linii'!E14),S798&lt;='Calibrare_Linii'!E14,SUM(AK798:AM798)&gt;0),"CANDIDATE","NO"))</x:f>
      </x:c>
      <x:c r="Y798" s="2" t="str">
        <x:f>IF(B798="","",IF(I798&lt;&gt;"READY","NOT RELEASED",IF(AND(X798="CANDIDATE",V798&gt;='Config_v6'!$B$51,W798="PASS",'Calibrare_Linii'!T14="VALIDATED",AND('Calibrare_Linii'!H14=C798,ISNUMBER('Calibrare_Linii'!J14),'Calibrare_Linii'!J14&lt;='Input_Meci'!G62)),"PASS",IF(X798="CANDIDATE","OOS PENDING","FAIL"))))</x:f>
      </x:c>
      <x:c r="Z798" s="2" t="str">
        <x:f>IF(B798="","",IF(I798&lt;&gt;"READY","",IF(OR(NOT(AND(J798="PASS",'Calibrare_Linii'!U14="VALID")),L798&gt;'Config_v6'!$B$13,W798="WATCH"),5,IF(Y798="PASS",1,MIN(5,MAX('Config_v6'!$B$42,U798)+IF(W798="PENALTY",1,0))))))</x:f>
      </x:c>
      <x:c r="AA798" s="2" t="str">
        <x:f>IF(B798="","",IF(I798&lt;&gt;"READY","NOT RELEASED",IF(Z798=5,"NO BET",IF(OR(AB798&lt;'Config_v6'!$B$16,V798&lt;'Config_v6'!$B$18),"WATCH",IF(Z798=1,"DEFENSIV",IF(Z798=2,"PRUDENT",IF(Z798=3,"MODERAT","RIDICAT")))))))</x:f>
      </x:c>
      <x:c r="AB798" s="10" t="str">
        <x:f>IF(N798="","",MIN(N798,1-S798))</x:f>
      </x:c>
      <x:c r="AC798" s="2" t="str">
        <x:f>IF(AD798&lt;&gt;1,"",COUNTIFS($Z$790:$Z$803,"&lt;"&amp;Z798,$AD$790:$AD$803,1)+COUNTIFS($Z$790:$Z$803,Z798,$AB$790:$AB$803,"&gt;"&amp;AB798,$AD$790:$AD$803,1)+COUNTIFS($Z$790:$Z$803,Z798,$AB$790:$AB$803,AB798,$V$790:$V$803,"&gt;"&amp;V798,$AD$790:$AD$803,1)+COUNTIFS($Z$790:Z798,Z798,$AB$790:AB798,AB798,$V$790:V798,V798,$AD$790:AD798,1))</x:f>
      </x:c>
      <x:c r="AD798" s="2" t="n">
        <x:f>IF(OR(AA798="DEFENSIV",AA798="PRUDENT",AA798="MODERAT",AA798="RIDICAT"),1,0)</x:f>
        <x:v>0</x:v>
      </x:c>
      <x:c r="AE798" s="2" t="str">
        <x:f>IF(AD798&lt;&gt;1,"NO",IF(W798="PASS","YES",IF(W798="OOS PENDING","CONDITIONAL","NO")))</x:f>
        <x:v>NO</x:v>
      </x:c>
      <x:c r="AF798" s="2" t="n">
        <x:f>IF(AND(AD798=1,AC798=1,E798="LIVE"),1,0)</x:f>
        <x:v>0</x:v>
      </x:c>
      <x:c r="AG798" s="2" t="str">
        <x:f>IF(AF798&lt;&gt;1,"",'Dashboard'!P82)</x:f>
      </x:c>
      <x:c r="AH798" s="2" t="str">
        <x:f>IF(B798="","",IF(J798&lt;&gt;"PASS",'Motor_Meciuri'!J62,IF('Calibrare_Linii'!U14&lt;&gt;"VALID","Parametri linie invalizi",IF(L798&gt;'Config_v6'!$B$13,"Dispersie peste limita",IF(W798="WATCH","Failure peste limita",IF(AB798&lt;'Config_v6'!$B$16,"P finala sub prag",IF(V798&lt;'Config_v6'!$B$18,"Confidence sub prag",IF(E798="REPLAY","Exemplu retrospectiv; exclus din Top LIVE",IF(Y798="PASS","DEFENSIV validat",IF(W798="OOS PENDING","Eligibil; calibrare linie in monitorizare","Eligibil"))))))))))</x:f>
      </x:c>
      <x:c r="AI798" s="2" t="str">
        <x:f>IF(B798="","",'Calibrare_Linii'!V14)</x:f>
      </x:c>
      <x:c r="AJ798" s="2" t="str">
        <x:f>IF(B798="","",IF(AND('Calibrare_Linii'!T14="VALIDATED",AND('Calibrare_Linii'!H14=C798,ISNUMBER('Calibrare_Linii'!J14),'Calibrare_Linii'!J14&lt;='Input_Meci'!G62)),"DEFENSIVE VALIDATED",IF(AND('Calibrare_Linii'!S14="VALIDATED",AND('Calibrare_Linii'!H14=C798,ISNUMBER('Calibrare_Linii'!J14),'Calibrare_Linii'!J14&lt;='Input_Meci'!G62)),"TAIL VALIDATED","OOS PENDING")))</x:f>
      </x:c>
      <x:c r="AK798" s="2" t="n">
        <x:f>IF(J798&lt;&gt;"PASS",0,'Motor_Meciuri'!BR62)</x:f>
        <x:v>0</x:v>
      </x:c>
      <x:c r="AL798" s="2" t="n">
        <x:f>IF(J798&lt;&gt;"PASS",0,'Motor_Meciuri'!BS62)</x:f>
        <x:v>0</x:v>
      </x:c>
      <x:c r="AM798" s="2" t="n">
        <x:f>IF(J798&lt;&gt;"PASS",0,'Motor_Meciuri'!BT62)</x:f>
        <x:v>0</x:v>
      </x:c>
      <x:c r="AN798" s="2" t="str">
        <x:f>IF(M798="","",MAX(0,'Motor_Meciuri'!BF62-IF(L798&gt;'Config_v6'!$B$12,'Config_v6'!$B$37,IF(L798&gt;'Config_v6'!$B$11,'Config_v6'!$B$36,0))))</x:f>
      </x:c>
    </x:row>
    <x:row r="799" ht="21" customHeight="1">
      <x:c r="A799" s="2" t="n">
        <x:v>57</x:v>
      </x:c>
      <x:c r="B799" s="2" t="str">
        <x:f>IF('Motor_Meciuri'!A62="","",'Motor_Meciuri'!A62)</x:f>
      </x:c>
      <x:c r="C799" s="2" t="str">
        <x:f>IF(B799="","",'Motor_Meciuri'!B62)</x:f>
      </x:c>
      <x:c r="D799" s="2" t="str">
        <x:f>IF(B799="","",'Motor_Meciuri'!D62)</x:f>
      </x:c>
      <x:c r="E799" s="2" t="str">
        <x:f>IF(B799="","",'Motor_Meciuri'!E62)</x:f>
      </x:c>
      <x:c r="F799" s="2" t="str">
        <x:v>U13,5</x:v>
      </x:c>
      <x:c r="G799" s="2" t="str">
        <x:v>UNDER</x:v>
      </x:c>
      <x:c r="H799" s="2" t="n">
        <x:v>13</x:v>
      </x:c>
      <x:c r="I799" s="2" t="str">
        <x:f>IF(B799="","",'Motor_Meciuri'!H62)</x:f>
      </x:c>
      <x:c r="J799" s="2" t="str">
        <x:f>IF(B799="","",'Motor_Meciuri'!I62)</x:f>
      </x:c>
      <x:c r="K799" s="11" t="str">
        <x:f>IF(J799&lt;&gt;"PASS","",'Motor_Meciuri'!BD62)</x:f>
      </x:c>
      <x:c r="L799" s="11" t="str">
        <x:f>IF(J799&lt;&gt;"PASS","",'Motor_Meciuri'!AU62)</x:f>
      </x:c>
      <x:c r="M799" s="10" t="str">
        <x:f>IF(NOT(AND(J799="PASS",'Calibrare_Linii'!U15="VALID")),"",'Distributie'!AK62)</x:f>
      </x:c>
      <x:c r="N799" s="10" t="str">
        <x:f>IF(M799="","",MAX(0.01,MIN(0.99,0.5+(M799-0.5)*'Motor_Meciuri'!BG62*'Calibrare_Linii'!D15)))</x:f>
      </x:c>
      <x:c r="O799" s="10" t="str">
        <x:f>IF(M799="","",1-M799)</x:f>
      </x:c>
      <x:c r="P799" s="10" t="str">
        <x:f>IF(OR(NOT(AND(J799="PASS",'Calibrare_Linii'!U15="VALID")),AK799=0),""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*('Istoric_Nativ'!$Q$6:$Q$405&gt;H799))/AK799)</x:f>
      </x:c>
      <x:c r="Q799" s="10" t="str">
        <x:f>IF(OR(NOT(AND(J799="PASS",'Calibrare_Linii'!U15="VALID")),AL799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M62)+((('Istoric_Nativ'!$E$6:$E$405='Input_Meci'!E62)+('Istoric_Nativ'!$F$6:$F$405='Input_Meci'!E62))&gt;0)*('Istoric_Nativ'!$D$6:$D$405&gt;='Motor_Meciuri'!BN62))&gt;0)*('Istoric_Nativ'!$Q$6:$Q$405&gt;H799))/AL799)</x:f>
      </x:c>
      <x:c r="R799" s="10" t="str">
        <x:f>IF(OR(NOT(AND(J799="PASS",'Calibrare_Linii'!U15="VALID")),AM799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O62)+((('Istoric_Nativ'!$E$6:$E$405='Input_Meci'!E62)+('Istoric_Nativ'!$F$6:$F$405='Input_Meci'!E62))&gt;0)*('Istoric_Nativ'!$D$6:$D$405&gt;='Motor_Meciuri'!BP62))&gt;0)*('Istoric_Nativ'!$Q$6:$Q$405&gt;H799))/AM799)</x:f>
      </x:c>
      <x:c r="S799" s="10" t="str">
        <x:f>IF(M799="","",MAX(O799,P799,Q799,R799))</x:f>
      </x:c>
      <x:c r="T799" s="11" t="str">
        <x:f>IF(M799="","",MIN(100,S799*100*'Config_v6'!$B$44+MIN(100,L799/'Config_v6'!$B$13*100)*'Config_v6'!$B$45+(100-'Motor_Meciuri'!BF62)*'Config_v6'!$B$46+'Motor_Meciuri'!BH62*100*'Config_v6'!$B$47))</x:f>
      </x:c>
      <x:c r="U799" s="2" t="str">
        <x:f>IF(T799="","",IF(T799&lt;=20,1,IF(T799&lt;=40,2,IF(T799&lt;=60,3,IF(T799&lt;=80,4,5)))))</x:f>
      </x:c>
      <x:c r="V799" s="2" t="str">
        <x:f>IF(M799="","",MAX(0,'Motor_Meciuri'!BF62-IF(W799="OOS PENDING",'Config_v6'!$B$35,0)-IF(L799&gt;'Config_v6'!$B$12,'Config_v6'!$B$37,IF(L799&gt;'Config_v6'!$B$11,'Config_v6'!$B$36,0))))</x:f>
      </x:c>
      <x:c r="W799" s="2" t="str">
        <x:f>IF(B799="","",IF(I799&lt;&gt;"READY","NOT RELEASED",IF(NOT(AND(J799="PASS",'Calibrare_Linii'!U15="VALID")),"INVALID",IF(NOT(AND('Calibrare_Linii'!S15="VALIDATED",AND('Calibrare_Linii'!H15=C799,ISNUMBER('Calibrare_Linii'!J15),'Calibrare_Linii'!J15&lt;='Input_Meci'!G62))),"OOS PENDING",IF(S799&lt;='Calibrare_Linii'!E15,"PASS",IF(S799&lt;='Calibrare_Linii'!F15,"PENALTY","WATCH"))))))</x:f>
      </x:c>
      <x:c r="X799" s="2" t="str">
        <x:f>IF(M799="","",IF(AND(AND(J799="PASS",'Calibrare_Linii'!U15="VALID"),'Motor_Meciuri'!K62=12,'Motor_Meciuri'!L62=12,'Motor_Meciuri'!M62="NO",'Motor_Meciuri'!BL62='Motor_Meciuri'!C62,AB799&gt;='Config_v6'!$B$50,AN799&gt;='Config_v6'!$B$51,T799&lt;='Config_v6'!$B$52,L799&lt;='Config_v6'!$B$53,ISNUMBER('Calibrare_Linii'!E15),S799&lt;='Calibrare_Linii'!E15,SUM(AK799:AM799)&gt;0),"CANDIDATE","NO"))</x:f>
      </x:c>
      <x:c r="Y799" s="2" t="str">
        <x:f>IF(B799="","",IF(I799&lt;&gt;"READY","NOT RELEASED",IF(AND(X799="CANDIDATE",V799&gt;='Config_v6'!$B$51,W799="PASS",'Calibrare_Linii'!T15="VALIDATED",AND('Calibrare_Linii'!H15=C799,ISNUMBER('Calibrare_Linii'!J15),'Calibrare_Linii'!J15&lt;='Input_Meci'!G62)),"PASS",IF(X799="CANDIDATE","OOS PENDING","FAIL"))))</x:f>
      </x:c>
      <x:c r="Z799" s="2" t="str">
        <x:f>IF(B799="","",IF(I799&lt;&gt;"READY","",IF(OR(NOT(AND(J799="PASS",'Calibrare_Linii'!U15="VALID")),L799&gt;'Config_v6'!$B$13,W799="WATCH"),5,IF(Y799="PASS",1,MIN(5,MAX('Config_v6'!$B$42,U799)+IF(W799="PENALTY",1,0))))))</x:f>
      </x:c>
      <x:c r="AA799" s="2" t="str">
        <x:f>IF(B799="","",IF(I799&lt;&gt;"READY","NOT RELEASED",IF(Z799=5,"NO BET",IF(OR(AB799&lt;'Config_v6'!$B$16,V799&lt;'Config_v6'!$B$18),"WATCH",IF(Z799=1,"DEFENSIV",IF(Z799=2,"PRUDENT",IF(Z799=3,"MODERAT","RIDICAT")))))))</x:f>
      </x:c>
      <x:c r="AB799" s="10" t="str">
        <x:f>IF(N799="","",MIN(N799,1-S799))</x:f>
      </x:c>
      <x:c r="AC799" s="2" t="str">
        <x:f>IF(AD799&lt;&gt;1,"",COUNTIFS($Z$790:$Z$803,"&lt;"&amp;Z799,$AD$790:$AD$803,1)+COUNTIFS($Z$790:$Z$803,Z799,$AB$790:$AB$803,"&gt;"&amp;AB799,$AD$790:$AD$803,1)+COUNTIFS($Z$790:$Z$803,Z799,$AB$790:$AB$803,AB799,$V$790:$V$803,"&gt;"&amp;V799,$AD$790:$AD$803,1)+COUNTIFS($Z$790:Z799,Z799,$AB$790:AB799,AB799,$V$790:V799,V799,$AD$790:AD799,1))</x:f>
      </x:c>
      <x:c r="AD799" s="2" t="n">
        <x:f>IF(OR(AA799="DEFENSIV",AA799="PRUDENT",AA799="MODERAT",AA799="RIDICAT"),1,0)</x:f>
        <x:v>0</x:v>
      </x:c>
      <x:c r="AE799" s="2" t="str">
        <x:f>IF(AD799&lt;&gt;1,"NO",IF(W799="PASS","YES",IF(W799="OOS PENDING","CONDITIONAL","NO")))</x:f>
        <x:v>NO</x:v>
      </x:c>
      <x:c r="AF799" s="2" t="n">
        <x:f>IF(AND(AD799=1,AC799=1,E799="LIVE"),1,0)</x:f>
        <x:v>0</x:v>
      </x:c>
      <x:c r="AG799" s="2" t="str">
        <x:f>IF(AF799&lt;&gt;1,"",'Dashboard'!P82)</x:f>
      </x:c>
      <x:c r="AH799" s="2" t="str">
        <x:f>IF(B799="","",IF(J799&lt;&gt;"PASS",'Motor_Meciuri'!J62,IF('Calibrare_Linii'!U15&lt;&gt;"VALID","Parametri linie invalizi",IF(L799&gt;'Config_v6'!$B$13,"Dispersie peste limita",IF(W799="WATCH","Failure peste limita",IF(AB799&lt;'Config_v6'!$B$16,"P finala sub prag",IF(V799&lt;'Config_v6'!$B$18,"Confidence sub prag",IF(E799="REPLAY","Exemplu retrospectiv; exclus din Top LIVE",IF(Y799="PASS","DEFENSIV validat",IF(W799="OOS PENDING","Eligibil; calibrare linie in monitorizare","Eligibil"))))))))))</x:f>
      </x:c>
      <x:c r="AI799" s="2" t="str">
        <x:f>IF(B799="","",'Calibrare_Linii'!V15)</x:f>
      </x:c>
      <x:c r="AJ799" s="2" t="str">
        <x:f>IF(B799="","",IF(AND('Calibrare_Linii'!T15="VALIDATED",AND('Calibrare_Linii'!H15=C799,ISNUMBER('Calibrare_Linii'!J15),'Calibrare_Linii'!J15&lt;='Input_Meci'!G62)),"DEFENSIVE VALIDATED",IF(AND('Calibrare_Linii'!S15="VALIDATED",AND('Calibrare_Linii'!H15=C799,ISNUMBER('Calibrare_Linii'!J15),'Calibrare_Linii'!J15&lt;='Input_Meci'!G62)),"TAIL VALIDATED","OOS PENDING")))</x:f>
      </x:c>
      <x:c r="AK799" s="2" t="n">
        <x:f>IF(J799&lt;&gt;"PASS",0,'Motor_Meciuri'!BR62)</x:f>
        <x:v>0</x:v>
      </x:c>
      <x:c r="AL799" s="2" t="n">
        <x:f>IF(J799&lt;&gt;"PASS",0,'Motor_Meciuri'!BS62)</x:f>
        <x:v>0</x:v>
      </x:c>
      <x:c r="AM799" s="2" t="n">
        <x:f>IF(J799&lt;&gt;"PASS",0,'Motor_Meciuri'!BT62)</x:f>
        <x:v>0</x:v>
      </x:c>
      <x:c r="AN799" s="2" t="str">
        <x:f>IF(M799="","",MAX(0,'Motor_Meciuri'!BF62-IF(L799&gt;'Config_v6'!$B$12,'Config_v6'!$B$37,IF(L799&gt;'Config_v6'!$B$11,'Config_v6'!$B$36,0))))</x:f>
      </x:c>
    </x:row>
    <x:row r="800" ht="21" customHeight="1">
      <x:c r="A800" s="2" t="n">
        <x:v>57</x:v>
      </x:c>
      <x:c r="B800" s="2" t="str">
        <x:f>IF('Motor_Meciuri'!A62="","",'Motor_Meciuri'!A62)</x:f>
      </x:c>
      <x:c r="C800" s="2" t="str">
        <x:f>IF(B800="","",'Motor_Meciuri'!B62)</x:f>
      </x:c>
      <x:c r="D800" s="2" t="str">
        <x:f>IF(B800="","",'Motor_Meciuri'!D62)</x:f>
      </x:c>
      <x:c r="E800" s="2" t="str">
        <x:f>IF(B800="","",'Motor_Meciuri'!E62)</x:f>
      </x:c>
      <x:c r="F800" s="2" t="str">
        <x:v>U14,5</x:v>
      </x:c>
      <x:c r="G800" s="2" t="str">
        <x:v>UNDER</x:v>
      </x:c>
      <x:c r="H800" s="2" t="n">
        <x:v>14</x:v>
      </x:c>
      <x:c r="I800" s="2" t="str">
        <x:f>IF(B800="","",'Motor_Meciuri'!H62)</x:f>
      </x:c>
      <x:c r="J800" s="2" t="str">
        <x:f>IF(B800="","",'Motor_Meciuri'!I62)</x:f>
      </x:c>
      <x:c r="K800" s="11" t="str">
        <x:f>IF(J800&lt;&gt;"PASS","",'Motor_Meciuri'!BD62)</x:f>
      </x:c>
      <x:c r="L800" s="11" t="str">
        <x:f>IF(J800&lt;&gt;"PASS","",'Motor_Meciuri'!AU62)</x:f>
      </x:c>
      <x:c r="M800" s="10" t="str">
        <x:f>IF(NOT(AND(J800="PASS",'Calibrare_Linii'!U16="VALID")),"",'Distributie'!AL62)</x:f>
      </x:c>
      <x:c r="N800" s="10" t="str">
        <x:f>IF(M800="","",MAX(0.01,MIN(0.99,0.5+(M800-0.5)*'Motor_Meciuri'!BG62*'Calibrare_Linii'!D16)))</x:f>
      </x:c>
      <x:c r="O800" s="10" t="str">
        <x:f>IF(M800="","",1-M800)</x:f>
      </x:c>
      <x:c r="P800" s="10" t="str">
        <x:f>IF(OR(NOT(AND(J800="PASS",'Calibrare_Linii'!U16="VALID")),AK800=0),""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*('Istoric_Nativ'!$Q$6:$Q$405&gt;H800))/AK800)</x:f>
      </x:c>
      <x:c r="Q800" s="10" t="str">
        <x:f>IF(OR(NOT(AND(J800="PASS",'Calibrare_Linii'!U16="VALID")),AL800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M62)+((('Istoric_Nativ'!$E$6:$E$405='Input_Meci'!E62)+('Istoric_Nativ'!$F$6:$F$405='Input_Meci'!E62))&gt;0)*('Istoric_Nativ'!$D$6:$D$405&gt;='Motor_Meciuri'!BN62))&gt;0)*('Istoric_Nativ'!$Q$6:$Q$405&gt;H800))/AL800)</x:f>
      </x:c>
      <x:c r="R800" s="10" t="str">
        <x:f>IF(OR(NOT(AND(J800="PASS",'Calibrare_Linii'!U16="VALID")),AM800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O62)+((('Istoric_Nativ'!$E$6:$E$405='Input_Meci'!E62)+('Istoric_Nativ'!$F$6:$F$405='Input_Meci'!E62))&gt;0)*('Istoric_Nativ'!$D$6:$D$405&gt;='Motor_Meciuri'!BP62))&gt;0)*('Istoric_Nativ'!$Q$6:$Q$405&gt;H800))/AM800)</x:f>
      </x:c>
      <x:c r="S800" s="10" t="str">
        <x:f>IF(M800="","",MAX(O800,P800,Q800,R800))</x:f>
      </x:c>
      <x:c r="T800" s="11" t="str">
        <x:f>IF(M800="","",MIN(100,S800*100*'Config_v6'!$B$44+MIN(100,L800/'Config_v6'!$B$13*100)*'Config_v6'!$B$45+(100-'Motor_Meciuri'!BF62)*'Config_v6'!$B$46+'Motor_Meciuri'!BH62*100*'Config_v6'!$B$47))</x:f>
      </x:c>
      <x:c r="U800" s="2" t="str">
        <x:f>IF(T800="","",IF(T800&lt;=20,1,IF(T800&lt;=40,2,IF(T800&lt;=60,3,IF(T800&lt;=80,4,5)))))</x:f>
      </x:c>
      <x:c r="V800" s="2" t="str">
        <x:f>IF(M800="","",MAX(0,'Motor_Meciuri'!BF62-IF(W800="OOS PENDING",'Config_v6'!$B$35,0)-IF(L800&gt;'Config_v6'!$B$12,'Config_v6'!$B$37,IF(L800&gt;'Config_v6'!$B$11,'Config_v6'!$B$36,0))))</x:f>
      </x:c>
      <x:c r="W800" s="2" t="str">
        <x:f>IF(B800="","",IF(I800&lt;&gt;"READY","NOT RELEASED",IF(NOT(AND(J800="PASS",'Calibrare_Linii'!U16="VALID")),"INVALID",IF(NOT(AND('Calibrare_Linii'!S16="VALIDATED",AND('Calibrare_Linii'!H16=C800,ISNUMBER('Calibrare_Linii'!J16),'Calibrare_Linii'!J16&lt;='Input_Meci'!G62))),"OOS PENDING",IF(S800&lt;='Calibrare_Linii'!E16,"PASS",IF(S800&lt;='Calibrare_Linii'!F16,"PENALTY","WATCH"))))))</x:f>
      </x:c>
      <x:c r="X800" s="2" t="str">
        <x:f>IF(M800="","",IF(AND(AND(J800="PASS",'Calibrare_Linii'!U16="VALID"),'Motor_Meciuri'!K62=12,'Motor_Meciuri'!L62=12,'Motor_Meciuri'!M62="NO",'Motor_Meciuri'!BL62='Motor_Meciuri'!C62,AB800&gt;='Config_v6'!$B$50,AN800&gt;='Config_v6'!$B$51,T800&lt;='Config_v6'!$B$52,L800&lt;='Config_v6'!$B$53,ISNUMBER('Calibrare_Linii'!E16),S800&lt;='Calibrare_Linii'!E16,SUM(AK800:AM800)&gt;0),"CANDIDATE","NO"))</x:f>
      </x:c>
      <x:c r="Y800" s="2" t="str">
        <x:f>IF(B800="","",IF(I800&lt;&gt;"READY","NOT RELEASED",IF(AND(X800="CANDIDATE",V800&gt;='Config_v6'!$B$51,W800="PASS",'Calibrare_Linii'!T16="VALIDATED",AND('Calibrare_Linii'!H16=C800,ISNUMBER('Calibrare_Linii'!J16),'Calibrare_Linii'!J16&lt;='Input_Meci'!G62)),"PASS",IF(X800="CANDIDATE","OOS PENDING","FAIL"))))</x:f>
      </x:c>
      <x:c r="Z800" s="2" t="str">
        <x:f>IF(B800="","",IF(I800&lt;&gt;"READY","",IF(OR(NOT(AND(J800="PASS",'Calibrare_Linii'!U16="VALID")),L800&gt;'Config_v6'!$B$13,W800="WATCH"),5,IF(Y800="PASS",1,MIN(5,MAX('Config_v6'!$B$42,U800)+IF(W800="PENALTY",1,0))))))</x:f>
      </x:c>
      <x:c r="AA800" s="2" t="str">
        <x:f>IF(B800="","",IF(I800&lt;&gt;"READY","NOT RELEASED",IF(Z800=5,"NO BET",IF(OR(AB800&lt;'Config_v6'!$B$16,V800&lt;'Config_v6'!$B$18),"WATCH",IF(Z800=1,"DEFENSIV",IF(Z800=2,"PRUDENT",IF(Z800=3,"MODERAT","RIDICAT")))))))</x:f>
      </x:c>
      <x:c r="AB800" s="10" t="str">
        <x:f>IF(N800="","",MIN(N800,1-S800))</x:f>
      </x:c>
      <x:c r="AC800" s="2" t="str">
        <x:f>IF(AD800&lt;&gt;1,"",COUNTIFS($Z$790:$Z$803,"&lt;"&amp;Z800,$AD$790:$AD$803,1)+COUNTIFS($Z$790:$Z$803,Z800,$AB$790:$AB$803,"&gt;"&amp;AB800,$AD$790:$AD$803,1)+COUNTIFS($Z$790:$Z$803,Z800,$AB$790:$AB$803,AB800,$V$790:$V$803,"&gt;"&amp;V800,$AD$790:$AD$803,1)+COUNTIFS($Z$790:Z800,Z800,$AB$790:AB800,AB800,$V$790:V800,V800,$AD$790:AD800,1))</x:f>
      </x:c>
      <x:c r="AD800" s="2" t="n">
        <x:f>IF(OR(AA800="DEFENSIV",AA800="PRUDENT",AA800="MODERAT",AA800="RIDICAT"),1,0)</x:f>
        <x:v>0</x:v>
      </x:c>
      <x:c r="AE800" s="2" t="str">
        <x:f>IF(AD800&lt;&gt;1,"NO",IF(W800="PASS","YES",IF(W800="OOS PENDING","CONDITIONAL","NO")))</x:f>
        <x:v>NO</x:v>
      </x:c>
      <x:c r="AF800" s="2" t="n">
        <x:f>IF(AND(AD800=1,AC800=1,E800="LIVE"),1,0)</x:f>
        <x:v>0</x:v>
      </x:c>
      <x:c r="AG800" s="2" t="str">
        <x:f>IF(AF800&lt;&gt;1,"",'Dashboard'!P82)</x:f>
      </x:c>
      <x:c r="AH800" s="2" t="str">
        <x:f>IF(B800="","",IF(J800&lt;&gt;"PASS",'Motor_Meciuri'!J62,IF('Calibrare_Linii'!U16&lt;&gt;"VALID","Parametri linie invalizi",IF(L800&gt;'Config_v6'!$B$13,"Dispersie peste limita",IF(W800="WATCH","Failure peste limita",IF(AB800&lt;'Config_v6'!$B$16,"P finala sub prag",IF(V800&lt;'Config_v6'!$B$18,"Confidence sub prag",IF(E800="REPLAY","Exemplu retrospectiv; exclus din Top LIVE",IF(Y800="PASS","DEFENSIV validat",IF(W800="OOS PENDING","Eligibil; calibrare linie in monitorizare","Eligibil"))))))))))</x:f>
      </x:c>
      <x:c r="AI800" s="2" t="str">
        <x:f>IF(B800="","",'Calibrare_Linii'!V16)</x:f>
      </x:c>
      <x:c r="AJ800" s="2" t="str">
        <x:f>IF(B800="","",IF(AND('Calibrare_Linii'!T16="VALIDATED",AND('Calibrare_Linii'!H16=C800,ISNUMBER('Calibrare_Linii'!J16),'Calibrare_Linii'!J16&lt;='Input_Meci'!G62)),"DEFENSIVE VALIDATED",IF(AND('Calibrare_Linii'!S16="VALIDATED",AND('Calibrare_Linii'!H16=C800,ISNUMBER('Calibrare_Linii'!J16),'Calibrare_Linii'!J16&lt;='Input_Meci'!G62)),"TAIL VALIDATED","OOS PENDING")))</x:f>
      </x:c>
      <x:c r="AK800" s="2" t="n">
        <x:f>IF(J800&lt;&gt;"PASS",0,'Motor_Meciuri'!BR62)</x:f>
        <x:v>0</x:v>
      </x:c>
      <x:c r="AL800" s="2" t="n">
        <x:f>IF(J800&lt;&gt;"PASS",0,'Motor_Meciuri'!BS62)</x:f>
        <x:v>0</x:v>
      </x:c>
      <x:c r="AM800" s="2" t="n">
        <x:f>IF(J800&lt;&gt;"PASS",0,'Motor_Meciuri'!BT62)</x:f>
        <x:v>0</x:v>
      </x:c>
      <x:c r="AN800" s="2" t="str">
        <x:f>IF(M800="","",MAX(0,'Motor_Meciuri'!BF62-IF(L800&gt;'Config_v6'!$B$12,'Config_v6'!$B$37,IF(L800&gt;'Config_v6'!$B$11,'Config_v6'!$B$36,0))))</x:f>
      </x:c>
    </x:row>
    <x:row r="801" ht="21" customHeight="1">
      <x:c r="A801" s="2" t="n">
        <x:v>57</x:v>
      </x:c>
      <x:c r="B801" s="2" t="str">
        <x:f>IF('Motor_Meciuri'!A62="","",'Motor_Meciuri'!A62)</x:f>
      </x:c>
      <x:c r="C801" s="2" t="str">
        <x:f>IF(B801="","",'Motor_Meciuri'!B62)</x:f>
      </x:c>
      <x:c r="D801" s="2" t="str">
        <x:f>IF(B801="","",'Motor_Meciuri'!D62)</x:f>
      </x:c>
      <x:c r="E801" s="2" t="str">
        <x:f>IF(B801="","",'Motor_Meciuri'!E62)</x:f>
      </x:c>
      <x:c r="F801" s="2" t="str">
        <x:v>U15,5</x:v>
      </x:c>
      <x:c r="G801" s="2" t="str">
        <x:v>UNDER</x:v>
      </x:c>
      <x:c r="H801" s="2" t="n">
        <x:v>15</x:v>
      </x:c>
      <x:c r="I801" s="2" t="str">
        <x:f>IF(B801="","",'Motor_Meciuri'!H62)</x:f>
      </x:c>
      <x:c r="J801" s="2" t="str">
        <x:f>IF(B801="","",'Motor_Meciuri'!I62)</x:f>
      </x:c>
      <x:c r="K801" s="11" t="str">
        <x:f>IF(J801&lt;&gt;"PASS","",'Motor_Meciuri'!BD62)</x:f>
      </x:c>
      <x:c r="L801" s="11" t="str">
        <x:f>IF(J801&lt;&gt;"PASS","",'Motor_Meciuri'!AU62)</x:f>
      </x:c>
      <x:c r="M801" s="10" t="str">
        <x:f>IF(NOT(AND(J801="PASS",'Calibrare_Linii'!U17="VALID")),"",'Distributie'!AM62)</x:f>
      </x:c>
      <x:c r="N801" s="10" t="str">
        <x:f>IF(M801="","",MAX(0.01,MIN(0.99,0.5+(M801-0.5)*'Motor_Meciuri'!BG62*'Calibrare_Linii'!D17)))</x:f>
      </x:c>
      <x:c r="O801" s="10" t="str">
        <x:f>IF(M801="","",1-M801)</x:f>
      </x:c>
      <x:c r="P801" s="10" t="str">
        <x:f>IF(OR(NOT(AND(J801="PASS",'Calibrare_Linii'!U17="VALID")),AK801=0),""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*('Istoric_Nativ'!$Q$6:$Q$405&gt;H801))/AK801)</x:f>
      </x:c>
      <x:c r="Q801" s="10" t="str">
        <x:f>IF(OR(NOT(AND(J801="PASS",'Calibrare_Linii'!U17="VALID")),AL801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M62)+((('Istoric_Nativ'!$E$6:$E$405='Input_Meci'!E62)+('Istoric_Nativ'!$F$6:$F$405='Input_Meci'!E62))&gt;0)*('Istoric_Nativ'!$D$6:$D$405&gt;='Motor_Meciuri'!BN62))&gt;0)*('Istoric_Nativ'!$Q$6:$Q$405&gt;H801))/AL801)</x:f>
      </x:c>
      <x:c r="R801" s="10" t="str">
        <x:f>IF(OR(NOT(AND(J801="PASS",'Calibrare_Linii'!U17="VALID")),AM801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O62)+((('Istoric_Nativ'!$E$6:$E$405='Input_Meci'!E62)+('Istoric_Nativ'!$F$6:$F$405='Input_Meci'!E62))&gt;0)*('Istoric_Nativ'!$D$6:$D$405&gt;='Motor_Meciuri'!BP62))&gt;0)*('Istoric_Nativ'!$Q$6:$Q$405&gt;H801))/AM801)</x:f>
      </x:c>
      <x:c r="S801" s="10" t="str">
        <x:f>IF(M801="","",MAX(O801,P801,Q801,R801))</x:f>
      </x:c>
      <x:c r="T801" s="11" t="str">
        <x:f>IF(M801="","",MIN(100,S801*100*'Config_v6'!$B$44+MIN(100,L801/'Config_v6'!$B$13*100)*'Config_v6'!$B$45+(100-'Motor_Meciuri'!BF62)*'Config_v6'!$B$46+'Motor_Meciuri'!BH62*100*'Config_v6'!$B$47))</x:f>
      </x:c>
      <x:c r="U801" s="2" t="str">
        <x:f>IF(T801="","",IF(T801&lt;=20,1,IF(T801&lt;=40,2,IF(T801&lt;=60,3,IF(T801&lt;=80,4,5)))))</x:f>
      </x:c>
      <x:c r="V801" s="2" t="str">
        <x:f>IF(M801="","",MAX(0,'Motor_Meciuri'!BF62-IF(W801="OOS PENDING",'Config_v6'!$B$35,0)-IF(L801&gt;'Config_v6'!$B$12,'Config_v6'!$B$37,IF(L801&gt;'Config_v6'!$B$11,'Config_v6'!$B$36,0))))</x:f>
      </x:c>
      <x:c r="W801" s="2" t="str">
        <x:f>IF(B801="","",IF(I801&lt;&gt;"READY","NOT RELEASED",IF(NOT(AND(J801="PASS",'Calibrare_Linii'!U17="VALID")),"INVALID",IF(NOT(AND('Calibrare_Linii'!S17="VALIDATED",AND('Calibrare_Linii'!H17=C801,ISNUMBER('Calibrare_Linii'!J17),'Calibrare_Linii'!J17&lt;='Input_Meci'!G62))),"OOS PENDING",IF(S801&lt;='Calibrare_Linii'!E17,"PASS",IF(S801&lt;='Calibrare_Linii'!F17,"PENALTY","WATCH"))))))</x:f>
      </x:c>
      <x:c r="X801" s="2" t="str">
        <x:f>IF(M801="","",IF(AND(AND(J801="PASS",'Calibrare_Linii'!U17="VALID"),'Motor_Meciuri'!K62=12,'Motor_Meciuri'!L62=12,'Motor_Meciuri'!M62="NO",'Motor_Meciuri'!BL62='Motor_Meciuri'!C62,AB801&gt;='Config_v6'!$B$50,AN801&gt;='Config_v6'!$B$51,T801&lt;='Config_v6'!$B$52,L801&lt;='Config_v6'!$B$53,ISNUMBER('Calibrare_Linii'!E17),S801&lt;='Calibrare_Linii'!E17,SUM(AK801:AM801)&gt;0),"CANDIDATE","NO"))</x:f>
      </x:c>
      <x:c r="Y801" s="2" t="str">
        <x:f>IF(B801="","",IF(I801&lt;&gt;"READY","NOT RELEASED",IF(AND(X801="CANDIDATE",V801&gt;='Config_v6'!$B$51,W801="PASS",'Calibrare_Linii'!T17="VALIDATED",AND('Calibrare_Linii'!H17=C801,ISNUMBER('Calibrare_Linii'!J17),'Calibrare_Linii'!J17&lt;='Input_Meci'!G62)),"PASS",IF(X801="CANDIDATE","OOS PENDING","FAIL"))))</x:f>
      </x:c>
      <x:c r="Z801" s="2" t="str">
        <x:f>IF(B801="","",IF(I801&lt;&gt;"READY","",IF(OR(NOT(AND(J801="PASS",'Calibrare_Linii'!U17="VALID")),L801&gt;'Config_v6'!$B$13,W801="WATCH"),5,IF(Y801="PASS",1,MIN(5,MAX('Config_v6'!$B$42,U801)+IF(W801="PENALTY",1,0))))))</x:f>
      </x:c>
      <x:c r="AA801" s="2" t="str">
        <x:f>IF(B801="","",IF(I801&lt;&gt;"READY","NOT RELEASED",IF(Z801=5,"NO BET",IF(OR(AB801&lt;'Config_v6'!$B$16,V801&lt;'Config_v6'!$B$18),"WATCH",IF(Z801=1,"DEFENSIV",IF(Z801=2,"PRUDENT",IF(Z801=3,"MODERAT","RIDICAT")))))))</x:f>
      </x:c>
      <x:c r="AB801" s="10" t="str">
        <x:f>IF(N801="","",MIN(N801,1-S801))</x:f>
      </x:c>
      <x:c r="AC801" s="2" t="str">
        <x:f>IF(AD801&lt;&gt;1,"",COUNTIFS($Z$790:$Z$803,"&lt;"&amp;Z801,$AD$790:$AD$803,1)+COUNTIFS($Z$790:$Z$803,Z801,$AB$790:$AB$803,"&gt;"&amp;AB801,$AD$790:$AD$803,1)+COUNTIFS($Z$790:$Z$803,Z801,$AB$790:$AB$803,AB801,$V$790:$V$803,"&gt;"&amp;V801,$AD$790:$AD$803,1)+COUNTIFS($Z$790:Z801,Z801,$AB$790:AB801,AB801,$V$790:V801,V801,$AD$790:AD801,1))</x:f>
      </x:c>
      <x:c r="AD801" s="2" t="n">
        <x:f>IF(OR(AA801="DEFENSIV",AA801="PRUDENT",AA801="MODERAT",AA801="RIDICAT"),1,0)</x:f>
        <x:v>0</x:v>
      </x:c>
      <x:c r="AE801" s="2" t="str">
        <x:f>IF(AD801&lt;&gt;1,"NO",IF(W801="PASS","YES",IF(W801="OOS PENDING","CONDITIONAL","NO")))</x:f>
        <x:v>NO</x:v>
      </x:c>
      <x:c r="AF801" s="2" t="n">
        <x:f>IF(AND(AD801=1,AC801=1,E801="LIVE"),1,0)</x:f>
        <x:v>0</x:v>
      </x:c>
      <x:c r="AG801" s="2" t="str">
        <x:f>IF(AF801&lt;&gt;1,"",'Dashboard'!P82)</x:f>
      </x:c>
      <x:c r="AH801" s="2" t="str">
        <x:f>IF(B801="","",IF(J801&lt;&gt;"PASS",'Motor_Meciuri'!J62,IF('Calibrare_Linii'!U17&lt;&gt;"VALID","Parametri linie invalizi",IF(L801&gt;'Config_v6'!$B$13,"Dispersie peste limita",IF(W801="WATCH","Failure peste limita",IF(AB801&lt;'Config_v6'!$B$16,"P finala sub prag",IF(V801&lt;'Config_v6'!$B$18,"Confidence sub prag",IF(E801="REPLAY","Exemplu retrospectiv; exclus din Top LIVE",IF(Y801="PASS","DEFENSIV validat",IF(W801="OOS PENDING","Eligibil; calibrare linie in monitorizare","Eligibil"))))))))))</x:f>
      </x:c>
      <x:c r="AI801" s="2" t="str">
        <x:f>IF(B801="","",'Calibrare_Linii'!V17)</x:f>
      </x:c>
      <x:c r="AJ801" s="2" t="str">
        <x:f>IF(B801="","",IF(AND('Calibrare_Linii'!T17="VALIDATED",AND('Calibrare_Linii'!H17=C801,ISNUMBER('Calibrare_Linii'!J17),'Calibrare_Linii'!J17&lt;='Input_Meci'!G62)),"DEFENSIVE VALIDATED",IF(AND('Calibrare_Linii'!S17="VALIDATED",AND('Calibrare_Linii'!H17=C801,ISNUMBER('Calibrare_Linii'!J17),'Calibrare_Linii'!J17&lt;='Input_Meci'!G62)),"TAIL VALIDATED","OOS PENDING")))</x:f>
      </x:c>
      <x:c r="AK801" s="2" t="n">
        <x:f>IF(J801&lt;&gt;"PASS",0,'Motor_Meciuri'!BR62)</x:f>
        <x:v>0</x:v>
      </x:c>
      <x:c r="AL801" s="2" t="n">
        <x:f>IF(J801&lt;&gt;"PASS",0,'Motor_Meciuri'!BS62)</x:f>
        <x:v>0</x:v>
      </x:c>
      <x:c r="AM801" s="2" t="n">
        <x:f>IF(J801&lt;&gt;"PASS",0,'Motor_Meciuri'!BT62)</x:f>
        <x:v>0</x:v>
      </x:c>
      <x:c r="AN801" s="2" t="str">
        <x:f>IF(M801="","",MAX(0,'Motor_Meciuri'!BF62-IF(L801&gt;'Config_v6'!$B$12,'Config_v6'!$B$37,IF(L801&gt;'Config_v6'!$B$11,'Config_v6'!$B$36,0))))</x:f>
      </x:c>
    </x:row>
    <x:row r="802" ht="21" customHeight="1">
      <x:c r="A802" s="2" t="n">
        <x:v>57</x:v>
      </x:c>
      <x:c r="B802" s="2" t="str">
        <x:f>IF('Motor_Meciuri'!A62="","",'Motor_Meciuri'!A62)</x:f>
      </x:c>
      <x:c r="C802" s="2" t="str">
        <x:f>IF(B802="","",'Motor_Meciuri'!B62)</x:f>
      </x:c>
      <x:c r="D802" s="2" t="str">
        <x:f>IF(B802="","",'Motor_Meciuri'!D62)</x:f>
      </x:c>
      <x:c r="E802" s="2" t="str">
        <x:f>IF(B802="","",'Motor_Meciuri'!E62)</x:f>
      </x:c>
      <x:c r="F802" s="2" t="str">
        <x:v>U16,5</x:v>
      </x:c>
      <x:c r="G802" s="2" t="str">
        <x:v>UNDER</x:v>
      </x:c>
      <x:c r="H802" s="2" t="n">
        <x:v>16</x:v>
      </x:c>
      <x:c r="I802" s="2" t="str">
        <x:f>IF(B802="","",'Motor_Meciuri'!H62)</x:f>
      </x:c>
      <x:c r="J802" s="2" t="str">
        <x:f>IF(B802="","",'Motor_Meciuri'!I62)</x:f>
      </x:c>
      <x:c r="K802" s="11" t="str">
        <x:f>IF(J802&lt;&gt;"PASS","",'Motor_Meciuri'!BD62)</x:f>
      </x:c>
      <x:c r="L802" s="11" t="str">
        <x:f>IF(J802&lt;&gt;"PASS","",'Motor_Meciuri'!AU62)</x:f>
      </x:c>
      <x:c r="M802" s="10" t="str">
        <x:f>IF(NOT(AND(J802="PASS",'Calibrare_Linii'!U18="VALID")),"",'Distributie'!AN62)</x:f>
      </x:c>
      <x:c r="N802" s="10" t="str">
        <x:f>IF(M802="","",MAX(0.01,MIN(0.99,0.5+(M802-0.5)*'Motor_Meciuri'!BG62*'Calibrare_Linii'!D18)))</x:f>
      </x:c>
      <x:c r="O802" s="10" t="str">
        <x:f>IF(M802="","",1-M802)</x:f>
      </x:c>
      <x:c r="P802" s="10" t="str">
        <x:f>IF(OR(NOT(AND(J802="PASS",'Calibrare_Linii'!U18="VALID")),AK802=0),""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*('Istoric_Nativ'!$Q$6:$Q$405&gt;H802))/AK802)</x:f>
      </x:c>
      <x:c r="Q802" s="10" t="str">
        <x:f>IF(OR(NOT(AND(J802="PASS",'Calibrare_Linii'!U18="VALID")),AL802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M62)+((('Istoric_Nativ'!$E$6:$E$405='Input_Meci'!E62)+('Istoric_Nativ'!$F$6:$F$405='Input_Meci'!E62))&gt;0)*('Istoric_Nativ'!$D$6:$D$405&gt;='Motor_Meciuri'!BN62))&gt;0)*('Istoric_Nativ'!$Q$6:$Q$405&gt;H802))/AL802)</x:f>
      </x:c>
      <x:c r="R802" s="10" t="str">
        <x:f>IF(OR(NOT(AND(J802="PASS",'Calibrare_Linii'!U18="VALID")),AM802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O62)+((('Istoric_Nativ'!$E$6:$E$405='Input_Meci'!E62)+('Istoric_Nativ'!$F$6:$F$405='Input_Meci'!E62))&gt;0)*('Istoric_Nativ'!$D$6:$D$405&gt;='Motor_Meciuri'!BP62))&gt;0)*('Istoric_Nativ'!$Q$6:$Q$405&gt;H802))/AM802)</x:f>
      </x:c>
      <x:c r="S802" s="10" t="str">
        <x:f>IF(M802="","",MAX(O802,P802,Q802,R802))</x:f>
      </x:c>
      <x:c r="T802" s="11" t="str">
        <x:f>IF(M802="","",MIN(100,S802*100*'Config_v6'!$B$44+MIN(100,L802/'Config_v6'!$B$13*100)*'Config_v6'!$B$45+(100-'Motor_Meciuri'!BF62)*'Config_v6'!$B$46+'Motor_Meciuri'!BH62*100*'Config_v6'!$B$47))</x:f>
      </x:c>
      <x:c r="U802" s="2" t="str">
        <x:f>IF(T802="","",IF(T802&lt;=20,1,IF(T802&lt;=40,2,IF(T802&lt;=60,3,IF(T802&lt;=80,4,5)))))</x:f>
      </x:c>
      <x:c r="V802" s="2" t="str">
        <x:f>IF(M802="","",MAX(0,'Motor_Meciuri'!BF62-IF(W802="OOS PENDING",'Config_v6'!$B$35,0)-IF(L802&gt;'Config_v6'!$B$12,'Config_v6'!$B$37,IF(L802&gt;'Config_v6'!$B$11,'Config_v6'!$B$36,0))))</x:f>
      </x:c>
      <x:c r="W802" s="2" t="str">
        <x:f>IF(B802="","",IF(I802&lt;&gt;"READY","NOT RELEASED",IF(NOT(AND(J802="PASS",'Calibrare_Linii'!U18="VALID")),"INVALID",IF(NOT(AND('Calibrare_Linii'!S18="VALIDATED",AND('Calibrare_Linii'!H18=C802,ISNUMBER('Calibrare_Linii'!J18),'Calibrare_Linii'!J18&lt;='Input_Meci'!G62))),"OOS PENDING",IF(S802&lt;='Calibrare_Linii'!E18,"PASS",IF(S802&lt;='Calibrare_Linii'!F18,"PENALTY","WATCH"))))))</x:f>
      </x:c>
      <x:c r="X802" s="2" t="str">
        <x:f>IF(M802="","",IF(AND(AND(J802="PASS",'Calibrare_Linii'!U18="VALID"),'Motor_Meciuri'!K62=12,'Motor_Meciuri'!L62=12,'Motor_Meciuri'!M62="NO",'Motor_Meciuri'!BL62='Motor_Meciuri'!C62,AB802&gt;='Config_v6'!$B$50,AN802&gt;='Config_v6'!$B$51,T802&lt;='Config_v6'!$B$52,L802&lt;='Config_v6'!$B$53,ISNUMBER('Calibrare_Linii'!E18),S802&lt;='Calibrare_Linii'!E18,SUM(AK802:AM802)&gt;0),"CANDIDATE","NO"))</x:f>
      </x:c>
      <x:c r="Y802" s="2" t="str">
        <x:f>IF(B802="","",IF(I802&lt;&gt;"READY","NOT RELEASED",IF(AND(X802="CANDIDATE",V802&gt;='Config_v6'!$B$51,W802="PASS",'Calibrare_Linii'!T18="VALIDATED",AND('Calibrare_Linii'!H18=C802,ISNUMBER('Calibrare_Linii'!J18),'Calibrare_Linii'!J18&lt;='Input_Meci'!G62)),"PASS",IF(X802="CANDIDATE","OOS PENDING","FAIL"))))</x:f>
      </x:c>
      <x:c r="Z802" s="2" t="str">
        <x:f>IF(B802="","",IF(I802&lt;&gt;"READY","",IF(OR(NOT(AND(J802="PASS",'Calibrare_Linii'!U18="VALID")),L802&gt;'Config_v6'!$B$13,W802="WATCH"),5,IF(Y802="PASS",1,MIN(5,MAX('Config_v6'!$B$42,U802)+IF(W802="PENALTY",1,0))))))</x:f>
      </x:c>
      <x:c r="AA802" s="2" t="str">
        <x:f>IF(B802="","",IF(I802&lt;&gt;"READY","NOT RELEASED",IF(Z802=5,"NO BET",IF(OR(AB802&lt;'Config_v6'!$B$16,V802&lt;'Config_v6'!$B$18),"WATCH",IF(Z802=1,"DEFENSIV",IF(Z802=2,"PRUDENT",IF(Z802=3,"MODERAT","RIDICAT")))))))</x:f>
      </x:c>
      <x:c r="AB802" s="10" t="str">
        <x:f>IF(N802="","",MIN(N802,1-S802))</x:f>
      </x:c>
      <x:c r="AC802" s="2" t="str">
        <x:f>IF(AD802&lt;&gt;1,"",COUNTIFS($Z$790:$Z$803,"&lt;"&amp;Z802,$AD$790:$AD$803,1)+COUNTIFS($Z$790:$Z$803,Z802,$AB$790:$AB$803,"&gt;"&amp;AB802,$AD$790:$AD$803,1)+COUNTIFS($Z$790:$Z$803,Z802,$AB$790:$AB$803,AB802,$V$790:$V$803,"&gt;"&amp;V802,$AD$790:$AD$803,1)+COUNTIFS($Z$790:Z802,Z802,$AB$790:AB802,AB802,$V$790:V802,V802,$AD$790:AD802,1))</x:f>
      </x:c>
      <x:c r="AD802" s="2" t="n">
        <x:f>IF(OR(AA802="DEFENSIV",AA802="PRUDENT",AA802="MODERAT",AA802="RIDICAT"),1,0)</x:f>
        <x:v>0</x:v>
      </x:c>
      <x:c r="AE802" s="2" t="str">
        <x:f>IF(AD802&lt;&gt;1,"NO",IF(W802="PASS","YES",IF(W802="OOS PENDING","CONDITIONAL","NO")))</x:f>
        <x:v>NO</x:v>
      </x:c>
      <x:c r="AF802" s="2" t="n">
        <x:f>IF(AND(AD802=1,AC802=1,E802="LIVE"),1,0)</x:f>
        <x:v>0</x:v>
      </x:c>
      <x:c r="AG802" s="2" t="str">
        <x:f>IF(AF802&lt;&gt;1,"",'Dashboard'!P82)</x:f>
      </x:c>
      <x:c r="AH802" s="2" t="str">
        <x:f>IF(B802="","",IF(J802&lt;&gt;"PASS",'Motor_Meciuri'!J62,IF('Calibrare_Linii'!U18&lt;&gt;"VALID","Parametri linie invalizi",IF(L802&gt;'Config_v6'!$B$13,"Dispersie peste limita",IF(W802="WATCH","Failure peste limita",IF(AB802&lt;'Config_v6'!$B$16,"P finala sub prag",IF(V802&lt;'Config_v6'!$B$18,"Confidence sub prag",IF(E802="REPLAY","Exemplu retrospectiv; exclus din Top LIVE",IF(Y802="PASS","DEFENSIV validat",IF(W802="OOS PENDING","Eligibil; calibrare linie in monitorizare","Eligibil"))))))))))</x:f>
      </x:c>
      <x:c r="AI802" s="2" t="str">
        <x:f>IF(B802="","",'Calibrare_Linii'!V18)</x:f>
      </x:c>
      <x:c r="AJ802" s="2" t="str">
        <x:f>IF(B802="","",IF(AND('Calibrare_Linii'!T18="VALIDATED",AND('Calibrare_Linii'!H18=C802,ISNUMBER('Calibrare_Linii'!J18),'Calibrare_Linii'!J18&lt;='Input_Meci'!G62)),"DEFENSIVE VALIDATED",IF(AND('Calibrare_Linii'!S18="VALIDATED",AND('Calibrare_Linii'!H18=C802,ISNUMBER('Calibrare_Linii'!J18),'Calibrare_Linii'!J18&lt;='Input_Meci'!G62)),"TAIL VALIDATED","OOS PENDING")))</x:f>
      </x:c>
      <x:c r="AK802" s="2" t="n">
        <x:f>IF(J802&lt;&gt;"PASS",0,'Motor_Meciuri'!BR62)</x:f>
        <x:v>0</x:v>
      </x:c>
      <x:c r="AL802" s="2" t="n">
        <x:f>IF(J802&lt;&gt;"PASS",0,'Motor_Meciuri'!BS62)</x:f>
        <x:v>0</x:v>
      </x:c>
      <x:c r="AM802" s="2" t="n">
        <x:f>IF(J802&lt;&gt;"PASS",0,'Motor_Meciuri'!BT62)</x:f>
        <x:v>0</x:v>
      </x:c>
      <x:c r="AN802" s="2" t="str">
        <x:f>IF(M802="","",MAX(0,'Motor_Meciuri'!BF62-IF(L802&gt;'Config_v6'!$B$12,'Config_v6'!$B$37,IF(L802&gt;'Config_v6'!$B$11,'Config_v6'!$B$36,0))))</x:f>
      </x:c>
    </x:row>
    <x:row r="803" ht="21" customHeight="1">
      <x:c r="A803" s="2" t="n">
        <x:v>57</x:v>
      </x:c>
      <x:c r="B803" s="2" t="str">
        <x:f>IF('Motor_Meciuri'!A62="","",'Motor_Meciuri'!A62)</x:f>
      </x:c>
      <x:c r="C803" s="2" t="str">
        <x:f>IF(B803="","",'Motor_Meciuri'!B62)</x:f>
      </x:c>
      <x:c r="D803" s="2" t="str">
        <x:f>IF(B803="","",'Motor_Meciuri'!D62)</x:f>
      </x:c>
      <x:c r="E803" s="2" t="str">
        <x:f>IF(B803="","",'Motor_Meciuri'!E62)</x:f>
      </x:c>
      <x:c r="F803" s="2" t="str">
        <x:v>U17,5</x:v>
      </x:c>
      <x:c r="G803" s="2" t="str">
        <x:v>UNDER</x:v>
      </x:c>
      <x:c r="H803" s="2" t="n">
        <x:v>17</x:v>
      </x:c>
      <x:c r="I803" s="2" t="str">
        <x:f>IF(B803="","",'Motor_Meciuri'!H62)</x:f>
      </x:c>
      <x:c r="J803" s="2" t="str">
        <x:f>IF(B803="","",'Motor_Meciuri'!I62)</x:f>
      </x:c>
      <x:c r="K803" s="11" t="str">
        <x:f>IF(J803&lt;&gt;"PASS","",'Motor_Meciuri'!BD62)</x:f>
      </x:c>
      <x:c r="L803" s="11" t="str">
        <x:f>IF(J803&lt;&gt;"PASS","",'Motor_Meciuri'!AU62)</x:f>
      </x:c>
      <x:c r="M803" s="10" t="str">
        <x:f>IF(NOT(AND(J803="PASS",'Calibrare_Linii'!U19="VALID")),"",'Distributie'!AO62)</x:f>
      </x:c>
      <x:c r="N803" s="10" t="str">
        <x:f>IF(M803="","",MAX(0.01,MIN(0.99,0.5+(M803-0.5)*'Motor_Meciuri'!BG62*'Calibrare_Linii'!D19)))</x:f>
      </x:c>
      <x:c r="O803" s="10" t="str">
        <x:f>IF(M803="","",1-M803)</x:f>
      </x:c>
      <x:c r="P803" s="10" t="str">
        <x:f>IF(OR(NOT(AND(J803="PASS",'Calibrare_Linii'!U19="VALID")),AK803=0),""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*('Istoric_Nativ'!$Q$6:$Q$405&gt;H803))/AK803)</x:f>
      </x:c>
      <x:c r="Q803" s="10" t="str">
        <x:f>IF(OR(NOT(AND(J803="PASS",'Calibrare_Linii'!U19="VALID")),AL803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M62)+((('Istoric_Nativ'!$E$6:$E$405='Input_Meci'!E62)+('Istoric_Nativ'!$F$6:$F$405='Input_Meci'!E62))&gt;0)*('Istoric_Nativ'!$D$6:$D$405&gt;='Motor_Meciuri'!BN62))&gt;0)*('Istoric_Nativ'!$Q$6:$Q$405&gt;H803))/AL803)</x:f>
      </x:c>
      <x:c r="R803" s="10" t="str">
        <x:f>IF(OR(NOT(AND(J803="PASS",'Calibrare_Linii'!U19="VALID")),AM803=0),""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'Motor_Meciuri'!BO62)+((('Istoric_Nativ'!$E$6:$E$405='Input_Meci'!E62)+('Istoric_Nativ'!$F$6:$F$405='Input_Meci'!E62))&gt;0)*('Istoric_Nativ'!$D$6:$D$405&gt;='Motor_Meciuri'!BP62))&gt;0)*('Istoric_Nativ'!$Q$6:$Q$405&gt;H803))/AM803)</x:f>
      </x:c>
      <x:c r="S803" s="10" t="str">
        <x:f>IF(M803="","",MAX(O803,P803,Q803,R803))</x:f>
      </x:c>
      <x:c r="T803" s="11" t="str">
        <x:f>IF(M803="","",MIN(100,S803*100*'Config_v6'!$B$44+MIN(100,L803/'Config_v6'!$B$13*100)*'Config_v6'!$B$45+(100-'Motor_Meciuri'!BF62)*'Config_v6'!$B$46+'Motor_Meciuri'!BH62*100*'Config_v6'!$B$47))</x:f>
      </x:c>
      <x:c r="U803" s="2" t="str">
        <x:f>IF(T803="","",IF(T803&lt;=20,1,IF(T803&lt;=40,2,IF(T803&lt;=60,3,IF(T803&lt;=80,4,5)))))</x:f>
      </x:c>
      <x:c r="V803" s="2" t="str">
        <x:f>IF(M803="","",MAX(0,'Motor_Meciuri'!BF62-IF(W803="OOS PENDING",'Config_v6'!$B$35,0)-IF(L803&gt;'Config_v6'!$B$12,'Config_v6'!$B$37,IF(L803&gt;'Config_v6'!$B$11,'Config_v6'!$B$36,0))))</x:f>
      </x:c>
      <x:c r="W803" s="2" t="str">
        <x:f>IF(B803="","",IF(I803&lt;&gt;"READY","NOT RELEASED",IF(NOT(AND(J803="PASS",'Calibrare_Linii'!U19="VALID")),"INVALID",IF(NOT(AND('Calibrare_Linii'!S19="VALIDATED",AND('Calibrare_Linii'!H19=C803,ISNUMBER('Calibrare_Linii'!J19),'Calibrare_Linii'!J19&lt;='Input_Meci'!G62))),"OOS PENDING",IF(S803&lt;='Calibrare_Linii'!E19,"PASS",IF(S803&lt;='Calibrare_Linii'!F19,"PENALTY","WATCH"))))))</x:f>
      </x:c>
      <x:c r="X803" s="2" t="str">
        <x:f>IF(M803="","",IF(AND(AND(J803="PASS",'Calibrare_Linii'!U19="VALID"),'Motor_Meciuri'!K62=12,'Motor_Meciuri'!L62=12,'Motor_Meciuri'!M62="NO",'Motor_Meciuri'!BL62='Motor_Meciuri'!C62,AB803&gt;='Config_v6'!$B$50,AN803&gt;='Config_v6'!$B$51,T803&lt;='Config_v6'!$B$52,L803&lt;='Config_v6'!$B$53,ISNUMBER('Calibrare_Linii'!E19),S803&lt;='Calibrare_Linii'!E19,SUM(AK803:AM803)&gt;0),"CANDIDATE","NO"))</x:f>
      </x:c>
      <x:c r="Y803" s="2" t="str">
        <x:f>IF(B803="","",IF(I803&lt;&gt;"READY","NOT RELEASED",IF(AND(X803="CANDIDATE",V803&gt;='Config_v6'!$B$51,W803="PASS",'Calibrare_Linii'!T19="VALIDATED",AND('Calibrare_Linii'!H19=C803,ISNUMBER('Calibrare_Linii'!J19),'Calibrare_Linii'!J19&lt;='Input_Meci'!G62)),"PASS",IF(X803="CANDIDATE","OOS PENDING","FAIL"))))</x:f>
      </x:c>
      <x:c r="Z803" s="2" t="str">
        <x:f>IF(B803="","",IF(I803&lt;&gt;"READY","",IF(OR(NOT(AND(J803="PASS",'Calibrare_Linii'!U19="VALID")),L803&gt;'Config_v6'!$B$13,W803="WATCH"),5,IF(Y803="PASS",1,MIN(5,MAX('Config_v6'!$B$42,U803)+IF(W803="PENALTY",1,0))))))</x:f>
      </x:c>
      <x:c r="AA803" s="2" t="str">
        <x:f>IF(B803="","",IF(I803&lt;&gt;"READY","NOT RELEASED",IF(Z803=5,"NO BET",IF(OR(AB803&lt;'Config_v6'!$B$16,V803&lt;'Config_v6'!$B$18),"WATCH",IF(Z803=1,"DEFENSIV",IF(Z803=2,"PRUDENT",IF(Z803=3,"MODERAT","RIDICAT")))))))</x:f>
      </x:c>
      <x:c r="AB803" s="10" t="str">
        <x:f>IF(N803="","",MIN(N803,1-S803))</x:f>
      </x:c>
      <x:c r="AC803" s="2" t="str">
        <x:f>IF(AD803&lt;&gt;1,"",COUNTIFS($Z$790:$Z$803,"&lt;"&amp;Z803,$AD$790:$AD$803,1)+COUNTIFS($Z$790:$Z$803,Z803,$AB$790:$AB$803,"&gt;"&amp;AB803,$AD$790:$AD$803,1)+COUNTIFS($Z$790:$Z$803,Z803,$AB$790:$AB$803,AB803,$V$790:$V$803,"&gt;"&amp;V803,$AD$790:$AD$803,1)+COUNTIFS($Z$790:Z803,Z803,$AB$790:AB803,AB803,$V$790:V803,V803,$AD$790:AD803,1))</x:f>
      </x:c>
      <x:c r="AD803" s="2" t="n">
        <x:f>IF(OR(AA803="DEFENSIV",AA803="PRUDENT",AA803="MODERAT",AA803="RIDICAT"),1,0)</x:f>
        <x:v>0</x:v>
      </x:c>
      <x:c r="AE803" s="2" t="str">
        <x:f>IF(AD803&lt;&gt;1,"NO",IF(W803="PASS","YES",IF(W803="OOS PENDING","CONDITIONAL","NO")))</x:f>
        <x:v>NO</x:v>
      </x:c>
      <x:c r="AF803" s="2" t="n">
        <x:f>IF(AND(AD803=1,AC803=1,E803="LIVE"),1,0)</x:f>
        <x:v>0</x:v>
      </x:c>
      <x:c r="AG803" s="2" t="str">
        <x:f>IF(AF803&lt;&gt;1,"",'Dashboard'!P82)</x:f>
      </x:c>
      <x:c r="AH803" s="2" t="str">
        <x:f>IF(B803="","",IF(J803&lt;&gt;"PASS",'Motor_Meciuri'!J62,IF('Calibrare_Linii'!U19&lt;&gt;"VALID","Parametri linie invalizi",IF(L803&gt;'Config_v6'!$B$13,"Dispersie peste limita",IF(W803="WATCH","Failure peste limita",IF(AB803&lt;'Config_v6'!$B$16,"P finala sub prag",IF(V803&lt;'Config_v6'!$B$18,"Confidence sub prag",IF(E803="REPLAY","Exemplu retrospectiv; exclus din Top LIVE",IF(Y803="PASS","DEFENSIV validat",IF(W803="OOS PENDING","Eligibil; calibrare linie in monitorizare","Eligibil"))))))))))</x:f>
      </x:c>
      <x:c r="AI803" s="2" t="str">
        <x:f>IF(B803="","",'Calibrare_Linii'!V19)</x:f>
      </x:c>
      <x:c r="AJ803" s="2" t="str">
        <x:f>IF(B803="","",IF(AND('Calibrare_Linii'!T19="VALIDATED",AND('Calibrare_Linii'!H19=C803,ISNUMBER('Calibrare_Linii'!J19),'Calibrare_Linii'!J19&lt;='Input_Meci'!G62)),"DEFENSIVE VALIDATED",IF(AND('Calibrare_Linii'!S19="VALIDATED",AND('Calibrare_Linii'!H19=C803,ISNUMBER('Calibrare_Linii'!J19),'Calibrare_Linii'!J19&lt;='Input_Meci'!G62)),"TAIL VALIDATED","OOS PENDING")))</x:f>
      </x:c>
      <x:c r="AK803" s="2" t="n">
        <x:f>IF(J803&lt;&gt;"PASS",0,'Motor_Meciuri'!BR62)</x:f>
        <x:v>0</x:v>
      </x:c>
      <x:c r="AL803" s="2" t="n">
        <x:f>IF(J803&lt;&gt;"PASS",0,'Motor_Meciuri'!BS62)</x:f>
        <x:v>0</x:v>
      </x:c>
      <x:c r="AM803" s="2" t="n">
        <x:f>IF(J803&lt;&gt;"PASS",0,'Motor_Meciuri'!BT62)</x:f>
        <x:v>0</x:v>
      </x:c>
      <x:c r="AN803" s="2" t="str">
        <x:f>IF(M803="","",MAX(0,'Motor_Meciuri'!BF62-IF(L803&gt;'Config_v6'!$B$12,'Config_v6'!$B$37,IF(L803&gt;'Config_v6'!$B$11,'Config_v6'!$B$36,0))))</x:f>
      </x:c>
    </x:row>
    <x:row r="804" ht="21" customHeight="1">
      <x:c r="A804" s="2" t="n">
        <x:v>58</x:v>
      </x:c>
      <x:c r="B804" s="2" t="str">
        <x:f>IF('Motor_Meciuri'!A63="","",'Motor_Meciuri'!A63)</x:f>
      </x:c>
      <x:c r="C804" s="2" t="str">
        <x:f>IF(B804="","",'Motor_Meciuri'!B63)</x:f>
      </x:c>
      <x:c r="D804" s="2" t="str">
        <x:f>IF(B804="","",'Motor_Meciuri'!D63)</x:f>
      </x:c>
      <x:c r="E804" s="2" t="str">
        <x:f>IF(B804="","",'Motor_Meciuri'!E63)</x:f>
      </x:c>
      <x:c r="F804" s="2" t="str">
        <x:v>O3,5</x:v>
      </x:c>
      <x:c r="G804" s="2" t="str">
        <x:v>OVER</x:v>
      </x:c>
      <x:c r="H804" s="2" t="n">
        <x:v>3</x:v>
      </x:c>
      <x:c r="I804" s="2" t="str">
        <x:f>IF(B804="","",'Motor_Meciuri'!H63)</x:f>
      </x:c>
      <x:c r="J804" s="2" t="str">
        <x:f>IF(B804="","",'Motor_Meciuri'!I63)</x:f>
      </x:c>
      <x:c r="K804" s="11" t="str">
        <x:f>IF(J804&lt;&gt;"PASS","",'Motor_Meciuri'!BD63)</x:f>
      </x:c>
      <x:c r="L804" s="11" t="str">
        <x:f>IF(J804&lt;&gt;"PASS","",'Motor_Meciuri'!AU63)</x:f>
      </x:c>
      <x:c r="M804" s="10" t="str">
        <x:f>IF(NOT(AND(J804="PASS",'Calibrare_Linii'!U6="VALID")),"",1-'Distributie'!AA63)</x:f>
      </x:c>
      <x:c r="N804" s="10" t="str">
        <x:f>IF(M804="","",MAX(0.01,MIN(0.99,0.5+(M804-0.5)*'Motor_Meciuri'!BG63*'Calibrare_Linii'!D6)))</x:f>
      </x:c>
      <x:c r="O804" s="10" t="str">
        <x:f>IF(M804="","",1-M804)</x:f>
      </x:c>
      <x:c r="P804" s="10" t="str">
        <x:f>IF(OR(NOT(AND(J804="PASS",'Calibrare_Linii'!U6="VALID")),AK804=0),""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*('Istoric_Nativ'!$Q$6:$Q$405&lt;=H804))/AK804)</x:f>
      </x:c>
      <x:c r="Q804" s="10" t="str">
        <x:f>IF(OR(NOT(AND(J804="PASS",'Calibrare_Linii'!U6="VALID")),AL804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M63)+((('Istoric_Nativ'!$E$6:$E$405='Input_Meci'!E63)+('Istoric_Nativ'!$F$6:$F$405='Input_Meci'!E63))&gt;0)*('Istoric_Nativ'!$D$6:$D$405&gt;='Motor_Meciuri'!BN63))&gt;0)*('Istoric_Nativ'!$Q$6:$Q$405&lt;=H804))/AL804)</x:f>
      </x:c>
      <x:c r="R804" s="10" t="str">
        <x:f>IF(OR(NOT(AND(J804="PASS",'Calibrare_Linii'!U6="VALID")),AM804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O63)+((('Istoric_Nativ'!$E$6:$E$405='Input_Meci'!E63)+('Istoric_Nativ'!$F$6:$F$405='Input_Meci'!E63))&gt;0)*('Istoric_Nativ'!$D$6:$D$405&gt;='Motor_Meciuri'!BP63))&gt;0)*('Istoric_Nativ'!$Q$6:$Q$405&lt;=H804))/AM804)</x:f>
      </x:c>
      <x:c r="S804" s="10" t="str">
        <x:f>IF(M804="","",MAX(O804,P804,Q804,R804))</x:f>
      </x:c>
      <x:c r="T804" s="11" t="str">
        <x:f>IF(M804="","",MIN(100,S804*100*'Config_v6'!$B$44+MIN(100,L804/'Config_v6'!$B$13*100)*'Config_v6'!$B$45+(100-'Motor_Meciuri'!BF63)*'Config_v6'!$B$46+'Motor_Meciuri'!BH63*100*'Config_v6'!$B$47))</x:f>
      </x:c>
      <x:c r="U804" s="2" t="str">
        <x:f>IF(T804="","",IF(T804&lt;=20,1,IF(T804&lt;=40,2,IF(T804&lt;=60,3,IF(T804&lt;=80,4,5)))))</x:f>
      </x:c>
      <x:c r="V804" s="2" t="str">
        <x:f>IF(M804="","",MAX(0,'Motor_Meciuri'!BF63-IF(W804="OOS PENDING",'Config_v6'!$B$35,0)-IF(L804&gt;'Config_v6'!$B$12,'Config_v6'!$B$37,IF(L804&gt;'Config_v6'!$B$11,'Config_v6'!$B$36,0))))</x:f>
      </x:c>
      <x:c r="W804" s="2" t="str">
        <x:f>IF(B804="","",IF(I804&lt;&gt;"READY","NOT RELEASED",IF(NOT(AND(J804="PASS",'Calibrare_Linii'!U6="VALID")),"INVALID",IF(NOT(TRUE),"OOS PENDING",IF(S804&lt;=IF(AND('Calibrare_Linii'!S6="VALIDATED",AND('Calibrare_Linii'!H6=C804,ISNUMBER('Calibrare_Linii'!J6),'Calibrare_Linii'!J6&lt;='Input_Meci'!G63)),'Calibrare_Linii'!E6,'Config_v6'!$B$26),"PASS",IF(S804&lt;=IF(AND('Calibrare_Linii'!S6="VALIDATED",AND('Calibrare_Linii'!H6=C804,ISNUMBER('Calibrare_Linii'!J6),'Calibrare_Linii'!J6&lt;='Input_Meci'!G63)),'Calibrare_Linii'!F6,'Config_v6'!$C$26),"PENALTY","WATCH"))))))</x:f>
      </x:c>
      <x:c r="X804" s="2" t="str">
        <x:f>IF(M804="","",IF(AND(AND(J804="PASS",'Calibrare_Linii'!U6="VALID"),'Motor_Meciuri'!K63=12,'Motor_Meciuri'!L63=12,'Motor_Meciuri'!M63="NO",'Motor_Meciuri'!BL63='Motor_Meciuri'!C63,AB804&gt;='Config_v6'!$B$50,AN804&gt;='Config_v6'!$B$51,T804&lt;='Config_v6'!$B$52,L804&lt;='Config_v6'!$B$53,ISNUMBER('Calibrare_Linii'!E6),S804&lt;='Calibrare_Linii'!E6,SUM(AK804:AM804)&gt;0),"CANDIDATE","NO"))</x:f>
      </x:c>
      <x:c r="Y804" s="2" t="str">
        <x:f>IF(B804="","",IF(I804&lt;&gt;"READY","NOT RELEASED",IF(AND(X804="CANDIDATE",V804&gt;='Config_v6'!$B$51,W804="PASS",'Calibrare_Linii'!T6="VALIDATED",AND('Calibrare_Linii'!H6=C804,ISNUMBER('Calibrare_Linii'!J6),'Calibrare_Linii'!J6&lt;='Input_Meci'!G63)),"PASS",IF(X804="CANDIDATE","OOS PENDING","FAIL"))))</x:f>
      </x:c>
      <x:c r="Z804" s="2" t="str">
        <x:f>IF(B804="","",IF(I804&lt;&gt;"READY","",IF(OR(NOT(AND(J804="PASS",'Calibrare_Linii'!U6="VALID")),L804&gt;'Config_v6'!$B$13,W804="WATCH"),5,IF(Y804="PASS",1,MIN(5,MAX('Config_v6'!$B$42,U804)+IF(W804="PENALTY",1,0))))))</x:f>
      </x:c>
      <x:c r="AA804" s="2" t="str">
        <x:f>IF(B804="","",IF(I804&lt;&gt;"READY","NOT RELEASED",IF(Z804=5,"NO BET",IF(OR(AB804&lt;'Config_v6'!$B$16,V804&lt;'Config_v6'!$B$18),"WATCH",IF(Z804=1,"DEFENSIV",IF(Z804=2,"PRUDENT",IF(Z804=3,"MODERAT","RIDICAT")))))))</x:f>
      </x:c>
      <x:c r="AB804" s="10" t="str">
        <x:f>IF(N804="","",MIN(N804,1-S804))</x:f>
      </x:c>
      <x:c r="AC804" s="2" t="str">
        <x:f>IF(AD804&lt;&gt;1,"",COUNTIFS($Z$804:$Z$817,"&lt;"&amp;Z804,$AD$804:$AD$817,1)+COUNTIFS($Z$804:$Z$817,Z804,$AB$804:$AB$817,"&gt;"&amp;AB804,$AD$804:$AD$817,1)+COUNTIFS($Z$804:$Z$817,Z804,$AB$804:$AB$817,AB804,$V$804:$V$817,"&gt;"&amp;V804,$AD$804:$AD$817,1)+COUNTIFS($Z$804:Z804,Z804,$AB$804:AB804,AB804,$V$804:V804,V804,$AD$804:AD804,1))</x:f>
      </x:c>
      <x:c r="AD804" s="2" t="n">
        <x:f>IF(OR(AA804="DEFENSIV",AA804="PRUDENT",AA804="MODERAT",AA804="RIDICAT"),1,0)</x:f>
        <x:v>0</x:v>
      </x:c>
      <x:c r="AE804" s="2" t="str">
        <x:f>IF(AD804&lt;&gt;1,"NO",IF(W804="PASS","YES",IF(W804="OOS PENDING","CONDITIONAL","NO")))</x:f>
        <x:v>NO</x:v>
      </x:c>
      <x:c r="AF804" s="2" t="n">
        <x:f>IF(AND(AD804=1,AC804=1,E804="LIVE"),1,0)</x:f>
        <x:v>0</x:v>
      </x:c>
      <x:c r="AG804" s="2" t="str">
        <x:f>IF(AF804&lt;&gt;1,"",'Dashboard'!P83)</x:f>
      </x:c>
      <x:c r="AH804" s="2" t="str">
        <x:f>IF(B804="","",IF(J804&lt;&gt;"PASS",'Motor_Meciuri'!J63,IF('Calibrare_Linii'!U6&lt;&gt;"VALID","Parametri linie invalizi",IF(L804&gt;'Config_v6'!$B$13,"Dispersie peste limita",IF(W804="WATCH","Failure peste limita",IF(AB804&lt;'Config_v6'!$B$16,"P finala sub prag",IF(V804&lt;'Config_v6'!$B$18,"Confidence sub prag",IF(E804="REPLAY","Exemplu retrospectiv; exclus din Top LIVE",IF(Y804="PASS","DEFENSIV validat",IF(W804="OOS PENDING","Eligibil; calibrare linie in monitorizare","Eligibil"))))))))))</x:f>
      </x:c>
      <x:c r="AI804" s="2" t="str">
        <x:f>IF(B804="","",'Calibrare_Linii'!V6)</x:f>
      </x:c>
      <x:c r="AJ804" s="2" t="str">
        <x:f>IF(B804="","",IF(AND('Calibrare_Linii'!T6="VALIDATED",AND('Calibrare_Linii'!H6=C804,ISNUMBER('Calibrare_Linii'!J6),'Calibrare_Linii'!J6&lt;='Input_Meci'!G63)),"DEFENSIVE VALIDATED",IF(AND('Calibrare_Linii'!S6="VALIDATED",AND('Calibrare_Linii'!H6=C804,ISNUMBER('Calibrare_Linii'!J6),'Calibrare_Linii'!J6&lt;='Input_Meci'!G63)),"TAIL VALIDATED","OOS PENDING")))</x:f>
      </x:c>
      <x:c r="AK804" s="2" t="n">
        <x:f>IF(J804&lt;&gt;"PASS",0,'Motor_Meciuri'!BR63)</x:f>
        <x:v>0</x:v>
      </x:c>
      <x:c r="AL804" s="2" t="n">
        <x:f>IF(J804&lt;&gt;"PASS",0,'Motor_Meciuri'!BS63)</x:f>
        <x:v>0</x:v>
      </x:c>
      <x:c r="AM804" s="2" t="n">
        <x:f>IF(J804&lt;&gt;"PASS",0,'Motor_Meciuri'!BT63)</x:f>
        <x:v>0</x:v>
      </x:c>
      <x:c r="AN804" s="2" t="str">
        <x:f>IF(M804="","",MAX(0,'Motor_Meciuri'!BF63-IF(L804&gt;'Config_v6'!$B$12,'Config_v6'!$B$37,IF(L804&gt;'Config_v6'!$B$11,'Config_v6'!$B$36,0))))</x:f>
      </x:c>
    </x:row>
    <x:row r="805" ht="21" customHeight="1">
      <x:c r="A805" s="2" t="n">
        <x:v>58</x:v>
      </x:c>
      <x:c r="B805" s="2" t="str">
        <x:f>IF('Motor_Meciuri'!A63="","",'Motor_Meciuri'!A63)</x:f>
      </x:c>
      <x:c r="C805" s="2" t="str">
        <x:f>IF(B805="","",'Motor_Meciuri'!B63)</x:f>
      </x:c>
      <x:c r="D805" s="2" t="str">
        <x:f>IF(B805="","",'Motor_Meciuri'!D63)</x:f>
      </x:c>
      <x:c r="E805" s="2" t="str">
        <x:f>IF(B805="","",'Motor_Meciuri'!E63)</x:f>
      </x:c>
      <x:c r="F805" s="2" t="str">
        <x:v>O4,5</x:v>
      </x:c>
      <x:c r="G805" s="2" t="str">
        <x:v>OVER</x:v>
      </x:c>
      <x:c r="H805" s="2" t="n">
        <x:v>4</x:v>
      </x:c>
      <x:c r="I805" s="2" t="str">
        <x:f>IF(B805="","",'Motor_Meciuri'!H63)</x:f>
      </x:c>
      <x:c r="J805" s="2" t="str">
        <x:f>IF(B805="","",'Motor_Meciuri'!I63)</x:f>
      </x:c>
      <x:c r="K805" s="11" t="str">
        <x:f>IF(J805&lt;&gt;"PASS","",'Motor_Meciuri'!BD63)</x:f>
      </x:c>
      <x:c r="L805" s="11" t="str">
        <x:f>IF(J805&lt;&gt;"PASS","",'Motor_Meciuri'!AU63)</x:f>
      </x:c>
      <x:c r="M805" s="10" t="str">
        <x:f>IF(NOT(AND(J805="PASS",'Calibrare_Linii'!U7="VALID")),"",1-'Distributie'!AB63)</x:f>
      </x:c>
      <x:c r="N805" s="10" t="str">
        <x:f>IF(M805="","",MAX(0.01,MIN(0.99,0.5+(M805-0.5)*'Motor_Meciuri'!BG63*'Calibrare_Linii'!D7)))</x:f>
      </x:c>
      <x:c r="O805" s="10" t="str">
        <x:f>IF(M805="","",1-M805)</x:f>
      </x:c>
      <x:c r="P805" s="10" t="str">
        <x:f>IF(OR(NOT(AND(J805="PASS",'Calibrare_Linii'!U7="VALID")),AK805=0),""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*('Istoric_Nativ'!$Q$6:$Q$405&lt;=H805))/AK805)</x:f>
      </x:c>
      <x:c r="Q805" s="10" t="str">
        <x:f>IF(OR(NOT(AND(J805="PASS",'Calibrare_Linii'!U7="VALID")),AL805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M63)+((('Istoric_Nativ'!$E$6:$E$405='Input_Meci'!E63)+('Istoric_Nativ'!$F$6:$F$405='Input_Meci'!E63))&gt;0)*('Istoric_Nativ'!$D$6:$D$405&gt;='Motor_Meciuri'!BN63))&gt;0)*('Istoric_Nativ'!$Q$6:$Q$405&lt;=H805))/AL805)</x:f>
      </x:c>
      <x:c r="R805" s="10" t="str">
        <x:f>IF(OR(NOT(AND(J805="PASS",'Calibrare_Linii'!U7="VALID")),AM805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O63)+((('Istoric_Nativ'!$E$6:$E$405='Input_Meci'!E63)+('Istoric_Nativ'!$F$6:$F$405='Input_Meci'!E63))&gt;0)*('Istoric_Nativ'!$D$6:$D$405&gt;='Motor_Meciuri'!BP63))&gt;0)*('Istoric_Nativ'!$Q$6:$Q$405&lt;=H805))/AM805)</x:f>
      </x:c>
      <x:c r="S805" s="10" t="str">
        <x:f>IF(M805="","",MAX(O805,P805,Q805,R805))</x:f>
      </x:c>
      <x:c r="T805" s="11" t="str">
        <x:f>IF(M805="","",MIN(100,S805*100*'Config_v6'!$B$44+MIN(100,L805/'Config_v6'!$B$13*100)*'Config_v6'!$B$45+(100-'Motor_Meciuri'!BF63)*'Config_v6'!$B$46+'Motor_Meciuri'!BH63*100*'Config_v6'!$B$47))</x:f>
      </x:c>
      <x:c r="U805" s="2" t="str">
        <x:f>IF(T805="","",IF(T805&lt;=20,1,IF(T805&lt;=40,2,IF(T805&lt;=60,3,IF(T805&lt;=80,4,5)))))</x:f>
      </x:c>
      <x:c r="V805" s="2" t="str">
        <x:f>IF(M805="","",MAX(0,'Motor_Meciuri'!BF63-IF(W805="OOS PENDING",'Config_v6'!$B$35,0)-IF(L805&gt;'Config_v6'!$B$12,'Config_v6'!$B$37,IF(L805&gt;'Config_v6'!$B$11,'Config_v6'!$B$36,0))))</x:f>
      </x:c>
      <x:c r="W805" s="2" t="str">
        <x:f>IF(B805="","",IF(I805&lt;&gt;"READY","NOT RELEASED",IF(NOT(AND(J805="PASS",'Calibrare_Linii'!U7="VALID")),"INVALID",IF(NOT(AND('Calibrare_Linii'!S7="VALIDATED",AND('Calibrare_Linii'!H7=C805,ISNUMBER('Calibrare_Linii'!J7),'Calibrare_Linii'!J7&lt;='Input_Meci'!G63))),"OOS PENDING",IF(S805&lt;='Calibrare_Linii'!E7,"PASS",IF(S805&lt;='Calibrare_Linii'!F7,"PENALTY","WATCH"))))))</x:f>
      </x:c>
      <x:c r="X805" s="2" t="str">
        <x:f>IF(M805="","",IF(AND(AND(J805="PASS",'Calibrare_Linii'!U7="VALID"),'Motor_Meciuri'!K63=12,'Motor_Meciuri'!L63=12,'Motor_Meciuri'!M63="NO",'Motor_Meciuri'!BL63='Motor_Meciuri'!C63,AB805&gt;='Config_v6'!$B$50,AN805&gt;='Config_v6'!$B$51,T805&lt;='Config_v6'!$B$52,L805&lt;='Config_v6'!$B$53,ISNUMBER('Calibrare_Linii'!E7),S805&lt;='Calibrare_Linii'!E7,SUM(AK805:AM805)&gt;0),"CANDIDATE","NO"))</x:f>
      </x:c>
      <x:c r="Y805" s="2" t="str">
        <x:f>IF(B805="","",IF(I805&lt;&gt;"READY","NOT RELEASED",IF(AND(X805="CANDIDATE",V805&gt;='Config_v6'!$B$51,W805="PASS",'Calibrare_Linii'!T7="VALIDATED",AND('Calibrare_Linii'!H7=C805,ISNUMBER('Calibrare_Linii'!J7),'Calibrare_Linii'!J7&lt;='Input_Meci'!G63)),"PASS",IF(X805="CANDIDATE","OOS PENDING","FAIL"))))</x:f>
      </x:c>
      <x:c r="Z805" s="2" t="str">
        <x:f>IF(B805="","",IF(I805&lt;&gt;"READY","",IF(OR(NOT(AND(J805="PASS",'Calibrare_Linii'!U7="VALID")),L805&gt;'Config_v6'!$B$13,W805="WATCH"),5,IF(Y805="PASS",1,MIN(5,MAX('Config_v6'!$B$42,U805)+IF(W805="PENALTY",1,0))))))</x:f>
      </x:c>
      <x:c r="AA805" s="2" t="str">
        <x:f>IF(B805="","",IF(I805&lt;&gt;"READY","NOT RELEASED",IF(Z805=5,"NO BET",IF(OR(AB805&lt;'Config_v6'!$B$16,V805&lt;'Config_v6'!$B$18),"WATCH",IF(Z805=1,"DEFENSIV",IF(Z805=2,"PRUDENT",IF(Z805=3,"MODERAT","RIDICAT")))))))</x:f>
      </x:c>
      <x:c r="AB805" s="10" t="str">
        <x:f>IF(N805="","",MIN(N805,1-S805))</x:f>
      </x:c>
      <x:c r="AC805" s="2" t="str">
        <x:f>IF(AD805&lt;&gt;1,"",COUNTIFS($Z$804:$Z$817,"&lt;"&amp;Z805,$AD$804:$AD$817,1)+COUNTIFS($Z$804:$Z$817,Z805,$AB$804:$AB$817,"&gt;"&amp;AB805,$AD$804:$AD$817,1)+COUNTIFS($Z$804:$Z$817,Z805,$AB$804:$AB$817,AB805,$V$804:$V$817,"&gt;"&amp;V805,$AD$804:$AD$817,1)+COUNTIFS($Z$804:Z805,Z805,$AB$804:AB805,AB805,$V$804:V805,V805,$AD$804:AD805,1))</x:f>
      </x:c>
      <x:c r="AD805" s="2" t="n">
        <x:f>IF(OR(AA805="DEFENSIV",AA805="PRUDENT",AA805="MODERAT",AA805="RIDICAT"),1,0)</x:f>
        <x:v>0</x:v>
      </x:c>
      <x:c r="AE805" s="2" t="str">
        <x:f>IF(AD805&lt;&gt;1,"NO",IF(W805="PASS","YES",IF(W805="OOS PENDING","CONDITIONAL","NO")))</x:f>
        <x:v>NO</x:v>
      </x:c>
      <x:c r="AF805" s="2" t="n">
        <x:f>IF(AND(AD805=1,AC805=1,E805="LIVE"),1,0)</x:f>
        <x:v>0</x:v>
      </x:c>
      <x:c r="AG805" s="2" t="str">
        <x:f>IF(AF805&lt;&gt;1,"",'Dashboard'!P83)</x:f>
      </x:c>
      <x:c r="AH805" s="2" t="str">
        <x:f>IF(B805="","",IF(J805&lt;&gt;"PASS",'Motor_Meciuri'!J63,IF('Calibrare_Linii'!U7&lt;&gt;"VALID","Parametri linie invalizi",IF(L805&gt;'Config_v6'!$B$13,"Dispersie peste limita",IF(W805="WATCH","Failure peste limita",IF(AB805&lt;'Config_v6'!$B$16,"P finala sub prag",IF(V805&lt;'Config_v6'!$B$18,"Confidence sub prag",IF(E805="REPLAY","Exemplu retrospectiv; exclus din Top LIVE",IF(Y805="PASS","DEFENSIV validat",IF(W805="OOS PENDING","Eligibil; calibrare linie in monitorizare","Eligibil"))))))))))</x:f>
      </x:c>
      <x:c r="AI805" s="2" t="str">
        <x:f>IF(B805="","",'Calibrare_Linii'!V7)</x:f>
      </x:c>
      <x:c r="AJ805" s="2" t="str">
        <x:f>IF(B805="","",IF(AND('Calibrare_Linii'!T7="VALIDATED",AND('Calibrare_Linii'!H7=C805,ISNUMBER('Calibrare_Linii'!J7),'Calibrare_Linii'!J7&lt;='Input_Meci'!G63)),"DEFENSIVE VALIDATED",IF(AND('Calibrare_Linii'!S7="VALIDATED",AND('Calibrare_Linii'!H7=C805,ISNUMBER('Calibrare_Linii'!J7),'Calibrare_Linii'!J7&lt;='Input_Meci'!G63)),"TAIL VALIDATED","OOS PENDING")))</x:f>
      </x:c>
      <x:c r="AK805" s="2" t="n">
        <x:f>IF(J805&lt;&gt;"PASS",0,'Motor_Meciuri'!BR63)</x:f>
        <x:v>0</x:v>
      </x:c>
      <x:c r="AL805" s="2" t="n">
        <x:f>IF(J805&lt;&gt;"PASS",0,'Motor_Meciuri'!BS63)</x:f>
        <x:v>0</x:v>
      </x:c>
      <x:c r="AM805" s="2" t="n">
        <x:f>IF(J805&lt;&gt;"PASS",0,'Motor_Meciuri'!BT63)</x:f>
        <x:v>0</x:v>
      </x:c>
      <x:c r="AN805" s="2" t="str">
        <x:f>IF(M805="","",MAX(0,'Motor_Meciuri'!BF63-IF(L805&gt;'Config_v6'!$B$12,'Config_v6'!$B$37,IF(L805&gt;'Config_v6'!$B$11,'Config_v6'!$B$36,0))))</x:f>
      </x:c>
    </x:row>
    <x:row r="806" ht="21" customHeight="1">
      <x:c r="A806" s="2" t="n">
        <x:v>58</x:v>
      </x:c>
      <x:c r="B806" s="2" t="str">
        <x:f>IF('Motor_Meciuri'!A63="","",'Motor_Meciuri'!A63)</x:f>
      </x:c>
      <x:c r="C806" s="2" t="str">
        <x:f>IF(B806="","",'Motor_Meciuri'!B63)</x:f>
      </x:c>
      <x:c r="D806" s="2" t="str">
        <x:f>IF(B806="","",'Motor_Meciuri'!D63)</x:f>
      </x:c>
      <x:c r="E806" s="2" t="str">
        <x:f>IF(B806="","",'Motor_Meciuri'!E63)</x:f>
      </x:c>
      <x:c r="F806" s="2" t="str">
        <x:v>O5,5</x:v>
      </x:c>
      <x:c r="G806" s="2" t="str">
        <x:v>OVER</x:v>
      </x:c>
      <x:c r="H806" s="2" t="n">
        <x:v>5</x:v>
      </x:c>
      <x:c r="I806" s="2" t="str">
        <x:f>IF(B806="","",'Motor_Meciuri'!H63)</x:f>
      </x:c>
      <x:c r="J806" s="2" t="str">
        <x:f>IF(B806="","",'Motor_Meciuri'!I63)</x:f>
      </x:c>
      <x:c r="K806" s="11" t="str">
        <x:f>IF(J806&lt;&gt;"PASS","",'Motor_Meciuri'!BD63)</x:f>
      </x:c>
      <x:c r="L806" s="11" t="str">
        <x:f>IF(J806&lt;&gt;"PASS","",'Motor_Meciuri'!AU63)</x:f>
      </x:c>
      <x:c r="M806" s="10" t="str">
        <x:f>IF(NOT(AND(J806="PASS",'Calibrare_Linii'!U8="VALID")),"",1-'Distributie'!AC63)</x:f>
      </x:c>
      <x:c r="N806" s="10" t="str">
        <x:f>IF(M806="","",MAX(0.01,MIN(0.99,0.5+(M806-0.5)*'Motor_Meciuri'!BG63*'Calibrare_Linii'!D8)))</x:f>
      </x:c>
      <x:c r="O806" s="10" t="str">
        <x:f>IF(M806="","",1-M806)</x:f>
      </x:c>
      <x:c r="P806" s="10" t="str">
        <x:f>IF(OR(NOT(AND(J806="PASS",'Calibrare_Linii'!U8="VALID")),AK806=0),""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*('Istoric_Nativ'!$Q$6:$Q$405&lt;=H806))/AK806)</x:f>
      </x:c>
      <x:c r="Q806" s="10" t="str">
        <x:f>IF(OR(NOT(AND(J806="PASS",'Calibrare_Linii'!U8="VALID")),AL806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M63)+((('Istoric_Nativ'!$E$6:$E$405='Input_Meci'!E63)+('Istoric_Nativ'!$F$6:$F$405='Input_Meci'!E63))&gt;0)*('Istoric_Nativ'!$D$6:$D$405&gt;='Motor_Meciuri'!BN63))&gt;0)*('Istoric_Nativ'!$Q$6:$Q$405&lt;=H806))/AL806)</x:f>
      </x:c>
      <x:c r="R806" s="10" t="str">
        <x:f>IF(OR(NOT(AND(J806="PASS",'Calibrare_Linii'!U8="VALID")),AM806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O63)+((('Istoric_Nativ'!$E$6:$E$405='Input_Meci'!E63)+('Istoric_Nativ'!$F$6:$F$405='Input_Meci'!E63))&gt;0)*('Istoric_Nativ'!$D$6:$D$405&gt;='Motor_Meciuri'!BP63))&gt;0)*('Istoric_Nativ'!$Q$6:$Q$405&lt;=H806))/AM806)</x:f>
      </x:c>
      <x:c r="S806" s="10" t="str">
        <x:f>IF(M806="","",MAX(O806,P806,Q806,R806))</x:f>
      </x:c>
      <x:c r="T806" s="11" t="str">
        <x:f>IF(M806="","",MIN(100,S806*100*'Config_v6'!$B$44+MIN(100,L806/'Config_v6'!$B$13*100)*'Config_v6'!$B$45+(100-'Motor_Meciuri'!BF63)*'Config_v6'!$B$46+'Motor_Meciuri'!BH63*100*'Config_v6'!$B$47))</x:f>
      </x:c>
      <x:c r="U806" s="2" t="str">
        <x:f>IF(T806="","",IF(T806&lt;=20,1,IF(T806&lt;=40,2,IF(T806&lt;=60,3,IF(T806&lt;=80,4,5)))))</x:f>
      </x:c>
      <x:c r="V806" s="2" t="str">
        <x:f>IF(M806="","",MAX(0,'Motor_Meciuri'!BF63-IF(W806="OOS PENDING",'Config_v6'!$B$35,0)-IF(L806&gt;'Config_v6'!$B$12,'Config_v6'!$B$37,IF(L806&gt;'Config_v6'!$B$11,'Config_v6'!$B$36,0))))</x:f>
      </x:c>
      <x:c r="W806" s="2" t="str">
        <x:f>IF(B806="","",IF(I806&lt;&gt;"READY","NOT RELEASED",IF(NOT(AND(J806="PASS",'Calibrare_Linii'!U8="VALID")),"INVALID",IF(NOT(AND('Calibrare_Linii'!S8="VALIDATED",AND('Calibrare_Linii'!H8=C806,ISNUMBER('Calibrare_Linii'!J8),'Calibrare_Linii'!J8&lt;='Input_Meci'!G63))),"OOS PENDING",IF(S806&lt;='Calibrare_Linii'!E8,"PASS",IF(S806&lt;='Calibrare_Linii'!F8,"PENALTY","WATCH"))))))</x:f>
      </x:c>
      <x:c r="X806" s="2" t="str">
        <x:f>IF(M806="","",IF(AND(AND(J806="PASS",'Calibrare_Linii'!U8="VALID"),'Motor_Meciuri'!K63=12,'Motor_Meciuri'!L63=12,'Motor_Meciuri'!M63="NO",'Motor_Meciuri'!BL63='Motor_Meciuri'!C63,AB806&gt;='Config_v6'!$B$50,AN806&gt;='Config_v6'!$B$51,T806&lt;='Config_v6'!$B$52,L806&lt;='Config_v6'!$B$53,ISNUMBER('Calibrare_Linii'!E8),S806&lt;='Calibrare_Linii'!E8,SUM(AK806:AM806)&gt;0),"CANDIDATE","NO"))</x:f>
      </x:c>
      <x:c r="Y806" s="2" t="str">
        <x:f>IF(B806="","",IF(I806&lt;&gt;"READY","NOT RELEASED",IF(AND(X806="CANDIDATE",V806&gt;='Config_v6'!$B$51,W806="PASS",'Calibrare_Linii'!T8="VALIDATED",AND('Calibrare_Linii'!H8=C806,ISNUMBER('Calibrare_Linii'!J8),'Calibrare_Linii'!J8&lt;='Input_Meci'!G63)),"PASS",IF(X806="CANDIDATE","OOS PENDING","FAIL"))))</x:f>
      </x:c>
      <x:c r="Z806" s="2" t="str">
        <x:f>IF(B806="","",IF(I806&lt;&gt;"READY","",IF(OR(NOT(AND(J806="PASS",'Calibrare_Linii'!U8="VALID")),L806&gt;'Config_v6'!$B$13,W806="WATCH"),5,IF(Y806="PASS",1,MIN(5,MAX('Config_v6'!$B$42,U806)+IF(W806="PENALTY",1,0))))))</x:f>
      </x:c>
      <x:c r="AA806" s="2" t="str">
        <x:f>IF(B806="","",IF(I806&lt;&gt;"READY","NOT RELEASED",IF(Z806=5,"NO BET",IF(OR(AB806&lt;'Config_v6'!$B$16,V806&lt;'Config_v6'!$B$18),"WATCH",IF(Z806=1,"DEFENSIV",IF(Z806=2,"PRUDENT",IF(Z806=3,"MODERAT","RIDICAT")))))))</x:f>
      </x:c>
      <x:c r="AB806" s="10" t="str">
        <x:f>IF(N806="","",MIN(N806,1-S806))</x:f>
      </x:c>
      <x:c r="AC806" s="2" t="str">
        <x:f>IF(AD806&lt;&gt;1,"",COUNTIFS($Z$804:$Z$817,"&lt;"&amp;Z806,$AD$804:$AD$817,1)+COUNTIFS($Z$804:$Z$817,Z806,$AB$804:$AB$817,"&gt;"&amp;AB806,$AD$804:$AD$817,1)+COUNTIFS($Z$804:$Z$817,Z806,$AB$804:$AB$817,AB806,$V$804:$V$817,"&gt;"&amp;V806,$AD$804:$AD$817,1)+COUNTIFS($Z$804:Z806,Z806,$AB$804:AB806,AB806,$V$804:V806,V806,$AD$804:AD806,1))</x:f>
      </x:c>
      <x:c r="AD806" s="2" t="n">
        <x:f>IF(OR(AA806="DEFENSIV",AA806="PRUDENT",AA806="MODERAT",AA806="RIDICAT"),1,0)</x:f>
        <x:v>0</x:v>
      </x:c>
      <x:c r="AE806" s="2" t="str">
        <x:f>IF(AD806&lt;&gt;1,"NO",IF(W806="PASS","YES",IF(W806="OOS PENDING","CONDITIONAL","NO")))</x:f>
        <x:v>NO</x:v>
      </x:c>
      <x:c r="AF806" s="2" t="n">
        <x:f>IF(AND(AD806=1,AC806=1,E806="LIVE"),1,0)</x:f>
        <x:v>0</x:v>
      </x:c>
      <x:c r="AG806" s="2" t="str">
        <x:f>IF(AF806&lt;&gt;1,"",'Dashboard'!P83)</x:f>
      </x:c>
      <x:c r="AH806" s="2" t="str">
        <x:f>IF(B806="","",IF(J806&lt;&gt;"PASS",'Motor_Meciuri'!J63,IF('Calibrare_Linii'!U8&lt;&gt;"VALID","Parametri linie invalizi",IF(L806&gt;'Config_v6'!$B$13,"Dispersie peste limita",IF(W806="WATCH","Failure peste limita",IF(AB806&lt;'Config_v6'!$B$16,"P finala sub prag",IF(V806&lt;'Config_v6'!$B$18,"Confidence sub prag",IF(E806="REPLAY","Exemplu retrospectiv; exclus din Top LIVE",IF(Y806="PASS","DEFENSIV validat",IF(W806="OOS PENDING","Eligibil; calibrare linie in monitorizare","Eligibil"))))))))))</x:f>
      </x:c>
      <x:c r="AI806" s="2" t="str">
        <x:f>IF(B806="","",'Calibrare_Linii'!V8)</x:f>
      </x:c>
      <x:c r="AJ806" s="2" t="str">
        <x:f>IF(B806="","",IF(AND('Calibrare_Linii'!T8="VALIDATED",AND('Calibrare_Linii'!H8=C806,ISNUMBER('Calibrare_Linii'!J8),'Calibrare_Linii'!J8&lt;='Input_Meci'!G63)),"DEFENSIVE VALIDATED",IF(AND('Calibrare_Linii'!S8="VALIDATED",AND('Calibrare_Linii'!H8=C806,ISNUMBER('Calibrare_Linii'!J8),'Calibrare_Linii'!J8&lt;='Input_Meci'!G63)),"TAIL VALIDATED","OOS PENDING")))</x:f>
      </x:c>
      <x:c r="AK806" s="2" t="n">
        <x:f>IF(J806&lt;&gt;"PASS",0,'Motor_Meciuri'!BR63)</x:f>
        <x:v>0</x:v>
      </x:c>
      <x:c r="AL806" s="2" t="n">
        <x:f>IF(J806&lt;&gt;"PASS",0,'Motor_Meciuri'!BS63)</x:f>
        <x:v>0</x:v>
      </x:c>
      <x:c r="AM806" s="2" t="n">
        <x:f>IF(J806&lt;&gt;"PASS",0,'Motor_Meciuri'!BT63)</x:f>
        <x:v>0</x:v>
      </x:c>
      <x:c r="AN806" s="2" t="str">
        <x:f>IF(M806="","",MAX(0,'Motor_Meciuri'!BF63-IF(L806&gt;'Config_v6'!$B$12,'Config_v6'!$B$37,IF(L806&gt;'Config_v6'!$B$11,'Config_v6'!$B$36,0))))</x:f>
      </x:c>
    </x:row>
    <x:row r="807" ht="21" customHeight="1">
      <x:c r="A807" s="2" t="n">
        <x:v>58</x:v>
      </x:c>
      <x:c r="B807" s="2" t="str">
        <x:f>IF('Motor_Meciuri'!A63="","",'Motor_Meciuri'!A63)</x:f>
      </x:c>
      <x:c r="C807" s="2" t="str">
        <x:f>IF(B807="","",'Motor_Meciuri'!B63)</x:f>
      </x:c>
      <x:c r="D807" s="2" t="str">
        <x:f>IF(B807="","",'Motor_Meciuri'!D63)</x:f>
      </x:c>
      <x:c r="E807" s="2" t="str">
        <x:f>IF(B807="","",'Motor_Meciuri'!E63)</x:f>
      </x:c>
      <x:c r="F807" s="2" t="str">
        <x:v>O6,5</x:v>
      </x:c>
      <x:c r="G807" s="2" t="str">
        <x:v>OVER</x:v>
      </x:c>
      <x:c r="H807" s="2" t="n">
        <x:v>6</x:v>
      </x:c>
      <x:c r="I807" s="2" t="str">
        <x:f>IF(B807="","",'Motor_Meciuri'!H63)</x:f>
      </x:c>
      <x:c r="J807" s="2" t="str">
        <x:f>IF(B807="","",'Motor_Meciuri'!I63)</x:f>
      </x:c>
      <x:c r="K807" s="11" t="str">
        <x:f>IF(J807&lt;&gt;"PASS","",'Motor_Meciuri'!BD63)</x:f>
      </x:c>
      <x:c r="L807" s="11" t="str">
        <x:f>IF(J807&lt;&gt;"PASS","",'Motor_Meciuri'!AU63)</x:f>
      </x:c>
      <x:c r="M807" s="10" t="str">
        <x:f>IF(NOT(AND(J807="PASS",'Calibrare_Linii'!U9="VALID")),"",1-'Distributie'!AD63)</x:f>
      </x:c>
      <x:c r="N807" s="10" t="str">
        <x:f>IF(M807="","",MAX(0.01,MIN(0.99,0.5+(M807-0.5)*'Motor_Meciuri'!BG63*'Calibrare_Linii'!D9)))</x:f>
      </x:c>
      <x:c r="O807" s="10" t="str">
        <x:f>IF(M807="","",1-M807)</x:f>
      </x:c>
      <x:c r="P807" s="10" t="str">
        <x:f>IF(OR(NOT(AND(J807="PASS",'Calibrare_Linii'!U9="VALID")),AK807=0),""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*('Istoric_Nativ'!$Q$6:$Q$405&lt;=H807))/AK807)</x:f>
      </x:c>
      <x:c r="Q807" s="10" t="str">
        <x:f>IF(OR(NOT(AND(J807="PASS",'Calibrare_Linii'!U9="VALID")),AL807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M63)+((('Istoric_Nativ'!$E$6:$E$405='Input_Meci'!E63)+('Istoric_Nativ'!$F$6:$F$405='Input_Meci'!E63))&gt;0)*('Istoric_Nativ'!$D$6:$D$405&gt;='Motor_Meciuri'!BN63))&gt;0)*('Istoric_Nativ'!$Q$6:$Q$405&lt;=H807))/AL807)</x:f>
      </x:c>
      <x:c r="R807" s="10" t="str">
        <x:f>IF(OR(NOT(AND(J807="PASS",'Calibrare_Linii'!U9="VALID")),AM807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O63)+((('Istoric_Nativ'!$E$6:$E$405='Input_Meci'!E63)+('Istoric_Nativ'!$F$6:$F$405='Input_Meci'!E63))&gt;0)*('Istoric_Nativ'!$D$6:$D$405&gt;='Motor_Meciuri'!BP63))&gt;0)*('Istoric_Nativ'!$Q$6:$Q$405&lt;=H807))/AM807)</x:f>
      </x:c>
      <x:c r="S807" s="10" t="str">
        <x:f>IF(M807="","",MAX(O807,P807,Q807,R807))</x:f>
      </x:c>
      <x:c r="T807" s="11" t="str">
        <x:f>IF(M807="","",MIN(100,S807*100*'Config_v6'!$B$44+MIN(100,L807/'Config_v6'!$B$13*100)*'Config_v6'!$B$45+(100-'Motor_Meciuri'!BF63)*'Config_v6'!$B$46+'Motor_Meciuri'!BH63*100*'Config_v6'!$B$47))</x:f>
      </x:c>
      <x:c r="U807" s="2" t="str">
        <x:f>IF(T807="","",IF(T807&lt;=20,1,IF(T807&lt;=40,2,IF(T807&lt;=60,3,IF(T807&lt;=80,4,5)))))</x:f>
      </x:c>
      <x:c r="V807" s="2" t="str">
        <x:f>IF(M807="","",MAX(0,'Motor_Meciuri'!BF63-IF(W807="OOS PENDING",'Config_v6'!$B$35,0)-IF(L807&gt;'Config_v6'!$B$12,'Config_v6'!$B$37,IF(L807&gt;'Config_v6'!$B$11,'Config_v6'!$B$36,0))))</x:f>
      </x:c>
      <x:c r="W807" s="2" t="str">
        <x:f>IF(B807="","",IF(I807&lt;&gt;"READY","NOT RELEASED",IF(NOT(AND(J807="PASS",'Calibrare_Linii'!U9="VALID")),"INVALID",IF(NOT(AND('Calibrare_Linii'!S9="VALIDATED",AND('Calibrare_Linii'!H9=C807,ISNUMBER('Calibrare_Linii'!J9),'Calibrare_Linii'!J9&lt;='Input_Meci'!G63))),"OOS PENDING",IF(S807&lt;='Calibrare_Linii'!E9,"PASS",IF(S807&lt;='Calibrare_Linii'!F9,"PENALTY","WATCH"))))))</x:f>
      </x:c>
      <x:c r="X807" s="2" t="str">
        <x:f>IF(M807="","",IF(AND(AND(J807="PASS",'Calibrare_Linii'!U9="VALID"),'Motor_Meciuri'!K63=12,'Motor_Meciuri'!L63=12,'Motor_Meciuri'!M63="NO",'Motor_Meciuri'!BL63='Motor_Meciuri'!C63,AB807&gt;='Config_v6'!$B$50,AN807&gt;='Config_v6'!$B$51,T807&lt;='Config_v6'!$B$52,L807&lt;='Config_v6'!$B$53,ISNUMBER('Calibrare_Linii'!E9),S807&lt;='Calibrare_Linii'!E9,SUM(AK807:AM807)&gt;0),"CANDIDATE","NO"))</x:f>
      </x:c>
      <x:c r="Y807" s="2" t="str">
        <x:f>IF(B807="","",IF(I807&lt;&gt;"READY","NOT RELEASED",IF(AND(X807="CANDIDATE",V807&gt;='Config_v6'!$B$51,W807="PASS",'Calibrare_Linii'!T9="VALIDATED",AND('Calibrare_Linii'!H9=C807,ISNUMBER('Calibrare_Linii'!J9),'Calibrare_Linii'!J9&lt;='Input_Meci'!G63)),"PASS",IF(X807="CANDIDATE","OOS PENDING","FAIL"))))</x:f>
      </x:c>
      <x:c r="Z807" s="2" t="str">
        <x:f>IF(B807="","",IF(I807&lt;&gt;"READY","",IF(OR(NOT(AND(J807="PASS",'Calibrare_Linii'!U9="VALID")),L807&gt;'Config_v6'!$B$13,W807="WATCH"),5,IF(Y807="PASS",1,MIN(5,MAX('Config_v6'!$B$42,U807)+IF(W807="PENALTY",1,0))))))</x:f>
      </x:c>
      <x:c r="AA807" s="2" t="str">
        <x:f>IF(B807="","",IF(I807&lt;&gt;"READY","NOT RELEASED",IF(Z807=5,"NO BET",IF(OR(AB807&lt;'Config_v6'!$B$16,V807&lt;'Config_v6'!$B$18),"WATCH",IF(Z807=1,"DEFENSIV",IF(Z807=2,"PRUDENT",IF(Z807=3,"MODERAT","RIDICAT")))))))</x:f>
      </x:c>
      <x:c r="AB807" s="10" t="str">
        <x:f>IF(N807="","",MIN(N807,1-S807))</x:f>
      </x:c>
      <x:c r="AC807" s="2" t="str">
        <x:f>IF(AD807&lt;&gt;1,"",COUNTIFS($Z$804:$Z$817,"&lt;"&amp;Z807,$AD$804:$AD$817,1)+COUNTIFS($Z$804:$Z$817,Z807,$AB$804:$AB$817,"&gt;"&amp;AB807,$AD$804:$AD$817,1)+COUNTIFS($Z$804:$Z$817,Z807,$AB$804:$AB$817,AB807,$V$804:$V$817,"&gt;"&amp;V807,$AD$804:$AD$817,1)+COUNTIFS($Z$804:Z807,Z807,$AB$804:AB807,AB807,$V$804:V807,V807,$AD$804:AD807,1))</x:f>
      </x:c>
      <x:c r="AD807" s="2" t="n">
        <x:f>IF(OR(AA807="DEFENSIV",AA807="PRUDENT",AA807="MODERAT",AA807="RIDICAT"),1,0)</x:f>
        <x:v>0</x:v>
      </x:c>
      <x:c r="AE807" s="2" t="str">
        <x:f>IF(AD807&lt;&gt;1,"NO",IF(W807="PASS","YES",IF(W807="OOS PENDING","CONDITIONAL","NO")))</x:f>
        <x:v>NO</x:v>
      </x:c>
      <x:c r="AF807" s="2" t="n">
        <x:f>IF(AND(AD807=1,AC807=1,E807="LIVE"),1,0)</x:f>
        <x:v>0</x:v>
      </x:c>
      <x:c r="AG807" s="2" t="str">
        <x:f>IF(AF807&lt;&gt;1,"",'Dashboard'!P83)</x:f>
      </x:c>
      <x:c r="AH807" s="2" t="str">
        <x:f>IF(B807="","",IF(J807&lt;&gt;"PASS",'Motor_Meciuri'!J63,IF('Calibrare_Linii'!U9&lt;&gt;"VALID","Parametri linie invalizi",IF(L807&gt;'Config_v6'!$B$13,"Dispersie peste limita",IF(W807="WATCH","Failure peste limita",IF(AB807&lt;'Config_v6'!$B$16,"P finala sub prag",IF(V807&lt;'Config_v6'!$B$18,"Confidence sub prag",IF(E807="REPLAY","Exemplu retrospectiv; exclus din Top LIVE",IF(Y807="PASS","DEFENSIV validat",IF(W807="OOS PENDING","Eligibil; calibrare linie in monitorizare","Eligibil"))))))))))</x:f>
      </x:c>
      <x:c r="AI807" s="2" t="str">
        <x:f>IF(B807="","",'Calibrare_Linii'!V9)</x:f>
      </x:c>
      <x:c r="AJ807" s="2" t="str">
        <x:f>IF(B807="","",IF(AND('Calibrare_Linii'!T9="VALIDATED",AND('Calibrare_Linii'!H9=C807,ISNUMBER('Calibrare_Linii'!J9),'Calibrare_Linii'!J9&lt;='Input_Meci'!G63)),"DEFENSIVE VALIDATED",IF(AND('Calibrare_Linii'!S9="VALIDATED",AND('Calibrare_Linii'!H9=C807,ISNUMBER('Calibrare_Linii'!J9),'Calibrare_Linii'!J9&lt;='Input_Meci'!G63)),"TAIL VALIDATED","OOS PENDING")))</x:f>
      </x:c>
      <x:c r="AK807" s="2" t="n">
        <x:f>IF(J807&lt;&gt;"PASS",0,'Motor_Meciuri'!BR63)</x:f>
        <x:v>0</x:v>
      </x:c>
      <x:c r="AL807" s="2" t="n">
        <x:f>IF(J807&lt;&gt;"PASS",0,'Motor_Meciuri'!BS63)</x:f>
        <x:v>0</x:v>
      </x:c>
      <x:c r="AM807" s="2" t="n">
        <x:f>IF(J807&lt;&gt;"PASS",0,'Motor_Meciuri'!BT63)</x:f>
        <x:v>0</x:v>
      </x:c>
      <x:c r="AN807" s="2" t="str">
        <x:f>IF(M807="","",MAX(0,'Motor_Meciuri'!BF63-IF(L807&gt;'Config_v6'!$B$12,'Config_v6'!$B$37,IF(L807&gt;'Config_v6'!$B$11,'Config_v6'!$B$36,0))))</x:f>
      </x:c>
    </x:row>
    <x:row r="808" ht="21" customHeight="1">
      <x:c r="A808" s="2" t="n">
        <x:v>58</x:v>
      </x:c>
      <x:c r="B808" s="2" t="str">
        <x:f>IF('Motor_Meciuri'!A63="","",'Motor_Meciuri'!A63)</x:f>
      </x:c>
      <x:c r="C808" s="2" t="str">
        <x:f>IF(B808="","",'Motor_Meciuri'!B63)</x:f>
      </x:c>
      <x:c r="D808" s="2" t="str">
        <x:f>IF(B808="","",'Motor_Meciuri'!D63)</x:f>
      </x:c>
      <x:c r="E808" s="2" t="str">
        <x:f>IF(B808="","",'Motor_Meciuri'!E63)</x:f>
      </x:c>
      <x:c r="F808" s="2" t="str">
        <x:v>O7,5</x:v>
      </x:c>
      <x:c r="G808" s="2" t="str">
        <x:v>OVER</x:v>
      </x:c>
      <x:c r="H808" s="2" t="n">
        <x:v>7</x:v>
      </x:c>
      <x:c r="I808" s="2" t="str">
        <x:f>IF(B808="","",'Motor_Meciuri'!H63)</x:f>
      </x:c>
      <x:c r="J808" s="2" t="str">
        <x:f>IF(B808="","",'Motor_Meciuri'!I63)</x:f>
      </x:c>
      <x:c r="K808" s="11" t="str">
        <x:f>IF(J808&lt;&gt;"PASS","",'Motor_Meciuri'!BD63)</x:f>
      </x:c>
      <x:c r="L808" s="11" t="str">
        <x:f>IF(J808&lt;&gt;"PASS","",'Motor_Meciuri'!AU63)</x:f>
      </x:c>
      <x:c r="M808" s="10" t="str">
        <x:f>IF(NOT(AND(J808="PASS",'Calibrare_Linii'!U10="VALID")),"",1-'Distributie'!AE63)</x:f>
      </x:c>
      <x:c r="N808" s="10" t="str">
        <x:f>IF(M808="","",MAX(0.01,MIN(0.99,0.5+(M808-0.5)*'Motor_Meciuri'!BG63*'Calibrare_Linii'!D10)))</x:f>
      </x:c>
      <x:c r="O808" s="10" t="str">
        <x:f>IF(M808="","",1-M808)</x:f>
      </x:c>
      <x:c r="P808" s="10" t="str">
        <x:f>IF(OR(NOT(AND(J808="PASS",'Calibrare_Linii'!U10="VALID")),AK808=0),""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*('Istoric_Nativ'!$Q$6:$Q$405&lt;=H808))/AK808)</x:f>
      </x:c>
      <x:c r="Q808" s="10" t="str">
        <x:f>IF(OR(NOT(AND(J808="PASS",'Calibrare_Linii'!U10="VALID")),AL808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M63)+((('Istoric_Nativ'!$E$6:$E$405='Input_Meci'!E63)+('Istoric_Nativ'!$F$6:$F$405='Input_Meci'!E63))&gt;0)*('Istoric_Nativ'!$D$6:$D$405&gt;='Motor_Meciuri'!BN63))&gt;0)*('Istoric_Nativ'!$Q$6:$Q$405&lt;=H808))/AL808)</x:f>
      </x:c>
      <x:c r="R808" s="10" t="str">
        <x:f>IF(OR(NOT(AND(J808="PASS",'Calibrare_Linii'!U10="VALID")),AM808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O63)+((('Istoric_Nativ'!$E$6:$E$405='Input_Meci'!E63)+('Istoric_Nativ'!$F$6:$F$405='Input_Meci'!E63))&gt;0)*('Istoric_Nativ'!$D$6:$D$405&gt;='Motor_Meciuri'!BP63))&gt;0)*('Istoric_Nativ'!$Q$6:$Q$405&lt;=H808))/AM808)</x:f>
      </x:c>
      <x:c r="S808" s="10" t="str">
        <x:f>IF(M808="","",MAX(O808,P808,Q808,R808))</x:f>
      </x:c>
      <x:c r="T808" s="11" t="str">
        <x:f>IF(M808="","",MIN(100,S808*100*'Config_v6'!$B$44+MIN(100,L808/'Config_v6'!$B$13*100)*'Config_v6'!$B$45+(100-'Motor_Meciuri'!BF63)*'Config_v6'!$B$46+'Motor_Meciuri'!BH63*100*'Config_v6'!$B$47))</x:f>
      </x:c>
      <x:c r="U808" s="2" t="str">
        <x:f>IF(T808="","",IF(T808&lt;=20,1,IF(T808&lt;=40,2,IF(T808&lt;=60,3,IF(T808&lt;=80,4,5)))))</x:f>
      </x:c>
      <x:c r="V808" s="2" t="str">
        <x:f>IF(M808="","",MAX(0,'Motor_Meciuri'!BF63-IF(W808="OOS PENDING",'Config_v6'!$B$35,0)-IF(L808&gt;'Config_v6'!$B$12,'Config_v6'!$B$37,IF(L808&gt;'Config_v6'!$B$11,'Config_v6'!$B$36,0))))</x:f>
      </x:c>
      <x:c r="W808" s="2" t="str">
        <x:f>IF(B808="","",IF(I808&lt;&gt;"READY","NOT RELEASED",IF(NOT(AND(J808="PASS",'Calibrare_Linii'!U10="VALID")),"INVALID",IF(NOT(AND('Calibrare_Linii'!S10="VALIDATED",AND('Calibrare_Linii'!H10=C808,ISNUMBER('Calibrare_Linii'!J10),'Calibrare_Linii'!J10&lt;='Input_Meci'!G63))),"OOS PENDING",IF(S808&lt;='Calibrare_Linii'!E10,"PASS",IF(S808&lt;='Calibrare_Linii'!F10,"PENALTY","WATCH"))))))</x:f>
      </x:c>
      <x:c r="X808" s="2" t="str">
        <x:f>IF(M808="","",IF(AND(AND(J808="PASS",'Calibrare_Linii'!U10="VALID"),'Motor_Meciuri'!K63=12,'Motor_Meciuri'!L63=12,'Motor_Meciuri'!M63="NO",'Motor_Meciuri'!BL63='Motor_Meciuri'!C63,AB808&gt;='Config_v6'!$B$50,AN808&gt;='Config_v6'!$B$51,T808&lt;='Config_v6'!$B$52,L808&lt;='Config_v6'!$B$53,ISNUMBER('Calibrare_Linii'!E10),S808&lt;='Calibrare_Linii'!E10,SUM(AK808:AM808)&gt;0),"CANDIDATE","NO"))</x:f>
      </x:c>
      <x:c r="Y808" s="2" t="str">
        <x:f>IF(B808="","",IF(I808&lt;&gt;"READY","NOT RELEASED",IF(AND(X808="CANDIDATE",V808&gt;='Config_v6'!$B$51,W808="PASS",'Calibrare_Linii'!T10="VALIDATED",AND('Calibrare_Linii'!H10=C808,ISNUMBER('Calibrare_Linii'!J10),'Calibrare_Linii'!J10&lt;='Input_Meci'!G63)),"PASS",IF(X808="CANDIDATE","OOS PENDING","FAIL"))))</x:f>
      </x:c>
      <x:c r="Z808" s="2" t="str">
        <x:f>IF(B808="","",IF(I808&lt;&gt;"READY","",IF(OR(NOT(AND(J808="PASS",'Calibrare_Linii'!U10="VALID")),L808&gt;'Config_v6'!$B$13,W808="WATCH"),5,IF(Y808="PASS",1,MIN(5,MAX('Config_v6'!$B$42,U808)+IF(W808="PENALTY",1,0))))))</x:f>
      </x:c>
      <x:c r="AA808" s="2" t="str">
        <x:f>IF(B808="","",IF(I808&lt;&gt;"READY","NOT RELEASED",IF(Z808=5,"NO BET",IF(OR(AB808&lt;'Config_v6'!$B$16,V808&lt;'Config_v6'!$B$18),"WATCH",IF(Z808=1,"DEFENSIV",IF(Z808=2,"PRUDENT",IF(Z808=3,"MODERAT","RIDICAT")))))))</x:f>
      </x:c>
      <x:c r="AB808" s="10" t="str">
        <x:f>IF(N808="","",MIN(N808,1-S808))</x:f>
      </x:c>
      <x:c r="AC808" s="2" t="str">
        <x:f>IF(AD808&lt;&gt;1,"",COUNTIFS($Z$804:$Z$817,"&lt;"&amp;Z808,$AD$804:$AD$817,1)+COUNTIFS($Z$804:$Z$817,Z808,$AB$804:$AB$817,"&gt;"&amp;AB808,$AD$804:$AD$817,1)+COUNTIFS($Z$804:$Z$817,Z808,$AB$804:$AB$817,AB808,$V$804:$V$817,"&gt;"&amp;V808,$AD$804:$AD$817,1)+COUNTIFS($Z$804:Z808,Z808,$AB$804:AB808,AB808,$V$804:V808,V808,$AD$804:AD808,1))</x:f>
      </x:c>
      <x:c r="AD808" s="2" t="n">
        <x:f>IF(OR(AA808="DEFENSIV",AA808="PRUDENT",AA808="MODERAT",AA808="RIDICAT"),1,0)</x:f>
        <x:v>0</x:v>
      </x:c>
      <x:c r="AE808" s="2" t="str">
        <x:f>IF(AD808&lt;&gt;1,"NO",IF(W808="PASS","YES",IF(W808="OOS PENDING","CONDITIONAL","NO")))</x:f>
        <x:v>NO</x:v>
      </x:c>
      <x:c r="AF808" s="2" t="n">
        <x:f>IF(AND(AD808=1,AC808=1,E808="LIVE"),1,0)</x:f>
        <x:v>0</x:v>
      </x:c>
      <x:c r="AG808" s="2" t="str">
        <x:f>IF(AF808&lt;&gt;1,"",'Dashboard'!P83)</x:f>
      </x:c>
      <x:c r="AH808" s="2" t="str">
        <x:f>IF(B808="","",IF(J808&lt;&gt;"PASS",'Motor_Meciuri'!J63,IF('Calibrare_Linii'!U10&lt;&gt;"VALID","Parametri linie invalizi",IF(L808&gt;'Config_v6'!$B$13,"Dispersie peste limita",IF(W808="WATCH","Failure peste limita",IF(AB808&lt;'Config_v6'!$B$16,"P finala sub prag",IF(V808&lt;'Config_v6'!$B$18,"Confidence sub prag",IF(E808="REPLAY","Exemplu retrospectiv; exclus din Top LIVE",IF(Y808="PASS","DEFENSIV validat",IF(W808="OOS PENDING","Eligibil; calibrare linie in monitorizare","Eligibil"))))))))))</x:f>
      </x:c>
      <x:c r="AI808" s="2" t="str">
        <x:f>IF(B808="","",'Calibrare_Linii'!V10)</x:f>
      </x:c>
      <x:c r="AJ808" s="2" t="str">
        <x:f>IF(B808="","",IF(AND('Calibrare_Linii'!T10="VALIDATED",AND('Calibrare_Linii'!H10=C808,ISNUMBER('Calibrare_Linii'!J10),'Calibrare_Linii'!J10&lt;='Input_Meci'!G63)),"DEFENSIVE VALIDATED",IF(AND('Calibrare_Linii'!S10="VALIDATED",AND('Calibrare_Linii'!H10=C808,ISNUMBER('Calibrare_Linii'!J10),'Calibrare_Linii'!J10&lt;='Input_Meci'!G63)),"TAIL VALIDATED","OOS PENDING")))</x:f>
      </x:c>
      <x:c r="AK808" s="2" t="n">
        <x:f>IF(J808&lt;&gt;"PASS",0,'Motor_Meciuri'!BR63)</x:f>
        <x:v>0</x:v>
      </x:c>
      <x:c r="AL808" s="2" t="n">
        <x:f>IF(J808&lt;&gt;"PASS",0,'Motor_Meciuri'!BS63)</x:f>
        <x:v>0</x:v>
      </x:c>
      <x:c r="AM808" s="2" t="n">
        <x:f>IF(J808&lt;&gt;"PASS",0,'Motor_Meciuri'!BT63)</x:f>
        <x:v>0</x:v>
      </x:c>
      <x:c r="AN808" s="2" t="str">
        <x:f>IF(M808="","",MAX(0,'Motor_Meciuri'!BF63-IF(L808&gt;'Config_v6'!$B$12,'Config_v6'!$B$37,IF(L808&gt;'Config_v6'!$B$11,'Config_v6'!$B$36,0))))</x:f>
      </x:c>
    </x:row>
    <x:row r="809" ht="21" customHeight="1">
      <x:c r="A809" s="2" t="n">
        <x:v>58</x:v>
      </x:c>
      <x:c r="B809" s="2" t="str">
        <x:f>IF('Motor_Meciuri'!A63="","",'Motor_Meciuri'!A63)</x:f>
      </x:c>
      <x:c r="C809" s="2" t="str">
        <x:f>IF(B809="","",'Motor_Meciuri'!B63)</x:f>
      </x:c>
      <x:c r="D809" s="2" t="str">
        <x:f>IF(B809="","",'Motor_Meciuri'!D63)</x:f>
      </x:c>
      <x:c r="E809" s="2" t="str">
        <x:f>IF(B809="","",'Motor_Meciuri'!E63)</x:f>
      </x:c>
      <x:c r="F809" s="2" t="str">
        <x:v>O8,5</x:v>
      </x:c>
      <x:c r="G809" s="2" t="str">
        <x:v>OVER</x:v>
      </x:c>
      <x:c r="H809" s="2" t="n">
        <x:v>8</x:v>
      </x:c>
      <x:c r="I809" s="2" t="str">
        <x:f>IF(B809="","",'Motor_Meciuri'!H63)</x:f>
      </x:c>
      <x:c r="J809" s="2" t="str">
        <x:f>IF(B809="","",'Motor_Meciuri'!I63)</x:f>
      </x:c>
      <x:c r="K809" s="11" t="str">
        <x:f>IF(J809&lt;&gt;"PASS","",'Motor_Meciuri'!BD63)</x:f>
      </x:c>
      <x:c r="L809" s="11" t="str">
        <x:f>IF(J809&lt;&gt;"PASS","",'Motor_Meciuri'!AU63)</x:f>
      </x:c>
      <x:c r="M809" s="10" t="str">
        <x:f>IF(NOT(AND(J809="PASS",'Calibrare_Linii'!U11="VALID")),"",1-'Distributie'!AF63)</x:f>
      </x:c>
      <x:c r="N809" s="10" t="str">
        <x:f>IF(M809="","",MAX(0.01,MIN(0.99,0.5+(M809-0.5)*'Motor_Meciuri'!BG63*'Calibrare_Linii'!D11)))</x:f>
      </x:c>
      <x:c r="O809" s="10" t="str">
        <x:f>IF(M809="","",1-M809)</x:f>
      </x:c>
      <x:c r="P809" s="10" t="str">
        <x:f>IF(OR(NOT(AND(J809="PASS",'Calibrare_Linii'!U11="VALID")),AK809=0),""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*('Istoric_Nativ'!$Q$6:$Q$405&lt;=H809))/AK809)</x:f>
      </x:c>
      <x:c r="Q809" s="10" t="str">
        <x:f>IF(OR(NOT(AND(J809="PASS",'Calibrare_Linii'!U11="VALID")),AL809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M63)+((('Istoric_Nativ'!$E$6:$E$405='Input_Meci'!E63)+('Istoric_Nativ'!$F$6:$F$405='Input_Meci'!E63))&gt;0)*('Istoric_Nativ'!$D$6:$D$405&gt;='Motor_Meciuri'!BN63))&gt;0)*('Istoric_Nativ'!$Q$6:$Q$405&lt;=H809))/AL809)</x:f>
      </x:c>
      <x:c r="R809" s="10" t="str">
        <x:f>IF(OR(NOT(AND(J809="PASS",'Calibrare_Linii'!U11="VALID")),AM809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O63)+((('Istoric_Nativ'!$E$6:$E$405='Input_Meci'!E63)+('Istoric_Nativ'!$F$6:$F$405='Input_Meci'!E63))&gt;0)*('Istoric_Nativ'!$D$6:$D$405&gt;='Motor_Meciuri'!BP63))&gt;0)*('Istoric_Nativ'!$Q$6:$Q$405&lt;=H809))/AM809)</x:f>
      </x:c>
      <x:c r="S809" s="10" t="str">
        <x:f>IF(M809="","",MAX(O809,P809,Q809,R809))</x:f>
      </x:c>
      <x:c r="T809" s="11" t="str">
        <x:f>IF(M809="","",MIN(100,S809*100*'Config_v6'!$B$44+MIN(100,L809/'Config_v6'!$B$13*100)*'Config_v6'!$B$45+(100-'Motor_Meciuri'!BF63)*'Config_v6'!$B$46+'Motor_Meciuri'!BH63*100*'Config_v6'!$B$47))</x:f>
      </x:c>
      <x:c r="U809" s="2" t="str">
        <x:f>IF(T809="","",IF(T809&lt;=20,1,IF(T809&lt;=40,2,IF(T809&lt;=60,3,IF(T809&lt;=80,4,5)))))</x:f>
      </x:c>
      <x:c r="V809" s="2" t="str">
        <x:f>IF(M809="","",MAX(0,'Motor_Meciuri'!BF63-IF(W809="OOS PENDING",'Config_v6'!$B$35,0)-IF(L809&gt;'Config_v6'!$B$12,'Config_v6'!$B$37,IF(L809&gt;'Config_v6'!$B$11,'Config_v6'!$B$36,0))))</x:f>
      </x:c>
      <x:c r="W809" s="2" t="str">
        <x:f>IF(B809="","",IF(I809&lt;&gt;"READY","NOT RELEASED",IF(NOT(AND(J809="PASS",'Calibrare_Linii'!U11="VALID")),"INVALID",IF(NOT(AND('Calibrare_Linii'!S11="VALIDATED",AND('Calibrare_Linii'!H11=C809,ISNUMBER('Calibrare_Linii'!J11),'Calibrare_Linii'!J11&lt;='Input_Meci'!G63))),"OOS PENDING",IF(S809&lt;='Calibrare_Linii'!E11,"PASS",IF(S809&lt;='Calibrare_Linii'!F11,"PENALTY","WATCH"))))))</x:f>
      </x:c>
      <x:c r="X809" s="2" t="str">
        <x:f>IF(M809="","",IF(AND(AND(J809="PASS",'Calibrare_Linii'!U11="VALID"),'Motor_Meciuri'!K63=12,'Motor_Meciuri'!L63=12,'Motor_Meciuri'!M63="NO",'Motor_Meciuri'!BL63='Motor_Meciuri'!C63,AB809&gt;='Config_v6'!$B$50,AN809&gt;='Config_v6'!$B$51,T809&lt;='Config_v6'!$B$52,L809&lt;='Config_v6'!$B$53,ISNUMBER('Calibrare_Linii'!E11),S809&lt;='Calibrare_Linii'!E11,SUM(AK809:AM809)&gt;0),"CANDIDATE","NO"))</x:f>
      </x:c>
      <x:c r="Y809" s="2" t="str">
        <x:f>IF(B809="","",IF(I809&lt;&gt;"READY","NOT RELEASED",IF(AND(X809="CANDIDATE",V809&gt;='Config_v6'!$B$51,W809="PASS",'Calibrare_Linii'!T11="VALIDATED",AND('Calibrare_Linii'!H11=C809,ISNUMBER('Calibrare_Linii'!J11),'Calibrare_Linii'!J11&lt;='Input_Meci'!G63)),"PASS",IF(X809="CANDIDATE","OOS PENDING","FAIL"))))</x:f>
      </x:c>
      <x:c r="Z809" s="2" t="str">
        <x:f>IF(B809="","",IF(I809&lt;&gt;"READY","",IF(OR(NOT(AND(J809="PASS",'Calibrare_Linii'!U11="VALID")),L809&gt;'Config_v6'!$B$13,W809="WATCH"),5,IF(Y809="PASS",1,MIN(5,MAX('Config_v6'!$B$42,U809)+IF(W809="PENALTY",1,0))))))</x:f>
      </x:c>
      <x:c r="AA809" s="2" t="str">
        <x:f>IF(B809="","",IF(I809&lt;&gt;"READY","NOT RELEASED",IF(Z809=5,"NO BET",IF(OR(AB809&lt;'Config_v6'!$B$16,V809&lt;'Config_v6'!$B$18),"WATCH",IF(Z809=1,"DEFENSIV",IF(Z809=2,"PRUDENT",IF(Z809=3,"MODERAT","RIDICAT")))))))</x:f>
      </x:c>
      <x:c r="AB809" s="10" t="str">
        <x:f>IF(N809="","",MIN(N809,1-S809))</x:f>
      </x:c>
      <x:c r="AC809" s="2" t="str">
        <x:f>IF(AD809&lt;&gt;1,"",COUNTIFS($Z$804:$Z$817,"&lt;"&amp;Z809,$AD$804:$AD$817,1)+COUNTIFS($Z$804:$Z$817,Z809,$AB$804:$AB$817,"&gt;"&amp;AB809,$AD$804:$AD$817,1)+COUNTIFS($Z$804:$Z$817,Z809,$AB$804:$AB$817,AB809,$V$804:$V$817,"&gt;"&amp;V809,$AD$804:$AD$817,1)+COUNTIFS($Z$804:Z809,Z809,$AB$804:AB809,AB809,$V$804:V809,V809,$AD$804:AD809,1))</x:f>
      </x:c>
      <x:c r="AD809" s="2" t="n">
        <x:f>IF(OR(AA809="DEFENSIV",AA809="PRUDENT",AA809="MODERAT",AA809="RIDICAT"),1,0)</x:f>
        <x:v>0</x:v>
      </x:c>
      <x:c r="AE809" s="2" t="str">
        <x:f>IF(AD809&lt;&gt;1,"NO",IF(W809="PASS","YES",IF(W809="OOS PENDING","CONDITIONAL","NO")))</x:f>
        <x:v>NO</x:v>
      </x:c>
      <x:c r="AF809" s="2" t="n">
        <x:f>IF(AND(AD809=1,AC809=1,E809="LIVE"),1,0)</x:f>
        <x:v>0</x:v>
      </x:c>
      <x:c r="AG809" s="2" t="str">
        <x:f>IF(AF809&lt;&gt;1,"",'Dashboard'!P83)</x:f>
      </x:c>
      <x:c r="AH809" s="2" t="str">
        <x:f>IF(B809="","",IF(J809&lt;&gt;"PASS",'Motor_Meciuri'!J63,IF('Calibrare_Linii'!U11&lt;&gt;"VALID","Parametri linie invalizi",IF(L809&gt;'Config_v6'!$B$13,"Dispersie peste limita",IF(W809="WATCH","Failure peste limita",IF(AB809&lt;'Config_v6'!$B$16,"P finala sub prag",IF(V809&lt;'Config_v6'!$B$18,"Confidence sub prag",IF(E809="REPLAY","Exemplu retrospectiv; exclus din Top LIVE",IF(Y809="PASS","DEFENSIV validat",IF(W809="OOS PENDING","Eligibil; calibrare linie in monitorizare","Eligibil"))))))))))</x:f>
      </x:c>
      <x:c r="AI809" s="2" t="str">
        <x:f>IF(B809="","",'Calibrare_Linii'!V11)</x:f>
      </x:c>
      <x:c r="AJ809" s="2" t="str">
        <x:f>IF(B809="","",IF(AND('Calibrare_Linii'!T11="VALIDATED",AND('Calibrare_Linii'!H11=C809,ISNUMBER('Calibrare_Linii'!J11),'Calibrare_Linii'!J11&lt;='Input_Meci'!G63)),"DEFENSIVE VALIDATED",IF(AND('Calibrare_Linii'!S11="VALIDATED",AND('Calibrare_Linii'!H11=C809,ISNUMBER('Calibrare_Linii'!J11),'Calibrare_Linii'!J11&lt;='Input_Meci'!G63)),"TAIL VALIDATED","OOS PENDING")))</x:f>
      </x:c>
      <x:c r="AK809" s="2" t="n">
        <x:f>IF(J809&lt;&gt;"PASS",0,'Motor_Meciuri'!BR63)</x:f>
        <x:v>0</x:v>
      </x:c>
      <x:c r="AL809" s="2" t="n">
        <x:f>IF(J809&lt;&gt;"PASS",0,'Motor_Meciuri'!BS63)</x:f>
        <x:v>0</x:v>
      </x:c>
      <x:c r="AM809" s="2" t="n">
        <x:f>IF(J809&lt;&gt;"PASS",0,'Motor_Meciuri'!BT63)</x:f>
        <x:v>0</x:v>
      </x:c>
      <x:c r="AN809" s="2" t="str">
        <x:f>IF(M809="","",MAX(0,'Motor_Meciuri'!BF63-IF(L809&gt;'Config_v6'!$B$12,'Config_v6'!$B$37,IF(L809&gt;'Config_v6'!$B$11,'Config_v6'!$B$36,0))))</x:f>
      </x:c>
    </x:row>
    <x:row r="810" ht="21" customHeight="1">
      <x:c r="A810" s="2" t="n">
        <x:v>58</x:v>
      </x:c>
      <x:c r="B810" s="2" t="str">
        <x:f>IF('Motor_Meciuri'!A63="","",'Motor_Meciuri'!A63)</x:f>
      </x:c>
      <x:c r="C810" s="2" t="str">
        <x:f>IF(B810="","",'Motor_Meciuri'!B63)</x:f>
      </x:c>
      <x:c r="D810" s="2" t="str">
        <x:f>IF(B810="","",'Motor_Meciuri'!D63)</x:f>
      </x:c>
      <x:c r="E810" s="2" t="str">
        <x:f>IF(B810="","",'Motor_Meciuri'!E63)</x:f>
      </x:c>
      <x:c r="F810" s="2" t="str">
        <x:v>U10,5</x:v>
      </x:c>
      <x:c r="G810" s="2" t="str">
        <x:v>UNDER</x:v>
      </x:c>
      <x:c r="H810" s="2" t="n">
        <x:v>10</x:v>
      </x:c>
      <x:c r="I810" s="2" t="str">
        <x:f>IF(B810="","",'Motor_Meciuri'!H63)</x:f>
      </x:c>
      <x:c r="J810" s="2" t="str">
        <x:f>IF(B810="","",'Motor_Meciuri'!I63)</x:f>
      </x:c>
      <x:c r="K810" s="11" t="str">
        <x:f>IF(J810&lt;&gt;"PASS","",'Motor_Meciuri'!BD63)</x:f>
      </x:c>
      <x:c r="L810" s="11" t="str">
        <x:f>IF(J810&lt;&gt;"PASS","",'Motor_Meciuri'!AU63)</x:f>
      </x:c>
      <x:c r="M810" s="10" t="str">
        <x:f>IF(NOT(AND(J810="PASS",'Calibrare_Linii'!U12="VALID")),"",'Distributie'!AH63)</x:f>
      </x:c>
      <x:c r="N810" s="10" t="str">
        <x:f>IF(M810="","",MAX(0.01,MIN(0.99,0.5+(M810-0.5)*'Motor_Meciuri'!BG63*'Calibrare_Linii'!D12)))</x:f>
      </x:c>
      <x:c r="O810" s="10" t="str">
        <x:f>IF(M810="","",1-M810)</x:f>
      </x:c>
      <x:c r="P810" s="10" t="str">
        <x:f>IF(OR(NOT(AND(J810="PASS",'Calibrare_Linii'!U12="VALID")),AK810=0),""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*('Istoric_Nativ'!$Q$6:$Q$405&gt;H810))/AK810)</x:f>
      </x:c>
      <x:c r="Q810" s="10" t="str">
        <x:f>IF(OR(NOT(AND(J810="PASS",'Calibrare_Linii'!U12="VALID")),AL810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M63)+((('Istoric_Nativ'!$E$6:$E$405='Input_Meci'!E63)+('Istoric_Nativ'!$F$6:$F$405='Input_Meci'!E63))&gt;0)*('Istoric_Nativ'!$D$6:$D$405&gt;='Motor_Meciuri'!BN63))&gt;0)*('Istoric_Nativ'!$Q$6:$Q$405&gt;H810))/AL810)</x:f>
      </x:c>
      <x:c r="R810" s="10" t="str">
        <x:f>IF(OR(NOT(AND(J810="PASS",'Calibrare_Linii'!U12="VALID")),AM810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O63)+((('Istoric_Nativ'!$E$6:$E$405='Input_Meci'!E63)+('Istoric_Nativ'!$F$6:$F$405='Input_Meci'!E63))&gt;0)*('Istoric_Nativ'!$D$6:$D$405&gt;='Motor_Meciuri'!BP63))&gt;0)*('Istoric_Nativ'!$Q$6:$Q$405&gt;H810))/AM810)</x:f>
      </x:c>
      <x:c r="S810" s="10" t="str">
        <x:f>IF(M810="","",MAX(O810,P810,Q810,R810))</x:f>
      </x:c>
      <x:c r="T810" s="11" t="str">
        <x:f>IF(M810="","",MIN(100,S810*100*'Config_v6'!$B$44+MIN(100,L810/'Config_v6'!$B$13*100)*'Config_v6'!$B$45+(100-'Motor_Meciuri'!BF63)*'Config_v6'!$B$46+'Motor_Meciuri'!BH63*100*'Config_v6'!$B$47))</x:f>
      </x:c>
      <x:c r="U810" s="2" t="str">
        <x:f>IF(T810="","",IF(T810&lt;=20,1,IF(T810&lt;=40,2,IF(T810&lt;=60,3,IF(T810&lt;=80,4,5)))))</x:f>
      </x:c>
      <x:c r="V810" s="2" t="str">
        <x:f>IF(M810="","",MAX(0,'Motor_Meciuri'!BF63-IF(W810="OOS PENDING",'Config_v6'!$B$35,0)-IF(L810&gt;'Config_v6'!$B$12,'Config_v6'!$B$37,IF(L810&gt;'Config_v6'!$B$11,'Config_v6'!$B$36,0))))</x:f>
      </x:c>
      <x:c r="W810" s="2" t="str">
        <x:f>IF(B810="","",IF(I810&lt;&gt;"READY","NOT RELEASED",IF(NOT(AND(J810="PASS",'Calibrare_Linii'!U12="VALID")),"INVALID",IF(NOT(AND('Calibrare_Linii'!S12="VALIDATED",AND('Calibrare_Linii'!H12=C810,ISNUMBER('Calibrare_Linii'!J12),'Calibrare_Linii'!J12&lt;='Input_Meci'!G63))),"OOS PENDING",IF(S810&lt;='Calibrare_Linii'!E12,"PASS",IF(S810&lt;='Calibrare_Linii'!F12,"PENALTY","WATCH"))))))</x:f>
      </x:c>
      <x:c r="X810" s="2" t="str">
        <x:f>IF(M810="","",IF(AND(AND(J810="PASS",'Calibrare_Linii'!U12="VALID"),'Motor_Meciuri'!K63=12,'Motor_Meciuri'!L63=12,'Motor_Meciuri'!M63="NO",'Motor_Meciuri'!BL63='Motor_Meciuri'!C63,AB810&gt;='Config_v6'!$B$50,AN810&gt;='Config_v6'!$B$51,T810&lt;='Config_v6'!$B$52,L810&lt;='Config_v6'!$B$53,ISNUMBER('Calibrare_Linii'!E12),S810&lt;='Calibrare_Linii'!E12,SUM(AK810:AM810)&gt;0),"CANDIDATE","NO"))</x:f>
      </x:c>
      <x:c r="Y810" s="2" t="str">
        <x:f>IF(B810="","",IF(I810&lt;&gt;"READY","NOT RELEASED",IF(AND(X810="CANDIDATE",V810&gt;='Config_v6'!$B$51,W810="PASS",'Calibrare_Linii'!T12="VALIDATED",AND('Calibrare_Linii'!H12=C810,ISNUMBER('Calibrare_Linii'!J12),'Calibrare_Linii'!J12&lt;='Input_Meci'!G63)),"PASS",IF(X810="CANDIDATE","OOS PENDING","FAIL"))))</x:f>
      </x:c>
      <x:c r="Z810" s="2" t="str">
        <x:f>IF(B810="","",IF(I810&lt;&gt;"READY","",IF(OR(NOT(AND(J810="PASS",'Calibrare_Linii'!U12="VALID")),L810&gt;'Config_v6'!$B$13,W810="WATCH"),5,IF(Y810="PASS",1,MIN(5,MAX('Config_v6'!$B$42,U810)+IF(W810="PENALTY",1,0))))))</x:f>
      </x:c>
      <x:c r="AA810" s="2" t="str">
        <x:f>IF(B810="","",IF(I810&lt;&gt;"READY","NOT RELEASED",IF(Z810=5,"NO BET",IF(OR(AB810&lt;'Config_v6'!$B$16,V810&lt;'Config_v6'!$B$18),"WATCH",IF(Z810=1,"DEFENSIV",IF(Z810=2,"PRUDENT",IF(Z810=3,"MODERAT","RIDICAT")))))))</x:f>
      </x:c>
      <x:c r="AB810" s="10" t="str">
        <x:f>IF(N810="","",MIN(N810,1-S810))</x:f>
      </x:c>
      <x:c r="AC810" s="2" t="str">
        <x:f>IF(AD810&lt;&gt;1,"",COUNTIFS($Z$804:$Z$817,"&lt;"&amp;Z810,$AD$804:$AD$817,1)+COUNTIFS($Z$804:$Z$817,Z810,$AB$804:$AB$817,"&gt;"&amp;AB810,$AD$804:$AD$817,1)+COUNTIFS($Z$804:$Z$817,Z810,$AB$804:$AB$817,AB810,$V$804:$V$817,"&gt;"&amp;V810,$AD$804:$AD$817,1)+COUNTIFS($Z$804:Z810,Z810,$AB$804:AB810,AB810,$V$804:V810,V810,$AD$804:AD810,1))</x:f>
      </x:c>
      <x:c r="AD810" s="2" t="n">
        <x:f>IF(OR(AA810="DEFENSIV",AA810="PRUDENT",AA810="MODERAT",AA810="RIDICAT"),1,0)</x:f>
        <x:v>0</x:v>
      </x:c>
      <x:c r="AE810" s="2" t="str">
        <x:f>IF(AD810&lt;&gt;1,"NO",IF(W810="PASS","YES",IF(W810="OOS PENDING","CONDITIONAL","NO")))</x:f>
        <x:v>NO</x:v>
      </x:c>
      <x:c r="AF810" s="2" t="n">
        <x:f>IF(AND(AD810=1,AC810=1,E810="LIVE"),1,0)</x:f>
        <x:v>0</x:v>
      </x:c>
      <x:c r="AG810" s="2" t="str">
        <x:f>IF(AF810&lt;&gt;1,"",'Dashboard'!P83)</x:f>
      </x:c>
      <x:c r="AH810" s="2" t="str">
        <x:f>IF(B810="","",IF(J810&lt;&gt;"PASS",'Motor_Meciuri'!J63,IF('Calibrare_Linii'!U12&lt;&gt;"VALID","Parametri linie invalizi",IF(L810&gt;'Config_v6'!$B$13,"Dispersie peste limita",IF(W810="WATCH","Failure peste limita",IF(AB810&lt;'Config_v6'!$B$16,"P finala sub prag",IF(V810&lt;'Config_v6'!$B$18,"Confidence sub prag",IF(E810="REPLAY","Exemplu retrospectiv; exclus din Top LIVE",IF(Y810="PASS","DEFENSIV validat",IF(W810="OOS PENDING","Eligibil; calibrare linie in monitorizare","Eligibil"))))))))))</x:f>
      </x:c>
      <x:c r="AI810" s="2" t="str">
        <x:f>IF(B810="","",'Calibrare_Linii'!V12)</x:f>
      </x:c>
      <x:c r="AJ810" s="2" t="str">
        <x:f>IF(B810="","",IF(AND('Calibrare_Linii'!T12="VALIDATED",AND('Calibrare_Linii'!H12=C810,ISNUMBER('Calibrare_Linii'!J12),'Calibrare_Linii'!J12&lt;='Input_Meci'!G63)),"DEFENSIVE VALIDATED",IF(AND('Calibrare_Linii'!S12="VALIDATED",AND('Calibrare_Linii'!H12=C810,ISNUMBER('Calibrare_Linii'!J12),'Calibrare_Linii'!J12&lt;='Input_Meci'!G63)),"TAIL VALIDATED","OOS PENDING")))</x:f>
      </x:c>
      <x:c r="AK810" s="2" t="n">
        <x:f>IF(J810&lt;&gt;"PASS",0,'Motor_Meciuri'!BR63)</x:f>
        <x:v>0</x:v>
      </x:c>
      <x:c r="AL810" s="2" t="n">
        <x:f>IF(J810&lt;&gt;"PASS",0,'Motor_Meciuri'!BS63)</x:f>
        <x:v>0</x:v>
      </x:c>
      <x:c r="AM810" s="2" t="n">
        <x:f>IF(J810&lt;&gt;"PASS",0,'Motor_Meciuri'!BT63)</x:f>
        <x:v>0</x:v>
      </x:c>
      <x:c r="AN810" s="2" t="str">
        <x:f>IF(M810="","",MAX(0,'Motor_Meciuri'!BF63-IF(L810&gt;'Config_v6'!$B$12,'Config_v6'!$B$37,IF(L810&gt;'Config_v6'!$B$11,'Config_v6'!$B$36,0))))</x:f>
      </x:c>
    </x:row>
    <x:row r="811" ht="21" customHeight="1">
      <x:c r="A811" s="2" t="n">
        <x:v>58</x:v>
      </x:c>
      <x:c r="B811" s="2" t="str">
        <x:f>IF('Motor_Meciuri'!A63="","",'Motor_Meciuri'!A63)</x:f>
      </x:c>
      <x:c r="C811" s="2" t="str">
        <x:f>IF(B811="","",'Motor_Meciuri'!B63)</x:f>
      </x:c>
      <x:c r="D811" s="2" t="str">
        <x:f>IF(B811="","",'Motor_Meciuri'!D63)</x:f>
      </x:c>
      <x:c r="E811" s="2" t="str">
        <x:f>IF(B811="","",'Motor_Meciuri'!E63)</x:f>
      </x:c>
      <x:c r="F811" s="2" t="str">
        <x:v>U11,5</x:v>
      </x:c>
      <x:c r="G811" s="2" t="str">
        <x:v>UNDER</x:v>
      </x:c>
      <x:c r="H811" s="2" t="n">
        <x:v>11</x:v>
      </x:c>
      <x:c r="I811" s="2" t="str">
        <x:f>IF(B811="","",'Motor_Meciuri'!H63)</x:f>
      </x:c>
      <x:c r="J811" s="2" t="str">
        <x:f>IF(B811="","",'Motor_Meciuri'!I63)</x:f>
      </x:c>
      <x:c r="K811" s="11" t="str">
        <x:f>IF(J811&lt;&gt;"PASS","",'Motor_Meciuri'!BD63)</x:f>
      </x:c>
      <x:c r="L811" s="11" t="str">
        <x:f>IF(J811&lt;&gt;"PASS","",'Motor_Meciuri'!AU63)</x:f>
      </x:c>
      <x:c r="M811" s="10" t="str">
        <x:f>IF(NOT(AND(J811="PASS",'Calibrare_Linii'!U13="VALID")),"",'Distributie'!AI63)</x:f>
      </x:c>
      <x:c r="N811" s="10" t="str">
        <x:f>IF(M811="","",MAX(0.01,MIN(0.99,0.5+(M811-0.5)*'Motor_Meciuri'!BG63*'Calibrare_Linii'!D13)))</x:f>
      </x:c>
      <x:c r="O811" s="10" t="str">
        <x:f>IF(M811="","",1-M811)</x:f>
      </x:c>
      <x:c r="P811" s="10" t="str">
        <x:f>IF(OR(NOT(AND(J811="PASS",'Calibrare_Linii'!U13="VALID")),AK811=0),""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*('Istoric_Nativ'!$Q$6:$Q$405&gt;H811))/AK811)</x:f>
      </x:c>
      <x:c r="Q811" s="10" t="str">
        <x:f>IF(OR(NOT(AND(J811="PASS",'Calibrare_Linii'!U13="VALID")),AL811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M63)+((('Istoric_Nativ'!$E$6:$E$405='Input_Meci'!E63)+('Istoric_Nativ'!$F$6:$F$405='Input_Meci'!E63))&gt;0)*('Istoric_Nativ'!$D$6:$D$405&gt;='Motor_Meciuri'!BN63))&gt;0)*('Istoric_Nativ'!$Q$6:$Q$405&gt;H811))/AL811)</x:f>
      </x:c>
      <x:c r="R811" s="10" t="str">
        <x:f>IF(OR(NOT(AND(J811="PASS",'Calibrare_Linii'!U13="VALID")),AM811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O63)+((('Istoric_Nativ'!$E$6:$E$405='Input_Meci'!E63)+('Istoric_Nativ'!$F$6:$F$405='Input_Meci'!E63))&gt;0)*('Istoric_Nativ'!$D$6:$D$405&gt;='Motor_Meciuri'!BP63))&gt;0)*('Istoric_Nativ'!$Q$6:$Q$405&gt;H811))/AM811)</x:f>
      </x:c>
      <x:c r="S811" s="10" t="str">
        <x:f>IF(M811="","",MAX(O811,P811,Q811,R811))</x:f>
      </x:c>
      <x:c r="T811" s="11" t="str">
        <x:f>IF(M811="","",MIN(100,S811*100*'Config_v6'!$B$44+MIN(100,L811/'Config_v6'!$B$13*100)*'Config_v6'!$B$45+(100-'Motor_Meciuri'!BF63)*'Config_v6'!$B$46+'Motor_Meciuri'!BH63*100*'Config_v6'!$B$47))</x:f>
      </x:c>
      <x:c r="U811" s="2" t="str">
        <x:f>IF(T811="","",IF(T811&lt;=20,1,IF(T811&lt;=40,2,IF(T811&lt;=60,3,IF(T811&lt;=80,4,5)))))</x:f>
      </x:c>
      <x:c r="V811" s="2" t="str">
        <x:f>IF(M811="","",MAX(0,'Motor_Meciuri'!BF63-IF(W811="OOS PENDING",'Config_v6'!$B$35,0)-IF(L811&gt;'Config_v6'!$B$12,'Config_v6'!$B$37,IF(L811&gt;'Config_v6'!$B$11,'Config_v6'!$B$36,0))))</x:f>
      </x:c>
      <x:c r="W811" s="2" t="str">
        <x:f>IF(B811="","",IF(I811&lt;&gt;"READY","NOT RELEASED",IF(NOT(AND(J811="PASS",'Calibrare_Linii'!U13="VALID")),"INVALID",IF(NOT(AND('Calibrare_Linii'!S13="VALIDATED",AND('Calibrare_Linii'!H13=C811,ISNUMBER('Calibrare_Linii'!J13),'Calibrare_Linii'!J13&lt;='Input_Meci'!G63))),"OOS PENDING",IF(S811&lt;='Calibrare_Linii'!E13,"PASS",IF(S811&lt;='Calibrare_Linii'!F13,"PENALTY","WATCH"))))))</x:f>
      </x:c>
      <x:c r="X811" s="2" t="str">
        <x:f>IF(M811="","",IF(AND(AND(J811="PASS",'Calibrare_Linii'!U13="VALID"),'Motor_Meciuri'!K63=12,'Motor_Meciuri'!L63=12,'Motor_Meciuri'!M63="NO",'Motor_Meciuri'!BL63='Motor_Meciuri'!C63,AB811&gt;='Config_v6'!$B$50,AN811&gt;='Config_v6'!$B$51,T811&lt;='Config_v6'!$B$52,L811&lt;='Config_v6'!$B$53,ISNUMBER('Calibrare_Linii'!E13),S811&lt;='Calibrare_Linii'!E13,SUM(AK811:AM811)&gt;0),"CANDIDATE","NO"))</x:f>
      </x:c>
      <x:c r="Y811" s="2" t="str">
        <x:f>IF(B811="","",IF(I811&lt;&gt;"READY","NOT RELEASED",IF(AND(X811="CANDIDATE",V811&gt;='Config_v6'!$B$51,W811="PASS",'Calibrare_Linii'!T13="VALIDATED",AND('Calibrare_Linii'!H13=C811,ISNUMBER('Calibrare_Linii'!J13),'Calibrare_Linii'!J13&lt;='Input_Meci'!G63)),"PASS",IF(X811="CANDIDATE","OOS PENDING","FAIL"))))</x:f>
      </x:c>
      <x:c r="Z811" s="2" t="str">
        <x:f>IF(B811="","",IF(I811&lt;&gt;"READY","",IF(OR(NOT(AND(J811="PASS",'Calibrare_Linii'!U13="VALID")),L811&gt;'Config_v6'!$B$13,W811="WATCH"),5,IF(Y811="PASS",1,MIN(5,MAX('Config_v6'!$B$42,U811)+IF(W811="PENALTY",1,0))))))</x:f>
      </x:c>
      <x:c r="AA811" s="2" t="str">
        <x:f>IF(B811="","",IF(I811&lt;&gt;"READY","NOT RELEASED",IF(Z811=5,"NO BET",IF(OR(AB811&lt;'Config_v6'!$B$16,V811&lt;'Config_v6'!$B$18),"WATCH",IF(Z811=1,"DEFENSIV",IF(Z811=2,"PRUDENT",IF(Z811=3,"MODERAT","RIDICAT")))))))</x:f>
      </x:c>
      <x:c r="AB811" s="10" t="str">
        <x:f>IF(N811="","",MIN(N811,1-S811))</x:f>
      </x:c>
      <x:c r="AC811" s="2" t="str">
        <x:f>IF(AD811&lt;&gt;1,"",COUNTIFS($Z$804:$Z$817,"&lt;"&amp;Z811,$AD$804:$AD$817,1)+COUNTIFS($Z$804:$Z$817,Z811,$AB$804:$AB$817,"&gt;"&amp;AB811,$AD$804:$AD$817,1)+COUNTIFS($Z$804:$Z$817,Z811,$AB$804:$AB$817,AB811,$V$804:$V$817,"&gt;"&amp;V811,$AD$804:$AD$817,1)+COUNTIFS($Z$804:Z811,Z811,$AB$804:AB811,AB811,$V$804:V811,V811,$AD$804:AD811,1))</x:f>
      </x:c>
      <x:c r="AD811" s="2" t="n">
        <x:f>IF(OR(AA811="DEFENSIV",AA811="PRUDENT",AA811="MODERAT",AA811="RIDICAT"),1,0)</x:f>
        <x:v>0</x:v>
      </x:c>
      <x:c r="AE811" s="2" t="str">
        <x:f>IF(AD811&lt;&gt;1,"NO",IF(W811="PASS","YES",IF(W811="OOS PENDING","CONDITIONAL","NO")))</x:f>
        <x:v>NO</x:v>
      </x:c>
      <x:c r="AF811" s="2" t="n">
        <x:f>IF(AND(AD811=1,AC811=1,E811="LIVE"),1,0)</x:f>
        <x:v>0</x:v>
      </x:c>
      <x:c r="AG811" s="2" t="str">
        <x:f>IF(AF811&lt;&gt;1,"",'Dashboard'!P83)</x:f>
      </x:c>
      <x:c r="AH811" s="2" t="str">
        <x:f>IF(B811="","",IF(J811&lt;&gt;"PASS",'Motor_Meciuri'!J63,IF('Calibrare_Linii'!U13&lt;&gt;"VALID","Parametri linie invalizi",IF(L811&gt;'Config_v6'!$B$13,"Dispersie peste limita",IF(W811="WATCH","Failure peste limita",IF(AB811&lt;'Config_v6'!$B$16,"P finala sub prag",IF(V811&lt;'Config_v6'!$B$18,"Confidence sub prag",IF(E811="REPLAY","Exemplu retrospectiv; exclus din Top LIVE",IF(Y811="PASS","DEFENSIV validat",IF(W811="OOS PENDING","Eligibil; calibrare linie in monitorizare","Eligibil"))))))))))</x:f>
      </x:c>
      <x:c r="AI811" s="2" t="str">
        <x:f>IF(B811="","",'Calibrare_Linii'!V13)</x:f>
      </x:c>
      <x:c r="AJ811" s="2" t="str">
        <x:f>IF(B811="","",IF(AND('Calibrare_Linii'!T13="VALIDATED",AND('Calibrare_Linii'!H13=C811,ISNUMBER('Calibrare_Linii'!J13),'Calibrare_Linii'!J13&lt;='Input_Meci'!G63)),"DEFENSIVE VALIDATED",IF(AND('Calibrare_Linii'!S13="VALIDATED",AND('Calibrare_Linii'!H13=C811,ISNUMBER('Calibrare_Linii'!J13),'Calibrare_Linii'!J13&lt;='Input_Meci'!G63)),"TAIL VALIDATED","OOS PENDING")))</x:f>
      </x:c>
      <x:c r="AK811" s="2" t="n">
        <x:f>IF(J811&lt;&gt;"PASS",0,'Motor_Meciuri'!BR63)</x:f>
        <x:v>0</x:v>
      </x:c>
      <x:c r="AL811" s="2" t="n">
        <x:f>IF(J811&lt;&gt;"PASS",0,'Motor_Meciuri'!BS63)</x:f>
        <x:v>0</x:v>
      </x:c>
      <x:c r="AM811" s="2" t="n">
        <x:f>IF(J811&lt;&gt;"PASS",0,'Motor_Meciuri'!BT63)</x:f>
        <x:v>0</x:v>
      </x:c>
      <x:c r="AN811" s="2" t="str">
        <x:f>IF(M811="","",MAX(0,'Motor_Meciuri'!BF63-IF(L811&gt;'Config_v6'!$B$12,'Config_v6'!$B$37,IF(L811&gt;'Config_v6'!$B$11,'Config_v6'!$B$36,0))))</x:f>
      </x:c>
    </x:row>
    <x:row r="812" ht="21" customHeight="1">
      <x:c r="A812" s="2" t="n">
        <x:v>58</x:v>
      </x:c>
      <x:c r="B812" s="2" t="str">
        <x:f>IF('Motor_Meciuri'!A63="","",'Motor_Meciuri'!A63)</x:f>
      </x:c>
      <x:c r="C812" s="2" t="str">
        <x:f>IF(B812="","",'Motor_Meciuri'!B63)</x:f>
      </x:c>
      <x:c r="D812" s="2" t="str">
        <x:f>IF(B812="","",'Motor_Meciuri'!D63)</x:f>
      </x:c>
      <x:c r="E812" s="2" t="str">
        <x:f>IF(B812="","",'Motor_Meciuri'!E63)</x:f>
      </x:c>
      <x:c r="F812" s="2" t="str">
        <x:v>U12,5</x:v>
      </x:c>
      <x:c r="G812" s="2" t="str">
        <x:v>UNDER</x:v>
      </x:c>
      <x:c r="H812" s="2" t="n">
        <x:v>12</x:v>
      </x:c>
      <x:c r="I812" s="2" t="str">
        <x:f>IF(B812="","",'Motor_Meciuri'!H63)</x:f>
      </x:c>
      <x:c r="J812" s="2" t="str">
        <x:f>IF(B812="","",'Motor_Meciuri'!I63)</x:f>
      </x:c>
      <x:c r="K812" s="11" t="str">
        <x:f>IF(J812&lt;&gt;"PASS","",'Motor_Meciuri'!BD63)</x:f>
      </x:c>
      <x:c r="L812" s="11" t="str">
        <x:f>IF(J812&lt;&gt;"PASS","",'Motor_Meciuri'!AU63)</x:f>
      </x:c>
      <x:c r="M812" s="10" t="str">
        <x:f>IF(NOT(AND(J812="PASS",'Calibrare_Linii'!U14="VALID")),"",'Distributie'!AJ63)</x:f>
      </x:c>
      <x:c r="N812" s="10" t="str">
        <x:f>IF(M812="","",MAX(0.01,MIN(0.99,0.5+(M812-0.5)*'Motor_Meciuri'!BG63*'Calibrare_Linii'!D14)))</x:f>
      </x:c>
      <x:c r="O812" s="10" t="str">
        <x:f>IF(M812="","",1-M812)</x:f>
      </x:c>
      <x:c r="P812" s="10" t="str">
        <x:f>IF(OR(NOT(AND(J812="PASS",'Calibrare_Linii'!U14="VALID")),AK812=0),""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*('Istoric_Nativ'!$Q$6:$Q$405&gt;H812))/AK812)</x:f>
      </x:c>
      <x:c r="Q812" s="10" t="str">
        <x:f>IF(OR(NOT(AND(J812="PASS",'Calibrare_Linii'!U14="VALID")),AL812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M63)+((('Istoric_Nativ'!$E$6:$E$405='Input_Meci'!E63)+('Istoric_Nativ'!$F$6:$F$405='Input_Meci'!E63))&gt;0)*('Istoric_Nativ'!$D$6:$D$405&gt;='Motor_Meciuri'!BN63))&gt;0)*('Istoric_Nativ'!$Q$6:$Q$405&gt;H812))/AL812)</x:f>
      </x:c>
      <x:c r="R812" s="10" t="str">
        <x:f>IF(OR(NOT(AND(J812="PASS",'Calibrare_Linii'!U14="VALID")),AM812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O63)+((('Istoric_Nativ'!$E$6:$E$405='Input_Meci'!E63)+('Istoric_Nativ'!$F$6:$F$405='Input_Meci'!E63))&gt;0)*('Istoric_Nativ'!$D$6:$D$405&gt;='Motor_Meciuri'!BP63))&gt;0)*('Istoric_Nativ'!$Q$6:$Q$405&gt;H812))/AM812)</x:f>
      </x:c>
      <x:c r="S812" s="10" t="str">
        <x:f>IF(M812="","",MAX(O812,P812,Q812,R812))</x:f>
      </x:c>
      <x:c r="T812" s="11" t="str">
        <x:f>IF(M812="","",MIN(100,S812*100*'Config_v6'!$B$44+MIN(100,L812/'Config_v6'!$B$13*100)*'Config_v6'!$B$45+(100-'Motor_Meciuri'!BF63)*'Config_v6'!$B$46+'Motor_Meciuri'!BH63*100*'Config_v6'!$B$47))</x:f>
      </x:c>
      <x:c r="U812" s="2" t="str">
        <x:f>IF(T812="","",IF(T812&lt;=20,1,IF(T812&lt;=40,2,IF(T812&lt;=60,3,IF(T812&lt;=80,4,5)))))</x:f>
      </x:c>
      <x:c r="V812" s="2" t="str">
        <x:f>IF(M812="","",MAX(0,'Motor_Meciuri'!BF63-IF(W812="OOS PENDING",'Config_v6'!$B$35,0)-IF(L812&gt;'Config_v6'!$B$12,'Config_v6'!$B$37,IF(L812&gt;'Config_v6'!$B$11,'Config_v6'!$B$36,0))))</x:f>
      </x:c>
      <x:c r="W812" s="2" t="str">
        <x:f>IF(B812="","",IF(I812&lt;&gt;"READY","NOT RELEASED",IF(NOT(AND(J812="PASS",'Calibrare_Linii'!U14="VALID")),"INVALID",IF(NOT(AND('Calibrare_Linii'!S14="VALIDATED",AND('Calibrare_Linii'!H14=C812,ISNUMBER('Calibrare_Linii'!J14),'Calibrare_Linii'!J14&lt;='Input_Meci'!G63))),"OOS PENDING",IF(S812&lt;='Calibrare_Linii'!E14,"PASS",IF(S812&lt;='Calibrare_Linii'!F14,"PENALTY","WATCH"))))))</x:f>
      </x:c>
      <x:c r="X812" s="2" t="str">
        <x:f>IF(M812="","",IF(AND(AND(J812="PASS",'Calibrare_Linii'!U14="VALID"),'Motor_Meciuri'!K63=12,'Motor_Meciuri'!L63=12,'Motor_Meciuri'!M63="NO",'Motor_Meciuri'!BL63='Motor_Meciuri'!C63,AB812&gt;='Config_v6'!$B$50,AN812&gt;='Config_v6'!$B$51,T812&lt;='Config_v6'!$B$52,L812&lt;='Config_v6'!$B$53,ISNUMBER('Calibrare_Linii'!E14),S812&lt;='Calibrare_Linii'!E14,SUM(AK812:AM812)&gt;0),"CANDIDATE","NO"))</x:f>
      </x:c>
      <x:c r="Y812" s="2" t="str">
        <x:f>IF(B812="","",IF(I812&lt;&gt;"READY","NOT RELEASED",IF(AND(X812="CANDIDATE",V812&gt;='Config_v6'!$B$51,W812="PASS",'Calibrare_Linii'!T14="VALIDATED",AND('Calibrare_Linii'!H14=C812,ISNUMBER('Calibrare_Linii'!J14),'Calibrare_Linii'!J14&lt;='Input_Meci'!G63)),"PASS",IF(X812="CANDIDATE","OOS PENDING","FAIL"))))</x:f>
      </x:c>
      <x:c r="Z812" s="2" t="str">
        <x:f>IF(B812="","",IF(I812&lt;&gt;"READY","",IF(OR(NOT(AND(J812="PASS",'Calibrare_Linii'!U14="VALID")),L812&gt;'Config_v6'!$B$13,W812="WATCH"),5,IF(Y812="PASS",1,MIN(5,MAX('Config_v6'!$B$42,U812)+IF(W812="PENALTY",1,0))))))</x:f>
      </x:c>
      <x:c r="AA812" s="2" t="str">
        <x:f>IF(B812="","",IF(I812&lt;&gt;"READY","NOT RELEASED",IF(Z812=5,"NO BET",IF(OR(AB812&lt;'Config_v6'!$B$16,V812&lt;'Config_v6'!$B$18),"WATCH",IF(Z812=1,"DEFENSIV",IF(Z812=2,"PRUDENT",IF(Z812=3,"MODERAT","RIDICAT")))))))</x:f>
      </x:c>
      <x:c r="AB812" s="10" t="str">
        <x:f>IF(N812="","",MIN(N812,1-S812))</x:f>
      </x:c>
      <x:c r="AC812" s="2" t="str">
        <x:f>IF(AD812&lt;&gt;1,"",COUNTIFS($Z$804:$Z$817,"&lt;"&amp;Z812,$AD$804:$AD$817,1)+COUNTIFS($Z$804:$Z$817,Z812,$AB$804:$AB$817,"&gt;"&amp;AB812,$AD$804:$AD$817,1)+COUNTIFS($Z$804:$Z$817,Z812,$AB$804:$AB$817,AB812,$V$804:$V$817,"&gt;"&amp;V812,$AD$804:$AD$817,1)+COUNTIFS($Z$804:Z812,Z812,$AB$804:AB812,AB812,$V$804:V812,V812,$AD$804:AD812,1))</x:f>
      </x:c>
      <x:c r="AD812" s="2" t="n">
        <x:f>IF(OR(AA812="DEFENSIV",AA812="PRUDENT",AA812="MODERAT",AA812="RIDICAT"),1,0)</x:f>
        <x:v>0</x:v>
      </x:c>
      <x:c r="AE812" s="2" t="str">
        <x:f>IF(AD812&lt;&gt;1,"NO",IF(W812="PASS","YES",IF(W812="OOS PENDING","CONDITIONAL","NO")))</x:f>
        <x:v>NO</x:v>
      </x:c>
      <x:c r="AF812" s="2" t="n">
        <x:f>IF(AND(AD812=1,AC812=1,E812="LIVE"),1,0)</x:f>
        <x:v>0</x:v>
      </x:c>
      <x:c r="AG812" s="2" t="str">
        <x:f>IF(AF812&lt;&gt;1,"",'Dashboard'!P83)</x:f>
      </x:c>
      <x:c r="AH812" s="2" t="str">
        <x:f>IF(B812="","",IF(J812&lt;&gt;"PASS",'Motor_Meciuri'!J63,IF('Calibrare_Linii'!U14&lt;&gt;"VALID","Parametri linie invalizi",IF(L812&gt;'Config_v6'!$B$13,"Dispersie peste limita",IF(W812="WATCH","Failure peste limita",IF(AB812&lt;'Config_v6'!$B$16,"P finala sub prag",IF(V812&lt;'Config_v6'!$B$18,"Confidence sub prag",IF(E812="REPLAY","Exemplu retrospectiv; exclus din Top LIVE",IF(Y812="PASS","DEFENSIV validat",IF(W812="OOS PENDING","Eligibil; calibrare linie in monitorizare","Eligibil"))))))))))</x:f>
      </x:c>
      <x:c r="AI812" s="2" t="str">
        <x:f>IF(B812="","",'Calibrare_Linii'!V14)</x:f>
      </x:c>
      <x:c r="AJ812" s="2" t="str">
        <x:f>IF(B812="","",IF(AND('Calibrare_Linii'!T14="VALIDATED",AND('Calibrare_Linii'!H14=C812,ISNUMBER('Calibrare_Linii'!J14),'Calibrare_Linii'!J14&lt;='Input_Meci'!G63)),"DEFENSIVE VALIDATED",IF(AND('Calibrare_Linii'!S14="VALIDATED",AND('Calibrare_Linii'!H14=C812,ISNUMBER('Calibrare_Linii'!J14),'Calibrare_Linii'!J14&lt;='Input_Meci'!G63)),"TAIL VALIDATED","OOS PENDING")))</x:f>
      </x:c>
      <x:c r="AK812" s="2" t="n">
        <x:f>IF(J812&lt;&gt;"PASS",0,'Motor_Meciuri'!BR63)</x:f>
        <x:v>0</x:v>
      </x:c>
      <x:c r="AL812" s="2" t="n">
        <x:f>IF(J812&lt;&gt;"PASS",0,'Motor_Meciuri'!BS63)</x:f>
        <x:v>0</x:v>
      </x:c>
      <x:c r="AM812" s="2" t="n">
        <x:f>IF(J812&lt;&gt;"PASS",0,'Motor_Meciuri'!BT63)</x:f>
        <x:v>0</x:v>
      </x:c>
      <x:c r="AN812" s="2" t="str">
        <x:f>IF(M812="","",MAX(0,'Motor_Meciuri'!BF63-IF(L812&gt;'Config_v6'!$B$12,'Config_v6'!$B$37,IF(L812&gt;'Config_v6'!$B$11,'Config_v6'!$B$36,0))))</x:f>
      </x:c>
    </x:row>
    <x:row r="813" ht="21" customHeight="1">
      <x:c r="A813" s="2" t="n">
        <x:v>58</x:v>
      </x:c>
      <x:c r="B813" s="2" t="str">
        <x:f>IF('Motor_Meciuri'!A63="","",'Motor_Meciuri'!A63)</x:f>
      </x:c>
      <x:c r="C813" s="2" t="str">
        <x:f>IF(B813="","",'Motor_Meciuri'!B63)</x:f>
      </x:c>
      <x:c r="D813" s="2" t="str">
        <x:f>IF(B813="","",'Motor_Meciuri'!D63)</x:f>
      </x:c>
      <x:c r="E813" s="2" t="str">
        <x:f>IF(B813="","",'Motor_Meciuri'!E63)</x:f>
      </x:c>
      <x:c r="F813" s="2" t="str">
        <x:v>U13,5</x:v>
      </x:c>
      <x:c r="G813" s="2" t="str">
        <x:v>UNDER</x:v>
      </x:c>
      <x:c r="H813" s="2" t="n">
        <x:v>13</x:v>
      </x:c>
      <x:c r="I813" s="2" t="str">
        <x:f>IF(B813="","",'Motor_Meciuri'!H63)</x:f>
      </x:c>
      <x:c r="J813" s="2" t="str">
        <x:f>IF(B813="","",'Motor_Meciuri'!I63)</x:f>
      </x:c>
      <x:c r="K813" s="11" t="str">
        <x:f>IF(J813&lt;&gt;"PASS","",'Motor_Meciuri'!BD63)</x:f>
      </x:c>
      <x:c r="L813" s="11" t="str">
        <x:f>IF(J813&lt;&gt;"PASS","",'Motor_Meciuri'!AU63)</x:f>
      </x:c>
      <x:c r="M813" s="10" t="str">
        <x:f>IF(NOT(AND(J813="PASS",'Calibrare_Linii'!U15="VALID")),"",'Distributie'!AK63)</x:f>
      </x:c>
      <x:c r="N813" s="10" t="str">
        <x:f>IF(M813="","",MAX(0.01,MIN(0.99,0.5+(M813-0.5)*'Motor_Meciuri'!BG63*'Calibrare_Linii'!D15)))</x:f>
      </x:c>
      <x:c r="O813" s="10" t="str">
        <x:f>IF(M813="","",1-M813)</x:f>
      </x:c>
      <x:c r="P813" s="10" t="str">
        <x:f>IF(OR(NOT(AND(J813="PASS",'Calibrare_Linii'!U15="VALID")),AK813=0),""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*('Istoric_Nativ'!$Q$6:$Q$405&gt;H813))/AK813)</x:f>
      </x:c>
      <x:c r="Q813" s="10" t="str">
        <x:f>IF(OR(NOT(AND(J813="PASS",'Calibrare_Linii'!U15="VALID")),AL813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M63)+((('Istoric_Nativ'!$E$6:$E$405='Input_Meci'!E63)+('Istoric_Nativ'!$F$6:$F$405='Input_Meci'!E63))&gt;0)*('Istoric_Nativ'!$D$6:$D$405&gt;='Motor_Meciuri'!BN63))&gt;0)*('Istoric_Nativ'!$Q$6:$Q$405&gt;H813))/AL813)</x:f>
      </x:c>
      <x:c r="R813" s="10" t="str">
        <x:f>IF(OR(NOT(AND(J813="PASS",'Calibrare_Linii'!U15="VALID")),AM813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O63)+((('Istoric_Nativ'!$E$6:$E$405='Input_Meci'!E63)+('Istoric_Nativ'!$F$6:$F$405='Input_Meci'!E63))&gt;0)*('Istoric_Nativ'!$D$6:$D$405&gt;='Motor_Meciuri'!BP63))&gt;0)*('Istoric_Nativ'!$Q$6:$Q$405&gt;H813))/AM813)</x:f>
      </x:c>
      <x:c r="S813" s="10" t="str">
        <x:f>IF(M813="","",MAX(O813,P813,Q813,R813))</x:f>
      </x:c>
      <x:c r="T813" s="11" t="str">
        <x:f>IF(M813="","",MIN(100,S813*100*'Config_v6'!$B$44+MIN(100,L813/'Config_v6'!$B$13*100)*'Config_v6'!$B$45+(100-'Motor_Meciuri'!BF63)*'Config_v6'!$B$46+'Motor_Meciuri'!BH63*100*'Config_v6'!$B$47))</x:f>
      </x:c>
      <x:c r="U813" s="2" t="str">
        <x:f>IF(T813="","",IF(T813&lt;=20,1,IF(T813&lt;=40,2,IF(T813&lt;=60,3,IF(T813&lt;=80,4,5)))))</x:f>
      </x:c>
      <x:c r="V813" s="2" t="str">
        <x:f>IF(M813="","",MAX(0,'Motor_Meciuri'!BF63-IF(W813="OOS PENDING",'Config_v6'!$B$35,0)-IF(L813&gt;'Config_v6'!$B$12,'Config_v6'!$B$37,IF(L813&gt;'Config_v6'!$B$11,'Config_v6'!$B$36,0))))</x:f>
      </x:c>
      <x:c r="W813" s="2" t="str">
        <x:f>IF(B813="","",IF(I813&lt;&gt;"READY","NOT RELEASED",IF(NOT(AND(J813="PASS",'Calibrare_Linii'!U15="VALID")),"INVALID",IF(NOT(AND('Calibrare_Linii'!S15="VALIDATED",AND('Calibrare_Linii'!H15=C813,ISNUMBER('Calibrare_Linii'!J15),'Calibrare_Linii'!J15&lt;='Input_Meci'!G63))),"OOS PENDING",IF(S813&lt;='Calibrare_Linii'!E15,"PASS",IF(S813&lt;='Calibrare_Linii'!F15,"PENALTY","WATCH"))))))</x:f>
      </x:c>
      <x:c r="X813" s="2" t="str">
        <x:f>IF(M813="","",IF(AND(AND(J813="PASS",'Calibrare_Linii'!U15="VALID"),'Motor_Meciuri'!K63=12,'Motor_Meciuri'!L63=12,'Motor_Meciuri'!M63="NO",'Motor_Meciuri'!BL63='Motor_Meciuri'!C63,AB813&gt;='Config_v6'!$B$50,AN813&gt;='Config_v6'!$B$51,T813&lt;='Config_v6'!$B$52,L813&lt;='Config_v6'!$B$53,ISNUMBER('Calibrare_Linii'!E15),S813&lt;='Calibrare_Linii'!E15,SUM(AK813:AM813)&gt;0),"CANDIDATE","NO"))</x:f>
      </x:c>
      <x:c r="Y813" s="2" t="str">
        <x:f>IF(B813="","",IF(I813&lt;&gt;"READY","NOT RELEASED",IF(AND(X813="CANDIDATE",V813&gt;='Config_v6'!$B$51,W813="PASS",'Calibrare_Linii'!T15="VALIDATED",AND('Calibrare_Linii'!H15=C813,ISNUMBER('Calibrare_Linii'!J15),'Calibrare_Linii'!J15&lt;='Input_Meci'!G63)),"PASS",IF(X813="CANDIDATE","OOS PENDING","FAIL"))))</x:f>
      </x:c>
      <x:c r="Z813" s="2" t="str">
        <x:f>IF(B813="","",IF(I813&lt;&gt;"READY","",IF(OR(NOT(AND(J813="PASS",'Calibrare_Linii'!U15="VALID")),L813&gt;'Config_v6'!$B$13,W813="WATCH"),5,IF(Y813="PASS",1,MIN(5,MAX('Config_v6'!$B$42,U813)+IF(W813="PENALTY",1,0))))))</x:f>
      </x:c>
      <x:c r="AA813" s="2" t="str">
        <x:f>IF(B813="","",IF(I813&lt;&gt;"READY","NOT RELEASED",IF(Z813=5,"NO BET",IF(OR(AB813&lt;'Config_v6'!$B$16,V813&lt;'Config_v6'!$B$18),"WATCH",IF(Z813=1,"DEFENSIV",IF(Z813=2,"PRUDENT",IF(Z813=3,"MODERAT","RIDICAT")))))))</x:f>
      </x:c>
      <x:c r="AB813" s="10" t="str">
        <x:f>IF(N813="","",MIN(N813,1-S813))</x:f>
      </x:c>
      <x:c r="AC813" s="2" t="str">
        <x:f>IF(AD813&lt;&gt;1,"",COUNTIFS($Z$804:$Z$817,"&lt;"&amp;Z813,$AD$804:$AD$817,1)+COUNTIFS($Z$804:$Z$817,Z813,$AB$804:$AB$817,"&gt;"&amp;AB813,$AD$804:$AD$817,1)+COUNTIFS($Z$804:$Z$817,Z813,$AB$804:$AB$817,AB813,$V$804:$V$817,"&gt;"&amp;V813,$AD$804:$AD$817,1)+COUNTIFS($Z$804:Z813,Z813,$AB$804:AB813,AB813,$V$804:V813,V813,$AD$804:AD813,1))</x:f>
      </x:c>
      <x:c r="AD813" s="2" t="n">
        <x:f>IF(OR(AA813="DEFENSIV",AA813="PRUDENT",AA813="MODERAT",AA813="RIDICAT"),1,0)</x:f>
        <x:v>0</x:v>
      </x:c>
      <x:c r="AE813" s="2" t="str">
        <x:f>IF(AD813&lt;&gt;1,"NO",IF(W813="PASS","YES",IF(W813="OOS PENDING","CONDITIONAL","NO")))</x:f>
        <x:v>NO</x:v>
      </x:c>
      <x:c r="AF813" s="2" t="n">
        <x:f>IF(AND(AD813=1,AC813=1,E813="LIVE"),1,0)</x:f>
        <x:v>0</x:v>
      </x:c>
      <x:c r="AG813" s="2" t="str">
        <x:f>IF(AF813&lt;&gt;1,"",'Dashboard'!P83)</x:f>
      </x:c>
      <x:c r="AH813" s="2" t="str">
        <x:f>IF(B813="","",IF(J813&lt;&gt;"PASS",'Motor_Meciuri'!J63,IF('Calibrare_Linii'!U15&lt;&gt;"VALID","Parametri linie invalizi",IF(L813&gt;'Config_v6'!$B$13,"Dispersie peste limita",IF(W813="WATCH","Failure peste limita",IF(AB813&lt;'Config_v6'!$B$16,"P finala sub prag",IF(V813&lt;'Config_v6'!$B$18,"Confidence sub prag",IF(E813="REPLAY","Exemplu retrospectiv; exclus din Top LIVE",IF(Y813="PASS","DEFENSIV validat",IF(W813="OOS PENDING","Eligibil; calibrare linie in monitorizare","Eligibil"))))))))))</x:f>
      </x:c>
      <x:c r="AI813" s="2" t="str">
        <x:f>IF(B813="","",'Calibrare_Linii'!V15)</x:f>
      </x:c>
      <x:c r="AJ813" s="2" t="str">
        <x:f>IF(B813="","",IF(AND('Calibrare_Linii'!T15="VALIDATED",AND('Calibrare_Linii'!H15=C813,ISNUMBER('Calibrare_Linii'!J15),'Calibrare_Linii'!J15&lt;='Input_Meci'!G63)),"DEFENSIVE VALIDATED",IF(AND('Calibrare_Linii'!S15="VALIDATED",AND('Calibrare_Linii'!H15=C813,ISNUMBER('Calibrare_Linii'!J15),'Calibrare_Linii'!J15&lt;='Input_Meci'!G63)),"TAIL VALIDATED","OOS PENDING")))</x:f>
      </x:c>
      <x:c r="AK813" s="2" t="n">
        <x:f>IF(J813&lt;&gt;"PASS",0,'Motor_Meciuri'!BR63)</x:f>
        <x:v>0</x:v>
      </x:c>
      <x:c r="AL813" s="2" t="n">
        <x:f>IF(J813&lt;&gt;"PASS",0,'Motor_Meciuri'!BS63)</x:f>
        <x:v>0</x:v>
      </x:c>
      <x:c r="AM813" s="2" t="n">
        <x:f>IF(J813&lt;&gt;"PASS",0,'Motor_Meciuri'!BT63)</x:f>
        <x:v>0</x:v>
      </x:c>
      <x:c r="AN813" s="2" t="str">
        <x:f>IF(M813="","",MAX(0,'Motor_Meciuri'!BF63-IF(L813&gt;'Config_v6'!$B$12,'Config_v6'!$B$37,IF(L813&gt;'Config_v6'!$B$11,'Config_v6'!$B$36,0))))</x:f>
      </x:c>
    </x:row>
    <x:row r="814" ht="21" customHeight="1">
      <x:c r="A814" s="2" t="n">
        <x:v>58</x:v>
      </x:c>
      <x:c r="B814" s="2" t="str">
        <x:f>IF('Motor_Meciuri'!A63="","",'Motor_Meciuri'!A63)</x:f>
      </x:c>
      <x:c r="C814" s="2" t="str">
        <x:f>IF(B814="","",'Motor_Meciuri'!B63)</x:f>
      </x:c>
      <x:c r="D814" s="2" t="str">
        <x:f>IF(B814="","",'Motor_Meciuri'!D63)</x:f>
      </x:c>
      <x:c r="E814" s="2" t="str">
        <x:f>IF(B814="","",'Motor_Meciuri'!E63)</x:f>
      </x:c>
      <x:c r="F814" s="2" t="str">
        <x:v>U14,5</x:v>
      </x:c>
      <x:c r="G814" s="2" t="str">
        <x:v>UNDER</x:v>
      </x:c>
      <x:c r="H814" s="2" t="n">
        <x:v>14</x:v>
      </x:c>
      <x:c r="I814" s="2" t="str">
        <x:f>IF(B814="","",'Motor_Meciuri'!H63)</x:f>
      </x:c>
      <x:c r="J814" s="2" t="str">
        <x:f>IF(B814="","",'Motor_Meciuri'!I63)</x:f>
      </x:c>
      <x:c r="K814" s="11" t="str">
        <x:f>IF(J814&lt;&gt;"PASS","",'Motor_Meciuri'!BD63)</x:f>
      </x:c>
      <x:c r="L814" s="11" t="str">
        <x:f>IF(J814&lt;&gt;"PASS","",'Motor_Meciuri'!AU63)</x:f>
      </x:c>
      <x:c r="M814" s="10" t="str">
        <x:f>IF(NOT(AND(J814="PASS",'Calibrare_Linii'!U16="VALID")),"",'Distributie'!AL63)</x:f>
      </x:c>
      <x:c r="N814" s="10" t="str">
        <x:f>IF(M814="","",MAX(0.01,MIN(0.99,0.5+(M814-0.5)*'Motor_Meciuri'!BG63*'Calibrare_Linii'!D16)))</x:f>
      </x:c>
      <x:c r="O814" s="10" t="str">
        <x:f>IF(M814="","",1-M814)</x:f>
      </x:c>
      <x:c r="P814" s="10" t="str">
        <x:f>IF(OR(NOT(AND(J814="PASS",'Calibrare_Linii'!U16="VALID")),AK814=0),""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*('Istoric_Nativ'!$Q$6:$Q$405&gt;H814))/AK814)</x:f>
      </x:c>
      <x:c r="Q814" s="10" t="str">
        <x:f>IF(OR(NOT(AND(J814="PASS",'Calibrare_Linii'!U16="VALID")),AL814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M63)+((('Istoric_Nativ'!$E$6:$E$405='Input_Meci'!E63)+('Istoric_Nativ'!$F$6:$F$405='Input_Meci'!E63))&gt;0)*('Istoric_Nativ'!$D$6:$D$405&gt;='Motor_Meciuri'!BN63))&gt;0)*('Istoric_Nativ'!$Q$6:$Q$405&gt;H814))/AL814)</x:f>
      </x:c>
      <x:c r="R814" s="10" t="str">
        <x:f>IF(OR(NOT(AND(J814="PASS",'Calibrare_Linii'!U16="VALID")),AM814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O63)+((('Istoric_Nativ'!$E$6:$E$405='Input_Meci'!E63)+('Istoric_Nativ'!$F$6:$F$405='Input_Meci'!E63))&gt;0)*('Istoric_Nativ'!$D$6:$D$405&gt;='Motor_Meciuri'!BP63))&gt;0)*('Istoric_Nativ'!$Q$6:$Q$405&gt;H814))/AM814)</x:f>
      </x:c>
      <x:c r="S814" s="10" t="str">
        <x:f>IF(M814="","",MAX(O814,P814,Q814,R814))</x:f>
      </x:c>
      <x:c r="T814" s="11" t="str">
        <x:f>IF(M814="","",MIN(100,S814*100*'Config_v6'!$B$44+MIN(100,L814/'Config_v6'!$B$13*100)*'Config_v6'!$B$45+(100-'Motor_Meciuri'!BF63)*'Config_v6'!$B$46+'Motor_Meciuri'!BH63*100*'Config_v6'!$B$47))</x:f>
      </x:c>
      <x:c r="U814" s="2" t="str">
        <x:f>IF(T814="","",IF(T814&lt;=20,1,IF(T814&lt;=40,2,IF(T814&lt;=60,3,IF(T814&lt;=80,4,5)))))</x:f>
      </x:c>
      <x:c r="V814" s="2" t="str">
        <x:f>IF(M814="","",MAX(0,'Motor_Meciuri'!BF63-IF(W814="OOS PENDING",'Config_v6'!$B$35,0)-IF(L814&gt;'Config_v6'!$B$12,'Config_v6'!$B$37,IF(L814&gt;'Config_v6'!$B$11,'Config_v6'!$B$36,0))))</x:f>
      </x:c>
      <x:c r="W814" s="2" t="str">
        <x:f>IF(B814="","",IF(I814&lt;&gt;"READY","NOT RELEASED",IF(NOT(AND(J814="PASS",'Calibrare_Linii'!U16="VALID")),"INVALID",IF(NOT(AND('Calibrare_Linii'!S16="VALIDATED",AND('Calibrare_Linii'!H16=C814,ISNUMBER('Calibrare_Linii'!J16),'Calibrare_Linii'!J16&lt;='Input_Meci'!G63))),"OOS PENDING",IF(S814&lt;='Calibrare_Linii'!E16,"PASS",IF(S814&lt;='Calibrare_Linii'!F16,"PENALTY","WATCH"))))))</x:f>
      </x:c>
      <x:c r="X814" s="2" t="str">
        <x:f>IF(M814="","",IF(AND(AND(J814="PASS",'Calibrare_Linii'!U16="VALID"),'Motor_Meciuri'!K63=12,'Motor_Meciuri'!L63=12,'Motor_Meciuri'!M63="NO",'Motor_Meciuri'!BL63='Motor_Meciuri'!C63,AB814&gt;='Config_v6'!$B$50,AN814&gt;='Config_v6'!$B$51,T814&lt;='Config_v6'!$B$52,L814&lt;='Config_v6'!$B$53,ISNUMBER('Calibrare_Linii'!E16),S814&lt;='Calibrare_Linii'!E16,SUM(AK814:AM814)&gt;0),"CANDIDATE","NO"))</x:f>
      </x:c>
      <x:c r="Y814" s="2" t="str">
        <x:f>IF(B814="","",IF(I814&lt;&gt;"READY","NOT RELEASED",IF(AND(X814="CANDIDATE",V814&gt;='Config_v6'!$B$51,W814="PASS",'Calibrare_Linii'!T16="VALIDATED",AND('Calibrare_Linii'!H16=C814,ISNUMBER('Calibrare_Linii'!J16),'Calibrare_Linii'!J16&lt;='Input_Meci'!G63)),"PASS",IF(X814="CANDIDATE","OOS PENDING","FAIL"))))</x:f>
      </x:c>
      <x:c r="Z814" s="2" t="str">
        <x:f>IF(B814="","",IF(I814&lt;&gt;"READY","",IF(OR(NOT(AND(J814="PASS",'Calibrare_Linii'!U16="VALID")),L814&gt;'Config_v6'!$B$13,W814="WATCH"),5,IF(Y814="PASS",1,MIN(5,MAX('Config_v6'!$B$42,U814)+IF(W814="PENALTY",1,0))))))</x:f>
      </x:c>
      <x:c r="AA814" s="2" t="str">
        <x:f>IF(B814="","",IF(I814&lt;&gt;"READY","NOT RELEASED",IF(Z814=5,"NO BET",IF(OR(AB814&lt;'Config_v6'!$B$16,V814&lt;'Config_v6'!$B$18),"WATCH",IF(Z814=1,"DEFENSIV",IF(Z814=2,"PRUDENT",IF(Z814=3,"MODERAT","RIDICAT")))))))</x:f>
      </x:c>
      <x:c r="AB814" s="10" t="str">
        <x:f>IF(N814="","",MIN(N814,1-S814))</x:f>
      </x:c>
      <x:c r="AC814" s="2" t="str">
        <x:f>IF(AD814&lt;&gt;1,"",COUNTIFS($Z$804:$Z$817,"&lt;"&amp;Z814,$AD$804:$AD$817,1)+COUNTIFS($Z$804:$Z$817,Z814,$AB$804:$AB$817,"&gt;"&amp;AB814,$AD$804:$AD$817,1)+COUNTIFS($Z$804:$Z$817,Z814,$AB$804:$AB$817,AB814,$V$804:$V$817,"&gt;"&amp;V814,$AD$804:$AD$817,1)+COUNTIFS($Z$804:Z814,Z814,$AB$804:AB814,AB814,$V$804:V814,V814,$AD$804:AD814,1))</x:f>
      </x:c>
      <x:c r="AD814" s="2" t="n">
        <x:f>IF(OR(AA814="DEFENSIV",AA814="PRUDENT",AA814="MODERAT",AA814="RIDICAT"),1,0)</x:f>
        <x:v>0</x:v>
      </x:c>
      <x:c r="AE814" s="2" t="str">
        <x:f>IF(AD814&lt;&gt;1,"NO",IF(W814="PASS","YES",IF(W814="OOS PENDING","CONDITIONAL","NO")))</x:f>
        <x:v>NO</x:v>
      </x:c>
      <x:c r="AF814" s="2" t="n">
        <x:f>IF(AND(AD814=1,AC814=1,E814="LIVE"),1,0)</x:f>
        <x:v>0</x:v>
      </x:c>
      <x:c r="AG814" s="2" t="str">
        <x:f>IF(AF814&lt;&gt;1,"",'Dashboard'!P83)</x:f>
      </x:c>
      <x:c r="AH814" s="2" t="str">
        <x:f>IF(B814="","",IF(J814&lt;&gt;"PASS",'Motor_Meciuri'!J63,IF('Calibrare_Linii'!U16&lt;&gt;"VALID","Parametri linie invalizi",IF(L814&gt;'Config_v6'!$B$13,"Dispersie peste limita",IF(W814="WATCH","Failure peste limita",IF(AB814&lt;'Config_v6'!$B$16,"P finala sub prag",IF(V814&lt;'Config_v6'!$B$18,"Confidence sub prag",IF(E814="REPLAY","Exemplu retrospectiv; exclus din Top LIVE",IF(Y814="PASS","DEFENSIV validat",IF(W814="OOS PENDING","Eligibil; calibrare linie in monitorizare","Eligibil"))))))))))</x:f>
      </x:c>
      <x:c r="AI814" s="2" t="str">
        <x:f>IF(B814="","",'Calibrare_Linii'!V16)</x:f>
      </x:c>
      <x:c r="AJ814" s="2" t="str">
        <x:f>IF(B814="","",IF(AND('Calibrare_Linii'!T16="VALIDATED",AND('Calibrare_Linii'!H16=C814,ISNUMBER('Calibrare_Linii'!J16),'Calibrare_Linii'!J16&lt;='Input_Meci'!G63)),"DEFENSIVE VALIDATED",IF(AND('Calibrare_Linii'!S16="VALIDATED",AND('Calibrare_Linii'!H16=C814,ISNUMBER('Calibrare_Linii'!J16),'Calibrare_Linii'!J16&lt;='Input_Meci'!G63)),"TAIL VALIDATED","OOS PENDING")))</x:f>
      </x:c>
      <x:c r="AK814" s="2" t="n">
        <x:f>IF(J814&lt;&gt;"PASS",0,'Motor_Meciuri'!BR63)</x:f>
        <x:v>0</x:v>
      </x:c>
      <x:c r="AL814" s="2" t="n">
        <x:f>IF(J814&lt;&gt;"PASS",0,'Motor_Meciuri'!BS63)</x:f>
        <x:v>0</x:v>
      </x:c>
      <x:c r="AM814" s="2" t="n">
        <x:f>IF(J814&lt;&gt;"PASS",0,'Motor_Meciuri'!BT63)</x:f>
        <x:v>0</x:v>
      </x:c>
      <x:c r="AN814" s="2" t="str">
        <x:f>IF(M814="","",MAX(0,'Motor_Meciuri'!BF63-IF(L814&gt;'Config_v6'!$B$12,'Config_v6'!$B$37,IF(L814&gt;'Config_v6'!$B$11,'Config_v6'!$B$36,0))))</x:f>
      </x:c>
    </x:row>
    <x:row r="815" ht="21" customHeight="1">
      <x:c r="A815" s="2" t="n">
        <x:v>58</x:v>
      </x:c>
      <x:c r="B815" s="2" t="str">
        <x:f>IF('Motor_Meciuri'!A63="","",'Motor_Meciuri'!A63)</x:f>
      </x:c>
      <x:c r="C815" s="2" t="str">
        <x:f>IF(B815="","",'Motor_Meciuri'!B63)</x:f>
      </x:c>
      <x:c r="D815" s="2" t="str">
        <x:f>IF(B815="","",'Motor_Meciuri'!D63)</x:f>
      </x:c>
      <x:c r="E815" s="2" t="str">
        <x:f>IF(B815="","",'Motor_Meciuri'!E63)</x:f>
      </x:c>
      <x:c r="F815" s="2" t="str">
        <x:v>U15,5</x:v>
      </x:c>
      <x:c r="G815" s="2" t="str">
        <x:v>UNDER</x:v>
      </x:c>
      <x:c r="H815" s="2" t="n">
        <x:v>15</x:v>
      </x:c>
      <x:c r="I815" s="2" t="str">
        <x:f>IF(B815="","",'Motor_Meciuri'!H63)</x:f>
      </x:c>
      <x:c r="J815" s="2" t="str">
        <x:f>IF(B815="","",'Motor_Meciuri'!I63)</x:f>
      </x:c>
      <x:c r="K815" s="11" t="str">
        <x:f>IF(J815&lt;&gt;"PASS","",'Motor_Meciuri'!BD63)</x:f>
      </x:c>
      <x:c r="L815" s="11" t="str">
        <x:f>IF(J815&lt;&gt;"PASS","",'Motor_Meciuri'!AU63)</x:f>
      </x:c>
      <x:c r="M815" s="10" t="str">
        <x:f>IF(NOT(AND(J815="PASS",'Calibrare_Linii'!U17="VALID")),"",'Distributie'!AM63)</x:f>
      </x:c>
      <x:c r="N815" s="10" t="str">
        <x:f>IF(M815="","",MAX(0.01,MIN(0.99,0.5+(M815-0.5)*'Motor_Meciuri'!BG63*'Calibrare_Linii'!D17)))</x:f>
      </x:c>
      <x:c r="O815" s="10" t="str">
        <x:f>IF(M815="","",1-M815)</x:f>
      </x:c>
      <x:c r="P815" s="10" t="str">
        <x:f>IF(OR(NOT(AND(J815="PASS",'Calibrare_Linii'!U17="VALID")),AK815=0),""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*('Istoric_Nativ'!$Q$6:$Q$405&gt;H815))/AK815)</x:f>
      </x:c>
      <x:c r="Q815" s="10" t="str">
        <x:f>IF(OR(NOT(AND(J815="PASS",'Calibrare_Linii'!U17="VALID")),AL815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M63)+((('Istoric_Nativ'!$E$6:$E$405='Input_Meci'!E63)+('Istoric_Nativ'!$F$6:$F$405='Input_Meci'!E63))&gt;0)*('Istoric_Nativ'!$D$6:$D$405&gt;='Motor_Meciuri'!BN63))&gt;0)*('Istoric_Nativ'!$Q$6:$Q$405&gt;H815))/AL815)</x:f>
      </x:c>
      <x:c r="R815" s="10" t="str">
        <x:f>IF(OR(NOT(AND(J815="PASS",'Calibrare_Linii'!U17="VALID")),AM815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O63)+((('Istoric_Nativ'!$E$6:$E$405='Input_Meci'!E63)+('Istoric_Nativ'!$F$6:$F$405='Input_Meci'!E63))&gt;0)*('Istoric_Nativ'!$D$6:$D$405&gt;='Motor_Meciuri'!BP63))&gt;0)*('Istoric_Nativ'!$Q$6:$Q$405&gt;H815))/AM815)</x:f>
      </x:c>
      <x:c r="S815" s="10" t="str">
        <x:f>IF(M815="","",MAX(O815,P815,Q815,R815))</x:f>
      </x:c>
      <x:c r="T815" s="11" t="str">
        <x:f>IF(M815="","",MIN(100,S815*100*'Config_v6'!$B$44+MIN(100,L815/'Config_v6'!$B$13*100)*'Config_v6'!$B$45+(100-'Motor_Meciuri'!BF63)*'Config_v6'!$B$46+'Motor_Meciuri'!BH63*100*'Config_v6'!$B$47))</x:f>
      </x:c>
      <x:c r="U815" s="2" t="str">
        <x:f>IF(T815="","",IF(T815&lt;=20,1,IF(T815&lt;=40,2,IF(T815&lt;=60,3,IF(T815&lt;=80,4,5)))))</x:f>
      </x:c>
      <x:c r="V815" s="2" t="str">
        <x:f>IF(M815="","",MAX(0,'Motor_Meciuri'!BF63-IF(W815="OOS PENDING",'Config_v6'!$B$35,0)-IF(L815&gt;'Config_v6'!$B$12,'Config_v6'!$B$37,IF(L815&gt;'Config_v6'!$B$11,'Config_v6'!$B$36,0))))</x:f>
      </x:c>
      <x:c r="W815" s="2" t="str">
        <x:f>IF(B815="","",IF(I815&lt;&gt;"READY","NOT RELEASED",IF(NOT(AND(J815="PASS",'Calibrare_Linii'!U17="VALID")),"INVALID",IF(NOT(AND('Calibrare_Linii'!S17="VALIDATED",AND('Calibrare_Linii'!H17=C815,ISNUMBER('Calibrare_Linii'!J17),'Calibrare_Linii'!J17&lt;='Input_Meci'!G63))),"OOS PENDING",IF(S815&lt;='Calibrare_Linii'!E17,"PASS",IF(S815&lt;='Calibrare_Linii'!F17,"PENALTY","WATCH"))))))</x:f>
      </x:c>
      <x:c r="X815" s="2" t="str">
        <x:f>IF(M815="","",IF(AND(AND(J815="PASS",'Calibrare_Linii'!U17="VALID"),'Motor_Meciuri'!K63=12,'Motor_Meciuri'!L63=12,'Motor_Meciuri'!M63="NO",'Motor_Meciuri'!BL63='Motor_Meciuri'!C63,AB815&gt;='Config_v6'!$B$50,AN815&gt;='Config_v6'!$B$51,T815&lt;='Config_v6'!$B$52,L815&lt;='Config_v6'!$B$53,ISNUMBER('Calibrare_Linii'!E17),S815&lt;='Calibrare_Linii'!E17,SUM(AK815:AM815)&gt;0),"CANDIDATE","NO"))</x:f>
      </x:c>
      <x:c r="Y815" s="2" t="str">
        <x:f>IF(B815="","",IF(I815&lt;&gt;"READY","NOT RELEASED",IF(AND(X815="CANDIDATE",V815&gt;='Config_v6'!$B$51,W815="PASS",'Calibrare_Linii'!T17="VALIDATED",AND('Calibrare_Linii'!H17=C815,ISNUMBER('Calibrare_Linii'!J17),'Calibrare_Linii'!J17&lt;='Input_Meci'!G63)),"PASS",IF(X815="CANDIDATE","OOS PENDING","FAIL"))))</x:f>
      </x:c>
      <x:c r="Z815" s="2" t="str">
        <x:f>IF(B815="","",IF(I815&lt;&gt;"READY","",IF(OR(NOT(AND(J815="PASS",'Calibrare_Linii'!U17="VALID")),L815&gt;'Config_v6'!$B$13,W815="WATCH"),5,IF(Y815="PASS",1,MIN(5,MAX('Config_v6'!$B$42,U815)+IF(W815="PENALTY",1,0))))))</x:f>
      </x:c>
      <x:c r="AA815" s="2" t="str">
        <x:f>IF(B815="","",IF(I815&lt;&gt;"READY","NOT RELEASED",IF(Z815=5,"NO BET",IF(OR(AB815&lt;'Config_v6'!$B$16,V815&lt;'Config_v6'!$B$18),"WATCH",IF(Z815=1,"DEFENSIV",IF(Z815=2,"PRUDENT",IF(Z815=3,"MODERAT","RIDICAT")))))))</x:f>
      </x:c>
      <x:c r="AB815" s="10" t="str">
        <x:f>IF(N815="","",MIN(N815,1-S815))</x:f>
      </x:c>
      <x:c r="AC815" s="2" t="str">
        <x:f>IF(AD815&lt;&gt;1,"",COUNTIFS($Z$804:$Z$817,"&lt;"&amp;Z815,$AD$804:$AD$817,1)+COUNTIFS($Z$804:$Z$817,Z815,$AB$804:$AB$817,"&gt;"&amp;AB815,$AD$804:$AD$817,1)+COUNTIFS($Z$804:$Z$817,Z815,$AB$804:$AB$817,AB815,$V$804:$V$817,"&gt;"&amp;V815,$AD$804:$AD$817,1)+COUNTIFS($Z$804:Z815,Z815,$AB$804:AB815,AB815,$V$804:V815,V815,$AD$804:AD815,1))</x:f>
      </x:c>
      <x:c r="AD815" s="2" t="n">
        <x:f>IF(OR(AA815="DEFENSIV",AA815="PRUDENT",AA815="MODERAT",AA815="RIDICAT"),1,0)</x:f>
        <x:v>0</x:v>
      </x:c>
      <x:c r="AE815" s="2" t="str">
        <x:f>IF(AD815&lt;&gt;1,"NO",IF(W815="PASS","YES",IF(W815="OOS PENDING","CONDITIONAL","NO")))</x:f>
        <x:v>NO</x:v>
      </x:c>
      <x:c r="AF815" s="2" t="n">
        <x:f>IF(AND(AD815=1,AC815=1,E815="LIVE"),1,0)</x:f>
        <x:v>0</x:v>
      </x:c>
      <x:c r="AG815" s="2" t="str">
        <x:f>IF(AF815&lt;&gt;1,"",'Dashboard'!P83)</x:f>
      </x:c>
      <x:c r="AH815" s="2" t="str">
        <x:f>IF(B815="","",IF(J815&lt;&gt;"PASS",'Motor_Meciuri'!J63,IF('Calibrare_Linii'!U17&lt;&gt;"VALID","Parametri linie invalizi",IF(L815&gt;'Config_v6'!$B$13,"Dispersie peste limita",IF(W815="WATCH","Failure peste limita",IF(AB815&lt;'Config_v6'!$B$16,"P finala sub prag",IF(V815&lt;'Config_v6'!$B$18,"Confidence sub prag",IF(E815="REPLAY","Exemplu retrospectiv; exclus din Top LIVE",IF(Y815="PASS","DEFENSIV validat",IF(W815="OOS PENDING","Eligibil; calibrare linie in monitorizare","Eligibil"))))))))))</x:f>
      </x:c>
      <x:c r="AI815" s="2" t="str">
        <x:f>IF(B815="","",'Calibrare_Linii'!V17)</x:f>
      </x:c>
      <x:c r="AJ815" s="2" t="str">
        <x:f>IF(B815="","",IF(AND('Calibrare_Linii'!T17="VALIDATED",AND('Calibrare_Linii'!H17=C815,ISNUMBER('Calibrare_Linii'!J17),'Calibrare_Linii'!J17&lt;='Input_Meci'!G63)),"DEFENSIVE VALIDATED",IF(AND('Calibrare_Linii'!S17="VALIDATED",AND('Calibrare_Linii'!H17=C815,ISNUMBER('Calibrare_Linii'!J17),'Calibrare_Linii'!J17&lt;='Input_Meci'!G63)),"TAIL VALIDATED","OOS PENDING")))</x:f>
      </x:c>
      <x:c r="AK815" s="2" t="n">
        <x:f>IF(J815&lt;&gt;"PASS",0,'Motor_Meciuri'!BR63)</x:f>
        <x:v>0</x:v>
      </x:c>
      <x:c r="AL815" s="2" t="n">
        <x:f>IF(J815&lt;&gt;"PASS",0,'Motor_Meciuri'!BS63)</x:f>
        <x:v>0</x:v>
      </x:c>
      <x:c r="AM815" s="2" t="n">
        <x:f>IF(J815&lt;&gt;"PASS",0,'Motor_Meciuri'!BT63)</x:f>
        <x:v>0</x:v>
      </x:c>
      <x:c r="AN815" s="2" t="str">
        <x:f>IF(M815="","",MAX(0,'Motor_Meciuri'!BF63-IF(L815&gt;'Config_v6'!$B$12,'Config_v6'!$B$37,IF(L815&gt;'Config_v6'!$B$11,'Config_v6'!$B$36,0))))</x:f>
      </x:c>
    </x:row>
    <x:row r="816" ht="21" customHeight="1">
      <x:c r="A816" s="2" t="n">
        <x:v>58</x:v>
      </x:c>
      <x:c r="B816" s="2" t="str">
        <x:f>IF('Motor_Meciuri'!A63="","",'Motor_Meciuri'!A63)</x:f>
      </x:c>
      <x:c r="C816" s="2" t="str">
        <x:f>IF(B816="","",'Motor_Meciuri'!B63)</x:f>
      </x:c>
      <x:c r="D816" s="2" t="str">
        <x:f>IF(B816="","",'Motor_Meciuri'!D63)</x:f>
      </x:c>
      <x:c r="E816" s="2" t="str">
        <x:f>IF(B816="","",'Motor_Meciuri'!E63)</x:f>
      </x:c>
      <x:c r="F816" s="2" t="str">
        <x:v>U16,5</x:v>
      </x:c>
      <x:c r="G816" s="2" t="str">
        <x:v>UNDER</x:v>
      </x:c>
      <x:c r="H816" s="2" t="n">
        <x:v>16</x:v>
      </x:c>
      <x:c r="I816" s="2" t="str">
        <x:f>IF(B816="","",'Motor_Meciuri'!H63)</x:f>
      </x:c>
      <x:c r="J816" s="2" t="str">
        <x:f>IF(B816="","",'Motor_Meciuri'!I63)</x:f>
      </x:c>
      <x:c r="K816" s="11" t="str">
        <x:f>IF(J816&lt;&gt;"PASS","",'Motor_Meciuri'!BD63)</x:f>
      </x:c>
      <x:c r="L816" s="11" t="str">
        <x:f>IF(J816&lt;&gt;"PASS","",'Motor_Meciuri'!AU63)</x:f>
      </x:c>
      <x:c r="M816" s="10" t="str">
        <x:f>IF(NOT(AND(J816="PASS",'Calibrare_Linii'!U18="VALID")),"",'Distributie'!AN63)</x:f>
      </x:c>
      <x:c r="N816" s="10" t="str">
        <x:f>IF(M816="","",MAX(0.01,MIN(0.99,0.5+(M816-0.5)*'Motor_Meciuri'!BG63*'Calibrare_Linii'!D18)))</x:f>
      </x:c>
      <x:c r="O816" s="10" t="str">
        <x:f>IF(M816="","",1-M816)</x:f>
      </x:c>
      <x:c r="P816" s="10" t="str">
        <x:f>IF(OR(NOT(AND(J816="PASS",'Calibrare_Linii'!U18="VALID")),AK816=0),""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*('Istoric_Nativ'!$Q$6:$Q$405&gt;H816))/AK816)</x:f>
      </x:c>
      <x:c r="Q816" s="10" t="str">
        <x:f>IF(OR(NOT(AND(J816="PASS",'Calibrare_Linii'!U18="VALID")),AL816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M63)+((('Istoric_Nativ'!$E$6:$E$405='Input_Meci'!E63)+('Istoric_Nativ'!$F$6:$F$405='Input_Meci'!E63))&gt;0)*('Istoric_Nativ'!$D$6:$D$405&gt;='Motor_Meciuri'!BN63))&gt;0)*('Istoric_Nativ'!$Q$6:$Q$405&gt;H816))/AL816)</x:f>
      </x:c>
      <x:c r="R816" s="10" t="str">
        <x:f>IF(OR(NOT(AND(J816="PASS",'Calibrare_Linii'!U18="VALID")),AM816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O63)+((('Istoric_Nativ'!$E$6:$E$405='Input_Meci'!E63)+('Istoric_Nativ'!$F$6:$F$405='Input_Meci'!E63))&gt;0)*('Istoric_Nativ'!$D$6:$D$405&gt;='Motor_Meciuri'!BP63))&gt;0)*('Istoric_Nativ'!$Q$6:$Q$405&gt;H816))/AM816)</x:f>
      </x:c>
      <x:c r="S816" s="10" t="str">
        <x:f>IF(M816="","",MAX(O816,P816,Q816,R816))</x:f>
      </x:c>
      <x:c r="T816" s="11" t="str">
        <x:f>IF(M816="","",MIN(100,S816*100*'Config_v6'!$B$44+MIN(100,L816/'Config_v6'!$B$13*100)*'Config_v6'!$B$45+(100-'Motor_Meciuri'!BF63)*'Config_v6'!$B$46+'Motor_Meciuri'!BH63*100*'Config_v6'!$B$47))</x:f>
      </x:c>
      <x:c r="U816" s="2" t="str">
        <x:f>IF(T816="","",IF(T816&lt;=20,1,IF(T816&lt;=40,2,IF(T816&lt;=60,3,IF(T816&lt;=80,4,5)))))</x:f>
      </x:c>
      <x:c r="V816" s="2" t="str">
        <x:f>IF(M816="","",MAX(0,'Motor_Meciuri'!BF63-IF(W816="OOS PENDING",'Config_v6'!$B$35,0)-IF(L816&gt;'Config_v6'!$B$12,'Config_v6'!$B$37,IF(L816&gt;'Config_v6'!$B$11,'Config_v6'!$B$36,0))))</x:f>
      </x:c>
      <x:c r="W816" s="2" t="str">
        <x:f>IF(B816="","",IF(I816&lt;&gt;"READY","NOT RELEASED",IF(NOT(AND(J816="PASS",'Calibrare_Linii'!U18="VALID")),"INVALID",IF(NOT(AND('Calibrare_Linii'!S18="VALIDATED",AND('Calibrare_Linii'!H18=C816,ISNUMBER('Calibrare_Linii'!J18),'Calibrare_Linii'!J18&lt;='Input_Meci'!G63))),"OOS PENDING",IF(S816&lt;='Calibrare_Linii'!E18,"PASS",IF(S816&lt;='Calibrare_Linii'!F18,"PENALTY","WATCH"))))))</x:f>
      </x:c>
      <x:c r="X816" s="2" t="str">
        <x:f>IF(M816="","",IF(AND(AND(J816="PASS",'Calibrare_Linii'!U18="VALID"),'Motor_Meciuri'!K63=12,'Motor_Meciuri'!L63=12,'Motor_Meciuri'!M63="NO",'Motor_Meciuri'!BL63='Motor_Meciuri'!C63,AB816&gt;='Config_v6'!$B$50,AN816&gt;='Config_v6'!$B$51,T816&lt;='Config_v6'!$B$52,L816&lt;='Config_v6'!$B$53,ISNUMBER('Calibrare_Linii'!E18),S816&lt;='Calibrare_Linii'!E18,SUM(AK816:AM816)&gt;0),"CANDIDATE","NO"))</x:f>
      </x:c>
      <x:c r="Y816" s="2" t="str">
        <x:f>IF(B816="","",IF(I816&lt;&gt;"READY","NOT RELEASED",IF(AND(X816="CANDIDATE",V816&gt;='Config_v6'!$B$51,W816="PASS",'Calibrare_Linii'!T18="VALIDATED",AND('Calibrare_Linii'!H18=C816,ISNUMBER('Calibrare_Linii'!J18),'Calibrare_Linii'!J18&lt;='Input_Meci'!G63)),"PASS",IF(X816="CANDIDATE","OOS PENDING","FAIL"))))</x:f>
      </x:c>
      <x:c r="Z816" s="2" t="str">
        <x:f>IF(B816="","",IF(I816&lt;&gt;"READY","",IF(OR(NOT(AND(J816="PASS",'Calibrare_Linii'!U18="VALID")),L816&gt;'Config_v6'!$B$13,W816="WATCH"),5,IF(Y816="PASS",1,MIN(5,MAX('Config_v6'!$B$42,U816)+IF(W816="PENALTY",1,0))))))</x:f>
      </x:c>
      <x:c r="AA816" s="2" t="str">
        <x:f>IF(B816="","",IF(I816&lt;&gt;"READY","NOT RELEASED",IF(Z816=5,"NO BET",IF(OR(AB816&lt;'Config_v6'!$B$16,V816&lt;'Config_v6'!$B$18),"WATCH",IF(Z816=1,"DEFENSIV",IF(Z816=2,"PRUDENT",IF(Z816=3,"MODERAT","RIDICAT")))))))</x:f>
      </x:c>
      <x:c r="AB816" s="10" t="str">
        <x:f>IF(N816="","",MIN(N816,1-S816))</x:f>
      </x:c>
      <x:c r="AC816" s="2" t="str">
        <x:f>IF(AD816&lt;&gt;1,"",COUNTIFS($Z$804:$Z$817,"&lt;"&amp;Z816,$AD$804:$AD$817,1)+COUNTIFS($Z$804:$Z$817,Z816,$AB$804:$AB$817,"&gt;"&amp;AB816,$AD$804:$AD$817,1)+COUNTIFS($Z$804:$Z$817,Z816,$AB$804:$AB$817,AB816,$V$804:$V$817,"&gt;"&amp;V816,$AD$804:$AD$817,1)+COUNTIFS($Z$804:Z816,Z816,$AB$804:AB816,AB816,$V$804:V816,V816,$AD$804:AD816,1))</x:f>
      </x:c>
      <x:c r="AD816" s="2" t="n">
        <x:f>IF(OR(AA816="DEFENSIV",AA816="PRUDENT",AA816="MODERAT",AA816="RIDICAT"),1,0)</x:f>
        <x:v>0</x:v>
      </x:c>
      <x:c r="AE816" s="2" t="str">
        <x:f>IF(AD816&lt;&gt;1,"NO",IF(W816="PASS","YES",IF(W816="OOS PENDING","CONDITIONAL","NO")))</x:f>
        <x:v>NO</x:v>
      </x:c>
      <x:c r="AF816" s="2" t="n">
        <x:f>IF(AND(AD816=1,AC816=1,E816="LIVE"),1,0)</x:f>
        <x:v>0</x:v>
      </x:c>
      <x:c r="AG816" s="2" t="str">
        <x:f>IF(AF816&lt;&gt;1,"",'Dashboard'!P83)</x:f>
      </x:c>
      <x:c r="AH816" s="2" t="str">
        <x:f>IF(B816="","",IF(J816&lt;&gt;"PASS",'Motor_Meciuri'!J63,IF('Calibrare_Linii'!U18&lt;&gt;"VALID","Parametri linie invalizi",IF(L816&gt;'Config_v6'!$B$13,"Dispersie peste limita",IF(W816="WATCH","Failure peste limita",IF(AB816&lt;'Config_v6'!$B$16,"P finala sub prag",IF(V816&lt;'Config_v6'!$B$18,"Confidence sub prag",IF(E816="REPLAY","Exemplu retrospectiv; exclus din Top LIVE",IF(Y816="PASS","DEFENSIV validat",IF(W816="OOS PENDING","Eligibil; calibrare linie in monitorizare","Eligibil"))))))))))</x:f>
      </x:c>
      <x:c r="AI816" s="2" t="str">
        <x:f>IF(B816="","",'Calibrare_Linii'!V18)</x:f>
      </x:c>
      <x:c r="AJ816" s="2" t="str">
        <x:f>IF(B816="","",IF(AND('Calibrare_Linii'!T18="VALIDATED",AND('Calibrare_Linii'!H18=C816,ISNUMBER('Calibrare_Linii'!J18),'Calibrare_Linii'!J18&lt;='Input_Meci'!G63)),"DEFENSIVE VALIDATED",IF(AND('Calibrare_Linii'!S18="VALIDATED",AND('Calibrare_Linii'!H18=C816,ISNUMBER('Calibrare_Linii'!J18),'Calibrare_Linii'!J18&lt;='Input_Meci'!G63)),"TAIL VALIDATED","OOS PENDING")))</x:f>
      </x:c>
      <x:c r="AK816" s="2" t="n">
        <x:f>IF(J816&lt;&gt;"PASS",0,'Motor_Meciuri'!BR63)</x:f>
        <x:v>0</x:v>
      </x:c>
      <x:c r="AL816" s="2" t="n">
        <x:f>IF(J816&lt;&gt;"PASS",0,'Motor_Meciuri'!BS63)</x:f>
        <x:v>0</x:v>
      </x:c>
      <x:c r="AM816" s="2" t="n">
        <x:f>IF(J816&lt;&gt;"PASS",0,'Motor_Meciuri'!BT63)</x:f>
        <x:v>0</x:v>
      </x:c>
      <x:c r="AN816" s="2" t="str">
        <x:f>IF(M816="","",MAX(0,'Motor_Meciuri'!BF63-IF(L816&gt;'Config_v6'!$B$12,'Config_v6'!$B$37,IF(L816&gt;'Config_v6'!$B$11,'Config_v6'!$B$36,0))))</x:f>
      </x:c>
    </x:row>
    <x:row r="817" ht="21" customHeight="1">
      <x:c r="A817" s="2" t="n">
        <x:v>58</x:v>
      </x:c>
      <x:c r="B817" s="2" t="str">
        <x:f>IF('Motor_Meciuri'!A63="","",'Motor_Meciuri'!A63)</x:f>
      </x:c>
      <x:c r="C817" s="2" t="str">
        <x:f>IF(B817="","",'Motor_Meciuri'!B63)</x:f>
      </x:c>
      <x:c r="D817" s="2" t="str">
        <x:f>IF(B817="","",'Motor_Meciuri'!D63)</x:f>
      </x:c>
      <x:c r="E817" s="2" t="str">
        <x:f>IF(B817="","",'Motor_Meciuri'!E63)</x:f>
      </x:c>
      <x:c r="F817" s="2" t="str">
        <x:v>U17,5</x:v>
      </x:c>
      <x:c r="G817" s="2" t="str">
        <x:v>UNDER</x:v>
      </x:c>
      <x:c r="H817" s="2" t="n">
        <x:v>17</x:v>
      </x:c>
      <x:c r="I817" s="2" t="str">
        <x:f>IF(B817="","",'Motor_Meciuri'!H63)</x:f>
      </x:c>
      <x:c r="J817" s="2" t="str">
        <x:f>IF(B817="","",'Motor_Meciuri'!I63)</x:f>
      </x:c>
      <x:c r="K817" s="11" t="str">
        <x:f>IF(J817&lt;&gt;"PASS","",'Motor_Meciuri'!BD63)</x:f>
      </x:c>
      <x:c r="L817" s="11" t="str">
        <x:f>IF(J817&lt;&gt;"PASS","",'Motor_Meciuri'!AU63)</x:f>
      </x:c>
      <x:c r="M817" s="10" t="str">
        <x:f>IF(NOT(AND(J817="PASS",'Calibrare_Linii'!U19="VALID")),"",'Distributie'!AO63)</x:f>
      </x:c>
      <x:c r="N817" s="10" t="str">
        <x:f>IF(M817="","",MAX(0.01,MIN(0.99,0.5+(M817-0.5)*'Motor_Meciuri'!BG63*'Calibrare_Linii'!D19)))</x:f>
      </x:c>
      <x:c r="O817" s="10" t="str">
        <x:f>IF(M817="","",1-M817)</x:f>
      </x:c>
      <x:c r="P817" s="10" t="str">
        <x:f>IF(OR(NOT(AND(J817="PASS",'Calibrare_Linii'!U19="VALID")),AK817=0),""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*('Istoric_Nativ'!$Q$6:$Q$405&gt;H817))/AK817)</x:f>
      </x:c>
      <x:c r="Q817" s="10" t="str">
        <x:f>IF(OR(NOT(AND(J817="PASS",'Calibrare_Linii'!U19="VALID")),AL817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M63)+((('Istoric_Nativ'!$E$6:$E$405='Input_Meci'!E63)+('Istoric_Nativ'!$F$6:$F$405='Input_Meci'!E63))&gt;0)*('Istoric_Nativ'!$D$6:$D$405&gt;='Motor_Meciuri'!BN63))&gt;0)*('Istoric_Nativ'!$Q$6:$Q$405&gt;H817))/AL817)</x:f>
      </x:c>
      <x:c r="R817" s="10" t="str">
        <x:f>IF(OR(NOT(AND(J817="PASS",'Calibrare_Linii'!U19="VALID")),AM817=0),""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'Motor_Meciuri'!BO63)+((('Istoric_Nativ'!$E$6:$E$405='Input_Meci'!E63)+('Istoric_Nativ'!$F$6:$F$405='Input_Meci'!E63))&gt;0)*('Istoric_Nativ'!$D$6:$D$405&gt;='Motor_Meciuri'!BP63))&gt;0)*('Istoric_Nativ'!$Q$6:$Q$405&gt;H817))/AM817)</x:f>
      </x:c>
      <x:c r="S817" s="10" t="str">
        <x:f>IF(M817="","",MAX(O817,P817,Q817,R817))</x:f>
      </x:c>
      <x:c r="T817" s="11" t="str">
        <x:f>IF(M817="","",MIN(100,S817*100*'Config_v6'!$B$44+MIN(100,L817/'Config_v6'!$B$13*100)*'Config_v6'!$B$45+(100-'Motor_Meciuri'!BF63)*'Config_v6'!$B$46+'Motor_Meciuri'!BH63*100*'Config_v6'!$B$47))</x:f>
      </x:c>
      <x:c r="U817" s="2" t="str">
        <x:f>IF(T817="","",IF(T817&lt;=20,1,IF(T817&lt;=40,2,IF(T817&lt;=60,3,IF(T817&lt;=80,4,5)))))</x:f>
      </x:c>
      <x:c r="V817" s="2" t="str">
        <x:f>IF(M817="","",MAX(0,'Motor_Meciuri'!BF63-IF(W817="OOS PENDING",'Config_v6'!$B$35,0)-IF(L817&gt;'Config_v6'!$B$12,'Config_v6'!$B$37,IF(L817&gt;'Config_v6'!$B$11,'Config_v6'!$B$36,0))))</x:f>
      </x:c>
      <x:c r="W817" s="2" t="str">
        <x:f>IF(B817="","",IF(I817&lt;&gt;"READY","NOT RELEASED",IF(NOT(AND(J817="PASS",'Calibrare_Linii'!U19="VALID")),"INVALID",IF(NOT(AND('Calibrare_Linii'!S19="VALIDATED",AND('Calibrare_Linii'!H19=C817,ISNUMBER('Calibrare_Linii'!J19),'Calibrare_Linii'!J19&lt;='Input_Meci'!G63))),"OOS PENDING",IF(S817&lt;='Calibrare_Linii'!E19,"PASS",IF(S817&lt;='Calibrare_Linii'!F19,"PENALTY","WATCH"))))))</x:f>
      </x:c>
      <x:c r="X817" s="2" t="str">
        <x:f>IF(M817="","",IF(AND(AND(J817="PASS",'Calibrare_Linii'!U19="VALID"),'Motor_Meciuri'!K63=12,'Motor_Meciuri'!L63=12,'Motor_Meciuri'!M63="NO",'Motor_Meciuri'!BL63='Motor_Meciuri'!C63,AB817&gt;='Config_v6'!$B$50,AN817&gt;='Config_v6'!$B$51,T817&lt;='Config_v6'!$B$52,L817&lt;='Config_v6'!$B$53,ISNUMBER('Calibrare_Linii'!E19),S817&lt;='Calibrare_Linii'!E19,SUM(AK817:AM817)&gt;0),"CANDIDATE","NO"))</x:f>
      </x:c>
      <x:c r="Y817" s="2" t="str">
        <x:f>IF(B817="","",IF(I817&lt;&gt;"READY","NOT RELEASED",IF(AND(X817="CANDIDATE",V817&gt;='Config_v6'!$B$51,W817="PASS",'Calibrare_Linii'!T19="VALIDATED",AND('Calibrare_Linii'!H19=C817,ISNUMBER('Calibrare_Linii'!J19),'Calibrare_Linii'!J19&lt;='Input_Meci'!G63)),"PASS",IF(X817="CANDIDATE","OOS PENDING","FAIL"))))</x:f>
      </x:c>
      <x:c r="Z817" s="2" t="str">
        <x:f>IF(B817="","",IF(I817&lt;&gt;"READY","",IF(OR(NOT(AND(J817="PASS",'Calibrare_Linii'!U19="VALID")),L817&gt;'Config_v6'!$B$13,W817="WATCH"),5,IF(Y817="PASS",1,MIN(5,MAX('Config_v6'!$B$42,U817)+IF(W817="PENALTY",1,0))))))</x:f>
      </x:c>
      <x:c r="AA817" s="2" t="str">
        <x:f>IF(B817="","",IF(I817&lt;&gt;"READY","NOT RELEASED",IF(Z817=5,"NO BET",IF(OR(AB817&lt;'Config_v6'!$B$16,V817&lt;'Config_v6'!$B$18),"WATCH",IF(Z817=1,"DEFENSIV",IF(Z817=2,"PRUDENT",IF(Z817=3,"MODERAT","RIDICAT")))))))</x:f>
      </x:c>
      <x:c r="AB817" s="10" t="str">
        <x:f>IF(N817="","",MIN(N817,1-S817))</x:f>
      </x:c>
      <x:c r="AC817" s="2" t="str">
        <x:f>IF(AD817&lt;&gt;1,"",COUNTIFS($Z$804:$Z$817,"&lt;"&amp;Z817,$AD$804:$AD$817,1)+COUNTIFS($Z$804:$Z$817,Z817,$AB$804:$AB$817,"&gt;"&amp;AB817,$AD$804:$AD$817,1)+COUNTIFS($Z$804:$Z$817,Z817,$AB$804:$AB$817,AB817,$V$804:$V$817,"&gt;"&amp;V817,$AD$804:$AD$817,1)+COUNTIFS($Z$804:Z817,Z817,$AB$804:AB817,AB817,$V$804:V817,V817,$AD$804:AD817,1))</x:f>
      </x:c>
      <x:c r="AD817" s="2" t="n">
        <x:f>IF(OR(AA817="DEFENSIV",AA817="PRUDENT",AA817="MODERAT",AA817="RIDICAT"),1,0)</x:f>
        <x:v>0</x:v>
      </x:c>
      <x:c r="AE817" s="2" t="str">
        <x:f>IF(AD817&lt;&gt;1,"NO",IF(W817="PASS","YES",IF(W817="OOS PENDING","CONDITIONAL","NO")))</x:f>
        <x:v>NO</x:v>
      </x:c>
      <x:c r="AF817" s="2" t="n">
        <x:f>IF(AND(AD817=1,AC817=1,E817="LIVE"),1,0)</x:f>
        <x:v>0</x:v>
      </x:c>
      <x:c r="AG817" s="2" t="str">
        <x:f>IF(AF817&lt;&gt;1,"",'Dashboard'!P83)</x:f>
      </x:c>
      <x:c r="AH817" s="2" t="str">
        <x:f>IF(B817="","",IF(J817&lt;&gt;"PASS",'Motor_Meciuri'!J63,IF('Calibrare_Linii'!U19&lt;&gt;"VALID","Parametri linie invalizi",IF(L817&gt;'Config_v6'!$B$13,"Dispersie peste limita",IF(W817="WATCH","Failure peste limita",IF(AB817&lt;'Config_v6'!$B$16,"P finala sub prag",IF(V817&lt;'Config_v6'!$B$18,"Confidence sub prag",IF(E817="REPLAY","Exemplu retrospectiv; exclus din Top LIVE",IF(Y817="PASS","DEFENSIV validat",IF(W817="OOS PENDING","Eligibil; calibrare linie in monitorizare","Eligibil"))))))))))</x:f>
      </x:c>
      <x:c r="AI817" s="2" t="str">
        <x:f>IF(B817="","",'Calibrare_Linii'!V19)</x:f>
      </x:c>
      <x:c r="AJ817" s="2" t="str">
        <x:f>IF(B817="","",IF(AND('Calibrare_Linii'!T19="VALIDATED",AND('Calibrare_Linii'!H19=C817,ISNUMBER('Calibrare_Linii'!J19),'Calibrare_Linii'!J19&lt;='Input_Meci'!G63)),"DEFENSIVE VALIDATED",IF(AND('Calibrare_Linii'!S19="VALIDATED",AND('Calibrare_Linii'!H19=C817,ISNUMBER('Calibrare_Linii'!J19),'Calibrare_Linii'!J19&lt;='Input_Meci'!G63)),"TAIL VALIDATED","OOS PENDING")))</x:f>
      </x:c>
      <x:c r="AK817" s="2" t="n">
        <x:f>IF(J817&lt;&gt;"PASS",0,'Motor_Meciuri'!BR63)</x:f>
        <x:v>0</x:v>
      </x:c>
      <x:c r="AL817" s="2" t="n">
        <x:f>IF(J817&lt;&gt;"PASS",0,'Motor_Meciuri'!BS63)</x:f>
        <x:v>0</x:v>
      </x:c>
      <x:c r="AM817" s="2" t="n">
        <x:f>IF(J817&lt;&gt;"PASS",0,'Motor_Meciuri'!BT63)</x:f>
        <x:v>0</x:v>
      </x:c>
      <x:c r="AN817" s="2" t="str">
        <x:f>IF(M817="","",MAX(0,'Motor_Meciuri'!BF63-IF(L817&gt;'Config_v6'!$B$12,'Config_v6'!$B$37,IF(L817&gt;'Config_v6'!$B$11,'Config_v6'!$B$36,0))))</x:f>
      </x:c>
    </x:row>
    <x:row r="818" ht="21" customHeight="1">
      <x:c r="A818" s="2" t="n">
        <x:v>59</x:v>
      </x:c>
      <x:c r="B818" s="2" t="str">
        <x:f>IF('Motor_Meciuri'!A64="","",'Motor_Meciuri'!A64)</x:f>
      </x:c>
      <x:c r="C818" s="2" t="str">
        <x:f>IF(B818="","",'Motor_Meciuri'!B64)</x:f>
      </x:c>
      <x:c r="D818" s="2" t="str">
        <x:f>IF(B818="","",'Motor_Meciuri'!D64)</x:f>
      </x:c>
      <x:c r="E818" s="2" t="str">
        <x:f>IF(B818="","",'Motor_Meciuri'!E64)</x:f>
      </x:c>
      <x:c r="F818" s="2" t="str">
        <x:v>O3,5</x:v>
      </x:c>
      <x:c r="G818" s="2" t="str">
        <x:v>OVER</x:v>
      </x:c>
      <x:c r="H818" s="2" t="n">
        <x:v>3</x:v>
      </x:c>
      <x:c r="I818" s="2" t="str">
        <x:f>IF(B818="","",'Motor_Meciuri'!H64)</x:f>
      </x:c>
      <x:c r="J818" s="2" t="str">
        <x:f>IF(B818="","",'Motor_Meciuri'!I64)</x:f>
      </x:c>
      <x:c r="K818" s="11" t="str">
        <x:f>IF(J818&lt;&gt;"PASS","",'Motor_Meciuri'!BD64)</x:f>
      </x:c>
      <x:c r="L818" s="11" t="str">
        <x:f>IF(J818&lt;&gt;"PASS","",'Motor_Meciuri'!AU64)</x:f>
      </x:c>
      <x:c r="M818" s="10" t="str">
        <x:f>IF(NOT(AND(J818="PASS",'Calibrare_Linii'!U6="VALID")),"",1-'Distributie'!AA64)</x:f>
      </x:c>
      <x:c r="N818" s="10" t="str">
        <x:f>IF(M818="","",MAX(0.01,MIN(0.99,0.5+(M818-0.5)*'Motor_Meciuri'!BG64*'Calibrare_Linii'!D6)))</x:f>
      </x:c>
      <x:c r="O818" s="10" t="str">
        <x:f>IF(M818="","",1-M818)</x:f>
      </x:c>
      <x:c r="P818" s="10" t="str">
        <x:f>IF(OR(NOT(AND(J818="PASS",'Calibrare_Linii'!U6="VALID")),AK818=0),""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*('Istoric_Nativ'!$Q$6:$Q$405&lt;=H818))/AK818)</x:f>
      </x:c>
      <x:c r="Q818" s="10" t="str">
        <x:f>IF(OR(NOT(AND(J818="PASS",'Calibrare_Linii'!U6="VALID")),AL818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M64)+((('Istoric_Nativ'!$E$6:$E$405='Input_Meci'!E64)+('Istoric_Nativ'!$F$6:$F$405='Input_Meci'!E64))&gt;0)*('Istoric_Nativ'!$D$6:$D$405&gt;='Motor_Meciuri'!BN64))&gt;0)*('Istoric_Nativ'!$Q$6:$Q$405&lt;=H818))/AL818)</x:f>
      </x:c>
      <x:c r="R818" s="10" t="str">
        <x:f>IF(OR(NOT(AND(J818="PASS",'Calibrare_Linii'!U6="VALID")),AM818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O64)+((('Istoric_Nativ'!$E$6:$E$405='Input_Meci'!E64)+('Istoric_Nativ'!$F$6:$F$405='Input_Meci'!E64))&gt;0)*('Istoric_Nativ'!$D$6:$D$405&gt;='Motor_Meciuri'!BP64))&gt;0)*('Istoric_Nativ'!$Q$6:$Q$405&lt;=H818))/AM818)</x:f>
      </x:c>
      <x:c r="S818" s="10" t="str">
        <x:f>IF(M818="","",MAX(O818,P818,Q818,R818))</x:f>
      </x:c>
      <x:c r="T818" s="11" t="str">
        <x:f>IF(M818="","",MIN(100,S818*100*'Config_v6'!$B$44+MIN(100,L818/'Config_v6'!$B$13*100)*'Config_v6'!$B$45+(100-'Motor_Meciuri'!BF64)*'Config_v6'!$B$46+'Motor_Meciuri'!BH64*100*'Config_v6'!$B$47))</x:f>
      </x:c>
      <x:c r="U818" s="2" t="str">
        <x:f>IF(T818="","",IF(T818&lt;=20,1,IF(T818&lt;=40,2,IF(T818&lt;=60,3,IF(T818&lt;=80,4,5)))))</x:f>
      </x:c>
      <x:c r="V818" s="2" t="str">
        <x:f>IF(M818="","",MAX(0,'Motor_Meciuri'!BF64-IF(W818="OOS PENDING",'Config_v6'!$B$35,0)-IF(L818&gt;'Config_v6'!$B$12,'Config_v6'!$B$37,IF(L818&gt;'Config_v6'!$B$11,'Config_v6'!$B$36,0))))</x:f>
      </x:c>
      <x:c r="W818" s="2" t="str">
        <x:f>IF(B818="","",IF(I818&lt;&gt;"READY","NOT RELEASED",IF(NOT(AND(J818="PASS",'Calibrare_Linii'!U6="VALID")),"INVALID",IF(NOT(TRUE),"OOS PENDING",IF(S818&lt;=IF(AND('Calibrare_Linii'!S6="VALIDATED",AND('Calibrare_Linii'!H6=C818,ISNUMBER('Calibrare_Linii'!J6),'Calibrare_Linii'!J6&lt;='Input_Meci'!G64)),'Calibrare_Linii'!E6,'Config_v6'!$B$26),"PASS",IF(S818&lt;=IF(AND('Calibrare_Linii'!S6="VALIDATED",AND('Calibrare_Linii'!H6=C818,ISNUMBER('Calibrare_Linii'!J6),'Calibrare_Linii'!J6&lt;='Input_Meci'!G64)),'Calibrare_Linii'!F6,'Config_v6'!$C$26),"PENALTY","WATCH"))))))</x:f>
      </x:c>
      <x:c r="X818" s="2" t="str">
        <x:f>IF(M818="","",IF(AND(AND(J818="PASS",'Calibrare_Linii'!U6="VALID"),'Motor_Meciuri'!K64=12,'Motor_Meciuri'!L64=12,'Motor_Meciuri'!M64="NO",'Motor_Meciuri'!BL64='Motor_Meciuri'!C64,AB818&gt;='Config_v6'!$B$50,AN818&gt;='Config_v6'!$B$51,T818&lt;='Config_v6'!$B$52,L818&lt;='Config_v6'!$B$53,ISNUMBER('Calibrare_Linii'!E6),S818&lt;='Calibrare_Linii'!E6,SUM(AK818:AM818)&gt;0),"CANDIDATE","NO"))</x:f>
      </x:c>
      <x:c r="Y818" s="2" t="str">
        <x:f>IF(B818="","",IF(I818&lt;&gt;"READY","NOT RELEASED",IF(AND(X818="CANDIDATE",V818&gt;='Config_v6'!$B$51,W818="PASS",'Calibrare_Linii'!T6="VALIDATED",AND('Calibrare_Linii'!H6=C818,ISNUMBER('Calibrare_Linii'!J6),'Calibrare_Linii'!J6&lt;='Input_Meci'!G64)),"PASS",IF(X818="CANDIDATE","OOS PENDING","FAIL"))))</x:f>
      </x:c>
      <x:c r="Z818" s="2" t="str">
        <x:f>IF(B818="","",IF(I818&lt;&gt;"READY","",IF(OR(NOT(AND(J818="PASS",'Calibrare_Linii'!U6="VALID")),L818&gt;'Config_v6'!$B$13,W818="WATCH"),5,IF(Y818="PASS",1,MIN(5,MAX('Config_v6'!$B$42,U818)+IF(W818="PENALTY",1,0))))))</x:f>
      </x:c>
      <x:c r="AA818" s="2" t="str">
        <x:f>IF(B818="","",IF(I818&lt;&gt;"READY","NOT RELEASED",IF(Z818=5,"NO BET",IF(OR(AB818&lt;'Config_v6'!$B$16,V818&lt;'Config_v6'!$B$18),"WATCH",IF(Z818=1,"DEFENSIV",IF(Z818=2,"PRUDENT",IF(Z818=3,"MODERAT","RIDICAT")))))))</x:f>
      </x:c>
      <x:c r="AB818" s="10" t="str">
        <x:f>IF(N818="","",MIN(N818,1-S818))</x:f>
      </x:c>
      <x:c r="AC818" s="2" t="str">
        <x:f>IF(AD818&lt;&gt;1,"",COUNTIFS($Z$818:$Z$831,"&lt;"&amp;Z818,$AD$818:$AD$831,1)+COUNTIFS($Z$818:$Z$831,Z818,$AB$818:$AB$831,"&gt;"&amp;AB818,$AD$818:$AD$831,1)+COUNTIFS($Z$818:$Z$831,Z818,$AB$818:$AB$831,AB818,$V$818:$V$831,"&gt;"&amp;V818,$AD$818:$AD$831,1)+COUNTIFS($Z$818:Z818,Z818,$AB$818:AB818,AB818,$V$818:V818,V818,$AD$818:AD818,1))</x:f>
      </x:c>
      <x:c r="AD818" s="2" t="n">
        <x:f>IF(OR(AA818="DEFENSIV",AA818="PRUDENT",AA818="MODERAT",AA818="RIDICAT"),1,0)</x:f>
        <x:v>0</x:v>
      </x:c>
      <x:c r="AE818" s="2" t="str">
        <x:f>IF(AD818&lt;&gt;1,"NO",IF(W818="PASS","YES",IF(W818="OOS PENDING","CONDITIONAL","NO")))</x:f>
        <x:v>NO</x:v>
      </x:c>
      <x:c r="AF818" s="2" t="n">
        <x:f>IF(AND(AD818=1,AC818=1,E818="LIVE"),1,0)</x:f>
        <x:v>0</x:v>
      </x:c>
      <x:c r="AG818" s="2" t="str">
        <x:f>IF(AF818&lt;&gt;1,"",'Dashboard'!P84)</x:f>
      </x:c>
      <x:c r="AH818" s="2" t="str">
        <x:f>IF(B818="","",IF(J818&lt;&gt;"PASS",'Motor_Meciuri'!J64,IF('Calibrare_Linii'!U6&lt;&gt;"VALID","Parametri linie invalizi",IF(L818&gt;'Config_v6'!$B$13,"Dispersie peste limita",IF(W818="WATCH","Failure peste limita",IF(AB818&lt;'Config_v6'!$B$16,"P finala sub prag",IF(V818&lt;'Config_v6'!$B$18,"Confidence sub prag",IF(E818="REPLAY","Exemplu retrospectiv; exclus din Top LIVE",IF(Y818="PASS","DEFENSIV validat",IF(W818="OOS PENDING","Eligibil; calibrare linie in monitorizare","Eligibil"))))))))))</x:f>
      </x:c>
      <x:c r="AI818" s="2" t="str">
        <x:f>IF(B818="","",'Calibrare_Linii'!V6)</x:f>
      </x:c>
      <x:c r="AJ818" s="2" t="str">
        <x:f>IF(B818="","",IF(AND('Calibrare_Linii'!T6="VALIDATED",AND('Calibrare_Linii'!H6=C818,ISNUMBER('Calibrare_Linii'!J6),'Calibrare_Linii'!J6&lt;='Input_Meci'!G64)),"DEFENSIVE VALIDATED",IF(AND('Calibrare_Linii'!S6="VALIDATED",AND('Calibrare_Linii'!H6=C818,ISNUMBER('Calibrare_Linii'!J6),'Calibrare_Linii'!J6&lt;='Input_Meci'!G64)),"TAIL VALIDATED","OOS PENDING")))</x:f>
      </x:c>
      <x:c r="AK818" s="2" t="n">
        <x:f>IF(J818&lt;&gt;"PASS",0,'Motor_Meciuri'!BR64)</x:f>
        <x:v>0</x:v>
      </x:c>
      <x:c r="AL818" s="2" t="n">
        <x:f>IF(J818&lt;&gt;"PASS",0,'Motor_Meciuri'!BS64)</x:f>
        <x:v>0</x:v>
      </x:c>
      <x:c r="AM818" s="2" t="n">
        <x:f>IF(J818&lt;&gt;"PASS",0,'Motor_Meciuri'!BT64)</x:f>
        <x:v>0</x:v>
      </x:c>
      <x:c r="AN818" s="2" t="str">
        <x:f>IF(M818="","",MAX(0,'Motor_Meciuri'!BF64-IF(L818&gt;'Config_v6'!$B$12,'Config_v6'!$B$37,IF(L818&gt;'Config_v6'!$B$11,'Config_v6'!$B$36,0))))</x:f>
      </x:c>
    </x:row>
    <x:row r="819" ht="21" customHeight="1">
      <x:c r="A819" s="2" t="n">
        <x:v>59</x:v>
      </x:c>
      <x:c r="B819" s="2" t="str">
        <x:f>IF('Motor_Meciuri'!A64="","",'Motor_Meciuri'!A64)</x:f>
      </x:c>
      <x:c r="C819" s="2" t="str">
        <x:f>IF(B819="","",'Motor_Meciuri'!B64)</x:f>
      </x:c>
      <x:c r="D819" s="2" t="str">
        <x:f>IF(B819="","",'Motor_Meciuri'!D64)</x:f>
      </x:c>
      <x:c r="E819" s="2" t="str">
        <x:f>IF(B819="","",'Motor_Meciuri'!E64)</x:f>
      </x:c>
      <x:c r="F819" s="2" t="str">
        <x:v>O4,5</x:v>
      </x:c>
      <x:c r="G819" s="2" t="str">
        <x:v>OVER</x:v>
      </x:c>
      <x:c r="H819" s="2" t="n">
        <x:v>4</x:v>
      </x:c>
      <x:c r="I819" s="2" t="str">
        <x:f>IF(B819="","",'Motor_Meciuri'!H64)</x:f>
      </x:c>
      <x:c r="J819" s="2" t="str">
        <x:f>IF(B819="","",'Motor_Meciuri'!I64)</x:f>
      </x:c>
      <x:c r="K819" s="11" t="str">
        <x:f>IF(J819&lt;&gt;"PASS","",'Motor_Meciuri'!BD64)</x:f>
      </x:c>
      <x:c r="L819" s="11" t="str">
        <x:f>IF(J819&lt;&gt;"PASS","",'Motor_Meciuri'!AU64)</x:f>
      </x:c>
      <x:c r="M819" s="10" t="str">
        <x:f>IF(NOT(AND(J819="PASS",'Calibrare_Linii'!U7="VALID")),"",1-'Distributie'!AB64)</x:f>
      </x:c>
      <x:c r="N819" s="10" t="str">
        <x:f>IF(M819="","",MAX(0.01,MIN(0.99,0.5+(M819-0.5)*'Motor_Meciuri'!BG64*'Calibrare_Linii'!D7)))</x:f>
      </x:c>
      <x:c r="O819" s="10" t="str">
        <x:f>IF(M819="","",1-M819)</x:f>
      </x:c>
      <x:c r="P819" s="10" t="str">
        <x:f>IF(OR(NOT(AND(J819="PASS",'Calibrare_Linii'!U7="VALID")),AK819=0),""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*('Istoric_Nativ'!$Q$6:$Q$405&lt;=H819))/AK819)</x:f>
      </x:c>
      <x:c r="Q819" s="10" t="str">
        <x:f>IF(OR(NOT(AND(J819="PASS",'Calibrare_Linii'!U7="VALID")),AL819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M64)+((('Istoric_Nativ'!$E$6:$E$405='Input_Meci'!E64)+('Istoric_Nativ'!$F$6:$F$405='Input_Meci'!E64))&gt;0)*('Istoric_Nativ'!$D$6:$D$405&gt;='Motor_Meciuri'!BN64))&gt;0)*('Istoric_Nativ'!$Q$6:$Q$405&lt;=H819))/AL819)</x:f>
      </x:c>
      <x:c r="R819" s="10" t="str">
        <x:f>IF(OR(NOT(AND(J819="PASS",'Calibrare_Linii'!U7="VALID")),AM819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O64)+((('Istoric_Nativ'!$E$6:$E$405='Input_Meci'!E64)+('Istoric_Nativ'!$F$6:$F$405='Input_Meci'!E64))&gt;0)*('Istoric_Nativ'!$D$6:$D$405&gt;='Motor_Meciuri'!BP64))&gt;0)*('Istoric_Nativ'!$Q$6:$Q$405&lt;=H819))/AM819)</x:f>
      </x:c>
      <x:c r="S819" s="10" t="str">
        <x:f>IF(M819="","",MAX(O819,P819,Q819,R819))</x:f>
      </x:c>
      <x:c r="T819" s="11" t="str">
        <x:f>IF(M819="","",MIN(100,S819*100*'Config_v6'!$B$44+MIN(100,L819/'Config_v6'!$B$13*100)*'Config_v6'!$B$45+(100-'Motor_Meciuri'!BF64)*'Config_v6'!$B$46+'Motor_Meciuri'!BH64*100*'Config_v6'!$B$47))</x:f>
      </x:c>
      <x:c r="U819" s="2" t="str">
        <x:f>IF(T819="","",IF(T819&lt;=20,1,IF(T819&lt;=40,2,IF(T819&lt;=60,3,IF(T819&lt;=80,4,5)))))</x:f>
      </x:c>
      <x:c r="V819" s="2" t="str">
        <x:f>IF(M819="","",MAX(0,'Motor_Meciuri'!BF64-IF(W819="OOS PENDING",'Config_v6'!$B$35,0)-IF(L819&gt;'Config_v6'!$B$12,'Config_v6'!$B$37,IF(L819&gt;'Config_v6'!$B$11,'Config_v6'!$B$36,0))))</x:f>
      </x:c>
      <x:c r="W819" s="2" t="str">
        <x:f>IF(B819="","",IF(I819&lt;&gt;"READY","NOT RELEASED",IF(NOT(AND(J819="PASS",'Calibrare_Linii'!U7="VALID")),"INVALID",IF(NOT(AND('Calibrare_Linii'!S7="VALIDATED",AND('Calibrare_Linii'!H7=C819,ISNUMBER('Calibrare_Linii'!J7),'Calibrare_Linii'!J7&lt;='Input_Meci'!G64))),"OOS PENDING",IF(S819&lt;='Calibrare_Linii'!E7,"PASS",IF(S819&lt;='Calibrare_Linii'!F7,"PENALTY","WATCH"))))))</x:f>
      </x:c>
      <x:c r="X819" s="2" t="str">
        <x:f>IF(M819="","",IF(AND(AND(J819="PASS",'Calibrare_Linii'!U7="VALID"),'Motor_Meciuri'!K64=12,'Motor_Meciuri'!L64=12,'Motor_Meciuri'!M64="NO",'Motor_Meciuri'!BL64='Motor_Meciuri'!C64,AB819&gt;='Config_v6'!$B$50,AN819&gt;='Config_v6'!$B$51,T819&lt;='Config_v6'!$B$52,L819&lt;='Config_v6'!$B$53,ISNUMBER('Calibrare_Linii'!E7),S819&lt;='Calibrare_Linii'!E7,SUM(AK819:AM819)&gt;0),"CANDIDATE","NO"))</x:f>
      </x:c>
      <x:c r="Y819" s="2" t="str">
        <x:f>IF(B819="","",IF(I819&lt;&gt;"READY","NOT RELEASED",IF(AND(X819="CANDIDATE",V819&gt;='Config_v6'!$B$51,W819="PASS",'Calibrare_Linii'!T7="VALIDATED",AND('Calibrare_Linii'!H7=C819,ISNUMBER('Calibrare_Linii'!J7),'Calibrare_Linii'!J7&lt;='Input_Meci'!G64)),"PASS",IF(X819="CANDIDATE","OOS PENDING","FAIL"))))</x:f>
      </x:c>
      <x:c r="Z819" s="2" t="str">
        <x:f>IF(B819="","",IF(I819&lt;&gt;"READY","",IF(OR(NOT(AND(J819="PASS",'Calibrare_Linii'!U7="VALID")),L819&gt;'Config_v6'!$B$13,W819="WATCH"),5,IF(Y819="PASS",1,MIN(5,MAX('Config_v6'!$B$42,U819)+IF(W819="PENALTY",1,0))))))</x:f>
      </x:c>
      <x:c r="AA819" s="2" t="str">
        <x:f>IF(B819="","",IF(I819&lt;&gt;"READY","NOT RELEASED",IF(Z819=5,"NO BET",IF(OR(AB819&lt;'Config_v6'!$B$16,V819&lt;'Config_v6'!$B$18),"WATCH",IF(Z819=1,"DEFENSIV",IF(Z819=2,"PRUDENT",IF(Z819=3,"MODERAT","RIDICAT")))))))</x:f>
      </x:c>
      <x:c r="AB819" s="10" t="str">
        <x:f>IF(N819="","",MIN(N819,1-S819))</x:f>
      </x:c>
      <x:c r="AC819" s="2" t="str">
        <x:f>IF(AD819&lt;&gt;1,"",COUNTIFS($Z$818:$Z$831,"&lt;"&amp;Z819,$AD$818:$AD$831,1)+COUNTIFS($Z$818:$Z$831,Z819,$AB$818:$AB$831,"&gt;"&amp;AB819,$AD$818:$AD$831,1)+COUNTIFS($Z$818:$Z$831,Z819,$AB$818:$AB$831,AB819,$V$818:$V$831,"&gt;"&amp;V819,$AD$818:$AD$831,1)+COUNTIFS($Z$818:Z819,Z819,$AB$818:AB819,AB819,$V$818:V819,V819,$AD$818:AD819,1))</x:f>
      </x:c>
      <x:c r="AD819" s="2" t="n">
        <x:f>IF(OR(AA819="DEFENSIV",AA819="PRUDENT",AA819="MODERAT",AA819="RIDICAT"),1,0)</x:f>
        <x:v>0</x:v>
      </x:c>
      <x:c r="AE819" s="2" t="str">
        <x:f>IF(AD819&lt;&gt;1,"NO",IF(W819="PASS","YES",IF(W819="OOS PENDING","CONDITIONAL","NO")))</x:f>
        <x:v>NO</x:v>
      </x:c>
      <x:c r="AF819" s="2" t="n">
        <x:f>IF(AND(AD819=1,AC819=1,E819="LIVE"),1,0)</x:f>
        <x:v>0</x:v>
      </x:c>
      <x:c r="AG819" s="2" t="str">
        <x:f>IF(AF819&lt;&gt;1,"",'Dashboard'!P84)</x:f>
      </x:c>
      <x:c r="AH819" s="2" t="str">
        <x:f>IF(B819="","",IF(J819&lt;&gt;"PASS",'Motor_Meciuri'!J64,IF('Calibrare_Linii'!U7&lt;&gt;"VALID","Parametri linie invalizi",IF(L819&gt;'Config_v6'!$B$13,"Dispersie peste limita",IF(W819="WATCH","Failure peste limita",IF(AB819&lt;'Config_v6'!$B$16,"P finala sub prag",IF(V819&lt;'Config_v6'!$B$18,"Confidence sub prag",IF(E819="REPLAY","Exemplu retrospectiv; exclus din Top LIVE",IF(Y819="PASS","DEFENSIV validat",IF(W819="OOS PENDING","Eligibil; calibrare linie in monitorizare","Eligibil"))))))))))</x:f>
      </x:c>
      <x:c r="AI819" s="2" t="str">
        <x:f>IF(B819="","",'Calibrare_Linii'!V7)</x:f>
      </x:c>
      <x:c r="AJ819" s="2" t="str">
        <x:f>IF(B819="","",IF(AND('Calibrare_Linii'!T7="VALIDATED",AND('Calibrare_Linii'!H7=C819,ISNUMBER('Calibrare_Linii'!J7),'Calibrare_Linii'!J7&lt;='Input_Meci'!G64)),"DEFENSIVE VALIDATED",IF(AND('Calibrare_Linii'!S7="VALIDATED",AND('Calibrare_Linii'!H7=C819,ISNUMBER('Calibrare_Linii'!J7),'Calibrare_Linii'!J7&lt;='Input_Meci'!G64)),"TAIL VALIDATED","OOS PENDING")))</x:f>
      </x:c>
      <x:c r="AK819" s="2" t="n">
        <x:f>IF(J819&lt;&gt;"PASS",0,'Motor_Meciuri'!BR64)</x:f>
        <x:v>0</x:v>
      </x:c>
      <x:c r="AL819" s="2" t="n">
        <x:f>IF(J819&lt;&gt;"PASS",0,'Motor_Meciuri'!BS64)</x:f>
        <x:v>0</x:v>
      </x:c>
      <x:c r="AM819" s="2" t="n">
        <x:f>IF(J819&lt;&gt;"PASS",0,'Motor_Meciuri'!BT64)</x:f>
        <x:v>0</x:v>
      </x:c>
      <x:c r="AN819" s="2" t="str">
        <x:f>IF(M819="","",MAX(0,'Motor_Meciuri'!BF64-IF(L819&gt;'Config_v6'!$B$12,'Config_v6'!$B$37,IF(L819&gt;'Config_v6'!$B$11,'Config_v6'!$B$36,0))))</x:f>
      </x:c>
    </x:row>
    <x:row r="820" ht="21" customHeight="1">
      <x:c r="A820" s="2" t="n">
        <x:v>59</x:v>
      </x:c>
      <x:c r="B820" s="2" t="str">
        <x:f>IF('Motor_Meciuri'!A64="","",'Motor_Meciuri'!A64)</x:f>
      </x:c>
      <x:c r="C820" s="2" t="str">
        <x:f>IF(B820="","",'Motor_Meciuri'!B64)</x:f>
      </x:c>
      <x:c r="D820" s="2" t="str">
        <x:f>IF(B820="","",'Motor_Meciuri'!D64)</x:f>
      </x:c>
      <x:c r="E820" s="2" t="str">
        <x:f>IF(B820="","",'Motor_Meciuri'!E64)</x:f>
      </x:c>
      <x:c r="F820" s="2" t="str">
        <x:v>O5,5</x:v>
      </x:c>
      <x:c r="G820" s="2" t="str">
        <x:v>OVER</x:v>
      </x:c>
      <x:c r="H820" s="2" t="n">
        <x:v>5</x:v>
      </x:c>
      <x:c r="I820" s="2" t="str">
        <x:f>IF(B820="","",'Motor_Meciuri'!H64)</x:f>
      </x:c>
      <x:c r="J820" s="2" t="str">
        <x:f>IF(B820="","",'Motor_Meciuri'!I64)</x:f>
      </x:c>
      <x:c r="K820" s="11" t="str">
        <x:f>IF(J820&lt;&gt;"PASS","",'Motor_Meciuri'!BD64)</x:f>
      </x:c>
      <x:c r="L820" s="11" t="str">
        <x:f>IF(J820&lt;&gt;"PASS","",'Motor_Meciuri'!AU64)</x:f>
      </x:c>
      <x:c r="M820" s="10" t="str">
        <x:f>IF(NOT(AND(J820="PASS",'Calibrare_Linii'!U8="VALID")),"",1-'Distributie'!AC64)</x:f>
      </x:c>
      <x:c r="N820" s="10" t="str">
        <x:f>IF(M820="","",MAX(0.01,MIN(0.99,0.5+(M820-0.5)*'Motor_Meciuri'!BG64*'Calibrare_Linii'!D8)))</x:f>
      </x:c>
      <x:c r="O820" s="10" t="str">
        <x:f>IF(M820="","",1-M820)</x:f>
      </x:c>
      <x:c r="P820" s="10" t="str">
        <x:f>IF(OR(NOT(AND(J820="PASS",'Calibrare_Linii'!U8="VALID")),AK820=0),""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*('Istoric_Nativ'!$Q$6:$Q$405&lt;=H820))/AK820)</x:f>
      </x:c>
      <x:c r="Q820" s="10" t="str">
        <x:f>IF(OR(NOT(AND(J820="PASS",'Calibrare_Linii'!U8="VALID")),AL820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M64)+((('Istoric_Nativ'!$E$6:$E$405='Input_Meci'!E64)+('Istoric_Nativ'!$F$6:$F$405='Input_Meci'!E64))&gt;0)*('Istoric_Nativ'!$D$6:$D$405&gt;='Motor_Meciuri'!BN64))&gt;0)*('Istoric_Nativ'!$Q$6:$Q$405&lt;=H820))/AL820)</x:f>
      </x:c>
      <x:c r="R820" s="10" t="str">
        <x:f>IF(OR(NOT(AND(J820="PASS",'Calibrare_Linii'!U8="VALID")),AM820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O64)+((('Istoric_Nativ'!$E$6:$E$405='Input_Meci'!E64)+('Istoric_Nativ'!$F$6:$F$405='Input_Meci'!E64))&gt;0)*('Istoric_Nativ'!$D$6:$D$405&gt;='Motor_Meciuri'!BP64))&gt;0)*('Istoric_Nativ'!$Q$6:$Q$405&lt;=H820))/AM820)</x:f>
      </x:c>
      <x:c r="S820" s="10" t="str">
        <x:f>IF(M820="","",MAX(O820,P820,Q820,R820))</x:f>
      </x:c>
      <x:c r="T820" s="11" t="str">
        <x:f>IF(M820="","",MIN(100,S820*100*'Config_v6'!$B$44+MIN(100,L820/'Config_v6'!$B$13*100)*'Config_v6'!$B$45+(100-'Motor_Meciuri'!BF64)*'Config_v6'!$B$46+'Motor_Meciuri'!BH64*100*'Config_v6'!$B$47))</x:f>
      </x:c>
      <x:c r="U820" s="2" t="str">
        <x:f>IF(T820="","",IF(T820&lt;=20,1,IF(T820&lt;=40,2,IF(T820&lt;=60,3,IF(T820&lt;=80,4,5)))))</x:f>
      </x:c>
      <x:c r="V820" s="2" t="str">
        <x:f>IF(M820="","",MAX(0,'Motor_Meciuri'!BF64-IF(W820="OOS PENDING",'Config_v6'!$B$35,0)-IF(L820&gt;'Config_v6'!$B$12,'Config_v6'!$B$37,IF(L820&gt;'Config_v6'!$B$11,'Config_v6'!$B$36,0))))</x:f>
      </x:c>
      <x:c r="W820" s="2" t="str">
        <x:f>IF(B820="","",IF(I820&lt;&gt;"READY","NOT RELEASED",IF(NOT(AND(J820="PASS",'Calibrare_Linii'!U8="VALID")),"INVALID",IF(NOT(AND('Calibrare_Linii'!S8="VALIDATED",AND('Calibrare_Linii'!H8=C820,ISNUMBER('Calibrare_Linii'!J8),'Calibrare_Linii'!J8&lt;='Input_Meci'!G64))),"OOS PENDING",IF(S820&lt;='Calibrare_Linii'!E8,"PASS",IF(S820&lt;='Calibrare_Linii'!F8,"PENALTY","WATCH"))))))</x:f>
      </x:c>
      <x:c r="X820" s="2" t="str">
        <x:f>IF(M820="","",IF(AND(AND(J820="PASS",'Calibrare_Linii'!U8="VALID"),'Motor_Meciuri'!K64=12,'Motor_Meciuri'!L64=12,'Motor_Meciuri'!M64="NO",'Motor_Meciuri'!BL64='Motor_Meciuri'!C64,AB820&gt;='Config_v6'!$B$50,AN820&gt;='Config_v6'!$B$51,T820&lt;='Config_v6'!$B$52,L820&lt;='Config_v6'!$B$53,ISNUMBER('Calibrare_Linii'!E8),S820&lt;='Calibrare_Linii'!E8,SUM(AK820:AM820)&gt;0),"CANDIDATE","NO"))</x:f>
      </x:c>
      <x:c r="Y820" s="2" t="str">
        <x:f>IF(B820="","",IF(I820&lt;&gt;"READY","NOT RELEASED",IF(AND(X820="CANDIDATE",V820&gt;='Config_v6'!$B$51,W820="PASS",'Calibrare_Linii'!T8="VALIDATED",AND('Calibrare_Linii'!H8=C820,ISNUMBER('Calibrare_Linii'!J8),'Calibrare_Linii'!J8&lt;='Input_Meci'!G64)),"PASS",IF(X820="CANDIDATE","OOS PENDING","FAIL"))))</x:f>
      </x:c>
      <x:c r="Z820" s="2" t="str">
        <x:f>IF(B820="","",IF(I820&lt;&gt;"READY","",IF(OR(NOT(AND(J820="PASS",'Calibrare_Linii'!U8="VALID")),L820&gt;'Config_v6'!$B$13,W820="WATCH"),5,IF(Y820="PASS",1,MIN(5,MAX('Config_v6'!$B$42,U820)+IF(W820="PENALTY",1,0))))))</x:f>
      </x:c>
      <x:c r="AA820" s="2" t="str">
        <x:f>IF(B820="","",IF(I820&lt;&gt;"READY","NOT RELEASED",IF(Z820=5,"NO BET",IF(OR(AB820&lt;'Config_v6'!$B$16,V820&lt;'Config_v6'!$B$18),"WATCH",IF(Z820=1,"DEFENSIV",IF(Z820=2,"PRUDENT",IF(Z820=3,"MODERAT","RIDICAT")))))))</x:f>
      </x:c>
      <x:c r="AB820" s="10" t="str">
        <x:f>IF(N820="","",MIN(N820,1-S820))</x:f>
      </x:c>
      <x:c r="AC820" s="2" t="str">
        <x:f>IF(AD820&lt;&gt;1,"",COUNTIFS($Z$818:$Z$831,"&lt;"&amp;Z820,$AD$818:$AD$831,1)+COUNTIFS($Z$818:$Z$831,Z820,$AB$818:$AB$831,"&gt;"&amp;AB820,$AD$818:$AD$831,1)+COUNTIFS($Z$818:$Z$831,Z820,$AB$818:$AB$831,AB820,$V$818:$V$831,"&gt;"&amp;V820,$AD$818:$AD$831,1)+COUNTIFS($Z$818:Z820,Z820,$AB$818:AB820,AB820,$V$818:V820,V820,$AD$818:AD820,1))</x:f>
      </x:c>
      <x:c r="AD820" s="2" t="n">
        <x:f>IF(OR(AA820="DEFENSIV",AA820="PRUDENT",AA820="MODERAT",AA820="RIDICAT"),1,0)</x:f>
        <x:v>0</x:v>
      </x:c>
      <x:c r="AE820" s="2" t="str">
        <x:f>IF(AD820&lt;&gt;1,"NO",IF(W820="PASS","YES",IF(W820="OOS PENDING","CONDITIONAL","NO")))</x:f>
        <x:v>NO</x:v>
      </x:c>
      <x:c r="AF820" s="2" t="n">
        <x:f>IF(AND(AD820=1,AC820=1,E820="LIVE"),1,0)</x:f>
        <x:v>0</x:v>
      </x:c>
      <x:c r="AG820" s="2" t="str">
        <x:f>IF(AF820&lt;&gt;1,"",'Dashboard'!P84)</x:f>
      </x:c>
      <x:c r="AH820" s="2" t="str">
        <x:f>IF(B820="","",IF(J820&lt;&gt;"PASS",'Motor_Meciuri'!J64,IF('Calibrare_Linii'!U8&lt;&gt;"VALID","Parametri linie invalizi",IF(L820&gt;'Config_v6'!$B$13,"Dispersie peste limita",IF(W820="WATCH","Failure peste limita",IF(AB820&lt;'Config_v6'!$B$16,"P finala sub prag",IF(V820&lt;'Config_v6'!$B$18,"Confidence sub prag",IF(E820="REPLAY","Exemplu retrospectiv; exclus din Top LIVE",IF(Y820="PASS","DEFENSIV validat",IF(W820="OOS PENDING","Eligibil; calibrare linie in monitorizare","Eligibil"))))))))))</x:f>
      </x:c>
      <x:c r="AI820" s="2" t="str">
        <x:f>IF(B820="","",'Calibrare_Linii'!V8)</x:f>
      </x:c>
      <x:c r="AJ820" s="2" t="str">
        <x:f>IF(B820="","",IF(AND('Calibrare_Linii'!T8="VALIDATED",AND('Calibrare_Linii'!H8=C820,ISNUMBER('Calibrare_Linii'!J8),'Calibrare_Linii'!J8&lt;='Input_Meci'!G64)),"DEFENSIVE VALIDATED",IF(AND('Calibrare_Linii'!S8="VALIDATED",AND('Calibrare_Linii'!H8=C820,ISNUMBER('Calibrare_Linii'!J8),'Calibrare_Linii'!J8&lt;='Input_Meci'!G64)),"TAIL VALIDATED","OOS PENDING")))</x:f>
      </x:c>
      <x:c r="AK820" s="2" t="n">
        <x:f>IF(J820&lt;&gt;"PASS",0,'Motor_Meciuri'!BR64)</x:f>
        <x:v>0</x:v>
      </x:c>
      <x:c r="AL820" s="2" t="n">
        <x:f>IF(J820&lt;&gt;"PASS",0,'Motor_Meciuri'!BS64)</x:f>
        <x:v>0</x:v>
      </x:c>
      <x:c r="AM820" s="2" t="n">
        <x:f>IF(J820&lt;&gt;"PASS",0,'Motor_Meciuri'!BT64)</x:f>
        <x:v>0</x:v>
      </x:c>
      <x:c r="AN820" s="2" t="str">
        <x:f>IF(M820="","",MAX(0,'Motor_Meciuri'!BF64-IF(L820&gt;'Config_v6'!$B$12,'Config_v6'!$B$37,IF(L820&gt;'Config_v6'!$B$11,'Config_v6'!$B$36,0))))</x:f>
      </x:c>
    </x:row>
    <x:row r="821" ht="21" customHeight="1">
      <x:c r="A821" s="2" t="n">
        <x:v>59</x:v>
      </x:c>
      <x:c r="B821" s="2" t="str">
        <x:f>IF('Motor_Meciuri'!A64="","",'Motor_Meciuri'!A64)</x:f>
      </x:c>
      <x:c r="C821" s="2" t="str">
        <x:f>IF(B821="","",'Motor_Meciuri'!B64)</x:f>
      </x:c>
      <x:c r="D821" s="2" t="str">
        <x:f>IF(B821="","",'Motor_Meciuri'!D64)</x:f>
      </x:c>
      <x:c r="E821" s="2" t="str">
        <x:f>IF(B821="","",'Motor_Meciuri'!E64)</x:f>
      </x:c>
      <x:c r="F821" s="2" t="str">
        <x:v>O6,5</x:v>
      </x:c>
      <x:c r="G821" s="2" t="str">
        <x:v>OVER</x:v>
      </x:c>
      <x:c r="H821" s="2" t="n">
        <x:v>6</x:v>
      </x:c>
      <x:c r="I821" s="2" t="str">
        <x:f>IF(B821="","",'Motor_Meciuri'!H64)</x:f>
      </x:c>
      <x:c r="J821" s="2" t="str">
        <x:f>IF(B821="","",'Motor_Meciuri'!I64)</x:f>
      </x:c>
      <x:c r="K821" s="11" t="str">
        <x:f>IF(J821&lt;&gt;"PASS","",'Motor_Meciuri'!BD64)</x:f>
      </x:c>
      <x:c r="L821" s="11" t="str">
        <x:f>IF(J821&lt;&gt;"PASS","",'Motor_Meciuri'!AU64)</x:f>
      </x:c>
      <x:c r="M821" s="10" t="str">
        <x:f>IF(NOT(AND(J821="PASS",'Calibrare_Linii'!U9="VALID")),"",1-'Distributie'!AD64)</x:f>
      </x:c>
      <x:c r="N821" s="10" t="str">
        <x:f>IF(M821="","",MAX(0.01,MIN(0.99,0.5+(M821-0.5)*'Motor_Meciuri'!BG64*'Calibrare_Linii'!D9)))</x:f>
      </x:c>
      <x:c r="O821" s="10" t="str">
        <x:f>IF(M821="","",1-M821)</x:f>
      </x:c>
      <x:c r="P821" s="10" t="str">
        <x:f>IF(OR(NOT(AND(J821="PASS",'Calibrare_Linii'!U9="VALID")),AK821=0),""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*('Istoric_Nativ'!$Q$6:$Q$405&lt;=H821))/AK821)</x:f>
      </x:c>
      <x:c r="Q821" s="10" t="str">
        <x:f>IF(OR(NOT(AND(J821="PASS",'Calibrare_Linii'!U9="VALID")),AL821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M64)+((('Istoric_Nativ'!$E$6:$E$405='Input_Meci'!E64)+('Istoric_Nativ'!$F$6:$F$405='Input_Meci'!E64))&gt;0)*('Istoric_Nativ'!$D$6:$D$405&gt;='Motor_Meciuri'!BN64))&gt;0)*('Istoric_Nativ'!$Q$6:$Q$405&lt;=H821))/AL821)</x:f>
      </x:c>
      <x:c r="R821" s="10" t="str">
        <x:f>IF(OR(NOT(AND(J821="PASS",'Calibrare_Linii'!U9="VALID")),AM821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O64)+((('Istoric_Nativ'!$E$6:$E$405='Input_Meci'!E64)+('Istoric_Nativ'!$F$6:$F$405='Input_Meci'!E64))&gt;0)*('Istoric_Nativ'!$D$6:$D$405&gt;='Motor_Meciuri'!BP64))&gt;0)*('Istoric_Nativ'!$Q$6:$Q$405&lt;=H821))/AM821)</x:f>
      </x:c>
      <x:c r="S821" s="10" t="str">
        <x:f>IF(M821="","",MAX(O821,P821,Q821,R821))</x:f>
      </x:c>
      <x:c r="T821" s="11" t="str">
        <x:f>IF(M821="","",MIN(100,S821*100*'Config_v6'!$B$44+MIN(100,L821/'Config_v6'!$B$13*100)*'Config_v6'!$B$45+(100-'Motor_Meciuri'!BF64)*'Config_v6'!$B$46+'Motor_Meciuri'!BH64*100*'Config_v6'!$B$47))</x:f>
      </x:c>
      <x:c r="U821" s="2" t="str">
        <x:f>IF(T821="","",IF(T821&lt;=20,1,IF(T821&lt;=40,2,IF(T821&lt;=60,3,IF(T821&lt;=80,4,5)))))</x:f>
      </x:c>
      <x:c r="V821" s="2" t="str">
        <x:f>IF(M821="","",MAX(0,'Motor_Meciuri'!BF64-IF(W821="OOS PENDING",'Config_v6'!$B$35,0)-IF(L821&gt;'Config_v6'!$B$12,'Config_v6'!$B$37,IF(L821&gt;'Config_v6'!$B$11,'Config_v6'!$B$36,0))))</x:f>
      </x:c>
      <x:c r="W821" s="2" t="str">
        <x:f>IF(B821="","",IF(I821&lt;&gt;"READY","NOT RELEASED",IF(NOT(AND(J821="PASS",'Calibrare_Linii'!U9="VALID")),"INVALID",IF(NOT(AND('Calibrare_Linii'!S9="VALIDATED",AND('Calibrare_Linii'!H9=C821,ISNUMBER('Calibrare_Linii'!J9),'Calibrare_Linii'!J9&lt;='Input_Meci'!G64))),"OOS PENDING",IF(S821&lt;='Calibrare_Linii'!E9,"PASS",IF(S821&lt;='Calibrare_Linii'!F9,"PENALTY","WATCH"))))))</x:f>
      </x:c>
      <x:c r="X821" s="2" t="str">
        <x:f>IF(M821="","",IF(AND(AND(J821="PASS",'Calibrare_Linii'!U9="VALID"),'Motor_Meciuri'!K64=12,'Motor_Meciuri'!L64=12,'Motor_Meciuri'!M64="NO",'Motor_Meciuri'!BL64='Motor_Meciuri'!C64,AB821&gt;='Config_v6'!$B$50,AN821&gt;='Config_v6'!$B$51,T821&lt;='Config_v6'!$B$52,L821&lt;='Config_v6'!$B$53,ISNUMBER('Calibrare_Linii'!E9),S821&lt;='Calibrare_Linii'!E9,SUM(AK821:AM821)&gt;0),"CANDIDATE","NO"))</x:f>
      </x:c>
      <x:c r="Y821" s="2" t="str">
        <x:f>IF(B821="","",IF(I821&lt;&gt;"READY","NOT RELEASED",IF(AND(X821="CANDIDATE",V821&gt;='Config_v6'!$B$51,W821="PASS",'Calibrare_Linii'!T9="VALIDATED",AND('Calibrare_Linii'!H9=C821,ISNUMBER('Calibrare_Linii'!J9),'Calibrare_Linii'!J9&lt;='Input_Meci'!G64)),"PASS",IF(X821="CANDIDATE","OOS PENDING","FAIL"))))</x:f>
      </x:c>
      <x:c r="Z821" s="2" t="str">
        <x:f>IF(B821="","",IF(I821&lt;&gt;"READY","",IF(OR(NOT(AND(J821="PASS",'Calibrare_Linii'!U9="VALID")),L821&gt;'Config_v6'!$B$13,W821="WATCH"),5,IF(Y821="PASS",1,MIN(5,MAX('Config_v6'!$B$42,U821)+IF(W821="PENALTY",1,0))))))</x:f>
      </x:c>
      <x:c r="AA821" s="2" t="str">
        <x:f>IF(B821="","",IF(I821&lt;&gt;"READY","NOT RELEASED",IF(Z821=5,"NO BET",IF(OR(AB821&lt;'Config_v6'!$B$16,V821&lt;'Config_v6'!$B$18),"WATCH",IF(Z821=1,"DEFENSIV",IF(Z821=2,"PRUDENT",IF(Z821=3,"MODERAT","RIDICAT")))))))</x:f>
      </x:c>
      <x:c r="AB821" s="10" t="str">
        <x:f>IF(N821="","",MIN(N821,1-S821))</x:f>
      </x:c>
      <x:c r="AC821" s="2" t="str">
        <x:f>IF(AD821&lt;&gt;1,"",COUNTIFS($Z$818:$Z$831,"&lt;"&amp;Z821,$AD$818:$AD$831,1)+COUNTIFS($Z$818:$Z$831,Z821,$AB$818:$AB$831,"&gt;"&amp;AB821,$AD$818:$AD$831,1)+COUNTIFS($Z$818:$Z$831,Z821,$AB$818:$AB$831,AB821,$V$818:$V$831,"&gt;"&amp;V821,$AD$818:$AD$831,1)+COUNTIFS($Z$818:Z821,Z821,$AB$818:AB821,AB821,$V$818:V821,V821,$AD$818:AD821,1))</x:f>
      </x:c>
      <x:c r="AD821" s="2" t="n">
        <x:f>IF(OR(AA821="DEFENSIV",AA821="PRUDENT",AA821="MODERAT",AA821="RIDICAT"),1,0)</x:f>
        <x:v>0</x:v>
      </x:c>
      <x:c r="AE821" s="2" t="str">
        <x:f>IF(AD821&lt;&gt;1,"NO",IF(W821="PASS","YES",IF(W821="OOS PENDING","CONDITIONAL","NO")))</x:f>
        <x:v>NO</x:v>
      </x:c>
      <x:c r="AF821" s="2" t="n">
        <x:f>IF(AND(AD821=1,AC821=1,E821="LIVE"),1,0)</x:f>
        <x:v>0</x:v>
      </x:c>
      <x:c r="AG821" s="2" t="str">
        <x:f>IF(AF821&lt;&gt;1,"",'Dashboard'!P84)</x:f>
      </x:c>
      <x:c r="AH821" s="2" t="str">
        <x:f>IF(B821="","",IF(J821&lt;&gt;"PASS",'Motor_Meciuri'!J64,IF('Calibrare_Linii'!U9&lt;&gt;"VALID","Parametri linie invalizi",IF(L821&gt;'Config_v6'!$B$13,"Dispersie peste limita",IF(W821="WATCH","Failure peste limita",IF(AB821&lt;'Config_v6'!$B$16,"P finala sub prag",IF(V821&lt;'Config_v6'!$B$18,"Confidence sub prag",IF(E821="REPLAY","Exemplu retrospectiv; exclus din Top LIVE",IF(Y821="PASS","DEFENSIV validat",IF(W821="OOS PENDING","Eligibil; calibrare linie in monitorizare","Eligibil"))))))))))</x:f>
      </x:c>
      <x:c r="AI821" s="2" t="str">
        <x:f>IF(B821="","",'Calibrare_Linii'!V9)</x:f>
      </x:c>
      <x:c r="AJ821" s="2" t="str">
        <x:f>IF(B821="","",IF(AND('Calibrare_Linii'!T9="VALIDATED",AND('Calibrare_Linii'!H9=C821,ISNUMBER('Calibrare_Linii'!J9),'Calibrare_Linii'!J9&lt;='Input_Meci'!G64)),"DEFENSIVE VALIDATED",IF(AND('Calibrare_Linii'!S9="VALIDATED",AND('Calibrare_Linii'!H9=C821,ISNUMBER('Calibrare_Linii'!J9),'Calibrare_Linii'!J9&lt;='Input_Meci'!G64)),"TAIL VALIDATED","OOS PENDING")))</x:f>
      </x:c>
      <x:c r="AK821" s="2" t="n">
        <x:f>IF(J821&lt;&gt;"PASS",0,'Motor_Meciuri'!BR64)</x:f>
        <x:v>0</x:v>
      </x:c>
      <x:c r="AL821" s="2" t="n">
        <x:f>IF(J821&lt;&gt;"PASS",0,'Motor_Meciuri'!BS64)</x:f>
        <x:v>0</x:v>
      </x:c>
      <x:c r="AM821" s="2" t="n">
        <x:f>IF(J821&lt;&gt;"PASS",0,'Motor_Meciuri'!BT64)</x:f>
        <x:v>0</x:v>
      </x:c>
      <x:c r="AN821" s="2" t="str">
        <x:f>IF(M821="","",MAX(0,'Motor_Meciuri'!BF64-IF(L821&gt;'Config_v6'!$B$12,'Config_v6'!$B$37,IF(L821&gt;'Config_v6'!$B$11,'Config_v6'!$B$36,0))))</x:f>
      </x:c>
    </x:row>
    <x:row r="822" ht="21" customHeight="1">
      <x:c r="A822" s="2" t="n">
        <x:v>59</x:v>
      </x:c>
      <x:c r="B822" s="2" t="str">
        <x:f>IF('Motor_Meciuri'!A64="","",'Motor_Meciuri'!A64)</x:f>
      </x:c>
      <x:c r="C822" s="2" t="str">
        <x:f>IF(B822="","",'Motor_Meciuri'!B64)</x:f>
      </x:c>
      <x:c r="D822" s="2" t="str">
        <x:f>IF(B822="","",'Motor_Meciuri'!D64)</x:f>
      </x:c>
      <x:c r="E822" s="2" t="str">
        <x:f>IF(B822="","",'Motor_Meciuri'!E64)</x:f>
      </x:c>
      <x:c r="F822" s="2" t="str">
        <x:v>O7,5</x:v>
      </x:c>
      <x:c r="G822" s="2" t="str">
        <x:v>OVER</x:v>
      </x:c>
      <x:c r="H822" s="2" t="n">
        <x:v>7</x:v>
      </x:c>
      <x:c r="I822" s="2" t="str">
        <x:f>IF(B822="","",'Motor_Meciuri'!H64)</x:f>
      </x:c>
      <x:c r="J822" s="2" t="str">
        <x:f>IF(B822="","",'Motor_Meciuri'!I64)</x:f>
      </x:c>
      <x:c r="K822" s="11" t="str">
        <x:f>IF(J822&lt;&gt;"PASS","",'Motor_Meciuri'!BD64)</x:f>
      </x:c>
      <x:c r="L822" s="11" t="str">
        <x:f>IF(J822&lt;&gt;"PASS","",'Motor_Meciuri'!AU64)</x:f>
      </x:c>
      <x:c r="M822" s="10" t="str">
        <x:f>IF(NOT(AND(J822="PASS",'Calibrare_Linii'!U10="VALID")),"",1-'Distributie'!AE64)</x:f>
      </x:c>
      <x:c r="N822" s="10" t="str">
        <x:f>IF(M822="","",MAX(0.01,MIN(0.99,0.5+(M822-0.5)*'Motor_Meciuri'!BG64*'Calibrare_Linii'!D10)))</x:f>
      </x:c>
      <x:c r="O822" s="10" t="str">
        <x:f>IF(M822="","",1-M822)</x:f>
      </x:c>
      <x:c r="P822" s="10" t="str">
        <x:f>IF(OR(NOT(AND(J822="PASS",'Calibrare_Linii'!U10="VALID")),AK822=0),""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*('Istoric_Nativ'!$Q$6:$Q$405&lt;=H822))/AK822)</x:f>
      </x:c>
      <x:c r="Q822" s="10" t="str">
        <x:f>IF(OR(NOT(AND(J822="PASS",'Calibrare_Linii'!U10="VALID")),AL822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M64)+((('Istoric_Nativ'!$E$6:$E$405='Input_Meci'!E64)+('Istoric_Nativ'!$F$6:$F$405='Input_Meci'!E64))&gt;0)*('Istoric_Nativ'!$D$6:$D$405&gt;='Motor_Meciuri'!BN64))&gt;0)*('Istoric_Nativ'!$Q$6:$Q$405&lt;=H822))/AL822)</x:f>
      </x:c>
      <x:c r="R822" s="10" t="str">
        <x:f>IF(OR(NOT(AND(J822="PASS",'Calibrare_Linii'!U10="VALID")),AM822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O64)+((('Istoric_Nativ'!$E$6:$E$405='Input_Meci'!E64)+('Istoric_Nativ'!$F$6:$F$405='Input_Meci'!E64))&gt;0)*('Istoric_Nativ'!$D$6:$D$405&gt;='Motor_Meciuri'!BP64))&gt;0)*('Istoric_Nativ'!$Q$6:$Q$405&lt;=H822))/AM822)</x:f>
      </x:c>
      <x:c r="S822" s="10" t="str">
        <x:f>IF(M822="","",MAX(O822,P822,Q822,R822))</x:f>
      </x:c>
      <x:c r="T822" s="11" t="str">
        <x:f>IF(M822="","",MIN(100,S822*100*'Config_v6'!$B$44+MIN(100,L822/'Config_v6'!$B$13*100)*'Config_v6'!$B$45+(100-'Motor_Meciuri'!BF64)*'Config_v6'!$B$46+'Motor_Meciuri'!BH64*100*'Config_v6'!$B$47))</x:f>
      </x:c>
      <x:c r="U822" s="2" t="str">
        <x:f>IF(T822="","",IF(T822&lt;=20,1,IF(T822&lt;=40,2,IF(T822&lt;=60,3,IF(T822&lt;=80,4,5)))))</x:f>
      </x:c>
      <x:c r="V822" s="2" t="str">
        <x:f>IF(M822="","",MAX(0,'Motor_Meciuri'!BF64-IF(W822="OOS PENDING",'Config_v6'!$B$35,0)-IF(L822&gt;'Config_v6'!$B$12,'Config_v6'!$B$37,IF(L822&gt;'Config_v6'!$B$11,'Config_v6'!$B$36,0))))</x:f>
      </x:c>
      <x:c r="W822" s="2" t="str">
        <x:f>IF(B822="","",IF(I822&lt;&gt;"READY","NOT RELEASED",IF(NOT(AND(J822="PASS",'Calibrare_Linii'!U10="VALID")),"INVALID",IF(NOT(AND('Calibrare_Linii'!S10="VALIDATED",AND('Calibrare_Linii'!H10=C822,ISNUMBER('Calibrare_Linii'!J10),'Calibrare_Linii'!J10&lt;='Input_Meci'!G64))),"OOS PENDING",IF(S822&lt;='Calibrare_Linii'!E10,"PASS",IF(S822&lt;='Calibrare_Linii'!F10,"PENALTY","WATCH"))))))</x:f>
      </x:c>
      <x:c r="X822" s="2" t="str">
        <x:f>IF(M822="","",IF(AND(AND(J822="PASS",'Calibrare_Linii'!U10="VALID"),'Motor_Meciuri'!K64=12,'Motor_Meciuri'!L64=12,'Motor_Meciuri'!M64="NO",'Motor_Meciuri'!BL64='Motor_Meciuri'!C64,AB822&gt;='Config_v6'!$B$50,AN822&gt;='Config_v6'!$B$51,T822&lt;='Config_v6'!$B$52,L822&lt;='Config_v6'!$B$53,ISNUMBER('Calibrare_Linii'!E10),S822&lt;='Calibrare_Linii'!E10,SUM(AK822:AM822)&gt;0),"CANDIDATE","NO"))</x:f>
      </x:c>
      <x:c r="Y822" s="2" t="str">
        <x:f>IF(B822="","",IF(I822&lt;&gt;"READY","NOT RELEASED",IF(AND(X822="CANDIDATE",V822&gt;='Config_v6'!$B$51,W822="PASS",'Calibrare_Linii'!T10="VALIDATED",AND('Calibrare_Linii'!H10=C822,ISNUMBER('Calibrare_Linii'!J10),'Calibrare_Linii'!J10&lt;='Input_Meci'!G64)),"PASS",IF(X822="CANDIDATE","OOS PENDING","FAIL"))))</x:f>
      </x:c>
      <x:c r="Z822" s="2" t="str">
        <x:f>IF(B822="","",IF(I822&lt;&gt;"READY","",IF(OR(NOT(AND(J822="PASS",'Calibrare_Linii'!U10="VALID")),L822&gt;'Config_v6'!$B$13,W822="WATCH"),5,IF(Y822="PASS",1,MIN(5,MAX('Config_v6'!$B$42,U822)+IF(W822="PENALTY",1,0))))))</x:f>
      </x:c>
      <x:c r="AA822" s="2" t="str">
        <x:f>IF(B822="","",IF(I822&lt;&gt;"READY","NOT RELEASED",IF(Z822=5,"NO BET",IF(OR(AB822&lt;'Config_v6'!$B$16,V822&lt;'Config_v6'!$B$18),"WATCH",IF(Z822=1,"DEFENSIV",IF(Z822=2,"PRUDENT",IF(Z822=3,"MODERAT","RIDICAT")))))))</x:f>
      </x:c>
      <x:c r="AB822" s="10" t="str">
        <x:f>IF(N822="","",MIN(N822,1-S822))</x:f>
      </x:c>
      <x:c r="AC822" s="2" t="str">
        <x:f>IF(AD822&lt;&gt;1,"",COUNTIFS($Z$818:$Z$831,"&lt;"&amp;Z822,$AD$818:$AD$831,1)+COUNTIFS($Z$818:$Z$831,Z822,$AB$818:$AB$831,"&gt;"&amp;AB822,$AD$818:$AD$831,1)+COUNTIFS($Z$818:$Z$831,Z822,$AB$818:$AB$831,AB822,$V$818:$V$831,"&gt;"&amp;V822,$AD$818:$AD$831,1)+COUNTIFS($Z$818:Z822,Z822,$AB$818:AB822,AB822,$V$818:V822,V822,$AD$818:AD822,1))</x:f>
      </x:c>
      <x:c r="AD822" s="2" t="n">
        <x:f>IF(OR(AA822="DEFENSIV",AA822="PRUDENT",AA822="MODERAT",AA822="RIDICAT"),1,0)</x:f>
        <x:v>0</x:v>
      </x:c>
      <x:c r="AE822" s="2" t="str">
        <x:f>IF(AD822&lt;&gt;1,"NO",IF(W822="PASS","YES",IF(W822="OOS PENDING","CONDITIONAL","NO")))</x:f>
        <x:v>NO</x:v>
      </x:c>
      <x:c r="AF822" s="2" t="n">
        <x:f>IF(AND(AD822=1,AC822=1,E822="LIVE"),1,0)</x:f>
        <x:v>0</x:v>
      </x:c>
      <x:c r="AG822" s="2" t="str">
        <x:f>IF(AF822&lt;&gt;1,"",'Dashboard'!P84)</x:f>
      </x:c>
      <x:c r="AH822" s="2" t="str">
        <x:f>IF(B822="","",IF(J822&lt;&gt;"PASS",'Motor_Meciuri'!J64,IF('Calibrare_Linii'!U10&lt;&gt;"VALID","Parametri linie invalizi",IF(L822&gt;'Config_v6'!$B$13,"Dispersie peste limita",IF(W822="WATCH","Failure peste limita",IF(AB822&lt;'Config_v6'!$B$16,"P finala sub prag",IF(V822&lt;'Config_v6'!$B$18,"Confidence sub prag",IF(E822="REPLAY","Exemplu retrospectiv; exclus din Top LIVE",IF(Y822="PASS","DEFENSIV validat",IF(W822="OOS PENDING","Eligibil; calibrare linie in monitorizare","Eligibil"))))))))))</x:f>
      </x:c>
      <x:c r="AI822" s="2" t="str">
        <x:f>IF(B822="","",'Calibrare_Linii'!V10)</x:f>
      </x:c>
      <x:c r="AJ822" s="2" t="str">
        <x:f>IF(B822="","",IF(AND('Calibrare_Linii'!T10="VALIDATED",AND('Calibrare_Linii'!H10=C822,ISNUMBER('Calibrare_Linii'!J10),'Calibrare_Linii'!J10&lt;='Input_Meci'!G64)),"DEFENSIVE VALIDATED",IF(AND('Calibrare_Linii'!S10="VALIDATED",AND('Calibrare_Linii'!H10=C822,ISNUMBER('Calibrare_Linii'!J10),'Calibrare_Linii'!J10&lt;='Input_Meci'!G64)),"TAIL VALIDATED","OOS PENDING")))</x:f>
      </x:c>
      <x:c r="AK822" s="2" t="n">
        <x:f>IF(J822&lt;&gt;"PASS",0,'Motor_Meciuri'!BR64)</x:f>
        <x:v>0</x:v>
      </x:c>
      <x:c r="AL822" s="2" t="n">
        <x:f>IF(J822&lt;&gt;"PASS",0,'Motor_Meciuri'!BS64)</x:f>
        <x:v>0</x:v>
      </x:c>
      <x:c r="AM822" s="2" t="n">
        <x:f>IF(J822&lt;&gt;"PASS",0,'Motor_Meciuri'!BT64)</x:f>
        <x:v>0</x:v>
      </x:c>
      <x:c r="AN822" s="2" t="str">
        <x:f>IF(M822="","",MAX(0,'Motor_Meciuri'!BF64-IF(L822&gt;'Config_v6'!$B$12,'Config_v6'!$B$37,IF(L822&gt;'Config_v6'!$B$11,'Config_v6'!$B$36,0))))</x:f>
      </x:c>
    </x:row>
    <x:row r="823" ht="21" customHeight="1">
      <x:c r="A823" s="2" t="n">
        <x:v>59</x:v>
      </x:c>
      <x:c r="B823" s="2" t="str">
        <x:f>IF('Motor_Meciuri'!A64="","",'Motor_Meciuri'!A64)</x:f>
      </x:c>
      <x:c r="C823" s="2" t="str">
        <x:f>IF(B823="","",'Motor_Meciuri'!B64)</x:f>
      </x:c>
      <x:c r="D823" s="2" t="str">
        <x:f>IF(B823="","",'Motor_Meciuri'!D64)</x:f>
      </x:c>
      <x:c r="E823" s="2" t="str">
        <x:f>IF(B823="","",'Motor_Meciuri'!E64)</x:f>
      </x:c>
      <x:c r="F823" s="2" t="str">
        <x:v>O8,5</x:v>
      </x:c>
      <x:c r="G823" s="2" t="str">
        <x:v>OVER</x:v>
      </x:c>
      <x:c r="H823" s="2" t="n">
        <x:v>8</x:v>
      </x:c>
      <x:c r="I823" s="2" t="str">
        <x:f>IF(B823="","",'Motor_Meciuri'!H64)</x:f>
      </x:c>
      <x:c r="J823" s="2" t="str">
        <x:f>IF(B823="","",'Motor_Meciuri'!I64)</x:f>
      </x:c>
      <x:c r="K823" s="11" t="str">
        <x:f>IF(J823&lt;&gt;"PASS","",'Motor_Meciuri'!BD64)</x:f>
      </x:c>
      <x:c r="L823" s="11" t="str">
        <x:f>IF(J823&lt;&gt;"PASS","",'Motor_Meciuri'!AU64)</x:f>
      </x:c>
      <x:c r="M823" s="10" t="str">
        <x:f>IF(NOT(AND(J823="PASS",'Calibrare_Linii'!U11="VALID")),"",1-'Distributie'!AF64)</x:f>
      </x:c>
      <x:c r="N823" s="10" t="str">
        <x:f>IF(M823="","",MAX(0.01,MIN(0.99,0.5+(M823-0.5)*'Motor_Meciuri'!BG64*'Calibrare_Linii'!D11)))</x:f>
      </x:c>
      <x:c r="O823" s="10" t="str">
        <x:f>IF(M823="","",1-M823)</x:f>
      </x:c>
      <x:c r="P823" s="10" t="str">
        <x:f>IF(OR(NOT(AND(J823="PASS",'Calibrare_Linii'!U11="VALID")),AK823=0),""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*('Istoric_Nativ'!$Q$6:$Q$405&lt;=H823))/AK823)</x:f>
      </x:c>
      <x:c r="Q823" s="10" t="str">
        <x:f>IF(OR(NOT(AND(J823="PASS",'Calibrare_Linii'!U11="VALID")),AL823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M64)+((('Istoric_Nativ'!$E$6:$E$405='Input_Meci'!E64)+('Istoric_Nativ'!$F$6:$F$405='Input_Meci'!E64))&gt;0)*('Istoric_Nativ'!$D$6:$D$405&gt;='Motor_Meciuri'!BN64))&gt;0)*('Istoric_Nativ'!$Q$6:$Q$405&lt;=H823))/AL823)</x:f>
      </x:c>
      <x:c r="R823" s="10" t="str">
        <x:f>IF(OR(NOT(AND(J823="PASS",'Calibrare_Linii'!U11="VALID")),AM823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O64)+((('Istoric_Nativ'!$E$6:$E$405='Input_Meci'!E64)+('Istoric_Nativ'!$F$6:$F$405='Input_Meci'!E64))&gt;0)*('Istoric_Nativ'!$D$6:$D$405&gt;='Motor_Meciuri'!BP64))&gt;0)*('Istoric_Nativ'!$Q$6:$Q$405&lt;=H823))/AM823)</x:f>
      </x:c>
      <x:c r="S823" s="10" t="str">
        <x:f>IF(M823="","",MAX(O823,P823,Q823,R823))</x:f>
      </x:c>
      <x:c r="T823" s="11" t="str">
        <x:f>IF(M823="","",MIN(100,S823*100*'Config_v6'!$B$44+MIN(100,L823/'Config_v6'!$B$13*100)*'Config_v6'!$B$45+(100-'Motor_Meciuri'!BF64)*'Config_v6'!$B$46+'Motor_Meciuri'!BH64*100*'Config_v6'!$B$47))</x:f>
      </x:c>
      <x:c r="U823" s="2" t="str">
        <x:f>IF(T823="","",IF(T823&lt;=20,1,IF(T823&lt;=40,2,IF(T823&lt;=60,3,IF(T823&lt;=80,4,5)))))</x:f>
      </x:c>
      <x:c r="V823" s="2" t="str">
        <x:f>IF(M823="","",MAX(0,'Motor_Meciuri'!BF64-IF(W823="OOS PENDING",'Config_v6'!$B$35,0)-IF(L823&gt;'Config_v6'!$B$12,'Config_v6'!$B$37,IF(L823&gt;'Config_v6'!$B$11,'Config_v6'!$B$36,0))))</x:f>
      </x:c>
      <x:c r="W823" s="2" t="str">
        <x:f>IF(B823="","",IF(I823&lt;&gt;"READY","NOT RELEASED",IF(NOT(AND(J823="PASS",'Calibrare_Linii'!U11="VALID")),"INVALID",IF(NOT(AND('Calibrare_Linii'!S11="VALIDATED",AND('Calibrare_Linii'!H11=C823,ISNUMBER('Calibrare_Linii'!J11),'Calibrare_Linii'!J11&lt;='Input_Meci'!G64))),"OOS PENDING",IF(S823&lt;='Calibrare_Linii'!E11,"PASS",IF(S823&lt;='Calibrare_Linii'!F11,"PENALTY","WATCH"))))))</x:f>
      </x:c>
      <x:c r="X823" s="2" t="str">
        <x:f>IF(M823="","",IF(AND(AND(J823="PASS",'Calibrare_Linii'!U11="VALID"),'Motor_Meciuri'!K64=12,'Motor_Meciuri'!L64=12,'Motor_Meciuri'!M64="NO",'Motor_Meciuri'!BL64='Motor_Meciuri'!C64,AB823&gt;='Config_v6'!$B$50,AN823&gt;='Config_v6'!$B$51,T823&lt;='Config_v6'!$B$52,L823&lt;='Config_v6'!$B$53,ISNUMBER('Calibrare_Linii'!E11),S823&lt;='Calibrare_Linii'!E11,SUM(AK823:AM823)&gt;0),"CANDIDATE","NO"))</x:f>
      </x:c>
      <x:c r="Y823" s="2" t="str">
        <x:f>IF(B823="","",IF(I823&lt;&gt;"READY","NOT RELEASED",IF(AND(X823="CANDIDATE",V823&gt;='Config_v6'!$B$51,W823="PASS",'Calibrare_Linii'!T11="VALIDATED",AND('Calibrare_Linii'!H11=C823,ISNUMBER('Calibrare_Linii'!J11),'Calibrare_Linii'!J11&lt;='Input_Meci'!G64)),"PASS",IF(X823="CANDIDATE","OOS PENDING","FAIL"))))</x:f>
      </x:c>
      <x:c r="Z823" s="2" t="str">
        <x:f>IF(B823="","",IF(I823&lt;&gt;"READY","",IF(OR(NOT(AND(J823="PASS",'Calibrare_Linii'!U11="VALID")),L823&gt;'Config_v6'!$B$13,W823="WATCH"),5,IF(Y823="PASS",1,MIN(5,MAX('Config_v6'!$B$42,U823)+IF(W823="PENALTY",1,0))))))</x:f>
      </x:c>
      <x:c r="AA823" s="2" t="str">
        <x:f>IF(B823="","",IF(I823&lt;&gt;"READY","NOT RELEASED",IF(Z823=5,"NO BET",IF(OR(AB823&lt;'Config_v6'!$B$16,V823&lt;'Config_v6'!$B$18),"WATCH",IF(Z823=1,"DEFENSIV",IF(Z823=2,"PRUDENT",IF(Z823=3,"MODERAT","RIDICAT")))))))</x:f>
      </x:c>
      <x:c r="AB823" s="10" t="str">
        <x:f>IF(N823="","",MIN(N823,1-S823))</x:f>
      </x:c>
      <x:c r="AC823" s="2" t="str">
        <x:f>IF(AD823&lt;&gt;1,"",COUNTIFS($Z$818:$Z$831,"&lt;"&amp;Z823,$AD$818:$AD$831,1)+COUNTIFS($Z$818:$Z$831,Z823,$AB$818:$AB$831,"&gt;"&amp;AB823,$AD$818:$AD$831,1)+COUNTIFS($Z$818:$Z$831,Z823,$AB$818:$AB$831,AB823,$V$818:$V$831,"&gt;"&amp;V823,$AD$818:$AD$831,1)+COUNTIFS($Z$818:Z823,Z823,$AB$818:AB823,AB823,$V$818:V823,V823,$AD$818:AD823,1))</x:f>
      </x:c>
      <x:c r="AD823" s="2" t="n">
        <x:f>IF(OR(AA823="DEFENSIV",AA823="PRUDENT",AA823="MODERAT",AA823="RIDICAT"),1,0)</x:f>
        <x:v>0</x:v>
      </x:c>
      <x:c r="AE823" s="2" t="str">
        <x:f>IF(AD823&lt;&gt;1,"NO",IF(W823="PASS","YES",IF(W823="OOS PENDING","CONDITIONAL","NO")))</x:f>
        <x:v>NO</x:v>
      </x:c>
      <x:c r="AF823" s="2" t="n">
        <x:f>IF(AND(AD823=1,AC823=1,E823="LIVE"),1,0)</x:f>
        <x:v>0</x:v>
      </x:c>
      <x:c r="AG823" s="2" t="str">
        <x:f>IF(AF823&lt;&gt;1,"",'Dashboard'!P84)</x:f>
      </x:c>
      <x:c r="AH823" s="2" t="str">
        <x:f>IF(B823="","",IF(J823&lt;&gt;"PASS",'Motor_Meciuri'!J64,IF('Calibrare_Linii'!U11&lt;&gt;"VALID","Parametri linie invalizi",IF(L823&gt;'Config_v6'!$B$13,"Dispersie peste limita",IF(W823="WATCH","Failure peste limita",IF(AB823&lt;'Config_v6'!$B$16,"P finala sub prag",IF(V823&lt;'Config_v6'!$B$18,"Confidence sub prag",IF(E823="REPLAY","Exemplu retrospectiv; exclus din Top LIVE",IF(Y823="PASS","DEFENSIV validat",IF(W823="OOS PENDING","Eligibil; calibrare linie in monitorizare","Eligibil"))))))))))</x:f>
      </x:c>
      <x:c r="AI823" s="2" t="str">
        <x:f>IF(B823="","",'Calibrare_Linii'!V11)</x:f>
      </x:c>
      <x:c r="AJ823" s="2" t="str">
        <x:f>IF(B823="","",IF(AND('Calibrare_Linii'!T11="VALIDATED",AND('Calibrare_Linii'!H11=C823,ISNUMBER('Calibrare_Linii'!J11),'Calibrare_Linii'!J11&lt;='Input_Meci'!G64)),"DEFENSIVE VALIDATED",IF(AND('Calibrare_Linii'!S11="VALIDATED",AND('Calibrare_Linii'!H11=C823,ISNUMBER('Calibrare_Linii'!J11),'Calibrare_Linii'!J11&lt;='Input_Meci'!G64)),"TAIL VALIDATED","OOS PENDING")))</x:f>
      </x:c>
      <x:c r="AK823" s="2" t="n">
        <x:f>IF(J823&lt;&gt;"PASS",0,'Motor_Meciuri'!BR64)</x:f>
        <x:v>0</x:v>
      </x:c>
      <x:c r="AL823" s="2" t="n">
        <x:f>IF(J823&lt;&gt;"PASS",0,'Motor_Meciuri'!BS64)</x:f>
        <x:v>0</x:v>
      </x:c>
      <x:c r="AM823" s="2" t="n">
        <x:f>IF(J823&lt;&gt;"PASS",0,'Motor_Meciuri'!BT64)</x:f>
        <x:v>0</x:v>
      </x:c>
      <x:c r="AN823" s="2" t="str">
        <x:f>IF(M823="","",MAX(0,'Motor_Meciuri'!BF64-IF(L823&gt;'Config_v6'!$B$12,'Config_v6'!$B$37,IF(L823&gt;'Config_v6'!$B$11,'Config_v6'!$B$36,0))))</x:f>
      </x:c>
    </x:row>
    <x:row r="824" ht="21" customHeight="1">
      <x:c r="A824" s="2" t="n">
        <x:v>59</x:v>
      </x:c>
      <x:c r="B824" s="2" t="str">
        <x:f>IF('Motor_Meciuri'!A64="","",'Motor_Meciuri'!A64)</x:f>
      </x:c>
      <x:c r="C824" s="2" t="str">
        <x:f>IF(B824="","",'Motor_Meciuri'!B64)</x:f>
      </x:c>
      <x:c r="D824" s="2" t="str">
        <x:f>IF(B824="","",'Motor_Meciuri'!D64)</x:f>
      </x:c>
      <x:c r="E824" s="2" t="str">
        <x:f>IF(B824="","",'Motor_Meciuri'!E64)</x:f>
      </x:c>
      <x:c r="F824" s="2" t="str">
        <x:v>U10,5</x:v>
      </x:c>
      <x:c r="G824" s="2" t="str">
        <x:v>UNDER</x:v>
      </x:c>
      <x:c r="H824" s="2" t="n">
        <x:v>10</x:v>
      </x:c>
      <x:c r="I824" s="2" t="str">
        <x:f>IF(B824="","",'Motor_Meciuri'!H64)</x:f>
      </x:c>
      <x:c r="J824" s="2" t="str">
        <x:f>IF(B824="","",'Motor_Meciuri'!I64)</x:f>
      </x:c>
      <x:c r="K824" s="11" t="str">
        <x:f>IF(J824&lt;&gt;"PASS","",'Motor_Meciuri'!BD64)</x:f>
      </x:c>
      <x:c r="L824" s="11" t="str">
        <x:f>IF(J824&lt;&gt;"PASS","",'Motor_Meciuri'!AU64)</x:f>
      </x:c>
      <x:c r="M824" s="10" t="str">
        <x:f>IF(NOT(AND(J824="PASS",'Calibrare_Linii'!U12="VALID")),"",'Distributie'!AH64)</x:f>
      </x:c>
      <x:c r="N824" s="10" t="str">
        <x:f>IF(M824="","",MAX(0.01,MIN(0.99,0.5+(M824-0.5)*'Motor_Meciuri'!BG64*'Calibrare_Linii'!D12)))</x:f>
      </x:c>
      <x:c r="O824" s="10" t="str">
        <x:f>IF(M824="","",1-M824)</x:f>
      </x:c>
      <x:c r="P824" s="10" t="str">
        <x:f>IF(OR(NOT(AND(J824="PASS",'Calibrare_Linii'!U12="VALID")),AK824=0),""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*('Istoric_Nativ'!$Q$6:$Q$405&gt;H824))/AK824)</x:f>
      </x:c>
      <x:c r="Q824" s="10" t="str">
        <x:f>IF(OR(NOT(AND(J824="PASS",'Calibrare_Linii'!U12="VALID")),AL824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M64)+((('Istoric_Nativ'!$E$6:$E$405='Input_Meci'!E64)+('Istoric_Nativ'!$F$6:$F$405='Input_Meci'!E64))&gt;0)*('Istoric_Nativ'!$D$6:$D$405&gt;='Motor_Meciuri'!BN64))&gt;0)*('Istoric_Nativ'!$Q$6:$Q$405&gt;H824))/AL824)</x:f>
      </x:c>
      <x:c r="R824" s="10" t="str">
        <x:f>IF(OR(NOT(AND(J824="PASS",'Calibrare_Linii'!U12="VALID")),AM824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O64)+((('Istoric_Nativ'!$E$6:$E$405='Input_Meci'!E64)+('Istoric_Nativ'!$F$6:$F$405='Input_Meci'!E64))&gt;0)*('Istoric_Nativ'!$D$6:$D$405&gt;='Motor_Meciuri'!BP64))&gt;0)*('Istoric_Nativ'!$Q$6:$Q$405&gt;H824))/AM824)</x:f>
      </x:c>
      <x:c r="S824" s="10" t="str">
        <x:f>IF(M824="","",MAX(O824,P824,Q824,R824))</x:f>
      </x:c>
      <x:c r="T824" s="11" t="str">
        <x:f>IF(M824="","",MIN(100,S824*100*'Config_v6'!$B$44+MIN(100,L824/'Config_v6'!$B$13*100)*'Config_v6'!$B$45+(100-'Motor_Meciuri'!BF64)*'Config_v6'!$B$46+'Motor_Meciuri'!BH64*100*'Config_v6'!$B$47))</x:f>
      </x:c>
      <x:c r="U824" s="2" t="str">
        <x:f>IF(T824="","",IF(T824&lt;=20,1,IF(T824&lt;=40,2,IF(T824&lt;=60,3,IF(T824&lt;=80,4,5)))))</x:f>
      </x:c>
      <x:c r="V824" s="2" t="str">
        <x:f>IF(M824="","",MAX(0,'Motor_Meciuri'!BF64-IF(W824="OOS PENDING",'Config_v6'!$B$35,0)-IF(L824&gt;'Config_v6'!$B$12,'Config_v6'!$B$37,IF(L824&gt;'Config_v6'!$B$11,'Config_v6'!$B$36,0))))</x:f>
      </x:c>
      <x:c r="W824" s="2" t="str">
        <x:f>IF(B824="","",IF(I824&lt;&gt;"READY","NOT RELEASED",IF(NOT(AND(J824="PASS",'Calibrare_Linii'!U12="VALID")),"INVALID",IF(NOT(AND('Calibrare_Linii'!S12="VALIDATED",AND('Calibrare_Linii'!H12=C824,ISNUMBER('Calibrare_Linii'!J12),'Calibrare_Linii'!J12&lt;='Input_Meci'!G64))),"OOS PENDING",IF(S824&lt;='Calibrare_Linii'!E12,"PASS",IF(S824&lt;='Calibrare_Linii'!F12,"PENALTY","WATCH"))))))</x:f>
      </x:c>
      <x:c r="X824" s="2" t="str">
        <x:f>IF(M824="","",IF(AND(AND(J824="PASS",'Calibrare_Linii'!U12="VALID"),'Motor_Meciuri'!K64=12,'Motor_Meciuri'!L64=12,'Motor_Meciuri'!M64="NO",'Motor_Meciuri'!BL64='Motor_Meciuri'!C64,AB824&gt;='Config_v6'!$B$50,AN824&gt;='Config_v6'!$B$51,T824&lt;='Config_v6'!$B$52,L824&lt;='Config_v6'!$B$53,ISNUMBER('Calibrare_Linii'!E12),S824&lt;='Calibrare_Linii'!E12,SUM(AK824:AM824)&gt;0),"CANDIDATE","NO"))</x:f>
      </x:c>
      <x:c r="Y824" s="2" t="str">
        <x:f>IF(B824="","",IF(I824&lt;&gt;"READY","NOT RELEASED",IF(AND(X824="CANDIDATE",V824&gt;='Config_v6'!$B$51,W824="PASS",'Calibrare_Linii'!T12="VALIDATED",AND('Calibrare_Linii'!H12=C824,ISNUMBER('Calibrare_Linii'!J12),'Calibrare_Linii'!J12&lt;='Input_Meci'!G64)),"PASS",IF(X824="CANDIDATE","OOS PENDING","FAIL"))))</x:f>
      </x:c>
      <x:c r="Z824" s="2" t="str">
        <x:f>IF(B824="","",IF(I824&lt;&gt;"READY","",IF(OR(NOT(AND(J824="PASS",'Calibrare_Linii'!U12="VALID")),L824&gt;'Config_v6'!$B$13,W824="WATCH"),5,IF(Y824="PASS",1,MIN(5,MAX('Config_v6'!$B$42,U824)+IF(W824="PENALTY",1,0))))))</x:f>
      </x:c>
      <x:c r="AA824" s="2" t="str">
        <x:f>IF(B824="","",IF(I824&lt;&gt;"READY","NOT RELEASED",IF(Z824=5,"NO BET",IF(OR(AB824&lt;'Config_v6'!$B$16,V824&lt;'Config_v6'!$B$18),"WATCH",IF(Z824=1,"DEFENSIV",IF(Z824=2,"PRUDENT",IF(Z824=3,"MODERAT","RIDICAT")))))))</x:f>
      </x:c>
      <x:c r="AB824" s="10" t="str">
        <x:f>IF(N824="","",MIN(N824,1-S824))</x:f>
      </x:c>
      <x:c r="AC824" s="2" t="str">
        <x:f>IF(AD824&lt;&gt;1,"",COUNTIFS($Z$818:$Z$831,"&lt;"&amp;Z824,$AD$818:$AD$831,1)+COUNTIFS($Z$818:$Z$831,Z824,$AB$818:$AB$831,"&gt;"&amp;AB824,$AD$818:$AD$831,1)+COUNTIFS($Z$818:$Z$831,Z824,$AB$818:$AB$831,AB824,$V$818:$V$831,"&gt;"&amp;V824,$AD$818:$AD$831,1)+COUNTIFS($Z$818:Z824,Z824,$AB$818:AB824,AB824,$V$818:V824,V824,$AD$818:AD824,1))</x:f>
      </x:c>
      <x:c r="AD824" s="2" t="n">
        <x:f>IF(OR(AA824="DEFENSIV",AA824="PRUDENT",AA824="MODERAT",AA824="RIDICAT"),1,0)</x:f>
        <x:v>0</x:v>
      </x:c>
      <x:c r="AE824" s="2" t="str">
        <x:f>IF(AD824&lt;&gt;1,"NO",IF(W824="PASS","YES",IF(W824="OOS PENDING","CONDITIONAL","NO")))</x:f>
        <x:v>NO</x:v>
      </x:c>
      <x:c r="AF824" s="2" t="n">
        <x:f>IF(AND(AD824=1,AC824=1,E824="LIVE"),1,0)</x:f>
        <x:v>0</x:v>
      </x:c>
      <x:c r="AG824" s="2" t="str">
        <x:f>IF(AF824&lt;&gt;1,"",'Dashboard'!P84)</x:f>
      </x:c>
      <x:c r="AH824" s="2" t="str">
        <x:f>IF(B824="","",IF(J824&lt;&gt;"PASS",'Motor_Meciuri'!J64,IF('Calibrare_Linii'!U12&lt;&gt;"VALID","Parametri linie invalizi",IF(L824&gt;'Config_v6'!$B$13,"Dispersie peste limita",IF(W824="WATCH","Failure peste limita",IF(AB824&lt;'Config_v6'!$B$16,"P finala sub prag",IF(V824&lt;'Config_v6'!$B$18,"Confidence sub prag",IF(E824="REPLAY","Exemplu retrospectiv; exclus din Top LIVE",IF(Y824="PASS","DEFENSIV validat",IF(W824="OOS PENDING","Eligibil; calibrare linie in monitorizare","Eligibil"))))))))))</x:f>
      </x:c>
      <x:c r="AI824" s="2" t="str">
        <x:f>IF(B824="","",'Calibrare_Linii'!V12)</x:f>
      </x:c>
      <x:c r="AJ824" s="2" t="str">
        <x:f>IF(B824="","",IF(AND('Calibrare_Linii'!T12="VALIDATED",AND('Calibrare_Linii'!H12=C824,ISNUMBER('Calibrare_Linii'!J12),'Calibrare_Linii'!J12&lt;='Input_Meci'!G64)),"DEFENSIVE VALIDATED",IF(AND('Calibrare_Linii'!S12="VALIDATED",AND('Calibrare_Linii'!H12=C824,ISNUMBER('Calibrare_Linii'!J12),'Calibrare_Linii'!J12&lt;='Input_Meci'!G64)),"TAIL VALIDATED","OOS PENDING")))</x:f>
      </x:c>
      <x:c r="AK824" s="2" t="n">
        <x:f>IF(J824&lt;&gt;"PASS",0,'Motor_Meciuri'!BR64)</x:f>
        <x:v>0</x:v>
      </x:c>
      <x:c r="AL824" s="2" t="n">
        <x:f>IF(J824&lt;&gt;"PASS",0,'Motor_Meciuri'!BS64)</x:f>
        <x:v>0</x:v>
      </x:c>
      <x:c r="AM824" s="2" t="n">
        <x:f>IF(J824&lt;&gt;"PASS",0,'Motor_Meciuri'!BT64)</x:f>
        <x:v>0</x:v>
      </x:c>
      <x:c r="AN824" s="2" t="str">
        <x:f>IF(M824="","",MAX(0,'Motor_Meciuri'!BF64-IF(L824&gt;'Config_v6'!$B$12,'Config_v6'!$B$37,IF(L824&gt;'Config_v6'!$B$11,'Config_v6'!$B$36,0))))</x:f>
      </x:c>
    </x:row>
    <x:row r="825" ht="21" customHeight="1">
      <x:c r="A825" s="2" t="n">
        <x:v>59</x:v>
      </x:c>
      <x:c r="B825" s="2" t="str">
        <x:f>IF('Motor_Meciuri'!A64="","",'Motor_Meciuri'!A64)</x:f>
      </x:c>
      <x:c r="C825" s="2" t="str">
        <x:f>IF(B825="","",'Motor_Meciuri'!B64)</x:f>
      </x:c>
      <x:c r="D825" s="2" t="str">
        <x:f>IF(B825="","",'Motor_Meciuri'!D64)</x:f>
      </x:c>
      <x:c r="E825" s="2" t="str">
        <x:f>IF(B825="","",'Motor_Meciuri'!E64)</x:f>
      </x:c>
      <x:c r="F825" s="2" t="str">
        <x:v>U11,5</x:v>
      </x:c>
      <x:c r="G825" s="2" t="str">
        <x:v>UNDER</x:v>
      </x:c>
      <x:c r="H825" s="2" t="n">
        <x:v>11</x:v>
      </x:c>
      <x:c r="I825" s="2" t="str">
        <x:f>IF(B825="","",'Motor_Meciuri'!H64)</x:f>
      </x:c>
      <x:c r="J825" s="2" t="str">
        <x:f>IF(B825="","",'Motor_Meciuri'!I64)</x:f>
      </x:c>
      <x:c r="K825" s="11" t="str">
        <x:f>IF(J825&lt;&gt;"PASS","",'Motor_Meciuri'!BD64)</x:f>
      </x:c>
      <x:c r="L825" s="11" t="str">
        <x:f>IF(J825&lt;&gt;"PASS","",'Motor_Meciuri'!AU64)</x:f>
      </x:c>
      <x:c r="M825" s="10" t="str">
        <x:f>IF(NOT(AND(J825="PASS",'Calibrare_Linii'!U13="VALID")),"",'Distributie'!AI64)</x:f>
      </x:c>
      <x:c r="N825" s="10" t="str">
        <x:f>IF(M825="","",MAX(0.01,MIN(0.99,0.5+(M825-0.5)*'Motor_Meciuri'!BG64*'Calibrare_Linii'!D13)))</x:f>
      </x:c>
      <x:c r="O825" s="10" t="str">
        <x:f>IF(M825="","",1-M825)</x:f>
      </x:c>
      <x:c r="P825" s="10" t="str">
        <x:f>IF(OR(NOT(AND(J825="PASS",'Calibrare_Linii'!U13="VALID")),AK825=0),""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*('Istoric_Nativ'!$Q$6:$Q$405&gt;H825))/AK825)</x:f>
      </x:c>
      <x:c r="Q825" s="10" t="str">
        <x:f>IF(OR(NOT(AND(J825="PASS",'Calibrare_Linii'!U13="VALID")),AL825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M64)+((('Istoric_Nativ'!$E$6:$E$405='Input_Meci'!E64)+('Istoric_Nativ'!$F$6:$F$405='Input_Meci'!E64))&gt;0)*('Istoric_Nativ'!$D$6:$D$405&gt;='Motor_Meciuri'!BN64))&gt;0)*('Istoric_Nativ'!$Q$6:$Q$405&gt;H825))/AL825)</x:f>
      </x:c>
      <x:c r="R825" s="10" t="str">
        <x:f>IF(OR(NOT(AND(J825="PASS",'Calibrare_Linii'!U13="VALID")),AM825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O64)+((('Istoric_Nativ'!$E$6:$E$405='Input_Meci'!E64)+('Istoric_Nativ'!$F$6:$F$405='Input_Meci'!E64))&gt;0)*('Istoric_Nativ'!$D$6:$D$405&gt;='Motor_Meciuri'!BP64))&gt;0)*('Istoric_Nativ'!$Q$6:$Q$405&gt;H825))/AM825)</x:f>
      </x:c>
      <x:c r="S825" s="10" t="str">
        <x:f>IF(M825="","",MAX(O825,P825,Q825,R825))</x:f>
      </x:c>
      <x:c r="T825" s="11" t="str">
        <x:f>IF(M825="","",MIN(100,S825*100*'Config_v6'!$B$44+MIN(100,L825/'Config_v6'!$B$13*100)*'Config_v6'!$B$45+(100-'Motor_Meciuri'!BF64)*'Config_v6'!$B$46+'Motor_Meciuri'!BH64*100*'Config_v6'!$B$47))</x:f>
      </x:c>
      <x:c r="U825" s="2" t="str">
        <x:f>IF(T825="","",IF(T825&lt;=20,1,IF(T825&lt;=40,2,IF(T825&lt;=60,3,IF(T825&lt;=80,4,5)))))</x:f>
      </x:c>
      <x:c r="V825" s="2" t="str">
        <x:f>IF(M825="","",MAX(0,'Motor_Meciuri'!BF64-IF(W825="OOS PENDING",'Config_v6'!$B$35,0)-IF(L825&gt;'Config_v6'!$B$12,'Config_v6'!$B$37,IF(L825&gt;'Config_v6'!$B$11,'Config_v6'!$B$36,0))))</x:f>
      </x:c>
      <x:c r="W825" s="2" t="str">
        <x:f>IF(B825="","",IF(I825&lt;&gt;"READY","NOT RELEASED",IF(NOT(AND(J825="PASS",'Calibrare_Linii'!U13="VALID")),"INVALID",IF(NOT(AND('Calibrare_Linii'!S13="VALIDATED",AND('Calibrare_Linii'!H13=C825,ISNUMBER('Calibrare_Linii'!J13),'Calibrare_Linii'!J13&lt;='Input_Meci'!G64))),"OOS PENDING",IF(S825&lt;='Calibrare_Linii'!E13,"PASS",IF(S825&lt;='Calibrare_Linii'!F13,"PENALTY","WATCH"))))))</x:f>
      </x:c>
      <x:c r="X825" s="2" t="str">
        <x:f>IF(M825="","",IF(AND(AND(J825="PASS",'Calibrare_Linii'!U13="VALID"),'Motor_Meciuri'!K64=12,'Motor_Meciuri'!L64=12,'Motor_Meciuri'!M64="NO",'Motor_Meciuri'!BL64='Motor_Meciuri'!C64,AB825&gt;='Config_v6'!$B$50,AN825&gt;='Config_v6'!$B$51,T825&lt;='Config_v6'!$B$52,L825&lt;='Config_v6'!$B$53,ISNUMBER('Calibrare_Linii'!E13),S825&lt;='Calibrare_Linii'!E13,SUM(AK825:AM825)&gt;0),"CANDIDATE","NO"))</x:f>
      </x:c>
      <x:c r="Y825" s="2" t="str">
        <x:f>IF(B825="","",IF(I825&lt;&gt;"READY","NOT RELEASED",IF(AND(X825="CANDIDATE",V825&gt;='Config_v6'!$B$51,W825="PASS",'Calibrare_Linii'!T13="VALIDATED",AND('Calibrare_Linii'!H13=C825,ISNUMBER('Calibrare_Linii'!J13),'Calibrare_Linii'!J13&lt;='Input_Meci'!G64)),"PASS",IF(X825="CANDIDATE","OOS PENDING","FAIL"))))</x:f>
      </x:c>
      <x:c r="Z825" s="2" t="str">
        <x:f>IF(B825="","",IF(I825&lt;&gt;"READY","",IF(OR(NOT(AND(J825="PASS",'Calibrare_Linii'!U13="VALID")),L825&gt;'Config_v6'!$B$13,W825="WATCH"),5,IF(Y825="PASS",1,MIN(5,MAX('Config_v6'!$B$42,U825)+IF(W825="PENALTY",1,0))))))</x:f>
      </x:c>
      <x:c r="AA825" s="2" t="str">
        <x:f>IF(B825="","",IF(I825&lt;&gt;"READY","NOT RELEASED",IF(Z825=5,"NO BET",IF(OR(AB825&lt;'Config_v6'!$B$16,V825&lt;'Config_v6'!$B$18),"WATCH",IF(Z825=1,"DEFENSIV",IF(Z825=2,"PRUDENT",IF(Z825=3,"MODERAT","RIDICAT")))))))</x:f>
      </x:c>
      <x:c r="AB825" s="10" t="str">
        <x:f>IF(N825="","",MIN(N825,1-S825))</x:f>
      </x:c>
      <x:c r="AC825" s="2" t="str">
        <x:f>IF(AD825&lt;&gt;1,"",COUNTIFS($Z$818:$Z$831,"&lt;"&amp;Z825,$AD$818:$AD$831,1)+COUNTIFS($Z$818:$Z$831,Z825,$AB$818:$AB$831,"&gt;"&amp;AB825,$AD$818:$AD$831,1)+COUNTIFS($Z$818:$Z$831,Z825,$AB$818:$AB$831,AB825,$V$818:$V$831,"&gt;"&amp;V825,$AD$818:$AD$831,1)+COUNTIFS($Z$818:Z825,Z825,$AB$818:AB825,AB825,$V$818:V825,V825,$AD$818:AD825,1))</x:f>
      </x:c>
      <x:c r="AD825" s="2" t="n">
        <x:f>IF(OR(AA825="DEFENSIV",AA825="PRUDENT",AA825="MODERAT",AA825="RIDICAT"),1,0)</x:f>
        <x:v>0</x:v>
      </x:c>
      <x:c r="AE825" s="2" t="str">
        <x:f>IF(AD825&lt;&gt;1,"NO",IF(W825="PASS","YES",IF(W825="OOS PENDING","CONDITIONAL","NO")))</x:f>
        <x:v>NO</x:v>
      </x:c>
      <x:c r="AF825" s="2" t="n">
        <x:f>IF(AND(AD825=1,AC825=1,E825="LIVE"),1,0)</x:f>
        <x:v>0</x:v>
      </x:c>
      <x:c r="AG825" s="2" t="str">
        <x:f>IF(AF825&lt;&gt;1,"",'Dashboard'!P84)</x:f>
      </x:c>
      <x:c r="AH825" s="2" t="str">
        <x:f>IF(B825="","",IF(J825&lt;&gt;"PASS",'Motor_Meciuri'!J64,IF('Calibrare_Linii'!U13&lt;&gt;"VALID","Parametri linie invalizi",IF(L825&gt;'Config_v6'!$B$13,"Dispersie peste limita",IF(W825="WATCH","Failure peste limita",IF(AB825&lt;'Config_v6'!$B$16,"P finala sub prag",IF(V825&lt;'Config_v6'!$B$18,"Confidence sub prag",IF(E825="REPLAY","Exemplu retrospectiv; exclus din Top LIVE",IF(Y825="PASS","DEFENSIV validat",IF(W825="OOS PENDING","Eligibil; calibrare linie in monitorizare","Eligibil"))))))))))</x:f>
      </x:c>
      <x:c r="AI825" s="2" t="str">
        <x:f>IF(B825="","",'Calibrare_Linii'!V13)</x:f>
      </x:c>
      <x:c r="AJ825" s="2" t="str">
        <x:f>IF(B825="","",IF(AND('Calibrare_Linii'!T13="VALIDATED",AND('Calibrare_Linii'!H13=C825,ISNUMBER('Calibrare_Linii'!J13),'Calibrare_Linii'!J13&lt;='Input_Meci'!G64)),"DEFENSIVE VALIDATED",IF(AND('Calibrare_Linii'!S13="VALIDATED",AND('Calibrare_Linii'!H13=C825,ISNUMBER('Calibrare_Linii'!J13),'Calibrare_Linii'!J13&lt;='Input_Meci'!G64)),"TAIL VALIDATED","OOS PENDING")))</x:f>
      </x:c>
      <x:c r="AK825" s="2" t="n">
        <x:f>IF(J825&lt;&gt;"PASS",0,'Motor_Meciuri'!BR64)</x:f>
        <x:v>0</x:v>
      </x:c>
      <x:c r="AL825" s="2" t="n">
        <x:f>IF(J825&lt;&gt;"PASS",0,'Motor_Meciuri'!BS64)</x:f>
        <x:v>0</x:v>
      </x:c>
      <x:c r="AM825" s="2" t="n">
        <x:f>IF(J825&lt;&gt;"PASS",0,'Motor_Meciuri'!BT64)</x:f>
        <x:v>0</x:v>
      </x:c>
      <x:c r="AN825" s="2" t="str">
        <x:f>IF(M825="","",MAX(0,'Motor_Meciuri'!BF64-IF(L825&gt;'Config_v6'!$B$12,'Config_v6'!$B$37,IF(L825&gt;'Config_v6'!$B$11,'Config_v6'!$B$36,0))))</x:f>
      </x:c>
    </x:row>
    <x:row r="826" ht="21" customHeight="1">
      <x:c r="A826" s="2" t="n">
        <x:v>59</x:v>
      </x:c>
      <x:c r="B826" s="2" t="str">
        <x:f>IF('Motor_Meciuri'!A64="","",'Motor_Meciuri'!A64)</x:f>
      </x:c>
      <x:c r="C826" s="2" t="str">
        <x:f>IF(B826="","",'Motor_Meciuri'!B64)</x:f>
      </x:c>
      <x:c r="D826" s="2" t="str">
        <x:f>IF(B826="","",'Motor_Meciuri'!D64)</x:f>
      </x:c>
      <x:c r="E826" s="2" t="str">
        <x:f>IF(B826="","",'Motor_Meciuri'!E64)</x:f>
      </x:c>
      <x:c r="F826" s="2" t="str">
        <x:v>U12,5</x:v>
      </x:c>
      <x:c r="G826" s="2" t="str">
        <x:v>UNDER</x:v>
      </x:c>
      <x:c r="H826" s="2" t="n">
        <x:v>12</x:v>
      </x:c>
      <x:c r="I826" s="2" t="str">
        <x:f>IF(B826="","",'Motor_Meciuri'!H64)</x:f>
      </x:c>
      <x:c r="J826" s="2" t="str">
        <x:f>IF(B826="","",'Motor_Meciuri'!I64)</x:f>
      </x:c>
      <x:c r="K826" s="11" t="str">
        <x:f>IF(J826&lt;&gt;"PASS","",'Motor_Meciuri'!BD64)</x:f>
      </x:c>
      <x:c r="L826" s="11" t="str">
        <x:f>IF(J826&lt;&gt;"PASS","",'Motor_Meciuri'!AU64)</x:f>
      </x:c>
      <x:c r="M826" s="10" t="str">
        <x:f>IF(NOT(AND(J826="PASS",'Calibrare_Linii'!U14="VALID")),"",'Distributie'!AJ64)</x:f>
      </x:c>
      <x:c r="N826" s="10" t="str">
        <x:f>IF(M826="","",MAX(0.01,MIN(0.99,0.5+(M826-0.5)*'Motor_Meciuri'!BG64*'Calibrare_Linii'!D14)))</x:f>
      </x:c>
      <x:c r="O826" s="10" t="str">
        <x:f>IF(M826="","",1-M826)</x:f>
      </x:c>
      <x:c r="P826" s="10" t="str">
        <x:f>IF(OR(NOT(AND(J826="PASS",'Calibrare_Linii'!U14="VALID")),AK826=0),""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*('Istoric_Nativ'!$Q$6:$Q$405&gt;H826))/AK826)</x:f>
      </x:c>
      <x:c r="Q826" s="10" t="str">
        <x:f>IF(OR(NOT(AND(J826="PASS",'Calibrare_Linii'!U14="VALID")),AL826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M64)+((('Istoric_Nativ'!$E$6:$E$405='Input_Meci'!E64)+('Istoric_Nativ'!$F$6:$F$405='Input_Meci'!E64))&gt;0)*('Istoric_Nativ'!$D$6:$D$405&gt;='Motor_Meciuri'!BN64))&gt;0)*('Istoric_Nativ'!$Q$6:$Q$405&gt;H826))/AL826)</x:f>
      </x:c>
      <x:c r="R826" s="10" t="str">
        <x:f>IF(OR(NOT(AND(J826="PASS",'Calibrare_Linii'!U14="VALID")),AM826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O64)+((('Istoric_Nativ'!$E$6:$E$405='Input_Meci'!E64)+('Istoric_Nativ'!$F$6:$F$405='Input_Meci'!E64))&gt;0)*('Istoric_Nativ'!$D$6:$D$405&gt;='Motor_Meciuri'!BP64))&gt;0)*('Istoric_Nativ'!$Q$6:$Q$405&gt;H826))/AM826)</x:f>
      </x:c>
      <x:c r="S826" s="10" t="str">
        <x:f>IF(M826="","",MAX(O826,P826,Q826,R826))</x:f>
      </x:c>
      <x:c r="T826" s="11" t="str">
        <x:f>IF(M826="","",MIN(100,S826*100*'Config_v6'!$B$44+MIN(100,L826/'Config_v6'!$B$13*100)*'Config_v6'!$B$45+(100-'Motor_Meciuri'!BF64)*'Config_v6'!$B$46+'Motor_Meciuri'!BH64*100*'Config_v6'!$B$47))</x:f>
      </x:c>
      <x:c r="U826" s="2" t="str">
        <x:f>IF(T826="","",IF(T826&lt;=20,1,IF(T826&lt;=40,2,IF(T826&lt;=60,3,IF(T826&lt;=80,4,5)))))</x:f>
      </x:c>
      <x:c r="V826" s="2" t="str">
        <x:f>IF(M826="","",MAX(0,'Motor_Meciuri'!BF64-IF(W826="OOS PENDING",'Config_v6'!$B$35,0)-IF(L826&gt;'Config_v6'!$B$12,'Config_v6'!$B$37,IF(L826&gt;'Config_v6'!$B$11,'Config_v6'!$B$36,0))))</x:f>
      </x:c>
      <x:c r="W826" s="2" t="str">
        <x:f>IF(B826="","",IF(I826&lt;&gt;"READY","NOT RELEASED",IF(NOT(AND(J826="PASS",'Calibrare_Linii'!U14="VALID")),"INVALID",IF(NOT(AND('Calibrare_Linii'!S14="VALIDATED",AND('Calibrare_Linii'!H14=C826,ISNUMBER('Calibrare_Linii'!J14),'Calibrare_Linii'!J14&lt;='Input_Meci'!G64))),"OOS PENDING",IF(S826&lt;='Calibrare_Linii'!E14,"PASS",IF(S826&lt;='Calibrare_Linii'!F14,"PENALTY","WATCH"))))))</x:f>
      </x:c>
      <x:c r="X826" s="2" t="str">
        <x:f>IF(M826="","",IF(AND(AND(J826="PASS",'Calibrare_Linii'!U14="VALID"),'Motor_Meciuri'!K64=12,'Motor_Meciuri'!L64=12,'Motor_Meciuri'!M64="NO",'Motor_Meciuri'!BL64='Motor_Meciuri'!C64,AB826&gt;='Config_v6'!$B$50,AN826&gt;='Config_v6'!$B$51,T826&lt;='Config_v6'!$B$52,L826&lt;='Config_v6'!$B$53,ISNUMBER('Calibrare_Linii'!E14),S826&lt;='Calibrare_Linii'!E14,SUM(AK826:AM826)&gt;0),"CANDIDATE","NO"))</x:f>
      </x:c>
      <x:c r="Y826" s="2" t="str">
        <x:f>IF(B826="","",IF(I826&lt;&gt;"READY","NOT RELEASED",IF(AND(X826="CANDIDATE",V826&gt;='Config_v6'!$B$51,W826="PASS",'Calibrare_Linii'!T14="VALIDATED",AND('Calibrare_Linii'!H14=C826,ISNUMBER('Calibrare_Linii'!J14),'Calibrare_Linii'!J14&lt;='Input_Meci'!G64)),"PASS",IF(X826="CANDIDATE","OOS PENDING","FAIL"))))</x:f>
      </x:c>
      <x:c r="Z826" s="2" t="str">
        <x:f>IF(B826="","",IF(I826&lt;&gt;"READY","",IF(OR(NOT(AND(J826="PASS",'Calibrare_Linii'!U14="VALID")),L826&gt;'Config_v6'!$B$13,W826="WATCH"),5,IF(Y826="PASS",1,MIN(5,MAX('Config_v6'!$B$42,U826)+IF(W826="PENALTY",1,0))))))</x:f>
      </x:c>
      <x:c r="AA826" s="2" t="str">
        <x:f>IF(B826="","",IF(I826&lt;&gt;"READY","NOT RELEASED",IF(Z826=5,"NO BET",IF(OR(AB826&lt;'Config_v6'!$B$16,V826&lt;'Config_v6'!$B$18),"WATCH",IF(Z826=1,"DEFENSIV",IF(Z826=2,"PRUDENT",IF(Z826=3,"MODERAT","RIDICAT")))))))</x:f>
      </x:c>
      <x:c r="AB826" s="10" t="str">
        <x:f>IF(N826="","",MIN(N826,1-S826))</x:f>
      </x:c>
      <x:c r="AC826" s="2" t="str">
        <x:f>IF(AD826&lt;&gt;1,"",COUNTIFS($Z$818:$Z$831,"&lt;"&amp;Z826,$AD$818:$AD$831,1)+COUNTIFS($Z$818:$Z$831,Z826,$AB$818:$AB$831,"&gt;"&amp;AB826,$AD$818:$AD$831,1)+COUNTIFS($Z$818:$Z$831,Z826,$AB$818:$AB$831,AB826,$V$818:$V$831,"&gt;"&amp;V826,$AD$818:$AD$831,1)+COUNTIFS($Z$818:Z826,Z826,$AB$818:AB826,AB826,$V$818:V826,V826,$AD$818:AD826,1))</x:f>
      </x:c>
      <x:c r="AD826" s="2" t="n">
        <x:f>IF(OR(AA826="DEFENSIV",AA826="PRUDENT",AA826="MODERAT",AA826="RIDICAT"),1,0)</x:f>
        <x:v>0</x:v>
      </x:c>
      <x:c r="AE826" s="2" t="str">
        <x:f>IF(AD826&lt;&gt;1,"NO",IF(W826="PASS","YES",IF(W826="OOS PENDING","CONDITIONAL","NO")))</x:f>
        <x:v>NO</x:v>
      </x:c>
      <x:c r="AF826" s="2" t="n">
        <x:f>IF(AND(AD826=1,AC826=1,E826="LIVE"),1,0)</x:f>
        <x:v>0</x:v>
      </x:c>
      <x:c r="AG826" s="2" t="str">
        <x:f>IF(AF826&lt;&gt;1,"",'Dashboard'!P84)</x:f>
      </x:c>
      <x:c r="AH826" s="2" t="str">
        <x:f>IF(B826="","",IF(J826&lt;&gt;"PASS",'Motor_Meciuri'!J64,IF('Calibrare_Linii'!U14&lt;&gt;"VALID","Parametri linie invalizi",IF(L826&gt;'Config_v6'!$B$13,"Dispersie peste limita",IF(W826="WATCH","Failure peste limita",IF(AB826&lt;'Config_v6'!$B$16,"P finala sub prag",IF(V826&lt;'Config_v6'!$B$18,"Confidence sub prag",IF(E826="REPLAY","Exemplu retrospectiv; exclus din Top LIVE",IF(Y826="PASS","DEFENSIV validat",IF(W826="OOS PENDING","Eligibil; calibrare linie in monitorizare","Eligibil"))))))))))</x:f>
      </x:c>
      <x:c r="AI826" s="2" t="str">
        <x:f>IF(B826="","",'Calibrare_Linii'!V14)</x:f>
      </x:c>
      <x:c r="AJ826" s="2" t="str">
        <x:f>IF(B826="","",IF(AND('Calibrare_Linii'!T14="VALIDATED",AND('Calibrare_Linii'!H14=C826,ISNUMBER('Calibrare_Linii'!J14),'Calibrare_Linii'!J14&lt;='Input_Meci'!G64)),"DEFENSIVE VALIDATED",IF(AND('Calibrare_Linii'!S14="VALIDATED",AND('Calibrare_Linii'!H14=C826,ISNUMBER('Calibrare_Linii'!J14),'Calibrare_Linii'!J14&lt;='Input_Meci'!G64)),"TAIL VALIDATED","OOS PENDING")))</x:f>
      </x:c>
      <x:c r="AK826" s="2" t="n">
        <x:f>IF(J826&lt;&gt;"PASS",0,'Motor_Meciuri'!BR64)</x:f>
        <x:v>0</x:v>
      </x:c>
      <x:c r="AL826" s="2" t="n">
        <x:f>IF(J826&lt;&gt;"PASS",0,'Motor_Meciuri'!BS64)</x:f>
        <x:v>0</x:v>
      </x:c>
      <x:c r="AM826" s="2" t="n">
        <x:f>IF(J826&lt;&gt;"PASS",0,'Motor_Meciuri'!BT64)</x:f>
        <x:v>0</x:v>
      </x:c>
      <x:c r="AN826" s="2" t="str">
        <x:f>IF(M826="","",MAX(0,'Motor_Meciuri'!BF64-IF(L826&gt;'Config_v6'!$B$12,'Config_v6'!$B$37,IF(L826&gt;'Config_v6'!$B$11,'Config_v6'!$B$36,0))))</x:f>
      </x:c>
    </x:row>
    <x:row r="827" ht="21" customHeight="1">
      <x:c r="A827" s="2" t="n">
        <x:v>59</x:v>
      </x:c>
      <x:c r="B827" s="2" t="str">
        <x:f>IF('Motor_Meciuri'!A64="","",'Motor_Meciuri'!A64)</x:f>
      </x:c>
      <x:c r="C827" s="2" t="str">
        <x:f>IF(B827="","",'Motor_Meciuri'!B64)</x:f>
      </x:c>
      <x:c r="D827" s="2" t="str">
        <x:f>IF(B827="","",'Motor_Meciuri'!D64)</x:f>
      </x:c>
      <x:c r="E827" s="2" t="str">
        <x:f>IF(B827="","",'Motor_Meciuri'!E64)</x:f>
      </x:c>
      <x:c r="F827" s="2" t="str">
        <x:v>U13,5</x:v>
      </x:c>
      <x:c r="G827" s="2" t="str">
        <x:v>UNDER</x:v>
      </x:c>
      <x:c r="H827" s="2" t="n">
        <x:v>13</x:v>
      </x:c>
      <x:c r="I827" s="2" t="str">
        <x:f>IF(B827="","",'Motor_Meciuri'!H64)</x:f>
      </x:c>
      <x:c r="J827" s="2" t="str">
        <x:f>IF(B827="","",'Motor_Meciuri'!I64)</x:f>
      </x:c>
      <x:c r="K827" s="11" t="str">
        <x:f>IF(J827&lt;&gt;"PASS","",'Motor_Meciuri'!BD64)</x:f>
      </x:c>
      <x:c r="L827" s="11" t="str">
        <x:f>IF(J827&lt;&gt;"PASS","",'Motor_Meciuri'!AU64)</x:f>
      </x:c>
      <x:c r="M827" s="10" t="str">
        <x:f>IF(NOT(AND(J827="PASS",'Calibrare_Linii'!U15="VALID")),"",'Distributie'!AK64)</x:f>
      </x:c>
      <x:c r="N827" s="10" t="str">
        <x:f>IF(M827="","",MAX(0.01,MIN(0.99,0.5+(M827-0.5)*'Motor_Meciuri'!BG64*'Calibrare_Linii'!D15)))</x:f>
      </x:c>
      <x:c r="O827" s="10" t="str">
        <x:f>IF(M827="","",1-M827)</x:f>
      </x:c>
      <x:c r="P827" s="10" t="str">
        <x:f>IF(OR(NOT(AND(J827="PASS",'Calibrare_Linii'!U15="VALID")),AK827=0),""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*('Istoric_Nativ'!$Q$6:$Q$405&gt;H827))/AK827)</x:f>
      </x:c>
      <x:c r="Q827" s="10" t="str">
        <x:f>IF(OR(NOT(AND(J827="PASS",'Calibrare_Linii'!U15="VALID")),AL827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M64)+((('Istoric_Nativ'!$E$6:$E$405='Input_Meci'!E64)+('Istoric_Nativ'!$F$6:$F$405='Input_Meci'!E64))&gt;0)*('Istoric_Nativ'!$D$6:$D$405&gt;='Motor_Meciuri'!BN64))&gt;0)*('Istoric_Nativ'!$Q$6:$Q$405&gt;H827))/AL827)</x:f>
      </x:c>
      <x:c r="R827" s="10" t="str">
        <x:f>IF(OR(NOT(AND(J827="PASS",'Calibrare_Linii'!U15="VALID")),AM827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O64)+((('Istoric_Nativ'!$E$6:$E$405='Input_Meci'!E64)+('Istoric_Nativ'!$F$6:$F$405='Input_Meci'!E64))&gt;0)*('Istoric_Nativ'!$D$6:$D$405&gt;='Motor_Meciuri'!BP64))&gt;0)*('Istoric_Nativ'!$Q$6:$Q$405&gt;H827))/AM827)</x:f>
      </x:c>
      <x:c r="S827" s="10" t="str">
        <x:f>IF(M827="","",MAX(O827,P827,Q827,R827))</x:f>
      </x:c>
      <x:c r="T827" s="11" t="str">
        <x:f>IF(M827="","",MIN(100,S827*100*'Config_v6'!$B$44+MIN(100,L827/'Config_v6'!$B$13*100)*'Config_v6'!$B$45+(100-'Motor_Meciuri'!BF64)*'Config_v6'!$B$46+'Motor_Meciuri'!BH64*100*'Config_v6'!$B$47))</x:f>
      </x:c>
      <x:c r="U827" s="2" t="str">
        <x:f>IF(T827="","",IF(T827&lt;=20,1,IF(T827&lt;=40,2,IF(T827&lt;=60,3,IF(T827&lt;=80,4,5)))))</x:f>
      </x:c>
      <x:c r="V827" s="2" t="str">
        <x:f>IF(M827="","",MAX(0,'Motor_Meciuri'!BF64-IF(W827="OOS PENDING",'Config_v6'!$B$35,0)-IF(L827&gt;'Config_v6'!$B$12,'Config_v6'!$B$37,IF(L827&gt;'Config_v6'!$B$11,'Config_v6'!$B$36,0))))</x:f>
      </x:c>
      <x:c r="W827" s="2" t="str">
        <x:f>IF(B827="","",IF(I827&lt;&gt;"READY","NOT RELEASED",IF(NOT(AND(J827="PASS",'Calibrare_Linii'!U15="VALID")),"INVALID",IF(NOT(AND('Calibrare_Linii'!S15="VALIDATED",AND('Calibrare_Linii'!H15=C827,ISNUMBER('Calibrare_Linii'!J15),'Calibrare_Linii'!J15&lt;='Input_Meci'!G64))),"OOS PENDING",IF(S827&lt;='Calibrare_Linii'!E15,"PASS",IF(S827&lt;='Calibrare_Linii'!F15,"PENALTY","WATCH"))))))</x:f>
      </x:c>
      <x:c r="X827" s="2" t="str">
        <x:f>IF(M827="","",IF(AND(AND(J827="PASS",'Calibrare_Linii'!U15="VALID"),'Motor_Meciuri'!K64=12,'Motor_Meciuri'!L64=12,'Motor_Meciuri'!M64="NO",'Motor_Meciuri'!BL64='Motor_Meciuri'!C64,AB827&gt;='Config_v6'!$B$50,AN827&gt;='Config_v6'!$B$51,T827&lt;='Config_v6'!$B$52,L827&lt;='Config_v6'!$B$53,ISNUMBER('Calibrare_Linii'!E15),S827&lt;='Calibrare_Linii'!E15,SUM(AK827:AM827)&gt;0),"CANDIDATE","NO"))</x:f>
      </x:c>
      <x:c r="Y827" s="2" t="str">
        <x:f>IF(B827="","",IF(I827&lt;&gt;"READY","NOT RELEASED",IF(AND(X827="CANDIDATE",V827&gt;='Config_v6'!$B$51,W827="PASS",'Calibrare_Linii'!T15="VALIDATED",AND('Calibrare_Linii'!H15=C827,ISNUMBER('Calibrare_Linii'!J15),'Calibrare_Linii'!J15&lt;='Input_Meci'!G64)),"PASS",IF(X827="CANDIDATE","OOS PENDING","FAIL"))))</x:f>
      </x:c>
      <x:c r="Z827" s="2" t="str">
        <x:f>IF(B827="","",IF(I827&lt;&gt;"READY","",IF(OR(NOT(AND(J827="PASS",'Calibrare_Linii'!U15="VALID")),L827&gt;'Config_v6'!$B$13,W827="WATCH"),5,IF(Y827="PASS",1,MIN(5,MAX('Config_v6'!$B$42,U827)+IF(W827="PENALTY",1,0))))))</x:f>
      </x:c>
      <x:c r="AA827" s="2" t="str">
        <x:f>IF(B827="","",IF(I827&lt;&gt;"READY","NOT RELEASED",IF(Z827=5,"NO BET",IF(OR(AB827&lt;'Config_v6'!$B$16,V827&lt;'Config_v6'!$B$18),"WATCH",IF(Z827=1,"DEFENSIV",IF(Z827=2,"PRUDENT",IF(Z827=3,"MODERAT","RIDICAT")))))))</x:f>
      </x:c>
      <x:c r="AB827" s="10" t="str">
        <x:f>IF(N827="","",MIN(N827,1-S827))</x:f>
      </x:c>
      <x:c r="AC827" s="2" t="str">
        <x:f>IF(AD827&lt;&gt;1,"",COUNTIFS($Z$818:$Z$831,"&lt;"&amp;Z827,$AD$818:$AD$831,1)+COUNTIFS($Z$818:$Z$831,Z827,$AB$818:$AB$831,"&gt;"&amp;AB827,$AD$818:$AD$831,1)+COUNTIFS($Z$818:$Z$831,Z827,$AB$818:$AB$831,AB827,$V$818:$V$831,"&gt;"&amp;V827,$AD$818:$AD$831,1)+COUNTIFS($Z$818:Z827,Z827,$AB$818:AB827,AB827,$V$818:V827,V827,$AD$818:AD827,1))</x:f>
      </x:c>
      <x:c r="AD827" s="2" t="n">
        <x:f>IF(OR(AA827="DEFENSIV",AA827="PRUDENT",AA827="MODERAT",AA827="RIDICAT"),1,0)</x:f>
        <x:v>0</x:v>
      </x:c>
      <x:c r="AE827" s="2" t="str">
        <x:f>IF(AD827&lt;&gt;1,"NO",IF(W827="PASS","YES",IF(W827="OOS PENDING","CONDITIONAL","NO")))</x:f>
        <x:v>NO</x:v>
      </x:c>
      <x:c r="AF827" s="2" t="n">
        <x:f>IF(AND(AD827=1,AC827=1,E827="LIVE"),1,0)</x:f>
        <x:v>0</x:v>
      </x:c>
      <x:c r="AG827" s="2" t="str">
        <x:f>IF(AF827&lt;&gt;1,"",'Dashboard'!P84)</x:f>
      </x:c>
      <x:c r="AH827" s="2" t="str">
        <x:f>IF(B827="","",IF(J827&lt;&gt;"PASS",'Motor_Meciuri'!J64,IF('Calibrare_Linii'!U15&lt;&gt;"VALID","Parametri linie invalizi",IF(L827&gt;'Config_v6'!$B$13,"Dispersie peste limita",IF(W827="WATCH","Failure peste limita",IF(AB827&lt;'Config_v6'!$B$16,"P finala sub prag",IF(V827&lt;'Config_v6'!$B$18,"Confidence sub prag",IF(E827="REPLAY","Exemplu retrospectiv; exclus din Top LIVE",IF(Y827="PASS","DEFENSIV validat",IF(W827="OOS PENDING","Eligibil; calibrare linie in monitorizare","Eligibil"))))))))))</x:f>
      </x:c>
      <x:c r="AI827" s="2" t="str">
        <x:f>IF(B827="","",'Calibrare_Linii'!V15)</x:f>
      </x:c>
      <x:c r="AJ827" s="2" t="str">
        <x:f>IF(B827="","",IF(AND('Calibrare_Linii'!T15="VALIDATED",AND('Calibrare_Linii'!H15=C827,ISNUMBER('Calibrare_Linii'!J15),'Calibrare_Linii'!J15&lt;='Input_Meci'!G64)),"DEFENSIVE VALIDATED",IF(AND('Calibrare_Linii'!S15="VALIDATED",AND('Calibrare_Linii'!H15=C827,ISNUMBER('Calibrare_Linii'!J15),'Calibrare_Linii'!J15&lt;='Input_Meci'!G64)),"TAIL VALIDATED","OOS PENDING")))</x:f>
      </x:c>
      <x:c r="AK827" s="2" t="n">
        <x:f>IF(J827&lt;&gt;"PASS",0,'Motor_Meciuri'!BR64)</x:f>
        <x:v>0</x:v>
      </x:c>
      <x:c r="AL827" s="2" t="n">
        <x:f>IF(J827&lt;&gt;"PASS",0,'Motor_Meciuri'!BS64)</x:f>
        <x:v>0</x:v>
      </x:c>
      <x:c r="AM827" s="2" t="n">
        <x:f>IF(J827&lt;&gt;"PASS",0,'Motor_Meciuri'!BT64)</x:f>
        <x:v>0</x:v>
      </x:c>
      <x:c r="AN827" s="2" t="str">
        <x:f>IF(M827="","",MAX(0,'Motor_Meciuri'!BF64-IF(L827&gt;'Config_v6'!$B$12,'Config_v6'!$B$37,IF(L827&gt;'Config_v6'!$B$11,'Config_v6'!$B$36,0))))</x:f>
      </x:c>
    </x:row>
    <x:row r="828" ht="21" customHeight="1">
      <x:c r="A828" s="2" t="n">
        <x:v>59</x:v>
      </x:c>
      <x:c r="B828" s="2" t="str">
        <x:f>IF('Motor_Meciuri'!A64="","",'Motor_Meciuri'!A64)</x:f>
      </x:c>
      <x:c r="C828" s="2" t="str">
        <x:f>IF(B828="","",'Motor_Meciuri'!B64)</x:f>
      </x:c>
      <x:c r="D828" s="2" t="str">
        <x:f>IF(B828="","",'Motor_Meciuri'!D64)</x:f>
      </x:c>
      <x:c r="E828" s="2" t="str">
        <x:f>IF(B828="","",'Motor_Meciuri'!E64)</x:f>
      </x:c>
      <x:c r="F828" s="2" t="str">
        <x:v>U14,5</x:v>
      </x:c>
      <x:c r="G828" s="2" t="str">
        <x:v>UNDER</x:v>
      </x:c>
      <x:c r="H828" s="2" t="n">
        <x:v>14</x:v>
      </x:c>
      <x:c r="I828" s="2" t="str">
        <x:f>IF(B828="","",'Motor_Meciuri'!H64)</x:f>
      </x:c>
      <x:c r="J828" s="2" t="str">
        <x:f>IF(B828="","",'Motor_Meciuri'!I64)</x:f>
      </x:c>
      <x:c r="K828" s="11" t="str">
        <x:f>IF(J828&lt;&gt;"PASS","",'Motor_Meciuri'!BD64)</x:f>
      </x:c>
      <x:c r="L828" s="11" t="str">
        <x:f>IF(J828&lt;&gt;"PASS","",'Motor_Meciuri'!AU64)</x:f>
      </x:c>
      <x:c r="M828" s="10" t="str">
        <x:f>IF(NOT(AND(J828="PASS",'Calibrare_Linii'!U16="VALID")),"",'Distributie'!AL64)</x:f>
      </x:c>
      <x:c r="N828" s="10" t="str">
        <x:f>IF(M828="","",MAX(0.01,MIN(0.99,0.5+(M828-0.5)*'Motor_Meciuri'!BG64*'Calibrare_Linii'!D16)))</x:f>
      </x:c>
      <x:c r="O828" s="10" t="str">
        <x:f>IF(M828="","",1-M828)</x:f>
      </x:c>
      <x:c r="P828" s="10" t="str">
        <x:f>IF(OR(NOT(AND(J828="PASS",'Calibrare_Linii'!U16="VALID")),AK828=0),""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*('Istoric_Nativ'!$Q$6:$Q$405&gt;H828))/AK828)</x:f>
      </x:c>
      <x:c r="Q828" s="10" t="str">
        <x:f>IF(OR(NOT(AND(J828="PASS",'Calibrare_Linii'!U16="VALID")),AL828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M64)+((('Istoric_Nativ'!$E$6:$E$405='Input_Meci'!E64)+('Istoric_Nativ'!$F$6:$F$405='Input_Meci'!E64))&gt;0)*('Istoric_Nativ'!$D$6:$D$405&gt;='Motor_Meciuri'!BN64))&gt;0)*('Istoric_Nativ'!$Q$6:$Q$405&gt;H828))/AL828)</x:f>
      </x:c>
      <x:c r="R828" s="10" t="str">
        <x:f>IF(OR(NOT(AND(J828="PASS",'Calibrare_Linii'!U16="VALID")),AM828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O64)+((('Istoric_Nativ'!$E$6:$E$405='Input_Meci'!E64)+('Istoric_Nativ'!$F$6:$F$405='Input_Meci'!E64))&gt;0)*('Istoric_Nativ'!$D$6:$D$405&gt;='Motor_Meciuri'!BP64))&gt;0)*('Istoric_Nativ'!$Q$6:$Q$405&gt;H828))/AM828)</x:f>
      </x:c>
      <x:c r="S828" s="10" t="str">
        <x:f>IF(M828="","",MAX(O828,P828,Q828,R828))</x:f>
      </x:c>
      <x:c r="T828" s="11" t="str">
        <x:f>IF(M828="","",MIN(100,S828*100*'Config_v6'!$B$44+MIN(100,L828/'Config_v6'!$B$13*100)*'Config_v6'!$B$45+(100-'Motor_Meciuri'!BF64)*'Config_v6'!$B$46+'Motor_Meciuri'!BH64*100*'Config_v6'!$B$47))</x:f>
      </x:c>
      <x:c r="U828" s="2" t="str">
        <x:f>IF(T828="","",IF(T828&lt;=20,1,IF(T828&lt;=40,2,IF(T828&lt;=60,3,IF(T828&lt;=80,4,5)))))</x:f>
      </x:c>
      <x:c r="V828" s="2" t="str">
        <x:f>IF(M828="","",MAX(0,'Motor_Meciuri'!BF64-IF(W828="OOS PENDING",'Config_v6'!$B$35,0)-IF(L828&gt;'Config_v6'!$B$12,'Config_v6'!$B$37,IF(L828&gt;'Config_v6'!$B$11,'Config_v6'!$B$36,0))))</x:f>
      </x:c>
      <x:c r="W828" s="2" t="str">
        <x:f>IF(B828="","",IF(I828&lt;&gt;"READY","NOT RELEASED",IF(NOT(AND(J828="PASS",'Calibrare_Linii'!U16="VALID")),"INVALID",IF(NOT(AND('Calibrare_Linii'!S16="VALIDATED",AND('Calibrare_Linii'!H16=C828,ISNUMBER('Calibrare_Linii'!J16),'Calibrare_Linii'!J16&lt;='Input_Meci'!G64))),"OOS PENDING",IF(S828&lt;='Calibrare_Linii'!E16,"PASS",IF(S828&lt;='Calibrare_Linii'!F16,"PENALTY","WATCH"))))))</x:f>
      </x:c>
      <x:c r="X828" s="2" t="str">
        <x:f>IF(M828="","",IF(AND(AND(J828="PASS",'Calibrare_Linii'!U16="VALID"),'Motor_Meciuri'!K64=12,'Motor_Meciuri'!L64=12,'Motor_Meciuri'!M64="NO",'Motor_Meciuri'!BL64='Motor_Meciuri'!C64,AB828&gt;='Config_v6'!$B$50,AN828&gt;='Config_v6'!$B$51,T828&lt;='Config_v6'!$B$52,L828&lt;='Config_v6'!$B$53,ISNUMBER('Calibrare_Linii'!E16),S828&lt;='Calibrare_Linii'!E16,SUM(AK828:AM828)&gt;0),"CANDIDATE","NO"))</x:f>
      </x:c>
      <x:c r="Y828" s="2" t="str">
        <x:f>IF(B828="","",IF(I828&lt;&gt;"READY","NOT RELEASED",IF(AND(X828="CANDIDATE",V828&gt;='Config_v6'!$B$51,W828="PASS",'Calibrare_Linii'!T16="VALIDATED",AND('Calibrare_Linii'!H16=C828,ISNUMBER('Calibrare_Linii'!J16),'Calibrare_Linii'!J16&lt;='Input_Meci'!G64)),"PASS",IF(X828="CANDIDATE","OOS PENDING","FAIL"))))</x:f>
      </x:c>
      <x:c r="Z828" s="2" t="str">
        <x:f>IF(B828="","",IF(I828&lt;&gt;"READY","",IF(OR(NOT(AND(J828="PASS",'Calibrare_Linii'!U16="VALID")),L828&gt;'Config_v6'!$B$13,W828="WATCH"),5,IF(Y828="PASS",1,MIN(5,MAX('Config_v6'!$B$42,U828)+IF(W828="PENALTY",1,0))))))</x:f>
      </x:c>
      <x:c r="AA828" s="2" t="str">
        <x:f>IF(B828="","",IF(I828&lt;&gt;"READY","NOT RELEASED",IF(Z828=5,"NO BET",IF(OR(AB828&lt;'Config_v6'!$B$16,V828&lt;'Config_v6'!$B$18),"WATCH",IF(Z828=1,"DEFENSIV",IF(Z828=2,"PRUDENT",IF(Z828=3,"MODERAT","RIDICAT")))))))</x:f>
      </x:c>
      <x:c r="AB828" s="10" t="str">
        <x:f>IF(N828="","",MIN(N828,1-S828))</x:f>
      </x:c>
      <x:c r="AC828" s="2" t="str">
        <x:f>IF(AD828&lt;&gt;1,"",COUNTIFS($Z$818:$Z$831,"&lt;"&amp;Z828,$AD$818:$AD$831,1)+COUNTIFS($Z$818:$Z$831,Z828,$AB$818:$AB$831,"&gt;"&amp;AB828,$AD$818:$AD$831,1)+COUNTIFS($Z$818:$Z$831,Z828,$AB$818:$AB$831,AB828,$V$818:$V$831,"&gt;"&amp;V828,$AD$818:$AD$831,1)+COUNTIFS($Z$818:Z828,Z828,$AB$818:AB828,AB828,$V$818:V828,V828,$AD$818:AD828,1))</x:f>
      </x:c>
      <x:c r="AD828" s="2" t="n">
        <x:f>IF(OR(AA828="DEFENSIV",AA828="PRUDENT",AA828="MODERAT",AA828="RIDICAT"),1,0)</x:f>
        <x:v>0</x:v>
      </x:c>
      <x:c r="AE828" s="2" t="str">
        <x:f>IF(AD828&lt;&gt;1,"NO",IF(W828="PASS","YES",IF(W828="OOS PENDING","CONDITIONAL","NO")))</x:f>
        <x:v>NO</x:v>
      </x:c>
      <x:c r="AF828" s="2" t="n">
        <x:f>IF(AND(AD828=1,AC828=1,E828="LIVE"),1,0)</x:f>
        <x:v>0</x:v>
      </x:c>
      <x:c r="AG828" s="2" t="str">
        <x:f>IF(AF828&lt;&gt;1,"",'Dashboard'!P84)</x:f>
      </x:c>
      <x:c r="AH828" s="2" t="str">
        <x:f>IF(B828="","",IF(J828&lt;&gt;"PASS",'Motor_Meciuri'!J64,IF('Calibrare_Linii'!U16&lt;&gt;"VALID","Parametri linie invalizi",IF(L828&gt;'Config_v6'!$B$13,"Dispersie peste limita",IF(W828="WATCH","Failure peste limita",IF(AB828&lt;'Config_v6'!$B$16,"P finala sub prag",IF(V828&lt;'Config_v6'!$B$18,"Confidence sub prag",IF(E828="REPLAY","Exemplu retrospectiv; exclus din Top LIVE",IF(Y828="PASS","DEFENSIV validat",IF(W828="OOS PENDING","Eligibil; calibrare linie in monitorizare","Eligibil"))))))))))</x:f>
      </x:c>
      <x:c r="AI828" s="2" t="str">
        <x:f>IF(B828="","",'Calibrare_Linii'!V16)</x:f>
      </x:c>
      <x:c r="AJ828" s="2" t="str">
        <x:f>IF(B828="","",IF(AND('Calibrare_Linii'!T16="VALIDATED",AND('Calibrare_Linii'!H16=C828,ISNUMBER('Calibrare_Linii'!J16),'Calibrare_Linii'!J16&lt;='Input_Meci'!G64)),"DEFENSIVE VALIDATED",IF(AND('Calibrare_Linii'!S16="VALIDATED",AND('Calibrare_Linii'!H16=C828,ISNUMBER('Calibrare_Linii'!J16),'Calibrare_Linii'!J16&lt;='Input_Meci'!G64)),"TAIL VALIDATED","OOS PENDING")))</x:f>
      </x:c>
      <x:c r="AK828" s="2" t="n">
        <x:f>IF(J828&lt;&gt;"PASS",0,'Motor_Meciuri'!BR64)</x:f>
        <x:v>0</x:v>
      </x:c>
      <x:c r="AL828" s="2" t="n">
        <x:f>IF(J828&lt;&gt;"PASS",0,'Motor_Meciuri'!BS64)</x:f>
        <x:v>0</x:v>
      </x:c>
      <x:c r="AM828" s="2" t="n">
        <x:f>IF(J828&lt;&gt;"PASS",0,'Motor_Meciuri'!BT64)</x:f>
        <x:v>0</x:v>
      </x:c>
      <x:c r="AN828" s="2" t="str">
        <x:f>IF(M828="","",MAX(0,'Motor_Meciuri'!BF64-IF(L828&gt;'Config_v6'!$B$12,'Config_v6'!$B$37,IF(L828&gt;'Config_v6'!$B$11,'Config_v6'!$B$36,0))))</x:f>
      </x:c>
    </x:row>
    <x:row r="829" ht="21" customHeight="1">
      <x:c r="A829" s="2" t="n">
        <x:v>59</x:v>
      </x:c>
      <x:c r="B829" s="2" t="str">
        <x:f>IF('Motor_Meciuri'!A64="","",'Motor_Meciuri'!A64)</x:f>
      </x:c>
      <x:c r="C829" s="2" t="str">
        <x:f>IF(B829="","",'Motor_Meciuri'!B64)</x:f>
      </x:c>
      <x:c r="D829" s="2" t="str">
        <x:f>IF(B829="","",'Motor_Meciuri'!D64)</x:f>
      </x:c>
      <x:c r="E829" s="2" t="str">
        <x:f>IF(B829="","",'Motor_Meciuri'!E64)</x:f>
      </x:c>
      <x:c r="F829" s="2" t="str">
        <x:v>U15,5</x:v>
      </x:c>
      <x:c r="G829" s="2" t="str">
        <x:v>UNDER</x:v>
      </x:c>
      <x:c r="H829" s="2" t="n">
        <x:v>15</x:v>
      </x:c>
      <x:c r="I829" s="2" t="str">
        <x:f>IF(B829="","",'Motor_Meciuri'!H64)</x:f>
      </x:c>
      <x:c r="J829" s="2" t="str">
        <x:f>IF(B829="","",'Motor_Meciuri'!I64)</x:f>
      </x:c>
      <x:c r="K829" s="11" t="str">
        <x:f>IF(J829&lt;&gt;"PASS","",'Motor_Meciuri'!BD64)</x:f>
      </x:c>
      <x:c r="L829" s="11" t="str">
        <x:f>IF(J829&lt;&gt;"PASS","",'Motor_Meciuri'!AU64)</x:f>
      </x:c>
      <x:c r="M829" s="10" t="str">
        <x:f>IF(NOT(AND(J829="PASS",'Calibrare_Linii'!U17="VALID")),"",'Distributie'!AM64)</x:f>
      </x:c>
      <x:c r="N829" s="10" t="str">
        <x:f>IF(M829="","",MAX(0.01,MIN(0.99,0.5+(M829-0.5)*'Motor_Meciuri'!BG64*'Calibrare_Linii'!D17)))</x:f>
      </x:c>
      <x:c r="O829" s="10" t="str">
        <x:f>IF(M829="","",1-M829)</x:f>
      </x:c>
      <x:c r="P829" s="10" t="str">
        <x:f>IF(OR(NOT(AND(J829="PASS",'Calibrare_Linii'!U17="VALID")),AK829=0),""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*('Istoric_Nativ'!$Q$6:$Q$405&gt;H829))/AK829)</x:f>
      </x:c>
      <x:c r="Q829" s="10" t="str">
        <x:f>IF(OR(NOT(AND(J829="PASS",'Calibrare_Linii'!U17="VALID")),AL829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M64)+((('Istoric_Nativ'!$E$6:$E$405='Input_Meci'!E64)+('Istoric_Nativ'!$F$6:$F$405='Input_Meci'!E64))&gt;0)*('Istoric_Nativ'!$D$6:$D$405&gt;='Motor_Meciuri'!BN64))&gt;0)*('Istoric_Nativ'!$Q$6:$Q$405&gt;H829))/AL829)</x:f>
      </x:c>
      <x:c r="R829" s="10" t="str">
        <x:f>IF(OR(NOT(AND(J829="PASS",'Calibrare_Linii'!U17="VALID")),AM829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O64)+((('Istoric_Nativ'!$E$6:$E$405='Input_Meci'!E64)+('Istoric_Nativ'!$F$6:$F$405='Input_Meci'!E64))&gt;0)*('Istoric_Nativ'!$D$6:$D$405&gt;='Motor_Meciuri'!BP64))&gt;0)*('Istoric_Nativ'!$Q$6:$Q$405&gt;H829))/AM829)</x:f>
      </x:c>
      <x:c r="S829" s="10" t="str">
        <x:f>IF(M829="","",MAX(O829,P829,Q829,R829))</x:f>
      </x:c>
      <x:c r="T829" s="11" t="str">
        <x:f>IF(M829="","",MIN(100,S829*100*'Config_v6'!$B$44+MIN(100,L829/'Config_v6'!$B$13*100)*'Config_v6'!$B$45+(100-'Motor_Meciuri'!BF64)*'Config_v6'!$B$46+'Motor_Meciuri'!BH64*100*'Config_v6'!$B$47))</x:f>
      </x:c>
      <x:c r="U829" s="2" t="str">
        <x:f>IF(T829="","",IF(T829&lt;=20,1,IF(T829&lt;=40,2,IF(T829&lt;=60,3,IF(T829&lt;=80,4,5)))))</x:f>
      </x:c>
      <x:c r="V829" s="2" t="str">
        <x:f>IF(M829="","",MAX(0,'Motor_Meciuri'!BF64-IF(W829="OOS PENDING",'Config_v6'!$B$35,0)-IF(L829&gt;'Config_v6'!$B$12,'Config_v6'!$B$37,IF(L829&gt;'Config_v6'!$B$11,'Config_v6'!$B$36,0))))</x:f>
      </x:c>
      <x:c r="W829" s="2" t="str">
        <x:f>IF(B829="","",IF(I829&lt;&gt;"READY","NOT RELEASED",IF(NOT(AND(J829="PASS",'Calibrare_Linii'!U17="VALID")),"INVALID",IF(NOT(AND('Calibrare_Linii'!S17="VALIDATED",AND('Calibrare_Linii'!H17=C829,ISNUMBER('Calibrare_Linii'!J17),'Calibrare_Linii'!J17&lt;='Input_Meci'!G64))),"OOS PENDING",IF(S829&lt;='Calibrare_Linii'!E17,"PASS",IF(S829&lt;='Calibrare_Linii'!F17,"PENALTY","WATCH"))))))</x:f>
      </x:c>
      <x:c r="X829" s="2" t="str">
        <x:f>IF(M829="","",IF(AND(AND(J829="PASS",'Calibrare_Linii'!U17="VALID"),'Motor_Meciuri'!K64=12,'Motor_Meciuri'!L64=12,'Motor_Meciuri'!M64="NO",'Motor_Meciuri'!BL64='Motor_Meciuri'!C64,AB829&gt;='Config_v6'!$B$50,AN829&gt;='Config_v6'!$B$51,T829&lt;='Config_v6'!$B$52,L829&lt;='Config_v6'!$B$53,ISNUMBER('Calibrare_Linii'!E17),S829&lt;='Calibrare_Linii'!E17,SUM(AK829:AM829)&gt;0),"CANDIDATE","NO"))</x:f>
      </x:c>
      <x:c r="Y829" s="2" t="str">
        <x:f>IF(B829="","",IF(I829&lt;&gt;"READY","NOT RELEASED",IF(AND(X829="CANDIDATE",V829&gt;='Config_v6'!$B$51,W829="PASS",'Calibrare_Linii'!T17="VALIDATED",AND('Calibrare_Linii'!H17=C829,ISNUMBER('Calibrare_Linii'!J17),'Calibrare_Linii'!J17&lt;='Input_Meci'!G64)),"PASS",IF(X829="CANDIDATE","OOS PENDING","FAIL"))))</x:f>
      </x:c>
      <x:c r="Z829" s="2" t="str">
        <x:f>IF(B829="","",IF(I829&lt;&gt;"READY","",IF(OR(NOT(AND(J829="PASS",'Calibrare_Linii'!U17="VALID")),L829&gt;'Config_v6'!$B$13,W829="WATCH"),5,IF(Y829="PASS",1,MIN(5,MAX('Config_v6'!$B$42,U829)+IF(W829="PENALTY",1,0))))))</x:f>
      </x:c>
      <x:c r="AA829" s="2" t="str">
        <x:f>IF(B829="","",IF(I829&lt;&gt;"READY","NOT RELEASED",IF(Z829=5,"NO BET",IF(OR(AB829&lt;'Config_v6'!$B$16,V829&lt;'Config_v6'!$B$18),"WATCH",IF(Z829=1,"DEFENSIV",IF(Z829=2,"PRUDENT",IF(Z829=3,"MODERAT","RIDICAT")))))))</x:f>
      </x:c>
      <x:c r="AB829" s="10" t="str">
        <x:f>IF(N829="","",MIN(N829,1-S829))</x:f>
      </x:c>
      <x:c r="AC829" s="2" t="str">
        <x:f>IF(AD829&lt;&gt;1,"",COUNTIFS($Z$818:$Z$831,"&lt;"&amp;Z829,$AD$818:$AD$831,1)+COUNTIFS($Z$818:$Z$831,Z829,$AB$818:$AB$831,"&gt;"&amp;AB829,$AD$818:$AD$831,1)+COUNTIFS($Z$818:$Z$831,Z829,$AB$818:$AB$831,AB829,$V$818:$V$831,"&gt;"&amp;V829,$AD$818:$AD$831,1)+COUNTIFS($Z$818:Z829,Z829,$AB$818:AB829,AB829,$V$818:V829,V829,$AD$818:AD829,1))</x:f>
      </x:c>
      <x:c r="AD829" s="2" t="n">
        <x:f>IF(OR(AA829="DEFENSIV",AA829="PRUDENT",AA829="MODERAT",AA829="RIDICAT"),1,0)</x:f>
        <x:v>0</x:v>
      </x:c>
      <x:c r="AE829" s="2" t="str">
        <x:f>IF(AD829&lt;&gt;1,"NO",IF(W829="PASS","YES",IF(W829="OOS PENDING","CONDITIONAL","NO")))</x:f>
        <x:v>NO</x:v>
      </x:c>
      <x:c r="AF829" s="2" t="n">
        <x:f>IF(AND(AD829=1,AC829=1,E829="LIVE"),1,0)</x:f>
        <x:v>0</x:v>
      </x:c>
      <x:c r="AG829" s="2" t="str">
        <x:f>IF(AF829&lt;&gt;1,"",'Dashboard'!P84)</x:f>
      </x:c>
      <x:c r="AH829" s="2" t="str">
        <x:f>IF(B829="","",IF(J829&lt;&gt;"PASS",'Motor_Meciuri'!J64,IF('Calibrare_Linii'!U17&lt;&gt;"VALID","Parametri linie invalizi",IF(L829&gt;'Config_v6'!$B$13,"Dispersie peste limita",IF(W829="WATCH","Failure peste limita",IF(AB829&lt;'Config_v6'!$B$16,"P finala sub prag",IF(V829&lt;'Config_v6'!$B$18,"Confidence sub prag",IF(E829="REPLAY","Exemplu retrospectiv; exclus din Top LIVE",IF(Y829="PASS","DEFENSIV validat",IF(W829="OOS PENDING","Eligibil; calibrare linie in monitorizare","Eligibil"))))))))))</x:f>
      </x:c>
      <x:c r="AI829" s="2" t="str">
        <x:f>IF(B829="","",'Calibrare_Linii'!V17)</x:f>
      </x:c>
      <x:c r="AJ829" s="2" t="str">
        <x:f>IF(B829="","",IF(AND('Calibrare_Linii'!T17="VALIDATED",AND('Calibrare_Linii'!H17=C829,ISNUMBER('Calibrare_Linii'!J17),'Calibrare_Linii'!J17&lt;='Input_Meci'!G64)),"DEFENSIVE VALIDATED",IF(AND('Calibrare_Linii'!S17="VALIDATED",AND('Calibrare_Linii'!H17=C829,ISNUMBER('Calibrare_Linii'!J17),'Calibrare_Linii'!J17&lt;='Input_Meci'!G64)),"TAIL VALIDATED","OOS PENDING")))</x:f>
      </x:c>
      <x:c r="AK829" s="2" t="n">
        <x:f>IF(J829&lt;&gt;"PASS",0,'Motor_Meciuri'!BR64)</x:f>
        <x:v>0</x:v>
      </x:c>
      <x:c r="AL829" s="2" t="n">
        <x:f>IF(J829&lt;&gt;"PASS",0,'Motor_Meciuri'!BS64)</x:f>
        <x:v>0</x:v>
      </x:c>
      <x:c r="AM829" s="2" t="n">
        <x:f>IF(J829&lt;&gt;"PASS",0,'Motor_Meciuri'!BT64)</x:f>
        <x:v>0</x:v>
      </x:c>
      <x:c r="AN829" s="2" t="str">
        <x:f>IF(M829="","",MAX(0,'Motor_Meciuri'!BF64-IF(L829&gt;'Config_v6'!$B$12,'Config_v6'!$B$37,IF(L829&gt;'Config_v6'!$B$11,'Config_v6'!$B$36,0))))</x:f>
      </x:c>
    </x:row>
    <x:row r="830" ht="21" customHeight="1">
      <x:c r="A830" s="2" t="n">
        <x:v>59</x:v>
      </x:c>
      <x:c r="B830" s="2" t="str">
        <x:f>IF('Motor_Meciuri'!A64="","",'Motor_Meciuri'!A64)</x:f>
      </x:c>
      <x:c r="C830" s="2" t="str">
        <x:f>IF(B830="","",'Motor_Meciuri'!B64)</x:f>
      </x:c>
      <x:c r="D830" s="2" t="str">
        <x:f>IF(B830="","",'Motor_Meciuri'!D64)</x:f>
      </x:c>
      <x:c r="E830" s="2" t="str">
        <x:f>IF(B830="","",'Motor_Meciuri'!E64)</x:f>
      </x:c>
      <x:c r="F830" s="2" t="str">
        <x:v>U16,5</x:v>
      </x:c>
      <x:c r="G830" s="2" t="str">
        <x:v>UNDER</x:v>
      </x:c>
      <x:c r="H830" s="2" t="n">
        <x:v>16</x:v>
      </x:c>
      <x:c r="I830" s="2" t="str">
        <x:f>IF(B830="","",'Motor_Meciuri'!H64)</x:f>
      </x:c>
      <x:c r="J830" s="2" t="str">
        <x:f>IF(B830="","",'Motor_Meciuri'!I64)</x:f>
      </x:c>
      <x:c r="K830" s="11" t="str">
        <x:f>IF(J830&lt;&gt;"PASS","",'Motor_Meciuri'!BD64)</x:f>
      </x:c>
      <x:c r="L830" s="11" t="str">
        <x:f>IF(J830&lt;&gt;"PASS","",'Motor_Meciuri'!AU64)</x:f>
      </x:c>
      <x:c r="M830" s="10" t="str">
        <x:f>IF(NOT(AND(J830="PASS",'Calibrare_Linii'!U18="VALID")),"",'Distributie'!AN64)</x:f>
      </x:c>
      <x:c r="N830" s="10" t="str">
        <x:f>IF(M830="","",MAX(0.01,MIN(0.99,0.5+(M830-0.5)*'Motor_Meciuri'!BG64*'Calibrare_Linii'!D18)))</x:f>
      </x:c>
      <x:c r="O830" s="10" t="str">
        <x:f>IF(M830="","",1-M830)</x:f>
      </x:c>
      <x:c r="P830" s="10" t="str">
        <x:f>IF(OR(NOT(AND(J830="PASS",'Calibrare_Linii'!U18="VALID")),AK830=0),""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*('Istoric_Nativ'!$Q$6:$Q$405&gt;H830))/AK830)</x:f>
      </x:c>
      <x:c r="Q830" s="10" t="str">
        <x:f>IF(OR(NOT(AND(J830="PASS",'Calibrare_Linii'!U18="VALID")),AL830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M64)+((('Istoric_Nativ'!$E$6:$E$405='Input_Meci'!E64)+('Istoric_Nativ'!$F$6:$F$405='Input_Meci'!E64))&gt;0)*('Istoric_Nativ'!$D$6:$D$405&gt;='Motor_Meciuri'!BN64))&gt;0)*('Istoric_Nativ'!$Q$6:$Q$405&gt;H830))/AL830)</x:f>
      </x:c>
      <x:c r="R830" s="10" t="str">
        <x:f>IF(OR(NOT(AND(J830="PASS",'Calibrare_Linii'!U18="VALID")),AM830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O64)+((('Istoric_Nativ'!$E$6:$E$405='Input_Meci'!E64)+('Istoric_Nativ'!$F$6:$F$405='Input_Meci'!E64))&gt;0)*('Istoric_Nativ'!$D$6:$D$405&gt;='Motor_Meciuri'!BP64))&gt;0)*('Istoric_Nativ'!$Q$6:$Q$405&gt;H830))/AM830)</x:f>
      </x:c>
      <x:c r="S830" s="10" t="str">
        <x:f>IF(M830="","",MAX(O830,P830,Q830,R830))</x:f>
      </x:c>
      <x:c r="T830" s="11" t="str">
        <x:f>IF(M830="","",MIN(100,S830*100*'Config_v6'!$B$44+MIN(100,L830/'Config_v6'!$B$13*100)*'Config_v6'!$B$45+(100-'Motor_Meciuri'!BF64)*'Config_v6'!$B$46+'Motor_Meciuri'!BH64*100*'Config_v6'!$B$47))</x:f>
      </x:c>
      <x:c r="U830" s="2" t="str">
        <x:f>IF(T830="","",IF(T830&lt;=20,1,IF(T830&lt;=40,2,IF(T830&lt;=60,3,IF(T830&lt;=80,4,5)))))</x:f>
      </x:c>
      <x:c r="V830" s="2" t="str">
        <x:f>IF(M830="","",MAX(0,'Motor_Meciuri'!BF64-IF(W830="OOS PENDING",'Config_v6'!$B$35,0)-IF(L830&gt;'Config_v6'!$B$12,'Config_v6'!$B$37,IF(L830&gt;'Config_v6'!$B$11,'Config_v6'!$B$36,0))))</x:f>
      </x:c>
      <x:c r="W830" s="2" t="str">
        <x:f>IF(B830="","",IF(I830&lt;&gt;"READY","NOT RELEASED",IF(NOT(AND(J830="PASS",'Calibrare_Linii'!U18="VALID")),"INVALID",IF(NOT(AND('Calibrare_Linii'!S18="VALIDATED",AND('Calibrare_Linii'!H18=C830,ISNUMBER('Calibrare_Linii'!J18),'Calibrare_Linii'!J18&lt;='Input_Meci'!G64))),"OOS PENDING",IF(S830&lt;='Calibrare_Linii'!E18,"PASS",IF(S830&lt;='Calibrare_Linii'!F18,"PENALTY","WATCH"))))))</x:f>
      </x:c>
      <x:c r="X830" s="2" t="str">
        <x:f>IF(M830="","",IF(AND(AND(J830="PASS",'Calibrare_Linii'!U18="VALID"),'Motor_Meciuri'!K64=12,'Motor_Meciuri'!L64=12,'Motor_Meciuri'!M64="NO",'Motor_Meciuri'!BL64='Motor_Meciuri'!C64,AB830&gt;='Config_v6'!$B$50,AN830&gt;='Config_v6'!$B$51,T830&lt;='Config_v6'!$B$52,L830&lt;='Config_v6'!$B$53,ISNUMBER('Calibrare_Linii'!E18),S830&lt;='Calibrare_Linii'!E18,SUM(AK830:AM830)&gt;0),"CANDIDATE","NO"))</x:f>
      </x:c>
      <x:c r="Y830" s="2" t="str">
        <x:f>IF(B830="","",IF(I830&lt;&gt;"READY","NOT RELEASED",IF(AND(X830="CANDIDATE",V830&gt;='Config_v6'!$B$51,W830="PASS",'Calibrare_Linii'!T18="VALIDATED",AND('Calibrare_Linii'!H18=C830,ISNUMBER('Calibrare_Linii'!J18),'Calibrare_Linii'!J18&lt;='Input_Meci'!G64)),"PASS",IF(X830="CANDIDATE","OOS PENDING","FAIL"))))</x:f>
      </x:c>
      <x:c r="Z830" s="2" t="str">
        <x:f>IF(B830="","",IF(I830&lt;&gt;"READY","",IF(OR(NOT(AND(J830="PASS",'Calibrare_Linii'!U18="VALID")),L830&gt;'Config_v6'!$B$13,W830="WATCH"),5,IF(Y830="PASS",1,MIN(5,MAX('Config_v6'!$B$42,U830)+IF(W830="PENALTY",1,0))))))</x:f>
      </x:c>
      <x:c r="AA830" s="2" t="str">
        <x:f>IF(B830="","",IF(I830&lt;&gt;"READY","NOT RELEASED",IF(Z830=5,"NO BET",IF(OR(AB830&lt;'Config_v6'!$B$16,V830&lt;'Config_v6'!$B$18),"WATCH",IF(Z830=1,"DEFENSIV",IF(Z830=2,"PRUDENT",IF(Z830=3,"MODERAT","RIDICAT")))))))</x:f>
      </x:c>
      <x:c r="AB830" s="10" t="str">
        <x:f>IF(N830="","",MIN(N830,1-S830))</x:f>
      </x:c>
      <x:c r="AC830" s="2" t="str">
        <x:f>IF(AD830&lt;&gt;1,"",COUNTIFS($Z$818:$Z$831,"&lt;"&amp;Z830,$AD$818:$AD$831,1)+COUNTIFS($Z$818:$Z$831,Z830,$AB$818:$AB$831,"&gt;"&amp;AB830,$AD$818:$AD$831,1)+COUNTIFS($Z$818:$Z$831,Z830,$AB$818:$AB$831,AB830,$V$818:$V$831,"&gt;"&amp;V830,$AD$818:$AD$831,1)+COUNTIFS($Z$818:Z830,Z830,$AB$818:AB830,AB830,$V$818:V830,V830,$AD$818:AD830,1))</x:f>
      </x:c>
      <x:c r="AD830" s="2" t="n">
        <x:f>IF(OR(AA830="DEFENSIV",AA830="PRUDENT",AA830="MODERAT",AA830="RIDICAT"),1,0)</x:f>
        <x:v>0</x:v>
      </x:c>
      <x:c r="AE830" s="2" t="str">
        <x:f>IF(AD830&lt;&gt;1,"NO",IF(W830="PASS","YES",IF(W830="OOS PENDING","CONDITIONAL","NO")))</x:f>
        <x:v>NO</x:v>
      </x:c>
      <x:c r="AF830" s="2" t="n">
        <x:f>IF(AND(AD830=1,AC830=1,E830="LIVE"),1,0)</x:f>
        <x:v>0</x:v>
      </x:c>
      <x:c r="AG830" s="2" t="str">
        <x:f>IF(AF830&lt;&gt;1,"",'Dashboard'!P84)</x:f>
      </x:c>
      <x:c r="AH830" s="2" t="str">
        <x:f>IF(B830="","",IF(J830&lt;&gt;"PASS",'Motor_Meciuri'!J64,IF('Calibrare_Linii'!U18&lt;&gt;"VALID","Parametri linie invalizi",IF(L830&gt;'Config_v6'!$B$13,"Dispersie peste limita",IF(W830="WATCH","Failure peste limita",IF(AB830&lt;'Config_v6'!$B$16,"P finala sub prag",IF(V830&lt;'Config_v6'!$B$18,"Confidence sub prag",IF(E830="REPLAY","Exemplu retrospectiv; exclus din Top LIVE",IF(Y830="PASS","DEFENSIV validat",IF(W830="OOS PENDING","Eligibil; calibrare linie in monitorizare","Eligibil"))))))))))</x:f>
      </x:c>
      <x:c r="AI830" s="2" t="str">
        <x:f>IF(B830="","",'Calibrare_Linii'!V18)</x:f>
      </x:c>
      <x:c r="AJ830" s="2" t="str">
        <x:f>IF(B830="","",IF(AND('Calibrare_Linii'!T18="VALIDATED",AND('Calibrare_Linii'!H18=C830,ISNUMBER('Calibrare_Linii'!J18),'Calibrare_Linii'!J18&lt;='Input_Meci'!G64)),"DEFENSIVE VALIDATED",IF(AND('Calibrare_Linii'!S18="VALIDATED",AND('Calibrare_Linii'!H18=C830,ISNUMBER('Calibrare_Linii'!J18),'Calibrare_Linii'!J18&lt;='Input_Meci'!G64)),"TAIL VALIDATED","OOS PENDING")))</x:f>
      </x:c>
      <x:c r="AK830" s="2" t="n">
        <x:f>IF(J830&lt;&gt;"PASS",0,'Motor_Meciuri'!BR64)</x:f>
        <x:v>0</x:v>
      </x:c>
      <x:c r="AL830" s="2" t="n">
        <x:f>IF(J830&lt;&gt;"PASS",0,'Motor_Meciuri'!BS64)</x:f>
        <x:v>0</x:v>
      </x:c>
      <x:c r="AM830" s="2" t="n">
        <x:f>IF(J830&lt;&gt;"PASS",0,'Motor_Meciuri'!BT64)</x:f>
        <x:v>0</x:v>
      </x:c>
      <x:c r="AN830" s="2" t="str">
        <x:f>IF(M830="","",MAX(0,'Motor_Meciuri'!BF64-IF(L830&gt;'Config_v6'!$B$12,'Config_v6'!$B$37,IF(L830&gt;'Config_v6'!$B$11,'Config_v6'!$B$36,0))))</x:f>
      </x:c>
    </x:row>
    <x:row r="831" ht="21" customHeight="1">
      <x:c r="A831" s="2" t="n">
        <x:v>59</x:v>
      </x:c>
      <x:c r="B831" s="2" t="str">
        <x:f>IF('Motor_Meciuri'!A64="","",'Motor_Meciuri'!A64)</x:f>
      </x:c>
      <x:c r="C831" s="2" t="str">
        <x:f>IF(B831="","",'Motor_Meciuri'!B64)</x:f>
      </x:c>
      <x:c r="D831" s="2" t="str">
        <x:f>IF(B831="","",'Motor_Meciuri'!D64)</x:f>
      </x:c>
      <x:c r="E831" s="2" t="str">
        <x:f>IF(B831="","",'Motor_Meciuri'!E64)</x:f>
      </x:c>
      <x:c r="F831" s="2" t="str">
        <x:v>U17,5</x:v>
      </x:c>
      <x:c r="G831" s="2" t="str">
        <x:v>UNDER</x:v>
      </x:c>
      <x:c r="H831" s="2" t="n">
        <x:v>17</x:v>
      </x:c>
      <x:c r="I831" s="2" t="str">
        <x:f>IF(B831="","",'Motor_Meciuri'!H64)</x:f>
      </x:c>
      <x:c r="J831" s="2" t="str">
        <x:f>IF(B831="","",'Motor_Meciuri'!I64)</x:f>
      </x:c>
      <x:c r="K831" s="11" t="str">
        <x:f>IF(J831&lt;&gt;"PASS","",'Motor_Meciuri'!BD64)</x:f>
      </x:c>
      <x:c r="L831" s="11" t="str">
        <x:f>IF(J831&lt;&gt;"PASS","",'Motor_Meciuri'!AU64)</x:f>
      </x:c>
      <x:c r="M831" s="10" t="str">
        <x:f>IF(NOT(AND(J831="PASS",'Calibrare_Linii'!U19="VALID")),"",'Distributie'!AO64)</x:f>
      </x:c>
      <x:c r="N831" s="10" t="str">
        <x:f>IF(M831="","",MAX(0.01,MIN(0.99,0.5+(M831-0.5)*'Motor_Meciuri'!BG64*'Calibrare_Linii'!D19)))</x:f>
      </x:c>
      <x:c r="O831" s="10" t="str">
        <x:f>IF(M831="","",1-M831)</x:f>
      </x:c>
      <x:c r="P831" s="10" t="str">
        <x:f>IF(OR(NOT(AND(J831="PASS",'Calibrare_Linii'!U19="VALID")),AK831=0),""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*('Istoric_Nativ'!$Q$6:$Q$405&gt;H831))/AK831)</x:f>
      </x:c>
      <x:c r="Q831" s="10" t="str">
        <x:f>IF(OR(NOT(AND(J831="PASS",'Calibrare_Linii'!U19="VALID")),AL831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M64)+((('Istoric_Nativ'!$E$6:$E$405='Input_Meci'!E64)+('Istoric_Nativ'!$F$6:$F$405='Input_Meci'!E64))&gt;0)*('Istoric_Nativ'!$D$6:$D$405&gt;='Motor_Meciuri'!BN64))&gt;0)*('Istoric_Nativ'!$Q$6:$Q$405&gt;H831))/AL831)</x:f>
      </x:c>
      <x:c r="R831" s="10" t="str">
        <x:f>IF(OR(NOT(AND(J831="PASS",'Calibrare_Linii'!U19="VALID")),AM831=0),""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'Motor_Meciuri'!BO64)+((('Istoric_Nativ'!$E$6:$E$405='Input_Meci'!E64)+('Istoric_Nativ'!$F$6:$F$405='Input_Meci'!E64))&gt;0)*('Istoric_Nativ'!$D$6:$D$405&gt;='Motor_Meciuri'!BP64))&gt;0)*('Istoric_Nativ'!$Q$6:$Q$405&gt;H831))/AM831)</x:f>
      </x:c>
      <x:c r="S831" s="10" t="str">
        <x:f>IF(M831="","",MAX(O831,P831,Q831,R831))</x:f>
      </x:c>
      <x:c r="T831" s="11" t="str">
        <x:f>IF(M831="","",MIN(100,S831*100*'Config_v6'!$B$44+MIN(100,L831/'Config_v6'!$B$13*100)*'Config_v6'!$B$45+(100-'Motor_Meciuri'!BF64)*'Config_v6'!$B$46+'Motor_Meciuri'!BH64*100*'Config_v6'!$B$47))</x:f>
      </x:c>
      <x:c r="U831" s="2" t="str">
        <x:f>IF(T831="","",IF(T831&lt;=20,1,IF(T831&lt;=40,2,IF(T831&lt;=60,3,IF(T831&lt;=80,4,5)))))</x:f>
      </x:c>
      <x:c r="V831" s="2" t="str">
        <x:f>IF(M831="","",MAX(0,'Motor_Meciuri'!BF64-IF(W831="OOS PENDING",'Config_v6'!$B$35,0)-IF(L831&gt;'Config_v6'!$B$12,'Config_v6'!$B$37,IF(L831&gt;'Config_v6'!$B$11,'Config_v6'!$B$36,0))))</x:f>
      </x:c>
      <x:c r="W831" s="2" t="str">
        <x:f>IF(B831="","",IF(I831&lt;&gt;"READY","NOT RELEASED",IF(NOT(AND(J831="PASS",'Calibrare_Linii'!U19="VALID")),"INVALID",IF(NOT(AND('Calibrare_Linii'!S19="VALIDATED",AND('Calibrare_Linii'!H19=C831,ISNUMBER('Calibrare_Linii'!J19),'Calibrare_Linii'!J19&lt;='Input_Meci'!G64))),"OOS PENDING",IF(S831&lt;='Calibrare_Linii'!E19,"PASS",IF(S831&lt;='Calibrare_Linii'!F19,"PENALTY","WATCH"))))))</x:f>
      </x:c>
      <x:c r="X831" s="2" t="str">
        <x:f>IF(M831="","",IF(AND(AND(J831="PASS",'Calibrare_Linii'!U19="VALID"),'Motor_Meciuri'!K64=12,'Motor_Meciuri'!L64=12,'Motor_Meciuri'!M64="NO",'Motor_Meciuri'!BL64='Motor_Meciuri'!C64,AB831&gt;='Config_v6'!$B$50,AN831&gt;='Config_v6'!$B$51,T831&lt;='Config_v6'!$B$52,L831&lt;='Config_v6'!$B$53,ISNUMBER('Calibrare_Linii'!E19),S831&lt;='Calibrare_Linii'!E19,SUM(AK831:AM831)&gt;0),"CANDIDATE","NO"))</x:f>
      </x:c>
      <x:c r="Y831" s="2" t="str">
        <x:f>IF(B831="","",IF(I831&lt;&gt;"READY","NOT RELEASED",IF(AND(X831="CANDIDATE",V831&gt;='Config_v6'!$B$51,W831="PASS",'Calibrare_Linii'!T19="VALIDATED",AND('Calibrare_Linii'!H19=C831,ISNUMBER('Calibrare_Linii'!J19),'Calibrare_Linii'!J19&lt;='Input_Meci'!G64)),"PASS",IF(X831="CANDIDATE","OOS PENDING","FAIL"))))</x:f>
      </x:c>
      <x:c r="Z831" s="2" t="str">
        <x:f>IF(B831="","",IF(I831&lt;&gt;"READY","",IF(OR(NOT(AND(J831="PASS",'Calibrare_Linii'!U19="VALID")),L831&gt;'Config_v6'!$B$13,W831="WATCH"),5,IF(Y831="PASS",1,MIN(5,MAX('Config_v6'!$B$42,U831)+IF(W831="PENALTY",1,0))))))</x:f>
      </x:c>
      <x:c r="AA831" s="2" t="str">
        <x:f>IF(B831="","",IF(I831&lt;&gt;"READY","NOT RELEASED",IF(Z831=5,"NO BET",IF(OR(AB831&lt;'Config_v6'!$B$16,V831&lt;'Config_v6'!$B$18),"WATCH",IF(Z831=1,"DEFENSIV",IF(Z831=2,"PRUDENT",IF(Z831=3,"MODERAT","RIDICAT")))))))</x:f>
      </x:c>
      <x:c r="AB831" s="10" t="str">
        <x:f>IF(N831="","",MIN(N831,1-S831))</x:f>
      </x:c>
      <x:c r="AC831" s="2" t="str">
        <x:f>IF(AD831&lt;&gt;1,"",COUNTIFS($Z$818:$Z$831,"&lt;"&amp;Z831,$AD$818:$AD$831,1)+COUNTIFS($Z$818:$Z$831,Z831,$AB$818:$AB$831,"&gt;"&amp;AB831,$AD$818:$AD$831,1)+COUNTIFS($Z$818:$Z$831,Z831,$AB$818:$AB$831,AB831,$V$818:$V$831,"&gt;"&amp;V831,$AD$818:$AD$831,1)+COUNTIFS($Z$818:Z831,Z831,$AB$818:AB831,AB831,$V$818:V831,V831,$AD$818:AD831,1))</x:f>
      </x:c>
      <x:c r="AD831" s="2" t="n">
        <x:f>IF(OR(AA831="DEFENSIV",AA831="PRUDENT",AA831="MODERAT",AA831="RIDICAT"),1,0)</x:f>
        <x:v>0</x:v>
      </x:c>
      <x:c r="AE831" s="2" t="str">
        <x:f>IF(AD831&lt;&gt;1,"NO",IF(W831="PASS","YES",IF(W831="OOS PENDING","CONDITIONAL","NO")))</x:f>
        <x:v>NO</x:v>
      </x:c>
      <x:c r="AF831" s="2" t="n">
        <x:f>IF(AND(AD831=1,AC831=1,E831="LIVE"),1,0)</x:f>
        <x:v>0</x:v>
      </x:c>
      <x:c r="AG831" s="2" t="str">
        <x:f>IF(AF831&lt;&gt;1,"",'Dashboard'!P84)</x:f>
      </x:c>
      <x:c r="AH831" s="2" t="str">
        <x:f>IF(B831="","",IF(J831&lt;&gt;"PASS",'Motor_Meciuri'!J64,IF('Calibrare_Linii'!U19&lt;&gt;"VALID","Parametri linie invalizi",IF(L831&gt;'Config_v6'!$B$13,"Dispersie peste limita",IF(W831="WATCH","Failure peste limita",IF(AB831&lt;'Config_v6'!$B$16,"P finala sub prag",IF(V831&lt;'Config_v6'!$B$18,"Confidence sub prag",IF(E831="REPLAY","Exemplu retrospectiv; exclus din Top LIVE",IF(Y831="PASS","DEFENSIV validat",IF(W831="OOS PENDING","Eligibil; calibrare linie in monitorizare","Eligibil"))))))))))</x:f>
      </x:c>
      <x:c r="AI831" s="2" t="str">
        <x:f>IF(B831="","",'Calibrare_Linii'!V19)</x:f>
      </x:c>
      <x:c r="AJ831" s="2" t="str">
        <x:f>IF(B831="","",IF(AND('Calibrare_Linii'!T19="VALIDATED",AND('Calibrare_Linii'!H19=C831,ISNUMBER('Calibrare_Linii'!J19),'Calibrare_Linii'!J19&lt;='Input_Meci'!G64)),"DEFENSIVE VALIDATED",IF(AND('Calibrare_Linii'!S19="VALIDATED",AND('Calibrare_Linii'!H19=C831,ISNUMBER('Calibrare_Linii'!J19),'Calibrare_Linii'!J19&lt;='Input_Meci'!G64)),"TAIL VALIDATED","OOS PENDING")))</x:f>
      </x:c>
      <x:c r="AK831" s="2" t="n">
        <x:f>IF(J831&lt;&gt;"PASS",0,'Motor_Meciuri'!BR64)</x:f>
        <x:v>0</x:v>
      </x:c>
      <x:c r="AL831" s="2" t="n">
        <x:f>IF(J831&lt;&gt;"PASS",0,'Motor_Meciuri'!BS64)</x:f>
        <x:v>0</x:v>
      </x:c>
      <x:c r="AM831" s="2" t="n">
        <x:f>IF(J831&lt;&gt;"PASS",0,'Motor_Meciuri'!BT64)</x:f>
        <x:v>0</x:v>
      </x:c>
      <x:c r="AN831" s="2" t="str">
        <x:f>IF(M831="","",MAX(0,'Motor_Meciuri'!BF64-IF(L831&gt;'Config_v6'!$B$12,'Config_v6'!$B$37,IF(L831&gt;'Config_v6'!$B$11,'Config_v6'!$B$36,0))))</x:f>
      </x:c>
    </x:row>
    <x:row r="832" ht="21" customHeight="1">
      <x:c r="A832" s="2" t="n">
        <x:v>60</x:v>
      </x:c>
      <x:c r="B832" s="2" t="str">
        <x:f>IF('Motor_Meciuri'!A65="","",'Motor_Meciuri'!A65)</x:f>
      </x:c>
      <x:c r="C832" s="2" t="str">
        <x:f>IF(B832="","",'Motor_Meciuri'!B65)</x:f>
      </x:c>
      <x:c r="D832" s="2" t="str">
        <x:f>IF(B832="","",'Motor_Meciuri'!D65)</x:f>
      </x:c>
      <x:c r="E832" s="2" t="str">
        <x:f>IF(B832="","",'Motor_Meciuri'!E65)</x:f>
      </x:c>
      <x:c r="F832" s="2" t="str">
        <x:v>O3,5</x:v>
      </x:c>
      <x:c r="G832" s="2" t="str">
        <x:v>OVER</x:v>
      </x:c>
      <x:c r="H832" s="2" t="n">
        <x:v>3</x:v>
      </x:c>
      <x:c r="I832" s="2" t="str">
        <x:f>IF(B832="","",'Motor_Meciuri'!H65)</x:f>
      </x:c>
      <x:c r="J832" s="2" t="str">
        <x:f>IF(B832="","",'Motor_Meciuri'!I65)</x:f>
      </x:c>
      <x:c r="K832" s="11" t="str">
        <x:f>IF(J832&lt;&gt;"PASS","",'Motor_Meciuri'!BD65)</x:f>
      </x:c>
      <x:c r="L832" s="11" t="str">
        <x:f>IF(J832&lt;&gt;"PASS","",'Motor_Meciuri'!AU65)</x:f>
      </x:c>
      <x:c r="M832" s="10" t="str">
        <x:f>IF(NOT(AND(J832="PASS",'Calibrare_Linii'!U6="VALID")),"",1-'Distributie'!AA65)</x:f>
      </x:c>
      <x:c r="N832" s="10" t="str">
        <x:f>IF(M832="","",MAX(0.01,MIN(0.99,0.5+(M832-0.5)*'Motor_Meciuri'!BG65*'Calibrare_Linii'!D6)))</x:f>
      </x:c>
      <x:c r="O832" s="10" t="str">
        <x:f>IF(M832="","",1-M832)</x:f>
      </x:c>
      <x:c r="P832" s="10" t="str">
        <x:f>IF(OR(NOT(AND(J832="PASS",'Calibrare_Linii'!U6="VALID")),AK832=0),""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*('Istoric_Nativ'!$Q$6:$Q$405&lt;=H832))/AK832)</x:f>
      </x:c>
      <x:c r="Q832" s="10" t="str">
        <x:f>IF(OR(NOT(AND(J832="PASS",'Calibrare_Linii'!U6="VALID")),AL832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M65)+((('Istoric_Nativ'!$E$6:$E$405='Input_Meci'!E65)+('Istoric_Nativ'!$F$6:$F$405='Input_Meci'!E65))&gt;0)*('Istoric_Nativ'!$D$6:$D$405&gt;='Motor_Meciuri'!BN65))&gt;0)*('Istoric_Nativ'!$Q$6:$Q$405&lt;=H832))/AL832)</x:f>
      </x:c>
      <x:c r="R832" s="10" t="str">
        <x:f>IF(OR(NOT(AND(J832="PASS",'Calibrare_Linii'!U6="VALID")),AM832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O65)+((('Istoric_Nativ'!$E$6:$E$405='Input_Meci'!E65)+('Istoric_Nativ'!$F$6:$F$405='Input_Meci'!E65))&gt;0)*('Istoric_Nativ'!$D$6:$D$405&gt;='Motor_Meciuri'!BP65))&gt;0)*('Istoric_Nativ'!$Q$6:$Q$405&lt;=H832))/AM832)</x:f>
      </x:c>
      <x:c r="S832" s="10" t="str">
        <x:f>IF(M832="","",MAX(O832,P832,Q832,R832))</x:f>
      </x:c>
      <x:c r="T832" s="11" t="str">
        <x:f>IF(M832="","",MIN(100,S832*100*'Config_v6'!$B$44+MIN(100,L832/'Config_v6'!$B$13*100)*'Config_v6'!$B$45+(100-'Motor_Meciuri'!BF65)*'Config_v6'!$B$46+'Motor_Meciuri'!BH65*100*'Config_v6'!$B$47))</x:f>
      </x:c>
      <x:c r="U832" s="2" t="str">
        <x:f>IF(T832="","",IF(T832&lt;=20,1,IF(T832&lt;=40,2,IF(T832&lt;=60,3,IF(T832&lt;=80,4,5)))))</x:f>
      </x:c>
      <x:c r="V832" s="2" t="str">
        <x:f>IF(M832="","",MAX(0,'Motor_Meciuri'!BF65-IF(W832="OOS PENDING",'Config_v6'!$B$35,0)-IF(L832&gt;'Config_v6'!$B$12,'Config_v6'!$B$37,IF(L832&gt;'Config_v6'!$B$11,'Config_v6'!$B$36,0))))</x:f>
      </x:c>
      <x:c r="W832" s="2" t="str">
        <x:f>IF(B832="","",IF(I832&lt;&gt;"READY","NOT RELEASED",IF(NOT(AND(J832="PASS",'Calibrare_Linii'!U6="VALID")),"INVALID",IF(NOT(TRUE),"OOS PENDING",IF(S832&lt;=IF(AND('Calibrare_Linii'!S6="VALIDATED",AND('Calibrare_Linii'!H6=C832,ISNUMBER('Calibrare_Linii'!J6),'Calibrare_Linii'!J6&lt;='Input_Meci'!G65)),'Calibrare_Linii'!E6,'Config_v6'!$B$26),"PASS",IF(S832&lt;=IF(AND('Calibrare_Linii'!S6="VALIDATED",AND('Calibrare_Linii'!H6=C832,ISNUMBER('Calibrare_Linii'!J6),'Calibrare_Linii'!J6&lt;='Input_Meci'!G65)),'Calibrare_Linii'!F6,'Config_v6'!$C$26),"PENALTY","WATCH"))))))</x:f>
      </x:c>
      <x:c r="X832" s="2" t="str">
        <x:f>IF(M832="","",IF(AND(AND(J832="PASS",'Calibrare_Linii'!U6="VALID"),'Motor_Meciuri'!K65=12,'Motor_Meciuri'!L65=12,'Motor_Meciuri'!M65="NO",'Motor_Meciuri'!BL65='Motor_Meciuri'!C65,AB832&gt;='Config_v6'!$B$50,AN832&gt;='Config_v6'!$B$51,T832&lt;='Config_v6'!$B$52,L832&lt;='Config_v6'!$B$53,ISNUMBER('Calibrare_Linii'!E6),S832&lt;='Calibrare_Linii'!E6,SUM(AK832:AM832)&gt;0),"CANDIDATE","NO"))</x:f>
      </x:c>
      <x:c r="Y832" s="2" t="str">
        <x:f>IF(B832="","",IF(I832&lt;&gt;"READY","NOT RELEASED",IF(AND(X832="CANDIDATE",V832&gt;='Config_v6'!$B$51,W832="PASS",'Calibrare_Linii'!T6="VALIDATED",AND('Calibrare_Linii'!H6=C832,ISNUMBER('Calibrare_Linii'!J6),'Calibrare_Linii'!J6&lt;='Input_Meci'!G65)),"PASS",IF(X832="CANDIDATE","OOS PENDING","FAIL"))))</x:f>
      </x:c>
      <x:c r="Z832" s="2" t="str">
        <x:f>IF(B832="","",IF(I832&lt;&gt;"READY","",IF(OR(NOT(AND(J832="PASS",'Calibrare_Linii'!U6="VALID")),L832&gt;'Config_v6'!$B$13,W832="WATCH"),5,IF(Y832="PASS",1,MIN(5,MAX('Config_v6'!$B$42,U832)+IF(W832="PENALTY",1,0))))))</x:f>
      </x:c>
      <x:c r="AA832" s="2" t="str">
        <x:f>IF(B832="","",IF(I832&lt;&gt;"READY","NOT RELEASED",IF(Z832=5,"NO BET",IF(OR(AB832&lt;'Config_v6'!$B$16,V832&lt;'Config_v6'!$B$18),"WATCH",IF(Z832=1,"DEFENSIV",IF(Z832=2,"PRUDENT",IF(Z832=3,"MODERAT","RIDICAT")))))))</x:f>
      </x:c>
      <x:c r="AB832" s="10" t="str">
        <x:f>IF(N832="","",MIN(N832,1-S832))</x:f>
      </x:c>
      <x:c r="AC832" s="2" t="str">
        <x:f>IF(AD832&lt;&gt;1,"",COUNTIFS($Z$832:$Z$845,"&lt;"&amp;Z832,$AD$832:$AD$845,1)+COUNTIFS($Z$832:$Z$845,Z832,$AB$832:$AB$845,"&gt;"&amp;AB832,$AD$832:$AD$845,1)+COUNTIFS($Z$832:$Z$845,Z832,$AB$832:$AB$845,AB832,$V$832:$V$845,"&gt;"&amp;V832,$AD$832:$AD$845,1)+COUNTIFS($Z$832:Z832,Z832,$AB$832:AB832,AB832,$V$832:V832,V832,$AD$832:AD832,1))</x:f>
      </x:c>
      <x:c r="AD832" s="2" t="n">
        <x:f>IF(OR(AA832="DEFENSIV",AA832="PRUDENT",AA832="MODERAT",AA832="RIDICAT"),1,0)</x:f>
        <x:v>0</x:v>
      </x:c>
      <x:c r="AE832" s="2" t="str">
        <x:f>IF(AD832&lt;&gt;1,"NO",IF(W832="PASS","YES",IF(W832="OOS PENDING","CONDITIONAL","NO")))</x:f>
        <x:v>NO</x:v>
      </x:c>
      <x:c r="AF832" s="2" t="n">
        <x:f>IF(AND(AD832=1,AC832=1,E832="LIVE"),1,0)</x:f>
        <x:v>0</x:v>
      </x:c>
      <x:c r="AG832" s="2" t="str">
        <x:f>IF(AF832&lt;&gt;1,"",'Dashboard'!P85)</x:f>
      </x:c>
      <x:c r="AH832" s="2" t="str">
        <x:f>IF(B832="","",IF(J832&lt;&gt;"PASS",'Motor_Meciuri'!J65,IF('Calibrare_Linii'!U6&lt;&gt;"VALID","Parametri linie invalizi",IF(L832&gt;'Config_v6'!$B$13,"Dispersie peste limita",IF(W832="WATCH","Failure peste limita",IF(AB832&lt;'Config_v6'!$B$16,"P finala sub prag",IF(V832&lt;'Config_v6'!$B$18,"Confidence sub prag",IF(E832="REPLAY","Exemplu retrospectiv; exclus din Top LIVE",IF(Y832="PASS","DEFENSIV validat",IF(W832="OOS PENDING","Eligibil; calibrare linie in monitorizare","Eligibil"))))))))))</x:f>
      </x:c>
      <x:c r="AI832" s="2" t="str">
        <x:f>IF(B832="","",'Calibrare_Linii'!V6)</x:f>
      </x:c>
      <x:c r="AJ832" s="2" t="str">
        <x:f>IF(B832="","",IF(AND('Calibrare_Linii'!T6="VALIDATED",AND('Calibrare_Linii'!H6=C832,ISNUMBER('Calibrare_Linii'!J6),'Calibrare_Linii'!J6&lt;='Input_Meci'!G65)),"DEFENSIVE VALIDATED",IF(AND('Calibrare_Linii'!S6="VALIDATED",AND('Calibrare_Linii'!H6=C832,ISNUMBER('Calibrare_Linii'!J6),'Calibrare_Linii'!J6&lt;='Input_Meci'!G65)),"TAIL VALIDATED","OOS PENDING")))</x:f>
      </x:c>
      <x:c r="AK832" s="2" t="n">
        <x:f>IF(J832&lt;&gt;"PASS",0,'Motor_Meciuri'!BR65)</x:f>
        <x:v>0</x:v>
      </x:c>
      <x:c r="AL832" s="2" t="n">
        <x:f>IF(J832&lt;&gt;"PASS",0,'Motor_Meciuri'!BS65)</x:f>
        <x:v>0</x:v>
      </x:c>
      <x:c r="AM832" s="2" t="n">
        <x:f>IF(J832&lt;&gt;"PASS",0,'Motor_Meciuri'!BT65)</x:f>
        <x:v>0</x:v>
      </x:c>
      <x:c r="AN832" s="2" t="str">
        <x:f>IF(M832="","",MAX(0,'Motor_Meciuri'!BF65-IF(L832&gt;'Config_v6'!$B$12,'Config_v6'!$B$37,IF(L832&gt;'Config_v6'!$B$11,'Config_v6'!$B$36,0))))</x:f>
      </x:c>
    </x:row>
    <x:row r="833" ht="21" customHeight="1">
      <x:c r="A833" s="2" t="n">
        <x:v>60</x:v>
      </x:c>
      <x:c r="B833" s="2" t="str">
        <x:f>IF('Motor_Meciuri'!A65="","",'Motor_Meciuri'!A65)</x:f>
      </x:c>
      <x:c r="C833" s="2" t="str">
        <x:f>IF(B833="","",'Motor_Meciuri'!B65)</x:f>
      </x:c>
      <x:c r="D833" s="2" t="str">
        <x:f>IF(B833="","",'Motor_Meciuri'!D65)</x:f>
      </x:c>
      <x:c r="E833" s="2" t="str">
        <x:f>IF(B833="","",'Motor_Meciuri'!E65)</x:f>
      </x:c>
      <x:c r="F833" s="2" t="str">
        <x:v>O4,5</x:v>
      </x:c>
      <x:c r="G833" s="2" t="str">
        <x:v>OVER</x:v>
      </x:c>
      <x:c r="H833" s="2" t="n">
        <x:v>4</x:v>
      </x:c>
      <x:c r="I833" s="2" t="str">
        <x:f>IF(B833="","",'Motor_Meciuri'!H65)</x:f>
      </x:c>
      <x:c r="J833" s="2" t="str">
        <x:f>IF(B833="","",'Motor_Meciuri'!I65)</x:f>
      </x:c>
      <x:c r="K833" s="11" t="str">
        <x:f>IF(J833&lt;&gt;"PASS","",'Motor_Meciuri'!BD65)</x:f>
      </x:c>
      <x:c r="L833" s="11" t="str">
        <x:f>IF(J833&lt;&gt;"PASS","",'Motor_Meciuri'!AU65)</x:f>
      </x:c>
      <x:c r="M833" s="10" t="str">
        <x:f>IF(NOT(AND(J833="PASS",'Calibrare_Linii'!U7="VALID")),"",1-'Distributie'!AB65)</x:f>
      </x:c>
      <x:c r="N833" s="10" t="str">
        <x:f>IF(M833="","",MAX(0.01,MIN(0.99,0.5+(M833-0.5)*'Motor_Meciuri'!BG65*'Calibrare_Linii'!D7)))</x:f>
      </x:c>
      <x:c r="O833" s="10" t="str">
        <x:f>IF(M833="","",1-M833)</x:f>
      </x:c>
      <x:c r="P833" s="10" t="str">
        <x:f>IF(OR(NOT(AND(J833="PASS",'Calibrare_Linii'!U7="VALID")),AK833=0),""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*('Istoric_Nativ'!$Q$6:$Q$405&lt;=H833))/AK833)</x:f>
      </x:c>
      <x:c r="Q833" s="10" t="str">
        <x:f>IF(OR(NOT(AND(J833="PASS",'Calibrare_Linii'!U7="VALID")),AL833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M65)+((('Istoric_Nativ'!$E$6:$E$405='Input_Meci'!E65)+('Istoric_Nativ'!$F$6:$F$405='Input_Meci'!E65))&gt;0)*('Istoric_Nativ'!$D$6:$D$405&gt;='Motor_Meciuri'!BN65))&gt;0)*('Istoric_Nativ'!$Q$6:$Q$405&lt;=H833))/AL833)</x:f>
      </x:c>
      <x:c r="R833" s="10" t="str">
        <x:f>IF(OR(NOT(AND(J833="PASS",'Calibrare_Linii'!U7="VALID")),AM833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O65)+((('Istoric_Nativ'!$E$6:$E$405='Input_Meci'!E65)+('Istoric_Nativ'!$F$6:$F$405='Input_Meci'!E65))&gt;0)*('Istoric_Nativ'!$D$6:$D$405&gt;='Motor_Meciuri'!BP65))&gt;0)*('Istoric_Nativ'!$Q$6:$Q$405&lt;=H833))/AM833)</x:f>
      </x:c>
      <x:c r="S833" s="10" t="str">
        <x:f>IF(M833="","",MAX(O833,P833,Q833,R833))</x:f>
      </x:c>
      <x:c r="T833" s="11" t="str">
        <x:f>IF(M833="","",MIN(100,S833*100*'Config_v6'!$B$44+MIN(100,L833/'Config_v6'!$B$13*100)*'Config_v6'!$B$45+(100-'Motor_Meciuri'!BF65)*'Config_v6'!$B$46+'Motor_Meciuri'!BH65*100*'Config_v6'!$B$47))</x:f>
      </x:c>
      <x:c r="U833" s="2" t="str">
        <x:f>IF(T833="","",IF(T833&lt;=20,1,IF(T833&lt;=40,2,IF(T833&lt;=60,3,IF(T833&lt;=80,4,5)))))</x:f>
      </x:c>
      <x:c r="V833" s="2" t="str">
        <x:f>IF(M833="","",MAX(0,'Motor_Meciuri'!BF65-IF(W833="OOS PENDING",'Config_v6'!$B$35,0)-IF(L833&gt;'Config_v6'!$B$12,'Config_v6'!$B$37,IF(L833&gt;'Config_v6'!$B$11,'Config_v6'!$B$36,0))))</x:f>
      </x:c>
      <x:c r="W833" s="2" t="str">
        <x:f>IF(B833="","",IF(I833&lt;&gt;"READY","NOT RELEASED",IF(NOT(AND(J833="PASS",'Calibrare_Linii'!U7="VALID")),"INVALID",IF(NOT(AND('Calibrare_Linii'!S7="VALIDATED",AND('Calibrare_Linii'!H7=C833,ISNUMBER('Calibrare_Linii'!J7),'Calibrare_Linii'!J7&lt;='Input_Meci'!G65))),"OOS PENDING",IF(S833&lt;='Calibrare_Linii'!E7,"PASS",IF(S833&lt;='Calibrare_Linii'!F7,"PENALTY","WATCH"))))))</x:f>
      </x:c>
      <x:c r="X833" s="2" t="str">
        <x:f>IF(M833="","",IF(AND(AND(J833="PASS",'Calibrare_Linii'!U7="VALID"),'Motor_Meciuri'!K65=12,'Motor_Meciuri'!L65=12,'Motor_Meciuri'!M65="NO",'Motor_Meciuri'!BL65='Motor_Meciuri'!C65,AB833&gt;='Config_v6'!$B$50,AN833&gt;='Config_v6'!$B$51,T833&lt;='Config_v6'!$B$52,L833&lt;='Config_v6'!$B$53,ISNUMBER('Calibrare_Linii'!E7),S833&lt;='Calibrare_Linii'!E7,SUM(AK833:AM833)&gt;0),"CANDIDATE","NO"))</x:f>
      </x:c>
      <x:c r="Y833" s="2" t="str">
        <x:f>IF(B833="","",IF(I833&lt;&gt;"READY","NOT RELEASED",IF(AND(X833="CANDIDATE",V833&gt;='Config_v6'!$B$51,W833="PASS",'Calibrare_Linii'!T7="VALIDATED",AND('Calibrare_Linii'!H7=C833,ISNUMBER('Calibrare_Linii'!J7),'Calibrare_Linii'!J7&lt;='Input_Meci'!G65)),"PASS",IF(X833="CANDIDATE","OOS PENDING","FAIL"))))</x:f>
      </x:c>
      <x:c r="Z833" s="2" t="str">
        <x:f>IF(B833="","",IF(I833&lt;&gt;"READY","",IF(OR(NOT(AND(J833="PASS",'Calibrare_Linii'!U7="VALID")),L833&gt;'Config_v6'!$B$13,W833="WATCH"),5,IF(Y833="PASS",1,MIN(5,MAX('Config_v6'!$B$42,U833)+IF(W833="PENALTY",1,0))))))</x:f>
      </x:c>
      <x:c r="AA833" s="2" t="str">
        <x:f>IF(B833="","",IF(I833&lt;&gt;"READY","NOT RELEASED",IF(Z833=5,"NO BET",IF(OR(AB833&lt;'Config_v6'!$B$16,V833&lt;'Config_v6'!$B$18),"WATCH",IF(Z833=1,"DEFENSIV",IF(Z833=2,"PRUDENT",IF(Z833=3,"MODERAT","RIDICAT")))))))</x:f>
      </x:c>
      <x:c r="AB833" s="10" t="str">
        <x:f>IF(N833="","",MIN(N833,1-S833))</x:f>
      </x:c>
      <x:c r="AC833" s="2" t="str">
        <x:f>IF(AD833&lt;&gt;1,"",COUNTIFS($Z$832:$Z$845,"&lt;"&amp;Z833,$AD$832:$AD$845,1)+COUNTIFS($Z$832:$Z$845,Z833,$AB$832:$AB$845,"&gt;"&amp;AB833,$AD$832:$AD$845,1)+COUNTIFS($Z$832:$Z$845,Z833,$AB$832:$AB$845,AB833,$V$832:$V$845,"&gt;"&amp;V833,$AD$832:$AD$845,1)+COUNTIFS($Z$832:Z833,Z833,$AB$832:AB833,AB833,$V$832:V833,V833,$AD$832:AD833,1))</x:f>
      </x:c>
      <x:c r="AD833" s="2" t="n">
        <x:f>IF(OR(AA833="DEFENSIV",AA833="PRUDENT",AA833="MODERAT",AA833="RIDICAT"),1,0)</x:f>
        <x:v>0</x:v>
      </x:c>
      <x:c r="AE833" s="2" t="str">
        <x:f>IF(AD833&lt;&gt;1,"NO",IF(W833="PASS","YES",IF(W833="OOS PENDING","CONDITIONAL","NO")))</x:f>
        <x:v>NO</x:v>
      </x:c>
      <x:c r="AF833" s="2" t="n">
        <x:f>IF(AND(AD833=1,AC833=1,E833="LIVE"),1,0)</x:f>
        <x:v>0</x:v>
      </x:c>
      <x:c r="AG833" s="2" t="str">
        <x:f>IF(AF833&lt;&gt;1,"",'Dashboard'!P85)</x:f>
      </x:c>
      <x:c r="AH833" s="2" t="str">
        <x:f>IF(B833="","",IF(J833&lt;&gt;"PASS",'Motor_Meciuri'!J65,IF('Calibrare_Linii'!U7&lt;&gt;"VALID","Parametri linie invalizi",IF(L833&gt;'Config_v6'!$B$13,"Dispersie peste limita",IF(W833="WATCH","Failure peste limita",IF(AB833&lt;'Config_v6'!$B$16,"P finala sub prag",IF(V833&lt;'Config_v6'!$B$18,"Confidence sub prag",IF(E833="REPLAY","Exemplu retrospectiv; exclus din Top LIVE",IF(Y833="PASS","DEFENSIV validat",IF(W833="OOS PENDING","Eligibil; calibrare linie in monitorizare","Eligibil"))))))))))</x:f>
      </x:c>
      <x:c r="AI833" s="2" t="str">
        <x:f>IF(B833="","",'Calibrare_Linii'!V7)</x:f>
      </x:c>
      <x:c r="AJ833" s="2" t="str">
        <x:f>IF(B833="","",IF(AND('Calibrare_Linii'!T7="VALIDATED",AND('Calibrare_Linii'!H7=C833,ISNUMBER('Calibrare_Linii'!J7),'Calibrare_Linii'!J7&lt;='Input_Meci'!G65)),"DEFENSIVE VALIDATED",IF(AND('Calibrare_Linii'!S7="VALIDATED",AND('Calibrare_Linii'!H7=C833,ISNUMBER('Calibrare_Linii'!J7),'Calibrare_Linii'!J7&lt;='Input_Meci'!G65)),"TAIL VALIDATED","OOS PENDING")))</x:f>
      </x:c>
      <x:c r="AK833" s="2" t="n">
        <x:f>IF(J833&lt;&gt;"PASS",0,'Motor_Meciuri'!BR65)</x:f>
        <x:v>0</x:v>
      </x:c>
      <x:c r="AL833" s="2" t="n">
        <x:f>IF(J833&lt;&gt;"PASS",0,'Motor_Meciuri'!BS65)</x:f>
        <x:v>0</x:v>
      </x:c>
      <x:c r="AM833" s="2" t="n">
        <x:f>IF(J833&lt;&gt;"PASS",0,'Motor_Meciuri'!BT65)</x:f>
        <x:v>0</x:v>
      </x:c>
      <x:c r="AN833" s="2" t="str">
        <x:f>IF(M833="","",MAX(0,'Motor_Meciuri'!BF65-IF(L833&gt;'Config_v6'!$B$12,'Config_v6'!$B$37,IF(L833&gt;'Config_v6'!$B$11,'Config_v6'!$B$36,0))))</x:f>
      </x:c>
    </x:row>
    <x:row r="834" ht="21" customHeight="1">
      <x:c r="A834" s="2" t="n">
        <x:v>60</x:v>
      </x:c>
      <x:c r="B834" s="2" t="str">
        <x:f>IF('Motor_Meciuri'!A65="","",'Motor_Meciuri'!A65)</x:f>
      </x:c>
      <x:c r="C834" s="2" t="str">
        <x:f>IF(B834="","",'Motor_Meciuri'!B65)</x:f>
      </x:c>
      <x:c r="D834" s="2" t="str">
        <x:f>IF(B834="","",'Motor_Meciuri'!D65)</x:f>
      </x:c>
      <x:c r="E834" s="2" t="str">
        <x:f>IF(B834="","",'Motor_Meciuri'!E65)</x:f>
      </x:c>
      <x:c r="F834" s="2" t="str">
        <x:v>O5,5</x:v>
      </x:c>
      <x:c r="G834" s="2" t="str">
        <x:v>OVER</x:v>
      </x:c>
      <x:c r="H834" s="2" t="n">
        <x:v>5</x:v>
      </x:c>
      <x:c r="I834" s="2" t="str">
        <x:f>IF(B834="","",'Motor_Meciuri'!H65)</x:f>
      </x:c>
      <x:c r="J834" s="2" t="str">
        <x:f>IF(B834="","",'Motor_Meciuri'!I65)</x:f>
      </x:c>
      <x:c r="K834" s="11" t="str">
        <x:f>IF(J834&lt;&gt;"PASS","",'Motor_Meciuri'!BD65)</x:f>
      </x:c>
      <x:c r="L834" s="11" t="str">
        <x:f>IF(J834&lt;&gt;"PASS","",'Motor_Meciuri'!AU65)</x:f>
      </x:c>
      <x:c r="M834" s="10" t="str">
        <x:f>IF(NOT(AND(J834="PASS",'Calibrare_Linii'!U8="VALID")),"",1-'Distributie'!AC65)</x:f>
      </x:c>
      <x:c r="N834" s="10" t="str">
        <x:f>IF(M834="","",MAX(0.01,MIN(0.99,0.5+(M834-0.5)*'Motor_Meciuri'!BG65*'Calibrare_Linii'!D8)))</x:f>
      </x:c>
      <x:c r="O834" s="10" t="str">
        <x:f>IF(M834="","",1-M834)</x:f>
      </x:c>
      <x:c r="P834" s="10" t="str">
        <x:f>IF(OR(NOT(AND(J834="PASS",'Calibrare_Linii'!U8="VALID")),AK834=0),""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*('Istoric_Nativ'!$Q$6:$Q$405&lt;=H834))/AK834)</x:f>
      </x:c>
      <x:c r="Q834" s="10" t="str">
        <x:f>IF(OR(NOT(AND(J834="PASS",'Calibrare_Linii'!U8="VALID")),AL834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M65)+((('Istoric_Nativ'!$E$6:$E$405='Input_Meci'!E65)+('Istoric_Nativ'!$F$6:$F$405='Input_Meci'!E65))&gt;0)*('Istoric_Nativ'!$D$6:$D$405&gt;='Motor_Meciuri'!BN65))&gt;0)*('Istoric_Nativ'!$Q$6:$Q$405&lt;=H834))/AL834)</x:f>
      </x:c>
      <x:c r="R834" s="10" t="str">
        <x:f>IF(OR(NOT(AND(J834="PASS",'Calibrare_Linii'!U8="VALID")),AM834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O65)+((('Istoric_Nativ'!$E$6:$E$405='Input_Meci'!E65)+('Istoric_Nativ'!$F$6:$F$405='Input_Meci'!E65))&gt;0)*('Istoric_Nativ'!$D$6:$D$405&gt;='Motor_Meciuri'!BP65))&gt;0)*('Istoric_Nativ'!$Q$6:$Q$405&lt;=H834))/AM834)</x:f>
      </x:c>
      <x:c r="S834" s="10" t="str">
        <x:f>IF(M834="","",MAX(O834,P834,Q834,R834))</x:f>
      </x:c>
      <x:c r="T834" s="11" t="str">
        <x:f>IF(M834="","",MIN(100,S834*100*'Config_v6'!$B$44+MIN(100,L834/'Config_v6'!$B$13*100)*'Config_v6'!$B$45+(100-'Motor_Meciuri'!BF65)*'Config_v6'!$B$46+'Motor_Meciuri'!BH65*100*'Config_v6'!$B$47))</x:f>
      </x:c>
      <x:c r="U834" s="2" t="str">
        <x:f>IF(T834="","",IF(T834&lt;=20,1,IF(T834&lt;=40,2,IF(T834&lt;=60,3,IF(T834&lt;=80,4,5)))))</x:f>
      </x:c>
      <x:c r="V834" s="2" t="str">
        <x:f>IF(M834="","",MAX(0,'Motor_Meciuri'!BF65-IF(W834="OOS PENDING",'Config_v6'!$B$35,0)-IF(L834&gt;'Config_v6'!$B$12,'Config_v6'!$B$37,IF(L834&gt;'Config_v6'!$B$11,'Config_v6'!$B$36,0))))</x:f>
      </x:c>
      <x:c r="W834" s="2" t="str">
        <x:f>IF(B834="","",IF(I834&lt;&gt;"READY","NOT RELEASED",IF(NOT(AND(J834="PASS",'Calibrare_Linii'!U8="VALID")),"INVALID",IF(NOT(AND('Calibrare_Linii'!S8="VALIDATED",AND('Calibrare_Linii'!H8=C834,ISNUMBER('Calibrare_Linii'!J8),'Calibrare_Linii'!J8&lt;='Input_Meci'!G65))),"OOS PENDING",IF(S834&lt;='Calibrare_Linii'!E8,"PASS",IF(S834&lt;='Calibrare_Linii'!F8,"PENALTY","WATCH"))))))</x:f>
      </x:c>
      <x:c r="X834" s="2" t="str">
        <x:f>IF(M834="","",IF(AND(AND(J834="PASS",'Calibrare_Linii'!U8="VALID"),'Motor_Meciuri'!K65=12,'Motor_Meciuri'!L65=12,'Motor_Meciuri'!M65="NO",'Motor_Meciuri'!BL65='Motor_Meciuri'!C65,AB834&gt;='Config_v6'!$B$50,AN834&gt;='Config_v6'!$B$51,T834&lt;='Config_v6'!$B$52,L834&lt;='Config_v6'!$B$53,ISNUMBER('Calibrare_Linii'!E8),S834&lt;='Calibrare_Linii'!E8,SUM(AK834:AM834)&gt;0),"CANDIDATE","NO"))</x:f>
      </x:c>
      <x:c r="Y834" s="2" t="str">
        <x:f>IF(B834="","",IF(I834&lt;&gt;"READY","NOT RELEASED",IF(AND(X834="CANDIDATE",V834&gt;='Config_v6'!$B$51,W834="PASS",'Calibrare_Linii'!T8="VALIDATED",AND('Calibrare_Linii'!H8=C834,ISNUMBER('Calibrare_Linii'!J8),'Calibrare_Linii'!J8&lt;='Input_Meci'!G65)),"PASS",IF(X834="CANDIDATE","OOS PENDING","FAIL"))))</x:f>
      </x:c>
      <x:c r="Z834" s="2" t="str">
        <x:f>IF(B834="","",IF(I834&lt;&gt;"READY","",IF(OR(NOT(AND(J834="PASS",'Calibrare_Linii'!U8="VALID")),L834&gt;'Config_v6'!$B$13,W834="WATCH"),5,IF(Y834="PASS",1,MIN(5,MAX('Config_v6'!$B$42,U834)+IF(W834="PENALTY",1,0))))))</x:f>
      </x:c>
      <x:c r="AA834" s="2" t="str">
        <x:f>IF(B834="","",IF(I834&lt;&gt;"READY","NOT RELEASED",IF(Z834=5,"NO BET",IF(OR(AB834&lt;'Config_v6'!$B$16,V834&lt;'Config_v6'!$B$18),"WATCH",IF(Z834=1,"DEFENSIV",IF(Z834=2,"PRUDENT",IF(Z834=3,"MODERAT","RIDICAT")))))))</x:f>
      </x:c>
      <x:c r="AB834" s="10" t="str">
        <x:f>IF(N834="","",MIN(N834,1-S834))</x:f>
      </x:c>
      <x:c r="AC834" s="2" t="str">
        <x:f>IF(AD834&lt;&gt;1,"",COUNTIFS($Z$832:$Z$845,"&lt;"&amp;Z834,$AD$832:$AD$845,1)+COUNTIFS($Z$832:$Z$845,Z834,$AB$832:$AB$845,"&gt;"&amp;AB834,$AD$832:$AD$845,1)+COUNTIFS($Z$832:$Z$845,Z834,$AB$832:$AB$845,AB834,$V$832:$V$845,"&gt;"&amp;V834,$AD$832:$AD$845,1)+COUNTIFS($Z$832:Z834,Z834,$AB$832:AB834,AB834,$V$832:V834,V834,$AD$832:AD834,1))</x:f>
      </x:c>
      <x:c r="AD834" s="2" t="n">
        <x:f>IF(OR(AA834="DEFENSIV",AA834="PRUDENT",AA834="MODERAT",AA834="RIDICAT"),1,0)</x:f>
        <x:v>0</x:v>
      </x:c>
      <x:c r="AE834" s="2" t="str">
        <x:f>IF(AD834&lt;&gt;1,"NO",IF(W834="PASS","YES",IF(W834="OOS PENDING","CONDITIONAL","NO")))</x:f>
        <x:v>NO</x:v>
      </x:c>
      <x:c r="AF834" s="2" t="n">
        <x:f>IF(AND(AD834=1,AC834=1,E834="LIVE"),1,0)</x:f>
        <x:v>0</x:v>
      </x:c>
      <x:c r="AG834" s="2" t="str">
        <x:f>IF(AF834&lt;&gt;1,"",'Dashboard'!P85)</x:f>
      </x:c>
      <x:c r="AH834" s="2" t="str">
        <x:f>IF(B834="","",IF(J834&lt;&gt;"PASS",'Motor_Meciuri'!J65,IF('Calibrare_Linii'!U8&lt;&gt;"VALID","Parametri linie invalizi",IF(L834&gt;'Config_v6'!$B$13,"Dispersie peste limita",IF(W834="WATCH","Failure peste limita",IF(AB834&lt;'Config_v6'!$B$16,"P finala sub prag",IF(V834&lt;'Config_v6'!$B$18,"Confidence sub prag",IF(E834="REPLAY","Exemplu retrospectiv; exclus din Top LIVE",IF(Y834="PASS","DEFENSIV validat",IF(W834="OOS PENDING","Eligibil; calibrare linie in monitorizare","Eligibil"))))))))))</x:f>
      </x:c>
      <x:c r="AI834" s="2" t="str">
        <x:f>IF(B834="","",'Calibrare_Linii'!V8)</x:f>
      </x:c>
      <x:c r="AJ834" s="2" t="str">
        <x:f>IF(B834="","",IF(AND('Calibrare_Linii'!T8="VALIDATED",AND('Calibrare_Linii'!H8=C834,ISNUMBER('Calibrare_Linii'!J8),'Calibrare_Linii'!J8&lt;='Input_Meci'!G65)),"DEFENSIVE VALIDATED",IF(AND('Calibrare_Linii'!S8="VALIDATED",AND('Calibrare_Linii'!H8=C834,ISNUMBER('Calibrare_Linii'!J8),'Calibrare_Linii'!J8&lt;='Input_Meci'!G65)),"TAIL VALIDATED","OOS PENDING")))</x:f>
      </x:c>
      <x:c r="AK834" s="2" t="n">
        <x:f>IF(J834&lt;&gt;"PASS",0,'Motor_Meciuri'!BR65)</x:f>
        <x:v>0</x:v>
      </x:c>
      <x:c r="AL834" s="2" t="n">
        <x:f>IF(J834&lt;&gt;"PASS",0,'Motor_Meciuri'!BS65)</x:f>
        <x:v>0</x:v>
      </x:c>
      <x:c r="AM834" s="2" t="n">
        <x:f>IF(J834&lt;&gt;"PASS",0,'Motor_Meciuri'!BT65)</x:f>
        <x:v>0</x:v>
      </x:c>
      <x:c r="AN834" s="2" t="str">
        <x:f>IF(M834="","",MAX(0,'Motor_Meciuri'!BF65-IF(L834&gt;'Config_v6'!$B$12,'Config_v6'!$B$37,IF(L834&gt;'Config_v6'!$B$11,'Config_v6'!$B$36,0))))</x:f>
      </x:c>
    </x:row>
    <x:row r="835" ht="21" customHeight="1">
      <x:c r="A835" s="2" t="n">
        <x:v>60</x:v>
      </x:c>
      <x:c r="B835" s="2" t="str">
        <x:f>IF('Motor_Meciuri'!A65="","",'Motor_Meciuri'!A65)</x:f>
      </x:c>
      <x:c r="C835" s="2" t="str">
        <x:f>IF(B835="","",'Motor_Meciuri'!B65)</x:f>
      </x:c>
      <x:c r="D835" s="2" t="str">
        <x:f>IF(B835="","",'Motor_Meciuri'!D65)</x:f>
      </x:c>
      <x:c r="E835" s="2" t="str">
        <x:f>IF(B835="","",'Motor_Meciuri'!E65)</x:f>
      </x:c>
      <x:c r="F835" s="2" t="str">
        <x:v>O6,5</x:v>
      </x:c>
      <x:c r="G835" s="2" t="str">
        <x:v>OVER</x:v>
      </x:c>
      <x:c r="H835" s="2" t="n">
        <x:v>6</x:v>
      </x:c>
      <x:c r="I835" s="2" t="str">
        <x:f>IF(B835="","",'Motor_Meciuri'!H65)</x:f>
      </x:c>
      <x:c r="J835" s="2" t="str">
        <x:f>IF(B835="","",'Motor_Meciuri'!I65)</x:f>
      </x:c>
      <x:c r="K835" s="11" t="str">
        <x:f>IF(J835&lt;&gt;"PASS","",'Motor_Meciuri'!BD65)</x:f>
      </x:c>
      <x:c r="L835" s="11" t="str">
        <x:f>IF(J835&lt;&gt;"PASS","",'Motor_Meciuri'!AU65)</x:f>
      </x:c>
      <x:c r="M835" s="10" t="str">
        <x:f>IF(NOT(AND(J835="PASS",'Calibrare_Linii'!U9="VALID")),"",1-'Distributie'!AD65)</x:f>
      </x:c>
      <x:c r="N835" s="10" t="str">
        <x:f>IF(M835="","",MAX(0.01,MIN(0.99,0.5+(M835-0.5)*'Motor_Meciuri'!BG65*'Calibrare_Linii'!D9)))</x:f>
      </x:c>
      <x:c r="O835" s="10" t="str">
        <x:f>IF(M835="","",1-M835)</x:f>
      </x:c>
      <x:c r="P835" s="10" t="str">
        <x:f>IF(OR(NOT(AND(J835="PASS",'Calibrare_Linii'!U9="VALID")),AK835=0),""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*('Istoric_Nativ'!$Q$6:$Q$405&lt;=H835))/AK835)</x:f>
      </x:c>
      <x:c r="Q835" s="10" t="str">
        <x:f>IF(OR(NOT(AND(J835="PASS",'Calibrare_Linii'!U9="VALID")),AL835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M65)+((('Istoric_Nativ'!$E$6:$E$405='Input_Meci'!E65)+('Istoric_Nativ'!$F$6:$F$405='Input_Meci'!E65))&gt;0)*('Istoric_Nativ'!$D$6:$D$405&gt;='Motor_Meciuri'!BN65))&gt;0)*('Istoric_Nativ'!$Q$6:$Q$405&lt;=H835))/AL835)</x:f>
      </x:c>
      <x:c r="R835" s="10" t="str">
        <x:f>IF(OR(NOT(AND(J835="PASS",'Calibrare_Linii'!U9="VALID")),AM835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O65)+((('Istoric_Nativ'!$E$6:$E$405='Input_Meci'!E65)+('Istoric_Nativ'!$F$6:$F$405='Input_Meci'!E65))&gt;0)*('Istoric_Nativ'!$D$6:$D$405&gt;='Motor_Meciuri'!BP65))&gt;0)*('Istoric_Nativ'!$Q$6:$Q$405&lt;=H835))/AM835)</x:f>
      </x:c>
      <x:c r="S835" s="10" t="str">
        <x:f>IF(M835="","",MAX(O835,P835,Q835,R835))</x:f>
      </x:c>
      <x:c r="T835" s="11" t="str">
        <x:f>IF(M835="","",MIN(100,S835*100*'Config_v6'!$B$44+MIN(100,L835/'Config_v6'!$B$13*100)*'Config_v6'!$B$45+(100-'Motor_Meciuri'!BF65)*'Config_v6'!$B$46+'Motor_Meciuri'!BH65*100*'Config_v6'!$B$47))</x:f>
      </x:c>
      <x:c r="U835" s="2" t="str">
        <x:f>IF(T835="","",IF(T835&lt;=20,1,IF(T835&lt;=40,2,IF(T835&lt;=60,3,IF(T835&lt;=80,4,5)))))</x:f>
      </x:c>
      <x:c r="V835" s="2" t="str">
        <x:f>IF(M835="","",MAX(0,'Motor_Meciuri'!BF65-IF(W835="OOS PENDING",'Config_v6'!$B$35,0)-IF(L835&gt;'Config_v6'!$B$12,'Config_v6'!$B$37,IF(L835&gt;'Config_v6'!$B$11,'Config_v6'!$B$36,0))))</x:f>
      </x:c>
      <x:c r="W835" s="2" t="str">
        <x:f>IF(B835="","",IF(I835&lt;&gt;"READY","NOT RELEASED",IF(NOT(AND(J835="PASS",'Calibrare_Linii'!U9="VALID")),"INVALID",IF(NOT(AND('Calibrare_Linii'!S9="VALIDATED",AND('Calibrare_Linii'!H9=C835,ISNUMBER('Calibrare_Linii'!J9),'Calibrare_Linii'!J9&lt;='Input_Meci'!G65))),"OOS PENDING",IF(S835&lt;='Calibrare_Linii'!E9,"PASS",IF(S835&lt;='Calibrare_Linii'!F9,"PENALTY","WATCH"))))))</x:f>
      </x:c>
      <x:c r="X835" s="2" t="str">
        <x:f>IF(M835="","",IF(AND(AND(J835="PASS",'Calibrare_Linii'!U9="VALID"),'Motor_Meciuri'!K65=12,'Motor_Meciuri'!L65=12,'Motor_Meciuri'!M65="NO",'Motor_Meciuri'!BL65='Motor_Meciuri'!C65,AB835&gt;='Config_v6'!$B$50,AN835&gt;='Config_v6'!$B$51,T835&lt;='Config_v6'!$B$52,L835&lt;='Config_v6'!$B$53,ISNUMBER('Calibrare_Linii'!E9),S835&lt;='Calibrare_Linii'!E9,SUM(AK835:AM835)&gt;0),"CANDIDATE","NO"))</x:f>
      </x:c>
      <x:c r="Y835" s="2" t="str">
        <x:f>IF(B835="","",IF(I835&lt;&gt;"READY","NOT RELEASED",IF(AND(X835="CANDIDATE",V835&gt;='Config_v6'!$B$51,W835="PASS",'Calibrare_Linii'!T9="VALIDATED",AND('Calibrare_Linii'!H9=C835,ISNUMBER('Calibrare_Linii'!J9),'Calibrare_Linii'!J9&lt;='Input_Meci'!G65)),"PASS",IF(X835="CANDIDATE","OOS PENDING","FAIL"))))</x:f>
      </x:c>
      <x:c r="Z835" s="2" t="str">
        <x:f>IF(B835="","",IF(I835&lt;&gt;"READY","",IF(OR(NOT(AND(J835="PASS",'Calibrare_Linii'!U9="VALID")),L835&gt;'Config_v6'!$B$13,W835="WATCH"),5,IF(Y835="PASS",1,MIN(5,MAX('Config_v6'!$B$42,U835)+IF(W835="PENALTY",1,0))))))</x:f>
      </x:c>
      <x:c r="AA835" s="2" t="str">
        <x:f>IF(B835="","",IF(I835&lt;&gt;"READY","NOT RELEASED",IF(Z835=5,"NO BET",IF(OR(AB835&lt;'Config_v6'!$B$16,V835&lt;'Config_v6'!$B$18),"WATCH",IF(Z835=1,"DEFENSIV",IF(Z835=2,"PRUDENT",IF(Z835=3,"MODERAT","RIDICAT")))))))</x:f>
      </x:c>
      <x:c r="AB835" s="10" t="str">
        <x:f>IF(N835="","",MIN(N835,1-S835))</x:f>
      </x:c>
      <x:c r="AC835" s="2" t="str">
        <x:f>IF(AD835&lt;&gt;1,"",COUNTIFS($Z$832:$Z$845,"&lt;"&amp;Z835,$AD$832:$AD$845,1)+COUNTIFS($Z$832:$Z$845,Z835,$AB$832:$AB$845,"&gt;"&amp;AB835,$AD$832:$AD$845,1)+COUNTIFS($Z$832:$Z$845,Z835,$AB$832:$AB$845,AB835,$V$832:$V$845,"&gt;"&amp;V835,$AD$832:$AD$845,1)+COUNTIFS($Z$832:Z835,Z835,$AB$832:AB835,AB835,$V$832:V835,V835,$AD$832:AD835,1))</x:f>
      </x:c>
      <x:c r="AD835" s="2" t="n">
        <x:f>IF(OR(AA835="DEFENSIV",AA835="PRUDENT",AA835="MODERAT",AA835="RIDICAT"),1,0)</x:f>
        <x:v>0</x:v>
      </x:c>
      <x:c r="AE835" s="2" t="str">
        <x:f>IF(AD835&lt;&gt;1,"NO",IF(W835="PASS","YES",IF(W835="OOS PENDING","CONDITIONAL","NO")))</x:f>
        <x:v>NO</x:v>
      </x:c>
      <x:c r="AF835" s="2" t="n">
        <x:f>IF(AND(AD835=1,AC835=1,E835="LIVE"),1,0)</x:f>
        <x:v>0</x:v>
      </x:c>
      <x:c r="AG835" s="2" t="str">
        <x:f>IF(AF835&lt;&gt;1,"",'Dashboard'!P85)</x:f>
      </x:c>
      <x:c r="AH835" s="2" t="str">
        <x:f>IF(B835="","",IF(J835&lt;&gt;"PASS",'Motor_Meciuri'!J65,IF('Calibrare_Linii'!U9&lt;&gt;"VALID","Parametri linie invalizi",IF(L835&gt;'Config_v6'!$B$13,"Dispersie peste limita",IF(W835="WATCH","Failure peste limita",IF(AB835&lt;'Config_v6'!$B$16,"P finala sub prag",IF(V835&lt;'Config_v6'!$B$18,"Confidence sub prag",IF(E835="REPLAY","Exemplu retrospectiv; exclus din Top LIVE",IF(Y835="PASS","DEFENSIV validat",IF(W835="OOS PENDING","Eligibil; calibrare linie in monitorizare","Eligibil"))))))))))</x:f>
      </x:c>
      <x:c r="AI835" s="2" t="str">
        <x:f>IF(B835="","",'Calibrare_Linii'!V9)</x:f>
      </x:c>
      <x:c r="AJ835" s="2" t="str">
        <x:f>IF(B835="","",IF(AND('Calibrare_Linii'!T9="VALIDATED",AND('Calibrare_Linii'!H9=C835,ISNUMBER('Calibrare_Linii'!J9),'Calibrare_Linii'!J9&lt;='Input_Meci'!G65)),"DEFENSIVE VALIDATED",IF(AND('Calibrare_Linii'!S9="VALIDATED",AND('Calibrare_Linii'!H9=C835,ISNUMBER('Calibrare_Linii'!J9),'Calibrare_Linii'!J9&lt;='Input_Meci'!G65)),"TAIL VALIDATED","OOS PENDING")))</x:f>
      </x:c>
      <x:c r="AK835" s="2" t="n">
        <x:f>IF(J835&lt;&gt;"PASS",0,'Motor_Meciuri'!BR65)</x:f>
        <x:v>0</x:v>
      </x:c>
      <x:c r="AL835" s="2" t="n">
        <x:f>IF(J835&lt;&gt;"PASS",0,'Motor_Meciuri'!BS65)</x:f>
        <x:v>0</x:v>
      </x:c>
      <x:c r="AM835" s="2" t="n">
        <x:f>IF(J835&lt;&gt;"PASS",0,'Motor_Meciuri'!BT65)</x:f>
        <x:v>0</x:v>
      </x:c>
      <x:c r="AN835" s="2" t="str">
        <x:f>IF(M835="","",MAX(0,'Motor_Meciuri'!BF65-IF(L835&gt;'Config_v6'!$B$12,'Config_v6'!$B$37,IF(L835&gt;'Config_v6'!$B$11,'Config_v6'!$B$36,0))))</x:f>
      </x:c>
    </x:row>
    <x:row r="836" ht="21" customHeight="1">
      <x:c r="A836" s="2" t="n">
        <x:v>60</x:v>
      </x:c>
      <x:c r="B836" s="2" t="str">
        <x:f>IF('Motor_Meciuri'!A65="","",'Motor_Meciuri'!A65)</x:f>
      </x:c>
      <x:c r="C836" s="2" t="str">
        <x:f>IF(B836="","",'Motor_Meciuri'!B65)</x:f>
      </x:c>
      <x:c r="D836" s="2" t="str">
        <x:f>IF(B836="","",'Motor_Meciuri'!D65)</x:f>
      </x:c>
      <x:c r="E836" s="2" t="str">
        <x:f>IF(B836="","",'Motor_Meciuri'!E65)</x:f>
      </x:c>
      <x:c r="F836" s="2" t="str">
        <x:v>O7,5</x:v>
      </x:c>
      <x:c r="G836" s="2" t="str">
        <x:v>OVER</x:v>
      </x:c>
      <x:c r="H836" s="2" t="n">
        <x:v>7</x:v>
      </x:c>
      <x:c r="I836" s="2" t="str">
        <x:f>IF(B836="","",'Motor_Meciuri'!H65)</x:f>
      </x:c>
      <x:c r="J836" s="2" t="str">
        <x:f>IF(B836="","",'Motor_Meciuri'!I65)</x:f>
      </x:c>
      <x:c r="K836" s="11" t="str">
        <x:f>IF(J836&lt;&gt;"PASS","",'Motor_Meciuri'!BD65)</x:f>
      </x:c>
      <x:c r="L836" s="11" t="str">
        <x:f>IF(J836&lt;&gt;"PASS","",'Motor_Meciuri'!AU65)</x:f>
      </x:c>
      <x:c r="M836" s="10" t="str">
        <x:f>IF(NOT(AND(J836="PASS",'Calibrare_Linii'!U10="VALID")),"",1-'Distributie'!AE65)</x:f>
      </x:c>
      <x:c r="N836" s="10" t="str">
        <x:f>IF(M836="","",MAX(0.01,MIN(0.99,0.5+(M836-0.5)*'Motor_Meciuri'!BG65*'Calibrare_Linii'!D10)))</x:f>
      </x:c>
      <x:c r="O836" s="10" t="str">
        <x:f>IF(M836="","",1-M836)</x:f>
      </x:c>
      <x:c r="P836" s="10" t="str">
        <x:f>IF(OR(NOT(AND(J836="PASS",'Calibrare_Linii'!U10="VALID")),AK836=0),""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*('Istoric_Nativ'!$Q$6:$Q$405&lt;=H836))/AK836)</x:f>
      </x:c>
      <x:c r="Q836" s="10" t="str">
        <x:f>IF(OR(NOT(AND(J836="PASS",'Calibrare_Linii'!U10="VALID")),AL836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M65)+((('Istoric_Nativ'!$E$6:$E$405='Input_Meci'!E65)+('Istoric_Nativ'!$F$6:$F$405='Input_Meci'!E65))&gt;0)*('Istoric_Nativ'!$D$6:$D$405&gt;='Motor_Meciuri'!BN65))&gt;0)*('Istoric_Nativ'!$Q$6:$Q$405&lt;=H836))/AL836)</x:f>
      </x:c>
      <x:c r="R836" s="10" t="str">
        <x:f>IF(OR(NOT(AND(J836="PASS",'Calibrare_Linii'!U10="VALID")),AM836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O65)+((('Istoric_Nativ'!$E$6:$E$405='Input_Meci'!E65)+('Istoric_Nativ'!$F$6:$F$405='Input_Meci'!E65))&gt;0)*('Istoric_Nativ'!$D$6:$D$405&gt;='Motor_Meciuri'!BP65))&gt;0)*('Istoric_Nativ'!$Q$6:$Q$405&lt;=H836))/AM836)</x:f>
      </x:c>
      <x:c r="S836" s="10" t="str">
        <x:f>IF(M836="","",MAX(O836,P836,Q836,R836))</x:f>
      </x:c>
      <x:c r="T836" s="11" t="str">
        <x:f>IF(M836="","",MIN(100,S836*100*'Config_v6'!$B$44+MIN(100,L836/'Config_v6'!$B$13*100)*'Config_v6'!$B$45+(100-'Motor_Meciuri'!BF65)*'Config_v6'!$B$46+'Motor_Meciuri'!BH65*100*'Config_v6'!$B$47))</x:f>
      </x:c>
      <x:c r="U836" s="2" t="str">
        <x:f>IF(T836="","",IF(T836&lt;=20,1,IF(T836&lt;=40,2,IF(T836&lt;=60,3,IF(T836&lt;=80,4,5)))))</x:f>
      </x:c>
      <x:c r="V836" s="2" t="str">
        <x:f>IF(M836="","",MAX(0,'Motor_Meciuri'!BF65-IF(W836="OOS PENDING",'Config_v6'!$B$35,0)-IF(L836&gt;'Config_v6'!$B$12,'Config_v6'!$B$37,IF(L836&gt;'Config_v6'!$B$11,'Config_v6'!$B$36,0))))</x:f>
      </x:c>
      <x:c r="W836" s="2" t="str">
        <x:f>IF(B836="","",IF(I836&lt;&gt;"READY","NOT RELEASED",IF(NOT(AND(J836="PASS",'Calibrare_Linii'!U10="VALID")),"INVALID",IF(NOT(AND('Calibrare_Linii'!S10="VALIDATED",AND('Calibrare_Linii'!H10=C836,ISNUMBER('Calibrare_Linii'!J10),'Calibrare_Linii'!J10&lt;='Input_Meci'!G65))),"OOS PENDING",IF(S836&lt;='Calibrare_Linii'!E10,"PASS",IF(S836&lt;='Calibrare_Linii'!F10,"PENALTY","WATCH"))))))</x:f>
      </x:c>
      <x:c r="X836" s="2" t="str">
        <x:f>IF(M836="","",IF(AND(AND(J836="PASS",'Calibrare_Linii'!U10="VALID"),'Motor_Meciuri'!K65=12,'Motor_Meciuri'!L65=12,'Motor_Meciuri'!M65="NO",'Motor_Meciuri'!BL65='Motor_Meciuri'!C65,AB836&gt;='Config_v6'!$B$50,AN836&gt;='Config_v6'!$B$51,T836&lt;='Config_v6'!$B$52,L836&lt;='Config_v6'!$B$53,ISNUMBER('Calibrare_Linii'!E10),S836&lt;='Calibrare_Linii'!E10,SUM(AK836:AM836)&gt;0),"CANDIDATE","NO"))</x:f>
      </x:c>
      <x:c r="Y836" s="2" t="str">
        <x:f>IF(B836="","",IF(I836&lt;&gt;"READY","NOT RELEASED",IF(AND(X836="CANDIDATE",V836&gt;='Config_v6'!$B$51,W836="PASS",'Calibrare_Linii'!T10="VALIDATED",AND('Calibrare_Linii'!H10=C836,ISNUMBER('Calibrare_Linii'!J10),'Calibrare_Linii'!J10&lt;='Input_Meci'!G65)),"PASS",IF(X836="CANDIDATE","OOS PENDING","FAIL"))))</x:f>
      </x:c>
      <x:c r="Z836" s="2" t="str">
        <x:f>IF(B836="","",IF(I836&lt;&gt;"READY","",IF(OR(NOT(AND(J836="PASS",'Calibrare_Linii'!U10="VALID")),L836&gt;'Config_v6'!$B$13,W836="WATCH"),5,IF(Y836="PASS",1,MIN(5,MAX('Config_v6'!$B$42,U836)+IF(W836="PENALTY",1,0))))))</x:f>
      </x:c>
      <x:c r="AA836" s="2" t="str">
        <x:f>IF(B836="","",IF(I836&lt;&gt;"READY","NOT RELEASED",IF(Z836=5,"NO BET",IF(OR(AB836&lt;'Config_v6'!$B$16,V836&lt;'Config_v6'!$B$18),"WATCH",IF(Z836=1,"DEFENSIV",IF(Z836=2,"PRUDENT",IF(Z836=3,"MODERAT","RIDICAT")))))))</x:f>
      </x:c>
      <x:c r="AB836" s="10" t="str">
        <x:f>IF(N836="","",MIN(N836,1-S836))</x:f>
      </x:c>
      <x:c r="AC836" s="2" t="str">
        <x:f>IF(AD836&lt;&gt;1,"",COUNTIFS($Z$832:$Z$845,"&lt;"&amp;Z836,$AD$832:$AD$845,1)+COUNTIFS($Z$832:$Z$845,Z836,$AB$832:$AB$845,"&gt;"&amp;AB836,$AD$832:$AD$845,1)+COUNTIFS($Z$832:$Z$845,Z836,$AB$832:$AB$845,AB836,$V$832:$V$845,"&gt;"&amp;V836,$AD$832:$AD$845,1)+COUNTIFS($Z$832:Z836,Z836,$AB$832:AB836,AB836,$V$832:V836,V836,$AD$832:AD836,1))</x:f>
      </x:c>
      <x:c r="AD836" s="2" t="n">
        <x:f>IF(OR(AA836="DEFENSIV",AA836="PRUDENT",AA836="MODERAT",AA836="RIDICAT"),1,0)</x:f>
        <x:v>0</x:v>
      </x:c>
      <x:c r="AE836" s="2" t="str">
        <x:f>IF(AD836&lt;&gt;1,"NO",IF(W836="PASS","YES",IF(W836="OOS PENDING","CONDITIONAL","NO")))</x:f>
        <x:v>NO</x:v>
      </x:c>
      <x:c r="AF836" s="2" t="n">
        <x:f>IF(AND(AD836=1,AC836=1,E836="LIVE"),1,0)</x:f>
        <x:v>0</x:v>
      </x:c>
      <x:c r="AG836" s="2" t="str">
        <x:f>IF(AF836&lt;&gt;1,"",'Dashboard'!P85)</x:f>
      </x:c>
      <x:c r="AH836" s="2" t="str">
        <x:f>IF(B836="","",IF(J836&lt;&gt;"PASS",'Motor_Meciuri'!J65,IF('Calibrare_Linii'!U10&lt;&gt;"VALID","Parametri linie invalizi",IF(L836&gt;'Config_v6'!$B$13,"Dispersie peste limita",IF(W836="WATCH","Failure peste limita",IF(AB836&lt;'Config_v6'!$B$16,"P finala sub prag",IF(V836&lt;'Config_v6'!$B$18,"Confidence sub prag",IF(E836="REPLAY","Exemplu retrospectiv; exclus din Top LIVE",IF(Y836="PASS","DEFENSIV validat",IF(W836="OOS PENDING","Eligibil; calibrare linie in monitorizare","Eligibil"))))))))))</x:f>
      </x:c>
      <x:c r="AI836" s="2" t="str">
        <x:f>IF(B836="","",'Calibrare_Linii'!V10)</x:f>
      </x:c>
      <x:c r="AJ836" s="2" t="str">
        <x:f>IF(B836="","",IF(AND('Calibrare_Linii'!T10="VALIDATED",AND('Calibrare_Linii'!H10=C836,ISNUMBER('Calibrare_Linii'!J10),'Calibrare_Linii'!J10&lt;='Input_Meci'!G65)),"DEFENSIVE VALIDATED",IF(AND('Calibrare_Linii'!S10="VALIDATED",AND('Calibrare_Linii'!H10=C836,ISNUMBER('Calibrare_Linii'!J10),'Calibrare_Linii'!J10&lt;='Input_Meci'!G65)),"TAIL VALIDATED","OOS PENDING")))</x:f>
      </x:c>
      <x:c r="AK836" s="2" t="n">
        <x:f>IF(J836&lt;&gt;"PASS",0,'Motor_Meciuri'!BR65)</x:f>
        <x:v>0</x:v>
      </x:c>
      <x:c r="AL836" s="2" t="n">
        <x:f>IF(J836&lt;&gt;"PASS",0,'Motor_Meciuri'!BS65)</x:f>
        <x:v>0</x:v>
      </x:c>
      <x:c r="AM836" s="2" t="n">
        <x:f>IF(J836&lt;&gt;"PASS",0,'Motor_Meciuri'!BT65)</x:f>
        <x:v>0</x:v>
      </x:c>
      <x:c r="AN836" s="2" t="str">
        <x:f>IF(M836="","",MAX(0,'Motor_Meciuri'!BF65-IF(L836&gt;'Config_v6'!$B$12,'Config_v6'!$B$37,IF(L836&gt;'Config_v6'!$B$11,'Config_v6'!$B$36,0))))</x:f>
      </x:c>
    </x:row>
    <x:row r="837" ht="21" customHeight="1">
      <x:c r="A837" s="2" t="n">
        <x:v>60</x:v>
      </x:c>
      <x:c r="B837" s="2" t="str">
        <x:f>IF('Motor_Meciuri'!A65="","",'Motor_Meciuri'!A65)</x:f>
      </x:c>
      <x:c r="C837" s="2" t="str">
        <x:f>IF(B837="","",'Motor_Meciuri'!B65)</x:f>
      </x:c>
      <x:c r="D837" s="2" t="str">
        <x:f>IF(B837="","",'Motor_Meciuri'!D65)</x:f>
      </x:c>
      <x:c r="E837" s="2" t="str">
        <x:f>IF(B837="","",'Motor_Meciuri'!E65)</x:f>
      </x:c>
      <x:c r="F837" s="2" t="str">
        <x:v>O8,5</x:v>
      </x:c>
      <x:c r="G837" s="2" t="str">
        <x:v>OVER</x:v>
      </x:c>
      <x:c r="H837" s="2" t="n">
        <x:v>8</x:v>
      </x:c>
      <x:c r="I837" s="2" t="str">
        <x:f>IF(B837="","",'Motor_Meciuri'!H65)</x:f>
      </x:c>
      <x:c r="J837" s="2" t="str">
        <x:f>IF(B837="","",'Motor_Meciuri'!I65)</x:f>
      </x:c>
      <x:c r="K837" s="11" t="str">
        <x:f>IF(J837&lt;&gt;"PASS","",'Motor_Meciuri'!BD65)</x:f>
      </x:c>
      <x:c r="L837" s="11" t="str">
        <x:f>IF(J837&lt;&gt;"PASS","",'Motor_Meciuri'!AU65)</x:f>
      </x:c>
      <x:c r="M837" s="10" t="str">
        <x:f>IF(NOT(AND(J837="PASS",'Calibrare_Linii'!U11="VALID")),"",1-'Distributie'!AF65)</x:f>
      </x:c>
      <x:c r="N837" s="10" t="str">
        <x:f>IF(M837="","",MAX(0.01,MIN(0.99,0.5+(M837-0.5)*'Motor_Meciuri'!BG65*'Calibrare_Linii'!D11)))</x:f>
      </x:c>
      <x:c r="O837" s="10" t="str">
        <x:f>IF(M837="","",1-M837)</x:f>
      </x:c>
      <x:c r="P837" s="10" t="str">
        <x:f>IF(OR(NOT(AND(J837="PASS",'Calibrare_Linii'!U11="VALID")),AK837=0),""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*('Istoric_Nativ'!$Q$6:$Q$405&lt;=H837))/AK837)</x:f>
      </x:c>
      <x:c r="Q837" s="10" t="str">
        <x:f>IF(OR(NOT(AND(J837="PASS",'Calibrare_Linii'!U11="VALID")),AL837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M65)+((('Istoric_Nativ'!$E$6:$E$405='Input_Meci'!E65)+('Istoric_Nativ'!$F$6:$F$405='Input_Meci'!E65))&gt;0)*('Istoric_Nativ'!$D$6:$D$405&gt;='Motor_Meciuri'!BN65))&gt;0)*('Istoric_Nativ'!$Q$6:$Q$405&lt;=H837))/AL837)</x:f>
      </x:c>
      <x:c r="R837" s="10" t="str">
        <x:f>IF(OR(NOT(AND(J837="PASS",'Calibrare_Linii'!U11="VALID")),AM837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O65)+((('Istoric_Nativ'!$E$6:$E$405='Input_Meci'!E65)+('Istoric_Nativ'!$F$6:$F$405='Input_Meci'!E65))&gt;0)*('Istoric_Nativ'!$D$6:$D$405&gt;='Motor_Meciuri'!BP65))&gt;0)*('Istoric_Nativ'!$Q$6:$Q$405&lt;=H837))/AM837)</x:f>
      </x:c>
      <x:c r="S837" s="10" t="str">
        <x:f>IF(M837="","",MAX(O837,P837,Q837,R837))</x:f>
      </x:c>
      <x:c r="T837" s="11" t="str">
        <x:f>IF(M837="","",MIN(100,S837*100*'Config_v6'!$B$44+MIN(100,L837/'Config_v6'!$B$13*100)*'Config_v6'!$B$45+(100-'Motor_Meciuri'!BF65)*'Config_v6'!$B$46+'Motor_Meciuri'!BH65*100*'Config_v6'!$B$47))</x:f>
      </x:c>
      <x:c r="U837" s="2" t="str">
        <x:f>IF(T837="","",IF(T837&lt;=20,1,IF(T837&lt;=40,2,IF(T837&lt;=60,3,IF(T837&lt;=80,4,5)))))</x:f>
      </x:c>
      <x:c r="V837" s="2" t="str">
        <x:f>IF(M837="","",MAX(0,'Motor_Meciuri'!BF65-IF(W837="OOS PENDING",'Config_v6'!$B$35,0)-IF(L837&gt;'Config_v6'!$B$12,'Config_v6'!$B$37,IF(L837&gt;'Config_v6'!$B$11,'Config_v6'!$B$36,0))))</x:f>
      </x:c>
      <x:c r="W837" s="2" t="str">
        <x:f>IF(B837="","",IF(I837&lt;&gt;"READY","NOT RELEASED",IF(NOT(AND(J837="PASS",'Calibrare_Linii'!U11="VALID")),"INVALID",IF(NOT(AND('Calibrare_Linii'!S11="VALIDATED",AND('Calibrare_Linii'!H11=C837,ISNUMBER('Calibrare_Linii'!J11),'Calibrare_Linii'!J11&lt;='Input_Meci'!G65))),"OOS PENDING",IF(S837&lt;='Calibrare_Linii'!E11,"PASS",IF(S837&lt;='Calibrare_Linii'!F11,"PENALTY","WATCH"))))))</x:f>
      </x:c>
      <x:c r="X837" s="2" t="str">
        <x:f>IF(M837="","",IF(AND(AND(J837="PASS",'Calibrare_Linii'!U11="VALID"),'Motor_Meciuri'!K65=12,'Motor_Meciuri'!L65=12,'Motor_Meciuri'!M65="NO",'Motor_Meciuri'!BL65='Motor_Meciuri'!C65,AB837&gt;='Config_v6'!$B$50,AN837&gt;='Config_v6'!$B$51,T837&lt;='Config_v6'!$B$52,L837&lt;='Config_v6'!$B$53,ISNUMBER('Calibrare_Linii'!E11),S837&lt;='Calibrare_Linii'!E11,SUM(AK837:AM837)&gt;0),"CANDIDATE","NO"))</x:f>
      </x:c>
      <x:c r="Y837" s="2" t="str">
        <x:f>IF(B837="","",IF(I837&lt;&gt;"READY","NOT RELEASED",IF(AND(X837="CANDIDATE",V837&gt;='Config_v6'!$B$51,W837="PASS",'Calibrare_Linii'!T11="VALIDATED",AND('Calibrare_Linii'!H11=C837,ISNUMBER('Calibrare_Linii'!J11),'Calibrare_Linii'!J11&lt;='Input_Meci'!G65)),"PASS",IF(X837="CANDIDATE","OOS PENDING","FAIL"))))</x:f>
      </x:c>
      <x:c r="Z837" s="2" t="str">
        <x:f>IF(B837="","",IF(I837&lt;&gt;"READY","",IF(OR(NOT(AND(J837="PASS",'Calibrare_Linii'!U11="VALID")),L837&gt;'Config_v6'!$B$13,W837="WATCH"),5,IF(Y837="PASS",1,MIN(5,MAX('Config_v6'!$B$42,U837)+IF(W837="PENALTY",1,0))))))</x:f>
      </x:c>
      <x:c r="AA837" s="2" t="str">
        <x:f>IF(B837="","",IF(I837&lt;&gt;"READY","NOT RELEASED",IF(Z837=5,"NO BET",IF(OR(AB837&lt;'Config_v6'!$B$16,V837&lt;'Config_v6'!$B$18),"WATCH",IF(Z837=1,"DEFENSIV",IF(Z837=2,"PRUDENT",IF(Z837=3,"MODERAT","RIDICAT")))))))</x:f>
      </x:c>
      <x:c r="AB837" s="10" t="str">
        <x:f>IF(N837="","",MIN(N837,1-S837))</x:f>
      </x:c>
      <x:c r="AC837" s="2" t="str">
        <x:f>IF(AD837&lt;&gt;1,"",COUNTIFS($Z$832:$Z$845,"&lt;"&amp;Z837,$AD$832:$AD$845,1)+COUNTIFS($Z$832:$Z$845,Z837,$AB$832:$AB$845,"&gt;"&amp;AB837,$AD$832:$AD$845,1)+COUNTIFS($Z$832:$Z$845,Z837,$AB$832:$AB$845,AB837,$V$832:$V$845,"&gt;"&amp;V837,$AD$832:$AD$845,1)+COUNTIFS($Z$832:Z837,Z837,$AB$832:AB837,AB837,$V$832:V837,V837,$AD$832:AD837,1))</x:f>
      </x:c>
      <x:c r="AD837" s="2" t="n">
        <x:f>IF(OR(AA837="DEFENSIV",AA837="PRUDENT",AA837="MODERAT",AA837="RIDICAT"),1,0)</x:f>
        <x:v>0</x:v>
      </x:c>
      <x:c r="AE837" s="2" t="str">
        <x:f>IF(AD837&lt;&gt;1,"NO",IF(W837="PASS","YES",IF(W837="OOS PENDING","CONDITIONAL","NO")))</x:f>
        <x:v>NO</x:v>
      </x:c>
      <x:c r="AF837" s="2" t="n">
        <x:f>IF(AND(AD837=1,AC837=1,E837="LIVE"),1,0)</x:f>
        <x:v>0</x:v>
      </x:c>
      <x:c r="AG837" s="2" t="str">
        <x:f>IF(AF837&lt;&gt;1,"",'Dashboard'!P85)</x:f>
      </x:c>
      <x:c r="AH837" s="2" t="str">
        <x:f>IF(B837="","",IF(J837&lt;&gt;"PASS",'Motor_Meciuri'!J65,IF('Calibrare_Linii'!U11&lt;&gt;"VALID","Parametri linie invalizi",IF(L837&gt;'Config_v6'!$B$13,"Dispersie peste limita",IF(W837="WATCH","Failure peste limita",IF(AB837&lt;'Config_v6'!$B$16,"P finala sub prag",IF(V837&lt;'Config_v6'!$B$18,"Confidence sub prag",IF(E837="REPLAY","Exemplu retrospectiv; exclus din Top LIVE",IF(Y837="PASS","DEFENSIV validat",IF(W837="OOS PENDING","Eligibil; calibrare linie in monitorizare","Eligibil"))))))))))</x:f>
      </x:c>
      <x:c r="AI837" s="2" t="str">
        <x:f>IF(B837="","",'Calibrare_Linii'!V11)</x:f>
      </x:c>
      <x:c r="AJ837" s="2" t="str">
        <x:f>IF(B837="","",IF(AND('Calibrare_Linii'!T11="VALIDATED",AND('Calibrare_Linii'!H11=C837,ISNUMBER('Calibrare_Linii'!J11),'Calibrare_Linii'!J11&lt;='Input_Meci'!G65)),"DEFENSIVE VALIDATED",IF(AND('Calibrare_Linii'!S11="VALIDATED",AND('Calibrare_Linii'!H11=C837,ISNUMBER('Calibrare_Linii'!J11),'Calibrare_Linii'!J11&lt;='Input_Meci'!G65)),"TAIL VALIDATED","OOS PENDING")))</x:f>
      </x:c>
      <x:c r="AK837" s="2" t="n">
        <x:f>IF(J837&lt;&gt;"PASS",0,'Motor_Meciuri'!BR65)</x:f>
        <x:v>0</x:v>
      </x:c>
      <x:c r="AL837" s="2" t="n">
        <x:f>IF(J837&lt;&gt;"PASS",0,'Motor_Meciuri'!BS65)</x:f>
        <x:v>0</x:v>
      </x:c>
      <x:c r="AM837" s="2" t="n">
        <x:f>IF(J837&lt;&gt;"PASS",0,'Motor_Meciuri'!BT65)</x:f>
        <x:v>0</x:v>
      </x:c>
      <x:c r="AN837" s="2" t="str">
        <x:f>IF(M837="","",MAX(0,'Motor_Meciuri'!BF65-IF(L837&gt;'Config_v6'!$B$12,'Config_v6'!$B$37,IF(L837&gt;'Config_v6'!$B$11,'Config_v6'!$B$36,0))))</x:f>
      </x:c>
    </x:row>
    <x:row r="838" ht="21" customHeight="1">
      <x:c r="A838" s="2" t="n">
        <x:v>60</x:v>
      </x:c>
      <x:c r="B838" s="2" t="str">
        <x:f>IF('Motor_Meciuri'!A65="","",'Motor_Meciuri'!A65)</x:f>
      </x:c>
      <x:c r="C838" s="2" t="str">
        <x:f>IF(B838="","",'Motor_Meciuri'!B65)</x:f>
      </x:c>
      <x:c r="D838" s="2" t="str">
        <x:f>IF(B838="","",'Motor_Meciuri'!D65)</x:f>
      </x:c>
      <x:c r="E838" s="2" t="str">
        <x:f>IF(B838="","",'Motor_Meciuri'!E65)</x:f>
      </x:c>
      <x:c r="F838" s="2" t="str">
        <x:v>U10,5</x:v>
      </x:c>
      <x:c r="G838" s="2" t="str">
        <x:v>UNDER</x:v>
      </x:c>
      <x:c r="H838" s="2" t="n">
        <x:v>10</x:v>
      </x:c>
      <x:c r="I838" s="2" t="str">
        <x:f>IF(B838="","",'Motor_Meciuri'!H65)</x:f>
      </x:c>
      <x:c r="J838" s="2" t="str">
        <x:f>IF(B838="","",'Motor_Meciuri'!I65)</x:f>
      </x:c>
      <x:c r="K838" s="11" t="str">
        <x:f>IF(J838&lt;&gt;"PASS","",'Motor_Meciuri'!BD65)</x:f>
      </x:c>
      <x:c r="L838" s="11" t="str">
        <x:f>IF(J838&lt;&gt;"PASS","",'Motor_Meciuri'!AU65)</x:f>
      </x:c>
      <x:c r="M838" s="10" t="str">
        <x:f>IF(NOT(AND(J838="PASS",'Calibrare_Linii'!U12="VALID")),"",'Distributie'!AH65)</x:f>
      </x:c>
      <x:c r="N838" s="10" t="str">
        <x:f>IF(M838="","",MAX(0.01,MIN(0.99,0.5+(M838-0.5)*'Motor_Meciuri'!BG65*'Calibrare_Linii'!D12)))</x:f>
      </x:c>
      <x:c r="O838" s="10" t="str">
        <x:f>IF(M838="","",1-M838)</x:f>
      </x:c>
      <x:c r="P838" s="10" t="str">
        <x:f>IF(OR(NOT(AND(J838="PASS",'Calibrare_Linii'!U12="VALID")),AK838=0),""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*('Istoric_Nativ'!$Q$6:$Q$405&gt;H838))/AK838)</x:f>
      </x:c>
      <x:c r="Q838" s="10" t="str">
        <x:f>IF(OR(NOT(AND(J838="PASS",'Calibrare_Linii'!U12="VALID")),AL838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M65)+((('Istoric_Nativ'!$E$6:$E$405='Input_Meci'!E65)+('Istoric_Nativ'!$F$6:$F$405='Input_Meci'!E65))&gt;0)*('Istoric_Nativ'!$D$6:$D$405&gt;='Motor_Meciuri'!BN65))&gt;0)*('Istoric_Nativ'!$Q$6:$Q$405&gt;H838))/AL838)</x:f>
      </x:c>
      <x:c r="R838" s="10" t="str">
        <x:f>IF(OR(NOT(AND(J838="PASS",'Calibrare_Linii'!U12="VALID")),AM838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O65)+((('Istoric_Nativ'!$E$6:$E$405='Input_Meci'!E65)+('Istoric_Nativ'!$F$6:$F$405='Input_Meci'!E65))&gt;0)*('Istoric_Nativ'!$D$6:$D$405&gt;='Motor_Meciuri'!BP65))&gt;0)*('Istoric_Nativ'!$Q$6:$Q$405&gt;H838))/AM838)</x:f>
      </x:c>
      <x:c r="S838" s="10" t="str">
        <x:f>IF(M838="","",MAX(O838,P838,Q838,R838))</x:f>
      </x:c>
      <x:c r="T838" s="11" t="str">
        <x:f>IF(M838="","",MIN(100,S838*100*'Config_v6'!$B$44+MIN(100,L838/'Config_v6'!$B$13*100)*'Config_v6'!$B$45+(100-'Motor_Meciuri'!BF65)*'Config_v6'!$B$46+'Motor_Meciuri'!BH65*100*'Config_v6'!$B$47))</x:f>
      </x:c>
      <x:c r="U838" s="2" t="str">
        <x:f>IF(T838="","",IF(T838&lt;=20,1,IF(T838&lt;=40,2,IF(T838&lt;=60,3,IF(T838&lt;=80,4,5)))))</x:f>
      </x:c>
      <x:c r="V838" s="2" t="str">
        <x:f>IF(M838="","",MAX(0,'Motor_Meciuri'!BF65-IF(W838="OOS PENDING",'Config_v6'!$B$35,0)-IF(L838&gt;'Config_v6'!$B$12,'Config_v6'!$B$37,IF(L838&gt;'Config_v6'!$B$11,'Config_v6'!$B$36,0))))</x:f>
      </x:c>
      <x:c r="W838" s="2" t="str">
        <x:f>IF(B838="","",IF(I838&lt;&gt;"READY","NOT RELEASED",IF(NOT(AND(J838="PASS",'Calibrare_Linii'!U12="VALID")),"INVALID",IF(NOT(AND('Calibrare_Linii'!S12="VALIDATED",AND('Calibrare_Linii'!H12=C838,ISNUMBER('Calibrare_Linii'!J12),'Calibrare_Linii'!J12&lt;='Input_Meci'!G65))),"OOS PENDING",IF(S838&lt;='Calibrare_Linii'!E12,"PASS",IF(S838&lt;='Calibrare_Linii'!F12,"PENALTY","WATCH"))))))</x:f>
      </x:c>
      <x:c r="X838" s="2" t="str">
        <x:f>IF(M838="","",IF(AND(AND(J838="PASS",'Calibrare_Linii'!U12="VALID"),'Motor_Meciuri'!K65=12,'Motor_Meciuri'!L65=12,'Motor_Meciuri'!M65="NO",'Motor_Meciuri'!BL65='Motor_Meciuri'!C65,AB838&gt;='Config_v6'!$B$50,AN838&gt;='Config_v6'!$B$51,T838&lt;='Config_v6'!$B$52,L838&lt;='Config_v6'!$B$53,ISNUMBER('Calibrare_Linii'!E12),S838&lt;='Calibrare_Linii'!E12,SUM(AK838:AM838)&gt;0),"CANDIDATE","NO"))</x:f>
      </x:c>
      <x:c r="Y838" s="2" t="str">
        <x:f>IF(B838="","",IF(I838&lt;&gt;"READY","NOT RELEASED",IF(AND(X838="CANDIDATE",V838&gt;='Config_v6'!$B$51,W838="PASS",'Calibrare_Linii'!T12="VALIDATED",AND('Calibrare_Linii'!H12=C838,ISNUMBER('Calibrare_Linii'!J12),'Calibrare_Linii'!J12&lt;='Input_Meci'!G65)),"PASS",IF(X838="CANDIDATE","OOS PENDING","FAIL"))))</x:f>
      </x:c>
      <x:c r="Z838" s="2" t="str">
        <x:f>IF(B838="","",IF(I838&lt;&gt;"READY","",IF(OR(NOT(AND(J838="PASS",'Calibrare_Linii'!U12="VALID")),L838&gt;'Config_v6'!$B$13,W838="WATCH"),5,IF(Y838="PASS",1,MIN(5,MAX('Config_v6'!$B$42,U838)+IF(W838="PENALTY",1,0))))))</x:f>
      </x:c>
      <x:c r="AA838" s="2" t="str">
        <x:f>IF(B838="","",IF(I838&lt;&gt;"READY","NOT RELEASED",IF(Z838=5,"NO BET",IF(OR(AB838&lt;'Config_v6'!$B$16,V838&lt;'Config_v6'!$B$18),"WATCH",IF(Z838=1,"DEFENSIV",IF(Z838=2,"PRUDENT",IF(Z838=3,"MODERAT","RIDICAT")))))))</x:f>
      </x:c>
      <x:c r="AB838" s="10" t="str">
        <x:f>IF(N838="","",MIN(N838,1-S838))</x:f>
      </x:c>
      <x:c r="AC838" s="2" t="str">
        <x:f>IF(AD838&lt;&gt;1,"",COUNTIFS($Z$832:$Z$845,"&lt;"&amp;Z838,$AD$832:$AD$845,1)+COUNTIFS($Z$832:$Z$845,Z838,$AB$832:$AB$845,"&gt;"&amp;AB838,$AD$832:$AD$845,1)+COUNTIFS($Z$832:$Z$845,Z838,$AB$832:$AB$845,AB838,$V$832:$V$845,"&gt;"&amp;V838,$AD$832:$AD$845,1)+COUNTIFS($Z$832:Z838,Z838,$AB$832:AB838,AB838,$V$832:V838,V838,$AD$832:AD838,1))</x:f>
      </x:c>
      <x:c r="AD838" s="2" t="n">
        <x:f>IF(OR(AA838="DEFENSIV",AA838="PRUDENT",AA838="MODERAT",AA838="RIDICAT"),1,0)</x:f>
        <x:v>0</x:v>
      </x:c>
      <x:c r="AE838" s="2" t="str">
        <x:f>IF(AD838&lt;&gt;1,"NO",IF(W838="PASS","YES",IF(W838="OOS PENDING","CONDITIONAL","NO")))</x:f>
        <x:v>NO</x:v>
      </x:c>
      <x:c r="AF838" s="2" t="n">
        <x:f>IF(AND(AD838=1,AC838=1,E838="LIVE"),1,0)</x:f>
        <x:v>0</x:v>
      </x:c>
      <x:c r="AG838" s="2" t="str">
        <x:f>IF(AF838&lt;&gt;1,"",'Dashboard'!P85)</x:f>
      </x:c>
      <x:c r="AH838" s="2" t="str">
        <x:f>IF(B838="","",IF(J838&lt;&gt;"PASS",'Motor_Meciuri'!J65,IF('Calibrare_Linii'!U12&lt;&gt;"VALID","Parametri linie invalizi",IF(L838&gt;'Config_v6'!$B$13,"Dispersie peste limita",IF(W838="WATCH","Failure peste limita",IF(AB838&lt;'Config_v6'!$B$16,"P finala sub prag",IF(V838&lt;'Config_v6'!$B$18,"Confidence sub prag",IF(E838="REPLAY","Exemplu retrospectiv; exclus din Top LIVE",IF(Y838="PASS","DEFENSIV validat",IF(W838="OOS PENDING","Eligibil; calibrare linie in monitorizare","Eligibil"))))))))))</x:f>
      </x:c>
      <x:c r="AI838" s="2" t="str">
        <x:f>IF(B838="","",'Calibrare_Linii'!V12)</x:f>
      </x:c>
      <x:c r="AJ838" s="2" t="str">
        <x:f>IF(B838="","",IF(AND('Calibrare_Linii'!T12="VALIDATED",AND('Calibrare_Linii'!H12=C838,ISNUMBER('Calibrare_Linii'!J12),'Calibrare_Linii'!J12&lt;='Input_Meci'!G65)),"DEFENSIVE VALIDATED",IF(AND('Calibrare_Linii'!S12="VALIDATED",AND('Calibrare_Linii'!H12=C838,ISNUMBER('Calibrare_Linii'!J12),'Calibrare_Linii'!J12&lt;='Input_Meci'!G65)),"TAIL VALIDATED","OOS PENDING")))</x:f>
      </x:c>
      <x:c r="AK838" s="2" t="n">
        <x:f>IF(J838&lt;&gt;"PASS",0,'Motor_Meciuri'!BR65)</x:f>
        <x:v>0</x:v>
      </x:c>
      <x:c r="AL838" s="2" t="n">
        <x:f>IF(J838&lt;&gt;"PASS",0,'Motor_Meciuri'!BS65)</x:f>
        <x:v>0</x:v>
      </x:c>
      <x:c r="AM838" s="2" t="n">
        <x:f>IF(J838&lt;&gt;"PASS",0,'Motor_Meciuri'!BT65)</x:f>
        <x:v>0</x:v>
      </x:c>
      <x:c r="AN838" s="2" t="str">
        <x:f>IF(M838="","",MAX(0,'Motor_Meciuri'!BF65-IF(L838&gt;'Config_v6'!$B$12,'Config_v6'!$B$37,IF(L838&gt;'Config_v6'!$B$11,'Config_v6'!$B$36,0))))</x:f>
      </x:c>
    </x:row>
    <x:row r="839" ht="21" customHeight="1">
      <x:c r="A839" s="2" t="n">
        <x:v>60</x:v>
      </x:c>
      <x:c r="B839" s="2" t="str">
        <x:f>IF('Motor_Meciuri'!A65="","",'Motor_Meciuri'!A65)</x:f>
      </x:c>
      <x:c r="C839" s="2" t="str">
        <x:f>IF(B839="","",'Motor_Meciuri'!B65)</x:f>
      </x:c>
      <x:c r="D839" s="2" t="str">
        <x:f>IF(B839="","",'Motor_Meciuri'!D65)</x:f>
      </x:c>
      <x:c r="E839" s="2" t="str">
        <x:f>IF(B839="","",'Motor_Meciuri'!E65)</x:f>
      </x:c>
      <x:c r="F839" s="2" t="str">
        <x:v>U11,5</x:v>
      </x:c>
      <x:c r="G839" s="2" t="str">
        <x:v>UNDER</x:v>
      </x:c>
      <x:c r="H839" s="2" t="n">
        <x:v>11</x:v>
      </x:c>
      <x:c r="I839" s="2" t="str">
        <x:f>IF(B839="","",'Motor_Meciuri'!H65)</x:f>
      </x:c>
      <x:c r="J839" s="2" t="str">
        <x:f>IF(B839="","",'Motor_Meciuri'!I65)</x:f>
      </x:c>
      <x:c r="K839" s="11" t="str">
        <x:f>IF(J839&lt;&gt;"PASS","",'Motor_Meciuri'!BD65)</x:f>
      </x:c>
      <x:c r="L839" s="11" t="str">
        <x:f>IF(J839&lt;&gt;"PASS","",'Motor_Meciuri'!AU65)</x:f>
      </x:c>
      <x:c r="M839" s="10" t="str">
        <x:f>IF(NOT(AND(J839="PASS",'Calibrare_Linii'!U13="VALID")),"",'Distributie'!AI65)</x:f>
      </x:c>
      <x:c r="N839" s="10" t="str">
        <x:f>IF(M839="","",MAX(0.01,MIN(0.99,0.5+(M839-0.5)*'Motor_Meciuri'!BG65*'Calibrare_Linii'!D13)))</x:f>
      </x:c>
      <x:c r="O839" s="10" t="str">
        <x:f>IF(M839="","",1-M839)</x:f>
      </x:c>
      <x:c r="P839" s="10" t="str">
        <x:f>IF(OR(NOT(AND(J839="PASS",'Calibrare_Linii'!U13="VALID")),AK839=0),""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*('Istoric_Nativ'!$Q$6:$Q$405&gt;H839))/AK839)</x:f>
      </x:c>
      <x:c r="Q839" s="10" t="str">
        <x:f>IF(OR(NOT(AND(J839="PASS",'Calibrare_Linii'!U13="VALID")),AL839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M65)+((('Istoric_Nativ'!$E$6:$E$405='Input_Meci'!E65)+('Istoric_Nativ'!$F$6:$F$405='Input_Meci'!E65))&gt;0)*('Istoric_Nativ'!$D$6:$D$405&gt;='Motor_Meciuri'!BN65))&gt;0)*('Istoric_Nativ'!$Q$6:$Q$405&gt;H839))/AL839)</x:f>
      </x:c>
      <x:c r="R839" s="10" t="str">
        <x:f>IF(OR(NOT(AND(J839="PASS",'Calibrare_Linii'!U13="VALID")),AM839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O65)+((('Istoric_Nativ'!$E$6:$E$405='Input_Meci'!E65)+('Istoric_Nativ'!$F$6:$F$405='Input_Meci'!E65))&gt;0)*('Istoric_Nativ'!$D$6:$D$405&gt;='Motor_Meciuri'!BP65))&gt;0)*('Istoric_Nativ'!$Q$6:$Q$405&gt;H839))/AM839)</x:f>
      </x:c>
      <x:c r="S839" s="10" t="str">
        <x:f>IF(M839="","",MAX(O839,P839,Q839,R839))</x:f>
      </x:c>
      <x:c r="T839" s="11" t="str">
        <x:f>IF(M839="","",MIN(100,S839*100*'Config_v6'!$B$44+MIN(100,L839/'Config_v6'!$B$13*100)*'Config_v6'!$B$45+(100-'Motor_Meciuri'!BF65)*'Config_v6'!$B$46+'Motor_Meciuri'!BH65*100*'Config_v6'!$B$47))</x:f>
      </x:c>
      <x:c r="U839" s="2" t="str">
        <x:f>IF(T839="","",IF(T839&lt;=20,1,IF(T839&lt;=40,2,IF(T839&lt;=60,3,IF(T839&lt;=80,4,5)))))</x:f>
      </x:c>
      <x:c r="V839" s="2" t="str">
        <x:f>IF(M839="","",MAX(0,'Motor_Meciuri'!BF65-IF(W839="OOS PENDING",'Config_v6'!$B$35,0)-IF(L839&gt;'Config_v6'!$B$12,'Config_v6'!$B$37,IF(L839&gt;'Config_v6'!$B$11,'Config_v6'!$B$36,0))))</x:f>
      </x:c>
      <x:c r="W839" s="2" t="str">
        <x:f>IF(B839="","",IF(I839&lt;&gt;"READY","NOT RELEASED",IF(NOT(AND(J839="PASS",'Calibrare_Linii'!U13="VALID")),"INVALID",IF(NOT(AND('Calibrare_Linii'!S13="VALIDATED",AND('Calibrare_Linii'!H13=C839,ISNUMBER('Calibrare_Linii'!J13),'Calibrare_Linii'!J13&lt;='Input_Meci'!G65))),"OOS PENDING",IF(S839&lt;='Calibrare_Linii'!E13,"PASS",IF(S839&lt;='Calibrare_Linii'!F13,"PENALTY","WATCH"))))))</x:f>
      </x:c>
      <x:c r="X839" s="2" t="str">
        <x:f>IF(M839="","",IF(AND(AND(J839="PASS",'Calibrare_Linii'!U13="VALID"),'Motor_Meciuri'!K65=12,'Motor_Meciuri'!L65=12,'Motor_Meciuri'!M65="NO",'Motor_Meciuri'!BL65='Motor_Meciuri'!C65,AB839&gt;='Config_v6'!$B$50,AN839&gt;='Config_v6'!$B$51,T839&lt;='Config_v6'!$B$52,L839&lt;='Config_v6'!$B$53,ISNUMBER('Calibrare_Linii'!E13),S839&lt;='Calibrare_Linii'!E13,SUM(AK839:AM839)&gt;0),"CANDIDATE","NO"))</x:f>
      </x:c>
      <x:c r="Y839" s="2" t="str">
        <x:f>IF(B839="","",IF(I839&lt;&gt;"READY","NOT RELEASED",IF(AND(X839="CANDIDATE",V839&gt;='Config_v6'!$B$51,W839="PASS",'Calibrare_Linii'!T13="VALIDATED",AND('Calibrare_Linii'!H13=C839,ISNUMBER('Calibrare_Linii'!J13),'Calibrare_Linii'!J13&lt;='Input_Meci'!G65)),"PASS",IF(X839="CANDIDATE","OOS PENDING","FAIL"))))</x:f>
      </x:c>
      <x:c r="Z839" s="2" t="str">
        <x:f>IF(B839="","",IF(I839&lt;&gt;"READY","",IF(OR(NOT(AND(J839="PASS",'Calibrare_Linii'!U13="VALID")),L839&gt;'Config_v6'!$B$13,W839="WATCH"),5,IF(Y839="PASS",1,MIN(5,MAX('Config_v6'!$B$42,U839)+IF(W839="PENALTY",1,0))))))</x:f>
      </x:c>
      <x:c r="AA839" s="2" t="str">
        <x:f>IF(B839="","",IF(I839&lt;&gt;"READY","NOT RELEASED",IF(Z839=5,"NO BET",IF(OR(AB839&lt;'Config_v6'!$B$16,V839&lt;'Config_v6'!$B$18),"WATCH",IF(Z839=1,"DEFENSIV",IF(Z839=2,"PRUDENT",IF(Z839=3,"MODERAT","RIDICAT")))))))</x:f>
      </x:c>
      <x:c r="AB839" s="10" t="str">
        <x:f>IF(N839="","",MIN(N839,1-S839))</x:f>
      </x:c>
      <x:c r="AC839" s="2" t="str">
        <x:f>IF(AD839&lt;&gt;1,"",COUNTIFS($Z$832:$Z$845,"&lt;"&amp;Z839,$AD$832:$AD$845,1)+COUNTIFS($Z$832:$Z$845,Z839,$AB$832:$AB$845,"&gt;"&amp;AB839,$AD$832:$AD$845,1)+COUNTIFS($Z$832:$Z$845,Z839,$AB$832:$AB$845,AB839,$V$832:$V$845,"&gt;"&amp;V839,$AD$832:$AD$845,1)+COUNTIFS($Z$832:Z839,Z839,$AB$832:AB839,AB839,$V$832:V839,V839,$AD$832:AD839,1))</x:f>
      </x:c>
      <x:c r="AD839" s="2" t="n">
        <x:f>IF(OR(AA839="DEFENSIV",AA839="PRUDENT",AA839="MODERAT",AA839="RIDICAT"),1,0)</x:f>
        <x:v>0</x:v>
      </x:c>
      <x:c r="AE839" s="2" t="str">
        <x:f>IF(AD839&lt;&gt;1,"NO",IF(W839="PASS","YES",IF(W839="OOS PENDING","CONDITIONAL","NO")))</x:f>
        <x:v>NO</x:v>
      </x:c>
      <x:c r="AF839" s="2" t="n">
        <x:f>IF(AND(AD839=1,AC839=1,E839="LIVE"),1,0)</x:f>
        <x:v>0</x:v>
      </x:c>
      <x:c r="AG839" s="2" t="str">
        <x:f>IF(AF839&lt;&gt;1,"",'Dashboard'!P85)</x:f>
      </x:c>
      <x:c r="AH839" s="2" t="str">
        <x:f>IF(B839="","",IF(J839&lt;&gt;"PASS",'Motor_Meciuri'!J65,IF('Calibrare_Linii'!U13&lt;&gt;"VALID","Parametri linie invalizi",IF(L839&gt;'Config_v6'!$B$13,"Dispersie peste limita",IF(W839="WATCH","Failure peste limita",IF(AB839&lt;'Config_v6'!$B$16,"P finala sub prag",IF(V839&lt;'Config_v6'!$B$18,"Confidence sub prag",IF(E839="REPLAY","Exemplu retrospectiv; exclus din Top LIVE",IF(Y839="PASS","DEFENSIV validat",IF(W839="OOS PENDING","Eligibil; calibrare linie in monitorizare","Eligibil"))))))))))</x:f>
      </x:c>
      <x:c r="AI839" s="2" t="str">
        <x:f>IF(B839="","",'Calibrare_Linii'!V13)</x:f>
      </x:c>
      <x:c r="AJ839" s="2" t="str">
        <x:f>IF(B839="","",IF(AND('Calibrare_Linii'!T13="VALIDATED",AND('Calibrare_Linii'!H13=C839,ISNUMBER('Calibrare_Linii'!J13),'Calibrare_Linii'!J13&lt;='Input_Meci'!G65)),"DEFENSIVE VALIDATED",IF(AND('Calibrare_Linii'!S13="VALIDATED",AND('Calibrare_Linii'!H13=C839,ISNUMBER('Calibrare_Linii'!J13),'Calibrare_Linii'!J13&lt;='Input_Meci'!G65)),"TAIL VALIDATED","OOS PENDING")))</x:f>
      </x:c>
      <x:c r="AK839" s="2" t="n">
        <x:f>IF(J839&lt;&gt;"PASS",0,'Motor_Meciuri'!BR65)</x:f>
        <x:v>0</x:v>
      </x:c>
      <x:c r="AL839" s="2" t="n">
        <x:f>IF(J839&lt;&gt;"PASS",0,'Motor_Meciuri'!BS65)</x:f>
        <x:v>0</x:v>
      </x:c>
      <x:c r="AM839" s="2" t="n">
        <x:f>IF(J839&lt;&gt;"PASS",0,'Motor_Meciuri'!BT65)</x:f>
        <x:v>0</x:v>
      </x:c>
      <x:c r="AN839" s="2" t="str">
        <x:f>IF(M839="","",MAX(0,'Motor_Meciuri'!BF65-IF(L839&gt;'Config_v6'!$B$12,'Config_v6'!$B$37,IF(L839&gt;'Config_v6'!$B$11,'Config_v6'!$B$36,0))))</x:f>
      </x:c>
    </x:row>
    <x:row r="840" ht="21" customHeight="1">
      <x:c r="A840" s="2" t="n">
        <x:v>60</x:v>
      </x:c>
      <x:c r="B840" s="2" t="str">
        <x:f>IF('Motor_Meciuri'!A65="","",'Motor_Meciuri'!A65)</x:f>
      </x:c>
      <x:c r="C840" s="2" t="str">
        <x:f>IF(B840="","",'Motor_Meciuri'!B65)</x:f>
      </x:c>
      <x:c r="D840" s="2" t="str">
        <x:f>IF(B840="","",'Motor_Meciuri'!D65)</x:f>
      </x:c>
      <x:c r="E840" s="2" t="str">
        <x:f>IF(B840="","",'Motor_Meciuri'!E65)</x:f>
      </x:c>
      <x:c r="F840" s="2" t="str">
        <x:v>U12,5</x:v>
      </x:c>
      <x:c r="G840" s="2" t="str">
        <x:v>UNDER</x:v>
      </x:c>
      <x:c r="H840" s="2" t="n">
        <x:v>12</x:v>
      </x:c>
      <x:c r="I840" s="2" t="str">
        <x:f>IF(B840="","",'Motor_Meciuri'!H65)</x:f>
      </x:c>
      <x:c r="J840" s="2" t="str">
        <x:f>IF(B840="","",'Motor_Meciuri'!I65)</x:f>
      </x:c>
      <x:c r="K840" s="11" t="str">
        <x:f>IF(J840&lt;&gt;"PASS","",'Motor_Meciuri'!BD65)</x:f>
      </x:c>
      <x:c r="L840" s="11" t="str">
        <x:f>IF(J840&lt;&gt;"PASS","",'Motor_Meciuri'!AU65)</x:f>
      </x:c>
      <x:c r="M840" s="10" t="str">
        <x:f>IF(NOT(AND(J840="PASS",'Calibrare_Linii'!U14="VALID")),"",'Distributie'!AJ65)</x:f>
      </x:c>
      <x:c r="N840" s="10" t="str">
        <x:f>IF(M840="","",MAX(0.01,MIN(0.99,0.5+(M840-0.5)*'Motor_Meciuri'!BG65*'Calibrare_Linii'!D14)))</x:f>
      </x:c>
      <x:c r="O840" s="10" t="str">
        <x:f>IF(M840="","",1-M840)</x:f>
      </x:c>
      <x:c r="P840" s="10" t="str">
        <x:f>IF(OR(NOT(AND(J840="PASS",'Calibrare_Linii'!U14="VALID")),AK840=0),""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*('Istoric_Nativ'!$Q$6:$Q$405&gt;H840))/AK840)</x:f>
      </x:c>
      <x:c r="Q840" s="10" t="str">
        <x:f>IF(OR(NOT(AND(J840="PASS",'Calibrare_Linii'!U14="VALID")),AL840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M65)+((('Istoric_Nativ'!$E$6:$E$405='Input_Meci'!E65)+('Istoric_Nativ'!$F$6:$F$405='Input_Meci'!E65))&gt;0)*('Istoric_Nativ'!$D$6:$D$405&gt;='Motor_Meciuri'!BN65))&gt;0)*('Istoric_Nativ'!$Q$6:$Q$405&gt;H840))/AL840)</x:f>
      </x:c>
      <x:c r="R840" s="10" t="str">
        <x:f>IF(OR(NOT(AND(J840="PASS",'Calibrare_Linii'!U14="VALID")),AM840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O65)+((('Istoric_Nativ'!$E$6:$E$405='Input_Meci'!E65)+('Istoric_Nativ'!$F$6:$F$405='Input_Meci'!E65))&gt;0)*('Istoric_Nativ'!$D$6:$D$405&gt;='Motor_Meciuri'!BP65))&gt;0)*('Istoric_Nativ'!$Q$6:$Q$405&gt;H840))/AM840)</x:f>
      </x:c>
      <x:c r="S840" s="10" t="str">
        <x:f>IF(M840="","",MAX(O840,P840,Q840,R840))</x:f>
      </x:c>
      <x:c r="T840" s="11" t="str">
        <x:f>IF(M840="","",MIN(100,S840*100*'Config_v6'!$B$44+MIN(100,L840/'Config_v6'!$B$13*100)*'Config_v6'!$B$45+(100-'Motor_Meciuri'!BF65)*'Config_v6'!$B$46+'Motor_Meciuri'!BH65*100*'Config_v6'!$B$47))</x:f>
      </x:c>
      <x:c r="U840" s="2" t="str">
        <x:f>IF(T840="","",IF(T840&lt;=20,1,IF(T840&lt;=40,2,IF(T840&lt;=60,3,IF(T840&lt;=80,4,5)))))</x:f>
      </x:c>
      <x:c r="V840" s="2" t="str">
        <x:f>IF(M840="","",MAX(0,'Motor_Meciuri'!BF65-IF(W840="OOS PENDING",'Config_v6'!$B$35,0)-IF(L840&gt;'Config_v6'!$B$12,'Config_v6'!$B$37,IF(L840&gt;'Config_v6'!$B$11,'Config_v6'!$B$36,0))))</x:f>
      </x:c>
      <x:c r="W840" s="2" t="str">
        <x:f>IF(B840="","",IF(I840&lt;&gt;"READY","NOT RELEASED",IF(NOT(AND(J840="PASS",'Calibrare_Linii'!U14="VALID")),"INVALID",IF(NOT(AND('Calibrare_Linii'!S14="VALIDATED",AND('Calibrare_Linii'!H14=C840,ISNUMBER('Calibrare_Linii'!J14),'Calibrare_Linii'!J14&lt;='Input_Meci'!G65))),"OOS PENDING",IF(S840&lt;='Calibrare_Linii'!E14,"PASS",IF(S840&lt;='Calibrare_Linii'!F14,"PENALTY","WATCH"))))))</x:f>
      </x:c>
      <x:c r="X840" s="2" t="str">
        <x:f>IF(M840="","",IF(AND(AND(J840="PASS",'Calibrare_Linii'!U14="VALID"),'Motor_Meciuri'!K65=12,'Motor_Meciuri'!L65=12,'Motor_Meciuri'!M65="NO",'Motor_Meciuri'!BL65='Motor_Meciuri'!C65,AB840&gt;='Config_v6'!$B$50,AN840&gt;='Config_v6'!$B$51,T840&lt;='Config_v6'!$B$52,L840&lt;='Config_v6'!$B$53,ISNUMBER('Calibrare_Linii'!E14),S840&lt;='Calibrare_Linii'!E14,SUM(AK840:AM840)&gt;0),"CANDIDATE","NO"))</x:f>
      </x:c>
      <x:c r="Y840" s="2" t="str">
        <x:f>IF(B840="","",IF(I840&lt;&gt;"READY","NOT RELEASED",IF(AND(X840="CANDIDATE",V840&gt;='Config_v6'!$B$51,W840="PASS",'Calibrare_Linii'!T14="VALIDATED",AND('Calibrare_Linii'!H14=C840,ISNUMBER('Calibrare_Linii'!J14),'Calibrare_Linii'!J14&lt;='Input_Meci'!G65)),"PASS",IF(X840="CANDIDATE","OOS PENDING","FAIL"))))</x:f>
      </x:c>
      <x:c r="Z840" s="2" t="str">
        <x:f>IF(B840="","",IF(I840&lt;&gt;"READY","",IF(OR(NOT(AND(J840="PASS",'Calibrare_Linii'!U14="VALID")),L840&gt;'Config_v6'!$B$13,W840="WATCH"),5,IF(Y840="PASS",1,MIN(5,MAX('Config_v6'!$B$42,U840)+IF(W840="PENALTY",1,0))))))</x:f>
      </x:c>
      <x:c r="AA840" s="2" t="str">
        <x:f>IF(B840="","",IF(I840&lt;&gt;"READY","NOT RELEASED",IF(Z840=5,"NO BET",IF(OR(AB840&lt;'Config_v6'!$B$16,V840&lt;'Config_v6'!$B$18),"WATCH",IF(Z840=1,"DEFENSIV",IF(Z840=2,"PRUDENT",IF(Z840=3,"MODERAT","RIDICAT")))))))</x:f>
      </x:c>
      <x:c r="AB840" s="10" t="str">
        <x:f>IF(N840="","",MIN(N840,1-S840))</x:f>
      </x:c>
      <x:c r="AC840" s="2" t="str">
        <x:f>IF(AD840&lt;&gt;1,"",COUNTIFS($Z$832:$Z$845,"&lt;"&amp;Z840,$AD$832:$AD$845,1)+COUNTIFS($Z$832:$Z$845,Z840,$AB$832:$AB$845,"&gt;"&amp;AB840,$AD$832:$AD$845,1)+COUNTIFS($Z$832:$Z$845,Z840,$AB$832:$AB$845,AB840,$V$832:$V$845,"&gt;"&amp;V840,$AD$832:$AD$845,1)+COUNTIFS($Z$832:Z840,Z840,$AB$832:AB840,AB840,$V$832:V840,V840,$AD$832:AD840,1))</x:f>
      </x:c>
      <x:c r="AD840" s="2" t="n">
        <x:f>IF(OR(AA840="DEFENSIV",AA840="PRUDENT",AA840="MODERAT",AA840="RIDICAT"),1,0)</x:f>
        <x:v>0</x:v>
      </x:c>
      <x:c r="AE840" s="2" t="str">
        <x:f>IF(AD840&lt;&gt;1,"NO",IF(W840="PASS","YES",IF(W840="OOS PENDING","CONDITIONAL","NO")))</x:f>
        <x:v>NO</x:v>
      </x:c>
      <x:c r="AF840" s="2" t="n">
        <x:f>IF(AND(AD840=1,AC840=1,E840="LIVE"),1,0)</x:f>
        <x:v>0</x:v>
      </x:c>
      <x:c r="AG840" s="2" t="str">
        <x:f>IF(AF840&lt;&gt;1,"",'Dashboard'!P85)</x:f>
      </x:c>
      <x:c r="AH840" s="2" t="str">
        <x:f>IF(B840="","",IF(J840&lt;&gt;"PASS",'Motor_Meciuri'!J65,IF('Calibrare_Linii'!U14&lt;&gt;"VALID","Parametri linie invalizi",IF(L840&gt;'Config_v6'!$B$13,"Dispersie peste limita",IF(W840="WATCH","Failure peste limita",IF(AB840&lt;'Config_v6'!$B$16,"P finala sub prag",IF(V840&lt;'Config_v6'!$B$18,"Confidence sub prag",IF(E840="REPLAY","Exemplu retrospectiv; exclus din Top LIVE",IF(Y840="PASS","DEFENSIV validat",IF(W840="OOS PENDING","Eligibil; calibrare linie in monitorizare","Eligibil"))))))))))</x:f>
      </x:c>
      <x:c r="AI840" s="2" t="str">
        <x:f>IF(B840="","",'Calibrare_Linii'!V14)</x:f>
      </x:c>
      <x:c r="AJ840" s="2" t="str">
        <x:f>IF(B840="","",IF(AND('Calibrare_Linii'!T14="VALIDATED",AND('Calibrare_Linii'!H14=C840,ISNUMBER('Calibrare_Linii'!J14),'Calibrare_Linii'!J14&lt;='Input_Meci'!G65)),"DEFENSIVE VALIDATED",IF(AND('Calibrare_Linii'!S14="VALIDATED",AND('Calibrare_Linii'!H14=C840,ISNUMBER('Calibrare_Linii'!J14),'Calibrare_Linii'!J14&lt;='Input_Meci'!G65)),"TAIL VALIDATED","OOS PENDING")))</x:f>
      </x:c>
      <x:c r="AK840" s="2" t="n">
        <x:f>IF(J840&lt;&gt;"PASS",0,'Motor_Meciuri'!BR65)</x:f>
        <x:v>0</x:v>
      </x:c>
      <x:c r="AL840" s="2" t="n">
        <x:f>IF(J840&lt;&gt;"PASS",0,'Motor_Meciuri'!BS65)</x:f>
        <x:v>0</x:v>
      </x:c>
      <x:c r="AM840" s="2" t="n">
        <x:f>IF(J840&lt;&gt;"PASS",0,'Motor_Meciuri'!BT65)</x:f>
        <x:v>0</x:v>
      </x:c>
      <x:c r="AN840" s="2" t="str">
        <x:f>IF(M840="","",MAX(0,'Motor_Meciuri'!BF65-IF(L840&gt;'Config_v6'!$B$12,'Config_v6'!$B$37,IF(L840&gt;'Config_v6'!$B$11,'Config_v6'!$B$36,0))))</x:f>
      </x:c>
    </x:row>
    <x:row r="841" ht="21" customHeight="1">
      <x:c r="A841" s="2" t="n">
        <x:v>60</x:v>
      </x:c>
      <x:c r="B841" s="2" t="str">
        <x:f>IF('Motor_Meciuri'!A65="","",'Motor_Meciuri'!A65)</x:f>
      </x:c>
      <x:c r="C841" s="2" t="str">
        <x:f>IF(B841="","",'Motor_Meciuri'!B65)</x:f>
      </x:c>
      <x:c r="D841" s="2" t="str">
        <x:f>IF(B841="","",'Motor_Meciuri'!D65)</x:f>
      </x:c>
      <x:c r="E841" s="2" t="str">
        <x:f>IF(B841="","",'Motor_Meciuri'!E65)</x:f>
      </x:c>
      <x:c r="F841" s="2" t="str">
        <x:v>U13,5</x:v>
      </x:c>
      <x:c r="G841" s="2" t="str">
        <x:v>UNDER</x:v>
      </x:c>
      <x:c r="H841" s="2" t="n">
        <x:v>13</x:v>
      </x:c>
      <x:c r="I841" s="2" t="str">
        <x:f>IF(B841="","",'Motor_Meciuri'!H65)</x:f>
      </x:c>
      <x:c r="J841" s="2" t="str">
        <x:f>IF(B841="","",'Motor_Meciuri'!I65)</x:f>
      </x:c>
      <x:c r="K841" s="11" t="str">
        <x:f>IF(J841&lt;&gt;"PASS","",'Motor_Meciuri'!BD65)</x:f>
      </x:c>
      <x:c r="L841" s="11" t="str">
        <x:f>IF(J841&lt;&gt;"PASS","",'Motor_Meciuri'!AU65)</x:f>
      </x:c>
      <x:c r="M841" s="10" t="str">
        <x:f>IF(NOT(AND(J841="PASS",'Calibrare_Linii'!U15="VALID")),"",'Distributie'!AK65)</x:f>
      </x:c>
      <x:c r="N841" s="10" t="str">
        <x:f>IF(M841="","",MAX(0.01,MIN(0.99,0.5+(M841-0.5)*'Motor_Meciuri'!BG65*'Calibrare_Linii'!D15)))</x:f>
      </x:c>
      <x:c r="O841" s="10" t="str">
        <x:f>IF(M841="","",1-M841)</x:f>
      </x:c>
      <x:c r="P841" s="10" t="str">
        <x:f>IF(OR(NOT(AND(J841="PASS",'Calibrare_Linii'!U15="VALID")),AK841=0),""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*('Istoric_Nativ'!$Q$6:$Q$405&gt;H841))/AK841)</x:f>
      </x:c>
      <x:c r="Q841" s="10" t="str">
        <x:f>IF(OR(NOT(AND(J841="PASS",'Calibrare_Linii'!U15="VALID")),AL841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M65)+((('Istoric_Nativ'!$E$6:$E$405='Input_Meci'!E65)+('Istoric_Nativ'!$F$6:$F$405='Input_Meci'!E65))&gt;0)*('Istoric_Nativ'!$D$6:$D$405&gt;='Motor_Meciuri'!BN65))&gt;0)*('Istoric_Nativ'!$Q$6:$Q$405&gt;H841))/AL841)</x:f>
      </x:c>
      <x:c r="R841" s="10" t="str">
        <x:f>IF(OR(NOT(AND(J841="PASS",'Calibrare_Linii'!U15="VALID")),AM841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O65)+((('Istoric_Nativ'!$E$6:$E$405='Input_Meci'!E65)+('Istoric_Nativ'!$F$6:$F$405='Input_Meci'!E65))&gt;0)*('Istoric_Nativ'!$D$6:$D$405&gt;='Motor_Meciuri'!BP65))&gt;0)*('Istoric_Nativ'!$Q$6:$Q$405&gt;H841))/AM841)</x:f>
      </x:c>
      <x:c r="S841" s="10" t="str">
        <x:f>IF(M841="","",MAX(O841,P841,Q841,R841))</x:f>
      </x:c>
      <x:c r="T841" s="11" t="str">
        <x:f>IF(M841="","",MIN(100,S841*100*'Config_v6'!$B$44+MIN(100,L841/'Config_v6'!$B$13*100)*'Config_v6'!$B$45+(100-'Motor_Meciuri'!BF65)*'Config_v6'!$B$46+'Motor_Meciuri'!BH65*100*'Config_v6'!$B$47))</x:f>
      </x:c>
      <x:c r="U841" s="2" t="str">
        <x:f>IF(T841="","",IF(T841&lt;=20,1,IF(T841&lt;=40,2,IF(T841&lt;=60,3,IF(T841&lt;=80,4,5)))))</x:f>
      </x:c>
      <x:c r="V841" s="2" t="str">
        <x:f>IF(M841="","",MAX(0,'Motor_Meciuri'!BF65-IF(W841="OOS PENDING",'Config_v6'!$B$35,0)-IF(L841&gt;'Config_v6'!$B$12,'Config_v6'!$B$37,IF(L841&gt;'Config_v6'!$B$11,'Config_v6'!$B$36,0))))</x:f>
      </x:c>
      <x:c r="W841" s="2" t="str">
        <x:f>IF(B841="","",IF(I841&lt;&gt;"READY","NOT RELEASED",IF(NOT(AND(J841="PASS",'Calibrare_Linii'!U15="VALID")),"INVALID",IF(NOT(AND('Calibrare_Linii'!S15="VALIDATED",AND('Calibrare_Linii'!H15=C841,ISNUMBER('Calibrare_Linii'!J15),'Calibrare_Linii'!J15&lt;='Input_Meci'!G65))),"OOS PENDING",IF(S841&lt;='Calibrare_Linii'!E15,"PASS",IF(S841&lt;='Calibrare_Linii'!F15,"PENALTY","WATCH"))))))</x:f>
      </x:c>
      <x:c r="X841" s="2" t="str">
        <x:f>IF(M841="","",IF(AND(AND(J841="PASS",'Calibrare_Linii'!U15="VALID"),'Motor_Meciuri'!K65=12,'Motor_Meciuri'!L65=12,'Motor_Meciuri'!M65="NO",'Motor_Meciuri'!BL65='Motor_Meciuri'!C65,AB841&gt;='Config_v6'!$B$50,AN841&gt;='Config_v6'!$B$51,T841&lt;='Config_v6'!$B$52,L841&lt;='Config_v6'!$B$53,ISNUMBER('Calibrare_Linii'!E15),S841&lt;='Calibrare_Linii'!E15,SUM(AK841:AM841)&gt;0),"CANDIDATE","NO"))</x:f>
      </x:c>
      <x:c r="Y841" s="2" t="str">
        <x:f>IF(B841="","",IF(I841&lt;&gt;"READY","NOT RELEASED",IF(AND(X841="CANDIDATE",V841&gt;='Config_v6'!$B$51,W841="PASS",'Calibrare_Linii'!T15="VALIDATED",AND('Calibrare_Linii'!H15=C841,ISNUMBER('Calibrare_Linii'!J15),'Calibrare_Linii'!J15&lt;='Input_Meci'!G65)),"PASS",IF(X841="CANDIDATE","OOS PENDING","FAIL"))))</x:f>
      </x:c>
      <x:c r="Z841" s="2" t="str">
        <x:f>IF(B841="","",IF(I841&lt;&gt;"READY","",IF(OR(NOT(AND(J841="PASS",'Calibrare_Linii'!U15="VALID")),L841&gt;'Config_v6'!$B$13,W841="WATCH"),5,IF(Y841="PASS",1,MIN(5,MAX('Config_v6'!$B$42,U841)+IF(W841="PENALTY",1,0))))))</x:f>
      </x:c>
      <x:c r="AA841" s="2" t="str">
        <x:f>IF(B841="","",IF(I841&lt;&gt;"READY","NOT RELEASED",IF(Z841=5,"NO BET",IF(OR(AB841&lt;'Config_v6'!$B$16,V841&lt;'Config_v6'!$B$18),"WATCH",IF(Z841=1,"DEFENSIV",IF(Z841=2,"PRUDENT",IF(Z841=3,"MODERAT","RIDICAT")))))))</x:f>
      </x:c>
      <x:c r="AB841" s="10" t="str">
        <x:f>IF(N841="","",MIN(N841,1-S841))</x:f>
      </x:c>
      <x:c r="AC841" s="2" t="str">
        <x:f>IF(AD841&lt;&gt;1,"",COUNTIFS($Z$832:$Z$845,"&lt;"&amp;Z841,$AD$832:$AD$845,1)+COUNTIFS($Z$832:$Z$845,Z841,$AB$832:$AB$845,"&gt;"&amp;AB841,$AD$832:$AD$845,1)+COUNTIFS($Z$832:$Z$845,Z841,$AB$832:$AB$845,AB841,$V$832:$V$845,"&gt;"&amp;V841,$AD$832:$AD$845,1)+COUNTIFS($Z$832:Z841,Z841,$AB$832:AB841,AB841,$V$832:V841,V841,$AD$832:AD841,1))</x:f>
      </x:c>
      <x:c r="AD841" s="2" t="n">
        <x:f>IF(OR(AA841="DEFENSIV",AA841="PRUDENT",AA841="MODERAT",AA841="RIDICAT"),1,0)</x:f>
        <x:v>0</x:v>
      </x:c>
      <x:c r="AE841" s="2" t="str">
        <x:f>IF(AD841&lt;&gt;1,"NO",IF(W841="PASS","YES",IF(W841="OOS PENDING","CONDITIONAL","NO")))</x:f>
        <x:v>NO</x:v>
      </x:c>
      <x:c r="AF841" s="2" t="n">
        <x:f>IF(AND(AD841=1,AC841=1,E841="LIVE"),1,0)</x:f>
        <x:v>0</x:v>
      </x:c>
      <x:c r="AG841" s="2" t="str">
        <x:f>IF(AF841&lt;&gt;1,"",'Dashboard'!P85)</x:f>
      </x:c>
      <x:c r="AH841" s="2" t="str">
        <x:f>IF(B841="","",IF(J841&lt;&gt;"PASS",'Motor_Meciuri'!J65,IF('Calibrare_Linii'!U15&lt;&gt;"VALID","Parametri linie invalizi",IF(L841&gt;'Config_v6'!$B$13,"Dispersie peste limita",IF(W841="WATCH","Failure peste limita",IF(AB841&lt;'Config_v6'!$B$16,"P finala sub prag",IF(V841&lt;'Config_v6'!$B$18,"Confidence sub prag",IF(E841="REPLAY","Exemplu retrospectiv; exclus din Top LIVE",IF(Y841="PASS","DEFENSIV validat",IF(W841="OOS PENDING","Eligibil; calibrare linie in monitorizare","Eligibil"))))))))))</x:f>
      </x:c>
      <x:c r="AI841" s="2" t="str">
        <x:f>IF(B841="","",'Calibrare_Linii'!V15)</x:f>
      </x:c>
      <x:c r="AJ841" s="2" t="str">
        <x:f>IF(B841="","",IF(AND('Calibrare_Linii'!T15="VALIDATED",AND('Calibrare_Linii'!H15=C841,ISNUMBER('Calibrare_Linii'!J15),'Calibrare_Linii'!J15&lt;='Input_Meci'!G65)),"DEFENSIVE VALIDATED",IF(AND('Calibrare_Linii'!S15="VALIDATED",AND('Calibrare_Linii'!H15=C841,ISNUMBER('Calibrare_Linii'!J15),'Calibrare_Linii'!J15&lt;='Input_Meci'!G65)),"TAIL VALIDATED","OOS PENDING")))</x:f>
      </x:c>
      <x:c r="AK841" s="2" t="n">
        <x:f>IF(J841&lt;&gt;"PASS",0,'Motor_Meciuri'!BR65)</x:f>
        <x:v>0</x:v>
      </x:c>
      <x:c r="AL841" s="2" t="n">
        <x:f>IF(J841&lt;&gt;"PASS",0,'Motor_Meciuri'!BS65)</x:f>
        <x:v>0</x:v>
      </x:c>
      <x:c r="AM841" s="2" t="n">
        <x:f>IF(J841&lt;&gt;"PASS",0,'Motor_Meciuri'!BT65)</x:f>
        <x:v>0</x:v>
      </x:c>
      <x:c r="AN841" s="2" t="str">
        <x:f>IF(M841="","",MAX(0,'Motor_Meciuri'!BF65-IF(L841&gt;'Config_v6'!$B$12,'Config_v6'!$B$37,IF(L841&gt;'Config_v6'!$B$11,'Config_v6'!$B$36,0))))</x:f>
      </x:c>
    </x:row>
    <x:row r="842" ht="21" customHeight="1">
      <x:c r="A842" s="2" t="n">
        <x:v>60</x:v>
      </x:c>
      <x:c r="B842" s="2" t="str">
        <x:f>IF('Motor_Meciuri'!A65="","",'Motor_Meciuri'!A65)</x:f>
      </x:c>
      <x:c r="C842" s="2" t="str">
        <x:f>IF(B842="","",'Motor_Meciuri'!B65)</x:f>
      </x:c>
      <x:c r="D842" s="2" t="str">
        <x:f>IF(B842="","",'Motor_Meciuri'!D65)</x:f>
      </x:c>
      <x:c r="E842" s="2" t="str">
        <x:f>IF(B842="","",'Motor_Meciuri'!E65)</x:f>
      </x:c>
      <x:c r="F842" s="2" t="str">
        <x:v>U14,5</x:v>
      </x:c>
      <x:c r="G842" s="2" t="str">
        <x:v>UNDER</x:v>
      </x:c>
      <x:c r="H842" s="2" t="n">
        <x:v>14</x:v>
      </x:c>
      <x:c r="I842" s="2" t="str">
        <x:f>IF(B842="","",'Motor_Meciuri'!H65)</x:f>
      </x:c>
      <x:c r="J842" s="2" t="str">
        <x:f>IF(B842="","",'Motor_Meciuri'!I65)</x:f>
      </x:c>
      <x:c r="K842" s="11" t="str">
        <x:f>IF(J842&lt;&gt;"PASS","",'Motor_Meciuri'!BD65)</x:f>
      </x:c>
      <x:c r="L842" s="11" t="str">
        <x:f>IF(J842&lt;&gt;"PASS","",'Motor_Meciuri'!AU65)</x:f>
      </x:c>
      <x:c r="M842" s="10" t="str">
        <x:f>IF(NOT(AND(J842="PASS",'Calibrare_Linii'!U16="VALID")),"",'Distributie'!AL65)</x:f>
      </x:c>
      <x:c r="N842" s="10" t="str">
        <x:f>IF(M842="","",MAX(0.01,MIN(0.99,0.5+(M842-0.5)*'Motor_Meciuri'!BG65*'Calibrare_Linii'!D16)))</x:f>
      </x:c>
      <x:c r="O842" s="10" t="str">
        <x:f>IF(M842="","",1-M842)</x:f>
      </x:c>
      <x:c r="P842" s="10" t="str">
        <x:f>IF(OR(NOT(AND(J842="PASS",'Calibrare_Linii'!U16="VALID")),AK842=0),""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*('Istoric_Nativ'!$Q$6:$Q$405&gt;H842))/AK842)</x:f>
      </x:c>
      <x:c r="Q842" s="10" t="str">
        <x:f>IF(OR(NOT(AND(J842="PASS",'Calibrare_Linii'!U16="VALID")),AL842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M65)+((('Istoric_Nativ'!$E$6:$E$405='Input_Meci'!E65)+('Istoric_Nativ'!$F$6:$F$405='Input_Meci'!E65))&gt;0)*('Istoric_Nativ'!$D$6:$D$405&gt;='Motor_Meciuri'!BN65))&gt;0)*('Istoric_Nativ'!$Q$6:$Q$405&gt;H842))/AL842)</x:f>
      </x:c>
      <x:c r="R842" s="10" t="str">
        <x:f>IF(OR(NOT(AND(J842="PASS",'Calibrare_Linii'!U16="VALID")),AM842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O65)+((('Istoric_Nativ'!$E$6:$E$405='Input_Meci'!E65)+('Istoric_Nativ'!$F$6:$F$405='Input_Meci'!E65))&gt;0)*('Istoric_Nativ'!$D$6:$D$405&gt;='Motor_Meciuri'!BP65))&gt;0)*('Istoric_Nativ'!$Q$6:$Q$405&gt;H842))/AM842)</x:f>
      </x:c>
      <x:c r="S842" s="10" t="str">
        <x:f>IF(M842="","",MAX(O842,P842,Q842,R842))</x:f>
      </x:c>
      <x:c r="T842" s="11" t="str">
        <x:f>IF(M842="","",MIN(100,S842*100*'Config_v6'!$B$44+MIN(100,L842/'Config_v6'!$B$13*100)*'Config_v6'!$B$45+(100-'Motor_Meciuri'!BF65)*'Config_v6'!$B$46+'Motor_Meciuri'!BH65*100*'Config_v6'!$B$47))</x:f>
      </x:c>
      <x:c r="U842" s="2" t="str">
        <x:f>IF(T842="","",IF(T842&lt;=20,1,IF(T842&lt;=40,2,IF(T842&lt;=60,3,IF(T842&lt;=80,4,5)))))</x:f>
      </x:c>
      <x:c r="V842" s="2" t="str">
        <x:f>IF(M842="","",MAX(0,'Motor_Meciuri'!BF65-IF(W842="OOS PENDING",'Config_v6'!$B$35,0)-IF(L842&gt;'Config_v6'!$B$12,'Config_v6'!$B$37,IF(L842&gt;'Config_v6'!$B$11,'Config_v6'!$B$36,0))))</x:f>
      </x:c>
      <x:c r="W842" s="2" t="str">
        <x:f>IF(B842="","",IF(I842&lt;&gt;"READY","NOT RELEASED",IF(NOT(AND(J842="PASS",'Calibrare_Linii'!U16="VALID")),"INVALID",IF(NOT(AND('Calibrare_Linii'!S16="VALIDATED",AND('Calibrare_Linii'!H16=C842,ISNUMBER('Calibrare_Linii'!J16),'Calibrare_Linii'!J16&lt;='Input_Meci'!G65))),"OOS PENDING",IF(S842&lt;='Calibrare_Linii'!E16,"PASS",IF(S842&lt;='Calibrare_Linii'!F16,"PENALTY","WATCH"))))))</x:f>
      </x:c>
      <x:c r="X842" s="2" t="str">
        <x:f>IF(M842="","",IF(AND(AND(J842="PASS",'Calibrare_Linii'!U16="VALID"),'Motor_Meciuri'!K65=12,'Motor_Meciuri'!L65=12,'Motor_Meciuri'!M65="NO",'Motor_Meciuri'!BL65='Motor_Meciuri'!C65,AB842&gt;='Config_v6'!$B$50,AN842&gt;='Config_v6'!$B$51,T842&lt;='Config_v6'!$B$52,L842&lt;='Config_v6'!$B$53,ISNUMBER('Calibrare_Linii'!E16),S842&lt;='Calibrare_Linii'!E16,SUM(AK842:AM842)&gt;0),"CANDIDATE","NO"))</x:f>
      </x:c>
      <x:c r="Y842" s="2" t="str">
        <x:f>IF(B842="","",IF(I842&lt;&gt;"READY","NOT RELEASED",IF(AND(X842="CANDIDATE",V842&gt;='Config_v6'!$B$51,W842="PASS",'Calibrare_Linii'!T16="VALIDATED",AND('Calibrare_Linii'!H16=C842,ISNUMBER('Calibrare_Linii'!J16),'Calibrare_Linii'!J16&lt;='Input_Meci'!G65)),"PASS",IF(X842="CANDIDATE","OOS PENDING","FAIL"))))</x:f>
      </x:c>
      <x:c r="Z842" s="2" t="str">
        <x:f>IF(B842="","",IF(I842&lt;&gt;"READY","",IF(OR(NOT(AND(J842="PASS",'Calibrare_Linii'!U16="VALID")),L842&gt;'Config_v6'!$B$13,W842="WATCH"),5,IF(Y842="PASS",1,MIN(5,MAX('Config_v6'!$B$42,U842)+IF(W842="PENALTY",1,0))))))</x:f>
      </x:c>
      <x:c r="AA842" s="2" t="str">
        <x:f>IF(B842="","",IF(I842&lt;&gt;"READY","NOT RELEASED",IF(Z842=5,"NO BET",IF(OR(AB842&lt;'Config_v6'!$B$16,V842&lt;'Config_v6'!$B$18),"WATCH",IF(Z842=1,"DEFENSIV",IF(Z842=2,"PRUDENT",IF(Z842=3,"MODERAT","RIDICAT")))))))</x:f>
      </x:c>
      <x:c r="AB842" s="10" t="str">
        <x:f>IF(N842="","",MIN(N842,1-S842))</x:f>
      </x:c>
      <x:c r="AC842" s="2" t="str">
        <x:f>IF(AD842&lt;&gt;1,"",COUNTIFS($Z$832:$Z$845,"&lt;"&amp;Z842,$AD$832:$AD$845,1)+COUNTIFS($Z$832:$Z$845,Z842,$AB$832:$AB$845,"&gt;"&amp;AB842,$AD$832:$AD$845,1)+COUNTIFS($Z$832:$Z$845,Z842,$AB$832:$AB$845,AB842,$V$832:$V$845,"&gt;"&amp;V842,$AD$832:$AD$845,1)+COUNTIFS($Z$832:Z842,Z842,$AB$832:AB842,AB842,$V$832:V842,V842,$AD$832:AD842,1))</x:f>
      </x:c>
      <x:c r="AD842" s="2" t="n">
        <x:f>IF(OR(AA842="DEFENSIV",AA842="PRUDENT",AA842="MODERAT",AA842="RIDICAT"),1,0)</x:f>
        <x:v>0</x:v>
      </x:c>
      <x:c r="AE842" s="2" t="str">
        <x:f>IF(AD842&lt;&gt;1,"NO",IF(W842="PASS","YES",IF(W842="OOS PENDING","CONDITIONAL","NO")))</x:f>
        <x:v>NO</x:v>
      </x:c>
      <x:c r="AF842" s="2" t="n">
        <x:f>IF(AND(AD842=1,AC842=1,E842="LIVE"),1,0)</x:f>
        <x:v>0</x:v>
      </x:c>
      <x:c r="AG842" s="2" t="str">
        <x:f>IF(AF842&lt;&gt;1,"",'Dashboard'!P85)</x:f>
      </x:c>
      <x:c r="AH842" s="2" t="str">
        <x:f>IF(B842="","",IF(J842&lt;&gt;"PASS",'Motor_Meciuri'!J65,IF('Calibrare_Linii'!U16&lt;&gt;"VALID","Parametri linie invalizi",IF(L842&gt;'Config_v6'!$B$13,"Dispersie peste limita",IF(W842="WATCH","Failure peste limita",IF(AB842&lt;'Config_v6'!$B$16,"P finala sub prag",IF(V842&lt;'Config_v6'!$B$18,"Confidence sub prag",IF(E842="REPLAY","Exemplu retrospectiv; exclus din Top LIVE",IF(Y842="PASS","DEFENSIV validat",IF(W842="OOS PENDING","Eligibil; calibrare linie in monitorizare","Eligibil"))))))))))</x:f>
      </x:c>
      <x:c r="AI842" s="2" t="str">
        <x:f>IF(B842="","",'Calibrare_Linii'!V16)</x:f>
      </x:c>
      <x:c r="AJ842" s="2" t="str">
        <x:f>IF(B842="","",IF(AND('Calibrare_Linii'!T16="VALIDATED",AND('Calibrare_Linii'!H16=C842,ISNUMBER('Calibrare_Linii'!J16),'Calibrare_Linii'!J16&lt;='Input_Meci'!G65)),"DEFENSIVE VALIDATED",IF(AND('Calibrare_Linii'!S16="VALIDATED",AND('Calibrare_Linii'!H16=C842,ISNUMBER('Calibrare_Linii'!J16),'Calibrare_Linii'!J16&lt;='Input_Meci'!G65)),"TAIL VALIDATED","OOS PENDING")))</x:f>
      </x:c>
      <x:c r="AK842" s="2" t="n">
        <x:f>IF(J842&lt;&gt;"PASS",0,'Motor_Meciuri'!BR65)</x:f>
        <x:v>0</x:v>
      </x:c>
      <x:c r="AL842" s="2" t="n">
        <x:f>IF(J842&lt;&gt;"PASS",0,'Motor_Meciuri'!BS65)</x:f>
        <x:v>0</x:v>
      </x:c>
      <x:c r="AM842" s="2" t="n">
        <x:f>IF(J842&lt;&gt;"PASS",0,'Motor_Meciuri'!BT65)</x:f>
        <x:v>0</x:v>
      </x:c>
      <x:c r="AN842" s="2" t="str">
        <x:f>IF(M842="","",MAX(0,'Motor_Meciuri'!BF65-IF(L842&gt;'Config_v6'!$B$12,'Config_v6'!$B$37,IF(L842&gt;'Config_v6'!$B$11,'Config_v6'!$B$36,0))))</x:f>
      </x:c>
    </x:row>
    <x:row r="843" ht="21" customHeight="1">
      <x:c r="A843" s="2" t="n">
        <x:v>60</x:v>
      </x:c>
      <x:c r="B843" s="2" t="str">
        <x:f>IF('Motor_Meciuri'!A65="","",'Motor_Meciuri'!A65)</x:f>
      </x:c>
      <x:c r="C843" s="2" t="str">
        <x:f>IF(B843="","",'Motor_Meciuri'!B65)</x:f>
      </x:c>
      <x:c r="D843" s="2" t="str">
        <x:f>IF(B843="","",'Motor_Meciuri'!D65)</x:f>
      </x:c>
      <x:c r="E843" s="2" t="str">
        <x:f>IF(B843="","",'Motor_Meciuri'!E65)</x:f>
      </x:c>
      <x:c r="F843" s="2" t="str">
        <x:v>U15,5</x:v>
      </x:c>
      <x:c r="G843" s="2" t="str">
        <x:v>UNDER</x:v>
      </x:c>
      <x:c r="H843" s="2" t="n">
        <x:v>15</x:v>
      </x:c>
      <x:c r="I843" s="2" t="str">
        <x:f>IF(B843="","",'Motor_Meciuri'!H65)</x:f>
      </x:c>
      <x:c r="J843" s="2" t="str">
        <x:f>IF(B843="","",'Motor_Meciuri'!I65)</x:f>
      </x:c>
      <x:c r="K843" s="11" t="str">
        <x:f>IF(J843&lt;&gt;"PASS","",'Motor_Meciuri'!BD65)</x:f>
      </x:c>
      <x:c r="L843" s="11" t="str">
        <x:f>IF(J843&lt;&gt;"PASS","",'Motor_Meciuri'!AU65)</x:f>
      </x:c>
      <x:c r="M843" s="10" t="str">
        <x:f>IF(NOT(AND(J843="PASS",'Calibrare_Linii'!U17="VALID")),"",'Distributie'!AM65)</x:f>
      </x:c>
      <x:c r="N843" s="10" t="str">
        <x:f>IF(M843="","",MAX(0.01,MIN(0.99,0.5+(M843-0.5)*'Motor_Meciuri'!BG65*'Calibrare_Linii'!D17)))</x:f>
      </x:c>
      <x:c r="O843" s="10" t="str">
        <x:f>IF(M843="","",1-M843)</x:f>
      </x:c>
      <x:c r="P843" s="10" t="str">
        <x:f>IF(OR(NOT(AND(J843="PASS",'Calibrare_Linii'!U17="VALID")),AK843=0),""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*('Istoric_Nativ'!$Q$6:$Q$405&gt;H843))/AK843)</x:f>
      </x:c>
      <x:c r="Q843" s="10" t="str">
        <x:f>IF(OR(NOT(AND(J843="PASS",'Calibrare_Linii'!U17="VALID")),AL843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M65)+((('Istoric_Nativ'!$E$6:$E$405='Input_Meci'!E65)+('Istoric_Nativ'!$F$6:$F$405='Input_Meci'!E65))&gt;0)*('Istoric_Nativ'!$D$6:$D$405&gt;='Motor_Meciuri'!BN65))&gt;0)*('Istoric_Nativ'!$Q$6:$Q$405&gt;H843))/AL843)</x:f>
      </x:c>
      <x:c r="R843" s="10" t="str">
        <x:f>IF(OR(NOT(AND(J843="PASS",'Calibrare_Linii'!U17="VALID")),AM843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O65)+((('Istoric_Nativ'!$E$6:$E$405='Input_Meci'!E65)+('Istoric_Nativ'!$F$6:$F$405='Input_Meci'!E65))&gt;0)*('Istoric_Nativ'!$D$6:$D$405&gt;='Motor_Meciuri'!BP65))&gt;0)*('Istoric_Nativ'!$Q$6:$Q$405&gt;H843))/AM843)</x:f>
      </x:c>
      <x:c r="S843" s="10" t="str">
        <x:f>IF(M843="","",MAX(O843,P843,Q843,R843))</x:f>
      </x:c>
      <x:c r="T843" s="11" t="str">
        <x:f>IF(M843="","",MIN(100,S843*100*'Config_v6'!$B$44+MIN(100,L843/'Config_v6'!$B$13*100)*'Config_v6'!$B$45+(100-'Motor_Meciuri'!BF65)*'Config_v6'!$B$46+'Motor_Meciuri'!BH65*100*'Config_v6'!$B$47))</x:f>
      </x:c>
      <x:c r="U843" s="2" t="str">
        <x:f>IF(T843="","",IF(T843&lt;=20,1,IF(T843&lt;=40,2,IF(T843&lt;=60,3,IF(T843&lt;=80,4,5)))))</x:f>
      </x:c>
      <x:c r="V843" s="2" t="str">
        <x:f>IF(M843="","",MAX(0,'Motor_Meciuri'!BF65-IF(W843="OOS PENDING",'Config_v6'!$B$35,0)-IF(L843&gt;'Config_v6'!$B$12,'Config_v6'!$B$37,IF(L843&gt;'Config_v6'!$B$11,'Config_v6'!$B$36,0))))</x:f>
      </x:c>
      <x:c r="W843" s="2" t="str">
        <x:f>IF(B843="","",IF(I843&lt;&gt;"READY","NOT RELEASED",IF(NOT(AND(J843="PASS",'Calibrare_Linii'!U17="VALID")),"INVALID",IF(NOT(AND('Calibrare_Linii'!S17="VALIDATED",AND('Calibrare_Linii'!H17=C843,ISNUMBER('Calibrare_Linii'!J17),'Calibrare_Linii'!J17&lt;='Input_Meci'!G65))),"OOS PENDING",IF(S843&lt;='Calibrare_Linii'!E17,"PASS",IF(S843&lt;='Calibrare_Linii'!F17,"PENALTY","WATCH"))))))</x:f>
      </x:c>
      <x:c r="X843" s="2" t="str">
        <x:f>IF(M843="","",IF(AND(AND(J843="PASS",'Calibrare_Linii'!U17="VALID"),'Motor_Meciuri'!K65=12,'Motor_Meciuri'!L65=12,'Motor_Meciuri'!M65="NO",'Motor_Meciuri'!BL65='Motor_Meciuri'!C65,AB843&gt;='Config_v6'!$B$50,AN843&gt;='Config_v6'!$B$51,T843&lt;='Config_v6'!$B$52,L843&lt;='Config_v6'!$B$53,ISNUMBER('Calibrare_Linii'!E17),S843&lt;='Calibrare_Linii'!E17,SUM(AK843:AM843)&gt;0),"CANDIDATE","NO"))</x:f>
      </x:c>
      <x:c r="Y843" s="2" t="str">
        <x:f>IF(B843="","",IF(I843&lt;&gt;"READY","NOT RELEASED",IF(AND(X843="CANDIDATE",V843&gt;='Config_v6'!$B$51,W843="PASS",'Calibrare_Linii'!T17="VALIDATED",AND('Calibrare_Linii'!H17=C843,ISNUMBER('Calibrare_Linii'!J17),'Calibrare_Linii'!J17&lt;='Input_Meci'!G65)),"PASS",IF(X843="CANDIDATE","OOS PENDING","FAIL"))))</x:f>
      </x:c>
      <x:c r="Z843" s="2" t="str">
        <x:f>IF(B843="","",IF(I843&lt;&gt;"READY","",IF(OR(NOT(AND(J843="PASS",'Calibrare_Linii'!U17="VALID")),L843&gt;'Config_v6'!$B$13,W843="WATCH"),5,IF(Y843="PASS",1,MIN(5,MAX('Config_v6'!$B$42,U843)+IF(W843="PENALTY",1,0))))))</x:f>
      </x:c>
      <x:c r="AA843" s="2" t="str">
        <x:f>IF(B843="","",IF(I843&lt;&gt;"READY","NOT RELEASED",IF(Z843=5,"NO BET",IF(OR(AB843&lt;'Config_v6'!$B$16,V843&lt;'Config_v6'!$B$18),"WATCH",IF(Z843=1,"DEFENSIV",IF(Z843=2,"PRUDENT",IF(Z843=3,"MODERAT","RIDICAT")))))))</x:f>
      </x:c>
      <x:c r="AB843" s="10" t="str">
        <x:f>IF(N843="","",MIN(N843,1-S843))</x:f>
      </x:c>
      <x:c r="AC843" s="2" t="str">
        <x:f>IF(AD843&lt;&gt;1,"",COUNTIFS($Z$832:$Z$845,"&lt;"&amp;Z843,$AD$832:$AD$845,1)+COUNTIFS($Z$832:$Z$845,Z843,$AB$832:$AB$845,"&gt;"&amp;AB843,$AD$832:$AD$845,1)+COUNTIFS($Z$832:$Z$845,Z843,$AB$832:$AB$845,AB843,$V$832:$V$845,"&gt;"&amp;V843,$AD$832:$AD$845,1)+COUNTIFS($Z$832:Z843,Z843,$AB$832:AB843,AB843,$V$832:V843,V843,$AD$832:AD843,1))</x:f>
      </x:c>
      <x:c r="AD843" s="2" t="n">
        <x:f>IF(OR(AA843="DEFENSIV",AA843="PRUDENT",AA843="MODERAT",AA843="RIDICAT"),1,0)</x:f>
        <x:v>0</x:v>
      </x:c>
      <x:c r="AE843" s="2" t="str">
        <x:f>IF(AD843&lt;&gt;1,"NO",IF(W843="PASS","YES",IF(W843="OOS PENDING","CONDITIONAL","NO")))</x:f>
        <x:v>NO</x:v>
      </x:c>
      <x:c r="AF843" s="2" t="n">
        <x:f>IF(AND(AD843=1,AC843=1,E843="LIVE"),1,0)</x:f>
        <x:v>0</x:v>
      </x:c>
      <x:c r="AG843" s="2" t="str">
        <x:f>IF(AF843&lt;&gt;1,"",'Dashboard'!P85)</x:f>
      </x:c>
      <x:c r="AH843" s="2" t="str">
        <x:f>IF(B843="","",IF(J843&lt;&gt;"PASS",'Motor_Meciuri'!J65,IF('Calibrare_Linii'!U17&lt;&gt;"VALID","Parametri linie invalizi",IF(L843&gt;'Config_v6'!$B$13,"Dispersie peste limita",IF(W843="WATCH","Failure peste limita",IF(AB843&lt;'Config_v6'!$B$16,"P finala sub prag",IF(V843&lt;'Config_v6'!$B$18,"Confidence sub prag",IF(E843="REPLAY","Exemplu retrospectiv; exclus din Top LIVE",IF(Y843="PASS","DEFENSIV validat",IF(W843="OOS PENDING","Eligibil; calibrare linie in monitorizare","Eligibil"))))))))))</x:f>
      </x:c>
      <x:c r="AI843" s="2" t="str">
        <x:f>IF(B843="","",'Calibrare_Linii'!V17)</x:f>
      </x:c>
      <x:c r="AJ843" s="2" t="str">
        <x:f>IF(B843="","",IF(AND('Calibrare_Linii'!T17="VALIDATED",AND('Calibrare_Linii'!H17=C843,ISNUMBER('Calibrare_Linii'!J17),'Calibrare_Linii'!J17&lt;='Input_Meci'!G65)),"DEFENSIVE VALIDATED",IF(AND('Calibrare_Linii'!S17="VALIDATED",AND('Calibrare_Linii'!H17=C843,ISNUMBER('Calibrare_Linii'!J17),'Calibrare_Linii'!J17&lt;='Input_Meci'!G65)),"TAIL VALIDATED","OOS PENDING")))</x:f>
      </x:c>
      <x:c r="AK843" s="2" t="n">
        <x:f>IF(J843&lt;&gt;"PASS",0,'Motor_Meciuri'!BR65)</x:f>
        <x:v>0</x:v>
      </x:c>
      <x:c r="AL843" s="2" t="n">
        <x:f>IF(J843&lt;&gt;"PASS",0,'Motor_Meciuri'!BS65)</x:f>
        <x:v>0</x:v>
      </x:c>
      <x:c r="AM843" s="2" t="n">
        <x:f>IF(J843&lt;&gt;"PASS",0,'Motor_Meciuri'!BT65)</x:f>
        <x:v>0</x:v>
      </x:c>
      <x:c r="AN843" s="2" t="str">
        <x:f>IF(M843="","",MAX(0,'Motor_Meciuri'!BF65-IF(L843&gt;'Config_v6'!$B$12,'Config_v6'!$B$37,IF(L843&gt;'Config_v6'!$B$11,'Config_v6'!$B$36,0))))</x:f>
      </x:c>
    </x:row>
    <x:row r="844" ht="21" customHeight="1">
      <x:c r="A844" s="2" t="n">
        <x:v>60</x:v>
      </x:c>
      <x:c r="B844" s="2" t="str">
        <x:f>IF('Motor_Meciuri'!A65="","",'Motor_Meciuri'!A65)</x:f>
      </x:c>
      <x:c r="C844" s="2" t="str">
        <x:f>IF(B844="","",'Motor_Meciuri'!B65)</x:f>
      </x:c>
      <x:c r="D844" s="2" t="str">
        <x:f>IF(B844="","",'Motor_Meciuri'!D65)</x:f>
      </x:c>
      <x:c r="E844" s="2" t="str">
        <x:f>IF(B844="","",'Motor_Meciuri'!E65)</x:f>
      </x:c>
      <x:c r="F844" s="2" t="str">
        <x:v>U16,5</x:v>
      </x:c>
      <x:c r="G844" s="2" t="str">
        <x:v>UNDER</x:v>
      </x:c>
      <x:c r="H844" s="2" t="n">
        <x:v>16</x:v>
      </x:c>
      <x:c r="I844" s="2" t="str">
        <x:f>IF(B844="","",'Motor_Meciuri'!H65)</x:f>
      </x:c>
      <x:c r="J844" s="2" t="str">
        <x:f>IF(B844="","",'Motor_Meciuri'!I65)</x:f>
      </x:c>
      <x:c r="K844" s="11" t="str">
        <x:f>IF(J844&lt;&gt;"PASS","",'Motor_Meciuri'!BD65)</x:f>
      </x:c>
      <x:c r="L844" s="11" t="str">
        <x:f>IF(J844&lt;&gt;"PASS","",'Motor_Meciuri'!AU65)</x:f>
      </x:c>
      <x:c r="M844" s="10" t="str">
        <x:f>IF(NOT(AND(J844="PASS",'Calibrare_Linii'!U18="VALID")),"",'Distributie'!AN65)</x:f>
      </x:c>
      <x:c r="N844" s="10" t="str">
        <x:f>IF(M844="","",MAX(0.01,MIN(0.99,0.5+(M844-0.5)*'Motor_Meciuri'!BG65*'Calibrare_Linii'!D18)))</x:f>
      </x:c>
      <x:c r="O844" s="10" t="str">
        <x:f>IF(M844="","",1-M844)</x:f>
      </x:c>
      <x:c r="P844" s="10" t="str">
        <x:f>IF(OR(NOT(AND(J844="PASS",'Calibrare_Linii'!U18="VALID")),AK844=0),""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*('Istoric_Nativ'!$Q$6:$Q$405&gt;H844))/AK844)</x:f>
      </x:c>
      <x:c r="Q844" s="10" t="str">
        <x:f>IF(OR(NOT(AND(J844="PASS",'Calibrare_Linii'!U18="VALID")),AL844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M65)+((('Istoric_Nativ'!$E$6:$E$405='Input_Meci'!E65)+('Istoric_Nativ'!$F$6:$F$405='Input_Meci'!E65))&gt;0)*('Istoric_Nativ'!$D$6:$D$405&gt;='Motor_Meciuri'!BN65))&gt;0)*('Istoric_Nativ'!$Q$6:$Q$405&gt;H844))/AL844)</x:f>
      </x:c>
      <x:c r="R844" s="10" t="str">
        <x:f>IF(OR(NOT(AND(J844="PASS",'Calibrare_Linii'!U18="VALID")),AM844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O65)+((('Istoric_Nativ'!$E$6:$E$405='Input_Meci'!E65)+('Istoric_Nativ'!$F$6:$F$405='Input_Meci'!E65))&gt;0)*('Istoric_Nativ'!$D$6:$D$405&gt;='Motor_Meciuri'!BP65))&gt;0)*('Istoric_Nativ'!$Q$6:$Q$405&gt;H844))/AM844)</x:f>
      </x:c>
      <x:c r="S844" s="10" t="str">
        <x:f>IF(M844="","",MAX(O844,P844,Q844,R844))</x:f>
      </x:c>
      <x:c r="T844" s="11" t="str">
        <x:f>IF(M844="","",MIN(100,S844*100*'Config_v6'!$B$44+MIN(100,L844/'Config_v6'!$B$13*100)*'Config_v6'!$B$45+(100-'Motor_Meciuri'!BF65)*'Config_v6'!$B$46+'Motor_Meciuri'!BH65*100*'Config_v6'!$B$47))</x:f>
      </x:c>
      <x:c r="U844" s="2" t="str">
        <x:f>IF(T844="","",IF(T844&lt;=20,1,IF(T844&lt;=40,2,IF(T844&lt;=60,3,IF(T844&lt;=80,4,5)))))</x:f>
      </x:c>
      <x:c r="V844" s="2" t="str">
        <x:f>IF(M844="","",MAX(0,'Motor_Meciuri'!BF65-IF(W844="OOS PENDING",'Config_v6'!$B$35,0)-IF(L844&gt;'Config_v6'!$B$12,'Config_v6'!$B$37,IF(L844&gt;'Config_v6'!$B$11,'Config_v6'!$B$36,0))))</x:f>
      </x:c>
      <x:c r="W844" s="2" t="str">
        <x:f>IF(B844="","",IF(I844&lt;&gt;"READY","NOT RELEASED",IF(NOT(AND(J844="PASS",'Calibrare_Linii'!U18="VALID")),"INVALID",IF(NOT(AND('Calibrare_Linii'!S18="VALIDATED",AND('Calibrare_Linii'!H18=C844,ISNUMBER('Calibrare_Linii'!J18),'Calibrare_Linii'!J18&lt;='Input_Meci'!G65))),"OOS PENDING",IF(S844&lt;='Calibrare_Linii'!E18,"PASS",IF(S844&lt;='Calibrare_Linii'!F18,"PENALTY","WATCH"))))))</x:f>
      </x:c>
      <x:c r="X844" s="2" t="str">
        <x:f>IF(M844="","",IF(AND(AND(J844="PASS",'Calibrare_Linii'!U18="VALID"),'Motor_Meciuri'!K65=12,'Motor_Meciuri'!L65=12,'Motor_Meciuri'!M65="NO",'Motor_Meciuri'!BL65='Motor_Meciuri'!C65,AB844&gt;='Config_v6'!$B$50,AN844&gt;='Config_v6'!$B$51,T844&lt;='Config_v6'!$B$52,L844&lt;='Config_v6'!$B$53,ISNUMBER('Calibrare_Linii'!E18),S844&lt;='Calibrare_Linii'!E18,SUM(AK844:AM844)&gt;0),"CANDIDATE","NO"))</x:f>
      </x:c>
      <x:c r="Y844" s="2" t="str">
        <x:f>IF(B844="","",IF(I844&lt;&gt;"READY","NOT RELEASED",IF(AND(X844="CANDIDATE",V844&gt;='Config_v6'!$B$51,W844="PASS",'Calibrare_Linii'!T18="VALIDATED",AND('Calibrare_Linii'!H18=C844,ISNUMBER('Calibrare_Linii'!J18),'Calibrare_Linii'!J18&lt;='Input_Meci'!G65)),"PASS",IF(X844="CANDIDATE","OOS PENDING","FAIL"))))</x:f>
      </x:c>
      <x:c r="Z844" s="2" t="str">
        <x:f>IF(B844="","",IF(I844&lt;&gt;"READY","",IF(OR(NOT(AND(J844="PASS",'Calibrare_Linii'!U18="VALID")),L844&gt;'Config_v6'!$B$13,W844="WATCH"),5,IF(Y844="PASS",1,MIN(5,MAX('Config_v6'!$B$42,U844)+IF(W844="PENALTY",1,0))))))</x:f>
      </x:c>
      <x:c r="AA844" s="2" t="str">
        <x:f>IF(B844="","",IF(I844&lt;&gt;"READY","NOT RELEASED",IF(Z844=5,"NO BET",IF(OR(AB844&lt;'Config_v6'!$B$16,V844&lt;'Config_v6'!$B$18),"WATCH",IF(Z844=1,"DEFENSIV",IF(Z844=2,"PRUDENT",IF(Z844=3,"MODERAT","RIDICAT")))))))</x:f>
      </x:c>
      <x:c r="AB844" s="10" t="str">
        <x:f>IF(N844="","",MIN(N844,1-S844))</x:f>
      </x:c>
      <x:c r="AC844" s="2" t="str">
        <x:f>IF(AD844&lt;&gt;1,"",COUNTIFS($Z$832:$Z$845,"&lt;"&amp;Z844,$AD$832:$AD$845,1)+COUNTIFS($Z$832:$Z$845,Z844,$AB$832:$AB$845,"&gt;"&amp;AB844,$AD$832:$AD$845,1)+COUNTIFS($Z$832:$Z$845,Z844,$AB$832:$AB$845,AB844,$V$832:$V$845,"&gt;"&amp;V844,$AD$832:$AD$845,1)+COUNTIFS($Z$832:Z844,Z844,$AB$832:AB844,AB844,$V$832:V844,V844,$AD$832:AD844,1))</x:f>
      </x:c>
      <x:c r="AD844" s="2" t="n">
        <x:f>IF(OR(AA844="DEFENSIV",AA844="PRUDENT",AA844="MODERAT",AA844="RIDICAT"),1,0)</x:f>
        <x:v>0</x:v>
      </x:c>
      <x:c r="AE844" s="2" t="str">
        <x:f>IF(AD844&lt;&gt;1,"NO",IF(W844="PASS","YES",IF(W844="OOS PENDING","CONDITIONAL","NO")))</x:f>
        <x:v>NO</x:v>
      </x:c>
      <x:c r="AF844" s="2" t="n">
        <x:f>IF(AND(AD844=1,AC844=1,E844="LIVE"),1,0)</x:f>
        <x:v>0</x:v>
      </x:c>
      <x:c r="AG844" s="2" t="str">
        <x:f>IF(AF844&lt;&gt;1,"",'Dashboard'!P85)</x:f>
      </x:c>
      <x:c r="AH844" s="2" t="str">
        <x:f>IF(B844="","",IF(J844&lt;&gt;"PASS",'Motor_Meciuri'!J65,IF('Calibrare_Linii'!U18&lt;&gt;"VALID","Parametri linie invalizi",IF(L844&gt;'Config_v6'!$B$13,"Dispersie peste limita",IF(W844="WATCH","Failure peste limita",IF(AB844&lt;'Config_v6'!$B$16,"P finala sub prag",IF(V844&lt;'Config_v6'!$B$18,"Confidence sub prag",IF(E844="REPLAY","Exemplu retrospectiv; exclus din Top LIVE",IF(Y844="PASS","DEFENSIV validat",IF(W844="OOS PENDING","Eligibil; calibrare linie in monitorizare","Eligibil"))))))))))</x:f>
      </x:c>
      <x:c r="AI844" s="2" t="str">
        <x:f>IF(B844="","",'Calibrare_Linii'!V18)</x:f>
      </x:c>
      <x:c r="AJ844" s="2" t="str">
        <x:f>IF(B844="","",IF(AND('Calibrare_Linii'!T18="VALIDATED",AND('Calibrare_Linii'!H18=C844,ISNUMBER('Calibrare_Linii'!J18),'Calibrare_Linii'!J18&lt;='Input_Meci'!G65)),"DEFENSIVE VALIDATED",IF(AND('Calibrare_Linii'!S18="VALIDATED",AND('Calibrare_Linii'!H18=C844,ISNUMBER('Calibrare_Linii'!J18),'Calibrare_Linii'!J18&lt;='Input_Meci'!G65)),"TAIL VALIDATED","OOS PENDING")))</x:f>
      </x:c>
      <x:c r="AK844" s="2" t="n">
        <x:f>IF(J844&lt;&gt;"PASS",0,'Motor_Meciuri'!BR65)</x:f>
        <x:v>0</x:v>
      </x:c>
      <x:c r="AL844" s="2" t="n">
        <x:f>IF(J844&lt;&gt;"PASS",0,'Motor_Meciuri'!BS65)</x:f>
        <x:v>0</x:v>
      </x:c>
      <x:c r="AM844" s="2" t="n">
        <x:f>IF(J844&lt;&gt;"PASS",0,'Motor_Meciuri'!BT65)</x:f>
        <x:v>0</x:v>
      </x:c>
      <x:c r="AN844" s="2" t="str">
        <x:f>IF(M844="","",MAX(0,'Motor_Meciuri'!BF65-IF(L844&gt;'Config_v6'!$B$12,'Config_v6'!$B$37,IF(L844&gt;'Config_v6'!$B$11,'Config_v6'!$B$36,0))))</x:f>
      </x:c>
    </x:row>
    <x:row r="845" ht="21" customHeight="1">
      <x:c r="A845" s="2" t="n">
        <x:v>60</x:v>
      </x:c>
      <x:c r="B845" s="2" t="str">
        <x:f>IF('Motor_Meciuri'!A65="","",'Motor_Meciuri'!A65)</x:f>
      </x:c>
      <x:c r="C845" s="2" t="str">
        <x:f>IF(B845="","",'Motor_Meciuri'!B65)</x:f>
      </x:c>
      <x:c r="D845" s="2" t="str">
        <x:f>IF(B845="","",'Motor_Meciuri'!D65)</x:f>
      </x:c>
      <x:c r="E845" s="2" t="str">
        <x:f>IF(B845="","",'Motor_Meciuri'!E65)</x:f>
      </x:c>
      <x:c r="F845" s="2" t="str">
        <x:v>U17,5</x:v>
      </x:c>
      <x:c r="G845" s="2" t="str">
        <x:v>UNDER</x:v>
      </x:c>
      <x:c r="H845" s="2" t="n">
        <x:v>17</x:v>
      </x:c>
      <x:c r="I845" s="2" t="str">
        <x:f>IF(B845="","",'Motor_Meciuri'!H65)</x:f>
      </x:c>
      <x:c r="J845" s="2" t="str">
        <x:f>IF(B845="","",'Motor_Meciuri'!I65)</x:f>
      </x:c>
      <x:c r="K845" s="11" t="str">
        <x:f>IF(J845&lt;&gt;"PASS","",'Motor_Meciuri'!BD65)</x:f>
      </x:c>
      <x:c r="L845" s="11" t="str">
        <x:f>IF(J845&lt;&gt;"PASS","",'Motor_Meciuri'!AU65)</x:f>
      </x:c>
      <x:c r="M845" s="10" t="str">
        <x:f>IF(NOT(AND(J845="PASS",'Calibrare_Linii'!U19="VALID")),"",'Distributie'!AO65)</x:f>
      </x:c>
      <x:c r="N845" s="10" t="str">
        <x:f>IF(M845="","",MAX(0.01,MIN(0.99,0.5+(M845-0.5)*'Motor_Meciuri'!BG65*'Calibrare_Linii'!D19)))</x:f>
      </x:c>
      <x:c r="O845" s="10" t="str">
        <x:f>IF(M845="","",1-M845)</x:f>
      </x:c>
      <x:c r="P845" s="10" t="str">
        <x:f>IF(OR(NOT(AND(J845="PASS",'Calibrare_Linii'!U19="VALID")),AK845=0),""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*('Istoric_Nativ'!$Q$6:$Q$405&gt;H845))/AK845)</x:f>
      </x:c>
      <x:c r="Q845" s="10" t="str">
        <x:f>IF(OR(NOT(AND(J845="PASS",'Calibrare_Linii'!U19="VALID")),AL845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M65)+((('Istoric_Nativ'!$E$6:$E$405='Input_Meci'!E65)+('Istoric_Nativ'!$F$6:$F$405='Input_Meci'!E65))&gt;0)*('Istoric_Nativ'!$D$6:$D$405&gt;='Motor_Meciuri'!BN65))&gt;0)*('Istoric_Nativ'!$Q$6:$Q$405&gt;H845))/AL845)</x:f>
      </x:c>
      <x:c r="R845" s="10" t="str">
        <x:f>IF(OR(NOT(AND(J845="PASS",'Calibrare_Linii'!U19="VALID")),AM845=0),""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'Motor_Meciuri'!BO65)+((('Istoric_Nativ'!$E$6:$E$405='Input_Meci'!E65)+('Istoric_Nativ'!$F$6:$F$405='Input_Meci'!E65))&gt;0)*('Istoric_Nativ'!$D$6:$D$405&gt;='Motor_Meciuri'!BP65))&gt;0)*('Istoric_Nativ'!$Q$6:$Q$405&gt;H845))/AM845)</x:f>
      </x:c>
      <x:c r="S845" s="10" t="str">
        <x:f>IF(M845="","",MAX(O845,P845,Q845,R845))</x:f>
      </x:c>
      <x:c r="T845" s="11" t="str">
        <x:f>IF(M845="","",MIN(100,S845*100*'Config_v6'!$B$44+MIN(100,L845/'Config_v6'!$B$13*100)*'Config_v6'!$B$45+(100-'Motor_Meciuri'!BF65)*'Config_v6'!$B$46+'Motor_Meciuri'!BH65*100*'Config_v6'!$B$47))</x:f>
      </x:c>
      <x:c r="U845" s="2" t="str">
        <x:f>IF(T845="","",IF(T845&lt;=20,1,IF(T845&lt;=40,2,IF(T845&lt;=60,3,IF(T845&lt;=80,4,5)))))</x:f>
      </x:c>
      <x:c r="V845" s="2" t="str">
        <x:f>IF(M845="","",MAX(0,'Motor_Meciuri'!BF65-IF(W845="OOS PENDING",'Config_v6'!$B$35,0)-IF(L845&gt;'Config_v6'!$B$12,'Config_v6'!$B$37,IF(L845&gt;'Config_v6'!$B$11,'Config_v6'!$B$36,0))))</x:f>
      </x:c>
      <x:c r="W845" s="2" t="str">
        <x:f>IF(B845="","",IF(I845&lt;&gt;"READY","NOT RELEASED",IF(NOT(AND(J845="PASS",'Calibrare_Linii'!U19="VALID")),"INVALID",IF(NOT(AND('Calibrare_Linii'!S19="VALIDATED",AND('Calibrare_Linii'!H19=C845,ISNUMBER('Calibrare_Linii'!J19),'Calibrare_Linii'!J19&lt;='Input_Meci'!G65))),"OOS PENDING",IF(S845&lt;='Calibrare_Linii'!E19,"PASS",IF(S845&lt;='Calibrare_Linii'!F19,"PENALTY","WATCH"))))))</x:f>
      </x:c>
      <x:c r="X845" s="2" t="str">
        <x:f>IF(M845="","",IF(AND(AND(J845="PASS",'Calibrare_Linii'!U19="VALID"),'Motor_Meciuri'!K65=12,'Motor_Meciuri'!L65=12,'Motor_Meciuri'!M65="NO",'Motor_Meciuri'!BL65='Motor_Meciuri'!C65,AB845&gt;='Config_v6'!$B$50,AN845&gt;='Config_v6'!$B$51,T845&lt;='Config_v6'!$B$52,L845&lt;='Config_v6'!$B$53,ISNUMBER('Calibrare_Linii'!E19),S845&lt;='Calibrare_Linii'!E19,SUM(AK845:AM845)&gt;0),"CANDIDATE","NO"))</x:f>
      </x:c>
      <x:c r="Y845" s="2" t="str">
        <x:f>IF(B845="","",IF(I845&lt;&gt;"READY","NOT RELEASED",IF(AND(X845="CANDIDATE",V845&gt;='Config_v6'!$B$51,W845="PASS",'Calibrare_Linii'!T19="VALIDATED",AND('Calibrare_Linii'!H19=C845,ISNUMBER('Calibrare_Linii'!J19),'Calibrare_Linii'!J19&lt;='Input_Meci'!G65)),"PASS",IF(X845="CANDIDATE","OOS PENDING","FAIL"))))</x:f>
      </x:c>
      <x:c r="Z845" s="2" t="str">
        <x:f>IF(B845="","",IF(I845&lt;&gt;"READY","",IF(OR(NOT(AND(J845="PASS",'Calibrare_Linii'!U19="VALID")),L845&gt;'Config_v6'!$B$13,W845="WATCH"),5,IF(Y845="PASS",1,MIN(5,MAX('Config_v6'!$B$42,U845)+IF(W845="PENALTY",1,0))))))</x:f>
      </x:c>
      <x:c r="AA845" s="2" t="str">
        <x:f>IF(B845="","",IF(I845&lt;&gt;"READY","NOT RELEASED",IF(Z845=5,"NO BET",IF(OR(AB845&lt;'Config_v6'!$B$16,V845&lt;'Config_v6'!$B$18),"WATCH",IF(Z845=1,"DEFENSIV",IF(Z845=2,"PRUDENT",IF(Z845=3,"MODERAT","RIDICAT")))))))</x:f>
      </x:c>
      <x:c r="AB845" s="10" t="str">
        <x:f>IF(N845="","",MIN(N845,1-S845))</x:f>
      </x:c>
      <x:c r="AC845" s="2" t="str">
        <x:f>IF(AD845&lt;&gt;1,"",COUNTIFS($Z$832:$Z$845,"&lt;"&amp;Z845,$AD$832:$AD$845,1)+COUNTIFS($Z$832:$Z$845,Z845,$AB$832:$AB$845,"&gt;"&amp;AB845,$AD$832:$AD$845,1)+COUNTIFS($Z$832:$Z$845,Z845,$AB$832:$AB$845,AB845,$V$832:$V$845,"&gt;"&amp;V845,$AD$832:$AD$845,1)+COUNTIFS($Z$832:Z845,Z845,$AB$832:AB845,AB845,$V$832:V845,V845,$AD$832:AD845,1))</x:f>
      </x:c>
      <x:c r="AD845" s="2" t="n">
        <x:f>IF(OR(AA845="DEFENSIV",AA845="PRUDENT",AA845="MODERAT",AA845="RIDICAT"),1,0)</x:f>
        <x:v>0</x:v>
      </x:c>
      <x:c r="AE845" s="2" t="str">
        <x:f>IF(AD845&lt;&gt;1,"NO",IF(W845="PASS","YES",IF(W845="OOS PENDING","CONDITIONAL","NO")))</x:f>
        <x:v>NO</x:v>
      </x:c>
      <x:c r="AF845" s="2" t="n">
        <x:f>IF(AND(AD845=1,AC845=1,E845="LIVE"),1,0)</x:f>
        <x:v>0</x:v>
      </x:c>
      <x:c r="AG845" s="2" t="str">
        <x:f>IF(AF845&lt;&gt;1,"",'Dashboard'!P85)</x:f>
      </x:c>
      <x:c r="AH845" s="2" t="str">
        <x:f>IF(B845="","",IF(J845&lt;&gt;"PASS",'Motor_Meciuri'!J65,IF('Calibrare_Linii'!U19&lt;&gt;"VALID","Parametri linie invalizi",IF(L845&gt;'Config_v6'!$B$13,"Dispersie peste limita",IF(W845="WATCH","Failure peste limita",IF(AB845&lt;'Config_v6'!$B$16,"P finala sub prag",IF(V845&lt;'Config_v6'!$B$18,"Confidence sub prag",IF(E845="REPLAY","Exemplu retrospectiv; exclus din Top LIVE",IF(Y845="PASS","DEFENSIV validat",IF(W845="OOS PENDING","Eligibil; calibrare linie in monitorizare","Eligibil"))))))))))</x:f>
      </x:c>
      <x:c r="AI845" s="2" t="str">
        <x:f>IF(B845="","",'Calibrare_Linii'!V19)</x:f>
      </x:c>
      <x:c r="AJ845" s="2" t="str">
        <x:f>IF(B845="","",IF(AND('Calibrare_Linii'!T19="VALIDATED",AND('Calibrare_Linii'!H19=C845,ISNUMBER('Calibrare_Linii'!J19),'Calibrare_Linii'!J19&lt;='Input_Meci'!G65)),"DEFENSIVE VALIDATED",IF(AND('Calibrare_Linii'!S19="VALIDATED",AND('Calibrare_Linii'!H19=C845,ISNUMBER('Calibrare_Linii'!J19),'Calibrare_Linii'!J19&lt;='Input_Meci'!G65)),"TAIL VALIDATED","OOS PENDING")))</x:f>
      </x:c>
      <x:c r="AK845" s="2" t="n">
        <x:f>IF(J845&lt;&gt;"PASS",0,'Motor_Meciuri'!BR65)</x:f>
        <x:v>0</x:v>
      </x:c>
      <x:c r="AL845" s="2" t="n">
        <x:f>IF(J845&lt;&gt;"PASS",0,'Motor_Meciuri'!BS65)</x:f>
        <x:v>0</x:v>
      </x:c>
      <x:c r="AM845" s="2" t="n">
        <x:f>IF(J845&lt;&gt;"PASS",0,'Motor_Meciuri'!BT65)</x:f>
        <x:v>0</x:v>
      </x:c>
      <x:c r="AN845" s="2" t="str">
        <x:f>IF(M845="","",MAX(0,'Motor_Meciuri'!BF65-IF(L845&gt;'Config_v6'!$B$12,'Config_v6'!$B$37,IF(L845&gt;'Config_v6'!$B$11,'Config_v6'!$B$36,0))))</x:f>
      </x:c>
    </x:row>
    <x:row r="846" ht="21" customHeight="1">
      <x:c r="A846" s="2" t="n">
        <x:v>61</x:v>
      </x:c>
      <x:c r="B846" s="2" t="str">
        <x:f>IF('Motor_Meciuri'!A66="","",'Motor_Meciuri'!A66)</x:f>
      </x:c>
      <x:c r="C846" s="2" t="str">
        <x:f>IF(B846="","",'Motor_Meciuri'!B66)</x:f>
      </x:c>
      <x:c r="D846" s="2" t="str">
        <x:f>IF(B846="","",'Motor_Meciuri'!D66)</x:f>
      </x:c>
      <x:c r="E846" s="2" t="str">
        <x:f>IF(B846="","",'Motor_Meciuri'!E66)</x:f>
      </x:c>
      <x:c r="F846" s="2" t="str">
        <x:v>O3,5</x:v>
      </x:c>
      <x:c r="G846" s="2" t="str">
        <x:v>OVER</x:v>
      </x:c>
      <x:c r="H846" s="2" t="n">
        <x:v>3</x:v>
      </x:c>
      <x:c r="I846" s="2" t="str">
        <x:f>IF(B846="","",'Motor_Meciuri'!H66)</x:f>
      </x:c>
      <x:c r="J846" s="2" t="str">
        <x:f>IF(B846="","",'Motor_Meciuri'!I66)</x:f>
      </x:c>
      <x:c r="K846" s="11" t="str">
        <x:f>IF(J846&lt;&gt;"PASS","",'Motor_Meciuri'!BD66)</x:f>
      </x:c>
      <x:c r="L846" s="11" t="str">
        <x:f>IF(J846&lt;&gt;"PASS","",'Motor_Meciuri'!AU66)</x:f>
      </x:c>
      <x:c r="M846" s="10" t="str">
        <x:f>IF(NOT(AND(J846="PASS",'Calibrare_Linii'!U6="VALID")),"",1-'Distributie'!AA66)</x:f>
      </x:c>
      <x:c r="N846" s="10" t="str">
        <x:f>IF(M846="","",MAX(0.01,MIN(0.99,0.5+(M846-0.5)*'Motor_Meciuri'!BG66*'Calibrare_Linii'!D6)))</x:f>
      </x:c>
      <x:c r="O846" s="10" t="str">
        <x:f>IF(M846="","",1-M846)</x:f>
      </x:c>
      <x:c r="P846" s="10" t="str">
        <x:f>IF(OR(NOT(AND(J846="PASS",'Calibrare_Linii'!U6="VALID")),AK846=0),""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*('Istoric_Nativ'!$Q$6:$Q$405&lt;=H846))/AK846)</x:f>
      </x:c>
      <x:c r="Q846" s="10" t="str">
        <x:f>IF(OR(NOT(AND(J846="PASS",'Calibrare_Linii'!U6="VALID")),AL846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M66)+((('Istoric_Nativ'!$E$6:$E$405='Input_Meci'!E66)+('Istoric_Nativ'!$F$6:$F$405='Input_Meci'!E66))&gt;0)*('Istoric_Nativ'!$D$6:$D$405&gt;='Motor_Meciuri'!BN66))&gt;0)*('Istoric_Nativ'!$Q$6:$Q$405&lt;=H846))/AL846)</x:f>
      </x:c>
      <x:c r="R846" s="10" t="str">
        <x:f>IF(OR(NOT(AND(J846="PASS",'Calibrare_Linii'!U6="VALID")),AM846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O66)+((('Istoric_Nativ'!$E$6:$E$405='Input_Meci'!E66)+('Istoric_Nativ'!$F$6:$F$405='Input_Meci'!E66))&gt;0)*('Istoric_Nativ'!$D$6:$D$405&gt;='Motor_Meciuri'!BP66))&gt;0)*('Istoric_Nativ'!$Q$6:$Q$405&lt;=H846))/AM846)</x:f>
      </x:c>
      <x:c r="S846" s="10" t="str">
        <x:f>IF(M846="","",MAX(O846,P846,Q846,R846))</x:f>
      </x:c>
      <x:c r="T846" s="11" t="str">
        <x:f>IF(M846="","",MIN(100,S846*100*'Config_v6'!$B$44+MIN(100,L846/'Config_v6'!$B$13*100)*'Config_v6'!$B$45+(100-'Motor_Meciuri'!BF66)*'Config_v6'!$B$46+'Motor_Meciuri'!BH66*100*'Config_v6'!$B$47))</x:f>
      </x:c>
      <x:c r="U846" s="2" t="str">
        <x:f>IF(T846="","",IF(T846&lt;=20,1,IF(T846&lt;=40,2,IF(T846&lt;=60,3,IF(T846&lt;=80,4,5)))))</x:f>
      </x:c>
      <x:c r="V846" s="2" t="str">
        <x:f>IF(M846="","",MAX(0,'Motor_Meciuri'!BF66-IF(W846="OOS PENDING",'Config_v6'!$B$35,0)-IF(L846&gt;'Config_v6'!$B$12,'Config_v6'!$B$37,IF(L846&gt;'Config_v6'!$B$11,'Config_v6'!$B$36,0))))</x:f>
      </x:c>
      <x:c r="W846" s="2" t="str">
        <x:f>IF(B846="","",IF(I846&lt;&gt;"READY","NOT RELEASED",IF(NOT(AND(J846="PASS",'Calibrare_Linii'!U6="VALID")),"INVALID",IF(NOT(TRUE),"OOS PENDING",IF(S846&lt;=IF(AND('Calibrare_Linii'!S6="VALIDATED",AND('Calibrare_Linii'!H6=C846,ISNUMBER('Calibrare_Linii'!J6),'Calibrare_Linii'!J6&lt;='Input_Meci'!G66)),'Calibrare_Linii'!E6,'Config_v6'!$B$26),"PASS",IF(S846&lt;=IF(AND('Calibrare_Linii'!S6="VALIDATED",AND('Calibrare_Linii'!H6=C846,ISNUMBER('Calibrare_Linii'!J6),'Calibrare_Linii'!J6&lt;='Input_Meci'!G66)),'Calibrare_Linii'!F6,'Config_v6'!$C$26),"PENALTY","WATCH"))))))</x:f>
      </x:c>
      <x:c r="X846" s="2" t="str">
        <x:f>IF(M846="","",IF(AND(AND(J846="PASS",'Calibrare_Linii'!U6="VALID"),'Motor_Meciuri'!K66=12,'Motor_Meciuri'!L66=12,'Motor_Meciuri'!M66="NO",'Motor_Meciuri'!BL66='Motor_Meciuri'!C66,AB846&gt;='Config_v6'!$B$50,AN846&gt;='Config_v6'!$B$51,T846&lt;='Config_v6'!$B$52,L846&lt;='Config_v6'!$B$53,ISNUMBER('Calibrare_Linii'!E6),S846&lt;='Calibrare_Linii'!E6,SUM(AK846:AM846)&gt;0),"CANDIDATE","NO"))</x:f>
      </x:c>
      <x:c r="Y846" s="2" t="str">
        <x:f>IF(B846="","",IF(I846&lt;&gt;"READY","NOT RELEASED",IF(AND(X846="CANDIDATE",V846&gt;='Config_v6'!$B$51,W846="PASS",'Calibrare_Linii'!T6="VALIDATED",AND('Calibrare_Linii'!H6=C846,ISNUMBER('Calibrare_Linii'!J6),'Calibrare_Linii'!J6&lt;='Input_Meci'!G66)),"PASS",IF(X846="CANDIDATE","OOS PENDING","FAIL"))))</x:f>
      </x:c>
      <x:c r="Z846" s="2" t="str">
        <x:f>IF(B846="","",IF(I846&lt;&gt;"READY","",IF(OR(NOT(AND(J846="PASS",'Calibrare_Linii'!U6="VALID")),L846&gt;'Config_v6'!$B$13,W846="WATCH"),5,IF(Y846="PASS",1,MIN(5,MAX('Config_v6'!$B$42,U846)+IF(W846="PENALTY",1,0))))))</x:f>
      </x:c>
      <x:c r="AA846" s="2" t="str">
        <x:f>IF(B846="","",IF(I846&lt;&gt;"READY","NOT RELEASED",IF(Z846=5,"NO BET",IF(OR(AB846&lt;'Config_v6'!$B$16,V846&lt;'Config_v6'!$B$18),"WATCH",IF(Z846=1,"DEFENSIV",IF(Z846=2,"PRUDENT",IF(Z846=3,"MODERAT","RIDICAT")))))))</x:f>
      </x:c>
      <x:c r="AB846" s="10" t="str">
        <x:f>IF(N846="","",MIN(N846,1-S846))</x:f>
      </x:c>
      <x:c r="AC846" s="2" t="str">
        <x:f>IF(AD846&lt;&gt;1,"",COUNTIFS($Z$846:$Z$859,"&lt;"&amp;Z846,$AD$846:$AD$859,1)+COUNTIFS($Z$846:$Z$859,Z846,$AB$846:$AB$859,"&gt;"&amp;AB846,$AD$846:$AD$859,1)+COUNTIFS($Z$846:$Z$859,Z846,$AB$846:$AB$859,AB846,$V$846:$V$859,"&gt;"&amp;V846,$AD$846:$AD$859,1)+COUNTIFS($Z$846:Z846,Z846,$AB$846:AB846,AB846,$V$846:V846,V846,$AD$846:AD846,1))</x:f>
      </x:c>
      <x:c r="AD846" s="2" t="n">
        <x:f>IF(OR(AA846="DEFENSIV",AA846="PRUDENT",AA846="MODERAT",AA846="RIDICAT"),1,0)</x:f>
        <x:v>0</x:v>
      </x:c>
      <x:c r="AE846" s="2" t="str">
        <x:f>IF(AD846&lt;&gt;1,"NO",IF(W846="PASS","YES",IF(W846="OOS PENDING","CONDITIONAL","NO")))</x:f>
        <x:v>NO</x:v>
      </x:c>
      <x:c r="AF846" s="2" t="n">
        <x:f>IF(AND(AD846=1,AC846=1,E846="LIVE"),1,0)</x:f>
        <x:v>0</x:v>
      </x:c>
      <x:c r="AG846" s="2" t="str">
        <x:f>IF(AF846&lt;&gt;1,"",'Dashboard'!P86)</x:f>
      </x:c>
      <x:c r="AH846" s="2" t="str">
        <x:f>IF(B846="","",IF(J846&lt;&gt;"PASS",'Motor_Meciuri'!J66,IF('Calibrare_Linii'!U6&lt;&gt;"VALID","Parametri linie invalizi",IF(L846&gt;'Config_v6'!$B$13,"Dispersie peste limita",IF(W846="WATCH","Failure peste limita",IF(AB846&lt;'Config_v6'!$B$16,"P finala sub prag",IF(V846&lt;'Config_v6'!$B$18,"Confidence sub prag",IF(E846="REPLAY","Exemplu retrospectiv; exclus din Top LIVE",IF(Y846="PASS","DEFENSIV validat",IF(W846="OOS PENDING","Eligibil; calibrare linie in monitorizare","Eligibil"))))))))))</x:f>
      </x:c>
      <x:c r="AI846" s="2" t="str">
        <x:f>IF(B846="","",'Calibrare_Linii'!V6)</x:f>
      </x:c>
      <x:c r="AJ846" s="2" t="str">
        <x:f>IF(B846="","",IF(AND('Calibrare_Linii'!T6="VALIDATED",AND('Calibrare_Linii'!H6=C846,ISNUMBER('Calibrare_Linii'!J6),'Calibrare_Linii'!J6&lt;='Input_Meci'!G66)),"DEFENSIVE VALIDATED",IF(AND('Calibrare_Linii'!S6="VALIDATED",AND('Calibrare_Linii'!H6=C846,ISNUMBER('Calibrare_Linii'!J6),'Calibrare_Linii'!J6&lt;='Input_Meci'!G66)),"TAIL VALIDATED","OOS PENDING")))</x:f>
      </x:c>
      <x:c r="AK846" s="2" t="n">
        <x:f>IF(J846&lt;&gt;"PASS",0,'Motor_Meciuri'!BR66)</x:f>
        <x:v>0</x:v>
      </x:c>
      <x:c r="AL846" s="2" t="n">
        <x:f>IF(J846&lt;&gt;"PASS",0,'Motor_Meciuri'!BS66)</x:f>
        <x:v>0</x:v>
      </x:c>
      <x:c r="AM846" s="2" t="n">
        <x:f>IF(J846&lt;&gt;"PASS",0,'Motor_Meciuri'!BT66)</x:f>
        <x:v>0</x:v>
      </x:c>
      <x:c r="AN846" s="2" t="str">
        <x:f>IF(M846="","",MAX(0,'Motor_Meciuri'!BF66-IF(L846&gt;'Config_v6'!$B$12,'Config_v6'!$B$37,IF(L846&gt;'Config_v6'!$B$11,'Config_v6'!$B$36,0))))</x:f>
      </x:c>
    </x:row>
    <x:row r="847" ht="21" customHeight="1">
      <x:c r="A847" s="2" t="n">
        <x:v>61</x:v>
      </x:c>
      <x:c r="B847" s="2" t="str">
        <x:f>IF('Motor_Meciuri'!A66="","",'Motor_Meciuri'!A66)</x:f>
      </x:c>
      <x:c r="C847" s="2" t="str">
        <x:f>IF(B847="","",'Motor_Meciuri'!B66)</x:f>
      </x:c>
      <x:c r="D847" s="2" t="str">
        <x:f>IF(B847="","",'Motor_Meciuri'!D66)</x:f>
      </x:c>
      <x:c r="E847" s="2" t="str">
        <x:f>IF(B847="","",'Motor_Meciuri'!E66)</x:f>
      </x:c>
      <x:c r="F847" s="2" t="str">
        <x:v>O4,5</x:v>
      </x:c>
      <x:c r="G847" s="2" t="str">
        <x:v>OVER</x:v>
      </x:c>
      <x:c r="H847" s="2" t="n">
        <x:v>4</x:v>
      </x:c>
      <x:c r="I847" s="2" t="str">
        <x:f>IF(B847="","",'Motor_Meciuri'!H66)</x:f>
      </x:c>
      <x:c r="J847" s="2" t="str">
        <x:f>IF(B847="","",'Motor_Meciuri'!I66)</x:f>
      </x:c>
      <x:c r="K847" s="11" t="str">
        <x:f>IF(J847&lt;&gt;"PASS","",'Motor_Meciuri'!BD66)</x:f>
      </x:c>
      <x:c r="L847" s="11" t="str">
        <x:f>IF(J847&lt;&gt;"PASS","",'Motor_Meciuri'!AU66)</x:f>
      </x:c>
      <x:c r="M847" s="10" t="str">
        <x:f>IF(NOT(AND(J847="PASS",'Calibrare_Linii'!U7="VALID")),"",1-'Distributie'!AB66)</x:f>
      </x:c>
      <x:c r="N847" s="10" t="str">
        <x:f>IF(M847="","",MAX(0.01,MIN(0.99,0.5+(M847-0.5)*'Motor_Meciuri'!BG66*'Calibrare_Linii'!D7)))</x:f>
      </x:c>
      <x:c r="O847" s="10" t="str">
        <x:f>IF(M847="","",1-M847)</x:f>
      </x:c>
      <x:c r="P847" s="10" t="str">
        <x:f>IF(OR(NOT(AND(J847="PASS",'Calibrare_Linii'!U7="VALID")),AK847=0),""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*('Istoric_Nativ'!$Q$6:$Q$405&lt;=H847))/AK847)</x:f>
      </x:c>
      <x:c r="Q847" s="10" t="str">
        <x:f>IF(OR(NOT(AND(J847="PASS",'Calibrare_Linii'!U7="VALID")),AL847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M66)+((('Istoric_Nativ'!$E$6:$E$405='Input_Meci'!E66)+('Istoric_Nativ'!$F$6:$F$405='Input_Meci'!E66))&gt;0)*('Istoric_Nativ'!$D$6:$D$405&gt;='Motor_Meciuri'!BN66))&gt;0)*('Istoric_Nativ'!$Q$6:$Q$405&lt;=H847))/AL847)</x:f>
      </x:c>
      <x:c r="R847" s="10" t="str">
        <x:f>IF(OR(NOT(AND(J847="PASS",'Calibrare_Linii'!U7="VALID")),AM847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O66)+((('Istoric_Nativ'!$E$6:$E$405='Input_Meci'!E66)+('Istoric_Nativ'!$F$6:$F$405='Input_Meci'!E66))&gt;0)*('Istoric_Nativ'!$D$6:$D$405&gt;='Motor_Meciuri'!BP66))&gt;0)*('Istoric_Nativ'!$Q$6:$Q$405&lt;=H847))/AM847)</x:f>
      </x:c>
      <x:c r="S847" s="10" t="str">
        <x:f>IF(M847="","",MAX(O847,P847,Q847,R847))</x:f>
      </x:c>
      <x:c r="T847" s="11" t="str">
        <x:f>IF(M847="","",MIN(100,S847*100*'Config_v6'!$B$44+MIN(100,L847/'Config_v6'!$B$13*100)*'Config_v6'!$B$45+(100-'Motor_Meciuri'!BF66)*'Config_v6'!$B$46+'Motor_Meciuri'!BH66*100*'Config_v6'!$B$47))</x:f>
      </x:c>
      <x:c r="U847" s="2" t="str">
        <x:f>IF(T847="","",IF(T847&lt;=20,1,IF(T847&lt;=40,2,IF(T847&lt;=60,3,IF(T847&lt;=80,4,5)))))</x:f>
      </x:c>
      <x:c r="V847" s="2" t="str">
        <x:f>IF(M847="","",MAX(0,'Motor_Meciuri'!BF66-IF(W847="OOS PENDING",'Config_v6'!$B$35,0)-IF(L847&gt;'Config_v6'!$B$12,'Config_v6'!$B$37,IF(L847&gt;'Config_v6'!$B$11,'Config_v6'!$B$36,0))))</x:f>
      </x:c>
      <x:c r="W847" s="2" t="str">
        <x:f>IF(B847="","",IF(I847&lt;&gt;"READY","NOT RELEASED",IF(NOT(AND(J847="PASS",'Calibrare_Linii'!U7="VALID")),"INVALID",IF(NOT(AND('Calibrare_Linii'!S7="VALIDATED",AND('Calibrare_Linii'!H7=C847,ISNUMBER('Calibrare_Linii'!J7),'Calibrare_Linii'!J7&lt;='Input_Meci'!G66))),"OOS PENDING",IF(S847&lt;='Calibrare_Linii'!E7,"PASS",IF(S847&lt;='Calibrare_Linii'!F7,"PENALTY","WATCH"))))))</x:f>
      </x:c>
      <x:c r="X847" s="2" t="str">
        <x:f>IF(M847="","",IF(AND(AND(J847="PASS",'Calibrare_Linii'!U7="VALID"),'Motor_Meciuri'!K66=12,'Motor_Meciuri'!L66=12,'Motor_Meciuri'!M66="NO",'Motor_Meciuri'!BL66='Motor_Meciuri'!C66,AB847&gt;='Config_v6'!$B$50,AN847&gt;='Config_v6'!$B$51,T847&lt;='Config_v6'!$B$52,L847&lt;='Config_v6'!$B$53,ISNUMBER('Calibrare_Linii'!E7),S847&lt;='Calibrare_Linii'!E7,SUM(AK847:AM847)&gt;0),"CANDIDATE","NO"))</x:f>
      </x:c>
      <x:c r="Y847" s="2" t="str">
        <x:f>IF(B847="","",IF(I847&lt;&gt;"READY","NOT RELEASED",IF(AND(X847="CANDIDATE",V847&gt;='Config_v6'!$B$51,W847="PASS",'Calibrare_Linii'!T7="VALIDATED",AND('Calibrare_Linii'!H7=C847,ISNUMBER('Calibrare_Linii'!J7),'Calibrare_Linii'!J7&lt;='Input_Meci'!G66)),"PASS",IF(X847="CANDIDATE","OOS PENDING","FAIL"))))</x:f>
      </x:c>
      <x:c r="Z847" s="2" t="str">
        <x:f>IF(B847="","",IF(I847&lt;&gt;"READY","",IF(OR(NOT(AND(J847="PASS",'Calibrare_Linii'!U7="VALID")),L847&gt;'Config_v6'!$B$13,W847="WATCH"),5,IF(Y847="PASS",1,MIN(5,MAX('Config_v6'!$B$42,U847)+IF(W847="PENALTY",1,0))))))</x:f>
      </x:c>
      <x:c r="AA847" s="2" t="str">
        <x:f>IF(B847="","",IF(I847&lt;&gt;"READY","NOT RELEASED",IF(Z847=5,"NO BET",IF(OR(AB847&lt;'Config_v6'!$B$16,V847&lt;'Config_v6'!$B$18),"WATCH",IF(Z847=1,"DEFENSIV",IF(Z847=2,"PRUDENT",IF(Z847=3,"MODERAT","RIDICAT")))))))</x:f>
      </x:c>
      <x:c r="AB847" s="10" t="str">
        <x:f>IF(N847="","",MIN(N847,1-S847))</x:f>
      </x:c>
      <x:c r="AC847" s="2" t="str">
        <x:f>IF(AD847&lt;&gt;1,"",COUNTIFS($Z$846:$Z$859,"&lt;"&amp;Z847,$AD$846:$AD$859,1)+COUNTIFS($Z$846:$Z$859,Z847,$AB$846:$AB$859,"&gt;"&amp;AB847,$AD$846:$AD$859,1)+COUNTIFS($Z$846:$Z$859,Z847,$AB$846:$AB$859,AB847,$V$846:$V$859,"&gt;"&amp;V847,$AD$846:$AD$859,1)+COUNTIFS($Z$846:Z847,Z847,$AB$846:AB847,AB847,$V$846:V847,V847,$AD$846:AD847,1))</x:f>
      </x:c>
      <x:c r="AD847" s="2" t="n">
        <x:f>IF(OR(AA847="DEFENSIV",AA847="PRUDENT",AA847="MODERAT",AA847="RIDICAT"),1,0)</x:f>
        <x:v>0</x:v>
      </x:c>
      <x:c r="AE847" s="2" t="str">
        <x:f>IF(AD847&lt;&gt;1,"NO",IF(W847="PASS","YES",IF(W847="OOS PENDING","CONDITIONAL","NO")))</x:f>
        <x:v>NO</x:v>
      </x:c>
      <x:c r="AF847" s="2" t="n">
        <x:f>IF(AND(AD847=1,AC847=1,E847="LIVE"),1,0)</x:f>
        <x:v>0</x:v>
      </x:c>
      <x:c r="AG847" s="2" t="str">
        <x:f>IF(AF847&lt;&gt;1,"",'Dashboard'!P86)</x:f>
      </x:c>
      <x:c r="AH847" s="2" t="str">
        <x:f>IF(B847="","",IF(J847&lt;&gt;"PASS",'Motor_Meciuri'!J66,IF('Calibrare_Linii'!U7&lt;&gt;"VALID","Parametri linie invalizi",IF(L847&gt;'Config_v6'!$B$13,"Dispersie peste limita",IF(W847="WATCH","Failure peste limita",IF(AB847&lt;'Config_v6'!$B$16,"P finala sub prag",IF(V847&lt;'Config_v6'!$B$18,"Confidence sub prag",IF(E847="REPLAY","Exemplu retrospectiv; exclus din Top LIVE",IF(Y847="PASS","DEFENSIV validat",IF(W847="OOS PENDING","Eligibil; calibrare linie in monitorizare","Eligibil"))))))))))</x:f>
      </x:c>
      <x:c r="AI847" s="2" t="str">
        <x:f>IF(B847="","",'Calibrare_Linii'!V7)</x:f>
      </x:c>
      <x:c r="AJ847" s="2" t="str">
        <x:f>IF(B847="","",IF(AND('Calibrare_Linii'!T7="VALIDATED",AND('Calibrare_Linii'!H7=C847,ISNUMBER('Calibrare_Linii'!J7),'Calibrare_Linii'!J7&lt;='Input_Meci'!G66)),"DEFENSIVE VALIDATED",IF(AND('Calibrare_Linii'!S7="VALIDATED",AND('Calibrare_Linii'!H7=C847,ISNUMBER('Calibrare_Linii'!J7),'Calibrare_Linii'!J7&lt;='Input_Meci'!G66)),"TAIL VALIDATED","OOS PENDING")))</x:f>
      </x:c>
      <x:c r="AK847" s="2" t="n">
        <x:f>IF(J847&lt;&gt;"PASS",0,'Motor_Meciuri'!BR66)</x:f>
        <x:v>0</x:v>
      </x:c>
      <x:c r="AL847" s="2" t="n">
        <x:f>IF(J847&lt;&gt;"PASS",0,'Motor_Meciuri'!BS66)</x:f>
        <x:v>0</x:v>
      </x:c>
      <x:c r="AM847" s="2" t="n">
        <x:f>IF(J847&lt;&gt;"PASS",0,'Motor_Meciuri'!BT66)</x:f>
        <x:v>0</x:v>
      </x:c>
      <x:c r="AN847" s="2" t="str">
        <x:f>IF(M847="","",MAX(0,'Motor_Meciuri'!BF66-IF(L847&gt;'Config_v6'!$B$12,'Config_v6'!$B$37,IF(L847&gt;'Config_v6'!$B$11,'Config_v6'!$B$36,0))))</x:f>
      </x:c>
    </x:row>
    <x:row r="848" ht="21" customHeight="1">
      <x:c r="A848" s="2" t="n">
        <x:v>61</x:v>
      </x:c>
      <x:c r="B848" s="2" t="str">
        <x:f>IF('Motor_Meciuri'!A66="","",'Motor_Meciuri'!A66)</x:f>
      </x:c>
      <x:c r="C848" s="2" t="str">
        <x:f>IF(B848="","",'Motor_Meciuri'!B66)</x:f>
      </x:c>
      <x:c r="D848" s="2" t="str">
        <x:f>IF(B848="","",'Motor_Meciuri'!D66)</x:f>
      </x:c>
      <x:c r="E848" s="2" t="str">
        <x:f>IF(B848="","",'Motor_Meciuri'!E66)</x:f>
      </x:c>
      <x:c r="F848" s="2" t="str">
        <x:v>O5,5</x:v>
      </x:c>
      <x:c r="G848" s="2" t="str">
        <x:v>OVER</x:v>
      </x:c>
      <x:c r="H848" s="2" t="n">
        <x:v>5</x:v>
      </x:c>
      <x:c r="I848" s="2" t="str">
        <x:f>IF(B848="","",'Motor_Meciuri'!H66)</x:f>
      </x:c>
      <x:c r="J848" s="2" t="str">
        <x:f>IF(B848="","",'Motor_Meciuri'!I66)</x:f>
      </x:c>
      <x:c r="K848" s="11" t="str">
        <x:f>IF(J848&lt;&gt;"PASS","",'Motor_Meciuri'!BD66)</x:f>
      </x:c>
      <x:c r="L848" s="11" t="str">
        <x:f>IF(J848&lt;&gt;"PASS","",'Motor_Meciuri'!AU66)</x:f>
      </x:c>
      <x:c r="M848" s="10" t="str">
        <x:f>IF(NOT(AND(J848="PASS",'Calibrare_Linii'!U8="VALID")),"",1-'Distributie'!AC66)</x:f>
      </x:c>
      <x:c r="N848" s="10" t="str">
        <x:f>IF(M848="","",MAX(0.01,MIN(0.99,0.5+(M848-0.5)*'Motor_Meciuri'!BG66*'Calibrare_Linii'!D8)))</x:f>
      </x:c>
      <x:c r="O848" s="10" t="str">
        <x:f>IF(M848="","",1-M848)</x:f>
      </x:c>
      <x:c r="P848" s="10" t="str">
        <x:f>IF(OR(NOT(AND(J848="PASS",'Calibrare_Linii'!U8="VALID")),AK848=0),""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*('Istoric_Nativ'!$Q$6:$Q$405&lt;=H848))/AK848)</x:f>
      </x:c>
      <x:c r="Q848" s="10" t="str">
        <x:f>IF(OR(NOT(AND(J848="PASS",'Calibrare_Linii'!U8="VALID")),AL848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M66)+((('Istoric_Nativ'!$E$6:$E$405='Input_Meci'!E66)+('Istoric_Nativ'!$F$6:$F$405='Input_Meci'!E66))&gt;0)*('Istoric_Nativ'!$D$6:$D$405&gt;='Motor_Meciuri'!BN66))&gt;0)*('Istoric_Nativ'!$Q$6:$Q$405&lt;=H848))/AL848)</x:f>
      </x:c>
      <x:c r="R848" s="10" t="str">
        <x:f>IF(OR(NOT(AND(J848="PASS",'Calibrare_Linii'!U8="VALID")),AM848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O66)+((('Istoric_Nativ'!$E$6:$E$405='Input_Meci'!E66)+('Istoric_Nativ'!$F$6:$F$405='Input_Meci'!E66))&gt;0)*('Istoric_Nativ'!$D$6:$D$405&gt;='Motor_Meciuri'!BP66))&gt;0)*('Istoric_Nativ'!$Q$6:$Q$405&lt;=H848))/AM848)</x:f>
      </x:c>
      <x:c r="S848" s="10" t="str">
        <x:f>IF(M848="","",MAX(O848,P848,Q848,R848))</x:f>
      </x:c>
      <x:c r="T848" s="11" t="str">
        <x:f>IF(M848="","",MIN(100,S848*100*'Config_v6'!$B$44+MIN(100,L848/'Config_v6'!$B$13*100)*'Config_v6'!$B$45+(100-'Motor_Meciuri'!BF66)*'Config_v6'!$B$46+'Motor_Meciuri'!BH66*100*'Config_v6'!$B$47))</x:f>
      </x:c>
      <x:c r="U848" s="2" t="str">
        <x:f>IF(T848="","",IF(T848&lt;=20,1,IF(T848&lt;=40,2,IF(T848&lt;=60,3,IF(T848&lt;=80,4,5)))))</x:f>
      </x:c>
      <x:c r="V848" s="2" t="str">
        <x:f>IF(M848="","",MAX(0,'Motor_Meciuri'!BF66-IF(W848="OOS PENDING",'Config_v6'!$B$35,0)-IF(L848&gt;'Config_v6'!$B$12,'Config_v6'!$B$37,IF(L848&gt;'Config_v6'!$B$11,'Config_v6'!$B$36,0))))</x:f>
      </x:c>
      <x:c r="W848" s="2" t="str">
        <x:f>IF(B848="","",IF(I848&lt;&gt;"READY","NOT RELEASED",IF(NOT(AND(J848="PASS",'Calibrare_Linii'!U8="VALID")),"INVALID",IF(NOT(AND('Calibrare_Linii'!S8="VALIDATED",AND('Calibrare_Linii'!H8=C848,ISNUMBER('Calibrare_Linii'!J8),'Calibrare_Linii'!J8&lt;='Input_Meci'!G66))),"OOS PENDING",IF(S848&lt;='Calibrare_Linii'!E8,"PASS",IF(S848&lt;='Calibrare_Linii'!F8,"PENALTY","WATCH"))))))</x:f>
      </x:c>
      <x:c r="X848" s="2" t="str">
        <x:f>IF(M848="","",IF(AND(AND(J848="PASS",'Calibrare_Linii'!U8="VALID"),'Motor_Meciuri'!K66=12,'Motor_Meciuri'!L66=12,'Motor_Meciuri'!M66="NO",'Motor_Meciuri'!BL66='Motor_Meciuri'!C66,AB848&gt;='Config_v6'!$B$50,AN848&gt;='Config_v6'!$B$51,T848&lt;='Config_v6'!$B$52,L848&lt;='Config_v6'!$B$53,ISNUMBER('Calibrare_Linii'!E8),S848&lt;='Calibrare_Linii'!E8,SUM(AK848:AM848)&gt;0),"CANDIDATE","NO"))</x:f>
      </x:c>
      <x:c r="Y848" s="2" t="str">
        <x:f>IF(B848="","",IF(I848&lt;&gt;"READY","NOT RELEASED",IF(AND(X848="CANDIDATE",V848&gt;='Config_v6'!$B$51,W848="PASS",'Calibrare_Linii'!T8="VALIDATED",AND('Calibrare_Linii'!H8=C848,ISNUMBER('Calibrare_Linii'!J8),'Calibrare_Linii'!J8&lt;='Input_Meci'!G66)),"PASS",IF(X848="CANDIDATE","OOS PENDING","FAIL"))))</x:f>
      </x:c>
      <x:c r="Z848" s="2" t="str">
        <x:f>IF(B848="","",IF(I848&lt;&gt;"READY","",IF(OR(NOT(AND(J848="PASS",'Calibrare_Linii'!U8="VALID")),L848&gt;'Config_v6'!$B$13,W848="WATCH"),5,IF(Y848="PASS",1,MIN(5,MAX('Config_v6'!$B$42,U848)+IF(W848="PENALTY",1,0))))))</x:f>
      </x:c>
      <x:c r="AA848" s="2" t="str">
        <x:f>IF(B848="","",IF(I848&lt;&gt;"READY","NOT RELEASED",IF(Z848=5,"NO BET",IF(OR(AB848&lt;'Config_v6'!$B$16,V848&lt;'Config_v6'!$B$18),"WATCH",IF(Z848=1,"DEFENSIV",IF(Z848=2,"PRUDENT",IF(Z848=3,"MODERAT","RIDICAT")))))))</x:f>
      </x:c>
      <x:c r="AB848" s="10" t="str">
        <x:f>IF(N848="","",MIN(N848,1-S848))</x:f>
      </x:c>
      <x:c r="AC848" s="2" t="str">
        <x:f>IF(AD848&lt;&gt;1,"",COUNTIFS($Z$846:$Z$859,"&lt;"&amp;Z848,$AD$846:$AD$859,1)+COUNTIFS($Z$846:$Z$859,Z848,$AB$846:$AB$859,"&gt;"&amp;AB848,$AD$846:$AD$859,1)+COUNTIFS($Z$846:$Z$859,Z848,$AB$846:$AB$859,AB848,$V$846:$V$859,"&gt;"&amp;V848,$AD$846:$AD$859,1)+COUNTIFS($Z$846:Z848,Z848,$AB$846:AB848,AB848,$V$846:V848,V848,$AD$846:AD848,1))</x:f>
      </x:c>
      <x:c r="AD848" s="2" t="n">
        <x:f>IF(OR(AA848="DEFENSIV",AA848="PRUDENT",AA848="MODERAT",AA848="RIDICAT"),1,0)</x:f>
        <x:v>0</x:v>
      </x:c>
      <x:c r="AE848" s="2" t="str">
        <x:f>IF(AD848&lt;&gt;1,"NO",IF(W848="PASS","YES",IF(W848="OOS PENDING","CONDITIONAL","NO")))</x:f>
        <x:v>NO</x:v>
      </x:c>
      <x:c r="AF848" s="2" t="n">
        <x:f>IF(AND(AD848=1,AC848=1,E848="LIVE"),1,0)</x:f>
        <x:v>0</x:v>
      </x:c>
      <x:c r="AG848" s="2" t="str">
        <x:f>IF(AF848&lt;&gt;1,"",'Dashboard'!P86)</x:f>
      </x:c>
      <x:c r="AH848" s="2" t="str">
        <x:f>IF(B848="","",IF(J848&lt;&gt;"PASS",'Motor_Meciuri'!J66,IF('Calibrare_Linii'!U8&lt;&gt;"VALID","Parametri linie invalizi",IF(L848&gt;'Config_v6'!$B$13,"Dispersie peste limita",IF(W848="WATCH","Failure peste limita",IF(AB848&lt;'Config_v6'!$B$16,"P finala sub prag",IF(V848&lt;'Config_v6'!$B$18,"Confidence sub prag",IF(E848="REPLAY","Exemplu retrospectiv; exclus din Top LIVE",IF(Y848="PASS","DEFENSIV validat",IF(W848="OOS PENDING","Eligibil; calibrare linie in monitorizare","Eligibil"))))))))))</x:f>
      </x:c>
      <x:c r="AI848" s="2" t="str">
        <x:f>IF(B848="","",'Calibrare_Linii'!V8)</x:f>
      </x:c>
      <x:c r="AJ848" s="2" t="str">
        <x:f>IF(B848="","",IF(AND('Calibrare_Linii'!T8="VALIDATED",AND('Calibrare_Linii'!H8=C848,ISNUMBER('Calibrare_Linii'!J8),'Calibrare_Linii'!J8&lt;='Input_Meci'!G66)),"DEFENSIVE VALIDATED",IF(AND('Calibrare_Linii'!S8="VALIDATED",AND('Calibrare_Linii'!H8=C848,ISNUMBER('Calibrare_Linii'!J8),'Calibrare_Linii'!J8&lt;='Input_Meci'!G66)),"TAIL VALIDATED","OOS PENDING")))</x:f>
      </x:c>
      <x:c r="AK848" s="2" t="n">
        <x:f>IF(J848&lt;&gt;"PASS",0,'Motor_Meciuri'!BR66)</x:f>
        <x:v>0</x:v>
      </x:c>
      <x:c r="AL848" s="2" t="n">
        <x:f>IF(J848&lt;&gt;"PASS",0,'Motor_Meciuri'!BS66)</x:f>
        <x:v>0</x:v>
      </x:c>
      <x:c r="AM848" s="2" t="n">
        <x:f>IF(J848&lt;&gt;"PASS",0,'Motor_Meciuri'!BT66)</x:f>
        <x:v>0</x:v>
      </x:c>
      <x:c r="AN848" s="2" t="str">
        <x:f>IF(M848="","",MAX(0,'Motor_Meciuri'!BF66-IF(L848&gt;'Config_v6'!$B$12,'Config_v6'!$B$37,IF(L848&gt;'Config_v6'!$B$11,'Config_v6'!$B$36,0))))</x:f>
      </x:c>
    </x:row>
    <x:row r="849" ht="21" customHeight="1">
      <x:c r="A849" s="2" t="n">
        <x:v>61</x:v>
      </x:c>
      <x:c r="B849" s="2" t="str">
        <x:f>IF('Motor_Meciuri'!A66="","",'Motor_Meciuri'!A66)</x:f>
      </x:c>
      <x:c r="C849" s="2" t="str">
        <x:f>IF(B849="","",'Motor_Meciuri'!B66)</x:f>
      </x:c>
      <x:c r="D849" s="2" t="str">
        <x:f>IF(B849="","",'Motor_Meciuri'!D66)</x:f>
      </x:c>
      <x:c r="E849" s="2" t="str">
        <x:f>IF(B849="","",'Motor_Meciuri'!E66)</x:f>
      </x:c>
      <x:c r="F849" s="2" t="str">
        <x:v>O6,5</x:v>
      </x:c>
      <x:c r="G849" s="2" t="str">
        <x:v>OVER</x:v>
      </x:c>
      <x:c r="H849" s="2" t="n">
        <x:v>6</x:v>
      </x:c>
      <x:c r="I849" s="2" t="str">
        <x:f>IF(B849="","",'Motor_Meciuri'!H66)</x:f>
      </x:c>
      <x:c r="J849" s="2" t="str">
        <x:f>IF(B849="","",'Motor_Meciuri'!I66)</x:f>
      </x:c>
      <x:c r="K849" s="11" t="str">
        <x:f>IF(J849&lt;&gt;"PASS","",'Motor_Meciuri'!BD66)</x:f>
      </x:c>
      <x:c r="L849" s="11" t="str">
        <x:f>IF(J849&lt;&gt;"PASS","",'Motor_Meciuri'!AU66)</x:f>
      </x:c>
      <x:c r="M849" s="10" t="str">
        <x:f>IF(NOT(AND(J849="PASS",'Calibrare_Linii'!U9="VALID")),"",1-'Distributie'!AD66)</x:f>
      </x:c>
      <x:c r="N849" s="10" t="str">
        <x:f>IF(M849="","",MAX(0.01,MIN(0.99,0.5+(M849-0.5)*'Motor_Meciuri'!BG66*'Calibrare_Linii'!D9)))</x:f>
      </x:c>
      <x:c r="O849" s="10" t="str">
        <x:f>IF(M849="","",1-M849)</x:f>
      </x:c>
      <x:c r="P849" s="10" t="str">
        <x:f>IF(OR(NOT(AND(J849="PASS",'Calibrare_Linii'!U9="VALID")),AK849=0),""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*('Istoric_Nativ'!$Q$6:$Q$405&lt;=H849))/AK849)</x:f>
      </x:c>
      <x:c r="Q849" s="10" t="str">
        <x:f>IF(OR(NOT(AND(J849="PASS",'Calibrare_Linii'!U9="VALID")),AL849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M66)+((('Istoric_Nativ'!$E$6:$E$405='Input_Meci'!E66)+('Istoric_Nativ'!$F$6:$F$405='Input_Meci'!E66))&gt;0)*('Istoric_Nativ'!$D$6:$D$405&gt;='Motor_Meciuri'!BN66))&gt;0)*('Istoric_Nativ'!$Q$6:$Q$405&lt;=H849))/AL849)</x:f>
      </x:c>
      <x:c r="R849" s="10" t="str">
        <x:f>IF(OR(NOT(AND(J849="PASS",'Calibrare_Linii'!U9="VALID")),AM849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O66)+((('Istoric_Nativ'!$E$6:$E$405='Input_Meci'!E66)+('Istoric_Nativ'!$F$6:$F$405='Input_Meci'!E66))&gt;0)*('Istoric_Nativ'!$D$6:$D$405&gt;='Motor_Meciuri'!BP66))&gt;0)*('Istoric_Nativ'!$Q$6:$Q$405&lt;=H849))/AM849)</x:f>
      </x:c>
      <x:c r="S849" s="10" t="str">
        <x:f>IF(M849="","",MAX(O849,P849,Q849,R849))</x:f>
      </x:c>
      <x:c r="T849" s="11" t="str">
        <x:f>IF(M849="","",MIN(100,S849*100*'Config_v6'!$B$44+MIN(100,L849/'Config_v6'!$B$13*100)*'Config_v6'!$B$45+(100-'Motor_Meciuri'!BF66)*'Config_v6'!$B$46+'Motor_Meciuri'!BH66*100*'Config_v6'!$B$47))</x:f>
      </x:c>
      <x:c r="U849" s="2" t="str">
        <x:f>IF(T849="","",IF(T849&lt;=20,1,IF(T849&lt;=40,2,IF(T849&lt;=60,3,IF(T849&lt;=80,4,5)))))</x:f>
      </x:c>
      <x:c r="V849" s="2" t="str">
        <x:f>IF(M849="","",MAX(0,'Motor_Meciuri'!BF66-IF(W849="OOS PENDING",'Config_v6'!$B$35,0)-IF(L849&gt;'Config_v6'!$B$12,'Config_v6'!$B$37,IF(L849&gt;'Config_v6'!$B$11,'Config_v6'!$B$36,0))))</x:f>
      </x:c>
      <x:c r="W849" s="2" t="str">
        <x:f>IF(B849="","",IF(I849&lt;&gt;"READY","NOT RELEASED",IF(NOT(AND(J849="PASS",'Calibrare_Linii'!U9="VALID")),"INVALID",IF(NOT(AND('Calibrare_Linii'!S9="VALIDATED",AND('Calibrare_Linii'!H9=C849,ISNUMBER('Calibrare_Linii'!J9),'Calibrare_Linii'!J9&lt;='Input_Meci'!G66))),"OOS PENDING",IF(S849&lt;='Calibrare_Linii'!E9,"PASS",IF(S849&lt;='Calibrare_Linii'!F9,"PENALTY","WATCH"))))))</x:f>
      </x:c>
      <x:c r="X849" s="2" t="str">
        <x:f>IF(M849="","",IF(AND(AND(J849="PASS",'Calibrare_Linii'!U9="VALID"),'Motor_Meciuri'!K66=12,'Motor_Meciuri'!L66=12,'Motor_Meciuri'!M66="NO",'Motor_Meciuri'!BL66='Motor_Meciuri'!C66,AB849&gt;='Config_v6'!$B$50,AN849&gt;='Config_v6'!$B$51,T849&lt;='Config_v6'!$B$52,L849&lt;='Config_v6'!$B$53,ISNUMBER('Calibrare_Linii'!E9),S849&lt;='Calibrare_Linii'!E9,SUM(AK849:AM849)&gt;0),"CANDIDATE","NO"))</x:f>
      </x:c>
      <x:c r="Y849" s="2" t="str">
        <x:f>IF(B849="","",IF(I849&lt;&gt;"READY","NOT RELEASED",IF(AND(X849="CANDIDATE",V849&gt;='Config_v6'!$B$51,W849="PASS",'Calibrare_Linii'!T9="VALIDATED",AND('Calibrare_Linii'!H9=C849,ISNUMBER('Calibrare_Linii'!J9),'Calibrare_Linii'!J9&lt;='Input_Meci'!G66)),"PASS",IF(X849="CANDIDATE","OOS PENDING","FAIL"))))</x:f>
      </x:c>
      <x:c r="Z849" s="2" t="str">
        <x:f>IF(B849="","",IF(I849&lt;&gt;"READY","",IF(OR(NOT(AND(J849="PASS",'Calibrare_Linii'!U9="VALID")),L849&gt;'Config_v6'!$B$13,W849="WATCH"),5,IF(Y849="PASS",1,MIN(5,MAX('Config_v6'!$B$42,U849)+IF(W849="PENALTY",1,0))))))</x:f>
      </x:c>
      <x:c r="AA849" s="2" t="str">
        <x:f>IF(B849="","",IF(I849&lt;&gt;"READY","NOT RELEASED",IF(Z849=5,"NO BET",IF(OR(AB849&lt;'Config_v6'!$B$16,V849&lt;'Config_v6'!$B$18),"WATCH",IF(Z849=1,"DEFENSIV",IF(Z849=2,"PRUDENT",IF(Z849=3,"MODERAT","RIDICAT")))))))</x:f>
      </x:c>
      <x:c r="AB849" s="10" t="str">
        <x:f>IF(N849="","",MIN(N849,1-S849))</x:f>
      </x:c>
      <x:c r="AC849" s="2" t="str">
        <x:f>IF(AD849&lt;&gt;1,"",COUNTIFS($Z$846:$Z$859,"&lt;"&amp;Z849,$AD$846:$AD$859,1)+COUNTIFS($Z$846:$Z$859,Z849,$AB$846:$AB$859,"&gt;"&amp;AB849,$AD$846:$AD$859,1)+COUNTIFS($Z$846:$Z$859,Z849,$AB$846:$AB$859,AB849,$V$846:$V$859,"&gt;"&amp;V849,$AD$846:$AD$859,1)+COUNTIFS($Z$846:Z849,Z849,$AB$846:AB849,AB849,$V$846:V849,V849,$AD$846:AD849,1))</x:f>
      </x:c>
      <x:c r="AD849" s="2" t="n">
        <x:f>IF(OR(AA849="DEFENSIV",AA849="PRUDENT",AA849="MODERAT",AA849="RIDICAT"),1,0)</x:f>
        <x:v>0</x:v>
      </x:c>
      <x:c r="AE849" s="2" t="str">
        <x:f>IF(AD849&lt;&gt;1,"NO",IF(W849="PASS","YES",IF(W849="OOS PENDING","CONDITIONAL","NO")))</x:f>
        <x:v>NO</x:v>
      </x:c>
      <x:c r="AF849" s="2" t="n">
        <x:f>IF(AND(AD849=1,AC849=1,E849="LIVE"),1,0)</x:f>
        <x:v>0</x:v>
      </x:c>
      <x:c r="AG849" s="2" t="str">
        <x:f>IF(AF849&lt;&gt;1,"",'Dashboard'!P86)</x:f>
      </x:c>
      <x:c r="AH849" s="2" t="str">
        <x:f>IF(B849="","",IF(J849&lt;&gt;"PASS",'Motor_Meciuri'!J66,IF('Calibrare_Linii'!U9&lt;&gt;"VALID","Parametri linie invalizi",IF(L849&gt;'Config_v6'!$B$13,"Dispersie peste limita",IF(W849="WATCH","Failure peste limita",IF(AB849&lt;'Config_v6'!$B$16,"P finala sub prag",IF(V849&lt;'Config_v6'!$B$18,"Confidence sub prag",IF(E849="REPLAY","Exemplu retrospectiv; exclus din Top LIVE",IF(Y849="PASS","DEFENSIV validat",IF(W849="OOS PENDING","Eligibil; calibrare linie in monitorizare","Eligibil"))))))))))</x:f>
      </x:c>
      <x:c r="AI849" s="2" t="str">
        <x:f>IF(B849="","",'Calibrare_Linii'!V9)</x:f>
      </x:c>
      <x:c r="AJ849" s="2" t="str">
        <x:f>IF(B849="","",IF(AND('Calibrare_Linii'!T9="VALIDATED",AND('Calibrare_Linii'!H9=C849,ISNUMBER('Calibrare_Linii'!J9),'Calibrare_Linii'!J9&lt;='Input_Meci'!G66)),"DEFENSIVE VALIDATED",IF(AND('Calibrare_Linii'!S9="VALIDATED",AND('Calibrare_Linii'!H9=C849,ISNUMBER('Calibrare_Linii'!J9),'Calibrare_Linii'!J9&lt;='Input_Meci'!G66)),"TAIL VALIDATED","OOS PENDING")))</x:f>
      </x:c>
      <x:c r="AK849" s="2" t="n">
        <x:f>IF(J849&lt;&gt;"PASS",0,'Motor_Meciuri'!BR66)</x:f>
        <x:v>0</x:v>
      </x:c>
      <x:c r="AL849" s="2" t="n">
        <x:f>IF(J849&lt;&gt;"PASS",0,'Motor_Meciuri'!BS66)</x:f>
        <x:v>0</x:v>
      </x:c>
      <x:c r="AM849" s="2" t="n">
        <x:f>IF(J849&lt;&gt;"PASS",0,'Motor_Meciuri'!BT66)</x:f>
        <x:v>0</x:v>
      </x:c>
      <x:c r="AN849" s="2" t="str">
        <x:f>IF(M849="","",MAX(0,'Motor_Meciuri'!BF66-IF(L849&gt;'Config_v6'!$B$12,'Config_v6'!$B$37,IF(L849&gt;'Config_v6'!$B$11,'Config_v6'!$B$36,0))))</x:f>
      </x:c>
    </x:row>
    <x:row r="850" ht="21" customHeight="1">
      <x:c r="A850" s="2" t="n">
        <x:v>61</x:v>
      </x:c>
      <x:c r="B850" s="2" t="str">
        <x:f>IF('Motor_Meciuri'!A66="","",'Motor_Meciuri'!A66)</x:f>
      </x:c>
      <x:c r="C850" s="2" t="str">
        <x:f>IF(B850="","",'Motor_Meciuri'!B66)</x:f>
      </x:c>
      <x:c r="D850" s="2" t="str">
        <x:f>IF(B850="","",'Motor_Meciuri'!D66)</x:f>
      </x:c>
      <x:c r="E850" s="2" t="str">
        <x:f>IF(B850="","",'Motor_Meciuri'!E66)</x:f>
      </x:c>
      <x:c r="F850" s="2" t="str">
        <x:v>O7,5</x:v>
      </x:c>
      <x:c r="G850" s="2" t="str">
        <x:v>OVER</x:v>
      </x:c>
      <x:c r="H850" s="2" t="n">
        <x:v>7</x:v>
      </x:c>
      <x:c r="I850" s="2" t="str">
        <x:f>IF(B850="","",'Motor_Meciuri'!H66)</x:f>
      </x:c>
      <x:c r="J850" s="2" t="str">
        <x:f>IF(B850="","",'Motor_Meciuri'!I66)</x:f>
      </x:c>
      <x:c r="K850" s="11" t="str">
        <x:f>IF(J850&lt;&gt;"PASS","",'Motor_Meciuri'!BD66)</x:f>
      </x:c>
      <x:c r="L850" s="11" t="str">
        <x:f>IF(J850&lt;&gt;"PASS","",'Motor_Meciuri'!AU66)</x:f>
      </x:c>
      <x:c r="M850" s="10" t="str">
        <x:f>IF(NOT(AND(J850="PASS",'Calibrare_Linii'!U10="VALID")),"",1-'Distributie'!AE66)</x:f>
      </x:c>
      <x:c r="N850" s="10" t="str">
        <x:f>IF(M850="","",MAX(0.01,MIN(0.99,0.5+(M850-0.5)*'Motor_Meciuri'!BG66*'Calibrare_Linii'!D10)))</x:f>
      </x:c>
      <x:c r="O850" s="10" t="str">
        <x:f>IF(M850="","",1-M850)</x:f>
      </x:c>
      <x:c r="P850" s="10" t="str">
        <x:f>IF(OR(NOT(AND(J850="PASS",'Calibrare_Linii'!U10="VALID")),AK850=0),""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*('Istoric_Nativ'!$Q$6:$Q$405&lt;=H850))/AK850)</x:f>
      </x:c>
      <x:c r="Q850" s="10" t="str">
        <x:f>IF(OR(NOT(AND(J850="PASS",'Calibrare_Linii'!U10="VALID")),AL850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M66)+((('Istoric_Nativ'!$E$6:$E$405='Input_Meci'!E66)+('Istoric_Nativ'!$F$6:$F$405='Input_Meci'!E66))&gt;0)*('Istoric_Nativ'!$D$6:$D$405&gt;='Motor_Meciuri'!BN66))&gt;0)*('Istoric_Nativ'!$Q$6:$Q$405&lt;=H850))/AL850)</x:f>
      </x:c>
      <x:c r="R850" s="10" t="str">
        <x:f>IF(OR(NOT(AND(J850="PASS",'Calibrare_Linii'!U10="VALID")),AM850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O66)+((('Istoric_Nativ'!$E$6:$E$405='Input_Meci'!E66)+('Istoric_Nativ'!$F$6:$F$405='Input_Meci'!E66))&gt;0)*('Istoric_Nativ'!$D$6:$D$405&gt;='Motor_Meciuri'!BP66))&gt;0)*('Istoric_Nativ'!$Q$6:$Q$405&lt;=H850))/AM850)</x:f>
      </x:c>
      <x:c r="S850" s="10" t="str">
        <x:f>IF(M850="","",MAX(O850,P850,Q850,R850))</x:f>
      </x:c>
      <x:c r="T850" s="11" t="str">
        <x:f>IF(M850="","",MIN(100,S850*100*'Config_v6'!$B$44+MIN(100,L850/'Config_v6'!$B$13*100)*'Config_v6'!$B$45+(100-'Motor_Meciuri'!BF66)*'Config_v6'!$B$46+'Motor_Meciuri'!BH66*100*'Config_v6'!$B$47))</x:f>
      </x:c>
      <x:c r="U850" s="2" t="str">
        <x:f>IF(T850="","",IF(T850&lt;=20,1,IF(T850&lt;=40,2,IF(T850&lt;=60,3,IF(T850&lt;=80,4,5)))))</x:f>
      </x:c>
      <x:c r="V850" s="2" t="str">
        <x:f>IF(M850="","",MAX(0,'Motor_Meciuri'!BF66-IF(W850="OOS PENDING",'Config_v6'!$B$35,0)-IF(L850&gt;'Config_v6'!$B$12,'Config_v6'!$B$37,IF(L850&gt;'Config_v6'!$B$11,'Config_v6'!$B$36,0))))</x:f>
      </x:c>
      <x:c r="W850" s="2" t="str">
        <x:f>IF(B850="","",IF(I850&lt;&gt;"READY","NOT RELEASED",IF(NOT(AND(J850="PASS",'Calibrare_Linii'!U10="VALID")),"INVALID",IF(NOT(AND('Calibrare_Linii'!S10="VALIDATED",AND('Calibrare_Linii'!H10=C850,ISNUMBER('Calibrare_Linii'!J10),'Calibrare_Linii'!J10&lt;='Input_Meci'!G66))),"OOS PENDING",IF(S850&lt;='Calibrare_Linii'!E10,"PASS",IF(S850&lt;='Calibrare_Linii'!F10,"PENALTY","WATCH"))))))</x:f>
      </x:c>
      <x:c r="X850" s="2" t="str">
        <x:f>IF(M850="","",IF(AND(AND(J850="PASS",'Calibrare_Linii'!U10="VALID"),'Motor_Meciuri'!K66=12,'Motor_Meciuri'!L66=12,'Motor_Meciuri'!M66="NO",'Motor_Meciuri'!BL66='Motor_Meciuri'!C66,AB850&gt;='Config_v6'!$B$50,AN850&gt;='Config_v6'!$B$51,T850&lt;='Config_v6'!$B$52,L850&lt;='Config_v6'!$B$53,ISNUMBER('Calibrare_Linii'!E10),S850&lt;='Calibrare_Linii'!E10,SUM(AK850:AM850)&gt;0),"CANDIDATE","NO"))</x:f>
      </x:c>
      <x:c r="Y850" s="2" t="str">
        <x:f>IF(B850="","",IF(I850&lt;&gt;"READY","NOT RELEASED",IF(AND(X850="CANDIDATE",V850&gt;='Config_v6'!$B$51,W850="PASS",'Calibrare_Linii'!T10="VALIDATED",AND('Calibrare_Linii'!H10=C850,ISNUMBER('Calibrare_Linii'!J10),'Calibrare_Linii'!J10&lt;='Input_Meci'!G66)),"PASS",IF(X850="CANDIDATE","OOS PENDING","FAIL"))))</x:f>
      </x:c>
      <x:c r="Z850" s="2" t="str">
        <x:f>IF(B850="","",IF(I850&lt;&gt;"READY","",IF(OR(NOT(AND(J850="PASS",'Calibrare_Linii'!U10="VALID")),L850&gt;'Config_v6'!$B$13,W850="WATCH"),5,IF(Y850="PASS",1,MIN(5,MAX('Config_v6'!$B$42,U850)+IF(W850="PENALTY",1,0))))))</x:f>
      </x:c>
      <x:c r="AA850" s="2" t="str">
        <x:f>IF(B850="","",IF(I850&lt;&gt;"READY","NOT RELEASED",IF(Z850=5,"NO BET",IF(OR(AB850&lt;'Config_v6'!$B$16,V850&lt;'Config_v6'!$B$18),"WATCH",IF(Z850=1,"DEFENSIV",IF(Z850=2,"PRUDENT",IF(Z850=3,"MODERAT","RIDICAT")))))))</x:f>
      </x:c>
      <x:c r="AB850" s="10" t="str">
        <x:f>IF(N850="","",MIN(N850,1-S850))</x:f>
      </x:c>
      <x:c r="AC850" s="2" t="str">
        <x:f>IF(AD850&lt;&gt;1,"",COUNTIFS($Z$846:$Z$859,"&lt;"&amp;Z850,$AD$846:$AD$859,1)+COUNTIFS($Z$846:$Z$859,Z850,$AB$846:$AB$859,"&gt;"&amp;AB850,$AD$846:$AD$859,1)+COUNTIFS($Z$846:$Z$859,Z850,$AB$846:$AB$859,AB850,$V$846:$V$859,"&gt;"&amp;V850,$AD$846:$AD$859,1)+COUNTIFS($Z$846:Z850,Z850,$AB$846:AB850,AB850,$V$846:V850,V850,$AD$846:AD850,1))</x:f>
      </x:c>
      <x:c r="AD850" s="2" t="n">
        <x:f>IF(OR(AA850="DEFENSIV",AA850="PRUDENT",AA850="MODERAT",AA850="RIDICAT"),1,0)</x:f>
        <x:v>0</x:v>
      </x:c>
      <x:c r="AE850" s="2" t="str">
        <x:f>IF(AD850&lt;&gt;1,"NO",IF(W850="PASS","YES",IF(W850="OOS PENDING","CONDITIONAL","NO")))</x:f>
        <x:v>NO</x:v>
      </x:c>
      <x:c r="AF850" s="2" t="n">
        <x:f>IF(AND(AD850=1,AC850=1,E850="LIVE"),1,0)</x:f>
        <x:v>0</x:v>
      </x:c>
      <x:c r="AG850" s="2" t="str">
        <x:f>IF(AF850&lt;&gt;1,"",'Dashboard'!P86)</x:f>
      </x:c>
      <x:c r="AH850" s="2" t="str">
        <x:f>IF(B850="","",IF(J850&lt;&gt;"PASS",'Motor_Meciuri'!J66,IF('Calibrare_Linii'!U10&lt;&gt;"VALID","Parametri linie invalizi",IF(L850&gt;'Config_v6'!$B$13,"Dispersie peste limita",IF(W850="WATCH","Failure peste limita",IF(AB850&lt;'Config_v6'!$B$16,"P finala sub prag",IF(V850&lt;'Config_v6'!$B$18,"Confidence sub prag",IF(E850="REPLAY","Exemplu retrospectiv; exclus din Top LIVE",IF(Y850="PASS","DEFENSIV validat",IF(W850="OOS PENDING","Eligibil; calibrare linie in monitorizare","Eligibil"))))))))))</x:f>
      </x:c>
      <x:c r="AI850" s="2" t="str">
        <x:f>IF(B850="","",'Calibrare_Linii'!V10)</x:f>
      </x:c>
      <x:c r="AJ850" s="2" t="str">
        <x:f>IF(B850="","",IF(AND('Calibrare_Linii'!T10="VALIDATED",AND('Calibrare_Linii'!H10=C850,ISNUMBER('Calibrare_Linii'!J10),'Calibrare_Linii'!J10&lt;='Input_Meci'!G66)),"DEFENSIVE VALIDATED",IF(AND('Calibrare_Linii'!S10="VALIDATED",AND('Calibrare_Linii'!H10=C850,ISNUMBER('Calibrare_Linii'!J10),'Calibrare_Linii'!J10&lt;='Input_Meci'!G66)),"TAIL VALIDATED","OOS PENDING")))</x:f>
      </x:c>
      <x:c r="AK850" s="2" t="n">
        <x:f>IF(J850&lt;&gt;"PASS",0,'Motor_Meciuri'!BR66)</x:f>
        <x:v>0</x:v>
      </x:c>
      <x:c r="AL850" s="2" t="n">
        <x:f>IF(J850&lt;&gt;"PASS",0,'Motor_Meciuri'!BS66)</x:f>
        <x:v>0</x:v>
      </x:c>
      <x:c r="AM850" s="2" t="n">
        <x:f>IF(J850&lt;&gt;"PASS",0,'Motor_Meciuri'!BT66)</x:f>
        <x:v>0</x:v>
      </x:c>
      <x:c r="AN850" s="2" t="str">
        <x:f>IF(M850="","",MAX(0,'Motor_Meciuri'!BF66-IF(L850&gt;'Config_v6'!$B$12,'Config_v6'!$B$37,IF(L850&gt;'Config_v6'!$B$11,'Config_v6'!$B$36,0))))</x:f>
      </x:c>
    </x:row>
    <x:row r="851" ht="21" customHeight="1">
      <x:c r="A851" s="2" t="n">
        <x:v>61</x:v>
      </x:c>
      <x:c r="B851" s="2" t="str">
        <x:f>IF('Motor_Meciuri'!A66="","",'Motor_Meciuri'!A66)</x:f>
      </x:c>
      <x:c r="C851" s="2" t="str">
        <x:f>IF(B851="","",'Motor_Meciuri'!B66)</x:f>
      </x:c>
      <x:c r="D851" s="2" t="str">
        <x:f>IF(B851="","",'Motor_Meciuri'!D66)</x:f>
      </x:c>
      <x:c r="E851" s="2" t="str">
        <x:f>IF(B851="","",'Motor_Meciuri'!E66)</x:f>
      </x:c>
      <x:c r="F851" s="2" t="str">
        <x:v>O8,5</x:v>
      </x:c>
      <x:c r="G851" s="2" t="str">
        <x:v>OVER</x:v>
      </x:c>
      <x:c r="H851" s="2" t="n">
        <x:v>8</x:v>
      </x:c>
      <x:c r="I851" s="2" t="str">
        <x:f>IF(B851="","",'Motor_Meciuri'!H66)</x:f>
      </x:c>
      <x:c r="J851" s="2" t="str">
        <x:f>IF(B851="","",'Motor_Meciuri'!I66)</x:f>
      </x:c>
      <x:c r="K851" s="11" t="str">
        <x:f>IF(J851&lt;&gt;"PASS","",'Motor_Meciuri'!BD66)</x:f>
      </x:c>
      <x:c r="L851" s="11" t="str">
        <x:f>IF(J851&lt;&gt;"PASS","",'Motor_Meciuri'!AU66)</x:f>
      </x:c>
      <x:c r="M851" s="10" t="str">
        <x:f>IF(NOT(AND(J851="PASS",'Calibrare_Linii'!U11="VALID")),"",1-'Distributie'!AF66)</x:f>
      </x:c>
      <x:c r="N851" s="10" t="str">
        <x:f>IF(M851="","",MAX(0.01,MIN(0.99,0.5+(M851-0.5)*'Motor_Meciuri'!BG66*'Calibrare_Linii'!D11)))</x:f>
      </x:c>
      <x:c r="O851" s="10" t="str">
        <x:f>IF(M851="","",1-M851)</x:f>
      </x:c>
      <x:c r="P851" s="10" t="str">
        <x:f>IF(OR(NOT(AND(J851="PASS",'Calibrare_Linii'!U11="VALID")),AK851=0),""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*('Istoric_Nativ'!$Q$6:$Q$405&lt;=H851))/AK851)</x:f>
      </x:c>
      <x:c r="Q851" s="10" t="str">
        <x:f>IF(OR(NOT(AND(J851="PASS",'Calibrare_Linii'!U11="VALID")),AL851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M66)+((('Istoric_Nativ'!$E$6:$E$405='Input_Meci'!E66)+('Istoric_Nativ'!$F$6:$F$405='Input_Meci'!E66))&gt;0)*('Istoric_Nativ'!$D$6:$D$405&gt;='Motor_Meciuri'!BN66))&gt;0)*('Istoric_Nativ'!$Q$6:$Q$405&lt;=H851))/AL851)</x:f>
      </x:c>
      <x:c r="R851" s="10" t="str">
        <x:f>IF(OR(NOT(AND(J851="PASS",'Calibrare_Linii'!U11="VALID")),AM851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O66)+((('Istoric_Nativ'!$E$6:$E$405='Input_Meci'!E66)+('Istoric_Nativ'!$F$6:$F$405='Input_Meci'!E66))&gt;0)*('Istoric_Nativ'!$D$6:$D$405&gt;='Motor_Meciuri'!BP66))&gt;0)*('Istoric_Nativ'!$Q$6:$Q$405&lt;=H851))/AM851)</x:f>
      </x:c>
      <x:c r="S851" s="10" t="str">
        <x:f>IF(M851="","",MAX(O851,P851,Q851,R851))</x:f>
      </x:c>
      <x:c r="T851" s="11" t="str">
        <x:f>IF(M851="","",MIN(100,S851*100*'Config_v6'!$B$44+MIN(100,L851/'Config_v6'!$B$13*100)*'Config_v6'!$B$45+(100-'Motor_Meciuri'!BF66)*'Config_v6'!$B$46+'Motor_Meciuri'!BH66*100*'Config_v6'!$B$47))</x:f>
      </x:c>
      <x:c r="U851" s="2" t="str">
        <x:f>IF(T851="","",IF(T851&lt;=20,1,IF(T851&lt;=40,2,IF(T851&lt;=60,3,IF(T851&lt;=80,4,5)))))</x:f>
      </x:c>
      <x:c r="V851" s="2" t="str">
        <x:f>IF(M851="","",MAX(0,'Motor_Meciuri'!BF66-IF(W851="OOS PENDING",'Config_v6'!$B$35,0)-IF(L851&gt;'Config_v6'!$B$12,'Config_v6'!$B$37,IF(L851&gt;'Config_v6'!$B$11,'Config_v6'!$B$36,0))))</x:f>
      </x:c>
      <x:c r="W851" s="2" t="str">
        <x:f>IF(B851="","",IF(I851&lt;&gt;"READY","NOT RELEASED",IF(NOT(AND(J851="PASS",'Calibrare_Linii'!U11="VALID")),"INVALID",IF(NOT(AND('Calibrare_Linii'!S11="VALIDATED",AND('Calibrare_Linii'!H11=C851,ISNUMBER('Calibrare_Linii'!J11),'Calibrare_Linii'!J11&lt;='Input_Meci'!G66))),"OOS PENDING",IF(S851&lt;='Calibrare_Linii'!E11,"PASS",IF(S851&lt;='Calibrare_Linii'!F11,"PENALTY","WATCH"))))))</x:f>
      </x:c>
      <x:c r="X851" s="2" t="str">
        <x:f>IF(M851="","",IF(AND(AND(J851="PASS",'Calibrare_Linii'!U11="VALID"),'Motor_Meciuri'!K66=12,'Motor_Meciuri'!L66=12,'Motor_Meciuri'!M66="NO",'Motor_Meciuri'!BL66='Motor_Meciuri'!C66,AB851&gt;='Config_v6'!$B$50,AN851&gt;='Config_v6'!$B$51,T851&lt;='Config_v6'!$B$52,L851&lt;='Config_v6'!$B$53,ISNUMBER('Calibrare_Linii'!E11),S851&lt;='Calibrare_Linii'!E11,SUM(AK851:AM851)&gt;0),"CANDIDATE","NO"))</x:f>
      </x:c>
      <x:c r="Y851" s="2" t="str">
        <x:f>IF(B851="","",IF(I851&lt;&gt;"READY","NOT RELEASED",IF(AND(X851="CANDIDATE",V851&gt;='Config_v6'!$B$51,W851="PASS",'Calibrare_Linii'!T11="VALIDATED",AND('Calibrare_Linii'!H11=C851,ISNUMBER('Calibrare_Linii'!J11),'Calibrare_Linii'!J11&lt;='Input_Meci'!G66)),"PASS",IF(X851="CANDIDATE","OOS PENDING","FAIL"))))</x:f>
      </x:c>
      <x:c r="Z851" s="2" t="str">
        <x:f>IF(B851="","",IF(I851&lt;&gt;"READY","",IF(OR(NOT(AND(J851="PASS",'Calibrare_Linii'!U11="VALID")),L851&gt;'Config_v6'!$B$13,W851="WATCH"),5,IF(Y851="PASS",1,MIN(5,MAX('Config_v6'!$B$42,U851)+IF(W851="PENALTY",1,0))))))</x:f>
      </x:c>
      <x:c r="AA851" s="2" t="str">
        <x:f>IF(B851="","",IF(I851&lt;&gt;"READY","NOT RELEASED",IF(Z851=5,"NO BET",IF(OR(AB851&lt;'Config_v6'!$B$16,V851&lt;'Config_v6'!$B$18),"WATCH",IF(Z851=1,"DEFENSIV",IF(Z851=2,"PRUDENT",IF(Z851=3,"MODERAT","RIDICAT")))))))</x:f>
      </x:c>
      <x:c r="AB851" s="10" t="str">
        <x:f>IF(N851="","",MIN(N851,1-S851))</x:f>
      </x:c>
      <x:c r="AC851" s="2" t="str">
        <x:f>IF(AD851&lt;&gt;1,"",COUNTIFS($Z$846:$Z$859,"&lt;"&amp;Z851,$AD$846:$AD$859,1)+COUNTIFS($Z$846:$Z$859,Z851,$AB$846:$AB$859,"&gt;"&amp;AB851,$AD$846:$AD$859,1)+COUNTIFS($Z$846:$Z$859,Z851,$AB$846:$AB$859,AB851,$V$846:$V$859,"&gt;"&amp;V851,$AD$846:$AD$859,1)+COUNTIFS($Z$846:Z851,Z851,$AB$846:AB851,AB851,$V$846:V851,V851,$AD$846:AD851,1))</x:f>
      </x:c>
      <x:c r="AD851" s="2" t="n">
        <x:f>IF(OR(AA851="DEFENSIV",AA851="PRUDENT",AA851="MODERAT",AA851="RIDICAT"),1,0)</x:f>
        <x:v>0</x:v>
      </x:c>
      <x:c r="AE851" s="2" t="str">
        <x:f>IF(AD851&lt;&gt;1,"NO",IF(W851="PASS","YES",IF(W851="OOS PENDING","CONDITIONAL","NO")))</x:f>
        <x:v>NO</x:v>
      </x:c>
      <x:c r="AF851" s="2" t="n">
        <x:f>IF(AND(AD851=1,AC851=1,E851="LIVE"),1,0)</x:f>
        <x:v>0</x:v>
      </x:c>
      <x:c r="AG851" s="2" t="str">
        <x:f>IF(AF851&lt;&gt;1,"",'Dashboard'!P86)</x:f>
      </x:c>
      <x:c r="AH851" s="2" t="str">
        <x:f>IF(B851="","",IF(J851&lt;&gt;"PASS",'Motor_Meciuri'!J66,IF('Calibrare_Linii'!U11&lt;&gt;"VALID","Parametri linie invalizi",IF(L851&gt;'Config_v6'!$B$13,"Dispersie peste limita",IF(W851="WATCH","Failure peste limita",IF(AB851&lt;'Config_v6'!$B$16,"P finala sub prag",IF(V851&lt;'Config_v6'!$B$18,"Confidence sub prag",IF(E851="REPLAY","Exemplu retrospectiv; exclus din Top LIVE",IF(Y851="PASS","DEFENSIV validat",IF(W851="OOS PENDING","Eligibil; calibrare linie in monitorizare","Eligibil"))))))))))</x:f>
      </x:c>
      <x:c r="AI851" s="2" t="str">
        <x:f>IF(B851="","",'Calibrare_Linii'!V11)</x:f>
      </x:c>
      <x:c r="AJ851" s="2" t="str">
        <x:f>IF(B851="","",IF(AND('Calibrare_Linii'!T11="VALIDATED",AND('Calibrare_Linii'!H11=C851,ISNUMBER('Calibrare_Linii'!J11),'Calibrare_Linii'!J11&lt;='Input_Meci'!G66)),"DEFENSIVE VALIDATED",IF(AND('Calibrare_Linii'!S11="VALIDATED",AND('Calibrare_Linii'!H11=C851,ISNUMBER('Calibrare_Linii'!J11),'Calibrare_Linii'!J11&lt;='Input_Meci'!G66)),"TAIL VALIDATED","OOS PENDING")))</x:f>
      </x:c>
      <x:c r="AK851" s="2" t="n">
        <x:f>IF(J851&lt;&gt;"PASS",0,'Motor_Meciuri'!BR66)</x:f>
        <x:v>0</x:v>
      </x:c>
      <x:c r="AL851" s="2" t="n">
        <x:f>IF(J851&lt;&gt;"PASS",0,'Motor_Meciuri'!BS66)</x:f>
        <x:v>0</x:v>
      </x:c>
      <x:c r="AM851" s="2" t="n">
        <x:f>IF(J851&lt;&gt;"PASS",0,'Motor_Meciuri'!BT66)</x:f>
        <x:v>0</x:v>
      </x:c>
      <x:c r="AN851" s="2" t="str">
        <x:f>IF(M851="","",MAX(0,'Motor_Meciuri'!BF66-IF(L851&gt;'Config_v6'!$B$12,'Config_v6'!$B$37,IF(L851&gt;'Config_v6'!$B$11,'Config_v6'!$B$36,0))))</x:f>
      </x:c>
    </x:row>
    <x:row r="852" ht="21" customHeight="1">
      <x:c r="A852" s="2" t="n">
        <x:v>61</x:v>
      </x:c>
      <x:c r="B852" s="2" t="str">
        <x:f>IF('Motor_Meciuri'!A66="","",'Motor_Meciuri'!A66)</x:f>
      </x:c>
      <x:c r="C852" s="2" t="str">
        <x:f>IF(B852="","",'Motor_Meciuri'!B66)</x:f>
      </x:c>
      <x:c r="D852" s="2" t="str">
        <x:f>IF(B852="","",'Motor_Meciuri'!D66)</x:f>
      </x:c>
      <x:c r="E852" s="2" t="str">
        <x:f>IF(B852="","",'Motor_Meciuri'!E66)</x:f>
      </x:c>
      <x:c r="F852" s="2" t="str">
        <x:v>U10,5</x:v>
      </x:c>
      <x:c r="G852" s="2" t="str">
        <x:v>UNDER</x:v>
      </x:c>
      <x:c r="H852" s="2" t="n">
        <x:v>10</x:v>
      </x:c>
      <x:c r="I852" s="2" t="str">
        <x:f>IF(B852="","",'Motor_Meciuri'!H66)</x:f>
      </x:c>
      <x:c r="J852" s="2" t="str">
        <x:f>IF(B852="","",'Motor_Meciuri'!I66)</x:f>
      </x:c>
      <x:c r="K852" s="11" t="str">
        <x:f>IF(J852&lt;&gt;"PASS","",'Motor_Meciuri'!BD66)</x:f>
      </x:c>
      <x:c r="L852" s="11" t="str">
        <x:f>IF(J852&lt;&gt;"PASS","",'Motor_Meciuri'!AU66)</x:f>
      </x:c>
      <x:c r="M852" s="10" t="str">
        <x:f>IF(NOT(AND(J852="PASS",'Calibrare_Linii'!U12="VALID")),"",'Distributie'!AH66)</x:f>
      </x:c>
      <x:c r="N852" s="10" t="str">
        <x:f>IF(M852="","",MAX(0.01,MIN(0.99,0.5+(M852-0.5)*'Motor_Meciuri'!BG66*'Calibrare_Linii'!D12)))</x:f>
      </x:c>
      <x:c r="O852" s="10" t="str">
        <x:f>IF(M852="","",1-M852)</x:f>
      </x:c>
      <x:c r="P852" s="10" t="str">
        <x:f>IF(OR(NOT(AND(J852="PASS",'Calibrare_Linii'!U12="VALID")),AK852=0),""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*('Istoric_Nativ'!$Q$6:$Q$405&gt;H852))/AK852)</x:f>
      </x:c>
      <x:c r="Q852" s="10" t="str">
        <x:f>IF(OR(NOT(AND(J852="PASS",'Calibrare_Linii'!U12="VALID")),AL852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M66)+((('Istoric_Nativ'!$E$6:$E$405='Input_Meci'!E66)+('Istoric_Nativ'!$F$6:$F$405='Input_Meci'!E66))&gt;0)*('Istoric_Nativ'!$D$6:$D$405&gt;='Motor_Meciuri'!BN66))&gt;0)*('Istoric_Nativ'!$Q$6:$Q$405&gt;H852))/AL852)</x:f>
      </x:c>
      <x:c r="R852" s="10" t="str">
        <x:f>IF(OR(NOT(AND(J852="PASS",'Calibrare_Linii'!U12="VALID")),AM852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O66)+((('Istoric_Nativ'!$E$6:$E$405='Input_Meci'!E66)+('Istoric_Nativ'!$F$6:$F$405='Input_Meci'!E66))&gt;0)*('Istoric_Nativ'!$D$6:$D$405&gt;='Motor_Meciuri'!BP66))&gt;0)*('Istoric_Nativ'!$Q$6:$Q$405&gt;H852))/AM852)</x:f>
      </x:c>
      <x:c r="S852" s="10" t="str">
        <x:f>IF(M852="","",MAX(O852,P852,Q852,R852))</x:f>
      </x:c>
      <x:c r="T852" s="11" t="str">
        <x:f>IF(M852="","",MIN(100,S852*100*'Config_v6'!$B$44+MIN(100,L852/'Config_v6'!$B$13*100)*'Config_v6'!$B$45+(100-'Motor_Meciuri'!BF66)*'Config_v6'!$B$46+'Motor_Meciuri'!BH66*100*'Config_v6'!$B$47))</x:f>
      </x:c>
      <x:c r="U852" s="2" t="str">
        <x:f>IF(T852="","",IF(T852&lt;=20,1,IF(T852&lt;=40,2,IF(T852&lt;=60,3,IF(T852&lt;=80,4,5)))))</x:f>
      </x:c>
      <x:c r="V852" s="2" t="str">
        <x:f>IF(M852="","",MAX(0,'Motor_Meciuri'!BF66-IF(W852="OOS PENDING",'Config_v6'!$B$35,0)-IF(L852&gt;'Config_v6'!$B$12,'Config_v6'!$B$37,IF(L852&gt;'Config_v6'!$B$11,'Config_v6'!$B$36,0))))</x:f>
      </x:c>
      <x:c r="W852" s="2" t="str">
        <x:f>IF(B852="","",IF(I852&lt;&gt;"READY","NOT RELEASED",IF(NOT(AND(J852="PASS",'Calibrare_Linii'!U12="VALID")),"INVALID",IF(NOT(AND('Calibrare_Linii'!S12="VALIDATED",AND('Calibrare_Linii'!H12=C852,ISNUMBER('Calibrare_Linii'!J12),'Calibrare_Linii'!J12&lt;='Input_Meci'!G66))),"OOS PENDING",IF(S852&lt;='Calibrare_Linii'!E12,"PASS",IF(S852&lt;='Calibrare_Linii'!F12,"PENALTY","WATCH"))))))</x:f>
      </x:c>
      <x:c r="X852" s="2" t="str">
        <x:f>IF(M852="","",IF(AND(AND(J852="PASS",'Calibrare_Linii'!U12="VALID"),'Motor_Meciuri'!K66=12,'Motor_Meciuri'!L66=12,'Motor_Meciuri'!M66="NO",'Motor_Meciuri'!BL66='Motor_Meciuri'!C66,AB852&gt;='Config_v6'!$B$50,AN852&gt;='Config_v6'!$B$51,T852&lt;='Config_v6'!$B$52,L852&lt;='Config_v6'!$B$53,ISNUMBER('Calibrare_Linii'!E12),S852&lt;='Calibrare_Linii'!E12,SUM(AK852:AM852)&gt;0),"CANDIDATE","NO"))</x:f>
      </x:c>
      <x:c r="Y852" s="2" t="str">
        <x:f>IF(B852="","",IF(I852&lt;&gt;"READY","NOT RELEASED",IF(AND(X852="CANDIDATE",V852&gt;='Config_v6'!$B$51,W852="PASS",'Calibrare_Linii'!T12="VALIDATED",AND('Calibrare_Linii'!H12=C852,ISNUMBER('Calibrare_Linii'!J12),'Calibrare_Linii'!J12&lt;='Input_Meci'!G66)),"PASS",IF(X852="CANDIDATE","OOS PENDING","FAIL"))))</x:f>
      </x:c>
      <x:c r="Z852" s="2" t="str">
        <x:f>IF(B852="","",IF(I852&lt;&gt;"READY","",IF(OR(NOT(AND(J852="PASS",'Calibrare_Linii'!U12="VALID")),L852&gt;'Config_v6'!$B$13,W852="WATCH"),5,IF(Y852="PASS",1,MIN(5,MAX('Config_v6'!$B$42,U852)+IF(W852="PENALTY",1,0))))))</x:f>
      </x:c>
      <x:c r="AA852" s="2" t="str">
        <x:f>IF(B852="","",IF(I852&lt;&gt;"READY","NOT RELEASED",IF(Z852=5,"NO BET",IF(OR(AB852&lt;'Config_v6'!$B$16,V852&lt;'Config_v6'!$B$18),"WATCH",IF(Z852=1,"DEFENSIV",IF(Z852=2,"PRUDENT",IF(Z852=3,"MODERAT","RIDICAT")))))))</x:f>
      </x:c>
      <x:c r="AB852" s="10" t="str">
        <x:f>IF(N852="","",MIN(N852,1-S852))</x:f>
      </x:c>
      <x:c r="AC852" s="2" t="str">
        <x:f>IF(AD852&lt;&gt;1,"",COUNTIFS($Z$846:$Z$859,"&lt;"&amp;Z852,$AD$846:$AD$859,1)+COUNTIFS($Z$846:$Z$859,Z852,$AB$846:$AB$859,"&gt;"&amp;AB852,$AD$846:$AD$859,1)+COUNTIFS($Z$846:$Z$859,Z852,$AB$846:$AB$859,AB852,$V$846:$V$859,"&gt;"&amp;V852,$AD$846:$AD$859,1)+COUNTIFS($Z$846:Z852,Z852,$AB$846:AB852,AB852,$V$846:V852,V852,$AD$846:AD852,1))</x:f>
      </x:c>
      <x:c r="AD852" s="2" t="n">
        <x:f>IF(OR(AA852="DEFENSIV",AA852="PRUDENT",AA852="MODERAT",AA852="RIDICAT"),1,0)</x:f>
        <x:v>0</x:v>
      </x:c>
      <x:c r="AE852" s="2" t="str">
        <x:f>IF(AD852&lt;&gt;1,"NO",IF(W852="PASS","YES",IF(W852="OOS PENDING","CONDITIONAL","NO")))</x:f>
        <x:v>NO</x:v>
      </x:c>
      <x:c r="AF852" s="2" t="n">
        <x:f>IF(AND(AD852=1,AC852=1,E852="LIVE"),1,0)</x:f>
        <x:v>0</x:v>
      </x:c>
      <x:c r="AG852" s="2" t="str">
        <x:f>IF(AF852&lt;&gt;1,"",'Dashboard'!P86)</x:f>
      </x:c>
      <x:c r="AH852" s="2" t="str">
        <x:f>IF(B852="","",IF(J852&lt;&gt;"PASS",'Motor_Meciuri'!J66,IF('Calibrare_Linii'!U12&lt;&gt;"VALID","Parametri linie invalizi",IF(L852&gt;'Config_v6'!$B$13,"Dispersie peste limita",IF(W852="WATCH","Failure peste limita",IF(AB852&lt;'Config_v6'!$B$16,"P finala sub prag",IF(V852&lt;'Config_v6'!$B$18,"Confidence sub prag",IF(E852="REPLAY","Exemplu retrospectiv; exclus din Top LIVE",IF(Y852="PASS","DEFENSIV validat",IF(W852="OOS PENDING","Eligibil; calibrare linie in monitorizare","Eligibil"))))))))))</x:f>
      </x:c>
      <x:c r="AI852" s="2" t="str">
        <x:f>IF(B852="","",'Calibrare_Linii'!V12)</x:f>
      </x:c>
      <x:c r="AJ852" s="2" t="str">
        <x:f>IF(B852="","",IF(AND('Calibrare_Linii'!T12="VALIDATED",AND('Calibrare_Linii'!H12=C852,ISNUMBER('Calibrare_Linii'!J12),'Calibrare_Linii'!J12&lt;='Input_Meci'!G66)),"DEFENSIVE VALIDATED",IF(AND('Calibrare_Linii'!S12="VALIDATED",AND('Calibrare_Linii'!H12=C852,ISNUMBER('Calibrare_Linii'!J12),'Calibrare_Linii'!J12&lt;='Input_Meci'!G66)),"TAIL VALIDATED","OOS PENDING")))</x:f>
      </x:c>
      <x:c r="AK852" s="2" t="n">
        <x:f>IF(J852&lt;&gt;"PASS",0,'Motor_Meciuri'!BR66)</x:f>
        <x:v>0</x:v>
      </x:c>
      <x:c r="AL852" s="2" t="n">
        <x:f>IF(J852&lt;&gt;"PASS",0,'Motor_Meciuri'!BS66)</x:f>
        <x:v>0</x:v>
      </x:c>
      <x:c r="AM852" s="2" t="n">
        <x:f>IF(J852&lt;&gt;"PASS",0,'Motor_Meciuri'!BT66)</x:f>
        <x:v>0</x:v>
      </x:c>
      <x:c r="AN852" s="2" t="str">
        <x:f>IF(M852="","",MAX(0,'Motor_Meciuri'!BF66-IF(L852&gt;'Config_v6'!$B$12,'Config_v6'!$B$37,IF(L852&gt;'Config_v6'!$B$11,'Config_v6'!$B$36,0))))</x:f>
      </x:c>
    </x:row>
    <x:row r="853" ht="21" customHeight="1">
      <x:c r="A853" s="2" t="n">
        <x:v>61</x:v>
      </x:c>
      <x:c r="B853" s="2" t="str">
        <x:f>IF('Motor_Meciuri'!A66="","",'Motor_Meciuri'!A66)</x:f>
      </x:c>
      <x:c r="C853" s="2" t="str">
        <x:f>IF(B853="","",'Motor_Meciuri'!B66)</x:f>
      </x:c>
      <x:c r="D853" s="2" t="str">
        <x:f>IF(B853="","",'Motor_Meciuri'!D66)</x:f>
      </x:c>
      <x:c r="E853" s="2" t="str">
        <x:f>IF(B853="","",'Motor_Meciuri'!E66)</x:f>
      </x:c>
      <x:c r="F853" s="2" t="str">
        <x:v>U11,5</x:v>
      </x:c>
      <x:c r="G853" s="2" t="str">
        <x:v>UNDER</x:v>
      </x:c>
      <x:c r="H853" s="2" t="n">
        <x:v>11</x:v>
      </x:c>
      <x:c r="I853" s="2" t="str">
        <x:f>IF(B853="","",'Motor_Meciuri'!H66)</x:f>
      </x:c>
      <x:c r="J853" s="2" t="str">
        <x:f>IF(B853="","",'Motor_Meciuri'!I66)</x:f>
      </x:c>
      <x:c r="K853" s="11" t="str">
        <x:f>IF(J853&lt;&gt;"PASS","",'Motor_Meciuri'!BD66)</x:f>
      </x:c>
      <x:c r="L853" s="11" t="str">
        <x:f>IF(J853&lt;&gt;"PASS","",'Motor_Meciuri'!AU66)</x:f>
      </x:c>
      <x:c r="M853" s="10" t="str">
        <x:f>IF(NOT(AND(J853="PASS",'Calibrare_Linii'!U13="VALID")),"",'Distributie'!AI66)</x:f>
      </x:c>
      <x:c r="N853" s="10" t="str">
        <x:f>IF(M853="","",MAX(0.01,MIN(0.99,0.5+(M853-0.5)*'Motor_Meciuri'!BG66*'Calibrare_Linii'!D13)))</x:f>
      </x:c>
      <x:c r="O853" s="10" t="str">
        <x:f>IF(M853="","",1-M853)</x:f>
      </x:c>
      <x:c r="P853" s="10" t="str">
        <x:f>IF(OR(NOT(AND(J853="PASS",'Calibrare_Linii'!U13="VALID")),AK853=0),""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*('Istoric_Nativ'!$Q$6:$Q$405&gt;H853))/AK853)</x:f>
      </x:c>
      <x:c r="Q853" s="10" t="str">
        <x:f>IF(OR(NOT(AND(J853="PASS",'Calibrare_Linii'!U13="VALID")),AL853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M66)+((('Istoric_Nativ'!$E$6:$E$405='Input_Meci'!E66)+('Istoric_Nativ'!$F$6:$F$405='Input_Meci'!E66))&gt;0)*('Istoric_Nativ'!$D$6:$D$405&gt;='Motor_Meciuri'!BN66))&gt;0)*('Istoric_Nativ'!$Q$6:$Q$405&gt;H853))/AL853)</x:f>
      </x:c>
      <x:c r="R853" s="10" t="str">
        <x:f>IF(OR(NOT(AND(J853="PASS",'Calibrare_Linii'!U13="VALID")),AM853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O66)+((('Istoric_Nativ'!$E$6:$E$405='Input_Meci'!E66)+('Istoric_Nativ'!$F$6:$F$405='Input_Meci'!E66))&gt;0)*('Istoric_Nativ'!$D$6:$D$405&gt;='Motor_Meciuri'!BP66))&gt;0)*('Istoric_Nativ'!$Q$6:$Q$405&gt;H853))/AM853)</x:f>
      </x:c>
      <x:c r="S853" s="10" t="str">
        <x:f>IF(M853="","",MAX(O853,P853,Q853,R853))</x:f>
      </x:c>
      <x:c r="T853" s="11" t="str">
        <x:f>IF(M853="","",MIN(100,S853*100*'Config_v6'!$B$44+MIN(100,L853/'Config_v6'!$B$13*100)*'Config_v6'!$B$45+(100-'Motor_Meciuri'!BF66)*'Config_v6'!$B$46+'Motor_Meciuri'!BH66*100*'Config_v6'!$B$47))</x:f>
      </x:c>
      <x:c r="U853" s="2" t="str">
        <x:f>IF(T853="","",IF(T853&lt;=20,1,IF(T853&lt;=40,2,IF(T853&lt;=60,3,IF(T853&lt;=80,4,5)))))</x:f>
      </x:c>
      <x:c r="V853" s="2" t="str">
        <x:f>IF(M853="","",MAX(0,'Motor_Meciuri'!BF66-IF(W853="OOS PENDING",'Config_v6'!$B$35,0)-IF(L853&gt;'Config_v6'!$B$12,'Config_v6'!$B$37,IF(L853&gt;'Config_v6'!$B$11,'Config_v6'!$B$36,0))))</x:f>
      </x:c>
      <x:c r="W853" s="2" t="str">
        <x:f>IF(B853="","",IF(I853&lt;&gt;"READY","NOT RELEASED",IF(NOT(AND(J853="PASS",'Calibrare_Linii'!U13="VALID")),"INVALID",IF(NOT(AND('Calibrare_Linii'!S13="VALIDATED",AND('Calibrare_Linii'!H13=C853,ISNUMBER('Calibrare_Linii'!J13),'Calibrare_Linii'!J13&lt;='Input_Meci'!G66))),"OOS PENDING",IF(S853&lt;='Calibrare_Linii'!E13,"PASS",IF(S853&lt;='Calibrare_Linii'!F13,"PENALTY","WATCH"))))))</x:f>
      </x:c>
      <x:c r="X853" s="2" t="str">
        <x:f>IF(M853="","",IF(AND(AND(J853="PASS",'Calibrare_Linii'!U13="VALID"),'Motor_Meciuri'!K66=12,'Motor_Meciuri'!L66=12,'Motor_Meciuri'!M66="NO",'Motor_Meciuri'!BL66='Motor_Meciuri'!C66,AB853&gt;='Config_v6'!$B$50,AN853&gt;='Config_v6'!$B$51,T853&lt;='Config_v6'!$B$52,L853&lt;='Config_v6'!$B$53,ISNUMBER('Calibrare_Linii'!E13),S853&lt;='Calibrare_Linii'!E13,SUM(AK853:AM853)&gt;0),"CANDIDATE","NO"))</x:f>
      </x:c>
      <x:c r="Y853" s="2" t="str">
        <x:f>IF(B853="","",IF(I853&lt;&gt;"READY","NOT RELEASED",IF(AND(X853="CANDIDATE",V853&gt;='Config_v6'!$B$51,W853="PASS",'Calibrare_Linii'!T13="VALIDATED",AND('Calibrare_Linii'!H13=C853,ISNUMBER('Calibrare_Linii'!J13),'Calibrare_Linii'!J13&lt;='Input_Meci'!G66)),"PASS",IF(X853="CANDIDATE","OOS PENDING","FAIL"))))</x:f>
      </x:c>
      <x:c r="Z853" s="2" t="str">
        <x:f>IF(B853="","",IF(I853&lt;&gt;"READY","",IF(OR(NOT(AND(J853="PASS",'Calibrare_Linii'!U13="VALID")),L853&gt;'Config_v6'!$B$13,W853="WATCH"),5,IF(Y853="PASS",1,MIN(5,MAX('Config_v6'!$B$42,U853)+IF(W853="PENALTY",1,0))))))</x:f>
      </x:c>
      <x:c r="AA853" s="2" t="str">
        <x:f>IF(B853="","",IF(I853&lt;&gt;"READY","NOT RELEASED",IF(Z853=5,"NO BET",IF(OR(AB853&lt;'Config_v6'!$B$16,V853&lt;'Config_v6'!$B$18),"WATCH",IF(Z853=1,"DEFENSIV",IF(Z853=2,"PRUDENT",IF(Z853=3,"MODERAT","RIDICAT")))))))</x:f>
      </x:c>
      <x:c r="AB853" s="10" t="str">
        <x:f>IF(N853="","",MIN(N853,1-S853))</x:f>
      </x:c>
      <x:c r="AC853" s="2" t="str">
        <x:f>IF(AD853&lt;&gt;1,"",COUNTIFS($Z$846:$Z$859,"&lt;"&amp;Z853,$AD$846:$AD$859,1)+COUNTIFS($Z$846:$Z$859,Z853,$AB$846:$AB$859,"&gt;"&amp;AB853,$AD$846:$AD$859,1)+COUNTIFS($Z$846:$Z$859,Z853,$AB$846:$AB$859,AB853,$V$846:$V$859,"&gt;"&amp;V853,$AD$846:$AD$859,1)+COUNTIFS($Z$846:Z853,Z853,$AB$846:AB853,AB853,$V$846:V853,V853,$AD$846:AD853,1))</x:f>
      </x:c>
      <x:c r="AD853" s="2" t="n">
        <x:f>IF(OR(AA853="DEFENSIV",AA853="PRUDENT",AA853="MODERAT",AA853="RIDICAT"),1,0)</x:f>
        <x:v>0</x:v>
      </x:c>
      <x:c r="AE853" s="2" t="str">
        <x:f>IF(AD853&lt;&gt;1,"NO",IF(W853="PASS","YES",IF(W853="OOS PENDING","CONDITIONAL","NO")))</x:f>
        <x:v>NO</x:v>
      </x:c>
      <x:c r="AF853" s="2" t="n">
        <x:f>IF(AND(AD853=1,AC853=1,E853="LIVE"),1,0)</x:f>
        <x:v>0</x:v>
      </x:c>
      <x:c r="AG853" s="2" t="str">
        <x:f>IF(AF853&lt;&gt;1,"",'Dashboard'!P86)</x:f>
      </x:c>
      <x:c r="AH853" s="2" t="str">
        <x:f>IF(B853="","",IF(J853&lt;&gt;"PASS",'Motor_Meciuri'!J66,IF('Calibrare_Linii'!U13&lt;&gt;"VALID","Parametri linie invalizi",IF(L853&gt;'Config_v6'!$B$13,"Dispersie peste limita",IF(W853="WATCH","Failure peste limita",IF(AB853&lt;'Config_v6'!$B$16,"P finala sub prag",IF(V853&lt;'Config_v6'!$B$18,"Confidence sub prag",IF(E853="REPLAY","Exemplu retrospectiv; exclus din Top LIVE",IF(Y853="PASS","DEFENSIV validat",IF(W853="OOS PENDING","Eligibil; calibrare linie in monitorizare","Eligibil"))))))))))</x:f>
      </x:c>
      <x:c r="AI853" s="2" t="str">
        <x:f>IF(B853="","",'Calibrare_Linii'!V13)</x:f>
      </x:c>
      <x:c r="AJ853" s="2" t="str">
        <x:f>IF(B853="","",IF(AND('Calibrare_Linii'!T13="VALIDATED",AND('Calibrare_Linii'!H13=C853,ISNUMBER('Calibrare_Linii'!J13),'Calibrare_Linii'!J13&lt;='Input_Meci'!G66)),"DEFENSIVE VALIDATED",IF(AND('Calibrare_Linii'!S13="VALIDATED",AND('Calibrare_Linii'!H13=C853,ISNUMBER('Calibrare_Linii'!J13),'Calibrare_Linii'!J13&lt;='Input_Meci'!G66)),"TAIL VALIDATED","OOS PENDING")))</x:f>
      </x:c>
      <x:c r="AK853" s="2" t="n">
        <x:f>IF(J853&lt;&gt;"PASS",0,'Motor_Meciuri'!BR66)</x:f>
        <x:v>0</x:v>
      </x:c>
      <x:c r="AL853" s="2" t="n">
        <x:f>IF(J853&lt;&gt;"PASS",0,'Motor_Meciuri'!BS66)</x:f>
        <x:v>0</x:v>
      </x:c>
      <x:c r="AM853" s="2" t="n">
        <x:f>IF(J853&lt;&gt;"PASS",0,'Motor_Meciuri'!BT66)</x:f>
        <x:v>0</x:v>
      </x:c>
      <x:c r="AN853" s="2" t="str">
        <x:f>IF(M853="","",MAX(0,'Motor_Meciuri'!BF66-IF(L853&gt;'Config_v6'!$B$12,'Config_v6'!$B$37,IF(L853&gt;'Config_v6'!$B$11,'Config_v6'!$B$36,0))))</x:f>
      </x:c>
    </x:row>
    <x:row r="854" ht="21" customHeight="1">
      <x:c r="A854" s="2" t="n">
        <x:v>61</x:v>
      </x:c>
      <x:c r="B854" s="2" t="str">
        <x:f>IF('Motor_Meciuri'!A66="","",'Motor_Meciuri'!A66)</x:f>
      </x:c>
      <x:c r="C854" s="2" t="str">
        <x:f>IF(B854="","",'Motor_Meciuri'!B66)</x:f>
      </x:c>
      <x:c r="D854" s="2" t="str">
        <x:f>IF(B854="","",'Motor_Meciuri'!D66)</x:f>
      </x:c>
      <x:c r="E854" s="2" t="str">
        <x:f>IF(B854="","",'Motor_Meciuri'!E66)</x:f>
      </x:c>
      <x:c r="F854" s="2" t="str">
        <x:v>U12,5</x:v>
      </x:c>
      <x:c r="G854" s="2" t="str">
        <x:v>UNDER</x:v>
      </x:c>
      <x:c r="H854" s="2" t="n">
        <x:v>12</x:v>
      </x:c>
      <x:c r="I854" s="2" t="str">
        <x:f>IF(B854="","",'Motor_Meciuri'!H66)</x:f>
      </x:c>
      <x:c r="J854" s="2" t="str">
        <x:f>IF(B854="","",'Motor_Meciuri'!I66)</x:f>
      </x:c>
      <x:c r="K854" s="11" t="str">
        <x:f>IF(J854&lt;&gt;"PASS","",'Motor_Meciuri'!BD66)</x:f>
      </x:c>
      <x:c r="L854" s="11" t="str">
        <x:f>IF(J854&lt;&gt;"PASS","",'Motor_Meciuri'!AU66)</x:f>
      </x:c>
      <x:c r="M854" s="10" t="str">
        <x:f>IF(NOT(AND(J854="PASS",'Calibrare_Linii'!U14="VALID")),"",'Distributie'!AJ66)</x:f>
      </x:c>
      <x:c r="N854" s="10" t="str">
        <x:f>IF(M854="","",MAX(0.01,MIN(0.99,0.5+(M854-0.5)*'Motor_Meciuri'!BG66*'Calibrare_Linii'!D14)))</x:f>
      </x:c>
      <x:c r="O854" s="10" t="str">
        <x:f>IF(M854="","",1-M854)</x:f>
      </x:c>
      <x:c r="P854" s="10" t="str">
        <x:f>IF(OR(NOT(AND(J854="PASS",'Calibrare_Linii'!U14="VALID")),AK854=0),""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*('Istoric_Nativ'!$Q$6:$Q$405&gt;H854))/AK854)</x:f>
      </x:c>
      <x:c r="Q854" s="10" t="str">
        <x:f>IF(OR(NOT(AND(J854="PASS",'Calibrare_Linii'!U14="VALID")),AL854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M66)+((('Istoric_Nativ'!$E$6:$E$405='Input_Meci'!E66)+('Istoric_Nativ'!$F$6:$F$405='Input_Meci'!E66))&gt;0)*('Istoric_Nativ'!$D$6:$D$405&gt;='Motor_Meciuri'!BN66))&gt;0)*('Istoric_Nativ'!$Q$6:$Q$405&gt;H854))/AL854)</x:f>
      </x:c>
      <x:c r="R854" s="10" t="str">
        <x:f>IF(OR(NOT(AND(J854="PASS",'Calibrare_Linii'!U14="VALID")),AM854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O66)+((('Istoric_Nativ'!$E$6:$E$405='Input_Meci'!E66)+('Istoric_Nativ'!$F$6:$F$405='Input_Meci'!E66))&gt;0)*('Istoric_Nativ'!$D$6:$D$405&gt;='Motor_Meciuri'!BP66))&gt;0)*('Istoric_Nativ'!$Q$6:$Q$405&gt;H854))/AM854)</x:f>
      </x:c>
      <x:c r="S854" s="10" t="str">
        <x:f>IF(M854="","",MAX(O854,P854,Q854,R854))</x:f>
      </x:c>
      <x:c r="T854" s="11" t="str">
        <x:f>IF(M854="","",MIN(100,S854*100*'Config_v6'!$B$44+MIN(100,L854/'Config_v6'!$B$13*100)*'Config_v6'!$B$45+(100-'Motor_Meciuri'!BF66)*'Config_v6'!$B$46+'Motor_Meciuri'!BH66*100*'Config_v6'!$B$47))</x:f>
      </x:c>
      <x:c r="U854" s="2" t="str">
        <x:f>IF(T854="","",IF(T854&lt;=20,1,IF(T854&lt;=40,2,IF(T854&lt;=60,3,IF(T854&lt;=80,4,5)))))</x:f>
      </x:c>
      <x:c r="V854" s="2" t="str">
        <x:f>IF(M854="","",MAX(0,'Motor_Meciuri'!BF66-IF(W854="OOS PENDING",'Config_v6'!$B$35,0)-IF(L854&gt;'Config_v6'!$B$12,'Config_v6'!$B$37,IF(L854&gt;'Config_v6'!$B$11,'Config_v6'!$B$36,0))))</x:f>
      </x:c>
      <x:c r="W854" s="2" t="str">
        <x:f>IF(B854="","",IF(I854&lt;&gt;"READY","NOT RELEASED",IF(NOT(AND(J854="PASS",'Calibrare_Linii'!U14="VALID")),"INVALID",IF(NOT(AND('Calibrare_Linii'!S14="VALIDATED",AND('Calibrare_Linii'!H14=C854,ISNUMBER('Calibrare_Linii'!J14),'Calibrare_Linii'!J14&lt;='Input_Meci'!G66))),"OOS PENDING",IF(S854&lt;='Calibrare_Linii'!E14,"PASS",IF(S854&lt;='Calibrare_Linii'!F14,"PENALTY","WATCH"))))))</x:f>
      </x:c>
      <x:c r="X854" s="2" t="str">
        <x:f>IF(M854="","",IF(AND(AND(J854="PASS",'Calibrare_Linii'!U14="VALID"),'Motor_Meciuri'!K66=12,'Motor_Meciuri'!L66=12,'Motor_Meciuri'!M66="NO",'Motor_Meciuri'!BL66='Motor_Meciuri'!C66,AB854&gt;='Config_v6'!$B$50,AN854&gt;='Config_v6'!$B$51,T854&lt;='Config_v6'!$B$52,L854&lt;='Config_v6'!$B$53,ISNUMBER('Calibrare_Linii'!E14),S854&lt;='Calibrare_Linii'!E14,SUM(AK854:AM854)&gt;0),"CANDIDATE","NO"))</x:f>
      </x:c>
      <x:c r="Y854" s="2" t="str">
        <x:f>IF(B854="","",IF(I854&lt;&gt;"READY","NOT RELEASED",IF(AND(X854="CANDIDATE",V854&gt;='Config_v6'!$B$51,W854="PASS",'Calibrare_Linii'!T14="VALIDATED",AND('Calibrare_Linii'!H14=C854,ISNUMBER('Calibrare_Linii'!J14),'Calibrare_Linii'!J14&lt;='Input_Meci'!G66)),"PASS",IF(X854="CANDIDATE","OOS PENDING","FAIL"))))</x:f>
      </x:c>
      <x:c r="Z854" s="2" t="str">
        <x:f>IF(B854="","",IF(I854&lt;&gt;"READY","",IF(OR(NOT(AND(J854="PASS",'Calibrare_Linii'!U14="VALID")),L854&gt;'Config_v6'!$B$13,W854="WATCH"),5,IF(Y854="PASS",1,MIN(5,MAX('Config_v6'!$B$42,U854)+IF(W854="PENALTY",1,0))))))</x:f>
      </x:c>
      <x:c r="AA854" s="2" t="str">
        <x:f>IF(B854="","",IF(I854&lt;&gt;"READY","NOT RELEASED",IF(Z854=5,"NO BET",IF(OR(AB854&lt;'Config_v6'!$B$16,V854&lt;'Config_v6'!$B$18),"WATCH",IF(Z854=1,"DEFENSIV",IF(Z854=2,"PRUDENT",IF(Z854=3,"MODERAT","RIDICAT")))))))</x:f>
      </x:c>
      <x:c r="AB854" s="10" t="str">
        <x:f>IF(N854="","",MIN(N854,1-S854))</x:f>
      </x:c>
      <x:c r="AC854" s="2" t="str">
        <x:f>IF(AD854&lt;&gt;1,"",COUNTIFS($Z$846:$Z$859,"&lt;"&amp;Z854,$AD$846:$AD$859,1)+COUNTIFS($Z$846:$Z$859,Z854,$AB$846:$AB$859,"&gt;"&amp;AB854,$AD$846:$AD$859,1)+COUNTIFS($Z$846:$Z$859,Z854,$AB$846:$AB$859,AB854,$V$846:$V$859,"&gt;"&amp;V854,$AD$846:$AD$859,1)+COUNTIFS($Z$846:Z854,Z854,$AB$846:AB854,AB854,$V$846:V854,V854,$AD$846:AD854,1))</x:f>
      </x:c>
      <x:c r="AD854" s="2" t="n">
        <x:f>IF(OR(AA854="DEFENSIV",AA854="PRUDENT",AA854="MODERAT",AA854="RIDICAT"),1,0)</x:f>
        <x:v>0</x:v>
      </x:c>
      <x:c r="AE854" s="2" t="str">
        <x:f>IF(AD854&lt;&gt;1,"NO",IF(W854="PASS","YES",IF(W854="OOS PENDING","CONDITIONAL","NO")))</x:f>
        <x:v>NO</x:v>
      </x:c>
      <x:c r="AF854" s="2" t="n">
        <x:f>IF(AND(AD854=1,AC854=1,E854="LIVE"),1,0)</x:f>
        <x:v>0</x:v>
      </x:c>
      <x:c r="AG854" s="2" t="str">
        <x:f>IF(AF854&lt;&gt;1,"",'Dashboard'!P86)</x:f>
      </x:c>
      <x:c r="AH854" s="2" t="str">
        <x:f>IF(B854="","",IF(J854&lt;&gt;"PASS",'Motor_Meciuri'!J66,IF('Calibrare_Linii'!U14&lt;&gt;"VALID","Parametri linie invalizi",IF(L854&gt;'Config_v6'!$B$13,"Dispersie peste limita",IF(W854="WATCH","Failure peste limita",IF(AB854&lt;'Config_v6'!$B$16,"P finala sub prag",IF(V854&lt;'Config_v6'!$B$18,"Confidence sub prag",IF(E854="REPLAY","Exemplu retrospectiv; exclus din Top LIVE",IF(Y854="PASS","DEFENSIV validat",IF(W854="OOS PENDING","Eligibil; calibrare linie in monitorizare","Eligibil"))))))))))</x:f>
      </x:c>
      <x:c r="AI854" s="2" t="str">
        <x:f>IF(B854="","",'Calibrare_Linii'!V14)</x:f>
      </x:c>
      <x:c r="AJ854" s="2" t="str">
        <x:f>IF(B854="","",IF(AND('Calibrare_Linii'!T14="VALIDATED",AND('Calibrare_Linii'!H14=C854,ISNUMBER('Calibrare_Linii'!J14),'Calibrare_Linii'!J14&lt;='Input_Meci'!G66)),"DEFENSIVE VALIDATED",IF(AND('Calibrare_Linii'!S14="VALIDATED",AND('Calibrare_Linii'!H14=C854,ISNUMBER('Calibrare_Linii'!J14),'Calibrare_Linii'!J14&lt;='Input_Meci'!G66)),"TAIL VALIDATED","OOS PENDING")))</x:f>
      </x:c>
      <x:c r="AK854" s="2" t="n">
        <x:f>IF(J854&lt;&gt;"PASS",0,'Motor_Meciuri'!BR66)</x:f>
        <x:v>0</x:v>
      </x:c>
      <x:c r="AL854" s="2" t="n">
        <x:f>IF(J854&lt;&gt;"PASS",0,'Motor_Meciuri'!BS66)</x:f>
        <x:v>0</x:v>
      </x:c>
      <x:c r="AM854" s="2" t="n">
        <x:f>IF(J854&lt;&gt;"PASS",0,'Motor_Meciuri'!BT66)</x:f>
        <x:v>0</x:v>
      </x:c>
      <x:c r="AN854" s="2" t="str">
        <x:f>IF(M854="","",MAX(0,'Motor_Meciuri'!BF66-IF(L854&gt;'Config_v6'!$B$12,'Config_v6'!$B$37,IF(L854&gt;'Config_v6'!$B$11,'Config_v6'!$B$36,0))))</x:f>
      </x:c>
    </x:row>
    <x:row r="855" ht="21" customHeight="1">
      <x:c r="A855" s="2" t="n">
        <x:v>61</x:v>
      </x:c>
      <x:c r="B855" s="2" t="str">
        <x:f>IF('Motor_Meciuri'!A66="","",'Motor_Meciuri'!A66)</x:f>
      </x:c>
      <x:c r="C855" s="2" t="str">
        <x:f>IF(B855="","",'Motor_Meciuri'!B66)</x:f>
      </x:c>
      <x:c r="D855" s="2" t="str">
        <x:f>IF(B855="","",'Motor_Meciuri'!D66)</x:f>
      </x:c>
      <x:c r="E855" s="2" t="str">
        <x:f>IF(B855="","",'Motor_Meciuri'!E66)</x:f>
      </x:c>
      <x:c r="F855" s="2" t="str">
        <x:v>U13,5</x:v>
      </x:c>
      <x:c r="G855" s="2" t="str">
        <x:v>UNDER</x:v>
      </x:c>
      <x:c r="H855" s="2" t="n">
        <x:v>13</x:v>
      </x:c>
      <x:c r="I855" s="2" t="str">
        <x:f>IF(B855="","",'Motor_Meciuri'!H66)</x:f>
      </x:c>
      <x:c r="J855" s="2" t="str">
        <x:f>IF(B855="","",'Motor_Meciuri'!I66)</x:f>
      </x:c>
      <x:c r="K855" s="11" t="str">
        <x:f>IF(J855&lt;&gt;"PASS","",'Motor_Meciuri'!BD66)</x:f>
      </x:c>
      <x:c r="L855" s="11" t="str">
        <x:f>IF(J855&lt;&gt;"PASS","",'Motor_Meciuri'!AU66)</x:f>
      </x:c>
      <x:c r="M855" s="10" t="str">
        <x:f>IF(NOT(AND(J855="PASS",'Calibrare_Linii'!U15="VALID")),"",'Distributie'!AK66)</x:f>
      </x:c>
      <x:c r="N855" s="10" t="str">
        <x:f>IF(M855="","",MAX(0.01,MIN(0.99,0.5+(M855-0.5)*'Motor_Meciuri'!BG66*'Calibrare_Linii'!D15)))</x:f>
      </x:c>
      <x:c r="O855" s="10" t="str">
        <x:f>IF(M855="","",1-M855)</x:f>
      </x:c>
      <x:c r="P855" s="10" t="str">
        <x:f>IF(OR(NOT(AND(J855="PASS",'Calibrare_Linii'!U15="VALID")),AK855=0),""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*('Istoric_Nativ'!$Q$6:$Q$405&gt;H855))/AK855)</x:f>
      </x:c>
      <x:c r="Q855" s="10" t="str">
        <x:f>IF(OR(NOT(AND(J855="PASS",'Calibrare_Linii'!U15="VALID")),AL855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M66)+((('Istoric_Nativ'!$E$6:$E$405='Input_Meci'!E66)+('Istoric_Nativ'!$F$6:$F$405='Input_Meci'!E66))&gt;0)*('Istoric_Nativ'!$D$6:$D$405&gt;='Motor_Meciuri'!BN66))&gt;0)*('Istoric_Nativ'!$Q$6:$Q$405&gt;H855))/AL855)</x:f>
      </x:c>
      <x:c r="R855" s="10" t="str">
        <x:f>IF(OR(NOT(AND(J855="PASS",'Calibrare_Linii'!U15="VALID")),AM855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O66)+((('Istoric_Nativ'!$E$6:$E$405='Input_Meci'!E66)+('Istoric_Nativ'!$F$6:$F$405='Input_Meci'!E66))&gt;0)*('Istoric_Nativ'!$D$6:$D$405&gt;='Motor_Meciuri'!BP66))&gt;0)*('Istoric_Nativ'!$Q$6:$Q$405&gt;H855))/AM855)</x:f>
      </x:c>
      <x:c r="S855" s="10" t="str">
        <x:f>IF(M855="","",MAX(O855,P855,Q855,R855))</x:f>
      </x:c>
      <x:c r="T855" s="11" t="str">
        <x:f>IF(M855="","",MIN(100,S855*100*'Config_v6'!$B$44+MIN(100,L855/'Config_v6'!$B$13*100)*'Config_v6'!$B$45+(100-'Motor_Meciuri'!BF66)*'Config_v6'!$B$46+'Motor_Meciuri'!BH66*100*'Config_v6'!$B$47))</x:f>
      </x:c>
      <x:c r="U855" s="2" t="str">
        <x:f>IF(T855="","",IF(T855&lt;=20,1,IF(T855&lt;=40,2,IF(T855&lt;=60,3,IF(T855&lt;=80,4,5)))))</x:f>
      </x:c>
      <x:c r="V855" s="2" t="str">
        <x:f>IF(M855="","",MAX(0,'Motor_Meciuri'!BF66-IF(W855="OOS PENDING",'Config_v6'!$B$35,0)-IF(L855&gt;'Config_v6'!$B$12,'Config_v6'!$B$37,IF(L855&gt;'Config_v6'!$B$11,'Config_v6'!$B$36,0))))</x:f>
      </x:c>
      <x:c r="W855" s="2" t="str">
        <x:f>IF(B855="","",IF(I855&lt;&gt;"READY","NOT RELEASED",IF(NOT(AND(J855="PASS",'Calibrare_Linii'!U15="VALID")),"INVALID",IF(NOT(AND('Calibrare_Linii'!S15="VALIDATED",AND('Calibrare_Linii'!H15=C855,ISNUMBER('Calibrare_Linii'!J15),'Calibrare_Linii'!J15&lt;='Input_Meci'!G66))),"OOS PENDING",IF(S855&lt;='Calibrare_Linii'!E15,"PASS",IF(S855&lt;='Calibrare_Linii'!F15,"PENALTY","WATCH"))))))</x:f>
      </x:c>
      <x:c r="X855" s="2" t="str">
        <x:f>IF(M855="","",IF(AND(AND(J855="PASS",'Calibrare_Linii'!U15="VALID"),'Motor_Meciuri'!K66=12,'Motor_Meciuri'!L66=12,'Motor_Meciuri'!M66="NO",'Motor_Meciuri'!BL66='Motor_Meciuri'!C66,AB855&gt;='Config_v6'!$B$50,AN855&gt;='Config_v6'!$B$51,T855&lt;='Config_v6'!$B$52,L855&lt;='Config_v6'!$B$53,ISNUMBER('Calibrare_Linii'!E15),S855&lt;='Calibrare_Linii'!E15,SUM(AK855:AM855)&gt;0),"CANDIDATE","NO"))</x:f>
      </x:c>
      <x:c r="Y855" s="2" t="str">
        <x:f>IF(B855="","",IF(I855&lt;&gt;"READY","NOT RELEASED",IF(AND(X855="CANDIDATE",V855&gt;='Config_v6'!$B$51,W855="PASS",'Calibrare_Linii'!T15="VALIDATED",AND('Calibrare_Linii'!H15=C855,ISNUMBER('Calibrare_Linii'!J15),'Calibrare_Linii'!J15&lt;='Input_Meci'!G66)),"PASS",IF(X855="CANDIDATE","OOS PENDING","FAIL"))))</x:f>
      </x:c>
      <x:c r="Z855" s="2" t="str">
        <x:f>IF(B855="","",IF(I855&lt;&gt;"READY","",IF(OR(NOT(AND(J855="PASS",'Calibrare_Linii'!U15="VALID")),L855&gt;'Config_v6'!$B$13,W855="WATCH"),5,IF(Y855="PASS",1,MIN(5,MAX('Config_v6'!$B$42,U855)+IF(W855="PENALTY",1,0))))))</x:f>
      </x:c>
      <x:c r="AA855" s="2" t="str">
        <x:f>IF(B855="","",IF(I855&lt;&gt;"READY","NOT RELEASED",IF(Z855=5,"NO BET",IF(OR(AB855&lt;'Config_v6'!$B$16,V855&lt;'Config_v6'!$B$18),"WATCH",IF(Z855=1,"DEFENSIV",IF(Z855=2,"PRUDENT",IF(Z855=3,"MODERAT","RIDICAT")))))))</x:f>
      </x:c>
      <x:c r="AB855" s="10" t="str">
        <x:f>IF(N855="","",MIN(N855,1-S855))</x:f>
      </x:c>
      <x:c r="AC855" s="2" t="str">
        <x:f>IF(AD855&lt;&gt;1,"",COUNTIFS($Z$846:$Z$859,"&lt;"&amp;Z855,$AD$846:$AD$859,1)+COUNTIFS($Z$846:$Z$859,Z855,$AB$846:$AB$859,"&gt;"&amp;AB855,$AD$846:$AD$859,1)+COUNTIFS($Z$846:$Z$859,Z855,$AB$846:$AB$859,AB855,$V$846:$V$859,"&gt;"&amp;V855,$AD$846:$AD$859,1)+COUNTIFS($Z$846:Z855,Z855,$AB$846:AB855,AB855,$V$846:V855,V855,$AD$846:AD855,1))</x:f>
      </x:c>
      <x:c r="AD855" s="2" t="n">
        <x:f>IF(OR(AA855="DEFENSIV",AA855="PRUDENT",AA855="MODERAT",AA855="RIDICAT"),1,0)</x:f>
        <x:v>0</x:v>
      </x:c>
      <x:c r="AE855" s="2" t="str">
        <x:f>IF(AD855&lt;&gt;1,"NO",IF(W855="PASS","YES",IF(W855="OOS PENDING","CONDITIONAL","NO")))</x:f>
        <x:v>NO</x:v>
      </x:c>
      <x:c r="AF855" s="2" t="n">
        <x:f>IF(AND(AD855=1,AC855=1,E855="LIVE"),1,0)</x:f>
        <x:v>0</x:v>
      </x:c>
      <x:c r="AG855" s="2" t="str">
        <x:f>IF(AF855&lt;&gt;1,"",'Dashboard'!P86)</x:f>
      </x:c>
      <x:c r="AH855" s="2" t="str">
        <x:f>IF(B855="","",IF(J855&lt;&gt;"PASS",'Motor_Meciuri'!J66,IF('Calibrare_Linii'!U15&lt;&gt;"VALID","Parametri linie invalizi",IF(L855&gt;'Config_v6'!$B$13,"Dispersie peste limita",IF(W855="WATCH","Failure peste limita",IF(AB855&lt;'Config_v6'!$B$16,"P finala sub prag",IF(V855&lt;'Config_v6'!$B$18,"Confidence sub prag",IF(E855="REPLAY","Exemplu retrospectiv; exclus din Top LIVE",IF(Y855="PASS","DEFENSIV validat",IF(W855="OOS PENDING","Eligibil; calibrare linie in monitorizare","Eligibil"))))))))))</x:f>
      </x:c>
      <x:c r="AI855" s="2" t="str">
        <x:f>IF(B855="","",'Calibrare_Linii'!V15)</x:f>
      </x:c>
      <x:c r="AJ855" s="2" t="str">
        <x:f>IF(B855="","",IF(AND('Calibrare_Linii'!T15="VALIDATED",AND('Calibrare_Linii'!H15=C855,ISNUMBER('Calibrare_Linii'!J15),'Calibrare_Linii'!J15&lt;='Input_Meci'!G66)),"DEFENSIVE VALIDATED",IF(AND('Calibrare_Linii'!S15="VALIDATED",AND('Calibrare_Linii'!H15=C855,ISNUMBER('Calibrare_Linii'!J15),'Calibrare_Linii'!J15&lt;='Input_Meci'!G66)),"TAIL VALIDATED","OOS PENDING")))</x:f>
      </x:c>
      <x:c r="AK855" s="2" t="n">
        <x:f>IF(J855&lt;&gt;"PASS",0,'Motor_Meciuri'!BR66)</x:f>
        <x:v>0</x:v>
      </x:c>
      <x:c r="AL855" s="2" t="n">
        <x:f>IF(J855&lt;&gt;"PASS",0,'Motor_Meciuri'!BS66)</x:f>
        <x:v>0</x:v>
      </x:c>
      <x:c r="AM855" s="2" t="n">
        <x:f>IF(J855&lt;&gt;"PASS",0,'Motor_Meciuri'!BT66)</x:f>
        <x:v>0</x:v>
      </x:c>
      <x:c r="AN855" s="2" t="str">
        <x:f>IF(M855="","",MAX(0,'Motor_Meciuri'!BF66-IF(L855&gt;'Config_v6'!$B$12,'Config_v6'!$B$37,IF(L855&gt;'Config_v6'!$B$11,'Config_v6'!$B$36,0))))</x:f>
      </x:c>
    </x:row>
    <x:row r="856" ht="21" customHeight="1">
      <x:c r="A856" s="2" t="n">
        <x:v>61</x:v>
      </x:c>
      <x:c r="B856" s="2" t="str">
        <x:f>IF('Motor_Meciuri'!A66="","",'Motor_Meciuri'!A66)</x:f>
      </x:c>
      <x:c r="C856" s="2" t="str">
        <x:f>IF(B856="","",'Motor_Meciuri'!B66)</x:f>
      </x:c>
      <x:c r="D856" s="2" t="str">
        <x:f>IF(B856="","",'Motor_Meciuri'!D66)</x:f>
      </x:c>
      <x:c r="E856" s="2" t="str">
        <x:f>IF(B856="","",'Motor_Meciuri'!E66)</x:f>
      </x:c>
      <x:c r="F856" s="2" t="str">
        <x:v>U14,5</x:v>
      </x:c>
      <x:c r="G856" s="2" t="str">
        <x:v>UNDER</x:v>
      </x:c>
      <x:c r="H856" s="2" t="n">
        <x:v>14</x:v>
      </x:c>
      <x:c r="I856" s="2" t="str">
        <x:f>IF(B856="","",'Motor_Meciuri'!H66)</x:f>
      </x:c>
      <x:c r="J856" s="2" t="str">
        <x:f>IF(B856="","",'Motor_Meciuri'!I66)</x:f>
      </x:c>
      <x:c r="K856" s="11" t="str">
        <x:f>IF(J856&lt;&gt;"PASS","",'Motor_Meciuri'!BD66)</x:f>
      </x:c>
      <x:c r="L856" s="11" t="str">
        <x:f>IF(J856&lt;&gt;"PASS","",'Motor_Meciuri'!AU66)</x:f>
      </x:c>
      <x:c r="M856" s="10" t="str">
        <x:f>IF(NOT(AND(J856="PASS",'Calibrare_Linii'!U16="VALID")),"",'Distributie'!AL66)</x:f>
      </x:c>
      <x:c r="N856" s="10" t="str">
        <x:f>IF(M856="","",MAX(0.01,MIN(0.99,0.5+(M856-0.5)*'Motor_Meciuri'!BG66*'Calibrare_Linii'!D16)))</x:f>
      </x:c>
      <x:c r="O856" s="10" t="str">
        <x:f>IF(M856="","",1-M856)</x:f>
      </x:c>
      <x:c r="P856" s="10" t="str">
        <x:f>IF(OR(NOT(AND(J856="PASS",'Calibrare_Linii'!U16="VALID")),AK856=0),""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*('Istoric_Nativ'!$Q$6:$Q$405&gt;H856))/AK856)</x:f>
      </x:c>
      <x:c r="Q856" s="10" t="str">
        <x:f>IF(OR(NOT(AND(J856="PASS",'Calibrare_Linii'!U16="VALID")),AL856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M66)+((('Istoric_Nativ'!$E$6:$E$405='Input_Meci'!E66)+('Istoric_Nativ'!$F$6:$F$405='Input_Meci'!E66))&gt;0)*('Istoric_Nativ'!$D$6:$D$405&gt;='Motor_Meciuri'!BN66))&gt;0)*('Istoric_Nativ'!$Q$6:$Q$405&gt;H856))/AL856)</x:f>
      </x:c>
      <x:c r="R856" s="10" t="str">
        <x:f>IF(OR(NOT(AND(J856="PASS",'Calibrare_Linii'!U16="VALID")),AM856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O66)+((('Istoric_Nativ'!$E$6:$E$405='Input_Meci'!E66)+('Istoric_Nativ'!$F$6:$F$405='Input_Meci'!E66))&gt;0)*('Istoric_Nativ'!$D$6:$D$405&gt;='Motor_Meciuri'!BP66))&gt;0)*('Istoric_Nativ'!$Q$6:$Q$405&gt;H856))/AM856)</x:f>
      </x:c>
      <x:c r="S856" s="10" t="str">
        <x:f>IF(M856="","",MAX(O856,P856,Q856,R856))</x:f>
      </x:c>
      <x:c r="T856" s="11" t="str">
        <x:f>IF(M856="","",MIN(100,S856*100*'Config_v6'!$B$44+MIN(100,L856/'Config_v6'!$B$13*100)*'Config_v6'!$B$45+(100-'Motor_Meciuri'!BF66)*'Config_v6'!$B$46+'Motor_Meciuri'!BH66*100*'Config_v6'!$B$47))</x:f>
      </x:c>
      <x:c r="U856" s="2" t="str">
        <x:f>IF(T856="","",IF(T856&lt;=20,1,IF(T856&lt;=40,2,IF(T856&lt;=60,3,IF(T856&lt;=80,4,5)))))</x:f>
      </x:c>
      <x:c r="V856" s="2" t="str">
        <x:f>IF(M856="","",MAX(0,'Motor_Meciuri'!BF66-IF(W856="OOS PENDING",'Config_v6'!$B$35,0)-IF(L856&gt;'Config_v6'!$B$12,'Config_v6'!$B$37,IF(L856&gt;'Config_v6'!$B$11,'Config_v6'!$B$36,0))))</x:f>
      </x:c>
      <x:c r="W856" s="2" t="str">
        <x:f>IF(B856="","",IF(I856&lt;&gt;"READY","NOT RELEASED",IF(NOT(AND(J856="PASS",'Calibrare_Linii'!U16="VALID")),"INVALID",IF(NOT(AND('Calibrare_Linii'!S16="VALIDATED",AND('Calibrare_Linii'!H16=C856,ISNUMBER('Calibrare_Linii'!J16),'Calibrare_Linii'!J16&lt;='Input_Meci'!G66))),"OOS PENDING",IF(S856&lt;='Calibrare_Linii'!E16,"PASS",IF(S856&lt;='Calibrare_Linii'!F16,"PENALTY","WATCH"))))))</x:f>
      </x:c>
      <x:c r="X856" s="2" t="str">
        <x:f>IF(M856="","",IF(AND(AND(J856="PASS",'Calibrare_Linii'!U16="VALID"),'Motor_Meciuri'!K66=12,'Motor_Meciuri'!L66=12,'Motor_Meciuri'!M66="NO",'Motor_Meciuri'!BL66='Motor_Meciuri'!C66,AB856&gt;='Config_v6'!$B$50,AN856&gt;='Config_v6'!$B$51,T856&lt;='Config_v6'!$B$52,L856&lt;='Config_v6'!$B$53,ISNUMBER('Calibrare_Linii'!E16),S856&lt;='Calibrare_Linii'!E16,SUM(AK856:AM856)&gt;0),"CANDIDATE","NO"))</x:f>
      </x:c>
      <x:c r="Y856" s="2" t="str">
        <x:f>IF(B856="","",IF(I856&lt;&gt;"READY","NOT RELEASED",IF(AND(X856="CANDIDATE",V856&gt;='Config_v6'!$B$51,W856="PASS",'Calibrare_Linii'!T16="VALIDATED",AND('Calibrare_Linii'!H16=C856,ISNUMBER('Calibrare_Linii'!J16),'Calibrare_Linii'!J16&lt;='Input_Meci'!G66)),"PASS",IF(X856="CANDIDATE","OOS PENDING","FAIL"))))</x:f>
      </x:c>
      <x:c r="Z856" s="2" t="str">
        <x:f>IF(B856="","",IF(I856&lt;&gt;"READY","",IF(OR(NOT(AND(J856="PASS",'Calibrare_Linii'!U16="VALID")),L856&gt;'Config_v6'!$B$13,W856="WATCH"),5,IF(Y856="PASS",1,MIN(5,MAX('Config_v6'!$B$42,U856)+IF(W856="PENALTY",1,0))))))</x:f>
      </x:c>
      <x:c r="AA856" s="2" t="str">
        <x:f>IF(B856="","",IF(I856&lt;&gt;"READY","NOT RELEASED",IF(Z856=5,"NO BET",IF(OR(AB856&lt;'Config_v6'!$B$16,V856&lt;'Config_v6'!$B$18),"WATCH",IF(Z856=1,"DEFENSIV",IF(Z856=2,"PRUDENT",IF(Z856=3,"MODERAT","RIDICAT")))))))</x:f>
      </x:c>
      <x:c r="AB856" s="10" t="str">
        <x:f>IF(N856="","",MIN(N856,1-S856))</x:f>
      </x:c>
      <x:c r="AC856" s="2" t="str">
        <x:f>IF(AD856&lt;&gt;1,"",COUNTIFS($Z$846:$Z$859,"&lt;"&amp;Z856,$AD$846:$AD$859,1)+COUNTIFS($Z$846:$Z$859,Z856,$AB$846:$AB$859,"&gt;"&amp;AB856,$AD$846:$AD$859,1)+COUNTIFS($Z$846:$Z$859,Z856,$AB$846:$AB$859,AB856,$V$846:$V$859,"&gt;"&amp;V856,$AD$846:$AD$859,1)+COUNTIFS($Z$846:Z856,Z856,$AB$846:AB856,AB856,$V$846:V856,V856,$AD$846:AD856,1))</x:f>
      </x:c>
      <x:c r="AD856" s="2" t="n">
        <x:f>IF(OR(AA856="DEFENSIV",AA856="PRUDENT",AA856="MODERAT",AA856="RIDICAT"),1,0)</x:f>
        <x:v>0</x:v>
      </x:c>
      <x:c r="AE856" s="2" t="str">
        <x:f>IF(AD856&lt;&gt;1,"NO",IF(W856="PASS","YES",IF(W856="OOS PENDING","CONDITIONAL","NO")))</x:f>
        <x:v>NO</x:v>
      </x:c>
      <x:c r="AF856" s="2" t="n">
        <x:f>IF(AND(AD856=1,AC856=1,E856="LIVE"),1,0)</x:f>
        <x:v>0</x:v>
      </x:c>
      <x:c r="AG856" s="2" t="str">
        <x:f>IF(AF856&lt;&gt;1,"",'Dashboard'!P86)</x:f>
      </x:c>
      <x:c r="AH856" s="2" t="str">
        <x:f>IF(B856="","",IF(J856&lt;&gt;"PASS",'Motor_Meciuri'!J66,IF('Calibrare_Linii'!U16&lt;&gt;"VALID","Parametri linie invalizi",IF(L856&gt;'Config_v6'!$B$13,"Dispersie peste limita",IF(W856="WATCH","Failure peste limita",IF(AB856&lt;'Config_v6'!$B$16,"P finala sub prag",IF(V856&lt;'Config_v6'!$B$18,"Confidence sub prag",IF(E856="REPLAY","Exemplu retrospectiv; exclus din Top LIVE",IF(Y856="PASS","DEFENSIV validat",IF(W856="OOS PENDING","Eligibil; calibrare linie in monitorizare","Eligibil"))))))))))</x:f>
      </x:c>
      <x:c r="AI856" s="2" t="str">
        <x:f>IF(B856="","",'Calibrare_Linii'!V16)</x:f>
      </x:c>
      <x:c r="AJ856" s="2" t="str">
        <x:f>IF(B856="","",IF(AND('Calibrare_Linii'!T16="VALIDATED",AND('Calibrare_Linii'!H16=C856,ISNUMBER('Calibrare_Linii'!J16),'Calibrare_Linii'!J16&lt;='Input_Meci'!G66)),"DEFENSIVE VALIDATED",IF(AND('Calibrare_Linii'!S16="VALIDATED",AND('Calibrare_Linii'!H16=C856,ISNUMBER('Calibrare_Linii'!J16),'Calibrare_Linii'!J16&lt;='Input_Meci'!G66)),"TAIL VALIDATED","OOS PENDING")))</x:f>
      </x:c>
      <x:c r="AK856" s="2" t="n">
        <x:f>IF(J856&lt;&gt;"PASS",0,'Motor_Meciuri'!BR66)</x:f>
        <x:v>0</x:v>
      </x:c>
      <x:c r="AL856" s="2" t="n">
        <x:f>IF(J856&lt;&gt;"PASS",0,'Motor_Meciuri'!BS66)</x:f>
        <x:v>0</x:v>
      </x:c>
      <x:c r="AM856" s="2" t="n">
        <x:f>IF(J856&lt;&gt;"PASS",0,'Motor_Meciuri'!BT66)</x:f>
        <x:v>0</x:v>
      </x:c>
      <x:c r="AN856" s="2" t="str">
        <x:f>IF(M856="","",MAX(0,'Motor_Meciuri'!BF66-IF(L856&gt;'Config_v6'!$B$12,'Config_v6'!$B$37,IF(L856&gt;'Config_v6'!$B$11,'Config_v6'!$B$36,0))))</x:f>
      </x:c>
    </x:row>
    <x:row r="857" ht="21" customHeight="1">
      <x:c r="A857" s="2" t="n">
        <x:v>61</x:v>
      </x:c>
      <x:c r="B857" s="2" t="str">
        <x:f>IF('Motor_Meciuri'!A66="","",'Motor_Meciuri'!A66)</x:f>
      </x:c>
      <x:c r="C857" s="2" t="str">
        <x:f>IF(B857="","",'Motor_Meciuri'!B66)</x:f>
      </x:c>
      <x:c r="D857" s="2" t="str">
        <x:f>IF(B857="","",'Motor_Meciuri'!D66)</x:f>
      </x:c>
      <x:c r="E857" s="2" t="str">
        <x:f>IF(B857="","",'Motor_Meciuri'!E66)</x:f>
      </x:c>
      <x:c r="F857" s="2" t="str">
        <x:v>U15,5</x:v>
      </x:c>
      <x:c r="G857" s="2" t="str">
        <x:v>UNDER</x:v>
      </x:c>
      <x:c r="H857" s="2" t="n">
        <x:v>15</x:v>
      </x:c>
      <x:c r="I857" s="2" t="str">
        <x:f>IF(B857="","",'Motor_Meciuri'!H66)</x:f>
      </x:c>
      <x:c r="J857" s="2" t="str">
        <x:f>IF(B857="","",'Motor_Meciuri'!I66)</x:f>
      </x:c>
      <x:c r="K857" s="11" t="str">
        <x:f>IF(J857&lt;&gt;"PASS","",'Motor_Meciuri'!BD66)</x:f>
      </x:c>
      <x:c r="L857" s="11" t="str">
        <x:f>IF(J857&lt;&gt;"PASS","",'Motor_Meciuri'!AU66)</x:f>
      </x:c>
      <x:c r="M857" s="10" t="str">
        <x:f>IF(NOT(AND(J857="PASS",'Calibrare_Linii'!U17="VALID")),"",'Distributie'!AM66)</x:f>
      </x:c>
      <x:c r="N857" s="10" t="str">
        <x:f>IF(M857="","",MAX(0.01,MIN(0.99,0.5+(M857-0.5)*'Motor_Meciuri'!BG66*'Calibrare_Linii'!D17)))</x:f>
      </x:c>
      <x:c r="O857" s="10" t="str">
        <x:f>IF(M857="","",1-M857)</x:f>
      </x:c>
      <x:c r="P857" s="10" t="str">
        <x:f>IF(OR(NOT(AND(J857="PASS",'Calibrare_Linii'!U17="VALID")),AK857=0),""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*('Istoric_Nativ'!$Q$6:$Q$405&gt;H857))/AK857)</x:f>
      </x:c>
      <x:c r="Q857" s="10" t="str">
        <x:f>IF(OR(NOT(AND(J857="PASS",'Calibrare_Linii'!U17="VALID")),AL857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M66)+((('Istoric_Nativ'!$E$6:$E$405='Input_Meci'!E66)+('Istoric_Nativ'!$F$6:$F$405='Input_Meci'!E66))&gt;0)*('Istoric_Nativ'!$D$6:$D$405&gt;='Motor_Meciuri'!BN66))&gt;0)*('Istoric_Nativ'!$Q$6:$Q$405&gt;H857))/AL857)</x:f>
      </x:c>
      <x:c r="R857" s="10" t="str">
        <x:f>IF(OR(NOT(AND(J857="PASS",'Calibrare_Linii'!U17="VALID")),AM857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O66)+((('Istoric_Nativ'!$E$6:$E$405='Input_Meci'!E66)+('Istoric_Nativ'!$F$6:$F$405='Input_Meci'!E66))&gt;0)*('Istoric_Nativ'!$D$6:$D$405&gt;='Motor_Meciuri'!BP66))&gt;0)*('Istoric_Nativ'!$Q$6:$Q$405&gt;H857))/AM857)</x:f>
      </x:c>
      <x:c r="S857" s="10" t="str">
        <x:f>IF(M857="","",MAX(O857,P857,Q857,R857))</x:f>
      </x:c>
      <x:c r="T857" s="11" t="str">
        <x:f>IF(M857="","",MIN(100,S857*100*'Config_v6'!$B$44+MIN(100,L857/'Config_v6'!$B$13*100)*'Config_v6'!$B$45+(100-'Motor_Meciuri'!BF66)*'Config_v6'!$B$46+'Motor_Meciuri'!BH66*100*'Config_v6'!$B$47))</x:f>
      </x:c>
      <x:c r="U857" s="2" t="str">
        <x:f>IF(T857="","",IF(T857&lt;=20,1,IF(T857&lt;=40,2,IF(T857&lt;=60,3,IF(T857&lt;=80,4,5)))))</x:f>
      </x:c>
      <x:c r="V857" s="2" t="str">
        <x:f>IF(M857="","",MAX(0,'Motor_Meciuri'!BF66-IF(W857="OOS PENDING",'Config_v6'!$B$35,0)-IF(L857&gt;'Config_v6'!$B$12,'Config_v6'!$B$37,IF(L857&gt;'Config_v6'!$B$11,'Config_v6'!$B$36,0))))</x:f>
      </x:c>
      <x:c r="W857" s="2" t="str">
        <x:f>IF(B857="","",IF(I857&lt;&gt;"READY","NOT RELEASED",IF(NOT(AND(J857="PASS",'Calibrare_Linii'!U17="VALID")),"INVALID",IF(NOT(AND('Calibrare_Linii'!S17="VALIDATED",AND('Calibrare_Linii'!H17=C857,ISNUMBER('Calibrare_Linii'!J17),'Calibrare_Linii'!J17&lt;='Input_Meci'!G66))),"OOS PENDING",IF(S857&lt;='Calibrare_Linii'!E17,"PASS",IF(S857&lt;='Calibrare_Linii'!F17,"PENALTY","WATCH"))))))</x:f>
      </x:c>
      <x:c r="X857" s="2" t="str">
        <x:f>IF(M857="","",IF(AND(AND(J857="PASS",'Calibrare_Linii'!U17="VALID"),'Motor_Meciuri'!K66=12,'Motor_Meciuri'!L66=12,'Motor_Meciuri'!M66="NO",'Motor_Meciuri'!BL66='Motor_Meciuri'!C66,AB857&gt;='Config_v6'!$B$50,AN857&gt;='Config_v6'!$B$51,T857&lt;='Config_v6'!$B$52,L857&lt;='Config_v6'!$B$53,ISNUMBER('Calibrare_Linii'!E17),S857&lt;='Calibrare_Linii'!E17,SUM(AK857:AM857)&gt;0),"CANDIDATE","NO"))</x:f>
      </x:c>
      <x:c r="Y857" s="2" t="str">
        <x:f>IF(B857="","",IF(I857&lt;&gt;"READY","NOT RELEASED",IF(AND(X857="CANDIDATE",V857&gt;='Config_v6'!$B$51,W857="PASS",'Calibrare_Linii'!T17="VALIDATED",AND('Calibrare_Linii'!H17=C857,ISNUMBER('Calibrare_Linii'!J17),'Calibrare_Linii'!J17&lt;='Input_Meci'!G66)),"PASS",IF(X857="CANDIDATE","OOS PENDING","FAIL"))))</x:f>
      </x:c>
      <x:c r="Z857" s="2" t="str">
        <x:f>IF(B857="","",IF(I857&lt;&gt;"READY","",IF(OR(NOT(AND(J857="PASS",'Calibrare_Linii'!U17="VALID")),L857&gt;'Config_v6'!$B$13,W857="WATCH"),5,IF(Y857="PASS",1,MIN(5,MAX('Config_v6'!$B$42,U857)+IF(W857="PENALTY",1,0))))))</x:f>
      </x:c>
      <x:c r="AA857" s="2" t="str">
        <x:f>IF(B857="","",IF(I857&lt;&gt;"READY","NOT RELEASED",IF(Z857=5,"NO BET",IF(OR(AB857&lt;'Config_v6'!$B$16,V857&lt;'Config_v6'!$B$18),"WATCH",IF(Z857=1,"DEFENSIV",IF(Z857=2,"PRUDENT",IF(Z857=3,"MODERAT","RIDICAT")))))))</x:f>
      </x:c>
      <x:c r="AB857" s="10" t="str">
        <x:f>IF(N857="","",MIN(N857,1-S857))</x:f>
      </x:c>
      <x:c r="AC857" s="2" t="str">
        <x:f>IF(AD857&lt;&gt;1,"",COUNTIFS($Z$846:$Z$859,"&lt;"&amp;Z857,$AD$846:$AD$859,1)+COUNTIFS($Z$846:$Z$859,Z857,$AB$846:$AB$859,"&gt;"&amp;AB857,$AD$846:$AD$859,1)+COUNTIFS($Z$846:$Z$859,Z857,$AB$846:$AB$859,AB857,$V$846:$V$859,"&gt;"&amp;V857,$AD$846:$AD$859,1)+COUNTIFS($Z$846:Z857,Z857,$AB$846:AB857,AB857,$V$846:V857,V857,$AD$846:AD857,1))</x:f>
      </x:c>
      <x:c r="AD857" s="2" t="n">
        <x:f>IF(OR(AA857="DEFENSIV",AA857="PRUDENT",AA857="MODERAT",AA857="RIDICAT"),1,0)</x:f>
        <x:v>0</x:v>
      </x:c>
      <x:c r="AE857" s="2" t="str">
        <x:f>IF(AD857&lt;&gt;1,"NO",IF(W857="PASS","YES",IF(W857="OOS PENDING","CONDITIONAL","NO")))</x:f>
        <x:v>NO</x:v>
      </x:c>
      <x:c r="AF857" s="2" t="n">
        <x:f>IF(AND(AD857=1,AC857=1,E857="LIVE"),1,0)</x:f>
        <x:v>0</x:v>
      </x:c>
      <x:c r="AG857" s="2" t="str">
        <x:f>IF(AF857&lt;&gt;1,"",'Dashboard'!P86)</x:f>
      </x:c>
      <x:c r="AH857" s="2" t="str">
        <x:f>IF(B857="","",IF(J857&lt;&gt;"PASS",'Motor_Meciuri'!J66,IF('Calibrare_Linii'!U17&lt;&gt;"VALID","Parametri linie invalizi",IF(L857&gt;'Config_v6'!$B$13,"Dispersie peste limita",IF(W857="WATCH","Failure peste limita",IF(AB857&lt;'Config_v6'!$B$16,"P finala sub prag",IF(V857&lt;'Config_v6'!$B$18,"Confidence sub prag",IF(E857="REPLAY","Exemplu retrospectiv; exclus din Top LIVE",IF(Y857="PASS","DEFENSIV validat",IF(W857="OOS PENDING","Eligibil; calibrare linie in monitorizare","Eligibil"))))))))))</x:f>
      </x:c>
      <x:c r="AI857" s="2" t="str">
        <x:f>IF(B857="","",'Calibrare_Linii'!V17)</x:f>
      </x:c>
      <x:c r="AJ857" s="2" t="str">
        <x:f>IF(B857="","",IF(AND('Calibrare_Linii'!T17="VALIDATED",AND('Calibrare_Linii'!H17=C857,ISNUMBER('Calibrare_Linii'!J17),'Calibrare_Linii'!J17&lt;='Input_Meci'!G66)),"DEFENSIVE VALIDATED",IF(AND('Calibrare_Linii'!S17="VALIDATED",AND('Calibrare_Linii'!H17=C857,ISNUMBER('Calibrare_Linii'!J17),'Calibrare_Linii'!J17&lt;='Input_Meci'!G66)),"TAIL VALIDATED","OOS PENDING")))</x:f>
      </x:c>
      <x:c r="AK857" s="2" t="n">
        <x:f>IF(J857&lt;&gt;"PASS",0,'Motor_Meciuri'!BR66)</x:f>
        <x:v>0</x:v>
      </x:c>
      <x:c r="AL857" s="2" t="n">
        <x:f>IF(J857&lt;&gt;"PASS",0,'Motor_Meciuri'!BS66)</x:f>
        <x:v>0</x:v>
      </x:c>
      <x:c r="AM857" s="2" t="n">
        <x:f>IF(J857&lt;&gt;"PASS",0,'Motor_Meciuri'!BT66)</x:f>
        <x:v>0</x:v>
      </x:c>
      <x:c r="AN857" s="2" t="str">
        <x:f>IF(M857="","",MAX(0,'Motor_Meciuri'!BF66-IF(L857&gt;'Config_v6'!$B$12,'Config_v6'!$B$37,IF(L857&gt;'Config_v6'!$B$11,'Config_v6'!$B$36,0))))</x:f>
      </x:c>
    </x:row>
    <x:row r="858" ht="21" customHeight="1">
      <x:c r="A858" s="2" t="n">
        <x:v>61</x:v>
      </x:c>
      <x:c r="B858" s="2" t="str">
        <x:f>IF('Motor_Meciuri'!A66="","",'Motor_Meciuri'!A66)</x:f>
      </x:c>
      <x:c r="C858" s="2" t="str">
        <x:f>IF(B858="","",'Motor_Meciuri'!B66)</x:f>
      </x:c>
      <x:c r="D858" s="2" t="str">
        <x:f>IF(B858="","",'Motor_Meciuri'!D66)</x:f>
      </x:c>
      <x:c r="E858" s="2" t="str">
        <x:f>IF(B858="","",'Motor_Meciuri'!E66)</x:f>
      </x:c>
      <x:c r="F858" s="2" t="str">
        <x:v>U16,5</x:v>
      </x:c>
      <x:c r="G858" s="2" t="str">
        <x:v>UNDER</x:v>
      </x:c>
      <x:c r="H858" s="2" t="n">
        <x:v>16</x:v>
      </x:c>
      <x:c r="I858" s="2" t="str">
        <x:f>IF(B858="","",'Motor_Meciuri'!H66)</x:f>
      </x:c>
      <x:c r="J858" s="2" t="str">
        <x:f>IF(B858="","",'Motor_Meciuri'!I66)</x:f>
      </x:c>
      <x:c r="K858" s="11" t="str">
        <x:f>IF(J858&lt;&gt;"PASS","",'Motor_Meciuri'!BD66)</x:f>
      </x:c>
      <x:c r="L858" s="11" t="str">
        <x:f>IF(J858&lt;&gt;"PASS","",'Motor_Meciuri'!AU66)</x:f>
      </x:c>
      <x:c r="M858" s="10" t="str">
        <x:f>IF(NOT(AND(J858="PASS",'Calibrare_Linii'!U18="VALID")),"",'Distributie'!AN66)</x:f>
      </x:c>
      <x:c r="N858" s="10" t="str">
        <x:f>IF(M858="","",MAX(0.01,MIN(0.99,0.5+(M858-0.5)*'Motor_Meciuri'!BG66*'Calibrare_Linii'!D18)))</x:f>
      </x:c>
      <x:c r="O858" s="10" t="str">
        <x:f>IF(M858="","",1-M858)</x:f>
      </x:c>
      <x:c r="P858" s="10" t="str">
        <x:f>IF(OR(NOT(AND(J858="PASS",'Calibrare_Linii'!U18="VALID")),AK858=0),""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*('Istoric_Nativ'!$Q$6:$Q$405&gt;H858))/AK858)</x:f>
      </x:c>
      <x:c r="Q858" s="10" t="str">
        <x:f>IF(OR(NOT(AND(J858="PASS",'Calibrare_Linii'!U18="VALID")),AL858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M66)+((('Istoric_Nativ'!$E$6:$E$405='Input_Meci'!E66)+('Istoric_Nativ'!$F$6:$F$405='Input_Meci'!E66))&gt;0)*('Istoric_Nativ'!$D$6:$D$405&gt;='Motor_Meciuri'!BN66))&gt;0)*('Istoric_Nativ'!$Q$6:$Q$405&gt;H858))/AL858)</x:f>
      </x:c>
      <x:c r="R858" s="10" t="str">
        <x:f>IF(OR(NOT(AND(J858="PASS",'Calibrare_Linii'!U18="VALID")),AM858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O66)+((('Istoric_Nativ'!$E$6:$E$405='Input_Meci'!E66)+('Istoric_Nativ'!$F$6:$F$405='Input_Meci'!E66))&gt;0)*('Istoric_Nativ'!$D$6:$D$405&gt;='Motor_Meciuri'!BP66))&gt;0)*('Istoric_Nativ'!$Q$6:$Q$405&gt;H858))/AM858)</x:f>
      </x:c>
      <x:c r="S858" s="10" t="str">
        <x:f>IF(M858="","",MAX(O858,P858,Q858,R858))</x:f>
      </x:c>
      <x:c r="T858" s="11" t="str">
        <x:f>IF(M858="","",MIN(100,S858*100*'Config_v6'!$B$44+MIN(100,L858/'Config_v6'!$B$13*100)*'Config_v6'!$B$45+(100-'Motor_Meciuri'!BF66)*'Config_v6'!$B$46+'Motor_Meciuri'!BH66*100*'Config_v6'!$B$47))</x:f>
      </x:c>
      <x:c r="U858" s="2" t="str">
        <x:f>IF(T858="","",IF(T858&lt;=20,1,IF(T858&lt;=40,2,IF(T858&lt;=60,3,IF(T858&lt;=80,4,5)))))</x:f>
      </x:c>
      <x:c r="V858" s="2" t="str">
        <x:f>IF(M858="","",MAX(0,'Motor_Meciuri'!BF66-IF(W858="OOS PENDING",'Config_v6'!$B$35,0)-IF(L858&gt;'Config_v6'!$B$12,'Config_v6'!$B$37,IF(L858&gt;'Config_v6'!$B$11,'Config_v6'!$B$36,0))))</x:f>
      </x:c>
      <x:c r="W858" s="2" t="str">
        <x:f>IF(B858="","",IF(I858&lt;&gt;"READY","NOT RELEASED",IF(NOT(AND(J858="PASS",'Calibrare_Linii'!U18="VALID")),"INVALID",IF(NOT(AND('Calibrare_Linii'!S18="VALIDATED",AND('Calibrare_Linii'!H18=C858,ISNUMBER('Calibrare_Linii'!J18),'Calibrare_Linii'!J18&lt;='Input_Meci'!G66))),"OOS PENDING",IF(S858&lt;='Calibrare_Linii'!E18,"PASS",IF(S858&lt;='Calibrare_Linii'!F18,"PENALTY","WATCH"))))))</x:f>
      </x:c>
      <x:c r="X858" s="2" t="str">
        <x:f>IF(M858="","",IF(AND(AND(J858="PASS",'Calibrare_Linii'!U18="VALID"),'Motor_Meciuri'!K66=12,'Motor_Meciuri'!L66=12,'Motor_Meciuri'!M66="NO",'Motor_Meciuri'!BL66='Motor_Meciuri'!C66,AB858&gt;='Config_v6'!$B$50,AN858&gt;='Config_v6'!$B$51,T858&lt;='Config_v6'!$B$52,L858&lt;='Config_v6'!$B$53,ISNUMBER('Calibrare_Linii'!E18),S858&lt;='Calibrare_Linii'!E18,SUM(AK858:AM858)&gt;0),"CANDIDATE","NO"))</x:f>
      </x:c>
      <x:c r="Y858" s="2" t="str">
        <x:f>IF(B858="","",IF(I858&lt;&gt;"READY","NOT RELEASED",IF(AND(X858="CANDIDATE",V858&gt;='Config_v6'!$B$51,W858="PASS",'Calibrare_Linii'!T18="VALIDATED",AND('Calibrare_Linii'!H18=C858,ISNUMBER('Calibrare_Linii'!J18),'Calibrare_Linii'!J18&lt;='Input_Meci'!G66)),"PASS",IF(X858="CANDIDATE","OOS PENDING","FAIL"))))</x:f>
      </x:c>
      <x:c r="Z858" s="2" t="str">
        <x:f>IF(B858="","",IF(I858&lt;&gt;"READY","",IF(OR(NOT(AND(J858="PASS",'Calibrare_Linii'!U18="VALID")),L858&gt;'Config_v6'!$B$13,W858="WATCH"),5,IF(Y858="PASS",1,MIN(5,MAX('Config_v6'!$B$42,U858)+IF(W858="PENALTY",1,0))))))</x:f>
      </x:c>
      <x:c r="AA858" s="2" t="str">
        <x:f>IF(B858="","",IF(I858&lt;&gt;"READY","NOT RELEASED",IF(Z858=5,"NO BET",IF(OR(AB858&lt;'Config_v6'!$B$16,V858&lt;'Config_v6'!$B$18),"WATCH",IF(Z858=1,"DEFENSIV",IF(Z858=2,"PRUDENT",IF(Z858=3,"MODERAT","RIDICAT")))))))</x:f>
      </x:c>
      <x:c r="AB858" s="10" t="str">
        <x:f>IF(N858="","",MIN(N858,1-S858))</x:f>
      </x:c>
      <x:c r="AC858" s="2" t="str">
        <x:f>IF(AD858&lt;&gt;1,"",COUNTIFS($Z$846:$Z$859,"&lt;"&amp;Z858,$AD$846:$AD$859,1)+COUNTIFS($Z$846:$Z$859,Z858,$AB$846:$AB$859,"&gt;"&amp;AB858,$AD$846:$AD$859,1)+COUNTIFS($Z$846:$Z$859,Z858,$AB$846:$AB$859,AB858,$V$846:$V$859,"&gt;"&amp;V858,$AD$846:$AD$859,1)+COUNTIFS($Z$846:Z858,Z858,$AB$846:AB858,AB858,$V$846:V858,V858,$AD$846:AD858,1))</x:f>
      </x:c>
      <x:c r="AD858" s="2" t="n">
        <x:f>IF(OR(AA858="DEFENSIV",AA858="PRUDENT",AA858="MODERAT",AA858="RIDICAT"),1,0)</x:f>
        <x:v>0</x:v>
      </x:c>
      <x:c r="AE858" s="2" t="str">
        <x:f>IF(AD858&lt;&gt;1,"NO",IF(W858="PASS","YES",IF(W858="OOS PENDING","CONDITIONAL","NO")))</x:f>
        <x:v>NO</x:v>
      </x:c>
      <x:c r="AF858" s="2" t="n">
        <x:f>IF(AND(AD858=1,AC858=1,E858="LIVE"),1,0)</x:f>
        <x:v>0</x:v>
      </x:c>
      <x:c r="AG858" s="2" t="str">
        <x:f>IF(AF858&lt;&gt;1,"",'Dashboard'!P86)</x:f>
      </x:c>
      <x:c r="AH858" s="2" t="str">
        <x:f>IF(B858="","",IF(J858&lt;&gt;"PASS",'Motor_Meciuri'!J66,IF('Calibrare_Linii'!U18&lt;&gt;"VALID","Parametri linie invalizi",IF(L858&gt;'Config_v6'!$B$13,"Dispersie peste limita",IF(W858="WATCH","Failure peste limita",IF(AB858&lt;'Config_v6'!$B$16,"P finala sub prag",IF(V858&lt;'Config_v6'!$B$18,"Confidence sub prag",IF(E858="REPLAY","Exemplu retrospectiv; exclus din Top LIVE",IF(Y858="PASS","DEFENSIV validat",IF(W858="OOS PENDING","Eligibil; calibrare linie in monitorizare","Eligibil"))))))))))</x:f>
      </x:c>
      <x:c r="AI858" s="2" t="str">
        <x:f>IF(B858="","",'Calibrare_Linii'!V18)</x:f>
      </x:c>
      <x:c r="AJ858" s="2" t="str">
        <x:f>IF(B858="","",IF(AND('Calibrare_Linii'!T18="VALIDATED",AND('Calibrare_Linii'!H18=C858,ISNUMBER('Calibrare_Linii'!J18),'Calibrare_Linii'!J18&lt;='Input_Meci'!G66)),"DEFENSIVE VALIDATED",IF(AND('Calibrare_Linii'!S18="VALIDATED",AND('Calibrare_Linii'!H18=C858,ISNUMBER('Calibrare_Linii'!J18),'Calibrare_Linii'!J18&lt;='Input_Meci'!G66)),"TAIL VALIDATED","OOS PENDING")))</x:f>
      </x:c>
      <x:c r="AK858" s="2" t="n">
        <x:f>IF(J858&lt;&gt;"PASS",0,'Motor_Meciuri'!BR66)</x:f>
        <x:v>0</x:v>
      </x:c>
      <x:c r="AL858" s="2" t="n">
        <x:f>IF(J858&lt;&gt;"PASS",0,'Motor_Meciuri'!BS66)</x:f>
        <x:v>0</x:v>
      </x:c>
      <x:c r="AM858" s="2" t="n">
        <x:f>IF(J858&lt;&gt;"PASS",0,'Motor_Meciuri'!BT66)</x:f>
        <x:v>0</x:v>
      </x:c>
      <x:c r="AN858" s="2" t="str">
        <x:f>IF(M858="","",MAX(0,'Motor_Meciuri'!BF66-IF(L858&gt;'Config_v6'!$B$12,'Config_v6'!$B$37,IF(L858&gt;'Config_v6'!$B$11,'Config_v6'!$B$36,0))))</x:f>
      </x:c>
    </x:row>
    <x:row r="859" ht="21" customHeight="1">
      <x:c r="A859" s="2" t="n">
        <x:v>61</x:v>
      </x:c>
      <x:c r="B859" s="2" t="str">
        <x:f>IF('Motor_Meciuri'!A66="","",'Motor_Meciuri'!A66)</x:f>
      </x:c>
      <x:c r="C859" s="2" t="str">
        <x:f>IF(B859="","",'Motor_Meciuri'!B66)</x:f>
      </x:c>
      <x:c r="D859" s="2" t="str">
        <x:f>IF(B859="","",'Motor_Meciuri'!D66)</x:f>
      </x:c>
      <x:c r="E859" s="2" t="str">
        <x:f>IF(B859="","",'Motor_Meciuri'!E66)</x:f>
      </x:c>
      <x:c r="F859" s="2" t="str">
        <x:v>U17,5</x:v>
      </x:c>
      <x:c r="G859" s="2" t="str">
        <x:v>UNDER</x:v>
      </x:c>
      <x:c r="H859" s="2" t="n">
        <x:v>17</x:v>
      </x:c>
      <x:c r="I859" s="2" t="str">
        <x:f>IF(B859="","",'Motor_Meciuri'!H66)</x:f>
      </x:c>
      <x:c r="J859" s="2" t="str">
        <x:f>IF(B859="","",'Motor_Meciuri'!I66)</x:f>
      </x:c>
      <x:c r="K859" s="11" t="str">
        <x:f>IF(J859&lt;&gt;"PASS","",'Motor_Meciuri'!BD66)</x:f>
      </x:c>
      <x:c r="L859" s="11" t="str">
        <x:f>IF(J859&lt;&gt;"PASS","",'Motor_Meciuri'!AU66)</x:f>
      </x:c>
      <x:c r="M859" s="10" t="str">
        <x:f>IF(NOT(AND(J859="PASS",'Calibrare_Linii'!U19="VALID")),"",'Distributie'!AO66)</x:f>
      </x:c>
      <x:c r="N859" s="10" t="str">
        <x:f>IF(M859="","",MAX(0.01,MIN(0.99,0.5+(M859-0.5)*'Motor_Meciuri'!BG66*'Calibrare_Linii'!D19)))</x:f>
      </x:c>
      <x:c r="O859" s="10" t="str">
        <x:f>IF(M859="","",1-M859)</x:f>
      </x:c>
      <x:c r="P859" s="10" t="str">
        <x:f>IF(OR(NOT(AND(J859="PASS",'Calibrare_Linii'!U19="VALID")),AK859=0),""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*('Istoric_Nativ'!$Q$6:$Q$405&gt;H859))/AK859)</x:f>
      </x:c>
      <x:c r="Q859" s="10" t="str">
        <x:f>IF(OR(NOT(AND(J859="PASS",'Calibrare_Linii'!U19="VALID")),AL859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M66)+((('Istoric_Nativ'!$E$6:$E$405='Input_Meci'!E66)+('Istoric_Nativ'!$F$6:$F$405='Input_Meci'!E66))&gt;0)*('Istoric_Nativ'!$D$6:$D$405&gt;='Motor_Meciuri'!BN66))&gt;0)*('Istoric_Nativ'!$Q$6:$Q$405&gt;H859))/AL859)</x:f>
      </x:c>
      <x:c r="R859" s="10" t="str">
        <x:f>IF(OR(NOT(AND(J859="PASS",'Calibrare_Linii'!U19="VALID")),AM859=0),""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'Motor_Meciuri'!BO66)+((('Istoric_Nativ'!$E$6:$E$405='Input_Meci'!E66)+('Istoric_Nativ'!$F$6:$F$405='Input_Meci'!E66))&gt;0)*('Istoric_Nativ'!$D$6:$D$405&gt;='Motor_Meciuri'!BP66))&gt;0)*('Istoric_Nativ'!$Q$6:$Q$405&gt;H859))/AM859)</x:f>
      </x:c>
      <x:c r="S859" s="10" t="str">
        <x:f>IF(M859="","",MAX(O859,P859,Q859,R859))</x:f>
      </x:c>
      <x:c r="T859" s="11" t="str">
        <x:f>IF(M859="","",MIN(100,S859*100*'Config_v6'!$B$44+MIN(100,L859/'Config_v6'!$B$13*100)*'Config_v6'!$B$45+(100-'Motor_Meciuri'!BF66)*'Config_v6'!$B$46+'Motor_Meciuri'!BH66*100*'Config_v6'!$B$47))</x:f>
      </x:c>
      <x:c r="U859" s="2" t="str">
        <x:f>IF(T859="","",IF(T859&lt;=20,1,IF(T859&lt;=40,2,IF(T859&lt;=60,3,IF(T859&lt;=80,4,5)))))</x:f>
      </x:c>
      <x:c r="V859" s="2" t="str">
        <x:f>IF(M859="","",MAX(0,'Motor_Meciuri'!BF66-IF(W859="OOS PENDING",'Config_v6'!$B$35,0)-IF(L859&gt;'Config_v6'!$B$12,'Config_v6'!$B$37,IF(L859&gt;'Config_v6'!$B$11,'Config_v6'!$B$36,0))))</x:f>
      </x:c>
      <x:c r="W859" s="2" t="str">
        <x:f>IF(B859="","",IF(I859&lt;&gt;"READY","NOT RELEASED",IF(NOT(AND(J859="PASS",'Calibrare_Linii'!U19="VALID")),"INVALID",IF(NOT(AND('Calibrare_Linii'!S19="VALIDATED",AND('Calibrare_Linii'!H19=C859,ISNUMBER('Calibrare_Linii'!J19),'Calibrare_Linii'!J19&lt;='Input_Meci'!G66))),"OOS PENDING",IF(S859&lt;='Calibrare_Linii'!E19,"PASS",IF(S859&lt;='Calibrare_Linii'!F19,"PENALTY","WATCH"))))))</x:f>
      </x:c>
      <x:c r="X859" s="2" t="str">
        <x:f>IF(M859="","",IF(AND(AND(J859="PASS",'Calibrare_Linii'!U19="VALID"),'Motor_Meciuri'!K66=12,'Motor_Meciuri'!L66=12,'Motor_Meciuri'!M66="NO",'Motor_Meciuri'!BL66='Motor_Meciuri'!C66,AB859&gt;='Config_v6'!$B$50,AN859&gt;='Config_v6'!$B$51,T859&lt;='Config_v6'!$B$52,L859&lt;='Config_v6'!$B$53,ISNUMBER('Calibrare_Linii'!E19),S859&lt;='Calibrare_Linii'!E19,SUM(AK859:AM859)&gt;0),"CANDIDATE","NO"))</x:f>
      </x:c>
      <x:c r="Y859" s="2" t="str">
        <x:f>IF(B859="","",IF(I859&lt;&gt;"READY","NOT RELEASED",IF(AND(X859="CANDIDATE",V859&gt;='Config_v6'!$B$51,W859="PASS",'Calibrare_Linii'!T19="VALIDATED",AND('Calibrare_Linii'!H19=C859,ISNUMBER('Calibrare_Linii'!J19),'Calibrare_Linii'!J19&lt;='Input_Meci'!G66)),"PASS",IF(X859="CANDIDATE","OOS PENDING","FAIL"))))</x:f>
      </x:c>
      <x:c r="Z859" s="2" t="str">
        <x:f>IF(B859="","",IF(I859&lt;&gt;"READY","",IF(OR(NOT(AND(J859="PASS",'Calibrare_Linii'!U19="VALID")),L859&gt;'Config_v6'!$B$13,W859="WATCH"),5,IF(Y859="PASS",1,MIN(5,MAX('Config_v6'!$B$42,U859)+IF(W859="PENALTY",1,0))))))</x:f>
      </x:c>
      <x:c r="AA859" s="2" t="str">
        <x:f>IF(B859="","",IF(I859&lt;&gt;"READY","NOT RELEASED",IF(Z859=5,"NO BET",IF(OR(AB859&lt;'Config_v6'!$B$16,V859&lt;'Config_v6'!$B$18),"WATCH",IF(Z859=1,"DEFENSIV",IF(Z859=2,"PRUDENT",IF(Z859=3,"MODERAT","RIDICAT")))))))</x:f>
      </x:c>
      <x:c r="AB859" s="10" t="str">
        <x:f>IF(N859="","",MIN(N859,1-S859))</x:f>
      </x:c>
      <x:c r="AC859" s="2" t="str">
        <x:f>IF(AD859&lt;&gt;1,"",COUNTIFS($Z$846:$Z$859,"&lt;"&amp;Z859,$AD$846:$AD$859,1)+COUNTIFS($Z$846:$Z$859,Z859,$AB$846:$AB$859,"&gt;"&amp;AB859,$AD$846:$AD$859,1)+COUNTIFS($Z$846:$Z$859,Z859,$AB$846:$AB$859,AB859,$V$846:$V$859,"&gt;"&amp;V859,$AD$846:$AD$859,1)+COUNTIFS($Z$846:Z859,Z859,$AB$846:AB859,AB859,$V$846:V859,V859,$AD$846:AD859,1))</x:f>
      </x:c>
      <x:c r="AD859" s="2" t="n">
        <x:f>IF(OR(AA859="DEFENSIV",AA859="PRUDENT",AA859="MODERAT",AA859="RIDICAT"),1,0)</x:f>
        <x:v>0</x:v>
      </x:c>
      <x:c r="AE859" s="2" t="str">
        <x:f>IF(AD859&lt;&gt;1,"NO",IF(W859="PASS","YES",IF(W859="OOS PENDING","CONDITIONAL","NO")))</x:f>
        <x:v>NO</x:v>
      </x:c>
      <x:c r="AF859" s="2" t="n">
        <x:f>IF(AND(AD859=1,AC859=1,E859="LIVE"),1,0)</x:f>
        <x:v>0</x:v>
      </x:c>
      <x:c r="AG859" s="2" t="str">
        <x:f>IF(AF859&lt;&gt;1,"",'Dashboard'!P86)</x:f>
      </x:c>
      <x:c r="AH859" s="2" t="str">
        <x:f>IF(B859="","",IF(J859&lt;&gt;"PASS",'Motor_Meciuri'!J66,IF('Calibrare_Linii'!U19&lt;&gt;"VALID","Parametri linie invalizi",IF(L859&gt;'Config_v6'!$B$13,"Dispersie peste limita",IF(W859="WATCH","Failure peste limita",IF(AB859&lt;'Config_v6'!$B$16,"P finala sub prag",IF(V859&lt;'Config_v6'!$B$18,"Confidence sub prag",IF(E859="REPLAY","Exemplu retrospectiv; exclus din Top LIVE",IF(Y859="PASS","DEFENSIV validat",IF(W859="OOS PENDING","Eligibil; calibrare linie in monitorizare","Eligibil"))))))))))</x:f>
      </x:c>
      <x:c r="AI859" s="2" t="str">
        <x:f>IF(B859="","",'Calibrare_Linii'!V19)</x:f>
      </x:c>
      <x:c r="AJ859" s="2" t="str">
        <x:f>IF(B859="","",IF(AND('Calibrare_Linii'!T19="VALIDATED",AND('Calibrare_Linii'!H19=C859,ISNUMBER('Calibrare_Linii'!J19),'Calibrare_Linii'!J19&lt;='Input_Meci'!G66)),"DEFENSIVE VALIDATED",IF(AND('Calibrare_Linii'!S19="VALIDATED",AND('Calibrare_Linii'!H19=C859,ISNUMBER('Calibrare_Linii'!J19),'Calibrare_Linii'!J19&lt;='Input_Meci'!G66)),"TAIL VALIDATED","OOS PENDING")))</x:f>
      </x:c>
      <x:c r="AK859" s="2" t="n">
        <x:f>IF(J859&lt;&gt;"PASS",0,'Motor_Meciuri'!BR66)</x:f>
        <x:v>0</x:v>
      </x:c>
      <x:c r="AL859" s="2" t="n">
        <x:f>IF(J859&lt;&gt;"PASS",0,'Motor_Meciuri'!BS66)</x:f>
        <x:v>0</x:v>
      </x:c>
      <x:c r="AM859" s="2" t="n">
        <x:f>IF(J859&lt;&gt;"PASS",0,'Motor_Meciuri'!BT66)</x:f>
        <x:v>0</x:v>
      </x:c>
      <x:c r="AN859" s="2" t="str">
        <x:f>IF(M859="","",MAX(0,'Motor_Meciuri'!BF66-IF(L859&gt;'Config_v6'!$B$12,'Config_v6'!$B$37,IF(L859&gt;'Config_v6'!$B$11,'Config_v6'!$B$36,0))))</x:f>
      </x:c>
    </x:row>
    <x:row r="860" ht="21" customHeight="1">
      <x:c r="A860" s="2" t="n">
        <x:v>62</x:v>
      </x:c>
      <x:c r="B860" s="2" t="str">
        <x:f>IF('Motor_Meciuri'!A67="","",'Motor_Meciuri'!A67)</x:f>
      </x:c>
      <x:c r="C860" s="2" t="str">
        <x:f>IF(B860="","",'Motor_Meciuri'!B67)</x:f>
      </x:c>
      <x:c r="D860" s="2" t="str">
        <x:f>IF(B860="","",'Motor_Meciuri'!D67)</x:f>
      </x:c>
      <x:c r="E860" s="2" t="str">
        <x:f>IF(B860="","",'Motor_Meciuri'!E67)</x:f>
      </x:c>
      <x:c r="F860" s="2" t="str">
        <x:v>O3,5</x:v>
      </x:c>
      <x:c r="G860" s="2" t="str">
        <x:v>OVER</x:v>
      </x:c>
      <x:c r="H860" s="2" t="n">
        <x:v>3</x:v>
      </x:c>
      <x:c r="I860" s="2" t="str">
        <x:f>IF(B860="","",'Motor_Meciuri'!H67)</x:f>
      </x:c>
      <x:c r="J860" s="2" t="str">
        <x:f>IF(B860="","",'Motor_Meciuri'!I67)</x:f>
      </x:c>
      <x:c r="K860" s="11" t="str">
        <x:f>IF(J860&lt;&gt;"PASS","",'Motor_Meciuri'!BD67)</x:f>
      </x:c>
      <x:c r="L860" s="11" t="str">
        <x:f>IF(J860&lt;&gt;"PASS","",'Motor_Meciuri'!AU67)</x:f>
      </x:c>
      <x:c r="M860" s="10" t="str">
        <x:f>IF(NOT(AND(J860="PASS",'Calibrare_Linii'!U6="VALID")),"",1-'Distributie'!AA67)</x:f>
      </x:c>
      <x:c r="N860" s="10" t="str">
        <x:f>IF(M860="","",MAX(0.01,MIN(0.99,0.5+(M860-0.5)*'Motor_Meciuri'!BG67*'Calibrare_Linii'!D6)))</x:f>
      </x:c>
      <x:c r="O860" s="10" t="str">
        <x:f>IF(M860="","",1-M860)</x:f>
      </x:c>
      <x:c r="P860" s="10" t="str">
        <x:f>IF(OR(NOT(AND(J860="PASS",'Calibrare_Linii'!U6="VALID")),AK860=0),""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*('Istoric_Nativ'!$Q$6:$Q$405&lt;=H860))/AK860)</x:f>
      </x:c>
      <x:c r="Q860" s="10" t="str">
        <x:f>IF(OR(NOT(AND(J860="PASS",'Calibrare_Linii'!U6="VALID")),AL860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M67)+((('Istoric_Nativ'!$E$6:$E$405='Input_Meci'!E67)+('Istoric_Nativ'!$F$6:$F$405='Input_Meci'!E67))&gt;0)*('Istoric_Nativ'!$D$6:$D$405&gt;='Motor_Meciuri'!BN67))&gt;0)*('Istoric_Nativ'!$Q$6:$Q$405&lt;=H860))/AL860)</x:f>
      </x:c>
      <x:c r="R860" s="10" t="str">
        <x:f>IF(OR(NOT(AND(J860="PASS",'Calibrare_Linii'!U6="VALID")),AM860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O67)+((('Istoric_Nativ'!$E$6:$E$405='Input_Meci'!E67)+('Istoric_Nativ'!$F$6:$F$405='Input_Meci'!E67))&gt;0)*('Istoric_Nativ'!$D$6:$D$405&gt;='Motor_Meciuri'!BP67))&gt;0)*('Istoric_Nativ'!$Q$6:$Q$405&lt;=H860))/AM860)</x:f>
      </x:c>
      <x:c r="S860" s="10" t="str">
        <x:f>IF(M860="","",MAX(O860,P860,Q860,R860))</x:f>
      </x:c>
      <x:c r="T860" s="11" t="str">
        <x:f>IF(M860="","",MIN(100,S860*100*'Config_v6'!$B$44+MIN(100,L860/'Config_v6'!$B$13*100)*'Config_v6'!$B$45+(100-'Motor_Meciuri'!BF67)*'Config_v6'!$B$46+'Motor_Meciuri'!BH67*100*'Config_v6'!$B$47))</x:f>
      </x:c>
      <x:c r="U860" s="2" t="str">
        <x:f>IF(T860="","",IF(T860&lt;=20,1,IF(T860&lt;=40,2,IF(T860&lt;=60,3,IF(T860&lt;=80,4,5)))))</x:f>
      </x:c>
      <x:c r="V860" s="2" t="str">
        <x:f>IF(M860="","",MAX(0,'Motor_Meciuri'!BF67-IF(W860="OOS PENDING",'Config_v6'!$B$35,0)-IF(L860&gt;'Config_v6'!$B$12,'Config_v6'!$B$37,IF(L860&gt;'Config_v6'!$B$11,'Config_v6'!$B$36,0))))</x:f>
      </x:c>
      <x:c r="W860" s="2" t="str">
        <x:f>IF(B860="","",IF(I860&lt;&gt;"READY","NOT RELEASED",IF(NOT(AND(J860="PASS",'Calibrare_Linii'!U6="VALID")),"INVALID",IF(NOT(TRUE),"OOS PENDING",IF(S860&lt;=IF(AND('Calibrare_Linii'!S6="VALIDATED",AND('Calibrare_Linii'!H6=C860,ISNUMBER('Calibrare_Linii'!J6),'Calibrare_Linii'!J6&lt;='Input_Meci'!G67)),'Calibrare_Linii'!E6,'Config_v6'!$B$26),"PASS",IF(S860&lt;=IF(AND('Calibrare_Linii'!S6="VALIDATED",AND('Calibrare_Linii'!H6=C860,ISNUMBER('Calibrare_Linii'!J6),'Calibrare_Linii'!J6&lt;='Input_Meci'!G67)),'Calibrare_Linii'!F6,'Config_v6'!$C$26),"PENALTY","WATCH"))))))</x:f>
      </x:c>
      <x:c r="X860" s="2" t="str">
        <x:f>IF(M860="","",IF(AND(AND(J860="PASS",'Calibrare_Linii'!U6="VALID"),'Motor_Meciuri'!K67=12,'Motor_Meciuri'!L67=12,'Motor_Meciuri'!M67="NO",'Motor_Meciuri'!BL67='Motor_Meciuri'!C67,AB860&gt;='Config_v6'!$B$50,AN860&gt;='Config_v6'!$B$51,T860&lt;='Config_v6'!$B$52,L860&lt;='Config_v6'!$B$53,ISNUMBER('Calibrare_Linii'!E6),S860&lt;='Calibrare_Linii'!E6,SUM(AK860:AM860)&gt;0),"CANDIDATE","NO"))</x:f>
      </x:c>
      <x:c r="Y860" s="2" t="str">
        <x:f>IF(B860="","",IF(I860&lt;&gt;"READY","NOT RELEASED",IF(AND(X860="CANDIDATE",V860&gt;='Config_v6'!$B$51,W860="PASS",'Calibrare_Linii'!T6="VALIDATED",AND('Calibrare_Linii'!H6=C860,ISNUMBER('Calibrare_Linii'!J6),'Calibrare_Linii'!J6&lt;='Input_Meci'!G67)),"PASS",IF(X860="CANDIDATE","OOS PENDING","FAIL"))))</x:f>
      </x:c>
      <x:c r="Z860" s="2" t="str">
        <x:f>IF(B860="","",IF(I860&lt;&gt;"READY","",IF(OR(NOT(AND(J860="PASS",'Calibrare_Linii'!U6="VALID")),L860&gt;'Config_v6'!$B$13,W860="WATCH"),5,IF(Y860="PASS",1,MIN(5,MAX('Config_v6'!$B$42,U860)+IF(W860="PENALTY",1,0))))))</x:f>
      </x:c>
      <x:c r="AA860" s="2" t="str">
        <x:f>IF(B860="","",IF(I860&lt;&gt;"READY","NOT RELEASED",IF(Z860=5,"NO BET",IF(OR(AB860&lt;'Config_v6'!$B$16,V860&lt;'Config_v6'!$B$18),"WATCH",IF(Z860=1,"DEFENSIV",IF(Z860=2,"PRUDENT",IF(Z860=3,"MODERAT","RIDICAT")))))))</x:f>
      </x:c>
      <x:c r="AB860" s="10" t="str">
        <x:f>IF(N860="","",MIN(N860,1-S860))</x:f>
      </x:c>
      <x:c r="AC860" s="2" t="str">
        <x:f>IF(AD860&lt;&gt;1,"",COUNTIFS($Z$860:$Z$873,"&lt;"&amp;Z860,$AD$860:$AD$873,1)+COUNTIFS($Z$860:$Z$873,Z860,$AB$860:$AB$873,"&gt;"&amp;AB860,$AD$860:$AD$873,1)+COUNTIFS($Z$860:$Z$873,Z860,$AB$860:$AB$873,AB860,$V$860:$V$873,"&gt;"&amp;V860,$AD$860:$AD$873,1)+COUNTIFS($Z$860:Z860,Z860,$AB$860:AB860,AB860,$V$860:V860,V860,$AD$860:AD860,1))</x:f>
      </x:c>
      <x:c r="AD860" s="2" t="n">
        <x:f>IF(OR(AA860="DEFENSIV",AA860="PRUDENT",AA860="MODERAT",AA860="RIDICAT"),1,0)</x:f>
        <x:v>0</x:v>
      </x:c>
      <x:c r="AE860" s="2" t="str">
        <x:f>IF(AD860&lt;&gt;1,"NO",IF(W860="PASS","YES",IF(W860="OOS PENDING","CONDITIONAL","NO")))</x:f>
        <x:v>NO</x:v>
      </x:c>
      <x:c r="AF860" s="2" t="n">
        <x:f>IF(AND(AD860=1,AC860=1,E860="LIVE"),1,0)</x:f>
        <x:v>0</x:v>
      </x:c>
      <x:c r="AG860" s="2" t="str">
        <x:f>IF(AF860&lt;&gt;1,"",'Dashboard'!P87)</x:f>
      </x:c>
      <x:c r="AH860" s="2" t="str">
        <x:f>IF(B860="","",IF(J860&lt;&gt;"PASS",'Motor_Meciuri'!J67,IF('Calibrare_Linii'!U6&lt;&gt;"VALID","Parametri linie invalizi",IF(L860&gt;'Config_v6'!$B$13,"Dispersie peste limita",IF(W860="WATCH","Failure peste limita",IF(AB860&lt;'Config_v6'!$B$16,"P finala sub prag",IF(V860&lt;'Config_v6'!$B$18,"Confidence sub prag",IF(E860="REPLAY","Exemplu retrospectiv; exclus din Top LIVE",IF(Y860="PASS","DEFENSIV validat",IF(W860="OOS PENDING","Eligibil; calibrare linie in monitorizare","Eligibil"))))))))))</x:f>
      </x:c>
      <x:c r="AI860" s="2" t="str">
        <x:f>IF(B860="","",'Calibrare_Linii'!V6)</x:f>
      </x:c>
      <x:c r="AJ860" s="2" t="str">
        <x:f>IF(B860="","",IF(AND('Calibrare_Linii'!T6="VALIDATED",AND('Calibrare_Linii'!H6=C860,ISNUMBER('Calibrare_Linii'!J6),'Calibrare_Linii'!J6&lt;='Input_Meci'!G67)),"DEFENSIVE VALIDATED",IF(AND('Calibrare_Linii'!S6="VALIDATED",AND('Calibrare_Linii'!H6=C860,ISNUMBER('Calibrare_Linii'!J6),'Calibrare_Linii'!J6&lt;='Input_Meci'!G67)),"TAIL VALIDATED","OOS PENDING")))</x:f>
      </x:c>
      <x:c r="AK860" s="2" t="n">
        <x:f>IF(J860&lt;&gt;"PASS",0,'Motor_Meciuri'!BR67)</x:f>
        <x:v>0</x:v>
      </x:c>
      <x:c r="AL860" s="2" t="n">
        <x:f>IF(J860&lt;&gt;"PASS",0,'Motor_Meciuri'!BS67)</x:f>
        <x:v>0</x:v>
      </x:c>
      <x:c r="AM860" s="2" t="n">
        <x:f>IF(J860&lt;&gt;"PASS",0,'Motor_Meciuri'!BT67)</x:f>
        <x:v>0</x:v>
      </x:c>
      <x:c r="AN860" s="2" t="str">
        <x:f>IF(M860="","",MAX(0,'Motor_Meciuri'!BF67-IF(L860&gt;'Config_v6'!$B$12,'Config_v6'!$B$37,IF(L860&gt;'Config_v6'!$B$11,'Config_v6'!$B$36,0))))</x:f>
      </x:c>
    </x:row>
    <x:row r="861" ht="21" customHeight="1">
      <x:c r="A861" s="2" t="n">
        <x:v>62</x:v>
      </x:c>
      <x:c r="B861" s="2" t="str">
        <x:f>IF('Motor_Meciuri'!A67="","",'Motor_Meciuri'!A67)</x:f>
      </x:c>
      <x:c r="C861" s="2" t="str">
        <x:f>IF(B861="","",'Motor_Meciuri'!B67)</x:f>
      </x:c>
      <x:c r="D861" s="2" t="str">
        <x:f>IF(B861="","",'Motor_Meciuri'!D67)</x:f>
      </x:c>
      <x:c r="E861" s="2" t="str">
        <x:f>IF(B861="","",'Motor_Meciuri'!E67)</x:f>
      </x:c>
      <x:c r="F861" s="2" t="str">
        <x:v>O4,5</x:v>
      </x:c>
      <x:c r="G861" s="2" t="str">
        <x:v>OVER</x:v>
      </x:c>
      <x:c r="H861" s="2" t="n">
        <x:v>4</x:v>
      </x:c>
      <x:c r="I861" s="2" t="str">
        <x:f>IF(B861="","",'Motor_Meciuri'!H67)</x:f>
      </x:c>
      <x:c r="J861" s="2" t="str">
        <x:f>IF(B861="","",'Motor_Meciuri'!I67)</x:f>
      </x:c>
      <x:c r="K861" s="11" t="str">
        <x:f>IF(J861&lt;&gt;"PASS","",'Motor_Meciuri'!BD67)</x:f>
      </x:c>
      <x:c r="L861" s="11" t="str">
        <x:f>IF(J861&lt;&gt;"PASS","",'Motor_Meciuri'!AU67)</x:f>
      </x:c>
      <x:c r="M861" s="10" t="str">
        <x:f>IF(NOT(AND(J861="PASS",'Calibrare_Linii'!U7="VALID")),"",1-'Distributie'!AB67)</x:f>
      </x:c>
      <x:c r="N861" s="10" t="str">
        <x:f>IF(M861="","",MAX(0.01,MIN(0.99,0.5+(M861-0.5)*'Motor_Meciuri'!BG67*'Calibrare_Linii'!D7)))</x:f>
      </x:c>
      <x:c r="O861" s="10" t="str">
        <x:f>IF(M861="","",1-M861)</x:f>
      </x:c>
      <x:c r="P861" s="10" t="str">
        <x:f>IF(OR(NOT(AND(J861="PASS",'Calibrare_Linii'!U7="VALID")),AK861=0),""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*('Istoric_Nativ'!$Q$6:$Q$405&lt;=H861))/AK861)</x:f>
      </x:c>
      <x:c r="Q861" s="10" t="str">
        <x:f>IF(OR(NOT(AND(J861="PASS",'Calibrare_Linii'!U7="VALID")),AL861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M67)+((('Istoric_Nativ'!$E$6:$E$405='Input_Meci'!E67)+('Istoric_Nativ'!$F$6:$F$405='Input_Meci'!E67))&gt;0)*('Istoric_Nativ'!$D$6:$D$405&gt;='Motor_Meciuri'!BN67))&gt;0)*('Istoric_Nativ'!$Q$6:$Q$405&lt;=H861))/AL861)</x:f>
      </x:c>
      <x:c r="R861" s="10" t="str">
        <x:f>IF(OR(NOT(AND(J861="PASS",'Calibrare_Linii'!U7="VALID")),AM861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O67)+((('Istoric_Nativ'!$E$6:$E$405='Input_Meci'!E67)+('Istoric_Nativ'!$F$6:$F$405='Input_Meci'!E67))&gt;0)*('Istoric_Nativ'!$D$6:$D$405&gt;='Motor_Meciuri'!BP67))&gt;0)*('Istoric_Nativ'!$Q$6:$Q$405&lt;=H861))/AM861)</x:f>
      </x:c>
      <x:c r="S861" s="10" t="str">
        <x:f>IF(M861="","",MAX(O861,P861,Q861,R861))</x:f>
      </x:c>
      <x:c r="T861" s="11" t="str">
        <x:f>IF(M861="","",MIN(100,S861*100*'Config_v6'!$B$44+MIN(100,L861/'Config_v6'!$B$13*100)*'Config_v6'!$B$45+(100-'Motor_Meciuri'!BF67)*'Config_v6'!$B$46+'Motor_Meciuri'!BH67*100*'Config_v6'!$B$47))</x:f>
      </x:c>
      <x:c r="U861" s="2" t="str">
        <x:f>IF(T861="","",IF(T861&lt;=20,1,IF(T861&lt;=40,2,IF(T861&lt;=60,3,IF(T861&lt;=80,4,5)))))</x:f>
      </x:c>
      <x:c r="V861" s="2" t="str">
        <x:f>IF(M861="","",MAX(0,'Motor_Meciuri'!BF67-IF(W861="OOS PENDING",'Config_v6'!$B$35,0)-IF(L861&gt;'Config_v6'!$B$12,'Config_v6'!$B$37,IF(L861&gt;'Config_v6'!$B$11,'Config_v6'!$B$36,0))))</x:f>
      </x:c>
      <x:c r="W861" s="2" t="str">
        <x:f>IF(B861="","",IF(I861&lt;&gt;"READY","NOT RELEASED",IF(NOT(AND(J861="PASS",'Calibrare_Linii'!U7="VALID")),"INVALID",IF(NOT(AND('Calibrare_Linii'!S7="VALIDATED",AND('Calibrare_Linii'!H7=C861,ISNUMBER('Calibrare_Linii'!J7),'Calibrare_Linii'!J7&lt;='Input_Meci'!G67))),"OOS PENDING",IF(S861&lt;='Calibrare_Linii'!E7,"PASS",IF(S861&lt;='Calibrare_Linii'!F7,"PENALTY","WATCH"))))))</x:f>
      </x:c>
      <x:c r="X861" s="2" t="str">
        <x:f>IF(M861="","",IF(AND(AND(J861="PASS",'Calibrare_Linii'!U7="VALID"),'Motor_Meciuri'!K67=12,'Motor_Meciuri'!L67=12,'Motor_Meciuri'!M67="NO",'Motor_Meciuri'!BL67='Motor_Meciuri'!C67,AB861&gt;='Config_v6'!$B$50,AN861&gt;='Config_v6'!$B$51,T861&lt;='Config_v6'!$B$52,L861&lt;='Config_v6'!$B$53,ISNUMBER('Calibrare_Linii'!E7),S861&lt;='Calibrare_Linii'!E7,SUM(AK861:AM861)&gt;0),"CANDIDATE","NO"))</x:f>
      </x:c>
      <x:c r="Y861" s="2" t="str">
        <x:f>IF(B861="","",IF(I861&lt;&gt;"READY","NOT RELEASED",IF(AND(X861="CANDIDATE",V861&gt;='Config_v6'!$B$51,W861="PASS",'Calibrare_Linii'!T7="VALIDATED",AND('Calibrare_Linii'!H7=C861,ISNUMBER('Calibrare_Linii'!J7),'Calibrare_Linii'!J7&lt;='Input_Meci'!G67)),"PASS",IF(X861="CANDIDATE","OOS PENDING","FAIL"))))</x:f>
      </x:c>
      <x:c r="Z861" s="2" t="str">
        <x:f>IF(B861="","",IF(I861&lt;&gt;"READY","",IF(OR(NOT(AND(J861="PASS",'Calibrare_Linii'!U7="VALID")),L861&gt;'Config_v6'!$B$13,W861="WATCH"),5,IF(Y861="PASS",1,MIN(5,MAX('Config_v6'!$B$42,U861)+IF(W861="PENALTY",1,0))))))</x:f>
      </x:c>
      <x:c r="AA861" s="2" t="str">
        <x:f>IF(B861="","",IF(I861&lt;&gt;"READY","NOT RELEASED",IF(Z861=5,"NO BET",IF(OR(AB861&lt;'Config_v6'!$B$16,V861&lt;'Config_v6'!$B$18),"WATCH",IF(Z861=1,"DEFENSIV",IF(Z861=2,"PRUDENT",IF(Z861=3,"MODERAT","RIDICAT")))))))</x:f>
      </x:c>
      <x:c r="AB861" s="10" t="str">
        <x:f>IF(N861="","",MIN(N861,1-S861))</x:f>
      </x:c>
      <x:c r="AC861" s="2" t="str">
        <x:f>IF(AD861&lt;&gt;1,"",COUNTIFS($Z$860:$Z$873,"&lt;"&amp;Z861,$AD$860:$AD$873,1)+COUNTIFS($Z$860:$Z$873,Z861,$AB$860:$AB$873,"&gt;"&amp;AB861,$AD$860:$AD$873,1)+COUNTIFS($Z$860:$Z$873,Z861,$AB$860:$AB$873,AB861,$V$860:$V$873,"&gt;"&amp;V861,$AD$860:$AD$873,1)+COUNTIFS($Z$860:Z861,Z861,$AB$860:AB861,AB861,$V$860:V861,V861,$AD$860:AD861,1))</x:f>
      </x:c>
      <x:c r="AD861" s="2" t="n">
        <x:f>IF(OR(AA861="DEFENSIV",AA861="PRUDENT",AA861="MODERAT",AA861="RIDICAT"),1,0)</x:f>
        <x:v>0</x:v>
      </x:c>
      <x:c r="AE861" s="2" t="str">
        <x:f>IF(AD861&lt;&gt;1,"NO",IF(W861="PASS","YES",IF(W861="OOS PENDING","CONDITIONAL","NO")))</x:f>
        <x:v>NO</x:v>
      </x:c>
      <x:c r="AF861" s="2" t="n">
        <x:f>IF(AND(AD861=1,AC861=1,E861="LIVE"),1,0)</x:f>
        <x:v>0</x:v>
      </x:c>
      <x:c r="AG861" s="2" t="str">
        <x:f>IF(AF861&lt;&gt;1,"",'Dashboard'!P87)</x:f>
      </x:c>
      <x:c r="AH861" s="2" t="str">
        <x:f>IF(B861="","",IF(J861&lt;&gt;"PASS",'Motor_Meciuri'!J67,IF('Calibrare_Linii'!U7&lt;&gt;"VALID","Parametri linie invalizi",IF(L861&gt;'Config_v6'!$B$13,"Dispersie peste limita",IF(W861="WATCH","Failure peste limita",IF(AB861&lt;'Config_v6'!$B$16,"P finala sub prag",IF(V861&lt;'Config_v6'!$B$18,"Confidence sub prag",IF(E861="REPLAY","Exemplu retrospectiv; exclus din Top LIVE",IF(Y861="PASS","DEFENSIV validat",IF(W861="OOS PENDING","Eligibil; calibrare linie in monitorizare","Eligibil"))))))))))</x:f>
      </x:c>
      <x:c r="AI861" s="2" t="str">
        <x:f>IF(B861="","",'Calibrare_Linii'!V7)</x:f>
      </x:c>
      <x:c r="AJ861" s="2" t="str">
        <x:f>IF(B861="","",IF(AND('Calibrare_Linii'!T7="VALIDATED",AND('Calibrare_Linii'!H7=C861,ISNUMBER('Calibrare_Linii'!J7),'Calibrare_Linii'!J7&lt;='Input_Meci'!G67)),"DEFENSIVE VALIDATED",IF(AND('Calibrare_Linii'!S7="VALIDATED",AND('Calibrare_Linii'!H7=C861,ISNUMBER('Calibrare_Linii'!J7),'Calibrare_Linii'!J7&lt;='Input_Meci'!G67)),"TAIL VALIDATED","OOS PENDING")))</x:f>
      </x:c>
      <x:c r="AK861" s="2" t="n">
        <x:f>IF(J861&lt;&gt;"PASS",0,'Motor_Meciuri'!BR67)</x:f>
        <x:v>0</x:v>
      </x:c>
      <x:c r="AL861" s="2" t="n">
        <x:f>IF(J861&lt;&gt;"PASS",0,'Motor_Meciuri'!BS67)</x:f>
        <x:v>0</x:v>
      </x:c>
      <x:c r="AM861" s="2" t="n">
        <x:f>IF(J861&lt;&gt;"PASS",0,'Motor_Meciuri'!BT67)</x:f>
        <x:v>0</x:v>
      </x:c>
      <x:c r="AN861" s="2" t="str">
        <x:f>IF(M861="","",MAX(0,'Motor_Meciuri'!BF67-IF(L861&gt;'Config_v6'!$B$12,'Config_v6'!$B$37,IF(L861&gt;'Config_v6'!$B$11,'Config_v6'!$B$36,0))))</x:f>
      </x:c>
    </x:row>
    <x:row r="862" ht="21" customHeight="1">
      <x:c r="A862" s="2" t="n">
        <x:v>62</x:v>
      </x:c>
      <x:c r="B862" s="2" t="str">
        <x:f>IF('Motor_Meciuri'!A67="","",'Motor_Meciuri'!A67)</x:f>
      </x:c>
      <x:c r="C862" s="2" t="str">
        <x:f>IF(B862="","",'Motor_Meciuri'!B67)</x:f>
      </x:c>
      <x:c r="D862" s="2" t="str">
        <x:f>IF(B862="","",'Motor_Meciuri'!D67)</x:f>
      </x:c>
      <x:c r="E862" s="2" t="str">
        <x:f>IF(B862="","",'Motor_Meciuri'!E67)</x:f>
      </x:c>
      <x:c r="F862" s="2" t="str">
        <x:v>O5,5</x:v>
      </x:c>
      <x:c r="G862" s="2" t="str">
        <x:v>OVER</x:v>
      </x:c>
      <x:c r="H862" s="2" t="n">
        <x:v>5</x:v>
      </x:c>
      <x:c r="I862" s="2" t="str">
        <x:f>IF(B862="","",'Motor_Meciuri'!H67)</x:f>
      </x:c>
      <x:c r="J862" s="2" t="str">
        <x:f>IF(B862="","",'Motor_Meciuri'!I67)</x:f>
      </x:c>
      <x:c r="K862" s="11" t="str">
        <x:f>IF(J862&lt;&gt;"PASS","",'Motor_Meciuri'!BD67)</x:f>
      </x:c>
      <x:c r="L862" s="11" t="str">
        <x:f>IF(J862&lt;&gt;"PASS","",'Motor_Meciuri'!AU67)</x:f>
      </x:c>
      <x:c r="M862" s="10" t="str">
        <x:f>IF(NOT(AND(J862="PASS",'Calibrare_Linii'!U8="VALID")),"",1-'Distributie'!AC67)</x:f>
      </x:c>
      <x:c r="N862" s="10" t="str">
        <x:f>IF(M862="","",MAX(0.01,MIN(0.99,0.5+(M862-0.5)*'Motor_Meciuri'!BG67*'Calibrare_Linii'!D8)))</x:f>
      </x:c>
      <x:c r="O862" s="10" t="str">
        <x:f>IF(M862="","",1-M862)</x:f>
      </x:c>
      <x:c r="P862" s="10" t="str">
        <x:f>IF(OR(NOT(AND(J862="PASS",'Calibrare_Linii'!U8="VALID")),AK862=0),""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*('Istoric_Nativ'!$Q$6:$Q$405&lt;=H862))/AK862)</x:f>
      </x:c>
      <x:c r="Q862" s="10" t="str">
        <x:f>IF(OR(NOT(AND(J862="PASS",'Calibrare_Linii'!U8="VALID")),AL862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M67)+((('Istoric_Nativ'!$E$6:$E$405='Input_Meci'!E67)+('Istoric_Nativ'!$F$6:$F$405='Input_Meci'!E67))&gt;0)*('Istoric_Nativ'!$D$6:$D$405&gt;='Motor_Meciuri'!BN67))&gt;0)*('Istoric_Nativ'!$Q$6:$Q$405&lt;=H862))/AL862)</x:f>
      </x:c>
      <x:c r="R862" s="10" t="str">
        <x:f>IF(OR(NOT(AND(J862="PASS",'Calibrare_Linii'!U8="VALID")),AM862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O67)+((('Istoric_Nativ'!$E$6:$E$405='Input_Meci'!E67)+('Istoric_Nativ'!$F$6:$F$405='Input_Meci'!E67))&gt;0)*('Istoric_Nativ'!$D$6:$D$405&gt;='Motor_Meciuri'!BP67))&gt;0)*('Istoric_Nativ'!$Q$6:$Q$405&lt;=H862))/AM862)</x:f>
      </x:c>
      <x:c r="S862" s="10" t="str">
        <x:f>IF(M862="","",MAX(O862,P862,Q862,R862))</x:f>
      </x:c>
      <x:c r="T862" s="11" t="str">
        <x:f>IF(M862="","",MIN(100,S862*100*'Config_v6'!$B$44+MIN(100,L862/'Config_v6'!$B$13*100)*'Config_v6'!$B$45+(100-'Motor_Meciuri'!BF67)*'Config_v6'!$B$46+'Motor_Meciuri'!BH67*100*'Config_v6'!$B$47))</x:f>
      </x:c>
      <x:c r="U862" s="2" t="str">
        <x:f>IF(T862="","",IF(T862&lt;=20,1,IF(T862&lt;=40,2,IF(T862&lt;=60,3,IF(T862&lt;=80,4,5)))))</x:f>
      </x:c>
      <x:c r="V862" s="2" t="str">
        <x:f>IF(M862="","",MAX(0,'Motor_Meciuri'!BF67-IF(W862="OOS PENDING",'Config_v6'!$B$35,0)-IF(L862&gt;'Config_v6'!$B$12,'Config_v6'!$B$37,IF(L862&gt;'Config_v6'!$B$11,'Config_v6'!$B$36,0))))</x:f>
      </x:c>
      <x:c r="W862" s="2" t="str">
        <x:f>IF(B862="","",IF(I862&lt;&gt;"READY","NOT RELEASED",IF(NOT(AND(J862="PASS",'Calibrare_Linii'!U8="VALID")),"INVALID",IF(NOT(AND('Calibrare_Linii'!S8="VALIDATED",AND('Calibrare_Linii'!H8=C862,ISNUMBER('Calibrare_Linii'!J8),'Calibrare_Linii'!J8&lt;='Input_Meci'!G67))),"OOS PENDING",IF(S862&lt;='Calibrare_Linii'!E8,"PASS",IF(S862&lt;='Calibrare_Linii'!F8,"PENALTY","WATCH"))))))</x:f>
      </x:c>
      <x:c r="X862" s="2" t="str">
        <x:f>IF(M862="","",IF(AND(AND(J862="PASS",'Calibrare_Linii'!U8="VALID"),'Motor_Meciuri'!K67=12,'Motor_Meciuri'!L67=12,'Motor_Meciuri'!M67="NO",'Motor_Meciuri'!BL67='Motor_Meciuri'!C67,AB862&gt;='Config_v6'!$B$50,AN862&gt;='Config_v6'!$B$51,T862&lt;='Config_v6'!$B$52,L862&lt;='Config_v6'!$B$53,ISNUMBER('Calibrare_Linii'!E8),S862&lt;='Calibrare_Linii'!E8,SUM(AK862:AM862)&gt;0),"CANDIDATE","NO"))</x:f>
      </x:c>
      <x:c r="Y862" s="2" t="str">
        <x:f>IF(B862="","",IF(I862&lt;&gt;"READY","NOT RELEASED",IF(AND(X862="CANDIDATE",V862&gt;='Config_v6'!$B$51,W862="PASS",'Calibrare_Linii'!T8="VALIDATED",AND('Calibrare_Linii'!H8=C862,ISNUMBER('Calibrare_Linii'!J8),'Calibrare_Linii'!J8&lt;='Input_Meci'!G67)),"PASS",IF(X862="CANDIDATE","OOS PENDING","FAIL"))))</x:f>
      </x:c>
      <x:c r="Z862" s="2" t="str">
        <x:f>IF(B862="","",IF(I862&lt;&gt;"READY","",IF(OR(NOT(AND(J862="PASS",'Calibrare_Linii'!U8="VALID")),L862&gt;'Config_v6'!$B$13,W862="WATCH"),5,IF(Y862="PASS",1,MIN(5,MAX('Config_v6'!$B$42,U862)+IF(W862="PENALTY",1,0))))))</x:f>
      </x:c>
      <x:c r="AA862" s="2" t="str">
        <x:f>IF(B862="","",IF(I862&lt;&gt;"READY","NOT RELEASED",IF(Z862=5,"NO BET",IF(OR(AB862&lt;'Config_v6'!$B$16,V862&lt;'Config_v6'!$B$18),"WATCH",IF(Z862=1,"DEFENSIV",IF(Z862=2,"PRUDENT",IF(Z862=3,"MODERAT","RIDICAT")))))))</x:f>
      </x:c>
      <x:c r="AB862" s="10" t="str">
        <x:f>IF(N862="","",MIN(N862,1-S862))</x:f>
      </x:c>
      <x:c r="AC862" s="2" t="str">
        <x:f>IF(AD862&lt;&gt;1,"",COUNTIFS($Z$860:$Z$873,"&lt;"&amp;Z862,$AD$860:$AD$873,1)+COUNTIFS($Z$860:$Z$873,Z862,$AB$860:$AB$873,"&gt;"&amp;AB862,$AD$860:$AD$873,1)+COUNTIFS($Z$860:$Z$873,Z862,$AB$860:$AB$873,AB862,$V$860:$V$873,"&gt;"&amp;V862,$AD$860:$AD$873,1)+COUNTIFS($Z$860:Z862,Z862,$AB$860:AB862,AB862,$V$860:V862,V862,$AD$860:AD862,1))</x:f>
      </x:c>
      <x:c r="AD862" s="2" t="n">
        <x:f>IF(OR(AA862="DEFENSIV",AA862="PRUDENT",AA862="MODERAT",AA862="RIDICAT"),1,0)</x:f>
        <x:v>0</x:v>
      </x:c>
      <x:c r="AE862" s="2" t="str">
        <x:f>IF(AD862&lt;&gt;1,"NO",IF(W862="PASS","YES",IF(W862="OOS PENDING","CONDITIONAL","NO")))</x:f>
        <x:v>NO</x:v>
      </x:c>
      <x:c r="AF862" s="2" t="n">
        <x:f>IF(AND(AD862=1,AC862=1,E862="LIVE"),1,0)</x:f>
        <x:v>0</x:v>
      </x:c>
      <x:c r="AG862" s="2" t="str">
        <x:f>IF(AF862&lt;&gt;1,"",'Dashboard'!P87)</x:f>
      </x:c>
      <x:c r="AH862" s="2" t="str">
        <x:f>IF(B862="","",IF(J862&lt;&gt;"PASS",'Motor_Meciuri'!J67,IF('Calibrare_Linii'!U8&lt;&gt;"VALID","Parametri linie invalizi",IF(L862&gt;'Config_v6'!$B$13,"Dispersie peste limita",IF(W862="WATCH","Failure peste limita",IF(AB862&lt;'Config_v6'!$B$16,"P finala sub prag",IF(V862&lt;'Config_v6'!$B$18,"Confidence sub prag",IF(E862="REPLAY","Exemplu retrospectiv; exclus din Top LIVE",IF(Y862="PASS","DEFENSIV validat",IF(W862="OOS PENDING","Eligibil; calibrare linie in monitorizare","Eligibil"))))))))))</x:f>
      </x:c>
      <x:c r="AI862" s="2" t="str">
        <x:f>IF(B862="","",'Calibrare_Linii'!V8)</x:f>
      </x:c>
      <x:c r="AJ862" s="2" t="str">
        <x:f>IF(B862="","",IF(AND('Calibrare_Linii'!T8="VALIDATED",AND('Calibrare_Linii'!H8=C862,ISNUMBER('Calibrare_Linii'!J8),'Calibrare_Linii'!J8&lt;='Input_Meci'!G67)),"DEFENSIVE VALIDATED",IF(AND('Calibrare_Linii'!S8="VALIDATED",AND('Calibrare_Linii'!H8=C862,ISNUMBER('Calibrare_Linii'!J8),'Calibrare_Linii'!J8&lt;='Input_Meci'!G67)),"TAIL VALIDATED","OOS PENDING")))</x:f>
      </x:c>
      <x:c r="AK862" s="2" t="n">
        <x:f>IF(J862&lt;&gt;"PASS",0,'Motor_Meciuri'!BR67)</x:f>
        <x:v>0</x:v>
      </x:c>
      <x:c r="AL862" s="2" t="n">
        <x:f>IF(J862&lt;&gt;"PASS",0,'Motor_Meciuri'!BS67)</x:f>
        <x:v>0</x:v>
      </x:c>
      <x:c r="AM862" s="2" t="n">
        <x:f>IF(J862&lt;&gt;"PASS",0,'Motor_Meciuri'!BT67)</x:f>
        <x:v>0</x:v>
      </x:c>
      <x:c r="AN862" s="2" t="str">
        <x:f>IF(M862="","",MAX(0,'Motor_Meciuri'!BF67-IF(L862&gt;'Config_v6'!$B$12,'Config_v6'!$B$37,IF(L862&gt;'Config_v6'!$B$11,'Config_v6'!$B$36,0))))</x:f>
      </x:c>
    </x:row>
    <x:row r="863" ht="21" customHeight="1">
      <x:c r="A863" s="2" t="n">
        <x:v>62</x:v>
      </x:c>
      <x:c r="B863" s="2" t="str">
        <x:f>IF('Motor_Meciuri'!A67="","",'Motor_Meciuri'!A67)</x:f>
      </x:c>
      <x:c r="C863" s="2" t="str">
        <x:f>IF(B863="","",'Motor_Meciuri'!B67)</x:f>
      </x:c>
      <x:c r="D863" s="2" t="str">
        <x:f>IF(B863="","",'Motor_Meciuri'!D67)</x:f>
      </x:c>
      <x:c r="E863" s="2" t="str">
        <x:f>IF(B863="","",'Motor_Meciuri'!E67)</x:f>
      </x:c>
      <x:c r="F863" s="2" t="str">
        <x:v>O6,5</x:v>
      </x:c>
      <x:c r="G863" s="2" t="str">
        <x:v>OVER</x:v>
      </x:c>
      <x:c r="H863" s="2" t="n">
        <x:v>6</x:v>
      </x:c>
      <x:c r="I863" s="2" t="str">
        <x:f>IF(B863="","",'Motor_Meciuri'!H67)</x:f>
      </x:c>
      <x:c r="J863" s="2" t="str">
        <x:f>IF(B863="","",'Motor_Meciuri'!I67)</x:f>
      </x:c>
      <x:c r="K863" s="11" t="str">
        <x:f>IF(J863&lt;&gt;"PASS","",'Motor_Meciuri'!BD67)</x:f>
      </x:c>
      <x:c r="L863" s="11" t="str">
        <x:f>IF(J863&lt;&gt;"PASS","",'Motor_Meciuri'!AU67)</x:f>
      </x:c>
      <x:c r="M863" s="10" t="str">
        <x:f>IF(NOT(AND(J863="PASS",'Calibrare_Linii'!U9="VALID")),"",1-'Distributie'!AD67)</x:f>
      </x:c>
      <x:c r="N863" s="10" t="str">
        <x:f>IF(M863="","",MAX(0.01,MIN(0.99,0.5+(M863-0.5)*'Motor_Meciuri'!BG67*'Calibrare_Linii'!D9)))</x:f>
      </x:c>
      <x:c r="O863" s="10" t="str">
        <x:f>IF(M863="","",1-M863)</x:f>
      </x:c>
      <x:c r="P863" s="10" t="str">
        <x:f>IF(OR(NOT(AND(J863="PASS",'Calibrare_Linii'!U9="VALID")),AK863=0),""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*('Istoric_Nativ'!$Q$6:$Q$405&lt;=H863))/AK863)</x:f>
      </x:c>
      <x:c r="Q863" s="10" t="str">
        <x:f>IF(OR(NOT(AND(J863="PASS",'Calibrare_Linii'!U9="VALID")),AL863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M67)+((('Istoric_Nativ'!$E$6:$E$405='Input_Meci'!E67)+('Istoric_Nativ'!$F$6:$F$405='Input_Meci'!E67))&gt;0)*('Istoric_Nativ'!$D$6:$D$405&gt;='Motor_Meciuri'!BN67))&gt;0)*('Istoric_Nativ'!$Q$6:$Q$405&lt;=H863))/AL863)</x:f>
      </x:c>
      <x:c r="R863" s="10" t="str">
        <x:f>IF(OR(NOT(AND(J863="PASS",'Calibrare_Linii'!U9="VALID")),AM863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O67)+((('Istoric_Nativ'!$E$6:$E$405='Input_Meci'!E67)+('Istoric_Nativ'!$F$6:$F$405='Input_Meci'!E67))&gt;0)*('Istoric_Nativ'!$D$6:$D$405&gt;='Motor_Meciuri'!BP67))&gt;0)*('Istoric_Nativ'!$Q$6:$Q$405&lt;=H863))/AM863)</x:f>
      </x:c>
      <x:c r="S863" s="10" t="str">
        <x:f>IF(M863="","",MAX(O863,P863,Q863,R863))</x:f>
      </x:c>
      <x:c r="T863" s="11" t="str">
        <x:f>IF(M863="","",MIN(100,S863*100*'Config_v6'!$B$44+MIN(100,L863/'Config_v6'!$B$13*100)*'Config_v6'!$B$45+(100-'Motor_Meciuri'!BF67)*'Config_v6'!$B$46+'Motor_Meciuri'!BH67*100*'Config_v6'!$B$47))</x:f>
      </x:c>
      <x:c r="U863" s="2" t="str">
        <x:f>IF(T863="","",IF(T863&lt;=20,1,IF(T863&lt;=40,2,IF(T863&lt;=60,3,IF(T863&lt;=80,4,5)))))</x:f>
      </x:c>
      <x:c r="V863" s="2" t="str">
        <x:f>IF(M863="","",MAX(0,'Motor_Meciuri'!BF67-IF(W863="OOS PENDING",'Config_v6'!$B$35,0)-IF(L863&gt;'Config_v6'!$B$12,'Config_v6'!$B$37,IF(L863&gt;'Config_v6'!$B$11,'Config_v6'!$B$36,0))))</x:f>
      </x:c>
      <x:c r="W863" s="2" t="str">
        <x:f>IF(B863="","",IF(I863&lt;&gt;"READY","NOT RELEASED",IF(NOT(AND(J863="PASS",'Calibrare_Linii'!U9="VALID")),"INVALID",IF(NOT(AND('Calibrare_Linii'!S9="VALIDATED",AND('Calibrare_Linii'!H9=C863,ISNUMBER('Calibrare_Linii'!J9),'Calibrare_Linii'!J9&lt;='Input_Meci'!G67))),"OOS PENDING",IF(S863&lt;='Calibrare_Linii'!E9,"PASS",IF(S863&lt;='Calibrare_Linii'!F9,"PENALTY","WATCH"))))))</x:f>
      </x:c>
      <x:c r="X863" s="2" t="str">
        <x:f>IF(M863="","",IF(AND(AND(J863="PASS",'Calibrare_Linii'!U9="VALID"),'Motor_Meciuri'!K67=12,'Motor_Meciuri'!L67=12,'Motor_Meciuri'!M67="NO",'Motor_Meciuri'!BL67='Motor_Meciuri'!C67,AB863&gt;='Config_v6'!$B$50,AN863&gt;='Config_v6'!$B$51,T863&lt;='Config_v6'!$B$52,L863&lt;='Config_v6'!$B$53,ISNUMBER('Calibrare_Linii'!E9),S863&lt;='Calibrare_Linii'!E9,SUM(AK863:AM863)&gt;0),"CANDIDATE","NO"))</x:f>
      </x:c>
      <x:c r="Y863" s="2" t="str">
        <x:f>IF(B863="","",IF(I863&lt;&gt;"READY","NOT RELEASED",IF(AND(X863="CANDIDATE",V863&gt;='Config_v6'!$B$51,W863="PASS",'Calibrare_Linii'!T9="VALIDATED",AND('Calibrare_Linii'!H9=C863,ISNUMBER('Calibrare_Linii'!J9),'Calibrare_Linii'!J9&lt;='Input_Meci'!G67)),"PASS",IF(X863="CANDIDATE","OOS PENDING","FAIL"))))</x:f>
      </x:c>
      <x:c r="Z863" s="2" t="str">
        <x:f>IF(B863="","",IF(I863&lt;&gt;"READY","",IF(OR(NOT(AND(J863="PASS",'Calibrare_Linii'!U9="VALID")),L863&gt;'Config_v6'!$B$13,W863="WATCH"),5,IF(Y863="PASS",1,MIN(5,MAX('Config_v6'!$B$42,U863)+IF(W863="PENALTY",1,0))))))</x:f>
      </x:c>
      <x:c r="AA863" s="2" t="str">
        <x:f>IF(B863="","",IF(I863&lt;&gt;"READY","NOT RELEASED",IF(Z863=5,"NO BET",IF(OR(AB863&lt;'Config_v6'!$B$16,V863&lt;'Config_v6'!$B$18),"WATCH",IF(Z863=1,"DEFENSIV",IF(Z863=2,"PRUDENT",IF(Z863=3,"MODERAT","RIDICAT")))))))</x:f>
      </x:c>
      <x:c r="AB863" s="10" t="str">
        <x:f>IF(N863="","",MIN(N863,1-S863))</x:f>
      </x:c>
      <x:c r="AC863" s="2" t="str">
        <x:f>IF(AD863&lt;&gt;1,"",COUNTIFS($Z$860:$Z$873,"&lt;"&amp;Z863,$AD$860:$AD$873,1)+COUNTIFS($Z$860:$Z$873,Z863,$AB$860:$AB$873,"&gt;"&amp;AB863,$AD$860:$AD$873,1)+COUNTIFS($Z$860:$Z$873,Z863,$AB$860:$AB$873,AB863,$V$860:$V$873,"&gt;"&amp;V863,$AD$860:$AD$873,1)+COUNTIFS($Z$860:Z863,Z863,$AB$860:AB863,AB863,$V$860:V863,V863,$AD$860:AD863,1))</x:f>
      </x:c>
      <x:c r="AD863" s="2" t="n">
        <x:f>IF(OR(AA863="DEFENSIV",AA863="PRUDENT",AA863="MODERAT",AA863="RIDICAT"),1,0)</x:f>
        <x:v>0</x:v>
      </x:c>
      <x:c r="AE863" s="2" t="str">
        <x:f>IF(AD863&lt;&gt;1,"NO",IF(W863="PASS","YES",IF(W863="OOS PENDING","CONDITIONAL","NO")))</x:f>
        <x:v>NO</x:v>
      </x:c>
      <x:c r="AF863" s="2" t="n">
        <x:f>IF(AND(AD863=1,AC863=1,E863="LIVE"),1,0)</x:f>
        <x:v>0</x:v>
      </x:c>
      <x:c r="AG863" s="2" t="str">
        <x:f>IF(AF863&lt;&gt;1,"",'Dashboard'!P87)</x:f>
      </x:c>
      <x:c r="AH863" s="2" t="str">
        <x:f>IF(B863="","",IF(J863&lt;&gt;"PASS",'Motor_Meciuri'!J67,IF('Calibrare_Linii'!U9&lt;&gt;"VALID","Parametri linie invalizi",IF(L863&gt;'Config_v6'!$B$13,"Dispersie peste limita",IF(W863="WATCH","Failure peste limita",IF(AB863&lt;'Config_v6'!$B$16,"P finala sub prag",IF(V863&lt;'Config_v6'!$B$18,"Confidence sub prag",IF(E863="REPLAY","Exemplu retrospectiv; exclus din Top LIVE",IF(Y863="PASS","DEFENSIV validat",IF(W863="OOS PENDING","Eligibil; calibrare linie in monitorizare","Eligibil"))))))))))</x:f>
      </x:c>
      <x:c r="AI863" s="2" t="str">
        <x:f>IF(B863="","",'Calibrare_Linii'!V9)</x:f>
      </x:c>
      <x:c r="AJ863" s="2" t="str">
        <x:f>IF(B863="","",IF(AND('Calibrare_Linii'!T9="VALIDATED",AND('Calibrare_Linii'!H9=C863,ISNUMBER('Calibrare_Linii'!J9),'Calibrare_Linii'!J9&lt;='Input_Meci'!G67)),"DEFENSIVE VALIDATED",IF(AND('Calibrare_Linii'!S9="VALIDATED",AND('Calibrare_Linii'!H9=C863,ISNUMBER('Calibrare_Linii'!J9),'Calibrare_Linii'!J9&lt;='Input_Meci'!G67)),"TAIL VALIDATED","OOS PENDING")))</x:f>
      </x:c>
      <x:c r="AK863" s="2" t="n">
        <x:f>IF(J863&lt;&gt;"PASS",0,'Motor_Meciuri'!BR67)</x:f>
        <x:v>0</x:v>
      </x:c>
      <x:c r="AL863" s="2" t="n">
        <x:f>IF(J863&lt;&gt;"PASS",0,'Motor_Meciuri'!BS67)</x:f>
        <x:v>0</x:v>
      </x:c>
      <x:c r="AM863" s="2" t="n">
        <x:f>IF(J863&lt;&gt;"PASS",0,'Motor_Meciuri'!BT67)</x:f>
        <x:v>0</x:v>
      </x:c>
      <x:c r="AN863" s="2" t="str">
        <x:f>IF(M863="","",MAX(0,'Motor_Meciuri'!BF67-IF(L863&gt;'Config_v6'!$B$12,'Config_v6'!$B$37,IF(L863&gt;'Config_v6'!$B$11,'Config_v6'!$B$36,0))))</x:f>
      </x:c>
    </x:row>
    <x:row r="864" ht="21" customHeight="1">
      <x:c r="A864" s="2" t="n">
        <x:v>62</x:v>
      </x:c>
      <x:c r="B864" s="2" t="str">
        <x:f>IF('Motor_Meciuri'!A67="","",'Motor_Meciuri'!A67)</x:f>
      </x:c>
      <x:c r="C864" s="2" t="str">
        <x:f>IF(B864="","",'Motor_Meciuri'!B67)</x:f>
      </x:c>
      <x:c r="D864" s="2" t="str">
        <x:f>IF(B864="","",'Motor_Meciuri'!D67)</x:f>
      </x:c>
      <x:c r="E864" s="2" t="str">
        <x:f>IF(B864="","",'Motor_Meciuri'!E67)</x:f>
      </x:c>
      <x:c r="F864" s="2" t="str">
        <x:v>O7,5</x:v>
      </x:c>
      <x:c r="G864" s="2" t="str">
        <x:v>OVER</x:v>
      </x:c>
      <x:c r="H864" s="2" t="n">
        <x:v>7</x:v>
      </x:c>
      <x:c r="I864" s="2" t="str">
        <x:f>IF(B864="","",'Motor_Meciuri'!H67)</x:f>
      </x:c>
      <x:c r="J864" s="2" t="str">
        <x:f>IF(B864="","",'Motor_Meciuri'!I67)</x:f>
      </x:c>
      <x:c r="K864" s="11" t="str">
        <x:f>IF(J864&lt;&gt;"PASS","",'Motor_Meciuri'!BD67)</x:f>
      </x:c>
      <x:c r="L864" s="11" t="str">
        <x:f>IF(J864&lt;&gt;"PASS","",'Motor_Meciuri'!AU67)</x:f>
      </x:c>
      <x:c r="M864" s="10" t="str">
        <x:f>IF(NOT(AND(J864="PASS",'Calibrare_Linii'!U10="VALID")),"",1-'Distributie'!AE67)</x:f>
      </x:c>
      <x:c r="N864" s="10" t="str">
        <x:f>IF(M864="","",MAX(0.01,MIN(0.99,0.5+(M864-0.5)*'Motor_Meciuri'!BG67*'Calibrare_Linii'!D10)))</x:f>
      </x:c>
      <x:c r="O864" s="10" t="str">
        <x:f>IF(M864="","",1-M864)</x:f>
      </x:c>
      <x:c r="P864" s="10" t="str">
        <x:f>IF(OR(NOT(AND(J864="PASS",'Calibrare_Linii'!U10="VALID")),AK864=0),""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*('Istoric_Nativ'!$Q$6:$Q$405&lt;=H864))/AK864)</x:f>
      </x:c>
      <x:c r="Q864" s="10" t="str">
        <x:f>IF(OR(NOT(AND(J864="PASS",'Calibrare_Linii'!U10="VALID")),AL864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M67)+((('Istoric_Nativ'!$E$6:$E$405='Input_Meci'!E67)+('Istoric_Nativ'!$F$6:$F$405='Input_Meci'!E67))&gt;0)*('Istoric_Nativ'!$D$6:$D$405&gt;='Motor_Meciuri'!BN67))&gt;0)*('Istoric_Nativ'!$Q$6:$Q$405&lt;=H864))/AL864)</x:f>
      </x:c>
      <x:c r="R864" s="10" t="str">
        <x:f>IF(OR(NOT(AND(J864="PASS",'Calibrare_Linii'!U10="VALID")),AM864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O67)+((('Istoric_Nativ'!$E$6:$E$405='Input_Meci'!E67)+('Istoric_Nativ'!$F$6:$F$405='Input_Meci'!E67))&gt;0)*('Istoric_Nativ'!$D$6:$D$405&gt;='Motor_Meciuri'!BP67))&gt;0)*('Istoric_Nativ'!$Q$6:$Q$405&lt;=H864))/AM864)</x:f>
      </x:c>
      <x:c r="S864" s="10" t="str">
        <x:f>IF(M864="","",MAX(O864,P864,Q864,R864))</x:f>
      </x:c>
      <x:c r="T864" s="11" t="str">
        <x:f>IF(M864="","",MIN(100,S864*100*'Config_v6'!$B$44+MIN(100,L864/'Config_v6'!$B$13*100)*'Config_v6'!$B$45+(100-'Motor_Meciuri'!BF67)*'Config_v6'!$B$46+'Motor_Meciuri'!BH67*100*'Config_v6'!$B$47))</x:f>
      </x:c>
      <x:c r="U864" s="2" t="str">
        <x:f>IF(T864="","",IF(T864&lt;=20,1,IF(T864&lt;=40,2,IF(T864&lt;=60,3,IF(T864&lt;=80,4,5)))))</x:f>
      </x:c>
      <x:c r="V864" s="2" t="str">
        <x:f>IF(M864="","",MAX(0,'Motor_Meciuri'!BF67-IF(W864="OOS PENDING",'Config_v6'!$B$35,0)-IF(L864&gt;'Config_v6'!$B$12,'Config_v6'!$B$37,IF(L864&gt;'Config_v6'!$B$11,'Config_v6'!$B$36,0))))</x:f>
      </x:c>
      <x:c r="W864" s="2" t="str">
        <x:f>IF(B864="","",IF(I864&lt;&gt;"READY","NOT RELEASED",IF(NOT(AND(J864="PASS",'Calibrare_Linii'!U10="VALID")),"INVALID",IF(NOT(AND('Calibrare_Linii'!S10="VALIDATED",AND('Calibrare_Linii'!H10=C864,ISNUMBER('Calibrare_Linii'!J10),'Calibrare_Linii'!J10&lt;='Input_Meci'!G67))),"OOS PENDING",IF(S864&lt;='Calibrare_Linii'!E10,"PASS",IF(S864&lt;='Calibrare_Linii'!F10,"PENALTY","WATCH"))))))</x:f>
      </x:c>
      <x:c r="X864" s="2" t="str">
        <x:f>IF(M864="","",IF(AND(AND(J864="PASS",'Calibrare_Linii'!U10="VALID"),'Motor_Meciuri'!K67=12,'Motor_Meciuri'!L67=12,'Motor_Meciuri'!M67="NO",'Motor_Meciuri'!BL67='Motor_Meciuri'!C67,AB864&gt;='Config_v6'!$B$50,AN864&gt;='Config_v6'!$B$51,T864&lt;='Config_v6'!$B$52,L864&lt;='Config_v6'!$B$53,ISNUMBER('Calibrare_Linii'!E10),S864&lt;='Calibrare_Linii'!E10,SUM(AK864:AM864)&gt;0),"CANDIDATE","NO"))</x:f>
      </x:c>
      <x:c r="Y864" s="2" t="str">
        <x:f>IF(B864="","",IF(I864&lt;&gt;"READY","NOT RELEASED",IF(AND(X864="CANDIDATE",V864&gt;='Config_v6'!$B$51,W864="PASS",'Calibrare_Linii'!T10="VALIDATED",AND('Calibrare_Linii'!H10=C864,ISNUMBER('Calibrare_Linii'!J10),'Calibrare_Linii'!J10&lt;='Input_Meci'!G67)),"PASS",IF(X864="CANDIDATE","OOS PENDING","FAIL"))))</x:f>
      </x:c>
      <x:c r="Z864" s="2" t="str">
        <x:f>IF(B864="","",IF(I864&lt;&gt;"READY","",IF(OR(NOT(AND(J864="PASS",'Calibrare_Linii'!U10="VALID")),L864&gt;'Config_v6'!$B$13,W864="WATCH"),5,IF(Y864="PASS",1,MIN(5,MAX('Config_v6'!$B$42,U864)+IF(W864="PENALTY",1,0))))))</x:f>
      </x:c>
      <x:c r="AA864" s="2" t="str">
        <x:f>IF(B864="","",IF(I864&lt;&gt;"READY","NOT RELEASED",IF(Z864=5,"NO BET",IF(OR(AB864&lt;'Config_v6'!$B$16,V864&lt;'Config_v6'!$B$18),"WATCH",IF(Z864=1,"DEFENSIV",IF(Z864=2,"PRUDENT",IF(Z864=3,"MODERAT","RIDICAT")))))))</x:f>
      </x:c>
      <x:c r="AB864" s="10" t="str">
        <x:f>IF(N864="","",MIN(N864,1-S864))</x:f>
      </x:c>
      <x:c r="AC864" s="2" t="str">
        <x:f>IF(AD864&lt;&gt;1,"",COUNTIFS($Z$860:$Z$873,"&lt;"&amp;Z864,$AD$860:$AD$873,1)+COUNTIFS($Z$860:$Z$873,Z864,$AB$860:$AB$873,"&gt;"&amp;AB864,$AD$860:$AD$873,1)+COUNTIFS($Z$860:$Z$873,Z864,$AB$860:$AB$873,AB864,$V$860:$V$873,"&gt;"&amp;V864,$AD$860:$AD$873,1)+COUNTIFS($Z$860:Z864,Z864,$AB$860:AB864,AB864,$V$860:V864,V864,$AD$860:AD864,1))</x:f>
      </x:c>
      <x:c r="AD864" s="2" t="n">
        <x:f>IF(OR(AA864="DEFENSIV",AA864="PRUDENT",AA864="MODERAT",AA864="RIDICAT"),1,0)</x:f>
        <x:v>0</x:v>
      </x:c>
      <x:c r="AE864" s="2" t="str">
        <x:f>IF(AD864&lt;&gt;1,"NO",IF(W864="PASS","YES",IF(W864="OOS PENDING","CONDITIONAL","NO")))</x:f>
        <x:v>NO</x:v>
      </x:c>
      <x:c r="AF864" s="2" t="n">
        <x:f>IF(AND(AD864=1,AC864=1,E864="LIVE"),1,0)</x:f>
        <x:v>0</x:v>
      </x:c>
      <x:c r="AG864" s="2" t="str">
        <x:f>IF(AF864&lt;&gt;1,"",'Dashboard'!P87)</x:f>
      </x:c>
      <x:c r="AH864" s="2" t="str">
        <x:f>IF(B864="","",IF(J864&lt;&gt;"PASS",'Motor_Meciuri'!J67,IF('Calibrare_Linii'!U10&lt;&gt;"VALID","Parametri linie invalizi",IF(L864&gt;'Config_v6'!$B$13,"Dispersie peste limita",IF(W864="WATCH","Failure peste limita",IF(AB864&lt;'Config_v6'!$B$16,"P finala sub prag",IF(V864&lt;'Config_v6'!$B$18,"Confidence sub prag",IF(E864="REPLAY","Exemplu retrospectiv; exclus din Top LIVE",IF(Y864="PASS","DEFENSIV validat",IF(W864="OOS PENDING","Eligibil; calibrare linie in monitorizare","Eligibil"))))))))))</x:f>
      </x:c>
      <x:c r="AI864" s="2" t="str">
        <x:f>IF(B864="","",'Calibrare_Linii'!V10)</x:f>
      </x:c>
      <x:c r="AJ864" s="2" t="str">
        <x:f>IF(B864="","",IF(AND('Calibrare_Linii'!T10="VALIDATED",AND('Calibrare_Linii'!H10=C864,ISNUMBER('Calibrare_Linii'!J10),'Calibrare_Linii'!J10&lt;='Input_Meci'!G67)),"DEFENSIVE VALIDATED",IF(AND('Calibrare_Linii'!S10="VALIDATED",AND('Calibrare_Linii'!H10=C864,ISNUMBER('Calibrare_Linii'!J10),'Calibrare_Linii'!J10&lt;='Input_Meci'!G67)),"TAIL VALIDATED","OOS PENDING")))</x:f>
      </x:c>
      <x:c r="AK864" s="2" t="n">
        <x:f>IF(J864&lt;&gt;"PASS",0,'Motor_Meciuri'!BR67)</x:f>
        <x:v>0</x:v>
      </x:c>
      <x:c r="AL864" s="2" t="n">
        <x:f>IF(J864&lt;&gt;"PASS",0,'Motor_Meciuri'!BS67)</x:f>
        <x:v>0</x:v>
      </x:c>
      <x:c r="AM864" s="2" t="n">
        <x:f>IF(J864&lt;&gt;"PASS",0,'Motor_Meciuri'!BT67)</x:f>
        <x:v>0</x:v>
      </x:c>
      <x:c r="AN864" s="2" t="str">
        <x:f>IF(M864="","",MAX(0,'Motor_Meciuri'!BF67-IF(L864&gt;'Config_v6'!$B$12,'Config_v6'!$B$37,IF(L864&gt;'Config_v6'!$B$11,'Config_v6'!$B$36,0))))</x:f>
      </x:c>
    </x:row>
    <x:row r="865" ht="21" customHeight="1">
      <x:c r="A865" s="2" t="n">
        <x:v>62</x:v>
      </x:c>
      <x:c r="B865" s="2" t="str">
        <x:f>IF('Motor_Meciuri'!A67="","",'Motor_Meciuri'!A67)</x:f>
      </x:c>
      <x:c r="C865" s="2" t="str">
        <x:f>IF(B865="","",'Motor_Meciuri'!B67)</x:f>
      </x:c>
      <x:c r="D865" s="2" t="str">
        <x:f>IF(B865="","",'Motor_Meciuri'!D67)</x:f>
      </x:c>
      <x:c r="E865" s="2" t="str">
        <x:f>IF(B865="","",'Motor_Meciuri'!E67)</x:f>
      </x:c>
      <x:c r="F865" s="2" t="str">
        <x:v>O8,5</x:v>
      </x:c>
      <x:c r="G865" s="2" t="str">
        <x:v>OVER</x:v>
      </x:c>
      <x:c r="H865" s="2" t="n">
        <x:v>8</x:v>
      </x:c>
      <x:c r="I865" s="2" t="str">
        <x:f>IF(B865="","",'Motor_Meciuri'!H67)</x:f>
      </x:c>
      <x:c r="J865" s="2" t="str">
        <x:f>IF(B865="","",'Motor_Meciuri'!I67)</x:f>
      </x:c>
      <x:c r="K865" s="11" t="str">
        <x:f>IF(J865&lt;&gt;"PASS","",'Motor_Meciuri'!BD67)</x:f>
      </x:c>
      <x:c r="L865" s="11" t="str">
        <x:f>IF(J865&lt;&gt;"PASS","",'Motor_Meciuri'!AU67)</x:f>
      </x:c>
      <x:c r="M865" s="10" t="str">
        <x:f>IF(NOT(AND(J865="PASS",'Calibrare_Linii'!U11="VALID")),"",1-'Distributie'!AF67)</x:f>
      </x:c>
      <x:c r="N865" s="10" t="str">
        <x:f>IF(M865="","",MAX(0.01,MIN(0.99,0.5+(M865-0.5)*'Motor_Meciuri'!BG67*'Calibrare_Linii'!D11)))</x:f>
      </x:c>
      <x:c r="O865" s="10" t="str">
        <x:f>IF(M865="","",1-M865)</x:f>
      </x:c>
      <x:c r="P865" s="10" t="str">
        <x:f>IF(OR(NOT(AND(J865="PASS",'Calibrare_Linii'!U11="VALID")),AK865=0),""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*('Istoric_Nativ'!$Q$6:$Q$405&lt;=H865))/AK865)</x:f>
      </x:c>
      <x:c r="Q865" s="10" t="str">
        <x:f>IF(OR(NOT(AND(J865="PASS",'Calibrare_Linii'!U11="VALID")),AL865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M67)+((('Istoric_Nativ'!$E$6:$E$405='Input_Meci'!E67)+('Istoric_Nativ'!$F$6:$F$405='Input_Meci'!E67))&gt;0)*('Istoric_Nativ'!$D$6:$D$405&gt;='Motor_Meciuri'!BN67))&gt;0)*('Istoric_Nativ'!$Q$6:$Q$405&lt;=H865))/AL865)</x:f>
      </x:c>
      <x:c r="R865" s="10" t="str">
        <x:f>IF(OR(NOT(AND(J865="PASS",'Calibrare_Linii'!U11="VALID")),AM865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O67)+((('Istoric_Nativ'!$E$6:$E$405='Input_Meci'!E67)+('Istoric_Nativ'!$F$6:$F$405='Input_Meci'!E67))&gt;0)*('Istoric_Nativ'!$D$6:$D$405&gt;='Motor_Meciuri'!BP67))&gt;0)*('Istoric_Nativ'!$Q$6:$Q$405&lt;=H865))/AM865)</x:f>
      </x:c>
      <x:c r="S865" s="10" t="str">
        <x:f>IF(M865="","",MAX(O865,P865,Q865,R865))</x:f>
      </x:c>
      <x:c r="T865" s="11" t="str">
        <x:f>IF(M865="","",MIN(100,S865*100*'Config_v6'!$B$44+MIN(100,L865/'Config_v6'!$B$13*100)*'Config_v6'!$B$45+(100-'Motor_Meciuri'!BF67)*'Config_v6'!$B$46+'Motor_Meciuri'!BH67*100*'Config_v6'!$B$47))</x:f>
      </x:c>
      <x:c r="U865" s="2" t="str">
        <x:f>IF(T865="","",IF(T865&lt;=20,1,IF(T865&lt;=40,2,IF(T865&lt;=60,3,IF(T865&lt;=80,4,5)))))</x:f>
      </x:c>
      <x:c r="V865" s="2" t="str">
        <x:f>IF(M865="","",MAX(0,'Motor_Meciuri'!BF67-IF(W865="OOS PENDING",'Config_v6'!$B$35,0)-IF(L865&gt;'Config_v6'!$B$12,'Config_v6'!$B$37,IF(L865&gt;'Config_v6'!$B$11,'Config_v6'!$B$36,0))))</x:f>
      </x:c>
      <x:c r="W865" s="2" t="str">
        <x:f>IF(B865="","",IF(I865&lt;&gt;"READY","NOT RELEASED",IF(NOT(AND(J865="PASS",'Calibrare_Linii'!U11="VALID")),"INVALID",IF(NOT(AND('Calibrare_Linii'!S11="VALIDATED",AND('Calibrare_Linii'!H11=C865,ISNUMBER('Calibrare_Linii'!J11),'Calibrare_Linii'!J11&lt;='Input_Meci'!G67))),"OOS PENDING",IF(S865&lt;='Calibrare_Linii'!E11,"PASS",IF(S865&lt;='Calibrare_Linii'!F11,"PENALTY","WATCH"))))))</x:f>
      </x:c>
      <x:c r="X865" s="2" t="str">
        <x:f>IF(M865="","",IF(AND(AND(J865="PASS",'Calibrare_Linii'!U11="VALID"),'Motor_Meciuri'!K67=12,'Motor_Meciuri'!L67=12,'Motor_Meciuri'!M67="NO",'Motor_Meciuri'!BL67='Motor_Meciuri'!C67,AB865&gt;='Config_v6'!$B$50,AN865&gt;='Config_v6'!$B$51,T865&lt;='Config_v6'!$B$52,L865&lt;='Config_v6'!$B$53,ISNUMBER('Calibrare_Linii'!E11),S865&lt;='Calibrare_Linii'!E11,SUM(AK865:AM865)&gt;0),"CANDIDATE","NO"))</x:f>
      </x:c>
      <x:c r="Y865" s="2" t="str">
        <x:f>IF(B865="","",IF(I865&lt;&gt;"READY","NOT RELEASED",IF(AND(X865="CANDIDATE",V865&gt;='Config_v6'!$B$51,W865="PASS",'Calibrare_Linii'!T11="VALIDATED",AND('Calibrare_Linii'!H11=C865,ISNUMBER('Calibrare_Linii'!J11),'Calibrare_Linii'!J11&lt;='Input_Meci'!G67)),"PASS",IF(X865="CANDIDATE","OOS PENDING","FAIL"))))</x:f>
      </x:c>
      <x:c r="Z865" s="2" t="str">
        <x:f>IF(B865="","",IF(I865&lt;&gt;"READY","",IF(OR(NOT(AND(J865="PASS",'Calibrare_Linii'!U11="VALID")),L865&gt;'Config_v6'!$B$13,W865="WATCH"),5,IF(Y865="PASS",1,MIN(5,MAX('Config_v6'!$B$42,U865)+IF(W865="PENALTY",1,0))))))</x:f>
      </x:c>
      <x:c r="AA865" s="2" t="str">
        <x:f>IF(B865="","",IF(I865&lt;&gt;"READY","NOT RELEASED",IF(Z865=5,"NO BET",IF(OR(AB865&lt;'Config_v6'!$B$16,V865&lt;'Config_v6'!$B$18),"WATCH",IF(Z865=1,"DEFENSIV",IF(Z865=2,"PRUDENT",IF(Z865=3,"MODERAT","RIDICAT")))))))</x:f>
      </x:c>
      <x:c r="AB865" s="10" t="str">
        <x:f>IF(N865="","",MIN(N865,1-S865))</x:f>
      </x:c>
      <x:c r="AC865" s="2" t="str">
        <x:f>IF(AD865&lt;&gt;1,"",COUNTIFS($Z$860:$Z$873,"&lt;"&amp;Z865,$AD$860:$AD$873,1)+COUNTIFS($Z$860:$Z$873,Z865,$AB$860:$AB$873,"&gt;"&amp;AB865,$AD$860:$AD$873,1)+COUNTIFS($Z$860:$Z$873,Z865,$AB$860:$AB$873,AB865,$V$860:$V$873,"&gt;"&amp;V865,$AD$860:$AD$873,1)+COUNTIFS($Z$860:Z865,Z865,$AB$860:AB865,AB865,$V$860:V865,V865,$AD$860:AD865,1))</x:f>
      </x:c>
      <x:c r="AD865" s="2" t="n">
        <x:f>IF(OR(AA865="DEFENSIV",AA865="PRUDENT",AA865="MODERAT",AA865="RIDICAT"),1,0)</x:f>
        <x:v>0</x:v>
      </x:c>
      <x:c r="AE865" s="2" t="str">
        <x:f>IF(AD865&lt;&gt;1,"NO",IF(W865="PASS","YES",IF(W865="OOS PENDING","CONDITIONAL","NO")))</x:f>
        <x:v>NO</x:v>
      </x:c>
      <x:c r="AF865" s="2" t="n">
        <x:f>IF(AND(AD865=1,AC865=1,E865="LIVE"),1,0)</x:f>
        <x:v>0</x:v>
      </x:c>
      <x:c r="AG865" s="2" t="str">
        <x:f>IF(AF865&lt;&gt;1,"",'Dashboard'!P87)</x:f>
      </x:c>
      <x:c r="AH865" s="2" t="str">
        <x:f>IF(B865="","",IF(J865&lt;&gt;"PASS",'Motor_Meciuri'!J67,IF('Calibrare_Linii'!U11&lt;&gt;"VALID","Parametri linie invalizi",IF(L865&gt;'Config_v6'!$B$13,"Dispersie peste limita",IF(W865="WATCH","Failure peste limita",IF(AB865&lt;'Config_v6'!$B$16,"P finala sub prag",IF(V865&lt;'Config_v6'!$B$18,"Confidence sub prag",IF(E865="REPLAY","Exemplu retrospectiv; exclus din Top LIVE",IF(Y865="PASS","DEFENSIV validat",IF(W865="OOS PENDING","Eligibil; calibrare linie in monitorizare","Eligibil"))))))))))</x:f>
      </x:c>
      <x:c r="AI865" s="2" t="str">
        <x:f>IF(B865="","",'Calibrare_Linii'!V11)</x:f>
      </x:c>
      <x:c r="AJ865" s="2" t="str">
        <x:f>IF(B865="","",IF(AND('Calibrare_Linii'!T11="VALIDATED",AND('Calibrare_Linii'!H11=C865,ISNUMBER('Calibrare_Linii'!J11),'Calibrare_Linii'!J11&lt;='Input_Meci'!G67)),"DEFENSIVE VALIDATED",IF(AND('Calibrare_Linii'!S11="VALIDATED",AND('Calibrare_Linii'!H11=C865,ISNUMBER('Calibrare_Linii'!J11),'Calibrare_Linii'!J11&lt;='Input_Meci'!G67)),"TAIL VALIDATED","OOS PENDING")))</x:f>
      </x:c>
      <x:c r="AK865" s="2" t="n">
        <x:f>IF(J865&lt;&gt;"PASS",0,'Motor_Meciuri'!BR67)</x:f>
        <x:v>0</x:v>
      </x:c>
      <x:c r="AL865" s="2" t="n">
        <x:f>IF(J865&lt;&gt;"PASS",0,'Motor_Meciuri'!BS67)</x:f>
        <x:v>0</x:v>
      </x:c>
      <x:c r="AM865" s="2" t="n">
        <x:f>IF(J865&lt;&gt;"PASS",0,'Motor_Meciuri'!BT67)</x:f>
        <x:v>0</x:v>
      </x:c>
      <x:c r="AN865" s="2" t="str">
        <x:f>IF(M865="","",MAX(0,'Motor_Meciuri'!BF67-IF(L865&gt;'Config_v6'!$B$12,'Config_v6'!$B$37,IF(L865&gt;'Config_v6'!$B$11,'Config_v6'!$B$36,0))))</x:f>
      </x:c>
    </x:row>
    <x:row r="866" ht="21" customHeight="1">
      <x:c r="A866" s="2" t="n">
        <x:v>62</x:v>
      </x:c>
      <x:c r="B866" s="2" t="str">
        <x:f>IF('Motor_Meciuri'!A67="","",'Motor_Meciuri'!A67)</x:f>
      </x:c>
      <x:c r="C866" s="2" t="str">
        <x:f>IF(B866="","",'Motor_Meciuri'!B67)</x:f>
      </x:c>
      <x:c r="D866" s="2" t="str">
        <x:f>IF(B866="","",'Motor_Meciuri'!D67)</x:f>
      </x:c>
      <x:c r="E866" s="2" t="str">
        <x:f>IF(B866="","",'Motor_Meciuri'!E67)</x:f>
      </x:c>
      <x:c r="F866" s="2" t="str">
        <x:v>U10,5</x:v>
      </x:c>
      <x:c r="G866" s="2" t="str">
        <x:v>UNDER</x:v>
      </x:c>
      <x:c r="H866" s="2" t="n">
        <x:v>10</x:v>
      </x:c>
      <x:c r="I866" s="2" t="str">
        <x:f>IF(B866="","",'Motor_Meciuri'!H67)</x:f>
      </x:c>
      <x:c r="J866" s="2" t="str">
        <x:f>IF(B866="","",'Motor_Meciuri'!I67)</x:f>
      </x:c>
      <x:c r="K866" s="11" t="str">
        <x:f>IF(J866&lt;&gt;"PASS","",'Motor_Meciuri'!BD67)</x:f>
      </x:c>
      <x:c r="L866" s="11" t="str">
        <x:f>IF(J866&lt;&gt;"PASS","",'Motor_Meciuri'!AU67)</x:f>
      </x:c>
      <x:c r="M866" s="10" t="str">
        <x:f>IF(NOT(AND(J866="PASS",'Calibrare_Linii'!U12="VALID")),"",'Distributie'!AH67)</x:f>
      </x:c>
      <x:c r="N866" s="10" t="str">
        <x:f>IF(M866="","",MAX(0.01,MIN(0.99,0.5+(M866-0.5)*'Motor_Meciuri'!BG67*'Calibrare_Linii'!D12)))</x:f>
      </x:c>
      <x:c r="O866" s="10" t="str">
        <x:f>IF(M866="","",1-M866)</x:f>
      </x:c>
      <x:c r="P866" s="10" t="str">
        <x:f>IF(OR(NOT(AND(J866="PASS",'Calibrare_Linii'!U12="VALID")),AK866=0),""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*('Istoric_Nativ'!$Q$6:$Q$405&gt;H866))/AK866)</x:f>
      </x:c>
      <x:c r="Q866" s="10" t="str">
        <x:f>IF(OR(NOT(AND(J866="PASS",'Calibrare_Linii'!U12="VALID")),AL866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M67)+((('Istoric_Nativ'!$E$6:$E$405='Input_Meci'!E67)+('Istoric_Nativ'!$F$6:$F$405='Input_Meci'!E67))&gt;0)*('Istoric_Nativ'!$D$6:$D$405&gt;='Motor_Meciuri'!BN67))&gt;0)*('Istoric_Nativ'!$Q$6:$Q$405&gt;H866))/AL866)</x:f>
      </x:c>
      <x:c r="R866" s="10" t="str">
        <x:f>IF(OR(NOT(AND(J866="PASS",'Calibrare_Linii'!U12="VALID")),AM866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O67)+((('Istoric_Nativ'!$E$6:$E$405='Input_Meci'!E67)+('Istoric_Nativ'!$F$6:$F$405='Input_Meci'!E67))&gt;0)*('Istoric_Nativ'!$D$6:$D$405&gt;='Motor_Meciuri'!BP67))&gt;0)*('Istoric_Nativ'!$Q$6:$Q$405&gt;H866))/AM866)</x:f>
      </x:c>
      <x:c r="S866" s="10" t="str">
        <x:f>IF(M866="","",MAX(O866,P866,Q866,R866))</x:f>
      </x:c>
      <x:c r="T866" s="11" t="str">
        <x:f>IF(M866="","",MIN(100,S866*100*'Config_v6'!$B$44+MIN(100,L866/'Config_v6'!$B$13*100)*'Config_v6'!$B$45+(100-'Motor_Meciuri'!BF67)*'Config_v6'!$B$46+'Motor_Meciuri'!BH67*100*'Config_v6'!$B$47))</x:f>
      </x:c>
      <x:c r="U866" s="2" t="str">
        <x:f>IF(T866="","",IF(T866&lt;=20,1,IF(T866&lt;=40,2,IF(T866&lt;=60,3,IF(T866&lt;=80,4,5)))))</x:f>
      </x:c>
      <x:c r="V866" s="2" t="str">
        <x:f>IF(M866="","",MAX(0,'Motor_Meciuri'!BF67-IF(W866="OOS PENDING",'Config_v6'!$B$35,0)-IF(L866&gt;'Config_v6'!$B$12,'Config_v6'!$B$37,IF(L866&gt;'Config_v6'!$B$11,'Config_v6'!$B$36,0))))</x:f>
      </x:c>
      <x:c r="W866" s="2" t="str">
        <x:f>IF(B866="","",IF(I866&lt;&gt;"READY","NOT RELEASED",IF(NOT(AND(J866="PASS",'Calibrare_Linii'!U12="VALID")),"INVALID",IF(NOT(AND('Calibrare_Linii'!S12="VALIDATED",AND('Calibrare_Linii'!H12=C866,ISNUMBER('Calibrare_Linii'!J12),'Calibrare_Linii'!J12&lt;='Input_Meci'!G67))),"OOS PENDING",IF(S866&lt;='Calibrare_Linii'!E12,"PASS",IF(S866&lt;='Calibrare_Linii'!F12,"PENALTY","WATCH"))))))</x:f>
      </x:c>
      <x:c r="X866" s="2" t="str">
        <x:f>IF(M866="","",IF(AND(AND(J866="PASS",'Calibrare_Linii'!U12="VALID"),'Motor_Meciuri'!K67=12,'Motor_Meciuri'!L67=12,'Motor_Meciuri'!M67="NO",'Motor_Meciuri'!BL67='Motor_Meciuri'!C67,AB866&gt;='Config_v6'!$B$50,AN866&gt;='Config_v6'!$B$51,T866&lt;='Config_v6'!$B$52,L866&lt;='Config_v6'!$B$53,ISNUMBER('Calibrare_Linii'!E12),S866&lt;='Calibrare_Linii'!E12,SUM(AK866:AM866)&gt;0),"CANDIDATE","NO"))</x:f>
      </x:c>
      <x:c r="Y866" s="2" t="str">
        <x:f>IF(B866="","",IF(I866&lt;&gt;"READY","NOT RELEASED",IF(AND(X866="CANDIDATE",V866&gt;='Config_v6'!$B$51,W866="PASS",'Calibrare_Linii'!T12="VALIDATED",AND('Calibrare_Linii'!H12=C866,ISNUMBER('Calibrare_Linii'!J12),'Calibrare_Linii'!J12&lt;='Input_Meci'!G67)),"PASS",IF(X866="CANDIDATE","OOS PENDING","FAIL"))))</x:f>
      </x:c>
      <x:c r="Z866" s="2" t="str">
        <x:f>IF(B866="","",IF(I866&lt;&gt;"READY","",IF(OR(NOT(AND(J866="PASS",'Calibrare_Linii'!U12="VALID")),L866&gt;'Config_v6'!$B$13,W866="WATCH"),5,IF(Y866="PASS",1,MIN(5,MAX('Config_v6'!$B$42,U866)+IF(W866="PENALTY",1,0))))))</x:f>
      </x:c>
      <x:c r="AA866" s="2" t="str">
        <x:f>IF(B866="","",IF(I866&lt;&gt;"READY","NOT RELEASED",IF(Z866=5,"NO BET",IF(OR(AB866&lt;'Config_v6'!$B$16,V866&lt;'Config_v6'!$B$18),"WATCH",IF(Z866=1,"DEFENSIV",IF(Z866=2,"PRUDENT",IF(Z866=3,"MODERAT","RIDICAT")))))))</x:f>
      </x:c>
      <x:c r="AB866" s="10" t="str">
        <x:f>IF(N866="","",MIN(N866,1-S866))</x:f>
      </x:c>
      <x:c r="AC866" s="2" t="str">
        <x:f>IF(AD866&lt;&gt;1,"",COUNTIFS($Z$860:$Z$873,"&lt;"&amp;Z866,$AD$860:$AD$873,1)+COUNTIFS($Z$860:$Z$873,Z866,$AB$860:$AB$873,"&gt;"&amp;AB866,$AD$860:$AD$873,1)+COUNTIFS($Z$860:$Z$873,Z866,$AB$860:$AB$873,AB866,$V$860:$V$873,"&gt;"&amp;V866,$AD$860:$AD$873,1)+COUNTIFS($Z$860:Z866,Z866,$AB$860:AB866,AB866,$V$860:V866,V866,$AD$860:AD866,1))</x:f>
      </x:c>
      <x:c r="AD866" s="2" t="n">
        <x:f>IF(OR(AA866="DEFENSIV",AA866="PRUDENT",AA866="MODERAT",AA866="RIDICAT"),1,0)</x:f>
        <x:v>0</x:v>
      </x:c>
      <x:c r="AE866" s="2" t="str">
        <x:f>IF(AD866&lt;&gt;1,"NO",IF(W866="PASS","YES",IF(W866="OOS PENDING","CONDITIONAL","NO")))</x:f>
        <x:v>NO</x:v>
      </x:c>
      <x:c r="AF866" s="2" t="n">
        <x:f>IF(AND(AD866=1,AC866=1,E866="LIVE"),1,0)</x:f>
        <x:v>0</x:v>
      </x:c>
      <x:c r="AG866" s="2" t="str">
        <x:f>IF(AF866&lt;&gt;1,"",'Dashboard'!P87)</x:f>
      </x:c>
      <x:c r="AH866" s="2" t="str">
        <x:f>IF(B866="","",IF(J866&lt;&gt;"PASS",'Motor_Meciuri'!J67,IF('Calibrare_Linii'!U12&lt;&gt;"VALID","Parametri linie invalizi",IF(L866&gt;'Config_v6'!$B$13,"Dispersie peste limita",IF(W866="WATCH","Failure peste limita",IF(AB866&lt;'Config_v6'!$B$16,"P finala sub prag",IF(V866&lt;'Config_v6'!$B$18,"Confidence sub prag",IF(E866="REPLAY","Exemplu retrospectiv; exclus din Top LIVE",IF(Y866="PASS","DEFENSIV validat",IF(W866="OOS PENDING","Eligibil; calibrare linie in monitorizare","Eligibil"))))))))))</x:f>
      </x:c>
      <x:c r="AI866" s="2" t="str">
        <x:f>IF(B866="","",'Calibrare_Linii'!V12)</x:f>
      </x:c>
      <x:c r="AJ866" s="2" t="str">
        <x:f>IF(B866="","",IF(AND('Calibrare_Linii'!T12="VALIDATED",AND('Calibrare_Linii'!H12=C866,ISNUMBER('Calibrare_Linii'!J12),'Calibrare_Linii'!J12&lt;='Input_Meci'!G67)),"DEFENSIVE VALIDATED",IF(AND('Calibrare_Linii'!S12="VALIDATED",AND('Calibrare_Linii'!H12=C866,ISNUMBER('Calibrare_Linii'!J12),'Calibrare_Linii'!J12&lt;='Input_Meci'!G67)),"TAIL VALIDATED","OOS PENDING")))</x:f>
      </x:c>
      <x:c r="AK866" s="2" t="n">
        <x:f>IF(J866&lt;&gt;"PASS",0,'Motor_Meciuri'!BR67)</x:f>
        <x:v>0</x:v>
      </x:c>
      <x:c r="AL866" s="2" t="n">
        <x:f>IF(J866&lt;&gt;"PASS",0,'Motor_Meciuri'!BS67)</x:f>
        <x:v>0</x:v>
      </x:c>
      <x:c r="AM866" s="2" t="n">
        <x:f>IF(J866&lt;&gt;"PASS",0,'Motor_Meciuri'!BT67)</x:f>
        <x:v>0</x:v>
      </x:c>
      <x:c r="AN866" s="2" t="str">
        <x:f>IF(M866="","",MAX(0,'Motor_Meciuri'!BF67-IF(L866&gt;'Config_v6'!$B$12,'Config_v6'!$B$37,IF(L866&gt;'Config_v6'!$B$11,'Config_v6'!$B$36,0))))</x:f>
      </x:c>
    </x:row>
    <x:row r="867" ht="21" customHeight="1">
      <x:c r="A867" s="2" t="n">
        <x:v>62</x:v>
      </x:c>
      <x:c r="B867" s="2" t="str">
        <x:f>IF('Motor_Meciuri'!A67="","",'Motor_Meciuri'!A67)</x:f>
      </x:c>
      <x:c r="C867" s="2" t="str">
        <x:f>IF(B867="","",'Motor_Meciuri'!B67)</x:f>
      </x:c>
      <x:c r="D867" s="2" t="str">
        <x:f>IF(B867="","",'Motor_Meciuri'!D67)</x:f>
      </x:c>
      <x:c r="E867" s="2" t="str">
        <x:f>IF(B867="","",'Motor_Meciuri'!E67)</x:f>
      </x:c>
      <x:c r="F867" s="2" t="str">
        <x:v>U11,5</x:v>
      </x:c>
      <x:c r="G867" s="2" t="str">
        <x:v>UNDER</x:v>
      </x:c>
      <x:c r="H867" s="2" t="n">
        <x:v>11</x:v>
      </x:c>
      <x:c r="I867" s="2" t="str">
        <x:f>IF(B867="","",'Motor_Meciuri'!H67)</x:f>
      </x:c>
      <x:c r="J867" s="2" t="str">
        <x:f>IF(B867="","",'Motor_Meciuri'!I67)</x:f>
      </x:c>
      <x:c r="K867" s="11" t="str">
        <x:f>IF(J867&lt;&gt;"PASS","",'Motor_Meciuri'!BD67)</x:f>
      </x:c>
      <x:c r="L867" s="11" t="str">
        <x:f>IF(J867&lt;&gt;"PASS","",'Motor_Meciuri'!AU67)</x:f>
      </x:c>
      <x:c r="M867" s="10" t="str">
        <x:f>IF(NOT(AND(J867="PASS",'Calibrare_Linii'!U13="VALID")),"",'Distributie'!AI67)</x:f>
      </x:c>
      <x:c r="N867" s="10" t="str">
        <x:f>IF(M867="","",MAX(0.01,MIN(0.99,0.5+(M867-0.5)*'Motor_Meciuri'!BG67*'Calibrare_Linii'!D13)))</x:f>
      </x:c>
      <x:c r="O867" s="10" t="str">
        <x:f>IF(M867="","",1-M867)</x:f>
      </x:c>
      <x:c r="P867" s="10" t="str">
        <x:f>IF(OR(NOT(AND(J867="PASS",'Calibrare_Linii'!U13="VALID")),AK867=0),""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*('Istoric_Nativ'!$Q$6:$Q$405&gt;H867))/AK867)</x:f>
      </x:c>
      <x:c r="Q867" s="10" t="str">
        <x:f>IF(OR(NOT(AND(J867="PASS",'Calibrare_Linii'!U13="VALID")),AL867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M67)+((('Istoric_Nativ'!$E$6:$E$405='Input_Meci'!E67)+('Istoric_Nativ'!$F$6:$F$405='Input_Meci'!E67))&gt;0)*('Istoric_Nativ'!$D$6:$D$405&gt;='Motor_Meciuri'!BN67))&gt;0)*('Istoric_Nativ'!$Q$6:$Q$405&gt;H867))/AL867)</x:f>
      </x:c>
      <x:c r="R867" s="10" t="str">
        <x:f>IF(OR(NOT(AND(J867="PASS",'Calibrare_Linii'!U13="VALID")),AM867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O67)+((('Istoric_Nativ'!$E$6:$E$405='Input_Meci'!E67)+('Istoric_Nativ'!$F$6:$F$405='Input_Meci'!E67))&gt;0)*('Istoric_Nativ'!$D$6:$D$405&gt;='Motor_Meciuri'!BP67))&gt;0)*('Istoric_Nativ'!$Q$6:$Q$405&gt;H867))/AM867)</x:f>
      </x:c>
      <x:c r="S867" s="10" t="str">
        <x:f>IF(M867="","",MAX(O867,P867,Q867,R867))</x:f>
      </x:c>
      <x:c r="T867" s="11" t="str">
        <x:f>IF(M867="","",MIN(100,S867*100*'Config_v6'!$B$44+MIN(100,L867/'Config_v6'!$B$13*100)*'Config_v6'!$B$45+(100-'Motor_Meciuri'!BF67)*'Config_v6'!$B$46+'Motor_Meciuri'!BH67*100*'Config_v6'!$B$47))</x:f>
      </x:c>
      <x:c r="U867" s="2" t="str">
        <x:f>IF(T867="","",IF(T867&lt;=20,1,IF(T867&lt;=40,2,IF(T867&lt;=60,3,IF(T867&lt;=80,4,5)))))</x:f>
      </x:c>
      <x:c r="V867" s="2" t="str">
        <x:f>IF(M867="","",MAX(0,'Motor_Meciuri'!BF67-IF(W867="OOS PENDING",'Config_v6'!$B$35,0)-IF(L867&gt;'Config_v6'!$B$12,'Config_v6'!$B$37,IF(L867&gt;'Config_v6'!$B$11,'Config_v6'!$B$36,0))))</x:f>
      </x:c>
      <x:c r="W867" s="2" t="str">
        <x:f>IF(B867="","",IF(I867&lt;&gt;"READY","NOT RELEASED",IF(NOT(AND(J867="PASS",'Calibrare_Linii'!U13="VALID")),"INVALID",IF(NOT(AND('Calibrare_Linii'!S13="VALIDATED",AND('Calibrare_Linii'!H13=C867,ISNUMBER('Calibrare_Linii'!J13),'Calibrare_Linii'!J13&lt;='Input_Meci'!G67))),"OOS PENDING",IF(S867&lt;='Calibrare_Linii'!E13,"PASS",IF(S867&lt;='Calibrare_Linii'!F13,"PENALTY","WATCH"))))))</x:f>
      </x:c>
      <x:c r="X867" s="2" t="str">
        <x:f>IF(M867="","",IF(AND(AND(J867="PASS",'Calibrare_Linii'!U13="VALID"),'Motor_Meciuri'!K67=12,'Motor_Meciuri'!L67=12,'Motor_Meciuri'!M67="NO",'Motor_Meciuri'!BL67='Motor_Meciuri'!C67,AB867&gt;='Config_v6'!$B$50,AN867&gt;='Config_v6'!$B$51,T867&lt;='Config_v6'!$B$52,L867&lt;='Config_v6'!$B$53,ISNUMBER('Calibrare_Linii'!E13),S867&lt;='Calibrare_Linii'!E13,SUM(AK867:AM867)&gt;0),"CANDIDATE","NO"))</x:f>
      </x:c>
      <x:c r="Y867" s="2" t="str">
        <x:f>IF(B867="","",IF(I867&lt;&gt;"READY","NOT RELEASED",IF(AND(X867="CANDIDATE",V867&gt;='Config_v6'!$B$51,W867="PASS",'Calibrare_Linii'!T13="VALIDATED",AND('Calibrare_Linii'!H13=C867,ISNUMBER('Calibrare_Linii'!J13),'Calibrare_Linii'!J13&lt;='Input_Meci'!G67)),"PASS",IF(X867="CANDIDATE","OOS PENDING","FAIL"))))</x:f>
      </x:c>
      <x:c r="Z867" s="2" t="str">
        <x:f>IF(B867="","",IF(I867&lt;&gt;"READY","",IF(OR(NOT(AND(J867="PASS",'Calibrare_Linii'!U13="VALID")),L867&gt;'Config_v6'!$B$13,W867="WATCH"),5,IF(Y867="PASS",1,MIN(5,MAX('Config_v6'!$B$42,U867)+IF(W867="PENALTY",1,0))))))</x:f>
      </x:c>
      <x:c r="AA867" s="2" t="str">
        <x:f>IF(B867="","",IF(I867&lt;&gt;"READY","NOT RELEASED",IF(Z867=5,"NO BET",IF(OR(AB867&lt;'Config_v6'!$B$16,V867&lt;'Config_v6'!$B$18),"WATCH",IF(Z867=1,"DEFENSIV",IF(Z867=2,"PRUDENT",IF(Z867=3,"MODERAT","RIDICAT")))))))</x:f>
      </x:c>
      <x:c r="AB867" s="10" t="str">
        <x:f>IF(N867="","",MIN(N867,1-S867))</x:f>
      </x:c>
      <x:c r="AC867" s="2" t="str">
        <x:f>IF(AD867&lt;&gt;1,"",COUNTIFS($Z$860:$Z$873,"&lt;"&amp;Z867,$AD$860:$AD$873,1)+COUNTIFS($Z$860:$Z$873,Z867,$AB$860:$AB$873,"&gt;"&amp;AB867,$AD$860:$AD$873,1)+COUNTIFS($Z$860:$Z$873,Z867,$AB$860:$AB$873,AB867,$V$860:$V$873,"&gt;"&amp;V867,$AD$860:$AD$873,1)+COUNTIFS($Z$860:Z867,Z867,$AB$860:AB867,AB867,$V$860:V867,V867,$AD$860:AD867,1))</x:f>
      </x:c>
      <x:c r="AD867" s="2" t="n">
        <x:f>IF(OR(AA867="DEFENSIV",AA867="PRUDENT",AA867="MODERAT",AA867="RIDICAT"),1,0)</x:f>
        <x:v>0</x:v>
      </x:c>
      <x:c r="AE867" s="2" t="str">
        <x:f>IF(AD867&lt;&gt;1,"NO",IF(W867="PASS","YES",IF(W867="OOS PENDING","CONDITIONAL","NO")))</x:f>
        <x:v>NO</x:v>
      </x:c>
      <x:c r="AF867" s="2" t="n">
        <x:f>IF(AND(AD867=1,AC867=1,E867="LIVE"),1,0)</x:f>
        <x:v>0</x:v>
      </x:c>
      <x:c r="AG867" s="2" t="str">
        <x:f>IF(AF867&lt;&gt;1,"",'Dashboard'!P87)</x:f>
      </x:c>
      <x:c r="AH867" s="2" t="str">
        <x:f>IF(B867="","",IF(J867&lt;&gt;"PASS",'Motor_Meciuri'!J67,IF('Calibrare_Linii'!U13&lt;&gt;"VALID","Parametri linie invalizi",IF(L867&gt;'Config_v6'!$B$13,"Dispersie peste limita",IF(W867="WATCH","Failure peste limita",IF(AB867&lt;'Config_v6'!$B$16,"P finala sub prag",IF(V867&lt;'Config_v6'!$B$18,"Confidence sub prag",IF(E867="REPLAY","Exemplu retrospectiv; exclus din Top LIVE",IF(Y867="PASS","DEFENSIV validat",IF(W867="OOS PENDING","Eligibil; calibrare linie in monitorizare","Eligibil"))))))))))</x:f>
      </x:c>
      <x:c r="AI867" s="2" t="str">
        <x:f>IF(B867="","",'Calibrare_Linii'!V13)</x:f>
      </x:c>
      <x:c r="AJ867" s="2" t="str">
        <x:f>IF(B867="","",IF(AND('Calibrare_Linii'!T13="VALIDATED",AND('Calibrare_Linii'!H13=C867,ISNUMBER('Calibrare_Linii'!J13),'Calibrare_Linii'!J13&lt;='Input_Meci'!G67)),"DEFENSIVE VALIDATED",IF(AND('Calibrare_Linii'!S13="VALIDATED",AND('Calibrare_Linii'!H13=C867,ISNUMBER('Calibrare_Linii'!J13),'Calibrare_Linii'!J13&lt;='Input_Meci'!G67)),"TAIL VALIDATED","OOS PENDING")))</x:f>
      </x:c>
      <x:c r="AK867" s="2" t="n">
        <x:f>IF(J867&lt;&gt;"PASS",0,'Motor_Meciuri'!BR67)</x:f>
        <x:v>0</x:v>
      </x:c>
      <x:c r="AL867" s="2" t="n">
        <x:f>IF(J867&lt;&gt;"PASS",0,'Motor_Meciuri'!BS67)</x:f>
        <x:v>0</x:v>
      </x:c>
      <x:c r="AM867" s="2" t="n">
        <x:f>IF(J867&lt;&gt;"PASS",0,'Motor_Meciuri'!BT67)</x:f>
        <x:v>0</x:v>
      </x:c>
      <x:c r="AN867" s="2" t="str">
        <x:f>IF(M867="","",MAX(0,'Motor_Meciuri'!BF67-IF(L867&gt;'Config_v6'!$B$12,'Config_v6'!$B$37,IF(L867&gt;'Config_v6'!$B$11,'Config_v6'!$B$36,0))))</x:f>
      </x:c>
    </x:row>
    <x:row r="868" ht="21" customHeight="1">
      <x:c r="A868" s="2" t="n">
        <x:v>62</x:v>
      </x:c>
      <x:c r="B868" s="2" t="str">
        <x:f>IF('Motor_Meciuri'!A67="","",'Motor_Meciuri'!A67)</x:f>
      </x:c>
      <x:c r="C868" s="2" t="str">
        <x:f>IF(B868="","",'Motor_Meciuri'!B67)</x:f>
      </x:c>
      <x:c r="D868" s="2" t="str">
        <x:f>IF(B868="","",'Motor_Meciuri'!D67)</x:f>
      </x:c>
      <x:c r="E868" s="2" t="str">
        <x:f>IF(B868="","",'Motor_Meciuri'!E67)</x:f>
      </x:c>
      <x:c r="F868" s="2" t="str">
        <x:v>U12,5</x:v>
      </x:c>
      <x:c r="G868" s="2" t="str">
        <x:v>UNDER</x:v>
      </x:c>
      <x:c r="H868" s="2" t="n">
        <x:v>12</x:v>
      </x:c>
      <x:c r="I868" s="2" t="str">
        <x:f>IF(B868="","",'Motor_Meciuri'!H67)</x:f>
      </x:c>
      <x:c r="J868" s="2" t="str">
        <x:f>IF(B868="","",'Motor_Meciuri'!I67)</x:f>
      </x:c>
      <x:c r="K868" s="11" t="str">
        <x:f>IF(J868&lt;&gt;"PASS","",'Motor_Meciuri'!BD67)</x:f>
      </x:c>
      <x:c r="L868" s="11" t="str">
        <x:f>IF(J868&lt;&gt;"PASS","",'Motor_Meciuri'!AU67)</x:f>
      </x:c>
      <x:c r="M868" s="10" t="str">
        <x:f>IF(NOT(AND(J868="PASS",'Calibrare_Linii'!U14="VALID")),"",'Distributie'!AJ67)</x:f>
      </x:c>
      <x:c r="N868" s="10" t="str">
        <x:f>IF(M868="","",MAX(0.01,MIN(0.99,0.5+(M868-0.5)*'Motor_Meciuri'!BG67*'Calibrare_Linii'!D14)))</x:f>
      </x:c>
      <x:c r="O868" s="10" t="str">
        <x:f>IF(M868="","",1-M868)</x:f>
      </x:c>
      <x:c r="P868" s="10" t="str">
        <x:f>IF(OR(NOT(AND(J868="PASS",'Calibrare_Linii'!U14="VALID")),AK868=0),""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*('Istoric_Nativ'!$Q$6:$Q$405&gt;H868))/AK868)</x:f>
      </x:c>
      <x:c r="Q868" s="10" t="str">
        <x:f>IF(OR(NOT(AND(J868="PASS",'Calibrare_Linii'!U14="VALID")),AL868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M67)+((('Istoric_Nativ'!$E$6:$E$405='Input_Meci'!E67)+('Istoric_Nativ'!$F$6:$F$405='Input_Meci'!E67))&gt;0)*('Istoric_Nativ'!$D$6:$D$405&gt;='Motor_Meciuri'!BN67))&gt;0)*('Istoric_Nativ'!$Q$6:$Q$405&gt;H868))/AL868)</x:f>
      </x:c>
      <x:c r="R868" s="10" t="str">
        <x:f>IF(OR(NOT(AND(J868="PASS",'Calibrare_Linii'!U14="VALID")),AM868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O67)+((('Istoric_Nativ'!$E$6:$E$405='Input_Meci'!E67)+('Istoric_Nativ'!$F$6:$F$405='Input_Meci'!E67))&gt;0)*('Istoric_Nativ'!$D$6:$D$405&gt;='Motor_Meciuri'!BP67))&gt;0)*('Istoric_Nativ'!$Q$6:$Q$405&gt;H868))/AM868)</x:f>
      </x:c>
      <x:c r="S868" s="10" t="str">
        <x:f>IF(M868="","",MAX(O868,P868,Q868,R868))</x:f>
      </x:c>
      <x:c r="T868" s="11" t="str">
        <x:f>IF(M868="","",MIN(100,S868*100*'Config_v6'!$B$44+MIN(100,L868/'Config_v6'!$B$13*100)*'Config_v6'!$B$45+(100-'Motor_Meciuri'!BF67)*'Config_v6'!$B$46+'Motor_Meciuri'!BH67*100*'Config_v6'!$B$47))</x:f>
      </x:c>
      <x:c r="U868" s="2" t="str">
        <x:f>IF(T868="","",IF(T868&lt;=20,1,IF(T868&lt;=40,2,IF(T868&lt;=60,3,IF(T868&lt;=80,4,5)))))</x:f>
      </x:c>
      <x:c r="V868" s="2" t="str">
        <x:f>IF(M868="","",MAX(0,'Motor_Meciuri'!BF67-IF(W868="OOS PENDING",'Config_v6'!$B$35,0)-IF(L868&gt;'Config_v6'!$B$12,'Config_v6'!$B$37,IF(L868&gt;'Config_v6'!$B$11,'Config_v6'!$B$36,0))))</x:f>
      </x:c>
      <x:c r="W868" s="2" t="str">
        <x:f>IF(B868="","",IF(I868&lt;&gt;"READY","NOT RELEASED",IF(NOT(AND(J868="PASS",'Calibrare_Linii'!U14="VALID")),"INVALID",IF(NOT(AND('Calibrare_Linii'!S14="VALIDATED",AND('Calibrare_Linii'!H14=C868,ISNUMBER('Calibrare_Linii'!J14),'Calibrare_Linii'!J14&lt;='Input_Meci'!G67))),"OOS PENDING",IF(S868&lt;='Calibrare_Linii'!E14,"PASS",IF(S868&lt;='Calibrare_Linii'!F14,"PENALTY","WATCH"))))))</x:f>
      </x:c>
      <x:c r="X868" s="2" t="str">
        <x:f>IF(M868="","",IF(AND(AND(J868="PASS",'Calibrare_Linii'!U14="VALID"),'Motor_Meciuri'!K67=12,'Motor_Meciuri'!L67=12,'Motor_Meciuri'!M67="NO",'Motor_Meciuri'!BL67='Motor_Meciuri'!C67,AB868&gt;='Config_v6'!$B$50,AN868&gt;='Config_v6'!$B$51,T868&lt;='Config_v6'!$B$52,L868&lt;='Config_v6'!$B$53,ISNUMBER('Calibrare_Linii'!E14),S868&lt;='Calibrare_Linii'!E14,SUM(AK868:AM868)&gt;0),"CANDIDATE","NO"))</x:f>
      </x:c>
      <x:c r="Y868" s="2" t="str">
        <x:f>IF(B868="","",IF(I868&lt;&gt;"READY","NOT RELEASED",IF(AND(X868="CANDIDATE",V868&gt;='Config_v6'!$B$51,W868="PASS",'Calibrare_Linii'!T14="VALIDATED",AND('Calibrare_Linii'!H14=C868,ISNUMBER('Calibrare_Linii'!J14),'Calibrare_Linii'!J14&lt;='Input_Meci'!G67)),"PASS",IF(X868="CANDIDATE","OOS PENDING","FAIL"))))</x:f>
      </x:c>
      <x:c r="Z868" s="2" t="str">
        <x:f>IF(B868="","",IF(I868&lt;&gt;"READY","",IF(OR(NOT(AND(J868="PASS",'Calibrare_Linii'!U14="VALID")),L868&gt;'Config_v6'!$B$13,W868="WATCH"),5,IF(Y868="PASS",1,MIN(5,MAX('Config_v6'!$B$42,U868)+IF(W868="PENALTY",1,0))))))</x:f>
      </x:c>
      <x:c r="AA868" s="2" t="str">
        <x:f>IF(B868="","",IF(I868&lt;&gt;"READY","NOT RELEASED",IF(Z868=5,"NO BET",IF(OR(AB868&lt;'Config_v6'!$B$16,V868&lt;'Config_v6'!$B$18),"WATCH",IF(Z868=1,"DEFENSIV",IF(Z868=2,"PRUDENT",IF(Z868=3,"MODERAT","RIDICAT")))))))</x:f>
      </x:c>
      <x:c r="AB868" s="10" t="str">
        <x:f>IF(N868="","",MIN(N868,1-S868))</x:f>
      </x:c>
      <x:c r="AC868" s="2" t="str">
        <x:f>IF(AD868&lt;&gt;1,"",COUNTIFS($Z$860:$Z$873,"&lt;"&amp;Z868,$AD$860:$AD$873,1)+COUNTIFS($Z$860:$Z$873,Z868,$AB$860:$AB$873,"&gt;"&amp;AB868,$AD$860:$AD$873,1)+COUNTIFS($Z$860:$Z$873,Z868,$AB$860:$AB$873,AB868,$V$860:$V$873,"&gt;"&amp;V868,$AD$860:$AD$873,1)+COUNTIFS($Z$860:Z868,Z868,$AB$860:AB868,AB868,$V$860:V868,V868,$AD$860:AD868,1))</x:f>
      </x:c>
      <x:c r="AD868" s="2" t="n">
        <x:f>IF(OR(AA868="DEFENSIV",AA868="PRUDENT",AA868="MODERAT",AA868="RIDICAT"),1,0)</x:f>
        <x:v>0</x:v>
      </x:c>
      <x:c r="AE868" s="2" t="str">
        <x:f>IF(AD868&lt;&gt;1,"NO",IF(W868="PASS","YES",IF(W868="OOS PENDING","CONDITIONAL","NO")))</x:f>
        <x:v>NO</x:v>
      </x:c>
      <x:c r="AF868" s="2" t="n">
        <x:f>IF(AND(AD868=1,AC868=1,E868="LIVE"),1,0)</x:f>
        <x:v>0</x:v>
      </x:c>
      <x:c r="AG868" s="2" t="str">
        <x:f>IF(AF868&lt;&gt;1,"",'Dashboard'!P87)</x:f>
      </x:c>
      <x:c r="AH868" s="2" t="str">
        <x:f>IF(B868="","",IF(J868&lt;&gt;"PASS",'Motor_Meciuri'!J67,IF('Calibrare_Linii'!U14&lt;&gt;"VALID","Parametri linie invalizi",IF(L868&gt;'Config_v6'!$B$13,"Dispersie peste limita",IF(W868="WATCH","Failure peste limita",IF(AB868&lt;'Config_v6'!$B$16,"P finala sub prag",IF(V868&lt;'Config_v6'!$B$18,"Confidence sub prag",IF(E868="REPLAY","Exemplu retrospectiv; exclus din Top LIVE",IF(Y868="PASS","DEFENSIV validat",IF(W868="OOS PENDING","Eligibil; calibrare linie in monitorizare","Eligibil"))))))))))</x:f>
      </x:c>
      <x:c r="AI868" s="2" t="str">
        <x:f>IF(B868="","",'Calibrare_Linii'!V14)</x:f>
      </x:c>
      <x:c r="AJ868" s="2" t="str">
        <x:f>IF(B868="","",IF(AND('Calibrare_Linii'!T14="VALIDATED",AND('Calibrare_Linii'!H14=C868,ISNUMBER('Calibrare_Linii'!J14),'Calibrare_Linii'!J14&lt;='Input_Meci'!G67)),"DEFENSIVE VALIDATED",IF(AND('Calibrare_Linii'!S14="VALIDATED",AND('Calibrare_Linii'!H14=C868,ISNUMBER('Calibrare_Linii'!J14),'Calibrare_Linii'!J14&lt;='Input_Meci'!G67)),"TAIL VALIDATED","OOS PENDING")))</x:f>
      </x:c>
      <x:c r="AK868" s="2" t="n">
        <x:f>IF(J868&lt;&gt;"PASS",0,'Motor_Meciuri'!BR67)</x:f>
        <x:v>0</x:v>
      </x:c>
      <x:c r="AL868" s="2" t="n">
        <x:f>IF(J868&lt;&gt;"PASS",0,'Motor_Meciuri'!BS67)</x:f>
        <x:v>0</x:v>
      </x:c>
      <x:c r="AM868" s="2" t="n">
        <x:f>IF(J868&lt;&gt;"PASS",0,'Motor_Meciuri'!BT67)</x:f>
        <x:v>0</x:v>
      </x:c>
      <x:c r="AN868" s="2" t="str">
        <x:f>IF(M868="","",MAX(0,'Motor_Meciuri'!BF67-IF(L868&gt;'Config_v6'!$B$12,'Config_v6'!$B$37,IF(L868&gt;'Config_v6'!$B$11,'Config_v6'!$B$36,0))))</x:f>
      </x:c>
    </x:row>
    <x:row r="869" ht="21" customHeight="1">
      <x:c r="A869" s="2" t="n">
        <x:v>62</x:v>
      </x:c>
      <x:c r="B869" s="2" t="str">
        <x:f>IF('Motor_Meciuri'!A67="","",'Motor_Meciuri'!A67)</x:f>
      </x:c>
      <x:c r="C869" s="2" t="str">
        <x:f>IF(B869="","",'Motor_Meciuri'!B67)</x:f>
      </x:c>
      <x:c r="D869" s="2" t="str">
        <x:f>IF(B869="","",'Motor_Meciuri'!D67)</x:f>
      </x:c>
      <x:c r="E869" s="2" t="str">
        <x:f>IF(B869="","",'Motor_Meciuri'!E67)</x:f>
      </x:c>
      <x:c r="F869" s="2" t="str">
        <x:v>U13,5</x:v>
      </x:c>
      <x:c r="G869" s="2" t="str">
        <x:v>UNDER</x:v>
      </x:c>
      <x:c r="H869" s="2" t="n">
        <x:v>13</x:v>
      </x:c>
      <x:c r="I869" s="2" t="str">
        <x:f>IF(B869="","",'Motor_Meciuri'!H67)</x:f>
      </x:c>
      <x:c r="J869" s="2" t="str">
        <x:f>IF(B869="","",'Motor_Meciuri'!I67)</x:f>
      </x:c>
      <x:c r="K869" s="11" t="str">
        <x:f>IF(J869&lt;&gt;"PASS","",'Motor_Meciuri'!BD67)</x:f>
      </x:c>
      <x:c r="L869" s="11" t="str">
        <x:f>IF(J869&lt;&gt;"PASS","",'Motor_Meciuri'!AU67)</x:f>
      </x:c>
      <x:c r="M869" s="10" t="str">
        <x:f>IF(NOT(AND(J869="PASS",'Calibrare_Linii'!U15="VALID")),"",'Distributie'!AK67)</x:f>
      </x:c>
      <x:c r="N869" s="10" t="str">
        <x:f>IF(M869="","",MAX(0.01,MIN(0.99,0.5+(M869-0.5)*'Motor_Meciuri'!BG67*'Calibrare_Linii'!D15)))</x:f>
      </x:c>
      <x:c r="O869" s="10" t="str">
        <x:f>IF(M869="","",1-M869)</x:f>
      </x:c>
      <x:c r="P869" s="10" t="str">
        <x:f>IF(OR(NOT(AND(J869="PASS",'Calibrare_Linii'!U15="VALID")),AK869=0),""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*('Istoric_Nativ'!$Q$6:$Q$405&gt;H869))/AK869)</x:f>
      </x:c>
      <x:c r="Q869" s="10" t="str">
        <x:f>IF(OR(NOT(AND(J869="PASS",'Calibrare_Linii'!U15="VALID")),AL869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M67)+((('Istoric_Nativ'!$E$6:$E$405='Input_Meci'!E67)+('Istoric_Nativ'!$F$6:$F$405='Input_Meci'!E67))&gt;0)*('Istoric_Nativ'!$D$6:$D$405&gt;='Motor_Meciuri'!BN67))&gt;0)*('Istoric_Nativ'!$Q$6:$Q$405&gt;H869))/AL869)</x:f>
      </x:c>
      <x:c r="R869" s="10" t="str">
        <x:f>IF(OR(NOT(AND(J869="PASS",'Calibrare_Linii'!U15="VALID")),AM869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O67)+((('Istoric_Nativ'!$E$6:$E$405='Input_Meci'!E67)+('Istoric_Nativ'!$F$6:$F$405='Input_Meci'!E67))&gt;0)*('Istoric_Nativ'!$D$6:$D$405&gt;='Motor_Meciuri'!BP67))&gt;0)*('Istoric_Nativ'!$Q$6:$Q$405&gt;H869))/AM869)</x:f>
      </x:c>
      <x:c r="S869" s="10" t="str">
        <x:f>IF(M869="","",MAX(O869,P869,Q869,R869))</x:f>
      </x:c>
      <x:c r="T869" s="11" t="str">
        <x:f>IF(M869="","",MIN(100,S869*100*'Config_v6'!$B$44+MIN(100,L869/'Config_v6'!$B$13*100)*'Config_v6'!$B$45+(100-'Motor_Meciuri'!BF67)*'Config_v6'!$B$46+'Motor_Meciuri'!BH67*100*'Config_v6'!$B$47))</x:f>
      </x:c>
      <x:c r="U869" s="2" t="str">
        <x:f>IF(T869="","",IF(T869&lt;=20,1,IF(T869&lt;=40,2,IF(T869&lt;=60,3,IF(T869&lt;=80,4,5)))))</x:f>
      </x:c>
      <x:c r="V869" s="2" t="str">
        <x:f>IF(M869="","",MAX(0,'Motor_Meciuri'!BF67-IF(W869="OOS PENDING",'Config_v6'!$B$35,0)-IF(L869&gt;'Config_v6'!$B$12,'Config_v6'!$B$37,IF(L869&gt;'Config_v6'!$B$11,'Config_v6'!$B$36,0))))</x:f>
      </x:c>
      <x:c r="W869" s="2" t="str">
        <x:f>IF(B869="","",IF(I869&lt;&gt;"READY","NOT RELEASED",IF(NOT(AND(J869="PASS",'Calibrare_Linii'!U15="VALID")),"INVALID",IF(NOT(AND('Calibrare_Linii'!S15="VALIDATED",AND('Calibrare_Linii'!H15=C869,ISNUMBER('Calibrare_Linii'!J15),'Calibrare_Linii'!J15&lt;='Input_Meci'!G67))),"OOS PENDING",IF(S869&lt;='Calibrare_Linii'!E15,"PASS",IF(S869&lt;='Calibrare_Linii'!F15,"PENALTY","WATCH"))))))</x:f>
      </x:c>
      <x:c r="X869" s="2" t="str">
        <x:f>IF(M869="","",IF(AND(AND(J869="PASS",'Calibrare_Linii'!U15="VALID"),'Motor_Meciuri'!K67=12,'Motor_Meciuri'!L67=12,'Motor_Meciuri'!M67="NO",'Motor_Meciuri'!BL67='Motor_Meciuri'!C67,AB869&gt;='Config_v6'!$B$50,AN869&gt;='Config_v6'!$B$51,T869&lt;='Config_v6'!$B$52,L869&lt;='Config_v6'!$B$53,ISNUMBER('Calibrare_Linii'!E15),S869&lt;='Calibrare_Linii'!E15,SUM(AK869:AM869)&gt;0),"CANDIDATE","NO"))</x:f>
      </x:c>
      <x:c r="Y869" s="2" t="str">
        <x:f>IF(B869="","",IF(I869&lt;&gt;"READY","NOT RELEASED",IF(AND(X869="CANDIDATE",V869&gt;='Config_v6'!$B$51,W869="PASS",'Calibrare_Linii'!T15="VALIDATED",AND('Calibrare_Linii'!H15=C869,ISNUMBER('Calibrare_Linii'!J15),'Calibrare_Linii'!J15&lt;='Input_Meci'!G67)),"PASS",IF(X869="CANDIDATE","OOS PENDING","FAIL"))))</x:f>
      </x:c>
      <x:c r="Z869" s="2" t="str">
        <x:f>IF(B869="","",IF(I869&lt;&gt;"READY","",IF(OR(NOT(AND(J869="PASS",'Calibrare_Linii'!U15="VALID")),L869&gt;'Config_v6'!$B$13,W869="WATCH"),5,IF(Y869="PASS",1,MIN(5,MAX('Config_v6'!$B$42,U869)+IF(W869="PENALTY",1,0))))))</x:f>
      </x:c>
      <x:c r="AA869" s="2" t="str">
        <x:f>IF(B869="","",IF(I869&lt;&gt;"READY","NOT RELEASED",IF(Z869=5,"NO BET",IF(OR(AB869&lt;'Config_v6'!$B$16,V869&lt;'Config_v6'!$B$18),"WATCH",IF(Z869=1,"DEFENSIV",IF(Z869=2,"PRUDENT",IF(Z869=3,"MODERAT","RIDICAT")))))))</x:f>
      </x:c>
      <x:c r="AB869" s="10" t="str">
        <x:f>IF(N869="","",MIN(N869,1-S869))</x:f>
      </x:c>
      <x:c r="AC869" s="2" t="str">
        <x:f>IF(AD869&lt;&gt;1,"",COUNTIFS($Z$860:$Z$873,"&lt;"&amp;Z869,$AD$860:$AD$873,1)+COUNTIFS($Z$860:$Z$873,Z869,$AB$860:$AB$873,"&gt;"&amp;AB869,$AD$860:$AD$873,1)+COUNTIFS($Z$860:$Z$873,Z869,$AB$860:$AB$873,AB869,$V$860:$V$873,"&gt;"&amp;V869,$AD$860:$AD$873,1)+COUNTIFS($Z$860:Z869,Z869,$AB$860:AB869,AB869,$V$860:V869,V869,$AD$860:AD869,1))</x:f>
      </x:c>
      <x:c r="AD869" s="2" t="n">
        <x:f>IF(OR(AA869="DEFENSIV",AA869="PRUDENT",AA869="MODERAT",AA869="RIDICAT"),1,0)</x:f>
        <x:v>0</x:v>
      </x:c>
      <x:c r="AE869" s="2" t="str">
        <x:f>IF(AD869&lt;&gt;1,"NO",IF(W869="PASS","YES",IF(W869="OOS PENDING","CONDITIONAL","NO")))</x:f>
        <x:v>NO</x:v>
      </x:c>
      <x:c r="AF869" s="2" t="n">
        <x:f>IF(AND(AD869=1,AC869=1,E869="LIVE"),1,0)</x:f>
        <x:v>0</x:v>
      </x:c>
      <x:c r="AG869" s="2" t="str">
        <x:f>IF(AF869&lt;&gt;1,"",'Dashboard'!P87)</x:f>
      </x:c>
      <x:c r="AH869" s="2" t="str">
        <x:f>IF(B869="","",IF(J869&lt;&gt;"PASS",'Motor_Meciuri'!J67,IF('Calibrare_Linii'!U15&lt;&gt;"VALID","Parametri linie invalizi",IF(L869&gt;'Config_v6'!$B$13,"Dispersie peste limita",IF(W869="WATCH","Failure peste limita",IF(AB869&lt;'Config_v6'!$B$16,"P finala sub prag",IF(V869&lt;'Config_v6'!$B$18,"Confidence sub prag",IF(E869="REPLAY","Exemplu retrospectiv; exclus din Top LIVE",IF(Y869="PASS","DEFENSIV validat",IF(W869="OOS PENDING","Eligibil; calibrare linie in monitorizare","Eligibil"))))))))))</x:f>
      </x:c>
      <x:c r="AI869" s="2" t="str">
        <x:f>IF(B869="","",'Calibrare_Linii'!V15)</x:f>
      </x:c>
      <x:c r="AJ869" s="2" t="str">
        <x:f>IF(B869="","",IF(AND('Calibrare_Linii'!T15="VALIDATED",AND('Calibrare_Linii'!H15=C869,ISNUMBER('Calibrare_Linii'!J15),'Calibrare_Linii'!J15&lt;='Input_Meci'!G67)),"DEFENSIVE VALIDATED",IF(AND('Calibrare_Linii'!S15="VALIDATED",AND('Calibrare_Linii'!H15=C869,ISNUMBER('Calibrare_Linii'!J15),'Calibrare_Linii'!J15&lt;='Input_Meci'!G67)),"TAIL VALIDATED","OOS PENDING")))</x:f>
      </x:c>
      <x:c r="AK869" s="2" t="n">
        <x:f>IF(J869&lt;&gt;"PASS",0,'Motor_Meciuri'!BR67)</x:f>
        <x:v>0</x:v>
      </x:c>
      <x:c r="AL869" s="2" t="n">
        <x:f>IF(J869&lt;&gt;"PASS",0,'Motor_Meciuri'!BS67)</x:f>
        <x:v>0</x:v>
      </x:c>
      <x:c r="AM869" s="2" t="n">
        <x:f>IF(J869&lt;&gt;"PASS",0,'Motor_Meciuri'!BT67)</x:f>
        <x:v>0</x:v>
      </x:c>
      <x:c r="AN869" s="2" t="str">
        <x:f>IF(M869="","",MAX(0,'Motor_Meciuri'!BF67-IF(L869&gt;'Config_v6'!$B$12,'Config_v6'!$B$37,IF(L869&gt;'Config_v6'!$B$11,'Config_v6'!$B$36,0))))</x:f>
      </x:c>
    </x:row>
    <x:row r="870" ht="21" customHeight="1">
      <x:c r="A870" s="2" t="n">
        <x:v>62</x:v>
      </x:c>
      <x:c r="B870" s="2" t="str">
        <x:f>IF('Motor_Meciuri'!A67="","",'Motor_Meciuri'!A67)</x:f>
      </x:c>
      <x:c r="C870" s="2" t="str">
        <x:f>IF(B870="","",'Motor_Meciuri'!B67)</x:f>
      </x:c>
      <x:c r="D870" s="2" t="str">
        <x:f>IF(B870="","",'Motor_Meciuri'!D67)</x:f>
      </x:c>
      <x:c r="E870" s="2" t="str">
        <x:f>IF(B870="","",'Motor_Meciuri'!E67)</x:f>
      </x:c>
      <x:c r="F870" s="2" t="str">
        <x:v>U14,5</x:v>
      </x:c>
      <x:c r="G870" s="2" t="str">
        <x:v>UNDER</x:v>
      </x:c>
      <x:c r="H870" s="2" t="n">
        <x:v>14</x:v>
      </x:c>
      <x:c r="I870" s="2" t="str">
        <x:f>IF(B870="","",'Motor_Meciuri'!H67)</x:f>
      </x:c>
      <x:c r="J870" s="2" t="str">
        <x:f>IF(B870="","",'Motor_Meciuri'!I67)</x:f>
      </x:c>
      <x:c r="K870" s="11" t="str">
        <x:f>IF(J870&lt;&gt;"PASS","",'Motor_Meciuri'!BD67)</x:f>
      </x:c>
      <x:c r="L870" s="11" t="str">
        <x:f>IF(J870&lt;&gt;"PASS","",'Motor_Meciuri'!AU67)</x:f>
      </x:c>
      <x:c r="M870" s="10" t="str">
        <x:f>IF(NOT(AND(J870="PASS",'Calibrare_Linii'!U16="VALID")),"",'Distributie'!AL67)</x:f>
      </x:c>
      <x:c r="N870" s="10" t="str">
        <x:f>IF(M870="","",MAX(0.01,MIN(0.99,0.5+(M870-0.5)*'Motor_Meciuri'!BG67*'Calibrare_Linii'!D16)))</x:f>
      </x:c>
      <x:c r="O870" s="10" t="str">
        <x:f>IF(M870="","",1-M870)</x:f>
      </x:c>
      <x:c r="P870" s="10" t="str">
        <x:f>IF(OR(NOT(AND(J870="PASS",'Calibrare_Linii'!U16="VALID")),AK870=0),""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*('Istoric_Nativ'!$Q$6:$Q$405&gt;H870))/AK870)</x:f>
      </x:c>
      <x:c r="Q870" s="10" t="str">
        <x:f>IF(OR(NOT(AND(J870="PASS",'Calibrare_Linii'!U16="VALID")),AL870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M67)+((('Istoric_Nativ'!$E$6:$E$405='Input_Meci'!E67)+('Istoric_Nativ'!$F$6:$F$405='Input_Meci'!E67))&gt;0)*('Istoric_Nativ'!$D$6:$D$405&gt;='Motor_Meciuri'!BN67))&gt;0)*('Istoric_Nativ'!$Q$6:$Q$405&gt;H870))/AL870)</x:f>
      </x:c>
      <x:c r="R870" s="10" t="str">
        <x:f>IF(OR(NOT(AND(J870="PASS",'Calibrare_Linii'!U16="VALID")),AM870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O67)+((('Istoric_Nativ'!$E$6:$E$405='Input_Meci'!E67)+('Istoric_Nativ'!$F$6:$F$405='Input_Meci'!E67))&gt;0)*('Istoric_Nativ'!$D$6:$D$405&gt;='Motor_Meciuri'!BP67))&gt;0)*('Istoric_Nativ'!$Q$6:$Q$405&gt;H870))/AM870)</x:f>
      </x:c>
      <x:c r="S870" s="10" t="str">
        <x:f>IF(M870="","",MAX(O870,P870,Q870,R870))</x:f>
      </x:c>
      <x:c r="T870" s="11" t="str">
        <x:f>IF(M870="","",MIN(100,S870*100*'Config_v6'!$B$44+MIN(100,L870/'Config_v6'!$B$13*100)*'Config_v6'!$B$45+(100-'Motor_Meciuri'!BF67)*'Config_v6'!$B$46+'Motor_Meciuri'!BH67*100*'Config_v6'!$B$47))</x:f>
      </x:c>
      <x:c r="U870" s="2" t="str">
        <x:f>IF(T870="","",IF(T870&lt;=20,1,IF(T870&lt;=40,2,IF(T870&lt;=60,3,IF(T870&lt;=80,4,5)))))</x:f>
      </x:c>
      <x:c r="V870" s="2" t="str">
        <x:f>IF(M870="","",MAX(0,'Motor_Meciuri'!BF67-IF(W870="OOS PENDING",'Config_v6'!$B$35,0)-IF(L870&gt;'Config_v6'!$B$12,'Config_v6'!$B$37,IF(L870&gt;'Config_v6'!$B$11,'Config_v6'!$B$36,0))))</x:f>
      </x:c>
      <x:c r="W870" s="2" t="str">
        <x:f>IF(B870="","",IF(I870&lt;&gt;"READY","NOT RELEASED",IF(NOT(AND(J870="PASS",'Calibrare_Linii'!U16="VALID")),"INVALID",IF(NOT(AND('Calibrare_Linii'!S16="VALIDATED",AND('Calibrare_Linii'!H16=C870,ISNUMBER('Calibrare_Linii'!J16),'Calibrare_Linii'!J16&lt;='Input_Meci'!G67))),"OOS PENDING",IF(S870&lt;='Calibrare_Linii'!E16,"PASS",IF(S870&lt;='Calibrare_Linii'!F16,"PENALTY","WATCH"))))))</x:f>
      </x:c>
      <x:c r="X870" s="2" t="str">
        <x:f>IF(M870="","",IF(AND(AND(J870="PASS",'Calibrare_Linii'!U16="VALID"),'Motor_Meciuri'!K67=12,'Motor_Meciuri'!L67=12,'Motor_Meciuri'!M67="NO",'Motor_Meciuri'!BL67='Motor_Meciuri'!C67,AB870&gt;='Config_v6'!$B$50,AN870&gt;='Config_v6'!$B$51,T870&lt;='Config_v6'!$B$52,L870&lt;='Config_v6'!$B$53,ISNUMBER('Calibrare_Linii'!E16),S870&lt;='Calibrare_Linii'!E16,SUM(AK870:AM870)&gt;0),"CANDIDATE","NO"))</x:f>
      </x:c>
      <x:c r="Y870" s="2" t="str">
        <x:f>IF(B870="","",IF(I870&lt;&gt;"READY","NOT RELEASED",IF(AND(X870="CANDIDATE",V870&gt;='Config_v6'!$B$51,W870="PASS",'Calibrare_Linii'!T16="VALIDATED",AND('Calibrare_Linii'!H16=C870,ISNUMBER('Calibrare_Linii'!J16),'Calibrare_Linii'!J16&lt;='Input_Meci'!G67)),"PASS",IF(X870="CANDIDATE","OOS PENDING","FAIL"))))</x:f>
      </x:c>
      <x:c r="Z870" s="2" t="str">
        <x:f>IF(B870="","",IF(I870&lt;&gt;"READY","",IF(OR(NOT(AND(J870="PASS",'Calibrare_Linii'!U16="VALID")),L870&gt;'Config_v6'!$B$13,W870="WATCH"),5,IF(Y870="PASS",1,MIN(5,MAX('Config_v6'!$B$42,U870)+IF(W870="PENALTY",1,0))))))</x:f>
      </x:c>
      <x:c r="AA870" s="2" t="str">
        <x:f>IF(B870="","",IF(I870&lt;&gt;"READY","NOT RELEASED",IF(Z870=5,"NO BET",IF(OR(AB870&lt;'Config_v6'!$B$16,V870&lt;'Config_v6'!$B$18),"WATCH",IF(Z870=1,"DEFENSIV",IF(Z870=2,"PRUDENT",IF(Z870=3,"MODERAT","RIDICAT")))))))</x:f>
      </x:c>
      <x:c r="AB870" s="10" t="str">
        <x:f>IF(N870="","",MIN(N870,1-S870))</x:f>
      </x:c>
      <x:c r="AC870" s="2" t="str">
        <x:f>IF(AD870&lt;&gt;1,"",COUNTIFS($Z$860:$Z$873,"&lt;"&amp;Z870,$AD$860:$AD$873,1)+COUNTIFS($Z$860:$Z$873,Z870,$AB$860:$AB$873,"&gt;"&amp;AB870,$AD$860:$AD$873,1)+COUNTIFS($Z$860:$Z$873,Z870,$AB$860:$AB$873,AB870,$V$860:$V$873,"&gt;"&amp;V870,$AD$860:$AD$873,1)+COUNTIFS($Z$860:Z870,Z870,$AB$860:AB870,AB870,$V$860:V870,V870,$AD$860:AD870,1))</x:f>
      </x:c>
      <x:c r="AD870" s="2" t="n">
        <x:f>IF(OR(AA870="DEFENSIV",AA870="PRUDENT",AA870="MODERAT",AA870="RIDICAT"),1,0)</x:f>
        <x:v>0</x:v>
      </x:c>
      <x:c r="AE870" s="2" t="str">
        <x:f>IF(AD870&lt;&gt;1,"NO",IF(W870="PASS","YES",IF(W870="OOS PENDING","CONDITIONAL","NO")))</x:f>
        <x:v>NO</x:v>
      </x:c>
      <x:c r="AF870" s="2" t="n">
        <x:f>IF(AND(AD870=1,AC870=1,E870="LIVE"),1,0)</x:f>
        <x:v>0</x:v>
      </x:c>
      <x:c r="AG870" s="2" t="str">
        <x:f>IF(AF870&lt;&gt;1,"",'Dashboard'!P87)</x:f>
      </x:c>
      <x:c r="AH870" s="2" t="str">
        <x:f>IF(B870="","",IF(J870&lt;&gt;"PASS",'Motor_Meciuri'!J67,IF('Calibrare_Linii'!U16&lt;&gt;"VALID","Parametri linie invalizi",IF(L870&gt;'Config_v6'!$B$13,"Dispersie peste limita",IF(W870="WATCH","Failure peste limita",IF(AB870&lt;'Config_v6'!$B$16,"P finala sub prag",IF(V870&lt;'Config_v6'!$B$18,"Confidence sub prag",IF(E870="REPLAY","Exemplu retrospectiv; exclus din Top LIVE",IF(Y870="PASS","DEFENSIV validat",IF(W870="OOS PENDING","Eligibil; calibrare linie in monitorizare","Eligibil"))))))))))</x:f>
      </x:c>
      <x:c r="AI870" s="2" t="str">
        <x:f>IF(B870="","",'Calibrare_Linii'!V16)</x:f>
      </x:c>
      <x:c r="AJ870" s="2" t="str">
        <x:f>IF(B870="","",IF(AND('Calibrare_Linii'!T16="VALIDATED",AND('Calibrare_Linii'!H16=C870,ISNUMBER('Calibrare_Linii'!J16),'Calibrare_Linii'!J16&lt;='Input_Meci'!G67)),"DEFENSIVE VALIDATED",IF(AND('Calibrare_Linii'!S16="VALIDATED",AND('Calibrare_Linii'!H16=C870,ISNUMBER('Calibrare_Linii'!J16),'Calibrare_Linii'!J16&lt;='Input_Meci'!G67)),"TAIL VALIDATED","OOS PENDING")))</x:f>
      </x:c>
      <x:c r="AK870" s="2" t="n">
        <x:f>IF(J870&lt;&gt;"PASS",0,'Motor_Meciuri'!BR67)</x:f>
        <x:v>0</x:v>
      </x:c>
      <x:c r="AL870" s="2" t="n">
        <x:f>IF(J870&lt;&gt;"PASS",0,'Motor_Meciuri'!BS67)</x:f>
        <x:v>0</x:v>
      </x:c>
      <x:c r="AM870" s="2" t="n">
        <x:f>IF(J870&lt;&gt;"PASS",0,'Motor_Meciuri'!BT67)</x:f>
        <x:v>0</x:v>
      </x:c>
      <x:c r="AN870" s="2" t="str">
        <x:f>IF(M870="","",MAX(0,'Motor_Meciuri'!BF67-IF(L870&gt;'Config_v6'!$B$12,'Config_v6'!$B$37,IF(L870&gt;'Config_v6'!$B$11,'Config_v6'!$B$36,0))))</x:f>
      </x:c>
    </x:row>
    <x:row r="871" ht="21" customHeight="1">
      <x:c r="A871" s="2" t="n">
        <x:v>62</x:v>
      </x:c>
      <x:c r="B871" s="2" t="str">
        <x:f>IF('Motor_Meciuri'!A67="","",'Motor_Meciuri'!A67)</x:f>
      </x:c>
      <x:c r="C871" s="2" t="str">
        <x:f>IF(B871="","",'Motor_Meciuri'!B67)</x:f>
      </x:c>
      <x:c r="D871" s="2" t="str">
        <x:f>IF(B871="","",'Motor_Meciuri'!D67)</x:f>
      </x:c>
      <x:c r="E871" s="2" t="str">
        <x:f>IF(B871="","",'Motor_Meciuri'!E67)</x:f>
      </x:c>
      <x:c r="F871" s="2" t="str">
        <x:v>U15,5</x:v>
      </x:c>
      <x:c r="G871" s="2" t="str">
        <x:v>UNDER</x:v>
      </x:c>
      <x:c r="H871" s="2" t="n">
        <x:v>15</x:v>
      </x:c>
      <x:c r="I871" s="2" t="str">
        <x:f>IF(B871="","",'Motor_Meciuri'!H67)</x:f>
      </x:c>
      <x:c r="J871" s="2" t="str">
        <x:f>IF(B871="","",'Motor_Meciuri'!I67)</x:f>
      </x:c>
      <x:c r="K871" s="11" t="str">
        <x:f>IF(J871&lt;&gt;"PASS","",'Motor_Meciuri'!BD67)</x:f>
      </x:c>
      <x:c r="L871" s="11" t="str">
        <x:f>IF(J871&lt;&gt;"PASS","",'Motor_Meciuri'!AU67)</x:f>
      </x:c>
      <x:c r="M871" s="10" t="str">
        <x:f>IF(NOT(AND(J871="PASS",'Calibrare_Linii'!U17="VALID")),"",'Distributie'!AM67)</x:f>
      </x:c>
      <x:c r="N871" s="10" t="str">
        <x:f>IF(M871="","",MAX(0.01,MIN(0.99,0.5+(M871-0.5)*'Motor_Meciuri'!BG67*'Calibrare_Linii'!D17)))</x:f>
      </x:c>
      <x:c r="O871" s="10" t="str">
        <x:f>IF(M871="","",1-M871)</x:f>
      </x:c>
      <x:c r="P871" s="10" t="str">
        <x:f>IF(OR(NOT(AND(J871="PASS",'Calibrare_Linii'!U17="VALID")),AK871=0),""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*('Istoric_Nativ'!$Q$6:$Q$405&gt;H871))/AK871)</x:f>
      </x:c>
      <x:c r="Q871" s="10" t="str">
        <x:f>IF(OR(NOT(AND(J871="PASS",'Calibrare_Linii'!U17="VALID")),AL871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M67)+((('Istoric_Nativ'!$E$6:$E$405='Input_Meci'!E67)+('Istoric_Nativ'!$F$6:$F$405='Input_Meci'!E67))&gt;0)*('Istoric_Nativ'!$D$6:$D$405&gt;='Motor_Meciuri'!BN67))&gt;0)*('Istoric_Nativ'!$Q$6:$Q$405&gt;H871))/AL871)</x:f>
      </x:c>
      <x:c r="R871" s="10" t="str">
        <x:f>IF(OR(NOT(AND(J871="PASS",'Calibrare_Linii'!U17="VALID")),AM871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O67)+((('Istoric_Nativ'!$E$6:$E$405='Input_Meci'!E67)+('Istoric_Nativ'!$F$6:$F$405='Input_Meci'!E67))&gt;0)*('Istoric_Nativ'!$D$6:$D$405&gt;='Motor_Meciuri'!BP67))&gt;0)*('Istoric_Nativ'!$Q$6:$Q$405&gt;H871))/AM871)</x:f>
      </x:c>
      <x:c r="S871" s="10" t="str">
        <x:f>IF(M871="","",MAX(O871,P871,Q871,R871))</x:f>
      </x:c>
      <x:c r="T871" s="11" t="str">
        <x:f>IF(M871="","",MIN(100,S871*100*'Config_v6'!$B$44+MIN(100,L871/'Config_v6'!$B$13*100)*'Config_v6'!$B$45+(100-'Motor_Meciuri'!BF67)*'Config_v6'!$B$46+'Motor_Meciuri'!BH67*100*'Config_v6'!$B$47))</x:f>
      </x:c>
      <x:c r="U871" s="2" t="str">
        <x:f>IF(T871="","",IF(T871&lt;=20,1,IF(T871&lt;=40,2,IF(T871&lt;=60,3,IF(T871&lt;=80,4,5)))))</x:f>
      </x:c>
      <x:c r="V871" s="2" t="str">
        <x:f>IF(M871="","",MAX(0,'Motor_Meciuri'!BF67-IF(W871="OOS PENDING",'Config_v6'!$B$35,0)-IF(L871&gt;'Config_v6'!$B$12,'Config_v6'!$B$37,IF(L871&gt;'Config_v6'!$B$11,'Config_v6'!$B$36,0))))</x:f>
      </x:c>
      <x:c r="W871" s="2" t="str">
        <x:f>IF(B871="","",IF(I871&lt;&gt;"READY","NOT RELEASED",IF(NOT(AND(J871="PASS",'Calibrare_Linii'!U17="VALID")),"INVALID",IF(NOT(AND('Calibrare_Linii'!S17="VALIDATED",AND('Calibrare_Linii'!H17=C871,ISNUMBER('Calibrare_Linii'!J17),'Calibrare_Linii'!J17&lt;='Input_Meci'!G67))),"OOS PENDING",IF(S871&lt;='Calibrare_Linii'!E17,"PASS",IF(S871&lt;='Calibrare_Linii'!F17,"PENALTY","WATCH"))))))</x:f>
      </x:c>
      <x:c r="X871" s="2" t="str">
        <x:f>IF(M871="","",IF(AND(AND(J871="PASS",'Calibrare_Linii'!U17="VALID"),'Motor_Meciuri'!K67=12,'Motor_Meciuri'!L67=12,'Motor_Meciuri'!M67="NO",'Motor_Meciuri'!BL67='Motor_Meciuri'!C67,AB871&gt;='Config_v6'!$B$50,AN871&gt;='Config_v6'!$B$51,T871&lt;='Config_v6'!$B$52,L871&lt;='Config_v6'!$B$53,ISNUMBER('Calibrare_Linii'!E17),S871&lt;='Calibrare_Linii'!E17,SUM(AK871:AM871)&gt;0),"CANDIDATE","NO"))</x:f>
      </x:c>
      <x:c r="Y871" s="2" t="str">
        <x:f>IF(B871="","",IF(I871&lt;&gt;"READY","NOT RELEASED",IF(AND(X871="CANDIDATE",V871&gt;='Config_v6'!$B$51,W871="PASS",'Calibrare_Linii'!T17="VALIDATED",AND('Calibrare_Linii'!H17=C871,ISNUMBER('Calibrare_Linii'!J17),'Calibrare_Linii'!J17&lt;='Input_Meci'!G67)),"PASS",IF(X871="CANDIDATE","OOS PENDING","FAIL"))))</x:f>
      </x:c>
      <x:c r="Z871" s="2" t="str">
        <x:f>IF(B871="","",IF(I871&lt;&gt;"READY","",IF(OR(NOT(AND(J871="PASS",'Calibrare_Linii'!U17="VALID")),L871&gt;'Config_v6'!$B$13,W871="WATCH"),5,IF(Y871="PASS",1,MIN(5,MAX('Config_v6'!$B$42,U871)+IF(W871="PENALTY",1,0))))))</x:f>
      </x:c>
      <x:c r="AA871" s="2" t="str">
        <x:f>IF(B871="","",IF(I871&lt;&gt;"READY","NOT RELEASED",IF(Z871=5,"NO BET",IF(OR(AB871&lt;'Config_v6'!$B$16,V871&lt;'Config_v6'!$B$18),"WATCH",IF(Z871=1,"DEFENSIV",IF(Z871=2,"PRUDENT",IF(Z871=3,"MODERAT","RIDICAT")))))))</x:f>
      </x:c>
      <x:c r="AB871" s="10" t="str">
        <x:f>IF(N871="","",MIN(N871,1-S871))</x:f>
      </x:c>
      <x:c r="AC871" s="2" t="str">
        <x:f>IF(AD871&lt;&gt;1,"",COUNTIFS($Z$860:$Z$873,"&lt;"&amp;Z871,$AD$860:$AD$873,1)+COUNTIFS($Z$860:$Z$873,Z871,$AB$860:$AB$873,"&gt;"&amp;AB871,$AD$860:$AD$873,1)+COUNTIFS($Z$860:$Z$873,Z871,$AB$860:$AB$873,AB871,$V$860:$V$873,"&gt;"&amp;V871,$AD$860:$AD$873,1)+COUNTIFS($Z$860:Z871,Z871,$AB$860:AB871,AB871,$V$860:V871,V871,$AD$860:AD871,1))</x:f>
      </x:c>
      <x:c r="AD871" s="2" t="n">
        <x:f>IF(OR(AA871="DEFENSIV",AA871="PRUDENT",AA871="MODERAT",AA871="RIDICAT"),1,0)</x:f>
        <x:v>0</x:v>
      </x:c>
      <x:c r="AE871" s="2" t="str">
        <x:f>IF(AD871&lt;&gt;1,"NO",IF(W871="PASS","YES",IF(W871="OOS PENDING","CONDITIONAL","NO")))</x:f>
        <x:v>NO</x:v>
      </x:c>
      <x:c r="AF871" s="2" t="n">
        <x:f>IF(AND(AD871=1,AC871=1,E871="LIVE"),1,0)</x:f>
        <x:v>0</x:v>
      </x:c>
      <x:c r="AG871" s="2" t="str">
        <x:f>IF(AF871&lt;&gt;1,"",'Dashboard'!P87)</x:f>
      </x:c>
      <x:c r="AH871" s="2" t="str">
        <x:f>IF(B871="","",IF(J871&lt;&gt;"PASS",'Motor_Meciuri'!J67,IF('Calibrare_Linii'!U17&lt;&gt;"VALID","Parametri linie invalizi",IF(L871&gt;'Config_v6'!$B$13,"Dispersie peste limita",IF(W871="WATCH","Failure peste limita",IF(AB871&lt;'Config_v6'!$B$16,"P finala sub prag",IF(V871&lt;'Config_v6'!$B$18,"Confidence sub prag",IF(E871="REPLAY","Exemplu retrospectiv; exclus din Top LIVE",IF(Y871="PASS","DEFENSIV validat",IF(W871="OOS PENDING","Eligibil; calibrare linie in monitorizare","Eligibil"))))))))))</x:f>
      </x:c>
      <x:c r="AI871" s="2" t="str">
        <x:f>IF(B871="","",'Calibrare_Linii'!V17)</x:f>
      </x:c>
      <x:c r="AJ871" s="2" t="str">
        <x:f>IF(B871="","",IF(AND('Calibrare_Linii'!T17="VALIDATED",AND('Calibrare_Linii'!H17=C871,ISNUMBER('Calibrare_Linii'!J17),'Calibrare_Linii'!J17&lt;='Input_Meci'!G67)),"DEFENSIVE VALIDATED",IF(AND('Calibrare_Linii'!S17="VALIDATED",AND('Calibrare_Linii'!H17=C871,ISNUMBER('Calibrare_Linii'!J17),'Calibrare_Linii'!J17&lt;='Input_Meci'!G67)),"TAIL VALIDATED","OOS PENDING")))</x:f>
      </x:c>
      <x:c r="AK871" s="2" t="n">
        <x:f>IF(J871&lt;&gt;"PASS",0,'Motor_Meciuri'!BR67)</x:f>
        <x:v>0</x:v>
      </x:c>
      <x:c r="AL871" s="2" t="n">
        <x:f>IF(J871&lt;&gt;"PASS",0,'Motor_Meciuri'!BS67)</x:f>
        <x:v>0</x:v>
      </x:c>
      <x:c r="AM871" s="2" t="n">
        <x:f>IF(J871&lt;&gt;"PASS",0,'Motor_Meciuri'!BT67)</x:f>
        <x:v>0</x:v>
      </x:c>
      <x:c r="AN871" s="2" t="str">
        <x:f>IF(M871="","",MAX(0,'Motor_Meciuri'!BF67-IF(L871&gt;'Config_v6'!$B$12,'Config_v6'!$B$37,IF(L871&gt;'Config_v6'!$B$11,'Config_v6'!$B$36,0))))</x:f>
      </x:c>
    </x:row>
    <x:row r="872" ht="21" customHeight="1">
      <x:c r="A872" s="2" t="n">
        <x:v>62</x:v>
      </x:c>
      <x:c r="B872" s="2" t="str">
        <x:f>IF('Motor_Meciuri'!A67="","",'Motor_Meciuri'!A67)</x:f>
      </x:c>
      <x:c r="C872" s="2" t="str">
        <x:f>IF(B872="","",'Motor_Meciuri'!B67)</x:f>
      </x:c>
      <x:c r="D872" s="2" t="str">
        <x:f>IF(B872="","",'Motor_Meciuri'!D67)</x:f>
      </x:c>
      <x:c r="E872" s="2" t="str">
        <x:f>IF(B872="","",'Motor_Meciuri'!E67)</x:f>
      </x:c>
      <x:c r="F872" s="2" t="str">
        <x:v>U16,5</x:v>
      </x:c>
      <x:c r="G872" s="2" t="str">
        <x:v>UNDER</x:v>
      </x:c>
      <x:c r="H872" s="2" t="n">
        <x:v>16</x:v>
      </x:c>
      <x:c r="I872" s="2" t="str">
        <x:f>IF(B872="","",'Motor_Meciuri'!H67)</x:f>
      </x:c>
      <x:c r="J872" s="2" t="str">
        <x:f>IF(B872="","",'Motor_Meciuri'!I67)</x:f>
      </x:c>
      <x:c r="K872" s="11" t="str">
        <x:f>IF(J872&lt;&gt;"PASS","",'Motor_Meciuri'!BD67)</x:f>
      </x:c>
      <x:c r="L872" s="11" t="str">
        <x:f>IF(J872&lt;&gt;"PASS","",'Motor_Meciuri'!AU67)</x:f>
      </x:c>
      <x:c r="M872" s="10" t="str">
        <x:f>IF(NOT(AND(J872="PASS",'Calibrare_Linii'!U18="VALID")),"",'Distributie'!AN67)</x:f>
      </x:c>
      <x:c r="N872" s="10" t="str">
        <x:f>IF(M872="","",MAX(0.01,MIN(0.99,0.5+(M872-0.5)*'Motor_Meciuri'!BG67*'Calibrare_Linii'!D18)))</x:f>
      </x:c>
      <x:c r="O872" s="10" t="str">
        <x:f>IF(M872="","",1-M872)</x:f>
      </x:c>
      <x:c r="P872" s="10" t="str">
        <x:f>IF(OR(NOT(AND(J872="PASS",'Calibrare_Linii'!U18="VALID")),AK872=0),""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*('Istoric_Nativ'!$Q$6:$Q$405&gt;H872))/AK872)</x:f>
      </x:c>
      <x:c r="Q872" s="10" t="str">
        <x:f>IF(OR(NOT(AND(J872="PASS",'Calibrare_Linii'!U18="VALID")),AL872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M67)+((('Istoric_Nativ'!$E$6:$E$405='Input_Meci'!E67)+('Istoric_Nativ'!$F$6:$F$405='Input_Meci'!E67))&gt;0)*('Istoric_Nativ'!$D$6:$D$405&gt;='Motor_Meciuri'!BN67))&gt;0)*('Istoric_Nativ'!$Q$6:$Q$405&gt;H872))/AL872)</x:f>
      </x:c>
      <x:c r="R872" s="10" t="str">
        <x:f>IF(OR(NOT(AND(J872="PASS",'Calibrare_Linii'!U18="VALID")),AM872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O67)+((('Istoric_Nativ'!$E$6:$E$405='Input_Meci'!E67)+('Istoric_Nativ'!$F$6:$F$405='Input_Meci'!E67))&gt;0)*('Istoric_Nativ'!$D$6:$D$405&gt;='Motor_Meciuri'!BP67))&gt;0)*('Istoric_Nativ'!$Q$6:$Q$405&gt;H872))/AM872)</x:f>
      </x:c>
      <x:c r="S872" s="10" t="str">
        <x:f>IF(M872="","",MAX(O872,P872,Q872,R872))</x:f>
      </x:c>
      <x:c r="T872" s="11" t="str">
        <x:f>IF(M872="","",MIN(100,S872*100*'Config_v6'!$B$44+MIN(100,L872/'Config_v6'!$B$13*100)*'Config_v6'!$B$45+(100-'Motor_Meciuri'!BF67)*'Config_v6'!$B$46+'Motor_Meciuri'!BH67*100*'Config_v6'!$B$47))</x:f>
      </x:c>
      <x:c r="U872" s="2" t="str">
        <x:f>IF(T872="","",IF(T872&lt;=20,1,IF(T872&lt;=40,2,IF(T872&lt;=60,3,IF(T872&lt;=80,4,5)))))</x:f>
      </x:c>
      <x:c r="V872" s="2" t="str">
        <x:f>IF(M872="","",MAX(0,'Motor_Meciuri'!BF67-IF(W872="OOS PENDING",'Config_v6'!$B$35,0)-IF(L872&gt;'Config_v6'!$B$12,'Config_v6'!$B$37,IF(L872&gt;'Config_v6'!$B$11,'Config_v6'!$B$36,0))))</x:f>
      </x:c>
      <x:c r="W872" s="2" t="str">
        <x:f>IF(B872="","",IF(I872&lt;&gt;"READY","NOT RELEASED",IF(NOT(AND(J872="PASS",'Calibrare_Linii'!U18="VALID")),"INVALID",IF(NOT(AND('Calibrare_Linii'!S18="VALIDATED",AND('Calibrare_Linii'!H18=C872,ISNUMBER('Calibrare_Linii'!J18),'Calibrare_Linii'!J18&lt;='Input_Meci'!G67))),"OOS PENDING",IF(S872&lt;='Calibrare_Linii'!E18,"PASS",IF(S872&lt;='Calibrare_Linii'!F18,"PENALTY","WATCH"))))))</x:f>
      </x:c>
      <x:c r="X872" s="2" t="str">
        <x:f>IF(M872="","",IF(AND(AND(J872="PASS",'Calibrare_Linii'!U18="VALID"),'Motor_Meciuri'!K67=12,'Motor_Meciuri'!L67=12,'Motor_Meciuri'!M67="NO",'Motor_Meciuri'!BL67='Motor_Meciuri'!C67,AB872&gt;='Config_v6'!$B$50,AN872&gt;='Config_v6'!$B$51,T872&lt;='Config_v6'!$B$52,L872&lt;='Config_v6'!$B$53,ISNUMBER('Calibrare_Linii'!E18),S872&lt;='Calibrare_Linii'!E18,SUM(AK872:AM872)&gt;0),"CANDIDATE","NO"))</x:f>
      </x:c>
      <x:c r="Y872" s="2" t="str">
        <x:f>IF(B872="","",IF(I872&lt;&gt;"READY","NOT RELEASED",IF(AND(X872="CANDIDATE",V872&gt;='Config_v6'!$B$51,W872="PASS",'Calibrare_Linii'!T18="VALIDATED",AND('Calibrare_Linii'!H18=C872,ISNUMBER('Calibrare_Linii'!J18),'Calibrare_Linii'!J18&lt;='Input_Meci'!G67)),"PASS",IF(X872="CANDIDATE","OOS PENDING","FAIL"))))</x:f>
      </x:c>
      <x:c r="Z872" s="2" t="str">
        <x:f>IF(B872="","",IF(I872&lt;&gt;"READY","",IF(OR(NOT(AND(J872="PASS",'Calibrare_Linii'!U18="VALID")),L872&gt;'Config_v6'!$B$13,W872="WATCH"),5,IF(Y872="PASS",1,MIN(5,MAX('Config_v6'!$B$42,U872)+IF(W872="PENALTY",1,0))))))</x:f>
      </x:c>
      <x:c r="AA872" s="2" t="str">
        <x:f>IF(B872="","",IF(I872&lt;&gt;"READY","NOT RELEASED",IF(Z872=5,"NO BET",IF(OR(AB872&lt;'Config_v6'!$B$16,V872&lt;'Config_v6'!$B$18),"WATCH",IF(Z872=1,"DEFENSIV",IF(Z872=2,"PRUDENT",IF(Z872=3,"MODERAT","RIDICAT")))))))</x:f>
      </x:c>
      <x:c r="AB872" s="10" t="str">
        <x:f>IF(N872="","",MIN(N872,1-S872))</x:f>
      </x:c>
      <x:c r="AC872" s="2" t="str">
        <x:f>IF(AD872&lt;&gt;1,"",COUNTIFS($Z$860:$Z$873,"&lt;"&amp;Z872,$AD$860:$AD$873,1)+COUNTIFS($Z$860:$Z$873,Z872,$AB$860:$AB$873,"&gt;"&amp;AB872,$AD$860:$AD$873,1)+COUNTIFS($Z$860:$Z$873,Z872,$AB$860:$AB$873,AB872,$V$860:$V$873,"&gt;"&amp;V872,$AD$860:$AD$873,1)+COUNTIFS($Z$860:Z872,Z872,$AB$860:AB872,AB872,$V$860:V872,V872,$AD$860:AD872,1))</x:f>
      </x:c>
      <x:c r="AD872" s="2" t="n">
        <x:f>IF(OR(AA872="DEFENSIV",AA872="PRUDENT",AA872="MODERAT",AA872="RIDICAT"),1,0)</x:f>
        <x:v>0</x:v>
      </x:c>
      <x:c r="AE872" s="2" t="str">
        <x:f>IF(AD872&lt;&gt;1,"NO",IF(W872="PASS","YES",IF(W872="OOS PENDING","CONDITIONAL","NO")))</x:f>
        <x:v>NO</x:v>
      </x:c>
      <x:c r="AF872" s="2" t="n">
        <x:f>IF(AND(AD872=1,AC872=1,E872="LIVE"),1,0)</x:f>
        <x:v>0</x:v>
      </x:c>
      <x:c r="AG872" s="2" t="str">
        <x:f>IF(AF872&lt;&gt;1,"",'Dashboard'!P87)</x:f>
      </x:c>
      <x:c r="AH872" s="2" t="str">
        <x:f>IF(B872="","",IF(J872&lt;&gt;"PASS",'Motor_Meciuri'!J67,IF('Calibrare_Linii'!U18&lt;&gt;"VALID","Parametri linie invalizi",IF(L872&gt;'Config_v6'!$B$13,"Dispersie peste limita",IF(W872="WATCH","Failure peste limita",IF(AB872&lt;'Config_v6'!$B$16,"P finala sub prag",IF(V872&lt;'Config_v6'!$B$18,"Confidence sub prag",IF(E872="REPLAY","Exemplu retrospectiv; exclus din Top LIVE",IF(Y872="PASS","DEFENSIV validat",IF(W872="OOS PENDING","Eligibil; calibrare linie in monitorizare","Eligibil"))))))))))</x:f>
      </x:c>
      <x:c r="AI872" s="2" t="str">
        <x:f>IF(B872="","",'Calibrare_Linii'!V18)</x:f>
      </x:c>
      <x:c r="AJ872" s="2" t="str">
        <x:f>IF(B872="","",IF(AND('Calibrare_Linii'!T18="VALIDATED",AND('Calibrare_Linii'!H18=C872,ISNUMBER('Calibrare_Linii'!J18),'Calibrare_Linii'!J18&lt;='Input_Meci'!G67)),"DEFENSIVE VALIDATED",IF(AND('Calibrare_Linii'!S18="VALIDATED",AND('Calibrare_Linii'!H18=C872,ISNUMBER('Calibrare_Linii'!J18),'Calibrare_Linii'!J18&lt;='Input_Meci'!G67)),"TAIL VALIDATED","OOS PENDING")))</x:f>
      </x:c>
      <x:c r="AK872" s="2" t="n">
        <x:f>IF(J872&lt;&gt;"PASS",0,'Motor_Meciuri'!BR67)</x:f>
        <x:v>0</x:v>
      </x:c>
      <x:c r="AL872" s="2" t="n">
        <x:f>IF(J872&lt;&gt;"PASS",0,'Motor_Meciuri'!BS67)</x:f>
        <x:v>0</x:v>
      </x:c>
      <x:c r="AM872" s="2" t="n">
        <x:f>IF(J872&lt;&gt;"PASS",0,'Motor_Meciuri'!BT67)</x:f>
        <x:v>0</x:v>
      </x:c>
      <x:c r="AN872" s="2" t="str">
        <x:f>IF(M872="","",MAX(0,'Motor_Meciuri'!BF67-IF(L872&gt;'Config_v6'!$B$12,'Config_v6'!$B$37,IF(L872&gt;'Config_v6'!$B$11,'Config_v6'!$B$36,0))))</x:f>
      </x:c>
    </x:row>
    <x:row r="873" ht="21" customHeight="1">
      <x:c r="A873" s="2" t="n">
        <x:v>62</x:v>
      </x:c>
      <x:c r="B873" s="2" t="str">
        <x:f>IF('Motor_Meciuri'!A67="","",'Motor_Meciuri'!A67)</x:f>
      </x:c>
      <x:c r="C873" s="2" t="str">
        <x:f>IF(B873="","",'Motor_Meciuri'!B67)</x:f>
      </x:c>
      <x:c r="D873" s="2" t="str">
        <x:f>IF(B873="","",'Motor_Meciuri'!D67)</x:f>
      </x:c>
      <x:c r="E873" s="2" t="str">
        <x:f>IF(B873="","",'Motor_Meciuri'!E67)</x:f>
      </x:c>
      <x:c r="F873" s="2" t="str">
        <x:v>U17,5</x:v>
      </x:c>
      <x:c r="G873" s="2" t="str">
        <x:v>UNDER</x:v>
      </x:c>
      <x:c r="H873" s="2" t="n">
        <x:v>17</x:v>
      </x:c>
      <x:c r="I873" s="2" t="str">
        <x:f>IF(B873="","",'Motor_Meciuri'!H67)</x:f>
      </x:c>
      <x:c r="J873" s="2" t="str">
        <x:f>IF(B873="","",'Motor_Meciuri'!I67)</x:f>
      </x:c>
      <x:c r="K873" s="11" t="str">
        <x:f>IF(J873&lt;&gt;"PASS","",'Motor_Meciuri'!BD67)</x:f>
      </x:c>
      <x:c r="L873" s="11" t="str">
        <x:f>IF(J873&lt;&gt;"PASS","",'Motor_Meciuri'!AU67)</x:f>
      </x:c>
      <x:c r="M873" s="10" t="str">
        <x:f>IF(NOT(AND(J873="PASS",'Calibrare_Linii'!U19="VALID")),"",'Distributie'!AO67)</x:f>
      </x:c>
      <x:c r="N873" s="10" t="str">
        <x:f>IF(M873="","",MAX(0.01,MIN(0.99,0.5+(M873-0.5)*'Motor_Meciuri'!BG67*'Calibrare_Linii'!D19)))</x:f>
      </x:c>
      <x:c r="O873" s="10" t="str">
        <x:f>IF(M873="","",1-M873)</x:f>
      </x:c>
      <x:c r="P873" s="10" t="str">
        <x:f>IF(OR(NOT(AND(J873="PASS",'Calibrare_Linii'!U19="VALID")),AK873=0),""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*('Istoric_Nativ'!$Q$6:$Q$405&gt;H873))/AK873)</x:f>
      </x:c>
      <x:c r="Q873" s="10" t="str">
        <x:f>IF(OR(NOT(AND(J873="PASS",'Calibrare_Linii'!U19="VALID")),AL873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M67)+((('Istoric_Nativ'!$E$6:$E$405='Input_Meci'!E67)+('Istoric_Nativ'!$F$6:$F$405='Input_Meci'!E67))&gt;0)*('Istoric_Nativ'!$D$6:$D$405&gt;='Motor_Meciuri'!BN67))&gt;0)*('Istoric_Nativ'!$Q$6:$Q$405&gt;H873))/AL873)</x:f>
      </x:c>
      <x:c r="R873" s="10" t="str">
        <x:f>IF(OR(NOT(AND(J873="PASS",'Calibrare_Linii'!U19="VALID")),AM873=0),""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'Motor_Meciuri'!BO67)+((('Istoric_Nativ'!$E$6:$E$405='Input_Meci'!E67)+('Istoric_Nativ'!$F$6:$F$405='Input_Meci'!E67))&gt;0)*('Istoric_Nativ'!$D$6:$D$405&gt;='Motor_Meciuri'!BP67))&gt;0)*('Istoric_Nativ'!$Q$6:$Q$405&gt;H873))/AM873)</x:f>
      </x:c>
      <x:c r="S873" s="10" t="str">
        <x:f>IF(M873="","",MAX(O873,P873,Q873,R873))</x:f>
      </x:c>
      <x:c r="T873" s="11" t="str">
        <x:f>IF(M873="","",MIN(100,S873*100*'Config_v6'!$B$44+MIN(100,L873/'Config_v6'!$B$13*100)*'Config_v6'!$B$45+(100-'Motor_Meciuri'!BF67)*'Config_v6'!$B$46+'Motor_Meciuri'!BH67*100*'Config_v6'!$B$47))</x:f>
      </x:c>
      <x:c r="U873" s="2" t="str">
        <x:f>IF(T873="","",IF(T873&lt;=20,1,IF(T873&lt;=40,2,IF(T873&lt;=60,3,IF(T873&lt;=80,4,5)))))</x:f>
      </x:c>
      <x:c r="V873" s="2" t="str">
        <x:f>IF(M873="","",MAX(0,'Motor_Meciuri'!BF67-IF(W873="OOS PENDING",'Config_v6'!$B$35,0)-IF(L873&gt;'Config_v6'!$B$12,'Config_v6'!$B$37,IF(L873&gt;'Config_v6'!$B$11,'Config_v6'!$B$36,0))))</x:f>
      </x:c>
      <x:c r="W873" s="2" t="str">
        <x:f>IF(B873="","",IF(I873&lt;&gt;"READY","NOT RELEASED",IF(NOT(AND(J873="PASS",'Calibrare_Linii'!U19="VALID")),"INVALID",IF(NOT(AND('Calibrare_Linii'!S19="VALIDATED",AND('Calibrare_Linii'!H19=C873,ISNUMBER('Calibrare_Linii'!J19),'Calibrare_Linii'!J19&lt;='Input_Meci'!G67))),"OOS PENDING",IF(S873&lt;='Calibrare_Linii'!E19,"PASS",IF(S873&lt;='Calibrare_Linii'!F19,"PENALTY","WATCH"))))))</x:f>
      </x:c>
      <x:c r="X873" s="2" t="str">
        <x:f>IF(M873="","",IF(AND(AND(J873="PASS",'Calibrare_Linii'!U19="VALID"),'Motor_Meciuri'!K67=12,'Motor_Meciuri'!L67=12,'Motor_Meciuri'!M67="NO",'Motor_Meciuri'!BL67='Motor_Meciuri'!C67,AB873&gt;='Config_v6'!$B$50,AN873&gt;='Config_v6'!$B$51,T873&lt;='Config_v6'!$B$52,L873&lt;='Config_v6'!$B$53,ISNUMBER('Calibrare_Linii'!E19),S873&lt;='Calibrare_Linii'!E19,SUM(AK873:AM873)&gt;0),"CANDIDATE","NO"))</x:f>
      </x:c>
      <x:c r="Y873" s="2" t="str">
        <x:f>IF(B873="","",IF(I873&lt;&gt;"READY","NOT RELEASED",IF(AND(X873="CANDIDATE",V873&gt;='Config_v6'!$B$51,W873="PASS",'Calibrare_Linii'!T19="VALIDATED",AND('Calibrare_Linii'!H19=C873,ISNUMBER('Calibrare_Linii'!J19),'Calibrare_Linii'!J19&lt;='Input_Meci'!G67)),"PASS",IF(X873="CANDIDATE","OOS PENDING","FAIL"))))</x:f>
      </x:c>
      <x:c r="Z873" s="2" t="str">
        <x:f>IF(B873="","",IF(I873&lt;&gt;"READY","",IF(OR(NOT(AND(J873="PASS",'Calibrare_Linii'!U19="VALID")),L873&gt;'Config_v6'!$B$13,W873="WATCH"),5,IF(Y873="PASS",1,MIN(5,MAX('Config_v6'!$B$42,U873)+IF(W873="PENALTY",1,0))))))</x:f>
      </x:c>
      <x:c r="AA873" s="2" t="str">
        <x:f>IF(B873="","",IF(I873&lt;&gt;"READY","NOT RELEASED",IF(Z873=5,"NO BET",IF(OR(AB873&lt;'Config_v6'!$B$16,V873&lt;'Config_v6'!$B$18),"WATCH",IF(Z873=1,"DEFENSIV",IF(Z873=2,"PRUDENT",IF(Z873=3,"MODERAT","RIDICAT")))))))</x:f>
      </x:c>
      <x:c r="AB873" s="10" t="str">
        <x:f>IF(N873="","",MIN(N873,1-S873))</x:f>
      </x:c>
      <x:c r="AC873" s="2" t="str">
        <x:f>IF(AD873&lt;&gt;1,"",COUNTIFS($Z$860:$Z$873,"&lt;"&amp;Z873,$AD$860:$AD$873,1)+COUNTIFS($Z$860:$Z$873,Z873,$AB$860:$AB$873,"&gt;"&amp;AB873,$AD$860:$AD$873,1)+COUNTIFS($Z$860:$Z$873,Z873,$AB$860:$AB$873,AB873,$V$860:$V$873,"&gt;"&amp;V873,$AD$860:$AD$873,1)+COUNTIFS($Z$860:Z873,Z873,$AB$860:AB873,AB873,$V$860:V873,V873,$AD$860:AD873,1))</x:f>
      </x:c>
      <x:c r="AD873" s="2" t="n">
        <x:f>IF(OR(AA873="DEFENSIV",AA873="PRUDENT",AA873="MODERAT",AA873="RIDICAT"),1,0)</x:f>
        <x:v>0</x:v>
      </x:c>
      <x:c r="AE873" s="2" t="str">
        <x:f>IF(AD873&lt;&gt;1,"NO",IF(W873="PASS","YES",IF(W873="OOS PENDING","CONDITIONAL","NO")))</x:f>
        <x:v>NO</x:v>
      </x:c>
      <x:c r="AF873" s="2" t="n">
        <x:f>IF(AND(AD873=1,AC873=1,E873="LIVE"),1,0)</x:f>
        <x:v>0</x:v>
      </x:c>
      <x:c r="AG873" s="2" t="str">
        <x:f>IF(AF873&lt;&gt;1,"",'Dashboard'!P87)</x:f>
      </x:c>
      <x:c r="AH873" s="2" t="str">
        <x:f>IF(B873="","",IF(J873&lt;&gt;"PASS",'Motor_Meciuri'!J67,IF('Calibrare_Linii'!U19&lt;&gt;"VALID","Parametri linie invalizi",IF(L873&gt;'Config_v6'!$B$13,"Dispersie peste limita",IF(W873="WATCH","Failure peste limita",IF(AB873&lt;'Config_v6'!$B$16,"P finala sub prag",IF(V873&lt;'Config_v6'!$B$18,"Confidence sub prag",IF(E873="REPLAY","Exemplu retrospectiv; exclus din Top LIVE",IF(Y873="PASS","DEFENSIV validat",IF(W873="OOS PENDING","Eligibil; calibrare linie in monitorizare","Eligibil"))))))))))</x:f>
      </x:c>
      <x:c r="AI873" s="2" t="str">
        <x:f>IF(B873="","",'Calibrare_Linii'!V19)</x:f>
      </x:c>
      <x:c r="AJ873" s="2" t="str">
        <x:f>IF(B873="","",IF(AND('Calibrare_Linii'!T19="VALIDATED",AND('Calibrare_Linii'!H19=C873,ISNUMBER('Calibrare_Linii'!J19),'Calibrare_Linii'!J19&lt;='Input_Meci'!G67)),"DEFENSIVE VALIDATED",IF(AND('Calibrare_Linii'!S19="VALIDATED",AND('Calibrare_Linii'!H19=C873,ISNUMBER('Calibrare_Linii'!J19),'Calibrare_Linii'!J19&lt;='Input_Meci'!G67)),"TAIL VALIDATED","OOS PENDING")))</x:f>
      </x:c>
      <x:c r="AK873" s="2" t="n">
        <x:f>IF(J873&lt;&gt;"PASS",0,'Motor_Meciuri'!BR67)</x:f>
        <x:v>0</x:v>
      </x:c>
      <x:c r="AL873" s="2" t="n">
        <x:f>IF(J873&lt;&gt;"PASS",0,'Motor_Meciuri'!BS67)</x:f>
        <x:v>0</x:v>
      </x:c>
      <x:c r="AM873" s="2" t="n">
        <x:f>IF(J873&lt;&gt;"PASS",0,'Motor_Meciuri'!BT67)</x:f>
        <x:v>0</x:v>
      </x:c>
      <x:c r="AN873" s="2" t="str">
        <x:f>IF(M873="","",MAX(0,'Motor_Meciuri'!BF67-IF(L873&gt;'Config_v6'!$B$12,'Config_v6'!$B$37,IF(L873&gt;'Config_v6'!$B$11,'Config_v6'!$B$36,0))))</x:f>
      </x:c>
    </x:row>
    <x:row r="874" ht="21" customHeight="1">
      <x:c r="A874" s="2" t="n">
        <x:v>63</x:v>
      </x:c>
      <x:c r="B874" s="2" t="str">
        <x:f>IF('Motor_Meciuri'!A68="","",'Motor_Meciuri'!A68)</x:f>
      </x:c>
      <x:c r="C874" s="2" t="str">
        <x:f>IF(B874="","",'Motor_Meciuri'!B68)</x:f>
      </x:c>
      <x:c r="D874" s="2" t="str">
        <x:f>IF(B874="","",'Motor_Meciuri'!D68)</x:f>
      </x:c>
      <x:c r="E874" s="2" t="str">
        <x:f>IF(B874="","",'Motor_Meciuri'!E68)</x:f>
      </x:c>
      <x:c r="F874" s="2" t="str">
        <x:v>O3,5</x:v>
      </x:c>
      <x:c r="G874" s="2" t="str">
        <x:v>OVER</x:v>
      </x:c>
      <x:c r="H874" s="2" t="n">
        <x:v>3</x:v>
      </x:c>
      <x:c r="I874" s="2" t="str">
        <x:f>IF(B874="","",'Motor_Meciuri'!H68)</x:f>
      </x:c>
      <x:c r="J874" s="2" t="str">
        <x:f>IF(B874="","",'Motor_Meciuri'!I68)</x:f>
      </x:c>
      <x:c r="K874" s="11" t="str">
        <x:f>IF(J874&lt;&gt;"PASS","",'Motor_Meciuri'!BD68)</x:f>
      </x:c>
      <x:c r="L874" s="11" t="str">
        <x:f>IF(J874&lt;&gt;"PASS","",'Motor_Meciuri'!AU68)</x:f>
      </x:c>
      <x:c r="M874" s="10" t="str">
        <x:f>IF(NOT(AND(J874="PASS",'Calibrare_Linii'!U6="VALID")),"",1-'Distributie'!AA68)</x:f>
      </x:c>
      <x:c r="N874" s="10" t="str">
        <x:f>IF(M874="","",MAX(0.01,MIN(0.99,0.5+(M874-0.5)*'Motor_Meciuri'!BG68*'Calibrare_Linii'!D6)))</x:f>
      </x:c>
      <x:c r="O874" s="10" t="str">
        <x:f>IF(M874="","",1-M874)</x:f>
      </x:c>
      <x:c r="P874" s="10" t="str">
        <x:f>IF(OR(NOT(AND(J874="PASS",'Calibrare_Linii'!U6="VALID")),AK874=0),""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*('Istoric_Nativ'!$Q$6:$Q$405&lt;=H874))/AK874)</x:f>
      </x:c>
      <x:c r="Q874" s="10" t="str">
        <x:f>IF(OR(NOT(AND(J874="PASS",'Calibrare_Linii'!U6="VALID")),AL874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M68)+((('Istoric_Nativ'!$E$6:$E$405='Input_Meci'!E68)+('Istoric_Nativ'!$F$6:$F$405='Input_Meci'!E68))&gt;0)*('Istoric_Nativ'!$D$6:$D$405&gt;='Motor_Meciuri'!BN68))&gt;0)*('Istoric_Nativ'!$Q$6:$Q$405&lt;=H874))/AL874)</x:f>
      </x:c>
      <x:c r="R874" s="10" t="str">
        <x:f>IF(OR(NOT(AND(J874="PASS",'Calibrare_Linii'!U6="VALID")),AM874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O68)+((('Istoric_Nativ'!$E$6:$E$405='Input_Meci'!E68)+('Istoric_Nativ'!$F$6:$F$405='Input_Meci'!E68))&gt;0)*('Istoric_Nativ'!$D$6:$D$405&gt;='Motor_Meciuri'!BP68))&gt;0)*('Istoric_Nativ'!$Q$6:$Q$405&lt;=H874))/AM874)</x:f>
      </x:c>
      <x:c r="S874" s="10" t="str">
        <x:f>IF(M874="","",MAX(O874,P874,Q874,R874))</x:f>
      </x:c>
      <x:c r="T874" s="11" t="str">
        <x:f>IF(M874="","",MIN(100,S874*100*'Config_v6'!$B$44+MIN(100,L874/'Config_v6'!$B$13*100)*'Config_v6'!$B$45+(100-'Motor_Meciuri'!BF68)*'Config_v6'!$B$46+'Motor_Meciuri'!BH68*100*'Config_v6'!$B$47))</x:f>
      </x:c>
      <x:c r="U874" s="2" t="str">
        <x:f>IF(T874="","",IF(T874&lt;=20,1,IF(T874&lt;=40,2,IF(T874&lt;=60,3,IF(T874&lt;=80,4,5)))))</x:f>
      </x:c>
      <x:c r="V874" s="2" t="str">
        <x:f>IF(M874="","",MAX(0,'Motor_Meciuri'!BF68-IF(W874="OOS PENDING",'Config_v6'!$B$35,0)-IF(L874&gt;'Config_v6'!$B$12,'Config_v6'!$B$37,IF(L874&gt;'Config_v6'!$B$11,'Config_v6'!$B$36,0))))</x:f>
      </x:c>
      <x:c r="W874" s="2" t="str">
        <x:f>IF(B874="","",IF(I874&lt;&gt;"READY","NOT RELEASED",IF(NOT(AND(J874="PASS",'Calibrare_Linii'!U6="VALID")),"INVALID",IF(NOT(TRUE),"OOS PENDING",IF(S874&lt;=IF(AND('Calibrare_Linii'!S6="VALIDATED",AND('Calibrare_Linii'!H6=C874,ISNUMBER('Calibrare_Linii'!J6),'Calibrare_Linii'!J6&lt;='Input_Meci'!G68)),'Calibrare_Linii'!E6,'Config_v6'!$B$26),"PASS",IF(S874&lt;=IF(AND('Calibrare_Linii'!S6="VALIDATED",AND('Calibrare_Linii'!H6=C874,ISNUMBER('Calibrare_Linii'!J6),'Calibrare_Linii'!J6&lt;='Input_Meci'!G68)),'Calibrare_Linii'!F6,'Config_v6'!$C$26),"PENALTY","WATCH"))))))</x:f>
      </x:c>
      <x:c r="X874" s="2" t="str">
        <x:f>IF(M874="","",IF(AND(AND(J874="PASS",'Calibrare_Linii'!U6="VALID"),'Motor_Meciuri'!K68=12,'Motor_Meciuri'!L68=12,'Motor_Meciuri'!M68="NO",'Motor_Meciuri'!BL68='Motor_Meciuri'!C68,AB874&gt;='Config_v6'!$B$50,AN874&gt;='Config_v6'!$B$51,T874&lt;='Config_v6'!$B$52,L874&lt;='Config_v6'!$B$53,ISNUMBER('Calibrare_Linii'!E6),S874&lt;='Calibrare_Linii'!E6,SUM(AK874:AM874)&gt;0),"CANDIDATE","NO"))</x:f>
      </x:c>
      <x:c r="Y874" s="2" t="str">
        <x:f>IF(B874="","",IF(I874&lt;&gt;"READY","NOT RELEASED",IF(AND(X874="CANDIDATE",V874&gt;='Config_v6'!$B$51,W874="PASS",'Calibrare_Linii'!T6="VALIDATED",AND('Calibrare_Linii'!H6=C874,ISNUMBER('Calibrare_Linii'!J6),'Calibrare_Linii'!J6&lt;='Input_Meci'!G68)),"PASS",IF(X874="CANDIDATE","OOS PENDING","FAIL"))))</x:f>
      </x:c>
      <x:c r="Z874" s="2" t="str">
        <x:f>IF(B874="","",IF(I874&lt;&gt;"READY","",IF(OR(NOT(AND(J874="PASS",'Calibrare_Linii'!U6="VALID")),L874&gt;'Config_v6'!$B$13,W874="WATCH"),5,IF(Y874="PASS",1,MIN(5,MAX('Config_v6'!$B$42,U874)+IF(W874="PENALTY",1,0))))))</x:f>
      </x:c>
      <x:c r="AA874" s="2" t="str">
        <x:f>IF(B874="","",IF(I874&lt;&gt;"READY","NOT RELEASED",IF(Z874=5,"NO BET",IF(OR(AB874&lt;'Config_v6'!$B$16,V874&lt;'Config_v6'!$B$18),"WATCH",IF(Z874=1,"DEFENSIV",IF(Z874=2,"PRUDENT",IF(Z874=3,"MODERAT","RIDICAT")))))))</x:f>
      </x:c>
      <x:c r="AB874" s="10" t="str">
        <x:f>IF(N874="","",MIN(N874,1-S874))</x:f>
      </x:c>
      <x:c r="AC874" s="2" t="str">
        <x:f>IF(AD874&lt;&gt;1,"",COUNTIFS($Z$874:$Z$887,"&lt;"&amp;Z874,$AD$874:$AD$887,1)+COUNTIFS($Z$874:$Z$887,Z874,$AB$874:$AB$887,"&gt;"&amp;AB874,$AD$874:$AD$887,1)+COUNTIFS($Z$874:$Z$887,Z874,$AB$874:$AB$887,AB874,$V$874:$V$887,"&gt;"&amp;V874,$AD$874:$AD$887,1)+COUNTIFS($Z$874:Z874,Z874,$AB$874:AB874,AB874,$V$874:V874,V874,$AD$874:AD874,1))</x:f>
      </x:c>
      <x:c r="AD874" s="2" t="n">
        <x:f>IF(OR(AA874="DEFENSIV",AA874="PRUDENT",AA874="MODERAT",AA874="RIDICAT"),1,0)</x:f>
        <x:v>0</x:v>
      </x:c>
      <x:c r="AE874" s="2" t="str">
        <x:f>IF(AD874&lt;&gt;1,"NO",IF(W874="PASS","YES",IF(W874="OOS PENDING","CONDITIONAL","NO")))</x:f>
        <x:v>NO</x:v>
      </x:c>
      <x:c r="AF874" s="2" t="n">
        <x:f>IF(AND(AD874=1,AC874=1,E874="LIVE"),1,0)</x:f>
        <x:v>0</x:v>
      </x:c>
      <x:c r="AG874" s="2" t="str">
        <x:f>IF(AF874&lt;&gt;1,"",'Dashboard'!P88)</x:f>
      </x:c>
      <x:c r="AH874" s="2" t="str">
        <x:f>IF(B874="","",IF(J874&lt;&gt;"PASS",'Motor_Meciuri'!J68,IF('Calibrare_Linii'!U6&lt;&gt;"VALID","Parametri linie invalizi",IF(L874&gt;'Config_v6'!$B$13,"Dispersie peste limita",IF(W874="WATCH","Failure peste limita",IF(AB874&lt;'Config_v6'!$B$16,"P finala sub prag",IF(V874&lt;'Config_v6'!$B$18,"Confidence sub prag",IF(E874="REPLAY","Exemplu retrospectiv; exclus din Top LIVE",IF(Y874="PASS","DEFENSIV validat",IF(W874="OOS PENDING","Eligibil; calibrare linie in monitorizare","Eligibil"))))))))))</x:f>
      </x:c>
      <x:c r="AI874" s="2" t="str">
        <x:f>IF(B874="","",'Calibrare_Linii'!V6)</x:f>
      </x:c>
      <x:c r="AJ874" s="2" t="str">
        <x:f>IF(B874="","",IF(AND('Calibrare_Linii'!T6="VALIDATED",AND('Calibrare_Linii'!H6=C874,ISNUMBER('Calibrare_Linii'!J6),'Calibrare_Linii'!J6&lt;='Input_Meci'!G68)),"DEFENSIVE VALIDATED",IF(AND('Calibrare_Linii'!S6="VALIDATED",AND('Calibrare_Linii'!H6=C874,ISNUMBER('Calibrare_Linii'!J6),'Calibrare_Linii'!J6&lt;='Input_Meci'!G68)),"TAIL VALIDATED","OOS PENDING")))</x:f>
      </x:c>
      <x:c r="AK874" s="2" t="n">
        <x:f>IF(J874&lt;&gt;"PASS",0,'Motor_Meciuri'!BR68)</x:f>
        <x:v>0</x:v>
      </x:c>
      <x:c r="AL874" s="2" t="n">
        <x:f>IF(J874&lt;&gt;"PASS",0,'Motor_Meciuri'!BS68)</x:f>
        <x:v>0</x:v>
      </x:c>
      <x:c r="AM874" s="2" t="n">
        <x:f>IF(J874&lt;&gt;"PASS",0,'Motor_Meciuri'!BT68)</x:f>
        <x:v>0</x:v>
      </x:c>
      <x:c r="AN874" s="2" t="str">
        <x:f>IF(M874="","",MAX(0,'Motor_Meciuri'!BF68-IF(L874&gt;'Config_v6'!$B$12,'Config_v6'!$B$37,IF(L874&gt;'Config_v6'!$B$11,'Config_v6'!$B$36,0))))</x:f>
      </x:c>
    </x:row>
    <x:row r="875" ht="21" customHeight="1">
      <x:c r="A875" s="2" t="n">
        <x:v>63</x:v>
      </x:c>
      <x:c r="B875" s="2" t="str">
        <x:f>IF('Motor_Meciuri'!A68="","",'Motor_Meciuri'!A68)</x:f>
      </x:c>
      <x:c r="C875" s="2" t="str">
        <x:f>IF(B875="","",'Motor_Meciuri'!B68)</x:f>
      </x:c>
      <x:c r="D875" s="2" t="str">
        <x:f>IF(B875="","",'Motor_Meciuri'!D68)</x:f>
      </x:c>
      <x:c r="E875" s="2" t="str">
        <x:f>IF(B875="","",'Motor_Meciuri'!E68)</x:f>
      </x:c>
      <x:c r="F875" s="2" t="str">
        <x:v>O4,5</x:v>
      </x:c>
      <x:c r="G875" s="2" t="str">
        <x:v>OVER</x:v>
      </x:c>
      <x:c r="H875" s="2" t="n">
        <x:v>4</x:v>
      </x:c>
      <x:c r="I875" s="2" t="str">
        <x:f>IF(B875="","",'Motor_Meciuri'!H68)</x:f>
      </x:c>
      <x:c r="J875" s="2" t="str">
        <x:f>IF(B875="","",'Motor_Meciuri'!I68)</x:f>
      </x:c>
      <x:c r="K875" s="11" t="str">
        <x:f>IF(J875&lt;&gt;"PASS","",'Motor_Meciuri'!BD68)</x:f>
      </x:c>
      <x:c r="L875" s="11" t="str">
        <x:f>IF(J875&lt;&gt;"PASS","",'Motor_Meciuri'!AU68)</x:f>
      </x:c>
      <x:c r="M875" s="10" t="str">
        <x:f>IF(NOT(AND(J875="PASS",'Calibrare_Linii'!U7="VALID")),"",1-'Distributie'!AB68)</x:f>
      </x:c>
      <x:c r="N875" s="10" t="str">
        <x:f>IF(M875="","",MAX(0.01,MIN(0.99,0.5+(M875-0.5)*'Motor_Meciuri'!BG68*'Calibrare_Linii'!D7)))</x:f>
      </x:c>
      <x:c r="O875" s="10" t="str">
        <x:f>IF(M875="","",1-M875)</x:f>
      </x:c>
      <x:c r="P875" s="10" t="str">
        <x:f>IF(OR(NOT(AND(J875="PASS",'Calibrare_Linii'!U7="VALID")),AK875=0),""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*('Istoric_Nativ'!$Q$6:$Q$405&lt;=H875))/AK875)</x:f>
      </x:c>
      <x:c r="Q875" s="10" t="str">
        <x:f>IF(OR(NOT(AND(J875="PASS",'Calibrare_Linii'!U7="VALID")),AL875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M68)+((('Istoric_Nativ'!$E$6:$E$405='Input_Meci'!E68)+('Istoric_Nativ'!$F$6:$F$405='Input_Meci'!E68))&gt;0)*('Istoric_Nativ'!$D$6:$D$405&gt;='Motor_Meciuri'!BN68))&gt;0)*('Istoric_Nativ'!$Q$6:$Q$405&lt;=H875))/AL875)</x:f>
      </x:c>
      <x:c r="R875" s="10" t="str">
        <x:f>IF(OR(NOT(AND(J875="PASS",'Calibrare_Linii'!U7="VALID")),AM875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O68)+((('Istoric_Nativ'!$E$6:$E$405='Input_Meci'!E68)+('Istoric_Nativ'!$F$6:$F$405='Input_Meci'!E68))&gt;0)*('Istoric_Nativ'!$D$6:$D$405&gt;='Motor_Meciuri'!BP68))&gt;0)*('Istoric_Nativ'!$Q$6:$Q$405&lt;=H875))/AM875)</x:f>
      </x:c>
      <x:c r="S875" s="10" t="str">
        <x:f>IF(M875="","",MAX(O875,P875,Q875,R875))</x:f>
      </x:c>
      <x:c r="T875" s="11" t="str">
        <x:f>IF(M875="","",MIN(100,S875*100*'Config_v6'!$B$44+MIN(100,L875/'Config_v6'!$B$13*100)*'Config_v6'!$B$45+(100-'Motor_Meciuri'!BF68)*'Config_v6'!$B$46+'Motor_Meciuri'!BH68*100*'Config_v6'!$B$47))</x:f>
      </x:c>
      <x:c r="U875" s="2" t="str">
        <x:f>IF(T875="","",IF(T875&lt;=20,1,IF(T875&lt;=40,2,IF(T875&lt;=60,3,IF(T875&lt;=80,4,5)))))</x:f>
      </x:c>
      <x:c r="V875" s="2" t="str">
        <x:f>IF(M875="","",MAX(0,'Motor_Meciuri'!BF68-IF(W875="OOS PENDING",'Config_v6'!$B$35,0)-IF(L875&gt;'Config_v6'!$B$12,'Config_v6'!$B$37,IF(L875&gt;'Config_v6'!$B$11,'Config_v6'!$B$36,0))))</x:f>
      </x:c>
      <x:c r="W875" s="2" t="str">
        <x:f>IF(B875="","",IF(I875&lt;&gt;"READY","NOT RELEASED",IF(NOT(AND(J875="PASS",'Calibrare_Linii'!U7="VALID")),"INVALID",IF(NOT(AND('Calibrare_Linii'!S7="VALIDATED",AND('Calibrare_Linii'!H7=C875,ISNUMBER('Calibrare_Linii'!J7),'Calibrare_Linii'!J7&lt;='Input_Meci'!G68))),"OOS PENDING",IF(S875&lt;='Calibrare_Linii'!E7,"PASS",IF(S875&lt;='Calibrare_Linii'!F7,"PENALTY","WATCH"))))))</x:f>
      </x:c>
      <x:c r="X875" s="2" t="str">
        <x:f>IF(M875="","",IF(AND(AND(J875="PASS",'Calibrare_Linii'!U7="VALID"),'Motor_Meciuri'!K68=12,'Motor_Meciuri'!L68=12,'Motor_Meciuri'!M68="NO",'Motor_Meciuri'!BL68='Motor_Meciuri'!C68,AB875&gt;='Config_v6'!$B$50,AN875&gt;='Config_v6'!$B$51,T875&lt;='Config_v6'!$B$52,L875&lt;='Config_v6'!$B$53,ISNUMBER('Calibrare_Linii'!E7),S875&lt;='Calibrare_Linii'!E7,SUM(AK875:AM875)&gt;0),"CANDIDATE","NO"))</x:f>
      </x:c>
      <x:c r="Y875" s="2" t="str">
        <x:f>IF(B875="","",IF(I875&lt;&gt;"READY","NOT RELEASED",IF(AND(X875="CANDIDATE",V875&gt;='Config_v6'!$B$51,W875="PASS",'Calibrare_Linii'!T7="VALIDATED",AND('Calibrare_Linii'!H7=C875,ISNUMBER('Calibrare_Linii'!J7),'Calibrare_Linii'!J7&lt;='Input_Meci'!G68)),"PASS",IF(X875="CANDIDATE","OOS PENDING","FAIL"))))</x:f>
      </x:c>
      <x:c r="Z875" s="2" t="str">
        <x:f>IF(B875="","",IF(I875&lt;&gt;"READY","",IF(OR(NOT(AND(J875="PASS",'Calibrare_Linii'!U7="VALID")),L875&gt;'Config_v6'!$B$13,W875="WATCH"),5,IF(Y875="PASS",1,MIN(5,MAX('Config_v6'!$B$42,U875)+IF(W875="PENALTY",1,0))))))</x:f>
      </x:c>
      <x:c r="AA875" s="2" t="str">
        <x:f>IF(B875="","",IF(I875&lt;&gt;"READY","NOT RELEASED",IF(Z875=5,"NO BET",IF(OR(AB875&lt;'Config_v6'!$B$16,V875&lt;'Config_v6'!$B$18),"WATCH",IF(Z875=1,"DEFENSIV",IF(Z875=2,"PRUDENT",IF(Z875=3,"MODERAT","RIDICAT")))))))</x:f>
      </x:c>
      <x:c r="AB875" s="10" t="str">
        <x:f>IF(N875="","",MIN(N875,1-S875))</x:f>
      </x:c>
      <x:c r="AC875" s="2" t="str">
        <x:f>IF(AD875&lt;&gt;1,"",COUNTIFS($Z$874:$Z$887,"&lt;"&amp;Z875,$AD$874:$AD$887,1)+COUNTIFS($Z$874:$Z$887,Z875,$AB$874:$AB$887,"&gt;"&amp;AB875,$AD$874:$AD$887,1)+COUNTIFS($Z$874:$Z$887,Z875,$AB$874:$AB$887,AB875,$V$874:$V$887,"&gt;"&amp;V875,$AD$874:$AD$887,1)+COUNTIFS($Z$874:Z875,Z875,$AB$874:AB875,AB875,$V$874:V875,V875,$AD$874:AD875,1))</x:f>
      </x:c>
      <x:c r="AD875" s="2" t="n">
        <x:f>IF(OR(AA875="DEFENSIV",AA875="PRUDENT",AA875="MODERAT",AA875="RIDICAT"),1,0)</x:f>
        <x:v>0</x:v>
      </x:c>
      <x:c r="AE875" s="2" t="str">
        <x:f>IF(AD875&lt;&gt;1,"NO",IF(W875="PASS","YES",IF(W875="OOS PENDING","CONDITIONAL","NO")))</x:f>
        <x:v>NO</x:v>
      </x:c>
      <x:c r="AF875" s="2" t="n">
        <x:f>IF(AND(AD875=1,AC875=1,E875="LIVE"),1,0)</x:f>
        <x:v>0</x:v>
      </x:c>
      <x:c r="AG875" s="2" t="str">
        <x:f>IF(AF875&lt;&gt;1,"",'Dashboard'!P88)</x:f>
      </x:c>
      <x:c r="AH875" s="2" t="str">
        <x:f>IF(B875="","",IF(J875&lt;&gt;"PASS",'Motor_Meciuri'!J68,IF('Calibrare_Linii'!U7&lt;&gt;"VALID","Parametri linie invalizi",IF(L875&gt;'Config_v6'!$B$13,"Dispersie peste limita",IF(W875="WATCH","Failure peste limita",IF(AB875&lt;'Config_v6'!$B$16,"P finala sub prag",IF(V875&lt;'Config_v6'!$B$18,"Confidence sub prag",IF(E875="REPLAY","Exemplu retrospectiv; exclus din Top LIVE",IF(Y875="PASS","DEFENSIV validat",IF(W875="OOS PENDING","Eligibil; calibrare linie in monitorizare","Eligibil"))))))))))</x:f>
      </x:c>
      <x:c r="AI875" s="2" t="str">
        <x:f>IF(B875="","",'Calibrare_Linii'!V7)</x:f>
      </x:c>
      <x:c r="AJ875" s="2" t="str">
        <x:f>IF(B875="","",IF(AND('Calibrare_Linii'!T7="VALIDATED",AND('Calibrare_Linii'!H7=C875,ISNUMBER('Calibrare_Linii'!J7),'Calibrare_Linii'!J7&lt;='Input_Meci'!G68)),"DEFENSIVE VALIDATED",IF(AND('Calibrare_Linii'!S7="VALIDATED",AND('Calibrare_Linii'!H7=C875,ISNUMBER('Calibrare_Linii'!J7),'Calibrare_Linii'!J7&lt;='Input_Meci'!G68)),"TAIL VALIDATED","OOS PENDING")))</x:f>
      </x:c>
      <x:c r="AK875" s="2" t="n">
        <x:f>IF(J875&lt;&gt;"PASS",0,'Motor_Meciuri'!BR68)</x:f>
        <x:v>0</x:v>
      </x:c>
      <x:c r="AL875" s="2" t="n">
        <x:f>IF(J875&lt;&gt;"PASS",0,'Motor_Meciuri'!BS68)</x:f>
        <x:v>0</x:v>
      </x:c>
      <x:c r="AM875" s="2" t="n">
        <x:f>IF(J875&lt;&gt;"PASS",0,'Motor_Meciuri'!BT68)</x:f>
        <x:v>0</x:v>
      </x:c>
      <x:c r="AN875" s="2" t="str">
        <x:f>IF(M875="","",MAX(0,'Motor_Meciuri'!BF68-IF(L875&gt;'Config_v6'!$B$12,'Config_v6'!$B$37,IF(L875&gt;'Config_v6'!$B$11,'Config_v6'!$B$36,0))))</x:f>
      </x:c>
    </x:row>
    <x:row r="876" ht="21" customHeight="1">
      <x:c r="A876" s="2" t="n">
        <x:v>63</x:v>
      </x:c>
      <x:c r="B876" s="2" t="str">
        <x:f>IF('Motor_Meciuri'!A68="","",'Motor_Meciuri'!A68)</x:f>
      </x:c>
      <x:c r="C876" s="2" t="str">
        <x:f>IF(B876="","",'Motor_Meciuri'!B68)</x:f>
      </x:c>
      <x:c r="D876" s="2" t="str">
        <x:f>IF(B876="","",'Motor_Meciuri'!D68)</x:f>
      </x:c>
      <x:c r="E876" s="2" t="str">
        <x:f>IF(B876="","",'Motor_Meciuri'!E68)</x:f>
      </x:c>
      <x:c r="F876" s="2" t="str">
        <x:v>O5,5</x:v>
      </x:c>
      <x:c r="G876" s="2" t="str">
        <x:v>OVER</x:v>
      </x:c>
      <x:c r="H876" s="2" t="n">
        <x:v>5</x:v>
      </x:c>
      <x:c r="I876" s="2" t="str">
        <x:f>IF(B876="","",'Motor_Meciuri'!H68)</x:f>
      </x:c>
      <x:c r="J876" s="2" t="str">
        <x:f>IF(B876="","",'Motor_Meciuri'!I68)</x:f>
      </x:c>
      <x:c r="K876" s="11" t="str">
        <x:f>IF(J876&lt;&gt;"PASS","",'Motor_Meciuri'!BD68)</x:f>
      </x:c>
      <x:c r="L876" s="11" t="str">
        <x:f>IF(J876&lt;&gt;"PASS","",'Motor_Meciuri'!AU68)</x:f>
      </x:c>
      <x:c r="M876" s="10" t="str">
        <x:f>IF(NOT(AND(J876="PASS",'Calibrare_Linii'!U8="VALID")),"",1-'Distributie'!AC68)</x:f>
      </x:c>
      <x:c r="N876" s="10" t="str">
        <x:f>IF(M876="","",MAX(0.01,MIN(0.99,0.5+(M876-0.5)*'Motor_Meciuri'!BG68*'Calibrare_Linii'!D8)))</x:f>
      </x:c>
      <x:c r="O876" s="10" t="str">
        <x:f>IF(M876="","",1-M876)</x:f>
      </x:c>
      <x:c r="P876" s="10" t="str">
        <x:f>IF(OR(NOT(AND(J876="PASS",'Calibrare_Linii'!U8="VALID")),AK876=0),""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*('Istoric_Nativ'!$Q$6:$Q$405&lt;=H876))/AK876)</x:f>
      </x:c>
      <x:c r="Q876" s="10" t="str">
        <x:f>IF(OR(NOT(AND(J876="PASS",'Calibrare_Linii'!U8="VALID")),AL876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M68)+((('Istoric_Nativ'!$E$6:$E$405='Input_Meci'!E68)+('Istoric_Nativ'!$F$6:$F$405='Input_Meci'!E68))&gt;0)*('Istoric_Nativ'!$D$6:$D$405&gt;='Motor_Meciuri'!BN68))&gt;0)*('Istoric_Nativ'!$Q$6:$Q$405&lt;=H876))/AL876)</x:f>
      </x:c>
      <x:c r="R876" s="10" t="str">
        <x:f>IF(OR(NOT(AND(J876="PASS",'Calibrare_Linii'!U8="VALID")),AM876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O68)+((('Istoric_Nativ'!$E$6:$E$405='Input_Meci'!E68)+('Istoric_Nativ'!$F$6:$F$405='Input_Meci'!E68))&gt;0)*('Istoric_Nativ'!$D$6:$D$405&gt;='Motor_Meciuri'!BP68))&gt;0)*('Istoric_Nativ'!$Q$6:$Q$405&lt;=H876))/AM876)</x:f>
      </x:c>
      <x:c r="S876" s="10" t="str">
        <x:f>IF(M876="","",MAX(O876,P876,Q876,R876))</x:f>
      </x:c>
      <x:c r="T876" s="11" t="str">
        <x:f>IF(M876="","",MIN(100,S876*100*'Config_v6'!$B$44+MIN(100,L876/'Config_v6'!$B$13*100)*'Config_v6'!$B$45+(100-'Motor_Meciuri'!BF68)*'Config_v6'!$B$46+'Motor_Meciuri'!BH68*100*'Config_v6'!$B$47))</x:f>
      </x:c>
      <x:c r="U876" s="2" t="str">
        <x:f>IF(T876="","",IF(T876&lt;=20,1,IF(T876&lt;=40,2,IF(T876&lt;=60,3,IF(T876&lt;=80,4,5)))))</x:f>
      </x:c>
      <x:c r="V876" s="2" t="str">
        <x:f>IF(M876="","",MAX(0,'Motor_Meciuri'!BF68-IF(W876="OOS PENDING",'Config_v6'!$B$35,0)-IF(L876&gt;'Config_v6'!$B$12,'Config_v6'!$B$37,IF(L876&gt;'Config_v6'!$B$11,'Config_v6'!$B$36,0))))</x:f>
      </x:c>
      <x:c r="W876" s="2" t="str">
        <x:f>IF(B876="","",IF(I876&lt;&gt;"READY","NOT RELEASED",IF(NOT(AND(J876="PASS",'Calibrare_Linii'!U8="VALID")),"INVALID",IF(NOT(AND('Calibrare_Linii'!S8="VALIDATED",AND('Calibrare_Linii'!H8=C876,ISNUMBER('Calibrare_Linii'!J8),'Calibrare_Linii'!J8&lt;='Input_Meci'!G68))),"OOS PENDING",IF(S876&lt;='Calibrare_Linii'!E8,"PASS",IF(S876&lt;='Calibrare_Linii'!F8,"PENALTY","WATCH"))))))</x:f>
      </x:c>
      <x:c r="X876" s="2" t="str">
        <x:f>IF(M876="","",IF(AND(AND(J876="PASS",'Calibrare_Linii'!U8="VALID"),'Motor_Meciuri'!K68=12,'Motor_Meciuri'!L68=12,'Motor_Meciuri'!M68="NO",'Motor_Meciuri'!BL68='Motor_Meciuri'!C68,AB876&gt;='Config_v6'!$B$50,AN876&gt;='Config_v6'!$B$51,T876&lt;='Config_v6'!$B$52,L876&lt;='Config_v6'!$B$53,ISNUMBER('Calibrare_Linii'!E8),S876&lt;='Calibrare_Linii'!E8,SUM(AK876:AM876)&gt;0),"CANDIDATE","NO"))</x:f>
      </x:c>
      <x:c r="Y876" s="2" t="str">
        <x:f>IF(B876="","",IF(I876&lt;&gt;"READY","NOT RELEASED",IF(AND(X876="CANDIDATE",V876&gt;='Config_v6'!$B$51,W876="PASS",'Calibrare_Linii'!T8="VALIDATED",AND('Calibrare_Linii'!H8=C876,ISNUMBER('Calibrare_Linii'!J8),'Calibrare_Linii'!J8&lt;='Input_Meci'!G68)),"PASS",IF(X876="CANDIDATE","OOS PENDING","FAIL"))))</x:f>
      </x:c>
      <x:c r="Z876" s="2" t="str">
        <x:f>IF(B876="","",IF(I876&lt;&gt;"READY","",IF(OR(NOT(AND(J876="PASS",'Calibrare_Linii'!U8="VALID")),L876&gt;'Config_v6'!$B$13,W876="WATCH"),5,IF(Y876="PASS",1,MIN(5,MAX('Config_v6'!$B$42,U876)+IF(W876="PENALTY",1,0))))))</x:f>
      </x:c>
      <x:c r="AA876" s="2" t="str">
        <x:f>IF(B876="","",IF(I876&lt;&gt;"READY","NOT RELEASED",IF(Z876=5,"NO BET",IF(OR(AB876&lt;'Config_v6'!$B$16,V876&lt;'Config_v6'!$B$18),"WATCH",IF(Z876=1,"DEFENSIV",IF(Z876=2,"PRUDENT",IF(Z876=3,"MODERAT","RIDICAT")))))))</x:f>
      </x:c>
      <x:c r="AB876" s="10" t="str">
        <x:f>IF(N876="","",MIN(N876,1-S876))</x:f>
      </x:c>
      <x:c r="AC876" s="2" t="str">
        <x:f>IF(AD876&lt;&gt;1,"",COUNTIFS($Z$874:$Z$887,"&lt;"&amp;Z876,$AD$874:$AD$887,1)+COUNTIFS($Z$874:$Z$887,Z876,$AB$874:$AB$887,"&gt;"&amp;AB876,$AD$874:$AD$887,1)+COUNTIFS($Z$874:$Z$887,Z876,$AB$874:$AB$887,AB876,$V$874:$V$887,"&gt;"&amp;V876,$AD$874:$AD$887,1)+COUNTIFS($Z$874:Z876,Z876,$AB$874:AB876,AB876,$V$874:V876,V876,$AD$874:AD876,1))</x:f>
      </x:c>
      <x:c r="AD876" s="2" t="n">
        <x:f>IF(OR(AA876="DEFENSIV",AA876="PRUDENT",AA876="MODERAT",AA876="RIDICAT"),1,0)</x:f>
        <x:v>0</x:v>
      </x:c>
      <x:c r="AE876" s="2" t="str">
        <x:f>IF(AD876&lt;&gt;1,"NO",IF(W876="PASS","YES",IF(W876="OOS PENDING","CONDITIONAL","NO")))</x:f>
        <x:v>NO</x:v>
      </x:c>
      <x:c r="AF876" s="2" t="n">
        <x:f>IF(AND(AD876=1,AC876=1,E876="LIVE"),1,0)</x:f>
        <x:v>0</x:v>
      </x:c>
      <x:c r="AG876" s="2" t="str">
        <x:f>IF(AF876&lt;&gt;1,"",'Dashboard'!P88)</x:f>
      </x:c>
      <x:c r="AH876" s="2" t="str">
        <x:f>IF(B876="","",IF(J876&lt;&gt;"PASS",'Motor_Meciuri'!J68,IF('Calibrare_Linii'!U8&lt;&gt;"VALID","Parametri linie invalizi",IF(L876&gt;'Config_v6'!$B$13,"Dispersie peste limita",IF(W876="WATCH","Failure peste limita",IF(AB876&lt;'Config_v6'!$B$16,"P finala sub prag",IF(V876&lt;'Config_v6'!$B$18,"Confidence sub prag",IF(E876="REPLAY","Exemplu retrospectiv; exclus din Top LIVE",IF(Y876="PASS","DEFENSIV validat",IF(W876="OOS PENDING","Eligibil; calibrare linie in monitorizare","Eligibil"))))))))))</x:f>
      </x:c>
      <x:c r="AI876" s="2" t="str">
        <x:f>IF(B876="","",'Calibrare_Linii'!V8)</x:f>
      </x:c>
      <x:c r="AJ876" s="2" t="str">
        <x:f>IF(B876="","",IF(AND('Calibrare_Linii'!T8="VALIDATED",AND('Calibrare_Linii'!H8=C876,ISNUMBER('Calibrare_Linii'!J8),'Calibrare_Linii'!J8&lt;='Input_Meci'!G68)),"DEFENSIVE VALIDATED",IF(AND('Calibrare_Linii'!S8="VALIDATED",AND('Calibrare_Linii'!H8=C876,ISNUMBER('Calibrare_Linii'!J8),'Calibrare_Linii'!J8&lt;='Input_Meci'!G68)),"TAIL VALIDATED","OOS PENDING")))</x:f>
      </x:c>
      <x:c r="AK876" s="2" t="n">
        <x:f>IF(J876&lt;&gt;"PASS",0,'Motor_Meciuri'!BR68)</x:f>
        <x:v>0</x:v>
      </x:c>
      <x:c r="AL876" s="2" t="n">
        <x:f>IF(J876&lt;&gt;"PASS",0,'Motor_Meciuri'!BS68)</x:f>
        <x:v>0</x:v>
      </x:c>
      <x:c r="AM876" s="2" t="n">
        <x:f>IF(J876&lt;&gt;"PASS",0,'Motor_Meciuri'!BT68)</x:f>
        <x:v>0</x:v>
      </x:c>
      <x:c r="AN876" s="2" t="str">
        <x:f>IF(M876="","",MAX(0,'Motor_Meciuri'!BF68-IF(L876&gt;'Config_v6'!$B$12,'Config_v6'!$B$37,IF(L876&gt;'Config_v6'!$B$11,'Config_v6'!$B$36,0))))</x:f>
      </x:c>
    </x:row>
    <x:row r="877" ht="21" customHeight="1">
      <x:c r="A877" s="2" t="n">
        <x:v>63</x:v>
      </x:c>
      <x:c r="B877" s="2" t="str">
        <x:f>IF('Motor_Meciuri'!A68="","",'Motor_Meciuri'!A68)</x:f>
      </x:c>
      <x:c r="C877" s="2" t="str">
        <x:f>IF(B877="","",'Motor_Meciuri'!B68)</x:f>
      </x:c>
      <x:c r="D877" s="2" t="str">
        <x:f>IF(B877="","",'Motor_Meciuri'!D68)</x:f>
      </x:c>
      <x:c r="E877" s="2" t="str">
        <x:f>IF(B877="","",'Motor_Meciuri'!E68)</x:f>
      </x:c>
      <x:c r="F877" s="2" t="str">
        <x:v>O6,5</x:v>
      </x:c>
      <x:c r="G877" s="2" t="str">
        <x:v>OVER</x:v>
      </x:c>
      <x:c r="H877" s="2" t="n">
        <x:v>6</x:v>
      </x:c>
      <x:c r="I877" s="2" t="str">
        <x:f>IF(B877="","",'Motor_Meciuri'!H68)</x:f>
      </x:c>
      <x:c r="J877" s="2" t="str">
        <x:f>IF(B877="","",'Motor_Meciuri'!I68)</x:f>
      </x:c>
      <x:c r="K877" s="11" t="str">
        <x:f>IF(J877&lt;&gt;"PASS","",'Motor_Meciuri'!BD68)</x:f>
      </x:c>
      <x:c r="L877" s="11" t="str">
        <x:f>IF(J877&lt;&gt;"PASS","",'Motor_Meciuri'!AU68)</x:f>
      </x:c>
      <x:c r="M877" s="10" t="str">
        <x:f>IF(NOT(AND(J877="PASS",'Calibrare_Linii'!U9="VALID")),"",1-'Distributie'!AD68)</x:f>
      </x:c>
      <x:c r="N877" s="10" t="str">
        <x:f>IF(M877="","",MAX(0.01,MIN(0.99,0.5+(M877-0.5)*'Motor_Meciuri'!BG68*'Calibrare_Linii'!D9)))</x:f>
      </x:c>
      <x:c r="O877" s="10" t="str">
        <x:f>IF(M877="","",1-M877)</x:f>
      </x:c>
      <x:c r="P877" s="10" t="str">
        <x:f>IF(OR(NOT(AND(J877="PASS",'Calibrare_Linii'!U9="VALID")),AK877=0),""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*('Istoric_Nativ'!$Q$6:$Q$405&lt;=H877))/AK877)</x:f>
      </x:c>
      <x:c r="Q877" s="10" t="str">
        <x:f>IF(OR(NOT(AND(J877="PASS",'Calibrare_Linii'!U9="VALID")),AL877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M68)+((('Istoric_Nativ'!$E$6:$E$405='Input_Meci'!E68)+('Istoric_Nativ'!$F$6:$F$405='Input_Meci'!E68))&gt;0)*('Istoric_Nativ'!$D$6:$D$405&gt;='Motor_Meciuri'!BN68))&gt;0)*('Istoric_Nativ'!$Q$6:$Q$405&lt;=H877))/AL877)</x:f>
      </x:c>
      <x:c r="R877" s="10" t="str">
        <x:f>IF(OR(NOT(AND(J877="PASS",'Calibrare_Linii'!U9="VALID")),AM877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O68)+((('Istoric_Nativ'!$E$6:$E$405='Input_Meci'!E68)+('Istoric_Nativ'!$F$6:$F$405='Input_Meci'!E68))&gt;0)*('Istoric_Nativ'!$D$6:$D$405&gt;='Motor_Meciuri'!BP68))&gt;0)*('Istoric_Nativ'!$Q$6:$Q$405&lt;=H877))/AM877)</x:f>
      </x:c>
      <x:c r="S877" s="10" t="str">
        <x:f>IF(M877="","",MAX(O877,P877,Q877,R877))</x:f>
      </x:c>
      <x:c r="T877" s="11" t="str">
        <x:f>IF(M877="","",MIN(100,S877*100*'Config_v6'!$B$44+MIN(100,L877/'Config_v6'!$B$13*100)*'Config_v6'!$B$45+(100-'Motor_Meciuri'!BF68)*'Config_v6'!$B$46+'Motor_Meciuri'!BH68*100*'Config_v6'!$B$47))</x:f>
      </x:c>
      <x:c r="U877" s="2" t="str">
        <x:f>IF(T877="","",IF(T877&lt;=20,1,IF(T877&lt;=40,2,IF(T877&lt;=60,3,IF(T877&lt;=80,4,5)))))</x:f>
      </x:c>
      <x:c r="V877" s="2" t="str">
        <x:f>IF(M877="","",MAX(0,'Motor_Meciuri'!BF68-IF(W877="OOS PENDING",'Config_v6'!$B$35,0)-IF(L877&gt;'Config_v6'!$B$12,'Config_v6'!$B$37,IF(L877&gt;'Config_v6'!$B$11,'Config_v6'!$B$36,0))))</x:f>
      </x:c>
      <x:c r="W877" s="2" t="str">
        <x:f>IF(B877="","",IF(I877&lt;&gt;"READY","NOT RELEASED",IF(NOT(AND(J877="PASS",'Calibrare_Linii'!U9="VALID")),"INVALID",IF(NOT(AND('Calibrare_Linii'!S9="VALIDATED",AND('Calibrare_Linii'!H9=C877,ISNUMBER('Calibrare_Linii'!J9),'Calibrare_Linii'!J9&lt;='Input_Meci'!G68))),"OOS PENDING",IF(S877&lt;='Calibrare_Linii'!E9,"PASS",IF(S877&lt;='Calibrare_Linii'!F9,"PENALTY","WATCH"))))))</x:f>
      </x:c>
      <x:c r="X877" s="2" t="str">
        <x:f>IF(M877="","",IF(AND(AND(J877="PASS",'Calibrare_Linii'!U9="VALID"),'Motor_Meciuri'!K68=12,'Motor_Meciuri'!L68=12,'Motor_Meciuri'!M68="NO",'Motor_Meciuri'!BL68='Motor_Meciuri'!C68,AB877&gt;='Config_v6'!$B$50,AN877&gt;='Config_v6'!$B$51,T877&lt;='Config_v6'!$B$52,L877&lt;='Config_v6'!$B$53,ISNUMBER('Calibrare_Linii'!E9),S877&lt;='Calibrare_Linii'!E9,SUM(AK877:AM877)&gt;0),"CANDIDATE","NO"))</x:f>
      </x:c>
      <x:c r="Y877" s="2" t="str">
        <x:f>IF(B877="","",IF(I877&lt;&gt;"READY","NOT RELEASED",IF(AND(X877="CANDIDATE",V877&gt;='Config_v6'!$B$51,W877="PASS",'Calibrare_Linii'!T9="VALIDATED",AND('Calibrare_Linii'!H9=C877,ISNUMBER('Calibrare_Linii'!J9),'Calibrare_Linii'!J9&lt;='Input_Meci'!G68)),"PASS",IF(X877="CANDIDATE","OOS PENDING","FAIL"))))</x:f>
      </x:c>
      <x:c r="Z877" s="2" t="str">
        <x:f>IF(B877="","",IF(I877&lt;&gt;"READY","",IF(OR(NOT(AND(J877="PASS",'Calibrare_Linii'!U9="VALID")),L877&gt;'Config_v6'!$B$13,W877="WATCH"),5,IF(Y877="PASS",1,MIN(5,MAX('Config_v6'!$B$42,U877)+IF(W877="PENALTY",1,0))))))</x:f>
      </x:c>
      <x:c r="AA877" s="2" t="str">
        <x:f>IF(B877="","",IF(I877&lt;&gt;"READY","NOT RELEASED",IF(Z877=5,"NO BET",IF(OR(AB877&lt;'Config_v6'!$B$16,V877&lt;'Config_v6'!$B$18),"WATCH",IF(Z877=1,"DEFENSIV",IF(Z877=2,"PRUDENT",IF(Z877=3,"MODERAT","RIDICAT")))))))</x:f>
      </x:c>
      <x:c r="AB877" s="10" t="str">
        <x:f>IF(N877="","",MIN(N877,1-S877))</x:f>
      </x:c>
      <x:c r="AC877" s="2" t="str">
        <x:f>IF(AD877&lt;&gt;1,"",COUNTIFS($Z$874:$Z$887,"&lt;"&amp;Z877,$AD$874:$AD$887,1)+COUNTIFS($Z$874:$Z$887,Z877,$AB$874:$AB$887,"&gt;"&amp;AB877,$AD$874:$AD$887,1)+COUNTIFS($Z$874:$Z$887,Z877,$AB$874:$AB$887,AB877,$V$874:$V$887,"&gt;"&amp;V877,$AD$874:$AD$887,1)+COUNTIFS($Z$874:Z877,Z877,$AB$874:AB877,AB877,$V$874:V877,V877,$AD$874:AD877,1))</x:f>
      </x:c>
      <x:c r="AD877" s="2" t="n">
        <x:f>IF(OR(AA877="DEFENSIV",AA877="PRUDENT",AA877="MODERAT",AA877="RIDICAT"),1,0)</x:f>
        <x:v>0</x:v>
      </x:c>
      <x:c r="AE877" s="2" t="str">
        <x:f>IF(AD877&lt;&gt;1,"NO",IF(W877="PASS","YES",IF(W877="OOS PENDING","CONDITIONAL","NO")))</x:f>
        <x:v>NO</x:v>
      </x:c>
      <x:c r="AF877" s="2" t="n">
        <x:f>IF(AND(AD877=1,AC877=1,E877="LIVE"),1,0)</x:f>
        <x:v>0</x:v>
      </x:c>
      <x:c r="AG877" s="2" t="str">
        <x:f>IF(AF877&lt;&gt;1,"",'Dashboard'!P88)</x:f>
      </x:c>
      <x:c r="AH877" s="2" t="str">
        <x:f>IF(B877="","",IF(J877&lt;&gt;"PASS",'Motor_Meciuri'!J68,IF('Calibrare_Linii'!U9&lt;&gt;"VALID","Parametri linie invalizi",IF(L877&gt;'Config_v6'!$B$13,"Dispersie peste limita",IF(W877="WATCH","Failure peste limita",IF(AB877&lt;'Config_v6'!$B$16,"P finala sub prag",IF(V877&lt;'Config_v6'!$B$18,"Confidence sub prag",IF(E877="REPLAY","Exemplu retrospectiv; exclus din Top LIVE",IF(Y877="PASS","DEFENSIV validat",IF(W877="OOS PENDING","Eligibil; calibrare linie in monitorizare","Eligibil"))))))))))</x:f>
      </x:c>
      <x:c r="AI877" s="2" t="str">
        <x:f>IF(B877="","",'Calibrare_Linii'!V9)</x:f>
      </x:c>
      <x:c r="AJ877" s="2" t="str">
        <x:f>IF(B877="","",IF(AND('Calibrare_Linii'!T9="VALIDATED",AND('Calibrare_Linii'!H9=C877,ISNUMBER('Calibrare_Linii'!J9),'Calibrare_Linii'!J9&lt;='Input_Meci'!G68)),"DEFENSIVE VALIDATED",IF(AND('Calibrare_Linii'!S9="VALIDATED",AND('Calibrare_Linii'!H9=C877,ISNUMBER('Calibrare_Linii'!J9),'Calibrare_Linii'!J9&lt;='Input_Meci'!G68)),"TAIL VALIDATED","OOS PENDING")))</x:f>
      </x:c>
      <x:c r="AK877" s="2" t="n">
        <x:f>IF(J877&lt;&gt;"PASS",0,'Motor_Meciuri'!BR68)</x:f>
        <x:v>0</x:v>
      </x:c>
      <x:c r="AL877" s="2" t="n">
        <x:f>IF(J877&lt;&gt;"PASS",0,'Motor_Meciuri'!BS68)</x:f>
        <x:v>0</x:v>
      </x:c>
      <x:c r="AM877" s="2" t="n">
        <x:f>IF(J877&lt;&gt;"PASS",0,'Motor_Meciuri'!BT68)</x:f>
        <x:v>0</x:v>
      </x:c>
      <x:c r="AN877" s="2" t="str">
        <x:f>IF(M877="","",MAX(0,'Motor_Meciuri'!BF68-IF(L877&gt;'Config_v6'!$B$12,'Config_v6'!$B$37,IF(L877&gt;'Config_v6'!$B$11,'Config_v6'!$B$36,0))))</x:f>
      </x:c>
    </x:row>
    <x:row r="878" ht="21" customHeight="1">
      <x:c r="A878" s="2" t="n">
        <x:v>63</x:v>
      </x:c>
      <x:c r="B878" s="2" t="str">
        <x:f>IF('Motor_Meciuri'!A68="","",'Motor_Meciuri'!A68)</x:f>
      </x:c>
      <x:c r="C878" s="2" t="str">
        <x:f>IF(B878="","",'Motor_Meciuri'!B68)</x:f>
      </x:c>
      <x:c r="D878" s="2" t="str">
        <x:f>IF(B878="","",'Motor_Meciuri'!D68)</x:f>
      </x:c>
      <x:c r="E878" s="2" t="str">
        <x:f>IF(B878="","",'Motor_Meciuri'!E68)</x:f>
      </x:c>
      <x:c r="F878" s="2" t="str">
        <x:v>O7,5</x:v>
      </x:c>
      <x:c r="G878" s="2" t="str">
        <x:v>OVER</x:v>
      </x:c>
      <x:c r="H878" s="2" t="n">
        <x:v>7</x:v>
      </x:c>
      <x:c r="I878" s="2" t="str">
        <x:f>IF(B878="","",'Motor_Meciuri'!H68)</x:f>
      </x:c>
      <x:c r="J878" s="2" t="str">
        <x:f>IF(B878="","",'Motor_Meciuri'!I68)</x:f>
      </x:c>
      <x:c r="K878" s="11" t="str">
        <x:f>IF(J878&lt;&gt;"PASS","",'Motor_Meciuri'!BD68)</x:f>
      </x:c>
      <x:c r="L878" s="11" t="str">
        <x:f>IF(J878&lt;&gt;"PASS","",'Motor_Meciuri'!AU68)</x:f>
      </x:c>
      <x:c r="M878" s="10" t="str">
        <x:f>IF(NOT(AND(J878="PASS",'Calibrare_Linii'!U10="VALID")),"",1-'Distributie'!AE68)</x:f>
      </x:c>
      <x:c r="N878" s="10" t="str">
        <x:f>IF(M878="","",MAX(0.01,MIN(0.99,0.5+(M878-0.5)*'Motor_Meciuri'!BG68*'Calibrare_Linii'!D10)))</x:f>
      </x:c>
      <x:c r="O878" s="10" t="str">
        <x:f>IF(M878="","",1-M878)</x:f>
      </x:c>
      <x:c r="P878" s="10" t="str">
        <x:f>IF(OR(NOT(AND(J878="PASS",'Calibrare_Linii'!U10="VALID")),AK878=0),""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*('Istoric_Nativ'!$Q$6:$Q$405&lt;=H878))/AK878)</x:f>
      </x:c>
      <x:c r="Q878" s="10" t="str">
        <x:f>IF(OR(NOT(AND(J878="PASS",'Calibrare_Linii'!U10="VALID")),AL878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M68)+((('Istoric_Nativ'!$E$6:$E$405='Input_Meci'!E68)+('Istoric_Nativ'!$F$6:$F$405='Input_Meci'!E68))&gt;0)*('Istoric_Nativ'!$D$6:$D$405&gt;='Motor_Meciuri'!BN68))&gt;0)*('Istoric_Nativ'!$Q$6:$Q$405&lt;=H878))/AL878)</x:f>
      </x:c>
      <x:c r="R878" s="10" t="str">
        <x:f>IF(OR(NOT(AND(J878="PASS",'Calibrare_Linii'!U10="VALID")),AM878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O68)+((('Istoric_Nativ'!$E$6:$E$405='Input_Meci'!E68)+('Istoric_Nativ'!$F$6:$F$405='Input_Meci'!E68))&gt;0)*('Istoric_Nativ'!$D$6:$D$405&gt;='Motor_Meciuri'!BP68))&gt;0)*('Istoric_Nativ'!$Q$6:$Q$405&lt;=H878))/AM878)</x:f>
      </x:c>
      <x:c r="S878" s="10" t="str">
        <x:f>IF(M878="","",MAX(O878,P878,Q878,R878))</x:f>
      </x:c>
      <x:c r="T878" s="11" t="str">
        <x:f>IF(M878="","",MIN(100,S878*100*'Config_v6'!$B$44+MIN(100,L878/'Config_v6'!$B$13*100)*'Config_v6'!$B$45+(100-'Motor_Meciuri'!BF68)*'Config_v6'!$B$46+'Motor_Meciuri'!BH68*100*'Config_v6'!$B$47))</x:f>
      </x:c>
      <x:c r="U878" s="2" t="str">
        <x:f>IF(T878="","",IF(T878&lt;=20,1,IF(T878&lt;=40,2,IF(T878&lt;=60,3,IF(T878&lt;=80,4,5)))))</x:f>
      </x:c>
      <x:c r="V878" s="2" t="str">
        <x:f>IF(M878="","",MAX(0,'Motor_Meciuri'!BF68-IF(W878="OOS PENDING",'Config_v6'!$B$35,0)-IF(L878&gt;'Config_v6'!$B$12,'Config_v6'!$B$37,IF(L878&gt;'Config_v6'!$B$11,'Config_v6'!$B$36,0))))</x:f>
      </x:c>
      <x:c r="W878" s="2" t="str">
        <x:f>IF(B878="","",IF(I878&lt;&gt;"READY","NOT RELEASED",IF(NOT(AND(J878="PASS",'Calibrare_Linii'!U10="VALID")),"INVALID",IF(NOT(AND('Calibrare_Linii'!S10="VALIDATED",AND('Calibrare_Linii'!H10=C878,ISNUMBER('Calibrare_Linii'!J10),'Calibrare_Linii'!J10&lt;='Input_Meci'!G68))),"OOS PENDING",IF(S878&lt;='Calibrare_Linii'!E10,"PASS",IF(S878&lt;='Calibrare_Linii'!F10,"PENALTY","WATCH"))))))</x:f>
      </x:c>
      <x:c r="X878" s="2" t="str">
        <x:f>IF(M878="","",IF(AND(AND(J878="PASS",'Calibrare_Linii'!U10="VALID"),'Motor_Meciuri'!K68=12,'Motor_Meciuri'!L68=12,'Motor_Meciuri'!M68="NO",'Motor_Meciuri'!BL68='Motor_Meciuri'!C68,AB878&gt;='Config_v6'!$B$50,AN878&gt;='Config_v6'!$B$51,T878&lt;='Config_v6'!$B$52,L878&lt;='Config_v6'!$B$53,ISNUMBER('Calibrare_Linii'!E10),S878&lt;='Calibrare_Linii'!E10,SUM(AK878:AM878)&gt;0),"CANDIDATE","NO"))</x:f>
      </x:c>
      <x:c r="Y878" s="2" t="str">
        <x:f>IF(B878="","",IF(I878&lt;&gt;"READY","NOT RELEASED",IF(AND(X878="CANDIDATE",V878&gt;='Config_v6'!$B$51,W878="PASS",'Calibrare_Linii'!T10="VALIDATED",AND('Calibrare_Linii'!H10=C878,ISNUMBER('Calibrare_Linii'!J10),'Calibrare_Linii'!J10&lt;='Input_Meci'!G68)),"PASS",IF(X878="CANDIDATE","OOS PENDING","FAIL"))))</x:f>
      </x:c>
      <x:c r="Z878" s="2" t="str">
        <x:f>IF(B878="","",IF(I878&lt;&gt;"READY","",IF(OR(NOT(AND(J878="PASS",'Calibrare_Linii'!U10="VALID")),L878&gt;'Config_v6'!$B$13,W878="WATCH"),5,IF(Y878="PASS",1,MIN(5,MAX('Config_v6'!$B$42,U878)+IF(W878="PENALTY",1,0))))))</x:f>
      </x:c>
      <x:c r="AA878" s="2" t="str">
        <x:f>IF(B878="","",IF(I878&lt;&gt;"READY","NOT RELEASED",IF(Z878=5,"NO BET",IF(OR(AB878&lt;'Config_v6'!$B$16,V878&lt;'Config_v6'!$B$18),"WATCH",IF(Z878=1,"DEFENSIV",IF(Z878=2,"PRUDENT",IF(Z878=3,"MODERAT","RIDICAT")))))))</x:f>
      </x:c>
      <x:c r="AB878" s="10" t="str">
        <x:f>IF(N878="","",MIN(N878,1-S878))</x:f>
      </x:c>
      <x:c r="AC878" s="2" t="str">
        <x:f>IF(AD878&lt;&gt;1,"",COUNTIFS($Z$874:$Z$887,"&lt;"&amp;Z878,$AD$874:$AD$887,1)+COUNTIFS($Z$874:$Z$887,Z878,$AB$874:$AB$887,"&gt;"&amp;AB878,$AD$874:$AD$887,1)+COUNTIFS($Z$874:$Z$887,Z878,$AB$874:$AB$887,AB878,$V$874:$V$887,"&gt;"&amp;V878,$AD$874:$AD$887,1)+COUNTIFS($Z$874:Z878,Z878,$AB$874:AB878,AB878,$V$874:V878,V878,$AD$874:AD878,1))</x:f>
      </x:c>
      <x:c r="AD878" s="2" t="n">
        <x:f>IF(OR(AA878="DEFENSIV",AA878="PRUDENT",AA878="MODERAT",AA878="RIDICAT"),1,0)</x:f>
        <x:v>0</x:v>
      </x:c>
      <x:c r="AE878" s="2" t="str">
        <x:f>IF(AD878&lt;&gt;1,"NO",IF(W878="PASS","YES",IF(W878="OOS PENDING","CONDITIONAL","NO")))</x:f>
        <x:v>NO</x:v>
      </x:c>
      <x:c r="AF878" s="2" t="n">
        <x:f>IF(AND(AD878=1,AC878=1,E878="LIVE"),1,0)</x:f>
        <x:v>0</x:v>
      </x:c>
      <x:c r="AG878" s="2" t="str">
        <x:f>IF(AF878&lt;&gt;1,"",'Dashboard'!P88)</x:f>
      </x:c>
      <x:c r="AH878" s="2" t="str">
        <x:f>IF(B878="","",IF(J878&lt;&gt;"PASS",'Motor_Meciuri'!J68,IF('Calibrare_Linii'!U10&lt;&gt;"VALID","Parametri linie invalizi",IF(L878&gt;'Config_v6'!$B$13,"Dispersie peste limita",IF(W878="WATCH","Failure peste limita",IF(AB878&lt;'Config_v6'!$B$16,"P finala sub prag",IF(V878&lt;'Config_v6'!$B$18,"Confidence sub prag",IF(E878="REPLAY","Exemplu retrospectiv; exclus din Top LIVE",IF(Y878="PASS","DEFENSIV validat",IF(W878="OOS PENDING","Eligibil; calibrare linie in monitorizare","Eligibil"))))))))))</x:f>
      </x:c>
      <x:c r="AI878" s="2" t="str">
        <x:f>IF(B878="","",'Calibrare_Linii'!V10)</x:f>
      </x:c>
      <x:c r="AJ878" s="2" t="str">
        <x:f>IF(B878="","",IF(AND('Calibrare_Linii'!T10="VALIDATED",AND('Calibrare_Linii'!H10=C878,ISNUMBER('Calibrare_Linii'!J10),'Calibrare_Linii'!J10&lt;='Input_Meci'!G68)),"DEFENSIVE VALIDATED",IF(AND('Calibrare_Linii'!S10="VALIDATED",AND('Calibrare_Linii'!H10=C878,ISNUMBER('Calibrare_Linii'!J10),'Calibrare_Linii'!J10&lt;='Input_Meci'!G68)),"TAIL VALIDATED","OOS PENDING")))</x:f>
      </x:c>
      <x:c r="AK878" s="2" t="n">
        <x:f>IF(J878&lt;&gt;"PASS",0,'Motor_Meciuri'!BR68)</x:f>
        <x:v>0</x:v>
      </x:c>
      <x:c r="AL878" s="2" t="n">
        <x:f>IF(J878&lt;&gt;"PASS",0,'Motor_Meciuri'!BS68)</x:f>
        <x:v>0</x:v>
      </x:c>
      <x:c r="AM878" s="2" t="n">
        <x:f>IF(J878&lt;&gt;"PASS",0,'Motor_Meciuri'!BT68)</x:f>
        <x:v>0</x:v>
      </x:c>
      <x:c r="AN878" s="2" t="str">
        <x:f>IF(M878="","",MAX(0,'Motor_Meciuri'!BF68-IF(L878&gt;'Config_v6'!$B$12,'Config_v6'!$B$37,IF(L878&gt;'Config_v6'!$B$11,'Config_v6'!$B$36,0))))</x:f>
      </x:c>
    </x:row>
    <x:row r="879" ht="21" customHeight="1">
      <x:c r="A879" s="2" t="n">
        <x:v>63</x:v>
      </x:c>
      <x:c r="B879" s="2" t="str">
        <x:f>IF('Motor_Meciuri'!A68="","",'Motor_Meciuri'!A68)</x:f>
      </x:c>
      <x:c r="C879" s="2" t="str">
        <x:f>IF(B879="","",'Motor_Meciuri'!B68)</x:f>
      </x:c>
      <x:c r="D879" s="2" t="str">
        <x:f>IF(B879="","",'Motor_Meciuri'!D68)</x:f>
      </x:c>
      <x:c r="E879" s="2" t="str">
        <x:f>IF(B879="","",'Motor_Meciuri'!E68)</x:f>
      </x:c>
      <x:c r="F879" s="2" t="str">
        <x:v>O8,5</x:v>
      </x:c>
      <x:c r="G879" s="2" t="str">
        <x:v>OVER</x:v>
      </x:c>
      <x:c r="H879" s="2" t="n">
        <x:v>8</x:v>
      </x:c>
      <x:c r="I879" s="2" t="str">
        <x:f>IF(B879="","",'Motor_Meciuri'!H68)</x:f>
      </x:c>
      <x:c r="J879" s="2" t="str">
        <x:f>IF(B879="","",'Motor_Meciuri'!I68)</x:f>
      </x:c>
      <x:c r="K879" s="11" t="str">
        <x:f>IF(J879&lt;&gt;"PASS","",'Motor_Meciuri'!BD68)</x:f>
      </x:c>
      <x:c r="L879" s="11" t="str">
        <x:f>IF(J879&lt;&gt;"PASS","",'Motor_Meciuri'!AU68)</x:f>
      </x:c>
      <x:c r="M879" s="10" t="str">
        <x:f>IF(NOT(AND(J879="PASS",'Calibrare_Linii'!U11="VALID")),"",1-'Distributie'!AF68)</x:f>
      </x:c>
      <x:c r="N879" s="10" t="str">
        <x:f>IF(M879="","",MAX(0.01,MIN(0.99,0.5+(M879-0.5)*'Motor_Meciuri'!BG68*'Calibrare_Linii'!D11)))</x:f>
      </x:c>
      <x:c r="O879" s="10" t="str">
        <x:f>IF(M879="","",1-M879)</x:f>
      </x:c>
      <x:c r="P879" s="10" t="str">
        <x:f>IF(OR(NOT(AND(J879="PASS",'Calibrare_Linii'!U11="VALID")),AK879=0),""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*('Istoric_Nativ'!$Q$6:$Q$405&lt;=H879))/AK879)</x:f>
      </x:c>
      <x:c r="Q879" s="10" t="str">
        <x:f>IF(OR(NOT(AND(J879="PASS",'Calibrare_Linii'!U11="VALID")),AL879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M68)+((('Istoric_Nativ'!$E$6:$E$405='Input_Meci'!E68)+('Istoric_Nativ'!$F$6:$F$405='Input_Meci'!E68))&gt;0)*('Istoric_Nativ'!$D$6:$D$405&gt;='Motor_Meciuri'!BN68))&gt;0)*('Istoric_Nativ'!$Q$6:$Q$405&lt;=H879))/AL879)</x:f>
      </x:c>
      <x:c r="R879" s="10" t="str">
        <x:f>IF(OR(NOT(AND(J879="PASS",'Calibrare_Linii'!U11="VALID")),AM879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O68)+((('Istoric_Nativ'!$E$6:$E$405='Input_Meci'!E68)+('Istoric_Nativ'!$F$6:$F$405='Input_Meci'!E68))&gt;0)*('Istoric_Nativ'!$D$6:$D$405&gt;='Motor_Meciuri'!BP68))&gt;0)*('Istoric_Nativ'!$Q$6:$Q$405&lt;=H879))/AM879)</x:f>
      </x:c>
      <x:c r="S879" s="10" t="str">
        <x:f>IF(M879="","",MAX(O879,P879,Q879,R879))</x:f>
      </x:c>
      <x:c r="T879" s="11" t="str">
        <x:f>IF(M879="","",MIN(100,S879*100*'Config_v6'!$B$44+MIN(100,L879/'Config_v6'!$B$13*100)*'Config_v6'!$B$45+(100-'Motor_Meciuri'!BF68)*'Config_v6'!$B$46+'Motor_Meciuri'!BH68*100*'Config_v6'!$B$47))</x:f>
      </x:c>
      <x:c r="U879" s="2" t="str">
        <x:f>IF(T879="","",IF(T879&lt;=20,1,IF(T879&lt;=40,2,IF(T879&lt;=60,3,IF(T879&lt;=80,4,5)))))</x:f>
      </x:c>
      <x:c r="V879" s="2" t="str">
        <x:f>IF(M879="","",MAX(0,'Motor_Meciuri'!BF68-IF(W879="OOS PENDING",'Config_v6'!$B$35,0)-IF(L879&gt;'Config_v6'!$B$12,'Config_v6'!$B$37,IF(L879&gt;'Config_v6'!$B$11,'Config_v6'!$B$36,0))))</x:f>
      </x:c>
      <x:c r="W879" s="2" t="str">
        <x:f>IF(B879="","",IF(I879&lt;&gt;"READY","NOT RELEASED",IF(NOT(AND(J879="PASS",'Calibrare_Linii'!U11="VALID")),"INVALID",IF(NOT(AND('Calibrare_Linii'!S11="VALIDATED",AND('Calibrare_Linii'!H11=C879,ISNUMBER('Calibrare_Linii'!J11),'Calibrare_Linii'!J11&lt;='Input_Meci'!G68))),"OOS PENDING",IF(S879&lt;='Calibrare_Linii'!E11,"PASS",IF(S879&lt;='Calibrare_Linii'!F11,"PENALTY","WATCH"))))))</x:f>
      </x:c>
      <x:c r="X879" s="2" t="str">
        <x:f>IF(M879="","",IF(AND(AND(J879="PASS",'Calibrare_Linii'!U11="VALID"),'Motor_Meciuri'!K68=12,'Motor_Meciuri'!L68=12,'Motor_Meciuri'!M68="NO",'Motor_Meciuri'!BL68='Motor_Meciuri'!C68,AB879&gt;='Config_v6'!$B$50,AN879&gt;='Config_v6'!$B$51,T879&lt;='Config_v6'!$B$52,L879&lt;='Config_v6'!$B$53,ISNUMBER('Calibrare_Linii'!E11),S879&lt;='Calibrare_Linii'!E11,SUM(AK879:AM879)&gt;0),"CANDIDATE","NO"))</x:f>
      </x:c>
      <x:c r="Y879" s="2" t="str">
        <x:f>IF(B879="","",IF(I879&lt;&gt;"READY","NOT RELEASED",IF(AND(X879="CANDIDATE",V879&gt;='Config_v6'!$B$51,W879="PASS",'Calibrare_Linii'!T11="VALIDATED",AND('Calibrare_Linii'!H11=C879,ISNUMBER('Calibrare_Linii'!J11),'Calibrare_Linii'!J11&lt;='Input_Meci'!G68)),"PASS",IF(X879="CANDIDATE","OOS PENDING","FAIL"))))</x:f>
      </x:c>
      <x:c r="Z879" s="2" t="str">
        <x:f>IF(B879="","",IF(I879&lt;&gt;"READY","",IF(OR(NOT(AND(J879="PASS",'Calibrare_Linii'!U11="VALID")),L879&gt;'Config_v6'!$B$13,W879="WATCH"),5,IF(Y879="PASS",1,MIN(5,MAX('Config_v6'!$B$42,U879)+IF(W879="PENALTY",1,0))))))</x:f>
      </x:c>
      <x:c r="AA879" s="2" t="str">
        <x:f>IF(B879="","",IF(I879&lt;&gt;"READY","NOT RELEASED",IF(Z879=5,"NO BET",IF(OR(AB879&lt;'Config_v6'!$B$16,V879&lt;'Config_v6'!$B$18),"WATCH",IF(Z879=1,"DEFENSIV",IF(Z879=2,"PRUDENT",IF(Z879=3,"MODERAT","RIDICAT")))))))</x:f>
      </x:c>
      <x:c r="AB879" s="10" t="str">
        <x:f>IF(N879="","",MIN(N879,1-S879))</x:f>
      </x:c>
      <x:c r="AC879" s="2" t="str">
        <x:f>IF(AD879&lt;&gt;1,"",COUNTIFS($Z$874:$Z$887,"&lt;"&amp;Z879,$AD$874:$AD$887,1)+COUNTIFS($Z$874:$Z$887,Z879,$AB$874:$AB$887,"&gt;"&amp;AB879,$AD$874:$AD$887,1)+COUNTIFS($Z$874:$Z$887,Z879,$AB$874:$AB$887,AB879,$V$874:$V$887,"&gt;"&amp;V879,$AD$874:$AD$887,1)+COUNTIFS($Z$874:Z879,Z879,$AB$874:AB879,AB879,$V$874:V879,V879,$AD$874:AD879,1))</x:f>
      </x:c>
      <x:c r="AD879" s="2" t="n">
        <x:f>IF(OR(AA879="DEFENSIV",AA879="PRUDENT",AA879="MODERAT",AA879="RIDICAT"),1,0)</x:f>
        <x:v>0</x:v>
      </x:c>
      <x:c r="AE879" s="2" t="str">
        <x:f>IF(AD879&lt;&gt;1,"NO",IF(W879="PASS","YES",IF(W879="OOS PENDING","CONDITIONAL","NO")))</x:f>
        <x:v>NO</x:v>
      </x:c>
      <x:c r="AF879" s="2" t="n">
        <x:f>IF(AND(AD879=1,AC879=1,E879="LIVE"),1,0)</x:f>
        <x:v>0</x:v>
      </x:c>
      <x:c r="AG879" s="2" t="str">
        <x:f>IF(AF879&lt;&gt;1,"",'Dashboard'!P88)</x:f>
      </x:c>
      <x:c r="AH879" s="2" t="str">
        <x:f>IF(B879="","",IF(J879&lt;&gt;"PASS",'Motor_Meciuri'!J68,IF('Calibrare_Linii'!U11&lt;&gt;"VALID","Parametri linie invalizi",IF(L879&gt;'Config_v6'!$B$13,"Dispersie peste limita",IF(W879="WATCH","Failure peste limita",IF(AB879&lt;'Config_v6'!$B$16,"P finala sub prag",IF(V879&lt;'Config_v6'!$B$18,"Confidence sub prag",IF(E879="REPLAY","Exemplu retrospectiv; exclus din Top LIVE",IF(Y879="PASS","DEFENSIV validat",IF(W879="OOS PENDING","Eligibil; calibrare linie in monitorizare","Eligibil"))))))))))</x:f>
      </x:c>
      <x:c r="AI879" s="2" t="str">
        <x:f>IF(B879="","",'Calibrare_Linii'!V11)</x:f>
      </x:c>
      <x:c r="AJ879" s="2" t="str">
        <x:f>IF(B879="","",IF(AND('Calibrare_Linii'!T11="VALIDATED",AND('Calibrare_Linii'!H11=C879,ISNUMBER('Calibrare_Linii'!J11),'Calibrare_Linii'!J11&lt;='Input_Meci'!G68)),"DEFENSIVE VALIDATED",IF(AND('Calibrare_Linii'!S11="VALIDATED",AND('Calibrare_Linii'!H11=C879,ISNUMBER('Calibrare_Linii'!J11),'Calibrare_Linii'!J11&lt;='Input_Meci'!G68)),"TAIL VALIDATED","OOS PENDING")))</x:f>
      </x:c>
      <x:c r="AK879" s="2" t="n">
        <x:f>IF(J879&lt;&gt;"PASS",0,'Motor_Meciuri'!BR68)</x:f>
        <x:v>0</x:v>
      </x:c>
      <x:c r="AL879" s="2" t="n">
        <x:f>IF(J879&lt;&gt;"PASS",0,'Motor_Meciuri'!BS68)</x:f>
        <x:v>0</x:v>
      </x:c>
      <x:c r="AM879" s="2" t="n">
        <x:f>IF(J879&lt;&gt;"PASS",0,'Motor_Meciuri'!BT68)</x:f>
        <x:v>0</x:v>
      </x:c>
      <x:c r="AN879" s="2" t="str">
        <x:f>IF(M879="","",MAX(0,'Motor_Meciuri'!BF68-IF(L879&gt;'Config_v6'!$B$12,'Config_v6'!$B$37,IF(L879&gt;'Config_v6'!$B$11,'Config_v6'!$B$36,0))))</x:f>
      </x:c>
    </x:row>
    <x:row r="880" ht="21" customHeight="1">
      <x:c r="A880" s="2" t="n">
        <x:v>63</x:v>
      </x:c>
      <x:c r="B880" s="2" t="str">
        <x:f>IF('Motor_Meciuri'!A68="","",'Motor_Meciuri'!A68)</x:f>
      </x:c>
      <x:c r="C880" s="2" t="str">
        <x:f>IF(B880="","",'Motor_Meciuri'!B68)</x:f>
      </x:c>
      <x:c r="D880" s="2" t="str">
        <x:f>IF(B880="","",'Motor_Meciuri'!D68)</x:f>
      </x:c>
      <x:c r="E880" s="2" t="str">
        <x:f>IF(B880="","",'Motor_Meciuri'!E68)</x:f>
      </x:c>
      <x:c r="F880" s="2" t="str">
        <x:v>U10,5</x:v>
      </x:c>
      <x:c r="G880" s="2" t="str">
        <x:v>UNDER</x:v>
      </x:c>
      <x:c r="H880" s="2" t="n">
        <x:v>10</x:v>
      </x:c>
      <x:c r="I880" s="2" t="str">
        <x:f>IF(B880="","",'Motor_Meciuri'!H68)</x:f>
      </x:c>
      <x:c r="J880" s="2" t="str">
        <x:f>IF(B880="","",'Motor_Meciuri'!I68)</x:f>
      </x:c>
      <x:c r="K880" s="11" t="str">
        <x:f>IF(J880&lt;&gt;"PASS","",'Motor_Meciuri'!BD68)</x:f>
      </x:c>
      <x:c r="L880" s="11" t="str">
        <x:f>IF(J880&lt;&gt;"PASS","",'Motor_Meciuri'!AU68)</x:f>
      </x:c>
      <x:c r="M880" s="10" t="str">
        <x:f>IF(NOT(AND(J880="PASS",'Calibrare_Linii'!U12="VALID")),"",'Distributie'!AH68)</x:f>
      </x:c>
      <x:c r="N880" s="10" t="str">
        <x:f>IF(M880="","",MAX(0.01,MIN(0.99,0.5+(M880-0.5)*'Motor_Meciuri'!BG68*'Calibrare_Linii'!D12)))</x:f>
      </x:c>
      <x:c r="O880" s="10" t="str">
        <x:f>IF(M880="","",1-M880)</x:f>
      </x:c>
      <x:c r="P880" s="10" t="str">
        <x:f>IF(OR(NOT(AND(J880="PASS",'Calibrare_Linii'!U12="VALID")),AK880=0),""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*('Istoric_Nativ'!$Q$6:$Q$405&gt;H880))/AK880)</x:f>
      </x:c>
      <x:c r="Q880" s="10" t="str">
        <x:f>IF(OR(NOT(AND(J880="PASS",'Calibrare_Linii'!U12="VALID")),AL880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M68)+((('Istoric_Nativ'!$E$6:$E$405='Input_Meci'!E68)+('Istoric_Nativ'!$F$6:$F$405='Input_Meci'!E68))&gt;0)*('Istoric_Nativ'!$D$6:$D$405&gt;='Motor_Meciuri'!BN68))&gt;0)*('Istoric_Nativ'!$Q$6:$Q$405&gt;H880))/AL880)</x:f>
      </x:c>
      <x:c r="R880" s="10" t="str">
        <x:f>IF(OR(NOT(AND(J880="PASS",'Calibrare_Linii'!U12="VALID")),AM880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O68)+((('Istoric_Nativ'!$E$6:$E$405='Input_Meci'!E68)+('Istoric_Nativ'!$F$6:$F$405='Input_Meci'!E68))&gt;0)*('Istoric_Nativ'!$D$6:$D$405&gt;='Motor_Meciuri'!BP68))&gt;0)*('Istoric_Nativ'!$Q$6:$Q$405&gt;H880))/AM880)</x:f>
      </x:c>
      <x:c r="S880" s="10" t="str">
        <x:f>IF(M880="","",MAX(O880,P880,Q880,R880))</x:f>
      </x:c>
      <x:c r="T880" s="11" t="str">
        <x:f>IF(M880="","",MIN(100,S880*100*'Config_v6'!$B$44+MIN(100,L880/'Config_v6'!$B$13*100)*'Config_v6'!$B$45+(100-'Motor_Meciuri'!BF68)*'Config_v6'!$B$46+'Motor_Meciuri'!BH68*100*'Config_v6'!$B$47))</x:f>
      </x:c>
      <x:c r="U880" s="2" t="str">
        <x:f>IF(T880="","",IF(T880&lt;=20,1,IF(T880&lt;=40,2,IF(T880&lt;=60,3,IF(T880&lt;=80,4,5)))))</x:f>
      </x:c>
      <x:c r="V880" s="2" t="str">
        <x:f>IF(M880="","",MAX(0,'Motor_Meciuri'!BF68-IF(W880="OOS PENDING",'Config_v6'!$B$35,0)-IF(L880&gt;'Config_v6'!$B$12,'Config_v6'!$B$37,IF(L880&gt;'Config_v6'!$B$11,'Config_v6'!$B$36,0))))</x:f>
      </x:c>
      <x:c r="W880" s="2" t="str">
        <x:f>IF(B880="","",IF(I880&lt;&gt;"READY","NOT RELEASED",IF(NOT(AND(J880="PASS",'Calibrare_Linii'!U12="VALID")),"INVALID",IF(NOT(AND('Calibrare_Linii'!S12="VALIDATED",AND('Calibrare_Linii'!H12=C880,ISNUMBER('Calibrare_Linii'!J12),'Calibrare_Linii'!J12&lt;='Input_Meci'!G68))),"OOS PENDING",IF(S880&lt;='Calibrare_Linii'!E12,"PASS",IF(S880&lt;='Calibrare_Linii'!F12,"PENALTY","WATCH"))))))</x:f>
      </x:c>
      <x:c r="X880" s="2" t="str">
        <x:f>IF(M880="","",IF(AND(AND(J880="PASS",'Calibrare_Linii'!U12="VALID"),'Motor_Meciuri'!K68=12,'Motor_Meciuri'!L68=12,'Motor_Meciuri'!M68="NO",'Motor_Meciuri'!BL68='Motor_Meciuri'!C68,AB880&gt;='Config_v6'!$B$50,AN880&gt;='Config_v6'!$B$51,T880&lt;='Config_v6'!$B$52,L880&lt;='Config_v6'!$B$53,ISNUMBER('Calibrare_Linii'!E12),S880&lt;='Calibrare_Linii'!E12,SUM(AK880:AM880)&gt;0),"CANDIDATE","NO"))</x:f>
      </x:c>
      <x:c r="Y880" s="2" t="str">
        <x:f>IF(B880="","",IF(I880&lt;&gt;"READY","NOT RELEASED",IF(AND(X880="CANDIDATE",V880&gt;='Config_v6'!$B$51,W880="PASS",'Calibrare_Linii'!T12="VALIDATED",AND('Calibrare_Linii'!H12=C880,ISNUMBER('Calibrare_Linii'!J12),'Calibrare_Linii'!J12&lt;='Input_Meci'!G68)),"PASS",IF(X880="CANDIDATE","OOS PENDING","FAIL"))))</x:f>
      </x:c>
      <x:c r="Z880" s="2" t="str">
        <x:f>IF(B880="","",IF(I880&lt;&gt;"READY","",IF(OR(NOT(AND(J880="PASS",'Calibrare_Linii'!U12="VALID")),L880&gt;'Config_v6'!$B$13,W880="WATCH"),5,IF(Y880="PASS",1,MIN(5,MAX('Config_v6'!$B$42,U880)+IF(W880="PENALTY",1,0))))))</x:f>
      </x:c>
      <x:c r="AA880" s="2" t="str">
        <x:f>IF(B880="","",IF(I880&lt;&gt;"READY","NOT RELEASED",IF(Z880=5,"NO BET",IF(OR(AB880&lt;'Config_v6'!$B$16,V880&lt;'Config_v6'!$B$18),"WATCH",IF(Z880=1,"DEFENSIV",IF(Z880=2,"PRUDENT",IF(Z880=3,"MODERAT","RIDICAT")))))))</x:f>
      </x:c>
      <x:c r="AB880" s="10" t="str">
        <x:f>IF(N880="","",MIN(N880,1-S880))</x:f>
      </x:c>
      <x:c r="AC880" s="2" t="str">
        <x:f>IF(AD880&lt;&gt;1,"",COUNTIFS($Z$874:$Z$887,"&lt;"&amp;Z880,$AD$874:$AD$887,1)+COUNTIFS($Z$874:$Z$887,Z880,$AB$874:$AB$887,"&gt;"&amp;AB880,$AD$874:$AD$887,1)+COUNTIFS($Z$874:$Z$887,Z880,$AB$874:$AB$887,AB880,$V$874:$V$887,"&gt;"&amp;V880,$AD$874:$AD$887,1)+COUNTIFS($Z$874:Z880,Z880,$AB$874:AB880,AB880,$V$874:V880,V880,$AD$874:AD880,1))</x:f>
      </x:c>
      <x:c r="AD880" s="2" t="n">
        <x:f>IF(OR(AA880="DEFENSIV",AA880="PRUDENT",AA880="MODERAT",AA880="RIDICAT"),1,0)</x:f>
        <x:v>0</x:v>
      </x:c>
      <x:c r="AE880" s="2" t="str">
        <x:f>IF(AD880&lt;&gt;1,"NO",IF(W880="PASS","YES",IF(W880="OOS PENDING","CONDITIONAL","NO")))</x:f>
        <x:v>NO</x:v>
      </x:c>
      <x:c r="AF880" s="2" t="n">
        <x:f>IF(AND(AD880=1,AC880=1,E880="LIVE"),1,0)</x:f>
        <x:v>0</x:v>
      </x:c>
      <x:c r="AG880" s="2" t="str">
        <x:f>IF(AF880&lt;&gt;1,"",'Dashboard'!P88)</x:f>
      </x:c>
      <x:c r="AH880" s="2" t="str">
        <x:f>IF(B880="","",IF(J880&lt;&gt;"PASS",'Motor_Meciuri'!J68,IF('Calibrare_Linii'!U12&lt;&gt;"VALID","Parametri linie invalizi",IF(L880&gt;'Config_v6'!$B$13,"Dispersie peste limita",IF(W880="WATCH","Failure peste limita",IF(AB880&lt;'Config_v6'!$B$16,"P finala sub prag",IF(V880&lt;'Config_v6'!$B$18,"Confidence sub prag",IF(E880="REPLAY","Exemplu retrospectiv; exclus din Top LIVE",IF(Y880="PASS","DEFENSIV validat",IF(W880="OOS PENDING","Eligibil; calibrare linie in monitorizare","Eligibil"))))))))))</x:f>
      </x:c>
      <x:c r="AI880" s="2" t="str">
        <x:f>IF(B880="","",'Calibrare_Linii'!V12)</x:f>
      </x:c>
      <x:c r="AJ880" s="2" t="str">
        <x:f>IF(B880="","",IF(AND('Calibrare_Linii'!T12="VALIDATED",AND('Calibrare_Linii'!H12=C880,ISNUMBER('Calibrare_Linii'!J12),'Calibrare_Linii'!J12&lt;='Input_Meci'!G68)),"DEFENSIVE VALIDATED",IF(AND('Calibrare_Linii'!S12="VALIDATED",AND('Calibrare_Linii'!H12=C880,ISNUMBER('Calibrare_Linii'!J12),'Calibrare_Linii'!J12&lt;='Input_Meci'!G68)),"TAIL VALIDATED","OOS PENDING")))</x:f>
      </x:c>
      <x:c r="AK880" s="2" t="n">
        <x:f>IF(J880&lt;&gt;"PASS",0,'Motor_Meciuri'!BR68)</x:f>
        <x:v>0</x:v>
      </x:c>
      <x:c r="AL880" s="2" t="n">
        <x:f>IF(J880&lt;&gt;"PASS",0,'Motor_Meciuri'!BS68)</x:f>
        <x:v>0</x:v>
      </x:c>
      <x:c r="AM880" s="2" t="n">
        <x:f>IF(J880&lt;&gt;"PASS",0,'Motor_Meciuri'!BT68)</x:f>
        <x:v>0</x:v>
      </x:c>
      <x:c r="AN880" s="2" t="str">
        <x:f>IF(M880="","",MAX(0,'Motor_Meciuri'!BF68-IF(L880&gt;'Config_v6'!$B$12,'Config_v6'!$B$37,IF(L880&gt;'Config_v6'!$B$11,'Config_v6'!$B$36,0))))</x:f>
      </x:c>
    </x:row>
    <x:row r="881" ht="21" customHeight="1">
      <x:c r="A881" s="2" t="n">
        <x:v>63</x:v>
      </x:c>
      <x:c r="B881" s="2" t="str">
        <x:f>IF('Motor_Meciuri'!A68="","",'Motor_Meciuri'!A68)</x:f>
      </x:c>
      <x:c r="C881" s="2" t="str">
        <x:f>IF(B881="","",'Motor_Meciuri'!B68)</x:f>
      </x:c>
      <x:c r="D881" s="2" t="str">
        <x:f>IF(B881="","",'Motor_Meciuri'!D68)</x:f>
      </x:c>
      <x:c r="E881" s="2" t="str">
        <x:f>IF(B881="","",'Motor_Meciuri'!E68)</x:f>
      </x:c>
      <x:c r="F881" s="2" t="str">
        <x:v>U11,5</x:v>
      </x:c>
      <x:c r="G881" s="2" t="str">
        <x:v>UNDER</x:v>
      </x:c>
      <x:c r="H881" s="2" t="n">
        <x:v>11</x:v>
      </x:c>
      <x:c r="I881" s="2" t="str">
        <x:f>IF(B881="","",'Motor_Meciuri'!H68)</x:f>
      </x:c>
      <x:c r="J881" s="2" t="str">
        <x:f>IF(B881="","",'Motor_Meciuri'!I68)</x:f>
      </x:c>
      <x:c r="K881" s="11" t="str">
        <x:f>IF(J881&lt;&gt;"PASS","",'Motor_Meciuri'!BD68)</x:f>
      </x:c>
      <x:c r="L881" s="11" t="str">
        <x:f>IF(J881&lt;&gt;"PASS","",'Motor_Meciuri'!AU68)</x:f>
      </x:c>
      <x:c r="M881" s="10" t="str">
        <x:f>IF(NOT(AND(J881="PASS",'Calibrare_Linii'!U13="VALID")),"",'Distributie'!AI68)</x:f>
      </x:c>
      <x:c r="N881" s="10" t="str">
        <x:f>IF(M881="","",MAX(0.01,MIN(0.99,0.5+(M881-0.5)*'Motor_Meciuri'!BG68*'Calibrare_Linii'!D13)))</x:f>
      </x:c>
      <x:c r="O881" s="10" t="str">
        <x:f>IF(M881="","",1-M881)</x:f>
      </x:c>
      <x:c r="P881" s="10" t="str">
        <x:f>IF(OR(NOT(AND(J881="PASS",'Calibrare_Linii'!U13="VALID")),AK881=0),""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*('Istoric_Nativ'!$Q$6:$Q$405&gt;H881))/AK881)</x:f>
      </x:c>
      <x:c r="Q881" s="10" t="str">
        <x:f>IF(OR(NOT(AND(J881="PASS",'Calibrare_Linii'!U13="VALID")),AL881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M68)+((('Istoric_Nativ'!$E$6:$E$405='Input_Meci'!E68)+('Istoric_Nativ'!$F$6:$F$405='Input_Meci'!E68))&gt;0)*('Istoric_Nativ'!$D$6:$D$405&gt;='Motor_Meciuri'!BN68))&gt;0)*('Istoric_Nativ'!$Q$6:$Q$405&gt;H881))/AL881)</x:f>
      </x:c>
      <x:c r="R881" s="10" t="str">
        <x:f>IF(OR(NOT(AND(J881="PASS",'Calibrare_Linii'!U13="VALID")),AM881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O68)+((('Istoric_Nativ'!$E$6:$E$405='Input_Meci'!E68)+('Istoric_Nativ'!$F$6:$F$405='Input_Meci'!E68))&gt;0)*('Istoric_Nativ'!$D$6:$D$405&gt;='Motor_Meciuri'!BP68))&gt;0)*('Istoric_Nativ'!$Q$6:$Q$405&gt;H881))/AM881)</x:f>
      </x:c>
      <x:c r="S881" s="10" t="str">
        <x:f>IF(M881="","",MAX(O881,P881,Q881,R881))</x:f>
      </x:c>
      <x:c r="T881" s="11" t="str">
        <x:f>IF(M881="","",MIN(100,S881*100*'Config_v6'!$B$44+MIN(100,L881/'Config_v6'!$B$13*100)*'Config_v6'!$B$45+(100-'Motor_Meciuri'!BF68)*'Config_v6'!$B$46+'Motor_Meciuri'!BH68*100*'Config_v6'!$B$47))</x:f>
      </x:c>
      <x:c r="U881" s="2" t="str">
        <x:f>IF(T881="","",IF(T881&lt;=20,1,IF(T881&lt;=40,2,IF(T881&lt;=60,3,IF(T881&lt;=80,4,5)))))</x:f>
      </x:c>
      <x:c r="V881" s="2" t="str">
        <x:f>IF(M881="","",MAX(0,'Motor_Meciuri'!BF68-IF(W881="OOS PENDING",'Config_v6'!$B$35,0)-IF(L881&gt;'Config_v6'!$B$12,'Config_v6'!$B$37,IF(L881&gt;'Config_v6'!$B$11,'Config_v6'!$B$36,0))))</x:f>
      </x:c>
      <x:c r="W881" s="2" t="str">
        <x:f>IF(B881="","",IF(I881&lt;&gt;"READY","NOT RELEASED",IF(NOT(AND(J881="PASS",'Calibrare_Linii'!U13="VALID")),"INVALID",IF(NOT(AND('Calibrare_Linii'!S13="VALIDATED",AND('Calibrare_Linii'!H13=C881,ISNUMBER('Calibrare_Linii'!J13),'Calibrare_Linii'!J13&lt;='Input_Meci'!G68))),"OOS PENDING",IF(S881&lt;='Calibrare_Linii'!E13,"PASS",IF(S881&lt;='Calibrare_Linii'!F13,"PENALTY","WATCH"))))))</x:f>
      </x:c>
      <x:c r="X881" s="2" t="str">
        <x:f>IF(M881="","",IF(AND(AND(J881="PASS",'Calibrare_Linii'!U13="VALID"),'Motor_Meciuri'!K68=12,'Motor_Meciuri'!L68=12,'Motor_Meciuri'!M68="NO",'Motor_Meciuri'!BL68='Motor_Meciuri'!C68,AB881&gt;='Config_v6'!$B$50,AN881&gt;='Config_v6'!$B$51,T881&lt;='Config_v6'!$B$52,L881&lt;='Config_v6'!$B$53,ISNUMBER('Calibrare_Linii'!E13),S881&lt;='Calibrare_Linii'!E13,SUM(AK881:AM881)&gt;0),"CANDIDATE","NO"))</x:f>
      </x:c>
      <x:c r="Y881" s="2" t="str">
        <x:f>IF(B881="","",IF(I881&lt;&gt;"READY","NOT RELEASED",IF(AND(X881="CANDIDATE",V881&gt;='Config_v6'!$B$51,W881="PASS",'Calibrare_Linii'!T13="VALIDATED",AND('Calibrare_Linii'!H13=C881,ISNUMBER('Calibrare_Linii'!J13),'Calibrare_Linii'!J13&lt;='Input_Meci'!G68)),"PASS",IF(X881="CANDIDATE","OOS PENDING","FAIL"))))</x:f>
      </x:c>
      <x:c r="Z881" s="2" t="str">
        <x:f>IF(B881="","",IF(I881&lt;&gt;"READY","",IF(OR(NOT(AND(J881="PASS",'Calibrare_Linii'!U13="VALID")),L881&gt;'Config_v6'!$B$13,W881="WATCH"),5,IF(Y881="PASS",1,MIN(5,MAX('Config_v6'!$B$42,U881)+IF(W881="PENALTY",1,0))))))</x:f>
      </x:c>
      <x:c r="AA881" s="2" t="str">
        <x:f>IF(B881="","",IF(I881&lt;&gt;"READY","NOT RELEASED",IF(Z881=5,"NO BET",IF(OR(AB881&lt;'Config_v6'!$B$16,V881&lt;'Config_v6'!$B$18),"WATCH",IF(Z881=1,"DEFENSIV",IF(Z881=2,"PRUDENT",IF(Z881=3,"MODERAT","RIDICAT")))))))</x:f>
      </x:c>
      <x:c r="AB881" s="10" t="str">
        <x:f>IF(N881="","",MIN(N881,1-S881))</x:f>
      </x:c>
      <x:c r="AC881" s="2" t="str">
        <x:f>IF(AD881&lt;&gt;1,"",COUNTIFS($Z$874:$Z$887,"&lt;"&amp;Z881,$AD$874:$AD$887,1)+COUNTIFS($Z$874:$Z$887,Z881,$AB$874:$AB$887,"&gt;"&amp;AB881,$AD$874:$AD$887,1)+COUNTIFS($Z$874:$Z$887,Z881,$AB$874:$AB$887,AB881,$V$874:$V$887,"&gt;"&amp;V881,$AD$874:$AD$887,1)+COUNTIFS($Z$874:Z881,Z881,$AB$874:AB881,AB881,$V$874:V881,V881,$AD$874:AD881,1))</x:f>
      </x:c>
      <x:c r="AD881" s="2" t="n">
        <x:f>IF(OR(AA881="DEFENSIV",AA881="PRUDENT",AA881="MODERAT",AA881="RIDICAT"),1,0)</x:f>
        <x:v>0</x:v>
      </x:c>
      <x:c r="AE881" s="2" t="str">
        <x:f>IF(AD881&lt;&gt;1,"NO",IF(W881="PASS","YES",IF(W881="OOS PENDING","CONDITIONAL","NO")))</x:f>
        <x:v>NO</x:v>
      </x:c>
      <x:c r="AF881" s="2" t="n">
        <x:f>IF(AND(AD881=1,AC881=1,E881="LIVE"),1,0)</x:f>
        <x:v>0</x:v>
      </x:c>
      <x:c r="AG881" s="2" t="str">
        <x:f>IF(AF881&lt;&gt;1,"",'Dashboard'!P88)</x:f>
      </x:c>
      <x:c r="AH881" s="2" t="str">
        <x:f>IF(B881="","",IF(J881&lt;&gt;"PASS",'Motor_Meciuri'!J68,IF('Calibrare_Linii'!U13&lt;&gt;"VALID","Parametri linie invalizi",IF(L881&gt;'Config_v6'!$B$13,"Dispersie peste limita",IF(W881="WATCH","Failure peste limita",IF(AB881&lt;'Config_v6'!$B$16,"P finala sub prag",IF(V881&lt;'Config_v6'!$B$18,"Confidence sub prag",IF(E881="REPLAY","Exemplu retrospectiv; exclus din Top LIVE",IF(Y881="PASS","DEFENSIV validat",IF(W881="OOS PENDING","Eligibil; calibrare linie in monitorizare","Eligibil"))))))))))</x:f>
      </x:c>
      <x:c r="AI881" s="2" t="str">
        <x:f>IF(B881="","",'Calibrare_Linii'!V13)</x:f>
      </x:c>
      <x:c r="AJ881" s="2" t="str">
        <x:f>IF(B881="","",IF(AND('Calibrare_Linii'!T13="VALIDATED",AND('Calibrare_Linii'!H13=C881,ISNUMBER('Calibrare_Linii'!J13),'Calibrare_Linii'!J13&lt;='Input_Meci'!G68)),"DEFENSIVE VALIDATED",IF(AND('Calibrare_Linii'!S13="VALIDATED",AND('Calibrare_Linii'!H13=C881,ISNUMBER('Calibrare_Linii'!J13),'Calibrare_Linii'!J13&lt;='Input_Meci'!G68)),"TAIL VALIDATED","OOS PENDING")))</x:f>
      </x:c>
      <x:c r="AK881" s="2" t="n">
        <x:f>IF(J881&lt;&gt;"PASS",0,'Motor_Meciuri'!BR68)</x:f>
        <x:v>0</x:v>
      </x:c>
      <x:c r="AL881" s="2" t="n">
        <x:f>IF(J881&lt;&gt;"PASS",0,'Motor_Meciuri'!BS68)</x:f>
        <x:v>0</x:v>
      </x:c>
      <x:c r="AM881" s="2" t="n">
        <x:f>IF(J881&lt;&gt;"PASS",0,'Motor_Meciuri'!BT68)</x:f>
        <x:v>0</x:v>
      </x:c>
      <x:c r="AN881" s="2" t="str">
        <x:f>IF(M881="","",MAX(0,'Motor_Meciuri'!BF68-IF(L881&gt;'Config_v6'!$B$12,'Config_v6'!$B$37,IF(L881&gt;'Config_v6'!$B$11,'Config_v6'!$B$36,0))))</x:f>
      </x:c>
    </x:row>
    <x:row r="882" ht="21" customHeight="1">
      <x:c r="A882" s="2" t="n">
        <x:v>63</x:v>
      </x:c>
      <x:c r="B882" s="2" t="str">
        <x:f>IF('Motor_Meciuri'!A68="","",'Motor_Meciuri'!A68)</x:f>
      </x:c>
      <x:c r="C882" s="2" t="str">
        <x:f>IF(B882="","",'Motor_Meciuri'!B68)</x:f>
      </x:c>
      <x:c r="D882" s="2" t="str">
        <x:f>IF(B882="","",'Motor_Meciuri'!D68)</x:f>
      </x:c>
      <x:c r="E882" s="2" t="str">
        <x:f>IF(B882="","",'Motor_Meciuri'!E68)</x:f>
      </x:c>
      <x:c r="F882" s="2" t="str">
        <x:v>U12,5</x:v>
      </x:c>
      <x:c r="G882" s="2" t="str">
        <x:v>UNDER</x:v>
      </x:c>
      <x:c r="H882" s="2" t="n">
        <x:v>12</x:v>
      </x:c>
      <x:c r="I882" s="2" t="str">
        <x:f>IF(B882="","",'Motor_Meciuri'!H68)</x:f>
      </x:c>
      <x:c r="J882" s="2" t="str">
        <x:f>IF(B882="","",'Motor_Meciuri'!I68)</x:f>
      </x:c>
      <x:c r="K882" s="11" t="str">
        <x:f>IF(J882&lt;&gt;"PASS","",'Motor_Meciuri'!BD68)</x:f>
      </x:c>
      <x:c r="L882" s="11" t="str">
        <x:f>IF(J882&lt;&gt;"PASS","",'Motor_Meciuri'!AU68)</x:f>
      </x:c>
      <x:c r="M882" s="10" t="str">
        <x:f>IF(NOT(AND(J882="PASS",'Calibrare_Linii'!U14="VALID")),"",'Distributie'!AJ68)</x:f>
      </x:c>
      <x:c r="N882" s="10" t="str">
        <x:f>IF(M882="","",MAX(0.01,MIN(0.99,0.5+(M882-0.5)*'Motor_Meciuri'!BG68*'Calibrare_Linii'!D14)))</x:f>
      </x:c>
      <x:c r="O882" s="10" t="str">
        <x:f>IF(M882="","",1-M882)</x:f>
      </x:c>
      <x:c r="P882" s="10" t="str">
        <x:f>IF(OR(NOT(AND(J882="PASS",'Calibrare_Linii'!U14="VALID")),AK882=0),""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*('Istoric_Nativ'!$Q$6:$Q$405&gt;H882))/AK882)</x:f>
      </x:c>
      <x:c r="Q882" s="10" t="str">
        <x:f>IF(OR(NOT(AND(J882="PASS",'Calibrare_Linii'!U14="VALID")),AL882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M68)+((('Istoric_Nativ'!$E$6:$E$405='Input_Meci'!E68)+('Istoric_Nativ'!$F$6:$F$405='Input_Meci'!E68))&gt;0)*('Istoric_Nativ'!$D$6:$D$405&gt;='Motor_Meciuri'!BN68))&gt;0)*('Istoric_Nativ'!$Q$6:$Q$405&gt;H882))/AL882)</x:f>
      </x:c>
      <x:c r="R882" s="10" t="str">
        <x:f>IF(OR(NOT(AND(J882="PASS",'Calibrare_Linii'!U14="VALID")),AM882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O68)+((('Istoric_Nativ'!$E$6:$E$405='Input_Meci'!E68)+('Istoric_Nativ'!$F$6:$F$405='Input_Meci'!E68))&gt;0)*('Istoric_Nativ'!$D$6:$D$405&gt;='Motor_Meciuri'!BP68))&gt;0)*('Istoric_Nativ'!$Q$6:$Q$405&gt;H882))/AM882)</x:f>
      </x:c>
      <x:c r="S882" s="10" t="str">
        <x:f>IF(M882="","",MAX(O882,P882,Q882,R882))</x:f>
      </x:c>
      <x:c r="T882" s="11" t="str">
        <x:f>IF(M882="","",MIN(100,S882*100*'Config_v6'!$B$44+MIN(100,L882/'Config_v6'!$B$13*100)*'Config_v6'!$B$45+(100-'Motor_Meciuri'!BF68)*'Config_v6'!$B$46+'Motor_Meciuri'!BH68*100*'Config_v6'!$B$47))</x:f>
      </x:c>
      <x:c r="U882" s="2" t="str">
        <x:f>IF(T882="","",IF(T882&lt;=20,1,IF(T882&lt;=40,2,IF(T882&lt;=60,3,IF(T882&lt;=80,4,5)))))</x:f>
      </x:c>
      <x:c r="V882" s="2" t="str">
        <x:f>IF(M882="","",MAX(0,'Motor_Meciuri'!BF68-IF(W882="OOS PENDING",'Config_v6'!$B$35,0)-IF(L882&gt;'Config_v6'!$B$12,'Config_v6'!$B$37,IF(L882&gt;'Config_v6'!$B$11,'Config_v6'!$B$36,0))))</x:f>
      </x:c>
      <x:c r="W882" s="2" t="str">
        <x:f>IF(B882="","",IF(I882&lt;&gt;"READY","NOT RELEASED",IF(NOT(AND(J882="PASS",'Calibrare_Linii'!U14="VALID")),"INVALID",IF(NOT(AND('Calibrare_Linii'!S14="VALIDATED",AND('Calibrare_Linii'!H14=C882,ISNUMBER('Calibrare_Linii'!J14),'Calibrare_Linii'!J14&lt;='Input_Meci'!G68))),"OOS PENDING",IF(S882&lt;='Calibrare_Linii'!E14,"PASS",IF(S882&lt;='Calibrare_Linii'!F14,"PENALTY","WATCH"))))))</x:f>
      </x:c>
      <x:c r="X882" s="2" t="str">
        <x:f>IF(M882="","",IF(AND(AND(J882="PASS",'Calibrare_Linii'!U14="VALID"),'Motor_Meciuri'!K68=12,'Motor_Meciuri'!L68=12,'Motor_Meciuri'!M68="NO",'Motor_Meciuri'!BL68='Motor_Meciuri'!C68,AB882&gt;='Config_v6'!$B$50,AN882&gt;='Config_v6'!$B$51,T882&lt;='Config_v6'!$B$52,L882&lt;='Config_v6'!$B$53,ISNUMBER('Calibrare_Linii'!E14),S882&lt;='Calibrare_Linii'!E14,SUM(AK882:AM882)&gt;0),"CANDIDATE","NO"))</x:f>
      </x:c>
      <x:c r="Y882" s="2" t="str">
        <x:f>IF(B882="","",IF(I882&lt;&gt;"READY","NOT RELEASED",IF(AND(X882="CANDIDATE",V882&gt;='Config_v6'!$B$51,W882="PASS",'Calibrare_Linii'!T14="VALIDATED",AND('Calibrare_Linii'!H14=C882,ISNUMBER('Calibrare_Linii'!J14),'Calibrare_Linii'!J14&lt;='Input_Meci'!G68)),"PASS",IF(X882="CANDIDATE","OOS PENDING","FAIL"))))</x:f>
      </x:c>
      <x:c r="Z882" s="2" t="str">
        <x:f>IF(B882="","",IF(I882&lt;&gt;"READY","",IF(OR(NOT(AND(J882="PASS",'Calibrare_Linii'!U14="VALID")),L882&gt;'Config_v6'!$B$13,W882="WATCH"),5,IF(Y882="PASS",1,MIN(5,MAX('Config_v6'!$B$42,U882)+IF(W882="PENALTY",1,0))))))</x:f>
      </x:c>
      <x:c r="AA882" s="2" t="str">
        <x:f>IF(B882="","",IF(I882&lt;&gt;"READY","NOT RELEASED",IF(Z882=5,"NO BET",IF(OR(AB882&lt;'Config_v6'!$B$16,V882&lt;'Config_v6'!$B$18),"WATCH",IF(Z882=1,"DEFENSIV",IF(Z882=2,"PRUDENT",IF(Z882=3,"MODERAT","RIDICAT")))))))</x:f>
      </x:c>
      <x:c r="AB882" s="10" t="str">
        <x:f>IF(N882="","",MIN(N882,1-S882))</x:f>
      </x:c>
      <x:c r="AC882" s="2" t="str">
        <x:f>IF(AD882&lt;&gt;1,"",COUNTIFS($Z$874:$Z$887,"&lt;"&amp;Z882,$AD$874:$AD$887,1)+COUNTIFS($Z$874:$Z$887,Z882,$AB$874:$AB$887,"&gt;"&amp;AB882,$AD$874:$AD$887,1)+COUNTIFS($Z$874:$Z$887,Z882,$AB$874:$AB$887,AB882,$V$874:$V$887,"&gt;"&amp;V882,$AD$874:$AD$887,1)+COUNTIFS($Z$874:Z882,Z882,$AB$874:AB882,AB882,$V$874:V882,V882,$AD$874:AD882,1))</x:f>
      </x:c>
      <x:c r="AD882" s="2" t="n">
        <x:f>IF(OR(AA882="DEFENSIV",AA882="PRUDENT",AA882="MODERAT",AA882="RIDICAT"),1,0)</x:f>
        <x:v>0</x:v>
      </x:c>
      <x:c r="AE882" s="2" t="str">
        <x:f>IF(AD882&lt;&gt;1,"NO",IF(W882="PASS","YES",IF(W882="OOS PENDING","CONDITIONAL","NO")))</x:f>
        <x:v>NO</x:v>
      </x:c>
      <x:c r="AF882" s="2" t="n">
        <x:f>IF(AND(AD882=1,AC882=1,E882="LIVE"),1,0)</x:f>
        <x:v>0</x:v>
      </x:c>
      <x:c r="AG882" s="2" t="str">
        <x:f>IF(AF882&lt;&gt;1,"",'Dashboard'!P88)</x:f>
      </x:c>
      <x:c r="AH882" s="2" t="str">
        <x:f>IF(B882="","",IF(J882&lt;&gt;"PASS",'Motor_Meciuri'!J68,IF('Calibrare_Linii'!U14&lt;&gt;"VALID","Parametri linie invalizi",IF(L882&gt;'Config_v6'!$B$13,"Dispersie peste limita",IF(W882="WATCH","Failure peste limita",IF(AB882&lt;'Config_v6'!$B$16,"P finala sub prag",IF(V882&lt;'Config_v6'!$B$18,"Confidence sub prag",IF(E882="REPLAY","Exemplu retrospectiv; exclus din Top LIVE",IF(Y882="PASS","DEFENSIV validat",IF(W882="OOS PENDING","Eligibil; calibrare linie in monitorizare","Eligibil"))))))))))</x:f>
      </x:c>
      <x:c r="AI882" s="2" t="str">
        <x:f>IF(B882="","",'Calibrare_Linii'!V14)</x:f>
      </x:c>
      <x:c r="AJ882" s="2" t="str">
        <x:f>IF(B882="","",IF(AND('Calibrare_Linii'!T14="VALIDATED",AND('Calibrare_Linii'!H14=C882,ISNUMBER('Calibrare_Linii'!J14),'Calibrare_Linii'!J14&lt;='Input_Meci'!G68)),"DEFENSIVE VALIDATED",IF(AND('Calibrare_Linii'!S14="VALIDATED",AND('Calibrare_Linii'!H14=C882,ISNUMBER('Calibrare_Linii'!J14),'Calibrare_Linii'!J14&lt;='Input_Meci'!G68)),"TAIL VALIDATED","OOS PENDING")))</x:f>
      </x:c>
      <x:c r="AK882" s="2" t="n">
        <x:f>IF(J882&lt;&gt;"PASS",0,'Motor_Meciuri'!BR68)</x:f>
        <x:v>0</x:v>
      </x:c>
      <x:c r="AL882" s="2" t="n">
        <x:f>IF(J882&lt;&gt;"PASS",0,'Motor_Meciuri'!BS68)</x:f>
        <x:v>0</x:v>
      </x:c>
      <x:c r="AM882" s="2" t="n">
        <x:f>IF(J882&lt;&gt;"PASS",0,'Motor_Meciuri'!BT68)</x:f>
        <x:v>0</x:v>
      </x:c>
      <x:c r="AN882" s="2" t="str">
        <x:f>IF(M882="","",MAX(0,'Motor_Meciuri'!BF68-IF(L882&gt;'Config_v6'!$B$12,'Config_v6'!$B$37,IF(L882&gt;'Config_v6'!$B$11,'Config_v6'!$B$36,0))))</x:f>
      </x:c>
    </x:row>
    <x:row r="883" ht="21" customHeight="1">
      <x:c r="A883" s="2" t="n">
        <x:v>63</x:v>
      </x:c>
      <x:c r="B883" s="2" t="str">
        <x:f>IF('Motor_Meciuri'!A68="","",'Motor_Meciuri'!A68)</x:f>
      </x:c>
      <x:c r="C883" s="2" t="str">
        <x:f>IF(B883="","",'Motor_Meciuri'!B68)</x:f>
      </x:c>
      <x:c r="D883" s="2" t="str">
        <x:f>IF(B883="","",'Motor_Meciuri'!D68)</x:f>
      </x:c>
      <x:c r="E883" s="2" t="str">
        <x:f>IF(B883="","",'Motor_Meciuri'!E68)</x:f>
      </x:c>
      <x:c r="F883" s="2" t="str">
        <x:v>U13,5</x:v>
      </x:c>
      <x:c r="G883" s="2" t="str">
        <x:v>UNDER</x:v>
      </x:c>
      <x:c r="H883" s="2" t="n">
        <x:v>13</x:v>
      </x:c>
      <x:c r="I883" s="2" t="str">
        <x:f>IF(B883="","",'Motor_Meciuri'!H68)</x:f>
      </x:c>
      <x:c r="J883" s="2" t="str">
        <x:f>IF(B883="","",'Motor_Meciuri'!I68)</x:f>
      </x:c>
      <x:c r="K883" s="11" t="str">
        <x:f>IF(J883&lt;&gt;"PASS","",'Motor_Meciuri'!BD68)</x:f>
      </x:c>
      <x:c r="L883" s="11" t="str">
        <x:f>IF(J883&lt;&gt;"PASS","",'Motor_Meciuri'!AU68)</x:f>
      </x:c>
      <x:c r="M883" s="10" t="str">
        <x:f>IF(NOT(AND(J883="PASS",'Calibrare_Linii'!U15="VALID")),"",'Distributie'!AK68)</x:f>
      </x:c>
      <x:c r="N883" s="10" t="str">
        <x:f>IF(M883="","",MAX(0.01,MIN(0.99,0.5+(M883-0.5)*'Motor_Meciuri'!BG68*'Calibrare_Linii'!D15)))</x:f>
      </x:c>
      <x:c r="O883" s="10" t="str">
        <x:f>IF(M883="","",1-M883)</x:f>
      </x:c>
      <x:c r="P883" s="10" t="str">
        <x:f>IF(OR(NOT(AND(J883="PASS",'Calibrare_Linii'!U15="VALID")),AK883=0),""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*('Istoric_Nativ'!$Q$6:$Q$405&gt;H883))/AK883)</x:f>
      </x:c>
      <x:c r="Q883" s="10" t="str">
        <x:f>IF(OR(NOT(AND(J883="PASS",'Calibrare_Linii'!U15="VALID")),AL883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M68)+((('Istoric_Nativ'!$E$6:$E$405='Input_Meci'!E68)+('Istoric_Nativ'!$F$6:$F$405='Input_Meci'!E68))&gt;0)*('Istoric_Nativ'!$D$6:$D$405&gt;='Motor_Meciuri'!BN68))&gt;0)*('Istoric_Nativ'!$Q$6:$Q$405&gt;H883))/AL883)</x:f>
      </x:c>
      <x:c r="R883" s="10" t="str">
        <x:f>IF(OR(NOT(AND(J883="PASS",'Calibrare_Linii'!U15="VALID")),AM883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O68)+((('Istoric_Nativ'!$E$6:$E$405='Input_Meci'!E68)+('Istoric_Nativ'!$F$6:$F$405='Input_Meci'!E68))&gt;0)*('Istoric_Nativ'!$D$6:$D$405&gt;='Motor_Meciuri'!BP68))&gt;0)*('Istoric_Nativ'!$Q$6:$Q$405&gt;H883))/AM883)</x:f>
      </x:c>
      <x:c r="S883" s="10" t="str">
        <x:f>IF(M883="","",MAX(O883,P883,Q883,R883))</x:f>
      </x:c>
      <x:c r="T883" s="11" t="str">
        <x:f>IF(M883="","",MIN(100,S883*100*'Config_v6'!$B$44+MIN(100,L883/'Config_v6'!$B$13*100)*'Config_v6'!$B$45+(100-'Motor_Meciuri'!BF68)*'Config_v6'!$B$46+'Motor_Meciuri'!BH68*100*'Config_v6'!$B$47))</x:f>
      </x:c>
      <x:c r="U883" s="2" t="str">
        <x:f>IF(T883="","",IF(T883&lt;=20,1,IF(T883&lt;=40,2,IF(T883&lt;=60,3,IF(T883&lt;=80,4,5)))))</x:f>
      </x:c>
      <x:c r="V883" s="2" t="str">
        <x:f>IF(M883="","",MAX(0,'Motor_Meciuri'!BF68-IF(W883="OOS PENDING",'Config_v6'!$B$35,0)-IF(L883&gt;'Config_v6'!$B$12,'Config_v6'!$B$37,IF(L883&gt;'Config_v6'!$B$11,'Config_v6'!$B$36,0))))</x:f>
      </x:c>
      <x:c r="W883" s="2" t="str">
        <x:f>IF(B883="","",IF(I883&lt;&gt;"READY","NOT RELEASED",IF(NOT(AND(J883="PASS",'Calibrare_Linii'!U15="VALID")),"INVALID",IF(NOT(AND('Calibrare_Linii'!S15="VALIDATED",AND('Calibrare_Linii'!H15=C883,ISNUMBER('Calibrare_Linii'!J15),'Calibrare_Linii'!J15&lt;='Input_Meci'!G68))),"OOS PENDING",IF(S883&lt;='Calibrare_Linii'!E15,"PASS",IF(S883&lt;='Calibrare_Linii'!F15,"PENALTY","WATCH"))))))</x:f>
      </x:c>
      <x:c r="X883" s="2" t="str">
        <x:f>IF(M883="","",IF(AND(AND(J883="PASS",'Calibrare_Linii'!U15="VALID"),'Motor_Meciuri'!K68=12,'Motor_Meciuri'!L68=12,'Motor_Meciuri'!M68="NO",'Motor_Meciuri'!BL68='Motor_Meciuri'!C68,AB883&gt;='Config_v6'!$B$50,AN883&gt;='Config_v6'!$B$51,T883&lt;='Config_v6'!$B$52,L883&lt;='Config_v6'!$B$53,ISNUMBER('Calibrare_Linii'!E15),S883&lt;='Calibrare_Linii'!E15,SUM(AK883:AM883)&gt;0),"CANDIDATE","NO"))</x:f>
      </x:c>
      <x:c r="Y883" s="2" t="str">
        <x:f>IF(B883="","",IF(I883&lt;&gt;"READY","NOT RELEASED",IF(AND(X883="CANDIDATE",V883&gt;='Config_v6'!$B$51,W883="PASS",'Calibrare_Linii'!T15="VALIDATED",AND('Calibrare_Linii'!H15=C883,ISNUMBER('Calibrare_Linii'!J15),'Calibrare_Linii'!J15&lt;='Input_Meci'!G68)),"PASS",IF(X883="CANDIDATE","OOS PENDING","FAIL"))))</x:f>
      </x:c>
      <x:c r="Z883" s="2" t="str">
        <x:f>IF(B883="","",IF(I883&lt;&gt;"READY","",IF(OR(NOT(AND(J883="PASS",'Calibrare_Linii'!U15="VALID")),L883&gt;'Config_v6'!$B$13,W883="WATCH"),5,IF(Y883="PASS",1,MIN(5,MAX('Config_v6'!$B$42,U883)+IF(W883="PENALTY",1,0))))))</x:f>
      </x:c>
      <x:c r="AA883" s="2" t="str">
        <x:f>IF(B883="","",IF(I883&lt;&gt;"READY","NOT RELEASED",IF(Z883=5,"NO BET",IF(OR(AB883&lt;'Config_v6'!$B$16,V883&lt;'Config_v6'!$B$18),"WATCH",IF(Z883=1,"DEFENSIV",IF(Z883=2,"PRUDENT",IF(Z883=3,"MODERAT","RIDICAT")))))))</x:f>
      </x:c>
      <x:c r="AB883" s="10" t="str">
        <x:f>IF(N883="","",MIN(N883,1-S883))</x:f>
      </x:c>
      <x:c r="AC883" s="2" t="str">
        <x:f>IF(AD883&lt;&gt;1,"",COUNTIFS($Z$874:$Z$887,"&lt;"&amp;Z883,$AD$874:$AD$887,1)+COUNTIFS($Z$874:$Z$887,Z883,$AB$874:$AB$887,"&gt;"&amp;AB883,$AD$874:$AD$887,1)+COUNTIFS($Z$874:$Z$887,Z883,$AB$874:$AB$887,AB883,$V$874:$V$887,"&gt;"&amp;V883,$AD$874:$AD$887,1)+COUNTIFS($Z$874:Z883,Z883,$AB$874:AB883,AB883,$V$874:V883,V883,$AD$874:AD883,1))</x:f>
      </x:c>
      <x:c r="AD883" s="2" t="n">
        <x:f>IF(OR(AA883="DEFENSIV",AA883="PRUDENT",AA883="MODERAT",AA883="RIDICAT"),1,0)</x:f>
        <x:v>0</x:v>
      </x:c>
      <x:c r="AE883" s="2" t="str">
        <x:f>IF(AD883&lt;&gt;1,"NO",IF(W883="PASS","YES",IF(W883="OOS PENDING","CONDITIONAL","NO")))</x:f>
        <x:v>NO</x:v>
      </x:c>
      <x:c r="AF883" s="2" t="n">
        <x:f>IF(AND(AD883=1,AC883=1,E883="LIVE"),1,0)</x:f>
        <x:v>0</x:v>
      </x:c>
      <x:c r="AG883" s="2" t="str">
        <x:f>IF(AF883&lt;&gt;1,"",'Dashboard'!P88)</x:f>
      </x:c>
      <x:c r="AH883" s="2" t="str">
        <x:f>IF(B883="","",IF(J883&lt;&gt;"PASS",'Motor_Meciuri'!J68,IF('Calibrare_Linii'!U15&lt;&gt;"VALID","Parametri linie invalizi",IF(L883&gt;'Config_v6'!$B$13,"Dispersie peste limita",IF(W883="WATCH","Failure peste limita",IF(AB883&lt;'Config_v6'!$B$16,"P finala sub prag",IF(V883&lt;'Config_v6'!$B$18,"Confidence sub prag",IF(E883="REPLAY","Exemplu retrospectiv; exclus din Top LIVE",IF(Y883="PASS","DEFENSIV validat",IF(W883="OOS PENDING","Eligibil; calibrare linie in monitorizare","Eligibil"))))))))))</x:f>
      </x:c>
      <x:c r="AI883" s="2" t="str">
        <x:f>IF(B883="","",'Calibrare_Linii'!V15)</x:f>
      </x:c>
      <x:c r="AJ883" s="2" t="str">
        <x:f>IF(B883="","",IF(AND('Calibrare_Linii'!T15="VALIDATED",AND('Calibrare_Linii'!H15=C883,ISNUMBER('Calibrare_Linii'!J15),'Calibrare_Linii'!J15&lt;='Input_Meci'!G68)),"DEFENSIVE VALIDATED",IF(AND('Calibrare_Linii'!S15="VALIDATED",AND('Calibrare_Linii'!H15=C883,ISNUMBER('Calibrare_Linii'!J15),'Calibrare_Linii'!J15&lt;='Input_Meci'!G68)),"TAIL VALIDATED","OOS PENDING")))</x:f>
      </x:c>
      <x:c r="AK883" s="2" t="n">
        <x:f>IF(J883&lt;&gt;"PASS",0,'Motor_Meciuri'!BR68)</x:f>
        <x:v>0</x:v>
      </x:c>
      <x:c r="AL883" s="2" t="n">
        <x:f>IF(J883&lt;&gt;"PASS",0,'Motor_Meciuri'!BS68)</x:f>
        <x:v>0</x:v>
      </x:c>
      <x:c r="AM883" s="2" t="n">
        <x:f>IF(J883&lt;&gt;"PASS",0,'Motor_Meciuri'!BT68)</x:f>
        <x:v>0</x:v>
      </x:c>
      <x:c r="AN883" s="2" t="str">
        <x:f>IF(M883="","",MAX(0,'Motor_Meciuri'!BF68-IF(L883&gt;'Config_v6'!$B$12,'Config_v6'!$B$37,IF(L883&gt;'Config_v6'!$B$11,'Config_v6'!$B$36,0))))</x:f>
      </x:c>
    </x:row>
    <x:row r="884" ht="21" customHeight="1">
      <x:c r="A884" s="2" t="n">
        <x:v>63</x:v>
      </x:c>
      <x:c r="B884" s="2" t="str">
        <x:f>IF('Motor_Meciuri'!A68="","",'Motor_Meciuri'!A68)</x:f>
      </x:c>
      <x:c r="C884" s="2" t="str">
        <x:f>IF(B884="","",'Motor_Meciuri'!B68)</x:f>
      </x:c>
      <x:c r="D884" s="2" t="str">
        <x:f>IF(B884="","",'Motor_Meciuri'!D68)</x:f>
      </x:c>
      <x:c r="E884" s="2" t="str">
        <x:f>IF(B884="","",'Motor_Meciuri'!E68)</x:f>
      </x:c>
      <x:c r="F884" s="2" t="str">
        <x:v>U14,5</x:v>
      </x:c>
      <x:c r="G884" s="2" t="str">
        <x:v>UNDER</x:v>
      </x:c>
      <x:c r="H884" s="2" t="n">
        <x:v>14</x:v>
      </x:c>
      <x:c r="I884" s="2" t="str">
        <x:f>IF(B884="","",'Motor_Meciuri'!H68)</x:f>
      </x:c>
      <x:c r="J884" s="2" t="str">
        <x:f>IF(B884="","",'Motor_Meciuri'!I68)</x:f>
      </x:c>
      <x:c r="K884" s="11" t="str">
        <x:f>IF(J884&lt;&gt;"PASS","",'Motor_Meciuri'!BD68)</x:f>
      </x:c>
      <x:c r="L884" s="11" t="str">
        <x:f>IF(J884&lt;&gt;"PASS","",'Motor_Meciuri'!AU68)</x:f>
      </x:c>
      <x:c r="M884" s="10" t="str">
        <x:f>IF(NOT(AND(J884="PASS",'Calibrare_Linii'!U16="VALID")),"",'Distributie'!AL68)</x:f>
      </x:c>
      <x:c r="N884" s="10" t="str">
        <x:f>IF(M884="","",MAX(0.01,MIN(0.99,0.5+(M884-0.5)*'Motor_Meciuri'!BG68*'Calibrare_Linii'!D16)))</x:f>
      </x:c>
      <x:c r="O884" s="10" t="str">
        <x:f>IF(M884="","",1-M884)</x:f>
      </x:c>
      <x:c r="P884" s="10" t="str">
        <x:f>IF(OR(NOT(AND(J884="PASS",'Calibrare_Linii'!U16="VALID")),AK884=0),""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*('Istoric_Nativ'!$Q$6:$Q$405&gt;H884))/AK884)</x:f>
      </x:c>
      <x:c r="Q884" s="10" t="str">
        <x:f>IF(OR(NOT(AND(J884="PASS",'Calibrare_Linii'!U16="VALID")),AL884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M68)+((('Istoric_Nativ'!$E$6:$E$405='Input_Meci'!E68)+('Istoric_Nativ'!$F$6:$F$405='Input_Meci'!E68))&gt;0)*('Istoric_Nativ'!$D$6:$D$405&gt;='Motor_Meciuri'!BN68))&gt;0)*('Istoric_Nativ'!$Q$6:$Q$405&gt;H884))/AL884)</x:f>
      </x:c>
      <x:c r="R884" s="10" t="str">
        <x:f>IF(OR(NOT(AND(J884="PASS",'Calibrare_Linii'!U16="VALID")),AM884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O68)+((('Istoric_Nativ'!$E$6:$E$405='Input_Meci'!E68)+('Istoric_Nativ'!$F$6:$F$405='Input_Meci'!E68))&gt;0)*('Istoric_Nativ'!$D$6:$D$405&gt;='Motor_Meciuri'!BP68))&gt;0)*('Istoric_Nativ'!$Q$6:$Q$405&gt;H884))/AM884)</x:f>
      </x:c>
      <x:c r="S884" s="10" t="str">
        <x:f>IF(M884="","",MAX(O884,P884,Q884,R884))</x:f>
      </x:c>
      <x:c r="T884" s="11" t="str">
        <x:f>IF(M884="","",MIN(100,S884*100*'Config_v6'!$B$44+MIN(100,L884/'Config_v6'!$B$13*100)*'Config_v6'!$B$45+(100-'Motor_Meciuri'!BF68)*'Config_v6'!$B$46+'Motor_Meciuri'!BH68*100*'Config_v6'!$B$47))</x:f>
      </x:c>
      <x:c r="U884" s="2" t="str">
        <x:f>IF(T884="","",IF(T884&lt;=20,1,IF(T884&lt;=40,2,IF(T884&lt;=60,3,IF(T884&lt;=80,4,5)))))</x:f>
      </x:c>
      <x:c r="V884" s="2" t="str">
        <x:f>IF(M884="","",MAX(0,'Motor_Meciuri'!BF68-IF(W884="OOS PENDING",'Config_v6'!$B$35,0)-IF(L884&gt;'Config_v6'!$B$12,'Config_v6'!$B$37,IF(L884&gt;'Config_v6'!$B$11,'Config_v6'!$B$36,0))))</x:f>
      </x:c>
      <x:c r="W884" s="2" t="str">
        <x:f>IF(B884="","",IF(I884&lt;&gt;"READY","NOT RELEASED",IF(NOT(AND(J884="PASS",'Calibrare_Linii'!U16="VALID")),"INVALID",IF(NOT(AND('Calibrare_Linii'!S16="VALIDATED",AND('Calibrare_Linii'!H16=C884,ISNUMBER('Calibrare_Linii'!J16),'Calibrare_Linii'!J16&lt;='Input_Meci'!G68))),"OOS PENDING",IF(S884&lt;='Calibrare_Linii'!E16,"PASS",IF(S884&lt;='Calibrare_Linii'!F16,"PENALTY","WATCH"))))))</x:f>
      </x:c>
      <x:c r="X884" s="2" t="str">
        <x:f>IF(M884="","",IF(AND(AND(J884="PASS",'Calibrare_Linii'!U16="VALID"),'Motor_Meciuri'!K68=12,'Motor_Meciuri'!L68=12,'Motor_Meciuri'!M68="NO",'Motor_Meciuri'!BL68='Motor_Meciuri'!C68,AB884&gt;='Config_v6'!$B$50,AN884&gt;='Config_v6'!$B$51,T884&lt;='Config_v6'!$B$52,L884&lt;='Config_v6'!$B$53,ISNUMBER('Calibrare_Linii'!E16),S884&lt;='Calibrare_Linii'!E16,SUM(AK884:AM884)&gt;0),"CANDIDATE","NO"))</x:f>
      </x:c>
      <x:c r="Y884" s="2" t="str">
        <x:f>IF(B884="","",IF(I884&lt;&gt;"READY","NOT RELEASED",IF(AND(X884="CANDIDATE",V884&gt;='Config_v6'!$B$51,W884="PASS",'Calibrare_Linii'!T16="VALIDATED",AND('Calibrare_Linii'!H16=C884,ISNUMBER('Calibrare_Linii'!J16),'Calibrare_Linii'!J16&lt;='Input_Meci'!G68)),"PASS",IF(X884="CANDIDATE","OOS PENDING","FAIL"))))</x:f>
      </x:c>
      <x:c r="Z884" s="2" t="str">
        <x:f>IF(B884="","",IF(I884&lt;&gt;"READY","",IF(OR(NOT(AND(J884="PASS",'Calibrare_Linii'!U16="VALID")),L884&gt;'Config_v6'!$B$13,W884="WATCH"),5,IF(Y884="PASS",1,MIN(5,MAX('Config_v6'!$B$42,U884)+IF(W884="PENALTY",1,0))))))</x:f>
      </x:c>
      <x:c r="AA884" s="2" t="str">
        <x:f>IF(B884="","",IF(I884&lt;&gt;"READY","NOT RELEASED",IF(Z884=5,"NO BET",IF(OR(AB884&lt;'Config_v6'!$B$16,V884&lt;'Config_v6'!$B$18),"WATCH",IF(Z884=1,"DEFENSIV",IF(Z884=2,"PRUDENT",IF(Z884=3,"MODERAT","RIDICAT")))))))</x:f>
      </x:c>
      <x:c r="AB884" s="10" t="str">
        <x:f>IF(N884="","",MIN(N884,1-S884))</x:f>
      </x:c>
      <x:c r="AC884" s="2" t="str">
        <x:f>IF(AD884&lt;&gt;1,"",COUNTIFS($Z$874:$Z$887,"&lt;"&amp;Z884,$AD$874:$AD$887,1)+COUNTIFS($Z$874:$Z$887,Z884,$AB$874:$AB$887,"&gt;"&amp;AB884,$AD$874:$AD$887,1)+COUNTIFS($Z$874:$Z$887,Z884,$AB$874:$AB$887,AB884,$V$874:$V$887,"&gt;"&amp;V884,$AD$874:$AD$887,1)+COUNTIFS($Z$874:Z884,Z884,$AB$874:AB884,AB884,$V$874:V884,V884,$AD$874:AD884,1))</x:f>
      </x:c>
      <x:c r="AD884" s="2" t="n">
        <x:f>IF(OR(AA884="DEFENSIV",AA884="PRUDENT",AA884="MODERAT",AA884="RIDICAT"),1,0)</x:f>
        <x:v>0</x:v>
      </x:c>
      <x:c r="AE884" s="2" t="str">
        <x:f>IF(AD884&lt;&gt;1,"NO",IF(W884="PASS","YES",IF(W884="OOS PENDING","CONDITIONAL","NO")))</x:f>
        <x:v>NO</x:v>
      </x:c>
      <x:c r="AF884" s="2" t="n">
        <x:f>IF(AND(AD884=1,AC884=1,E884="LIVE"),1,0)</x:f>
        <x:v>0</x:v>
      </x:c>
      <x:c r="AG884" s="2" t="str">
        <x:f>IF(AF884&lt;&gt;1,"",'Dashboard'!P88)</x:f>
      </x:c>
      <x:c r="AH884" s="2" t="str">
        <x:f>IF(B884="","",IF(J884&lt;&gt;"PASS",'Motor_Meciuri'!J68,IF('Calibrare_Linii'!U16&lt;&gt;"VALID","Parametri linie invalizi",IF(L884&gt;'Config_v6'!$B$13,"Dispersie peste limita",IF(W884="WATCH","Failure peste limita",IF(AB884&lt;'Config_v6'!$B$16,"P finala sub prag",IF(V884&lt;'Config_v6'!$B$18,"Confidence sub prag",IF(E884="REPLAY","Exemplu retrospectiv; exclus din Top LIVE",IF(Y884="PASS","DEFENSIV validat",IF(W884="OOS PENDING","Eligibil; calibrare linie in monitorizare","Eligibil"))))))))))</x:f>
      </x:c>
      <x:c r="AI884" s="2" t="str">
        <x:f>IF(B884="","",'Calibrare_Linii'!V16)</x:f>
      </x:c>
      <x:c r="AJ884" s="2" t="str">
        <x:f>IF(B884="","",IF(AND('Calibrare_Linii'!T16="VALIDATED",AND('Calibrare_Linii'!H16=C884,ISNUMBER('Calibrare_Linii'!J16),'Calibrare_Linii'!J16&lt;='Input_Meci'!G68)),"DEFENSIVE VALIDATED",IF(AND('Calibrare_Linii'!S16="VALIDATED",AND('Calibrare_Linii'!H16=C884,ISNUMBER('Calibrare_Linii'!J16),'Calibrare_Linii'!J16&lt;='Input_Meci'!G68)),"TAIL VALIDATED","OOS PENDING")))</x:f>
      </x:c>
      <x:c r="AK884" s="2" t="n">
        <x:f>IF(J884&lt;&gt;"PASS",0,'Motor_Meciuri'!BR68)</x:f>
        <x:v>0</x:v>
      </x:c>
      <x:c r="AL884" s="2" t="n">
        <x:f>IF(J884&lt;&gt;"PASS",0,'Motor_Meciuri'!BS68)</x:f>
        <x:v>0</x:v>
      </x:c>
      <x:c r="AM884" s="2" t="n">
        <x:f>IF(J884&lt;&gt;"PASS",0,'Motor_Meciuri'!BT68)</x:f>
        <x:v>0</x:v>
      </x:c>
      <x:c r="AN884" s="2" t="str">
        <x:f>IF(M884="","",MAX(0,'Motor_Meciuri'!BF68-IF(L884&gt;'Config_v6'!$B$12,'Config_v6'!$B$37,IF(L884&gt;'Config_v6'!$B$11,'Config_v6'!$B$36,0))))</x:f>
      </x:c>
    </x:row>
    <x:row r="885" ht="21" customHeight="1">
      <x:c r="A885" s="2" t="n">
        <x:v>63</x:v>
      </x:c>
      <x:c r="B885" s="2" t="str">
        <x:f>IF('Motor_Meciuri'!A68="","",'Motor_Meciuri'!A68)</x:f>
      </x:c>
      <x:c r="C885" s="2" t="str">
        <x:f>IF(B885="","",'Motor_Meciuri'!B68)</x:f>
      </x:c>
      <x:c r="D885" s="2" t="str">
        <x:f>IF(B885="","",'Motor_Meciuri'!D68)</x:f>
      </x:c>
      <x:c r="E885" s="2" t="str">
        <x:f>IF(B885="","",'Motor_Meciuri'!E68)</x:f>
      </x:c>
      <x:c r="F885" s="2" t="str">
        <x:v>U15,5</x:v>
      </x:c>
      <x:c r="G885" s="2" t="str">
        <x:v>UNDER</x:v>
      </x:c>
      <x:c r="H885" s="2" t="n">
        <x:v>15</x:v>
      </x:c>
      <x:c r="I885" s="2" t="str">
        <x:f>IF(B885="","",'Motor_Meciuri'!H68)</x:f>
      </x:c>
      <x:c r="J885" s="2" t="str">
        <x:f>IF(B885="","",'Motor_Meciuri'!I68)</x:f>
      </x:c>
      <x:c r="K885" s="11" t="str">
        <x:f>IF(J885&lt;&gt;"PASS","",'Motor_Meciuri'!BD68)</x:f>
      </x:c>
      <x:c r="L885" s="11" t="str">
        <x:f>IF(J885&lt;&gt;"PASS","",'Motor_Meciuri'!AU68)</x:f>
      </x:c>
      <x:c r="M885" s="10" t="str">
        <x:f>IF(NOT(AND(J885="PASS",'Calibrare_Linii'!U17="VALID")),"",'Distributie'!AM68)</x:f>
      </x:c>
      <x:c r="N885" s="10" t="str">
        <x:f>IF(M885="","",MAX(0.01,MIN(0.99,0.5+(M885-0.5)*'Motor_Meciuri'!BG68*'Calibrare_Linii'!D17)))</x:f>
      </x:c>
      <x:c r="O885" s="10" t="str">
        <x:f>IF(M885="","",1-M885)</x:f>
      </x:c>
      <x:c r="P885" s="10" t="str">
        <x:f>IF(OR(NOT(AND(J885="PASS",'Calibrare_Linii'!U17="VALID")),AK885=0),""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*('Istoric_Nativ'!$Q$6:$Q$405&gt;H885))/AK885)</x:f>
      </x:c>
      <x:c r="Q885" s="10" t="str">
        <x:f>IF(OR(NOT(AND(J885="PASS",'Calibrare_Linii'!U17="VALID")),AL885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M68)+((('Istoric_Nativ'!$E$6:$E$405='Input_Meci'!E68)+('Istoric_Nativ'!$F$6:$F$405='Input_Meci'!E68))&gt;0)*('Istoric_Nativ'!$D$6:$D$405&gt;='Motor_Meciuri'!BN68))&gt;0)*('Istoric_Nativ'!$Q$6:$Q$405&gt;H885))/AL885)</x:f>
      </x:c>
      <x:c r="R885" s="10" t="str">
        <x:f>IF(OR(NOT(AND(J885="PASS",'Calibrare_Linii'!U17="VALID")),AM885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O68)+((('Istoric_Nativ'!$E$6:$E$405='Input_Meci'!E68)+('Istoric_Nativ'!$F$6:$F$405='Input_Meci'!E68))&gt;0)*('Istoric_Nativ'!$D$6:$D$405&gt;='Motor_Meciuri'!BP68))&gt;0)*('Istoric_Nativ'!$Q$6:$Q$405&gt;H885))/AM885)</x:f>
      </x:c>
      <x:c r="S885" s="10" t="str">
        <x:f>IF(M885="","",MAX(O885,P885,Q885,R885))</x:f>
      </x:c>
      <x:c r="T885" s="11" t="str">
        <x:f>IF(M885="","",MIN(100,S885*100*'Config_v6'!$B$44+MIN(100,L885/'Config_v6'!$B$13*100)*'Config_v6'!$B$45+(100-'Motor_Meciuri'!BF68)*'Config_v6'!$B$46+'Motor_Meciuri'!BH68*100*'Config_v6'!$B$47))</x:f>
      </x:c>
      <x:c r="U885" s="2" t="str">
        <x:f>IF(T885="","",IF(T885&lt;=20,1,IF(T885&lt;=40,2,IF(T885&lt;=60,3,IF(T885&lt;=80,4,5)))))</x:f>
      </x:c>
      <x:c r="V885" s="2" t="str">
        <x:f>IF(M885="","",MAX(0,'Motor_Meciuri'!BF68-IF(W885="OOS PENDING",'Config_v6'!$B$35,0)-IF(L885&gt;'Config_v6'!$B$12,'Config_v6'!$B$37,IF(L885&gt;'Config_v6'!$B$11,'Config_v6'!$B$36,0))))</x:f>
      </x:c>
      <x:c r="W885" s="2" t="str">
        <x:f>IF(B885="","",IF(I885&lt;&gt;"READY","NOT RELEASED",IF(NOT(AND(J885="PASS",'Calibrare_Linii'!U17="VALID")),"INVALID",IF(NOT(AND('Calibrare_Linii'!S17="VALIDATED",AND('Calibrare_Linii'!H17=C885,ISNUMBER('Calibrare_Linii'!J17),'Calibrare_Linii'!J17&lt;='Input_Meci'!G68))),"OOS PENDING",IF(S885&lt;='Calibrare_Linii'!E17,"PASS",IF(S885&lt;='Calibrare_Linii'!F17,"PENALTY","WATCH"))))))</x:f>
      </x:c>
      <x:c r="X885" s="2" t="str">
        <x:f>IF(M885="","",IF(AND(AND(J885="PASS",'Calibrare_Linii'!U17="VALID"),'Motor_Meciuri'!K68=12,'Motor_Meciuri'!L68=12,'Motor_Meciuri'!M68="NO",'Motor_Meciuri'!BL68='Motor_Meciuri'!C68,AB885&gt;='Config_v6'!$B$50,AN885&gt;='Config_v6'!$B$51,T885&lt;='Config_v6'!$B$52,L885&lt;='Config_v6'!$B$53,ISNUMBER('Calibrare_Linii'!E17),S885&lt;='Calibrare_Linii'!E17,SUM(AK885:AM885)&gt;0),"CANDIDATE","NO"))</x:f>
      </x:c>
      <x:c r="Y885" s="2" t="str">
        <x:f>IF(B885="","",IF(I885&lt;&gt;"READY","NOT RELEASED",IF(AND(X885="CANDIDATE",V885&gt;='Config_v6'!$B$51,W885="PASS",'Calibrare_Linii'!T17="VALIDATED",AND('Calibrare_Linii'!H17=C885,ISNUMBER('Calibrare_Linii'!J17),'Calibrare_Linii'!J17&lt;='Input_Meci'!G68)),"PASS",IF(X885="CANDIDATE","OOS PENDING","FAIL"))))</x:f>
      </x:c>
      <x:c r="Z885" s="2" t="str">
        <x:f>IF(B885="","",IF(I885&lt;&gt;"READY","",IF(OR(NOT(AND(J885="PASS",'Calibrare_Linii'!U17="VALID")),L885&gt;'Config_v6'!$B$13,W885="WATCH"),5,IF(Y885="PASS",1,MIN(5,MAX('Config_v6'!$B$42,U885)+IF(W885="PENALTY",1,0))))))</x:f>
      </x:c>
      <x:c r="AA885" s="2" t="str">
        <x:f>IF(B885="","",IF(I885&lt;&gt;"READY","NOT RELEASED",IF(Z885=5,"NO BET",IF(OR(AB885&lt;'Config_v6'!$B$16,V885&lt;'Config_v6'!$B$18),"WATCH",IF(Z885=1,"DEFENSIV",IF(Z885=2,"PRUDENT",IF(Z885=3,"MODERAT","RIDICAT")))))))</x:f>
      </x:c>
      <x:c r="AB885" s="10" t="str">
        <x:f>IF(N885="","",MIN(N885,1-S885))</x:f>
      </x:c>
      <x:c r="AC885" s="2" t="str">
        <x:f>IF(AD885&lt;&gt;1,"",COUNTIFS($Z$874:$Z$887,"&lt;"&amp;Z885,$AD$874:$AD$887,1)+COUNTIFS($Z$874:$Z$887,Z885,$AB$874:$AB$887,"&gt;"&amp;AB885,$AD$874:$AD$887,1)+COUNTIFS($Z$874:$Z$887,Z885,$AB$874:$AB$887,AB885,$V$874:$V$887,"&gt;"&amp;V885,$AD$874:$AD$887,1)+COUNTIFS($Z$874:Z885,Z885,$AB$874:AB885,AB885,$V$874:V885,V885,$AD$874:AD885,1))</x:f>
      </x:c>
      <x:c r="AD885" s="2" t="n">
        <x:f>IF(OR(AA885="DEFENSIV",AA885="PRUDENT",AA885="MODERAT",AA885="RIDICAT"),1,0)</x:f>
        <x:v>0</x:v>
      </x:c>
      <x:c r="AE885" s="2" t="str">
        <x:f>IF(AD885&lt;&gt;1,"NO",IF(W885="PASS","YES",IF(W885="OOS PENDING","CONDITIONAL","NO")))</x:f>
        <x:v>NO</x:v>
      </x:c>
      <x:c r="AF885" s="2" t="n">
        <x:f>IF(AND(AD885=1,AC885=1,E885="LIVE"),1,0)</x:f>
        <x:v>0</x:v>
      </x:c>
      <x:c r="AG885" s="2" t="str">
        <x:f>IF(AF885&lt;&gt;1,"",'Dashboard'!P88)</x:f>
      </x:c>
      <x:c r="AH885" s="2" t="str">
        <x:f>IF(B885="","",IF(J885&lt;&gt;"PASS",'Motor_Meciuri'!J68,IF('Calibrare_Linii'!U17&lt;&gt;"VALID","Parametri linie invalizi",IF(L885&gt;'Config_v6'!$B$13,"Dispersie peste limita",IF(W885="WATCH","Failure peste limita",IF(AB885&lt;'Config_v6'!$B$16,"P finala sub prag",IF(V885&lt;'Config_v6'!$B$18,"Confidence sub prag",IF(E885="REPLAY","Exemplu retrospectiv; exclus din Top LIVE",IF(Y885="PASS","DEFENSIV validat",IF(W885="OOS PENDING","Eligibil; calibrare linie in monitorizare","Eligibil"))))))))))</x:f>
      </x:c>
      <x:c r="AI885" s="2" t="str">
        <x:f>IF(B885="","",'Calibrare_Linii'!V17)</x:f>
      </x:c>
      <x:c r="AJ885" s="2" t="str">
        <x:f>IF(B885="","",IF(AND('Calibrare_Linii'!T17="VALIDATED",AND('Calibrare_Linii'!H17=C885,ISNUMBER('Calibrare_Linii'!J17),'Calibrare_Linii'!J17&lt;='Input_Meci'!G68)),"DEFENSIVE VALIDATED",IF(AND('Calibrare_Linii'!S17="VALIDATED",AND('Calibrare_Linii'!H17=C885,ISNUMBER('Calibrare_Linii'!J17),'Calibrare_Linii'!J17&lt;='Input_Meci'!G68)),"TAIL VALIDATED","OOS PENDING")))</x:f>
      </x:c>
      <x:c r="AK885" s="2" t="n">
        <x:f>IF(J885&lt;&gt;"PASS",0,'Motor_Meciuri'!BR68)</x:f>
        <x:v>0</x:v>
      </x:c>
      <x:c r="AL885" s="2" t="n">
        <x:f>IF(J885&lt;&gt;"PASS",0,'Motor_Meciuri'!BS68)</x:f>
        <x:v>0</x:v>
      </x:c>
      <x:c r="AM885" s="2" t="n">
        <x:f>IF(J885&lt;&gt;"PASS",0,'Motor_Meciuri'!BT68)</x:f>
        <x:v>0</x:v>
      </x:c>
      <x:c r="AN885" s="2" t="str">
        <x:f>IF(M885="","",MAX(0,'Motor_Meciuri'!BF68-IF(L885&gt;'Config_v6'!$B$12,'Config_v6'!$B$37,IF(L885&gt;'Config_v6'!$B$11,'Config_v6'!$B$36,0))))</x:f>
      </x:c>
    </x:row>
    <x:row r="886" ht="21" customHeight="1">
      <x:c r="A886" s="2" t="n">
        <x:v>63</x:v>
      </x:c>
      <x:c r="B886" s="2" t="str">
        <x:f>IF('Motor_Meciuri'!A68="","",'Motor_Meciuri'!A68)</x:f>
      </x:c>
      <x:c r="C886" s="2" t="str">
        <x:f>IF(B886="","",'Motor_Meciuri'!B68)</x:f>
      </x:c>
      <x:c r="D886" s="2" t="str">
        <x:f>IF(B886="","",'Motor_Meciuri'!D68)</x:f>
      </x:c>
      <x:c r="E886" s="2" t="str">
        <x:f>IF(B886="","",'Motor_Meciuri'!E68)</x:f>
      </x:c>
      <x:c r="F886" s="2" t="str">
        <x:v>U16,5</x:v>
      </x:c>
      <x:c r="G886" s="2" t="str">
        <x:v>UNDER</x:v>
      </x:c>
      <x:c r="H886" s="2" t="n">
        <x:v>16</x:v>
      </x:c>
      <x:c r="I886" s="2" t="str">
        <x:f>IF(B886="","",'Motor_Meciuri'!H68)</x:f>
      </x:c>
      <x:c r="J886" s="2" t="str">
        <x:f>IF(B886="","",'Motor_Meciuri'!I68)</x:f>
      </x:c>
      <x:c r="K886" s="11" t="str">
        <x:f>IF(J886&lt;&gt;"PASS","",'Motor_Meciuri'!BD68)</x:f>
      </x:c>
      <x:c r="L886" s="11" t="str">
        <x:f>IF(J886&lt;&gt;"PASS","",'Motor_Meciuri'!AU68)</x:f>
      </x:c>
      <x:c r="M886" s="10" t="str">
        <x:f>IF(NOT(AND(J886="PASS",'Calibrare_Linii'!U18="VALID")),"",'Distributie'!AN68)</x:f>
      </x:c>
      <x:c r="N886" s="10" t="str">
        <x:f>IF(M886="","",MAX(0.01,MIN(0.99,0.5+(M886-0.5)*'Motor_Meciuri'!BG68*'Calibrare_Linii'!D18)))</x:f>
      </x:c>
      <x:c r="O886" s="10" t="str">
        <x:f>IF(M886="","",1-M886)</x:f>
      </x:c>
      <x:c r="P886" s="10" t="str">
        <x:f>IF(OR(NOT(AND(J886="PASS",'Calibrare_Linii'!U18="VALID")),AK886=0),""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*('Istoric_Nativ'!$Q$6:$Q$405&gt;H886))/AK886)</x:f>
      </x:c>
      <x:c r="Q886" s="10" t="str">
        <x:f>IF(OR(NOT(AND(J886="PASS",'Calibrare_Linii'!U18="VALID")),AL886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M68)+((('Istoric_Nativ'!$E$6:$E$405='Input_Meci'!E68)+('Istoric_Nativ'!$F$6:$F$405='Input_Meci'!E68))&gt;0)*('Istoric_Nativ'!$D$6:$D$405&gt;='Motor_Meciuri'!BN68))&gt;0)*('Istoric_Nativ'!$Q$6:$Q$405&gt;H886))/AL886)</x:f>
      </x:c>
      <x:c r="R886" s="10" t="str">
        <x:f>IF(OR(NOT(AND(J886="PASS",'Calibrare_Linii'!U18="VALID")),AM886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O68)+((('Istoric_Nativ'!$E$6:$E$405='Input_Meci'!E68)+('Istoric_Nativ'!$F$6:$F$405='Input_Meci'!E68))&gt;0)*('Istoric_Nativ'!$D$6:$D$405&gt;='Motor_Meciuri'!BP68))&gt;0)*('Istoric_Nativ'!$Q$6:$Q$405&gt;H886))/AM886)</x:f>
      </x:c>
      <x:c r="S886" s="10" t="str">
        <x:f>IF(M886="","",MAX(O886,P886,Q886,R886))</x:f>
      </x:c>
      <x:c r="T886" s="11" t="str">
        <x:f>IF(M886="","",MIN(100,S886*100*'Config_v6'!$B$44+MIN(100,L886/'Config_v6'!$B$13*100)*'Config_v6'!$B$45+(100-'Motor_Meciuri'!BF68)*'Config_v6'!$B$46+'Motor_Meciuri'!BH68*100*'Config_v6'!$B$47))</x:f>
      </x:c>
      <x:c r="U886" s="2" t="str">
        <x:f>IF(T886="","",IF(T886&lt;=20,1,IF(T886&lt;=40,2,IF(T886&lt;=60,3,IF(T886&lt;=80,4,5)))))</x:f>
      </x:c>
      <x:c r="V886" s="2" t="str">
        <x:f>IF(M886="","",MAX(0,'Motor_Meciuri'!BF68-IF(W886="OOS PENDING",'Config_v6'!$B$35,0)-IF(L886&gt;'Config_v6'!$B$12,'Config_v6'!$B$37,IF(L886&gt;'Config_v6'!$B$11,'Config_v6'!$B$36,0))))</x:f>
      </x:c>
      <x:c r="W886" s="2" t="str">
        <x:f>IF(B886="","",IF(I886&lt;&gt;"READY","NOT RELEASED",IF(NOT(AND(J886="PASS",'Calibrare_Linii'!U18="VALID")),"INVALID",IF(NOT(AND('Calibrare_Linii'!S18="VALIDATED",AND('Calibrare_Linii'!H18=C886,ISNUMBER('Calibrare_Linii'!J18),'Calibrare_Linii'!J18&lt;='Input_Meci'!G68))),"OOS PENDING",IF(S886&lt;='Calibrare_Linii'!E18,"PASS",IF(S886&lt;='Calibrare_Linii'!F18,"PENALTY","WATCH"))))))</x:f>
      </x:c>
      <x:c r="X886" s="2" t="str">
        <x:f>IF(M886="","",IF(AND(AND(J886="PASS",'Calibrare_Linii'!U18="VALID"),'Motor_Meciuri'!K68=12,'Motor_Meciuri'!L68=12,'Motor_Meciuri'!M68="NO",'Motor_Meciuri'!BL68='Motor_Meciuri'!C68,AB886&gt;='Config_v6'!$B$50,AN886&gt;='Config_v6'!$B$51,T886&lt;='Config_v6'!$B$52,L886&lt;='Config_v6'!$B$53,ISNUMBER('Calibrare_Linii'!E18),S886&lt;='Calibrare_Linii'!E18,SUM(AK886:AM886)&gt;0),"CANDIDATE","NO"))</x:f>
      </x:c>
      <x:c r="Y886" s="2" t="str">
        <x:f>IF(B886="","",IF(I886&lt;&gt;"READY","NOT RELEASED",IF(AND(X886="CANDIDATE",V886&gt;='Config_v6'!$B$51,W886="PASS",'Calibrare_Linii'!T18="VALIDATED",AND('Calibrare_Linii'!H18=C886,ISNUMBER('Calibrare_Linii'!J18),'Calibrare_Linii'!J18&lt;='Input_Meci'!G68)),"PASS",IF(X886="CANDIDATE","OOS PENDING","FAIL"))))</x:f>
      </x:c>
      <x:c r="Z886" s="2" t="str">
        <x:f>IF(B886="","",IF(I886&lt;&gt;"READY","",IF(OR(NOT(AND(J886="PASS",'Calibrare_Linii'!U18="VALID")),L886&gt;'Config_v6'!$B$13,W886="WATCH"),5,IF(Y886="PASS",1,MIN(5,MAX('Config_v6'!$B$42,U886)+IF(W886="PENALTY",1,0))))))</x:f>
      </x:c>
      <x:c r="AA886" s="2" t="str">
        <x:f>IF(B886="","",IF(I886&lt;&gt;"READY","NOT RELEASED",IF(Z886=5,"NO BET",IF(OR(AB886&lt;'Config_v6'!$B$16,V886&lt;'Config_v6'!$B$18),"WATCH",IF(Z886=1,"DEFENSIV",IF(Z886=2,"PRUDENT",IF(Z886=3,"MODERAT","RIDICAT")))))))</x:f>
      </x:c>
      <x:c r="AB886" s="10" t="str">
        <x:f>IF(N886="","",MIN(N886,1-S886))</x:f>
      </x:c>
      <x:c r="AC886" s="2" t="str">
        <x:f>IF(AD886&lt;&gt;1,"",COUNTIFS($Z$874:$Z$887,"&lt;"&amp;Z886,$AD$874:$AD$887,1)+COUNTIFS($Z$874:$Z$887,Z886,$AB$874:$AB$887,"&gt;"&amp;AB886,$AD$874:$AD$887,1)+COUNTIFS($Z$874:$Z$887,Z886,$AB$874:$AB$887,AB886,$V$874:$V$887,"&gt;"&amp;V886,$AD$874:$AD$887,1)+COUNTIFS($Z$874:Z886,Z886,$AB$874:AB886,AB886,$V$874:V886,V886,$AD$874:AD886,1))</x:f>
      </x:c>
      <x:c r="AD886" s="2" t="n">
        <x:f>IF(OR(AA886="DEFENSIV",AA886="PRUDENT",AA886="MODERAT",AA886="RIDICAT"),1,0)</x:f>
        <x:v>0</x:v>
      </x:c>
      <x:c r="AE886" s="2" t="str">
        <x:f>IF(AD886&lt;&gt;1,"NO",IF(W886="PASS","YES",IF(W886="OOS PENDING","CONDITIONAL","NO")))</x:f>
        <x:v>NO</x:v>
      </x:c>
      <x:c r="AF886" s="2" t="n">
        <x:f>IF(AND(AD886=1,AC886=1,E886="LIVE"),1,0)</x:f>
        <x:v>0</x:v>
      </x:c>
      <x:c r="AG886" s="2" t="str">
        <x:f>IF(AF886&lt;&gt;1,"",'Dashboard'!P88)</x:f>
      </x:c>
      <x:c r="AH886" s="2" t="str">
        <x:f>IF(B886="","",IF(J886&lt;&gt;"PASS",'Motor_Meciuri'!J68,IF('Calibrare_Linii'!U18&lt;&gt;"VALID","Parametri linie invalizi",IF(L886&gt;'Config_v6'!$B$13,"Dispersie peste limita",IF(W886="WATCH","Failure peste limita",IF(AB886&lt;'Config_v6'!$B$16,"P finala sub prag",IF(V886&lt;'Config_v6'!$B$18,"Confidence sub prag",IF(E886="REPLAY","Exemplu retrospectiv; exclus din Top LIVE",IF(Y886="PASS","DEFENSIV validat",IF(W886="OOS PENDING","Eligibil; calibrare linie in monitorizare","Eligibil"))))))))))</x:f>
      </x:c>
      <x:c r="AI886" s="2" t="str">
        <x:f>IF(B886="","",'Calibrare_Linii'!V18)</x:f>
      </x:c>
      <x:c r="AJ886" s="2" t="str">
        <x:f>IF(B886="","",IF(AND('Calibrare_Linii'!T18="VALIDATED",AND('Calibrare_Linii'!H18=C886,ISNUMBER('Calibrare_Linii'!J18),'Calibrare_Linii'!J18&lt;='Input_Meci'!G68)),"DEFENSIVE VALIDATED",IF(AND('Calibrare_Linii'!S18="VALIDATED",AND('Calibrare_Linii'!H18=C886,ISNUMBER('Calibrare_Linii'!J18),'Calibrare_Linii'!J18&lt;='Input_Meci'!G68)),"TAIL VALIDATED","OOS PENDING")))</x:f>
      </x:c>
      <x:c r="AK886" s="2" t="n">
        <x:f>IF(J886&lt;&gt;"PASS",0,'Motor_Meciuri'!BR68)</x:f>
        <x:v>0</x:v>
      </x:c>
      <x:c r="AL886" s="2" t="n">
        <x:f>IF(J886&lt;&gt;"PASS",0,'Motor_Meciuri'!BS68)</x:f>
        <x:v>0</x:v>
      </x:c>
      <x:c r="AM886" s="2" t="n">
        <x:f>IF(J886&lt;&gt;"PASS",0,'Motor_Meciuri'!BT68)</x:f>
        <x:v>0</x:v>
      </x:c>
      <x:c r="AN886" s="2" t="str">
        <x:f>IF(M886="","",MAX(0,'Motor_Meciuri'!BF68-IF(L886&gt;'Config_v6'!$B$12,'Config_v6'!$B$37,IF(L886&gt;'Config_v6'!$B$11,'Config_v6'!$B$36,0))))</x:f>
      </x:c>
    </x:row>
    <x:row r="887" ht="21" customHeight="1">
      <x:c r="A887" s="2" t="n">
        <x:v>63</x:v>
      </x:c>
      <x:c r="B887" s="2" t="str">
        <x:f>IF('Motor_Meciuri'!A68="","",'Motor_Meciuri'!A68)</x:f>
      </x:c>
      <x:c r="C887" s="2" t="str">
        <x:f>IF(B887="","",'Motor_Meciuri'!B68)</x:f>
      </x:c>
      <x:c r="D887" s="2" t="str">
        <x:f>IF(B887="","",'Motor_Meciuri'!D68)</x:f>
      </x:c>
      <x:c r="E887" s="2" t="str">
        <x:f>IF(B887="","",'Motor_Meciuri'!E68)</x:f>
      </x:c>
      <x:c r="F887" s="2" t="str">
        <x:v>U17,5</x:v>
      </x:c>
      <x:c r="G887" s="2" t="str">
        <x:v>UNDER</x:v>
      </x:c>
      <x:c r="H887" s="2" t="n">
        <x:v>17</x:v>
      </x:c>
      <x:c r="I887" s="2" t="str">
        <x:f>IF(B887="","",'Motor_Meciuri'!H68)</x:f>
      </x:c>
      <x:c r="J887" s="2" t="str">
        <x:f>IF(B887="","",'Motor_Meciuri'!I68)</x:f>
      </x:c>
      <x:c r="K887" s="11" t="str">
        <x:f>IF(J887&lt;&gt;"PASS","",'Motor_Meciuri'!BD68)</x:f>
      </x:c>
      <x:c r="L887" s="11" t="str">
        <x:f>IF(J887&lt;&gt;"PASS","",'Motor_Meciuri'!AU68)</x:f>
      </x:c>
      <x:c r="M887" s="10" t="str">
        <x:f>IF(NOT(AND(J887="PASS",'Calibrare_Linii'!U19="VALID")),"",'Distributie'!AO68)</x:f>
      </x:c>
      <x:c r="N887" s="10" t="str">
        <x:f>IF(M887="","",MAX(0.01,MIN(0.99,0.5+(M887-0.5)*'Motor_Meciuri'!BG68*'Calibrare_Linii'!D19)))</x:f>
      </x:c>
      <x:c r="O887" s="10" t="str">
        <x:f>IF(M887="","",1-M887)</x:f>
      </x:c>
      <x:c r="P887" s="10" t="str">
        <x:f>IF(OR(NOT(AND(J887="PASS",'Calibrare_Linii'!U19="VALID")),AK887=0),""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*('Istoric_Nativ'!$Q$6:$Q$405&gt;H887))/AK887)</x:f>
      </x:c>
      <x:c r="Q887" s="10" t="str">
        <x:f>IF(OR(NOT(AND(J887="PASS",'Calibrare_Linii'!U19="VALID")),AL887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M68)+((('Istoric_Nativ'!$E$6:$E$405='Input_Meci'!E68)+('Istoric_Nativ'!$F$6:$F$405='Input_Meci'!E68))&gt;0)*('Istoric_Nativ'!$D$6:$D$405&gt;='Motor_Meciuri'!BN68))&gt;0)*('Istoric_Nativ'!$Q$6:$Q$405&gt;H887))/AL887)</x:f>
      </x:c>
      <x:c r="R887" s="10" t="str">
        <x:f>IF(OR(NOT(AND(J887="PASS",'Calibrare_Linii'!U19="VALID")),AM887=0),""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'Motor_Meciuri'!BO68)+((('Istoric_Nativ'!$E$6:$E$405='Input_Meci'!E68)+('Istoric_Nativ'!$F$6:$F$405='Input_Meci'!E68))&gt;0)*('Istoric_Nativ'!$D$6:$D$405&gt;='Motor_Meciuri'!BP68))&gt;0)*('Istoric_Nativ'!$Q$6:$Q$405&gt;H887))/AM887)</x:f>
      </x:c>
      <x:c r="S887" s="10" t="str">
        <x:f>IF(M887="","",MAX(O887,P887,Q887,R887))</x:f>
      </x:c>
      <x:c r="T887" s="11" t="str">
        <x:f>IF(M887="","",MIN(100,S887*100*'Config_v6'!$B$44+MIN(100,L887/'Config_v6'!$B$13*100)*'Config_v6'!$B$45+(100-'Motor_Meciuri'!BF68)*'Config_v6'!$B$46+'Motor_Meciuri'!BH68*100*'Config_v6'!$B$47))</x:f>
      </x:c>
      <x:c r="U887" s="2" t="str">
        <x:f>IF(T887="","",IF(T887&lt;=20,1,IF(T887&lt;=40,2,IF(T887&lt;=60,3,IF(T887&lt;=80,4,5)))))</x:f>
      </x:c>
      <x:c r="V887" s="2" t="str">
        <x:f>IF(M887="","",MAX(0,'Motor_Meciuri'!BF68-IF(W887="OOS PENDING",'Config_v6'!$B$35,0)-IF(L887&gt;'Config_v6'!$B$12,'Config_v6'!$B$37,IF(L887&gt;'Config_v6'!$B$11,'Config_v6'!$B$36,0))))</x:f>
      </x:c>
      <x:c r="W887" s="2" t="str">
        <x:f>IF(B887="","",IF(I887&lt;&gt;"READY","NOT RELEASED",IF(NOT(AND(J887="PASS",'Calibrare_Linii'!U19="VALID")),"INVALID",IF(NOT(AND('Calibrare_Linii'!S19="VALIDATED",AND('Calibrare_Linii'!H19=C887,ISNUMBER('Calibrare_Linii'!J19),'Calibrare_Linii'!J19&lt;='Input_Meci'!G68))),"OOS PENDING",IF(S887&lt;='Calibrare_Linii'!E19,"PASS",IF(S887&lt;='Calibrare_Linii'!F19,"PENALTY","WATCH"))))))</x:f>
      </x:c>
      <x:c r="X887" s="2" t="str">
        <x:f>IF(M887="","",IF(AND(AND(J887="PASS",'Calibrare_Linii'!U19="VALID"),'Motor_Meciuri'!K68=12,'Motor_Meciuri'!L68=12,'Motor_Meciuri'!M68="NO",'Motor_Meciuri'!BL68='Motor_Meciuri'!C68,AB887&gt;='Config_v6'!$B$50,AN887&gt;='Config_v6'!$B$51,T887&lt;='Config_v6'!$B$52,L887&lt;='Config_v6'!$B$53,ISNUMBER('Calibrare_Linii'!E19),S887&lt;='Calibrare_Linii'!E19,SUM(AK887:AM887)&gt;0),"CANDIDATE","NO"))</x:f>
      </x:c>
      <x:c r="Y887" s="2" t="str">
        <x:f>IF(B887="","",IF(I887&lt;&gt;"READY","NOT RELEASED",IF(AND(X887="CANDIDATE",V887&gt;='Config_v6'!$B$51,W887="PASS",'Calibrare_Linii'!T19="VALIDATED",AND('Calibrare_Linii'!H19=C887,ISNUMBER('Calibrare_Linii'!J19),'Calibrare_Linii'!J19&lt;='Input_Meci'!G68)),"PASS",IF(X887="CANDIDATE","OOS PENDING","FAIL"))))</x:f>
      </x:c>
      <x:c r="Z887" s="2" t="str">
        <x:f>IF(B887="","",IF(I887&lt;&gt;"READY","",IF(OR(NOT(AND(J887="PASS",'Calibrare_Linii'!U19="VALID")),L887&gt;'Config_v6'!$B$13,W887="WATCH"),5,IF(Y887="PASS",1,MIN(5,MAX('Config_v6'!$B$42,U887)+IF(W887="PENALTY",1,0))))))</x:f>
      </x:c>
      <x:c r="AA887" s="2" t="str">
        <x:f>IF(B887="","",IF(I887&lt;&gt;"READY","NOT RELEASED",IF(Z887=5,"NO BET",IF(OR(AB887&lt;'Config_v6'!$B$16,V887&lt;'Config_v6'!$B$18),"WATCH",IF(Z887=1,"DEFENSIV",IF(Z887=2,"PRUDENT",IF(Z887=3,"MODERAT","RIDICAT")))))))</x:f>
      </x:c>
      <x:c r="AB887" s="10" t="str">
        <x:f>IF(N887="","",MIN(N887,1-S887))</x:f>
      </x:c>
      <x:c r="AC887" s="2" t="str">
        <x:f>IF(AD887&lt;&gt;1,"",COUNTIFS($Z$874:$Z$887,"&lt;"&amp;Z887,$AD$874:$AD$887,1)+COUNTIFS($Z$874:$Z$887,Z887,$AB$874:$AB$887,"&gt;"&amp;AB887,$AD$874:$AD$887,1)+COUNTIFS($Z$874:$Z$887,Z887,$AB$874:$AB$887,AB887,$V$874:$V$887,"&gt;"&amp;V887,$AD$874:$AD$887,1)+COUNTIFS($Z$874:Z887,Z887,$AB$874:AB887,AB887,$V$874:V887,V887,$AD$874:AD887,1))</x:f>
      </x:c>
      <x:c r="AD887" s="2" t="n">
        <x:f>IF(OR(AA887="DEFENSIV",AA887="PRUDENT",AA887="MODERAT",AA887="RIDICAT"),1,0)</x:f>
        <x:v>0</x:v>
      </x:c>
      <x:c r="AE887" s="2" t="str">
        <x:f>IF(AD887&lt;&gt;1,"NO",IF(W887="PASS","YES",IF(W887="OOS PENDING","CONDITIONAL","NO")))</x:f>
        <x:v>NO</x:v>
      </x:c>
      <x:c r="AF887" s="2" t="n">
        <x:f>IF(AND(AD887=1,AC887=1,E887="LIVE"),1,0)</x:f>
        <x:v>0</x:v>
      </x:c>
      <x:c r="AG887" s="2" t="str">
        <x:f>IF(AF887&lt;&gt;1,"",'Dashboard'!P88)</x:f>
      </x:c>
      <x:c r="AH887" s="2" t="str">
        <x:f>IF(B887="","",IF(J887&lt;&gt;"PASS",'Motor_Meciuri'!J68,IF('Calibrare_Linii'!U19&lt;&gt;"VALID","Parametri linie invalizi",IF(L887&gt;'Config_v6'!$B$13,"Dispersie peste limita",IF(W887="WATCH","Failure peste limita",IF(AB887&lt;'Config_v6'!$B$16,"P finala sub prag",IF(V887&lt;'Config_v6'!$B$18,"Confidence sub prag",IF(E887="REPLAY","Exemplu retrospectiv; exclus din Top LIVE",IF(Y887="PASS","DEFENSIV validat",IF(W887="OOS PENDING","Eligibil; calibrare linie in monitorizare","Eligibil"))))))))))</x:f>
      </x:c>
      <x:c r="AI887" s="2" t="str">
        <x:f>IF(B887="","",'Calibrare_Linii'!V19)</x:f>
      </x:c>
      <x:c r="AJ887" s="2" t="str">
        <x:f>IF(B887="","",IF(AND('Calibrare_Linii'!T19="VALIDATED",AND('Calibrare_Linii'!H19=C887,ISNUMBER('Calibrare_Linii'!J19),'Calibrare_Linii'!J19&lt;='Input_Meci'!G68)),"DEFENSIVE VALIDATED",IF(AND('Calibrare_Linii'!S19="VALIDATED",AND('Calibrare_Linii'!H19=C887,ISNUMBER('Calibrare_Linii'!J19),'Calibrare_Linii'!J19&lt;='Input_Meci'!G68)),"TAIL VALIDATED","OOS PENDING")))</x:f>
      </x:c>
      <x:c r="AK887" s="2" t="n">
        <x:f>IF(J887&lt;&gt;"PASS",0,'Motor_Meciuri'!BR68)</x:f>
        <x:v>0</x:v>
      </x:c>
      <x:c r="AL887" s="2" t="n">
        <x:f>IF(J887&lt;&gt;"PASS",0,'Motor_Meciuri'!BS68)</x:f>
        <x:v>0</x:v>
      </x:c>
      <x:c r="AM887" s="2" t="n">
        <x:f>IF(J887&lt;&gt;"PASS",0,'Motor_Meciuri'!BT68)</x:f>
        <x:v>0</x:v>
      </x:c>
      <x:c r="AN887" s="2" t="str">
        <x:f>IF(M887="","",MAX(0,'Motor_Meciuri'!BF68-IF(L887&gt;'Config_v6'!$B$12,'Config_v6'!$B$37,IF(L887&gt;'Config_v6'!$B$11,'Config_v6'!$B$36,0))))</x:f>
      </x:c>
    </x:row>
    <x:row r="888" ht="21" customHeight="1">
      <x:c r="A888" s="2" t="n">
        <x:v>64</x:v>
      </x:c>
      <x:c r="B888" s="2" t="str">
        <x:f>IF('Motor_Meciuri'!A69="","",'Motor_Meciuri'!A69)</x:f>
      </x:c>
      <x:c r="C888" s="2" t="str">
        <x:f>IF(B888="","",'Motor_Meciuri'!B69)</x:f>
      </x:c>
      <x:c r="D888" s="2" t="str">
        <x:f>IF(B888="","",'Motor_Meciuri'!D69)</x:f>
      </x:c>
      <x:c r="E888" s="2" t="str">
        <x:f>IF(B888="","",'Motor_Meciuri'!E69)</x:f>
      </x:c>
      <x:c r="F888" s="2" t="str">
        <x:v>O3,5</x:v>
      </x:c>
      <x:c r="G888" s="2" t="str">
        <x:v>OVER</x:v>
      </x:c>
      <x:c r="H888" s="2" t="n">
        <x:v>3</x:v>
      </x:c>
      <x:c r="I888" s="2" t="str">
        <x:f>IF(B888="","",'Motor_Meciuri'!H69)</x:f>
      </x:c>
      <x:c r="J888" s="2" t="str">
        <x:f>IF(B888="","",'Motor_Meciuri'!I69)</x:f>
      </x:c>
      <x:c r="K888" s="11" t="str">
        <x:f>IF(J888&lt;&gt;"PASS","",'Motor_Meciuri'!BD69)</x:f>
      </x:c>
      <x:c r="L888" s="11" t="str">
        <x:f>IF(J888&lt;&gt;"PASS","",'Motor_Meciuri'!AU69)</x:f>
      </x:c>
      <x:c r="M888" s="10" t="str">
        <x:f>IF(NOT(AND(J888="PASS",'Calibrare_Linii'!U6="VALID")),"",1-'Distributie'!AA69)</x:f>
      </x:c>
      <x:c r="N888" s="10" t="str">
        <x:f>IF(M888="","",MAX(0.01,MIN(0.99,0.5+(M888-0.5)*'Motor_Meciuri'!BG69*'Calibrare_Linii'!D6)))</x:f>
      </x:c>
      <x:c r="O888" s="10" t="str">
        <x:f>IF(M888="","",1-M888)</x:f>
      </x:c>
      <x:c r="P888" s="10" t="str">
        <x:f>IF(OR(NOT(AND(J888="PASS",'Calibrare_Linii'!U6="VALID")),AK888=0),""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*('Istoric_Nativ'!$Q$6:$Q$405&lt;=H888))/AK888)</x:f>
      </x:c>
      <x:c r="Q888" s="10" t="str">
        <x:f>IF(OR(NOT(AND(J888="PASS",'Calibrare_Linii'!U6="VALID")),AL888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M69)+((('Istoric_Nativ'!$E$6:$E$405='Input_Meci'!E69)+('Istoric_Nativ'!$F$6:$F$405='Input_Meci'!E69))&gt;0)*('Istoric_Nativ'!$D$6:$D$405&gt;='Motor_Meciuri'!BN69))&gt;0)*('Istoric_Nativ'!$Q$6:$Q$405&lt;=H888))/AL888)</x:f>
      </x:c>
      <x:c r="R888" s="10" t="str">
        <x:f>IF(OR(NOT(AND(J888="PASS",'Calibrare_Linii'!U6="VALID")),AM888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O69)+((('Istoric_Nativ'!$E$6:$E$405='Input_Meci'!E69)+('Istoric_Nativ'!$F$6:$F$405='Input_Meci'!E69))&gt;0)*('Istoric_Nativ'!$D$6:$D$405&gt;='Motor_Meciuri'!BP69))&gt;0)*('Istoric_Nativ'!$Q$6:$Q$405&lt;=H888))/AM888)</x:f>
      </x:c>
      <x:c r="S888" s="10" t="str">
        <x:f>IF(M888="","",MAX(O888,P888,Q888,R888))</x:f>
      </x:c>
      <x:c r="T888" s="11" t="str">
        <x:f>IF(M888="","",MIN(100,S888*100*'Config_v6'!$B$44+MIN(100,L888/'Config_v6'!$B$13*100)*'Config_v6'!$B$45+(100-'Motor_Meciuri'!BF69)*'Config_v6'!$B$46+'Motor_Meciuri'!BH69*100*'Config_v6'!$B$47))</x:f>
      </x:c>
      <x:c r="U888" s="2" t="str">
        <x:f>IF(T888="","",IF(T888&lt;=20,1,IF(T888&lt;=40,2,IF(T888&lt;=60,3,IF(T888&lt;=80,4,5)))))</x:f>
      </x:c>
      <x:c r="V888" s="2" t="str">
        <x:f>IF(M888="","",MAX(0,'Motor_Meciuri'!BF69-IF(W888="OOS PENDING",'Config_v6'!$B$35,0)-IF(L888&gt;'Config_v6'!$B$12,'Config_v6'!$B$37,IF(L888&gt;'Config_v6'!$B$11,'Config_v6'!$B$36,0))))</x:f>
      </x:c>
      <x:c r="W888" s="2" t="str">
        <x:f>IF(B888="","",IF(I888&lt;&gt;"READY","NOT RELEASED",IF(NOT(AND(J888="PASS",'Calibrare_Linii'!U6="VALID")),"INVALID",IF(NOT(TRUE),"OOS PENDING",IF(S888&lt;=IF(AND('Calibrare_Linii'!S6="VALIDATED",AND('Calibrare_Linii'!H6=C888,ISNUMBER('Calibrare_Linii'!J6),'Calibrare_Linii'!J6&lt;='Input_Meci'!G69)),'Calibrare_Linii'!E6,'Config_v6'!$B$26),"PASS",IF(S888&lt;=IF(AND('Calibrare_Linii'!S6="VALIDATED",AND('Calibrare_Linii'!H6=C888,ISNUMBER('Calibrare_Linii'!J6),'Calibrare_Linii'!J6&lt;='Input_Meci'!G69)),'Calibrare_Linii'!F6,'Config_v6'!$C$26),"PENALTY","WATCH"))))))</x:f>
      </x:c>
      <x:c r="X888" s="2" t="str">
        <x:f>IF(M888="","",IF(AND(AND(J888="PASS",'Calibrare_Linii'!U6="VALID"),'Motor_Meciuri'!K69=12,'Motor_Meciuri'!L69=12,'Motor_Meciuri'!M69="NO",'Motor_Meciuri'!BL69='Motor_Meciuri'!C69,AB888&gt;='Config_v6'!$B$50,AN888&gt;='Config_v6'!$B$51,T888&lt;='Config_v6'!$B$52,L888&lt;='Config_v6'!$B$53,ISNUMBER('Calibrare_Linii'!E6),S888&lt;='Calibrare_Linii'!E6,SUM(AK888:AM888)&gt;0),"CANDIDATE","NO"))</x:f>
      </x:c>
      <x:c r="Y888" s="2" t="str">
        <x:f>IF(B888="","",IF(I888&lt;&gt;"READY","NOT RELEASED",IF(AND(X888="CANDIDATE",V888&gt;='Config_v6'!$B$51,W888="PASS",'Calibrare_Linii'!T6="VALIDATED",AND('Calibrare_Linii'!H6=C888,ISNUMBER('Calibrare_Linii'!J6),'Calibrare_Linii'!J6&lt;='Input_Meci'!G69)),"PASS",IF(X888="CANDIDATE","OOS PENDING","FAIL"))))</x:f>
      </x:c>
      <x:c r="Z888" s="2" t="str">
        <x:f>IF(B888="","",IF(I888&lt;&gt;"READY","",IF(OR(NOT(AND(J888="PASS",'Calibrare_Linii'!U6="VALID")),L888&gt;'Config_v6'!$B$13,W888="WATCH"),5,IF(Y888="PASS",1,MIN(5,MAX('Config_v6'!$B$42,U888)+IF(W888="PENALTY",1,0))))))</x:f>
      </x:c>
      <x:c r="AA888" s="2" t="str">
        <x:f>IF(B888="","",IF(I888&lt;&gt;"READY","NOT RELEASED",IF(Z888=5,"NO BET",IF(OR(AB888&lt;'Config_v6'!$B$16,V888&lt;'Config_v6'!$B$18),"WATCH",IF(Z888=1,"DEFENSIV",IF(Z888=2,"PRUDENT",IF(Z888=3,"MODERAT","RIDICAT")))))))</x:f>
      </x:c>
      <x:c r="AB888" s="10" t="str">
        <x:f>IF(N888="","",MIN(N888,1-S888))</x:f>
      </x:c>
      <x:c r="AC888" s="2" t="str">
        <x:f>IF(AD888&lt;&gt;1,"",COUNTIFS($Z$888:$Z$901,"&lt;"&amp;Z888,$AD$888:$AD$901,1)+COUNTIFS($Z$888:$Z$901,Z888,$AB$888:$AB$901,"&gt;"&amp;AB888,$AD$888:$AD$901,1)+COUNTIFS($Z$888:$Z$901,Z888,$AB$888:$AB$901,AB888,$V$888:$V$901,"&gt;"&amp;V888,$AD$888:$AD$901,1)+COUNTIFS($Z$888:Z888,Z888,$AB$888:AB888,AB888,$V$888:V888,V888,$AD$888:AD888,1))</x:f>
      </x:c>
      <x:c r="AD888" s="2" t="n">
        <x:f>IF(OR(AA888="DEFENSIV",AA888="PRUDENT",AA888="MODERAT",AA888="RIDICAT"),1,0)</x:f>
        <x:v>0</x:v>
      </x:c>
      <x:c r="AE888" s="2" t="str">
        <x:f>IF(AD888&lt;&gt;1,"NO",IF(W888="PASS","YES",IF(W888="OOS PENDING","CONDITIONAL","NO")))</x:f>
        <x:v>NO</x:v>
      </x:c>
      <x:c r="AF888" s="2" t="n">
        <x:f>IF(AND(AD888=1,AC888=1,E888="LIVE"),1,0)</x:f>
        <x:v>0</x:v>
      </x:c>
      <x:c r="AG888" s="2" t="str">
        <x:f>IF(AF888&lt;&gt;1,"",'Dashboard'!P89)</x:f>
      </x:c>
      <x:c r="AH888" s="2" t="str">
        <x:f>IF(B888="","",IF(J888&lt;&gt;"PASS",'Motor_Meciuri'!J69,IF('Calibrare_Linii'!U6&lt;&gt;"VALID","Parametri linie invalizi",IF(L888&gt;'Config_v6'!$B$13,"Dispersie peste limita",IF(W888="WATCH","Failure peste limita",IF(AB888&lt;'Config_v6'!$B$16,"P finala sub prag",IF(V888&lt;'Config_v6'!$B$18,"Confidence sub prag",IF(E888="REPLAY","Exemplu retrospectiv; exclus din Top LIVE",IF(Y888="PASS","DEFENSIV validat",IF(W888="OOS PENDING","Eligibil; calibrare linie in monitorizare","Eligibil"))))))))))</x:f>
      </x:c>
      <x:c r="AI888" s="2" t="str">
        <x:f>IF(B888="","",'Calibrare_Linii'!V6)</x:f>
      </x:c>
      <x:c r="AJ888" s="2" t="str">
        <x:f>IF(B888="","",IF(AND('Calibrare_Linii'!T6="VALIDATED",AND('Calibrare_Linii'!H6=C888,ISNUMBER('Calibrare_Linii'!J6),'Calibrare_Linii'!J6&lt;='Input_Meci'!G69)),"DEFENSIVE VALIDATED",IF(AND('Calibrare_Linii'!S6="VALIDATED",AND('Calibrare_Linii'!H6=C888,ISNUMBER('Calibrare_Linii'!J6),'Calibrare_Linii'!J6&lt;='Input_Meci'!G69)),"TAIL VALIDATED","OOS PENDING")))</x:f>
      </x:c>
      <x:c r="AK888" s="2" t="n">
        <x:f>IF(J888&lt;&gt;"PASS",0,'Motor_Meciuri'!BR69)</x:f>
        <x:v>0</x:v>
      </x:c>
      <x:c r="AL888" s="2" t="n">
        <x:f>IF(J888&lt;&gt;"PASS",0,'Motor_Meciuri'!BS69)</x:f>
        <x:v>0</x:v>
      </x:c>
      <x:c r="AM888" s="2" t="n">
        <x:f>IF(J888&lt;&gt;"PASS",0,'Motor_Meciuri'!BT69)</x:f>
        <x:v>0</x:v>
      </x:c>
      <x:c r="AN888" s="2" t="str">
        <x:f>IF(M888="","",MAX(0,'Motor_Meciuri'!BF69-IF(L888&gt;'Config_v6'!$B$12,'Config_v6'!$B$37,IF(L888&gt;'Config_v6'!$B$11,'Config_v6'!$B$36,0))))</x:f>
      </x:c>
    </x:row>
    <x:row r="889" ht="21" customHeight="1">
      <x:c r="A889" s="2" t="n">
        <x:v>64</x:v>
      </x:c>
      <x:c r="B889" s="2" t="str">
        <x:f>IF('Motor_Meciuri'!A69="","",'Motor_Meciuri'!A69)</x:f>
      </x:c>
      <x:c r="C889" s="2" t="str">
        <x:f>IF(B889="","",'Motor_Meciuri'!B69)</x:f>
      </x:c>
      <x:c r="D889" s="2" t="str">
        <x:f>IF(B889="","",'Motor_Meciuri'!D69)</x:f>
      </x:c>
      <x:c r="E889" s="2" t="str">
        <x:f>IF(B889="","",'Motor_Meciuri'!E69)</x:f>
      </x:c>
      <x:c r="F889" s="2" t="str">
        <x:v>O4,5</x:v>
      </x:c>
      <x:c r="G889" s="2" t="str">
        <x:v>OVER</x:v>
      </x:c>
      <x:c r="H889" s="2" t="n">
        <x:v>4</x:v>
      </x:c>
      <x:c r="I889" s="2" t="str">
        <x:f>IF(B889="","",'Motor_Meciuri'!H69)</x:f>
      </x:c>
      <x:c r="J889" s="2" t="str">
        <x:f>IF(B889="","",'Motor_Meciuri'!I69)</x:f>
      </x:c>
      <x:c r="K889" s="11" t="str">
        <x:f>IF(J889&lt;&gt;"PASS","",'Motor_Meciuri'!BD69)</x:f>
      </x:c>
      <x:c r="L889" s="11" t="str">
        <x:f>IF(J889&lt;&gt;"PASS","",'Motor_Meciuri'!AU69)</x:f>
      </x:c>
      <x:c r="M889" s="10" t="str">
        <x:f>IF(NOT(AND(J889="PASS",'Calibrare_Linii'!U7="VALID")),"",1-'Distributie'!AB69)</x:f>
      </x:c>
      <x:c r="N889" s="10" t="str">
        <x:f>IF(M889="","",MAX(0.01,MIN(0.99,0.5+(M889-0.5)*'Motor_Meciuri'!BG69*'Calibrare_Linii'!D7)))</x:f>
      </x:c>
      <x:c r="O889" s="10" t="str">
        <x:f>IF(M889="","",1-M889)</x:f>
      </x:c>
      <x:c r="P889" s="10" t="str">
        <x:f>IF(OR(NOT(AND(J889="PASS",'Calibrare_Linii'!U7="VALID")),AK889=0),""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*('Istoric_Nativ'!$Q$6:$Q$405&lt;=H889))/AK889)</x:f>
      </x:c>
      <x:c r="Q889" s="10" t="str">
        <x:f>IF(OR(NOT(AND(J889="PASS",'Calibrare_Linii'!U7="VALID")),AL889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M69)+((('Istoric_Nativ'!$E$6:$E$405='Input_Meci'!E69)+('Istoric_Nativ'!$F$6:$F$405='Input_Meci'!E69))&gt;0)*('Istoric_Nativ'!$D$6:$D$405&gt;='Motor_Meciuri'!BN69))&gt;0)*('Istoric_Nativ'!$Q$6:$Q$405&lt;=H889))/AL889)</x:f>
      </x:c>
      <x:c r="R889" s="10" t="str">
        <x:f>IF(OR(NOT(AND(J889="PASS",'Calibrare_Linii'!U7="VALID")),AM889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O69)+((('Istoric_Nativ'!$E$6:$E$405='Input_Meci'!E69)+('Istoric_Nativ'!$F$6:$F$405='Input_Meci'!E69))&gt;0)*('Istoric_Nativ'!$D$6:$D$405&gt;='Motor_Meciuri'!BP69))&gt;0)*('Istoric_Nativ'!$Q$6:$Q$405&lt;=H889))/AM889)</x:f>
      </x:c>
      <x:c r="S889" s="10" t="str">
        <x:f>IF(M889="","",MAX(O889,P889,Q889,R889))</x:f>
      </x:c>
      <x:c r="T889" s="11" t="str">
        <x:f>IF(M889="","",MIN(100,S889*100*'Config_v6'!$B$44+MIN(100,L889/'Config_v6'!$B$13*100)*'Config_v6'!$B$45+(100-'Motor_Meciuri'!BF69)*'Config_v6'!$B$46+'Motor_Meciuri'!BH69*100*'Config_v6'!$B$47))</x:f>
      </x:c>
      <x:c r="U889" s="2" t="str">
        <x:f>IF(T889="","",IF(T889&lt;=20,1,IF(T889&lt;=40,2,IF(T889&lt;=60,3,IF(T889&lt;=80,4,5)))))</x:f>
      </x:c>
      <x:c r="V889" s="2" t="str">
        <x:f>IF(M889="","",MAX(0,'Motor_Meciuri'!BF69-IF(W889="OOS PENDING",'Config_v6'!$B$35,0)-IF(L889&gt;'Config_v6'!$B$12,'Config_v6'!$B$37,IF(L889&gt;'Config_v6'!$B$11,'Config_v6'!$B$36,0))))</x:f>
      </x:c>
      <x:c r="W889" s="2" t="str">
        <x:f>IF(B889="","",IF(I889&lt;&gt;"READY","NOT RELEASED",IF(NOT(AND(J889="PASS",'Calibrare_Linii'!U7="VALID")),"INVALID",IF(NOT(AND('Calibrare_Linii'!S7="VALIDATED",AND('Calibrare_Linii'!H7=C889,ISNUMBER('Calibrare_Linii'!J7),'Calibrare_Linii'!J7&lt;='Input_Meci'!G69))),"OOS PENDING",IF(S889&lt;='Calibrare_Linii'!E7,"PASS",IF(S889&lt;='Calibrare_Linii'!F7,"PENALTY","WATCH"))))))</x:f>
      </x:c>
      <x:c r="X889" s="2" t="str">
        <x:f>IF(M889="","",IF(AND(AND(J889="PASS",'Calibrare_Linii'!U7="VALID"),'Motor_Meciuri'!K69=12,'Motor_Meciuri'!L69=12,'Motor_Meciuri'!M69="NO",'Motor_Meciuri'!BL69='Motor_Meciuri'!C69,AB889&gt;='Config_v6'!$B$50,AN889&gt;='Config_v6'!$B$51,T889&lt;='Config_v6'!$B$52,L889&lt;='Config_v6'!$B$53,ISNUMBER('Calibrare_Linii'!E7),S889&lt;='Calibrare_Linii'!E7,SUM(AK889:AM889)&gt;0),"CANDIDATE","NO"))</x:f>
      </x:c>
      <x:c r="Y889" s="2" t="str">
        <x:f>IF(B889="","",IF(I889&lt;&gt;"READY","NOT RELEASED",IF(AND(X889="CANDIDATE",V889&gt;='Config_v6'!$B$51,W889="PASS",'Calibrare_Linii'!T7="VALIDATED",AND('Calibrare_Linii'!H7=C889,ISNUMBER('Calibrare_Linii'!J7),'Calibrare_Linii'!J7&lt;='Input_Meci'!G69)),"PASS",IF(X889="CANDIDATE","OOS PENDING","FAIL"))))</x:f>
      </x:c>
      <x:c r="Z889" s="2" t="str">
        <x:f>IF(B889="","",IF(I889&lt;&gt;"READY","",IF(OR(NOT(AND(J889="PASS",'Calibrare_Linii'!U7="VALID")),L889&gt;'Config_v6'!$B$13,W889="WATCH"),5,IF(Y889="PASS",1,MIN(5,MAX('Config_v6'!$B$42,U889)+IF(W889="PENALTY",1,0))))))</x:f>
      </x:c>
      <x:c r="AA889" s="2" t="str">
        <x:f>IF(B889="","",IF(I889&lt;&gt;"READY","NOT RELEASED",IF(Z889=5,"NO BET",IF(OR(AB889&lt;'Config_v6'!$B$16,V889&lt;'Config_v6'!$B$18),"WATCH",IF(Z889=1,"DEFENSIV",IF(Z889=2,"PRUDENT",IF(Z889=3,"MODERAT","RIDICAT")))))))</x:f>
      </x:c>
      <x:c r="AB889" s="10" t="str">
        <x:f>IF(N889="","",MIN(N889,1-S889))</x:f>
      </x:c>
      <x:c r="AC889" s="2" t="str">
        <x:f>IF(AD889&lt;&gt;1,"",COUNTIFS($Z$888:$Z$901,"&lt;"&amp;Z889,$AD$888:$AD$901,1)+COUNTIFS($Z$888:$Z$901,Z889,$AB$888:$AB$901,"&gt;"&amp;AB889,$AD$888:$AD$901,1)+COUNTIFS($Z$888:$Z$901,Z889,$AB$888:$AB$901,AB889,$V$888:$V$901,"&gt;"&amp;V889,$AD$888:$AD$901,1)+COUNTIFS($Z$888:Z889,Z889,$AB$888:AB889,AB889,$V$888:V889,V889,$AD$888:AD889,1))</x:f>
      </x:c>
      <x:c r="AD889" s="2" t="n">
        <x:f>IF(OR(AA889="DEFENSIV",AA889="PRUDENT",AA889="MODERAT",AA889="RIDICAT"),1,0)</x:f>
        <x:v>0</x:v>
      </x:c>
      <x:c r="AE889" s="2" t="str">
        <x:f>IF(AD889&lt;&gt;1,"NO",IF(W889="PASS","YES",IF(W889="OOS PENDING","CONDITIONAL","NO")))</x:f>
        <x:v>NO</x:v>
      </x:c>
      <x:c r="AF889" s="2" t="n">
        <x:f>IF(AND(AD889=1,AC889=1,E889="LIVE"),1,0)</x:f>
        <x:v>0</x:v>
      </x:c>
      <x:c r="AG889" s="2" t="str">
        <x:f>IF(AF889&lt;&gt;1,"",'Dashboard'!P89)</x:f>
      </x:c>
      <x:c r="AH889" s="2" t="str">
        <x:f>IF(B889="","",IF(J889&lt;&gt;"PASS",'Motor_Meciuri'!J69,IF('Calibrare_Linii'!U7&lt;&gt;"VALID","Parametri linie invalizi",IF(L889&gt;'Config_v6'!$B$13,"Dispersie peste limita",IF(W889="WATCH","Failure peste limita",IF(AB889&lt;'Config_v6'!$B$16,"P finala sub prag",IF(V889&lt;'Config_v6'!$B$18,"Confidence sub prag",IF(E889="REPLAY","Exemplu retrospectiv; exclus din Top LIVE",IF(Y889="PASS","DEFENSIV validat",IF(W889="OOS PENDING","Eligibil; calibrare linie in monitorizare","Eligibil"))))))))))</x:f>
      </x:c>
      <x:c r="AI889" s="2" t="str">
        <x:f>IF(B889="","",'Calibrare_Linii'!V7)</x:f>
      </x:c>
      <x:c r="AJ889" s="2" t="str">
        <x:f>IF(B889="","",IF(AND('Calibrare_Linii'!T7="VALIDATED",AND('Calibrare_Linii'!H7=C889,ISNUMBER('Calibrare_Linii'!J7),'Calibrare_Linii'!J7&lt;='Input_Meci'!G69)),"DEFENSIVE VALIDATED",IF(AND('Calibrare_Linii'!S7="VALIDATED",AND('Calibrare_Linii'!H7=C889,ISNUMBER('Calibrare_Linii'!J7),'Calibrare_Linii'!J7&lt;='Input_Meci'!G69)),"TAIL VALIDATED","OOS PENDING")))</x:f>
      </x:c>
      <x:c r="AK889" s="2" t="n">
        <x:f>IF(J889&lt;&gt;"PASS",0,'Motor_Meciuri'!BR69)</x:f>
        <x:v>0</x:v>
      </x:c>
      <x:c r="AL889" s="2" t="n">
        <x:f>IF(J889&lt;&gt;"PASS",0,'Motor_Meciuri'!BS69)</x:f>
        <x:v>0</x:v>
      </x:c>
      <x:c r="AM889" s="2" t="n">
        <x:f>IF(J889&lt;&gt;"PASS",0,'Motor_Meciuri'!BT69)</x:f>
        <x:v>0</x:v>
      </x:c>
      <x:c r="AN889" s="2" t="str">
        <x:f>IF(M889="","",MAX(0,'Motor_Meciuri'!BF69-IF(L889&gt;'Config_v6'!$B$12,'Config_v6'!$B$37,IF(L889&gt;'Config_v6'!$B$11,'Config_v6'!$B$36,0))))</x:f>
      </x:c>
    </x:row>
    <x:row r="890" ht="21" customHeight="1">
      <x:c r="A890" s="2" t="n">
        <x:v>64</x:v>
      </x:c>
      <x:c r="B890" s="2" t="str">
        <x:f>IF('Motor_Meciuri'!A69="","",'Motor_Meciuri'!A69)</x:f>
      </x:c>
      <x:c r="C890" s="2" t="str">
        <x:f>IF(B890="","",'Motor_Meciuri'!B69)</x:f>
      </x:c>
      <x:c r="D890" s="2" t="str">
        <x:f>IF(B890="","",'Motor_Meciuri'!D69)</x:f>
      </x:c>
      <x:c r="E890" s="2" t="str">
        <x:f>IF(B890="","",'Motor_Meciuri'!E69)</x:f>
      </x:c>
      <x:c r="F890" s="2" t="str">
        <x:v>O5,5</x:v>
      </x:c>
      <x:c r="G890" s="2" t="str">
        <x:v>OVER</x:v>
      </x:c>
      <x:c r="H890" s="2" t="n">
        <x:v>5</x:v>
      </x:c>
      <x:c r="I890" s="2" t="str">
        <x:f>IF(B890="","",'Motor_Meciuri'!H69)</x:f>
      </x:c>
      <x:c r="J890" s="2" t="str">
        <x:f>IF(B890="","",'Motor_Meciuri'!I69)</x:f>
      </x:c>
      <x:c r="K890" s="11" t="str">
        <x:f>IF(J890&lt;&gt;"PASS","",'Motor_Meciuri'!BD69)</x:f>
      </x:c>
      <x:c r="L890" s="11" t="str">
        <x:f>IF(J890&lt;&gt;"PASS","",'Motor_Meciuri'!AU69)</x:f>
      </x:c>
      <x:c r="M890" s="10" t="str">
        <x:f>IF(NOT(AND(J890="PASS",'Calibrare_Linii'!U8="VALID")),"",1-'Distributie'!AC69)</x:f>
      </x:c>
      <x:c r="N890" s="10" t="str">
        <x:f>IF(M890="","",MAX(0.01,MIN(0.99,0.5+(M890-0.5)*'Motor_Meciuri'!BG69*'Calibrare_Linii'!D8)))</x:f>
      </x:c>
      <x:c r="O890" s="10" t="str">
        <x:f>IF(M890="","",1-M890)</x:f>
      </x:c>
      <x:c r="P890" s="10" t="str">
        <x:f>IF(OR(NOT(AND(J890="PASS",'Calibrare_Linii'!U8="VALID")),AK890=0),""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*('Istoric_Nativ'!$Q$6:$Q$405&lt;=H890))/AK890)</x:f>
      </x:c>
      <x:c r="Q890" s="10" t="str">
        <x:f>IF(OR(NOT(AND(J890="PASS",'Calibrare_Linii'!U8="VALID")),AL890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M69)+((('Istoric_Nativ'!$E$6:$E$405='Input_Meci'!E69)+('Istoric_Nativ'!$F$6:$F$405='Input_Meci'!E69))&gt;0)*('Istoric_Nativ'!$D$6:$D$405&gt;='Motor_Meciuri'!BN69))&gt;0)*('Istoric_Nativ'!$Q$6:$Q$405&lt;=H890))/AL890)</x:f>
      </x:c>
      <x:c r="R890" s="10" t="str">
        <x:f>IF(OR(NOT(AND(J890="PASS",'Calibrare_Linii'!U8="VALID")),AM890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O69)+((('Istoric_Nativ'!$E$6:$E$405='Input_Meci'!E69)+('Istoric_Nativ'!$F$6:$F$405='Input_Meci'!E69))&gt;0)*('Istoric_Nativ'!$D$6:$D$405&gt;='Motor_Meciuri'!BP69))&gt;0)*('Istoric_Nativ'!$Q$6:$Q$405&lt;=H890))/AM890)</x:f>
      </x:c>
      <x:c r="S890" s="10" t="str">
        <x:f>IF(M890="","",MAX(O890,P890,Q890,R890))</x:f>
      </x:c>
      <x:c r="T890" s="11" t="str">
        <x:f>IF(M890="","",MIN(100,S890*100*'Config_v6'!$B$44+MIN(100,L890/'Config_v6'!$B$13*100)*'Config_v6'!$B$45+(100-'Motor_Meciuri'!BF69)*'Config_v6'!$B$46+'Motor_Meciuri'!BH69*100*'Config_v6'!$B$47))</x:f>
      </x:c>
      <x:c r="U890" s="2" t="str">
        <x:f>IF(T890="","",IF(T890&lt;=20,1,IF(T890&lt;=40,2,IF(T890&lt;=60,3,IF(T890&lt;=80,4,5)))))</x:f>
      </x:c>
      <x:c r="V890" s="2" t="str">
        <x:f>IF(M890="","",MAX(0,'Motor_Meciuri'!BF69-IF(W890="OOS PENDING",'Config_v6'!$B$35,0)-IF(L890&gt;'Config_v6'!$B$12,'Config_v6'!$B$37,IF(L890&gt;'Config_v6'!$B$11,'Config_v6'!$B$36,0))))</x:f>
      </x:c>
      <x:c r="W890" s="2" t="str">
        <x:f>IF(B890="","",IF(I890&lt;&gt;"READY","NOT RELEASED",IF(NOT(AND(J890="PASS",'Calibrare_Linii'!U8="VALID")),"INVALID",IF(NOT(AND('Calibrare_Linii'!S8="VALIDATED",AND('Calibrare_Linii'!H8=C890,ISNUMBER('Calibrare_Linii'!J8),'Calibrare_Linii'!J8&lt;='Input_Meci'!G69))),"OOS PENDING",IF(S890&lt;='Calibrare_Linii'!E8,"PASS",IF(S890&lt;='Calibrare_Linii'!F8,"PENALTY","WATCH"))))))</x:f>
      </x:c>
      <x:c r="X890" s="2" t="str">
        <x:f>IF(M890="","",IF(AND(AND(J890="PASS",'Calibrare_Linii'!U8="VALID"),'Motor_Meciuri'!K69=12,'Motor_Meciuri'!L69=12,'Motor_Meciuri'!M69="NO",'Motor_Meciuri'!BL69='Motor_Meciuri'!C69,AB890&gt;='Config_v6'!$B$50,AN890&gt;='Config_v6'!$B$51,T890&lt;='Config_v6'!$B$52,L890&lt;='Config_v6'!$B$53,ISNUMBER('Calibrare_Linii'!E8),S890&lt;='Calibrare_Linii'!E8,SUM(AK890:AM890)&gt;0),"CANDIDATE","NO"))</x:f>
      </x:c>
      <x:c r="Y890" s="2" t="str">
        <x:f>IF(B890="","",IF(I890&lt;&gt;"READY","NOT RELEASED",IF(AND(X890="CANDIDATE",V890&gt;='Config_v6'!$B$51,W890="PASS",'Calibrare_Linii'!T8="VALIDATED",AND('Calibrare_Linii'!H8=C890,ISNUMBER('Calibrare_Linii'!J8),'Calibrare_Linii'!J8&lt;='Input_Meci'!G69)),"PASS",IF(X890="CANDIDATE","OOS PENDING","FAIL"))))</x:f>
      </x:c>
      <x:c r="Z890" s="2" t="str">
        <x:f>IF(B890="","",IF(I890&lt;&gt;"READY","",IF(OR(NOT(AND(J890="PASS",'Calibrare_Linii'!U8="VALID")),L890&gt;'Config_v6'!$B$13,W890="WATCH"),5,IF(Y890="PASS",1,MIN(5,MAX('Config_v6'!$B$42,U890)+IF(W890="PENALTY",1,0))))))</x:f>
      </x:c>
      <x:c r="AA890" s="2" t="str">
        <x:f>IF(B890="","",IF(I890&lt;&gt;"READY","NOT RELEASED",IF(Z890=5,"NO BET",IF(OR(AB890&lt;'Config_v6'!$B$16,V890&lt;'Config_v6'!$B$18),"WATCH",IF(Z890=1,"DEFENSIV",IF(Z890=2,"PRUDENT",IF(Z890=3,"MODERAT","RIDICAT")))))))</x:f>
      </x:c>
      <x:c r="AB890" s="10" t="str">
        <x:f>IF(N890="","",MIN(N890,1-S890))</x:f>
      </x:c>
      <x:c r="AC890" s="2" t="str">
        <x:f>IF(AD890&lt;&gt;1,"",COUNTIFS($Z$888:$Z$901,"&lt;"&amp;Z890,$AD$888:$AD$901,1)+COUNTIFS($Z$888:$Z$901,Z890,$AB$888:$AB$901,"&gt;"&amp;AB890,$AD$888:$AD$901,1)+COUNTIFS($Z$888:$Z$901,Z890,$AB$888:$AB$901,AB890,$V$888:$V$901,"&gt;"&amp;V890,$AD$888:$AD$901,1)+COUNTIFS($Z$888:Z890,Z890,$AB$888:AB890,AB890,$V$888:V890,V890,$AD$888:AD890,1))</x:f>
      </x:c>
      <x:c r="AD890" s="2" t="n">
        <x:f>IF(OR(AA890="DEFENSIV",AA890="PRUDENT",AA890="MODERAT",AA890="RIDICAT"),1,0)</x:f>
        <x:v>0</x:v>
      </x:c>
      <x:c r="AE890" s="2" t="str">
        <x:f>IF(AD890&lt;&gt;1,"NO",IF(W890="PASS","YES",IF(W890="OOS PENDING","CONDITIONAL","NO")))</x:f>
        <x:v>NO</x:v>
      </x:c>
      <x:c r="AF890" s="2" t="n">
        <x:f>IF(AND(AD890=1,AC890=1,E890="LIVE"),1,0)</x:f>
        <x:v>0</x:v>
      </x:c>
      <x:c r="AG890" s="2" t="str">
        <x:f>IF(AF890&lt;&gt;1,"",'Dashboard'!P89)</x:f>
      </x:c>
      <x:c r="AH890" s="2" t="str">
        <x:f>IF(B890="","",IF(J890&lt;&gt;"PASS",'Motor_Meciuri'!J69,IF('Calibrare_Linii'!U8&lt;&gt;"VALID","Parametri linie invalizi",IF(L890&gt;'Config_v6'!$B$13,"Dispersie peste limita",IF(W890="WATCH","Failure peste limita",IF(AB890&lt;'Config_v6'!$B$16,"P finala sub prag",IF(V890&lt;'Config_v6'!$B$18,"Confidence sub prag",IF(E890="REPLAY","Exemplu retrospectiv; exclus din Top LIVE",IF(Y890="PASS","DEFENSIV validat",IF(W890="OOS PENDING","Eligibil; calibrare linie in monitorizare","Eligibil"))))))))))</x:f>
      </x:c>
      <x:c r="AI890" s="2" t="str">
        <x:f>IF(B890="","",'Calibrare_Linii'!V8)</x:f>
      </x:c>
      <x:c r="AJ890" s="2" t="str">
        <x:f>IF(B890="","",IF(AND('Calibrare_Linii'!T8="VALIDATED",AND('Calibrare_Linii'!H8=C890,ISNUMBER('Calibrare_Linii'!J8),'Calibrare_Linii'!J8&lt;='Input_Meci'!G69)),"DEFENSIVE VALIDATED",IF(AND('Calibrare_Linii'!S8="VALIDATED",AND('Calibrare_Linii'!H8=C890,ISNUMBER('Calibrare_Linii'!J8),'Calibrare_Linii'!J8&lt;='Input_Meci'!G69)),"TAIL VALIDATED","OOS PENDING")))</x:f>
      </x:c>
      <x:c r="AK890" s="2" t="n">
        <x:f>IF(J890&lt;&gt;"PASS",0,'Motor_Meciuri'!BR69)</x:f>
        <x:v>0</x:v>
      </x:c>
      <x:c r="AL890" s="2" t="n">
        <x:f>IF(J890&lt;&gt;"PASS",0,'Motor_Meciuri'!BS69)</x:f>
        <x:v>0</x:v>
      </x:c>
      <x:c r="AM890" s="2" t="n">
        <x:f>IF(J890&lt;&gt;"PASS",0,'Motor_Meciuri'!BT69)</x:f>
        <x:v>0</x:v>
      </x:c>
      <x:c r="AN890" s="2" t="str">
        <x:f>IF(M890="","",MAX(0,'Motor_Meciuri'!BF69-IF(L890&gt;'Config_v6'!$B$12,'Config_v6'!$B$37,IF(L890&gt;'Config_v6'!$B$11,'Config_v6'!$B$36,0))))</x:f>
      </x:c>
    </x:row>
    <x:row r="891" ht="21" customHeight="1">
      <x:c r="A891" s="2" t="n">
        <x:v>64</x:v>
      </x:c>
      <x:c r="B891" s="2" t="str">
        <x:f>IF('Motor_Meciuri'!A69="","",'Motor_Meciuri'!A69)</x:f>
      </x:c>
      <x:c r="C891" s="2" t="str">
        <x:f>IF(B891="","",'Motor_Meciuri'!B69)</x:f>
      </x:c>
      <x:c r="D891" s="2" t="str">
        <x:f>IF(B891="","",'Motor_Meciuri'!D69)</x:f>
      </x:c>
      <x:c r="E891" s="2" t="str">
        <x:f>IF(B891="","",'Motor_Meciuri'!E69)</x:f>
      </x:c>
      <x:c r="F891" s="2" t="str">
        <x:v>O6,5</x:v>
      </x:c>
      <x:c r="G891" s="2" t="str">
        <x:v>OVER</x:v>
      </x:c>
      <x:c r="H891" s="2" t="n">
        <x:v>6</x:v>
      </x:c>
      <x:c r="I891" s="2" t="str">
        <x:f>IF(B891="","",'Motor_Meciuri'!H69)</x:f>
      </x:c>
      <x:c r="J891" s="2" t="str">
        <x:f>IF(B891="","",'Motor_Meciuri'!I69)</x:f>
      </x:c>
      <x:c r="K891" s="11" t="str">
        <x:f>IF(J891&lt;&gt;"PASS","",'Motor_Meciuri'!BD69)</x:f>
      </x:c>
      <x:c r="L891" s="11" t="str">
        <x:f>IF(J891&lt;&gt;"PASS","",'Motor_Meciuri'!AU69)</x:f>
      </x:c>
      <x:c r="M891" s="10" t="str">
        <x:f>IF(NOT(AND(J891="PASS",'Calibrare_Linii'!U9="VALID")),"",1-'Distributie'!AD69)</x:f>
      </x:c>
      <x:c r="N891" s="10" t="str">
        <x:f>IF(M891="","",MAX(0.01,MIN(0.99,0.5+(M891-0.5)*'Motor_Meciuri'!BG69*'Calibrare_Linii'!D9)))</x:f>
      </x:c>
      <x:c r="O891" s="10" t="str">
        <x:f>IF(M891="","",1-M891)</x:f>
      </x:c>
      <x:c r="P891" s="10" t="str">
        <x:f>IF(OR(NOT(AND(J891="PASS",'Calibrare_Linii'!U9="VALID")),AK891=0),""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*('Istoric_Nativ'!$Q$6:$Q$405&lt;=H891))/AK891)</x:f>
      </x:c>
      <x:c r="Q891" s="10" t="str">
        <x:f>IF(OR(NOT(AND(J891="PASS",'Calibrare_Linii'!U9="VALID")),AL891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M69)+((('Istoric_Nativ'!$E$6:$E$405='Input_Meci'!E69)+('Istoric_Nativ'!$F$6:$F$405='Input_Meci'!E69))&gt;0)*('Istoric_Nativ'!$D$6:$D$405&gt;='Motor_Meciuri'!BN69))&gt;0)*('Istoric_Nativ'!$Q$6:$Q$405&lt;=H891))/AL891)</x:f>
      </x:c>
      <x:c r="R891" s="10" t="str">
        <x:f>IF(OR(NOT(AND(J891="PASS",'Calibrare_Linii'!U9="VALID")),AM891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O69)+((('Istoric_Nativ'!$E$6:$E$405='Input_Meci'!E69)+('Istoric_Nativ'!$F$6:$F$405='Input_Meci'!E69))&gt;0)*('Istoric_Nativ'!$D$6:$D$405&gt;='Motor_Meciuri'!BP69))&gt;0)*('Istoric_Nativ'!$Q$6:$Q$405&lt;=H891))/AM891)</x:f>
      </x:c>
      <x:c r="S891" s="10" t="str">
        <x:f>IF(M891="","",MAX(O891,P891,Q891,R891))</x:f>
      </x:c>
      <x:c r="T891" s="11" t="str">
        <x:f>IF(M891="","",MIN(100,S891*100*'Config_v6'!$B$44+MIN(100,L891/'Config_v6'!$B$13*100)*'Config_v6'!$B$45+(100-'Motor_Meciuri'!BF69)*'Config_v6'!$B$46+'Motor_Meciuri'!BH69*100*'Config_v6'!$B$47))</x:f>
      </x:c>
      <x:c r="U891" s="2" t="str">
        <x:f>IF(T891="","",IF(T891&lt;=20,1,IF(T891&lt;=40,2,IF(T891&lt;=60,3,IF(T891&lt;=80,4,5)))))</x:f>
      </x:c>
      <x:c r="V891" s="2" t="str">
        <x:f>IF(M891="","",MAX(0,'Motor_Meciuri'!BF69-IF(W891="OOS PENDING",'Config_v6'!$B$35,0)-IF(L891&gt;'Config_v6'!$B$12,'Config_v6'!$B$37,IF(L891&gt;'Config_v6'!$B$11,'Config_v6'!$B$36,0))))</x:f>
      </x:c>
      <x:c r="W891" s="2" t="str">
        <x:f>IF(B891="","",IF(I891&lt;&gt;"READY","NOT RELEASED",IF(NOT(AND(J891="PASS",'Calibrare_Linii'!U9="VALID")),"INVALID",IF(NOT(AND('Calibrare_Linii'!S9="VALIDATED",AND('Calibrare_Linii'!H9=C891,ISNUMBER('Calibrare_Linii'!J9),'Calibrare_Linii'!J9&lt;='Input_Meci'!G69))),"OOS PENDING",IF(S891&lt;='Calibrare_Linii'!E9,"PASS",IF(S891&lt;='Calibrare_Linii'!F9,"PENALTY","WATCH"))))))</x:f>
      </x:c>
      <x:c r="X891" s="2" t="str">
        <x:f>IF(M891="","",IF(AND(AND(J891="PASS",'Calibrare_Linii'!U9="VALID"),'Motor_Meciuri'!K69=12,'Motor_Meciuri'!L69=12,'Motor_Meciuri'!M69="NO",'Motor_Meciuri'!BL69='Motor_Meciuri'!C69,AB891&gt;='Config_v6'!$B$50,AN891&gt;='Config_v6'!$B$51,T891&lt;='Config_v6'!$B$52,L891&lt;='Config_v6'!$B$53,ISNUMBER('Calibrare_Linii'!E9),S891&lt;='Calibrare_Linii'!E9,SUM(AK891:AM891)&gt;0),"CANDIDATE","NO"))</x:f>
      </x:c>
      <x:c r="Y891" s="2" t="str">
        <x:f>IF(B891="","",IF(I891&lt;&gt;"READY","NOT RELEASED",IF(AND(X891="CANDIDATE",V891&gt;='Config_v6'!$B$51,W891="PASS",'Calibrare_Linii'!T9="VALIDATED",AND('Calibrare_Linii'!H9=C891,ISNUMBER('Calibrare_Linii'!J9),'Calibrare_Linii'!J9&lt;='Input_Meci'!G69)),"PASS",IF(X891="CANDIDATE","OOS PENDING","FAIL"))))</x:f>
      </x:c>
      <x:c r="Z891" s="2" t="str">
        <x:f>IF(B891="","",IF(I891&lt;&gt;"READY","",IF(OR(NOT(AND(J891="PASS",'Calibrare_Linii'!U9="VALID")),L891&gt;'Config_v6'!$B$13,W891="WATCH"),5,IF(Y891="PASS",1,MIN(5,MAX('Config_v6'!$B$42,U891)+IF(W891="PENALTY",1,0))))))</x:f>
      </x:c>
      <x:c r="AA891" s="2" t="str">
        <x:f>IF(B891="","",IF(I891&lt;&gt;"READY","NOT RELEASED",IF(Z891=5,"NO BET",IF(OR(AB891&lt;'Config_v6'!$B$16,V891&lt;'Config_v6'!$B$18),"WATCH",IF(Z891=1,"DEFENSIV",IF(Z891=2,"PRUDENT",IF(Z891=3,"MODERAT","RIDICAT")))))))</x:f>
      </x:c>
      <x:c r="AB891" s="10" t="str">
        <x:f>IF(N891="","",MIN(N891,1-S891))</x:f>
      </x:c>
      <x:c r="AC891" s="2" t="str">
        <x:f>IF(AD891&lt;&gt;1,"",COUNTIFS($Z$888:$Z$901,"&lt;"&amp;Z891,$AD$888:$AD$901,1)+COUNTIFS($Z$888:$Z$901,Z891,$AB$888:$AB$901,"&gt;"&amp;AB891,$AD$888:$AD$901,1)+COUNTIFS($Z$888:$Z$901,Z891,$AB$888:$AB$901,AB891,$V$888:$V$901,"&gt;"&amp;V891,$AD$888:$AD$901,1)+COUNTIFS($Z$888:Z891,Z891,$AB$888:AB891,AB891,$V$888:V891,V891,$AD$888:AD891,1))</x:f>
      </x:c>
      <x:c r="AD891" s="2" t="n">
        <x:f>IF(OR(AA891="DEFENSIV",AA891="PRUDENT",AA891="MODERAT",AA891="RIDICAT"),1,0)</x:f>
        <x:v>0</x:v>
      </x:c>
      <x:c r="AE891" s="2" t="str">
        <x:f>IF(AD891&lt;&gt;1,"NO",IF(W891="PASS","YES",IF(W891="OOS PENDING","CONDITIONAL","NO")))</x:f>
        <x:v>NO</x:v>
      </x:c>
      <x:c r="AF891" s="2" t="n">
        <x:f>IF(AND(AD891=1,AC891=1,E891="LIVE"),1,0)</x:f>
        <x:v>0</x:v>
      </x:c>
      <x:c r="AG891" s="2" t="str">
        <x:f>IF(AF891&lt;&gt;1,"",'Dashboard'!P89)</x:f>
      </x:c>
      <x:c r="AH891" s="2" t="str">
        <x:f>IF(B891="","",IF(J891&lt;&gt;"PASS",'Motor_Meciuri'!J69,IF('Calibrare_Linii'!U9&lt;&gt;"VALID","Parametri linie invalizi",IF(L891&gt;'Config_v6'!$B$13,"Dispersie peste limita",IF(W891="WATCH","Failure peste limita",IF(AB891&lt;'Config_v6'!$B$16,"P finala sub prag",IF(V891&lt;'Config_v6'!$B$18,"Confidence sub prag",IF(E891="REPLAY","Exemplu retrospectiv; exclus din Top LIVE",IF(Y891="PASS","DEFENSIV validat",IF(W891="OOS PENDING","Eligibil; calibrare linie in monitorizare","Eligibil"))))))))))</x:f>
      </x:c>
      <x:c r="AI891" s="2" t="str">
        <x:f>IF(B891="","",'Calibrare_Linii'!V9)</x:f>
      </x:c>
      <x:c r="AJ891" s="2" t="str">
        <x:f>IF(B891="","",IF(AND('Calibrare_Linii'!T9="VALIDATED",AND('Calibrare_Linii'!H9=C891,ISNUMBER('Calibrare_Linii'!J9),'Calibrare_Linii'!J9&lt;='Input_Meci'!G69)),"DEFENSIVE VALIDATED",IF(AND('Calibrare_Linii'!S9="VALIDATED",AND('Calibrare_Linii'!H9=C891,ISNUMBER('Calibrare_Linii'!J9),'Calibrare_Linii'!J9&lt;='Input_Meci'!G69)),"TAIL VALIDATED","OOS PENDING")))</x:f>
      </x:c>
      <x:c r="AK891" s="2" t="n">
        <x:f>IF(J891&lt;&gt;"PASS",0,'Motor_Meciuri'!BR69)</x:f>
        <x:v>0</x:v>
      </x:c>
      <x:c r="AL891" s="2" t="n">
        <x:f>IF(J891&lt;&gt;"PASS",0,'Motor_Meciuri'!BS69)</x:f>
        <x:v>0</x:v>
      </x:c>
      <x:c r="AM891" s="2" t="n">
        <x:f>IF(J891&lt;&gt;"PASS",0,'Motor_Meciuri'!BT69)</x:f>
        <x:v>0</x:v>
      </x:c>
      <x:c r="AN891" s="2" t="str">
        <x:f>IF(M891="","",MAX(0,'Motor_Meciuri'!BF69-IF(L891&gt;'Config_v6'!$B$12,'Config_v6'!$B$37,IF(L891&gt;'Config_v6'!$B$11,'Config_v6'!$B$36,0))))</x:f>
      </x:c>
    </x:row>
    <x:row r="892" ht="21" customHeight="1">
      <x:c r="A892" s="2" t="n">
        <x:v>64</x:v>
      </x:c>
      <x:c r="B892" s="2" t="str">
        <x:f>IF('Motor_Meciuri'!A69="","",'Motor_Meciuri'!A69)</x:f>
      </x:c>
      <x:c r="C892" s="2" t="str">
        <x:f>IF(B892="","",'Motor_Meciuri'!B69)</x:f>
      </x:c>
      <x:c r="D892" s="2" t="str">
        <x:f>IF(B892="","",'Motor_Meciuri'!D69)</x:f>
      </x:c>
      <x:c r="E892" s="2" t="str">
        <x:f>IF(B892="","",'Motor_Meciuri'!E69)</x:f>
      </x:c>
      <x:c r="F892" s="2" t="str">
        <x:v>O7,5</x:v>
      </x:c>
      <x:c r="G892" s="2" t="str">
        <x:v>OVER</x:v>
      </x:c>
      <x:c r="H892" s="2" t="n">
        <x:v>7</x:v>
      </x:c>
      <x:c r="I892" s="2" t="str">
        <x:f>IF(B892="","",'Motor_Meciuri'!H69)</x:f>
      </x:c>
      <x:c r="J892" s="2" t="str">
        <x:f>IF(B892="","",'Motor_Meciuri'!I69)</x:f>
      </x:c>
      <x:c r="K892" s="11" t="str">
        <x:f>IF(J892&lt;&gt;"PASS","",'Motor_Meciuri'!BD69)</x:f>
      </x:c>
      <x:c r="L892" s="11" t="str">
        <x:f>IF(J892&lt;&gt;"PASS","",'Motor_Meciuri'!AU69)</x:f>
      </x:c>
      <x:c r="M892" s="10" t="str">
        <x:f>IF(NOT(AND(J892="PASS",'Calibrare_Linii'!U10="VALID")),"",1-'Distributie'!AE69)</x:f>
      </x:c>
      <x:c r="N892" s="10" t="str">
        <x:f>IF(M892="","",MAX(0.01,MIN(0.99,0.5+(M892-0.5)*'Motor_Meciuri'!BG69*'Calibrare_Linii'!D10)))</x:f>
      </x:c>
      <x:c r="O892" s="10" t="str">
        <x:f>IF(M892="","",1-M892)</x:f>
      </x:c>
      <x:c r="P892" s="10" t="str">
        <x:f>IF(OR(NOT(AND(J892="PASS",'Calibrare_Linii'!U10="VALID")),AK892=0),""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*('Istoric_Nativ'!$Q$6:$Q$405&lt;=H892))/AK892)</x:f>
      </x:c>
      <x:c r="Q892" s="10" t="str">
        <x:f>IF(OR(NOT(AND(J892="PASS",'Calibrare_Linii'!U10="VALID")),AL892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M69)+((('Istoric_Nativ'!$E$6:$E$405='Input_Meci'!E69)+('Istoric_Nativ'!$F$6:$F$405='Input_Meci'!E69))&gt;0)*('Istoric_Nativ'!$D$6:$D$405&gt;='Motor_Meciuri'!BN69))&gt;0)*('Istoric_Nativ'!$Q$6:$Q$405&lt;=H892))/AL892)</x:f>
      </x:c>
      <x:c r="R892" s="10" t="str">
        <x:f>IF(OR(NOT(AND(J892="PASS",'Calibrare_Linii'!U10="VALID")),AM892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O69)+((('Istoric_Nativ'!$E$6:$E$405='Input_Meci'!E69)+('Istoric_Nativ'!$F$6:$F$405='Input_Meci'!E69))&gt;0)*('Istoric_Nativ'!$D$6:$D$405&gt;='Motor_Meciuri'!BP69))&gt;0)*('Istoric_Nativ'!$Q$6:$Q$405&lt;=H892))/AM892)</x:f>
      </x:c>
      <x:c r="S892" s="10" t="str">
        <x:f>IF(M892="","",MAX(O892,P892,Q892,R892))</x:f>
      </x:c>
      <x:c r="T892" s="11" t="str">
        <x:f>IF(M892="","",MIN(100,S892*100*'Config_v6'!$B$44+MIN(100,L892/'Config_v6'!$B$13*100)*'Config_v6'!$B$45+(100-'Motor_Meciuri'!BF69)*'Config_v6'!$B$46+'Motor_Meciuri'!BH69*100*'Config_v6'!$B$47))</x:f>
      </x:c>
      <x:c r="U892" s="2" t="str">
        <x:f>IF(T892="","",IF(T892&lt;=20,1,IF(T892&lt;=40,2,IF(T892&lt;=60,3,IF(T892&lt;=80,4,5)))))</x:f>
      </x:c>
      <x:c r="V892" s="2" t="str">
        <x:f>IF(M892="","",MAX(0,'Motor_Meciuri'!BF69-IF(W892="OOS PENDING",'Config_v6'!$B$35,0)-IF(L892&gt;'Config_v6'!$B$12,'Config_v6'!$B$37,IF(L892&gt;'Config_v6'!$B$11,'Config_v6'!$B$36,0))))</x:f>
      </x:c>
      <x:c r="W892" s="2" t="str">
        <x:f>IF(B892="","",IF(I892&lt;&gt;"READY","NOT RELEASED",IF(NOT(AND(J892="PASS",'Calibrare_Linii'!U10="VALID")),"INVALID",IF(NOT(AND('Calibrare_Linii'!S10="VALIDATED",AND('Calibrare_Linii'!H10=C892,ISNUMBER('Calibrare_Linii'!J10),'Calibrare_Linii'!J10&lt;='Input_Meci'!G69))),"OOS PENDING",IF(S892&lt;='Calibrare_Linii'!E10,"PASS",IF(S892&lt;='Calibrare_Linii'!F10,"PENALTY","WATCH"))))))</x:f>
      </x:c>
      <x:c r="X892" s="2" t="str">
        <x:f>IF(M892="","",IF(AND(AND(J892="PASS",'Calibrare_Linii'!U10="VALID"),'Motor_Meciuri'!K69=12,'Motor_Meciuri'!L69=12,'Motor_Meciuri'!M69="NO",'Motor_Meciuri'!BL69='Motor_Meciuri'!C69,AB892&gt;='Config_v6'!$B$50,AN892&gt;='Config_v6'!$B$51,T892&lt;='Config_v6'!$B$52,L892&lt;='Config_v6'!$B$53,ISNUMBER('Calibrare_Linii'!E10),S892&lt;='Calibrare_Linii'!E10,SUM(AK892:AM892)&gt;0),"CANDIDATE","NO"))</x:f>
      </x:c>
      <x:c r="Y892" s="2" t="str">
        <x:f>IF(B892="","",IF(I892&lt;&gt;"READY","NOT RELEASED",IF(AND(X892="CANDIDATE",V892&gt;='Config_v6'!$B$51,W892="PASS",'Calibrare_Linii'!T10="VALIDATED",AND('Calibrare_Linii'!H10=C892,ISNUMBER('Calibrare_Linii'!J10),'Calibrare_Linii'!J10&lt;='Input_Meci'!G69)),"PASS",IF(X892="CANDIDATE","OOS PENDING","FAIL"))))</x:f>
      </x:c>
      <x:c r="Z892" s="2" t="str">
        <x:f>IF(B892="","",IF(I892&lt;&gt;"READY","",IF(OR(NOT(AND(J892="PASS",'Calibrare_Linii'!U10="VALID")),L892&gt;'Config_v6'!$B$13,W892="WATCH"),5,IF(Y892="PASS",1,MIN(5,MAX('Config_v6'!$B$42,U892)+IF(W892="PENALTY",1,0))))))</x:f>
      </x:c>
      <x:c r="AA892" s="2" t="str">
        <x:f>IF(B892="","",IF(I892&lt;&gt;"READY","NOT RELEASED",IF(Z892=5,"NO BET",IF(OR(AB892&lt;'Config_v6'!$B$16,V892&lt;'Config_v6'!$B$18),"WATCH",IF(Z892=1,"DEFENSIV",IF(Z892=2,"PRUDENT",IF(Z892=3,"MODERAT","RIDICAT")))))))</x:f>
      </x:c>
      <x:c r="AB892" s="10" t="str">
        <x:f>IF(N892="","",MIN(N892,1-S892))</x:f>
      </x:c>
      <x:c r="AC892" s="2" t="str">
        <x:f>IF(AD892&lt;&gt;1,"",COUNTIFS($Z$888:$Z$901,"&lt;"&amp;Z892,$AD$888:$AD$901,1)+COUNTIFS($Z$888:$Z$901,Z892,$AB$888:$AB$901,"&gt;"&amp;AB892,$AD$888:$AD$901,1)+COUNTIFS($Z$888:$Z$901,Z892,$AB$888:$AB$901,AB892,$V$888:$V$901,"&gt;"&amp;V892,$AD$888:$AD$901,1)+COUNTIFS($Z$888:Z892,Z892,$AB$888:AB892,AB892,$V$888:V892,V892,$AD$888:AD892,1))</x:f>
      </x:c>
      <x:c r="AD892" s="2" t="n">
        <x:f>IF(OR(AA892="DEFENSIV",AA892="PRUDENT",AA892="MODERAT",AA892="RIDICAT"),1,0)</x:f>
        <x:v>0</x:v>
      </x:c>
      <x:c r="AE892" s="2" t="str">
        <x:f>IF(AD892&lt;&gt;1,"NO",IF(W892="PASS","YES",IF(W892="OOS PENDING","CONDITIONAL","NO")))</x:f>
        <x:v>NO</x:v>
      </x:c>
      <x:c r="AF892" s="2" t="n">
        <x:f>IF(AND(AD892=1,AC892=1,E892="LIVE"),1,0)</x:f>
        <x:v>0</x:v>
      </x:c>
      <x:c r="AG892" s="2" t="str">
        <x:f>IF(AF892&lt;&gt;1,"",'Dashboard'!P89)</x:f>
      </x:c>
      <x:c r="AH892" s="2" t="str">
        <x:f>IF(B892="","",IF(J892&lt;&gt;"PASS",'Motor_Meciuri'!J69,IF('Calibrare_Linii'!U10&lt;&gt;"VALID","Parametri linie invalizi",IF(L892&gt;'Config_v6'!$B$13,"Dispersie peste limita",IF(W892="WATCH","Failure peste limita",IF(AB892&lt;'Config_v6'!$B$16,"P finala sub prag",IF(V892&lt;'Config_v6'!$B$18,"Confidence sub prag",IF(E892="REPLAY","Exemplu retrospectiv; exclus din Top LIVE",IF(Y892="PASS","DEFENSIV validat",IF(W892="OOS PENDING","Eligibil; calibrare linie in monitorizare","Eligibil"))))))))))</x:f>
      </x:c>
      <x:c r="AI892" s="2" t="str">
        <x:f>IF(B892="","",'Calibrare_Linii'!V10)</x:f>
      </x:c>
      <x:c r="AJ892" s="2" t="str">
        <x:f>IF(B892="","",IF(AND('Calibrare_Linii'!T10="VALIDATED",AND('Calibrare_Linii'!H10=C892,ISNUMBER('Calibrare_Linii'!J10),'Calibrare_Linii'!J10&lt;='Input_Meci'!G69)),"DEFENSIVE VALIDATED",IF(AND('Calibrare_Linii'!S10="VALIDATED",AND('Calibrare_Linii'!H10=C892,ISNUMBER('Calibrare_Linii'!J10),'Calibrare_Linii'!J10&lt;='Input_Meci'!G69)),"TAIL VALIDATED","OOS PENDING")))</x:f>
      </x:c>
      <x:c r="AK892" s="2" t="n">
        <x:f>IF(J892&lt;&gt;"PASS",0,'Motor_Meciuri'!BR69)</x:f>
        <x:v>0</x:v>
      </x:c>
      <x:c r="AL892" s="2" t="n">
        <x:f>IF(J892&lt;&gt;"PASS",0,'Motor_Meciuri'!BS69)</x:f>
        <x:v>0</x:v>
      </x:c>
      <x:c r="AM892" s="2" t="n">
        <x:f>IF(J892&lt;&gt;"PASS",0,'Motor_Meciuri'!BT69)</x:f>
        <x:v>0</x:v>
      </x:c>
      <x:c r="AN892" s="2" t="str">
        <x:f>IF(M892="","",MAX(0,'Motor_Meciuri'!BF69-IF(L892&gt;'Config_v6'!$B$12,'Config_v6'!$B$37,IF(L892&gt;'Config_v6'!$B$11,'Config_v6'!$B$36,0))))</x:f>
      </x:c>
    </x:row>
    <x:row r="893" ht="21" customHeight="1">
      <x:c r="A893" s="2" t="n">
        <x:v>64</x:v>
      </x:c>
      <x:c r="B893" s="2" t="str">
        <x:f>IF('Motor_Meciuri'!A69="","",'Motor_Meciuri'!A69)</x:f>
      </x:c>
      <x:c r="C893" s="2" t="str">
        <x:f>IF(B893="","",'Motor_Meciuri'!B69)</x:f>
      </x:c>
      <x:c r="D893" s="2" t="str">
        <x:f>IF(B893="","",'Motor_Meciuri'!D69)</x:f>
      </x:c>
      <x:c r="E893" s="2" t="str">
        <x:f>IF(B893="","",'Motor_Meciuri'!E69)</x:f>
      </x:c>
      <x:c r="F893" s="2" t="str">
        <x:v>O8,5</x:v>
      </x:c>
      <x:c r="G893" s="2" t="str">
        <x:v>OVER</x:v>
      </x:c>
      <x:c r="H893" s="2" t="n">
        <x:v>8</x:v>
      </x:c>
      <x:c r="I893" s="2" t="str">
        <x:f>IF(B893="","",'Motor_Meciuri'!H69)</x:f>
      </x:c>
      <x:c r="J893" s="2" t="str">
        <x:f>IF(B893="","",'Motor_Meciuri'!I69)</x:f>
      </x:c>
      <x:c r="K893" s="11" t="str">
        <x:f>IF(J893&lt;&gt;"PASS","",'Motor_Meciuri'!BD69)</x:f>
      </x:c>
      <x:c r="L893" s="11" t="str">
        <x:f>IF(J893&lt;&gt;"PASS","",'Motor_Meciuri'!AU69)</x:f>
      </x:c>
      <x:c r="M893" s="10" t="str">
        <x:f>IF(NOT(AND(J893="PASS",'Calibrare_Linii'!U11="VALID")),"",1-'Distributie'!AF69)</x:f>
      </x:c>
      <x:c r="N893" s="10" t="str">
        <x:f>IF(M893="","",MAX(0.01,MIN(0.99,0.5+(M893-0.5)*'Motor_Meciuri'!BG69*'Calibrare_Linii'!D11)))</x:f>
      </x:c>
      <x:c r="O893" s="10" t="str">
        <x:f>IF(M893="","",1-M893)</x:f>
      </x:c>
      <x:c r="P893" s="10" t="str">
        <x:f>IF(OR(NOT(AND(J893="PASS",'Calibrare_Linii'!U11="VALID")),AK893=0),""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*('Istoric_Nativ'!$Q$6:$Q$405&lt;=H893))/AK893)</x:f>
      </x:c>
      <x:c r="Q893" s="10" t="str">
        <x:f>IF(OR(NOT(AND(J893="PASS",'Calibrare_Linii'!U11="VALID")),AL893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M69)+((('Istoric_Nativ'!$E$6:$E$405='Input_Meci'!E69)+('Istoric_Nativ'!$F$6:$F$405='Input_Meci'!E69))&gt;0)*('Istoric_Nativ'!$D$6:$D$405&gt;='Motor_Meciuri'!BN69))&gt;0)*('Istoric_Nativ'!$Q$6:$Q$405&lt;=H893))/AL893)</x:f>
      </x:c>
      <x:c r="R893" s="10" t="str">
        <x:f>IF(OR(NOT(AND(J893="PASS",'Calibrare_Linii'!U11="VALID")),AM893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O69)+((('Istoric_Nativ'!$E$6:$E$405='Input_Meci'!E69)+('Istoric_Nativ'!$F$6:$F$405='Input_Meci'!E69))&gt;0)*('Istoric_Nativ'!$D$6:$D$405&gt;='Motor_Meciuri'!BP69))&gt;0)*('Istoric_Nativ'!$Q$6:$Q$405&lt;=H893))/AM893)</x:f>
      </x:c>
      <x:c r="S893" s="10" t="str">
        <x:f>IF(M893="","",MAX(O893,P893,Q893,R893))</x:f>
      </x:c>
      <x:c r="T893" s="11" t="str">
        <x:f>IF(M893="","",MIN(100,S893*100*'Config_v6'!$B$44+MIN(100,L893/'Config_v6'!$B$13*100)*'Config_v6'!$B$45+(100-'Motor_Meciuri'!BF69)*'Config_v6'!$B$46+'Motor_Meciuri'!BH69*100*'Config_v6'!$B$47))</x:f>
      </x:c>
      <x:c r="U893" s="2" t="str">
        <x:f>IF(T893="","",IF(T893&lt;=20,1,IF(T893&lt;=40,2,IF(T893&lt;=60,3,IF(T893&lt;=80,4,5)))))</x:f>
      </x:c>
      <x:c r="V893" s="2" t="str">
        <x:f>IF(M893="","",MAX(0,'Motor_Meciuri'!BF69-IF(W893="OOS PENDING",'Config_v6'!$B$35,0)-IF(L893&gt;'Config_v6'!$B$12,'Config_v6'!$B$37,IF(L893&gt;'Config_v6'!$B$11,'Config_v6'!$B$36,0))))</x:f>
      </x:c>
      <x:c r="W893" s="2" t="str">
        <x:f>IF(B893="","",IF(I893&lt;&gt;"READY","NOT RELEASED",IF(NOT(AND(J893="PASS",'Calibrare_Linii'!U11="VALID")),"INVALID",IF(NOT(AND('Calibrare_Linii'!S11="VALIDATED",AND('Calibrare_Linii'!H11=C893,ISNUMBER('Calibrare_Linii'!J11),'Calibrare_Linii'!J11&lt;='Input_Meci'!G69))),"OOS PENDING",IF(S893&lt;='Calibrare_Linii'!E11,"PASS",IF(S893&lt;='Calibrare_Linii'!F11,"PENALTY","WATCH"))))))</x:f>
      </x:c>
      <x:c r="X893" s="2" t="str">
        <x:f>IF(M893="","",IF(AND(AND(J893="PASS",'Calibrare_Linii'!U11="VALID"),'Motor_Meciuri'!K69=12,'Motor_Meciuri'!L69=12,'Motor_Meciuri'!M69="NO",'Motor_Meciuri'!BL69='Motor_Meciuri'!C69,AB893&gt;='Config_v6'!$B$50,AN893&gt;='Config_v6'!$B$51,T893&lt;='Config_v6'!$B$52,L893&lt;='Config_v6'!$B$53,ISNUMBER('Calibrare_Linii'!E11),S893&lt;='Calibrare_Linii'!E11,SUM(AK893:AM893)&gt;0),"CANDIDATE","NO"))</x:f>
      </x:c>
      <x:c r="Y893" s="2" t="str">
        <x:f>IF(B893="","",IF(I893&lt;&gt;"READY","NOT RELEASED",IF(AND(X893="CANDIDATE",V893&gt;='Config_v6'!$B$51,W893="PASS",'Calibrare_Linii'!T11="VALIDATED",AND('Calibrare_Linii'!H11=C893,ISNUMBER('Calibrare_Linii'!J11),'Calibrare_Linii'!J11&lt;='Input_Meci'!G69)),"PASS",IF(X893="CANDIDATE","OOS PENDING","FAIL"))))</x:f>
      </x:c>
      <x:c r="Z893" s="2" t="str">
        <x:f>IF(B893="","",IF(I893&lt;&gt;"READY","",IF(OR(NOT(AND(J893="PASS",'Calibrare_Linii'!U11="VALID")),L893&gt;'Config_v6'!$B$13,W893="WATCH"),5,IF(Y893="PASS",1,MIN(5,MAX('Config_v6'!$B$42,U893)+IF(W893="PENALTY",1,0))))))</x:f>
      </x:c>
      <x:c r="AA893" s="2" t="str">
        <x:f>IF(B893="","",IF(I893&lt;&gt;"READY","NOT RELEASED",IF(Z893=5,"NO BET",IF(OR(AB893&lt;'Config_v6'!$B$16,V893&lt;'Config_v6'!$B$18),"WATCH",IF(Z893=1,"DEFENSIV",IF(Z893=2,"PRUDENT",IF(Z893=3,"MODERAT","RIDICAT")))))))</x:f>
      </x:c>
      <x:c r="AB893" s="10" t="str">
        <x:f>IF(N893="","",MIN(N893,1-S893))</x:f>
      </x:c>
      <x:c r="AC893" s="2" t="str">
        <x:f>IF(AD893&lt;&gt;1,"",COUNTIFS($Z$888:$Z$901,"&lt;"&amp;Z893,$AD$888:$AD$901,1)+COUNTIFS($Z$888:$Z$901,Z893,$AB$888:$AB$901,"&gt;"&amp;AB893,$AD$888:$AD$901,1)+COUNTIFS($Z$888:$Z$901,Z893,$AB$888:$AB$901,AB893,$V$888:$V$901,"&gt;"&amp;V893,$AD$888:$AD$901,1)+COUNTIFS($Z$888:Z893,Z893,$AB$888:AB893,AB893,$V$888:V893,V893,$AD$888:AD893,1))</x:f>
      </x:c>
      <x:c r="AD893" s="2" t="n">
        <x:f>IF(OR(AA893="DEFENSIV",AA893="PRUDENT",AA893="MODERAT",AA893="RIDICAT"),1,0)</x:f>
        <x:v>0</x:v>
      </x:c>
      <x:c r="AE893" s="2" t="str">
        <x:f>IF(AD893&lt;&gt;1,"NO",IF(W893="PASS","YES",IF(W893="OOS PENDING","CONDITIONAL","NO")))</x:f>
        <x:v>NO</x:v>
      </x:c>
      <x:c r="AF893" s="2" t="n">
        <x:f>IF(AND(AD893=1,AC893=1,E893="LIVE"),1,0)</x:f>
        <x:v>0</x:v>
      </x:c>
      <x:c r="AG893" s="2" t="str">
        <x:f>IF(AF893&lt;&gt;1,"",'Dashboard'!P89)</x:f>
      </x:c>
      <x:c r="AH893" s="2" t="str">
        <x:f>IF(B893="","",IF(J893&lt;&gt;"PASS",'Motor_Meciuri'!J69,IF('Calibrare_Linii'!U11&lt;&gt;"VALID","Parametri linie invalizi",IF(L893&gt;'Config_v6'!$B$13,"Dispersie peste limita",IF(W893="WATCH","Failure peste limita",IF(AB893&lt;'Config_v6'!$B$16,"P finala sub prag",IF(V893&lt;'Config_v6'!$B$18,"Confidence sub prag",IF(E893="REPLAY","Exemplu retrospectiv; exclus din Top LIVE",IF(Y893="PASS","DEFENSIV validat",IF(W893="OOS PENDING","Eligibil; calibrare linie in monitorizare","Eligibil"))))))))))</x:f>
      </x:c>
      <x:c r="AI893" s="2" t="str">
        <x:f>IF(B893="","",'Calibrare_Linii'!V11)</x:f>
      </x:c>
      <x:c r="AJ893" s="2" t="str">
        <x:f>IF(B893="","",IF(AND('Calibrare_Linii'!T11="VALIDATED",AND('Calibrare_Linii'!H11=C893,ISNUMBER('Calibrare_Linii'!J11),'Calibrare_Linii'!J11&lt;='Input_Meci'!G69)),"DEFENSIVE VALIDATED",IF(AND('Calibrare_Linii'!S11="VALIDATED",AND('Calibrare_Linii'!H11=C893,ISNUMBER('Calibrare_Linii'!J11),'Calibrare_Linii'!J11&lt;='Input_Meci'!G69)),"TAIL VALIDATED","OOS PENDING")))</x:f>
      </x:c>
      <x:c r="AK893" s="2" t="n">
        <x:f>IF(J893&lt;&gt;"PASS",0,'Motor_Meciuri'!BR69)</x:f>
        <x:v>0</x:v>
      </x:c>
      <x:c r="AL893" s="2" t="n">
        <x:f>IF(J893&lt;&gt;"PASS",0,'Motor_Meciuri'!BS69)</x:f>
        <x:v>0</x:v>
      </x:c>
      <x:c r="AM893" s="2" t="n">
        <x:f>IF(J893&lt;&gt;"PASS",0,'Motor_Meciuri'!BT69)</x:f>
        <x:v>0</x:v>
      </x:c>
      <x:c r="AN893" s="2" t="str">
        <x:f>IF(M893="","",MAX(0,'Motor_Meciuri'!BF69-IF(L893&gt;'Config_v6'!$B$12,'Config_v6'!$B$37,IF(L893&gt;'Config_v6'!$B$11,'Config_v6'!$B$36,0))))</x:f>
      </x:c>
    </x:row>
    <x:row r="894" ht="21" customHeight="1">
      <x:c r="A894" s="2" t="n">
        <x:v>64</x:v>
      </x:c>
      <x:c r="B894" s="2" t="str">
        <x:f>IF('Motor_Meciuri'!A69="","",'Motor_Meciuri'!A69)</x:f>
      </x:c>
      <x:c r="C894" s="2" t="str">
        <x:f>IF(B894="","",'Motor_Meciuri'!B69)</x:f>
      </x:c>
      <x:c r="D894" s="2" t="str">
        <x:f>IF(B894="","",'Motor_Meciuri'!D69)</x:f>
      </x:c>
      <x:c r="E894" s="2" t="str">
        <x:f>IF(B894="","",'Motor_Meciuri'!E69)</x:f>
      </x:c>
      <x:c r="F894" s="2" t="str">
        <x:v>U10,5</x:v>
      </x:c>
      <x:c r="G894" s="2" t="str">
        <x:v>UNDER</x:v>
      </x:c>
      <x:c r="H894" s="2" t="n">
        <x:v>10</x:v>
      </x:c>
      <x:c r="I894" s="2" t="str">
        <x:f>IF(B894="","",'Motor_Meciuri'!H69)</x:f>
      </x:c>
      <x:c r="J894" s="2" t="str">
        <x:f>IF(B894="","",'Motor_Meciuri'!I69)</x:f>
      </x:c>
      <x:c r="K894" s="11" t="str">
        <x:f>IF(J894&lt;&gt;"PASS","",'Motor_Meciuri'!BD69)</x:f>
      </x:c>
      <x:c r="L894" s="11" t="str">
        <x:f>IF(J894&lt;&gt;"PASS","",'Motor_Meciuri'!AU69)</x:f>
      </x:c>
      <x:c r="M894" s="10" t="str">
        <x:f>IF(NOT(AND(J894="PASS",'Calibrare_Linii'!U12="VALID")),"",'Distributie'!AH69)</x:f>
      </x:c>
      <x:c r="N894" s="10" t="str">
        <x:f>IF(M894="","",MAX(0.01,MIN(0.99,0.5+(M894-0.5)*'Motor_Meciuri'!BG69*'Calibrare_Linii'!D12)))</x:f>
      </x:c>
      <x:c r="O894" s="10" t="str">
        <x:f>IF(M894="","",1-M894)</x:f>
      </x:c>
      <x:c r="P894" s="10" t="str">
        <x:f>IF(OR(NOT(AND(J894="PASS",'Calibrare_Linii'!U12="VALID")),AK894=0),""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*('Istoric_Nativ'!$Q$6:$Q$405&gt;H894))/AK894)</x:f>
      </x:c>
      <x:c r="Q894" s="10" t="str">
        <x:f>IF(OR(NOT(AND(J894="PASS",'Calibrare_Linii'!U12="VALID")),AL894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M69)+((('Istoric_Nativ'!$E$6:$E$405='Input_Meci'!E69)+('Istoric_Nativ'!$F$6:$F$405='Input_Meci'!E69))&gt;0)*('Istoric_Nativ'!$D$6:$D$405&gt;='Motor_Meciuri'!BN69))&gt;0)*('Istoric_Nativ'!$Q$6:$Q$405&gt;H894))/AL894)</x:f>
      </x:c>
      <x:c r="R894" s="10" t="str">
        <x:f>IF(OR(NOT(AND(J894="PASS",'Calibrare_Linii'!U12="VALID")),AM894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O69)+((('Istoric_Nativ'!$E$6:$E$405='Input_Meci'!E69)+('Istoric_Nativ'!$F$6:$F$405='Input_Meci'!E69))&gt;0)*('Istoric_Nativ'!$D$6:$D$405&gt;='Motor_Meciuri'!BP69))&gt;0)*('Istoric_Nativ'!$Q$6:$Q$405&gt;H894))/AM894)</x:f>
      </x:c>
      <x:c r="S894" s="10" t="str">
        <x:f>IF(M894="","",MAX(O894,P894,Q894,R894))</x:f>
      </x:c>
      <x:c r="T894" s="11" t="str">
        <x:f>IF(M894="","",MIN(100,S894*100*'Config_v6'!$B$44+MIN(100,L894/'Config_v6'!$B$13*100)*'Config_v6'!$B$45+(100-'Motor_Meciuri'!BF69)*'Config_v6'!$B$46+'Motor_Meciuri'!BH69*100*'Config_v6'!$B$47))</x:f>
      </x:c>
      <x:c r="U894" s="2" t="str">
        <x:f>IF(T894="","",IF(T894&lt;=20,1,IF(T894&lt;=40,2,IF(T894&lt;=60,3,IF(T894&lt;=80,4,5)))))</x:f>
      </x:c>
      <x:c r="V894" s="2" t="str">
        <x:f>IF(M894="","",MAX(0,'Motor_Meciuri'!BF69-IF(W894="OOS PENDING",'Config_v6'!$B$35,0)-IF(L894&gt;'Config_v6'!$B$12,'Config_v6'!$B$37,IF(L894&gt;'Config_v6'!$B$11,'Config_v6'!$B$36,0))))</x:f>
      </x:c>
      <x:c r="W894" s="2" t="str">
        <x:f>IF(B894="","",IF(I894&lt;&gt;"READY","NOT RELEASED",IF(NOT(AND(J894="PASS",'Calibrare_Linii'!U12="VALID")),"INVALID",IF(NOT(AND('Calibrare_Linii'!S12="VALIDATED",AND('Calibrare_Linii'!H12=C894,ISNUMBER('Calibrare_Linii'!J12),'Calibrare_Linii'!J12&lt;='Input_Meci'!G69))),"OOS PENDING",IF(S894&lt;='Calibrare_Linii'!E12,"PASS",IF(S894&lt;='Calibrare_Linii'!F12,"PENALTY","WATCH"))))))</x:f>
      </x:c>
      <x:c r="X894" s="2" t="str">
        <x:f>IF(M894="","",IF(AND(AND(J894="PASS",'Calibrare_Linii'!U12="VALID"),'Motor_Meciuri'!K69=12,'Motor_Meciuri'!L69=12,'Motor_Meciuri'!M69="NO",'Motor_Meciuri'!BL69='Motor_Meciuri'!C69,AB894&gt;='Config_v6'!$B$50,AN894&gt;='Config_v6'!$B$51,T894&lt;='Config_v6'!$B$52,L894&lt;='Config_v6'!$B$53,ISNUMBER('Calibrare_Linii'!E12),S894&lt;='Calibrare_Linii'!E12,SUM(AK894:AM894)&gt;0),"CANDIDATE","NO"))</x:f>
      </x:c>
      <x:c r="Y894" s="2" t="str">
        <x:f>IF(B894="","",IF(I894&lt;&gt;"READY","NOT RELEASED",IF(AND(X894="CANDIDATE",V894&gt;='Config_v6'!$B$51,W894="PASS",'Calibrare_Linii'!T12="VALIDATED",AND('Calibrare_Linii'!H12=C894,ISNUMBER('Calibrare_Linii'!J12),'Calibrare_Linii'!J12&lt;='Input_Meci'!G69)),"PASS",IF(X894="CANDIDATE","OOS PENDING","FAIL"))))</x:f>
      </x:c>
      <x:c r="Z894" s="2" t="str">
        <x:f>IF(B894="","",IF(I894&lt;&gt;"READY","",IF(OR(NOT(AND(J894="PASS",'Calibrare_Linii'!U12="VALID")),L894&gt;'Config_v6'!$B$13,W894="WATCH"),5,IF(Y894="PASS",1,MIN(5,MAX('Config_v6'!$B$42,U894)+IF(W894="PENALTY",1,0))))))</x:f>
      </x:c>
      <x:c r="AA894" s="2" t="str">
        <x:f>IF(B894="","",IF(I894&lt;&gt;"READY","NOT RELEASED",IF(Z894=5,"NO BET",IF(OR(AB894&lt;'Config_v6'!$B$16,V894&lt;'Config_v6'!$B$18),"WATCH",IF(Z894=1,"DEFENSIV",IF(Z894=2,"PRUDENT",IF(Z894=3,"MODERAT","RIDICAT")))))))</x:f>
      </x:c>
      <x:c r="AB894" s="10" t="str">
        <x:f>IF(N894="","",MIN(N894,1-S894))</x:f>
      </x:c>
      <x:c r="AC894" s="2" t="str">
        <x:f>IF(AD894&lt;&gt;1,"",COUNTIFS($Z$888:$Z$901,"&lt;"&amp;Z894,$AD$888:$AD$901,1)+COUNTIFS($Z$888:$Z$901,Z894,$AB$888:$AB$901,"&gt;"&amp;AB894,$AD$888:$AD$901,1)+COUNTIFS($Z$888:$Z$901,Z894,$AB$888:$AB$901,AB894,$V$888:$V$901,"&gt;"&amp;V894,$AD$888:$AD$901,1)+COUNTIFS($Z$888:Z894,Z894,$AB$888:AB894,AB894,$V$888:V894,V894,$AD$888:AD894,1))</x:f>
      </x:c>
      <x:c r="AD894" s="2" t="n">
        <x:f>IF(OR(AA894="DEFENSIV",AA894="PRUDENT",AA894="MODERAT",AA894="RIDICAT"),1,0)</x:f>
        <x:v>0</x:v>
      </x:c>
      <x:c r="AE894" s="2" t="str">
        <x:f>IF(AD894&lt;&gt;1,"NO",IF(W894="PASS","YES",IF(W894="OOS PENDING","CONDITIONAL","NO")))</x:f>
        <x:v>NO</x:v>
      </x:c>
      <x:c r="AF894" s="2" t="n">
        <x:f>IF(AND(AD894=1,AC894=1,E894="LIVE"),1,0)</x:f>
        <x:v>0</x:v>
      </x:c>
      <x:c r="AG894" s="2" t="str">
        <x:f>IF(AF894&lt;&gt;1,"",'Dashboard'!P89)</x:f>
      </x:c>
      <x:c r="AH894" s="2" t="str">
        <x:f>IF(B894="","",IF(J894&lt;&gt;"PASS",'Motor_Meciuri'!J69,IF('Calibrare_Linii'!U12&lt;&gt;"VALID","Parametri linie invalizi",IF(L894&gt;'Config_v6'!$B$13,"Dispersie peste limita",IF(W894="WATCH","Failure peste limita",IF(AB894&lt;'Config_v6'!$B$16,"P finala sub prag",IF(V894&lt;'Config_v6'!$B$18,"Confidence sub prag",IF(E894="REPLAY","Exemplu retrospectiv; exclus din Top LIVE",IF(Y894="PASS","DEFENSIV validat",IF(W894="OOS PENDING","Eligibil; calibrare linie in monitorizare","Eligibil"))))))))))</x:f>
      </x:c>
      <x:c r="AI894" s="2" t="str">
        <x:f>IF(B894="","",'Calibrare_Linii'!V12)</x:f>
      </x:c>
      <x:c r="AJ894" s="2" t="str">
        <x:f>IF(B894="","",IF(AND('Calibrare_Linii'!T12="VALIDATED",AND('Calibrare_Linii'!H12=C894,ISNUMBER('Calibrare_Linii'!J12),'Calibrare_Linii'!J12&lt;='Input_Meci'!G69)),"DEFENSIVE VALIDATED",IF(AND('Calibrare_Linii'!S12="VALIDATED",AND('Calibrare_Linii'!H12=C894,ISNUMBER('Calibrare_Linii'!J12),'Calibrare_Linii'!J12&lt;='Input_Meci'!G69)),"TAIL VALIDATED","OOS PENDING")))</x:f>
      </x:c>
      <x:c r="AK894" s="2" t="n">
        <x:f>IF(J894&lt;&gt;"PASS",0,'Motor_Meciuri'!BR69)</x:f>
        <x:v>0</x:v>
      </x:c>
      <x:c r="AL894" s="2" t="n">
        <x:f>IF(J894&lt;&gt;"PASS",0,'Motor_Meciuri'!BS69)</x:f>
        <x:v>0</x:v>
      </x:c>
      <x:c r="AM894" s="2" t="n">
        <x:f>IF(J894&lt;&gt;"PASS",0,'Motor_Meciuri'!BT69)</x:f>
        <x:v>0</x:v>
      </x:c>
      <x:c r="AN894" s="2" t="str">
        <x:f>IF(M894="","",MAX(0,'Motor_Meciuri'!BF69-IF(L894&gt;'Config_v6'!$B$12,'Config_v6'!$B$37,IF(L894&gt;'Config_v6'!$B$11,'Config_v6'!$B$36,0))))</x:f>
      </x:c>
    </x:row>
    <x:row r="895" ht="21" customHeight="1">
      <x:c r="A895" s="2" t="n">
        <x:v>64</x:v>
      </x:c>
      <x:c r="B895" s="2" t="str">
        <x:f>IF('Motor_Meciuri'!A69="","",'Motor_Meciuri'!A69)</x:f>
      </x:c>
      <x:c r="C895" s="2" t="str">
        <x:f>IF(B895="","",'Motor_Meciuri'!B69)</x:f>
      </x:c>
      <x:c r="D895" s="2" t="str">
        <x:f>IF(B895="","",'Motor_Meciuri'!D69)</x:f>
      </x:c>
      <x:c r="E895" s="2" t="str">
        <x:f>IF(B895="","",'Motor_Meciuri'!E69)</x:f>
      </x:c>
      <x:c r="F895" s="2" t="str">
        <x:v>U11,5</x:v>
      </x:c>
      <x:c r="G895" s="2" t="str">
        <x:v>UNDER</x:v>
      </x:c>
      <x:c r="H895" s="2" t="n">
        <x:v>11</x:v>
      </x:c>
      <x:c r="I895" s="2" t="str">
        <x:f>IF(B895="","",'Motor_Meciuri'!H69)</x:f>
      </x:c>
      <x:c r="J895" s="2" t="str">
        <x:f>IF(B895="","",'Motor_Meciuri'!I69)</x:f>
      </x:c>
      <x:c r="K895" s="11" t="str">
        <x:f>IF(J895&lt;&gt;"PASS","",'Motor_Meciuri'!BD69)</x:f>
      </x:c>
      <x:c r="L895" s="11" t="str">
        <x:f>IF(J895&lt;&gt;"PASS","",'Motor_Meciuri'!AU69)</x:f>
      </x:c>
      <x:c r="M895" s="10" t="str">
        <x:f>IF(NOT(AND(J895="PASS",'Calibrare_Linii'!U13="VALID")),"",'Distributie'!AI69)</x:f>
      </x:c>
      <x:c r="N895" s="10" t="str">
        <x:f>IF(M895="","",MAX(0.01,MIN(0.99,0.5+(M895-0.5)*'Motor_Meciuri'!BG69*'Calibrare_Linii'!D13)))</x:f>
      </x:c>
      <x:c r="O895" s="10" t="str">
        <x:f>IF(M895="","",1-M895)</x:f>
      </x:c>
      <x:c r="P895" s="10" t="str">
        <x:f>IF(OR(NOT(AND(J895="PASS",'Calibrare_Linii'!U13="VALID")),AK895=0),""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*('Istoric_Nativ'!$Q$6:$Q$405&gt;H895))/AK895)</x:f>
      </x:c>
      <x:c r="Q895" s="10" t="str">
        <x:f>IF(OR(NOT(AND(J895="PASS",'Calibrare_Linii'!U13="VALID")),AL895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M69)+((('Istoric_Nativ'!$E$6:$E$405='Input_Meci'!E69)+('Istoric_Nativ'!$F$6:$F$405='Input_Meci'!E69))&gt;0)*('Istoric_Nativ'!$D$6:$D$405&gt;='Motor_Meciuri'!BN69))&gt;0)*('Istoric_Nativ'!$Q$6:$Q$405&gt;H895))/AL895)</x:f>
      </x:c>
      <x:c r="R895" s="10" t="str">
        <x:f>IF(OR(NOT(AND(J895="PASS",'Calibrare_Linii'!U13="VALID")),AM895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O69)+((('Istoric_Nativ'!$E$6:$E$405='Input_Meci'!E69)+('Istoric_Nativ'!$F$6:$F$405='Input_Meci'!E69))&gt;0)*('Istoric_Nativ'!$D$6:$D$405&gt;='Motor_Meciuri'!BP69))&gt;0)*('Istoric_Nativ'!$Q$6:$Q$405&gt;H895))/AM895)</x:f>
      </x:c>
      <x:c r="S895" s="10" t="str">
        <x:f>IF(M895="","",MAX(O895,P895,Q895,R895))</x:f>
      </x:c>
      <x:c r="T895" s="11" t="str">
        <x:f>IF(M895="","",MIN(100,S895*100*'Config_v6'!$B$44+MIN(100,L895/'Config_v6'!$B$13*100)*'Config_v6'!$B$45+(100-'Motor_Meciuri'!BF69)*'Config_v6'!$B$46+'Motor_Meciuri'!BH69*100*'Config_v6'!$B$47))</x:f>
      </x:c>
      <x:c r="U895" s="2" t="str">
        <x:f>IF(T895="","",IF(T895&lt;=20,1,IF(T895&lt;=40,2,IF(T895&lt;=60,3,IF(T895&lt;=80,4,5)))))</x:f>
      </x:c>
      <x:c r="V895" s="2" t="str">
        <x:f>IF(M895="","",MAX(0,'Motor_Meciuri'!BF69-IF(W895="OOS PENDING",'Config_v6'!$B$35,0)-IF(L895&gt;'Config_v6'!$B$12,'Config_v6'!$B$37,IF(L895&gt;'Config_v6'!$B$11,'Config_v6'!$B$36,0))))</x:f>
      </x:c>
      <x:c r="W895" s="2" t="str">
        <x:f>IF(B895="","",IF(I895&lt;&gt;"READY","NOT RELEASED",IF(NOT(AND(J895="PASS",'Calibrare_Linii'!U13="VALID")),"INVALID",IF(NOT(AND('Calibrare_Linii'!S13="VALIDATED",AND('Calibrare_Linii'!H13=C895,ISNUMBER('Calibrare_Linii'!J13),'Calibrare_Linii'!J13&lt;='Input_Meci'!G69))),"OOS PENDING",IF(S895&lt;='Calibrare_Linii'!E13,"PASS",IF(S895&lt;='Calibrare_Linii'!F13,"PENALTY","WATCH"))))))</x:f>
      </x:c>
      <x:c r="X895" s="2" t="str">
        <x:f>IF(M895="","",IF(AND(AND(J895="PASS",'Calibrare_Linii'!U13="VALID"),'Motor_Meciuri'!K69=12,'Motor_Meciuri'!L69=12,'Motor_Meciuri'!M69="NO",'Motor_Meciuri'!BL69='Motor_Meciuri'!C69,AB895&gt;='Config_v6'!$B$50,AN895&gt;='Config_v6'!$B$51,T895&lt;='Config_v6'!$B$52,L895&lt;='Config_v6'!$B$53,ISNUMBER('Calibrare_Linii'!E13),S895&lt;='Calibrare_Linii'!E13,SUM(AK895:AM895)&gt;0),"CANDIDATE","NO"))</x:f>
      </x:c>
      <x:c r="Y895" s="2" t="str">
        <x:f>IF(B895="","",IF(I895&lt;&gt;"READY","NOT RELEASED",IF(AND(X895="CANDIDATE",V895&gt;='Config_v6'!$B$51,W895="PASS",'Calibrare_Linii'!T13="VALIDATED",AND('Calibrare_Linii'!H13=C895,ISNUMBER('Calibrare_Linii'!J13),'Calibrare_Linii'!J13&lt;='Input_Meci'!G69)),"PASS",IF(X895="CANDIDATE","OOS PENDING","FAIL"))))</x:f>
      </x:c>
      <x:c r="Z895" s="2" t="str">
        <x:f>IF(B895="","",IF(I895&lt;&gt;"READY","",IF(OR(NOT(AND(J895="PASS",'Calibrare_Linii'!U13="VALID")),L895&gt;'Config_v6'!$B$13,W895="WATCH"),5,IF(Y895="PASS",1,MIN(5,MAX('Config_v6'!$B$42,U895)+IF(W895="PENALTY",1,0))))))</x:f>
      </x:c>
      <x:c r="AA895" s="2" t="str">
        <x:f>IF(B895="","",IF(I895&lt;&gt;"READY","NOT RELEASED",IF(Z895=5,"NO BET",IF(OR(AB895&lt;'Config_v6'!$B$16,V895&lt;'Config_v6'!$B$18),"WATCH",IF(Z895=1,"DEFENSIV",IF(Z895=2,"PRUDENT",IF(Z895=3,"MODERAT","RIDICAT")))))))</x:f>
      </x:c>
      <x:c r="AB895" s="10" t="str">
        <x:f>IF(N895="","",MIN(N895,1-S895))</x:f>
      </x:c>
      <x:c r="AC895" s="2" t="str">
        <x:f>IF(AD895&lt;&gt;1,"",COUNTIFS($Z$888:$Z$901,"&lt;"&amp;Z895,$AD$888:$AD$901,1)+COUNTIFS($Z$888:$Z$901,Z895,$AB$888:$AB$901,"&gt;"&amp;AB895,$AD$888:$AD$901,1)+COUNTIFS($Z$888:$Z$901,Z895,$AB$888:$AB$901,AB895,$V$888:$V$901,"&gt;"&amp;V895,$AD$888:$AD$901,1)+COUNTIFS($Z$888:Z895,Z895,$AB$888:AB895,AB895,$V$888:V895,V895,$AD$888:AD895,1))</x:f>
      </x:c>
      <x:c r="AD895" s="2" t="n">
        <x:f>IF(OR(AA895="DEFENSIV",AA895="PRUDENT",AA895="MODERAT",AA895="RIDICAT"),1,0)</x:f>
        <x:v>0</x:v>
      </x:c>
      <x:c r="AE895" s="2" t="str">
        <x:f>IF(AD895&lt;&gt;1,"NO",IF(W895="PASS","YES",IF(W895="OOS PENDING","CONDITIONAL","NO")))</x:f>
        <x:v>NO</x:v>
      </x:c>
      <x:c r="AF895" s="2" t="n">
        <x:f>IF(AND(AD895=1,AC895=1,E895="LIVE"),1,0)</x:f>
        <x:v>0</x:v>
      </x:c>
      <x:c r="AG895" s="2" t="str">
        <x:f>IF(AF895&lt;&gt;1,"",'Dashboard'!P89)</x:f>
      </x:c>
      <x:c r="AH895" s="2" t="str">
        <x:f>IF(B895="","",IF(J895&lt;&gt;"PASS",'Motor_Meciuri'!J69,IF('Calibrare_Linii'!U13&lt;&gt;"VALID","Parametri linie invalizi",IF(L895&gt;'Config_v6'!$B$13,"Dispersie peste limita",IF(W895="WATCH","Failure peste limita",IF(AB895&lt;'Config_v6'!$B$16,"P finala sub prag",IF(V895&lt;'Config_v6'!$B$18,"Confidence sub prag",IF(E895="REPLAY","Exemplu retrospectiv; exclus din Top LIVE",IF(Y895="PASS","DEFENSIV validat",IF(W895="OOS PENDING","Eligibil; calibrare linie in monitorizare","Eligibil"))))))))))</x:f>
      </x:c>
      <x:c r="AI895" s="2" t="str">
        <x:f>IF(B895="","",'Calibrare_Linii'!V13)</x:f>
      </x:c>
      <x:c r="AJ895" s="2" t="str">
        <x:f>IF(B895="","",IF(AND('Calibrare_Linii'!T13="VALIDATED",AND('Calibrare_Linii'!H13=C895,ISNUMBER('Calibrare_Linii'!J13),'Calibrare_Linii'!J13&lt;='Input_Meci'!G69)),"DEFENSIVE VALIDATED",IF(AND('Calibrare_Linii'!S13="VALIDATED",AND('Calibrare_Linii'!H13=C895,ISNUMBER('Calibrare_Linii'!J13),'Calibrare_Linii'!J13&lt;='Input_Meci'!G69)),"TAIL VALIDATED","OOS PENDING")))</x:f>
      </x:c>
      <x:c r="AK895" s="2" t="n">
        <x:f>IF(J895&lt;&gt;"PASS",0,'Motor_Meciuri'!BR69)</x:f>
        <x:v>0</x:v>
      </x:c>
      <x:c r="AL895" s="2" t="n">
        <x:f>IF(J895&lt;&gt;"PASS",0,'Motor_Meciuri'!BS69)</x:f>
        <x:v>0</x:v>
      </x:c>
      <x:c r="AM895" s="2" t="n">
        <x:f>IF(J895&lt;&gt;"PASS",0,'Motor_Meciuri'!BT69)</x:f>
        <x:v>0</x:v>
      </x:c>
      <x:c r="AN895" s="2" t="str">
        <x:f>IF(M895="","",MAX(0,'Motor_Meciuri'!BF69-IF(L895&gt;'Config_v6'!$B$12,'Config_v6'!$B$37,IF(L895&gt;'Config_v6'!$B$11,'Config_v6'!$B$36,0))))</x:f>
      </x:c>
    </x:row>
    <x:row r="896" ht="21" customHeight="1">
      <x:c r="A896" s="2" t="n">
        <x:v>64</x:v>
      </x:c>
      <x:c r="B896" s="2" t="str">
        <x:f>IF('Motor_Meciuri'!A69="","",'Motor_Meciuri'!A69)</x:f>
      </x:c>
      <x:c r="C896" s="2" t="str">
        <x:f>IF(B896="","",'Motor_Meciuri'!B69)</x:f>
      </x:c>
      <x:c r="D896" s="2" t="str">
        <x:f>IF(B896="","",'Motor_Meciuri'!D69)</x:f>
      </x:c>
      <x:c r="E896" s="2" t="str">
        <x:f>IF(B896="","",'Motor_Meciuri'!E69)</x:f>
      </x:c>
      <x:c r="F896" s="2" t="str">
        <x:v>U12,5</x:v>
      </x:c>
      <x:c r="G896" s="2" t="str">
        <x:v>UNDER</x:v>
      </x:c>
      <x:c r="H896" s="2" t="n">
        <x:v>12</x:v>
      </x:c>
      <x:c r="I896" s="2" t="str">
        <x:f>IF(B896="","",'Motor_Meciuri'!H69)</x:f>
      </x:c>
      <x:c r="J896" s="2" t="str">
        <x:f>IF(B896="","",'Motor_Meciuri'!I69)</x:f>
      </x:c>
      <x:c r="K896" s="11" t="str">
        <x:f>IF(J896&lt;&gt;"PASS","",'Motor_Meciuri'!BD69)</x:f>
      </x:c>
      <x:c r="L896" s="11" t="str">
        <x:f>IF(J896&lt;&gt;"PASS","",'Motor_Meciuri'!AU69)</x:f>
      </x:c>
      <x:c r="M896" s="10" t="str">
        <x:f>IF(NOT(AND(J896="PASS",'Calibrare_Linii'!U14="VALID")),"",'Distributie'!AJ69)</x:f>
      </x:c>
      <x:c r="N896" s="10" t="str">
        <x:f>IF(M896="","",MAX(0.01,MIN(0.99,0.5+(M896-0.5)*'Motor_Meciuri'!BG69*'Calibrare_Linii'!D14)))</x:f>
      </x:c>
      <x:c r="O896" s="10" t="str">
        <x:f>IF(M896="","",1-M896)</x:f>
      </x:c>
      <x:c r="P896" s="10" t="str">
        <x:f>IF(OR(NOT(AND(J896="PASS",'Calibrare_Linii'!U14="VALID")),AK896=0),""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*('Istoric_Nativ'!$Q$6:$Q$405&gt;H896))/AK896)</x:f>
      </x:c>
      <x:c r="Q896" s="10" t="str">
        <x:f>IF(OR(NOT(AND(J896="PASS",'Calibrare_Linii'!U14="VALID")),AL896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M69)+((('Istoric_Nativ'!$E$6:$E$405='Input_Meci'!E69)+('Istoric_Nativ'!$F$6:$F$405='Input_Meci'!E69))&gt;0)*('Istoric_Nativ'!$D$6:$D$405&gt;='Motor_Meciuri'!BN69))&gt;0)*('Istoric_Nativ'!$Q$6:$Q$405&gt;H896))/AL896)</x:f>
      </x:c>
      <x:c r="R896" s="10" t="str">
        <x:f>IF(OR(NOT(AND(J896="PASS",'Calibrare_Linii'!U14="VALID")),AM896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O69)+((('Istoric_Nativ'!$E$6:$E$405='Input_Meci'!E69)+('Istoric_Nativ'!$F$6:$F$405='Input_Meci'!E69))&gt;0)*('Istoric_Nativ'!$D$6:$D$405&gt;='Motor_Meciuri'!BP69))&gt;0)*('Istoric_Nativ'!$Q$6:$Q$405&gt;H896))/AM896)</x:f>
      </x:c>
      <x:c r="S896" s="10" t="str">
        <x:f>IF(M896="","",MAX(O896,P896,Q896,R896))</x:f>
      </x:c>
      <x:c r="T896" s="11" t="str">
        <x:f>IF(M896="","",MIN(100,S896*100*'Config_v6'!$B$44+MIN(100,L896/'Config_v6'!$B$13*100)*'Config_v6'!$B$45+(100-'Motor_Meciuri'!BF69)*'Config_v6'!$B$46+'Motor_Meciuri'!BH69*100*'Config_v6'!$B$47))</x:f>
      </x:c>
      <x:c r="U896" s="2" t="str">
        <x:f>IF(T896="","",IF(T896&lt;=20,1,IF(T896&lt;=40,2,IF(T896&lt;=60,3,IF(T896&lt;=80,4,5)))))</x:f>
      </x:c>
      <x:c r="V896" s="2" t="str">
        <x:f>IF(M896="","",MAX(0,'Motor_Meciuri'!BF69-IF(W896="OOS PENDING",'Config_v6'!$B$35,0)-IF(L896&gt;'Config_v6'!$B$12,'Config_v6'!$B$37,IF(L896&gt;'Config_v6'!$B$11,'Config_v6'!$B$36,0))))</x:f>
      </x:c>
      <x:c r="W896" s="2" t="str">
        <x:f>IF(B896="","",IF(I896&lt;&gt;"READY","NOT RELEASED",IF(NOT(AND(J896="PASS",'Calibrare_Linii'!U14="VALID")),"INVALID",IF(NOT(AND('Calibrare_Linii'!S14="VALIDATED",AND('Calibrare_Linii'!H14=C896,ISNUMBER('Calibrare_Linii'!J14),'Calibrare_Linii'!J14&lt;='Input_Meci'!G69))),"OOS PENDING",IF(S896&lt;='Calibrare_Linii'!E14,"PASS",IF(S896&lt;='Calibrare_Linii'!F14,"PENALTY","WATCH"))))))</x:f>
      </x:c>
      <x:c r="X896" s="2" t="str">
        <x:f>IF(M896="","",IF(AND(AND(J896="PASS",'Calibrare_Linii'!U14="VALID"),'Motor_Meciuri'!K69=12,'Motor_Meciuri'!L69=12,'Motor_Meciuri'!M69="NO",'Motor_Meciuri'!BL69='Motor_Meciuri'!C69,AB896&gt;='Config_v6'!$B$50,AN896&gt;='Config_v6'!$B$51,T896&lt;='Config_v6'!$B$52,L896&lt;='Config_v6'!$B$53,ISNUMBER('Calibrare_Linii'!E14),S896&lt;='Calibrare_Linii'!E14,SUM(AK896:AM896)&gt;0),"CANDIDATE","NO"))</x:f>
      </x:c>
      <x:c r="Y896" s="2" t="str">
        <x:f>IF(B896="","",IF(I896&lt;&gt;"READY","NOT RELEASED",IF(AND(X896="CANDIDATE",V896&gt;='Config_v6'!$B$51,W896="PASS",'Calibrare_Linii'!T14="VALIDATED",AND('Calibrare_Linii'!H14=C896,ISNUMBER('Calibrare_Linii'!J14),'Calibrare_Linii'!J14&lt;='Input_Meci'!G69)),"PASS",IF(X896="CANDIDATE","OOS PENDING","FAIL"))))</x:f>
      </x:c>
      <x:c r="Z896" s="2" t="str">
        <x:f>IF(B896="","",IF(I896&lt;&gt;"READY","",IF(OR(NOT(AND(J896="PASS",'Calibrare_Linii'!U14="VALID")),L896&gt;'Config_v6'!$B$13,W896="WATCH"),5,IF(Y896="PASS",1,MIN(5,MAX('Config_v6'!$B$42,U896)+IF(W896="PENALTY",1,0))))))</x:f>
      </x:c>
      <x:c r="AA896" s="2" t="str">
        <x:f>IF(B896="","",IF(I896&lt;&gt;"READY","NOT RELEASED",IF(Z896=5,"NO BET",IF(OR(AB896&lt;'Config_v6'!$B$16,V896&lt;'Config_v6'!$B$18),"WATCH",IF(Z896=1,"DEFENSIV",IF(Z896=2,"PRUDENT",IF(Z896=3,"MODERAT","RIDICAT")))))))</x:f>
      </x:c>
      <x:c r="AB896" s="10" t="str">
        <x:f>IF(N896="","",MIN(N896,1-S896))</x:f>
      </x:c>
      <x:c r="AC896" s="2" t="str">
        <x:f>IF(AD896&lt;&gt;1,"",COUNTIFS($Z$888:$Z$901,"&lt;"&amp;Z896,$AD$888:$AD$901,1)+COUNTIFS($Z$888:$Z$901,Z896,$AB$888:$AB$901,"&gt;"&amp;AB896,$AD$888:$AD$901,1)+COUNTIFS($Z$888:$Z$901,Z896,$AB$888:$AB$901,AB896,$V$888:$V$901,"&gt;"&amp;V896,$AD$888:$AD$901,1)+COUNTIFS($Z$888:Z896,Z896,$AB$888:AB896,AB896,$V$888:V896,V896,$AD$888:AD896,1))</x:f>
      </x:c>
      <x:c r="AD896" s="2" t="n">
        <x:f>IF(OR(AA896="DEFENSIV",AA896="PRUDENT",AA896="MODERAT",AA896="RIDICAT"),1,0)</x:f>
        <x:v>0</x:v>
      </x:c>
      <x:c r="AE896" s="2" t="str">
        <x:f>IF(AD896&lt;&gt;1,"NO",IF(W896="PASS","YES",IF(W896="OOS PENDING","CONDITIONAL","NO")))</x:f>
        <x:v>NO</x:v>
      </x:c>
      <x:c r="AF896" s="2" t="n">
        <x:f>IF(AND(AD896=1,AC896=1,E896="LIVE"),1,0)</x:f>
        <x:v>0</x:v>
      </x:c>
      <x:c r="AG896" s="2" t="str">
        <x:f>IF(AF896&lt;&gt;1,"",'Dashboard'!P89)</x:f>
      </x:c>
      <x:c r="AH896" s="2" t="str">
        <x:f>IF(B896="","",IF(J896&lt;&gt;"PASS",'Motor_Meciuri'!J69,IF('Calibrare_Linii'!U14&lt;&gt;"VALID","Parametri linie invalizi",IF(L896&gt;'Config_v6'!$B$13,"Dispersie peste limita",IF(W896="WATCH","Failure peste limita",IF(AB896&lt;'Config_v6'!$B$16,"P finala sub prag",IF(V896&lt;'Config_v6'!$B$18,"Confidence sub prag",IF(E896="REPLAY","Exemplu retrospectiv; exclus din Top LIVE",IF(Y896="PASS","DEFENSIV validat",IF(W896="OOS PENDING","Eligibil; calibrare linie in monitorizare","Eligibil"))))))))))</x:f>
      </x:c>
      <x:c r="AI896" s="2" t="str">
        <x:f>IF(B896="","",'Calibrare_Linii'!V14)</x:f>
      </x:c>
      <x:c r="AJ896" s="2" t="str">
        <x:f>IF(B896="","",IF(AND('Calibrare_Linii'!T14="VALIDATED",AND('Calibrare_Linii'!H14=C896,ISNUMBER('Calibrare_Linii'!J14),'Calibrare_Linii'!J14&lt;='Input_Meci'!G69)),"DEFENSIVE VALIDATED",IF(AND('Calibrare_Linii'!S14="VALIDATED",AND('Calibrare_Linii'!H14=C896,ISNUMBER('Calibrare_Linii'!J14),'Calibrare_Linii'!J14&lt;='Input_Meci'!G69)),"TAIL VALIDATED","OOS PENDING")))</x:f>
      </x:c>
      <x:c r="AK896" s="2" t="n">
        <x:f>IF(J896&lt;&gt;"PASS",0,'Motor_Meciuri'!BR69)</x:f>
        <x:v>0</x:v>
      </x:c>
      <x:c r="AL896" s="2" t="n">
        <x:f>IF(J896&lt;&gt;"PASS",0,'Motor_Meciuri'!BS69)</x:f>
        <x:v>0</x:v>
      </x:c>
      <x:c r="AM896" s="2" t="n">
        <x:f>IF(J896&lt;&gt;"PASS",0,'Motor_Meciuri'!BT69)</x:f>
        <x:v>0</x:v>
      </x:c>
      <x:c r="AN896" s="2" t="str">
        <x:f>IF(M896="","",MAX(0,'Motor_Meciuri'!BF69-IF(L896&gt;'Config_v6'!$B$12,'Config_v6'!$B$37,IF(L896&gt;'Config_v6'!$B$11,'Config_v6'!$B$36,0))))</x:f>
      </x:c>
    </x:row>
    <x:row r="897" ht="21" customHeight="1">
      <x:c r="A897" s="2" t="n">
        <x:v>64</x:v>
      </x:c>
      <x:c r="B897" s="2" t="str">
        <x:f>IF('Motor_Meciuri'!A69="","",'Motor_Meciuri'!A69)</x:f>
      </x:c>
      <x:c r="C897" s="2" t="str">
        <x:f>IF(B897="","",'Motor_Meciuri'!B69)</x:f>
      </x:c>
      <x:c r="D897" s="2" t="str">
        <x:f>IF(B897="","",'Motor_Meciuri'!D69)</x:f>
      </x:c>
      <x:c r="E897" s="2" t="str">
        <x:f>IF(B897="","",'Motor_Meciuri'!E69)</x:f>
      </x:c>
      <x:c r="F897" s="2" t="str">
        <x:v>U13,5</x:v>
      </x:c>
      <x:c r="G897" s="2" t="str">
        <x:v>UNDER</x:v>
      </x:c>
      <x:c r="H897" s="2" t="n">
        <x:v>13</x:v>
      </x:c>
      <x:c r="I897" s="2" t="str">
        <x:f>IF(B897="","",'Motor_Meciuri'!H69)</x:f>
      </x:c>
      <x:c r="J897" s="2" t="str">
        <x:f>IF(B897="","",'Motor_Meciuri'!I69)</x:f>
      </x:c>
      <x:c r="K897" s="11" t="str">
        <x:f>IF(J897&lt;&gt;"PASS","",'Motor_Meciuri'!BD69)</x:f>
      </x:c>
      <x:c r="L897" s="11" t="str">
        <x:f>IF(J897&lt;&gt;"PASS","",'Motor_Meciuri'!AU69)</x:f>
      </x:c>
      <x:c r="M897" s="10" t="str">
        <x:f>IF(NOT(AND(J897="PASS",'Calibrare_Linii'!U15="VALID")),"",'Distributie'!AK69)</x:f>
      </x:c>
      <x:c r="N897" s="10" t="str">
        <x:f>IF(M897="","",MAX(0.01,MIN(0.99,0.5+(M897-0.5)*'Motor_Meciuri'!BG69*'Calibrare_Linii'!D15)))</x:f>
      </x:c>
      <x:c r="O897" s="10" t="str">
        <x:f>IF(M897="","",1-M897)</x:f>
      </x:c>
      <x:c r="P897" s="10" t="str">
        <x:f>IF(OR(NOT(AND(J897="PASS",'Calibrare_Linii'!U15="VALID")),AK897=0),""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*('Istoric_Nativ'!$Q$6:$Q$405&gt;H897))/AK897)</x:f>
      </x:c>
      <x:c r="Q897" s="10" t="str">
        <x:f>IF(OR(NOT(AND(J897="PASS",'Calibrare_Linii'!U15="VALID")),AL897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M69)+((('Istoric_Nativ'!$E$6:$E$405='Input_Meci'!E69)+('Istoric_Nativ'!$F$6:$F$405='Input_Meci'!E69))&gt;0)*('Istoric_Nativ'!$D$6:$D$405&gt;='Motor_Meciuri'!BN69))&gt;0)*('Istoric_Nativ'!$Q$6:$Q$405&gt;H897))/AL897)</x:f>
      </x:c>
      <x:c r="R897" s="10" t="str">
        <x:f>IF(OR(NOT(AND(J897="PASS",'Calibrare_Linii'!U15="VALID")),AM897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O69)+((('Istoric_Nativ'!$E$6:$E$405='Input_Meci'!E69)+('Istoric_Nativ'!$F$6:$F$405='Input_Meci'!E69))&gt;0)*('Istoric_Nativ'!$D$6:$D$405&gt;='Motor_Meciuri'!BP69))&gt;0)*('Istoric_Nativ'!$Q$6:$Q$405&gt;H897))/AM897)</x:f>
      </x:c>
      <x:c r="S897" s="10" t="str">
        <x:f>IF(M897="","",MAX(O897,P897,Q897,R897))</x:f>
      </x:c>
      <x:c r="T897" s="11" t="str">
        <x:f>IF(M897="","",MIN(100,S897*100*'Config_v6'!$B$44+MIN(100,L897/'Config_v6'!$B$13*100)*'Config_v6'!$B$45+(100-'Motor_Meciuri'!BF69)*'Config_v6'!$B$46+'Motor_Meciuri'!BH69*100*'Config_v6'!$B$47))</x:f>
      </x:c>
      <x:c r="U897" s="2" t="str">
        <x:f>IF(T897="","",IF(T897&lt;=20,1,IF(T897&lt;=40,2,IF(T897&lt;=60,3,IF(T897&lt;=80,4,5)))))</x:f>
      </x:c>
      <x:c r="V897" s="2" t="str">
        <x:f>IF(M897="","",MAX(0,'Motor_Meciuri'!BF69-IF(W897="OOS PENDING",'Config_v6'!$B$35,0)-IF(L897&gt;'Config_v6'!$B$12,'Config_v6'!$B$37,IF(L897&gt;'Config_v6'!$B$11,'Config_v6'!$B$36,0))))</x:f>
      </x:c>
      <x:c r="W897" s="2" t="str">
        <x:f>IF(B897="","",IF(I897&lt;&gt;"READY","NOT RELEASED",IF(NOT(AND(J897="PASS",'Calibrare_Linii'!U15="VALID")),"INVALID",IF(NOT(AND('Calibrare_Linii'!S15="VALIDATED",AND('Calibrare_Linii'!H15=C897,ISNUMBER('Calibrare_Linii'!J15),'Calibrare_Linii'!J15&lt;='Input_Meci'!G69))),"OOS PENDING",IF(S897&lt;='Calibrare_Linii'!E15,"PASS",IF(S897&lt;='Calibrare_Linii'!F15,"PENALTY","WATCH"))))))</x:f>
      </x:c>
      <x:c r="X897" s="2" t="str">
        <x:f>IF(M897="","",IF(AND(AND(J897="PASS",'Calibrare_Linii'!U15="VALID"),'Motor_Meciuri'!K69=12,'Motor_Meciuri'!L69=12,'Motor_Meciuri'!M69="NO",'Motor_Meciuri'!BL69='Motor_Meciuri'!C69,AB897&gt;='Config_v6'!$B$50,AN897&gt;='Config_v6'!$B$51,T897&lt;='Config_v6'!$B$52,L897&lt;='Config_v6'!$B$53,ISNUMBER('Calibrare_Linii'!E15),S897&lt;='Calibrare_Linii'!E15,SUM(AK897:AM897)&gt;0),"CANDIDATE","NO"))</x:f>
      </x:c>
      <x:c r="Y897" s="2" t="str">
        <x:f>IF(B897="","",IF(I897&lt;&gt;"READY","NOT RELEASED",IF(AND(X897="CANDIDATE",V897&gt;='Config_v6'!$B$51,W897="PASS",'Calibrare_Linii'!T15="VALIDATED",AND('Calibrare_Linii'!H15=C897,ISNUMBER('Calibrare_Linii'!J15),'Calibrare_Linii'!J15&lt;='Input_Meci'!G69)),"PASS",IF(X897="CANDIDATE","OOS PENDING","FAIL"))))</x:f>
      </x:c>
      <x:c r="Z897" s="2" t="str">
        <x:f>IF(B897="","",IF(I897&lt;&gt;"READY","",IF(OR(NOT(AND(J897="PASS",'Calibrare_Linii'!U15="VALID")),L897&gt;'Config_v6'!$B$13,W897="WATCH"),5,IF(Y897="PASS",1,MIN(5,MAX('Config_v6'!$B$42,U897)+IF(W897="PENALTY",1,0))))))</x:f>
      </x:c>
      <x:c r="AA897" s="2" t="str">
        <x:f>IF(B897="","",IF(I897&lt;&gt;"READY","NOT RELEASED",IF(Z897=5,"NO BET",IF(OR(AB897&lt;'Config_v6'!$B$16,V897&lt;'Config_v6'!$B$18),"WATCH",IF(Z897=1,"DEFENSIV",IF(Z897=2,"PRUDENT",IF(Z897=3,"MODERAT","RIDICAT")))))))</x:f>
      </x:c>
      <x:c r="AB897" s="10" t="str">
        <x:f>IF(N897="","",MIN(N897,1-S897))</x:f>
      </x:c>
      <x:c r="AC897" s="2" t="str">
        <x:f>IF(AD897&lt;&gt;1,"",COUNTIFS($Z$888:$Z$901,"&lt;"&amp;Z897,$AD$888:$AD$901,1)+COUNTIFS($Z$888:$Z$901,Z897,$AB$888:$AB$901,"&gt;"&amp;AB897,$AD$888:$AD$901,1)+COUNTIFS($Z$888:$Z$901,Z897,$AB$888:$AB$901,AB897,$V$888:$V$901,"&gt;"&amp;V897,$AD$888:$AD$901,1)+COUNTIFS($Z$888:Z897,Z897,$AB$888:AB897,AB897,$V$888:V897,V897,$AD$888:AD897,1))</x:f>
      </x:c>
      <x:c r="AD897" s="2" t="n">
        <x:f>IF(OR(AA897="DEFENSIV",AA897="PRUDENT",AA897="MODERAT",AA897="RIDICAT"),1,0)</x:f>
        <x:v>0</x:v>
      </x:c>
      <x:c r="AE897" s="2" t="str">
        <x:f>IF(AD897&lt;&gt;1,"NO",IF(W897="PASS","YES",IF(W897="OOS PENDING","CONDITIONAL","NO")))</x:f>
        <x:v>NO</x:v>
      </x:c>
      <x:c r="AF897" s="2" t="n">
        <x:f>IF(AND(AD897=1,AC897=1,E897="LIVE"),1,0)</x:f>
        <x:v>0</x:v>
      </x:c>
      <x:c r="AG897" s="2" t="str">
        <x:f>IF(AF897&lt;&gt;1,"",'Dashboard'!P89)</x:f>
      </x:c>
      <x:c r="AH897" s="2" t="str">
        <x:f>IF(B897="","",IF(J897&lt;&gt;"PASS",'Motor_Meciuri'!J69,IF('Calibrare_Linii'!U15&lt;&gt;"VALID","Parametri linie invalizi",IF(L897&gt;'Config_v6'!$B$13,"Dispersie peste limita",IF(W897="WATCH","Failure peste limita",IF(AB897&lt;'Config_v6'!$B$16,"P finala sub prag",IF(V897&lt;'Config_v6'!$B$18,"Confidence sub prag",IF(E897="REPLAY","Exemplu retrospectiv; exclus din Top LIVE",IF(Y897="PASS","DEFENSIV validat",IF(W897="OOS PENDING","Eligibil; calibrare linie in monitorizare","Eligibil"))))))))))</x:f>
      </x:c>
      <x:c r="AI897" s="2" t="str">
        <x:f>IF(B897="","",'Calibrare_Linii'!V15)</x:f>
      </x:c>
      <x:c r="AJ897" s="2" t="str">
        <x:f>IF(B897="","",IF(AND('Calibrare_Linii'!T15="VALIDATED",AND('Calibrare_Linii'!H15=C897,ISNUMBER('Calibrare_Linii'!J15),'Calibrare_Linii'!J15&lt;='Input_Meci'!G69)),"DEFENSIVE VALIDATED",IF(AND('Calibrare_Linii'!S15="VALIDATED",AND('Calibrare_Linii'!H15=C897,ISNUMBER('Calibrare_Linii'!J15),'Calibrare_Linii'!J15&lt;='Input_Meci'!G69)),"TAIL VALIDATED","OOS PENDING")))</x:f>
      </x:c>
      <x:c r="AK897" s="2" t="n">
        <x:f>IF(J897&lt;&gt;"PASS",0,'Motor_Meciuri'!BR69)</x:f>
        <x:v>0</x:v>
      </x:c>
      <x:c r="AL897" s="2" t="n">
        <x:f>IF(J897&lt;&gt;"PASS",0,'Motor_Meciuri'!BS69)</x:f>
        <x:v>0</x:v>
      </x:c>
      <x:c r="AM897" s="2" t="n">
        <x:f>IF(J897&lt;&gt;"PASS",0,'Motor_Meciuri'!BT69)</x:f>
        <x:v>0</x:v>
      </x:c>
      <x:c r="AN897" s="2" t="str">
        <x:f>IF(M897="","",MAX(0,'Motor_Meciuri'!BF69-IF(L897&gt;'Config_v6'!$B$12,'Config_v6'!$B$37,IF(L897&gt;'Config_v6'!$B$11,'Config_v6'!$B$36,0))))</x:f>
      </x:c>
    </x:row>
    <x:row r="898" ht="21" customHeight="1">
      <x:c r="A898" s="2" t="n">
        <x:v>64</x:v>
      </x:c>
      <x:c r="B898" s="2" t="str">
        <x:f>IF('Motor_Meciuri'!A69="","",'Motor_Meciuri'!A69)</x:f>
      </x:c>
      <x:c r="C898" s="2" t="str">
        <x:f>IF(B898="","",'Motor_Meciuri'!B69)</x:f>
      </x:c>
      <x:c r="D898" s="2" t="str">
        <x:f>IF(B898="","",'Motor_Meciuri'!D69)</x:f>
      </x:c>
      <x:c r="E898" s="2" t="str">
        <x:f>IF(B898="","",'Motor_Meciuri'!E69)</x:f>
      </x:c>
      <x:c r="F898" s="2" t="str">
        <x:v>U14,5</x:v>
      </x:c>
      <x:c r="G898" s="2" t="str">
        <x:v>UNDER</x:v>
      </x:c>
      <x:c r="H898" s="2" t="n">
        <x:v>14</x:v>
      </x:c>
      <x:c r="I898" s="2" t="str">
        <x:f>IF(B898="","",'Motor_Meciuri'!H69)</x:f>
      </x:c>
      <x:c r="J898" s="2" t="str">
        <x:f>IF(B898="","",'Motor_Meciuri'!I69)</x:f>
      </x:c>
      <x:c r="K898" s="11" t="str">
        <x:f>IF(J898&lt;&gt;"PASS","",'Motor_Meciuri'!BD69)</x:f>
      </x:c>
      <x:c r="L898" s="11" t="str">
        <x:f>IF(J898&lt;&gt;"PASS","",'Motor_Meciuri'!AU69)</x:f>
      </x:c>
      <x:c r="M898" s="10" t="str">
        <x:f>IF(NOT(AND(J898="PASS",'Calibrare_Linii'!U16="VALID")),"",'Distributie'!AL69)</x:f>
      </x:c>
      <x:c r="N898" s="10" t="str">
        <x:f>IF(M898="","",MAX(0.01,MIN(0.99,0.5+(M898-0.5)*'Motor_Meciuri'!BG69*'Calibrare_Linii'!D16)))</x:f>
      </x:c>
      <x:c r="O898" s="10" t="str">
        <x:f>IF(M898="","",1-M898)</x:f>
      </x:c>
      <x:c r="P898" s="10" t="str">
        <x:f>IF(OR(NOT(AND(J898="PASS",'Calibrare_Linii'!U16="VALID")),AK898=0),""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*('Istoric_Nativ'!$Q$6:$Q$405&gt;H898))/AK898)</x:f>
      </x:c>
      <x:c r="Q898" s="10" t="str">
        <x:f>IF(OR(NOT(AND(J898="PASS",'Calibrare_Linii'!U16="VALID")),AL898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M69)+((('Istoric_Nativ'!$E$6:$E$405='Input_Meci'!E69)+('Istoric_Nativ'!$F$6:$F$405='Input_Meci'!E69))&gt;0)*('Istoric_Nativ'!$D$6:$D$405&gt;='Motor_Meciuri'!BN69))&gt;0)*('Istoric_Nativ'!$Q$6:$Q$405&gt;H898))/AL898)</x:f>
      </x:c>
      <x:c r="R898" s="10" t="str">
        <x:f>IF(OR(NOT(AND(J898="PASS",'Calibrare_Linii'!U16="VALID")),AM898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O69)+((('Istoric_Nativ'!$E$6:$E$405='Input_Meci'!E69)+('Istoric_Nativ'!$F$6:$F$405='Input_Meci'!E69))&gt;0)*('Istoric_Nativ'!$D$6:$D$405&gt;='Motor_Meciuri'!BP69))&gt;0)*('Istoric_Nativ'!$Q$6:$Q$405&gt;H898))/AM898)</x:f>
      </x:c>
      <x:c r="S898" s="10" t="str">
        <x:f>IF(M898="","",MAX(O898,P898,Q898,R898))</x:f>
      </x:c>
      <x:c r="T898" s="11" t="str">
        <x:f>IF(M898="","",MIN(100,S898*100*'Config_v6'!$B$44+MIN(100,L898/'Config_v6'!$B$13*100)*'Config_v6'!$B$45+(100-'Motor_Meciuri'!BF69)*'Config_v6'!$B$46+'Motor_Meciuri'!BH69*100*'Config_v6'!$B$47))</x:f>
      </x:c>
      <x:c r="U898" s="2" t="str">
        <x:f>IF(T898="","",IF(T898&lt;=20,1,IF(T898&lt;=40,2,IF(T898&lt;=60,3,IF(T898&lt;=80,4,5)))))</x:f>
      </x:c>
      <x:c r="V898" s="2" t="str">
        <x:f>IF(M898="","",MAX(0,'Motor_Meciuri'!BF69-IF(W898="OOS PENDING",'Config_v6'!$B$35,0)-IF(L898&gt;'Config_v6'!$B$12,'Config_v6'!$B$37,IF(L898&gt;'Config_v6'!$B$11,'Config_v6'!$B$36,0))))</x:f>
      </x:c>
      <x:c r="W898" s="2" t="str">
        <x:f>IF(B898="","",IF(I898&lt;&gt;"READY","NOT RELEASED",IF(NOT(AND(J898="PASS",'Calibrare_Linii'!U16="VALID")),"INVALID",IF(NOT(AND('Calibrare_Linii'!S16="VALIDATED",AND('Calibrare_Linii'!H16=C898,ISNUMBER('Calibrare_Linii'!J16),'Calibrare_Linii'!J16&lt;='Input_Meci'!G69))),"OOS PENDING",IF(S898&lt;='Calibrare_Linii'!E16,"PASS",IF(S898&lt;='Calibrare_Linii'!F16,"PENALTY","WATCH"))))))</x:f>
      </x:c>
      <x:c r="X898" s="2" t="str">
        <x:f>IF(M898="","",IF(AND(AND(J898="PASS",'Calibrare_Linii'!U16="VALID"),'Motor_Meciuri'!K69=12,'Motor_Meciuri'!L69=12,'Motor_Meciuri'!M69="NO",'Motor_Meciuri'!BL69='Motor_Meciuri'!C69,AB898&gt;='Config_v6'!$B$50,AN898&gt;='Config_v6'!$B$51,T898&lt;='Config_v6'!$B$52,L898&lt;='Config_v6'!$B$53,ISNUMBER('Calibrare_Linii'!E16),S898&lt;='Calibrare_Linii'!E16,SUM(AK898:AM898)&gt;0),"CANDIDATE","NO"))</x:f>
      </x:c>
      <x:c r="Y898" s="2" t="str">
        <x:f>IF(B898="","",IF(I898&lt;&gt;"READY","NOT RELEASED",IF(AND(X898="CANDIDATE",V898&gt;='Config_v6'!$B$51,W898="PASS",'Calibrare_Linii'!T16="VALIDATED",AND('Calibrare_Linii'!H16=C898,ISNUMBER('Calibrare_Linii'!J16),'Calibrare_Linii'!J16&lt;='Input_Meci'!G69)),"PASS",IF(X898="CANDIDATE","OOS PENDING","FAIL"))))</x:f>
      </x:c>
      <x:c r="Z898" s="2" t="str">
        <x:f>IF(B898="","",IF(I898&lt;&gt;"READY","",IF(OR(NOT(AND(J898="PASS",'Calibrare_Linii'!U16="VALID")),L898&gt;'Config_v6'!$B$13,W898="WATCH"),5,IF(Y898="PASS",1,MIN(5,MAX('Config_v6'!$B$42,U898)+IF(W898="PENALTY",1,0))))))</x:f>
      </x:c>
      <x:c r="AA898" s="2" t="str">
        <x:f>IF(B898="","",IF(I898&lt;&gt;"READY","NOT RELEASED",IF(Z898=5,"NO BET",IF(OR(AB898&lt;'Config_v6'!$B$16,V898&lt;'Config_v6'!$B$18),"WATCH",IF(Z898=1,"DEFENSIV",IF(Z898=2,"PRUDENT",IF(Z898=3,"MODERAT","RIDICAT")))))))</x:f>
      </x:c>
      <x:c r="AB898" s="10" t="str">
        <x:f>IF(N898="","",MIN(N898,1-S898))</x:f>
      </x:c>
      <x:c r="AC898" s="2" t="str">
        <x:f>IF(AD898&lt;&gt;1,"",COUNTIFS($Z$888:$Z$901,"&lt;"&amp;Z898,$AD$888:$AD$901,1)+COUNTIFS($Z$888:$Z$901,Z898,$AB$888:$AB$901,"&gt;"&amp;AB898,$AD$888:$AD$901,1)+COUNTIFS($Z$888:$Z$901,Z898,$AB$888:$AB$901,AB898,$V$888:$V$901,"&gt;"&amp;V898,$AD$888:$AD$901,1)+COUNTIFS($Z$888:Z898,Z898,$AB$888:AB898,AB898,$V$888:V898,V898,$AD$888:AD898,1))</x:f>
      </x:c>
      <x:c r="AD898" s="2" t="n">
        <x:f>IF(OR(AA898="DEFENSIV",AA898="PRUDENT",AA898="MODERAT",AA898="RIDICAT"),1,0)</x:f>
        <x:v>0</x:v>
      </x:c>
      <x:c r="AE898" s="2" t="str">
        <x:f>IF(AD898&lt;&gt;1,"NO",IF(W898="PASS","YES",IF(W898="OOS PENDING","CONDITIONAL","NO")))</x:f>
        <x:v>NO</x:v>
      </x:c>
      <x:c r="AF898" s="2" t="n">
        <x:f>IF(AND(AD898=1,AC898=1,E898="LIVE"),1,0)</x:f>
        <x:v>0</x:v>
      </x:c>
      <x:c r="AG898" s="2" t="str">
        <x:f>IF(AF898&lt;&gt;1,"",'Dashboard'!P89)</x:f>
      </x:c>
      <x:c r="AH898" s="2" t="str">
        <x:f>IF(B898="","",IF(J898&lt;&gt;"PASS",'Motor_Meciuri'!J69,IF('Calibrare_Linii'!U16&lt;&gt;"VALID","Parametri linie invalizi",IF(L898&gt;'Config_v6'!$B$13,"Dispersie peste limita",IF(W898="WATCH","Failure peste limita",IF(AB898&lt;'Config_v6'!$B$16,"P finala sub prag",IF(V898&lt;'Config_v6'!$B$18,"Confidence sub prag",IF(E898="REPLAY","Exemplu retrospectiv; exclus din Top LIVE",IF(Y898="PASS","DEFENSIV validat",IF(W898="OOS PENDING","Eligibil; calibrare linie in monitorizare","Eligibil"))))))))))</x:f>
      </x:c>
      <x:c r="AI898" s="2" t="str">
        <x:f>IF(B898="","",'Calibrare_Linii'!V16)</x:f>
      </x:c>
      <x:c r="AJ898" s="2" t="str">
        <x:f>IF(B898="","",IF(AND('Calibrare_Linii'!T16="VALIDATED",AND('Calibrare_Linii'!H16=C898,ISNUMBER('Calibrare_Linii'!J16),'Calibrare_Linii'!J16&lt;='Input_Meci'!G69)),"DEFENSIVE VALIDATED",IF(AND('Calibrare_Linii'!S16="VALIDATED",AND('Calibrare_Linii'!H16=C898,ISNUMBER('Calibrare_Linii'!J16),'Calibrare_Linii'!J16&lt;='Input_Meci'!G69)),"TAIL VALIDATED","OOS PENDING")))</x:f>
      </x:c>
      <x:c r="AK898" s="2" t="n">
        <x:f>IF(J898&lt;&gt;"PASS",0,'Motor_Meciuri'!BR69)</x:f>
        <x:v>0</x:v>
      </x:c>
      <x:c r="AL898" s="2" t="n">
        <x:f>IF(J898&lt;&gt;"PASS",0,'Motor_Meciuri'!BS69)</x:f>
        <x:v>0</x:v>
      </x:c>
      <x:c r="AM898" s="2" t="n">
        <x:f>IF(J898&lt;&gt;"PASS",0,'Motor_Meciuri'!BT69)</x:f>
        <x:v>0</x:v>
      </x:c>
      <x:c r="AN898" s="2" t="str">
        <x:f>IF(M898="","",MAX(0,'Motor_Meciuri'!BF69-IF(L898&gt;'Config_v6'!$B$12,'Config_v6'!$B$37,IF(L898&gt;'Config_v6'!$B$11,'Config_v6'!$B$36,0))))</x:f>
      </x:c>
    </x:row>
    <x:row r="899" ht="21" customHeight="1">
      <x:c r="A899" s="2" t="n">
        <x:v>64</x:v>
      </x:c>
      <x:c r="B899" s="2" t="str">
        <x:f>IF('Motor_Meciuri'!A69="","",'Motor_Meciuri'!A69)</x:f>
      </x:c>
      <x:c r="C899" s="2" t="str">
        <x:f>IF(B899="","",'Motor_Meciuri'!B69)</x:f>
      </x:c>
      <x:c r="D899" s="2" t="str">
        <x:f>IF(B899="","",'Motor_Meciuri'!D69)</x:f>
      </x:c>
      <x:c r="E899" s="2" t="str">
        <x:f>IF(B899="","",'Motor_Meciuri'!E69)</x:f>
      </x:c>
      <x:c r="F899" s="2" t="str">
        <x:v>U15,5</x:v>
      </x:c>
      <x:c r="G899" s="2" t="str">
        <x:v>UNDER</x:v>
      </x:c>
      <x:c r="H899" s="2" t="n">
        <x:v>15</x:v>
      </x:c>
      <x:c r="I899" s="2" t="str">
        <x:f>IF(B899="","",'Motor_Meciuri'!H69)</x:f>
      </x:c>
      <x:c r="J899" s="2" t="str">
        <x:f>IF(B899="","",'Motor_Meciuri'!I69)</x:f>
      </x:c>
      <x:c r="K899" s="11" t="str">
        <x:f>IF(J899&lt;&gt;"PASS","",'Motor_Meciuri'!BD69)</x:f>
      </x:c>
      <x:c r="L899" s="11" t="str">
        <x:f>IF(J899&lt;&gt;"PASS","",'Motor_Meciuri'!AU69)</x:f>
      </x:c>
      <x:c r="M899" s="10" t="str">
        <x:f>IF(NOT(AND(J899="PASS",'Calibrare_Linii'!U17="VALID")),"",'Distributie'!AM69)</x:f>
      </x:c>
      <x:c r="N899" s="10" t="str">
        <x:f>IF(M899="","",MAX(0.01,MIN(0.99,0.5+(M899-0.5)*'Motor_Meciuri'!BG69*'Calibrare_Linii'!D17)))</x:f>
      </x:c>
      <x:c r="O899" s="10" t="str">
        <x:f>IF(M899="","",1-M899)</x:f>
      </x:c>
      <x:c r="P899" s="10" t="str">
        <x:f>IF(OR(NOT(AND(J899="PASS",'Calibrare_Linii'!U17="VALID")),AK899=0),""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*('Istoric_Nativ'!$Q$6:$Q$405&gt;H899))/AK899)</x:f>
      </x:c>
      <x:c r="Q899" s="10" t="str">
        <x:f>IF(OR(NOT(AND(J899="PASS",'Calibrare_Linii'!U17="VALID")),AL899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M69)+((('Istoric_Nativ'!$E$6:$E$405='Input_Meci'!E69)+('Istoric_Nativ'!$F$6:$F$405='Input_Meci'!E69))&gt;0)*('Istoric_Nativ'!$D$6:$D$405&gt;='Motor_Meciuri'!BN69))&gt;0)*('Istoric_Nativ'!$Q$6:$Q$405&gt;H899))/AL899)</x:f>
      </x:c>
      <x:c r="R899" s="10" t="str">
        <x:f>IF(OR(NOT(AND(J899="PASS",'Calibrare_Linii'!U17="VALID")),AM899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O69)+((('Istoric_Nativ'!$E$6:$E$405='Input_Meci'!E69)+('Istoric_Nativ'!$F$6:$F$405='Input_Meci'!E69))&gt;0)*('Istoric_Nativ'!$D$6:$D$405&gt;='Motor_Meciuri'!BP69))&gt;0)*('Istoric_Nativ'!$Q$6:$Q$405&gt;H899))/AM899)</x:f>
      </x:c>
      <x:c r="S899" s="10" t="str">
        <x:f>IF(M899="","",MAX(O899,P899,Q899,R899))</x:f>
      </x:c>
      <x:c r="T899" s="11" t="str">
        <x:f>IF(M899="","",MIN(100,S899*100*'Config_v6'!$B$44+MIN(100,L899/'Config_v6'!$B$13*100)*'Config_v6'!$B$45+(100-'Motor_Meciuri'!BF69)*'Config_v6'!$B$46+'Motor_Meciuri'!BH69*100*'Config_v6'!$B$47))</x:f>
      </x:c>
      <x:c r="U899" s="2" t="str">
        <x:f>IF(T899="","",IF(T899&lt;=20,1,IF(T899&lt;=40,2,IF(T899&lt;=60,3,IF(T899&lt;=80,4,5)))))</x:f>
      </x:c>
      <x:c r="V899" s="2" t="str">
        <x:f>IF(M899="","",MAX(0,'Motor_Meciuri'!BF69-IF(W899="OOS PENDING",'Config_v6'!$B$35,0)-IF(L899&gt;'Config_v6'!$B$12,'Config_v6'!$B$37,IF(L899&gt;'Config_v6'!$B$11,'Config_v6'!$B$36,0))))</x:f>
      </x:c>
      <x:c r="W899" s="2" t="str">
        <x:f>IF(B899="","",IF(I899&lt;&gt;"READY","NOT RELEASED",IF(NOT(AND(J899="PASS",'Calibrare_Linii'!U17="VALID")),"INVALID",IF(NOT(AND('Calibrare_Linii'!S17="VALIDATED",AND('Calibrare_Linii'!H17=C899,ISNUMBER('Calibrare_Linii'!J17),'Calibrare_Linii'!J17&lt;='Input_Meci'!G69))),"OOS PENDING",IF(S899&lt;='Calibrare_Linii'!E17,"PASS",IF(S899&lt;='Calibrare_Linii'!F17,"PENALTY","WATCH"))))))</x:f>
      </x:c>
      <x:c r="X899" s="2" t="str">
        <x:f>IF(M899="","",IF(AND(AND(J899="PASS",'Calibrare_Linii'!U17="VALID"),'Motor_Meciuri'!K69=12,'Motor_Meciuri'!L69=12,'Motor_Meciuri'!M69="NO",'Motor_Meciuri'!BL69='Motor_Meciuri'!C69,AB899&gt;='Config_v6'!$B$50,AN899&gt;='Config_v6'!$B$51,T899&lt;='Config_v6'!$B$52,L899&lt;='Config_v6'!$B$53,ISNUMBER('Calibrare_Linii'!E17),S899&lt;='Calibrare_Linii'!E17,SUM(AK899:AM899)&gt;0),"CANDIDATE","NO"))</x:f>
      </x:c>
      <x:c r="Y899" s="2" t="str">
        <x:f>IF(B899="","",IF(I899&lt;&gt;"READY","NOT RELEASED",IF(AND(X899="CANDIDATE",V899&gt;='Config_v6'!$B$51,W899="PASS",'Calibrare_Linii'!T17="VALIDATED",AND('Calibrare_Linii'!H17=C899,ISNUMBER('Calibrare_Linii'!J17),'Calibrare_Linii'!J17&lt;='Input_Meci'!G69)),"PASS",IF(X899="CANDIDATE","OOS PENDING","FAIL"))))</x:f>
      </x:c>
      <x:c r="Z899" s="2" t="str">
        <x:f>IF(B899="","",IF(I899&lt;&gt;"READY","",IF(OR(NOT(AND(J899="PASS",'Calibrare_Linii'!U17="VALID")),L899&gt;'Config_v6'!$B$13,W899="WATCH"),5,IF(Y899="PASS",1,MIN(5,MAX('Config_v6'!$B$42,U899)+IF(W899="PENALTY",1,0))))))</x:f>
      </x:c>
      <x:c r="AA899" s="2" t="str">
        <x:f>IF(B899="","",IF(I899&lt;&gt;"READY","NOT RELEASED",IF(Z899=5,"NO BET",IF(OR(AB899&lt;'Config_v6'!$B$16,V899&lt;'Config_v6'!$B$18),"WATCH",IF(Z899=1,"DEFENSIV",IF(Z899=2,"PRUDENT",IF(Z899=3,"MODERAT","RIDICAT")))))))</x:f>
      </x:c>
      <x:c r="AB899" s="10" t="str">
        <x:f>IF(N899="","",MIN(N899,1-S899))</x:f>
      </x:c>
      <x:c r="AC899" s="2" t="str">
        <x:f>IF(AD899&lt;&gt;1,"",COUNTIFS($Z$888:$Z$901,"&lt;"&amp;Z899,$AD$888:$AD$901,1)+COUNTIFS($Z$888:$Z$901,Z899,$AB$888:$AB$901,"&gt;"&amp;AB899,$AD$888:$AD$901,1)+COUNTIFS($Z$888:$Z$901,Z899,$AB$888:$AB$901,AB899,$V$888:$V$901,"&gt;"&amp;V899,$AD$888:$AD$901,1)+COUNTIFS($Z$888:Z899,Z899,$AB$888:AB899,AB899,$V$888:V899,V899,$AD$888:AD899,1))</x:f>
      </x:c>
      <x:c r="AD899" s="2" t="n">
        <x:f>IF(OR(AA899="DEFENSIV",AA899="PRUDENT",AA899="MODERAT",AA899="RIDICAT"),1,0)</x:f>
        <x:v>0</x:v>
      </x:c>
      <x:c r="AE899" s="2" t="str">
        <x:f>IF(AD899&lt;&gt;1,"NO",IF(W899="PASS","YES",IF(W899="OOS PENDING","CONDITIONAL","NO")))</x:f>
        <x:v>NO</x:v>
      </x:c>
      <x:c r="AF899" s="2" t="n">
        <x:f>IF(AND(AD899=1,AC899=1,E899="LIVE"),1,0)</x:f>
        <x:v>0</x:v>
      </x:c>
      <x:c r="AG899" s="2" t="str">
        <x:f>IF(AF899&lt;&gt;1,"",'Dashboard'!P89)</x:f>
      </x:c>
      <x:c r="AH899" s="2" t="str">
        <x:f>IF(B899="","",IF(J899&lt;&gt;"PASS",'Motor_Meciuri'!J69,IF('Calibrare_Linii'!U17&lt;&gt;"VALID","Parametri linie invalizi",IF(L899&gt;'Config_v6'!$B$13,"Dispersie peste limita",IF(W899="WATCH","Failure peste limita",IF(AB899&lt;'Config_v6'!$B$16,"P finala sub prag",IF(V899&lt;'Config_v6'!$B$18,"Confidence sub prag",IF(E899="REPLAY","Exemplu retrospectiv; exclus din Top LIVE",IF(Y899="PASS","DEFENSIV validat",IF(W899="OOS PENDING","Eligibil; calibrare linie in monitorizare","Eligibil"))))))))))</x:f>
      </x:c>
      <x:c r="AI899" s="2" t="str">
        <x:f>IF(B899="","",'Calibrare_Linii'!V17)</x:f>
      </x:c>
      <x:c r="AJ899" s="2" t="str">
        <x:f>IF(B899="","",IF(AND('Calibrare_Linii'!T17="VALIDATED",AND('Calibrare_Linii'!H17=C899,ISNUMBER('Calibrare_Linii'!J17),'Calibrare_Linii'!J17&lt;='Input_Meci'!G69)),"DEFENSIVE VALIDATED",IF(AND('Calibrare_Linii'!S17="VALIDATED",AND('Calibrare_Linii'!H17=C899,ISNUMBER('Calibrare_Linii'!J17),'Calibrare_Linii'!J17&lt;='Input_Meci'!G69)),"TAIL VALIDATED","OOS PENDING")))</x:f>
      </x:c>
      <x:c r="AK899" s="2" t="n">
        <x:f>IF(J899&lt;&gt;"PASS",0,'Motor_Meciuri'!BR69)</x:f>
        <x:v>0</x:v>
      </x:c>
      <x:c r="AL899" s="2" t="n">
        <x:f>IF(J899&lt;&gt;"PASS",0,'Motor_Meciuri'!BS69)</x:f>
        <x:v>0</x:v>
      </x:c>
      <x:c r="AM899" s="2" t="n">
        <x:f>IF(J899&lt;&gt;"PASS",0,'Motor_Meciuri'!BT69)</x:f>
        <x:v>0</x:v>
      </x:c>
      <x:c r="AN899" s="2" t="str">
        <x:f>IF(M899="","",MAX(0,'Motor_Meciuri'!BF69-IF(L899&gt;'Config_v6'!$B$12,'Config_v6'!$B$37,IF(L899&gt;'Config_v6'!$B$11,'Config_v6'!$B$36,0))))</x:f>
      </x:c>
    </x:row>
    <x:row r="900" ht="21" customHeight="1">
      <x:c r="A900" s="2" t="n">
        <x:v>64</x:v>
      </x:c>
      <x:c r="B900" s="2" t="str">
        <x:f>IF('Motor_Meciuri'!A69="","",'Motor_Meciuri'!A69)</x:f>
      </x:c>
      <x:c r="C900" s="2" t="str">
        <x:f>IF(B900="","",'Motor_Meciuri'!B69)</x:f>
      </x:c>
      <x:c r="D900" s="2" t="str">
        <x:f>IF(B900="","",'Motor_Meciuri'!D69)</x:f>
      </x:c>
      <x:c r="E900" s="2" t="str">
        <x:f>IF(B900="","",'Motor_Meciuri'!E69)</x:f>
      </x:c>
      <x:c r="F900" s="2" t="str">
        <x:v>U16,5</x:v>
      </x:c>
      <x:c r="G900" s="2" t="str">
        <x:v>UNDER</x:v>
      </x:c>
      <x:c r="H900" s="2" t="n">
        <x:v>16</x:v>
      </x:c>
      <x:c r="I900" s="2" t="str">
        <x:f>IF(B900="","",'Motor_Meciuri'!H69)</x:f>
      </x:c>
      <x:c r="J900" s="2" t="str">
        <x:f>IF(B900="","",'Motor_Meciuri'!I69)</x:f>
      </x:c>
      <x:c r="K900" s="11" t="str">
        <x:f>IF(J900&lt;&gt;"PASS","",'Motor_Meciuri'!BD69)</x:f>
      </x:c>
      <x:c r="L900" s="11" t="str">
        <x:f>IF(J900&lt;&gt;"PASS","",'Motor_Meciuri'!AU69)</x:f>
      </x:c>
      <x:c r="M900" s="10" t="str">
        <x:f>IF(NOT(AND(J900="PASS",'Calibrare_Linii'!U18="VALID")),"",'Distributie'!AN69)</x:f>
      </x:c>
      <x:c r="N900" s="10" t="str">
        <x:f>IF(M900="","",MAX(0.01,MIN(0.99,0.5+(M900-0.5)*'Motor_Meciuri'!BG69*'Calibrare_Linii'!D18)))</x:f>
      </x:c>
      <x:c r="O900" s="10" t="str">
        <x:f>IF(M900="","",1-M900)</x:f>
      </x:c>
      <x:c r="P900" s="10" t="str">
        <x:f>IF(OR(NOT(AND(J900="PASS",'Calibrare_Linii'!U18="VALID")),AK900=0),""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*('Istoric_Nativ'!$Q$6:$Q$405&gt;H900))/AK900)</x:f>
      </x:c>
      <x:c r="Q900" s="10" t="str">
        <x:f>IF(OR(NOT(AND(J900="PASS",'Calibrare_Linii'!U18="VALID")),AL900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M69)+((('Istoric_Nativ'!$E$6:$E$405='Input_Meci'!E69)+('Istoric_Nativ'!$F$6:$F$405='Input_Meci'!E69))&gt;0)*('Istoric_Nativ'!$D$6:$D$405&gt;='Motor_Meciuri'!BN69))&gt;0)*('Istoric_Nativ'!$Q$6:$Q$405&gt;H900))/AL900)</x:f>
      </x:c>
      <x:c r="R900" s="10" t="str">
        <x:f>IF(OR(NOT(AND(J900="PASS",'Calibrare_Linii'!U18="VALID")),AM900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O69)+((('Istoric_Nativ'!$E$6:$E$405='Input_Meci'!E69)+('Istoric_Nativ'!$F$6:$F$405='Input_Meci'!E69))&gt;0)*('Istoric_Nativ'!$D$6:$D$405&gt;='Motor_Meciuri'!BP69))&gt;0)*('Istoric_Nativ'!$Q$6:$Q$405&gt;H900))/AM900)</x:f>
      </x:c>
      <x:c r="S900" s="10" t="str">
        <x:f>IF(M900="","",MAX(O900,P900,Q900,R900))</x:f>
      </x:c>
      <x:c r="T900" s="11" t="str">
        <x:f>IF(M900="","",MIN(100,S900*100*'Config_v6'!$B$44+MIN(100,L900/'Config_v6'!$B$13*100)*'Config_v6'!$B$45+(100-'Motor_Meciuri'!BF69)*'Config_v6'!$B$46+'Motor_Meciuri'!BH69*100*'Config_v6'!$B$47))</x:f>
      </x:c>
      <x:c r="U900" s="2" t="str">
        <x:f>IF(T900="","",IF(T900&lt;=20,1,IF(T900&lt;=40,2,IF(T900&lt;=60,3,IF(T900&lt;=80,4,5)))))</x:f>
      </x:c>
      <x:c r="V900" s="2" t="str">
        <x:f>IF(M900="","",MAX(0,'Motor_Meciuri'!BF69-IF(W900="OOS PENDING",'Config_v6'!$B$35,0)-IF(L900&gt;'Config_v6'!$B$12,'Config_v6'!$B$37,IF(L900&gt;'Config_v6'!$B$11,'Config_v6'!$B$36,0))))</x:f>
      </x:c>
      <x:c r="W900" s="2" t="str">
        <x:f>IF(B900="","",IF(I900&lt;&gt;"READY","NOT RELEASED",IF(NOT(AND(J900="PASS",'Calibrare_Linii'!U18="VALID")),"INVALID",IF(NOT(AND('Calibrare_Linii'!S18="VALIDATED",AND('Calibrare_Linii'!H18=C900,ISNUMBER('Calibrare_Linii'!J18),'Calibrare_Linii'!J18&lt;='Input_Meci'!G69))),"OOS PENDING",IF(S900&lt;='Calibrare_Linii'!E18,"PASS",IF(S900&lt;='Calibrare_Linii'!F18,"PENALTY","WATCH"))))))</x:f>
      </x:c>
      <x:c r="X900" s="2" t="str">
        <x:f>IF(M900="","",IF(AND(AND(J900="PASS",'Calibrare_Linii'!U18="VALID"),'Motor_Meciuri'!K69=12,'Motor_Meciuri'!L69=12,'Motor_Meciuri'!M69="NO",'Motor_Meciuri'!BL69='Motor_Meciuri'!C69,AB900&gt;='Config_v6'!$B$50,AN900&gt;='Config_v6'!$B$51,T900&lt;='Config_v6'!$B$52,L900&lt;='Config_v6'!$B$53,ISNUMBER('Calibrare_Linii'!E18),S900&lt;='Calibrare_Linii'!E18,SUM(AK900:AM900)&gt;0),"CANDIDATE","NO"))</x:f>
      </x:c>
      <x:c r="Y900" s="2" t="str">
        <x:f>IF(B900="","",IF(I900&lt;&gt;"READY","NOT RELEASED",IF(AND(X900="CANDIDATE",V900&gt;='Config_v6'!$B$51,W900="PASS",'Calibrare_Linii'!T18="VALIDATED",AND('Calibrare_Linii'!H18=C900,ISNUMBER('Calibrare_Linii'!J18),'Calibrare_Linii'!J18&lt;='Input_Meci'!G69)),"PASS",IF(X900="CANDIDATE","OOS PENDING","FAIL"))))</x:f>
      </x:c>
      <x:c r="Z900" s="2" t="str">
        <x:f>IF(B900="","",IF(I900&lt;&gt;"READY","",IF(OR(NOT(AND(J900="PASS",'Calibrare_Linii'!U18="VALID")),L900&gt;'Config_v6'!$B$13,W900="WATCH"),5,IF(Y900="PASS",1,MIN(5,MAX('Config_v6'!$B$42,U900)+IF(W900="PENALTY",1,0))))))</x:f>
      </x:c>
      <x:c r="AA900" s="2" t="str">
        <x:f>IF(B900="","",IF(I900&lt;&gt;"READY","NOT RELEASED",IF(Z900=5,"NO BET",IF(OR(AB900&lt;'Config_v6'!$B$16,V900&lt;'Config_v6'!$B$18),"WATCH",IF(Z900=1,"DEFENSIV",IF(Z900=2,"PRUDENT",IF(Z900=3,"MODERAT","RIDICAT")))))))</x:f>
      </x:c>
      <x:c r="AB900" s="10" t="str">
        <x:f>IF(N900="","",MIN(N900,1-S900))</x:f>
      </x:c>
      <x:c r="AC900" s="2" t="str">
        <x:f>IF(AD900&lt;&gt;1,"",COUNTIFS($Z$888:$Z$901,"&lt;"&amp;Z900,$AD$888:$AD$901,1)+COUNTIFS($Z$888:$Z$901,Z900,$AB$888:$AB$901,"&gt;"&amp;AB900,$AD$888:$AD$901,1)+COUNTIFS($Z$888:$Z$901,Z900,$AB$888:$AB$901,AB900,$V$888:$V$901,"&gt;"&amp;V900,$AD$888:$AD$901,1)+COUNTIFS($Z$888:Z900,Z900,$AB$888:AB900,AB900,$V$888:V900,V900,$AD$888:AD900,1))</x:f>
      </x:c>
      <x:c r="AD900" s="2" t="n">
        <x:f>IF(OR(AA900="DEFENSIV",AA900="PRUDENT",AA900="MODERAT",AA900="RIDICAT"),1,0)</x:f>
        <x:v>0</x:v>
      </x:c>
      <x:c r="AE900" s="2" t="str">
        <x:f>IF(AD900&lt;&gt;1,"NO",IF(W900="PASS","YES",IF(W900="OOS PENDING","CONDITIONAL","NO")))</x:f>
        <x:v>NO</x:v>
      </x:c>
      <x:c r="AF900" s="2" t="n">
        <x:f>IF(AND(AD900=1,AC900=1,E900="LIVE"),1,0)</x:f>
        <x:v>0</x:v>
      </x:c>
      <x:c r="AG900" s="2" t="str">
        <x:f>IF(AF900&lt;&gt;1,"",'Dashboard'!P89)</x:f>
      </x:c>
      <x:c r="AH900" s="2" t="str">
        <x:f>IF(B900="","",IF(J900&lt;&gt;"PASS",'Motor_Meciuri'!J69,IF('Calibrare_Linii'!U18&lt;&gt;"VALID","Parametri linie invalizi",IF(L900&gt;'Config_v6'!$B$13,"Dispersie peste limita",IF(W900="WATCH","Failure peste limita",IF(AB900&lt;'Config_v6'!$B$16,"P finala sub prag",IF(V900&lt;'Config_v6'!$B$18,"Confidence sub prag",IF(E900="REPLAY","Exemplu retrospectiv; exclus din Top LIVE",IF(Y900="PASS","DEFENSIV validat",IF(W900="OOS PENDING","Eligibil; calibrare linie in monitorizare","Eligibil"))))))))))</x:f>
      </x:c>
      <x:c r="AI900" s="2" t="str">
        <x:f>IF(B900="","",'Calibrare_Linii'!V18)</x:f>
      </x:c>
      <x:c r="AJ900" s="2" t="str">
        <x:f>IF(B900="","",IF(AND('Calibrare_Linii'!T18="VALIDATED",AND('Calibrare_Linii'!H18=C900,ISNUMBER('Calibrare_Linii'!J18),'Calibrare_Linii'!J18&lt;='Input_Meci'!G69)),"DEFENSIVE VALIDATED",IF(AND('Calibrare_Linii'!S18="VALIDATED",AND('Calibrare_Linii'!H18=C900,ISNUMBER('Calibrare_Linii'!J18),'Calibrare_Linii'!J18&lt;='Input_Meci'!G69)),"TAIL VALIDATED","OOS PENDING")))</x:f>
      </x:c>
      <x:c r="AK900" s="2" t="n">
        <x:f>IF(J900&lt;&gt;"PASS",0,'Motor_Meciuri'!BR69)</x:f>
        <x:v>0</x:v>
      </x:c>
      <x:c r="AL900" s="2" t="n">
        <x:f>IF(J900&lt;&gt;"PASS",0,'Motor_Meciuri'!BS69)</x:f>
        <x:v>0</x:v>
      </x:c>
      <x:c r="AM900" s="2" t="n">
        <x:f>IF(J900&lt;&gt;"PASS",0,'Motor_Meciuri'!BT69)</x:f>
        <x:v>0</x:v>
      </x:c>
      <x:c r="AN900" s="2" t="str">
        <x:f>IF(M900="","",MAX(0,'Motor_Meciuri'!BF69-IF(L900&gt;'Config_v6'!$B$12,'Config_v6'!$B$37,IF(L900&gt;'Config_v6'!$B$11,'Config_v6'!$B$36,0))))</x:f>
      </x:c>
    </x:row>
    <x:row r="901" ht="21" customHeight="1">
      <x:c r="A901" s="2" t="n">
        <x:v>64</x:v>
      </x:c>
      <x:c r="B901" s="2" t="str">
        <x:f>IF('Motor_Meciuri'!A69="","",'Motor_Meciuri'!A69)</x:f>
      </x:c>
      <x:c r="C901" s="2" t="str">
        <x:f>IF(B901="","",'Motor_Meciuri'!B69)</x:f>
      </x:c>
      <x:c r="D901" s="2" t="str">
        <x:f>IF(B901="","",'Motor_Meciuri'!D69)</x:f>
      </x:c>
      <x:c r="E901" s="2" t="str">
        <x:f>IF(B901="","",'Motor_Meciuri'!E69)</x:f>
      </x:c>
      <x:c r="F901" s="2" t="str">
        <x:v>U17,5</x:v>
      </x:c>
      <x:c r="G901" s="2" t="str">
        <x:v>UNDER</x:v>
      </x:c>
      <x:c r="H901" s="2" t="n">
        <x:v>17</x:v>
      </x:c>
      <x:c r="I901" s="2" t="str">
        <x:f>IF(B901="","",'Motor_Meciuri'!H69)</x:f>
      </x:c>
      <x:c r="J901" s="2" t="str">
        <x:f>IF(B901="","",'Motor_Meciuri'!I69)</x:f>
      </x:c>
      <x:c r="K901" s="11" t="str">
        <x:f>IF(J901&lt;&gt;"PASS","",'Motor_Meciuri'!BD69)</x:f>
      </x:c>
      <x:c r="L901" s="11" t="str">
        <x:f>IF(J901&lt;&gt;"PASS","",'Motor_Meciuri'!AU69)</x:f>
      </x:c>
      <x:c r="M901" s="10" t="str">
        <x:f>IF(NOT(AND(J901="PASS",'Calibrare_Linii'!U19="VALID")),"",'Distributie'!AO69)</x:f>
      </x:c>
      <x:c r="N901" s="10" t="str">
        <x:f>IF(M901="","",MAX(0.01,MIN(0.99,0.5+(M901-0.5)*'Motor_Meciuri'!BG69*'Calibrare_Linii'!D19)))</x:f>
      </x:c>
      <x:c r="O901" s="10" t="str">
        <x:f>IF(M901="","",1-M901)</x:f>
      </x:c>
      <x:c r="P901" s="10" t="str">
        <x:f>IF(OR(NOT(AND(J901="PASS",'Calibrare_Linii'!U19="VALID")),AK901=0),""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*('Istoric_Nativ'!$Q$6:$Q$405&gt;H901))/AK901)</x:f>
      </x:c>
      <x:c r="Q901" s="10" t="str">
        <x:f>IF(OR(NOT(AND(J901="PASS",'Calibrare_Linii'!U19="VALID")),AL901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M69)+((('Istoric_Nativ'!$E$6:$E$405='Input_Meci'!E69)+('Istoric_Nativ'!$F$6:$F$405='Input_Meci'!E69))&gt;0)*('Istoric_Nativ'!$D$6:$D$405&gt;='Motor_Meciuri'!BN69))&gt;0)*('Istoric_Nativ'!$Q$6:$Q$405&gt;H901))/AL901)</x:f>
      </x:c>
      <x:c r="R901" s="10" t="str">
        <x:f>IF(OR(NOT(AND(J901="PASS",'Calibrare_Linii'!U19="VALID")),AM901=0),""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'Motor_Meciuri'!BO69)+((('Istoric_Nativ'!$E$6:$E$405='Input_Meci'!E69)+('Istoric_Nativ'!$F$6:$F$405='Input_Meci'!E69))&gt;0)*('Istoric_Nativ'!$D$6:$D$405&gt;='Motor_Meciuri'!BP69))&gt;0)*('Istoric_Nativ'!$Q$6:$Q$405&gt;H901))/AM901)</x:f>
      </x:c>
      <x:c r="S901" s="10" t="str">
        <x:f>IF(M901="","",MAX(O901,P901,Q901,R901))</x:f>
      </x:c>
      <x:c r="T901" s="11" t="str">
        <x:f>IF(M901="","",MIN(100,S901*100*'Config_v6'!$B$44+MIN(100,L901/'Config_v6'!$B$13*100)*'Config_v6'!$B$45+(100-'Motor_Meciuri'!BF69)*'Config_v6'!$B$46+'Motor_Meciuri'!BH69*100*'Config_v6'!$B$47))</x:f>
      </x:c>
      <x:c r="U901" s="2" t="str">
        <x:f>IF(T901="","",IF(T901&lt;=20,1,IF(T901&lt;=40,2,IF(T901&lt;=60,3,IF(T901&lt;=80,4,5)))))</x:f>
      </x:c>
      <x:c r="V901" s="2" t="str">
        <x:f>IF(M901="","",MAX(0,'Motor_Meciuri'!BF69-IF(W901="OOS PENDING",'Config_v6'!$B$35,0)-IF(L901&gt;'Config_v6'!$B$12,'Config_v6'!$B$37,IF(L901&gt;'Config_v6'!$B$11,'Config_v6'!$B$36,0))))</x:f>
      </x:c>
      <x:c r="W901" s="2" t="str">
        <x:f>IF(B901="","",IF(I901&lt;&gt;"READY","NOT RELEASED",IF(NOT(AND(J901="PASS",'Calibrare_Linii'!U19="VALID")),"INVALID",IF(NOT(AND('Calibrare_Linii'!S19="VALIDATED",AND('Calibrare_Linii'!H19=C901,ISNUMBER('Calibrare_Linii'!J19),'Calibrare_Linii'!J19&lt;='Input_Meci'!G69))),"OOS PENDING",IF(S901&lt;='Calibrare_Linii'!E19,"PASS",IF(S901&lt;='Calibrare_Linii'!F19,"PENALTY","WATCH"))))))</x:f>
      </x:c>
      <x:c r="X901" s="2" t="str">
        <x:f>IF(M901="","",IF(AND(AND(J901="PASS",'Calibrare_Linii'!U19="VALID"),'Motor_Meciuri'!K69=12,'Motor_Meciuri'!L69=12,'Motor_Meciuri'!M69="NO",'Motor_Meciuri'!BL69='Motor_Meciuri'!C69,AB901&gt;='Config_v6'!$B$50,AN901&gt;='Config_v6'!$B$51,T901&lt;='Config_v6'!$B$52,L901&lt;='Config_v6'!$B$53,ISNUMBER('Calibrare_Linii'!E19),S901&lt;='Calibrare_Linii'!E19,SUM(AK901:AM901)&gt;0),"CANDIDATE","NO"))</x:f>
      </x:c>
      <x:c r="Y901" s="2" t="str">
        <x:f>IF(B901="","",IF(I901&lt;&gt;"READY","NOT RELEASED",IF(AND(X901="CANDIDATE",V901&gt;='Config_v6'!$B$51,W901="PASS",'Calibrare_Linii'!T19="VALIDATED",AND('Calibrare_Linii'!H19=C901,ISNUMBER('Calibrare_Linii'!J19),'Calibrare_Linii'!J19&lt;='Input_Meci'!G69)),"PASS",IF(X901="CANDIDATE","OOS PENDING","FAIL"))))</x:f>
      </x:c>
      <x:c r="Z901" s="2" t="str">
        <x:f>IF(B901="","",IF(I901&lt;&gt;"READY","",IF(OR(NOT(AND(J901="PASS",'Calibrare_Linii'!U19="VALID")),L901&gt;'Config_v6'!$B$13,W901="WATCH"),5,IF(Y901="PASS",1,MIN(5,MAX('Config_v6'!$B$42,U901)+IF(W901="PENALTY",1,0))))))</x:f>
      </x:c>
      <x:c r="AA901" s="2" t="str">
        <x:f>IF(B901="","",IF(I901&lt;&gt;"READY","NOT RELEASED",IF(Z901=5,"NO BET",IF(OR(AB901&lt;'Config_v6'!$B$16,V901&lt;'Config_v6'!$B$18),"WATCH",IF(Z901=1,"DEFENSIV",IF(Z901=2,"PRUDENT",IF(Z901=3,"MODERAT","RIDICAT")))))))</x:f>
      </x:c>
      <x:c r="AB901" s="10" t="str">
        <x:f>IF(N901="","",MIN(N901,1-S901))</x:f>
      </x:c>
      <x:c r="AC901" s="2" t="str">
        <x:f>IF(AD901&lt;&gt;1,"",COUNTIFS($Z$888:$Z$901,"&lt;"&amp;Z901,$AD$888:$AD$901,1)+COUNTIFS($Z$888:$Z$901,Z901,$AB$888:$AB$901,"&gt;"&amp;AB901,$AD$888:$AD$901,1)+COUNTIFS($Z$888:$Z$901,Z901,$AB$888:$AB$901,AB901,$V$888:$V$901,"&gt;"&amp;V901,$AD$888:$AD$901,1)+COUNTIFS($Z$888:Z901,Z901,$AB$888:AB901,AB901,$V$888:V901,V901,$AD$888:AD901,1))</x:f>
      </x:c>
      <x:c r="AD901" s="2" t="n">
        <x:f>IF(OR(AA901="DEFENSIV",AA901="PRUDENT",AA901="MODERAT",AA901="RIDICAT"),1,0)</x:f>
        <x:v>0</x:v>
      </x:c>
      <x:c r="AE901" s="2" t="str">
        <x:f>IF(AD901&lt;&gt;1,"NO",IF(W901="PASS","YES",IF(W901="OOS PENDING","CONDITIONAL","NO")))</x:f>
        <x:v>NO</x:v>
      </x:c>
      <x:c r="AF901" s="2" t="n">
        <x:f>IF(AND(AD901=1,AC901=1,E901="LIVE"),1,0)</x:f>
        <x:v>0</x:v>
      </x:c>
      <x:c r="AG901" s="2" t="str">
        <x:f>IF(AF901&lt;&gt;1,"",'Dashboard'!P89)</x:f>
      </x:c>
      <x:c r="AH901" s="2" t="str">
        <x:f>IF(B901="","",IF(J901&lt;&gt;"PASS",'Motor_Meciuri'!J69,IF('Calibrare_Linii'!U19&lt;&gt;"VALID","Parametri linie invalizi",IF(L901&gt;'Config_v6'!$B$13,"Dispersie peste limita",IF(W901="WATCH","Failure peste limita",IF(AB901&lt;'Config_v6'!$B$16,"P finala sub prag",IF(V901&lt;'Config_v6'!$B$18,"Confidence sub prag",IF(E901="REPLAY","Exemplu retrospectiv; exclus din Top LIVE",IF(Y901="PASS","DEFENSIV validat",IF(W901="OOS PENDING","Eligibil; calibrare linie in monitorizare","Eligibil"))))))))))</x:f>
      </x:c>
      <x:c r="AI901" s="2" t="str">
        <x:f>IF(B901="","",'Calibrare_Linii'!V19)</x:f>
      </x:c>
      <x:c r="AJ901" s="2" t="str">
        <x:f>IF(B901="","",IF(AND('Calibrare_Linii'!T19="VALIDATED",AND('Calibrare_Linii'!H19=C901,ISNUMBER('Calibrare_Linii'!J19),'Calibrare_Linii'!J19&lt;='Input_Meci'!G69)),"DEFENSIVE VALIDATED",IF(AND('Calibrare_Linii'!S19="VALIDATED",AND('Calibrare_Linii'!H19=C901,ISNUMBER('Calibrare_Linii'!J19),'Calibrare_Linii'!J19&lt;='Input_Meci'!G69)),"TAIL VALIDATED","OOS PENDING")))</x:f>
      </x:c>
      <x:c r="AK901" s="2" t="n">
        <x:f>IF(J901&lt;&gt;"PASS",0,'Motor_Meciuri'!BR69)</x:f>
        <x:v>0</x:v>
      </x:c>
      <x:c r="AL901" s="2" t="n">
        <x:f>IF(J901&lt;&gt;"PASS",0,'Motor_Meciuri'!BS69)</x:f>
        <x:v>0</x:v>
      </x:c>
      <x:c r="AM901" s="2" t="n">
        <x:f>IF(J901&lt;&gt;"PASS",0,'Motor_Meciuri'!BT69)</x:f>
        <x:v>0</x:v>
      </x:c>
      <x:c r="AN901" s="2" t="str">
        <x:f>IF(M901="","",MAX(0,'Motor_Meciuri'!BF69-IF(L901&gt;'Config_v6'!$B$12,'Config_v6'!$B$37,IF(L901&gt;'Config_v6'!$B$11,'Config_v6'!$B$36,0))))</x:f>
      </x:c>
    </x:row>
    <x:row r="902" ht="21" customHeight="1">
      <x:c r="A902" s="2" t="n">
        <x:v>65</x:v>
      </x:c>
      <x:c r="B902" s="2" t="str">
        <x:f>IF('Motor_Meciuri'!A70="","",'Motor_Meciuri'!A70)</x:f>
      </x:c>
      <x:c r="C902" s="2" t="str">
        <x:f>IF(B902="","",'Motor_Meciuri'!B70)</x:f>
      </x:c>
      <x:c r="D902" s="2" t="str">
        <x:f>IF(B902="","",'Motor_Meciuri'!D70)</x:f>
      </x:c>
      <x:c r="E902" s="2" t="str">
        <x:f>IF(B902="","",'Motor_Meciuri'!E70)</x:f>
      </x:c>
      <x:c r="F902" s="2" t="str">
        <x:v>O3,5</x:v>
      </x:c>
      <x:c r="G902" s="2" t="str">
        <x:v>OVER</x:v>
      </x:c>
      <x:c r="H902" s="2" t="n">
        <x:v>3</x:v>
      </x:c>
      <x:c r="I902" s="2" t="str">
        <x:f>IF(B902="","",'Motor_Meciuri'!H70)</x:f>
      </x:c>
      <x:c r="J902" s="2" t="str">
        <x:f>IF(B902="","",'Motor_Meciuri'!I70)</x:f>
      </x:c>
      <x:c r="K902" s="11" t="str">
        <x:f>IF(J902&lt;&gt;"PASS","",'Motor_Meciuri'!BD70)</x:f>
      </x:c>
      <x:c r="L902" s="11" t="str">
        <x:f>IF(J902&lt;&gt;"PASS","",'Motor_Meciuri'!AU70)</x:f>
      </x:c>
      <x:c r="M902" s="10" t="str">
        <x:f>IF(NOT(AND(J902="PASS",'Calibrare_Linii'!U6="VALID")),"",1-'Distributie'!AA70)</x:f>
      </x:c>
      <x:c r="N902" s="10" t="str">
        <x:f>IF(M902="","",MAX(0.01,MIN(0.99,0.5+(M902-0.5)*'Motor_Meciuri'!BG70*'Calibrare_Linii'!D6)))</x:f>
      </x:c>
      <x:c r="O902" s="10" t="str">
        <x:f>IF(M902="","",1-M902)</x:f>
      </x:c>
      <x:c r="P902" s="10" t="str">
        <x:f>IF(OR(NOT(AND(J902="PASS",'Calibrare_Linii'!U6="VALID")),AK902=0),""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*('Istoric_Nativ'!$Q$6:$Q$405&lt;=H902))/AK902)</x:f>
      </x:c>
      <x:c r="Q902" s="10" t="str">
        <x:f>IF(OR(NOT(AND(J902="PASS",'Calibrare_Linii'!U6="VALID")),AL902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M70)+((('Istoric_Nativ'!$E$6:$E$405='Input_Meci'!E70)+('Istoric_Nativ'!$F$6:$F$405='Input_Meci'!E70))&gt;0)*('Istoric_Nativ'!$D$6:$D$405&gt;='Motor_Meciuri'!BN70))&gt;0)*('Istoric_Nativ'!$Q$6:$Q$405&lt;=H902))/AL902)</x:f>
      </x:c>
      <x:c r="R902" s="10" t="str">
        <x:f>IF(OR(NOT(AND(J902="PASS",'Calibrare_Linii'!U6="VALID")),AM902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O70)+((('Istoric_Nativ'!$E$6:$E$405='Input_Meci'!E70)+('Istoric_Nativ'!$F$6:$F$405='Input_Meci'!E70))&gt;0)*('Istoric_Nativ'!$D$6:$D$405&gt;='Motor_Meciuri'!BP70))&gt;0)*('Istoric_Nativ'!$Q$6:$Q$405&lt;=H902))/AM902)</x:f>
      </x:c>
      <x:c r="S902" s="10" t="str">
        <x:f>IF(M902="","",MAX(O902,P902,Q902,R902))</x:f>
      </x:c>
      <x:c r="T902" s="11" t="str">
        <x:f>IF(M902="","",MIN(100,S902*100*'Config_v6'!$B$44+MIN(100,L902/'Config_v6'!$B$13*100)*'Config_v6'!$B$45+(100-'Motor_Meciuri'!BF70)*'Config_v6'!$B$46+'Motor_Meciuri'!BH70*100*'Config_v6'!$B$47))</x:f>
      </x:c>
      <x:c r="U902" s="2" t="str">
        <x:f>IF(T902="","",IF(T902&lt;=20,1,IF(T902&lt;=40,2,IF(T902&lt;=60,3,IF(T902&lt;=80,4,5)))))</x:f>
      </x:c>
      <x:c r="V902" s="2" t="str">
        <x:f>IF(M902="","",MAX(0,'Motor_Meciuri'!BF70-IF(W902="OOS PENDING",'Config_v6'!$B$35,0)-IF(L902&gt;'Config_v6'!$B$12,'Config_v6'!$B$37,IF(L902&gt;'Config_v6'!$B$11,'Config_v6'!$B$36,0))))</x:f>
      </x:c>
      <x:c r="W902" s="2" t="str">
        <x:f>IF(B902="","",IF(I902&lt;&gt;"READY","NOT RELEASED",IF(NOT(AND(J902="PASS",'Calibrare_Linii'!U6="VALID")),"INVALID",IF(NOT(TRUE),"OOS PENDING",IF(S902&lt;=IF(AND('Calibrare_Linii'!S6="VALIDATED",AND('Calibrare_Linii'!H6=C902,ISNUMBER('Calibrare_Linii'!J6),'Calibrare_Linii'!J6&lt;='Input_Meci'!G70)),'Calibrare_Linii'!E6,'Config_v6'!$B$26),"PASS",IF(S902&lt;=IF(AND('Calibrare_Linii'!S6="VALIDATED",AND('Calibrare_Linii'!H6=C902,ISNUMBER('Calibrare_Linii'!J6),'Calibrare_Linii'!J6&lt;='Input_Meci'!G70)),'Calibrare_Linii'!F6,'Config_v6'!$C$26),"PENALTY","WATCH"))))))</x:f>
      </x:c>
      <x:c r="X902" s="2" t="str">
        <x:f>IF(M902="","",IF(AND(AND(J902="PASS",'Calibrare_Linii'!U6="VALID"),'Motor_Meciuri'!K70=12,'Motor_Meciuri'!L70=12,'Motor_Meciuri'!M70="NO",'Motor_Meciuri'!BL70='Motor_Meciuri'!C70,AB902&gt;='Config_v6'!$B$50,AN902&gt;='Config_v6'!$B$51,T902&lt;='Config_v6'!$B$52,L902&lt;='Config_v6'!$B$53,ISNUMBER('Calibrare_Linii'!E6),S902&lt;='Calibrare_Linii'!E6,SUM(AK902:AM902)&gt;0),"CANDIDATE","NO"))</x:f>
      </x:c>
      <x:c r="Y902" s="2" t="str">
        <x:f>IF(B902="","",IF(I902&lt;&gt;"READY","NOT RELEASED",IF(AND(X902="CANDIDATE",V902&gt;='Config_v6'!$B$51,W902="PASS",'Calibrare_Linii'!T6="VALIDATED",AND('Calibrare_Linii'!H6=C902,ISNUMBER('Calibrare_Linii'!J6),'Calibrare_Linii'!J6&lt;='Input_Meci'!G70)),"PASS",IF(X902="CANDIDATE","OOS PENDING","FAIL"))))</x:f>
      </x:c>
      <x:c r="Z902" s="2" t="str">
        <x:f>IF(B902="","",IF(I902&lt;&gt;"READY","",IF(OR(NOT(AND(J902="PASS",'Calibrare_Linii'!U6="VALID")),L902&gt;'Config_v6'!$B$13,W902="WATCH"),5,IF(Y902="PASS",1,MIN(5,MAX('Config_v6'!$B$42,U902)+IF(W902="PENALTY",1,0))))))</x:f>
      </x:c>
      <x:c r="AA902" s="2" t="str">
        <x:f>IF(B902="","",IF(I902&lt;&gt;"READY","NOT RELEASED",IF(Z902=5,"NO BET",IF(OR(AB902&lt;'Config_v6'!$B$16,V902&lt;'Config_v6'!$B$18),"WATCH",IF(Z902=1,"DEFENSIV",IF(Z902=2,"PRUDENT",IF(Z902=3,"MODERAT","RIDICAT")))))))</x:f>
      </x:c>
      <x:c r="AB902" s="10" t="str">
        <x:f>IF(N902="","",MIN(N902,1-S902))</x:f>
      </x:c>
      <x:c r="AC902" s="2" t="str">
        <x:f>IF(AD902&lt;&gt;1,"",COUNTIFS($Z$902:$Z$915,"&lt;"&amp;Z902,$AD$902:$AD$915,1)+COUNTIFS($Z$902:$Z$915,Z902,$AB$902:$AB$915,"&gt;"&amp;AB902,$AD$902:$AD$915,1)+COUNTIFS($Z$902:$Z$915,Z902,$AB$902:$AB$915,AB902,$V$902:$V$915,"&gt;"&amp;V902,$AD$902:$AD$915,1)+COUNTIFS($Z$902:Z902,Z902,$AB$902:AB902,AB902,$V$902:V902,V902,$AD$902:AD902,1))</x:f>
      </x:c>
      <x:c r="AD902" s="2" t="n">
        <x:f>IF(OR(AA902="DEFENSIV",AA902="PRUDENT",AA902="MODERAT",AA902="RIDICAT"),1,0)</x:f>
        <x:v>0</x:v>
      </x:c>
      <x:c r="AE902" s="2" t="str">
        <x:f>IF(AD902&lt;&gt;1,"NO",IF(W902="PASS","YES",IF(W902="OOS PENDING","CONDITIONAL","NO")))</x:f>
        <x:v>NO</x:v>
      </x:c>
      <x:c r="AF902" s="2" t="n">
        <x:f>IF(AND(AD902=1,AC902=1,E902="LIVE"),1,0)</x:f>
        <x:v>0</x:v>
      </x:c>
      <x:c r="AG902" s="2" t="str">
        <x:f>IF(AF902&lt;&gt;1,"",'Dashboard'!P90)</x:f>
      </x:c>
      <x:c r="AH902" s="2" t="str">
        <x:f>IF(B902="","",IF(J902&lt;&gt;"PASS",'Motor_Meciuri'!J70,IF('Calibrare_Linii'!U6&lt;&gt;"VALID","Parametri linie invalizi",IF(L902&gt;'Config_v6'!$B$13,"Dispersie peste limita",IF(W902="WATCH","Failure peste limita",IF(AB902&lt;'Config_v6'!$B$16,"P finala sub prag",IF(V902&lt;'Config_v6'!$B$18,"Confidence sub prag",IF(E902="REPLAY","Exemplu retrospectiv; exclus din Top LIVE",IF(Y902="PASS","DEFENSIV validat",IF(W902="OOS PENDING","Eligibil; calibrare linie in monitorizare","Eligibil"))))))))))</x:f>
      </x:c>
      <x:c r="AI902" s="2" t="str">
        <x:f>IF(B902="","",'Calibrare_Linii'!V6)</x:f>
      </x:c>
      <x:c r="AJ902" s="2" t="str">
        <x:f>IF(B902="","",IF(AND('Calibrare_Linii'!T6="VALIDATED",AND('Calibrare_Linii'!H6=C902,ISNUMBER('Calibrare_Linii'!J6),'Calibrare_Linii'!J6&lt;='Input_Meci'!G70)),"DEFENSIVE VALIDATED",IF(AND('Calibrare_Linii'!S6="VALIDATED",AND('Calibrare_Linii'!H6=C902,ISNUMBER('Calibrare_Linii'!J6),'Calibrare_Linii'!J6&lt;='Input_Meci'!G70)),"TAIL VALIDATED","OOS PENDING")))</x:f>
      </x:c>
      <x:c r="AK902" s="2" t="n">
        <x:f>IF(J902&lt;&gt;"PASS",0,'Motor_Meciuri'!BR70)</x:f>
        <x:v>0</x:v>
      </x:c>
      <x:c r="AL902" s="2" t="n">
        <x:f>IF(J902&lt;&gt;"PASS",0,'Motor_Meciuri'!BS70)</x:f>
        <x:v>0</x:v>
      </x:c>
      <x:c r="AM902" s="2" t="n">
        <x:f>IF(J902&lt;&gt;"PASS",0,'Motor_Meciuri'!BT70)</x:f>
        <x:v>0</x:v>
      </x:c>
      <x:c r="AN902" s="2" t="str">
        <x:f>IF(M902="","",MAX(0,'Motor_Meciuri'!BF70-IF(L902&gt;'Config_v6'!$B$12,'Config_v6'!$B$37,IF(L902&gt;'Config_v6'!$B$11,'Config_v6'!$B$36,0))))</x:f>
      </x:c>
    </x:row>
    <x:row r="903" ht="21" customHeight="1">
      <x:c r="A903" s="2" t="n">
        <x:v>65</x:v>
      </x:c>
      <x:c r="B903" s="2" t="str">
        <x:f>IF('Motor_Meciuri'!A70="","",'Motor_Meciuri'!A70)</x:f>
      </x:c>
      <x:c r="C903" s="2" t="str">
        <x:f>IF(B903="","",'Motor_Meciuri'!B70)</x:f>
      </x:c>
      <x:c r="D903" s="2" t="str">
        <x:f>IF(B903="","",'Motor_Meciuri'!D70)</x:f>
      </x:c>
      <x:c r="E903" s="2" t="str">
        <x:f>IF(B903="","",'Motor_Meciuri'!E70)</x:f>
      </x:c>
      <x:c r="F903" s="2" t="str">
        <x:v>O4,5</x:v>
      </x:c>
      <x:c r="G903" s="2" t="str">
        <x:v>OVER</x:v>
      </x:c>
      <x:c r="H903" s="2" t="n">
        <x:v>4</x:v>
      </x:c>
      <x:c r="I903" s="2" t="str">
        <x:f>IF(B903="","",'Motor_Meciuri'!H70)</x:f>
      </x:c>
      <x:c r="J903" s="2" t="str">
        <x:f>IF(B903="","",'Motor_Meciuri'!I70)</x:f>
      </x:c>
      <x:c r="K903" s="11" t="str">
        <x:f>IF(J903&lt;&gt;"PASS","",'Motor_Meciuri'!BD70)</x:f>
      </x:c>
      <x:c r="L903" s="11" t="str">
        <x:f>IF(J903&lt;&gt;"PASS","",'Motor_Meciuri'!AU70)</x:f>
      </x:c>
      <x:c r="M903" s="10" t="str">
        <x:f>IF(NOT(AND(J903="PASS",'Calibrare_Linii'!U7="VALID")),"",1-'Distributie'!AB70)</x:f>
      </x:c>
      <x:c r="N903" s="10" t="str">
        <x:f>IF(M903="","",MAX(0.01,MIN(0.99,0.5+(M903-0.5)*'Motor_Meciuri'!BG70*'Calibrare_Linii'!D7)))</x:f>
      </x:c>
      <x:c r="O903" s="10" t="str">
        <x:f>IF(M903="","",1-M903)</x:f>
      </x:c>
      <x:c r="P903" s="10" t="str">
        <x:f>IF(OR(NOT(AND(J903="PASS",'Calibrare_Linii'!U7="VALID")),AK903=0),""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*('Istoric_Nativ'!$Q$6:$Q$405&lt;=H903))/AK903)</x:f>
      </x:c>
      <x:c r="Q903" s="10" t="str">
        <x:f>IF(OR(NOT(AND(J903="PASS",'Calibrare_Linii'!U7="VALID")),AL903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M70)+((('Istoric_Nativ'!$E$6:$E$405='Input_Meci'!E70)+('Istoric_Nativ'!$F$6:$F$405='Input_Meci'!E70))&gt;0)*('Istoric_Nativ'!$D$6:$D$405&gt;='Motor_Meciuri'!BN70))&gt;0)*('Istoric_Nativ'!$Q$6:$Q$405&lt;=H903))/AL903)</x:f>
      </x:c>
      <x:c r="R903" s="10" t="str">
        <x:f>IF(OR(NOT(AND(J903="PASS",'Calibrare_Linii'!U7="VALID")),AM903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O70)+((('Istoric_Nativ'!$E$6:$E$405='Input_Meci'!E70)+('Istoric_Nativ'!$F$6:$F$405='Input_Meci'!E70))&gt;0)*('Istoric_Nativ'!$D$6:$D$405&gt;='Motor_Meciuri'!BP70))&gt;0)*('Istoric_Nativ'!$Q$6:$Q$405&lt;=H903))/AM903)</x:f>
      </x:c>
      <x:c r="S903" s="10" t="str">
        <x:f>IF(M903="","",MAX(O903,P903,Q903,R903))</x:f>
      </x:c>
      <x:c r="T903" s="11" t="str">
        <x:f>IF(M903="","",MIN(100,S903*100*'Config_v6'!$B$44+MIN(100,L903/'Config_v6'!$B$13*100)*'Config_v6'!$B$45+(100-'Motor_Meciuri'!BF70)*'Config_v6'!$B$46+'Motor_Meciuri'!BH70*100*'Config_v6'!$B$47))</x:f>
      </x:c>
      <x:c r="U903" s="2" t="str">
        <x:f>IF(T903="","",IF(T903&lt;=20,1,IF(T903&lt;=40,2,IF(T903&lt;=60,3,IF(T903&lt;=80,4,5)))))</x:f>
      </x:c>
      <x:c r="V903" s="2" t="str">
        <x:f>IF(M903="","",MAX(0,'Motor_Meciuri'!BF70-IF(W903="OOS PENDING",'Config_v6'!$B$35,0)-IF(L903&gt;'Config_v6'!$B$12,'Config_v6'!$B$37,IF(L903&gt;'Config_v6'!$B$11,'Config_v6'!$B$36,0))))</x:f>
      </x:c>
      <x:c r="W903" s="2" t="str">
        <x:f>IF(B903="","",IF(I903&lt;&gt;"READY","NOT RELEASED",IF(NOT(AND(J903="PASS",'Calibrare_Linii'!U7="VALID")),"INVALID",IF(NOT(AND('Calibrare_Linii'!S7="VALIDATED",AND('Calibrare_Linii'!H7=C903,ISNUMBER('Calibrare_Linii'!J7),'Calibrare_Linii'!J7&lt;='Input_Meci'!G70))),"OOS PENDING",IF(S903&lt;='Calibrare_Linii'!E7,"PASS",IF(S903&lt;='Calibrare_Linii'!F7,"PENALTY","WATCH"))))))</x:f>
      </x:c>
      <x:c r="X903" s="2" t="str">
        <x:f>IF(M903="","",IF(AND(AND(J903="PASS",'Calibrare_Linii'!U7="VALID"),'Motor_Meciuri'!K70=12,'Motor_Meciuri'!L70=12,'Motor_Meciuri'!M70="NO",'Motor_Meciuri'!BL70='Motor_Meciuri'!C70,AB903&gt;='Config_v6'!$B$50,AN903&gt;='Config_v6'!$B$51,T903&lt;='Config_v6'!$B$52,L903&lt;='Config_v6'!$B$53,ISNUMBER('Calibrare_Linii'!E7),S903&lt;='Calibrare_Linii'!E7,SUM(AK903:AM903)&gt;0),"CANDIDATE","NO"))</x:f>
      </x:c>
      <x:c r="Y903" s="2" t="str">
        <x:f>IF(B903="","",IF(I903&lt;&gt;"READY","NOT RELEASED",IF(AND(X903="CANDIDATE",V903&gt;='Config_v6'!$B$51,W903="PASS",'Calibrare_Linii'!T7="VALIDATED",AND('Calibrare_Linii'!H7=C903,ISNUMBER('Calibrare_Linii'!J7),'Calibrare_Linii'!J7&lt;='Input_Meci'!G70)),"PASS",IF(X903="CANDIDATE","OOS PENDING","FAIL"))))</x:f>
      </x:c>
      <x:c r="Z903" s="2" t="str">
        <x:f>IF(B903="","",IF(I903&lt;&gt;"READY","",IF(OR(NOT(AND(J903="PASS",'Calibrare_Linii'!U7="VALID")),L903&gt;'Config_v6'!$B$13,W903="WATCH"),5,IF(Y903="PASS",1,MIN(5,MAX('Config_v6'!$B$42,U903)+IF(W903="PENALTY",1,0))))))</x:f>
      </x:c>
      <x:c r="AA903" s="2" t="str">
        <x:f>IF(B903="","",IF(I903&lt;&gt;"READY","NOT RELEASED",IF(Z903=5,"NO BET",IF(OR(AB903&lt;'Config_v6'!$B$16,V903&lt;'Config_v6'!$B$18),"WATCH",IF(Z903=1,"DEFENSIV",IF(Z903=2,"PRUDENT",IF(Z903=3,"MODERAT","RIDICAT")))))))</x:f>
      </x:c>
      <x:c r="AB903" s="10" t="str">
        <x:f>IF(N903="","",MIN(N903,1-S903))</x:f>
      </x:c>
      <x:c r="AC903" s="2" t="str">
        <x:f>IF(AD903&lt;&gt;1,"",COUNTIFS($Z$902:$Z$915,"&lt;"&amp;Z903,$AD$902:$AD$915,1)+COUNTIFS($Z$902:$Z$915,Z903,$AB$902:$AB$915,"&gt;"&amp;AB903,$AD$902:$AD$915,1)+COUNTIFS($Z$902:$Z$915,Z903,$AB$902:$AB$915,AB903,$V$902:$V$915,"&gt;"&amp;V903,$AD$902:$AD$915,1)+COUNTIFS($Z$902:Z903,Z903,$AB$902:AB903,AB903,$V$902:V903,V903,$AD$902:AD903,1))</x:f>
      </x:c>
      <x:c r="AD903" s="2" t="n">
        <x:f>IF(OR(AA903="DEFENSIV",AA903="PRUDENT",AA903="MODERAT",AA903="RIDICAT"),1,0)</x:f>
        <x:v>0</x:v>
      </x:c>
      <x:c r="AE903" s="2" t="str">
        <x:f>IF(AD903&lt;&gt;1,"NO",IF(W903="PASS","YES",IF(W903="OOS PENDING","CONDITIONAL","NO")))</x:f>
        <x:v>NO</x:v>
      </x:c>
      <x:c r="AF903" s="2" t="n">
        <x:f>IF(AND(AD903=1,AC903=1,E903="LIVE"),1,0)</x:f>
        <x:v>0</x:v>
      </x:c>
      <x:c r="AG903" s="2" t="str">
        <x:f>IF(AF903&lt;&gt;1,"",'Dashboard'!P90)</x:f>
      </x:c>
      <x:c r="AH903" s="2" t="str">
        <x:f>IF(B903="","",IF(J903&lt;&gt;"PASS",'Motor_Meciuri'!J70,IF('Calibrare_Linii'!U7&lt;&gt;"VALID","Parametri linie invalizi",IF(L903&gt;'Config_v6'!$B$13,"Dispersie peste limita",IF(W903="WATCH","Failure peste limita",IF(AB903&lt;'Config_v6'!$B$16,"P finala sub prag",IF(V903&lt;'Config_v6'!$B$18,"Confidence sub prag",IF(E903="REPLAY","Exemplu retrospectiv; exclus din Top LIVE",IF(Y903="PASS","DEFENSIV validat",IF(W903="OOS PENDING","Eligibil; calibrare linie in monitorizare","Eligibil"))))))))))</x:f>
      </x:c>
      <x:c r="AI903" s="2" t="str">
        <x:f>IF(B903="","",'Calibrare_Linii'!V7)</x:f>
      </x:c>
      <x:c r="AJ903" s="2" t="str">
        <x:f>IF(B903="","",IF(AND('Calibrare_Linii'!T7="VALIDATED",AND('Calibrare_Linii'!H7=C903,ISNUMBER('Calibrare_Linii'!J7),'Calibrare_Linii'!J7&lt;='Input_Meci'!G70)),"DEFENSIVE VALIDATED",IF(AND('Calibrare_Linii'!S7="VALIDATED",AND('Calibrare_Linii'!H7=C903,ISNUMBER('Calibrare_Linii'!J7),'Calibrare_Linii'!J7&lt;='Input_Meci'!G70)),"TAIL VALIDATED","OOS PENDING")))</x:f>
      </x:c>
      <x:c r="AK903" s="2" t="n">
        <x:f>IF(J903&lt;&gt;"PASS",0,'Motor_Meciuri'!BR70)</x:f>
        <x:v>0</x:v>
      </x:c>
      <x:c r="AL903" s="2" t="n">
        <x:f>IF(J903&lt;&gt;"PASS",0,'Motor_Meciuri'!BS70)</x:f>
        <x:v>0</x:v>
      </x:c>
      <x:c r="AM903" s="2" t="n">
        <x:f>IF(J903&lt;&gt;"PASS",0,'Motor_Meciuri'!BT70)</x:f>
        <x:v>0</x:v>
      </x:c>
      <x:c r="AN903" s="2" t="str">
        <x:f>IF(M903="","",MAX(0,'Motor_Meciuri'!BF70-IF(L903&gt;'Config_v6'!$B$12,'Config_v6'!$B$37,IF(L903&gt;'Config_v6'!$B$11,'Config_v6'!$B$36,0))))</x:f>
      </x:c>
    </x:row>
    <x:row r="904" ht="21" customHeight="1">
      <x:c r="A904" s="2" t="n">
        <x:v>65</x:v>
      </x:c>
      <x:c r="B904" s="2" t="str">
        <x:f>IF('Motor_Meciuri'!A70="","",'Motor_Meciuri'!A70)</x:f>
      </x:c>
      <x:c r="C904" s="2" t="str">
        <x:f>IF(B904="","",'Motor_Meciuri'!B70)</x:f>
      </x:c>
      <x:c r="D904" s="2" t="str">
        <x:f>IF(B904="","",'Motor_Meciuri'!D70)</x:f>
      </x:c>
      <x:c r="E904" s="2" t="str">
        <x:f>IF(B904="","",'Motor_Meciuri'!E70)</x:f>
      </x:c>
      <x:c r="F904" s="2" t="str">
        <x:v>O5,5</x:v>
      </x:c>
      <x:c r="G904" s="2" t="str">
        <x:v>OVER</x:v>
      </x:c>
      <x:c r="H904" s="2" t="n">
        <x:v>5</x:v>
      </x:c>
      <x:c r="I904" s="2" t="str">
        <x:f>IF(B904="","",'Motor_Meciuri'!H70)</x:f>
      </x:c>
      <x:c r="J904" s="2" t="str">
        <x:f>IF(B904="","",'Motor_Meciuri'!I70)</x:f>
      </x:c>
      <x:c r="K904" s="11" t="str">
        <x:f>IF(J904&lt;&gt;"PASS","",'Motor_Meciuri'!BD70)</x:f>
      </x:c>
      <x:c r="L904" s="11" t="str">
        <x:f>IF(J904&lt;&gt;"PASS","",'Motor_Meciuri'!AU70)</x:f>
      </x:c>
      <x:c r="M904" s="10" t="str">
        <x:f>IF(NOT(AND(J904="PASS",'Calibrare_Linii'!U8="VALID")),"",1-'Distributie'!AC70)</x:f>
      </x:c>
      <x:c r="N904" s="10" t="str">
        <x:f>IF(M904="","",MAX(0.01,MIN(0.99,0.5+(M904-0.5)*'Motor_Meciuri'!BG70*'Calibrare_Linii'!D8)))</x:f>
      </x:c>
      <x:c r="O904" s="10" t="str">
        <x:f>IF(M904="","",1-M904)</x:f>
      </x:c>
      <x:c r="P904" s="10" t="str">
        <x:f>IF(OR(NOT(AND(J904="PASS",'Calibrare_Linii'!U8="VALID")),AK904=0),""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*('Istoric_Nativ'!$Q$6:$Q$405&lt;=H904))/AK904)</x:f>
      </x:c>
      <x:c r="Q904" s="10" t="str">
        <x:f>IF(OR(NOT(AND(J904="PASS",'Calibrare_Linii'!U8="VALID")),AL904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M70)+((('Istoric_Nativ'!$E$6:$E$405='Input_Meci'!E70)+('Istoric_Nativ'!$F$6:$F$405='Input_Meci'!E70))&gt;0)*('Istoric_Nativ'!$D$6:$D$405&gt;='Motor_Meciuri'!BN70))&gt;0)*('Istoric_Nativ'!$Q$6:$Q$405&lt;=H904))/AL904)</x:f>
      </x:c>
      <x:c r="R904" s="10" t="str">
        <x:f>IF(OR(NOT(AND(J904="PASS",'Calibrare_Linii'!U8="VALID")),AM904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O70)+((('Istoric_Nativ'!$E$6:$E$405='Input_Meci'!E70)+('Istoric_Nativ'!$F$6:$F$405='Input_Meci'!E70))&gt;0)*('Istoric_Nativ'!$D$6:$D$405&gt;='Motor_Meciuri'!BP70))&gt;0)*('Istoric_Nativ'!$Q$6:$Q$405&lt;=H904))/AM904)</x:f>
      </x:c>
      <x:c r="S904" s="10" t="str">
        <x:f>IF(M904="","",MAX(O904,P904,Q904,R904))</x:f>
      </x:c>
      <x:c r="T904" s="11" t="str">
        <x:f>IF(M904="","",MIN(100,S904*100*'Config_v6'!$B$44+MIN(100,L904/'Config_v6'!$B$13*100)*'Config_v6'!$B$45+(100-'Motor_Meciuri'!BF70)*'Config_v6'!$B$46+'Motor_Meciuri'!BH70*100*'Config_v6'!$B$47))</x:f>
      </x:c>
      <x:c r="U904" s="2" t="str">
        <x:f>IF(T904="","",IF(T904&lt;=20,1,IF(T904&lt;=40,2,IF(T904&lt;=60,3,IF(T904&lt;=80,4,5)))))</x:f>
      </x:c>
      <x:c r="V904" s="2" t="str">
        <x:f>IF(M904="","",MAX(0,'Motor_Meciuri'!BF70-IF(W904="OOS PENDING",'Config_v6'!$B$35,0)-IF(L904&gt;'Config_v6'!$B$12,'Config_v6'!$B$37,IF(L904&gt;'Config_v6'!$B$11,'Config_v6'!$B$36,0))))</x:f>
      </x:c>
      <x:c r="W904" s="2" t="str">
        <x:f>IF(B904="","",IF(I904&lt;&gt;"READY","NOT RELEASED",IF(NOT(AND(J904="PASS",'Calibrare_Linii'!U8="VALID")),"INVALID",IF(NOT(AND('Calibrare_Linii'!S8="VALIDATED",AND('Calibrare_Linii'!H8=C904,ISNUMBER('Calibrare_Linii'!J8),'Calibrare_Linii'!J8&lt;='Input_Meci'!G70))),"OOS PENDING",IF(S904&lt;='Calibrare_Linii'!E8,"PASS",IF(S904&lt;='Calibrare_Linii'!F8,"PENALTY","WATCH"))))))</x:f>
      </x:c>
      <x:c r="X904" s="2" t="str">
        <x:f>IF(M904="","",IF(AND(AND(J904="PASS",'Calibrare_Linii'!U8="VALID"),'Motor_Meciuri'!K70=12,'Motor_Meciuri'!L70=12,'Motor_Meciuri'!M70="NO",'Motor_Meciuri'!BL70='Motor_Meciuri'!C70,AB904&gt;='Config_v6'!$B$50,AN904&gt;='Config_v6'!$B$51,T904&lt;='Config_v6'!$B$52,L904&lt;='Config_v6'!$B$53,ISNUMBER('Calibrare_Linii'!E8),S904&lt;='Calibrare_Linii'!E8,SUM(AK904:AM904)&gt;0),"CANDIDATE","NO"))</x:f>
      </x:c>
      <x:c r="Y904" s="2" t="str">
        <x:f>IF(B904="","",IF(I904&lt;&gt;"READY","NOT RELEASED",IF(AND(X904="CANDIDATE",V904&gt;='Config_v6'!$B$51,W904="PASS",'Calibrare_Linii'!T8="VALIDATED",AND('Calibrare_Linii'!H8=C904,ISNUMBER('Calibrare_Linii'!J8),'Calibrare_Linii'!J8&lt;='Input_Meci'!G70)),"PASS",IF(X904="CANDIDATE","OOS PENDING","FAIL"))))</x:f>
      </x:c>
      <x:c r="Z904" s="2" t="str">
        <x:f>IF(B904="","",IF(I904&lt;&gt;"READY","",IF(OR(NOT(AND(J904="PASS",'Calibrare_Linii'!U8="VALID")),L904&gt;'Config_v6'!$B$13,W904="WATCH"),5,IF(Y904="PASS",1,MIN(5,MAX('Config_v6'!$B$42,U904)+IF(W904="PENALTY",1,0))))))</x:f>
      </x:c>
      <x:c r="AA904" s="2" t="str">
        <x:f>IF(B904="","",IF(I904&lt;&gt;"READY","NOT RELEASED",IF(Z904=5,"NO BET",IF(OR(AB904&lt;'Config_v6'!$B$16,V904&lt;'Config_v6'!$B$18),"WATCH",IF(Z904=1,"DEFENSIV",IF(Z904=2,"PRUDENT",IF(Z904=3,"MODERAT","RIDICAT")))))))</x:f>
      </x:c>
      <x:c r="AB904" s="10" t="str">
        <x:f>IF(N904="","",MIN(N904,1-S904))</x:f>
      </x:c>
      <x:c r="AC904" s="2" t="str">
        <x:f>IF(AD904&lt;&gt;1,"",COUNTIFS($Z$902:$Z$915,"&lt;"&amp;Z904,$AD$902:$AD$915,1)+COUNTIFS($Z$902:$Z$915,Z904,$AB$902:$AB$915,"&gt;"&amp;AB904,$AD$902:$AD$915,1)+COUNTIFS($Z$902:$Z$915,Z904,$AB$902:$AB$915,AB904,$V$902:$V$915,"&gt;"&amp;V904,$AD$902:$AD$915,1)+COUNTIFS($Z$902:Z904,Z904,$AB$902:AB904,AB904,$V$902:V904,V904,$AD$902:AD904,1))</x:f>
      </x:c>
      <x:c r="AD904" s="2" t="n">
        <x:f>IF(OR(AA904="DEFENSIV",AA904="PRUDENT",AA904="MODERAT",AA904="RIDICAT"),1,0)</x:f>
        <x:v>0</x:v>
      </x:c>
      <x:c r="AE904" s="2" t="str">
        <x:f>IF(AD904&lt;&gt;1,"NO",IF(W904="PASS","YES",IF(W904="OOS PENDING","CONDITIONAL","NO")))</x:f>
        <x:v>NO</x:v>
      </x:c>
      <x:c r="AF904" s="2" t="n">
        <x:f>IF(AND(AD904=1,AC904=1,E904="LIVE"),1,0)</x:f>
        <x:v>0</x:v>
      </x:c>
      <x:c r="AG904" s="2" t="str">
        <x:f>IF(AF904&lt;&gt;1,"",'Dashboard'!P90)</x:f>
      </x:c>
      <x:c r="AH904" s="2" t="str">
        <x:f>IF(B904="","",IF(J904&lt;&gt;"PASS",'Motor_Meciuri'!J70,IF('Calibrare_Linii'!U8&lt;&gt;"VALID","Parametri linie invalizi",IF(L904&gt;'Config_v6'!$B$13,"Dispersie peste limita",IF(W904="WATCH","Failure peste limita",IF(AB904&lt;'Config_v6'!$B$16,"P finala sub prag",IF(V904&lt;'Config_v6'!$B$18,"Confidence sub prag",IF(E904="REPLAY","Exemplu retrospectiv; exclus din Top LIVE",IF(Y904="PASS","DEFENSIV validat",IF(W904="OOS PENDING","Eligibil; calibrare linie in monitorizare","Eligibil"))))))))))</x:f>
      </x:c>
      <x:c r="AI904" s="2" t="str">
        <x:f>IF(B904="","",'Calibrare_Linii'!V8)</x:f>
      </x:c>
      <x:c r="AJ904" s="2" t="str">
        <x:f>IF(B904="","",IF(AND('Calibrare_Linii'!T8="VALIDATED",AND('Calibrare_Linii'!H8=C904,ISNUMBER('Calibrare_Linii'!J8),'Calibrare_Linii'!J8&lt;='Input_Meci'!G70)),"DEFENSIVE VALIDATED",IF(AND('Calibrare_Linii'!S8="VALIDATED",AND('Calibrare_Linii'!H8=C904,ISNUMBER('Calibrare_Linii'!J8),'Calibrare_Linii'!J8&lt;='Input_Meci'!G70)),"TAIL VALIDATED","OOS PENDING")))</x:f>
      </x:c>
      <x:c r="AK904" s="2" t="n">
        <x:f>IF(J904&lt;&gt;"PASS",0,'Motor_Meciuri'!BR70)</x:f>
        <x:v>0</x:v>
      </x:c>
      <x:c r="AL904" s="2" t="n">
        <x:f>IF(J904&lt;&gt;"PASS",0,'Motor_Meciuri'!BS70)</x:f>
        <x:v>0</x:v>
      </x:c>
      <x:c r="AM904" s="2" t="n">
        <x:f>IF(J904&lt;&gt;"PASS",0,'Motor_Meciuri'!BT70)</x:f>
        <x:v>0</x:v>
      </x:c>
      <x:c r="AN904" s="2" t="str">
        <x:f>IF(M904="","",MAX(0,'Motor_Meciuri'!BF70-IF(L904&gt;'Config_v6'!$B$12,'Config_v6'!$B$37,IF(L904&gt;'Config_v6'!$B$11,'Config_v6'!$B$36,0))))</x:f>
      </x:c>
    </x:row>
    <x:row r="905" ht="21" customHeight="1">
      <x:c r="A905" s="2" t="n">
        <x:v>65</x:v>
      </x:c>
      <x:c r="B905" s="2" t="str">
        <x:f>IF('Motor_Meciuri'!A70="","",'Motor_Meciuri'!A70)</x:f>
      </x:c>
      <x:c r="C905" s="2" t="str">
        <x:f>IF(B905="","",'Motor_Meciuri'!B70)</x:f>
      </x:c>
      <x:c r="D905" s="2" t="str">
        <x:f>IF(B905="","",'Motor_Meciuri'!D70)</x:f>
      </x:c>
      <x:c r="E905" s="2" t="str">
        <x:f>IF(B905="","",'Motor_Meciuri'!E70)</x:f>
      </x:c>
      <x:c r="F905" s="2" t="str">
        <x:v>O6,5</x:v>
      </x:c>
      <x:c r="G905" s="2" t="str">
        <x:v>OVER</x:v>
      </x:c>
      <x:c r="H905" s="2" t="n">
        <x:v>6</x:v>
      </x:c>
      <x:c r="I905" s="2" t="str">
        <x:f>IF(B905="","",'Motor_Meciuri'!H70)</x:f>
      </x:c>
      <x:c r="J905" s="2" t="str">
        <x:f>IF(B905="","",'Motor_Meciuri'!I70)</x:f>
      </x:c>
      <x:c r="K905" s="11" t="str">
        <x:f>IF(J905&lt;&gt;"PASS","",'Motor_Meciuri'!BD70)</x:f>
      </x:c>
      <x:c r="L905" s="11" t="str">
        <x:f>IF(J905&lt;&gt;"PASS","",'Motor_Meciuri'!AU70)</x:f>
      </x:c>
      <x:c r="M905" s="10" t="str">
        <x:f>IF(NOT(AND(J905="PASS",'Calibrare_Linii'!U9="VALID")),"",1-'Distributie'!AD70)</x:f>
      </x:c>
      <x:c r="N905" s="10" t="str">
        <x:f>IF(M905="","",MAX(0.01,MIN(0.99,0.5+(M905-0.5)*'Motor_Meciuri'!BG70*'Calibrare_Linii'!D9)))</x:f>
      </x:c>
      <x:c r="O905" s="10" t="str">
        <x:f>IF(M905="","",1-M905)</x:f>
      </x:c>
      <x:c r="P905" s="10" t="str">
        <x:f>IF(OR(NOT(AND(J905="PASS",'Calibrare_Linii'!U9="VALID")),AK905=0),""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*('Istoric_Nativ'!$Q$6:$Q$405&lt;=H905))/AK905)</x:f>
      </x:c>
      <x:c r="Q905" s="10" t="str">
        <x:f>IF(OR(NOT(AND(J905="PASS",'Calibrare_Linii'!U9="VALID")),AL905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M70)+((('Istoric_Nativ'!$E$6:$E$405='Input_Meci'!E70)+('Istoric_Nativ'!$F$6:$F$405='Input_Meci'!E70))&gt;0)*('Istoric_Nativ'!$D$6:$D$405&gt;='Motor_Meciuri'!BN70))&gt;0)*('Istoric_Nativ'!$Q$6:$Q$405&lt;=H905))/AL905)</x:f>
      </x:c>
      <x:c r="R905" s="10" t="str">
        <x:f>IF(OR(NOT(AND(J905="PASS",'Calibrare_Linii'!U9="VALID")),AM905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O70)+((('Istoric_Nativ'!$E$6:$E$405='Input_Meci'!E70)+('Istoric_Nativ'!$F$6:$F$405='Input_Meci'!E70))&gt;0)*('Istoric_Nativ'!$D$6:$D$405&gt;='Motor_Meciuri'!BP70))&gt;0)*('Istoric_Nativ'!$Q$6:$Q$405&lt;=H905))/AM905)</x:f>
      </x:c>
      <x:c r="S905" s="10" t="str">
        <x:f>IF(M905="","",MAX(O905,P905,Q905,R905))</x:f>
      </x:c>
      <x:c r="T905" s="11" t="str">
        <x:f>IF(M905="","",MIN(100,S905*100*'Config_v6'!$B$44+MIN(100,L905/'Config_v6'!$B$13*100)*'Config_v6'!$B$45+(100-'Motor_Meciuri'!BF70)*'Config_v6'!$B$46+'Motor_Meciuri'!BH70*100*'Config_v6'!$B$47))</x:f>
      </x:c>
      <x:c r="U905" s="2" t="str">
        <x:f>IF(T905="","",IF(T905&lt;=20,1,IF(T905&lt;=40,2,IF(T905&lt;=60,3,IF(T905&lt;=80,4,5)))))</x:f>
      </x:c>
      <x:c r="V905" s="2" t="str">
        <x:f>IF(M905="","",MAX(0,'Motor_Meciuri'!BF70-IF(W905="OOS PENDING",'Config_v6'!$B$35,0)-IF(L905&gt;'Config_v6'!$B$12,'Config_v6'!$B$37,IF(L905&gt;'Config_v6'!$B$11,'Config_v6'!$B$36,0))))</x:f>
      </x:c>
      <x:c r="W905" s="2" t="str">
        <x:f>IF(B905="","",IF(I905&lt;&gt;"READY","NOT RELEASED",IF(NOT(AND(J905="PASS",'Calibrare_Linii'!U9="VALID")),"INVALID",IF(NOT(AND('Calibrare_Linii'!S9="VALIDATED",AND('Calibrare_Linii'!H9=C905,ISNUMBER('Calibrare_Linii'!J9),'Calibrare_Linii'!J9&lt;='Input_Meci'!G70))),"OOS PENDING",IF(S905&lt;='Calibrare_Linii'!E9,"PASS",IF(S905&lt;='Calibrare_Linii'!F9,"PENALTY","WATCH"))))))</x:f>
      </x:c>
      <x:c r="X905" s="2" t="str">
        <x:f>IF(M905="","",IF(AND(AND(J905="PASS",'Calibrare_Linii'!U9="VALID"),'Motor_Meciuri'!K70=12,'Motor_Meciuri'!L70=12,'Motor_Meciuri'!M70="NO",'Motor_Meciuri'!BL70='Motor_Meciuri'!C70,AB905&gt;='Config_v6'!$B$50,AN905&gt;='Config_v6'!$B$51,T905&lt;='Config_v6'!$B$52,L905&lt;='Config_v6'!$B$53,ISNUMBER('Calibrare_Linii'!E9),S905&lt;='Calibrare_Linii'!E9,SUM(AK905:AM905)&gt;0),"CANDIDATE","NO"))</x:f>
      </x:c>
      <x:c r="Y905" s="2" t="str">
        <x:f>IF(B905="","",IF(I905&lt;&gt;"READY","NOT RELEASED",IF(AND(X905="CANDIDATE",V905&gt;='Config_v6'!$B$51,W905="PASS",'Calibrare_Linii'!T9="VALIDATED",AND('Calibrare_Linii'!H9=C905,ISNUMBER('Calibrare_Linii'!J9),'Calibrare_Linii'!J9&lt;='Input_Meci'!G70)),"PASS",IF(X905="CANDIDATE","OOS PENDING","FAIL"))))</x:f>
      </x:c>
      <x:c r="Z905" s="2" t="str">
        <x:f>IF(B905="","",IF(I905&lt;&gt;"READY","",IF(OR(NOT(AND(J905="PASS",'Calibrare_Linii'!U9="VALID")),L905&gt;'Config_v6'!$B$13,W905="WATCH"),5,IF(Y905="PASS",1,MIN(5,MAX('Config_v6'!$B$42,U905)+IF(W905="PENALTY",1,0))))))</x:f>
      </x:c>
      <x:c r="AA905" s="2" t="str">
        <x:f>IF(B905="","",IF(I905&lt;&gt;"READY","NOT RELEASED",IF(Z905=5,"NO BET",IF(OR(AB905&lt;'Config_v6'!$B$16,V905&lt;'Config_v6'!$B$18),"WATCH",IF(Z905=1,"DEFENSIV",IF(Z905=2,"PRUDENT",IF(Z905=3,"MODERAT","RIDICAT")))))))</x:f>
      </x:c>
      <x:c r="AB905" s="10" t="str">
        <x:f>IF(N905="","",MIN(N905,1-S905))</x:f>
      </x:c>
      <x:c r="AC905" s="2" t="str">
        <x:f>IF(AD905&lt;&gt;1,"",COUNTIFS($Z$902:$Z$915,"&lt;"&amp;Z905,$AD$902:$AD$915,1)+COUNTIFS($Z$902:$Z$915,Z905,$AB$902:$AB$915,"&gt;"&amp;AB905,$AD$902:$AD$915,1)+COUNTIFS($Z$902:$Z$915,Z905,$AB$902:$AB$915,AB905,$V$902:$V$915,"&gt;"&amp;V905,$AD$902:$AD$915,1)+COUNTIFS($Z$902:Z905,Z905,$AB$902:AB905,AB905,$V$902:V905,V905,$AD$902:AD905,1))</x:f>
      </x:c>
      <x:c r="AD905" s="2" t="n">
        <x:f>IF(OR(AA905="DEFENSIV",AA905="PRUDENT",AA905="MODERAT",AA905="RIDICAT"),1,0)</x:f>
        <x:v>0</x:v>
      </x:c>
      <x:c r="AE905" s="2" t="str">
        <x:f>IF(AD905&lt;&gt;1,"NO",IF(W905="PASS","YES",IF(W905="OOS PENDING","CONDITIONAL","NO")))</x:f>
        <x:v>NO</x:v>
      </x:c>
      <x:c r="AF905" s="2" t="n">
        <x:f>IF(AND(AD905=1,AC905=1,E905="LIVE"),1,0)</x:f>
        <x:v>0</x:v>
      </x:c>
      <x:c r="AG905" s="2" t="str">
        <x:f>IF(AF905&lt;&gt;1,"",'Dashboard'!P90)</x:f>
      </x:c>
      <x:c r="AH905" s="2" t="str">
        <x:f>IF(B905="","",IF(J905&lt;&gt;"PASS",'Motor_Meciuri'!J70,IF('Calibrare_Linii'!U9&lt;&gt;"VALID","Parametri linie invalizi",IF(L905&gt;'Config_v6'!$B$13,"Dispersie peste limita",IF(W905="WATCH","Failure peste limita",IF(AB905&lt;'Config_v6'!$B$16,"P finala sub prag",IF(V905&lt;'Config_v6'!$B$18,"Confidence sub prag",IF(E905="REPLAY","Exemplu retrospectiv; exclus din Top LIVE",IF(Y905="PASS","DEFENSIV validat",IF(W905="OOS PENDING","Eligibil; calibrare linie in monitorizare","Eligibil"))))))))))</x:f>
      </x:c>
      <x:c r="AI905" s="2" t="str">
        <x:f>IF(B905="","",'Calibrare_Linii'!V9)</x:f>
      </x:c>
      <x:c r="AJ905" s="2" t="str">
        <x:f>IF(B905="","",IF(AND('Calibrare_Linii'!T9="VALIDATED",AND('Calibrare_Linii'!H9=C905,ISNUMBER('Calibrare_Linii'!J9),'Calibrare_Linii'!J9&lt;='Input_Meci'!G70)),"DEFENSIVE VALIDATED",IF(AND('Calibrare_Linii'!S9="VALIDATED",AND('Calibrare_Linii'!H9=C905,ISNUMBER('Calibrare_Linii'!J9),'Calibrare_Linii'!J9&lt;='Input_Meci'!G70)),"TAIL VALIDATED","OOS PENDING")))</x:f>
      </x:c>
      <x:c r="AK905" s="2" t="n">
        <x:f>IF(J905&lt;&gt;"PASS",0,'Motor_Meciuri'!BR70)</x:f>
        <x:v>0</x:v>
      </x:c>
      <x:c r="AL905" s="2" t="n">
        <x:f>IF(J905&lt;&gt;"PASS",0,'Motor_Meciuri'!BS70)</x:f>
        <x:v>0</x:v>
      </x:c>
      <x:c r="AM905" s="2" t="n">
        <x:f>IF(J905&lt;&gt;"PASS",0,'Motor_Meciuri'!BT70)</x:f>
        <x:v>0</x:v>
      </x:c>
      <x:c r="AN905" s="2" t="str">
        <x:f>IF(M905="","",MAX(0,'Motor_Meciuri'!BF70-IF(L905&gt;'Config_v6'!$B$12,'Config_v6'!$B$37,IF(L905&gt;'Config_v6'!$B$11,'Config_v6'!$B$36,0))))</x:f>
      </x:c>
    </x:row>
    <x:row r="906" ht="21" customHeight="1">
      <x:c r="A906" s="2" t="n">
        <x:v>65</x:v>
      </x:c>
      <x:c r="B906" s="2" t="str">
        <x:f>IF('Motor_Meciuri'!A70="","",'Motor_Meciuri'!A70)</x:f>
      </x:c>
      <x:c r="C906" s="2" t="str">
        <x:f>IF(B906="","",'Motor_Meciuri'!B70)</x:f>
      </x:c>
      <x:c r="D906" s="2" t="str">
        <x:f>IF(B906="","",'Motor_Meciuri'!D70)</x:f>
      </x:c>
      <x:c r="E906" s="2" t="str">
        <x:f>IF(B906="","",'Motor_Meciuri'!E70)</x:f>
      </x:c>
      <x:c r="F906" s="2" t="str">
        <x:v>O7,5</x:v>
      </x:c>
      <x:c r="G906" s="2" t="str">
        <x:v>OVER</x:v>
      </x:c>
      <x:c r="H906" s="2" t="n">
        <x:v>7</x:v>
      </x:c>
      <x:c r="I906" s="2" t="str">
        <x:f>IF(B906="","",'Motor_Meciuri'!H70)</x:f>
      </x:c>
      <x:c r="J906" s="2" t="str">
        <x:f>IF(B906="","",'Motor_Meciuri'!I70)</x:f>
      </x:c>
      <x:c r="K906" s="11" t="str">
        <x:f>IF(J906&lt;&gt;"PASS","",'Motor_Meciuri'!BD70)</x:f>
      </x:c>
      <x:c r="L906" s="11" t="str">
        <x:f>IF(J906&lt;&gt;"PASS","",'Motor_Meciuri'!AU70)</x:f>
      </x:c>
      <x:c r="M906" s="10" t="str">
        <x:f>IF(NOT(AND(J906="PASS",'Calibrare_Linii'!U10="VALID")),"",1-'Distributie'!AE70)</x:f>
      </x:c>
      <x:c r="N906" s="10" t="str">
        <x:f>IF(M906="","",MAX(0.01,MIN(0.99,0.5+(M906-0.5)*'Motor_Meciuri'!BG70*'Calibrare_Linii'!D10)))</x:f>
      </x:c>
      <x:c r="O906" s="10" t="str">
        <x:f>IF(M906="","",1-M906)</x:f>
      </x:c>
      <x:c r="P906" s="10" t="str">
        <x:f>IF(OR(NOT(AND(J906="PASS",'Calibrare_Linii'!U10="VALID")),AK906=0),""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*('Istoric_Nativ'!$Q$6:$Q$405&lt;=H906))/AK906)</x:f>
      </x:c>
      <x:c r="Q906" s="10" t="str">
        <x:f>IF(OR(NOT(AND(J906="PASS",'Calibrare_Linii'!U10="VALID")),AL906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M70)+((('Istoric_Nativ'!$E$6:$E$405='Input_Meci'!E70)+('Istoric_Nativ'!$F$6:$F$405='Input_Meci'!E70))&gt;0)*('Istoric_Nativ'!$D$6:$D$405&gt;='Motor_Meciuri'!BN70))&gt;0)*('Istoric_Nativ'!$Q$6:$Q$405&lt;=H906))/AL906)</x:f>
      </x:c>
      <x:c r="R906" s="10" t="str">
        <x:f>IF(OR(NOT(AND(J906="PASS",'Calibrare_Linii'!U10="VALID")),AM906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O70)+((('Istoric_Nativ'!$E$6:$E$405='Input_Meci'!E70)+('Istoric_Nativ'!$F$6:$F$405='Input_Meci'!E70))&gt;0)*('Istoric_Nativ'!$D$6:$D$405&gt;='Motor_Meciuri'!BP70))&gt;0)*('Istoric_Nativ'!$Q$6:$Q$405&lt;=H906))/AM906)</x:f>
      </x:c>
      <x:c r="S906" s="10" t="str">
        <x:f>IF(M906="","",MAX(O906,P906,Q906,R906))</x:f>
      </x:c>
      <x:c r="T906" s="11" t="str">
        <x:f>IF(M906="","",MIN(100,S906*100*'Config_v6'!$B$44+MIN(100,L906/'Config_v6'!$B$13*100)*'Config_v6'!$B$45+(100-'Motor_Meciuri'!BF70)*'Config_v6'!$B$46+'Motor_Meciuri'!BH70*100*'Config_v6'!$B$47))</x:f>
      </x:c>
      <x:c r="U906" s="2" t="str">
        <x:f>IF(T906="","",IF(T906&lt;=20,1,IF(T906&lt;=40,2,IF(T906&lt;=60,3,IF(T906&lt;=80,4,5)))))</x:f>
      </x:c>
      <x:c r="V906" s="2" t="str">
        <x:f>IF(M906="","",MAX(0,'Motor_Meciuri'!BF70-IF(W906="OOS PENDING",'Config_v6'!$B$35,0)-IF(L906&gt;'Config_v6'!$B$12,'Config_v6'!$B$37,IF(L906&gt;'Config_v6'!$B$11,'Config_v6'!$B$36,0))))</x:f>
      </x:c>
      <x:c r="W906" s="2" t="str">
        <x:f>IF(B906="","",IF(I906&lt;&gt;"READY","NOT RELEASED",IF(NOT(AND(J906="PASS",'Calibrare_Linii'!U10="VALID")),"INVALID",IF(NOT(AND('Calibrare_Linii'!S10="VALIDATED",AND('Calibrare_Linii'!H10=C906,ISNUMBER('Calibrare_Linii'!J10),'Calibrare_Linii'!J10&lt;='Input_Meci'!G70))),"OOS PENDING",IF(S906&lt;='Calibrare_Linii'!E10,"PASS",IF(S906&lt;='Calibrare_Linii'!F10,"PENALTY","WATCH"))))))</x:f>
      </x:c>
      <x:c r="X906" s="2" t="str">
        <x:f>IF(M906="","",IF(AND(AND(J906="PASS",'Calibrare_Linii'!U10="VALID"),'Motor_Meciuri'!K70=12,'Motor_Meciuri'!L70=12,'Motor_Meciuri'!M70="NO",'Motor_Meciuri'!BL70='Motor_Meciuri'!C70,AB906&gt;='Config_v6'!$B$50,AN906&gt;='Config_v6'!$B$51,T906&lt;='Config_v6'!$B$52,L906&lt;='Config_v6'!$B$53,ISNUMBER('Calibrare_Linii'!E10),S906&lt;='Calibrare_Linii'!E10,SUM(AK906:AM906)&gt;0),"CANDIDATE","NO"))</x:f>
      </x:c>
      <x:c r="Y906" s="2" t="str">
        <x:f>IF(B906="","",IF(I906&lt;&gt;"READY","NOT RELEASED",IF(AND(X906="CANDIDATE",V906&gt;='Config_v6'!$B$51,W906="PASS",'Calibrare_Linii'!T10="VALIDATED",AND('Calibrare_Linii'!H10=C906,ISNUMBER('Calibrare_Linii'!J10),'Calibrare_Linii'!J10&lt;='Input_Meci'!G70)),"PASS",IF(X906="CANDIDATE","OOS PENDING","FAIL"))))</x:f>
      </x:c>
      <x:c r="Z906" s="2" t="str">
        <x:f>IF(B906="","",IF(I906&lt;&gt;"READY","",IF(OR(NOT(AND(J906="PASS",'Calibrare_Linii'!U10="VALID")),L906&gt;'Config_v6'!$B$13,W906="WATCH"),5,IF(Y906="PASS",1,MIN(5,MAX('Config_v6'!$B$42,U906)+IF(W906="PENALTY",1,0))))))</x:f>
      </x:c>
      <x:c r="AA906" s="2" t="str">
        <x:f>IF(B906="","",IF(I906&lt;&gt;"READY","NOT RELEASED",IF(Z906=5,"NO BET",IF(OR(AB906&lt;'Config_v6'!$B$16,V906&lt;'Config_v6'!$B$18),"WATCH",IF(Z906=1,"DEFENSIV",IF(Z906=2,"PRUDENT",IF(Z906=3,"MODERAT","RIDICAT")))))))</x:f>
      </x:c>
      <x:c r="AB906" s="10" t="str">
        <x:f>IF(N906="","",MIN(N906,1-S906))</x:f>
      </x:c>
      <x:c r="AC906" s="2" t="str">
        <x:f>IF(AD906&lt;&gt;1,"",COUNTIFS($Z$902:$Z$915,"&lt;"&amp;Z906,$AD$902:$AD$915,1)+COUNTIFS($Z$902:$Z$915,Z906,$AB$902:$AB$915,"&gt;"&amp;AB906,$AD$902:$AD$915,1)+COUNTIFS($Z$902:$Z$915,Z906,$AB$902:$AB$915,AB906,$V$902:$V$915,"&gt;"&amp;V906,$AD$902:$AD$915,1)+COUNTIFS($Z$902:Z906,Z906,$AB$902:AB906,AB906,$V$902:V906,V906,$AD$902:AD906,1))</x:f>
      </x:c>
      <x:c r="AD906" s="2" t="n">
        <x:f>IF(OR(AA906="DEFENSIV",AA906="PRUDENT",AA906="MODERAT",AA906="RIDICAT"),1,0)</x:f>
        <x:v>0</x:v>
      </x:c>
      <x:c r="AE906" s="2" t="str">
        <x:f>IF(AD906&lt;&gt;1,"NO",IF(W906="PASS","YES",IF(W906="OOS PENDING","CONDITIONAL","NO")))</x:f>
        <x:v>NO</x:v>
      </x:c>
      <x:c r="AF906" s="2" t="n">
        <x:f>IF(AND(AD906=1,AC906=1,E906="LIVE"),1,0)</x:f>
        <x:v>0</x:v>
      </x:c>
      <x:c r="AG906" s="2" t="str">
        <x:f>IF(AF906&lt;&gt;1,"",'Dashboard'!P90)</x:f>
      </x:c>
      <x:c r="AH906" s="2" t="str">
        <x:f>IF(B906="","",IF(J906&lt;&gt;"PASS",'Motor_Meciuri'!J70,IF('Calibrare_Linii'!U10&lt;&gt;"VALID","Parametri linie invalizi",IF(L906&gt;'Config_v6'!$B$13,"Dispersie peste limita",IF(W906="WATCH","Failure peste limita",IF(AB906&lt;'Config_v6'!$B$16,"P finala sub prag",IF(V906&lt;'Config_v6'!$B$18,"Confidence sub prag",IF(E906="REPLAY","Exemplu retrospectiv; exclus din Top LIVE",IF(Y906="PASS","DEFENSIV validat",IF(W906="OOS PENDING","Eligibil; calibrare linie in monitorizare","Eligibil"))))))))))</x:f>
      </x:c>
      <x:c r="AI906" s="2" t="str">
        <x:f>IF(B906="","",'Calibrare_Linii'!V10)</x:f>
      </x:c>
      <x:c r="AJ906" s="2" t="str">
        <x:f>IF(B906="","",IF(AND('Calibrare_Linii'!T10="VALIDATED",AND('Calibrare_Linii'!H10=C906,ISNUMBER('Calibrare_Linii'!J10),'Calibrare_Linii'!J10&lt;='Input_Meci'!G70)),"DEFENSIVE VALIDATED",IF(AND('Calibrare_Linii'!S10="VALIDATED",AND('Calibrare_Linii'!H10=C906,ISNUMBER('Calibrare_Linii'!J10),'Calibrare_Linii'!J10&lt;='Input_Meci'!G70)),"TAIL VALIDATED","OOS PENDING")))</x:f>
      </x:c>
      <x:c r="AK906" s="2" t="n">
        <x:f>IF(J906&lt;&gt;"PASS",0,'Motor_Meciuri'!BR70)</x:f>
        <x:v>0</x:v>
      </x:c>
      <x:c r="AL906" s="2" t="n">
        <x:f>IF(J906&lt;&gt;"PASS",0,'Motor_Meciuri'!BS70)</x:f>
        <x:v>0</x:v>
      </x:c>
      <x:c r="AM906" s="2" t="n">
        <x:f>IF(J906&lt;&gt;"PASS",0,'Motor_Meciuri'!BT70)</x:f>
        <x:v>0</x:v>
      </x:c>
      <x:c r="AN906" s="2" t="str">
        <x:f>IF(M906="","",MAX(0,'Motor_Meciuri'!BF70-IF(L906&gt;'Config_v6'!$B$12,'Config_v6'!$B$37,IF(L906&gt;'Config_v6'!$B$11,'Config_v6'!$B$36,0))))</x:f>
      </x:c>
    </x:row>
    <x:row r="907" ht="21" customHeight="1">
      <x:c r="A907" s="2" t="n">
        <x:v>65</x:v>
      </x:c>
      <x:c r="B907" s="2" t="str">
        <x:f>IF('Motor_Meciuri'!A70="","",'Motor_Meciuri'!A70)</x:f>
      </x:c>
      <x:c r="C907" s="2" t="str">
        <x:f>IF(B907="","",'Motor_Meciuri'!B70)</x:f>
      </x:c>
      <x:c r="D907" s="2" t="str">
        <x:f>IF(B907="","",'Motor_Meciuri'!D70)</x:f>
      </x:c>
      <x:c r="E907" s="2" t="str">
        <x:f>IF(B907="","",'Motor_Meciuri'!E70)</x:f>
      </x:c>
      <x:c r="F907" s="2" t="str">
        <x:v>O8,5</x:v>
      </x:c>
      <x:c r="G907" s="2" t="str">
        <x:v>OVER</x:v>
      </x:c>
      <x:c r="H907" s="2" t="n">
        <x:v>8</x:v>
      </x:c>
      <x:c r="I907" s="2" t="str">
        <x:f>IF(B907="","",'Motor_Meciuri'!H70)</x:f>
      </x:c>
      <x:c r="J907" s="2" t="str">
        <x:f>IF(B907="","",'Motor_Meciuri'!I70)</x:f>
      </x:c>
      <x:c r="K907" s="11" t="str">
        <x:f>IF(J907&lt;&gt;"PASS","",'Motor_Meciuri'!BD70)</x:f>
      </x:c>
      <x:c r="L907" s="11" t="str">
        <x:f>IF(J907&lt;&gt;"PASS","",'Motor_Meciuri'!AU70)</x:f>
      </x:c>
      <x:c r="M907" s="10" t="str">
        <x:f>IF(NOT(AND(J907="PASS",'Calibrare_Linii'!U11="VALID")),"",1-'Distributie'!AF70)</x:f>
      </x:c>
      <x:c r="N907" s="10" t="str">
        <x:f>IF(M907="","",MAX(0.01,MIN(0.99,0.5+(M907-0.5)*'Motor_Meciuri'!BG70*'Calibrare_Linii'!D11)))</x:f>
      </x:c>
      <x:c r="O907" s="10" t="str">
        <x:f>IF(M907="","",1-M907)</x:f>
      </x:c>
      <x:c r="P907" s="10" t="str">
        <x:f>IF(OR(NOT(AND(J907="PASS",'Calibrare_Linii'!U11="VALID")),AK907=0),""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*('Istoric_Nativ'!$Q$6:$Q$405&lt;=H907))/AK907)</x:f>
      </x:c>
      <x:c r="Q907" s="10" t="str">
        <x:f>IF(OR(NOT(AND(J907="PASS",'Calibrare_Linii'!U11="VALID")),AL907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M70)+((('Istoric_Nativ'!$E$6:$E$405='Input_Meci'!E70)+('Istoric_Nativ'!$F$6:$F$405='Input_Meci'!E70))&gt;0)*('Istoric_Nativ'!$D$6:$D$405&gt;='Motor_Meciuri'!BN70))&gt;0)*('Istoric_Nativ'!$Q$6:$Q$405&lt;=H907))/AL907)</x:f>
      </x:c>
      <x:c r="R907" s="10" t="str">
        <x:f>IF(OR(NOT(AND(J907="PASS",'Calibrare_Linii'!U11="VALID")),AM907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O70)+((('Istoric_Nativ'!$E$6:$E$405='Input_Meci'!E70)+('Istoric_Nativ'!$F$6:$F$405='Input_Meci'!E70))&gt;0)*('Istoric_Nativ'!$D$6:$D$405&gt;='Motor_Meciuri'!BP70))&gt;0)*('Istoric_Nativ'!$Q$6:$Q$405&lt;=H907))/AM907)</x:f>
      </x:c>
      <x:c r="S907" s="10" t="str">
        <x:f>IF(M907="","",MAX(O907,P907,Q907,R907))</x:f>
      </x:c>
      <x:c r="T907" s="11" t="str">
        <x:f>IF(M907="","",MIN(100,S907*100*'Config_v6'!$B$44+MIN(100,L907/'Config_v6'!$B$13*100)*'Config_v6'!$B$45+(100-'Motor_Meciuri'!BF70)*'Config_v6'!$B$46+'Motor_Meciuri'!BH70*100*'Config_v6'!$B$47))</x:f>
      </x:c>
      <x:c r="U907" s="2" t="str">
        <x:f>IF(T907="","",IF(T907&lt;=20,1,IF(T907&lt;=40,2,IF(T907&lt;=60,3,IF(T907&lt;=80,4,5)))))</x:f>
      </x:c>
      <x:c r="V907" s="2" t="str">
        <x:f>IF(M907="","",MAX(0,'Motor_Meciuri'!BF70-IF(W907="OOS PENDING",'Config_v6'!$B$35,0)-IF(L907&gt;'Config_v6'!$B$12,'Config_v6'!$B$37,IF(L907&gt;'Config_v6'!$B$11,'Config_v6'!$B$36,0))))</x:f>
      </x:c>
      <x:c r="W907" s="2" t="str">
        <x:f>IF(B907="","",IF(I907&lt;&gt;"READY","NOT RELEASED",IF(NOT(AND(J907="PASS",'Calibrare_Linii'!U11="VALID")),"INVALID",IF(NOT(AND('Calibrare_Linii'!S11="VALIDATED",AND('Calibrare_Linii'!H11=C907,ISNUMBER('Calibrare_Linii'!J11),'Calibrare_Linii'!J11&lt;='Input_Meci'!G70))),"OOS PENDING",IF(S907&lt;='Calibrare_Linii'!E11,"PASS",IF(S907&lt;='Calibrare_Linii'!F11,"PENALTY","WATCH"))))))</x:f>
      </x:c>
      <x:c r="X907" s="2" t="str">
        <x:f>IF(M907="","",IF(AND(AND(J907="PASS",'Calibrare_Linii'!U11="VALID"),'Motor_Meciuri'!K70=12,'Motor_Meciuri'!L70=12,'Motor_Meciuri'!M70="NO",'Motor_Meciuri'!BL70='Motor_Meciuri'!C70,AB907&gt;='Config_v6'!$B$50,AN907&gt;='Config_v6'!$B$51,T907&lt;='Config_v6'!$B$52,L907&lt;='Config_v6'!$B$53,ISNUMBER('Calibrare_Linii'!E11),S907&lt;='Calibrare_Linii'!E11,SUM(AK907:AM907)&gt;0),"CANDIDATE","NO"))</x:f>
      </x:c>
      <x:c r="Y907" s="2" t="str">
        <x:f>IF(B907="","",IF(I907&lt;&gt;"READY","NOT RELEASED",IF(AND(X907="CANDIDATE",V907&gt;='Config_v6'!$B$51,W907="PASS",'Calibrare_Linii'!T11="VALIDATED",AND('Calibrare_Linii'!H11=C907,ISNUMBER('Calibrare_Linii'!J11),'Calibrare_Linii'!J11&lt;='Input_Meci'!G70)),"PASS",IF(X907="CANDIDATE","OOS PENDING","FAIL"))))</x:f>
      </x:c>
      <x:c r="Z907" s="2" t="str">
        <x:f>IF(B907="","",IF(I907&lt;&gt;"READY","",IF(OR(NOT(AND(J907="PASS",'Calibrare_Linii'!U11="VALID")),L907&gt;'Config_v6'!$B$13,W907="WATCH"),5,IF(Y907="PASS",1,MIN(5,MAX('Config_v6'!$B$42,U907)+IF(W907="PENALTY",1,0))))))</x:f>
      </x:c>
      <x:c r="AA907" s="2" t="str">
        <x:f>IF(B907="","",IF(I907&lt;&gt;"READY","NOT RELEASED",IF(Z907=5,"NO BET",IF(OR(AB907&lt;'Config_v6'!$B$16,V907&lt;'Config_v6'!$B$18),"WATCH",IF(Z907=1,"DEFENSIV",IF(Z907=2,"PRUDENT",IF(Z907=3,"MODERAT","RIDICAT")))))))</x:f>
      </x:c>
      <x:c r="AB907" s="10" t="str">
        <x:f>IF(N907="","",MIN(N907,1-S907))</x:f>
      </x:c>
      <x:c r="AC907" s="2" t="str">
        <x:f>IF(AD907&lt;&gt;1,"",COUNTIFS($Z$902:$Z$915,"&lt;"&amp;Z907,$AD$902:$AD$915,1)+COUNTIFS($Z$902:$Z$915,Z907,$AB$902:$AB$915,"&gt;"&amp;AB907,$AD$902:$AD$915,1)+COUNTIFS($Z$902:$Z$915,Z907,$AB$902:$AB$915,AB907,$V$902:$V$915,"&gt;"&amp;V907,$AD$902:$AD$915,1)+COUNTIFS($Z$902:Z907,Z907,$AB$902:AB907,AB907,$V$902:V907,V907,$AD$902:AD907,1))</x:f>
      </x:c>
      <x:c r="AD907" s="2" t="n">
        <x:f>IF(OR(AA907="DEFENSIV",AA907="PRUDENT",AA907="MODERAT",AA907="RIDICAT"),1,0)</x:f>
        <x:v>0</x:v>
      </x:c>
      <x:c r="AE907" s="2" t="str">
        <x:f>IF(AD907&lt;&gt;1,"NO",IF(W907="PASS","YES",IF(W907="OOS PENDING","CONDITIONAL","NO")))</x:f>
        <x:v>NO</x:v>
      </x:c>
      <x:c r="AF907" s="2" t="n">
        <x:f>IF(AND(AD907=1,AC907=1,E907="LIVE"),1,0)</x:f>
        <x:v>0</x:v>
      </x:c>
      <x:c r="AG907" s="2" t="str">
        <x:f>IF(AF907&lt;&gt;1,"",'Dashboard'!P90)</x:f>
      </x:c>
      <x:c r="AH907" s="2" t="str">
        <x:f>IF(B907="","",IF(J907&lt;&gt;"PASS",'Motor_Meciuri'!J70,IF('Calibrare_Linii'!U11&lt;&gt;"VALID","Parametri linie invalizi",IF(L907&gt;'Config_v6'!$B$13,"Dispersie peste limita",IF(W907="WATCH","Failure peste limita",IF(AB907&lt;'Config_v6'!$B$16,"P finala sub prag",IF(V907&lt;'Config_v6'!$B$18,"Confidence sub prag",IF(E907="REPLAY","Exemplu retrospectiv; exclus din Top LIVE",IF(Y907="PASS","DEFENSIV validat",IF(W907="OOS PENDING","Eligibil; calibrare linie in monitorizare","Eligibil"))))))))))</x:f>
      </x:c>
      <x:c r="AI907" s="2" t="str">
        <x:f>IF(B907="","",'Calibrare_Linii'!V11)</x:f>
      </x:c>
      <x:c r="AJ907" s="2" t="str">
        <x:f>IF(B907="","",IF(AND('Calibrare_Linii'!T11="VALIDATED",AND('Calibrare_Linii'!H11=C907,ISNUMBER('Calibrare_Linii'!J11),'Calibrare_Linii'!J11&lt;='Input_Meci'!G70)),"DEFENSIVE VALIDATED",IF(AND('Calibrare_Linii'!S11="VALIDATED",AND('Calibrare_Linii'!H11=C907,ISNUMBER('Calibrare_Linii'!J11),'Calibrare_Linii'!J11&lt;='Input_Meci'!G70)),"TAIL VALIDATED","OOS PENDING")))</x:f>
      </x:c>
      <x:c r="AK907" s="2" t="n">
        <x:f>IF(J907&lt;&gt;"PASS",0,'Motor_Meciuri'!BR70)</x:f>
        <x:v>0</x:v>
      </x:c>
      <x:c r="AL907" s="2" t="n">
        <x:f>IF(J907&lt;&gt;"PASS",0,'Motor_Meciuri'!BS70)</x:f>
        <x:v>0</x:v>
      </x:c>
      <x:c r="AM907" s="2" t="n">
        <x:f>IF(J907&lt;&gt;"PASS",0,'Motor_Meciuri'!BT70)</x:f>
        <x:v>0</x:v>
      </x:c>
      <x:c r="AN907" s="2" t="str">
        <x:f>IF(M907="","",MAX(0,'Motor_Meciuri'!BF70-IF(L907&gt;'Config_v6'!$B$12,'Config_v6'!$B$37,IF(L907&gt;'Config_v6'!$B$11,'Config_v6'!$B$36,0))))</x:f>
      </x:c>
    </x:row>
    <x:row r="908" ht="21" customHeight="1">
      <x:c r="A908" s="2" t="n">
        <x:v>65</x:v>
      </x:c>
      <x:c r="B908" s="2" t="str">
        <x:f>IF('Motor_Meciuri'!A70="","",'Motor_Meciuri'!A70)</x:f>
      </x:c>
      <x:c r="C908" s="2" t="str">
        <x:f>IF(B908="","",'Motor_Meciuri'!B70)</x:f>
      </x:c>
      <x:c r="D908" s="2" t="str">
        <x:f>IF(B908="","",'Motor_Meciuri'!D70)</x:f>
      </x:c>
      <x:c r="E908" s="2" t="str">
        <x:f>IF(B908="","",'Motor_Meciuri'!E70)</x:f>
      </x:c>
      <x:c r="F908" s="2" t="str">
        <x:v>U10,5</x:v>
      </x:c>
      <x:c r="G908" s="2" t="str">
        <x:v>UNDER</x:v>
      </x:c>
      <x:c r="H908" s="2" t="n">
        <x:v>10</x:v>
      </x:c>
      <x:c r="I908" s="2" t="str">
        <x:f>IF(B908="","",'Motor_Meciuri'!H70)</x:f>
      </x:c>
      <x:c r="J908" s="2" t="str">
        <x:f>IF(B908="","",'Motor_Meciuri'!I70)</x:f>
      </x:c>
      <x:c r="K908" s="11" t="str">
        <x:f>IF(J908&lt;&gt;"PASS","",'Motor_Meciuri'!BD70)</x:f>
      </x:c>
      <x:c r="L908" s="11" t="str">
        <x:f>IF(J908&lt;&gt;"PASS","",'Motor_Meciuri'!AU70)</x:f>
      </x:c>
      <x:c r="M908" s="10" t="str">
        <x:f>IF(NOT(AND(J908="PASS",'Calibrare_Linii'!U12="VALID")),"",'Distributie'!AH70)</x:f>
      </x:c>
      <x:c r="N908" s="10" t="str">
        <x:f>IF(M908="","",MAX(0.01,MIN(0.99,0.5+(M908-0.5)*'Motor_Meciuri'!BG70*'Calibrare_Linii'!D12)))</x:f>
      </x:c>
      <x:c r="O908" s="10" t="str">
        <x:f>IF(M908="","",1-M908)</x:f>
      </x:c>
      <x:c r="P908" s="10" t="str">
        <x:f>IF(OR(NOT(AND(J908="PASS",'Calibrare_Linii'!U12="VALID")),AK908=0),""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*('Istoric_Nativ'!$Q$6:$Q$405&gt;H908))/AK908)</x:f>
      </x:c>
      <x:c r="Q908" s="10" t="str">
        <x:f>IF(OR(NOT(AND(J908="PASS",'Calibrare_Linii'!U12="VALID")),AL908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M70)+((('Istoric_Nativ'!$E$6:$E$405='Input_Meci'!E70)+('Istoric_Nativ'!$F$6:$F$405='Input_Meci'!E70))&gt;0)*('Istoric_Nativ'!$D$6:$D$405&gt;='Motor_Meciuri'!BN70))&gt;0)*('Istoric_Nativ'!$Q$6:$Q$405&gt;H908))/AL908)</x:f>
      </x:c>
      <x:c r="R908" s="10" t="str">
        <x:f>IF(OR(NOT(AND(J908="PASS",'Calibrare_Linii'!U12="VALID")),AM908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O70)+((('Istoric_Nativ'!$E$6:$E$405='Input_Meci'!E70)+('Istoric_Nativ'!$F$6:$F$405='Input_Meci'!E70))&gt;0)*('Istoric_Nativ'!$D$6:$D$405&gt;='Motor_Meciuri'!BP70))&gt;0)*('Istoric_Nativ'!$Q$6:$Q$405&gt;H908))/AM908)</x:f>
      </x:c>
      <x:c r="S908" s="10" t="str">
        <x:f>IF(M908="","",MAX(O908,P908,Q908,R908))</x:f>
      </x:c>
      <x:c r="T908" s="11" t="str">
        <x:f>IF(M908="","",MIN(100,S908*100*'Config_v6'!$B$44+MIN(100,L908/'Config_v6'!$B$13*100)*'Config_v6'!$B$45+(100-'Motor_Meciuri'!BF70)*'Config_v6'!$B$46+'Motor_Meciuri'!BH70*100*'Config_v6'!$B$47))</x:f>
      </x:c>
      <x:c r="U908" s="2" t="str">
        <x:f>IF(T908="","",IF(T908&lt;=20,1,IF(T908&lt;=40,2,IF(T908&lt;=60,3,IF(T908&lt;=80,4,5)))))</x:f>
      </x:c>
      <x:c r="V908" s="2" t="str">
        <x:f>IF(M908="","",MAX(0,'Motor_Meciuri'!BF70-IF(W908="OOS PENDING",'Config_v6'!$B$35,0)-IF(L908&gt;'Config_v6'!$B$12,'Config_v6'!$B$37,IF(L908&gt;'Config_v6'!$B$11,'Config_v6'!$B$36,0))))</x:f>
      </x:c>
      <x:c r="W908" s="2" t="str">
        <x:f>IF(B908="","",IF(I908&lt;&gt;"READY","NOT RELEASED",IF(NOT(AND(J908="PASS",'Calibrare_Linii'!U12="VALID")),"INVALID",IF(NOT(AND('Calibrare_Linii'!S12="VALIDATED",AND('Calibrare_Linii'!H12=C908,ISNUMBER('Calibrare_Linii'!J12),'Calibrare_Linii'!J12&lt;='Input_Meci'!G70))),"OOS PENDING",IF(S908&lt;='Calibrare_Linii'!E12,"PASS",IF(S908&lt;='Calibrare_Linii'!F12,"PENALTY","WATCH"))))))</x:f>
      </x:c>
      <x:c r="X908" s="2" t="str">
        <x:f>IF(M908="","",IF(AND(AND(J908="PASS",'Calibrare_Linii'!U12="VALID"),'Motor_Meciuri'!K70=12,'Motor_Meciuri'!L70=12,'Motor_Meciuri'!M70="NO",'Motor_Meciuri'!BL70='Motor_Meciuri'!C70,AB908&gt;='Config_v6'!$B$50,AN908&gt;='Config_v6'!$B$51,T908&lt;='Config_v6'!$B$52,L908&lt;='Config_v6'!$B$53,ISNUMBER('Calibrare_Linii'!E12),S908&lt;='Calibrare_Linii'!E12,SUM(AK908:AM908)&gt;0),"CANDIDATE","NO"))</x:f>
      </x:c>
      <x:c r="Y908" s="2" t="str">
        <x:f>IF(B908="","",IF(I908&lt;&gt;"READY","NOT RELEASED",IF(AND(X908="CANDIDATE",V908&gt;='Config_v6'!$B$51,W908="PASS",'Calibrare_Linii'!T12="VALIDATED",AND('Calibrare_Linii'!H12=C908,ISNUMBER('Calibrare_Linii'!J12),'Calibrare_Linii'!J12&lt;='Input_Meci'!G70)),"PASS",IF(X908="CANDIDATE","OOS PENDING","FAIL"))))</x:f>
      </x:c>
      <x:c r="Z908" s="2" t="str">
        <x:f>IF(B908="","",IF(I908&lt;&gt;"READY","",IF(OR(NOT(AND(J908="PASS",'Calibrare_Linii'!U12="VALID")),L908&gt;'Config_v6'!$B$13,W908="WATCH"),5,IF(Y908="PASS",1,MIN(5,MAX('Config_v6'!$B$42,U908)+IF(W908="PENALTY",1,0))))))</x:f>
      </x:c>
      <x:c r="AA908" s="2" t="str">
        <x:f>IF(B908="","",IF(I908&lt;&gt;"READY","NOT RELEASED",IF(Z908=5,"NO BET",IF(OR(AB908&lt;'Config_v6'!$B$16,V908&lt;'Config_v6'!$B$18),"WATCH",IF(Z908=1,"DEFENSIV",IF(Z908=2,"PRUDENT",IF(Z908=3,"MODERAT","RIDICAT")))))))</x:f>
      </x:c>
      <x:c r="AB908" s="10" t="str">
        <x:f>IF(N908="","",MIN(N908,1-S908))</x:f>
      </x:c>
      <x:c r="AC908" s="2" t="str">
        <x:f>IF(AD908&lt;&gt;1,"",COUNTIFS($Z$902:$Z$915,"&lt;"&amp;Z908,$AD$902:$AD$915,1)+COUNTIFS($Z$902:$Z$915,Z908,$AB$902:$AB$915,"&gt;"&amp;AB908,$AD$902:$AD$915,1)+COUNTIFS($Z$902:$Z$915,Z908,$AB$902:$AB$915,AB908,$V$902:$V$915,"&gt;"&amp;V908,$AD$902:$AD$915,1)+COUNTIFS($Z$902:Z908,Z908,$AB$902:AB908,AB908,$V$902:V908,V908,$AD$902:AD908,1))</x:f>
      </x:c>
      <x:c r="AD908" s="2" t="n">
        <x:f>IF(OR(AA908="DEFENSIV",AA908="PRUDENT",AA908="MODERAT",AA908="RIDICAT"),1,0)</x:f>
        <x:v>0</x:v>
      </x:c>
      <x:c r="AE908" s="2" t="str">
        <x:f>IF(AD908&lt;&gt;1,"NO",IF(W908="PASS","YES",IF(W908="OOS PENDING","CONDITIONAL","NO")))</x:f>
        <x:v>NO</x:v>
      </x:c>
      <x:c r="AF908" s="2" t="n">
        <x:f>IF(AND(AD908=1,AC908=1,E908="LIVE"),1,0)</x:f>
        <x:v>0</x:v>
      </x:c>
      <x:c r="AG908" s="2" t="str">
        <x:f>IF(AF908&lt;&gt;1,"",'Dashboard'!P90)</x:f>
      </x:c>
      <x:c r="AH908" s="2" t="str">
        <x:f>IF(B908="","",IF(J908&lt;&gt;"PASS",'Motor_Meciuri'!J70,IF('Calibrare_Linii'!U12&lt;&gt;"VALID","Parametri linie invalizi",IF(L908&gt;'Config_v6'!$B$13,"Dispersie peste limita",IF(W908="WATCH","Failure peste limita",IF(AB908&lt;'Config_v6'!$B$16,"P finala sub prag",IF(V908&lt;'Config_v6'!$B$18,"Confidence sub prag",IF(E908="REPLAY","Exemplu retrospectiv; exclus din Top LIVE",IF(Y908="PASS","DEFENSIV validat",IF(W908="OOS PENDING","Eligibil; calibrare linie in monitorizare","Eligibil"))))))))))</x:f>
      </x:c>
      <x:c r="AI908" s="2" t="str">
        <x:f>IF(B908="","",'Calibrare_Linii'!V12)</x:f>
      </x:c>
      <x:c r="AJ908" s="2" t="str">
        <x:f>IF(B908="","",IF(AND('Calibrare_Linii'!T12="VALIDATED",AND('Calibrare_Linii'!H12=C908,ISNUMBER('Calibrare_Linii'!J12),'Calibrare_Linii'!J12&lt;='Input_Meci'!G70)),"DEFENSIVE VALIDATED",IF(AND('Calibrare_Linii'!S12="VALIDATED",AND('Calibrare_Linii'!H12=C908,ISNUMBER('Calibrare_Linii'!J12),'Calibrare_Linii'!J12&lt;='Input_Meci'!G70)),"TAIL VALIDATED","OOS PENDING")))</x:f>
      </x:c>
      <x:c r="AK908" s="2" t="n">
        <x:f>IF(J908&lt;&gt;"PASS",0,'Motor_Meciuri'!BR70)</x:f>
        <x:v>0</x:v>
      </x:c>
      <x:c r="AL908" s="2" t="n">
        <x:f>IF(J908&lt;&gt;"PASS",0,'Motor_Meciuri'!BS70)</x:f>
        <x:v>0</x:v>
      </x:c>
      <x:c r="AM908" s="2" t="n">
        <x:f>IF(J908&lt;&gt;"PASS",0,'Motor_Meciuri'!BT70)</x:f>
        <x:v>0</x:v>
      </x:c>
      <x:c r="AN908" s="2" t="str">
        <x:f>IF(M908="","",MAX(0,'Motor_Meciuri'!BF70-IF(L908&gt;'Config_v6'!$B$12,'Config_v6'!$B$37,IF(L908&gt;'Config_v6'!$B$11,'Config_v6'!$B$36,0))))</x:f>
      </x:c>
    </x:row>
    <x:row r="909" ht="21" customHeight="1">
      <x:c r="A909" s="2" t="n">
        <x:v>65</x:v>
      </x:c>
      <x:c r="B909" s="2" t="str">
        <x:f>IF('Motor_Meciuri'!A70="","",'Motor_Meciuri'!A70)</x:f>
      </x:c>
      <x:c r="C909" s="2" t="str">
        <x:f>IF(B909="","",'Motor_Meciuri'!B70)</x:f>
      </x:c>
      <x:c r="D909" s="2" t="str">
        <x:f>IF(B909="","",'Motor_Meciuri'!D70)</x:f>
      </x:c>
      <x:c r="E909" s="2" t="str">
        <x:f>IF(B909="","",'Motor_Meciuri'!E70)</x:f>
      </x:c>
      <x:c r="F909" s="2" t="str">
        <x:v>U11,5</x:v>
      </x:c>
      <x:c r="G909" s="2" t="str">
        <x:v>UNDER</x:v>
      </x:c>
      <x:c r="H909" s="2" t="n">
        <x:v>11</x:v>
      </x:c>
      <x:c r="I909" s="2" t="str">
        <x:f>IF(B909="","",'Motor_Meciuri'!H70)</x:f>
      </x:c>
      <x:c r="J909" s="2" t="str">
        <x:f>IF(B909="","",'Motor_Meciuri'!I70)</x:f>
      </x:c>
      <x:c r="K909" s="11" t="str">
        <x:f>IF(J909&lt;&gt;"PASS","",'Motor_Meciuri'!BD70)</x:f>
      </x:c>
      <x:c r="L909" s="11" t="str">
        <x:f>IF(J909&lt;&gt;"PASS","",'Motor_Meciuri'!AU70)</x:f>
      </x:c>
      <x:c r="M909" s="10" t="str">
        <x:f>IF(NOT(AND(J909="PASS",'Calibrare_Linii'!U13="VALID")),"",'Distributie'!AI70)</x:f>
      </x:c>
      <x:c r="N909" s="10" t="str">
        <x:f>IF(M909="","",MAX(0.01,MIN(0.99,0.5+(M909-0.5)*'Motor_Meciuri'!BG70*'Calibrare_Linii'!D13)))</x:f>
      </x:c>
      <x:c r="O909" s="10" t="str">
        <x:f>IF(M909="","",1-M909)</x:f>
      </x:c>
      <x:c r="P909" s="10" t="str">
        <x:f>IF(OR(NOT(AND(J909="PASS",'Calibrare_Linii'!U13="VALID")),AK909=0),""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*('Istoric_Nativ'!$Q$6:$Q$405&gt;H909))/AK909)</x:f>
      </x:c>
      <x:c r="Q909" s="10" t="str">
        <x:f>IF(OR(NOT(AND(J909="PASS",'Calibrare_Linii'!U13="VALID")),AL909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M70)+((('Istoric_Nativ'!$E$6:$E$405='Input_Meci'!E70)+('Istoric_Nativ'!$F$6:$F$405='Input_Meci'!E70))&gt;0)*('Istoric_Nativ'!$D$6:$D$405&gt;='Motor_Meciuri'!BN70))&gt;0)*('Istoric_Nativ'!$Q$6:$Q$405&gt;H909))/AL909)</x:f>
      </x:c>
      <x:c r="R909" s="10" t="str">
        <x:f>IF(OR(NOT(AND(J909="PASS",'Calibrare_Linii'!U13="VALID")),AM909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O70)+((('Istoric_Nativ'!$E$6:$E$405='Input_Meci'!E70)+('Istoric_Nativ'!$F$6:$F$405='Input_Meci'!E70))&gt;0)*('Istoric_Nativ'!$D$6:$D$405&gt;='Motor_Meciuri'!BP70))&gt;0)*('Istoric_Nativ'!$Q$6:$Q$405&gt;H909))/AM909)</x:f>
      </x:c>
      <x:c r="S909" s="10" t="str">
        <x:f>IF(M909="","",MAX(O909,P909,Q909,R909))</x:f>
      </x:c>
      <x:c r="T909" s="11" t="str">
        <x:f>IF(M909="","",MIN(100,S909*100*'Config_v6'!$B$44+MIN(100,L909/'Config_v6'!$B$13*100)*'Config_v6'!$B$45+(100-'Motor_Meciuri'!BF70)*'Config_v6'!$B$46+'Motor_Meciuri'!BH70*100*'Config_v6'!$B$47))</x:f>
      </x:c>
      <x:c r="U909" s="2" t="str">
        <x:f>IF(T909="","",IF(T909&lt;=20,1,IF(T909&lt;=40,2,IF(T909&lt;=60,3,IF(T909&lt;=80,4,5)))))</x:f>
      </x:c>
      <x:c r="V909" s="2" t="str">
        <x:f>IF(M909="","",MAX(0,'Motor_Meciuri'!BF70-IF(W909="OOS PENDING",'Config_v6'!$B$35,0)-IF(L909&gt;'Config_v6'!$B$12,'Config_v6'!$B$37,IF(L909&gt;'Config_v6'!$B$11,'Config_v6'!$B$36,0))))</x:f>
      </x:c>
      <x:c r="W909" s="2" t="str">
        <x:f>IF(B909="","",IF(I909&lt;&gt;"READY","NOT RELEASED",IF(NOT(AND(J909="PASS",'Calibrare_Linii'!U13="VALID")),"INVALID",IF(NOT(AND('Calibrare_Linii'!S13="VALIDATED",AND('Calibrare_Linii'!H13=C909,ISNUMBER('Calibrare_Linii'!J13),'Calibrare_Linii'!J13&lt;='Input_Meci'!G70))),"OOS PENDING",IF(S909&lt;='Calibrare_Linii'!E13,"PASS",IF(S909&lt;='Calibrare_Linii'!F13,"PENALTY","WATCH"))))))</x:f>
      </x:c>
      <x:c r="X909" s="2" t="str">
        <x:f>IF(M909="","",IF(AND(AND(J909="PASS",'Calibrare_Linii'!U13="VALID"),'Motor_Meciuri'!K70=12,'Motor_Meciuri'!L70=12,'Motor_Meciuri'!M70="NO",'Motor_Meciuri'!BL70='Motor_Meciuri'!C70,AB909&gt;='Config_v6'!$B$50,AN909&gt;='Config_v6'!$B$51,T909&lt;='Config_v6'!$B$52,L909&lt;='Config_v6'!$B$53,ISNUMBER('Calibrare_Linii'!E13),S909&lt;='Calibrare_Linii'!E13,SUM(AK909:AM909)&gt;0),"CANDIDATE","NO"))</x:f>
      </x:c>
      <x:c r="Y909" s="2" t="str">
        <x:f>IF(B909="","",IF(I909&lt;&gt;"READY","NOT RELEASED",IF(AND(X909="CANDIDATE",V909&gt;='Config_v6'!$B$51,W909="PASS",'Calibrare_Linii'!T13="VALIDATED",AND('Calibrare_Linii'!H13=C909,ISNUMBER('Calibrare_Linii'!J13),'Calibrare_Linii'!J13&lt;='Input_Meci'!G70)),"PASS",IF(X909="CANDIDATE","OOS PENDING","FAIL"))))</x:f>
      </x:c>
      <x:c r="Z909" s="2" t="str">
        <x:f>IF(B909="","",IF(I909&lt;&gt;"READY","",IF(OR(NOT(AND(J909="PASS",'Calibrare_Linii'!U13="VALID")),L909&gt;'Config_v6'!$B$13,W909="WATCH"),5,IF(Y909="PASS",1,MIN(5,MAX('Config_v6'!$B$42,U909)+IF(W909="PENALTY",1,0))))))</x:f>
      </x:c>
      <x:c r="AA909" s="2" t="str">
        <x:f>IF(B909="","",IF(I909&lt;&gt;"READY","NOT RELEASED",IF(Z909=5,"NO BET",IF(OR(AB909&lt;'Config_v6'!$B$16,V909&lt;'Config_v6'!$B$18),"WATCH",IF(Z909=1,"DEFENSIV",IF(Z909=2,"PRUDENT",IF(Z909=3,"MODERAT","RIDICAT")))))))</x:f>
      </x:c>
      <x:c r="AB909" s="10" t="str">
        <x:f>IF(N909="","",MIN(N909,1-S909))</x:f>
      </x:c>
      <x:c r="AC909" s="2" t="str">
        <x:f>IF(AD909&lt;&gt;1,"",COUNTIFS($Z$902:$Z$915,"&lt;"&amp;Z909,$AD$902:$AD$915,1)+COUNTIFS($Z$902:$Z$915,Z909,$AB$902:$AB$915,"&gt;"&amp;AB909,$AD$902:$AD$915,1)+COUNTIFS($Z$902:$Z$915,Z909,$AB$902:$AB$915,AB909,$V$902:$V$915,"&gt;"&amp;V909,$AD$902:$AD$915,1)+COUNTIFS($Z$902:Z909,Z909,$AB$902:AB909,AB909,$V$902:V909,V909,$AD$902:AD909,1))</x:f>
      </x:c>
      <x:c r="AD909" s="2" t="n">
        <x:f>IF(OR(AA909="DEFENSIV",AA909="PRUDENT",AA909="MODERAT",AA909="RIDICAT"),1,0)</x:f>
        <x:v>0</x:v>
      </x:c>
      <x:c r="AE909" s="2" t="str">
        <x:f>IF(AD909&lt;&gt;1,"NO",IF(W909="PASS","YES",IF(W909="OOS PENDING","CONDITIONAL","NO")))</x:f>
        <x:v>NO</x:v>
      </x:c>
      <x:c r="AF909" s="2" t="n">
        <x:f>IF(AND(AD909=1,AC909=1,E909="LIVE"),1,0)</x:f>
        <x:v>0</x:v>
      </x:c>
      <x:c r="AG909" s="2" t="str">
        <x:f>IF(AF909&lt;&gt;1,"",'Dashboard'!P90)</x:f>
      </x:c>
      <x:c r="AH909" s="2" t="str">
        <x:f>IF(B909="","",IF(J909&lt;&gt;"PASS",'Motor_Meciuri'!J70,IF('Calibrare_Linii'!U13&lt;&gt;"VALID","Parametri linie invalizi",IF(L909&gt;'Config_v6'!$B$13,"Dispersie peste limita",IF(W909="WATCH","Failure peste limita",IF(AB909&lt;'Config_v6'!$B$16,"P finala sub prag",IF(V909&lt;'Config_v6'!$B$18,"Confidence sub prag",IF(E909="REPLAY","Exemplu retrospectiv; exclus din Top LIVE",IF(Y909="PASS","DEFENSIV validat",IF(W909="OOS PENDING","Eligibil; calibrare linie in monitorizare","Eligibil"))))))))))</x:f>
      </x:c>
      <x:c r="AI909" s="2" t="str">
        <x:f>IF(B909="","",'Calibrare_Linii'!V13)</x:f>
      </x:c>
      <x:c r="AJ909" s="2" t="str">
        <x:f>IF(B909="","",IF(AND('Calibrare_Linii'!T13="VALIDATED",AND('Calibrare_Linii'!H13=C909,ISNUMBER('Calibrare_Linii'!J13),'Calibrare_Linii'!J13&lt;='Input_Meci'!G70)),"DEFENSIVE VALIDATED",IF(AND('Calibrare_Linii'!S13="VALIDATED",AND('Calibrare_Linii'!H13=C909,ISNUMBER('Calibrare_Linii'!J13),'Calibrare_Linii'!J13&lt;='Input_Meci'!G70)),"TAIL VALIDATED","OOS PENDING")))</x:f>
      </x:c>
      <x:c r="AK909" s="2" t="n">
        <x:f>IF(J909&lt;&gt;"PASS",0,'Motor_Meciuri'!BR70)</x:f>
        <x:v>0</x:v>
      </x:c>
      <x:c r="AL909" s="2" t="n">
        <x:f>IF(J909&lt;&gt;"PASS",0,'Motor_Meciuri'!BS70)</x:f>
        <x:v>0</x:v>
      </x:c>
      <x:c r="AM909" s="2" t="n">
        <x:f>IF(J909&lt;&gt;"PASS",0,'Motor_Meciuri'!BT70)</x:f>
        <x:v>0</x:v>
      </x:c>
      <x:c r="AN909" s="2" t="str">
        <x:f>IF(M909="","",MAX(0,'Motor_Meciuri'!BF70-IF(L909&gt;'Config_v6'!$B$12,'Config_v6'!$B$37,IF(L909&gt;'Config_v6'!$B$11,'Config_v6'!$B$36,0))))</x:f>
      </x:c>
    </x:row>
    <x:row r="910" ht="21" customHeight="1">
      <x:c r="A910" s="2" t="n">
        <x:v>65</x:v>
      </x:c>
      <x:c r="B910" s="2" t="str">
        <x:f>IF('Motor_Meciuri'!A70="","",'Motor_Meciuri'!A70)</x:f>
      </x:c>
      <x:c r="C910" s="2" t="str">
        <x:f>IF(B910="","",'Motor_Meciuri'!B70)</x:f>
      </x:c>
      <x:c r="D910" s="2" t="str">
        <x:f>IF(B910="","",'Motor_Meciuri'!D70)</x:f>
      </x:c>
      <x:c r="E910" s="2" t="str">
        <x:f>IF(B910="","",'Motor_Meciuri'!E70)</x:f>
      </x:c>
      <x:c r="F910" s="2" t="str">
        <x:v>U12,5</x:v>
      </x:c>
      <x:c r="G910" s="2" t="str">
        <x:v>UNDER</x:v>
      </x:c>
      <x:c r="H910" s="2" t="n">
        <x:v>12</x:v>
      </x:c>
      <x:c r="I910" s="2" t="str">
        <x:f>IF(B910="","",'Motor_Meciuri'!H70)</x:f>
      </x:c>
      <x:c r="J910" s="2" t="str">
        <x:f>IF(B910="","",'Motor_Meciuri'!I70)</x:f>
      </x:c>
      <x:c r="K910" s="11" t="str">
        <x:f>IF(J910&lt;&gt;"PASS","",'Motor_Meciuri'!BD70)</x:f>
      </x:c>
      <x:c r="L910" s="11" t="str">
        <x:f>IF(J910&lt;&gt;"PASS","",'Motor_Meciuri'!AU70)</x:f>
      </x:c>
      <x:c r="M910" s="10" t="str">
        <x:f>IF(NOT(AND(J910="PASS",'Calibrare_Linii'!U14="VALID")),"",'Distributie'!AJ70)</x:f>
      </x:c>
      <x:c r="N910" s="10" t="str">
        <x:f>IF(M910="","",MAX(0.01,MIN(0.99,0.5+(M910-0.5)*'Motor_Meciuri'!BG70*'Calibrare_Linii'!D14)))</x:f>
      </x:c>
      <x:c r="O910" s="10" t="str">
        <x:f>IF(M910="","",1-M910)</x:f>
      </x:c>
      <x:c r="P910" s="10" t="str">
        <x:f>IF(OR(NOT(AND(J910="PASS",'Calibrare_Linii'!U14="VALID")),AK910=0),""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*('Istoric_Nativ'!$Q$6:$Q$405&gt;H910))/AK910)</x:f>
      </x:c>
      <x:c r="Q910" s="10" t="str">
        <x:f>IF(OR(NOT(AND(J910="PASS",'Calibrare_Linii'!U14="VALID")),AL910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M70)+((('Istoric_Nativ'!$E$6:$E$405='Input_Meci'!E70)+('Istoric_Nativ'!$F$6:$F$405='Input_Meci'!E70))&gt;0)*('Istoric_Nativ'!$D$6:$D$405&gt;='Motor_Meciuri'!BN70))&gt;0)*('Istoric_Nativ'!$Q$6:$Q$405&gt;H910))/AL910)</x:f>
      </x:c>
      <x:c r="R910" s="10" t="str">
        <x:f>IF(OR(NOT(AND(J910="PASS",'Calibrare_Linii'!U14="VALID")),AM910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O70)+((('Istoric_Nativ'!$E$6:$E$405='Input_Meci'!E70)+('Istoric_Nativ'!$F$6:$F$405='Input_Meci'!E70))&gt;0)*('Istoric_Nativ'!$D$6:$D$405&gt;='Motor_Meciuri'!BP70))&gt;0)*('Istoric_Nativ'!$Q$6:$Q$405&gt;H910))/AM910)</x:f>
      </x:c>
      <x:c r="S910" s="10" t="str">
        <x:f>IF(M910="","",MAX(O910,P910,Q910,R910))</x:f>
      </x:c>
      <x:c r="T910" s="11" t="str">
        <x:f>IF(M910="","",MIN(100,S910*100*'Config_v6'!$B$44+MIN(100,L910/'Config_v6'!$B$13*100)*'Config_v6'!$B$45+(100-'Motor_Meciuri'!BF70)*'Config_v6'!$B$46+'Motor_Meciuri'!BH70*100*'Config_v6'!$B$47))</x:f>
      </x:c>
      <x:c r="U910" s="2" t="str">
        <x:f>IF(T910="","",IF(T910&lt;=20,1,IF(T910&lt;=40,2,IF(T910&lt;=60,3,IF(T910&lt;=80,4,5)))))</x:f>
      </x:c>
      <x:c r="V910" s="2" t="str">
        <x:f>IF(M910="","",MAX(0,'Motor_Meciuri'!BF70-IF(W910="OOS PENDING",'Config_v6'!$B$35,0)-IF(L910&gt;'Config_v6'!$B$12,'Config_v6'!$B$37,IF(L910&gt;'Config_v6'!$B$11,'Config_v6'!$B$36,0))))</x:f>
      </x:c>
      <x:c r="W910" s="2" t="str">
        <x:f>IF(B910="","",IF(I910&lt;&gt;"READY","NOT RELEASED",IF(NOT(AND(J910="PASS",'Calibrare_Linii'!U14="VALID")),"INVALID",IF(NOT(AND('Calibrare_Linii'!S14="VALIDATED",AND('Calibrare_Linii'!H14=C910,ISNUMBER('Calibrare_Linii'!J14),'Calibrare_Linii'!J14&lt;='Input_Meci'!G70))),"OOS PENDING",IF(S910&lt;='Calibrare_Linii'!E14,"PASS",IF(S910&lt;='Calibrare_Linii'!F14,"PENALTY","WATCH"))))))</x:f>
      </x:c>
      <x:c r="X910" s="2" t="str">
        <x:f>IF(M910="","",IF(AND(AND(J910="PASS",'Calibrare_Linii'!U14="VALID"),'Motor_Meciuri'!K70=12,'Motor_Meciuri'!L70=12,'Motor_Meciuri'!M70="NO",'Motor_Meciuri'!BL70='Motor_Meciuri'!C70,AB910&gt;='Config_v6'!$B$50,AN910&gt;='Config_v6'!$B$51,T910&lt;='Config_v6'!$B$52,L910&lt;='Config_v6'!$B$53,ISNUMBER('Calibrare_Linii'!E14),S910&lt;='Calibrare_Linii'!E14,SUM(AK910:AM910)&gt;0),"CANDIDATE","NO"))</x:f>
      </x:c>
      <x:c r="Y910" s="2" t="str">
        <x:f>IF(B910="","",IF(I910&lt;&gt;"READY","NOT RELEASED",IF(AND(X910="CANDIDATE",V910&gt;='Config_v6'!$B$51,W910="PASS",'Calibrare_Linii'!T14="VALIDATED",AND('Calibrare_Linii'!H14=C910,ISNUMBER('Calibrare_Linii'!J14),'Calibrare_Linii'!J14&lt;='Input_Meci'!G70)),"PASS",IF(X910="CANDIDATE","OOS PENDING","FAIL"))))</x:f>
      </x:c>
      <x:c r="Z910" s="2" t="str">
        <x:f>IF(B910="","",IF(I910&lt;&gt;"READY","",IF(OR(NOT(AND(J910="PASS",'Calibrare_Linii'!U14="VALID")),L910&gt;'Config_v6'!$B$13,W910="WATCH"),5,IF(Y910="PASS",1,MIN(5,MAX('Config_v6'!$B$42,U910)+IF(W910="PENALTY",1,0))))))</x:f>
      </x:c>
      <x:c r="AA910" s="2" t="str">
        <x:f>IF(B910="","",IF(I910&lt;&gt;"READY","NOT RELEASED",IF(Z910=5,"NO BET",IF(OR(AB910&lt;'Config_v6'!$B$16,V910&lt;'Config_v6'!$B$18),"WATCH",IF(Z910=1,"DEFENSIV",IF(Z910=2,"PRUDENT",IF(Z910=3,"MODERAT","RIDICAT")))))))</x:f>
      </x:c>
      <x:c r="AB910" s="10" t="str">
        <x:f>IF(N910="","",MIN(N910,1-S910))</x:f>
      </x:c>
      <x:c r="AC910" s="2" t="str">
        <x:f>IF(AD910&lt;&gt;1,"",COUNTIFS($Z$902:$Z$915,"&lt;"&amp;Z910,$AD$902:$AD$915,1)+COUNTIFS($Z$902:$Z$915,Z910,$AB$902:$AB$915,"&gt;"&amp;AB910,$AD$902:$AD$915,1)+COUNTIFS($Z$902:$Z$915,Z910,$AB$902:$AB$915,AB910,$V$902:$V$915,"&gt;"&amp;V910,$AD$902:$AD$915,1)+COUNTIFS($Z$902:Z910,Z910,$AB$902:AB910,AB910,$V$902:V910,V910,$AD$902:AD910,1))</x:f>
      </x:c>
      <x:c r="AD910" s="2" t="n">
        <x:f>IF(OR(AA910="DEFENSIV",AA910="PRUDENT",AA910="MODERAT",AA910="RIDICAT"),1,0)</x:f>
        <x:v>0</x:v>
      </x:c>
      <x:c r="AE910" s="2" t="str">
        <x:f>IF(AD910&lt;&gt;1,"NO",IF(W910="PASS","YES",IF(W910="OOS PENDING","CONDITIONAL","NO")))</x:f>
        <x:v>NO</x:v>
      </x:c>
      <x:c r="AF910" s="2" t="n">
        <x:f>IF(AND(AD910=1,AC910=1,E910="LIVE"),1,0)</x:f>
        <x:v>0</x:v>
      </x:c>
      <x:c r="AG910" s="2" t="str">
        <x:f>IF(AF910&lt;&gt;1,"",'Dashboard'!P90)</x:f>
      </x:c>
      <x:c r="AH910" s="2" t="str">
        <x:f>IF(B910="","",IF(J910&lt;&gt;"PASS",'Motor_Meciuri'!J70,IF('Calibrare_Linii'!U14&lt;&gt;"VALID","Parametri linie invalizi",IF(L910&gt;'Config_v6'!$B$13,"Dispersie peste limita",IF(W910="WATCH","Failure peste limita",IF(AB910&lt;'Config_v6'!$B$16,"P finala sub prag",IF(V910&lt;'Config_v6'!$B$18,"Confidence sub prag",IF(E910="REPLAY","Exemplu retrospectiv; exclus din Top LIVE",IF(Y910="PASS","DEFENSIV validat",IF(W910="OOS PENDING","Eligibil; calibrare linie in monitorizare","Eligibil"))))))))))</x:f>
      </x:c>
      <x:c r="AI910" s="2" t="str">
        <x:f>IF(B910="","",'Calibrare_Linii'!V14)</x:f>
      </x:c>
      <x:c r="AJ910" s="2" t="str">
        <x:f>IF(B910="","",IF(AND('Calibrare_Linii'!T14="VALIDATED",AND('Calibrare_Linii'!H14=C910,ISNUMBER('Calibrare_Linii'!J14),'Calibrare_Linii'!J14&lt;='Input_Meci'!G70)),"DEFENSIVE VALIDATED",IF(AND('Calibrare_Linii'!S14="VALIDATED",AND('Calibrare_Linii'!H14=C910,ISNUMBER('Calibrare_Linii'!J14),'Calibrare_Linii'!J14&lt;='Input_Meci'!G70)),"TAIL VALIDATED","OOS PENDING")))</x:f>
      </x:c>
      <x:c r="AK910" s="2" t="n">
        <x:f>IF(J910&lt;&gt;"PASS",0,'Motor_Meciuri'!BR70)</x:f>
        <x:v>0</x:v>
      </x:c>
      <x:c r="AL910" s="2" t="n">
        <x:f>IF(J910&lt;&gt;"PASS",0,'Motor_Meciuri'!BS70)</x:f>
        <x:v>0</x:v>
      </x:c>
      <x:c r="AM910" s="2" t="n">
        <x:f>IF(J910&lt;&gt;"PASS",0,'Motor_Meciuri'!BT70)</x:f>
        <x:v>0</x:v>
      </x:c>
      <x:c r="AN910" s="2" t="str">
        <x:f>IF(M910="","",MAX(0,'Motor_Meciuri'!BF70-IF(L910&gt;'Config_v6'!$B$12,'Config_v6'!$B$37,IF(L910&gt;'Config_v6'!$B$11,'Config_v6'!$B$36,0))))</x:f>
      </x:c>
    </x:row>
    <x:row r="911" ht="21" customHeight="1">
      <x:c r="A911" s="2" t="n">
        <x:v>65</x:v>
      </x:c>
      <x:c r="B911" s="2" t="str">
        <x:f>IF('Motor_Meciuri'!A70="","",'Motor_Meciuri'!A70)</x:f>
      </x:c>
      <x:c r="C911" s="2" t="str">
        <x:f>IF(B911="","",'Motor_Meciuri'!B70)</x:f>
      </x:c>
      <x:c r="D911" s="2" t="str">
        <x:f>IF(B911="","",'Motor_Meciuri'!D70)</x:f>
      </x:c>
      <x:c r="E911" s="2" t="str">
        <x:f>IF(B911="","",'Motor_Meciuri'!E70)</x:f>
      </x:c>
      <x:c r="F911" s="2" t="str">
        <x:v>U13,5</x:v>
      </x:c>
      <x:c r="G911" s="2" t="str">
        <x:v>UNDER</x:v>
      </x:c>
      <x:c r="H911" s="2" t="n">
        <x:v>13</x:v>
      </x:c>
      <x:c r="I911" s="2" t="str">
        <x:f>IF(B911="","",'Motor_Meciuri'!H70)</x:f>
      </x:c>
      <x:c r="J911" s="2" t="str">
        <x:f>IF(B911="","",'Motor_Meciuri'!I70)</x:f>
      </x:c>
      <x:c r="K911" s="11" t="str">
        <x:f>IF(J911&lt;&gt;"PASS","",'Motor_Meciuri'!BD70)</x:f>
      </x:c>
      <x:c r="L911" s="11" t="str">
        <x:f>IF(J911&lt;&gt;"PASS","",'Motor_Meciuri'!AU70)</x:f>
      </x:c>
      <x:c r="M911" s="10" t="str">
        <x:f>IF(NOT(AND(J911="PASS",'Calibrare_Linii'!U15="VALID")),"",'Distributie'!AK70)</x:f>
      </x:c>
      <x:c r="N911" s="10" t="str">
        <x:f>IF(M911="","",MAX(0.01,MIN(0.99,0.5+(M911-0.5)*'Motor_Meciuri'!BG70*'Calibrare_Linii'!D15)))</x:f>
      </x:c>
      <x:c r="O911" s="10" t="str">
        <x:f>IF(M911="","",1-M911)</x:f>
      </x:c>
      <x:c r="P911" s="10" t="str">
        <x:f>IF(OR(NOT(AND(J911="PASS",'Calibrare_Linii'!U15="VALID")),AK911=0),""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*('Istoric_Nativ'!$Q$6:$Q$405&gt;H911))/AK911)</x:f>
      </x:c>
      <x:c r="Q911" s="10" t="str">
        <x:f>IF(OR(NOT(AND(J911="PASS",'Calibrare_Linii'!U15="VALID")),AL911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M70)+((('Istoric_Nativ'!$E$6:$E$405='Input_Meci'!E70)+('Istoric_Nativ'!$F$6:$F$405='Input_Meci'!E70))&gt;0)*('Istoric_Nativ'!$D$6:$D$405&gt;='Motor_Meciuri'!BN70))&gt;0)*('Istoric_Nativ'!$Q$6:$Q$405&gt;H911))/AL911)</x:f>
      </x:c>
      <x:c r="R911" s="10" t="str">
        <x:f>IF(OR(NOT(AND(J911="PASS",'Calibrare_Linii'!U15="VALID")),AM911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O70)+((('Istoric_Nativ'!$E$6:$E$405='Input_Meci'!E70)+('Istoric_Nativ'!$F$6:$F$405='Input_Meci'!E70))&gt;0)*('Istoric_Nativ'!$D$6:$D$405&gt;='Motor_Meciuri'!BP70))&gt;0)*('Istoric_Nativ'!$Q$6:$Q$405&gt;H911))/AM911)</x:f>
      </x:c>
      <x:c r="S911" s="10" t="str">
        <x:f>IF(M911="","",MAX(O911,P911,Q911,R911))</x:f>
      </x:c>
      <x:c r="T911" s="11" t="str">
        <x:f>IF(M911="","",MIN(100,S911*100*'Config_v6'!$B$44+MIN(100,L911/'Config_v6'!$B$13*100)*'Config_v6'!$B$45+(100-'Motor_Meciuri'!BF70)*'Config_v6'!$B$46+'Motor_Meciuri'!BH70*100*'Config_v6'!$B$47))</x:f>
      </x:c>
      <x:c r="U911" s="2" t="str">
        <x:f>IF(T911="","",IF(T911&lt;=20,1,IF(T911&lt;=40,2,IF(T911&lt;=60,3,IF(T911&lt;=80,4,5)))))</x:f>
      </x:c>
      <x:c r="V911" s="2" t="str">
        <x:f>IF(M911="","",MAX(0,'Motor_Meciuri'!BF70-IF(W911="OOS PENDING",'Config_v6'!$B$35,0)-IF(L911&gt;'Config_v6'!$B$12,'Config_v6'!$B$37,IF(L911&gt;'Config_v6'!$B$11,'Config_v6'!$B$36,0))))</x:f>
      </x:c>
      <x:c r="W911" s="2" t="str">
        <x:f>IF(B911="","",IF(I911&lt;&gt;"READY","NOT RELEASED",IF(NOT(AND(J911="PASS",'Calibrare_Linii'!U15="VALID")),"INVALID",IF(NOT(AND('Calibrare_Linii'!S15="VALIDATED",AND('Calibrare_Linii'!H15=C911,ISNUMBER('Calibrare_Linii'!J15),'Calibrare_Linii'!J15&lt;='Input_Meci'!G70))),"OOS PENDING",IF(S911&lt;='Calibrare_Linii'!E15,"PASS",IF(S911&lt;='Calibrare_Linii'!F15,"PENALTY","WATCH"))))))</x:f>
      </x:c>
      <x:c r="X911" s="2" t="str">
        <x:f>IF(M911="","",IF(AND(AND(J911="PASS",'Calibrare_Linii'!U15="VALID"),'Motor_Meciuri'!K70=12,'Motor_Meciuri'!L70=12,'Motor_Meciuri'!M70="NO",'Motor_Meciuri'!BL70='Motor_Meciuri'!C70,AB911&gt;='Config_v6'!$B$50,AN911&gt;='Config_v6'!$B$51,T911&lt;='Config_v6'!$B$52,L911&lt;='Config_v6'!$B$53,ISNUMBER('Calibrare_Linii'!E15),S911&lt;='Calibrare_Linii'!E15,SUM(AK911:AM911)&gt;0),"CANDIDATE","NO"))</x:f>
      </x:c>
      <x:c r="Y911" s="2" t="str">
        <x:f>IF(B911="","",IF(I911&lt;&gt;"READY","NOT RELEASED",IF(AND(X911="CANDIDATE",V911&gt;='Config_v6'!$B$51,W911="PASS",'Calibrare_Linii'!T15="VALIDATED",AND('Calibrare_Linii'!H15=C911,ISNUMBER('Calibrare_Linii'!J15),'Calibrare_Linii'!J15&lt;='Input_Meci'!G70)),"PASS",IF(X911="CANDIDATE","OOS PENDING","FAIL"))))</x:f>
      </x:c>
      <x:c r="Z911" s="2" t="str">
        <x:f>IF(B911="","",IF(I911&lt;&gt;"READY","",IF(OR(NOT(AND(J911="PASS",'Calibrare_Linii'!U15="VALID")),L911&gt;'Config_v6'!$B$13,W911="WATCH"),5,IF(Y911="PASS",1,MIN(5,MAX('Config_v6'!$B$42,U911)+IF(W911="PENALTY",1,0))))))</x:f>
      </x:c>
      <x:c r="AA911" s="2" t="str">
        <x:f>IF(B911="","",IF(I911&lt;&gt;"READY","NOT RELEASED",IF(Z911=5,"NO BET",IF(OR(AB911&lt;'Config_v6'!$B$16,V911&lt;'Config_v6'!$B$18),"WATCH",IF(Z911=1,"DEFENSIV",IF(Z911=2,"PRUDENT",IF(Z911=3,"MODERAT","RIDICAT")))))))</x:f>
      </x:c>
      <x:c r="AB911" s="10" t="str">
        <x:f>IF(N911="","",MIN(N911,1-S911))</x:f>
      </x:c>
      <x:c r="AC911" s="2" t="str">
        <x:f>IF(AD911&lt;&gt;1,"",COUNTIFS($Z$902:$Z$915,"&lt;"&amp;Z911,$AD$902:$AD$915,1)+COUNTIFS($Z$902:$Z$915,Z911,$AB$902:$AB$915,"&gt;"&amp;AB911,$AD$902:$AD$915,1)+COUNTIFS($Z$902:$Z$915,Z911,$AB$902:$AB$915,AB911,$V$902:$V$915,"&gt;"&amp;V911,$AD$902:$AD$915,1)+COUNTIFS($Z$902:Z911,Z911,$AB$902:AB911,AB911,$V$902:V911,V911,$AD$902:AD911,1))</x:f>
      </x:c>
      <x:c r="AD911" s="2" t="n">
        <x:f>IF(OR(AA911="DEFENSIV",AA911="PRUDENT",AA911="MODERAT",AA911="RIDICAT"),1,0)</x:f>
        <x:v>0</x:v>
      </x:c>
      <x:c r="AE911" s="2" t="str">
        <x:f>IF(AD911&lt;&gt;1,"NO",IF(W911="PASS","YES",IF(W911="OOS PENDING","CONDITIONAL","NO")))</x:f>
        <x:v>NO</x:v>
      </x:c>
      <x:c r="AF911" s="2" t="n">
        <x:f>IF(AND(AD911=1,AC911=1,E911="LIVE"),1,0)</x:f>
        <x:v>0</x:v>
      </x:c>
      <x:c r="AG911" s="2" t="str">
        <x:f>IF(AF911&lt;&gt;1,"",'Dashboard'!P90)</x:f>
      </x:c>
      <x:c r="AH911" s="2" t="str">
        <x:f>IF(B911="","",IF(J911&lt;&gt;"PASS",'Motor_Meciuri'!J70,IF('Calibrare_Linii'!U15&lt;&gt;"VALID","Parametri linie invalizi",IF(L911&gt;'Config_v6'!$B$13,"Dispersie peste limita",IF(W911="WATCH","Failure peste limita",IF(AB911&lt;'Config_v6'!$B$16,"P finala sub prag",IF(V911&lt;'Config_v6'!$B$18,"Confidence sub prag",IF(E911="REPLAY","Exemplu retrospectiv; exclus din Top LIVE",IF(Y911="PASS","DEFENSIV validat",IF(W911="OOS PENDING","Eligibil; calibrare linie in monitorizare","Eligibil"))))))))))</x:f>
      </x:c>
      <x:c r="AI911" s="2" t="str">
        <x:f>IF(B911="","",'Calibrare_Linii'!V15)</x:f>
      </x:c>
      <x:c r="AJ911" s="2" t="str">
        <x:f>IF(B911="","",IF(AND('Calibrare_Linii'!T15="VALIDATED",AND('Calibrare_Linii'!H15=C911,ISNUMBER('Calibrare_Linii'!J15),'Calibrare_Linii'!J15&lt;='Input_Meci'!G70)),"DEFENSIVE VALIDATED",IF(AND('Calibrare_Linii'!S15="VALIDATED",AND('Calibrare_Linii'!H15=C911,ISNUMBER('Calibrare_Linii'!J15),'Calibrare_Linii'!J15&lt;='Input_Meci'!G70)),"TAIL VALIDATED","OOS PENDING")))</x:f>
      </x:c>
      <x:c r="AK911" s="2" t="n">
        <x:f>IF(J911&lt;&gt;"PASS",0,'Motor_Meciuri'!BR70)</x:f>
        <x:v>0</x:v>
      </x:c>
      <x:c r="AL911" s="2" t="n">
        <x:f>IF(J911&lt;&gt;"PASS",0,'Motor_Meciuri'!BS70)</x:f>
        <x:v>0</x:v>
      </x:c>
      <x:c r="AM911" s="2" t="n">
        <x:f>IF(J911&lt;&gt;"PASS",0,'Motor_Meciuri'!BT70)</x:f>
        <x:v>0</x:v>
      </x:c>
      <x:c r="AN911" s="2" t="str">
        <x:f>IF(M911="","",MAX(0,'Motor_Meciuri'!BF70-IF(L911&gt;'Config_v6'!$B$12,'Config_v6'!$B$37,IF(L911&gt;'Config_v6'!$B$11,'Config_v6'!$B$36,0))))</x:f>
      </x:c>
    </x:row>
    <x:row r="912" ht="21" customHeight="1">
      <x:c r="A912" s="2" t="n">
        <x:v>65</x:v>
      </x:c>
      <x:c r="B912" s="2" t="str">
        <x:f>IF('Motor_Meciuri'!A70="","",'Motor_Meciuri'!A70)</x:f>
      </x:c>
      <x:c r="C912" s="2" t="str">
        <x:f>IF(B912="","",'Motor_Meciuri'!B70)</x:f>
      </x:c>
      <x:c r="D912" s="2" t="str">
        <x:f>IF(B912="","",'Motor_Meciuri'!D70)</x:f>
      </x:c>
      <x:c r="E912" s="2" t="str">
        <x:f>IF(B912="","",'Motor_Meciuri'!E70)</x:f>
      </x:c>
      <x:c r="F912" s="2" t="str">
        <x:v>U14,5</x:v>
      </x:c>
      <x:c r="G912" s="2" t="str">
        <x:v>UNDER</x:v>
      </x:c>
      <x:c r="H912" s="2" t="n">
        <x:v>14</x:v>
      </x:c>
      <x:c r="I912" s="2" t="str">
        <x:f>IF(B912="","",'Motor_Meciuri'!H70)</x:f>
      </x:c>
      <x:c r="J912" s="2" t="str">
        <x:f>IF(B912="","",'Motor_Meciuri'!I70)</x:f>
      </x:c>
      <x:c r="K912" s="11" t="str">
        <x:f>IF(J912&lt;&gt;"PASS","",'Motor_Meciuri'!BD70)</x:f>
      </x:c>
      <x:c r="L912" s="11" t="str">
        <x:f>IF(J912&lt;&gt;"PASS","",'Motor_Meciuri'!AU70)</x:f>
      </x:c>
      <x:c r="M912" s="10" t="str">
        <x:f>IF(NOT(AND(J912="PASS",'Calibrare_Linii'!U16="VALID")),"",'Distributie'!AL70)</x:f>
      </x:c>
      <x:c r="N912" s="10" t="str">
        <x:f>IF(M912="","",MAX(0.01,MIN(0.99,0.5+(M912-0.5)*'Motor_Meciuri'!BG70*'Calibrare_Linii'!D16)))</x:f>
      </x:c>
      <x:c r="O912" s="10" t="str">
        <x:f>IF(M912="","",1-M912)</x:f>
      </x:c>
      <x:c r="P912" s="10" t="str">
        <x:f>IF(OR(NOT(AND(J912="PASS",'Calibrare_Linii'!U16="VALID")),AK912=0),""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*('Istoric_Nativ'!$Q$6:$Q$405&gt;H912))/AK912)</x:f>
      </x:c>
      <x:c r="Q912" s="10" t="str">
        <x:f>IF(OR(NOT(AND(J912="PASS",'Calibrare_Linii'!U16="VALID")),AL912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M70)+((('Istoric_Nativ'!$E$6:$E$405='Input_Meci'!E70)+('Istoric_Nativ'!$F$6:$F$405='Input_Meci'!E70))&gt;0)*('Istoric_Nativ'!$D$6:$D$405&gt;='Motor_Meciuri'!BN70))&gt;0)*('Istoric_Nativ'!$Q$6:$Q$405&gt;H912))/AL912)</x:f>
      </x:c>
      <x:c r="R912" s="10" t="str">
        <x:f>IF(OR(NOT(AND(J912="PASS",'Calibrare_Linii'!U16="VALID")),AM912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O70)+((('Istoric_Nativ'!$E$6:$E$405='Input_Meci'!E70)+('Istoric_Nativ'!$F$6:$F$405='Input_Meci'!E70))&gt;0)*('Istoric_Nativ'!$D$6:$D$405&gt;='Motor_Meciuri'!BP70))&gt;0)*('Istoric_Nativ'!$Q$6:$Q$405&gt;H912))/AM912)</x:f>
      </x:c>
      <x:c r="S912" s="10" t="str">
        <x:f>IF(M912="","",MAX(O912,P912,Q912,R912))</x:f>
      </x:c>
      <x:c r="T912" s="11" t="str">
        <x:f>IF(M912="","",MIN(100,S912*100*'Config_v6'!$B$44+MIN(100,L912/'Config_v6'!$B$13*100)*'Config_v6'!$B$45+(100-'Motor_Meciuri'!BF70)*'Config_v6'!$B$46+'Motor_Meciuri'!BH70*100*'Config_v6'!$B$47))</x:f>
      </x:c>
      <x:c r="U912" s="2" t="str">
        <x:f>IF(T912="","",IF(T912&lt;=20,1,IF(T912&lt;=40,2,IF(T912&lt;=60,3,IF(T912&lt;=80,4,5)))))</x:f>
      </x:c>
      <x:c r="V912" s="2" t="str">
        <x:f>IF(M912="","",MAX(0,'Motor_Meciuri'!BF70-IF(W912="OOS PENDING",'Config_v6'!$B$35,0)-IF(L912&gt;'Config_v6'!$B$12,'Config_v6'!$B$37,IF(L912&gt;'Config_v6'!$B$11,'Config_v6'!$B$36,0))))</x:f>
      </x:c>
      <x:c r="W912" s="2" t="str">
        <x:f>IF(B912="","",IF(I912&lt;&gt;"READY","NOT RELEASED",IF(NOT(AND(J912="PASS",'Calibrare_Linii'!U16="VALID")),"INVALID",IF(NOT(AND('Calibrare_Linii'!S16="VALIDATED",AND('Calibrare_Linii'!H16=C912,ISNUMBER('Calibrare_Linii'!J16),'Calibrare_Linii'!J16&lt;='Input_Meci'!G70))),"OOS PENDING",IF(S912&lt;='Calibrare_Linii'!E16,"PASS",IF(S912&lt;='Calibrare_Linii'!F16,"PENALTY","WATCH"))))))</x:f>
      </x:c>
      <x:c r="X912" s="2" t="str">
        <x:f>IF(M912="","",IF(AND(AND(J912="PASS",'Calibrare_Linii'!U16="VALID"),'Motor_Meciuri'!K70=12,'Motor_Meciuri'!L70=12,'Motor_Meciuri'!M70="NO",'Motor_Meciuri'!BL70='Motor_Meciuri'!C70,AB912&gt;='Config_v6'!$B$50,AN912&gt;='Config_v6'!$B$51,T912&lt;='Config_v6'!$B$52,L912&lt;='Config_v6'!$B$53,ISNUMBER('Calibrare_Linii'!E16),S912&lt;='Calibrare_Linii'!E16,SUM(AK912:AM912)&gt;0),"CANDIDATE","NO"))</x:f>
      </x:c>
      <x:c r="Y912" s="2" t="str">
        <x:f>IF(B912="","",IF(I912&lt;&gt;"READY","NOT RELEASED",IF(AND(X912="CANDIDATE",V912&gt;='Config_v6'!$B$51,W912="PASS",'Calibrare_Linii'!T16="VALIDATED",AND('Calibrare_Linii'!H16=C912,ISNUMBER('Calibrare_Linii'!J16),'Calibrare_Linii'!J16&lt;='Input_Meci'!G70)),"PASS",IF(X912="CANDIDATE","OOS PENDING","FAIL"))))</x:f>
      </x:c>
      <x:c r="Z912" s="2" t="str">
        <x:f>IF(B912="","",IF(I912&lt;&gt;"READY","",IF(OR(NOT(AND(J912="PASS",'Calibrare_Linii'!U16="VALID")),L912&gt;'Config_v6'!$B$13,W912="WATCH"),5,IF(Y912="PASS",1,MIN(5,MAX('Config_v6'!$B$42,U912)+IF(W912="PENALTY",1,0))))))</x:f>
      </x:c>
      <x:c r="AA912" s="2" t="str">
        <x:f>IF(B912="","",IF(I912&lt;&gt;"READY","NOT RELEASED",IF(Z912=5,"NO BET",IF(OR(AB912&lt;'Config_v6'!$B$16,V912&lt;'Config_v6'!$B$18),"WATCH",IF(Z912=1,"DEFENSIV",IF(Z912=2,"PRUDENT",IF(Z912=3,"MODERAT","RIDICAT")))))))</x:f>
      </x:c>
      <x:c r="AB912" s="10" t="str">
        <x:f>IF(N912="","",MIN(N912,1-S912))</x:f>
      </x:c>
      <x:c r="AC912" s="2" t="str">
        <x:f>IF(AD912&lt;&gt;1,"",COUNTIFS($Z$902:$Z$915,"&lt;"&amp;Z912,$AD$902:$AD$915,1)+COUNTIFS($Z$902:$Z$915,Z912,$AB$902:$AB$915,"&gt;"&amp;AB912,$AD$902:$AD$915,1)+COUNTIFS($Z$902:$Z$915,Z912,$AB$902:$AB$915,AB912,$V$902:$V$915,"&gt;"&amp;V912,$AD$902:$AD$915,1)+COUNTIFS($Z$902:Z912,Z912,$AB$902:AB912,AB912,$V$902:V912,V912,$AD$902:AD912,1))</x:f>
      </x:c>
      <x:c r="AD912" s="2" t="n">
        <x:f>IF(OR(AA912="DEFENSIV",AA912="PRUDENT",AA912="MODERAT",AA912="RIDICAT"),1,0)</x:f>
        <x:v>0</x:v>
      </x:c>
      <x:c r="AE912" s="2" t="str">
        <x:f>IF(AD912&lt;&gt;1,"NO",IF(W912="PASS","YES",IF(W912="OOS PENDING","CONDITIONAL","NO")))</x:f>
        <x:v>NO</x:v>
      </x:c>
      <x:c r="AF912" s="2" t="n">
        <x:f>IF(AND(AD912=1,AC912=1,E912="LIVE"),1,0)</x:f>
        <x:v>0</x:v>
      </x:c>
      <x:c r="AG912" s="2" t="str">
        <x:f>IF(AF912&lt;&gt;1,"",'Dashboard'!P90)</x:f>
      </x:c>
      <x:c r="AH912" s="2" t="str">
        <x:f>IF(B912="","",IF(J912&lt;&gt;"PASS",'Motor_Meciuri'!J70,IF('Calibrare_Linii'!U16&lt;&gt;"VALID","Parametri linie invalizi",IF(L912&gt;'Config_v6'!$B$13,"Dispersie peste limita",IF(W912="WATCH","Failure peste limita",IF(AB912&lt;'Config_v6'!$B$16,"P finala sub prag",IF(V912&lt;'Config_v6'!$B$18,"Confidence sub prag",IF(E912="REPLAY","Exemplu retrospectiv; exclus din Top LIVE",IF(Y912="PASS","DEFENSIV validat",IF(W912="OOS PENDING","Eligibil; calibrare linie in monitorizare","Eligibil"))))))))))</x:f>
      </x:c>
      <x:c r="AI912" s="2" t="str">
        <x:f>IF(B912="","",'Calibrare_Linii'!V16)</x:f>
      </x:c>
      <x:c r="AJ912" s="2" t="str">
        <x:f>IF(B912="","",IF(AND('Calibrare_Linii'!T16="VALIDATED",AND('Calibrare_Linii'!H16=C912,ISNUMBER('Calibrare_Linii'!J16),'Calibrare_Linii'!J16&lt;='Input_Meci'!G70)),"DEFENSIVE VALIDATED",IF(AND('Calibrare_Linii'!S16="VALIDATED",AND('Calibrare_Linii'!H16=C912,ISNUMBER('Calibrare_Linii'!J16),'Calibrare_Linii'!J16&lt;='Input_Meci'!G70)),"TAIL VALIDATED","OOS PENDING")))</x:f>
      </x:c>
      <x:c r="AK912" s="2" t="n">
        <x:f>IF(J912&lt;&gt;"PASS",0,'Motor_Meciuri'!BR70)</x:f>
        <x:v>0</x:v>
      </x:c>
      <x:c r="AL912" s="2" t="n">
        <x:f>IF(J912&lt;&gt;"PASS",0,'Motor_Meciuri'!BS70)</x:f>
        <x:v>0</x:v>
      </x:c>
      <x:c r="AM912" s="2" t="n">
        <x:f>IF(J912&lt;&gt;"PASS",0,'Motor_Meciuri'!BT70)</x:f>
        <x:v>0</x:v>
      </x:c>
      <x:c r="AN912" s="2" t="str">
        <x:f>IF(M912="","",MAX(0,'Motor_Meciuri'!BF70-IF(L912&gt;'Config_v6'!$B$12,'Config_v6'!$B$37,IF(L912&gt;'Config_v6'!$B$11,'Config_v6'!$B$36,0))))</x:f>
      </x:c>
    </x:row>
    <x:row r="913" ht="21" customHeight="1">
      <x:c r="A913" s="2" t="n">
        <x:v>65</x:v>
      </x:c>
      <x:c r="B913" s="2" t="str">
        <x:f>IF('Motor_Meciuri'!A70="","",'Motor_Meciuri'!A70)</x:f>
      </x:c>
      <x:c r="C913" s="2" t="str">
        <x:f>IF(B913="","",'Motor_Meciuri'!B70)</x:f>
      </x:c>
      <x:c r="D913" s="2" t="str">
        <x:f>IF(B913="","",'Motor_Meciuri'!D70)</x:f>
      </x:c>
      <x:c r="E913" s="2" t="str">
        <x:f>IF(B913="","",'Motor_Meciuri'!E70)</x:f>
      </x:c>
      <x:c r="F913" s="2" t="str">
        <x:v>U15,5</x:v>
      </x:c>
      <x:c r="G913" s="2" t="str">
        <x:v>UNDER</x:v>
      </x:c>
      <x:c r="H913" s="2" t="n">
        <x:v>15</x:v>
      </x:c>
      <x:c r="I913" s="2" t="str">
        <x:f>IF(B913="","",'Motor_Meciuri'!H70)</x:f>
      </x:c>
      <x:c r="J913" s="2" t="str">
        <x:f>IF(B913="","",'Motor_Meciuri'!I70)</x:f>
      </x:c>
      <x:c r="K913" s="11" t="str">
        <x:f>IF(J913&lt;&gt;"PASS","",'Motor_Meciuri'!BD70)</x:f>
      </x:c>
      <x:c r="L913" s="11" t="str">
        <x:f>IF(J913&lt;&gt;"PASS","",'Motor_Meciuri'!AU70)</x:f>
      </x:c>
      <x:c r="M913" s="10" t="str">
        <x:f>IF(NOT(AND(J913="PASS",'Calibrare_Linii'!U17="VALID")),"",'Distributie'!AM70)</x:f>
      </x:c>
      <x:c r="N913" s="10" t="str">
        <x:f>IF(M913="","",MAX(0.01,MIN(0.99,0.5+(M913-0.5)*'Motor_Meciuri'!BG70*'Calibrare_Linii'!D17)))</x:f>
      </x:c>
      <x:c r="O913" s="10" t="str">
        <x:f>IF(M913="","",1-M913)</x:f>
      </x:c>
      <x:c r="P913" s="10" t="str">
        <x:f>IF(OR(NOT(AND(J913="PASS",'Calibrare_Linii'!U17="VALID")),AK913=0),""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*('Istoric_Nativ'!$Q$6:$Q$405&gt;H913))/AK913)</x:f>
      </x:c>
      <x:c r="Q913" s="10" t="str">
        <x:f>IF(OR(NOT(AND(J913="PASS",'Calibrare_Linii'!U17="VALID")),AL913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M70)+((('Istoric_Nativ'!$E$6:$E$405='Input_Meci'!E70)+('Istoric_Nativ'!$F$6:$F$405='Input_Meci'!E70))&gt;0)*('Istoric_Nativ'!$D$6:$D$405&gt;='Motor_Meciuri'!BN70))&gt;0)*('Istoric_Nativ'!$Q$6:$Q$405&gt;H913))/AL913)</x:f>
      </x:c>
      <x:c r="R913" s="10" t="str">
        <x:f>IF(OR(NOT(AND(J913="PASS",'Calibrare_Linii'!U17="VALID")),AM913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O70)+((('Istoric_Nativ'!$E$6:$E$405='Input_Meci'!E70)+('Istoric_Nativ'!$F$6:$F$405='Input_Meci'!E70))&gt;0)*('Istoric_Nativ'!$D$6:$D$405&gt;='Motor_Meciuri'!BP70))&gt;0)*('Istoric_Nativ'!$Q$6:$Q$405&gt;H913))/AM913)</x:f>
      </x:c>
      <x:c r="S913" s="10" t="str">
        <x:f>IF(M913="","",MAX(O913,P913,Q913,R913))</x:f>
      </x:c>
      <x:c r="T913" s="11" t="str">
        <x:f>IF(M913="","",MIN(100,S913*100*'Config_v6'!$B$44+MIN(100,L913/'Config_v6'!$B$13*100)*'Config_v6'!$B$45+(100-'Motor_Meciuri'!BF70)*'Config_v6'!$B$46+'Motor_Meciuri'!BH70*100*'Config_v6'!$B$47))</x:f>
      </x:c>
      <x:c r="U913" s="2" t="str">
        <x:f>IF(T913="","",IF(T913&lt;=20,1,IF(T913&lt;=40,2,IF(T913&lt;=60,3,IF(T913&lt;=80,4,5)))))</x:f>
      </x:c>
      <x:c r="V913" s="2" t="str">
        <x:f>IF(M913="","",MAX(0,'Motor_Meciuri'!BF70-IF(W913="OOS PENDING",'Config_v6'!$B$35,0)-IF(L913&gt;'Config_v6'!$B$12,'Config_v6'!$B$37,IF(L913&gt;'Config_v6'!$B$11,'Config_v6'!$B$36,0))))</x:f>
      </x:c>
      <x:c r="W913" s="2" t="str">
        <x:f>IF(B913="","",IF(I913&lt;&gt;"READY","NOT RELEASED",IF(NOT(AND(J913="PASS",'Calibrare_Linii'!U17="VALID")),"INVALID",IF(NOT(AND('Calibrare_Linii'!S17="VALIDATED",AND('Calibrare_Linii'!H17=C913,ISNUMBER('Calibrare_Linii'!J17),'Calibrare_Linii'!J17&lt;='Input_Meci'!G70))),"OOS PENDING",IF(S913&lt;='Calibrare_Linii'!E17,"PASS",IF(S913&lt;='Calibrare_Linii'!F17,"PENALTY","WATCH"))))))</x:f>
      </x:c>
      <x:c r="X913" s="2" t="str">
        <x:f>IF(M913="","",IF(AND(AND(J913="PASS",'Calibrare_Linii'!U17="VALID"),'Motor_Meciuri'!K70=12,'Motor_Meciuri'!L70=12,'Motor_Meciuri'!M70="NO",'Motor_Meciuri'!BL70='Motor_Meciuri'!C70,AB913&gt;='Config_v6'!$B$50,AN913&gt;='Config_v6'!$B$51,T913&lt;='Config_v6'!$B$52,L913&lt;='Config_v6'!$B$53,ISNUMBER('Calibrare_Linii'!E17),S913&lt;='Calibrare_Linii'!E17,SUM(AK913:AM913)&gt;0),"CANDIDATE","NO"))</x:f>
      </x:c>
      <x:c r="Y913" s="2" t="str">
        <x:f>IF(B913="","",IF(I913&lt;&gt;"READY","NOT RELEASED",IF(AND(X913="CANDIDATE",V913&gt;='Config_v6'!$B$51,W913="PASS",'Calibrare_Linii'!T17="VALIDATED",AND('Calibrare_Linii'!H17=C913,ISNUMBER('Calibrare_Linii'!J17),'Calibrare_Linii'!J17&lt;='Input_Meci'!G70)),"PASS",IF(X913="CANDIDATE","OOS PENDING","FAIL"))))</x:f>
      </x:c>
      <x:c r="Z913" s="2" t="str">
        <x:f>IF(B913="","",IF(I913&lt;&gt;"READY","",IF(OR(NOT(AND(J913="PASS",'Calibrare_Linii'!U17="VALID")),L913&gt;'Config_v6'!$B$13,W913="WATCH"),5,IF(Y913="PASS",1,MIN(5,MAX('Config_v6'!$B$42,U913)+IF(W913="PENALTY",1,0))))))</x:f>
      </x:c>
      <x:c r="AA913" s="2" t="str">
        <x:f>IF(B913="","",IF(I913&lt;&gt;"READY","NOT RELEASED",IF(Z913=5,"NO BET",IF(OR(AB913&lt;'Config_v6'!$B$16,V913&lt;'Config_v6'!$B$18),"WATCH",IF(Z913=1,"DEFENSIV",IF(Z913=2,"PRUDENT",IF(Z913=3,"MODERAT","RIDICAT")))))))</x:f>
      </x:c>
      <x:c r="AB913" s="10" t="str">
        <x:f>IF(N913="","",MIN(N913,1-S913))</x:f>
      </x:c>
      <x:c r="AC913" s="2" t="str">
        <x:f>IF(AD913&lt;&gt;1,"",COUNTIFS($Z$902:$Z$915,"&lt;"&amp;Z913,$AD$902:$AD$915,1)+COUNTIFS($Z$902:$Z$915,Z913,$AB$902:$AB$915,"&gt;"&amp;AB913,$AD$902:$AD$915,1)+COUNTIFS($Z$902:$Z$915,Z913,$AB$902:$AB$915,AB913,$V$902:$V$915,"&gt;"&amp;V913,$AD$902:$AD$915,1)+COUNTIFS($Z$902:Z913,Z913,$AB$902:AB913,AB913,$V$902:V913,V913,$AD$902:AD913,1))</x:f>
      </x:c>
      <x:c r="AD913" s="2" t="n">
        <x:f>IF(OR(AA913="DEFENSIV",AA913="PRUDENT",AA913="MODERAT",AA913="RIDICAT"),1,0)</x:f>
        <x:v>0</x:v>
      </x:c>
      <x:c r="AE913" s="2" t="str">
        <x:f>IF(AD913&lt;&gt;1,"NO",IF(W913="PASS","YES",IF(W913="OOS PENDING","CONDITIONAL","NO")))</x:f>
        <x:v>NO</x:v>
      </x:c>
      <x:c r="AF913" s="2" t="n">
        <x:f>IF(AND(AD913=1,AC913=1,E913="LIVE"),1,0)</x:f>
        <x:v>0</x:v>
      </x:c>
      <x:c r="AG913" s="2" t="str">
        <x:f>IF(AF913&lt;&gt;1,"",'Dashboard'!P90)</x:f>
      </x:c>
      <x:c r="AH913" s="2" t="str">
        <x:f>IF(B913="","",IF(J913&lt;&gt;"PASS",'Motor_Meciuri'!J70,IF('Calibrare_Linii'!U17&lt;&gt;"VALID","Parametri linie invalizi",IF(L913&gt;'Config_v6'!$B$13,"Dispersie peste limita",IF(W913="WATCH","Failure peste limita",IF(AB913&lt;'Config_v6'!$B$16,"P finala sub prag",IF(V913&lt;'Config_v6'!$B$18,"Confidence sub prag",IF(E913="REPLAY","Exemplu retrospectiv; exclus din Top LIVE",IF(Y913="PASS","DEFENSIV validat",IF(W913="OOS PENDING","Eligibil; calibrare linie in monitorizare","Eligibil"))))))))))</x:f>
      </x:c>
      <x:c r="AI913" s="2" t="str">
        <x:f>IF(B913="","",'Calibrare_Linii'!V17)</x:f>
      </x:c>
      <x:c r="AJ913" s="2" t="str">
        <x:f>IF(B913="","",IF(AND('Calibrare_Linii'!T17="VALIDATED",AND('Calibrare_Linii'!H17=C913,ISNUMBER('Calibrare_Linii'!J17),'Calibrare_Linii'!J17&lt;='Input_Meci'!G70)),"DEFENSIVE VALIDATED",IF(AND('Calibrare_Linii'!S17="VALIDATED",AND('Calibrare_Linii'!H17=C913,ISNUMBER('Calibrare_Linii'!J17),'Calibrare_Linii'!J17&lt;='Input_Meci'!G70)),"TAIL VALIDATED","OOS PENDING")))</x:f>
      </x:c>
      <x:c r="AK913" s="2" t="n">
        <x:f>IF(J913&lt;&gt;"PASS",0,'Motor_Meciuri'!BR70)</x:f>
        <x:v>0</x:v>
      </x:c>
      <x:c r="AL913" s="2" t="n">
        <x:f>IF(J913&lt;&gt;"PASS",0,'Motor_Meciuri'!BS70)</x:f>
        <x:v>0</x:v>
      </x:c>
      <x:c r="AM913" s="2" t="n">
        <x:f>IF(J913&lt;&gt;"PASS",0,'Motor_Meciuri'!BT70)</x:f>
        <x:v>0</x:v>
      </x:c>
      <x:c r="AN913" s="2" t="str">
        <x:f>IF(M913="","",MAX(0,'Motor_Meciuri'!BF70-IF(L913&gt;'Config_v6'!$B$12,'Config_v6'!$B$37,IF(L913&gt;'Config_v6'!$B$11,'Config_v6'!$B$36,0))))</x:f>
      </x:c>
    </x:row>
    <x:row r="914" ht="21" customHeight="1">
      <x:c r="A914" s="2" t="n">
        <x:v>65</x:v>
      </x:c>
      <x:c r="B914" s="2" t="str">
        <x:f>IF('Motor_Meciuri'!A70="","",'Motor_Meciuri'!A70)</x:f>
      </x:c>
      <x:c r="C914" s="2" t="str">
        <x:f>IF(B914="","",'Motor_Meciuri'!B70)</x:f>
      </x:c>
      <x:c r="D914" s="2" t="str">
        <x:f>IF(B914="","",'Motor_Meciuri'!D70)</x:f>
      </x:c>
      <x:c r="E914" s="2" t="str">
        <x:f>IF(B914="","",'Motor_Meciuri'!E70)</x:f>
      </x:c>
      <x:c r="F914" s="2" t="str">
        <x:v>U16,5</x:v>
      </x:c>
      <x:c r="G914" s="2" t="str">
        <x:v>UNDER</x:v>
      </x:c>
      <x:c r="H914" s="2" t="n">
        <x:v>16</x:v>
      </x:c>
      <x:c r="I914" s="2" t="str">
        <x:f>IF(B914="","",'Motor_Meciuri'!H70)</x:f>
      </x:c>
      <x:c r="J914" s="2" t="str">
        <x:f>IF(B914="","",'Motor_Meciuri'!I70)</x:f>
      </x:c>
      <x:c r="K914" s="11" t="str">
        <x:f>IF(J914&lt;&gt;"PASS","",'Motor_Meciuri'!BD70)</x:f>
      </x:c>
      <x:c r="L914" s="11" t="str">
        <x:f>IF(J914&lt;&gt;"PASS","",'Motor_Meciuri'!AU70)</x:f>
      </x:c>
      <x:c r="M914" s="10" t="str">
        <x:f>IF(NOT(AND(J914="PASS",'Calibrare_Linii'!U18="VALID")),"",'Distributie'!AN70)</x:f>
      </x:c>
      <x:c r="N914" s="10" t="str">
        <x:f>IF(M914="","",MAX(0.01,MIN(0.99,0.5+(M914-0.5)*'Motor_Meciuri'!BG70*'Calibrare_Linii'!D18)))</x:f>
      </x:c>
      <x:c r="O914" s="10" t="str">
        <x:f>IF(M914="","",1-M914)</x:f>
      </x:c>
      <x:c r="P914" s="10" t="str">
        <x:f>IF(OR(NOT(AND(J914="PASS",'Calibrare_Linii'!U18="VALID")),AK914=0),""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*('Istoric_Nativ'!$Q$6:$Q$405&gt;H914))/AK914)</x:f>
      </x:c>
      <x:c r="Q914" s="10" t="str">
        <x:f>IF(OR(NOT(AND(J914="PASS",'Calibrare_Linii'!U18="VALID")),AL914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M70)+((('Istoric_Nativ'!$E$6:$E$405='Input_Meci'!E70)+('Istoric_Nativ'!$F$6:$F$405='Input_Meci'!E70))&gt;0)*('Istoric_Nativ'!$D$6:$D$405&gt;='Motor_Meciuri'!BN70))&gt;0)*('Istoric_Nativ'!$Q$6:$Q$405&gt;H914))/AL914)</x:f>
      </x:c>
      <x:c r="R914" s="10" t="str">
        <x:f>IF(OR(NOT(AND(J914="PASS",'Calibrare_Linii'!U18="VALID")),AM914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O70)+((('Istoric_Nativ'!$E$6:$E$405='Input_Meci'!E70)+('Istoric_Nativ'!$F$6:$F$405='Input_Meci'!E70))&gt;0)*('Istoric_Nativ'!$D$6:$D$405&gt;='Motor_Meciuri'!BP70))&gt;0)*('Istoric_Nativ'!$Q$6:$Q$405&gt;H914))/AM914)</x:f>
      </x:c>
      <x:c r="S914" s="10" t="str">
        <x:f>IF(M914="","",MAX(O914,P914,Q914,R914))</x:f>
      </x:c>
      <x:c r="T914" s="11" t="str">
        <x:f>IF(M914="","",MIN(100,S914*100*'Config_v6'!$B$44+MIN(100,L914/'Config_v6'!$B$13*100)*'Config_v6'!$B$45+(100-'Motor_Meciuri'!BF70)*'Config_v6'!$B$46+'Motor_Meciuri'!BH70*100*'Config_v6'!$B$47))</x:f>
      </x:c>
      <x:c r="U914" s="2" t="str">
        <x:f>IF(T914="","",IF(T914&lt;=20,1,IF(T914&lt;=40,2,IF(T914&lt;=60,3,IF(T914&lt;=80,4,5)))))</x:f>
      </x:c>
      <x:c r="V914" s="2" t="str">
        <x:f>IF(M914="","",MAX(0,'Motor_Meciuri'!BF70-IF(W914="OOS PENDING",'Config_v6'!$B$35,0)-IF(L914&gt;'Config_v6'!$B$12,'Config_v6'!$B$37,IF(L914&gt;'Config_v6'!$B$11,'Config_v6'!$B$36,0))))</x:f>
      </x:c>
      <x:c r="W914" s="2" t="str">
        <x:f>IF(B914="","",IF(I914&lt;&gt;"READY","NOT RELEASED",IF(NOT(AND(J914="PASS",'Calibrare_Linii'!U18="VALID")),"INVALID",IF(NOT(AND('Calibrare_Linii'!S18="VALIDATED",AND('Calibrare_Linii'!H18=C914,ISNUMBER('Calibrare_Linii'!J18),'Calibrare_Linii'!J18&lt;='Input_Meci'!G70))),"OOS PENDING",IF(S914&lt;='Calibrare_Linii'!E18,"PASS",IF(S914&lt;='Calibrare_Linii'!F18,"PENALTY","WATCH"))))))</x:f>
      </x:c>
      <x:c r="X914" s="2" t="str">
        <x:f>IF(M914="","",IF(AND(AND(J914="PASS",'Calibrare_Linii'!U18="VALID"),'Motor_Meciuri'!K70=12,'Motor_Meciuri'!L70=12,'Motor_Meciuri'!M70="NO",'Motor_Meciuri'!BL70='Motor_Meciuri'!C70,AB914&gt;='Config_v6'!$B$50,AN914&gt;='Config_v6'!$B$51,T914&lt;='Config_v6'!$B$52,L914&lt;='Config_v6'!$B$53,ISNUMBER('Calibrare_Linii'!E18),S914&lt;='Calibrare_Linii'!E18,SUM(AK914:AM914)&gt;0),"CANDIDATE","NO"))</x:f>
      </x:c>
      <x:c r="Y914" s="2" t="str">
        <x:f>IF(B914="","",IF(I914&lt;&gt;"READY","NOT RELEASED",IF(AND(X914="CANDIDATE",V914&gt;='Config_v6'!$B$51,W914="PASS",'Calibrare_Linii'!T18="VALIDATED",AND('Calibrare_Linii'!H18=C914,ISNUMBER('Calibrare_Linii'!J18),'Calibrare_Linii'!J18&lt;='Input_Meci'!G70)),"PASS",IF(X914="CANDIDATE","OOS PENDING","FAIL"))))</x:f>
      </x:c>
      <x:c r="Z914" s="2" t="str">
        <x:f>IF(B914="","",IF(I914&lt;&gt;"READY","",IF(OR(NOT(AND(J914="PASS",'Calibrare_Linii'!U18="VALID")),L914&gt;'Config_v6'!$B$13,W914="WATCH"),5,IF(Y914="PASS",1,MIN(5,MAX('Config_v6'!$B$42,U914)+IF(W914="PENALTY",1,0))))))</x:f>
      </x:c>
      <x:c r="AA914" s="2" t="str">
        <x:f>IF(B914="","",IF(I914&lt;&gt;"READY","NOT RELEASED",IF(Z914=5,"NO BET",IF(OR(AB914&lt;'Config_v6'!$B$16,V914&lt;'Config_v6'!$B$18),"WATCH",IF(Z914=1,"DEFENSIV",IF(Z914=2,"PRUDENT",IF(Z914=3,"MODERAT","RIDICAT")))))))</x:f>
      </x:c>
      <x:c r="AB914" s="10" t="str">
        <x:f>IF(N914="","",MIN(N914,1-S914))</x:f>
      </x:c>
      <x:c r="AC914" s="2" t="str">
        <x:f>IF(AD914&lt;&gt;1,"",COUNTIFS($Z$902:$Z$915,"&lt;"&amp;Z914,$AD$902:$AD$915,1)+COUNTIFS($Z$902:$Z$915,Z914,$AB$902:$AB$915,"&gt;"&amp;AB914,$AD$902:$AD$915,1)+COUNTIFS($Z$902:$Z$915,Z914,$AB$902:$AB$915,AB914,$V$902:$V$915,"&gt;"&amp;V914,$AD$902:$AD$915,1)+COUNTIFS($Z$902:Z914,Z914,$AB$902:AB914,AB914,$V$902:V914,V914,$AD$902:AD914,1))</x:f>
      </x:c>
      <x:c r="AD914" s="2" t="n">
        <x:f>IF(OR(AA914="DEFENSIV",AA914="PRUDENT",AA914="MODERAT",AA914="RIDICAT"),1,0)</x:f>
        <x:v>0</x:v>
      </x:c>
      <x:c r="AE914" s="2" t="str">
        <x:f>IF(AD914&lt;&gt;1,"NO",IF(W914="PASS","YES",IF(W914="OOS PENDING","CONDITIONAL","NO")))</x:f>
        <x:v>NO</x:v>
      </x:c>
      <x:c r="AF914" s="2" t="n">
        <x:f>IF(AND(AD914=1,AC914=1,E914="LIVE"),1,0)</x:f>
        <x:v>0</x:v>
      </x:c>
      <x:c r="AG914" s="2" t="str">
        <x:f>IF(AF914&lt;&gt;1,"",'Dashboard'!P90)</x:f>
      </x:c>
      <x:c r="AH914" s="2" t="str">
        <x:f>IF(B914="","",IF(J914&lt;&gt;"PASS",'Motor_Meciuri'!J70,IF('Calibrare_Linii'!U18&lt;&gt;"VALID","Parametri linie invalizi",IF(L914&gt;'Config_v6'!$B$13,"Dispersie peste limita",IF(W914="WATCH","Failure peste limita",IF(AB914&lt;'Config_v6'!$B$16,"P finala sub prag",IF(V914&lt;'Config_v6'!$B$18,"Confidence sub prag",IF(E914="REPLAY","Exemplu retrospectiv; exclus din Top LIVE",IF(Y914="PASS","DEFENSIV validat",IF(W914="OOS PENDING","Eligibil; calibrare linie in monitorizare","Eligibil"))))))))))</x:f>
      </x:c>
      <x:c r="AI914" s="2" t="str">
        <x:f>IF(B914="","",'Calibrare_Linii'!V18)</x:f>
      </x:c>
      <x:c r="AJ914" s="2" t="str">
        <x:f>IF(B914="","",IF(AND('Calibrare_Linii'!T18="VALIDATED",AND('Calibrare_Linii'!H18=C914,ISNUMBER('Calibrare_Linii'!J18),'Calibrare_Linii'!J18&lt;='Input_Meci'!G70)),"DEFENSIVE VALIDATED",IF(AND('Calibrare_Linii'!S18="VALIDATED",AND('Calibrare_Linii'!H18=C914,ISNUMBER('Calibrare_Linii'!J18),'Calibrare_Linii'!J18&lt;='Input_Meci'!G70)),"TAIL VALIDATED","OOS PENDING")))</x:f>
      </x:c>
      <x:c r="AK914" s="2" t="n">
        <x:f>IF(J914&lt;&gt;"PASS",0,'Motor_Meciuri'!BR70)</x:f>
        <x:v>0</x:v>
      </x:c>
      <x:c r="AL914" s="2" t="n">
        <x:f>IF(J914&lt;&gt;"PASS",0,'Motor_Meciuri'!BS70)</x:f>
        <x:v>0</x:v>
      </x:c>
      <x:c r="AM914" s="2" t="n">
        <x:f>IF(J914&lt;&gt;"PASS",0,'Motor_Meciuri'!BT70)</x:f>
        <x:v>0</x:v>
      </x:c>
      <x:c r="AN914" s="2" t="str">
        <x:f>IF(M914="","",MAX(0,'Motor_Meciuri'!BF70-IF(L914&gt;'Config_v6'!$B$12,'Config_v6'!$B$37,IF(L914&gt;'Config_v6'!$B$11,'Config_v6'!$B$36,0))))</x:f>
      </x:c>
    </x:row>
    <x:row r="915" ht="21" customHeight="1">
      <x:c r="A915" s="2" t="n">
        <x:v>65</x:v>
      </x:c>
      <x:c r="B915" s="2" t="str">
        <x:f>IF('Motor_Meciuri'!A70="","",'Motor_Meciuri'!A70)</x:f>
      </x:c>
      <x:c r="C915" s="2" t="str">
        <x:f>IF(B915="","",'Motor_Meciuri'!B70)</x:f>
      </x:c>
      <x:c r="D915" s="2" t="str">
        <x:f>IF(B915="","",'Motor_Meciuri'!D70)</x:f>
      </x:c>
      <x:c r="E915" s="2" t="str">
        <x:f>IF(B915="","",'Motor_Meciuri'!E70)</x:f>
      </x:c>
      <x:c r="F915" s="2" t="str">
        <x:v>U17,5</x:v>
      </x:c>
      <x:c r="G915" s="2" t="str">
        <x:v>UNDER</x:v>
      </x:c>
      <x:c r="H915" s="2" t="n">
        <x:v>17</x:v>
      </x:c>
      <x:c r="I915" s="2" t="str">
        <x:f>IF(B915="","",'Motor_Meciuri'!H70)</x:f>
      </x:c>
      <x:c r="J915" s="2" t="str">
        <x:f>IF(B915="","",'Motor_Meciuri'!I70)</x:f>
      </x:c>
      <x:c r="K915" s="11" t="str">
        <x:f>IF(J915&lt;&gt;"PASS","",'Motor_Meciuri'!BD70)</x:f>
      </x:c>
      <x:c r="L915" s="11" t="str">
        <x:f>IF(J915&lt;&gt;"PASS","",'Motor_Meciuri'!AU70)</x:f>
      </x:c>
      <x:c r="M915" s="10" t="str">
        <x:f>IF(NOT(AND(J915="PASS",'Calibrare_Linii'!U19="VALID")),"",'Distributie'!AO70)</x:f>
      </x:c>
      <x:c r="N915" s="10" t="str">
        <x:f>IF(M915="","",MAX(0.01,MIN(0.99,0.5+(M915-0.5)*'Motor_Meciuri'!BG70*'Calibrare_Linii'!D19)))</x:f>
      </x:c>
      <x:c r="O915" s="10" t="str">
        <x:f>IF(M915="","",1-M915)</x:f>
      </x:c>
      <x:c r="P915" s="10" t="str">
        <x:f>IF(OR(NOT(AND(J915="PASS",'Calibrare_Linii'!U19="VALID")),AK915=0),""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*('Istoric_Nativ'!$Q$6:$Q$405&gt;H915))/AK915)</x:f>
      </x:c>
      <x:c r="Q915" s="10" t="str">
        <x:f>IF(OR(NOT(AND(J915="PASS",'Calibrare_Linii'!U19="VALID")),AL915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M70)+((('Istoric_Nativ'!$E$6:$E$405='Input_Meci'!E70)+('Istoric_Nativ'!$F$6:$F$405='Input_Meci'!E70))&gt;0)*('Istoric_Nativ'!$D$6:$D$405&gt;='Motor_Meciuri'!BN70))&gt;0)*('Istoric_Nativ'!$Q$6:$Q$405&gt;H915))/AL915)</x:f>
      </x:c>
      <x:c r="R915" s="10" t="str">
        <x:f>IF(OR(NOT(AND(J915="PASS",'Calibrare_Linii'!U19="VALID")),AM915=0),""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'Motor_Meciuri'!BO70)+((('Istoric_Nativ'!$E$6:$E$405='Input_Meci'!E70)+('Istoric_Nativ'!$F$6:$F$405='Input_Meci'!E70))&gt;0)*('Istoric_Nativ'!$D$6:$D$405&gt;='Motor_Meciuri'!BP70))&gt;0)*('Istoric_Nativ'!$Q$6:$Q$405&gt;H915))/AM915)</x:f>
      </x:c>
      <x:c r="S915" s="10" t="str">
        <x:f>IF(M915="","",MAX(O915,P915,Q915,R915))</x:f>
      </x:c>
      <x:c r="T915" s="11" t="str">
        <x:f>IF(M915="","",MIN(100,S915*100*'Config_v6'!$B$44+MIN(100,L915/'Config_v6'!$B$13*100)*'Config_v6'!$B$45+(100-'Motor_Meciuri'!BF70)*'Config_v6'!$B$46+'Motor_Meciuri'!BH70*100*'Config_v6'!$B$47))</x:f>
      </x:c>
      <x:c r="U915" s="2" t="str">
        <x:f>IF(T915="","",IF(T915&lt;=20,1,IF(T915&lt;=40,2,IF(T915&lt;=60,3,IF(T915&lt;=80,4,5)))))</x:f>
      </x:c>
      <x:c r="V915" s="2" t="str">
        <x:f>IF(M915="","",MAX(0,'Motor_Meciuri'!BF70-IF(W915="OOS PENDING",'Config_v6'!$B$35,0)-IF(L915&gt;'Config_v6'!$B$12,'Config_v6'!$B$37,IF(L915&gt;'Config_v6'!$B$11,'Config_v6'!$B$36,0))))</x:f>
      </x:c>
      <x:c r="W915" s="2" t="str">
        <x:f>IF(B915="","",IF(I915&lt;&gt;"READY","NOT RELEASED",IF(NOT(AND(J915="PASS",'Calibrare_Linii'!U19="VALID")),"INVALID",IF(NOT(AND('Calibrare_Linii'!S19="VALIDATED",AND('Calibrare_Linii'!H19=C915,ISNUMBER('Calibrare_Linii'!J19),'Calibrare_Linii'!J19&lt;='Input_Meci'!G70))),"OOS PENDING",IF(S915&lt;='Calibrare_Linii'!E19,"PASS",IF(S915&lt;='Calibrare_Linii'!F19,"PENALTY","WATCH"))))))</x:f>
      </x:c>
      <x:c r="X915" s="2" t="str">
        <x:f>IF(M915="","",IF(AND(AND(J915="PASS",'Calibrare_Linii'!U19="VALID"),'Motor_Meciuri'!K70=12,'Motor_Meciuri'!L70=12,'Motor_Meciuri'!M70="NO",'Motor_Meciuri'!BL70='Motor_Meciuri'!C70,AB915&gt;='Config_v6'!$B$50,AN915&gt;='Config_v6'!$B$51,T915&lt;='Config_v6'!$B$52,L915&lt;='Config_v6'!$B$53,ISNUMBER('Calibrare_Linii'!E19),S915&lt;='Calibrare_Linii'!E19,SUM(AK915:AM915)&gt;0),"CANDIDATE","NO"))</x:f>
      </x:c>
      <x:c r="Y915" s="2" t="str">
        <x:f>IF(B915="","",IF(I915&lt;&gt;"READY","NOT RELEASED",IF(AND(X915="CANDIDATE",V915&gt;='Config_v6'!$B$51,W915="PASS",'Calibrare_Linii'!T19="VALIDATED",AND('Calibrare_Linii'!H19=C915,ISNUMBER('Calibrare_Linii'!J19),'Calibrare_Linii'!J19&lt;='Input_Meci'!G70)),"PASS",IF(X915="CANDIDATE","OOS PENDING","FAIL"))))</x:f>
      </x:c>
      <x:c r="Z915" s="2" t="str">
        <x:f>IF(B915="","",IF(I915&lt;&gt;"READY","",IF(OR(NOT(AND(J915="PASS",'Calibrare_Linii'!U19="VALID")),L915&gt;'Config_v6'!$B$13,W915="WATCH"),5,IF(Y915="PASS",1,MIN(5,MAX('Config_v6'!$B$42,U915)+IF(W915="PENALTY",1,0))))))</x:f>
      </x:c>
      <x:c r="AA915" s="2" t="str">
        <x:f>IF(B915="","",IF(I915&lt;&gt;"READY","NOT RELEASED",IF(Z915=5,"NO BET",IF(OR(AB915&lt;'Config_v6'!$B$16,V915&lt;'Config_v6'!$B$18),"WATCH",IF(Z915=1,"DEFENSIV",IF(Z915=2,"PRUDENT",IF(Z915=3,"MODERAT","RIDICAT")))))))</x:f>
      </x:c>
      <x:c r="AB915" s="10" t="str">
        <x:f>IF(N915="","",MIN(N915,1-S915))</x:f>
      </x:c>
      <x:c r="AC915" s="2" t="str">
        <x:f>IF(AD915&lt;&gt;1,"",COUNTIFS($Z$902:$Z$915,"&lt;"&amp;Z915,$AD$902:$AD$915,1)+COUNTIFS($Z$902:$Z$915,Z915,$AB$902:$AB$915,"&gt;"&amp;AB915,$AD$902:$AD$915,1)+COUNTIFS($Z$902:$Z$915,Z915,$AB$902:$AB$915,AB915,$V$902:$V$915,"&gt;"&amp;V915,$AD$902:$AD$915,1)+COUNTIFS($Z$902:Z915,Z915,$AB$902:AB915,AB915,$V$902:V915,V915,$AD$902:AD915,1))</x:f>
      </x:c>
      <x:c r="AD915" s="2" t="n">
        <x:f>IF(OR(AA915="DEFENSIV",AA915="PRUDENT",AA915="MODERAT",AA915="RIDICAT"),1,0)</x:f>
        <x:v>0</x:v>
      </x:c>
      <x:c r="AE915" s="2" t="str">
        <x:f>IF(AD915&lt;&gt;1,"NO",IF(W915="PASS","YES",IF(W915="OOS PENDING","CONDITIONAL","NO")))</x:f>
        <x:v>NO</x:v>
      </x:c>
      <x:c r="AF915" s="2" t="n">
        <x:f>IF(AND(AD915=1,AC915=1,E915="LIVE"),1,0)</x:f>
        <x:v>0</x:v>
      </x:c>
      <x:c r="AG915" s="2" t="str">
        <x:f>IF(AF915&lt;&gt;1,"",'Dashboard'!P90)</x:f>
      </x:c>
      <x:c r="AH915" s="2" t="str">
        <x:f>IF(B915="","",IF(J915&lt;&gt;"PASS",'Motor_Meciuri'!J70,IF('Calibrare_Linii'!U19&lt;&gt;"VALID","Parametri linie invalizi",IF(L915&gt;'Config_v6'!$B$13,"Dispersie peste limita",IF(W915="WATCH","Failure peste limita",IF(AB915&lt;'Config_v6'!$B$16,"P finala sub prag",IF(V915&lt;'Config_v6'!$B$18,"Confidence sub prag",IF(E915="REPLAY","Exemplu retrospectiv; exclus din Top LIVE",IF(Y915="PASS","DEFENSIV validat",IF(W915="OOS PENDING","Eligibil; calibrare linie in monitorizare","Eligibil"))))))))))</x:f>
      </x:c>
      <x:c r="AI915" s="2" t="str">
        <x:f>IF(B915="","",'Calibrare_Linii'!V19)</x:f>
      </x:c>
      <x:c r="AJ915" s="2" t="str">
        <x:f>IF(B915="","",IF(AND('Calibrare_Linii'!T19="VALIDATED",AND('Calibrare_Linii'!H19=C915,ISNUMBER('Calibrare_Linii'!J19),'Calibrare_Linii'!J19&lt;='Input_Meci'!G70)),"DEFENSIVE VALIDATED",IF(AND('Calibrare_Linii'!S19="VALIDATED",AND('Calibrare_Linii'!H19=C915,ISNUMBER('Calibrare_Linii'!J19),'Calibrare_Linii'!J19&lt;='Input_Meci'!G70)),"TAIL VALIDATED","OOS PENDING")))</x:f>
      </x:c>
      <x:c r="AK915" s="2" t="n">
        <x:f>IF(J915&lt;&gt;"PASS",0,'Motor_Meciuri'!BR70)</x:f>
        <x:v>0</x:v>
      </x:c>
      <x:c r="AL915" s="2" t="n">
        <x:f>IF(J915&lt;&gt;"PASS",0,'Motor_Meciuri'!BS70)</x:f>
        <x:v>0</x:v>
      </x:c>
      <x:c r="AM915" s="2" t="n">
        <x:f>IF(J915&lt;&gt;"PASS",0,'Motor_Meciuri'!BT70)</x:f>
        <x:v>0</x:v>
      </x:c>
      <x:c r="AN915" s="2" t="str">
        <x:f>IF(M915="","",MAX(0,'Motor_Meciuri'!BF70-IF(L915&gt;'Config_v6'!$B$12,'Config_v6'!$B$37,IF(L915&gt;'Config_v6'!$B$11,'Config_v6'!$B$36,0))))</x:f>
      </x:c>
    </x:row>
    <x:row r="916" ht="21" customHeight="1">
      <x:c r="A916" s="2" t="n">
        <x:v>66</x:v>
      </x:c>
      <x:c r="B916" s="2" t="str">
        <x:f>IF('Motor_Meciuri'!A71="","",'Motor_Meciuri'!A71)</x:f>
      </x:c>
      <x:c r="C916" s="2" t="str">
        <x:f>IF(B916="","",'Motor_Meciuri'!B71)</x:f>
      </x:c>
      <x:c r="D916" s="2" t="str">
        <x:f>IF(B916="","",'Motor_Meciuri'!D71)</x:f>
      </x:c>
      <x:c r="E916" s="2" t="str">
        <x:f>IF(B916="","",'Motor_Meciuri'!E71)</x:f>
      </x:c>
      <x:c r="F916" s="2" t="str">
        <x:v>O3,5</x:v>
      </x:c>
      <x:c r="G916" s="2" t="str">
        <x:v>OVER</x:v>
      </x:c>
      <x:c r="H916" s="2" t="n">
        <x:v>3</x:v>
      </x:c>
      <x:c r="I916" s="2" t="str">
        <x:f>IF(B916="","",'Motor_Meciuri'!H71)</x:f>
      </x:c>
      <x:c r="J916" s="2" t="str">
        <x:f>IF(B916="","",'Motor_Meciuri'!I71)</x:f>
      </x:c>
      <x:c r="K916" s="11" t="str">
        <x:f>IF(J916&lt;&gt;"PASS","",'Motor_Meciuri'!BD71)</x:f>
      </x:c>
      <x:c r="L916" s="11" t="str">
        <x:f>IF(J916&lt;&gt;"PASS","",'Motor_Meciuri'!AU71)</x:f>
      </x:c>
      <x:c r="M916" s="10" t="str">
        <x:f>IF(NOT(AND(J916="PASS",'Calibrare_Linii'!U6="VALID")),"",1-'Distributie'!AA71)</x:f>
      </x:c>
      <x:c r="N916" s="10" t="str">
        <x:f>IF(M916="","",MAX(0.01,MIN(0.99,0.5+(M916-0.5)*'Motor_Meciuri'!BG71*'Calibrare_Linii'!D6)))</x:f>
      </x:c>
      <x:c r="O916" s="10" t="str">
        <x:f>IF(M916="","",1-M916)</x:f>
      </x:c>
      <x:c r="P916" s="10" t="str">
        <x:f>IF(OR(NOT(AND(J916="PASS",'Calibrare_Linii'!U6="VALID")),AK916=0),""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*('Istoric_Nativ'!$Q$6:$Q$405&lt;=H916))/AK916)</x:f>
      </x:c>
      <x:c r="Q916" s="10" t="str">
        <x:f>IF(OR(NOT(AND(J916="PASS",'Calibrare_Linii'!U6="VALID")),AL916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M71)+((('Istoric_Nativ'!$E$6:$E$405='Input_Meci'!E71)+('Istoric_Nativ'!$F$6:$F$405='Input_Meci'!E71))&gt;0)*('Istoric_Nativ'!$D$6:$D$405&gt;='Motor_Meciuri'!BN71))&gt;0)*('Istoric_Nativ'!$Q$6:$Q$405&lt;=H916))/AL916)</x:f>
      </x:c>
      <x:c r="R916" s="10" t="str">
        <x:f>IF(OR(NOT(AND(J916="PASS",'Calibrare_Linii'!U6="VALID")),AM916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O71)+((('Istoric_Nativ'!$E$6:$E$405='Input_Meci'!E71)+('Istoric_Nativ'!$F$6:$F$405='Input_Meci'!E71))&gt;0)*('Istoric_Nativ'!$D$6:$D$405&gt;='Motor_Meciuri'!BP71))&gt;0)*('Istoric_Nativ'!$Q$6:$Q$405&lt;=H916))/AM916)</x:f>
      </x:c>
      <x:c r="S916" s="10" t="str">
        <x:f>IF(M916="","",MAX(O916,P916,Q916,R916))</x:f>
      </x:c>
      <x:c r="T916" s="11" t="str">
        <x:f>IF(M916="","",MIN(100,S916*100*'Config_v6'!$B$44+MIN(100,L916/'Config_v6'!$B$13*100)*'Config_v6'!$B$45+(100-'Motor_Meciuri'!BF71)*'Config_v6'!$B$46+'Motor_Meciuri'!BH71*100*'Config_v6'!$B$47))</x:f>
      </x:c>
      <x:c r="U916" s="2" t="str">
        <x:f>IF(T916="","",IF(T916&lt;=20,1,IF(T916&lt;=40,2,IF(T916&lt;=60,3,IF(T916&lt;=80,4,5)))))</x:f>
      </x:c>
      <x:c r="V916" s="2" t="str">
        <x:f>IF(M916="","",MAX(0,'Motor_Meciuri'!BF71-IF(W916="OOS PENDING",'Config_v6'!$B$35,0)-IF(L916&gt;'Config_v6'!$B$12,'Config_v6'!$B$37,IF(L916&gt;'Config_v6'!$B$11,'Config_v6'!$B$36,0))))</x:f>
      </x:c>
      <x:c r="W916" s="2" t="str">
        <x:f>IF(B916="","",IF(I916&lt;&gt;"READY","NOT RELEASED",IF(NOT(AND(J916="PASS",'Calibrare_Linii'!U6="VALID")),"INVALID",IF(NOT(TRUE),"OOS PENDING",IF(S916&lt;=IF(AND('Calibrare_Linii'!S6="VALIDATED",AND('Calibrare_Linii'!H6=C916,ISNUMBER('Calibrare_Linii'!J6),'Calibrare_Linii'!J6&lt;='Input_Meci'!G71)),'Calibrare_Linii'!E6,'Config_v6'!$B$26),"PASS",IF(S916&lt;=IF(AND('Calibrare_Linii'!S6="VALIDATED",AND('Calibrare_Linii'!H6=C916,ISNUMBER('Calibrare_Linii'!J6),'Calibrare_Linii'!J6&lt;='Input_Meci'!G71)),'Calibrare_Linii'!F6,'Config_v6'!$C$26),"PENALTY","WATCH"))))))</x:f>
      </x:c>
      <x:c r="X916" s="2" t="str">
        <x:f>IF(M916="","",IF(AND(AND(J916="PASS",'Calibrare_Linii'!U6="VALID"),'Motor_Meciuri'!K71=12,'Motor_Meciuri'!L71=12,'Motor_Meciuri'!M71="NO",'Motor_Meciuri'!BL71='Motor_Meciuri'!C71,AB916&gt;='Config_v6'!$B$50,AN916&gt;='Config_v6'!$B$51,T916&lt;='Config_v6'!$B$52,L916&lt;='Config_v6'!$B$53,ISNUMBER('Calibrare_Linii'!E6),S916&lt;='Calibrare_Linii'!E6,SUM(AK916:AM916)&gt;0),"CANDIDATE","NO"))</x:f>
      </x:c>
      <x:c r="Y916" s="2" t="str">
        <x:f>IF(B916="","",IF(I916&lt;&gt;"READY","NOT RELEASED",IF(AND(X916="CANDIDATE",V916&gt;='Config_v6'!$B$51,W916="PASS",'Calibrare_Linii'!T6="VALIDATED",AND('Calibrare_Linii'!H6=C916,ISNUMBER('Calibrare_Linii'!J6),'Calibrare_Linii'!J6&lt;='Input_Meci'!G71)),"PASS",IF(X916="CANDIDATE","OOS PENDING","FAIL"))))</x:f>
      </x:c>
      <x:c r="Z916" s="2" t="str">
        <x:f>IF(B916="","",IF(I916&lt;&gt;"READY","",IF(OR(NOT(AND(J916="PASS",'Calibrare_Linii'!U6="VALID")),L916&gt;'Config_v6'!$B$13,W916="WATCH"),5,IF(Y916="PASS",1,MIN(5,MAX('Config_v6'!$B$42,U916)+IF(W916="PENALTY",1,0))))))</x:f>
      </x:c>
      <x:c r="AA916" s="2" t="str">
        <x:f>IF(B916="","",IF(I916&lt;&gt;"READY","NOT RELEASED",IF(Z916=5,"NO BET",IF(OR(AB916&lt;'Config_v6'!$B$16,V916&lt;'Config_v6'!$B$18),"WATCH",IF(Z916=1,"DEFENSIV",IF(Z916=2,"PRUDENT",IF(Z916=3,"MODERAT","RIDICAT")))))))</x:f>
      </x:c>
      <x:c r="AB916" s="10" t="str">
        <x:f>IF(N916="","",MIN(N916,1-S916))</x:f>
      </x:c>
      <x:c r="AC916" s="2" t="str">
        <x:f>IF(AD916&lt;&gt;1,"",COUNTIFS($Z$916:$Z$929,"&lt;"&amp;Z916,$AD$916:$AD$929,1)+COUNTIFS($Z$916:$Z$929,Z916,$AB$916:$AB$929,"&gt;"&amp;AB916,$AD$916:$AD$929,1)+COUNTIFS($Z$916:$Z$929,Z916,$AB$916:$AB$929,AB916,$V$916:$V$929,"&gt;"&amp;V916,$AD$916:$AD$929,1)+COUNTIFS($Z$916:Z916,Z916,$AB$916:AB916,AB916,$V$916:V916,V916,$AD$916:AD916,1))</x:f>
      </x:c>
      <x:c r="AD916" s="2" t="n">
        <x:f>IF(OR(AA916="DEFENSIV",AA916="PRUDENT",AA916="MODERAT",AA916="RIDICAT"),1,0)</x:f>
        <x:v>0</x:v>
      </x:c>
      <x:c r="AE916" s="2" t="str">
        <x:f>IF(AD916&lt;&gt;1,"NO",IF(W916="PASS","YES",IF(W916="OOS PENDING","CONDITIONAL","NO")))</x:f>
        <x:v>NO</x:v>
      </x:c>
      <x:c r="AF916" s="2" t="n">
        <x:f>IF(AND(AD916=1,AC916=1,E916="LIVE"),1,0)</x:f>
        <x:v>0</x:v>
      </x:c>
      <x:c r="AG916" s="2" t="str">
        <x:f>IF(AF916&lt;&gt;1,"",'Dashboard'!P91)</x:f>
      </x:c>
      <x:c r="AH916" s="2" t="str">
        <x:f>IF(B916="","",IF(J916&lt;&gt;"PASS",'Motor_Meciuri'!J71,IF('Calibrare_Linii'!U6&lt;&gt;"VALID","Parametri linie invalizi",IF(L916&gt;'Config_v6'!$B$13,"Dispersie peste limita",IF(W916="WATCH","Failure peste limita",IF(AB916&lt;'Config_v6'!$B$16,"P finala sub prag",IF(V916&lt;'Config_v6'!$B$18,"Confidence sub prag",IF(E916="REPLAY","Exemplu retrospectiv; exclus din Top LIVE",IF(Y916="PASS","DEFENSIV validat",IF(W916="OOS PENDING","Eligibil; calibrare linie in monitorizare","Eligibil"))))))))))</x:f>
      </x:c>
      <x:c r="AI916" s="2" t="str">
        <x:f>IF(B916="","",'Calibrare_Linii'!V6)</x:f>
      </x:c>
      <x:c r="AJ916" s="2" t="str">
        <x:f>IF(B916="","",IF(AND('Calibrare_Linii'!T6="VALIDATED",AND('Calibrare_Linii'!H6=C916,ISNUMBER('Calibrare_Linii'!J6),'Calibrare_Linii'!J6&lt;='Input_Meci'!G71)),"DEFENSIVE VALIDATED",IF(AND('Calibrare_Linii'!S6="VALIDATED",AND('Calibrare_Linii'!H6=C916,ISNUMBER('Calibrare_Linii'!J6),'Calibrare_Linii'!J6&lt;='Input_Meci'!G71)),"TAIL VALIDATED","OOS PENDING")))</x:f>
      </x:c>
      <x:c r="AK916" s="2" t="n">
        <x:f>IF(J916&lt;&gt;"PASS",0,'Motor_Meciuri'!BR71)</x:f>
        <x:v>0</x:v>
      </x:c>
      <x:c r="AL916" s="2" t="n">
        <x:f>IF(J916&lt;&gt;"PASS",0,'Motor_Meciuri'!BS71)</x:f>
        <x:v>0</x:v>
      </x:c>
      <x:c r="AM916" s="2" t="n">
        <x:f>IF(J916&lt;&gt;"PASS",0,'Motor_Meciuri'!BT71)</x:f>
        <x:v>0</x:v>
      </x:c>
      <x:c r="AN916" s="2" t="str">
        <x:f>IF(M916="","",MAX(0,'Motor_Meciuri'!BF71-IF(L916&gt;'Config_v6'!$B$12,'Config_v6'!$B$37,IF(L916&gt;'Config_v6'!$B$11,'Config_v6'!$B$36,0))))</x:f>
      </x:c>
    </x:row>
    <x:row r="917" ht="21" customHeight="1">
      <x:c r="A917" s="2" t="n">
        <x:v>66</x:v>
      </x:c>
      <x:c r="B917" s="2" t="str">
        <x:f>IF('Motor_Meciuri'!A71="","",'Motor_Meciuri'!A71)</x:f>
      </x:c>
      <x:c r="C917" s="2" t="str">
        <x:f>IF(B917="","",'Motor_Meciuri'!B71)</x:f>
      </x:c>
      <x:c r="D917" s="2" t="str">
        <x:f>IF(B917="","",'Motor_Meciuri'!D71)</x:f>
      </x:c>
      <x:c r="E917" s="2" t="str">
        <x:f>IF(B917="","",'Motor_Meciuri'!E71)</x:f>
      </x:c>
      <x:c r="F917" s="2" t="str">
        <x:v>O4,5</x:v>
      </x:c>
      <x:c r="G917" s="2" t="str">
        <x:v>OVER</x:v>
      </x:c>
      <x:c r="H917" s="2" t="n">
        <x:v>4</x:v>
      </x:c>
      <x:c r="I917" s="2" t="str">
        <x:f>IF(B917="","",'Motor_Meciuri'!H71)</x:f>
      </x:c>
      <x:c r="J917" s="2" t="str">
        <x:f>IF(B917="","",'Motor_Meciuri'!I71)</x:f>
      </x:c>
      <x:c r="K917" s="11" t="str">
        <x:f>IF(J917&lt;&gt;"PASS","",'Motor_Meciuri'!BD71)</x:f>
      </x:c>
      <x:c r="L917" s="11" t="str">
        <x:f>IF(J917&lt;&gt;"PASS","",'Motor_Meciuri'!AU71)</x:f>
      </x:c>
      <x:c r="M917" s="10" t="str">
        <x:f>IF(NOT(AND(J917="PASS",'Calibrare_Linii'!U7="VALID")),"",1-'Distributie'!AB71)</x:f>
      </x:c>
      <x:c r="N917" s="10" t="str">
        <x:f>IF(M917="","",MAX(0.01,MIN(0.99,0.5+(M917-0.5)*'Motor_Meciuri'!BG71*'Calibrare_Linii'!D7)))</x:f>
      </x:c>
      <x:c r="O917" s="10" t="str">
        <x:f>IF(M917="","",1-M917)</x:f>
      </x:c>
      <x:c r="P917" s="10" t="str">
        <x:f>IF(OR(NOT(AND(J917="PASS",'Calibrare_Linii'!U7="VALID")),AK917=0),""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*('Istoric_Nativ'!$Q$6:$Q$405&lt;=H917))/AK917)</x:f>
      </x:c>
      <x:c r="Q917" s="10" t="str">
        <x:f>IF(OR(NOT(AND(J917="PASS",'Calibrare_Linii'!U7="VALID")),AL917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M71)+((('Istoric_Nativ'!$E$6:$E$405='Input_Meci'!E71)+('Istoric_Nativ'!$F$6:$F$405='Input_Meci'!E71))&gt;0)*('Istoric_Nativ'!$D$6:$D$405&gt;='Motor_Meciuri'!BN71))&gt;0)*('Istoric_Nativ'!$Q$6:$Q$405&lt;=H917))/AL917)</x:f>
      </x:c>
      <x:c r="R917" s="10" t="str">
        <x:f>IF(OR(NOT(AND(J917="PASS",'Calibrare_Linii'!U7="VALID")),AM917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O71)+((('Istoric_Nativ'!$E$6:$E$405='Input_Meci'!E71)+('Istoric_Nativ'!$F$6:$F$405='Input_Meci'!E71))&gt;0)*('Istoric_Nativ'!$D$6:$D$405&gt;='Motor_Meciuri'!BP71))&gt;0)*('Istoric_Nativ'!$Q$6:$Q$405&lt;=H917))/AM917)</x:f>
      </x:c>
      <x:c r="S917" s="10" t="str">
        <x:f>IF(M917="","",MAX(O917,P917,Q917,R917))</x:f>
      </x:c>
      <x:c r="T917" s="11" t="str">
        <x:f>IF(M917="","",MIN(100,S917*100*'Config_v6'!$B$44+MIN(100,L917/'Config_v6'!$B$13*100)*'Config_v6'!$B$45+(100-'Motor_Meciuri'!BF71)*'Config_v6'!$B$46+'Motor_Meciuri'!BH71*100*'Config_v6'!$B$47))</x:f>
      </x:c>
      <x:c r="U917" s="2" t="str">
        <x:f>IF(T917="","",IF(T917&lt;=20,1,IF(T917&lt;=40,2,IF(T917&lt;=60,3,IF(T917&lt;=80,4,5)))))</x:f>
      </x:c>
      <x:c r="V917" s="2" t="str">
        <x:f>IF(M917="","",MAX(0,'Motor_Meciuri'!BF71-IF(W917="OOS PENDING",'Config_v6'!$B$35,0)-IF(L917&gt;'Config_v6'!$B$12,'Config_v6'!$B$37,IF(L917&gt;'Config_v6'!$B$11,'Config_v6'!$B$36,0))))</x:f>
      </x:c>
      <x:c r="W917" s="2" t="str">
        <x:f>IF(B917="","",IF(I917&lt;&gt;"READY","NOT RELEASED",IF(NOT(AND(J917="PASS",'Calibrare_Linii'!U7="VALID")),"INVALID",IF(NOT(AND('Calibrare_Linii'!S7="VALIDATED",AND('Calibrare_Linii'!H7=C917,ISNUMBER('Calibrare_Linii'!J7),'Calibrare_Linii'!J7&lt;='Input_Meci'!G71))),"OOS PENDING",IF(S917&lt;='Calibrare_Linii'!E7,"PASS",IF(S917&lt;='Calibrare_Linii'!F7,"PENALTY","WATCH"))))))</x:f>
      </x:c>
      <x:c r="X917" s="2" t="str">
        <x:f>IF(M917="","",IF(AND(AND(J917="PASS",'Calibrare_Linii'!U7="VALID"),'Motor_Meciuri'!K71=12,'Motor_Meciuri'!L71=12,'Motor_Meciuri'!M71="NO",'Motor_Meciuri'!BL71='Motor_Meciuri'!C71,AB917&gt;='Config_v6'!$B$50,AN917&gt;='Config_v6'!$B$51,T917&lt;='Config_v6'!$B$52,L917&lt;='Config_v6'!$B$53,ISNUMBER('Calibrare_Linii'!E7),S917&lt;='Calibrare_Linii'!E7,SUM(AK917:AM917)&gt;0),"CANDIDATE","NO"))</x:f>
      </x:c>
      <x:c r="Y917" s="2" t="str">
        <x:f>IF(B917="","",IF(I917&lt;&gt;"READY","NOT RELEASED",IF(AND(X917="CANDIDATE",V917&gt;='Config_v6'!$B$51,W917="PASS",'Calibrare_Linii'!T7="VALIDATED",AND('Calibrare_Linii'!H7=C917,ISNUMBER('Calibrare_Linii'!J7),'Calibrare_Linii'!J7&lt;='Input_Meci'!G71)),"PASS",IF(X917="CANDIDATE","OOS PENDING","FAIL"))))</x:f>
      </x:c>
      <x:c r="Z917" s="2" t="str">
        <x:f>IF(B917="","",IF(I917&lt;&gt;"READY","",IF(OR(NOT(AND(J917="PASS",'Calibrare_Linii'!U7="VALID")),L917&gt;'Config_v6'!$B$13,W917="WATCH"),5,IF(Y917="PASS",1,MIN(5,MAX('Config_v6'!$B$42,U917)+IF(W917="PENALTY",1,0))))))</x:f>
      </x:c>
      <x:c r="AA917" s="2" t="str">
        <x:f>IF(B917="","",IF(I917&lt;&gt;"READY","NOT RELEASED",IF(Z917=5,"NO BET",IF(OR(AB917&lt;'Config_v6'!$B$16,V917&lt;'Config_v6'!$B$18),"WATCH",IF(Z917=1,"DEFENSIV",IF(Z917=2,"PRUDENT",IF(Z917=3,"MODERAT","RIDICAT")))))))</x:f>
      </x:c>
      <x:c r="AB917" s="10" t="str">
        <x:f>IF(N917="","",MIN(N917,1-S917))</x:f>
      </x:c>
      <x:c r="AC917" s="2" t="str">
        <x:f>IF(AD917&lt;&gt;1,"",COUNTIFS($Z$916:$Z$929,"&lt;"&amp;Z917,$AD$916:$AD$929,1)+COUNTIFS($Z$916:$Z$929,Z917,$AB$916:$AB$929,"&gt;"&amp;AB917,$AD$916:$AD$929,1)+COUNTIFS($Z$916:$Z$929,Z917,$AB$916:$AB$929,AB917,$V$916:$V$929,"&gt;"&amp;V917,$AD$916:$AD$929,1)+COUNTIFS($Z$916:Z917,Z917,$AB$916:AB917,AB917,$V$916:V917,V917,$AD$916:AD917,1))</x:f>
      </x:c>
      <x:c r="AD917" s="2" t="n">
        <x:f>IF(OR(AA917="DEFENSIV",AA917="PRUDENT",AA917="MODERAT",AA917="RIDICAT"),1,0)</x:f>
        <x:v>0</x:v>
      </x:c>
      <x:c r="AE917" s="2" t="str">
        <x:f>IF(AD917&lt;&gt;1,"NO",IF(W917="PASS","YES",IF(W917="OOS PENDING","CONDITIONAL","NO")))</x:f>
        <x:v>NO</x:v>
      </x:c>
      <x:c r="AF917" s="2" t="n">
        <x:f>IF(AND(AD917=1,AC917=1,E917="LIVE"),1,0)</x:f>
        <x:v>0</x:v>
      </x:c>
      <x:c r="AG917" s="2" t="str">
        <x:f>IF(AF917&lt;&gt;1,"",'Dashboard'!P91)</x:f>
      </x:c>
      <x:c r="AH917" s="2" t="str">
        <x:f>IF(B917="","",IF(J917&lt;&gt;"PASS",'Motor_Meciuri'!J71,IF('Calibrare_Linii'!U7&lt;&gt;"VALID","Parametri linie invalizi",IF(L917&gt;'Config_v6'!$B$13,"Dispersie peste limita",IF(W917="WATCH","Failure peste limita",IF(AB917&lt;'Config_v6'!$B$16,"P finala sub prag",IF(V917&lt;'Config_v6'!$B$18,"Confidence sub prag",IF(E917="REPLAY","Exemplu retrospectiv; exclus din Top LIVE",IF(Y917="PASS","DEFENSIV validat",IF(W917="OOS PENDING","Eligibil; calibrare linie in monitorizare","Eligibil"))))))))))</x:f>
      </x:c>
      <x:c r="AI917" s="2" t="str">
        <x:f>IF(B917="","",'Calibrare_Linii'!V7)</x:f>
      </x:c>
      <x:c r="AJ917" s="2" t="str">
        <x:f>IF(B917="","",IF(AND('Calibrare_Linii'!T7="VALIDATED",AND('Calibrare_Linii'!H7=C917,ISNUMBER('Calibrare_Linii'!J7),'Calibrare_Linii'!J7&lt;='Input_Meci'!G71)),"DEFENSIVE VALIDATED",IF(AND('Calibrare_Linii'!S7="VALIDATED",AND('Calibrare_Linii'!H7=C917,ISNUMBER('Calibrare_Linii'!J7),'Calibrare_Linii'!J7&lt;='Input_Meci'!G71)),"TAIL VALIDATED","OOS PENDING")))</x:f>
      </x:c>
      <x:c r="AK917" s="2" t="n">
        <x:f>IF(J917&lt;&gt;"PASS",0,'Motor_Meciuri'!BR71)</x:f>
        <x:v>0</x:v>
      </x:c>
      <x:c r="AL917" s="2" t="n">
        <x:f>IF(J917&lt;&gt;"PASS",0,'Motor_Meciuri'!BS71)</x:f>
        <x:v>0</x:v>
      </x:c>
      <x:c r="AM917" s="2" t="n">
        <x:f>IF(J917&lt;&gt;"PASS",0,'Motor_Meciuri'!BT71)</x:f>
        <x:v>0</x:v>
      </x:c>
      <x:c r="AN917" s="2" t="str">
        <x:f>IF(M917="","",MAX(0,'Motor_Meciuri'!BF71-IF(L917&gt;'Config_v6'!$B$12,'Config_v6'!$B$37,IF(L917&gt;'Config_v6'!$B$11,'Config_v6'!$B$36,0))))</x:f>
      </x:c>
    </x:row>
    <x:row r="918" ht="21" customHeight="1">
      <x:c r="A918" s="2" t="n">
        <x:v>66</x:v>
      </x:c>
      <x:c r="B918" s="2" t="str">
        <x:f>IF('Motor_Meciuri'!A71="","",'Motor_Meciuri'!A71)</x:f>
      </x:c>
      <x:c r="C918" s="2" t="str">
        <x:f>IF(B918="","",'Motor_Meciuri'!B71)</x:f>
      </x:c>
      <x:c r="D918" s="2" t="str">
        <x:f>IF(B918="","",'Motor_Meciuri'!D71)</x:f>
      </x:c>
      <x:c r="E918" s="2" t="str">
        <x:f>IF(B918="","",'Motor_Meciuri'!E71)</x:f>
      </x:c>
      <x:c r="F918" s="2" t="str">
        <x:v>O5,5</x:v>
      </x:c>
      <x:c r="G918" s="2" t="str">
        <x:v>OVER</x:v>
      </x:c>
      <x:c r="H918" s="2" t="n">
        <x:v>5</x:v>
      </x:c>
      <x:c r="I918" s="2" t="str">
        <x:f>IF(B918="","",'Motor_Meciuri'!H71)</x:f>
      </x:c>
      <x:c r="J918" s="2" t="str">
        <x:f>IF(B918="","",'Motor_Meciuri'!I71)</x:f>
      </x:c>
      <x:c r="K918" s="11" t="str">
        <x:f>IF(J918&lt;&gt;"PASS","",'Motor_Meciuri'!BD71)</x:f>
      </x:c>
      <x:c r="L918" s="11" t="str">
        <x:f>IF(J918&lt;&gt;"PASS","",'Motor_Meciuri'!AU71)</x:f>
      </x:c>
      <x:c r="M918" s="10" t="str">
        <x:f>IF(NOT(AND(J918="PASS",'Calibrare_Linii'!U8="VALID")),"",1-'Distributie'!AC71)</x:f>
      </x:c>
      <x:c r="N918" s="10" t="str">
        <x:f>IF(M918="","",MAX(0.01,MIN(0.99,0.5+(M918-0.5)*'Motor_Meciuri'!BG71*'Calibrare_Linii'!D8)))</x:f>
      </x:c>
      <x:c r="O918" s="10" t="str">
        <x:f>IF(M918="","",1-M918)</x:f>
      </x:c>
      <x:c r="P918" s="10" t="str">
        <x:f>IF(OR(NOT(AND(J918="PASS",'Calibrare_Linii'!U8="VALID")),AK918=0),""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*('Istoric_Nativ'!$Q$6:$Q$405&lt;=H918))/AK918)</x:f>
      </x:c>
      <x:c r="Q918" s="10" t="str">
        <x:f>IF(OR(NOT(AND(J918="PASS",'Calibrare_Linii'!U8="VALID")),AL918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M71)+((('Istoric_Nativ'!$E$6:$E$405='Input_Meci'!E71)+('Istoric_Nativ'!$F$6:$F$405='Input_Meci'!E71))&gt;0)*('Istoric_Nativ'!$D$6:$D$405&gt;='Motor_Meciuri'!BN71))&gt;0)*('Istoric_Nativ'!$Q$6:$Q$405&lt;=H918))/AL918)</x:f>
      </x:c>
      <x:c r="R918" s="10" t="str">
        <x:f>IF(OR(NOT(AND(J918="PASS",'Calibrare_Linii'!U8="VALID")),AM918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O71)+((('Istoric_Nativ'!$E$6:$E$405='Input_Meci'!E71)+('Istoric_Nativ'!$F$6:$F$405='Input_Meci'!E71))&gt;0)*('Istoric_Nativ'!$D$6:$D$405&gt;='Motor_Meciuri'!BP71))&gt;0)*('Istoric_Nativ'!$Q$6:$Q$405&lt;=H918))/AM918)</x:f>
      </x:c>
      <x:c r="S918" s="10" t="str">
        <x:f>IF(M918="","",MAX(O918,P918,Q918,R918))</x:f>
      </x:c>
      <x:c r="T918" s="11" t="str">
        <x:f>IF(M918="","",MIN(100,S918*100*'Config_v6'!$B$44+MIN(100,L918/'Config_v6'!$B$13*100)*'Config_v6'!$B$45+(100-'Motor_Meciuri'!BF71)*'Config_v6'!$B$46+'Motor_Meciuri'!BH71*100*'Config_v6'!$B$47))</x:f>
      </x:c>
      <x:c r="U918" s="2" t="str">
        <x:f>IF(T918="","",IF(T918&lt;=20,1,IF(T918&lt;=40,2,IF(T918&lt;=60,3,IF(T918&lt;=80,4,5)))))</x:f>
      </x:c>
      <x:c r="V918" s="2" t="str">
        <x:f>IF(M918="","",MAX(0,'Motor_Meciuri'!BF71-IF(W918="OOS PENDING",'Config_v6'!$B$35,0)-IF(L918&gt;'Config_v6'!$B$12,'Config_v6'!$B$37,IF(L918&gt;'Config_v6'!$B$11,'Config_v6'!$B$36,0))))</x:f>
      </x:c>
      <x:c r="W918" s="2" t="str">
        <x:f>IF(B918="","",IF(I918&lt;&gt;"READY","NOT RELEASED",IF(NOT(AND(J918="PASS",'Calibrare_Linii'!U8="VALID")),"INVALID",IF(NOT(AND('Calibrare_Linii'!S8="VALIDATED",AND('Calibrare_Linii'!H8=C918,ISNUMBER('Calibrare_Linii'!J8),'Calibrare_Linii'!J8&lt;='Input_Meci'!G71))),"OOS PENDING",IF(S918&lt;='Calibrare_Linii'!E8,"PASS",IF(S918&lt;='Calibrare_Linii'!F8,"PENALTY","WATCH"))))))</x:f>
      </x:c>
      <x:c r="X918" s="2" t="str">
        <x:f>IF(M918="","",IF(AND(AND(J918="PASS",'Calibrare_Linii'!U8="VALID"),'Motor_Meciuri'!K71=12,'Motor_Meciuri'!L71=12,'Motor_Meciuri'!M71="NO",'Motor_Meciuri'!BL71='Motor_Meciuri'!C71,AB918&gt;='Config_v6'!$B$50,AN918&gt;='Config_v6'!$B$51,T918&lt;='Config_v6'!$B$52,L918&lt;='Config_v6'!$B$53,ISNUMBER('Calibrare_Linii'!E8),S918&lt;='Calibrare_Linii'!E8,SUM(AK918:AM918)&gt;0),"CANDIDATE","NO"))</x:f>
      </x:c>
      <x:c r="Y918" s="2" t="str">
        <x:f>IF(B918="","",IF(I918&lt;&gt;"READY","NOT RELEASED",IF(AND(X918="CANDIDATE",V918&gt;='Config_v6'!$B$51,W918="PASS",'Calibrare_Linii'!T8="VALIDATED",AND('Calibrare_Linii'!H8=C918,ISNUMBER('Calibrare_Linii'!J8),'Calibrare_Linii'!J8&lt;='Input_Meci'!G71)),"PASS",IF(X918="CANDIDATE","OOS PENDING","FAIL"))))</x:f>
      </x:c>
      <x:c r="Z918" s="2" t="str">
        <x:f>IF(B918="","",IF(I918&lt;&gt;"READY","",IF(OR(NOT(AND(J918="PASS",'Calibrare_Linii'!U8="VALID")),L918&gt;'Config_v6'!$B$13,W918="WATCH"),5,IF(Y918="PASS",1,MIN(5,MAX('Config_v6'!$B$42,U918)+IF(W918="PENALTY",1,0))))))</x:f>
      </x:c>
      <x:c r="AA918" s="2" t="str">
        <x:f>IF(B918="","",IF(I918&lt;&gt;"READY","NOT RELEASED",IF(Z918=5,"NO BET",IF(OR(AB918&lt;'Config_v6'!$B$16,V918&lt;'Config_v6'!$B$18),"WATCH",IF(Z918=1,"DEFENSIV",IF(Z918=2,"PRUDENT",IF(Z918=3,"MODERAT","RIDICAT")))))))</x:f>
      </x:c>
      <x:c r="AB918" s="10" t="str">
        <x:f>IF(N918="","",MIN(N918,1-S918))</x:f>
      </x:c>
      <x:c r="AC918" s="2" t="str">
        <x:f>IF(AD918&lt;&gt;1,"",COUNTIFS($Z$916:$Z$929,"&lt;"&amp;Z918,$AD$916:$AD$929,1)+COUNTIFS($Z$916:$Z$929,Z918,$AB$916:$AB$929,"&gt;"&amp;AB918,$AD$916:$AD$929,1)+COUNTIFS($Z$916:$Z$929,Z918,$AB$916:$AB$929,AB918,$V$916:$V$929,"&gt;"&amp;V918,$AD$916:$AD$929,1)+COUNTIFS($Z$916:Z918,Z918,$AB$916:AB918,AB918,$V$916:V918,V918,$AD$916:AD918,1))</x:f>
      </x:c>
      <x:c r="AD918" s="2" t="n">
        <x:f>IF(OR(AA918="DEFENSIV",AA918="PRUDENT",AA918="MODERAT",AA918="RIDICAT"),1,0)</x:f>
        <x:v>0</x:v>
      </x:c>
      <x:c r="AE918" s="2" t="str">
        <x:f>IF(AD918&lt;&gt;1,"NO",IF(W918="PASS","YES",IF(W918="OOS PENDING","CONDITIONAL","NO")))</x:f>
        <x:v>NO</x:v>
      </x:c>
      <x:c r="AF918" s="2" t="n">
        <x:f>IF(AND(AD918=1,AC918=1,E918="LIVE"),1,0)</x:f>
        <x:v>0</x:v>
      </x:c>
      <x:c r="AG918" s="2" t="str">
        <x:f>IF(AF918&lt;&gt;1,"",'Dashboard'!P91)</x:f>
      </x:c>
      <x:c r="AH918" s="2" t="str">
        <x:f>IF(B918="","",IF(J918&lt;&gt;"PASS",'Motor_Meciuri'!J71,IF('Calibrare_Linii'!U8&lt;&gt;"VALID","Parametri linie invalizi",IF(L918&gt;'Config_v6'!$B$13,"Dispersie peste limita",IF(W918="WATCH","Failure peste limita",IF(AB918&lt;'Config_v6'!$B$16,"P finala sub prag",IF(V918&lt;'Config_v6'!$B$18,"Confidence sub prag",IF(E918="REPLAY","Exemplu retrospectiv; exclus din Top LIVE",IF(Y918="PASS","DEFENSIV validat",IF(W918="OOS PENDING","Eligibil; calibrare linie in monitorizare","Eligibil"))))))))))</x:f>
      </x:c>
      <x:c r="AI918" s="2" t="str">
        <x:f>IF(B918="","",'Calibrare_Linii'!V8)</x:f>
      </x:c>
      <x:c r="AJ918" s="2" t="str">
        <x:f>IF(B918="","",IF(AND('Calibrare_Linii'!T8="VALIDATED",AND('Calibrare_Linii'!H8=C918,ISNUMBER('Calibrare_Linii'!J8),'Calibrare_Linii'!J8&lt;='Input_Meci'!G71)),"DEFENSIVE VALIDATED",IF(AND('Calibrare_Linii'!S8="VALIDATED",AND('Calibrare_Linii'!H8=C918,ISNUMBER('Calibrare_Linii'!J8),'Calibrare_Linii'!J8&lt;='Input_Meci'!G71)),"TAIL VALIDATED","OOS PENDING")))</x:f>
      </x:c>
      <x:c r="AK918" s="2" t="n">
        <x:f>IF(J918&lt;&gt;"PASS",0,'Motor_Meciuri'!BR71)</x:f>
        <x:v>0</x:v>
      </x:c>
      <x:c r="AL918" s="2" t="n">
        <x:f>IF(J918&lt;&gt;"PASS",0,'Motor_Meciuri'!BS71)</x:f>
        <x:v>0</x:v>
      </x:c>
      <x:c r="AM918" s="2" t="n">
        <x:f>IF(J918&lt;&gt;"PASS",0,'Motor_Meciuri'!BT71)</x:f>
        <x:v>0</x:v>
      </x:c>
      <x:c r="AN918" s="2" t="str">
        <x:f>IF(M918="","",MAX(0,'Motor_Meciuri'!BF71-IF(L918&gt;'Config_v6'!$B$12,'Config_v6'!$B$37,IF(L918&gt;'Config_v6'!$B$11,'Config_v6'!$B$36,0))))</x:f>
      </x:c>
    </x:row>
    <x:row r="919" ht="21" customHeight="1">
      <x:c r="A919" s="2" t="n">
        <x:v>66</x:v>
      </x:c>
      <x:c r="B919" s="2" t="str">
        <x:f>IF('Motor_Meciuri'!A71="","",'Motor_Meciuri'!A71)</x:f>
      </x:c>
      <x:c r="C919" s="2" t="str">
        <x:f>IF(B919="","",'Motor_Meciuri'!B71)</x:f>
      </x:c>
      <x:c r="D919" s="2" t="str">
        <x:f>IF(B919="","",'Motor_Meciuri'!D71)</x:f>
      </x:c>
      <x:c r="E919" s="2" t="str">
        <x:f>IF(B919="","",'Motor_Meciuri'!E71)</x:f>
      </x:c>
      <x:c r="F919" s="2" t="str">
        <x:v>O6,5</x:v>
      </x:c>
      <x:c r="G919" s="2" t="str">
        <x:v>OVER</x:v>
      </x:c>
      <x:c r="H919" s="2" t="n">
        <x:v>6</x:v>
      </x:c>
      <x:c r="I919" s="2" t="str">
        <x:f>IF(B919="","",'Motor_Meciuri'!H71)</x:f>
      </x:c>
      <x:c r="J919" s="2" t="str">
        <x:f>IF(B919="","",'Motor_Meciuri'!I71)</x:f>
      </x:c>
      <x:c r="K919" s="11" t="str">
        <x:f>IF(J919&lt;&gt;"PASS","",'Motor_Meciuri'!BD71)</x:f>
      </x:c>
      <x:c r="L919" s="11" t="str">
        <x:f>IF(J919&lt;&gt;"PASS","",'Motor_Meciuri'!AU71)</x:f>
      </x:c>
      <x:c r="M919" s="10" t="str">
        <x:f>IF(NOT(AND(J919="PASS",'Calibrare_Linii'!U9="VALID")),"",1-'Distributie'!AD71)</x:f>
      </x:c>
      <x:c r="N919" s="10" t="str">
        <x:f>IF(M919="","",MAX(0.01,MIN(0.99,0.5+(M919-0.5)*'Motor_Meciuri'!BG71*'Calibrare_Linii'!D9)))</x:f>
      </x:c>
      <x:c r="O919" s="10" t="str">
        <x:f>IF(M919="","",1-M919)</x:f>
      </x:c>
      <x:c r="P919" s="10" t="str">
        <x:f>IF(OR(NOT(AND(J919="PASS",'Calibrare_Linii'!U9="VALID")),AK919=0),""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*('Istoric_Nativ'!$Q$6:$Q$405&lt;=H919))/AK919)</x:f>
      </x:c>
      <x:c r="Q919" s="10" t="str">
        <x:f>IF(OR(NOT(AND(J919="PASS",'Calibrare_Linii'!U9="VALID")),AL919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M71)+((('Istoric_Nativ'!$E$6:$E$405='Input_Meci'!E71)+('Istoric_Nativ'!$F$6:$F$405='Input_Meci'!E71))&gt;0)*('Istoric_Nativ'!$D$6:$D$405&gt;='Motor_Meciuri'!BN71))&gt;0)*('Istoric_Nativ'!$Q$6:$Q$405&lt;=H919))/AL919)</x:f>
      </x:c>
      <x:c r="R919" s="10" t="str">
        <x:f>IF(OR(NOT(AND(J919="PASS",'Calibrare_Linii'!U9="VALID")),AM919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O71)+((('Istoric_Nativ'!$E$6:$E$405='Input_Meci'!E71)+('Istoric_Nativ'!$F$6:$F$405='Input_Meci'!E71))&gt;0)*('Istoric_Nativ'!$D$6:$D$405&gt;='Motor_Meciuri'!BP71))&gt;0)*('Istoric_Nativ'!$Q$6:$Q$405&lt;=H919))/AM919)</x:f>
      </x:c>
      <x:c r="S919" s="10" t="str">
        <x:f>IF(M919="","",MAX(O919,P919,Q919,R919))</x:f>
      </x:c>
      <x:c r="T919" s="11" t="str">
        <x:f>IF(M919="","",MIN(100,S919*100*'Config_v6'!$B$44+MIN(100,L919/'Config_v6'!$B$13*100)*'Config_v6'!$B$45+(100-'Motor_Meciuri'!BF71)*'Config_v6'!$B$46+'Motor_Meciuri'!BH71*100*'Config_v6'!$B$47))</x:f>
      </x:c>
      <x:c r="U919" s="2" t="str">
        <x:f>IF(T919="","",IF(T919&lt;=20,1,IF(T919&lt;=40,2,IF(T919&lt;=60,3,IF(T919&lt;=80,4,5)))))</x:f>
      </x:c>
      <x:c r="V919" s="2" t="str">
        <x:f>IF(M919="","",MAX(0,'Motor_Meciuri'!BF71-IF(W919="OOS PENDING",'Config_v6'!$B$35,0)-IF(L919&gt;'Config_v6'!$B$12,'Config_v6'!$B$37,IF(L919&gt;'Config_v6'!$B$11,'Config_v6'!$B$36,0))))</x:f>
      </x:c>
      <x:c r="W919" s="2" t="str">
        <x:f>IF(B919="","",IF(I919&lt;&gt;"READY","NOT RELEASED",IF(NOT(AND(J919="PASS",'Calibrare_Linii'!U9="VALID")),"INVALID",IF(NOT(AND('Calibrare_Linii'!S9="VALIDATED",AND('Calibrare_Linii'!H9=C919,ISNUMBER('Calibrare_Linii'!J9),'Calibrare_Linii'!J9&lt;='Input_Meci'!G71))),"OOS PENDING",IF(S919&lt;='Calibrare_Linii'!E9,"PASS",IF(S919&lt;='Calibrare_Linii'!F9,"PENALTY","WATCH"))))))</x:f>
      </x:c>
      <x:c r="X919" s="2" t="str">
        <x:f>IF(M919="","",IF(AND(AND(J919="PASS",'Calibrare_Linii'!U9="VALID"),'Motor_Meciuri'!K71=12,'Motor_Meciuri'!L71=12,'Motor_Meciuri'!M71="NO",'Motor_Meciuri'!BL71='Motor_Meciuri'!C71,AB919&gt;='Config_v6'!$B$50,AN919&gt;='Config_v6'!$B$51,T919&lt;='Config_v6'!$B$52,L919&lt;='Config_v6'!$B$53,ISNUMBER('Calibrare_Linii'!E9),S919&lt;='Calibrare_Linii'!E9,SUM(AK919:AM919)&gt;0),"CANDIDATE","NO"))</x:f>
      </x:c>
      <x:c r="Y919" s="2" t="str">
        <x:f>IF(B919="","",IF(I919&lt;&gt;"READY","NOT RELEASED",IF(AND(X919="CANDIDATE",V919&gt;='Config_v6'!$B$51,W919="PASS",'Calibrare_Linii'!T9="VALIDATED",AND('Calibrare_Linii'!H9=C919,ISNUMBER('Calibrare_Linii'!J9),'Calibrare_Linii'!J9&lt;='Input_Meci'!G71)),"PASS",IF(X919="CANDIDATE","OOS PENDING","FAIL"))))</x:f>
      </x:c>
      <x:c r="Z919" s="2" t="str">
        <x:f>IF(B919="","",IF(I919&lt;&gt;"READY","",IF(OR(NOT(AND(J919="PASS",'Calibrare_Linii'!U9="VALID")),L919&gt;'Config_v6'!$B$13,W919="WATCH"),5,IF(Y919="PASS",1,MIN(5,MAX('Config_v6'!$B$42,U919)+IF(W919="PENALTY",1,0))))))</x:f>
      </x:c>
      <x:c r="AA919" s="2" t="str">
        <x:f>IF(B919="","",IF(I919&lt;&gt;"READY","NOT RELEASED",IF(Z919=5,"NO BET",IF(OR(AB919&lt;'Config_v6'!$B$16,V919&lt;'Config_v6'!$B$18),"WATCH",IF(Z919=1,"DEFENSIV",IF(Z919=2,"PRUDENT",IF(Z919=3,"MODERAT","RIDICAT")))))))</x:f>
      </x:c>
      <x:c r="AB919" s="10" t="str">
        <x:f>IF(N919="","",MIN(N919,1-S919))</x:f>
      </x:c>
      <x:c r="AC919" s="2" t="str">
        <x:f>IF(AD919&lt;&gt;1,"",COUNTIFS($Z$916:$Z$929,"&lt;"&amp;Z919,$AD$916:$AD$929,1)+COUNTIFS($Z$916:$Z$929,Z919,$AB$916:$AB$929,"&gt;"&amp;AB919,$AD$916:$AD$929,1)+COUNTIFS($Z$916:$Z$929,Z919,$AB$916:$AB$929,AB919,$V$916:$V$929,"&gt;"&amp;V919,$AD$916:$AD$929,1)+COUNTIFS($Z$916:Z919,Z919,$AB$916:AB919,AB919,$V$916:V919,V919,$AD$916:AD919,1))</x:f>
      </x:c>
      <x:c r="AD919" s="2" t="n">
        <x:f>IF(OR(AA919="DEFENSIV",AA919="PRUDENT",AA919="MODERAT",AA919="RIDICAT"),1,0)</x:f>
        <x:v>0</x:v>
      </x:c>
      <x:c r="AE919" s="2" t="str">
        <x:f>IF(AD919&lt;&gt;1,"NO",IF(W919="PASS","YES",IF(W919="OOS PENDING","CONDITIONAL","NO")))</x:f>
        <x:v>NO</x:v>
      </x:c>
      <x:c r="AF919" s="2" t="n">
        <x:f>IF(AND(AD919=1,AC919=1,E919="LIVE"),1,0)</x:f>
        <x:v>0</x:v>
      </x:c>
      <x:c r="AG919" s="2" t="str">
        <x:f>IF(AF919&lt;&gt;1,"",'Dashboard'!P91)</x:f>
      </x:c>
      <x:c r="AH919" s="2" t="str">
        <x:f>IF(B919="","",IF(J919&lt;&gt;"PASS",'Motor_Meciuri'!J71,IF('Calibrare_Linii'!U9&lt;&gt;"VALID","Parametri linie invalizi",IF(L919&gt;'Config_v6'!$B$13,"Dispersie peste limita",IF(W919="WATCH","Failure peste limita",IF(AB919&lt;'Config_v6'!$B$16,"P finala sub prag",IF(V919&lt;'Config_v6'!$B$18,"Confidence sub prag",IF(E919="REPLAY","Exemplu retrospectiv; exclus din Top LIVE",IF(Y919="PASS","DEFENSIV validat",IF(W919="OOS PENDING","Eligibil; calibrare linie in monitorizare","Eligibil"))))))))))</x:f>
      </x:c>
      <x:c r="AI919" s="2" t="str">
        <x:f>IF(B919="","",'Calibrare_Linii'!V9)</x:f>
      </x:c>
      <x:c r="AJ919" s="2" t="str">
        <x:f>IF(B919="","",IF(AND('Calibrare_Linii'!T9="VALIDATED",AND('Calibrare_Linii'!H9=C919,ISNUMBER('Calibrare_Linii'!J9),'Calibrare_Linii'!J9&lt;='Input_Meci'!G71)),"DEFENSIVE VALIDATED",IF(AND('Calibrare_Linii'!S9="VALIDATED",AND('Calibrare_Linii'!H9=C919,ISNUMBER('Calibrare_Linii'!J9),'Calibrare_Linii'!J9&lt;='Input_Meci'!G71)),"TAIL VALIDATED","OOS PENDING")))</x:f>
      </x:c>
      <x:c r="AK919" s="2" t="n">
        <x:f>IF(J919&lt;&gt;"PASS",0,'Motor_Meciuri'!BR71)</x:f>
        <x:v>0</x:v>
      </x:c>
      <x:c r="AL919" s="2" t="n">
        <x:f>IF(J919&lt;&gt;"PASS",0,'Motor_Meciuri'!BS71)</x:f>
        <x:v>0</x:v>
      </x:c>
      <x:c r="AM919" s="2" t="n">
        <x:f>IF(J919&lt;&gt;"PASS",0,'Motor_Meciuri'!BT71)</x:f>
        <x:v>0</x:v>
      </x:c>
      <x:c r="AN919" s="2" t="str">
        <x:f>IF(M919="","",MAX(0,'Motor_Meciuri'!BF71-IF(L919&gt;'Config_v6'!$B$12,'Config_v6'!$B$37,IF(L919&gt;'Config_v6'!$B$11,'Config_v6'!$B$36,0))))</x:f>
      </x:c>
    </x:row>
    <x:row r="920" ht="21" customHeight="1">
      <x:c r="A920" s="2" t="n">
        <x:v>66</x:v>
      </x:c>
      <x:c r="B920" s="2" t="str">
        <x:f>IF('Motor_Meciuri'!A71="","",'Motor_Meciuri'!A71)</x:f>
      </x:c>
      <x:c r="C920" s="2" t="str">
        <x:f>IF(B920="","",'Motor_Meciuri'!B71)</x:f>
      </x:c>
      <x:c r="D920" s="2" t="str">
        <x:f>IF(B920="","",'Motor_Meciuri'!D71)</x:f>
      </x:c>
      <x:c r="E920" s="2" t="str">
        <x:f>IF(B920="","",'Motor_Meciuri'!E71)</x:f>
      </x:c>
      <x:c r="F920" s="2" t="str">
        <x:v>O7,5</x:v>
      </x:c>
      <x:c r="G920" s="2" t="str">
        <x:v>OVER</x:v>
      </x:c>
      <x:c r="H920" s="2" t="n">
        <x:v>7</x:v>
      </x:c>
      <x:c r="I920" s="2" t="str">
        <x:f>IF(B920="","",'Motor_Meciuri'!H71)</x:f>
      </x:c>
      <x:c r="J920" s="2" t="str">
        <x:f>IF(B920="","",'Motor_Meciuri'!I71)</x:f>
      </x:c>
      <x:c r="K920" s="11" t="str">
        <x:f>IF(J920&lt;&gt;"PASS","",'Motor_Meciuri'!BD71)</x:f>
      </x:c>
      <x:c r="L920" s="11" t="str">
        <x:f>IF(J920&lt;&gt;"PASS","",'Motor_Meciuri'!AU71)</x:f>
      </x:c>
      <x:c r="M920" s="10" t="str">
        <x:f>IF(NOT(AND(J920="PASS",'Calibrare_Linii'!U10="VALID")),"",1-'Distributie'!AE71)</x:f>
      </x:c>
      <x:c r="N920" s="10" t="str">
        <x:f>IF(M920="","",MAX(0.01,MIN(0.99,0.5+(M920-0.5)*'Motor_Meciuri'!BG71*'Calibrare_Linii'!D10)))</x:f>
      </x:c>
      <x:c r="O920" s="10" t="str">
        <x:f>IF(M920="","",1-M920)</x:f>
      </x:c>
      <x:c r="P920" s="10" t="str">
        <x:f>IF(OR(NOT(AND(J920="PASS",'Calibrare_Linii'!U10="VALID")),AK920=0),""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*('Istoric_Nativ'!$Q$6:$Q$405&lt;=H920))/AK920)</x:f>
      </x:c>
      <x:c r="Q920" s="10" t="str">
        <x:f>IF(OR(NOT(AND(J920="PASS",'Calibrare_Linii'!U10="VALID")),AL920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M71)+((('Istoric_Nativ'!$E$6:$E$405='Input_Meci'!E71)+('Istoric_Nativ'!$F$6:$F$405='Input_Meci'!E71))&gt;0)*('Istoric_Nativ'!$D$6:$D$405&gt;='Motor_Meciuri'!BN71))&gt;0)*('Istoric_Nativ'!$Q$6:$Q$405&lt;=H920))/AL920)</x:f>
      </x:c>
      <x:c r="R920" s="10" t="str">
        <x:f>IF(OR(NOT(AND(J920="PASS",'Calibrare_Linii'!U10="VALID")),AM920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O71)+((('Istoric_Nativ'!$E$6:$E$405='Input_Meci'!E71)+('Istoric_Nativ'!$F$6:$F$405='Input_Meci'!E71))&gt;0)*('Istoric_Nativ'!$D$6:$D$405&gt;='Motor_Meciuri'!BP71))&gt;0)*('Istoric_Nativ'!$Q$6:$Q$405&lt;=H920))/AM920)</x:f>
      </x:c>
      <x:c r="S920" s="10" t="str">
        <x:f>IF(M920="","",MAX(O920,P920,Q920,R920))</x:f>
      </x:c>
      <x:c r="T920" s="11" t="str">
        <x:f>IF(M920="","",MIN(100,S920*100*'Config_v6'!$B$44+MIN(100,L920/'Config_v6'!$B$13*100)*'Config_v6'!$B$45+(100-'Motor_Meciuri'!BF71)*'Config_v6'!$B$46+'Motor_Meciuri'!BH71*100*'Config_v6'!$B$47))</x:f>
      </x:c>
      <x:c r="U920" s="2" t="str">
        <x:f>IF(T920="","",IF(T920&lt;=20,1,IF(T920&lt;=40,2,IF(T920&lt;=60,3,IF(T920&lt;=80,4,5)))))</x:f>
      </x:c>
      <x:c r="V920" s="2" t="str">
        <x:f>IF(M920="","",MAX(0,'Motor_Meciuri'!BF71-IF(W920="OOS PENDING",'Config_v6'!$B$35,0)-IF(L920&gt;'Config_v6'!$B$12,'Config_v6'!$B$37,IF(L920&gt;'Config_v6'!$B$11,'Config_v6'!$B$36,0))))</x:f>
      </x:c>
      <x:c r="W920" s="2" t="str">
        <x:f>IF(B920="","",IF(I920&lt;&gt;"READY","NOT RELEASED",IF(NOT(AND(J920="PASS",'Calibrare_Linii'!U10="VALID")),"INVALID",IF(NOT(AND('Calibrare_Linii'!S10="VALIDATED",AND('Calibrare_Linii'!H10=C920,ISNUMBER('Calibrare_Linii'!J10),'Calibrare_Linii'!J10&lt;='Input_Meci'!G71))),"OOS PENDING",IF(S920&lt;='Calibrare_Linii'!E10,"PASS",IF(S920&lt;='Calibrare_Linii'!F10,"PENALTY","WATCH"))))))</x:f>
      </x:c>
      <x:c r="X920" s="2" t="str">
        <x:f>IF(M920="","",IF(AND(AND(J920="PASS",'Calibrare_Linii'!U10="VALID"),'Motor_Meciuri'!K71=12,'Motor_Meciuri'!L71=12,'Motor_Meciuri'!M71="NO",'Motor_Meciuri'!BL71='Motor_Meciuri'!C71,AB920&gt;='Config_v6'!$B$50,AN920&gt;='Config_v6'!$B$51,T920&lt;='Config_v6'!$B$52,L920&lt;='Config_v6'!$B$53,ISNUMBER('Calibrare_Linii'!E10),S920&lt;='Calibrare_Linii'!E10,SUM(AK920:AM920)&gt;0),"CANDIDATE","NO"))</x:f>
      </x:c>
      <x:c r="Y920" s="2" t="str">
        <x:f>IF(B920="","",IF(I920&lt;&gt;"READY","NOT RELEASED",IF(AND(X920="CANDIDATE",V920&gt;='Config_v6'!$B$51,W920="PASS",'Calibrare_Linii'!T10="VALIDATED",AND('Calibrare_Linii'!H10=C920,ISNUMBER('Calibrare_Linii'!J10),'Calibrare_Linii'!J10&lt;='Input_Meci'!G71)),"PASS",IF(X920="CANDIDATE","OOS PENDING","FAIL"))))</x:f>
      </x:c>
      <x:c r="Z920" s="2" t="str">
        <x:f>IF(B920="","",IF(I920&lt;&gt;"READY","",IF(OR(NOT(AND(J920="PASS",'Calibrare_Linii'!U10="VALID")),L920&gt;'Config_v6'!$B$13,W920="WATCH"),5,IF(Y920="PASS",1,MIN(5,MAX('Config_v6'!$B$42,U920)+IF(W920="PENALTY",1,0))))))</x:f>
      </x:c>
      <x:c r="AA920" s="2" t="str">
        <x:f>IF(B920="","",IF(I920&lt;&gt;"READY","NOT RELEASED",IF(Z920=5,"NO BET",IF(OR(AB920&lt;'Config_v6'!$B$16,V920&lt;'Config_v6'!$B$18),"WATCH",IF(Z920=1,"DEFENSIV",IF(Z920=2,"PRUDENT",IF(Z920=3,"MODERAT","RIDICAT")))))))</x:f>
      </x:c>
      <x:c r="AB920" s="10" t="str">
        <x:f>IF(N920="","",MIN(N920,1-S920))</x:f>
      </x:c>
      <x:c r="AC920" s="2" t="str">
        <x:f>IF(AD920&lt;&gt;1,"",COUNTIFS($Z$916:$Z$929,"&lt;"&amp;Z920,$AD$916:$AD$929,1)+COUNTIFS($Z$916:$Z$929,Z920,$AB$916:$AB$929,"&gt;"&amp;AB920,$AD$916:$AD$929,1)+COUNTIFS($Z$916:$Z$929,Z920,$AB$916:$AB$929,AB920,$V$916:$V$929,"&gt;"&amp;V920,$AD$916:$AD$929,1)+COUNTIFS($Z$916:Z920,Z920,$AB$916:AB920,AB920,$V$916:V920,V920,$AD$916:AD920,1))</x:f>
      </x:c>
      <x:c r="AD920" s="2" t="n">
        <x:f>IF(OR(AA920="DEFENSIV",AA920="PRUDENT",AA920="MODERAT",AA920="RIDICAT"),1,0)</x:f>
        <x:v>0</x:v>
      </x:c>
      <x:c r="AE920" s="2" t="str">
        <x:f>IF(AD920&lt;&gt;1,"NO",IF(W920="PASS","YES",IF(W920="OOS PENDING","CONDITIONAL","NO")))</x:f>
        <x:v>NO</x:v>
      </x:c>
      <x:c r="AF920" s="2" t="n">
        <x:f>IF(AND(AD920=1,AC920=1,E920="LIVE"),1,0)</x:f>
        <x:v>0</x:v>
      </x:c>
      <x:c r="AG920" s="2" t="str">
        <x:f>IF(AF920&lt;&gt;1,"",'Dashboard'!P91)</x:f>
      </x:c>
      <x:c r="AH920" s="2" t="str">
        <x:f>IF(B920="","",IF(J920&lt;&gt;"PASS",'Motor_Meciuri'!J71,IF('Calibrare_Linii'!U10&lt;&gt;"VALID","Parametri linie invalizi",IF(L920&gt;'Config_v6'!$B$13,"Dispersie peste limita",IF(W920="WATCH","Failure peste limita",IF(AB920&lt;'Config_v6'!$B$16,"P finala sub prag",IF(V920&lt;'Config_v6'!$B$18,"Confidence sub prag",IF(E920="REPLAY","Exemplu retrospectiv; exclus din Top LIVE",IF(Y920="PASS","DEFENSIV validat",IF(W920="OOS PENDING","Eligibil; calibrare linie in monitorizare","Eligibil"))))))))))</x:f>
      </x:c>
      <x:c r="AI920" s="2" t="str">
        <x:f>IF(B920="","",'Calibrare_Linii'!V10)</x:f>
      </x:c>
      <x:c r="AJ920" s="2" t="str">
        <x:f>IF(B920="","",IF(AND('Calibrare_Linii'!T10="VALIDATED",AND('Calibrare_Linii'!H10=C920,ISNUMBER('Calibrare_Linii'!J10),'Calibrare_Linii'!J10&lt;='Input_Meci'!G71)),"DEFENSIVE VALIDATED",IF(AND('Calibrare_Linii'!S10="VALIDATED",AND('Calibrare_Linii'!H10=C920,ISNUMBER('Calibrare_Linii'!J10),'Calibrare_Linii'!J10&lt;='Input_Meci'!G71)),"TAIL VALIDATED","OOS PENDING")))</x:f>
      </x:c>
      <x:c r="AK920" s="2" t="n">
        <x:f>IF(J920&lt;&gt;"PASS",0,'Motor_Meciuri'!BR71)</x:f>
        <x:v>0</x:v>
      </x:c>
      <x:c r="AL920" s="2" t="n">
        <x:f>IF(J920&lt;&gt;"PASS",0,'Motor_Meciuri'!BS71)</x:f>
        <x:v>0</x:v>
      </x:c>
      <x:c r="AM920" s="2" t="n">
        <x:f>IF(J920&lt;&gt;"PASS",0,'Motor_Meciuri'!BT71)</x:f>
        <x:v>0</x:v>
      </x:c>
      <x:c r="AN920" s="2" t="str">
        <x:f>IF(M920="","",MAX(0,'Motor_Meciuri'!BF71-IF(L920&gt;'Config_v6'!$B$12,'Config_v6'!$B$37,IF(L920&gt;'Config_v6'!$B$11,'Config_v6'!$B$36,0))))</x:f>
      </x:c>
    </x:row>
    <x:row r="921" ht="21" customHeight="1">
      <x:c r="A921" s="2" t="n">
        <x:v>66</x:v>
      </x:c>
      <x:c r="B921" s="2" t="str">
        <x:f>IF('Motor_Meciuri'!A71="","",'Motor_Meciuri'!A71)</x:f>
      </x:c>
      <x:c r="C921" s="2" t="str">
        <x:f>IF(B921="","",'Motor_Meciuri'!B71)</x:f>
      </x:c>
      <x:c r="D921" s="2" t="str">
        <x:f>IF(B921="","",'Motor_Meciuri'!D71)</x:f>
      </x:c>
      <x:c r="E921" s="2" t="str">
        <x:f>IF(B921="","",'Motor_Meciuri'!E71)</x:f>
      </x:c>
      <x:c r="F921" s="2" t="str">
        <x:v>O8,5</x:v>
      </x:c>
      <x:c r="G921" s="2" t="str">
        <x:v>OVER</x:v>
      </x:c>
      <x:c r="H921" s="2" t="n">
        <x:v>8</x:v>
      </x:c>
      <x:c r="I921" s="2" t="str">
        <x:f>IF(B921="","",'Motor_Meciuri'!H71)</x:f>
      </x:c>
      <x:c r="J921" s="2" t="str">
        <x:f>IF(B921="","",'Motor_Meciuri'!I71)</x:f>
      </x:c>
      <x:c r="K921" s="11" t="str">
        <x:f>IF(J921&lt;&gt;"PASS","",'Motor_Meciuri'!BD71)</x:f>
      </x:c>
      <x:c r="L921" s="11" t="str">
        <x:f>IF(J921&lt;&gt;"PASS","",'Motor_Meciuri'!AU71)</x:f>
      </x:c>
      <x:c r="M921" s="10" t="str">
        <x:f>IF(NOT(AND(J921="PASS",'Calibrare_Linii'!U11="VALID")),"",1-'Distributie'!AF71)</x:f>
      </x:c>
      <x:c r="N921" s="10" t="str">
        <x:f>IF(M921="","",MAX(0.01,MIN(0.99,0.5+(M921-0.5)*'Motor_Meciuri'!BG71*'Calibrare_Linii'!D11)))</x:f>
      </x:c>
      <x:c r="O921" s="10" t="str">
        <x:f>IF(M921="","",1-M921)</x:f>
      </x:c>
      <x:c r="P921" s="10" t="str">
        <x:f>IF(OR(NOT(AND(J921="PASS",'Calibrare_Linii'!U11="VALID")),AK921=0),""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*('Istoric_Nativ'!$Q$6:$Q$405&lt;=H921))/AK921)</x:f>
      </x:c>
      <x:c r="Q921" s="10" t="str">
        <x:f>IF(OR(NOT(AND(J921="PASS",'Calibrare_Linii'!U11="VALID")),AL921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M71)+((('Istoric_Nativ'!$E$6:$E$405='Input_Meci'!E71)+('Istoric_Nativ'!$F$6:$F$405='Input_Meci'!E71))&gt;0)*('Istoric_Nativ'!$D$6:$D$405&gt;='Motor_Meciuri'!BN71))&gt;0)*('Istoric_Nativ'!$Q$6:$Q$405&lt;=H921))/AL921)</x:f>
      </x:c>
      <x:c r="R921" s="10" t="str">
        <x:f>IF(OR(NOT(AND(J921="PASS",'Calibrare_Linii'!U11="VALID")),AM921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O71)+((('Istoric_Nativ'!$E$6:$E$405='Input_Meci'!E71)+('Istoric_Nativ'!$F$6:$F$405='Input_Meci'!E71))&gt;0)*('Istoric_Nativ'!$D$6:$D$405&gt;='Motor_Meciuri'!BP71))&gt;0)*('Istoric_Nativ'!$Q$6:$Q$405&lt;=H921))/AM921)</x:f>
      </x:c>
      <x:c r="S921" s="10" t="str">
        <x:f>IF(M921="","",MAX(O921,P921,Q921,R921))</x:f>
      </x:c>
      <x:c r="T921" s="11" t="str">
        <x:f>IF(M921="","",MIN(100,S921*100*'Config_v6'!$B$44+MIN(100,L921/'Config_v6'!$B$13*100)*'Config_v6'!$B$45+(100-'Motor_Meciuri'!BF71)*'Config_v6'!$B$46+'Motor_Meciuri'!BH71*100*'Config_v6'!$B$47))</x:f>
      </x:c>
      <x:c r="U921" s="2" t="str">
        <x:f>IF(T921="","",IF(T921&lt;=20,1,IF(T921&lt;=40,2,IF(T921&lt;=60,3,IF(T921&lt;=80,4,5)))))</x:f>
      </x:c>
      <x:c r="V921" s="2" t="str">
        <x:f>IF(M921="","",MAX(0,'Motor_Meciuri'!BF71-IF(W921="OOS PENDING",'Config_v6'!$B$35,0)-IF(L921&gt;'Config_v6'!$B$12,'Config_v6'!$B$37,IF(L921&gt;'Config_v6'!$B$11,'Config_v6'!$B$36,0))))</x:f>
      </x:c>
      <x:c r="W921" s="2" t="str">
        <x:f>IF(B921="","",IF(I921&lt;&gt;"READY","NOT RELEASED",IF(NOT(AND(J921="PASS",'Calibrare_Linii'!U11="VALID")),"INVALID",IF(NOT(AND('Calibrare_Linii'!S11="VALIDATED",AND('Calibrare_Linii'!H11=C921,ISNUMBER('Calibrare_Linii'!J11),'Calibrare_Linii'!J11&lt;='Input_Meci'!G71))),"OOS PENDING",IF(S921&lt;='Calibrare_Linii'!E11,"PASS",IF(S921&lt;='Calibrare_Linii'!F11,"PENALTY","WATCH"))))))</x:f>
      </x:c>
      <x:c r="X921" s="2" t="str">
        <x:f>IF(M921="","",IF(AND(AND(J921="PASS",'Calibrare_Linii'!U11="VALID"),'Motor_Meciuri'!K71=12,'Motor_Meciuri'!L71=12,'Motor_Meciuri'!M71="NO",'Motor_Meciuri'!BL71='Motor_Meciuri'!C71,AB921&gt;='Config_v6'!$B$50,AN921&gt;='Config_v6'!$B$51,T921&lt;='Config_v6'!$B$52,L921&lt;='Config_v6'!$B$53,ISNUMBER('Calibrare_Linii'!E11),S921&lt;='Calibrare_Linii'!E11,SUM(AK921:AM921)&gt;0),"CANDIDATE","NO"))</x:f>
      </x:c>
      <x:c r="Y921" s="2" t="str">
        <x:f>IF(B921="","",IF(I921&lt;&gt;"READY","NOT RELEASED",IF(AND(X921="CANDIDATE",V921&gt;='Config_v6'!$B$51,W921="PASS",'Calibrare_Linii'!T11="VALIDATED",AND('Calibrare_Linii'!H11=C921,ISNUMBER('Calibrare_Linii'!J11),'Calibrare_Linii'!J11&lt;='Input_Meci'!G71)),"PASS",IF(X921="CANDIDATE","OOS PENDING","FAIL"))))</x:f>
      </x:c>
      <x:c r="Z921" s="2" t="str">
        <x:f>IF(B921="","",IF(I921&lt;&gt;"READY","",IF(OR(NOT(AND(J921="PASS",'Calibrare_Linii'!U11="VALID")),L921&gt;'Config_v6'!$B$13,W921="WATCH"),5,IF(Y921="PASS",1,MIN(5,MAX('Config_v6'!$B$42,U921)+IF(W921="PENALTY",1,0))))))</x:f>
      </x:c>
      <x:c r="AA921" s="2" t="str">
        <x:f>IF(B921="","",IF(I921&lt;&gt;"READY","NOT RELEASED",IF(Z921=5,"NO BET",IF(OR(AB921&lt;'Config_v6'!$B$16,V921&lt;'Config_v6'!$B$18),"WATCH",IF(Z921=1,"DEFENSIV",IF(Z921=2,"PRUDENT",IF(Z921=3,"MODERAT","RIDICAT")))))))</x:f>
      </x:c>
      <x:c r="AB921" s="10" t="str">
        <x:f>IF(N921="","",MIN(N921,1-S921))</x:f>
      </x:c>
      <x:c r="AC921" s="2" t="str">
        <x:f>IF(AD921&lt;&gt;1,"",COUNTIFS($Z$916:$Z$929,"&lt;"&amp;Z921,$AD$916:$AD$929,1)+COUNTIFS($Z$916:$Z$929,Z921,$AB$916:$AB$929,"&gt;"&amp;AB921,$AD$916:$AD$929,1)+COUNTIFS($Z$916:$Z$929,Z921,$AB$916:$AB$929,AB921,$V$916:$V$929,"&gt;"&amp;V921,$AD$916:$AD$929,1)+COUNTIFS($Z$916:Z921,Z921,$AB$916:AB921,AB921,$V$916:V921,V921,$AD$916:AD921,1))</x:f>
      </x:c>
      <x:c r="AD921" s="2" t="n">
        <x:f>IF(OR(AA921="DEFENSIV",AA921="PRUDENT",AA921="MODERAT",AA921="RIDICAT"),1,0)</x:f>
        <x:v>0</x:v>
      </x:c>
      <x:c r="AE921" s="2" t="str">
        <x:f>IF(AD921&lt;&gt;1,"NO",IF(W921="PASS","YES",IF(W921="OOS PENDING","CONDITIONAL","NO")))</x:f>
        <x:v>NO</x:v>
      </x:c>
      <x:c r="AF921" s="2" t="n">
        <x:f>IF(AND(AD921=1,AC921=1,E921="LIVE"),1,0)</x:f>
        <x:v>0</x:v>
      </x:c>
      <x:c r="AG921" s="2" t="str">
        <x:f>IF(AF921&lt;&gt;1,"",'Dashboard'!P91)</x:f>
      </x:c>
      <x:c r="AH921" s="2" t="str">
        <x:f>IF(B921="","",IF(J921&lt;&gt;"PASS",'Motor_Meciuri'!J71,IF('Calibrare_Linii'!U11&lt;&gt;"VALID","Parametri linie invalizi",IF(L921&gt;'Config_v6'!$B$13,"Dispersie peste limita",IF(W921="WATCH","Failure peste limita",IF(AB921&lt;'Config_v6'!$B$16,"P finala sub prag",IF(V921&lt;'Config_v6'!$B$18,"Confidence sub prag",IF(E921="REPLAY","Exemplu retrospectiv; exclus din Top LIVE",IF(Y921="PASS","DEFENSIV validat",IF(W921="OOS PENDING","Eligibil; calibrare linie in monitorizare","Eligibil"))))))))))</x:f>
      </x:c>
      <x:c r="AI921" s="2" t="str">
        <x:f>IF(B921="","",'Calibrare_Linii'!V11)</x:f>
      </x:c>
      <x:c r="AJ921" s="2" t="str">
        <x:f>IF(B921="","",IF(AND('Calibrare_Linii'!T11="VALIDATED",AND('Calibrare_Linii'!H11=C921,ISNUMBER('Calibrare_Linii'!J11),'Calibrare_Linii'!J11&lt;='Input_Meci'!G71)),"DEFENSIVE VALIDATED",IF(AND('Calibrare_Linii'!S11="VALIDATED",AND('Calibrare_Linii'!H11=C921,ISNUMBER('Calibrare_Linii'!J11),'Calibrare_Linii'!J11&lt;='Input_Meci'!G71)),"TAIL VALIDATED","OOS PENDING")))</x:f>
      </x:c>
      <x:c r="AK921" s="2" t="n">
        <x:f>IF(J921&lt;&gt;"PASS",0,'Motor_Meciuri'!BR71)</x:f>
        <x:v>0</x:v>
      </x:c>
      <x:c r="AL921" s="2" t="n">
        <x:f>IF(J921&lt;&gt;"PASS",0,'Motor_Meciuri'!BS71)</x:f>
        <x:v>0</x:v>
      </x:c>
      <x:c r="AM921" s="2" t="n">
        <x:f>IF(J921&lt;&gt;"PASS",0,'Motor_Meciuri'!BT71)</x:f>
        <x:v>0</x:v>
      </x:c>
      <x:c r="AN921" s="2" t="str">
        <x:f>IF(M921="","",MAX(0,'Motor_Meciuri'!BF71-IF(L921&gt;'Config_v6'!$B$12,'Config_v6'!$B$37,IF(L921&gt;'Config_v6'!$B$11,'Config_v6'!$B$36,0))))</x:f>
      </x:c>
    </x:row>
    <x:row r="922" ht="21" customHeight="1">
      <x:c r="A922" s="2" t="n">
        <x:v>66</x:v>
      </x:c>
      <x:c r="B922" s="2" t="str">
        <x:f>IF('Motor_Meciuri'!A71="","",'Motor_Meciuri'!A71)</x:f>
      </x:c>
      <x:c r="C922" s="2" t="str">
        <x:f>IF(B922="","",'Motor_Meciuri'!B71)</x:f>
      </x:c>
      <x:c r="D922" s="2" t="str">
        <x:f>IF(B922="","",'Motor_Meciuri'!D71)</x:f>
      </x:c>
      <x:c r="E922" s="2" t="str">
        <x:f>IF(B922="","",'Motor_Meciuri'!E71)</x:f>
      </x:c>
      <x:c r="F922" s="2" t="str">
        <x:v>U10,5</x:v>
      </x:c>
      <x:c r="G922" s="2" t="str">
        <x:v>UNDER</x:v>
      </x:c>
      <x:c r="H922" s="2" t="n">
        <x:v>10</x:v>
      </x:c>
      <x:c r="I922" s="2" t="str">
        <x:f>IF(B922="","",'Motor_Meciuri'!H71)</x:f>
      </x:c>
      <x:c r="J922" s="2" t="str">
        <x:f>IF(B922="","",'Motor_Meciuri'!I71)</x:f>
      </x:c>
      <x:c r="K922" s="11" t="str">
        <x:f>IF(J922&lt;&gt;"PASS","",'Motor_Meciuri'!BD71)</x:f>
      </x:c>
      <x:c r="L922" s="11" t="str">
        <x:f>IF(J922&lt;&gt;"PASS","",'Motor_Meciuri'!AU71)</x:f>
      </x:c>
      <x:c r="M922" s="10" t="str">
        <x:f>IF(NOT(AND(J922="PASS",'Calibrare_Linii'!U12="VALID")),"",'Distributie'!AH71)</x:f>
      </x:c>
      <x:c r="N922" s="10" t="str">
        <x:f>IF(M922="","",MAX(0.01,MIN(0.99,0.5+(M922-0.5)*'Motor_Meciuri'!BG71*'Calibrare_Linii'!D12)))</x:f>
      </x:c>
      <x:c r="O922" s="10" t="str">
        <x:f>IF(M922="","",1-M922)</x:f>
      </x:c>
      <x:c r="P922" s="10" t="str">
        <x:f>IF(OR(NOT(AND(J922="PASS",'Calibrare_Linii'!U12="VALID")),AK922=0),""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*('Istoric_Nativ'!$Q$6:$Q$405&gt;H922))/AK922)</x:f>
      </x:c>
      <x:c r="Q922" s="10" t="str">
        <x:f>IF(OR(NOT(AND(J922="PASS",'Calibrare_Linii'!U12="VALID")),AL922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M71)+((('Istoric_Nativ'!$E$6:$E$405='Input_Meci'!E71)+('Istoric_Nativ'!$F$6:$F$405='Input_Meci'!E71))&gt;0)*('Istoric_Nativ'!$D$6:$D$405&gt;='Motor_Meciuri'!BN71))&gt;0)*('Istoric_Nativ'!$Q$6:$Q$405&gt;H922))/AL922)</x:f>
      </x:c>
      <x:c r="R922" s="10" t="str">
        <x:f>IF(OR(NOT(AND(J922="PASS",'Calibrare_Linii'!U12="VALID")),AM922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O71)+((('Istoric_Nativ'!$E$6:$E$405='Input_Meci'!E71)+('Istoric_Nativ'!$F$6:$F$405='Input_Meci'!E71))&gt;0)*('Istoric_Nativ'!$D$6:$D$405&gt;='Motor_Meciuri'!BP71))&gt;0)*('Istoric_Nativ'!$Q$6:$Q$405&gt;H922))/AM922)</x:f>
      </x:c>
      <x:c r="S922" s="10" t="str">
        <x:f>IF(M922="","",MAX(O922,P922,Q922,R922))</x:f>
      </x:c>
      <x:c r="T922" s="11" t="str">
        <x:f>IF(M922="","",MIN(100,S922*100*'Config_v6'!$B$44+MIN(100,L922/'Config_v6'!$B$13*100)*'Config_v6'!$B$45+(100-'Motor_Meciuri'!BF71)*'Config_v6'!$B$46+'Motor_Meciuri'!BH71*100*'Config_v6'!$B$47))</x:f>
      </x:c>
      <x:c r="U922" s="2" t="str">
        <x:f>IF(T922="","",IF(T922&lt;=20,1,IF(T922&lt;=40,2,IF(T922&lt;=60,3,IF(T922&lt;=80,4,5)))))</x:f>
      </x:c>
      <x:c r="V922" s="2" t="str">
        <x:f>IF(M922="","",MAX(0,'Motor_Meciuri'!BF71-IF(W922="OOS PENDING",'Config_v6'!$B$35,0)-IF(L922&gt;'Config_v6'!$B$12,'Config_v6'!$B$37,IF(L922&gt;'Config_v6'!$B$11,'Config_v6'!$B$36,0))))</x:f>
      </x:c>
      <x:c r="W922" s="2" t="str">
        <x:f>IF(B922="","",IF(I922&lt;&gt;"READY","NOT RELEASED",IF(NOT(AND(J922="PASS",'Calibrare_Linii'!U12="VALID")),"INVALID",IF(NOT(AND('Calibrare_Linii'!S12="VALIDATED",AND('Calibrare_Linii'!H12=C922,ISNUMBER('Calibrare_Linii'!J12),'Calibrare_Linii'!J12&lt;='Input_Meci'!G71))),"OOS PENDING",IF(S922&lt;='Calibrare_Linii'!E12,"PASS",IF(S922&lt;='Calibrare_Linii'!F12,"PENALTY","WATCH"))))))</x:f>
      </x:c>
      <x:c r="X922" s="2" t="str">
        <x:f>IF(M922="","",IF(AND(AND(J922="PASS",'Calibrare_Linii'!U12="VALID"),'Motor_Meciuri'!K71=12,'Motor_Meciuri'!L71=12,'Motor_Meciuri'!M71="NO",'Motor_Meciuri'!BL71='Motor_Meciuri'!C71,AB922&gt;='Config_v6'!$B$50,AN922&gt;='Config_v6'!$B$51,T922&lt;='Config_v6'!$B$52,L922&lt;='Config_v6'!$B$53,ISNUMBER('Calibrare_Linii'!E12),S922&lt;='Calibrare_Linii'!E12,SUM(AK922:AM922)&gt;0),"CANDIDATE","NO"))</x:f>
      </x:c>
      <x:c r="Y922" s="2" t="str">
        <x:f>IF(B922="","",IF(I922&lt;&gt;"READY","NOT RELEASED",IF(AND(X922="CANDIDATE",V922&gt;='Config_v6'!$B$51,W922="PASS",'Calibrare_Linii'!T12="VALIDATED",AND('Calibrare_Linii'!H12=C922,ISNUMBER('Calibrare_Linii'!J12),'Calibrare_Linii'!J12&lt;='Input_Meci'!G71)),"PASS",IF(X922="CANDIDATE","OOS PENDING","FAIL"))))</x:f>
      </x:c>
      <x:c r="Z922" s="2" t="str">
        <x:f>IF(B922="","",IF(I922&lt;&gt;"READY","",IF(OR(NOT(AND(J922="PASS",'Calibrare_Linii'!U12="VALID")),L922&gt;'Config_v6'!$B$13,W922="WATCH"),5,IF(Y922="PASS",1,MIN(5,MAX('Config_v6'!$B$42,U922)+IF(W922="PENALTY",1,0))))))</x:f>
      </x:c>
      <x:c r="AA922" s="2" t="str">
        <x:f>IF(B922="","",IF(I922&lt;&gt;"READY","NOT RELEASED",IF(Z922=5,"NO BET",IF(OR(AB922&lt;'Config_v6'!$B$16,V922&lt;'Config_v6'!$B$18),"WATCH",IF(Z922=1,"DEFENSIV",IF(Z922=2,"PRUDENT",IF(Z922=3,"MODERAT","RIDICAT")))))))</x:f>
      </x:c>
      <x:c r="AB922" s="10" t="str">
        <x:f>IF(N922="","",MIN(N922,1-S922))</x:f>
      </x:c>
      <x:c r="AC922" s="2" t="str">
        <x:f>IF(AD922&lt;&gt;1,"",COUNTIFS($Z$916:$Z$929,"&lt;"&amp;Z922,$AD$916:$AD$929,1)+COUNTIFS($Z$916:$Z$929,Z922,$AB$916:$AB$929,"&gt;"&amp;AB922,$AD$916:$AD$929,1)+COUNTIFS($Z$916:$Z$929,Z922,$AB$916:$AB$929,AB922,$V$916:$V$929,"&gt;"&amp;V922,$AD$916:$AD$929,1)+COUNTIFS($Z$916:Z922,Z922,$AB$916:AB922,AB922,$V$916:V922,V922,$AD$916:AD922,1))</x:f>
      </x:c>
      <x:c r="AD922" s="2" t="n">
        <x:f>IF(OR(AA922="DEFENSIV",AA922="PRUDENT",AA922="MODERAT",AA922="RIDICAT"),1,0)</x:f>
        <x:v>0</x:v>
      </x:c>
      <x:c r="AE922" s="2" t="str">
        <x:f>IF(AD922&lt;&gt;1,"NO",IF(W922="PASS","YES",IF(W922="OOS PENDING","CONDITIONAL","NO")))</x:f>
        <x:v>NO</x:v>
      </x:c>
      <x:c r="AF922" s="2" t="n">
        <x:f>IF(AND(AD922=1,AC922=1,E922="LIVE"),1,0)</x:f>
        <x:v>0</x:v>
      </x:c>
      <x:c r="AG922" s="2" t="str">
        <x:f>IF(AF922&lt;&gt;1,"",'Dashboard'!P91)</x:f>
      </x:c>
      <x:c r="AH922" s="2" t="str">
        <x:f>IF(B922="","",IF(J922&lt;&gt;"PASS",'Motor_Meciuri'!J71,IF('Calibrare_Linii'!U12&lt;&gt;"VALID","Parametri linie invalizi",IF(L922&gt;'Config_v6'!$B$13,"Dispersie peste limita",IF(W922="WATCH","Failure peste limita",IF(AB922&lt;'Config_v6'!$B$16,"P finala sub prag",IF(V922&lt;'Config_v6'!$B$18,"Confidence sub prag",IF(E922="REPLAY","Exemplu retrospectiv; exclus din Top LIVE",IF(Y922="PASS","DEFENSIV validat",IF(W922="OOS PENDING","Eligibil; calibrare linie in monitorizare","Eligibil"))))))))))</x:f>
      </x:c>
      <x:c r="AI922" s="2" t="str">
        <x:f>IF(B922="","",'Calibrare_Linii'!V12)</x:f>
      </x:c>
      <x:c r="AJ922" s="2" t="str">
        <x:f>IF(B922="","",IF(AND('Calibrare_Linii'!T12="VALIDATED",AND('Calibrare_Linii'!H12=C922,ISNUMBER('Calibrare_Linii'!J12),'Calibrare_Linii'!J12&lt;='Input_Meci'!G71)),"DEFENSIVE VALIDATED",IF(AND('Calibrare_Linii'!S12="VALIDATED",AND('Calibrare_Linii'!H12=C922,ISNUMBER('Calibrare_Linii'!J12),'Calibrare_Linii'!J12&lt;='Input_Meci'!G71)),"TAIL VALIDATED","OOS PENDING")))</x:f>
      </x:c>
      <x:c r="AK922" s="2" t="n">
        <x:f>IF(J922&lt;&gt;"PASS",0,'Motor_Meciuri'!BR71)</x:f>
        <x:v>0</x:v>
      </x:c>
      <x:c r="AL922" s="2" t="n">
        <x:f>IF(J922&lt;&gt;"PASS",0,'Motor_Meciuri'!BS71)</x:f>
        <x:v>0</x:v>
      </x:c>
      <x:c r="AM922" s="2" t="n">
        <x:f>IF(J922&lt;&gt;"PASS",0,'Motor_Meciuri'!BT71)</x:f>
        <x:v>0</x:v>
      </x:c>
      <x:c r="AN922" s="2" t="str">
        <x:f>IF(M922="","",MAX(0,'Motor_Meciuri'!BF71-IF(L922&gt;'Config_v6'!$B$12,'Config_v6'!$B$37,IF(L922&gt;'Config_v6'!$B$11,'Config_v6'!$B$36,0))))</x:f>
      </x:c>
    </x:row>
    <x:row r="923" ht="21" customHeight="1">
      <x:c r="A923" s="2" t="n">
        <x:v>66</x:v>
      </x:c>
      <x:c r="B923" s="2" t="str">
        <x:f>IF('Motor_Meciuri'!A71="","",'Motor_Meciuri'!A71)</x:f>
      </x:c>
      <x:c r="C923" s="2" t="str">
        <x:f>IF(B923="","",'Motor_Meciuri'!B71)</x:f>
      </x:c>
      <x:c r="D923" s="2" t="str">
        <x:f>IF(B923="","",'Motor_Meciuri'!D71)</x:f>
      </x:c>
      <x:c r="E923" s="2" t="str">
        <x:f>IF(B923="","",'Motor_Meciuri'!E71)</x:f>
      </x:c>
      <x:c r="F923" s="2" t="str">
        <x:v>U11,5</x:v>
      </x:c>
      <x:c r="G923" s="2" t="str">
        <x:v>UNDER</x:v>
      </x:c>
      <x:c r="H923" s="2" t="n">
        <x:v>11</x:v>
      </x:c>
      <x:c r="I923" s="2" t="str">
        <x:f>IF(B923="","",'Motor_Meciuri'!H71)</x:f>
      </x:c>
      <x:c r="J923" s="2" t="str">
        <x:f>IF(B923="","",'Motor_Meciuri'!I71)</x:f>
      </x:c>
      <x:c r="K923" s="11" t="str">
        <x:f>IF(J923&lt;&gt;"PASS","",'Motor_Meciuri'!BD71)</x:f>
      </x:c>
      <x:c r="L923" s="11" t="str">
        <x:f>IF(J923&lt;&gt;"PASS","",'Motor_Meciuri'!AU71)</x:f>
      </x:c>
      <x:c r="M923" s="10" t="str">
        <x:f>IF(NOT(AND(J923="PASS",'Calibrare_Linii'!U13="VALID")),"",'Distributie'!AI71)</x:f>
      </x:c>
      <x:c r="N923" s="10" t="str">
        <x:f>IF(M923="","",MAX(0.01,MIN(0.99,0.5+(M923-0.5)*'Motor_Meciuri'!BG71*'Calibrare_Linii'!D13)))</x:f>
      </x:c>
      <x:c r="O923" s="10" t="str">
        <x:f>IF(M923="","",1-M923)</x:f>
      </x:c>
      <x:c r="P923" s="10" t="str">
        <x:f>IF(OR(NOT(AND(J923="PASS",'Calibrare_Linii'!U13="VALID")),AK923=0),""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*('Istoric_Nativ'!$Q$6:$Q$405&gt;H923))/AK923)</x:f>
      </x:c>
      <x:c r="Q923" s="10" t="str">
        <x:f>IF(OR(NOT(AND(J923="PASS",'Calibrare_Linii'!U13="VALID")),AL923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M71)+((('Istoric_Nativ'!$E$6:$E$405='Input_Meci'!E71)+('Istoric_Nativ'!$F$6:$F$405='Input_Meci'!E71))&gt;0)*('Istoric_Nativ'!$D$6:$D$405&gt;='Motor_Meciuri'!BN71))&gt;0)*('Istoric_Nativ'!$Q$6:$Q$405&gt;H923))/AL923)</x:f>
      </x:c>
      <x:c r="R923" s="10" t="str">
        <x:f>IF(OR(NOT(AND(J923="PASS",'Calibrare_Linii'!U13="VALID")),AM923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O71)+((('Istoric_Nativ'!$E$6:$E$405='Input_Meci'!E71)+('Istoric_Nativ'!$F$6:$F$405='Input_Meci'!E71))&gt;0)*('Istoric_Nativ'!$D$6:$D$405&gt;='Motor_Meciuri'!BP71))&gt;0)*('Istoric_Nativ'!$Q$6:$Q$405&gt;H923))/AM923)</x:f>
      </x:c>
      <x:c r="S923" s="10" t="str">
        <x:f>IF(M923="","",MAX(O923,P923,Q923,R923))</x:f>
      </x:c>
      <x:c r="T923" s="11" t="str">
        <x:f>IF(M923="","",MIN(100,S923*100*'Config_v6'!$B$44+MIN(100,L923/'Config_v6'!$B$13*100)*'Config_v6'!$B$45+(100-'Motor_Meciuri'!BF71)*'Config_v6'!$B$46+'Motor_Meciuri'!BH71*100*'Config_v6'!$B$47))</x:f>
      </x:c>
      <x:c r="U923" s="2" t="str">
        <x:f>IF(T923="","",IF(T923&lt;=20,1,IF(T923&lt;=40,2,IF(T923&lt;=60,3,IF(T923&lt;=80,4,5)))))</x:f>
      </x:c>
      <x:c r="V923" s="2" t="str">
        <x:f>IF(M923="","",MAX(0,'Motor_Meciuri'!BF71-IF(W923="OOS PENDING",'Config_v6'!$B$35,0)-IF(L923&gt;'Config_v6'!$B$12,'Config_v6'!$B$37,IF(L923&gt;'Config_v6'!$B$11,'Config_v6'!$B$36,0))))</x:f>
      </x:c>
      <x:c r="W923" s="2" t="str">
        <x:f>IF(B923="","",IF(I923&lt;&gt;"READY","NOT RELEASED",IF(NOT(AND(J923="PASS",'Calibrare_Linii'!U13="VALID")),"INVALID",IF(NOT(AND('Calibrare_Linii'!S13="VALIDATED",AND('Calibrare_Linii'!H13=C923,ISNUMBER('Calibrare_Linii'!J13),'Calibrare_Linii'!J13&lt;='Input_Meci'!G71))),"OOS PENDING",IF(S923&lt;='Calibrare_Linii'!E13,"PASS",IF(S923&lt;='Calibrare_Linii'!F13,"PENALTY","WATCH"))))))</x:f>
      </x:c>
      <x:c r="X923" s="2" t="str">
        <x:f>IF(M923="","",IF(AND(AND(J923="PASS",'Calibrare_Linii'!U13="VALID"),'Motor_Meciuri'!K71=12,'Motor_Meciuri'!L71=12,'Motor_Meciuri'!M71="NO",'Motor_Meciuri'!BL71='Motor_Meciuri'!C71,AB923&gt;='Config_v6'!$B$50,AN923&gt;='Config_v6'!$B$51,T923&lt;='Config_v6'!$B$52,L923&lt;='Config_v6'!$B$53,ISNUMBER('Calibrare_Linii'!E13),S923&lt;='Calibrare_Linii'!E13,SUM(AK923:AM923)&gt;0),"CANDIDATE","NO"))</x:f>
      </x:c>
      <x:c r="Y923" s="2" t="str">
        <x:f>IF(B923="","",IF(I923&lt;&gt;"READY","NOT RELEASED",IF(AND(X923="CANDIDATE",V923&gt;='Config_v6'!$B$51,W923="PASS",'Calibrare_Linii'!T13="VALIDATED",AND('Calibrare_Linii'!H13=C923,ISNUMBER('Calibrare_Linii'!J13),'Calibrare_Linii'!J13&lt;='Input_Meci'!G71)),"PASS",IF(X923="CANDIDATE","OOS PENDING","FAIL"))))</x:f>
      </x:c>
      <x:c r="Z923" s="2" t="str">
        <x:f>IF(B923="","",IF(I923&lt;&gt;"READY","",IF(OR(NOT(AND(J923="PASS",'Calibrare_Linii'!U13="VALID")),L923&gt;'Config_v6'!$B$13,W923="WATCH"),5,IF(Y923="PASS",1,MIN(5,MAX('Config_v6'!$B$42,U923)+IF(W923="PENALTY",1,0))))))</x:f>
      </x:c>
      <x:c r="AA923" s="2" t="str">
        <x:f>IF(B923="","",IF(I923&lt;&gt;"READY","NOT RELEASED",IF(Z923=5,"NO BET",IF(OR(AB923&lt;'Config_v6'!$B$16,V923&lt;'Config_v6'!$B$18),"WATCH",IF(Z923=1,"DEFENSIV",IF(Z923=2,"PRUDENT",IF(Z923=3,"MODERAT","RIDICAT")))))))</x:f>
      </x:c>
      <x:c r="AB923" s="10" t="str">
        <x:f>IF(N923="","",MIN(N923,1-S923))</x:f>
      </x:c>
      <x:c r="AC923" s="2" t="str">
        <x:f>IF(AD923&lt;&gt;1,"",COUNTIFS($Z$916:$Z$929,"&lt;"&amp;Z923,$AD$916:$AD$929,1)+COUNTIFS($Z$916:$Z$929,Z923,$AB$916:$AB$929,"&gt;"&amp;AB923,$AD$916:$AD$929,1)+COUNTIFS($Z$916:$Z$929,Z923,$AB$916:$AB$929,AB923,$V$916:$V$929,"&gt;"&amp;V923,$AD$916:$AD$929,1)+COUNTIFS($Z$916:Z923,Z923,$AB$916:AB923,AB923,$V$916:V923,V923,$AD$916:AD923,1))</x:f>
      </x:c>
      <x:c r="AD923" s="2" t="n">
        <x:f>IF(OR(AA923="DEFENSIV",AA923="PRUDENT",AA923="MODERAT",AA923="RIDICAT"),1,0)</x:f>
        <x:v>0</x:v>
      </x:c>
      <x:c r="AE923" s="2" t="str">
        <x:f>IF(AD923&lt;&gt;1,"NO",IF(W923="PASS","YES",IF(W923="OOS PENDING","CONDITIONAL","NO")))</x:f>
        <x:v>NO</x:v>
      </x:c>
      <x:c r="AF923" s="2" t="n">
        <x:f>IF(AND(AD923=1,AC923=1,E923="LIVE"),1,0)</x:f>
        <x:v>0</x:v>
      </x:c>
      <x:c r="AG923" s="2" t="str">
        <x:f>IF(AF923&lt;&gt;1,"",'Dashboard'!P91)</x:f>
      </x:c>
      <x:c r="AH923" s="2" t="str">
        <x:f>IF(B923="","",IF(J923&lt;&gt;"PASS",'Motor_Meciuri'!J71,IF('Calibrare_Linii'!U13&lt;&gt;"VALID","Parametri linie invalizi",IF(L923&gt;'Config_v6'!$B$13,"Dispersie peste limita",IF(W923="WATCH","Failure peste limita",IF(AB923&lt;'Config_v6'!$B$16,"P finala sub prag",IF(V923&lt;'Config_v6'!$B$18,"Confidence sub prag",IF(E923="REPLAY","Exemplu retrospectiv; exclus din Top LIVE",IF(Y923="PASS","DEFENSIV validat",IF(W923="OOS PENDING","Eligibil; calibrare linie in monitorizare","Eligibil"))))))))))</x:f>
      </x:c>
      <x:c r="AI923" s="2" t="str">
        <x:f>IF(B923="","",'Calibrare_Linii'!V13)</x:f>
      </x:c>
      <x:c r="AJ923" s="2" t="str">
        <x:f>IF(B923="","",IF(AND('Calibrare_Linii'!T13="VALIDATED",AND('Calibrare_Linii'!H13=C923,ISNUMBER('Calibrare_Linii'!J13),'Calibrare_Linii'!J13&lt;='Input_Meci'!G71)),"DEFENSIVE VALIDATED",IF(AND('Calibrare_Linii'!S13="VALIDATED",AND('Calibrare_Linii'!H13=C923,ISNUMBER('Calibrare_Linii'!J13),'Calibrare_Linii'!J13&lt;='Input_Meci'!G71)),"TAIL VALIDATED","OOS PENDING")))</x:f>
      </x:c>
      <x:c r="AK923" s="2" t="n">
        <x:f>IF(J923&lt;&gt;"PASS",0,'Motor_Meciuri'!BR71)</x:f>
        <x:v>0</x:v>
      </x:c>
      <x:c r="AL923" s="2" t="n">
        <x:f>IF(J923&lt;&gt;"PASS",0,'Motor_Meciuri'!BS71)</x:f>
        <x:v>0</x:v>
      </x:c>
      <x:c r="AM923" s="2" t="n">
        <x:f>IF(J923&lt;&gt;"PASS",0,'Motor_Meciuri'!BT71)</x:f>
        <x:v>0</x:v>
      </x:c>
      <x:c r="AN923" s="2" t="str">
        <x:f>IF(M923="","",MAX(0,'Motor_Meciuri'!BF71-IF(L923&gt;'Config_v6'!$B$12,'Config_v6'!$B$37,IF(L923&gt;'Config_v6'!$B$11,'Config_v6'!$B$36,0))))</x:f>
      </x:c>
    </x:row>
    <x:row r="924" ht="21" customHeight="1">
      <x:c r="A924" s="2" t="n">
        <x:v>66</x:v>
      </x:c>
      <x:c r="B924" s="2" t="str">
        <x:f>IF('Motor_Meciuri'!A71="","",'Motor_Meciuri'!A71)</x:f>
      </x:c>
      <x:c r="C924" s="2" t="str">
        <x:f>IF(B924="","",'Motor_Meciuri'!B71)</x:f>
      </x:c>
      <x:c r="D924" s="2" t="str">
        <x:f>IF(B924="","",'Motor_Meciuri'!D71)</x:f>
      </x:c>
      <x:c r="E924" s="2" t="str">
        <x:f>IF(B924="","",'Motor_Meciuri'!E71)</x:f>
      </x:c>
      <x:c r="F924" s="2" t="str">
        <x:v>U12,5</x:v>
      </x:c>
      <x:c r="G924" s="2" t="str">
        <x:v>UNDER</x:v>
      </x:c>
      <x:c r="H924" s="2" t="n">
        <x:v>12</x:v>
      </x:c>
      <x:c r="I924" s="2" t="str">
        <x:f>IF(B924="","",'Motor_Meciuri'!H71)</x:f>
      </x:c>
      <x:c r="J924" s="2" t="str">
        <x:f>IF(B924="","",'Motor_Meciuri'!I71)</x:f>
      </x:c>
      <x:c r="K924" s="11" t="str">
        <x:f>IF(J924&lt;&gt;"PASS","",'Motor_Meciuri'!BD71)</x:f>
      </x:c>
      <x:c r="L924" s="11" t="str">
        <x:f>IF(J924&lt;&gt;"PASS","",'Motor_Meciuri'!AU71)</x:f>
      </x:c>
      <x:c r="M924" s="10" t="str">
        <x:f>IF(NOT(AND(J924="PASS",'Calibrare_Linii'!U14="VALID")),"",'Distributie'!AJ71)</x:f>
      </x:c>
      <x:c r="N924" s="10" t="str">
        <x:f>IF(M924="","",MAX(0.01,MIN(0.99,0.5+(M924-0.5)*'Motor_Meciuri'!BG71*'Calibrare_Linii'!D14)))</x:f>
      </x:c>
      <x:c r="O924" s="10" t="str">
        <x:f>IF(M924="","",1-M924)</x:f>
      </x:c>
      <x:c r="P924" s="10" t="str">
        <x:f>IF(OR(NOT(AND(J924="PASS",'Calibrare_Linii'!U14="VALID")),AK924=0),""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*('Istoric_Nativ'!$Q$6:$Q$405&gt;H924))/AK924)</x:f>
      </x:c>
      <x:c r="Q924" s="10" t="str">
        <x:f>IF(OR(NOT(AND(J924="PASS",'Calibrare_Linii'!U14="VALID")),AL924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M71)+((('Istoric_Nativ'!$E$6:$E$405='Input_Meci'!E71)+('Istoric_Nativ'!$F$6:$F$405='Input_Meci'!E71))&gt;0)*('Istoric_Nativ'!$D$6:$D$405&gt;='Motor_Meciuri'!BN71))&gt;0)*('Istoric_Nativ'!$Q$6:$Q$405&gt;H924))/AL924)</x:f>
      </x:c>
      <x:c r="R924" s="10" t="str">
        <x:f>IF(OR(NOT(AND(J924="PASS",'Calibrare_Linii'!U14="VALID")),AM924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O71)+((('Istoric_Nativ'!$E$6:$E$405='Input_Meci'!E71)+('Istoric_Nativ'!$F$6:$F$405='Input_Meci'!E71))&gt;0)*('Istoric_Nativ'!$D$6:$D$405&gt;='Motor_Meciuri'!BP71))&gt;0)*('Istoric_Nativ'!$Q$6:$Q$405&gt;H924))/AM924)</x:f>
      </x:c>
      <x:c r="S924" s="10" t="str">
        <x:f>IF(M924="","",MAX(O924,P924,Q924,R924))</x:f>
      </x:c>
      <x:c r="T924" s="11" t="str">
        <x:f>IF(M924="","",MIN(100,S924*100*'Config_v6'!$B$44+MIN(100,L924/'Config_v6'!$B$13*100)*'Config_v6'!$B$45+(100-'Motor_Meciuri'!BF71)*'Config_v6'!$B$46+'Motor_Meciuri'!BH71*100*'Config_v6'!$B$47))</x:f>
      </x:c>
      <x:c r="U924" s="2" t="str">
        <x:f>IF(T924="","",IF(T924&lt;=20,1,IF(T924&lt;=40,2,IF(T924&lt;=60,3,IF(T924&lt;=80,4,5)))))</x:f>
      </x:c>
      <x:c r="V924" s="2" t="str">
        <x:f>IF(M924="","",MAX(0,'Motor_Meciuri'!BF71-IF(W924="OOS PENDING",'Config_v6'!$B$35,0)-IF(L924&gt;'Config_v6'!$B$12,'Config_v6'!$B$37,IF(L924&gt;'Config_v6'!$B$11,'Config_v6'!$B$36,0))))</x:f>
      </x:c>
      <x:c r="W924" s="2" t="str">
        <x:f>IF(B924="","",IF(I924&lt;&gt;"READY","NOT RELEASED",IF(NOT(AND(J924="PASS",'Calibrare_Linii'!U14="VALID")),"INVALID",IF(NOT(AND('Calibrare_Linii'!S14="VALIDATED",AND('Calibrare_Linii'!H14=C924,ISNUMBER('Calibrare_Linii'!J14),'Calibrare_Linii'!J14&lt;='Input_Meci'!G71))),"OOS PENDING",IF(S924&lt;='Calibrare_Linii'!E14,"PASS",IF(S924&lt;='Calibrare_Linii'!F14,"PENALTY","WATCH"))))))</x:f>
      </x:c>
      <x:c r="X924" s="2" t="str">
        <x:f>IF(M924="","",IF(AND(AND(J924="PASS",'Calibrare_Linii'!U14="VALID"),'Motor_Meciuri'!K71=12,'Motor_Meciuri'!L71=12,'Motor_Meciuri'!M71="NO",'Motor_Meciuri'!BL71='Motor_Meciuri'!C71,AB924&gt;='Config_v6'!$B$50,AN924&gt;='Config_v6'!$B$51,T924&lt;='Config_v6'!$B$52,L924&lt;='Config_v6'!$B$53,ISNUMBER('Calibrare_Linii'!E14),S924&lt;='Calibrare_Linii'!E14,SUM(AK924:AM924)&gt;0),"CANDIDATE","NO"))</x:f>
      </x:c>
      <x:c r="Y924" s="2" t="str">
        <x:f>IF(B924="","",IF(I924&lt;&gt;"READY","NOT RELEASED",IF(AND(X924="CANDIDATE",V924&gt;='Config_v6'!$B$51,W924="PASS",'Calibrare_Linii'!T14="VALIDATED",AND('Calibrare_Linii'!H14=C924,ISNUMBER('Calibrare_Linii'!J14),'Calibrare_Linii'!J14&lt;='Input_Meci'!G71)),"PASS",IF(X924="CANDIDATE","OOS PENDING","FAIL"))))</x:f>
      </x:c>
      <x:c r="Z924" s="2" t="str">
        <x:f>IF(B924="","",IF(I924&lt;&gt;"READY","",IF(OR(NOT(AND(J924="PASS",'Calibrare_Linii'!U14="VALID")),L924&gt;'Config_v6'!$B$13,W924="WATCH"),5,IF(Y924="PASS",1,MIN(5,MAX('Config_v6'!$B$42,U924)+IF(W924="PENALTY",1,0))))))</x:f>
      </x:c>
      <x:c r="AA924" s="2" t="str">
        <x:f>IF(B924="","",IF(I924&lt;&gt;"READY","NOT RELEASED",IF(Z924=5,"NO BET",IF(OR(AB924&lt;'Config_v6'!$B$16,V924&lt;'Config_v6'!$B$18),"WATCH",IF(Z924=1,"DEFENSIV",IF(Z924=2,"PRUDENT",IF(Z924=3,"MODERAT","RIDICAT")))))))</x:f>
      </x:c>
      <x:c r="AB924" s="10" t="str">
        <x:f>IF(N924="","",MIN(N924,1-S924))</x:f>
      </x:c>
      <x:c r="AC924" s="2" t="str">
        <x:f>IF(AD924&lt;&gt;1,"",COUNTIFS($Z$916:$Z$929,"&lt;"&amp;Z924,$AD$916:$AD$929,1)+COUNTIFS($Z$916:$Z$929,Z924,$AB$916:$AB$929,"&gt;"&amp;AB924,$AD$916:$AD$929,1)+COUNTIFS($Z$916:$Z$929,Z924,$AB$916:$AB$929,AB924,$V$916:$V$929,"&gt;"&amp;V924,$AD$916:$AD$929,1)+COUNTIFS($Z$916:Z924,Z924,$AB$916:AB924,AB924,$V$916:V924,V924,$AD$916:AD924,1))</x:f>
      </x:c>
      <x:c r="AD924" s="2" t="n">
        <x:f>IF(OR(AA924="DEFENSIV",AA924="PRUDENT",AA924="MODERAT",AA924="RIDICAT"),1,0)</x:f>
        <x:v>0</x:v>
      </x:c>
      <x:c r="AE924" s="2" t="str">
        <x:f>IF(AD924&lt;&gt;1,"NO",IF(W924="PASS","YES",IF(W924="OOS PENDING","CONDITIONAL","NO")))</x:f>
        <x:v>NO</x:v>
      </x:c>
      <x:c r="AF924" s="2" t="n">
        <x:f>IF(AND(AD924=1,AC924=1,E924="LIVE"),1,0)</x:f>
        <x:v>0</x:v>
      </x:c>
      <x:c r="AG924" s="2" t="str">
        <x:f>IF(AF924&lt;&gt;1,"",'Dashboard'!P91)</x:f>
      </x:c>
      <x:c r="AH924" s="2" t="str">
        <x:f>IF(B924="","",IF(J924&lt;&gt;"PASS",'Motor_Meciuri'!J71,IF('Calibrare_Linii'!U14&lt;&gt;"VALID","Parametri linie invalizi",IF(L924&gt;'Config_v6'!$B$13,"Dispersie peste limita",IF(W924="WATCH","Failure peste limita",IF(AB924&lt;'Config_v6'!$B$16,"P finala sub prag",IF(V924&lt;'Config_v6'!$B$18,"Confidence sub prag",IF(E924="REPLAY","Exemplu retrospectiv; exclus din Top LIVE",IF(Y924="PASS","DEFENSIV validat",IF(W924="OOS PENDING","Eligibil; calibrare linie in monitorizare","Eligibil"))))))))))</x:f>
      </x:c>
      <x:c r="AI924" s="2" t="str">
        <x:f>IF(B924="","",'Calibrare_Linii'!V14)</x:f>
      </x:c>
      <x:c r="AJ924" s="2" t="str">
        <x:f>IF(B924="","",IF(AND('Calibrare_Linii'!T14="VALIDATED",AND('Calibrare_Linii'!H14=C924,ISNUMBER('Calibrare_Linii'!J14),'Calibrare_Linii'!J14&lt;='Input_Meci'!G71)),"DEFENSIVE VALIDATED",IF(AND('Calibrare_Linii'!S14="VALIDATED",AND('Calibrare_Linii'!H14=C924,ISNUMBER('Calibrare_Linii'!J14),'Calibrare_Linii'!J14&lt;='Input_Meci'!G71)),"TAIL VALIDATED","OOS PENDING")))</x:f>
      </x:c>
      <x:c r="AK924" s="2" t="n">
        <x:f>IF(J924&lt;&gt;"PASS",0,'Motor_Meciuri'!BR71)</x:f>
        <x:v>0</x:v>
      </x:c>
      <x:c r="AL924" s="2" t="n">
        <x:f>IF(J924&lt;&gt;"PASS",0,'Motor_Meciuri'!BS71)</x:f>
        <x:v>0</x:v>
      </x:c>
      <x:c r="AM924" s="2" t="n">
        <x:f>IF(J924&lt;&gt;"PASS",0,'Motor_Meciuri'!BT71)</x:f>
        <x:v>0</x:v>
      </x:c>
      <x:c r="AN924" s="2" t="str">
        <x:f>IF(M924="","",MAX(0,'Motor_Meciuri'!BF71-IF(L924&gt;'Config_v6'!$B$12,'Config_v6'!$B$37,IF(L924&gt;'Config_v6'!$B$11,'Config_v6'!$B$36,0))))</x:f>
      </x:c>
    </x:row>
    <x:row r="925" ht="21" customHeight="1">
      <x:c r="A925" s="2" t="n">
        <x:v>66</x:v>
      </x:c>
      <x:c r="B925" s="2" t="str">
        <x:f>IF('Motor_Meciuri'!A71="","",'Motor_Meciuri'!A71)</x:f>
      </x:c>
      <x:c r="C925" s="2" t="str">
        <x:f>IF(B925="","",'Motor_Meciuri'!B71)</x:f>
      </x:c>
      <x:c r="D925" s="2" t="str">
        <x:f>IF(B925="","",'Motor_Meciuri'!D71)</x:f>
      </x:c>
      <x:c r="E925" s="2" t="str">
        <x:f>IF(B925="","",'Motor_Meciuri'!E71)</x:f>
      </x:c>
      <x:c r="F925" s="2" t="str">
        <x:v>U13,5</x:v>
      </x:c>
      <x:c r="G925" s="2" t="str">
        <x:v>UNDER</x:v>
      </x:c>
      <x:c r="H925" s="2" t="n">
        <x:v>13</x:v>
      </x:c>
      <x:c r="I925" s="2" t="str">
        <x:f>IF(B925="","",'Motor_Meciuri'!H71)</x:f>
      </x:c>
      <x:c r="J925" s="2" t="str">
        <x:f>IF(B925="","",'Motor_Meciuri'!I71)</x:f>
      </x:c>
      <x:c r="K925" s="11" t="str">
        <x:f>IF(J925&lt;&gt;"PASS","",'Motor_Meciuri'!BD71)</x:f>
      </x:c>
      <x:c r="L925" s="11" t="str">
        <x:f>IF(J925&lt;&gt;"PASS","",'Motor_Meciuri'!AU71)</x:f>
      </x:c>
      <x:c r="M925" s="10" t="str">
        <x:f>IF(NOT(AND(J925="PASS",'Calibrare_Linii'!U15="VALID")),"",'Distributie'!AK71)</x:f>
      </x:c>
      <x:c r="N925" s="10" t="str">
        <x:f>IF(M925="","",MAX(0.01,MIN(0.99,0.5+(M925-0.5)*'Motor_Meciuri'!BG71*'Calibrare_Linii'!D15)))</x:f>
      </x:c>
      <x:c r="O925" s="10" t="str">
        <x:f>IF(M925="","",1-M925)</x:f>
      </x:c>
      <x:c r="P925" s="10" t="str">
        <x:f>IF(OR(NOT(AND(J925="PASS",'Calibrare_Linii'!U15="VALID")),AK925=0),""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*('Istoric_Nativ'!$Q$6:$Q$405&gt;H925))/AK925)</x:f>
      </x:c>
      <x:c r="Q925" s="10" t="str">
        <x:f>IF(OR(NOT(AND(J925="PASS",'Calibrare_Linii'!U15="VALID")),AL925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M71)+((('Istoric_Nativ'!$E$6:$E$405='Input_Meci'!E71)+('Istoric_Nativ'!$F$6:$F$405='Input_Meci'!E71))&gt;0)*('Istoric_Nativ'!$D$6:$D$405&gt;='Motor_Meciuri'!BN71))&gt;0)*('Istoric_Nativ'!$Q$6:$Q$405&gt;H925))/AL925)</x:f>
      </x:c>
      <x:c r="R925" s="10" t="str">
        <x:f>IF(OR(NOT(AND(J925="PASS",'Calibrare_Linii'!U15="VALID")),AM925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O71)+((('Istoric_Nativ'!$E$6:$E$405='Input_Meci'!E71)+('Istoric_Nativ'!$F$6:$F$405='Input_Meci'!E71))&gt;0)*('Istoric_Nativ'!$D$6:$D$405&gt;='Motor_Meciuri'!BP71))&gt;0)*('Istoric_Nativ'!$Q$6:$Q$405&gt;H925))/AM925)</x:f>
      </x:c>
      <x:c r="S925" s="10" t="str">
        <x:f>IF(M925="","",MAX(O925,P925,Q925,R925))</x:f>
      </x:c>
      <x:c r="T925" s="11" t="str">
        <x:f>IF(M925="","",MIN(100,S925*100*'Config_v6'!$B$44+MIN(100,L925/'Config_v6'!$B$13*100)*'Config_v6'!$B$45+(100-'Motor_Meciuri'!BF71)*'Config_v6'!$B$46+'Motor_Meciuri'!BH71*100*'Config_v6'!$B$47))</x:f>
      </x:c>
      <x:c r="U925" s="2" t="str">
        <x:f>IF(T925="","",IF(T925&lt;=20,1,IF(T925&lt;=40,2,IF(T925&lt;=60,3,IF(T925&lt;=80,4,5)))))</x:f>
      </x:c>
      <x:c r="V925" s="2" t="str">
        <x:f>IF(M925="","",MAX(0,'Motor_Meciuri'!BF71-IF(W925="OOS PENDING",'Config_v6'!$B$35,0)-IF(L925&gt;'Config_v6'!$B$12,'Config_v6'!$B$37,IF(L925&gt;'Config_v6'!$B$11,'Config_v6'!$B$36,0))))</x:f>
      </x:c>
      <x:c r="W925" s="2" t="str">
        <x:f>IF(B925="","",IF(I925&lt;&gt;"READY","NOT RELEASED",IF(NOT(AND(J925="PASS",'Calibrare_Linii'!U15="VALID")),"INVALID",IF(NOT(AND('Calibrare_Linii'!S15="VALIDATED",AND('Calibrare_Linii'!H15=C925,ISNUMBER('Calibrare_Linii'!J15),'Calibrare_Linii'!J15&lt;='Input_Meci'!G71))),"OOS PENDING",IF(S925&lt;='Calibrare_Linii'!E15,"PASS",IF(S925&lt;='Calibrare_Linii'!F15,"PENALTY","WATCH"))))))</x:f>
      </x:c>
      <x:c r="X925" s="2" t="str">
        <x:f>IF(M925="","",IF(AND(AND(J925="PASS",'Calibrare_Linii'!U15="VALID"),'Motor_Meciuri'!K71=12,'Motor_Meciuri'!L71=12,'Motor_Meciuri'!M71="NO",'Motor_Meciuri'!BL71='Motor_Meciuri'!C71,AB925&gt;='Config_v6'!$B$50,AN925&gt;='Config_v6'!$B$51,T925&lt;='Config_v6'!$B$52,L925&lt;='Config_v6'!$B$53,ISNUMBER('Calibrare_Linii'!E15),S925&lt;='Calibrare_Linii'!E15,SUM(AK925:AM925)&gt;0),"CANDIDATE","NO"))</x:f>
      </x:c>
      <x:c r="Y925" s="2" t="str">
        <x:f>IF(B925="","",IF(I925&lt;&gt;"READY","NOT RELEASED",IF(AND(X925="CANDIDATE",V925&gt;='Config_v6'!$B$51,W925="PASS",'Calibrare_Linii'!T15="VALIDATED",AND('Calibrare_Linii'!H15=C925,ISNUMBER('Calibrare_Linii'!J15),'Calibrare_Linii'!J15&lt;='Input_Meci'!G71)),"PASS",IF(X925="CANDIDATE","OOS PENDING","FAIL"))))</x:f>
      </x:c>
      <x:c r="Z925" s="2" t="str">
        <x:f>IF(B925="","",IF(I925&lt;&gt;"READY","",IF(OR(NOT(AND(J925="PASS",'Calibrare_Linii'!U15="VALID")),L925&gt;'Config_v6'!$B$13,W925="WATCH"),5,IF(Y925="PASS",1,MIN(5,MAX('Config_v6'!$B$42,U925)+IF(W925="PENALTY",1,0))))))</x:f>
      </x:c>
      <x:c r="AA925" s="2" t="str">
        <x:f>IF(B925="","",IF(I925&lt;&gt;"READY","NOT RELEASED",IF(Z925=5,"NO BET",IF(OR(AB925&lt;'Config_v6'!$B$16,V925&lt;'Config_v6'!$B$18),"WATCH",IF(Z925=1,"DEFENSIV",IF(Z925=2,"PRUDENT",IF(Z925=3,"MODERAT","RIDICAT")))))))</x:f>
      </x:c>
      <x:c r="AB925" s="10" t="str">
        <x:f>IF(N925="","",MIN(N925,1-S925))</x:f>
      </x:c>
      <x:c r="AC925" s="2" t="str">
        <x:f>IF(AD925&lt;&gt;1,"",COUNTIFS($Z$916:$Z$929,"&lt;"&amp;Z925,$AD$916:$AD$929,1)+COUNTIFS($Z$916:$Z$929,Z925,$AB$916:$AB$929,"&gt;"&amp;AB925,$AD$916:$AD$929,1)+COUNTIFS($Z$916:$Z$929,Z925,$AB$916:$AB$929,AB925,$V$916:$V$929,"&gt;"&amp;V925,$AD$916:$AD$929,1)+COUNTIFS($Z$916:Z925,Z925,$AB$916:AB925,AB925,$V$916:V925,V925,$AD$916:AD925,1))</x:f>
      </x:c>
      <x:c r="AD925" s="2" t="n">
        <x:f>IF(OR(AA925="DEFENSIV",AA925="PRUDENT",AA925="MODERAT",AA925="RIDICAT"),1,0)</x:f>
        <x:v>0</x:v>
      </x:c>
      <x:c r="AE925" s="2" t="str">
        <x:f>IF(AD925&lt;&gt;1,"NO",IF(W925="PASS","YES",IF(W925="OOS PENDING","CONDITIONAL","NO")))</x:f>
        <x:v>NO</x:v>
      </x:c>
      <x:c r="AF925" s="2" t="n">
        <x:f>IF(AND(AD925=1,AC925=1,E925="LIVE"),1,0)</x:f>
        <x:v>0</x:v>
      </x:c>
      <x:c r="AG925" s="2" t="str">
        <x:f>IF(AF925&lt;&gt;1,"",'Dashboard'!P91)</x:f>
      </x:c>
      <x:c r="AH925" s="2" t="str">
        <x:f>IF(B925="","",IF(J925&lt;&gt;"PASS",'Motor_Meciuri'!J71,IF('Calibrare_Linii'!U15&lt;&gt;"VALID","Parametri linie invalizi",IF(L925&gt;'Config_v6'!$B$13,"Dispersie peste limita",IF(W925="WATCH","Failure peste limita",IF(AB925&lt;'Config_v6'!$B$16,"P finala sub prag",IF(V925&lt;'Config_v6'!$B$18,"Confidence sub prag",IF(E925="REPLAY","Exemplu retrospectiv; exclus din Top LIVE",IF(Y925="PASS","DEFENSIV validat",IF(W925="OOS PENDING","Eligibil; calibrare linie in monitorizare","Eligibil"))))))))))</x:f>
      </x:c>
      <x:c r="AI925" s="2" t="str">
        <x:f>IF(B925="","",'Calibrare_Linii'!V15)</x:f>
      </x:c>
      <x:c r="AJ925" s="2" t="str">
        <x:f>IF(B925="","",IF(AND('Calibrare_Linii'!T15="VALIDATED",AND('Calibrare_Linii'!H15=C925,ISNUMBER('Calibrare_Linii'!J15),'Calibrare_Linii'!J15&lt;='Input_Meci'!G71)),"DEFENSIVE VALIDATED",IF(AND('Calibrare_Linii'!S15="VALIDATED",AND('Calibrare_Linii'!H15=C925,ISNUMBER('Calibrare_Linii'!J15),'Calibrare_Linii'!J15&lt;='Input_Meci'!G71)),"TAIL VALIDATED","OOS PENDING")))</x:f>
      </x:c>
      <x:c r="AK925" s="2" t="n">
        <x:f>IF(J925&lt;&gt;"PASS",0,'Motor_Meciuri'!BR71)</x:f>
        <x:v>0</x:v>
      </x:c>
      <x:c r="AL925" s="2" t="n">
        <x:f>IF(J925&lt;&gt;"PASS",0,'Motor_Meciuri'!BS71)</x:f>
        <x:v>0</x:v>
      </x:c>
      <x:c r="AM925" s="2" t="n">
        <x:f>IF(J925&lt;&gt;"PASS",0,'Motor_Meciuri'!BT71)</x:f>
        <x:v>0</x:v>
      </x:c>
      <x:c r="AN925" s="2" t="str">
        <x:f>IF(M925="","",MAX(0,'Motor_Meciuri'!BF71-IF(L925&gt;'Config_v6'!$B$12,'Config_v6'!$B$37,IF(L925&gt;'Config_v6'!$B$11,'Config_v6'!$B$36,0))))</x:f>
      </x:c>
    </x:row>
    <x:row r="926" ht="21" customHeight="1">
      <x:c r="A926" s="2" t="n">
        <x:v>66</x:v>
      </x:c>
      <x:c r="B926" s="2" t="str">
        <x:f>IF('Motor_Meciuri'!A71="","",'Motor_Meciuri'!A71)</x:f>
      </x:c>
      <x:c r="C926" s="2" t="str">
        <x:f>IF(B926="","",'Motor_Meciuri'!B71)</x:f>
      </x:c>
      <x:c r="D926" s="2" t="str">
        <x:f>IF(B926="","",'Motor_Meciuri'!D71)</x:f>
      </x:c>
      <x:c r="E926" s="2" t="str">
        <x:f>IF(B926="","",'Motor_Meciuri'!E71)</x:f>
      </x:c>
      <x:c r="F926" s="2" t="str">
        <x:v>U14,5</x:v>
      </x:c>
      <x:c r="G926" s="2" t="str">
        <x:v>UNDER</x:v>
      </x:c>
      <x:c r="H926" s="2" t="n">
        <x:v>14</x:v>
      </x:c>
      <x:c r="I926" s="2" t="str">
        <x:f>IF(B926="","",'Motor_Meciuri'!H71)</x:f>
      </x:c>
      <x:c r="J926" s="2" t="str">
        <x:f>IF(B926="","",'Motor_Meciuri'!I71)</x:f>
      </x:c>
      <x:c r="K926" s="11" t="str">
        <x:f>IF(J926&lt;&gt;"PASS","",'Motor_Meciuri'!BD71)</x:f>
      </x:c>
      <x:c r="L926" s="11" t="str">
        <x:f>IF(J926&lt;&gt;"PASS","",'Motor_Meciuri'!AU71)</x:f>
      </x:c>
      <x:c r="M926" s="10" t="str">
        <x:f>IF(NOT(AND(J926="PASS",'Calibrare_Linii'!U16="VALID")),"",'Distributie'!AL71)</x:f>
      </x:c>
      <x:c r="N926" s="10" t="str">
        <x:f>IF(M926="","",MAX(0.01,MIN(0.99,0.5+(M926-0.5)*'Motor_Meciuri'!BG71*'Calibrare_Linii'!D16)))</x:f>
      </x:c>
      <x:c r="O926" s="10" t="str">
        <x:f>IF(M926="","",1-M926)</x:f>
      </x:c>
      <x:c r="P926" s="10" t="str">
        <x:f>IF(OR(NOT(AND(J926="PASS",'Calibrare_Linii'!U16="VALID")),AK926=0),""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*('Istoric_Nativ'!$Q$6:$Q$405&gt;H926))/AK926)</x:f>
      </x:c>
      <x:c r="Q926" s="10" t="str">
        <x:f>IF(OR(NOT(AND(J926="PASS",'Calibrare_Linii'!U16="VALID")),AL926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M71)+((('Istoric_Nativ'!$E$6:$E$405='Input_Meci'!E71)+('Istoric_Nativ'!$F$6:$F$405='Input_Meci'!E71))&gt;0)*('Istoric_Nativ'!$D$6:$D$405&gt;='Motor_Meciuri'!BN71))&gt;0)*('Istoric_Nativ'!$Q$6:$Q$405&gt;H926))/AL926)</x:f>
      </x:c>
      <x:c r="R926" s="10" t="str">
        <x:f>IF(OR(NOT(AND(J926="PASS",'Calibrare_Linii'!U16="VALID")),AM926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O71)+((('Istoric_Nativ'!$E$6:$E$405='Input_Meci'!E71)+('Istoric_Nativ'!$F$6:$F$405='Input_Meci'!E71))&gt;0)*('Istoric_Nativ'!$D$6:$D$405&gt;='Motor_Meciuri'!BP71))&gt;0)*('Istoric_Nativ'!$Q$6:$Q$405&gt;H926))/AM926)</x:f>
      </x:c>
      <x:c r="S926" s="10" t="str">
        <x:f>IF(M926="","",MAX(O926,P926,Q926,R926))</x:f>
      </x:c>
      <x:c r="T926" s="11" t="str">
        <x:f>IF(M926="","",MIN(100,S926*100*'Config_v6'!$B$44+MIN(100,L926/'Config_v6'!$B$13*100)*'Config_v6'!$B$45+(100-'Motor_Meciuri'!BF71)*'Config_v6'!$B$46+'Motor_Meciuri'!BH71*100*'Config_v6'!$B$47))</x:f>
      </x:c>
      <x:c r="U926" s="2" t="str">
        <x:f>IF(T926="","",IF(T926&lt;=20,1,IF(T926&lt;=40,2,IF(T926&lt;=60,3,IF(T926&lt;=80,4,5)))))</x:f>
      </x:c>
      <x:c r="V926" s="2" t="str">
        <x:f>IF(M926="","",MAX(0,'Motor_Meciuri'!BF71-IF(W926="OOS PENDING",'Config_v6'!$B$35,0)-IF(L926&gt;'Config_v6'!$B$12,'Config_v6'!$B$37,IF(L926&gt;'Config_v6'!$B$11,'Config_v6'!$B$36,0))))</x:f>
      </x:c>
      <x:c r="W926" s="2" t="str">
        <x:f>IF(B926="","",IF(I926&lt;&gt;"READY","NOT RELEASED",IF(NOT(AND(J926="PASS",'Calibrare_Linii'!U16="VALID")),"INVALID",IF(NOT(AND('Calibrare_Linii'!S16="VALIDATED",AND('Calibrare_Linii'!H16=C926,ISNUMBER('Calibrare_Linii'!J16),'Calibrare_Linii'!J16&lt;='Input_Meci'!G71))),"OOS PENDING",IF(S926&lt;='Calibrare_Linii'!E16,"PASS",IF(S926&lt;='Calibrare_Linii'!F16,"PENALTY","WATCH"))))))</x:f>
      </x:c>
      <x:c r="X926" s="2" t="str">
        <x:f>IF(M926="","",IF(AND(AND(J926="PASS",'Calibrare_Linii'!U16="VALID"),'Motor_Meciuri'!K71=12,'Motor_Meciuri'!L71=12,'Motor_Meciuri'!M71="NO",'Motor_Meciuri'!BL71='Motor_Meciuri'!C71,AB926&gt;='Config_v6'!$B$50,AN926&gt;='Config_v6'!$B$51,T926&lt;='Config_v6'!$B$52,L926&lt;='Config_v6'!$B$53,ISNUMBER('Calibrare_Linii'!E16),S926&lt;='Calibrare_Linii'!E16,SUM(AK926:AM926)&gt;0),"CANDIDATE","NO"))</x:f>
      </x:c>
      <x:c r="Y926" s="2" t="str">
        <x:f>IF(B926="","",IF(I926&lt;&gt;"READY","NOT RELEASED",IF(AND(X926="CANDIDATE",V926&gt;='Config_v6'!$B$51,W926="PASS",'Calibrare_Linii'!T16="VALIDATED",AND('Calibrare_Linii'!H16=C926,ISNUMBER('Calibrare_Linii'!J16),'Calibrare_Linii'!J16&lt;='Input_Meci'!G71)),"PASS",IF(X926="CANDIDATE","OOS PENDING","FAIL"))))</x:f>
      </x:c>
      <x:c r="Z926" s="2" t="str">
        <x:f>IF(B926="","",IF(I926&lt;&gt;"READY","",IF(OR(NOT(AND(J926="PASS",'Calibrare_Linii'!U16="VALID")),L926&gt;'Config_v6'!$B$13,W926="WATCH"),5,IF(Y926="PASS",1,MIN(5,MAX('Config_v6'!$B$42,U926)+IF(W926="PENALTY",1,0))))))</x:f>
      </x:c>
      <x:c r="AA926" s="2" t="str">
        <x:f>IF(B926="","",IF(I926&lt;&gt;"READY","NOT RELEASED",IF(Z926=5,"NO BET",IF(OR(AB926&lt;'Config_v6'!$B$16,V926&lt;'Config_v6'!$B$18),"WATCH",IF(Z926=1,"DEFENSIV",IF(Z926=2,"PRUDENT",IF(Z926=3,"MODERAT","RIDICAT")))))))</x:f>
      </x:c>
      <x:c r="AB926" s="10" t="str">
        <x:f>IF(N926="","",MIN(N926,1-S926))</x:f>
      </x:c>
      <x:c r="AC926" s="2" t="str">
        <x:f>IF(AD926&lt;&gt;1,"",COUNTIFS($Z$916:$Z$929,"&lt;"&amp;Z926,$AD$916:$AD$929,1)+COUNTIFS($Z$916:$Z$929,Z926,$AB$916:$AB$929,"&gt;"&amp;AB926,$AD$916:$AD$929,1)+COUNTIFS($Z$916:$Z$929,Z926,$AB$916:$AB$929,AB926,$V$916:$V$929,"&gt;"&amp;V926,$AD$916:$AD$929,1)+COUNTIFS($Z$916:Z926,Z926,$AB$916:AB926,AB926,$V$916:V926,V926,$AD$916:AD926,1))</x:f>
      </x:c>
      <x:c r="AD926" s="2" t="n">
        <x:f>IF(OR(AA926="DEFENSIV",AA926="PRUDENT",AA926="MODERAT",AA926="RIDICAT"),1,0)</x:f>
        <x:v>0</x:v>
      </x:c>
      <x:c r="AE926" s="2" t="str">
        <x:f>IF(AD926&lt;&gt;1,"NO",IF(W926="PASS","YES",IF(W926="OOS PENDING","CONDITIONAL","NO")))</x:f>
        <x:v>NO</x:v>
      </x:c>
      <x:c r="AF926" s="2" t="n">
        <x:f>IF(AND(AD926=1,AC926=1,E926="LIVE"),1,0)</x:f>
        <x:v>0</x:v>
      </x:c>
      <x:c r="AG926" s="2" t="str">
        <x:f>IF(AF926&lt;&gt;1,"",'Dashboard'!P91)</x:f>
      </x:c>
      <x:c r="AH926" s="2" t="str">
        <x:f>IF(B926="","",IF(J926&lt;&gt;"PASS",'Motor_Meciuri'!J71,IF('Calibrare_Linii'!U16&lt;&gt;"VALID","Parametri linie invalizi",IF(L926&gt;'Config_v6'!$B$13,"Dispersie peste limita",IF(W926="WATCH","Failure peste limita",IF(AB926&lt;'Config_v6'!$B$16,"P finala sub prag",IF(V926&lt;'Config_v6'!$B$18,"Confidence sub prag",IF(E926="REPLAY","Exemplu retrospectiv; exclus din Top LIVE",IF(Y926="PASS","DEFENSIV validat",IF(W926="OOS PENDING","Eligibil; calibrare linie in monitorizare","Eligibil"))))))))))</x:f>
      </x:c>
      <x:c r="AI926" s="2" t="str">
        <x:f>IF(B926="","",'Calibrare_Linii'!V16)</x:f>
      </x:c>
      <x:c r="AJ926" s="2" t="str">
        <x:f>IF(B926="","",IF(AND('Calibrare_Linii'!T16="VALIDATED",AND('Calibrare_Linii'!H16=C926,ISNUMBER('Calibrare_Linii'!J16),'Calibrare_Linii'!J16&lt;='Input_Meci'!G71)),"DEFENSIVE VALIDATED",IF(AND('Calibrare_Linii'!S16="VALIDATED",AND('Calibrare_Linii'!H16=C926,ISNUMBER('Calibrare_Linii'!J16),'Calibrare_Linii'!J16&lt;='Input_Meci'!G71)),"TAIL VALIDATED","OOS PENDING")))</x:f>
      </x:c>
      <x:c r="AK926" s="2" t="n">
        <x:f>IF(J926&lt;&gt;"PASS",0,'Motor_Meciuri'!BR71)</x:f>
        <x:v>0</x:v>
      </x:c>
      <x:c r="AL926" s="2" t="n">
        <x:f>IF(J926&lt;&gt;"PASS",0,'Motor_Meciuri'!BS71)</x:f>
        <x:v>0</x:v>
      </x:c>
      <x:c r="AM926" s="2" t="n">
        <x:f>IF(J926&lt;&gt;"PASS",0,'Motor_Meciuri'!BT71)</x:f>
        <x:v>0</x:v>
      </x:c>
      <x:c r="AN926" s="2" t="str">
        <x:f>IF(M926="","",MAX(0,'Motor_Meciuri'!BF71-IF(L926&gt;'Config_v6'!$B$12,'Config_v6'!$B$37,IF(L926&gt;'Config_v6'!$B$11,'Config_v6'!$B$36,0))))</x:f>
      </x:c>
    </x:row>
    <x:row r="927" ht="21" customHeight="1">
      <x:c r="A927" s="2" t="n">
        <x:v>66</x:v>
      </x:c>
      <x:c r="B927" s="2" t="str">
        <x:f>IF('Motor_Meciuri'!A71="","",'Motor_Meciuri'!A71)</x:f>
      </x:c>
      <x:c r="C927" s="2" t="str">
        <x:f>IF(B927="","",'Motor_Meciuri'!B71)</x:f>
      </x:c>
      <x:c r="D927" s="2" t="str">
        <x:f>IF(B927="","",'Motor_Meciuri'!D71)</x:f>
      </x:c>
      <x:c r="E927" s="2" t="str">
        <x:f>IF(B927="","",'Motor_Meciuri'!E71)</x:f>
      </x:c>
      <x:c r="F927" s="2" t="str">
        <x:v>U15,5</x:v>
      </x:c>
      <x:c r="G927" s="2" t="str">
        <x:v>UNDER</x:v>
      </x:c>
      <x:c r="H927" s="2" t="n">
        <x:v>15</x:v>
      </x:c>
      <x:c r="I927" s="2" t="str">
        <x:f>IF(B927="","",'Motor_Meciuri'!H71)</x:f>
      </x:c>
      <x:c r="J927" s="2" t="str">
        <x:f>IF(B927="","",'Motor_Meciuri'!I71)</x:f>
      </x:c>
      <x:c r="K927" s="11" t="str">
        <x:f>IF(J927&lt;&gt;"PASS","",'Motor_Meciuri'!BD71)</x:f>
      </x:c>
      <x:c r="L927" s="11" t="str">
        <x:f>IF(J927&lt;&gt;"PASS","",'Motor_Meciuri'!AU71)</x:f>
      </x:c>
      <x:c r="M927" s="10" t="str">
        <x:f>IF(NOT(AND(J927="PASS",'Calibrare_Linii'!U17="VALID")),"",'Distributie'!AM71)</x:f>
      </x:c>
      <x:c r="N927" s="10" t="str">
        <x:f>IF(M927="","",MAX(0.01,MIN(0.99,0.5+(M927-0.5)*'Motor_Meciuri'!BG71*'Calibrare_Linii'!D17)))</x:f>
      </x:c>
      <x:c r="O927" s="10" t="str">
        <x:f>IF(M927="","",1-M927)</x:f>
      </x:c>
      <x:c r="P927" s="10" t="str">
        <x:f>IF(OR(NOT(AND(J927="PASS",'Calibrare_Linii'!U17="VALID")),AK927=0),""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*('Istoric_Nativ'!$Q$6:$Q$405&gt;H927))/AK927)</x:f>
      </x:c>
      <x:c r="Q927" s="10" t="str">
        <x:f>IF(OR(NOT(AND(J927="PASS",'Calibrare_Linii'!U17="VALID")),AL927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M71)+((('Istoric_Nativ'!$E$6:$E$405='Input_Meci'!E71)+('Istoric_Nativ'!$F$6:$F$405='Input_Meci'!E71))&gt;0)*('Istoric_Nativ'!$D$6:$D$405&gt;='Motor_Meciuri'!BN71))&gt;0)*('Istoric_Nativ'!$Q$6:$Q$405&gt;H927))/AL927)</x:f>
      </x:c>
      <x:c r="R927" s="10" t="str">
        <x:f>IF(OR(NOT(AND(J927="PASS",'Calibrare_Linii'!U17="VALID")),AM927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O71)+((('Istoric_Nativ'!$E$6:$E$405='Input_Meci'!E71)+('Istoric_Nativ'!$F$6:$F$405='Input_Meci'!E71))&gt;0)*('Istoric_Nativ'!$D$6:$D$405&gt;='Motor_Meciuri'!BP71))&gt;0)*('Istoric_Nativ'!$Q$6:$Q$405&gt;H927))/AM927)</x:f>
      </x:c>
      <x:c r="S927" s="10" t="str">
        <x:f>IF(M927="","",MAX(O927,P927,Q927,R927))</x:f>
      </x:c>
      <x:c r="T927" s="11" t="str">
        <x:f>IF(M927="","",MIN(100,S927*100*'Config_v6'!$B$44+MIN(100,L927/'Config_v6'!$B$13*100)*'Config_v6'!$B$45+(100-'Motor_Meciuri'!BF71)*'Config_v6'!$B$46+'Motor_Meciuri'!BH71*100*'Config_v6'!$B$47))</x:f>
      </x:c>
      <x:c r="U927" s="2" t="str">
        <x:f>IF(T927="","",IF(T927&lt;=20,1,IF(T927&lt;=40,2,IF(T927&lt;=60,3,IF(T927&lt;=80,4,5)))))</x:f>
      </x:c>
      <x:c r="V927" s="2" t="str">
        <x:f>IF(M927="","",MAX(0,'Motor_Meciuri'!BF71-IF(W927="OOS PENDING",'Config_v6'!$B$35,0)-IF(L927&gt;'Config_v6'!$B$12,'Config_v6'!$B$37,IF(L927&gt;'Config_v6'!$B$11,'Config_v6'!$B$36,0))))</x:f>
      </x:c>
      <x:c r="W927" s="2" t="str">
        <x:f>IF(B927="","",IF(I927&lt;&gt;"READY","NOT RELEASED",IF(NOT(AND(J927="PASS",'Calibrare_Linii'!U17="VALID")),"INVALID",IF(NOT(AND('Calibrare_Linii'!S17="VALIDATED",AND('Calibrare_Linii'!H17=C927,ISNUMBER('Calibrare_Linii'!J17),'Calibrare_Linii'!J17&lt;='Input_Meci'!G71))),"OOS PENDING",IF(S927&lt;='Calibrare_Linii'!E17,"PASS",IF(S927&lt;='Calibrare_Linii'!F17,"PENALTY","WATCH"))))))</x:f>
      </x:c>
      <x:c r="X927" s="2" t="str">
        <x:f>IF(M927="","",IF(AND(AND(J927="PASS",'Calibrare_Linii'!U17="VALID"),'Motor_Meciuri'!K71=12,'Motor_Meciuri'!L71=12,'Motor_Meciuri'!M71="NO",'Motor_Meciuri'!BL71='Motor_Meciuri'!C71,AB927&gt;='Config_v6'!$B$50,AN927&gt;='Config_v6'!$B$51,T927&lt;='Config_v6'!$B$52,L927&lt;='Config_v6'!$B$53,ISNUMBER('Calibrare_Linii'!E17),S927&lt;='Calibrare_Linii'!E17,SUM(AK927:AM927)&gt;0),"CANDIDATE","NO"))</x:f>
      </x:c>
      <x:c r="Y927" s="2" t="str">
        <x:f>IF(B927="","",IF(I927&lt;&gt;"READY","NOT RELEASED",IF(AND(X927="CANDIDATE",V927&gt;='Config_v6'!$B$51,W927="PASS",'Calibrare_Linii'!T17="VALIDATED",AND('Calibrare_Linii'!H17=C927,ISNUMBER('Calibrare_Linii'!J17),'Calibrare_Linii'!J17&lt;='Input_Meci'!G71)),"PASS",IF(X927="CANDIDATE","OOS PENDING","FAIL"))))</x:f>
      </x:c>
      <x:c r="Z927" s="2" t="str">
        <x:f>IF(B927="","",IF(I927&lt;&gt;"READY","",IF(OR(NOT(AND(J927="PASS",'Calibrare_Linii'!U17="VALID")),L927&gt;'Config_v6'!$B$13,W927="WATCH"),5,IF(Y927="PASS",1,MIN(5,MAX('Config_v6'!$B$42,U927)+IF(W927="PENALTY",1,0))))))</x:f>
      </x:c>
      <x:c r="AA927" s="2" t="str">
        <x:f>IF(B927="","",IF(I927&lt;&gt;"READY","NOT RELEASED",IF(Z927=5,"NO BET",IF(OR(AB927&lt;'Config_v6'!$B$16,V927&lt;'Config_v6'!$B$18),"WATCH",IF(Z927=1,"DEFENSIV",IF(Z927=2,"PRUDENT",IF(Z927=3,"MODERAT","RIDICAT")))))))</x:f>
      </x:c>
      <x:c r="AB927" s="10" t="str">
        <x:f>IF(N927="","",MIN(N927,1-S927))</x:f>
      </x:c>
      <x:c r="AC927" s="2" t="str">
        <x:f>IF(AD927&lt;&gt;1,"",COUNTIFS($Z$916:$Z$929,"&lt;"&amp;Z927,$AD$916:$AD$929,1)+COUNTIFS($Z$916:$Z$929,Z927,$AB$916:$AB$929,"&gt;"&amp;AB927,$AD$916:$AD$929,1)+COUNTIFS($Z$916:$Z$929,Z927,$AB$916:$AB$929,AB927,$V$916:$V$929,"&gt;"&amp;V927,$AD$916:$AD$929,1)+COUNTIFS($Z$916:Z927,Z927,$AB$916:AB927,AB927,$V$916:V927,V927,$AD$916:AD927,1))</x:f>
      </x:c>
      <x:c r="AD927" s="2" t="n">
        <x:f>IF(OR(AA927="DEFENSIV",AA927="PRUDENT",AA927="MODERAT",AA927="RIDICAT"),1,0)</x:f>
        <x:v>0</x:v>
      </x:c>
      <x:c r="AE927" s="2" t="str">
        <x:f>IF(AD927&lt;&gt;1,"NO",IF(W927="PASS","YES",IF(W927="OOS PENDING","CONDITIONAL","NO")))</x:f>
        <x:v>NO</x:v>
      </x:c>
      <x:c r="AF927" s="2" t="n">
        <x:f>IF(AND(AD927=1,AC927=1,E927="LIVE"),1,0)</x:f>
        <x:v>0</x:v>
      </x:c>
      <x:c r="AG927" s="2" t="str">
        <x:f>IF(AF927&lt;&gt;1,"",'Dashboard'!P91)</x:f>
      </x:c>
      <x:c r="AH927" s="2" t="str">
        <x:f>IF(B927="","",IF(J927&lt;&gt;"PASS",'Motor_Meciuri'!J71,IF('Calibrare_Linii'!U17&lt;&gt;"VALID","Parametri linie invalizi",IF(L927&gt;'Config_v6'!$B$13,"Dispersie peste limita",IF(W927="WATCH","Failure peste limita",IF(AB927&lt;'Config_v6'!$B$16,"P finala sub prag",IF(V927&lt;'Config_v6'!$B$18,"Confidence sub prag",IF(E927="REPLAY","Exemplu retrospectiv; exclus din Top LIVE",IF(Y927="PASS","DEFENSIV validat",IF(W927="OOS PENDING","Eligibil; calibrare linie in monitorizare","Eligibil"))))))))))</x:f>
      </x:c>
      <x:c r="AI927" s="2" t="str">
        <x:f>IF(B927="","",'Calibrare_Linii'!V17)</x:f>
      </x:c>
      <x:c r="AJ927" s="2" t="str">
        <x:f>IF(B927="","",IF(AND('Calibrare_Linii'!T17="VALIDATED",AND('Calibrare_Linii'!H17=C927,ISNUMBER('Calibrare_Linii'!J17),'Calibrare_Linii'!J17&lt;='Input_Meci'!G71)),"DEFENSIVE VALIDATED",IF(AND('Calibrare_Linii'!S17="VALIDATED",AND('Calibrare_Linii'!H17=C927,ISNUMBER('Calibrare_Linii'!J17),'Calibrare_Linii'!J17&lt;='Input_Meci'!G71)),"TAIL VALIDATED","OOS PENDING")))</x:f>
      </x:c>
      <x:c r="AK927" s="2" t="n">
        <x:f>IF(J927&lt;&gt;"PASS",0,'Motor_Meciuri'!BR71)</x:f>
        <x:v>0</x:v>
      </x:c>
      <x:c r="AL927" s="2" t="n">
        <x:f>IF(J927&lt;&gt;"PASS",0,'Motor_Meciuri'!BS71)</x:f>
        <x:v>0</x:v>
      </x:c>
      <x:c r="AM927" s="2" t="n">
        <x:f>IF(J927&lt;&gt;"PASS",0,'Motor_Meciuri'!BT71)</x:f>
        <x:v>0</x:v>
      </x:c>
      <x:c r="AN927" s="2" t="str">
        <x:f>IF(M927="","",MAX(0,'Motor_Meciuri'!BF71-IF(L927&gt;'Config_v6'!$B$12,'Config_v6'!$B$37,IF(L927&gt;'Config_v6'!$B$11,'Config_v6'!$B$36,0))))</x:f>
      </x:c>
    </x:row>
    <x:row r="928" ht="21" customHeight="1">
      <x:c r="A928" s="2" t="n">
        <x:v>66</x:v>
      </x:c>
      <x:c r="B928" s="2" t="str">
        <x:f>IF('Motor_Meciuri'!A71="","",'Motor_Meciuri'!A71)</x:f>
      </x:c>
      <x:c r="C928" s="2" t="str">
        <x:f>IF(B928="","",'Motor_Meciuri'!B71)</x:f>
      </x:c>
      <x:c r="D928" s="2" t="str">
        <x:f>IF(B928="","",'Motor_Meciuri'!D71)</x:f>
      </x:c>
      <x:c r="E928" s="2" t="str">
        <x:f>IF(B928="","",'Motor_Meciuri'!E71)</x:f>
      </x:c>
      <x:c r="F928" s="2" t="str">
        <x:v>U16,5</x:v>
      </x:c>
      <x:c r="G928" s="2" t="str">
        <x:v>UNDER</x:v>
      </x:c>
      <x:c r="H928" s="2" t="n">
        <x:v>16</x:v>
      </x:c>
      <x:c r="I928" s="2" t="str">
        <x:f>IF(B928="","",'Motor_Meciuri'!H71)</x:f>
      </x:c>
      <x:c r="J928" s="2" t="str">
        <x:f>IF(B928="","",'Motor_Meciuri'!I71)</x:f>
      </x:c>
      <x:c r="K928" s="11" t="str">
        <x:f>IF(J928&lt;&gt;"PASS","",'Motor_Meciuri'!BD71)</x:f>
      </x:c>
      <x:c r="L928" s="11" t="str">
        <x:f>IF(J928&lt;&gt;"PASS","",'Motor_Meciuri'!AU71)</x:f>
      </x:c>
      <x:c r="M928" s="10" t="str">
        <x:f>IF(NOT(AND(J928="PASS",'Calibrare_Linii'!U18="VALID")),"",'Distributie'!AN71)</x:f>
      </x:c>
      <x:c r="N928" s="10" t="str">
        <x:f>IF(M928="","",MAX(0.01,MIN(0.99,0.5+(M928-0.5)*'Motor_Meciuri'!BG71*'Calibrare_Linii'!D18)))</x:f>
      </x:c>
      <x:c r="O928" s="10" t="str">
        <x:f>IF(M928="","",1-M928)</x:f>
      </x:c>
      <x:c r="P928" s="10" t="str">
        <x:f>IF(OR(NOT(AND(J928="PASS",'Calibrare_Linii'!U18="VALID")),AK928=0),""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*('Istoric_Nativ'!$Q$6:$Q$405&gt;H928))/AK928)</x:f>
      </x:c>
      <x:c r="Q928" s="10" t="str">
        <x:f>IF(OR(NOT(AND(J928="PASS",'Calibrare_Linii'!U18="VALID")),AL928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M71)+((('Istoric_Nativ'!$E$6:$E$405='Input_Meci'!E71)+('Istoric_Nativ'!$F$6:$F$405='Input_Meci'!E71))&gt;0)*('Istoric_Nativ'!$D$6:$D$405&gt;='Motor_Meciuri'!BN71))&gt;0)*('Istoric_Nativ'!$Q$6:$Q$405&gt;H928))/AL928)</x:f>
      </x:c>
      <x:c r="R928" s="10" t="str">
        <x:f>IF(OR(NOT(AND(J928="PASS",'Calibrare_Linii'!U18="VALID")),AM928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O71)+((('Istoric_Nativ'!$E$6:$E$405='Input_Meci'!E71)+('Istoric_Nativ'!$F$6:$F$405='Input_Meci'!E71))&gt;0)*('Istoric_Nativ'!$D$6:$D$405&gt;='Motor_Meciuri'!BP71))&gt;0)*('Istoric_Nativ'!$Q$6:$Q$405&gt;H928))/AM928)</x:f>
      </x:c>
      <x:c r="S928" s="10" t="str">
        <x:f>IF(M928="","",MAX(O928,P928,Q928,R928))</x:f>
      </x:c>
      <x:c r="T928" s="11" t="str">
        <x:f>IF(M928="","",MIN(100,S928*100*'Config_v6'!$B$44+MIN(100,L928/'Config_v6'!$B$13*100)*'Config_v6'!$B$45+(100-'Motor_Meciuri'!BF71)*'Config_v6'!$B$46+'Motor_Meciuri'!BH71*100*'Config_v6'!$B$47))</x:f>
      </x:c>
      <x:c r="U928" s="2" t="str">
        <x:f>IF(T928="","",IF(T928&lt;=20,1,IF(T928&lt;=40,2,IF(T928&lt;=60,3,IF(T928&lt;=80,4,5)))))</x:f>
      </x:c>
      <x:c r="V928" s="2" t="str">
        <x:f>IF(M928="","",MAX(0,'Motor_Meciuri'!BF71-IF(W928="OOS PENDING",'Config_v6'!$B$35,0)-IF(L928&gt;'Config_v6'!$B$12,'Config_v6'!$B$37,IF(L928&gt;'Config_v6'!$B$11,'Config_v6'!$B$36,0))))</x:f>
      </x:c>
      <x:c r="W928" s="2" t="str">
        <x:f>IF(B928="","",IF(I928&lt;&gt;"READY","NOT RELEASED",IF(NOT(AND(J928="PASS",'Calibrare_Linii'!U18="VALID")),"INVALID",IF(NOT(AND('Calibrare_Linii'!S18="VALIDATED",AND('Calibrare_Linii'!H18=C928,ISNUMBER('Calibrare_Linii'!J18),'Calibrare_Linii'!J18&lt;='Input_Meci'!G71))),"OOS PENDING",IF(S928&lt;='Calibrare_Linii'!E18,"PASS",IF(S928&lt;='Calibrare_Linii'!F18,"PENALTY","WATCH"))))))</x:f>
      </x:c>
      <x:c r="X928" s="2" t="str">
        <x:f>IF(M928="","",IF(AND(AND(J928="PASS",'Calibrare_Linii'!U18="VALID"),'Motor_Meciuri'!K71=12,'Motor_Meciuri'!L71=12,'Motor_Meciuri'!M71="NO",'Motor_Meciuri'!BL71='Motor_Meciuri'!C71,AB928&gt;='Config_v6'!$B$50,AN928&gt;='Config_v6'!$B$51,T928&lt;='Config_v6'!$B$52,L928&lt;='Config_v6'!$B$53,ISNUMBER('Calibrare_Linii'!E18),S928&lt;='Calibrare_Linii'!E18,SUM(AK928:AM928)&gt;0),"CANDIDATE","NO"))</x:f>
      </x:c>
      <x:c r="Y928" s="2" t="str">
        <x:f>IF(B928="","",IF(I928&lt;&gt;"READY","NOT RELEASED",IF(AND(X928="CANDIDATE",V928&gt;='Config_v6'!$B$51,W928="PASS",'Calibrare_Linii'!T18="VALIDATED",AND('Calibrare_Linii'!H18=C928,ISNUMBER('Calibrare_Linii'!J18),'Calibrare_Linii'!J18&lt;='Input_Meci'!G71)),"PASS",IF(X928="CANDIDATE","OOS PENDING","FAIL"))))</x:f>
      </x:c>
      <x:c r="Z928" s="2" t="str">
        <x:f>IF(B928="","",IF(I928&lt;&gt;"READY","",IF(OR(NOT(AND(J928="PASS",'Calibrare_Linii'!U18="VALID")),L928&gt;'Config_v6'!$B$13,W928="WATCH"),5,IF(Y928="PASS",1,MIN(5,MAX('Config_v6'!$B$42,U928)+IF(W928="PENALTY",1,0))))))</x:f>
      </x:c>
      <x:c r="AA928" s="2" t="str">
        <x:f>IF(B928="","",IF(I928&lt;&gt;"READY","NOT RELEASED",IF(Z928=5,"NO BET",IF(OR(AB928&lt;'Config_v6'!$B$16,V928&lt;'Config_v6'!$B$18),"WATCH",IF(Z928=1,"DEFENSIV",IF(Z928=2,"PRUDENT",IF(Z928=3,"MODERAT","RIDICAT")))))))</x:f>
      </x:c>
      <x:c r="AB928" s="10" t="str">
        <x:f>IF(N928="","",MIN(N928,1-S928))</x:f>
      </x:c>
      <x:c r="AC928" s="2" t="str">
        <x:f>IF(AD928&lt;&gt;1,"",COUNTIFS($Z$916:$Z$929,"&lt;"&amp;Z928,$AD$916:$AD$929,1)+COUNTIFS($Z$916:$Z$929,Z928,$AB$916:$AB$929,"&gt;"&amp;AB928,$AD$916:$AD$929,1)+COUNTIFS($Z$916:$Z$929,Z928,$AB$916:$AB$929,AB928,$V$916:$V$929,"&gt;"&amp;V928,$AD$916:$AD$929,1)+COUNTIFS($Z$916:Z928,Z928,$AB$916:AB928,AB928,$V$916:V928,V928,$AD$916:AD928,1))</x:f>
      </x:c>
      <x:c r="AD928" s="2" t="n">
        <x:f>IF(OR(AA928="DEFENSIV",AA928="PRUDENT",AA928="MODERAT",AA928="RIDICAT"),1,0)</x:f>
        <x:v>0</x:v>
      </x:c>
      <x:c r="AE928" s="2" t="str">
        <x:f>IF(AD928&lt;&gt;1,"NO",IF(W928="PASS","YES",IF(W928="OOS PENDING","CONDITIONAL","NO")))</x:f>
        <x:v>NO</x:v>
      </x:c>
      <x:c r="AF928" s="2" t="n">
        <x:f>IF(AND(AD928=1,AC928=1,E928="LIVE"),1,0)</x:f>
        <x:v>0</x:v>
      </x:c>
      <x:c r="AG928" s="2" t="str">
        <x:f>IF(AF928&lt;&gt;1,"",'Dashboard'!P91)</x:f>
      </x:c>
      <x:c r="AH928" s="2" t="str">
        <x:f>IF(B928="","",IF(J928&lt;&gt;"PASS",'Motor_Meciuri'!J71,IF('Calibrare_Linii'!U18&lt;&gt;"VALID","Parametri linie invalizi",IF(L928&gt;'Config_v6'!$B$13,"Dispersie peste limita",IF(W928="WATCH","Failure peste limita",IF(AB928&lt;'Config_v6'!$B$16,"P finala sub prag",IF(V928&lt;'Config_v6'!$B$18,"Confidence sub prag",IF(E928="REPLAY","Exemplu retrospectiv; exclus din Top LIVE",IF(Y928="PASS","DEFENSIV validat",IF(W928="OOS PENDING","Eligibil; calibrare linie in monitorizare","Eligibil"))))))))))</x:f>
      </x:c>
      <x:c r="AI928" s="2" t="str">
        <x:f>IF(B928="","",'Calibrare_Linii'!V18)</x:f>
      </x:c>
      <x:c r="AJ928" s="2" t="str">
        <x:f>IF(B928="","",IF(AND('Calibrare_Linii'!T18="VALIDATED",AND('Calibrare_Linii'!H18=C928,ISNUMBER('Calibrare_Linii'!J18),'Calibrare_Linii'!J18&lt;='Input_Meci'!G71)),"DEFENSIVE VALIDATED",IF(AND('Calibrare_Linii'!S18="VALIDATED",AND('Calibrare_Linii'!H18=C928,ISNUMBER('Calibrare_Linii'!J18),'Calibrare_Linii'!J18&lt;='Input_Meci'!G71)),"TAIL VALIDATED","OOS PENDING")))</x:f>
      </x:c>
      <x:c r="AK928" s="2" t="n">
        <x:f>IF(J928&lt;&gt;"PASS",0,'Motor_Meciuri'!BR71)</x:f>
        <x:v>0</x:v>
      </x:c>
      <x:c r="AL928" s="2" t="n">
        <x:f>IF(J928&lt;&gt;"PASS",0,'Motor_Meciuri'!BS71)</x:f>
        <x:v>0</x:v>
      </x:c>
      <x:c r="AM928" s="2" t="n">
        <x:f>IF(J928&lt;&gt;"PASS",0,'Motor_Meciuri'!BT71)</x:f>
        <x:v>0</x:v>
      </x:c>
      <x:c r="AN928" s="2" t="str">
        <x:f>IF(M928="","",MAX(0,'Motor_Meciuri'!BF71-IF(L928&gt;'Config_v6'!$B$12,'Config_v6'!$B$37,IF(L928&gt;'Config_v6'!$B$11,'Config_v6'!$B$36,0))))</x:f>
      </x:c>
    </x:row>
    <x:row r="929" ht="21" customHeight="1">
      <x:c r="A929" s="2" t="n">
        <x:v>66</x:v>
      </x:c>
      <x:c r="B929" s="2" t="str">
        <x:f>IF('Motor_Meciuri'!A71="","",'Motor_Meciuri'!A71)</x:f>
      </x:c>
      <x:c r="C929" s="2" t="str">
        <x:f>IF(B929="","",'Motor_Meciuri'!B71)</x:f>
      </x:c>
      <x:c r="D929" s="2" t="str">
        <x:f>IF(B929="","",'Motor_Meciuri'!D71)</x:f>
      </x:c>
      <x:c r="E929" s="2" t="str">
        <x:f>IF(B929="","",'Motor_Meciuri'!E71)</x:f>
      </x:c>
      <x:c r="F929" s="2" t="str">
        <x:v>U17,5</x:v>
      </x:c>
      <x:c r="G929" s="2" t="str">
        <x:v>UNDER</x:v>
      </x:c>
      <x:c r="H929" s="2" t="n">
        <x:v>17</x:v>
      </x:c>
      <x:c r="I929" s="2" t="str">
        <x:f>IF(B929="","",'Motor_Meciuri'!H71)</x:f>
      </x:c>
      <x:c r="J929" s="2" t="str">
        <x:f>IF(B929="","",'Motor_Meciuri'!I71)</x:f>
      </x:c>
      <x:c r="K929" s="11" t="str">
        <x:f>IF(J929&lt;&gt;"PASS","",'Motor_Meciuri'!BD71)</x:f>
      </x:c>
      <x:c r="L929" s="11" t="str">
        <x:f>IF(J929&lt;&gt;"PASS","",'Motor_Meciuri'!AU71)</x:f>
      </x:c>
      <x:c r="M929" s="10" t="str">
        <x:f>IF(NOT(AND(J929="PASS",'Calibrare_Linii'!U19="VALID")),"",'Distributie'!AO71)</x:f>
      </x:c>
      <x:c r="N929" s="10" t="str">
        <x:f>IF(M929="","",MAX(0.01,MIN(0.99,0.5+(M929-0.5)*'Motor_Meciuri'!BG71*'Calibrare_Linii'!D19)))</x:f>
      </x:c>
      <x:c r="O929" s="10" t="str">
        <x:f>IF(M929="","",1-M929)</x:f>
      </x:c>
      <x:c r="P929" s="10" t="str">
        <x:f>IF(OR(NOT(AND(J929="PASS",'Calibrare_Linii'!U19="VALID")),AK929=0),""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*('Istoric_Nativ'!$Q$6:$Q$405&gt;H929))/AK929)</x:f>
      </x:c>
      <x:c r="Q929" s="10" t="str">
        <x:f>IF(OR(NOT(AND(J929="PASS",'Calibrare_Linii'!U19="VALID")),AL929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M71)+((('Istoric_Nativ'!$E$6:$E$405='Input_Meci'!E71)+('Istoric_Nativ'!$F$6:$F$405='Input_Meci'!E71))&gt;0)*('Istoric_Nativ'!$D$6:$D$405&gt;='Motor_Meciuri'!BN71))&gt;0)*('Istoric_Nativ'!$Q$6:$Q$405&gt;H929))/AL929)</x:f>
      </x:c>
      <x:c r="R929" s="10" t="str">
        <x:f>IF(OR(NOT(AND(J929="PASS",'Calibrare_Linii'!U19="VALID")),AM929=0),""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'Motor_Meciuri'!BO71)+((('Istoric_Nativ'!$E$6:$E$405='Input_Meci'!E71)+('Istoric_Nativ'!$F$6:$F$405='Input_Meci'!E71))&gt;0)*('Istoric_Nativ'!$D$6:$D$405&gt;='Motor_Meciuri'!BP71))&gt;0)*('Istoric_Nativ'!$Q$6:$Q$405&gt;H929))/AM929)</x:f>
      </x:c>
      <x:c r="S929" s="10" t="str">
        <x:f>IF(M929="","",MAX(O929,P929,Q929,R929))</x:f>
      </x:c>
      <x:c r="T929" s="11" t="str">
        <x:f>IF(M929="","",MIN(100,S929*100*'Config_v6'!$B$44+MIN(100,L929/'Config_v6'!$B$13*100)*'Config_v6'!$B$45+(100-'Motor_Meciuri'!BF71)*'Config_v6'!$B$46+'Motor_Meciuri'!BH71*100*'Config_v6'!$B$47))</x:f>
      </x:c>
      <x:c r="U929" s="2" t="str">
        <x:f>IF(T929="","",IF(T929&lt;=20,1,IF(T929&lt;=40,2,IF(T929&lt;=60,3,IF(T929&lt;=80,4,5)))))</x:f>
      </x:c>
      <x:c r="V929" s="2" t="str">
        <x:f>IF(M929="","",MAX(0,'Motor_Meciuri'!BF71-IF(W929="OOS PENDING",'Config_v6'!$B$35,0)-IF(L929&gt;'Config_v6'!$B$12,'Config_v6'!$B$37,IF(L929&gt;'Config_v6'!$B$11,'Config_v6'!$B$36,0))))</x:f>
      </x:c>
      <x:c r="W929" s="2" t="str">
        <x:f>IF(B929="","",IF(I929&lt;&gt;"READY","NOT RELEASED",IF(NOT(AND(J929="PASS",'Calibrare_Linii'!U19="VALID")),"INVALID",IF(NOT(AND('Calibrare_Linii'!S19="VALIDATED",AND('Calibrare_Linii'!H19=C929,ISNUMBER('Calibrare_Linii'!J19),'Calibrare_Linii'!J19&lt;='Input_Meci'!G71))),"OOS PENDING",IF(S929&lt;='Calibrare_Linii'!E19,"PASS",IF(S929&lt;='Calibrare_Linii'!F19,"PENALTY","WATCH"))))))</x:f>
      </x:c>
      <x:c r="X929" s="2" t="str">
        <x:f>IF(M929="","",IF(AND(AND(J929="PASS",'Calibrare_Linii'!U19="VALID"),'Motor_Meciuri'!K71=12,'Motor_Meciuri'!L71=12,'Motor_Meciuri'!M71="NO",'Motor_Meciuri'!BL71='Motor_Meciuri'!C71,AB929&gt;='Config_v6'!$B$50,AN929&gt;='Config_v6'!$B$51,T929&lt;='Config_v6'!$B$52,L929&lt;='Config_v6'!$B$53,ISNUMBER('Calibrare_Linii'!E19),S929&lt;='Calibrare_Linii'!E19,SUM(AK929:AM929)&gt;0),"CANDIDATE","NO"))</x:f>
      </x:c>
      <x:c r="Y929" s="2" t="str">
        <x:f>IF(B929="","",IF(I929&lt;&gt;"READY","NOT RELEASED",IF(AND(X929="CANDIDATE",V929&gt;='Config_v6'!$B$51,W929="PASS",'Calibrare_Linii'!T19="VALIDATED",AND('Calibrare_Linii'!H19=C929,ISNUMBER('Calibrare_Linii'!J19),'Calibrare_Linii'!J19&lt;='Input_Meci'!G71)),"PASS",IF(X929="CANDIDATE","OOS PENDING","FAIL"))))</x:f>
      </x:c>
      <x:c r="Z929" s="2" t="str">
        <x:f>IF(B929="","",IF(I929&lt;&gt;"READY","",IF(OR(NOT(AND(J929="PASS",'Calibrare_Linii'!U19="VALID")),L929&gt;'Config_v6'!$B$13,W929="WATCH"),5,IF(Y929="PASS",1,MIN(5,MAX('Config_v6'!$B$42,U929)+IF(W929="PENALTY",1,0))))))</x:f>
      </x:c>
      <x:c r="AA929" s="2" t="str">
        <x:f>IF(B929="","",IF(I929&lt;&gt;"READY","NOT RELEASED",IF(Z929=5,"NO BET",IF(OR(AB929&lt;'Config_v6'!$B$16,V929&lt;'Config_v6'!$B$18),"WATCH",IF(Z929=1,"DEFENSIV",IF(Z929=2,"PRUDENT",IF(Z929=3,"MODERAT","RIDICAT")))))))</x:f>
      </x:c>
      <x:c r="AB929" s="10" t="str">
        <x:f>IF(N929="","",MIN(N929,1-S929))</x:f>
      </x:c>
      <x:c r="AC929" s="2" t="str">
        <x:f>IF(AD929&lt;&gt;1,"",COUNTIFS($Z$916:$Z$929,"&lt;"&amp;Z929,$AD$916:$AD$929,1)+COUNTIFS($Z$916:$Z$929,Z929,$AB$916:$AB$929,"&gt;"&amp;AB929,$AD$916:$AD$929,1)+COUNTIFS($Z$916:$Z$929,Z929,$AB$916:$AB$929,AB929,$V$916:$V$929,"&gt;"&amp;V929,$AD$916:$AD$929,1)+COUNTIFS($Z$916:Z929,Z929,$AB$916:AB929,AB929,$V$916:V929,V929,$AD$916:AD929,1))</x:f>
      </x:c>
      <x:c r="AD929" s="2" t="n">
        <x:f>IF(OR(AA929="DEFENSIV",AA929="PRUDENT",AA929="MODERAT",AA929="RIDICAT"),1,0)</x:f>
        <x:v>0</x:v>
      </x:c>
      <x:c r="AE929" s="2" t="str">
        <x:f>IF(AD929&lt;&gt;1,"NO",IF(W929="PASS","YES",IF(W929="OOS PENDING","CONDITIONAL","NO")))</x:f>
        <x:v>NO</x:v>
      </x:c>
      <x:c r="AF929" s="2" t="n">
        <x:f>IF(AND(AD929=1,AC929=1,E929="LIVE"),1,0)</x:f>
        <x:v>0</x:v>
      </x:c>
      <x:c r="AG929" s="2" t="str">
        <x:f>IF(AF929&lt;&gt;1,"",'Dashboard'!P91)</x:f>
      </x:c>
      <x:c r="AH929" s="2" t="str">
        <x:f>IF(B929="","",IF(J929&lt;&gt;"PASS",'Motor_Meciuri'!J71,IF('Calibrare_Linii'!U19&lt;&gt;"VALID","Parametri linie invalizi",IF(L929&gt;'Config_v6'!$B$13,"Dispersie peste limita",IF(W929="WATCH","Failure peste limita",IF(AB929&lt;'Config_v6'!$B$16,"P finala sub prag",IF(V929&lt;'Config_v6'!$B$18,"Confidence sub prag",IF(E929="REPLAY","Exemplu retrospectiv; exclus din Top LIVE",IF(Y929="PASS","DEFENSIV validat",IF(W929="OOS PENDING","Eligibil; calibrare linie in monitorizare","Eligibil"))))))))))</x:f>
      </x:c>
      <x:c r="AI929" s="2" t="str">
        <x:f>IF(B929="","",'Calibrare_Linii'!V19)</x:f>
      </x:c>
      <x:c r="AJ929" s="2" t="str">
        <x:f>IF(B929="","",IF(AND('Calibrare_Linii'!T19="VALIDATED",AND('Calibrare_Linii'!H19=C929,ISNUMBER('Calibrare_Linii'!J19),'Calibrare_Linii'!J19&lt;='Input_Meci'!G71)),"DEFENSIVE VALIDATED",IF(AND('Calibrare_Linii'!S19="VALIDATED",AND('Calibrare_Linii'!H19=C929,ISNUMBER('Calibrare_Linii'!J19),'Calibrare_Linii'!J19&lt;='Input_Meci'!G71)),"TAIL VALIDATED","OOS PENDING")))</x:f>
      </x:c>
      <x:c r="AK929" s="2" t="n">
        <x:f>IF(J929&lt;&gt;"PASS",0,'Motor_Meciuri'!BR71)</x:f>
        <x:v>0</x:v>
      </x:c>
      <x:c r="AL929" s="2" t="n">
        <x:f>IF(J929&lt;&gt;"PASS",0,'Motor_Meciuri'!BS71)</x:f>
        <x:v>0</x:v>
      </x:c>
      <x:c r="AM929" s="2" t="n">
        <x:f>IF(J929&lt;&gt;"PASS",0,'Motor_Meciuri'!BT71)</x:f>
        <x:v>0</x:v>
      </x:c>
      <x:c r="AN929" s="2" t="str">
        <x:f>IF(M929="","",MAX(0,'Motor_Meciuri'!BF71-IF(L929&gt;'Config_v6'!$B$12,'Config_v6'!$B$37,IF(L929&gt;'Config_v6'!$B$11,'Config_v6'!$B$36,0))))</x:f>
      </x:c>
    </x:row>
    <x:row r="930" ht="21" customHeight="1">
      <x:c r="A930" s="2" t="n">
        <x:v>67</x:v>
      </x:c>
      <x:c r="B930" s="2" t="str">
        <x:f>IF('Motor_Meciuri'!A72="","",'Motor_Meciuri'!A72)</x:f>
      </x:c>
      <x:c r="C930" s="2" t="str">
        <x:f>IF(B930="","",'Motor_Meciuri'!B72)</x:f>
      </x:c>
      <x:c r="D930" s="2" t="str">
        <x:f>IF(B930="","",'Motor_Meciuri'!D72)</x:f>
      </x:c>
      <x:c r="E930" s="2" t="str">
        <x:f>IF(B930="","",'Motor_Meciuri'!E72)</x:f>
      </x:c>
      <x:c r="F930" s="2" t="str">
        <x:v>O3,5</x:v>
      </x:c>
      <x:c r="G930" s="2" t="str">
        <x:v>OVER</x:v>
      </x:c>
      <x:c r="H930" s="2" t="n">
        <x:v>3</x:v>
      </x:c>
      <x:c r="I930" s="2" t="str">
        <x:f>IF(B930="","",'Motor_Meciuri'!H72)</x:f>
      </x:c>
      <x:c r="J930" s="2" t="str">
        <x:f>IF(B930="","",'Motor_Meciuri'!I72)</x:f>
      </x:c>
      <x:c r="K930" s="11" t="str">
        <x:f>IF(J930&lt;&gt;"PASS","",'Motor_Meciuri'!BD72)</x:f>
      </x:c>
      <x:c r="L930" s="11" t="str">
        <x:f>IF(J930&lt;&gt;"PASS","",'Motor_Meciuri'!AU72)</x:f>
      </x:c>
      <x:c r="M930" s="10" t="str">
        <x:f>IF(NOT(AND(J930="PASS",'Calibrare_Linii'!U6="VALID")),"",1-'Distributie'!AA72)</x:f>
      </x:c>
      <x:c r="N930" s="10" t="str">
        <x:f>IF(M930="","",MAX(0.01,MIN(0.99,0.5+(M930-0.5)*'Motor_Meciuri'!BG72*'Calibrare_Linii'!D6)))</x:f>
      </x:c>
      <x:c r="O930" s="10" t="str">
        <x:f>IF(M930="","",1-M930)</x:f>
      </x:c>
      <x:c r="P930" s="10" t="str">
        <x:f>IF(OR(NOT(AND(J930="PASS",'Calibrare_Linii'!U6="VALID")),AK930=0),""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*('Istoric_Nativ'!$Q$6:$Q$405&lt;=H930))/AK930)</x:f>
      </x:c>
      <x:c r="Q930" s="10" t="str">
        <x:f>IF(OR(NOT(AND(J930="PASS",'Calibrare_Linii'!U6="VALID")),AL930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M72)+((('Istoric_Nativ'!$E$6:$E$405='Input_Meci'!E72)+('Istoric_Nativ'!$F$6:$F$405='Input_Meci'!E72))&gt;0)*('Istoric_Nativ'!$D$6:$D$405&gt;='Motor_Meciuri'!BN72))&gt;0)*('Istoric_Nativ'!$Q$6:$Q$405&lt;=H930))/AL930)</x:f>
      </x:c>
      <x:c r="R930" s="10" t="str">
        <x:f>IF(OR(NOT(AND(J930="PASS",'Calibrare_Linii'!U6="VALID")),AM930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O72)+((('Istoric_Nativ'!$E$6:$E$405='Input_Meci'!E72)+('Istoric_Nativ'!$F$6:$F$405='Input_Meci'!E72))&gt;0)*('Istoric_Nativ'!$D$6:$D$405&gt;='Motor_Meciuri'!BP72))&gt;0)*('Istoric_Nativ'!$Q$6:$Q$405&lt;=H930))/AM930)</x:f>
      </x:c>
      <x:c r="S930" s="10" t="str">
        <x:f>IF(M930="","",MAX(O930,P930,Q930,R930))</x:f>
      </x:c>
      <x:c r="T930" s="11" t="str">
        <x:f>IF(M930="","",MIN(100,S930*100*'Config_v6'!$B$44+MIN(100,L930/'Config_v6'!$B$13*100)*'Config_v6'!$B$45+(100-'Motor_Meciuri'!BF72)*'Config_v6'!$B$46+'Motor_Meciuri'!BH72*100*'Config_v6'!$B$47))</x:f>
      </x:c>
      <x:c r="U930" s="2" t="str">
        <x:f>IF(T930="","",IF(T930&lt;=20,1,IF(T930&lt;=40,2,IF(T930&lt;=60,3,IF(T930&lt;=80,4,5)))))</x:f>
      </x:c>
      <x:c r="V930" s="2" t="str">
        <x:f>IF(M930="","",MAX(0,'Motor_Meciuri'!BF72-IF(W930="OOS PENDING",'Config_v6'!$B$35,0)-IF(L930&gt;'Config_v6'!$B$12,'Config_v6'!$B$37,IF(L930&gt;'Config_v6'!$B$11,'Config_v6'!$B$36,0))))</x:f>
      </x:c>
      <x:c r="W930" s="2" t="str">
        <x:f>IF(B930="","",IF(I930&lt;&gt;"READY","NOT RELEASED",IF(NOT(AND(J930="PASS",'Calibrare_Linii'!U6="VALID")),"INVALID",IF(NOT(TRUE),"OOS PENDING",IF(S930&lt;=IF(AND('Calibrare_Linii'!S6="VALIDATED",AND('Calibrare_Linii'!H6=C930,ISNUMBER('Calibrare_Linii'!J6),'Calibrare_Linii'!J6&lt;='Input_Meci'!G72)),'Calibrare_Linii'!E6,'Config_v6'!$B$26),"PASS",IF(S930&lt;=IF(AND('Calibrare_Linii'!S6="VALIDATED",AND('Calibrare_Linii'!H6=C930,ISNUMBER('Calibrare_Linii'!J6),'Calibrare_Linii'!J6&lt;='Input_Meci'!G72)),'Calibrare_Linii'!F6,'Config_v6'!$C$26),"PENALTY","WATCH"))))))</x:f>
      </x:c>
      <x:c r="X930" s="2" t="str">
        <x:f>IF(M930="","",IF(AND(AND(J930="PASS",'Calibrare_Linii'!U6="VALID"),'Motor_Meciuri'!K72=12,'Motor_Meciuri'!L72=12,'Motor_Meciuri'!M72="NO",'Motor_Meciuri'!BL72='Motor_Meciuri'!C72,AB930&gt;='Config_v6'!$B$50,AN930&gt;='Config_v6'!$B$51,T930&lt;='Config_v6'!$B$52,L930&lt;='Config_v6'!$B$53,ISNUMBER('Calibrare_Linii'!E6),S930&lt;='Calibrare_Linii'!E6,SUM(AK930:AM930)&gt;0),"CANDIDATE","NO"))</x:f>
      </x:c>
      <x:c r="Y930" s="2" t="str">
        <x:f>IF(B930="","",IF(I930&lt;&gt;"READY","NOT RELEASED",IF(AND(X930="CANDIDATE",V930&gt;='Config_v6'!$B$51,W930="PASS",'Calibrare_Linii'!T6="VALIDATED",AND('Calibrare_Linii'!H6=C930,ISNUMBER('Calibrare_Linii'!J6),'Calibrare_Linii'!J6&lt;='Input_Meci'!G72)),"PASS",IF(X930="CANDIDATE","OOS PENDING","FAIL"))))</x:f>
      </x:c>
      <x:c r="Z930" s="2" t="str">
        <x:f>IF(B930="","",IF(I930&lt;&gt;"READY","",IF(OR(NOT(AND(J930="PASS",'Calibrare_Linii'!U6="VALID")),L930&gt;'Config_v6'!$B$13,W930="WATCH"),5,IF(Y930="PASS",1,MIN(5,MAX('Config_v6'!$B$42,U930)+IF(W930="PENALTY",1,0))))))</x:f>
      </x:c>
      <x:c r="AA930" s="2" t="str">
        <x:f>IF(B930="","",IF(I930&lt;&gt;"READY","NOT RELEASED",IF(Z930=5,"NO BET",IF(OR(AB930&lt;'Config_v6'!$B$16,V930&lt;'Config_v6'!$B$18),"WATCH",IF(Z930=1,"DEFENSIV",IF(Z930=2,"PRUDENT",IF(Z930=3,"MODERAT","RIDICAT")))))))</x:f>
      </x:c>
      <x:c r="AB930" s="10" t="str">
        <x:f>IF(N930="","",MIN(N930,1-S930))</x:f>
      </x:c>
      <x:c r="AC930" s="2" t="str">
        <x:f>IF(AD930&lt;&gt;1,"",COUNTIFS($Z$930:$Z$943,"&lt;"&amp;Z930,$AD$930:$AD$943,1)+COUNTIFS($Z$930:$Z$943,Z930,$AB$930:$AB$943,"&gt;"&amp;AB930,$AD$930:$AD$943,1)+COUNTIFS($Z$930:$Z$943,Z930,$AB$930:$AB$943,AB930,$V$930:$V$943,"&gt;"&amp;V930,$AD$930:$AD$943,1)+COUNTIFS($Z$930:Z930,Z930,$AB$930:AB930,AB930,$V$930:V930,V930,$AD$930:AD930,1))</x:f>
      </x:c>
      <x:c r="AD930" s="2" t="n">
        <x:f>IF(OR(AA930="DEFENSIV",AA930="PRUDENT",AA930="MODERAT",AA930="RIDICAT"),1,0)</x:f>
        <x:v>0</x:v>
      </x:c>
      <x:c r="AE930" s="2" t="str">
        <x:f>IF(AD930&lt;&gt;1,"NO",IF(W930="PASS","YES",IF(W930="OOS PENDING","CONDITIONAL","NO")))</x:f>
        <x:v>NO</x:v>
      </x:c>
      <x:c r="AF930" s="2" t="n">
        <x:f>IF(AND(AD930=1,AC930=1,E930="LIVE"),1,0)</x:f>
        <x:v>0</x:v>
      </x:c>
      <x:c r="AG930" s="2" t="str">
        <x:f>IF(AF930&lt;&gt;1,"",'Dashboard'!P92)</x:f>
      </x:c>
      <x:c r="AH930" s="2" t="str">
        <x:f>IF(B930="","",IF(J930&lt;&gt;"PASS",'Motor_Meciuri'!J72,IF('Calibrare_Linii'!U6&lt;&gt;"VALID","Parametri linie invalizi",IF(L930&gt;'Config_v6'!$B$13,"Dispersie peste limita",IF(W930="WATCH","Failure peste limita",IF(AB930&lt;'Config_v6'!$B$16,"P finala sub prag",IF(V930&lt;'Config_v6'!$B$18,"Confidence sub prag",IF(E930="REPLAY","Exemplu retrospectiv; exclus din Top LIVE",IF(Y930="PASS","DEFENSIV validat",IF(W930="OOS PENDING","Eligibil; calibrare linie in monitorizare","Eligibil"))))))))))</x:f>
      </x:c>
      <x:c r="AI930" s="2" t="str">
        <x:f>IF(B930="","",'Calibrare_Linii'!V6)</x:f>
      </x:c>
      <x:c r="AJ930" s="2" t="str">
        <x:f>IF(B930="","",IF(AND('Calibrare_Linii'!T6="VALIDATED",AND('Calibrare_Linii'!H6=C930,ISNUMBER('Calibrare_Linii'!J6),'Calibrare_Linii'!J6&lt;='Input_Meci'!G72)),"DEFENSIVE VALIDATED",IF(AND('Calibrare_Linii'!S6="VALIDATED",AND('Calibrare_Linii'!H6=C930,ISNUMBER('Calibrare_Linii'!J6),'Calibrare_Linii'!J6&lt;='Input_Meci'!G72)),"TAIL VALIDATED","OOS PENDING")))</x:f>
      </x:c>
      <x:c r="AK930" s="2" t="n">
        <x:f>IF(J930&lt;&gt;"PASS",0,'Motor_Meciuri'!BR72)</x:f>
        <x:v>0</x:v>
      </x:c>
      <x:c r="AL930" s="2" t="n">
        <x:f>IF(J930&lt;&gt;"PASS",0,'Motor_Meciuri'!BS72)</x:f>
        <x:v>0</x:v>
      </x:c>
      <x:c r="AM930" s="2" t="n">
        <x:f>IF(J930&lt;&gt;"PASS",0,'Motor_Meciuri'!BT72)</x:f>
        <x:v>0</x:v>
      </x:c>
      <x:c r="AN930" s="2" t="str">
        <x:f>IF(M930="","",MAX(0,'Motor_Meciuri'!BF72-IF(L930&gt;'Config_v6'!$B$12,'Config_v6'!$B$37,IF(L930&gt;'Config_v6'!$B$11,'Config_v6'!$B$36,0))))</x:f>
      </x:c>
    </x:row>
    <x:row r="931" ht="21" customHeight="1">
      <x:c r="A931" s="2" t="n">
        <x:v>67</x:v>
      </x:c>
      <x:c r="B931" s="2" t="str">
        <x:f>IF('Motor_Meciuri'!A72="","",'Motor_Meciuri'!A72)</x:f>
      </x:c>
      <x:c r="C931" s="2" t="str">
        <x:f>IF(B931="","",'Motor_Meciuri'!B72)</x:f>
      </x:c>
      <x:c r="D931" s="2" t="str">
        <x:f>IF(B931="","",'Motor_Meciuri'!D72)</x:f>
      </x:c>
      <x:c r="E931" s="2" t="str">
        <x:f>IF(B931="","",'Motor_Meciuri'!E72)</x:f>
      </x:c>
      <x:c r="F931" s="2" t="str">
        <x:v>O4,5</x:v>
      </x:c>
      <x:c r="G931" s="2" t="str">
        <x:v>OVER</x:v>
      </x:c>
      <x:c r="H931" s="2" t="n">
        <x:v>4</x:v>
      </x:c>
      <x:c r="I931" s="2" t="str">
        <x:f>IF(B931="","",'Motor_Meciuri'!H72)</x:f>
      </x:c>
      <x:c r="J931" s="2" t="str">
        <x:f>IF(B931="","",'Motor_Meciuri'!I72)</x:f>
      </x:c>
      <x:c r="K931" s="11" t="str">
        <x:f>IF(J931&lt;&gt;"PASS","",'Motor_Meciuri'!BD72)</x:f>
      </x:c>
      <x:c r="L931" s="11" t="str">
        <x:f>IF(J931&lt;&gt;"PASS","",'Motor_Meciuri'!AU72)</x:f>
      </x:c>
      <x:c r="M931" s="10" t="str">
        <x:f>IF(NOT(AND(J931="PASS",'Calibrare_Linii'!U7="VALID")),"",1-'Distributie'!AB72)</x:f>
      </x:c>
      <x:c r="N931" s="10" t="str">
        <x:f>IF(M931="","",MAX(0.01,MIN(0.99,0.5+(M931-0.5)*'Motor_Meciuri'!BG72*'Calibrare_Linii'!D7)))</x:f>
      </x:c>
      <x:c r="O931" s="10" t="str">
        <x:f>IF(M931="","",1-M931)</x:f>
      </x:c>
      <x:c r="P931" s="10" t="str">
        <x:f>IF(OR(NOT(AND(J931="PASS",'Calibrare_Linii'!U7="VALID")),AK931=0),""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*('Istoric_Nativ'!$Q$6:$Q$405&lt;=H931))/AK931)</x:f>
      </x:c>
      <x:c r="Q931" s="10" t="str">
        <x:f>IF(OR(NOT(AND(J931="PASS",'Calibrare_Linii'!U7="VALID")),AL931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M72)+((('Istoric_Nativ'!$E$6:$E$405='Input_Meci'!E72)+('Istoric_Nativ'!$F$6:$F$405='Input_Meci'!E72))&gt;0)*('Istoric_Nativ'!$D$6:$D$405&gt;='Motor_Meciuri'!BN72))&gt;0)*('Istoric_Nativ'!$Q$6:$Q$405&lt;=H931))/AL931)</x:f>
      </x:c>
      <x:c r="R931" s="10" t="str">
        <x:f>IF(OR(NOT(AND(J931="PASS",'Calibrare_Linii'!U7="VALID")),AM931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O72)+((('Istoric_Nativ'!$E$6:$E$405='Input_Meci'!E72)+('Istoric_Nativ'!$F$6:$F$405='Input_Meci'!E72))&gt;0)*('Istoric_Nativ'!$D$6:$D$405&gt;='Motor_Meciuri'!BP72))&gt;0)*('Istoric_Nativ'!$Q$6:$Q$405&lt;=H931))/AM931)</x:f>
      </x:c>
      <x:c r="S931" s="10" t="str">
        <x:f>IF(M931="","",MAX(O931,P931,Q931,R931))</x:f>
      </x:c>
      <x:c r="T931" s="11" t="str">
        <x:f>IF(M931="","",MIN(100,S931*100*'Config_v6'!$B$44+MIN(100,L931/'Config_v6'!$B$13*100)*'Config_v6'!$B$45+(100-'Motor_Meciuri'!BF72)*'Config_v6'!$B$46+'Motor_Meciuri'!BH72*100*'Config_v6'!$B$47))</x:f>
      </x:c>
      <x:c r="U931" s="2" t="str">
        <x:f>IF(T931="","",IF(T931&lt;=20,1,IF(T931&lt;=40,2,IF(T931&lt;=60,3,IF(T931&lt;=80,4,5)))))</x:f>
      </x:c>
      <x:c r="V931" s="2" t="str">
        <x:f>IF(M931="","",MAX(0,'Motor_Meciuri'!BF72-IF(W931="OOS PENDING",'Config_v6'!$B$35,0)-IF(L931&gt;'Config_v6'!$B$12,'Config_v6'!$B$37,IF(L931&gt;'Config_v6'!$B$11,'Config_v6'!$B$36,0))))</x:f>
      </x:c>
      <x:c r="W931" s="2" t="str">
        <x:f>IF(B931="","",IF(I931&lt;&gt;"READY","NOT RELEASED",IF(NOT(AND(J931="PASS",'Calibrare_Linii'!U7="VALID")),"INVALID",IF(NOT(AND('Calibrare_Linii'!S7="VALIDATED",AND('Calibrare_Linii'!H7=C931,ISNUMBER('Calibrare_Linii'!J7),'Calibrare_Linii'!J7&lt;='Input_Meci'!G72))),"OOS PENDING",IF(S931&lt;='Calibrare_Linii'!E7,"PASS",IF(S931&lt;='Calibrare_Linii'!F7,"PENALTY","WATCH"))))))</x:f>
      </x:c>
      <x:c r="X931" s="2" t="str">
        <x:f>IF(M931="","",IF(AND(AND(J931="PASS",'Calibrare_Linii'!U7="VALID"),'Motor_Meciuri'!K72=12,'Motor_Meciuri'!L72=12,'Motor_Meciuri'!M72="NO",'Motor_Meciuri'!BL72='Motor_Meciuri'!C72,AB931&gt;='Config_v6'!$B$50,AN931&gt;='Config_v6'!$B$51,T931&lt;='Config_v6'!$B$52,L931&lt;='Config_v6'!$B$53,ISNUMBER('Calibrare_Linii'!E7),S931&lt;='Calibrare_Linii'!E7,SUM(AK931:AM931)&gt;0),"CANDIDATE","NO"))</x:f>
      </x:c>
      <x:c r="Y931" s="2" t="str">
        <x:f>IF(B931="","",IF(I931&lt;&gt;"READY","NOT RELEASED",IF(AND(X931="CANDIDATE",V931&gt;='Config_v6'!$B$51,W931="PASS",'Calibrare_Linii'!T7="VALIDATED",AND('Calibrare_Linii'!H7=C931,ISNUMBER('Calibrare_Linii'!J7),'Calibrare_Linii'!J7&lt;='Input_Meci'!G72)),"PASS",IF(X931="CANDIDATE","OOS PENDING","FAIL"))))</x:f>
      </x:c>
      <x:c r="Z931" s="2" t="str">
        <x:f>IF(B931="","",IF(I931&lt;&gt;"READY","",IF(OR(NOT(AND(J931="PASS",'Calibrare_Linii'!U7="VALID")),L931&gt;'Config_v6'!$B$13,W931="WATCH"),5,IF(Y931="PASS",1,MIN(5,MAX('Config_v6'!$B$42,U931)+IF(W931="PENALTY",1,0))))))</x:f>
      </x:c>
      <x:c r="AA931" s="2" t="str">
        <x:f>IF(B931="","",IF(I931&lt;&gt;"READY","NOT RELEASED",IF(Z931=5,"NO BET",IF(OR(AB931&lt;'Config_v6'!$B$16,V931&lt;'Config_v6'!$B$18),"WATCH",IF(Z931=1,"DEFENSIV",IF(Z931=2,"PRUDENT",IF(Z931=3,"MODERAT","RIDICAT")))))))</x:f>
      </x:c>
      <x:c r="AB931" s="10" t="str">
        <x:f>IF(N931="","",MIN(N931,1-S931))</x:f>
      </x:c>
      <x:c r="AC931" s="2" t="str">
        <x:f>IF(AD931&lt;&gt;1,"",COUNTIFS($Z$930:$Z$943,"&lt;"&amp;Z931,$AD$930:$AD$943,1)+COUNTIFS($Z$930:$Z$943,Z931,$AB$930:$AB$943,"&gt;"&amp;AB931,$AD$930:$AD$943,1)+COUNTIFS($Z$930:$Z$943,Z931,$AB$930:$AB$943,AB931,$V$930:$V$943,"&gt;"&amp;V931,$AD$930:$AD$943,1)+COUNTIFS($Z$930:Z931,Z931,$AB$930:AB931,AB931,$V$930:V931,V931,$AD$930:AD931,1))</x:f>
      </x:c>
      <x:c r="AD931" s="2" t="n">
        <x:f>IF(OR(AA931="DEFENSIV",AA931="PRUDENT",AA931="MODERAT",AA931="RIDICAT"),1,0)</x:f>
        <x:v>0</x:v>
      </x:c>
      <x:c r="AE931" s="2" t="str">
        <x:f>IF(AD931&lt;&gt;1,"NO",IF(W931="PASS","YES",IF(W931="OOS PENDING","CONDITIONAL","NO")))</x:f>
        <x:v>NO</x:v>
      </x:c>
      <x:c r="AF931" s="2" t="n">
        <x:f>IF(AND(AD931=1,AC931=1,E931="LIVE"),1,0)</x:f>
        <x:v>0</x:v>
      </x:c>
      <x:c r="AG931" s="2" t="str">
        <x:f>IF(AF931&lt;&gt;1,"",'Dashboard'!P92)</x:f>
      </x:c>
      <x:c r="AH931" s="2" t="str">
        <x:f>IF(B931="","",IF(J931&lt;&gt;"PASS",'Motor_Meciuri'!J72,IF('Calibrare_Linii'!U7&lt;&gt;"VALID","Parametri linie invalizi",IF(L931&gt;'Config_v6'!$B$13,"Dispersie peste limita",IF(W931="WATCH","Failure peste limita",IF(AB931&lt;'Config_v6'!$B$16,"P finala sub prag",IF(V931&lt;'Config_v6'!$B$18,"Confidence sub prag",IF(E931="REPLAY","Exemplu retrospectiv; exclus din Top LIVE",IF(Y931="PASS","DEFENSIV validat",IF(W931="OOS PENDING","Eligibil; calibrare linie in monitorizare","Eligibil"))))))))))</x:f>
      </x:c>
      <x:c r="AI931" s="2" t="str">
        <x:f>IF(B931="","",'Calibrare_Linii'!V7)</x:f>
      </x:c>
      <x:c r="AJ931" s="2" t="str">
        <x:f>IF(B931="","",IF(AND('Calibrare_Linii'!T7="VALIDATED",AND('Calibrare_Linii'!H7=C931,ISNUMBER('Calibrare_Linii'!J7),'Calibrare_Linii'!J7&lt;='Input_Meci'!G72)),"DEFENSIVE VALIDATED",IF(AND('Calibrare_Linii'!S7="VALIDATED",AND('Calibrare_Linii'!H7=C931,ISNUMBER('Calibrare_Linii'!J7),'Calibrare_Linii'!J7&lt;='Input_Meci'!G72)),"TAIL VALIDATED","OOS PENDING")))</x:f>
      </x:c>
      <x:c r="AK931" s="2" t="n">
        <x:f>IF(J931&lt;&gt;"PASS",0,'Motor_Meciuri'!BR72)</x:f>
        <x:v>0</x:v>
      </x:c>
      <x:c r="AL931" s="2" t="n">
        <x:f>IF(J931&lt;&gt;"PASS",0,'Motor_Meciuri'!BS72)</x:f>
        <x:v>0</x:v>
      </x:c>
      <x:c r="AM931" s="2" t="n">
        <x:f>IF(J931&lt;&gt;"PASS",0,'Motor_Meciuri'!BT72)</x:f>
        <x:v>0</x:v>
      </x:c>
      <x:c r="AN931" s="2" t="str">
        <x:f>IF(M931="","",MAX(0,'Motor_Meciuri'!BF72-IF(L931&gt;'Config_v6'!$B$12,'Config_v6'!$B$37,IF(L931&gt;'Config_v6'!$B$11,'Config_v6'!$B$36,0))))</x:f>
      </x:c>
    </x:row>
    <x:row r="932" ht="21" customHeight="1">
      <x:c r="A932" s="2" t="n">
        <x:v>67</x:v>
      </x:c>
      <x:c r="B932" s="2" t="str">
        <x:f>IF('Motor_Meciuri'!A72="","",'Motor_Meciuri'!A72)</x:f>
      </x:c>
      <x:c r="C932" s="2" t="str">
        <x:f>IF(B932="","",'Motor_Meciuri'!B72)</x:f>
      </x:c>
      <x:c r="D932" s="2" t="str">
        <x:f>IF(B932="","",'Motor_Meciuri'!D72)</x:f>
      </x:c>
      <x:c r="E932" s="2" t="str">
        <x:f>IF(B932="","",'Motor_Meciuri'!E72)</x:f>
      </x:c>
      <x:c r="F932" s="2" t="str">
        <x:v>O5,5</x:v>
      </x:c>
      <x:c r="G932" s="2" t="str">
        <x:v>OVER</x:v>
      </x:c>
      <x:c r="H932" s="2" t="n">
        <x:v>5</x:v>
      </x:c>
      <x:c r="I932" s="2" t="str">
        <x:f>IF(B932="","",'Motor_Meciuri'!H72)</x:f>
      </x:c>
      <x:c r="J932" s="2" t="str">
        <x:f>IF(B932="","",'Motor_Meciuri'!I72)</x:f>
      </x:c>
      <x:c r="K932" s="11" t="str">
        <x:f>IF(J932&lt;&gt;"PASS","",'Motor_Meciuri'!BD72)</x:f>
      </x:c>
      <x:c r="L932" s="11" t="str">
        <x:f>IF(J932&lt;&gt;"PASS","",'Motor_Meciuri'!AU72)</x:f>
      </x:c>
      <x:c r="M932" s="10" t="str">
        <x:f>IF(NOT(AND(J932="PASS",'Calibrare_Linii'!U8="VALID")),"",1-'Distributie'!AC72)</x:f>
      </x:c>
      <x:c r="N932" s="10" t="str">
        <x:f>IF(M932="","",MAX(0.01,MIN(0.99,0.5+(M932-0.5)*'Motor_Meciuri'!BG72*'Calibrare_Linii'!D8)))</x:f>
      </x:c>
      <x:c r="O932" s="10" t="str">
        <x:f>IF(M932="","",1-M932)</x:f>
      </x:c>
      <x:c r="P932" s="10" t="str">
        <x:f>IF(OR(NOT(AND(J932="PASS",'Calibrare_Linii'!U8="VALID")),AK932=0),""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*('Istoric_Nativ'!$Q$6:$Q$405&lt;=H932))/AK932)</x:f>
      </x:c>
      <x:c r="Q932" s="10" t="str">
        <x:f>IF(OR(NOT(AND(J932="PASS",'Calibrare_Linii'!U8="VALID")),AL932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M72)+((('Istoric_Nativ'!$E$6:$E$405='Input_Meci'!E72)+('Istoric_Nativ'!$F$6:$F$405='Input_Meci'!E72))&gt;0)*('Istoric_Nativ'!$D$6:$D$405&gt;='Motor_Meciuri'!BN72))&gt;0)*('Istoric_Nativ'!$Q$6:$Q$405&lt;=H932))/AL932)</x:f>
      </x:c>
      <x:c r="R932" s="10" t="str">
        <x:f>IF(OR(NOT(AND(J932="PASS",'Calibrare_Linii'!U8="VALID")),AM932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O72)+((('Istoric_Nativ'!$E$6:$E$405='Input_Meci'!E72)+('Istoric_Nativ'!$F$6:$F$405='Input_Meci'!E72))&gt;0)*('Istoric_Nativ'!$D$6:$D$405&gt;='Motor_Meciuri'!BP72))&gt;0)*('Istoric_Nativ'!$Q$6:$Q$405&lt;=H932))/AM932)</x:f>
      </x:c>
      <x:c r="S932" s="10" t="str">
        <x:f>IF(M932="","",MAX(O932,P932,Q932,R932))</x:f>
      </x:c>
      <x:c r="T932" s="11" t="str">
        <x:f>IF(M932="","",MIN(100,S932*100*'Config_v6'!$B$44+MIN(100,L932/'Config_v6'!$B$13*100)*'Config_v6'!$B$45+(100-'Motor_Meciuri'!BF72)*'Config_v6'!$B$46+'Motor_Meciuri'!BH72*100*'Config_v6'!$B$47))</x:f>
      </x:c>
      <x:c r="U932" s="2" t="str">
        <x:f>IF(T932="","",IF(T932&lt;=20,1,IF(T932&lt;=40,2,IF(T932&lt;=60,3,IF(T932&lt;=80,4,5)))))</x:f>
      </x:c>
      <x:c r="V932" s="2" t="str">
        <x:f>IF(M932="","",MAX(0,'Motor_Meciuri'!BF72-IF(W932="OOS PENDING",'Config_v6'!$B$35,0)-IF(L932&gt;'Config_v6'!$B$12,'Config_v6'!$B$37,IF(L932&gt;'Config_v6'!$B$11,'Config_v6'!$B$36,0))))</x:f>
      </x:c>
      <x:c r="W932" s="2" t="str">
        <x:f>IF(B932="","",IF(I932&lt;&gt;"READY","NOT RELEASED",IF(NOT(AND(J932="PASS",'Calibrare_Linii'!U8="VALID")),"INVALID",IF(NOT(AND('Calibrare_Linii'!S8="VALIDATED",AND('Calibrare_Linii'!H8=C932,ISNUMBER('Calibrare_Linii'!J8),'Calibrare_Linii'!J8&lt;='Input_Meci'!G72))),"OOS PENDING",IF(S932&lt;='Calibrare_Linii'!E8,"PASS",IF(S932&lt;='Calibrare_Linii'!F8,"PENALTY","WATCH"))))))</x:f>
      </x:c>
      <x:c r="X932" s="2" t="str">
        <x:f>IF(M932="","",IF(AND(AND(J932="PASS",'Calibrare_Linii'!U8="VALID"),'Motor_Meciuri'!K72=12,'Motor_Meciuri'!L72=12,'Motor_Meciuri'!M72="NO",'Motor_Meciuri'!BL72='Motor_Meciuri'!C72,AB932&gt;='Config_v6'!$B$50,AN932&gt;='Config_v6'!$B$51,T932&lt;='Config_v6'!$B$52,L932&lt;='Config_v6'!$B$53,ISNUMBER('Calibrare_Linii'!E8),S932&lt;='Calibrare_Linii'!E8,SUM(AK932:AM932)&gt;0),"CANDIDATE","NO"))</x:f>
      </x:c>
      <x:c r="Y932" s="2" t="str">
        <x:f>IF(B932="","",IF(I932&lt;&gt;"READY","NOT RELEASED",IF(AND(X932="CANDIDATE",V932&gt;='Config_v6'!$B$51,W932="PASS",'Calibrare_Linii'!T8="VALIDATED",AND('Calibrare_Linii'!H8=C932,ISNUMBER('Calibrare_Linii'!J8),'Calibrare_Linii'!J8&lt;='Input_Meci'!G72)),"PASS",IF(X932="CANDIDATE","OOS PENDING","FAIL"))))</x:f>
      </x:c>
      <x:c r="Z932" s="2" t="str">
        <x:f>IF(B932="","",IF(I932&lt;&gt;"READY","",IF(OR(NOT(AND(J932="PASS",'Calibrare_Linii'!U8="VALID")),L932&gt;'Config_v6'!$B$13,W932="WATCH"),5,IF(Y932="PASS",1,MIN(5,MAX('Config_v6'!$B$42,U932)+IF(W932="PENALTY",1,0))))))</x:f>
      </x:c>
      <x:c r="AA932" s="2" t="str">
        <x:f>IF(B932="","",IF(I932&lt;&gt;"READY","NOT RELEASED",IF(Z932=5,"NO BET",IF(OR(AB932&lt;'Config_v6'!$B$16,V932&lt;'Config_v6'!$B$18),"WATCH",IF(Z932=1,"DEFENSIV",IF(Z932=2,"PRUDENT",IF(Z932=3,"MODERAT","RIDICAT")))))))</x:f>
      </x:c>
      <x:c r="AB932" s="10" t="str">
        <x:f>IF(N932="","",MIN(N932,1-S932))</x:f>
      </x:c>
      <x:c r="AC932" s="2" t="str">
        <x:f>IF(AD932&lt;&gt;1,"",COUNTIFS($Z$930:$Z$943,"&lt;"&amp;Z932,$AD$930:$AD$943,1)+COUNTIFS($Z$930:$Z$943,Z932,$AB$930:$AB$943,"&gt;"&amp;AB932,$AD$930:$AD$943,1)+COUNTIFS($Z$930:$Z$943,Z932,$AB$930:$AB$943,AB932,$V$930:$V$943,"&gt;"&amp;V932,$AD$930:$AD$943,1)+COUNTIFS($Z$930:Z932,Z932,$AB$930:AB932,AB932,$V$930:V932,V932,$AD$930:AD932,1))</x:f>
      </x:c>
      <x:c r="AD932" s="2" t="n">
        <x:f>IF(OR(AA932="DEFENSIV",AA932="PRUDENT",AA932="MODERAT",AA932="RIDICAT"),1,0)</x:f>
        <x:v>0</x:v>
      </x:c>
      <x:c r="AE932" s="2" t="str">
        <x:f>IF(AD932&lt;&gt;1,"NO",IF(W932="PASS","YES",IF(W932="OOS PENDING","CONDITIONAL","NO")))</x:f>
        <x:v>NO</x:v>
      </x:c>
      <x:c r="AF932" s="2" t="n">
        <x:f>IF(AND(AD932=1,AC932=1,E932="LIVE"),1,0)</x:f>
        <x:v>0</x:v>
      </x:c>
      <x:c r="AG932" s="2" t="str">
        <x:f>IF(AF932&lt;&gt;1,"",'Dashboard'!P92)</x:f>
      </x:c>
      <x:c r="AH932" s="2" t="str">
        <x:f>IF(B932="","",IF(J932&lt;&gt;"PASS",'Motor_Meciuri'!J72,IF('Calibrare_Linii'!U8&lt;&gt;"VALID","Parametri linie invalizi",IF(L932&gt;'Config_v6'!$B$13,"Dispersie peste limita",IF(W932="WATCH","Failure peste limita",IF(AB932&lt;'Config_v6'!$B$16,"P finala sub prag",IF(V932&lt;'Config_v6'!$B$18,"Confidence sub prag",IF(E932="REPLAY","Exemplu retrospectiv; exclus din Top LIVE",IF(Y932="PASS","DEFENSIV validat",IF(W932="OOS PENDING","Eligibil; calibrare linie in monitorizare","Eligibil"))))))))))</x:f>
      </x:c>
      <x:c r="AI932" s="2" t="str">
        <x:f>IF(B932="","",'Calibrare_Linii'!V8)</x:f>
      </x:c>
      <x:c r="AJ932" s="2" t="str">
        <x:f>IF(B932="","",IF(AND('Calibrare_Linii'!T8="VALIDATED",AND('Calibrare_Linii'!H8=C932,ISNUMBER('Calibrare_Linii'!J8),'Calibrare_Linii'!J8&lt;='Input_Meci'!G72)),"DEFENSIVE VALIDATED",IF(AND('Calibrare_Linii'!S8="VALIDATED",AND('Calibrare_Linii'!H8=C932,ISNUMBER('Calibrare_Linii'!J8),'Calibrare_Linii'!J8&lt;='Input_Meci'!G72)),"TAIL VALIDATED","OOS PENDING")))</x:f>
      </x:c>
      <x:c r="AK932" s="2" t="n">
        <x:f>IF(J932&lt;&gt;"PASS",0,'Motor_Meciuri'!BR72)</x:f>
        <x:v>0</x:v>
      </x:c>
      <x:c r="AL932" s="2" t="n">
        <x:f>IF(J932&lt;&gt;"PASS",0,'Motor_Meciuri'!BS72)</x:f>
        <x:v>0</x:v>
      </x:c>
      <x:c r="AM932" s="2" t="n">
        <x:f>IF(J932&lt;&gt;"PASS",0,'Motor_Meciuri'!BT72)</x:f>
        <x:v>0</x:v>
      </x:c>
      <x:c r="AN932" s="2" t="str">
        <x:f>IF(M932="","",MAX(0,'Motor_Meciuri'!BF72-IF(L932&gt;'Config_v6'!$B$12,'Config_v6'!$B$37,IF(L932&gt;'Config_v6'!$B$11,'Config_v6'!$B$36,0))))</x:f>
      </x:c>
    </x:row>
    <x:row r="933" ht="21" customHeight="1">
      <x:c r="A933" s="2" t="n">
        <x:v>67</x:v>
      </x:c>
      <x:c r="B933" s="2" t="str">
        <x:f>IF('Motor_Meciuri'!A72="","",'Motor_Meciuri'!A72)</x:f>
      </x:c>
      <x:c r="C933" s="2" t="str">
        <x:f>IF(B933="","",'Motor_Meciuri'!B72)</x:f>
      </x:c>
      <x:c r="D933" s="2" t="str">
        <x:f>IF(B933="","",'Motor_Meciuri'!D72)</x:f>
      </x:c>
      <x:c r="E933" s="2" t="str">
        <x:f>IF(B933="","",'Motor_Meciuri'!E72)</x:f>
      </x:c>
      <x:c r="F933" s="2" t="str">
        <x:v>O6,5</x:v>
      </x:c>
      <x:c r="G933" s="2" t="str">
        <x:v>OVER</x:v>
      </x:c>
      <x:c r="H933" s="2" t="n">
        <x:v>6</x:v>
      </x:c>
      <x:c r="I933" s="2" t="str">
        <x:f>IF(B933="","",'Motor_Meciuri'!H72)</x:f>
      </x:c>
      <x:c r="J933" s="2" t="str">
        <x:f>IF(B933="","",'Motor_Meciuri'!I72)</x:f>
      </x:c>
      <x:c r="K933" s="11" t="str">
        <x:f>IF(J933&lt;&gt;"PASS","",'Motor_Meciuri'!BD72)</x:f>
      </x:c>
      <x:c r="L933" s="11" t="str">
        <x:f>IF(J933&lt;&gt;"PASS","",'Motor_Meciuri'!AU72)</x:f>
      </x:c>
      <x:c r="M933" s="10" t="str">
        <x:f>IF(NOT(AND(J933="PASS",'Calibrare_Linii'!U9="VALID")),"",1-'Distributie'!AD72)</x:f>
      </x:c>
      <x:c r="N933" s="10" t="str">
        <x:f>IF(M933="","",MAX(0.01,MIN(0.99,0.5+(M933-0.5)*'Motor_Meciuri'!BG72*'Calibrare_Linii'!D9)))</x:f>
      </x:c>
      <x:c r="O933" s="10" t="str">
        <x:f>IF(M933="","",1-M933)</x:f>
      </x:c>
      <x:c r="P933" s="10" t="str">
        <x:f>IF(OR(NOT(AND(J933="PASS",'Calibrare_Linii'!U9="VALID")),AK933=0),""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*('Istoric_Nativ'!$Q$6:$Q$405&lt;=H933))/AK933)</x:f>
      </x:c>
      <x:c r="Q933" s="10" t="str">
        <x:f>IF(OR(NOT(AND(J933="PASS",'Calibrare_Linii'!U9="VALID")),AL933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M72)+((('Istoric_Nativ'!$E$6:$E$405='Input_Meci'!E72)+('Istoric_Nativ'!$F$6:$F$405='Input_Meci'!E72))&gt;0)*('Istoric_Nativ'!$D$6:$D$405&gt;='Motor_Meciuri'!BN72))&gt;0)*('Istoric_Nativ'!$Q$6:$Q$405&lt;=H933))/AL933)</x:f>
      </x:c>
      <x:c r="R933" s="10" t="str">
        <x:f>IF(OR(NOT(AND(J933="PASS",'Calibrare_Linii'!U9="VALID")),AM933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O72)+((('Istoric_Nativ'!$E$6:$E$405='Input_Meci'!E72)+('Istoric_Nativ'!$F$6:$F$405='Input_Meci'!E72))&gt;0)*('Istoric_Nativ'!$D$6:$D$405&gt;='Motor_Meciuri'!BP72))&gt;0)*('Istoric_Nativ'!$Q$6:$Q$405&lt;=H933))/AM933)</x:f>
      </x:c>
      <x:c r="S933" s="10" t="str">
        <x:f>IF(M933="","",MAX(O933,P933,Q933,R933))</x:f>
      </x:c>
      <x:c r="T933" s="11" t="str">
        <x:f>IF(M933="","",MIN(100,S933*100*'Config_v6'!$B$44+MIN(100,L933/'Config_v6'!$B$13*100)*'Config_v6'!$B$45+(100-'Motor_Meciuri'!BF72)*'Config_v6'!$B$46+'Motor_Meciuri'!BH72*100*'Config_v6'!$B$47))</x:f>
      </x:c>
      <x:c r="U933" s="2" t="str">
        <x:f>IF(T933="","",IF(T933&lt;=20,1,IF(T933&lt;=40,2,IF(T933&lt;=60,3,IF(T933&lt;=80,4,5)))))</x:f>
      </x:c>
      <x:c r="V933" s="2" t="str">
        <x:f>IF(M933="","",MAX(0,'Motor_Meciuri'!BF72-IF(W933="OOS PENDING",'Config_v6'!$B$35,0)-IF(L933&gt;'Config_v6'!$B$12,'Config_v6'!$B$37,IF(L933&gt;'Config_v6'!$B$11,'Config_v6'!$B$36,0))))</x:f>
      </x:c>
      <x:c r="W933" s="2" t="str">
        <x:f>IF(B933="","",IF(I933&lt;&gt;"READY","NOT RELEASED",IF(NOT(AND(J933="PASS",'Calibrare_Linii'!U9="VALID")),"INVALID",IF(NOT(AND('Calibrare_Linii'!S9="VALIDATED",AND('Calibrare_Linii'!H9=C933,ISNUMBER('Calibrare_Linii'!J9),'Calibrare_Linii'!J9&lt;='Input_Meci'!G72))),"OOS PENDING",IF(S933&lt;='Calibrare_Linii'!E9,"PASS",IF(S933&lt;='Calibrare_Linii'!F9,"PENALTY","WATCH"))))))</x:f>
      </x:c>
      <x:c r="X933" s="2" t="str">
        <x:f>IF(M933="","",IF(AND(AND(J933="PASS",'Calibrare_Linii'!U9="VALID"),'Motor_Meciuri'!K72=12,'Motor_Meciuri'!L72=12,'Motor_Meciuri'!M72="NO",'Motor_Meciuri'!BL72='Motor_Meciuri'!C72,AB933&gt;='Config_v6'!$B$50,AN933&gt;='Config_v6'!$B$51,T933&lt;='Config_v6'!$B$52,L933&lt;='Config_v6'!$B$53,ISNUMBER('Calibrare_Linii'!E9),S933&lt;='Calibrare_Linii'!E9,SUM(AK933:AM933)&gt;0),"CANDIDATE","NO"))</x:f>
      </x:c>
      <x:c r="Y933" s="2" t="str">
        <x:f>IF(B933="","",IF(I933&lt;&gt;"READY","NOT RELEASED",IF(AND(X933="CANDIDATE",V933&gt;='Config_v6'!$B$51,W933="PASS",'Calibrare_Linii'!T9="VALIDATED",AND('Calibrare_Linii'!H9=C933,ISNUMBER('Calibrare_Linii'!J9),'Calibrare_Linii'!J9&lt;='Input_Meci'!G72)),"PASS",IF(X933="CANDIDATE","OOS PENDING","FAIL"))))</x:f>
      </x:c>
      <x:c r="Z933" s="2" t="str">
        <x:f>IF(B933="","",IF(I933&lt;&gt;"READY","",IF(OR(NOT(AND(J933="PASS",'Calibrare_Linii'!U9="VALID")),L933&gt;'Config_v6'!$B$13,W933="WATCH"),5,IF(Y933="PASS",1,MIN(5,MAX('Config_v6'!$B$42,U933)+IF(W933="PENALTY",1,0))))))</x:f>
      </x:c>
      <x:c r="AA933" s="2" t="str">
        <x:f>IF(B933="","",IF(I933&lt;&gt;"READY","NOT RELEASED",IF(Z933=5,"NO BET",IF(OR(AB933&lt;'Config_v6'!$B$16,V933&lt;'Config_v6'!$B$18),"WATCH",IF(Z933=1,"DEFENSIV",IF(Z933=2,"PRUDENT",IF(Z933=3,"MODERAT","RIDICAT")))))))</x:f>
      </x:c>
      <x:c r="AB933" s="10" t="str">
        <x:f>IF(N933="","",MIN(N933,1-S933))</x:f>
      </x:c>
      <x:c r="AC933" s="2" t="str">
        <x:f>IF(AD933&lt;&gt;1,"",COUNTIFS($Z$930:$Z$943,"&lt;"&amp;Z933,$AD$930:$AD$943,1)+COUNTIFS($Z$930:$Z$943,Z933,$AB$930:$AB$943,"&gt;"&amp;AB933,$AD$930:$AD$943,1)+COUNTIFS($Z$930:$Z$943,Z933,$AB$930:$AB$943,AB933,$V$930:$V$943,"&gt;"&amp;V933,$AD$930:$AD$943,1)+COUNTIFS($Z$930:Z933,Z933,$AB$930:AB933,AB933,$V$930:V933,V933,$AD$930:AD933,1))</x:f>
      </x:c>
      <x:c r="AD933" s="2" t="n">
        <x:f>IF(OR(AA933="DEFENSIV",AA933="PRUDENT",AA933="MODERAT",AA933="RIDICAT"),1,0)</x:f>
        <x:v>0</x:v>
      </x:c>
      <x:c r="AE933" s="2" t="str">
        <x:f>IF(AD933&lt;&gt;1,"NO",IF(W933="PASS","YES",IF(W933="OOS PENDING","CONDITIONAL","NO")))</x:f>
        <x:v>NO</x:v>
      </x:c>
      <x:c r="AF933" s="2" t="n">
        <x:f>IF(AND(AD933=1,AC933=1,E933="LIVE"),1,0)</x:f>
        <x:v>0</x:v>
      </x:c>
      <x:c r="AG933" s="2" t="str">
        <x:f>IF(AF933&lt;&gt;1,"",'Dashboard'!P92)</x:f>
      </x:c>
      <x:c r="AH933" s="2" t="str">
        <x:f>IF(B933="","",IF(J933&lt;&gt;"PASS",'Motor_Meciuri'!J72,IF('Calibrare_Linii'!U9&lt;&gt;"VALID","Parametri linie invalizi",IF(L933&gt;'Config_v6'!$B$13,"Dispersie peste limita",IF(W933="WATCH","Failure peste limita",IF(AB933&lt;'Config_v6'!$B$16,"P finala sub prag",IF(V933&lt;'Config_v6'!$B$18,"Confidence sub prag",IF(E933="REPLAY","Exemplu retrospectiv; exclus din Top LIVE",IF(Y933="PASS","DEFENSIV validat",IF(W933="OOS PENDING","Eligibil; calibrare linie in monitorizare","Eligibil"))))))))))</x:f>
      </x:c>
      <x:c r="AI933" s="2" t="str">
        <x:f>IF(B933="","",'Calibrare_Linii'!V9)</x:f>
      </x:c>
      <x:c r="AJ933" s="2" t="str">
        <x:f>IF(B933="","",IF(AND('Calibrare_Linii'!T9="VALIDATED",AND('Calibrare_Linii'!H9=C933,ISNUMBER('Calibrare_Linii'!J9),'Calibrare_Linii'!J9&lt;='Input_Meci'!G72)),"DEFENSIVE VALIDATED",IF(AND('Calibrare_Linii'!S9="VALIDATED",AND('Calibrare_Linii'!H9=C933,ISNUMBER('Calibrare_Linii'!J9),'Calibrare_Linii'!J9&lt;='Input_Meci'!G72)),"TAIL VALIDATED","OOS PENDING")))</x:f>
      </x:c>
      <x:c r="AK933" s="2" t="n">
        <x:f>IF(J933&lt;&gt;"PASS",0,'Motor_Meciuri'!BR72)</x:f>
        <x:v>0</x:v>
      </x:c>
      <x:c r="AL933" s="2" t="n">
        <x:f>IF(J933&lt;&gt;"PASS",0,'Motor_Meciuri'!BS72)</x:f>
        <x:v>0</x:v>
      </x:c>
      <x:c r="AM933" s="2" t="n">
        <x:f>IF(J933&lt;&gt;"PASS",0,'Motor_Meciuri'!BT72)</x:f>
        <x:v>0</x:v>
      </x:c>
      <x:c r="AN933" s="2" t="str">
        <x:f>IF(M933="","",MAX(0,'Motor_Meciuri'!BF72-IF(L933&gt;'Config_v6'!$B$12,'Config_v6'!$B$37,IF(L933&gt;'Config_v6'!$B$11,'Config_v6'!$B$36,0))))</x:f>
      </x:c>
    </x:row>
    <x:row r="934" ht="21" customHeight="1">
      <x:c r="A934" s="2" t="n">
        <x:v>67</x:v>
      </x:c>
      <x:c r="B934" s="2" t="str">
        <x:f>IF('Motor_Meciuri'!A72="","",'Motor_Meciuri'!A72)</x:f>
      </x:c>
      <x:c r="C934" s="2" t="str">
        <x:f>IF(B934="","",'Motor_Meciuri'!B72)</x:f>
      </x:c>
      <x:c r="D934" s="2" t="str">
        <x:f>IF(B934="","",'Motor_Meciuri'!D72)</x:f>
      </x:c>
      <x:c r="E934" s="2" t="str">
        <x:f>IF(B934="","",'Motor_Meciuri'!E72)</x:f>
      </x:c>
      <x:c r="F934" s="2" t="str">
        <x:v>O7,5</x:v>
      </x:c>
      <x:c r="G934" s="2" t="str">
        <x:v>OVER</x:v>
      </x:c>
      <x:c r="H934" s="2" t="n">
        <x:v>7</x:v>
      </x:c>
      <x:c r="I934" s="2" t="str">
        <x:f>IF(B934="","",'Motor_Meciuri'!H72)</x:f>
      </x:c>
      <x:c r="J934" s="2" t="str">
        <x:f>IF(B934="","",'Motor_Meciuri'!I72)</x:f>
      </x:c>
      <x:c r="K934" s="11" t="str">
        <x:f>IF(J934&lt;&gt;"PASS","",'Motor_Meciuri'!BD72)</x:f>
      </x:c>
      <x:c r="L934" s="11" t="str">
        <x:f>IF(J934&lt;&gt;"PASS","",'Motor_Meciuri'!AU72)</x:f>
      </x:c>
      <x:c r="M934" s="10" t="str">
        <x:f>IF(NOT(AND(J934="PASS",'Calibrare_Linii'!U10="VALID")),"",1-'Distributie'!AE72)</x:f>
      </x:c>
      <x:c r="N934" s="10" t="str">
        <x:f>IF(M934="","",MAX(0.01,MIN(0.99,0.5+(M934-0.5)*'Motor_Meciuri'!BG72*'Calibrare_Linii'!D10)))</x:f>
      </x:c>
      <x:c r="O934" s="10" t="str">
        <x:f>IF(M934="","",1-M934)</x:f>
      </x:c>
      <x:c r="P934" s="10" t="str">
        <x:f>IF(OR(NOT(AND(J934="PASS",'Calibrare_Linii'!U10="VALID")),AK934=0),""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*('Istoric_Nativ'!$Q$6:$Q$405&lt;=H934))/AK934)</x:f>
      </x:c>
      <x:c r="Q934" s="10" t="str">
        <x:f>IF(OR(NOT(AND(J934="PASS",'Calibrare_Linii'!U10="VALID")),AL934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M72)+((('Istoric_Nativ'!$E$6:$E$405='Input_Meci'!E72)+('Istoric_Nativ'!$F$6:$F$405='Input_Meci'!E72))&gt;0)*('Istoric_Nativ'!$D$6:$D$405&gt;='Motor_Meciuri'!BN72))&gt;0)*('Istoric_Nativ'!$Q$6:$Q$405&lt;=H934))/AL934)</x:f>
      </x:c>
      <x:c r="R934" s="10" t="str">
        <x:f>IF(OR(NOT(AND(J934="PASS",'Calibrare_Linii'!U10="VALID")),AM934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O72)+((('Istoric_Nativ'!$E$6:$E$405='Input_Meci'!E72)+('Istoric_Nativ'!$F$6:$F$405='Input_Meci'!E72))&gt;0)*('Istoric_Nativ'!$D$6:$D$405&gt;='Motor_Meciuri'!BP72))&gt;0)*('Istoric_Nativ'!$Q$6:$Q$405&lt;=H934))/AM934)</x:f>
      </x:c>
      <x:c r="S934" s="10" t="str">
        <x:f>IF(M934="","",MAX(O934,P934,Q934,R934))</x:f>
      </x:c>
      <x:c r="T934" s="11" t="str">
        <x:f>IF(M934="","",MIN(100,S934*100*'Config_v6'!$B$44+MIN(100,L934/'Config_v6'!$B$13*100)*'Config_v6'!$B$45+(100-'Motor_Meciuri'!BF72)*'Config_v6'!$B$46+'Motor_Meciuri'!BH72*100*'Config_v6'!$B$47))</x:f>
      </x:c>
      <x:c r="U934" s="2" t="str">
        <x:f>IF(T934="","",IF(T934&lt;=20,1,IF(T934&lt;=40,2,IF(T934&lt;=60,3,IF(T934&lt;=80,4,5)))))</x:f>
      </x:c>
      <x:c r="V934" s="2" t="str">
        <x:f>IF(M934="","",MAX(0,'Motor_Meciuri'!BF72-IF(W934="OOS PENDING",'Config_v6'!$B$35,0)-IF(L934&gt;'Config_v6'!$B$12,'Config_v6'!$B$37,IF(L934&gt;'Config_v6'!$B$11,'Config_v6'!$B$36,0))))</x:f>
      </x:c>
      <x:c r="W934" s="2" t="str">
        <x:f>IF(B934="","",IF(I934&lt;&gt;"READY","NOT RELEASED",IF(NOT(AND(J934="PASS",'Calibrare_Linii'!U10="VALID")),"INVALID",IF(NOT(AND('Calibrare_Linii'!S10="VALIDATED",AND('Calibrare_Linii'!H10=C934,ISNUMBER('Calibrare_Linii'!J10),'Calibrare_Linii'!J10&lt;='Input_Meci'!G72))),"OOS PENDING",IF(S934&lt;='Calibrare_Linii'!E10,"PASS",IF(S934&lt;='Calibrare_Linii'!F10,"PENALTY","WATCH"))))))</x:f>
      </x:c>
      <x:c r="X934" s="2" t="str">
        <x:f>IF(M934="","",IF(AND(AND(J934="PASS",'Calibrare_Linii'!U10="VALID"),'Motor_Meciuri'!K72=12,'Motor_Meciuri'!L72=12,'Motor_Meciuri'!M72="NO",'Motor_Meciuri'!BL72='Motor_Meciuri'!C72,AB934&gt;='Config_v6'!$B$50,AN934&gt;='Config_v6'!$B$51,T934&lt;='Config_v6'!$B$52,L934&lt;='Config_v6'!$B$53,ISNUMBER('Calibrare_Linii'!E10),S934&lt;='Calibrare_Linii'!E10,SUM(AK934:AM934)&gt;0),"CANDIDATE","NO"))</x:f>
      </x:c>
      <x:c r="Y934" s="2" t="str">
        <x:f>IF(B934="","",IF(I934&lt;&gt;"READY","NOT RELEASED",IF(AND(X934="CANDIDATE",V934&gt;='Config_v6'!$B$51,W934="PASS",'Calibrare_Linii'!T10="VALIDATED",AND('Calibrare_Linii'!H10=C934,ISNUMBER('Calibrare_Linii'!J10),'Calibrare_Linii'!J10&lt;='Input_Meci'!G72)),"PASS",IF(X934="CANDIDATE","OOS PENDING","FAIL"))))</x:f>
      </x:c>
      <x:c r="Z934" s="2" t="str">
        <x:f>IF(B934="","",IF(I934&lt;&gt;"READY","",IF(OR(NOT(AND(J934="PASS",'Calibrare_Linii'!U10="VALID")),L934&gt;'Config_v6'!$B$13,W934="WATCH"),5,IF(Y934="PASS",1,MIN(5,MAX('Config_v6'!$B$42,U934)+IF(W934="PENALTY",1,0))))))</x:f>
      </x:c>
      <x:c r="AA934" s="2" t="str">
        <x:f>IF(B934="","",IF(I934&lt;&gt;"READY","NOT RELEASED",IF(Z934=5,"NO BET",IF(OR(AB934&lt;'Config_v6'!$B$16,V934&lt;'Config_v6'!$B$18),"WATCH",IF(Z934=1,"DEFENSIV",IF(Z934=2,"PRUDENT",IF(Z934=3,"MODERAT","RIDICAT")))))))</x:f>
      </x:c>
      <x:c r="AB934" s="10" t="str">
        <x:f>IF(N934="","",MIN(N934,1-S934))</x:f>
      </x:c>
      <x:c r="AC934" s="2" t="str">
        <x:f>IF(AD934&lt;&gt;1,"",COUNTIFS($Z$930:$Z$943,"&lt;"&amp;Z934,$AD$930:$AD$943,1)+COUNTIFS($Z$930:$Z$943,Z934,$AB$930:$AB$943,"&gt;"&amp;AB934,$AD$930:$AD$943,1)+COUNTIFS($Z$930:$Z$943,Z934,$AB$930:$AB$943,AB934,$V$930:$V$943,"&gt;"&amp;V934,$AD$930:$AD$943,1)+COUNTIFS($Z$930:Z934,Z934,$AB$930:AB934,AB934,$V$930:V934,V934,$AD$930:AD934,1))</x:f>
      </x:c>
      <x:c r="AD934" s="2" t="n">
        <x:f>IF(OR(AA934="DEFENSIV",AA934="PRUDENT",AA934="MODERAT",AA934="RIDICAT"),1,0)</x:f>
        <x:v>0</x:v>
      </x:c>
      <x:c r="AE934" s="2" t="str">
        <x:f>IF(AD934&lt;&gt;1,"NO",IF(W934="PASS","YES",IF(W934="OOS PENDING","CONDITIONAL","NO")))</x:f>
        <x:v>NO</x:v>
      </x:c>
      <x:c r="AF934" s="2" t="n">
        <x:f>IF(AND(AD934=1,AC934=1,E934="LIVE"),1,0)</x:f>
        <x:v>0</x:v>
      </x:c>
      <x:c r="AG934" s="2" t="str">
        <x:f>IF(AF934&lt;&gt;1,"",'Dashboard'!P92)</x:f>
      </x:c>
      <x:c r="AH934" s="2" t="str">
        <x:f>IF(B934="","",IF(J934&lt;&gt;"PASS",'Motor_Meciuri'!J72,IF('Calibrare_Linii'!U10&lt;&gt;"VALID","Parametri linie invalizi",IF(L934&gt;'Config_v6'!$B$13,"Dispersie peste limita",IF(W934="WATCH","Failure peste limita",IF(AB934&lt;'Config_v6'!$B$16,"P finala sub prag",IF(V934&lt;'Config_v6'!$B$18,"Confidence sub prag",IF(E934="REPLAY","Exemplu retrospectiv; exclus din Top LIVE",IF(Y934="PASS","DEFENSIV validat",IF(W934="OOS PENDING","Eligibil; calibrare linie in monitorizare","Eligibil"))))))))))</x:f>
      </x:c>
      <x:c r="AI934" s="2" t="str">
        <x:f>IF(B934="","",'Calibrare_Linii'!V10)</x:f>
      </x:c>
      <x:c r="AJ934" s="2" t="str">
        <x:f>IF(B934="","",IF(AND('Calibrare_Linii'!T10="VALIDATED",AND('Calibrare_Linii'!H10=C934,ISNUMBER('Calibrare_Linii'!J10),'Calibrare_Linii'!J10&lt;='Input_Meci'!G72)),"DEFENSIVE VALIDATED",IF(AND('Calibrare_Linii'!S10="VALIDATED",AND('Calibrare_Linii'!H10=C934,ISNUMBER('Calibrare_Linii'!J10),'Calibrare_Linii'!J10&lt;='Input_Meci'!G72)),"TAIL VALIDATED","OOS PENDING")))</x:f>
      </x:c>
      <x:c r="AK934" s="2" t="n">
        <x:f>IF(J934&lt;&gt;"PASS",0,'Motor_Meciuri'!BR72)</x:f>
        <x:v>0</x:v>
      </x:c>
      <x:c r="AL934" s="2" t="n">
        <x:f>IF(J934&lt;&gt;"PASS",0,'Motor_Meciuri'!BS72)</x:f>
        <x:v>0</x:v>
      </x:c>
      <x:c r="AM934" s="2" t="n">
        <x:f>IF(J934&lt;&gt;"PASS",0,'Motor_Meciuri'!BT72)</x:f>
        <x:v>0</x:v>
      </x:c>
      <x:c r="AN934" s="2" t="str">
        <x:f>IF(M934="","",MAX(0,'Motor_Meciuri'!BF72-IF(L934&gt;'Config_v6'!$B$12,'Config_v6'!$B$37,IF(L934&gt;'Config_v6'!$B$11,'Config_v6'!$B$36,0))))</x:f>
      </x:c>
    </x:row>
    <x:row r="935" ht="21" customHeight="1">
      <x:c r="A935" s="2" t="n">
        <x:v>67</x:v>
      </x:c>
      <x:c r="B935" s="2" t="str">
        <x:f>IF('Motor_Meciuri'!A72="","",'Motor_Meciuri'!A72)</x:f>
      </x:c>
      <x:c r="C935" s="2" t="str">
        <x:f>IF(B935="","",'Motor_Meciuri'!B72)</x:f>
      </x:c>
      <x:c r="D935" s="2" t="str">
        <x:f>IF(B935="","",'Motor_Meciuri'!D72)</x:f>
      </x:c>
      <x:c r="E935" s="2" t="str">
        <x:f>IF(B935="","",'Motor_Meciuri'!E72)</x:f>
      </x:c>
      <x:c r="F935" s="2" t="str">
        <x:v>O8,5</x:v>
      </x:c>
      <x:c r="G935" s="2" t="str">
        <x:v>OVER</x:v>
      </x:c>
      <x:c r="H935" s="2" t="n">
        <x:v>8</x:v>
      </x:c>
      <x:c r="I935" s="2" t="str">
        <x:f>IF(B935="","",'Motor_Meciuri'!H72)</x:f>
      </x:c>
      <x:c r="J935" s="2" t="str">
        <x:f>IF(B935="","",'Motor_Meciuri'!I72)</x:f>
      </x:c>
      <x:c r="K935" s="11" t="str">
        <x:f>IF(J935&lt;&gt;"PASS","",'Motor_Meciuri'!BD72)</x:f>
      </x:c>
      <x:c r="L935" s="11" t="str">
        <x:f>IF(J935&lt;&gt;"PASS","",'Motor_Meciuri'!AU72)</x:f>
      </x:c>
      <x:c r="M935" s="10" t="str">
        <x:f>IF(NOT(AND(J935="PASS",'Calibrare_Linii'!U11="VALID")),"",1-'Distributie'!AF72)</x:f>
      </x:c>
      <x:c r="N935" s="10" t="str">
        <x:f>IF(M935="","",MAX(0.01,MIN(0.99,0.5+(M935-0.5)*'Motor_Meciuri'!BG72*'Calibrare_Linii'!D11)))</x:f>
      </x:c>
      <x:c r="O935" s="10" t="str">
        <x:f>IF(M935="","",1-M935)</x:f>
      </x:c>
      <x:c r="P935" s="10" t="str">
        <x:f>IF(OR(NOT(AND(J935="PASS",'Calibrare_Linii'!U11="VALID")),AK935=0),""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*('Istoric_Nativ'!$Q$6:$Q$405&lt;=H935))/AK935)</x:f>
      </x:c>
      <x:c r="Q935" s="10" t="str">
        <x:f>IF(OR(NOT(AND(J935="PASS",'Calibrare_Linii'!U11="VALID")),AL935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M72)+((('Istoric_Nativ'!$E$6:$E$405='Input_Meci'!E72)+('Istoric_Nativ'!$F$6:$F$405='Input_Meci'!E72))&gt;0)*('Istoric_Nativ'!$D$6:$D$405&gt;='Motor_Meciuri'!BN72))&gt;0)*('Istoric_Nativ'!$Q$6:$Q$405&lt;=H935))/AL935)</x:f>
      </x:c>
      <x:c r="R935" s="10" t="str">
        <x:f>IF(OR(NOT(AND(J935="PASS",'Calibrare_Linii'!U11="VALID")),AM935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O72)+((('Istoric_Nativ'!$E$6:$E$405='Input_Meci'!E72)+('Istoric_Nativ'!$F$6:$F$405='Input_Meci'!E72))&gt;0)*('Istoric_Nativ'!$D$6:$D$405&gt;='Motor_Meciuri'!BP72))&gt;0)*('Istoric_Nativ'!$Q$6:$Q$405&lt;=H935))/AM935)</x:f>
      </x:c>
      <x:c r="S935" s="10" t="str">
        <x:f>IF(M935="","",MAX(O935,P935,Q935,R935))</x:f>
      </x:c>
      <x:c r="T935" s="11" t="str">
        <x:f>IF(M935="","",MIN(100,S935*100*'Config_v6'!$B$44+MIN(100,L935/'Config_v6'!$B$13*100)*'Config_v6'!$B$45+(100-'Motor_Meciuri'!BF72)*'Config_v6'!$B$46+'Motor_Meciuri'!BH72*100*'Config_v6'!$B$47))</x:f>
      </x:c>
      <x:c r="U935" s="2" t="str">
        <x:f>IF(T935="","",IF(T935&lt;=20,1,IF(T935&lt;=40,2,IF(T935&lt;=60,3,IF(T935&lt;=80,4,5)))))</x:f>
      </x:c>
      <x:c r="V935" s="2" t="str">
        <x:f>IF(M935="","",MAX(0,'Motor_Meciuri'!BF72-IF(W935="OOS PENDING",'Config_v6'!$B$35,0)-IF(L935&gt;'Config_v6'!$B$12,'Config_v6'!$B$37,IF(L935&gt;'Config_v6'!$B$11,'Config_v6'!$B$36,0))))</x:f>
      </x:c>
      <x:c r="W935" s="2" t="str">
        <x:f>IF(B935="","",IF(I935&lt;&gt;"READY","NOT RELEASED",IF(NOT(AND(J935="PASS",'Calibrare_Linii'!U11="VALID")),"INVALID",IF(NOT(AND('Calibrare_Linii'!S11="VALIDATED",AND('Calibrare_Linii'!H11=C935,ISNUMBER('Calibrare_Linii'!J11),'Calibrare_Linii'!J11&lt;='Input_Meci'!G72))),"OOS PENDING",IF(S935&lt;='Calibrare_Linii'!E11,"PASS",IF(S935&lt;='Calibrare_Linii'!F11,"PENALTY","WATCH"))))))</x:f>
      </x:c>
      <x:c r="X935" s="2" t="str">
        <x:f>IF(M935="","",IF(AND(AND(J935="PASS",'Calibrare_Linii'!U11="VALID"),'Motor_Meciuri'!K72=12,'Motor_Meciuri'!L72=12,'Motor_Meciuri'!M72="NO",'Motor_Meciuri'!BL72='Motor_Meciuri'!C72,AB935&gt;='Config_v6'!$B$50,AN935&gt;='Config_v6'!$B$51,T935&lt;='Config_v6'!$B$52,L935&lt;='Config_v6'!$B$53,ISNUMBER('Calibrare_Linii'!E11),S935&lt;='Calibrare_Linii'!E11,SUM(AK935:AM935)&gt;0),"CANDIDATE","NO"))</x:f>
      </x:c>
      <x:c r="Y935" s="2" t="str">
        <x:f>IF(B935="","",IF(I935&lt;&gt;"READY","NOT RELEASED",IF(AND(X935="CANDIDATE",V935&gt;='Config_v6'!$B$51,W935="PASS",'Calibrare_Linii'!T11="VALIDATED",AND('Calibrare_Linii'!H11=C935,ISNUMBER('Calibrare_Linii'!J11),'Calibrare_Linii'!J11&lt;='Input_Meci'!G72)),"PASS",IF(X935="CANDIDATE","OOS PENDING","FAIL"))))</x:f>
      </x:c>
      <x:c r="Z935" s="2" t="str">
        <x:f>IF(B935="","",IF(I935&lt;&gt;"READY","",IF(OR(NOT(AND(J935="PASS",'Calibrare_Linii'!U11="VALID")),L935&gt;'Config_v6'!$B$13,W935="WATCH"),5,IF(Y935="PASS",1,MIN(5,MAX('Config_v6'!$B$42,U935)+IF(W935="PENALTY",1,0))))))</x:f>
      </x:c>
      <x:c r="AA935" s="2" t="str">
        <x:f>IF(B935="","",IF(I935&lt;&gt;"READY","NOT RELEASED",IF(Z935=5,"NO BET",IF(OR(AB935&lt;'Config_v6'!$B$16,V935&lt;'Config_v6'!$B$18),"WATCH",IF(Z935=1,"DEFENSIV",IF(Z935=2,"PRUDENT",IF(Z935=3,"MODERAT","RIDICAT")))))))</x:f>
      </x:c>
      <x:c r="AB935" s="10" t="str">
        <x:f>IF(N935="","",MIN(N935,1-S935))</x:f>
      </x:c>
      <x:c r="AC935" s="2" t="str">
        <x:f>IF(AD935&lt;&gt;1,"",COUNTIFS($Z$930:$Z$943,"&lt;"&amp;Z935,$AD$930:$AD$943,1)+COUNTIFS($Z$930:$Z$943,Z935,$AB$930:$AB$943,"&gt;"&amp;AB935,$AD$930:$AD$943,1)+COUNTIFS($Z$930:$Z$943,Z935,$AB$930:$AB$943,AB935,$V$930:$V$943,"&gt;"&amp;V935,$AD$930:$AD$943,1)+COUNTIFS($Z$930:Z935,Z935,$AB$930:AB935,AB935,$V$930:V935,V935,$AD$930:AD935,1))</x:f>
      </x:c>
      <x:c r="AD935" s="2" t="n">
        <x:f>IF(OR(AA935="DEFENSIV",AA935="PRUDENT",AA935="MODERAT",AA935="RIDICAT"),1,0)</x:f>
        <x:v>0</x:v>
      </x:c>
      <x:c r="AE935" s="2" t="str">
        <x:f>IF(AD935&lt;&gt;1,"NO",IF(W935="PASS","YES",IF(W935="OOS PENDING","CONDITIONAL","NO")))</x:f>
        <x:v>NO</x:v>
      </x:c>
      <x:c r="AF935" s="2" t="n">
        <x:f>IF(AND(AD935=1,AC935=1,E935="LIVE"),1,0)</x:f>
        <x:v>0</x:v>
      </x:c>
      <x:c r="AG935" s="2" t="str">
        <x:f>IF(AF935&lt;&gt;1,"",'Dashboard'!P92)</x:f>
      </x:c>
      <x:c r="AH935" s="2" t="str">
        <x:f>IF(B935="","",IF(J935&lt;&gt;"PASS",'Motor_Meciuri'!J72,IF('Calibrare_Linii'!U11&lt;&gt;"VALID","Parametri linie invalizi",IF(L935&gt;'Config_v6'!$B$13,"Dispersie peste limita",IF(W935="WATCH","Failure peste limita",IF(AB935&lt;'Config_v6'!$B$16,"P finala sub prag",IF(V935&lt;'Config_v6'!$B$18,"Confidence sub prag",IF(E935="REPLAY","Exemplu retrospectiv; exclus din Top LIVE",IF(Y935="PASS","DEFENSIV validat",IF(W935="OOS PENDING","Eligibil; calibrare linie in monitorizare","Eligibil"))))))))))</x:f>
      </x:c>
      <x:c r="AI935" s="2" t="str">
        <x:f>IF(B935="","",'Calibrare_Linii'!V11)</x:f>
      </x:c>
      <x:c r="AJ935" s="2" t="str">
        <x:f>IF(B935="","",IF(AND('Calibrare_Linii'!T11="VALIDATED",AND('Calibrare_Linii'!H11=C935,ISNUMBER('Calibrare_Linii'!J11),'Calibrare_Linii'!J11&lt;='Input_Meci'!G72)),"DEFENSIVE VALIDATED",IF(AND('Calibrare_Linii'!S11="VALIDATED",AND('Calibrare_Linii'!H11=C935,ISNUMBER('Calibrare_Linii'!J11),'Calibrare_Linii'!J11&lt;='Input_Meci'!G72)),"TAIL VALIDATED","OOS PENDING")))</x:f>
      </x:c>
      <x:c r="AK935" s="2" t="n">
        <x:f>IF(J935&lt;&gt;"PASS",0,'Motor_Meciuri'!BR72)</x:f>
        <x:v>0</x:v>
      </x:c>
      <x:c r="AL935" s="2" t="n">
        <x:f>IF(J935&lt;&gt;"PASS",0,'Motor_Meciuri'!BS72)</x:f>
        <x:v>0</x:v>
      </x:c>
      <x:c r="AM935" s="2" t="n">
        <x:f>IF(J935&lt;&gt;"PASS",0,'Motor_Meciuri'!BT72)</x:f>
        <x:v>0</x:v>
      </x:c>
      <x:c r="AN935" s="2" t="str">
        <x:f>IF(M935="","",MAX(0,'Motor_Meciuri'!BF72-IF(L935&gt;'Config_v6'!$B$12,'Config_v6'!$B$37,IF(L935&gt;'Config_v6'!$B$11,'Config_v6'!$B$36,0))))</x:f>
      </x:c>
    </x:row>
    <x:row r="936" ht="21" customHeight="1">
      <x:c r="A936" s="2" t="n">
        <x:v>67</x:v>
      </x:c>
      <x:c r="B936" s="2" t="str">
        <x:f>IF('Motor_Meciuri'!A72="","",'Motor_Meciuri'!A72)</x:f>
      </x:c>
      <x:c r="C936" s="2" t="str">
        <x:f>IF(B936="","",'Motor_Meciuri'!B72)</x:f>
      </x:c>
      <x:c r="D936" s="2" t="str">
        <x:f>IF(B936="","",'Motor_Meciuri'!D72)</x:f>
      </x:c>
      <x:c r="E936" s="2" t="str">
        <x:f>IF(B936="","",'Motor_Meciuri'!E72)</x:f>
      </x:c>
      <x:c r="F936" s="2" t="str">
        <x:v>U10,5</x:v>
      </x:c>
      <x:c r="G936" s="2" t="str">
        <x:v>UNDER</x:v>
      </x:c>
      <x:c r="H936" s="2" t="n">
        <x:v>10</x:v>
      </x:c>
      <x:c r="I936" s="2" t="str">
        <x:f>IF(B936="","",'Motor_Meciuri'!H72)</x:f>
      </x:c>
      <x:c r="J936" s="2" t="str">
        <x:f>IF(B936="","",'Motor_Meciuri'!I72)</x:f>
      </x:c>
      <x:c r="K936" s="11" t="str">
        <x:f>IF(J936&lt;&gt;"PASS","",'Motor_Meciuri'!BD72)</x:f>
      </x:c>
      <x:c r="L936" s="11" t="str">
        <x:f>IF(J936&lt;&gt;"PASS","",'Motor_Meciuri'!AU72)</x:f>
      </x:c>
      <x:c r="M936" s="10" t="str">
        <x:f>IF(NOT(AND(J936="PASS",'Calibrare_Linii'!U12="VALID")),"",'Distributie'!AH72)</x:f>
      </x:c>
      <x:c r="N936" s="10" t="str">
        <x:f>IF(M936="","",MAX(0.01,MIN(0.99,0.5+(M936-0.5)*'Motor_Meciuri'!BG72*'Calibrare_Linii'!D12)))</x:f>
      </x:c>
      <x:c r="O936" s="10" t="str">
        <x:f>IF(M936="","",1-M936)</x:f>
      </x:c>
      <x:c r="P936" s="10" t="str">
        <x:f>IF(OR(NOT(AND(J936="PASS",'Calibrare_Linii'!U12="VALID")),AK936=0),""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*('Istoric_Nativ'!$Q$6:$Q$405&gt;H936))/AK936)</x:f>
      </x:c>
      <x:c r="Q936" s="10" t="str">
        <x:f>IF(OR(NOT(AND(J936="PASS",'Calibrare_Linii'!U12="VALID")),AL936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M72)+((('Istoric_Nativ'!$E$6:$E$405='Input_Meci'!E72)+('Istoric_Nativ'!$F$6:$F$405='Input_Meci'!E72))&gt;0)*('Istoric_Nativ'!$D$6:$D$405&gt;='Motor_Meciuri'!BN72))&gt;0)*('Istoric_Nativ'!$Q$6:$Q$405&gt;H936))/AL936)</x:f>
      </x:c>
      <x:c r="R936" s="10" t="str">
        <x:f>IF(OR(NOT(AND(J936="PASS",'Calibrare_Linii'!U12="VALID")),AM936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O72)+((('Istoric_Nativ'!$E$6:$E$405='Input_Meci'!E72)+('Istoric_Nativ'!$F$6:$F$405='Input_Meci'!E72))&gt;0)*('Istoric_Nativ'!$D$6:$D$405&gt;='Motor_Meciuri'!BP72))&gt;0)*('Istoric_Nativ'!$Q$6:$Q$405&gt;H936))/AM936)</x:f>
      </x:c>
      <x:c r="S936" s="10" t="str">
        <x:f>IF(M936="","",MAX(O936,P936,Q936,R936))</x:f>
      </x:c>
      <x:c r="T936" s="11" t="str">
        <x:f>IF(M936="","",MIN(100,S936*100*'Config_v6'!$B$44+MIN(100,L936/'Config_v6'!$B$13*100)*'Config_v6'!$B$45+(100-'Motor_Meciuri'!BF72)*'Config_v6'!$B$46+'Motor_Meciuri'!BH72*100*'Config_v6'!$B$47))</x:f>
      </x:c>
      <x:c r="U936" s="2" t="str">
        <x:f>IF(T936="","",IF(T936&lt;=20,1,IF(T936&lt;=40,2,IF(T936&lt;=60,3,IF(T936&lt;=80,4,5)))))</x:f>
      </x:c>
      <x:c r="V936" s="2" t="str">
        <x:f>IF(M936="","",MAX(0,'Motor_Meciuri'!BF72-IF(W936="OOS PENDING",'Config_v6'!$B$35,0)-IF(L936&gt;'Config_v6'!$B$12,'Config_v6'!$B$37,IF(L936&gt;'Config_v6'!$B$11,'Config_v6'!$B$36,0))))</x:f>
      </x:c>
      <x:c r="W936" s="2" t="str">
        <x:f>IF(B936="","",IF(I936&lt;&gt;"READY","NOT RELEASED",IF(NOT(AND(J936="PASS",'Calibrare_Linii'!U12="VALID")),"INVALID",IF(NOT(AND('Calibrare_Linii'!S12="VALIDATED",AND('Calibrare_Linii'!H12=C936,ISNUMBER('Calibrare_Linii'!J12),'Calibrare_Linii'!J12&lt;='Input_Meci'!G72))),"OOS PENDING",IF(S936&lt;='Calibrare_Linii'!E12,"PASS",IF(S936&lt;='Calibrare_Linii'!F12,"PENALTY","WATCH"))))))</x:f>
      </x:c>
      <x:c r="X936" s="2" t="str">
        <x:f>IF(M936="","",IF(AND(AND(J936="PASS",'Calibrare_Linii'!U12="VALID"),'Motor_Meciuri'!K72=12,'Motor_Meciuri'!L72=12,'Motor_Meciuri'!M72="NO",'Motor_Meciuri'!BL72='Motor_Meciuri'!C72,AB936&gt;='Config_v6'!$B$50,AN936&gt;='Config_v6'!$B$51,T936&lt;='Config_v6'!$B$52,L936&lt;='Config_v6'!$B$53,ISNUMBER('Calibrare_Linii'!E12),S936&lt;='Calibrare_Linii'!E12,SUM(AK936:AM936)&gt;0),"CANDIDATE","NO"))</x:f>
      </x:c>
      <x:c r="Y936" s="2" t="str">
        <x:f>IF(B936="","",IF(I936&lt;&gt;"READY","NOT RELEASED",IF(AND(X936="CANDIDATE",V936&gt;='Config_v6'!$B$51,W936="PASS",'Calibrare_Linii'!T12="VALIDATED",AND('Calibrare_Linii'!H12=C936,ISNUMBER('Calibrare_Linii'!J12),'Calibrare_Linii'!J12&lt;='Input_Meci'!G72)),"PASS",IF(X936="CANDIDATE","OOS PENDING","FAIL"))))</x:f>
      </x:c>
      <x:c r="Z936" s="2" t="str">
        <x:f>IF(B936="","",IF(I936&lt;&gt;"READY","",IF(OR(NOT(AND(J936="PASS",'Calibrare_Linii'!U12="VALID")),L936&gt;'Config_v6'!$B$13,W936="WATCH"),5,IF(Y936="PASS",1,MIN(5,MAX('Config_v6'!$B$42,U936)+IF(W936="PENALTY",1,0))))))</x:f>
      </x:c>
      <x:c r="AA936" s="2" t="str">
        <x:f>IF(B936="","",IF(I936&lt;&gt;"READY","NOT RELEASED",IF(Z936=5,"NO BET",IF(OR(AB936&lt;'Config_v6'!$B$16,V936&lt;'Config_v6'!$B$18),"WATCH",IF(Z936=1,"DEFENSIV",IF(Z936=2,"PRUDENT",IF(Z936=3,"MODERAT","RIDICAT")))))))</x:f>
      </x:c>
      <x:c r="AB936" s="10" t="str">
        <x:f>IF(N936="","",MIN(N936,1-S936))</x:f>
      </x:c>
      <x:c r="AC936" s="2" t="str">
        <x:f>IF(AD936&lt;&gt;1,"",COUNTIFS($Z$930:$Z$943,"&lt;"&amp;Z936,$AD$930:$AD$943,1)+COUNTIFS($Z$930:$Z$943,Z936,$AB$930:$AB$943,"&gt;"&amp;AB936,$AD$930:$AD$943,1)+COUNTIFS($Z$930:$Z$943,Z936,$AB$930:$AB$943,AB936,$V$930:$V$943,"&gt;"&amp;V936,$AD$930:$AD$943,1)+COUNTIFS($Z$930:Z936,Z936,$AB$930:AB936,AB936,$V$930:V936,V936,$AD$930:AD936,1))</x:f>
      </x:c>
      <x:c r="AD936" s="2" t="n">
        <x:f>IF(OR(AA936="DEFENSIV",AA936="PRUDENT",AA936="MODERAT",AA936="RIDICAT"),1,0)</x:f>
        <x:v>0</x:v>
      </x:c>
      <x:c r="AE936" s="2" t="str">
        <x:f>IF(AD936&lt;&gt;1,"NO",IF(W936="PASS","YES",IF(W936="OOS PENDING","CONDITIONAL","NO")))</x:f>
        <x:v>NO</x:v>
      </x:c>
      <x:c r="AF936" s="2" t="n">
        <x:f>IF(AND(AD936=1,AC936=1,E936="LIVE"),1,0)</x:f>
        <x:v>0</x:v>
      </x:c>
      <x:c r="AG936" s="2" t="str">
        <x:f>IF(AF936&lt;&gt;1,"",'Dashboard'!P92)</x:f>
      </x:c>
      <x:c r="AH936" s="2" t="str">
        <x:f>IF(B936="","",IF(J936&lt;&gt;"PASS",'Motor_Meciuri'!J72,IF('Calibrare_Linii'!U12&lt;&gt;"VALID","Parametri linie invalizi",IF(L936&gt;'Config_v6'!$B$13,"Dispersie peste limita",IF(W936="WATCH","Failure peste limita",IF(AB936&lt;'Config_v6'!$B$16,"P finala sub prag",IF(V936&lt;'Config_v6'!$B$18,"Confidence sub prag",IF(E936="REPLAY","Exemplu retrospectiv; exclus din Top LIVE",IF(Y936="PASS","DEFENSIV validat",IF(W936="OOS PENDING","Eligibil; calibrare linie in monitorizare","Eligibil"))))))))))</x:f>
      </x:c>
      <x:c r="AI936" s="2" t="str">
        <x:f>IF(B936="","",'Calibrare_Linii'!V12)</x:f>
      </x:c>
      <x:c r="AJ936" s="2" t="str">
        <x:f>IF(B936="","",IF(AND('Calibrare_Linii'!T12="VALIDATED",AND('Calibrare_Linii'!H12=C936,ISNUMBER('Calibrare_Linii'!J12),'Calibrare_Linii'!J12&lt;='Input_Meci'!G72)),"DEFENSIVE VALIDATED",IF(AND('Calibrare_Linii'!S12="VALIDATED",AND('Calibrare_Linii'!H12=C936,ISNUMBER('Calibrare_Linii'!J12),'Calibrare_Linii'!J12&lt;='Input_Meci'!G72)),"TAIL VALIDATED","OOS PENDING")))</x:f>
      </x:c>
      <x:c r="AK936" s="2" t="n">
        <x:f>IF(J936&lt;&gt;"PASS",0,'Motor_Meciuri'!BR72)</x:f>
        <x:v>0</x:v>
      </x:c>
      <x:c r="AL936" s="2" t="n">
        <x:f>IF(J936&lt;&gt;"PASS",0,'Motor_Meciuri'!BS72)</x:f>
        <x:v>0</x:v>
      </x:c>
      <x:c r="AM936" s="2" t="n">
        <x:f>IF(J936&lt;&gt;"PASS",0,'Motor_Meciuri'!BT72)</x:f>
        <x:v>0</x:v>
      </x:c>
      <x:c r="AN936" s="2" t="str">
        <x:f>IF(M936="","",MAX(0,'Motor_Meciuri'!BF72-IF(L936&gt;'Config_v6'!$B$12,'Config_v6'!$B$37,IF(L936&gt;'Config_v6'!$B$11,'Config_v6'!$B$36,0))))</x:f>
      </x:c>
    </x:row>
    <x:row r="937" ht="21" customHeight="1">
      <x:c r="A937" s="2" t="n">
        <x:v>67</x:v>
      </x:c>
      <x:c r="B937" s="2" t="str">
        <x:f>IF('Motor_Meciuri'!A72="","",'Motor_Meciuri'!A72)</x:f>
      </x:c>
      <x:c r="C937" s="2" t="str">
        <x:f>IF(B937="","",'Motor_Meciuri'!B72)</x:f>
      </x:c>
      <x:c r="D937" s="2" t="str">
        <x:f>IF(B937="","",'Motor_Meciuri'!D72)</x:f>
      </x:c>
      <x:c r="E937" s="2" t="str">
        <x:f>IF(B937="","",'Motor_Meciuri'!E72)</x:f>
      </x:c>
      <x:c r="F937" s="2" t="str">
        <x:v>U11,5</x:v>
      </x:c>
      <x:c r="G937" s="2" t="str">
        <x:v>UNDER</x:v>
      </x:c>
      <x:c r="H937" s="2" t="n">
        <x:v>11</x:v>
      </x:c>
      <x:c r="I937" s="2" t="str">
        <x:f>IF(B937="","",'Motor_Meciuri'!H72)</x:f>
      </x:c>
      <x:c r="J937" s="2" t="str">
        <x:f>IF(B937="","",'Motor_Meciuri'!I72)</x:f>
      </x:c>
      <x:c r="K937" s="11" t="str">
        <x:f>IF(J937&lt;&gt;"PASS","",'Motor_Meciuri'!BD72)</x:f>
      </x:c>
      <x:c r="L937" s="11" t="str">
        <x:f>IF(J937&lt;&gt;"PASS","",'Motor_Meciuri'!AU72)</x:f>
      </x:c>
      <x:c r="M937" s="10" t="str">
        <x:f>IF(NOT(AND(J937="PASS",'Calibrare_Linii'!U13="VALID")),"",'Distributie'!AI72)</x:f>
      </x:c>
      <x:c r="N937" s="10" t="str">
        <x:f>IF(M937="","",MAX(0.01,MIN(0.99,0.5+(M937-0.5)*'Motor_Meciuri'!BG72*'Calibrare_Linii'!D13)))</x:f>
      </x:c>
      <x:c r="O937" s="10" t="str">
        <x:f>IF(M937="","",1-M937)</x:f>
      </x:c>
      <x:c r="P937" s="10" t="str">
        <x:f>IF(OR(NOT(AND(J937="PASS",'Calibrare_Linii'!U13="VALID")),AK937=0),""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*('Istoric_Nativ'!$Q$6:$Q$405&gt;H937))/AK937)</x:f>
      </x:c>
      <x:c r="Q937" s="10" t="str">
        <x:f>IF(OR(NOT(AND(J937="PASS",'Calibrare_Linii'!U13="VALID")),AL937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M72)+((('Istoric_Nativ'!$E$6:$E$405='Input_Meci'!E72)+('Istoric_Nativ'!$F$6:$F$405='Input_Meci'!E72))&gt;0)*('Istoric_Nativ'!$D$6:$D$405&gt;='Motor_Meciuri'!BN72))&gt;0)*('Istoric_Nativ'!$Q$6:$Q$405&gt;H937))/AL937)</x:f>
      </x:c>
      <x:c r="R937" s="10" t="str">
        <x:f>IF(OR(NOT(AND(J937="PASS",'Calibrare_Linii'!U13="VALID")),AM937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O72)+((('Istoric_Nativ'!$E$6:$E$405='Input_Meci'!E72)+('Istoric_Nativ'!$F$6:$F$405='Input_Meci'!E72))&gt;0)*('Istoric_Nativ'!$D$6:$D$405&gt;='Motor_Meciuri'!BP72))&gt;0)*('Istoric_Nativ'!$Q$6:$Q$405&gt;H937))/AM937)</x:f>
      </x:c>
      <x:c r="S937" s="10" t="str">
        <x:f>IF(M937="","",MAX(O937,P937,Q937,R937))</x:f>
      </x:c>
      <x:c r="T937" s="11" t="str">
        <x:f>IF(M937="","",MIN(100,S937*100*'Config_v6'!$B$44+MIN(100,L937/'Config_v6'!$B$13*100)*'Config_v6'!$B$45+(100-'Motor_Meciuri'!BF72)*'Config_v6'!$B$46+'Motor_Meciuri'!BH72*100*'Config_v6'!$B$47))</x:f>
      </x:c>
      <x:c r="U937" s="2" t="str">
        <x:f>IF(T937="","",IF(T937&lt;=20,1,IF(T937&lt;=40,2,IF(T937&lt;=60,3,IF(T937&lt;=80,4,5)))))</x:f>
      </x:c>
      <x:c r="V937" s="2" t="str">
        <x:f>IF(M937="","",MAX(0,'Motor_Meciuri'!BF72-IF(W937="OOS PENDING",'Config_v6'!$B$35,0)-IF(L937&gt;'Config_v6'!$B$12,'Config_v6'!$B$37,IF(L937&gt;'Config_v6'!$B$11,'Config_v6'!$B$36,0))))</x:f>
      </x:c>
      <x:c r="W937" s="2" t="str">
        <x:f>IF(B937="","",IF(I937&lt;&gt;"READY","NOT RELEASED",IF(NOT(AND(J937="PASS",'Calibrare_Linii'!U13="VALID")),"INVALID",IF(NOT(AND('Calibrare_Linii'!S13="VALIDATED",AND('Calibrare_Linii'!H13=C937,ISNUMBER('Calibrare_Linii'!J13),'Calibrare_Linii'!J13&lt;='Input_Meci'!G72))),"OOS PENDING",IF(S937&lt;='Calibrare_Linii'!E13,"PASS",IF(S937&lt;='Calibrare_Linii'!F13,"PENALTY","WATCH"))))))</x:f>
      </x:c>
      <x:c r="X937" s="2" t="str">
        <x:f>IF(M937="","",IF(AND(AND(J937="PASS",'Calibrare_Linii'!U13="VALID"),'Motor_Meciuri'!K72=12,'Motor_Meciuri'!L72=12,'Motor_Meciuri'!M72="NO",'Motor_Meciuri'!BL72='Motor_Meciuri'!C72,AB937&gt;='Config_v6'!$B$50,AN937&gt;='Config_v6'!$B$51,T937&lt;='Config_v6'!$B$52,L937&lt;='Config_v6'!$B$53,ISNUMBER('Calibrare_Linii'!E13),S937&lt;='Calibrare_Linii'!E13,SUM(AK937:AM937)&gt;0),"CANDIDATE","NO"))</x:f>
      </x:c>
      <x:c r="Y937" s="2" t="str">
        <x:f>IF(B937="","",IF(I937&lt;&gt;"READY","NOT RELEASED",IF(AND(X937="CANDIDATE",V937&gt;='Config_v6'!$B$51,W937="PASS",'Calibrare_Linii'!T13="VALIDATED",AND('Calibrare_Linii'!H13=C937,ISNUMBER('Calibrare_Linii'!J13),'Calibrare_Linii'!J13&lt;='Input_Meci'!G72)),"PASS",IF(X937="CANDIDATE","OOS PENDING","FAIL"))))</x:f>
      </x:c>
      <x:c r="Z937" s="2" t="str">
        <x:f>IF(B937="","",IF(I937&lt;&gt;"READY","",IF(OR(NOT(AND(J937="PASS",'Calibrare_Linii'!U13="VALID")),L937&gt;'Config_v6'!$B$13,W937="WATCH"),5,IF(Y937="PASS",1,MIN(5,MAX('Config_v6'!$B$42,U937)+IF(W937="PENALTY",1,0))))))</x:f>
      </x:c>
      <x:c r="AA937" s="2" t="str">
        <x:f>IF(B937="","",IF(I937&lt;&gt;"READY","NOT RELEASED",IF(Z937=5,"NO BET",IF(OR(AB937&lt;'Config_v6'!$B$16,V937&lt;'Config_v6'!$B$18),"WATCH",IF(Z937=1,"DEFENSIV",IF(Z937=2,"PRUDENT",IF(Z937=3,"MODERAT","RIDICAT")))))))</x:f>
      </x:c>
      <x:c r="AB937" s="10" t="str">
        <x:f>IF(N937="","",MIN(N937,1-S937))</x:f>
      </x:c>
      <x:c r="AC937" s="2" t="str">
        <x:f>IF(AD937&lt;&gt;1,"",COUNTIFS($Z$930:$Z$943,"&lt;"&amp;Z937,$AD$930:$AD$943,1)+COUNTIFS($Z$930:$Z$943,Z937,$AB$930:$AB$943,"&gt;"&amp;AB937,$AD$930:$AD$943,1)+COUNTIFS($Z$930:$Z$943,Z937,$AB$930:$AB$943,AB937,$V$930:$V$943,"&gt;"&amp;V937,$AD$930:$AD$943,1)+COUNTIFS($Z$930:Z937,Z937,$AB$930:AB937,AB937,$V$930:V937,V937,$AD$930:AD937,1))</x:f>
      </x:c>
      <x:c r="AD937" s="2" t="n">
        <x:f>IF(OR(AA937="DEFENSIV",AA937="PRUDENT",AA937="MODERAT",AA937="RIDICAT"),1,0)</x:f>
        <x:v>0</x:v>
      </x:c>
      <x:c r="AE937" s="2" t="str">
        <x:f>IF(AD937&lt;&gt;1,"NO",IF(W937="PASS","YES",IF(W937="OOS PENDING","CONDITIONAL","NO")))</x:f>
        <x:v>NO</x:v>
      </x:c>
      <x:c r="AF937" s="2" t="n">
        <x:f>IF(AND(AD937=1,AC937=1,E937="LIVE"),1,0)</x:f>
        <x:v>0</x:v>
      </x:c>
      <x:c r="AG937" s="2" t="str">
        <x:f>IF(AF937&lt;&gt;1,"",'Dashboard'!P92)</x:f>
      </x:c>
      <x:c r="AH937" s="2" t="str">
        <x:f>IF(B937="","",IF(J937&lt;&gt;"PASS",'Motor_Meciuri'!J72,IF('Calibrare_Linii'!U13&lt;&gt;"VALID","Parametri linie invalizi",IF(L937&gt;'Config_v6'!$B$13,"Dispersie peste limita",IF(W937="WATCH","Failure peste limita",IF(AB937&lt;'Config_v6'!$B$16,"P finala sub prag",IF(V937&lt;'Config_v6'!$B$18,"Confidence sub prag",IF(E937="REPLAY","Exemplu retrospectiv; exclus din Top LIVE",IF(Y937="PASS","DEFENSIV validat",IF(W937="OOS PENDING","Eligibil; calibrare linie in monitorizare","Eligibil"))))))))))</x:f>
      </x:c>
      <x:c r="AI937" s="2" t="str">
        <x:f>IF(B937="","",'Calibrare_Linii'!V13)</x:f>
      </x:c>
      <x:c r="AJ937" s="2" t="str">
        <x:f>IF(B937="","",IF(AND('Calibrare_Linii'!T13="VALIDATED",AND('Calibrare_Linii'!H13=C937,ISNUMBER('Calibrare_Linii'!J13),'Calibrare_Linii'!J13&lt;='Input_Meci'!G72)),"DEFENSIVE VALIDATED",IF(AND('Calibrare_Linii'!S13="VALIDATED",AND('Calibrare_Linii'!H13=C937,ISNUMBER('Calibrare_Linii'!J13),'Calibrare_Linii'!J13&lt;='Input_Meci'!G72)),"TAIL VALIDATED","OOS PENDING")))</x:f>
      </x:c>
      <x:c r="AK937" s="2" t="n">
        <x:f>IF(J937&lt;&gt;"PASS",0,'Motor_Meciuri'!BR72)</x:f>
        <x:v>0</x:v>
      </x:c>
      <x:c r="AL937" s="2" t="n">
        <x:f>IF(J937&lt;&gt;"PASS",0,'Motor_Meciuri'!BS72)</x:f>
        <x:v>0</x:v>
      </x:c>
      <x:c r="AM937" s="2" t="n">
        <x:f>IF(J937&lt;&gt;"PASS",0,'Motor_Meciuri'!BT72)</x:f>
        <x:v>0</x:v>
      </x:c>
      <x:c r="AN937" s="2" t="str">
        <x:f>IF(M937="","",MAX(0,'Motor_Meciuri'!BF72-IF(L937&gt;'Config_v6'!$B$12,'Config_v6'!$B$37,IF(L937&gt;'Config_v6'!$B$11,'Config_v6'!$B$36,0))))</x:f>
      </x:c>
    </x:row>
    <x:row r="938" ht="21" customHeight="1">
      <x:c r="A938" s="2" t="n">
        <x:v>67</x:v>
      </x:c>
      <x:c r="B938" s="2" t="str">
        <x:f>IF('Motor_Meciuri'!A72="","",'Motor_Meciuri'!A72)</x:f>
      </x:c>
      <x:c r="C938" s="2" t="str">
        <x:f>IF(B938="","",'Motor_Meciuri'!B72)</x:f>
      </x:c>
      <x:c r="D938" s="2" t="str">
        <x:f>IF(B938="","",'Motor_Meciuri'!D72)</x:f>
      </x:c>
      <x:c r="E938" s="2" t="str">
        <x:f>IF(B938="","",'Motor_Meciuri'!E72)</x:f>
      </x:c>
      <x:c r="F938" s="2" t="str">
        <x:v>U12,5</x:v>
      </x:c>
      <x:c r="G938" s="2" t="str">
        <x:v>UNDER</x:v>
      </x:c>
      <x:c r="H938" s="2" t="n">
        <x:v>12</x:v>
      </x:c>
      <x:c r="I938" s="2" t="str">
        <x:f>IF(B938="","",'Motor_Meciuri'!H72)</x:f>
      </x:c>
      <x:c r="J938" s="2" t="str">
        <x:f>IF(B938="","",'Motor_Meciuri'!I72)</x:f>
      </x:c>
      <x:c r="K938" s="11" t="str">
        <x:f>IF(J938&lt;&gt;"PASS","",'Motor_Meciuri'!BD72)</x:f>
      </x:c>
      <x:c r="L938" s="11" t="str">
        <x:f>IF(J938&lt;&gt;"PASS","",'Motor_Meciuri'!AU72)</x:f>
      </x:c>
      <x:c r="M938" s="10" t="str">
        <x:f>IF(NOT(AND(J938="PASS",'Calibrare_Linii'!U14="VALID")),"",'Distributie'!AJ72)</x:f>
      </x:c>
      <x:c r="N938" s="10" t="str">
        <x:f>IF(M938="","",MAX(0.01,MIN(0.99,0.5+(M938-0.5)*'Motor_Meciuri'!BG72*'Calibrare_Linii'!D14)))</x:f>
      </x:c>
      <x:c r="O938" s="10" t="str">
        <x:f>IF(M938="","",1-M938)</x:f>
      </x:c>
      <x:c r="P938" s="10" t="str">
        <x:f>IF(OR(NOT(AND(J938="PASS",'Calibrare_Linii'!U14="VALID")),AK938=0),""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*('Istoric_Nativ'!$Q$6:$Q$405&gt;H938))/AK938)</x:f>
      </x:c>
      <x:c r="Q938" s="10" t="str">
        <x:f>IF(OR(NOT(AND(J938="PASS",'Calibrare_Linii'!U14="VALID")),AL938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M72)+((('Istoric_Nativ'!$E$6:$E$405='Input_Meci'!E72)+('Istoric_Nativ'!$F$6:$F$405='Input_Meci'!E72))&gt;0)*('Istoric_Nativ'!$D$6:$D$405&gt;='Motor_Meciuri'!BN72))&gt;0)*('Istoric_Nativ'!$Q$6:$Q$405&gt;H938))/AL938)</x:f>
      </x:c>
      <x:c r="R938" s="10" t="str">
        <x:f>IF(OR(NOT(AND(J938="PASS",'Calibrare_Linii'!U14="VALID")),AM938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O72)+((('Istoric_Nativ'!$E$6:$E$405='Input_Meci'!E72)+('Istoric_Nativ'!$F$6:$F$405='Input_Meci'!E72))&gt;0)*('Istoric_Nativ'!$D$6:$D$405&gt;='Motor_Meciuri'!BP72))&gt;0)*('Istoric_Nativ'!$Q$6:$Q$405&gt;H938))/AM938)</x:f>
      </x:c>
      <x:c r="S938" s="10" t="str">
        <x:f>IF(M938="","",MAX(O938,P938,Q938,R938))</x:f>
      </x:c>
      <x:c r="T938" s="11" t="str">
        <x:f>IF(M938="","",MIN(100,S938*100*'Config_v6'!$B$44+MIN(100,L938/'Config_v6'!$B$13*100)*'Config_v6'!$B$45+(100-'Motor_Meciuri'!BF72)*'Config_v6'!$B$46+'Motor_Meciuri'!BH72*100*'Config_v6'!$B$47))</x:f>
      </x:c>
      <x:c r="U938" s="2" t="str">
        <x:f>IF(T938="","",IF(T938&lt;=20,1,IF(T938&lt;=40,2,IF(T938&lt;=60,3,IF(T938&lt;=80,4,5)))))</x:f>
      </x:c>
      <x:c r="V938" s="2" t="str">
        <x:f>IF(M938="","",MAX(0,'Motor_Meciuri'!BF72-IF(W938="OOS PENDING",'Config_v6'!$B$35,0)-IF(L938&gt;'Config_v6'!$B$12,'Config_v6'!$B$37,IF(L938&gt;'Config_v6'!$B$11,'Config_v6'!$B$36,0))))</x:f>
      </x:c>
      <x:c r="W938" s="2" t="str">
        <x:f>IF(B938="","",IF(I938&lt;&gt;"READY","NOT RELEASED",IF(NOT(AND(J938="PASS",'Calibrare_Linii'!U14="VALID")),"INVALID",IF(NOT(AND('Calibrare_Linii'!S14="VALIDATED",AND('Calibrare_Linii'!H14=C938,ISNUMBER('Calibrare_Linii'!J14),'Calibrare_Linii'!J14&lt;='Input_Meci'!G72))),"OOS PENDING",IF(S938&lt;='Calibrare_Linii'!E14,"PASS",IF(S938&lt;='Calibrare_Linii'!F14,"PENALTY","WATCH"))))))</x:f>
      </x:c>
      <x:c r="X938" s="2" t="str">
        <x:f>IF(M938="","",IF(AND(AND(J938="PASS",'Calibrare_Linii'!U14="VALID"),'Motor_Meciuri'!K72=12,'Motor_Meciuri'!L72=12,'Motor_Meciuri'!M72="NO",'Motor_Meciuri'!BL72='Motor_Meciuri'!C72,AB938&gt;='Config_v6'!$B$50,AN938&gt;='Config_v6'!$B$51,T938&lt;='Config_v6'!$B$52,L938&lt;='Config_v6'!$B$53,ISNUMBER('Calibrare_Linii'!E14),S938&lt;='Calibrare_Linii'!E14,SUM(AK938:AM938)&gt;0),"CANDIDATE","NO"))</x:f>
      </x:c>
      <x:c r="Y938" s="2" t="str">
        <x:f>IF(B938="","",IF(I938&lt;&gt;"READY","NOT RELEASED",IF(AND(X938="CANDIDATE",V938&gt;='Config_v6'!$B$51,W938="PASS",'Calibrare_Linii'!T14="VALIDATED",AND('Calibrare_Linii'!H14=C938,ISNUMBER('Calibrare_Linii'!J14),'Calibrare_Linii'!J14&lt;='Input_Meci'!G72)),"PASS",IF(X938="CANDIDATE","OOS PENDING","FAIL"))))</x:f>
      </x:c>
      <x:c r="Z938" s="2" t="str">
        <x:f>IF(B938="","",IF(I938&lt;&gt;"READY","",IF(OR(NOT(AND(J938="PASS",'Calibrare_Linii'!U14="VALID")),L938&gt;'Config_v6'!$B$13,W938="WATCH"),5,IF(Y938="PASS",1,MIN(5,MAX('Config_v6'!$B$42,U938)+IF(W938="PENALTY",1,0))))))</x:f>
      </x:c>
      <x:c r="AA938" s="2" t="str">
        <x:f>IF(B938="","",IF(I938&lt;&gt;"READY","NOT RELEASED",IF(Z938=5,"NO BET",IF(OR(AB938&lt;'Config_v6'!$B$16,V938&lt;'Config_v6'!$B$18),"WATCH",IF(Z938=1,"DEFENSIV",IF(Z938=2,"PRUDENT",IF(Z938=3,"MODERAT","RIDICAT")))))))</x:f>
      </x:c>
      <x:c r="AB938" s="10" t="str">
        <x:f>IF(N938="","",MIN(N938,1-S938))</x:f>
      </x:c>
      <x:c r="AC938" s="2" t="str">
        <x:f>IF(AD938&lt;&gt;1,"",COUNTIFS($Z$930:$Z$943,"&lt;"&amp;Z938,$AD$930:$AD$943,1)+COUNTIFS($Z$930:$Z$943,Z938,$AB$930:$AB$943,"&gt;"&amp;AB938,$AD$930:$AD$943,1)+COUNTIFS($Z$930:$Z$943,Z938,$AB$930:$AB$943,AB938,$V$930:$V$943,"&gt;"&amp;V938,$AD$930:$AD$943,1)+COUNTIFS($Z$930:Z938,Z938,$AB$930:AB938,AB938,$V$930:V938,V938,$AD$930:AD938,1))</x:f>
      </x:c>
      <x:c r="AD938" s="2" t="n">
        <x:f>IF(OR(AA938="DEFENSIV",AA938="PRUDENT",AA938="MODERAT",AA938="RIDICAT"),1,0)</x:f>
        <x:v>0</x:v>
      </x:c>
      <x:c r="AE938" s="2" t="str">
        <x:f>IF(AD938&lt;&gt;1,"NO",IF(W938="PASS","YES",IF(W938="OOS PENDING","CONDITIONAL","NO")))</x:f>
        <x:v>NO</x:v>
      </x:c>
      <x:c r="AF938" s="2" t="n">
        <x:f>IF(AND(AD938=1,AC938=1,E938="LIVE"),1,0)</x:f>
        <x:v>0</x:v>
      </x:c>
      <x:c r="AG938" s="2" t="str">
        <x:f>IF(AF938&lt;&gt;1,"",'Dashboard'!P92)</x:f>
      </x:c>
      <x:c r="AH938" s="2" t="str">
        <x:f>IF(B938="","",IF(J938&lt;&gt;"PASS",'Motor_Meciuri'!J72,IF('Calibrare_Linii'!U14&lt;&gt;"VALID","Parametri linie invalizi",IF(L938&gt;'Config_v6'!$B$13,"Dispersie peste limita",IF(W938="WATCH","Failure peste limita",IF(AB938&lt;'Config_v6'!$B$16,"P finala sub prag",IF(V938&lt;'Config_v6'!$B$18,"Confidence sub prag",IF(E938="REPLAY","Exemplu retrospectiv; exclus din Top LIVE",IF(Y938="PASS","DEFENSIV validat",IF(W938="OOS PENDING","Eligibil; calibrare linie in monitorizare","Eligibil"))))))))))</x:f>
      </x:c>
      <x:c r="AI938" s="2" t="str">
        <x:f>IF(B938="","",'Calibrare_Linii'!V14)</x:f>
      </x:c>
      <x:c r="AJ938" s="2" t="str">
        <x:f>IF(B938="","",IF(AND('Calibrare_Linii'!T14="VALIDATED",AND('Calibrare_Linii'!H14=C938,ISNUMBER('Calibrare_Linii'!J14),'Calibrare_Linii'!J14&lt;='Input_Meci'!G72)),"DEFENSIVE VALIDATED",IF(AND('Calibrare_Linii'!S14="VALIDATED",AND('Calibrare_Linii'!H14=C938,ISNUMBER('Calibrare_Linii'!J14),'Calibrare_Linii'!J14&lt;='Input_Meci'!G72)),"TAIL VALIDATED","OOS PENDING")))</x:f>
      </x:c>
      <x:c r="AK938" s="2" t="n">
        <x:f>IF(J938&lt;&gt;"PASS",0,'Motor_Meciuri'!BR72)</x:f>
        <x:v>0</x:v>
      </x:c>
      <x:c r="AL938" s="2" t="n">
        <x:f>IF(J938&lt;&gt;"PASS",0,'Motor_Meciuri'!BS72)</x:f>
        <x:v>0</x:v>
      </x:c>
      <x:c r="AM938" s="2" t="n">
        <x:f>IF(J938&lt;&gt;"PASS",0,'Motor_Meciuri'!BT72)</x:f>
        <x:v>0</x:v>
      </x:c>
      <x:c r="AN938" s="2" t="str">
        <x:f>IF(M938="","",MAX(0,'Motor_Meciuri'!BF72-IF(L938&gt;'Config_v6'!$B$12,'Config_v6'!$B$37,IF(L938&gt;'Config_v6'!$B$11,'Config_v6'!$B$36,0))))</x:f>
      </x:c>
    </x:row>
    <x:row r="939" ht="21" customHeight="1">
      <x:c r="A939" s="2" t="n">
        <x:v>67</x:v>
      </x:c>
      <x:c r="B939" s="2" t="str">
        <x:f>IF('Motor_Meciuri'!A72="","",'Motor_Meciuri'!A72)</x:f>
      </x:c>
      <x:c r="C939" s="2" t="str">
        <x:f>IF(B939="","",'Motor_Meciuri'!B72)</x:f>
      </x:c>
      <x:c r="D939" s="2" t="str">
        <x:f>IF(B939="","",'Motor_Meciuri'!D72)</x:f>
      </x:c>
      <x:c r="E939" s="2" t="str">
        <x:f>IF(B939="","",'Motor_Meciuri'!E72)</x:f>
      </x:c>
      <x:c r="F939" s="2" t="str">
        <x:v>U13,5</x:v>
      </x:c>
      <x:c r="G939" s="2" t="str">
        <x:v>UNDER</x:v>
      </x:c>
      <x:c r="H939" s="2" t="n">
        <x:v>13</x:v>
      </x:c>
      <x:c r="I939" s="2" t="str">
        <x:f>IF(B939="","",'Motor_Meciuri'!H72)</x:f>
      </x:c>
      <x:c r="J939" s="2" t="str">
        <x:f>IF(B939="","",'Motor_Meciuri'!I72)</x:f>
      </x:c>
      <x:c r="K939" s="11" t="str">
        <x:f>IF(J939&lt;&gt;"PASS","",'Motor_Meciuri'!BD72)</x:f>
      </x:c>
      <x:c r="L939" s="11" t="str">
        <x:f>IF(J939&lt;&gt;"PASS","",'Motor_Meciuri'!AU72)</x:f>
      </x:c>
      <x:c r="M939" s="10" t="str">
        <x:f>IF(NOT(AND(J939="PASS",'Calibrare_Linii'!U15="VALID")),"",'Distributie'!AK72)</x:f>
      </x:c>
      <x:c r="N939" s="10" t="str">
        <x:f>IF(M939="","",MAX(0.01,MIN(0.99,0.5+(M939-0.5)*'Motor_Meciuri'!BG72*'Calibrare_Linii'!D15)))</x:f>
      </x:c>
      <x:c r="O939" s="10" t="str">
        <x:f>IF(M939="","",1-M939)</x:f>
      </x:c>
      <x:c r="P939" s="10" t="str">
        <x:f>IF(OR(NOT(AND(J939="PASS",'Calibrare_Linii'!U15="VALID")),AK939=0),""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*('Istoric_Nativ'!$Q$6:$Q$405&gt;H939))/AK939)</x:f>
      </x:c>
      <x:c r="Q939" s="10" t="str">
        <x:f>IF(OR(NOT(AND(J939="PASS",'Calibrare_Linii'!U15="VALID")),AL939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M72)+((('Istoric_Nativ'!$E$6:$E$405='Input_Meci'!E72)+('Istoric_Nativ'!$F$6:$F$405='Input_Meci'!E72))&gt;0)*('Istoric_Nativ'!$D$6:$D$405&gt;='Motor_Meciuri'!BN72))&gt;0)*('Istoric_Nativ'!$Q$6:$Q$405&gt;H939))/AL939)</x:f>
      </x:c>
      <x:c r="R939" s="10" t="str">
        <x:f>IF(OR(NOT(AND(J939="PASS",'Calibrare_Linii'!U15="VALID")),AM939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O72)+((('Istoric_Nativ'!$E$6:$E$405='Input_Meci'!E72)+('Istoric_Nativ'!$F$6:$F$405='Input_Meci'!E72))&gt;0)*('Istoric_Nativ'!$D$6:$D$405&gt;='Motor_Meciuri'!BP72))&gt;0)*('Istoric_Nativ'!$Q$6:$Q$405&gt;H939))/AM939)</x:f>
      </x:c>
      <x:c r="S939" s="10" t="str">
        <x:f>IF(M939="","",MAX(O939,P939,Q939,R939))</x:f>
      </x:c>
      <x:c r="T939" s="11" t="str">
        <x:f>IF(M939="","",MIN(100,S939*100*'Config_v6'!$B$44+MIN(100,L939/'Config_v6'!$B$13*100)*'Config_v6'!$B$45+(100-'Motor_Meciuri'!BF72)*'Config_v6'!$B$46+'Motor_Meciuri'!BH72*100*'Config_v6'!$B$47))</x:f>
      </x:c>
      <x:c r="U939" s="2" t="str">
        <x:f>IF(T939="","",IF(T939&lt;=20,1,IF(T939&lt;=40,2,IF(T939&lt;=60,3,IF(T939&lt;=80,4,5)))))</x:f>
      </x:c>
      <x:c r="V939" s="2" t="str">
        <x:f>IF(M939="","",MAX(0,'Motor_Meciuri'!BF72-IF(W939="OOS PENDING",'Config_v6'!$B$35,0)-IF(L939&gt;'Config_v6'!$B$12,'Config_v6'!$B$37,IF(L939&gt;'Config_v6'!$B$11,'Config_v6'!$B$36,0))))</x:f>
      </x:c>
      <x:c r="W939" s="2" t="str">
        <x:f>IF(B939="","",IF(I939&lt;&gt;"READY","NOT RELEASED",IF(NOT(AND(J939="PASS",'Calibrare_Linii'!U15="VALID")),"INVALID",IF(NOT(AND('Calibrare_Linii'!S15="VALIDATED",AND('Calibrare_Linii'!H15=C939,ISNUMBER('Calibrare_Linii'!J15),'Calibrare_Linii'!J15&lt;='Input_Meci'!G72))),"OOS PENDING",IF(S939&lt;='Calibrare_Linii'!E15,"PASS",IF(S939&lt;='Calibrare_Linii'!F15,"PENALTY","WATCH"))))))</x:f>
      </x:c>
      <x:c r="X939" s="2" t="str">
        <x:f>IF(M939="","",IF(AND(AND(J939="PASS",'Calibrare_Linii'!U15="VALID"),'Motor_Meciuri'!K72=12,'Motor_Meciuri'!L72=12,'Motor_Meciuri'!M72="NO",'Motor_Meciuri'!BL72='Motor_Meciuri'!C72,AB939&gt;='Config_v6'!$B$50,AN939&gt;='Config_v6'!$B$51,T939&lt;='Config_v6'!$B$52,L939&lt;='Config_v6'!$B$53,ISNUMBER('Calibrare_Linii'!E15),S939&lt;='Calibrare_Linii'!E15,SUM(AK939:AM939)&gt;0),"CANDIDATE","NO"))</x:f>
      </x:c>
      <x:c r="Y939" s="2" t="str">
        <x:f>IF(B939="","",IF(I939&lt;&gt;"READY","NOT RELEASED",IF(AND(X939="CANDIDATE",V939&gt;='Config_v6'!$B$51,W939="PASS",'Calibrare_Linii'!T15="VALIDATED",AND('Calibrare_Linii'!H15=C939,ISNUMBER('Calibrare_Linii'!J15),'Calibrare_Linii'!J15&lt;='Input_Meci'!G72)),"PASS",IF(X939="CANDIDATE","OOS PENDING","FAIL"))))</x:f>
      </x:c>
      <x:c r="Z939" s="2" t="str">
        <x:f>IF(B939="","",IF(I939&lt;&gt;"READY","",IF(OR(NOT(AND(J939="PASS",'Calibrare_Linii'!U15="VALID")),L939&gt;'Config_v6'!$B$13,W939="WATCH"),5,IF(Y939="PASS",1,MIN(5,MAX('Config_v6'!$B$42,U939)+IF(W939="PENALTY",1,0))))))</x:f>
      </x:c>
      <x:c r="AA939" s="2" t="str">
        <x:f>IF(B939="","",IF(I939&lt;&gt;"READY","NOT RELEASED",IF(Z939=5,"NO BET",IF(OR(AB939&lt;'Config_v6'!$B$16,V939&lt;'Config_v6'!$B$18),"WATCH",IF(Z939=1,"DEFENSIV",IF(Z939=2,"PRUDENT",IF(Z939=3,"MODERAT","RIDICAT")))))))</x:f>
      </x:c>
      <x:c r="AB939" s="10" t="str">
        <x:f>IF(N939="","",MIN(N939,1-S939))</x:f>
      </x:c>
      <x:c r="AC939" s="2" t="str">
        <x:f>IF(AD939&lt;&gt;1,"",COUNTIFS($Z$930:$Z$943,"&lt;"&amp;Z939,$AD$930:$AD$943,1)+COUNTIFS($Z$930:$Z$943,Z939,$AB$930:$AB$943,"&gt;"&amp;AB939,$AD$930:$AD$943,1)+COUNTIFS($Z$930:$Z$943,Z939,$AB$930:$AB$943,AB939,$V$930:$V$943,"&gt;"&amp;V939,$AD$930:$AD$943,1)+COUNTIFS($Z$930:Z939,Z939,$AB$930:AB939,AB939,$V$930:V939,V939,$AD$930:AD939,1))</x:f>
      </x:c>
      <x:c r="AD939" s="2" t="n">
        <x:f>IF(OR(AA939="DEFENSIV",AA939="PRUDENT",AA939="MODERAT",AA939="RIDICAT"),1,0)</x:f>
        <x:v>0</x:v>
      </x:c>
      <x:c r="AE939" s="2" t="str">
        <x:f>IF(AD939&lt;&gt;1,"NO",IF(W939="PASS","YES",IF(W939="OOS PENDING","CONDITIONAL","NO")))</x:f>
        <x:v>NO</x:v>
      </x:c>
      <x:c r="AF939" s="2" t="n">
        <x:f>IF(AND(AD939=1,AC939=1,E939="LIVE"),1,0)</x:f>
        <x:v>0</x:v>
      </x:c>
      <x:c r="AG939" s="2" t="str">
        <x:f>IF(AF939&lt;&gt;1,"",'Dashboard'!P92)</x:f>
      </x:c>
      <x:c r="AH939" s="2" t="str">
        <x:f>IF(B939="","",IF(J939&lt;&gt;"PASS",'Motor_Meciuri'!J72,IF('Calibrare_Linii'!U15&lt;&gt;"VALID","Parametri linie invalizi",IF(L939&gt;'Config_v6'!$B$13,"Dispersie peste limita",IF(W939="WATCH","Failure peste limita",IF(AB939&lt;'Config_v6'!$B$16,"P finala sub prag",IF(V939&lt;'Config_v6'!$B$18,"Confidence sub prag",IF(E939="REPLAY","Exemplu retrospectiv; exclus din Top LIVE",IF(Y939="PASS","DEFENSIV validat",IF(W939="OOS PENDING","Eligibil; calibrare linie in monitorizare","Eligibil"))))))))))</x:f>
      </x:c>
      <x:c r="AI939" s="2" t="str">
        <x:f>IF(B939="","",'Calibrare_Linii'!V15)</x:f>
      </x:c>
      <x:c r="AJ939" s="2" t="str">
        <x:f>IF(B939="","",IF(AND('Calibrare_Linii'!T15="VALIDATED",AND('Calibrare_Linii'!H15=C939,ISNUMBER('Calibrare_Linii'!J15),'Calibrare_Linii'!J15&lt;='Input_Meci'!G72)),"DEFENSIVE VALIDATED",IF(AND('Calibrare_Linii'!S15="VALIDATED",AND('Calibrare_Linii'!H15=C939,ISNUMBER('Calibrare_Linii'!J15),'Calibrare_Linii'!J15&lt;='Input_Meci'!G72)),"TAIL VALIDATED","OOS PENDING")))</x:f>
      </x:c>
      <x:c r="AK939" s="2" t="n">
        <x:f>IF(J939&lt;&gt;"PASS",0,'Motor_Meciuri'!BR72)</x:f>
        <x:v>0</x:v>
      </x:c>
      <x:c r="AL939" s="2" t="n">
        <x:f>IF(J939&lt;&gt;"PASS",0,'Motor_Meciuri'!BS72)</x:f>
        <x:v>0</x:v>
      </x:c>
      <x:c r="AM939" s="2" t="n">
        <x:f>IF(J939&lt;&gt;"PASS",0,'Motor_Meciuri'!BT72)</x:f>
        <x:v>0</x:v>
      </x:c>
      <x:c r="AN939" s="2" t="str">
        <x:f>IF(M939="","",MAX(0,'Motor_Meciuri'!BF72-IF(L939&gt;'Config_v6'!$B$12,'Config_v6'!$B$37,IF(L939&gt;'Config_v6'!$B$11,'Config_v6'!$B$36,0))))</x:f>
      </x:c>
    </x:row>
    <x:row r="940" ht="21" customHeight="1">
      <x:c r="A940" s="2" t="n">
        <x:v>67</x:v>
      </x:c>
      <x:c r="B940" s="2" t="str">
        <x:f>IF('Motor_Meciuri'!A72="","",'Motor_Meciuri'!A72)</x:f>
      </x:c>
      <x:c r="C940" s="2" t="str">
        <x:f>IF(B940="","",'Motor_Meciuri'!B72)</x:f>
      </x:c>
      <x:c r="D940" s="2" t="str">
        <x:f>IF(B940="","",'Motor_Meciuri'!D72)</x:f>
      </x:c>
      <x:c r="E940" s="2" t="str">
        <x:f>IF(B940="","",'Motor_Meciuri'!E72)</x:f>
      </x:c>
      <x:c r="F940" s="2" t="str">
        <x:v>U14,5</x:v>
      </x:c>
      <x:c r="G940" s="2" t="str">
        <x:v>UNDER</x:v>
      </x:c>
      <x:c r="H940" s="2" t="n">
        <x:v>14</x:v>
      </x:c>
      <x:c r="I940" s="2" t="str">
        <x:f>IF(B940="","",'Motor_Meciuri'!H72)</x:f>
      </x:c>
      <x:c r="J940" s="2" t="str">
        <x:f>IF(B940="","",'Motor_Meciuri'!I72)</x:f>
      </x:c>
      <x:c r="K940" s="11" t="str">
        <x:f>IF(J940&lt;&gt;"PASS","",'Motor_Meciuri'!BD72)</x:f>
      </x:c>
      <x:c r="L940" s="11" t="str">
        <x:f>IF(J940&lt;&gt;"PASS","",'Motor_Meciuri'!AU72)</x:f>
      </x:c>
      <x:c r="M940" s="10" t="str">
        <x:f>IF(NOT(AND(J940="PASS",'Calibrare_Linii'!U16="VALID")),"",'Distributie'!AL72)</x:f>
      </x:c>
      <x:c r="N940" s="10" t="str">
        <x:f>IF(M940="","",MAX(0.01,MIN(0.99,0.5+(M940-0.5)*'Motor_Meciuri'!BG72*'Calibrare_Linii'!D16)))</x:f>
      </x:c>
      <x:c r="O940" s="10" t="str">
        <x:f>IF(M940="","",1-M940)</x:f>
      </x:c>
      <x:c r="P940" s="10" t="str">
        <x:f>IF(OR(NOT(AND(J940="PASS",'Calibrare_Linii'!U16="VALID")),AK940=0),""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*('Istoric_Nativ'!$Q$6:$Q$405&gt;H940))/AK940)</x:f>
      </x:c>
      <x:c r="Q940" s="10" t="str">
        <x:f>IF(OR(NOT(AND(J940="PASS",'Calibrare_Linii'!U16="VALID")),AL940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M72)+((('Istoric_Nativ'!$E$6:$E$405='Input_Meci'!E72)+('Istoric_Nativ'!$F$6:$F$405='Input_Meci'!E72))&gt;0)*('Istoric_Nativ'!$D$6:$D$405&gt;='Motor_Meciuri'!BN72))&gt;0)*('Istoric_Nativ'!$Q$6:$Q$405&gt;H940))/AL940)</x:f>
      </x:c>
      <x:c r="R940" s="10" t="str">
        <x:f>IF(OR(NOT(AND(J940="PASS",'Calibrare_Linii'!U16="VALID")),AM940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O72)+((('Istoric_Nativ'!$E$6:$E$405='Input_Meci'!E72)+('Istoric_Nativ'!$F$6:$F$405='Input_Meci'!E72))&gt;0)*('Istoric_Nativ'!$D$6:$D$405&gt;='Motor_Meciuri'!BP72))&gt;0)*('Istoric_Nativ'!$Q$6:$Q$405&gt;H940))/AM940)</x:f>
      </x:c>
      <x:c r="S940" s="10" t="str">
        <x:f>IF(M940="","",MAX(O940,P940,Q940,R940))</x:f>
      </x:c>
      <x:c r="T940" s="11" t="str">
        <x:f>IF(M940="","",MIN(100,S940*100*'Config_v6'!$B$44+MIN(100,L940/'Config_v6'!$B$13*100)*'Config_v6'!$B$45+(100-'Motor_Meciuri'!BF72)*'Config_v6'!$B$46+'Motor_Meciuri'!BH72*100*'Config_v6'!$B$47))</x:f>
      </x:c>
      <x:c r="U940" s="2" t="str">
        <x:f>IF(T940="","",IF(T940&lt;=20,1,IF(T940&lt;=40,2,IF(T940&lt;=60,3,IF(T940&lt;=80,4,5)))))</x:f>
      </x:c>
      <x:c r="V940" s="2" t="str">
        <x:f>IF(M940="","",MAX(0,'Motor_Meciuri'!BF72-IF(W940="OOS PENDING",'Config_v6'!$B$35,0)-IF(L940&gt;'Config_v6'!$B$12,'Config_v6'!$B$37,IF(L940&gt;'Config_v6'!$B$11,'Config_v6'!$B$36,0))))</x:f>
      </x:c>
      <x:c r="W940" s="2" t="str">
        <x:f>IF(B940="","",IF(I940&lt;&gt;"READY","NOT RELEASED",IF(NOT(AND(J940="PASS",'Calibrare_Linii'!U16="VALID")),"INVALID",IF(NOT(AND('Calibrare_Linii'!S16="VALIDATED",AND('Calibrare_Linii'!H16=C940,ISNUMBER('Calibrare_Linii'!J16),'Calibrare_Linii'!J16&lt;='Input_Meci'!G72))),"OOS PENDING",IF(S940&lt;='Calibrare_Linii'!E16,"PASS",IF(S940&lt;='Calibrare_Linii'!F16,"PENALTY","WATCH"))))))</x:f>
      </x:c>
      <x:c r="X940" s="2" t="str">
        <x:f>IF(M940="","",IF(AND(AND(J940="PASS",'Calibrare_Linii'!U16="VALID"),'Motor_Meciuri'!K72=12,'Motor_Meciuri'!L72=12,'Motor_Meciuri'!M72="NO",'Motor_Meciuri'!BL72='Motor_Meciuri'!C72,AB940&gt;='Config_v6'!$B$50,AN940&gt;='Config_v6'!$B$51,T940&lt;='Config_v6'!$B$52,L940&lt;='Config_v6'!$B$53,ISNUMBER('Calibrare_Linii'!E16),S940&lt;='Calibrare_Linii'!E16,SUM(AK940:AM940)&gt;0),"CANDIDATE","NO"))</x:f>
      </x:c>
      <x:c r="Y940" s="2" t="str">
        <x:f>IF(B940="","",IF(I940&lt;&gt;"READY","NOT RELEASED",IF(AND(X940="CANDIDATE",V940&gt;='Config_v6'!$B$51,W940="PASS",'Calibrare_Linii'!T16="VALIDATED",AND('Calibrare_Linii'!H16=C940,ISNUMBER('Calibrare_Linii'!J16),'Calibrare_Linii'!J16&lt;='Input_Meci'!G72)),"PASS",IF(X940="CANDIDATE","OOS PENDING","FAIL"))))</x:f>
      </x:c>
      <x:c r="Z940" s="2" t="str">
        <x:f>IF(B940="","",IF(I940&lt;&gt;"READY","",IF(OR(NOT(AND(J940="PASS",'Calibrare_Linii'!U16="VALID")),L940&gt;'Config_v6'!$B$13,W940="WATCH"),5,IF(Y940="PASS",1,MIN(5,MAX('Config_v6'!$B$42,U940)+IF(W940="PENALTY",1,0))))))</x:f>
      </x:c>
      <x:c r="AA940" s="2" t="str">
        <x:f>IF(B940="","",IF(I940&lt;&gt;"READY","NOT RELEASED",IF(Z940=5,"NO BET",IF(OR(AB940&lt;'Config_v6'!$B$16,V940&lt;'Config_v6'!$B$18),"WATCH",IF(Z940=1,"DEFENSIV",IF(Z940=2,"PRUDENT",IF(Z940=3,"MODERAT","RIDICAT")))))))</x:f>
      </x:c>
      <x:c r="AB940" s="10" t="str">
        <x:f>IF(N940="","",MIN(N940,1-S940))</x:f>
      </x:c>
      <x:c r="AC940" s="2" t="str">
        <x:f>IF(AD940&lt;&gt;1,"",COUNTIFS($Z$930:$Z$943,"&lt;"&amp;Z940,$AD$930:$AD$943,1)+COUNTIFS($Z$930:$Z$943,Z940,$AB$930:$AB$943,"&gt;"&amp;AB940,$AD$930:$AD$943,1)+COUNTIFS($Z$930:$Z$943,Z940,$AB$930:$AB$943,AB940,$V$930:$V$943,"&gt;"&amp;V940,$AD$930:$AD$943,1)+COUNTIFS($Z$930:Z940,Z940,$AB$930:AB940,AB940,$V$930:V940,V940,$AD$930:AD940,1))</x:f>
      </x:c>
      <x:c r="AD940" s="2" t="n">
        <x:f>IF(OR(AA940="DEFENSIV",AA940="PRUDENT",AA940="MODERAT",AA940="RIDICAT"),1,0)</x:f>
        <x:v>0</x:v>
      </x:c>
      <x:c r="AE940" s="2" t="str">
        <x:f>IF(AD940&lt;&gt;1,"NO",IF(W940="PASS","YES",IF(W940="OOS PENDING","CONDITIONAL","NO")))</x:f>
        <x:v>NO</x:v>
      </x:c>
      <x:c r="AF940" s="2" t="n">
        <x:f>IF(AND(AD940=1,AC940=1,E940="LIVE"),1,0)</x:f>
        <x:v>0</x:v>
      </x:c>
      <x:c r="AG940" s="2" t="str">
        <x:f>IF(AF940&lt;&gt;1,"",'Dashboard'!P92)</x:f>
      </x:c>
      <x:c r="AH940" s="2" t="str">
        <x:f>IF(B940="","",IF(J940&lt;&gt;"PASS",'Motor_Meciuri'!J72,IF('Calibrare_Linii'!U16&lt;&gt;"VALID","Parametri linie invalizi",IF(L940&gt;'Config_v6'!$B$13,"Dispersie peste limita",IF(W940="WATCH","Failure peste limita",IF(AB940&lt;'Config_v6'!$B$16,"P finala sub prag",IF(V940&lt;'Config_v6'!$B$18,"Confidence sub prag",IF(E940="REPLAY","Exemplu retrospectiv; exclus din Top LIVE",IF(Y940="PASS","DEFENSIV validat",IF(W940="OOS PENDING","Eligibil; calibrare linie in monitorizare","Eligibil"))))))))))</x:f>
      </x:c>
      <x:c r="AI940" s="2" t="str">
        <x:f>IF(B940="","",'Calibrare_Linii'!V16)</x:f>
      </x:c>
      <x:c r="AJ940" s="2" t="str">
        <x:f>IF(B940="","",IF(AND('Calibrare_Linii'!T16="VALIDATED",AND('Calibrare_Linii'!H16=C940,ISNUMBER('Calibrare_Linii'!J16),'Calibrare_Linii'!J16&lt;='Input_Meci'!G72)),"DEFENSIVE VALIDATED",IF(AND('Calibrare_Linii'!S16="VALIDATED",AND('Calibrare_Linii'!H16=C940,ISNUMBER('Calibrare_Linii'!J16),'Calibrare_Linii'!J16&lt;='Input_Meci'!G72)),"TAIL VALIDATED","OOS PENDING")))</x:f>
      </x:c>
      <x:c r="AK940" s="2" t="n">
        <x:f>IF(J940&lt;&gt;"PASS",0,'Motor_Meciuri'!BR72)</x:f>
        <x:v>0</x:v>
      </x:c>
      <x:c r="AL940" s="2" t="n">
        <x:f>IF(J940&lt;&gt;"PASS",0,'Motor_Meciuri'!BS72)</x:f>
        <x:v>0</x:v>
      </x:c>
      <x:c r="AM940" s="2" t="n">
        <x:f>IF(J940&lt;&gt;"PASS",0,'Motor_Meciuri'!BT72)</x:f>
        <x:v>0</x:v>
      </x:c>
      <x:c r="AN940" s="2" t="str">
        <x:f>IF(M940="","",MAX(0,'Motor_Meciuri'!BF72-IF(L940&gt;'Config_v6'!$B$12,'Config_v6'!$B$37,IF(L940&gt;'Config_v6'!$B$11,'Config_v6'!$B$36,0))))</x:f>
      </x:c>
    </x:row>
    <x:row r="941" ht="21" customHeight="1">
      <x:c r="A941" s="2" t="n">
        <x:v>67</x:v>
      </x:c>
      <x:c r="B941" s="2" t="str">
        <x:f>IF('Motor_Meciuri'!A72="","",'Motor_Meciuri'!A72)</x:f>
      </x:c>
      <x:c r="C941" s="2" t="str">
        <x:f>IF(B941="","",'Motor_Meciuri'!B72)</x:f>
      </x:c>
      <x:c r="D941" s="2" t="str">
        <x:f>IF(B941="","",'Motor_Meciuri'!D72)</x:f>
      </x:c>
      <x:c r="E941" s="2" t="str">
        <x:f>IF(B941="","",'Motor_Meciuri'!E72)</x:f>
      </x:c>
      <x:c r="F941" s="2" t="str">
        <x:v>U15,5</x:v>
      </x:c>
      <x:c r="G941" s="2" t="str">
        <x:v>UNDER</x:v>
      </x:c>
      <x:c r="H941" s="2" t="n">
        <x:v>15</x:v>
      </x:c>
      <x:c r="I941" s="2" t="str">
        <x:f>IF(B941="","",'Motor_Meciuri'!H72)</x:f>
      </x:c>
      <x:c r="J941" s="2" t="str">
        <x:f>IF(B941="","",'Motor_Meciuri'!I72)</x:f>
      </x:c>
      <x:c r="K941" s="11" t="str">
        <x:f>IF(J941&lt;&gt;"PASS","",'Motor_Meciuri'!BD72)</x:f>
      </x:c>
      <x:c r="L941" s="11" t="str">
        <x:f>IF(J941&lt;&gt;"PASS","",'Motor_Meciuri'!AU72)</x:f>
      </x:c>
      <x:c r="M941" s="10" t="str">
        <x:f>IF(NOT(AND(J941="PASS",'Calibrare_Linii'!U17="VALID")),"",'Distributie'!AM72)</x:f>
      </x:c>
      <x:c r="N941" s="10" t="str">
        <x:f>IF(M941="","",MAX(0.01,MIN(0.99,0.5+(M941-0.5)*'Motor_Meciuri'!BG72*'Calibrare_Linii'!D17)))</x:f>
      </x:c>
      <x:c r="O941" s="10" t="str">
        <x:f>IF(M941="","",1-M941)</x:f>
      </x:c>
      <x:c r="P941" s="10" t="str">
        <x:f>IF(OR(NOT(AND(J941="PASS",'Calibrare_Linii'!U17="VALID")),AK941=0),""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*('Istoric_Nativ'!$Q$6:$Q$405&gt;H941))/AK941)</x:f>
      </x:c>
      <x:c r="Q941" s="10" t="str">
        <x:f>IF(OR(NOT(AND(J941="PASS",'Calibrare_Linii'!U17="VALID")),AL941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M72)+((('Istoric_Nativ'!$E$6:$E$405='Input_Meci'!E72)+('Istoric_Nativ'!$F$6:$F$405='Input_Meci'!E72))&gt;0)*('Istoric_Nativ'!$D$6:$D$405&gt;='Motor_Meciuri'!BN72))&gt;0)*('Istoric_Nativ'!$Q$6:$Q$405&gt;H941))/AL941)</x:f>
      </x:c>
      <x:c r="R941" s="10" t="str">
        <x:f>IF(OR(NOT(AND(J941="PASS",'Calibrare_Linii'!U17="VALID")),AM941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O72)+((('Istoric_Nativ'!$E$6:$E$405='Input_Meci'!E72)+('Istoric_Nativ'!$F$6:$F$405='Input_Meci'!E72))&gt;0)*('Istoric_Nativ'!$D$6:$D$405&gt;='Motor_Meciuri'!BP72))&gt;0)*('Istoric_Nativ'!$Q$6:$Q$405&gt;H941))/AM941)</x:f>
      </x:c>
      <x:c r="S941" s="10" t="str">
        <x:f>IF(M941="","",MAX(O941,P941,Q941,R941))</x:f>
      </x:c>
      <x:c r="T941" s="11" t="str">
        <x:f>IF(M941="","",MIN(100,S941*100*'Config_v6'!$B$44+MIN(100,L941/'Config_v6'!$B$13*100)*'Config_v6'!$B$45+(100-'Motor_Meciuri'!BF72)*'Config_v6'!$B$46+'Motor_Meciuri'!BH72*100*'Config_v6'!$B$47))</x:f>
      </x:c>
      <x:c r="U941" s="2" t="str">
        <x:f>IF(T941="","",IF(T941&lt;=20,1,IF(T941&lt;=40,2,IF(T941&lt;=60,3,IF(T941&lt;=80,4,5)))))</x:f>
      </x:c>
      <x:c r="V941" s="2" t="str">
        <x:f>IF(M941="","",MAX(0,'Motor_Meciuri'!BF72-IF(W941="OOS PENDING",'Config_v6'!$B$35,0)-IF(L941&gt;'Config_v6'!$B$12,'Config_v6'!$B$37,IF(L941&gt;'Config_v6'!$B$11,'Config_v6'!$B$36,0))))</x:f>
      </x:c>
      <x:c r="W941" s="2" t="str">
        <x:f>IF(B941="","",IF(I941&lt;&gt;"READY","NOT RELEASED",IF(NOT(AND(J941="PASS",'Calibrare_Linii'!U17="VALID")),"INVALID",IF(NOT(AND('Calibrare_Linii'!S17="VALIDATED",AND('Calibrare_Linii'!H17=C941,ISNUMBER('Calibrare_Linii'!J17),'Calibrare_Linii'!J17&lt;='Input_Meci'!G72))),"OOS PENDING",IF(S941&lt;='Calibrare_Linii'!E17,"PASS",IF(S941&lt;='Calibrare_Linii'!F17,"PENALTY","WATCH"))))))</x:f>
      </x:c>
      <x:c r="X941" s="2" t="str">
        <x:f>IF(M941="","",IF(AND(AND(J941="PASS",'Calibrare_Linii'!U17="VALID"),'Motor_Meciuri'!K72=12,'Motor_Meciuri'!L72=12,'Motor_Meciuri'!M72="NO",'Motor_Meciuri'!BL72='Motor_Meciuri'!C72,AB941&gt;='Config_v6'!$B$50,AN941&gt;='Config_v6'!$B$51,T941&lt;='Config_v6'!$B$52,L941&lt;='Config_v6'!$B$53,ISNUMBER('Calibrare_Linii'!E17),S941&lt;='Calibrare_Linii'!E17,SUM(AK941:AM941)&gt;0),"CANDIDATE","NO"))</x:f>
      </x:c>
      <x:c r="Y941" s="2" t="str">
        <x:f>IF(B941="","",IF(I941&lt;&gt;"READY","NOT RELEASED",IF(AND(X941="CANDIDATE",V941&gt;='Config_v6'!$B$51,W941="PASS",'Calibrare_Linii'!T17="VALIDATED",AND('Calibrare_Linii'!H17=C941,ISNUMBER('Calibrare_Linii'!J17),'Calibrare_Linii'!J17&lt;='Input_Meci'!G72)),"PASS",IF(X941="CANDIDATE","OOS PENDING","FAIL"))))</x:f>
      </x:c>
      <x:c r="Z941" s="2" t="str">
        <x:f>IF(B941="","",IF(I941&lt;&gt;"READY","",IF(OR(NOT(AND(J941="PASS",'Calibrare_Linii'!U17="VALID")),L941&gt;'Config_v6'!$B$13,W941="WATCH"),5,IF(Y941="PASS",1,MIN(5,MAX('Config_v6'!$B$42,U941)+IF(W941="PENALTY",1,0))))))</x:f>
      </x:c>
      <x:c r="AA941" s="2" t="str">
        <x:f>IF(B941="","",IF(I941&lt;&gt;"READY","NOT RELEASED",IF(Z941=5,"NO BET",IF(OR(AB941&lt;'Config_v6'!$B$16,V941&lt;'Config_v6'!$B$18),"WATCH",IF(Z941=1,"DEFENSIV",IF(Z941=2,"PRUDENT",IF(Z941=3,"MODERAT","RIDICAT")))))))</x:f>
      </x:c>
      <x:c r="AB941" s="10" t="str">
        <x:f>IF(N941="","",MIN(N941,1-S941))</x:f>
      </x:c>
      <x:c r="AC941" s="2" t="str">
        <x:f>IF(AD941&lt;&gt;1,"",COUNTIFS($Z$930:$Z$943,"&lt;"&amp;Z941,$AD$930:$AD$943,1)+COUNTIFS($Z$930:$Z$943,Z941,$AB$930:$AB$943,"&gt;"&amp;AB941,$AD$930:$AD$943,1)+COUNTIFS($Z$930:$Z$943,Z941,$AB$930:$AB$943,AB941,$V$930:$V$943,"&gt;"&amp;V941,$AD$930:$AD$943,1)+COUNTIFS($Z$930:Z941,Z941,$AB$930:AB941,AB941,$V$930:V941,V941,$AD$930:AD941,1))</x:f>
      </x:c>
      <x:c r="AD941" s="2" t="n">
        <x:f>IF(OR(AA941="DEFENSIV",AA941="PRUDENT",AA941="MODERAT",AA941="RIDICAT"),1,0)</x:f>
        <x:v>0</x:v>
      </x:c>
      <x:c r="AE941" s="2" t="str">
        <x:f>IF(AD941&lt;&gt;1,"NO",IF(W941="PASS","YES",IF(W941="OOS PENDING","CONDITIONAL","NO")))</x:f>
        <x:v>NO</x:v>
      </x:c>
      <x:c r="AF941" s="2" t="n">
        <x:f>IF(AND(AD941=1,AC941=1,E941="LIVE"),1,0)</x:f>
        <x:v>0</x:v>
      </x:c>
      <x:c r="AG941" s="2" t="str">
        <x:f>IF(AF941&lt;&gt;1,"",'Dashboard'!P92)</x:f>
      </x:c>
      <x:c r="AH941" s="2" t="str">
        <x:f>IF(B941="","",IF(J941&lt;&gt;"PASS",'Motor_Meciuri'!J72,IF('Calibrare_Linii'!U17&lt;&gt;"VALID","Parametri linie invalizi",IF(L941&gt;'Config_v6'!$B$13,"Dispersie peste limita",IF(W941="WATCH","Failure peste limita",IF(AB941&lt;'Config_v6'!$B$16,"P finala sub prag",IF(V941&lt;'Config_v6'!$B$18,"Confidence sub prag",IF(E941="REPLAY","Exemplu retrospectiv; exclus din Top LIVE",IF(Y941="PASS","DEFENSIV validat",IF(W941="OOS PENDING","Eligibil; calibrare linie in monitorizare","Eligibil"))))))))))</x:f>
      </x:c>
      <x:c r="AI941" s="2" t="str">
        <x:f>IF(B941="","",'Calibrare_Linii'!V17)</x:f>
      </x:c>
      <x:c r="AJ941" s="2" t="str">
        <x:f>IF(B941="","",IF(AND('Calibrare_Linii'!T17="VALIDATED",AND('Calibrare_Linii'!H17=C941,ISNUMBER('Calibrare_Linii'!J17),'Calibrare_Linii'!J17&lt;='Input_Meci'!G72)),"DEFENSIVE VALIDATED",IF(AND('Calibrare_Linii'!S17="VALIDATED",AND('Calibrare_Linii'!H17=C941,ISNUMBER('Calibrare_Linii'!J17),'Calibrare_Linii'!J17&lt;='Input_Meci'!G72)),"TAIL VALIDATED","OOS PENDING")))</x:f>
      </x:c>
      <x:c r="AK941" s="2" t="n">
        <x:f>IF(J941&lt;&gt;"PASS",0,'Motor_Meciuri'!BR72)</x:f>
        <x:v>0</x:v>
      </x:c>
      <x:c r="AL941" s="2" t="n">
        <x:f>IF(J941&lt;&gt;"PASS",0,'Motor_Meciuri'!BS72)</x:f>
        <x:v>0</x:v>
      </x:c>
      <x:c r="AM941" s="2" t="n">
        <x:f>IF(J941&lt;&gt;"PASS",0,'Motor_Meciuri'!BT72)</x:f>
        <x:v>0</x:v>
      </x:c>
      <x:c r="AN941" s="2" t="str">
        <x:f>IF(M941="","",MAX(0,'Motor_Meciuri'!BF72-IF(L941&gt;'Config_v6'!$B$12,'Config_v6'!$B$37,IF(L941&gt;'Config_v6'!$B$11,'Config_v6'!$B$36,0))))</x:f>
      </x:c>
    </x:row>
    <x:row r="942" ht="21" customHeight="1">
      <x:c r="A942" s="2" t="n">
        <x:v>67</x:v>
      </x:c>
      <x:c r="B942" s="2" t="str">
        <x:f>IF('Motor_Meciuri'!A72="","",'Motor_Meciuri'!A72)</x:f>
      </x:c>
      <x:c r="C942" s="2" t="str">
        <x:f>IF(B942="","",'Motor_Meciuri'!B72)</x:f>
      </x:c>
      <x:c r="D942" s="2" t="str">
        <x:f>IF(B942="","",'Motor_Meciuri'!D72)</x:f>
      </x:c>
      <x:c r="E942" s="2" t="str">
        <x:f>IF(B942="","",'Motor_Meciuri'!E72)</x:f>
      </x:c>
      <x:c r="F942" s="2" t="str">
        <x:v>U16,5</x:v>
      </x:c>
      <x:c r="G942" s="2" t="str">
        <x:v>UNDER</x:v>
      </x:c>
      <x:c r="H942" s="2" t="n">
        <x:v>16</x:v>
      </x:c>
      <x:c r="I942" s="2" t="str">
        <x:f>IF(B942="","",'Motor_Meciuri'!H72)</x:f>
      </x:c>
      <x:c r="J942" s="2" t="str">
        <x:f>IF(B942="","",'Motor_Meciuri'!I72)</x:f>
      </x:c>
      <x:c r="K942" s="11" t="str">
        <x:f>IF(J942&lt;&gt;"PASS","",'Motor_Meciuri'!BD72)</x:f>
      </x:c>
      <x:c r="L942" s="11" t="str">
        <x:f>IF(J942&lt;&gt;"PASS","",'Motor_Meciuri'!AU72)</x:f>
      </x:c>
      <x:c r="M942" s="10" t="str">
        <x:f>IF(NOT(AND(J942="PASS",'Calibrare_Linii'!U18="VALID")),"",'Distributie'!AN72)</x:f>
      </x:c>
      <x:c r="N942" s="10" t="str">
        <x:f>IF(M942="","",MAX(0.01,MIN(0.99,0.5+(M942-0.5)*'Motor_Meciuri'!BG72*'Calibrare_Linii'!D18)))</x:f>
      </x:c>
      <x:c r="O942" s="10" t="str">
        <x:f>IF(M942="","",1-M942)</x:f>
      </x:c>
      <x:c r="P942" s="10" t="str">
        <x:f>IF(OR(NOT(AND(J942="PASS",'Calibrare_Linii'!U18="VALID")),AK942=0),""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*('Istoric_Nativ'!$Q$6:$Q$405&gt;H942))/AK942)</x:f>
      </x:c>
      <x:c r="Q942" s="10" t="str">
        <x:f>IF(OR(NOT(AND(J942="PASS",'Calibrare_Linii'!U18="VALID")),AL942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M72)+((('Istoric_Nativ'!$E$6:$E$405='Input_Meci'!E72)+('Istoric_Nativ'!$F$6:$F$405='Input_Meci'!E72))&gt;0)*('Istoric_Nativ'!$D$6:$D$405&gt;='Motor_Meciuri'!BN72))&gt;0)*('Istoric_Nativ'!$Q$6:$Q$405&gt;H942))/AL942)</x:f>
      </x:c>
      <x:c r="R942" s="10" t="str">
        <x:f>IF(OR(NOT(AND(J942="PASS",'Calibrare_Linii'!U18="VALID")),AM942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O72)+((('Istoric_Nativ'!$E$6:$E$405='Input_Meci'!E72)+('Istoric_Nativ'!$F$6:$F$405='Input_Meci'!E72))&gt;0)*('Istoric_Nativ'!$D$6:$D$405&gt;='Motor_Meciuri'!BP72))&gt;0)*('Istoric_Nativ'!$Q$6:$Q$405&gt;H942))/AM942)</x:f>
      </x:c>
      <x:c r="S942" s="10" t="str">
        <x:f>IF(M942="","",MAX(O942,P942,Q942,R942))</x:f>
      </x:c>
      <x:c r="T942" s="11" t="str">
        <x:f>IF(M942="","",MIN(100,S942*100*'Config_v6'!$B$44+MIN(100,L942/'Config_v6'!$B$13*100)*'Config_v6'!$B$45+(100-'Motor_Meciuri'!BF72)*'Config_v6'!$B$46+'Motor_Meciuri'!BH72*100*'Config_v6'!$B$47))</x:f>
      </x:c>
      <x:c r="U942" s="2" t="str">
        <x:f>IF(T942="","",IF(T942&lt;=20,1,IF(T942&lt;=40,2,IF(T942&lt;=60,3,IF(T942&lt;=80,4,5)))))</x:f>
      </x:c>
      <x:c r="V942" s="2" t="str">
        <x:f>IF(M942="","",MAX(0,'Motor_Meciuri'!BF72-IF(W942="OOS PENDING",'Config_v6'!$B$35,0)-IF(L942&gt;'Config_v6'!$B$12,'Config_v6'!$B$37,IF(L942&gt;'Config_v6'!$B$11,'Config_v6'!$B$36,0))))</x:f>
      </x:c>
      <x:c r="W942" s="2" t="str">
        <x:f>IF(B942="","",IF(I942&lt;&gt;"READY","NOT RELEASED",IF(NOT(AND(J942="PASS",'Calibrare_Linii'!U18="VALID")),"INVALID",IF(NOT(AND('Calibrare_Linii'!S18="VALIDATED",AND('Calibrare_Linii'!H18=C942,ISNUMBER('Calibrare_Linii'!J18),'Calibrare_Linii'!J18&lt;='Input_Meci'!G72))),"OOS PENDING",IF(S942&lt;='Calibrare_Linii'!E18,"PASS",IF(S942&lt;='Calibrare_Linii'!F18,"PENALTY","WATCH"))))))</x:f>
      </x:c>
      <x:c r="X942" s="2" t="str">
        <x:f>IF(M942="","",IF(AND(AND(J942="PASS",'Calibrare_Linii'!U18="VALID"),'Motor_Meciuri'!K72=12,'Motor_Meciuri'!L72=12,'Motor_Meciuri'!M72="NO",'Motor_Meciuri'!BL72='Motor_Meciuri'!C72,AB942&gt;='Config_v6'!$B$50,AN942&gt;='Config_v6'!$B$51,T942&lt;='Config_v6'!$B$52,L942&lt;='Config_v6'!$B$53,ISNUMBER('Calibrare_Linii'!E18),S942&lt;='Calibrare_Linii'!E18,SUM(AK942:AM942)&gt;0),"CANDIDATE","NO"))</x:f>
      </x:c>
      <x:c r="Y942" s="2" t="str">
        <x:f>IF(B942="","",IF(I942&lt;&gt;"READY","NOT RELEASED",IF(AND(X942="CANDIDATE",V942&gt;='Config_v6'!$B$51,W942="PASS",'Calibrare_Linii'!T18="VALIDATED",AND('Calibrare_Linii'!H18=C942,ISNUMBER('Calibrare_Linii'!J18),'Calibrare_Linii'!J18&lt;='Input_Meci'!G72)),"PASS",IF(X942="CANDIDATE","OOS PENDING","FAIL"))))</x:f>
      </x:c>
      <x:c r="Z942" s="2" t="str">
        <x:f>IF(B942="","",IF(I942&lt;&gt;"READY","",IF(OR(NOT(AND(J942="PASS",'Calibrare_Linii'!U18="VALID")),L942&gt;'Config_v6'!$B$13,W942="WATCH"),5,IF(Y942="PASS",1,MIN(5,MAX('Config_v6'!$B$42,U942)+IF(W942="PENALTY",1,0))))))</x:f>
      </x:c>
      <x:c r="AA942" s="2" t="str">
        <x:f>IF(B942="","",IF(I942&lt;&gt;"READY","NOT RELEASED",IF(Z942=5,"NO BET",IF(OR(AB942&lt;'Config_v6'!$B$16,V942&lt;'Config_v6'!$B$18),"WATCH",IF(Z942=1,"DEFENSIV",IF(Z942=2,"PRUDENT",IF(Z942=3,"MODERAT","RIDICAT")))))))</x:f>
      </x:c>
      <x:c r="AB942" s="10" t="str">
        <x:f>IF(N942="","",MIN(N942,1-S942))</x:f>
      </x:c>
      <x:c r="AC942" s="2" t="str">
        <x:f>IF(AD942&lt;&gt;1,"",COUNTIFS($Z$930:$Z$943,"&lt;"&amp;Z942,$AD$930:$AD$943,1)+COUNTIFS($Z$930:$Z$943,Z942,$AB$930:$AB$943,"&gt;"&amp;AB942,$AD$930:$AD$943,1)+COUNTIFS($Z$930:$Z$943,Z942,$AB$930:$AB$943,AB942,$V$930:$V$943,"&gt;"&amp;V942,$AD$930:$AD$943,1)+COUNTIFS($Z$930:Z942,Z942,$AB$930:AB942,AB942,$V$930:V942,V942,$AD$930:AD942,1))</x:f>
      </x:c>
      <x:c r="AD942" s="2" t="n">
        <x:f>IF(OR(AA942="DEFENSIV",AA942="PRUDENT",AA942="MODERAT",AA942="RIDICAT"),1,0)</x:f>
        <x:v>0</x:v>
      </x:c>
      <x:c r="AE942" s="2" t="str">
        <x:f>IF(AD942&lt;&gt;1,"NO",IF(W942="PASS","YES",IF(W942="OOS PENDING","CONDITIONAL","NO")))</x:f>
        <x:v>NO</x:v>
      </x:c>
      <x:c r="AF942" s="2" t="n">
        <x:f>IF(AND(AD942=1,AC942=1,E942="LIVE"),1,0)</x:f>
        <x:v>0</x:v>
      </x:c>
      <x:c r="AG942" s="2" t="str">
        <x:f>IF(AF942&lt;&gt;1,"",'Dashboard'!P92)</x:f>
      </x:c>
      <x:c r="AH942" s="2" t="str">
        <x:f>IF(B942="","",IF(J942&lt;&gt;"PASS",'Motor_Meciuri'!J72,IF('Calibrare_Linii'!U18&lt;&gt;"VALID","Parametri linie invalizi",IF(L942&gt;'Config_v6'!$B$13,"Dispersie peste limita",IF(W942="WATCH","Failure peste limita",IF(AB942&lt;'Config_v6'!$B$16,"P finala sub prag",IF(V942&lt;'Config_v6'!$B$18,"Confidence sub prag",IF(E942="REPLAY","Exemplu retrospectiv; exclus din Top LIVE",IF(Y942="PASS","DEFENSIV validat",IF(W942="OOS PENDING","Eligibil; calibrare linie in monitorizare","Eligibil"))))))))))</x:f>
      </x:c>
      <x:c r="AI942" s="2" t="str">
        <x:f>IF(B942="","",'Calibrare_Linii'!V18)</x:f>
      </x:c>
      <x:c r="AJ942" s="2" t="str">
        <x:f>IF(B942="","",IF(AND('Calibrare_Linii'!T18="VALIDATED",AND('Calibrare_Linii'!H18=C942,ISNUMBER('Calibrare_Linii'!J18),'Calibrare_Linii'!J18&lt;='Input_Meci'!G72)),"DEFENSIVE VALIDATED",IF(AND('Calibrare_Linii'!S18="VALIDATED",AND('Calibrare_Linii'!H18=C942,ISNUMBER('Calibrare_Linii'!J18),'Calibrare_Linii'!J18&lt;='Input_Meci'!G72)),"TAIL VALIDATED","OOS PENDING")))</x:f>
      </x:c>
      <x:c r="AK942" s="2" t="n">
        <x:f>IF(J942&lt;&gt;"PASS",0,'Motor_Meciuri'!BR72)</x:f>
        <x:v>0</x:v>
      </x:c>
      <x:c r="AL942" s="2" t="n">
        <x:f>IF(J942&lt;&gt;"PASS",0,'Motor_Meciuri'!BS72)</x:f>
        <x:v>0</x:v>
      </x:c>
      <x:c r="AM942" s="2" t="n">
        <x:f>IF(J942&lt;&gt;"PASS",0,'Motor_Meciuri'!BT72)</x:f>
        <x:v>0</x:v>
      </x:c>
      <x:c r="AN942" s="2" t="str">
        <x:f>IF(M942="","",MAX(0,'Motor_Meciuri'!BF72-IF(L942&gt;'Config_v6'!$B$12,'Config_v6'!$B$37,IF(L942&gt;'Config_v6'!$B$11,'Config_v6'!$B$36,0))))</x:f>
      </x:c>
    </x:row>
    <x:row r="943" ht="21" customHeight="1">
      <x:c r="A943" s="2" t="n">
        <x:v>67</x:v>
      </x:c>
      <x:c r="B943" s="2" t="str">
        <x:f>IF('Motor_Meciuri'!A72="","",'Motor_Meciuri'!A72)</x:f>
      </x:c>
      <x:c r="C943" s="2" t="str">
        <x:f>IF(B943="","",'Motor_Meciuri'!B72)</x:f>
      </x:c>
      <x:c r="D943" s="2" t="str">
        <x:f>IF(B943="","",'Motor_Meciuri'!D72)</x:f>
      </x:c>
      <x:c r="E943" s="2" t="str">
        <x:f>IF(B943="","",'Motor_Meciuri'!E72)</x:f>
      </x:c>
      <x:c r="F943" s="2" t="str">
        <x:v>U17,5</x:v>
      </x:c>
      <x:c r="G943" s="2" t="str">
        <x:v>UNDER</x:v>
      </x:c>
      <x:c r="H943" s="2" t="n">
        <x:v>17</x:v>
      </x:c>
      <x:c r="I943" s="2" t="str">
        <x:f>IF(B943="","",'Motor_Meciuri'!H72)</x:f>
      </x:c>
      <x:c r="J943" s="2" t="str">
        <x:f>IF(B943="","",'Motor_Meciuri'!I72)</x:f>
      </x:c>
      <x:c r="K943" s="11" t="str">
        <x:f>IF(J943&lt;&gt;"PASS","",'Motor_Meciuri'!BD72)</x:f>
      </x:c>
      <x:c r="L943" s="11" t="str">
        <x:f>IF(J943&lt;&gt;"PASS","",'Motor_Meciuri'!AU72)</x:f>
      </x:c>
      <x:c r="M943" s="10" t="str">
        <x:f>IF(NOT(AND(J943="PASS",'Calibrare_Linii'!U19="VALID")),"",'Distributie'!AO72)</x:f>
      </x:c>
      <x:c r="N943" s="10" t="str">
        <x:f>IF(M943="","",MAX(0.01,MIN(0.99,0.5+(M943-0.5)*'Motor_Meciuri'!BG72*'Calibrare_Linii'!D19)))</x:f>
      </x:c>
      <x:c r="O943" s="10" t="str">
        <x:f>IF(M943="","",1-M943)</x:f>
      </x:c>
      <x:c r="P943" s="10" t="str">
        <x:f>IF(OR(NOT(AND(J943="PASS",'Calibrare_Linii'!U19="VALID")),AK943=0),""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*('Istoric_Nativ'!$Q$6:$Q$405&gt;H943))/AK943)</x:f>
      </x:c>
      <x:c r="Q943" s="10" t="str">
        <x:f>IF(OR(NOT(AND(J943="PASS",'Calibrare_Linii'!U19="VALID")),AL943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M72)+((('Istoric_Nativ'!$E$6:$E$405='Input_Meci'!E72)+('Istoric_Nativ'!$F$6:$F$405='Input_Meci'!E72))&gt;0)*('Istoric_Nativ'!$D$6:$D$405&gt;='Motor_Meciuri'!BN72))&gt;0)*('Istoric_Nativ'!$Q$6:$Q$405&gt;H943))/AL943)</x:f>
      </x:c>
      <x:c r="R943" s="10" t="str">
        <x:f>IF(OR(NOT(AND(J943="PASS",'Calibrare_Linii'!U19="VALID")),AM943=0),""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'Motor_Meciuri'!BO72)+((('Istoric_Nativ'!$E$6:$E$405='Input_Meci'!E72)+('Istoric_Nativ'!$F$6:$F$405='Input_Meci'!E72))&gt;0)*('Istoric_Nativ'!$D$6:$D$405&gt;='Motor_Meciuri'!BP72))&gt;0)*('Istoric_Nativ'!$Q$6:$Q$405&gt;H943))/AM943)</x:f>
      </x:c>
      <x:c r="S943" s="10" t="str">
        <x:f>IF(M943="","",MAX(O943,P943,Q943,R943))</x:f>
      </x:c>
      <x:c r="T943" s="11" t="str">
        <x:f>IF(M943="","",MIN(100,S943*100*'Config_v6'!$B$44+MIN(100,L943/'Config_v6'!$B$13*100)*'Config_v6'!$B$45+(100-'Motor_Meciuri'!BF72)*'Config_v6'!$B$46+'Motor_Meciuri'!BH72*100*'Config_v6'!$B$47))</x:f>
      </x:c>
      <x:c r="U943" s="2" t="str">
        <x:f>IF(T943="","",IF(T943&lt;=20,1,IF(T943&lt;=40,2,IF(T943&lt;=60,3,IF(T943&lt;=80,4,5)))))</x:f>
      </x:c>
      <x:c r="V943" s="2" t="str">
        <x:f>IF(M943="","",MAX(0,'Motor_Meciuri'!BF72-IF(W943="OOS PENDING",'Config_v6'!$B$35,0)-IF(L943&gt;'Config_v6'!$B$12,'Config_v6'!$B$37,IF(L943&gt;'Config_v6'!$B$11,'Config_v6'!$B$36,0))))</x:f>
      </x:c>
      <x:c r="W943" s="2" t="str">
        <x:f>IF(B943="","",IF(I943&lt;&gt;"READY","NOT RELEASED",IF(NOT(AND(J943="PASS",'Calibrare_Linii'!U19="VALID")),"INVALID",IF(NOT(AND('Calibrare_Linii'!S19="VALIDATED",AND('Calibrare_Linii'!H19=C943,ISNUMBER('Calibrare_Linii'!J19),'Calibrare_Linii'!J19&lt;='Input_Meci'!G72))),"OOS PENDING",IF(S943&lt;='Calibrare_Linii'!E19,"PASS",IF(S943&lt;='Calibrare_Linii'!F19,"PENALTY","WATCH"))))))</x:f>
      </x:c>
      <x:c r="X943" s="2" t="str">
        <x:f>IF(M943="","",IF(AND(AND(J943="PASS",'Calibrare_Linii'!U19="VALID"),'Motor_Meciuri'!K72=12,'Motor_Meciuri'!L72=12,'Motor_Meciuri'!M72="NO",'Motor_Meciuri'!BL72='Motor_Meciuri'!C72,AB943&gt;='Config_v6'!$B$50,AN943&gt;='Config_v6'!$B$51,T943&lt;='Config_v6'!$B$52,L943&lt;='Config_v6'!$B$53,ISNUMBER('Calibrare_Linii'!E19),S943&lt;='Calibrare_Linii'!E19,SUM(AK943:AM943)&gt;0),"CANDIDATE","NO"))</x:f>
      </x:c>
      <x:c r="Y943" s="2" t="str">
        <x:f>IF(B943="","",IF(I943&lt;&gt;"READY","NOT RELEASED",IF(AND(X943="CANDIDATE",V943&gt;='Config_v6'!$B$51,W943="PASS",'Calibrare_Linii'!T19="VALIDATED",AND('Calibrare_Linii'!H19=C943,ISNUMBER('Calibrare_Linii'!J19),'Calibrare_Linii'!J19&lt;='Input_Meci'!G72)),"PASS",IF(X943="CANDIDATE","OOS PENDING","FAIL"))))</x:f>
      </x:c>
      <x:c r="Z943" s="2" t="str">
        <x:f>IF(B943="","",IF(I943&lt;&gt;"READY","",IF(OR(NOT(AND(J943="PASS",'Calibrare_Linii'!U19="VALID")),L943&gt;'Config_v6'!$B$13,W943="WATCH"),5,IF(Y943="PASS",1,MIN(5,MAX('Config_v6'!$B$42,U943)+IF(W943="PENALTY",1,0))))))</x:f>
      </x:c>
      <x:c r="AA943" s="2" t="str">
        <x:f>IF(B943="","",IF(I943&lt;&gt;"READY","NOT RELEASED",IF(Z943=5,"NO BET",IF(OR(AB943&lt;'Config_v6'!$B$16,V943&lt;'Config_v6'!$B$18),"WATCH",IF(Z943=1,"DEFENSIV",IF(Z943=2,"PRUDENT",IF(Z943=3,"MODERAT","RIDICAT")))))))</x:f>
      </x:c>
      <x:c r="AB943" s="10" t="str">
        <x:f>IF(N943="","",MIN(N943,1-S943))</x:f>
      </x:c>
      <x:c r="AC943" s="2" t="str">
        <x:f>IF(AD943&lt;&gt;1,"",COUNTIFS($Z$930:$Z$943,"&lt;"&amp;Z943,$AD$930:$AD$943,1)+COUNTIFS($Z$930:$Z$943,Z943,$AB$930:$AB$943,"&gt;"&amp;AB943,$AD$930:$AD$943,1)+COUNTIFS($Z$930:$Z$943,Z943,$AB$930:$AB$943,AB943,$V$930:$V$943,"&gt;"&amp;V943,$AD$930:$AD$943,1)+COUNTIFS($Z$930:Z943,Z943,$AB$930:AB943,AB943,$V$930:V943,V943,$AD$930:AD943,1))</x:f>
      </x:c>
      <x:c r="AD943" s="2" t="n">
        <x:f>IF(OR(AA943="DEFENSIV",AA943="PRUDENT",AA943="MODERAT",AA943="RIDICAT"),1,0)</x:f>
        <x:v>0</x:v>
      </x:c>
      <x:c r="AE943" s="2" t="str">
        <x:f>IF(AD943&lt;&gt;1,"NO",IF(W943="PASS","YES",IF(W943="OOS PENDING","CONDITIONAL","NO")))</x:f>
        <x:v>NO</x:v>
      </x:c>
      <x:c r="AF943" s="2" t="n">
        <x:f>IF(AND(AD943=1,AC943=1,E943="LIVE"),1,0)</x:f>
        <x:v>0</x:v>
      </x:c>
      <x:c r="AG943" s="2" t="str">
        <x:f>IF(AF943&lt;&gt;1,"",'Dashboard'!P92)</x:f>
      </x:c>
      <x:c r="AH943" s="2" t="str">
        <x:f>IF(B943="","",IF(J943&lt;&gt;"PASS",'Motor_Meciuri'!J72,IF('Calibrare_Linii'!U19&lt;&gt;"VALID","Parametri linie invalizi",IF(L943&gt;'Config_v6'!$B$13,"Dispersie peste limita",IF(W943="WATCH","Failure peste limita",IF(AB943&lt;'Config_v6'!$B$16,"P finala sub prag",IF(V943&lt;'Config_v6'!$B$18,"Confidence sub prag",IF(E943="REPLAY","Exemplu retrospectiv; exclus din Top LIVE",IF(Y943="PASS","DEFENSIV validat",IF(W943="OOS PENDING","Eligibil; calibrare linie in monitorizare","Eligibil"))))))))))</x:f>
      </x:c>
      <x:c r="AI943" s="2" t="str">
        <x:f>IF(B943="","",'Calibrare_Linii'!V19)</x:f>
      </x:c>
      <x:c r="AJ943" s="2" t="str">
        <x:f>IF(B943="","",IF(AND('Calibrare_Linii'!T19="VALIDATED",AND('Calibrare_Linii'!H19=C943,ISNUMBER('Calibrare_Linii'!J19),'Calibrare_Linii'!J19&lt;='Input_Meci'!G72)),"DEFENSIVE VALIDATED",IF(AND('Calibrare_Linii'!S19="VALIDATED",AND('Calibrare_Linii'!H19=C943,ISNUMBER('Calibrare_Linii'!J19),'Calibrare_Linii'!J19&lt;='Input_Meci'!G72)),"TAIL VALIDATED","OOS PENDING")))</x:f>
      </x:c>
      <x:c r="AK943" s="2" t="n">
        <x:f>IF(J943&lt;&gt;"PASS",0,'Motor_Meciuri'!BR72)</x:f>
        <x:v>0</x:v>
      </x:c>
      <x:c r="AL943" s="2" t="n">
        <x:f>IF(J943&lt;&gt;"PASS",0,'Motor_Meciuri'!BS72)</x:f>
        <x:v>0</x:v>
      </x:c>
      <x:c r="AM943" s="2" t="n">
        <x:f>IF(J943&lt;&gt;"PASS",0,'Motor_Meciuri'!BT72)</x:f>
        <x:v>0</x:v>
      </x:c>
      <x:c r="AN943" s="2" t="str">
        <x:f>IF(M943="","",MAX(0,'Motor_Meciuri'!BF72-IF(L943&gt;'Config_v6'!$B$12,'Config_v6'!$B$37,IF(L943&gt;'Config_v6'!$B$11,'Config_v6'!$B$36,0))))</x:f>
      </x:c>
    </x:row>
    <x:row r="944" ht="21" customHeight="1">
      <x:c r="A944" s="2" t="n">
        <x:v>68</x:v>
      </x:c>
      <x:c r="B944" s="2" t="str">
        <x:f>IF('Motor_Meciuri'!A73="","",'Motor_Meciuri'!A73)</x:f>
      </x:c>
      <x:c r="C944" s="2" t="str">
        <x:f>IF(B944="","",'Motor_Meciuri'!B73)</x:f>
      </x:c>
      <x:c r="D944" s="2" t="str">
        <x:f>IF(B944="","",'Motor_Meciuri'!D73)</x:f>
      </x:c>
      <x:c r="E944" s="2" t="str">
        <x:f>IF(B944="","",'Motor_Meciuri'!E73)</x:f>
      </x:c>
      <x:c r="F944" s="2" t="str">
        <x:v>O3,5</x:v>
      </x:c>
      <x:c r="G944" s="2" t="str">
        <x:v>OVER</x:v>
      </x:c>
      <x:c r="H944" s="2" t="n">
        <x:v>3</x:v>
      </x:c>
      <x:c r="I944" s="2" t="str">
        <x:f>IF(B944="","",'Motor_Meciuri'!H73)</x:f>
      </x:c>
      <x:c r="J944" s="2" t="str">
        <x:f>IF(B944="","",'Motor_Meciuri'!I73)</x:f>
      </x:c>
      <x:c r="K944" s="11" t="str">
        <x:f>IF(J944&lt;&gt;"PASS","",'Motor_Meciuri'!BD73)</x:f>
      </x:c>
      <x:c r="L944" s="11" t="str">
        <x:f>IF(J944&lt;&gt;"PASS","",'Motor_Meciuri'!AU73)</x:f>
      </x:c>
      <x:c r="M944" s="10" t="str">
        <x:f>IF(NOT(AND(J944="PASS",'Calibrare_Linii'!U6="VALID")),"",1-'Distributie'!AA73)</x:f>
      </x:c>
      <x:c r="N944" s="10" t="str">
        <x:f>IF(M944="","",MAX(0.01,MIN(0.99,0.5+(M944-0.5)*'Motor_Meciuri'!BG73*'Calibrare_Linii'!D6)))</x:f>
      </x:c>
      <x:c r="O944" s="10" t="str">
        <x:f>IF(M944="","",1-M944)</x:f>
      </x:c>
      <x:c r="P944" s="10" t="str">
        <x:f>IF(OR(NOT(AND(J944="PASS",'Calibrare_Linii'!U6="VALID")),AK944=0),""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*('Istoric_Nativ'!$Q$6:$Q$405&lt;=H944))/AK944)</x:f>
      </x:c>
      <x:c r="Q944" s="10" t="str">
        <x:f>IF(OR(NOT(AND(J944="PASS",'Calibrare_Linii'!U6="VALID")),AL944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M73)+((('Istoric_Nativ'!$E$6:$E$405='Input_Meci'!E73)+('Istoric_Nativ'!$F$6:$F$405='Input_Meci'!E73))&gt;0)*('Istoric_Nativ'!$D$6:$D$405&gt;='Motor_Meciuri'!BN73))&gt;0)*('Istoric_Nativ'!$Q$6:$Q$405&lt;=H944))/AL944)</x:f>
      </x:c>
      <x:c r="R944" s="10" t="str">
        <x:f>IF(OR(NOT(AND(J944="PASS",'Calibrare_Linii'!U6="VALID")),AM944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O73)+((('Istoric_Nativ'!$E$6:$E$405='Input_Meci'!E73)+('Istoric_Nativ'!$F$6:$F$405='Input_Meci'!E73))&gt;0)*('Istoric_Nativ'!$D$6:$D$405&gt;='Motor_Meciuri'!BP73))&gt;0)*('Istoric_Nativ'!$Q$6:$Q$405&lt;=H944))/AM944)</x:f>
      </x:c>
      <x:c r="S944" s="10" t="str">
        <x:f>IF(M944="","",MAX(O944,P944,Q944,R944))</x:f>
      </x:c>
      <x:c r="T944" s="11" t="str">
        <x:f>IF(M944="","",MIN(100,S944*100*'Config_v6'!$B$44+MIN(100,L944/'Config_v6'!$B$13*100)*'Config_v6'!$B$45+(100-'Motor_Meciuri'!BF73)*'Config_v6'!$B$46+'Motor_Meciuri'!BH73*100*'Config_v6'!$B$47))</x:f>
      </x:c>
      <x:c r="U944" s="2" t="str">
        <x:f>IF(T944="","",IF(T944&lt;=20,1,IF(T944&lt;=40,2,IF(T944&lt;=60,3,IF(T944&lt;=80,4,5)))))</x:f>
      </x:c>
      <x:c r="V944" s="2" t="str">
        <x:f>IF(M944="","",MAX(0,'Motor_Meciuri'!BF73-IF(W944="OOS PENDING",'Config_v6'!$B$35,0)-IF(L944&gt;'Config_v6'!$B$12,'Config_v6'!$B$37,IF(L944&gt;'Config_v6'!$B$11,'Config_v6'!$B$36,0))))</x:f>
      </x:c>
      <x:c r="W944" s="2" t="str">
        <x:f>IF(B944="","",IF(I944&lt;&gt;"READY","NOT RELEASED",IF(NOT(AND(J944="PASS",'Calibrare_Linii'!U6="VALID")),"INVALID",IF(NOT(TRUE),"OOS PENDING",IF(S944&lt;=IF(AND('Calibrare_Linii'!S6="VALIDATED",AND('Calibrare_Linii'!H6=C944,ISNUMBER('Calibrare_Linii'!J6),'Calibrare_Linii'!J6&lt;='Input_Meci'!G73)),'Calibrare_Linii'!E6,'Config_v6'!$B$26),"PASS",IF(S944&lt;=IF(AND('Calibrare_Linii'!S6="VALIDATED",AND('Calibrare_Linii'!H6=C944,ISNUMBER('Calibrare_Linii'!J6),'Calibrare_Linii'!J6&lt;='Input_Meci'!G73)),'Calibrare_Linii'!F6,'Config_v6'!$C$26),"PENALTY","WATCH"))))))</x:f>
      </x:c>
      <x:c r="X944" s="2" t="str">
        <x:f>IF(M944="","",IF(AND(AND(J944="PASS",'Calibrare_Linii'!U6="VALID"),'Motor_Meciuri'!K73=12,'Motor_Meciuri'!L73=12,'Motor_Meciuri'!M73="NO",'Motor_Meciuri'!BL73='Motor_Meciuri'!C73,AB944&gt;='Config_v6'!$B$50,AN944&gt;='Config_v6'!$B$51,T944&lt;='Config_v6'!$B$52,L944&lt;='Config_v6'!$B$53,ISNUMBER('Calibrare_Linii'!E6),S944&lt;='Calibrare_Linii'!E6,SUM(AK944:AM944)&gt;0),"CANDIDATE","NO"))</x:f>
      </x:c>
      <x:c r="Y944" s="2" t="str">
        <x:f>IF(B944="","",IF(I944&lt;&gt;"READY","NOT RELEASED",IF(AND(X944="CANDIDATE",V944&gt;='Config_v6'!$B$51,W944="PASS",'Calibrare_Linii'!T6="VALIDATED",AND('Calibrare_Linii'!H6=C944,ISNUMBER('Calibrare_Linii'!J6),'Calibrare_Linii'!J6&lt;='Input_Meci'!G73)),"PASS",IF(X944="CANDIDATE","OOS PENDING","FAIL"))))</x:f>
      </x:c>
      <x:c r="Z944" s="2" t="str">
        <x:f>IF(B944="","",IF(I944&lt;&gt;"READY","",IF(OR(NOT(AND(J944="PASS",'Calibrare_Linii'!U6="VALID")),L944&gt;'Config_v6'!$B$13,W944="WATCH"),5,IF(Y944="PASS",1,MIN(5,MAX('Config_v6'!$B$42,U944)+IF(W944="PENALTY",1,0))))))</x:f>
      </x:c>
      <x:c r="AA944" s="2" t="str">
        <x:f>IF(B944="","",IF(I944&lt;&gt;"READY","NOT RELEASED",IF(Z944=5,"NO BET",IF(OR(AB944&lt;'Config_v6'!$B$16,V944&lt;'Config_v6'!$B$18),"WATCH",IF(Z944=1,"DEFENSIV",IF(Z944=2,"PRUDENT",IF(Z944=3,"MODERAT","RIDICAT")))))))</x:f>
      </x:c>
      <x:c r="AB944" s="10" t="str">
        <x:f>IF(N944="","",MIN(N944,1-S944))</x:f>
      </x:c>
      <x:c r="AC944" s="2" t="str">
        <x:f>IF(AD944&lt;&gt;1,"",COUNTIFS($Z$944:$Z$957,"&lt;"&amp;Z944,$AD$944:$AD$957,1)+COUNTIFS($Z$944:$Z$957,Z944,$AB$944:$AB$957,"&gt;"&amp;AB944,$AD$944:$AD$957,1)+COUNTIFS($Z$944:$Z$957,Z944,$AB$944:$AB$957,AB944,$V$944:$V$957,"&gt;"&amp;V944,$AD$944:$AD$957,1)+COUNTIFS($Z$944:Z944,Z944,$AB$944:AB944,AB944,$V$944:V944,V944,$AD$944:AD944,1))</x:f>
      </x:c>
      <x:c r="AD944" s="2" t="n">
        <x:f>IF(OR(AA944="DEFENSIV",AA944="PRUDENT",AA944="MODERAT",AA944="RIDICAT"),1,0)</x:f>
        <x:v>0</x:v>
      </x:c>
      <x:c r="AE944" s="2" t="str">
        <x:f>IF(AD944&lt;&gt;1,"NO",IF(W944="PASS","YES",IF(W944="OOS PENDING","CONDITIONAL","NO")))</x:f>
        <x:v>NO</x:v>
      </x:c>
      <x:c r="AF944" s="2" t="n">
        <x:f>IF(AND(AD944=1,AC944=1,E944="LIVE"),1,0)</x:f>
        <x:v>0</x:v>
      </x:c>
      <x:c r="AG944" s="2" t="str">
        <x:f>IF(AF944&lt;&gt;1,"",'Dashboard'!P93)</x:f>
      </x:c>
      <x:c r="AH944" s="2" t="str">
        <x:f>IF(B944="","",IF(J944&lt;&gt;"PASS",'Motor_Meciuri'!J73,IF('Calibrare_Linii'!U6&lt;&gt;"VALID","Parametri linie invalizi",IF(L944&gt;'Config_v6'!$B$13,"Dispersie peste limita",IF(W944="WATCH","Failure peste limita",IF(AB944&lt;'Config_v6'!$B$16,"P finala sub prag",IF(V944&lt;'Config_v6'!$B$18,"Confidence sub prag",IF(E944="REPLAY","Exemplu retrospectiv; exclus din Top LIVE",IF(Y944="PASS","DEFENSIV validat",IF(W944="OOS PENDING","Eligibil; calibrare linie in monitorizare","Eligibil"))))))))))</x:f>
      </x:c>
      <x:c r="AI944" s="2" t="str">
        <x:f>IF(B944="","",'Calibrare_Linii'!V6)</x:f>
      </x:c>
      <x:c r="AJ944" s="2" t="str">
        <x:f>IF(B944="","",IF(AND('Calibrare_Linii'!T6="VALIDATED",AND('Calibrare_Linii'!H6=C944,ISNUMBER('Calibrare_Linii'!J6),'Calibrare_Linii'!J6&lt;='Input_Meci'!G73)),"DEFENSIVE VALIDATED",IF(AND('Calibrare_Linii'!S6="VALIDATED",AND('Calibrare_Linii'!H6=C944,ISNUMBER('Calibrare_Linii'!J6),'Calibrare_Linii'!J6&lt;='Input_Meci'!G73)),"TAIL VALIDATED","OOS PENDING")))</x:f>
      </x:c>
      <x:c r="AK944" s="2" t="n">
        <x:f>IF(J944&lt;&gt;"PASS",0,'Motor_Meciuri'!BR73)</x:f>
        <x:v>0</x:v>
      </x:c>
      <x:c r="AL944" s="2" t="n">
        <x:f>IF(J944&lt;&gt;"PASS",0,'Motor_Meciuri'!BS73)</x:f>
        <x:v>0</x:v>
      </x:c>
      <x:c r="AM944" s="2" t="n">
        <x:f>IF(J944&lt;&gt;"PASS",0,'Motor_Meciuri'!BT73)</x:f>
        <x:v>0</x:v>
      </x:c>
      <x:c r="AN944" s="2" t="str">
        <x:f>IF(M944="","",MAX(0,'Motor_Meciuri'!BF73-IF(L944&gt;'Config_v6'!$B$12,'Config_v6'!$B$37,IF(L944&gt;'Config_v6'!$B$11,'Config_v6'!$B$36,0))))</x:f>
      </x:c>
    </x:row>
    <x:row r="945" ht="21" customHeight="1">
      <x:c r="A945" s="2" t="n">
        <x:v>68</x:v>
      </x:c>
      <x:c r="B945" s="2" t="str">
        <x:f>IF('Motor_Meciuri'!A73="","",'Motor_Meciuri'!A73)</x:f>
      </x:c>
      <x:c r="C945" s="2" t="str">
        <x:f>IF(B945="","",'Motor_Meciuri'!B73)</x:f>
      </x:c>
      <x:c r="D945" s="2" t="str">
        <x:f>IF(B945="","",'Motor_Meciuri'!D73)</x:f>
      </x:c>
      <x:c r="E945" s="2" t="str">
        <x:f>IF(B945="","",'Motor_Meciuri'!E73)</x:f>
      </x:c>
      <x:c r="F945" s="2" t="str">
        <x:v>O4,5</x:v>
      </x:c>
      <x:c r="G945" s="2" t="str">
        <x:v>OVER</x:v>
      </x:c>
      <x:c r="H945" s="2" t="n">
        <x:v>4</x:v>
      </x:c>
      <x:c r="I945" s="2" t="str">
        <x:f>IF(B945="","",'Motor_Meciuri'!H73)</x:f>
      </x:c>
      <x:c r="J945" s="2" t="str">
        <x:f>IF(B945="","",'Motor_Meciuri'!I73)</x:f>
      </x:c>
      <x:c r="K945" s="11" t="str">
        <x:f>IF(J945&lt;&gt;"PASS","",'Motor_Meciuri'!BD73)</x:f>
      </x:c>
      <x:c r="L945" s="11" t="str">
        <x:f>IF(J945&lt;&gt;"PASS","",'Motor_Meciuri'!AU73)</x:f>
      </x:c>
      <x:c r="M945" s="10" t="str">
        <x:f>IF(NOT(AND(J945="PASS",'Calibrare_Linii'!U7="VALID")),"",1-'Distributie'!AB73)</x:f>
      </x:c>
      <x:c r="N945" s="10" t="str">
        <x:f>IF(M945="","",MAX(0.01,MIN(0.99,0.5+(M945-0.5)*'Motor_Meciuri'!BG73*'Calibrare_Linii'!D7)))</x:f>
      </x:c>
      <x:c r="O945" s="10" t="str">
        <x:f>IF(M945="","",1-M945)</x:f>
      </x:c>
      <x:c r="P945" s="10" t="str">
        <x:f>IF(OR(NOT(AND(J945="PASS",'Calibrare_Linii'!U7="VALID")),AK945=0),""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*('Istoric_Nativ'!$Q$6:$Q$405&lt;=H945))/AK945)</x:f>
      </x:c>
      <x:c r="Q945" s="10" t="str">
        <x:f>IF(OR(NOT(AND(J945="PASS",'Calibrare_Linii'!U7="VALID")),AL945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M73)+((('Istoric_Nativ'!$E$6:$E$405='Input_Meci'!E73)+('Istoric_Nativ'!$F$6:$F$405='Input_Meci'!E73))&gt;0)*('Istoric_Nativ'!$D$6:$D$405&gt;='Motor_Meciuri'!BN73))&gt;0)*('Istoric_Nativ'!$Q$6:$Q$405&lt;=H945))/AL945)</x:f>
      </x:c>
      <x:c r="R945" s="10" t="str">
        <x:f>IF(OR(NOT(AND(J945="PASS",'Calibrare_Linii'!U7="VALID")),AM945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O73)+((('Istoric_Nativ'!$E$6:$E$405='Input_Meci'!E73)+('Istoric_Nativ'!$F$6:$F$405='Input_Meci'!E73))&gt;0)*('Istoric_Nativ'!$D$6:$D$405&gt;='Motor_Meciuri'!BP73))&gt;0)*('Istoric_Nativ'!$Q$6:$Q$405&lt;=H945))/AM945)</x:f>
      </x:c>
      <x:c r="S945" s="10" t="str">
        <x:f>IF(M945="","",MAX(O945,P945,Q945,R945))</x:f>
      </x:c>
      <x:c r="T945" s="11" t="str">
        <x:f>IF(M945="","",MIN(100,S945*100*'Config_v6'!$B$44+MIN(100,L945/'Config_v6'!$B$13*100)*'Config_v6'!$B$45+(100-'Motor_Meciuri'!BF73)*'Config_v6'!$B$46+'Motor_Meciuri'!BH73*100*'Config_v6'!$B$47))</x:f>
      </x:c>
      <x:c r="U945" s="2" t="str">
        <x:f>IF(T945="","",IF(T945&lt;=20,1,IF(T945&lt;=40,2,IF(T945&lt;=60,3,IF(T945&lt;=80,4,5)))))</x:f>
      </x:c>
      <x:c r="V945" s="2" t="str">
        <x:f>IF(M945="","",MAX(0,'Motor_Meciuri'!BF73-IF(W945="OOS PENDING",'Config_v6'!$B$35,0)-IF(L945&gt;'Config_v6'!$B$12,'Config_v6'!$B$37,IF(L945&gt;'Config_v6'!$B$11,'Config_v6'!$B$36,0))))</x:f>
      </x:c>
      <x:c r="W945" s="2" t="str">
        <x:f>IF(B945="","",IF(I945&lt;&gt;"READY","NOT RELEASED",IF(NOT(AND(J945="PASS",'Calibrare_Linii'!U7="VALID")),"INVALID",IF(NOT(AND('Calibrare_Linii'!S7="VALIDATED",AND('Calibrare_Linii'!H7=C945,ISNUMBER('Calibrare_Linii'!J7),'Calibrare_Linii'!J7&lt;='Input_Meci'!G73))),"OOS PENDING",IF(S945&lt;='Calibrare_Linii'!E7,"PASS",IF(S945&lt;='Calibrare_Linii'!F7,"PENALTY","WATCH"))))))</x:f>
      </x:c>
      <x:c r="X945" s="2" t="str">
        <x:f>IF(M945="","",IF(AND(AND(J945="PASS",'Calibrare_Linii'!U7="VALID"),'Motor_Meciuri'!K73=12,'Motor_Meciuri'!L73=12,'Motor_Meciuri'!M73="NO",'Motor_Meciuri'!BL73='Motor_Meciuri'!C73,AB945&gt;='Config_v6'!$B$50,AN945&gt;='Config_v6'!$B$51,T945&lt;='Config_v6'!$B$52,L945&lt;='Config_v6'!$B$53,ISNUMBER('Calibrare_Linii'!E7),S945&lt;='Calibrare_Linii'!E7,SUM(AK945:AM945)&gt;0),"CANDIDATE","NO"))</x:f>
      </x:c>
      <x:c r="Y945" s="2" t="str">
        <x:f>IF(B945="","",IF(I945&lt;&gt;"READY","NOT RELEASED",IF(AND(X945="CANDIDATE",V945&gt;='Config_v6'!$B$51,W945="PASS",'Calibrare_Linii'!T7="VALIDATED",AND('Calibrare_Linii'!H7=C945,ISNUMBER('Calibrare_Linii'!J7),'Calibrare_Linii'!J7&lt;='Input_Meci'!G73)),"PASS",IF(X945="CANDIDATE","OOS PENDING","FAIL"))))</x:f>
      </x:c>
      <x:c r="Z945" s="2" t="str">
        <x:f>IF(B945="","",IF(I945&lt;&gt;"READY","",IF(OR(NOT(AND(J945="PASS",'Calibrare_Linii'!U7="VALID")),L945&gt;'Config_v6'!$B$13,W945="WATCH"),5,IF(Y945="PASS",1,MIN(5,MAX('Config_v6'!$B$42,U945)+IF(W945="PENALTY",1,0))))))</x:f>
      </x:c>
      <x:c r="AA945" s="2" t="str">
        <x:f>IF(B945="","",IF(I945&lt;&gt;"READY","NOT RELEASED",IF(Z945=5,"NO BET",IF(OR(AB945&lt;'Config_v6'!$B$16,V945&lt;'Config_v6'!$B$18),"WATCH",IF(Z945=1,"DEFENSIV",IF(Z945=2,"PRUDENT",IF(Z945=3,"MODERAT","RIDICAT")))))))</x:f>
      </x:c>
      <x:c r="AB945" s="10" t="str">
        <x:f>IF(N945="","",MIN(N945,1-S945))</x:f>
      </x:c>
      <x:c r="AC945" s="2" t="str">
        <x:f>IF(AD945&lt;&gt;1,"",COUNTIFS($Z$944:$Z$957,"&lt;"&amp;Z945,$AD$944:$AD$957,1)+COUNTIFS($Z$944:$Z$957,Z945,$AB$944:$AB$957,"&gt;"&amp;AB945,$AD$944:$AD$957,1)+COUNTIFS($Z$944:$Z$957,Z945,$AB$944:$AB$957,AB945,$V$944:$V$957,"&gt;"&amp;V945,$AD$944:$AD$957,1)+COUNTIFS($Z$944:Z945,Z945,$AB$944:AB945,AB945,$V$944:V945,V945,$AD$944:AD945,1))</x:f>
      </x:c>
      <x:c r="AD945" s="2" t="n">
        <x:f>IF(OR(AA945="DEFENSIV",AA945="PRUDENT",AA945="MODERAT",AA945="RIDICAT"),1,0)</x:f>
        <x:v>0</x:v>
      </x:c>
      <x:c r="AE945" s="2" t="str">
        <x:f>IF(AD945&lt;&gt;1,"NO",IF(W945="PASS","YES",IF(W945="OOS PENDING","CONDITIONAL","NO")))</x:f>
        <x:v>NO</x:v>
      </x:c>
      <x:c r="AF945" s="2" t="n">
        <x:f>IF(AND(AD945=1,AC945=1,E945="LIVE"),1,0)</x:f>
        <x:v>0</x:v>
      </x:c>
      <x:c r="AG945" s="2" t="str">
        <x:f>IF(AF945&lt;&gt;1,"",'Dashboard'!P93)</x:f>
      </x:c>
      <x:c r="AH945" s="2" t="str">
        <x:f>IF(B945="","",IF(J945&lt;&gt;"PASS",'Motor_Meciuri'!J73,IF('Calibrare_Linii'!U7&lt;&gt;"VALID","Parametri linie invalizi",IF(L945&gt;'Config_v6'!$B$13,"Dispersie peste limita",IF(W945="WATCH","Failure peste limita",IF(AB945&lt;'Config_v6'!$B$16,"P finala sub prag",IF(V945&lt;'Config_v6'!$B$18,"Confidence sub prag",IF(E945="REPLAY","Exemplu retrospectiv; exclus din Top LIVE",IF(Y945="PASS","DEFENSIV validat",IF(W945="OOS PENDING","Eligibil; calibrare linie in monitorizare","Eligibil"))))))))))</x:f>
      </x:c>
      <x:c r="AI945" s="2" t="str">
        <x:f>IF(B945="","",'Calibrare_Linii'!V7)</x:f>
      </x:c>
      <x:c r="AJ945" s="2" t="str">
        <x:f>IF(B945="","",IF(AND('Calibrare_Linii'!T7="VALIDATED",AND('Calibrare_Linii'!H7=C945,ISNUMBER('Calibrare_Linii'!J7),'Calibrare_Linii'!J7&lt;='Input_Meci'!G73)),"DEFENSIVE VALIDATED",IF(AND('Calibrare_Linii'!S7="VALIDATED",AND('Calibrare_Linii'!H7=C945,ISNUMBER('Calibrare_Linii'!J7),'Calibrare_Linii'!J7&lt;='Input_Meci'!G73)),"TAIL VALIDATED","OOS PENDING")))</x:f>
      </x:c>
      <x:c r="AK945" s="2" t="n">
        <x:f>IF(J945&lt;&gt;"PASS",0,'Motor_Meciuri'!BR73)</x:f>
        <x:v>0</x:v>
      </x:c>
      <x:c r="AL945" s="2" t="n">
        <x:f>IF(J945&lt;&gt;"PASS",0,'Motor_Meciuri'!BS73)</x:f>
        <x:v>0</x:v>
      </x:c>
      <x:c r="AM945" s="2" t="n">
        <x:f>IF(J945&lt;&gt;"PASS",0,'Motor_Meciuri'!BT73)</x:f>
        <x:v>0</x:v>
      </x:c>
      <x:c r="AN945" s="2" t="str">
        <x:f>IF(M945="","",MAX(0,'Motor_Meciuri'!BF73-IF(L945&gt;'Config_v6'!$B$12,'Config_v6'!$B$37,IF(L945&gt;'Config_v6'!$B$11,'Config_v6'!$B$36,0))))</x:f>
      </x:c>
    </x:row>
    <x:row r="946" ht="21" customHeight="1">
      <x:c r="A946" s="2" t="n">
        <x:v>68</x:v>
      </x:c>
      <x:c r="B946" s="2" t="str">
        <x:f>IF('Motor_Meciuri'!A73="","",'Motor_Meciuri'!A73)</x:f>
      </x:c>
      <x:c r="C946" s="2" t="str">
        <x:f>IF(B946="","",'Motor_Meciuri'!B73)</x:f>
      </x:c>
      <x:c r="D946" s="2" t="str">
        <x:f>IF(B946="","",'Motor_Meciuri'!D73)</x:f>
      </x:c>
      <x:c r="E946" s="2" t="str">
        <x:f>IF(B946="","",'Motor_Meciuri'!E73)</x:f>
      </x:c>
      <x:c r="F946" s="2" t="str">
        <x:v>O5,5</x:v>
      </x:c>
      <x:c r="G946" s="2" t="str">
        <x:v>OVER</x:v>
      </x:c>
      <x:c r="H946" s="2" t="n">
        <x:v>5</x:v>
      </x:c>
      <x:c r="I946" s="2" t="str">
        <x:f>IF(B946="","",'Motor_Meciuri'!H73)</x:f>
      </x:c>
      <x:c r="J946" s="2" t="str">
        <x:f>IF(B946="","",'Motor_Meciuri'!I73)</x:f>
      </x:c>
      <x:c r="K946" s="11" t="str">
        <x:f>IF(J946&lt;&gt;"PASS","",'Motor_Meciuri'!BD73)</x:f>
      </x:c>
      <x:c r="L946" s="11" t="str">
        <x:f>IF(J946&lt;&gt;"PASS","",'Motor_Meciuri'!AU73)</x:f>
      </x:c>
      <x:c r="M946" s="10" t="str">
        <x:f>IF(NOT(AND(J946="PASS",'Calibrare_Linii'!U8="VALID")),"",1-'Distributie'!AC73)</x:f>
      </x:c>
      <x:c r="N946" s="10" t="str">
        <x:f>IF(M946="","",MAX(0.01,MIN(0.99,0.5+(M946-0.5)*'Motor_Meciuri'!BG73*'Calibrare_Linii'!D8)))</x:f>
      </x:c>
      <x:c r="O946" s="10" t="str">
        <x:f>IF(M946="","",1-M946)</x:f>
      </x:c>
      <x:c r="P946" s="10" t="str">
        <x:f>IF(OR(NOT(AND(J946="PASS",'Calibrare_Linii'!U8="VALID")),AK946=0),""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*('Istoric_Nativ'!$Q$6:$Q$405&lt;=H946))/AK946)</x:f>
      </x:c>
      <x:c r="Q946" s="10" t="str">
        <x:f>IF(OR(NOT(AND(J946="PASS",'Calibrare_Linii'!U8="VALID")),AL946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M73)+((('Istoric_Nativ'!$E$6:$E$405='Input_Meci'!E73)+('Istoric_Nativ'!$F$6:$F$405='Input_Meci'!E73))&gt;0)*('Istoric_Nativ'!$D$6:$D$405&gt;='Motor_Meciuri'!BN73))&gt;0)*('Istoric_Nativ'!$Q$6:$Q$405&lt;=H946))/AL946)</x:f>
      </x:c>
      <x:c r="R946" s="10" t="str">
        <x:f>IF(OR(NOT(AND(J946="PASS",'Calibrare_Linii'!U8="VALID")),AM946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O73)+((('Istoric_Nativ'!$E$6:$E$405='Input_Meci'!E73)+('Istoric_Nativ'!$F$6:$F$405='Input_Meci'!E73))&gt;0)*('Istoric_Nativ'!$D$6:$D$405&gt;='Motor_Meciuri'!BP73))&gt;0)*('Istoric_Nativ'!$Q$6:$Q$405&lt;=H946))/AM946)</x:f>
      </x:c>
      <x:c r="S946" s="10" t="str">
        <x:f>IF(M946="","",MAX(O946,P946,Q946,R946))</x:f>
      </x:c>
      <x:c r="T946" s="11" t="str">
        <x:f>IF(M946="","",MIN(100,S946*100*'Config_v6'!$B$44+MIN(100,L946/'Config_v6'!$B$13*100)*'Config_v6'!$B$45+(100-'Motor_Meciuri'!BF73)*'Config_v6'!$B$46+'Motor_Meciuri'!BH73*100*'Config_v6'!$B$47))</x:f>
      </x:c>
      <x:c r="U946" s="2" t="str">
        <x:f>IF(T946="","",IF(T946&lt;=20,1,IF(T946&lt;=40,2,IF(T946&lt;=60,3,IF(T946&lt;=80,4,5)))))</x:f>
      </x:c>
      <x:c r="V946" s="2" t="str">
        <x:f>IF(M946="","",MAX(0,'Motor_Meciuri'!BF73-IF(W946="OOS PENDING",'Config_v6'!$B$35,0)-IF(L946&gt;'Config_v6'!$B$12,'Config_v6'!$B$37,IF(L946&gt;'Config_v6'!$B$11,'Config_v6'!$B$36,0))))</x:f>
      </x:c>
      <x:c r="W946" s="2" t="str">
        <x:f>IF(B946="","",IF(I946&lt;&gt;"READY","NOT RELEASED",IF(NOT(AND(J946="PASS",'Calibrare_Linii'!U8="VALID")),"INVALID",IF(NOT(AND('Calibrare_Linii'!S8="VALIDATED",AND('Calibrare_Linii'!H8=C946,ISNUMBER('Calibrare_Linii'!J8),'Calibrare_Linii'!J8&lt;='Input_Meci'!G73))),"OOS PENDING",IF(S946&lt;='Calibrare_Linii'!E8,"PASS",IF(S946&lt;='Calibrare_Linii'!F8,"PENALTY","WATCH"))))))</x:f>
      </x:c>
      <x:c r="X946" s="2" t="str">
        <x:f>IF(M946="","",IF(AND(AND(J946="PASS",'Calibrare_Linii'!U8="VALID"),'Motor_Meciuri'!K73=12,'Motor_Meciuri'!L73=12,'Motor_Meciuri'!M73="NO",'Motor_Meciuri'!BL73='Motor_Meciuri'!C73,AB946&gt;='Config_v6'!$B$50,AN946&gt;='Config_v6'!$B$51,T946&lt;='Config_v6'!$B$52,L946&lt;='Config_v6'!$B$53,ISNUMBER('Calibrare_Linii'!E8),S946&lt;='Calibrare_Linii'!E8,SUM(AK946:AM946)&gt;0),"CANDIDATE","NO"))</x:f>
      </x:c>
      <x:c r="Y946" s="2" t="str">
        <x:f>IF(B946="","",IF(I946&lt;&gt;"READY","NOT RELEASED",IF(AND(X946="CANDIDATE",V946&gt;='Config_v6'!$B$51,W946="PASS",'Calibrare_Linii'!T8="VALIDATED",AND('Calibrare_Linii'!H8=C946,ISNUMBER('Calibrare_Linii'!J8),'Calibrare_Linii'!J8&lt;='Input_Meci'!G73)),"PASS",IF(X946="CANDIDATE","OOS PENDING","FAIL"))))</x:f>
      </x:c>
      <x:c r="Z946" s="2" t="str">
        <x:f>IF(B946="","",IF(I946&lt;&gt;"READY","",IF(OR(NOT(AND(J946="PASS",'Calibrare_Linii'!U8="VALID")),L946&gt;'Config_v6'!$B$13,W946="WATCH"),5,IF(Y946="PASS",1,MIN(5,MAX('Config_v6'!$B$42,U946)+IF(W946="PENALTY",1,0))))))</x:f>
      </x:c>
      <x:c r="AA946" s="2" t="str">
        <x:f>IF(B946="","",IF(I946&lt;&gt;"READY","NOT RELEASED",IF(Z946=5,"NO BET",IF(OR(AB946&lt;'Config_v6'!$B$16,V946&lt;'Config_v6'!$B$18),"WATCH",IF(Z946=1,"DEFENSIV",IF(Z946=2,"PRUDENT",IF(Z946=3,"MODERAT","RIDICAT")))))))</x:f>
      </x:c>
      <x:c r="AB946" s="10" t="str">
        <x:f>IF(N946="","",MIN(N946,1-S946))</x:f>
      </x:c>
      <x:c r="AC946" s="2" t="str">
        <x:f>IF(AD946&lt;&gt;1,"",COUNTIFS($Z$944:$Z$957,"&lt;"&amp;Z946,$AD$944:$AD$957,1)+COUNTIFS($Z$944:$Z$957,Z946,$AB$944:$AB$957,"&gt;"&amp;AB946,$AD$944:$AD$957,1)+COUNTIFS($Z$944:$Z$957,Z946,$AB$944:$AB$957,AB946,$V$944:$V$957,"&gt;"&amp;V946,$AD$944:$AD$957,1)+COUNTIFS($Z$944:Z946,Z946,$AB$944:AB946,AB946,$V$944:V946,V946,$AD$944:AD946,1))</x:f>
      </x:c>
      <x:c r="AD946" s="2" t="n">
        <x:f>IF(OR(AA946="DEFENSIV",AA946="PRUDENT",AA946="MODERAT",AA946="RIDICAT"),1,0)</x:f>
        <x:v>0</x:v>
      </x:c>
      <x:c r="AE946" s="2" t="str">
        <x:f>IF(AD946&lt;&gt;1,"NO",IF(W946="PASS","YES",IF(W946="OOS PENDING","CONDITIONAL","NO")))</x:f>
        <x:v>NO</x:v>
      </x:c>
      <x:c r="AF946" s="2" t="n">
        <x:f>IF(AND(AD946=1,AC946=1,E946="LIVE"),1,0)</x:f>
        <x:v>0</x:v>
      </x:c>
      <x:c r="AG946" s="2" t="str">
        <x:f>IF(AF946&lt;&gt;1,"",'Dashboard'!P93)</x:f>
      </x:c>
      <x:c r="AH946" s="2" t="str">
        <x:f>IF(B946="","",IF(J946&lt;&gt;"PASS",'Motor_Meciuri'!J73,IF('Calibrare_Linii'!U8&lt;&gt;"VALID","Parametri linie invalizi",IF(L946&gt;'Config_v6'!$B$13,"Dispersie peste limita",IF(W946="WATCH","Failure peste limita",IF(AB946&lt;'Config_v6'!$B$16,"P finala sub prag",IF(V946&lt;'Config_v6'!$B$18,"Confidence sub prag",IF(E946="REPLAY","Exemplu retrospectiv; exclus din Top LIVE",IF(Y946="PASS","DEFENSIV validat",IF(W946="OOS PENDING","Eligibil; calibrare linie in monitorizare","Eligibil"))))))))))</x:f>
      </x:c>
      <x:c r="AI946" s="2" t="str">
        <x:f>IF(B946="","",'Calibrare_Linii'!V8)</x:f>
      </x:c>
      <x:c r="AJ946" s="2" t="str">
        <x:f>IF(B946="","",IF(AND('Calibrare_Linii'!T8="VALIDATED",AND('Calibrare_Linii'!H8=C946,ISNUMBER('Calibrare_Linii'!J8),'Calibrare_Linii'!J8&lt;='Input_Meci'!G73)),"DEFENSIVE VALIDATED",IF(AND('Calibrare_Linii'!S8="VALIDATED",AND('Calibrare_Linii'!H8=C946,ISNUMBER('Calibrare_Linii'!J8),'Calibrare_Linii'!J8&lt;='Input_Meci'!G73)),"TAIL VALIDATED","OOS PENDING")))</x:f>
      </x:c>
      <x:c r="AK946" s="2" t="n">
        <x:f>IF(J946&lt;&gt;"PASS",0,'Motor_Meciuri'!BR73)</x:f>
        <x:v>0</x:v>
      </x:c>
      <x:c r="AL946" s="2" t="n">
        <x:f>IF(J946&lt;&gt;"PASS",0,'Motor_Meciuri'!BS73)</x:f>
        <x:v>0</x:v>
      </x:c>
      <x:c r="AM946" s="2" t="n">
        <x:f>IF(J946&lt;&gt;"PASS",0,'Motor_Meciuri'!BT73)</x:f>
        <x:v>0</x:v>
      </x:c>
      <x:c r="AN946" s="2" t="str">
        <x:f>IF(M946="","",MAX(0,'Motor_Meciuri'!BF73-IF(L946&gt;'Config_v6'!$B$12,'Config_v6'!$B$37,IF(L946&gt;'Config_v6'!$B$11,'Config_v6'!$B$36,0))))</x:f>
      </x:c>
    </x:row>
    <x:row r="947" ht="21" customHeight="1">
      <x:c r="A947" s="2" t="n">
        <x:v>68</x:v>
      </x:c>
      <x:c r="B947" s="2" t="str">
        <x:f>IF('Motor_Meciuri'!A73="","",'Motor_Meciuri'!A73)</x:f>
      </x:c>
      <x:c r="C947" s="2" t="str">
        <x:f>IF(B947="","",'Motor_Meciuri'!B73)</x:f>
      </x:c>
      <x:c r="D947" s="2" t="str">
        <x:f>IF(B947="","",'Motor_Meciuri'!D73)</x:f>
      </x:c>
      <x:c r="E947" s="2" t="str">
        <x:f>IF(B947="","",'Motor_Meciuri'!E73)</x:f>
      </x:c>
      <x:c r="F947" s="2" t="str">
        <x:v>O6,5</x:v>
      </x:c>
      <x:c r="G947" s="2" t="str">
        <x:v>OVER</x:v>
      </x:c>
      <x:c r="H947" s="2" t="n">
        <x:v>6</x:v>
      </x:c>
      <x:c r="I947" s="2" t="str">
        <x:f>IF(B947="","",'Motor_Meciuri'!H73)</x:f>
      </x:c>
      <x:c r="J947" s="2" t="str">
        <x:f>IF(B947="","",'Motor_Meciuri'!I73)</x:f>
      </x:c>
      <x:c r="K947" s="11" t="str">
        <x:f>IF(J947&lt;&gt;"PASS","",'Motor_Meciuri'!BD73)</x:f>
      </x:c>
      <x:c r="L947" s="11" t="str">
        <x:f>IF(J947&lt;&gt;"PASS","",'Motor_Meciuri'!AU73)</x:f>
      </x:c>
      <x:c r="M947" s="10" t="str">
        <x:f>IF(NOT(AND(J947="PASS",'Calibrare_Linii'!U9="VALID")),"",1-'Distributie'!AD73)</x:f>
      </x:c>
      <x:c r="N947" s="10" t="str">
        <x:f>IF(M947="","",MAX(0.01,MIN(0.99,0.5+(M947-0.5)*'Motor_Meciuri'!BG73*'Calibrare_Linii'!D9)))</x:f>
      </x:c>
      <x:c r="O947" s="10" t="str">
        <x:f>IF(M947="","",1-M947)</x:f>
      </x:c>
      <x:c r="P947" s="10" t="str">
        <x:f>IF(OR(NOT(AND(J947="PASS",'Calibrare_Linii'!U9="VALID")),AK947=0),""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*('Istoric_Nativ'!$Q$6:$Q$405&lt;=H947))/AK947)</x:f>
      </x:c>
      <x:c r="Q947" s="10" t="str">
        <x:f>IF(OR(NOT(AND(J947="PASS",'Calibrare_Linii'!U9="VALID")),AL947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M73)+((('Istoric_Nativ'!$E$6:$E$405='Input_Meci'!E73)+('Istoric_Nativ'!$F$6:$F$405='Input_Meci'!E73))&gt;0)*('Istoric_Nativ'!$D$6:$D$405&gt;='Motor_Meciuri'!BN73))&gt;0)*('Istoric_Nativ'!$Q$6:$Q$405&lt;=H947))/AL947)</x:f>
      </x:c>
      <x:c r="R947" s="10" t="str">
        <x:f>IF(OR(NOT(AND(J947="PASS",'Calibrare_Linii'!U9="VALID")),AM947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O73)+((('Istoric_Nativ'!$E$6:$E$405='Input_Meci'!E73)+('Istoric_Nativ'!$F$6:$F$405='Input_Meci'!E73))&gt;0)*('Istoric_Nativ'!$D$6:$D$405&gt;='Motor_Meciuri'!BP73))&gt;0)*('Istoric_Nativ'!$Q$6:$Q$405&lt;=H947))/AM947)</x:f>
      </x:c>
      <x:c r="S947" s="10" t="str">
        <x:f>IF(M947="","",MAX(O947,P947,Q947,R947))</x:f>
      </x:c>
      <x:c r="T947" s="11" t="str">
        <x:f>IF(M947="","",MIN(100,S947*100*'Config_v6'!$B$44+MIN(100,L947/'Config_v6'!$B$13*100)*'Config_v6'!$B$45+(100-'Motor_Meciuri'!BF73)*'Config_v6'!$B$46+'Motor_Meciuri'!BH73*100*'Config_v6'!$B$47))</x:f>
      </x:c>
      <x:c r="U947" s="2" t="str">
        <x:f>IF(T947="","",IF(T947&lt;=20,1,IF(T947&lt;=40,2,IF(T947&lt;=60,3,IF(T947&lt;=80,4,5)))))</x:f>
      </x:c>
      <x:c r="V947" s="2" t="str">
        <x:f>IF(M947="","",MAX(0,'Motor_Meciuri'!BF73-IF(W947="OOS PENDING",'Config_v6'!$B$35,0)-IF(L947&gt;'Config_v6'!$B$12,'Config_v6'!$B$37,IF(L947&gt;'Config_v6'!$B$11,'Config_v6'!$B$36,0))))</x:f>
      </x:c>
      <x:c r="W947" s="2" t="str">
        <x:f>IF(B947="","",IF(I947&lt;&gt;"READY","NOT RELEASED",IF(NOT(AND(J947="PASS",'Calibrare_Linii'!U9="VALID")),"INVALID",IF(NOT(AND('Calibrare_Linii'!S9="VALIDATED",AND('Calibrare_Linii'!H9=C947,ISNUMBER('Calibrare_Linii'!J9),'Calibrare_Linii'!J9&lt;='Input_Meci'!G73))),"OOS PENDING",IF(S947&lt;='Calibrare_Linii'!E9,"PASS",IF(S947&lt;='Calibrare_Linii'!F9,"PENALTY","WATCH"))))))</x:f>
      </x:c>
      <x:c r="X947" s="2" t="str">
        <x:f>IF(M947="","",IF(AND(AND(J947="PASS",'Calibrare_Linii'!U9="VALID"),'Motor_Meciuri'!K73=12,'Motor_Meciuri'!L73=12,'Motor_Meciuri'!M73="NO",'Motor_Meciuri'!BL73='Motor_Meciuri'!C73,AB947&gt;='Config_v6'!$B$50,AN947&gt;='Config_v6'!$B$51,T947&lt;='Config_v6'!$B$52,L947&lt;='Config_v6'!$B$53,ISNUMBER('Calibrare_Linii'!E9),S947&lt;='Calibrare_Linii'!E9,SUM(AK947:AM947)&gt;0),"CANDIDATE","NO"))</x:f>
      </x:c>
      <x:c r="Y947" s="2" t="str">
        <x:f>IF(B947="","",IF(I947&lt;&gt;"READY","NOT RELEASED",IF(AND(X947="CANDIDATE",V947&gt;='Config_v6'!$B$51,W947="PASS",'Calibrare_Linii'!T9="VALIDATED",AND('Calibrare_Linii'!H9=C947,ISNUMBER('Calibrare_Linii'!J9),'Calibrare_Linii'!J9&lt;='Input_Meci'!G73)),"PASS",IF(X947="CANDIDATE","OOS PENDING","FAIL"))))</x:f>
      </x:c>
      <x:c r="Z947" s="2" t="str">
        <x:f>IF(B947="","",IF(I947&lt;&gt;"READY","",IF(OR(NOT(AND(J947="PASS",'Calibrare_Linii'!U9="VALID")),L947&gt;'Config_v6'!$B$13,W947="WATCH"),5,IF(Y947="PASS",1,MIN(5,MAX('Config_v6'!$B$42,U947)+IF(W947="PENALTY",1,0))))))</x:f>
      </x:c>
      <x:c r="AA947" s="2" t="str">
        <x:f>IF(B947="","",IF(I947&lt;&gt;"READY","NOT RELEASED",IF(Z947=5,"NO BET",IF(OR(AB947&lt;'Config_v6'!$B$16,V947&lt;'Config_v6'!$B$18),"WATCH",IF(Z947=1,"DEFENSIV",IF(Z947=2,"PRUDENT",IF(Z947=3,"MODERAT","RIDICAT")))))))</x:f>
      </x:c>
      <x:c r="AB947" s="10" t="str">
        <x:f>IF(N947="","",MIN(N947,1-S947))</x:f>
      </x:c>
      <x:c r="AC947" s="2" t="str">
        <x:f>IF(AD947&lt;&gt;1,"",COUNTIFS($Z$944:$Z$957,"&lt;"&amp;Z947,$AD$944:$AD$957,1)+COUNTIFS($Z$944:$Z$957,Z947,$AB$944:$AB$957,"&gt;"&amp;AB947,$AD$944:$AD$957,1)+COUNTIFS($Z$944:$Z$957,Z947,$AB$944:$AB$957,AB947,$V$944:$V$957,"&gt;"&amp;V947,$AD$944:$AD$957,1)+COUNTIFS($Z$944:Z947,Z947,$AB$944:AB947,AB947,$V$944:V947,V947,$AD$944:AD947,1))</x:f>
      </x:c>
      <x:c r="AD947" s="2" t="n">
        <x:f>IF(OR(AA947="DEFENSIV",AA947="PRUDENT",AA947="MODERAT",AA947="RIDICAT"),1,0)</x:f>
        <x:v>0</x:v>
      </x:c>
      <x:c r="AE947" s="2" t="str">
        <x:f>IF(AD947&lt;&gt;1,"NO",IF(W947="PASS","YES",IF(W947="OOS PENDING","CONDITIONAL","NO")))</x:f>
        <x:v>NO</x:v>
      </x:c>
      <x:c r="AF947" s="2" t="n">
        <x:f>IF(AND(AD947=1,AC947=1,E947="LIVE"),1,0)</x:f>
        <x:v>0</x:v>
      </x:c>
      <x:c r="AG947" s="2" t="str">
        <x:f>IF(AF947&lt;&gt;1,"",'Dashboard'!P93)</x:f>
      </x:c>
      <x:c r="AH947" s="2" t="str">
        <x:f>IF(B947="","",IF(J947&lt;&gt;"PASS",'Motor_Meciuri'!J73,IF('Calibrare_Linii'!U9&lt;&gt;"VALID","Parametri linie invalizi",IF(L947&gt;'Config_v6'!$B$13,"Dispersie peste limita",IF(W947="WATCH","Failure peste limita",IF(AB947&lt;'Config_v6'!$B$16,"P finala sub prag",IF(V947&lt;'Config_v6'!$B$18,"Confidence sub prag",IF(E947="REPLAY","Exemplu retrospectiv; exclus din Top LIVE",IF(Y947="PASS","DEFENSIV validat",IF(W947="OOS PENDING","Eligibil; calibrare linie in monitorizare","Eligibil"))))))))))</x:f>
      </x:c>
      <x:c r="AI947" s="2" t="str">
        <x:f>IF(B947="","",'Calibrare_Linii'!V9)</x:f>
      </x:c>
      <x:c r="AJ947" s="2" t="str">
        <x:f>IF(B947="","",IF(AND('Calibrare_Linii'!T9="VALIDATED",AND('Calibrare_Linii'!H9=C947,ISNUMBER('Calibrare_Linii'!J9),'Calibrare_Linii'!J9&lt;='Input_Meci'!G73)),"DEFENSIVE VALIDATED",IF(AND('Calibrare_Linii'!S9="VALIDATED",AND('Calibrare_Linii'!H9=C947,ISNUMBER('Calibrare_Linii'!J9),'Calibrare_Linii'!J9&lt;='Input_Meci'!G73)),"TAIL VALIDATED","OOS PENDING")))</x:f>
      </x:c>
      <x:c r="AK947" s="2" t="n">
        <x:f>IF(J947&lt;&gt;"PASS",0,'Motor_Meciuri'!BR73)</x:f>
        <x:v>0</x:v>
      </x:c>
      <x:c r="AL947" s="2" t="n">
        <x:f>IF(J947&lt;&gt;"PASS",0,'Motor_Meciuri'!BS73)</x:f>
        <x:v>0</x:v>
      </x:c>
      <x:c r="AM947" s="2" t="n">
        <x:f>IF(J947&lt;&gt;"PASS",0,'Motor_Meciuri'!BT73)</x:f>
        <x:v>0</x:v>
      </x:c>
      <x:c r="AN947" s="2" t="str">
        <x:f>IF(M947="","",MAX(0,'Motor_Meciuri'!BF73-IF(L947&gt;'Config_v6'!$B$12,'Config_v6'!$B$37,IF(L947&gt;'Config_v6'!$B$11,'Config_v6'!$B$36,0))))</x:f>
      </x:c>
    </x:row>
    <x:row r="948" ht="21" customHeight="1">
      <x:c r="A948" s="2" t="n">
        <x:v>68</x:v>
      </x:c>
      <x:c r="B948" s="2" t="str">
        <x:f>IF('Motor_Meciuri'!A73="","",'Motor_Meciuri'!A73)</x:f>
      </x:c>
      <x:c r="C948" s="2" t="str">
        <x:f>IF(B948="","",'Motor_Meciuri'!B73)</x:f>
      </x:c>
      <x:c r="D948" s="2" t="str">
        <x:f>IF(B948="","",'Motor_Meciuri'!D73)</x:f>
      </x:c>
      <x:c r="E948" s="2" t="str">
        <x:f>IF(B948="","",'Motor_Meciuri'!E73)</x:f>
      </x:c>
      <x:c r="F948" s="2" t="str">
        <x:v>O7,5</x:v>
      </x:c>
      <x:c r="G948" s="2" t="str">
        <x:v>OVER</x:v>
      </x:c>
      <x:c r="H948" s="2" t="n">
        <x:v>7</x:v>
      </x:c>
      <x:c r="I948" s="2" t="str">
        <x:f>IF(B948="","",'Motor_Meciuri'!H73)</x:f>
      </x:c>
      <x:c r="J948" s="2" t="str">
        <x:f>IF(B948="","",'Motor_Meciuri'!I73)</x:f>
      </x:c>
      <x:c r="K948" s="11" t="str">
        <x:f>IF(J948&lt;&gt;"PASS","",'Motor_Meciuri'!BD73)</x:f>
      </x:c>
      <x:c r="L948" s="11" t="str">
        <x:f>IF(J948&lt;&gt;"PASS","",'Motor_Meciuri'!AU73)</x:f>
      </x:c>
      <x:c r="M948" s="10" t="str">
        <x:f>IF(NOT(AND(J948="PASS",'Calibrare_Linii'!U10="VALID")),"",1-'Distributie'!AE73)</x:f>
      </x:c>
      <x:c r="N948" s="10" t="str">
        <x:f>IF(M948="","",MAX(0.01,MIN(0.99,0.5+(M948-0.5)*'Motor_Meciuri'!BG73*'Calibrare_Linii'!D10)))</x:f>
      </x:c>
      <x:c r="O948" s="10" t="str">
        <x:f>IF(M948="","",1-M948)</x:f>
      </x:c>
      <x:c r="P948" s="10" t="str">
        <x:f>IF(OR(NOT(AND(J948="PASS",'Calibrare_Linii'!U10="VALID")),AK948=0),""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*('Istoric_Nativ'!$Q$6:$Q$405&lt;=H948))/AK948)</x:f>
      </x:c>
      <x:c r="Q948" s="10" t="str">
        <x:f>IF(OR(NOT(AND(J948="PASS",'Calibrare_Linii'!U10="VALID")),AL948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M73)+((('Istoric_Nativ'!$E$6:$E$405='Input_Meci'!E73)+('Istoric_Nativ'!$F$6:$F$405='Input_Meci'!E73))&gt;0)*('Istoric_Nativ'!$D$6:$D$405&gt;='Motor_Meciuri'!BN73))&gt;0)*('Istoric_Nativ'!$Q$6:$Q$405&lt;=H948))/AL948)</x:f>
      </x:c>
      <x:c r="R948" s="10" t="str">
        <x:f>IF(OR(NOT(AND(J948="PASS",'Calibrare_Linii'!U10="VALID")),AM948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O73)+((('Istoric_Nativ'!$E$6:$E$405='Input_Meci'!E73)+('Istoric_Nativ'!$F$6:$F$405='Input_Meci'!E73))&gt;0)*('Istoric_Nativ'!$D$6:$D$405&gt;='Motor_Meciuri'!BP73))&gt;0)*('Istoric_Nativ'!$Q$6:$Q$405&lt;=H948))/AM948)</x:f>
      </x:c>
      <x:c r="S948" s="10" t="str">
        <x:f>IF(M948="","",MAX(O948,P948,Q948,R948))</x:f>
      </x:c>
      <x:c r="T948" s="11" t="str">
        <x:f>IF(M948="","",MIN(100,S948*100*'Config_v6'!$B$44+MIN(100,L948/'Config_v6'!$B$13*100)*'Config_v6'!$B$45+(100-'Motor_Meciuri'!BF73)*'Config_v6'!$B$46+'Motor_Meciuri'!BH73*100*'Config_v6'!$B$47))</x:f>
      </x:c>
      <x:c r="U948" s="2" t="str">
        <x:f>IF(T948="","",IF(T948&lt;=20,1,IF(T948&lt;=40,2,IF(T948&lt;=60,3,IF(T948&lt;=80,4,5)))))</x:f>
      </x:c>
      <x:c r="V948" s="2" t="str">
        <x:f>IF(M948="","",MAX(0,'Motor_Meciuri'!BF73-IF(W948="OOS PENDING",'Config_v6'!$B$35,0)-IF(L948&gt;'Config_v6'!$B$12,'Config_v6'!$B$37,IF(L948&gt;'Config_v6'!$B$11,'Config_v6'!$B$36,0))))</x:f>
      </x:c>
      <x:c r="W948" s="2" t="str">
        <x:f>IF(B948="","",IF(I948&lt;&gt;"READY","NOT RELEASED",IF(NOT(AND(J948="PASS",'Calibrare_Linii'!U10="VALID")),"INVALID",IF(NOT(AND('Calibrare_Linii'!S10="VALIDATED",AND('Calibrare_Linii'!H10=C948,ISNUMBER('Calibrare_Linii'!J10),'Calibrare_Linii'!J10&lt;='Input_Meci'!G73))),"OOS PENDING",IF(S948&lt;='Calibrare_Linii'!E10,"PASS",IF(S948&lt;='Calibrare_Linii'!F10,"PENALTY","WATCH"))))))</x:f>
      </x:c>
      <x:c r="X948" s="2" t="str">
        <x:f>IF(M948="","",IF(AND(AND(J948="PASS",'Calibrare_Linii'!U10="VALID"),'Motor_Meciuri'!K73=12,'Motor_Meciuri'!L73=12,'Motor_Meciuri'!M73="NO",'Motor_Meciuri'!BL73='Motor_Meciuri'!C73,AB948&gt;='Config_v6'!$B$50,AN948&gt;='Config_v6'!$B$51,T948&lt;='Config_v6'!$B$52,L948&lt;='Config_v6'!$B$53,ISNUMBER('Calibrare_Linii'!E10),S948&lt;='Calibrare_Linii'!E10,SUM(AK948:AM948)&gt;0),"CANDIDATE","NO"))</x:f>
      </x:c>
      <x:c r="Y948" s="2" t="str">
        <x:f>IF(B948="","",IF(I948&lt;&gt;"READY","NOT RELEASED",IF(AND(X948="CANDIDATE",V948&gt;='Config_v6'!$B$51,W948="PASS",'Calibrare_Linii'!T10="VALIDATED",AND('Calibrare_Linii'!H10=C948,ISNUMBER('Calibrare_Linii'!J10),'Calibrare_Linii'!J10&lt;='Input_Meci'!G73)),"PASS",IF(X948="CANDIDATE","OOS PENDING","FAIL"))))</x:f>
      </x:c>
      <x:c r="Z948" s="2" t="str">
        <x:f>IF(B948="","",IF(I948&lt;&gt;"READY","",IF(OR(NOT(AND(J948="PASS",'Calibrare_Linii'!U10="VALID")),L948&gt;'Config_v6'!$B$13,W948="WATCH"),5,IF(Y948="PASS",1,MIN(5,MAX('Config_v6'!$B$42,U948)+IF(W948="PENALTY",1,0))))))</x:f>
      </x:c>
      <x:c r="AA948" s="2" t="str">
        <x:f>IF(B948="","",IF(I948&lt;&gt;"READY","NOT RELEASED",IF(Z948=5,"NO BET",IF(OR(AB948&lt;'Config_v6'!$B$16,V948&lt;'Config_v6'!$B$18),"WATCH",IF(Z948=1,"DEFENSIV",IF(Z948=2,"PRUDENT",IF(Z948=3,"MODERAT","RIDICAT")))))))</x:f>
      </x:c>
      <x:c r="AB948" s="10" t="str">
        <x:f>IF(N948="","",MIN(N948,1-S948))</x:f>
      </x:c>
      <x:c r="AC948" s="2" t="str">
        <x:f>IF(AD948&lt;&gt;1,"",COUNTIFS($Z$944:$Z$957,"&lt;"&amp;Z948,$AD$944:$AD$957,1)+COUNTIFS($Z$944:$Z$957,Z948,$AB$944:$AB$957,"&gt;"&amp;AB948,$AD$944:$AD$957,1)+COUNTIFS($Z$944:$Z$957,Z948,$AB$944:$AB$957,AB948,$V$944:$V$957,"&gt;"&amp;V948,$AD$944:$AD$957,1)+COUNTIFS($Z$944:Z948,Z948,$AB$944:AB948,AB948,$V$944:V948,V948,$AD$944:AD948,1))</x:f>
      </x:c>
      <x:c r="AD948" s="2" t="n">
        <x:f>IF(OR(AA948="DEFENSIV",AA948="PRUDENT",AA948="MODERAT",AA948="RIDICAT"),1,0)</x:f>
        <x:v>0</x:v>
      </x:c>
      <x:c r="AE948" s="2" t="str">
        <x:f>IF(AD948&lt;&gt;1,"NO",IF(W948="PASS","YES",IF(W948="OOS PENDING","CONDITIONAL","NO")))</x:f>
        <x:v>NO</x:v>
      </x:c>
      <x:c r="AF948" s="2" t="n">
        <x:f>IF(AND(AD948=1,AC948=1,E948="LIVE"),1,0)</x:f>
        <x:v>0</x:v>
      </x:c>
      <x:c r="AG948" s="2" t="str">
        <x:f>IF(AF948&lt;&gt;1,"",'Dashboard'!P93)</x:f>
      </x:c>
      <x:c r="AH948" s="2" t="str">
        <x:f>IF(B948="","",IF(J948&lt;&gt;"PASS",'Motor_Meciuri'!J73,IF('Calibrare_Linii'!U10&lt;&gt;"VALID","Parametri linie invalizi",IF(L948&gt;'Config_v6'!$B$13,"Dispersie peste limita",IF(W948="WATCH","Failure peste limita",IF(AB948&lt;'Config_v6'!$B$16,"P finala sub prag",IF(V948&lt;'Config_v6'!$B$18,"Confidence sub prag",IF(E948="REPLAY","Exemplu retrospectiv; exclus din Top LIVE",IF(Y948="PASS","DEFENSIV validat",IF(W948="OOS PENDING","Eligibil; calibrare linie in monitorizare","Eligibil"))))))))))</x:f>
      </x:c>
      <x:c r="AI948" s="2" t="str">
        <x:f>IF(B948="","",'Calibrare_Linii'!V10)</x:f>
      </x:c>
      <x:c r="AJ948" s="2" t="str">
        <x:f>IF(B948="","",IF(AND('Calibrare_Linii'!T10="VALIDATED",AND('Calibrare_Linii'!H10=C948,ISNUMBER('Calibrare_Linii'!J10),'Calibrare_Linii'!J10&lt;='Input_Meci'!G73)),"DEFENSIVE VALIDATED",IF(AND('Calibrare_Linii'!S10="VALIDATED",AND('Calibrare_Linii'!H10=C948,ISNUMBER('Calibrare_Linii'!J10),'Calibrare_Linii'!J10&lt;='Input_Meci'!G73)),"TAIL VALIDATED","OOS PENDING")))</x:f>
      </x:c>
      <x:c r="AK948" s="2" t="n">
        <x:f>IF(J948&lt;&gt;"PASS",0,'Motor_Meciuri'!BR73)</x:f>
        <x:v>0</x:v>
      </x:c>
      <x:c r="AL948" s="2" t="n">
        <x:f>IF(J948&lt;&gt;"PASS",0,'Motor_Meciuri'!BS73)</x:f>
        <x:v>0</x:v>
      </x:c>
      <x:c r="AM948" s="2" t="n">
        <x:f>IF(J948&lt;&gt;"PASS",0,'Motor_Meciuri'!BT73)</x:f>
        <x:v>0</x:v>
      </x:c>
      <x:c r="AN948" s="2" t="str">
        <x:f>IF(M948="","",MAX(0,'Motor_Meciuri'!BF73-IF(L948&gt;'Config_v6'!$B$12,'Config_v6'!$B$37,IF(L948&gt;'Config_v6'!$B$11,'Config_v6'!$B$36,0))))</x:f>
      </x:c>
    </x:row>
    <x:row r="949" ht="21" customHeight="1">
      <x:c r="A949" s="2" t="n">
        <x:v>68</x:v>
      </x:c>
      <x:c r="B949" s="2" t="str">
        <x:f>IF('Motor_Meciuri'!A73="","",'Motor_Meciuri'!A73)</x:f>
      </x:c>
      <x:c r="C949" s="2" t="str">
        <x:f>IF(B949="","",'Motor_Meciuri'!B73)</x:f>
      </x:c>
      <x:c r="D949" s="2" t="str">
        <x:f>IF(B949="","",'Motor_Meciuri'!D73)</x:f>
      </x:c>
      <x:c r="E949" s="2" t="str">
        <x:f>IF(B949="","",'Motor_Meciuri'!E73)</x:f>
      </x:c>
      <x:c r="F949" s="2" t="str">
        <x:v>O8,5</x:v>
      </x:c>
      <x:c r="G949" s="2" t="str">
        <x:v>OVER</x:v>
      </x:c>
      <x:c r="H949" s="2" t="n">
        <x:v>8</x:v>
      </x:c>
      <x:c r="I949" s="2" t="str">
        <x:f>IF(B949="","",'Motor_Meciuri'!H73)</x:f>
      </x:c>
      <x:c r="J949" s="2" t="str">
        <x:f>IF(B949="","",'Motor_Meciuri'!I73)</x:f>
      </x:c>
      <x:c r="K949" s="11" t="str">
        <x:f>IF(J949&lt;&gt;"PASS","",'Motor_Meciuri'!BD73)</x:f>
      </x:c>
      <x:c r="L949" s="11" t="str">
        <x:f>IF(J949&lt;&gt;"PASS","",'Motor_Meciuri'!AU73)</x:f>
      </x:c>
      <x:c r="M949" s="10" t="str">
        <x:f>IF(NOT(AND(J949="PASS",'Calibrare_Linii'!U11="VALID")),"",1-'Distributie'!AF73)</x:f>
      </x:c>
      <x:c r="N949" s="10" t="str">
        <x:f>IF(M949="","",MAX(0.01,MIN(0.99,0.5+(M949-0.5)*'Motor_Meciuri'!BG73*'Calibrare_Linii'!D11)))</x:f>
      </x:c>
      <x:c r="O949" s="10" t="str">
        <x:f>IF(M949="","",1-M949)</x:f>
      </x:c>
      <x:c r="P949" s="10" t="str">
        <x:f>IF(OR(NOT(AND(J949="PASS",'Calibrare_Linii'!U11="VALID")),AK949=0),""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*('Istoric_Nativ'!$Q$6:$Q$405&lt;=H949))/AK949)</x:f>
      </x:c>
      <x:c r="Q949" s="10" t="str">
        <x:f>IF(OR(NOT(AND(J949="PASS",'Calibrare_Linii'!U11="VALID")),AL949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M73)+((('Istoric_Nativ'!$E$6:$E$405='Input_Meci'!E73)+('Istoric_Nativ'!$F$6:$F$405='Input_Meci'!E73))&gt;0)*('Istoric_Nativ'!$D$6:$D$405&gt;='Motor_Meciuri'!BN73))&gt;0)*('Istoric_Nativ'!$Q$6:$Q$405&lt;=H949))/AL949)</x:f>
      </x:c>
      <x:c r="R949" s="10" t="str">
        <x:f>IF(OR(NOT(AND(J949="PASS",'Calibrare_Linii'!U11="VALID")),AM949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O73)+((('Istoric_Nativ'!$E$6:$E$405='Input_Meci'!E73)+('Istoric_Nativ'!$F$6:$F$405='Input_Meci'!E73))&gt;0)*('Istoric_Nativ'!$D$6:$D$405&gt;='Motor_Meciuri'!BP73))&gt;0)*('Istoric_Nativ'!$Q$6:$Q$405&lt;=H949))/AM949)</x:f>
      </x:c>
      <x:c r="S949" s="10" t="str">
        <x:f>IF(M949="","",MAX(O949,P949,Q949,R949))</x:f>
      </x:c>
      <x:c r="T949" s="11" t="str">
        <x:f>IF(M949="","",MIN(100,S949*100*'Config_v6'!$B$44+MIN(100,L949/'Config_v6'!$B$13*100)*'Config_v6'!$B$45+(100-'Motor_Meciuri'!BF73)*'Config_v6'!$B$46+'Motor_Meciuri'!BH73*100*'Config_v6'!$B$47))</x:f>
      </x:c>
      <x:c r="U949" s="2" t="str">
        <x:f>IF(T949="","",IF(T949&lt;=20,1,IF(T949&lt;=40,2,IF(T949&lt;=60,3,IF(T949&lt;=80,4,5)))))</x:f>
      </x:c>
      <x:c r="V949" s="2" t="str">
        <x:f>IF(M949="","",MAX(0,'Motor_Meciuri'!BF73-IF(W949="OOS PENDING",'Config_v6'!$B$35,0)-IF(L949&gt;'Config_v6'!$B$12,'Config_v6'!$B$37,IF(L949&gt;'Config_v6'!$B$11,'Config_v6'!$B$36,0))))</x:f>
      </x:c>
      <x:c r="W949" s="2" t="str">
        <x:f>IF(B949="","",IF(I949&lt;&gt;"READY","NOT RELEASED",IF(NOT(AND(J949="PASS",'Calibrare_Linii'!U11="VALID")),"INVALID",IF(NOT(AND('Calibrare_Linii'!S11="VALIDATED",AND('Calibrare_Linii'!H11=C949,ISNUMBER('Calibrare_Linii'!J11),'Calibrare_Linii'!J11&lt;='Input_Meci'!G73))),"OOS PENDING",IF(S949&lt;='Calibrare_Linii'!E11,"PASS",IF(S949&lt;='Calibrare_Linii'!F11,"PENALTY","WATCH"))))))</x:f>
      </x:c>
      <x:c r="X949" s="2" t="str">
        <x:f>IF(M949="","",IF(AND(AND(J949="PASS",'Calibrare_Linii'!U11="VALID"),'Motor_Meciuri'!K73=12,'Motor_Meciuri'!L73=12,'Motor_Meciuri'!M73="NO",'Motor_Meciuri'!BL73='Motor_Meciuri'!C73,AB949&gt;='Config_v6'!$B$50,AN949&gt;='Config_v6'!$B$51,T949&lt;='Config_v6'!$B$52,L949&lt;='Config_v6'!$B$53,ISNUMBER('Calibrare_Linii'!E11),S949&lt;='Calibrare_Linii'!E11,SUM(AK949:AM949)&gt;0),"CANDIDATE","NO"))</x:f>
      </x:c>
      <x:c r="Y949" s="2" t="str">
        <x:f>IF(B949="","",IF(I949&lt;&gt;"READY","NOT RELEASED",IF(AND(X949="CANDIDATE",V949&gt;='Config_v6'!$B$51,W949="PASS",'Calibrare_Linii'!T11="VALIDATED",AND('Calibrare_Linii'!H11=C949,ISNUMBER('Calibrare_Linii'!J11),'Calibrare_Linii'!J11&lt;='Input_Meci'!G73)),"PASS",IF(X949="CANDIDATE","OOS PENDING","FAIL"))))</x:f>
      </x:c>
      <x:c r="Z949" s="2" t="str">
        <x:f>IF(B949="","",IF(I949&lt;&gt;"READY","",IF(OR(NOT(AND(J949="PASS",'Calibrare_Linii'!U11="VALID")),L949&gt;'Config_v6'!$B$13,W949="WATCH"),5,IF(Y949="PASS",1,MIN(5,MAX('Config_v6'!$B$42,U949)+IF(W949="PENALTY",1,0))))))</x:f>
      </x:c>
      <x:c r="AA949" s="2" t="str">
        <x:f>IF(B949="","",IF(I949&lt;&gt;"READY","NOT RELEASED",IF(Z949=5,"NO BET",IF(OR(AB949&lt;'Config_v6'!$B$16,V949&lt;'Config_v6'!$B$18),"WATCH",IF(Z949=1,"DEFENSIV",IF(Z949=2,"PRUDENT",IF(Z949=3,"MODERAT","RIDICAT")))))))</x:f>
      </x:c>
      <x:c r="AB949" s="10" t="str">
        <x:f>IF(N949="","",MIN(N949,1-S949))</x:f>
      </x:c>
      <x:c r="AC949" s="2" t="str">
        <x:f>IF(AD949&lt;&gt;1,"",COUNTIFS($Z$944:$Z$957,"&lt;"&amp;Z949,$AD$944:$AD$957,1)+COUNTIFS($Z$944:$Z$957,Z949,$AB$944:$AB$957,"&gt;"&amp;AB949,$AD$944:$AD$957,1)+COUNTIFS($Z$944:$Z$957,Z949,$AB$944:$AB$957,AB949,$V$944:$V$957,"&gt;"&amp;V949,$AD$944:$AD$957,1)+COUNTIFS($Z$944:Z949,Z949,$AB$944:AB949,AB949,$V$944:V949,V949,$AD$944:AD949,1))</x:f>
      </x:c>
      <x:c r="AD949" s="2" t="n">
        <x:f>IF(OR(AA949="DEFENSIV",AA949="PRUDENT",AA949="MODERAT",AA949="RIDICAT"),1,0)</x:f>
        <x:v>0</x:v>
      </x:c>
      <x:c r="AE949" s="2" t="str">
        <x:f>IF(AD949&lt;&gt;1,"NO",IF(W949="PASS","YES",IF(W949="OOS PENDING","CONDITIONAL","NO")))</x:f>
        <x:v>NO</x:v>
      </x:c>
      <x:c r="AF949" s="2" t="n">
        <x:f>IF(AND(AD949=1,AC949=1,E949="LIVE"),1,0)</x:f>
        <x:v>0</x:v>
      </x:c>
      <x:c r="AG949" s="2" t="str">
        <x:f>IF(AF949&lt;&gt;1,"",'Dashboard'!P93)</x:f>
      </x:c>
      <x:c r="AH949" s="2" t="str">
        <x:f>IF(B949="","",IF(J949&lt;&gt;"PASS",'Motor_Meciuri'!J73,IF('Calibrare_Linii'!U11&lt;&gt;"VALID","Parametri linie invalizi",IF(L949&gt;'Config_v6'!$B$13,"Dispersie peste limita",IF(W949="WATCH","Failure peste limita",IF(AB949&lt;'Config_v6'!$B$16,"P finala sub prag",IF(V949&lt;'Config_v6'!$B$18,"Confidence sub prag",IF(E949="REPLAY","Exemplu retrospectiv; exclus din Top LIVE",IF(Y949="PASS","DEFENSIV validat",IF(W949="OOS PENDING","Eligibil; calibrare linie in monitorizare","Eligibil"))))))))))</x:f>
      </x:c>
      <x:c r="AI949" s="2" t="str">
        <x:f>IF(B949="","",'Calibrare_Linii'!V11)</x:f>
      </x:c>
      <x:c r="AJ949" s="2" t="str">
        <x:f>IF(B949="","",IF(AND('Calibrare_Linii'!T11="VALIDATED",AND('Calibrare_Linii'!H11=C949,ISNUMBER('Calibrare_Linii'!J11),'Calibrare_Linii'!J11&lt;='Input_Meci'!G73)),"DEFENSIVE VALIDATED",IF(AND('Calibrare_Linii'!S11="VALIDATED",AND('Calibrare_Linii'!H11=C949,ISNUMBER('Calibrare_Linii'!J11),'Calibrare_Linii'!J11&lt;='Input_Meci'!G73)),"TAIL VALIDATED","OOS PENDING")))</x:f>
      </x:c>
      <x:c r="AK949" s="2" t="n">
        <x:f>IF(J949&lt;&gt;"PASS",0,'Motor_Meciuri'!BR73)</x:f>
        <x:v>0</x:v>
      </x:c>
      <x:c r="AL949" s="2" t="n">
        <x:f>IF(J949&lt;&gt;"PASS",0,'Motor_Meciuri'!BS73)</x:f>
        <x:v>0</x:v>
      </x:c>
      <x:c r="AM949" s="2" t="n">
        <x:f>IF(J949&lt;&gt;"PASS",0,'Motor_Meciuri'!BT73)</x:f>
        <x:v>0</x:v>
      </x:c>
      <x:c r="AN949" s="2" t="str">
        <x:f>IF(M949="","",MAX(0,'Motor_Meciuri'!BF73-IF(L949&gt;'Config_v6'!$B$12,'Config_v6'!$B$37,IF(L949&gt;'Config_v6'!$B$11,'Config_v6'!$B$36,0))))</x:f>
      </x:c>
    </x:row>
    <x:row r="950" ht="21" customHeight="1">
      <x:c r="A950" s="2" t="n">
        <x:v>68</x:v>
      </x:c>
      <x:c r="B950" s="2" t="str">
        <x:f>IF('Motor_Meciuri'!A73="","",'Motor_Meciuri'!A73)</x:f>
      </x:c>
      <x:c r="C950" s="2" t="str">
        <x:f>IF(B950="","",'Motor_Meciuri'!B73)</x:f>
      </x:c>
      <x:c r="D950" s="2" t="str">
        <x:f>IF(B950="","",'Motor_Meciuri'!D73)</x:f>
      </x:c>
      <x:c r="E950" s="2" t="str">
        <x:f>IF(B950="","",'Motor_Meciuri'!E73)</x:f>
      </x:c>
      <x:c r="F950" s="2" t="str">
        <x:v>U10,5</x:v>
      </x:c>
      <x:c r="G950" s="2" t="str">
        <x:v>UNDER</x:v>
      </x:c>
      <x:c r="H950" s="2" t="n">
        <x:v>10</x:v>
      </x:c>
      <x:c r="I950" s="2" t="str">
        <x:f>IF(B950="","",'Motor_Meciuri'!H73)</x:f>
      </x:c>
      <x:c r="J950" s="2" t="str">
        <x:f>IF(B950="","",'Motor_Meciuri'!I73)</x:f>
      </x:c>
      <x:c r="K950" s="11" t="str">
        <x:f>IF(J950&lt;&gt;"PASS","",'Motor_Meciuri'!BD73)</x:f>
      </x:c>
      <x:c r="L950" s="11" t="str">
        <x:f>IF(J950&lt;&gt;"PASS","",'Motor_Meciuri'!AU73)</x:f>
      </x:c>
      <x:c r="M950" s="10" t="str">
        <x:f>IF(NOT(AND(J950="PASS",'Calibrare_Linii'!U12="VALID")),"",'Distributie'!AH73)</x:f>
      </x:c>
      <x:c r="N950" s="10" t="str">
        <x:f>IF(M950="","",MAX(0.01,MIN(0.99,0.5+(M950-0.5)*'Motor_Meciuri'!BG73*'Calibrare_Linii'!D12)))</x:f>
      </x:c>
      <x:c r="O950" s="10" t="str">
        <x:f>IF(M950="","",1-M950)</x:f>
      </x:c>
      <x:c r="P950" s="10" t="str">
        <x:f>IF(OR(NOT(AND(J950="PASS",'Calibrare_Linii'!U12="VALID")),AK950=0),""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*('Istoric_Nativ'!$Q$6:$Q$405&gt;H950))/AK950)</x:f>
      </x:c>
      <x:c r="Q950" s="10" t="str">
        <x:f>IF(OR(NOT(AND(J950="PASS",'Calibrare_Linii'!U12="VALID")),AL950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M73)+((('Istoric_Nativ'!$E$6:$E$405='Input_Meci'!E73)+('Istoric_Nativ'!$F$6:$F$405='Input_Meci'!E73))&gt;0)*('Istoric_Nativ'!$D$6:$D$405&gt;='Motor_Meciuri'!BN73))&gt;0)*('Istoric_Nativ'!$Q$6:$Q$405&gt;H950))/AL950)</x:f>
      </x:c>
      <x:c r="R950" s="10" t="str">
        <x:f>IF(OR(NOT(AND(J950="PASS",'Calibrare_Linii'!U12="VALID")),AM950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O73)+((('Istoric_Nativ'!$E$6:$E$405='Input_Meci'!E73)+('Istoric_Nativ'!$F$6:$F$405='Input_Meci'!E73))&gt;0)*('Istoric_Nativ'!$D$6:$D$405&gt;='Motor_Meciuri'!BP73))&gt;0)*('Istoric_Nativ'!$Q$6:$Q$405&gt;H950))/AM950)</x:f>
      </x:c>
      <x:c r="S950" s="10" t="str">
        <x:f>IF(M950="","",MAX(O950,P950,Q950,R950))</x:f>
      </x:c>
      <x:c r="T950" s="11" t="str">
        <x:f>IF(M950="","",MIN(100,S950*100*'Config_v6'!$B$44+MIN(100,L950/'Config_v6'!$B$13*100)*'Config_v6'!$B$45+(100-'Motor_Meciuri'!BF73)*'Config_v6'!$B$46+'Motor_Meciuri'!BH73*100*'Config_v6'!$B$47))</x:f>
      </x:c>
      <x:c r="U950" s="2" t="str">
        <x:f>IF(T950="","",IF(T950&lt;=20,1,IF(T950&lt;=40,2,IF(T950&lt;=60,3,IF(T950&lt;=80,4,5)))))</x:f>
      </x:c>
      <x:c r="V950" s="2" t="str">
        <x:f>IF(M950="","",MAX(0,'Motor_Meciuri'!BF73-IF(W950="OOS PENDING",'Config_v6'!$B$35,0)-IF(L950&gt;'Config_v6'!$B$12,'Config_v6'!$B$37,IF(L950&gt;'Config_v6'!$B$11,'Config_v6'!$B$36,0))))</x:f>
      </x:c>
      <x:c r="W950" s="2" t="str">
        <x:f>IF(B950="","",IF(I950&lt;&gt;"READY","NOT RELEASED",IF(NOT(AND(J950="PASS",'Calibrare_Linii'!U12="VALID")),"INVALID",IF(NOT(AND('Calibrare_Linii'!S12="VALIDATED",AND('Calibrare_Linii'!H12=C950,ISNUMBER('Calibrare_Linii'!J12),'Calibrare_Linii'!J12&lt;='Input_Meci'!G73))),"OOS PENDING",IF(S950&lt;='Calibrare_Linii'!E12,"PASS",IF(S950&lt;='Calibrare_Linii'!F12,"PENALTY","WATCH"))))))</x:f>
      </x:c>
      <x:c r="X950" s="2" t="str">
        <x:f>IF(M950="","",IF(AND(AND(J950="PASS",'Calibrare_Linii'!U12="VALID"),'Motor_Meciuri'!K73=12,'Motor_Meciuri'!L73=12,'Motor_Meciuri'!M73="NO",'Motor_Meciuri'!BL73='Motor_Meciuri'!C73,AB950&gt;='Config_v6'!$B$50,AN950&gt;='Config_v6'!$B$51,T950&lt;='Config_v6'!$B$52,L950&lt;='Config_v6'!$B$53,ISNUMBER('Calibrare_Linii'!E12),S950&lt;='Calibrare_Linii'!E12,SUM(AK950:AM950)&gt;0),"CANDIDATE","NO"))</x:f>
      </x:c>
      <x:c r="Y950" s="2" t="str">
        <x:f>IF(B950="","",IF(I950&lt;&gt;"READY","NOT RELEASED",IF(AND(X950="CANDIDATE",V950&gt;='Config_v6'!$B$51,W950="PASS",'Calibrare_Linii'!T12="VALIDATED",AND('Calibrare_Linii'!H12=C950,ISNUMBER('Calibrare_Linii'!J12),'Calibrare_Linii'!J12&lt;='Input_Meci'!G73)),"PASS",IF(X950="CANDIDATE","OOS PENDING","FAIL"))))</x:f>
      </x:c>
      <x:c r="Z950" s="2" t="str">
        <x:f>IF(B950="","",IF(I950&lt;&gt;"READY","",IF(OR(NOT(AND(J950="PASS",'Calibrare_Linii'!U12="VALID")),L950&gt;'Config_v6'!$B$13,W950="WATCH"),5,IF(Y950="PASS",1,MIN(5,MAX('Config_v6'!$B$42,U950)+IF(W950="PENALTY",1,0))))))</x:f>
      </x:c>
      <x:c r="AA950" s="2" t="str">
        <x:f>IF(B950="","",IF(I950&lt;&gt;"READY","NOT RELEASED",IF(Z950=5,"NO BET",IF(OR(AB950&lt;'Config_v6'!$B$16,V950&lt;'Config_v6'!$B$18),"WATCH",IF(Z950=1,"DEFENSIV",IF(Z950=2,"PRUDENT",IF(Z950=3,"MODERAT","RIDICAT")))))))</x:f>
      </x:c>
      <x:c r="AB950" s="10" t="str">
        <x:f>IF(N950="","",MIN(N950,1-S950))</x:f>
      </x:c>
      <x:c r="AC950" s="2" t="str">
        <x:f>IF(AD950&lt;&gt;1,"",COUNTIFS($Z$944:$Z$957,"&lt;"&amp;Z950,$AD$944:$AD$957,1)+COUNTIFS($Z$944:$Z$957,Z950,$AB$944:$AB$957,"&gt;"&amp;AB950,$AD$944:$AD$957,1)+COUNTIFS($Z$944:$Z$957,Z950,$AB$944:$AB$957,AB950,$V$944:$V$957,"&gt;"&amp;V950,$AD$944:$AD$957,1)+COUNTIFS($Z$944:Z950,Z950,$AB$944:AB950,AB950,$V$944:V950,V950,$AD$944:AD950,1))</x:f>
      </x:c>
      <x:c r="AD950" s="2" t="n">
        <x:f>IF(OR(AA950="DEFENSIV",AA950="PRUDENT",AA950="MODERAT",AA950="RIDICAT"),1,0)</x:f>
        <x:v>0</x:v>
      </x:c>
      <x:c r="AE950" s="2" t="str">
        <x:f>IF(AD950&lt;&gt;1,"NO",IF(W950="PASS","YES",IF(W950="OOS PENDING","CONDITIONAL","NO")))</x:f>
        <x:v>NO</x:v>
      </x:c>
      <x:c r="AF950" s="2" t="n">
        <x:f>IF(AND(AD950=1,AC950=1,E950="LIVE"),1,0)</x:f>
        <x:v>0</x:v>
      </x:c>
      <x:c r="AG950" s="2" t="str">
        <x:f>IF(AF950&lt;&gt;1,"",'Dashboard'!P93)</x:f>
      </x:c>
      <x:c r="AH950" s="2" t="str">
        <x:f>IF(B950="","",IF(J950&lt;&gt;"PASS",'Motor_Meciuri'!J73,IF('Calibrare_Linii'!U12&lt;&gt;"VALID","Parametri linie invalizi",IF(L950&gt;'Config_v6'!$B$13,"Dispersie peste limita",IF(W950="WATCH","Failure peste limita",IF(AB950&lt;'Config_v6'!$B$16,"P finala sub prag",IF(V950&lt;'Config_v6'!$B$18,"Confidence sub prag",IF(E950="REPLAY","Exemplu retrospectiv; exclus din Top LIVE",IF(Y950="PASS","DEFENSIV validat",IF(W950="OOS PENDING","Eligibil; calibrare linie in monitorizare","Eligibil"))))))))))</x:f>
      </x:c>
      <x:c r="AI950" s="2" t="str">
        <x:f>IF(B950="","",'Calibrare_Linii'!V12)</x:f>
      </x:c>
      <x:c r="AJ950" s="2" t="str">
        <x:f>IF(B950="","",IF(AND('Calibrare_Linii'!T12="VALIDATED",AND('Calibrare_Linii'!H12=C950,ISNUMBER('Calibrare_Linii'!J12),'Calibrare_Linii'!J12&lt;='Input_Meci'!G73)),"DEFENSIVE VALIDATED",IF(AND('Calibrare_Linii'!S12="VALIDATED",AND('Calibrare_Linii'!H12=C950,ISNUMBER('Calibrare_Linii'!J12),'Calibrare_Linii'!J12&lt;='Input_Meci'!G73)),"TAIL VALIDATED","OOS PENDING")))</x:f>
      </x:c>
      <x:c r="AK950" s="2" t="n">
        <x:f>IF(J950&lt;&gt;"PASS",0,'Motor_Meciuri'!BR73)</x:f>
        <x:v>0</x:v>
      </x:c>
      <x:c r="AL950" s="2" t="n">
        <x:f>IF(J950&lt;&gt;"PASS",0,'Motor_Meciuri'!BS73)</x:f>
        <x:v>0</x:v>
      </x:c>
      <x:c r="AM950" s="2" t="n">
        <x:f>IF(J950&lt;&gt;"PASS",0,'Motor_Meciuri'!BT73)</x:f>
        <x:v>0</x:v>
      </x:c>
      <x:c r="AN950" s="2" t="str">
        <x:f>IF(M950="","",MAX(0,'Motor_Meciuri'!BF73-IF(L950&gt;'Config_v6'!$B$12,'Config_v6'!$B$37,IF(L950&gt;'Config_v6'!$B$11,'Config_v6'!$B$36,0))))</x:f>
      </x:c>
    </x:row>
    <x:row r="951" ht="21" customHeight="1">
      <x:c r="A951" s="2" t="n">
        <x:v>68</x:v>
      </x:c>
      <x:c r="B951" s="2" t="str">
        <x:f>IF('Motor_Meciuri'!A73="","",'Motor_Meciuri'!A73)</x:f>
      </x:c>
      <x:c r="C951" s="2" t="str">
        <x:f>IF(B951="","",'Motor_Meciuri'!B73)</x:f>
      </x:c>
      <x:c r="D951" s="2" t="str">
        <x:f>IF(B951="","",'Motor_Meciuri'!D73)</x:f>
      </x:c>
      <x:c r="E951" s="2" t="str">
        <x:f>IF(B951="","",'Motor_Meciuri'!E73)</x:f>
      </x:c>
      <x:c r="F951" s="2" t="str">
        <x:v>U11,5</x:v>
      </x:c>
      <x:c r="G951" s="2" t="str">
        <x:v>UNDER</x:v>
      </x:c>
      <x:c r="H951" s="2" t="n">
        <x:v>11</x:v>
      </x:c>
      <x:c r="I951" s="2" t="str">
        <x:f>IF(B951="","",'Motor_Meciuri'!H73)</x:f>
      </x:c>
      <x:c r="J951" s="2" t="str">
        <x:f>IF(B951="","",'Motor_Meciuri'!I73)</x:f>
      </x:c>
      <x:c r="K951" s="11" t="str">
        <x:f>IF(J951&lt;&gt;"PASS","",'Motor_Meciuri'!BD73)</x:f>
      </x:c>
      <x:c r="L951" s="11" t="str">
        <x:f>IF(J951&lt;&gt;"PASS","",'Motor_Meciuri'!AU73)</x:f>
      </x:c>
      <x:c r="M951" s="10" t="str">
        <x:f>IF(NOT(AND(J951="PASS",'Calibrare_Linii'!U13="VALID")),"",'Distributie'!AI73)</x:f>
      </x:c>
      <x:c r="N951" s="10" t="str">
        <x:f>IF(M951="","",MAX(0.01,MIN(0.99,0.5+(M951-0.5)*'Motor_Meciuri'!BG73*'Calibrare_Linii'!D13)))</x:f>
      </x:c>
      <x:c r="O951" s="10" t="str">
        <x:f>IF(M951="","",1-M951)</x:f>
      </x:c>
      <x:c r="P951" s="10" t="str">
        <x:f>IF(OR(NOT(AND(J951="PASS",'Calibrare_Linii'!U13="VALID")),AK951=0),""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*('Istoric_Nativ'!$Q$6:$Q$405&gt;H951))/AK951)</x:f>
      </x:c>
      <x:c r="Q951" s="10" t="str">
        <x:f>IF(OR(NOT(AND(J951="PASS",'Calibrare_Linii'!U13="VALID")),AL951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M73)+((('Istoric_Nativ'!$E$6:$E$405='Input_Meci'!E73)+('Istoric_Nativ'!$F$6:$F$405='Input_Meci'!E73))&gt;0)*('Istoric_Nativ'!$D$6:$D$405&gt;='Motor_Meciuri'!BN73))&gt;0)*('Istoric_Nativ'!$Q$6:$Q$405&gt;H951))/AL951)</x:f>
      </x:c>
      <x:c r="R951" s="10" t="str">
        <x:f>IF(OR(NOT(AND(J951="PASS",'Calibrare_Linii'!U13="VALID")),AM951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O73)+((('Istoric_Nativ'!$E$6:$E$405='Input_Meci'!E73)+('Istoric_Nativ'!$F$6:$F$405='Input_Meci'!E73))&gt;0)*('Istoric_Nativ'!$D$6:$D$405&gt;='Motor_Meciuri'!BP73))&gt;0)*('Istoric_Nativ'!$Q$6:$Q$405&gt;H951))/AM951)</x:f>
      </x:c>
      <x:c r="S951" s="10" t="str">
        <x:f>IF(M951="","",MAX(O951,P951,Q951,R951))</x:f>
      </x:c>
      <x:c r="T951" s="11" t="str">
        <x:f>IF(M951="","",MIN(100,S951*100*'Config_v6'!$B$44+MIN(100,L951/'Config_v6'!$B$13*100)*'Config_v6'!$B$45+(100-'Motor_Meciuri'!BF73)*'Config_v6'!$B$46+'Motor_Meciuri'!BH73*100*'Config_v6'!$B$47))</x:f>
      </x:c>
      <x:c r="U951" s="2" t="str">
        <x:f>IF(T951="","",IF(T951&lt;=20,1,IF(T951&lt;=40,2,IF(T951&lt;=60,3,IF(T951&lt;=80,4,5)))))</x:f>
      </x:c>
      <x:c r="V951" s="2" t="str">
        <x:f>IF(M951="","",MAX(0,'Motor_Meciuri'!BF73-IF(W951="OOS PENDING",'Config_v6'!$B$35,0)-IF(L951&gt;'Config_v6'!$B$12,'Config_v6'!$B$37,IF(L951&gt;'Config_v6'!$B$11,'Config_v6'!$B$36,0))))</x:f>
      </x:c>
      <x:c r="W951" s="2" t="str">
        <x:f>IF(B951="","",IF(I951&lt;&gt;"READY","NOT RELEASED",IF(NOT(AND(J951="PASS",'Calibrare_Linii'!U13="VALID")),"INVALID",IF(NOT(AND('Calibrare_Linii'!S13="VALIDATED",AND('Calibrare_Linii'!H13=C951,ISNUMBER('Calibrare_Linii'!J13),'Calibrare_Linii'!J13&lt;='Input_Meci'!G73))),"OOS PENDING",IF(S951&lt;='Calibrare_Linii'!E13,"PASS",IF(S951&lt;='Calibrare_Linii'!F13,"PENALTY","WATCH"))))))</x:f>
      </x:c>
      <x:c r="X951" s="2" t="str">
        <x:f>IF(M951="","",IF(AND(AND(J951="PASS",'Calibrare_Linii'!U13="VALID"),'Motor_Meciuri'!K73=12,'Motor_Meciuri'!L73=12,'Motor_Meciuri'!M73="NO",'Motor_Meciuri'!BL73='Motor_Meciuri'!C73,AB951&gt;='Config_v6'!$B$50,AN951&gt;='Config_v6'!$B$51,T951&lt;='Config_v6'!$B$52,L951&lt;='Config_v6'!$B$53,ISNUMBER('Calibrare_Linii'!E13),S951&lt;='Calibrare_Linii'!E13,SUM(AK951:AM951)&gt;0),"CANDIDATE","NO"))</x:f>
      </x:c>
      <x:c r="Y951" s="2" t="str">
        <x:f>IF(B951="","",IF(I951&lt;&gt;"READY","NOT RELEASED",IF(AND(X951="CANDIDATE",V951&gt;='Config_v6'!$B$51,W951="PASS",'Calibrare_Linii'!T13="VALIDATED",AND('Calibrare_Linii'!H13=C951,ISNUMBER('Calibrare_Linii'!J13),'Calibrare_Linii'!J13&lt;='Input_Meci'!G73)),"PASS",IF(X951="CANDIDATE","OOS PENDING","FAIL"))))</x:f>
      </x:c>
      <x:c r="Z951" s="2" t="str">
        <x:f>IF(B951="","",IF(I951&lt;&gt;"READY","",IF(OR(NOT(AND(J951="PASS",'Calibrare_Linii'!U13="VALID")),L951&gt;'Config_v6'!$B$13,W951="WATCH"),5,IF(Y951="PASS",1,MIN(5,MAX('Config_v6'!$B$42,U951)+IF(W951="PENALTY",1,0))))))</x:f>
      </x:c>
      <x:c r="AA951" s="2" t="str">
        <x:f>IF(B951="","",IF(I951&lt;&gt;"READY","NOT RELEASED",IF(Z951=5,"NO BET",IF(OR(AB951&lt;'Config_v6'!$B$16,V951&lt;'Config_v6'!$B$18),"WATCH",IF(Z951=1,"DEFENSIV",IF(Z951=2,"PRUDENT",IF(Z951=3,"MODERAT","RIDICAT")))))))</x:f>
      </x:c>
      <x:c r="AB951" s="10" t="str">
        <x:f>IF(N951="","",MIN(N951,1-S951))</x:f>
      </x:c>
      <x:c r="AC951" s="2" t="str">
        <x:f>IF(AD951&lt;&gt;1,"",COUNTIFS($Z$944:$Z$957,"&lt;"&amp;Z951,$AD$944:$AD$957,1)+COUNTIFS($Z$944:$Z$957,Z951,$AB$944:$AB$957,"&gt;"&amp;AB951,$AD$944:$AD$957,1)+COUNTIFS($Z$944:$Z$957,Z951,$AB$944:$AB$957,AB951,$V$944:$V$957,"&gt;"&amp;V951,$AD$944:$AD$957,1)+COUNTIFS($Z$944:Z951,Z951,$AB$944:AB951,AB951,$V$944:V951,V951,$AD$944:AD951,1))</x:f>
      </x:c>
      <x:c r="AD951" s="2" t="n">
        <x:f>IF(OR(AA951="DEFENSIV",AA951="PRUDENT",AA951="MODERAT",AA951="RIDICAT"),1,0)</x:f>
        <x:v>0</x:v>
      </x:c>
      <x:c r="AE951" s="2" t="str">
        <x:f>IF(AD951&lt;&gt;1,"NO",IF(W951="PASS","YES",IF(W951="OOS PENDING","CONDITIONAL","NO")))</x:f>
        <x:v>NO</x:v>
      </x:c>
      <x:c r="AF951" s="2" t="n">
        <x:f>IF(AND(AD951=1,AC951=1,E951="LIVE"),1,0)</x:f>
        <x:v>0</x:v>
      </x:c>
      <x:c r="AG951" s="2" t="str">
        <x:f>IF(AF951&lt;&gt;1,"",'Dashboard'!P93)</x:f>
      </x:c>
      <x:c r="AH951" s="2" t="str">
        <x:f>IF(B951="","",IF(J951&lt;&gt;"PASS",'Motor_Meciuri'!J73,IF('Calibrare_Linii'!U13&lt;&gt;"VALID","Parametri linie invalizi",IF(L951&gt;'Config_v6'!$B$13,"Dispersie peste limita",IF(W951="WATCH","Failure peste limita",IF(AB951&lt;'Config_v6'!$B$16,"P finala sub prag",IF(V951&lt;'Config_v6'!$B$18,"Confidence sub prag",IF(E951="REPLAY","Exemplu retrospectiv; exclus din Top LIVE",IF(Y951="PASS","DEFENSIV validat",IF(W951="OOS PENDING","Eligibil; calibrare linie in monitorizare","Eligibil"))))))))))</x:f>
      </x:c>
      <x:c r="AI951" s="2" t="str">
        <x:f>IF(B951="","",'Calibrare_Linii'!V13)</x:f>
      </x:c>
      <x:c r="AJ951" s="2" t="str">
        <x:f>IF(B951="","",IF(AND('Calibrare_Linii'!T13="VALIDATED",AND('Calibrare_Linii'!H13=C951,ISNUMBER('Calibrare_Linii'!J13),'Calibrare_Linii'!J13&lt;='Input_Meci'!G73)),"DEFENSIVE VALIDATED",IF(AND('Calibrare_Linii'!S13="VALIDATED",AND('Calibrare_Linii'!H13=C951,ISNUMBER('Calibrare_Linii'!J13),'Calibrare_Linii'!J13&lt;='Input_Meci'!G73)),"TAIL VALIDATED","OOS PENDING")))</x:f>
      </x:c>
      <x:c r="AK951" s="2" t="n">
        <x:f>IF(J951&lt;&gt;"PASS",0,'Motor_Meciuri'!BR73)</x:f>
        <x:v>0</x:v>
      </x:c>
      <x:c r="AL951" s="2" t="n">
        <x:f>IF(J951&lt;&gt;"PASS",0,'Motor_Meciuri'!BS73)</x:f>
        <x:v>0</x:v>
      </x:c>
      <x:c r="AM951" s="2" t="n">
        <x:f>IF(J951&lt;&gt;"PASS",0,'Motor_Meciuri'!BT73)</x:f>
        <x:v>0</x:v>
      </x:c>
      <x:c r="AN951" s="2" t="str">
        <x:f>IF(M951="","",MAX(0,'Motor_Meciuri'!BF73-IF(L951&gt;'Config_v6'!$B$12,'Config_v6'!$B$37,IF(L951&gt;'Config_v6'!$B$11,'Config_v6'!$B$36,0))))</x:f>
      </x:c>
    </x:row>
    <x:row r="952" ht="21" customHeight="1">
      <x:c r="A952" s="2" t="n">
        <x:v>68</x:v>
      </x:c>
      <x:c r="B952" s="2" t="str">
        <x:f>IF('Motor_Meciuri'!A73="","",'Motor_Meciuri'!A73)</x:f>
      </x:c>
      <x:c r="C952" s="2" t="str">
        <x:f>IF(B952="","",'Motor_Meciuri'!B73)</x:f>
      </x:c>
      <x:c r="D952" s="2" t="str">
        <x:f>IF(B952="","",'Motor_Meciuri'!D73)</x:f>
      </x:c>
      <x:c r="E952" s="2" t="str">
        <x:f>IF(B952="","",'Motor_Meciuri'!E73)</x:f>
      </x:c>
      <x:c r="F952" s="2" t="str">
        <x:v>U12,5</x:v>
      </x:c>
      <x:c r="G952" s="2" t="str">
        <x:v>UNDER</x:v>
      </x:c>
      <x:c r="H952" s="2" t="n">
        <x:v>12</x:v>
      </x:c>
      <x:c r="I952" s="2" t="str">
        <x:f>IF(B952="","",'Motor_Meciuri'!H73)</x:f>
      </x:c>
      <x:c r="J952" s="2" t="str">
        <x:f>IF(B952="","",'Motor_Meciuri'!I73)</x:f>
      </x:c>
      <x:c r="K952" s="11" t="str">
        <x:f>IF(J952&lt;&gt;"PASS","",'Motor_Meciuri'!BD73)</x:f>
      </x:c>
      <x:c r="L952" s="11" t="str">
        <x:f>IF(J952&lt;&gt;"PASS","",'Motor_Meciuri'!AU73)</x:f>
      </x:c>
      <x:c r="M952" s="10" t="str">
        <x:f>IF(NOT(AND(J952="PASS",'Calibrare_Linii'!U14="VALID")),"",'Distributie'!AJ73)</x:f>
      </x:c>
      <x:c r="N952" s="10" t="str">
        <x:f>IF(M952="","",MAX(0.01,MIN(0.99,0.5+(M952-0.5)*'Motor_Meciuri'!BG73*'Calibrare_Linii'!D14)))</x:f>
      </x:c>
      <x:c r="O952" s="10" t="str">
        <x:f>IF(M952="","",1-M952)</x:f>
      </x:c>
      <x:c r="P952" s="10" t="str">
        <x:f>IF(OR(NOT(AND(J952="PASS",'Calibrare_Linii'!U14="VALID")),AK952=0),""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*('Istoric_Nativ'!$Q$6:$Q$405&gt;H952))/AK952)</x:f>
      </x:c>
      <x:c r="Q952" s="10" t="str">
        <x:f>IF(OR(NOT(AND(J952="PASS",'Calibrare_Linii'!U14="VALID")),AL952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M73)+((('Istoric_Nativ'!$E$6:$E$405='Input_Meci'!E73)+('Istoric_Nativ'!$F$6:$F$405='Input_Meci'!E73))&gt;0)*('Istoric_Nativ'!$D$6:$D$405&gt;='Motor_Meciuri'!BN73))&gt;0)*('Istoric_Nativ'!$Q$6:$Q$405&gt;H952))/AL952)</x:f>
      </x:c>
      <x:c r="R952" s="10" t="str">
        <x:f>IF(OR(NOT(AND(J952="PASS",'Calibrare_Linii'!U14="VALID")),AM952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O73)+((('Istoric_Nativ'!$E$6:$E$405='Input_Meci'!E73)+('Istoric_Nativ'!$F$6:$F$405='Input_Meci'!E73))&gt;0)*('Istoric_Nativ'!$D$6:$D$405&gt;='Motor_Meciuri'!BP73))&gt;0)*('Istoric_Nativ'!$Q$6:$Q$405&gt;H952))/AM952)</x:f>
      </x:c>
      <x:c r="S952" s="10" t="str">
        <x:f>IF(M952="","",MAX(O952,P952,Q952,R952))</x:f>
      </x:c>
      <x:c r="T952" s="11" t="str">
        <x:f>IF(M952="","",MIN(100,S952*100*'Config_v6'!$B$44+MIN(100,L952/'Config_v6'!$B$13*100)*'Config_v6'!$B$45+(100-'Motor_Meciuri'!BF73)*'Config_v6'!$B$46+'Motor_Meciuri'!BH73*100*'Config_v6'!$B$47))</x:f>
      </x:c>
      <x:c r="U952" s="2" t="str">
        <x:f>IF(T952="","",IF(T952&lt;=20,1,IF(T952&lt;=40,2,IF(T952&lt;=60,3,IF(T952&lt;=80,4,5)))))</x:f>
      </x:c>
      <x:c r="V952" s="2" t="str">
        <x:f>IF(M952="","",MAX(0,'Motor_Meciuri'!BF73-IF(W952="OOS PENDING",'Config_v6'!$B$35,0)-IF(L952&gt;'Config_v6'!$B$12,'Config_v6'!$B$37,IF(L952&gt;'Config_v6'!$B$11,'Config_v6'!$B$36,0))))</x:f>
      </x:c>
      <x:c r="W952" s="2" t="str">
        <x:f>IF(B952="","",IF(I952&lt;&gt;"READY","NOT RELEASED",IF(NOT(AND(J952="PASS",'Calibrare_Linii'!U14="VALID")),"INVALID",IF(NOT(AND('Calibrare_Linii'!S14="VALIDATED",AND('Calibrare_Linii'!H14=C952,ISNUMBER('Calibrare_Linii'!J14),'Calibrare_Linii'!J14&lt;='Input_Meci'!G73))),"OOS PENDING",IF(S952&lt;='Calibrare_Linii'!E14,"PASS",IF(S952&lt;='Calibrare_Linii'!F14,"PENALTY","WATCH"))))))</x:f>
      </x:c>
      <x:c r="X952" s="2" t="str">
        <x:f>IF(M952="","",IF(AND(AND(J952="PASS",'Calibrare_Linii'!U14="VALID"),'Motor_Meciuri'!K73=12,'Motor_Meciuri'!L73=12,'Motor_Meciuri'!M73="NO",'Motor_Meciuri'!BL73='Motor_Meciuri'!C73,AB952&gt;='Config_v6'!$B$50,AN952&gt;='Config_v6'!$B$51,T952&lt;='Config_v6'!$B$52,L952&lt;='Config_v6'!$B$53,ISNUMBER('Calibrare_Linii'!E14),S952&lt;='Calibrare_Linii'!E14,SUM(AK952:AM952)&gt;0),"CANDIDATE","NO"))</x:f>
      </x:c>
      <x:c r="Y952" s="2" t="str">
        <x:f>IF(B952="","",IF(I952&lt;&gt;"READY","NOT RELEASED",IF(AND(X952="CANDIDATE",V952&gt;='Config_v6'!$B$51,W952="PASS",'Calibrare_Linii'!T14="VALIDATED",AND('Calibrare_Linii'!H14=C952,ISNUMBER('Calibrare_Linii'!J14),'Calibrare_Linii'!J14&lt;='Input_Meci'!G73)),"PASS",IF(X952="CANDIDATE","OOS PENDING","FAIL"))))</x:f>
      </x:c>
      <x:c r="Z952" s="2" t="str">
        <x:f>IF(B952="","",IF(I952&lt;&gt;"READY","",IF(OR(NOT(AND(J952="PASS",'Calibrare_Linii'!U14="VALID")),L952&gt;'Config_v6'!$B$13,W952="WATCH"),5,IF(Y952="PASS",1,MIN(5,MAX('Config_v6'!$B$42,U952)+IF(W952="PENALTY",1,0))))))</x:f>
      </x:c>
      <x:c r="AA952" s="2" t="str">
        <x:f>IF(B952="","",IF(I952&lt;&gt;"READY","NOT RELEASED",IF(Z952=5,"NO BET",IF(OR(AB952&lt;'Config_v6'!$B$16,V952&lt;'Config_v6'!$B$18),"WATCH",IF(Z952=1,"DEFENSIV",IF(Z952=2,"PRUDENT",IF(Z952=3,"MODERAT","RIDICAT")))))))</x:f>
      </x:c>
      <x:c r="AB952" s="10" t="str">
        <x:f>IF(N952="","",MIN(N952,1-S952))</x:f>
      </x:c>
      <x:c r="AC952" s="2" t="str">
        <x:f>IF(AD952&lt;&gt;1,"",COUNTIFS($Z$944:$Z$957,"&lt;"&amp;Z952,$AD$944:$AD$957,1)+COUNTIFS($Z$944:$Z$957,Z952,$AB$944:$AB$957,"&gt;"&amp;AB952,$AD$944:$AD$957,1)+COUNTIFS($Z$944:$Z$957,Z952,$AB$944:$AB$957,AB952,$V$944:$V$957,"&gt;"&amp;V952,$AD$944:$AD$957,1)+COUNTIFS($Z$944:Z952,Z952,$AB$944:AB952,AB952,$V$944:V952,V952,$AD$944:AD952,1))</x:f>
      </x:c>
      <x:c r="AD952" s="2" t="n">
        <x:f>IF(OR(AA952="DEFENSIV",AA952="PRUDENT",AA952="MODERAT",AA952="RIDICAT"),1,0)</x:f>
        <x:v>0</x:v>
      </x:c>
      <x:c r="AE952" s="2" t="str">
        <x:f>IF(AD952&lt;&gt;1,"NO",IF(W952="PASS","YES",IF(W952="OOS PENDING","CONDITIONAL","NO")))</x:f>
        <x:v>NO</x:v>
      </x:c>
      <x:c r="AF952" s="2" t="n">
        <x:f>IF(AND(AD952=1,AC952=1,E952="LIVE"),1,0)</x:f>
        <x:v>0</x:v>
      </x:c>
      <x:c r="AG952" s="2" t="str">
        <x:f>IF(AF952&lt;&gt;1,"",'Dashboard'!P93)</x:f>
      </x:c>
      <x:c r="AH952" s="2" t="str">
        <x:f>IF(B952="","",IF(J952&lt;&gt;"PASS",'Motor_Meciuri'!J73,IF('Calibrare_Linii'!U14&lt;&gt;"VALID","Parametri linie invalizi",IF(L952&gt;'Config_v6'!$B$13,"Dispersie peste limita",IF(W952="WATCH","Failure peste limita",IF(AB952&lt;'Config_v6'!$B$16,"P finala sub prag",IF(V952&lt;'Config_v6'!$B$18,"Confidence sub prag",IF(E952="REPLAY","Exemplu retrospectiv; exclus din Top LIVE",IF(Y952="PASS","DEFENSIV validat",IF(W952="OOS PENDING","Eligibil; calibrare linie in monitorizare","Eligibil"))))))))))</x:f>
      </x:c>
      <x:c r="AI952" s="2" t="str">
        <x:f>IF(B952="","",'Calibrare_Linii'!V14)</x:f>
      </x:c>
      <x:c r="AJ952" s="2" t="str">
        <x:f>IF(B952="","",IF(AND('Calibrare_Linii'!T14="VALIDATED",AND('Calibrare_Linii'!H14=C952,ISNUMBER('Calibrare_Linii'!J14),'Calibrare_Linii'!J14&lt;='Input_Meci'!G73)),"DEFENSIVE VALIDATED",IF(AND('Calibrare_Linii'!S14="VALIDATED",AND('Calibrare_Linii'!H14=C952,ISNUMBER('Calibrare_Linii'!J14),'Calibrare_Linii'!J14&lt;='Input_Meci'!G73)),"TAIL VALIDATED","OOS PENDING")))</x:f>
      </x:c>
      <x:c r="AK952" s="2" t="n">
        <x:f>IF(J952&lt;&gt;"PASS",0,'Motor_Meciuri'!BR73)</x:f>
        <x:v>0</x:v>
      </x:c>
      <x:c r="AL952" s="2" t="n">
        <x:f>IF(J952&lt;&gt;"PASS",0,'Motor_Meciuri'!BS73)</x:f>
        <x:v>0</x:v>
      </x:c>
      <x:c r="AM952" s="2" t="n">
        <x:f>IF(J952&lt;&gt;"PASS",0,'Motor_Meciuri'!BT73)</x:f>
        <x:v>0</x:v>
      </x:c>
      <x:c r="AN952" s="2" t="str">
        <x:f>IF(M952="","",MAX(0,'Motor_Meciuri'!BF73-IF(L952&gt;'Config_v6'!$B$12,'Config_v6'!$B$37,IF(L952&gt;'Config_v6'!$B$11,'Config_v6'!$B$36,0))))</x:f>
      </x:c>
    </x:row>
    <x:row r="953" ht="21" customHeight="1">
      <x:c r="A953" s="2" t="n">
        <x:v>68</x:v>
      </x:c>
      <x:c r="B953" s="2" t="str">
        <x:f>IF('Motor_Meciuri'!A73="","",'Motor_Meciuri'!A73)</x:f>
      </x:c>
      <x:c r="C953" s="2" t="str">
        <x:f>IF(B953="","",'Motor_Meciuri'!B73)</x:f>
      </x:c>
      <x:c r="D953" s="2" t="str">
        <x:f>IF(B953="","",'Motor_Meciuri'!D73)</x:f>
      </x:c>
      <x:c r="E953" s="2" t="str">
        <x:f>IF(B953="","",'Motor_Meciuri'!E73)</x:f>
      </x:c>
      <x:c r="F953" s="2" t="str">
        <x:v>U13,5</x:v>
      </x:c>
      <x:c r="G953" s="2" t="str">
        <x:v>UNDER</x:v>
      </x:c>
      <x:c r="H953" s="2" t="n">
        <x:v>13</x:v>
      </x:c>
      <x:c r="I953" s="2" t="str">
        <x:f>IF(B953="","",'Motor_Meciuri'!H73)</x:f>
      </x:c>
      <x:c r="J953" s="2" t="str">
        <x:f>IF(B953="","",'Motor_Meciuri'!I73)</x:f>
      </x:c>
      <x:c r="K953" s="11" t="str">
        <x:f>IF(J953&lt;&gt;"PASS","",'Motor_Meciuri'!BD73)</x:f>
      </x:c>
      <x:c r="L953" s="11" t="str">
        <x:f>IF(J953&lt;&gt;"PASS","",'Motor_Meciuri'!AU73)</x:f>
      </x:c>
      <x:c r="M953" s="10" t="str">
        <x:f>IF(NOT(AND(J953="PASS",'Calibrare_Linii'!U15="VALID")),"",'Distributie'!AK73)</x:f>
      </x:c>
      <x:c r="N953" s="10" t="str">
        <x:f>IF(M953="","",MAX(0.01,MIN(0.99,0.5+(M953-0.5)*'Motor_Meciuri'!BG73*'Calibrare_Linii'!D15)))</x:f>
      </x:c>
      <x:c r="O953" s="10" t="str">
        <x:f>IF(M953="","",1-M953)</x:f>
      </x:c>
      <x:c r="P953" s="10" t="str">
        <x:f>IF(OR(NOT(AND(J953="PASS",'Calibrare_Linii'!U15="VALID")),AK953=0),""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*('Istoric_Nativ'!$Q$6:$Q$405&gt;H953))/AK953)</x:f>
      </x:c>
      <x:c r="Q953" s="10" t="str">
        <x:f>IF(OR(NOT(AND(J953="PASS",'Calibrare_Linii'!U15="VALID")),AL953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M73)+((('Istoric_Nativ'!$E$6:$E$405='Input_Meci'!E73)+('Istoric_Nativ'!$F$6:$F$405='Input_Meci'!E73))&gt;0)*('Istoric_Nativ'!$D$6:$D$405&gt;='Motor_Meciuri'!BN73))&gt;0)*('Istoric_Nativ'!$Q$6:$Q$405&gt;H953))/AL953)</x:f>
      </x:c>
      <x:c r="R953" s="10" t="str">
        <x:f>IF(OR(NOT(AND(J953="PASS",'Calibrare_Linii'!U15="VALID")),AM953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O73)+((('Istoric_Nativ'!$E$6:$E$405='Input_Meci'!E73)+('Istoric_Nativ'!$F$6:$F$405='Input_Meci'!E73))&gt;0)*('Istoric_Nativ'!$D$6:$D$405&gt;='Motor_Meciuri'!BP73))&gt;0)*('Istoric_Nativ'!$Q$6:$Q$405&gt;H953))/AM953)</x:f>
      </x:c>
      <x:c r="S953" s="10" t="str">
        <x:f>IF(M953="","",MAX(O953,P953,Q953,R953))</x:f>
      </x:c>
      <x:c r="T953" s="11" t="str">
        <x:f>IF(M953="","",MIN(100,S953*100*'Config_v6'!$B$44+MIN(100,L953/'Config_v6'!$B$13*100)*'Config_v6'!$B$45+(100-'Motor_Meciuri'!BF73)*'Config_v6'!$B$46+'Motor_Meciuri'!BH73*100*'Config_v6'!$B$47))</x:f>
      </x:c>
      <x:c r="U953" s="2" t="str">
        <x:f>IF(T953="","",IF(T953&lt;=20,1,IF(T953&lt;=40,2,IF(T953&lt;=60,3,IF(T953&lt;=80,4,5)))))</x:f>
      </x:c>
      <x:c r="V953" s="2" t="str">
        <x:f>IF(M953="","",MAX(0,'Motor_Meciuri'!BF73-IF(W953="OOS PENDING",'Config_v6'!$B$35,0)-IF(L953&gt;'Config_v6'!$B$12,'Config_v6'!$B$37,IF(L953&gt;'Config_v6'!$B$11,'Config_v6'!$B$36,0))))</x:f>
      </x:c>
      <x:c r="W953" s="2" t="str">
        <x:f>IF(B953="","",IF(I953&lt;&gt;"READY","NOT RELEASED",IF(NOT(AND(J953="PASS",'Calibrare_Linii'!U15="VALID")),"INVALID",IF(NOT(AND('Calibrare_Linii'!S15="VALIDATED",AND('Calibrare_Linii'!H15=C953,ISNUMBER('Calibrare_Linii'!J15),'Calibrare_Linii'!J15&lt;='Input_Meci'!G73))),"OOS PENDING",IF(S953&lt;='Calibrare_Linii'!E15,"PASS",IF(S953&lt;='Calibrare_Linii'!F15,"PENALTY","WATCH"))))))</x:f>
      </x:c>
      <x:c r="X953" s="2" t="str">
        <x:f>IF(M953="","",IF(AND(AND(J953="PASS",'Calibrare_Linii'!U15="VALID"),'Motor_Meciuri'!K73=12,'Motor_Meciuri'!L73=12,'Motor_Meciuri'!M73="NO",'Motor_Meciuri'!BL73='Motor_Meciuri'!C73,AB953&gt;='Config_v6'!$B$50,AN953&gt;='Config_v6'!$B$51,T953&lt;='Config_v6'!$B$52,L953&lt;='Config_v6'!$B$53,ISNUMBER('Calibrare_Linii'!E15),S953&lt;='Calibrare_Linii'!E15,SUM(AK953:AM953)&gt;0),"CANDIDATE","NO"))</x:f>
      </x:c>
      <x:c r="Y953" s="2" t="str">
        <x:f>IF(B953="","",IF(I953&lt;&gt;"READY","NOT RELEASED",IF(AND(X953="CANDIDATE",V953&gt;='Config_v6'!$B$51,W953="PASS",'Calibrare_Linii'!T15="VALIDATED",AND('Calibrare_Linii'!H15=C953,ISNUMBER('Calibrare_Linii'!J15),'Calibrare_Linii'!J15&lt;='Input_Meci'!G73)),"PASS",IF(X953="CANDIDATE","OOS PENDING","FAIL"))))</x:f>
      </x:c>
      <x:c r="Z953" s="2" t="str">
        <x:f>IF(B953="","",IF(I953&lt;&gt;"READY","",IF(OR(NOT(AND(J953="PASS",'Calibrare_Linii'!U15="VALID")),L953&gt;'Config_v6'!$B$13,W953="WATCH"),5,IF(Y953="PASS",1,MIN(5,MAX('Config_v6'!$B$42,U953)+IF(W953="PENALTY",1,0))))))</x:f>
      </x:c>
      <x:c r="AA953" s="2" t="str">
        <x:f>IF(B953="","",IF(I953&lt;&gt;"READY","NOT RELEASED",IF(Z953=5,"NO BET",IF(OR(AB953&lt;'Config_v6'!$B$16,V953&lt;'Config_v6'!$B$18),"WATCH",IF(Z953=1,"DEFENSIV",IF(Z953=2,"PRUDENT",IF(Z953=3,"MODERAT","RIDICAT")))))))</x:f>
      </x:c>
      <x:c r="AB953" s="10" t="str">
        <x:f>IF(N953="","",MIN(N953,1-S953))</x:f>
      </x:c>
      <x:c r="AC953" s="2" t="str">
        <x:f>IF(AD953&lt;&gt;1,"",COUNTIFS($Z$944:$Z$957,"&lt;"&amp;Z953,$AD$944:$AD$957,1)+COUNTIFS($Z$944:$Z$957,Z953,$AB$944:$AB$957,"&gt;"&amp;AB953,$AD$944:$AD$957,1)+COUNTIFS($Z$944:$Z$957,Z953,$AB$944:$AB$957,AB953,$V$944:$V$957,"&gt;"&amp;V953,$AD$944:$AD$957,1)+COUNTIFS($Z$944:Z953,Z953,$AB$944:AB953,AB953,$V$944:V953,V953,$AD$944:AD953,1))</x:f>
      </x:c>
      <x:c r="AD953" s="2" t="n">
        <x:f>IF(OR(AA953="DEFENSIV",AA953="PRUDENT",AA953="MODERAT",AA953="RIDICAT"),1,0)</x:f>
        <x:v>0</x:v>
      </x:c>
      <x:c r="AE953" s="2" t="str">
        <x:f>IF(AD953&lt;&gt;1,"NO",IF(W953="PASS","YES",IF(W953="OOS PENDING","CONDITIONAL","NO")))</x:f>
        <x:v>NO</x:v>
      </x:c>
      <x:c r="AF953" s="2" t="n">
        <x:f>IF(AND(AD953=1,AC953=1,E953="LIVE"),1,0)</x:f>
        <x:v>0</x:v>
      </x:c>
      <x:c r="AG953" s="2" t="str">
        <x:f>IF(AF953&lt;&gt;1,"",'Dashboard'!P93)</x:f>
      </x:c>
      <x:c r="AH953" s="2" t="str">
        <x:f>IF(B953="","",IF(J953&lt;&gt;"PASS",'Motor_Meciuri'!J73,IF('Calibrare_Linii'!U15&lt;&gt;"VALID","Parametri linie invalizi",IF(L953&gt;'Config_v6'!$B$13,"Dispersie peste limita",IF(W953="WATCH","Failure peste limita",IF(AB953&lt;'Config_v6'!$B$16,"P finala sub prag",IF(V953&lt;'Config_v6'!$B$18,"Confidence sub prag",IF(E953="REPLAY","Exemplu retrospectiv; exclus din Top LIVE",IF(Y953="PASS","DEFENSIV validat",IF(W953="OOS PENDING","Eligibil; calibrare linie in monitorizare","Eligibil"))))))))))</x:f>
      </x:c>
      <x:c r="AI953" s="2" t="str">
        <x:f>IF(B953="","",'Calibrare_Linii'!V15)</x:f>
      </x:c>
      <x:c r="AJ953" s="2" t="str">
        <x:f>IF(B953="","",IF(AND('Calibrare_Linii'!T15="VALIDATED",AND('Calibrare_Linii'!H15=C953,ISNUMBER('Calibrare_Linii'!J15),'Calibrare_Linii'!J15&lt;='Input_Meci'!G73)),"DEFENSIVE VALIDATED",IF(AND('Calibrare_Linii'!S15="VALIDATED",AND('Calibrare_Linii'!H15=C953,ISNUMBER('Calibrare_Linii'!J15),'Calibrare_Linii'!J15&lt;='Input_Meci'!G73)),"TAIL VALIDATED","OOS PENDING")))</x:f>
      </x:c>
      <x:c r="AK953" s="2" t="n">
        <x:f>IF(J953&lt;&gt;"PASS",0,'Motor_Meciuri'!BR73)</x:f>
        <x:v>0</x:v>
      </x:c>
      <x:c r="AL953" s="2" t="n">
        <x:f>IF(J953&lt;&gt;"PASS",0,'Motor_Meciuri'!BS73)</x:f>
        <x:v>0</x:v>
      </x:c>
      <x:c r="AM953" s="2" t="n">
        <x:f>IF(J953&lt;&gt;"PASS",0,'Motor_Meciuri'!BT73)</x:f>
        <x:v>0</x:v>
      </x:c>
      <x:c r="AN953" s="2" t="str">
        <x:f>IF(M953="","",MAX(0,'Motor_Meciuri'!BF73-IF(L953&gt;'Config_v6'!$B$12,'Config_v6'!$B$37,IF(L953&gt;'Config_v6'!$B$11,'Config_v6'!$B$36,0))))</x:f>
      </x:c>
    </x:row>
    <x:row r="954" ht="21" customHeight="1">
      <x:c r="A954" s="2" t="n">
        <x:v>68</x:v>
      </x:c>
      <x:c r="B954" s="2" t="str">
        <x:f>IF('Motor_Meciuri'!A73="","",'Motor_Meciuri'!A73)</x:f>
      </x:c>
      <x:c r="C954" s="2" t="str">
        <x:f>IF(B954="","",'Motor_Meciuri'!B73)</x:f>
      </x:c>
      <x:c r="D954" s="2" t="str">
        <x:f>IF(B954="","",'Motor_Meciuri'!D73)</x:f>
      </x:c>
      <x:c r="E954" s="2" t="str">
        <x:f>IF(B954="","",'Motor_Meciuri'!E73)</x:f>
      </x:c>
      <x:c r="F954" s="2" t="str">
        <x:v>U14,5</x:v>
      </x:c>
      <x:c r="G954" s="2" t="str">
        <x:v>UNDER</x:v>
      </x:c>
      <x:c r="H954" s="2" t="n">
        <x:v>14</x:v>
      </x:c>
      <x:c r="I954" s="2" t="str">
        <x:f>IF(B954="","",'Motor_Meciuri'!H73)</x:f>
      </x:c>
      <x:c r="J954" s="2" t="str">
        <x:f>IF(B954="","",'Motor_Meciuri'!I73)</x:f>
      </x:c>
      <x:c r="K954" s="11" t="str">
        <x:f>IF(J954&lt;&gt;"PASS","",'Motor_Meciuri'!BD73)</x:f>
      </x:c>
      <x:c r="L954" s="11" t="str">
        <x:f>IF(J954&lt;&gt;"PASS","",'Motor_Meciuri'!AU73)</x:f>
      </x:c>
      <x:c r="M954" s="10" t="str">
        <x:f>IF(NOT(AND(J954="PASS",'Calibrare_Linii'!U16="VALID")),"",'Distributie'!AL73)</x:f>
      </x:c>
      <x:c r="N954" s="10" t="str">
        <x:f>IF(M954="","",MAX(0.01,MIN(0.99,0.5+(M954-0.5)*'Motor_Meciuri'!BG73*'Calibrare_Linii'!D16)))</x:f>
      </x:c>
      <x:c r="O954" s="10" t="str">
        <x:f>IF(M954="","",1-M954)</x:f>
      </x:c>
      <x:c r="P954" s="10" t="str">
        <x:f>IF(OR(NOT(AND(J954="PASS",'Calibrare_Linii'!U16="VALID")),AK954=0),""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*('Istoric_Nativ'!$Q$6:$Q$405&gt;H954))/AK954)</x:f>
      </x:c>
      <x:c r="Q954" s="10" t="str">
        <x:f>IF(OR(NOT(AND(J954="PASS",'Calibrare_Linii'!U16="VALID")),AL954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M73)+((('Istoric_Nativ'!$E$6:$E$405='Input_Meci'!E73)+('Istoric_Nativ'!$F$6:$F$405='Input_Meci'!E73))&gt;0)*('Istoric_Nativ'!$D$6:$D$405&gt;='Motor_Meciuri'!BN73))&gt;0)*('Istoric_Nativ'!$Q$6:$Q$405&gt;H954))/AL954)</x:f>
      </x:c>
      <x:c r="R954" s="10" t="str">
        <x:f>IF(OR(NOT(AND(J954="PASS",'Calibrare_Linii'!U16="VALID")),AM954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O73)+((('Istoric_Nativ'!$E$6:$E$405='Input_Meci'!E73)+('Istoric_Nativ'!$F$6:$F$405='Input_Meci'!E73))&gt;0)*('Istoric_Nativ'!$D$6:$D$405&gt;='Motor_Meciuri'!BP73))&gt;0)*('Istoric_Nativ'!$Q$6:$Q$405&gt;H954))/AM954)</x:f>
      </x:c>
      <x:c r="S954" s="10" t="str">
        <x:f>IF(M954="","",MAX(O954,P954,Q954,R954))</x:f>
      </x:c>
      <x:c r="T954" s="11" t="str">
        <x:f>IF(M954="","",MIN(100,S954*100*'Config_v6'!$B$44+MIN(100,L954/'Config_v6'!$B$13*100)*'Config_v6'!$B$45+(100-'Motor_Meciuri'!BF73)*'Config_v6'!$B$46+'Motor_Meciuri'!BH73*100*'Config_v6'!$B$47))</x:f>
      </x:c>
      <x:c r="U954" s="2" t="str">
        <x:f>IF(T954="","",IF(T954&lt;=20,1,IF(T954&lt;=40,2,IF(T954&lt;=60,3,IF(T954&lt;=80,4,5)))))</x:f>
      </x:c>
      <x:c r="V954" s="2" t="str">
        <x:f>IF(M954="","",MAX(0,'Motor_Meciuri'!BF73-IF(W954="OOS PENDING",'Config_v6'!$B$35,0)-IF(L954&gt;'Config_v6'!$B$12,'Config_v6'!$B$37,IF(L954&gt;'Config_v6'!$B$11,'Config_v6'!$B$36,0))))</x:f>
      </x:c>
      <x:c r="W954" s="2" t="str">
        <x:f>IF(B954="","",IF(I954&lt;&gt;"READY","NOT RELEASED",IF(NOT(AND(J954="PASS",'Calibrare_Linii'!U16="VALID")),"INVALID",IF(NOT(AND('Calibrare_Linii'!S16="VALIDATED",AND('Calibrare_Linii'!H16=C954,ISNUMBER('Calibrare_Linii'!J16),'Calibrare_Linii'!J16&lt;='Input_Meci'!G73))),"OOS PENDING",IF(S954&lt;='Calibrare_Linii'!E16,"PASS",IF(S954&lt;='Calibrare_Linii'!F16,"PENALTY","WATCH"))))))</x:f>
      </x:c>
      <x:c r="X954" s="2" t="str">
        <x:f>IF(M954="","",IF(AND(AND(J954="PASS",'Calibrare_Linii'!U16="VALID"),'Motor_Meciuri'!K73=12,'Motor_Meciuri'!L73=12,'Motor_Meciuri'!M73="NO",'Motor_Meciuri'!BL73='Motor_Meciuri'!C73,AB954&gt;='Config_v6'!$B$50,AN954&gt;='Config_v6'!$B$51,T954&lt;='Config_v6'!$B$52,L954&lt;='Config_v6'!$B$53,ISNUMBER('Calibrare_Linii'!E16),S954&lt;='Calibrare_Linii'!E16,SUM(AK954:AM954)&gt;0),"CANDIDATE","NO"))</x:f>
      </x:c>
      <x:c r="Y954" s="2" t="str">
        <x:f>IF(B954="","",IF(I954&lt;&gt;"READY","NOT RELEASED",IF(AND(X954="CANDIDATE",V954&gt;='Config_v6'!$B$51,W954="PASS",'Calibrare_Linii'!T16="VALIDATED",AND('Calibrare_Linii'!H16=C954,ISNUMBER('Calibrare_Linii'!J16),'Calibrare_Linii'!J16&lt;='Input_Meci'!G73)),"PASS",IF(X954="CANDIDATE","OOS PENDING","FAIL"))))</x:f>
      </x:c>
      <x:c r="Z954" s="2" t="str">
        <x:f>IF(B954="","",IF(I954&lt;&gt;"READY","",IF(OR(NOT(AND(J954="PASS",'Calibrare_Linii'!U16="VALID")),L954&gt;'Config_v6'!$B$13,W954="WATCH"),5,IF(Y954="PASS",1,MIN(5,MAX('Config_v6'!$B$42,U954)+IF(W954="PENALTY",1,0))))))</x:f>
      </x:c>
      <x:c r="AA954" s="2" t="str">
        <x:f>IF(B954="","",IF(I954&lt;&gt;"READY","NOT RELEASED",IF(Z954=5,"NO BET",IF(OR(AB954&lt;'Config_v6'!$B$16,V954&lt;'Config_v6'!$B$18),"WATCH",IF(Z954=1,"DEFENSIV",IF(Z954=2,"PRUDENT",IF(Z954=3,"MODERAT","RIDICAT")))))))</x:f>
      </x:c>
      <x:c r="AB954" s="10" t="str">
        <x:f>IF(N954="","",MIN(N954,1-S954))</x:f>
      </x:c>
      <x:c r="AC954" s="2" t="str">
        <x:f>IF(AD954&lt;&gt;1,"",COUNTIFS($Z$944:$Z$957,"&lt;"&amp;Z954,$AD$944:$AD$957,1)+COUNTIFS($Z$944:$Z$957,Z954,$AB$944:$AB$957,"&gt;"&amp;AB954,$AD$944:$AD$957,1)+COUNTIFS($Z$944:$Z$957,Z954,$AB$944:$AB$957,AB954,$V$944:$V$957,"&gt;"&amp;V954,$AD$944:$AD$957,1)+COUNTIFS($Z$944:Z954,Z954,$AB$944:AB954,AB954,$V$944:V954,V954,$AD$944:AD954,1))</x:f>
      </x:c>
      <x:c r="AD954" s="2" t="n">
        <x:f>IF(OR(AA954="DEFENSIV",AA954="PRUDENT",AA954="MODERAT",AA954="RIDICAT"),1,0)</x:f>
        <x:v>0</x:v>
      </x:c>
      <x:c r="AE954" s="2" t="str">
        <x:f>IF(AD954&lt;&gt;1,"NO",IF(W954="PASS","YES",IF(W954="OOS PENDING","CONDITIONAL","NO")))</x:f>
        <x:v>NO</x:v>
      </x:c>
      <x:c r="AF954" s="2" t="n">
        <x:f>IF(AND(AD954=1,AC954=1,E954="LIVE"),1,0)</x:f>
        <x:v>0</x:v>
      </x:c>
      <x:c r="AG954" s="2" t="str">
        <x:f>IF(AF954&lt;&gt;1,"",'Dashboard'!P93)</x:f>
      </x:c>
      <x:c r="AH954" s="2" t="str">
        <x:f>IF(B954="","",IF(J954&lt;&gt;"PASS",'Motor_Meciuri'!J73,IF('Calibrare_Linii'!U16&lt;&gt;"VALID","Parametri linie invalizi",IF(L954&gt;'Config_v6'!$B$13,"Dispersie peste limita",IF(W954="WATCH","Failure peste limita",IF(AB954&lt;'Config_v6'!$B$16,"P finala sub prag",IF(V954&lt;'Config_v6'!$B$18,"Confidence sub prag",IF(E954="REPLAY","Exemplu retrospectiv; exclus din Top LIVE",IF(Y954="PASS","DEFENSIV validat",IF(W954="OOS PENDING","Eligibil; calibrare linie in monitorizare","Eligibil"))))))))))</x:f>
      </x:c>
      <x:c r="AI954" s="2" t="str">
        <x:f>IF(B954="","",'Calibrare_Linii'!V16)</x:f>
      </x:c>
      <x:c r="AJ954" s="2" t="str">
        <x:f>IF(B954="","",IF(AND('Calibrare_Linii'!T16="VALIDATED",AND('Calibrare_Linii'!H16=C954,ISNUMBER('Calibrare_Linii'!J16),'Calibrare_Linii'!J16&lt;='Input_Meci'!G73)),"DEFENSIVE VALIDATED",IF(AND('Calibrare_Linii'!S16="VALIDATED",AND('Calibrare_Linii'!H16=C954,ISNUMBER('Calibrare_Linii'!J16),'Calibrare_Linii'!J16&lt;='Input_Meci'!G73)),"TAIL VALIDATED","OOS PENDING")))</x:f>
      </x:c>
      <x:c r="AK954" s="2" t="n">
        <x:f>IF(J954&lt;&gt;"PASS",0,'Motor_Meciuri'!BR73)</x:f>
        <x:v>0</x:v>
      </x:c>
      <x:c r="AL954" s="2" t="n">
        <x:f>IF(J954&lt;&gt;"PASS",0,'Motor_Meciuri'!BS73)</x:f>
        <x:v>0</x:v>
      </x:c>
      <x:c r="AM954" s="2" t="n">
        <x:f>IF(J954&lt;&gt;"PASS",0,'Motor_Meciuri'!BT73)</x:f>
        <x:v>0</x:v>
      </x:c>
      <x:c r="AN954" s="2" t="str">
        <x:f>IF(M954="","",MAX(0,'Motor_Meciuri'!BF73-IF(L954&gt;'Config_v6'!$B$12,'Config_v6'!$B$37,IF(L954&gt;'Config_v6'!$B$11,'Config_v6'!$B$36,0))))</x:f>
      </x:c>
    </x:row>
    <x:row r="955" ht="21" customHeight="1">
      <x:c r="A955" s="2" t="n">
        <x:v>68</x:v>
      </x:c>
      <x:c r="B955" s="2" t="str">
        <x:f>IF('Motor_Meciuri'!A73="","",'Motor_Meciuri'!A73)</x:f>
      </x:c>
      <x:c r="C955" s="2" t="str">
        <x:f>IF(B955="","",'Motor_Meciuri'!B73)</x:f>
      </x:c>
      <x:c r="D955" s="2" t="str">
        <x:f>IF(B955="","",'Motor_Meciuri'!D73)</x:f>
      </x:c>
      <x:c r="E955" s="2" t="str">
        <x:f>IF(B955="","",'Motor_Meciuri'!E73)</x:f>
      </x:c>
      <x:c r="F955" s="2" t="str">
        <x:v>U15,5</x:v>
      </x:c>
      <x:c r="G955" s="2" t="str">
        <x:v>UNDER</x:v>
      </x:c>
      <x:c r="H955" s="2" t="n">
        <x:v>15</x:v>
      </x:c>
      <x:c r="I955" s="2" t="str">
        <x:f>IF(B955="","",'Motor_Meciuri'!H73)</x:f>
      </x:c>
      <x:c r="J955" s="2" t="str">
        <x:f>IF(B955="","",'Motor_Meciuri'!I73)</x:f>
      </x:c>
      <x:c r="K955" s="11" t="str">
        <x:f>IF(J955&lt;&gt;"PASS","",'Motor_Meciuri'!BD73)</x:f>
      </x:c>
      <x:c r="L955" s="11" t="str">
        <x:f>IF(J955&lt;&gt;"PASS","",'Motor_Meciuri'!AU73)</x:f>
      </x:c>
      <x:c r="M955" s="10" t="str">
        <x:f>IF(NOT(AND(J955="PASS",'Calibrare_Linii'!U17="VALID")),"",'Distributie'!AM73)</x:f>
      </x:c>
      <x:c r="N955" s="10" t="str">
        <x:f>IF(M955="","",MAX(0.01,MIN(0.99,0.5+(M955-0.5)*'Motor_Meciuri'!BG73*'Calibrare_Linii'!D17)))</x:f>
      </x:c>
      <x:c r="O955" s="10" t="str">
        <x:f>IF(M955="","",1-M955)</x:f>
      </x:c>
      <x:c r="P955" s="10" t="str">
        <x:f>IF(OR(NOT(AND(J955="PASS",'Calibrare_Linii'!U17="VALID")),AK955=0),""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*('Istoric_Nativ'!$Q$6:$Q$405&gt;H955))/AK955)</x:f>
      </x:c>
      <x:c r="Q955" s="10" t="str">
        <x:f>IF(OR(NOT(AND(J955="PASS",'Calibrare_Linii'!U17="VALID")),AL955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M73)+((('Istoric_Nativ'!$E$6:$E$405='Input_Meci'!E73)+('Istoric_Nativ'!$F$6:$F$405='Input_Meci'!E73))&gt;0)*('Istoric_Nativ'!$D$6:$D$405&gt;='Motor_Meciuri'!BN73))&gt;0)*('Istoric_Nativ'!$Q$6:$Q$405&gt;H955))/AL955)</x:f>
      </x:c>
      <x:c r="R955" s="10" t="str">
        <x:f>IF(OR(NOT(AND(J955="PASS",'Calibrare_Linii'!U17="VALID")),AM955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O73)+((('Istoric_Nativ'!$E$6:$E$405='Input_Meci'!E73)+('Istoric_Nativ'!$F$6:$F$405='Input_Meci'!E73))&gt;0)*('Istoric_Nativ'!$D$6:$D$405&gt;='Motor_Meciuri'!BP73))&gt;0)*('Istoric_Nativ'!$Q$6:$Q$405&gt;H955))/AM955)</x:f>
      </x:c>
      <x:c r="S955" s="10" t="str">
        <x:f>IF(M955="","",MAX(O955,P955,Q955,R955))</x:f>
      </x:c>
      <x:c r="T955" s="11" t="str">
        <x:f>IF(M955="","",MIN(100,S955*100*'Config_v6'!$B$44+MIN(100,L955/'Config_v6'!$B$13*100)*'Config_v6'!$B$45+(100-'Motor_Meciuri'!BF73)*'Config_v6'!$B$46+'Motor_Meciuri'!BH73*100*'Config_v6'!$B$47))</x:f>
      </x:c>
      <x:c r="U955" s="2" t="str">
        <x:f>IF(T955="","",IF(T955&lt;=20,1,IF(T955&lt;=40,2,IF(T955&lt;=60,3,IF(T955&lt;=80,4,5)))))</x:f>
      </x:c>
      <x:c r="V955" s="2" t="str">
        <x:f>IF(M955="","",MAX(0,'Motor_Meciuri'!BF73-IF(W955="OOS PENDING",'Config_v6'!$B$35,0)-IF(L955&gt;'Config_v6'!$B$12,'Config_v6'!$B$37,IF(L955&gt;'Config_v6'!$B$11,'Config_v6'!$B$36,0))))</x:f>
      </x:c>
      <x:c r="W955" s="2" t="str">
        <x:f>IF(B955="","",IF(I955&lt;&gt;"READY","NOT RELEASED",IF(NOT(AND(J955="PASS",'Calibrare_Linii'!U17="VALID")),"INVALID",IF(NOT(AND('Calibrare_Linii'!S17="VALIDATED",AND('Calibrare_Linii'!H17=C955,ISNUMBER('Calibrare_Linii'!J17),'Calibrare_Linii'!J17&lt;='Input_Meci'!G73))),"OOS PENDING",IF(S955&lt;='Calibrare_Linii'!E17,"PASS",IF(S955&lt;='Calibrare_Linii'!F17,"PENALTY","WATCH"))))))</x:f>
      </x:c>
      <x:c r="X955" s="2" t="str">
        <x:f>IF(M955="","",IF(AND(AND(J955="PASS",'Calibrare_Linii'!U17="VALID"),'Motor_Meciuri'!K73=12,'Motor_Meciuri'!L73=12,'Motor_Meciuri'!M73="NO",'Motor_Meciuri'!BL73='Motor_Meciuri'!C73,AB955&gt;='Config_v6'!$B$50,AN955&gt;='Config_v6'!$B$51,T955&lt;='Config_v6'!$B$52,L955&lt;='Config_v6'!$B$53,ISNUMBER('Calibrare_Linii'!E17),S955&lt;='Calibrare_Linii'!E17,SUM(AK955:AM955)&gt;0),"CANDIDATE","NO"))</x:f>
      </x:c>
      <x:c r="Y955" s="2" t="str">
        <x:f>IF(B955="","",IF(I955&lt;&gt;"READY","NOT RELEASED",IF(AND(X955="CANDIDATE",V955&gt;='Config_v6'!$B$51,W955="PASS",'Calibrare_Linii'!T17="VALIDATED",AND('Calibrare_Linii'!H17=C955,ISNUMBER('Calibrare_Linii'!J17),'Calibrare_Linii'!J17&lt;='Input_Meci'!G73)),"PASS",IF(X955="CANDIDATE","OOS PENDING","FAIL"))))</x:f>
      </x:c>
      <x:c r="Z955" s="2" t="str">
        <x:f>IF(B955="","",IF(I955&lt;&gt;"READY","",IF(OR(NOT(AND(J955="PASS",'Calibrare_Linii'!U17="VALID")),L955&gt;'Config_v6'!$B$13,W955="WATCH"),5,IF(Y955="PASS",1,MIN(5,MAX('Config_v6'!$B$42,U955)+IF(W955="PENALTY",1,0))))))</x:f>
      </x:c>
      <x:c r="AA955" s="2" t="str">
        <x:f>IF(B955="","",IF(I955&lt;&gt;"READY","NOT RELEASED",IF(Z955=5,"NO BET",IF(OR(AB955&lt;'Config_v6'!$B$16,V955&lt;'Config_v6'!$B$18),"WATCH",IF(Z955=1,"DEFENSIV",IF(Z955=2,"PRUDENT",IF(Z955=3,"MODERAT","RIDICAT")))))))</x:f>
      </x:c>
      <x:c r="AB955" s="10" t="str">
        <x:f>IF(N955="","",MIN(N955,1-S955))</x:f>
      </x:c>
      <x:c r="AC955" s="2" t="str">
        <x:f>IF(AD955&lt;&gt;1,"",COUNTIFS($Z$944:$Z$957,"&lt;"&amp;Z955,$AD$944:$AD$957,1)+COUNTIFS($Z$944:$Z$957,Z955,$AB$944:$AB$957,"&gt;"&amp;AB955,$AD$944:$AD$957,1)+COUNTIFS($Z$944:$Z$957,Z955,$AB$944:$AB$957,AB955,$V$944:$V$957,"&gt;"&amp;V955,$AD$944:$AD$957,1)+COUNTIFS($Z$944:Z955,Z955,$AB$944:AB955,AB955,$V$944:V955,V955,$AD$944:AD955,1))</x:f>
      </x:c>
      <x:c r="AD955" s="2" t="n">
        <x:f>IF(OR(AA955="DEFENSIV",AA955="PRUDENT",AA955="MODERAT",AA955="RIDICAT"),1,0)</x:f>
        <x:v>0</x:v>
      </x:c>
      <x:c r="AE955" s="2" t="str">
        <x:f>IF(AD955&lt;&gt;1,"NO",IF(W955="PASS","YES",IF(W955="OOS PENDING","CONDITIONAL","NO")))</x:f>
        <x:v>NO</x:v>
      </x:c>
      <x:c r="AF955" s="2" t="n">
        <x:f>IF(AND(AD955=1,AC955=1,E955="LIVE"),1,0)</x:f>
        <x:v>0</x:v>
      </x:c>
      <x:c r="AG955" s="2" t="str">
        <x:f>IF(AF955&lt;&gt;1,"",'Dashboard'!P93)</x:f>
      </x:c>
      <x:c r="AH955" s="2" t="str">
        <x:f>IF(B955="","",IF(J955&lt;&gt;"PASS",'Motor_Meciuri'!J73,IF('Calibrare_Linii'!U17&lt;&gt;"VALID","Parametri linie invalizi",IF(L955&gt;'Config_v6'!$B$13,"Dispersie peste limita",IF(W955="WATCH","Failure peste limita",IF(AB955&lt;'Config_v6'!$B$16,"P finala sub prag",IF(V955&lt;'Config_v6'!$B$18,"Confidence sub prag",IF(E955="REPLAY","Exemplu retrospectiv; exclus din Top LIVE",IF(Y955="PASS","DEFENSIV validat",IF(W955="OOS PENDING","Eligibil; calibrare linie in monitorizare","Eligibil"))))))))))</x:f>
      </x:c>
      <x:c r="AI955" s="2" t="str">
        <x:f>IF(B955="","",'Calibrare_Linii'!V17)</x:f>
      </x:c>
      <x:c r="AJ955" s="2" t="str">
        <x:f>IF(B955="","",IF(AND('Calibrare_Linii'!T17="VALIDATED",AND('Calibrare_Linii'!H17=C955,ISNUMBER('Calibrare_Linii'!J17),'Calibrare_Linii'!J17&lt;='Input_Meci'!G73)),"DEFENSIVE VALIDATED",IF(AND('Calibrare_Linii'!S17="VALIDATED",AND('Calibrare_Linii'!H17=C955,ISNUMBER('Calibrare_Linii'!J17),'Calibrare_Linii'!J17&lt;='Input_Meci'!G73)),"TAIL VALIDATED","OOS PENDING")))</x:f>
      </x:c>
      <x:c r="AK955" s="2" t="n">
        <x:f>IF(J955&lt;&gt;"PASS",0,'Motor_Meciuri'!BR73)</x:f>
        <x:v>0</x:v>
      </x:c>
      <x:c r="AL955" s="2" t="n">
        <x:f>IF(J955&lt;&gt;"PASS",0,'Motor_Meciuri'!BS73)</x:f>
        <x:v>0</x:v>
      </x:c>
      <x:c r="AM955" s="2" t="n">
        <x:f>IF(J955&lt;&gt;"PASS",0,'Motor_Meciuri'!BT73)</x:f>
        <x:v>0</x:v>
      </x:c>
      <x:c r="AN955" s="2" t="str">
        <x:f>IF(M955="","",MAX(0,'Motor_Meciuri'!BF73-IF(L955&gt;'Config_v6'!$B$12,'Config_v6'!$B$37,IF(L955&gt;'Config_v6'!$B$11,'Config_v6'!$B$36,0))))</x:f>
      </x:c>
    </x:row>
    <x:row r="956" ht="21" customHeight="1">
      <x:c r="A956" s="2" t="n">
        <x:v>68</x:v>
      </x:c>
      <x:c r="B956" s="2" t="str">
        <x:f>IF('Motor_Meciuri'!A73="","",'Motor_Meciuri'!A73)</x:f>
      </x:c>
      <x:c r="C956" s="2" t="str">
        <x:f>IF(B956="","",'Motor_Meciuri'!B73)</x:f>
      </x:c>
      <x:c r="D956" s="2" t="str">
        <x:f>IF(B956="","",'Motor_Meciuri'!D73)</x:f>
      </x:c>
      <x:c r="E956" s="2" t="str">
        <x:f>IF(B956="","",'Motor_Meciuri'!E73)</x:f>
      </x:c>
      <x:c r="F956" s="2" t="str">
        <x:v>U16,5</x:v>
      </x:c>
      <x:c r="G956" s="2" t="str">
        <x:v>UNDER</x:v>
      </x:c>
      <x:c r="H956" s="2" t="n">
        <x:v>16</x:v>
      </x:c>
      <x:c r="I956" s="2" t="str">
        <x:f>IF(B956="","",'Motor_Meciuri'!H73)</x:f>
      </x:c>
      <x:c r="J956" s="2" t="str">
        <x:f>IF(B956="","",'Motor_Meciuri'!I73)</x:f>
      </x:c>
      <x:c r="K956" s="11" t="str">
        <x:f>IF(J956&lt;&gt;"PASS","",'Motor_Meciuri'!BD73)</x:f>
      </x:c>
      <x:c r="L956" s="11" t="str">
        <x:f>IF(J956&lt;&gt;"PASS","",'Motor_Meciuri'!AU73)</x:f>
      </x:c>
      <x:c r="M956" s="10" t="str">
        <x:f>IF(NOT(AND(J956="PASS",'Calibrare_Linii'!U18="VALID")),"",'Distributie'!AN73)</x:f>
      </x:c>
      <x:c r="N956" s="10" t="str">
        <x:f>IF(M956="","",MAX(0.01,MIN(0.99,0.5+(M956-0.5)*'Motor_Meciuri'!BG73*'Calibrare_Linii'!D18)))</x:f>
      </x:c>
      <x:c r="O956" s="10" t="str">
        <x:f>IF(M956="","",1-M956)</x:f>
      </x:c>
      <x:c r="P956" s="10" t="str">
        <x:f>IF(OR(NOT(AND(J956="PASS",'Calibrare_Linii'!U18="VALID")),AK956=0),""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*('Istoric_Nativ'!$Q$6:$Q$405&gt;H956))/AK956)</x:f>
      </x:c>
      <x:c r="Q956" s="10" t="str">
        <x:f>IF(OR(NOT(AND(J956="PASS",'Calibrare_Linii'!U18="VALID")),AL956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M73)+((('Istoric_Nativ'!$E$6:$E$405='Input_Meci'!E73)+('Istoric_Nativ'!$F$6:$F$405='Input_Meci'!E73))&gt;0)*('Istoric_Nativ'!$D$6:$D$405&gt;='Motor_Meciuri'!BN73))&gt;0)*('Istoric_Nativ'!$Q$6:$Q$405&gt;H956))/AL956)</x:f>
      </x:c>
      <x:c r="R956" s="10" t="str">
        <x:f>IF(OR(NOT(AND(J956="PASS",'Calibrare_Linii'!U18="VALID")),AM956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O73)+((('Istoric_Nativ'!$E$6:$E$405='Input_Meci'!E73)+('Istoric_Nativ'!$F$6:$F$405='Input_Meci'!E73))&gt;0)*('Istoric_Nativ'!$D$6:$D$405&gt;='Motor_Meciuri'!BP73))&gt;0)*('Istoric_Nativ'!$Q$6:$Q$405&gt;H956))/AM956)</x:f>
      </x:c>
      <x:c r="S956" s="10" t="str">
        <x:f>IF(M956="","",MAX(O956,P956,Q956,R956))</x:f>
      </x:c>
      <x:c r="T956" s="11" t="str">
        <x:f>IF(M956="","",MIN(100,S956*100*'Config_v6'!$B$44+MIN(100,L956/'Config_v6'!$B$13*100)*'Config_v6'!$B$45+(100-'Motor_Meciuri'!BF73)*'Config_v6'!$B$46+'Motor_Meciuri'!BH73*100*'Config_v6'!$B$47))</x:f>
      </x:c>
      <x:c r="U956" s="2" t="str">
        <x:f>IF(T956="","",IF(T956&lt;=20,1,IF(T956&lt;=40,2,IF(T956&lt;=60,3,IF(T956&lt;=80,4,5)))))</x:f>
      </x:c>
      <x:c r="V956" s="2" t="str">
        <x:f>IF(M956="","",MAX(0,'Motor_Meciuri'!BF73-IF(W956="OOS PENDING",'Config_v6'!$B$35,0)-IF(L956&gt;'Config_v6'!$B$12,'Config_v6'!$B$37,IF(L956&gt;'Config_v6'!$B$11,'Config_v6'!$B$36,0))))</x:f>
      </x:c>
      <x:c r="W956" s="2" t="str">
        <x:f>IF(B956="","",IF(I956&lt;&gt;"READY","NOT RELEASED",IF(NOT(AND(J956="PASS",'Calibrare_Linii'!U18="VALID")),"INVALID",IF(NOT(AND('Calibrare_Linii'!S18="VALIDATED",AND('Calibrare_Linii'!H18=C956,ISNUMBER('Calibrare_Linii'!J18),'Calibrare_Linii'!J18&lt;='Input_Meci'!G73))),"OOS PENDING",IF(S956&lt;='Calibrare_Linii'!E18,"PASS",IF(S956&lt;='Calibrare_Linii'!F18,"PENALTY","WATCH"))))))</x:f>
      </x:c>
      <x:c r="X956" s="2" t="str">
        <x:f>IF(M956="","",IF(AND(AND(J956="PASS",'Calibrare_Linii'!U18="VALID"),'Motor_Meciuri'!K73=12,'Motor_Meciuri'!L73=12,'Motor_Meciuri'!M73="NO",'Motor_Meciuri'!BL73='Motor_Meciuri'!C73,AB956&gt;='Config_v6'!$B$50,AN956&gt;='Config_v6'!$B$51,T956&lt;='Config_v6'!$B$52,L956&lt;='Config_v6'!$B$53,ISNUMBER('Calibrare_Linii'!E18),S956&lt;='Calibrare_Linii'!E18,SUM(AK956:AM956)&gt;0),"CANDIDATE","NO"))</x:f>
      </x:c>
      <x:c r="Y956" s="2" t="str">
        <x:f>IF(B956="","",IF(I956&lt;&gt;"READY","NOT RELEASED",IF(AND(X956="CANDIDATE",V956&gt;='Config_v6'!$B$51,W956="PASS",'Calibrare_Linii'!T18="VALIDATED",AND('Calibrare_Linii'!H18=C956,ISNUMBER('Calibrare_Linii'!J18),'Calibrare_Linii'!J18&lt;='Input_Meci'!G73)),"PASS",IF(X956="CANDIDATE","OOS PENDING","FAIL"))))</x:f>
      </x:c>
      <x:c r="Z956" s="2" t="str">
        <x:f>IF(B956="","",IF(I956&lt;&gt;"READY","",IF(OR(NOT(AND(J956="PASS",'Calibrare_Linii'!U18="VALID")),L956&gt;'Config_v6'!$B$13,W956="WATCH"),5,IF(Y956="PASS",1,MIN(5,MAX('Config_v6'!$B$42,U956)+IF(W956="PENALTY",1,0))))))</x:f>
      </x:c>
      <x:c r="AA956" s="2" t="str">
        <x:f>IF(B956="","",IF(I956&lt;&gt;"READY","NOT RELEASED",IF(Z956=5,"NO BET",IF(OR(AB956&lt;'Config_v6'!$B$16,V956&lt;'Config_v6'!$B$18),"WATCH",IF(Z956=1,"DEFENSIV",IF(Z956=2,"PRUDENT",IF(Z956=3,"MODERAT","RIDICAT")))))))</x:f>
      </x:c>
      <x:c r="AB956" s="10" t="str">
        <x:f>IF(N956="","",MIN(N956,1-S956))</x:f>
      </x:c>
      <x:c r="AC956" s="2" t="str">
        <x:f>IF(AD956&lt;&gt;1,"",COUNTIFS($Z$944:$Z$957,"&lt;"&amp;Z956,$AD$944:$AD$957,1)+COUNTIFS($Z$944:$Z$957,Z956,$AB$944:$AB$957,"&gt;"&amp;AB956,$AD$944:$AD$957,1)+COUNTIFS($Z$944:$Z$957,Z956,$AB$944:$AB$957,AB956,$V$944:$V$957,"&gt;"&amp;V956,$AD$944:$AD$957,1)+COUNTIFS($Z$944:Z956,Z956,$AB$944:AB956,AB956,$V$944:V956,V956,$AD$944:AD956,1))</x:f>
      </x:c>
      <x:c r="AD956" s="2" t="n">
        <x:f>IF(OR(AA956="DEFENSIV",AA956="PRUDENT",AA956="MODERAT",AA956="RIDICAT"),1,0)</x:f>
        <x:v>0</x:v>
      </x:c>
      <x:c r="AE956" s="2" t="str">
        <x:f>IF(AD956&lt;&gt;1,"NO",IF(W956="PASS","YES",IF(W956="OOS PENDING","CONDITIONAL","NO")))</x:f>
        <x:v>NO</x:v>
      </x:c>
      <x:c r="AF956" s="2" t="n">
        <x:f>IF(AND(AD956=1,AC956=1,E956="LIVE"),1,0)</x:f>
        <x:v>0</x:v>
      </x:c>
      <x:c r="AG956" s="2" t="str">
        <x:f>IF(AF956&lt;&gt;1,"",'Dashboard'!P93)</x:f>
      </x:c>
      <x:c r="AH956" s="2" t="str">
        <x:f>IF(B956="","",IF(J956&lt;&gt;"PASS",'Motor_Meciuri'!J73,IF('Calibrare_Linii'!U18&lt;&gt;"VALID","Parametri linie invalizi",IF(L956&gt;'Config_v6'!$B$13,"Dispersie peste limita",IF(W956="WATCH","Failure peste limita",IF(AB956&lt;'Config_v6'!$B$16,"P finala sub prag",IF(V956&lt;'Config_v6'!$B$18,"Confidence sub prag",IF(E956="REPLAY","Exemplu retrospectiv; exclus din Top LIVE",IF(Y956="PASS","DEFENSIV validat",IF(W956="OOS PENDING","Eligibil; calibrare linie in monitorizare","Eligibil"))))))))))</x:f>
      </x:c>
      <x:c r="AI956" s="2" t="str">
        <x:f>IF(B956="","",'Calibrare_Linii'!V18)</x:f>
      </x:c>
      <x:c r="AJ956" s="2" t="str">
        <x:f>IF(B956="","",IF(AND('Calibrare_Linii'!T18="VALIDATED",AND('Calibrare_Linii'!H18=C956,ISNUMBER('Calibrare_Linii'!J18),'Calibrare_Linii'!J18&lt;='Input_Meci'!G73)),"DEFENSIVE VALIDATED",IF(AND('Calibrare_Linii'!S18="VALIDATED",AND('Calibrare_Linii'!H18=C956,ISNUMBER('Calibrare_Linii'!J18),'Calibrare_Linii'!J18&lt;='Input_Meci'!G73)),"TAIL VALIDATED","OOS PENDING")))</x:f>
      </x:c>
      <x:c r="AK956" s="2" t="n">
        <x:f>IF(J956&lt;&gt;"PASS",0,'Motor_Meciuri'!BR73)</x:f>
        <x:v>0</x:v>
      </x:c>
      <x:c r="AL956" s="2" t="n">
        <x:f>IF(J956&lt;&gt;"PASS",0,'Motor_Meciuri'!BS73)</x:f>
        <x:v>0</x:v>
      </x:c>
      <x:c r="AM956" s="2" t="n">
        <x:f>IF(J956&lt;&gt;"PASS",0,'Motor_Meciuri'!BT73)</x:f>
        <x:v>0</x:v>
      </x:c>
      <x:c r="AN956" s="2" t="str">
        <x:f>IF(M956="","",MAX(0,'Motor_Meciuri'!BF73-IF(L956&gt;'Config_v6'!$B$12,'Config_v6'!$B$37,IF(L956&gt;'Config_v6'!$B$11,'Config_v6'!$B$36,0))))</x:f>
      </x:c>
    </x:row>
    <x:row r="957" ht="21" customHeight="1">
      <x:c r="A957" s="2" t="n">
        <x:v>68</x:v>
      </x:c>
      <x:c r="B957" s="2" t="str">
        <x:f>IF('Motor_Meciuri'!A73="","",'Motor_Meciuri'!A73)</x:f>
      </x:c>
      <x:c r="C957" s="2" t="str">
        <x:f>IF(B957="","",'Motor_Meciuri'!B73)</x:f>
      </x:c>
      <x:c r="D957" s="2" t="str">
        <x:f>IF(B957="","",'Motor_Meciuri'!D73)</x:f>
      </x:c>
      <x:c r="E957" s="2" t="str">
        <x:f>IF(B957="","",'Motor_Meciuri'!E73)</x:f>
      </x:c>
      <x:c r="F957" s="2" t="str">
        <x:v>U17,5</x:v>
      </x:c>
      <x:c r="G957" s="2" t="str">
        <x:v>UNDER</x:v>
      </x:c>
      <x:c r="H957" s="2" t="n">
        <x:v>17</x:v>
      </x:c>
      <x:c r="I957" s="2" t="str">
        <x:f>IF(B957="","",'Motor_Meciuri'!H73)</x:f>
      </x:c>
      <x:c r="J957" s="2" t="str">
        <x:f>IF(B957="","",'Motor_Meciuri'!I73)</x:f>
      </x:c>
      <x:c r="K957" s="11" t="str">
        <x:f>IF(J957&lt;&gt;"PASS","",'Motor_Meciuri'!BD73)</x:f>
      </x:c>
      <x:c r="L957" s="11" t="str">
        <x:f>IF(J957&lt;&gt;"PASS","",'Motor_Meciuri'!AU73)</x:f>
      </x:c>
      <x:c r="M957" s="10" t="str">
        <x:f>IF(NOT(AND(J957="PASS",'Calibrare_Linii'!U19="VALID")),"",'Distributie'!AO73)</x:f>
      </x:c>
      <x:c r="N957" s="10" t="str">
        <x:f>IF(M957="","",MAX(0.01,MIN(0.99,0.5+(M957-0.5)*'Motor_Meciuri'!BG73*'Calibrare_Linii'!D19)))</x:f>
      </x:c>
      <x:c r="O957" s="10" t="str">
        <x:f>IF(M957="","",1-M957)</x:f>
      </x:c>
      <x:c r="P957" s="10" t="str">
        <x:f>IF(OR(NOT(AND(J957="PASS",'Calibrare_Linii'!U19="VALID")),AK957=0),""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*('Istoric_Nativ'!$Q$6:$Q$405&gt;H957))/AK957)</x:f>
      </x:c>
      <x:c r="Q957" s="10" t="str">
        <x:f>IF(OR(NOT(AND(J957="PASS",'Calibrare_Linii'!U19="VALID")),AL957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M73)+((('Istoric_Nativ'!$E$6:$E$405='Input_Meci'!E73)+('Istoric_Nativ'!$F$6:$F$405='Input_Meci'!E73))&gt;0)*('Istoric_Nativ'!$D$6:$D$405&gt;='Motor_Meciuri'!BN73))&gt;0)*('Istoric_Nativ'!$Q$6:$Q$405&gt;H957))/AL957)</x:f>
      </x:c>
      <x:c r="R957" s="10" t="str">
        <x:f>IF(OR(NOT(AND(J957="PASS",'Calibrare_Linii'!U19="VALID")),AM957=0),""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'Motor_Meciuri'!BO73)+((('Istoric_Nativ'!$E$6:$E$405='Input_Meci'!E73)+('Istoric_Nativ'!$F$6:$F$405='Input_Meci'!E73))&gt;0)*('Istoric_Nativ'!$D$6:$D$405&gt;='Motor_Meciuri'!BP73))&gt;0)*('Istoric_Nativ'!$Q$6:$Q$405&gt;H957))/AM957)</x:f>
      </x:c>
      <x:c r="S957" s="10" t="str">
        <x:f>IF(M957="","",MAX(O957,P957,Q957,R957))</x:f>
      </x:c>
      <x:c r="T957" s="11" t="str">
        <x:f>IF(M957="","",MIN(100,S957*100*'Config_v6'!$B$44+MIN(100,L957/'Config_v6'!$B$13*100)*'Config_v6'!$B$45+(100-'Motor_Meciuri'!BF73)*'Config_v6'!$B$46+'Motor_Meciuri'!BH73*100*'Config_v6'!$B$47))</x:f>
      </x:c>
      <x:c r="U957" s="2" t="str">
        <x:f>IF(T957="","",IF(T957&lt;=20,1,IF(T957&lt;=40,2,IF(T957&lt;=60,3,IF(T957&lt;=80,4,5)))))</x:f>
      </x:c>
      <x:c r="V957" s="2" t="str">
        <x:f>IF(M957="","",MAX(0,'Motor_Meciuri'!BF73-IF(W957="OOS PENDING",'Config_v6'!$B$35,0)-IF(L957&gt;'Config_v6'!$B$12,'Config_v6'!$B$37,IF(L957&gt;'Config_v6'!$B$11,'Config_v6'!$B$36,0))))</x:f>
      </x:c>
      <x:c r="W957" s="2" t="str">
        <x:f>IF(B957="","",IF(I957&lt;&gt;"READY","NOT RELEASED",IF(NOT(AND(J957="PASS",'Calibrare_Linii'!U19="VALID")),"INVALID",IF(NOT(AND('Calibrare_Linii'!S19="VALIDATED",AND('Calibrare_Linii'!H19=C957,ISNUMBER('Calibrare_Linii'!J19),'Calibrare_Linii'!J19&lt;='Input_Meci'!G73))),"OOS PENDING",IF(S957&lt;='Calibrare_Linii'!E19,"PASS",IF(S957&lt;='Calibrare_Linii'!F19,"PENALTY","WATCH"))))))</x:f>
      </x:c>
      <x:c r="X957" s="2" t="str">
        <x:f>IF(M957="","",IF(AND(AND(J957="PASS",'Calibrare_Linii'!U19="VALID"),'Motor_Meciuri'!K73=12,'Motor_Meciuri'!L73=12,'Motor_Meciuri'!M73="NO",'Motor_Meciuri'!BL73='Motor_Meciuri'!C73,AB957&gt;='Config_v6'!$B$50,AN957&gt;='Config_v6'!$B$51,T957&lt;='Config_v6'!$B$52,L957&lt;='Config_v6'!$B$53,ISNUMBER('Calibrare_Linii'!E19),S957&lt;='Calibrare_Linii'!E19,SUM(AK957:AM957)&gt;0),"CANDIDATE","NO"))</x:f>
      </x:c>
      <x:c r="Y957" s="2" t="str">
        <x:f>IF(B957="","",IF(I957&lt;&gt;"READY","NOT RELEASED",IF(AND(X957="CANDIDATE",V957&gt;='Config_v6'!$B$51,W957="PASS",'Calibrare_Linii'!T19="VALIDATED",AND('Calibrare_Linii'!H19=C957,ISNUMBER('Calibrare_Linii'!J19),'Calibrare_Linii'!J19&lt;='Input_Meci'!G73)),"PASS",IF(X957="CANDIDATE","OOS PENDING","FAIL"))))</x:f>
      </x:c>
      <x:c r="Z957" s="2" t="str">
        <x:f>IF(B957="","",IF(I957&lt;&gt;"READY","",IF(OR(NOT(AND(J957="PASS",'Calibrare_Linii'!U19="VALID")),L957&gt;'Config_v6'!$B$13,W957="WATCH"),5,IF(Y957="PASS",1,MIN(5,MAX('Config_v6'!$B$42,U957)+IF(W957="PENALTY",1,0))))))</x:f>
      </x:c>
      <x:c r="AA957" s="2" t="str">
        <x:f>IF(B957="","",IF(I957&lt;&gt;"READY","NOT RELEASED",IF(Z957=5,"NO BET",IF(OR(AB957&lt;'Config_v6'!$B$16,V957&lt;'Config_v6'!$B$18),"WATCH",IF(Z957=1,"DEFENSIV",IF(Z957=2,"PRUDENT",IF(Z957=3,"MODERAT","RIDICAT")))))))</x:f>
      </x:c>
      <x:c r="AB957" s="10" t="str">
        <x:f>IF(N957="","",MIN(N957,1-S957))</x:f>
      </x:c>
      <x:c r="AC957" s="2" t="str">
        <x:f>IF(AD957&lt;&gt;1,"",COUNTIFS($Z$944:$Z$957,"&lt;"&amp;Z957,$AD$944:$AD$957,1)+COUNTIFS($Z$944:$Z$957,Z957,$AB$944:$AB$957,"&gt;"&amp;AB957,$AD$944:$AD$957,1)+COUNTIFS($Z$944:$Z$957,Z957,$AB$944:$AB$957,AB957,$V$944:$V$957,"&gt;"&amp;V957,$AD$944:$AD$957,1)+COUNTIFS($Z$944:Z957,Z957,$AB$944:AB957,AB957,$V$944:V957,V957,$AD$944:AD957,1))</x:f>
      </x:c>
      <x:c r="AD957" s="2" t="n">
        <x:f>IF(OR(AA957="DEFENSIV",AA957="PRUDENT",AA957="MODERAT",AA957="RIDICAT"),1,0)</x:f>
        <x:v>0</x:v>
      </x:c>
      <x:c r="AE957" s="2" t="str">
        <x:f>IF(AD957&lt;&gt;1,"NO",IF(W957="PASS","YES",IF(W957="OOS PENDING","CONDITIONAL","NO")))</x:f>
        <x:v>NO</x:v>
      </x:c>
      <x:c r="AF957" s="2" t="n">
        <x:f>IF(AND(AD957=1,AC957=1,E957="LIVE"),1,0)</x:f>
        <x:v>0</x:v>
      </x:c>
      <x:c r="AG957" s="2" t="str">
        <x:f>IF(AF957&lt;&gt;1,"",'Dashboard'!P93)</x:f>
      </x:c>
      <x:c r="AH957" s="2" t="str">
        <x:f>IF(B957="","",IF(J957&lt;&gt;"PASS",'Motor_Meciuri'!J73,IF('Calibrare_Linii'!U19&lt;&gt;"VALID","Parametri linie invalizi",IF(L957&gt;'Config_v6'!$B$13,"Dispersie peste limita",IF(W957="WATCH","Failure peste limita",IF(AB957&lt;'Config_v6'!$B$16,"P finala sub prag",IF(V957&lt;'Config_v6'!$B$18,"Confidence sub prag",IF(E957="REPLAY","Exemplu retrospectiv; exclus din Top LIVE",IF(Y957="PASS","DEFENSIV validat",IF(W957="OOS PENDING","Eligibil; calibrare linie in monitorizare","Eligibil"))))))))))</x:f>
      </x:c>
      <x:c r="AI957" s="2" t="str">
        <x:f>IF(B957="","",'Calibrare_Linii'!V19)</x:f>
      </x:c>
      <x:c r="AJ957" s="2" t="str">
        <x:f>IF(B957="","",IF(AND('Calibrare_Linii'!T19="VALIDATED",AND('Calibrare_Linii'!H19=C957,ISNUMBER('Calibrare_Linii'!J19),'Calibrare_Linii'!J19&lt;='Input_Meci'!G73)),"DEFENSIVE VALIDATED",IF(AND('Calibrare_Linii'!S19="VALIDATED",AND('Calibrare_Linii'!H19=C957,ISNUMBER('Calibrare_Linii'!J19),'Calibrare_Linii'!J19&lt;='Input_Meci'!G73)),"TAIL VALIDATED","OOS PENDING")))</x:f>
      </x:c>
      <x:c r="AK957" s="2" t="n">
        <x:f>IF(J957&lt;&gt;"PASS",0,'Motor_Meciuri'!BR73)</x:f>
        <x:v>0</x:v>
      </x:c>
      <x:c r="AL957" s="2" t="n">
        <x:f>IF(J957&lt;&gt;"PASS",0,'Motor_Meciuri'!BS73)</x:f>
        <x:v>0</x:v>
      </x:c>
      <x:c r="AM957" s="2" t="n">
        <x:f>IF(J957&lt;&gt;"PASS",0,'Motor_Meciuri'!BT73)</x:f>
        <x:v>0</x:v>
      </x:c>
      <x:c r="AN957" s="2" t="str">
        <x:f>IF(M957="","",MAX(0,'Motor_Meciuri'!BF73-IF(L957&gt;'Config_v6'!$B$12,'Config_v6'!$B$37,IF(L957&gt;'Config_v6'!$B$11,'Config_v6'!$B$36,0))))</x:f>
      </x:c>
    </x:row>
    <x:row r="958" ht="21" customHeight="1">
      <x:c r="A958" s="2" t="n">
        <x:v>69</x:v>
      </x:c>
      <x:c r="B958" s="2" t="str">
        <x:f>IF('Motor_Meciuri'!A74="","",'Motor_Meciuri'!A74)</x:f>
      </x:c>
      <x:c r="C958" s="2" t="str">
        <x:f>IF(B958="","",'Motor_Meciuri'!B74)</x:f>
      </x:c>
      <x:c r="D958" s="2" t="str">
        <x:f>IF(B958="","",'Motor_Meciuri'!D74)</x:f>
      </x:c>
      <x:c r="E958" s="2" t="str">
        <x:f>IF(B958="","",'Motor_Meciuri'!E74)</x:f>
      </x:c>
      <x:c r="F958" s="2" t="str">
        <x:v>O3,5</x:v>
      </x:c>
      <x:c r="G958" s="2" t="str">
        <x:v>OVER</x:v>
      </x:c>
      <x:c r="H958" s="2" t="n">
        <x:v>3</x:v>
      </x:c>
      <x:c r="I958" s="2" t="str">
        <x:f>IF(B958="","",'Motor_Meciuri'!H74)</x:f>
      </x:c>
      <x:c r="J958" s="2" t="str">
        <x:f>IF(B958="","",'Motor_Meciuri'!I74)</x:f>
      </x:c>
      <x:c r="K958" s="11" t="str">
        <x:f>IF(J958&lt;&gt;"PASS","",'Motor_Meciuri'!BD74)</x:f>
      </x:c>
      <x:c r="L958" s="11" t="str">
        <x:f>IF(J958&lt;&gt;"PASS","",'Motor_Meciuri'!AU74)</x:f>
      </x:c>
      <x:c r="M958" s="10" t="str">
        <x:f>IF(NOT(AND(J958="PASS",'Calibrare_Linii'!U6="VALID")),"",1-'Distributie'!AA74)</x:f>
      </x:c>
      <x:c r="N958" s="10" t="str">
        <x:f>IF(M958="","",MAX(0.01,MIN(0.99,0.5+(M958-0.5)*'Motor_Meciuri'!BG74*'Calibrare_Linii'!D6)))</x:f>
      </x:c>
      <x:c r="O958" s="10" t="str">
        <x:f>IF(M958="","",1-M958)</x:f>
      </x:c>
      <x:c r="P958" s="10" t="str">
        <x:f>IF(OR(NOT(AND(J958="PASS",'Calibrare_Linii'!U6="VALID")),AK958=0),""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*('Istoric_Nativ'!$Q$6:$Q$405&lt;=H958))/AK958)</x:f>
      </x:c>
      <x:c r="Q958" s="10" t="str">
        <x:f>IF(OR(NOT(AND(J958="PASS",'Calibrare_Linii'!U6="VALID")),AL958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M74)+((('Istoric_Nativ'!$E$6:$E$405='Input_Meci'!E74)+('Istoric_Nativ'!$F$6:$F$405='Input_Meci'!E74))&gt;0)*('Istoric_Nativ'!$D$6:$D$405&gt;='Motor_Meciuri'!BN74))&gt;0)*('Istoric_Nativ'!$Q$6:$Q$405&lt;=H958))/AL958)</x:f>
      </x:c>
      <x:c r="R958" s="10" t="str">
        <x:f>IF(OR(NOT(AND(J958="PASS",'Calibrare_Linii'!U6="VALID")),AM958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O74)+((('Istoric_Nativ'!$E$6:$E$405='Input_Meci'!E74)+('Istoric_Nativ'!$F$6:$F$405='Input_Meci'!E74))&gt;0)*('Istoric_Nativ'!$D$6:$D$405&gt;='Motor_Meciuri'!BP74))&gt;0)*('Istoric_Nativ'!$Q$6:$Q$405&lt;=H958))/AM958)</x:f>
      </x:c>
      <x:c r="S958" s="10" t="str">
        <x:f>IF(M958="","",MAX(O958,P958,Q958,R958))</x:f>
      </x:c>
      <x:c r="T958" s="11" t="str">
        <x:f>IF(M958="","",MIN(100,S958*100*'Config_v6'!$B$44+MIN(100,L958/'Config_v6'!$B$13*100)*'Config_v6'!$B$45+(100-'Motor_Meciuri'!BF74)*'Config_v6'!$B$46+'Motor_Meciuri'!BH74*100*'Config_v6'!$B$47))</x:f>
      </x:c>
      <x:c r="U958" s="2" t="str">
        <x:f>IF(T958="","",IF(T958&lt;=20,1,IF(T958&lt;=40,2,IF(T958&lt;=60,3,IF(T958&lt;=80,4,5)))))</x:f>
      </x:c>
      <x:c r="V958" s="2" t="str">
        <x:f>IF(M958="","",MAX(0,'Motor_Meciuri'!BF74-IF(W958="OOS PENDING",'Config_v6'!$B$35,0)-IF(L958&gt;'Config_v6'!$B$12,'Config_v6'!$B$37,IF(L958&gt;'Config_v6'!$B$11,'Config_v6'!$B$36,0))))</x:f>
      </x:c>
      <x:c r="W958" s="2" t="str">
        <x:f>IF(B958="","",IF(I958&lt;&gt;"READY","NOT RELEASED",IF(NOT(AND(J958="PASS",'Calibrare_Linii'!U6="VALID")),"INVALID",IF(NOT(TRUE),"OOS PENDING",IF(S958&lt;=IF(AND('Calibrare_Linii'!S6="VALIDATED",AND('Calibrare_Linii'!H6=C958,ISNUMBER('Calibrare_Linii'!J6),'Calibrare_Linii'!J6&lt;='Input_Meci'!G74)),'Calibrare_Linii'!E6,'Config_v6'!$B$26),"PASS",IF(S958&lt;=IF(AND('Calibrare_Linii'!S6="VALIDATED",AND('Calibrare_Linii'!H6=C958,ISNUMBER('Calibrare_Linii'!J6),'Calibrare_Linii'!J6&lt;='Input_Meci'!G74)),'Calibrare_Linii'!F6,'Config_v6'!$C$26),"PENALTY","WATCH"))))))</x:f>
      </x:c>
      <x:c r="X958" s="2" t="str">
        <x:f>IF(M958="","",IF(AND(AND(J958="PASS",'Calibrare_Linii'!U6="VALID"),'Motor_Meciuri'!K74=12,'Motor_Meciuri'!L74=12,'Motor_Meciuri'!M74="NO",'Motor_Meciuri'!BL74='Motor_Meciuri'!C74,AB958&gt;='Config_v6'!$B$50,AN958&gt;='Config_v6'!$B$51,T958&lt;='Config_v6'!$B$52,L958&lt;='Config_v6'!$B$53,ISNUMBER('Calibrare_Linii'!E6),S958&lt;='Calibrare_Linii'!E6,SUM(AK958:AM958)&gt;0),"CANDIDATE","NO"))</x:f>
      </x:c>
      <x:c r="Y958" s="2" t="str">
        <x:f>IF(B958="","",IF(I958&lt;&gt;"READY","NOT RELEASED",IF(AND(X958="CANDIDATE",V958&gt;='Config_v6'!$B$51,W958="PASS",'Calibrare_Linii'!T6="VALIDATED",AND('Calibrare_Linii'!H6=C958,ISNUMBER('Calibrare_Linii'!J6),'Calibrare_Linii'!J6&lt;='Input_Meci'!G74)),"PASS",IF(X958="CANDIDATE","OOS PENDING","FAIL"))))</x:f>
      </x:c>
      <x:c r="Z958" s="2" t="str">
        <x:f>IF(B958="","",IF(I958&lt;&gt;"READY","",IF(OR(NOT(AND(J958="PASS",'Calibrare_Linii'!U6="VALID")),L958&gt;'Config_v6'!$B$13,W958="WATCH"),5,IF(Y958="PASS",1,MIN(5,MAX('Config_v6'!$B$42,U958)+IF(W958="PENALTY",1,0))))))</x:f>
      </x:c>
      <x:c r="AA958" s="2" t="str">
        <x:f>IF(B958="","",IF(I958&lt;&gt;"READY","NOT RELEASED",IF(Z958=5,"NO BET",IF(OR(AB958&lt;'Config_v6'!$B$16,V958&lt;'Config_v6'!$B$18),"WATCH",IF(Z958=1,"DEFENSIV",IF(Z958=2,"PRUDENT",IF(Z958=3,"MODERAT","RIDICAT")))))))</x:f>
      </x:c>
      <x:c r="AB958" s="10" t="str">
        <x:f>IF(N958="","",MIN(N958,1-S958))</x:f>
      </x:c>
      <x:c r="AC958" s="2" t="str">
        <x:f>IF(AD958&lt;&gt;1,"",COUNTIFS($Z$958:$Z$971,"&lt;"&amp;Z958,$AD$958:$AD$971,1)+COUNTIFS($Z$958:$Z$971,Z958,$AB$958:$AB$971,"&gt;"&amp;AB958,$AD$958:$AD$971,1)+COUNTIFS($Z$958:$Z$971,Z958,$AB$958:$AB$971,AB958,$V$958:$V$971,"&gt;"&amp;V958,$AD$958:$AD$971,1)+COUNTIFS($Z$958:Z958,Z958,$AB$958:AB958,AB958,$V$958:V958,V958,$AD$958:AD958,1))</x:f>
      </x:c>
      <x:c r="AD958" s="2" t="n">
        <x:f>IF(OR(AA958="DEFENSIV",AA958="PRUDENT",AA958="MODERAT",AA958="RIDICAT"),1,0)</x:f>
        <x:v>0</x:v>
      </x:c>
      <x:c r="AE958" s="2" t="str">
        <x:f>IF(AD958&lt;&gt;1,"NO",IF(W958="PASS","YES",IF(W958="OOS PENDING","CONDITIONAL","NO")))</x:f>
        <x:v>NO</x:v>
      </x:c>
      <x:c r="AF958" s="2" t="n">
        <x:f>IF(AND(AD958=1,AC958=1,E958="LIVE"),1,0)</x:f>
        <x:v>0</x:v>
      </x:c>
      <x:c r="AG958" s="2" t="str">
        <x:f>IF(AF958&lt;&gt;1,"",'Dashboard'!P94)</x:f>
      </x:c>
      <x:c r="AH958" s="2" t="str">
        <x:f>IF(B958="","",IF(J958&lt;&gt;"PASS",'Motor_Meciuri'!J74,IF('Calibrare_Linii'!U6&lt;&gt;"VALID","Parametri linie invalizi",IF(L958&gt;'Config_v6'!$B$13,"Dispersie peste limita",IF(W958="WATCH","Failure peste limita",IF(AB958&lt;'Config_v6'!$B$16,"P finala sub prag",IF(V958&lt;'Config_v6'!$B$18,"Confidence sub prag",IF(E958="REPLAY","Exemplu retrospectiv; exclus din Top LIVE",IF(Y958="PASS","DEFENSIV validat",IF(W958="OOS PENDING","Eligibil; calibrare linie in monitorizare","Eligibil"))))))))))</x:f>
      </x:c>
      <x:c r="AI958" s="2" t="str">
        <x:f>IF(B958="","",'Calibrare_Linii'!V6)</x:f>
      </x:c>
      <x:c r="AJ958" s="2" t="str">
        <x:f>IF(B958="","",IF(AND('Calibrare_Linii'!T6="VALIDATED",AND('Calibrare_Linii'!H6=C958,ISNUMBER('Calibrare_Linii'!J6),'Calibrare_Linii'!J6&lt;='Input_Meci'!G74)),"DEFENSIVE VALIDATED",IF(AND('Calibrare_Linii'!S6="VALIDATED",AND('Calibrare_Linii'!H6=C958,ISNUMBER('Calibrare_Linii'!J6),'Calibrare_Linii'!J6&lt;='Input_Meci'!G74)),"TAIL VALIDATED","OOS PENDING")))</x:f>
      </x:c>
      <x:c r="AK958" s="2" t="n">
        <x:f>IF(J958&lt;&gt;"PASS",0,'Motor_Meciuri'!BR74)</x:f>
        <x:v>0</x:v>
      </x:c>
      <x:c r="AL958" s="2" t="n">
        <x:f>IF(J958&lt;&gt;"PASS",0,'Motor_Meciuri'!BS74)</x:f>
        <x:v>0</x:v>
      </x:c>
      <x:c r="AM958" s="2" t="n">
        <x:f>IF(J958&lt;&gt;"PASS",0,'Motor_Meciuri'!BT74)</x:f>
        <x:v>0</x:v>
      </x:c>
      <x:c r="AN958" s="2" t="str">
        <x:f>IF(M958="","",MAX(0,'Motor_Meciuri'!BF74-IF(L958&gt;'Config_v6'!$B$12,'Config_v6'!$B$37,IF(L958&gt;'Config_v6'!$B$11,'Config_v6'!$B$36,0))))</x:f>
      </x:c>
    </x:row>
    <x:row r="959" ht="21" customHeight="1">
      <x:c r="A959" s="2" t="n">
        <x:v>69</x:v>
      </x:c>
      <x:c r="B959" s="2" t="str">
        <x:f>IF('Motor_Meciuri'!A74="","",'Motor_Meciuri'!A74)</x:f>
      </x:c>
      <x:c r="C959" s="2" t="str">
        <x:f>IF(B959="","",'Motor_Meciuri'!B74)</x:f>
      </x:c>
      <x:c r="D959" s="2" t="str">
        <x:f>IF(B959="","",'Motor_Meciuri'!D74)</x:f>
      </x:c>
      <x:c r="E959" s="2" t="str">
        <x:f>IF(B959="","",'Motor_Meciuri'!E74)</x:f>
      </x:c>
      <x:c r="F959" s="2" t="str">
        <x:v>O4,5</x:v>
      </x:c>
      <x:c r="G959" s="2" t="str">
        <x:v>OVER</x:v>
      </x:c>
      <x:c r="H959" s="2" t="n">
        <x:v>4</x:v>
      </x:c>
      <x:c r="I959" s="2" t="str">
        <x:f>IF(B959="","",'Motor_Meciuri'!H74)</x:f>
      </x:c>
      <x:c r="J959" s="2" t="str">
        <x:f>IF(B959="","",'Motor_Meciuri'!I74)</x:f>
      </x:c>
      <x:c r="K959" s="11" t="str">
        <x:f>IF(J959&lt;&gt;"PASS","",'Motor_Meciuri'!BD74)</x:f>
      </x:c>
      <x:c r="L959" s="11" t="str">
        <x:f>IF(J959&lt;&gt;"PASS","",'Motor_Meciuri'!AU74)</x:f>
      </x:c>
      <x:c r="M959" s="10" t="str">
        <x:f>IF(NOT(AND(J959="PASS",'Calibrare_Linii'!U7="VALID")),"",1-'Distributie'!AB74)</x:f>
      </x:c>
      <x:c r="N959" s="10" t="str">
        <x:f>IF(M959="","",MAX(0.01,MIN(0.99,0.5+(M959-0.5)*'Motor_Meciuri'!BG74*'Calibrare_Linii'!D7)))</x:f>
      </x:c>
      <x:c r="O959" s="10" t="str">
        <x:f>IF(M959="","",1-M959)</x:f>
      </x:c>
      <x:c r="P959" s="10" t="str">
        <x:f>IF(OR(NOT(AND(J959="PASS",'Calibrare_Linii'!U7="VALID")),AK959=0),""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*('Istoric_Nativ'!$Q$6:$Q$405&lt;=H959))/AK959)</x:f>
      </x:c>
      <x:c r="Q959" s="10" t="str">
        <x:f>IF(OR(NOT(AND(J959="PASS",'Calibrare_Linii'!U7="VALID")),AL959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M74)+((('Istoric_Nativ'!$E$6:$E$405='Input_Meci'!E74)+('Istoric_Nativ'!$F$6:$F$405='Input_Meci'!E74))&gt;0)*('Istoric_Nativ'!$D$6:$D$405&gt;='Motor_Meciuri'!BN74))&gt;0)*('Istoric_Nativ'!$Q$6:$Q$405&lt;=H959))/AL959)</x:f>
      </x:c>
      <x:c r="R959" s="10" t="str">
        <x:f>IF(OR(NOT(AND(J959="PASS",'Calibrare_Linii'!U7="VALID")),AM959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O74)+((('Istoric_Nativ'!$E$6:$E$405='Input_Meci'!E74)+('Istoric_Nativ'!$F$6:$F$405='Input_Meci'!E74))&gt;0)*('Istoric_Nativ'!$D$6:$D$405&gt;='Motor_Meciuri'!BP74))&gt;0)*('Istoric_Nativ'!$Q$6:$Q$405&lt;=H959))/AM959)</x:f>
      </x:c>
      <x:c r="S959" s="10" t="str">
        <x:f>IF(M959="","",MAX(O959,P959,Q959,R959))</x:f>
      </x:c>
      <x:c r="T959" s="11" t="str">
        <x:f>IF(M959="","",MIN(100,S959*100*'Config_v6'!$B$44+MIN(100,L959/'Config_v6'!$B$13*100)*'Config_v6'!$B$45+(100-'Motor_Meciuri'!BF74)*'Config_v6'!$B$46+'Motor_Meciuri'!BH74*100*'Config_v6'!$B$47))</x:f>
      </x:c>
      <x:c r="U959" s="2" t="str">
        <x:f>IF(T959="","",IF(T959&lt;=20,1,IF(T959&lt;=40,2,IF(T959&lt;=60,3,IF(T959&lt;=80,4,5)))))</x:f>
      </x:c>
      <x:c r="V959" s="2" t="str">
        <x:f>IF(M959="","",MAX(0,'Motor_Meciuri'!BF74-IF(W959="OOS PENDING",'Config_v6'!$B$35,0)-IF(L959&gt;'Config_v6'!$B$12,'Config_v6'!$B$37,IF(L959&gt;'Config_v6'!$B$11,'Config_v6'!$B$36,0))))</x:f>
      </x:c>
      <x:c r="W959" s="2" t="str">
        <x:f>IF(B959="","",IF(I959&lt;&gt;"READY","NOT RELEASED",IF(NOT(AND(J959="PASS",'Calibrare_Linii'!U7="VALID")),"INVALID",IF(NOT(AND('Calibrare_Linii'!S7="VALIDATED",AND('Calibrare_Linii'!H7=C959,ISNUMBER('Calibrare_Linii'!J7),'Calibrare_Linii'!J7&lt;='Input_Meci'!G74))),"OOS PENDING",IF(S959&lt;='Calibrare_Linii'!E7,"PASS",IF(S959&lt;='Calibrare_Linii'!F7,"PENALTY","WATCH"))))))</x:f>
      </x:c>
      <x:c r="X959" s="2" t="str">
        <x:f>IF(M959="","",IF(AND(AND(J959="PASS",'Calibrare_Linii'!U7="VALID"),'Motor_Meciuri'!K74=12,'Motor_Meciuri'!L74=12,'Motor_Meciuri'!M74="NO",'Motor_Meciuri'!BL74='Motor_Meciuri'!C74,AB959&gt;='Config_v6'!$B$50,AN959&gt;='Config_v6'!$B$51,T959&lt;='Config_v6'!$B$52,L959&lt;='Config_v6'!$B$53,ISNUMBER('Calibrare_Linii'!E7),S959&lt;='Calibrare_Linii'!E7,SUM(AK959:AM959)&gt;0),"CANDIDATE","NO"))</x:f>
      </x:c>
      <x:c r="Y959" s="2" t="str">
        <x:f>IF(B959="","",IF(I959&lt;&gt;"READY","NOT RELEASED",IF(AND(X959="CANDIDATE",V959&gt;='Config_v6'!$B$51,W959="PASS",'Calibrare_Linii'!T7="VALIDATED",AND('Calibrare_Linii'!H7=C959,ISNUMBER('Calibrare_Linii'!J7),'Calibrare_Linii'!J7&lt;='Input_Meci'!G74)),"PASS",IF(X959="CANDIDATE","OOS PENDING","FAIL"))))</x:f>
      </x:c>
      <x:c r="Z959" s="2" t="str">
        <x:f>IF(B959="","",IF(I959&lt;&gt;"READY","",IF(OR(NOT(AND(J959="PASS",'Calibrare_Linii'!U7="VALID")),L959&gt;'Config_v6'!$B$13,W959="WATCH"),5,IF(Y959="PASS",1,MIN(5,MAX('Config_v6'!$B$42,U959)+IF(W959="PENALTY",1,0))))))</x:f>
      </x:c>
      <x:c r="AA959" s="2" t="str">
        <x:f>IF(B959="","",IF(I959&lt;&gt;"READY","NOT RELEASED",IF(Z959=5,"NO BET",IF(OR(AB959&lt;'Config_v6'!$B$16,V959&lt;'Config_v6'!$B$18),"WATCH",IF(Z959=1,"DEFENSIV",IF(Z959=2,"PRUDENT",IF(Z959=3,"MODERAT","RIDICAT")))))))</x:f>
      </x:c>
      <x:c r="AB959" s="10" t="str">
        <x:f>IF(N959="","",MIN(N959,1-S959))</x:f>
      </x:c>
      <x:c r="AC959" s="2" t="str">
        <x:f>IF(AD959&lt;&gt;1,"",COUNTIFS($Z$958:$Z$971,"&lt;"&amp;Z959,$AD$958:$AD$971,1)+COUNTIFS($Z$958:$Z$971,Z959,$AB$958:$AB$971,"&gt;"&amp;AB959,$AD$958:$AD$971,1)+COUNTIFS($Z$958:$Z$971,Z959,$AB$958:$AB$971,AB959,$V$958:$V$971,"&gt;"&amp;V959,$AD$958:$AD$971,1)+COUNTIFS($Z$958:Z959,Z959,$AB$958:AB959,AB959,$V$958:V959,V959,$AD$958:AD959,1))</x:f>
      </x:c>
      <x:c r="AD959" s="2" t="n">
        <x:f>IF(OR(AA959="DEFENSIV",AA959="PRUDENT",AA959="MODERAT",AA959="RIDICAT"),1,0)</x:f>
        <x:v>0</x:v>
      </x:c>
      <x:c r="AE959" s="2" t="str">
        <x:f>IF(AD959&lt;&gt;1,"NO",IF(W959="PASS","YES",IF(W959="OOS PENDING","CONDITIONAL","NO")))</x:f>
        <x:v>NO</x:v>
      </x:c>
      <x:c r="AF959" s="2" t="n">
        <x:f>IF(AND(AD959=1,AC959=1,E959="LIVE"),1,0)</x:f>
        <x:v>0</x:v>
      </x:c>
      <x:c r="AG959" s="2" t="str">
        <x:f>IF(AF959&lt;&gt;1,"",'Dashboard'!P94)</x:f>
      </x:c>
      <x:c r="AH959" s="2" t="str">
        <x:f>IF(B959="","",IF(J959&lt;&gt;"PASS",'Motor_Meciuri'!J74,IF('Calibrare_Linii'!U7&lt;&gt;"VALID","Parametri linie invalizi",IF(L959&gt;'Config_v6'!$B$13,"Dispersie peste limita",IF(W959="WATCH","Failure peste limita",IF(AB959&lt;'Config_v6'!$B$16,"P finala sub prag",IF(V959&lt;'Config_v6'!$B$18,"Confidence sub prag",IF(E959="REPLAY","Exemplu retrospectiv; exclus din Top LIVE",IF(Y959="PASS","DEFENSIV validat",IF(W959="OOS PENDING","Eligibil; calibrare linie in monitorizare","Eligibil"))))))))))</x:f>
      </x:c>
      <x:c r="AI959" s="2" t="str">
        <x:f>IF(B959="","",'Calibrare_Linii'!V7)</x:f>
      </x:c>
      <x:c r="AJ959" s="2" t="str">
        <x:f>IF(B959="","",IF(AND('Calibrare_Linii'!T7="VALIDATED",AND('Calibrare_Linii'!H7=C959,ISNUMBER('Calibrare_Linii'!J7),'Calibrare_Linii'!J7&lt;='Input_Meci'!G74)),"DEFENSIVE VALIDATED",IF(AND('Calibrare_Linii'!S7="VALIDATED",AND('Calibrare_Linii'!H7=C959,ISNUMBER('Calibrare_Linii'!J7),'Calibrare_Linii'!J7&lt;='Input_Meci'!G74)),"TAIL VALIDATED","OOS PENDING")))</x:f>
      </x:c>
      <x:c r="AK959" s="2" t="n">
        <x:f>IF(J959&lt;&gt;"PASS",0,'Motor_Meciuri'!BR74)</x:f>
        <x:v>0</x:v>
      </x:c>
      <x:c r="AL959" s="2" t="n">
        <x:f>IF(J959&lt;&gt;"PASS",0,'Motor_Meciuri'!BS74)</x:f>
        <x:v>0</x:v>
      </x:c>
      <x:c r="AM959" s="2" t="n">
        <x:f>IF(J959&lt;&gt;"PASS",0,'Motor_Meciuri'!BT74)</x:f>
        <x:v>0</x:v>
      </x:c>
      <x:c r="AN959" s="2" t="str">
        <x:f>IF(M959="","",MAX(0,'Motor_Meciuri'!BF74-IF(L959&gt;'Config_v6'!$B$12,'Config_v6'!$B$37,IF(L959&gt;'Config_v6'!$B$11,'Config_v6'!$B$36,0))))</x:f>
      </x:c>
    </x:row>
    <x:row r="960" ht="21" customHeight="1">
      <x:c r="A960" s="2" t="n">
        <x:v>69</x:v>
      </x:c>
      <x:c r="B960" s="2" t="str">
        <x:f>IF('Motor_Meciuri'!A74="","",'Motor_Meciuri'!A74)</x:f>
      </x:c>
      <x:c r="C960" s="2" t="str">
        <x:f>IF(B960="","",'Motor_Meciuri'!B74)</x:f>
      </x:c>
      <x:c r="D960" s="2" t="str">
        <x:f>IF(B960="","",'Motor_Meciuri'!D74)</x:f>
      </x:c>
      <x:c r="E960" s="2" t="str">
        <x:f>IF(B960="","",'Motor_Meciuri'!E74)</x:f>
      </x:c>
      <x:c r="F960" s="2" t="str">
        <x:v>O5,5</x:v>
      </x:c>
      <x:c r="G960" s="2" t="str">
        <x:v>OVER</x:v>
      </x:c>
      <x:c r="H960" s="2" t="n">
        <x:v>5</x:v>
      </x:c>
      <x:c r="I960" s="2" t="str">
        <x:f>IF(B960="","",'Motor_Meciuri'!H74)</x:f>
      </x:c>
      <x:c r="J960" s="2" t="str">
        <x:f>IF(B960="","",'Motor_Meciuri'!I74)</x:f>
      </x:c>
      <x:c r="K960" s="11" t="str">
        <x:f>IF(J960&lt;&gt;"PASS","",'Motor_Meciuri'!BD74)</x:f>
      </x:c>
      <x:c r="L960" s="11" t="str">
        <x:f>IF(J960&lt;&gt;"PASS","",'Motor_Meciuri'!AU74)</x:f>
      </x:c>
      <x:c r="M960" s="10" t="str">
        <x:f>IF(NOT(AND(J960="PASS",'Calibrare_Linii'!U8="VALID")),"",1-'Distributie'!AC74)</x:f>
      </x:c>
      <x:c r="N960" s="10" t="str">
        <x:f>IF(M960="","",MAX(0.01,MIN(0.99,0.5+(M960-0.5)*'Motor_Meciuri'!BG74*'Calibrare_Linii'!D8)))</x:f>
      </x:c>
      <x:c r="O960" s="10" t="str">
        <x:f>IF(M960="","",1-M960)</x:f>
      </x:c>
      <x:c r="P960" s="10" t="str">
        <x:f>IF(OR(NOT(AND(J960="PASS",'Calibrare_Linii'!U8="VALID")),AK960=0),""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*('Istoric_Nativ'!$Q$6:$Q$405&lt;=H960))/AK960)</x:f>
      </x:c>
      <x:c r="Q960" s="10" t="str">
        <x:f>IF(OR(NOT(AND(J960="PASS",'Calibrare_Linii'!U8="VALID")),AL960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M74)+((('Istoric_Nativ'!$E$6:$E$405='Input_Meci'!E74)+('Istoric_Nativ'!$F$6:$F$405='Input_Meci'!E74))&gt;0)*('Istoric_Nativ'!$D$6:$D$405&gt;='Motor_Meciuri'!BN74))&gt;0)*('Istoric_Nativ'!$Q$6:$Q$405&lt;=H960))/AL960)</x:f>
      </x:c>
      <x:c r="R960" s="10" t="str">
        <x:f>IF(OR(NOT(AND(J960="PASS",'Calibrare_Linii'!U8="VALID")),AM960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O74)+((('Istoric_Nativ'!$E$6:$E$405='Input_Meci'!E74)+('Istoric_Nativ'!$F$6:$F$405='Input_Meci'!E74))&gt;0)*('Istoric_Nativ'!$D$6:$D$405&gt;='Motor_Meciuri'!BP74))&gt;0)*('Istoric_Nativ'!$Q$6:$Q$405&lt;=H960))/AM960)</x:f>
      </x:c>
      <x:c r="S960" s="10" t="str">
        <x:f>IF(M960="","",MAX(O960,P960,Q960,R960))</x:f>
      </x:c>
      <x:c r="T960" s="11" t="str">
        <x:f>IF(M960="","",MIN(100,S960*100*'Config_v6'!$B$44+MIN(100,L960/'Config_v6'!$B$13*100)*'Config_v6'!$B$45+(100-'Motor_Meciuri'!BF74)*'Config_v6'!$B$46+'Motor_Meciuri'!BH74*100*'Config_v6'!$B$47))</x:f>
      </x:c>
      <x:c r="U960" s="2" t="str">
        <x:f>IF(T960="","",IF(T960&lt;=20,1,IF(T960&lt;=40,2,IF(T960&lt;=60,3,IF(T960&lt;=80,4,5)))))</x:f>
      </x:c>
      <x:c r="V960" s="2" t="str">
        <x:f>IF(M960="","",MAX(0,'Motor_Meciuri'!BF74-IF(W960="OOS PENDING",'Config_v6'!$B$35,0)-IF(L960&gt;'Config_v6'!$B$12,'Config_v6'!$B$37,IF(L960&gt;'Config_v6'!$B$11,'Config_v6'!$B$36,0))))</x:f>
      </x:c>
      <x:c r="W960" s="2" t="str">
        <x:f>IF(B960="","",IF(I960&lt;&gt;"READY","NOT RELEASED",IF(NOT(AND(J960="PASS",'Calibrare_Linii'!U8="VALID")),"INVALID",IF(NOT(AND('Calibrare_Linii'!S8="VALIDATED",AND('Calibrare_Linii'!H8=C960,ISNUMBER('Calibrare_Linii'!J8),'Calibrare_Linii'!J8&lt;='Input_Meci'!G74))),"OOS PENDING",IF(S960&lt;='Calibrare_Linii'!E8,"PASS",IF(S960&lt;='Calibrare_Linii'!F8,"PENALTY","WATCH"))))))</x:f>
      </x:c>
      <x:c r="X960" s="2" t="str">
        <x:f>IF(M960="","",IF(AND(AND(J960="PASS",'Calibrare_Linii'!U8="VALID"),'Motor_Meciuri'!K74=12,'Motor_Meciuri'!L74=12,'Motor_Meciuri'!M74="NO",'Motor_Meciuri'!BL74='Motor_Meciuri'!C74,AB960&gt;='Config_v6'!$B$50,AN960&gt;='Config_v6'!$B$51,T960&lt;='Config_v6'!$B$52,L960&lt;='Config_v6'!$B$53,ISNUMBER('Calibrare_Linii'!E8),S960&lt;='Calibrare_Linii'!E8,SUM(AK960:AM960)&gt;0),"CANDIDATE","NO"))</x:f>
      </x:c>
      <x:c r="Y960" s="2" t="str">
        <x:f>IF(B960="","",IF(I960&lt;&gt;"READY","NOT RELEASED",IF(AND(X960="CANDIDATE",V960&gt;='Config_v6'!$B$51,W960="PASS",'Calibrare_Linii'!T8="VALIDATED",AND('Calibrare_Linii'!H8=C960,ISNUMBER('Calibrare_Linii'!J8),'Calibrare_Linii'!J8&lt;='Input_Meci'!G74)),"PASS",IF(X960="CANDIDATE","OOS PENDING","FAIL"))))</x:f>
      </x:c>
      <x:c r="Z960" s="2" t="str">
        <x:f>IF(B960="","",IF(I960&lt;&gt;"READY","",IF(OR(NOT(AND(J960="PASS",'Calibrare_Linii'!U8="VALID")),L960&gt;'Config_v6'!$B$13,W960="WATCH"),5,IF(Y960="PASS",1,MIN(5,MAX('Config_v6'!$B$42,U960)+IF(W960="PENALTY",1,0))))))</x:f>
      </x:c>
      <x:c r="AA960" s="2" t="str">
        <x:f>IF(B960="","",IF(I960&lt;&gt;"READY","NOT RELEASED",IF(Z960=5,"NO BET",IF(OR(AB960&lt;'Config_v6'!$B$16,V960&lt;'Config_v6'!$B$18),"WATCH",IF(Z960=1,"DEFENSIV",IF(Z960=2,"PRUDENT",IF(Z960=3,"MODERAT","RIDICAT")))))))</x:f>
      </x:c>
      <x:c r="AB960" s="10" t="str">
        <x:f>IF(N960="","",MIN(N960,1-S960))</x:f>
      </x:c>
      <x:c r="AC960" s="2" t="str">
        <x:f>IF(AD960&lt;&gt;1,"",COUNTIFS($Z$958:$Z$971,"&lt;"&amp;Z960,$AD$958:$AD$971,1)+COUNTIFS($Z$958:$Z$971,Z960,$AB$958:$AB$971,"&gt;"&amp;AB960,$AD$958:$AD$971,1)+COUNTIFS($Z$958:$Z$971,Z960,$AB$958:$AB$971,AB960,$V$958:$V$971,"&gt;"&amp;V960,$AD$958:$AD$971,1)+COUNTIFS($Z$958:Z960,Z960,$AB$958:AB960,AB960,$V$958:V960,V960,$AD$958:AD960,1))</x:f>
      </x:c>
      <x:c r="AD960" s="2" t="n">
        <x:f>IF(OR(AA960="DEFENSIV",AA960="PRUDENT",AA960="MODERAT",AA960="RIDICAT"),1,0)</x:f>
        <x:v>0</x:v>
      </x:c>
      <x:c r="AE960" s="2" t="str">
        <x:f>IF(AD960&lt;&gt;1,"NO",IF(W960="PASS","YES",IF(W960="OOS PENDING","CONDITIONAL","NO")))</x:f>
        <x:v>NO</x:v>
      </x:c>
      <x:c r="AF960" s="2" t="n">
        <x:f>IF(AND(AD960=1,AC960=1,E960="LIVE"),1,0)</x:f>
        <x:v>0</x:v>
      </x:c>
      <x:c r="AG960" s="2" t="str">
        <x:f>IF(AF960&lt;&gt;1,"",'Dashboard'!P94)</x:f>
      </x:c>
      <x:c r="AH960" s="2" t="str">
        <x:f>IF(B960="","",IF(J960&lt;&gt;"PASS",'Motor_Meciuri'!J74,IF('Calibrare_Linii'!U8&lt;&gt;"VALID","Parametri linie invalizi",IF(L960&gt;'Config_v6'!$B$13,"Dispersie peste limita",IF(W960="WATCH","Failure peste limita",IF(AB960&lt;'Config_v6'!$B$16,"P finala sub prag",IF(V960&lt;'Config_v6'!$B$18,"Confidence sub prag",IF(E960="REPLAY","Exemplu retrospectiv; exclus din Top LIVE",IF(Y960="PASS","DEFENSIV validat",IF(W960="OOS PENDING","Eligibil; calibrare linie in monitorizare","Eligibil"))))))))))</x:f>
      </x:c>
      <x:c r="AI960" s="2" t="str">
        <x:f>IF(B960="","",'Calibrare_Linii'!V8)</x:f>
      </x:c>
      <x:c r="AJ960" s="2" t="str">
        <x:f>IF(B960="","",IF(AND('Calibrare_Linii'!T8="VALIDATED",AND('Calibrare_Linii'!H8=C960,ISNUMBER('Calibrare_Linii'!J8),'Calibrare_Linii'!J8&lt;='Input_Meci'!G74)),"DEFENSIVE VALIDATED",IF(AND('Calibrare_Linii'!S8="VALIDATED",AND('Calibrare_Linii'!H8=C960,ISNUMBER('Calibrare_Linii'!J8),'Calibrare_Linii'!J8&lt;='Input_Meci'!G74)),"TAIL VALIDATED","OOS PENDING")))</x:f>
      </x:c>
      <x:c r="AK960" s="2" t="n">
        <x:f>IF(J960&lt;&gt;"PASS",0,'Motor_Meciuri'!BR74)</x:f>
        <x:v>0</x:v>
      </x:c>
      <x:c r="AL960" s="2" t="n">
        <x:f>IF(J960&lt;&gt;"PASS",0,'Motor_Meciuri'!BS74)</x:f>
        <x:v>0</x:v>
      </x:c>
      <x:c r="AM960" s="2" t="n">
        <x:f>IF(J960&lt;&gt;"PASS",0,'Motor_Meciuri'!BT74)</x:f>
        <x:v>0</x:v>
      </x:c>
      <x:c r="AN960" s="2" t="str">
        <x:f>IF(M960="","",MAX(0,'Motor_Meciuri'!BF74-IF(L960&gt;'Config_v6'!$B$12,'Config_v6'!$B$37,IF(L960&gt;'Config_v6'!$B$11,'Config_v6'!$B$36,0))))</x:f>
      </x:c>
    </x:row>
    <x:row r="961" ht="21" customHeight="1">
      <x:c r="A961" s="2" t="n">
        <x:v>69</x:v>
      </x:c>
      <x:c r="B961" s="2" t="str">
        <x:f>IF('Motor_Meciuri'!A74="","",'Motor_Meciuri'!A74)</x:f>
      </x:c>
      <x:c r="C961" s="2" t="str">
        <x:f>IF(B961="","",'Motor_Meciuri'!B74)</x:f>
      </x:c>
      <x:c r="D961" s="2" t="str">
        <x:f>IF(B961="","",'Motor_Meciuri'!D74)</x:f>
      </x:c>
      <x:c r="E961" s="2" t="str">
        <x:f>IF(B961="","",'Motor_Meciuri'!E74)</x:f>
      </x:c>
      <x:c r="F961" s="2" t="str">
        <x:v>O6,5</x:v>
      </x:c>
      <x:c r="G961" s="2" t="str">
        <x:v>OVER</x:v>
      </x:c>
      <x:c r="H961" s="2" t="n">
        <x:v>6</x:v>
      </x:c>
      <x:c r="I961" s="2" t="str">
        <x:f>IF(B961="","",'Motor_Meciuri'!H74)</x:f>
      </x:c>
      <x:c r="J961" s="2" t="str">
        <x:f>IF(B961="","",'Motor_Meciuri'!I74)</x:f>
      </x:c>
      <x:c r="K961" s="11" t="str">
        <x:f>IF(J961&lt;&gt;"PASS","",'Motor_Meciuri'!BD74)</x:f>
      </x:c>
      <x:c r="L961" s="11" t="str">
        <x:f>IF(J961&lt;&gt;"PASS","",'Motor_Meciuri'!AU74)</x:f>
      </x:c>
      <x:c r="M961" s="10" t="str">
        <x:f>IF(NOT(AND(J961="PASS",'Calibrare_Linii'!U9="VALID")),"",1-'Distributie'!AD74)</x:f>
      </x:c>
      <x:c r="N961" s="10" t="str">
        <x:f>IF(M961="","",MAX(0.01,MIN(0.99,0.5+(M961-0.5)*'Motor_Meciuri'!BG74*'Calibrare_Linii'!D9)))</x:f>
      </x:c>
      <x:c r="O961" s="10" t="str">
        <x:f>IF(M961="","",1-M961)</x:f>
      </x:c>
      <x:c r="P961" s="10" t="str">
        <x:f>IF(OR(NOT(AND(J961="PASS",'Calibrare_Linii'!U9="VALID")),AK961=0),""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*('Istoric_Nativ'!$Q$6:$Q$405&lt;=H961))/AK961)</x:f>
      </x:c>
      <x:c r="Q961" s="10" t="str">
        <x:f>IF(OR(NOT(AND(J961="PASS",'Calibrare_Linii'!U9="VALID")),AL961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M74)+((('Istoric_Nativ'!$E$6:$E$405='Input_Meci'!E74)+('Istoric_Nativ'!$F$6:$F$405='Input_Meci'!E74))&gt;0)*('Istoric_Nativ'!$D$6:$D$405&gt;='Motor_Meciuri'!BN74))&gt;0)*('Istoric_Nativ'!$Q$6:$Q$405&lt;=H961))/AL961)</x:f>
      </x:c>
      <x:c r="R961" s="10" t="str">
        <x:f>IF(OR(NOT(AND(J961="PASS",'Calibrare_Linii'!U9="VALID")),AM961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O74)+((('Istoric_Nativ'!$E$6:$E$405='Input_Meci'!E74)+('Istoric_Nativ'!$F$6:$F$405='Input_Meci'!E74))&gt;0)*('Istoric_Nativ'!$D$6:$D$405&gt;='Motor_Meciuri'!BP74))&gt;0)*('Istoric_Nativ'!$Q$6:$Q$405&lt;=H961))/AM961)</x:f>
      </x:c>
      <x:c r="S961" s="10" t="str">
        <x:f>IF(M961="","",MAX(O961,P961,Q961,R961))</x:f>
      </x:c>
      <x:c r="T961" s="11" t="str">
        <x:f>IF(M961="","",MIN(100,S961*100*'Config_v6'!$B$44+MIN(100,L961/'Config_v6'!$B$13*100)*'Config_v6'!$B$45+(100-'Motor_Meciuri'!BF74)*'Config_v6'!$B$46+'Motor_Meciuri'!BH74*100*'Config_v6'!$B$47))</x:f>
      </x:c>
      <x:c r="U961" s="2" t="str">
        <x:f>IF(T961="","",IF(T961&lt;=20,1,IF(T961&lt;=40,2,IF(T961&lt;=60,3,IF(T961&lt;=80,4,5)))))</x:f>
      </x:c>
      <x:c r="V961" s="2" t="str">
        <x:f>IF(M961="","",MAX(0,'Motor_Meciuri'!BF74-IF(W961="OOS PENDING",'Config_v6'!$B$35,0)-IF(L961&gt;'Config_v6'!$B$12,'Config_v6'!$B$37,IF(L961&gt;'Config_v6'!$B$11,'Config_v6'!$B$36,0))))</x:f>
      </x:c>
      <x:c r="W961" s="2" t="str">
        <x:f>IF(B961="","",IF(I961&lt;&gt;"READY","NOT RELEASED",IF(NOT(AND(J961="PASS",'Calibrare_Linii'!U9="VALID")),"INVALID",IF(NOT(AND('Calibrare_Linii'!S9="VALIDATED",AND('Calibrare_Linii'!H9=C961,ISNUMBER('Calibrare_Linii'!J9),'Calibrare_Linii'!J9&lt;='Input_Meci'!G74))),"OOS PENDING",IF(S961&lt;='Calibrare_Linii'!E9,"PASS",IF(S961&lt;='Calibrare_Linii'!F9,"PENALTY","WATCH"))))))</x:f>
      </x:c>
      <x:c r="X961" s="2" t="str">
        <x:f>IF(M961="","",IF(AND(AND(J961="PASS",'Calibrare_Linii'!U9="VALID"),'Motor_Meciuri'!K74=12,'Motor_Meciuri'!L74=12,'Motor_Meciuri'!M74="NO",'Motor_Meciuri'!BL74='Motor_Meciuri'!C74,AB961&gt;='Config_v6'!$B$50,AN961&gt;='Config_v6'!$B$51,T961&lt;='Config_v6'!$B$52,L961&lt;='Config_v6'!$B$53,ISNUMBER('Calibrare_Linii'!E9),S961&lt;='Calibrare_Linii'!E9,SUM(AK961:AM961)&gt;0),"CANDIDATE","NO"))</x:f>
      </x:c>
      <x:c r="Y961" s="2" t="str">
        <x:f>IF(B961="","",IF(I961&lt;&gt;"READY","NOT RELEASED",IF(AND(X961="CANDIDATE",V961&gt;='Config_v6'!$B$51,W961="PASS",'Calibrare_Linii'!T9="VALIDATED",AND('Calibrare_Linii'!H9=C961,ISNUMBER('Calibrare_Linii'!J9),'Calibrare_Linii'!J9&lt;='Input_Meci'!G74)),"PASS",IF(X961="CANDIDATE","OOS PENDING","FAIL"))))</x:f>
      </x:c>
      <x:c r="Z961" s="2" t="str">
        <x:f>IF(B961="","",IF(I961&lt;&gt;"READY","",IF(OR(NOT(AND(J961="PASS",'Calibrare_Linii'!U9="VALID")),L961&gt;'Config_v6'!$B$13,W961="WATCH"),5,IF(Y961="PASS",1,MIN(5,MAX('Config_v6'!$B$42,U961)+IF(W961="PENALTY",1,0))))))</x:f>
      </x:c>
      <x:c r="AA961" s="2" t="str">
        <x:f>IF(B961="","",IF(I961&lt;&gt;"READY","NOT RELEASED",IF(Z961=5,"NO BET",IF(OR(AB961&lt;'Config_v6'!$B$16,V961&lt;'Config_v6'!$B$18),"WATCH",IF(Z961=1,"DEFENSIV",IF(Z961=2,"PRUDENT",IF(Z961=3,"MODERAT","RIDICAT")))))))</x:f>
      </x:c>
      <x:c r="AB961" s="10" t="str">
        <x:f>IF(N961="","",MIN(N961,1-S961))</x:f>
      </x:c>
      <x:c r="AC961" s="2" t="str">
        <x:f>IF(AD961&lt;&gt;1,"",COUNTIFS($Z$958:$Z$971,"&lt;"&amp;Z961,$AD$958:$AD$971,1)+COUNTIFS($Z$958:$Z$971,Z961,$AB$958:$AB$971,"&gt;"&amp;AB961,$AD$958:$AD$971,1)+COUNTIFS($Z$958:$Z$971,Z961,$AB$958:$AB$971,AB961,$V$958:$V$971,"&gt;"&amp;V961,$AD$958:$AD$971,1)+COUNTIFS($Z$958:Z961,Z961,$AB$958:AB961,AB961,$V$958:V961,V961,$AD$958:AD961,1))</x:f>
      </x:c>
      <x:c r="AD961" s="2" t="n">
        <x:f>IF(OR(AA961="DEFENSIV",AA961="PRUDENT",AA961="MODERAT",AA961="RIDICAT"),1,0)</x:f>
        <x:v>0</x:v>
      </x:c>
      <x:c r="AE961" s="2" t="str">
        <x:f>IF(AD961&lt;&gt;1,"NO",IF(W961="PASS","YES",IF(W961="OOS PENDING","CONDITIONAL","NO")))</x:f>
        <x:v>NO</x:v>
      </x:c>
      <x:c r="AF961" s="2" t="n">
        <x:f>IF(AND(AD961=1,AC961=1,E961="LIVE"),1,0)</x:f>
        <x:v>0</x:v>
      </x:c>
      <x:c r="AG961" s="2" t="str">
        <x:f>IF(AF961&lt;&gt;1,"",'Dashboard'!P94)</x:f>
      </x:c>
      <x:c r="AH961" s="2" t="str">
        <x:f>IF(B961="","",IF(J961&lt;&gt;"PASS",'Motor_Meciuri'!J74,IF('Calibrare_Linii'!U9&lt;&gt;"VALID","Parametri linie invalizi",IF(L961&gt;'Config_v6'!$B$13,"Dispersie peste limita",IF(W961="WATCH","Failure peste limita",IF(AB961&lt;'Config_v6'!$B$16,"P finala sub prag",IF(V961&lt;'Config_v6'!$B$18,"Confidence sub prag",IF(E961="REPLAY","Exemplu retrospectiv; exclus din Top LIVE",IF(Y961="PASS","DEFENSIV validat",IF(W961="OOS PENDING","Eligibil; calibrare linie in monitorizare","Eligibil"))))))))))</x:f>
      </x:c>
      <x:c r="AI961" s="2" t="str">
        <x:f>IF(B961="","",'Calibrare_Linii'!V9)</x:f>
      </x:c>
      <x:c r="AJ961" s="2" t="str">
        <x:f>IF(B961="","",IF(AND('Calibrare_Linii'!T9="VALIDATED",AND('Calibrare_Linii'!H9=C961,ISNUMBER('Calibrare_Linii'!J9),'Calibrare_Linii'!J9&lt;='Input_Meci'!G74)),"DEFENSIVE VALIDATED",IF(AND('Calibrare_Linii'!S9="VALIDATED",AND('Calibrare_Linii'!H9=C961,ISNUMBER('Calibrare_Linii'!J9),'Calibrare_Linii'!J9&lt;='Input_Meci'!G74)),"TAIL VALIDATED","OOS PENDING")))</x:f>
      </x:c>
      <x:c r="AK961" s="2" t="n">
        <x:f>IF(J961&lt;&gt;"PASS",0,'Motor_Meciuri'!BR74)</x:f>
        <x:v>0</x:v>
      </x:c>
      <x:c r="AL961" s="2" t="n">
        <x:f>IF(J961&lt;&gt;"PASS",0,'Motor_Meciuri'!BS74)</x:f>
        <x:v>0</x:v>
      </x:c>
      <x:c r="AM961" s="2" t="n">
        <x:f>IF(J961&lt;&gt;"PASS",0,'Motor_Meciuri'!BT74)</x:f>
        <x:v>0</x:v>
      </x:c>
      <x:c r="AN961" s="2" t="str">
        <x:f>IF(M961="","",MAX(0,'Motor_Meciuri'!BF74-IF(L961&gt;'Config_v6'!$B$12,'Config_v6'!$B$37,IF(L961&gt;'Config_v6'!$B$11,'Config_v6'!$B$36,0))))</x:f>
      </x:c>
    </x:row>
    <x:row r="962" ht="21" customHeight="1">
      <x:c r="A962" s="2" t="n">
        <x:v>69</x:v>
      </x:c>
      <x:c r="B962" s="2" t="str">
        <x:f>IF('Motor_Meciuri'!A74="","",'Motor_Meciuri'!A74)</x:f>
      </x:c>
      <x:c r="C962" s="2" t="str">
        <x:f>IF(B962="","",'Motor_Meciuri'!B74)</x:f>
      </x:c>
      <x:c r="D962" s="2" t="str">
        <x:f>IF(B962="","",'Motor_Meciuri'!D74)</x:f>
      </x:c>
      <x:c r="E962" s="2" t="str">
        <x:f>IF(B962="","",'Motor_Meciuri'!E74)</x:f>
      </x:c>
      <x:c r="F962" s="2" t="str">
        <x:v>O7,5</x:v>
      </x:c>
      <x:c r="G962" s="2" t="str">
        <x:v>OVER</x:v>
      </x:c>
      <x:c r="H962" s="2" t="n">
        <x:v>7</x:v>
      </x:c>
      <x:c r="I962" s="2" t="str">
        <x:f>IF(B962="","",'Motor_Meciuri'!H74)</x:f>
      </x:c>
      <x:c r="J962" s="2" t="str">
        <x:f>IF(B962="","",'Motor_Meciuri'!I74)</x:f>
      </x:c>
      <x:c r="K962" s="11" t="str">
        <x:f>IF(J962&lt;&gt;"PASS","",'Motor_Meciuri'!BD74)</x:f>
      </x:c>
      <x:c r="L962" s="11" t="str">
        <x:f>IF(J962&lt;&gt;"PASS","",'Motor_Meciuri'!AU74)</x:f>
      </x:c>
      <x:c r="M962" s="10" t="str">
        <x:f>IF(NOT(AND(J962="PASS",'Calibrare_Linii'!U10="VALID")),"",1-'Distributie'!AE74)</x:f>
      </x:c>
      <x:c r="N962" s="10" t="str">
        <x:f>IF(M962="","",MAX(0.01,MIN(0.99,0.5+(M962-0.5)*'Motor_Meciuri'!BG74*'Calibrare_Linii'!D10)))</x:f>
      </x:c>
      <x:c r="O962" s="10" t="str">
        <x:f>IF(M962="","",1-M962)</x:f>
      </x:c>
      <x:c r="P962" s="10" t="str">
        <x:f>IF(OR(NOT(AND(J962="PASS",'Calibrare_Linii'!U10="VALID")),AK962=0),""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*('Istoric_Nativ'!$Q$6:$Q$405&lt;=H962))/AK962)</x:f>
      </x:c>
      <x:c r="Q962" s="10" t="str">
        <x:f>IF(OR(NOT(AND(J962="PASS",'Calibrare_Linii'!U10="VALID")),AL962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M74)+((('Istoric_Nativ'!$E$6:$E$405='Input_Meci'!E74)+('Istoric_Nativ'!$F$6:$F$405='Input_Meci'!E74))&gt;0)*('Istoric_Nativ'!$D$6:$D$405&gt;='Motor_Meciuri'!BN74))&gt;0)*('Istoric_Nativ'!$Q$6:$Q$405&lt;=H962))/AL962)</x:f>
      </x:c>
      <x:c r="R962" s="10" t="str">
        <x:f>IF(OR(NOT(AND(J962="PASS",'Calibrare_Linii'!U10="VALID")),AM962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O74)+((('Istoric_Nativ'!$E$6:$E$405='Input_Meci'!E74)+('Istoric_Nativ'!$F$6:$F$405='Input_Meci'!E74))&gt;0)*('Istoric_Nativ'!$D$6:$D$405&gt;='Motor_Meciuri'!BP74))&gt;0)*('Istoric_Nativ'!$Q$6:$Q$405&lt;=H962))/AM962)</x:f>
      </x:c>
      <x:c r="S962" s="10" t="str">
        <x:f>IF(M962="","",MAX(O962,P962,Q962,R962))</x:f>
      </x:c>
      <x:c r="T962" s="11" t="str">
        <x:f>IF(M962="","",MIN(100,S962*100*'Config_v6'!$B$44+MIN(100,L962/'Config_v6'!$B$13*100)*'Config_v6'!$B$45+(100-'Motor_Meciuri'!BF74)*'Config_v6'!$B$46+'Motor_Meciuri'!BH74*100*'Config_v6'!$B$47))</x:f>
      </x:c>
      <x:c r="U962" s="2" t="str">
        <x:f>IF(T962="","",IF(T962&lt;=20,1,IF(T962&lt;=40,2,IF(T962&lt;=60,3,IF(T962&lt;=80,4,5)))))</x:f>
      </x:c>
      <x:c r="V962" s="2" t="str">
        <x:f>IF(M962="","",MAX(0,'Motor_Meciuri'!BF74-IF(W962="OOS PENDING",'Config_v6'!$B$35,0)-IF(L962&gt;'Config_v6'!$B$12,'Config_v6'!$B$37,IF(L962&gt;'Config_v6'!$B$11,'Config_v6'!$B$36,0))))</x:f>
      </x:c>
      <x:c r="W962" s="2" t="str">
        <x:f>IF(B962="","",IF(I962&lt;&gt;"READY","NOT RELEASED",IF(NOT(AND(J962="PASS",'Calibrare_Linii'!U10="VALID")),"INVALID",IF(NOT(AND('Calibrare_Linii'!S10="VALIDATED",AND('Calibrare_Linii'!H10=C962,ISNUMBER('Calibrare_Linii'!J10),'Calibrare_Linii'!J10&lt;='Input_Meci'!G74))),"OOS PENDING",IF(S962&lt;='Calibrare_Linii'!E10,"PASS",IF(S962&lt;='Calibrare_Linii'!F10,"PENALTY","WATCH"))))))</x:f>
      </x:c>
      <x:c r="X962" s="2" t="str">
        <x:f>IF(M962="","",IF(AND(AND(J962="PASS",'Calibrare_Linii'!U10="VALID"),'Motor_Meciuri'!K74=12,'Motor_Meciuri'!L74=12,'Motor_Meciuri'!M74="NO",'Motor_Meciuri'!BL74='Motor_Meciuri'!C74,AB962&gt;='Config_v6'!$B$50,AN962&gt;='Config_v6'!$B$51,T962&lt;='Config_v6'!$B$52,L962&lt;='Config_v6'!$B$53,ISNUMBER('Calibrare_Linii'!E10),S962&lt;='Calibrare_Linii'!E10,SUM(AK962:AM962)&gt;0),"CANDIDATE","NO"))</x:f>
      </x:c>
      <x:c r="Y962" s="2" t="str">
        <x:f>IF(B962="","",IF(I962&lt;&gt;"READY","NOT RELEASED",IF(AND(X962="CANDIDATE",V962&gt;='Config_v6'!$B$51,W962="PASS",'Calibrare_Linii'!T10="VALIDATED",AND('Calibrare_Linii'!H10=C962,ISNUMBER('Calibrare_Linii'!J10),'Calibrare_Linii'!J10&lt;='Input_Meci'!G74)),"PASS",IF(X962="CANDIDATE","OOS PENDING","FAIL"))))</x:f>
      </x:c>
      <x:c r="Z962" s="2" t="str">
        <x:f>IF(B962="","",IF(I962&lt;&gt;"READY","",IF(OR(NOT(AND(J962="PASS",'Calibrare_Linii'!U10="VALID")),L962&gt;'Config_v6'!$B$13,W962="WATCH"),5,IF(Y962="PASS",1,MIN(5,MAX('Config_v6'!$B$42,U962)+IF(W962="PENALTY",1,0))))))</x:f>
      </x:c>
      <x:c r="AA962" s="2" t="str">
        <x:f>IF(B962="","",IF(I962&lt;&gt;"READY","NOT RELEASED",IF(Z962=5,"NO BET",IF(OR(AB962&lt;'Config_v6'!$B$16,V962&lt;'Config_v6'!$B$18),"WATCH",IF(Z962=1,"DEFENSIV",IF(Z962=2,"PRUDENT",IF(Z962=3,"MODERAT","RIDICAT")))))))</x:f>
      </x:c>
      <x:c r="AB962" s="10" t="str">
        <x:f>IF(N962="","",MIN(N962,1-S962))</x:f>
      </x:c>
      <x:c r="AC962" s="2" t="str">
        <x:f>IF(AD962&lt;&gt;1,"",COUNTIFS($Z$958:$Z$971,"&lt;"&amp;Z962,$AD$958:$AD$971,1)+COUNTIFS($Z$958:$Z$971,Z962,$AB$958:$AB$971,"&gt;"&amp;AB962,$AD$958:$AD$971,1)+COUNTIFS($Z$958:$Z$971,Z962,$AB$958:$AB$971,AB962,$V$958:$V$971,"&gt;"&amp;V962,$AD$958:$AD$971,1)+COUNTIFS($Z$958:Z962,Z962,$AB$958:AB962,AB962,$V$958:V962,V962,$AD$958:AD962,1))</x:f>
      </x:c>
      <x:c r="AD962" s="2" t="n">
        <x:f>IF(OR(AA962="DEFENSIV",AA962="PRUDENT",AA962="MODERAT",AA962="RIDICAT"),1,0)</x:f>
        <x:v>0</x:v>
      </x:c>
      <x:c r="AE962" s="2" t="str">
        <x:f>IF(AD962&lt;&gt;1,"NO",IF(W962="PASS","YES",IF(W962="OOS PENDING","CONDITIONAL","NO")))</x:f>
        <x:v>NO</x:v>
      </x:c>
      <x:c r="AF962" s="2" t="n">
        <x:f>IF(AND(AD962=1,AC962=1,E962="LIVE"),1,0)</x:f>
        <x:v>0</x:v>
      </x:c>
      <x:c r="AG962" s="2" t="str">
        <x:f>IF(AF962&lt;&gt;1,"",'Dashboard'!P94)</x:f>
      </x:c>
      <x:c r="AH962" s="2" t="str">
        <x:f>IF(B962="","",IF(J962&lt;&gt;"PASS",'Motor_Meciuri'!J74,IF('Calibrare_Linii'!U10&lt;&gt;"VALID","Parametri linie invalizi",IF(L962&gt;'Config_v6'!$B$13,"Dispersie peste limita",IF(W962="WATCH","Failure peste limita",IF(AB962&lt;'Config_v6'!$B$16,"P finala sub prag",IF(V962&lt;'Config_v6'!$B$18,"Confidence sub prag",IF(E962="REPLAY","Exemplu retrospectiv; exclus din Top LIVE",IF(Y962="PASS","DEFENSIV validat",IF(W962="OOS PENDING","Eligibil; calibrare linie in monitorizare","Eligibil"))))))))))</x:f>
      </x:c>
      <x:c r="AI962" s="2" t="str">
        <x:f>IF(B962="","",'Calibrare_Linii'!V10)</x:f>
      </x:c>
      <x:c r="AJ962" s="2" t="str">
        <x:f>IF(B962="","",IF(AND('Calibrare_Linii'!T10="VALIDATED",AND('Calibrare_Linii'!H10=C962,ISNUMBER('Calibrare_Linii'!J10),'Calibrare_Linii'!J10&lt;='Input_Meci'!G74)),"DEFENSIVE VALIDATED",IF(AND('Calibrare_Linii'!S10="VALIDATED",AND('Calibrare_Linii'!H10=C962,ISNUMBER('Calibrare_Linii'!J10),'Calibrare_Linii'!J10&lt;='Input_Meci'!G74)),"TAIL VALIDATED","OOS PENDING")))</x:f>
      </x:c>
      <x:c r="AK962" s="2" t="n">
        <x:f>IF(J962&lt;&gt;"PASS",0,'Motor_Meciuri'!BR74)</x:f>
        <x:v>0</x:v>
      </x:c>
      <x:c r="AL962" s="2" t="n">
        <x:f>IF(J962&lt;&gt;"PASS",0,'Motor_Meciuri'!BS74)</x:f>
        <x:v>0</x:v>
      </x:c>
      <x:c r="AM962" s="2" t="n">
        <x:f>IF(J962&lt;&gt;"PASS",0,'Motor_Meciuri'!BT74)</x:f>
        <x:v>0</x:v>
      </x:c>
      <x:c r="AN962" s="2" t="str">
        <x:f>IF(M962="","",MAX(0,'Motor_Meciuri'!BF74-IF(L962&gt;'Config_v6'!$B$12,'Config_v6'!$B$37,IF(L962&gt;'Config_v6'!$B$11,'Config_v6'!$B$36,0))))</x:f>
      </x:c>
    </x:row>
    <x:row r="963" ht="21" customHeight="1">
      <x:c r="A963" s="2" t="n">
        <x:v>69</x:v>
      </x:c>
      <x:c r="B963" s="2" t="str">
        <x:f>IF('Motor_Meciuri'!A74="","",'Motor_Meciuri'!A74)</x:f>
      </x:c>
      <x:c r="C963" s="2" t="str">
        <x:f>IF(B963="","",'Motor_Meciuri'!B74)</x:f>
      </x:c>
      <x:c r="D963" s="2" t="str">
        <x:f>IF(B963="","",'Motor_Meciuri'!D74)</x:f>
      </x:c>
      <x:c r="E963" s="2" t="str">
        <x:f>IF(B963="","",'Motor_Meciuri'!E74)</x:f>
      </x:c>
      <x:c r="F963" s="2" t="str">
        <x:v>O8,5</x:v>
      </x:c>
      <x:c r="G963" s="2" t="str">
        <x:v>OVER</x:v>
      </x:c>
      <x:c r="H963" s="2" t="n">
        <x:v>8</x:v>
      </x:c>
      <x:c r="I963" s="2" t="str">
        <x:f>IF(B963="","",'Motor_Meciuri'!H74)</x:f>
      </x:c>
      <x:c r="J963" s="2" t="str">
        <x:f>IF(B963="","",'Motor_Meciuri'!I74)</x:f>
      </x:c>
      <x:c r="K963" s="11" t="str">
        <x:f>IF(J963&lt;&gt;"PASS","",'Motor_Meciuri'!BD74)</x:f>
      </x:c>
      <x:c r="L963" s="11" t="str">
        <x:f>IF(J963&lt;&gt;"PASS","",'Motor_Meciuri'!AU74)</x:f>
      </x:c>
      <x:c r="M963" s="10" t="str">
        <x:f>IF(NOT(AND(J963="PASS",'Calibrare_Linii'!U11="VALID")),"",1-'Distributie'!AF74)</x:f>
      </x:c>
      <x:c r="N963" s="10" t="str">
        <x:f>IF(M963="","",MAX(0.01,MIN(0.99,0.5+(M963-0.5)*'Motor_Meciuri'!BG74*'Calibrare_Linii'!D11)))</x:f>
      </x:c>
      <x:c r="O963" s="10" t="str">
        <x:f>IF(M963="","",1-M963)</x:f>
      </x:c>
      <x:c r="P963" s="10" t="str">
        <x:f>IF(OR(NOT(AND(J963="PASS",'Calibrare_Linii'!U11="VALID")),AK963=0),""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*('Istoric_Nativ'!$Q$6:$Q$405&lt;=H963))/AK963)</x:f>
      </x:c>
      <x:c r="Q963" s="10" t="str">
        <x:f>IF(OR(NOT(AND(J963="PASS",'Calibrare_Linii'!U11="VALID")),AL963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M74)+((('Istoric_Nativ'!$E$6:$E$405='Input_Meci'!E74)+('Istoric_Nativ'!$F$6:$F$405='Input_Meci'!E74))&gt;0)*('Istoric_Nativ'!$D$6:$D$405&gt;='Motor_Meciuri'!BN74))&gt;0)*('Istoric_Nativ'!$Q$6:$Q$405&lt;=H963))/AL963)</x:f>
      </x:c>
      <x:c r="R963" s="10" t="str">
        <x:f>IF(OR(NOT(AND(J963="PASS",'Calibrare_Linii'!U11="VALID")),AM963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O74)+((('Istoric_Nativ'!$E$6:$E$405='Input_Meci'!E74)+('Istoric_Nativ'!$F$6:$F$405='Input_Meci'!E74))&gt;0)*('Istoric_Nativ'!$D$6:$D$405&gt;='Motor_Meciuri'!BP74))&gt;0)*('Istoric_Nativ'!$Q$6:$Q$405&lt;=H963))/AM963)</x:f>
      </x:c>
      <x:c r="S963" s="10" t="str">
        <x:f>IF(M963="","",MAX(O963,P963,Q963,R963))</x:f>
      </x:c>
      <x:c r="T963" s="11" t="str">
        <x:f>IF(M963="","",MIN(100,S963*100*'Config_v6'!$B$44+MIN(100,L963/'Config_v6'!$B$13*100)*'Config_v6'!$B$45+(100-'Motor_Meciuri'!BF74)*'Config_v6'!$B$46+'Motor_Meciuri'!BH74*100*'Config_v6'!$B$47))</x:f>
      </x:c>
      <x:c r="U963" s="2" t="str">
        <x:f>IF(T963="","",IF(T963&lt;=20,1,IF(T963&lt;=40,2,IF(T963&lt;=60,3,IF(T963&lt;=80,4,5)))))</x:f>
      </x:c>
      <x:c r="V963" s="2" t="str">
        <x:f>IF(M963="","",MAX(0,'Motor_Meciuri'!BF74-IF(W963="OOS PENDING",'Config_v6'!$B$35,0)-IF(L963&gt;'Config_v6'!$B$12,'Config_v6'!$B$37,IF(L963&gt;'Config_v6'!$B$11,'Config_v6'!$B$36,0))))</x:f>
      </x:c>
      <x:c r="W963" s="2" t="str">
        <x:f>IF(B963="","",IF(I963&lt;&gt;"READY","NOT RELEASED",IF(NOT(AND(J963="PASS",'Calibrare_Linii'!U11="VALID")),"INVALID",IF(NOT(AND('Calibrare_Linii'!S11="VALIDATED",AND('Calibrare_Linii'!H11=C963,ISNUMBER('Calibrare_Linii'!J11),'Calibrare_Linii'!J11&lt;='Input_Meci'!G74))),"OOS PENDING",IF(S963&lt;='Calibrare_Linii'!E11,"PASS",IF(S963&lt;='Calibrare_Linii'!F11,"PENALTY","WATCH"))))))</x:f>
      </x:c>
      <x:c r="X963" s="2" t="str">
        <x:f>IF(M963="","",IF(AND(AND(J963="PASS",'Calibrare_Linii'!U11="VALID"),'Motor_Meciuri'!K74=12,'Motor_Meciuri'!L74=12,'Motor_Meciuri'!M74="NO",'Motor_Meciuri'!BL74='Motor_Meciuri'!C74,AB963&gt;='Config_v6'!$B$50,AN963&gt;='Config_v6'!$B$51,T963&lt;='Config_v6'!$B$52,L963&lt;='Config_v6'!$B$53,ISNUMBER('Calibrare_Linii'!E11),S963&lt;='Calibrare_Linii'!E11,SUM(AK963:AM963)&gt;0),"CANDIDATE","NO"))</x:f>
      </x:c>
      <x:c r="Y963" s="2" t="str">
        <x:f>IF(B963="","",IF(I963&lt;&gt;"READY","NOT RELEASED",IF(AND(X963="CANDIDATE",V963&gt;='Config_v6'!$B$51,W963="PASS",'Calibrare_Linii'!T11="VALIDATED",AND('Calibrare_Linii'!H11=C963,ISNUMBER('Calibrare_Linii'!J11),'Calibrare_Linii'!J11&lt;='Input_Meci'!G74)),"PASS",IF(X963="CANDIDATE","OOS PENDING","FAIL"))))</x:f>
      </x:c>
      <x:c r="Z963" s="2" t="str">
        <x:f>IF(B963="","",IF(I963&lt;&gt;"READY","",IF(OR(NOT(AND(J963="PASS",'Calibrare_Linii'!U11="VALID")),L963&gt;'Config_v6'!$B$13,W963="WATCH"),5,IF(Y963="PASS",1,MIN(5,MAX('Config_v6'!$B$42,U963)+IF(W963="PENALTY",1,0))))))</x:f>
      </x:c>
      <x:c r="AA963" s="2" t="str">
        <x:f>IF(B963="","",IF(I963&lt;&gt;"READY","NOT RELEASED",IF(Z963=5,"NO BET",IF(OR(AB963&lt;'Config_v6'!$B$16,V963&lt;'Config_v6'!$B$18),"WATCH",IF(Z963=1,"DEFENSIV",IF(Z963=2,"PRUDENT",IF(Z963=3,"MODERAT","RIDICAT")))))))</x:f>
      </x:c>
      <x:c r="AB963" s="10" t="str">
        <x:f>IF(N963="","",MIN(N963,1-S963))</x:f>
      </x:c>
      <x:c r="AC963" s="2" t="str">
        <x:f>IF(AD963&lt;&gt;1,"",COUNTIFS($Z$958:$Z$971,"&lt;"&amp;Z963,$AD$958:$AD$971,1)+COUNTIFS($Z$958:$Z$971,Z963,$AB$958:$AB$971,"&gt;"&amp;AB963,$AD$958:$AD$971,1)+COUNTIFS($Z$958:$Z$971,Z963,$AB$958:$AB$971,AB963,$V$958:$V$971,"&gt;"&amp;V963,$AD$958:$AD$971,1)+COUNTIFS($Z$958:Z963,Z963,$AB$958:AB963,AB963,$V$958:V963,V963,$AD$958:AD963,1))</x:f>
      </x:c>
      <x:c r="AD963" s="2" t="n">
        <x:f>IF(OR(AA963="DEFENSIV",AA963="PRUDENT",AA963="MODERAT",AA963="RIDICAT"),1,0)</x:f>
        <x:v>0</x:v>
      </x:c>
      <x:c r="AE963" s="2" t="str">
        <x:f>IF(AD963&lt;&gt;1,"NO",IF(W963="PASS","YES",IF(W963="OOS PENDING","CONDITIONAL","NO")))</x:f>
        <x:v>NO</x:v>
      </x:c>
      <x:c r="AF963" s="2" t="n">
        <x:f>IF(AND(AD963=1,AC963=1,E963="LIVE"),1,0)</x:f>
        <x:v>0</x:v>
      </x:c>
      <x:c r="AG963" s="2" t="str">
        <x:f>IF(AF963&lt;&gt;1,"",'Dashboard'!P94)</x:f>
      </x:c>
      <x:c r="AH963" s="2" t="str">
        <x:f>IF(B963="","",IF(J963&lt;&gt;"PASS",'Motor_Meciuri'!J74,IF('Calibrare_Linii'!U11&lt;&gt;"VALID","Parametri linie invalizi",IF(L963&gt;'Config_v6'!$B$13,"Dispersie peste limita",IF(W963="WATCH","Failure peste limita",IF(AB963&lt;'Config_v6'!$B$16,"P finala sub prag",IF(V963&lt;'Config_v6'!$B$18,"Confidence sub prag",IF(E963="REPLAY","Exemplu retrospectiv; exclus din Top LIVE",IF(Y963="PASS","DEFENSIV validat",IF(W963="OOS PENDING","Eligibil; calibrare linie in monitorizare","Eligibil"))))))))))</x:f>
      </x:c>
      <x:c r="AI963" s="2" t="str">
        <x:f>IF(B963="","",'Calibrare_Linii'!V11)</x:f>
      </x:c>
      <x:c r="AJ963" s="2" t="str">
        <x:f>IF(B963="","",IF(AND('Calibrare_Linii'!T11="VALIDATED",AND('Calibrare_Linii'!H11=C963,ISNUMBER('Calibrare_Linii'!J11),'Calibrare_Linii'!J11&lt;='Input_Meci'!G74)),"DEFENSIVE VALIDATED",IF(AND('Calibrare_Linii'!S11="VALIDATED",AND('Calibrare_Linii'!H11=C963,ISNUMBER('Calibrare_Linii'!J11),'Calibrare_Linii'!J11&lt;='Input_Meci'!G74)),"TAIL VALIDATED","OOS PENDING")))</x:f>
      </x:c>
      <x:c r="AK963" s="2" t="n">
        <x:f>IF(J963&lt;&gt;"PASS",0,'Motor_Meciuri'!BR74)</x:f>
        <x:v>0</x:v>
      </x:c>
      <x:c r="AL963" s="2" t="n">
        <x:f>IF(J963&lt;&gt;"PASS",0,'Motor_Meciuri'!BS74)</x:f>
        <x:v>0</x:v>
      </x:c>
      <x:c r="AM963" s="2" t="n">
        <x:f>IF(J963&lt;&gt;"PASS",0,'Motor_Meciuri'!BT74)</x:f>
        <x:v>0</x:v>
      </x:c>
      <x:c r="AN963" s="2" t="str">
        <x:f>IF(M963="","",MAX(0,'Motor_Meciuri'!BF74-IF(L963&gt;'Config_v6'!$B$12,'Config_v6'!$B$37,IF(L963&gt;'Config_v6'!$B$11,'Config_v6'!$B$36,0))))</x:f>
      </x:c>
    </x:row>
    <x:row r="964" ht="21" customHeight="1">
      <x:c r="A964" s="2" t="n">
        <x:v>69</x:v>
      </x:c>
      <x:c r="B964" s="2" t="str">
        <x:f>IF('Motor_Meciuri'!A74="","",'Motor_Meciuri'!A74)</x:f>
      </x:c>
      <x:c r="C964" s="2" t="str">
        <x:f>IF(B964="","",'Motor_Meciuri'!B74)</x:f>
      </x:c>
      <x:c r="D964" s="2" t="str">
        <x:f>IF(B964="","",'Motor_Meciuri'!D74)</x:f>
      </x:c>
      <x:c r="E964" s="2" t="str">
        <x:f>IF(B964="","",'Motor_Meciuri'!E74)</x:f>
      </x:c>
      <x:c r="F964" s="2" t="str">
        <x:v>U10,5</x:v>
      </x:c>
      <x:c r="G964" s="2" t="str">
        <x:v>UNDER</x:v>
      </x:c>
      <x:c r="H964" s="2" t="n">
        <x:v>10</x:v>
      </x:c>
      <x:c r="I964" s="2" t="str">
        <x:f>IF(B964="","",'Motor_Meciuri'!H74)</x:f>
      </x:c>
      <x:c r="J964" s="2" t="str">
        <x:f>IF(B964="","",'Motor_Meciuri'!I74)</x:f>
      </x:c>
      <x:c r="K964" s="11" t="str">
        <x:f>IF(J964&lt;&gt;"PASS","",'Motor_Meciuri'!BD74)</x:f>
      </x:c>
      <x:c r="L964" s="11" t="str">
        <x:f>IF(J964&lt;&gt;"PASS","",'Motor_Meciuri'!AU74)</x:f>
      </x:c>
      <x:c r="M964" s="10" t="str">
        <x:f>IF(NOT(AND(J964="PASS",'Calibrare_Linii'!U12="VALID")),"",'Distributie'!AH74)</x:f>
      </x:c>
      <x:c r="N964" s="10" t="str">
        <x:f>IF(M964="","",MAX(0.01,MIN(0.99,0.5+(M964-0.5)*'Motor_Meciuri'!BG74*'Calibrare_Linii'!D12)))</x:f>
      </x:c>
      <x:c r="O964" s="10" t="str">
        <x:f>IF(M964="","",1-M964)</x:f>
      </x:c>
      <x:c r="P964" s="10" t="str">
        <x:f>IF(OR(NOT(AND(J964="PASS",'Calibrare_Linii'!U12="VALID")),AK964=0),""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*('Istoric_Nativ'!$Q$6:$Q$405&gt;H964))/AK964)</x:f>
      </x:c>
      <x:c r="Q964" s="10" t="str">
        <x:f>IF(OR(NOT(AND(J964="PASS",'Calibrare_Linii'!U12="VALID")),AL964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M74)+((('Istoric_Nativ'!$E$6:$E$405='Input_Meci'!E74)+('Istoric_Nativ'!$F$6:$F$405='Input_Meci'!E74))&gt;0)*('Istoric_Nativ'!$D$6:$D$405&gt;='Motor_Meciuri'!BN74))&gt;0)*('Istoric_Nativ'!$Q$6:$Q$405&gt;H964))/AL964)</x:f>
      </x:c>
      <x:c r="R964" s="10" t="str">
        <x:f>IF(OR(NOT(AND(J964="PASS",'Calibrare_Linii'!U12="VALID")),AM964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O74)+((('Istoric_Nativ'!$E$6:$E$405='Input_Meci'!E74)+('Istoric_Nativ'!$F$6:$F$405='Input_Meci'!E74))&gt;0)*('Istoric_Nativ'!$D$6:$D$405&gt;='Motor_Meciuri'!BP74))&gt;0)*('Istoric_Nativ'!$Q$6:$Q$405&gt;H964))/AM964)</x:f>
      </x:c>
      <x:c r="S964" s="10" t="str">
        <x:f>IF(M964="","",MAX(O964,P964,Q964,R964))</x:f>
      </x:c>
      <x:c r="T964" s="11" t="str">
        <x:f>IF(M964="","",MIN(100,S964*100*'Config_v6'!$B$44+MIN(100,L964/'Config_v6'!$B$13*100)*'Config_v6'!$B$45+(100-'Motor_Meciuri'!BF74)*'Config_v6'!$B$46+'Motor_Meciuri'!BH74*100*'Config_v6'!$B$47))</x:f>
      </x:c>
      <x:c r="U964" s="2" t="str">
        <x:f>IF(T964="","",IF(T964&lt;=20,1,IF(T964&lt;=40,2,IF(T964&lt;=60,3,IF(T964&lt;=80,4,5)))))</x:f>
      </x:c>
      <x:c r="V964" s="2" t="str">
        <x:f>IF(M964="","",MAX(0,'Motor_Meciuri'!BF74-IF(W964="OOS PENDING",'Config_v6'!$B$35,0)-IF(L964&gt;'Config_v6'!$B$12,'Config_v6'!$B$37,IF(L964&gt;'Config_v6'!$B$11,'Config_v6'!$B$36,0))))</x:f>
      </x:c>
      <x:c r="W964" s="2" t="str">
        <x:f>IF(B964="","",IF(I964&lt;&gt;"READY","NOT RELEASED",IF(NOT(AND(J964="PASS",'Calibrare_Linii'!U12="VALID")),"INVALID",IF(NOT(AND('Calibrare_Linii'!S12="VALIDATED",AND('Calibrare_Linii'!H12=C964,ISNUMBER('Calibrare_Linii'!J12),'Calibrare_Linii'!J12&lt;='Input_Meci'!G74))),"OOS PENDING",IF(S964&lt;='Calibrare_Linii'!E12,"PASS",IF(S964&lt;='Calibrare_Linii'!F12,"PENALTY","WATCH"))))))</x:f>
      </x:c>
      <x:c r="X964" s="2" t="str">
        <x:f>IF(M964="","",IF(AND(AND(J964="PASS",'Calibrare_Linii'!U12="VALID"),'Motor_Meciuri'!K74=12,'Motor_Meciuri'!L74=12,'Motor_Meciuri'!M74="NO",'Motor_Meciuri'!BL74='Motor_Meciuri'!C74,AB964&gt;='Config_v6'!$B$50,AN964&gt;='Config_v6'!$B$51,T964&lt;='Config_v6'!$B$52,L964&lt;='Config_v6'!$B$53,ISNUMBER('Calibrare_Linii'!E12),S964&lt;='Calibrare_Linii'!E12,SUM(AK964:AM964)&gt;0),"CANDIDATE","NO"))</x:f>
      </x:c>
      <x:c r="Y964" s="2" t="str">
        <x:f>IF(B964="","",IF(I964&lt;&gt;"READY","NOT RELEASED",IF(AND(X964="CANDIDATE",V964&gt;='Config_v6'!$B$51,W964="PASS",'Calibrare_Linii'!T12="VALIDATED",AND('Calibrare_Linii'!H12=C964,ISNUMBER('Calibrare_Linii'!J12),'Calibrare_Linii'!J12&lt;='Input_Meci'!G74)),"PASS",IF(X964="CANDIDATE","OOS PENDING","FAIL"))))</x:f>
      </x:c>
      <x:c r="Z964" s="2" t="str">
        <x:f>IF(B964="","",IF(I964&lt;&gt;"READY","",IF(OR(NOT(AND(J964="PASS",'Calibrare_Linii'!U12="VALID")),L964&gt;'Config_v6'!$B$13,W964="WATCH"),5,IF(Y964="PASS",1,MIN(5,MAX('Config_v6'!$B$42,U964)+IF(W964="PENALTY",1,0))))))</x:f>
      </x:c>
      <x:c r="AA964" s="2" t="str">
        <x:f>IF(B964="","",IF(I964&lt;&gt;"READY","NOT RELEASED",IF(Z964=5,"NO BET",IF(OR(AB964&lt;'Config_v6'!$B$16,V964&lt;'Config_v6'!$B$18),"WATCH",IF(Z964=1,"DEFENSIV",IF(Z964=2,"PRUDENT",IF(Z964=3,"MODERAT","RIDICAT")))))))</x:f>
      </x:c>
      <x:c r="AB964" s="10" t="str">
        <x:f>IF(N964="","",MIN(N964,1-S964))</x:f>
      </x:c>
      <x:c r="AC964" s="2" t="str">
        <x:f>IF(AD964&lt;&gt;1,"",COUNTIFS($Z$958:$Z$971,"&lt;"&amp;Z964,$AD$958:$AD$971,1)+COUNTIFS($Z$958:$Z$971,Z964,$AB$958:$AB$971,"&gt;"&amp;AB964,$AD$958:$AD$971,1)+COUNTIFS($Z$958:$Z$971,Z964,$AB$958:$AB$971,AB964,$V$958:$V$971,"&gt;"&amp;V964,$AD$958:$AD$971,1)+COUNTIFS($Z$958:Z964,Z964,$AB$958:AB964,AB964,$V$958:V964,V964,$AD$958:AD964,1))</x:f>
      </x:c>
      <x:c r="AD964" s="2" t="n">
        <x:f>IF(OR(AA964="DEFENSIV",AA964="PRUDENT",AA964="MODERAT",AA964="RIDICAT"),1,0)</x:f>
        <x:v>0</x:v>
      </x:c>
      <x:c r="AE964" s="2" t="str">
        <x:f>IF(AD964&lt;&gt;1,"NO",IF(W964="PASS","YES",IF(W964="OOS PENDING","CONDITIONAL","NO")))</x:f>
        <x:v>NO</x:v>
      </x:c>
      <x:c r="AF964" s="2" t="n">
        <x:f>IF(AND(AD964=1,AC964=1,E964="LIVE"),1,0)</x:f>
        <x:v>0</x:v>
      </x:c>
      <x:c r="AG964" s="2" t="str">
        <x:f>IF(AF964&lt;&gt;1,"",'Dashboard'!P94)</x:f>
      </x:c>
      <x:c r="AH964" s="2" t="str">
        <x:f>IF(B964="","",IF(J964&lt;&gt;"PASS",'Motor_Meciuri'!J74,IF('Calibrare_Linii'!U12&lt;&gt;"VALID","Parametri linie invalizi",IF(L964&gt;'Config_v6'!$B$13,"Dispersie peste limita",IF(W964="WATCH","Failure peste limita",IF(AB964&lt;'Config_v6'!$B$16,"P finala sub prag",IF(V964&lt;'Config_v6'!$B$18,"Confidence sub prag",IF(E964="REPLAY","Exemplu retrospectiv; exclus din Top LIVE",IF(Y964="PASS","DEFENSIV validat",IF(W964="OOS PENDING","Eligibil; calibrare linie in monitorizare","Eligibil"))))))))))</x:f>
      </x:c>
      <x:c r="AI964" s="2" t="str">
        <x:f>IF(B964="","",'Calibrare_Linii'!V12)</x:f>
      </x:c>
      <x:c r="AJ964" s="2" t="str">
        <x:f>IF(B964="","",IF(AND('Calibrare_Linii'!T12="VALIDATED",AND('Calibrare_Linii'!H12=C964,ISNUMBER('Calibrare_Linii'!J12),'Calibrare_Linii'!J12&lt;='Input_Meci'!G74)),"DEFENSIVE VALIDATED",IF(AND('Calibrare_Linii'!S12="VALIDATED",AND('Calibrare_Linii'!H12=C964,ISNUMBER('Calibrare_Linii'!J12),'Calibrare_Linii'!J12&lt;='Input_Meci'!G74)),"TAIL VALIDATED","OOS PENDING")))</x:f>
      </x:c>
      <x:c r="AK964" s="2" t="n">
        <x:f>IF(J964&lt;&gt;"PASS",0,'Motor_Meciuri'!BR74)</x:f>
        <x:v>0</x:v>
      </x:c>
      <x:c r="AL964" s="2" t="n">
        <x:f>IF(J964&lt;&gt;"PASS",0,'Motor_Meciuri'!BS74)</x:f>
        <x:v>0</x:v>
      </x:c>
      <x:c r="AM964" s="2" t="n">
        <x:f>IF(J964&lt;&gt;"PASS",0,'Motor_Meciuri'!BT74)</x:f>
        <x:v>0</x:v>
      </x:c>
      <x:c r="AN964" s="2" t="str">
        <x:f>IF(M964="","",MAX(0,'Motor_Meciuri'!BF74-IF(L964&gt;'Config_v6'!$B$12,'Config_v6'!$B$37,IF(L964&gt;'Config_v6'!$B$11,'Config_v6'!$B$36,0))))</x:f>
      </x:c>
    </x:row>
    <x:row r="965" ht="21" customHeight="1">
      <x:c r="A965" s="2" t="n">
        <x:v>69</x:v>
      </x:c>
      <x:c r="B965" s="2" t="str">
        <x:f>IF('Motor_Meciuri'!A74="","",'Motor_Meciuri'!A74)</x:f>
      </x:c>
      <x:c r="C965" s="2" t="str">
        <x:f>IF(B965="","",'Motor_Meciuri'!B74)</x:f>
      </x:c>
      <x:c r="D965" s="2" t="str">
        <x:f>IF(B965="","",'Motor_Meciuri'!D74)</x:f>
      </x:c>
      <x:c r="E965" s="2" t="str">
        <x:f>IF(B965="","",'Motor_Meciuri'!E74)</x:f>
      </x:c>
      <x:c r="F965" s="2" t="str">
        <x:v>U11,5</x:v>
      </x:c>
      <x:c r="G965" s="2" t="str">
        <x:v>UNDER</x:v>
      </x:c>
      <x:c r="H965" s="2" t="n">
        <x:v>11</x:v>
      </x:c>
      <x:c r="I965" s="2" t="str">
        <x:f>IF(B965="","",'Motor_Meciuri'!H74)</x:f>
      </x:c>
      <x:c r="J965" s="2" t="str">
        <x:f>IF(B965="","",'Motor_Meciuri'!I74)</x:f>
      </x:c>
      <x:c r="K965" s="11" t="str">
        <x:f>IF(J965&lt;&gt;"PASS","",'Motor_Meciuri'!BD74)</x:f>
      </x:c>
      <x:c r="L965" s="11" t="str">
        <x:f>IF(J965&lt;&gt;"PASS","",'Motor_Meciuri'!AU74)</x:f>
      </x:c>
      <x:c r="M965" s="10" t="str">
        <x:f>IF(NOT(AND(J965="PASS",'Calibrare_Linii'!U13="VALID")),"",'Distributie'!AI74)</x:f>
      </x:c>
      <x:c r="N965" s="10" t="str">
        <x:f>IF(M965="","",MAX(0.01,MIN(0.99,0.5+(M965-0.5)*'Motor_Meciuri'!BG74*'Calibrare_Linii'!D13)))</x:f>
      </x:c>
      <x:c r="O965" s="10" t="str">
        <x:f>IF(M965="","",1-M965)</x:f>
      </x:c>
      <x:c r="P965" s="10" t="str">
        <x:f>IF(OR(NOT(AND(J965="PASS",'Calibrare_Linii'!U13="VALID")),AK965=0),""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*('Istoric_Nativ'!$Q$6:$Q$405&gt;H965))/AK965)</x:f>
      </x:c>
      <x:c r="Q965" s="10" t="str">
        <x:f>IF(OR(NOT(AND(J965="PASS",'Calibrare_Linii'!U13="VALID")),AL965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M74)+((('Istoric_Nativ'!$E$6:$E$405='Input_Meci'!E74)+('Istoric_Nativ'!$F$6:$F$405='Input_Meci'!E74))&gt;0)*('Istoric_Nativ'!$D$6:$D$405&gt;='Motor_Meciuri'!BN74))&gt;0)*('Istoric_Nativ'!$Q$6:$Q$405&gt;H965))/AL965)</x:f>
      </x:c>
      <x:c r="R965" s="10" t="str">
        <x:f>IF(OR(NOT(AND(J965="PASS",'Calibrare_Linii'!U13="VALID")),AM965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O74)+((('Istoric_Nativ'!$E$6:$E$405='Input_Meci'!E74)+('Istoric_Nativ'!$F$6:$F$405='Input_Meci'!E74))&gt;0)*('Istoric_Nativ'!$D$6:$D$405&gt;='Motor_Meciuri'!BP74))&gt;0)*('Istoric_Nativ'!$Q$6:$Q$405&gt;H965))/AM965)</x:f>
      </x:c>
      <x:c r="S965" s="10" t="str">
        <x:f>IF(M965="","",MAX(O965,P965,Q965,R965))</x:f>
      </x:c>
      <x:c r="T965" s="11" t="str">
        <x:f>IF(M965="","",MIN(100,S965*100*'Config_v6'!$B$44+MIN(100,L965/'Config_v6'!$B$13*100)*'Config_v6'!$B$45+(100-'Motor_Meciuri'!BF74)*'Config_v6'!$B$46+'Motor_Meciuri'!BH74*100*'Config_v6'!$B$47))</x:f>
      </x:c>
      <x:c r="U965" s="2" t="str">
        <x:f>IF(T965="","",IF(T965&lt;=20,1,IF(T965&lt;=40,2,IF(T965&lt;=60,3,IF(T965&lt;=80,4,5)))))</x:f>
      </x:c>
      <x:c r="V965" s="2" t="str">
        <x:f>IF(M965="","",MAX(0,'Motor_Meciuri'!BF74-IF(W965="OOS PENDING",'Config_v6'!$B$35,0)-IF(L965&gt;'Config_v6'!$B$12,'Config_v6'!$B$37,IF(L965&gt;'Config_v6'!$B$11,'Config_v6'!$B$36,0))))</x:f>
      </x:c>
      <x:c r="W965" s="2" t="str">
        <x:f>IF(B965="","",IF(I965&lt;&gt;"READY","NOT RELEASED",IF(NOT(AND(J965="PASS",'Calibrare_Linii'!U13="VALID")),"INVALID",IF(NOT(AND('Calibrare_Linii'!S13="VALIDATED",AND('Calibrare_Linii'!H13=C965,ISNUMBER('Calibrare_Linii'!J13),'Calibrare_Linii'!J13&lt;='Input_Meci'!G74))),"OOS PENDING",IF(S965&lt;='Calibrare_Linii'!E13,"PASS",IF(S965&lt;='Calibrare_Linii'!F13,"PENALTY","WATCH"))))))</x:f>
      </x:c>
      <x:c r="X965" s="2" t="str">
        <x:f>IF(M965="","",IF(AND(AND(J965="PASS",'Calibrare_Linii'!U13="VALID"),'Motor_Meciuri'!K74=12,'Motor_Meciuri'!L74=12,'Motor_Meciuri'!M74="NO",'Motor_Meciuri'!BL74='Motor_Meciuri'!C74,AB965&gt;='Config_v6'!$B$50,AN965&gt;='Config_v6'!$B$51,T965&lt;='Config_v6'!$B$52,L965&lt;='Config_v6'!$B$53,ISNUMBER('Calibrare_Linii'!E13),S965&lt;='Calibrare_Linii'!E13,SUM(AK965:AM965)&gt;0),"CANDIDATE","NO"))</x:f>
      </x:c>
      <x:c r="Y965" s="2" t="str">
        <x:f>IF(B965="","",IF(I965&lt;&gt;"READY","NOT RELEASED",IF(AND(X965="CANDIDATE",V965&gt;='Config_v6'!$B$51,W965="PASS",'Calibrare_Linii'!T13="VALIDATED",AND('Calibrare_Linii'!H13=C965,ISNUMBER('Calibrare_Linii'!J13),'Calibrare_Linii'!J13&lt;='Input_Meci'!G74)),"PASS",IF(X965="CANDIDATE","OOS PENDING","FAIL"))))</x:f>
      </x:c>
      <x:c r="Z965" s="2" t="str">
        <x:f>IF(B965="","",IF(I965&lt;&gt;"READY","",IF(OR(NOT(AND(J965="PASS",'Calibrare_Linii'!U13="VALID")),L965&gt;'Config_v6'!$B$13,W965="WATCH"),5,IF(Y965="PASS",1,MIN(5,MAX('Config_v6'!$B$42,U965)+IF(W965="PENALTY",1,0))))))</x:f>
      </x:c>
      <x:c r="AA965" s="2" t="str">
        <x:f>IF(B965="","",IF(I965&lt;&gt;"READY","NOT RELEASED",IF(Z965=5,"NO BET",IF(OR(AB965&lt;'Config_v6'!$B$16,V965&lt;'Config_v6'!$B$18),"WATCH",IF(Z965=1,"DEFENSIV",IF(Z965=2,"PRUDENT",IF(Z965=3,"MODERAT","RIDICAT")))))))</x:f>
      </x:c>
      <x:c r="AB965" s="10" t="str">
        <x:f>IF(N965="","",MIN(N965,1-S965))</x:f>
      </x:c>
      <x:c r="AC965" s="2" t="str">
        <x:f>IF(AD965&lt;&gt;1,"",COUNTIFS($Z$958:$Z$971,"&lt;"&amp;Z965,$AD$958:$AD$971,1)+COUNTIFS($Z$958:$Z$971,Z965,$AB$958:$AB$971,"&gt;"&amp;AB965,$AD$958:$AD$971,1)+COUNTIFS($Z$958:$Z$971,Z965,$AB$958:$AB$971,AB965,$V$958:$V$971,"&gt;"&amp;V965,$AD$958:$AD$971,1)+COUNTIFS($Z$958:Z965,Z965,$AB$958:AB965,AB965,$V$958:V965,V965,$AD$958:AD965,1))</x:f>
      </x:c>
      <x:c r="AD965" s="2" t="n">
        <x:f>IF(OR(AA965="DEFENSIV",AA965="PRUDENT",AA965="MODERAT",AA965="RIDICAT"),1,0)</x:f>
        <x:v>0</x:v>
      </x:c>
      <x:c r="AE965" s="2" t="str">
        <x:f>IF(AD965&lt;&gt;1,"NO",IF(W965="PASS","YES",IF(W965="OOS PENDING","CONDITIONAL","NO")))</x:f>
        <x:v>NO</x:v>
      </x:c>
      <x:c r="AF965" s="2" t="n">
        <x:f>IF(AND(AD965=1,AC965=1,E965="LIVE"),1,0)</x:f>
        <x:v>0</x:v>
      </x:c>
      <x:c r="AG965" s="2" t="str">
        <x:f>IF(AF965&lt;&gt;1,"",'Dashboard'!P94)</x:f>
      </x:c>
      <x:c r="AH965" s="2" t="str">
        <x:f>IF(B965="","",IF(J965&lt;&gt;"PASS",'Motor_Meciuri'!J74,IF('Calibrare_Linii'!U13&lt;&gt;"VALID","Parametri linie invalizi",IF(L965&gt;'Config_v6'!$B$13,"Dispersie peste limita",IF(W965="WATCH","Failure peste limita",IF(AB965&lt;'Config_v6'!$B$16,"P finala sub prag",IF(V965&lt;'Config_v6'!$B$18,"Confidence sub prag",IF(E965="REPLAY","Exemplu retrospectiv; exclus din Top LIVE",IF(Y965="PASS","DEFENSIV validat",IF(W965="OOS PENDING","Eligibil; calibrare linie in monitorizare","Eligibil"))))))))))</x:f>
      </x:c>
      <x:c r="AI965" s="2" t="str">
        <x:f>IF(B965="","",'Calibrare_Linii'!V13)</x:f>
      </x:c>
      <x:c r="AJ965" s="2" t="str">
        <x:f>IF(B965="","",IF(AND('Calibrare_Linii'!T13="VALIDATED",AND('Calibrare_Linii'!H13=C965,ISNUMBER('Calibrare_Linii'!J13),'Calibrare_Linii'!J13&lt;='Input_Meci'!G74)),"DEFENSIVE VALIDATED",IF(AND('Calibrare_Linii'!S13="VALIDATED",AND('Calibrare_Linii'!H13=C965,ISNUMBER('Calibrare_Linii'!J13),'Calibrare_Linii'!J13&lt;='Input_Meci'!G74)),"TAIL VALIDATED","OOS PENDING")))</x:f>
      </x:c>
      <x:c r="AK965" s="2" t="n">
        <x:f>IF(J965&lt;&gt;"PASS",0,'Motor_Meciuri'!BR74)</x:f>
        <x:v>0</x:v>
      </x:c>
      <x:c r="AL965" s="2" t="n">
        <x:f>IF(J965&lt;&gt;"PASS",0,'Motor_Meciuri'!BS74)</x:f>
        <x:v>0</x:v>
      </x:c>
      <x:c r="AM965" s="2" t="n">
        <x:f>IF(J965&lt;&gt;"PASS",0,'Motor_Meciuri'!BT74)</x:f>
        <x:v>0</x:v>
      </x:c>
      <x:c r="AN965" s="2" t="str">
        <x:f>IF(M965="","",MAX(0,'Motor_Meciuri'!BF74-IF(L965&gt;'Config_v6'!$B$12,'Config_v6'!$B$37,IF(L965&gt;'Config_v6'!$B$11,'Config_v6'!$B$36,0))))</x:f>
      </x:c>
    </x:row>
    <x:row r="966" ht="21" customHeight="1">
      <x:c r="A966" s="2" t="n">
        <x:v>69</x:v>
      </x:c>
      <x:c r="B966" s="2" t="str">
        <x:f>IF('Motor_Meciuri'!A74="","",'Motor_Meciuri'!A74)</x:f>
      </x:c>
      <x:c r="C966" s="2" t="str">
        <x:f>IF(B966="","",'Motor_Meciuri'!B74)</x:f>
      </x:c>
      <x:c r="D966" s="2" t="str">
        <x:f>IF(B966="","",'Motor_Meciuri'!D74)</x:f>
      </x:c>
      <x:c r="E966" s="2" t="str">
        <x:f>IF(B966="","",'Motor_Meciuri'!E74)</x:f>
      </x:c>
      <x:c r="F966" s="2" t="str">
        <x:v>U12,5</x:v>
      </x:c>
      <x:c r="G966" s="2" t="str">
        <x:v>UNDER</x:v>
      </x:c>
      <x:c r="H966" s="2" t="n">
        <x:v>12</x:v>
      </x:c>
      <x:c r="I966" s="2" t="str">
        <x:f>IF(B966="","",'Motor_Meciuri'!H74)</x:f>
      </x:c>
      <x:c r="J966" s="2" t="str">
        <x:f>IF(B966="","",'Motor_Meciuri'!I74)</x:f>
      </x:c>
      <x:c r="K966" s="11" t="str">
        <x:f>IF(J966&lt;&gt;"PASS","",'Motor_Meciuri'!BD74)</x:f>
      </x:c>
      <x:c r="L966" s="11" t="str">
        <x:f>IF(J966&lt;&gt;"PASS","",'Motor_Meciuri'!AU74)</x:f>
      </x:c>
      <x:c r="M966" s="10" t="str">
        <x:f>IF(NOT(AND(J966="PASS",'Calibrare_Linii'!U14="VALID")),"",'Distributie'!AJ74)</x:f>
      </x:c>
      <x:c r="N966" s="10" t="str">
        <x:f>IF(M966="","",MAX(0.01,MIN(0.99,0.5+(M966-0.5)*'Motor_Meciuri'!BG74*'Calibrare_Linii'!D14)))</x:f>
      </x:c>
      <x:c r="O966" s="10" t="str">
        <x:f>IF(M966="","",1-M966)</x:f>
      </x:c>
      <x:c r="P966" s="10" t="str">
        <x:f>IF(OR(NOT(AND(J966="PASS",'Calibrare_Linii'!U14="VALID")),AK966=0),""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*('Istoric_Nativ'!$Q$6:$Q$405&gt;H966))/AK966)</x:f>
      </x:c>
      <x:c r="Q966" s="10" t="str">
        <x:f>IF(OR(NOT(AND(J966="PASS",'Calibrare_Linii'!U14="VALID")),AL966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M74)+((('Istoric_Nativ'!$E$6:$E$405='Input_Meci'!E74)+('Istoric_Nativ'!$F$6:$F$405='Input_Meci'!E74))&gt;0)*('Istoric_Nativ'!$D$6:$D$405&gt;='Motor_Meciuri'!BN74))&gt;0)*('Istoric_Nativ'!$Q$6:$Q$405&gt;H966))/AL966)</x:f>
      </x:c>
      <x:c r="R966" s="10" t="str">
        <x:f>IF(OR(NOT(AND(J966="PASS",'Calibrare_Linii'!U14="VALID")),AM966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O74)+((('Istoric_Nativ'!$E$6:$E$405='Input_Meci'!E74)+('Istoric_Nativ'!$F$6:$F$405='Input_Meci'!E74))&gt;0)*('Istoric_Nativ'!$D$6:$D$405&gt;='Motor_Meciuri'!BP74))&gt;0)*('Istoric_Nativ'!$Q$6:$Q$405&gt;H966))/AM966)</x:f>
      </x:c>
      <x:c r="S966" s="10" t="str">
        <x:f>IF(M966="","",MAX(O966,P966,Q966,R966))</x:f>
      </x:c>
      <x:c r="T966" s="11" t="str">
        <x:f>IF(M966="","",MIN(100,S966*100*'Config_v6'!$B$44+MIN(100,L966/'Config_v6'!$B$13*100)*'Config_v6'!$B$45+(100-'Motor_Meciuri'!BF74)*'Config_v6'!$B$46+'Motor_Meciuri'!BH74*100*'Config_v6'!$B$47))</x:f>
      </x:c>
      <x:c r="U966" s="2" t="str">
        <x:f>IF(T966="","",IF(T966&lt;=20,1,IF(T966&lt;=40,2,IF(T966&lt;=60,3,IF(T966&lt;=80,4,5)))))</x:f>
      </x:c>
      <x:c r="V966" s="2" t="str">
        <x:f>IF(M966="","",MAX(0,'Motor_Meciuri'!BF74-IF(W966="OOS PENDING",'Config_v6'!$B$35,0)-IF(L966&gt;'Config_v6'!$B$12,'Config_v6'!$B$37,IF(L966&gt;'Config_v6'!$B$11,'Config_v6'!$B$36,0))))</x:f>
      </x:c>
      <x:c r="W966" s="2" t="str">
        <x:f>IF(B966="","",IF(I966&lt;&gt;"READY","NOT RELEASED",IF(NOT(AND(J966="PASS",'Calibrare_Linii'!U14="VALID")),"INVALID",IF(NOT(AND('Calibrare_Linii'!S14="VALIDATED",AND('Calibrare_Linii'!H14=C966,ISNUMBER('Calibrare_Linii'!J14),'Calibrare_Linii'!J14&lt;='Input_Meci'!G74))),"OOS PENDING",IF(S966&lt;='Calibrare_Linii'!E14,"PASS",IF(S966&lt;='Calibrare_Linii'!F14,"PENALTY","WATCH"))))))</x:f>
      </x:c>
      <x:c r="X966" s="2" t="str">
        <x:f>IF(M966="","",IF(AND(AND(J966="PASS",'Calibrare_Linii'!U14="VALID"),'Motor_Meciuri'!K74=12,'Motor_Meciuri'!L74=12,'Motor_Meciuri'!M74="NO",'Motor_Meciuri'!BL74='Motor_Meciuri'!C74,AB966&gt;='Config_v6'!$B$50,AN966&gt;='Config_v6'!$B$51,T966&lt;='Config_v6'!$B$52,L966&lt;='Config_v6'!$B$53,ISNUMBER('Calibrare_Linii'!E14),S966&lt;='Calibrare_Linii'!E14,SUM(AK966:AM966)&gt;0),"CANDIDATE","NO"))</x:f>
      </x:c>
      <x:c r="Y966" s="2" t="str">
        <x:f>IF(B966="","",IF(I966&lt;&gt;"READY","NOT RELEASED",IF(AND(X966="CANDIDATE",V966&gt;='Config_v6'!$B$51,W966="PASS",'Calibrare_Linii'!T14="VALIDATED",AND('Calibrare_Linii'!H14=C966,ISNUMBER('Calibrare_Linii'!J14),'Calibrare_Linii'!J14&lt;='Input_Meci'!G74)),"PASS",IF(X966="CANDIDATE","OOS PENDING","FAIL"))))</x:f>
      </x:c>
      <x:c r="Z966" s="2" t="str">
        <x:f>IF(B966="","",IF(I966&lt;&gt;"READY","",IF(OR(NOT(AND(J966="PASS",'Calibrare_Linii'!U14="VALID")),L966&gt;'Config_v6'!$B$13,W966="WATCH"),5,IF(Y966="PASS",1,MIN(5,MAX('Config_v6'!$B$42,U966)+IF(W966="PENALTY",1,0))))))</x:f>
      </x:c>
      <x:c r="AA966" s="2" t="str">
        <x:f>IF(B966="","",IF(I966&lt;&gt;"READY","NOT RELEASED",IF(Z966=5,"NO BET",IF(OR(AB966&lt;'Config_v6'!$B$16,V966&lt;'Config_v6'!$B$18),"WATCH",IF(Z966=1,"DEFENSIV",IF(Z966=2,"PRUDENT",IF(Z966=3,"MODERAT","RIDICAT")))))))</x:f>
      </x:c>
      <x:c r="AB966" s="10" t="str">
        <x:f>IF(N966="","",MIN(N966,1-S966))</x:f>
      </x:c>
      <x:c r="AC966" s="2" t="str">
        <x:f>IF(AD966&lt;&gt;1,"",COUNTIFS($Z$958:$Z$971,"&lt;"&amp;Z966,$AD$958:$AD$971,1)+COUNTIFS($Z$958:$Z$971,Z966,$AB$958:$AB$971,"&gt;"&amp;AB966,$AD$958:$AD$971,1)+COUNTIFS($Z$958:$Z$971,Z966,$AB$958:$AB$971,AB966,$V$958:$V$971,"&gt;"&amp;V966,$AD$958:$AD$971,1)+COUNTIFS($Z$958:Z966,Z966,$AB$958:AB966,AB966,$V$958:V966,V966,$AD$958:AD966,1))</x:f>
      </x:c>
      <x:c r="AD966" s="2" t="n">
        <x:f>IF(OR(AA966="DEFENSIV",AA966="PRUDENT",AA966="MODERAT",AA966="RIDICAT"),1,0)</x:f>
        <x:v>0</x:v>
      </x:c>
      <x:c r="AE966" s="2" t="str">
        <x:f>IF(AD966&lt;&gt;1,"NO",IF(W966="PASS","YES",IF(W966="OOS PENDING","CONDITIONAL","NO")))</x:f>
        <x:v>NO</x:v>
      </x:c>
      <x:c r="AF966" s="2" t="n">
        <x:f>IF(AND(AD966=1,AC966=1,E966="LIVE"),1,0)</x:f>
        <x:v>0</x:v>
      </x:c>
      <x:c r="AG966" s="2" t="str">
        <x:f>IF(AF966&lt;&gt;1,"",'Dashboard'!P94)</x:f>
      </x:c>
      <x:c r="AH966" s="2" t="str">
        <x:f>IF(B966="","",IF(J966&lt;&gt;"PASS",'Motor_Meciuri'!J74,IF('Calibrare_Linii'!U14&lt;&gt;"VALID","Parametri linie invalizi",IF(L966&gt;'Config_v6'!$B$13,"Dispersie peste limita",IF(W966="WATCH","Failure peste limita",IF(AB966&lt;'Config_v6'!$B$16,"P finala sub prag",IF(V966&lt;'Config_v6'!$B$18,"Confidence sub prag",IF(E966="REPLAY","Exemplu retrospectiv; exclus din Top LIVE",IF(Y966="PASS","DEFENSIV validat",IF(W966="OOS PENDING","Eligibil; calibrare linie in monitorizare","Eligibil"))))))))))</x:f>
      </x:c>
      <x:c r="AI966" s="2" t="str">
        <x:f>IF(B966="","",'Calibrare_Linii'!V14)</x:f>
      </x:c>
      <x:c r="AJ966" s="2" t="str">
        <x:f>IF(B966="","",IF(AND('Calibrare_Linii'!T14="VALIDATED",AND('Calibrare_Linii'!H14=C966,ISNUMBER('Calibrare_Linii'!J14),'Calibrare_Linii'!J14&lt;='Input_Meci'!G74)),"DEFENSIVE VALIDATED",IF(AND('Calibrare_Linii'!S14="VALIDATED",AND('Calibrare_Linii'!H14=C966,ISNUMBER('Calibrare_Linii'!J14),'Calibrare_Linii'!J14&lt;='Input_Meci'!G74)),"TAIL VALIDATED","OOS PENDING")))</x:f>
      </x:c>
      <x:c r="AK966" s="2" t="n">
        <x:f>IF(J966&lt;&gt;"PASS",0,'Motor_Meciuri'!BR74)</x:f>
        <x:v>0</x:v>
      </x:c>
      <x:c r="AL966" s="2" t="n">
        <x:f>IF(J966&lt;&gt;"PASS",0,'Motor_Meciuri'!BS74)</x:f>
        <x:v>0</x:v>
      </x:c>
      <x:c r="AM966" s="2" t="n">
        <x:f>IF(J966&lt;&gt;"PASS",0,'Motor_Meciuri'!BT74)</x:f>
        <x:v>0</x:v>
      </x:c>
      <x:c r="AN966" s="2" t="str">
        <x:f>IF(M966="","",MAX(0,'Motor_Meciuri'!BF74-IF(L966&gt;'Config_v6'!$B$12,'Config_v6'!$B$37,IF(L966&gt;'Config_v6'!$B$11,'Config_v6'!$B$36,0))))</x:f>
      </x:c>
    </x:row>
    <x:row r="967" ht="21" customHeight="1">
      <x:c r="A967" s="2" t="n">
        <x:v>69</x:v>
      </x:c>
      <x:c r="B967" s="2" t="str">
        <x:f>IF('Motor_Meciuri'!A74="","",'Motor_Meciuri'!A74)</x:f>
      </x:c>
      <x:c r="C967" s="2" t="str">
        <x:f>IF(B967="","",'Motor_Meciuri'!B74)</x:f>
      </x:c>
      <x:c r="D967" s="2" t="str">
        <x:f>IF(B967="","",'Motor_Meciuri'!D74)</x:f>
      </x:c>
      <x:c r="E967" s="2" t="str">
        <x:f>IF(B967="","",'Motor_Meciuri'!E74)</x:f>
      </x:c>
      <x:c r="F967" s="2" t="str">
        <x:v>U13,5</x:v>
      </x:c>
      <x:c r="G967" s="2" t="str">
        <x:v>UNDER</x:v>
      </x:c>
      <x:c r="H967" s="2" t="n">
        <x:v>13</x:v>
      </x:c>
      <x:c r="I967" s="2" t="str">
        <x:f>IF(B967="","",'Motor_Meciuri'!H74)</x:f>
      </x:c>
      <x:c r="J967" s="2" t="str">
        <x:f>IF(B967="","",'Motor_Meciuri'!I74)</x:f>
      </x:c>
      <x:c r="K967" s="11" t="str">
        <x:f>IF(J967&lt;&gt;"PASS","",'Motor_Meciuri'!BD74)</x:f>
      </x:c>
      <x:c r="L967" s="11" t="str">
        <x:f>IF(J967&lt;&gt;"PASS","",'Motor_Meciuri'!AU74)</x:f>
      </x:c>
      <x:c r="M967" s="10" t="str">
        <x:f>IF(NOT(AND(J967="PASS",'Calibrare_Linii'!U15="VALID")),"",'Distributie'!AK74)</x:f>
      </x:c>
      <x:c r="N967" s="10" t="str">
        <x:f>IF(M967="","",MAX(0.01,MIN(0.99,0.5+(M967-0.5)*'Motor_Meciuri'!BG74*'Calibrare_Linii'!D15)))</x:f>
      </x:c>
      <x:c r="O967" s="10" t="str">
        <x:f>IF(M967="","",1-M967)</x:f>
      </x:c>
      <x:c r="P967" s="10" t="str">
        <x:f>IF(OR(NOT(AND(J967="PASS",'Calibrare_Linii'!U15="VALID")),AK967=0),""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*('Istoric_Nativ'!$Q$6:$Q$405&gt;H967))/AK967)</x:f>
      </x:c>
      <x:c r="Q967" s="10" t="str">
        <x:f>IF(OR(NOT(AND(J967="PASS",'Calibrare_Linii'!U15="VALID")),AL967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M74)+((('Istoric_Nativ'!$E$6:$E$405='Input_Meci'!E74)+('Istoric_Nativ'!$F$6:$F$405='Input_Meci'!E74))&gt;0)*('Istoric_Nativ'!$D$6:$D$405&gt;='Motor_Meciuri'!BN74))&gt;0)*('Istoric_Nativ'!$Q$6:$Q$405&gt;H967))/AL967)</x:f>
      </x:c>
      <x:c r="R967" s="10" t="str">
        <x:f>IF(OR(NOT(AND(J967="PASS",'Calibrare_Linii'!U15="VALID")),AM967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O74)+((('Istoric_Nativ'!$E$6:$E$405='Input_Meci'!E74)+('Istoric_Nativ'!$F$6:$F$405='Input_Meci'!E74))&gt;0)*('Istoric_Nativ'!$D$6:$D$405&gt;='Motor_Meciuri'!BP74))&gt;0)*('Istoric_Nativ'!$Q$6:$Q$405&gt;H967))/AM967)</x:f>
      </x:c>
      <x:c r="S967" s="10" t="str">
        <x:f>IF(M967="","",MAX(O967,P967,Q967,R967))</x:f>
      </x:c>
      <x:c r="T967" s="11" t="str">
        <x:f>IF(M967="","",MIN(100,S967*100*'Config_v6'!$B$44+MIN(100,L967/'Config_v6'!$B$13*100)*'Config_v6'!$B$45+(100-'Motor_Meciuri'!BF74)*'Config_v6'!$B$46+'Motor_Meciuri'!BH74*100*'Config_v6'!$B$47))</x:f>
      </x:c>
      <x:c r="U967" s="2" t="str">
        <x:f>IF(T967="","",IF(T967&lt;=20,1,IF(T967&lt;=40,2,IF(T967&lt;=60,3,IF(T967&lt;=80,4,5)))))</x:f>
      </x:c>
      <x:c r="V967" s="2" t="str">
        <x:f>IF(M967="","",MAX(0,'Motor_Meciuri'!BF74-IF(W967="OOS PENDING",'Config_v6'!$B$35,0)-IF(L967&gt;'Config_v6'!$B$12,'Config_v6'!$B$37,IF(L967&gt;'Config_v6'!$B$11,'Config_v6'!$B$36,0))))</x:f>
      </x:c>
      <x:c r="W967" s="2" t="str">
        <x:f>IF(B967="","",IF(I967&lt;&gt;"READY","NOT RELEASED",IF(NOT(AND(J967="PASS",'Calibrare_Linii'!U15="VALID")),"INVALID",IF(NOT(AND('Calibrare_Linii'!S15="VALIDATED",AND('Calibrare_Linii'!H15=C967,ISNUMBER('Calibrare_Linii'!J15),'Calibrare_Linii'!J15&lt;='Input_Meci'!G74))),"OOS PENDING",IF(S967&lt;='Calibrare_Linii'!E15,"PASS",IF(S967&lt;='Calibrare_Linii'!F15,"PENALTY","WATCH"))))))</x:f>
      </x:c>
      <x:c r="X967" s="2" t="str">
        <x:f>IF(M967="","",IF(AND(AND(J967="PASS",'Calibrare_Linii'!U15="VALID"),'Motor_Meciuri'!K74=12,'Motor_Meciuri'!L74=12,'Motor_Meciuri'!M74="NO",'Motor_Meciuri'!BL74='Motor_Meciuri'!C74,AB967&gt;='Config_v6'!$B$50,AN967&gt;='Config_v6'!$B$51,T967&lt;='Config_v6'!$B$52,L967&lt;='Config_v6'!$B$53,ISNUMBER('Calibrare_Linii'!E15),S967&lt;='Calibrare_Linii'!E15,SUM(AK967:AM967)&gt;0),"CANDIDATE","NO"))</x:f>
      </x:c>
      <x:c r="Y967" s="2" t="str">
        <x:f>IF(B967="","",IF(I967&lt;&gt;"READY","NOT RELEASED",IF(AND(X967="CANDIDATE",V967&gt;='Config_v6'!$B$51,W967="PASS",'Calibrare_Linii'!T15="VALIDATED",AND('Calibrare_Linii'!H15=C967,ISNUMBER('Calibrare_Linii'!J15),'Calibrare_Linii'!J15&lt;='Input_Meci'!G74)),"PASS",IF(X967="CANDIDATE","OOS PENDING","FAIL"))))</x:f>
      </x:c>
      <x:c r="Z967" s="2" t="str">
        <x:f>IF(B967="","",IF(I967&lt;&gt;"READY","",IF(OR(NOT(AND(J967="PASS",'Calibrare_Linii'!U15="VALID")),L967&gt;'Config_v6'!$B$13,W967="WATCH"),5,IF(Y967="PASS",1,MIN(5,MAX('Config_v6'!$B$42,U967)+IF(W967="PENALTY",1,0))))))</x:f>
      </x:c>
      <x:c r="AA967" s="2" t="str">
        <x:f>IF(B967="","",IF(I967&lt;&gt;"READY","NOT RELEASED",IF(Z967=5,"NO BET",IF(OR(AB967&lt;'Config_v6'!$B$16,V967&lt;'Config_v6'!$B$18),"WATCH",IF(Z967=1,"DEFENSIV",IF(Z967=2,"PRUDENT",IF(Z967=3,"MODERAT","RIDICAT")))))))</x:f>
      </x:c>
      <x:c r="AB967" s="10" t="str">
        <x:f>IF(N967="","",MIN(N967,1-S967))</x:f>
      </x:c>
      <x:c r="AC967" s="2" t="str">
        <x:f>IF(AD967&lt;&gt;1,"",COUNTIFS($Z$958:$Z$971,"&lt;"&amp;Z967,$AD$958:$AD$971,1)+COUNTIFS($Z$958:$Z$971,Z967,$AB$958:$AB$971,"&gt;"&amp;AB967,$AD$958:$AD$971,1)+COUNTIFS($Z$958:$Z$971,Z967,$AB$958:$AB$971,AB967,$V$958:$V$971,"&gt;"&amp;V967,$AD$958:$AD$971,1)+COUNTIFS($Z$958:Z967,Z967,$AB$958:AB967,AB967,$V$958:V967,V967,$AD$958:AD967,1))</x:f>
      </x:c>
      <x:c r="AD967" s="2" t="n">
        <x:f>IF(OR(AA967="DEFENSIV",AA967="PRUDENT",AA967="MODERAT",AA967="RIDICAT"),1,0)</x:f>
        <x:v>0</x:v>
      </x:c>
      <x:c r="AE967" s="2" t="str">
        <x:f>IF(AD967&lt;&gt;1,"NO",IF(W967="PASS","YES",IF(W967="OOS PENDING","CONDITIONAL","NO")))</x:f>
        <x:v>NO</x:v>
      </x:c>
      <x:c r="AF967" s="2" t="n">
        <x:f>IF(AND(AD967=1,AC967=1,E967="LIVE"),1,0)</x:f>
        <x:v>0</x:v>
      </x:c>
      <x:c r="AG967" s="2" t="str">
        <x:f>IF(AF967&lt;&gt;1,"",'Dashboard'!P94)</x:f>
      </x:c>
      <x:c r="AH967" s="2" t="str">
        <x:f>IF(B967="","",IF(J967&lt;&gt;"PASS",'Motor_Meciuri'!J74,IF('Calibrare_Linii'!U15&lt;&gt;"VALID","Parametri linie invalizi",IF(L967&gt;'Config_v6'!$B$13,"Dispersie peste limita",IF(W967="WATCH","Failure peste limita",IF(AB967&lt;'Config_v6'!$B$16,"P finala sub prag",IF(V967&lt;'Config_v6'!$B$18,"Confidence sub prag",IF(E967="REPLAY","Exemplu retrospectiv; exclus din Top LIVE",IF(Y967="PASS","DEFENSIV validat",IF(W967="OOS PENDING","Eligibil; calibrare linie in monitorizare","Eligibil"))))))))))</x:f>
      </x:c>
      <x:c r="AI967" s="2" t="str">
        <x:f>IF(B967="","",'Calibrare_Linii'!V15)</x:f>
      </x:c>
      <x:c r="AJ967" s="2" t="str">
        <x:f>IF(B967="","",IF(AND('Calibrare_Linii'!T15="VALIDATED",AND('Calibrare_Linii'!H15=C967,ISNUMBER('Calibrare_Linii'!J15),'Calibrare_Linii'!J15&lt;='Input_Meci'!G74)),"DEFENSIVE VALIDATED",IF(AND('Calibrare_Linii'!S15="VALIDATED",AND('Calibrare_Linii'!H15=C967,ISNUMBER('Calibrare_Linii'!J15),'Calibrare_Linii'!J15&lt;='Input_Meci'!G74)),"TAIL VALIDATED","OOS PENDING")))</x:f>
      </x:c>
      <x:c r="AK967" s="2" t="n">
        <x:f>IF(J967&lt;&gt;"PASS",0,'Motor_Meciuri'!BR74)</x:f>
        <x:v>0</x:v>
      </x:c>
      <x:c r="AL967" s="2" t="n">
        <x:f>IF(J967&lt;&gt;"PASS",0,'Motor_Meciuri'!BS74)</x:f>
        <x:v>0</x:v>
      </x:c>
      <x:c r="AM967" s="2" t="n">
        <x:f>IF(J967&lt;&gt;"PASS",0,'Motor_Meciuri'!BT74)</x:f>
        <x:v>0</x:v>
      </x:c>
      <x:c r="AN967" s="2" t="str">
        <x:f>IF(M967="","",MAX(0,'Motor_Meciuri'!BF74-IF(L967&gt;'Config_v6'!$B$12,'Config_v6'!$B$37,IF(L967&gt;'Config_v6'!$B$11,'Config_v6'!$B$36,0))))</x:f>
      </x:c>
    </x:row>
    <x:row r="968" ht="21" customHeight="1">
      <x:c r="A968" s="2" t="n">
        <x:v>69</x:v>
      </x:c>
      <x:c r="B968" s="2" t="str">
        <x:f>IF('Motor_Meciuri'!A74="","",'Motor_Meciuri'!A74)</x:f>
      </x:c>
      <x:c r="C968" s="2" t="str">
        <x:f>IF(B968="","",'Motor_Meciuri'!B74)</x:f>
      </x:c>
      <x:c r="D968" s="2" t="str">
        <x:f>IF(B968="","",'Motor_Meciuri'!D74)</x:f>
      </x:c>
      <x:c r="E968" s="2" t="str">
        <x:f>IF(B968="","",'Motor_Meciuri'!E74)</x:f>
      </x:c>
      <x:c r="F968" s="2" t="str">
        <x:v>U14,5</x:v>
      </x:c>
      <x:c r="G968" s="2" t="str">
        <x:v>UNDER</x:v>
      </x:c>
      <x:c r="H968" s="2" t="n">
        <x:v>14</x:v>
      </x:c>
      <x:c r="I968" s="2" t="str">
        <x:f>IF(B968="","",'Motor_Meciuri'!H74)</x:f>
      </x:c>
      <x:c r="J968" s="2" t="str">
        <x:f>IF(B968="","",'Motor_Meciuri'!I74)</x:f>
      </x:c>
      <x:c r="K968" s="11" t="str">
        <x:f>IF(J968&lt;&gt;"PASS","",'Motor_Meciuri'!BD74)</x:f>
      </x:c>
      <x:c r="L968" s="11" t="str">
        <x:f>IF(J968&lt;&gt;"PASS","",'Motor_Meciuri'!AU74)</x:f>
      </x:c>
      <x:c r="M968" s="10" t="str">
        <x:f>IF(NOT(AND(J968="PASS",'Calibrare_Linii'!U16="VALID")),"",'Distributie'!AL74)</x:f>
      </x:c>
      <x:c r="N968" s="10" t="str">
        <x:f>IF(M968="","",MAX(0.01,MIN(0.99,0.5+(M968-0.5)*'Motor_Meciuri'!BG74*'Calibrare_Linii'!D16)))</x:f>
      </x:c>
      <x:c r="O968" s="10" t="str">
        <x:f>IF(M968="","",1-M968)</x:f>
      </x:c>
      <x:c r="P968" s="10" t="str">
        <x:f>IF(OR(NOT(AND(J968="PASS",'Calibrare_Linii'!U16="VALID")),AK968=0),""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*('Istoric_Nativ'!$Q$6:$Q$405&gt;H968))/AK968)</x:f>
      </x:c>
      <x:c r="Q968" s="10" t="str">
        <x:f>IF(OR(NOT(AND(J968="PASS",'Calibrare_Linii'!U16="VALID")),AL968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M74)+((('Istoric_Nativ'!$E$6:$E$405='Input_Meci'!E74)+('Istoric_Nativ'!$F$6:$F$405='Input_Meci'!E74))&gt;0)*('Istoric_Nativ'!$D$6:$D$405&gt;='Motor_Meciuri'!BN74))&gt;0)*('Istoric_Nativ'!$Q$6:$Q$405&gt;H968))/AL968)</x:f>
      </x:c>
      <x:c r="R968" s="10" t="str">
        <x:f>IF(OR(NOT(AND(J968="PASS",'Calibrare_Linii'!U16="VALID")),AM968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O74)+((('Istoric_Nativ'!$E$6:$E$405='Input_Meci'!E74)+('Istoric_Nativ'!$F$6:$F$405='Input_Meci'!E74))&gt;0)*('Istoric_Nativ'!$D$6:$D$405&gt;='Motor_Meciuri'!BP74))&gt;0)*('Istoric_Nativ'!$Q$6:$Q$405&gt;H968))/AM968)</x:f>
      </x:c>
      <x:c r="S968" s="10" t="str">
        <x:f>IF(M968="","",MAX(O968,P968,Q968,R968))</x:f>
      </x:c>
      <x:c r="T968" s="11" t="str">
        <x:f>IF(M968="","",MIN(100,S968*100*'Config_v6'!$B$44+MIN(100,L968/'Config_v6'!$B$13*100)*'Config_v6'!$B$45+(100-'Motor_Meciuri'!BF74)*'Config_v6'!$B$46+'Motor_Meciuri'!BH74*100*'Config_v6'!$B$47))</x:f>
      </x:c>
      <x:c r="U968" s="2" t="str">
        <x:f>IF(T968="","",IF(T968&lt;=20,1,IF(T968&lt;=40,2,IF(T968&lt;=60,3,IF(T968&lt;=80,4,5)))))</x:f>
      </x:c>
      <x:c r="V968" s="2" t="str">
        <x:f>IF(M968="","",MAX(0,'Motor_Meciuri'!BF74-IF(W968="OOS PENDING",'Config_v6'!$B$35,0)-IF(L968&gt;'Config_v6'!$B$12,'Config_v6'!$B$37,IF(L968&gt;'Config_v6'!$B$11,'Config_v6'!$B$36,0))))</x:f>
      </x:c>
      <x:c r="W968" s="2" t="str">
        <x:f>IF(B968="","",IF(I968&lt;&gt;"READY","NOT RELEASED",IF(NOT(AND(J968="PASS",'Calibrare_Linii'!U16="VALID")),"INVALID",IF(NOT(AND('Calibrare_Linii'!S16="VALIDATED",AND('Calibrare_Linii'!H16=C968,ISNUMBER('Calibrare_Linii'!J16),'Calibrare_Linii'!J16&lt;='Input_Meci'!G74))),"OOS PENDING",IF(S968&lt;='Calibrare_Linii'!E16,"PASS",IF(S968&lt;='Calibrare_Linii'!F16,"PENALTY","WATCH"))))))</x:f>
      </x:c>
      <x:c r="X968" s="2" t="str">
        <x:f>IF(M968="","",IF(AND(AND(J968="PASS",'Calibrare_Linii'!U16="VALID"),'Motor_Meciuri'!K74=12,'Motor_Meciuri'!L74=12,'Motor_Meciuri'!M74="NO",'Motor_Meciuri'!BL74='Motor_Meciuri'!C74,AB968&gt;='Config_v6'!$B$50,AN968&gt;='Config_v6'!$B$51,T968&lt;='Config_v6'!$B$52,L968&lt;='Config_v6'!$B$53,ISNUMBER('Calibrare_Linii'!E16),S968&lt;='Calibrare_Linii'!E16,SUM(AK968:AM968)&gt;0),"CANDIDATE","NO"))</x:f>
      </x:c>
      <x:c r="Y968" s="2" t="str">
        <x:f>IF(B968="","",IF(I968&lt;&gt;"READY","NOT RELEASED",IF(AND(X968="CANDIDATE",V968&gt;='Config_v6'!$B$51,W968="PASS",'Calibrare_Linii'!T16="VALIDATED",AND('Calibrare_Linii'!H16=C968,ISNUMBER('Calibrare_Linii'!J16),'Calibrare_Linii'!J16&lt;='Input_Meci'!G74)),"PASS",IF(X968="CANDIDATE","OOS PENDING","FAIL"))))</x:f>
      </x:c>
      <x:c r="Z968" s="2" t="str">
        <x:f>IF(B968="","",IF(I968&lt;&gt;"READY","",IF(OR(NOT(AND(J968="PASS",'Calibrare_Linii'!U16="VALID")),L968&gt;'Config_v6'!$B$13,W968="WATCH"),5,IF(Y968="PASS",1,MIN(5,MAX('Config_v6'!$B$42,U968)+IF(W968="PENALTY",1,0))))))</x:f>
      </x:c>
      <x:c r="AA968" s="2" t="str">
        <x:f>IF(B968="","",IF(I968&lt;&gt;"READY","NOT RELEASED",IF(Z968=5,"NO BET",IF(OR(AB968&lt;'Config_v6'!$B$16,V968&lt;'Config_v6'!$B$18),"WATCH",IF(Z968=1,"DEFENSIV",IF(Z968=2,"PRUDENT",IF(Z968=3,"MODERAT","RIDICAT")))))))</x:f>
      </x:c>
      <x:c r="AB968" s="10" t="str">
        <x:f>IF(N968="","",MIN(N968,1-S968))</x:f>
      </x:c>
      <x:c r="AC968" s="2" t="str">
        <x:f>IF(AD968&lt;&gt;1,"",COUNTIFS($Z$958:$Z$971,"&lt;"&amp;Z968,$AD$958:$AD$971,1)+COUNTIFS($Z$958:$Z$971,Z968,$AB$958:$AB$971,"&gt;"&amp;AB968,$AD$958:$AD$971,1)+COUNTIFS($Z$958:$Z$971,Z968,$AB$958:$AB$971,AB968,$V$958:$V$971,"&gt;"&amp;V968,$AD$958:$AD$971,1)+COUNTIFS($Z$958:Z968,Z968,$AB$958:AB968,AB968,$V$958:V968,V968,$AD$958:AD968,1))</x:f>
      </x:c>
      <x:c r="AD968" s="2" t="n">
        <x:f>IF(OR(AA968="DEFENSIV",AA968="PRUDENT",AA968="MODERAT",AA968="RIDICAT"),1,0)</x:f>
        <x:v>0</x:v>
      </x:c>
      <x:c r="AE968" s="2" t="str">
        <x:f>IF(AD968&lt;&gt;1,"NO",IF(W968="PASS","YES",IF(W968="OOS PENDING","CONDITIONAL","NO")))</x:f>
        <x:v>NO</x:v>
      </x:c>
      <x:c r="AF968" s="2" t="n">
        <x:f>IF(AND(AD968=1,AC968=1,E968="LIVE"),1,0)</x:f>
        <x:v>0</x:v>
      </x:c>
      <x:c r="AG968" s="2" t="str">
        <x:f>IF(AF968&lt;&gt;1,"",'Dashboard'!P94)</x:f>
      </x:c>
      <x:c r="AH968" s="2" t="str">
        <x:f>IF(B968="","",IF(J968&lt;&gt;"PASS",'Motor_Meciuri'!J74,IF('Calibrare_Linii'!U16&lt;&gt;"VALID","Parametri linie invalizi",IF(L968&gt;'Config_v6'!$B$13,"Dispersie peste limita",IF(W968="WATCH","Failure peste limita",IF(AB968&lt;'Config_v6'!$B$16,"P finala sub prag",IF(V968&lt;'Config_v6'!$B$18,"Confidence sub prag",IF(E968="REPLAY","Exemplu retrospectiv; exclus din Top LIVE",IF(Y968="PASS","DEFENSIV validat",IF(W968="OOS PENDING","Eligibil; calibrare linie in monitorizare","Eligibil"))))))))))</x:f>
      </x:c>
      <x:c r="AI968" s="2" t="str">
        <x:f>IF(B968="","",'Calibrare_Linii'!V16)</x:f>
      </x:c>
      <x:c r="AJ968" s="2" t="str">
        <x:f>IF(B968="","",IF(AND('Calibrare_Linii'!T16="VALIDATED",AND('Calibrare_Linii'!H16=C968,ISNUMBER('Calibrare_Linii'!J16),'Calibrare_Linii'!J16&lt;='Input_Meci'!G74)),"DEFENSIVE VALIDATED",IF(AND('Calibrare_Linii'!S16="VALIDATED",AND('Calibrare_Linii'!H16=C968,ISNUMBER('Calibrare_Linii'!J16),'Calibrare_Linii'!J16&lt;='Input_Meci'!G74)),"TAIL VALIDATED","OOS PENDING")))</x:f>
      </x:c>
      <x:c r="AK968" s="2" t="n">
        <x:f>IF(J968&lt;&gt;"PASS",0,'Motor_Meciuri'!BR74)</x:f>
        <x:v>0</x:v>
      </x:c>
      <x:c r="AL968" s="2" t="n">
        <x:f>IF(J968&lt;&gt;"PASS",0,'Motor_Meciuri'!BS74)</x:f>
        <x:v>0</x:v>
      </x:c>
      <x:c r="AM968" s="2" t="n">
        <x:f>IF(J968&lt;&gt;"PASS",0,'Motor_Meciuri'!BT74)</x:f>
        <x:v>0</x:v>
      </x:c>
      <x:c r="AN968" s="2" t="str">
        <x:f>IF(M968="","",MAX(0,'Motor_Meciuri'!BF74-IF(L968&gt;'Config_v6'!$B$12,'Config_v6'!$B$37,IF(L968&gt;'Config_v6'!$B$11,'Config_v6'!$B$36,0))))</x:f>
      </x:c>
    </x:row>
    <x:row r="969" ht="21" customHeight="1">
      <x:c r="A969" s="2" t="n">
        <x:v>69</x:v>
      </x:c>
      <x:c r="B969" s="2" t="str">
        <x:f>IF('Motor_Meciuri'!A74="","",'Motor_Meciuri'!A74)</x:f>
      </x:c>
      <x:c r="C969" s="2" t="str">
        <x:f>IF(B969="","",'Motor_Meciuri'!B74)</x:f>
      </x:c>
      <x:c r="D969" s="2" t="str">
        <x:f>IF(B969="","",'Motor_Meciuri'!D74)</x:f>
      </x:c>
      <x:c r="E969" s="2" t="str">
        <x:f>IF(B969="","",'Motor_Meciuri'!E74)</x:f>
      </x:c>
      <x:c r="F969" s="2" t="str">
        <x:v>U15,5</x:v>
      </x:c>
      <x:c r="G969" s="2" t="str">
        <x:v>UNDER</x:v>
      </x:c>
      <x:c r="H969" s="2" t="n">
        <x:v>15</x:v>
      </x:c>
      <x:c r="I969" s="2" t="str">
        <x:f>IF(B969="","",'Motor_Meciuri'!H74)</x:f>
      </x:c>
      <x:c r="J969" s="2" t="str">
        <x:f>IF(B969="","",'Motor_Meciuri'!I74)</x:f>
      </x:c>
      <x:c r="K969" s="11" t="str">
        <x:f>IF(J969&lt;&gt;"PASS","",'Motor_Meciuri'!BD74)</x:f>
      </x:c>
      <x:c r="L969" s="11" t="str">
        <x:f>IF(J969&lt;&gt;"PASS","",'Motor_Meciuri'!AU74)</x:f>
      </x:c>
      <x:c r="M969" s="10" t="str">
        <x:f>IF(NOT(AND(J969="PASS",'Calibrare_Linii'!U17="VALID")),"",'Distributie'!AM74)</x:f>
      </x:c>
      <x:c r="N969" s="10" t="str">
        <x:f>IF(M969="","",MAX(0.01,MIN(0.99,0.5+(M969-0.5)*'Motor_Meciuri'!BG74*'Calibrare_Linii'!D17)))</x:f>
      </x:c>
      <x:c r="O969" s="10" t="str">
        <x:f>IF(M969="","",1-M969)</x:f>
      </x:c>
      <x:c r="P969" s="10" t="str">
        <x:f>IF(OR(NOT(AND(J969="PASS",'Calibrare_Linii'!U17="VALID")),AK969=0),""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*('Istoric_Nativ'!$Q$6:$Q$405&gt;H969))/AK969)</x:f>
      </x:c>
      <x:c r="Q969" s="10" t="str">
        <x:f>IF(OR(NOT(AND(J969="PASS",'Calibrare_Linii'!U17="VALID")),AL969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M74)+((('Istoric_Nativ'!$E$6:$E$405='Input_Meci'!E74)+('Istoric_Nativ'!$F$6:$F$405='Input_Meci'!E74))&gt;0)*('Istoric_Nativ'!$D$6:$D$405&gt;='Motor_Meciuri'!BN74))&gt;0)*('Istoric_Nativ'!$Q$6:$Q$405&gt;H969))/AL969)</x:f>
      </x:c>
      <x:c r="R969" s="10" t="str">
        <x:f>IF(OR(NOT(AND(J969="PASS",'Calibrare_Linii'!U17="VALID")),AM969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O74)+((('Istoric_Nativ'!$E$6:$E$405='Input_Meci'!E74)+('Istoric_Nativ'!$F$6:$F$405='Input_Meci'!E74))&gt;0)*('Istoric_Nativ'!$D$6:$D$405&gt;='Motor_Meciuri'!BP74))&gt;0)*('Istoric_Nativ'!$Q$6:$Q$405&gt;H969))/AM969)</x:f>
      </x:c>
      <x:c r="S969" s="10" t="str">
        <x:f>IF(M969="","",MAX(O969,P969,Q969,R969))</x:f>
      </x:c>
      <x:c r="T969" s="11" t="str">
        <x:f>IF(M969="","",MIN(100,S969*100*'Config_v6'!$B$44+MIN(100,L969/'Config_v6'!$B$13*100)*'Config_v6'!$B$45+(100-'Motor_Meciuri'!BF74)*'Config_v6'!$B$46+'Motor_Meciuri'!BH74*100*'Config_v6'!$B$47))</x:f>
      </x:c>
      <x:c r="U969" s="2" t="str">
        <x:f>IF(T969="","",IF(T969&lt;=20,1,IF(T969&lt;=40,2,IF(T969&lt;=60,3,IF(T969&lt;=80,4,5)))))</x:f>
      </x:c>
      <x:c r="V969" s="2" t="str">
        <x:f>IF(M969="","",MAX(0,'Motor_Meciuri'!BF74-IF(W969="OOS PENDING",'Config_v6'!$B$35,0)-IF(L969&gt;'Config_v6'!$B$12,'Config_v6'!$B$37,IF(L969&gt;'Config_v6'!$B$11,'Config_v6'!$B$36,0))))</x:f>
      </x:c>
      <x:c r="W969" s="2" t="str">
        <x:f>IF(B969="","",IF(I969&lt;&gt;"READY","NOT RELEASED",IF(NOT(AND(J969="PASS",'Calibrare_Linii'!U17="VALID")),"INVALID",IF(NOT(AND('Calibrare_Linii'!S17="VALIDATED",AND('Calibrare_Linii'!H17=C969,ISNUMBER('Calibrare_Linii'!J17),'Calibrare_Linii'!J17&lt;='Input_Meci'!G74))),"OOS PENDING",IF(S969&lt;='Calibrare_Linii'!E17,"PASS",IF(S969&lt;='Calibrare_Linii'!F17,"PENALTY","WATCH"))))))</x:f>
      </x:c>
      <x:c r="X969" s="2" t="str">
        <x:f>IF(M969="","",IF(AND(AND(J969="PASS",'Calibrare_Linii'!U17="VALID"),'Motor_Meciuri'!K74=12,'Motor_Meciuri'!L74=12,'Motor_Meciuri'!M74="NO",'Motor_Meciuri'!BL74='Motor_Meciuri'!C74,AB969&gt;='Config_v6'!$B$50,AN969&gt;='Config_v6'!$B$51,T969&lt;='Config_v6'!$B$52,L969&lt;='Config_v6'!$B$53,ISNUMBER('Calibrare_Linii'!E17),S969&lt;='Calibrare_Linii'!E17,SUM(AK969:AM969)&gt;0),"CANDIDATE","NO"))</x:f>
      </x:c>
      <x:c r="Y969" s="2" t="str">
        <x:f>IF(B969="","",IF(I969&lt;&gt;"READY","NOT RELEASED",IF(AND(X969="CANDIDATE",V969&gt;='Config_v6'!$B$51,W969="PASS",'Calibrare_Linii'!T17="VALIDATED",AND('Calibrare_Linii'!H17=C969,ISNUMBER('Calibrare_Linii'!J17),'Calibrare_Linii'!J17&lt;='Input_Meci'!G74)),"PASS",IF(X969="CANDIDATE","OOS PENDING","FAIL"))))</x:f>
      </x:c>
      <x:c r="Z969" s="2" t="str">
        <x:f>IF(B969="","",IF(I969&lt;&gt;"READY","",IF(OR(NOT(AND(J969="PASS",'Calibrare_Linii'!U17="VALID")),L969&gt;'Config_v6'!$B$13,W969="WATCH"),5,IF(Y969="PASS",1,MIN(5,MAX('Config_v6'!$B$42,U969)+IF(W969="PENALTY",1,0))))))</x:f>
      </x:c>
      <x:c r="AA969" s="2" t="str">
        <x:f>IF(B969="","",IF(I969&lt;&gt;"READY","NOT RELEASED",IF(Z969=5,"NO BET",IF(OR(AB969&lt;'Config_v6'!$B$16,V969&lt;'Config_v6'!$B$18),"WATCH",IF(Z969=1,"DEFENSIV",IF(Z969=2,"PRUDENT",IF(Z969=3,"MODERAT","RIDICAT")))))))</x:f>
      </x:c>
      <x:c r="AB969" s="10" t="str">
        <x:f>IF(N969="","",MIN(N969,1-S969))</x:f>
      </x:c>
      <x:c r="AC969" s="2" t="str">
        <x:f>IF(AD969&lt;&gt;1,"",COUNTIFS($Z$958:$Z$971,"&lt;"&amp;Z969,$AD$958:$AD$971,1)+COUNTIFS($Z$958:$Z$971,Z969,$AB$958:$AB$971,"&gt;"&amp;AB969,$AD$958:$AD$971,1)+COUNTIFS($Z$958:$Z$971,Z969,$AB$958:$AB$971,AB969,$V$958:$V$971,"&gt;"&amp;V969,$AD$958:$AD$971,1)+COUNTIFS($Z$958:Z969,Z969,$AB$958:AB969,AB969,$V$958:V969,V969,$AD$958:AD969,1))</x:f>
      </x:c>
      <x:c r="AD969" s="2" t="n">
        <x:f>IF(OR(AA969="DEFENSIV",AA969="PRUDENT",AA969="MODERAT",AA969="RIDICAT"),1,0)</x:f>
        <x:v>0</x:v>
      </x:c>
      <x:c r="AE969" s="2" t="str">
        <x:f>IF(AD969&lt;&gt;1,"NO",IF(W969="PASS","YES",IF(W969="OOS PENDING","CONDITIONAL","NO")))</x:f>
        <x:v>NO</x:v>
      </x:c>
      <x:c r="AF969" s="2" t="n">
        <x:f>IF(AND(AD969=1,AC969=1,E969="LIVE"),1,0)</x:f>
        <x:v>0</x:v>
      </x:c>
      <x:c r="AG969" s="2" t="str">
        <x:f>IF(AF969&lt;&gt;1,"",'Dashboard'!P94)</x:f>
      </x:c>
      <x:c r="AH969" s="2" t="str">
        <x:f>IF(B969="","",IF(J969&lt;&gt;"PASS",'Motor_Meciuri'!J74,IF('Calibrare_Linii'!U17&lt;&gt;"VALID","Parametri linie invalizi",IF(L969&gt;'Config_v6'!$B$13,"Dispersie peste limita",IF(W969="WATCH","Failure peste limita",IF(AB969&lt;'Config_v6'!$B$16,"P finala sub prag",IF(V969&lt;'Config_v6'!$B$18,"Confidence sub prag",IF(E969="REPLAY","Exemplu retrospectiv; exclus din Top LIVE",IF(Y969="PASS","DEFENSIV validat",IF(W969="OOS PENDING","Eligibil; calibrare linie in monitorizare","Eligibil"))))))))))</x:f>
      </x:c>
      <x:c r="AI969" s="2" t="str">
        <x:f>IF(B969="","",'Calibrare_Linii'!V17)</x:f>
      </x:c>
      <x:c r="AJ969" s="2" t="str">
        <x:f>IF(B969="","",IF(AND('Calibrare_Linii'!T17="VALIDATED",AND('Calibrare_Linii'!H17=C969,ISNUMBER('Calibrare_Linii'!J17),'Calibrare_Linii'!J17&lt;='Input_Meci'!G74)),"DEFENSIVE VALIDATED",IF(AND('Calibrare_Linii'!S17="VALIDATED",AND('Calibrare_Linii'!H17=C969,ISNUMBER('Calibrare_Linii'!J17),'Calibrare_Linii'!J17&lt;='Input_Meci'!G74)),"TAIL VALIDATED","OOS PENDING")))</x:f>
      </x:c>
      <x:c r="AK969" s="2" t="n">
        <x:f>IF(J969&lt;&gt;"PASS",0,'Motor_Meciuri'!BR74)</x:f>
        <x:v>0</x:v>
      </x:c>
      <x:c r="AL969" s="2" t="n">
        <x:f>IF(J969&lt;&gt;"PASS",0,'Motor_Meciuri'!BS74)</x:f>
        <x:v>0</x:v>
      </x:c>
      <x:c r="AM969" s="2" t="n">
        <x:f>IF(J969&lt;&gt;"PASS",0,'Motor_Meciuri'!BT74)</x:f>
        <x:v>0</x:v>
      </x:c>
      <x:c r="AN969" s="2" t="str">
        <x:f>IF(M969="","",MAX(0,'Motor_Meciuri'!BF74-IF(L969&gt;'Config_v6'!$B$12,'Config_v6'!$B$37,IF(L969&gt;'Config_v6'!$B$11,'Config_v6'!$B$36,0))))</x:f>
      </x:c>
    </x:row>
    <x:row r="970" ht="21" customHeight="1">
      <x:c r="A970" s="2" t="n">
        <x:v>69</x:v>
      </x:c>
      <x:c r="B970" s="2" t="str">
        <x:f>IF('Motor_Meciuri'!A74="","",'Motor_Meciuri'!A74)</x:f>
      </x:c>
      <x:c r="C970" s="2" t="str">
        <x:f>IF(B970="","",'Motor_Meciuri'!B74)</x:f>
      </x:c>
      <x:c r="D970" s="2" t="str">
        <x:f>IF(B970="","",'Motor_Meciuri'!D74)</x:f>
      </x:c>
      <x:c r="E970" s="2" t="str">
        <x:f>IF(B970="","",'Motor_Meciuri'!E74)</x:f>
      </x:c>
      <x:c r="F970" s="2" t="str">
        <x:v>U16,5</x:v>
      </x:c>
      <x:c r="G970" s="2" t="str">
        <x:v>UNDER</x:v>
      </x:c>
      <x:c r="H970" s="2" t="n">
        <x:v>16</x:v>
      </x:c>
      <x:c r="I970" s="2" t="str">
        <x:f>IF(B970="","",'Motor_Meciuri'!H74)</x:f>
      </x:c>
      <x:c r="J970" s="2" t="str">
        <x:f>IF(B970="","",'Motor_Meciuri'!I74)</x:f>
      </x:c>
      <x:c r="K970" s="11" t="str">
        <x:f>IF(J970&lt;&gt;"PASS","",'Motor_Meciuri'!BD74)</x:f>
      </x:c>
      <x:c r="L970" s="11" t="str">
        <x:f>IF(J970&lt;&gt;"PASS","",'Motor_Meciuri'!AU74)</x:f>
      </x:c>
      <x:c r="M970" s="10" t="str">
        <x:f>IF(NOT(AND(J970="PASS",'Calibrare_Linii'!U18="VALID")),"",'Distributie'!AN74)</x:f>
      </x:c>
      <x:c r="N970" s="10" t="str">
        <x:f>IF(M970="","",MAX(0.01,MIN(0.99,0.5+(M970-0.5)*'Motor_Meciuri'!BG74*'Calibrare_Linii'!D18)))</x:f>
      </x:c>
      <x:c r="O970" s="10" t="str">
        <x:f>IF(M970="","",1-M970)</x:f>
      </x:c>
      <x:c r="P970" s="10" t="str">
        <x:f>IF(OR(NOT(AND(J970="PASS",'Calibrare_Linii'!U18="VALID")),AK970=0),""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*('Istoric_Nativ'!$Q$6:$Q$405&gt;H970))/AK970)</x:f>
      </x:c>
      <x:c r="Q970" s="10" t="str">
        <x:f>IF(OR(NOT(AND(J970="PASS",'Calibrare_Linii'!U18="VALID")),AL970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M74)+((('Istoric_Nativ'!$E$6:$E$405='Input_Meci'!E74)+('Istoric_Nativ'!$F$6:$F$405='Input_Meci'!E74))&gt;0)*('Istoric_Nativ'!$D$6:$D$405&gt;='Motor_Meciuri'!BN74))&gt;0)*('Istoric_Nativ'!$Q$6:$Q$405&gt;H970))/AL970)</x:f>
      </x:c>
      <x:c r="R970" s="10" t="str">
        <x:f>IF(OR(NOT(AND(J970="PASS",'Calibrare_Linii'!U18="VALID")),AM970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O74)+((('Istoric_Nativ'!$E$6:$E$405='Input_Meci'!E74)+('Istoric_Nativ'!$F$6:$F$405='Input_Meci'!E74))&gt;0)*('Istoric_Nativ'!$D$6:$D$405&gt;='Motor_Meciuri'!BP74))&gt;0)*('Istoric_Nativ'!$Q$6:$Q$405&gt;H970))/AM970)</x:f>
      </x:c>
      <x:c r="S970" s="10" t="str">
        <x:f>IF(M970="","",MAX(O970,P970,Q970,R970))</x:f>
      </x:c>
      <x:c r="T970" s="11" t="str">
        <x:f>IF(M970="","",MIN(100,S970*100*'Config_v6'!$B$44+MIN(100,L970/'Config_v6'!$B$13*100)*'Config_v6'!$B$45+(100-'Motor_Meciuri'!BF74)*'Config_v6'!$B$46+'Motor_Meciuri'!BH74*100*'Config_v6'!$B$47))</x:f>
      </x:c>
      <x:c r="U970" s="2" t="str">
        <x:f>IF(T970="","",IF(T970&lt;=20,1,IF(T970&lt;=40,2,IF(T970&lt;=60,3,IF(T970&lt;=80,4,5)))))</x:f>
      </x:c>
      <x:c r="V970" s="2" t="str">
        <x:f>IF(M970="","",MAX(0,'Motor_Meciuri'!BF74-IF(W970="OOS PENDING",'Config_v6'!$B$35,0)-IF(L970&gt;'Config_v6'!$B$12,'Config_v6'!$B$37,IF(L970&gt;'Config_v6'!$B$11,'Config_v6'!$B$36,0))))</x:f>
      </x:c>
      <x:c r="W970" s="2" t="str">
        <x:f>IF(B970="","",IF(I970&lt;&gt;"READY","NOT RELEASED",IF(NOT(AND(J970="PASS",'Calibrare_Linii'!U18="VALID")),"INVALID",IF(NOT(AND('Calibrare_Linii'!S18="VALIDATED",AND('Calibrare_Linii'!H18=C970,ISNUMBER('Calibrare_Linii'!J18),'Calibrare_Linii'!J18&lt;='Input_Meci'!G74))),"OOS PENDING",IF(S970&lt;='Calibrare_Linii'!E18,"PASS",IF(S970&lt;='Calibrare_Linii'!F18,"PENALTY","WATCH"))))))</x:f>
      </x:c>
      <x:c r="X970" s="2" t="str">
        <x:f>IF(M970="","",IF(AND(AND(J970="PASS",'Calibrare_Linii'!U18="VALID"),'Motor_Meciuri'!K74=12,'Motor_Meciuri'!L74=12,'Motor_Meciuri'!M74="NO",'Motor_Meciuri'!BL74='Motor_Meciuri'!C74,AB970&gt;='Config_v6'!$B$50,AN970&gt;='Config_v6'!$B$51,T970&lt;='Config_v6'!$B$52,L970&lt;='Config_v6'!$B$53,ISNUMBER('Calibrare_Linii'!E18),S970&lt;='Calibrare_Linii'!E18,SUM(AK970:AM970)&gt;0),"CANDIDATE","NO"))</x:f>
      </x:c>
      <x:c r="Y970" s="2" t="str">
        <x:f>IF(B970="","",IF(I970&lt;&gt;"READY","NOT RELEASED",IF(AND(X970="CANDIDATE",V970&gt;='Config_v6'!$B$51,W970="PASS",'Calibrare_Linii'!T18="VALIDATED",AND('Calibrare_Linii'!H18=C970,ISNUMBER('Calibrare_Linii'!J18),'Calibrare_Linii'!J18&lt;='Input_Meci'!G74)),"PASS",IF(X970="CANDIDATE","OOS PENDING","FAIL"))))</x:f>
      </x:c>
      <x:c r="Z970" s="2" t="str">
        <x:f>IF(B970="","",IF(I970&lt;&gt;"READY","",IF(OR(NOT(AND(J970="PASS",'Calibrare_Linii'!U18="VALID")),L970&gt;'Config_v6'!$B$13,W970="WATCH"),5,IF(Y970="PASS",1,MIN(5,MAX('Config_v6'!$B$42,U970)+IF(W970="PENALTY",1,0))))))</x:f>
      </x:c>
      <x:c r="AA970" s="2" t="str">
        <x:f>IF(B970="","",IF(I970&lt;&gt;"READY","NOT RELEASED",IF(Z970=5,"NO BET",IF(OR(AB970&lt;'Config_v6'!$B$16,V970&lt;'Config_v6'!$B$18),"WATCH",IF(Z970=1,"DEFENSIV",IF(Z970=2,"PRUDENT",IF(Z970=3,"MODERAT","RIDICAT")))))))</x:f>
      </x:c>
      <x:c r="AB970" s="10" t="str">
        <x:f>IF(N970="","",MIN(N970,1-S970))</x:f>
      </x:c>
      <x:c r="AC970" s="2" t="str">
        <x:f>IF(AD970&lt;&gt;1,"",COUNTIFS($Z$958:$Z$971,"&lt;"&amp;Z970,$AD$958:$AD$971,1)+COUNTIFS($Z$958:$Z$971,Z970,$AB$958:$AB$971,"&gt;"&amp;AB970,$AD$958:$AD$971,1)+COUNTIFS($Z$958:$Z$971,Z970,$AB$958:$AB$971,AB970,$V$958:$V$971,"&gt;"&amp;V970,$AD$958:$AD$971,1)+COUNTIFS($Z$958:Z970,Z970,$AB$958:AB970,AB970,$V$958:V970,V970,$AD$958:AD970,1))</x:f>
      </x:c>
      <x:c r="AD970" s="2" t="n">
        <x:f>IF(OR(AA970="DEFENSIV",AA970="PRUDENT",AA970="MODERAT",AA970="RIDICAT"),1,0)</x:f>
        <x:v>0</x:v>
      </x:c>
      <x:c r="AE970" s="2" t="str">
        <x:f>IF(AD970&lt;&gt;1,"NO",IF(W970="PASS","YES",IF(W970="OOS PENDING","CONDITIONAL","NO")))</x:f>
        <x:v>NO</x:v>
      </x:c>
      <x:c r="AF970" s="2" t="n">
        <x:f>IF(AND(AD970=1,AC970=1,E970="LIVE"),1,0)</x:f>
        <x:v>0</x:v>
      </x:c>
      <x:c r="AG970" s="2" t="str">
        <x:f>IF(AF970&lt;&gt;1,"",'Dashboard'!P94)</x:f>
      </x:c>
      <x:c r="AH970" s="2" t="str">
        <x:f>IF(B970="","",IF(J970&lt;&gt;"PASS",'Motor_Meciuri'!J74,IF('Calibrare_Linii'!U18&lt;&gt;"VALID","Parametri linie invalizi",IF(L970&gt;'Config_v6'!$B$13,"Dispersie peste limita",IF(W970="WATCH","Failure peste limita",IF(AB970&lt;'Config_v6'!$B$16,"P finala sub prag",IF(V970&lt;'Config_v6'!$B$18,"Confidence sub prag",IF(E970="REPLAY","Exemplu retrospectiv; exclus din Top LIVE",IF(Y970="PASS","DEFENSIV validat",IF(W970="OOS PENDING","Eligibil; calibrare linie in monitorizare","Eligibil"))))))))))</x:f>
      </x:c>
      <x:c r="AI970" s="2" t="str">
        <x:f>IF(B970="","",'Calibrare_Linii'!V18)</x:f>
      </x:c>
      <x:c r="AJ970" s="2" t="str">
        <x:f>IF(B970="","",IF(AND('Calibrare_Linii'!T18="VALIDATED",AND('Calibrare_Linii'!H18=C970,ISNUMBER('Calibrare_Linii'!J18),'Calibrare_Linii'!J18&lt;='Input_Meci'!G74)),"DEFENSIVE VALIDATED",IF(AND('Calibrare_Linii'!S18="VALIDATED",AND('Calibrare_Linii'!H18=C970,ISNUMBER('Calibrare_Linii'!J18),'Calibrare_Linii'!J18&lt;='Input_Meci'!G74)),"TAIL VALIDATED","OOS PENDING")))</x:f>
      </x:c>
      <x:c r="AK970" s="2" t="n">
        <x:f>IF(J970&lt;&gt;"PASS",0,'Motor_Meciuri'!BR74)</x:f>
        <x:v>0</x:v>
      </x:c>
      <x:c r="AL970" s="2" t="n">
        <x:f>IF(J970&lt;&gt;"PASS",0,'Motor_Meciuri'!BS74)</x:f>
        <x:v>0</x:v>
      </x:c>
      <x:c r="AM970" s="2" t="n">
        <x:f>IF(J970&lt;&gt;"PASS",0,'Motor_Meciuri'!BT74)</x:f>
        <x:v>0</x:v>
      </x:c>
      <x:c r="AN970" s="2" t="str">
        <x:f>IF(M970="","",MAX(0,'Motor_Meciuri'!BF74-IF(L970&gt;'Config_v6'!$B$12,'Config_v6'!$B$37,IF(L970&gt;'Config_v6'!$B$11,'Config_v6'!$B$36,0))))</x:f>
      </x:c>
    </x:row>
    <x:row r="971" ht="21" customHeight="1">
      <x:c r="A971" s="2" t="n">
        <x:v>69</x:v>
      </x:c>
      <x:c r="B971" s="2" t="str">
        <x:f>IF('Motor_Meciuri'!A74="","",'Motor_Meciuri'!A74)</x:f>
      </x:c>
      <x:c r="C971" s="2" t="str">
        <x:f>IF(B971="","",'Motor_Meciuri'!B74)</x:f>
      </x:c>
      <x:c r="D971" s="2" t="str">
        <x:f>IF(B971="","",'Motor_Meciuri'!D74)</x:f>
      </x:c>
      <x:c r="E971" s="2" t="str">
        <x:f>IF(B971="","",'Motor_Meciuri'!E74)</x:f>
      </x:c>
      <x:c r="F971" s="2" t="str">
        <x:v>U17,5</x:v>
      </x:c>
      <x:c r="G971" s="2" t="str">
        <x:v>UNDER</x:v>
      </x:c>
      <x:c r="H971" s="2" t="n">
        <x:v>17</x:v>
      </x:c>
      <x:c r="I971" s="2" t="str">
        <x:f>IF(B971="","",'Motor_Meciuri'!H74)</x:f>
      </x:c>
      <x:c r="J971" s="2" t="str">
        <x:f>IF(B971="","",'Motor_Meciuri'!I74)</x:f>
      </x:c>
      <x:c r="K971" s="11" t="str">
        <x:f>IF(J971&lt;&gt;"PASS","",'Motor_Meciuri'!BD74)</x:f>
      </x:c>
      <x:c r="L971" s="11" t="str">
        <x:f>IF(J971&lt;&gt;"PASS","",'Motor_Meciuri'!AU74)</x:f>
      </x:c>
      <x:c r="M971" s="10" t="str">
        <x:f>IF(NOT(AND(J971="PASS",'Calibrare_Linii'!U19="VALID")),"",'Distributie'!AO74)</x:f>
      </x:c>
      <x:c r="N971" s="10" t="str">
        <x:f>IF(M971="","",MAX(0.01,MIN(0.99,0.5+(M971-0.5)*'Motor_Meciuri'!BG74*'Calibrare_Linii'!D19)))</x:f>
      </x:c>
      <x:c r="O971" s="10" t="str">
        <x:f>IF(M971="","",1-M971)</x:f>
      </x:c>
      <x:c r="P971" s="10" t="str">
        <x:f>IF(OR(NOT(AND(J971="PASS",'Calibrare_Linii'!U19="VALID")),AK971=0),""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*('Istoric_Nativ'!$Q$6:$Q$405&gt;H971))/AK971)</x:f>
      </x:c>
      <x:c r="Q971" s="10" t="str">
        <x:f>IF(OR(NOT(AND(J971="PASS",'Calibrare_Linii'!U19="VALID")),AL971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M74)+((('Istoric_Nativ'!$E$6:$E$405='Input_Meci'!E74)+('Istoric_Nativ'!$F$6:$F$405='Input_Meci'!E74))&gt;0)*('Istoric_Nativ'!$D$6:$D$405&gt;='Motor_Meciuri'!BN74))&gt;0)*('Istoric_Nativ'!$Q$6:$Q$405&gt;H971))/AL971)</x:f>
      </x:c>
      <x:c r="R971" s="10" t="str">
        <x:f>IF(OR(NOT(AND(J971="PASS",'Calibrare_Linii'!U19="VALID")),AM971=0),""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'Motor_Meciuri'!BO74)+((('Istoric_Nativ'!$E$6:$E$405='Input_Meci'!E74)+('Istoric_Nativ'!$F$6:$F$405='Input_Meci'!E74))&gt;0)*('Istoric_Nativ'!$D$6:$D$405&gt;='Motor_Meciuri'!BP74))&gt;0)*('Istoric_Nativ'!$Q$6:$Q$405&gt;H971))/AM971)</x:f>
      </x:c>
      <x:c r="S971" s="10" t="str">
        <x:f>IF(M971="","",MAX(O971,P971,Q971,R971))</x:f>
      </x:c>
      <x:c r="T971" s="11" t="str">
        <x:f>IF(M971="","",MIN(100,S971*100*'Config_v6'!$B$44+MIN(100,L971/'Config_v6'!$B$13*100)*'Config_v6'!$B$45+(100-'Motor_Meciuri'!BF74)*'Config_v6'!$B$46+'Motor_Meciuri'!BH74*100*'Config_v6'!$B$47))</x:f>
      </x:c>
      <x:c r="U971" s="2" t="str">
        <x:f>IF(T971="","",IF(T971&lt;=20,1,IF(T971&lt;=40,2,IF(T971&lt;=60,3,IF(T971&lt;=80,4,5)))))</x:f>
      </x:c>
      <x:c r="V971" s="2" t="str">
        <x:f>IF(M971="","",MAX(0,'Motor_Meciuri'!BF74-IF(W971="OOS PENDING",'Config_v6'!$B$35,0)-IF(L971&gt;'Config_v6'!$B$12,'Config_v6'!$B$37,IF(L971&gt;'Config_v6'!$B$11,'Config_v6'!$B$36,0))))</x:f>
      </x:c>
      <x:c r="W971" s="2" t="str">
        <x:f>IF(B971="","",IF(I971&lt;&gt;"READY","NOT RELEASED",IF(NOT(AND(J971="PASS",'Calibrare_Linii'!U19="VALID")),"INVALID",IF(NOT(AND('Calibrare_Linii'!S19="VALIDATED",AND('Calibrare_Linii'!H19=C971,ISNUMBER('Calibrare_Linii'!J19),'Calibrare_Linii'!J19&lt;='Input_Meci'!G74))),"OOS PENDING",IF(S971&lt;='Calibrare_Linii'!E19,"PASS",IF(S971&lt;='Calibrare_Linii'!F19,"PENALTY","WATCH"))))))</x:f>
      </x:c>
      <x:c r="X971" s="2" t="str">
        <x:f>IF(M971="","",IF(AND(AND(J971="PASS",'Calibrare_Linii'!U19="VALID"),'Motor_Meciuri'!K74=12,'Motor_Meciuri'!L74=12,'Motor_Meciuri'!M74="NO",'Motor_Meciuri'!BL74='Motor_Meciuri'!C74,AB971&gt;='Config_v6'!$B$50,AN971&gt;='Config_v6'!$B$51,T971&lt;='Config_v6'!$B$52,L971&lt;='Config_v6'!$B$53,ISNUMBER('Calibrare_Linii'!E19),S971&lt;='Calibrare_Linii'!E19,SUM(AK971:AM971)&gt;0),"CANDIDATE","NO"))</x:f>
      </x:c>
      <x:c r="Y971" s="2" t="str">
        <x:f>IF(B971="","",IF(I971&lt;&gt;"READY","NOT RELEASED",IF(AND(X971="CANDIDATE",V971&gt;='Config_v6'!$B$51,W971="PASS",'Calibrare_Linii'!T19="VALIDATED",AND('Calibrare_Linii'!H19=C971,ISNUMBER('Calibrare_Linii'!J19),'Calibrare_Linii'!J19&lt;='Input_Meci'!G74)),"PASS",IF(X971="CANDIDATE","OOS PENDING","FAIL"))))</x:f>
      </x:c>
      <x:c r="Z971" s="2" t="str">
        <x:f>IF(B971="","",IF(I971&lt;&gt;"READY","",IF(OR(NOT(AND(J971="PASS",'Calibrare_Linii'!U19="VALID")),L971&gt;'Config_v6'!$B$13,W971="WATCH"),5,IF(Y971="PASS",1,MIN(5,MAX('Config_v6'!$B$42,U971)+IF(W971="PENALTY",1,0))))))</x:f>
      </x:c>
      <x:c r="AA971" s="2" t="str">
        <x:f>IF(B971="","",IF(I971&lt;&gt;"READY","NOT RELEASED",IF(Z971=5,"NO BET",IF(OR(AB971&lt;'Config_v6'!$B$16,V971&lt;'Config_v6'!$B$18),"WATCH",IF(Z971=1,"DEFENSIV",IF(Z971=2,"PRUDENT",IF(Z971=3,"MODERAT","RIDICAT")))))))</x:f>
      </x:c>
      <x:c r="AB971" s="10" t="str">
        <x:f>IF(N971="","",MIN(N971,1-S971))</x:f>
      </x:c>
      <x:c r="AC971" s="2" t="str">
        <x:f>IF(AD971&lt;&gt;1,"",COUNTIFS($Z$958:$Z$971,"&lt;"&amp;Z971,$AD$958:$AD$971,1)+COUNTIFS($Z$958:$Z$971,Z971,$AB$958:$AB$971,"&gt;"&amp;AB971,$AD$958:$AD$971,1)+COUNTIFS($Z$958:$Z$971,Z971,$AB$958:$AB$971,AB971,$V$958:$V$971,"&gt;"&amp;V971,$AD$958:$AD$971,1)+COUNTIFS($Z$958:Z971,Z971,$AB$958:AB971,AB971,$V$958:V971,V971,$AD$958:AD971,1))</x:f>
      </x:c>
      <x:c r="AD971" s="2" t="n">
        <x:f>IF(OR(AA971="DEFENSIV",AA971="PRUDENT",AA971="MODERAT",AA971="RIDICAT"),1,0)</x:f>
        <x:v>0</x:v>
      </x:c>
      <x:c r="AE971" s="2" t="str">
        <x:f>IF(AD971&lt;&gt;1,"NO",IF(W971="PASS","YES",IF(W971="OOS PENDING","CONDITIONAL","NO")))</x:f>
        <x:v>NO</x:v>
      </x:c>
      <x:c r="AF971" s="2" t="n">
        <x:f>IF(AND(AD971=1,AC971=1,E971="LIVE"),1,0)</x:f>
        <x:v>0</x:v>
      </x:c>
      <x:c r="AG971" s="2" t="str">
        <x:f>IF(AF971&lt;&gt;1,"",'Dashboard'!P94)</x:f>
      </x:c>
      <x:c r="AH971" s="2" t="str">
        <x:f>IF(B971="","",IF(J971&lt;&gt;"PASS",'Motor_Meciuri'!J74,IF('Calibrare_Linii'!U19&lt;&gt;"VALID","Parametri linie invalizi",IF(L971&gt;'Config_v6'!$B$13,"Dispersie peste limita",IF(W971="WATCH","Failure peste limita",IF(AB971&lt;'Config_v6'!$B$16,"P finala sub prag",IF(V971&lt;'Config_v6'!$B$18,"Confidence sub prag",IF(E971="REPLAY","Exemplu retrospectiv; exclus din Top LIVE",IF(Y971="PASS","DEFENSIV validat",IF(W971="OOS PENDING","Eligibil; calibrare linie in monitorizare","Eligibil"))))))))))</x:f>
      </x:c>
      <x:c r="AI971" s="2" t="str">
        <x:f>IF(B971="","",'Calibrare_Linii'!V19)</x:f>
      </x:c>
      <x:c r="AJ971" s="2" t="str">
        <x:f>IF(B971="","",IF(AND('Calibrare_Linii'!T19="VALIDATED",AND('Calibrare_Linii'!H19=C971,ISNUMBER('Calibrare_Linii'!J19),'Calibrare_Linii'!J19&lt;='Input_Meci'!G74)),"DEFENSIVE VALIDATED",IF(AND('Calibrare_Linii'!S19="VALIDATED",AND('Calibrare_Linii'!H19=C971,ISNUMBER('Calibrare_Linii'!J19),'Calibrare_Linii'!J19&lt;='Input_Meci'!G74)),"TAIL VALIDATED","OOS PENDING")))</x:f>
      </x:c>
      <x:c r="AK971" s="2" t="n">
        <x:f>IF(J971&lt;&gt;"PASS",0,'Motor_Meciuri'!BR74)</x:f>
        <x:v>0</x:v>
      </x:c>
      <x:c r="AL971" s="2" t="n">
        <x:f>IF(J971&lt;&gt;"PASS",0,'Motor_Meciuri'!BS74)</x:f>
        <x:v>0</x:v>
      </x:c>
      <x:c r="AM971" s="2" t="n">
        <x:f>IF(J971&lt;&gt;"PASS",0,'Motor_Meciuri'!BT74)</x:f>
        <x:v>0</x:v>
      </x:c>
      <x:c r="AN971" s="2" t="str">
        <x:f>IF(M971="","",MAX(0,'Motor_Meciuri'!BF74-IF(L971&gt;'Config_v6'!$B$12,'Config_v6'!$B$37,IF(L971&gt;'Config_v6'!$B$11,'Config_v6'!$B$36,0))))</x:f>
      </x:c>
    </x:row>
    <x:row r="972" ht="21" customHeight="1">
      <x:c r="A972" s="2" t="n">
        <x:v>70</x:v>
      </x:c>
      <x:c r="B972" s="2" t="str">
        <x:f>IF('Motor_Meciuri'!A75="","",'Motor_Meciuri'!A75)</x:f>
      </x:c>
      <x:c r="C972" s="2" t="str">
        <x:f>IF(B972="","",'Motor_Meciuri'!B75)</x:f>
      </x:c>
      <x:c r="D972" s="2" t="str">
        <x:f>IF(B972="","",'Motor_Meciuri'!D75)</x:f>
      </x:c>
      <x:c r="E972" s="2" t="str">
        <x:f>IF(B972="","",'Motor_Meciuri'!E75)</x:f>
      </x:c>
      <x:c r="F972" s="2" t="str">
        <x:v>O3,5</x:v>
      </x:c>
      <x:c r="G972" s="2" t="str">
        <x:v>OVER</x:v>
      </x:c>
      <x:c r="H972" s="2" t="n">
        <x:v>3</x:v>
      </x:c>
      <x:c r="I972" s="2" t="str">
        <x:f>IF(B972="","",'Motor_Meciuri'!H75)</x:f>
      </x:c>
      <x:c r="J972" s="2" t="str">
        <x:f>IF(B972="","",'Motor_Meciuri'!I75)</x:f>
      </x:c>
      <x:c r="K972" s="11" t="str">
        <x:f>IF(J972&lt;&gt;"PASS","",'Motor_Meciuri'!BD75)</x:f>
      </x:c>
      <x:c r="L972" s="11" t="str">
        <x:f>IF(J972&lt;&gt;"PASS","",'Motor_Meciuri'!AU75)</x:f>
      </x:c>
      <x:c r="M972" s="10" t="str">
        <x:f>IF(NOT(AND(J972="PASS",'Calibrare_Linii'!U6="VALID")),"",1-'Distributie'!AA75)</x:f>
      </x:c>
      <x:c r="N972" s="10" t="str">
        <x:f>IF(M972="","",MAX(0.01,MIN(0.99,0.5+(M972-0.5)*'Motor_Meciuri'!BG75*'Calibrare_Linii'!D6)))</x:f>
      </x:c>
      <x:c r="O972" s="10" t="str">
        <x:f>IF(M972="","",1-M972)</x:f>
      </x:c>
      <x:c r="P972" s="10" t="str">
        <x:f>IF(OR(NOT(AND(J972="PASS",'Calibrare_Linii'!U6="VALID")),AK972=0),""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*('Istoric_Nativ'!$Q$6:$Q$405&lt;=H972))/AK972)</x:f>
      </x:c>
      <x:c r="Q972" s="10" t="str">
        <x:f>IF(OR(NOT(AND(J972="PASS",'Calibrare_Linii'!U6="VALID")),AL972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M75)+((('Istoric_Nativ'!$E$6:$E$405='Input_Meci'!E75)+('Istoric_Nativ'!$F$6:$F$405='Input_Meci'!E75))&gt;0)*('Istoric_Nativ'!$D$6:$D$405&gt;='Motor_Meciuri'!BN75))&gt;0)*('Istoric_Nativ'!$Q$6:$Q$405&lt;=H972))/AL972)</x:f>
      </x:c>
      <x:c r="R972" s="10" t="str">
        <x:f>IF(OR(NOT(AND(J972="PASS",'Calibrare_Linii'!U6="VALID")),AM972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O75)+((('Istoric_Nativ'!$E$6:$E$405='Input_Meci'!E75)+('Istoric_Nativ'!$F$6:$F$405='Input_Meci'!E75))&gt;0)*('Istoric_Nativ'!$D$6:$D$405&gt;='Motor_Meciuri'!BP75))&gt;0)*('Istoric_Nativ'!$Q$6:$Q$405&lt;=H972))/AM972)</x:f>
      </x:c>
      <x:c r="S972" s="10" t="str">
        <x:f>IF(M972="","",MAX(O972,P972,Q972,R972))</x:f>
      </x:c>
      <x:c r="T972" s="11" t="str">
        <x:f>IF(M972="","",MIN(100,S972*100*'Config_v6'!$B$44+MIN(100,L972/'Config_v6'!$B$13*100)*'Config_v6'!$B$45+(100-'Motor_Meciuri'!BF75)*'Config_v6'!$B$46+'Motor_Meciuri'!BH75*100*'Config_v6'!$B$47))</x:f>
      </x:c>
      <x:c r="U972" s="2" t="str">
        <x:f>IF(T972="","",IF(T972&lt;=20,1,IF(T972&lt;=40,2,IF(T972&lt;=60,3,IF(T972&lt;=80,4,5)))))</x:f>
      </x:c>
      <x:c r="V972" s="2" t="str">
        <x:f>IF(M972="","",MAX(0,'Motor_Meciuri'!BF75-IF(W972="OOS PENDING",'Config_v6'!$B$35,0)-IF(L972&gt;'Config_v6'!$B$12,'Config_v6'!$B$37,IF(L972&gt;'Config_v6'!$B$11,'Config_v6'!$B$36,0))))</x:f>
      </x:c>
      <x:c r="W972" s="2" t="str">
        <x:f>IF(B972="","",IF(I972&lt;&gt;"READY","NOT RELEASED",IF(NOT(AND(J972="PASS",'Calibrare_Linii'!U6="VALID")),"INVALID",IF(NOT(TRUE),"OOS PENDING",IF(S972&lt;=IF(AND('Calibrare_Linii'!S6="VALIDATED",AND('Calibrare_Linii'!H6=C972,ISNUMBER('Calibrare_Linii'!J6),'Calibrare_Linii'!J6&lt;='Input_Meci'!G75)),'Calibrare_Linii'!E6,'Config_v6'!$B$26),"PASS",IF(S972&lt;=IF(AND('Calibrare_Linii'!S6="VALIDATED",AND('Calibrare_Linii'!H6=C972,ISNUMBER('Calibrare_Linii'!J6),'Calibrare_Linii'!J6&lt;='Input_Meci'!G75)),'Calibrare_Linii'!F6,'Config_v6'!$C$26),"PENALTY","WATCH"))))))</x:f>
      </x:c>
      <x:c r="X972" s="2" t="str">
        <x:f>IF(M972="","",IF(AND(AND(J972="PASS",'Calibrare_Linii'!U6="VALID"),'Motor_Meciuri'!K75=12,'Motor_Meciuri'!L75=12,'Motor_Meciuri'!M75="NO",'Motor_Meciuri'!BL75='Motor_Meciuri'!C75,AB972&gt;='Config_v6'!$B$50,AN972&gt;='Config_v6'!$B$51,T972&lt;='Config_v6'!$B$52,L972&lt;='Config_v6'!$B$53,ISNUMBER('Calibrare_Linii'!E6),S972&lt;='Calibrare_Linii'!E6,SUM(AK972:AM972)&gt;0),"CANDIDATE","NO"))</x:f>
      </x:c>
      <x:c r="Y972" s="2" t="str">
        <x:f>IF(B972="","",IF(I972&lt;&gt;"READY","NOT RELEASED",IF(AND(X972="CANDIDATE",V972&gt;='Config_v6'!$B$51,W972="PASS",'Calibrare_Linii'!T6="VALIDATED",AND('Calibrare_Linii'!H6=C972,ISNUMBER('Calibrare_Linii'!J6),'Calibrare_Linii'!J6&lt;='Input_Meci'!G75)),"PASS",IF(X972="CANDIDATE","OOS PENDING","FAIL"))))</x:f>
      </x:c>
      <x:c r="Z972" s="2" t="str">
        <x:f>IF(B972="","",IF(I972&lt;&gt;"READY","",IF(OR(NOT(AND(J972="PASS",'Calibrare_Linii'!U6="VALID")),L972&gt;'Config_v6'!$B$13,W972="WATCH"),5,IF(Y972="PASS",1,MIN(5,MAX('Config_v6'!$B$42,U972)+IF(W972="PENALTY",1,0))))))</x:f>
      </x:c>
      <x:c r="AA972" s="2" t="str">
        <x:f>IF(B972="","",IF(I972&lt;&gt;"READY","NOT RELEASED",IF(Z972=5,"NO BET",IF(OR(AB972&lt;'Config_v6'!$B$16,V972&lt;'Config_v6'!$B$18),"WATCH",IF(Z972=1,"DEFENSIV",IF(Z972=2,"PRUDENT",IF(Z972=3,"MODERAT","RIDICAT")))))))</x:f>
      </x:c>
      <x:c r="AB972" s="10" t="str">
        <x:f>IF(N972="","",MIN(N972,1-S972))</x:f>
      </x:c>
      <x:c r="AC972" s="2" t="str">
        <x:f>IF(AD972&lt;&gt;1,"",COUNTIFS($Z$972:$Z$985,"&lt;"&amp;Z972,$AD$972:$AD$985,1)+COUNTIFS($Z$972:$Z$985,Z972,$AB$972:$AB$985,"&gt;"&amp;AB972,$AD$972:$AD$985,1)+COUNTIFS($Z$972:$Z$985,Z972,$AB$972:$AB$985,AB972,$V$972:$V$985,"&gt;"&amp;V972,$AD$972:$AD$985,1)+COUNTIFS($Z$972:Z972,Z972,$AB$972:AB972,AB972,$V$972:V972,V972,$AD$972:AD972,1))</x:f>
      </x:c>
      <x:c r="AD972" s="2" t="n">
        <x:f>IF(OR(AA972="DEFENSIV",AA972="PRUDENT",AA972="MODERAT",AA972="RIDICAT"),1,0)</x:f>
        <x:v>0</x:v>
      </x:c>
      <x:c r="AE972" s="2" t="str">
        <x:f>IF(AD972&lt;&gt;1,"NO",IF(W972="PASS","YES",IF(W972="OOS PENDING","CONDITIONAL","NO")))</x:f>
        <x:v>NO</x:v>
      </x:c>
      <x:c r="AF972" s="2" t="n">
        <x:f>IF(AND(AD972=1,AC972=1,E972="LIVE"),1,0)</x:f>
        <x:v>0</x:v>
      </x:c>
      <x:c r="AG972" s="2" t="str">
        <x:f>IF(AF972&lt;&gt;1,"",'Dashboard'!P95)</x:f>
      </x:c>
      <x:c r="AH972" s="2" t="str">
        <x:f>IF(B972="","",IF(J972&lt;&gt;"PASS",'Motor_Meciuri'!J75,IF('Calibrare_Linii'!U6&lt;&gt;"VALID","Parametri linie invalizi",IF(L972&gt;'Config_v6'!$B$13,"Dispersie peste limita",IF(W972="WATCH","Failure peste limita",IF(AB972&lt;'Config_v6'!$B$16,"P finala sub prag",IF(V972&lt;'Config_v6'!$B$18,"Confidence sub prag",IF(E972="REPLAY","Exemplu retrospectiv; exclus din Top LIVE",IF(Y972="PASS","DEFENSIV validat",IF(W972="OOS PENDING","Eligibil; calibrare linie in monitorizare","Eligibil"))))))))))</x:f>
      </x:c>
      <x:c r="AI972" s="2" t="str">
        <x:f>IF(B972="","",'Calibrare_Linii'!V6)</x:f>
      </x:c>
      <x:c r="AJ972" s="2" t="str">
        <x:f>IF(B972="","",IF(AND('Calibrare_Linii'!T6="VALIDATED",AND('Calibrare_Linii'!H6=C972,ISNUMBER('Calibrare_Linii'!J6),'Calibrare_Linii'!J6&lt;='Input_Meci'!G75)),"DEFENSIVE VALIDATED",IF(AND('Calibrare_Linii'!S6="VALIDATED",AND('Calibrare_Linii'!H6=C972,ISNUMBER('Calibrare_Linii'!J6),'Calibrare_Linii'!J6&lt;='Input_Meci'!G75)),"TAIL VALIDATED","OOS PENDING")))</x:f>
      </x:c>
      <x:c r="AK972" s="2" t="n">
        <x:f>IF(J972&lt;&gt;"PASS",0,'Motor_Meciuri'!BR75)</x:f>
        <x:v>0</x:v>
      </x:c>
      <x:c r="AL972" s="2" t="n">
        <x:f>IF(J972&lt;&gt;"PASS",0,'Motor_Meciuri'!BS75)</x:f>
        <x:v>0</x:v>
      </x:c>
      <x:c r="AM972" s="2" t="n">
        <x:f>IF(J972&lt;&gt;"PASS",0,'Motor_Meciuri'!BT75)</x:f>
        <x:v>0</x:v>
      </x:c>
      <x:c r="AN972" s="2" t="str">
        <x:f>IF(M972="","",MAX(0,'Motor_Meciuri'!BF75-IF(L972&gt;'Config_v6'!$B$12,'Config_v6'!$B$37,IF(L972&gt;'Config_v6'!$B$11,'Config_v6'!$B$36,0))))</x:f>
      </x:c>
    </x:row>
    <x:row r="973" ht="21" customHeight="1">
      <x:c r="A973" s="2" t="n">
        <x:v>70</x:v>
      </x:c>
      <x:c r="B973" s="2" t="str">
        <x:f>IF('Motor_Meciuri'!A75="","",'Motor_Meciuri'!A75)</x:f>
      </x:c>
      <x:c r="C973" s="2" t="str">
        <x:f>IF(B973="","",'Motor_Meciuri'!B75)</x:f>
      </x:c>
      <x:c r="D973" s="2" t="str">
        <x:f>IF(B973="","",'Motor_Meciuri'!D75)</x:f>
      </x:c>
      <x:c r="E973" s="2" t="str">
        <x:f>IF(B973="","",'Motor_Meciuri'!E75)</x:f>
      </x:c>
      <x:c r="F973" s="2" t="str">
        <x:v>O4,5</x:v>
      </x:c>
      <x:c r="G973" s="2" t="str">
        <x:v>OVER</x:v>
      </x:c>
      <x:c r="H973" s="2" t="n">
        <x:v>4</x:v>
      </x:c>
      <x:c r="I973" s="2" t="str">
        <x:f>IF(B973="","",'Motor_Meciuri'!H75)</x:f>
      </x:c>
      <x:c r="J973" s="2" t="str">
        <x:f>IF(B973="","",'Motor_Meciuri'!I75)</x:f>
      </x:c>
      <x:c r="K973" s="11" t="str">
        <x:f>IF(J973&lt;&gt;"PASS","",'Motor_Meciuri'!BD75)</x:f>
      </x:c>
      <x:c r="L973" s="11" t="str">
        <x:f>IF(J973&lt;&gt;"PASS","",'Motor_Meciuri'!AU75)</x:f>
      </x:c>
      <x:c r="M973" s="10" t="str">
        <x:f>IF(NOT(AND(J973="PASS",'Calibrare_Linii'!U7="VALID")),"",1-'Distributie'!AB75)</x:f>
      </x:c>
      <x:c r="N973" s="10" t="str">
        <x:f>IF(M973="","",MAX(0.01,MIN(0.99,0.5+(M973-0.5)*'Motor_Meciuri'!BG75*'Calibrare_Linii'!D7)))</x:f>
      </x:c>
      <x:c r="O973" s="10" t="str">
        <x:f>IF(M973="","",1-M973)</x:f>
      </x:c>
      <x:c r="P973" s="10" t="str">
        <x:f>IF(OR(NOT(AND(J973="PASS",'Calibrare_Linii'!U7="VALID")),AK973=0),""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*('Istoric_Nativ'!$Q$6:$Q$405&lt;=H973))/AK973)</x:f>
      </x:c>
      <x:c r="Q973" s="10" t="str">
        <x:f>IF(OR(NOT(AND(J973="PASS",'Calibrare_Linii'!U7="VALID")),AL973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M75)+((('Istoric_Nativ'!$E$6:$E$405='Input_Meci'!E75)+('Istoric_Nativ'!$F$6:$F$405='Input_Meci'!E75))&gt;0)*('Istoric_Nativ'!$D$6:$D$405&gt;='Motor_Meciuri'!BN75))&gt;0)*('Istoric_Nativ'!$Q$6:$Q$405&lt;=H973))/AL973)</x:f>
      </x:c>
      <x:c r="R973" s="10" t="str">
        <x:f>IF(OR(NOT(AND(J973="PASS",'Calibrare_Linii'!U7="VALID")),AM973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O75)+((('Istoric_Nativ'!$E$6:$E$405='Input_Meci'!E75)+('Istoric_Nativ'!$F$6:$F$405='Input_Meci'!E75))&gt;0)*('Istoric_Nativ'!$D$6:$D$405&gt;='Motor_Meciuri'!BP75))&gt;0)*('Istoric_Nativ'!$Q$6:$Q$405&lt;=H973))/AM973)</x:f>
      </x:c>
      <x:c r="S973" s="10" t="str">
        <x:f>IF(M973="","",MAX(O973,P973,Q973,R973))</x:f>
      </x:c>
      <x:c r="T973" s="11" t="str">
        <x:f>IF(M973="","",MIN(100,S973*100*'Config_v6'!$B$44+MIN(100,L973/'Config_v6'!$B$13*100)*'Config_v6'!$B$45+(100-'Motor_Meciuri'!BF75)*'Config_v6'!$B$46+'Motor_Meciuri'!BH75*100*'Config_v6'!$B$47))</x:f>
      </x:c>
      <x:c r="U973" s="2" t="str">
        <x:f>IF(T973="","",IF(T973&lt;=20,1,IF(T973&lt;=40,2,IF(T973&lt;=60,3,IF(T973&lt;=80,4,5)))))</x:f>
      </x:c>
      <x:c r="V973" s="2" t="str">
        <x:f>IF(M973="","",MAX(0,'Motor_Meciuri'!BF75-IF(W973="OOS PENDING",'Config_v6'!$B$35,0)-IF(L973&gt;'Config_v6'!$B$12,'Config_v6'!$B$37,IF(L973&gt;'Config_v6'!$B$11,'Config_v6'!$B$36,0))))</x:f>
      </x:c>
      <x:c r="W973" s="2" t="str">
        <x:f>IF(B973="","",IF(I973&lt;&gt;"READY","NOT RELEASED",IF(NOT(AND(J973="PASS",'Calibrare_Linii'!U7="VALID")),"INVALID",IF(NOT(AND('Calibrare_Linii'!S7="VALIDATED",AND('Calibrare_Linii'!H7=C973,ISNUMBER('Calibrare_Linii'!J7),'Calibrare_Linii'!J7&lt;='Input_Meci'!G75))),"OOS PENDING",IF(S973&lt;='Calibrare_Linii'!E7,"PASS",IF(S973&lt;='Calibrare_Linii'!F7,"PENALTY","WATCH"))))))</x:f>
      </x:c>
      <x:c r="X973" s="2" t="str">
        <x:f>IF(M973="","",IF(AND(AND(J973="PASS",'Calibrare_Linii'!U7="VALID"),'Motor_Meciuri'!K75=12,'Motor_Meciuri'!L75=12,'Motor_Meciuri'!M75="NO",'Motor_Meciuri'!BL75='Motor_Meciuri'!C75,AB973&gt;='Config_v6'!$B$50,AN973&gt;='Config_v6'!$B$51,T973&lt;='Config_v6'!$B$52,L973&lt;='Config_v6'!$B$53,ISNUMBER('Calibrare_Linii'!E7),S973&lt;='Calibrare_Linii'!E7,SUM(AK973:AM973)&gt;0),"CANDIDATE","NO"))</x:f>
      </x:c>
      <x:c r="Y973" s="2" t="str">
        <x:f>IF(B973="","",IF(I973&lt;&gt;"READY","NOT RELEASED",IF(AND(X973="CANDIDATE",V973&gt;='Config_v6'!$B$51,W973="PASS",'Calibrare_Linii'!T7="VALIDATED",AND('Calibrare_Linii'!H7=C973,ISNUMBER('Calibrare_Linii'!J7),'Calibrare_Linii'!J7&lt;='Input_Meci'!G75)),"PASS",IF(X973="CANDIDATE","OOS PENDING","FAIL"))))</x:f>
      </x:c>
      <x:c r="Z973" s="2" t="str">
        <x:f>IF(B973="","",IF(I973&lt;&gt;"READY","",IF(OR(NOT(AND(J973="PASS",'Calibrare_Linii'!U7="VALID")),L973&gt;'Config_v6'!$B$13,W973="WATCH"),5,IF(Y973="PASS",1,MIN(5,MAX('Config_v6'!$B$42,U973)+IF(W973="PENALTY",1,0))))))</x:f>
      </x:c>
      <x:c r="AA973" s="2" t="str">
        <x:f>IF(B973="","",IF(I973&lt;&gt;"READY","NOT RELEASED",IF(Z973=5,"NO BET",IF(OR(AB973&lt;'Config_v6'!$B$16,V973&lt;'Config_v6'!$B$18),"WATCH",IF(Z973=1,"DEFENSIV",IF(Z973=2,"PRUDENT",IF(Z973=3,"MODERAT","RIDICAT")))))))</x:f>
      </x:c>
      <x:c r="AB973" s="10" t="str">
        <x:f>IF(N973="","",MIN(N973,1-S973))</x:f>
      </x:c>
      <x:c r="AC973" s="2" t="str">
        <x:f>IF(AD973&lt;&gt;1,"",COUNTIFS($Z$972:$Z$985,"&lt;"&amp;Z973,$AD$972:$AD$985,1)+COUNTIFS($Z$972:$Z$985,Z973,$AB$972:$AB$985,"&gt;"&amp;AB973,$AD$972:$AD$985,1)+COUNTIFS($Z$972:$Z$985,Z973,$AB$972:$AB$985,AB973,$V$972:$V$985,"&gt;"&amp;V973,$AD$972:$AD$985,1)+COUNTIFS($Z$972:Z973,Z973,$AB$972:AB973,AB973,$V$972:V973,V973,$AD$972:AD973,1))</x:f>
      </x:c>
      <x:c r="AD973" s="2" t="n">
        <x:f>IF(OR(AA973="DEFENSIV",AA973="PRUDENT",AA973="MODERAT",AA973="RIDICAT"),1,0)</x:f>
        <x:v>0</x:v>
      </x:c>
      <x:c r="AE973" s="2" t="str">
        <x:f>IF(AD973&lt;&gt;1,"NO",IF(W973="PASS","YES",IF(W973="OOS PENDING","CONDITIONAL","NO")))</x:f>
        <x:v>NO</x:v>
      </x:c>
      <x:c r="AF973" s="2" t="n">
        <x:f>IF(AND(AD973=1,AC973=1,E973="LIVE"),1,0)</x:f>
        <x:v>0</x:v>
      </x:c>
      <x:c r="AG973" s="2" t="str">
        <x:f>IF(AF973&lt;&gt;1,"",'Dashboard'!P95)</x:f>
      </x:c>
      <x:c r="AH973" s="2" t="str">
        <x:f>IF(B973="","",IF(J973&lt;&gt;"PASS",'Motor_Meciuri'!J75,IF('Calibrare_Linii'!U7&lt;&gt;"VALID","Parametri linie invalizi",IF(L973&gt;'Config_v6'!$B$13,"Dispersie peste limita",IF(W973="WATCH","Failure peste limita",IF(AB973&lt;'Config_v6'!$B$16,"P finala sub prag",IF(V973&lt;'Config_v6'!$B$18,"Confidence sub prag",IF(E973="REPLAY","Exemplu retrospectiv; exclus din Top LIVE",IF(Y973="PASS","DEFENSIV validat",IF(W973="OOS PENDING","Eligibil; calibrare linie in monitorizare","Eligibil"))))))))))</x:f>
      </x:c>
      <x:c r="AI973" s="2" t="str">
        <x:f>IF(B973="","",'Calibrare_Linii'!V7)</x:f>
      </x:c>
      <x:c r="AJ973" s="2" t="str">
        <x:f>IF(B973="","",IF(AND('Calibrare_Linii'!T7="VALIDATED",AND('Calibrare_Linii'!H7=C973,ISNUMBER('Calibrare_Linii'!J7),'Calibrare_Linii'!J7&lt;='Input_Meci'!G75)),"DEFENSIVE VALIDATED",IF(AND('Calibrare_Linii'!S7="VALIDATED",AND('Calibrare_Linii'!H7=C973,ISNUMBER('Calibrare_Linii'!J7),'Calibrare_Linii'!J7&lt;='Input_Meci'!G75)),"TAIL VALIDATED","OOS PENDING")))</x:f>
      </x:c>
      <x:c r="AK973" s="2" t="n">
        <x:f>IF(J973&lt;&gt;"PASS",0,'Motor_Meciuri'!BR75)</x:f>
        <x:v>0</x:v>
      </x:c>
      <x:c r="AL973" s="2" t="n">
        <x:f>IF(J973&lt;&gt;"PASS",0,'Motor_Meciuri'!BS75)</x:f>
        <x:v>0</x:v>
      </x:c>
      <x:c r="AM973" s="2" t="n">
        <x:f>IF(J973&lt;&gt;"PASS",0,'Motor_Meciuri'!BT75)</x:f>
        <x:v>0</x:v>
      </x:c>
      <x:c r="AN973" s="2" t="str">
        <x:f>IF(M973="","",MAX(0,'Motor_Meciuri'!BF75-IF(L973&gt;'Config_v6'!$B$12,'Config_v6'!$B$37,IF(L973&gt;'Config_v6'!$B$11,'Config_v6'!$B$36,0))))</x:f>
      </x:c>
    </x:row>
    <x:row r="974" ht="21" customHeight="1">
      <x:c r="A974" s="2" t="n">
        <x:v>70</x:v>
      </x:c>
      <x:c r="B974" s="2" t="str">
        <x:f>IF('Motor_Meciuri'!A75="","",'Motor_Meciuri'!A75)</x:f>
      </x:c>
      <x:c r="C974" s="2" t="str">
        <x:f>IF(B974="","",'Motor_Meciuri'!B75)</x:f>
      </x:c>
      <x:c r="D974" s="2" t="str">
        <x:f>IF(B974="","",'Motor_Meciuri'!D75)</x:f>
      </x:c>
      <x:c r="E974" s="2" t="str">
        <x:f>IF(B974="","",'Motor_Meciuri'!E75)</x:f>
      </x:c>
      <x:c r="F974" s="2" t="str">
        <x:v>O5,5</x:v>
      </x:c>
      <x:c r="G974" s="2" t="str">
        <x:v>OVER</x:v>
      </x:c>
      <x:c r="H974" s="2" t="n">
        <x:v>5</x:v>
      </x:c>
      <x:c r="I974" s="2" t="str">
        <x:f>IF(B974="","",'Motor_Meciuri'!H75)</x:f>
      </x:c>
      <x:c r="J974" s="2" t="str">
        <x:f>IF(B974="","",'Motor_Meciuri'!I75)</x:f>
      </x:c>
      <x:c r="K974" s="11" t="str">
        <x:f>IF(J974&lt;&gt;"PASS","",'Motor_Meciuri'!BD75)</x:f>
      </x:c>
      <x:c r="L974" s="11" t="str">
        <x:f>IF(J974&lt;&gt;"PASS","",'Motor_Meciuri'!AU75)</x:f>
      </x:c>
      <x:c r="M974" s="10" t="str">
        <x:f>IF(NOT(AND(J974="PASS",'Calibrare_Linii'!U8="VALID")),"",1-'Distributie'!AC75)</x:f>
      </x:c>
      <x:c r="N974" s="10" t="str">
        <x:f>IF(M974="","",MAX(0.01,MIN(0.99,0.5+(M974-0.5)*'Motor_Meciuri'!BG75*'Calibrare_Linii'!D8)))</x:f>
      </x:c>
      <x:c r="O974" s="10" t="str">
        <x:f>IF(M974="","",1-M974)</x:f>
      </x:c>
      <x:c r="P974" s="10" t="str">
        <x:f>IF(OR(NOT(AND(J974="PASS",'Calibrare_Linii'!U8="VALID")),AK974=0),""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*('Istoric_Nativ'!$Q$6:$Q$405&lt;=H974))/AK974)</x:f>
      </x:c>
      <x:c r="Q974" s="10" t="str">
        <x:f>IF(OR(NOT(AND(J974="PASS",'Calibrare_Linii'!U8="VALID")),AL974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M75)+((('Istoric_Nativ'!$E$6:$E$405='Input_Meci'!E75)+('Istoric_Nativ'!$F$6:$F$405='Input_Meci'!E75))&gt;0)*('Istoric_Nativ'!$D$6:$D$405&gt;='Motor_Meciuri'!BN75))&gt;0)*('Istoric_Nativ'!$Q$6:$Q$405&lt;=H974))/AL974)</x:f>
      </x:c>
      <x:c r="R974" s="10" t="str">
        <x:f>IF(OR(NOT(AND(J974="PASS",'Calibrare_Linii'!U8="VALID")),AM974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O75)+((('Istoric_Nativ'!$E$6:$E$405='Input_Meci'!E75)+('Istoric_Nativ'!$F$6:$F$405='Input_Meci'!E75))&gt;0)*('Istoric_Nativ'!$D$6:$D$405&gt;='Motor_Meciuri'!BP75))&gt;0)*('Istoric_Nativ'!$Q$6:$Q$405&lt;=H974))/AM974)</x:f>
      </x:c>
      <x:c r="S974" s="10" t="str">
        <x:f>IF(M974="","",MAX(O974,P974,Q974,R974))</x:f>
      </x:c>
      <x:c r="T974" s="11" t="str">
        <x:f>IF(M974="","",MIN(100,S974*100*'Config_v6'!$B$44+MIN(100,L974/'Config_v6'!$B$13*100)*'Config_v6'!$B$45+(100-'Motor_Meciuri'!BF75)*'Config_v6'!$B$46+'Motor_Meciuri'!BH75*100*'Config_v6'!$B$47))</x:f>
      </x:c>
      <x:c r="U974" s="2" t="str">
        <x:f>IF(T974="","",IF(T974&lt;=20,1,IF(T974&lt;=40,2,IF(T974&lt;=60,3,IF(T974&lt;=80,4,5)))))</x:f>
      </x:c>
      <x:c r="V974" s="2" t="str">
        <x:f>IF(M974="","",MAX(0,'Motor_Meciuri'!BF75-IF(W974="OOS PENDING",'Config_v6'!$B$35,0)-IF(L974&gt;'Config_v6'!$B$12,'Config_v6'!$B$37,IF(L974&gt;'Config_v6'!$B$11,'Config_v6'!$B$36,0))))</x:f>
      </x:c>
      <x:c r="W974" s="2" t="str">
        <x:f>IF(B974="","",IF(I974&lt;&gt;"READY","NOT RELEASED",IF(NOT(AND(J974="PASS",'Calibrare_Linii'!U8="VALID")),"INVALID",IF(NOT(AND('Calibrare_Linii'!S8="VALIDATED",AND('Calibrare_Linii'!H8=C974,ISNUMBER('Calibrare_Linii'!J8),'Calibrare_Linii'!J8&lt;='Input_Meci'!G75))),"OOS PENDING",IF(S974&lt;='Calibrare_Linii'!E8,"PASS",IF(S974&lt;='Calibrare_Linii'!F8,"PENALTY","WATCH"))))))</x:f>
      </x:c>
      <x:c r="X974" s="2" t="str">
        <x:f>IF(M974="","",IF(AND(AND(J974="PASS",'Calibrare_Linii'!U8="VALID"),'Motor_Meciuri'!K75=12,'Motor_Meciuri'!L75=12,'Motor_Meciuri'!M75="NO",'Motor_Meciuri'!BL75='Motor_Meciuri'!C75,AB974&gt;='Config_v6'!$B$50,AN974&gt;='Config_v6'!$B$51,T974&lt;='Config_v6'!$B$52,L974&lt;='Config_v6'!$B$53,ISNUMBER('Calibrare_Linii'!E8),S974&lt;='Calibrare_Linii'!E8,SUM(AK974:AM974)&gt;0),"CANDIDATE","NO"))</x:f>
      </x:c>
      <x:c r="Y974" s="2" t="str">
        <x:f>IF(B974="","",IF(I974&lt;&gt;"READY","NOT RELEASED",IF(AND(X974="CANDIDATE",V974&gt;='Config_v6'!$B$51,W974="PASS",'Calibrare_Linii'!T8="VALIDATED",AND('Calibrare_Linii'!H8=C974,ISNUMBER('Calibrare_Linii'!J8),'Calibrare_Linii'!J8&lt;='Input_Meci'!G75)),"PASS",IF(X974="CANDIDATE","OOS PENDING","FAIL"))))</x:f>
      </x:c>
      <x:c r="Z974" s="2" t="str">
        <x:f>IF(B974="","",IF(I974&lt;&gt;"READY","",IF(OR(NOT(AND(J974="PASS",'Calibrare_Linii'!U8="VALID")),L974&gt;'Config_v6'!$B$13,W974="WATCH"),5,IF(Y974="PASS",1,MIN(5,MAX('Config_v6'!$B$42,U974)+IF(W974="PENALTY",1,0))))))</x:f>
      </x:c>
      <x:c r="AA974" s="2" t="str">
        <x:f>IF(B974="","",IF(I974&lt;&gt;"READY","NOT RELEASED",IF(Z974=5,"NO BET",IF(OR(AB974&lt;'Config_v6'!$B$16,V974&lt;'Config_v6'!$B$18),"WATCH",IF(Z974=1,"DEFENSIV",IF(Z974=2,"PRUDENT",IF(Z974=3,"MODERAT","RIDICAT")))))))</x:f>
      </x:c>
      <x:c r="AB974" s="10" t="str">
        <x:f>IF(N974="","",MIN(N974,1-S974))</x:f>
      </x:c>
      <x:c r="AC974" s="2" t="str">
        <x:f>IF(AD974&lt;&gt;1,"",COUNTIFS($Z$972:$Z$985,"&lt;"&amp;Z974,$AD$972:$AD$985,1)+COUNTIFS($Z$972:$Z$985,Z974,$AB$972:$AB$985,"&gt;"&amp;AB974,$AD$972:$AD$985,1)+COUNTIFS($Z$972:$Z$985,Z974,$AB$972:$AB$985,AB974,$V$972:$V$985,"&gt;"&amp;V974,$AD$972:$AD$985,1)+COUNTIFS($Z$972:Z974,Z974,$AB$972:AB974,AB974,$V$972:V974,V974,$AD$972:AD974,1))</x:f>
      </x:c>
      <x:c r="AD974" s="2" t="n">
        <x:f>IF(OR(AA974="DEFENSIV",AA974="PRUDENT",AA974="MODERAT",AA974="RIDICAT"),1,0)</x:f>
        <x:v>0</x:v>
      </x:c>
      <x:c r="AE974" s="2" t="str">
        <x:f>IF(AD974&lt;&gt;1,"NO",IF(W974="PASS","YES",IF(W974="OOS PENDING","CONDITIONAL","NO")))</x:f>
        <x:v>NO</x:v>
      </x:c>
      <x:c r="AF974" s="2" t="n">
        <x:f>IF(AND(AD974=1,AC974=1,E974="LIVE"),1,0)</x:f>
        <x:v>0</x:v>
      </x:c>
      <x:c r="AG974" s="2" t="str">
        <x:f>IF(AF974&lt;&gt;1,"",'Dashboard'!P95)</x:f>
      </x:c>
      <x:c r="AH974" s="2" t="str">
        <x:f>IF(B974="","",IF(J974&lt;&gt;"PASS",'Motor_Meciuri'!J75,IF('Calibrare_Linii'!U8&lt;&gt;"VALID","Parametri linie invalizi",IF(L974&gt;'Config_v6'!$B$13,"Dispersie peste limita",IF(W974="WATCH","Failure peste limita",IF(AB974&lt;'Config_v6'!$B$16,"P finala sub prag",IF(V974&lt;'Config_v6'!$B$18,"Confidence sub prag",IF(E974="REPLAY","Exemplu retrospectiv; exclus din Top LIVE",IF(Y974="PASS","DEFENSIV validat",IF(W974="OOS PENDING","Eligibil; calibrare linie in monitorizare","Eligibil"))))))))))</x:f>
      </x:c>
      <x:c r="AI974" s="2" t="str">
        <x:f>IF(B974="","",'Calibrare_Linii'!V8)</x:f>
      </x:c>
      <x:c r="AJ974" s="2" t="str">
        <x:f>IF(B974="","",IF(AND('Calibrare_Linii'!T8="VALIDATED",AND('Calibrare_Linii'!H8=C974,ISNUMBER('Calibrare_Linii'!J8),'Calibrare_Linii'!J8&lt;='Input_Meci'!G75)),"DEFENSIVE VALIDATED",IF(AND('Calibrare_Linii'!S8="VALIDATED",AND('Calibrare_Linii'!H8=C974,ISNUMBER('Calibrare_Linii'!J8),'Calibrare_Linii'!J8&lt;='Input_Meci'!G75)),"TAIL VALIDATED","OOS PENDING")))</x:f>
      </x:c>
      <x:c r="AK974" s="2" t="n">
        <x:f>IF(J974&lt;&gt;"PASS",0,'Motor_Meciuri'!BR75)</x:f>
        <x:v>0</x:v>
      </x:c>
      <x:c r="AL974" s="2" t="n">
        <x:f>IF(J974&lt;&gt;"PASS",0,'Motor_Meciuri'!BS75)</x:f>
        <x:v>0</x:v>
      </x:c>
      <x:c r="AM974" s="2" t="n">
        <x:f>IF(J974&lt;&gt;"PASS",0,'Motor_Meciuri'!BT75)</x:f>
        <x:v>0</x:v>
      </x:c>
      <x:c r="AN974" s="2" t="str">
        <x:f>IF(M974="","",MAX(0,'Motor_Meciuri'!BF75-IF(L974&gt;'Config_v6'!$B$12,'Config_v6'!$B$37,IF(L974&gt;'Config_v6'!$B$11,'Config_v6'!$B$36,0))))</x:f>
      </x:c>
    </x:row>
    <x:row r="975" ht="21" customHeight="1">
      <x:c r="A975" s="2" t="n">
        <x:v>70</x:v>
      </x:c>
      <x:c r="B975" s="2" t="str">
        <x:f>IF('Motor_Meciuri'!A75="","",'Motor_Meciuri'!A75)</x:f>
      </x:c>
      <x:c r="C975" s="2" t="str">
        <x:f>IF(B975="","",'Motor_Meciuri'!B75)</x:f>
      </x:c>
      <x:c r="D975" s="2" t="str">
        <x:f>IF(B975="","",'Motor_Meciuri'!D75)</x:f>
      </x:c>
      <x:c r="E975" s="2" t="str">
        <x:f>IF(B975="","",'Motor_Meciuri'!E75)</x:f>
      </x:c>
      <x:c r="F975" s="2" t="str">
        <x:v>O6,5</x:v>
      </x:c>
      <x:c r="G975" s="2" t="str">
        <x:v>OVER</x:v>
      </x:c>
      <x:c r="H975" s="2" t="n">
        <x:v>6</x:v>
      </x:c>
      <x:c r="I975" s="2" t="str">
        <x:f>IF(B975="","",'Motor_Meciuri'!H75)</x:f>
      </x:c>
      <x:c r="J975" s="2" t="str">
        <x:f>IF(B975="","",'Motor_Meciuri'!I75)</x:f>
      </x:c>
      <x:c r="K975" s="11" t="str">
        <x:f>IF(J975&lt;&gt;"PASS","",'Motor_Meciuri'!BD75)</x:f>
      </x:c>
      <x:c r="L975" s="11" t="str">
        <x:f>IF(J975&lt;&gt;"PASS","",'Motor_Meciuri'!AU75)</x:f>
      </x:c>
      <x:c r="M975" s="10" t="str">
        <x:f>IF(NOT(AND(J975="PASS",'Calibrare_Linii'!U9="VALID")),"",1-'Distributie'!AD75)</x:f>
      </x:c>
      <x:c r="N975" s="10" t="str">
        <x:f>IF(M975="","",MAX(0.01,MIN(0.99,0.5+(M975-0.5)*'Motor_Meciuri'!BG75*'Calibrare_Linii'!D9)))</x:f>
      </x:c>
      <x:c r="O975" s="10" t="str">
        <x:f>IF(M975="","",1-M975)</x:f>
      </x:c>
      <x:c r="P975" s="10" t="str">
        <x:f>IF(OR(NOT(AND(J975="PASS",'Calibrare_Linii'!U9="VALID")),AK975=0),""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*('Istoric_Nativ'!$Q$6:$Q$405&lt;=H975))/AK975)</x:f>
      </x:c>
      <x:c r="Q975" s="10" t="str">
        <x:f>IF(OR(NOT(AND(J975="PASS",'Calibrare_Linii'!U9="VALID")),AL975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M75)+((('Istoric_Nativ'!$E$6:$E$405='Input_Meci'!E75)+('Istoric_Nativ'!$F$6:$F$405='Input_Meci'!E75))&gt;0)*('Istoric_Nativ'!$D$6:$D$405&gt;='Motor_Meciuri'!BN75))&gt;0)*('Istoric_Nativ'!$Q$6:$Q$405&lt;=H975))/AL975)</x:f>
      </x:c>
      <x:c r="R975" s="10" t="str">
        <x:f>IF(OR(NOT(AND(J975="PASS",'Calibrare_Linii'!U9="VALID")),AM975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O75)+((('Istoric_Nativ'!$E$6:$E$405='Input_Meci'!E75)+('Istoric_Nativ'!$F$6:$F$405='Input_Meci'!E75))&gt;0)*('Istoric_Nativ'!$D$6:$D$405&gt;='Motor_Meciuri'!BP75))&gt;0)*('Istoric_Nativ'!$Q$6:$Q$405&lt;=H975))/AM975)</x:f>
      </x:c>
      <x:c r="S975" s="10" t="str">
        <x:f>IF(M975="","",MAX(O975,P975,Q975,R975))</x:f>
      </x:c>
      <x:c r="T975" s="11" t="str">
        <x:f>IF(M975="","",MIN(100,S975*100*'Config_v6'!$B$44+MIN(100,L975/'Config_v6'!$B$13*100)*'Config_v6'!$B$45+(100-'Motor_Meciuri'!BF75)*'Config_v6'!$B$46+'Motor_Meciuri'!BH75*100*'Config_v6'!$B$47))</x:f>
      </x:c>
      <x:c r="U975" s="2" t="str">
        <x:f>IF(T975="","",IF(T975&lt;=20,1,IF(T975&lt;=40,2,IF(T975&lt;=60,3,IF(T975&lt;=80,4,5)))))</x:f>
      </x:c>
      <x:c r="V975" s="2" t="str">
        <x:f>IF(M975="","",MAX(0,'Motor_Meciuri'!BF75-IF(W975="OOS PENDING",'Config_v6'!$B$35,0)-IF(L975&gt;'Config_v6'!$B$12,'Config_v6'!$B$37,IF(L975&gt;'Config_v6'!$B$11,'Config_v6'!$B$36,0))))</x:f>
      </x:c>
      <x:c r="W975" s="2" t="str">
        <x:f>IF(B975="","",IF(I975&lt;&gt;"READY","NOT RELEASED",IF(NOT(AND(J975="PASS",'Calibrare_Linii'!U9="VALID")),"INVALID",IF(NOT(AND('Calibrare_Linii'!S9="VALIDATED",AND('Calibrare_Linii'!H9=C975,ISNUMBER('Calibrare_Linii'!J9),'Calibrare_Linii'!J9&lt;='Input_Meci'!G75))),"OOS PENDING",IF(S975&lt;='Calibrare_Linii'!E9,"PASS",IF(S975&lt;='Calibrare_Linii'!F9,"PENALTY","WATCH"))))))</x:f>
      </x:c>
      <x:c r="X975" s="2" t="str">
        <x:f>IF(M975="","",IF(AND(AND(J975="PASS",'Calibrare_Linii'!U9="VALID"),'Motor_Meciuri'!K75=12,'Motor_Meciuri'!L75=12,'Motor_Meciuri'!M75="NO",'Motor_Meciuri'!BL75='Motor_Meciuri'!C75,AB975&gt;='Config_v6'!$B$50,AN975&gt;='Config_v6'!$B$51,T975&lt;='Config_v6'!$B$52,L975&lt;='Config_v6'!$B$53,ISNUMBER('Calibrare_Linii'!E9),S975&lt;='Calibrare_Linii'!E9,SUM(AK975:AM975)&gt;0),"CANDIDATE","NO"))</x:f>
      </x:c>
      <x:c r="Y975" s="2" t="str">
        <x:f>IF(B975="","",IF(I975&lt;&gt;"READY","NOT RELEASED",IF(AND(X975="CANDIDATE",V975&gt;='Config_v6'!$B$51,W975="PASS",'Calibrare_Linii'!T9="VALIDATED",AND('Calibrare_Linii'!H9=C975,ISNUMBER('Calibrare_Linii'!J9),'Calibrare_Linii'!J9&lt;='Input_Meci'!G75)),"PASS",IF(X975="CANDIDATE","OOS PENDING","FAIL"))))</x:f>
      </x:c>
      <x:c r="Z975" s="2" t="str">
        <x:f>IF(B975="","",IF(I975&lt;&gt;"READY","",IF(OR(NOT(AND(J975="PASS",'Calibrare_Linii'!U9="VALID")),L975&gt;'Config_v6'!$B$13,W975="WATCH"),5,IF(Y975="PASS",1,MIN(5,MAX('Config_v6'!$B$42,U975)+IF(W975="PENALTY",1,0))))))</x:f>
      </x:c>
      <x:c r="AA975" s="2" t="str">
        <x:f>IF(B975="","",IF(I975&lt;&gt;"READY","NOT RELEASED",IF(Z975=5,"NO BET",IF(OR(AB975&lt;'Config_v6'!$B$16,V975&lt;'Config_v6'!$B$18),"WATCH",IF(Z975=1,"DEFENSIV",IF(Z975=2,"PRUDENT",IF(Z975=3,"MODERAT","RIDICAT")))))))</x:f>
      </x:c>
      <x:c r="AB975" s="10" t="str">
        <x:f>IF(N975="","",MIN(N975,1-S975))</x:f>
      </x:c>
      <x:c r="AC975" s="2" t="str">
        <x:f>IF(AD975&lt;&gt;1,"",COUNTIFS($Z$972:$Z$985,"&lt;"&amp;Z975,$AD$972:$AD$985,1)+COUNTIFS($Z$972:$Z$985,Z975,$AB$972:$AB$985,"&gt;"&amp;AB975,$AD$972:$AD$985,1)+COUNTIFS($Z$972:$Z$985,Z975,$AB$972:$AB$985,AB975,$V$972:$V$985,"&gt;"&amp;V975,$AD$972:$AD$985,1)+COUNTIFS($Z$972:Z975,Z975,$AB$972:AB975,AB975,$V$972:V975,V975,$AD$972:AD975,1))</x:f>
      </x:c>
      <x:c r="AD975" s="2" t="n">
        <x:f>IF(OR(AA975="DEFENSIV",AA975="PRUDENT",AA975="MODERAT",AA975="RIDICAT"),1,0)</x:f>
        <x:v>0</x:v>
      </x:c>
      <x:c r="AE975" s="2" t="str">
        <x:f>IF(AD975&lt;&gt;1,"NO",IF(W975="PASS","YES",IF(W975="OOS PENDING","CONDITIONAL","NO")))</x:f>
        <x:v>NO</x:v>
      </x:c>
      <x:c r="AF975" s="2" t="n">
        <x:f>IF(AND(AD975=1,AC975=1,E975="LIVE"),1,0)</x:f>
        <x:v>0</x:v>
      </x:c>
      <x:c r="AG975" s="2" t="str">
        <x:f>IF(AF975&lt;&gt;1,"",'Dashboard'!P95)</x:f>
      </x:c>
      <x:c r="AH975" s="2" t="str">
        <x:f>IF(B975="","",IF(J975&lt;&gt;"PASS",'Motor_Meciuri'!J75,IF('Calibrare_Linii'!U9&lt;&gt;"VALID","Parametri linie invalizi",IF(L975&gt;'Config_v6'!$B$13,"Dispersie peste limita",IF(W975="WATCH","Failure peste limita",IF(AB975&lt;'Config_v6'!$B$16,"P finala sub prag",IF(V975&lt;'Config_v6'!$B$18,"Confidence sub prag",IF(E975="REPLAY","Exemplu retrospectiv; exclus din Top LIVE",IF(Y975="PASS","DEFENSIV validat",IF(W975="OOS PENDING","Eligibil; calibrare linie in monitorizare","Eligibil"))))))))))</x:f>
      </x:c>
      <x:c r="AI975" s="2" t="str">
        <x:f>IF(B975="","",'Calibrare_Linii'!V9)</x:f>
      </x:c>
      <x:c r="AJ975" s="2" t="str">
        <x:f>IF(B975="","",IF(AND('Calibrare_Linii'!T9="VALIDATED",AND('Calibrare_Linii'!H9=C975,ISNUMBER('Calibrare_Linii'!J9),'Calibrare_Linii'!J9&lt;='Input_Meci'!G75)),"DEFENSIVE VALIDATED",IF(AND('Calibrare_Linii'!S9="VALIDATED",AND('Calibrare_Linii'!H9=C975,ISNUMBER('Calibrare_Linii'!J9),'Calibrare_Linii'!J9&lt;='Input_Meci'!G75)),"TAIL VALIDATED","OOS PENDING")))</x:f>
      </x:c>
      <x:c r="AK975" s="2" t="n">
        <x:f>IF(J975&lt;&gt;"PASS",0,'Motor_Meciuri'!BR75)</x:f>
        <x:v>0</x:v>
      </x:c>
      <x:c r="AL975" s="2" t="n">
        <x:f>IF(J975&lt;&gt;"PASS",0,'Motor_Meciuri'!BS75)</x:f>
        <x:v>0</x:v>
      </x:c>
      <x:c r="AM975" s="2" t="n">
        <x:f>IF(J975&lt;&gt;"PASS",0,'Motor_Meciuri'!BT75)</x:f>
        <x:v>0</x:v>
      </x:c>
      <x:c r="AN975" s="2" t="str">
        <x:f>IF(M975="","",MAX(0,'Motor_Meciuri'!BF75-IF(L975&gt;'Config_v6'!$B$12,'Config_v6'!$B$37,IF(L975&gt;'Config_v6'!$B$11,'Config_v6'!$B$36,0))))</x:f>
      </x:c>
    </x:row>
    <x:row r="976" ht="21" customHeight="1">
      <x:c r="A976" s="2" t="n">
        <x:v>70</x:v>
      </x:c>
      <x:c r="B976" s="2" t="str">
        <x:f>IF('Motor_Meciuri'!A75="","",'Motor_Meciuri'!A75)</x:f>
      </x:c>
      <x:c r="C976" s="2" t="str">
        <x:f>IF(B976="","",'Motor_Meciuri'!B75)</x:f>
      </x:c>
      <x:c r="D976" s="2" t="str">
        <x:f>IF(B976="","",'Motor_Meciuri'!D75)</x:f>
      </x:c>
      <x:c r="E976" s="2" t="str">
        <x:f>IF(B976="","",'Motor_Meciuri'!E75)</x:f>
      </x:c>
      <x:c r="F976" s="2" t="str">
        <x:v>O7,5</x:v>
      </x:c>
      <x:c r="G976" s="2" t="str">
        <x:v>OVER</x:v>
      </x:c>
      <x:c r="H976" s="2" t="n">
        <x:v>7</x:v>
      </x:c>
      <x:c r="I976" s="2" t="str">
        <x:f>IF(B976="","",'Motor_Meciuri'!H75)</x:f>
      </x:c>
      <x:c r="J976" s="2" t="str">
        <x:f>IF(B976="","",'Motor_Meciuri'!I75)</x:f>
      </x:c>
      <x:c r="K976" s="11" t="str">
        <x:f>IF(J976&lt;&gt;"PASS","",'Motor_Meciuri'!BD75)</x:f>
      </x:c>
      <x:c r="L976" s="11" t="str">
        <x:f>IF(J976&lt;&gt;"PASS","",'Motor_Meciuri'!AU75)</x:f>
      </x:c>
      <x:c r="M976" s="10" t="str">
        <x:f>IF(NOT(AND(J976="PASS",'Calibrare_Linii'!U10="VALID")),"",1-'Distributie'!AE75)</x:f>
      </x:c>
      <x:c r="N976" s="10" t="str">
        <x:f>IF(M976="","",MAX(0.01,MIN(0.99,0.5+(M976-0.5)*'Motor_Meciuri'!BG75*'Calibrare_Linii'!D10)))</x:f>
      </x:c>
      <x:c r="O976" s="10" t="str">
        <x:f>IF(M976="","",1-M976)</x:f>
      </x:c>
      <x:c r="P976" s="10" t="str">
        <x:f>IF(OR(NOT(AND(J976="PASS",'Calibrare_Linii'!U10="VALID")),AK976=0),""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*('Istoric_Nativ'!$Q$6:$Q$405&lt;=H976))/AK976)</x:f>
      </x:c>
      <x:c r="Q976" s="10" t="str">
        <x:f>IF(OR(NOT(AND(J976="PASS",'Calibrare_Linii'!U10="VALID")),AL976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M75)+((('Istoric_Nativ'!$E$6:$E$405='Input_Meci'!E75)+('Istoric_Nativ'!$F$6:$F$405='Input_Meci'!E75))&gt;0)*('Istoric_Nativ'!$D$6:$D$405&gt;='Motor_Meciuri'!BN75))&gt;0)*('Istoric_Nativ'!$Q$6:$Q$405&lt;=H976))/AL976)</x:f>
      </x:c>
      <x:c r="R976" s="10" t="str">
        <x:f>IF(OR(NOT(AND(J976="PASS",'Calibrare_Linii'!U10="VALID")),AM976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O75)+((('Istoric_Nativ'!$E$6:$E$405='Input_Meci'!E75)+('Istoric_Nativ'!$F$6:$F$405='Input_Meci'!E75))&gt;0)*('Istoric_Nativ'!$D$6:$D$405&gt;='Motor_Meciuri'!BP75))&gt;0)*('Istoric_Nativ'!$Q$6:$Q$405&lt;=H976))/AM976)</x:f>
      </x:c>
      <x:c r="S976" s="10" t="str">
        <x:f>IF(M976="","",MAX(O976,P976,Q976,R976))</x:f>
      </x:c>
      <x:c r="T976" s="11" t="str">
        <x:f>IF(M976="","",MIN(100,S976*100*'Config_v6'!$B$44+MIN(100,L976/'Config_v6'!$B$13*100)*'Config_v6'!$B$45+(100-'Motor_Meciuri'!BF75)*'Config_v6'!$B$46+'Motor_Meciuri'!BH75*100*'Config_v6'!$B$47))</x:f>
      </x:c>
      <x:c r="U976" s="2" t="str">
        <x:f>IF(T976="","",IF(T976&lt;=20,1,IF(T976&lt;=40,2,IF(T976&lt;=60,3,IF(T976&lt;=80,4,5)))))</x:f>
      </x:c>
      <x:c r="V976" s="2" t="str">
        <x:f>IF(M976="","",MAX(0,'Motor_Meciuri'!BF75-IF(W976="OOS PENDING",'Config_v6'!$B$35,0)-IF(L976&gt;'Config_v6'!$B$12,'Config_v6'!$B$37,IF(L976&gt;'Config_v6'!$B$11,'Config_v6'!$B$36,0))))</x:f>
      </x:c>
      <x:c r="W976" s="2" t="str">
        <x:f>IF(B976="","",IF(I976&lt;&gt;"READY","NOT RELEASED",IF(NOT(AND(J976="PASS",'Calibrare_Linii'!U10="VALID")),"INVALID",IF(NOT(AND('Calibrare_Linii'!S10="VALIDATED",AND('Calibrare_Linii'!H10=C976,ISNUMBER('Calibrare_Linii'!J10),'Calibrare_Linii'!J10&lt;='Input_Meci'!G75))),"OOS PENDING",IF(S976&lt;='Calibrare_Linii'!E10,"PASS",IF(S976&lt;='Calibrare_Linii'!F10,"PENALTY","WATCH"))))))</x:f>
      </x:c>
      <x:c r="X976" s="2" t="str">
        <x:f>IF(M976="","",IF(AND(AND(J976="PASS",'Calibrare_Linii'!U10="VALID"),'Motor_Meciuri'!K75=12,'Motor_Meciuri'!L75=12,'Motor_Meciuri'!M75="NO",'Motor_Meciuri'!BL75='Motor_Meciuri'!C75,AB976&gt;='Config_v6'!$B$50,AN976&gt;='Config_v6'!$B$51,T976&lt;='Config_v6'!$B$52,L976&lt;='Config_v6'!$B$53,ISNUMBER('Calibrare_Linii'!E10),S976&lt;='Calibrare_Linii'!E10,SUM(AK976:AM976)&gt;0),"CANDIDATE","NO"))</x:f>
      </x:c>
      <x:c r="Y976" s="2" t="str">
        <x:f>IF(B976="","",IF(I976&lt;&gt;"READY","NOT RELEASED",IF(AND(X976="CANDIDATE",V976&gt;='Config_v6'!$B$51,W976="PASS",'Calibrare_Linii'!T10="VALIDATED",AND('Calibrare_Linii'!H10=C976,ISNUMBER('Calibrare_Linii'!J10),'Calibrare_Linii'!J10&lt;='Input_Meci'!G75)),"PASS",IF(X976="CANDIDATE","OOS PENDING","FAIL"))))</x:f>
      </x:c>
      <x:c r="Z976" s="2" t="str">
        <x:f>IF(B976="","",IF(I976&lt;&gt;"READY","",IF(OR(NOT(AND(J976="PASS",'Calibrare_Linii'!U10="VALID")),L976&gt;'Config_v6'!$B$13,W976="WATCH"),5,IF(Y976="PASS",1,MIN(5,MAX('Config_v6'!$B$42,U976)+IF(W976="PENALTY",1,0))))))</x:f>
      </x:c>
      <x:c r="AA976" s="2" t="str">
        <x:f>IF(B976="","",IF(I976&lt;&gt;"READY","NOT RELEASED",IF(Z976=5,"NO BET",IF(OR(AB976&lt;'Config_v6'!$B$16,V976&lt;'Config_v6'!$B$18),"WATCH",IF(Z976=1,"DEFENSIV",IF(Z976=2,"PRUDENT",IF(Z976=3,"MODERAT","RIDICAT")))))))</x:f>
      </x:c>
      <x:c r="AB976" s="10" t="str">
        <x:f>IF(N976="","",MIN(N976,1-S976))</x:f>
      </x:c>
      <x:c r="AC976" s="2" t="str">
        <x:f>IF(AD976&lt;&gt;1,"",COUNTIFS($Z$972:$Z$985,"&lt;"&amp;Z976,$AD$972:$AD$985,1)+COUNTIFS($Z$972:$Z$985,Z976,$AB$972:$AB$985,"&gt;"&amp;AB976,$AD$972:$AD$985,1)+COUNTIFS($Z$972:$Z$985,Z976,$AB$972:$AB$985,AB976,$V$972:$V$985,"&gt;"&amp;V976,$AD$972:$AD$985,1)+COUNTIFS($Z$972:Z976,Z976,$AB$972:AB976,AB976,$V$972:V976,V976,$AD$972:AD976,1))</x:f>
      </x:c>
      <x:c r="AD976" s="2" t="n">
        <x:f>IF(OR(AA976="DEFENSIV",AA976="PRUDENT",AA976="MODERAT",AA976="RIDICAT"),1,0)</x:f>
        <x:v>0</x:v>
      </x:c>
      <x:c r="AE976" s="2" t="str">
        <x:f>IF(AD976&lt;&gt;1,"NO",IF(W976="PASS","YES",IF(W976="OOS PENDING","CONDITIONAL","NO")))</x:f>
        <x:v>NO</x:v>
      </x:c>
      <x:c r="AF976" s="2" t="n">
        <x:f>IF(AND(AD976=1,AC976=1,E976="LIVE"),1,0)</x:f>
        <x:v>0</x:v>
      </x:c>
      <x:c r="AG976" s="2" t="str">
        <x:f>IF(AF976&lt;&gt;1,"",'Dashboard'!P95)</x:f>
      </x:c>
      <x:c r="AH976" s="2" t="str">
        <x:f>IF(B976="","",IF(J976&lt;&gt;"PASS",'Motor_Meciuri'!J75,IF('Calibrare_Linii'!U10&lt;&gt;"VALID","Parametri linie invalizi",IF(L976&gt;'Config_v6'!$B$13,"Dispersie peste limita",IF(W976="WATCH","Failure peste limita",IF(AB976&lt;'Config_v6'!$B$16,"P finala sub prag",IF(V976&lt;'Config_v6'!$B$18,"Confidence sub prag",IF(E976="REPLAY","Exemplu retrospectiv; exclus din Top LIVE",IF(Y976="PASS","DEFENSIV validat",IF(W976="OOS PENDING","Eligibil; calibrare linie in monitorizare","Eligibil"))))))))))</x:f>
      </x:c>
      <x:c r="AI976" s="2" t="str">
        <x:f>IF(B976="","",'Calibrare_Linii'!V10)</x:f>
      </x:c>
      <x:c r="AJ976" s="2" t="str">
        <x:f>IF(B976="","",IF(AND('Calibrare_Linii'!T10="VALIDATED",AND('Calibrare_Linii'!H10=C976,ISNUMBER('Calibrare_Linii'!J10),'Calibrare_Linii'!J10&lt;='Input_Meci'!G75)),"DEFENSIVE VALIDATED",IF(AND('Calibrare_Linii'!S10="VALIDATED",AND('Calibrare_Linii'!H10=C976,ISNUMBER('Calibrare_Linii'!J10),'Calibrare_Linii'!J10&lt;='Input_Meci'!G75)),"TAIL VALIDATED","OOS PENDING")))</x:f>
      </x:c>
      <x:c r="AK976" s="2" t="n">
        <x:f>IF(J976&lt;&gt;"PASS",0,'Motor_Meciuri'!BR75)</x:f>
        <x:v>0</x:v>
      </x:c>
      <x:c r="AL976" s="2" t="n">
        <x:f>IF(J976&lt;&gt;"PASS",0,'Motor_Meciuri'!BS75)</x:f>
        <x:v>0</x:v>
      </x:c>
      <x:c r="AM976" s="2" t="n">
        <x:f>IF(J976&lt;&gt;"PASS",0,'Motor_Meciuri'!BT75)</x:f>
        <x:v>0</x:v>
      </x:c>
      <x:c r="AN976" s="2" t="str">
        <x:f>IF(M976="","",MAX(0,'Motor_Meciuri'!BF75-IF(L976&gt;'Config_v6'!$B$12,'Config_v6'!$B$37,IF(L976&gt;'Config_v6'!$B$11,'Config_v6'!$B$36,0))))</x:f>
      </x:c>
    </x:row>
    <x:row r="977" ht="21" customHeight="1">
      <x:c r="A977" s="2" t="n">
        <x:v>70</x:v>
      </x:c>
      <x:c r="B977" s="2" t="str">
        <x:f>IF('Motor_Meciuri'!A75="","",'Motor_Meciuri'!A75)</x:f>
      </x:c>
      <x:c r="C977" s="2" t="str">
        <x:f>IF(B977="","",'Motor_Meciuri'!B75)</x:f>
      </x:c>
      <x:c r="D977" s="2" t="str">
        <x:f>IF(B977="","",'Motor_Meciuri'!D75)</x:f>
      </x:c>
      <x:c r="E977" s="2" t="str">
        <x:f>IF(B977="","",'Motor_Meciuri'!E75)</x:f>
      </x:c>
      <x:c r="F977" s="2" t="str">
        <x:v>O8,5</x:v>
      </x:c>
      <x:c r="G977" s="2" t="str">
        <x:v>OVER</x:v>
      </x:c>
      <x:c r="H977" s="2" t="n">
        <x:v>8</x:v>
      </x:c>
      <x:c r="I977" s="2" t="str">
        <x:f>IF(B977="","",'Motor_Meciuri'!H75)</x:f>
      </x:c>
      <x:c r="J977" s="2" t="str">
        <x:f>IF(B977="","",'Motor_Meciuri'!I75)</x:f>
      </x:c>
      <x:c r="K977" s="11" t="str">
        <x:f>IF(J977&lt;&gt;"PASS","",'Motor_Meciuri'!BD75)</x:f>
      </x:c>
      <x:c r="L977" s="11" t="str">
        <x:f>IF(J977&lt;&gt;"PASS","",'Motor_Meciuri'!AU75)</x:f>
      </x:c>
      <x:c r="M977" s="10" t="str">
        <x:f>IF(NOT(AND(J977="PASS",'Calibrare_Linii'!U11="VALID")),"",1-'Distributie'!AF75)</x:f>
      </x:c>
      <x:c r="N977" s="10" t="str">
        <x:f>IF(M977="","",MAX(0.01,MIN(0.99,0.5+(M977-0.5)*'Motor_Meciuri'!BG75*'Calibrare_Linii'!D11)))</x:f>
      </x:c>
      <x:c r="O977" s="10" t="str">
        <x:f>IF(M977="","",1-M977)</x:f>
      </x:c>
      <x:c r="P977" s="10" t="str">
        <x:f>IF(OR(NOT(AND(J977="PASS",'Calibrare_Linii'!U11="VALID")),AK977=0),""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*('Istoric_Nativ'!$Q$6:$Q$405&lt;=H977))/AK977)</x:f>
      </x:c>
      <x:c r="Q977" s="10" t="str">
        <x:f>IF(OR(NOT(AND(J977="PASS",'Calibrare_Linii'!U11="VALID")),AL977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M75)+((('Istoric_Nativ'!$E$6:$E$405='Input_Meci'!E75)+('Istoric_Nativ'!$F$6:$F$405='Input_Meci'!E75))&gt;0)*('Istoric_Nativ'!$D$6:$D$405&gt;='Motor_Meciuri'!BN75))&gt;0)*('Istoric_Nativ'!$Q$6:$Q$405&lt;=H977))/AL977)</x:f>
      </x:c>
      <x:c r="R977" s="10" t="str">
        <x:f>IF(OR(NOT(AND(J977="PASS",'Calibrare_Linii'!U11="VALID")),AM977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O75)+((('Istoric_Nativ'!$E$6:$E$405='Input_Meci'!E75)+('Istoric_Nativ'!$F$6:$F$405='Input_Meci'!E75))&gt;0)*('Istoric_Nativ'!$D$6:$D$405&gt;='Motor_Meciuri'!BP75))&gt;0)*('Istoric_Nativ'!$Q$6:$Q$405&lt;=H977))/AM977)</x:f>
      </x:c>
      <x:c r="S977" s="10" t="str">
        <x:f>IF(M977="","",MAX(O977,P977,Q977,R977))</x:f>
      </x:c>
      <x:c r="T977" s="11" t="str">
        <x:f>IF(M977="","",MIN(100,S977*100*'Config_v6'!$B$44+MIN(100,L977/'Config_v6'!$B$13*100)*'Config_v6'!$B$45+(100-'Motor_Meciuri'!BF75)*'Config_v6'!$B$46+'Motor_Meciuri'!BH75*100*'Config_v6'!$B$47))</x:f>
      </x:c>
      <x:c r="U977" s="2" t="str">
        <x:f>IF(T977="","",IF(T977&lt;=20,1,IF(T977&lt;=40,2,IF(T977&lt;=60,3,IF(T977&lt;=80,4,5)))))</x:f>
      </x:c>
      <x:c r="V977" s="2" t="str">
        <x:f>IF(M977="","",MAX(0,'Motor_Meciuri'!BF75-IF(W977="OOS PENDING",'Config_v6'!$B$35,0)-IF(L977&gt;'Config_v6'!$B$12,'Config_v6'!$B$37,IF(L977&gt;'Config_v6'!$B$11,'Config_v6'!$B$36,0))))</x:f>
      </x:c>
      <x:c r="W977" s="2" t="str">
        <x:f>IF(B977="","",IF(I977&lt;&gt;"READY","NOT RELEASED",IF(NOT(AND(J977="PASS",'Calibrare_Linii'!U11="VALID")),"INVALID",IF(NOT(AND('Calibrare_Linii'!S11="VALIDATED",AND('Calibrare_Linii'!H11=C977,ISNUMBER('Calibrare_Linii'!J11),'Calibrare_Linii'!J11&lt;='Input_Meci'!G75))),"OOS PENDING",IF(S977&lt;='Calibrare_Linii'!E11,"PASS",IF(S977&lt;='Calibrare_Linii'!F11,"PENALTY","WATCH"))))))</x:f>
      </x:c>
      <x:c r="X977" s="2" t="str">
        <x:f>IF(M977="","",IF(AND(AND(J977="PASS",'Calibrare_Linii'!U11="VALID"),'Motor_Meciuri'!K75=12,'Motor_Meciuri'!L75=12,'Motor_Meciuri'!M75="NO",'Motor_Meciuri'!BL75='Motor_Meciuri'!C75,AB977&gt;='Config_v6'!$B$50,AN977&gt;='Config_v6'!$B$51,T977&lt;='Config_v6'!$B$52,L977&lt;='Config_v6'!$B$53,ISNUMBER('Calibrare_Linii'!E11),S977&lt;='Calibrare_Linii'!E11,SUM(AK977:AM977)&gt;0),"CANDIDATE","NO"))</x:f>
      </x:c>
      <x:c r="Y977" s="2" t="str">
        <x:f>IF(B977="","",IF(I977&lt;&gt;"READY","NOT RELEASED",IF(AND(X977="CANDIDATE",V977&gt;='Config_v6'!$B$51,W977="PASS",'Calibrare_Linii'!T11="VALIDATED",AND('Calibrare_Linii'!H11=C977,ISNUMBER('Calibrare_Linii'!J11),'Calibrare_Linii'!J11&lt;='Input_Meci'!G75)),"PASS",IF(X977="CANDIDATE","OOS PENDING","FAIL"))))</x:f>
      </x:c>
      <x:c r="Z977" s="2" t="str">
        <x:f>IF(B977="","",IF(I977&lt;&gt;"READY","",IF(OR(NOT(AND(J977="PASS",'Calibrare_Linii'!U11="VALID")),L977&gt;'Config_v6'!$B$13,W977="WATCH"),5,IF(Y977="PASS",1,MIN(5,MAX('Config_v6'!$B$42,U977)+IF(W977="PENALTY",1,0))))))</x:f>
      </x:c>
      <x:c r="AA977" s="2" t="str">
        <x:f>IF(B977="","",IF(I977&lt;&gt;"READY","NOT RELEASED",IF(Z977=5,"NO BET",IF(OR(AB977&lt;'Config_v6'!$B$16,V977&lt;'Config_v6'!$B$18),"WATCH",IF(Z977=1,"DEFENSIV",IF(Z977=2,"PRUDENT",IF(Z977=3,"MODERAT","RIDICAT")))))))</x:f>
      </x:c>
      <x:c r="AB977" s="10" t="str">
        <x:f>IF(N977="","",MIN(N977,1-S977))</x:f>
      </x:c>
      <x:c r="AC977" s="2" t="str">
        <x:f>IF(AD977&lt;&gt;1,"",COUNTIFS($Z$972:$Z$985,"&lt;"&amp;Z977,$AD$972:$AD$985,1)+COUNTIFS($Z$972:$Z$985,Z977,$AB$972:$AB$985,"&gt;"&amp;AB977,$AD$972:$AD$985,1)+COUNTIFS($Z$972:$Z$985,Z977,$AB$972:$AB$985,AB977,$V$972:$V$985,"&gt;"&amp;V977,$AD$972:$AD$985,1)+COUNTIFS($Z$972:Z977,Z977,$AB$972:AB977,AB977,$V$972:V977,V977,$AD$972:AD977,1))</x:f>
      </x:c>
      <x:c r="AD977" s="2" t="n">
        <x:f>IF(OR(AA977="DEFENSIV",AA977="PRUDENT",AA977="MODERAT",AA977="RIDICAT"),1,0)</x:f>
        <x:v>0</x:v>
      </x:c>
      <x:c r="AE977" s="2" t="str">
        <x:f>IF(AD977&lt;&gt;1,"NO",IF(W977="PASS","YES",IF(W977="OOS PENDING","CONDITIONAL","NO")))</x:f>
        <x:v>NO</x:v>
      </x:c>
      <x:c r="AF977" s="2" t="n">
        <x:f>IF(AND(AD977=1,AC977=1,E977="LIVE"),1,0)</x:f>
        <x:v>0</x:v>
      </x:c>
      <x:c r="AG977" s="2" t="str">
        <x:f>IF(AF977&lt;&gt;1,"",'Dashboard'!P95)</x:f>
      </x:c>
      <x:c r="AH977" s="2" t="str">
        <x:f>IF(B977="","",IF(J977&lt;&gt;"PASS",'Motor_Meciuri'!J75,IF('Calibrare_Linii'!U11&lt;&gt;"VALID","Parametri linie invalizi",IF(L977&gt;'Config_v6'!$B$13,"Dispersie peste limita",IF(W977="WATCH","Failure peste limita",IF(AB977&lt;'Config_v6'!$B$16,"P finala sub prag",IF(V977&lt;'Config_v6'!$B$18,"Confidence sub prag",IF(E977="REPLAY","Exemplu retrospectiv; exclus din Top LIVE",IF(Y977="PASS","DEFENSIV validat",IF(W977="OOS PENDING","Eligibil; calibrare linie in monitorizare","Eligibil"))))))))))</x:f>
      </x:c>
      <x:c r="AI977" s="2" t="str">
        <x:f>IF(B977="","",'Calibrare_Linii'!V11)</x:f>
      </x:c>
      <x:c r="AJ977" s="2" t="str">
        <x:f>IF(B977="","",IF(AND('Calibrare_Linii'!T11="VALIDATED",AND('Calibrare_Linii'!H11=C977,ISNUMBER('Calibrare_Linii'!J11),'Calibrare_Linii'!J11&lt;='Input_Meci'!G75)),"DEFENSIVE VALIDATED",IF(AND('Calibrare_Linii'!S11="VALIDATED",AND('Calibrare_Linii'!H11=C977,ISNUMBER('Calibrare_Linii'!J11),'Calibrare_Linii'!J11&lt;='Input_Meci'!G75)),"TAIL VALIDATED","OOS PENDING")))</x:f>
      </x:c>
      <x:c r="AK977" s="2" t="n">
        <x:f>IF(J977&lt;&gt;"PASS",0,'Motor_Meciuri'!BR75)</x:f>
        <x:v>0</x:v>
      </x:c>
      <x:c r="AL977" s="2" t="n">
        <x:f>IF(J977&lt;&gt;"PASS",0,'Motor_Meciuri'!BS75)</x:f>
        <x:v>0</x:v>
      </x:c>
      <x:c r="AM977" s="2" t="n">
        <x:f>IF(J977&lt;&gt;"PASS",0,'Motor_Meciuri'!BT75)</x:f>
        <x:v>0</x:v>
      </x:c>
      <x:c r="AN977" s="2" t="str">
        <x:f>IF(M977="","",MAX(0,'Motor_Meciuri'!BF75-IF(L977&gt;'Config_v6'!$B$12,'Config_v6'!$B$37,IF(L977&gt;'Config_v6'!$B$11,'Config_v6'!$B$36,0))))</x:f>
      </x:c>
    </x:row>
    <x:row r="978" ht="21" customHeight="1">
      <x:c r="A978" s="2" t="n">
        <x:v>70</x:v>
      </x:c>
      <x:c r="B978" s="2" t="str">
        <x:f>IF('Motor_Meciuri'!A75="","",'Motor_Meciuri'!A75)</x:f>
      </x:c>
      <x:c r="C978" s="2" t="str">
        <x:f>IF(B978="","",'Motor_Meciuri'!B75)</x:f>
      </x:c>
      <x:c r="D978" s="2" t="str">
        <x:f>IF(B978="","",'Motor_Meciuri'!D75)</x:f>
      </x:c>
      <x:c r="E978" s="2" t="str">
        <x:f>IF(B978="","",'Motor_Meciuri'!E75)</x:f>
      </x:c>
      <x:c r="F978" s="2" t="str">
        <x:v>U10,5</x:v>
      </x:c>
      <x:c r="G978" s="2" t="str">
        <x:v>UNDER</x:v>
      </x:c>
      <x:c r="H978" s="2" t="n">
        <x:v>10</x:v>
      </x:c>
      <x:c r="I978" s="2" t="str">
        <x:f>IF(B978="","",'Motor_Meciuri'!H75)</x:f>
      </x:c>
      <x:c r="J978" s="2" t="str">
        <x:f>IF(B978="","",'Motor_Meciuri'!I75)</x:f>
      </x:c>
      <x:c r="K978" s="11" t="str">
        <x:f>IF(J978&lt;&gt;"PASS","",'Motor_Meciuri'!BD75)</x:f>
      </x:c>
      <x:c r="L978" s="11" t="str">
        <x:f>IF(J978&lt;&gt;"PASS","",'Motor_Meciuri'!AU75)</x:f>
      </x:c>
      <x:c r="M978" s="10" t="str">
        <x:f>IF(NOT(AND(J978="PASS",'Calibrare_Linii'!U12="VALID")),"",'Distributie'!AH75)</x:f>
      </x:c>
      <x:c r="N978" s="10" t="str">
        <x:f>IF(M978="","",MAX(0.01,MIN(0.99,0.5+(M978-0.5)*'Motor_Meciuri'!BG75*'Calibrare_Linii'!D12)))</x:f>
      </x:c>
      <x:c r="O978" s="10" t="str">
        <x:f>IF(M978="","",1-M978)</x:f>
      </x:c>
      <x:c r="P978" s="10" t="str">
        <x:f>IF(OR(NOT(AND(J978="PASS",'Calibrare_Linii'!U12="VALID")),AK978=0),""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*('Istoric_Nativ'!$Q$6:$Q$405&gt;H978))/AK978)</x:f>
      </x:c>
      <x:c r="Q978" s="10" t="str">
        <x:f>IF(OR(NOT(AND(J978="PASS",'Calibrare_Linii'!U12="VALID")),AL978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M75)+((('Istoric_Nativ'!$E$6:$E$405='Input_Meci'!E75)+('Istoric_Nativ'!$F$6:$F$405='Input_Meci'!E75))&gt;0)*('Istoric_Nativ'!$D$6:$D$405&gt;='Motor_Meciuri'!BN75))&gt;0)*('Istoric_Nativ'!$Q$6:$Q$405&gt;H978))/AL978)</x:f>
      </x:c>
      <x:c r="R978" s="10" t="str">
        <x:f>IF(OR(NOT(AND(J978="PASS",'Calibrare_Linii'!U12="VALID")),AM978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O75)+((('Istoric_Nativ'!$E$6:$E$405='Input_Meci'!E75)+('Istoric_Nativ'!$F$6:$F$405='Input_Meci'!E75))&gt;0)*('Istoric_Nativ'!$D$6:$D$405&gt;='Motor_Meciuri'!BP75))&gt;0)*('Istoric_Nativ'!$Q$6:$Q$405&gt;H978))/AM978)</x:f>
      </x:c>
      <x:c r="S978" s="10" t="str">
        <x:f>IF(M978="","",MAX(O978,P978,Q978,R978))</x:f>
      </x:c>
      <x:c r="T978" s="11" t="str">
        <x:f>IF(M978="","",MIN(100,S978*100*'Config_v6'!$B$44+MIN(100,L978/'Config_v6'!$B$13*100)*'Config_v6'!$B$45+(100-'Motor_Meciuri'!BF75)*'Config_v6'!$B$46+'Motor_Meciuri'!BH75*100*'Config_v6'!$B$47))</x:f>
      </x:c>
      <x:c r="U978" s="2" t="str">
        <x:f>IF(T978="","",IF(T978&lt;=20,1,IF(T978&lt;=40,2,IF(T978&lt;=60,3,IF(T978&lt;=80,4,5)))))</x:f>
      </x:c>
      <x:c r="V978" s="2" t="str">
        <x:f>IF(M978="","",MAX(0,'Motor_Meciuri'!BF75-IF(W978="OOS PENDING",'Config_v6'!$B$35,0)-IF(L978&gt;'Config_v6'!$B$12,'Config_v6'!$B$37,IF(L978&gt;'Config_v6'!$B$11,'Config_v6'!$B$36,0))))</x:f>
      </x:c>
      <x:c r="W978" s="2" t="str">
        <x:f>IF(B978="","",IF(I978&lt;&gt;"READY","NOT RELEASED",IF(NOT(AND(J978="PASS",'Calibrare_Linii'!U12="VALID")),"INVALID",IF(NOT(AND('Calibrare_Linii'!S12="VALIDATED",AND('Calibrare_Linii'!H12=C978,ISNUMBER('Calibrare_Linii'!J12),'Calibrare_Linii'!J12&lt;='Input_Meci'!G75))),"OOS PENDING",IF(S978&lt;='Calibrare_Linii'!E12,"PASS",IF(S978&lt;='Calibrare_Linii'!F12,"PENALTY","WATCH"))))))</x:f>
      </x:c>
      <x:c r="X978" s="2" t="str">
        <x:f>IF(M978="","",IF(AND(AND(J978="PASS",'Calibrare_Linii'!U12="VALID"),'Motor_Meciuri'!K75=12,'Motor_Meciuri'!L75=12,'Motor_Meciuri'!M75="NO",'Motor_Meciuri'!BL75='Motor_Meciuri'!C75,AB978&gt;='Config_v6'!$B$50,AN978&gt;='Config_v6'!$B$51,T978&lt;='Config_v6'!$B$52,L978&lt;='Config_v6'!$B$53,ISNUMBER('Calibrare_Linii'!E12),S978&lt;='Calibrare_Linii'!E12,SUM(AK978:AM978)&gt;0),"CANDIDATE","NO"))</x:f>
      </x:c>
      <x:c r="Y978" s="2" t="str">
        <x:f>IF(B978="","",IF(I978&lt;&gt;"READY","NOT RELEASED",IF(AND(X978="CANDIDATE",V978&gt;='Config_v6'!$B$51,W978="PASS",'Calibrare_Linii'!T12="VALIDATED",AND('Calibrare_Linii'!H12=C978,ISNUMBER('Calibrare_Linii'!J12),'Calibrare_Linii'!J12&lt;='Input_Meci'!G75)),"PASS",IF(X978="CANDIDATE","OOS PENDING","FAIL"))))</x:f>
      </x:c>
      <x:c r="Z978" s="2" t="str">
        <x:f>IF(B978="","",IF(I978&lt;&gt;"READY","",IF(OR(NOT(AND(J978="PASS",'Calibrare_Linii'!U12="VALID")),L978&gt;'Config_v6'!$B$13,W978="WATCH"),5,IF(Y978="PASS",1,MIN(5,MAX('Config_v6'!$B$42,U978)+IF(W978="PENALTY",1,0))))))</x:f>
      </x:c>
      <x:c r="AA978" s="2" t="str">
        <x:f>IF(B978="","",IF(I978&lt;&gt;"READY","NOT RELEASED",IF(Z978=5,"NO BET",IF(OR(AB978&lt;'Config_v6'!$B$16,V978&lt;'Config_v6'!$B$18),"WATCH",IF(Z978=1,"DEFENSIV",IF(Z978=2,"PRUDENT",IF(Z978=3,"MODERAT","RIDICAT")))))))</x:f>
      </x:c>
      <x:c r="AB978" s="10" t="str">
        <x:f>IF(N978="","",MIN(N978,1-S978))</x:f>
      </x:c>
      <x:c r="AC978" s="2" t="str">
        <x:f>IF(AD978&lt;&gt;1,"",COUNTIFS($Z$972:$Z$985,"&lt;"&amp;Z978,$AD$972:$AD$985,1)+COUNTIFS($Z$972:$Z$985,Z978,$AB$972:$AB$985,"&gt;"&amp;AB978,$AD$972:$AD$985,1)+COUNTIFS($Z$972:$Z$985,Z978,$AB$972:$AB$985,AB978,$V$972:$V$985,"&gt;"&amp;V978,$AD$972:$AD$985,1)+COUNTIFS($Z$972:Z978,Z978,$AB$972:AB978,AB978,$V$972:V978,V978,$AD$972:AD978,1))</x:f>
      </x:c>
      <x:c r="AD978" s="2" t="n">
        <x:f>IF(OR(AA978="DEFENSIV",AA978="PRUDENT",AA978="MODERAT",AA978="RIDICAT"),1,0)</x:f>
        <x:v>0</x:v>
      </x:c>
      <x:c r="AE978" s="2" t="str">
        <x:f>IF(AD978&lt;&gt;1,"NO",IF(W978="PASS","YES",IF(W978="OOS PENDING","CONDITIONAL","NO")))</x:f>
        <x:v>NO</x:v>
      </x:c>
      <x:c r="AF978" s="2" t="n">
        <x:f>IF(AND(AD978=1,AC978=1,E978="LIVE"),1,0)</x:f>
        <x:v>0</x:v>
      </x:c>
      <x:c r="AG978" s="2" t="str">
        <x:f>IF(AF978&lt;&gt;1,"",'Dashboard'!P95)</x:f>
      </x:c>
      <x:c r="AH978" s="2" t="str">
        <x:f>IF(B978="","",IF(J978&lt;&gt;"PASS",'Motor_Meciuri'!J75,IF('Calibrare_Linii'!U12&lt;&gt;"VALID","Parametri linie invalizi",IF(L978&gt;'Config_v6'!$B$13,"Dispersie peste limita",IF(W978="WATCH","Failure peste limita",IF(AB978&lt;'Config_v6'!$B$16,"P finala sub prag",IF(V978&lt;'Config_v6'!$B$18,"Confidence sub prag",IF(E978="REPLAY","Exemplu retrospectiv; exclus din Top LIVE",IF(Y978="PASS","DEFENSIV validat",IF(W978="OOS PENDING","Eligibil; calibrare linie in monitorizare","Eligibil"))))))))))</x:f>
      </x:c>
      <x:c r="AI978" s="2" t="str">
        <x:f>IF(B978="","",'Calibrare_Linii'!V12)</x:f>
      </x:c>
      <x:c r="AJ978" s="2" t="str">
        <x:f>IF(B978="","",IF(AND('Calibrare_Linii'!T12="VALIDATED",AND('Calibrare_Linii'!H12=C978,ISNUMBER('Calibrare_Linii'!J12),'Calibrare_Linii'!J12&lt;='Input_Meci'!G75)),"DEFENSIVE VALIDATED",IF(AND('Calibrare_Linii'!S12="VALIDATED",AND('Calibrare_Linii'!H12=C978,ISNUMBER('Calibrare_Linii'!J12),'Calibrare_Linii'!J12&lt;='Input_Meci'!G75)),"TAIL VALIDATED","OOS PENDING")))</x:f>
      </x:c>
      <x:c r="AK978" s="2" t="n">
        <x:f>IF(J978&lt;&gt;"PASS",0,'Motor_Meciuri'!BR75)</x:f>
        <x:v>0</x:v>
      </x:c>
      <x:c r="AL978" s="2" t="n">
        <x:f>IF(J978&lt;&gt;"PASS",0,'Motor_Meciuri'!BS75)</x:f>
        <x:v>0</x:v>
      </x:c>
      <x:c r="AM978" s="2" t="n">
        <x:f>IF(J978&lt;&gt;"PASS",0,'Motor_Meciuri'!BT75)</x:f>
        <x:v>0</x:v>
      </x:c>
      <x:c r="AN978" s="2" t="str">
        <x:f>IF(M978="","",MAX(0,'Motor_Meciuri'!BF75-IF(L978&gt;'Config_v6'!$B$12,'Config_v6'!$B$37,IF(L978&gt;'Config_v6'!$B$11,'Config_v6'!$B$36,0))))</x:f>
      </x:c>
    </x:row>
    <x:row r="979" ht="21" customHeight="1">
      <x:c r="A979" s="2" t="n">
        <x:v>70</x:v>
      </x:c>
      <x:c r="B979" s="2" t="str">
        <x:f>IF('Motor_Meciuri'!A75="","",'Motor_Meciuri'!A75)</x:f>
      </x:c>
      <x:c r="C979" s="2" t="str">
        <x:f>IF(B979="","",'Motor_Meciuri'!B75)</x:f>
      </x:c>
      <x:c r="D979" s="2" t="str">
        <x:f>IF(B979="","",'Motor_Meciuri'!D75)</x:f>
      </x:c>
      <x:c r="E979" s="2" t="str">
        <x:f>IF(B979="","",'Motor_Meciuri'!E75)</x:f>
      </x:c>
      <x:c r="F979" s="2" t="str">
        <x:v>U11,5</x:v>
      </x:c>
      <x:c r="G979" s="2" t="str">
        <x:v>UNDER</x:v>
      </x:c>
      <x:c r="H979" s="2" t="n">
        <x:v>11</x:v>
      </x:c>
      <x:c r="I979" s="2" t="str">
        <x:f>IF(B979="","",'Motor_Meciuri'!H75)</x:f>
      </x:c>
      <x:c r="J979" s="2" t="str">
        <x:f>IF(B979="","",'Motor_Meciuri'!I75)</x:f>
      </x:c>
      <x:c r="K979" s="11" t="str">
        <x:f>IF(J979&lt;&gt;"PASS","",'Motor_Meciuri'!BD75)</x:f>
      </x:c>
      <x:c r="L979" s="11" t="str">
        <x:f>IF(J979&lt;&gt;"PASS","",'Motor_Meciuri'!AU75)</x:f>
      </x:c>
      <x:c r="M979" s="10" t="str">
        <x:f>IF(NOT(AND(J979="PASS",'Calibrare_Linii'!U13="VALID")),"",'Distributie'!AI75)</x:f>
      </x:c>
      <x:c r="N979" s="10" t="str">
        <x:f>IF(M979="","",MAX(0.01,MIN(0.99,0.5+(M979-0.5)*'Motor_Meciuri'!BG75*'Calibrare_Linii'!D13)))</x:f>
      </x:c>
      <x:c r="O979" s="10" t="str">
        <x:f>IF(M979="","",1-M979)</x:f>
      </x:c>
      <x:c r="P979" s="10" t="str">
        <x:f>IF(OR(NOT(AND(J979="PASS",'Calibrare_Linii'!U13="VALID")),AK979=0),""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*('Istoric_Nativ'!$Q$6:$Q$405&gt;H979))/AK979)</x:f>
      </x:c>
      <x:c r="Q979" s="10" t="str">
        <x:f>IF(OR(NOT(AND(J979="PASS",'Calibrare_Linii'!U13="VALID")),AL979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M75)+((('Istoric_Nativ'!$E$6:$E$405='Input_Meci'!E75)+('Istoric_Nativ'!$F$6:$F$405='Input_Meci'!E75))&gt;0)*('Istoric_Nativ'!$D$6:$D$405&gt;='Motor_Meciuri'!BN75))&gt;0)*('Istoric_Nativ'!$Q$6:$Q$405&gt;H979))/AL979)</x:f>
      </x:c>
      <x:c r="R979" s="10" t="str">
        <x:f>IF(OR(NOT(AND(J979="PASS",'Calibrare_Linii'!U13="VALID")),AM979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O75)+((('Istoric_Nativ'!$E$6:$E$405='Input_Meci'!E75)+('Istoric_Nativ'!$F$6:$F$405='Input_Meci'!E75))&gt;0)*('Istoric_Nativ'!$D$6:$D$405&gt;='Motor_Meciuri'!BP75))&gt;0)*('Istoric_Nativ'!$Q$6:$Q$405&gt;H979))/AM979)</x:f>
      </x:c>
      <x:c r="S979" s="10" t="str">
        <x:f>IF(M979="","",MAX(O979,P979,Q979,R979))</x:f>
      </x:c>
      <x:c r="T979" s="11" t="str">
        <x:f>IF(M979="","",MIN(100,S979*100*'Config_v6'!$B$44+MIN(100,L979/'Config_v6'!$B$13*100)*'Config_v6'!$B$45+(100-'Motor_Meciuri'!BF75)*'Config_v6'!$B$46+'Motor_Meciuri'!BH75*100*'Config_v6'!$B$47))</x:f>
      </x:c>
      <x:c r="U979" s="2" t="str">
        <x:f>IF(T979="","",IF(T979&lt;=20,1,IF(T979&lt;=40,2,IF(T979&lt;=60,3,IF(T979&lt;=80,4,5)))))</x:f>
      </x:c>
      <x:c r="V979" s="2" t="str">
        <x:f>IF(M979="","",MAX(0,'Motor_Meciuri'!BF75-IF(W979="OOS PENDING",'Config_v6'!$B$35,0)-IF(L979&gt;'Config_v6'!$B$12,'Config_v6'!$B$37,IF(L979&gt;'Config_v6'!$B$11,'Config_v6'!$B$36,0))))</x:f>
      </x:c>
      <x:c r="W979" s="2" t="str">
        <x:f>IF(B979="","",IF(I979&lt;&gt;"READY","NOT RELEASED",IF(NOT(AND(J979="PASS",'Calibrare_Linii'!U13="VALID")),"INVALID",IF(NOT(AND('Calibrare_Linii'!S13="VALIDATED",AND('Calibrare_Linii'!H13=C979,ISNUMBER('Calibrare_Linii'!J13),'Calibrare_Linii'!J13&lt;='Input_Meci'!G75))),"OOS PENDING",IF(S979&lt;='Calibrare_Linii'!E13,"PASS",IF(S979&lt;='Calibrare_Linii'!F13,"PENALTY","WATCH"))))))</x:f>
      </x:c>
      <x:c r="X979" s="2" t="str">
        <x:f>IF(M979="","",IF(AND(AND(J979="PASS",'Calibrare_Linii'!U13="VALID"),'Motor_Meciuri'!K75=12,'Motor_Meciuri'!L75=12,'Motor_Meciuri'!M75="NO",'Motor_Meciuri'!BL75='Motor_Meciuri'!C75,AB979&gt;='Config_v6'!$B$50,AN979&gt;='Config_v6'!$B$51,T979&lt;='Config_v6'!$B$52,L979&lt;='Config_v6'!$B$53,ISNUMBER('Calibrare_Linii'!E13),S979&lt;='Calibrare_Linii'!E13,SUM(AK979:AM979)&gt;0),"CANDIDATE","NO"))</x:f>
      </x:c>
      <x:c r="Y979" s="2" t="str">
        <x:f>IF(B979="","",IF(I979&lt;&gt;"READY","NOT RELEASED",IF(AND(X979="CANDIDATE",V979&gt;='Config_v6'!$B$51,W979="PASS",'Calibrare_Linii'!T13="VALIDATED",AND('Calibrare_Linii'!H13=C979,ISNUMBER('Calibrare_Linii'!J13),'Calibrare_Linii'!J13&lt;='Input_Meci'!G75)),"PASS",IF(X979="CANDIDATE","OOS PENDING","FAIL"))))</x:f>
      </x:c>
      <x:c r="Z979" s="2" t="str">
        <x:f>IF(B979="","",IF(I979&lt;&gt;"READY","",IF(OR(NOT(AND(J979="PASS",'Calibrare_Linii'!U13="VALID")),L979&gt;'Config_v6'!$B$13,W979="WATCH"),5,IF(Y979="PASS",1,MIN(5,MAX('Config_v6'!$B$42,U979)+IF(W979="PENALTY",1,0))))))</x:f>
      </x:c>
      <x:c r="AA979" s="2" t="str">
        <x:f>IF(B979="","",IF(I979&lt;&gt;"READY","NOT RELEASED",IF(Z979=5,"NO BET",IF(OR(AB979&lt;'Config_v6'!$B$16,V979&lt;'Config_v6'!$B$18),"WATCH",IF(Z979=1,"DEFENSIV",IF(Z979=2,"PRUDENT",IF(Z979=3,"MODERAT","RIDICAT")))))))</x:f>
      </x:c>
      <x:c r="AB979" s="10" t="str">
        <x:f>IF(N979="","",MIN(N979,1-S979))</x:f>
      </x:c>
      <x:c r="AC979" s="2" t="str">
        <x:f>IF(AD979&lt;&gt;1,"",COUNTIFS($Z$972:$Z$985,"&lt;"&amp;Z979,$AD$972:$AD$985,1)+COUNTIFS($Z$972:$Z$985,Z979,$AB$972:$AB$985,"&gt;"&amp;AB979,$AD$972:$AD$985,1)+COUNTIFS($Z$972:$Z$985,Z979,$AB$972:$AB$985,AB979,$V$972:$V$985,"&gt;"&amp;V979,$AD$972:$AD$985,1)+COUNTIFS($Z$972:Z979,Z979,$AB$972:AB979,AB979,$V$972:V979,V979,$AD$972:AD979,1))</x:f>
      </x:c>
      <x:c r="AD979" s="2" t="n">
        <x:f>IF(OR(AA979="DEFENSIV",AA979="PRUDENT",AA979="MODERAT",AA979="RIDICAT"),1,0)</x:f>
        <x:v>0</x:v>
      </x:c>
      <x:c r="AE979" s="2" t="str">
        <x:f>IF(AD979&lt;&gt;1,"NO",IF(W979="PASS","YES",IF(W979="OOS PENDING","CONDITIONAL","NO")))</x:f>
        <x:v>NO</x:v>
      </x:c>
      <x:c r="AF979" s="2" t="n">
        <x:f>IF(AND(AD979=1,AC979=1,E979="LIVE"),1,0)</x:f>
        <x:v>0</x:v>
      </x:c>
      <x:c r="AG979" s="2" t="str">
        <x:f>IF(AF979&lt;&gt;1,"",'Dashboard'!P95)</x:f>
      </x:c>
      <x:c r="AH979" s="2" t="str">
        <x:f>IF(B979="","",IF(J979&lt;&gt;"PASS",'Motor_Meciuri'!J75,IF('Calibrare_Linii'!U13&lt;&gt;"VALID","Parametri linie invalizi",IF(L979&gt;'Config_v6'!$B$13,"Dispersie peste limita",IF(W979="WATCH","Failure peste limita",IF(AB979&lt;'Config_v6'!$B$16,"P finala sub prag",IF(V979&lt;'Config_v6'!$B$18,"Confidence sub prag",IF(E979="REPLAY","Exemplu retrospectiv; exclus din Top LIVE",IF(Y979="PASS","DEFENSIV validat",IF(W979="OOS PENDING","Eligibil; calibrare linie in monitorizare","Eligibil"))))))))))</x:f>
      </x:c>
      <x:c r="AI979" s="2" t="str">
        <x:f>IF(B979="","",'Calibrare_Linii'!V13)</x:f>
      </x:c>
      <x:c r="AJ979" s="2" t="str">
        <x:f>IF(B979="","",IF(AND('Calibrare_Linii'!T13="VALIDATED",AND('Calibrare_Linii'!H13=C979,ISNUMBER('Calibrare_Linii'!J13),'Calibrare_Linii'!J13&lt;='Input_Meci'!G75)),"DEFENSIVE VALIDATED",IF(AND('Calibrare_Linii'!S13="VALIDATED",AND('Calibrare_Linii'!H13=C979,ISNUMBER('Calibrare_Linii'!J13),'Calibrare_Linii'!J13&lt;='Input_Meci'!G75)),"TAIL VALIDATED","OOS PENDING")))</x:f>
      </x:c>
      <x:c r="AK979" s="2" t="n">
        <x:f>IF(J979&lt;&gt;"PASS",0,'Motor_Meciuri'!BR75)</x:f>
        <x:v>0</x:v>
      </x:c>
      <x:c r="AL979" s="2" t="n">
        <x:f>IF(J979&lt;&gt;"PASS",0,'Motor_Meciuri'!BS75)</x:f>
        <x:v>0</x:v>
      </x:c>
      <x:c r="AM979" s="2" t="n">
        <x:f>IF(J979&lt;&gt;"PASS",0,'Motor_Meciuri'!BT75)</x:f>
        <x:v>0</x:v>
      </x:c>
      <x:c r="AN979" s="2" t="str">
        <x:f>IF(M979="","",MAX(0,'Motor_Meciuri'!BF75-IF(L979&gt;'Config_v6'!$B$12,'Config_v6'!$B$37,IF(L979&gt;'Config_v6'!$B$11,'Config_v6'!$B$36,0))))</x:f>
      </x:c>
    </x:row>
    <x:row r="980" ht="21" customHeight="1">
      <x:c r="A980" s="2" t="n">
        <x:v>70</x:v>
      </x:c>
      <x:c r="B980" s="2" t="str">
        <x:f>IF('Motor_Meciuri'!A75="","",'Motor_Meciuri'!A75)</x:f>
      </x:c>
      <x:c r="C980" s="2" t="str">
        <x:f>IF(B980="","",'Motor_Meciuri'!B75)</x:f>
      </x:c>
      <x:c r="D980" s="2" t="str">
        <x:f>IF(B980="","",'Motor_Meciuri'!D75)</x:f>
      </x:c>
      <x:c r="E980" s="2" t="str">
        <x:f>IF(B980="","",'Motor_Meciuri'!E75)</x:f>
      </x:c>
      <x:c r="F980" s="2" t="str">
        <x:v>U12,5</x:v>
      </x:c>
      <x:c r="G980" s="2" t="str">
        <x:v>UNDER</x:v>
      </x:c>
      <x:c r="H980" s="2" t="n">
        <x:v>12</x:v>
      </x:c>
      <x:c r="I980" s="2" t="str">
        <x:f>IF(B980="","",'Motor_Meciuri'!H75)</x:f>
      </x:c>
      <x:c r="J980" s="2" t="str">
        <x:f>IF(B980="","",'Motor_Meciuri'!I75)</x:f>
      </x:c>
      <x:c r="K980" s="11" t="str">
        <x:f>IF(J980&lt;&gt;"PASS","",'Motor_Meciuri'!BD75)</x:f>
      </x:c>
      <x:c r="L980" s="11" t="str">
        <x:f>IF(J980&lt;&gt;"PASS","",'Motor_Meciuri'!AU75)</x:f>
      </x:c>
      <x:c r="M980" s="10" t="str">
        <x:f>IF(NOT(AND(J980="PASS",'Calibrare_Linii'!U14="VALID")),"",'Distributie'!AJ75)</x:f>
      </x:c>
      <x:c r="N980" s="10" t="str">
        <x:f>IF(M980="","",MAX(0.01,MIN(0.99,0.5+(M980-0.5)*'Motor_Meciuri'!BG75*'Calibrare_Linii'!D14)))</x:f>
      </x:c>
      <x:c r="O980" s="10" t="str">
        <x:f>IF(M980="","",1-M980)</x:f>
      </x:c>
      <x:c r="P980" s="10" t="str">
        <x:f>IF(OR(NOT(AND(J980="PASS",'Calibrare_Linii'!U14="VALID")),AK980=0),""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*('Istoric_Nativ'!$Q$6:$Q$405&gt;H980))/AK980)</x:f>
      </x:c>
      <x:c r="Q980" s="10" t="str">
        <x:f>IF(OR(NOT(AND(J980="PASS",'Calibrare_Linii'!U14="VALID")),AL980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M75)+((('Istoric_Nativ'!$E$6:$E$405='Input_Meci'!E75)+('Istoric_Nativ'!$F$6:$F$405='Input_Meci'!E75))&gt;0)*('Istoric_Nativ'!$D$6:$D$405&gt;='Motor_Meciuri'!BN75))&gt;0)*('Istoric_Nativ'!$Q$6:$Q$405&gt;H980))/AL980)</x:f>
      </x:c>
      <x:c r="R980" s="10" t="str">
        <x:f>IF(OR(NOT(AND(J980="PASS",'Calibrare_Linii'!U14="VALID")),AM980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O75)+((('Istoric_Nativ'!$E$6:$E$405='Input_Meci'!E75)+('Istoric_Nativ'!$F$6:$F$405='Input_Meci'!E75))&gt;0)*('Istoric_Nativ'!$D$6:$D$405&gt;='Motor_Meciuri'!BP75))&gt;0)*('Istoric_Nativ'!$Q$6:$Q$405&gt;H980))/AM980)</x:f>
      </x:c>
      <x:c r="S980" s="10" t="str">
        <x:f>IF(M980="","",MAX(O980,P980,Q980,R980))</x:f>
      </x:c>
      <x:c r="T980" s="11" t="str">
        <x:f>IF(M980="","",MIN(100,S980*100*'Config_v6'!$B$44+MIN(100,L980/'Config_v6'!$B$13*100)*'Config_v6'!$B$45+(100-'Motor_Meciuri'!BF75)*'Config_v6'!$B$46+'Motor_Meciuri'!BH75*100*'Config_v6'!$B$47))</x:f>
      </x:c>
      <x:c r="U980" s="2" t="str">
        <x:f>IF(T980="","",IF(T980&lt;=20,1,IF(T980&lt;=40,2,IF(T980&lt;=60,3,IF(T980&lt;=80,4,5)))))</x:f>
      </x:c>
      <x:c r="V980" s="2" t="str">
        <x:f>IF(M980="","",MAX(0,'Motor_Meciuri'!BF75-IF(W980="OOS PENDING",'Config_v6'!$B$35,0)-IF(L980&gt;'Config_v6'!$B$12,'Config_v6'!$B$37,IF(L980&gt;'Config_v6'!$B$11,'Config_v6'!$B$36,0))))</x:f>
      </x:c>
      <x:c r="W980" s="2" t="str">
        <x:f>IF(B980="","",IF(I980&lt;&gt;"READY","NOT RELEASED",IF(NOT(AND(J980="PASS",'Calibrare_Linii'!U14="VALID")),"INVALID",IF(NOT(AND('Calibrare_Linii'!S14="VALIDATED",AND('Calibrare_Linii'!H14=C980,ISNUMBER('Calibrare_Linii'!J14),'Calibrare_Linii'!J14&lt;='Input_Meci'!G75))),"OOS PENDING",IF(S980&lt;='Calibrare_Linii'!E14,"PASS",IF(S980&lt;='Calibrare_Linii'!F14,"PENALTY","WATCH"))))))</x:f>
      </x:c>
      <x:c r="X980" s="2" t="str">
        <x:f>IF(M980="","",IF(AND(AND(J980="PASS",'Calibrare_Linii'!U14="VALID"),'Motor_Meciuri'!K75=12,'Motor_Meciuri'!L75=12,'Motor_Meciuri'!M75="NO",'Motor_Meciuri'!BL75='Motor_Meciuri'!C75,AB980&gt;='Config_v6'!$B$50,AN980&gt;='Config_v6'!$B$51,T980&lt;='Config_v6'!$B$52,L980&lt;='Config_v6'!$B$53,ISNUMBER('Calibrare_Linii'!E14),S980&lt;='Calibrare_Linii'!E14,SUM(AK980:AM980)&gt;0),"CANDIDATE","NO"))</x:f>
      </x:c>
      <x:c r="Y980" s="2" t="str">
        <x:f>IF(B980="","",IF(I980&lt;&gt;"READY","NOT RELEASED",IF(AND(X980="CANDIDATE",V980&gt;='Config_v6'!$B$51,W980="PASS",'Calibrare_Linii'!T14="VALIDATED",AND('Calibrare_Linii'!H14=C980,ISNUMBER('Calibrare_Linii'!J14),'Calibrare_Linii'!J14&lt;='Input_Meci'!G75)),"PASS",IF(X980="CANDIDATE","OOS PENDING","FAIL"))))</x:f>
      </x:c>
      <x:c r="Z980" s="2" t="str">
        <x:f>IF(B980="","",IF(I980&lt;&gt;"READY","",IF(OR(NOT(AND(J980="PASS",'Calibrare_Linii'!U14="VALID")),L980&gt;'Config_v6'!$B$13,W980="WATCH"),5,IF(Y980="PASS",1,MIN(5,MAX('Config_v6'!$B$42,U980)+IF(W980="PENALTY",1,0))))))</x:f>
      </x:c>
      <x:c r="AA980" s="2" t="str">
        <x:f>IF(B980="","",IF(I980&lt;&gt;"READY","NOT RELEASED",IF(Z980=5,"NO BET",IF(OR(AB980&lt;'Config_v6'!$B$16,V980&lt;'Config_v6'!$B$18),"WATCH",IF(Z980=1,"DEFENSIV",IF(Z980=2,"PRUDENT",IF(Z980=3,"MODERAT","RIDICAT")))))))</x:f>
      </x:c>
      <x:c r="AB980" s="10" t="str">
        <x:f>IF(N980="","",MIN(N980,1-S980))</x:f>
      </x:c>
      <x:c r="AC980" s="2" t="str">
        <x:f>IF(AD980&lt;&gt;1,"",COUNTIFS($Z$972:$Z$985,"&lt;"&amp;Z980,$AD$972:$AD$985,1)+COUNTIFS($Z$972:$Z$985,Z980,$AB$972:$AB$985,"&gt;"&amp;AB980,$AD$972:$AD$985,1)+COUNTIFS($Z$972:$Z$985,Z980,$AB$972:$AB$985,AB980,$V$972:$V$985,"&gt;"&amp;V980,$AD$972:$AD$985,1)+COUNTIFS($Z$972:Z980,Z980,$AB$972:AB980,AB980,$V$972:V980,V980,$AD$972:AD980,1))</x:f>
      </x:c>
      <x:c r="AD980" s="2" t="n">
        <x:f>IF(OR(AA980="DEFENSIV",AA980="PRUDENT",AA980="MODERAT",AA980="RIDICAT"),1,0)</x:f>
        <x:v>0</x:v>
      </x:c>
      <x:c r="AE980" s="2" t="str">
        <x:f>IF(AD980&lt;&gt;1,"NO",IF(W980="PASS","YES",IF(W980="OOS PENDING","CONDITIONAL","NO")))</x:f>
        <x:v>NO</x:v>
      </x:c>
      <x:c r="AF980" s="2" t="n">
        <x:f>IF(AND(AD980=1,AC980=1,E980="LIVE"),1,0)</x:f>
        <x:v>0</x:v>
      </x:c>
      <x:c r="AG980" s="2" t="str">
        <x:f>IF(AF980&lt;&gt;1,"",'Dashboard'!P95)</x:f>
      </x:c>
      <x:c r="AH980" s="2" t="str">
        <x:f>IF(B980="","",IF(J980&lt;&gt;"PASS",'Motor_Meciuri'!J75,IF('Calibrare_Linii'!U14&lt;&gt;"VALID","Parametri linie invalizi",IF(L980&gt;'Config_v6'!$B$13,"Dispersie peste limita",IF(W980="WATCH","Failure peste limita",IF(AB980&lt;'Config_v6'!$B$16,"P finala sub prag",IF(V980&lt;'Config_v6'!$B$18,"Confidence sub prag",IF(E980="REPLAY","Exemplu retrospectiv; exclus din Top LIVE",IF(Y980="PASS","DEFENSIV validat",IF(W980="OOS PENDING","Eligibil; calibrare linie in monitorizare","Eligibil"))))))))))</x:f>
      </x:c>
      <x:c r="AI980" s="2" t="str">
        <x:f>IF(B980="","",'Calibrare_Linii'!V14)</x:f>
      </x:c>
      <x:c r="AJ980" s="2" t="str">
        <x:f>IF(B980="","",IF(AND('Calibrare_Linii'!T14="VALIDATED",AND('Calibrare_Linii'!H14=C980,ISNUMBER('Calibrare_Linii'!J14),'Calibrare_Linii'!J14&lt;='Input_Meci'!G75)),"DEFENSIVE VALIDATED",IF(AND('Calibrare_Linii'!S14="VALIDATED",AND('Calibrare_Linii'!H14=C980,ISNUMBER('Calibrare_Linii'!J14),'Calibrare_Linii'!J14&lt;='Input_Meci'!G75)),"TAIL VALIDATED","OOS PENDING")))</x:f>
      </x:c>
      <x:c r="AK980" s="2" t="n">
        <x:f>IF(J980&lt;&gt;"PASS",0,'Motor_Meciuri'!BR75)</x:f>
        <x:v>0</x:v>
      </x:c>
      <x:c r="AL980" s="2" t="n">
        <x:f>IF(J980&lt;&gt;"PASS",0,'Motor_Meciuri'!BS75)</x:f>
        <x:v>0</x:v>
      </x:c>
      <x:c r="AM980" s="2" t="n">
        <x:f>IF(J980&lt;&gt;"PASS",0,'Motor_Meciuri'!BT75)</x:f>
        <x:v>0</x:v>
      </x:c>
      <x:c r="AN980" s="2" t="str">
        <x:f>IF(M980="","",MAX(0,'Motor_Meciuri'!BF75-IF(L980&gt;'Config_v6'!$B$12,'Config_v6'!$B$37,IF(L980&gt;'Config_v6'!$B$11,'Config_v6'!$B$36,0))))</x:f>
      </x:c>
    </x:row>
    <x:row r="981" ht="21" customHeight="1">
      <x:c r="A981" s="2" t="n">
        <x:v>70</x:v>
      </x:c>
      <x:c r="B981" s="2" t="str">
        <x:f>IF('Motor_Meciuri'!A75="","",'Motor_Meciuri'!A75)</x:f>
      </x:c>
      <x:c r="C981" s="2" t="str">
        <x:f>IF(B981="","",'Motor_Meciuri'!B75)</x:f>
      </x:c>
      <x:c r="D981" s="2" t="str">
        <x:f>IF(B981="","",'Motor_Meciuri'!D75)</x:f>
      </x:c>
      <x:c r="E981" s="2" t="str">
        <x:f>IF(B981="","",'Motor_Meciuri'!E75)</x:f>
      </x:c>
      <x:c r="F981" s="2" t="str">
        <x:v>U13,5</x:v>
      </x:c>
      <x:c r="G981" s="2" t="str">
        <x:v>UNDER</x:v>
      </x:c>
      <x:c r="H981" s="2" t="n">
        <x:v>13</x:v>
      </x:c>
      <x:c r="I981" s="2" t="str">
        <x:f>IF(B981="","",'Motor_Meciuri'!H75)</x:f>
      </x:c>
      <x:c r="J981" s="2" t="str">
        <x:f>IF(B981="","",'Motor_Meciuri'!I75)</x:f>
      </x:c>
      <x:c r="K981" s="11" t="str">
        <x:f>IF(J981&lt;&gt;"PASS","",'Motor_Meciuri'!BD75)</x:f>
      </x:c>
      <x:c r="L981" s="11" t="str">
        <x:f>IF(J981&lt;&gt;"PASS","",'Motor_Meciuri'!AU75)</x:f>
      </x:c>
      <x:c r="M981" s="10" t="str">
        <x:f>IF(NOT(AND(J981="PASS",'Calibrare_Linii'!U15="VALID")),"",'Distributie'!AK75)</x:f>
      </x:c>
      <x:c r="N981" s="10" t="str">
        <x:f>IF(M981="","",MAX(0.01,MIN(0.99,0.5+(M981-0.5)*'Motor_Meciuri'!BG75*'Calibrare_Linii'!D15)))</x:f>
      </x:c>
      <x:c r="O981" s="10" t="str">
        <x:f>IF(M981="","",1-M981)</x:f>
      </x:c>
      <x:c r="P981" s="10" t="str">
        <x:f>IF(OR(NOT(AND(J981="PASS",'Calibrare_Linii'!U15="VALID")),AK981=0),""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*('Istoric_Nativ'!$Q$6:$Q$405&gt;H981))/AK981)</x:f>
      </x:c>
      <x:c r="Q981" s="10" t="str">
        <x:f>IF(OR(NOT(AND(J981="PASS",'Calibrare_Linii'!U15="VALID")),AL981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M75)+((('Istoric_Nativ'!$E$6:$E$405='Input_Meci'!E75)+('Istoric_Nativ'!$F$6:$F$405='Input_Meci'!E75))&gt;0)*('Istoric_Nativ'!$D$6:$D$405&gt;='Motor_Meciuri'!BN75))&gt;0)*('Istoric_Nativ'!$Q$6:$Q$405&gt;H981))/AL981)</x:f>
      </x:c>
      <x:c r="R981" s="10" t="str">
        <x:f>IF(OR(NOT(AND(J981="PASS",'Calibrare_Linii'!U15="VALID")),AM981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O75)+((('Istoric_Nativ'!$E$6:$E$405='Input_Meci'!E75)+('Istoric_Nativ'!$F$6:$F$405='Input_Meci'!E75))&gt;0)*('Istoric_Nativ'!$D$6:$D$405&gt;='Motor_Meciuri'!BP75))&gt;0)*('Istoric_Nativ'!$Q$6:$Q$405&gt;H981))/AM981)</x:f>
      </x:c>
      <x:c r="S981" s="10" t="str">
        <x:f>IF(M981="","",MAX(O981,P981,Q981,R981))</x:f>
      </x:c>
      <x:c r="T981" s="11" t="str">
        <x:f>IF(M981="","",MIN(100,S981*100*'Config_v6'!$B$44+MIN(100,L981/'Config_v6'!$B$13*100)*'Config_v6'!$B$45+(100-'Motor_Meciuri'!BF75)*'Config_v6'!$B$46+'Motor_Meciuri'!BH75*100*'Config_v6'!$B$47))</x:f>
      </x:c>
      <x:c r="U981" s="2" t="str">
        <x:f>IF(T981="","",IF(T981&lt;=20,1,IF(T981&lt;=40,2,IF(T981&lt;=60,3,IF(T981&lt;=80,4,5)))))</x:f>
      </x:c>
      <x:c r="V981" s="2" t="str">
        <x:f>IF(M981="","",MAX(0,'Motor_Meciuri'!BF75-IF(W981="OOS PENDING",'Config_v6'!$B$35,0)-IF(L981&gt;'Config_v6'!$B$12,'Config_v6'!$B$37,IF(L981&gt;'Config_v6'!$B$11,'Config_v6'!$B$36,0))))</x:f>
      </x:c>
      <x:c r="W981" s="2" t="str">
        <x:f>IF(B981="","",IF(I981&lt;&gt;"READY","NOT RELEASED",IF(NOT(AND(J981="PASS",'Calibrare_Linii'!U15="VALID")),"INVALID",IF(NOT(AND('Calibrare_Linii'!S15="VALIDATED",AND('Calibrare_Linii'!H15=C981,ISNUMBER('Calibrare_Linii'!J15),'Calibrare_Linii'!J15&lt;='Input_Meci'!G75))),"OOS PENDING",IF(S981&lt;='Calibrare_Linii'!E15,"PASS",IF(S981&lt;='Calibrare_Linii'!F15,"PENALTY","WATCH"))))))</x:f>
      </x:c>
      <x:c r="X981" s="2" t="str">
        <x:f>IF(M981="","",IF(AND(AND(J981="PASS",'Calibrare_Linii'!U15="VALID"),'Motor_Meciuri'!K75=12,'Motor_Meciuri'!L75=12,'Motor_Meciuri'!M75="NO",'Motor_Meciuri'!BL75='Motor_Meciuri'!C75,AB981&gt;='Config_v6'!$B$50,AN981&gt;='Config_v6'!$B$51,T981&lt;='Config_v6'!$B$52,L981&lt;='Config_v6'!$B$53,ISNUMBER('Calibrare_Linii'!E15),S981&lt;='Calibrare_Linii'!E15,SUM(AK981:AM981)&gt;0),"CANDIDATE","NO"))</x:f>
      </x:c>
      <x:c r="Y981" s="2" t="str">
        <x:f>IF(B981="","",IF(I981&lt;&gt;"READY","NOT RELEASED",IF(AND(X981="CANDIDATE",V981&gt;='Config_v6'!$B$51,W981="PASS",'Calibrare_Linii'!T15="VALIDATED",AND('Calibrare_Linii'!H15=C981,ISNUMBER('Calibrare_Linii'!J15),'Calibrare_Linii'!J15&lt;='Input_Meci'!G75)),"PASS",IF(X981="CANDIDATE","OOS PENDING","FAIL"))))</x:f>
      </x:c>
      <x:c r="Z981" s="2" t="str">
        <x:f>IF(B981="","",IF(I981&lt;&gt;"READY","",IF(OR(NOT(AND(J981="PASS",'Calibrare_Linii'!U15="VALID")),L981&gt;'Config_v6'!$B$13,W981="WATCH"),5,IF(Y981="PASS",1,MIN(5,MAX('Config_v6'!$B$42,U981)+IF(W981="PENALTY",1,0))))))</x:f>
      </x:c>
      <x:c r="AA981" s="2" t="str">
        <x:f>IF(B981="","",IF(I981&lt;&gt;"READY","NOT RELEASED",IF(Z981=5,"NO BET",IF(OR(AB981&lt;'Config_v6'!$B$16,V981&lt;'Config_v6'!$B$18),"WATCH",IF(Z981=1,"DEFENSIV",IF(Z981=2,"PRUDENT",IF(Z981=3,"MODERAT","RIDICAT")))))))</x:f>
      </x:c>
      <x:c r="AB981" s="10" t="str">
        <x:f>IF(N981="","",MIN(N981,1-S981))</x:f>
      </x:c>
      <x:c r="AC981" s="2" t="str">
        <x:f>IF(AD981&lt;&gt;1,"",COUNTIFS($Z$972:$Z$985,"&lt;"&amp;Z981,$AD$972:$AD$985,1)+COUNTIFS($Z$972:$Z$985,Z981,$AB$972:$AB$985,"&gt;"&amp;AB981,$AD$972:$AD$985,1)+COUNTIFS($Z$972:$Z$985,Z981,$AB$972:$AB$985,AB981,$V$972:$V$985,"&gt;"&amp;V981,$AD$972:$AD$985,1)+COUNTIFS($Z$972:Z981,Z981,$AB$972:AB981,AB981,$V$972:V981,V981,$AD$972:AD981,1))</x:f>
      </x:c>
      <x:c r="AD981" s="2" t="n">
        <x:f>IF(OR(AA981="DEFENSIV",AA981="PRUDENT",AA981="MODERAT",AA981="RIDICAT"),1,0)</x:f>
        <x:v>0</x:v>
      </x:c>
      <x:c r="AE981" s="2" t="str">
        <x:f>IF(AD981&lt;&gt;1,"NO",IF(W981="PASS","YES",IF(W981="OOS PENDING","CONDITIONAL","NO")))</x:f>
        <x:v>NO</x:v>
      </x:c>
      <x:c r="AF981" s="2" t="n">
        <x:f>IF(AND(AD981=1,AC981=1,E981="LIVE"),1,0)</x:f>
        <x:v>0</x:v>
      </x:c>
      <x:c r="AG981" s="2" t="str">
        <x:f>IF(AF981&lt;&gt;1,"",'Dashboard'!P95)</x:f>
      </x:c>
      <x:c r="AH981" s="2" t="str">
        <x:f>IF(B981="","",IF(J981&lt;&gt;"PASS",'Motor_Meciuri'!J75,IF('Calibrare_Linii'!U15&lt;&gt;"VALID","Parametri linie invalizi",IF(L981&gt;'Config_v6'!$B$13,"Dispersie peste limita",IF(W981="WATCH","Failure peste limita",IF(AB981&lt;'Config_v6'!$B$16,"P finala sub prag",IF(V981&lt;'Config_v6'!$B$18,"Confidence sub prag",IF(E981="REPLAY","Exemplu retrospectiv; exclus din Top LIVE",IF(Y981="PASS","DEFENSIV validat",IF(W981="OOS PENDING","Eligibil; calibrare linie in monitorizare","Eligibil"))))))))))</x:f>
      </x:c>
      <x:c r="AI981" s="2" t="str">
        <x:f>IF(B981="","",'Calibrare_Linii'!V15)</x:f>
      </x:c>
      <x:c r="AJ981" s="2" t="str">
        <x:f>IF(B981="","",IF(AND('Calibrare_Linii'!T15="VALIDATED",AND('Calibrare_Linii'!H15=C981,ISNUMBER('Calibrare_Linii'!J15),'Calibrare_Linii'!J15&lt;='Input_Meci'!G75)),"DEFENSIVE VALIDATED",IF(AND('Calibrare_Linii'!S15="VALIDATED",AND('Calibrare_Linii'!H15=C981,ISNUMBER('Calibrare_Linii'!J15),'Calibrare_Linii'!J15&lt;='Input_Meci'!G75)),"TAIL VALIDATED","OOS PENDING")))</x:f>
      </x:c>
      <x:c r="AK981" s="2" t="n">
        <x:f>IF(J981&lt;&gt;"PASS",0,'Motor_Meciuri'!BR75)</x:f>
        <x:v>0</x:v>
      </x:c>
      <x:c r="AL981" s="2" t="n">
        <x:f>IF(J981&lt;&gt;"PASS",0,'Motor_Meciuri'!BS75)</x:f>
        <x:v>0</x:v>
      </x:c>
      <x:c r="AM981" s="2" t="n">
        <x:f>IF(J981&lt;&gt;"PASS",0,'Motor_Meciuri'!BT75)</x:f>
        <x:v>0</x:v>
      </x:c>
      <x:c r="AN981" s="2" t="str">
        <x:f>IF(M981="","",MAX(0,'Motor_Meciuri'!BF75-IF(L981&gt;'Config_v6'!$B$12,'Config_v6'!$B$37,IF(L981&gt;'Config_v6'!$B$11,'Config_v6'!$B$36,0))))</x:f>
      </x:c>
    </x:row>
    <x:row r="982" ht="21" customHeight="1">
      <x:c r="A982" s="2" t="n">
        <x:v>70</x:v>
      </x:c>
      <x:c r="B982" s="2" t="str">
        <x:f>IF('Motor_Meciuri'!A75="","",'Motor_Meciuri'!A75)</x:f>
      </x:c>
      <x:c r="C982" s="2" t="str">
        <x:f>IF(B982="","",'Motor_Meciuri'!B75)</x:f>
      </x:c>
      <x:c r="D982" s="2" t="str">
        <x:f>IF(B982="","",'Motor_Meciuri'!D75)</x:f>
      </x:c>
      <x:c r="E982" s="2" t="str">
        <x:f>IF(B982="","",'Motor_Meciuri'!E75)</x:f>
      </x:c>
      <x:c r="F982" s="2" t="str">
        <x:v>U14,5</x:v>
      </x:c>
      <x:c r="G982" s="2" t="str">
        <x:v>UNDER</x:v>
      </x:c>
      <x:c r="H982" s="2" t="n">
        <x:v>14</x:v>
      </x:c>
      <x:c r="I982" s="2" t="str">
        <x:f>IF(B982="","",'Motor_Meciuri'!H75)</x:f>
      </x:c>
      <x:c r="J982" s="2" t="str">
        <x:f>IF(B982="","",'Motor_Meciuri'!I75)</x:f>
      </x:c>
      <x:c r="K982" s="11" t="str">
        <x:f>IF(J982&lt;&gt;"PASS","",'Motor_Meciuri'!BD75)</x:f>
      </x:c>
      <x:c r="L982" s="11" t="str">
        <x:f>IF(J982&lt;&gt;"PASS","",'Motor_Meciuri'!AU75)</x:f>
      </x:c>
      <x:c r="M982" s="10" t="str">
        <x:f>IF(NOT(AND(J982="PASS",'Calibrare_Linii'!U16="VALID")),"",'Distributie'!AL75)</x:f>
      </x:c>
      <x:c r="N982" s="10" t="str">
        <x:f>IF(M982="","",MAX(0.01,MIN(0.99,0.5+(M982-0.5)*'Motor_Meciuri'!BG75*'Calibrare_Linii'!D16)))</x:f>
      </x:c>
      <x:c r="O982" s="10" t="str">
        <x:f>IF(M982="","",1-M982)</x:f>
      </x:c>
      <x:c r="P982" s="10" t="str">
        <x:f>IF(OR(NOT(AND(J982="PASS",'Calibrare_Linii'!U16="VALID")),AK982=0),""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*('Istoric_Nativ'!$Q$6:$Q$405&gt;H982))/AK982)</x:f>
      </x:c>
      <x:c r="Q982" s="10" t="str">
        <x:f>IF(OR(NOT(AND(J982="PASS",'Calibrare_Linii'!U16="VALID")),AL982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M75)+((('Istoric_Nativ'!$E$6:$E$405='Input_Meci'!E75)+('Istoric_Nativ'!$F$6:$F$405='Input_Meci'!E75))&gt;0)*('Istoric_Nativ'!$D$6:$D$405&gt;='Motor_Meciuri'!BN75))&gt;0)*('Istoric_Nativ'!$Q$6:$Q$405&gt;H982))/AL982)</x:f>
      </x:c>
      <x:c r="R982" s="10" t="str">
        <x:f>IF(OR(NOT(AND(J982="PASS",'Calibrare_Linii'!U16="VALID")),AM982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O75)+((('Istoric_Nativ'!$E$6:$E$405='Input_Meci'!E75)+('Istoric_Nativ'!$F$6:$F$405='Input_Meci'!E75))&gt;0)*('Istoric_Nativ'!$D$6:$D$405&gt;='Motor_Meciuri'!BP75))&gt;0)*('Istoric_Nativ'!$Q$6:$Q$405&gt;H982))/AM982)</x:f>
      </x:c>
      <x:c r="S982" s="10" t="str">
        <x:f>IF(M982="","",MAX(O982,P982,Q982,R982))</x:f>
      </x:c>
      <x:c r="T982" s="11" t="str">
        <x:f>IF(M982="","",MIN(100,S982*100*'Config_v6'!$B$44+MIN(100,L982/'Config_v6'!$B$13*100)*'Config_v6'!$B$45+(100-'Motor_Meciuri'!BF75)*'Config_v6'!$B$46+'Motor_Meciuri'!BH75*100*'Config_v6'!$B$47))</x:f>
      </x:c>
      <x:c r="U982" s="2" t="str">
        <x:f>IF(T982="","",IF(T982&lt;=20,1,IF(T982&lt;=40,2,IF(T982&lt;=60,3,IF(T982&lt;=80,4,5)))))</x:f>
      </x:c>
      <x:c r="V982" s="2" t="str">
        <x:f>IF(M982="","",MAX(0,'Motor_Meciuri'!BF75-IF(W982="OOS PENDING",'Config_v6'!$B$35,0)-IF(L982&gt;'Config_v6'!$B$12,'Config_v6'!$B$37,IF(L982&gt;'Config_v6'!$B$11,'Config_v6'!$B$36,0))))</x:f>
      </x:c>
      <x:c r="W982" s="2" t="str">
        <x:f>IF(B982="","",IF(I982&lt;&gt;"READY","NOT RELEASED",IF(NOT(AND(J982="PASS",'Calibrare_Linii'!U16="VALID")),"INVALID",IF(NOT(AND('Calibrare_Linii'!S16="VALIDATED",AND('Calibrare_Linii'!H16=C982,ISNUMBER('Calibrare_Linii'!J16),'Calibrare_Linii'!J16&lt;='Input_Meci'!G75))),"OOS PENDING",IF(S982&lt;='Calibrare_Linii'!E16,"PASS",IF(S982&lt;='Calibrare_Linii'!F16,"PENALTY","WATCH"))))))</x:f>
      </x:c>
      <x:c r="X982" s="2" t="str">
        <x:f>IF(M982="","",IF(AND(AND(J982="PASS",'Calibrare_Linii'!U16="VALID"),'Motor_Meciuri'!K75=12,'Motor_Meciuri'!L75=12,'Motor_Meciuri'!M75="NO",'Motor_Meciuri'!BL75='Motor_Meciuri'!C75,AB982&gt;='Config_v6'!$B$50,AN982&gt;='Config_v6'!$B$51,T982&lt;='Config_v6'!$B$52,L982&lt;='Config_v6'!$B$53,ISNUMBER('Calibrare_Linii'!E16),S982&lt;='Calibrare_Linii'!E16,SUM(AK982:AM982)&gt;0),"CANDIDATE","NO"))</x:f>
      </x:c>
      <x:c r="Y982" s="2" t="str">
        <x:f>IF(B982="","",IF(I982&lt;&gt;"READY","NOT RELEASED",IF(AND(X982="CANDIDATE",V982&gt;='Config_v6'!$B$51,W982="PASS",'Calibrare_Linii'!T16="VALIDATED",AND('Calibrare_Linii'!H16=C982,ISNUMBER('Calibrare_Linii'!J16),'Calibrare_Linii'!J16&lt;='Input_Meci'!G75)),"PASS",IF(X982="CANDIDATE","OOS PENDING","FAIL"))))</x:f>
      </x:c>
      <x:c r="Z982" s="2" t="str">
        <x:f>IF(B982="","",IF(I982&lt;&gt;"READY","",IF(OR(NOT(AND(J982="PASS",'Calibrare_Linii'!U16="VALID")),L982&gt;'Config_v6'!$B$13,W982="WATCH"),5,IF(Y982="PASS",1,MIN(5,MAX('Config_v6'!$B$42,U982)+IF(W982="PENALTY",1,0))))))</x:f>
      </x:c>
      <x:c r="AA982" s="2" t="str">
        <x:f>IF(B982="","",IF(I982&lt;&gt;"READY","NOT RELEASED",IF(Z982=5,"NO BET",IF(OR(AB982&lt;'Config_v6'!$B$16,V982&lt;'Config_v6'!$B$18),"WATCH",IF(Z982=1,"DEFENSIV",IF(Z982=2,"PRUDENT",IF(Z982=3,"MODERAT","RIDICAT")))))))</x:f>
      </x:c>
      <x:c r="AB982" s="10" t="str">
        <x:f>IF(N982="","",MIN(N982,1-S982))</x:f>
      </x:c>
      <x:c r="AC982" s="2" t="str">
        <x:f>IF(AD982&lt;&gt;1,"",COUNTIFS($Z$972:$Z$985,"&lt;"&amp;Z982,$AD$972:$AD$985,1)+COUNTIFS($Z$972:$Z$985,Z982,$AB$972:$AB$985,"&gt;"&amp;AB982,$AD$972:$AD$985,1)+COUNTIFS($Z$972:$Z$985,Z982,$AB$972:$AB$985,AB982,$V$972:$V$985,"&gt;"&amp;V982,$AD$972:$AD$985,1)+COUNTIFS($Z$972:Z982,Z982,$AB$972:AB982,AB982,$V$972:V982,V982,$AD$972:AD982,1))</x:f>
      </x:c>
      <x:c r="AD982" s="2" t="n">
        <x:f>IF(OR(AA982="DEFENSIV",AA982="PRUDENT",AA982="MODERAT",AA982="RIDICAT"),1,0)</x:f>
        <x:v>0</x:v>
      </x:c>
      <x:c r="AE982" s="2" t="str">
        <x:f>IF(AD982&lt;&gt;1,"NO",IF(W982="PASS","YES",IF(W982="OOS PENDING","CONDITIONAL","NO")))</x:f>
        <x:v>NO</x:v>
      </x:c>
      <x:c r="AF982" s="2" t="n">
        <x:f>IF(AND(AD982=1,AC982=1,E982="LIVE"),1,0)</x:f>
        <x:v>0</x:v>
      </x:c>
      <x:c r="AG982" s="2" t="str">
        <x:f>IF(AF982&lt;&gt;1,"",'Dashboard'!P95)</x:f>
      </x:c>
      <x:c r="AH982" s="2" t="str">
        <x:f>IF(B982="","",IF(J982&lt;&gt;"PASS",'Motor_Meciuri'!J75,IF('Calibrare_Linii'!U16&lt;&gt;"VALID","Parametri linie invalizi",IF(L982&gt;'Config_v6'!$B$13,"Dispersie peste limita",IF(W982="WATCH","Failure peste limita",IF(AB982&lt;'Config_v6'!$B$16,"P finala sub prag",IF(V982&lt;'Config_v6'!$B$18,"Confidence sub prag",IF(E982="REPLAY","Exemplu retrospectiv; exclus din Top LIVE",IF(Y982="PASS","DEFENSIV validat",IF(W982="OOS PENDING","Eligibil; calibrare linie in monitorizare","Eligibil"))))))))))</x:f>
      </x:c>
      <x:c r="AI982" s="2" t="str">
        <x:f>IF(B982="","",'Calibrare_Linii'!V16)</x:f>
      </x:c>
      <x:c r="AJ982" s="2" t="str">
        <x:f>IF(B982="","",IF(AND('Calibrare_Linii'!T16="VALIDATED",AND('Calibrare_Linii'!H16=C982,ISNUMBER('Calibrare_Linii'!J16),'Calibrare_Linii'!J16&lt;='Input_Meci'!G75)),"DEFENSIVE VALIDATED",IF(AND('Calibrare_Linii'!S16="VALIDATED",AND('Calibrare_Linii'!H16=C982,ISNUMBER('Calibrare_Linii'!J16),'Calibrare_Linii'!J16&lt;='Input_Meci'!G75)),"TAIL VALIDATED","OOS PENDING")))</x:f>
      </x:c>
      <x:c r="AK982" s="2" t="n">
        <x:f>IF(J982&lt;&gt;"PASS",0,'Motor_Meciuri'!BR75)</x:f>
        <x:v>0</x:v>
      </x:c>
      <x:c r="AL982" s="2" t="n">
        <x:f>IF(J982&lt;&gt;"PASS",0,'Motor_Meciuri'!BS75)</x:f>
        <x:v>0</x:v>
      </x:c>
      <x:c r="AM982" s="2" t="n">
        <x:f>IF(J982&lt;&gt;"PASS",0,'Motor_Meciuri'!BT75)</x:f>
        <x:v>0</x:v>
      </x:c>
      <x:c r="AN982" s="2" t="str">
        <x:f>IF(M982="","",MAX(0,'Motor_Meciuri'!BF75-IF(L982&gt;'Config_v6'!$B$12,'Config_v6'!$B$37,IF(L982&gt;'Config_v6'!$B$11,'Config_v6'!$B$36,0))))</x:f>
      </x:c>
    </x:row>
    <x:row r="983" ht="21" customHeight="1">
      <x:c r="A983" s="2" t="n">
        <x:v>70</x:v>
      </x:c>
      <x:c r="B983" s="2" t="str">
        <x:f>IF('Motor_Meciuri'!A75="","",'Motor_Meciuri'!A75)</x:f>
      </x:c>
      <x:c r="C983" s="2" t="str">
        <x:f>IF(B983="","",'Motor_Meciuri'!B75)</x:f>
      </x:c>
      <x:c r="D983" s="2" t="str">
        <x:f>IF(B983="","",'Motor_Meciuri'!D75)</x:f>
      </x:c>
      <x:c r="E983" s="2" t="str">
        <x:f>IF(B983="","",'Motor_Meciuri'!E75)</x:f>
      </x:c>
      <x:c r="F983" s="2" t="str">
        <x:v>U15,5</x:v>
      </x:c>
      <x:c r="G983" s="2" t="str">
        <x:v>UNDER</x:v>
      </x:c>
      <x:c r="H983" s="2" t="n">
        <x:v>15</x:v>
      </x:c>
      <x:c r="I983" s="2" t="str">
        <x:f>IF(B983="","",'Motor_Meciuri'!H75)</x:f>
      </x:c>
      <x:c r="J983" s="2" t="str">
        <x:f>IF(B983="","",'Motor_Meciuri'!I75)</x:f>
      </x:c>
      <x:c r="K983" s="11" t="str">
        <x:f>IF(J983&lt;&gt;"PASS","",'Motor_Meciuri'!BD75)</x:f>
      </x:c>
      <x:c r="L983" s="11" t="str">
        <x:f>IF(J983&lt;&gt;"PASS","",'Motor_Meciuri'!AU75)</x:f>
      </x:c>
      <x:c r="M983" s="10" t="str">
        <x:f>IF(NOT(AND(J983="PASS",'Calibrare_Linii'!U17="VALID")),"",'Distributie'!AM75)</x:f>
      </x:c>
      <x:c r="N983" s="10" t="str">
        <x:f>IF(M983="","",MAX(0.01,MIN(0.99,0.5+(M983-0.5)*'Motor_Meciuri'!BG75*'Calibrare_Linii'!D17)))</x:f>
      </x:c>
      <x:c r="O983" s="10" t="str">
        <x:f>IF(M983="","",1-M983)</x:f>
      </x:c>
      <x:c r="P983" s="10" t="str">
        <x:f>IF(OR(NOT(AND(J983="PASS",'Calibrare_Linii'!U17="VALID")),AK983=0),""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*('Istoric_Nativ'!$Q$6:$Q$405&gt;H983))/AK983)</x:f>
      </x:c>
      <x:c r="Q983" s="10" t="str">
        <x:f>IF(OR(NOT(AND(J983="PASS",'Calibrare_Linii'!U17="VALID")),AL983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M75)+((('Istoric_Nativ'!$E$6:$E$405='Input_Meci'!E75)+('Istoric_Nativ'!$F$6:$F$405='Input_Meci'!E75))&gt;0)*('Istoric_Nativ'!$D$6:$D$405&gt;='Motor_Meciuri'!BN75))&gt;0)*('Istoric_Nativ'!$Q$6:$Q$405&gt;H983))/AL983)</x:f>
      </x:c>
      <x:c r="R983" s="10" t="str">
        <x:f>IF(OR(NOT(AND(J983="PASS",'Calibrare_Linii'!U17="VALID")),AM983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O75)+((('Istoric_Nativ'!$E$6:$E$405='Input_Meci'!E75)+('Istoric_Nativ'!$F$6:$F$405='Input_Meci'!E75))&gt;0)*('Istoric_Nativ'!$D$6:$D$405&gt;='Motor_Meciuri'!BP75))&gt;0)*('Istoric_Nativ'!$Q$6:$Q$405&gt;H983))/AM983)</x:f>
      </x:c>
      <x:c r="S983" s="10" t="str">
        <x:f>IF(M983="","",MAX(O983,P983,Q983,R983))</x:f>
      </x:c>
      <x:c r="T983" s="11" t="str">
        <x:f>IF(M983="","",MIN(100,S983*100*'Config_v6'!$B$44+MIN(100,L983/'Config_v6'!$B$13*100)*'Config_v6'!$B$45+(100-'Motor_Meciuri'!BF75)*'Config_v6'!$B$46+'Motor_Meciuri'!BH75*100*'Config_v6'!$B$47))</x:f>
      </x:c>
      <x:c r="U983" s="2" t="str">
        <x:f>IF(T983="","",IF(T983&lt;=20,1,IF(T983&lt;=40,2,IF(T983&lt;=60,3,IF(T983&lt;=80,4,5)))))</x:f>
      </x:c>
      <x:c r="V983" s="2" t="str">
        <x:f>IF(M983="","",MAX(0,'Motor_Meciuri'!BF75-IF(W983="OOS PENDING",'Config_v6'!$B$35,0)-IF(L983&gt;'Config_v6'!$B$12,'Config_v6'!$B$37,IF(L983&gt;'Config_v6'!$B$11,'Config_v6'!$B$36,0))))</x:f>
      </x:c>
      <x:c r="W983" s="2" t="str">
        <x:f>IF(B983="","",IF(I983&lt;&gt;"READY","NOT RELEASED",IF(NOT(AND(J983="PASS",'Calibrare_Linii'!U17="VALID")),"INVALID",IF(NOT(AND('Calibrare_Linii'!S17="VALIDATED",AND('Calibrare_Linii'!H17=C983,ISNUMBER('Calibrare_Linii'!J17),'Calibrare_Linii'!J17&lt;='Input_Meci'!G75))),"OOS PENDING",IF(S983&lt;='Calibrare_Linii'!E17,"PASS",IF(S983&lt;='Calibrare_Linii'!F17,"PENALTY","WATCH"))))))</x:f>
      </x:c>
      <x:c r="X983" s="2" t="str">
        <x:f>IF(M983="","",IF(AND(AND(J983="PASS",'Calibrare_Linii'!U17="VALID"),'Motor_Meciuri'!K75=12,'Motor_Meciuri'!L75=12,'Motor_Meciuri'!M75="NO",'Motor_Meciuri'!BL75='Motor_Meciuri'!C75,AB983&gt;='Config_v6'!$B$50,AN983&gt;='Config_v6'!$B$51,T983&lt;='Config_v6'!$B$52,L983&lt;='Config_v6'!$B$53,ISNUMBER('Calibrare_Linii'!E17),S983&lt;='Calibrare_Linii'!E17,SUM(AK983:AM983)&gt;0),"CANDIDATE","NO"))</x:f>
      </x:c>
      <x:c r="Y983" s="2" t="str">
        <x:f>IF(B983="","",IF(I983&lt;&gt;"READY","NOT RELEASED",IF(AND(X983="CANDIDATE",V983&gt;='Config_v6'!$B$51,W983="PASS",'Calibrare_Linii'!T17="VALIDATED",AND('Calibrare_Linii'!H17=C983,ISNUMBER('Calibrare_Linii'!J17),'Calibrare_Linii'!J17&lt;='Input_Meci'!G75)),"PASS",IF(X983="CANDIDATE","OOS PENDING","FAIL"))))</x:f>
      </x:c>
      <x:c r="Z983" s="2" t="str">
        <x:f>IF(B983="","",IF(I983&lt;&gt;"READY","",IF(OR(NOT(AND(J983="PASS",'Calibrare_Linii'!U17="VALID")),L983&gt;'Config_v6'!$B$13,W983="WATCH"),5,IF(Y983="PASS",1,MIN(5,MAX('Config_v6'!$B$42,U983)+IF(W983="PENALTY",1,0))))))</x:f>
      </x:c>
      <x:c r="AA983" s="2" t="str">
        <x:f>IF(B983="","",IF(I983&lt;&gt;"READY","NOT RELEASED",IF(Z983=5,"NO BET",IF(OR(AB983&lt;'Config_v6'!$B$16,V983&lt;'Config_v6'!$B$18),"WATCH",IF(Z983=1,"DEFENSIV",IF(Z983=2,"PRUDENT",IF(Z983=3,"MODERAT","RIDICAT")))))))</x:f>
      </x:c>
      <x:c r="AB983" s="10" t="str">
        <x:f>IF(N983="","",MIN(N983,1-S983))</x:f>
      </x:c>
      <x:c r="AC983" s="2" t="str">
        <x:f>IF(AD983&lt;&gt;1,"",COUNTIFS($Z$972:$Z$985,"&lt;"&amp;Z983,$AD$972:$AD$985,1)+COUNTIFS($Z$972:$Z$985,Z983,$AB$972:$AB$985,"&gt;"&amp;AB983,$AD$972:$AD$985,1)+COUNTIFS($Z$972:$Z$985,Z983,$AB$972:$AB$985,AB983,$V$972:$V$985,"&gt;"&amp;V983,$AD$972:$AD$985,1)+COUNTIFS($Z$972:Z983,Z983,$AB$972:AB983,AB983,$V$972:V983,V983,$AD$972:AD983,1))</x:f>
      </x:c>
      <x:c r="AD983" s="2" t="n">
        <x:f>IF(OR(AA983="DEFENSIV",AA983="PRUDENT",AA983="MODERAT",AA983="RIDICAT"),1,0)</x:f>
        <x:v>0</x:v>
      </x:c>
      <x:c r="AE983" s="2" t="str">
        <x:f>IF(AD983&lt;&gt;1,"NO",IF(W983="PASS","YES",IF(W983="OOS PENDING","CONDITIONAL","NO")))</x:f>
        <x:v>NO</x:v>
      </x:c>
      <x:c r="AF983" s="2" t="n">
        <x:f>IF(AND(AD983=1,AC983=1,E983="LIVE"),1,0)</x:f>
        <x:v>0</x:v>
      </x:c>
      <x:c r="AG983" s="2" t="str">
        <x:f>IF(AF983&lt;&gt;1,"",'Dashboard'!P95)</x:f>
      </x:c>
      <x:c r="AH983" s="2" t="str">
        <x:f>IF(B983="","",IF(J983&lt;&gt;"PASS",'Motor_Meciuri'!J75,IF('Calibrare_Linii'!U17&lt;&gt;"VALID","Parametri linie invalizi",IF(L983&gt;'Config_v6'!$B$13,"Dispersie peste limita",IF(W983="WATCH","Failure peste limita",IF(AB983&lt;'Config_v6'!$B$16,"P finala sub prag",IF(V983&lt;'Config_v6'!$B$18,"Confidence sub prag",IF(E983="REPLAY","Exemplu retrospectiv; exclus din Top LIVE",IF(Y983="PASS","DEFENSIV validat",IF(W983="OOS PENDING","Eligibil; calibrare linie in monitorizare","Eligibil"))))))))))</x:f>
      </x:c>
      <x:c r="AI983" s="2" t="str">
        <x:f>IF(B983="","",'Calibrare_Linii'!V17)</x:f>
      </x:c>
      <x:c r="AJ983" s="2" t="str">
        <x:f>IF(B983="","",IF(AND('Calibrare_Linii'!T17="VALIDATED",AND('Calibrare_Linii'!H17=C983,ISNUMBER('Calibrare_Linii'!J17),'Calibrare_Linii'!J17&lt;='Input_Meci'!G75)),"DEFENSIVE VALIDATED",IF(AND('Calibrare_Linii'!S17="VALIDATED",AND('Calibrare_Linii'!H17=C983,ISNUMBER('Calibrare_Linii'!J17),'Calibrare_Linii'!J17&lt;='Input_Meci'!G75)),"TAIL VALIDATED","OOS PENDING")))</x:f>
      </x:c>
      <x:c r="AK983" s="2" t="n">
        <x:f>IF(J983&lt;&gt;"PASS",0,'Motor_Meciuri'!BR75)</x:f>
        <x:v>0</x:v>
      </x:c>
      <x:c r="AL983" s="2" t="n">
        <x:f>IF(J983&lt;&gt;"PASS",0,'Motor_Meciuri'!BS75)</x:f>
        <x:v>0</x:v>
      </x:c>
      <x:c r="AM983" s="2" t="n">
        <x:f>IF(J983&lt;&gt;"PASS",0,'Motor_Meciuri'!BT75)</x:f>
        <x:v>0</x:v>
      </x:c>
      <x:c r="AN983" s="2" t="str">
        <x:f>IF(M983="","",MAX(0,'Motor_Meciuri'!BF75-IF(L983&gt;'Config_v6'!$B$12,'Config_v6'!$B$37,IF(L983&gt;'Config_v6'!$B$11,'Config_v6'!$B$36,0))))</x:f>
      </x:c>
    </x:row>
    <x:row r="984" ht="21" customHeight="1">
      <x:c r="A984" s="2" t="n">
        <x:v>70</x:v>
      </x:c>
      <x:c r="B984" s="2" t="str">
        <x:f>IF('Motor_Meciuri'!A75="","",'Motor_Meciuri'!A75)</x:f>
      </x:c>
      <x:c r="C984" s="2" t="str">
        <x:f>IF(B984="","",'Motor_Meciuri'!B75)</x:f>
      </x:c>
      <x:c r="D984" s="2" t="str">
        <x:f>IF(B984="","",'Motor_Meciuri'!D75)</x:f>
      </x:c>
      <x:c r="E984" s="2" t="str">
        <x:f>IF(B984="","",'Motor_Meciuri'!E75)</x:f>
      </x:c>
      <x:c r="F984" s="2" t="str">
        <x:v>U16,5</x:v>
      </x:c>
      <x:c r="G984" s="2" t="str">
        <x:v>UNDER</x:v>
      </x:c>
      <x:c r="H984" s="2" t="n">
        <x:v>16</x:v>
      </x:c>
      <x:c r="I984" s="2" t="str">
        <x:f>IF(B984="","",'Motor_Meciuri'!H75)</x:f>
      </x:c>
      <x:c r="J984" s="2" t="str">
        <x:f>IF(B984="","",'Motor_Meciuri'!I75)</x:f>
      </x:c>
      <x:c r="K984" s="11" t="str">
        <x:f>IF(J984&lt;&gt;"PASS","",'Motor_Meciuri'!BD75)</x:f>
      </x:c>
      <x:c r="L984" s="11" t="str">
        <x:f>IF(J984&lt;&gt;"PASS","",'Motor_Meciuri'!AU75)</x:f>
      </x:c>
      <x:c r="M984" s="10" t="str">
        <x:f>IF(NOT(AND(J984="PASS",'Calibrare_Linii'!U18="VALID")),"",'Distributie'!AN75)</x:f>
      </x:c>
      <x:c r="N984" s="10" t="str">
        <x:f>IF(M984="","",MAX(0.01,MIN(0.99,0.5+(M984-0.5)*'Motor_Meciuri'!BG75*'Calibrare_Linii'!D18)))</x:f>
      </x:c>
      <x:c r="O984" s="10" t="str">
        <x:f>IF(M984="","",1-M984)</x:f>
      </x:c>
      <x:c r="P984" s="10" t="str">
        <x:f>IF(OR(NOT(AND(J984="PASS",'Calibrare_Linii'!U18="VALID")),AK984=0),""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*('Istoric_Nativ'!$Q$6:$Q$405&gt;H984))/AK984)</x:f>
      </x:c>
      <x:c r="Q984" s="10" t="str">
        <x:f>IF(OR(NOT(AND(J984="PASS",'Calibrare_Linii'!U18="VALID")),AL984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M75)+((('Istoric_Nativ'!$E$6:$E$405='Input_Meci'!E75)+('Istoric_Nativ'!$F$6:$F$405='Input_Meci'!E75))&gt;0)*('Istoric_Nativ'!$D$6:$D$405&gt;='Motor_Meciuri'!BN75))&gt;0)*('Istoric_Nativ'!$Q$6:$Q$405&gt;H984))/AL984)</x:f>
      </x:c>
      <x:c r="R984" s="10" t="str">
        <x:f>IF(OR(NOT(AND(J984="PASS",'Calibrare_Linii'!U18="VALID")),AM984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O75)+((('Istoric_Nativ'!$E$6:$E$405='Input_Meci'!E75)+('Istoric_Nativ'!$F$6:$F$405='Input_Meci'!E75))&gt;0)*('Istoric_Nativ'!$D$6:$D$405&gt;='Motor_Meciuri'!BP75))&gt;0)*('Istoric_Nativ'!$Q$6:$Q$405&gt;H984))/AM984)</x:f>
      </x:c>
      <x:c r="S984" s="10" t="str">
        <x:f>IF(M984="","",MAX(O984,P984,Q984,R984))</x:f>
      </x:c>
      <x:c r="T984" s="11" t="str">
        <x:f>IF(M984="","",MIN(100,S984*100*'Config_v6'!$B$44+MIN(100,L984/'Config_v6'!$B$13*100)*'Config_v6'!$B$45+(100-'Motor_Meciuri'!BF75)*'Config_v6'!$B$46+'Motor_Meciuri'!BH75*100*'Config_v6'!$B$47))</x:f>
      </x:c>
      <x:c r="U984" s="2" t="str">
        <x:f>IF(T984="","",IF(T984&lt;=20,1,IF(T984&lt;=40,2,IF(T984&lt;=60,3,IF(T984&lt;=80,4,5)))))</x:f>
      </x:c>
      <x:c r="V984" s="2" t="str">
        <x:f>IF(M984="","",MAX(0,'Motor_Meciuri'!BF75-IF(W984="OOS PENDING",'Config_v6'!$B$35,0)-IF(L984&gt;'Config_v6'!$B$12,'Config_v6'!$B$37,IF(L984&gt;'Config_v6'!$B$11,'Config_v6'!$B$36,0))))</x:f>
      </x:c>
      <x:c r="W984" s="2" t="str">
        <x:f>IF(B984="","",IF(I984&lt;&gt;"READY","NOT RELEASED",IF(NOT(AND(J984="PASS",'Calibrare_Linii'!U18="VALID")),"INVALID",IF(NOT(AND('Calibrare_Linii'!S18="VALIDATED",AND('Calibrare_Linii'!H18=C984,ISNUMBER('Calibrare_Linii'!J18),'Calibrare_Linii'!J18&lt;='Input_Meci'!G75))),"OOS PENDING",IF(S984&lt;='Calibrare_Linii'!E18,"PASS",IF(S984&lt;='Calibrare_Linii'!F18,"PENALTY","WATCH"))))))</x:f>
      </x:c>
      <x:c r="X984" s="2" t="str">
        <x:f>IF(M984="","",IF(AND(AND(J984="PASS",'Calibrare_Linii'!U18="VALID"),'Motor_Meciuri'!K75=12,'Motor_Meciuri'!L75=12,'Motor_Meciuri'!M75="NO",'Motor_Meciuri'!BL75='Motor_Meciuri'!C75,AB984&gt;='Config_v6'!$B$50,AN984&gt;='Config_v6'!$B$51,T984&lt;='Config_v6'!$B$52,L984&lt;='Config_v6'!$B$53,ISNUMBER('Calibrare_Linii'!E18),S984&lt;='Calibrare_Linii'!E18,SUM(AK984:AM984)&gt;0),"CANDIDATE","NO"))</x:f>
      </x:c>
      <x:c r="Y984" s="2" t="str">
        <x:f>IF(B984="","",IF(I984&lt;&gt;"READY","NOT RELEASED",IF(AND(X984="CANDIDATE",V984&gt;='Config_v6'!$B$51,W984="PASS",'Calibrare_Linii'!T18="VALIDATED",AND('Calibrare_Linii'!H18=C984,ISNUMBER('Calibrare_Linii'!J18),'Calibrare_Linii'!J18&lt;='Input_Meci'!G75)),"PASS",IF(X984="CANDIDATE","OOS PENDING","FAIL"))))</x:f>
      </x:c>
      <x:c r="Z984" s="2" t="str">
        <x:f>IF(B984="","",IF(I984&lt;&gt;"READY","",IF(OR(NOT(AND(J984="PASS",'Calibrare_Linii'!U18="VALID")),L984&gt;'Config_v6'!$B$13,W984="WATCH"),5,IF(Y984="PASS",1,MIN(5,MAX('Config_v6'!$B$42,U984)+IF(W984="PENALTY",1,0))))))</x:f>
      </x:c>
      <x:c r="AA984" s="2" t="str">
        <x:f>IF(B984="","",IF(I984&lt;&gt;"READY","NOT RELEASED",IF(Z984=5,"NO BET",IF(OR(AB984&lt;'Config_v6'!$B$16,V984&lt;'Config_v6'!$B$18),"WATCH",IF(Z984=1,"DEFENSIV",IF(Z984=2,"PRUDENT",IF(Z984=3,"MODERAT","RIDICAT")))))))</x:f>
      </x:c>
      <x:c r="AB984" s="10" t="str">
        <x:f>IF(N984="","",MIN(N984,1-S984))</x:f>
      </x:c>
      <x:c r="AC984" s="2" t="str">
        <x:f>IF(AD984&lt;&gt;1,"",COUNTIFS($Z$972:$Z$985,"&lt;"&amp;Z984,$AD$972:$AD$985,1)+COUNTIFS($Z$972:$Z$985,Z984,$AB$972:$AB$985,"&gt;"&amp;AB984,$AD$972:$AD$985,1)+COUNTIFS($Z$972:$Z$985,Z984,$AB$972:$AB$985,AB984,$V$972:$V$985,"&gt;"&amp;V984,$AD$972:$AD$985,1)+COUNTIFS($Z$972:Z984,Z984,$AB$972:AB984,AB984,$V$972:V984,V984,$AD$972:AD984,1))</x:f>
      </x:c>
      <x:c r="AD984" s="2" t="n">
        <x:f>IF(OR(AA984="DEFENSIV",AA984="PRUDENT",AA984="MODERAT",AA984="RIDICAT"),1,0)</x:f>
        <x:v>0</x:v>
      </x:c>
      <x:c r="AE984" s="2" t="str">
        <x:f>IF(AD984&lt;&gt;1,"NO",IF(W984="PASS","YES",IF(W984="OOS PENDING","CONDITIONAL","NO")))</x:f>
        <x:v>NO</x:v>
      </x:c>
      <x:c r="AF984" s="2" t="n">
        <x:f>IF(AND(AD984=1,AC984=1,E984="LIVE"),1,0)</x:f>
        <x:v>0</x:v>
      </x:c>
      <x:c r="AG984" s="2" t="str">
        <x:f>IF(AF984&lt;&gt;1,"",'Dashboard'!P95)</x:f>
      </x:c>
      <x:c r="AH984" s="2" t="str">
        <x:f>IF(B984="","",IF(J984&lt;&gt;"PASS",'Motor_Meciuri'!J75,IF('Calibrare_Linii'!U18&lt;&gt;"VALID","Parametri linie invalizi",IF(L984&gt;'Config_v6'!$B$13,"Dispersie peste limita",IF(W984="WATCH","Failure peste limita",IF(AB984&lt;'Config_v6'!$B$16,"P finala sub prag",IF(V984&lt;'Config_v6'!$B$18,"Confidence sub prag",IF(E984="REPLAY","Exemplu retrospectiv; exclus din Top LIVE",IF(Y984="PASS","DEFENSIV validat",IF(W984="OOS PENDING","Eligibil; calibrare linie in monitorizare","Eligibil"))))))))))</x:f>
      </x:c>
      <x:c r="AI984" s="2" t="str">
        <x:f>IF(B984="","",'Calibrare_Linii'!V18)</x:f>
      </x:c>
      <x:c r="AJ984" s="2" t="str">
        <x:f>IF(B984="","",IF(AND('Calibrare_Linii'!T18="VALIDATED",AND('Calibrare_Linii'!H18=C984,ISNUMBER('Calibrare_Linii'!J18),'Calibrare_Linii'!J18&lt;='Input_Meci'!G75)),"DEFENSIVE VALIDATED",IF(AND('Calibrare_Linii'!S18="VALIDATED",AND('Calibrare_Linii'!H18=C984,ISNUMBER('Calibrare_Linii'!J18),'Calibrare_Linii'!J18&lt;='Input_Meci'!G75)),"TAIL VALIDATED","OOS PENDING")))</x:f>
      </x:c>
      <x:c r="AK984" s="2" t="n">
        <x:f>IF(J984&lt;&gt;"PASS",0,'Motor_Meciuri'!BR75)</x:f>
        <x:v>0</x:v>
      </x:c>
      <x:c r="AL984" s="2" t="n">
        <x:f>IF(J984&lt;&gt;"PASS",0,'Motor_Meciuri'!BS75)</x:f>
        <x:v>0</x:v>
      </x:c>
      <x:c r="AM984" s="2" t="n">
        <x:f>IF(J984&lt;&gt;"PASS",0,'Motor_Meciuri'!BT75)</x:f>
        <x:v>0</x:v>
      </x:c>
      <x:c r="AN984" s="2" t="str">
        <x:f>IF(M984="","",MAX(0,'Motor_Meciuri'!BF75-IF(L984&gt;'Config_v6'!$B$12,'Config_v6'!$B$37,IF(L984&gt;'Config_v6'!$B$11,'Config_v6'!$B$36,0))))</x:f>
      </x:c>
    </x:row>
    <x:row r="985" ht="21" customHeight="1">
      <x:c r="A985" s="2" t="n">
        <x:v>70</x:v>
      </x:c>
      <x:c r="B985" s="2" t="str">
        <x:f>IF('Motor_Meciuri'!A75="","",'Motor_Meciuri'!A75)</x:f>
      </x:c>
      <x:c r="C985" s="2" t="str">
        <x:f>IF(B985="","",'Motor_Meciuri'!B75)</x:f>
      </x:c>
      <x:c r="D985" s="2" t="str">
        <x:f>IF(B985="","",'Motor_Meciuri'!D75)</x:f>
      </x:c>
      <x:c r="E985" s="2" t="str">
        <x:f>IF(B985="","",'Motor_Meciuri'!E75)</x:f>
      </x:c>
      <x:c r="F985" s="2" t="str">
        <x:v>U17,5</x:v>
      </x:c>
      <x:c r="G985" s="2" t="str">
        <x:v>UNDER</x:v>
      </x:c>
      <x:c r="H985" s="2" t="n">
        <x:v>17</x:v>
      </x:c>
      <x:c r="I985" s="2" t="str">
        <x:f>IF(B985="","",'Motor_Meciuri'!H75)</x:f>
      </x:c>
      <x:c r="J985" s="2" t="str">
        <x:f>IF(B985="","",'Motor_Meciuri'!I75)</x:f>
      </x:c>
      <x:c r="K985" s="11" t="str">
        <x:f>IF(J985&lt;&gt;"PASS","",'Motor_Meciuri'!BD75)</x:f>
      </x:c>
      <x:c r="L985" s="11" t="str">
        <x:f>IF(J985&lt;&gt;"PASS","",'Motor_Meciuri'!AU75)</x:f>
      </x:c>
      <x:c r="M985" s="10" t="str">
        <x:f>IF(NOT(AND(J985="PASS",'Calibrare_Linii'!U19="VALID")),"",'Distributie'!AO75)</x:f>
      </x:c>
      <x:c r="N985" s="10" t="str">
        <x:f>IF(M985="","",MAX(0.01,MIN(0.99,0.5+(M985-0.5)*'Motor_Meciuri'!BG75*'Calibrare_Linii'!D19)))</x:f>
      </x:c>
      <x:c r="O985" s="10" t="str">
        <x:f>IF(M985="","",1-M985)</x:f>
      </x:c>
      <x:c r="P985" s="10" t="str">
        <x:f>IF(OR(NOT(AND(J985="PASS",'Calibrare_Linii'!U19="VALID")),AK985=0),""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*('Istoric_Nativ'!$Q$6:$Q$405&gt;H985))/AK985)</x:f>
      </x:c>
      <x:c r="Q985" s="10" t="str">
        <x:f>IF(OR(NOT(AND(J985="PASS",'Calibrare_Linii'!U19="VALID")),AL985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M75)+((('Istoric_Nativ'!$E$6:$E$405='Input_Meci'!E75)+('Istoric_Nativ'!$F$6:$F$405='Input_Meci'!E75))&gt;0)*('Istoric_Nativ'!$D$6:$D$405&gt;='Motor_Meciuri'!BN75))&gt;0)*('Istoric_Nativ'!$Q$6:$Q$405&gt;H985))/AL985)</x:f>
      </x:c>
      <x:c r="R985" s="10" t="str">
        <x:f>IF(OR(NOT(AND(J985="PASS",'Calibrare_Linii'!U19="VALID")),AM985=0),""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'Motor_Meciuri'!BO75)+((('Istoric_Nativ'!$E$6:$E$405='Input_Meci'!E75)+('Istoric_Nativ'!$F$6:$F$405='Input_Meci'!E75))&gt;0)*('Istoric_Nativ'!$D$6:$D$405&gt;='Motor_Meciuri'!BP75))&gt;0)*('Istoric_Nativ'!$Q$6:$Q$405&gt;H985))/AM985)</x:f>
      </x:c>
      <x:c r="S985" s="10" t="str">
        <x:f>IF(M985="","",MAX(O985,P985,Q985,R985))</x:f>
      </x:c>
      <x:c r="T985" s="11" t="str">
        <x:f>IF(M985="","",MIN(100,S985*100*'Config_v6'!$B$44+MIN(100,L985/'Config_v6'!$B$13*100)*'Config_v6'!$B$45+(100-'Motor_Meciuri'!BF75)*'Config_v6'!$B$46+'Motor_Meciuri'!BH75*100*'Config_v6'!$B$47))</x:f>
      </x:c>
      <x:c r="U985" s="2" t="str">
        <x:f>IF(T985="","",IF(T985&lt;=20,1,IF(T985&lt;=40,2,IF(T985&lt;=60,3,IF(T985&lt;=80,4,5)))))</x:f>
      </x:c>
      <x:c r="V985" s="2" t="str">
        <x:f>IF(M985="","",MAX(0,'Motor_Meciuri'!BF75-IF(W985="OOS PENDING",'Config_v6'!$B$35,0)-IF(L985&gt;'Config_v6'!$B$12,'Config_v6'!$B$37,IF(L985&gt;'Config_v6'!$B$11,'Config_v6'!$B$36,0))))</x:f>
      </x:c>
      <x:c r="W985" s="2" t="str">
        <x:f>IF(B985="","",IF(I985&lt;&gt;"READY","NOT RELEASED",IF(NOT(AND(J985="PASS",'Calibrare_Linii'!U19="VALID")),"INVALID",IF(NOT(AND('Calibrare_Linii'!S19="VALIDATED",AND('Calibrare_Linii'!H19=C985,ISNUMBER('Calibrare_Linii'!J19),'Calibrare_Linii'!J19&lt;='Input_Meci'!G75))),"OOS PENDING",IF(S985&lt;='Calibrare_Linii'!E19,"PASS",IF(S985&lt;='Calibrare_Linii'!F19,"PENALTY","WATCH"))))))</x:f>
      </x:c>
      <x:c r="X985" s="2" t="str">
        <x:f>IF(M985="","",IF(AND(AND(J985="PASS",'Calibrare_Linii'!U19="VALID"),'Motor_Meciuri'!K75=12,'Motor_Meciuri'!L75=12,'Motor_Meciuri'!M75="NO",'Motor_Meciuri'!BL75='Motor_Meciuri'!C75,AB985&gt;='Config_v6'!$B$50,AN985&gt;='Config_v6'!$B$51,T985&lt;='Config_v6'!$B$52,L985&lt;='Config_v6'!$B$53,ISNUMBER('Calibrare_Linii'!E19),S985&lt;='Calibrare_Linii'!E19,SUM(AK985:AM985)&gt;0),"CANDIDATE","NO"))</x:f>
      </x:c>
      <x:c r="Y985" s="2" t="str">
        <x:f>IF(B985="","",IF(I985&lt;&gt;"READY","NOT RELEASED",IF(AND(X985="CANDIDATE",V985&gt;='Config_v6'!$B$51,W985="PASS",'Calibrare_Linii'!T19="VALIDATED",AND('Calibrare_Linii'!H19=C985,ISNUMBER('Calibrare_Linii'!J19),'Calibrare_Linii'!J19&lt;='Input_Meci'!G75)),"PASS",IF(X985="CANDIDATE","OOS PENDING","FAIL"))))</x:f>
      </x:c>
      <x:c r="Z985" s="2" t="str">
        <x:f>IF(B985="","",IF(I985&lt;&gt;"READY","",IF(OR(NOT(AND(J985="PASS",'Calibrare_Linii'!U19="VALID")),L985&gt;'Config_v6'!$B$13,W985="WATCH"),5,IF(Y985="PASS",1,MIN(5,MAX('Config_v6'!$B$42,U985)+IF(W985="PENALTY",1,0))))))</x:f>
      </x:c>
      <x:c r="AA985" s="2" t="str">
        <x:f>IF(B985="","",IF(I985&lt;&gt;"READY","NOT RELEASED",IF(Z985=5,"NO BET",IF(OR(AB985&lt;'Config_v6'!$B$16,V985&lt;'Config_v6'!$B$18),"WATCH",IF(Z985=1,"DEFENSIV",IF(Z985=2,"PRUDENT",IF(Z985=3,"MODERAT","RIDICAT")))))))</x:f>
      </x:c>
      <x:c r="AB985" s="10" t="str">
        <x:f>IF(N985="","",MIN(N985,1-S985))</x:f>
      </x:c>
      <x:c r="AC985" s="2" t="str">
        <x:f>IF(AD985&lt;&gt;1,"",COUNTIFS($Z$972:$Z$985,"&lt;"&amp;Z985,$AD$972:$AD$985,1)+COUNTIFS($Z$972:$Z$985,Z985,$AB$972:$AB$985,"&gt;"&amp;AB985,$AD$972:$AD$985,1)+COUNTIFS($Z$972:$Z$985,Z985,$AB$972:$AB$985,AB985,$V$972:$V$985,"&gt;"&amp;V985,$AD$972:$AD$985,1)+COUNTIFS($Z$972:Z985,Z985,$AB$972:AB985,AB985,$V$972:V985,V985,$AD$972:AD985,1))</x:f>
      </x:c>
      <x:c r="AD985" s="2" t="n">
        <x:f>IF(OR(AA985="DEFENSIV",AA985="PRUDENT",AA985="MODERAT",AA985="RIDICAT"),1,0)</x:f>
        <x:v>0</x:v>
      </x:c>
      <x:c r="AE985" s="2" t="str">
        <x:f>IF(AD985&lt;&gt;1,"NO",IF(W985="PASS","YES",IF(W985="OOS PENDING","CONDITIONAL","NO")))</x:f>
        <x:v>NO</x:v>
      </x:c>
      <x:c r="AF985" s="2" t="n">
        <x:f>IF(AND(AD985=1,AC985=1,E985="LIVE"),1,0)</x:f>
        <x:v>0</x:v>
      </x:c>
      <x:c r="AG985" s="2" t="str">
        <x:f>IF(AF985&lt;&gt;1,"",'Dashboard'!P95)</x:f>
      </x:c>
      <x:c r="AH985" s="2" t="str">
        <x:f>IF(B985="","",IF(J985&lt;&gt;"PASS",'Motor_Meciuri'!J75,IF('Calibrare_Linii'!U19&lt;&gt;"VALID","Parametri linie invalizi",IF(L985&gt;'Config_v6'!$B$13,"Dispersie peste limita",IF(W985="WATCH","Failure peste limita",IF(AB985&lt;'Config_v6'!$B$16,"P finala sub prag",IF(V985&lt;'Config_v6'!$B$18,"Confidence sub prag",IF(E985="REPLAY","Exemplu retrospectiv; exclus din Top LIVE",IF(Y985="PASS","DEFENSIV validat",IF(W985="OOS PENDING","Eligibil; calibrare linie in monitorizare","Eligibil"))))))))))</x:f>
      </x:c>
      <x:c r="AI985" s="2" t="str">
        <x:f>IF(B985="","",'Calibrare_Linii'!V19)</x:f>
      </x:c>
      <x:c r="AJ985" s="2" t="str">
        <x:f>IF(B985="","",IF(AND('Calibrare_Linii'!T19="VALIDATED",AND('Calibrare_Linii'!H19=C985,ISNUMBER('Calibrare_Linii'!J19),'Calibrare_Linii'!J19&lt;='Input_Meci'!G75)),"DEFENSIVE VALIDATED",IF(AND('Calibrare_Linii'!S19="VALIDATED",AND('Calibrare_Linii'!H19=C985,ISNUMBER('Calibrare_Linii'!J19),'Calibrare_Linii'!J19&lt;='Input_Meci'!G75)),"TAIL VALIDATED","OOS PENDING")))</x:f>
      </x:c>
      <x:c r="AK985" s="2" t="n">
        <x:f>IF(J985&lt;&gt;"PASS",0,'Motor_Meciuri'!BR75)</x:f>
        <x:v>0</x:v>
      </x:c>
      <x:c r="AL985" s="2" t="n">
        <x:f>IF(J985&lt;&gt;"PASS",0,'Motor_Meciuri'!BS75)</x:f>
        <x:v>0</x:v>
      </x:c>
      <x:c r="AM985" s="2" t="n">
        <x:f>IF(J985&lt;&gt;"PASS",0,'Motor_Meciuri'!BT75)</x:f>
        <x:v>0</x:v>
      </x:c>
      <x:c r="AN985" s="2" t="str">
        <x:f>IF(M985="","",MAX(0,'Motor_Meciuri'!BF75-IF(L985&gt;'Config_v6'!$B$12,'Config_v6'!$B$37,IF(L985&gt;'Config_v6'!$B$11,'Config_v6'!$B$36,0))))</x:f>
      </x:c>
    </x:row>
    <x:row r="986" ht="21" customHeight="1">
      <x:c r="A986" s="2" t="n">
        <x:v>71</x:v>
      </x:c>
      <x:c r="B986" s="2" t="str">
        <x:f>IF('Motor_Meciuri'!A76="","",'Motor_Meciuri'!A76)</x:f>
      </x:c>
      <x:c r="C986" s="2" t="str">
        <x:f>IF(B986="","",'Motor_Meciuri'!B76)</x:f>
      </x:c>
      <x:c r="D986" s="2" t="str">
        <x:f>IF(B986="","",'Motor_Meciuri'!D76)</x:f>
      </x:c>
      <x:c r="E986" s="2" t="str">
        <x:f>IF(B986="","",'Motor_Meciuri'!E76)</x:f>
      </x:c>
      <x:c r="F986" s="2" t="str">
        <x:v>O3,5</x:v>
      </x:c>
      <x:c r="G986" s="2" t="str">
        <x:v>OVER</x:v>
      </x:c>
      <x:c r="H986" s="2" t="n">
        <x:v>3</x:v>
      </x:c>
      <x:c r="I986" s="2" t="str">
        <x:f>IF(B986="","",'Motor_Meciuri'!H76)</x:f>
      </x:c>
      <x:c r="J986" s="2" t="str">
        <x:f>IF(B986="","",'Motor_Meciuri'!I76)</x:f>
      </x:c>
      <x:c r="K986" s="11" t="str">
        <x:f>IF(J986&lt;&gt;"PASS","",'Motor_Meciuri'!BD76)</x:f>
      </x:c>
      <x:c r="L986" s="11" t="str">
        <x:f>IF(J986&lt;&gt;"PASS","",'Motor_Meciuri'!AU76)</x:f>
      </x:c>
      <x:c r="M986" s="10" t="str">
        <x:f>IF(NOT(AND(J986="PASS",'Calibrare_Linii'!U6="VALID")),"",1-'Distributie'!AA76)</x:f>
      </x:c>
      <x:c r="N986" s="10" t="str">
        <x:f>IF(M986="","",MAX(0.01,MIN(0.99,0.5+(M986-0.5)*'Motor_Meciuri'!BG76*'Calibrare_Linii'!D6)))</x:f>
      </x:c>
      <x:c r="O986" s="10" t="str">
        <x:f>IF(M986="","",1-M986)</x:f>
      </x:c>
      <x:c r="P986" s="10" t="str">
        <x:f>IF(OR(NOT(AND(J986="PASS",'Calibrare_Linii'!U6="VALID")),AK986=0),""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*('Istoric_Nativ'!$Q$6:$Q$405&lt;=H986))/AK986)</x:f>
      </x:c>
      <x:c r="Q986" s="10" t="str">
        <x:f>IF(OR(NOT(AND(J986="PASS",'Calibrare_Linii'!U6="VALID")),AL986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M76)+((('Istoric_Nativ'!$E$6:$E$405='Input_Meci'!E76)+('Istoric_Nativ'!$F$6:$F$405='Input_Meci'!E76))&gt;0)*('Istoric_Nativ'!$D$6:$D$405&gt;='Motor_Meciuri'!BN76))&gt;0)*('Istoric_Nativ'!$Q$6:$Q$405&lt;=H986))/AL986)</x:f>
      </x:c>
      <x:c r="R986" s="10" t="str">
        <x:f>IF(OR(NOT(AND(J986="PASS",'Calibrare_Linii'!U6="VALID")),AM986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O76)+((('Istoric_Nativ'!$E$6:$E$405='Input_Meci'!E76)+('Istoric_Nativ'!$F$6:$F$405='Input_Meci'!E76))&gt;0)*('Istoric_Nativ'!$D$6:$D$405&gt;='Motor_Meciuri'!BP76))&gt;0)*('Istoric_Nativ'!$Q$6:$Q$405&lt;=H986))/AM986)</x:f>
      </x:c>
      <x:c r="S986" s="10" t="str">
        <x:f>IF(M986="","",MAX(O986,P986,Q986,R986))</x:f>
      </x:c>
      <x:c r="T986" s="11" t="str">
        <x:f>IF(M986="","",MIN(100,S986*100*'Config_v6'!$B$44+MIN(100,L986/'Config_v6'!$B$13*100)*'Config_v6'!$B$45+(100-'Motor_Meciuri'!BF76)*'Config_v6'!$B$46+'Motor_Meciuri'!BH76*100*'Config_v6'!$B$47))</x:f>
      </x:c>
      <x:c r="U986" s="2" t="str">
        <x:f>IF(T986="","",IF(T986&lt;=20,1,IF(T986&lt;=40,2,IF(T986&lt;=60,3,IF(T986&lt;=80,4,5)))))</x:f>
      </x:c>
      <x:c r="V986" s="2" t="str">
        <x:f>IF(M986="","",MAX(0,'Motor_Meciuri'!BF76-IF(W986="OOS PENDING",'Config_v6'!$B$35,0)-IF(L986&gt;'Config_v6'!$B$12,'Config_v6'!$B$37,IF(L986&gt;'Config_v6'!$B$11,'Config_v6'!$B$36,0))))</x:f>
      </x:c>
      <x:c r="W986" s="2" t="str">
        <x:f>IF(B986="","",IF(I986&lt;&gt;"READY","NOT RELEASED",IF(NOT(AND(J986="PASS",'Calibrare_Linii'!U6="VALID")),"INVALID",IF(NOT(TRUE),"OOS PENDING",IF(S986&lt;=IF(AND('Calibrare_Linii'!S6="VALIDATED",AND('Calibrare_Linii'!H6=C986,ISNUMBER('Calibrare_Linii'!J6),'Calibrare_Linii'!J6&lt;='Input_Meci'!G76)),'Calibrare_Linii'!E6,'Config_v6'!$B$26),"PASS",IF(S986&lt;=IF(AND('Calibrare_Linii'!S6="VALIDATED",AND('Calibrare_Linii'!H6=C986,ISNUMBER('Calibrare_Linii'!J6),'Calibrare_Linii'!J6&lt;='Input_Meci'!G76)),'Calibrare_Linii'!F6,'Config_v6'!$C$26),"PENALTY","WATCH"))))))</x:f>
      </x:c>
      <x:c r="X986" s="2" t="str">
        <x:f>IF(M986="","",IF(AND(AND(J986="PASS",'Calibrare_Linii'!U6="VALID"),'Motor_Meciuri'!K76=12,'Motor_Meciuri'!L76=12,'Motor_Meciuri'!M76="NO",'Motor_Meciuri'!BL76='Motor_Meciuri'!C76,AB986&gt;='Config_v6'!$B$50,AN986&gt;='Config_v6'!$B$51,T986&lt;='Config_v6'!$B$52,L986&lt;='Config_v6'!$B$53,ISNUMBER('Calibrare_Linii'!E6),S986&lt;='Calibrare_Linii'!E6,SUM(AK986:AM986)&gt;0),"CANDIDATE","NO"))</x:f>
      </x:c>
      <x:c r="Y986" s="2" t="str">
        <x:f>IF(B986="","",IF(I986&lt;&gt;"READY","NOT RELEASED",IF(AND(X986="CANDIDATE",V986&gt;='Config_v6'!$B$51,W986="PASS",'Calibrare_Linii'!T6="VALIDATED",AND('Calibrare_Linii'!H6=C986,ISNUMBER('Calibrare_Linii'!J6),'Calibrare_Linii'!J6&lt;='Input_Meci'!G76)),"PASS",IF(X986="CANDIDATE","OOS PENDING","FAIL"))))</x:f>
      </x:c>
      <x:c r="Z986" s="2" t="str">
        <x:f>IF(B986="","",IF(I986&lt;&gt;"READY","",IF(OR(NOT(AND(J986="PASS",'Calibrare_Linii'!U6="VALID")),L986&gt;'Config_v6'!$B$13,W986="WATCH"),5,IF(Y986="PASS",1,MIN(5,MAX('Config_v6'!$B$42,U986)+IF(W986="PENALTY",1,0))))))</x:f>
      </x:c>
      <x:c r="AA986" s="2" t="str">
        <x:f>IF(B986="","",IF(I986&lt;&gt;"READY","NOT RELEASED",IF(Z986=5,"NO BET",IF(OR(AB986&lt;'Config_v6'!$B$16,V986&lt;'Config_v6'!$B$18),"WATCH",IF(Z986=1,"DEFENSIV",IF(Z986=2,"PRUDENT",IF(Z986=3,"MODERAT","RIDICAT")))))))</x:f>
      </x:c>
      <x:c r="AB986" s="10" t="str">
        <x:f>IF(N986="","",MIN(N986,1-S986))</x:f>
      </x:c>
      <x:c r="AC986" s="2" t="str">
        <x:f>IF(AD986&lt;&gt;1,"",COUNTIFS($Z$986:$Z$999,"&lt;"&amp;Z986,$AD$986:$AD$999,1)+COUNTIFS($Z$986:$Z$999,Z986,$AB$986:$AB$999,"&gt;"&amp;AB986,$AD$986:$AD$999,1)+COUNTIFS($Z$986:$Z$999,Z986,$AB$986:$AB$999,AB986,$V$986:$V$999,"&gt;"&amp;V986,$AD$986:$AD$999,1)+COUNTIFS($Z$986:Z986,Z986,$AB$986:AB986,AB986,$V$986:V986,V986,$AD$986:AD986,1))</x:f>
      </x:c>
      <x:c r="AD986" s="2" t="n">
        <x:f>IF(OR(AA986="DEFENSIV",AA986="PRUDENT",AA986="MODERAT",AA986="RIDICAT"),1,0)</x:f>
        <x:v>0</x:v>
      </x:c>
      <x:c r="AE986" s="2" t="str">
        <x:f>IF(AD986&lt;&gt;1,"NO",IF(W986="PASS","YES",IF(W986="OOS PENDING","CONDITIONAL","NO")))</x:f>
        <x:v>NO</x:v>
      </x:c>
      <x:c r="AF986" s="2" t="n">
        <x:f>IF(AND(AD986=1,AC986=1,E986="LIVE"),1,0)</x:f>
        <x:v>0</x:v>
      </x:c>
      <x:c r="AG986" s="2" t="str">
        <x:f>IF(AF986&lt;&gt;1,"",'Dashboard'!P96)</x:f>
      </x:c>
      <x:c r="AH986" s="2" t="str">
        <x:f>IF(B986="","",IF(J986&lt;&gt;"PASS",'Motor_Meciuri'!J76,IF('Calibrare_Linii'!U6&lt;&gt;"VALID","Parametri linie invalizi",IF(L986&gt;'Config_v6'!$B$13,"Dispersie peste limita",IF(W986="WATCH","Failure peste limita",IF(AB986&lt;'Config_v6'!$B$16,"P finala sub prag",IF(V986&lt;'Config_v6'!$B$18,"Confidence sub prag",IF(E986="REPLAY","Exemplu retrospectiv; exclus din Top LIVE",IF(Y986="PASS","DEFENSIV validat",IF(W986="OOS PENDING","Eligibil; calibrare linie in monitorizare","Eligibil"))))))))))</x:f>
      </x:c>
      <x:c r="AI986" s="2" t="str">
        <x:f>IF(B986="","",'Calibrare_Linii'!V6)</x:f>
      </x:c>
      <x:c r="AJ986" s="2" t="str">
        <x:f>IF(B986="","",IF(AND('Calibrare_Linii'!T6="VALIDATED",AND('Calibrare_Linii'!H6=C986,ISNUMBER('Calibrare_Linii'!J6),'Calibrare_Linii'!J6&lt;='Input_Meci'!G76)),"DEFENSIVE VALIDATED",IF(AND('Calibrare_Linii'!S6="VALIDATED",AND('Calibrare_Linii'!H6=C986,ISNUMBER('Calibrare_Linii'!J6),'Calibrare_Linii'!J6&lt;='Input_Meci'!G76)),"TAIL VALIDATED","OOS PENDING")))</x:f>
      </x:c>
      <x:c r="AK986" s="2" t="n">
        <x:f>IF(J986&lt;&gt;"PASS",0,'Motor_Meciuri'!BR76)</x:f>
        <x:v>0</x:v>
      </x:c>
      <x:c r="AL986" s="2" t="n">
        <x:f>IF(J986&lt;&gt;"PASS",0,'Motor_Meciuri'!BS76)</x:f>
        <x:v>0</x:v>
      </x:c>
      <x:c r="AM986" s="2" t="n">
        <x:f>IF(J986&lt;&gt;"PASS",0,'Motor_Meciuri'!BT76)</x:f>
        <x:v>0</x:v>
      </x:c>
      <x:c r="AN986" s="2" t="str">
        <x:f>IF(M986="","",MAX(0,'Motor_Meciuri'!BF76-IF(L986&gt;'Config_v6'!$B$12,'Config_v6'!$B$37,IF(L986&gt;'Config_v6'!$B$11,'Config_v6'!$B$36,0))))</x:f>
      </x:c>
    </x:row>
    <x:row r="987" ht="21" customHeight="1">
      <x:c r="A987" s="2" t="n">
        <x:v>71</x:v>
      </x:c>
      <x:c r="B987" s="2" t="str">
        <x:f>IF('Motor_Meciuri'!A76="","",'Motor_Meciuri'!A76)</x:f>
      </x:c>
      <x:c r="C987" s="2" t="str">
        <x:f>IF(B987="","",'Motor_Meciuri'!B76)</x:f>
      </x:c>
      <x:c r="D987" s="2" t="str">
        <x:f>IF(B987="","",'Motor_Meciuri'!D76)</x:f>
      </x:c>
      <x:c r="E987" s="2" t="str">
        <x:f>IF(B987="","",'Motor_Meciuri'!E76)</x:f>
      </x:c>
      <x:c r="F987" s="2" t="str">
        <x:v>O4,5</x:v>
      </x:c>
      <x:c r="G987" s="2" t="str">
        <x:v>OVER</x:v>
      </x:c>
      <x:c r="H987" s="2" t="n">
        <x:v>4</x:v>
      </x:c>
      <x:c r="I987" s="2" t="str">
        <x:f>IF(B987="","",'Motor_Meciuri'!H76)</x:f>
      </x:c>
      <x:c r="J987" s="2" t="str">
        <x:f>IF(B987="","",'Motor_Meciuri'!I76)</x:f>
      </x:c>
      <x:c r="K987" s="11" t="str">
        <x:f>IF(J987&lt;&gt;"PASS","",'Motor_Meciuri'!BD76)</x:f>
      </x:c>
      <x:c r="L987" s="11" t="str">
        <x:f>IF(J987&lt;&gt;"PASS","",'Motor_Meciuri'!AU76)</x:f>
      </x:c>
      <x:c r="M987" s="10" t="str">
        <x:f>IF(NOT(AND(J987="PASS",'Calibrare_Linii'!U7="VALID")),"",1-'Distributie'!AB76)</x:f>
      </x:c>
      <x:c r="N987" s="10" t="str">
        <x:f>IF(M987="","",MAX(0.01,MIN(0.99,0.5+(M987-0.5)*'Motor_Meciuri'!BG76*'Calibrare_Linii'!D7)))</x:f>
      </x:c>
      <x:c r="O987" s="10" t="str">
        <x:f>IF(M987="","",1-M987)</x:f>
      </x:c>
      <x:c r="P987" s="10" t="str">
        <x:f>IF(OR(NOT(AND(J987="PASS",'Calibrare_Linii'!U7="VALID")),AK987=0),""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*('Istoric_Nativ'!$Q$6:$Q$405&lt;=H987))/AK987)</x:f>
      </x:c>
      <x:c r="Q987" s="10" t="str">
        <x:f>IF(OR(NOT(AND(J987="PASS",'Calibrare_Linii'!U7="VALID")),AL987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M76)+((('Istoric_Nativ'!$E$6:$E$405='Input_Meci'!E76)+('Istoric_Nativ'!$F$6:$F$405='Input_Meci'!E76))&gt;0)*('Istoric_Nativ'!$D$6:$D$405&gt;='Motor_Meciuri'!BN76))&gt;0)*('Istoric_Nativ'!$Q$6:$Q$405&lt;=H987))/AL987)</x:f>
      </x:c>
      <x:c r="R987" s="10" t="str">
        <x:f>IF(OR(NOT(AND(J987="PASS",'Calibrare_Linii'!U7="VALID")),AM987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O76)+((('Istoric_Nativ'!$E$6:$E$405='Input_Meci'!E76)+('Istoric_Nativ'!$F$6:$F$405='Input_Meci'!E76))&gt;0)*('Istoric_Nativ'!$D$6:$D$405&gt;='Motor_Meciuri'!BP76))&gt;0)*('Istoric_Nativ'!$Q$6:$Q$405&lt;=H987))/AM987)</x:f>
      </x:c>
      <x:c r="S987" s="10" t="str">
        <x:f>IF(M987="","",MAX(O987,P987,Q987,R987))</x:f>
      </x:c>
      <x:c r="T987" s="11" t="str">
        <x:f>IF(M987="","",MIN(100,S987*100*'Config_v6'!$B$44+MIN(100,L987/'Config_v6'!$B$13*100)*'Config_v6'!$B$45+(100-'Motor_Meciuri'!BF76)*'Config_v6'!$B$46+'Motor_Meciuri'!BH76*100*'Config_v6'!$B$47))</x:f>
      </x:c>
      <x:c r="U987" s="2" t="str">
        <x:f>IF(T987="","",IF(T987&lt;=20,1,IF(T987&lt;=40,2,IF(T987&lt;=60,3,IF(T987&lt;=80,4,5)))))</x:f>
      </x:c>
      <x:c r="V987" s="2" t="str">
        <x:f>IF(M987="","",MAX(0,'Motor_Meciuri'!BF76-IF(W987="OOS PENDING",'Config_v6'!$B$35,0)-IF(L987&gt;'Config_v6'!$B$12,'Config_v6'!$B$37,IF(L987&gt;'Config_v6'!$B$11,'Config_v6'!$B$36,0))))</x:f>
      </x:c>
      <x:c r="W987" s="2" t="str">
        <x:f>IF(B987="","",IF(I987&lt;&gt;"READY","NOT RELEASED",IF(NOT(AND(J987="PASS",'Calibrare_Linii'!U7="VALID")),"INVALID",IF(NOT(AND('Calibrare_Linii'!S7="VALIDATED",AND('Calibrare_Linii'!H7=C987,ISNUMBER('Calibrare_Linii'!J7),'Calibrare_Linii'!J7&lt;='Input_Meci'!G76))),"OOS PENDING",IF(S987&lt;='Calibrare_Linii'!E7,"PASS",IF(S987&lt;='Calibrare_Linii'!F7,"PENALTY","WATCH"))))))</x:f>
      </x:c>
      <x:c r="X987" s="2" t="str">
        <x:f>IF(M987="","",IF(AND(AND(J987="PASS",'Calibrare_Linii'!U7="VALID"),'Motor_Meciuri'!K76=12,'Motor_Meciuri'!L76=12,'Motor_Meciuri'!M76="NO",'Motor_Meciuri'!BL76='Motor_Meciuri'!C76,AB987&gt;='Config_v6'!$B$50,AN987&gt;='Config_v6'!$B$51,T987&lt;='Config_v6'!$B$52,L987&lt;='Config_v6'!$B$53,ISNUMBER('Calibrare_Linii'!E7),S987&lt;='Calibrare_Linii'!E7,SUM(AK987:AM987)&gt;0),"CANDIDATE","NO"))</x:f>
      </x:c>
      <x:c r="Y987" s="2" t="str">
        <x:f>IF(B987="","",IF(I987&lt;&gt;"READY","NOT RELEASED",IF(AND(X987="CANDIDATE",V987&gt;='Config_v6'!$B$51,W987="PASS",'Calibrare_Linii'!T7="VALIDATED",AND('Calibrare_Linii'!H7=C987,ISNUMBER('Calibrare_Linii'!J7),'Calibrare_Linii'!J7&lt;='Input_Meci'!G76)),"PASS",IF(X987="CANDIDATE","OOS PENDING","FAIL"))))</x:f>
      </x:c>
      <x:c r="Z987" s="2" t="str">
        <x:f>IF(B987="","",IF(I987&lt;&gt;"READY","",IF(OR(NOT(AND(J987="PASS",'Calibrare_Linii'!U7="VALID")),L987&gt;'Config_v6'!$B$13,W987="WATCH"),5,IF(Y987="PASS",1,MIN(5,MAX('Config_v6'!$B$42,U987)+IF(W987="PENALTY",1,0))))))</x:f>
      </x:c>
      <x:c r="AA987" s="2" t="str">
        <x:f>IF(B987="","",IF(I987&lt;&gt;"READY","NOT RELEASED",IF(Z987=5,"NO BET",IF(OR(AB987&lt;'Config_v6'!$B$16,V987&lt;'Config_v6'!$B$18),"WATCH",IF(Z987=1,"DEFENSIV",IF(Z987=2,"PRUDENT",IF(Z987=3,"MODERAT","RIDICAT")))))))</x:f>
      </x:c>
      <x:c r="AB987" s="10" t="str">
        <x:f>IF(N987="","",MIN(N987,1-S987))</x:f>
      </x:c>
      <x:c r="AC987" s="2" t="str">
        <x:f>IF(AD987&lt;&gt;1,"",COUNTIFS($Z$986:$Z$999,"&lt;"&amp;Z987,$AD$986:$AD$999,1)+COUNTIFS($Z$986:$Z$999,Z987,$AB$986:$AB$999,"&gt;"&amp;AB987,$AD$986:$AD$999,1)+COUNTIFS($Z$986:$Z$999,Z987,$AB$986:$AB$999,AB987,$V$986:$V$999,"&gt;"&amp;V987,$AD$986:$AD$999,1)+COUNTIFS($Z$986:Z987,Z987,$AB$986:AB987,AB987,$V$986:V987,V987,$AD$986:AD987,1))</x:f>
      </x:c>
      <x:c r="AD987" s="2" t="n">
        <x:f>IF(OR(AA987="DEFENSIV",AA987="PRUDENT",AA987="MODERAT",AA987="RIDICAT"),1,0)</x:f>
        <x:v>0</x:v>
      </x:c>
      <x:c r="AE987" s="2" t="str">
        <x:f>IF(AD987&lt;&gt;1,"NO",IF(W987="PASS","YES",IF(W987="OOS PENDING","CONDITIONAL","NO")))</x:f>
        <x:v>NO</x:v>
      </x:c>
      <x:c r="AF987" s="2" t="n">
        <x:f>IF(AND(AD987=1,AC987=1,E987="LIVE"),1,0)</x:f>
        <x:v>0</x:v>
      </x:c>
      <x:c r="AG987" s="2" t="str">
        <x:f>IF(AF987&lt;&gt;1,"",'Dashboard'!P96)</x:f>
      </x:c>
      <x:c r="AH987" s="2" t="str">
        <x:f>IF(B987="","",IF(J987&lt;&gt;"PASS",'Motor_Meciuri'!J76,IF('Calibrare_Linii'!U7&lt;&gt;"VALID","Parametri linie invalizi",IF(L987&gt;'Config_v6'!$B$13,"Dispersie peste limita",IF(W987="WATCH","Failure peste limita",IF(AB987&lt;'Config_v6'!$B$16,"P finala sub prag",IF(V987&lt;'Config_v6'!$B$18,"Confidence sub prag",IF(E987="REPLAY","Exemplu retrospectiv; exclus din Top LIVE",IF(Y987="PASS","DEFENSIV validat",IF(W987="OOS PENDING","Eligibil; calibrare linie in monitorizare","Eligibil"))))))))))</x:f>
      </x:c>
      <x:c r="AI987" s="2" t="str">
        <x:f>IF(B987="","",'Calibrare_Linii'!V7)</x:f>
      </x:c>
      <x:c r="AJ987" s="2" t="str">
        <x:f>IF(B987="","",IF(AND('Calibrare_Linii'!T7="VALIDATED",AND('Calibrare_Linii'!H7=C987,ISNUMBER('Calibrare_Linii'!J7),'Calibrare_Linii'!J7&lt;='Input_Meci'!G76)),"DEFENSIVE VALIDATED",IF(AND('Calibrare_Linii'!S7="VALIDATED",AND('Calibrare_Linii'!H7=C987,ISNUMBER('Calibrare_Linii'!J7),'Calibrare_Linii'!J7&lt;='Input_Meci'!G76)),"TAIL VALIDATED","OOS PENDING")))</x:f>
      </x:c>
      <x:c r="AK987" s="2" t="n">
        <x:f>IF(J987&lt;&gt;"PASS",0,'Motor_Meciuri'!BR76)</x:f>
        <x:v>0</x:v>
      </x:c>
      <x:c r="AL987" s="2" t="n">
        <x:f>IF(J987&lt;&gt;"PASS",0,'Motor_Meciuri'!BS76)</x:f>
        <x:v>0</x:v>
      </x:c>
      <x:c r="AM987" s="2" t="n">
        <x:f>IF(J987&lt;&gt;"PASS",0,'Motor_Meciuri'!BT76)</x:f>
        <x:v>0</x:v>
      </x:c>
      <x:c r="AN987" s="2" t="str">
        <x:f>IF(M987="","",MAX(0,'Motor_Meciuri'!BF76-IF(L987&gt;'Config_v6'!$B$12,'Config_v6'!$B$37,IF(L987&gt;'Config_v6'!$B$11,'Config_v6'!$B$36,0))))</x:f>
      </x:c>
    </x:row>
    <x:row r="988" ht="21" customHeight="1">
      <x:c r="A988" s="2" t="n">
        <x:v>71</x:v>
      </x:c>
      <x:c r="B988" s="2" t="str">
        <x:f>IF('Motor_Meciuri'!A76="","",'Motor_Meciuri'!A76)</x:f>
      </x:c>
      <x:c r="C988" s="2" t="str">
        <x:f>IF(B988="","",'Motor_Meciuri'!B76)</x:f>
      </x:c>
      <x:c r="D988" s="2" t="str">
        <x:f>IF(B988="","",'Motor_Meciuri'!D76)</x:f>
      </x:c>
      <x:c r="E988" s="2" t="str">
        <x:f>IF(B988="","",'Motor_Meciuri'!E76)</x:f>
      </x:c>
      <x:c r="F988" s="2" t="str">
        <x:v>O5,5</x:v>
      </x:c>
      <x:c r="G988" s="2" t="str">
        <x:v>OVER</x:v>
      </x:c>
      <x:c r="H988" s="2" t="n">
        <x:v>5</x:v>
      </x:c>
      <x:c r="I988" s="2" t="str">
        <x:f>IF(B988="","",'Motor_Meciuri'!H76)</x:f>
      </x:c>
      <x:c r="J988" s="2" t="str">
        <x:f>IF(B988="","",'Motor_Meciuri'!I76)</x:f>
      </x:c>
      <x:c r="K988" s="11" t="str">
        <x:f>IF(J988&lt;&gt;"PASS","",'Motor_Meciuri'!BD76)</x:f>
      </x:c>
      <x:c r="L988" s="11" t="str">
        <x:f>IF(J988&lt;&gt;"PASS","",'Motor_Meciuri'!AU76)</x:f>
      </x:c>
      <x:c r="M988" s="10" t="str">
        <x:f>IF(NOT(AND(J988="PASS",'Calibrare_Linii'!U8="VALID")),"",1-'Distributie'!AC76)</x:f>
      </x:c>
      <x:c r="N988" s="10" t="str">
        <x:f>IF(M988="","",MAX(0.01,MIN(0.99,0.5+(M988-0.5)*'Motor_Meciuri'!BG76*'Calibrare_Linii'!D8)))</x:f>
      </x:c>
      <x:c r="O988" s="10" t="str">
        <x:f>IF(M988="","",1-M988)</x:f>
      </x:c>
      <x:c r="P988" s="10" t="str">
        <x:f>IF(OR(NOT(AND(J988="PASS",'Calibrare_Linii'!U8="VALID")),AK988=0),""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*('Istoric_Nativ'!$Q$6:$Q$405&lt;=H988))/AK988)</x:f>
      </x:c>
      <x:c r="Q988" s="10" t="str">
        <x:f>IF(OR(NOT(AND(J988="PASS",'Calibrare_Linii'!U8="VALID")),AL988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M76)+((('Istoric_Nativ'!$E$6:$E$405='Input_Meci'!E76)+('Istoric_Nativ'!$F$6:$F$405='Input_Meci'!E76))&gt;0)*('Istoric_Nativ'!$D$6:$D$405&gt;='Motor_Meciuri'!BN76))&gt;0)*('Istoric_Nativ'!$Q$6:$Q$405&lt;=H988))/AL988)</x:f>
      </x:c>
      <x:c r="R988" s="10" t="str">
        <x:f>IF(OR(NOT(AND(J988="PASS",'Calibrare_Linii'!U8="VALID")),AM988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O76)+((('Istoric_Nativ'!$E$6:$E$405='Input_Meci'!E76)+('Istoric_Nativ'!$F$6:$F$405='Input_Meci'!E76))&gt;0)*('Istoric_Nativ'!$D$6:$D$405&gt;='Motor_Meciuri'!BP76))&gt;0)*('Istoric_Nativ'!$Q$6:$Q$405&lt;=H988))/AM988)</x:f>
      </x:c>
      <x:c r="S988" s="10" t="str">
        <x:f>IF(M988="","",MAX(O988,P988,Q988,R988))</x:f>
      </x:c>
      <x:c r="T988" s="11" t="str">
        <x:f>IF(M988="","",MIN(100,S988*100*'Config_v6'!$B$44+MIN(100,L988/'Config_v6'!$B$13*100)*'Config_v6'!$B$45+(100-'Motor_Meciuri'!BF76)*'Config_v6'!$B$46+'Motor_Meciuri'!BH76*100*'Config_v6'!$B$47))</x:f>
      </x:c>
      <x:c r="U988" s="2" t="str">
        <x:f>IF(T988="","",IF(T988&lt;=20,1,IF(T988&lt;=40,2,IF(T988&lt;=60,3,IF(T988&lt;=80,4,5)))))</x:f>
      </x:c>
      <x:c r="V988" s="2" t="str">
        <x:f>IF(M988="","",MAX(0,'Motor_Meciuri'!BF76-IF(W988="OOS PENDING",'Config_v6'!$B$35,0)-IF(L988&gt;'Config_v6'!$B$12,'Config_v6'!$B$37,IF(L988&gt;'Config_v6'!$B$11,'Config_v6'!$B$36,0))))</x:f>
      </x:c>
      <x:c r="W988" s="2" t="str">
        <x:f>IF(B988="","",IF(I988&lt;&gt;"READY","NOT RELEASED",IF(NOT(AND(J988="PASS",'Calibrare_Linii'!U8="VALID")),"INVALID",IF(NOT(AND('Calibrare_Linii'!S8="VALIDATED",AND('Calibrare_Linii'!H8=C988,ISNUMBER('Calibrare_Linii'!J8),'Calibrare_Linii'!J8&lt;='Input_Meci'!G76))),"OOS PENDING",IF(S988&lt;='Calibrare_Linii'!E8,"PASS",IF(S988&lt;='Calibrare_Linii'!F8,"PENALTY","WATCH"))))))</x:f>
      </x:c>
      <x:c r="X988" s="2" t="str">
        <x:f>IF(M988="","",IF(AND(AND(J988="PASS",'Calibrare_Linii'!U8="VALID"),'Motor_Meciuri'!K76=12,'Motor_Meciuri'!L76=12,'Motor_Meciuri'!M76="NO",'Motor_Meciuri'!BL76='Motor_Meciuri'!C76,AB988&gt;='Config_v6'!$B$50,AN988&gt;='Config_v6'!$B$51,T988&lt;='Config_v6'!$B$52,L988&lt;='Config_v6'!$B$53,ISNUMBER('Calibrare_Linii'!E8),S988&lt;='Calibrare_Linii'!E8,SUM(AK988:AM988)&gt;0),"CANDIDATE","NO"))</x:f>
      </x:c>
      <x:c r="Y988" s="2" t="str">
        <x:f>IF(B988="","",IF(I988&lt;&gt;"READY","NOT RELEASED",IF(AND(X988="CANDIDATE",V988&gt;='Config_v6'!$B$51,W988="PASS",'Calibrare_Linii'!T8="VALIDATED",AND('Calibrare_Linii'!H8=C988,ISNUMBER('Calibrare_Linii'!J8),'Calibrare_Linii'!J8&lt;='Input_Meci'!G76)),"PASS",IF(X988="CANDIDATE","OOS PENDING","FAIL"))))</x:f>
      </x:c>
      <x:c r="Z988" s="2" t="str">
        <x:f>IF(B988="","",IF(I988&lt;&gt;"READY","",IF(OR(NOT(AND(J988="PASS",'Calibrare_Linii'!U8="VALID")),L988&gt;'Config_v6'!$B$13,W988="WATCH"),5,IF(Y988="PASS",1,MIN(5,MAX('Config_v6'!$B$42,U988)+IF(W988="PENALTY",1,0))))))</x:f>
      </x:c>
      <x:c r="AA988" s="2" t="str">
        <x:f>IF(B988="","",IF(I988&lt;&gt;"READY","NOT RELEASED",IF(Z988=5,"NO BET",IF(OR(AB988&lt;'Config_v6'!$B$16,V988&lt;'Config_v6'!$B$18),"WATCH",IF(Z988=1,"DEFENSIV",IF(Z988=2,"PRUDENT",IF(Z988=3,"MODERAT","RIDICAT")))))))</x:f>
      </x:c>
      <x:c r="AB988" s="10" t="str">
        <x:f>IF(N988="","",MIN(N988,1-S988))</x:f>
      </x:c>
      <x:c r="AC988" s="2" t="str">
        <x:f>IF(AD988&lt;&gt;1,"",COUNTIFS($Z$986:$Z$999,"&lt;"&amp;Z988,$AD$986:$AD$999,1)+COUNTIFS($Z$986:$Z$999,Z988,$AB$986:$AB$999,"&gt;"&amp;AB988,$AD$986:$AD$999,1)+COUNTIFS($Z$986:$Z$999,Z988,$AB$986:$AB$999,AB988,$V$986:$V$999,"&gt;"&amp;V988,$AD$986:$AD$999,1)+COUNTIFS($Z$986:Z988,Z988,$AB$986:AB988,AB988,$V$986:V988,V988,$AD$986:AD988,1))</x:f>
      </x:c>
      <x:c r="AD988" s="2" t="n">
        <x:f>IF(OR(AA988="DEFENSIV",AA988="PRUDENT",AA988="MODERAT",AA988="RIDICAT"),1,0)</x:f>
        <x:v>0</x:v>
      </x:c>
      <x:c r="AE988" s="2" t="str">
        <x:f>IF(AD988&lt;&gt;1,"NO",IF(W988="PASS","YES",IF(W988="OOS PENDING","CONDITIONAL","NO")))</x:f>
        <x:v>NO</x:v>
      </x:c>
      <x:c r="AF988" s="2" t="n">
        <x:f>IF(AND(AD988=1,AC988=1,E988="LIVE"),1,0)</x:f>
        <x:v>0</x:v>
      </x:c>
      <x:c r="AG988" s="2" t="str">
        <x:f>IF(AF988&lt;&gt;1,"",'Dashboard'!P96)</x:f>
      </x:c>
      <x:c r="AH988" s="2" t="str">
        <x:f>IF(B988="","",IF(J988&lt;&gt;"PASS",'Motor_Meciuri'!J76,IF('Calibrare_Linii'!U8&lt;&gt;"VALID","Parametri linie invalizi",IF(L988&gt;'Config_v6'!$B$13,"Dispersie peste limita",IF(W988="WATCH","Failure peste limita",IF(AB988&lt;'Config_v6'!$B$16,"P finala sub prag",IF(V988&lt;'Config_v6'!$B$18,"Confidence sub prag",IF(E988="REPLAY","Exemplu retrospectiv; exclus din Top LIVE",IF(Y988="PASS","DEFENSIV validat",IF(W988="OOS PENDING","Eligibil; calibrare linie in monitorizare","Eligibil"))))))))))</x:f>
      </x:c>
      <x:c r="AI988" s="2" t="str">
        <x:f>IF(B988="","",'Calibrare_Linii'!V8)</x:f>
      </x:c>
      <x:c r="AJ988" s="2" t="str">
        <x:f>IF(B988="","",IF(AND('Calibrare_Linii'!T8="VALIDATED",AND('Calibrare_Linii'!H8=C988,ISNUMBER('Calibrare_Linii'!J8),'Calibrare_Linii'!J8&lt;='Input_Meci'!G76)),"DEFENSIVE VALIDATED",IF(AND('Calibrare_Linii'!S8="VALIDATED",AND('Calibrare_Linii'!H8=C988,ISNUMBER('Calibrare_Linii'!J8),'Calibrare_Linii'!J8&lt;='Input_Meci'!G76)),"TAIL VALIDATED","OOS PENDING")))</x:f>
      </x:c>
      <x:c r="AK988" s="2" t="n">
        <x:f>IF(J988&lt;&gt;"PASS",0,'Motor_Meciuri'!BR76)</x:f>
        <x:v>0</x:v>
      </x:c>
      <x:c r="AL988" s="2" t="n">
        <x:f>IF(J988&lt;&gt;"PASS",0,'Motor_Meciuri'!BS76)</x:f>
        <x:v>0</x:v>
      </x:c>
      <x:c r="AM988" s="2" t="n">
        <x:f>IF(J988&lt;&gt;"PASS",0,'Motor_Meciuri'!BT76)</x:f>
        <x:v>0</x:v>
      </x:c>
      <x:c r="AN988" s="2" t="str">
        <x:f>IF(M988="","",MAX(0,'Motor_Meciuri'!BF76-IF(L988&gt;'Config_v6'!$B$12,'Config_v6'!$B$37,IF(L988&gt;'Config_v6'!$B$11,'Config_v6'!$B$36,0))))</x:f>
      </x:c>
    </x:row>
    <x:row r="989" ht="21" customHeight="1">
      <x:c r="A989" s="2" t="n">
        <x:v>71</x:v>
      </x:c>
      <x:c r="B989" s="2" t="str">
        <x:f>IF('Motor_Meciuri'!A76="","",'Motor_Meciuri'!A76)</x:f>
      </x:c>
      <x:c r="C989" s="2" t="str">
        <x:f>IF(B989="","",'Motor_Meciuri'!B76)</x:f>
      </x:c>
      <x:c r="D989" s="2" t="str">
        <x:f>IF(B989="","",'Motor_Meciuri'!D76)</x:f>
      </x:c>
      <x:c r="E989" s="2" t="str">
        <x:f>IF(B989="","",'Motor_Meciuri'!E76)</x:f>
      </x:c>
      <x:c r="F989" s="2" t="str">
        <x:v>O6,5</x:v>
      </x:c>
      <x:c r="G989" s="2" t="str">
        <x:v>OVER</x:v>
      </x:c>
      <x:c r="H989" s="2" t="n">
        <x:v>6</x:v>
      </x:c>
      <x:c r="I989" s="2" t="str">
        <x:f>IF(B989="","",'Motor_Meciuri'!H76)</x:f>
      </x:c>
      <x:c r="J989" s="2" t="str">
        <x:f>IF(B989="","",'Motor_Meciuri'!I76)</x:f>
      </x:c>
      <x:c r="K989" s="11" t="str">
        <x:f>IF(J989&lt;&gt;"PASS","",'Motor_Meciuri'!BD76)</x:f>
      </x:c>
      <x:c r="L989" s="11" t="str">
        <x:f>IF(J989&lt;&gt;"PASS","",'Motor_Meciuri'!AU76)</x:f>
      </x:c>
      <x:c r="M989" s="10" t="str">
        <x:f>IF(NOT(AND(J989="PASS",'Calibrare_Linii'!U9="VALID")),"",1-'Distributie'!AD76)</x:f>
      </x:c>
      <x:c r="N989" s="10" t="str">
        <x:f>IF(M989="","",MAX(0.01,MIN(0.99,0.5+(M989-0.5)*'Motor_Meciuri'!BG76*'Calibrare_Linii'!D9)))</x:f>
      </x:c>
      <x:c r="O989" s="10" t="str">
        <x:f>IF(M989="","",1-M989)</x:f>
      </x:c>
      <x:c r="P989" s="10" t="str">
        <x:f>IF(OR(NOT(AND(J989="PASS",'Calibrare_Linii'!U9="VALID")),AK989=0),""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*('Istoric_Nativ'!$Q$6:$Q$405&lt;=H989))/AK989)</x:f>
      </x:c>
      <x:c r="Q989" s="10" t="str">
        <x:f>IF(OR(NOT(AND(J989="PASS",'Calibrare_Linii'!U9="VALID")),AL989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M76)+((('Istoric_Nativ'!$E$6:$E$405='Input_Meci'!E76)+('Istoric_Nativ'!$F$6:$F$405='Input_Meci'!E76))&gt;0)*('Istoric_Nativ'!$D$6:$D$405&gt;='Motor_Meciuri'!BN76))&gt;0)*('Istoric_Nativ'!$Q$6:$Q$405&lt;=H989))/AL989)</x:f>
      </x:c>
      <x:c r="R989" s="10" t="str">
        <x:f>IF(OR(NOT(AND(J989="PASS",'Calibrare_Linii'!U9="VALID")),AM989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O76)+((('Istoric_Nativ'!$E$6:$E$405='Input_Meci'!E76)+('Istoric_Nativ'!$F$6:$F$405='Input_Meci'!E76))&gt;0)*('Istoric_Nativ'!$D$6:$D$405&gt;='Motor_Meciuri'!BP76))&gt;0)*('Istoric_Nativ'!$Q$6:$Q$405&lt;=H989))/AM989)</x:f>
      </x:c>
      <x:c r="S989" s="10" t="str">
        <x:f>IF(M989="","",MAX(O989,P989,Q989,R989))</x:f>
      </x:c>
      <x:c r="T989" s="11" t="str">
        <x:f>IF(M989="","",MIN(100,S989*100*'Config_v6'!$B$44+MIN(100,L989/'Config_v6'!$B$13*100)*'Config_v6'!$B$45+(100-'Motor_Meciuri'!BF76)*'Config_v6'!$B$46+'Motor_Meciuri'!BH76*100*'Config_v6'!$B$47))</x:f>
      </x:c>
      <x:c r="U989" s="2" t="str">
        <x:f>IF(T989="","",IF(T989&lt;=20,1,IF(T989&lt;=40,2,IF(T989&lt;=60,3,IF(T989&lt;=80,4,5)))))</x:f>
      </x:c>
      <x:c r="V989" s="2" t="str">
        <x:f>IF(M989="","",MAX(0,'Motor_Meciuri'!BF76-IF(W989="OOS PENDING",'Config_v6'!$B$35,0)-IF(L989&gt;'Config_v6'!$B$12,'Config_v6'!$B$37,IF(L989&gt;'Config_v6'!$B$11,'Config_v6'!$B$36,0))))</x:f>
      </x:c>
      <x:c r="W989" s="2" t="str">
        <x:f>IF(B989="","",IF(I989&lt;&gt;"READY","NOT RELEASED",IF(NOT(AND(J989="PASS",'Calibrare_Linii'!U9="VALID")),"INVALID",IF(NOT(AND('Calibrare_Linii'!S9="VALIDATED",AND('Calibrare_Linii'!H9=C989,ISNUMBER('Calibrare_Linii'!J9),'Calibrare_Linii'!J9&lt;='Input_Meci'!G76))),"OOS PENDING",IF(S989&lt;='Calibrare_Linii'!E9,"PASS",IF(S989&lt;='Calibrare_Linii'!F9,"PENALTY","WATCH"))))))</x:f>
      </x:c>
      <x:c r="X989" s="2" t="str">
        <x:f>IF(M989="","",IF(AND(AND(J989="PASS",'Calibrare_Linii'!U9="VALID"),'Motor_Meciuri'!K76=12,'Motor_Meciuri'!L76=12,'Motor_Meciuri'!M76="NO",'Motor_Meciuri'!BL76='Motor_Meciuri'!C76,AB989&gt;='Config_v6'!$B$50,AN989&gt;='Config_v6'!$B$51,T989&lt;='Config_v6'!$B$52,L989&lt;='Config_v6'!$B$53,ISNUMBER('Calibrare_Linii'!E9),S989&lt;='Calibrare_Linii'!E9,SUM(AK989:AM989)&gt;0),"CANDIDATE","NO"))</x:f>
      </x:c>
      <x:c r="Y989" s="2" t="str">
        <x:f>IF(B989="","",IF(I989&lt;&gt;"READY","NOT RELEASED",IF(AND(X989="CANDIDATE",V989&gt;='Config_v6'!$B$51,W989="PASS",'Calibrare_Linii'!T9="VALIDATED",AND('Calibrare_Linii'!H9=C989,ISNUMBER('Calibrare_Linii'!J9),'Calibrare_Linii'!J9&lt;='Input_Meci'!G76)),"PASS",IF(X989="CANDIDATE","OOS PENDING","FAIL"))))</x:f>
      </x:c>
      <x:c r="Z989" s="2" t="str">
        <x:f>IF(B989="","",IF(I989&lt;&gt;"READY","",IF(OR(NOT(AND(J989="PASS",'Calibrare_Linii'!U9="VALID")),L989&gt;'Config_v6'!$B$13,W989="WATCH"),5,IF(Y989="PASS",1,MIN(5,MAX('Config_v6'!$B$42,U989)+IF(W989="PENALTY",1,0))))))</x:f>
      </x:c>
      <x:c r="AA989" s="2" t="str">
        <x:f>IF(B989="","",IF(I989&lt;&gt;"READY","NOT RELEASED",IF(Z989=5,"NO BET",IF(OR(AB989&lt;'Config_v6'!$B$16,V989&lt;'Config_v6'!$B$18),"WATCH",IF(Z989=1,"DEFENSIV",IF(Z989=2,"PRUDENT",IF(Z989=3,"MODERAT","RIDICAT")))))))</x:f>
      </x:c>
      <x:c r="AB989" s="10" t="str">
        <x:f>IF(N989="","",MIN(N989,1-S989))</x:f>
      </x:c>
      <x:c r="AC989" s="2" t="str">
        <x:f>IF(AD989&lt;&gt;1,"",COUNTIFS($Z$986:$Z$999,"&lt;"&amp;Z989,$AD$986:$AD$999,1)+COUNTIFS($Z$986:$Z$999,Z989,$AB$986:$AB$999,"&gt;"&amp;AB989,$AD$986:$AD$999,1)+COUNTIFS($Z$986:$Z$999,Z989,$AB$986:$AB$999,AB989,$V$986:$V$999,"&gt;"&amp;V989,$AD$986:$AD$999,1)+COUNTIFS($Z$986:Z989,Z989,$AB$986:AB989,AB989,$V$986:V989,V989,$AD$986:AD989,1))</x:f>
      </x:c>
      <x:c r="AD989" s="2" t="n">
        <x:f>IF(OR(AA989="DEFENSIV",AA989="PRUDENT",AA989="MODERAT",AA989="RIDICAT"),1,0)</x:f>
        <x:v>0</x:v>
      </x:c>
      <x:c r="AE989" s="2" t="str">
        <x:f>IF(AD989&lt;&gt;1,"NO",IF(W989="PASS","YES",IF(W989="OOS PENDING","CONDITIONAL","NO")))</x:f>
        <x:v>NO</x:v>
      </x:c>
      <x:c r="AF989" s="2" t="n">
        <x:f>IF(AND(AD989=1,AC989=1,E989="LIVE"),1,0)</x:f>
        <x:v>0</x:v>
      </x:c>
      <x:c r="AG989" s="2" t="str">
        <x:f>IF(AF989&lt;&gt;1,"",'Dashboard'!P96)</x:f>
      </x:c>
      <x:c r="AH989" s="2" t="str">
        <x:f>IF(B989="","",IF(J989&lt;&gt;"PASS",'Motor_Meciuri'!J76,IF('Calibrare_Linii'!U9&lt;&gt;"VALID","Parametri linie invalizi",IF(L989&gt;'Config_v6'!$B$13,"Dispersie peste limita",IF(W989="WATCH","Failure peste limita",IF(AB989&lt;'Config_v6'!$B$16,"P finala sub prag",IF(V989&lt;'Config_v6'!$B$18,"Confidence sub prag",IF(E989="REPLAY","Exemplu retrospectiv; exclus din Top LIVE",IF(Y989="PASS","DEFENSIV validat",IF(W989="OOS PENDING","Eligibil; calibrare linie in monitorizare","Eligibil"))))))))))</x:f>
      </x:c>
      <x:c r="AI989" s="2" t="str">
        <x:f>IF(B989="","",'Calibrare_Linii'!V9)</x:f>
      </x:c>
      <x:c r="AJ989" s="2" t="str">
        <x:f>IF(B989="","",IF(AND('Calibrare_Linii'!T9="VALIDATED",AND('Calibrare_Linii'!H9=C989,ISNUMBER('Calibrare_Linii'!J9),'Calibrare_Linii'!J9&lt;='Input_Meci'!G76)),"DEFENSIVE VALIDATED",IF(AND('Calibrare_Linii'!S9="VALIDATED",AND('Calibrare_Linii'!H9=C989,ISNUMBER('Calibrare_Linii'!J9),'Calibrare_Linii'!J9&lt;='Input_Meci'!G76)),"TAIL VALIDATED","OOS PENDING")))</x:f>
      </x:c>
      <x:c r="AK989" s="2" t="n">
        <x:f>IF(J989&lt;&gt;"PASS",0,'Motor_Meciuri'!BR76)</x:f>
        <x:v>0</x:v>
      </x:c>
      <x:c r="AL989" s="2" t="n">
        <x:f>IF(J989&lt;&gt;"PASS",0,'Motor_Meciuri'!BS76)</x:f>
        <x:v>0</x:v>
      </x:c>
      <x:c r="AM989" s="2" t="n">
        <x:f>IF(J989&lt;&gt;"PASS",0,'Motor_Meciuri'!BT76)</x:f>
        <x:v>0</x:v>
      </x:c>
      <x:c r="AN989" s="2" t="str">
        <x:f>IF(M989="","",MAX(0,'Motor_Meciuri'!BF76-IF(L989&gt;'Config_v6'!$B$12,'Config_v6'!$B$37,IF(L989&gt;'Config_v6'!$B$11,'Config_v6'!$B$36,0))))</x:f>
      </x:c>
    </x:row>
    <x:row r="990" ht="21" customHeight="1">
      <x:c r="A990" s="2" t="n">
        <x:v>71</x:v>
      </x:c>
      <x:c r="B990" s="2" t="str">
        <x:f>IF('Motor_Meciuri'!A76="","",'Motor_Meciuri'!A76)</x:f>
      </x:c>
      <x:c r="C990" s="2" t="str">
        <x:f>IF(B990="","",'Motor_Meciuri'!B76)</x:f>
      </x:c>
      <x:c r="D990" s="2" t="str">
        <x:f>IF(B990="","",'Motor_Meciuri'!D76)</x:f>
      </x:c>
      <x:c r="E990" s="2" t="str">
        <x:f>IF(B990="","",'Motor_Meciuri'!E76)</x:f>
      </x:c>
      <x:c r="F990" s="2" t="str">
        <x:v>O7,5</x:v>
      </x:c>
      <x:c r="G990" s="2" t="str">
        <x:v>OVER</x:v>
      </x:c>
      <x:c r="H990" s="2" t="n">
        <x:v>7</x:v>
      </x:c>
      <x:c r="I990" s="2" t="str">
        <x:f>IF(B990="","",'Motor_Meciuri'!H76)</x:f>
      </x:c>
      <x:c r="J990" s="2" t="str">
        <x:f>IF(B990="","",'Motor_Meciuri'!I76)</x:f>
      </x:c>
      <x:c r="K990" s="11" t="str">
        <x:f>IF(J990&lt;&gt;"PASS","",'Motor_Meciuri'!BD76)</x:f>
      </x:c>
      <x:c r="L990" s="11" t="str">
        <x:f>IF(J990&lt;&gt;"PASS","",'Motor_Meciuri'!AU76)</x:f>
      </x:c>
      <x:c r="M990" s="10" t="str">
        <x:f>IF(NOT(AND(J990="PASS",'Calibrare_Linii'!U10="VALID")),"",1-'Distributie'!AE76)</x:f>
      </x:c>
      <x:c r="N990" s="10" t="str">
        <x:f>IF(M990="","",MAX(0.01,MIN(0.99,0.5+(M990-0.5)*'Motor_Meciuri'!BG76*'Calibrare_Linii'!D10)))</x:f>
      </x:c>
      <x:c r="O990" s="10" t="str">
        <x:f>IF(M990="","",1-M990)</x:f>
      </x:c>
      <x:c r="P990" s="10" t="str">
        <x:f>IF(OR(NOT(AND(J990="PASS",'Calibrare_Linii'!U10="VALID")),AK990=0),""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*('Istoric_Nativ'!$Q$6:$Q$405&lt;=H990))/AK990)</x:f>
      </x:c>
      <x:c r="Q990" s="10" t="str">
        <x:f>IF(OR(NOT(AND(J990="PASS",'Calibrare_Linii'!U10="VALID")),AL990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M76)+((('Istoric_Nativ'!$E$6:$E$405='Input_Meci'!E76)+('Istoric_Nativ'!$F$6:$F$405='Input_Meci'!E76))&gt;0)*('Istoric_Nativ'!$D$6:$D$405&gt;='Motor_Meciuri'!BN76))&gt;0)*('Istoric_Nativ'!$Q$6:$Q$405&lt;=H990))/AL990)</x:f>
      </x:c>
      <x:c r="R990" s="10" t="str">
        <x:f>IF(OR(NOT(AND(J990="PASS",'Calibrare_Linii'!U10="VALID")),AM990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O76)+((('Istoric_Nativ'!$E$6:$E$405='Input_Meci'!E76)+('Istoric_Nativ'!$F$6:$F$405='Input_Meci'!E76))&gt;0)*('Istoric_Nativ'!$D$6:$D$405&gt;='Motor_Meciuri'!BP76))&gt;0)*('Istoric_Nativ'!$Q$6:$Q$405&lt;=H990))/AM990)</x:f>
      </x:c>
      <x:c r="S990" s="10" t="str">
        <x:f>IF(M990="","",MAX(O990,P990,Q990,R990))</x:f>
      </x:c>
      <x:c r="T990" s="11" t="str">
        <x:f>IF(M990="","",MIN(100,S990*100*'Config_v6'!$B$44+MIN(100,L990/'Config_v6'!$B$13*100)*'Config_v6'!$B$45+(100-'Motor_Meciuri'!BF76)*'Config_v6'!$B$46+'Motor_Meciuri'!BH76*100*'Config_v6'!$B$47))</x:f>
      </x:c>
      <x:c r="U990" s="2" t="str">
        <x:f>IF(T990="","",IF(T990&lt;=20,1,IF(T990&lt;=40,2,IF(T990&lt;=60,3,IF(T990&lt;=80,4,5)))))</x:f>
      </x:c>
      <x:c r="V990" s="2" t="str">
        <x:f>IF(M990="","",MAX(0,'Motor_Meciuri'!BF76-IF(W990="OOS PENDING",'Config_v6'!$B$35,0)-IF(L990&gt;'Config_v6'!$B$12,'Config_v6'!$B$37,IF(L990&gt;'Config_v6'!$B$11,'Config_v6'!$B$36,0))))</x:f>
      </x:c>
      <x:c r="W990" s="2" t="str">
        <x:f>IF(B990="","",IF(I990&lt;&gt;"READY","NOT RELEASED",IF(NOT(AND(J990="PASS",'Calibrare_Linii'!U10="VALID")),"INVALID",IF(NOT(AND('Calibrare_Linii'!S10="VALIDATED",AND('Calibrare_Linii'!H10=C990,ISNUMBER('Calibrare_Linii'!J10),'Calibrare_Linii'!J10&lt;='Input_Meci'!G76))),"OOS PENDING",IF(S990&lt;='Calibrare_Linii'!E10,"PASS",IF(S990&lt;='Calibrare_Linii'!F10,"PENALTY","WATCH"))))))</x:f>
      </x:c>
      <x:c r="X990" s="2" t="str">
        <x:f>IF(M990="","",IF(AND(AND(J990="PASS",'Calibrare_Linii'!U10="VALID"),'Motor_Meciuri'!K76=12,'Motor_Meciuri'!L76=12,'Motor_Meciuri'!M76="NO",'Motor_Meciuri'!BL76='Motor_Meciuri'!C76,AB990&gt;='Config_v6'!$B$50,AN990&gt;='Config_v6'!$B$51,T990&lt;='Config_v6'!$B$52,L990&lt;='Config_v6'!$B$53,ISNUMBER('Calibrare_Linii'!E10),S990&lt;='Calibrare_Linii'!E10,SUM(AK990:AM990)&gt;0),"CANDIDATE","NO"))</x:f>
      </x:c>
      <x:c r="Y990" s="2" t="str">
        <x:f>IF(B990="","",IF(I990&lt;&gt;"READY","NOT RELEASED",IF(AND(X990="CANDIDATE",V990&gt;='Config_v6'!$B$51,W990="PASS",'Calibrare_Linii'!T10="VALIDATED",AND('Calibrare_Linii'!H10=C990,ISNUMBER('Calibrare_Linii'!J10),'Calibrare_Linii'!J10&lt;='Input_Meci'!G76)),"PASS",IF(X990="CANDIDATE","OOS PENDING","FAIL"))))</x:f>
      </x:c>
      <x:c r="Z990" s="2" t="str">
        <x:f>IF(B990="","",IF(I990&lt;&gt;"READY","",IF(OR(NOT(AND(J990="PASS",'Calibrare_Linii'!U10="VALID")),L990&gt;'Config_v6'!$B$13,W990="WATCH"),5,IF(Y990="PASS",1,MIN(5,MAX('Config_v6'!$B$42,U990)+IF(W990="PENALTY",1,0))))))</x:f>
      </x:c>
      <x:c r="AA990" s="2" t="str">
        <x:f>IF(B990="","",IF(I990&lt;&gt;"READY","NOT RELEASED",IF(Z990=5,"NO BET",IF(OR(AB990&lt;'Config_v6'!$B$16,V990&lt;'Config_v6'!$B$18),"WATCH",IF(Z990=1,"DEFENSIV",IF(Z990=2,"PRUDENT",IF(Z990=3,"MODERAT","RIDICAT")))))))</x:f>
      </x:c>
      <x:c r="AB990" s="10" t="str">
        <x:f>IF(N990="","",MIN(N990,1-S990))</x:f>
      </x:c>
      <x:c r="AC990" s="2" t="str">
        <x:f>IF(AD990&lt;&gt;1,"",COUNTIFS($Z$986:$Z$999,"&lt;"&amp;Z990,$AD$986:$AD$999,1)+COUNTIFS($Z$986:$Z$999,Z990,$AB$986:$AB$999,"&gt;"&amp;AB990,$AD$986:$AD$999,1)+COUNTIFS($Z$986:$Z$999,Z990,$AB$986:$AB$999,AB990,$V$986:$V$999,"&gt;"&amp;V990,$AD$986:$AD$999,1)+COUNTIFS($Z$986:Z990,Z990,$AB$986:AB990,AB990,$V$986:V990,V990,$AD$986:AD990,1))</x:f>
      </x:c>
      <x:c r="AD990" s="2" t="n">
        <x:f>IF(OR(AA990="DEFENSIV",AA990="PRUDENT",AA990="MODERAT",AA990="RIDICAT"),1,0)</x:f>
        <x:v>0</x:v>
      </x:c>
      <x:c r="AE990" s="2" t="str">
        <x:f>IF(AD990&lt;&gt;1,"NO",IF(W990="PASS","YES",IF(W990="OOS PENDING","CONDITIONAL","NO")))</x:f>
        <x:v>NO</x:v>
      </x:c>
      <x:c r="AF990" s="2" t="n">
        <x:f>IF(AND(AD990=1,AC990=1,E990="LIVE"),1,0)</x:f>
        <x:v>0</x:v>
      </x:c>
      <x:c r="AG990" s="2" t="str">
        <x:f>IF(AF990&lt;&gt;1,"",'Dashboard'!P96)</x:f>
      </x:c>
      <x:c r="AH990" s="2" t="str">
        <x:f>IF(B990="","",IF(J990&lt;&gt;"PASS",'Motor_Meciuri'!J76,IF('Calibrare_Linii'!U10&lt;&gt;"VALID","Parametri linie invalizi",IF(L990&gt;'Config_v6'!$B$13,"Dispersie peste limita",IF(W990="WATCH","Failure peste limita",IF(AB990&lt;'Config_v6'!$B$16,"P finala sub prag",IF(V990&lt;'Config_v6'!$B$18,"Confidence sub prag",IF(E990="REPLAY","Exemplu retrospectiv; exclus din Top LIVE",IF(Y990="PASS","DEFENSIV validat",IF(W990="OOS PENDING","Eligibil; calibrare linie in monitorizare","Eligibil"))))))))))</x:f>
      </x:c>
      <x:c r="AI990" s="2" t="str">
        <x:f>IF(B990="","",'Calibrare_Linii'!V10)</x:f>
      </x:c>
      <x:c r="AJ990" s="2" t="str">
        <x:f>IF(B990="","",IF(AND('Calibrare_Linii'!T10="VALIDATED",AND('Calibrare_Linii'!H10=C990,ISNUMBER('Calibrare_Linii'!J10),'Calibrare_Linii'!J10&lt;='Input_Meci'!G76)),"DEFENSIVE VALIDATED",IF(AND('Calibrare_Linii'!S10="VALIDATED",AND('Calibrare_Linii'!H10=C990,ISNUMBER('Calibrare_Linii'!J10),'Calibrare_Linii'!J10&lt;='Input_Meci'!G76)),"TAIL VALIDATED","OOS PENDING")))</x:f>
      </x:c>
      <x:c r="AK990" s="2" t="n">
        <x:f>IF(J990&lt;&gt;"PASS",0,'Motor_Meciuri'!BR76)</x:f>
        <x:v>0</x:v>
      </x:c>
      <x:c r="AL990" s="2" t="n">
        <x:f>IF(J990&lt;&gt;"PASS",0,'Motor_Meciuri'!BS76)</x:f>
        <x:v>0</x:v>
      </x:c>
      <x:c r="AM990" s="2" t="n">
        <x:f>IF(J990&lt;&gt;"PASS",0,'Motor_Meciuri'!BT76)</x:f>
        <x:v>0</x:v>
      </x:c>
      <x:c r="AN990" s="2" t="str">
        <x:f>IF(M990="","",MAX(0,'Motor_Meciuri'!BF76-IF(L990&gt;'Config_v6'!$B$12,'Config_v6'!$B$37,IF(L990&gt;'Config_v6'!$B$11,'Config_v6'!$B$36,0))))</x:f>
      </x:c>
    </x:row>
    <x:row r="991" ht="21" customHeight="1">
      <x:c r="A991" s="2" t="n">
        <x:v>71</x:v>
      </x:c>
      <x:c r="B991" s="2" t="str">
        <x:f>IF('Motor_Meciuri'!A76="","",'Motor_Meciuri'!A76)</x:f>
      </x:c>
      <x:c r="C991" s="2" t="str">
        <x:f>IF(B991="","",'Motor_Meciuri'!B76)</x:f>
      </x:c>
      <x:c r="D991" s="2" t="str">
        <x:f>IF(B991="","",'Motor_Meciuri'!D76)</x:f>
      </x:c>
      <x:c r="E991" s="2" t="str">
        <x:f>IF(B991="","",'Motor_Meciuri'!E76)</x:f>
      </x:c>
      <x:c r="F991" s="2" t="str">
        <x:v>O8,5</x:v>
      </x:c>
      <x:c r="G991" s="2" t="str">
        <x:v>OVER</x:v>
      </x:c>
      <x:c r="H991" s="2" t="n">
        <x:v>8</x:v>
      </x:c>
      <x:c r="I991" s="2" t="str">
        <x:f>IF(B991="","",'Motor_Meciuri'!H76)</x:f>
      </x:c>
      <x:c r="J991" s="2" t="str">
        <x:f>IF(B991="","",'Motor_Meciuri'!I76)</x:f>
      </x:c>
      <x:c r="K991" s="11" t="str">
        <x:f>IF(J991&lt;&gt;"PASS","",'Motor_Meciuri'!BD76)</x:f>
      </x:c>
      <x:c r="L991" s="11" t="str">
        <x:f>IF(J991&lt;&gt;"PASS","",'Motor_Meciuri'!AU76)</x:f>
      </x:c>
      <x:c r="M991" s="10" t="str">
        <x:f>IF(NOT(AND(J991="PASS",'Calibrare_Linii'!U11="VALID")),"",1-'Distributie'!AF76)</x:f>
      </x:c>
      <x:c r="N991" s="10" t="str">
        <x:f>IF(M991="","",MAX(0.01,MIN(0.99,0.5+(M991-0.5)*'Motor_Meciuri'!BG76*'Calibrare_Linii'!D11)))</x:f>
      </x:c>
      <x:c r="O991" s="10" t="str">
        <x:f>IF(M991="","",1-M991)</x:f>
      </x:c>
      <x:c r="P991" s="10" t="str">
        <x:f>IF(OR(NOT(AND(J991="PASS",'Calibrare_Linii'!U11="VALID")),AK991=0),""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*('Istoric_Nativ'!$Q$6:$Q$405&lt;=H991))/AK991)</x:f>
      </x:c>
      <x:c r="Q991" s="10" t="str">
        <x:f>IF(OR(NOT(AND(J991="PASS",'Calibrare_Linii'!U11="VALID")),AL991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M76)+((('Istoric_Nativ'!$E$6:$E$405='Input_Meci'!E76)+('Istoric_Nativ'!$F$6:$F$405='Input_Meci'!E76))&gt;0)*('Istoric_Nativ'!$D$6:$D$405&gt;='Motor_Meciuri'!BN76))&gt;0)*('Istoric_Nativ'!$Q$6:$Q$405&lt;=H991))/AL991)</x:f>
      </x:c>
      <x:c r="R991" s="10" t="str">
        <x:f>IF(OR(NOT(AND(J991="PASS",'Calibrare_Linii'!U11="VALID")),AM991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O76)+((('Istoric_Nativ'!$E$6:$E$405='Input_Meci'!E76)+('Istoric_Nativ'!$F$6:$F$405='Input_Meci'!E76))&gt;0)*('Istoric_Nativ'!$D$6:$D$405&gt;='Motor_Meciuri'!BP76))&gt;0)*('Istoric_Nativ'!$Q$6:$Q$405&lt;=H991))/AM991)</x:f>
      </x:c>
      <x:c r="S991" s="10" t="str">
        <x:f>IF(M991="","",MAX(O991,P991,Q991,R991))</x:f>
      </x:c>
      <x:c r="T991" s="11" t="str">
        <x:f>IF(M991="","",MIN(100,S991*100*'Config_v6'!$B$44+MIN(100,L991/'Config_v6'!$B$13*100)*'Config_v6'!$B$45+(100-'Motor_Meciuri'!BF76)*'Config_v6'!$B$46+'Motor_Meciuri'!BH76*100*'Config_v6'!$B$47))</x:f>
      </x:c>
      <x:c r="U991" s="2" t="str">
        <x:f>IF(T991="","",IF(T991&lt;=20,1,IF(T991&lt;=40,2,IF(T991&lt;=60,3,IF(T991&lt;=80,4,5)))))</x:f>
      </x:c>
      <x:c r="V991" s="2" t="str">
        <x:f>IF(M991="","",MAX(0,'Motor_Meciuri'!BF76-IF(W991="OOS PENDING",'Config_v6'!$B$35,0)-IF(L991&gt;'Config_v6'!$B$12,'Config_v6'!$B$37,IF(L991&gt;'Config_v6'!$B$11,'Config_v6'!$B$36,0))))</x:f>
      </x:c>
      <x:c r="W991" s="2" t="str">
        <x:f>IF(B991="","",IF(I991&lt;&gt;"READY","NOT RELEASED",IF(NOT(AND(J991="PASS",'Calibrare_Linii'!U11="VALID")),"INVALID",IF(NOT(AND('Calibrare_Linii'!S11="VALIDATED",AND('Calibrare_Linii'!H11=C991,ISNUMBER('Calibrare_Linii'!J11),'Calibrare_Linii'!J11&lt;='Input_Meci'!G76))),"OOS PENDING",IF(S991&lt;='Calibrare_Linii'!E11,"PASS",IF(S991&lt;='Calibrare_Linii'!F11,"PENALTY","WATCH"))))))</x:f>
      </x:c>
      <x:c r="X991" s="2" t="str">
        <x:f>IF(M991="","",IF(AND(AND(J991="PASS",'Calibrare_Linii'!U11="VALID"),'Motor_Meciuri'!K76=12,'Motor_Meciuri'!L76=12,'Motor_Meciuri'!M76="NO",'Motor_Meciuri'!BL76='Motor_Meciuri'!C76,AB991&gt;='Config_v6'!$B$50,AN991&gt;='Config_v6'!$B$51,T991&lt;='Config_v6'!$B$52,L991&lt;='Config_v6'!$B$53,ISNUMBER('Calibrare_Linii'!E11),S991&lt;='Calibrare_Linii'!E11,SUM(AK991:AM991)&gt;0),"CANDIDATE","NO"))</x:f>
      </x:c>
      <x:c r="Y991" s="2" t="str">
        <x:f>IF(B991="","",IF(I991&lt;&gt;"READY","NOT RELEASED",IF(AND(X991="CANDIDATE",V991&gt;='Config_v6'!$B$51,W991="PASS",'Calibrare_Linii'!T11="VALIDATED",AND('Calibrare_Linii'!H11=C991,ISNUMBER('Calibrare_Linii'!J11),'Calibrare_Linii'!J11&lt;='Input_Meci'!G76)),"PASS",IF(X991="CANDIDATE","OOS PENDING","FAIL"))))</x:f>
      </x:c>
      <x:c r="Z991" s="2" t="str">
        <x:f>IF(B991="","",IF(I991&lt;&gt;"READY","",IF(OR(NOT(AND(J991="PASS",'Calibrare_Linii'!U11="VALID")),L991&gt;'Config_v6'!$B$13,W991="WATCH"),5,IF(Y991="PASS",1,MIN(5,MAX('Config_v6'!$B$42,U991)+IF(W991="PENALTY",1,0))))))</x:f>
      </x:c>
      <x:c r="AA991" s="2" t="str">
        <x:f>IF(B991="","",IF(I991&lt;&gt;"READY","NOT RELEASED",IF(Z991=5,"NO BET",IF(OR(AB991&lt;'Config_v6'!$B$16,V991&lt;'Config_v6'!$B$18),"WATCH",IF(Z991=1,"DEFENSIV",IF(Z991=2,"PRUDENT",IF(Z991=3,"MODERAT","RIDICAT")))))))</x:f>
      </x:c>
      <x:c r="AB991" s="10" t="str">
        <x:f>IF(N991="","",MIN(N991,1-S991))</x:f>
      </x:c>
      <x:c r="AC991" s="2" t="str">
        <x:f>IF(AD991&lt;&gt;1,"",COUNTIFS($Z$986:$Z$999,"&lt;"&amp;Z991,$AD$986:$AD$999,1)+COUNTIFS($Z$986:$Z$999,Z991,$AB$986:$AB$999,"&gt;"&amp;AB991,$AD$986:$AD$999,1)+COUNTIFS($Z$986:$Z$999,Z991,$AB$986:$AB$999,AB991,$V$986:$V$999,"&gt;"&amp;V991,$AD$986:$AD$999,1)+COUNTIFS($Z$986:Z991,Z991,$AB$986:AB991,AB991,$V$986:V991,V991,$AD$986:AD991,1))</x:f>
      </x:c>
      <x:c r="AD991" s="2" t="n">
        <x:f>IF(OR(AA991="DEFENSIV",AA991="PRUDENT",AA991="MODERAT",AA991="RIDICAT"),1,0)</x:f>
        <x:v>0</x:v>
      </x:c>
      <x:c r="AE991" s="2" t="str">
        <x:f>IF(AD991&lt;&gt;1,"NO",IF(W991="PASS","YES",IF(W991="OOS PENDING","CONDITIONAL","NO")))</x:f>
        <x:v>NO</x:v>
      </x:c>
      <x:c r="AF991" s="2" t="n">
        <x:f>IF(AND(AD991=1,AC991=1,E991="LIVE"),1,0)</x:f>
        <x:v>0</x:v>
      </x:c>
      <x:c r="AG991" s="2" t="str">
        <x:f>IF(AF991&lt;&gt;1,"",'Dashboard'!P96)</x:f>
      </x:c>
      <x:c r="AH991" s="2" t="str">
        <x:f>IF(B991="","",IF(J991&lt;&gt;"PASS",'Motor_Meciuri'!J76,IF('Calibrare_Linii'!U11&lt;&gt;"VALID","Parametri linie invalizi",IF(L991&gt;'Config_v6'!$B$13,"Dispersie peste limita",IF(W991="WATCH","Failure peste limita",IF(AB991&lt;'Config_v6'!$B$16,"P finala sub prag",IF(V991&lt;'Config_v6'!$B$18,"Confidence sub prag",IF(E991="REPLAY","Exemplu retrospectiv; exclus din Top LIVE",IF(Y991="PASS","DEFENSIV validat",IF(W991="OOS PENDING","Eligibil; calibrare linie in monitorizare","Eligibil"))))))))))</x:f>
      </x:c>
      <x:c r="AI991" s="2" t="str">
        <x:f>IF(B991="","",'Calibrare_Linii'!V11)</x:f>
      </x:c>
      <x:c r="AJ991" s="2" t="str">
        <x:f>IF(B991="","",IF(AND('Calibrare_Linii'!T11="VALIDATED",AND('Calibrare_Linii'!H11=C991,ISNUMBER('Calibrare_Linii'!J11),'Calibrare_Linii'!J11&lt;='Input_Meci'!G76)),"DEFENSIVE VALIDATED",IF(AND('Calibrare_Linii'!S11="VALIDATED",AND('Calibrare_Linii'!H11=C991,ISNUMBER('Calibrare_Linii'!J11),'Calibrare_Linii'!J11&lt;='Input_Meci'!G76)),"TAIL VALIDATED","OOS PENDING")))</x:f>
      </x:c>
      <x:c r="AK991" s="2" t="n">
        <x:f>IF(J991&lt;&gt;"PASS",0,'Motor_Meciuri'!BR76)</x:f>
        <x:v>0</x:v>
      </x:c>
      <x:c r="AL991" s="2" t="n">
        <x:f>IF(J991&lt;&gt;"PASS",0,'Motor_Meciuri'!BS76)</x:f>
        <x:v>0</x:v>
      </x:c>
      <x:c r="AM991" s="2" t="n">
        <x:f>IF(J991&lt;&gt;"PASS",0,'Motor_Meciuri'!BT76)</x:f>
        <x:v>0</x:v>
      </x:c>
      <x:c r="AN991" s="2" t="str">
        <x:f>IF(M991="","",MAX(0,'Motor_Meciuri'!BF76-IF(L991&gt;'Config_v6'!$B$12,'Config_v6'!$B$37,IF(L991&gt;'Config_v6'!$B$11,'Config_v6'!$B$36,0))))</x:f>
      </x:c>
    </x:row>
    <x:row r="992" ht="21" customHeight="1">
      <x:c r="A992" s="2" t="n">
        <x:v>71</x:v>
      </x:c>
      <x:c r="B992" s="2" t="str">
        <x:f>IF('Motor_Meciuri'!A76="","",'Motor_Meciuri'!A76)</x:f>
      </x:c>
      <x:c r="C992" s="2" t="str">
        <x:f>IF(B992="","",'Motor_Meciuri'!B76)</x:f>
      </x:c>
      <x:c r="D992" s="2" t="str">
        <x:f>IF(B992="","",'Motor_Meciuri'!D76)</x:f>
      </x:c>
      <x:c r="E992" s="2" t="str">
        <x:f>IF(B992="","",'Motor_Meciuri'!E76)</x:f>
      </x:c>
      <x:c r="F992" s="2" t="str">
        <x:v>U10,5</x:v>
      </x:c>
      <x:c r="G992" s="2" t="str">
        <x:v>UNDER</x:v>
      </x:c>
      <x:c r="H992" s="2" t="n">
        <x:v>10</x:v>
      </x:c>
      <x:c r="I992" s="2" t="str">
        <x:f>IF(B992="","",'Motor_Meciuri'!H76)</x:f>
      </x:c>
      <x:c r="J992" s="2" t="str">
        <x:f>IF(B992="","",'Motor_Meciuri'!I76)</x:f>
      </x:c>
      <x:c r="K992" s="11" t="str">
        <x:f>IF(J992&lt;&gt;"PASS","",'Motor_Meciuri'!BD76)</x:f>
      </x:c>
      <x:c r="L992" s="11" t="str">
        <x:f>IF(J992&lt;&gt;"PASS","",'Motor_Meciuri'!AU76)</x:f>
      </x:c>
      <x:c r="M992" s="10" t="str">
        <x:f>IF(NOT(AND(J992="PASS",'Calibrare_Linii'!U12="VALID")),"",'Distributie'!AH76)</x:f>
      </x:c>
      <x:c r="N992" s="10" t="str">
        <x:f>IF(M992="","",MAX(0.01,MIN(0.99,0.5+(M992-0.5)*'Motor_Meciuri'!BG76*'Calibrare_Linii'!D12)))</x:f>
      </x:c>
      <x:c r="O992" s="10" t="str">
        <x:f>IF(M992="","",1-M992)</x:f>
      </x:c>
      <x:c r="P992" s="10" t="str">
        <x:f>IF(OR(NOT(AND(J992="PASS",'Calibrare_Linii'!U12="VALID")),AK992=0),""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*('Istoric_Nativ'!$Q$6:$Q$405&gt;H992))/AK992)</x:f>
      </x:c>
      <x:c r="Q992" s="10" t="str">
        <x:f>IF(OR(NOT(AND(J992="PASS",'Calibrare_Linii'!U12="VALID")),AL992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M76)+((('Istoric_Nativ'!$E$6:$E$405='Input_Meci'!E76)+('Istoric_Nativ'!$F$6:$F$405='Input_Meci'!E76))&gt;0)*('Istoric_Nativ'!$D$6:$D$405&gt;='Motor_Meciuri'!BN76))&gt;0)*('Istoric_Nativ'!$Q$6:$Q$405&gt;H992))/AL992)</x:f>
      </x:c>
      <x:c r="R992" s="10" t="str">
        <x:f>IF(OR(NOT(AND(J992="PASS",'Calibrare_Linii'!U12="VALID")),AM992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O76)+((('Istoric_Nativ'!$E$6:$E$405='Input_Meci'!E76)+('Istoric_Nativ'!$F$6:$F$405='Input_Meci'!E76))&gt;0)*('Istoric_Nativ'!$D$6:$D$405&gt;='Motor_Meciuri'!BP76))&gt;0)*('Istoric_Nativ'!$Q$6:$Q$405&gt;H992))/AM992)</x:f>
      </x:c>
      <x:c r="S992" s="10" t="str">
        <x:f>IF(M992="","",MAX(O992,P992,Q992,R992))</x:f>
      </x:c>
      <x:c r="T992" s="11" t="str">
        <x:f>IF(M992="","",MIN(100,S992*100*'Config_v6'!$B$44+MIN(100,L992/'Config_v6'!$B$13*100)*'Config_v6'!$B$45+(100-'Motor_Meciuri'!BF76)*'Config_v6'!$B$46+'Motor_Meciuri'!BH76*100*'Config_v6'!$B$47))</x:f>
      </x:c>
      <x:c r="U992" s="2" t="str">
        <x:f>IF(T992="","",IF(T992&lt;=20,1,IF(T992&lt;=40,2,IF(T992&lt;=60,3,IF(T992&lt;=80,4,5)))))</x:f>
      </x:c>
      <x:c r="V992" s="2" t="str">
        <x:f>IF(M992="","",MAX(0,'Motor_Meciuri'!BF76-IF(W992="OOS PENDING",'Config_v6'!$B$35,0)-IF(L992&gt;'Config_v6'!$B$12,'Config_v6'!$B$37,IF(L992&gt;'Config_v6'!$B$11,'Config_v6'!$B$36,0))))</x:f>
      </x:c>
      <x:c r="W992" s="2" t="str">
        <x:f>IF(B992="","",IF(I992&lt;&gt;"READY","NOT RELEASED",IF(NOT(AND(J992="PASS",'Calibrare_Linii'!U12="VALID")),"INVALID",IF(NOT(AND('Calibrare_Linii'!S12="VALIDATED",AND('Calibrare_Linii'!H12=C992,ISNUMBER('Calibrare_Linii'!J12),'Calibrare_Linii'!J12&lt;='Input_Meci'!G76))),"OOS PENDING",IF(S992&lt;='Calibrare_Linii'!E12,"PASS",IF(S992&lt;='Calibrare_Linii'!F12,"PENALTY","WATCH"))))))</x:f>
      </x:c>
      <x:c r="X992" s="2" t="str">
        <x:f>IF(M992="","",IF(AND(AND(J992="PASS",'Calibrare_Linii'!U12="VALID"),'Motor_Meciuri'!K76=12,'Motor_Meciuri'!L76=12,'Motor_Meciuri'!M76="NO",'Motor_Meciuri'!BL76='Motor_Meciuri'!C76,AB992&gt;='Config_v6'!$B$50,AN992&gt;='Config_v6'!$B$51,T992&lt;='Config_v6'!$B$52,L992&lt;='Config_v6'!$B$53,ISNUMBER('Calibrare_Linii'!E12),S992&lt;='Calibrare_Linii'!E12,SUM(AK992:AM992)&gt;0),"CANDIDATE","NO"))</x:f>
      </x:c>
      <x:c r="Y992" s="2" t="str">
        <x:f>IF(B992="","",IF(I992&lt;&gt;"READY","NOT RELEASED",IF(AND(X992="CANDIDATE",V992&gt;='Config_v6'!$B$51,W992="PASS",'Calibrare_Linii'!T12="VALIDATED",AND('Calibrare_Linii'!H12=C992,ISNUMBER('Calibrare_Linii'!J12),'Calibrare_Linii'!J12&lt;='Input_Meci'!G76)),"PASS",IF(X992="CANDIDATE","OOS PENDING","FAIL"))))</x:f>
      </x:c>
      <x:c r="Z992" s="2" t="str">
        <x:f>IF(B992="","",IF(I992&lt;&gt;"READY","",IF(OR(NOT(AND(J992="PASS",'Calibrare_Linii'!U12="VALID")),L992&gt;'Config_v6'!$B$13,W992="WATCH"),5,IF(Y992="PASS",1,MIN(5,MAX('Config_v6'!$B$42,U992)+IF(W992="PENALTY",1,0))))))</x:f>
      </x:c>
      <x:c r="AA992" s="2" t="str">
        <x:f>IF(B992="","",IF(I992&lt;&gt;"READY","NOT RELEASED",IF(Z992=5,"NO BET",IF(OR(AB992&lt;'Config_v6'!$B$16,V992&lt;'Config_v6'!$B$18),"WATCH",IF(Z992=1,"DEFENSIV",IF(Z992=2,"PRUDENT",IF(Z992=3,"MODERAT","RIDICAT")))))))</x:f>
      </x:c>
      <x:c r="AB992" s="10" t="str">
        <x:f>IF(N992="","",MIN(N992,1-S992))</x:f>
      </x:c>
      <x:c r="AC992" s="2" t="str">
        <x:f>IF(AD992&lt;&gt;1,"",COUNTIFS($Z$986:$Z$999,"&lt;"&amp;Z992,$AD$986:$AD$999,1)+COUNTIFS($Z$986:$Z$999,Z992,$AB$986:$AB$999,"&gt;"&amp;AB992,$AD$986:$AD$999,1)+COUNTIFS($Z$986:$Z$999,Z992,$AB$986:$AB$999,AB992,$V$986:$V$999,"&gt;"&amp;V992,$AD$986:$AD$999,1)+COUNTIFS($Z$986:Z992,Z992,$AB$986:AB992,AB992,$V$986:V992,V992,$AD$986:AD992,1))</x:f>
      </x:c>
      <x:c r="AD992" s="2" t="n">
        <x:f>IF(OR(AA992="DEFENSIV",AA992="PRUDENT",AA992="MODERAT",AA992="RIDICAT"),1,0)</x:f>
        <x:v>0</x:v>
      </x:c>
      <x:c r="AE992" s="2" t="str">
        <x:f>IF(AD992&lt;&gt;1,"NO",IF(W992="PASS","YES",IF(W992="OOS PENDING","CONDITIONAL","NO")))</x:f>
        <x:v>NO</x:v>
      </x:c>
      <x:c r="AF992" s="2" t="n">
        <x:f>IF(AND(AD992=1,AC992=1,E992="LIVE"),1,0)</x:f>
        <x:v>0</x:v>
      </x:c>
      <x:c r="AG992" s="2" t="str">
        <x:f>IF(AF992&lt;&gt;1,"",'Dashboard'!P96)</x:f>
      </x:c>
      <x:c r="AH992" s="2" t="str">
        <x:f>IF(B992="","",IF(J992&lt;&gt;"PASS",'Motor_Meciuri'!J76,IF('Calibrare_Linii'!U12&lt;&gt;"VALID","Parametri linie invalizi",IF(L992&gt;'Config_v6'!$B$13,"Dispersie peste limita",IF(W992="WATCH","Failure peste limita",IF(AB992&lt;'Config_v6'!$B$16,"P finala sub prag",IF(V992&lt;'Config_v6'!$B$18,"Confidence sub prag",IF(E992="REPLAY","Exemplu retrospectiv; exclus din Top LIVE",IF(Y992="PASS","DEFENSIV validat",IF(W992="OOS PENDING","Eligibil; calibrare linie in monitorizare","Eligibil"))))))))))</x:f>
      </x:c>
      <x:c r="AI992" s="2" t="str">
        <x:f>IF(B992="","",'Calibrare_Linii'!V12)</x:f>
      </x:c>
      <x:c r="AJ992" s="2" t="str">
        <x:f>IF(B992="","",IF(AND('Calibrare_Linii'!T12="VALIDATED",AND('Calibrare_Linii'!H12=C992,ISNUMBER('Calibrare_Linii'!J12),'Calibrare_Linii'!J12&lt;='Input_Meci'!G76)),"DEFENSIVE VALIDATED",IF(AND('Calibrare_Linii'!S12="VALIDATED",AND('Calibrare_Linii'!H12=C992,ISNUMBER('Calibrare_Linii'!J12),'Calibrare_Linii'!J12&lt;='Input_Meci'!G76)),"TAIL VALIDATED","OOS PENDING")))</x:f>
      </x:c>
      <x:c r="AK992" s="2" t="n">
        <x:f>IF(J992&lt;&gt;"PASS",0,'Motor_Meciuri'!BR76)</x:f>
        <x:v>0</x:v>
      </x:c>
      <x:c r="AL992" s="2" t="n">
        <x:f>IF(J992&lt;&gt;"PASS",0,'Motor_Meciuri'!BS76)</x:f>
        <x:v>0</x:v>
      </x:c>
      <x:c r="AM992" s="2" t="n">
        <x:f>IF(J992&lt;&gt;"PASS",0,'Motor_Meciuri'!BT76)</x:f>
        <x:v>0</x:v>
      </x:c>
      <x:c r="AN992" s="2" t="str">
        <x:f>IF(M992="","",MAX(0,'Motor_Meciuri'!BF76-IF(L992&gt;'Config_v6'!$B$12,'Config_v6'!$B$37,IF(L992&gt;'Config_v6'!$B$11,'Config_v6'!$B$36,0))))</x:f>
      </x:c>
    </x:row>
    <x:row r="993" ht="21" customHeight="1">
      <x:c r="A993" s="2" t="n">
        <x:v>71</x:v>
      </x:c>
      <x:c r="B993" s="2" t="str">
        <x:f>IF('Motor_Meciuri'!A76="","",'Motor_Meciuri'!A76)</x:f>
      </x:c>
      <x:c r="C993" s="2" t="str">
        <x:f>IF(B993="","",'Motor_Meciuri'!B76)</x:f>
      </x:c>
      <x:c r="D993" s="2" t="str">
        <x:f>IF(B993="","",'Motor_Meciuri'!D76)</x:f>
      </x:c>
      <x:c r="E993" s="2" t="str">
        <x:f>IF(B993="","",'Motor_Meciuri'!E76)</x:f>
      </x:c>
      <x:c r="F993" s="2" t="str">
        <x:v>U11,5</x:v>
      </x:c>
      <x:c r="G993" s="2" t="str">
        <x:v>UNDER</x:v>
      </x:c>
      <x:c r="H993" s="2" t="n">
        <x:v>11</x:v>
      </x:c>
      <x:c r="I993" s="2" t="str">
        <x:f>IF(B993="","",'Motor_Meciuri'!H76)</x:f>
      </x:c>
      <x:c r="J993" s="2" t="str">
        <x:f>IF(B993="","",'Motor_Meciuri'!I76)</x:f>
      </x:c>
      <x:c r="K993" s="11" t="str">
        <x:f>IF(J993&lt;&gt;"PASS","",'Motor_Meciuri'!BD76)</x:f>
      </x:c>
      <x:c r="L993" s="11" t="str">
        <x:f>IF(J993&lt;&gt;"PASS","",'Motor_Meciuri'!AU76)</x:f>
      </x:c>
      <x:c r="M993" s="10" t="str">
        <x:f>IF(NOT(AND(J993="PASS",'Calibrare_Linii'!U13="VALID")),"",'Distributie'!AI76)</x:f>
      </x:c>
      <x:c r="N993" s="10" t="str">
        <x:f>IF(M993="","",MAX(0.01,MIN(0.99,0.5+(M993-0.5)*'Motor_Meciuri'!BG76*'Calibrare_Linii'!D13)))</x:f>
      </x:c>
      <x:c r="O993" s="10" t="str">
        <x:f>IF(M993="","",1-M993)</x:f>
      </x:c>
      <x:c r="P993" s="10" t="str">
        <x:f>IF(OR(NOT(AND(J993="PASS",'Calibrare_Linii'!U13="VALID")),AK993=0),""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*('Istoric_Nativ'!$Q$6:$Q$405&gt;H993))/AK993)</x:f>
      </x:c>
      <x:c r="Q993" s="10" t="str">
        <x:f>IF(OR(NOT(AND(J993="PASS",'Calibrare_Linii'!U13="VALID")),AL993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M76)+((('Istoric_Nativ'!$E$6:$E$405='Input_Meci'!E76)+('Istoric_Nativ'!$F$6:$F$405='Input_Meci'!E76))&gt;0)*('Istoric_Nativ'!$D$6:$D$405&gt;='Motor_Meciuri'!BN76))&gt;0)*('Istoric_Nativ'!$Q$6:$Q$405&gt;H993))/AL993)</x:f>
      </x:c>
      <x:c r="R993" s="10" t="str">
        <x:f>IF(OR(NOT(AND(J993="PASS",'Calibrare_Linii'!U13="VALID")),AM993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O76)+((('Istoric_Nativ'!$E$6:$E$405='Input_Meci'!E76)+('Istoric_Nativ'!$F$6:$F$405='Input_Meci'!E76))&gt;0)*('Istoric_Nativ'!$D$6:$D$405&gt;='Motor_Meciuri'!BP76))&gt;0)*('Istoric_Nativ'!$Q$6:$Q$405&gt;H993))/AM993)</x:f>
      </x:c>
      <x:c r="S993" s="10" t="str">
        <x:f>IF(M993="","",MAX(O993,P993,Q993,R993))</x:f>
      </x:c>
      <x:c r="T993" s="11" t="str">
        <x:f>IF(M993="","",MIN(100,S993*100*'Config_v6'!$B$44+MIN(100,L993/'Config_v6'!$B$13*100)*'Config_v6'!$B$45+(100-'Motor_Meciuri'!BF76)*'Config_v6'!$B$46+'Motor_Meciuri'!BH76*100*'Config_v6'!$B$47))</x:f>
      </x:c>
      <x:c r="U993" s="2" t="str">
        <x:f>IF(T993="","",IF(T993&lt;=20,1,IF(T993&lt;=40,2,IF(T993&lt;=60,3,IF(T993&lt;=80,4,5)))))</x:f>
      </x:c>
      <x:c r="V993" s="2" t="str">
        <x:f>IF(M993="","",MAX(0,'Motor_Meciuri'!BF76-IF(W993="OOS PENDING",'Config_v6'!$B$35,0)-IF(L993&gt;'Config_v6'!$B$12,'Config_v6'!$B$37,IF(L993&gt;'Config_v6'!$B$11,'Config_v6'!$B$36,0))))</x:f>
      </x:c>
      <x:c r="W993" s="2" t="str">
        <x:f>IF(B993="","",IF(I993&lt;&gt;"READY","NOT RELEASED",IF(NOT(AND(J993="PASS",'Calibrare_Linii'!U13="VALID")),"INVALID",IF(NOT(AND('Calibrare_Linii'!S13="VALIDATED",AND('Calibrare_Linii'!H13=C993,ISNUMBER('Calibrare_Linii'!J13),'Calibrare_Linii'!J13&lt;='Input_Meci'!G76))),"OOS PENDING",IF(S993&lt;='Calibrare_Linii'!E13,"PASS",IF(S993&lt;='Calibrare_Linii'!F13,"PENALTY","WATCH"))))))</x:f>
      </x:c>
      <x:c r="X993" s="2" t="str">
        <x:f>IF(M993="","",IF(AND(AND(J993="PASS",'Calibrare_Linii'!U13="VALID"),'Motor_Meciuri'!K76=12,'Motor_Meciuri'!L76=12,'Motor_Meciuri'!M76="NO",'Motor_Meciuri'!BL76='Motor_Meciuri'!C76,AB993&gt;='Config_v6'!$B$50,AN993&gt;='Config_v6'!$B$51,T993&lt;='Config_v6'!$B$52,L993&lt;='Config_v6'!$B$53,ISNUMBER('Calibrare_Linii'!E13),S993&lt;='Calibrare_Linii'!E13,SUM(AK993:AM993)&gt;0),"CANDIDATE","NO"))</x:f>
      </x:c>
      <x:c r="Y993" s="2" t="str">
        <x:f>IF(B993="","",IF(I993&lt;&gt;"READY","NOT RELEASED",IF(AND(X993="CANDIDATE",V993&gt;='Config_v6'!$B$51,W993="PASS",'Calibrare_Linii'!T13="VALIDATED",AND('Calibrare_Linii'!H13=C993,ISNUMBER('Calibrare_Linii'!J13),'Calibrare_Linii'!J13&lt;='Input_Meci'!G76)),"PASS",IF(X993="CANDIDATE","OOS PENDING","FAIL"))))</x:f>
      </x:c>
      <x:c r="Z993" s="2" t="str">
        <x:f>IF(B993="","",IF(I993&lt;&gt;"READY","",IF(OR(NOT(AND(J993="PASS",'Calibrare_Linii'!U13="VALID")),L993&gt;'Config_v6'!$B$13,W993="WATCH"),5,IF(Y993="PASS",1,MIN(5,MAX('Config_v6'!$B$42,U993)+IF(W993="PENALTY",1,0))))))</x:f>
      </x:c>
      <x:c r="AA993" s="2" t="str">
        <x:f>IF(B993="","",IF(I993&lt;&gt;"READY","NOT RELEASED",IF(Z993=5,"NO BET",IF(OR(AB993&lt;'Config_v6'!$B$16,V993&lt;'Config_v6'!$B$18),"WATCH",IF(Z993=1,"DEFENSIV",IF(Z993=2,"PRUDENT",IF(Z993=3,"MODERAT","RIDICAT")))))))</x:f>
      </x:c>
      <x:c r="AB993" s="10" t="str">
        <x:f>IF(N993="","",MIN(N993,1-S993))</x:f>
      </x:c>
      <x:c r="AC993" s="2" t="str">
        <x:f>IF(AD993&lt;&gt;1,"",COUNTIFS($Z$986:$Z$999,"&lt;"&amp;Z993,$AD$986:$AD$999,1)+COUNTIFS($Z$986:$Z$999,Z993,$AB$986:$AB$999,"&gt;"&amp;AB993,$AD$986:$AD$999,1)+COUNTIFS($Z$986:$Z$999,Z993,$AB$986:$AB$999,AB993,$V$986:$V$999,"&gt;"&amp;V993,$AD$986:$AD$999,1)+COUNTIFS($Z$986:Z993,Z993,$AB$986:AB993,AB993,$V$986:V993,V993,$AD$986:AD993,1))</x:f>
      </x:c>
      <x:c r="AD993" s="2" t="n">
        <x:f>IF(OR(AA993="DEFENSIV",AA993="PRUDENT",AA993="MODERAT",AA993="RIDICAT"),1,0)</x:f>
        <x:v>0</x:v>
      </x:c>
      <x:c r="AE993" s="2" t="str">
        <x:f>IF(AD993&lt;&gt;1,"NO",IF(W993="PASS","YES",IF(W993="OOS PENDING","CONDITIONAL","NO")))</x:f>
        <x:v>NO</x:v>
      </x:c>
      <x:c r="AF993" s="2" t="n">
        <x:f>IF(AND(AD993=1,AC993=1,E993="LIVE"),1,0)</x:f>
        <x:v>0</x:v>
      </x:c>
      <x:c r="AG993" s="2" t="str">
        <x:f>IF(AF993&lt;&gt;1,"",'Dashboard'!P96)</x:f>
      </x:c>
      <x:c r="AH993" s="2" t="str">
        <x:f>IF(B993="","",IF(J993&lt;&gt;"PASS",'Motor_Meciuri'!J76,IF('Calibrare_Linii'!U13&lt;&gt;"VALID","Parametri linie invalizi",IF(L993&gt;'Config_v6'!$B$13,"Dispersie peste limita",IF(W993="WATCH","Failure peste limita",IF(AB993&lt;'Config_v6'!$B$16,"P finala sub prag",IF(V993&lt;'Config_v6'!$B$18,"Confidence sub prag",IF(E993="REPLAY","Exemplu retrospectiv; exclus din Top LIVE",IF(Y993="PASS","DEFENSIV validat",IF(W993="OOS PENDING","Eligibil; calibrare linie in monitorizare","Eligibil"))))))))))</x:f>
      </x:c>
      <x:c r="AI993" s="2" t="str">
        <x:f>IF(B993="","",'Calibrare_Linii'!V13)</x:f>
      </x:c>
      <x:c r="AJ993" s="2" t="str">
        <x:f>IF(B993="","",IF(AND('Calibrare_Linii'!T13="VALIDATED",AND('Calibrare_Linii'!H13=C993,ISNUMBER('Calibrare_Linii'!J13),'Calibrare_Linii'!J13&lt;='Input_Meci'!G76)),"DEFENSIVE VALIDATED",IF(AND('Calibrare_Linii'!S13="VALIDATED",AND('Calibrare_Linii'!H13=C993,ISNUMBER('Calibrare_Linii'!J13),'Calibrare_Linii'!J13&lt;='Input_Meci'!G76)),"TAIL VALIDATED","OOS PENDING")))</x:f>
      </x:c>
      <x:c r="AK993" s="2" t="n">
        <x:f>IF(J993&lt;&gt;"PASS",0,'Motor_Meciuri'!BR76)</x:f>
        <x:v>0</x:v>
      </x:c>
      <x:c r="AL993" s="2" t="n">
        <x:f>IF(J993&lt;&gt;"PASS",0,'Motor_Meciuri'!BS76)</x:f>
        <x:v>0</x:v>
      </x:c>
      <x:c r="AM993" s="2" t="n">
        <x:f>IF(J993&lt;&gt;"PASS",0,'Motor_Meciuri'!BT76)</x:f>
        <x:v>0</x:v>
      </x:c>
      <x:c r="AN993" s="2" t="str">
        <x:f>IF(M993="","",MAX(0,'Motor_Meciuri'!BF76-IF(L993&gt;'Config_v6'!$B$12,'Config_v6'!$B$37,IF(L993&gt;'Config_v6'!$B$11,'Config_v6'!$B$36,0))))</x:f>
      </x:c>
    </x:row>
    <x:row r="994" ht="21" customHeight="1">
      <x:c r="A994" s="2" t="n">
        <x:v>71</x:v>
      </x:c>
      <x:c r="B994" s="2" t="str">
        <x:f>IF('Motor_Meciuri'!A76="","",'Motor_Meciuri'!A76)</x:f>
      </x:c>
      <x:c r="C994" s="2" t="str">
        <x:f>IF(B994="","",'Motor_Meciuri'!B76)</x:f>
      </x:c>
      <x:c r="D994" s="2" t="str">
        <x:f>IF(B994="","",'Motor_Meciuri'!D76)</x:f>
      </x:c>
      <x:c r="E994" s="2" t="str">
        <x:f>IF(B994="","",'Motor_Meciuri'!E76)</x:f>
      </x:c>
      <x:c r="F994" s="2" t="str">
        <x:v>U12,5</x:v>
      </x:c>
      <x:c r="G994" s="2" t="str">
        <x:v>UNDER</x:v>
      </x:c>
      <x:c r="H994" s="2" t="n">
        <x:v>12</x:v>
      </x:c>
      <x:c r="I994" s="2" t="str">
        <x:f>IF(B994="","",'Motor_Meciuri'!H76)</x:f>
      </x:c>
      <x:c r="J994" s="2" t="str">
        <x:f>IF(B994="","",'Motor_Meciuri'!I76)</x:f>
      </x:c>
      <x:c r="K994" s="11" t="str">
        <x:f>IF(J994&lt;&gt;"PASS","",'Motor_Meciuri'!BD76)</x:f>
      </x:c>
      <x:c r="L994" s="11" t="str">
        <x:f>IF(J994&lt;&gt;"PASS","",'Motor_Meciuri'!AU76)</x:f>
      </x:c>
      <x:c r="M994" s="10" t="str">
        <x:f>IF(NOT(AND(J994="PASS",'Calibrare_Linii'!U14="VALID")),"",'Distributie'!AJ76)</x:f>
      </x:c>
      <x:c r="N994" s="10" t="str">
        <x:f>IF(M994="","",MAX(0.01,MIN(0.99,0.5+(M994-0.5)*'Motor_Meciuri'!BG76*'Calibrare_Linii'!D14)))</x:f>
      </x:c>
      <x:c r="O994" s="10" t="str">
        <x:f>IF(M994="","",1-M994)</x:f>
      </x:c>
      <x:c r="P994" s="10" t="str">
        <x:f>IF(OR(NOT(AND(J994="PASS",'Calibrare_Linii'!U14="VALID")),AK994=0),""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*('Istoric_Nativ'!$Q$6:$Q$405&gt;H994))/AK994)</x:f>
      </x:c>
      <x:c r="Q994" s="10" t="str">
        <x:f>IF(OR(NOT(AND(J994="PASS",'Calibrare_Linii'!U14="VALID")),AL994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M76)+((('Istoric_Nativ'!$E$6:$E$405='Input_Meci'!E76)+('Istoric_Nativ'!$F$6:$F$405='Input_Meci'!E76))&gt;0)*('Istoric_Nativ'!$D$6:$D$405&gt;='Motor_Meciuri'!BN76))&gt;0)*('Istoric_Nativ'!$Q$6:$Q$405&gt;H994))/AL994)</x:f>
      </x:c>
      <x:c r="R994" s="10" t="str">
        <x:f>IF(OR(NOT(AND(J994="PASS",'Calibrare_Linii'!U14="VALID")),AM994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O76)+((('Istoric_Nativ'!$E$6:$E$405='Input_Meci'!E76)+('Istoric_Nativ'!$F$6:$F$405='Input_Meci'!E76))&gt;0)*('Istoric_Nativ'!$D$6:$D$405&gt;='Motor_Meciuri'!BP76))&gt;0)*('Istoric_Nativ'!$Q$6:$Q$405&gt;H994))/AM994)</x:f>
      </x:c>
      <x:c r="S994" s="10" t="str">
        <x:f>IF(M994="","",MAX(O994,P994,Q994,R994))</x:f>
      </x:c>
      <x:c r="T994" s="11" t="str">
        <x:f>IF(M994="","",MIN(100,S994*100*'Config_v6'!$B$44+MIN(100,L994/'Config_v6'!$B$13*100)*'Config_v6'!$B$45+(100-'Motor_Meciuri'!BF76)*'Config_v6'!$B$46+'Motor_Meciuri'!BH76*100*'Config_v6'!$B$47))</x:f>
      </x:c>
      <x:c r="U994" s="2" t="str">
        <x:f>IF(T994="","",IF(T994&lt;=20,1,IF(T994&lt;=40,2,IF(T994&lt;=60,3,IF(T994&lt;=80,4,5)))))</x:f>
      </x:c>
      <x:c r="V994" s="2" t="str">
        <x:f>IF(M994="","",MAX(0,'Motor_Meciuri'!BF76-IF(W994="OOS PENDING",'Config_v6'!$B$35,0)-IF(L994&gt;'Config_v6'!$B$12,'Config_v6'!$B$37,IF(L994&gt;'Config_v6'!$B$11,'Config_v6'!$B$36,0))))</x:f>
      </x:c>
      <x:c r="W994" s="2" t="str">
        <x:f>IF(B994="","",IF(I994&lt;&gt;"READY","NOT RELEASED",IF(NOT(AND(J994="PASS",'Calibrare_Linii'!U14="VALID")),"INVALID",IF(NOT(AND('Calibrare_Linii'!S14="VALIDATED",AND('Calibrare_Linii'!H14=C994,ISNUMBER('Calibrare_Linii'!J14),'Calibrare_Linii'!J14&lt;='Input_Meci'!G76))),"OOS PENDING",IF(S994&lt;='Calibrare_Linii'!E14,"PASS",IF(S994&lt;='Calibrare_Linii'!F14,"PENALTY","WATCH"))))))</x:f>
      </x:c>
      <x:c r="X994" s="2" t="str">
        <x:f>IF(M994="","",IF(AND(AND(J994="PASS",'Calibrare_Linii'!U14="VALID"),'Motor_Meciuri'!K76=12,'Motor_Meciuri'!L76=12,'Motor_Meciuri'!M76="NO",'Motor_Meciuri'!BL76='Motor_Meciuri'!C76,AB994&gt;='Config_v6'!$B$50,AN994&gt;='Config_v6'!$B$51,T994&lt;='Config_v6'!$B$52,L994&lt;='Config_v6'!$B$53,ISNUMBER('Calibrare_Linii'!E14),S994&lt;='Calibrare_Linii'!E14,SUM(AK994:AM994)&gt;0),"CANDIDATE","NO"))</x:f>
      </x:c>
      <x:c r="Y994" s="2" t="str">
        <x:f>IF(B994="","",IF(I994&lt;&gt;"READY","NOT RELEASED",IF(AND(X994="CANDIDATE",V994&gt;='Config_v6'!$B$51,W994="PASS",'Calibrare_Linii'!T14="VALIDATED",AND('Calibrare_Linii'!H14=C994,ISNUMBER('Calibrare_Linii'!J14),'Calibrare_Linii'!J14&lt;='Input_Meci'!G76)),"PASS",IF(X994="CANDIDATE","OOS PENDING","FAIL"))))</x:f>
      </x:c>
      <x:c r="Z994" s="2" t="str">
        <x:f>IF(B994="","",IF(I994&lt;&gt;"READY","",IF(OR(NOT(AND(J994="PASS",'Calibrare_Linii'!U14="VALID")),L994&gt;'Config_v6'!$B$13,W994="WATCH"),5,IF(Y994="PASS",1,MIN(5,MAX('Config_v6'!$B$42,U994)+IF(W994="PENALTY",1,0))))))</x:f>
      </x:c>
      <x:c r="AA994" s="2" t="str">
        <x:f>IF(B994="","",IF(I994&lt;&gt;"READY","NOT RELEASED",IF(Z994=5,"NO BET",IF(OR(AB994&lt;'Config_v6'!$B$16,V994&lt;'Config_v6'!$B$18),"WATCH",IF(Z994=1,"DEFENSIV",IF(Z994=2,"PRUDENT",IF(Z994=3,"MODERAT","RIDICAT")))))))</x:f>
      </x:c>
      <x:c r="AB994" s="10" t="str">
        <x:f>IF(N994="","",MIN(N994,1-S994))</x:f>
      </x:c>
      <x:c r="AC994" s="2" t="str">
        <x:f>IF(AD994&lt;&gt;1,"",COUNTIFS($Z$986:$Z$999,"&lt;"&amp;Z994,$AD$986:$AD$999,1)+COUNTIFS($Z$986:$Z$999,Z994,$AB$986:$AB$999,"&gt;"&amp;AB994,$AD$986:$AD$999,1)+COUNTIFS($Z$986:$Z$999,Z994,$AB$986:$AB$999,AB994,$V$986:$V$999,"&gt;"&amp;V994,$AD$986:$AD$999,1)+COUNTIFS($Z$986:Z994,Z994,$AB$986:AB994,AB994,$V$986:V994,V994,$AD$986:AD994,1))</x:f>
      </x:c>
      <x:c r="AD994" s="2" t="n">
        <x:f>IF(OR(AA994="DEFENSIV",AA994="PRUDENT",AA994="MODERAT",AA994="RIDICAT"),1,0)</x:f>
        <x:v>0</x:v>
      </x:c>
      <x:c r="AE994" s="2" t="str">
        <x:f>IF(AD994&lt;&gt;1,"NO",IF(W994="PASS","YES",IF(W994="OOS PENDING","CONDITIONAL","NO")))</x:f>
        <x:v>NO</x:v>
      </x:c>
      <x:c r="AF994" s="2" t="n">
        <x:f>IF(AND(AD994=1,AC994=1,E994="LIVE"),1,0)</x:f>
        <x:v>0</x:v>
      </x:c>
      <x:c r="AG994" s="2" t="str">
        <x:f>IF(AF994&lt;&gt;1,"",'Dashboard'!P96)</x:f>
      </x:c>
      <x:c r="AH994" s="2" t="str">
        <x:f>IF(B994="","",IF(J994&lt;&gt;"PASS",'Motor_Meciuri'!J76,IF('Calibrare_Linii'!U14&lt;&gt;"VALID","Parametri linie invalizi",IF(L994&gt;'Config_v6'!$B$13,"Dispersie peste limita",IF(W994="WATCH","Failure peste limita",IF(AB994&lt;'Config_v6'!$B$16,"P finala sub prag",IF(V994&lt;'Config_v6'!$B$18,"Confidence sub prag",IF(E994="REPLAY","Exemplu retrospectiv; exclus din Top LIVE",IF(Y994="PASS","DEFENSIV validat",IF(W994="OOS PENDING","Eligibil; calibrare linie in monitorizare","Eligibil"))))))))))</x:f>
      </x:c>
      <x:c r="AI994" s="2" t="str">
        <x:f>IF(B994="","",'Calibrare_Linii'!V14)</x:f>
      </x:c>
      <x:c r="AJ994" s="2" t="str">
        <x:f>IF(B994="","",IF(AND('Calibrare_Linii'!T14="VALIDATED",AND('Calibrare_Linii'!H14=C994,ISNUMBER('Calibrare_Linii'!J14),'Calibrare_Linii'!J14&lt;='Input_Meci'!G76)),"DEFENSIVE VALIDATED",IF(AND('Calibrare_Linii'!S14="VALIDATED",AND('Calibrare_Linii'!H14=C994,ISNUMBER('Calibrare_Linii'!J14),'Calibrare_Linii'!J14&lt;='Input_Meci'!G76)),"TAIL VALIDATED","OOS PENDING")))</x:f>
      </x:c>
      <x:c r="AK994" s="2" t="n">
        <x:f>IF(J994&lt;&gt;"PASS",0,'Motor_Meciuri'!BR76)</x:f>
        <x:v>0</x:v>
      </x:c>
      <x:c r="AL994" s="2" t="n">
        <x:f>IF(J994&lt;&gt;"PASS",0,'Motor_Meciuri'!BS76)</x:f>
        <x:v>0</x:v>
      </x:c>
      <x:c r="AM994" s="2" t="n">
        <x:f>IF(J994&lt;&gt;"PASS",0,'Motor_Meciuri'!BT76)</x:f>
        <x:v>0</x:v>
      </x:c>
      <x:c r="AN994" s="2" t="str">
        <x:f>IF(M994="","",MAX(0,'Motor_Meciuri'!BF76-IF(L994&gt;'Config_v6'!$B$12,'Config_v6'!$B$37,IF(L994&gt;'Config_v6'!$B$11,'Config_v6'!$B$36,0))))</x:f>
      </x:c>
    </x:row>
    <x:row r="995" ht="21" customHeight="1">
      <x:c r="A995" s="2" t="n">
        <x:v>71</x:v>
      </x:c>
      <x:c r="B995" s="2" t="str">
        <x:f>IF('Motor_Meciuri'!A76="","",'Motor_Meciuri'!A76)</x:f>
      </x:c>
      <x:c r="C995" s="2" t="str">
        <x:f>IF(B995="","",'Motor_Meciuri'!B76)</x:f>
      </x:c>
      <x:c r="D995" s="2" t="str">
        <x:f>IF(B995="","",'Motor_Meciuri'!D76)</x:f>
      </x:c>
      <x:c r="E995" s="2" t="str">
        <x:f>IF(B995="","",'Motor_Meciuri'!E76)</x:f>
      </x:c>
      <x:c r="F995" s="2" t="str">
        <x:v>U13,5</x:v>
      </x:c>
      <x:c r="G995" s="2" t="str">
        <x:v>UNDER</x:v>
      </x:c>
      <x:c r="H995" s="2" t="n">
        <x:v>13</x:v>
      </x:c>
      <x:c r="I995" s="2" t="str">
        <x:f>IF(B995="","",'Motor_Meciuri'!H76)</x:f>
      </x:c>
      <x:c r="J995" s="2" t="str">
        <x:f>IF(B995="","",'Motor_Meciuri'!I76)</x:f>
      </x:c>
      <x:c r="K995" s="11" t="str">
        <x:f>IF(J995&lt;&gt;"PASS","",'Motor_Meciuri'!BD76)</x:f>
      </x:c>
      <x:c r="L995" s="11" t="str">
        <x:f>IF(J995&lt;&gt;"PASS","",'Motor_Meciuri'!AU76)</x:f>
      </x:c>
      <x:c r="M995" s="10" t="str">
        <x:f>IF(NOT(AND(J995="PASS",'Calibrare_Linii'!U15="VALID")),"",'Distributie'!AK76)</x:f>
      </x:c>
      <x:c r="N995" s="10" t="str">
        <x:f>IF(M995="","",MAX(0.01,MIN(0.99,0.5+(M995-0.5)*'Motor_Meciuri'!BG76*'Calibrare_Linii'!D15)))</x:f>
      </x:c>
      <x:c r="O995" s="10" t="str">
        <x:f>IF(M995="","",1-M995)</x:f>
      </x:c>
      <x:c r="P995" s="10" t="str">
        <x:f>IF(OR(NOT(AND(J995="PASS",'Calibrare_Linii'!U15="VALID")),AK995=0),""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*('Istoric_Nativ'!$Q$6:$Q$405&gt;H995))/AK995)</x:f>
      </x:c>
      <x:c r="Q995" s="10" t="str">
        <x:f>IF(OR(NOT(AND(J995="PASS",'Calibrare_Linii'!U15="VALID")),AL995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M76)+((('Istoric_Nativ'!$E$6:$E$405='Input_Meci'!E76)+('Istoric_Nativ'!$F$6:$F$405='Input_Meci'!E76))&gt;0)*('Istoric_Nativ'!$D$6:$D$405&gt;='Motor_Meciuri'!BN76))&gt;0)*('Istoric_Nativ'!$Q$6:$Q$405&gt;H995))/AL995)</x:f>
      </x:c>
      <x:c r="R995" s="10" t="str">
        <x:f>IF(OR(NOT(AND(J995="PASS",'Calibrare_Linii'!U15="VALID")),AM995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O76)+((('Istoric_Nativ'!$E$6:$E$405='Input_Meci'!E76)+('Istoric_Nativ'!$F$6:$F$405='Input_Meci'!E76))&gt;0)*('Istoric_Nativ'!$D$6:$D$405&gt;='Motor_Meciuri'!BP76))&gt;0)*('Istoric_Nativ'!$Q$6:$Q$405&gt;H995))/AM995)</x:f>
      </x:c>
      <x:c r="S995" s="10" t="str">
        <x:f>IF(M995="","",MAX(O995,P995,Q995,R995))</x:f>
      </x:c>
      <x:c r="T995" s="11" t="str">
        <x:f>IF(M995="","",MIN(100,S995*100*'Config_v6'!$B$44+MIN(100,L995/'Config_v6'!$B$13*100)*'Config_v6'!$B$45+(100-'Motor_Meciuri'!BF76)*'Config_v6'!$B$46+'Motor_Meciuri'!BH76*100*'Config_v6'!$B$47))</x:f>
      </x:c>
      <x:c r="U995" s="2" t="str">
        <x:f>IF(T995="","",IF(T995&lt;=20,1,IF(T995&lt;=40,2,IF(T995&lt;=60,3,IF(T995&lt;=80,4,5)))))</x:f>
      </x:c>
      <x:c r="V995" s="2" t="str">
        <x:f>IF(M995="","",MAX(0,'Motor_Meciuri'!BF76-IF(W995="OOS PENDING",'Config_v6'!$B$35,0)-IF(L995&gt;'Config_v6'!$B$12,'Config_v6'!$B$37,IF(L995&gt;'Config_v6'!$B$11,'Config_v6'!$B$36,0))))</x:f>
      </x:c>
      <x:c r="W995" s="2" t="str">
        <x:f>IF(B995="","",IF(I995&lt;&gt;"READY","NOT RELEASED",IF(NOT(AND(J995="PASS",'Calibrare_Linii'!U15="VALID")),"INVALID",IF(NOT(AND('Calibrare_Linii'!S15="VALIDATED",AND('Calibrare_Linii'!H15=C995,ISNUMBER('Calibrare_Linii'!J15),'Calibrare_Linii'!J15&lt;='Input_Meci'!G76))),"OOS PENDING",IF(S995&lt;='Calibrare_Linii'!E15,"PASS",IF(S995&lt;='Calibrare_Linii'!F15,"PENALTY","WATCH"))))))</x:f>
      </x:c>
      <x:c r="X995" s="2" t="str">
        <x:f>IF(M995="","",IF(AND(AND(J995="PASS",'Calibrare_Linii'!U15="VALID"),'Motor_Meciuri'!K76=12,'Motor_Meciuri'!L76=12,'Motor_Meciuri'!M76="NO",'Motor_Meciuri'!BL76='Motor_Meciuri'!C76,AB995&gt;='Config_v6'!$B$50,AN995&gt;='Config_v6'!$B$51,T995&lt;='Config_v6'!$B$52,L995&lt;='Config_v6'!$B$53,ISNUMBER('Calibrare_Linii'!E15),S995&lt;='Calibrare_Linii'!E15,SUM(AK995:AM995)&gt;0),"CANDIDATE","NO"))</x:f>
      </x:c>
      <x:c r="Y995" s="2" t="str">
        <x:f>IF(B995="","",IF(I995&lt;&gt;"READY","NOT RELEASED",IF(AND(X995="CANDIDATE",V995&gt;='Config_v6'!$B$51,W995="PASS",'Calibrare_Linii'!T15="VALIDATED",AND('Calibrare_Linii'!H15=C995,ISNUMBER('Calibrare_Linii'!J15),'Calibrare_Linii'!J15&lt;='Input_Meci'!G76)),"PASS",IF(X995="CANDIDATE","OOS PENDING","FAIL"))))</x:f>
      </x:c>
      <x:c r="Z995" s="2" t="str">
        <x:f>IF(B995="","",IF(I995&lt;&gt;"READY","",IF(OR(NOT(AND(J995="PASS",'Calibrare_Linii'!U15="VALID")),L995&gt;'Config_v6'!$B$13,W995="WATCH"),5,IF(Y995="PASS",1,MIN(5,MAX('Config_v6'!$B$42,U995)+IF(W995="PENALTY",1,0))))))</x:f>
      </x:c>
      <x:c r="AA995" s="2" t="str">
        <x:f>IF(B995="","",IF(I995&lt;&gt;"READY","NOT RELEASED",IF(Z995=5,"NO BET",IF(OR(AB995&lt;'Config_v6'!$B$16,V995&lt;'Config_v6'!$B$18),"WATCH",IF(Z995=1,"DEFENSIV",IF(Z995=2,"PRUDENT",IF(Z995=3,"MODERAT","RIDICAT")))))))</x:f>
      </x:c>
      <x:c r="AB995" s="10" t="str">
        <x:f>IF(N995="","",MIN(N995,1-S995))</x:f>
      </x:c>
      <x:c r="AC995" s="2" t="str">
        <x:f>IF(AD995&lt;&gt;1,"",COUNTIFS($Z$986:$Z$999,"&lt;"&amp;Z995,$AD$986:$AD$999,1)+COUNTIFS($Z$986:$Z$999,Z995,$AB$986:$AB$999,"&gt;"&amp;AB995,$AD$986:$AD$999,1)+COUNTIFS($Z$986:$Z$999,Z995,$AB$986:$AB$999,AB995,$V$986:$V$999,"&gt;"&amp;V995,$AD$986:$AD$999,1)+COUNTIFS($Z$986:Z995,Z995,$AB$986:AB995,AB995,$V$986:V995,V995,$AD$986:AD995,1))</x:f>
      </x:c>
      <x:c r="AD995" s="2" t="n">
        <x:f>IF(OR(AA995="DEFENSIV",AA995="PRUDENT",AA995="MODERAT",AA995="RIDICAT"),1,0)</x:f>
        <x:v>0</x:v>
      </x:c>
      <x:c r="AE995" s="2" t="str">
        <x:f>IF(AD995&lt;&gt;1,"NO",IF(W995="PASS","YES",IF(W995="OOS PENDING","CONDITIONAL","NO")))</x:f>
        <x:v>NO</x:v>
      </x:c>
      <x:c r="AF995" s="2" t="n">
        <x:f>IF(AND(AD995=1,AC995=1,E995="LIVE"),1,0)</x:f>
        <x:v>0</x:v>
      </x:c>
      <x:c r="AG995" s="2" t="str">
        <x:f>IF(AF995&lt;&gt;1,"",'Dashboard'!P96)</x:f>
      </x:c>
      <x:c r="AH995" s="2" t="str">
        <x:f>IF(B995="","",IF(J995&lt;&gt;"PASS",'Motor_Meciuri'!J76,IF('Calibrare_Linii'!U15&lt;&gt;"VALID","Parametri linie invalizi",IF(L995&gt;'Config_v6'!$B$13,"Dispersie peste limita",IF(W995="WATCH","Failure peste limita",IF(AB995&lt;'Config_v6'!$B$16,"P finala sub prag",IF(V995&lt;'Config_v6'!$B$18,"Confidence sub prag",IF(E995="REPLAY","Exemplu retrospectiv; exclus din Top LIVE",IF(Y995="PASS","DEFENSIV validat",IF(W995="OOS PENDING","Eligibil; calibrare linie in monitorizare","Eligibil"))))))))))</x:f>
      </x:c>
      <x:c r="AI995" s="2" t="str">
        <x:f>IF(B995="","",'Calibrare_Linii'!V15)</x:f>
      </x:c>
      <x:c r="AJ995" s="2" t="str">
        <x:f>IF(B995="","",IF(AND('Calibrare_Linii'!T15="VALIDATED",AND('Calibrare_Linii'!H15=C995,ISNUMBER('Calibrare_Linii'!J15),'Calibrare_Linii'!J15&lt;='Input_Meci'!G76)),"DEFENSIVE VALIDATED",IF(AND('Calibrare_Linii'!S15="VALIDATED",AND('Calibrare_Linii'!H15=C995,ISNUMBER('Calibrare_Linii'!J15),'Calibrare_Linii'!J15&lt;='Input_Meci'!G76)),"TAIL VALIDATED","OOS PENDING")))</x:f>
      </x:c>
      <x:c r="AK995" s="2" t="n">
        <x:f>IF(J995&lt;&gt;"PASS",0,'Motor_Meciuri'!BR76)</x:f>
        <x:v>0</x:v>
      </x:c>
      <x:c r="AL995" s="2" t="n">
        <x:f>IF(J995&lt;&gt;"PASS",0,'Motor_Meciuri'!BS76)</x:f>
        <x:v>0</x:v>
      </x:c>
      <x:c r="AM995" s="2" t="n">
        <x:f>IF(J995&lt;&gt;"PASS",0,'Motor_Meciuri'!BT76)</x:f>
        <x:v>0</x:v>
      </x:c>
      <x:c r="AN995" s="2" t="str">
        <x:f>IF(M995="","",MAX(0,'Motor_Meciuri'!BF76-IF(L995&gt;'Config_v6'!$B$12,'Config_v6'!$B$37,IF(L995&gt;'Config_v6'!$B$11,'Config_v6'!$B$36,0))))</x:f>
      </x:c>
    </x:row>
    <x:row r="996" ht="21" customHeight="1">
      <x:c r="A996" s="2" t="n">
        <x:v>71</x:v>
      </x:c>
      <x:c r="B996" s="2" t="str">
        <x:f>IF('Motor_Meciuri'!A76="","",'Motor_Meciuri'!A76)</x:f>
      </x:c>
      <x:c r="C996" s="2" t="str">
        <x:f>IF(B996="","",'Motor_Meciuri'!B76)</x:f>
      </x:c>
      <x:c r="D996" s="2" t="str">
        <x:f>IF(B996="","",'Motor_Meciuri'!D76)</x:f>
      </x:c>
      <x:c r="E996" s="2" t="str">
        <x:f>IF(B996="","",'Motor_Meciuri'!E76)</x:f>
      </x:c>
      <x:c r="F996" s="2" t="str">
        <x:v>U14,5</x:v>
      </x:c>
      <x:c r="G996" s="2" t="str">
        <x:v>UNDER</x:v>
      </x:c>
      <x:c r="H996" s="2" t="n">
        <x:v>14</x:v>
      </x:c>
      <x:c r="I996" s="2" t="str">
        <x:f>IF(B996="","",'Motor_Meciuri'!H76)</x:f>
      </x:c>
      <x:c r="J996" s="2" t="str">
        <x:f>IF(B996="","",'Motor_Meciuri'!I76)</x:f>
      </x:c>
      <x:c r="K996" s="11" t="str">
        <x:f>IF(J996&lt;&gt;"PASS","",'Motor_Meciuri'!BD76)</x:f>
      </x:c>
      <x:c r="L996" s="11" t="str">
        <x:f>IF(J996&lt;&gt;"PASS","",'Motor_Meciuri'!AU76)</x:f>
      </x:c>
      <x:c r="M996" s="10" t="str">
        <x:f>IF(NOT(AND(J996="PASS",'Calibrare_Linii'!U16="VALID")),"",'Distributie'!AL76)</x:f>
      </x:c>
      <x:c r="N996" s="10" t="str">
        <x:f>IF(M996="","",MAX(0.01,MIN(0.99,0.5+(M996-0.5)*'Motor_Meciuri'!BG76*'Calibrare_Linii'!D16)))</x:f>
      </x:c>
      <x:c r="O996" s="10" t="str">
        <x:f>IF(M996="","",1-M996)</x:f>
      </x:c>
      <x:c r="P996" s="10" t="str">
        <x:f>IF(OR(NOT(AND(J996="PASS",'Calibrare_Linii'!U16="VALID")),AK996=0),""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*('Istoric_Nativ'!$Q$6:$Q$405&gt;H996))/AK996)</x:f>
      </x:c>
      <x:c r="Q996" s="10" t="str">
        <x:f>IF(OR(NOT(AND(J996="PASS",'Calibrare_Linii'!U16="VALID")),AL996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M76)+((('Istoric_Nativ'!$E$6:$E$405='Input_Meci'!E76)+('Istoric_Nativ'!$F$6:$F$405='Input_Meci'!E76))&gt;0)*('Istoric_Nativ'!$D$6:$D$405&gt;='Motor_Meciuri'!BN76))&gt;0)*('Istoric_Nativ'!$Q$6:$Q$405&gt;H996))/AL996)</x:f>
      </x:c>
      <x:c r="R996" s="10" t="str">
        <x:f>IF(OR(NOT(AND(J996="PASS",'Calibrare_Linii'!U16="VALID")),AM996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O76)+((('Istoric_Nativ'!$E$6:$E$405='Input_Meci'!E76)+('Istoric_Nativ'!$F$6:$F$405='Input_Meci'!E76))&gt;0)*('Istoric_Nativ'!$D$6:$D$405&gt;='Motor_Meciuri'!BP76))&gt;0)*('Istoric_Nativ'!$Q$6:$Q$405&gt;H996))/AM996)</x:f>
      </x:c>
      <x:c r="S996" s="10" t="str">
        <x:f>IF(M996="","",MAX(O996,P996,Q996,R996))</x:f>
      </x:c>
      <x:c r="T996" s="11" t="str">
        <x:f>IF(M996="","",MIN(100,S996*100*'Config_v6'!$B$44+MIN(100,L996/'Config_v6'!$B$13*100)*'Config_v6'!$B$45+(100-'Motor_Meciuri'!BF76)*'Config_v6'!$B$46+'Motor_Meciuri'!BH76*100*'Config_v6'!$B$47))</x:f>
      </x:c>
      <x:c r="U996" s="2" t="str">
        <x:f>IF(T996="","",IF(T996&lt;=20,1,IF(T996&lt;=40,2,IF(T996&lt;=60,3,IF(T996&lt;=80,4,5)))))</x:f>
      </x:c>
      <x:c r="V996" s="2" t="str">
        <x:f>IF(M996="","",MAX(0,'Motor_Meciuri'!BF76-IF(W996="OOS PENDING",'Config_v6'!$B$35,0)-IF(L996&gt;'Config_v6'!$B$12,'Config_v6'!$B$37,IF(L996&gt;'Config_v6'!$B$11,'Config_v6'!$B$36,0))))</x:f>
      </x:c>
      <x:c r="W996" s="2" t="str">
        <x:f>IF(B996="","",IF(I996&lt;&gt;"READY","NOT RELEASED",IF(NOT(AND(J996="PASS",'Calibrare_Linii'!U16="VALID")),"INVALID",IF(NOT(AND('Calibrare_Linii'!S16="VALIDATED",AND('Calibrare_Linii'!H16=C996,ISNUMBER('Calibrare_Linii'!J16),'Calibrare_Linii'!J16&lt;='Input_Meci'!G76))),"OOS PENDING",IF(S996&lt;='Calibrare_Linii'!E16,"PASS",IF(S996&lt;='Calibrare_Linii'!F16,"PENALTY","WATCH"))))))</x:f>
      </x:c>
      <x:c r="X996" s="2" t="str">
        <x:f>IF(M996="","",IF(AND(AND(J996="PASS",'Calibrare_Linii'!U16="VALID"),'Motor_Meciuri'!K76=12,'Motor_Meciuri'!L76=12,'Motor_Meciuri'!M76="NO",'Motor_Meciuri'!BL76='Motor_Meciuri'!C76,AB996&gt;='Config_v6'!$B$50,AN996&gt;='Config_v6'!$B$51,T996&lt;='Config_v6'!$B$52,L996&lt;='Config_v6'!$B$53,ISNUMBER('Calibrare_Linii'!E16),S996&lt;='Calibrare_Linii'!E16,SUM(AK996:AM996)&gt;0),"CANDIDATE","NO"))</x:f>
      </x:c>
      <x:c r="Y996" s="2" t="str">
        <x:f>IF(B996="","",IF(I996&lt;&gt;"READY","NOT RELEASED",IF(AND(X996="CANDIDATE",V996&gt;='Config_v6'!$B$51,W996="PASS",'Calibrare_Linii'!T16="VALIDATED",AND('Calibrare_Linii'!H16=C996,ISNUMBER('Calibrare_Linii'!J16),'Calibrare_Linii'!J16&lt;='Input_Meci'!G76)),"PASS",IF(X996="CANDIDATE","OOS PENDING","FAIL"))))</x:f>
      </x:c>
      <x:c r="Z996" s="2" t="str">
        <x:f>IF(B996="","",IF(I996&lt;&gt;"READY","",IF(OR(NOT(AND(J996="PASS",'Calibrare_Linii'!U16="VALID")),L996&gt;'Config_v6'!$B$13,W996="WATCH"),5,IF(Y996="PASS",1,MIN(5,MAX('Config_v6'!$B$42,U996)+IF(W996="PENALTY",1,0))))))</x:f>
      </x:c>
      <x:c r="AA996" s="2" t="str">
        <x:f>IF(B996="","",IF(I996&lt;&gt;"READY","NOT RELEASED",IF(Z996=5,"NO BET",IF(OR(AB996&lt;'Config_v6'!$B$16,V996&lt;'Config_v6'!$B$18),"WATCH",IF(Z996=1,"DEFENSIV",IF(Z996=2,"PRUDENT",IF(Z996=3,"MODERAT","RIDICAT")))))))</x:f>
      </x:c>
      <x:c r="AB996" s="10" t="str">
        <x:f>IF(N996="","",MIN(N996,1-S996))</x:f>
      </x:c>
      <x:c r="AC996" s="2" t="str">
        <x:f>IF(AD996&lt;&gt;1,"",COUNTIFS($Z$986:$Z$999,"&lt;"&amp;Z996,$AD$986:$AD$999,1)+COUNTIFS($Z$986:$Z$999,Z996,$AB$986:$AB$999,"&gt;"&amp;AB996,$AD$986:$AD$999,1)+COUNTIFS($Z$986:$Z$999,Z996,$AB$986:$AB$999,AB996,$V$986:$V$999,"&gt;"&amp;V996,$AD$986:$AD$999,1)+COUNTIFS($Z$986:Z996,Z996,$AB$986:AB996,AB996,$V$986:V996,V996,$AD$986:AD996,1))</x:f>
      </x:c>
      <x:c r="AD996" s="2" t="n">
        <x:f>IF(OR(AA996="DEFENSIV",AA996="PRUDENT",AA996="MODERAT",AA996="RIDICAT"),1,0)</x:f>
        <x:v>0</x:v>
      </x:c>
      <x:c r="AE996" s="2" t="str">
        <x:f>IF(AD996&lt;&gt;1,"NO",IF(W996="PASS","YES",IF(W996="OOS PENDING","CONDITIONAL","NO")))</x:f>
        <x:v>NO</x:v>
      </x:c>
      <x:c r="AF996" s="2" t="n">
        <x:f>IF(AND(AD996=1,AC996=1,E996="LIVE"),1,0)</x:f>
        <x:v>0</x:v>
      </x:c>
      <x:c r="AG996" s="2" t="str">
        <x:f>IF(AF996&lt;&gt;1,"",'Dashboard'!P96)</x:f>
      </x:c>
      <x:c r="AH996" s="2" t="str">
        <x:f>IF(B996="","",IF(J996&lt;&gt;"PASS",'Motor_Meciuri'!J76,IF('Calibrare_Linii'!U16&lt;&gt;"VALID","Parametri linie invalizi",IF(L996&gt;'Config_v6'!$B$13,"Dispersie peste limita",IF(W996="WATCH","Failure peste limita",IF(AB996&lt;'Config_v6'!$B$16,"P finala sub prag",IF(V996&lt;'Config_v6'!$B$18,"Confidence sub prag",IF(E996="REPLAY","Exemplu retrospectiv; exclus din Top LIVE",IF(Y996="PASS","DEFENSIV validat",IF(W996="OOS PENDING","Eligibil; calibrare linie in monitorizare","Eligibil"))))))))))</x:f>
      </x:c>
      <x:c r="AI996" s="2" t="str">
        <x:f>IF(B996="","",'Calibrare_Linii'!V16)</x:f>
      </x:c>
      <x:c r="AJ996" s="2" t="str">
        <x:f>IF(B996="","",IF(AND('Calibrare_Linii'!T16="VALIDATED",AND('Calibrare_Linii'!H16=C996,ISNUMBER('Calibrare_Linii'!J16),'Calibrare_Linii'!J16&lt;='Input_Meci'!G76)),"DEFENSIVE VALIDATED",IF(AND('Calibrare_Linii'!S16="VALIDATED",AND('Calibrare_Linii'!H16=C996,ISNUMBER('Calibrare_Linii'!J16),'Calibrare_Linii'!J16&lt;='Input_Meci'!G76)),"TAIL VALIDATED","OOS PENDING")))</x:f>
      </x:c>
      <x:c r="AK996" s="2" t="n">
        <x:f>IF(J996&lt;&gt;"PASS",0,'Motor_Meciuri'!BR76)</x:f>
        <x:v>0</x:v>
      </x:c>
      <x:c r="AL996" s="2" t="n">
        <x:f>IF(J996&lt;&gt;"PASS",0,'Motor_Meciuri'!BS76)</x:f>
        <x:v>0</x:v>
      </x:c>
      <x:c r="AM996" s="2" t="n">
        <x:f>IF(J996&lt;&gt;"PASS",0,'Motor_Meciuri'!BT76)</x:f>
        <x:v>0</x:v>
      </x:c>
      <x:c r="AN996" s="2" t="str">
        <x:f>IF(M996="","",MAX(0,'Motor_Meciuri'!BF76-IF(L996&gt;'Config_v6'!$B$12,'Config_v6'!$B$37,IF(L996&gt;'Config_v6'!$B$11,'Config_v6'!$B$36,0))))</x:f>
      </x:c>
    </x:row>
    <x:row r="997" ht="21" customHeight="1">
      <x:c r="A997" s="2" t="n">
        <x:v>71</x:v>
      </x:c>
      <x:c r="B997" s="2" t="str">
        <x:f>IF('Motor_Meciuri'!A76="","",'Motor_Meciuri'!A76)</x:f>
      </x:c>
      <x:c r="C997" s="2" t="str">
        <x:f>IF(B997="","",'Motor_Meciuri'!B76)</x:f>
      </x:c>
      <x:c r="D997" s="2" t="str">
        <x:f>IF(B997="","",'Motor_Meciuri'!D76)</x:f>
      </x:c>
      <x:c r="E997" s="2" t="str">
        <x:f>IF(B997="","",'Motor_Meciuri'!E76)</x:f>
      </x:c>
      <x:c r="F997" s="2" t="str">
        <x:v>U15,5</x:v>
      </x:c>
      <x:c r="G997" s="2" t="str">
        <x:v>UNDER</x:v>
      </x:c>
      <x:c r="H997" s="2" t="n">
        <x:v>15</x:v>
      </x:c>
      <x:c r="I997" s="2" t="str">
        <x:f>IF(B997="","",'Motor_Meciuri'!H76)</x:f>
      </x:c>
      <x:c r="J997" s="2" t="str">
        <x:f>IF(B997="","",'Motor_Meciuri'!I76)</x:f>
      </x:c>
      <x:c r="K997" s="11" t="str">
        <x:f>IF(J997&lt;&gt;"PASS","",'Motor_Meciuri'!BD76)</x:f>
      </x:c>
      <x:c r="L997" s="11" t="str">
        <x:f>IF(J997&lt;&gt;"PASS","",'Motor_Meciuri'!AU76)</x:f>
      </x:c>
      <x:c r="M997" s="10" t="str">
        <x:f>IF(NOT(AND(J997="PASS",'Calibrare_Linii'!U17="VALID")),"",'Distributie'!AM76)</x:f>
      </x:c>
      <x:c r="N997" s="10" t="str">
        <x:f>IF(M997="","",MAX(0.01,MIN(0.99,0.5+(M997-0.5)*'Motor_Meciuri'!BG76*'Calibrare_Linii'!D17)))</x:f>
      </x:c>
      <x:c r="O997" s="10" t="str">
        <x:f>IF(M997="","",1-M997)</x:f>
      </x:c>
      <x:c r="P997" s="10" t="str">
        <x:f>IF(OR(NOT(AND(J997="PASS",'Calibrare_Linii'!U17="VALID")),AK997=0),""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*('Istoric_Nativ'!$Q$6:$Q$405&gt;H997))/AK997)</x:f>
      </x:c>
      <x:c r="Q997" s="10" t="str">
        <x:f>IF(OR(NOT(AND(J997="PASS",'Calibrare_Linii'!U17="VALID")),AL997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M76)+((('Istoric_Nativ'!$E$6:$E$405='Input_Meci'!E76)+('Istoric_Nativ'!$F$6:$F$405='Input_Meci'!E76))&gt;0)*('Istoric_Nativ'!$D$6:$D$405&gt;='Motor_Meciuri'!BN76))&gt;0)*('Istoric_Nativ'!$Q$6:$Q$405&gt;H997))/AL997)</x:f>
      </x:c>
      <x:c r="R997" s="10" t="str">
        <x:f>IF(OR(NOT(AND(J997="PASS",'Calibrare_Linii'!U17="VALID")),AM997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O76)+((('Istoric_Nativ'!$E$6:$E$405='Input_Meci'!E76)+('Istoric_Nativ'!$F$6:$F$405='Input_Meci'!E76))&gt;0)*('Istoric_Nativ'!$D$6:$D$405&gt;='Motor_Meciuri'!BP76))&gt;0)*('Istoric_Nativ'!$Q$6:$Q$405&gt;H997))/AM997)</x:f>
      </x:c>
      <x:c r="S997" s="10" t="str">
        <x:f>IF(M997="","",MAX(O997,P997,Q997,R997))</x:f>
      </x:c>
      <x:c r="T997" s="11" t="str">
        <x:f>IF(M997="","",MIN(100,S997*100*'Config_v6'!$B$44+MIN(100,L997/'Config_v6'!$B$13*100)*'Config_v6'!$B$45+(100-'Motor_Meciuri'!BF76)*'Config_v6'!$B$46+'Motor_Meciuri'!BH76*100*'Config_v6'!$B$47))</x:f>
      </x:c>
      <x:c r="U997" s="2" t="str">
        <x:f>IF(T997="","",IF(T997&lt;=20,1,IF(T997&lt;=40,2,IF(T997&lt;=60,3,IF(T997&lt;=80,4,5)))))</x:f>
      </x:c>
      <x:c r="V997" s="2" t="str">
        <x:f>IF(M997="","",MAX(0,'Motor_Meciuri'!BF76-IF(W997="OOS PENDING",'Config_v6'!$B$35,0)-IF(L997&gt;'Config_v6'!$B$12,'Config_v6'!$B$37,IF(L997&gt;'Config_v6'!$B$11,'Config_v6'!$B$36,0))))</x:f>
      </x:c>
      <x:c r="W997" s="2" t="str">
        <x:f>IF(B997="","",IF(I997&lt;&gt;"READY","NOT RELEASED",IF(NOT(AND(J997="PASS",'Calibrare_Linii'!U17="VALID")),"INVALID",IF(NOT(AND('Calibrare_Linii'!S17="VALIDATED",AND('Calibrare_Linii'!H17=C997,ISNUMBER('Calibrare_Linii'!J17),'Calibrare_Linii'!J17&lt;='Input_Meci'!G76))),"OOS PENDING",IF(S997&lt;='Calibrare_Linii'!E17,"PASS",IF(S997&lt;='Calibrare_Linii'!F17,"PENALTY","WATCH"))))))</x:f>
      </x:c>
      <x:c r="X997" s="2" t="str">
        <x:f>IF(M997="","",IF(AND(AND(J997="PASS",'Calibrare_Linii'!U17="VALID"),'Motor_Meciuri'!K76=12,'Motor_Meciuri'!L76=12,'Motor_Meciuri'!M76="NO",'Motor_Meciuri'!BL76='Motor_Meciuri'!C76,AB997&gt;='Config_v6'!$B$50,AN997&gt;='Config_v6'!$B$51,T997&lt;='Config_v6'!$B$52,L997&lt;='Config_v6'!$B$53,ISNUMBER('Calibrare_Linii'!E17),S997&lt;='Calibrare_Linii'!E17,SUM(AK997:AM997)&gt;0),"CANDIDATE","NO"))</x:f>
      </x:c>
      <x:c r="Y997" s="2" t="str">
        <x:f>IF(B997="","",IF(I997&lt;&gt;"READY","NOT RELEASED",IF(AND(X997="CANDIDATE",V997&gt;='Config_v6'!$B$51,W997="PASS",'Calibrare_Linii'!T17="VALIDATED",AND('Calibrare_Linii'!H17=C997,ISNUMBER('Calibrare_Linii'!J17),'Calibrare_Linii'!J17&lt;='Input_Meci'!G76)),"PASS",IF(X997="CANDIDATE","OOS PENDING","FAIL"))))</x:f>
      </x:c>
      <x:c r="Z997" s="2" t="str">
        <x:f>IF(B997="","",IF(I997&lt;&gt;"READY","",IF(OR(NOT(AND(J997="PASS",'Calibrare_Linii'!U17="VALID")),L997&gt;'Config_v6'!$B$13,W997="WATCH"),5,IF(Y997="PASS",1,MIN(5,MAX('Config_v6'!$B$42,U997)+IF(W997="PENALTY",1,0))))))</x:f>
      </x:c>
      <x:c r="AA997" s="2" t="str">
        <x:f>IF(B997="","",IF(I997&lt;&gt;"READY","NOT RELEASED",IF(Z997=5,"NO BET",IF(OR(AB997&lt;'Config_v6'!$B$16,V997&lt;'Config_v6'!$B$18),"WATCH",IF(Z997=1,"DEFENSIV",IF(Z997=2,"PRUDENT",IF(Z997=3,"MODERAT","RIDICAT")))))))</x:f>
      </x:c>
      <x:c r="AB997" s="10" t="str">
        <x:f>IF(N997="","",MIN(N997,1-S997))</x:f>
      </x:c>
      <x:c r="AC997" s="2" t="str">
        <x:f>IF(AD997&lt;&gt;1,"",COUNTIFS($Z$986:$Z$999,"&lt;"&amp;Z997,$AD$986:$AD$999,1)+COUNTIFS($Z$986:$Z$999,Z997,$AB$986:$AB$999,"&gt;"&amp;AB997,$AD$986:$AD$999,1)+COUNTIFS($Z$986:$Z$999,Z997,$AB$986:$AB$999,AB997,$V$986:$V$999,"&gt;"&amp;V997,$AD$986:$AD$999,1)+COUNTIFS($Z$986:Z997,Z997,$AB$986:AB997,AB997,$V$986:V997,V997,$AD$986:AD997,1))</x:f>
      </x:c>
      <x:c r="AD997" s="2" t="n">
        <x:f>IF(OR(AA997="DEFENSIV",AA997="PRUDENT",AA997="MODERAT",AA997="RIDICAT"),1,0)</x:f>
        <x:v>0</x:v>
      </x:c>
      <x:c r="AE997" s="2" t="str">
        <x:f>IF(AD997&lt;&gt;1,"NO",IF(W997="PASS","YES",IF(W997="OOS PENDING","CONDITIONAL","NO")))</x:f>
        <x:v>NO</x:v>
      </x:c>
      <x:c r="AF997" s="2" t="n">
        <x:f>IF(AND(AD997=1,AC997=1,E997="LIVE"),1,0)</x:f>
        <x:v>0</x:v>
      </x:c>
      <x:c r="AG997" s="2" t="str">
        <x:f>IF(AF997&lt;&gt;1,"",'Dashboard'!P96)</x:f>
      </x:c>
      <x:c r="AH997" s="2" t="str">
        <x:f>IF(B997="","",IF(J997&lt;&gt;"PASS",'Motor_Meciuri'!J76,IF('Calibrare_Linii'!U17&lt;&gt;"VALID","Parametri linie invalizi",IF(L997&gt;'Config_v6'!$B$13,"Dispersie peste limita",IF(W997="WATCH","Failure peste limita",IF(AB997&lt;'Config_v6'!$B$16,"P finala sub prag",IF(V997&lt;'Config_v6'!$B$18,"Confidence sub prag",IF(E997="REPLAY","Exemplu retrospectiv; exclus din Top LIVE",IF(Y997="PASS","DEFENSIV validat",IF(W997="OOS PENDING","Eligibil; calibrare linie in monitorizare","Eligibil"))))))))))</x:f>
      </x:c>
      <x:c r="AI997" s="2" t="str">
        <x:f>IF(B997="","",'Calibrare_Linii'!V17)</x:f>
      </x:c>
      <x:c r="AJ997" s="2" t="str">
        <x:f>IF(B997="","",IF(AND('Calibrare_Linii'!T17="VALIDATED",AND('Calibrare_Linii'!H17=C997,ISNUMBER('Calibrare_Linii'!J17),'Calibrare_Linii'!J17&lt;='Input_Meci'!G76)),"DEFENSIVE VALIDATED",IF(AND('Calibrare_Linii'!S17="VALIDATED",AND('Calibrare_Linii'!H17=C997,ISNUMBER('Calibrare_Linii'!J17),'Calibrare_Linii'!J17&lt;='Input_Meci'!G76)),"TAIL VALIDATED","OOS PENDING")))</x:f>
      </x:c>
      <x:c r="AK997" s="2" t="n">
        <x:f>IF(J997&lt;&gt;"PASS",0,'Motor_Meciuri'!BR76)</x:f>
        <x:v>0</x:v>
      </x:c>
      <x:c r="AL997" s="2" t="n">
        <x:f>IF(J997&lt;&gt;"PASS",0,'Motor_Meciuri'!BS76)</x:f>
        <x:v>0</x:v>
      </x:c>
      <x:c r="AM997" s="2" t="n">
        <x:f>IF(J997&lt;&gt;"PASS",0,'Motor_Meciuri'!BT76)</x:f>
        <x:v>0</x:v>
      </x:c>
      <x:c r="AN997" s="2" t="str">
        <x:f>IF(M997="","",MAX(0,'Motor_Meciuri'!BF76-IF(L997&gt;'Config_v6'!$B$12,'Config_v6'!$B$37,IF(L997&gt;'Config_v6'!$B$11,'Config_v6'!$B$36,0))))</x:f>
      </x:c>
    </x:row>
    <x:row r="998" ht="21" customHeight="1">
      <x:c r="A998" s="2" t="n">
        <x:v>71</x:v>
      </x:c>
      <x:c r="B998" s="2" t="str">
        <x:f>IF('Motor_Meciuri'!A76="","",'Motor_Meciuri'!A76)</x:f>
      </x:c>
      <x:c r="C998" s="2" t="str">
        <x:f>IF(B998="","",'Motor_Meciuri'!B76)</x:f>
      </x:c>
      <x:c r="D998" s="2" t="str">
        <x:f>IF(B998="","",'Motor_Meciuri'!D76)</x:f>
      </x:c>
      <x:c r="E998" s="2" t="str">
        <x:f>IF(B998="","",'Motor_Meciuri'!E76)</x:f>
      </x:c>
      <x:c r="F998" s="2" t="str">
        <x:v>U16,5</x:v>
      </x:c>
      <x:c r="G998" s="2" t="str">
        <x:v>UNDER</x:v>
      </x:c>
      <x:c r="H998" s="2" t="n">
        <x:v>16</x:v>
      </x:c>
      <x:c r="I998" s="2" t="str">
        <x:f>IF(B998="","",'Motor_Meciuri'!H76)</x:f>
      </x:c>
      <x:c r="J998" s="2" t="str">
        <x:f>IF(B998="","",'Motor_Meciuri'!I76)</x:f>
      </x:c>
      <x:c r="K998" s="11" t="str">
        <x:f>IF(J998&lt;&gt;"PASS","",'Motor_Meciuri'!BD76)</x:f>
      </x:c>
      <x:c r="L998" s="11" t="str">
        <x:f>IF(J998&lt;&gt;"PASS","",'Motor_Meciuri'!AU76)</x:f>
      </x:c>
      <x:c r="M998" s="10" t="str">
        <x:f>IF(NOT(AND(J998="PASS",'Calibrare_Linii'!U18="VALID")),"",'Distributie'!AN76)</x:f>
      </x:c>
      <x:c r="N998" s="10" t="str">
        <x:f>IF(M998="","",MAX(0.01,MIN(0.99,0.5+(M998-0.5)*'Motor_Meciuri'!BG76*'Calibrare_Linii'!D18)))</x:f>
      </x:c>
      <x:c r="O998" s="10" t="str">
        <x:f>IF(M998="","",1-M998)</x:f>
      </x:c>
      <x:c r="P998" s="10" t="str">
        <x:f>IF(OR(NOT(AND(J998="PASS",'Calibrare_Linii'!U18="VALID")),AK998=0),""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*('Istoric_Nativ'!$Q$6:$Q$405&gt;H998))/AK998)</x:f>
      </x:c>
      <x:c r="Q998" s="10" t="str">
        <x:f>IF(OR(NOT(AND(J998="PASS",'Calibrare_Linii'!U18="VALID")),AL998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M76)+((('Istoric_Nativ'!$E$6:$E$405='Input_Meci'!E76)+('Istoric_Nativ'!$F$6:$F$405='Input_Meci'!E76))&gt;0)*('Istoric_Nativ'!$D$6:$D$405&gt;='Motor_Meciuri'!BN76))&gt;0)*('Istoric_Nativ'!$Q$6:$Q$405&gt;H998))/AL998)</x:f>
      </x:c>
      <x:c r="R998" s="10" t="str">
        <x:f>IF(OR(NOT(AND(J998="PASS",'Calibrare_Linii'!U18="VALID")),AM998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O76)+((('Istoric_Nativ'!$E$6:$E$405='Input_Meci'!E76)+('Istoric_Nativ'!$F$6:$F$405='Input_Meci'!E76))&gt;0)*('Istoric_Nativ'!$D$6:$D$405&gt;='Motor_Meciuri'!BP76))&gt;0)*('Istoric_Nativ'!$Q$6:$Q$405&gt;H998))/AM998)</x:f>
      </x:c>
      <x:c r="S998" s="10" t="str">
        <x:f>IF(M998="","",MAX(O998,P998,Q998,R998))</x:f>
      </x:c>
      <x:c r="T998" s="11" t="str">
        <x:f>IF(M998="","",MIN(100,S998*100*'Config_v6'!$B$44+MIN(100,L998/'Config_v6'!$B$13*100)*'Config_v6'!$B$45+(100-'Motor_Meciuri'!BF76)*'Config_v6'!$B$46+'Motor_Meciuri'!BH76*100*'Config_v6'!$B$47))</x:f>
      </x:c>
      <x:c r="U998" s="2" t="str">
        <x:f>IF(T998="","",IF(T998&lt;=20,1,IF(T998&lt;=40,2,IF(T998&lt;=60,3,IF(T998&lt;=80,4,5)))))</x:f>
      </x:c>
      <x:c r="V998" s="2" t="str">
        <x:f>IF(M998="","",MAX(0,'Motor_Meciuri'!BF76-IF(W998="OOS PENDING",'Config_v6'!$B$35,0)-IF(L998&gt;'Config_v6'!$B$12,'Config_v6'!$B$37,IF(L998&gt;'Config_v6'!$B$11,'Config_v6'!$B$36,0))))</x:f>
      </x:c>
      <x:c r="W998" s="2" t="str">
        <x:f>IF(B998="","",IF(I998&lt;&gt;"READY","NOT RELEASED",IF(NOT(AND(J998="PASS",'Calibrare_Linii'!U18="VALID")),"INVALID",IF(NOT(AND('Calibrare_Linii'!S18="VALIDATED",AND('Calibrare_Linii'!H18=C998,ISNUMBER('Calibrare_Linii'!J18),'Calibrare_Linii'!J18&lt;='Input_Meci'!G76))),"OOS PENDING",IF(S998&lt;='Calibrare_Linii'!E18,"PASS",IF(S998&lt;='Calibrare_Linii'!F18,"PENALTY","WATCH"))))))</x:f>
      </x:c>
      <x:c r="X998" s="2" t="str">
        <x:f>IF(M998="","",IF(AND(AND(J998="PASS",'Calibrare_Linii'!U18="VALID"),'Motor_Meciuri'!K76=12,'Motor_Meciuri'!L76=12,'Motor_Meciuri'!M76="NO",'Motor_Meciuri'!BL76='Motor_Meciuri'!C76,AB998&gt;='Config_v6'!$B$50,AN998&gt;='Config_v6'!$B$51,T998&lt;='Config_v6'!$B$52,L998&lt;='Config_v6'!$B$53,ISNUMBER('Calibrare_Linii'!E18),S998&lt;='Calibrare_Linii'!E18,SUM(AK998:AM998)&gt;0),"CANDIDATE","NO"))</x:f>
      </x:c>
      <x:c r="Y998" s="2" t="str">
        <x:f>IF(B998="","",IF(I998&lt;&gt;"READY","NOT RELEASED",IF(AND(X998="CANDIDATE",V998&gt;='Config_v6'!$B$51,W998="PASS",'Calibrare_Linii'!T18="VALIDATED",AND('Calibrare_Linii'!H18=C998,ISNUMBER('Calibrare_Linii'!J18),'Calibrare_Linii'!J18&lt;='Input_Meci'!G76)),"PASS",IF(X998="CANDIDATE","OOS PENDING","FAIL"))))</x:f>
      </x:c>
      <x:c r="Z998" s="2" t="str">
        <x:f>IF(B998="","",IF(I998&lt;&gt;"READY","",IF(OR(NOT(AND(J998="PASS",'Calibrare_Linii'!U18="VALID")),L998&gt;'Config_v6'!$B$13,W998="WATCH"),5,IF(Y998="PASS",1,MIN(5,MAX('Config_v6'!$B$42,U998)+IF(W998="PENALTY",1,0))))))</x:f>
      </x:c>
      <x:c r="AA998" s="2" t="str">
        <x:f>IF(B998="","",IF(I998&lt;&gt;"READY","NOT RELEASED",IF(Z998=5,"NO BET",IF(OR(AB998&lt;'Config_v6'!$B$16,V998&lt;'Config_v6'!$B$18),"WATCH",IF(Z998=1,"DEFENSIV",IF(Z998=2,"PRUDENT",IF(Z998=3,"MODERAT","RIDICAT")))))))</x:f>
      </x:c>
      <x:c r="AB998" s="10" t="str">
        <x:f>IF(N998="","",MIN(N998,1-S998))</x:f>
      </x:c>
      <x:c r="AC998" s="2" t="str">
        <x:f>IF(AD998&lt;&gt;1,"",COUNTIFS($Z$986:$Z$999,"&lt;"&amp;Z998,$AD$986:$AD$999,1)+COUNTIFS($Z$986:$Z$999,Z998,$AB$986:$AB$999,"&gt;"&amp;AB998,$AD$986:$AD$999,1)+COUNTIFS($Z$986:$Z$999,Z998,$AB$986:$AB$999,AB998,$V$986:$V$999,"&gt;"&amp;V998,$AD$986:$AD$999,1)+COUNTIFS($Z$986:Z998,Z998,$AB$986:AB998,AB998,$V$986:V998,V998,$AD$986:AD998,1))</x:f>
      </x:c>
      <x:c r="AD998" s="2" t="n">
        <x:f>IF(OR(AA998="DEFENSIV",AA998="PRUDENT",AA998="MODERAT",AA998="RIDICAT"),1,0)</x:f>
        <x:v>0</x:v>
      </x:c>
      <x:c r="AE998" s="2" t="str">
        <x:f>IF(AD998&lt;&gt;1,"NO",IF(W998="PASS","YES",IF(W998="OOS PENDING","CONDITIONAL","NO")))</x:f>
        <x:v>NO</x:v>
      </x:c>
      <x:c r="AF998" s="2" t="n">
        <x:f>IF(AND(AD998=1,AC998=1,E998="LIVE"),1,0)</x:f>
        <x:v>0</x:v>
      </x:c>
      <x:c r="AG998" s="2" t="str">
        <x:f>IF(AF998&lt;&gt;1,"",'Dashboard'!P96)</x:f>
      </x:c>
      <x:c r="AH998" s="2" t="str">
        <x:f>IF(B998="","",IF(J998&lt;&gt;"PASS",'Motor_Meciuri'!J76,IF('Calibrare_Linii'!U18&lt;&gt;"VALID","Parametri linie invalizi",IF(L998&gt;'Config_v6'!$B$13,"Dispersie peste limita",IF(W998="WATCH","Failure peste limita",IF(AB998&lt;'Config_v6'!$B$16,"P finala sub prag",IF(V998&lt;'Config_v6'!$B$18,"Confidence sub prag",IF(E998="REPLAY","Exemplu retrospectiv; exclus din Top LIVE",IF(Y998="PASS","DEFENSIV validat",IF(W998="OOS PENDING","Eligibil; calibrare linie in monitorizare","Eligibil"))))))))))</x:f>
      </x:c>
      <x:c r="AI998" s="2" t="str">
        <x:f>IF(B998="","",'Calibrare_Linii'!V18)</x:f>
      </x:c>
      <x:c r="AJ998" s="2" t="str">
        <x:f>IF(B998="","",IF(AND('Calibrare_Linii'!T18="VALIDATED",AND('Calibrare_Linii'!H18=C998,ISNUMBER('Calibrare_Linii'!J18),'Calibrare_Linii'!J18&lt;='Input_Meci'!G76)),"DEFENSIVE VALIDATED",IF(AND('Calibrare_Linii'!S18="VALIDATED",AND('Calibrare_Linii'!H18=C998,ISNUMBER('Calibrare_Linii'!J18),'Calibrare_Linii'!J18&lt;='Input_Meci'!G76)),"TAIL VALIDATED","OOS PENDING")))</x:f>
      </x:c>
      <x:c r="AK998" s="2" t="n">
        <x:f>IF(J998&lt;&gt;"PASS",0,'Motor_Meciuri'!BR76)</x:f>
        <x:v>0</x:v>
      </x:c>
      <x:c r="AL998" s="2" t="n">
        <x:f>IF(J998&lt;&gt;"PASS",0,'Motor_Meciuri'!BS76)</x:f>
        <x:v>0</x:v>
      </x:c>
      <x:c r="AM998" s="2" t="n">
        <x:f>IF(J998&lt;&gt;"PASS",0,'Motor_Meciuri'!BT76)</x:f>
        <x:v>0</x:v>
      </x:c>
      <x:c r="AN998" s="2" t="str">
        <x:f>IF(M998="","",MAX(0,'Motor_Meciuri'!BF76-IF(L998&gt;'Config_v6'!$B$12,'Config_v6'!$B$37,IF(L998&gt;'Config_v6'!$B$11,'Config_v6'!$B$36,0))))</x:f>
      </x:c>
    </x:row>
    <x:row r="999" ht="21" customHeight="1">
      <x:c r="A999" s="2" t="n">
        <x:v>71</x:v>
      </x:c>
      <x:c r="B999" s="2" t="str">
        <x:f>IF('Motor_Meciuri'!A76="","",'Motor_Meciuri'!A76)</x:f>
      </x:c>
      <x:c r="C999" s="2" t="str">
        <x:f>IF(B999="","",'Motor_Meciuri'!B76)</x:f>
      </x:c>
      <x:c r="D999" s="2" t="str">
        <x:f>IF(B999="","",'Motor_Meciuri'!D76)</x:f>
      </x:c>
      <x:c r="E999" s="2" t="str">
        <x:f>IF(B999="","",'Motor_Meciuri'!E76)</x:f>
      </x:c>
      <x:c r="F999" s="2" t="str">
        <x:v>U17,5</x:v>
      </x:c>
      <x:c r="G999" s="2" t="str">
        <x:v>UNDER</x:v>
      </x:c>
      <x:c r="H999" s="2" t="n">
        <x:v>17</x:v>
      </x:c>
      <x:c r="I999" s="2" t="str">
        <x:f>IF(B999="","",'Motor_Meciuri'!H76)</x:f>
      </x:c>
      <x:c r="J999" s="2" t="str">
        <x:f>IF(B999="","",'Motor_Meciuri'!I76)</x:f>
      </x:c>
      <x:c r="K999" s="11" t="str">
        <x:f>IF(J999&lt;&gt;"PASS","",'Motor_Meciuri'!BD76)</x:f>
      </x:c>
      <x:c r="L999" s="11" t="str">
        <x:f>IF(J999&lt;&gt;"PASS","",'Motor_Meciuri'!AU76)</x:f>
      </x:c>
      <x:c r="M999" s="10" t="str">
        <x:f>IF(NOT(AND(J999="PASS",'Calibrare_Linii'!U19="VALID")),"",'Distributie'!AO76)</x:f>
      </x:c>
      <x:c r="N999" s="10" t="str">
        <x:f>IF(M999="","",MAX(0.01,MIN(0.99,0.5+(M999-0.5)*'Motor_Meciuri'!BG76*'Calibrare_Linii'!D19)))</x:f>
      </x:c>
      <x:c r="O999" s="10" t="str">
        <x:f>IF(M999="","",1-M999)</x:f>
      </x:c>
      <x:c r="P999" s="10" t="str">
        <x:f>IF(OR(NOT(AND(J999="PASS",'Calibrare_Linii'!U19="VALID")),AK999=0),""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*('Istoric_Nativ'!$Q$6:$Q$405&gt;H999))/AK999)</x:f>
      </x:c>
      <x:c r="Q999" s="10" t="str">
        <x:f>IF(OR(NOT(AND(J999="PASS",'Calibrare_Linii'!U19="VALID")),AL999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M76)+((('Istoric_Nativ'!$E$6:$E$405='Input_Meci'!E76)+('Istoric_Nativ'!$F$6:$F$405='Input_Meci'!E76))&gt;0)*('Istoric_Nativ'!$D$6:$D$405&gt;='Motor_Meciuri'!BN76))&gt;0)*('Istoric_Nativ'!$Q$6:$Q$405&gt;H999))/AL999)</x:f>
      </x:c>
      <x:c r="R999" s="10" t="str">
        <x:f>IF(OR(NOT(AND(J999="PASS",'Calibrare_Linii'!U19="VALID")),AM999=0),""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'Motor_Meciuri'!BO76)+((('Istoric_Nativ'!$E$6:$E$405='Input_Meci'!E76)+('Istoric_Nativ'!$F$6:$F$405='Input_Meci'!E76))&gt;0)*('Istoric_Nativ'!$D$6:$D$405&gt;='Motor_Meciuri'!BP76))&gt;0)*('Istoric_Nativ'!$Q$6:$Q$405&gt;H999))/AM999)</x:f>
      </x:c>
      <x:c r="S999" s="10" t="str">
        <x:f>IF(M999="","",MAX(O999,P999,Q999,R999))</x:f>
      </x:c>
      <x:c r="T999" s="11" t="str">
        <x:f>IF(M999="","",MIN(100,S999*100*'Config_v6'!$B$44+MIN(100,L999/'Config_v6'!$B$13*100)*'Config_v6'!$B$45+(100-'Motor_Meciuri'!BF76)*'Config_v6'!$B$46+'Motor_Meciuri'!BH76*100*'Config_v6'!$B$47))</x:f>
      </x:c>
      <x:c r="U999" s="2" t="str">
        <x:f>IF(T999="","",IF(T999&lt;=20,1,IF(T999&lt;=40,2,IF(T999&lt;=60,3,IF(T999&lt;=80,4,5)))))</x:f>
      </x:c>
      <x:c r="V999" s="2" t="str">
        <x:f>IF(M999="","",MAX(0,'Motor_Meciuri'!BF76-IF(W999="OOS PENDING",'Config_v6'!$B$35,0)-IF(L999&gt;'Config_v6'!$B$12,'Config_v6'!$B$37,IF(L999&gt;'Config_v6'!$B$11,'Config_v6'!$B$36,0))))</x:f>
      </x:c>
      <x:c r="W999" s="2" t="str">
        <x:f>IF(B999="","",IF(I999&lt;&gt;"READY","NOT RELEASED",IF(NOT(AND(J999="PASS",'Calibrare_Linii'!U19="VALID")),"INVALID",IF(NOT(AND('Calibrare_Linii'!S19="VALIDATED",AND('Calibrare_Linii'!H19=C999,ISNUMBER('Calibrare_Linii'!J19),'Calibrare_Linii'!J19&lt;='Input_Meci'!G76))),"OOS PENDING",IF(S999&lt;='Calibrare_Linii'!E19,"PASS",IF(S999&lt;='Calibrare_Linii'!F19,"PENALTY","WATCH"))))))</x:f>
      </x:c>
      <x:c r="X999" s="2" t="str">
        <x:f>IF(M999="","",IF(AND(AND(J999="PASS",'Calibrare_Linii'!U19="VALID"),'Motor_Meciuri'!K76=12,'Motor_Meciuri'!L76=12,'Motor_Meciuri'!M76="NO",'Motor_Meciuri'!BL76='Motor_Meciuri'!C76,AB999&gt;='Config_v6'!$B$50,AN999&gt;='Config_v6'!$B$51,T999&lt;='Config_v6'!$B$52,L999&lt;='Config_v6'!$B$53,ISNUMBER('Calibrare_Linii'!E19),S999&lt;='Calibrare_Linii'!E19,SUM(AK999:AM999)&gt;0),"CANDIDATE","NO"))</x:f>
      </x:c>
      <x:c r="Y999" s="2" t="str">
        <x:f>IF(B999="","",IF(I999&lt;&gt;"READY","NOT RELEASED",IF(AND(X999="CANDIDATE",V999&gt;='Config_v6'!$B$51,W999="PASS",'Calibrare_Linii'!T19="VALIDATED",AND('Calibrare_Linii'!H19=C999,ISNUMBER('Calibrare_Linii'!J19),'Calibrare_Linii'!J19&lt;='Input_Meci'!G76)),"PASS",IF(X999="CANDIDATE","OOS PENDING","FAIL"))))</x:f>
      </x:c>
      <x:c r="Z999" s="2" t="str">
        <x:f>IF(B999="","",IF(I999&lt;&gt;"READY","",IF(OR(NOT(AND(J999="PASS",'Calibrare_Linii'!U19="VALID")),L999&gt;'Config_v6'!$B$13,W999="WATCH"),5,IF(Y999="PASS",1,MIN(5,MAX('Config_v6'!$B$42,U999)+IF(W999="PENALTY",1,0))))))</x:f>
      </x:c>
      <x:c r="AA999" s="2" t="str">
        <x:f>IF(B999="","",IF(I999&lt;&gt;"READY","NOT RELEASED",IF(Z999=5,"NO BET",IF(OR(AB999&lt;'Config_v6'!$B$16,V999&lt;'Config_v6'!$B$18),"WATCH",IF(Z999=1,"DEFENSIV",IF(Z999=2,"PRUDENT",IF(Z999=3,"MODERAT","RIDICAT")))))))</x:f>
      </x:c>
      <x:c r="AB999" s="10" t="str">
        <x:f>IF(N999="","",MIN(N999,1-S999))</x:f>
      </x:c>
      <x:c r="AC999" s="2" t="str">
        <x:f>IF(AD999&lt;&gt;1,"",COUNTIFS($Z$986:$Z$999,"&lt;"&amp;Z999,$AD$986:$AD$999,1)+COUNTIFS($Z$986:$Z$999,Z999,$AB$986:$AB$999,"&gt;"&amp;AB999,$AD$986:$AD$999,1)+COUNTIFS($Z$986:$Z$999,Z999,$AB$986:$AB$999,AB999,$V$986:$V$999,"&gt;"&amp;V999,$AD$986:$AD$999,1)+COUNTIFS($Z$986:Z999,Z999,$AB$986:AB999,AB999,$V$986:V999,V999,$AD$986:AD999,1))</x:f>
      </x:c>
      <x:c r="AD999" s="2" t="n">
        <x:f>IF(OR(AA999="DEFENSIV",AA999="PRUDENT",AA999="MODERAT",AA999="RIDICAT"),1,0)</x:f>
        <x:v>0</x:v>
      </x:c>
      <x:c r="AE999" s="2" t="str">
        <x:f>IF(AD999&lt;&gt;1,"NO",IF(W999="PASS","YES",IF(W999="OOS PENDING","CONDITIONAL","NO")))</x:f>
        <x:v>NO</x:v>
      </x:c>
      <x:c r="AF999" s="2" t="n">
        <x:f>IF(AND(AD999=1,AC999=1,E999="LIVE"),1,0)</x:f>
        <x:v>0</x:v>
      </x:c>
      <x:c r="AG999" s="2" t="str">
        <x:f>IF(AF999&lt;&gt;1,"",'Dashboard'!P96)</x:f>
      </x:c>
      <x:c r="AH999" s="2" t="str">
        <x:f>IF(B999="","",IF(J999&lt;&gt;"PASS",'Motor_Meciuri'!J76,IF('Calibrare_Linii'!U19&lt;&gt;"VALID","Parametri linie invalizi",IF(L999&gt;'Config_v6'!$B$13,"Dispersie peste limita",IF(W999="WATCH","Failure peste limita",IF(AB999&lt;'Config_v6'!$B$16,"P finala sub prag",IF(V999&lt;'Config_v6'!$B$18,"Confidence sub prag",IF(E999="REPLAY","Exemplu retrospectiv; exclus din Top LIVE",IF(Y999="PASS","DEFENSIV validat",IF(W999="OOS PENDING","Eligibil; calibrare linie in monitorizare","Eligibil"))))))))))</x:f>
      </x:c>
      <x:c r="AI999" s="2" t="str">
        <x:f>IF(B999="","",'Calibrare_Linii'!V19)</x:f>
      </x:c>
      <x:c r="AJ999" s="2" t="str">
        <x:f>IF(B999="","",IF(AND('Calibrare_Linii'!T19="VALIDATED",AND('Calibrare_Linii'!H19=C999,ISNUMBER('Calibrare_Linii'!J19),'Calibrare_Linii'!J19&lt;='Input_Meci'!G76)),"DEFENSIVE VALIDATED",IF(AND('Calibrare_Linii'!S19="VALIDATED",AND('Calibrare_Linii'!H19=C999,ISNUMBER('Calibrare_Linii'!J19),'Calibrare_Linii'!J19&lt;='Input_Meci'!G76)),"TAIL VALIDATED","OOS PENDING")))</x:f>
      </x:c>
      <x:c r="AK999" s="2" t="n">
        <x:f>IF(J999&lt;&gt;"PASS",0,'Motor_Meciuri'!BR76)</x:f>
        <x:v>0</x:v>
      </x:c>
      <x:c r="AL999" s="2" t="n">
        <x:f>IF(J999&lt;&gt;"PASS",0,'Motor_Meciuri'!BS76)</x:f>
        <x:v>0</x:v>
      </x:c>
      <x:c r="AM999" s="2" t="n">
        <x:f>IF(J999&lt;&gt;"PASS",0,'Motor_Meciuri'!BT76)</x:f>
        <x:v>0</x:v>
      </x:c>
      <x:c r="AN999" s="2" t="str">
        <x:f>IF(M999="","",MAX(0,'Motor_Meciuri'!BF76-IF(L999&gt;'Config_v6'!$B$12,'Config_v6'!$B$37,IF(L999&gt;'Config_v6'!$B$11,'Config_v6'!$B$36,0))))</x:f>
      </x:c>
    </x:row>
    <x:row r="1000" ht="21" customHeight="1">
      <x:c r="A1000" s="2" t="n">
        <x:v>72</x:v>
      </x:c>
      <x:c r="B1000" s="2" t="str">
        <x:f>IF('Motor_Meciuri'!A77="","",'Motor_Meciuri'!A77)</x:f>
      </x:c>
      <x:c r="C1000" s="2" t="str">
        <x:f>IF(B1000="","",'Motor_Meciuri'!B77)</x:f>
      </x:c>
      <x:c r="D1000" s="2" t="str">
        <x:f>IF(B1000="","",'Motor_Meciuri'!D77)</x:f>
      </x:c>
      <x:c r="E1000" s="2" t="str">
        <x:f>IF(B1000="","",'Motor_Meciuri'!E77)</x:f>
      </x:c>
      <x:c r="F1000" s="2" t="str">
        <x:v>O3,5</x:v>
      </x:c>
      <x:c r="G1000" s="2" t="str">
        <x:v>OVER</x:v>
      </x:c>
      <x:c r="H1000" s="2" t="n">
        <x:v>3</x:v>
      </x:c>
      <x:c r="I1000" s="2" t="str">
        <x:f>IF(B1000="","",'Motor_Meciuri'!H77)</x:f>
      </x:c>
      <x:c r="J1000" s="2" t="str">
        <x:f>IF(B1000="","",'Motor_Meciuri'!I77)</x:f>
      </x:c>
      <x:c r="K1000" s="11" t="str">
        <x:f>IF(J1000&lt;&gt;"PASS","",'Motor_Meciuri'!BD77)</x:f>
      </x:c>
      <x:c r="L1000" s="11" t="str">
        <x:f>IF(J1000&lt;&gt;"PASS","",'Motor_Meciuri'!AU77)</x:f>
      </x:c>
      <x:c r="M1000" s="10" t="str">
        <x:f>IF(NOT(AND(J1000="PASS",'Calibrare_Linii'!U6="VALID")),"",1-'Distributie'!AA77)</x:f>
      </x:c>
      <x:c r="N1000" s="10" t="str">
        <x:f>IF(M1000="","",MAX(0.01,MIN(0.99,0.5+(M1000-0.5)*'Motor_Meciuri'!BG77*'Calibrare_Linii'!D6)))</x:f>
      </x:c>
      <x:c r="O1000" s="10" t="str">
        <x:f>IF(M1000="","",1-M1000)</x:f>
      </x:c>
      <x:c r="P1000" s="10" t="str">
        <x:f>IF(OR(NOT(AND(J1000="PASS",'Calibrare_Linii'!U6="VALID")),AK1000=0),""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*('Istoric_Nativ'!$Q$6:$Q$405&lt;=H1000))/AK1000)</x:f>
      </x:c>
      <x:c r="Q1000" s="10" t="str">
        <x:f>IF(OR(NOT(AND(J1000="PASS",'Calibrare_Linii'!U6="VALID")),AL1000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M77)+((('Istoric_Nativ'!$E$6:$E$405='Input_Meci'!E77)+('Istoric_Nativ'!$F$6:$F$405='Input_Meci'!E77))&gt;0)*('Istoric_Nativ'!$D$6:$D$405&gt;='Motor_Meciuri'!BN77))&gt;0)*('Istoric_Nativ'!$Q$6:$Q$405&lt;=H1000))/AL1000)</x:f>
      </x:c>
      <x:c r="R1000" s="10" t="str">
        <x:f>IF(OR(NOT(AND(J1000="PASS",'Calibrare_Linii'!U6="VALID")),AM1000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O77)+((('Istoric_Nativ'!$E$6:$E$405='Input_Meci'!E77)+('Istoric_Nativ'!$F$6:$F$405='Input_Meci'!E77))&gt;0)*('Istoric_Nativ'!$D$6:$D$405&gt;='Motor_Meciuri'!BP77))&gt;0)*('Istoric_Nativ'!$Q$6:$Q$405&lt;=H1000))/AM1000)</x:f>
      </x:c>
      <x:c r="S1000" s="10" t="str">
        <x:f>IF(M1000="","",MAX(O1000,P1000,Q1000,R1000))</x:f>
      </x:c>
      <x:c r="T1000" s="11" t="str">
        <x:f>IF(M1000="","",MIN(100,S1000*100*'Config_v6'!$B$44+MIN(100,L1000/'Config_v6'!$B$13*100)*'Config_v6'!$B$45+(100-'Motor_Meciuri'!BF77)*'Config_v6'!$B$46+'Motor_Meciuri'!BH77*100*'Config_v6'!$B$47))</x:f>
      </x:c>
      <x:c r="U1000" s="2" t="str">
        <x:f>IF(T1000="","",IF(T1000&lt;=20,1,IF(T1000&lt;=40,2,IF(T1000&lt;=60,3,IF(T1000&lt;=80,4,5)))))</x:f>
      </x:c>
      <x:c r="V1000" s="2" t="str">
        <x:f>IF(M1000="","",MAX(0,'Motor_Meciuri'!BF77-IF(W1000="OOS PENDING",'Config_v6'!$B$35,0)-IF(L1000&gt;'Config_v6'!$B$12,'Config_v6'!$B$37,IF(L1000&gt;'Config_v6'!$B$11,'Config_v6'!$B$36,0))))</x:f>
      </x:c>
      <x:c r="W1000" s="2" t="str">
        <x:f>IF(B1000="","",IF(I1000&lt;&gt;"READY","NOT RELEASED",IF(NOT(AND(J1000="PASS",'Calibrare_Linii'!U6="VALID")),"INVALID",IF(NOT(TRUE),"OOS PENDING",IF(S1000&lt;=IF(AND('Calibrare_Linii'!S6="VALIDATED",AND('Calibrare_Linii'!H6=C1000,ISNUMBER('Calibrare_Linii'!J6),'Calibrare_Linii'!J6&lt;='Input_Meci'!G77)),'Calibrare_Linii'!E6,'Config_v6'!$B$26),"PASS",IF(S1000&lt;=IF(AND('Calibrare_Linii'!S6="VALIDATED",AND('Calibrare_Linii'!H6=C1000,ISNUMBER('Calibrare_Linii'!J6),'Calibrare_Linii'!J6&lt;='Input_Meci'!G77)),'Calibrare_Linii'!F6,'Config_v6'!$C$26),"PENALTY","WATCH"))))))</x:f>
      </x:c>
      <x:c r="X1000" s="2" t="str">
        <x:f>IF(M1000="","",IF(AND(AND(J1000="PASS",'Calibrare_Linii'!U6="VALID"),'Motor_Meciuri'!K77=12,'Motor_Meciuri'!L77=12,'Motor_Meciuri'!M77="NO",'Motor_Meciuri'!BL77='Motor_Meciuri'!C77,AB1000&gt;='Config_v6'!$B$50,AN1000&gt;='Config_v6'!$B$51,T1000&lt;='Config_v6'!$B$52,L1000&lt;='Config_v6'!$B$53,ISNUMBER('Calibrare_Linii'!E6),S1000&lt;='Calibrare_Linii'!E6,SUM(AK1000:AM1000)&gt;0),"CANDIDATE","NO"))</x:f>
      </x:c>
      <x:c r="Y1000" s="2" t="str">
        <x:f>IF(B1000="","",IF(I1000&lt;&gt;"READY","NOT RELEASED",IF(AND(X1000="CANDIDATE",V1000&gt;='Config_v6'!$B$51,W1000="PASS",'Calibrare_Linii'!T6="VALIDATED",AND('Calibrare_Linii'!H6=C1000,ISNUMBER('Calibrare_Linii'!J6),'Calibrare_Linii'!J6&lt;='Input_Meci'!G77)),"PASS",IF(X1000="CANDIDATE","OOS PENDING","FAIL"))))</x:f>
      </x:c>
      <x:c r="Z1000" s="2" t="str">
        <x:f>IF(B1000="","",IF(I1000&lt;&gt;"READY","",IF(OR(NOT(AND(J1000="PASS",'Calibrare_Linii'!U6="VALID")),L1000&gt;'Config_v6'!$B$13,W1000="WATCH"),5,IF(Y1000="PASS",1,MIN(5,MAX('Config_v6'!$B$42,U1000)+IF(W1000="PENALTY",1,0))))))</x:f>
      </x:c>
      <x:c r="AA1000" s="2" t="str">
        <x:f>IF(B1000="","",IF(I1000&lt;&gt;"READY","NOT RELEASED",IF(Z1000=5,"NO BET",IF(OR(AB1000&lt;'Config_v6'!$B$16,V1000&lt;'Config_v6'!$B$18),"WATCH",IF(Z1000=1,"DEFENSIV",IF(Z1000=2,"PRUDENT",IF(Z1000=3,"MODERAT","RIDICAT")))))))</x:f>
      </x:c>
      <x:c r="AB1000" s="10" t="str">
        <x:f>IF(N1000="","",MIN(N1000,1-S1000))</x:f>
      </x:c>
      <x:c r="AC1000" s="2" t="str">
        <x:f>IF(AD1000&lt;&gt;1,"",COUNTIFS($Z$1000:$Z$1013,"&lt;"&amp;Z1000,$AD$1000:$AD$1013,1)+COUNTIFS($Z$1000:$Z$1013,Z1000,$AB$1000:$AB$1013,"&gt;"&amp;AB1000,$AD$1000:$AD$1013,1)+COUNTIFS($Z$1000:$Z$1013,Z1000,$AB$1000:$AB$1013,AB1000,$V$1000:$V$1013,"&gt;"&amp;V1000,$AD$1000:$AD$1013,1)+COUNTIFS($Z$1000:Z1000,Z1000,$AB$1000:AB1000,AB1000,$V$1000:V1000,V1000,$AD$1000:AD1000,1))</x:f>
      </x:c>
      <x:c r="AD1000" s="2" t="n">
        <x:f>IF(OR(AA1000="DEFENSIV",AA1000="PRUDENT",AA1000="MODERAT",AA1000="RIDICAT"),1,0)</x:f>
        <x:v>0</x:v>
      </x:c>
      <x:c r="AE1000" s="2" t="str">
        <x:f>IF(AD1000&lt;&gt;1,"NO",IF(W1000="PASS","YES",IF(W1000="OOS PENDING","CONDITIONAL","NO")))</x:f>
        <x:v>NO</x:v>
      </x:c>
      <x:c r="AF1000" s="2" t="n">
        <x:f>IF(AND(AD1000=1,AC1000=1,E1000="LIVE"),1,0)</x:f>
        <x:v>0</x:v>
      </x:c>
      <x:c r="AG1000" s="2" t="str">
        <x:f>IF(AF1000&lt;&gt;1,"",'Dashboard'!P97)</x:f>
      </x:c>
      <x:c r="AH1000" s="2" t="str">
        <x:f>IF(B1000="","",IF(J1000&lt;&gt;"PASS",'Motor_Meciuri'!J77,IF('Calibrare_Linii'!U6&lt;&gt;"VALID","Parametri linie invalizi",IF(L1000&gt;'Config_v6'!$B$13,"Dispersie peste limita",IF(W1000="WATCH","Failure peste limita",IF(AB1000&lt;'Config_v6'!$B$16,"P finala sub prag",IF(V1000&lt;'Config_v6'!$B$18,"Confidence sub prag",IF(E1000="REPLAY","Exemplu retrospectiv; exclus din Top LIVE",IF(Y1000="PASS","DEFENSIV validat",IF(W1000="OOS PENDING","Eligibil; calibrare linie in monitorizare","Eligibil"))))))))))</x:f>
      </x:c>
      <x:c r="AI1000" s="2" t="str">
        <x:f>IF(B1000="","",'Calibrare_Linii'!V6)</x:f>
      </x:c>
      <x:c r="AJ1000" s="2" t="str">
        <x:f>IF(B1000="","",IF(AND('Calibrare_Linii'!T6="VALIDATED",AND('Calibrare_Linii'!H6=C1000,ISNUMBER('Calibrare_Linii'!J6),'Calibrare_Linii'!J6&lt;='Input_Meci'!G77)),"DEFENSIVE VALIDATED",IF(AND('Calibrare_Linii'!S6="VALIDATED",AND('Calibrare_Linii'!H6=C1000,ISNUMBER('Calibrare_Linii'!J6),'Calibrare_Linii'!J6&lt;='Input_Meci'!G77)),"TAIL VALIDATED","OOS PENDING")))</x:f>
      </x:c>
      <x:c r="AK1000" s="2" t="n">
        <x:f>IF(J1000&lt;&gt;"PASS",0,'Motor_Meciuri'!BR77)</x:f>
        <x:v>0</x:v>
      </x:c>
      <x:c r="AL1000" s="2" t="n">
        <x:f>IF(J1000&lt;&gt;"PASS",0,'Motor_Meciuri'!BS77)</x:f>
        <x:v>0</x:v>
      </x:c>
      <x:c r="AM1000" s="2" t="n">
        <x:f>IF(J1000&lt;&gt;"PASS",0,'Motor_Meciuri'!BT77)</x:f>
        <x:v>0</x:v>
      </x:c>
      <x:c r="AN1000" s="2" t="str">
        <x:f>IF(M1000="","",MAX(0,'Motor_Meciuri'!BF77-IF(L1000&gt;'Config_v6'!$B$12,'Config_v6'!$B$37,IF(L1000&gt;'Config_v6'!$B$11,'Config_v6'!$B$36,0))))</x:f>
      </x:c>
    </x:row>
    <x:row r="1001" ht="21" customHeight="1">
      <x:c r="A1001" s="2" t="n">
        <x:v>72</x:v>
      </x:c>
      <x:c r="B1001" s="2" t="str">
        <x:f>IF('Motor_Meciuri'!A77="","",'Motor_Meciuri'!A77)</x:f>
      </x:c>
      <x:c r="C1001" s="2" t="str">
        <x:f>IF(B1001="","",'Motor_Meciuri'!B77)</x:f>
      </x:c>
      <x:c r="D1001" s="2" t="str">
        <x:f>IF(B1001="","",'Motor_Meciuri'!D77)</x:f>
      </x:c>
      <x:c r="E1001" s="2" t="str">
        <x:f>IF(B1001="","",'Motor_Meciuri'!E77)</x:f>
      </x:c>
      <x:c r="F1001" s="2" t="str">
        <x:v>O4,5</x:v>
      </x:c>
      <x:c r="G1001" s="2" t="str">
        <x:v>OVER</x:v>
      </x:c>
      <x:c r="H1001" s="2" t="n">
        <x:v>4</x:v>
      </x:c>
      <x:c r="I1001" s="2" t="str">
        <x:f>IF(B1001="","",'Motor_Meciuri'!H77)</x:f>
      </x:c>
      <x:c r="J1001" s="2" t="str">
        <x:f>IF(B1001="","",'Motor_Meciuri'!I77)</x:f>
      </x:c>
      <x:c r="K1001" s="11" t="str">
        <x:f>IF(J1001&lt;&gt;"PASS","",'Motor_Meciuri'!BD77)</x:f>
      </x:c>
      <x:c r="L1001" s="11" t="str">
        <x:f>IF(J1001&lt;&gt;"PASS","",'Motor_Meciuri'!AU77)</x:f>
      </x:c>
      <x:c r="M1001" s="10" t="str">
        <x:f>IF(NOT(AND(J1001="PASS",'Calibrare_Linii'!U7="VALID")),"",1-'Distributie'!AB77)</x:f>
      </x:c>
      <x:c r="N1001" s="10" t="str">
        <x:f>IF(M1001="","",MAX(0.01,MIN(0.99,0.5+(M1001-0.5)*'Motor_Meciuri'!BG77*'Calibrare_Linii'!D7)))</x:f>
      </x:c>
      <x:c r="O1001" s="10" t="str">
        <x:f>IF(M1001="","",1-M1001)</x:f>
      </x:c>
      <x:c r="P1001" s="10" t="str">
        <x:f>IF(OR(NOT(AND(J1001="PASS",'Calibrare_Linii'!U7="VALID")),AK1001=0),""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*('Istoric_Nativ'!$Q$6:$Q$405&lt;=H1001))/AK1001)</x:f>
      </x:c>
      <x:c r="Q1001" s="10" t="str">
        <x:f>IF(OR(NOT(AND(J1001="PASS",'Calibrare_Linii'!U7="VALID")),AL1001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M77)+((('Istoric_Nativ'!$E$6:$E$405='Input_Meci'!E77)+('Istoric_Nativ'!$F$6:$F$405='Input_Meci'!E77))&gt;0)*('Istoric_Nativ'!$D$6:$D$405&gt;='Motor_Meciuri'!BN77))&gt;0)*('Istoric_Nativ'!$Q$6:$Q$405&lt;=H1001))/AL1001)</x:f>
      </x:c>
      <x:c r="R1001" s="10" t="str">
        <x:f>IF(OR(NOT(AND(J1001="PASS",'Calibrare_Linii'!U7="VALID")),AM1001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O77)+((('Istoric_Nativ'!$E$6:$E$405='Input_Meci'!E77)+('Istoric_Nativ'!$F$6:$F$405='Input_Meci'!E77))&gt;0)*('Istoric_Nativ'!$D$6:$D$405&gt;='Motor_Meciuri'!BP77))&gt;0)*('Istoric_Nativ'!$Q$6:$Q$405&lt;=H1001))/AM1001)</x:f>
      </x:c>
      <x:c r="S1001" s="10" t="str">
        <x:f>IF(M1001="","",MAX(O1001,P1001,Q1001,R1001))</x:f>
      </x:c>
      <x:c r="T1001" s="11" t="str">
        <x:f>IF(M1001="","",MIN(100,S1001*100*'Config_v6'!$B$44+MIN(100,L1001/'Config_v6'!$B$13*100)*'Config_v6'!$B$45+(100-'Motor_Meciuri'!BF77)*'Config_v6'!$B$46+'Motor_Meciuri'!BH77*100*'Config_v6'!$B$47))</x:f>
      </x:c>
      <x:c r="U1001" s="2" t="str">
        <x:f>IF(T1001="","",IF(T1001&lt;=20,1,IF(T1001&lt;=40,2,IF(T1001&lt;=60,3,IF(T1001&lt;=80,4,5)))))</x:f>
      </x:c>
      <x:c r="V1001" s="2" t="str">
        <x:f>IF(M1001="","",MAX(0,'Motor_Meciuri'!BF77-IF(W1001="OOS PENDING",'Config_v6'!$B$35,0)-IF(L1001&gt;'Config_v6'!$B$12,'Config_v6'!$B$37,IF(L1001&gt;'Config_v6'!$B$11,'Config_v6'!$B$36,0))))</x:f>
      </x:c>
      <x:c r="W1001" s="2" t="str">
        <x:f>IF(B1001="","",IF(I1001&lt;&gt;"READY","NOT RELEASED",IF(NOT(AND(J1001="PASS",'Calibrare_Linii'!U7="VALID")),"INVALID",IF(NOT(AND('Calibrare_Linii'!S7="VALIDATED",AND('Calibrare_Linii'!H7=C1001,ISNUMBER('Calibrare_Linii'!J7),'Calibrare_Linii'!J7&lt;='Input_Meci'!G77))),"OOS PENDING",IF(S1001&lt;='Calibrare_Linii'!E7,"PASS",IF(S1001&lt;='Calibrare_Linii'!F7,"PENALTY","WATCH"))))))</x:f>
      </x:c>
      <x:c r="X1001" s="2" t="str">
        <x:f>IF(M1001="","",IF(AND(AND(J1001="PASS",'Calibrare_Linii'!U7="VALID"),'Motor_Meciuri'!K77=12,'Motor_Meciuri'!L77=12,'Motor_Meciuri'!M77="NO",'Motor_Meciuri'!BL77='Motor_Meciuri'!C77,AB1001&gt;='Config_v6'!$B$50,AN1001&gt;='Config_v6'!$B$51,T1001&lt;='Config_v6'!$B$52,L1001&lt;='Config_v6'!$B$53,ISNUMBER('Calibrare_Linii'!E7),S1001&lt;='Calibrare_Linii'!E7,SUM(AK1001:AM1001)&gt;0),"CANDIDATE","NO"))</x:f>
      </x:c>
      <x:c r="Y1001" s="2" t="str">
        <x:f>IF(B1001="","",IF(I1001&lt;&gt;"READY","NOT RELEASED",IF(AND(X1001="CANDIDATE",V1001&gt;='Config_v6'!$B$51,W1001="PASS",'Calibrare_Linii'!T7="VALIDATED",AND('Calibrare_Linii'!H7=C1001,ISNUMBER('Calibrare_Linii'!J7),'Calibrare_Linii'!J7&lt;='Input_Meci'!G77)),"PASS",IF(X1001="CANDIDATE","OOS PENDING","FAIL"))))</x:f>
      </x:c>
      <x:c r="Z1001" s="2" t="str">
        <x:f>IF(B1001="","",IF(I1001&lt;&gt;"READY","",IF(OR(NOT(AND(J1001="PASS",'Calibrare_Linii'!U7="VALID")),L1001&gt;'Config_v6'!$B$13,W1001="WATCH"),5,IF(Y1001="PASS",1,MIN(5,MAX('Config_v6'!$B$42,U1001)+IF(W1001="PENALTY",1,0))))))</x:f>
      </x:c>
      <x:c r="AA1001" s="2" t="str">
        <x:f>IF(B1001="","",IF(I1001&lt;&gt;"READY","NOT RELEASED",IF(Z1001=5,"NO BET",IF(OR(AB1001&lt;'Config_v6'!$B$16,V1001&lt;'Config_v6'!$B$18),"WATCH",IF(Z1001=1,"DEFENSIV",IF(Z1001=2,"PRUDENT",IF(Z1001=3,"MODERAT","RIDICAT")))))))</x:f>
      </x:c>
      <x:c r="AB1001" s="10" t="str">
        <x:f>IF(N1001="","",MIN(N1001,1-S1001))</x:f>
      </x:c>
      <x:c r="AC1001" s="2" t="str">
        <x:f>IF(AD1001&lt;&gt;1,"",COUNTIFS($Z$1000:$Z$1013,"&lt;"&amp;Z1001,$AD$1000:$AD$1013,1)+COUNTIFS($Z$1000:$Z$1013,Z1001,$AB$1000:$AB$1013,"&gt;"&amp;AB1001,$AD$1000:$AD$1013,1)+COUNTIFS($Z$1000:$Z$1013,Z1001,$AB$1000:$AB$1013,AB1001,$V$1000:$V$1013,"&gt;"&amp;V1001,$AD$1000:$AD$1013,1)+COUNTIFS($Z$1000:Z1001,Z1001,$AB$1000:AB1001,AB1001,$V$1000:V1001,V1001,$AD$1000:AD1001,1))</x:f>
      </x:c>
      <x:c r="AD1001" s="2" t="n">
        <x:f>IF(OR(AA1001="DEFENSIV",AA1001="PRUDENT",AA1001="MODERAT",AA1001="RIDICAT"),1,0)</x:f>
        <x:v>0</x:v>
      </x:c>
      <x:c r="AE1001" s="2" t="str">
        <x:f>IF(AD1001&lt;&gt;1,"NO",IF(W1001="PASS","YES",IF(W1001="OOS PENDING","CONDITIONAL","NO")))</x:f>
        <x:v>NO</x:v>
      </x:c>
      <x:c r="AF1001" s="2" t="n">
        <x:f>IF(AND(AD1001=1,AC1001=1,E1001="LIVE"),1,0)</x:f>
        <x:v>0</x:v>
      </x:c>
      <x:c r="AG1001" s="2" t="str">
        <x:f>IF(AF1001&lt;&gt;1,"",'Dashboard'!P97)</x:f>
      </x:c>
      <x:c r="AH1001" s="2" t="str">
        <x:f>IF(B1001="","",IF(J1001&lt;&gt;"PASS",'Motor_Meciuri'!J77,IF('Calibrare_Linii'!U7&lt;&gt;"VALID","Parametri linie invalizi",IF(L1001&gt;'Config_v6'!$B$13,"Dispersie peste limita",IF(W1001="WATCH","Failure peste limita",IF(AB1001&lt;'Config_v6'!$B$16,"P finala sub prag",IF(V1001&lt;'Config_v6'!$B$18,"Confidence sub prag",IF(E1001="REPLAY","Exemplu retrospectiv; exclus din Top LIVE",IF(Y1001="PASS","DEFENSIV validat",IF(W1001="OOS PENDING","Eligibil; calibrare linie in monitorizare","Eligibil"))))))))))</x:f>
      </x:c>
      <x:c r="AI1001" s="2" t="str">
        <x:f>IF(B1001="","",'Calibrare_Linii'!V7)</x:f>
      </x:c>
      <x:c r="AJ1001" s="2" t="str">
        <x:f>IF(B1001="","",IF(AND('Calibrare_Linii'!T7="VALIDATED",AND('Calibrare_Linii'!H7=C1001,ISNUMBER('Calibrare_Linii'!J7),'Calibrare_Linii'!J7&lt;='Input_Meci'!G77)),"DEFENSIVE VALIDATED",IF(AND('Calibrare_Linii'!S7="VALIDATED",AND('Calibrare_Linii'!H7=C1001,ISNUMBER('Calibrare_Linii'!J7),'Calibrare_Linii'!J7&lt;='Input_Meci'!G77)),"TAIL VALIDATED","OOS PENDING")))</x:f>
      </x:c>
      <x:c r="AK1001" s="2" t="n">
        <x:f>IF(J1001&lt;&gt;"PASS",0,'Motor_Meciuri'!BR77)</x:f>
        <x:v>0</x:v>
      </x:c>
      <x:c r="AL1001" s="2" t="n">
        <x:f>IF(J1001&lt;&gt;"PASS",0,'Motor_Meciuri'!BS77)</x:f>
        <x:v>0</x:v>
      </x:c>
      <x:c r="AM1001" s="2" t="n">
        <x:f>IF(J1001&lt;&gt;"PASS",0,'Motor_Meciuri'!BT77)</x:f>
        <x:v>0</x:v>
      </x:c>
      <x:c r="AN1001" s="2" t="str">
        <x:f>IF(M1001="","",MAX(0,'Motor_Meciuri'!BF77-IF(L1001&gt;'Config_v6'!$B$12,'Config_v6'!$B$37,IF(L1001&gt;'Config_v6'!$B$11,'Config_v6'!$B$36,0))))</x:f>
      </x:c>
    </x:row>
    <x:row r="1002" ht="21" customHeight="1">
      <x:c r="A1002" s="2" t="n">
        <x:v>72</x:v>
      </x:c>
      <x:c r="B1002" s="2" t="str">
        <x:f>IF('Motor_Meciuri'!A77="","",'Motor_Meciuri'!A77)</x:f>
      </x:c>
      <x:c r="C1002" s="2" t="str">
        <x:f>IF(B1002="","",'Motor_Meciuri'!B77)</x:f>
      </x:c>
      <x:c r="D1002" s="2" t="str">
        <x:f>IF(B1002="","",'Motor_Meciuri'!D77)</x:f>
      </x:c>
      <x:c r="E1002" s="2" t="str">
        <x:f>IF(B1002="","",'Motor_Meciuri'!E77)</x:f>
      </x:c>
      <x:c r="F1002" s="2" t="str">
        <x:v>O5,5</x:v>
      </x:c>
      <x:c r="G1002" s="2" t="str">
        <x:v>OVER</x:v>
      </x:c>
      <x:c r="H1002" s="2" t="n">
        <x:v>5</x:v>
      </x:c>
      <x:c r="I1002" s="2" t="str">
        <x:f>IF(B1002="","",'Motor_Meciuri'!H77)</x:f>
      </x:c>
      <x:c r="J1002" s="2" t="str">
        <x:f>IF(B1002="","",'Motor_Meciuri'!I77)</x:f>
      </x:c>
      <x:c r="K1002" s="11" t="str">
        <x:f>IF(J1002&lt;&gt;"PASS","",'Motor_Meciuri'!BD77)</x:f>
      </x:c>
      <x:c r="L1002" s="11" t="str">
        <x:f>IF(J1002&lt;&gt;"PASS","",'Motor_Meciuri'!AU77)</x:f>
      </x:c>
      <x:c r="M1002" s="10" t="str">
        <x:f>IF(NOT(AND(J1002="PASS",'Calibrare_Linii'!U8="VALID")),"",1-'Distributie'!AC77)</x:f>
      </x:c>
      <x:c r="N1002" s="10" t="str">
        <x:f>IF(M1002="","",MAX(0.01,MIN(0.99,0.5+(M1002-0.5)*'Motor_Meciuri'!BG77*'Calibrare_Linii'!D8)))</x:f>
      </x:c>
      <x:c r="O1002" s="10" t="str">
        <x:f>IF(M1002="","",1-M1002)</x:f>
      </x:c>
      <x:c r="P1002" s="10" t="str">
        <x:f>IF(OR(NOT(AND(J1002="PASS",'Calibrare_Linii'!U8="VALID")),AK1002=0),""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*('Istoric_Nativ'!$Q$6:$Q$405&lt;=H1002))/AK1002)</x:f>
      </x:c>
      <x:c r="Q1002" s="10" t="str">
        <x:f>IF(OR(NOT(AND(J1002="PASS",'Calibrare_Linii'!U8="VALID")),AL1002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M77)+((('Istoric_Nativ'!$E$6:$E$405='Input_Meci'!E77)+('Istoric_Nativ'!$F$6:$F$405='Input_Meci'!E77))&gt;0)*('Istoric_Nativ'!$D$6:$D$405&gt;='Motor_Meciuri'!BN77))&gt;0)*('Istoric_Nativ'!$Q$6:$Q$405&lt;=H1002))/AL1002)</x:f>
      </x:c>
      <x:c r="R1002" s="10" t="str">
        <x:f>IF(OR(NOT(AND(J1002="PASS",'Calibrare_Linii'!U8="VALID")),AM1002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O77)+((('Istoric_Nativ'!$E$6:$E$405='Input_Meci'!E77)+('Istoric_Nativ'!$F$6:$F$405='Input_Meci'!E77))&gt;0)*('Istoric_Nativ'!$D$6:$D$405&gt;='Motor_Meciuri'!BP77))&gt;0)*('Istoric_Nativ'!$Q$6:$Q$405&lt;=H1002))/AM1002)</x:f>
      </x:c>
      <x:c r="S1002" s="10" t="str">
        <x:f>IF(M1002="","",MAX(O1002,P1002,Q1002,R1002))</x:f>
      </x:c>
      <x:c r="T1002" s="11" t="str">
        <x:f>IF(M1002="","",MIN(100,S1002*100*'Config_v6'!$B$44+MIN(100,L1002/'Config_v6'!$B$13*100)*'Config_v6'!$B$45+(100-'Motor_Meciuri'!BF77)*'Config_v6'!$B$46+'Motor_Meciuri'!BH77*100*'Config_v6'!$B$47))</x:f>
      </x:c>
      <x:c r="U1002" s="2" t="str">
        <x:f>IF(T1002="","",IF(T1002&lt;=20,1,IF(T1002&lt;=40,2,IF(T1002&lt;=60,3,IF(T1002&lt;=80,4,5)))))</x:f>
      </x:c>
      <x:c r="V1002" s="2" t="str">
        <x:f>IF(M1002="","",MAX(0,'Motor_Meciuri'!BF77-IF(W1002="OOS PENDING",'Config_v6'!$B$35,0)-IF(L1002&gt;'Config_v6'!$B$12,'Config_v6'!$B$37,IF(L1002&gt;'Config_v6'!$B$11,'Config_v6'!$B$36,0))))</x:f>
      </x:c>
      <x:c r="W1002" s="2" t="str">
        <x:f>IF(B1002="","",IF(I1002&lt;&gt;"READY","NOT RELEASED",IF(NOT(AND(J1002="PASS",'Calibrare_Linii'!U8="VALID")),"INVALID",IF(NOT(AND('Calibrare_Linii'!S8="VALIDATED",AND('Calibrare_Linii'!H8=C1002,ISNUMBER('Calibrare_Linii'!J8),'Calibrare_Linii'!J8&lt;='Input_Meci'!G77))),"OOS PENDING",IF(S1002&lt;='Calibrare_Linii'!E8,"PASS",IF(S1002&lt;='Calibrare_Linii'!F8,"PENALTY","WATCH"))))))</x:f>
      </x:c>
      <x:c r="X1002" s="2" t="str">
        <x:f>IF(M1002="","",IF(AND(AND(J1002="PASS",'Calibrare_Linii'!U8="VALID"),'Motor_Meciuri'!K77=12,'Motor_Meciuri'!L77=12,'Motor_Meciuri'!M77="NO",'Motor_Meciuri'!BL77='Motor_Meciuri'!C77,AB1002&gt;='Config_v6'!$B$50,AN1002&gt;='Config_v6'!$B$51,T1002&lt;='Config_v6'!$B$52,L1002&lt;='Config_v6'!$B$53,ISNUMBER('Calibrare_Linii'!E8),S1002&lt;='Calibrare_Linii'!E8,SUM(AK1002:AM1002)&gt;0),"CANDIDATE","NO"))</x:f>
      </x:c>
      <x:c r="Y1002" s="2" t="str">
        <x:f>IF(B1002="","",IF(I1002&lt;&gt;"READY","NOT RELEASED",IF(AND(X1002="CANDIDATE",V1002&gt;='Config_v6'!$B$51,W1002="PASS",'Calibrare_Linii'!T8="VALIDATED",AND('Calibrare_Linii'!H8=C1002,ISNUMBER('Calibrare_Linii'!J8),'Calibrare_Linii'!J8&lt;='Input_Meci'!G77)),"PASS",IF(X1002="CANDIDATE","OOS PENDING","FAIL"))))</x:f>
      </x:c>
      <x:c r="Z1002" s="2" t="str">
        <x:f>IF(B1002="","",IF(I1002&lt;&gt;"READY","",IF(OR(NOT(AND(J1002="PASS",'Calibrare_Linii'!U8="VALID")),L1002&gt;'Config_v6'!$B$13,W1002="WATCH"),5,IF(Y1002="PASS",1,MIN(5,MAX('Config_v6'!$B$42,U1002)+IF(W1002="PENALTY",1,0))))))</x:f>
      </x:c>
      <x:c r="AA1002" s="2" t="str">
        <x:f>IF(B1002="","",IF(I1002&lt;&gt;"READY","NOT RELEASED",IF(Z1002=5,"NO BET",IF(OR(AB1002&lt;'Config_v6'!$B$16,V1002&lt;'Config_v6'!$B$18),"WATCH",IF(Z1002=1,"DEFENSIV",IF(Z1002=2,"PRUDENT",IF(Z1002=3,"MODERAT","RIDICAT")))))))</x:f>
      </x:c>
      <x:c r="AB1002" s="10" t="str">
        <x:f>IF(N1002="","",MIN(N1002,1-S1002))</x:f>
      </x:c>
      <x:c r="AC1002" s="2" t="str">
        <x:f>IF(AD1002&lt;&gt;1,"",COUNTIFS($Z$1000:$Z$1013,"&lt;"&amp;Z1002,$AD$1000:$AD$1013,1)+COUNTIFS($Z$1000:$Z$1013,Z1002,$AB$1000:$AB$1013,"&gt;"&amp;AB1002,$AD$1000:$AD$1013,1)+COUNTIFS($Z$1000:$Z$1013,Z1002,$AB$1000:$AB$1013,AB1002,$V$1000:$V$1013,"&gt;"&amp;V1002,$AD$1000:$AD$1013,1)+COUNTIFS($Z$1000:Z1002,Z1002,$AB$1000:AB1002,AB1002,$V$1000:V1002,V1002,$AD$1000:AD1002,1))</x:f>
      </x:c>
      <x:c r="AD1002" s="2" t="n">
        <x:f>IF(OR(AA1002="DEFENSIV",AA1002="PRUDENT",AA1002="MODERAT",AA1002="RIDICAT"),1,0)</x:f>
        <x:v>0</x:v>
      </x:c>
      <x:c r="AE1002" s="2" t="str">
        <x:f>IF(AD1002&lt;&gt;1,"NO",IF(W1002="PASS","YES",IF(W1002="OOS PENDING","CONDITIONAL","NO")))</x:f>
        <x:v>NO</x:v>
      </x:c>
      <x:c r="AF1002" s="2" t="n">
        <x:f>IF(AND(AD1002=1,AC1002=1,E1002="LIVE"),1,0)</x:f>
        <x:v>0</x:v>
      </x:c>
      <x:c r="AG1002" s="2" t="str">
        <x:f>IF(AF1002&lt;&gt;1,"",'Dashboard'!P97)</x:f>
      </x:c>
      <x:c r="AH1002" s="2" t="str">
        <x:f>IF(B1002="","",IF(J1002&lt;&gt;"PASS",'Motor_Meciuri'!J77,IF('Calibrare_Linii'!U8&lt;&gt;"VALID","Parametri linie invalizi",IF(L1002&gt;'Config_v6'!$B$13,"Dispersie peste limita",IF(W1002="WATCH","Failure peste limita",IF(AB1002&lt;'Config_v6'!$B$16,"P finala sub prag",IF(V1002&lt;'Config_v6'!$B$18,"Confidence sub prag",IF(E1002="REPLAY","Exemplu retrospectiv; exclus din Top LIVE",IF(Y1002="PASS","DEFENSIV validat",IF(W1002="OOS PENDING","Eligibil; calibrare linie in monitorizare","Eligibil"))))))))))</x:f>
      </x:c>
      <x:c r="AI1002" s="2" t="str">
        <x:f>IF(B1002="","",'Calibrare_Linii'!V8)</x:f>
      </x:c>
      <x:c r="AJ1002" s="2" t="str">
        <x:f>IF(B1002="","",IF(AND('Calibrare_Linii'!T8="VALIDATED",AND('Calibrare_Linii'!H8=C1002,ISNUMBER('Calibrare_Linii'!J8),'Calibrare_Linii'!J8&lt;='Input_Meci'!G77)),"DEFENSIVE VALIDATED",IF(AND('Calibrare_Linii'!S8="VALIDATED",AND('Calibrare_Linii'!H8=C1002,ISNUMBER('Calibrare_Linii'!J8),'Calibrare_Linii'!J8&lt;='Input_Meci'!G77)),"TAIL VALIDATED","OOS PENDING")))</x:f>
      </x:c>
      <x:c r="AK1002" s="2" t="n">
        <x:f>IF(J1002&lt;&gt;"PASS",0,'Motor_Meciuri'!BR77)</x:f>
        <x:v>0</x:v>
      </x:c>
      <x:c r="AL1002" s="2" t="n">
        <x:f>IF(J1002&lt;&gt;"PASS",0,'Motor_Meciuri'!BS77)</x:f>
        <x:v>0</x:v>
      </x:c>
      <x:c r="AM1002" s="2" t="n">
        <x:f>IF(J1002&lt;&gt;"PASS",0,'Motor_Meciuri'!BT77)</x:f>
        <x:v>0</x:v>
      </x:c>
      <x:c r="AN1002" s="2" t="str">
        <x:f>IF(M1002="","",MAX(0,'Motor_Meciuri'!BF77-IF(L1002&gt;'Config_v6'!$B$12,'Config_v6'!$B$37,IF(L1002&gt;'Config_v6'!$B$11,'Config_v6'!$B$36,0))))</x:f>
      </x:c>
    </x:row>
    <x:row r="1003" ht="21" customHeight="1">
      <x:c r="A1003" s="2" t="n">
        <x:v>72</x:v>
      </x:c>
      <x:c r="B1003" s="2" t="str">
        <x:f>IF('Motor_Meciuri'!A77="","",'Motor_Meciuri'!A77)</x:f>
      </x:c>
      <x:c r="C1003" s="2" t="str">
        <x:f>IF(B1003="","",'Motor_Meciuri'!B77)</x:f>
      </x:c>
      <x:c r="D1003" s="2" t="str">
        <x:f>IF(B1003="","",'Motor_Meciuri'!D77)</x:f>
      </x:c>
      <x:c r="E1003" s="2" t="str">
        <x:f>IF(B1003="","",'Motor_Meciuri'!E77)</x:f>
      </x:c>
      <x:c r="F1003" s="2" t="str">
        <x:v>O6,5</x:v>
      </x:c>
      <x:c r="G1003" s="2" t="str">
        <x:v>OVER</x:v>
      </x:c>
      <x:c r="H1003" s="2" t="n">
        <x:v>6</x:v>
      </x:c>
      <x:c r="I1003" s="2" t="str">
        <x:f>IF(B1003="","",'Motor_Meciuri'!H77)</x:f>
      </x:c>
      <x:c r="J1003" s="2" t="str">
        <x:f>IF(B1003="","",'Motor_Meciuri'!I77)</x:f>
      </x:c>
      <x:c r="K1003" s="11" t="str">
        <x:f>IF(J1003&lt;&gt;"PASS","",'Motor_Meciuri'!BD77)</x:f>
      </x:c>
      <x:c r="L1003" s="11" t="str">
        <x:f>IF(J1003&lt;&gt;"PASS","",'Motor_Meciuri'!AU77)</x:f>
      </x:c>
      <x:c r="M1003" s="10" t="str">
        <x:f>IF(NOT(AND(J1003="PASS",'Calibrare_Linii'!U9="VALID")),"",1-'Distributie'!AD77)</x:f>
      </x:c>
      <x:c r="N1003" s="10" t="str">
        <x:f>IF(M1003="","",MAX(0.01,MIN(0.99,0.5+(M1003-0.5)*'Motor_Meciuri'!BG77*'Calibrare_Linii'!D9)))</x:f>
      </x:c>
      <x:c r="O1003" s="10" t="str">
        <x:f>IF(M1003="","",1-M1003)</x:f>
      </x:c>
      <x:c r="P1003" s="10" t="str">
        <x:f>IF(OR(NOT(AND(J1003="PASS",'Calibrare_Linii'!U9="VALID")),AK1003=0),""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*('Istoric_Nativ'!$Q$6:$Q$405&lt;=H1003))/AK1003)</x:f>
      </x:c>
      <x:c r="Q1003" s="10" t="str">
        <x:f>IF(OR(NOT(AND(J1003="PASS",'Calibrare_Linii'!U9="VALID")),AL1003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M77)+((('Istoric_Nativ'!$E$6:$E$405='Input_Meci'!E77)+('Istoric_Nativ'!$F$6:$F$405='Input_Meci'!E77))&gt;0)*('Istoric_Nativ'!$D$6:$D$405&gt;='Motor_Meciuri'!BN77))&gt;0)*('Istoric_Nativ'!$Q$6:$Q$405&lt;=H1003))/AL1003)</x:f>
      </x:c>
      <x:c r="R1003" s="10" t="str">
        <x:f>IF(OR(NOT(AND(J1003="PASS",'Calibrare_Linii'!U9="VALID")),AM1003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O77)+((('Istoric_Nativ'!$E$6:$E$405='Input_Meci'!E77)+('Istoric_Nativ'!$F$6:$F$405='Input_Meci'!E77))&gt;0)*('Istoric_Nativ'!$D$6:$D$405&gt;='Motor_Meciuri'!BP77))&gt;0)*('Istoric_Nativ'!$Q$6:$Q$405&lt;=H1003))/AM1003)</x:f>
      </x:c>
      <x:c r="S1003" s="10" t="str">
        <x:f>IF(M1003="","",MAX(O1003,P1003,Q1003,R1003))</x:f>
      </x:c>
      <x:c r="T1003" s="11" t="str">
        <x:f>IF(M1003="","",MIN(100,S1003*100*'Config_v6'!$B$44+MIN(100,L1003/'Config_v6'!$B$13*100)*'Config_v6'!$B$45+(100-'Motor_Meciuri'!BF77)*'Config_v6'!$B$46+'Motor_Meciuri'!BH77*100*'Config_v6'!$B$47))</x:f>
      </x:c>
      <x:c r="U1003" s="2" t="str">
        <x:f>IF(T1003="","",IF(T1003&lt;=20,1,IF(T1003&lt;=40,2,IF(T1003&lt;=60,3,IF(T1003&lt;=80,4,5)))))</x:f>
      </x:c>
      <x:c r="V1003" s="2" t="str">
        <x:f>IF(M1003="","",MAX(0,'Motor_Meciuri'!BF77-IF(W1003="OOS PENDING",'Config_v6'!$B$35,0)-IF(L1003&gt;'Config_v6'!$B$12,'Config_v6'!$B$37,IF(L1003&gt;'Config_v6'!$B$11,'Config_v6'!$B$36,0))))</x:f>
      </x:c>
      <x:c r="W1003" s="2" t="str">
        <x:f>IF(B1003="","",IF(I1003&lt;&gt;"READY","NOT RELEASED",IF(NOT(AND(J1003="PASS",'Calibrare_Linii'!U9="VALID")),"INVALID",IF(NOT(AND('Calibrare_Linii'!S9="VALIDATED",AND('Calibrare_Linii'!H9=C1003,ISNUMBER('Calibrare_Linii'!J9),'Calibrare_Linii'!J9&lt;='Input_Meci'!G77))),"OOS PENDING",IF(S1003&lt;='Calibrare_Linii'!E9,"PASS",IF(S1003&lt;='Calibrare_Linii'!F9,"PENALTY","WATCH"))))))</x:f>
      </x:c>
      <x:c r="X1003" s="2" t="str">
        <x:f>IF(M1003="","",IF(AND(AND(J1003="PASS",'Calibrare_Linii'!U9="VALID"),'Motor_Meciuri'!K77=12,'Motor_Meciuri'!L77=12,'Motor_Meciuri'!M77="NO",'Motor_Meciuri'!BL77='Motor_Meciuri'!C77,AB1003&gt;='Config_v6'!$B$50,AN1003&gt;='Config_v6'!$B$51,T1003&lt;='Config_v6'!$B$52,L1003&lt;='Config_v6'!$B$53,ISNUMBER('Calibrare_Linii'!E9),S1003&lt;='Calibrare_Linii'!E9,SUM(AK1003:AM1003)&gt;0),"CANDIDATE","NO"))</x:f>
      </x:c>
      <x:c r="Y1003" s="2" t="str">
        <x:f>IF(B1003="","",IF(I1003&lt;&gt;"READY","NOT RELEASED",IF(AND(X1003="CANDIDATE",V1003&gt;='Config_v6'!$B$51,W1003="PASS",'Calibrare_Linii'!T9="VALIDATED",AND('Calibrare_Linii'!H9=C1003,ISNUMBER('Calibrare_Linii'!J9),'Calibrare_Linii'!J9&lt;='Input_Meci'!G77)),"PASS",IF(X1003="CANDIDATE","OOS PENDING","FAIL"))))</x:f>
      </x:c>
      <x:c r="Z1003" s="2" t="str">
        <x:f>IF(B1003="","",IF(I1003&lt;&gt;"READY","",IF(OR(NOT(AND(J1003="PASS",'Calibrare_Linii'!U9="VALID")),L1003&gt;'Config_v6'!$B$13,W1003="WATCH"),5,IF(Y1003="PASS",1,MIN(5,MAX('Config_v6'!$B$42,U1003)+IF(W1003="PENALTY",1,0))))))</x:f>
      </x:c>
      <x:c r="AA1003" s="2" t="str">
        <x:f>IF(B1003="","",IF(I1003&lt;&gt;"READY","NOT RELEASED",IF(Z1003=5,"NO BET",IF(OR(AB1003&lt;'Config_v6'!$B$16,V1003&lt;'Config_v6'!$B$18),"WATCH",IF(Z1003=1,"DEFENSIV",IF(Z1003=2,"PRUDENT",IF(Z1003=3,"MODERAT","RIDICAT")))))))</x:f>
      </x:c>
      <x:c r="AB1003" s="10" t="str">
        <x:f>IF(N1003="","",MIN(N1003,1-S1003))</x:f>
      </x:c>
      <x:c r="AC1003" s="2" t="str">
        <x:f>IF(AD1003&lt;&gt;1,"",COUNTIFS($Z$1000:$Z$1013,"&lt;"&amp;Z1003,$AD$1000:$AD$1013,1)+COUNTIFS($Z$1000:$Z$1013,Z1003,$AB$1000:$AB$1013,"&gt;"&amp;AB1003,$AD$1000:$AD$1013,1)+COUNTIFS($Z$1000:$Z$1013,Z1003,$AB$1000:$AB$1013,AB1003,$V$1000:$V$1013,"&gt;"&amp;V1003,$AD$1000:$AD$1013,1)+COUNTIFS($Z$1000:Z1003,Z1003,$AB$1000:AB1003,AB1003,$V$1000:V1003,V1003,$AD$1000:AD1003,1))</x:f>
      </x:c>
      <x:c r="AD1003" s="2" t="n">
        <x:f>IF(OR(AA1003="DEFENSIV",AA1003="PRUDENT",AA1003="MODERAT",AA1003="RIDICAT"),1,0)</x:f>
        <x:v>0</x:v>
      </x:c>
      <x:c r="AE1003" s="2" t="str">
        <x:f>IF(AD1003&lt;&gt;1,"NO",IF(W1003="PASS","YES",IF(W1003="OOS PENDING","CONDITIONAL","NO")))</x:f>
        <x:v>NO</x:v>
      </x:c>
      <x:c r="AF1003" s="2" t="n">
        <x:f>IF(AND(AD1003=1,AC1003=1,E1003="LIVE"),1,0)</x:f>
        <x:v>0</x:v>
      </x:c>
      <x:c r="AG1003" s="2" t="str">
        <x:f>IF(AF1003&lt;&gt;1,"",'Dashboard'!P97)</x:f>
      </x:c>
      <x:c r="AH1003" s="2" t="str">
        <x:f>IF(B1003="","",IF(J1003&lt;&gt;"PASS",'Motor_Meciuri'!J77,IF('Calibrare_Linii'!U9&lt;&gt;"VALID","Parametri linie invalizi",IF(L1003&gt;'Config_v6'!$B$13,"Dispersie peste limita",IF(W1003="WATCH","Failure peste limita",IF(AB1003&lt;'Config_v6'!$B$16,"P finala sub prag",IF(V1003&lt;'Config_v6'!$B$18,"Confidence sub prag",IF(E1003="REPLAY","Exemplu retrospectiv; exclus din Top LIVE",IF(Y1003="PASS","DEFENSIV validat",IF(W1003="OOS PENDING","Eligibil; calibrare linie in monitorizare","Eligibil"))))))))))</x:f>
      </x:c>
      <x:c r="AI1003" s="2" t="str">
        <x:f>IF(B1003="","",'Calibrare_Linii'!V9)</x:f>
      </x:c>
      <x:c r="AJ1003" s="2" t="str">
        <x:f>IF(B1003="","",IF(AND('Calibrare_Linii'!T9="VALIDATED",AND('Calibrare_Linii'!H9=C1003,ISNUMBER('Calibrare_Linii'!J9),'Calibrare_Linii'!J9&lt;='Input_Meci'!G77)),"DEFENSIVE VALIDATED",IF(AND('Calibrare_Linii'!S9="VALIDATED",AND('Calibrare_Linii'!H9=C1003,ISNUMBER('Calibrare_Linii'!J9),'Calibrare_Linii'!J9&lt;='Input_Meci'!G77)),"TAIL VALIDATED","OOS PENDING")))</x:f>
      </x:c>
      <x:c r="AK1003" s="2" t="n">
        <x:f>IF(J1003&lt;&gt;"PASS",0,'Motor_Meciuri'!BR77)</x:f>
        <x:v>0</x:v>
      </x:c>
      <x:c r="AL1003" s="2" t="n">
        <x:f>IF(J1003&lt;&gt;"PASS",0,'Motor_Meciuri'!BS77)</x:f>
        <x:v>0</x:v>
      </x:c>
      <x:c r="AM1003" s="2" t="n">
        <x:f>IF(J1003&lt;&gt;"PASS",0,'Motor_Meciuri'!BT77)</x:f>
        <x:v>0</x:v>
      </x:c>
      <x:c r="AN1003" s="2" t="str">
        <x:f>IF(M1003="","",MAX(0,'Motor_Meciuri'!BF77-IF(L1003&gt;'Config_v6'!$B$12,'Config_v6'!$B$37,IF(L1003&gt;'Config_v6'!$B$11,'Config_v6'!$B$36,0))))</x:f>
      </x:c>
    </x:row>
    <x:row r="1004" ht="21" customHeight="1">
      <x:c r="A1004" s="2" t="n">
        <x:v>72</x:v>
      </x:c>
      <x:c r="B1004" s="2" t="str">
        <x:f>IF('Motor_Meciuri'!A77="","",'Motor_Meciuri'!A77)</x:f>
      </x:c>
      <x:c r="C1004" s="2" t="str">
        <x:f>IF(B1004="","",'Motor_Meciuri'!B77)</x:f>
      </x:c>
      <x:c r="D1004" s="2" t="str">
        <x:f>IF(B1004="","",'Motor_Meciuri'!D77)</x:f>
      </x:c>
      <x:c r="E1004" s="2" t="str">
        <x:f>IF(B1004="","",'Motor_Meciuri'!E77)</x:f>
      </x:c>
      <x:c r="F1004" s="2" t="str">
        <x:v>O7,5</x:v>
      </x:c>
      <x:c r="G1004" s="2" t="str">
        <x:v>OVER</x:v>
      </x:c>
      <x:c r="H1004" s="2" t="n">
        <x:v>7</x:v>
      </x:c>
      <x:c r="I1004" s="2" t="str">
        <x:f>IF(B1004="","",'Motor_Meciuri'!H77)</x:f>
      </x:c>
      <x:c r="J1004" s="2" t="str">
        <x:f>IF(B1004="","",'Motor_Meciuri'!I77)</x:f>
      </x:c>
      <x:c r="K1004" s="11" t="str">
        <x:f>IF(J1004&lt;&gt;"PASS","",'Motor_Meciuri'!BD77)</x:f>
      </x:c>
      <x:c r="L1004" s="11" t="str">
        <x:f>IF(J1004&lt;&gt;"PASS","",'Motor_Meciuri'!AU77)</x:f>
      </x:c>
      <x:c r="M1004" s="10" t="str">
        <x:f>IF(NOT(AND(J1004="PASS",'Calibrare_Linii'!U10="VALID")),"",1-'Distributie'!AE77)</x:f>
      </x:c>
      <x:c r="N1004" s="10" t="str">
        <x:f>IF(M1004="","",MAX(0.01,MIN(0.99,0.5+(M1004-0.5)*'Motor_Meciuri'!BG77*'Calibrare_Linii'!D10)))</x:f>
      </x:c>
      <x:c r="O1004" s="10" t="str">
        <x:f>IF(M1004="","",1-M1004)</x:f>
      </x:c>
      <x:c r="P1004" s="10" t="str">
        <x:f>IF(OR(NOT(AND(J1004="PASS",'Calibrare_Linii'!U10="VALID")),AK1004=0),""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*('Istoric_Nativ'!$Q$6:$Q$405&lt;=H1004))/AK1004)</x:f>
      </x:c>
      <x:c r="Q1004" s="10" t="str">
        <x:f>IF(OR(NOT(AND(J1004="PASS",'Calibrare_Linii'!U10="VALID")),AL1004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M77)+((('Istoric_Nativ'!$E$6:$E$405='Input_Meci'!E77)+('Istoric_Nativ'!$F$6:$F$405='Input_Meci'!E77))&gt;0)*('Istoric_Nativ'!$D$6:$D$405&gt;='Motor_Meciuri'!BN77))&gt;0)*('Istoric_Nativ'!$Q$6:$Q$405&lt;=H1004))/AL1004)</x:f>
      </x:c>
      <x:c r="R1004" s="10" t="str">
        <x:f>IF(OR(NOT(AND(J1004="PASS",'Calibrare_Linii'!U10="VALID")),AM1004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O77)+((('Istoric_Nativ'!$E$6:$E$405='Input_Meci'!E77)+('Istoric_Nativ'!$F$6:$F$405='Input_Meci'!E77))&gt;0)*('Istoric_Nativ'!$D$6:$D$405&gt;='Motor_Meciuri'!BP77))&gt;0)*('Istoric_Nativ'!$Q$6:$Q$405&lt;=H1004))/AM1004)</x:f>
      </x:c>
      <x:c r="S1004" s="10" t="str">
        <x:f>IF(M1004="","",MAX(O1004,P1004,Q1004,R1004))</x:f>
      </x:c>
      <x:c r="T1004" s="11" t="str">
        <x:f>IF(M1004="","",MIN(100,S1004*100*'Config_v6'!$B$44+MIN(100,L1004/'Config_v6'!$B$13*100)*'Config_v6'!$B$45+(100-'Motor_Meciuri'!BF77)*'Config_v6'!$B$46+'Motor_Meciuri'!BH77*100*'Config_v6'!$B$47))</x:f>
      </x:c>
      <x:c r="U1004" s="2" t="str">
        <x:f>IF(T1004="","",IF(T1004&lt;=20,1,IF(T1004&lt;=40,2,IF(T1004&lt;=60,3,IF(T1004&lt;=80,4,5)))))</x:f>
      </x:c>
      <x:c r="V1004" s="2" t="str">
        <x:f>IF(M1004="","",MAX(0,'Motor_Meciuri'!BF77-IF(W1004="OOS PENDING",'Config_v6'!$B$35,0)-IF(L1004&gt;'Config_v6'!$B$12,'Config_v6'!$B$37,IF(L1004&gt;'Config_v6'!$B$11,'Config_v6'!$B$36,0))))</x:f>
      </x:c>
      <x:c r="W1004" s="2" t="str">
        <x:f>IF(B1004="","",IF(I1004&lt;&gt;"READY","NOT RELEASED",IF(NOT(AND(J1004="PASS",'Calibrare_Linii'!U10="VALID")),"INVALID",IF(NOT(AND('Calibrare_Linii'!S10="VALIDATED",AND('Calibrare_Linii'!H10=C1004,ISNUMBER('Calibrare_Linii'!J10),'Calibrare_Linii'!J10&lt;='Input_Meci'!G77))),"OOS PENDING",IF(S1004&lt;='Calibrare_Linii'!E10,"PASS",IF(S1004&lt;='Calibrare_Linii'!F10,"PENALTY","WATCH"))))))</x:f>
      </x:c>
      <x:c r="X1004" s="2" t="str">
        <x:f>IF(M1004="","",IF(AND(AND(J1004="PASS",'Calibrare_Linii'!U10="VALID"),'Motor_Meciuri'!K77=12,'Motor_Meciuri'!L77=12,'Motor_Meciuri'!M77="NO",'Motor_Meciuri'!BL77='Motor_Meciuri'!C77,AB1004&gt;='Config_v6'!$B$50,AN1004&gt;='Config_v6'!$B$51,T1004&lt;='Config_v6'!$B$52,L1004&lt;='Config_v6'!$B$53,ISNUMBER('Calibrare_Linii'!E10),S1004&lt;='Calibrare_Linii'!E10,SUM(AK1004:AM1004)&gt;0),"CANDIDATE","NO"))</x:f>
      </x:c>
      <x:c r="Y1004" s="2" t="str">
        <x:f>IF(B1004="","",IF(I1004&lt;&gt;"READY","NOT RELEASED",IF(AND(X1004="CANDIDATE",V1004&gt;='Config_v6'!$B$51,W1004="PASS",'Calibrare_Linii'!T10="VALIDATED",AND('Calibrare_Linii'!H10=C1004,ISNUMBER('Calibrare_Linii'!J10),'Calibrare_Linii'!J10&lt;='Input_Meci'!G77)),"PASS",IF(X1004="CANDIDATE","OOS PENDING","FAIL"))))</x:f>
      </x:c>
      <x:c r="Z1004" s="2" t="str">
        <x:f>IF(B1004="","",IF(I1004&lt;&gt;"READY","",IF(OR(NOT(AND(J1004="PASS",'Calibrare_Linii'!U10="VALID")),L1004&gt;'Config_v6'!$B$13,W1004="WATCH"),5,IF(Y1004="PASS",1,MIN(5,MAX('Config_v6'!$B$42,U1004)+IF(W1004="PENALTY",1,0))))))</x:f>
      </x:c>
      <x:c r="AA1004" s="2" t="str">
        <x:f>IF(B1004="","",IF(I1004&lt;&gt;"READY","NOT RELEASED",IF(Z1004=5,"NO BET",IF(OR(AB1004&lt;'Config_v6'!$B$16,V1004&lt;'Config_v6'!$B$18),"WATCH",IF(Z1004=1,"DEFENSIV",IF(Z1004=2,"PRUDENT",IF(Z1004=3,"MODERAT","RIDICAT")))))))</x:f>
      </x:c>
      <x:c r="AB1004" s="10" t="str">
        <x:f>IF(N1004="","",MIN(N1004,1-S1004))</x:f>
      </x:c>
      <x:c r="AC1004" s="2" t="str">
        <x:f>IF(AD1004&lt;&gt;1,"",COUNTIFS($Z$1000:$Z$1013,"&lt;"&amp;Z1004,$AD$1000:$AD$1013,1)+COUNTIFS($Z$1000:$Z$1013,Z1004,$AB$1000:$AB$1013,"&gt;"&amp;AB1004,$AD$1000:$AD$1013,1)+COUNTIFS($Z$1000:$Z$1013,Z1004,$AB$1000:$AB$1013,AB1004,$V$1000:$V$1013,"&gt;"&amp;V1004,$AD$1000:$AD$1013,1)+COUNTIFS($Z$1000:Z1004,Z1004,$AB$1000:AB1004,AB1004,$V$1000:V1004,V1004,$AD$1000:AD1004,1))</x:f>
      </x:c>
      <x:c r="AD1004" s="2" t="n">
        <x:f>IF(OR(AA1004="DEFENSIV",AA1004="PRUDENT",AA1004="MODERAT",AA1004="RIDICAT"),1,0)</x:f>
        <x:v>0</x:v>
      </x:c>
      <x:c r="AE1004" s="2" t="str">
        <x:f>IF(AD1004&lt;&gt;1,"NO",IF(W1004="PASS","YES",IF(W1004="OOS PENDING","CONDITIONAL","NO")))</x:f>
        <x:v>NO</x:v>
      </x:c>
      <x:c r="AF1004" s="2" t="n">
        <x:f>IF(AND(AD1004=1,AC1004=1,E1004="LIVE"),1,0)</x:f>
        <x:v>0</x:v>
      </x:c>
      <x:c r="AG1004" s="2" t="str">
        <x:f>IF(AF1004&lt;&gt;1,"",'Dashboard'!P97)</x:f>
      </x:c>
      <x:c r="AH1004" s="2" t="str">
        <x:f>IF(B1004="","",IF(J1004&lt;&gt;"PASS",'Motor_Meciuri'!J77,IF('Calibrare_Linii'!U10&lt;&gt;"VALID","Parametri linie invalizi",IF(L1004&gt;'Config_v6'!$B$13,"Dispersie peste limita",IF(W1004="WATCH","Failure peste limita",IF(AB1004&lt;'Config_v6'!$B$16,"P finala sub prag",IF(V1004&lt;'Config_v6'!$B$18,"Confidence sub prag",IF(E1004="REPLAY","Exemplu retrospectiv; exclus din Top LIVE",IF(Y1004="PASS","DEFENSIV validat",IF(W1004="OOS PENDING","Eligibil; calibrare linie in monitorizare","Eligibil"))))))))))</x:f>
      </x:c>
      <x:c r="AI1004" s="2" t="str">
        <x:f>IF(B1004="","",'Calibrare_Linii'!V10)</x:f>
      </x:c>
      <x:c r="AJ1004" s="2" t="str">
        <x:f>IF(B1004="","",IF(AND('Calibrare_Linii'!T10="VALIDATED",AND('Calibrare_Linii'!H10=C1004,ISNUMBER('Calibrare_Linii'!J10),'Calibrare_Linii'!J10&lt;='Input_Meci'!G77)),"DEFENSIVE VALIDATED",IF(AND('Calibrare_Linii'!S10="VALIDATED",AND('Calibrare_Linii'!H10=C1004,ISNUMBER('Calibrare_Linii'!J10),'Calibrare_Linii'!J10&lt;='Input_Meci'!G77)),"TAIL VALIDATED","OOS PENDING")))</x:f>
      </x:c>
      <x:c r="AK1004" s="2" t="n">
        <x:f>IF(J1004&lt;&gt;"PASS",0,'Motor_Meciuri'!BR77)</x:f>
        <x:v>0</x:v>
      </x:c>
      <x:c r="AL1004" s="2" t="n">
        <x:f>IF(J1004&lt;&gt;"PASS",0,'Motor_Meciuri'!BS77)</x:f>
        <x:v>0</x:v>
      </x:c>
      <x:c r="AM1004" s="2" t="n">
        <x:f>IF(J1004&lt;&gt;"PASS",0,'Motor_Meciuri'!BT77)</x:f>
        <x:v>0</x:v>
      </x:c>
      <x:c r="AN1004" s="2" t="str">
        <x:f>IF(M1004="","",MAX(0,'Motor_Meciuri'!BF77-IF(L1004&gt;'Config_v6'!$B$12,'Config_v6'!$B$37,IF(L1004&gt;'Config_v6'!$B$11,'Config_v6'!$B$36,0))))</x:f>
      </x:c>
    </x:row>
    <x:row r="1005" ht="21" customHeight="1">
      <x:c r="A1005" s="2" t="n">
        <x:v>72</x:v>
      </x:c>
      <x:c r="B1005" s="2" t="str">
        <x:f>IF('Motor_Meciuri'!A77="","",'Motor_Meciuri'!A77)</x:f>
      </x:c>
      <x:c r="C1005" s="2" t="str">
        <x:f>IF(B1005="","",'Motor_Meciuri'!B77)</x:f>
      </x:c>
      <x:c r="D1005" s="2" t="str">
        <x:f>IF(B1005="","",'Motor_Meciuri'!D77)</x:f>
      </x:c>
      <x:c r="E1005" s="2" t="str">
        <x:f>IF(B1005="","",'Motor_Meciuri'!E77)</x:f>
      </x:c>
      <x:c r="F1005" s="2" t="str">
        <x:v>O8,5</x:v>
      </x:c>
      <x:c r="G1005" s="2" t="str">
        <x:v>OVER</x:v>
      </x:c>
      <x:c r="H1005" s="2" t="n">
        <x:v>8</x:v>
      </x:c>
      <x:c r="I1005" s="2" t="str">
        <x:f>IF(B1005="","",'Motor_Meciuri'!H77)</x:f>
      </x:c>
      <x:c r="J1005" s="2" t="str">
        <x:f>IF(B1005="","",'Motor_Meciuri'!I77)</x:f>
      </x:c>
      <x:c r="K1005" s="11" t="str">
        <x:f>IF(J1005&lt;&gt;"PASS","",'Motor_Meciuri'!BD77)</x:f>
      </x:c>
      <x:c r="L1005" s="11" t="str">
        <x:f>IF(J1005&lt;&gt;"PASS","",'Motor_Meciuri'!AU77)</x:f>
      </x:c>
      <x:c r="M1005" s="10" t="str">
        <x:f>IF(NOT(AND(J1005="PASS",'Calibrare_Linii'!U11="VALID")),"",1-'Distributie'!AF77)</x:f>
      </x:c>
      <x:c r="N1005" s="10" t="str">
        <x:f>IF(M1005="","",MAX(0.01,MIN(0.99,0.5+(M1005-0.5)*'Motor_Meciuri'!BG77*'Calibrare_Linii'!D11)))</x:f>
      </x:c>
      <x:c r="O1005" s="10" t="str">
        <x:f>IF(M1005="","",1-M1005)</x:f>
      </x:c>
      <x:c r="P1005" s="10" t="str">
        <x:f>IF(OR(NOT(AND(J1005="PASS",'Calibrare_Linii'!U11="VALID")),AK1005=0),""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*('Istoric_Nativ'!$Q$6:$Q$405&lt;=H1005))/AK1005)</x:f>
      </x:c>
      <x:c r="Q1005" s="10" t="str">
        <x:f>IF(OR(NOT(AND(J1005="PASS",'Calibrare_Linii'!U11="VALID")),AL1005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M77)+((('Istoric_Nativ'!$E$6:$E$405='Input_Meci'!E77)+('Istoric_Nativ'!$F$6:$F$405='Input_Meci'!E77))&gt;0)*('Istoric_Nativ'!$D$6:$D$405&gt;='Motor_Meciuri'!BN77))&gt;0)*('Istoric_Nativ'!$Q$6:$Q$405&lt;=H1005))/AL1005)</x:f>
      </x:c>
      <x:c r="R1005" s="10" t="str">
        <x:f>IF(OR(NOT(AND(J1005="PASS",'Calibrare_Linii'!U11="VALID")),AM1005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O77)+((('Istoric_Nativ'!$E$6:$E$405='Input_Meci'!E77)+('Istoric_Nativ'!$F$6:$F$405='Input_Meci'!E77))&gt;0)*('Istoric_Nativ'!$D$6:$D$405&gt;='Motor_Meciuri'!BP77))&gt;0)*('Istoric_Nativ'!$Q$6:$Q$405&lt;=H1005))/AM1005)</x:f>
      </x:c>
      <x:c r="S1005" s="10" t="str">
        <x:f>IF(M1005="","",MAX(O1005,P1005,Q1005,R1005))</x:f>
      </x:c>
      <x:c r="T1005" s="11" t="str">
        <x:f>IF(M1005="","",MIN(100,S1005*100*'Config_v6'!$B$44+MIN(100,L1005/'Config_v6'!$B$13*100)*'Config_v6'!$B$45+(100-'Motor_Meciuri'!BF77)*'Config_v6'!$B$46+'Motor_Meciuri'!BH77*100*'Config_v6'!$B$47))</x:f>
      </x:c>
      <x:c r="U1005" s="2" t="str">
        <x:f>IF(T1005="","",IF(T1005&lt;=20,1,IF(T1005&lt;=40,2,IF(T1005&lt;=60,3,IF(T1005&lt;=80,4,5)))))</x:f>
      </x:c>
      <x:c r="V1005" s="2" t="str">
        <x:f>IF(M1005="","",MAX(0,'Motor_Meciuri'!BF77-IF(W1005="OOS PENDING",'Config_v6'!$B$35,0)-IF(L1005&gt;'Config_v6'!$B$12,'Config_v6'!$B$37,IF(L1005&gt;'Config_v6'!$B$11,'Config_v6'!$B$36,0))))</x:f>
      </x:c>
      <x:c r="W1005" s="2" t="str">
        <x:f>IF(B1005="","",IF(I1005&lt;&gt;"READY","NOT RELEASED",IF(NOT(AND(J1005="PASS",'Calibrare_Linii'!U11="VALID")),"INVALID",IF(NOT(AND('Calibrare_Linii'!S11="VALIDATED",AND('Calibrare_Linii'!H11=C1005,ISNUMBER('Calibrare_Linii'!J11),'Calibrare_Linii'!J11&lt;='Input_Meci'!G77))),"OOS PENDING",IF(S1005&lt;='Calibrare_Linii'!E11,"PASS",IF(S1005&lt;='Calibrare_Linii'!F11,"PENALTY","WATCH"))))))</x:f>
      </x:c>
      <x:c r="X1005" s="2" t="str">
        <x:f>IF(M1005="","",IF(AND(AND(J1005="PASS",'Calibrare_Linii'!U11="VALID"),'Motor_Meciuri'!K77=12,'Motor_Meciuri'!L77=12,'Motor_Meciuri'!M77="NO",'Motor_Meciuri'!BL77='Motor_Meciuri'!C77,AB1005&gt;='Config_v6'!$B$50,AN1005&gt;='Config_v6'!$B$51,T1005&lt;='Config_v6'!$B$52,L1005&lt;='Config_v6'!$B$53,ISNUMBER('Calibrare_Linii'!E11),S1005&lt;='Calibrare_Linii'!E11,SUM(AK1005:AM1005)&gt;0),"CANDIDATE","NO"))</x:f>
      </x:c>
      <x:c r="Y1005" s="2" t="str">
        <x:f>IF(B1005="","",IF(I1005&lt;&gt;"READY","NOT RELEASED",IF(AND(X1005="CANDIDATE",V1005&gt;='Config_v6'!$B$51,W1005="PASS",'Calibrare_Linii'!T11="VALIDATED",AND('Calibrare_Linii'!H11=C1005,ISNUMBER('Calibrare_Linii'!J11),'Calibrare_Linii'!J11&lt;='Input_Meci'!G77)),"PASS",IF(X1005="CANDIDATE","OOS PENDING","FAIL"))))</x:f>
      </x:c>
      <x:c r="Z1005" s="2" t="str">
        <x:f>IF(B1005="","",IF(I1005&lt;&gt;"READY","",IF(OR(NOT(AND(J1005="PASS",'Calibrare_Linii'!U11="VALID")),L1005&gt;'Config_v6'!$B$13,W1005="WATCH"),5,IF(Y1005="PASS",1,MIN(5,MAX('Config_v6'!$B$42,U1005)+IF(W1005="PENALTY",1,0))))))</x:f>
      </x:c>
      <x:c r="AA1005" s="2" t="str">
        <x:f>IF(B1005="","",IF(I1005&lt;&gt;"READY","NOT RELEASED",IF(Z1005=5,"NO BET",IF(OR(AB1005&lt;'Config_v6'!$B$16,V1005&lt;'Config_v6'!$B$18),"WATCH",IF(Z1005=1,"DEFENSIV",IF(Z1005=2,"PRUDENT",IF(Z1005=3,"MODERAT","RIDICAT")))))))</x:f>
      </x:c>
      <x:c r="AB1005" s="10" t="str">
        <x:f>IF(N1005="","",MIN(N1005,1-S1005))</x:f>
      </x:c>
      <x:c r="AC1005" s="2" t="str">
        <x:f>IF(AD1005&lt;&gt;1,"",COUNTIFS($Z$1000:$Z$1013,"&lt;"&amp;Z1005,$AD$1000:$AD$1013,1)+COUNTIFS($Z$1000:$Z$1013,Z1005,$AB$1000:$AB$1013,"&gt;"&amp;AB1005,$AD$1000:$AD$1013,1)+COUNTIFS($Z$1000:$Z$1013,Z1005,$AB$1000:$AB$1013,AB1005,$V$1000:$V$1013,"&gt;"&amp;V1005,$AD$1000:$AD$1013,1)+COUNTIFS($Z$1000:Z1005,Z1005,$AB$1000:AB1005,AB1005,$V$1000:V1005,V1005,$AD$1000:AD1005,1))</x:f>
      </x:c>
      <x:c r="AD1005" s="2" t="n">
        <x:f>IF(OR(AA1005="DEFENSIV",AA1005="PRUDENT",AA1005="MODERAT",AA1005="RIDICAT"),1,0)</x:f>
        <x:v>0</x:v>
      </x:c>
      <x:c r="AE1005" s="2" t="str">
        <x:f>IF(AD1005&lt;&gt;1,"NO",IF(W1005="PASS","YES",IF(W1005="OOS PENDING","CONDITIONAL","NO")))</x:f>
        <x:v>NO</x:v>
      </x:c>
      <x:c r="AF1005" s="2" t="n">
        <x:f>IF(AND(AD1005=1,AC1005=1,E1005="LIVE"),1,0)</x:f>
        <x:v>0</x:v>
      </x:c>
      <x:c r="AG1005" s="2" t="str">
        <x:f>IF(AF1005&lt;&gt;1,"",'Dashboard'!P97)</x:f>
      </x:c>
      <x:c r="AH1005" s="2" t="str">
        <x:f>IF(B1005="","",IF(J1005&lt;&gt;"PASS",'Motor_Meciuri'!J77,IF('Calibrare_Linii'!U11&lt;&gt;"VALID","Parametri linie invalizi",IF(L1005&gt;'Config_v6'!$B$13,"Dispersie peste limita",IF(W1005="WATCH","Failure peste limita",IF(AB1005&lt;'Config_v6'!$B$16,"P finala sub prag",IF(V1005&lt;'Config_v6'!$B$18,"Confidence sub prag",IF(E1005="REPLAY","Exemplu retrospectiv; exclus din Top LIVE",IF(Y1005="PASS","DEFENSIV validat",IF(W1005="OOS PENDING","Eligibil; calibrare linie in monitorizare","Eligibil"))))))))))</x:f>
      </x:c>
      <x:c r="AI1005" s="2" t="str">
        <x:f>IF(B1005="","",'Calibrare_Linii'!V11)</x:f>
      </x:c>
      <x:c r="AJ1005" s="2" t="str">
        <x:f>IF(B1005="","",IF(AND('Calibrare_Linii'!T11="VALIDATED",AND('Calibrare_Linii'!H11=C1005,ISNUMBER('Calibrare_Linii'!J11),'Calibrare_Linii'!J11&lt;='Input_Meci'!G77)),"DEFENSIVE VALIDATED",IF(AND('Calibrare_Linii'!S11="VALIDATED",AND('Calibrare_Linii'!H11=C1005,ISNUMBER('Calibrare_Linii'!J11),'Calibrare_Linii'!J11&lt;='Input_Meci'!G77)),"TAIL VALIDATED","OOS PENDING")))</x:f>
      </x:c>
      <x:c r="AK1005" s="2" t="n">
        <x:f>IF(J1005&lt;&gt;"PASS",0,'Motor_Meciuri'!BR77)</x:f>
        <x:v>0</x:v>
      </x:c>
      <x:c r="AL1005" s="2" t="n">
        <x:f>IF(J1005&lt;&gt;"PASS",0,'Motor_Meciuri'!BS77)</x:f>
        <x:v>0</x:v>
      </x:c>
      <x:c r="AM1005" s="2" t="n">
        <x:f>IF(J1005&lt;&gt;"PASS",0,'Motor_Meciuri'!BT77)</x:f>
        <x:v>0</x:v>
      </x:c>
      <x:c r="AN1005" s="2" t="str">
        <x:f>IF(M1005="","",MAX(0,'Motor_Meciuri'!BF77-IF(L1005&gt;'Config_v6'!$B$12,'Config_v6'!$B$37,IF(L1005&gt;'Config_v6'!$B$11,'Config_v6'!$B$36,0))))</x:f>
      </x:c>
    </x:row>
    <x:row r="1006" ht="21" customHeight="1">
      <x:c r="A1006" s="2" t="n">
        <x:v>72</x:v>
      </x:c>
      <x:c r="B1006" s="2" t="str">
        <x:f>IF('Motor_Meciuri'!A77="","",'Motor_Meciuri'!A77)</x:f>
      </x:c>
      <x:c r="C1006" s="2" t="str">
        <x:f>IF(B1006="","",'Motor_Meciuri'!B77)</x:f>
      </x:c>
      <x:c r="D1006" s="2" t="str">
        <x:f>IF(B1006="","",'Motor_Meciuri'!D77)</x:f>
      </x:c>
      <x:c r="E1006" s="2" t="str">
        <x:f>IF(B1006="","",'Motor_Meciuri'!E77)</x:f>
      </x:c>
      <x:c r="F1006" s="2" t="str">
        <x:v>U10,5</x:v>
      </x:c>
      <x:c r="G1006" s="2" t="str">
        <x:v>UNDER</x:v>
      </x:c>
      <x:c r="H1006" s="2" t="n">
        <x:v>10</x:v>
      </x:c>
      <x:c r="I1006" s="2" t="str">
        <x:f>IF(B1006="","",'Motor_Meciuri'!H77)</x:f>
      </x:c>
      <x:c r="J1006" s="2" t="str">
        <x:f>IF(B1006="","",'Motor_Meciuri'!I77)</x:f>
      </x:c>
      <x:c r="K1006" s="11" t="str">
        <x:f>IF(J1006&lt;&gt;"PASS","",'Motor_Meciuri'!BD77)</x:f>
      </x:c>
      <x:c r="L1006" s="11" t="str">
        <x:f>IF(J1006&lt;&gt;"PASS","",'Motor_Meciuri'!AU77)</x:f>
      </x:c>
      <x:c r="M1006" s="10" t="str">
        <x:f>IF(NOT(AND(J1006="PASS",'Calibrare_Linii'!U12="VALID")),"",'Distributie'!AH77)</x:f>
      </x:c>
      <x:c r="N1006" s="10" t="str">
        <x:f>IF(M1006="","",MAX(0.01,MIN(0.99,0.5+(M1006-0.5)*'Motor_Meciuri'!BG77*'Calibrare_Linii'!D12)))</x:f>
      </x:c>
      <x:c r="O1006" s="10" t="str">
        <x:f>IF(M1006="","",1-M1006)</x:f>
      </x:c>
      <x:c r="P1006" s="10" t="str">
        <x:f>IF(OR(NOT(AND(J1006="PASS",'Calibrare_Linii'!U12="VALID")),AK1006=0),""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*('Istoric_Nativ'!$Q$6:$Q$405&gt;H1006))/AK1006)</x:f>
      </x:c>
      <x:c r="Q1006" s="10" t="str">
        <x:f>IF(OR(NOT(AND(J1006="PASS",'Calibrare_Linii'!U12="VALID")),AL1006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M77)+((('Istoric_Nativ'!$E$6:$E$405='Input_Meci'!E77)+('Istoric_Nativ'!$F$6:$F$405='Input_Meci'!E77))&gt;0)*('Istoric_Nativ'!$D$6:$D$405&gt;='Motor_Meciuri'!BN77))&gt;0)*('Istoric_Nativ'!$Q$6:$Q$405&gt;H1006))/AL1006)</x:f>
      </x:c>
      <x:c r="R1006" s="10" t="str">
        <x:f>IF(OR(NOT(AND(J1006="PASS",'Calibrare_Linii'!U12="VALID")),AM1006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O77)+((('Istoric_Nativ'!$E$6:$E$405='Input_Meci'!E77)+('Istoric_Nativ'!$F$6:$F$405='Input_Meci'!E77))&gt;0)*('Istoric_Nativ'!$D$6:$D$405&gt;='Motor_Meciuri'!BP77))&gt;0)*('Istoric_Nativ'!$Q$6:$Q$405&gt;H1006))/AM1006)</x:f>
      </x:c>
      <x:c r="S1006" s="10" t="str">
        <x:f>IF(M1006="","",MAX(O1006,P1006,Q1006,R1006))</x:f>
      </x:c>
      <x:c r="T1006" s="11" t="str">
        <x:f>IF(M1006="","",MIN(100,S1006*100*'Config_v6'!$B$44+MIN(100,L1006/'Config_v6'!$B$13*100)*'Config_v6'!$B$45+(100-'Motor_Meciuri'!BF77)*'Config_v6'!$B$46+'Motor_Meciuri'!BH77*100*'Config_v6'!$B$47))</x:f>
      </x:c>
      <x:c r="U1006" s="2" t="str">
        <x:f>IF(T1006="","",IF(T1006&lt;=20,1,IF(T1006&lt;=40,2,IF(T1006&lt;=60,3,IF(T1006&lt;=80,4,5)))))</x:f>
      </x:c>
      <x:c r="V1006" s="2" t="str">
        <x:f>IF(M1006="","",MAX(0,'Motor_Meciuri'!BF77-IF(W1006="OOS PENDING",'Config_v6'!$B$35,0)-IF(L1006&gt;'Config_v6'!$B$12,'Config_v6'!$B$37,IF(L1006&gt;'Config_v6'!$B$11,'Config_v6'!$B$36,0))))</x:f>
      </x:c>
      <x:c r="W1006" s="2" t="str">
        <x:f>IF(B1006="","",IF(I1006&lt;&gt;"READY","NOT RELEASED",IF(NOT(AND(J1006="PASS",'Calibrare_Linii'!U12="VALID")),"INVALID",IF(NOT(AND('Calibrare_Linii'!S12="VALIDATED",AND('Calibrare_Linii'!H12=C1006,ISNUMBER('Calibrare_Linii'!J12),'Calibrare_Linii'!J12&lt;='Input_Meci'!G77))),"OOS PENDING",IF(S1006&lt;='Calibrare_Linii'!E12,"PASS",IF(S1006&lt;='Calibrare_Linii'!F12,"PENALTY","WATCH"))))))</x:f>
      </x:c>
      <x:c r="X1006" s="2" t="str">
        <x:f>IF(M1006="","",IF(AND(AND(J1006="PASS",'Calibrare_Linii'!U12="VALID"),'Motor_Meciuri'!K77=12,'Motor_Meciuri'!L77=12,'Motor_Meciuri'!M77="NO",'Motor_Meciuri'!BL77='Motor_Meciuri'!C77,AB1006&gt;='Config_v6'!$B$50,AN1006&gt;='Config_v6'!$B$51,T1006&lt;='Config_v6'!$B$52,L1006&lt;='Config_v6'!$B$53,ISNUMBER('Calibrare_Linii'!E12),S1006&lt;='Calibrare_Linii'!E12,SUM(AK1006:AM1006)&gt;0),"CANDIDATE","NO"))</x:f>
      </x:c>
      <x:c r="Y1006" s="2" t="str">
        <x:f>IF(B1006="","",IF(I1006&lt;&gt;"READY","NOT RELEASED",IF(AND(X1006="CANDIDATE",V1006&gt;='Config_v6'!$B$51,W1006="PASS",'Calibrare_Linii'!T12="VALIDATED",AND('Calibrare_Linii'!H12=C1006,ISNUMBER('Calibrare_Linii'!J12),'Calibrare_Linii'!J12&lt;='Input_Meci'!G77)),"PASS",IF(X1006="CANDIDATE","OOS PENDING","FAIL"))))</x:f>
      </x:c>
      <x:c r="Z1006" s="2" t="str">
        <x:f>IF(B1006="","",IF(I1006&lt;&gt;"READY","",IF(OR(NOT(AND(J1006="PASS",'Calibrare_Linii'!U12="VALID")),L1006&gt;'Config_v6'!$B$13,W1006="WATCH"),5,IF(Y1006="PASS",1,MIN(5,MAX('Config_v6'!$B$42,U1006)+IF(W1006="PENALTY",1,0))))))</x:f>
      </x:c>
      <x:c r="AA1006" s="2" t="str">
        <x:f>IF(B1006="","",IF(I1006&lt;&gt;"READY","NOT RELEASED",IF(Z1006=5,"NO BET",IF(OR(AB1006&lt;'Config_v6'!$B$16,V1006&lt;'Config_v6'!$B$18),"WATCH",IF(Z1006=1,"DEFENSIV",IF(Z1006=2,"PRUDENT",IF(Z1006=3,"MODERAT","RIDICAT")))))))</x:f>
      </x:c>
      <x:c r="AB1006" s="10" t="str">
        <x:f>IF(N1006="","",MIN(N1006,1-S1006))</x:f>
      </x:c>
      <x:c r="AC1006" s="2" t="str">
        <x:f>IF(AD1006&lt;&gt;1,"",COUNTIFS($Z$1000:$Z$1013,"&lt;"&amp;Z1006,$AD$1000:$AD$1013,1)+COUNTIFS($Z$1000:$Z$1013,Z1006,$AB$1000:$AB$1013,"&gt;"&amp;AB1006,$AD$1000:$AD$1013,1)+COUNTIFS($Z$1000:$Z$1013,Z1006,$AB$1000:$AB$1013,AB1006,$V$1000:$V$1013,"&gt;"&amp;V1006,$AD$1000:$AD$1013,1)+COUNTIFS($Z$1000:Z1006,Z1006,$AB$1000:AB1006,AB1006,$V$1000:V1006,V1006,$AD$1000:AD1006,1))</x:f>
      </x:c>
      <x:c r="AD1006" s="2" t="n">
        <x:f>IF(OR(AA1006="DEFENSIV",AA1006="PRUDENT",AA1006="MODERAT",AA1006="RIDICAT"),1,0)</x:f>
        <x:v>0</x:v>
      </x:c>
      <x:c r="AE1006" s="2" t="str">
        <x:f>IF(AD1006&lt;&gt;1,"NO",IF(W1006="PASS","YES",IF(W1006="OOS PENDING","CONDITIONAL","NO")))</x:f>
        <x:v>NO</x:v>
      </x:c>
      <x:c r="AF1006" s="2" t="n">
        <x:f>IF(AND(AD1006=1,AC1006=1,E1006="LIVE"),1,0)</x:f>
        <x:v>0</x:v>
      </x:c>
      <x:c r="AG1006" s="2" t="str">
        <x:f>IF(AF1006&lt;&gt;1,"",'Dashboard'!P97)</x:f>
      </x:c>
      <x:c r="AH1006" s="2" t="str">
        <x:f>IF(B1006="","",IF(J1006&lt;&gt;"PASS",'Motor_Meciuri'!J77,IF('Calibrare_Linii'!U12&lt;&gt;"VALID","Parametri linie invalizi",IF(L1006&gt;'Config_v6'!$B$13,"Dispersie peste limita",IF(W1006="WATCH","Failure peste limita",IF(AB1006&lt;'Config_v6'!$B$16,"P finala sub prag",IF(V1006&lt;'Config_v6'!$B$18,"Confidence sub prag",IF(E1006="REPLAY","Exemplu retrospectiv; exclus din Top LIVE",IF(Y1006="PASS","DEFENSIV validat",IF(W1006="OOS PENDING","Eligibil; calibrare linie in monitorizare","Eligibil"))))))))))</x:f>
      </x:c>
      <x:c r="AI1006" s="2" t="str">
        <x:f>IF(B1006="","",'Calibrare_Linii'!V12)</x:f>
      </x:c>
      <x:c r="AJ1006" s="2" t="str">
        <x:f>IF(B1006="","",IF(AND('Calibrare_Linii'!T12="VALIDATED",AND('Calibrare_Linii'!H12=C1006,ISNUMBER('Calibrare_Linii'!J12),'Calibrare_Linii'!J12&lt;='Input_Meci'!G77)),"DEFENSIVE VALIDATED",IF(AND('Calibrare_Linii'!S12="VALIDATED",AND('Calibrare_Linii'!H12=C1006,ISNUMBER('Calibrare_Linii'!J12),'Calibrare_Linii'!J12&lt;='Input_Meci'!G77)),"TAIL VALIDATED","OOS PENDING")))</x:f>
      </x:c>
      <x:c r="AK1006" s="2" t="n">
        <x:f>IF(J1006&lt;&gt;"PASS",0,'Motor_Meciuri'!BR77)</x:f>
        <x:v>0</x:v>
      </x:c>
      <x:c r="AL1006" s="2" t="n">
        <x:f>IF(J1006&lt;&gt;"PASS",0,'Motor_Meciuri'!BS77)</x:f>
        <x:v>0</x:v>
      </x:c>
      <x:c r="AM1006" s="2" t="n">
        <x:f>IF(J1006&lt;&gt;"PASS",0,'Motor_Meciuri'!BT77)</x:f>
        <x:v>0</x:v>
      </x:c>
      <x:c r="AN1006" s="2" t="str">
        <x:f>IF(M1006="","",MAX(0,'Motor_Meciuri'!BF77-IF(L1006&gt;'Config_v6'!$B$12,'Config_v6'!$B$37,IF(L1006&gt;'Config_v6'!$B$11,'Config_v6'!$B$36,0))))</x:f>
      </x:c>
    </x:row>
    <x:row r="1007" ht="21" customHeight="1">
      <x:c r="A1007" s="2" t="n">
        <x:v>72</x:v>
      </x:c>
      <x:c r="B1007" s="2" t="str">
        <x:f>IF('Motor_Meciuri'!A77="","",'Motor_Meciuri'!A77)</x:f>
      </x:c>
      <x:c r="C1007" s="2" t="str">
        <x:f>IF(B1007="","",'Motor_Meciuri'!B77)</x:f>
      </x:c>
      <x:c r="D1007" s="2" t="str">
        <x:f>IF(B1007="","",'Motor_Meciuri'!D77)</x:f>
      </x:c>
      <x:c r="E1007" s="2" t="str">
        <x:f>IF(B1007="","",'Motor_Meciuri'!E77)</x:f>
      </x:c>
      <x:c r="F1007" s="2" t="str">
        <x:v>U11,5</x:v>
      </x:c>
      <x:c r="G1007" s="2" t="str">
        <x:v>UNDER</x:v>
      </x:c>
      <x:c r="H1007" s="2" t="n">
        <x:v>11</x:v>
      </x:c>
      <x:c r="I1007" s="2" t="str">
        <x:f>IF(B1007="","",'Motor_Meciuri'!H77)</x:f>
      </x:c>
      <x:c r="J1007" s="2" t="str">
        <x:f>IF(B1007="","",'Motor_Meciuri'!I77)</x:f>
      </x:c>
      <x:c r="K1007" s="11" t="str">
        <x:f>IF(J1007&lt;&gt;"PASS","",'Motor_Meciuri'!BD77)</x:f>
      </x:c>
      <x:c r="L1007" s="11" t="str">
        <x:f>IF(J1007&lt;&gt;"PASS","",'Motor_Meciuri'!AU77)</x:f>
      </x:c>
      <x:c r="M1007" s="10" t="str">
        <x:f>IF(NOT(AND(J1007="PASS",'Calibrare_Linii'!U13="VALID")),"",'Distributie'!AI77)</x:f>
      </x:c>
      <x:c r="N1007" s="10" t="str">
        <x:f>IF(M1007="","",MAX(0.01,MIN(0.99,0.5+(M1007-0.5)*'Motor_Meciuri'!BG77*'Calibrare_Linii'!D13)))</x:f>
      </x:c>
      <x:c r="O1007" s="10" t="str">
        <x:f>IF(M1007="","",1-M1007)</x:f>
      </x:c>
      <x:c r="P1007" s="10" t="str">
        <x:f>IF(OR(NOT(AND(J1007="PASS",'Calibrare_Linii'!U13="VALID")),AK1007=0),""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*('Istoric_Nativ'!$Q$6:$Q$405&gt;H1007))/AK1007)</x:f>
      </x:c>
      <x:c r="Q1007" s="10" t="str">
        <x:f>IF(OR(NOT(AND(J1007="PASS",'Calibrare_Linii'!U13="VALID")),AL1007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M77)+((('Istoric_Nativ'!$E$6:$E$405='Input_Meci'!E77)+('Istoric_Nativ'!$F$6:$F$405='Input_Meci'!E77))&gt;0)*('Istoric_Nativ'!$D$6:$D$405&gt;='Motor_Meciuri'!BN77))&gt;0)*('Istoric_Nativ'!$Q$6:$Q$405&gt;H1007))/AL1007)</x:f>
      </x:c>
      <x:c r="R1007" s="10" t="str">
        <x:f>IF(OR(NOT(AND(J1007="PASS",'Calibrare_Linii'!U13="VALID")),AM1007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O77)+((('Istoric_Nativ'!$E$6:$E$405='Input_Meci'!E77)+('Istoric_Nativ'!$F$6:$F$405='Input_Meci'!E77))&gt;0)*('Istoric_Nativ'!$D$6:$D$405&gt;='Motor_Meciuri'!BP77))&gt;0)*('Istoric_Nativ'!$Q$6:$Q$405&gt;H1007))/AM1007)</x:f>
      </x:c>
      <x:c r="S1007" s="10" t="str">
        <x:f>IF(M1007="","",MAX(O1007,P1007,Q1007,R1007))</x:f>
      </x:c>
      <x:c r="T1007" s="11" t="str">
        <x:f>IF(M1007="","",MIN(100,S1007*100*'Config_v6'!$B$44+MIN(100,L1007/'Config_v6'!$B$13*100)*'Config_v6'!$B$45+(100-'Motor_Meciuri'!BF77)*'Config_v6'!$B$46+'Motor_Meciuri'!BH77*100*'Config_v6'!$B$47))</x:f>
      </x:c>
      <x:c r="U1007" s="2" t="str">
        <x:f>IF(T1007="","",IF(T1007&lt;=20,1,IF(T1007&lt;=40,2,IF(T1007&lt;=60,3,IF(T1007&lt;=80,4,5)))))</x:f>
      </x:c>
      <x:c r="V1007" s="2" t="str">
        <x:f>IF(M1007="","",MAX(0,'Motor_Meciuri'!BF77-IF(W1007="OOS PENDING",'Config_v6'!$B$35,0)-IF(L1007&gt;'Config_v6'!$B$12,'Config_v6'!$B$37,IF(L1007&gt;'Config_v6'!$B$11,'Config_v6'!$B$36,0))))</x:f>
      </x:c>
      <x:c r="W1007" s="2" t="str">
        <x:f>IF(B1007="","",IF(I1007&lt;&gt;"READY","NOT RELEASED",IF(NOT(AND(J1007="PASS",'Calibrare_Linii'!U13="VALID")),"INVALID",IF(NOT(AND('Calibrare_Linii'!S13="VALIDATED",AND('Calibrare_Linii'!H13=C1007,ISNUMBER('Calibrare_Linii'!J13),'Calibrare_Linii'!J13&lt;='Input_Meci'!G77))),"OOS PENDING",IF(S1007&lt;='Calibrare_Linii'!E13,"PASS",IF(S1007&lt;='Calibrare_Linii'!F13,"PENALTY","WATCH"))))))</x:f>
      </x:c>
      <x:c r="X1007" s="2" t="str">
        <x:f>IF(M1007="","",IF(AND(AND(J1007="PASS",'Calibrare_Linii'!U13="VALID"),'Motor_Meciuri'!K77=12,'Motor_Meciuri'!L77=12,'Motor_Meciuri'!M77="NO",'Motor_Meciuri'!BL77='Motor_Meciuri'!C77,AB1007&gt;='Config_v6'!$B$50,AN1007&gt;='Config_v6'!$B$51,T1007&lt;='Config_v6'!$B$52,L1007&lt;='Config_v6'!$B$53,ISNUMBER('Calibrare_Linii'!E13),S1007&lt;='Calibrare_Linii'!E13,SUM(AK1007:AM1007)&gt;0),"CANDIDATE","NO"))</x:f>
      </x:c>
      <x:c r="Y1007" s="2" t="str">
        <x:f>IF(B1007="","",IF(I1007&lt;&gt;"READY","NOT RELEASED",IF(AND(X1007="CANDIDATE",V1007&gt;='Config_v6'!$B$51,W1007="PASS",'Calibrare_Linii'!T13="VALIDATED",AND('Calibrare_Linii'!H13=C1007,ISNUMBER('Calibrare_Linii'!J13),'Calibrare_Linii'!J13&lt;='Input_Meci'!G77)),"PASS",IF(X1007="CANDIDATE","OOS PENDING","FAIL"))))</x:f>
      </x:c>
      <x:c r="Z1007" s="2" t="str">
        <x:f>IF(B1007="","",IF(I1007&lt;&gt;"READY","",IF(OR(NOT(AND(J1007="PASS",'Calibrare_Linii'!U13="VALID")),L1007&gt;'Config_v6'!$B$13,W1007="WATCH"),5,IF(Y1007="PASS",1,MIN(5,MAX('Config_v6'!$B$42,U1007)+IF(W1007="PENALTY",1,0))))))</x:f>
      </x:c>
      <x:c r="AA1007" s="2" t="str">
        <x:f>IF(B1007="","",IF(I1007&lt;&gt;"READY","NOT RELEASED",IF(Z1007=5,"NO BET",IF(OR(AB1007&lt;'Config_v6'!$B$16,V1007&lt;'Config_v6'!$B$18),"WATCH",IF(Z1007=1,"DEFENSIV",IF(Z1007=2,"PRUDENT",IF(Z1007=3,"MODERAT","RIDICAT")))))))</x:f>
      </x:c>
      <x:c r="AB1007" s="10" t="str">
        <x:f>IF(N1007="","",MIN(N1007,1-S1007))</x:f>
      </x:c>
      <x:c r="AC1007" s="2" t="str">
        <x:f>IF(AD1007&lt;&gt;1,"",COUNTIFS($Z$1000:$Z$1013,"&lt;"&amp;Z1007,$AD$1000:$AD$1013,1)+COUNTIFS($Z$1000:$Z$1013,Z1007,$AB$1000:$AB$1013,"&gt;"&amp;AB1007,$AD$1000:$AD$1013,1)+COUNTIFS($Z$1000:$Z$1013,Z1007,$AB$1000:$AB$1013,AB1007,$V$1000:$V$1013,"&gt;"&amp;V1007,$AD$1000:$AD$1013,1)+COUNTIFS($Z$1000:Z1007,Z1007,$AB$1000:AB1007,AB1007,$V$1000:V1007,V1007,$AD$1000:AD1007,1))</x:f>
      </x:c>
      <x:c r="AD1007" s="2" t="n">
        <x:f>IF(OR(AA1007="DEFENSIV",AA1007="PRUDENT",AA1007="MODERAT",AA1007="RIDICAT"),1,0)</x:f>
        <x:v>0</x:v>
      </x:c>
      <x:c r="AE1007" s="2" t="str">
        <x:f>IF(AD1007&lt;&gt;1,"NO",IF(W1007="PASS","YES",IF(W1007="OOS PENDING","CONDITIONAL","NO")))</x:f>
        <x:v>NO</x:v>
      </x:c>
      <x:c r="AF1007" s="2" t="n">
        <x:f>IF(AND(AD1007=1,AC1007=1,E1007="LIVE"),1,0)</x:f>
        <x:v>0</x:v>
      </x:c>
      <x:c r="AG1007" s="2" t="str">
        <x:f>IF(AF1007&lt;&gt;1,"",'Dashboard'!P97)</x:f>
      </x:c>
      <x:c r="AH1007" s="2" t="str">
        <x:f>IF(B1007="","",IF(J1007&lt;&gt;"PASS",'Motor_Meciuri'!J77,IF('Calibrare_Linii'!U13&lt;&gt;"VALID","Parametri linie invalizi",IF(L1007&gt;'Config_v6'!$B$13,"Dispersie peste limita",IF(W1007="WATCH","Failure peste limita",IF(AB1007&lt;'Config_v6'!$B$16,"P finala sub prag",IF(V1007&lt;'Config_v6'!$B$18,"Confidence sub prag",IF(E1007="REPLAY","Exemplu retrospectiv; exclus din Top LIVE",IF(Y1007="PASS","DEFENSIV validat",IF(W1007="OOS PENDING","Eligibil; calibrare linie in monitorizare","Eligibil"))))))))))</x:f>
      </x:c>
      <x:c r="AI1007" s="2" t="str">
        <x:f>IF(B1007="","",'Calibrare_Linii'!V13)</x:f>
      </x:c>
      <x:c r="AJ1007" s="2" t="str">
        <x:f>IF(B1007="","",IF(AND('Calibrare_Linii'!T13="VALIDATED",AND('Calibrare_Linii'!H13=C1007,ISNUMBER('Calibrare_Linii'!J13),'Calibrare_Linii'!J13&lt;='Input_Meci'!G77)),"DEFENSIVE VALIDATED",IF(AND('Calibrare_Linii'!S13="VALIDATED",AND('Calibrare_Linii'!H13=C1007,ISNUMBER('Calibrare_Linii'!J13),'Calibrare_Linii'!J13&lt;='Input_Meci'!G77)),"TAIL VALIDATED","OOS PENDING")))</x:f>
      </x:c>
      <x:c r="AK1007" s="2" t="n">
        <x:f>IF(J1007&lt;&gt;"PASS",0,'Motor_Meciuri'!BR77)</x:f>
        <x:v>0</x:v>
      </x:c>
      <x:c r="AL1007" s="2" t="n">
        <x:f>IF(J1007&lt;&gt;"PASS",0,'Motor_Meciuri'!BS77)</x:f>
        <x:v>0</x:v>
      </x:c>
      <x:c r="AM1007" s="2" t="n">
        <x:f>IF(J1007&lt;&gt;"PASS",0,'Motor_Meciuri'!BT77)</x:f>
        <x:v>0</x:v>
      </x:c>
      <x:c r="AN1007" s="2" t="str">
        <x:f>IF(M1007="","",MAX(0,'Motor_Meciuri'!BF77-IF(L1007&gt;'Config_v6'!$B$12,'Config_v6'!$B$37,IF(L1007&gt;'Config_v6'!$B$11,'Config_v6'!$B$36,0))))</x:f>
      </x:c>
    </x:row>
    <x:row r="1008" ht="21" customHeight="1">
      <x:c r="A1008" s="2" t="n">
        <x:v>72</x:v>
      </x:c>
      <x:c r="B1008" s="2" t="str">
        <x:f>IF('Motor_Meciuri'!A77="","",'Motor_Meciuri'!A77)</x:f>
      </x:c>
      <x:c r="C1008" s="2" t="str">
        <x:f>IF(B1008="","",'Motor_Meciuri'!B77)</x:f>
      </x:c>
      <x:c r="D1008" s="2" t="str">
        <x:f>IF(B1008="","",'Motor_Meciuri'!D77)</x:f>
      </x:c>
      <x:c r="E1008" s="2" t="str">
        <x:f>IF(B1008="","",'Motor_Meciuri'!E77)</x:f>
      </x:c>
      <x:c r="F1008" s="2" t="str">
        <x:v>U12,5</x:v>
      </x:c>
      <x:c r="G1008" s="2" t="str">
        <x:v>UNDER</x:v>
      </x:c>
      <x:c r="H1008" s="2" t="n">
        <x:v>12</x:v>
      </x:c>
      <x:c r="I1008" s="2" t="str">
        <x:f>IF(B1008="","",'Motor_Meciuri'!H77)</x:f>
      </x:c>
      <x:c r="J1008" s="2" t="str">
        <x:f>IF(B1008="","",'Motor_Meciuri'!I77)</x:f>
      </x:c>
      <x:c r="K1008" s="11" t="str">
        <x:f>IF(J1008&lt;&gt;"PASS","",'Motor_Meciuri'!BD77)</x:f>
      </x:c>
      <x:c r="L1008" s="11" t="str">
        <x:f>IF(J1008&lt;&gt;"PASS","",'Motor_Meciuri'!AU77)</x:f>
      </x:c>
      <x:c r="M1008" s="10" t="str">
        <x:f>IF(NOT(AND(J1008="PASS",'Calibrare_Linii'!U14="VALID")),"",'Distributie'!AJ77)</x:f>
      </x:c>
      <x:c r="N1008" s="10" t="str">
        <x:f>IF(M1008="","",MAX(0.01,MIN(0.99,0.5+(M1008-0.5)*'Motor_Meciuri'!BG77*'Calibrare_Linii'!D14)))</x:f>
      </x:c>
      <x:c r="O1008" s="10" t="str">
        <x:f>IF(M1008="","",1-M1008)</x:f>
      </x:c>
      <x:c r="P1008" s="10" t="str">
        <x:f>IF(OR(NOT(AND(J1008="PASS",'Calibrare_Linii'!U14="VALID")),AK1008=0),""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*('Istoric_Nativ'!$Q$6:$Q$405&gt;H1008))/AK1008)</x:f>
      </x:c>
      <x:c r="Q1008" s="10" t="str">
        <x:f>IF(OR(NOT(AND(J1008="PASS",'Calibrare_Linii'!U14="VALID")),AL1008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M77)+((('Istoric_Nativ'!$E$6:$E$405='Input_Meci'!E77)+('Istoric_Nativ'!$F$6:$F$405='Input_Meci'!E77))&gt;0)*('Istoric_Nativ'!$D$6:$D$405&gt;='Motor_Meciuri'!BN77))&gt;0)*('Istoric_Nativ'!$Q$6:$Q$405&gt;H1008))/AL1008)</x:f>
      </x:c>
      <x:c r="R1008" s="10" t="str">
        <x:f>IF(OR(NOT(AND(J1008="PASS",'Calibrare_Linii'!U14="VALID")),AM1008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O77)+((('Istoric_Nativ'!$E$6:$E$405='Input_Meci'!E77)+('Istoric_Nativ'!$F$6:$F$405='Input_Meci'!E77))&gt;0)*('Istoric_Nativ'!$D$6:$D$405&gt;='Motor_Meciuri'!BP77))&gt;0)*('Istoric_Nativ'!$Q$6:$Q$405&gt;H1008))/AM1008)</x:f>
      </x:c>
      <x:c r="S1008" s="10" t="str">
        <x:f>IF(M1008="","",MAX(O1008,P1008,Q1008,R1008))</x:f>
      </x:c>
      <x:c r="T1008" s="11" t="str">
        <x:f>IF(M1008="","",MIN(100,S1008*100*'Config_v6'!$B$44+MIN(100,L1008/'Config_v6'!$B$13*100)*'Config_v6'!$B$45+(100-'Motor_Meciuri'!BF77)*'Config_v6'!$B$46+'Motor_Meciuri'!BH77*100*'Config_v6'!$B$47))</x:f>
      </x:c>
      <x:c r="U1008" s="2" t="str">
        <x:f>IF(T1008="","",IF(T1008&lt;=20,1,IF(T1008&lt;=40,2,IF(T1008&lt;=60,3,IF(T1008&lt;=80,4,5)))))</x:f>
      </x:c>
      <x:c r="V1008" s="2" t="str">
        <x:f>IF(M1008="","",MAX(0,'Motor_Meciuri'!BF77-IF(W1008="OOS PENDING",'Config_v6'!$B$35,0)-IF(L1008&gt;'Config_v6'!$B$12,'Config_v6'!$B$37,IF(L1008&gt;'Config_v6'!$B$11,'Config_v6'!$B$36,0))))</x:f>
      </x:c>
      <x:c r="W1008" s="2" t="str">
        <x:f>IF(B1008="","",IF(I1008&lt;&gt;"READY","NOT RELEASED",IF(NOT(AND(J1008="PASS",'Calibrare_Linii'!U14="VALID")),"INVALID",IF(NOT(AND('Calibrare_Linii'!S14="VALIDATED",AND('Calibrare_Linii'!H14=C1008,ISNUMBER('Calibrare_Linii'!J14),'Calibrare_Linii'!J14&lt;='Input_Meci'!G77))),"OOS PENDING",IF(S1008&lt;='Calibrare_Linii'!E14,"PASS",IF(S1008&lt;='Calibrare_Linii'!F14,"PENALTY","WATCH"))))))</x:f>
      </x:c>
      <x:c r="X1008" s="2" t="str">
        <x:f>IF(M1008="","",IF(AND(AND(J1008="PASS",'Calibrare_Linii'!U14="VALID"),'Motor_Meciuri'!K77=12,'Motor_Meciuri'!L77=12,'Motor_Meciuri'!M77="NO",'Motor_Meciuri'!BL77='Motor_Meciuri'!C77,AB1008&gt;='Config_v6'!$B$50,AN1008&gt;='Config_v6'!$B$51,T1008&lt;='Config_v6'!$B$52,L1008&lt;='Config_v6'!$B$53,ISNUMBER('Calibrare_Linii'!E14),S1008&lt;='Calibrare_Linii'!E14,SUM(AK1008:AM1008)&gt;0),"CANDIDATE","NO"))</x:f>
      </x:c>
      <x:c r="Y1008" s="2" t="str">
        <x:f>IF(B1008="","",IF(I1008&lt;&gt;"READY","NOT RELEASED",IF(AND(X1008="CANDIDATE",V1008&gt;='Config_v6'!$B$51,W1008="PASS",'Calibrare_Linii'!T14="VALIDATED",AND('Calibrare_Linii'!H14=C1008,ISNUMBER('Calibrare_Linii'!J14),'Calibrare_Linii'!J14&lt;='Input_Meci'!G77)),"PASS",IF(X1008="CANDIDATE","OOS PENDING","FAIL"))))</x:f>
      </x:c>
      <x:c r="Z1008" s="2" t="str">
        <x:f>IF(B1008="","",IF(I1008&lt;&gt;"READY","",IF(OR(NOT(AND(J1008="PASS",'Calibrare_Linii'!U14="VALID")),L1008&gt;'Config_v6'!$B$13,W1008="WATCH"),5,IF(Y1008="PASS",1,MIN(5,MAX('Config_v6'!$B$42,U1008)+IF(W1008="PENALTY",1,0))))))</x:f>
      </x:c>
      <x:c r="AA1008" s="2" t="str">
        <x:f>IF(B1008="","",IF(I1008&lt;&gt;"READY","NOT RELEASED",IF(Z1008=5,"NO BET",IF(OR(AB1008&lt;'Config_v6'!$B$16,V1008&lt;'Config_v6'!$B$18),"WATCH",IF(Z1008=1,"DEFENSIV",IF(Z1008=2,"PRUDENT",IF(Z1008=3,"MODERAT","RIDICAT")))))))</x:f>
      </x:c>
      <x:c r="AB1008" s="10" t="str">
        <x:f>IF(N1008="","",MIN(N1008,1-S1008))</x:f>
      </x:c>
      <x:c r="AC1008" s="2" t="str">
        <x:f>IF(AD1008&lt;&gt;1,"",COUNTIFS($Z$1000:$Z$1013,"&lt;"&amp;Z1008,$AD$1000:$AD$1013,1)+COUNTIFS($Z$1000:$Z$1013,Z1008,$AB$1000:$AB$1013,"&gt;"&amp;AB1008,$AD$1000:$AD$1013,1)+COUNTIFS($Z$1000:$Z$1013,Z1008,$AB$1000:$AB$1013,AB1008,$V$1000:$V$1013,"&gt;"&amp;V1008,$AD$1000:$AD$1013,1)+COUNTIFS($Z$1000:Z1008,Z1008,$AB$1000:AB1008,AB1008,$V$1000:V1008,V1008,$AD$1000:AD1008,1))</x:f>
      </x:c>
      <x:c r="AD1008" s="2" t="n">
        <x:f>IF(OR(AA1008="DEFENSIV",AA1008="PRUDENT",AA1008="MODERAT",AA1008="RIDICAT"),1,0)</x:f>
        <x:v>0</x:v>
      </x:c>
      <x:c r="AE1008" s="2" t="str">
        <x:f>IF(AD1008&lt;&gt;1,"NO",IF(W1008="PASS","YES",IF(W1008="OOS PENDING","CONDITIONAL","NO")))</x:f>
        <x:v>NO</x:v>
      </x:c>
      <x:c r="AF1008" s="2" t="n">
        <x:f>IF(AND(AD1008=1,AC1008=1,E1008="LIVE"),1,0)</x:f>
        <x:v>0</x:v>
      </x:c>
      <x:c r="AG1008" s="2" t="str">
        <x:f>IF(AF1008&lt;&gt;1,"",'Dashboard'!P97)</x:f>
      </x:c>
      <x:c r="AH1008" s="2" t="str">
        <x:f>IF(B1008="","",IF(J1008&lt;&gt;"PASS",'Motor_Meciuri'!J77,IF('Calibrare_Linii'!U14&lt;&gt;"VALID","Parametri linie invalizi",IF(L1008&gt;'Config_v6'!$B$13,"Dispersie peste limita",IF(W1008="WATCH","Failure peste limita",IF(AB1008&lt;'Config_v6'!$B$16,"P finala sub prag",IF(V1008&lt;'Config_v6'!$B$18,"Confidence sub prag",IF(E1008="REPLAY","Exemplu retrospectiv; exclus din Top LIVE",IF(Y1008="PASS","DEFENSIV validat",IF(W1008="OOS PENDING","Eligibil; calibrare linie in monitorizare","Eligibil"))))))))))</x:f>
      </x:c>
      <x:c r="AI1008" s="2" t="str">
        <x:f>IF(B1008="","",'Calibrare_Linii'!V14)</x:f>
      </x:c>
      <x:c r="AJ1008" s="2" t="str">
        <x:f>IF(B1008="","",IF(AND('Calibrare_Linii'!T14="VALIDATED",AND('Calibrare_Linii'!H14=C1008,ISNUMBER('Calibrare_Linii'!J14),'Calibrare_Linii'!J14&lt;='Input_Meci'!G77)),"DEFENSIVE VALIDATED",IF(AND('Calibrare_Linii'!S14="VALIDATED",AND('Calibrare_Linii'!H14=C1008,ISNUMBER('Calibrare_Linii'!J14),'Calibrare_Linii'!J14&lt;='Input_Meci'!G77)),"TAIL VALIDATED","OOS PENDING")))</x:f>
      </x:c>
      <x:c r="AK1008" s="2" t="n">
        <x:f>IF(J1008&lt;&gt;"PASS",0,'Motor_Meciuri'!BR77)</x:f>
        <x:v>0</x:v>
      </x:c>
      <x:c r="AL1008" s="2" t="n">
        <x:f>IF(J1008&lt;&gt;"PASS",0,'Motor_Meciuri'!BS77)</x:f>
        <x:v>0</x:v>
      </x:c>
      <x:c r="AM1008" s="2" t="n">
        <x:f>IF(J1008&lt;&gt;"PASS",0,'Motor_Meciuri'!BT77)</x:f>
        <x:v>0</x:v>
      </x:c>
      <x:c r="AN1008" s="2" t="str">
        <x:f>IF(M1008="","",MAX(0,'Motor_Meciuri'!BF77-IF(L1008&gt;'Config_v6'!$B$12,'Config_v6'!$B$37,IF(L1008&gt;'Config_v6'!$B$11,'Config_v6'!$B$36,0))))</x:f>
      </x:c>
    </x:row>
    <x:row r="1009" ht="21" customHeight="1">
      <x:c r="A1009" s="2" t="n">
        <x:v>72</x:v>
      </x:c>
      <x:c r="B1009" s="2" t="str">
        <x:f>IF('Motor_Meciuri'!A77="","",'Motor_Meciuri'!A77)</x:f>
      </x:c>
      <x:c r="C1009" s="2" t="str">
        <x:f>IF(B1009="","",'Motor_Meciuri'!B77)</x:f>
      </x:c>
      <x:c r="D1009" s="2" t="str">
        <x:f>IF(B1009="","",'Motor_Meciuri'!D77)</x:f>
      </x:c>
      <x:c r="E1009" s="2" t="str">
        <x:f>IF(B1009="","",'Motor_Meciuri'!E77)</x:f>
      </x:c>
      <x:c r="F1009" s="2" t="str">
        <x:v>U13,5</x:v>
      </x:c>
      <x:c r="G1009" s="2" t="str">
        <x:v>UNDER</x:v>
      </x:c>
      <x:c r="H1009" s="2" t="n">
        <x:v>13</x:v>
      </x:c>
      <x:c r="I1009" s="2" t="str">
        <x:f>IF(B1009="","",'Motor_Meciuri'!H77)</x:f>
      </x:c>
      <x:c r="J1009" s="2" t="str">
        <x:f>IF(B1009="","",'Motor_Meciuri'!I77)</x:f>
      </x:c>
      <x:c r="K1009" s="11" t="str">
        <x:f>IF(J1009&lt;&gt;"PASS","",'Motor_Meciuri'!BD77)</x:f>
      </x:c>
      <x:c r="L1009" s="11" t="str">
        <x:f>IF(J1009&lt;&gt;"PASS","",'Motor_Meciuri'!AU77)</x:f>
      </x:c>
      <x:c r="M1009" s="10" t="str">
        <x:f>IF(NOT(AND(J1009="PASS",'Calibrare_Linii'!U15="VALID")),"",'Distributie'!AK77)</x:f>
      </x:c>
      <x:c r="N1009" s="10" t="str">
        <x:f>IF(M1009="","",MAX(0.01,MIN(0.99,0.5+(M1009-0.5)*'Motor_Meciuri'!BG77*'Calibrare_Linii'!D15)))</x:f>
      </x:c>
      <x:c r="O1009" s="10" t="str">
        <x:f>IF(M1009="","",1-M1009)</x:f>
      </x:c>
      <x:c r="P1009" s="10" t="str">
        <x:f>IF(OR(NOT(AND(J1009="PASS",'Calibrare_Linii'!U15="VALID")),AK1009=0),""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*('Istoric_Nativ'!$Q$6:$Q$405&gt;H1009))/AK1009)</x:f>
      </x:c>
      <x:c r="Q1009" s="10" t="str">
        <x:f>IF(OR(NOT(AND(J1009="PASS",'Calibrare_Linii'!U15="VALID")),AL1009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M77)+((('Istoric_Nativ'!$E$6:$E$405='Input_Meci'!E77)+('Istoric_Nativ'!$F$6:$F$405='Input_Meci'!E77))&gt;0)*('Istoric_Nativ'!$D$6:$D$405&gt;='Motor_Meciuri'!BN77))&gt;0)*('Istoric_Nativ'!$Q$6:$Q$405&gt;H1009))/AL1009)</x:f>
      </x:c>
      <x:c r="R1009" s="10" t="str">
        <x:f>IF(OR(NOT(AND(J1009="PASS",'Calibrare_Linii'!U15="VALID")),AM1009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O77)+((('Istoric_Nativ'!$E$6:$E$405='Input_Meci'!E77)+('Istoric_Nativ'!$F$6:$F$405='Input_Meci'!E77))&gt;0)*('Istoric_Nativ'!$D$6:$D$405&gt;='Motor_Meciuri'!BP77))&gt;0)*('Istoric_Nativ'!$Q$6:$Q$405&gt;H1009))/AM1009)</x:f>
      </x:c>
      <x:c r="S1009" s="10" t="str">
        <x:f>IF(M1009="","",MAX(O1009,P1009,Q1009,R1009))</x:f>
      </x:c>
      <x:c r="T1009" s="11" t="str">
        <x:f>IF(M1009="","",MIN(100,S1009*100*'Config_v6'!$B$44+MIN(100,L1009/'Config_v6'!$B$13*100)*'Config_v6'!$B$45+(100-'Motor_Meciuri'!BF77)*'Config_v6'!$B$46+'Motor_Meciuri'!BH77*100*'Config_v6'!$B$47))</x:f>
      </x:c>
      <x:c r="U1009" s="2" t="str">
        <x:f>IF(T1009="","",IF(T1009&lt;=20,1,IF(T1009&lt;=40,2,IF(T1009&lt;=60,3,IF(T1009&lt;=80,4,5)))))</x:f>
      </x:c>
      <x:c r="V1009" s="2" t="str">
        <x:f>IF(M1009="","",MAX(0,'Motor_Meciuri'!BF77-IF(W1009="OOS PENDING",'Config_v6'!$B$35,0)-IF(L1009&gt;'Config_v6'!$B$12,'Config_v6'!$B$37,IF(L1009&gt;'Config_v6'!$B$11,'Config_v6'!$B$36,0))))</x:f>
      </x:c>
      <x:c r="W1009" s="2" t="str">
        <x:f>IF(B1009="","",IF(I1009&lt;&gt;"READY","NOT RELEASED",IF(NOT(AND(J1009="PASS",'Calibrare_Linii'!U15="VALID")),"INVALID",IF(NOT(AND('Calibrare_Linii'!S15="VALIDATED",AND('Calibrare_Linii'!H15=C1009,ISNUMBER('Calibrare_Linii'!J15),'Calibrare_Linii'!J15&lt;='Input_Meci'!G77))),"OOS PENDING",IF(S1009&lt;='Calibrare_Linii'!E15,"PASS",IF(S1009&lt;='Calibrare_Linii'!F15,"PENALTY","WATCH"))))))</x:f>
      </x:c>
      <x:c r="X1009" s="2" t="str">
        <x:f>IF(M1009="","",IF(AND(AND(J1009="PASS",'Calibrare_Linii'!U15="VALID"),'Motor_Meciuri'!K77=12,'Motor_Meciuri'!L77=12,'Motor_Meciuri'!M77="NO",'Motor_Meciuri'!BL77='Motor_Meciuri'!C77,AB1009&gt;='Config_v6'!$B$50,AN1009&gt;='Config_v6'!$B$51,T1009&lt;='Config_v6'!$B$52,L1009&lt;='Config_v6'!$B$53,ISNUMBER('Calibrare_Linii'!E15),S1009&lt;='Calibrare_Linii'!E15,SUM(AK1009:AM1009)&gt;0),"CANDIDATE","NO"))</x:f>
      </x:c>
      <x:c r="Y1009" s="2" t="str">
        <x:f>IF(B1009="","",IF(I1009&lt;&gt;"READY","NOT RELEASED",IF(AND(X1009="CANDIDATE",V1009&gt;='Config_v6'!$B$51,W1009="PASS",'Calibrare_Linii'!T15="VALIDATED",AND('Calibrare_Linii'!H15=C1009,ISNUMBER('Calibrare_Linii'!J15),'Calibrare_Linii'!J15&lt;='Input_Meci'!G77)),"PASS",IF(X1009="CANDIDATE","OOS PENDING","FAIL"))))</x:f>
      </x:c>
      <x:c r="Z1009" s="2" t="str">
        <x:f>IF(B1009="","",IF(I1009&lt;&gt;"READY","",IF(OR(NOT(AND(J1009="PASS",'Calibrare_Linii'!U15="VALID")),L1009&gt;'Config_v6'!$B$13,W1009="WATCH"),5,IF(Y1009="PASS",1,MIN(5,MAX('Config_v6'!$B$42,U1009)+IF(W1009="PENALTY",1,0))))))</x:f>
      </x:c>
      <x:c r="AA1009" s="2" t="str">
        <x:f>IF(B1009="","",IF(I1009&lt;&gt;"READY","NOT RELEASED",IF(Z1009=5,"NO BET",IF(OR(AB1009&lt;'Config_v6'!$B$16,V1009&lt;'Config_v6'!$B$18),"WATCH",IF(Z1009=1,"DEFENSIV",IF(Z1009=2,"PRUDENT",IF(Z1009=3,"MODERAT","RIDICAT")))))))</x:f>
      </x:c>
      <x:c r="AB1009" s="10" t="str">
        <x:f>IF(N1009="","",MIN(N1009,1-S1009))</x:f>
      </x:c>
      <x:c r="AC1009" s="2" t="str">
        <x:f>IF(AD1009&lt;&gt;1,"",COUNTIFS($Z$1000:$Z$1013,"&lt;"&amp;Z1009,$AD$1000:$AD$1013,1)+COUNTIFS($Z$1000:$Z$1013,Z1009,$AB$1000:$AB$1013,"&gt;"&amp;AB1009,$AD$1000:$AD$1013,1)+COUNTIFS($Z$1000:$Z$1013,Z1009,$AB$1000:$AB$1013,AB1009,$V$1000:$V$1013,"&gt;"&amp;V1009,$AD$1000:$AD$1013,1)+COUNTIFS($Z$1000:Z1009,Z1009,$AB$1000:AB1009,AB1009,$V$1000:V1009,V1009,$AD$1000:AD1009,1))</x:f>
      </x:c>
      <x:c r="AD1009" s="2" t="n">
        <x:f>IF(OR(AA1009="DEFENSIV",AA1009="PRUDENT",AA1009="MODERAT",AA1009="RIDICAT"),1,0)</x:f>
        <x:v>0</x:v>
      </x:c>
      <x:c r="AE1009" s="2" t="str">
        <x:f>IF(AD1009&lt;&gt;1,"NO",IF(W1009="PASS","YES",IF(W1009="OOS PENDING","CONDITIONAL","NO")))</x:f>
        <x:v>NO</x:v>
      </x:c>
      <x:c r="AF1009" s="2" t="n">
        <x:f>IF(AND(AD1009=1,AC1009=1,E1009="LIVE"),1,0)</x:f>
        <x:v>0</x:v>
      </x:c>
      <x:c r="AG1009" s="2" t="str">
        <x:f>IF(AF1009&lt;&gt;1,"",'Dashboard'!P97)</x:f>
      </x:c>
      <x:c r="AH1009" s="2" t="str">
        <x:f>IF(B1009="","",IF(J1009&lt;&gt;"PASS",'Motor_Meciuri'!J77,IF('Calibrare_Linii'!U15&lt;&gt;"VALID","Parametri linie invalizi",IF(L1009&gt;'Config_v6'!$B$13,"Dispersie peste limita",IF(W1009="WATCH","Failure peste limita",IF(AB1009&lt;'Config_v6'!$B$16,"P finala sub prag",IF(V1009&lt;'Config_v6'!$B$18,"Confidence sub prag",IF(E1009="REPLAY","Exemplu retrospectiv; exclus din Top LIVE",IF(Y1009="PASS","DEFENSIV validat",IF(W1009="OOS PENDING","Eligibil; calibrare linie in monitorizare","Eligibil"))))))))))</x:f>
      </x:c>
      <x:c r="AI1009" s="2" t="str">
        <x:f>IF(B1009="","",'Calibrare_Linii'!V15)</x:f>
      </x:c>
      <x:c r="AJ1009" s="2" t="str">
        <x:f>IF(B1009="","",IF(AND('Calibrare_Linii'!T15="VALIDATED",AND('Calibrare_Linii'!H15=C1009,ISNUMBER('Calibrare_Linii'!J15),'Calibrare_Linii'!J15&lt;='Input_Meci'!G77)),"DEFENSIVE VALIDATED",IF(AND('Calibrare_Linii'!S15="VALIDATED",AND('Calibrare_Linii'!H15=C1009,ISNUMBER('Calibrare_Linii'!J15),'Calibrare_Linii'!J15&lt;='Input_Meci'!G77)),"TAIL VALIDATED","OOS PENDING")))</x:f>
      </x:c>
      <x:c r="AK1009" s="2" t="n">
        <x:f>IF(J1009&lt;&gt;"PASS",0,'Motor_Meciuri'!BR77)</x:f>
        <x:v>0</x:v>
      </x:c>
      <x:c r="AL1009" s="2" t="n">
        <x:f>IF(J1009&lt;&gt;"PASS",0,'Motor_Meciuri'!BS77)</x:f>
        <x:v>0</x:v>
      </x:c>
      <x:c r="AM1009" s="2" t="n">
        <x:f>IF(J1009&lt;&gt;"PASS",0,'Motor_Meciuri'!BT77)</x:f>
        <x:v>0</x:v>
      </x:c>
      <x:c r="AN1009" s="2" t="str">
        <x:f>IF(M1009="","",MAX(0,'Motor_Meciuri'!BF77-IF(L1009&gt;'Config_v6'!$B$12,'Config_v6'!$B$37,IF(L1009&gt;'Config_v6'!$B$11,'Config_v6'!$B$36,0))))</x:f>
      </x:c>
    </x:row>
    <x:row r="1010" ht="21" customHeight="1">
      <x:c r="A1010" s="2" t="n">
        <x:v>72</x:v>
      </x:c>
      <x:c r="B1010" s="2" t="str">
        <x:f>IF('Motor_Meciuri'!A77="","",'Motor_Meciuri'!A77)</x:f>
      </x:c>
      <x:c r="C1010" s="2" t="str">
        <x:f>IF(B1010="","",'Motor_Meciuri'!B77)</x:f>
      </x:c>
      <x:c r="D1010" s="2" t="str">
        <x:f>IF(B1010="","",'Motor_Meciuri'!D77)</x:f>
      </x:c>
      <x:c r="E1010" s="2" t="str">
        <x:f>IF(B1010="","",'Motor_Meciuri'!E77)</x:f>
      </x:c>
      <x:c r="F1010" s="2" t="str">
        <x:v>U14,5</x:v>
      </x:c>
      <x:c r="G1010" s="2" t="str">
        <x:v>UNDER</x:v>
      </x:c>
      <x:c r="H1010" s="2" t="n">
        <x:v>14</x:v>
      </x:c>
      <x:c r="I1010" s="2" t="str">
        <x:f>IF(B1010="","",'Motor_Meciuri'!H77)</x:f>
      </x:c>
      <x:c r="J1010" s="2" t="str">
        <x:f>IF(B1010="","",'Motor_Meciuri'!I77)</x:f>
      </x:c>
      <x:c r="K1010" s="11" t="str">
        <x:f>IF(J1010&lt;&gt;"PASS","",'Motor_Meciuri'!BD77)</x:f>
      </x:c>
      <x:c r="L1010" s="11" t="str">
        <x:f>IF(J1010&lt;&gt;"PASS","",'Motor_Meciuri'!AU77)</x:f>
      </x:c>
      <x:c r="M1010" s="10" t="str">
        <x:f>IF(NOT(AND(J1010="PASS",'Calibrare_Linii'!U16="VALID")),"",'Distributie'!AL77)</x:f>
      </x:c>
      <x:c r="N1010" s="10" t="str">
        <x:f>IF(M1010="","",MAX(0.01,MIN(0.99,0.5+(M1010-0.5)*'Motor_Meciuri'!BG77*'Calibrare_Linii'!D16)))</x:f>
      </x:c>
      <x:c r="O1010" s="10" t="str">
        <x:f>IF(M1010="","",1-M1010)</x:f>
      </x:c>
      <x:c r="P1010" s="10" t="str">
        <x:f>IF(OR(NOT(AND(J1010="PASS",'Calibrare_Linii'!U16="VALID")),AK1010=0),""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*('Istoric_Nativ'!$Q$6:$Q$405&gt;H1010))/AK1010)</x:f>
      </x:c>
      <x:c r="Q1010" s="10" t="str">
        <x:f>IF(OR(NOT(AND(J1010="PASS",'Calibrare_Linii'!U16="VALID")),AL1010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M77)+((('Istoric_Nativ'!$E$6:$E$405='Input_Meci'!E77)+('Istoric_Nativ'!$F$6:$F$405='Input_Meci'!E77))&gt;0)*('Istoric_Nativ'!$D$6:$D$405&gt;='Motor_Meciuri'!BN77))&gt;0)*('Istoric_Nativ'!$Q$6:$Q$405&gt;H1010))/AL1010)</x:f>
      </x:c>
      <x:c r="R1010" s="10" t="str">
        <x:f>IF(OR(NOT(AND(J1010="PASS",'Calibrare_Linii'!U16="VALID")),AM1010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O77)+((('Istoric_Nativ'!$E$6:$E$405='Input_Meci'!E77)+('Istoric_Nativ'!$F$6:$F$405='Input_Meci'!E77))&gt;0)*('Istoric_Nativ'!$D$6:$D$405&gt;='Motor_Meciuri'!BP77))&gt;0)*('Istoric_Nativ'!$Q$6:$Q$405&gt;H1010))/AM1010)</x:f>
      </x:c>
      <x:c r="S1010" s="10" t="str">
        <x:f>IF(M1010="","",MAX(O1010,P1010,Q1010,R1010))</x:f>
      </x:c>
      <x:c r="T1010" s="11" t="str">
        <x:f>IF(M1010="","",MIN(100,S1010*100*'Config_v6'!$B$44+MIN(100,L1010/'Config_v6'!$B$13*100)*'Config_v6'!$B$45+(100-'Motor_Meciuri'!BF77)*'Config_v6'!$B$46+'Motor_Meciuri'!BH77*100*'Config_v6'!$B$47))</x:f>
      </x:c>
      <x:c r="U1010" s="2" t="str">
        <x:f>IF(T1010="","",IF(T1010&lt;=20,1,IF(T1010&lt;=40,2,IF(T1010&lt;=60,3,IF(T1010&lt;=80,4,5)))))</x:f>
      </x:c>
      <x:c r="V1010" s="2" t="str">
        <x:f>IF(M1010="","",MAX(0,'Motor_Meciuri'!BF77-IF(W1010="OOS PENDING",'Config_v6'!$B$35,0)-IF(L1010&gt;'Config_v6'!$B$12,'Config_v6'!$B$37,IF(L1010&gt;'Config_v6'!$B$11,'Config_v6'!$B$36,0))))</x:f>
      </x:c>
      <x:c r="W1010" s="2" t="str">
        <x:f>IF(B1010="","",IF(I1010&lt;&gt;"READY","NOT RELEASED",IF(NOT(AND(J1010="PASS",'Calibrare_Linii'!U16="VALID")),"INVALID",IF(NOT(AND('Calibrare_Linii'!S16="VALIDATED",AND('Calibrare_Linii'!H16=C1010,ISNUMBER('Calibrare_Linii'!J16),'Calibrare_Linii'!J16&lt;='Input_Meci'!G77))),"OOS PENDING",IF(S1010&lt;='Calibrare_Linii'!E16,"PASS",IF(S1010&lt;='Calibrare_Linii'!F16,"PENALTY","WATCH"))))))</x:f>
      </x:c>
      <x:c r="X1010" s="2" t="str">
        <x:f>IF(M1010="","",IF(AND(AND(J1010="PASS",'Calibrare_Linii'!U16="VALID"),'Motor_Meciuri'!K77=12,'Motor_Meciuri'!L77=12,'Motor_Meciuri'!M77="NO",'Motor_Meciuri'!BL77='Motor_Meciuri'!C77,AB1010&gt;='Config_v6'!$B$50,AN1010&gt;='Config_v6'!$B$51,T1010&lt;='Config_v6'!$B$52,L1010&lt;='Config_v6'!$B$53,ISNUMBER('Calibrare_Linii'!E16),S1010&lt;='Calibrare_Linii'!E16,SUM(AK1010:AM1010)&gt;0),"CANDIDATE","NO"))</x:f>
      </x:c>
      <x:c r="Y1010" s="2" t="str">
        <x:f>IF(B1010="","",IF(I1010&lt;&gt;"READY","NOT RELEASED",IF(AND(X1010="CANDIDATE",V1010&gt;='Config_v6'!$B$51,W1010="PASS",'Calibrare_Linii'!T16="VALIDATED",AND('Calibrare_Linii'!H16=C1010,ISNUMBER('Calibrare_Linii'!J16),'Calibrare_Linii'!J16&lt;='Input_Meci'!G77)),"PASS",IF(X1010="CANDIDATE","OOS PENDING","FAIL"))))</x:f>
      </x:c>
      <x:c r="Z1010" s="2" t="str">
        <x:f>IF(B1010="","",IF(I1010&lt;&gt;"READY","",IF(OR(NOT(AND(J1010="PASS",'Calibrare_Linii'!U16="VALID")),L1010&gt;'Config_v6'!$B$13,W1010="WATCH"),5,IF(Y1010="PASS",1,MIN(5,MAX('Config_v6'!$B$42,U1010)+IF(W1010="PENALTY",1,0))))))</x:f>
      </x:c>
      <x:c r="AA1010" s="2" t="str">
        <x:f>IF(B1010="","",IF(I1010&lt;&gt;"READY","NOT RELEASED",IF(Z1010=5,"NO BET",IF(OR(AB1010&lt;'Config_v6'!$B$16,V1010&lt;'Config_v6'!$B$18),"WATCH",IF(Z1010=1,"DEFENSIV",IF(Z1010=2,"PRUDENT",IF(Z1010=3,"MODERAT","RIDICAT")))))))</x:f>
      </x:c>
      <x:c r="AB1010" s="10" t="str">
        <x:f>IF(N1010="","",MIN(N1010,1-S1010))</x:f>
      </x:c>
      <x:c r="AC1010" s="2" t="str">
        <x:f>IF(AD1010&lt;&gt;1,"",COUNTIFS($Z$1000:$Z$1013,"&lt;"&amp;Z1010,$AD$1000:$AD$1013,1)+COUNTIFS($Z$1000:$Z$1013,Z1010,$AB$1000:$AB$1013,"&gt;"&amp;AB1010,$AD$1000:$AD$1013,1)+COUNTIFS($Z$1000:$Z$1013,Z1010,$AB$1000:$AB$1013,AB1010,$V$1000:$V$1013,"&gt;"&amp;V1010,$AD$1000:$AD$1013,1)+COUNTIFS($Z$1000:Z1010,Z1010,$AB$1000:AB1010,AB1010,$V$1000:V1010,V1010,$AD$1000:AD1010,1))</x:f>
      </x:c>
      <x:c r="AD1010" s="2" t="n">
        <x:f>IF(OR(AA1010="DEFENSIV",AA1010="PRUDENT",AA1010="MODERAT",AA1010="RIDICAT"),1,0)</x:f>
        <x:v>0</x:v>
      </x:c>
      <x:c r="AE1010" s="2" t="str">
        <x:f>IF(AD1010&lt;&gt;1,"NO",IF(W1010="PASS","YES",IF(W1010="OOS PENDING","CONDITIONAL","NO")))</x:f>
        <x:v>NO</x:v>
      </x:c>
      <x:c r="AF1010" s="2" t="n">
        <x:f>IF(AND(AD1010=1,AC1010=1,E1010="LIVE"),1,0)</x:f>
        <x:v>0</x:v>
      </x:c>
      <x:c r="AG1010" s="2" t="str">
        <x:f>IF(AF1010&lt;&gt;1,"",'Dashboard'!P97)</x:f>
      </x:c>
      <x:c r="AH1010" s="2" t="str">
        <x:f>IF(B1010="","",IF(J1010&lt;&gt;"PASS",'Motor_Meciuri'!J77,IF('Calibrare_Linii'!U16&lt;&gt;"VALID","Parametri linie invalizi",IF(L1010&gt;'Config_v6'!$B$13,"Dispersie peste limita",IF(W1010="WATCH","Failure peste limita",IF(AB1010&lt;'Config_v6'!$B$16,"P finala sub prag",IF(V1010&lt;'Config_v6'!$B$18,"Confidence sub prag",IF(E1010="REPLAY","Exemplu retrospectiv; exclus din Top LIVE",IF(Y1010="PASS","DEFENSIV validat",IF(W1010="OOS PENDING","Eligibil; calibrare linie in monitorizare","Eligibil"))))))))))</x:f>
      </x:c>
      <x:c r="AI1010" s="2" t="str">
        <x:f>IF(B1010="","",'Calibrare_Linii'!V16)</x:f>
      </x:c>
      <x:c r="AJ1010" s="2" t="str">
        <x:f>IF(B1010="","",IF(AND('Calibrare_Linii'!T16="VALIDATED",AND('Calibrare_Linii'!H16=C1010,ISNUMBER('Calibrare_Linii'!J16),'Calibrare_Linii'!J16&lt;='Input_Meci'!G77)),"DEFENSIVE VALIDATED",IF(AND('Calibrare_Linii'!S16="VALIDATED",AND('Calibrare_Linii'!H16=C1010,ISNUMBER('Calibrare_Linii'!J16),'Calibrare_Linii'!J16&lt;='Input_Meci'!G77)),"TAIL VALIDATED","OOS PENDING")))</x:f>
      </x:c>
      <x:c r="AK1010" s="2" t="n">
        <x:f>IF(J1010&lt;&gt;"PASS",0,'Motor_Meciuri'!BR77)</x:f>
        <x:v>0</x:v>
      </x:c>
      <x:c r="AL1010" s="2" t="n">
        <x:f>IF(J1010&lt;&gt;"PASS",0,'Motor_Meciuri'!BS77)</x:f>
        <x:v>0</x:v>
      </x:c>
      <x:c r="AM1010" s="2" t="n">
        <x:f>IF(J1010&lt;&gt;"PASS",0,'Motor_Meciuri'!BT77)</x:f>
        <x:v>0</x:v>
      </x:c>
      <x:c r="AN1010" s="2" t="str">
        <x:f>IF(M1010="","",MAX(0,'Motor_Meciuri'!BF77-IF(L1010&gt;'Config_v6'!$B$12,'Config_v6'!$B$37,IF(L1010&gt;'Config_v6'!$B$11,'Config_v6'!$B$36,0))))</x:f>
      </x:c>
    </x:row>
    <x:row r="1011" ht="21" customHeight="1">
      <x:c r="A1011" s="2" t="n">
        <x:v>72</x:v>
      </x:c>
      <x:c r="B1011" s="2" t="str">
        <x:f>IF('Motor_Meciuri'!A77="","",'Motor_Meciuri'!A77)</x:f>
      </x:c>
      <x:c r="C1011" s="2" t="str">
        <x:f>IF(B1011="","",'Motor_Meciuri'!B77)</x:f>
      </x:c>
      <x:c r="D1011" s="2" t="str">
        <x:f>IF(B1011="","",'Motor_Meciuri'!D77)</x:f>
      </x:c>
      <x:c r="E1011" s="2" t="str">
        <x:f>IF(B1011="","",'Motor_Meciuri'!E77)</x:f>
      </x:c>
      <x:c r="F1011" s="2" t="str">
        <x:v>U15,5</x:v>
      </x:c>
      <x:c r="G1011" s="2" t="str">
        <x:v>UNDER</x:v>
      </x:c>
      <x:c r="H1011" s="2" t="n">
        <x:v>15</x:v>
      </x:c>
      <x:c r="I1011" s="2" t="str">
        <x:f>IF(B1011="","",'Motor_Meciuri'!H77)</x:f>
      </x:c>
      <x:c r="J1011" s="2" t="str">
        <x:f>IF(B1011="","",'Motor_Meciuri'!I77)</x:f>
      </x:c>
      <x:c r="K1011" s="11" t="str">
        <x:f>IF(J1011&lt;&gt;"PASS","",'Motor_Meciuri'!BD77)</x:f>
      </x:c>
      <x:c r="L1011" s="11" t="str">
        <x:f>IF(J1011&lt;&gt;"PASS","",'Motor_Meciuri'!AU77)</x:f>
      </x:c>
      <x:c r="M1011" s="10" t="str">
        <x:f>IF(NOT(AND(J1011="PASS",'Calibrare_Linii'!U17="VALID")),"",'Distributie'!AM77)</x:f>
      </x:c>
      <x:c r="N1011" s="10" t="str">
        <x:f>IF(M1011="","",MAX(0.01,MIN(0.99,0.5+(M1011-0.5)*'Motor_Meciuri'!BG77*'Calibrare_Linii'!D17)))</x:f>
      </x:c>
      <x:c r="O1011" s="10" t="str">
        <x:f>IF(M1011="","",1-M1011)</x:f>
      </x:c>
      <x:c r="P1011" s="10" t="str">
        <x:f>IF(OR(NOT(AND(J1011="PASS",'Calibrare_Linii'!U17="VALID")),AK1011=0),""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*('Istoric_Nativ'!$Q$6:$Q$405&gt;H1011))/AK1011)</x:f>
      </x:c>
      <x:c r="Q1011" s="10" t="str">
        <x:f>IF(OR(NOT(AND(J1011="PASS",'Calibrare_Linii'!U17="VALID")),AL1011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M77)+((('Istoric_Nativ'!$E$6:$E$405='Input_Meci'!E77)+('Istoric_Nativ'!$F$6:$F$405='Input_Meci'!E77))&gt;0)*('Istoric_Nativ'!$D$6:$D$405&gt;='Motor_Meciuri'!BN77))&gt;0)*('Istoric_Nativ'!$Q$6:$Q$405&gt;H1011))/AL1011)</x:f>
      </x:c>
      <x:c r="R1011" s="10" t="str">
        <x:f>IF(OR(NOT(AND(J1011="PASS",'Calibrare_Linii'!U17="VALID")),AM1011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O77)+((('Istoric_Nativ'!$E$6:$E$405='Input_Meci'!E77)+('Istoric_Nativ'!$F$6:$F$405='Input_Meci'!E77))&gt;0)*('Istoric_Nativ'!$D$6:$D$405&gt;='Motor_Meciuri'!BP77))&gt;0)*('Istoric_Nativ'!$Q$6:$Q$405&gt;H1011))/AM1011)</x:f>
      </x:c>
      <x:c r="S1011" s="10" t="str">
        <x:f>IF(M1011="","",MAX(O1011,P1011,Q1011,R1011))</x:f>
      </x:c>
      <x:c r="T1011" s="11" t="str">
        <x:f>IF(M1011="","",MIN(100,S1011*100*'Config_v6'!$B$44+MIN(100,L1011/'Config_v6'!$B$13*100)*'Config_v6'!$B$45+(100-'Motor_Meciuri'!BF77)*'Config_v6'!$B$46+'Motor_Meciuri'!BH77*100*'Config_v6'!$B$47))</x:f>
      </x:c>
      <x:c r="U1011" s="2" t="str">
        <x:f>IF(T1011="","",IF(T1011&lt;=20,1,IF(T1011&lt;=40,2,IF(T1011&lt;=60,3,IF(T1011&lt;=80,4,5)))))</x:f>
      </x:c>
      <x:c r="V1011" s="2" t="str">
        <x:f>IF(M1011="","",MAX(0,'Motor_Meciuri'!BF77-IF(W1011="OOS PENDING",'Config_v6'!$B$35,0)-IF(L1011&gt;'Config_v6'!$B$12,'Config_v6'!$B$37,IF(L1011&gt;'Config_v6'!$B$11,'Config_v6'!$B$36,0))))</x:f>
      </x:c>
      <x:c r="W1011" s="2" t="str">
        <x:f>IF(B1011="","",IF(I1011&lt;&gt;"READY","NOT RELEASED",IF(NOT(AND(J1011="PASS",'Calibrare_Linii'!U17="VALID")),"INVALID",IF(NOT(AND('Calibrare_Linii'!S17="VALIDATED",AND('Calibrare_Linii'!H17=C1011,ISNUMBER('Calibrare_Linii'!J17),'Calibrare_Linii'!J17&lt;='Input_Meci'!G77))),"OOS PENDING",IF(S1011&lt;='Calibrare_Linii'!E17,"PASS",IF(S1011&lt;='Calibrare_Linii'!F17,"PENALTY","WATCH"))))))</x:f>
      </x:c>
      <x:c r="X1011" s="2" t="str">
        <x:f>IF(M1011="","",IF(AND(AND(J1011="PASS",'Calibrare_Linii'!U17="VALID"),'Motor_Meciuri'!K77=12,'Motor_Meciuri'!L77=12,'Motor_Meciuri'!M77="NO",'Motor_Meciuri'!BL77='Motor_Meciuri'!C77,AB1011&gt;='Config_v6'!$B$50,AN1011&gt;='Config_v6'!$B$51,T1011&lt;='Config_v6'!$B$52,L1011&lt;='Config_v6'!$B$53,ISNUMBER('Calibrare_Linii'!E17),S1011&lt;='Calibrare_Linii'!E17,SUM(AK1011:AM1011)&gt;0),"CANDIDATE","NO"))</x:f>
      </x:c>
      <x:c r="Y1011" s="2" t="str">
        <x:f>IF(B1011="","",IF(I1011&lt;&gt;"READY","NOT RELEASED",IF(AND(X1011="CANDIDATE",V1011&gt;='Config_v6'!$B$51,W1011="PASS",'Calibrare_Linii'!T17="VALIDATED",AND('Calibrare_Linii'!H17=C1011,ISNUMBER('Calibrare_Linii'!J17),'Calibrare_Linii'!J17&lt;='Input_Meci'!G77)),"PASS",IF(X1011="CANDIDATE","OOS PENDING","FAIL"))))</x:f>
      </x:c>
      <x:c r="Z1011" s="2" t="str">
        <x:f>IF(B1011="","",IF(I1011&lt;&gt;"READY","",IF(OR(NOT(AND(J1011="PASS",'Calibrare_Linii'!U17="VALID")),L1011&gt;'Config_v6'!$B$13,W1011="WATCH"),5,IF(Y1011="PASS",1,MIN(5,MAX('Config_v6'!$B$42,U1011)+IF(W1011="PENALTY",1,0))))))</x:f>
      </x:c>
      <x:c r="AA1011" s="2" t="str">
        <x:f>IF(B1011="","",IF(I1011&lt;&gt;"READY","NOT RELEASED",IF(Z1011=5,"NO BET",IF(OR(AB1011&lt;'Config_v6'!$B$16,V1011&lt;'Config_v6'!$B$18),"WATCH",IF(Z1011=1,"DEFENSIV",IF(Z1011=2,"PRUDENT",IF(Z1011=3,"MODERAT","RIDICAT")))))))</x:f>
      </x:c>
      <x:c r="AB1011" s="10" t="str">
        <x:f>IF(N1011="","",MIN(N1011,1-S1011))</x:f>
      </x:c>
      <x:c r="AC1011" s="2" t="str">
        <x:f>IF(AD1011&lt;&gt;1,"",COUNTIFS($Z$1000:$Z$1013,"&lt;"&amp;Z1011,$AD$1000:$AD$1013,1)+COUNTIFS($Z$1000:$Z$1013,Z1011,$AB$1000:$AB$1013,"&gt;"&amp;AB1011,$AD$1000:$AD$1013,1)+COUNTIFS($Z$1000:$Z$1013,Z1011,$AB$1000:$AB$1013,AB1011,$V$1000:$V$1013,"&gt;"&amp;V1011,$AD$1000:$AD$1013,1)+COUNTIFS($Z$1000:Z1011,Z1011,$AB$1000:AB1011,AB1011,$V$1000:V1011,V1011,$AD$1000:AD1011,1))</x:f>
      </x:c>
      <x:c r="AD1011" s="2" t="n">
        <x:f>IF(OR(AA1011="DEFENSIV",AA1011="PRUDENT",AA1011="MODERAT",AA1011="RIDICAT"),1,0)</x:f>
        <x:v>0</x:v>
      </x:c>
      <x:c r="AE1011" s="2" t="str">
        <x:f>IF(AD1011&lt;&gt;1,"NO",IF(W1011="PASS","YES",IF(W1011="OOS PENDING","CONDITIONAL","NO")))</x:f>
        <x:v>NO</x:v>
      </x:c>
      <x:c r="AF1011" s="2" t="n">
        <x:f>IF(AND(AD1011=1,AC1011=1,E1011="LIVE"),1,0)</x:f>
        <x:v>0</x:v>
      </x:c>
      <x:c r="AG1011" s="2" t="str">
        <x:f>IF(AF1011&lt;&gt;1,"",'Dashboard'!P97)</x:f>
      </x:c>
      <x:c r="AH1011" s="2" t="str">
        <x:f>IF(B1011="","",IF(J1011&lt;&gt;"PASS",'Motor_Meciuri'!J77,IF('Calibrare_Linii'!U17&lt;&gt;"VALID","Parametri linie invalizi",IF(L1011&gt;'Config_v6'!$B$13,"Dispersie peste limita",IF(W1011="WATCH","Failure peste limita",IF(AB1011&lt;'Config_v6'!$B$16,"P finala sub prag",IF(V1011&lt;'Config_v6'!$B$18,"Confidence sub prag",IF(E1011="REPLAY","Exemplu retrospectiv; exclus din Top LIVE",IF(Y1011="PASS","DEFENSIV validat",IF(W1011="OOS PENDING","Eligibil; calibrare linie in monitorizare","Eligibil"))))))))))</x:f>
      </x:c>
      <x:c r="AI1011" s="2" t="str">
        <x:f>IF(B1011="","",'Calibrare_Linii'!V17)</x:f>
      </x:c>
      <x:c r="AJ1011" s="2" t="str">
        <x:f>IF(B1011="","",IF(AND('Calibrare_Linii'!T17="VALIDATED",AND('Calibrare_Linii'!H17=C1011,ISNUMBER('Calibrare_Linii'!J17),'Calibrare_Linii'!J17&lt;='Input_Meci'!G77)),"DEFENSIVE VALIDATED",IF(AND('Calibrare_Linii'!S17="VALIDATED",AND('Calibrare_Linii'!H17=C1011,ISNUMBER('Calibrare_Linii'!J17),'Calibrare_Linii'!J17&lt;='Input_Meci'!G77)),"TAIL VALIDATED","OOS PENDING")))</x:f>
      </x:c>
      <x:c r="AK1011" s="2" t="n">
        <x:f>IF(J1011&lt;&gt;"PASS",0,'Motor_Meciuri'!BR77)</x:f>
        <x:v>0</x:v>
      </x:c>
      <x:c r="AL1011" s="2" t="n">
        <x:f>IF(J1011&lt;&gt;"PASS",0,'Motor_Meciuri'!BS77)</x:f>
        <x:v>0</x:v>
      </x:c>
      <x:c r="AM1011" s="2" t="n">
        <x:f>IF(J1011&lt;&gt;"PASS",0,'Motor_Meciuri'!BT77)</x:f>
        <x:v>0</x:v>
      </x:c>
      <x:c r="AN1011" s="2" t="str">
        <x:f>IF(M1011="","",MAX(0,'Motor_Meciuri'!BF77-IF(L1011&gt;'Config_v6'!$B$12,'Config_v6'!$B$37,IF(L1011&gt;'Config_v6'!$B$11,'Config_v6'!$B$36,0))))</x:f>
      </x:c>
    </x:row>
    <x:row r="1012" ht="21" customHeight="1">
      <x:c r="A1012" s="2" t="n">
        <x:v>72</x:v>
      </x:c>
      <x:c r="B1012" s="2" t="str">
        <x:f>IF('Motor_Meciuri'!A77="","",'Motor_Meciuri'!A77)</x:f>
      </x:c>
      <x:c r="C1012" s="2" t="str">
        <x:f>IF(B1012="","",'Motor_Meciuri'!B77)</x:f>
      </x:c>
      <x:c r="D1012" s="2" t="str">
        <x:f>IF(B1012="","",'Motor_Meciuri'!D77)</x:f>
      </x:c>
      <x:c r="E1012" s="2" t="str">
        <x:f>IF(B1012="","",'Motor_Meciuri'!E77)</x:f>
      </x:c>
      <x:c r="F1012" s="2" t="str">
        <x:v>U16,5</x:v>
      </x:c>
      <x:c r="G1012" s="2" t="str">
        <x:v>UNDER</x:v>
      </x:c>
      <x:c r="H1012" s="2" t="n">
        <x:v>16</x:v>
      </x:c>
      <x:c r="I1012" s="2" t="str">
        <x:f>IF(B1012="","",'Motor_Meciuri'!H77)</x:f>
      </x:c>
      <x:c r="J1012" s="2" t="str">
        <x:f>IF(B1012="","",'Motor_Meciuri'!I77)</x:f>
      </x:c>
      <x:c r="K1012" s="11" t="str">
        <x:f>IF(J1012&lt;&gt;"PASS","",'Motor_Meciuri'!BD77)</x:f>
      </x:c>
      <x:c r="L1012" s="11" t="str">
        <x:f>IF(J1012&lt;&gt;"PASS","",'Motor_Meciuri'!AU77)</x:f>
      </x:c>
      <x:c r="M1012" s="10" t="str">
        <x:f>IF(NOT(AND(J1012="PASS",'Calibrare_Linii'!U18="VALID")),"",'Distributie'!AN77)</x:f>
      </x:c>
      <x:c r="N1012" s="10" t="str">
        <x:f>IF(M1012="","",MAX(0.01,MIN(0.99,0.5+(M1012-0.5)*'Motor_Meciuri'!BG77*'Calibrare_Linii'!D18)))</x:f>
      </x:c>
      <x:c r="O1012" s="10" t="str">
        <x:f>IF(M1012="","",1-M1012)</x:f>
      </x:c>
      <x:c r="P1012" s="10" t="str">
        <x:f>IF(OR(NOT(AND(J1012="PASS",'Calibrare_Linii'!U18="VALID")),AK1012=0),""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*('Istoric_Nativ'!$Q$6:$Q$405&gt;H1012))/AK1012)</x:f>
      </x:c>
      <x:c r="Q1012" s="10" t="str">
        <x:f>IF(OR(NOT(AND(J1012="PASS",'Calibrare_Linii'!U18="VALID")),AL1012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M77)+((('Istoric_Nativ'!$E$6:$E$405='Input_Meci'!E77)+('Istoric_Nativ'!$F$6:$F$405='Input_Meci'!E77))&gt;0)*('Istoric_Nativ'!$D$6:$D$405&gt;='Motor_Meciuri'!BN77))&gt;0)*('Istoric_Nativ'!$Q$6:$Q$405&gt;H1012))/AL1012)</x:f>
      </x:c>
      <x:c r="R1012" s="10" t="str">
        <x:f>IF(OR(NOT(AND(J1012="PASS",'Calibrare_Linii'!U18="VALID")),AM1012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O77)+((('Istoric_Nativ'!$E$6:$E$405='Input_Meci'!E77)+('Istoric_Nativ'!$F$6:$F$405='Input_Meci'!E77))&gt;0)*('Istoric_Nativ'!$D$6:$D$405&gt;='Motor_Meciuri'!BP77))&gt;0)*('Istoric_Nativ'!$Q$6:$Q$405&gt;H1012))/AM1012)</x:f>
      </x:c>
      <x:c r="S1012" s="10" t="str">
        <x:f>IF(M1012="","",MAX(O1012,P1012,Q1012,R1012))</x:f>
      </x:c>
      <x:c r="T1012" s="11" t="str">
        <x:f>IF(M1012="","",MIN(100,S1012*100*'Config_v6'!$B$44+MIN(100,L1012/'Config_v6'!$B$13*100)*'Config_v6'!$B$45+(100-'Motor_Meciuri'!BF77)*'Config_v6'!$B$46+'Motor_Meciuri'!BH77*100*'Config_v6'!$B$47))</x:f>
      </x:c>
      <x:c r="U1012" s="2" t="str">
        <x:f>IF(T1012="","",IF(T1012&lt;=20,1,IF(T1012&lt;=40,2,IF(T1012&lt;=60,3,IF(T1012&lt;=80,4,5)))))</x:f>
      </x:c>
      <x:c r="V1012" s="2" t="str">
        <x:f>IF(M1012="","",MAX(0,'Motor_Meciuri'!BF77-IF(W1012="OOS PENDING",'Config_v6'!$B$35,0)-IF(L1012&gt;'Config_v6'!$B$12,'Config_v6'!$B$37,IF(L1012&gt;'Config_v6'!$B$11,'Config_v6'!$B$36,0))))</x:f>
      </x:c>
      <x:c r="W1012" s="2" t="str">
        <x:f>IF(B1012="","",IF(I1012&lt;&gt;"READY","NOT RELEASED",IF(NOT(AND(J1012="PASS",'Calibrare_Linii'!U18="VALID")),"INVALID",IF(NOT(AND('Calibrare_Linii'!S18="VALIDATED",AND('Calibrare_Linii'!H18=C1012,ISNUMBER('Calibrare_Linii'!J18),'Calibrare_Linii'!J18&lt;='Input_Meci'!G77))),"OOS PENDING",IF(S1012&lt;='Calibrare_Linii'!E18,"PASS",IF(S1012&lt;='Calibrare_Linii'!F18,"PENALTY","WATCH"))))))</x:f>
      </x:c>
      <x:c r="X1012" s="2" t="str">
        <x:f>IF(M1012="","",IF(AND(AND(J1012="PASS",'Calibrare_Linii'!U18="VALID"),'Motor_Meciuri'!K77=12,'Motor_Meciuri'!L77=12,'Motor_Meciuri'!M77="NO",'Motor_Meciuri'!BL77='Motor_Meciuri'!C77,AB1012&gt;='Config_v6'!$B$50,AN1012&gt;='Config_v6'!$B$51,T1012&lt;='Config_v6'!$B$52,L1012&lt;='Config_v6'!$B$53,ISNUMBER('Calibrare_Linii'!E18),S1012&lt;='Calibrare_Linii'!E18,SUM(AK1012:AM1012)&gt;0),"CANDIDATE","NO"))</x:f>
      </x:c>
      <x:c r="Y1012" s="2" t="str">
        <x:f>IF(B1012="","",IF(I1012&lt;&gt;"READY","NOT RELEASED",IF(AND(X1012="CANDIDATE",V1012&gt;='Config_v6'!$B$51,W1012="PASS",'Calibrare_Linii'!T18="VALIDATED",AND('Calibrare_Linii'!H18=C1012,ISNUMBER('Calibrare_Linii'!J18),'Calibrare_Linii'!J18&lt;='Input_Meci'!G77)),"PASS",IF(X1012="CANDIDATE","OOS PENDING","FAIL"))))</x:f>
      </x:c>
      <x:c r="Z1012" s="2" t="str">
        <x:f>IF(B1012="","",IF(I1012&lt;&gt;"READY","",IF(OR(NOT(AND(J1012="PASS",'Calibrare_Linii'!U18="VALID")),L1012&gt;'Config_v6'!$B$13,W1012="WATCH"),5,IF(Y1012="PASS",1,MIN(5,MAX('Config_v6'!$B$42,U1012)+IF(W1012="PENALTY",1,0))))))</x:f>
      </x:c>
      <x:c r="AA1012" s="2" t="str">
        <x:f>IF(B1012="","",IF(I1012&lt;&gt;"READY","NOT RELEASED",IF(Z1012=5,"NO BET",IF(OR(AB1012&lt;'Config_v6'!$B$16,V1012&lt;'Config_v6'!$B$18),"WATCH",IF(Z1012=1,"DEFENSIV",IF(Z1012=2,"PRUDENT",IF(Z1012=3,"MODERAT","RIDICAT")))))))</x:f>
      </x:c>
      <x:c r="AB1012" s="10" t="str">
        <x:f>IF(N1012="","",MIN(N1012,1-S1012))</x:f>
      </x:c>
      <x:c r="AC1012" s="2" t="str">
        <x:f>IF(AD1012&lt;&gt;1,"",COUNTIFS($Z$1000:$Z$1013,"&lt;"&amp;Z1012,$AD$1000:$AD$1013,1)+COUNTIFS($Z$1000:$Z$1013,Z1012,$AB$1000:$AB$1013,"&gt;"&amp;AB1012,$AD$1000:$AD$1013,1)+COUNTIFS($Z$1000:$Z$1013,Z1012,$AB$1000:$AB$1013,AB1012,$V$1000:$V$1013,"&gt;"&amp;V1012,$AD$1000:$AD$1013,1)+COUNTIFS($Z$1000:Z1012,Z1012,$AB$1000:AB1012,AB1012,$V$1000:V1012,V1012,$AD$1000:AD1012,1))</x:f>
      </x:c>
      <x:c r="AD1012" s="2" t="n">
        <x:f>IF(OR(AA1012="DEFENSIV",AA1012="PRUDENT",AA1012="MODERAT",AA1012="RIDICAT"),1,0)</x:f>
        <x:v>0</x:v>
      </x:c>
      <x:c r="AE1012" s="2" t="str">
        <x:f>IF(AD1012&lt;&gt;1,"NO",IF(W1012="PASS","YES",IF(W1012="OOS PENDING","CONDITIONAL","NO")))</x:f>
        <x:v>NO</x:v>
      </x:c>
      <x:c r="AF1012" s="2" t="n">
        <x:f>IF(AND(AD1012=1,AC1012=1,E1012="LIVE"),1,0)</x:f>
        <x:v>0</x:v>
      </x:c>
      <x:c r="AG1012" s="2" t="str">
        <x:f>IF(AF1012&lt;&gt;1,"",'Dashboard'!P97)</x:f>
      </x:c>
      <x:c r="AH1012" s="2" t="str">
        <x:f>IF(B1012="","",IF(J1012&lt;&gt;"PASS",'Motor_Meciuri'!J77,IF('Calibrare_Linii'!U18&lt;&gt;"VALID","Parametri linie invalizi",IF(L1012&gt;'Config_v6'!$B$13,"Dispersie peste limita",IF(W1012="WATCH","Failure peste limita",IF(AB1012&lt;'Config_v6'!$B$16,"P finala sub prag",IF(V1012&lt;'Config_v6'!$B$18,"Confidence sub prag",IF(E1012="REPLAY","Exemplu retrospectiv; exclus din Top LIVE",IF(Y1012="PASS","DEFENSIV validat",IF(W1012="OOS PENDING","Eligibil; calibrare linie in monitorizare","Eligibil"))))))))))</x:f>
      </x:c>
      <x:c r="AI1012" s="2" t="str">
        <x:f>IF(B1012="","",'Calibrare_Linii'!V18)</x:f>
      </x:c>
      <x:c r="AJ1012" s="2" t="str">
        <x:f>IF(B1012="","",IF(AND('Calibrare_Linii'!T18="VALIDATED",AND('Calibrare_Linii'!H18=C1012,ISNUMBER('Calibrare_Linii'!J18),'Calibrare_Linii'!J18&lt;='Input_Meci'!G77)),"DEFENSIVE VALIDATED",IF(AND('Calibrare_Linii'!S18="VALIDATED",AND('Calibrare_Linii'!H18=C1012,ISNUMBER('Calibrare_Linii'!J18),'Calibrare_Linii'!J18&lt;='Input_Meci'!G77)),"TAIL VALIDATED","OOS PENDING")))</x:f>
      </x:c>
      <x:c r="AK1012" s="2" t="n">
        <x:f>IF(J1012&lt;&gt;"PASS",0,'Motor_Meciuri'!BR77)</x:f>
        <x:v>0</x:v>
      </x:c>
      <x:c r="AL1012" s="2" t="n">
        <x:f>IF(J1012&lt;&gt;"PASS",0,'Motor_Meciuri'!BS77)</x:f>
        <x:v>0</x:v>
      </x:c>
      <x:c r="AM1012" s="2" t="n">
        <x:f>IF(J1012&lt;&gt;"PASS",0,'Motor_Meciuri'!BT77)</x:f>
        <x:v>0</x:v>
      </x:c>
      <x:c r="AN1012" s="2" t="str">
        <x:f>IF(M1012="","",MAX(0,'Motor_Meciuri'!BF77-IF(L1012&gt;'Config_v6'!$B$12,'Config_v6'!$B$37,IF(L1012&gt;'Config_v6'!$B$11,'Config_v6'!$B$36,0))))</x:f>
      </x:c>
    </x:row>
    <x:row r="1013" ht="21" customHeight="1">
      <x:c r="A1013" s="2" t="n">
        <x:v>72</x:v>
      </x:c>
      <x:c r="B1013" s="2" t="str">
        <x:f>IF('Motor_Meciuri'!A77="","",'Motor_Meciuri'!A77)</x:f>
      </x:c>
      <x:c r="C1013" s="2" t="str">
        <x:f>IF(B1013="","",'Motor_Meciuri'!B77)</x:f>
      </x:c>
      <x:c r="D1013" s="2" t="str">
        <x:f>IF(B1013="","",'Motor_Meciuri'!D77)</x:f>
      </x:c>
      <x:c r="E1013" s="2" t="str">
        <x:f>IF(B1013="","",'Motor_Meciuri'!E77)</x:f>
      </x:c>
      <x:c r="F1013" s="2" t="str">
        <x:v>U17,5</x:v>
      </x:c>
      <x:c r="G1013" s="2" t="str">
        <x:v>UNDER</x:v>
      </x:c>
      <x:c r="H1013" s="2" t="n">
        <x:v>17</x:v>
      </x:c>
      <x:c r="I1013" s="2" t="str">
        <x:f>IF(B1013="","",'Motor_Meciuri'!H77)</x:f>
      </x:c>
      <x:c r="J1013" s="2" t="str">
        <x:f>IF(B1013="","",'Motor_Meciuri'!I77)</x:f>
      </x:c>
      <x:c r="K1013" s="11" t="str">
        <x:f>IF(J1013&lt;&gt;"PASS","",'Motor_Meciuri'!BD77)</x:f>
      </x:c>
      <x:c r="L1013" s="11" t="str">
        <x:f>IF(J1013&lt;&gt;"PASS","",'Motor_Meciuri'!AU77)</x:f>
      </x:c>
      <x:c r="M1013" s="10" t="str">
        <x:f>IF(NOT(AND(J1013="PASS",'Calibrare_Linii'!U19="VALID")),"",'Distributie'!AO77)</x:f>
      </x:c>
      <x:c r="N1013" s="10" t="str">
        <x:f>IF(M1013="","",MAX(0.01,MIN(0.99,0.5+(M1013-0.5)*'Motor_Meciuri'!BG77*'Calibrare_Linii'!D19)))</x:f>
      </x:c>
      <x:c r="O1013" s="10" t="str">
        <x:f>IF(M1013="","",1-M1013)</x:f>
      </x:c>
      <x:c r="P1013" s="10" t="str">
        <x:f>IF(OR(NOT(AND(J1013="PASS",'Calibrare_Linii'!U19="VALID")),AK1013=0),""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*('Istoric_Nativ'!$Q$6:$Q$405&gt;H1013))/AK1013)</x:f>
      </x:c>
      <x:c r="Q1013" s="10" t="str">
        <x:f>IF(OR(NOT(AND(J1013="PASS",'Calibrare_Linii'!U19="VALID")),AL1013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M77)+((('Istoric_Nativ'!$E$6:$E$405='Input_Meci'!E77)+('Istoric_Nativ'!$F$6:$F$405='Input_Meci'!E77))&gt;0)*('Istoric_Nativ'!$D$6:$D$405&gt;='Motor_Meciuri'!BN77))&gt;0)*('Istoric_Nativ'!$Q$6:$Q$405&gt;H1013))/AL1013)</x:f>
      </x:c>
      <x:c r="R1013" s="10" t="str">
        <x:f>IF(OR(NOT(AND(J1013="PASS",'Calibrare_Linii'!U19="VALID")),AM1013=0),""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'Motor_Meciuri'!BO77)+((('Istoric_Nativ'!$E$6:$E$405='Input_Meci'!E77)+('Istoric_Nativ'!$F$6:$F$405='Input_Meci'!E77))&gt;0)*('Istoric_Nativ'!$D$6:$D$405&gt;='Motor_Meciuri'!BP77))&gt;0)*('Istoric_Nativ'!$Q$6:$Q$405&gt;H1013))/AM1013)</x:f>
      </x:c>
      <x:c r="S1013" s="10" t="str">
        <x:f>IF(M1013="","",MAX(O1013,P1013,Q1013,R1013))</x:f>
      </x:c>
      <x:c r="T1013" s="11" t="str">
        <x:f>IF(M1013="","",MIN(100,S1013*100*'Config_v6'!$B$44+MIN(100,L1013/'Config_v6'!$B$13*100)*'Config_v6'!$B$45+(100-'Motor_Meciuri'!BF77)*'Config_v6'!$B$46+'Motor_Meciuri'!BH77*100*'Config_v6'!$B$47))</x:f>
      </x:c>
      <x:c r="U1013" s="2" t="str">
        <x:f>IF(T1013="","",IF(T1013&lt;=20,1,IF(T1013&lt;=40,2,IF(T1013&lt;=60,3,IF(T1013&lt;=80,4,5)))))</x:f>
      </x:c>
      <x:c r="V1013" s="2" t="str">
        <x:f>IF(M1013="","",MAX(0,'Motor_Meciuri'!BF77-IF(W1013="OOS PENDING",'Config_v6'!$B$35,0)-IF(L1013&gt;'Config_v6'!$B$12,'Config_v6'!$B$37,IF(L1013&gt;'Config_v6'!$B$11,'Config_v6'!$B$36,0))))</x:f>
      </x:c>
      <x:c r="W1013" s="2" t="str">
        <x:f>IF(B1013="","",IF(I1013&lt;&gt;"READY","NOT RELEASED",IF(NOT(AND(J1013="PASS",'Calibrare_Linii'!U19="VALID")),"INVALID",IF(NOT(AND('Calibrare_Linii'!S19="VALIDATED",AND('Calibrare_Linii'!H19=C1013,ISNUMBER('Calibrare_Linii'!J19),'Calibrare_Linii'!J19&lt;='Input_Meci'!G77))),"OOS PENDING",IF(S1013&lt;='Calibrare_Linii'!E19,"PASS",IF(S1013&lt;='Calibrare_Linii'!F19,"PENALTY","WATCH"))))))</x:f>
      </x:c>
      <x:c r="X1013" s="2" t="str">
        <x:f>IF(M1013="","",IF(AND(AND(J1013="PASS",'Calibrare_Linii'!U19="VALID"),'Motor_Meciuri'!K77=12,'Motor_Meciuri'!L77=12,'Motor_Meciuri'!M77="NO",'Motor_Meciuri'!BL77='Motor_Meciuri'!C77,AB1013&gt;='Config_v6'!$B$50,AN1013&gt;='Config_v6'!$B$51,T1013&lt;='Config_v6'!$B$52,L1013&lt;='Config_v6'!$B$53,ISNUMBER('Calibrare_Linii'!E19),S1013&lt;='Calibrare_Linii'!E19,SUM(AK1013:AM1013)&gt;0),"CANDIDATE","NO"))</x:f>
      </x:c>
      <x:c r="Y1013" s="2" t="str">
        <x:f>IF(B1013="","",IF(I1013&lt;&gt;"READY","NOT RELEASED",IF(AND(X1013="CANDIDATE",V1013&gt;='Config_v6'!$B$51,W1013="PASS",'Calibrare_Linii'!T19="VALIDATED",AND('Calibrare_Linii'!H19=C1013,ISNUMBER('Calibrare_Linii'!J19),'Calibrare_Linii'!J19&lt;='Input_Meci'!G77)),"PASS",IF(X1013="CANDIDATE","OOS PENDING","FAIL"))))</x:f>
      </x:c>
      <x:c r="Z1013" s="2" t="str">
        <x:f>IF(B1013="","",IF(I1013&lt;&gt;"READY","",IF(OR(NOT(AND(J1013="PASS",'Calibrare_Linii'!U19="VALID")),L1013&gt;'Config_v6'!$B$13,W1013="WATCH"),5,IF(Y1013="PASS",1,MIN(5,MAX('Config_v6'!$B$42,U1013)+IF(W1013="PENALTY",1,0))))))</x:f>
      </x:c>
      <x:c r="AA1013" s="2" t="str">
        <x:f>IF(B1013="","",IF(I1013&lt;&gt;"READY","NOT RELEASED",IF(Z1013=5,"NO BET",IF(OR(AB1013&lt;'Config_v6'!$B$16,V1013&lt;'Config_v6'!$B$18),"WATCH",IF(Z1013=1,"DEFENSIV",IF(Z1013=2,"PRUDENT",IF(Z1013=3,"MODERAT","RIDICAT")))))))</x:f>
      </x:c>
      <x:c r="AB1013" s="10" t="str">
        <x:f>IF(N1013="","",MIN(N1013,1-S1013))</x:f>
      </x:c>
      <x:c r="AC1013" s="2" t="str">
        <x:f>IF(AD1013&lt;&gt;1,"",COUNTIFS($Z$1000:$Z$1013,"&lt;"&amp;Z1013,$AD$1000:$AD$1013,1)+COUNTIFS($Z$1000:$Z$1013,Z1013,$AB$1000:$AB$1013,"&gt;"&amp;AB1013,$AD$1000:$AD$1013,1)+COUNTIFS($Z$1000:$Z$1013,Z1013,$AB$1000:$AB$1013,AB1013,$V$1000:$V$1013,"&gt;"&amp;V1013,$AD$1000:$AD$1013,1)+COUNTIFS($Z$1000:Z1013,Z1013,$AB$1000:AB1013,AB1013,$V$1000:V1013,V1013,$AD$1000:AD1013,1))</x:f>
      </x:c>
      <x:c r="AD1013" s="2" t="n">
        <x:f>IF(OR(AA1013="DEFENSIV",AA1013="PRUDENT",AA1013="MODERAT",AA1013="RIDICAT"),1,0)</x:f>
        <x:v>0</x:v>
      </x:c>
      <x:c r="AE1013" s="2" t="str">
        <x:f>IF(AD1013&lt;&gt;1,"NO",IF(W1013="PASS","YES",IF(W1013="OOS PENDING","CONDITIONAL","NO")))</x:f>
        <x:v>NO</x:v>
      </x:c>
      <x:c r="AF1013" s="2" t="n">
        <x:f>IF(AND(AD1013=1,AC1013=1,E1013="LIVE"),1,0)</x:f>
        <x:v>0</x:v>
      </x:c>
      <x:c r="AG1013" s="2" t="str">
        <x:f>IF(AF1013&lt;&gt;1,"",'Dashboard'!P97)</x:f>
      </x:c>
      <x:c r="AH1013" s="2" t="str">
        <x:f>IF(B1013="","",IF(J1013&lt;&gt;"PASS",'Motor_Meciuri'!J77,IF('Calibrare_Linii'!U19&lt;&gt;"VALID","Parametri linie invalizi",IF(L1013&gt;'Config_v6'!$B$13,"Dispersie peste limita",IF(W1013="WATCH","Failure peste limita",IF(AB1013&lt;'Config_v6'!$B$16,"P finala sub prag",IF(V1013&lt;'Config_v6'!$B$18,"Confidence sub prag",IF(E1013="REPLAY","Exemplu retrospectiv; exclus din Top LIVE",IF(Y1013="PASS","DEFENSIV validat",IF(W1013="OOS PENDING","Eligibil; calibrare linie in monitorizare","Eligibil"))))))))))</x:f>
      </x:c>
      <x:c r="AI1013" s="2" t="str">
        <x:f>IF(B1013="","",'Calibrare_Linii'!V19)</x:f>
      </x:c>
      <x:c r="AJ1013" s="2" t="str">
        <x:f>IF(B1013="","",IF(AND('Calibrare_Linii'!T19="VALIDATED",AND('Calibrare_Linii'!H19=C1013,ISNUMBER('Calibrare_Linii'!J19),'Calibrare_Linii'!J19&lt;='Input_Meci'!G77)),"DEFENSIVE VALIDATED",IF(AND('Calibrare_Linii'!S19="VALIDATED",AND('Calibrare_Linii'!H19=C1013,ISNUMBER('Calibrare_Linii'!J19),'Calibrare_Linii'!J19&lt;='Input_Meci'!G77)),"TAIL VALIDATED","OOS PENDING")))</x:f>
      </x:c>
      <x:c r="AK1013" s="2" t="n">
        <x:f>IF(J1013&lt;&gt;"PASS",0,'Motor_Meciuri'!BR77)</x:f>
        <x:v>0</x:v>
      </x:c>
      <x:c r="AL1013" s="2" t="n">
        <x:f>IF(J1013&lt;&gt;"PASS",0,'Motor_Meciuri'!BS77)</x:f>
        <x:v>0</x:v>
      </x:c>
      <x:c r="AM1013" s="2" t="n">
        <x:f>IF(J1013&lt;&gt;"PASS",0,'Motor_Meciuri'!BT77)</x:f>
        <x:v>0</x:v>
      </x:c>
      <x:c r="AN1013" s="2" t="str">
        <x:f>IF(M1013="","",MAX(0,'Motor_Meciuri'!BF77-IF(L1013&gt;'Config_v6'!$B$12,'Config_v6'!$B$37,IF(L1013&gt;'Config_v6'!$B$11,'Config_v6'!$B$36,0))))</x:f>
      </x:c>
    </x:row>
    <x:row r="1014" ht="21" customHeight="1">
      <x:c r="A1014" s="2" t="n">
        <x:v>73</x:v>
      </x:c>
      <x:c r="B1014" s="2" t="str">
        <x:f>IF('Motor_Meciuri'!A78="","",'Motor_Meciuri'!A78)</x:f>
      </x:c>
      <x:c r="C1014" s="2" t="str">
        <x:f>IF(B1014="","",'Motor_Meciuri'!B78)</x:f>
      </x:c>
      <x:c r="D1014" s="2" t="str">
        <x:f>IF(B1014="","",'Motor_Meciuri'!D78)</x:f>
      </x:c>
      <x:c r="E1014" s="2" t="str">
        <x:f>IF(B1014="","",'Motor_Meciuri'!E78)</x:f>
      </x:c>
      <x:c r="F1014" s="2" t="str">
        <x:v>O3,5</x:v>
      </x:c>
      <x:c r="G1014" s="2" t="str">
        <x:v>OVER</x:v>
      </x:c>
      <x:c r="H1014" s="2" t="n">
        <x:v>3</x:v>
      </x:c>
      <x:c r="I1014" s="2" t="str">
        <x:f>IF(B1014="","",'Motor_Meciuri'!H78)</x:f>
      </x:c>
      <x:c r="J1014" s="2" t="str">
        <x:f>IF(B1014="","",'Motor_Meciuri'!I78)</x:f>
      </x:c>
      <x:c r="K1014" s="11" t="str">
        <x:f>IF(J1014&lt;&gt;"PASS","",'Motor_Meciuri'!BD78)</x:f>
      </x:c>
      <x:c r="L1014" s="11" t="str">
        <x:f>IF(J1014&lt;&gt;"PASS","",'Motor_Meciuri'!AU78)</x:f>
      </x:c>
      <x:c r="M1014" s="10" t="str">
        <x:f>IF(NOT(AND(J1014="PASS",'Calibrare_Linii'!U6="VALID")),"",1-'Distributie'!AA78)</x:f>
      </x:c>
      <x:c r="N1014" s="10" t="str">
        <x:f>IF(M1014="","",MAX(0.01,MIN(0.99,0.5+(M1014-0.5)*'Motor_Meciuri'!BG78*'Calibrare_Linii'!D6)))</x:f>
      </x:c>
      <x:c r="O1014" s="10" t="str">
        <x:f>IF(M1014="","",1-M1014)</x:f>
      </x:c>
      <x:c r="P1014" s="10" t="str">
        <x:f>IF(OR(NOT(AND(J1014="PASS",'Calibrare_Linii'!U6="VALID")),AK1014=0),""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*('Istoric_Nativ'!$Q$6:$Q$405&lt;=H1014))/AK1014)</x:f>
      </x:c>
      <x:c r="Q1014" s="10" t="str">
        <x:f>IF(OR(NOT(AND(J1014="PASS",'Calibrare_Linii'!U6="VALID")),AL1014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M78)+((('Istoric_Nativ'!$E$6:$E$405='Input_Meci'!E78)+('Istoric_Nativ'!$F$6:$F$405='Input_Meci'!E78))&gt;0)*('Istoric_Nativ'!$D$6:$D$405&gt;='Motor_Meciuri'!BN78))&gt;0)*('Istoric_Nativ'!$Q$6:$Q$405&lt;=H1014))/AL1014)</x:f>
      </x:c>
      <x:c r="R1014" s="10" t="str">
        <x:f>IF(OR(NOT(AND(J1014="PASS",'Calibrare_Linii'!U6="VALID")),AM1014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O78)+((('Istoric_Nativ'!$E$6:$E$405='Input_Meci'!E78)+('Istoric_Nativ'!$F$6:$F$405='Input_Meci'!E78))&gt;0)*('Istoric_Nativ'!$D$6:$D$405&gt;='Motor_Meciuri'!BP78))&gt;0)*('Istoric_Nativ'!$Q$6:$Q$405&lt;=H1014))/AM1014)</x:f>
      </x:c>
      <x:c r="S1014" s="10" t="str">
        <x:f>IF(M1014="","",MAX(O1014,P1014,Q1014,R1014))</x:f>
      </x:c>
      <x:c r="T1014" s="11" t="str">
        <x:f>IF(M1014="","",MIN(100,S1014*100*'Config_v6'!$B$44+MIN(100,L1014/'Config_v6'!$B$13*100)*'Config_v6'!$B$45+(100-'Motor_Meciuri'!BF78)*'Config_v6'!$B$46+'Motor_Meciuri'!BH78*100*'Config_v6'!$B$47))</x:f>
      </x:c>
      <x:c r="U1014" s="2" t="str">
        <x:f>IF(T1014="","",IF(T1014&lt;=20,1,IF(T1014&lt;=40,2,IF(T1014&lt;=60,3,IF(T1014&lt;=80,4,5)))))</x:f>
      </x:c>
      <x:c r="V1014" s="2" t="str">
        <x:f>IF(M1014="","",MAX(0,'Motor_Meciuri'!BF78-IF(W1014="OOS PENDING",'Config_v6'!$B$35,0)-IF(L1014&gt;'Config_v6'!$B$12,'Config_v6'!$B$37,IF(L1014&gt;'Config_v6'!$B$11,'Config_v6'!$B$36,0))))</x:f>
      </x:c>
      <x:c r="W1014" s="2" t="str">
        <x:f>IF(B1014="","",IF(I1014&lt;&gt;"READY","NOT RELEASED",IF(NOT(AND(J1014="PASS",'Calibrare_Linii'!U6="VALID")),"INVALID",IF(NOT(TRUE),"OOS PENDING",IF(S1014&lt;=IF(AND('Calibrare_Linii'!S6="VALIDATED",AND('Calibrare_Linii'!H6=C1014,ISNUMBER('Calibrare_Linii'!J6),'Calibrare_Linii'!J6&lt;='Input_Meci'!G78)),'Calibrare_Linii'!E6,'Config_v6'!$B$26),"PASS",IF(S1014&lt;=IF(AND('Calibrare_Linii'!S6="VALIDATED",AND('Calibrare_Linii'!H6=C1014,ISNUMBER('Calibrare_Linii'!J6),'Calibrare_Linii'!J6&lt;='Input_Meci'!G78)),'Calibrare_Linii'!F6,'Config_v6'!$C$26),"PENALTY","WATCH"))))))</x:f>
      </x:c>
      <x:c r="X1014" s="2" t="str">
        <x:f>IF(M1014="","",IF(AND(AND(J1014="PASS",'Calibrare_Linii'!U6="VALID"),'Motor_Meciuri'!K78=12,'Motor_Meciuri'!L78=12,'Motor_Meciuri'!M78="NO",'Motor_Meciuri'!BL78='Motor_Meciuri'!C78,AB1014&gt;='Config_v6'!$B$50,AN1014&gt;='Config_v6'!$B$51,T1014&lt;='Config_v6'!$B$52,L1014&lt;='Config_v6'!$B$53,ISNUMBER('Calibrare_Linii'!E6),S1014&lt;='Calibrare_Linii'!E6,SUM(AK1014:AM1014)&gt;0),"CANDIDATE","NO"))</x:f>
      </x:c>
      <x:c r="Y1014" s="2" t="str">
        <x:f>IF(B1014="","",IF(I1014&lt;&gt;"READY","NOT RELEASED",IF(AND(X1014="CANDIDATE",V1014&gt;='Config_v6'!$B$51,W1014="PASS",'Calibrare_Linii'!T6="VALIDATED",AND('Calibrare_Linii'!H6=C1014,ISNUMBER('Calibrare_Linii'!J6),'Calibrare_Linii'!J6&lt;='Input_Meci'!G78)),"PASS",IF(X1014="CANDIDATE","OOS PENDING","FAIL"))))</x:f>
      </x:c>
      <x:c r="Z1014" s="2" t="str">
        <x:f>IF(B1014="","",IF(I1014&lt;&gt;"READY","",IF(OR(NOT(AND(J1014="PASS",'Calibrare_Linii'!U6="VALID")),L1014&gt;'Config_v6'!$B$13,W1014="WATCH"),5,IF(Y1014="PASS",1,MIN(5,MAX('Config_v6'!$B$42,U1014)+IF(W1014="PENALTY",1,0))))))</x:f>
      </x:c>
      <x:c r="AA1014" s="2" t="str">
        <x:f>IF(B1014="","",IF(I1014&lt;&gt;"READY","NOT RELEASED",IF(Z1014=5,"NO BET",IF(OR(AB1014&lt;'Config_v6'!$B$16,V1014&lt;'Config_v6'!$B$18),"WATCH",IF(Z1014=1,"DEFENSIV",IF(Z1014=2,"PRUDENT",IF(Z1014=3,"MODERAT","RIDICAT")))))))</x:f>
      </x:c>
      <x:c r="AB1014" s="10" t="str">
        <x:f>IF(N1014="","",MIN(N1014,1-S1014))</x:f>
      </x:c>
      <x:c r="AC1014" s="2" t="str">
        <x:f>IF(AD1014&lt;&gt;1,"",COUNTIFS($Z$1014:$Z$1027,"&lt;"&amp;Z1014,$AD$1014:$AD$1027,1)+COUNTIFS($Z$1014:$Z$1027,Z1014,$AB$1014:$AB$1027,"&gt;"&amp;AB1014,$AD$1014:$AD$1027,1)+COUNTIFS($Z$1014:$Z$1027,Z1014,$AB$1014:$AB$1027,AB1014,$V$1014:$V$1027,"&gt;"&amp;V1014,$AD$1014:$AD$1027,1)+COUNTIFS($Z$1014:Z1014,Z1014,$AB$1014:AB1014,AB1014,$V$1014:V1014,V1014,$AD$1014:AD1014,1))</x:f>
      </x:c>
      <x:c r="AD1014" s="2" t="n">
        <x:f>IF(OR(AA1014="DEFENSIV",AA1014="PRUDENT",AA1014="MODERAT",AA1014="RIDICAT"),1,0)</x:f>
        <x:v>0</x:v>
      </x:c>
      <x:c r="AE1014" s="2" t="str">
        <x:f>IF(AD1014&lt;&gt;1,"NO",IF(W1014="PASS","YES",IF(W1014="OOS PENDING","CONDITIONAL","NO")))</x:f>
        <x:v>NO</x:v>
      </x:c>
      <x:c r="AF1014" s="2" t="n">
        <x:f>IF(AND(AD1014=1,AC1014=1,E1014="LIVE"),1,0)</x:f>
        <x:v>0</x:v>
      </x:c>
      <x:c r="AG1014" s="2" t="str">
        <x:f>IF(AF1014&lt;&gt;1,"",'Dashboard'!P98)</x:f>
      </x:c>
      <x:c r="AH1014" s="2" t="str">
        <x:f>IF(B1014="","",IF(J1014&lt;&gt;"PASS",'Motor_Meciuri'!J78,IF('Calibrare_Linii'!U6&lt;&gt;"VALID","Parametri linie invalizi",IF(L1014&gt;'Config_v6'!$B$13,"Dispersie peste limita",IF(W1014="WATCH","Failure peste limita",IF(AB1014&lt;'Config_v6'!$B$16,"P finala sub prag",IF(V1014&lt;'Config_v6'!$B$18,"Confidence sub prag",IF(E1014="REPLAY","Exemplu retrospectiv; exclus din Top LIVE",IF(Y1014="PASS","DEFENSIV validat",IF(W1014="OOS PENDING","Eligibil; calibrare linie in monitorizare","Eligibil"))))))))))</x:f>
      </x:c>
      <x:c r="AI1014" s="2" t="str">
        <x:f>IF(B1014="","",'Calibrare_Linii'!V6)</x:f>
      </x:c>
      <x:c r="AJ1014" s="2" t="str">
        <x:f>IF(B1014="","",IF(AND('Calibrare_Linii'!T6="VALIDATED",AND('Calibrare_Linii'!H6=C1014,ISNUMBER('Calibrare_Linii'!J6),'Calibrare_Linii'!J6&lt;='Input_Meci'!G78)),"DEFENSIVE VALIDATED",IF(AND('Calibrare_Linii'!S6="VALIDATED",AND('Calibrare_Linii'!H6=C1014,ISNUMBER('Calibrare_Linii'!J6),'Calibrare_Linii'!J6&lt;='Input_Meci'!G78)),"TAIL VALIDATED","OOS PENDING")))</x:f>
      </x:c>
      <x:c r="AK1014" s="2" t="n">
        <x:f>IF(J1014&lt;&gt;"PASS",0,'Motor_Meciuri'!BR78)</x:f>
        <x:v>0</x:v>
      </x:c>
      <x:c r="AL1014" s="2" t="n">
        <x:f>IF(J1014&lt;&gt;"PASS",0,'Motor_Meciuri'!BS78)</x:f>
        <x:v>0</x:v>
      </x:c>
      <x:c r="AM1014" s="2" t="n">
        <x:f>IF(J1014&lt;&gt;"PASS",0,'Motor_Meciuri'!BT78)</x:f>
        <x:v>0</x:v>
      </x:c>
      <x:c r="AN1014" s="2" t="str">
        <x:f>IF(M1014="","",MAX(0,'Motor_Meciuri'!BF78-IF(L1014&gt;'Config_v6'!$B$12,'Config_v6'!$B$37,IF(L1014&gt;'Config_v6'!$B$11,'Config_v6'!$B$36,0))))</x:f>
      </x:c>
    </x:row>
    <x:row r="1015" ht="21" customHeight="1">
      <x:c r="A1015" s="2" t="n">
        <x:v>73</x:v>
      </x:c>
      <x:c r="B1015" s="2" t="str">
        <x:f>IF('Motor_Meciuri'!A78="","",'Motor_Meciuri'!A78)</x:f>
      </x:c>
      <x:c r="C1015" s="2" t="str">
        <x:f>IF(B1015="","",'Motor_Meciuri'!B78)</x:f>
      </x:c>
      <x:c r="D1015" s="2" t="str">
        <x:f>IF(B1015="","",'Motor_Meciuri'!D78)</x:f>
      </x:c>
      <x:c r="E1015" s="2" t="str">
        <x:f>IF(B1015="","",'Motor_Meciuri'!E78)</x:f>
      </x:c>
      <x:c r="F1015" s="2" t="str">
        <x:v>O4,5</x:v>
      </x:c>
      <x:c r="G1015" s="2" t="str">
        <x:v>OVER</x:v>
      </x:c>
      <x:c r="H1015" s="2" t="n">
        <x:v>4</x:v>
      </x:c>
      <x:c r="I1015" s="2" t="str">
        <x:f>IF(B1015="","",'Motor_Meciuri'!H78)</x:f>
      </x:c>
      <x:c r="J1015" s="2" t="str">
        <x:f>IF(B1015="","",'Motor_Meciuri'!I78)</x:f>
      </x:c>
      <x:c r="K1015" s="11" t="str">
        <x:f>IF(J1015&lt;&gt;"PASS","",'Motor_Meciuri'!BD78)</x:f>
      </x:c>
      <x:c r="L1015" s="11" t="str">
        <x:f>IF(J1015&lt;&gt;"PASS","",'Motor_Meciuri'!AU78)</x:f>
      </x:c>
      <x:c r="M1015" s="10" t="str">
        <x:f>IF(NOT(AND(J1015="PASS",'Calibrare_Linii'!U7="VALID")),"",1-'Distributie'!AB78)</x:f>
      </x:c>
      <x:c r="N1015" s="10" t="str">
        <x:f>IF(M1015="","",MAX(0.01,MIN(0.99,0.5+(M1015-0.5)*'Motor_Meciuri'!BG78*'Calibrare_Linii'!D7)))</x:f>
      </x:c>
      <x:c r="O1015" s="10" t="str">
        <x:f>IF(M1015="","",1-M1015)</x:f>
      </x:c>
      <x:c r="P1015" s="10" t="str">
        <x:f>IF(OR(NOT(AND(J1015="PASS",'Calibrare_Linii'!U7="VALID")),AK1015=0),""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*('Istoric_Nativ'!$Q$6:$Q$405&lt;=H1015))/AK1015)</x:f>
      </x:c>
      <x:c r="Q1015" s="10" t="str">
        <x:f>IF(OR(NOT(AND(J1015="PASS",'Calibrare_Linii'!U7="VALID")),AL1015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M78)+((('Istoric_Nativ'!$E$6:$E$405='Input_Meci'!E78)+('Istoric_Nativ'!$F$6:$F$405='Input_Meci'!E78))&gt;0)*('Istoric_Nativ'!$D$6:$D$405&gt;='Motor_Meciuri'!BN78))&gt;0)*('Istoric_Nativ'!$Q$6:$Q$405&lt;=H1015))/AL1015)</x:f>
      </x:c>
      <x:c r="R1015" s="10" t="str">
        <x:f>IF(OR(NOT(AND(J1015="PASS",'Calibrare_Linii'!U7="VALID")),AM1015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O78)+((('Istoric_Nativ'!$E$6:$E$405='Input_Meci'!E78)+('Istoric_Nativ'!$F$6:$F$405='Input_Meci'!E78))&gt;0)*('Istoric_Nativ'!$D$6:$D$405&gt;='Motor_Meciuri'!BP78))&gt;0)*('Istoric_Nativ'!$Q$6:$Q$405&lt;=H1015))/AM1015)</x:f>
      </x:c>
      <x:c r="S1015" s="10" t="str">
        <x:f>IF(M1015="","",MAX(O1015,P1015,Q1015,R1015))</x:f>
      </x:c>
      <x:c r="T1015" s="11" t="str">
        <x:f>IF(M1015="","",MIN(100,S1015*100*'Config_v6'!$B$44+MIN(100,L1015/'Config_v6'!$B$13*100)*'Config_v6'!$B$45+(100-'Motor_Meciuri'!BF78)*'Config_v6'!$B$46+'Motor_Meciuri'!BH78*100*'Config_v6'!$B$47))</x:f>
      </x:c>
      <x:c r="U1015" s="2" t="str">
        <x:f>IF(T1015="","",IF(T1015&lt;=20,1,IF(T1015&lt;=40,2,IF(T1015&lt;=60,3,IF(T1015&lt;=80,4,5)))))</x:f>
      </x:c>
      <x:c r="V1015" s="2" t="str">
        <x:f>IF(M1015="","",MAX(0,'Motor_Meciuri'!BF78-IF(W1015="OOS PENDING",'Config_v6'!$B$35,0)-IF(L1015&gt;'Config_v6'!$B$12,'Config_v6'!$B$37,IF(L1015&gt;'Config_v6'!$B$11,'Config_v6'!$B$36,0))))</x:f>
      </x:c>
      <x:c r="W1015" s="2" t="str">
        <x:f>IF(B1015="","",IF(I1015&lt;&gt;"READY","NOT RELEASED",IF(NOT(AND(J1015="PASS",'Calibrare_Linii'!U7="VALID")),"INVALID",IF(NOT(AND('Calibrare_Linii'!S7="VALIDATED",AND('Calibrare_Linii'!H7=C1015,ISNUMBER('Calibrare_Linii'!J7),'Calibrare_Linii'!J7&lt;='Input_Meci'!G78))),"OOS PENDING",IF(S1015&lt;='Calibrare_Linii'!E7,"PASS",IF(S1015&lt;='Calibrare_Linii'!F7,"PENALTY","WATCH"))))))</x:f>
      </x:c>
      <x:c r="X1015" s="2" t="str">
        <x:f>IF(M1015="","",IF(AND(AND(J1015="PASS",'Calibrare_Linii'!U7="VALID"),'Motor_Meciuri'!K78=12,'Motor_Meciuri'!L78=12,'Motor_Meciuri'!M78="NO",'Motor_Meciuri'!BL78='Motor_Meciuri'!C78,AB1015&gt;='Config_v6'!$B$50,AN1015&gt;='Config_v6'!$B$51,T1015&lt;='Config_v6'!$B$52,L1015&lt;='Config_v6'!$B$53,ISNUMBER('Calibrare_Linii'!E7),S1015&lt;='Calibrare_Linii'!E7,SUM(AK1015:AM1015)&gt;0),"CANDIDATE","NO"))</x:f>
      </x:c>
      <x:c r="Y1015" s="2" t="str">
        <x:f>IF(B1015="","",IF(I1015&lt;&gt;"READY","NOT RELEASED",IF(AND(X1015="CANDIDATE",V1015&gt;='Config_v6'!$B$51,W1015="PASS",'Calibrare_Linii'!T7="VALIDATED",AND('Calibrare_Linii'!H7=C1015,ISNUMBER('Calibrare_Linii'!J7),'Calibrare_Linii'!J7&lt;='Input_Meci'!G78)),"PASS",IF(X1015="CANDIDATE","OOS PENDING","FAIL"))))</x:f>
      </x:c>
      <x:c r="Z1015" s="2" t="str">
        <x:f>IF(B1015="","",IF(I1015&lt;&gt;"READY","",IF(OR(NOT(AND(J1015="PASS",'Calibrare_Linii'!U7="VALID")),L1015&gt;'Config_v6'!$B$13,W1015="WATCH"),5,IF(Y1015="PASS",1,MIN(5,MAX('Config_v6'!$B$42,U1015)+IF(W1015="PENALTY",1,0))))))</x:f>
      </x:c>
      <x:c r="AA1015" s="2" t="str">
        <x:f>IF(B1015="","",IF(I1015&lt;&gt;"READY","NOT RELEASED",IF(Z1015=5,"NO BET",IF(OR(AB1015&lt;'Config_v6'!$B$16,V1015&lt;'Config_v6'!$B$18),"WATCH",IF(Z1015=1,"DEFENSIV",IF(Z1015=2,"PRUDENT",IF(Z1015=3,"MODERAT","RIDICAT")))))))</x:f>
      </x:c>
      <x:c r="AB1015" s="10" t="str">
        <x:f>IF(N1015="","",MIN(N1015,1-S1015))</x:f>
      </x:c>
      <x:c r="AC1015" s="2" t="str">
        <x:f>IF(AD1015&lt;&gt;1,"",COUNTIFS($Z$1014:$Z$1027,"&lt;"&amp;Z1015,$AD$1014:$AD$1027,1)+COUNTIFS($Z$1014:$Z$1027,Z1015,$AB$1014:$AB$1027,"&gt;"&amp;AB1015,$AD$1014:$AD$1027,1)+COUNTIFS($Z$1014:$Z$1027,Z1015,$AB$1014:$AB$1027,AB1015,$V$1014:$V$1027,"&gt;"&amp;V1015,$AD$1014:$AD$1027,1)+COUNTIFS($Z$1014:Z1015,Z1015,$AB$1014:AB1015,AB1015,$V$1014:V1015,V1015,$AD$1014:AD1015,1))</x:f>
      </x:c>
      <x:c r="AD1015" s="2" t="n">
        <x:f>IF(OR(AA1015="DEFENSIV",AA1015="PRUDENT",AA1015="MODERAT",AA1015="RIDICAT"),1,0)</x:f>
        <x:v>0</x:v>
      </x:c>
      <x:c r="AE1015" s="2" t="str">
        <x:f>IF(AD1015&lt;&gt;1,"NO",IF(W1015="PASS","YES",IF(W1015="OOS PENDING","CONDITIONAL","NO")))</x:f>
        <x:v>NO</x:v>
      </x:c>
      <x:c r="AF1015" s="2" t="n">
        <x:f>IF(AND(AD1015=1,AC1015=1,E1015="LIVE"),1,0)</x:f>
        <x:v>0</x:v>
      </x:c>
      <x:c r="AG1015" s="2" t="str">
        <x:f>IF(AF1015&lt;&gt;1,"",'Dashboard'!P98)</x:f>
      </x:c>
      <x:c r="AH1015" s="2" t="str">
        <x:f>IF(B1015="","",IF(J1015&lt;&gt;"PASS",'Motor_Meciuri'!J78,IF('Calibrare_Linii'!U7&lt;&gt;"VALID","Parametri linie invalizi",IF(L1015&gt;'Config_v6'!$B$13,"Dispersie peste limita",IF(W1015="WATCH","Failure peste limita",IF(AB1015&lt;'Config_v6'!$B$16,"P finala sub prag",IF(V1015&lt;'Config_v6'!$B$18,"Confidence sub prag",IF(E1015="REPLAY","Exemplu retrospectiv; exclus din Top LIVE",IF(Y1015="PASS","DEFENSIV validat",IF(W1015="OOS PENDING","Eligibil; calibrare linie in monitorizare","Eligibil"))))))))))</x:f>
      </x:c>
      <x:c r="AI1015" s="2" t="str">
        <x:f>IF(B1015="","",'Calibrare_Linii'!V7)</x:f>
      </x:c>
      <x:c r="AJ1015" s="2" t="str">
        <x:f>IF(B1015="","",IF(AND('Calibrare_Linii'!T7="VALIDATED",AND('Calibrare_Linii'!H7=C1015,ISNUMBER('Calibrare_Linii'!J7),'Calibrare_Linii'!J7&lt;='Input_Meci'!G78)),"DEFENSIVE VALIDATED",IF(AND('Calibrare_Linii'!S7="VALIDATED",AND('Calibrare_Linii'!H7=C1015,ISNUMBER('Calibrare_Linii'!J7),'Calibrare_Linii'!J7&lt;='Input_Meci'!G78)),"TAIL VALIDATED","OOS PENDING")))</x:f>
      </x:c>
      <x:c r="AK1015" s="2" t="n">
        <x:f>IF(J1015&lt;&gt;"PASS",0,'Motor_Meciuri'!BR78)</x:f>
        <x:v>0</x:v>
      </x:c>
      <x:c r="AL1015" s="2" t="n">
        <x:f>IF(J1015&lt;&gt;"PASS",0,'Motor_Meciuri'!BS78)</x:f>
        <x:v>0</x:v>
      </x:c>
      <x:c r="AM1015" s="2" t="n">
        <x:f>IF(J1015&lt;&gt;"PASS",0,'Motor_Meciuri'!BT78)</x:f>
        <x:v>0</x:v>
      </x:c>
      <x:c r="AN1015" s="2" t="str">
        <x:f>IF(M1015="","",MAX(0,'Motor_Meciuri'!BF78-IF(L1015&gt;'Config_v6'!$B$12,'Config_v6'!$B$37,IF(L1015&gt;'Config_v6'!$B$11,'Config_v6'!$B$36,0))))</x:f>
      </x:c>
    </x:row>
    <x:row r="1016" ht="21" customHeight="1">
      <x:c r="A1016" s="2" t="n">
        <x:v>73</x:v>
      </x:c>
      <x:c r="B1016" s="2" t="str">
        <x:f>IF('Motor_Meciuri'!A78="","",'Motor_Meciuri'!A78)</x:f>
      </x:c>
      <x:c r="C1016" s="2" t="str">
        <x:f>IF(B1016="","",'Motor_Meciuri'!B78)</x:f>
      </x:c>
      <x:c r="D1016" s="2" t="str">
        <x:f>IF(B1016="","",'Motor_Meciuri'!D78)</x:f>
      </x:c>
      <x:c r="E1016" s="2" t="str">
        <x:f>IF(B1016="","",'Motor_Meciuri'!E78)</x:f>
      </x:c>
      <x:c r="F1016" s="2" t="str">
        <x:v>O5,5</x:v>
      </x:c>
      <x:c r="G1016" s="2" t="str">
        <x:v>OVER</x:v>
      </x:c>
      <x:c r="H1016" s="2" t="n">
        <x:v>5</x:v>
      </x:c>
      <x:c r="I1016" s="2" t="str">
        <x:f>IF(B1016="","",'Motor_Meciuri'!H78)</x:f>
      </x:c>
      <x:c r="J1016" s="2" t="str">
        <x:f>IF(B1016="","",'Motor_Meciuri'!I78)</x:f>
      </x:c>
      <x:c r="K1016" s="11" t="str">
        <x:f>IF(J1016&lt;&gt;"PASS","",'Motor_Meciuri'!BD78)</x:f>
      </x:c>
      <x:c r="L1016" s="11" t="str">
        <x:f>IF(J1016&lt;&gt;"PASS","",'Motor_Meciuri'!AU78)</x:f>
      </x:c>
      <x:c r="M1016" s="10" t="str">
        <x:f>IF(NOT(AND(J1016="PASS",'Calibrare_Linii'!U8="VALID")),"",1-'Distributie'!AC78)</x:f>
      </x:c>
      <x:c r="N1016" s="10" t="str">
        <x:f>IF(M1016="","",MAX(0.01,MIN(0.99,0.5+(M1016-0.5)*'Motor_Meciuri'!BG78*'Calibrare_Linii'!D8)))</x:f>
      </x:c>
      <x:c r="O1016" s="10" t="str">
        <x:f>IF(M1016="","",1-M1016)</x:f>
      </x:c>
      <x:c r="P1016" s="10" t="str">
        <x:f>IF(OR(NOT(AND(J1016="PASS",'Calibrare_Linii'!U8="VALID")),AK1016=0),""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*('Istoric_Nativ'!$Q$6:$Q$405&lt;=H1016))/AK1016)</x:f>
      </x:c>
      <x:c r="Q1016" s="10" t="str">
        <x:f>IF(OR(NOT(AND(J1016="PASS",'Calibrare_Linii'!U8="VALID")),AL1016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M78)+((('Istoric_Nativ'!$E$6:$E$405='Input_Meci'!E78)+('Istoric_Nativ'!$F$6:$F$405='Input_Meci'!E78))&gt;0)*('Istoric_Nativ'!$D$6:$D$405&gt;='Motor_Meciuri'!BN78))&gt;0)*('Istoric_Nativ'!$Q$6:$Q$405&lt;=H1016))/AL1016)</x:f>
      </x:c>
      <x:c r="R1016" s="10" t="str">
        <x:f>IF(OR(NOT(AND(J1016="PASS",'Calibrare_Linii'!U8="VALID")),AM1016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O78)+((('Istoric_Nativ'!$E$6:$E$405='Input_Meci'!E78)+('Istoric_Nativ'!$F$6:$F$405='Input_Meci'!E78))&gt;0)*('Istoric_Nativ'!$D$6:$D$405&gt;='Motor_Meciuri'!BP78))&gt;0)*('Istoric_Nativ'!$Q$6:$Q$405&lt;=H1016))/AM1016)</x:f>
      </x:c>
      <x:c r="S1016" s="10" t="str">
        <x:f>IF(M1016="","",MAX(O1016,P1016,Q1016,R1016))</x:f>
      </x:c>
      <x:c r="T1016" s="11" t="str">
        <x:f>IF(M1016="","",MIN(100,S1016*100*'Config_v6'!$B$44+MIN(100,L1016/'Config_v6'!$B$13*100)*'Config_v6'!$B$45+(100-'Motor_Meciuri'!BF78)*'Config_v6'!$B$46+'Motor_Meciuri'!BH78*100*'Config_v6'!$B$47))</x:f>
      </x:c>
      <x:c r="U1016" s="2" t="str">
        <x:f>IF(T1016="","",IF(T1016&lt;=20,1,IF(T1016&lt;=40,2,IF(T1016&lt;=60,3,IF(T1016&lt;=80,4,5)))))</x:f>
      </x:c>
      <x:c r="V1016" s="2" t="str">
        <x:f>IF(M1016="","",MAX(0,'Motor_Meciuri'!BF78-IF(W1016="OOS PENDING",'Config_v6'!$B$35,0)-IF(L1016&gt;'Config_v6'!$B$12,'Config_v6'!$B$37,IF(L1016&gt;'Config_v6'!$B$11,'Config_v6'!$B$36,0))))</x:f>
      </x:c>
      <x:c r="W1016" s="2" t="str">
        <x:f>IF(B1016="","",IF(I1016&lt;&gt;"READY","NOT RELEASED",IF(NOT(AND(J1016="PASS",'Calibrare_Linii'!U8="VALID")),"INVALID",IF(NOT(AND('Calibrare_Linii'!S8="VALIDATED",AND('Calibrare_Linii'!H8=C1016,ISNUMBER('Calibrare_Linii'!J8),'Calibrare_Linii'!J8&lt;='Input_Meci'!G78))),"OOS PENDING",IF(S1016&lt;='Calibrare_Linii'!E8,"PASS",IF(S1016&lt;='Calibrare_Linii'!F8,"PENALTY","WATCH"))))))</x:f>
      </x:c>
      <x:c r="X1016" s="2" t="str">
        <x:f>IF(M1016="","",IF(AND(AND(J1016="PASS",'Calibrare_Linii'!U8="VALID"),'Motor_Meciuri'!K78=12,'Motor_Meciuri'!L78=12,'Motor_Meciuri'!M78="NO",'Motor_Meciuri'!BL78='Motor_Meciuri'!C78,AB1016&gt;='Config_v6'!$B$50,AN1016&gt;='Config_v6'!$B$51,T1016&lt;='Config_v6'!$B$52,L1016&lt;='Config_v6'!$B$53,ISNUMBER('Calibrare_Linii'!E8),S1016&lt;='Calibrare_Linii'!E8,SUM(AK1016:AM1016)&gt;0),"CANDIDATE","NO"))</x:f>
      </x:c>
      <x:c r="Y1016" s="2" t="str">
        <x:f>IF(B1016="","",IF(I1016&lt;&gt;"READY","NOT RELEASED",IF(AND(X1016="CANDIDATE",V1016&gt;='Config_v6'!$B$51,W1016="PASS",'Calibrare_Linii'!T8="VALIDATED",AND('Calibrare_Linii'!H8=C1016,ISNUMBER('Calibrare_Linii'!J8),'Calibrare_Linii'!J8&lt;='Input_Meci'!G78)),"PASS",IF(X1016="CANDIDATE","OOS PENDING","FAIL"))))</x:f>
      </x:c>
      <x:c r="Z1016" s="2" t="str">
        <x:f>IF(B1016="","",IF(I1016&lt;&gt;"READY","",IF(OR(NOT(AND(J1016="PASS",'Calibrare_Linii'!U8="VALID")),L1016&gt;'Config_v6'!$B$13,W1016="WATCH"),5,IF(Y1016="PASS",1,MIN(5,MAX('Config_v6'!$B$42,U1016)+IF(W1016="PENALTY",1,0))))))</x:f>
      </x:c>
      <x:c r="AA1016" s="2" t="str">
        <x:f>IF(B1016="","",IF(I1016&lt;&gt;"READY","NOT RELEASED",IF(Z1016=5,"NO BET",IF(OR(AB1016&lt;'Config_v6'!$B$16,V1016&lt;'Config_v6'!$B$18),"WATCH",IF(Z1016=1,"DEFENSIV",IF(Z1016=2,"PRUDENT",IF(Z1016=3,"MODERAT","RIDICAT")))))))</x:f>
      </x:c>
      <x:c r="AB1016" s="10" t="str">
        <x:f>IF(N1016="","",MIN(N1016,1-S1016))</x:f>
      </x:c>
      <x:c r="AC1016" s="2" t="str">
        <x:f>IF(AD1016&lt;&gt;1,"",COUNTIFS($Z$1014:$Z$1027,"&lt;"&amp;Z1016,$AD$1014:$AD$1027,1)+COUNTIFS($Z$1014:$Z$1027,Z1016,$AB$1014:$AB$1027,"&gt;"&amp;AB1016,$AD$1014:$AD$1027,1)+COUNTIFS($Z$1014:$Z$1027,Z1016,$AB$1014:$AB$1027,AB1016,$V$1014:$V$1027,"&gt;"&amp;V1016,$AD$1014:$AD$1027,1)+COUNTIFS($Z$1014:Z1016,Z1016,$AB$1014:AB1016,AB1016,$V$1014:V1016,V1016,$AD$1014:AD1016,1))</x:f>
      </x:c>
      <x:c r="AD1016" s="2" t="n">
        <x:f>IF(OR(AA1016="DEFENSIV",AA1016="PRUDENT",AA1016="MODERAT",AA1016="RIDICAT"),1,0)</x:f>
        <x:v>0</x:v>
      </x:c>
      <x:c r="AE1016" s="2" t="str">
        <x:f>IF(AD1016&lt;&gt;1,"NO",IF(W1016="PASS","YES",IF(W1016="OOS PENDING","CONDITIONAL","NO")))</x:f>
        <x:v>NO</x:v>
      </x:c>
      <x:c r="AF1016" s="2" t="n">
        <x:f>IF(AND(AD1016=1,AC1016=1,E1016="LIVE"),1,0)</x:f>
        <x:v>0</x:v>
      </x:c>
      <x:c r="AG1016" s="2" t="str">
        <x:f>IF(AF1016&lt;&gt;1,"",'Dashboard'!P98)</x:f>
      </x:c>
      <x:c r="AH1016" s="2" t="str">
        <x:f>IF(B1016="","",IF(J1016&lt;&gt;"PASS",'Motor_Meciuri'!J78,IF('Calibrare_Linii'!U8&lt;&gt;"VALID","Parametri linie invalizi",IF(L1016&gt;'Config_v6'!$B$13,"Dispersie peste limita",IF(W1016="WATCH","Failure peste limita",IF(AB1016&lt;'Config_v6'!$B$16,"P finala sub prag",IF(V1016&lt;'Config_v6'!$B$18,"Confidence sub prag",IF(E1016="REPLAY","Exemplu retrospectiv; exclus din Top LIVE",IF(Y1016="PASS","DEFENSIV validat",IF(W1016="OOS PENDING","Eligibil; calibrare linie in monitorizare","Eligibil"))))))))))</x:f>
      </x:c>
      <x:c r="AI1016" s="2" t="str">
        <x:f>IF(B1016="","",'Calibrare_Linii'!V8)</x:f>
      </x:c>
      <x:c r="AJ1016" s="2" t="str">
        <x:f>IF(B1016="","",IF(AND('Calibrare_Linii'!T8="VALIDATED",AND('Calibrare_Linii'!H8=C1016,ISNUMBER('Calibrare_Linii'!J8),'Calibrare_Linii'!J8&lt;='Input_Meci'!G78)),"DEFENSIVE VALIDATED",IF(AND('Calibrare_Linii'!S8="VALIDATED",AND('Calibrare_Linii'!H8=C1016,ISNUMBER('Calibrare_Linii'!J8),'Calibrare_Linii'!J8&lt;='Input_Meci'!G78)),"TAIL VALIDATED","OOS PENDING")))</x:f>
      </x:c>
      <x:c r="AK1016" s="2" t="n">
        <x:f>IF(J1016&lt;&gt;"PASS",0,'Motor_Meciuri'!BR78)</x:f>
        <x:v>0</x:v>
      </x:c>
      <x:c r="AL1016" s="2" t="n">
        <x:f>IF(J1016&lt;&gt;"PASS",0,'Motor_Meciuri'!BS78)</x:f>
        <x:v>0</x:v>
      </x:c>
      <x:c r="AM1016" s="2" t="n">
        <x:f>IF(J1016&lt;&gt;"PASS",0,'Motor_Meciuri'!BT78)</x:f>
        <x:v>0</x:v>
      </x:c>
      <x:c r="AN1016" s="2" t="str">
        <x:f>IF(M1016="","",MAX(0,'Motor_Meciuri'!BF78-IF(L1016&gt;'Config_v6'!$B$12,'Config_v6'!$B$37,IF(L1016&gt;'Config_v6'!$B$11,'Config_v6'!$B$36,0))))</x:f>
      </x:c>
    </x:row>
    <x:row r="1017" ht="21" customHeight="1">
      <x:c r="A1017" s="2" t="n">
        <x:v>73</x:v>
      </x:c>
      <x:c r="B1017" s="2" t="str">
        <x:f>IF('Motor_Meciuri'!A78="","",'Motor_Meciuri'!A78)</x:f>
      </x:c>
      <x:c r="C1017" s="2" t="str">
        <x:f>IF(B1017="","",'Motor_Meciuri'!B78)</x:f>
      </x:c>
      <x:c r="D1017" s="2" t="str">
        <x:f>IF(B1017="","",'Motor_Meciuri'!D78)</x:f>
      </x:c>
      <x:c r="E1017" s="2" t="str">
        <x:f>IF(B1017="","",'Motor_Meciuri'!E78)</x:f>
      </x:c>
      <x:c r="F1017" s="2" t="str">
        <x:v>O6,5</x:v>
      </x:c>
      <x:c r="G1017" s="2" t="str">
        <x:v>OVER</x:v>
      </x:c>
      <x:c r="H1017" s="2" t="n">
        <x:v>6</x:v>
      </x:c>
      <x:c r="I1017" s="2" t="str">
        <x:f>IF(B1017="","",'Motor_Meciuri'!H78)</x:f>
      </x:c>
      <x:c r="J1017" s="2" t="str">
        <x:f>IF(B1017="","",'Motor_Meciuri'!I78)</x:f>
      </x:c>
      <x:c r="K1017" s="11" t="str">
        <x:f>IF(J1017&lt;&gt;"PASS","",'Motor_Meciuri'!BD78)</x:f>
      </x:c>
      <x:c r="L1017" s="11" t="str">
        <x:f>IF(J1017&lt;&gt;"PASS","",'Motor_Meciuri'!AU78)</x:f>
      </x:c>
      <x:c r="M1017" s="10" t="str">
        <x:f>IF(NOT(AND(J1017="PASS",'Calibrare_Linii'!U9="VALID")),"",1-'Distributie'!AD78)</x:f>
      </x:c>
      <x:c r="N1017" s="10" t="str">
        <x:f>IF(M1017="","",MAX(0.01,MIN(0.99,0.5+(M1017-0.5)*'Motor_Meciuri'!BG78*'Calibrare_Linii'!D9)))</x:f>
      </x:c>
      <x:c r="O1017" s="10" t="str">
        <x:f>IF(M1017="","",1-M1017)</x:f>
      </x:c>
      <x:c r="P1017" s="10" t="str">
        <x:f>IF(OR(NOT(AND(J1017="PASS",'Calibrare_Linii'!U9="VALID")),AK1017=0),""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*('Istoric_Nativ'!$Q$6:$Q$405&lt;=H1017))/AK1017)</x:f>
      </x:c>
      <x:c r="Q1017" s="10" t="str">
        <x:f>IF(OR(NOT(AND(J1017="PASS",'Calibrare_Linii'!U9="VALID")),AL1017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M78)+((('Istoric_Nativ'!$E$6:$E$405='Input_Meci'!E78)+('Istoric_Nativ'!$F$6:$F$405='Input_Meci'!E78))&gt;0)*('Istoric_Nativ'!$D$6:$D$405&gt;='Motor_Meciuri'!BN78))&gt;0)*('Istoric_Nativ'!$Q$6:$Q$405&lt;=H1017))/AL1017)</x:f>
      </x:c>
      <x:c r="R1017" s="10" t="str">
        <x:f>IF(OR(NOT(AND(J1017="PASS",'Calibrare_Linii'!U9="VALID")),AM1017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O78)+((('Istoric_Nativ'!$E$6:$E$405='Input_Meci'!E78)+('Istoric_Nativ'!$F$6:$F$405='Input_Meci'!E78))&gt;0)*('Istoric_Nativ'!$D$6:$D$405&gt;='Motor_Meciuri'!BP78))&gt;0)*('Istoric_Nativ'!$Q$6:$Q$405&lt;=H1017))/AM1017)</x:f>
      </x:c>
      <x:c r="S1017" s="10" t="str">
        <x:f>IF(M1017="","",MAX(O1017,P1017,Q1017,R1017))</x:f>
      </x:c>
      <x:c r="T1017" s="11" t="str">
        <x:f>IF(M1017="","",MIN(100,S1017*100*'Config_v6'!$B$44+MIN(100,L1017/'Config_v6'!$B$13*100)*'Config_v6'!$B$45+(100-'Motor_Meciuri'!BF78)*'Config_v6'!$B$46+'Motor_Meciuri'!BH78*100*'Config_v6'!$B$47))</x:f>
      </x:c>
      <x:c r="U1017" s="2" t="str">
        <x:f>IF(T1017="","",IF(T1017&lt;=20,1,IF(T1017&lt;=40,2,IF(T1017&lt;=60,3,IF(T1017&lt;=80,4,5)))))</x:f>
      </x:c>
      <x:c r="V1017" s="2" t="str">
        <x:f>IF(M1017="","",MAX(0,'Motor_Meciuri'!BF78-IF(W1017="OOS PENDING",'Config_v6'!$B$35,0)-IF(L1017&gt;'Config_v6'!$B$12,'Config_v6'!$B$37,IF(L1017&gt;'Config_v6'!$B$11,'Config_v6'!$B$36,0))))</x:f>
      </x:c>
      <x:c r="W1017" s="2" t="str">
        <x:f>IF(B1017="","",IF(I1017&lt;&gt;"READY","NOT RELEASED",IF(NOT(AND(J1017="PASS",'Calibrare_Linii'!U9="VALID")),"INVALID",IF(NOT(AND('Calibrare_Linii'!S9="VALIDATED",AND('Calibrare_Linii'!H9=C1017,ISNUMBER('Calibrare_Linii'!J9),'Calibrare_Linii'!J9&lt;='Input_Meci'!G78))),"OOS PENDING",IF(S1017&lt;='Calibrare_Linii'!E9,"PASS",IF(S1017&lt;='Calibrare_Linii'!F9,"PENALTY","WATCH"))))))</x:f>
      </x:c>
      <x:c r="X1017" s="2" t="str">
        <x:f>IF(M1017="","",IF(AND(AND(J1017="PASS",'Calibrare_Linii'!U9="VALID"),'Motor_Meciuri'!K78=12,'Motor_Meciuri'!L78=12,'Motor_Meciuri'!M78="NO",'Motor_Meciuri'!BL78='Motor_Meciuri'!C78,AB1017&gt;='Config_v6'!$B$50,AN1017&gt;='Config_v6'!$B$51,T1017&lt;='Config_v6'!$B$52,L1017&lt;='Config_v6'!$B$53,ISNUMBER('Calibrare_Linii'!E9),S1017&lt;='Calibrare_Linii'!E9,SUM(AK1017:AM1017)&gt;0),"CANDIDATE","NO"))</x:f>
      </x:c>
      <x:c r="Y1017" s="2" t="str">
        <x:f>IF(B1017="","",IF(I1017&lt;&gt;"READY","NOT RELEASED",IF(AND(X1017="CANDIDATE",V1017&gt;='Config_v6'!$B$51,W1017="PASS",'Calibrare_Linii'!T9="VALIDATED",AND('Calibrare_Linii'!H9=C1017,ISNUMBER('Calibrare_Linii'!J9),'Calibrare_Linii'!J9&lt;='Input_Meci'!G78)),"PASS",IF(X1017="CANDIDATE","OOS PENDING","FAIL"))))</x:f>
      </x:c>
      <x:c r="Z1017" s="2" t="str">
        <x:f>IF(B1017="","",IF(I1017&lt;&gt;"READY","",IF(OR(NOT(AND(J1017="PASS",'Calibrare_Linii'!U9="VALID")),L1017&gt;'Config_v6'!$B$13,W1017="WATCH"),5,IF(Y1017="PASS",1,MIN(5,MAX('Config_v6'!$B$42,U1017)+IF(W1017="PENALTY",1,0))))))</x:f>
      </x:c>
      <x:c r="AA1017" s="2" t="str">
        <x:f>IF(B1017="","",IF(I1017&lt;&gt;"READY","NOT RELEASED",IF(Z1017=5,"NO BET",IF(OR(AB1017&lt;'Config_v6'!$B$16,V1017&lt;'Config_v6'!$B$18),"WATCH",IF(Z1017=1,"DEFENSIV",IF(Z1017=2,"PRUDENT",IF(Z1017=3,"MODERAT","RIDICAT")))))))</x:f>
      </x:c>
      <x:c r="AB1017" s="10" t="str">
        <x:f>IF(N1017="","",MIN(N1017,1-S1017))</x:f>
      </x:c>
      <x:c r="AC1017" s="2" t="str">
        <x:f>IF(AD1017&lt;&gt;1,"",COUNTIFS($Z$1014:$Z$1027,"&lt;"&amp;Z1017,$AD$1014:$AD$1027,1)+COUNTIFS($Z$1014:$Z$1027,Z1017,$AB$1014:$AB$1027,"&gt;"&amp;AB1017,$AD$1014:$AD$1027,1)+COUNTIFS($Z$1014:$Z$1027,Z1017,$AB$1014:$AB$1027,AB1017,$V$1014:$V$1027,"&gt;"&amp;V1017,$AD$1014:$AD$1027,1)+COUNTIFS($Z$1014:Z1017,Z1017,$AB$1014:AB1017,AB1017,$V$1014:V1017,V1017,$AD$1014:AD1017,1))</x:f>
      </x:c>
      <x:c r="AD1017" s="2" t="n">
        <x:f>IF(OR(AA1017="DEFENSIV",AA1017="PRUDENT",AA1017="MODERAT",AA1017="RIDICAT"),1,0)</x:f>
        <x:v>0</x:v>
      </x:c>
      <x:c r="AE1017" s="2" t="str">
        <x:f>IF(AD1017&lt;&gt;1,"NO",IF(W1017="PASS","YES",IF(W1017="OOS PENDING","CONDITIONAL","NO")))</x:f>
        <x:v>NO</x:v>
      </x:c>
      <x:c r="AF1017" s="2" t="n">
        <x:f>IF(AND(AD1017=1,AC1017=1,E1017="LIVE"),1,0)</x:f>
        <x:v>0</x:v>
      </x:c>
      <x:c r="AG1017" s="2" t="str">
        <x:f>IF(AF1017&lt;&gt;1,"",'Dashboard'!P98)</x:f>
      </x:c>
      <x:c r="AH1017" s="2" t="str">
        <x:f>IF(B1017="","",IF(J1017&lt;&gt;"PASS",'Motor_Meciuri'!J78,IF('Calibrare_Linii'!U9&lt;&gt;"VALID","Parametri linie invalizi",IF(L1017&gt;'Config_v6'!$B$13,"Dispersie peste limita",IF(W1017="WATCH","Failure peste limita",IF(AB1017&lt;'Config_v6'!$B$16,"P finala sub prag",IF(V1017&lt;'Config_v6'!$B$18,"Confidence sub prag",IF(E1017="REPLAY","Exemplu retrospectiv; exclus din Top LIVE",IF(Y1017="PASS","DEFENSIV validat",IF(W1017="OOS PENDING","Eligibil; calibrare linie in monitorizare","Eligibil"))))))))))</x:f>
      </x:c>
      <x:c r="AI1017" s="2" t="str">
        <x:f>IF(B1017="","",'Calibrare_Linii'!V9)</x:f>
      </x:c>
      <x:c r="AJ1017" s="2" t="str">
        <x:f>IF(B1017="","",IF(AND('Calibrare_Linii'!T9="VALIDATED",AND('Calibrare_Linii'!H9=C1017,ISNUMBER('Calibrare_Linii'!J9),'Calibrare_Linii'!J9&lt;='Input_Meci'!G78)),"DEFENSIVE VALIDATED",IF(AND('Calibrare_Linii'!S9="VALIDATED",AND('Calibrare_Linii'!H9=C1017,ISNUMBER('Calibrare_Linii'!J9),'Calibrare_Linii'!J9&lt;='Input_Meci'!G78)),"TAIL VALIDATED","OOS PENDING")))</x:f>
      </x:c>
      <x:c r="AK1017" s="2" t="n">
        <x:f>IF(J1017&lt;&gt;"PASS",0,'Motor_Meciuri'!BR78)</x:f>
        <x:v>0</x:v>
      </x:c>
      <x:c r="AL1017" s="2" t="n">
        <x:f>IF(J1017&lt;&gt;"PASS",0,'Motor_Meciuri'!BS78)</x:f>
        <x:v>0</x:v>
      </x:c>
      <x:c r="AM1017" s="2" t="n">
        <x:f>IF(J1017&lt;&gt;"PASS",0,'Motor_Meciuri'!BT78)</x:f>
        <x:v>0</x:v>
      </x:c>
      <x:c r="AN1017" s="2" t="str">
        <x:f>IF(M1017="","",MAX(0,'Motor_Meciuri'!BF78-IF(L1017&gt;'Config_v6'!$B$12,'Config_v6'!$B$37,IF(L1017&gt;'Config_v6'!$B$11,'Config_v6'!$B$36,0))))</x:f>
      </x:c>
    </x:row>
    <x:row r="1018" ht="21" customHeight="1">
      <x:c r="A1018" s="2" t="n">
        <x:v>73</x:v>
      </x:c>
      <x:c r="B1018" s="2" t="str">
        <x:f>IF('Motor_Meciuri'!A78="","",'Motor_Meciuri'!A78)</x:f>
      </x:c>
      <x:c r="C1018" s="2" t="str">
        <x:f>IF(B1018="","",'Motor_Meciuri'!B78)</x:f>
      </x:c>
      <x:c r="D1018" s="2" t="str">
        <x:f>IF(B1018="","",'Motor_Meciuri'!D78)</x:f>
      </x:c>
      <x:c r="E1018" s="2" t="str">
        <x:f>IF(B1018="","",'Motor_Meciuri'!E78)</x:f>
      </x:c>
      <x:c r="F1018" s="2" t="str">
        <x:v>O7,5</x:v>
      </x:c>
      <x:c r="G1018" s="2" t="str">
        <x:v>OVER</x:v>
      </x:c>
      <x:c r="H1018" s="2" t="n">
        <x:v>7</x:v>
      </x:c>
      <x:c r="I1018" s="2" t="str">
        <x:f>IF(B1018="","",'Motor_Meciuri'!H78)</x:f>
      </x:c>
      <x:c r="J1018" s="2" t="str">
        <x:f>IF(B1018="","",'Motor_Meciuri'!I78)</x:f>
      </x:c>
      <x:c r="K1018" s="11" t="str">
        <x:f>IF(J1018&lt;&gt;"PASS","",'Motor_Meciuri'!BD78)</x:f>
      </x:c>
      <x:c r="L1018" s="11" t="str">
        <x:f>IF(J1018&lt;&gt;"PASS","",'Motor_Meciuri'!AU78)</x:f>
      </x:c>
      <x:c r="M1018" s="10" t="str">
        <x:f>IF(NOT(AND(J1018="PASS",'Calibrare_Linii'!U10="VALID")),"",1-'Distributie'!AE78)</x:f>
      </x:c>
      <x:c r="N1018" s="10" t="str">
        <x:f>IF(M1018="","",MAX(0.01,MIN(0.99,0.5+(M1018-0.5)*'Motor_Meciuri'!BG78*'Calibrare_Linii'!D10)))</x:f>
      </x:c>
      <x:c r="O1018" s="10" t="str">
        <x:f>IF(M1018="","",1-M1018)</x:f>
      </x:c>
      <x:c r="P1018" s="10" t="str">
        <x:f>IF(OR(NOT(AND(J1018="PASS",'Calibrare_Linii'!U10="VALID")),AK1018=0),""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*('Istoric_Nativ'!$Q$6:$Q$405&lt;=H1018))/AK1018)</x:f>
      </x:c>
      <x:c r="Q1018" s="10" t="str">
        <x:f>IF(OR(NOT(AND(J1018="PASS",'Calibrare_Linii'!U10="VALID")),AL1018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M78)+((('Istoric_Nativ'!$E$6:$E$405='Input_Meci'!E78)+('Istoric_Nativ'!$F$6:$F$405='Input_Meci'!E78))&gt;0)*('Istoric_Nativ'!$D$6:$D$405&gt;='Motor_Meciuri'!BN78))&gt;0)*('Istoric_Nativ'!$Q$6:$Q$405&lt;=H1018))/AL1018)</x:f>
      </x:c>
      <x:c r="R1018" s="10" t="str">
        <x:f>IF(OR(NOT(AND(J1018="PASS",'Calibrare_Linii'!U10="VALID")),AM1018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O78)+((('Istoric_Nativ'!$E$6:$E$405='Input_Meci'!E78)+('Istoric_Nativ'!$F$6:$F$405='Input_Meci'!E78))&gt;0)*('Istoric_Nativ'!$D$6:$D$405&gt;='Motor_Meciuri'!BP78))&gt;0)*('Istoric_Nativ'!$Q$6:$Q$405&lt;=H1018))/AM1018)</x:f>
      </x:c>
      <x:c r="S1018" s="10" t="str">
        <x:f>IF(M1018="","",MAX(O1018,P1018,Q1018,R1018))</x:f>
      </x:c>
      <x:c r="T1018" s="11" t="str">
        <x:f>IF(M1018="","",MIN(100,S1018*100*'Config_v6'!$B$44+MIN(100,L1018/'Config_v6'!$B$13*100)*'Config_v6'!$B$45+(100-'Motor_Meciuri'!BF78)*'Config_v6'!$B$46+'Motor_Meciuri'!BH78*100*'Config_v6'!$B$47))</x:f>
      </x:c>
      <x:c r="U1018" s="2" t="str">
        <x:f>IF(T1018="","",IF(T1018&lt;=20,1,IF(T1018&lt;=40,2,IF(T1018&lt;=60,3,IF(T1018&lt;=80,4,5)))))</x:f>
      </x:c>
      <x:c r="V1018" s="2" t="str">
        <x:f>IF(M1018="","",MAX(0,'Motor_Meciuri'!BF78-IF(W1018="OOS PENDING",'Config_v6'!$B$35,0)-IF(L1018&gt;'Config_v6'!$B$12,'Config_v6'!$B$37,IF(L1018&gt;'Config_v6'!$B$11,'Config_v6'!$B$36,0))))</x:f>
      </x:c>
      <x:c r="W1018" s="2" t="str">
        <x:f>IF(B1018="","",IF(I1018&lt;&gt;"READY","NOT RELEASED",IF(NOT(AND(J1018="PASS",'Calibrare_Linii'!U10="VALID")),"INVALID",IF(NOT(AND('Calibrare_Linii'!S10="VALIDATED",AND('Calibrare_Linii'!H10=C1018,ISNUMBER('Calibrare_Linii'!J10),'Calibrare_Linii'!J10&lt;='Input_Meci'!G78))),"OOS PENDING",IF(S1018&lt;='Calibrare_Linii'!E10,"PASS",IF(S1018&lt;='Calibrare_Linii'!F10,"PENALTY","WATCH"))))))</x:f>
      </x:c>
      <x:c r="X1018" s="2" t="str">
        <x:f>IF(M1018="","",IF(AND(AND(J1018="PASS",'Calibrare_Linii'!U10="VALID"),'Motor_Meciuri'!K78=12,'Motor_Meciuri'!L78=12,'Motor_Meciuri'!M78="NO",'Motor_Meciuri'!BL78='Motor_Meciuri'!C78,AB1018&gt;='Config_v6'!$B$50,AN1018&gt;='Config_v6'!$B$51,T1018&lt;='Config_v6'!$B$52,L1018&lt;='Config_v6'!$B$53,ISNUMBER('Calibrare_Linii'!E10),S1018&lt;='Calibrare_Linii'!E10,SUM(AK1018:AM1018)&gt;0),"CANDIDATE","NO"))</x:f>
      </x:c>
      <x:c r="Y1018" s="2" t="str">
        <x:f>IF(B1018="","",IF(I1018&lt;&gt;"READY","NOT RELEASED",IF(AND(X1018="CANDIDATE",V1018&gt;='Config_v6'!$B$51,W1018="PASS",'Calibrare_Linii'!T10="VALIDATED",AND('Calibrare_Linii'!H10=C1018,ISNUMBER('Calibrare_Linii'!J10),'Calibrare_Linii'!J10&lt;='Input_Meci'!G78)),"PASS",IF(X1018="CANDIDATE","OOS PENDING","FAIL"))))</x:f>
      </x:c>
      <x:c r="Z1018" s="2" t="str">
        <x:f>IF(B1018="","",IF(I1018&lt;&gt;"READY","",IF(OR(NOT(AND(J1018="PASS",'Calibrare_Linii'!U10="VALID")),L1018&gt;'Config_v6'!$B$13,W1018="WATCH"),5,IF(Y1018="PASS",1,MIN(5,MAX('Config_v6'!$B$42,U1018)+IF(W1018="PENALTY",1,0))))))</x:f>
      </x:c>
      <x:c r="AA1018" s="2" t="str">
        <x:f>IF(B1018="","",IF(I1018&lt;&gt;"READY","NOT RELEASED",IF(Z1018=5,"NO BET",IF(OR(AB1018&lt;'Config_v6'!$B$16,V1018&lt;'Config_v6'!$B$18),"WATCH",IF(Z1018=1,"DEFENSIV",IF(Z1018=2,"PRUDENT",IF(Z1018=3,"MODERAT","RIDICAT")))))))</x:f>
      </x:c>
      <x:c r="AB1018" s="10" t="str">
        <x:f>IF(N1018="","",MIN(N1018,1-S1018))</x:f>
      </x:c>
      <x:c r="AC1018" s="2" t="str">
        <x:f>IF(AD1018&lt;&gt;1,"",COUNTIFS($Z$1014:$Z$1027,"&lt;"&amp;Z1018,$AD$1014:$AD$1027,1)+COUNTIFS($Z$1014:$Z$1027,Z1018,$AB$1014:$AB$1027,"&gt;"&amp;AB1018,$AD$1014:$AD$1027,1)+COUNTIFS($Z$1014:$Z$1027,Z1018,$AB$1014:$AB$1027,AB1018,$V$1014:$V$1027,"&gt;"&amp;V1018,$AD$1014:$AD$1027,1)+COUNTIFS($Z$1014:Z1018,Z1018,$AB$1014:AB1018,AB1018,$V$1014:V1018,V1018,$AD$1014:AD1018,1))</x:f>
      </x:c>
      <x:c r="AD1018" s="2" t="n">
        <x:f>IF(OR(AA1018="DEFENSIV",AA1018="PRUDENT",AA1018="MODERAT",AA1018="RIDICAT"),1,0)</x:f>
        <x:v>0</x:v>
      </x:c>
      <x:c r="AE1018" s="2" t="str">
        <x:f>IF(AD1018&lt;&gt;1,"NO",IF(W1018="PASS","YES",IF(W1018="OOS PENDING","CONDITIONAL","NO")))</x:f>
        <x:v>NO</x:v>
      </x:c>
      <x:c r="AF1018" s="2" t="n">
        <x:f>IF(AND(AD1018=1,AC1018=1,E1018="LIVE"),1,0)</x:f>
        <x:v>0</x:v>
      </x:c>
      <x:c r="AG1018" s="2" t="str">
        <x:f>IF(AF1018&lt;&gt;1,"",'Dashboard'!P98)</x:f>
      </x:c>
      <x:c r="AH1018" s="2" t="str">
        <x:f>IF(B1018="","",IF(J1018&lt;&gt;"PASS",'Motor_Meciuri'!J78,IF('Calibrare_Linii'!U10&lt;&gt;"VALID","Parametri linie invalizi",IF(L1018&gt;'Config_v6'!$B$13,"Dispersie peste limita",IF(W1018="WATCH","Failure peste limita",IF(AB1018&lt;'Config_v6'!$B$16,"P finala sub prag",IF(V1018&lt;'Config_v6'!$B$18,"Confidence sub prag",IF(E1018="REPLAY","Exemplu retrospectiv; exclus din Top LIVE",IF(Y1018="PASS","DEFENSIV validat",IF(W1018="OOS PENDING","Eligibil; calibrare linie in monitorizare","Eligibil"))))))))))</x:f>
      </x:c>
      <x:c r="AI1018" s="2" t="str">
        <x:f>IF(B1018="","",'Calibrare_Linii'!V10)</x:f>
      </x:c>
      <x:c r="AJ1018" s="2" t="str">
        <x:f>IF(B1018="","",IF(AND('Calibrare_Linii'!T10="VALIDATED",AND('Calibrare_Linii'!H10=C1018,ISNUMBER('Calibrare_Linii'!J10),'Calibrare_Linii'!J10&lt;='Input_Meci'!G78)),"DEFENSIVE VALIDATED",IF(AND('Calibrare_Linii'!S10="VALIDATED",AND('Calibrare_Linii'!H10=C1018,ISNUMBER('Calibrare_Linii'!J10),'Calibrare_Linii'!J10&lt;='Input_Meci'!G78)),"TAIL VALIDATED","OOS PENDING")))</x:f>
      </x:c>
      <x:c r="AK1018" s="2" t="n">
        <x:f>IF(J1018&lt;&gt;"PASS",0,'Motor_Meciuri'!BR78)</x:f>
        <x:v>0</x:v>
      </x:c>
      <x:c r="AL1018" s="2" t="n">
        <x:f>IF(J1018&lt;&gt;"PASS",0,'Motor_Meciuri'!BS78)</x:f>
        <x:v>0</x:v>
      </x:c>
      <x:c r="AM1018" s="2" t="n">
        <x:f>IF(J1018&lt;&gt;"PASS",0,'Motor_Meciuri'!BT78)</x:f>
        <x:v>0</x:v>
      </x:c>
      <x:c r="AN1018" s="2" t="str">
        <x:f>IF(M1018="","",MAX(0,'Motor_Meciuri'!BF78-IF(L1018&gt;'Config_v6'!$B$12,'Config_v6'!$B$37,IF(L1018&gt;'Config_v6'!$B$11,'Config_v6'!$B$36,0))))</x:f>
      </x:c>
    </x:row>
    <x:row r="1019" ht="21" customHeight="1">
      <x:c r="A1019" s="2" t="n">
        <x:v>73</x:v>
      </x:c>
      <x:c r="B1019" s="2" t="str">
        <x:f>IF('Motor_Meciuri'!A78="","",'Motor_Meciuri'!A78)</x:f>
      </x:c>
      <x:c r="C1019" s="2" t="str">
        <x:f>IF(B1019="","",'Motor_Meciuri'!B78)</x:f>
      </x:c>
      <x:c r="D1019" s="2" t="str">
        <x:f>IF(B1019="","",'Motor_Meciuri'!D78)</x:f>
      </x:c>
      <x:c r="E1019" s="2" t="str">
        <x:f>IF(B1019="","",'Motor_Meciuri'!E78)</x:f>
      </x:c>
      <x:c r="F1019" s="2" t="str">
        <x:v>O8,5</x:v>
      </x:c>
      <x:c r="G1019" s="2" t="str">
        <x:v>OVER</x:v>
      </x:c>
      <x:c r="H1019" s="2" t="n">
        <x:v>8</x:v>
      </x:c>
      <x:c r="I1019" s="2" t="str">
        <x:f>IF(B1019="","",'Motor_Meciuri'!H78)</x:f>
      </x:c>
      <x:c r="J1019" s="2" t="str">
        <x:f>IF(B1019="","",'Motor_Meciuri'!I78)</x:f>
      </x:c>
      <x:c r="K1019" s="11" t="str">
        <x:f>IF(J1019&lt;&gt;"PASS","",'Motor_Meciuri'!BD78)</x:f>
      </x:c>
      <x:c r="L1019" s="11" t="str">
        <x:f>IF(J1019&lt;&gt;"PASS","",'Motor_Meciuri'!AU78)</x:f>
      </x:c>
      <x:c r="M1019" s="10" t="str">
        <x:f>IF(NOT(AND(J1019="PASS",'Calibrare_Linii'!U11="VALID")),"",1-'Distributie'!AF78)</x:f>
      </x:c>
      <x:c r="N1019" s="10" t="str">
        <x:f>IF(M1019="","",MAX(0.01,MIN(0.99,0.5+(M1019-0.5)*'Motor_Meciuri'!BG78*'Calibrare_Linii'!D11)))</x:f>
      </x:c>
      <x:c r="O1019" s="10" t="str">
        <x:f>IF(M1019="","",1-M1019)</x:f>
      </x:c>
      <x:c r="P1019" s="10" t="str">
        <x:f>IF(OR(NOT(AND(J1019="PASS",'Calibrare_Linii'!U11="VALID")),AK1019=0),""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*('Istoric_Nativ'!$Q$6:$Q$405&lt;=H1019))/AK1019)</x:f>
      </x:c>
      <x:c r="Q1019" s="10" t="str">
        <x:f>IF(OR(NOT(AND(J1019="PASS",'Calibrare_Linii'!U11="VALID")),AL1019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M78)+((('Istoric_Nativ'!$E$6:$E$405='Input_Meci'!E78)+('Istoric_Nativ'!$F$6:$F$405='Input_Meci'!E78))&gt;0)*('Istoric_Nativ'!$D$6:$D$405&gt;='Motor_Meciuri'!BN78))&gt;0)*('Istoric_Nativ'!$Q$6:$Q$405&lt;=H1019))/AL1019)</x:f>
      </x:c>
      <x:c r="R1019" s="10" t="str">
        <x:f>IF(OR(NOT(AND(J1019="PASS",'Calibrare_Linii'!U11="VALID")),AM1019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O78)+((('Istoric_Nativ'!$E$6:$E$405='Input_Meci'!E78)+('Istoric_Nativ'!$F$6:$F$405='Input_Meci'!E78))&gt;0)*('Istoric_Nativ'!$D$6:$D$405&gt;='Motor_Meciuri'!BP78))&gt;0)*('Istoric_Nativ'!$Q$6:$Q$405&lt;=H1019))/AM1019)</x:f>
      </x:c>
      <x:c r="S1019" s="10" t="str">
        <x:f>IF(M1019="","",MAX(O1019,P1019,Q1019,R1019))</x:f>
      </x:c>
      <x:c r="T1019" s="11" t="str">
        <x:f>IF(M1019="","",MIN(100,S1019*100*'Config_v6'!$B$44+MIN(100,L1019/'Config_v6'!$B$13*100)*'Config_v6'!$B$45+(100-'Motor_Meciuri'!BF78)*'Config_v6'!$B$46+'Motor_Meciuri'!BH78*100*'Config_v6'!$B$47))</x:f>
      </x:c>
      <x:c r="U1019" s="2" t="str">
        <x:f>IF(T1019="","",IF(T1019&lt;=20,1,IF(T1019&lt;=40,2,IF(T1019&lt;=60,3,IF(T1019&lt;=80,4,5)))))</x:f>
      </x:c>
      <x:c r="V1019" s="2" t="str">
        <x:f>IF(M1019="","",MAX(0,'Motor_Meciuri'!BF78-IF(W1019="OOS PENDING",'Config_v6'!$B$35,0)-IF(L1019&gt;'Config_v6'!$B$12,'Config_v6'!$B$37,IF(L1019&gt;'Config_v6'!$B$11,'Config_v6'!$B$36,0))))</x:f>
      </x:c>
      <x:c r="W1019" s="2" t="str">
        <x:f>IF(B1019="","",IF(I1019&lt;&gt;"READY","NOT RELEASED",IF(NOT(AND(J1019="PASS",'Calibrare_Linii'!U11="VALID")),"INVALID",IF(NOT(AND('Calibrare_Linii'!S11="VALIDATED",AND('Calibrare_Linii'!H11=C1019,ISNUMBER('Calibrare_Linii'!J11),'Calibrare_Linii'!J11&lt;='Input_Meci'!G78))),"OOS PENDING",IF(S1019&lt;='Calibrare_Linii'!E11,"PASS",IF(S1019&lt;='Calibrare_Linii'!F11,"PENALTY","WATCH"))))))</x:f>
      </x:c>
      <x:c r="X1019" s="2" t="str">
        <x:f>IF(M1019="","",IF(AND(AND(J1019="PASS",'Calibrare_Linii'!U11="VALID"),'Motor_Meciuri'!K78=12,'Motor_Meciuri'!L78=12,'Motor_Meciuri'!M78="NO",'Motor_Meciuri'!BL78='Motor_Meciuri'!C78,AB1019&gt;='Config_v6'!$B$50,AN1019&gt;='Config_v6'!$B$51,T1019&lt;='Config_v6'!$B$52,L1019&lt;='Config_v6'!$B$53,ISNUMBER('Calibrare_Linii'!E11),S1019&lt;='Calibrare_Linii'!E11,SUM(AK1019:AM1019)&gt;0),"CANDIDATE","NO"))</x:f>
      </x:c>
      <x:c r="Y1019" s="2" t="str">
        <x:f>IF(B1019="","",IF(I1019&lt;&gt;"READY","NOT RELEASED",IF(AND(X1019="CANDIDATE",V1019&gt;='Config_v6'!$B$51,W1019="PASS",'Calibrare_Linii'!T11="VALIDATED",AND('Calibrare_Linii'!H11=C1019,ISNUMBER('Calibrare_Linii'!J11),'Calibrare_Linii'!J11&lt;='Input_Meci'!G78)),"PASS",IF(X1019="CANDIDATE","OOS PENDING","FAIL"))))</x:f>
      </x:c>
      <x:c r="Z1019" s="2" t="str">
        <x:f>IF(B1019="","",IF(I1019&lt;&gt;"READY","",IF(OR(NOT(AND(J1019="PASS",'Calibrare_Linii'!U11="VALID")),L1019&gt;'Config_v6'!$B$13,W1019="WATCH"),5,IF(Y1019="PASS",1,MIN(5,MAX('Config_v6'!$B$42,U1019)+IF(W1019="PENALTY",1,0))))))</x:f>
      </x:c>
      <x:c r="AA1019" s="2" t="str">
        <x:f>IF(B1019="","",IF(I1019&lt;&gt;"READY","NOT RELEASED",IF(Z1019=5,"NO BET",IF(OR(AB1019&lt;'Config_v6'!$B$16,V1019&lt;'Config_v6'!$B$18),"WATCH",IF(Z1019=1,"DEFENSIV",IF(Z1019=2,"PRUDENT",IF(Z1019=3,"MODERAT","RIDICAT")))))))</x:f>
      </x:c>
      <x:c r="AB1019" s="10" t="str">
        <x:f>IF(N1019="","",MIN(N1019,1-S1019))</x:f>
      </x:c>
      <x:c r="AC1019" s="2" t="str">
        <x:f>IF(AD1019&lt;&gt;1,"",COUNTIFS($Z$1014:$Z$1027,"&lt;"&amp;Z1019,$AD$1014:$AD$1027,1)+COUNTIFS($Z$1014:$Z$1027,Z1019,$AB$1014:$AB$1027,"&gt;"&amp;AB1019,$AD$1014:$AD$1027,1)+COUNTIFS($Z$1014:$Z$1027,Z1019,$AB$1014:$AB$1027,AB1019,$V$1014:$V$1027,"&gt;"&amp;V1019,$AD$1014:$AD$1027,1)+COUNTIFS($Z$1014:Z1019,Z1019,$AB$1014:AB1019,AB1019,$V$1014:V1019,V1019,$AD$1014:AD1019,1))</x:f>
      </x:c>
      <x:c r="AD1019" s="2" t="n">
        <x:f>IF(OR(AA1019="DEFENSIV",AA1019="PRUDENT",AA1019="MODERAT",AA1019="RIDICAT"),1,0)</x:f>
        <x:v>0</x:v>
      </x:c>
      <x:c r="AE1019" s="2" t="str">
        <x:f>IF(AD1019&lt;&gt;1,"NO",IF(W1019="PASS","YES",IF(W1019="OOS PENDING","CONDITIONAL","NO")))</x:f>
        <x:v>NO</x:v>
      </x:c>
      <x:c r="AF1019" s="2" t="n">
        <x:f>IF(AND(AD1019=1,AC1019=1,E1019="LIVE"),1,0)</x:f>
        <x:v>0</x:v>
      </x:c>
      <x:c r="AG1019" s="2" t="str">
        <x:f>IF(AF1019&lt;&gt;1,"",'Dashboard'!P98)</x:f>
      </x:c>
      <x:c r="AH1019" s="2" t="str">
        <x:f>IF(B1019="","",IF(J1019&lt;&gt;"PASS",'Motor_Meciuri'!J78,IF('Calibrare_Linii'!U11&lt;&gt;"VALID","Parametri linie invalizi",IF(L1019&gt;'Config_v6'!$B$13,"Dispersie peste limita",IF(W1019="WATCH","Failure peste limita",IF(AB1019&lt;'Config_v6'!$B$16,"P finala sub prag",IF(V1019&lt;'Config_v6'!$B$18,"Confidence sub prag",IF(E1019="REPLAY","Exemplu retrospectiv; exclus din Top LIVE",IF(Y1019="PASS","DEFENSIV validat",IF(W1019="OOS PENDING","Eligibil; calibrare linie in monitorizare","Eligibil"))))))))))</x:f>
      </x:c>
      <x:c r="AI1019" s="2" t="str">
        <x:f>IF(B1019="","",'Calibrare_Linii'!V11)</x:f>
      </x:c>
      <x:c r="AJ1019" s="2" t="str">
        <x:f>IF(B1019="","",IF(AND('Calibrare_Linii'!T11="VALIDATED",AND('Calibrare_Linii'!H11=C1019,ISNUMBER('Calibrare_Linii'!J11),'Calibrare_Linii'!J11&lt;='Input_Meci'!G78)),"DEFENSIVE VALIDATED",IF(AND('Calibrare_Linii'!S11="VALIDATED",AND('Calibrare_Linii'!H11=C1019,ISNUMBER('Calibrare_Linii'!J11),'Calibrare_Linii'!J11&lt;='Input_Meci'!G78)),"TAIL VALIDATED","OOS PENDING")))</x:f>
      </x:c>
      <x:c r="AK1019" s="2" t="n">
        <x:f>IF(J1019&lt;&gt;"PASS",0,'Motor_Meciuri'!BR78)</x:f>
        <x:v>0</x:v>
      </x:c>
      <x:c r="AL1019" s="2" t="n">
        <x:f>IF(J1019&lt;&gt;"PASS",0,'Motor_Meciuri'!BS78)</x:f>
        <x:v>0</x:v>
      </x:c>
      <x:c r="AM1019" s="2" t="n">
        <x:f>IF(J1019&lt;&gt;"PASS",0,'Motor_Meciuri'!BT78)</x:f>
        <x:v>0</x:v>
      </x:c>
      <x:c r="AN1019" s="2" t="str">
        <x:f>IF(M1019="","",MAX(0,'Motor_Meciuri'!BF78-IF(L1019&gt;'Config_v6'!$B$12,'Config_v6'!$B$37,IF(L1019&gt;'Config_v6'!$B$11,'Config_v6'!$B$36,0))))</x:f>
      </x:c>
    </x:row>
    <x:row r="1020" ht="21" customHeight="1">
      <x:c r="A1020" s="2" t="n">
        <x:v>73</x:v>
      </x:c>
      <x:c r="B1020" s="2" t="str">
        <x:f>IF('Motor_Meciuri'!A78="","",'Motor_Meciuri'!A78)</x:f>
      </x:c>
      <x:c r="C1020" s="2" t="str">
        <x:f>IF(B1020="","",'Motor_Meciuri'!B78)</x:f>
      </x:c>
      <x:c r="D1020" s="2" t="str">
        <x:f>IF(B1020="","",'Motor_Meciuri'!D78)</x:f>
      </x:c>
      <x:c r="E1020" s="2" t="str">
        <x:f>IF(B1020="","",'Motor_Meciuri'!E78)</x:f>
      </x:c>
      <x:c r="F1020" s="2" t="str">
        <x:v>U10,5</x:v>
      </x:c>
      <x:c r="G1020" s="2" t="str">
        <x:v>UNDER</x:v>
      </x:c>
      <x:c r="H1020" s="2" t="n">
        <x:v>10</x:v>
      </x:c>
      <x:c r="I1020" s="2" t="str">
        <x:f>IF(B1020="","",'Motor_Meciuri'!H78)</x:f>
      </x:c>
      <x:c r="J1020" s="2" t="str">
        <x:f>IF(B1020="","",'Motor_Meciuri'!I78)</x:f>
      </x:c>
      <x:c r="K1020" s="11" t="str">
        <x:f>IF(J1020&lt;&gt;"PASS","",'Motor_Meciuri'!BD78)</x:f>
      </x:c>
      <x:c r="L1020" s="11" t="str">
        <x:f>IF(J1020&lt;&gt;"PASS","",'Motor_Meciuri'!AU78)</x:f>
      </x:c>
      <x:c r="M1020" s="10" t="str">
        <x:f>IF(NOT(AND(J1020="PASS",'Calibrare_Linii'!U12="VALID")),"",'Distributie'!AH78)</x:f>
      </x:c>
      <x:c r="N1020" s="10" t="str">
        <x:f>IF(M1020="","",MAX(0.01,MIN(0.99,0.5+(M1020-0.5)*'Motor_Meciuri'!BG78*'Calibrare_Linii'!D12)))</x:f>
      </x:c>
      <x:c r="O1020" s="10" t="str">
        <x:f>IF(M1020="","",1-M1020)</x:f>
      </x:c>
      <x:c r="P1020" s="10" t="str">
        <x:f>IF(OR(NOT(AND(J1020="PASS",'Calibrare_Linii'!U12="VALID")),AK1020=0),""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*('Istoric_Nativ'!$Q$6:$Q$405&gt;H1020))/AK1020)</x:f>
      </x:c>
      <x:c r="Q1020" s="10" t="str">
        <x:f>IF(OR(NOT(AND(J1020="PASS",'Calibrare_Linii'!U12="VALID")),AL1020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M78)+((('Istoric_Nativ'!$E$6:$E$405='Input_Meci'!E78)+('Istoric_Nativ'!$F$6:$F$405='Input_Meci'!E78))&gt;0)*('Istoric_Nativ'!$D$6:$D$405&gt;='Motor_Meciuri'!BN78))&gt;0)*('Istoric_Nativ'!$Q$6:$Q$405&gt;H1020))/AL1020)</x:f>
      </x:c>
      <x:c r="R1020" s="10" t="str">
        <x:f>IF(OR(NOT(AND(J1020="PASS",'Calibrare_Linii'!U12="VALID")),AM1020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O78)+((('Istoric_Nativ'!$E$6:$E$405='Input_Meci'!E78)+('Istoric_Nativ'!$F$6:$F$405='Input_Meci'!E78))&gt;0)*('Istoric_Nativ'!$D$6:$D$405&gt;='Motor_Meciuri'!BP78))&gt;0)*('Istoric_Nativ'!$Q$6:$Q$405&gt;H1020))/AM1020)</x:f>
      </x:c>
      <x:c r="S1020" s="10" t="str">
        <x:f>IF(M1020="","",MAX(O1020,P1020,Q1020,R1020))</x:f>
      </x:c>
      <x:c r="T1020" s="11" t="str">
        <x:f>IF(M1020="","",MIN(100,S1020*100*'Config_v6'!$B$44+MIN(100,L1020/'Config_v6'!$B$13*100)*'Config_v6'!$B$45+(100-'Motor_Meciuri'!BF78)*'Config_v6'!$B$46+'Motor_Meciuri'!BH78*100*'Config_v6'!$B$47))</x:f>
      </x:c>
      <x:c r="U1020" s="2" t="str">
        <x:f>IF(T1020="","",IF(T1020&lt;=20,1,IF(T1020&lt;=40,2,IF(T1020&lt;=60,3,IF(T1020&lt;=80,4,5)))))</x:f>
      </x:c>
      <x:c r="V1020" s="2" t="str">
        <x:f>IF(M1020="","",MAX(0,'Motor_Meciuri'!BF78-IF(W1020="OOS PENDING",'Config_v6'!$B$35,0)-IF(L1020&gt;'Config_v6'!$B$12,'Config_v6'!$B$37,IF(L1020&gt;'Config_v6'!$B$11,'Config_v6'!$B$36,0))))</x:f>
      </x:c>
      <x:c r="W1020" s="2" t="str">
        <x:f>IF(B1020="","",IF(I1020&lt;&gt;"READY","NOT RELEASED",IF(NOT(AND(J1020="PASS",'Calibrare_Linii'!U12="VALID")),"INVALID",IF(NOT(AND('Calibrare_Linii'!S12="VALIDATED",AND('Calibrare_Linii'!H12=C1020,ISNUMBER('Calibrare_Linii'!J12),'Calibrare_Linii'!J12&lt;='Input_Meci'!G78))),"OOS PENDING",IF(S1020&lt;='Calibrare_Linii'!E12,"PASS",IF(S1020&lt;='Calibrare_Linii'!F12,"PENALTY","WATCH"))))))</x:f>
      </x:c>
      <x:c r="X1020" s="2" t="str">
        <x:f>IF(M1020="","",IF(AND(AND(J1020="PASS",'Calibrare_Linii'!U12="VALID"),'Motor_Meciuri'!K78=12,'Motor_Meciuri'!L78=12,'Motor_Meciuri'!M78="NO",'Motor_Meciuri'!BL78='Motor_Meciuri'!C78,AB1020&gt;='Config_v6'!$B$50,AN1020&gt;='Config_v6'!$B$51,T1020&lt;='Config_v6'!$B$52,L1020&lt;='Config_v6'!$B$53,ISNUMBER('Calibrare_Linii'!E12),S1020&lt;='Calibrare_Linii'!E12,SUM(AK1020:AM1020)&gt;0),"CANDIDATE","NO"))</x:f>
      </x:c>
      <x:c r="Y1020" s="2" t="str">
        <x:f>IF(B1020="","",IF(I1020&lt;&gt;"READY","NOT RELEASED",IF(AND(X1020="CANDIDATE",V1020&gt;='Config_v6'!$B$51,W1020="PASS",'Calibrare_Linii'!T12="VALIDATED",AND('Calibrare_Linii'!H12=C1020,ISNUMBER('Calibrare_Linii'!J12),'Calibrare_Linii'!J12&lt;='Input_Meci'!G78)),"PASS",IF(X1020="CANDIDATE","OOS PENDING","FAIL"))))</x:f>
      </x:c>
      <x:c r="Z1020" s="2" t="str">
        <x:f>IF(B1020="","",IF(I1020&lt;&gt;"READY","",IF(OR(NOT(AND(J1020="PASS",'Calibrare_Linii'!U12="VALID")),L1020&gt;'Config_v6'!$B$13,W1020="WATCH"),5,IF(Y1020="PASS",1,MIN(5,MAX('Config_v6'!$B$42,U1020)+IF(W1020="PENALTY",1,0))))))</x:f>
      </x:c>
      <x:c r="AA1020" s="2" t="str">
        <x:f>IF(B1020="","",IF(I1020&lt;&gt;"READY","NOT RELEASED",IF(Z1020=5,"NO BET",IF(OR(AB1020&lt;'Config_v6'!$B$16,V1020&lt;'Config_v6'!$B$18),"WATCH",IF(Z1020=1,"DEFENSIV",IF(Z1020=2,"PRUDENT",IF(Z1020=3,"MODERAT","RIDICAT")))))))</x:f>
      </x:c>
      <x:c r="AB1020" s="10" t="str">
        <x:f>IF(N1020="","",MIN(N1020,1-S1020))</x:f>
      </x:c>
      <x:c r="AC1020" s="2" t="str">
        <x:f>IF(AD1020&lt;&gt;1,"",COUNTIFS($Z$1014:$Z$1027,"&lt;"&amp;Z1020,$AD$1014:$AD$1027,1)+COUNTIFS($Z$1014:$Z$1027,Z1020,$AB$1014:$AB$1027,"&gt;"&amp;AB1020,$AD$1014:$AD$1027,1)+COUNTIFS($Z$1014:$Z$1027,Z1020,$AB$1014:$AB$1027,AB1020,$V$1014:$V$1027,"&gt;"&amp;V1020,$AD$1014:$AD$1027,1)+COUNTIFS($Z$1014:Z1020,Z1020,$AB$1014:AB1020,AB1020,$V$1014:V1020,V1020,$AD$1014:AD1020,1))</x:f>
      </x:c>
      <x:c r="AD1020" s="2" t="n">
        <x:f>IF(OR(AA1020="DEFENSIV",AA1020="PRUDENT",AA1020="MODERAT",AA1020="RIDICAT"),1,0)</x:f>
        <x:v>0</x:v>
      </x:c>
      <x:c r="AE1020" s="2" t="str">
        <x:f>IF(AD1020&lt;&gt;1,"NO",IF(W1020="PASS","YES",IF(W1020="OOS PENDING","CONDITIONAL","NO")))</x:f>
        <x:v>NO</x:v>
      </x:c>
      <x:c r="AF1020" s="2" t="n">
        <x:f>IF(AND(AD1020=1,AC1020=1,E1020="LIVE"),1,0)</x:f>
        <x:v>0</x:v>
      </x:c>
      <x:c r="AG1020" s="2" t="str">
        <x:f>IF(AF1020&lt;&gt;1,"",'Dashboard'!P98)</x:f>
      </x:c>
      <x:c r="AH1020" s="2" t="str">
        <x:f>IF(B1020="","",IF(J1020&lt;&gt;"PASS",'Motor_Meciuri'!J78,IF('Calibrare_Linii'!U12&lt;&gt;"VALID","Parametri linie invalizi",IF(L1020&gt;'Config_v6'!$B$13,"Dispersie peste limita",IF(W1020="WATCH","Failure peste limita",IF(AB1020&lt;'Config_v6'!$B$16,"P finala sub prag",IF(V1020&lt;'Config_v6'!$B$18,"Confidence sub prag",IF(E1020="REPLAY","Exemplu retrospectiv; exclus din Top LIVE",IF(Y1020="PASS","DEFENSIV validat",IF(W1020="OOS PENDING","Eligibil; calibrare linie in monitorizare","Eligibil"))))))))))</x:f>
      </x:c>
      <x:c r="AI1020" s="2" t="str">
        <x:f>IF(B1020="","",'Calibrare_Linii'!V12)</x:f>
      </x:c>
      <x:c r="AJ1020" s="2" t="str">
        <x:f>IF(B1020="","",IF(AND('Calibrare_Linii'!T12="VALIDATED",AND('Calibrare_Linii'!H12=C1020,ISNUMBER('Calibrare_Linii'!J12),'Calibrare_Linii'!J12&lt;='Input_Meci'!G78)),"DEFENSIVE VALIDATED",IF(AND('Calibrare_Linii'!S12="VALIDATED",AND('Calibrare_Linii'!H12=C1020,ISNUMBER('Calibrare_Linii'!J12),'Calibrare_Linii'!J12&lt;='Input_Meci'!G78)),"TAIL VALIDATED","OOS PENDING")))</x:f>
      </x:c>
      <x:c r="AK1020" s="2" t="n">
        <x:f>IF(J1020&lt;&gt;"PASS",0,'Motor_Meciuri'!BR78)</x:f>
        <x:v>0</x:v>
      </x:c>
      <x:c r="AL1020" s="2" t="n">
        <x:f>IF(J1020&lt;&gt;"PASS",0,'Motor_Meciuri'!BS78)</x:f>
        <x:v>0</x:v>
      </x:c>
      <x:c r="AM1020" s="2" t="n">
        <x:f>IF(J1020&lt;&gt;"PASS",0,'Motor_Meciuri'!BT78)</x:f>
        <x:v>0</x:v>
      </x:c>
      <x:c r="AN1020" s="2" t="str">
        <x:f>IF(M1020="","",MAX(0,'Motor_Meciuri'!BF78-IF(L1020&gt;'Config_v6'!$B$12,'Config_v6'!$B$37,IF(L1020&gt;'Config_v6'!$B$11,'Config_v6'!$B$36,0))))</x:f>
      </x:c>
    </x:row>
    <x:row r="1021" ht="21" customHeight="1">
      <x:c r="A1021" s="2" t="n">
        <x:v>73</x:v>
      </x:c>
      <x:c r="B1021" s="2" t="str">
        <x:f>IF('Motor_Meciuri'!A78="","",'Motor_Meciuri'!A78)</x:f>
      </x:c>
      <x:c r="C1021" s="2" t="str">
        <x:f>IF(B1021="","",'Motor_Meciuri'!B78)</x:f>
      </x:c>
      <x:c r="D1021" s="2" t="str">
        <x:f>IF(B1021="","",'Motor_Meciuri'!D78)</x:f>
      </x:c>
      <x:c r="E1021" s="2" t="str">
        <x:f>IF(B1021="","",'Motor_Meciuri'!E78)</x:f>
      </x:c>
      <x:c r="F1021" s="2" t="str">
        <x:v>U11,5</x:v>
      </x:c>
      <x:c r="G1021" s="2" t="str">
        <x:v>UNDER</x:v>
      </x:c>
      <x:c r="H1021" s="2" t="n">
        <x:v>11</x:v>
      </x:c>
      <x:c r="I1021" s="2" t="str">
        <x:f>IF(B1021="","",'Motor_Meciuri'!H78)</x:f>
      </x:c>
      <x:c r="J1021" s="2" t="str">
        <x:f>IF(B1021="","",'Motor_Meciuri'!I78)</x:f>
      </x:c>
      <x:c r="K1021" s="11" t="str">
        <x:f>IF(J1021&lt;&gt;"PASS","",'Motor_Meciuri'!BD78)</x:f>
      </x:c>
      <x:c r="L1021" s="11" t="str">
        <x:f>IF(J1021&lt;&gt;"PASS","",'Motor_Meciuri'!AU78)</x:f>
      </x:c>
      <x:c r="M1021" s="10" t="str">
        <x:f>IF(NOT(AND(J1021="PASS",'Calibrare_Linii'!U13="VALID")),"",'Distributie'!AI78)</x:f>
      </x:c>
      <x:c r="N1021" s="10" t="str">
        <x:f>IF(M1021="","",MAX(0.01,MIN(0.99,0.5+(M1021-0.5)*'Motor_Meciuri'!BG78*'Calibrare_Linii'!D13)))</x:f>
      </x:c>
      <x:c r="O1021" s="10" t="str">
        <x:f>IF(M1021="","",1-M1021)</x:f>
      </x:c>
      <x:c r="P1021" s="10" t="str">
        <x:f>IF(OR(NOT(AND(J1021="PASS",'Calibrare_Linii'!U13="VALID")),AK1021=0),""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*('Istoric_Nativ'!$Q$6:$Q$405&gt;H1021))/AK1021)</x:f>
      </x:c>
      <x:c r="Q1021" s="10" t="str">
        <x:f>IF(OR(NOT(AND(J1021="PASS",'Calibrare_Linii'!U13="VALID")),AL1021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M78)+((('Istoric_Nativ'!$E$6:$E$405='Input_Meci'!E78)+('Istoric_Nativ'!$F$6:$F$405='Input_Meci'!E78))&gt;0)*('Istoric_Nativ'!$D$6:$D$405&gt;='Motor_Meciuri'!BN78))&gt;0)*('Istoric_Nativ'!$Q$6:$Q$405&gt;H1021))/AL1021)</x:f>
      </x:c>
      <x:c r="R1021" s="10" t="str">
        <x:f>IF(OR(NOT(AND(J1021="PASS",'Calibrare_Linii'!U13="VALID")),AM1021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O78)+((('Istoric_Nativ'!$E$6:$E$405='Input_Meci'!E78)+('Istoric_Nativ'!$F$6:$F$405='Input_Meci'!E78))&gt;0)*('Istoric_Nativ'!$D$6:$D$405&gt;='Motor_Meciuri'!BP78))&gt;0)*('Istoric_Nativ'!$Q$6:$Q$405&gt;H1021))/AM1021)</x:f>
      </x:c>
      <x:c r="S1021" s="10" t="str">
        <x:f>IF(M1021="","",MAX(O1021,P1021,Q1021,R1021))</x:f>
      </x:c>
      <x:c r="T1021" s="11" t="str">
        <x:f>IF(M1021="","",MIN(100,S1021*100*'Config_v6'!$B$44+MIN(100,L1021/'Config_v6'!$B$13*100)*'Config_v6'!$B$45+(100-'Motor_Meciuri'!BF78)*'Config_v6'!$B$46+'Motor_Meciuri'!BH78*100*'Config_v6'!$B$47))</x:f>
      </x:c>
      <x:c r="U1021" s="2" t="str">
        <x:f>IF(T1021="","",IF(T1021&lt;=20,1,IF(T1021&lt;=40,2,IF(T1021&lt;=60,3,IF(T1021&lt;=80,4,5)))))</x:f>
      </x:c>
      <x:c r="V1021" s="2" t="str">
        <x:f>IF(M1021="","",MAX(0,'Motor_Meciuri'!BF78-IF(W1021="OOS PENDING",'Config_v6'!$B$35,0)-IF(L1021&gt;'Config_v6'!$B$12,'Config_v6'!$B$37,IF(L1021&gt;'Config_v6'!$B$11,'Config_v6'!$B$36,0))))</x:f>
      </x:c>
      <x:c r="W1021" s="2" t="str">
        <x:f>IF(B1021="","",IF(I1021&lt;&gt;"READY","NOT RELEASED",IF(NOT(AND(J1021="PASS",'Calibrare_Linii'!U13="VALID")),"INVALID",IF(NOT(AND('Calibrare_Linii'!S13="VALIDATED",AND('Calibrare_Linii'!H13=C1021,ISNUMBER('Calibrare_Linii'!J13),'Calibrare_Linii'!J13&lt;='Input_Meci'!G78))),"OOS PENDING",IF(S1021&lt;='Calibrare_Linii'!E13,"PASS",IF(S1021&lt;='Calibrare_Linii'!F13,"PENALTY","WATCH"))))))</x:f>
      </x:c>
      <x:c r="X1021" s="2" t="str">
        <x:f>IF(M1021="","",IF(AND(AND(J1021="PASS",'Calibrare_Linii'!U13="VALID"),'Motor_Meciuri'!K78=12,'Motor_Meciuri'!L78=12,'Motor_Meciuri'!M78="NO",'Motor_Meciuri'!BL78='Motor_Meciuri'!C78,AB1021&gt;='Config_v6'!$B$50,AN1021&gt;='Config_v6'!$B$51,T1021&lt;='Config_v6'!$B$52,L1021&lt;='Config_v6'!$B$53,ISNUMBER('Calibrare_Linii'!E13),S1021&lt;='Calibrare_Linii'!E13,SUM(AK1021:AM1021)&gt;0),"CANDIDATE","NO"))</x:f>
      </x:c>
      <x:c r="Y1021" s="2" t="str">
        <x:f>IF(B1021="","",IF(I1021&lt;&gt;"READY","NOT RELEASED",IF(AND(X1021="CANDIDATE",V1021&gt;='Config_v6'!$B$51,W1021="PASS",'Calibrare_Linii'!T13="VALIDATED",AND('Calibrare_Linii'!H13=C1021,ISNUMBER('Calibrare_Linii'!J13),'Calibrare_Linii'!J13&lt;='Input_Meci'!G78)),"PASS",IF(X1021="CANDIDATE","OOS PENDING","FAIL"))))</x:f>
      </x:c>
      <x:c r="Z1021" s="2" t="str">
        <x:f>IF(B1021="","",IF(I1021&lt;&gt;"READY","",IF(OR(NOT(AND(J1021="PASS",'Calibrare_Linii'!U13="VALID")),L1021&gt;'Config_v6'!$B$13,W1021="WATCH"),5,IF(Y1021="PASS",1,MIN(5,MAX('Config_v6'!$B$42,U1021)+IF(W1021="PENALTY",1,0))))))</x:f>
      </x:c>
      <x:c r="AA1021" s="2" t="str">
        <x:f>IF(B1021="","",IF(I1021&lt;&gt;"READY","NOT RELEASED",IF(Z1021=5,"NO BET",IF(OR(AB1021&lt;'Config_v6'!$B$16,V1021&lt;'Config_v6'!$B$18),"WATCH",IF(Z1021=1,"DEFENSIV",IF(Z1021=2,"PRUDENT",IF(Z1021=3,"MODERAT","RIDICAT")))))))</x:f>
      </x:c>
      <x:c r="AB1021" s="10" t="str">
        <x:f>IF(N1021="","",MIN(N1021,1-S1021))</x:f>
      </x:c>
      <x:c r="AC1021" s="2" t="str">
        <x:f>IF(AD1021&lt;&gt;1,"",COUNTIFS($Z$1014:$Z$1027,"&lt;"&amp;Z1021,$AD$1014:$AD$1027,1)+COUNTIFS($Z$1014:$Z$1027,Z1021,$AB$1014:$AB$1027,"&gt;"&amp;AB1021,$AD$1014:$AD$1027,1)+COUNTIFS($Z$1014:$Z$1027,Z1021,$AB$1014:$AB$1027,AB1021,$V$1014:$V$1027,"&gt;"&amp;V1021,$AD$1014:$AD$1027,1)+COUNTIFS($Z$1014:Z1021,Z1021,$AB$1014:AB1021,AB1021,$V$1014:V1021,V1021,$AD$1014:AD1021,1))</x:f>
      </x:c>
      <x:c r="AD1021" s="2" t="n">
        <x:f>IF(OR(AA1021="DEFENSIV",AA1021="PRUDENT",AA1021="MODERAT",AA1021="RIDICAT"),1,0)</x:f>
        <x:v>0</x:v>
      </x:c>
      <x:c r="AE1021" s="2" t="str">
        <x:f>IF(AD1021&lt;&gt;1,"NO",IF(W1021="PASS","YES",IF(W1021="OOS PENDING","CONDITIONAL","NO")))</x:f>
        <x:v>NO</x:v>
      </x:c>
      <x:c r="AF1021" s="2" t="n">
        <x:f>IF(AND(AD1021=1,AC1021=1,E1021="LIVE"),1,0)</x:f>
        <x:v>0</x:v>
      </x:c>
      <x:c r="AG1021" s="2" t="str">
        <x:f>IF(AF1021&lt;&gt;1,"",'Dashboard'!P98)</x:f>
      </x:c>
      <x:c r="AH1021" s="2" t="str">
        <x:f>IF(B1021="","",IF(J1021&lt;&gt;"PASS",'Motor_Meciuri'!J78,IF('Calibrare_Linii'!U13&lt;&gt;"VALID","Parametri linie invalizi",IF(L1021&gt;'Config_v6'!$B$13,"Dispersie peste limita",IF(W1021="WATCH","Failure peste limita",IF(AB1021&lt;'Config_v6'!$B$16,"P finala sub prag",IF(V1021&lt;'Config_v6'!$B$18,"Confidence sub prag",IF(E1021="REPLAY","Exemplu retrospectiv; exclus din Top LIVE",IF(Y1021="PASS","DEFENSIV validat",IF(W1021="OOS PENDING","Eligibil; calibrare linie in monitorizare","Eligibil"))))))))))</x:f>
      </x:c>
      <x:c r="AI1021" s="2" t="str">
        <x:f>IF(B1021="","",'Calibrare_Linii'!V13)</x:f>
      </x:c>
      <x:c r="AJ1021" s="2" t="str">
        <x:f>IF(B1021="","",IF(AND('Calibrare_Linii'!T13="VALIDATED",AND('Calibrare_Linii'!H13=C1021,ISNUMBER('Calibrare_Linii'!J13),'Calibrare_Linii'!J13&lt;='Input_Meci'!G78)),"DEFENSIVE VALIDATED",IF(AND('Calibrare_Linii'!S13="VALIDATED",AND('Calibrare_Linii'!H13=C1021,ISNUMBER('Calibrare_Linii'!J13),'Calibrare_Linii'!J13&lt;='Input_Meci'!G78)),"TAIL VALIDATED","OOS PENDING")))</x:f>
      </x:c>
      <x:c r="AK1021" s="2" t="n">
        <x:f>IF(J1021&lt;&gt;"PASS",0,'Motor_Meciuri'!BR78)</x:f>
        <x:v>0</x:v>
      </x:c>
      <x:c r="AL1021" s="2" t="n">
        <x:f>IF(J1021&lt;&gt;"PASS",0,'Motor_Meciuri'!BS78)</x:f>
        <x:v>0</x:v>
      </x:c>
      <x:c r="AM1021" s="2" t="n">
        <x:f>IF(J1021&lt;&gt;"PASS",0,'Motor_Meciuri'!BT78)</x:f>
        <x:v>0</x:v>
      </x:c>
      <x:c r="AN1021" s="2" t="str">
        <x:f>IF(M1021="","",MAX(0,'Motor_Meciuri'!BF78-IF(L1021&gt;'Config_v6'!$B$12,'Config_v6'!$B$37,IF(L1021&gt;'Config_v6'!$B$11,'Config_v6'!$B$36,0))))</x:f>
      </x:c>
    </x:row>
    <x:row r="1022" ht="21" customHeight="1">
      <x:c r="A1022" s="2" t="n">
        <x:v>73</x:v>
      </x:c>
      <x:c r="B1022" s="2" t="str">
        <x:f>IF('Motor_Meciuri'!A78="","",'Motor_Meciuri'!A78)</x:f>
      </x:c>
      <x:c r="C1022" s="2" t="str">
        <x:f>IF(B1022="","",'Motor_Meciuri'!B78)</x:f>
      </x:c>
      <x:c r="D1022" s="2" t="str">
        <x:f>IF(B1022="","",'Motor_Meciuri'!D78)</x:f>
      </x:c>
      <x:c r="E1022" s="2" t="str">
        <x:f>IF(B1022="","",'Motor_Meciuri'!E78)</x:f>
      </x:c>
      <x:c r="F1022" s="2" t="str">
        <x:v>U12,5</x:v>
      </x:c>
      <x:c r="G1022" s="2" t="str">
        <x:v>UNDER</x:v>
      </x:c>
      <x:c r="H1022" s="2" t="n">
        <x:v>12</x:v>
      </x:c>
      <x:c r="I1022" s="2" t="str">
        <x:f>IF(B1022="","",'Motor_Meciuri'!H78)</x:f>
      </x:c>
      <x:c r="J1022" s="2" t="str">
        <x:f>IF(B1022="","",'Motor_Meciuri'!I78)</x:f>
      </x:c>
      <x:c r="K1022" s="11" t="str">
        <x:f>IF(J1022&lt;&gt;"PASS","",'Motor_Meciuri'!BD78)</x:f>
      </x:c>
      <x:c r="L1022" s="11" t="str">
        <x:f>IF(J1022&lt;&gt;"PASS","",'Motor_Meciuri'!AU78)</x:f>
      </x:c>
      <x:c r="M1022" s="10" t="str">
        <x:f>IF(NOT(AND(J1022="PASS",'Calibrare_Linii'!U14="VALID")),"",'Distributie'!AJ78)</x:f>
      </x:c>
      <x:c r="N1022" s="10" t="str">
        <x:f>IF(M1022="","",MAX(0.01,MIN(0.99,0.5+(M1022-0.5)*'Motor_Meciuri'!BG78*'Calibrare_Linii'!D14)))</x:f>
      </x:c>
      <x:c r="O1022" s="10" t="str">
        <x:f>IF(M1022="","",1-M1022)</x:f>
      </x:c>
      <x:c r="P1022" s="10" t="str">
        <x:f>IF(OR(NOT(AND(J1022="PASS",'Calibrare_Linii'!U14="VALID")),AK1022=0),""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*('Istoric_Nativ'!$Q$6:$Q$405&gt;H1022))/AK1022)</x:f>
      </x:c>
      <x:c r="Q1022" s="10" t="str">
        <x:f>IF(OR(NOT(AND(J1022="PASS",'Calibrare_Linii'!U14="VALID")),AL1022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M78)+((('Istoric_Nativ'!$E$6:$E$405='Input_Meci'!E78)+('Istoric_Nativ'!$F$6:$F$405='Input_Meci'!E78))&gt;0)*('Istoric_Nativ'!$D$6:$D$405&gt;='Motor_Meciuri'!BN78))&gt;0)*('Istoric_Nativ'!$Q$6:$Q$405&gt;H1022))/AL1022)</x:f>
      </x:c>
      <x:c r="R1022" s="10" t="str">
        <x:f>IF(OR(NOT(AND(J1022="PASS",'Calibrare_Linii'!U14="VALID")),AM1022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O78)+((('Istoric_Nativ'!$E$6:$E$405='Input_Meci'!E78)+('Istoric_Nativ'!$F$6:$F$405='Input_Meci'!E78))&gt;0)*('Istoric_Nativ'!$D$6:$D$405&gt;='Motor_Meciuri'!BP78))&gt;0)*('Istoric_Nativ'!$Q$6:$Q$405&gt;H1022))/AM1022)</x:f>
      </x:c>
      <x:c r="S1022" s="10" t="str">
        <x:f>IF(M1022="","",MAX(O1022,P1022,Q1022,R1022))</x:f>
      </x:c>
      <x:c r="T1022" s="11" t="str">
        <x:f>IF(M1022="","",MIN(100,S1022*100*'Config_v6'!$B$44+MIN(100,L1022/'Config_v6'!$B$13*100)*'Config_v6'!$B$45+(100-'Motor_Meciuri'!BF78)*'Config_v6'!$B$46+'Motor_Meciuri'!BH78*100*'Config_v6'!$B$47))</x:f>
      </x:c>
      <x:c r="U1022" s="2" t="str">
        <x:f>IF(T1022="","",IF(T1022&lt;=20,1,IF(T1022&lt;=40,2,IF(T1022&lt;=60,3,IF(T1022&lt;=80,4,5)))))</x:f>
      </x:c>
      <x:c r="V1022" s="2" t="str">
        <x:f>IF(M1022="","",MAX(0,'Motor_Meciuri'!BF78-IF(W1022="OOS PENDING",'Config_v6'!$B$35,0)-IF(L1022&gt;'Config_v6'!$B$12,'Config_v6'!$B$37,IF(L1022&gt;'Config_v6'!$B$11,'Config_v6'!$B$36,0))))</x:f>
      </x:c>
      <x:c r="W1022" s="2" t="str">
        <x:f>IF(B1022="","",IF(I1022&lt;&gt;"READY","NOT RELEASED",IF(NOT(AND(J1022="PASS",'Calibrare_Linii'!U14="VALID")),"INVALID",IF(NOT(AND('Calibrare_Linii'!S14="VALIDATED",AND('Calibrare_Linii'!H14=C1022,ISNUMBER('Calibrare_Linii'!J14),'Calibrare_Linii'!J14&lt;='Input_Meci'!G78))),"OOS PENDING",IF(S1022&lt;='Calibrare_Linii'!E14,"PASS",IF(S1022&lt;='Calibrare_Linii'!F14,"PENALTY","WATCH"))))))</x:f>
      </x:c>
      <x:c r="X1022" s="2" t="str">
        <x:f>IF(M1022="","",IF(AND(AND(J1022="PASS",'Calibrare_Linii'!U14="VALID"),'Motor_Meciuri'!K78=12,'Motor_Meciuri'!L78=12,'Motor_Meciuri'!M78="NO",'Motor_Meciuri'!BL78='Motor_Meciuri'!C78,AB1022&gt;='Config_v6'!$B$50,AN1022&gt;='Config_v6'!$B$51,T1022&lt;='Config_v6'!$B$52,L1022&lt;='Config_v6'!$B$53,ISNUMBER('Calibrare_Linii'!E14),S1022&lt;='Calibrare_Linii'!E14,SUM(AK1022:AM1022)&gt;0),"CANDIDATE","NO"))</x:f>
      </x:c>
      <x:c r="Y1022" s="2" t="str">
        <x:f>IF(B1022="","",IF(I1022&lt;&gt;"READY","NOT RELEASED",IF(AND(X1022="CANDIDATE",V1022&gt;='Config_v6'!$B$51,W1022="PASS",'Calibrare_Linii'!T14="VALIDATED",AND('Calibrare_Linii'!H14=C1022,ISNUMBER('Calibrare_Linii'!J14),'Calibrare_Linii'!J14&lt;='Input_Meci'!G78)),"PASS",IF(X1022="CANDIDATE","OOS PENDING","FAIL"))))</x:f>
      </x:c>
      <x:c r="Z1022" s="2" t="str">
        <x:f>IF(B1022="","",IF(I1022&lt;&gt;"READY","",IF(OR(NOT(AND(J1022="PASS",'Calibrare_Linii'!U14="VALID")),L1022&gt;'Config_v6'!$B$13,W1022="WATCH"),5,IF(Y1022="PASS",1,MIN(5,MAX('Config_v6'!$B$42,U1022)+IF(W1022="PENALTY",1,0))))))</x:f>
      </x:c>
      <x:c r="AA1022" s="2" t="str">
        <x:f>IF(B1022="","",IF(I1022&lt;&gt;"READY","NOT RELEASED",IF(Z1022=5,"NO BET",IF(OR(AB1022&lt;'Config_v6'!$B$16,V1022&lt;'Config_v6'!$B$18),"WATCH",IF(Z1022=1,"DEFENSIV",IF(Z1022=2,"PRUDENT",IF(Z1022=3,"MODERAT","RIDICAT")))))))</x:f>
      </x:c>
      <x:c r="AB1022" s="10" t="str">
        <x:f>IF(N1022="","",MIN(N1022,1-S1022))</x:f>
      </x:c>
      <x:c r="AC1022" s="2" t="str">
        <x:f>IF(AD1022&lt;&gt;1,"",COUNTIFS($Z$1014:$Z$1027,"&lt;"&amp;Z1022,$AD$1014:$AD$1027,1)+COUNTIFS($Z$1014:$Z$1027,Z1022,$AB$1014:$AB$1027,"&gt;"&amp;AB1022,$AD$1014:$AD$1027,1)+COUNTIFS($Z$1014:$Z$1027,Z1022,$AB$1014:$AB$1027,AB1022,$V$1014:$V$1027,"&gt;"&amp;V1022,$AD$1014:$AD$1027,1)+COUNTIFS($Z$1014:Z1022,Z1022,$AB$1014:AB1022,AB1022,$V$1014:V1022,V1022,$AD$1014:AD1022,1))</x:f>
      </x:c>
      <x:c r="AD1022" s="2" t="n">
        <x:f>IF(OR(AA1022="DEFENSIV",AA1022="PRUDENT",AA1022="MODERAT",AA1022="RIDICAT"),1,0)</x:f>
        <x:v>0</x:v>
      </x:c>
      <x:c r="AE1022" s="2" t="str">
        <x:f>IF(AD1022&lt;&gt;1,"NO",IF(W1022="PASS","YES",IF(W1022="OOS PENDING","CONDITIONAL","NO")))</x:f>
        <x:v>NO</x:v>
      </x:c>
      <x:c r="AF1022" s="2" t="n">
        <x:f>IF(AND(AD1022=1,AC1022=1,E1022="LIVE"),1,0)</x:f>
        <x:v>0</x:v>
      </x:c>
      <x:c r="AG1022" s="2" t="str">
        <x:f>IF(AF1022&lt;&gt;1,"",'Dashboard'!P98)</x:f>
      </x:c>
      <x:c r="AH1022" s="2" t="str">
        <x:f>IF(B1022="","",IF(J1022&lt;&gt;"PASS",'Motor_Meciuri'!J78,IF('Calibrare_Linii'!U14&lt;&gt;"VALID","Parametri linie invalizi",IF(L1022&gt;'Config_v6'!$B$13,"Dispersie peste limita",IF(W1022="WATCH","Failure peste limita",IF(AB1022&lt;'Config_v6'!$B$16,"P finala sub prag",IF(V1022&lt;'Config_v6'!$B$18,"Confidence sub prag",IF(E1022="REPLAY","Exemplu retrospectiv; exclus din Top LIVE",IF(Y1022="PASS","DEFENSIV validat",IF(W1022="OOS PENDING","Eligibil; calibrare linie in monitorizare","Eligibil"))))))))))</x:f>
      </x:c>
      <x:c r="AI1022" s="2" t="str">
        <x:f>IF(B1022="","",'Calibrare_Linii'!V14)</x:f>
      </x:c>
      <x:c r="AJ1022" s="2" t="str">
        <x:f>IF(B1022="","",IF(AND('Calibrare_Linii'!T14="VALIDATED",AND('Calibrare_Linii'!H14=C1022,ISNUMBER('Calibrare_Linii'!J14),'Calibrare_Linii'!J14&lt;='Input_Meci'!G78)),"DEFENSIVE VALIDATED",IF(AND('Calibrare_Linii'!S14="VALIDATED",AND('Calibrare_Linii'!H14=C1022,ISNUMBER('Calibrare_Linii'!J14),'Calibrare_Linii'!J14&lt;='Input_Meci'!G78)),"TAIL VALIDATED","OOS PENDING")))</x:f>
      </x:c>
      <x:c r="AK1022" s="2" t="n">
        <x:f>IF(J1022&lt;&gt;"PASS",0,'Motor_Meciuri'!BR78)</x:f>
        <x:v>0</x:v>
      </x:c>
      <x:c r="AL1022" s="2" t="n">
        <x:f>IF(J1022&lt;&gt;"PASS",0,'Motor_Meciuri'!BS78)</x:f>
        <x:v>0</x:v>
      </x:c>
      <x:c r="AM1022" s="2" t="n">
        <x:f>IF(J1022&lt;&gt;"PASS",0,'Motor_Meciuri'!BT78)</x:f>
        <x:v>0</x:v>
      </x:c>
      <x:c r="AN1022" s="2" t="str">
        <x:f>IF(M1022="","",MAX(0,'Motor_Meciuri'!BF78-IF(L1022&gt;'Config_v6'!$B$12,'Config_v6'!$B$37,IF(L1022&gt;'Config_v6'!$B$11,'Config_v6'!$B$36,0))))</x:f>
      </x:c>
    </x:row>
    <x:row r="1023" ht="21" customHeight="1">
      <x:c r="A1023" s="2" t="n">
        <x:v>73</x:v>
      </x:c>
      <x:c r="B1023" s="2" t="str">
        <x:f>IF('Motor_Meciuri'!A78="","",'Motor_Meciuri'!A78)</x:f>
      </x:c>
      <x:c r="C1023" s="2" t="str">
        <x:f>IF(B1023="","",'Motor_Meciuri'!B78)</x:f>
      </x:c>
      <x:c r="D1023" s="2" t="str">
        <x:f>IF(B1023="","",'Motor_Meciuri'!D78)</x:f>
      </x:c>
      <x:c r="E1023" s="2" t="str">
        <x:f>IF(B1023="","",'Motor_Meciuri'!E78)</x:f>
      </x:c>
      <x:c r="F1023" s="2" t="str">
        <x:v>U13,5</x:v>
      </x:c>
      <x:c r="G1023" s="2" t="str">
        <x:v>UNDER</x:v>
      </x:c>
      <x:c r="H1023" s="2" t="n">
        <x:v>13</x:v>
      </x:c>
      <x:c r="I1023" s="2" t="str">
        <x:f>IF(B1023="","",'Motor_Meciuri'!H78)</x:f>
      </x:c>
      <x:c r="J1023" s="2" t="str">
        <x:f>IF(B1023="","",'Motor_Meciuri'!I78)</x:f>
      </x:c>
      <x:c r="K1023" s="11" t="str">
        <x:f>IF(J1023&lt;&gt;"PASS","",'Motor_Meciuri'!BD78)</x:f>
      </x:c>
      <x:c r="L1023" s="11" t="str">
        <x:f>IF(J1023&lt;&gt;"PASS","",'Motor_Meciuri'!AU78)</x:f>
      </x:c>
      <x:c r="M1023" s="10" t="str">
        <x:f>IF(NOT(AND(J1023="PASS",'Calibrare_Linii'!U15="VALID")),"",'Distributie'!AK78)</x:f>
      </x:c>
      <x:c r="N1023" s="10" t="str">
        <x:f>IF(M1023="","",MAX(0.01,MIN(0.99,0.5+(M1023-0.5)*'Motor_Meciuri'!BG78*'Calibrare_Linii'!D15)))</x:f>
      </x:c>
      <x:c r="O1023" s="10" t="str">
        <x:f>IF(M1023="","",1-M1023)</x:f>
      </x:c>
      <x:c r="P1023" s="10" t="str">
        <x:f>IF(OR(NOT(AND(J1023="PASS",'Calibrare_Linii'!U15="VALID")),AK1023=0),""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*('Istoric_Nativ'!$Q$6:$Q$405&gt;H1023))/AK1023)</x:f>
      </x:c>
      <x:c r="Q1023" s="10" t="str">
        <x:f>IF(OR(NOT(AND(J1023="PASS",'Calibrare_Linii'!U15="VALID")),AL1023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M78)+((('Istoric_Nativ'!$E$6:$E$405='Input_Meci'!E78)+('Istoric_Nativ'!$F$6:$F$405='Input_Meci'!E78))&gt;0)*('Istoric_Nativ'!$D$6:$D$405&gt;='Motor_Meciuri'!BN78))&gt;0)*('Istoric_Nativ'!$Q$6:$Q$405&gt;H1023))/AL1023)</x:f>
      </x:c>
      <x:c r="R1023" s="10" t="str">
        <x:f>IF(OR(NOT(AND(J1023="PASS",'Calibrare_Linii'!U15="VALID")),AM1023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O78)+((('Istoric_Nativ'!$E$6:$E$405='Input_Meci'!E78)+('Istoric_Nativ'!$F$6:$F$405='Input_Meci'!E78))&gt;0)*('Istoric_Nativ'!$D$6:$D$405&gt;='Motor_Meciuri'!BP78))&gt;0)*('Istoric_Nativ'!$Q$6:$Q$405&gt;H1023))/AM1023)</x:f>
      </x:c>
      <x:c r="S1023" s="10" t="str">
        <x:f>IF(M1023="","",MAX(O1023,P1023,Q1023,R1023))</x:f>
      </x:c>
      <x:c r="T1023" s="11" t="str">
        <x:f>IF(M1023="","",MIN(100,S1023*100*'Config_v6'!$B$44+MIN(100,L1023/'Config_v6'!$B$13*100)*'Config_v6'!$B$45+(100-'Motor_Meciuri'!BF78)*'Config_v6'!$B$46+'Motor_Meciuri'!BH78*100*'Config_v6'!$B$47))</x:f>
      </x:c>
      <x:c r="U1023" s="2" t="str">
        <x:f>IF(T1023="","",IF(T1023&lt;=20,1,IF(T1023&lt;=40,2,IF(T1023&lt;=60,3,IF(T1023&lt;=80,4,5)))))</x:f>
      </x:c>
      <x:c r="V1023" s="2" t="str">
        <x:f>IF(M1023="","",MAX(0,'Motor_Meciuri'!BF78-IF(W1023="OOS PENDING",'Config_v6'!$B$35,0)-IF(L1023&gt;'Config_v6'!$B$12,'Config_v6'!$B$37,IF(L1023&gt;'Config_v6'!$B$11,'Config_v6'!$B$36,0))))</x:f>
      </x:c>
      <x:c r="W1023" s="2" t="str">
        <x:f>IF(B1023="","",IF(I1023&lt;&gt;"READY","NOT RELEASED",IF(NOT(AND(J1023="PASS",'Calibrare_Linii'!U15="VALID")),"INVALID",IF(NOT(AND('Calibrare_Linii'!S15="VALIDATED",AND('Calibrare_Linii'!H15=C1023,ISNUMBER('Calibrare_Linii'!J15),'Calibrare_Linii'!J15&lt;='Input_Meci'!G78))),"OOS PENDING",IF(S1023&lt;='Calibrare_Linii'!E15,"PASS",IF(S1023&lt;='Calibrare_Linii'!F15,"PENALTY","WATCH"))))))</x:f>
      </x:c>
      <x:c r="X1023" s="2" t="str">
        <x:f>IF(M1023="","",IF(AND(AND(J1023="PASS",'Calibrare_Linii'!U15="VALID"),'Motor_Meciuri'!K78=12,'Motor_Meciuri'!L78=12,'Motor_Meciuri'!M78="NO",'Motor_Meciuri'!BL78='Motor_Meciuri'!C78,AB1023&gt;='Config_v6'!$B$50,AN1023&gt;='Config_v6'!$B$51,T1023&lt;='Config_v6'!$B$52,L1023&lt;='Config_v6'!$B$53,ISNUMBER('Calibrare_Linii'!E15),S1023&lt;='Calibrare_Linii'!E15,SUM(AK1023:AM1023)&gt;0),"CANDIDATE","NO"))</x:f>
      </x:c>
      <x:c r="Y1023" s="2" t="str">
        <x:f>IF(B1023="","",IF(I1023&lt;&gt;"READY","NOT RELEASED",IF(AND(X1023="CANDIDATE",V1023&gt;='Config_v6'!$B$51,W1023="PASS",'Calibrare_Linii'!T15="VALIDATED",AND('Calibrare_Linii'!H15=C1023,ISNUMBER('Calibrare_Linii'!J15),'Calibrare_Linii'!J15&lt;='Input_Meci'!G78)),"PASS",IF(X1023="CANDIDATE","OOS PENDING","FAIL"))))</x:f>
      </x:c>
      <x:c r="Z1023" s="2" t="str">
        <x:f>IF(B1023="","",IF(I1023&lt;&gt;"READY","",IF(OR(NOT(AND(J1023="PASS",'Calibrare_Linii'!U15="VALID")),L1023&gt;'Config_v6'!$B$13,W1023="WATCH"),5,IF(Y1023="PASS",1,MIN(5,MAX('Config_v6'!$B$42,U1023)+IF(W1023="PENALTY",1,0))))))</x:f>
      </x:c>
      <x:c r="AA1023" s="2" t="str">
        <x:f>IF(B1023="","",IF(I1023&lt;&gt;"READY","NOT RELEASED",IF(Z1023=5,"NO BET",IF(OR(AB1023&lt;'Config_v6'!$B$16,V1023&lt;'Config_v6'!$B$18),"WATCH",IF(Z1023=1,"DEFENSIV",IF(Z1023=2,"PRUDENT",IF(Z1023=3,"MODERAT","RIDICAT")))))))</x:f>
      </x:c>
      <x:c r="AB1023" s="10" t="str">
        <x:f>IF(N1023="","",MIN(N1023,1-S1023))</x:f>
      </x:c>
      <x:c r="AC1023" s="2" t="str">
        <x:f>IF(AD1023&lt;&gt;1,"",COUNTIFS($Z$1014:$Z$1027,"&lt;"&amp;Z1023,$AD$1014:$AD$1027,1)+COUNTIFS($Z$1014:$Z$1027,Z1023,$AB$1014:$AB$1027,"&gt;"&amp;AB1023,$AD$1014:$AD$1027,1)+COUNTIFS($Z$1014:$Z$1027,Z1023,$AB$1014:$AB$1027,AB1023,$V$1014:$V$1027,"&gt;"&amp;V1023,$AD$1014:$AD$1027,1)+COUNTIFS($Z$1014:Z1023,Z1023,$AB$1014:AB1023,AB1023,$V$1014:V1023,V1023,$AD$1014:AD1023,1))</x:f>
      </x:c>
      <x:c r="AD1023" s="2" t="n">
        <x:f>IF(OR(AA1023="DEFENSIV",AA1023="PRUDENT",AA1023="MODERAT",AA1023="RIDICAT"),1,0)</x:f>
        <x:v>0</x:v>
      </x:c>
      <x:c r="AE1023" s="2" t="str">
        <x:f>IF(AD1023&lt;&gt;1,"NO",IF(W1023="PASS","YES",IF(W1023="OOS PENDING","CONDITIONAL","NO")))</x:f>
        <x:v>NO</x:v>
      </x:c>
      <x:c r="AF1023" s="2" t="n">
        <x:f>IF(AND(AD1023=1,AC1023=1,E1023="LIVE"),1,0)</x:f>
        <x:v>0</x:v>
      </x:c>
      <x:c r="AG1023" s="2" t="str">
        <x:f>IF(AF1023&lt;&gt;1,"",'Dashboard'!P98)</x:f>
      </x:c>
      <x:c r="AH1023" s="2" t="str">
        <x:f>IF(B1023="","",IF(J1023&lt;&gt;"PASS",'Motor_Meciuri'!J78,IF('Calibrare_Linii'!U15&lt;&gt;"VALID","Parametri linie invalizi",IF(L1023&gt;'Config_v6'!$B$13,"Dispersie peste limita",IF(W1023="WATCH","Failure peste limita",IF(AB1023&lt;'Config_v6'!$B$16,"P finala sub prag",IF(V1023&lt;'Config_v6'!$B$18,"Confidence sub prag",IF(E1023="REPLAY","Exemplu retrospectiv; exclus din Top LIVE",IF(Y1023="PASS","DEFENSIV validat",IF(W1023="OOS PENDING","Eligibil; calibrare linie in monitorizare","Eligibil"))))))))))</x:f>
      </x:c>
      <x:c r="AI1023" s="2" t="str">
        <x:f>IF(B1023="","",'Calibrare_Linii'!V15)</x:f>
      </x:c>
      <x:c r="AJ1023" s="2" t="str">
        <x:f>IF(B1023="","",IF(AND('Calibrare_Linii'!T15="VALIDATED",AND('Calibrare_Linii'!H15=C1023,ISNUMBER('Calibrare_Linii'!J15),'Calibrare_Linii'!J15&lt;='Input_Meci'!G78)),"DEFENSIVE VALIDATED",IF(AND('Calibrare_Linii'!S15="VALIDATED",AND('Calibrare_Linii'!H15=C1023,ISNUMBER('Calibrare_Linii'!J15),'Calibrare_Linii'!J15&lt;='Input_Meci'!G78)),"TAIL VALIDATED","OOS PENDING")))</x:f>
      </x:c>
      <x:c r="AK1023" s="2" t="n">
        <x:f>IF(J1023&lt;&gt;"PASS",0,'Motor_Meciuri'!BR78)</x:f>
        <x:v>0</x:v>
      </x:c>
      <x:c r="AL1023" s="2" t="n">
        <x:f>IF(J1023&lt;&gt;"PASS",0,'Motor_Meciuri'!BS78)</x:f>
        <x:v>0</x:v>
      </x:c>
      <x:c r="AM1023" s="2" t="n">
        <x:f>IF(J1023&lt;&gt;"PASS",0,'Motor_Meciuri'!BT78)</x:f>
        <x:v>0</x:v>
      </x:c>
      <x:c r="AN1023" s="2" t="str">
        <x:f>IF(M1023="","",MAX(0,'Motor_Meciuri'!BF78-IF(L1023&gt;'Config_v6'!$B$12,'Config_v6'!$B$37,IF(L1023&gt;'Config_v6'!$B$11,'Config_v6'!$B$36,0))))</x:f>
      </x:c>
    </x:row>
    <x:row r="1024" ht="21" customHeight="1">
      <x:c r="A1024" s="2" t="n">
        <x:v>73</x:v>
      </x:c>
      <x:c r="B1024" s="2" t="str">
        <x:f>IF('Motor_Meciuri'!A78="","",'Motor_Meciuri'!A78)</x:f>
      </x:c>
      <x:c r="C1024" s="2" t="str">
        <x:f>IF(B1024="","",'Motor_Meciuri'!B78)</x:f>
      </x:c>
      <x:c r="D1024" s="2" t="str">
        <x:f>IF(B1024="","",'Motor_Meciuri'!D78)</x:f>
      </x:c>
      <x:c r="E1024" s="2" t="str">
        <x:f>IF(B1024="","",'Motor_Meciuri'!E78)</x:f>
      </x:c>
      <x:c r="F1024" s="2" t="str">
        <x:v>U14,5</x:v>
      </x:c>
      <x:c r="G1024" s="2" t="str">
        <x:v>UNDER</x:v>
      </x:c>
      <x:c r="H1024" s="2" t="n">
        <x:v>14</x:v>
      </x:c>
      <x:c r="I1024" s="2" t="str">
        <x:f>IF(B1024="","",'Motor_Meciuri'!H78)</x:f>
      </x:c>
      <x:c r="J1024" s="2" t="str">
        <x:f>IF(B1024="","",'Motor_Meciuri'!I78)</x:f>
      </x:c>
      <x:c r="K1024" s="11" t="str">
        <x:f>IF(J1024&lt;&gt;"PASS","",'Motor_Meciuri'!BD78)</x:f>
      </x:c>
      <x:c r="L1024" s="11" t="str">
        <x:f>IF(J1024&lt;&gt;"PASS","",'Motor_Meciuri'!AU78)</x:f>
      </x:c>
      <x:c r="M1024" s="10" t="str">
        <x:f>IF(NOT(AND(J1024="PASS",'Calibrare_Linii'!U16="VALID")),"",'Distributie'!AL78)</x:f>
      </x:c>
      <x:c r="N1024" s="10" t="str">
        <x:f>IF(M1024="","",MAX(0.01,MIN(0.99,0.5+(M1024-0.5)*'Motor_Meciuri'!BG78*'Calibrare_Linii'!D16)))</x:f>
      </x:c>
      <x:c r="O1024" s="10" t="str">
        <x:f>IF(M1024="","",1-M1024)</x:f>
      </x:c>
      <x:c r="P1024" s="10" t="str">
        <x:f>IF(OR(NOT(AND(J1024="PASS",'Calibrare_Linii'!U16="VALID")),AK1024=0),""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*('Istoric_Nativ'!$Q$6:$Q$405&gt;H1024))/AK1024)</x:f>
      </x:c>
      <x:c r="Q1024" s="10" t="str">
        <x:f>IF(OR(NOT(AND(J1024="PASS",'Calibrare_Linii'!U16="VALID")),AL1024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M78)+((('Istoric_Nativ'!$E$6:$E$405='Input_Meci'!E78)+('Istoric_Nativ'!$F$6:$F$405='Input_Meci'!E78))&gt;0)*('Istoric_Nativ'!$D$6:$D$405&gt;='Motor_Meciuri'!BN78))&gt;0)*('Istoric_Nativ'!$Q$6:$Q$405&gt;H1024))/AL1024)</x:f>
      </x:c>
      <x:c r="R1024" s="10" t="str">
        <x:f>IF(OR(NOT(AND(J1024="PASS",'Calibrare_Linii'!U16="VALID")),AM1024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O78)+((('Istoric_Nativ'!$E$6:$E$405='Input_Meci'!E78)+('Istoric_Nativ'!$F$6:$F$405='Input_Meci'!E78))&gt;0)*('Istoric_Nativ'!$D$6:$D$405&gt;='Motor_Meciuri'!BP78))&gt;0)*('Istoric_Nativ'!$Q$6:$Q$405&gt;H1024))/AM1024)</x:f>
      </x:c>
      <x:c r="S1024" s="10" t="str">
        <x:f>IF(M1024="","",MAX(O1024,P1024,Q1024,R1024))</x:f>
      </x:c>
      <x:c r="T1024" s="11" t="str">
        <x:f>IF(M1024="","",MIN(100,S1024*100*'Config_v6'!$B$44+MIN(100,L1024/'Config_v6'!$B$13*100)*'Config_v6'!$B$45+(100-'Motor_Meciuri'!BF78)*'Config_v6'!$B$46+'Motor_Meciuri'!BH78*100*'Config_v6'!$B$47))</x:f>
      </x:c>
      <x:c r="U1024" s="2" t="str">
        <x:f>IF(T1024="","",IF(T1024&lt;=20,1,IF(T1024&lt;=40,2,IF(T1024&lt;=60,3,IF(T1024&lt;=80,4,5)))))</x:f>
      </x:c>
      <x:c r="V1024" s="2" t="str">
        <x:f>IF(M1024="","",MAX(0,'Motor_Meciuri'!BF78-IF(W1024="OOS PENDING",'Config_v6'!$B$35,0)-IF(L1024&gt;'Config_v6'!$B$12,'Config_v6'!$B$37,IF(L1024&gt;'Config_v6'!$B$11,'Config_v6'!$B$36,0))))</x:f>
      </x:c>
      <x:c r="W1024" s="2" t="str">
        <x:f>IF(B1024="","",IF(I1024&lt;&gt;"READY","NOT RELEASED",IF(NOT(AND(J1024="PASS",'Calibrare_Linii'!U16="VALID")),"INVALID",IF(NOT(AND('Calibrare_Linii'!S16="VALIDATED",AND('Calibrare_Linii'!H16=C1024,ISNUMBER('Calibrare_Linii'!J16),'Calibrare_Linii'!J16&lt;='Input_Meci'!G78))),"OOS PENDING",IF(S1024&lt;='Calibrare_Linii'!E16,"PASS",IF(S1024&lt;='Calibrare_Linii'!F16,"PENALTY","WATCH"))))))</x:f>
      </x:c>
      <x:c r="X1024" s="2" t="str">
        <x:f>IF(M1024="","",IF(AND(AND(J1024="PASS",'Calibrare_Linii'!U16="VALID"),'Motor_Meciuri'!K78=12,'Motor_Meciuri'!L78=12,'Motor_Meciuri'!M78="NO",'Motor_Meciuri'!BL78='Motor_Meciuri'!C78,AB1024&gt;='Config_v6'!$B$50,AN1024&gt;='Config_v6'!$B$51,T1024&lt;='Config_v6'!$B$52,L1024&lt;='Config_v6'!$B$53,ISNUMBER('Calibrare_Linii'!E16),S1024&lt;='Calibrare_Linii'!E16,SUM(AK1024:AM1024)&gt;0),"CANDIDATE","NO"))</x:f>
      </x:c>
      <x:c r="Y1024" s="2" t="str">
        <x:f>IF(B1024="","",IF(I1024&lt;&gt;"READY","NOT RELEASED",IF(AND(X1024="CANDIDATE",V1024&gt;='Config_v6'!$B$51,W1024="PASS",'Calibrare_Linii'!T16="VALIDATED",AND('Calibrare_Linii'!H16=C1024,ISNUMBER('Calibrare_Linii'!J16),'Calibrare_Linii'!J16&lt;='Input_Meci'!G78)),"PASS",IF(X1024="CANDIDATE","OOS PENDING","FAIL"))))</x:f>
      </x:c>
      <x:c r="Z1024" s="2" t="str">
        <x:f>IF(B1024="","",IF(I1024&lt;&gt;"READY","",IF(OR(NOT(AND(J1024="PASS",'Calibrare_Linii'!U16="VALID")),L1024&gt;'Config_v6'!$B$13,W1024="WATCH"),5,IF(Y1024="PASS",1,MIN(5,MAX('Config_v6'!$B$42,U1024)+IF(W1024="PENALTY",1,0))))))</x:f>
      </x:c>
      <x:c r="AA1024" s="2" t="str">
        <x:f>IF(B1024="","",IF(I1024&lt;&gt;"READY","NOT RELEASED",IF(Z1024=5,"NO BET",IF(OR(AB1024&lt;'Config_v6'!$B$16,V1024&lt;'Config_v6'!$B$18),"WATCH",IF(Z1024=1,"DEFENSIV",IF(Z1024=2,"PRUDENT",IF(Z1024=3,"MODERAT","RIDICAT")))))))</x:f>
      </x:c>
      <x:c r="AB1024" s="10" t="str">
        <x:f>IF(N1024="","",MIN(N1024,1-S1024))</x:f>
      </x:c>
      <x:c r="AC1024" s="2" t="str">
        <x:f>IF(AD1024&lt;&gt;1,"",COUNTIFS($Z$1014:$Z$1027,"&lt;"&amp;Z1024,$AD$1014:$AD$1027,1)+COUNTIFS($Z$1014:$Z$1027,Z1024,$AB$1014:$AB$1027,"&gt;"&amp;AB1024,$AD$1014:$AD$1027,1)+COUNTIFS($Z$1014:$Z$1027,Z1024,$AB$1014:$AB$1027,AB1024,$V$1014:$V$1027,"&gt;"&amp;V1024,$AD$1014:$AD$1027,1)+COUNTIFS($Z$1014:Z1024,Z1024,$AB$1014:AB1024,AB1024,$V$1014:V1024,V1024,$AD$1014:AD1024,1))</x:f>
      </x:c>
      <x:c r="AD1024" s="2" t="n">
        <x:f>IF(OR(AA1024="DEFENSIV",AA1024="PRUDENT",AA1024="MODERAT",AA1024="RIDICAT"),1,0)</x:f>
        <x:v>0</x:v>
      </x:c>
      <x:c r="AE1024" s="2" t="str">
        <x:f>IF(AD1024&lt;&gt;1,"NO",IF(W1024="PASS","YES",IF(W1024="OOS PENDING","CONDITIONAL","NO")))</x:f>
        <x:v>NO</x:v>
      </x:c>
      <x:c r="AF1024" s="2" t="n">
        <x:f>IF(AND(AD1024=1,AC1024=1,E1024="LIVE"),1,0)</x:f>
        <x:v>0</x:v>
      </x:c>
      <x:c r="AG1024" s="2" t="str">
        <x:f>IF(AF1024&lt;&gt;1,"",'Dashboard'!P98)</x:f>
      </x:c>
      <x:c r="AH1024" s="2" t="str">
        <x:f>IF(B1024="","",IF(J1024&lt;&gt;"PASS",'Motor_Meciuri'!J78,IF('Calibrare_Linii'!U16&lt;&gt;"VALID","Parametri linie invalizi",IF(L1024&gt;'Config_v6'!$B$13,"Dispersie peste limita",IF(W1024="WATCH","Failure peste limita",IF(AB1024&lt;'Config_v6'!$B$16,"P finala sub prag",IF(V1024&lt;'Config_v6'!$B$18,"Confidence sub prag",IF(E1024="REPLAY","Exemplu retrospectiv; exclus din Top LIVE",IF(Y1024="PASS","DEFENSIV validat",IF(W1024="OOS PENDING","Eligibil; calibrare linie in monitorizare","Eligibil"))))))))))</x:f>
      </x:c>
      <x:c r="AI1024" s="2" t="str">
        <x:f>IF(B1024="","",'Calibrare_Linii'!V16)</x:f>
      </x:c>
      <x:c r="AJ1024" s="2" t="str">
        <x:f>IF(B1024="","",IF(AND('Calibrare_Linii'!T16="VALIDATED",AND('Calibrare_Linii'!H16=C1024,ISNUMBER('Calibrare_Linii'!J16),'Calibrare_Linii'!J16&lt;='Input_Meci'!G78)),"DEFENSIVE VALIDATED",IF(AND('Calibrare_Linii'!S16="VALIDATED",AND('Calibrare_Linii'!H16=C1024,ISNUMBER('Calibrare_Linii'!J16),'Calibrare_Linii'!J16&lt;='Input_Meci'!G78)),"TAIL VALIDATED","OOS PENDING")))</x:f>
      </x:c>
      <x:c r="AK1024" s="2" t="n">
        <x:f>IF(J1024&lt;&gt;"PASS",0,'Motor_Meciuri'!BR78)</x:f>
        <x:v>0</x:v>
      </x:c>
      <x:c r="AL1024" s="2" t="n">
        <x:f>IF(J1024&lt;&gt;"PASS",0,'Motor_Meciuri'!BS78)</x:f>
        <x:v>0</x:v>
      </x:c>
      <x:c r="AM1024" s="2" t="n">
        <x:f>IF(J1024&lt;&gt;"PASS",0,'Motor_Meciuri'!BT78)</x:f>
        <x:v>0</x:v>
      </x:c>
      <x:c r="AN1024" s="2" t="str">
        <x:f>IF(M1024="","",MAX(0,'Motor_Meciuri'!BF78-IF(L1024&gt;'Config_v6'!$B$12,'Config_v6'!$B$37,IF(L1024&gt;'Config_v6'!$B$11,'Config_v6'!$B$36,0))))</x:f>
      </x:c>
    </x:row>
    <x:row r="1025" ht="21" customHeight="1">
      <x:c r="A1025" s="2" t="n">
        <x:v>73</x:v>
      </x:c>
      <x:c r="B1025" s="2" t="str">
        <x:f>IF('Motor_Meciuri'!A78="","",'Motor_Meciuri'!A78)</x:f>
      </x:c>
      <x:c r="C1025" s="2" t="str">
        <x:f>IF(B1025="","",'Motor_Meciuri'!B78)</x:f>
      </x:c>
      <x:c r="D1025" s="2" t="str">
        <x:f>IF(B1025="","",'Motor_Meciuri'!D78)</x:f>
      </x:c>
      <x:c r="E1025" s="2" t="str">
        <x:f>IF(B1025="","",'Motor_Meciuri'!E78)</x:f>
      </x:c>
      <x:c r="F1025" s="2" t="str">
        <x:v>U15,5</x:v>
      </x:c>
      <x:c r="G1025" s="2" t="str">
        <x:v>UNDER</x:v>
      </x:c>
      <x:c r="H1025" s="2" t="n">
        <x:v>15</x:v>
      </x:c>
      <x:c r="I1025" s="2" t="str">
        <x:f>IF(B1025="","",'Motor_Meciuri'!H78)</x:f>
      </x:c>
      <x:c r="J1025" s="2" t="str">
        <x:f>IF(B1025="","",'Motor_Meciuri'!I78)</x:f>
      </x:c>
      <x:c r="K1025" s="11" t="str">
        <x:f>IF(J1025&lt;&gt;"PASS","",'Motor_Meciuri'!BD78)</x:f>
      </x:c>
      <x:c r="L1025" s="11" t="str">
        <x:f>IF(J1025&lt;&gt;"PASS","",'Motor_Meciuri'!AU78)</x:f>
      </x:c>
      <x:c r="M1025" s="10" t="str">
        <x:f>IF(NOT(AND(J1025="PASS",'Calibrare_Linii'!U17="VALID")),"",'Distributie'!AM78)</x:f>
      </x:c>
      <x:c r="N1025" s="10" t="str">
        <x:f>IF(M1025="","",MAX(0.01,MIN(0.99,0.5+(M1025-0.5)*'Motor_Meciuri'!BG78*'Calibrare_Linii'!D17)))</x:f>
      </x:c>
      <x:c r="O1025" s="10" t="str">
        <x:f>IF(M1025="","",1-M1025)</x:f>
      </x:c>
      <x:c r="P1025" s="10" t="str">
        <x:f>IF(OR(NOT(AND(J1025="PASS",'Calibrare_Linii'!U17="VALID")),AK1025=0),""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*('Istoric_Nativ'!$Q$6:$Q$405&gt;H1025))/AK1025)</x:f>
      </x:c>
      <x:c r="Q1025" s="10" t="str">
        <x:f>IF(OR(NOT(AND(J1025="PASS",'Calibrare_Linii'!U17="VALID")),AL1025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M78)+((('Istoric_Nativ'!$E$6:$E$405='Input_Meci'!E78)+('Istoric_Nativ'!$F$6:$F$405='Input_Meci'!E78))&gt;0)*('Istoric_Nativ'!$D$6:$D$405&gt;='Motor_Meciuri'!BN78))&gt;0)*('Istoric_Nativ'!$Q$6:$Q$405&gt;H1025))/AL1025)</x:f>
      </x:c>
      <x:c r="R1025" s="10" t="str">
        <x:f>IF(OR(NOT(AND(J1025="PASS",'Calibrare_Linii'!U17="VALID")),AM1025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O78)+((('Istoric_Nativ'!$E$6:$E$405='Input_Meci'!E78)+('Istoric_Nativ'!$F$6:$F$405='Input_Meci'!E78))&gt;0)*('Istoric_Nativ'!$D$6:$D$405&gt;='Motor_Meciuri'!BP78))&gt;0)*('Istoric_Nativ'!$Q$6:$Q$405&gt;H1025))/AM1025)</x:f>
      </x:c>
      <x:c r="S1025" s="10" t="str">
        <x:f>IF(M1025="","",MAX(O1025,P1025,Q1025,R1025))</x:f>
      </x:c>
      <x:c r="T1025" s="11" t="str">
        <x:f>IF(M1025="","",MIN(100,S1025*100*'Config_v6'!$B$44+MIN(100,L1025/'Config_v6'!$B$13*100)*'Config_v6'!$B$45+(100-'Motor_Meciuri'!BF78)*'Config_v6'!$B$46+'Motor_Meciuri'!BH78*100*'Config_v6'!$B$47))</x:f>
      </x:c>
      <x:c r="U1025" s="2" t="str">
        <x:f>IF(T1025="","",IF(T1025&lt;=20,1,IF(T1025&lt;=40,2,IF(T1025&lt;=60,3,IF(T1025&lt;=80,4,5)))))</x:f>
      </x:c>
      <x:c r="V1025" s="2" t="str">
        <x:f>IF(M1025="","",MAX(0,'Motor_Meciuri'!BF78-IF(W1025="OOS PENDING",'Config_v6'!$B$35,0)-IF(L1025&gt;'Config_v6'!$B$12,'Config_v6'!$B$37,IF(L1025&gt;'Config_v6'!$B$11,'Config_v6'!$B$36,0))))</x:f>
      </x:c>
      <x:c r="W1025" s="2" t="str">
        <x:f>IF(B1025="","",IF(I1025&lt;&gt;"READY","NOT RELEASED",IF(NOT(AND(J1025="PASS",'Calibrare_Linii'!U17="VALID")),"INVALID",IF(NOT(AND('Calibrare_Linii'!S17="VALIDATED",AND('Calibrare_Linii'!H17=C1025,ISNUMBER('Calibrare_Linii'!J17),'Calibrare_Linii'!J17&lt;='Input_Meci'!G78))),"OOS PENDING",IF(S1025&lt;='Calibrare_Linii'!E17,"PASS",IF(S1025&lt;='Calibrare_Linii'!F17,"PENALTY","WATCH"))))))</x:f>
      </x:c>
      <x:c r="X1025" s="2" t="str">
        <x:f>IF(M1025="","",IF(AND(AND(J1025="PASS",'Calibrare_Linii'!U17="VALID"),'Motor_Meciuri'!K78=12,'Motor_Meciuri'!L78=12,'Motor_Meciuri'!M78="NO",'Motor_Meciuri'!BL78='Motor_Meciuri'!C78,AB1025&gt;='Config_v6'!$B$50,AN1025&gt;='Config_v6'!$B$51,T1025&lt;='Config_v6'!$B$52,L1025&lt;='Config_v6'!$B$53,ISNUMBER('Calibrare_Linii'!E17),S1025&lt;='Calibrare_Linii'!E17,SUM(AK1025:AM1025)&gt;0),"CANDIDATE","NO"))</x:f>
      </x:c>
      <x:c r="Y1025" s="2" t="str">
        <x:f>IF(B1025="","",IF(I1025&lt;&gt;"READY","NOT RELEASED",IF(AND(X1025="CANDIDATE",V1025&gt;='Config_v6'!$B$51,W1025="PASS",'Calibrare_Linii'!T17="VALIDATED",AND('Calibrare_Linii'!H17=C1025,ISNUMBER('Calibrare_Linii'!J17),'Calibrare_Linii'!J17&lt;='Input_Meci'!G78)),"PASS",IF(X1025="CANDIDATE","OOS PENDING","FAIL"))))</x:f>
      </x:c>
      <x:c r="Z1025" s="2" t="str">
        <x:f>IF(B1025="","",IF(I1025&lt;&gt;"READY","",IF(OR(NOT(AND(J1025="PASS",'Calibrare_Linii'!U17="VALID")),L1025&gt;'Config_v6'!$B$13,W1025="WATCH"),5,IF(Y1025="PASS",1,MIN(5,MAX('Config_v6'!$B$42,U1025)+IF(W1025="PENALTY",1,0))))))</x:f>
      </x:c>
      <x:c r="AA1025" s="2" t="str">
        <x:f>IF(B1025="","",IF(I1025&lt;&gt;"READY","NOT RELEASED",IF(Z1025=5,"NO BET",IF(OR(AB1025&lt;'Config_v6'!$B$16,V1025&lt;'Config_v6'!$B$18),"WATCH",IF(Z1025=1,"DEFENSIV",IF(Z1025=2,"PRUDENT",IF(Z1025=3,"MODERAT","RIDICAT")))))))</x:f>
      </x:c>
      <x:c r="AB1025" s="10" t="str">
        <x:f>IF(N1025="","",MIN(N1025,1-S1025))</x:f>
      </x:c>
      <x:c r="AC1025" s="2" t="str">
        <x:f>IF(AD1025&lt;&gt;1,"",COUNTIFS($Z$1014:$Z$1027,"&lt;"&amp;Z1025,$AD$1014:$AD$1027,1)+COUNTIFS($Z$1014:$Z$1027,Z1025,$AB$1014:$AB$1027,"&gt;"&amp;AB1025,$AD$1014:$AD$1027,1)+COUNTIFS($Z$1014:$Z$1027,Z1025,$AB$1014:$AB$1027,AB1025,$V$1014:$V$1027,"&gt;"&amp;V1025,$AD$1014:$AD$1027,1)+COUNTIFS($Z$1014:Z1025,Z1025,$AB$1014:AB1025,AB1025,$V$1014:V1025,V1025,$AD$1014:AD1025,1))</x:f>
      </x:c>
      <x:c r="AD1025" s="2" t="n">
        <x:f>IF(OR(AA1025="DEFENSIV",AA1025="PRUDENT",AA1025="MODERAT",AA1025="RIDICAT"),1,0)</x:f>
        <x:v>0</x:v>
      </x:c>
      <x:c r="AE1025" s="2" t="str">
        <x:f>IF(AD1025&lt;&gt;1,"NO",IF(W1025="PASS","YES",IF(W1025="OOS PENDING","CONDITIONAL","NO")))</x:f>
        <x:v>NO</x:v>
      </x:c>
      <x:c r="AF1025" s="2" t="n">
        <x:f>IF(AND(AD1025=1,AC1025=1,E1025="LIVE"),1,0)</x:f>
        <x:v>0</x:v>
      </x:c>
      <x:c r="AG1025" s="2" t="str">
        <x:f>IF(AF1025&lt;&gt;1,"",'Dashboard'!P98)</x:f>
      </x:c>
      <x:c r="AH1025" s="2" t="str">
        <x:f>IF(B1025="","",IF(J1025&lt;&gt;"PASS",'Motor_Meciuri'!J78,IF('Calibrare_Linii'!U17&lt;&gt;"VALID","Parametri linie invalizi",IF(L1025&gt;'Config_v6'!$B$13,"Dispersie peste limita",IF(W1025="WATCH","Failure peste limita",IF(AB1025&lt;'Config_v6'!$B$16,"P finala sub prag",IF(V1025&lt;'Config_v6'!$B$18,"Confidence sub prag",IF(E1025="REPLAY","Exemplu retrospectiv; exclus din Top LIVE",IF(Y1025="PASS","DEFENSIV validat",IF(W1025="OOS PENDING","Eligibil; calibrare linie in monitorizare","Eligibil"))))))))))</x:f>
      </x:c>
      <x:c r="AI1025" s="2" t="str">
        <x:f>IF(B1025="","",'Calibrare_Linii'!V17)</x:f>
      </x:c>
      <x:c r="AJ1025" s="2" t="str">
        <x:f>IF(B1025="","",IF(AND('Calibrare_Linii'!T17="VALIDATED",AND('Calibrare_Linii'!H17=C1025,ISNUMBER('Calibrare_Linii'!J17),'Calibrare_Linii'!J17&lt;='Input_Meci'!G78)),"DEFENSIVE VALIDATED",IF(AND('Calibrare_Linii'!S17="VALIDATED",AND('Calibrare_Linii'!H17=C1025,ISNUMBER('Calibrare_Linii'!J17),'Calibrare_Linii'!J17&lt;='Input_Meci'!G78)),"TAIL VALIDATED","OOS PENDING")))</x:f>
      </x:c>
      <x:c r="AK1025" s="2" t="n">
        <x:f>IF(J1025&lt;&gt;"PASS",0,'Motor_Meciuri'!BR78)</x:f>
        <x:v>0</x:v>
      </x:c>
      <x:c r="AL1025" s="2" t="n">
        <x:f>IF(J1025&lt;&gt;"PASS",0,'Motor_Meciuri'!BS78)</x:f>
        <x:v>0</x:v>
      </x:c>
      <x:c r="AM1025" s="2" t="n">
        <x:f>IF(J1025&lt;&gt;"PASS",0,'Motor_Meciuri'!BT78)</x:f>
        <x:v>0</x:v>
      </x:c>
      <x:c r="AN1025" s="2" t="str">
        <x:f>IF(M1025="","",MAX(0,'Motor_Meciuri'!BF78-IF(L1025&gt;'Config_v6'!$B$12,'Config_v6'!$B$37,IF(L1025&gt;'Config_v6'!$B$11,'Config_v6'!$B$36,0))))</x:f>
      </x:c>
    </x:row>
    <x:row r="1026" ht="21" customHeight="1">
      <x:c r="A1026" s="2" t="n">
        <x:v>73</x:v>
      </x:c>
      <x:c r="B1026" s="2" t="str">
        <x:f>IF('Motor_Meciuri'!A78="","",'Motor_Meciuri'!A78)</x:f>
      </x:c>
      <x:c r="C1026" s="2" t="str">
        <x:f>IF(B1026="","",'Motor_Meciuri'!B78)</x:f>
      </x:c>
      <x:c r="D1026" s="2" t="str">
        <x:f>IF(B1026="","",'Motor_Meciuri'!D78)</x:f>
      </x:c>
      <x:c r="E1026" s="2" t="str">
        <x:f>IF(B1026="","",'Motor_Meciuri'!E78)</x:f>
      </x:c>
      <x:c r="F1026" s="2" t="str">
        <x:v>U16,5</x:v>
      </x:c>
      <x:c r="G1026" s="2" t="str">
        <x:v>UNDER</x:v>
      </x:c>
      <x:c r="H1026" s="2" t="n">
        <x:v>16</x:v>
      </x:c>
      <x:c r="I1026" s="2" t="str">
        <x:f>IF(B1026="","",'Motor_Meciuri'!H78)</x:f>
      </x:c>
      <x:c r="J1026" s="2" t="str">
        <x:f>IF(B1026="","",'Motor_Meciuri'!I78)</x:f>
      </x:c>
      <x:c r="K1026" s="11" t="str">
        <x:f>IF(J1026&lt;&gt;"PASS","",'Motor_Meciuri'!BD78)</x:f>
      </x:c>
      <x:c r="L1026" s="11" t="str">
        <x:f>IF(J1026&lt;&gt;"PASS","",'Motor_Meciuri'!AU78)</x:f>
      </x:c>
      <x:c r="M1026" s="10" t="str">
        <x:f>IF(NOT(AND(J1026="PASS",'Calibrare_Linii'!U18="VALID")),"",'Distributie'!AN78)</x:f>
      </x:c>
      <x:c r="N1026" s="10" t="str">
        <x:f>IF(M1026="","",MAX(0.01,MIN(0.99,0.5+(M1026-0.5)*'Motor_Meciuri'!BG78*'Calibrare_Linii'!D18)))</x:f>
      </x:c>
      <x:c r="O1026" s="10" t="str">
        <x:f>IF(M1026="","",1-M1026)</x:f>
      </x:c>
      <x:c r="P1026" s="10" t="str">
        <x:f>IF(OR(NOT(AND(J1026="PASS",'Calibrare_Linii'!U18="VALID")),AK1026=0),""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*('Istoric_Nativ'!$Q$6:$Q$405&gt;H1026))/AK1026)</x:f>
      </x:c>
      <x:c r="Q1026" s="10" t="str">
        <x:f>IF(OR(NOT(AND(J1026="PASS",'Calibrare_Linii'!U18="VALID")),AL1026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M78)+((('Istoric_Nativ'!$E$6:$E$405='Input_Meci'!E78)+('Istoric_Nativ'!$F$6:$F$405='Input_Meci'!E78))&gt;0)*('Istoric_Nativ'!$D$6:$D$405&gt;='Motor_Meciuri'!BN78))&gt;0)*('Istoric_Nativ'!$Q$6:$Q$405&gt;H1026))/AL1026)</x:f>
      </x:c>
      <x:c r="R1026" s="10" t="str">
        <x:f>IF(OR(NOT(AND(J1026="PASS",'Calibrare_Linii'!U18="VALID")),AM1026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O78)+((('Istoric_Nativ'!$E$6:$E$405='Input_Meci'!E78)+('Istoric_Nativ'!$F$6:$F$405='Input_Meci'!E78))&gt;0)*('Istoric_Nativ'!$D$6:$D$405&gt;='Motor_Meciuri'!BP78))&gt;0)*('Istoric_Nativ'!$Q$6:$Q$405&gt;H1026))/AM1026)</x:f>
      </x:c>
      <x:c r="S1026" s="10" t="str">
        <x:f>IF(M1026="","",MAX(O1026,P1026,Q1026,R1026))</x:f>
      </x:c>
      <x:c r="T1026" s="11" t="str">
        <x:f>IF(M1026="","",MIN(100,S1026*100*'Config_v6'!$B$44+MIN(100,L1026/'Config_v6'!$B$13*100)*'Config_v6'!$B$45+(100-'Motor_Meciuri'!BF78)*'Config_v6'!$B$46+'Motor_Meciuri'!BH78*100*'Config_v6'!$B$47))</x:f>
      </x:c>
      <x:c r="U1026" s="2" t="str">
        <x:f>IF(T1026="","",IF(T1026&lt;=20,1,IF(T1026&lt;=40,2,IF(T1026&lt;=60,3,IF(T1026&lt;=80,4,5)))))</x:f>
      </x:c>
      <x:c r="V1026" s="2" t="str">
        <x:f>IF(M1026="","",MAX(0,'Motor_Meciuri'!BF78-IF(W1026="OOS PENDING",'Config_v6'!$B$35,0)-IF(L1026&gt;'Config_v6'!$B$12,'Config_v6'!$B$37,IF(L1026&gt;'Config_v6'!$B$11,'Config_v6'!$B$36,0))))</x:f>
      </x:c>
      <x:c r="W1026" s="2" t="str">
        <x:f>IF(B1026="","",IF(I1026&lt;&gt;"READY","NOT RELEASED",IF(NOT(AND(J1026="PASS",'Calibrare_Linii'!U18="VALID")),"INVALID",IF(NOT(AND('Calibrare_Linii'!S18="VALIDATED",AND('Calibrare_Linii'!H18=C1026,ISNUMBER('Calibrare_Linii'!J18),'Calibrare_Linii'!J18&lt;='Input_Meci'!G78))),"OOS PENDING",IF(S1026&lt;='Calibrare_Linii'!E18,"PASS",IF(S1026&lt;='Calibrare_Linii'!F18,"PENALTY","WATCH"))))))</x:f>
      </x:c>
      <x:c r="X1026" s="2" t="str">
        <x:f>IF(M1026="","",IF(AND(AND(J1026="PASS",'Calibrare_Linii'!U18="VALID"),'Motor_Meciuri'!K78=12,'Motor_Meciuri'!L78=12,'Motor_Meciuri'!M78="NO",'Motor_Meciuri'!BL78='Motor_Meciuri'!C78,AB1026&gt;='Config_v6'!$B$50,AN1026&gt;='Config_v6'!$B$51,T1026&lt;='Config_v6'!$B$52,L1026&lt;='Config_v6'!$B$53,ISNUMBER('Calibrare_Linii'!E18),S1026&lt;='Calibrare_Linii'!E18,SUM(AK1026:AM1026)&gt;0),"CANDIDATE","NO"))</x:f>
      </x:c>
      <x:c r="Y1026" s="2" t="str">
        <x:f>IF(B1026="","",IF(I1026&lt;&gt;"READY","NOT RELEASED",IF(AND(X1026="CANDIDATE",V1026&gt;='Config_v6'!$B$51,W1026="PASS",'Calibrare_Linii'!T18="VALIDATED",AND('Calibrare_Linii'!H18=C1026,ISNUMBER('Calibrare_Linii'!J18),'Calibrare_Linii'!J18&lt;='Input_Meci'!G78)),"PASS",IF(X1026="CANDIDATE","OOS PENDING","FAIL"))))</x:f>
      </x:c>
      <x:c r="Z1026" s="2" t="str">
        <x:f>IF(B1026="","",IF(I1026&lt;&gt;"READY","",IF(OR(NOT(AND(J1026="PASS",'Calibrare_Linii'!U18="VALID")),L1026&gt;'Config_v6'!$B$13,W1026="WATCH"),5,IF(Y1026="PASS",1,MIN(5,MAX('Config_v6'!$B$42,U1026)+IF(W1026="PENALTY",1,0))))))</x:f>
      </x:c>
      <x:c r="AA1026" s="2" t="str">
        <x:f>IF(B1026="","",IF(I1026&lt;&gt;"READY","NOT RELEASED",IF(Z1026=5,"NO BET",IF(OR(AB1026&lt;'Config_v6'!$B$16,V1026&lt;'Config_v6'!$B$18),"WATCH",IF(Z1026=1,"DEFENSIV",IF(Z1026=2,"PRUDENT",IF(Z1026=3,"MODERAT","RIDICAT")))))))</x:f>
      </x:c>
      <x:c r="AB1026" s="10" t="str">
        <x:f>IF(N1026="","",MIN(N1026,1-S1026))</x:f>
      </x:c>
      <x:c r="AC1026" s="2" t="str">
        <x:f>IF(AD1026&lt;&gt;1,"",COUNTIFS($Z$1014:$Z$1027,"&lt;"&amp;Z1026,$AD$1014:$AD$1027,1)+COUNTIFS($Z$1014:$Z$1027,Z1026,$AB$1014:$AB$1027,"&gt;"&amp;AB1026,$AD$1014:$AD$1027,1)+COUNTIFS($Z$1014:$Z$1027,Z1026,$AB$1014:$AB$1027,AB1026,$V$1014:$V$1027,"&gt;"&amp;V1026,$AD$1014:$AD$1027,1)+COUNTIFS($Z$1014:Z1026,Z1026,$AB$1014:AB1026,AB1026,$V$1014:V1026,V1026,$AD$1014:AD1026,1))</x:f>
      </x:c>
      <x:c r="AD1026" s="2" t="n">
        <x:f>IF(OR(AA1026="DEFENSIV",AA1026="PRUDENT",AA1026="MODERAT",AA1026="RIDICAT"),1,0)</x:f>
        <x:v>0</x:v>
      </x:c>
      <x:c r="AE1026" s="2" t="str">
        <x:f>IF(AD1026&lt;&gt;1,"NO",IF(W1026="PASS","YES",IF(W1026="OOS PENDING","CONDITIONAL","NO")))</x:f>
        <x:v>NO</x:v>
      </x:c>
      <x:c r="AF1026" s="2" t="n">
        <x:f>IF(AND(AD1026=1,AC1026=1,E1026="LIVE"),1,0)</x:f>
        <x:v>0</x:v>
      </x:c>
      <x:c r="AG1026" s="2" t="str">
        <x:f>IF(AF1026&lt;&gt;1,"",'Dashboard'!P98)</x:f>
      </x:c>
      <x:c r="AH1026" s="2" t="str">
        <x:f>IF(B1026="","",IF(J1026&lt;&gt;"PASS",'Motor_Meciuri'!J78,IF('Calibrare_Linii'!U18&lt;&gt;"VALID","Parametri linie invalizi",IF(L1026&gt;'Config_v6'!$B$13,"Dispersie peste limita",IF(W1026="WATCH","Failure peste limita",IF(AB1026&lt;'Config_v6'!$B$16,"P finala sub prag",IF(V1026&lt;'Config_v6'!$B$18,"Confidence sub prag",IF(E1026="REPLAY","Exemplu retrospectiv; exclus din Top LIVE",IF(Y1026="PASS","DEFENSIV validat",IF(W1026="OOS PENDING","Eligibil; calibrare linie in monitorizare","Eligibil"))))))))))</x:f>
      </x:c>
      <x:c r="AI1026" s="2" t="str">
        <x:f>IF(B1026="","",'Calibrare_Linii'!V18)</x:f>
      </x:c>
      <x:c r="AJ1026" s="2" t="str">
        <x:f>IF(B1026="","",IF(AND('Calibrare_Linii'!T18="VALIDATED",AND('Calibrare_Linii'!H18=C1026,ISNUMBER('Calibrare_Linii'!J18),'Calibrare_Linii'!J18&lt;='Input_Meci'!G78)),"DEFENSIVE VALIDATED",IF(AND('Calibrare_Linii'!S18="VALIDATED",AND('Calibrare_Linii'!H18=C1026,ISNUMBER('Calibrare_Linii'!J18),'Calibrare_Linii'!J18&lt;='Input_Meci'!G78)),"TAIL VALIDATED","OOS PENDING")))</x:f>
      </x:c>
      <x:c r="AK1026" s="2" t="n">
        <x:f>IF(J1026&lt;&gt;"PASS",0,'Motor_Meciuri'!BR78)</x:f>
        <x:v>0</x:v>
      </x:c>
      <x:c r="AL1026" s="2" t="n">
        <x:f>IF(J1026&lt;&gt;"PASS",0,'Motor_Meciuri'!BS78)</x:f>
        <x:v>0</x:v>
      </x:c>
      <x:c r="AM1026" s="2" t="n">
        <x:f>IF(J1026&lt;&gt;"PASS",0,'Motor_Meciuri'!BT78)</x:f>
        <x:v>0</x:v>
      </x:c>
      <x:c r="AN1026" s="2" t="str">
        <x:f>IF(M1026="","",MAX(0,'Motor_Meciuri'!BF78-IF(L1026&gt;'Config_v6'!$B$12,'Config_v6'!$B$37,IF(L1026&gt;'Config_v6'!$B$11,'Config_v6'!$B$36,0))))</x:f>
      </x:c>
    </x:row>
    <x:row r="1027" ht="21" customHeight="1">
      <x:c r="A1027" s="2" t="n">
        <x:v>73</x:v>
      </x:c>
      <x:c r="B1027" s="2" t="str">
        <x:f>IF('Motor_Meciuri'!A78="","",'Motor_Meciuri'!A78)</x:f>
      </x:c>
      <x:c r="C1027" s="2" t="str">
        <x:f>IF(B1027="","",'Motor_Meciuri'!B78)</x:f>
      </x:c>
      <x:c r="D1027" s="2" t="str">
        <x:f>IF(B1027="","",'Motor_Meciuri'!D78)</x:f>
      </x:c>
      <x:c r="E1027" s="2" t="str">
        <x:f>IF(B1027="","",'Motor_Meciuri'!E78)</x:f>
      </x:c>
      <x:c r="F1027" s="2" t="str">
        <x:v>U17,5</x:v>
      </x:c>
      <x:c r="G1027" s="2" t="str">
        <x:v>UNDER</x:v>
      </x:c>
      <x:c r="H1027" s="2" t="n">
        <x:v>17</x:v>
      </x:c>
      <x:c r="I1027" s="2" t="str">
        <x:f>IF(B1027="","",'Motor_Meciuri'!H78)</x:f>
      </x:c>
      <x:c r="J1027" s="2" t="str">
        <x:f>IF(B1027="","",'Motor_Meciuri'!I78)</x:f>
      </x:c>
      <x:c r="K1027" s="11" t="str">
        <x:f>IF(J1027&lt;&gt;"PASS","",'Motor_Meciuri'!BD78)</x:f>
      </x:c>
      <x:c r="L1027" s="11" t="str">
        <x:f>IF(J1027&lt;&gt;"PASS","",'Motor_Meciuri'!AU78)</x:f>
      </x:c>
      <x:c r="M1027" s="10" t="str">
        <x:f>IF(NOT(AND(J1027="PASS",'Calibrare_Linii'!U19="VALID")),"",'Distributie'!AO78)</x:f>
      </x:c>
      <x:c r="N1027" s="10" t="str">
        <x:f>IF(M1027="","",MAX(0.01,MIN(0.99,0.5+(M1027-0.5)*'Motor_Meciuri'!BG78*'Calibrare_Linii'!D19)))</x:f>
      </x:c>
      <x:c r="O1027" s="10" t="str">
        <x:f>IF(M1027="","",1-M1027)</x:f>
      </x:c>
      <x:c r="P1027" s="10" t="str">
        <x:f>IF(OR(NOT(AND(J1027="PASS",'Calibrare_Linii'!U19="VALID")),AK1027=0),""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*('Istoric_Nativ'!$Q$6:$Q$405&gt;H1027))/AK1027)</x:f>
      </x:c>
      <x:c r="Q1027" s="10" t="str">
        <x:f>IF(OR(NOT(AND(J1027="PASS",'Calibrare_Linii'!U19="VALID")),AL1027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M78)+((('Istoric_Nativ'!$E$6:$E$405='Input_Meci'!E78)+('Istoric_Nativ'!$F$6:$F$405='Input_Meci'!E78))&gt;0)*('Istoric_Nativ'!$D$6:$D$405&gt;='Motor_Meciuri'!BN78))&gt;0)*('Istoric_Nativ'!$Q$6:$Q$405&gt;H1027))/AL1027)</x:f>
      </x:c>
      <x:c r="R1027" s="10" t="str">
        <x:f>IF(OR(NOT(AND(J1027="PASS",'Calibrare_Linii'!U19="VALID")),AM1027=0),""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'Motor_Meciuri'!BO78)+((('Istoric_Nativ'!$E$6:$E$405='Input_Meci'!E78)+('Istoric_Nativ'!$F$6:$F$405='Input_Meci'!E78))&gt;0)*('Istoric_Nativ'!$D$6:$D$405&gt;='Motor_Meciuri'!BP78))&gt;0)*('Istoric_Nativ'!$Q$6:$Q$405&gt;H1027))/AM1027)</x:f>
      </x:c>
      <x:c r="S1027" s="10" t="str">
        <x:f>IF(M1027="","",MAX(O1027,P1027,Q1027,R1027))</x:f>
      </x:c>
      <x:c r="T1027" s="11" t="str">
        <x:f>IF(M1027="","",MIN(100,S1027*100*'Config_v6'!$B$44+MIN(100,L1027/'Config_v6'!$B$13*100)*'Config_v6'!$B$45+(100-'Motor_Meciuri'!BF78)*'Config_v6'!$B$46+'Motor_Meciuri'!BH78*100*'Config_v6'!$B$47))</x:f>
      </x:c>
      <x:c r="U1027" s="2" t="str">
        <x:f>IF(T1027="","",IF(T1027&lt;=20,1,IF(T1027&lt;=40,2,IF(T1027&lt;=60,3,IF(T1027&lt;=80,4,5)))))</x:f>
      </x:c>
      <x:c r="V1027" s="2" t="str">
        <x:f>IF(M1027="","",MAX(0,'Motor_Meciuri'!BF78-IF(W1027="OOS PENDING",'Config_v6'!$B$35,0)-IF(L1027&gt;'Config_v6'!$B$12,'Config_v6'!$B$37,IF(L1027&gt;'Config_v6'!$B$11,'Config_v6'!$B$36,0))))</x:f>
      </x:c>
      <x:c r="W1027" s="2" t="str">
        <x:f>IF(B1027="","",IF(I1027&lt;&gt;"READY","NOT RELEASED",IF(NOT(AND(J1027="PASS",'Calibrare_Linii'!U19="VALID")),"INVALID",IF(NOT(AND('Calibrare_Linii'!S19="VALIDATED",AND('Calibrare_Linii'!H19=C1027,ISNUMBER('Calibrare_Linii'!J19),'Calibrare_Linii'!J19&lt;='Input_Meci'!G78))),"OOS PENDING",IF(S1027&lt;='Calibrare_Linii'!E19,"PASS",IF(S1027&lt;='Calibrare_Linii'!F19,"PENALTY","WATCH"))))))</x:f>
      </x:c>
      <x:c r="X1027" s="2" t="str">
        <x:f>IF(M1027="","",IF(AND(AND(J1027="PASS",'Calibrare_Linii'!U19="VALID"),'Motor_Meciuri'!K78=12,'Motor_Meciuri'!L78=12,'Motor_Meciuri'!M78="NO",'Motor_Meciuri'!BL78='Motor_Meciuri'!C78,AB1027&gt;='Config_v6'!$B$50,AN1027&gt;='Config_v6'!$B$51,T1027&lt;='Config_v6'!$B$52,L1027&lt;='Config_v6'!$B$53,ISNUMBER('Calibrare_Linii'!E19),S1027&lt;='Calibrare_Linii'!E19,SUM(AK1027:AM1027)&gt;0),"CANDIDATE","NO"))</x:f>
      </x:c>
      <x:c r="Y1027" s="2" t="str">
        <x:f>IF(B1027="","",IF(I1027&lt;&gt;"READY","NOT RELEASED",IF(AND(X1027="CANDIDATE",V1027&gt;='Config_v6'!$B$51,W1027="PASS",'Calibrare_Linii'!T19="VALIDATED",AND('Calibrare_Linii'!H19=C1027,ISNUMBER('Calibrare_Linii'!J19),'Calibrare_Linii'!J19&lt;='Input_Meci'!G78)),"PASS",IF(X1027="CANDIDATE","OOS PENDING","FAIL"))))</x:f>
      </x:c>
      <x:c r="Z1027" s="2" t="str">
        <x:f>IF(B1027="","",IF(I1027&lt;&gt;"READY","",IF(OR(NOT(AND(J1027="PASS",'Calibrare_Linii'!U19="VALID")),L1027&gt;'Config_v6'!$B$13,W1027="WATCH"),5,IF(Y1027="PASS",1,MIN(5,MAX('Config_v6'!$B$42,U1027)+IF(W1027="PENALTY",1,0))))))</x:f>
      </x:c>
      <x:c r="AA1027" s="2" t="str">
        <x:f>IF(B1027="","",IF(I1027&lt;&gt;"READY","NOT RELEASED",IF(Z1027=5,"NO BET",IF(OR(AB1027&lt;'Config_v6'!$B$16,V1027&lt;'Config_v6'!$B$18),"WATCH",IF(Z1027=1,"DEFENSIV",IF(Z1027=2,"PRUDENT",IF(Z1027=3,"MODERAT","RIDICAT")))))))</x:f>
      </x:c>
      <x:c r="AB1027" s="10" t="str">
        <x:f>IF(N1027="","",MIN(N1027,1-S1027))</x:f>
      </x:c>
      <x:c r="AC1027" s="2" t="str">
        <x:f>IF(AD1027&lt;&gt;1,"",COUNTIFS($Z$1014:$Z$1027,"&lt;"&amp;Z1027,$AD$1014:$AD$1027,1)+COUNTIFS($Z$1014:$Z$1027,Z1027,$AB$1014:$AB$1027,"&gt;"&amp;AB1027,$AD$1014:$AD$1027,1)+COUNTIFS($Z$1014:$Z$1027,Z1027,$AB$1014:$AB$1027,AB1027,$V$1014:$V$1027,"&gt;"&amp;V1027,$AD$1014:$AD$1027,1)+COUNTIFS($Z$1014:Z1027,Z1027,$AB$1014:AB1027,AB1027,$V$1014:V1027,V1027,$AD$1014:AD1027,1))</x:f>
      </x:c>
      <x:c r="AD1027" s="2" t="n">
        <x:f>IF(OR(AA1027="DEFENSIV",AA1027="PRUDENT",AA1027="MODERAT",AA1027="RIDICAT"),1,0)</x:f>
        <x:v>0</x:v>
      </x:c>
      <x:c r="AE1027" s="2" t="str">
        <x:f>IF(AD1027&lt;&gt;1,"NO",IF(W1027="PASS","YES",IF(W1027="OOS PENDING","CONDITIONAL","NO")))</x:f>
        <x:v>NO</x:v>
      </x:c>
      <x:c r="AF1027" s="2" t="n">
        <x:f>IF(AND(AD1027=1,AC1027=1,E1027="LIVE"),1,0)</x:f>
        <x:v>0</x:v>
      </x:c>
      <x:c r="AG1027" s="2" t="str">
        <x:f>IF(AF1027&lt;&gt;1,"",'Dashboard'!P98)</x:f>
      </x:c>
      <x:c r="AH1027" s="2" t="str">
        <x:f>IF(B1027="","",IF(J1027&lt;&gt;"PASS",'Motor_Meciuri'!J78,IF('Calibrare_Linii'!U19&lt;&gt;"VALID","Parametri linie invalizi",IF(L1027&gt;'Config_v6'!$B$13,"Dispersie peste limita",IF(W1027="WATCH","Failure peste limita",IF(AB1027&lt;'Config_v6'!$B$16,"P finala sub prag",IF(V1027&lt;'Config_v6'!$B$18,"Confidence sub prag",IF(E1027="REPLAY","Exemplu retrospectiv; exclus din Top LIVE",IF(Y1027="PASS","DEFENSIV validat",IF(W1027="OOS PENDING","Eligibil; calibrare linie in monitorizare","Eligibil"))))))))))</x:f>
      </x:c>
      <x:c r="AI1027" s="2" t="str">
        <x:f>IF(B1027="","",'Calibrare_Linii'!V19)</x:f>
      </x:c>
      <x:c r="AJ1027" s="2" t="str">
        <x:f>IF(B1027="","",IF(AND('Calibrare_Linii'!T19="VALIDATED",AND('Calibrare_Linii'!H19=C1027,ISNUMBER('Calibrare_Linii'!J19),'Calibrare_Linii'!J19&lt;='Input_Meci'!G78)),"DEFENSIVE VALIDATED",IF(AND('Calibrare_Linii'!S19="VALIDATED",AND('Calibrare_Linii'!H19=C1027,ISNUMBER('Calibrare_Linii'!J19),'Calibrare_Linii'!J19&lt;='Input_Meci'!G78)),"TAIL VALIDATED","OOS PENDING")))</x:f>
      </x:c>
      <x:c r="AK1027" s="2" t="n">
        <x:f>IF(J1027&lt;&gt;"PASS",0,'Motor_Meciuri'!BR78)</x:f>
        <x:v>0</x:v>
      </x:c>
      <x:c r="AL1027" s="2" t="n">
        <x:f>IF(J1027&lt;&gt;"PASS",0,'Motor_Meciuri'!BS78)</x:f>
        <x:v>0</x:v>
      </x:c>
      <x:c r="AM1027" s="2" t="n">
        <x:f>IF(J1027&lt;&gt;"PASS",0,'Motor_Meciuri'!BT78)</x:f>
        <x:v>0</x:v>
      </x:c>
      <x:c r="AN1027" s="2" t="str">
        <x:f>IF(M1027="","",MAX(0,'Motor_Meciuri'!BF78-IF(L1027&gt;'Config_v6'!$B$12,'Config_v6'!$B$37,IF(L1027&gt;'Config_v6'!$B$11,'Config_v6'!$B$36,0))))</x:f>
      </x:c>
    </x:row>
    <x:row r="1028" ht="21" customHeight="1">
      <x:c r="A1028" s="2" t="n">
        <x:v>74</x:v>
      </x:c>
      <x:c r="B1028" s="2" t="str">
        <x:f>IF('Motor_Meciuri'!A79="","",'Motor_Meciuri'!A79)</x:f>
      </x:c>
      <x:c r="C1028" s="2" t="str">
        <x:f>IF(B1028="","",'Motor_Meciuri'!B79)</x:f>
      </x:c>
      <x:c r="D1028" s="2" t="str">
        <x:f>IF(B1028="","",'Motor_Meciuri'!D79)</x:f>
      </x:c>
      <x:c r="E1028" s="2" t="str">
        <x:f>IF(B1028="","",'Motor_Meciuri'!E79)</x:f>
      </x:c>
      <x:c r="F1028" s="2" t="str">
        <x:v>O3,5</x:v>
      </x:c>
      <x:c r="G1028" s="2" t="str">
        <x:v>OVER</x:v>
      </x:c>
      <x:c r="H1028" s="2" t="n">
        <x:v>3</x:v>
      </x:c>
      <x:c r="I1028" s="2" t="str">
        <x:f>IF(B1028="","",'Motor_Meciuri'!H79)</x:f>
      </x:c>
      <x:c r="J1028" s="2" t="str">
        <x:f>IF(B1028="","",'Motor_Meciuri'!I79)</x:f>
      </x:c>
      <x:c r="K1028" s="11" t="str">
        <x:f>IF(J1028&lt;&gt;"PASS","",'Motor_Meciuri'!BD79)</x:f>
      </x:c>
      <x:c r="L1028" s="11" t="str">
        <x:f>IF(J1028&lt;&gt;"PASS","",'Motor_Meciuri'!AU79)</x:f>
      </x:c>
      <x:c r="M1028" s="10" t="str">
        <x:f>IF(NOT(AND(J1028="PASS",'Calibrare_Linii'!U6="VALID")),"",1-'Distributie'!AA79)</x:f>
      </x:c>
      <x:c r="N1028" s="10" t="str">
        <x:f>IF(M1028="","",MAX(0.01,MIN(0.99,0.5+(M1028-0.5)*'Motor_Meciuri'!BG79*'Calibrare_Linii'!D6)))</x:f>
      </x:c>
      <x:c r="O1028" s="10" t="str">
        <x:f>IF(M1028="","",1-M1028)</x:f>
      </x:c>
      <x:c r="P1028" s="10" t="str">
        <x:f>IF(OR(NOT(AND(J1028="PASS",'Calibrare_Linii'!U6="VALID")),AK1028=0),""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*('Istoric_Nativ'!$Q$6:$Q$405&lt;=H1028))/AK1028)</x:f>
      </x:c>
      <x:c r="Q1028" s="10" t="str">
        <x:f>IF(OR(NOT(AND(J1028="PASS",'Calibrare_Linii'!U6="VALID")),AL1028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M79)+((('Istoric_Nativ'!$E$6:$E$405='Input_Meci'!E79)+('Istoric_Nativ'!$F$6:$F$405='Input_Meci'!E79))&gt;0)*('Istoric_Nativ'!$D$6:$D$405&gt;='Motor_Meciuri'!BN79))&gt;0)*('Istoric_Nativ'!$Q$6:$Q$405&lt;=H1028))/AL1028)</x:f>
      </x:c>
      <x:c r="R1028" s="10" t="str">
        <x:f>IF(OR(NOT(AND(J1028="PASS",'Calibrare_Linii'!U6="VALID")),AM1028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O79)+((('Istoric_Nativ'!$E$6:$E$405='Input_Meci'!E79)+('Istoric_Nativ'!$F$6:$F$405='Input_Meci'!E79))&gt;0)*('Istoric_Nativ'!$D$6:$D$405&gt;='Motor_Meciuri'!BP79))&gt;0)*('Istoric_Nativ'!$Q$6:$Q$405&lt;=H1028))/AM1028)</x:f>
      </x:c>
      <x:c r="S1028" s="10" t="str">
        <x:f>IF(M1028="","",MAX(O1028,P1028,Q1028,R1028))</x:f>
      </x:c>
      <x:c r="T1028" s="11" t="str">
        <x:f>IF(M1028="","",MIN(100,S1028*100*'Config_v6'!$B$44+MIN(100,L1028/'Config_v6'!$B$13*100)*'Config_v6'!$B$45+(100-'Motor_Meciuri'!BF79)*'Config_v6'!$B$46+'Motor_Meciuri'!BH79*100*'Config_v6'!$B$47))</x:f>
      </x:c>
      <x:c r="U1028" s="2" t="str">
        <x:f>IF(T1028="","",IF(T1028&lt;=20,1,IF(T1028&lt;=40,2,IF(T1028&lt;=60,3,IF(T1028&lt;=80,4,5)))))</x:f>
      </x:c>
      <x:c r="V1028" s="2" t="str">
        <x:f>IF(M1028="","",MAX(0,'Motor_Meciuri'!BF79-IF(W1028="OOS PENDING",'Config_v6'!$B$35,0)-IF(L1028&gt;'Config_v6'!$B$12,'Config_v6'!$B$37,IF(L1028&gt;'Config_v6'!$B$11,'Config_v6'!$B$36,0))))</x:f>
      </x:c>
      <x:c r="W1028" s="2" t="str">
        <x:f>IF(B1028="","",IF(I1028&lt;&gt;"READY","NOT RELEASED",IF(NOT(AND(J1028="PASS",'Calibrare_Linii'!U6="VALID")),"INVALID",IF(NOT(TRUE),"OOS PENDING",IF(S1028&lt;=IF(AND('Calibrare_Linii'!S6="VALIDATED",AND('Calibrare_Linii'!H6=C1028,ISNUMBER('Calibrare_Linii'!J6),'Calibrare_Linii'!J6&lt;='Input_Meci'!G79)),'Calibrare_Linii'!E6,'Config_v6'!$B$26),"PASS",IF(S1028&lt;=IF(AND('Calibrare_Linii'!S6="VALIDATED",AND('Calibrare_Linii'!H6=C1028,ISNUMBER('Calibrare_Linii'!J6),'Calibrare_Linii'!J6&lt;='Input_Meci'!G79)),'Calibrare_Linii'!F6,'Config_v6'!$C$26),"PENALTY","WATCH"))))))</x:f>
      </x:c>
      <x:c r="X1028" s="2" t="str">
        <x:f>IF(M1028="","",IF(AND(AND(J1028="PASS",'Calibrare_Linii'!U6="VALID"),'Motor_Meciuri'!K79=12,'Motor_Meciuri'!L79=12,'Motor_Meciuri'!M79="NO",'Motor_Meciuri'!BL79='Motor_Meciuri'!C79,AB1028&gt;='Config_v6'!$B$50,AN1028&gt;='Config_v6'!$B$51,T1028&lt;='Config_v6'!$B$52,L1028&lt;='Config_v6'!$B$53,ISNUMBER('Calibrare_Linii'!E6),S1028&lt;='Calibrare_Linii'!E6,SUM(AK1028:AM1028)&gt;0),"CANDIDATE","NO"))</x:f>
      </x:c>
      <x:c r="Y1028" s="2" t="str">
        <x:f>IF(B1028="","",IF(I1028&lt;&gt;"READY","NOT RELEASED",IF(AND(X1028="CANDIDATE",V1028&gt;='Config_v6'!$B$51,W1028="PASS",'Calibrare_Linii'!T6="VALIDATED",AND('Calibrare_Linii'!H6=C1028,ISNUMBER('Calibrare_Linii'!J6),'Calibrare_Linii'!J6&lt;='Input_Meci'!G79)),"PASS",IF(X1028="CANDIDATE","OOS PENDING","FAIL"))))</x:f>
      </x:c>
      <x:c r="Z1028" s="2" t="str">
        <x:f>IF(B1028="","",IF(I1028&lt;&gt;"READY","",IF(OR(NOT(AND(J1028="PASS",'Calibrare_Linii'!U6="VALID")),L1028&gt;'Config_v6'!$B$13,W1028="WATCH"),5,IF(Y1028="PASS",1,MIN(5,MAX('Config_v6'!$B$42,U1028)+IF(W1028="PENALTY",1,0))))))</x:f>
      </x:c>
      <x:c r="AA1028" s="2" t="str">
        <x:f>IF(B1028="","",IF(I1028&lt;&gt;"READY","NOT RELEASED",IF(Z1028=5,"NO BET",IF(OR(AB1028&lt;'Config_v6'!$B$16,V1028&lt;'Config_v6'!$B$18),"WATCH",IF(Z1028=1,"DEFENSIV",IF(Z1028=2,"PRUDENT",IF(Z1028=3,"MODERAT","RIDICAT")))))))</x:f>
      </x:c>
      <x:c r="AB1028" s="10" t="str">
        <x:f>IF(N1028="","",MIN(N1028,1-S1028))</x:f>
      </x:c>
      <x:c r="AC1028" s="2" t="str">
        <x:f>IF(AD1028&lt;&gt;1,"",COUNTIFS($Z$1028:$Z$1041,"&lt;"&amp;Z1028,$AD$1028:$AD$1041,1)+COUNTIFS($Z$1028:$Z$1041,Z1028,$AB$1028:$AB$1041,"&gt;"&amp;AB1028,$AD$1028:$AD$1041,1)+COUNTIFS($Z$1028:$Z$1041,Z1028,$AB$1028:$AB$1041,AB1028,$V$1028:$V$1041,"&gt;"&amp;V1028,$AD$1028:$AD$1041,1)+COUNTIFS($Z$1028:Z1028,Z1028,$AB$1028:AB1028,AB1028,$V$1028:V1028,V1028,$AD$1028:AD1028,1))</x:f>
      </x:c>
      <x:c r="AD1028" s="2" t="n">
        <x:f>IF(OR(AA1028="DEFENSIV",AA1028="PRUDENT",AA1028="MODERAT",AA1028="RIDICAT"),1,0)</x:f>
        <x:v>0</x:v>
      </x:c>
      <x:c r="AE1028" s="2" t="str">
        <x:f>IF(AD1028&lt;&gt;1,"NO",IF(W1028="PASS","YES",IF(W1028="OOS PENDING","CONDITIONAL","NO")))</x:f>
        <x:v>NO</x:v>
      </x:c>
      <x:c r="AF1028" s="2" t="n">
        <x:f>IF(AND(AD1028=1,AC1028=1,E1028="LIVE"),1,0)</x:f>
        <x:v>0</x:v>
      </x:c>
      <x:c r="AG1028" s="2" t="str">
        <x:f>IF(AF1028&lt;&gt;1,"",'Dashboard'!P99)</x:f>
      </x:c>
      <x:c r="AH1028" s="2" t="str">
        <x:f>IF(B1028="","",IF(J1028&lt;&gt;"PASS",'Motor_Meciuri'!J79,IF('Calibrare_Linii'!U6&lt;&gt;"VALID","Parametri linie invalizi",IF(L1028&gt;'Config_v6'!$B$13,"Dispersie peste limita",IF(W1028="WATCH","Failure peste limita",IF(AB1028&lt;'Config_v6'!$B$16,"P finala sub prag",IF(V1028&lt;'Config_v6'!$B$18,"Confidence sub prag",IF(E1028="REPLAY","Exemplu retrospectiv; exclus din Top LIVE",IF(Y1028="PASS","DEFENSIV validat",IF(W1028="OOS PENDING","Eligibil; calibrare linie in monitorizare","Eligibil"))))))))))</x:f>
      </x:c>
      <x:c r="AI1028" s="2" t="str">
        <x:f>IF(B1028="","",'Calibrare_Linii'!V6)</x:f>
      </x:c>
      <x:c r="AJ1028" s="2" t="str">
        <x:f>IF(B1028="","",IF(AND('Calibrare_Linii'!T6="VALIDATED",AND('Calibrare_Linii'!H6=C1028,ISNUMBER('Calibrare_Linii'!J6),'Calibrare_Linii'!J6&lt;='Input_Meci'!G79)),"DEFENSIVE VALIDATED",IF(AND('Calibrare_Linii'!S6="VALIDATED",AND('Calibrare_Linii'!H6=C1028,ISNUMBER('Calibrare_Linii'!J6),'Calibrare_Linii'!J6&lt;='Input_Meci'!G79)),"TAIL VALIDATED","OOS PENDING")))</x:f>
      </x:c>
      <x:c r="AK1028" s="2" t="n">
        <x:f>IF(J1028&lt;&gt;"PASS",0,'Motor_Meciuri'!BR79)</x:f>
        <x:v>0</x:v>
      </x:c>
      <x:c r="AL1028" s="2" t="n">
        <x:f>IF(J1028&lt;&gt;"PASS",0,'Motor_Meciuri'!BS79)</x:f>
        <x:v>0</x:v>
      </x:c>
      <x:c r="AM1028" s="2" t="n">
        <x:f>IF(J1028&lt;&gt;"PASS",0,'Motor_Meciuri'!BT79)</x:f>
        <x:v>0</x:v>
      </x:c>
      <x:c r="AN1028" s="2" t="str">
        <x:f>IF(M1028="","",MAX(0,'Motor_Meciuri'!BF79-IF(L1028&gt;'Config_v6'!$B$12,'Config_v6'!$B$37,IF(L1028&gt;'Config_v6'!$B$11,'Config_v6'!$B$36,0))))</x:f>
      </x:c>
    </x:row>
    <x:row r="1029" ht="21" customHeight="1">
      <x:c r="A1029" s="2" t="n">
        <x:v>74</x:v>
      </x:c>
      <x:c r="B1029" s="2" t="str">
        <x:f>IF('Motor_Meciuri'!A79="","",'Motor_Meciuri'!A79)</x:f>
      </x:c>
      <x:c r="C1029" s="2" t="str">
        <x:f>IF(B1029="","",'Motor_Meciuri'!B79)</x:f>
      </x:c>
      <x:c r="D1029" s="2" t="str">
        <x:f>IF(B1029="","",'Motor_Meciuri'!D79)</x:f>
      </x:c>
      <x:c r="E1029" s="2" t="str">
        <x:f>IF(B1029="","",'Motor_Meciuri'!E79)</x:f>
      </x:c>
      <x:c r="F1029" s="2" t="str">
        <x:v>O4,5</x:v>
      </x:c>
      <x:c r="G1029" s="2" t="str">
        <x:v>OVER</x:v>
      </x:c>
      <x:c r="H1029" s="2" t="n">
        <x:v>4</x:v>
      </x:c>
      <x:c r="I1029" s="2" t="str">
        <x:f>IF(B1029="","",'Motor_Meciuri'!H79)</x:f>
      </x:c>
      <x:c r="J1029" s="2" t="str">
        <x:f>IF(B1029="","",'Motor_Meciuri'!I79)</x:f>
      </x:c>
      <x:c r="K1029" s="11" t="str">
        <x:f>IF(J1029&lt;&gt;"PASS","",'Motor_Meciuri'!BD79)</x:f>
      </x:c>
      <x:c r="L1029" s="11" t="str">
        <x:f>IF(J1029&lt;&gt;"PASS","",'Motor_Meciuri'!AU79)</x:f>
      </x:c>
      <x:c r="M1029" s="10" t="str">
        <x:f>IF(NOT(AND(J1029="PASS",'Calibrare_Linii'!U7="VALID")),"",1-'Distributie'!AB79)</x:f>
      </x:c>
      <x:c r="N1029" s="10" t="str">
        <x:f>IF(M1029="","",MAX(0.01,MIN(0.99,0.5+(M1029-0.5)*'Motor_Meciuri'!BG79*'Calibrare_Linii'!D7)))</x:f>
      </x:c>
      <x:c r="O1029" s="10" t="str">
        <x:f>IF(M1029="","",1-M1029)</x:f>
      </x:c>
      <x:c r="P1029" s="10" t="str">
        <x:f>IF(OR(NOT(AND(J1029="PASS",'Calibrare_Linii'!U7="VALID")),AK1029=0),""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*('Istoric_Nativ'!$Q$6:$Q$405&lt;=H1029))/AK1029)</x:f>
      </x:c>
      <x:c r="Q1029" s="10" t="str">
        <x:f>IF(OR(NOT(AND(J1029="PASS",'Calibrare_Linii'!U7="VALID")),AL1029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M79)+((('Istoric_Nativ'!$E$6:$E$405='Input_Meci'!E79)+('Istoric_Nativ'!$F$6:$F$405='Input_Meci'!E79))&gt;0)*('Istoric_Nativ'!$D$6:$D$405&gt;='Motor_Meciuri'!BN79))&gt;0)*('Istoric_Nativ'!$Q$6:$Q$405&lt;=H1029))/AL1029)</x:f>
      </x:c>
      <x:c r="R1029" s="10" t="str">
        <x:f>IF(OR(NOT(AND(J1029="PASS",'Calibrare_Linii'!U7="VALID")),AM1029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O79)+((('Istoric_Nativ'!$E$6:$E$405='Input_Meci'!E79)+('Istoric_Nativ'!$F$6:$F$405='Input_Meci'!E79))&gt;0)*('Istoric_Nativ'!$D$6:$D$405&gt;='Motor_Meciuri'!BP79))&gt;0)*('Istoric_Nativ'!$Q$6:$Q$405&lt;=H1029))/AM1029)</x:f>
      </x:c>
      <x:c r="S1029" s="10" t="str">
        <x:f>IF(M1029="","",MAX(O1029,P1029,Q1029,R1029))</x:f>
      </x:c>
      <x:c r="T1029" s="11" t="str">
        <x:f>IF(M1029="","",MIN(100,S1029*100*'Config_v6'!$B$44+MIN(100,L1029/'Config_v6'!$B$13*100)*'Config_v6'!$B$45+(100-'Motor_Meciuri'!BF79)*'Config_v6'!$B$46+'Motor_Meciuri'!BH79*100*'Config_v6'!$B$47))</x:f>
      </x:c>
      <x:c r="U1029" s="2" t="str">
        <x:f>IF(T1029="","",IF(T1029&lt;=20,1,IF(T1029&lt;=40,2,IF(T1029&lt;=60,3,IF(T1029&lt;=80,4,5)))))</x:f>
      </x:c>
      <x:c r="V1029" s="2" t="str">
        <x:f>IF(M1029="","",MAX(0,'Motor_Meciuri'!BF79-IF(W1029="OOS PENDING",'Config_v6'!$B$35,0)-IF(L1029&gt;'Config_v6'!$B$12,'Config_v6'!$B$37,IF(L1029&gt;'Config_v6'!$B$11,'Config_v6'!$B$36,0))))</x:f>
      </x:c>
      <x:c r="W1029" s="2" t="str">
        <x:f>IF(B1029="","",IF(I1029&lt;&gt;"READY","NOT RELEASED",IF(NOT(AND(J1029="PASS",'Calibrare_Linii'!U7="VALID")),"INVALID",IF(NOT(AND('Calibrare_Linii'!S7="VALIDATED",AND('Calibrare_Linii'!H7=C1029,ISNUMBER('Calibrare_Linii'!J7),'Calibrare_Linii'!J7&lt;='Input_Meci'!G79))),"OOS PENDING",IF(S1029&lt;='Calibrare_Linii'!E7,"PASS",IF(S1029&lt;='Calibrare_Linii'!F7,"PENALTY","WATCH"))))))</x:f>
      </x:c>
      <x:c r="X1029" s="2" t="str">
        <x:f>IF(M1029="","",IF(AND(AND(J1029="PASS",'Calibrare_Linii'!U7="VALID"),'Motor_Meciuri'!K79=12,'Motor_Meciuri'!L79=12,'Motor_Meciuri'!M79="NO",'Motor_Meciuri'!BL79='Motor_Meciuri'!C79,AB1029&gt;='Config_v6'!$B$50,AN1029&gt;='Config_v6'!$B$51,T1029&lt;='Config_v6'!$B$52,L1029&lt;='Config_v6'!$B$53,ISNUMBER('Calibrare_Linii'!E7),S1029&lt;='Calibrare_Linii'!E7,SUM(AK1029:AM1029)&gt;0),"CANDIDATE","NO"))</x:f>
      </x:c>
      <x:c r="Y1029" s="2" t="str">
        <x:f>IF(B1029="","",IF(I1029&lt;&gt;"READY","NOT RELEASED",IF(AND(X1029="CANDIDATE",V1029&gt;='Config_v6'!$B$51,W1029="PASS",'Calibrare_Linii'!T7="VALIDATED",AND('Calibrare_Linii'!H7=C1029,ISNUMBER('Calibrare_Linii'!J7),'Calibrare_Linii'!J7&lt;='Input_Meci'!G79)),"PASS",IF(X1029="CANDIDATE","OOS PENDING","FAIL"))))</x:f>
      </x:c>
      <x:c r="Z1029" s="2" t="str">
        <x:f>IF(B1029="","",IF(I1029&lt;&gt;"READY","",IF(OR(NOT(AND(J1029="PASS",'Calibrare_Linii'!U7="VALID")),L1029&gt;'Config_v6'!$B$13,W1029="WATCH"),5,IF(Y1029="PASS",1,MIN(5,MAX('Config_v6'!$B$42,U1029)+IF(W1029="PENALTY",1,0))))))</x:f>
      </x:c>
      <x:c r="AA1029" s="2" t="str">
        <x:f>IF(B1029="","",IF(I1029&lt;&gt;"READY","NOT RELEASED",IF(Z1029=5,"NO BET",IF(OR(AB1029&lt;'Config_v6'!$B$16,V1029&lt;'Config_v6'!$B$18),"WATCH",IF(Z1029=1,"DEFENSIV",IF(Z1029=2,"PRUDENT",IF(Z1029=3,"MODERAT","RIDICAT")))))))</x:f>
      </x:c>
      <x:c r="AB1029" s="10" t="str">
        <x:f>IF(N1029="","",MIN(N1029,1-S1029))</x:f>
      </x:c>
      <x:c r="AC1029" s="2" t="str">
        <x:f>IF(AD1029&lt;&gt;1,"",COUNTIFS($Z$1028:$Z$1041,"&lt;"&amp;Z1029,$AD$1028:$AD$1041,1)+COUNTIFS($Z$1028:$Z$1041,Z1029,$AB$1028:$AB$1041,"&gt;"&amp;AB1029,$AD$1028:$AD$1041,1)+COUNTIFS($Z$1028:$Z$1041,Z1029,$AB$1028:$AB$1041,AB1029,$V$1028:$V$1041,"&gt;"&amp;V1029,$AD$1028:$AD$1041,1)+COUNTIFS($Z$1028:Z1029,Z1029,$AB$1028:AB1029,AB1029,$V$1028:V1029,V1029,$AD$1028:AD1029,1))</x:f>
      </x:c>
      <x:c r="AD1029" s="2" t="n">
        <x:f>IF(OR(AA1029="DEFENSIV",AA1029="PRUDENT",AA1029="MODERAT",AA1029="RIDICAT"),1,0)</x:f>
        <x:v>0</x:v>
      </x:c>
      <x:c r="AE1029" s="2" t="str">
        <x:f>IF(AD1029&lt;&gt;1,"NO",IF(W1029="PASS","YES",IF(W1029="OOS PENDING","CONDITIONAL","NO")))</x:f>
        <x:v>NO</x:v>
      </x:c>
      <x:c r="AF1029" s="2" t="n">
        <x:f>IF(AND(AD1029=1,AC1029=1,E1029="LIVE"),1,0)</x:f>
        <x:v>0</x:v>
      </x:c>
      <x:c r="AG1029" s="2" t="str">
        <x:f>IF(AF1029&lt;&gt;1,"",'Dashboard'!P99)</x:f>
      </x:c>
      <x:c r="AH1029" s="2" t="str">
        <x:f>IF(B1029="","",IF(J1029&lt;&gt;"PASS",'Motor_Meciuri'!J79,IF('Calibrare_Linii'!U7&lt;&gt;"VALID","Parametri linie invalizi",IF(L1029&gt;'Config_v6'!$B$13,"Dispersie peste limita",IF(W1029="WATCH","Failure peste limita",IF(AB1029&lt;'Config_v6'!$B$16,"P finala sub prag",IF(V1029&lt;'Config_v6'!$B$18,"Confidence sub prag",IF(E1029="REPLAY","Exemplu retrospectiv; exclus din Top LIVE",IF(Y1029="PASS","DEFENSIV validat",IF(W1029="OOS PENDING","Eligibil; calibrare linie in monitorizare","Eligibil"))))))))))</x:f>
      </x:c>
      <x:c r="AI1029" s="2" t="str">
        <x:f>IF(B1029="","",'Calibrare_Linii'!V7)</x:f>
      </x:c>
      <x:c r="AJ1029" s="2" t="str">
        <x:f>IF(B1029="","",IF(AND('Calibrare_Linii'!T7="VALIDATED",AND('Calibrare_Linii'!H7=C1029,ISNUMBER('Calibrare_Linii'!J7),'Calibrare_Linii'!J7&lt;='Input_Meci'!G79)),"DEFENSIVE VALIDATED",IF(AND('Calibrare_Linii'!S7="VALIDATED",AND('Calibrare_Linii'!H7=C1029,ISNUMBER('Calibrare_Linii'!J7),'Calibrare_Linii'!J7&lt;='Input_Meci'!G79)),"TAIL VALIDATED","OOS PENDING")))</x:f>
      </x:c>
      <x:c r="AK1029" s="2" t="n">
        <x:f>IF(J1029&lt;&gt;"PASS",0,'Motor_Meciuri'!BR79)</x:f>
        <x:v>0</x:v>
      </x:c>
      <x:c r="AL1029" s="2" t="n">
        <x:f>IF(J1029&lt;&gt;"PASS",0,'Motor_Meciuri'!BS79)</x:f>
        <x:v>0</x:v>
      </x:c>
      <x:c r="AM1029" s="2" t="n">
        <x:f>IF(J1029&lt;&gt;"PASS",0,'Motor_Meciuri'!BT79)</x:f>
        <x:v>0</x:v>
      </x:c>
      <x:c r="AN1029" s="2" t="str">
        <x:f>IF(M1029="","",MAX(0,'Motor_Meciuri'!BF79-IF(L1029&gt;'Config_v6'!$B$12,'Config_v6'!$B$37,IF(L1029&gt;'Config_v6'!$B$11,'Config_v6'!$B$36,0))))</x:f>
      </x:c>
    </x:row>
    <x:row r="1030" ht="21" customHeight="1">
      <x:c r="A1030" s="2" t="n">
        <x:v>74</x:v>
      </x:c>
      <x:c r="B1030" s="2" t="str">
        <x:f>IF('Motor_Meciuri'!A79="","",'Motor_Meciuri'!A79)</x:f>
      </x:c>
      <x:c r="C1030" s="2" t="str">
        <x:f>IF(B1030="","",'Motor_Meciuri'!B79)</x:f>
      </x:c>
      <x:c r="D1030" s="2" t="str">
        <x:f>IF(B1030="","",'Motor_Meciuri'!D79)</x:f>
      </x:c>
      <x:c r="E1030" s="2" t="str">
        <x:f>IF(B1030="","",'Motor_Meciuri'!E79)</x:f>
      </x:c>
      <x:c r="F1030" s="2" t="str">
        <x:v>O5,5</x:v>
      </x:c>
      <x:c r="G1030" s="2" t="str">
        <x:v>OVER</x:v>
      </x:c>
      <x:c r="H1030" s="2" t="n">
        <x:v>5</x:v>
      </x:c>
      <x:c r="I1030" s="2" t="str">
        <x:f>IF(B1030="","",'Motor_Meciuri'!H79)</x:f>
      </x:c>
      <x:c r="J1030" s="2" t="str">
        <x:f>IF(B1030="","",'Motor_Meciuri'!I79)</x:f>
      </x:c>
      <x:c r="K1030" s="11" t="str">
        <x:f>IF(J1030&lt;&gt;"PASS","",'Motor_Meciuri'!BD79)</x:f>
      </x:c>
      <x:c r="L1030" s="11" t="str">
        <x:f>IF(J1030&lt;&gt;"PASS","",'Motor_Meciuri'!AU79)</x:f>
      </x:c>
      <x:c r="M1030" s="10" t="str">
        <x:f>IF(NOT(AND(J1030="PASS",'Calibrare_Linii'!U8="VALID")),"",1-'Distributie'!AC79)</x:f>
      </x:c>
      <x:c r="N1030" s="10" t="str">
        <x:f>IF(M1030="","",MAX(0.01,MIN(0.99,0.5+(M1030-0.5)*'Motor_Meciuri'!BG79*'Calibrare_Linii'!D8)))</x:f>
      </x:c>
      <x:c r="O1030" s="10" t="str">
        <x:f>IF(M1030="","",1-M1030)</x:f>
      </x:c>
      <x:c r="P1030" s="10" t="str">
        <x:f>IF(OR(NOT(AND(J1030="PASS",'Calibrare_Linii'!U8="VALID")),AK1030=0),""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*('Istoric_Nativ'!$Q$6:$Q$405&lt;=H1030))/AK1030)</x:f>
      </x:c>
      <x:c r="Q1030" s="10" t="str">
        <x:f>IF(OR(NOT(AND(J1030="PASS",'Calibrare_Linii'!U8="VALID")),AL1030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M79)+((('Istoric_Nativ'!$E$6:$E$405='Input_Meci'!E79)+('Istoric_Nativ'!$F$6:$F$405='Input_Meci'!E79))&gt;0)*('Istoric_Nativ'!$D$6:$D$405&gt;='Motor_Meciuri'!BN79))&gt;0)*('Istoric_Nativ'!$Q$6:$Q$405&lt;=H1030))/AL1030)</x:f>
      </x:c>
      <x:c r="R1030" s="10" t="str">
        <x:f>IF(OR(NOT(AND(J1030="PASS",'Calibrare_Linii'!U8="VALID")),AM1030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O79)+((('Istoric_Nativ'!$E$6:$E$405='Input_Meci'!E79)+('Istoric_Nativ'!$F$6:$F$405='Input_Meci'!E79))&gt;0)*('Istoric_Nativ'!$D$6:$D$405&gt;='Motor_Meciuri'!BP79))&gt;0)*('Istoric_Nativ'!$Q$6:$Q$405&lt;=H1030))/AM1030)</x:f>
      </x:c>
      <x:c r="S1030" s="10" t="str">
        <x:f>IF(M1030="","",MAX(O1030,P1030,Q1030,R1030))</x:f>
      </x:c>
      <x:c r="T1030" s="11" t="str">
        <x:f>IF(M1030="","",MIN(100,S1030*100*'Config_v6'!$B$44+MIN(100,L1030/'Config_v6'!$B$13*100)*'Config_v6'!$B$45+(100-'Motor_Meciuri'!BF79)*'Config_v6'!$B$46+'Motor_Meciuri'!BH79*100*'Config_v6'!$B$47))</x:f>
      </x:c>
      <x:c r="U1030" s="2" t="str">
        <x:f>IF(T1030="","",IF(T1030&lt;=20,1,IF(T1030&lt;=40,2,IF(T1030&lt;=60,3,IF(T1030&lt;=80,4,5)))))</x:f>
      </x:c>
      <x:c r="V1030" s="2" t="str">
        <x:f>IF(M1030="","",MAX(0,'Motor_Meciuri'!BF79-IF(W1030="OOS PENDING",'Config_v6'!$B$35,0)-IF(L1030&gt;'Config_v6'!$B$12,'Config_v6'!$B$37,IF(L1030&gt;'Config_v6'!$B$11,'Config_v6'!$B$36,0))))</x:f>
      </x:c>
      <x:c r="W1030" s="2" t="str">
        <x:f>IF(B1030="","",IF(I1030&lt;&gt;"READY","NOT RELEASED",IF(NOT(AND(J1030="PASS",'Calibrare_Linii'!U8="VALID")),"INVALID",IF(NOT(AND('Calibrare_Linii'!S8="VALIDATED",AND('Calibrare_Linii'!H8=C1030,ISNUMBER('Calibrare_Linii'!J8),'Calibrare_Linii'!J8&lt;='Input_Meci'!G79))),"OOS PENDING",IF(S1030&lt;='Calibrare_Linii'!E8,"PASS",IF(S1030&lt;='Calibrare_Linii'!F8,"PENALTY","WATCH"))))))</x:f>
      </x:c>
      <x:c r="X1030" s="2" t="str">
        <x:f>IF(M1030="","",IF(AND(AND(J1030="PASS",'Calibrare_Linii'!U8="VALID"),'Motor_Meciuri'!K79=12,'Motor_Meciuri'!L79=12,'Motor_Meciuri'!M79="NO",'Motor_Meciuri'!BL79='Motor_Meciuri'!C79,AB1030&gt;='Config_v6'!$B$50,AN1030&gt;='Config_v6'!$B$51,T1030&lt;='Config_v6'!$B$52,L1030&lt;='Config_v6'!$B$53,ISNUMBER('Calibrare_Linii'!E8),S1030&lt;='Calibrare_Linii'!E8,SUM(AK1030:AM1030)&gt;0),"CANDIDATE","NO"))</x:f>
      </x:c>
      <x:c r="Y1030" s="2" t="str">
        <x:f>IF(B1030="","",IF(I1030&lt;&gt;"READY","NOT RELEASED",IF(AND(X1030="CANDIDATE",V1030&gt;='Config_v6'!$B$51,W1030="PASS",'Calibrare_Linii'!T8="VALIDATED",AND('Calibrare_Linii'!H8=C1030,ISNUMBER('Calibrare_Linii'!J8),'Calibrare_Linii'!J8&lt;='Input_Meci'!G79)),"PASS",IF(X1030="CANDIDATE","OOS PENDING","FAIL"))))</x:f>
      </x:c>
      <x:c r="Z1030" s="2" t="str">
        <x:f>IF(B1030="","",IF(I1030&lt;&gt;"READY","",IF(OR(NOT(AND(J1030="PASS",'Calibrare_Linii'!U8="VALID")),L1030&gt;'Config_v6'!$B$13,W1030="WATCH"),5,IF(Y1030="PASS",1,MIN(5,MAX('Config_v6'!$B$42,U1030)+IF(W1030="PENALTY",1,0))))))</x:f>
      </x:c>
      <x:c r="AA1030" s="2" t="str">
        <x:f>IF(B1030="","",IF(I1030&lt;&gt;"READY","NOT RELEASED",IF(Z1030=5,"NO BET",IF(OR(AB1030&lt;'Config_v6'!$B$16,V1030&lt;'Config_v6'!$B$18),"WATCH",IF(Z1030=1,"DEFENSIV",IF(Z1030=2,"PRUDENT",IF(Z1030=3,"MODERAT","RIDICAT")))))))</x:f>
      </x:c>
      <x:c r="AB1030" s="10" t="str">
        <x:f>IF(N1030="","",MIN(N1030,1-S1030))</x:f>
      </x:c>
      <x:c r="AC1030" s="2" t="str">
        <x:f>IF(AD1030&lt;&gt;1,"",COUNTIFS($Z$1028:$Z$1041,"&lt;"&amp;Z1030,$AD$1028:$AD$1041,1)+COUNTIFS($Z$1028:$Z$1041,Z1030,$AB$1028:$AB$1041,"&gt;"&amp;AB1030,$AD$1028:$AD$1041,1)+COUNTIFS($Z$1028:$Z$1041,Z1030,$AB$1028:$AB$1041,AB1030,$V$1028:$V$1041,"&gt;"&amp;V1030,$AD$1028:$AD$1041,1)+COUNTIFS($Z$1028:Z1030,Z1030,$AB$1028:AB1030,AB1030,$V$1028:V1030,V1030,$AD$1028:AD1030,1))</x:f>
      </x:c>
      <x:c r="AD1030" s="2" t="n">
        <x:f>IF(OR(AA1030="DEFENSIV",AA1030="PRUDENT",AA1030="MODERAT",AA1030="RIDICAT"),1,0)</x:f>
        <x:v>0</x:v>
      </x:c>
      <x:c r="AE1030" s="2" t="str">
        <x:f>IF(AD1030&lt;&gt;1,"NO",IF(W1030="PASS","YES",IF(W1030="OOS PENDING","CONDITIONAL","NO")))</x:f>
        <x:v>NO</x:v>
      </x:c>
      <x:c r="AF1030" s="2" t="n">
        <x:f>IF(AND(AD1030=1,AC1030=1,E1030="LIVE"),1,0)</x:f>
        <x:v>0</x:v>
      </x:c>
      <x:c r="AG1030" s="2" t="str">
        <x:f>IF(AF1030&lt;&gt;1,"",'Dashboard'!P99)</x:f>
      </x:c>
      <x:c r="AH1030" s="2" t="str">
        <x:f>IF(B1030="","",IF(J1030&lt;&gt;"PASS",'Motor_Meciuri'!J79,IF('Calibrare_Linii'!U8&lt;&gt;"VALID","Parametri linie invalizi",IF(L1030&gt;'Config_v6'!$B$13,"Dispersie peste limita",IF(W1030="WATCH","Failure peste limita",IF(AB1030&lt;'Config_v6'!$B$16,"P finala sub prag",IF(V1030&lt;'Config_v6'!$B$18,"Confidence sub prag",IF(E1030="REPLAY","Exemplu retrospectiv; exclus din Top LIVE",IF(Y1030="PASS","DEFENSIV validat",IF(W1030="OOS PENDING","Eligibil; calibrare linie in monitorizare","Eligibil"))))))))))</x:f>
      </x:c>
      <x:c r="AI1030" s="2" t="str">
        <x:f>IF(B1030="","",'Calibrare_Linii'!V8)</x:f>
      </x:c>
      <x:c r="AJ1030" s="2" t="str">
        <x:f>IF(B1030="","",IF(AND('Calibrare_Linii'!T8="VALIDATED",AND('Calibrare_Linii'!H8=C1030,ISNUMBER('Calibrare_Linii'!J8),'Calibrare_Linii'!J8&lt;='Input_Meci'!G79)),"DEFENSIVE VALIDATED",IF(AND('Calibrare_Linii'!S8="VALIDATED",AND('Calibrare_Linii'!H8=C1030,ISNUMBER('Calibrare_Linii'!J8),'Calibrare_Linii'!J8&lt;='Input_Meci'!G79)),"TAIL VALIDATED","OOS PENDING")))</x:f>
      </x:c>
      <x:c r="AK1030" s="2" t="n">
        <x:f>IF(J1030&lt;&gt;"PASS",0,'Motor_Meciuri'!BR79)</x:f>
        <x:v>0</x:v>
      </x:c>
      <x:c r="AL1030" s="2" t="n">
        <x:f>IF(J1030&lt;&gt;"PASS",0,'Motor_Meciuri'!BS79)</x:f>
        <x:v>0</x:v>
      </x:c>
      <x:c r="AM1030" s="2" t="n">
        <x:f>IF(J1030&lt;&gt;"PASS",0,'Motor_Meciuri'!BT79)</x:f>
        <x:v>0</x:v>
      </x:c>
      <x:c r="AN1030" s="2" t="str">
        <x:f>IF(M1030="","",MAX(0,'Motor_Meciuri'!BF79-IF(L1030&gt;'Config_v6'!$B$12,'Config_v6'!$B$37,IF(L1030&gt;'Config_v6'!$B$11,'Config_v6'!$B$36,0))))</x:f>
      </x:c>
    </x:row>
    <x:row r="1031" ht="21" customHeight="1">
      <x:c r="A1031" s="2" t="n">
        <x:v>74</x:v>
      </x:c>
      <x:c r="B1031" s="2" t="str">
        <x:f>IF('Motor_Meciuri'!A79="","",'Motor_Meciuri'!A79)</x:f>
      </x:c>
      <x:c r="C1031" s="2" t="str">
        <x:f>IF(B1031="","",'Motor_Meciuri'!B79)</x:f>
      </x:c>
      <x:c r="D1031" s="2" t="str">
        <x:f>IF(B1031="","",'Motor_Meciuri'!D79)</x:f>
      </x:c>
      <x:c r="E1031" s="2" t="str">
        <x:f>IF(B1031="","",'Motor_Meciuri'!E79)</x:f>
      </x:c>
      <x:c r="F1031" s="2" t="str">
        <x:v>O6,5</x:v>
      </x:c>
      <x:c r="G1031" s="2" t="str">
        <x:v>OVER</x:v>
      </x:c>
      <x:c r="H1031" s="2" t="n">
        <x:v>6</x:v>
      </x:c>
      <x:c r="I1031" s="2" t="str">
        <x:f>IF(B1031="","",'Motor_Meciuri'!H79)</x:f>
      </x:c>
      <x:c r="J1031" s="2" t="str">
        <x:f>IF(B1031="","",'Motor_Meciuri'!I79)</x:f>
      </x:c>
      <x:c r="K1031" s="11" t="str">
        <x:f>IF(J1031&lt;&gt;"PASS","",'Motor_Meciuri'!BD79)</x:f>
      </x:c>
      <x:c r="L1031" s="11" t="str">
        <x:f>IF(J1031&lt;&gt;"PASS","",'Motor_Meciuri'!AU79)</x:f>
      </x:c>
      <x:c r="M1031" s="10" t="str">
        <x:f>IF(NOT(AND(J1031="PASS",'Calibrare_Linii'!U9="VALID")),"",1-'Distributie'!AD79)</x:f>
      </x:c>
      <x:c r="N1031" s="10" t="str">
        <x:f>IF(M1031="","",MAX(0.01,MIN(0.99,0.5+(M1031-0.5)*'Motor_Meciuri'!BG79*'Calibrare_Linii'!D9)))</x:f>
      </x:c>
      <x:c r="O1031" s="10" t="str">
        <x:f>IF(M1031="","",1-M1031)</x:f>
      </x:c>
      <x:c r="P1031" s="10" t="str">
        <x:f>IF(OR(NOT(AND(J1031="PASS",'Calibrare_Linii'!U9="VALID")),AK1031=0),""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*('Istoric_Nativ'!$Q$6:$Q$405&lt;=H1031))/AK1031)</x:f>
      </x:c>
      <x:c r="Q1031" s="10" t="str">
        <x:f>IF(OR(NOT(AND(J1031="PASS",'Calibrare_Linii'!U9="VALID")),AL1031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M79)+((('Istoric_Nativ'!$E$6:$E$405='Input_Meci'!E79)+('Istoric_Nativ'!$F$6:$F$405='Input_Meci'!E79))&gt;0)*('Istoric_Nativ'!$D$6:$D$405&gt;='Motor_Meciuri'!BN79))&gt;0)*('Istoric_Nativ'!$Q$6:$Q$405&lt;=H1031))/AL1031)</x:f>
      </x:c>
      <x:c r="R1031" s="10" t="str">
        <x:f>IF(OR(NOT(AND(J1031="PASS",'Calibrare_Linii'!U9="VALID")),AM1031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O79)+((('Istoric_Nativ'!$E$6:$E$405='Input_Meci'!E79)+('Istoric_Nativ'!$F$6:$F$405='Input_Meci'!E79))&gt;0)*('Istoric_Nativ'!$D$6:$D$405&gt;='Motor_Meciuri'!BP79))&gt;0)*('Istoric_Nativ'!$Q$6:$Q$405&lt;=H1031))/AM1031)</x:f>
      </x:c>
      <x:c r="S1031" s="10" t="str">
        <x:f>IF(M1031="","",MAX(O1031,P1031,Q1031,R1031))</x:f>
      </x:c>
      <x:c r="T1031" s="11" t="str">
        <x:f>IF(M1031="","",MIN(100,S1031*100*'Config_v6'!$B$44+MIN(100,L1031/'Config_v6'!$B$13*100)*'Config_v6'!$B$45+(100-'Motor_Meciuri'!BF79)*'Config_v6'!$B$46+'Motor_Meciuri'!BH79*100*'Config_v6'!$B$47))</x:f>
      </x:c>
      <x:c r="U1031" s="2" t="str">
        <x:f>IF(T1031="","",IF(T1031&lt;=20,1,IF(T1031&lt;=40,2,IF(T1031&lt;=60,3,IF(T1031&lt;=80,4,5)))))</x:f>
      </x:c>
      <x:c r="V1031" s="2" t="str">
        <x:f>IF(M1031="","",MAX(0,'Motor_Meciuri'!BF79-IF(W1031="OOS PENDING",'Config_v6'!$B$35,0)-IF(L1031&gt;'Config_v6'!$B$12,'Config_v6'!$B$37,IF(L1031&gt;'Config_v6'!$B$11,'Config_v6'!$B$36,0))))</x:f>
      </x:c>
      <x:c r="W1031" s="2" t="str">
        <x:f>IF(B1031="","",IF(I1031&lt;&gt;"READY","NOT RELEASED",IF(NOT(AND(J1031="PASS",'Calibrare_Linii'!U9="VALID")),"INVALID",IF(NOT(AND('Calibrare_Linii'!S9="VALIDATED",AND('Calibrare_Linii'!H9=C1031,ISNUMBER('Calibrare_Linii'!J9),'Calibrare_Linii'!J9&lt;='Input_Meci'!G79))),"OOS PENDING",IF(S1031&lt;='Calibrare_Linii'!E9,"PASS",IF(S1031&lt;='Calibrare_Linii'!F9,"PENALTY","WATCH"))))))</x:f>
      </x:c>
      <x:c r="X1031" s="2" t="str">
        <x:f>IF(M1031="","",IF(AND(AND(J1031="PASS",'Calibrare_Linii'!U9="VALID"),'Motor_Meciuri'!K79=12,'Motor_Meciuri'!L79=12,'Motor_Meciuri'!M79="NO",'Motor_Meciuri'!BL79='Motor_Meciuri'!C79,AB1031&gt;='Config_v6'!$B$50,AN1031&gt;='Config_v6'!$B$51,T1031&lt;='Config_v6'!$B$52,L1031&lt;='Config_v6'!$B$53,ISNUMBER('Calibrare_Linii'!E9),S1031&lt;='Calibrare_Linii'!E9,SUM(AK1031:AM1031)&gt;0),"CANDIDATE","NO"))</x:f>
      </x:c>
      <x:c r="Y1031" s="2" t="str">
        <x:f>IF(B1031="","",IF(I1031&lt;&gt;"READY","NOT RELEASED",IF(AND(X1031="CANDIDATE",V1031&gt;='Config_v6'!$B$51,W1031="PASS",'Calibrare_Linii'!T9="VALIDATED",AND('Calibrare_Linii'!H9=C1031,ISNUMBER('Calibrare_Linii'!J9),'Calibrare_Linii'!J9&lt;='Input_Meci'!G79)),"PASS",IF(X1031="CANDIDATE","OOS PENDING","FAIL"))))</x:f>
      </x:c>
      <x:c r="Z1031" s="2" t="str">
        <x:f>IF(B1031="","",IF(I1031&lt;&gt;"READY","",IF(OR(NOT(AND(J1031="PASS",'Calibrare_Linii'!U9="VALID")),L1031&gt;'Config_v6'!$B$13,W1031="WATCH"),5,IF(Y1031="PASS",1,MIN(5,MAX('Config_v6'!$B$42,U1031)+IF(W1031="PENALTY",1,0))))))</x:f>
      </x:c>
      <x:c r="AA1031" s="2" t="str">
        <x:f>IF(B1031="","",IF(I1031&lt;&gt;"READY","NOT RELEASED",IF(Z1031=5,"NO BET",IF(OR(AB1031&lt;'Config_v6'!$B$16,V1031&lt;'Config_v6'!$B$18),"WATCH",IF(Z1031=1,"DEFENSIV",IF(Z1031=2,"PRUDENT",IF(Z1031=3,"MODERAT","RIDICAT")))))))</x:f>
      </x:c>
      <x:c r="AB1031" s="10" t="str">
        <x:f>IF(N1031="","",MIN(N1031,1-S1031))</x:f>
      </x:c>
      <x:c r="AC1031" s="2" t="str">
        <x:f>IF(AD1031&lt;&gt;1,"",COUNTIFS($Z$1028:$Z$1041,"&lt;"&amp;Z1031,$AD$1028:$AD$1041,1)+COUNTIFS($Z$1028:$Z$1041,Z1031,$AB$1028:$AB$1041,"&gt;"&amp;AB1031,$AD$1028:$AD$1041,1)+COUNTIFS($Z$1028:$Z$1041,Z1031,$AB$1028:$AB$1041,AB1031,$V$1028:$V$1041,"&gt;"&amp;V1031,$AD$1028:$AD$1041,1)+COUNTIFS($Z$1028:Z1031,Z1031,$AB$1028:AB1031,AB1031,$V$1028:V1031,V1031,$AD$1028:AD1031,1))</x:f>
      </x:c>
      <x:c r="AD1031" s="2" t="n">
        <x:f>IF(OR(AA1031="DEFENSIV",AA1031="PRUDENT",AA1031="MODERAT",AA1031="RIDICAT"),1,0)</x:f>
        <x:v>0</x:v>
      </x:c>
      <x:c r="AE1031" s="2" t="str">
        <x:f>IF(AD1031&lt;&gt;1,"NO",IF(W1031="PASS","YES",IF(W1031="OOS PENDING","CONDITIONAL","NO")))</x:f>
        <x:v>NO</x:v>
      </x:c>
      <x:c r="AF1031" s="2" t="n">
        <x:f>IF(AND(AD1031=1,AC1031=1,E1031="LIVE"),1,0)</x:f>
        <x:v>0</x:v>
      </x:c>
      <x:c r="AG1031" s="2" t="str">
        <x:f>IF(AF1031&lt;&gt;1,"",'Dashboard'!P99)</x:f>
      </x:c>
      <x:c r="AH1031" s="2" t="str">
        <x:f>IF(B1031="","",IF(J1031&lt;&gt;"PASS",'Motor_Meciuri'!J79,IF('Calibrare_Linii'!U9&lt;&gt;"VALID","Parametri linie invalizi",IF(L1031&gt;'Config_v6'!$B$13,"Dispersie peste limita",IF(W1031="WATCH","Failure peste limita",IF(AB1031&lt;'Config_v6'!$B$16,"P finala sub prag",IF(V1031&lt;'Config_v6'!$B$18,"Confidence sub prag",IF(E1031="REPLAY","Exemplu retrospectiv; exclus din Top LIVE",IF(Y1031="PASS","DEFENSIV validat",IF(W1031="OOS PENDING","Eligibil; calibrare linie in monitorizare","Eligibil"))))))))))</x:f>
      </x:c>
      <x:c r="AI1031" s="2" t="str">
        <x:f>IF(B1031="","",'Calibrare_Linii'!V9)</x:f>
      </x:c>
      <x:c r="AJ1031" s="2" t="str">
        <x:f>IF(B1031="","",IF(AND('Calibrare_Linii'!T9="VALIDATED",AND('Calibrare_Linii'!H9=C1031,ISNUMBER('Calibrare_Linii'!J9),'Calibrare_Linii'!J9&lt;='Input_Meci'!G79)),"DEFENSIVE VALIDATED",IF(AND('Calibrare_Linii'!S9="VALIDATED",AND('Calibrare_Linii'!H9=C1031,ISNUMBER('Calibrare_Linii'!J9),'Calibrare_Linii'!J9&lt;='Input_Meci'!G79)),"TAIL VALIDATED","OOS PENDING")))</x:f>
      </x:c>
      <x:c r="AK1031" s="2" t="n">
        <x:f>IF(J1031&lt;&gt;"PASS",0,'Motor_Meciuri'!BR79)</x:f>
        <x:v>0</x:v>
      </x:c>
      <x:c r="AL1031" s="2" t="n">
        <x:f>IF(J1031&lt;&gt;"PASS",0,'Motor_Meciuri'!BS79)</x:f>
        <x:v>0</x:v>
      </x:c>
      <x:c r="AM1031" s="2" t="n">
        <x:f>IF(J1031&lt;&gt;"PASS",0,'Motor_Meciuri'!BT79)</x:f>
        <x:v>0</x:v>
      </x:c>
      <x:c r="AN1031" s="2" t="str">
        <x:f>IF(M1031="","",MAX(0,'Motor_Meciuri'!BF79-IF(L1031&gt;'Config_v6'!$B$12,'Config_v6'!$B$37,IF(L1031&gt;'Config_v6'!$B$11,'Config_v6'!$B$36,0))))</x:f>
      </x:c>
    </x:row>
    <x:row r="1032" ht="21" customHeight="1">
      <x:c r="A1032" s="2" t="n">
        <x:v>74</x:v>
      </x:c>
      <x:c r="B1032" s="2" t="str">
        <x:f>IF('Motor_Meciuri'!A79="","",'Motor_Meciuri'!A79)</x:f>
      </x:c>
      <x:c r="C1032" s="2" t="str">
        <x:f>IF(B1032="","",'Motor_Meciuri'!B79)</x:f>
      </x:c>
      <x:c r="D1032" s="2" t="str">
        <x:f>IF(B1032="","",'Motor_Meciuri'!D79)</x:f>
      </x:c>
      <x:c r="E1032" s="2" t="str">
        <x:f>IF(B1032="","",'Motor_Meciuri'!E79)</x:f>
      </x:c>
      <x:c r="F1032" s="2" t="str">
        <x:v>O7,5</x:v>
      </x:c>
      <x:c r="G1032" s="2" t="str">
        <x:v>OVER</x:v>
      </x:c>
      <x:c r="H1032" s="2" t="n">
        <x:v>7</x:v>
      </x:c>
      <x:c r="I1032" s="2" t="str">
        <x:f>IF(B1032="","",'Motor_Meciuri'!H79)</x:f>
      </x:c>
      <x:c r="J1032" s="2" t="str">
        <x:f>IF(B1032="","",'Motor_Meciuri'!I79)</x:f>
      </x:c>
      <x:c r="K1032" s="11" t="str">
        <x:f>IF(J1032&lt;&gt;"PASS","",'Motor_Meciuri'!BD79)</x:f>
      </x:c>
      <x:c r="L1032" s="11" t="str">
        <x:f>IF(J1032&lt;&gt;"PASS","",'Motor_Meciuri'!AU79)</x:f>
      </x:c>
      <x:c r="M1032" s="10" t="str">
        <x:f>IF(NOT(AND(J1032="PASS",'Calibrare_Linii'!U10="VALID")),"",1-'Distributie'!AE79)</x:f>
      </x:c>
      <x:c r="N1032" s="10" t="str">
        <x:f>IF(M1032="","",MAX(0.01,MIN(0.99,0.5+(M1032-0.5)*'Motor_Meciuri'!BG79*'Calibrare_Linii'!D10)))</x:f>
      </x:c>
      <x:c r="O1032" s="10" t="str">
        <x:f>IF(M1032="","",1-M1032)</x:f>
      </x:c>
      <x:c r="P1032" s="10" t="str">
        <x:f>IF(OR(NOT(AND(J1032="PASS",'Calibrare_Linii'!U10="VALID")),AK1032=0),""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*('Istoric_Nativ'!$Q$6:$Q$405&lt;=H1032))/AK1032)</x:f>
      </x:c>
      <x:c r="Q1032" s="10" t="str">
        <x:f>IF(OR(NOT(AND(J1032="PASS",'Calibrare_Linii'!U10="VALID")),AL1032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M79)+((('Istoric_Nativ'!$E$6:$E$405='Input_Meci'!E79)+('Istoric_Nativ'!$F$6:$F$405='Input_Meci'!E79))&gt;0)*('Istoric_Nativ'!$D$6:$D$405&gt;='Motor_Meciuri'!BN79))&gt;0)*('Istoric_Nativ'!$Q$6:$Q$405&lt;=H1032))/AL1032)</x:f>
      </x:c>
      <x:c r="R1032" s="10" t="str">
        <x:f>IF(OR(NOT(AND(J1032="PASS",'Calibrare_Linii'!U10="VALID")),AM1032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O79)+((('Istoric_Nativ'!$E$6:$E$405='Input_Meci'!E79)+('Istoric_Nativ'!$F$6:$F$405='Input_Meci'!E79))&gt;0)*('Istoric_Nativ'!$D$6:$D$405&gt;='Motor_Meciuri'!BP79))&gt;0)*('Istoric_Nativ'!$Q$6:$Q$405&lt;=H1032))/AM1032)</x:f>
      </x:c>
      <x:c r="S1032" s="10" t="str">
        <x:f>IF(M1032="","",MAX(O1032,P1032,Q1032,R1032))</x:f>
      </x:c>
      <x:c r="T1032" s="11" t="str">
        <x:f>IF(M1032="","",MIN(100,S1032*100*'Config_v6'!$B$44+MIN(100,L1032/'Config_v6'!$B$13*100)*'Config_v6'!$B$45+(100-'Motor_Meciuri'!BF79)*'Config_v6'!$B$46+'Motor_Meciuri'!BH79*100*'Config_v6'!$B$47))</x:f>
      </x:c>
      <x:c r="U1032" s="2" t="str">
        <x:f>IF(T1032="","",IF(T1032&lt;=20,1,IF(T1032&lt;=40,2,IF(T1032&lt;=60,3,IF(T1032&lt;=80,4,5)))))</x:f>
      </x:c>
      <x:c r="V1032" s="2" t="str">
        <x:f>IF(M1032="","",MAX(0,'Motor_Meciuri'!BF79-IF(W1032="OOS PENDING",'Config_v6'!$B$35,0)-IF(L1032&gt;'Config_v6'!$B$12,'Config_v6'!$B$37,IF(L1032&gt;'Config_v6'!$B$11,'Config_v6'!$B$36,0))))</x:f>
      </x:c>
      <x:c r="W1032" s="2" t="str">
        <x:f>IF(B1032="","",IF(I1032&lt;&gt;"READY","NOT RELEASED",IF(NOT(AND(J1032="PASS",'Calibrare_Linii'!U10="VALID")),"INVALID",IF(NOT(AND('Calibrare_Linii'!S10="VALIDATED",AND('Calibrare_Linii'!H10=C1032,ISNUMBER('Calibrare_Linii'!J10),'Calibrare_Linii'!J10&lt;='Input_Meci'!G79))),"OOS PENDING",IF(S1032&lt;='Calibrare_Linii'!E10,"PASS",IF(S1032&lt;='Calibrare_Linii'!F10,"PENALTY","WATCH"))))))</x:f>
      </x:c>
      <x:c r="X1032" s="2" t="str">
        <x:f>IF(M1032="","",IF(AND(AND(J1032="PASS",'Calibrare_Linii'!U10="VALID"),'Motor_Meciuri'!K79=12,'Motor_Meciuri'!L79=12,'Motor_Meciuri'!M79="NO",'Motor_Meciuri'!BL79='Motor_Meciuri'!C79,AB1032&gt;='Config_v6'!$B$50,AN1032&gt;='Config_v6'!$B$51,T1032&lt;='Config_v6'!$B$52,L1032&lt;='Config_v6'!$B$53,ISNUMBER('Calibrare_Linii'!E10),S1032&lt;='Calibrare_Linii'!E10,SUM(AK1032:AM1032)&gt;0),"CANDIDATE","NO"))</x:f>
      </x:c>
      <x:c r="Y1032" s="2" t="str">
        <x:f>IF(B1032="","",IF(I1032&lt;&gt;"READY","NOT RELEASED",IF(AND(X1032="CANDIDATE",V1032&gt;='Config_v6'!$B$51,W1032="PASS",'Calibrare_Linii'!T10="VALIDATED",AND('Calibrare_Linii'!H10=C1032,ISNUMBER('Calibrare_Linii'!J10),'Calibrare_Linii'!J10&lt;='Input_Meci'!G79)),"PASS",IF(X1032="CANDIDATE","OOS PENDING","FAIL"))))</x:f>
      </x:c>
      <x:c r="Z1032" s="2" t="str">
        <x:f>IF(B1032="","",IF(I1032&lt;&gt;"READY","",IF(OR(NOT(AND(J1032="PASS",'Calibrare_Linii'!U10="VALID")),L1032&gt;'Config_v6'!$B$13,W1032="WATCH"),5,IF(Y1032="PASS",1,MIN(5,MAX('Config_v6'!$B$42,U1032)+IF(W1032="PENALTY",1,0))))))</x:f>
      </x:c>
      <x:c r="AA1032" s="2" t="str">
        <x:f>IF(B1032="","",IF(I1032&lt;&gt;"READY","NOT RELEASED",IF(Z1032=5,"NO BET",IF(OR(AB1032&lt;'Config_v6'!$B$16,V1032&lt;'Config_v6'!$B$18),"WATCH",IF(Z1032=1,"DEFENSIV",IF(Z1032=2,"PRUDENT",IF(Z1032=3,"MODERAT","RIDICAT")))))))</x:f>
      </x:c>
      <x:c r="AB1032" s="10" t="str">
        <x:f>IF(N1032="","",MIN(N1032,1-S1032))</x:f>
      </x:c>
      <x:c r="AC1032" s="2" t="str">
        <x:f>IF(AD1032&lt;&gt;1,"",COUNTIFS($Z$1028:$Z$1041,"&lt;"&amp;Z1032,$AD$1028:$AD$1041,1)+COUNTIFS($Z$1028:$Z$1041,Z1032,$AB$1028:$AB$1041,"&gt;"&amp;AB1032,$AD$1028:$AD$1041,1)+COUNTIFS($Z$1028:$Z$1041,Z1032,$AB$1028:$AB$1041,AB1032,$V$1028:$V$1041,"&gt;"&amp;V1032,$AD$1028:$AD$1041,1)+COUNTIFS($Z$1028:Z1032,Z1032,$AB$1028:AB1032,AB1032,$V$1028:V1032,V1032,$AD$1028:AD1032,1))</x:f>
      </x:c>
      <x:c r="AD1032" s="2" t="n">
        <x:f>IF(OR(AA1032="DEFENSIV",AA1032="PRUDENT",AA1032="MODERAT",AA1032="RIDICAT"),1,0)</x:f>
        <x:v>0</x:v>
      </x:c>
      <x:c r="AE1032" s="2" t="str">
        <x:f>IF(AD1032&lt;&gt;1,"NO",IF(W1032="PASS","YES",IF(W1032="OOS PENDING","CONDITIONAL","NO")))</x:f>
        <x:v>NO</x:v>
      </x:c>
      <x:c r="AF1032" s="2" t="n">
        <x:f>IF(AND(AD1032=1,AC1032=1,E1032="LIVE"),1,0)</x:f>
        <x:v>0</x:v>
      </x:c>
      <x:c r="AG1032" s="2" t="str">
        <x:f>IF(AF1032&lt;&gt;1,"",'Dashboard'!P99)</x:f>
      </x:c>
      <x:c r="AH1032" s="2" t="str">
        <x:f>IF(B1032="","",IF(J1032&lt;&gt;"PASS",'Motor_Meciuri'!J79,IF('Calibrare_Linii'!U10&lt;&gt;"VALID","Parametri linie invalizi",IF(L1032&gt;'Config_v6'!$B$13,"Dispersie peste limita",IF(W1032="WATCH","Failure peste limita",IF(AB1032&lt;'Config_v6'!$B$16,"P finala sub prag",IF(V1032&lt;'Config_v6'!$B$18,"Confidence sub prag",IF(E1032="REPLAY","Exemplu retrospectiv; exclus din Top LIVE",IF(Y1032="PASS","DEFENSIV validat",IF(W1032="OOS PENDING","Eligibil; calibrare linie in monitorizare","Eligibil"))))))))))</x:f>
      </x:c>
      <x:c r="AI1032" s="2" t="str">
        <x:f>IF(B1032="","",'Calibrare_Linii'!V10)</x:f>
      </x:c>
      <x:c r="AJ1032" s="2" t="str">
        <x:f>IF(B1032="","",IF(AND('Calibrare_Linii'!T10="VALIDATED",AND('Calibrare_Linii'!H10=C1032,ISNUMBER('Calibrare_Linii'!J10),'Calibrare_Linii'!J10&lt;='Input_Meci'!G79)),"DEFENSIVE VALIDATED",IF(AND('Calibrare_Linii'!S10="VALIDATED",AND('Calibrare_Linii'!H10=C1032,ISNUMBER('Calibrare_Linii'!J10),'Calibrare_Linii'!J10&lt;='Input_Meci'!G79)),"TAIL VALIDATED","OOS PENDING")))</x:f>
      </x:c>
      <x:c r="AK1032" s="2" t="n">
        <x:f>IF(J1032&lt;&gt;"PASS",0,'Motor_Meciuri'!BR79)</x:f>
        <x:v>0</x:v>
      </x:c>
      <x:c r="AL1032" s="2" t="n">
        <x:f>IF(J1032&lt;&gt;"PASS",0,'Motor_Meciuri'!BS79)</x:f>
        <x:v>0</x:v>
      </x:c>
      <x:c r="AM1032" s="2" t="n">
        <x:f>IF(J1032&lt;&gt;"PASS",0,'Motor_Meciuri'!BT79)</x:f>
        <x:v>0</x:v>
      </x:c>
      <x:c r="AN1032" s="2" t="str">
        <x:f>IF(M1032="","",MAX(0,'Motor_Meciuri'!BF79-IF(L1032&gt;'Config_v6'!$B$12,'Config_v6'!$B$37,IF(L1032&gt;'Config_v6'!$B$11,'Config_v6'!$B$36,0))))</x:f>
      </x:c>
    </x:row>
    <x:row r="1033" ht="21" customHeight="1">
      <x:c r="A1033" s="2" t="n">
        <x:v>74</x:v>
      </x:c>
      <x:c r="B1033" s="2" t="str">
        <x:f>IF('Motor_Meciuri'!A79="","",'Motor_Meciuri'!A79)</x:f>
      </x:c>
      <x:c r="C1033" s="2" t="str">
        <x:f>IF(B1033="","",'Motor_Meciuri'!B79)</x:f>
      </x:c>
      <x:c r="D1033" s="2" t="str">
        <x:f>IF(B1033="","",'Motor_Meciuri'!D79)</x:f>
      </x:c>
      <x:c r="E1033" s="2" t="str">
        <x:f>IF(B1033="","",'Motor_Meciuri'!E79)</x:f>
      </x:c>
      <x:c r="F1033" s="2" t="str">
        <x:v>O8,5</x:v>
      </x:c>
      <x:c r="G1033" s="2" t="str">
        <x:v>OVER</x:v>
      </x:c>
      <x:c r="H1033" s="2" t="n">
        <x:v>8</x:v>
      </x:c>
      <x:c r="I1033" s="2" t="str">
        <x:f>IF(B1033="","",'Motor_Meciuri'!H79)</x:f>
      </x:c>
      <x:c r="J1033" s="2" t="str">
        <x:f>IF(B1033="","",'Motor_Meciuri'!I79)</x:f>
      </x:c>
      <x:c r="K1033" s="11" t="str">
        <x:f>IF(J1033&lt;&gt;"PASS","",'Motor_Meciuri'!BD79)</x:f>
      </x:c>
      <x:c r="L1033" s="11" t="str">
        <x:f>IF(J1033&lt;&gt;"PASS","",'Motor_Meciuri'!AU79)</x:f>
      </x:c>
      <x:c r="M1033" s="10" t="str">
        <x:f>IF(NOT(AND(J1033="PASS",'Calibrare_Linii'!U11="VALID")),"",1-'Distributie'!AF79)</x:f>
      </x:c>
      <x:c r="N1033" s="10" t="str">
        <x:f>IF(M1033="","",MAX(0.01,MIN(0.99,0.5+(M1033-0.5)*'Motor_Meciuri'!BG79*'Calibrare_Linii'!D11)))</x:f>
      </x:c>
      <x:c r="O1033" s="10" t="str">
        <x:f>IF(M1033="","",1-M1033)</x:f>
      </x:c>
      <x:c r="P1033" s="10" t="str">
        <x:f>IF(OR(NOT(AND(J1033="PASS",'Calibrare_Linii'!U11="VALID")),AK1033=0),""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*('Istoric_Nativ'!$Q$6:$Q$405&lt;=H1033))/AK1033)</x:f>
      </x:c>
      <x:c r="Q1033" s="10" t="str">
        <x:f>IF(OR(NOT(AND(J1033="PASS",'Calibrare_Linii'!U11="VALID")),AL1033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M79)+((('Istoric_Nativ'!$E$6:$E$405='Input_Meci'!E79)+('Istoric_Nativ'!$F$6:$F$405='Input_Meci'!E79))&gt;0)*('Istoric_Nativ'!$D$6:$D$405&gt;='Motor_Meciuri'!BN79))&gt;0)*('Istoric_Nativ'!$Q$6:$Q$405&lt;=H1033))/AL1033)</x:f>
      </x:c>
      <x:c r="R1033" s="10" t="str">
        <x:f>IF(OR(NOT(AND(J1033="PASS",'Calibrare_Linii'!U11="VALID")),AM1033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O79)+((('Istoric_Nativ'!$E$6:$E$405='Input_Meci'!E79)+('Istoric_Nativ'!$F$6:$F$405='Input_Meci'!E79))&gt;0)*('Istoric_Nativ'!$D$6:$D$405&gt;='Motor_Meciuri'!BP79))&gt;0)*('Istoric_Nativ'!$Q$6:$Q$405&lt;=H1033))/AM1033)</x:f>
      </x:c>
      <x:c r="S1033" s="10" t="str">
        <x:f>IF(M1033="","",MAX(O1033,P1033,Q1033,R1033))</x:f>
      </x:c>
      <x:c r="T1033" s="11" t="str">
        <x:f>IF(M1033="","",MIN(100,S1033*100*'Config_v6'!$B$44+MIN(100,L1033/'Config_v6'!$B$13*100)*'Config_v6'!$B$45+(100-'Motor_Meciuri'!BF79)*'Config_v6'!$B$46+'Motor_Meciuri'!BH79*100*'Config_v6'!$B$47))</x:f>
      </x:c>
      <x:c r="U1033" s="2" t="str">
        <x:f>IF(T1033="","",IF(T1033&lt;=20,1,IF(T1033&lt;=40,2,IF(T1033&lt;=60,3,IF(T1033&lt;=80,4,5)))))</x:f>
      </x:c>
      <x:c r="V1033" s="2" t="str">
        <x:f>IF(M1033="","",MAX(0,'Motor_Meciuri'!BF79-IF(W1033="OOS PENDING",'Config_v6'!$B$35,0)-IF(L1033&gt;'Config_v6'!$B$12,'Config_v6'!$B$37,IF(L1033&gt;'Config_v6'!$B$11,'Config_v6'!$B$36,0))))</x:f>
      </x:c>
      <x:c r="W1033" s="2" t="str">
        <x:f>IF(B1033="","",IF(I1033&lt;&gt;"READY","NOT RELEASED",IF(NOT(AND(J1033="PASS",'Calibrare_Linii'!U11="VALID")),"INVALID",IF(NOT(AND('Calibrare_Linii'!S11="VALIDATED",AND('Calibrare_Linii'!H11=C1033,ISNUMBER('Calibrare_Linii'!J11),'Calibrare_Linii'!J11&lt;='Input_Meci'!G79))),"OOS PENDING",IF(S1033&lt;='Calibrare_Linii'!E11,"PASS",IF(S1033&lt;='Calibrare_Linii'!F11,"PENALTY","WATCH"))))))</x:f>
      </x:c>
      <x:c r="X1033" s="2" t="str">
        <x:f>IF(M1033="","",IF(AND(AND(J1033="PASS",'Calibrare_Linii'!U11="VALID"),'Motor_Meciuri'!K79=12,'Motor_Meciuri'!L79=12,'Motor_Meciuri'!M79="NO",'Motor_Meciuri'!BL79='Motor_Meciuri'!C79,AB1033&gt;='Config_v6'!$B$50,AN1033&gt;='Config_v6'!$B$51,T1033&lt;='Config_v6'!$B$52,L1033&lt;='Config_v6'!$B$53,ISNUMBER('Calibrare_Linii'!E11),S1033&lt;='Calibrare_Linii'!E11,SUM(AK1033:AM1033)&gt;0),"CANDIDATE","NO"))</x:f>
      </x:c>
      <x:c r="Y1033" s="2" t="str">
        <x:f>IF(B1033="","",IF(I1033&lt;&gt;"READY","NOT RELEASED",IF(AND(X1033="CANDIDATE",V1033&gt;='Config_v6'!$B$51,W1033="PASS",'Calibrare_Linii'!T11="VALIDATED",AND('Calibrare_Linii'!H11=C1033,ISNUMBER('Calibrare_Linii'!J11),'Calibrare_Linii'!J11&lt;='Input_Meci'!G79)),"PASS",IF(X1033="CANDIDATE","OOS PENDING","FAIL"))))</x:f>
      </x:c>
      <x:c r="Z1033" s="2" t="str">
        <x:f>IF(B1033="","",IF(I1033&lt;&gt;"READY","",IF(OR(NOT(AND(J1033="PASS",'Calibrare_Linii'!U11="VALID")),L1033&gt;'Config_v6'!$B$13,W1033="WATCH"),5,IF(Y1033="PASS",1,MIN(5,MAX('Config_v6'!$B$42,U1033)+IF(W1033="PENALTY",1,0))))))</x:f>
      </x:c>
      <x:c r="AA1033" s="2" t="str">
        <x:f>IF(B1033="","",IF(I1033&lt;&gt;"READY","NOT RELEASED",IF(Z1033=5,"NO BET",IF(OR(AB1033&lt;'Config_v6'!$B$16,V1033&lt;'Config_v6'!$B$18),"WATCH",IF(Z1033=1,"DEFENSIV",IF(Z1033=2,"PRUDENT",IF(Z1033=3,"MODERAT","RIDICAT")))))))</x:f>
      </x:c>
      <x:c r="AB1033" s="10" t="str">
        <x:f>IF(N1033="","",MIN(N1033,1-S1033))</x:f>
      </x:c>
      <x:c r="AC1033" s="2" t="str">
        <x:f>IF(AD1033&lt;&gt;1,"",COUNTIFS($Z$1028:$Z$1041,"&lt;"&amp;Z1033,$AD$1028:$AD$1041,1)+COUNTIFS($Z$1028:$Z$1041,Z1033,$AB$1028:$AB$1041,"&gt;"&amp;AB1033,$AD$1028:$AD$1041,1)+COUNTIFS($Z$1028:$Z$1041,Z1033,$AB$1028:$AB$1041,AB1033,$V$1028:$V$1041,"&gt;"&amp;V1033,$AD$1028:$AD$1041,1)+COUNTIFS($Z$1028:Z1033,Z1033,$AB$1028:AB1033,AB1033,$V$1028:V1033,V1033,$AD$1028:AD1033,1))</x:f>
      </x:c>
      <x:c r="AD1033" s="2" t="n">
        <x:f>IF(OR(AA1033="DEFENSIV",AA1033="PRUDENT",AA1033="MODERAT",AA1033="RIDICAT"),1,0)</x:f>
        <x:v>0</x:v>
      </x:c>
      <x:c r="AE1033" s="2" t="str">
        <x:f>IF(AD1033&lt;&gt;1,"NO",IF(W1033="PASS","YES",IF(W1033="OOS PENDING","CONDITIONAL","NO")))</x:f>
        <x:v>NO</x:v>
      </x:c>
      <x:c r="AF1033" s="2" t="n">
        <x:f>IF(AND(AD1033=1,AC1033=1,E1033="LIVE"),1,0)</x:f>
        <x:v>0</x:v>
      </x:c>
      <x:c r="AG1033" s="2" t="str">
        <x:f>IF(AF1033&lt;&gt;1,"",'Dashboard'!P99)</x:f>
      </x:c>
      <x:c r="AH1033" s="2" t="str">
        <x:f>IF(B1033="","",IF(J1033&lt;&gt;"PASS",'Motor_Meciuri'!J79,IF('Calibrare_Linii'!U11&lt;&gt;"VALID","Parametri linie invalizi",IF(L1033&gt;'Config_v6'!$B$13,"Dispersie peste limita",IF(W1033="WATCH","Failure peste limita",IF(AB1033&lt;'Config_v6'!$B$16,"P finala sub prag",IF(V1033&lt;'Config_v6'!$B$18,"Confidence sub prag",IF(E1033="REPLAY","Exemplu retrospectiv; exclus din Top LIVE",IF(Y1033="PASS","DEFENSIV validat",IF(W1033="OOS PENDING","Eligibil; calibrare linie in monitorizare","Eligibil"))))))))))</x:f>
      </x:c>
      <x:c r="AI1033" s="2" t="str">
        <x:f>IF(B1033="","",'Calibrare_Linii'!V11)</x:f>
      </x:c>
      <x:c r="AJ1033" s="2" t="str">
        <x:f>IF(B1033="","",IF(AND('Calibrare_Linii'!T11="VALIDATED",AND('Calibrare_Linii'!H11=C1033,ISNUMBER('Calibrare_Linii'!J11),'Calibrare_Linii'!J11&lt;='Input_Meci'!G79)),"DEFENSIVE VALIDATED",IF(AND('Calibrare_Linii'!S11="VALIDATED",AND('Calibrare_Linii'!H11=C1033,ISNUMBER('Calibrare_Linii'!J11),'Calibrare_Linii'!J11&lt;='Input_Meci'!G79)),"TAIL VALIDATED","OOS PENDING")))</x:f>
      </x:c>
      <x:c r="AK1033" s="2" t="n">
        <x:f>IF(J1033&lt;&gt;"PASS",0,'Motor_Meciuri'!BR79)</x:f>
        <x:v>0</x:v>
      </x:c>
      <x:c r="AL1033" s="2" t="n">
        <x:f>IF(J1033&lt;&gt;"PASS",0,'Motor_Meciuri'!BS79)</x:f>
        <x:v>0</x:v>
      </x:c>
      <x:c r="AM1033" s="2" t="n">
        <x:f>IF(J1033&lt;&gt;"PASS",0,'Motor_Meciuri'!BT79)</x:f>
        <x:v>0</x:v>
      </x:c>
      <x:c r="AN1033" s="2" t="str">
        <x:f>IF(M1033="","",MAX(0,'Motor_Meciuri'!BF79-IF(L1033&gt;'Config_v6'!$B$12,'Config_v6'!$B$37,IF(L1033&gt;'Config_v6'!$B$11,'Config_v6'!$B$36,0))))</x:f>
      </x:c>
    </x:row>
    <x:row r="1034" ht="21" customHeight="1">
      <x:c r="A1034" s="2" t="n">
        <x:v>74</x:v>
      </x:c>
      <x:c r="B1034" s="2" t="str">
        <x:f>IF('Motor_Meciuri'!A79="","",'Motor_Meciuri'!A79)</x:f>
      </x:c>
      <x:c r="C1034" s="2" t="str">
        <x:f>IF(B1034="","",'Motor_Meciuri'!B79)</x:f>
      </x:c>
      <x:c r="D1034" s="2" t="str">
        <x:f>IF(B1034="","",'Motor_Meciuri'!D79)</x:f>
      </x:c>
      <x:c r="E1034" s="2" t="str">
        <x:f>IF(B1034="","",'Motor_Meciuri'!E79)</x:f>
      </x:c>
      <x:c r="F1034" s="2" t="str">
        <x:v>U10,5</x:v>
      </x:c>
      <x:c r="G1034" s="2" t="str">
        <x:v>UNDER</x:v>
      </x:c>
      <x:c r="H1034" s="2" t="n">
        <x:v>10</x:v>
      </x:c>
      <x:c r="I1034" s="2" t="str">
        <x:f>IF(B1034="","",'Motor_Meciuri'!H79)</x:f>
      </x:c>
      <x:c r="J1034" s="2" t="str">
        <x:f>IF(B1034="","",'Motor_Meciuri'!I79)</x:f>
      </x:c>
      <x:c r="K1034" s="11" t="str">
        <x:f>IF(J1034&lt;&gt;"PASS","",'Motor_Meciuri'!BD79)</x:f>
      </x:c>
      <x:c r="L1034" s="11" t="str">
        <x:f>IF(J1034&lt;&gt;"PASS","",'Motor_Meciuri'!AU79)</x:f>
      </x:c>
      <x:c r="M1034" s="10" t="str">
        <x:f>IF(NOT(AND(J1034="PASS",'Calibrare_Linii'!U12="VALID")),"",'Distributie'!AH79)</x:f>
      </x:c>
      <x:c r="N1034" s="10" t="str">
        <x:f>IF(M1034="","",MAX(0.01,MIN(0.99,0.5+(M1034-0.5)*'Motor_Meciuri'!BG79*'Calibrare_Linii'!D12)))</x:f>
      </x:c>
      <x:c r="O1034" s="10" t="str">
        <x:f>IF(M1034="","",1-M1034)</x:f>
      </x:c>
      <x:c r="P1034" s="10" t="str">
        <x:f>IF(OR(NOT(AND(J1034="PASS",'Calibrare_Linii'!U12="VALID")),AK1034=0),""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*('Istoric_Nativ'!$Q$6:$Q$405&gt;H1034))/AK1034)</x:f>
      </x:c>
      <x:c r="Q1034" s="10" t="str">
        <x:f>IF(OR(NOT(AND(J1034="PASS",'Calibrare_Linii'!U12="VALID")),AL1034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M79)+((('Istoric_Nativ'!$E$6:$E$405='Input_Meci'!E79)+('Istoric_Nativ'!$F$6:$F$405='Input_Meci'!E79))&gt;0)*('Istoric_Nativ'!$D$6:$D$405&gt;='Motor_Meciuri'!BN79))&gt;0)*('Istoric_Nativ'!$Q$6:$Q$405&gt;H1034))/AL1034)</x:f>
      </x:c>
      <x:c r="R1034" s="10" t="str">
        <x:f>IF(OR(NOT(AND(J1034="PASS",'Calibrare_Linii'!U12="VALID")),AM1034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O79)+((('Istoric_Nativ'!$E$6:$E$405='Input_Meci'!E79)+('Istoric_Nativ'!$F$6:$F$405='Input_Meci'!E79))&gt;0)*('Istoric_Nativ'!$D$6:$D$405&gt;='Motor_Meciuri'!BP79))&gt;0)*('Istoric_Nativ'!$Q$6:$Q$405&gt;H1034))/AM1034)</x:f>
      </x:c>
      <x:c r="S1034" s="10" t="str">
        <x:f>IF(M1034="","",MAX(O1034,P1034,Q1034,R1034))</x:f>
      </x:c>
      <x:c r="T1034" s="11" t="str">
        <x:f>IF(M1034="","",MIN(100,S1034*100*'Config_v6'!$B$44+MIN(100,L1034/'Config_v6'!$B$13*100)*'Config_v6'!$B$45+(100-'Motor_Meciuri'!BF79)*'Config_v6'!$B$46+'Motor_Meciuri'!BH79*100*'Config_v6'!$B$47))</x:f>
      </x:c>
      <x:c r="U1034" s="2" t="str">
        <x:f>IF(T1034="","",IF(T1034&lt;=20,1,IF(T1034&lt;=40,2,IF(T1034&lt;=60,3,IF(T1034&lt;=80,4,5)))))</x:f>
      </x:c>
      <x:c r="V1034" s="2" t="str">
        <x:f>IF(M1034="","",MAX(0,'Motor_Meciuri'!BF79-IF(W1034="OOS PENDING",'Config_v6'!$B$35,0)-IF(L1034&gt;'Config_v6'!$B$12,'Config_v6'!$B$37,IF(L1034&gt;'Config_v6'!$B$11,'Config_v6'!$B$36,0))))</x:f>
      </x:c>
      <x:c r="W1034" s="2" t="str">
        <x:f>IF(B1034="","",IF(I1034&lt;&gt;"READY","NOT RELEASED",IF(NOT(AND(J1034="PASS",'Calibrare_Linii'!U12="VALID")),"INVALID",IF(NOT(AND('Calibrare_Linii'!S12="VALIDATED",AND('Calibrare_Linii'!H12=C1034,ISNUMBER('Calibrare_Linii'!J12),'Calibrare_Linii'!J12&lt;='Input_Meci'!G79))),"OOS PENDING",IF(S1034&lt;='Calibrare_Linii'!E12,"PASS",IF(S1034&lt;='Calibrare_Linii'!F12,"PENALTY","WATCH"))))))</x:f>
      </x:c>
      <x:c r="X1034" s="2" t="str">
        <x:f>IF(M1034="","",IF(AND(AND(J1034="PASS",'Calibrare_Linii'!U12="VALID"),'Motor_Meciuri'!K79=12,'Motor_Meciuri'!L79=12,'Motor_Meciuri'!M79="NO",'Motor_Meciuri'!BL79='Motor_Meciuri'!C79,AB1034&gt;='Config_v6'!$B$50,AN1034&gt;='Config_v6'!$B$51,T1034&lt;='Config_v6'!$B$52,L1034&lt;='Config_v6'!$B$53,ISNUMBER('Calibrare_Linii'!E12),S1034&lt;='Calibrare_Linii'!E12,SUM(AK1034:AM1034)&gt;0),"CANDIDATE","NO"))</x:f>
      </x:c>
      <x:c r="Y1034" s="2" t="str">
        <x:f>IF(B1034="","",IF(I1034&lt;&gt;"READY","NOT RELEASED",IF(AND(X1034="CANDIDATE",V1034&gt;='Config_v6'!$B$51,W1034="PASS",'Calibrare_Linii'!T12="VALIDATED",AND('Calibrare_Linii'!H12=C1034,ISNUMBER('Calibrare_Linii'!J12),'Calibrare_Linii'!J12&lt;='Input_Meci'!G79)),"PASS",IF(X1034="CANDIDATE","OOS PENDING","FAIL"))))</x:f>
      </x:c>
      <x:c r="Z1034" s="2" t="str">
        <x:f>IF(B1034="","",IF(I1034&lt;&gt;"READY","",IF(OR(NOT(AND(J1034="PASS",'Calibrare_Linii'!U12="VALID")),L1034&gt;'Config_v6'!$B$13,W1034="WATCH"),5,IF(Y1034="PASS",1,MIN(5,MAX('Config_v6'!$B$42,U1034)+IF(W1034="PENALTY",1,0))))))</x:f>
      </x:c>
      <x:c r="AA1034" s="2" t="str">
        <x:f>IF(B1034="","",IF(I1034&lt;&gt;"READY","NOT RELEASED",IF(Z1034=5,"NO BET",IF(OR(AB1034&lt;'Config_v6'!$B$16,V1034&lt;'Config_v6'!$B$18),"WATCH",IF(Z1034=1,"DEFENSIV",IF(Z1034=2,"PRUDENT",IF(Z1034=3,"MODERAT","RIDICAT")))))))</x:f>
      </x:c>
      <x:c r="AB1034" s="10" t="str">
        <x:f>IF(N1034="","",MIN(N1034,1-S1034))</x:f>
      </x:c>
      <x:c r="AC1034" s="2" t="str">
        <x:f>IF(AD1034&lt;&gt;1,"",COUNTIFS($Z$1028:$Z$1041,"&lt;"&amp;Z1034,$AD$1028:$AD$1041,1)+COUNTIFS($Z$1028:$Z$1041,Z1034,$AB$1028:$AB$1041,"&gt;"&amp;AB1034,$AD$1028:$AD$1041,1)+COUNTIFS($Z$1028:$Z$1041,Z1034,$AB$1028:$AB$1041,AB1034,$V$1028:$V$1041,"&gt;"&amp;V1034,$AD$1028:$AD$1041,1)+COUNTIFS($Z$1028:Z1034,Z1034,$AB$1028:AB1034,AB1034,$V$1028:V1034,V1034,$AD$1028:AD1034,1))</x:f>
      </x:c>
      <x:c r="AD1034" s="2" t="n">
        <x:f>IF(OR(AA1034="DEFENSIV",AA1034="PRUDENT",AA1034="MODERAT",AA1034="RIDICAT"),1,0)</x:f>
        <x:v>0</x:v>
      </x:c>
      <x:c r="AE1034" s="2" t="str">
        <x:f>IF(AD1034&lt;&gt;1,"NO",IF(W1034="PASS","YES",IF(W1034="OOS PENDING","CONDITIONAL","NO")))</x:f>
        <x:v>NO</x:v>
      </x:c>
      <x:c r="AF1034" s="2" t="n">
        <x:f>IF(AND(AD1034=1,AC1034=1,E1034="LIVE"),1,0)</x:f>
        <x:v>0</x:v>
      </x:c>
      <x:c r="AG1034" s="2" t="str">
        <x:f>IF(AF1034&lt;&gt;1,"",'Dashboard'!P99)</x:f>
      </x:c>
      <x:c r="AH1034" s="2" t="str">
        <x:f>IF(B1034="","",IF(J1034&lt;&gt;"PASS",'Motor_Meciuri'!J79,IF('Calibrare_Linii'!U12&lt;&gt;"VALID","Parametri linie invalizi",IF(L1034&gt;'Config_v6'!$B$13,"Dispersie peste limita",IF(W1034="WATCH","Failure peste limita",IF(AB1034&lt;'Config_v6'!$B$16,"P finala sub prag",IF(V1034&lt;'Config_v6'!$B$18,"Confidence sub prag",IF(E1034="REPLAY","Exemplu retrospectiv; exclus din Top LIVE",IF(Y1034="PASS","DEFENSIV validat",IF(W1034="OOS PENDING","Eligibil; calibrare linie in monitorizare","Eligibil"))))))))))</x:f>
      </x:c>
      <x:c r="AI1034" s="2" t="str">
        <x:f>IF(B1034="","",'Calibrare_Linii'!V12)</x:f>
      </x:c>
      <x:c r="AJ1034" s="2" t="str">
        <x:f>IF(B1034="","",IF(AND('Calibrare_Linii'!T12="VALIDATED",AND('Calibrare_Linii'!H12=C1034,ISNUMBER('Calibrare_Linii'!J12),'Calibrare_Linii'!J12&lt;='Input_Meci'!G79)),"DEFENSIVE VALIDATED",IF(AND('Calibrare_Linii'!S12="VALIDATED",AND('Calibrare_Linii'!H12=C1034,ISNUMBER('Calibrare_Linii'!J12),'Calibrare_Linii'!J12&lt;='Input_Meci'!G79)),"TAIL VALIDATED","OOS PENDING")))</x:f>
      </x:c>
      <x:c r="AK1034" s="2" t="n">
        <x:f>IF(J1034&lt;&gt;"PASS",0,'Motor_Meciuri'!BR79)</x:f>
        <x:v>0</x:v>
      </x:c>
      <x:c r="AL1034" s="2" t="n">
        <x:f>IF(J1034&lt;&gt;"PASS",0,'Motor_Meciuri'!BS79)</x:f>
        <x:v>0</x:v>
      </x:c>
      <x:c r="AM1034" s="2" t="n">
        <x:f>IF(J1034&lt;&gt;"PASS",0,'Motor_Meciuri'!BT79)</x:f>
        <x:v>0</x:v>
      </x:c>
      <x:c r="AN1034" s="2" t="str">
        <x:f>IF(M1034="","",MAX(0,'Motor_Meciuri'!BF79-IF(L1034&gt;'Config_v6'!$B$12,'Config_v6'!$B$37,IF(L1034&gt;'Config_v6'!$B$11,'Config_v6'!$B$36,0))))</x:f>
      </x:c>
    </x:row>
    <x:row r="1035" ht="21" customHeight="1">
      <x:c r="A1035" s="2" t="n">
        <x:v>74</x:v>
      </x:c>
      <x:c r="B1035" s="2" t="str">
        <x:f>IF('Motor_Meciuri'!A79="","",'Motor_Meciuri'!A79)</x:f>
      </x:c>
      <x:c r="C1035" s="2" t="str">
        <x:f>IF(B1035="","",'Motor_Meciuri'!B79)</x:f>
      </x:c>
      <x:c r="D1035" s="2" t="str">
        <x:f>IF(B1035="","",'Motor_Meciuri'!D79)</x:f>
      </x:c>
      <x:c r="E1035" s="2" t="str">
        <x:f>IF(B1035="","",'Motor_Meciuri'!E79)</x:f>
      </x:c>
      <x:c r="F1035" s="2" t="str">
        <x:v>U11,5</x:v>
      </x:c>
      <x:c r="G1035" s="2" t="str">
        <x:v>UNDER</x:v>
      </x:c>
      <x:c r="H1035" s="2" t="n">
        <x:v>11</x:v>
      </x:c>
      <x:c r="I1035" s="2" t="str">
        <x:f>IF(B1035="","",'Motor_Meciuri'!H79)</x:f>
      </x:c>
      <x:c r="J1035" s="2" t="str">
        <x:f>IF(B1035="","",'Motor_Meciuri'!I79)</x:f>
      </x:c>
      <x:c r="K1035" s="11" t="str">
        <x:f>IF(J1035&lt;&gt;"PASS","",'Motor_Meciuri'!BD79)</x:f>
      </x:c>
      <x:c r="L1035" s="11" t="str">
        <x:f>IF(J1035&lt;&gt;"PASS","",'Motor_Meciuri'!AU79)</x:f>
      </x:c>
      <x:c r="M1035" s="10" t="str">
        <x:f>IF(NOT(AND(J1035="PASS",'Calibrare_Linii'!U13="VALID")),"",'Distributie'!AI79)</x:f>
      </x:c>
      <x:c r="N1035" s="10" t="str">
        <x:f>IF(M1035="","",MAX(0.01,MIN(0.99,0.5+(M1035-0.5)*'Motor_Meciuri'!BG79*'Calibrare_Linii'!D13)))</x:f>
      </x:c>
      <x:c r="O1035" s="10" t="str">
        <x:f>IF(M1035="","",1-M1035)</x:f>
      </x:c>
      <x:c r="P1035" s="10" t="str">
        <x:f>IF(OR(NOT(AND(J1035="PASS",'Calibrare_Linii'!U13="VALID")),AK1035=0),""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*('Istoric_Nativ'!$Q$6:$Q$405&gt;H1035))/AK1035)</x:f>
      </x:c>
      <x:c r="Q1035" s="10" t="str">
        <x:f>IF(OR(NOT(AND(J1035="PASS",'Calibrare_Linii'!U13="VALID")),AL1035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M79)+((('Istoric_Nativ'!$E$6:$E$405='Input_Meci'!E79)+('Istoric_Nativ'!$F$6:$F$405='Input_Meci'!E79))&gt;0)*('Istoric_Nativ'!$D$6:$D$405&gt;='Motor_Meciuri'!BN79))&gt;0)*('Istoric_Nativ'!$Q$6:$Q$405&gt;H1035))/AL1035)</x:f>
      </x:c>
      <x:c r="R1035" s="10" t="str">
        <x:f>IF(OR(NOT(AND(J1035="PASS",'Calibrare_Linii'!U13="VALID")),AM1035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O79)+((('Istoric_Nativ'!$E$6:$E$405='Input_Meci'!E79)+('Istoric_Nativ'!$F$6:$F$405='Input_Meci'!E79))&gt;0)*('Istoric_Nativ'!$D$6:$D$405&gt;='Motor_Meciuri'!BP79))&gt;0)*('Istoric_Nativ'!$Q$6:$Q$405&gt;H1035))/AM1035)</x:f>
      </x:c>
      <x:c r="S1035" s="10" t="str">
        <x:f>IF(M1035="","",MAX(O1035,P1035,Q1035,R1035))</x:f>
      </x:c>
      <x:c r="T1035" s="11" t="str">
        <x:f>IF(M1035="","",MIN(100,S1035*100*'Config_v6'!$B$44+MIN(100,L1035/'Config_v6'!$B$13*100)*'Config_v6'!$B$45+(100-'Motor_Meciuri'!BF79)*'Config_v6'!$B$46+'Motor_Meciuri'!BH79*100*'Config_v6'!$B$47))</x:f>
      </x:c>
      <x:c r="U1035" s="2" t="str">
        <x:f>IF(T1035="","",IF(T1035&lt;=20,1,IF(T1035&lt;=40,2,IF(T1035&lt;=60,3,IF(T1035&lt;=80,4,5)))))</x:f>
      </x:c>
      <x:c r="V1035" s="2" t="str">
        <x:f>IF(M1035="","",MAX(0,'Motor_Meciuri'!BF79-IF(W1035="OOS PENDING",'Config_v6'!$B$35,0)-IF(L1035&gt;'Config_v6'!$B$12,'Config_v6'!$B$37,IF(L1035&gt;'Config_v6'!$B$11,'Config_v6'!$B$36,0))))</x:f>
      </x:c>
      <x:c r="W1035" s="2" t="str">
        <x:f>IF(B1035="","",IF(I1035&lt;&gt;"READY","NOT RELEASED",IF(NOT(AND(J1035="PASS",'Calibrare_Linii'!U13="VALID")),"INVALID",IF(NOT(AND('Calibrare_Linii'!S13="VALIDATED",AND('Calibrare_Linii'!H13=C1035,ISNUMBER('Calibrare_Linii'!J13),'Calibrare_Linii'!J13&lt;='Input_Meci'!G79))),"OOS PENDING",IF(S1035&lt;='Calibrare_Linii'!E13,"PASS",IF(S1035&lt;='Calibrare_Linii'!F13,"PENALTY","WATCH"))))))</x:f>
      </x:c>
      <x:c r="X1035" s="2" t="str">
        <x:f>IF(M1035="","",IF(AND(AND(J1035="PASS",'Calibrare_Linii'!U13="VALID"),'Motor_Meciuri'!K79=12,'Motor_Meciuri'!L79=12,'Motor_Meciuri'!M79="NO",'Motor_Meciuri'!BL79='Motor_Meciuri'!C79,AB1035&gt;='Config_v6'!$B$50,AN1035&gt;='Config_v6'!$B$51,T1035&lt;='Config_v6'!$B$52,L1035&lt;='Config_v6'!$B$53,ISNUMBER('Calibrare_Linii'!E13),S1035&lt;='Calibrare_Linii'!E13,SUM(AK1035:AM1035)&gt;0),"CANDIDATE","NO"))</x:f>
      </x:c>
      <x:c r="Y1035" s="2" t="str">
        <x:f>IF(B1035="","",IF(I1035&lt;&gt;"READY","NOT RELEASED",IF(AND(X1035="CANDIDATE",V1035&gt;='Config_v6'!$B$51,W1035="PASS",'Calibrare_Linii'!T13="VALIDATED",AND('Calibrare_Linii'!H13=C1035,ISNUMBER('Calibrare_Linii'!J13),'Calibrare_Linii'!J13&lt;='Input_Meci'!G79)),"PASS",IF(X1035="CANDIDATE","OOS PENDING","FAIL"))))</x:f>
      </x:c>
      <x:c r="Z1035" s="2" t="str">
        <x:f>IF(B1035="","",IF(I1035&lt;&gt;"READY","",IF(OR(NOT(AND(J1035="PASS",'Calibrare_Linii'!U13="VALID")),L1035&gt;'Config_v6'!$B$13,W1035="WATCH"),5,IF(Y1035="PASS",1,MIN(5,MAX('Config_v6'!$B$42,U1035)+IF(W1035="PENALTY",1,0))))))</x:f>
      </x:c>
      <x:c r="AA1035" s="2" t="str">
        <x:f>IF(B1035="","",IF(I1035&lt;&gt;"READY","NOT RELEASED",IF(Z1035=5,"NO BET",IF(OR(AB1035&lt;'Config_v6'!$B$16,V1035&lt;'Config_v6'!$B$18),"WATCH",IF(Z1035=1,"DEFENSIV",IF(Z1035=2,"PRUDENT",IF(Z1035=3,"MODERAT","RIDICAT")))))))</x:f>
      </x:c>
      <x:c r="AB1035" s="10" t="str">
        <x:f>IF(N1035="","",MIN(N1035,1-S1035))</x:f>
      </x:c>
      <x:c r="AC1035" s="2" t="str">
        <x:f>IF(AD1035&lt;&gt;1,"",COUNTIFS($Z$1028:$Z$1041,"&lt;"&amp;Z1035,$AD$1028:$AD$1041,1)+COUNTIFS($Z$1028:$Z$1041,Z1035,$AB$1028:$AB$1041,"&gt;"&amp;AB1035,$AD$1028:$AD$1041,1)+COUNTIFS($Z$1028:$Z$1041,Z1035,$AB$1028:$AB$1041,AB1035,$V$1028:$V$1041,"&gt;"&amp;V1035,$AD$1028:$AD$1041,1)+COUNTIFS($Z$1028:Z1035,Z1035,$AB$1028:AB1035,AB1035,$V$1028:V1035,V1035,$AD$1028:AD1035,1))</x:f>
      </x:c>
      <x:c r="AD1035" s="2" t="n">
        <x:f>IF(OR(AA1035="DEFENSIV",AA1035="PRUDENT",AA1035="MODERAT",AA1035="RIDICAT"),1,0)</x:f>
        <x:v>0</x:v>
      </x:c>
      <x:c r="AE1035" s="2" t="str">
        <x:f>IF(AD1035&lt;&gt;1,"NO",IF(W1035="PASS","YES",IF(W1035="OOS PENDING","CONDITIONAL","NO")))</x:f>
        <x:v>NO</x:v>
      </x:c>
      <x:c r="AF1035" s="2" t="n">
        <x:f>IF(AND(AD1035=1,AC1035=1,E1035="LIVE"),1,0)</x:f>
        <x:v>0</x:v>
      </x:c>
      <x:c r="AG1035" s="2" t="str">
        <x:f>IF(AF1035&lt;&gt;1,"",'Dashboard'!P99)</x:f>
      </x:c>
      <x:c r="AH1035" s="2" t="str">
        <x:f>IF(B1035="","",IF(J1035&lt;&gt;"PASS",'Motor_Meciuri'!J79,IF('Calibrare_Linii'!U13&lt;&gt;"VALID","Parametri linie invalizi",IF(L1035&gt;'Config_v6'!$B$13,"Dispersie peste limita",IF(W1035="WATCH","Failure peste limita",IF(AB1035&lt;'Config_v6'!$B$16,"P finala sub prag",IF(V1035&lt;'Config_v6'!$B$18,"Confidence sub prag",IF(E1035="REPLAY","Exemplu retrospectiv; exclus din Top LIVE",IF(Y1035="PASS","DEFENSIV validat",IF(W1035="OOS PENDING","Eligibil; calibrare linie in monitorizare","Eligibil"))))))))))</x:f>
      </x:c>
      <x:c r="AI1035" s="2" t="str">
        <x:f>IF(B1035="","",'Calibrare_Linii'!V13)</x:f>
      </x:c>
      <x:c r="AJ1035" s="2" t="str">
        <x:f>IF(B1035="","",IF(AND('Calibrare_Linii'!T13="VALIDATED",AND('Calibrare_Linii'!H13=C1035,ISNUMBER('Calibrare_Linii'!J13),'Calibrare_Linii'!J13&lt;='Input_Meci'!G79)),"DEFENSIVE VALIDATED",IF(AND('Calibrare_Linii'!S13="VALIDATED",AND('Calibrare_Linii'!H13=C1035,ISNUMBER('Calibrare_Linii'!J13),'Calibrare_Linii'!J13&lt;='Input_Meci'!G79)),"TAIL VALIDATED","OOS PENDING")))</x:f>
      </x:c>
      <x:c r="AK1035" s="2" t="n">
        <x:f>IF(J1035&lt;&gt;"PASS",0,'Motor_Meciuri'!BR79)</x:f>
        <x:v>0</x:v>
      </x:c>
      <x:c r="AL1035" s="2" t="n">
        <x:f>IF(J1035&lt;&gt;"PASS",0,'Motor_Meciuri'!BS79)</x:f>
        <x:v>0</x:v>
      </x:c>
      <x:c r="AM1035" s="2" t="n">
        <x:f>IF(J1035&lt;&gt;"PASS",0,'Motor_Meciuri'!BT79)</x:f>
        <x:v>0</x:v>
      </x:c>
      <x:c r="AN1035" s="2" t="str">
        <x:f>IF(M1035="","",MAX(0,'Motor_Meciuri'!BF79-IF(L1035&gt;'Config_v6'!$B$12,'Config_v6'!$B$37,IF(L1035&gt;'Config_v6'!$B$11,'Config_v6'!$B$36,0))))</x:f>
      </x:c>
    </x:row>
    <x:row r="1036" ht="21" customHeight="1">
      <x:c r="A1036" s="2" t="n">
        <x:v>74</x:v>
      </x:c>
      <x:c r="B1036" s="2" t="str">
        <x:f>IF('Motor_Meciuri'!A79="","",'Motor_Meciuri'!A79)</x:f>
      </x:c>
      <x:c r="C1036" s="2" t="str">
        <x:f>IF(B1036="","",'Motor_Meciuri'!B79)</x:f>
      </x:c>
      <x:c r="D1036" s="2" t="str">
        <x:f>IF(B1036="","",'Motor_Meciuri'!D79)</x:f>
      </x:c>
      <x:c r="E1036" s="2" t="str">
        <x:f>IF(B1036="","",'Motor_Meciuri'!E79)</x:f>
      </x:c>
      <x:c r="F1036" s="2" t="str">
        <x:v>U12,5</x:v>
      </x:c>
      <x:c r="G1036" s="2" t="str">
        <x:v>UNDER</x:v>
      </x:c>
      <x:c r="H1036" s="2" t="n">
        <x:v>12</x:v>
      </x:c>
      <x:c r="I1036" s="2" t="str">
        <x:f>IF(B1036="","",'Motor_Meciuri'!H79)</x:f>
      </x:c>
      <x:c r="J1036" s="2" t="str">
        <x:f>IF(B1036="","",'Motor_Meciuri'!I79)</x:f>
      </x:c>
      <x:c r="K1036" s="11" t="str">
        <x:f>IF(J1036&lt;&gt;"PASS","",'Motor_Meciuri'!BD79)</x:f>
      </x:c>
      <x:c r="L1036" s="11" t="str">
        <x:f>IF(J1036&lt;&gt;"PASS","",'Motor_Meciuri'!AU79)</x:f>
      </x:c>
      <x:c r="M1036" s="10" t="str">
        <x:f>IF(NOT(AND(J1036="PASS",'Calibrare_Linii'!U14="VALID")),"",'Distributie'!AJ79)</x:f>
      </x:c>
      <x:c r="N1036" s="10" t="str">
        <x:f>IF(M1036="","",MAX(0.01,MIN(0.99,0.5+(M1036-0.5)*'Motor_Meciuri'!BG79*'Calibrare_Linii'!D14)))</x:f>
      </x:c>
      <x:c r="O1036" s="10" t="str">
        <x:f>IF(M1036="","",1-M1036)</x:f>
      </x:c>
      <x:c r="P1036" s="10" t="str">
        <x:f>IF(OR(NOT(AND(J1036="PASS",'Calibrare_Linii'!U14="VALID")),AK1036=0),""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*('Istoric_Nativ'!$Q$6:$Q$405&gt;H1036))/AK1036)</x:f>
      </x:c>
      <x:c r="Q1036" s="10" t="str">
        <x:f>IF(OR(NOT(AND(J1036="PASS",'Calibrare_Linii'!U14="VALID")),AL1036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M79)+((('Istoric_Nativ'!$E$6:$E$405='Input_Meci'!E79)+('Istoric_Nativ'!$F$6:$F$405='Input_Meci'!E79))&gt;0)*('Istoric_Nativ'!$D$6:$D$405&gt;='Motor_Meciuri'!BN79))&gt;0)*('Istoric_Nativ'!$Q$6:$Q$405&gt;H1036))/AL1036)</x:f>
      </x:c>
      <x:c r="R1036" s="10" t="str">
        <x:f>IF(OR(NOT(AND(J1036="PASS",'Calibrare_Linii'!U14="VALID")),AM1036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O79)+((('Istoric_Nativ'!$E$6:$E$405='Input_Meci'!E79)+('Istoric_Nativ'!$F$6:$F$405='Input_Meci'!E79))&gt;0)*('Istoric_Nativ'!$D$6:$D$405&gt;='Motor_Meciuri'!BP79))&gt;0)*('Istoric_Nativ'!$Q$6:$Q$405&gt;H1036))/AM1036)</x:f>
      </x:c>
      <x:c r="S1036" s="10" t="str">
        <x:f>IF(M1036="","",MAX(O1036,P1036,Q1036,R1036))</x:f>
      </x:c>
      <x:c r="T1036" s="11" t="str">
        <x:f>IF(M1036="","",MIN(100,S1036*100*'Config_v6'!$B$44+MIN(100,L1036/'Config_v6'!$B$13*100)*'Config_v6'!$B$45+(100-'Motor_Meciuri'!BF79)*'Config_v6'!$B$46+'Motor_Meciuri'!BH79*100*'Config_v6'!$B$47))</x:f>
      </x:c>
      <x:c r="U1036" s="2" t="str">
        <x:f>IF(T1036="","",IF(T1036&lt;=20,1,IF(T1036&lt;=40,2,IF(T1036&lt;=60,3,IF(T1036&lt;=80,4,5)))))</x:f>
      </x:c>
      <x:c r="V1036" s="2" t="str">
        <x:f>IF(M1036="","",MAX(0,'Motor_Meciuri'!BF79-IF(W1036="OOS PENDING",'Config_v6'!$B$35,0)-IF(L1036&gt;'Config_v6'!$B$12,'Config_v6'!$B$37,IF(L1036&gt;'Config_v6'!$B$11,'Config_v6'!$B$36,0))))</x:f>
      </x:c>
      <x:c r="W1036" s="2" t="str">
        <x:f>IF(B1036="","",IF(I1036&lt;&gt;"READY","NOT RELEASED",IF(NOT(AND(J1036="PASS",'Calibrare_Linii'!U14="VALID")),"INVALID",IF(NOT(AND('Calibrare_Linii'!S14="VALIDATED",AND('Calibrare_Linii'!H14=C1036,ISNUMBER('Calibrare_Linii'!J14),'Calibrare_Linii'!J14&lt;='Input_Meci'!G79))),"OOS PENDING",IF(S1036&lt;='Calibrare_Linii'!E14,"PASS",IF(S1036&lt;='Calibrare_Linii'!F14,"PENALTY","WATCH"))))))</x:f>
      </x:c>
      <x:c r="X1036" s="2" t="str">
        <x:f>IF(M1036="","",IF(AND(AND(J1036="PASS",'Calibrare_Linii'!U14="VALID"),'Motor_Meciuri'!K79=12,'Motor_Meciuri'!L79=12,'Motor_Meciuri'!M79="NO",'Motor_Meciuri'!BL79='Motor_Meciuri'!C79,AB1036&gt;='Config_v6'!$B$50,AN1036&gt;='Config_v6'!$B$51,T1036&lt;='Config_v6'!$B$52,L1036&lt;='Config_v6'!$B$53,ISNUMBER('Calibrare_Linii'!E14),S1036&lt;='Calibrare_Linii'!E14,SUM(AK1036:AM1036)&gt;0),"CANDIDATE","NO"))</x:f>
      </x:c>
      <x:c r="Y1036" s="2" t="str">
        <x:f>IF(B1036="","",IF(I1036&lt;&gt;"READY","NOT RELEASED",IF(AND(X1036="CANDIDATE",V1036&gt;='Config_v6'!$B$51,W1036="PASS",'Calibrare_Linii'!T14="VALIDATED",AND('Calibrare_Linii'!H14=C1036,ISNUMBER('Calibrare_Linii'!J14),'Calibrare_Linii'!J14&lt;='Input_Meci'!G79)),"PASS",IF(X1036="CANDIDATE","OOS PENDING","FAIL"))))</x:f>
      </x:c>
      <x:c r="Z1036" s="2" t="str">
        <x:f>IF(B1036="","",IF(I1036&lt;&gt;"READY","",IF(OR(NOT(AND(J1036="PASS",'Calibrare_Linii'!U14="VALID")),L1036&gt;'Config_v6'!$B$13,W1036="WATCH"),5,IF(Y1036="PASS",1,MIN(5,MAX('Config_v6'!$B$42,U1036)+IF(W1036="PENALTY",1,0))))))</x:f>
      </x:c>
      <x:c r="AA1036" s="2" t="str">
        <x:f>IF(B1036="","",IF(I1036&lt;&gt;"READY","NOT RELEASED",IF(Z1036=5,"NO BET",IF(OR(AB1036&lt;'Config_v6'!$B$16,V1036&lt;'Config_v6'!$B$18),"WATCH",IF(Z1036=1,"DEFENSIV",IF(Z1036=2,"PRUDENT",IF(Z1036=3,"MODERAT","RIDICAT")))))))</x:f>
      </x:c>
      <x:c r="AB1036" s="10" t="str">
        <x:f>IF(N1036="","",MIN(N1036,1-S1036))</x:f>
      </x:c>
      <x:c r="AC1036" s="2" t="str">
        <x:f>IF(AD1036&lt;&gt;1,"",COUNTIFS($Z$1028:$Z$1041,"&lt;"&amp;Z1036,$AD$1028:$AD$1041,1)+COUNTIFS($Z$1028:$Z$1041,Z1036,$AB$1028:$AB$1041,"&gt;"&amp;AB1036,$AD$1028:$AD$1041,1)+COUNTIFS($Z$1028:$Z$1041,Z1036,$AB$1028:$AB$1041,AB1036,$V$1028:$V$1041,"&gt;"&amp;V1036,$AD$1028:$AD$1041,1)+COUNTIFS($Z$1028:Z1036,Z1036,$AB$1028:AB1036,AB1036,$V$1028:V1036,V1036,$AD$1028:AD1036,1))</x:f>
      </x:c>
      <x:c r="AD1036" s="2" t="n">
        <x:f>IF(OR(AA1036="DEFENSIV",AA1036="PRUDENT",AA1036="MODERAT",AA1036="RIDICAT"),1,0)</x:f>
        <x:v>0</x:v>
      </x:c>
      <x:c r="AE1036" s="2" t="str">
        <x:f>IF(AD1036&lt;&gt;1,"NO",IF(W1036="PASS","YES",IF(W1036="OOS PENDING","CONDITIONAL","NO")))</x:f>
        <x:v>NO</x:v>
      </x:c>
      <x:c r="AF1036" s="2" t="n">
        <x:f>IF(AND(AD1036=1,AC1036=1,E1036="LIVE"),1,0)</x:f>
        <x:v>0</x:v>
      </x:c>
      <x:c r="AG1036" s="2" t="str">
        <x:f>IF(AF1036&lt;&gt;1,"",'Dashboard'!P99)</x:f>
      </x:c>
      <x:c r="AH1036" s="2" t="str">
        <x:f>IF(B1036="","",IF(J1036&lt;&gt;"PASS",'Motor_Meciuri'!J79,IF('Calibrare_Linii'!U14&lt;&gt;"VALID","Parametri linie invalizi",IF(L1036&gt;'Config_v6'!$B$13,"Dispersie peste limita",IF(W1036="WATCH","Failure peste limita",IF(AB1036&lt;'Config_v6'!$B$16,"P finala sub prag",IF(V1036&lt;'Config_v6'!$B$18,"Confidence sub prag",IF(E1036="REPLAY","Exemplu retrospectiv; exclus din Top LIVE",IF(Y1036="PASS","DEFENSIV validat",IF(W1036="OOS PENDING","Eligibil; calibrare linie in monitorizare","Eligibil"))))))))))</x:f>
      </x:c>
      <x:c r="AI1036" s="2" t="str">
        <x:f>IF(B1036="","",'Calibrare_Linii'!V14)</x:f>
      </x:c>
      <x:c r="AJ1036" s="2" t="str">
        <x:f>IF(B1036="","",IF(AND('Calibrare_Linii'!T14="VALIDATED",AND('Calibrare_Linii'!H14=C1036,ISNUMBER('Calibrare_Linii'!J14),'Calibrare_Linii'!J14&lt;='Input_Meci'!G79)),"DEFENSIVE VALIDATED",IF(AND('Calibrare_Linii'!S14="VALIDATED",AND('Calibrare_Linii'!H14=C1036,ISNUMBER('Calibrare_Linii'!J14),'Calibrare_Linii'!J14&lt;='Input_Meci'!G79)),"TAIL VALIDATED","OOS PENDING")))</x:f>
      </x:c>
      <x:c r="AK1036" s="2" t="n">
        <x:f>IF(J1036&lt;&gt;"PASS",0,'Motor_Meciuri'!BR79)</x:f>
        <x:v>0</x:v>
      </x:c>
      <x:c r="AL1036" s="2" t="n">
        <x:f>IF(J1036&lt;&gt;"PASS",0,'Motor_Meciuri'!BS79)</x:f>
        <x:v>0</x:v>
      </x:c>
      <x:c r="AM1036" s="2" t="n">
        <x:f>IF(J1036&lt;&gt;"PASS",0,'Motor_Meciuri'!BT79)</x:f>
        <x:v>0</x:v>
      </x:c>
      <x:c r="AN1036" s="2" t="str">
        <x:f>IF(M1036="","",MAX(0,'Motor_Meciuri'!BF79-IF(L1036&gt;'Config_v6'!$B$12,'Config_v6'!$B$37,IF(L1036&gt;'Config_v6'!$B$11,'Config_v6'!$B$36,0))))</x:f>
      </x:c>
    </x:row>
    <x:row r="1037" ht="21" customHeight="1">
      <x:c r="A1037" s="2" t="n">
        <x:v>74</x:v>
      </x:c>
      <x:c r="B1037" s="2" t="str">
        <x:f>IF('Motor_Meciuri'!A79="","",'Motor_Meciuri'!A79)</x:f>
      </x:c>
      <x:c r="C1037" s="2" t="str">
        <x:f>IF(B1037="","",'Motor_Meciuri'!B79)</x:f>
      </x:c>
      <x:c r="D1037" s="2" t="str">
        <x:f>IF(B1037="","",'Motor_Meciuri'!D79)</x:f>
      </x:c>
      <x:c r="E1037" s="2" t="str">
        <x:f>IF(B1037="","",'Motor_Meciuri'!E79)</x:f>
      </x:c>
      <x:c r="F1037" s="2" t="str">
        <x:v>U13,5</x:v>
      </x:c>
      <x:c r="G1037" s="2" t="str">
        <x:v>UNDER</x:v>
      </x:c>
      <x:c r="H1037" s="2" t="n">
        <x:v>13</x:v>
      </x:c>
      <x:c r="I1037" s="2" t="str">
        <x:f>IF(B1037="","",'Motor_Meciuri'!H79)</x:f>
      </x:c>
      <x:c r="J1037" s="2" t="str">
        <x:f>IF(B1037="","",'Motor_Meciuri'!I79)</x:f>
      </x:c>
      <x:c r="K1037" s="11" t="str">
        <x:f>IF(J1037&lt;&gt;"PASS","",'Motor_Meciuri'!BD79)</x:f>
      </x:c>
      <x:c r="L1037" s="11" t="str">
        <x:f>IF(J1037&lt;&gt;"PASS","",'Motor_Meciuri'!AU79)</x:f>
      </x:c>
      <x:c r="M1037" s="10" t="str">
        <x:f>IF(NOT(AND(J1037="PASS",'Calibrare_Linii'!U15="VALID")),"",'Distributie'!AK79)</x:f>
      </x:c>
      <x:c r="N1037" s="10" t="str">
        <x:f>IF(M1037="","",MAX(0.01,MIN(0.99,0.5+(M1037-0.5)*'Motor_Meciuri'!BG79*'Calibrare_Linii'!D15)))</x:f>
      </x:c>
      <x:c r="O1037" s="10" t="str">
        <x:f>IF(M1037="","",1-M1037)</x:f>
      </x:c>
      <x:c r="P1037" s="10" t="str">
        <x:f>IF(OR(NOT(AND(J1037="PASS",'Calibrare_Linii'!U15="VALID")),AK1037=0),""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*('Istoric_Nativ'!$Q$6:$Q$405&gt;H1037))/AK1037)</x:f>
      </x:c>
      <x:c r="Q1037" s="10" t="str">
        <x:f>IF(OR(NOT(AND(J1037="PASS",'Calibrare_Linii'!U15="VALID")),AL1037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M79)+((('Istoric_Nativ'!$E$6:$E$405='Input_Meci'!E79)+('Istoric_Nativ'!$F$6:$F$405='Input_Meci'!E79))&gt;0)*('Istoric_Nativ'!$D$6:$D$405&gt;='Motor_Meciuri'!BN79))&gt;0)*('Istoric_Nativ'!$Q$6:$Q$405&gt;H1037))/AL1037)</x:f>
      </x:c>
      <x:c r="R1037" s="10" t="str">
        <x:f>IF(OR(NOT(AND(J1037="PASS",'Calibrare_Linii'!U15="VALID")),AM1037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O79)+((('Istoric_Nativ'!$E$6:$E$405='Input_Meci'!E79)+('Istoric_Nativ'!$F$6:$F$405='Input_Meci'!E79))&gt;0)*('Istoric_Nativ'!$D$6:$D$405&gt;='Motor_Meciuri'!BP79))&gt;0)*('Istoric_Nativ'!$Q$6:$Q$405&gt;H1037))/AM1037)</x:f>
      </x:c>
      <x:c r="S1037" s="10" t="str">
        <x:f>IF(M1037="","",MAX(O1037,P1037,Q1037,R1037))</x:f>
      </x:c>
      <x:c r="T1037" s="11" t="str">
        <x:f>IF(M1037="","",MIN(100,S1037*100*'Config_v6'!$B$44+MIN(100,L1037/'Config_v6'!$B$13*100)*'Config_v6'!$B$45+(100-'Motor_Meciuri'!BF79)*'Config_v6'!$B$46+'Motor_Meciuri'!BH79*100*'Config_v6'!$B$47))</x:f>
      </x:c>
      <x:c r="U1037" s="2" t="str">
        <x:f>IF(T1037="","",IF(T1037&lt;=20,1,IF(T1037&lt;=40,2,IF(T1037&lt;=60,3,IF(T1037&lt;=80,4,5)))))</x:f>
      </x:c>
      <x:c r="V1037" s="2" t="str">
        <x:f>IF(M1037="","",MAX(0,'Motor_Meciuri'!BF79-IF(W1037="OOS PENDING",'Config_v6'!$B$35,0)-IF(L1037&gt;'Config_v6'!$B$12,'Config_v6'!$B$37,IF(L1037&gt;'Config_v6'!$B$11,'Config_v6'!$B$36,0))))</x:f>
      </x:c>
      <x:c r="W1037" s="2" t="str">
        <x:f>IF(B1037="","",IF(I1037&lt;&gt;"READY","NOT RELEASED",IF(NOT(AND(J1037="PASS",'Calibrare_Linii'!U15="VALID")),"INVALID",IF(NOT(AND('Calibrare_Linii'!S15="VALIDATED",AND('Calibrare_Linii'!H15=C1037,ISNUMBER('Calibrare_Linii'!J15),'Calibrare_Linii'!J15&lt;='Input_Meci'!G79))),"OOS PENDING",IF(S1037&lt;='Calibrare_Linii'!E15,"PASS",IF(S1037&lt;='Calibrare_Linii'!F15,"PENALTY","WATCH"))))))</x:f>
      </x:c>
      <x:c r="X1037" s="2" t="str">
        <x:f>IF(M1037="","",IF(AND(AND(J1037="PASS",'Calibrare_Linii'!U15="VALID"),'Motor_Meciuri'!K79=12,'Motor_Meciuri'!L79=12,'Motor_Meciuri'!M79="NO",'Motor_Meciuri'!BL79='Motor_Meciuri'!C79,AB1037&gt;='Config_v6'!$B$50,AN1037&gt;='Config_v6'!$B$51,T1037&lt;='Config_v6'!$B$52,L1037&lt;='Config_v6'!$B$53,ISNUMBER('Calibrare_Linii'!E15),S1037&lt;='Calibrare_Linii'!E15,SUM(AK1037:AM1037)&gt;0),"CANDIDATE","NO"))</x:f>
      </x:c>
      <x:c r="Y1037" s="2" t="str">
        <x:f>IF(B1037="","",IF(I1037&lt;&gt;"READY","NOT RELEASED",IF(AND(X1037="CANDIDATE",V1037&gt;='Config_v6'!$B$51,W1037="PASS",'Calibrare_Linii'!T15="VALIDATED",AND('Calibrare_Linii'!H15=C1037,ISNUMBER('Calibrare_Linii'!J15),'Calibrare_Linii'!J15&lt;='Input_Meci'!G79)),"PASS",IF(X1037="CANDIDATE","OOS PENDING","FAIL"))))</x:f>
      </x:c>
      <x:c r="Z1037" s="2" t="str">
        <x:f>IF(B1037="","",IF(I1037&lt;&gt;"READY","",IF(OR(NOT(AND(J1037="PASS",'Calibrare_Linii'!U15="VALID")),L1037&gt;'Config_v6'!$B$13,W1037="WATCH"),5,IF(Y1037="PASS",1,MIN(5,MAX('Config_v6'!$B$42,U1037)+IF(W1037="PENALTY",1,0))))))</x:f>
      </x:c>
      <x:c r="AA1037" s="2" t="str">
        <x:f>IF(B1037="","",IF(I1037&lt;&gt;"READY","NOT RELEASED",IF(Z1037=5,"NO BET",IF(OR(AB1037&lt;'Config_v6'!$B$16,V1037&lt;'Config_v6'!$B$18),"WATCH",IF(Z1037=1,"DEFENSIV",IF(Z1037=2,"PRUDENT",IF(Z1037=3,"MODERAT","RIDICAT")))))))</x:f>
      </x:c>
      <x:c r="AB1037" s="10" t="str">
        <x:f>IF(N1037="","",MIN(N1037,1-S1037))</x:f>
      </x:c>
      <x:c r="AC1037" s="2" t="str">
        <x:f>IF(AD1037&lt;&gt;1,"",COUNTIFS($Z$1028:$Z$1041,"&lt;"&amp;Z1037,$AD$1028:$AD$1041,1)+COUNTIFS($Z$1028:$Z$1041,Z1037,$AB$1028:$AB$1041,"&gt;"&amp;AB1037,$AD$1028:$AD$1041,1)+COUNTIFS($Z$1028:$Z$1041,Z1037,$AB$1028:$AB$1041,AB1037,$V$1028:$V$1041,"&gt;"&amp;V1037,$AD$1028:$AD$1041,1)+COUNTIFS($Z$1028:Z1037,Z1037,$AB$1028:AB1037,AB1037,$V$1028:V1037,V1037,$AD$1028:AD1037,1))</x:f>
      </x:c>
      <x:c r="AD1037" s="2" t="n">
        <x:f>IF(OR(AA1037="DEFENSIV",AA1037="PRUDENT",AA1037="MODERAT",AA1037="RIDICAT"),1,0)</x:f>
        <x:v>0</x:v>
      </x:c>
      <x:c r="AE1037" s="2" t="str">
        <x:f>IF(AD1037&lt;&gt;1,"NO",IF(W1037="PASS","YES",IF(W1037="OOS PENDING","CONDITIONAL","NO")))</x:f>
        <x:v>NO</x:v>
      </x:c>
      <x:c r="AF1037" s="2" t="n">
        <x:f>IF(AND(AD1037=1,AC1037=1,E1037="LIVE"),1,0)</x:f>
        <x:v>0</x:v>
      </x:c>
      <x:c r="AG1037" s="2" t="str">
        <x:f>IF(AF1037&lt;&gt;1,"",'Dashboard'!P99)</x:f>
      </x:c>
      <x:c r="AH1037" s="2" t="str">
        <x:f>IF(B1037="","",IF(J1037&lt;&gt;"PASS",'Motor_Meciuri'!J79,IF('Calibrare_Linii'!U15&lt;&gt;"VALID","Parametri linie invalizi",IF(L1037&gt;'Config_v6'!$B$13,"Dispersie peste limita",IF(W1037="WATCH","Failure peste limita",IF(AB1037&lt;'Config_v6'!$B$16,"P finala sub prag",IF(V1037&lt;'Config_v6'!$B$18,"Confidence sub prag",IF(E1037="REPLAY","Exemplu retrospectiv; exclus din Top LIVE",IF(Y1037="PASS","DEFENSIV validat",IF(W1037="OOS PENDING","Eligibil; calibrare linie in monitorizare","Eligibil"))))))))))</x:f>
      </x:c>
      <x:c r="AI1037" s="2" t="str">
        <x:f>IF(B1037="","",'Calibrare_Linii'!V15)</x:f>
      </x:c>
      <x:c r="AJ1037" s="2" t="str">
        <x:f>IF(B1037="","",IF(AND('Calibrare_Linii'!T15="VALIDATED",AND('Calibrare_Linii'!H15=C1037,ISNUMBER('Calibrare_Linii'!J15),'Calibrare_Linii'!J15&lt;='Input_Meci'!G79)),"DEFENSIVE VALIDATED",IF(AND('Calibrare_Linii'!S15="VALIDATED",AND('Calibrare_Linii'!H15=C1037,ISNUMBER('Calibrare_Linii'!J15),'Calibrare_Linii'!J15&lt;='Input_Meci'!G79)),"TAIL VALIDATED","OOS PENDING")))</x:f>
      </x:c>
      <x:c r="AK1037" s="2" t="n">
        <x:f>IF(J1037&lt;&gt;"PASS",0,'Motor_Meciuri'!BR79)</x:f>
        <x:v>0</x:v>
      </x:c>
      <x:c r="AL1037" s="2" t="n">
        <x:f>IF(J1037&lt;&gt;"PASS",0,'Motor_Meciuri'!BS79)</x:f>
        <x:v>0</x:v>
      </x:c>
      <x:c r="AM1037" s="2" t="n">
        <x:f>IF(J1037&lt;&gt;"PASS",0,'Motor_Meciuri'!BT79)</x:f>
        <x:v>0</x:v>
      </x:c>
      <x:c r="AN1037" s="2" t="str">
        <x:f>IF(M1037="","",MAX(0,'Motor_Meciuri'!BF79-IF(L1037&gt;'Config_v6'!$B$12,'Config_v6'!$B$37,IF(L1037&gt;'Config_v6'!$B$11,'Config_v6'!$B$36,0))))</x:f>
      </x:c>
    </x:row>
    <x:row r="1038" ht="21" customHeight="1">
      <x:c r="A1038" s="2" t="n">
        <x:v>74</x:v>
      </x:c>
      <x:c r="B1038" s="2" t="str">
        <x:f>IF('Motor_Meciuri'!A79="","",'Motor_Meciuri'!A79)</x:f>
      </x:c>
      <x:c r="C1038" s="2" t="str">
        <x:f>IF(B1038="","",'Motor_Meciuri'!B79)</x:f>
      </x:c>
      <x:c r="D1038" s="2" t="str">
        <x:f>IF(B1038="","",'Motor_Meciuri'!D79)</x:f>
      </x:c>
      <x:c r="E1038" s="2" t="str">
        <x:f>IF(B1038="","",'Motor_Meciuri'!E79)</x:f>
      </x:c>
      <x:c r="F1038" s="2" t="str">
        <x:v>U14,5</x:v>
      </x:c>
      <x:c r="G1038" s="2" t="str">
        <x:v>UNDER</x:v>
      </x:c>
      <x:c r="H1038" s="2" t="n">
        <x:v>14</x:v>
      </x:c>
      <x:c r="I1038" s="2" t="str">
        <x:f>IF(B1038="","",'Motor_Meciuri'!H79)</x:f>
      </x:c>
      <x:c r="J1038" s="2" t="str">
        <x:f>IF(B1038="","",'Motor_Meciuri'!I79)</x:f>
      </x:c>
      <x:c r="K1038" s="11" t="str">
        <x:f>IF(J1038&lt;&gt;"PASS","",'Motor_Meciuri'!BD79)</x:f>
      </x:c>
      <x:c r="L1038" s="11" t="str">
        <x:f>IF(J1038&lt;&gt;"PASS","",'Motor_Meciuri'!AU79)</x:f>
      </x:c>
      <x:c r="M1038" s="10" t="str">
        <x:f>IF(NOT(AND(J1038="PASS",'Calibrare_Linii'!U16="VALID")),"",'Distributie'!AL79)</x:f>
      </x:c>
      <x:c r="N1038" s="10" t="str">
        <x:f>IF(M1038="","",MAX(0.01,MIN(0.99,0.5+(M1038-0.5)*'Motor_Meciuri'!BG79*'Calibrare_Linii'!D16)))</x:f>
      </x:c>
      <x:c r="O1038" s="10" t="str">
        <x:f>IF(M1038="","",1-M1038)</x:f>
      </x:c>
      <x:c r="P1038" s="10" t="str">
        <x:f>IF(OR(NOT(AND(J1038="PASS",'Calibrare_Linii'!U16="VALID")),AK1038=0),""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*('Istoric_Nativ'!$Q$6:$Q$405&gt;H1038))/AK1038)</x:f>
      </x:c>
      <x:c r="Q1038" s="10" t="str">
        <x:f>IF(OR(NOT(AND(J1038="PASS",'Calibrare_Linii'!U16="VALID")),AL1038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M79)+((('Istoric_Nativ'!$E$6:$E$405='Input_Meci'!E79)+('Istoric_Nativ'!$F$6:$F$405='Input_Meci'!E79))&gt;0)*('Istoric_Nativ'!$D$6:$D$405&gt;='Motor_Meciuri'!BN79))&gt;0)*('Istoric_Nativ'!$Q$6:$Q$405&gt;H1038))/AL1038)</x:f>
      </x:c>
      <x:c r="R1038" s="10" t="str">
        <x:f>IF(OR(NOT(AND(J1038="PASS",'Calibrare_Linii'!U16="VALID")),AM1038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O79)+((('Istoric_Nativ'!$E$6:$E$405='Input_Meci'!E79)+('Istoric_Nativ'!$F$6:$F$405='Input_Meci'!E79))&gt;0)*('Istoric_Nativ'!$D$6:$D$405&gt;='Motor_Meciuri'!BP79))&gt;0)*('Istoric_Nativ'!$Q$6:$Q$405&gt;H1038))/AM1038)</x:f>
      </x:c>
      <x:c r="S1038" s="10" t="str">
        <x:f>IF(M1038="","",MAX(O1038,P1038,Q1038,R1038))</x:f>
      </x:c>
      <x:c r="T1038" s="11" t="str">
        <x:f>IF(M1038="","",MIN(100,S1038*100*'Config_v6'!$B$44+MIN(100,L1038/'Config_v6'!$B$13*100)*'Config_v6'!$B$45+(100-'Motor_Meciuri'!BF79)*'Config_v6'!$B$46+'Motor_Meciuri'!BH79*100*'Config_v6'!$B$47))</x:f>
      </x:c>
      <x:c r="U1038" s="2" t="str">
        <x:f>IF(T1038="","",IF(T1038&lt;=20,1,IF(T1038&lt;=40,2,IF(T1038&lt;=60,3,IF(T1038&lt;=80,4,5)))))</x:f>
      </x:c>
      <x:c r="V1038" s="2" t="str">
        <x:f>IF(M1038="","",MAX(0,'Motor_Meciuri'!BF79-IF(W1038="OOS PENDING",'Config_v6'!$B$35,0)-IF(L1038&gt;'Config_v6'!$B$12,'Config_v6'!$B$37,IF(L1038&gt;'Config_v6'!$B$11,'Config_v6'!$B$36,0))))</x:f>
      </x:c>
      <x:c r="W1038" s="2" t="str">
        <x:f>IF(B1038="","",IF(I1038&lt;&gt;"READY","NOT RELEASED",IF(NOT(AND(J1038="PASS",'Calibrare_Linii'!U16="VALID")),"INVALID",IF(NOT(AND('Calibrare_Linii'!S16="VALIDATED",AND('Calibrare_Linii'!H16=C1038,ISNUMBER('Calibrare_Linii'!J16),'Calibrare_Linii'!J16&lt;='Input_Meci'!G79))),"OOS PENDING",IF(S1038&lt;='Calibrare_Linii'!E16,"PASS",IF(S1038&lt;='Calibrare_Linii'!F16,"PENALTY","WATCH"))))))</x:f>
      </x:c>
      <x:c r="X1038" s="2" t="str">
        <x:f>IF(M1038="","",IF(AND(AND(J1038="PASS",'Calibrare_Linii'!U16="VALID"),'Motor_Meciuri'!K79=12,'Motor_Meciuri'!L79=12,'Motor_Meciuri'!M79="NO",'Motor_Meciuri'!BL79='Motor_Meciuri'!C79,AB1038&gt;='Config_v6'!$B$50,AN1038&gt;='Config_v6'!$B$51,T1038&lt;='Config_v6'!$B$52,L1038&lt;='Config_v6'!$B$53,ISNUMBER('Calibrare_Linii'!E16),S1038&lt;='Calibrare_Linii'!E16,SUM(AK1038:AM1038)&gt;0),"CANDIDATE","NO"))</x:f>
      </x:c>
      <x:c r="Y1038" s="2" t="str">
        <x:f>IF(B1038="","",IF(I1038&lt;&gt;"READY","NOT RELEASED",IF(AND(X1038="CANDIDATE",V1038&gt;='Config_v6'!$B$51,W1038="PASS",'Calibrare_Linii'!T16="VALIDATED",AND('Calibrare_Linii'!H16=C1038,ISNUMBER('Calibrare_Linii'!J16),'Calibrare_Linii'!J16&lt;='Input_Meci'!G79)),"PASS",IF(X1038="CANDIDATE","OOS PENDING","FAIL"))))</x:f>
      </x:c>
      <x:c r="Z1038" s="2" t="str">
        <x:f>IF(B1038="","",IF(I1038&lt;&gt;"READY","",IF(OR(NOT(AND(J1038="PASS",'Calibrare_Linii'!U16="VALID")),L1038&gt;'Config_v6'!$B$13,W1038="WATCH"),5,IF(Y1038="PASS",1,MIN(5,MAX('Config_v6'!$B$42,U1038)+IF(W1038="PENALTY",1,0))))))</x:f>
      </x:c>
      <x:c r="AA1038" s="2" t="str">
        <x:f>IF(B1038="","",IF(I1038&lt;&gt;"READY","NOT RELEASED",IF(Z1038=5,"NO BET",IF(OR(AB1038&lt;'Config_v6'!$B$16,V1038&lt;'Config_v6'!$B$18),"WATCH",IF(Z1038=1,"DEFENSIV",IF(Z1038=2,"PRUDENT",IF(Z1038=3,"MODERAT","RIDICAT")))))))</x:f>
      </x:c>
      <x:c r="AB1038" s="10" t="str">
        <x:f>IF(N1038="","",MIN(N1038,1-S1038))</x:f>
      </x:c>
      <x:c r="AC1038" s="2" t="str">
        <x:f>IF(AD1038&lt;&gt;1,"",COUNTIFS($Z$1028:$Z$1041,"&lt;"&amp;Z1038,$AD$1028:$AD$1041,1)+COUNTIFS($Z$1028:$Z$1041,Z1038,$AB$1028:$AB$1041,"&gt;"&amp;AB1038,$AD$1028:$AD$1041,1)+COUNTIFS($Z$1028:$Z$1041,Z1038,$AB$1028:$AB$1041,AB1038,$V$1028:$V$1041,"&gt;"&amp;V1038,$AD$1028:$AD$1041,1)+COUNTIFS($Z$1028:Z1038,Z1038,$AB$1028:AB1038,AB1038,$V$1028:V1038,V1038,$AD$1028:AD1038,1))</x:f>
      </x:c>
      <x:c r="AD1038" s="2" t="n">
        <x:f>IF(OR(AA1038="DEFENSIV",AA1038="PRUDENT",AA1038="MODERAT",AA1038="RIDICAT"),1,0)</x:f>
        <x:v>0</x:v>
      </x:c>
      <x:c r="AE1038" s="2" t="str">
        <x:f>IF(AD1038&lt;&gt;1,"NO",IF(W1038="PASS","YES",IF(W1038="OOS PENDING","CONDITIONAL","NO")))</x:f>
        <x:v>NO</x:v>
      </x:c>
      <x:c r="AF1038" s="2" t="n">
        <x:f>IF(AND(AD1038=1,AC1038=1,E1038="LIVE"),1,0)</x:f>
        <x:v>0</x:v>
      </x:c>
      <x:c r="AG1038" s="2" t="str">
        <x:f>IF(AF1038&lt;&gt;1,"",'Dashboard'!P99)</x:f>
      </x:c>
      <x:c r="AH1038" s="2" t="str">
        <x:f>IF(B1038="","",IF(J1038&lt;&gt;"PASS",'Motor_Meciuri'!J79,IF('Calibrare_Linii'!U16&lt;&gt;"VALID","Parametri linie invalizi",IF(L1038&gt;'Config_v6'!$B$13,"Dispersie peste limita",IF(W1038="WATCH","Failure peste limita",IF(AB1038&lt;'Config_v6'!$B$16,"P finala sub prag",IF(V1038&lt;'Config_v6'!$B$18,"Confidence sub prag",IF(E1038="REPLAY","Exemplu retrospectiv; exclus din Top LIVE",IF(Y1038="PASS","DEFENSIV validat",IF(W1038="OOS PENDING","Eligibil; calibrare linie in monitorizare","Eligibil"))))))))))</x:f>
      </x:c>
      <x:c r="AI1038" s="2" t="str">
        <x:f>IF(B1038="","",'Calibrare_Linii'!V16)</x:f>
      </x:c>
      <x:c r="AJ1038" s="2" t="str">
        <x:f>IF(B1038="","",IF(AND('Calibrare_Linii'!T16="VALIDATED",AND('Calibrare_Linii'!H16=C1038,ISNUMBER('Calibrare_Linii'!J16),'Calibrare_Linii'!J16&lt;='Input_Meci'!G79)),"DEFENSIVE VALIDATED",IF(AND('Calibrare_Linii'!S16="VALIDATED",AND('Calibrare_Linii'!H16=C1038,ISNUMBER('Calibrare_Linii'!J16),'Calibrare_Linii'!J16&lt;='Input_Meci'!G79)),"TAIL VALIDATED","OOS PENDING")))</x:f>
      </x:c>
      <x:c r="AK1038" s="2" t="n">
        <x:f>IF(J1038&lt;&gt;"PASS",0,'Motor_Meciuri'!BR79)</x:f>
        <x:v>0</x:v>
      </x:c>
      <x:c r="AL1038" s="2" t="n">
        <x:f>IF(J1038&lt;&gt;"PASS",0,'Motor_Meciuri'!BS79)</x:f>
        <x:v>0</x:v>
      </x:c>
      <x:c r="AM1038" s="2" t="n">
        <x:f>IF(J1038&lt;&gt;"PASS",0,'Motor_Meciuri'!BT79)</x:f>
        <x:v>0</x:v>
      </x:c>
      <x:c r="AN1038" s="2" t="str">
        <x:f>IF(M1038="","",MAX(0,'Motor_Meciuri'!BF79-IF(L1038&gt;'Config_v6'!$B$12,'Config_v6'!$B$37,IF(L1038&gt;'Config_v6'!$B$11,'Config_v6'!$B$36,0))))</x:f>
      </x:c>
    </x:row>
    <x:row r="1039" ht="21" customHeight="1">
      <x:c r="A1039" s="2" t="n">
        <x:v>74</x:v>
      </x:c>
      <x:c r="B1039" s="2" t="str">
        <x:f>IF('Motor_Meciuri'!A79="","",'Motor_Meciuri'!A79)</x:f>
      </x:c>
      <x:c r="C1039" s="2" t="str">
        <x:f>IF(B1039="","",'Motor_Meciuri'!B79)</x:f>
      </x:c>
      <x:c r="D1039" s="2" t="str">
        <x:f>IF(B1039="","",'Motor_Meciuri'!D79)</x:f>
      </x:c>
      <x:c r="E1039" s="2" t="str">
        <x:f>IF(B1039="","",'Motor_Meciuri'!E79)</x:f>
      </x:c>
      <x:c r="F1039" s="2" t="str">
        <x:v>U15,5</x:v>
      </x:c>
      <x:c r="G1039" s="2" t="str">
        <x:v>UNDER</x:v>
      </x:c>
      <x:c r="H1039" s="2" t="n">
        <x:v>15</x:v>
      </x:c>
      <x:c r="I1039" s="2" t="str">
        <x:f>IF(B1039="","",'Motor_Meciuri'!H79)</x:f>
      </x:c>
      <x:c r="J1039" s="2" t="str">
        <x:f>IF(B1039="","",'Motor_Meciuri'!I79)</x:f>
      </x:c>
      <x:c r="K1039" s="11" t="str">
        <x:f>IF(J1039&lt;&gt;"PASS","",'Motor_Meciuri'!BD79)</x:f>
      </x:c>
      <x:c r="L1039" s="11" t="str">
        <x:f>IF(J1039&lt;&gt;"PASS","",'Motor_Meciuri'!AU79)</x:f>
      </x:c>
      <x:c r="M1039" s="10" t="str">
        <x:f>IF(NOT(AND(J1039="PASS",'Calibrare_Linii'!U17="VALID")),"",'Distributie'!AM79)</x:f>
      </x:c>
      <x:c r="N1039" s="10" t="str">
        <x:f>IF(M1039="","",MAX(0.01,MIN(0.99,0.5+(M1039-0.5)*'Motor_Meciuri'!BG79*'Calibrare_Linii'!D17)))</x:f>
      </x:c>
      <x:c r="O1039" s="10" t="str">
        <x:f>IF(M1039="","",1-M1039)</x:f>
      </x:c>
      <x:c r="P1039" s="10" t="str">
        <x:f>IF(OR(NOT(AND(J1039="PASS",'Calibrare_Linii'!U17="VALID")),AK1039=0),""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*('Istoric_Nativ'!$Q$6:$Q$405&gt;H1039))/AK1039)</x:f>
      </x:c>
      <x:c r="Q1039" s="10" t="str">
        <x:f>IF(OR(NOT(AND(J1039="PASS",'Calibrare_Linii'!U17="VALID")),AL1039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M79)+((('Istoric_Nativ'!$E$6:$E$405='Input_Meci'!E79)+('Istoric_Nativ'!$F$6:$F$405='Input_Meci'!E79))&gt;0)*('Istoric_Nativ'!$D$6:$D$405&gt;='Motor_Meciuri'!BN79))&gt;0)*('Istoric_Nativ'!$Q$6:$Q$405&gt;H1039))/AL1039)</x:f>
      </x:c>
      <x:c r="R1039" s="10" t="str">
        <x:f>IF(OR(NOT(AND(J1039="PASS",'Calibrare_Linii'!U17="VALID")),AM1039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O79)+((('Istoric_Nativ'!$E$6:$E$405='Input_Meci'!E79)+('Istoric_Nativ'!$F$6:$F$405='Input_Meci'!E79))&gt;0)*('Istoric_Nativ'!$D$6:$D$405&gt;='Motor_Meciuri'!BP79))&gt;0)*('Istoric_Nativ'!$Q$6:$Q$405&gt;H1039))/AM1039)</x:f>
      </x:c>
      <x:c r="S1039" s="10" t="str">
        <x:f>IF(M1039="","",MAX(O1039,P1039,Q1039,R1039))</x:f>
      </x:c>
      <x:c r="T1039" s="11" t="str">
        <x:f>IF(M1039="","",MIN(100,S1039*100*'Config_v6'!$B$44+MIN(100,L1039/'Config_v6'!$B$13*100)*'Config_v6'!$B$45+(100-'Motor_Meciuri'!BF79)*'Config_v6'!$B$46+'Motor_Meciuri'!BH79*100*'Config_v6'!$B$47))</x:f>
      </x:c>
      <x:c r="U1039" s="2" t="str">
        <x:f>IF(T1039="","",IF(T1039&lt;=20,1,IF(T1039&lt;=40,2,IF(T1039&lt;=60,3,IF(T1039&lt;=80,4,5)))))</x:f>
      </x:c>
      <x:c r="V1039" s="2" t="str">
        <x:f>IF(M1039="","",MAX(0,'Motor_Meciuri'!BF79-IF(W1039="OOS PENDING",'Config_v6'!$B$35,0)-IF(L1039&gt;'Config_v6'!$B$12,'Config_v6'!$B$37,IF(L1039&gt;'Config_v6'!$B$11,'Config_v6'!$B$36,0))))</x:f>
      </x:c>
      <x:c r="W1039" s="2" t="str">
        <x:f>IF(B1039="","",IF(I1039&lt;&gt;"READY","NOT RELEASED",IF(NOT(AND(J1039="PASS",'Calibrare_Linii'!U17="VALID")),"INVALID",IF(NOT(AND('Calibrare_Linii'!S17="VALIDATED",AND('Calibrare_Linii'!H17=C1039,ISNUMBER('Calibrare_Linii'!J17),'Calibrare_Linii'!J17&lt;='Input_Meci'!G79))),"OOS PENDING",IF(S1039&lt;='Calibrare_Linii'!E17,"PASS",IF(S1039&lt;='Calibrare_Linii'!F17,"PENALTY","WATCH"))))))</x:f>
      </x:c>
      <x:c r="X1039" s="2" t="str">
        <x:f>IF(M1039="","",IF(AND(AND(J1039="PASS",'Calibrare_Linii'!U17="VALID"),'Motor_Meciuri'!K79=12,'Motor_Meciuri'!L79=12,'Motor_Meciuri'!M79="NO",'Motor_Meciuri'!BL79='Motor_Meciuri'!C79,AB1039&gt;='Config_v6'!$B$50,AN1039&gt;='Config_v6'!$B$51,T1039&lt;='Config_v6'!$B$52,L1039&lt;='Config_v6'!$B$53,ISNUMBER('Calibrare_Linii'!E17),S1039&lt;='Calibrare_Linii'!E17,SUM(AK1039:AM1039)&gt;0),"CANDIDATE","NO"))</x:f>
      </x:c>
      <x:c r="Y1039" s="2" t="str">
        <x:f>IF(B1039="","",IF(I1039&lt;&gt;"READY","NOT RELEASED",IF(AND(X1039="CANDIDATE",V1039&gt;='Config_v6'!$B$51,W1039="PASS",'Calibrare_Linii'!T17="VALIDATED",AND('Calibrare_Linii'!H17=C1039,ISNUMBER('Calibrare_Linii'!J17),'Calibrare_Linii'!J17&lt;='Input_Meci'!G79)),"PASS",IF(X1039="CANDIDATE","OOS PENDING","FAIL"))))</x:f>
      </x:c>
      <x:c r="Z1039" s="2" t="str">
        <x:f>IF(B1039="","",IF(I1039&lt;&gt;"READY","",IF(OR(NOT(AND(J1039="PASS",'Calibrare_Linii'!U17="VALID")),L1039&gt;'Config_v6'!$B$13,W1039="WATCH"),5,IF(Y1039="PASS",1,MIN(5,MAX('Config_v6'!$B$42,U1039)+IF(W1039="PENALTY",1,0))))))</x:f>
      </x:c>
      <x:c r="AA1039" s="2" t="str">
        <x:f>IF(B1039="","",IF(I1039&lt;&gt;"READY","NOT RELEASED",IF(Z1039=5,"NO BET",IF(OR(AB1039&lt;'Config_v6'!$B$16,V1039&lt;'Config_v6'!$B$18),"WATCH",IF(Z1039=1,"DEFENSIV",IF(Z1039=2,"PRUDENT",IF(Z1039=3,"MODERAT","RIDICAT")))))))</x:f>
      </x:c>
      <x:c r="AB1039" s="10" t="str">
        <x:f>IF(N1039="","",MIN(N1039,1-S1039))</x:f>
      </x:c>
      <x:c r="AC1039" s="2" t="str">
        <x:f>IF(AD1039&lt;&gt;1,"",COUNTIFS($Z$1028:$Z$1041,"&lt;"&amp;Z1039,$AD$1028:$AD$1041,1)+COUNTIFS($Z$1028:$Z$1041,Z1039,$AB$1028:$AB$1041,"&gt;"&amp;AB1039,$AD$1028:$AD$1041,1)+COUNTIFS($Z$1028:$Z$1041,Z1039,$AB$1028:$AB$1041,AB1039,$V$1028:$V$1041,"&gt;"&amp;V1039,$AD$1028:$AD$1041,1)+COUNTIFS($Z$1028:Z1039,Z1039,$AB$1028:AB1039,AB1039,$V$1028:V1039,V1039,$AD$1028:AD1039,1))</x:f>
      </x:c>
      <x:c r="AD1039" s="2" t="n">
        <x:f>IF(OR(AA1039="DEFENSIV",AA1039="PRUDENT",AA1039="MODERAT",AA1039="RIDICAT"),1,0)</x:f>
        <x:v>0</x:v>
      </x:c>
      <x:c r="AE1039" s="2" t="str">
        <x:f>IF(AD1039&lt;&gt;1,"NO",IF(W1039="PASS","YES",IF(W1039="OOS PENDING","CONDITIONAL","NO")))</x:f>
        <x:v>NO</x:v>
      </x:c>
      <x:c r="AF1039" s="2" t="n">
        <x:f>IF(AND(AD1039=1,AC1039=1,E1039="LIVE"),1,0)</x:f>
        <x:v>0</x:v>
      </x:c>
      <x:c r="AG1039" s="2" t="str">
        <x:f>IF(AF1039&lt;&gt;1,"",'Dashboard'!P99)</x:f>
      </x:c>
      <x:c r="AH1039" s="2" t="str">
        <x:f>IF(B1039="","",IF(J1039&lt;&gt;"PASS",'Motor_Meciuri'!J79,IF('Calibrare_Linii'!U17&lt;&gt;"VALID","Parametri linie invalizi",IF(L1039&gt;'Config_v6'!$B$13,"Dispersie peste limita",IF(W1039="WATCH","Failure peste limita",IF(AB1039&lt;'Config_v6'!$B$16,"P finala sub prag",IF(V1039&lt;'Config_v6'!$B$18,"Confidence sub prag",IF(E1039="REPLAY","Exemplu retrospectiv; exclus din Top LIVE",IF(Y1039="PASS","DEFENSIV validat",IF(W1039="OOS PENDING","Eligibil; calibrare linie in monitorizare","Eligibil"))))))))))</x:f>
      </x:c>
      <x:c r="AI1039" s="2" t="str">
        <x:f>IF(B1039="","",'Calibrare_Linii'!V17)</x:f>
      </x:c>
      <x:c r="AJ1039" s="2" t="str">
        <x:f>IF(B1039="","",IF(AND('Calibrare_Linii'!T17="VALIDATED",AND('Calibrare_Linii'!H17=C1039,ISNUMBER('Calibrare_Linii'!J17),'Calibrare_Linii'!J17&lt;='Input_Meci'!G79)),"DEFENSIVE VALIDATED",IF(AND('Calibrare_Linii'!S17="VALIDATED",AND('Calibrare_Linii'!H17=C1039,ISNUMBER('Calibrare_Linii'!J17),'Calibrare_Linii'!J17&lt;='Input_Meci'!G79)),"TAIL VALIDATED","OOS PENDING")))</x:f>
      </x:c>
      <x:c r="AK1039" s="2" t="n">
        <x:f>IF(J1039&lt;&gt;"PASS",0,'Motor_Meciuri'!BR79)</x:f>
        <x:v>0</x:v>
      </x:c>
      <x:c r="AL1039" s="2" t="n">
        <x:f>IF(J1039&lt;&gt;"PASS",0,'Motor_Meciuri'!BS79)</x:f>
        <x:v>0</x:v>
      </x:c>
      <x:c r="AM1039" s="2" t="n">
        <x:f>IF(J1039&lt;&gt;"PASS",0,'Motor_Meciuri'!BT79)</x:f>
        <x:v>0</x:v>
      </x:c>
      <x:c r="AN1039" s="2" t="str">
        <x:f>IF(M1039="","",MAX(0,'Motor_Meciuri'!BF79-IF(L1039&gt;'Config_v6'!$B$12,'Config_v6'!$B$37,IF(L1039&gt;'Config_v6'!$B$11,'Config_v6'!$B$36,0))))</x:f>
      </x:c>
    </x:row>
    <x:row r="1040" ht="21" customHeight="1">
      <x:c r="A1040" s="2" t="n">
        <x:v>74</x:v>
      </x:c>
      <x:c r="B1040" s="2" t="str">
        <x:f>IF('Motor_Meciuri'!A79="","",'Motor_Meciuri'!A79)</x:f>
      </x:c>
      <x:c r="C1040" s="2" t="str">
        <x:f>IF(B1040="","",'Motor_Meciuri'!B79)</x:f>
      </x:c>
      <x:c r="D1040" s="2" t="str">
        <x:f>IF(B1040="","",'Motor_Meciuri'!D79)</x:f>
      </x:c>
      <x:c r="E1040" s="2" t="str">
        <x:f>IF(B1040="","",'Motor_Meciuri'!E79)</x:f>
      </x:c>
      <x:c r="F1040" s="2" t="str">
        <x:v>U16,5</x:v>
      </x:c>
      <x:c r="G1040" s="2" t="str">
        <x:v>UNDER</x:v>
      </x:c>
      <x:c r="H1040" s="2" t="n">
        <x:v>16</x:v>
      </x:c>
      <x:c r="I1040" s="2" t="str">
        <x:f>IF(B1040="","",'Motor_Meciuri'!H79)</x:f>
      </x:c>
      <x:c r="J1040" s="2" t="str">
        <x:f>IF(B1040="","",'Motor_Meciuri'!I79)</x:f>
      </x:c>
      <x:c r="K1040" s="11" t="str">
        <x:f>IF(J1040&lt;&gt;"PASS","",'Motor_Meciuri'!BD79)</x:f>
      </x:c>
      <x:c r="L1040" s="11" t="str">
        <x:f>IF(J1040&lt;&gt;"PASS","",'Motor_Meciuri'!AU79)</x:f>
      </x:c>
      <x:c r="M1040" s="10" t="str">
        <x:f>IF(NOT(AND(J1040="PASS",'Calibrare_Linii'!U18="VALID")),"",'Distributie'!AN79)</x:f>
      </x:c>
      <x:c r="N1040" s="10" t="str">
        <x:f>IF(M1040="","",MAX(0.01,MIN(0.99,0.5+(M1040-0.5)*'Motor_Meciuri'!BG79*'Calibrare_Linii'!D18)))</x:f>
      </x:c>
      <x:c r="O1040" s="10" t="str">
        <x:f>IF(M1040="","",1-M1040)</x:f>
      </x:c>
      <x:c r="P1040" s="10" t="str">
        <x:f>IF(OR(NOT(AND(J1040="PASS",'Calibrare_Linii'!U18="VALID")),AK1040=0),""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*('Istoric_Nativ'!$Q$6:$Q$405&gt;H1040))/AK1040)</x:f>
      </x:c>
      <x:c r="Q1040" s="10" t="str">
        <x:f>IF(OR(NOT(AND(J1040="PASS",'Calibrare_Linii'!U18="VALID")),AL1040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M79)+((('Istoric_Nativ'!$E$6:$E$405='Input_Meci'!E79)+('Istoric_Nativ'!$F$6:$F$405='Input_Meci'!E79))&gt;0)*('Istoric_Nativ'!$D$6:$D$405&gt;='Motor_Meciuri'!BN79))&gt;0)*('Istoric_Nativ'!$Q$6:$Q$405&gt;H1040))/AL1040)</x:f>
      </x:c>
      <x:c r="R1040" s="10" t="str">
        <x:f>IF(OR(NOT(AND(J1040="PASS",'Calibrare_Linii'!U18="VALID")),AM1040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O79)+((('Istoric_Nativ'!$E$6:$E$405='Input_Meci'!E79)+('Istoric_Nativ'!$F$6:$F$405='Input_Meci'!E79))&gt;0)*('Istoric_Nativ'!$D$6:$D$405&gt;='Motor_Meciuri'!BP79))&gt;0)*('Istoric_Nativ'!$Q$6:$Q$405&gt;H1040))/AM1040)</x:f>
      </x:c>
      <x:c r="S1040" s="10" t="str">
        <x:f>IF(M1040="","",MAX(O1040,P1040,Q1040,R1040))</x:f>
      </x:c>
      <x:c r="T1040" s="11" t="str">
        <x:f>IF(M1040="","",MIN(100,S1040*100*'Config_v6'!$B$44+MIN(100,L1040/'Config_v6'!$B$13*100)*'Config_v6'!$B$45+(100-'Motor_Meciuri'!BF79)*'Config_v6'!$B$46+'Motor_Meciuri'!BH79*100*'Config_v6'!$B$47))</x:f>
      </x:c>
      <x:c r="U1040" s="2" t="str">
        <x:f>IF(T1040="","",IF(T1040&lt;=20,1,IF(T1040&lt;=40,2,IF(T1040&lt;=60,3,IF(T1040&lt;=80,4,5)))))</x:f>
      </x:c>
      <x:c r="V1040" s="2" t="str">
        <x:f>IF(M1040="","",MAX(0,'Motor_Meciuri'!BF79-IF(W1040="OOS PENDING",'Config_v6'!$B$35,0)-IF(L1040&gt;'Config_v6'!$B$12,'Config_v6'!$B$37,IF(L1040&gt;'Config_v6'!$B$11,'Config_v6'!$B$36,0))))</x:f>
      </x:c>
      <x:c r="W1040" s="2" t="str">
        <x:f>IF(B1040="","",IF(I1040&lt;&gt;"READY","NOT RELEASED",IF(NOT(AND(J1040="PASS",'Calibrare_Linii'!U18="VALID")),"INVALID",IF(NOT(AND('Calibrare_Linii'!S18="VALIDATED",AND('Calibrare_Linii'!H18=C1040,ISNUMBER('Calibrare_Linii'!J18),'Calibrare_Linii'!J18&lt;='Input_Meci'!G79))),"OOS PENDING",IF(S1040&lt;='Calibrare_Linii'!E18,"PASS",IF(S1040&lt;='Calibrare_Linii'!F18,"PENALTY","WATCH"))))))</x:f>
      </x:c>
      <x:c r="X1040" s="2" t="str">
        <x:f>IF(M1040="","",IF(AND(AND(J1040="PASS",'Calibrare_Linii'!U18="VALID"),'Motor_Meciuri'!K79=12,'Motor_Meciuri'!L79=12,'Motor_Meciuri'!M79="NO",'Motor_Meciuri'!BL79='Motor_Meciuri'!C79,AB1040&gt;='Config_v6'!$B$50,AN1040&gt;='Config_v6'!$B$51,T1040&lt;='Config_v6'!$B$52,L1040&lt;='Config_v6'!$B$53,ISNUMBER('Calibrare_Linii'!E18),S1040&lt;='Calibrare_Linii'!E18,SUM(AK1040:AM1040)&gt;0),"CANDIDATE","NO"))</x:f>
      </x:c>
      <x:c r="Y1040" s="2" t="str">
        <x:f>IF(B1040="","",IF(I1040&lt;&gt;"READY","NOT RELEASED",IF(AND(X1040="CANDIDATE",V1040&gt;='Config_v6'!$B$51,W1040="PASS",'Calibrare_Linii'!T18="VALIDATED",AND('Calibrare_Linii'!H18=C1040,ISNUMBER('Calibrare_Linii'!J18),'Calibrare_Linii'!J18&lt;='Input_Meci'!G79)),"PASS",IF(X1040="CANDIDATE","OOS PENDING","FAIL"))))</x:f>
      </x:c>
      <x:c r="Z1040" s="2" t="str">
        <x:f>IF(B1040="","",IF(I1040&lt;&gt;"READY","",IF(OR(NOT(AND(J1040="PASS",'Calibrare_Linii'!U18="VALID")),L1040&gt;'Config_v6'!$B$13,W1040="WATCH"),5,IF(Y1040="PASS",1,MIN(5,MAX('Config_v6'!$B$42,U1040)+IF(W1040="PENALTY",1,0))))))</x:f>
      </x:c>
      <x:c r="AA1040" s="2" t="str">
        <x:f>IF(B1040="","",IF(I1040&lt;&gt;"READY","NOT RELEASED",IF(Z1040=5,"NO BET",IF(OR(AB1040&lt;'Config_v6'!$B$16,V1040&lt;'Config_v6'!$B$18),"WATCH",IF(Z1040=1,"DEFENSIV",IF(Z1040=2,"PRUDENT",IF(Z1040=3,"MODERAT","RIDICAT")))))))</x:f>
      </x:c>
      <x:c r="AB1040" s="10" t="str">
        <x:f>IF(N1040="","",MIN(N1040,1-S1040))</x:f>
      </x:c>
      <x:c r="AC1040" s="2" t="str">
        <x:f>IF(AD1040&lt;&gt;1,"",COUNTIFS($Z$1028:$Z$1041,"&lt;"&amp;Z1040,$AD$1028:$AD$1041,1)+COUNTIFS($Z$1028:$Z$1041,Z1040,$AB$1028:$AB$1041,"&gt;"&amp;AB1040,$AD$1028:$AD$1041,1)+COUNTIFS($Z$1028:$Z$1041,Z1040,$AB$1028:$AB$1041,AB1040,$V$1028:$V$1041,"&gt;"&amp;V1040,$AD$1028:$AD$1041,1)+COUNTIFS($Z$1028:Z1040,Z1040,$AB$1028:AB1040,AB1040,$V$1028:V1040,V1040,$AD$1028:AD1040,1))</x:f>
      </x:c>
      <x:c r="AD1040" s="2" t="n">
        <x:f>IF(OR(AA1040="DEFENSIV",AA1040="PRUDENT",AA1040="MODERAT",AA1040="RIDICAT"),1,0)</x:f>
        <x:v>0</x:v>
      </x:c>
      <x:c r="AE1040" s="2" t="str">
        <x:f>IF(AD1040&lt;&gt;1,"NO",IF(W1040="PASS","YES",IF(W1040="OOS PENDING","CONDITIONAL","NO")))</x:f>
        <x:v>NO</x:v>
      </x:c>
      <x:c r="AF1040" s="2" t="n">
        <x:f>IF(AND(AD1040=1,AC1040=1,E1040="LIVE"),1,0)</x:f>
        <x:v>0</x:v>
      </x:c>
      <x:c r="AG1040" s="2" t="str">
        <x:f>IF(AF1040&lt;&gt;1,"",'Dashboard'!P99)</x:f>
      </x:c>
      <x:c r="AH1040" s="2" t="str">
        <x:f>IF(B1040="","",IF(J1040&lt;&gt;"PASS",'Motor_Meciuri'!J79,IF('Calibrare_Linii'!U18&lt;&gt;"VALID","Parametri linie invalizi",IF(L1040&gt;'Config_v6'!$B$13,"Dispersie peste limita",IF(W1040="WATCH","Failure peste limita",IF(AB1040&lt;'Config_v6'!$B$16,"P finala sub prag",IF(V1040&lt;'Config_v6'!$B$18,"Confidence sub prag",IF(E1040="REPLAY","Exemplu retrospectiv; exclus din Top LIVE",IF(Y1040="PASS","DEFENSIV validat",IF(W1040="OOS PENDING","Eligibil; calibrare linie in monitorizare","Eligibil"))))))))))</x:f>
      </x:c>
      <x:c r="AI1040" s="2" t="str">
        <x:f>IF(B1040="","",'Calibrare_Linii'!V18)</x:f>
      </x:c>
      <x:c r="AJ1040" s="2" t="str">
        <x:f>IF(B1040="","",IF(AND('Calibrare_Linii'!T18="VALIDATED",AND('Calibrare_Linii'!H18=C1040,ISNUMBER('Calibrare_Linii'!J18),'Calibrare_Linii'!J18&lt;='Input_Meci'!G79)),"DEFENSIVE VALIDATED",IF(AND('Calibrare_Linii'!S18="VALIDATED",AND('Calibrare_Linii'!H18=C1040,ISNUMBER('Calibrare_Linii'!J18),'Calibrare_Linii'!J18&lt;='Input_Meci'!G79)),"TAIL VALIDATED","OOS PENDING")))</x:f>
      </x:c>
      <x:c r="AK1040" s="2" t="n">
        <x:f>IF(J1040&lt;&gt;"PASS",0,'Motor_Meciuri'!BR79)</x:f>
        <x:v>0</x:v>
      </x:c>
      <x:c r="AL1040" s="2" t="n">
        <x:f>IF(J1040&lt;&gt;"PASS",0,'Motor_Meciuri'!BS79)</x:f>
        <x:v>0</x:v>
      </x:c>
      <x:c r="AM1040" s="2" t="n">
        <x:f>IF(J1040&lt;&gt;"PASS",0,'Motor_Meciuri'!BT79)</x:f>
        <x:v>0</x:v>
      </x:c>
      <x:c r="AN1040" s="2" t="str">
        <x:f>IF(M1040="","",MAX(0,'Motor_Meciuri'!BF79-IF(L1040&gt;'Config_v6'!$B$12,'Config_v6'!$B$37,IF(L1040&gt;'Config_v6'!$B$11,'Config_v6'!$B$36,0))))</x:f>
      </x:c>
    </x:row>
    <x:row r="1041" ht="21" customHeight="1">
      <x:c r="A1041" s="2" t="n">
        <x:v>74</x:v>
      </x:c>
      <x:c r="B1041" s="2" t="str">
        <x:f>IF('Motor_Meciuri'!A79="","",'Motor_Meciuri'!A79)</x:f>
      </x:c>
      <x:c r="C1041" s="2" t="str">
        <x:f>IF(B1041="","",'Motor_Meciuri'!B79)</x:f>
      </x:c>
      <x:c r="D1041" s="2" t="str">
        <x:f>IF(B1041="","",'Motor_Meciuri'!D79)</x:f>
      </x:c>
      <x:c r="E1041" s="2" t="str">
        <x:f>IF(B1041="","",'Motor_Meciuri'!E79)</x:f>
      </x:c>
      <x:c r="F1041" s="2" t="str">
        <x:v>U17,5</x:v>
      </x:c>
      <x:c r="G1041" s="2" t="str">
        <x:v>UNDER</x:v>
      </x:c>
      <x:c r="H1041" s="2" t="n">
        <x:v>17</x:v>
      </x:c>
      <x:c r="I1041" s="2" t="str">
        <x:f>IF(B1041="","",'Motor_Meciuri'!H79)</x:f>
      </x:c>
      <x:c r="J1041" s="2" t="str">
        <x:f>IF(B1041="","",'Motor_Meciuri'!I79)</x:f>
      </x:c>
      <x:c r="K1041" s="11" t="str">
        <x:f>IF(J1041&lt;&gt;"PASS","",'Motor_Meciuri'!BD79)</x:f>
      </x:c>
      <x:c r="L1041" s="11" t="str">
        <x:f>IF(J1041&lt;&gt;"PASS","",'Motor_Meciuri'!AU79)</x:f>
      </x:c>
      <x:c r="M1041" s="10" t="str">
        <x:f>IF(NOT(AND(J1041="PASS",'Calibrare_Linii'!U19="VALID")),"",'Distributie'!AO79)</x:f>
      </x:c>
      <x:c r="N1041" s="10" t="str">
        <x:f>IF(M1041="","",MAX(0.01,MIN(0.99,0.5+(M1041-0.5)*'Motor_Meciuri'!BG79*'Calibrare_Linii'!D19)))</x:f>
      </x:c>
      <x:c r="O1041" s="10" t="str">
        <x:f>IF(M1041="","",1-M1041)</x:f>
      </x:c>
      <x:c r="P1041" s="10" t="str">
        <x:f>IF(OR(NOT(AND(J1041="PASS",'Calibrare_Linii'!U19="VALID")),AK1041=0),""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*('Istoric_Nativ'!$Q$6:$Q$405&gt;H1041))/AK1041)</x:f>
      </x:c>
      <x:c r="Q1041" s="10" t="str">
        <x:f>IF(OR(NOT(AND(J1041="PASS",'Calibrare_Linii'!U19="VALID")),AL1041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M79)+((('Istoric_Nativ'!$E$6:$E$405='Input_Meci'!E79)+('Istoric_Nativ'!$F$6:$F$405='Input_Meci'!E79))&gt;0)*('Istoric_Nativ'!$D$6:$D$405&gt;='Motor_Meciuri'!BN79))&gt;0)*('Istoric_Nativ'!$Q$6:$Q$405&gt;H1041))/AL1041)</x:f>
      </x:c>
      <x:c r="R1041" s="10" t="str">
        <x:f>IF(OR(NOT(AND(J1041="PASS",'Calibrare_Linii'!U19="VALID")),AM1041=0),""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'Motor_Meciuri'!BO79)+((('Istoric_Nativ'!$E$6:$E$405='Input_Meci'!E79)+('Istoric_Nativ'!$F$6:$F$405='Input_Meci'!E79))&gt;0)*('Istoric_Nativ'!$D$6:$D$405&gt;='Motor_Meciuri'!BP79))&gt;0)*('Istoric_Nativ'!$Q$6:$Q$405&gt;H1041))/AM1041)</x:f>
      </x:c>
      <x:c r="S1041" s="10" t="str">
        <x:f>IF(M1041="","",MAX(O1041,P1041,Q1041,R1041))</x:f>
      </x:c>
      <x:c r="T1041" s="11" t="str">
        <x:f>IF(M1041="","",MIN(100,S1041*100*'Config_v6'!$B$44+MIN(100,L1041/'Config_v6'!$B$13*100)*'Config_v6'!$B$45+(100-'Motor_Meciuri'!BF79)*'Config_v6'!$B$46+'Motor_Meciuri'!BH79*100*'Config_v6'!$B$47))</x:f>
      </x:c>
      <x:c r="U1041" s="2" t="str">
        <x:f>IF(T1041="","",IF(T1041&lt;=20,1,IF(T1041&lt;=40,2,IF(T1041&lt;=60,3,IF(T1041&lt;=80,4,5)))))</x:f>
      </x:c>
      <x:c r="V1041" s="2" t="str">
        <x:f>IF(M1041="","",MAX(0,'Motor_Meciuri'!BF79-IF(W1041="OOS PENDING",'Config_v6'!$B$35,0)-IF(L1041&gt;'Config_v6'!$B$12,'Config_v6'!$B$37,IF(L1041&gt;'Config_v6'!$B$11,'Config_v6'!$B$36,0))))</x:f>
      </x:c>
      <x:c r="W1041" s="2" t="str">
        <x:f>IF(B1041="","",IF(I1041&lt;&gt;"READY","NOT RELEASED",IF(NOT(AND(J1041="PASS",'Calibrare_Linii'!U19="VALID")),"INVALID",IF(NOT(AND('Calibrare_Linii'!S19="VALIDATED",AND('Calibrare_Linii'!H19=C1041,ISNUMBER('Calibrare_Linii'!J19),'Calibrare_Linii'!J19&lt;='Input_Meci'!G79))),"OOS PENDING",IF(S1041&lt;='Calibrare_Linii'!E19,"PASS",IF(S1041&lt;='Calibrare_Linii'!F19,"PENALTY","WATCH"))))))</x:f>
      </x:c>
      <x:c r="X1041" s="2" t="str">
        <x:f>IF(M1041="","",IF(AND(AND(J1041="PASS",'Calibrare_Linii'!U19="VALID"),'Motor_Meciuri'!K79=12,'Motor_Meciuri'!L79=12,'Motor_Meciuri'!M79="NO",'Motor_Meciuri'!BL79='Motor_Meciuri'!C79,AB1041&gt;='Config_v6'!$B$50,AN1041&gt;='Config_v6'!$B$51,T1041&lt;='Config_v6'!$B$52,L1041&lt;='Config_v6'!$B$53,ISNUMBER('Calibrare_Linii'!E19),S1041&lt;='Calibrare_Linii'!E19,SUM(AK1041:AM1041)&gt;0),"CANDIDATE","NO"))</x:f>
      </x:c>
      <x:c r="Y1041" s="2" t="str">
        <x:f>IF(B1041="","",IF(I1041&lt;&gt;"READY","NOT RELEASED",IF(AND(X1041="CANDIDATE",V1041&gt;='Config_v6'!$B$51,W1041="PASS",'Calibrare_Linii'!T19="VALIDATED",AND('Calibrare_Linii'!H19=C1041,ISNUMBER('Calibrare_Linii'!J19),'Calibrare_Linii'!J19&lt;='Input_Meci'!G79)),"PASS",IF(X1041="CANDIDATE","OOS PENDING","FAIL"))))</x:f>
      </x:c>
      <x:c r="Z1041" s="2" t="str">
        <x:f>IF(B1041="","",IF(I1041&lt;&gt;"READY","",IF(OR(NOT(AND(J1041="PASS",'Calibrare_Linii'!U19="VALID")),L1041&gt;'Config_v6'!$B$13,W1041="WATCH"),5,IF(Y1041="PASS",1,MIN(5,MAX('Config_v6'!$B$42,U1041)+IF(W1041="PENALTY",1,0))))))</x:f>
      </x:c>
      <x:c r="AA1041" s="2" t="str">
        <x:f>IF(B1041="","",IF(I1041&lt;&gt;"READY","NOT RELEASED",IF(Z1041=5,"NO BET",IF(OR(AB1041&lt;'Config_v6'!$B$16,V1041&lt;'Config_v6'!$B$18),"WATCH",IF(Z1041=1,"DEFENSIV",IF(Z1041=2,"PRUDENT",IF(Z1041=3,"MODERAT","RIDICAT")))))))</x:f>
      </x:c>
      <x:c r="AB1041" s="10" t="str">
        <x:f>IF(N1041="","",MIN(N1041,1-S1041))</x:f>
      </x:c>
      <x:c r="AC1041" s="2" t="str">
        <x:f>IF(AD1041&lt;&gt;1,"",COUNTIFS($Z$1028:$Z$1041,"&lt;"&amp;Z1041,$AD$1028:$AD$1041,1)+COUNTIFS($Z$1028:$Z$1041,Z1041,$AB$1028:$AB$1041,"&gt;"&amp;AB1041,$AD$1028:$AD$1041,1)+COUNTIFS($Z$1028:$Z$1041,Z1041,$AB$1028:$AB$1041,AB1041,$V$1028:$V$1041,"&gt;"&amp;V1041,$AD$1028:$AD$1041,1)+COUNTIFS($Z$1028:Z1041,Z1041,$AB$1028:AB1041,AB1041,$V$1028:V1041,V1041,$AD$1028:AD1041,1))</x:f>
      </x:c>
      <x:c r="AD1041" s="2" t="n">
        <x:f>IF(OR(AA1041="DEFENSIV",AA1041="PRUDENT",AA1041="MODERAT",AA1041="RIDICAT"),1,0)</x:f>
        <x:v>0</x:v>
      </x:c>
      <x:c r="AE1041" s="2" t="str">
        <x:f>IF(AD1041&lt;&gt;1,"NO",IF(W1041="PASS","YES",IF(W1041="OOS PENDING","CONDITIONAL","NO")))</x:f>
        <x:v>NO</x:v>
      </x:c>
      <x:c r="AF1041" s="2" t="n">
        <x:f>IF(AND(AD1041=1,AC1041=1,E1041="LIVE"),1,0)</x:f>
        <x:v>0</x:v>
      </x:c>
      <x:c r="AG1041" s="2" t="str">
        <x:f>IF(AF1041&lt;&gt;1,"",'Dashboard'!P99)</x:f>
      </x:c>
      <x:c r="AH1041" s="2" t="str">
        <x:f>IF(B1041="","",IF(J1041&lt;&gt;"PASS",'Motor_Meciuri'!J79,IF('Calibrare_Linii'!U19&lt;&gt;"VALID","Parametri linie invalizi",IF(L1041&gt;'Config_v6'!$B$13,"Dispersie peste limita",IF(W1041="WATCH","Failure peste limita",IF(AB1041&lt;'Config_v6'!$B$16,"P finala sub prag",IF(V1041&lt;'Config_v6'!$B$18,"Confidence sub prag",IF(E1041="REPLAY","Exemplu retrospectiv; exclus din Top LIVE",IF(Y1041="PASS","DEFENSIV validat",IF(W1041="OOS PENDING","Eligibil; calibrare linie in monitorizare","Eligibil"))))))))))</x:f>
      </x:c>
      <x:c r="AI1041" s="2" t="str">
        <x:f>IF(B1041="","",'Calibrare_Linii'!V19)</x:f>
      </x:c>
      <x:c r="AJ1041" s="2" t="str">
        <x:f>IF(B1041="","",IF(AND('Calibrare_Linii'!T19="VALIDATED",AND('Calibrare_Linii'!H19=C1041,ISNUMBER('Calibrare_Linii'!J19),'Calibrare_Linii'!J19&lt;='Input_Meci'!G79)),"DEFENSIVE VALIDATED",IF(AND('Calibrare_Linii'!S19="VALIDATED",AND('Calibrare_Linii'!H19=C1041,ISNUMBER('Calibrare_Linii'!J19),'Calibrare_Linii'!J19&lt;='Input_Meci'!G79)),"TAIL VALIDATED","OOS PENDING")))</x:f>
      </x:c>
      <x:c r="AK1041" s="2" t="n">
        <x:f>IF(J1041&lt;&gt;"PASS",0,'Motor_Meciuri'!BR79)</x:f>
        <x:v>0</x:v>
      </x:c>
      <x:c r="AL1041" s="2" t="n">
        <x:f>IF(J1041&lt;&gt;"PASS",0,'Motor_Meciuri'!BS79)</x:f>
        <x:v>0</x:v>
      </x:c>
      <x:c r="AM1041" s="2" t="n">
        <x:f>IF(J1041&lt;&gt;"PASS",0,'Motor_Meciuri'!BT79)</x:f>
        <x:v>0</x:v>
      </x:c>
      <x:c r="AN1041" s="2" t="str">
        <x:f>IF(M1041="","",MAX(0,'Motor_Meciuri'!BF79-IF(L1041&gt;'Config_v6'!$B$12,'Config_v6'!$B$37,IF(L1041&gt;'Config_v6'!$B$11,'Config_v6'!$B$36,0))))</x:f>
      </x:c>
    </x:row>
    <x:row r="1042" ht="21" customHeight="1">
      <x:c r="A1042" s="2" t="n">
        <x:v>75</x:v>
      </x:c>
      <x:c r="B1042" s="2" t="str">
        <x:f>IF('Motor_Meciuri'!A80="","",'Motor_Meciuri'!A80)</x:f>
      </x:c>
      <x:c r="C1042" s="2" t="str">
        <x:f>IF(B1042="","",'Motor_Meciuri'!B80)</x:f>
      </x:c>
      <x:c r="D1042" s="2" t="str">
        <x:f>IF(B1042="","",'Motor_Meciuri'!D80)</x:f>
      </x:c>
      <x:c r="E1042" s="2" t="str">
        <x:f>IF(B1042="","",'Motor_Meciuri'!E80)</x:f>
      </x:c>
      <x:c r="F1042" s="2" t="str">
        <x:v>O3,5</x:v>
      </x:c>
      <x:c r="G1042" s="2" t="str">
        <x:v>OVER</x:v>
      </x:c>
      <x:c r="H1042" s="2" t="n">
        <x:v>3</x:v>
      </x:c>
      <x:c r="I1042" s="2" t="str">
        <x:f>IF(B1042="","",'Motor_Meciuri'!H80)</x:f>
      </x:c>
      <x:c r="J1042" s="2" t="str">
        <x:f>IF(B1042="","",'Motor_Meciuri'!I80)</x:f>
      </x:c>
      <x:c r="K1042" s="11" t="str">
        <x:f>IF(J1042&lt;&gt;"PASS","",'Motor_Meciuri'!BD80)</x:f>
      </x:c>
      <x:c r="L1042" s="11" t="str">
        <x:f>IF(J1042&lt;&gt;"PASS","",'Motor_Meciuri'!AU80)</x:f>
      </x:c>
      <x:c r="M1042" s="10" t="str">
        <x:f>IF(NOT(AND(J1042="PASS",'Calibrare_Linii'!U6="VALID")),"",1-'Distributie'!AA80)</x:f>
      </x:c>
      <x:c r="N1042" s="10" t="str">
        <x:f>IF(M1042="","",MAX(0.01,MIN(0.99,0.5+(M1042-0.5)*'Motor_Meciuri'!BG80*'Calibrare_Linii'!D6)))</x:f>
      </x:c>
      <x:c r="O1042" s="10" t="str">
        <x:f>IF(M1042="","",1-M1042)</x:f>
      </x:c>
      <x:c r="P1042" s="10" t="str">
        <x:f>IF(OR(NOT(AND(J1042="PASS",'Calibrare_Linii'!U6="VALID")),AK1042=0),""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*('Istoric_Nativ'!$Q$6:$Q$405&lt;=H1042))/AK1042)</x:f>
      </x:c>
      <x:c r="Q1042" s="10" t="str">
        <x:f>IF(OR(NOT(AND(J1042="PASS",'Calibrare_Linii'!U6="VALID")),AL1042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M80)+((('Istoric_Nativ'!$E$6:$E$405='Input_Meci'!E80)+('Istoric_Nativ'!$F$6:$F$405='Input_Meci'!E80))&gt;0)*('Istoric_Nativ'!$D$6:$D$405&gt;='Motor_Meciuri'!BN80))&gt;0)*('Istoric_Nativ'!$Q$6:$Q$405&lt;=H1042))/AL1042)</x:f>
      </x:c>
      <x:c r="R1042" s="10" t="str">
        <x:f>IF(OR(NOT(AND(J1042="PASS",'Calibrare_Linii'!U6="VALID")),AM1042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O80)+((('Istoric_Nativ'!$E$6:$E$405='Input_Meci'!E80)+('Istoric_Nativ'!$F$6:$F$405='Input_Meci'!E80))&gt;0)*('Istoric_Nativ'!$D$6:$D$405&gt;='Motor_Meciuri'!BP80))&gt;0)*('Istoric_Nativ'!$Q$6:$Q$405&lt;=H1042))/AM1042)</x:f>
      </x:c>
      <x:c r="S1042" s="10" t="str">
        <x:f>IF(M1042="","",MAX(O1042,P1042,Q1042,R1042))</x:f>
      </x:c>
      <x:c r="T1042" s="11" t="str">
        <x:f>IF(M1042="","",MIN(100,S1042*100*'Config_v6'!$B$44+MIN(100,L1042/'Config_v6'!$B$13*100)*'Config_v6'!$B$45+(100-'Motor_Meciuri'!BF80)*'Config_v6'!$B$46+'Motor_Meciuri'!BH80*100*'Config_v6'!$B$47))</x:f>
      </x:c>
      <x:c r="U1042" s="2" t="str">
        <x:f>IF(T1042="","",IF(T1042&lt;=20,1,IF(T1042&lt;=40,2,IF(T1042&lt;=60,3,IF(T1042&lt;=80,4,5)))))</x:f>
      </x:c>
      <x:c r="V1042" s="2" t="str">
        <x:f>IF(M1042="","",MAX(0,'Motor_Meciuri'!BF80-IF(W1042="OOS PENDING",'Config_v6'!$B$35,0)-IF(L1042&gt;'Config_v6'!$B$12,'Config_v6'!$B$37,IF(L1042&gt;'Config_v6'!$B$11,'Config_v6'!$B$36,0))))</x:f>
      </x:c>
      <x:c r="W1042" s="2" t="str">
        <x:f>IF(B1042="","",IF(I1042&lt;&gt;"READY","NOT RELEASED",IF(NOT(AND(J1042="PASS",'Calibrare_Linii'!U6="VALID")),"INVALID",IF(NOT(TRUE),"OOS PENDING",IF(S1042&lt;=IF(AND('Calibrare_Linii'!S6="VALIDATED",AND('Calibrare_Linii'!H6=C1042,ISNUMBER('Calibrare_Linii'!J6),'Calibrare_Linii'!J6&lt;='Input_Meci'!G80)),'Calibrare_Linii'!E6,'Config_v6'!$B$26),"PASS",IF(S1042&lt;=IF(AND('Calibrare_Linii'!S6="VALIDATED",AND('Calibrare_Linii'!H6=C1042,ISNUMBER('Calibrare_Linii'!J6),'Calibrare_Linii'!J6&lt;='Input_Meci'!G80)),'Calibrare_Linii'!F6,'Config_v6'!$C$26),"PENALTY","WATCH"))))))</x:f>
      </x:c>
      <x:c r="X1042" s="2" t="str">
        <x:f>IF(M1042="","",IF(AND(AND(J1042="PASS",'Calibrare_Linii'!U6="VALID"),'Motor_Meciuri'!K80=12,'Motor_Meciuri'!L80=12,'Motor_Meciuri'!M80="NO",'Motor_Meciuri'!BL80='Motor_Meciuri'!C80,AB1042&gt;='Config_v6'!$B$50,AN1042&gt;='Config_v6'!$B$51,T1042&lt;='Config_v6'!$B$52,L1042&lt;='Config_v6'!$B$53,ISNUMBER('Calibrare_Linii'!E6),S1042&lt;='Calibrare_Linii'!E6,SUM(AK1042:AM1042)&gt;0),"CANDIDATE","NO"))</x:f>
      </x:c>
      <x:c r="Y1042" s="2" t="str">
        <x:f>IF(B1042="","",IF(I1042&lt;&gt;"READY","NOT RELEASED",IF(AND(X1042="CANDIDATE",V1042&gt;='Config_v6'!$B$51,W1042="PASS",'Calibrare_Linii'!T6="VALIDATED",AND('Calibrare_Linii'!H6=C1042,ISNUMBER('Calibrare_Linii'!J6),'Calibrare_Linii'!J6&lt;='Input_Meci'!G80)),"PASS",IF(X1042="CANDIDATE","OOS PENDING","FAIL"))))</x:f>
      </x:c>
      <x:c r="Z1042" s="2" t="str">
        <x:f>IF(B1042="","",IF(I1042&lt;&gt;"READY","",IF(OR(NOT(AND(J1042="PASS",'Calibrare_Linii'!U6="VALID")),L1042&gt;'Config_v6'!$B$13,W1042="WATCH"),5,IF(Y1042="PASS",1,MIN(5,MAX('Config_v6'!$B$42,U1042)+IF(W1042="PENALTY",1,0))))))</x:f>
      </x:c>
      <x:c r="AA1042" s="2" t="str">
        <x:f>IF(B1042="","",IF(I1042&lt;&gt;"READY","NOT RELEASED",IF(Z1042=5,"NO BET",IF(OR(AB1042&lt;'Config_v6'!$B$16,V1042&lt;'Config_v6'!$B$18),"WATCH",IF(Z1042=1,"DEFENSIV",IF(Z1042=2,"PRUDENT",IF(Z1042=3,"MODERAT","RIDICAT")))))))</x:f>
      </x:c>
      <x:c r="AB1042" s="10" t="str">
        <x:f>IF(N1042="","",MIN(N1042,1-S1042))</x:f>
      </x:c>
      <x:c r="AC1042" s="2" t="str">
        <x:f>IF(AD1042&lt;&gt;1,"",COUNTIFS($Z$1042:$Z$1055,"&lt;"&amp;Z1042,$AD$1042:$AD$1055,1)+COUNTIFS($Z$1042:$Z$1055,Z1042,$AB$1042:$AB$1055,"&gt;"&amp;AB1042,$AD$1042:$AD$1055,1)+COUNTIFS($Z$1042:$Z$1055,Z1042,$AB$1042:$AB$1055,AB1042,$V$1042:$V$1055,"&gt;"&amp;V1042,$AD$1042:$AD$1055,1)+COUNTIFS($Z$1042:Z1042,Z1042,$AB$1042:AB1042,AB1042,$V$1042:V1042,V1042,$AD$1042:AD1042,1))</x:f>
      </x:c>
      <x:c r="AD1042" s="2" t="n">
        <x:f>IF(OR(AA1042="DEFENSIV",AA1042="PRUDENT",AA1042="MODERAT",AA1042="RIDICAT"),1,0)</x:f>
        <x:v>0</x:v>
      </x:c>
      <x:c r="AE1042" s="2" t="str">
        <x:f>IF(AD1042&lt;&gt;1,"NO",IF(W1042="PASS","YES",IF(W1042="OOS PENDING","CONDITIONAL","NO")))</x:f>
        <x:v>NO</x:v>
      </x:c>
      <x:c r="AF1042" s="2" t="n">
        <x:f>IF(AND(AD1042=1,AC1042=1,E1042="LIVE"),1,0)</x:f>
        <x:v>0</x:v>
      </x:c>
      <x:c r="AG1042" s="2" t="str">
        <x:f>IF(AF1042&lt;&gt;1,"",'Dashboard'!P100)</x:f>
      </x:c>
      <x:c r="AH1042" s="2" t="str">
        <x:f>IF(B1042="","",IF(J1042&lt;&gt;"PASS",'Motor_Meciuri'!J80,IF('Calibrare_Linii'!U6&lt;&gt;"VALID","Parametri linie invalizi",IF(L1042&gt;'Config_v6'!$B$13,"Dispersie peste limita",IF(W1042="WATCH","Failure peste limita",IF(AB1042&lt;'Config_v6'!$B$16,"P finala sub prag",IF(V1042&lt;'Config_v6'!$B$18,"Confidence sub prag",IF(E1042="REPLAY","Exemplu retrospectiv; exclus din Top LIVE",IF(Y1042="PASS","DEFENSIV validat",IF(W1042="OOS PENDING","Eligibil; calibrare linie in monitorizare","Eligibil"))))))))))</x:f>
      </x:c>
      <x:c r="AI1042" s="2" t="str">
        <x:f>IF(B1042="","",'Calibrare_Linii'!V6)</x:f>
      </x:c>
      <x:c r="AJ1042" s="2" t="str">
        <x:f>IF(B1042="","",IF(AND('Calibrare_Linii'!T6="VALIDATED",AND('Calibrare_Linii'!H6=C1042,ISNUMBER('Calibrare_Linii'!J6),'Calibrare_Linii'!J6&lt;='Input_Meci'!G80)),"DEFENSIVE VALIDATED",IF(AND('Calibrare_Linii'!S6="VALIDATED",AND('Calibrare_Linii'!H6=C1042,ISNUMBER('Calibrare_Linii'!J6),'Calibrare_Linii'!J6&lt;='Input_Meci'!G80)),"TAIL VALIDATED","OOS PENDING")))</x:f>
      </x:c>
      <x:c r="AK1042" s="2" t="n">
        <x:f>IF(J1042&lt;&gt;"PASS",0,'Motor_Meciuri'!BR80)</x:f>
        <x:v>0</x:v>
      </x:c>
      <x:c r="AL1042" s="2" t="n">
        <x:f>IF(J1042&lt;&gt;"PASS",0,'Motor_Meciuri'!BS80)</x:f>
        <x:v>0</x:v>
      </x:c>
      <x:c r="AM1042" s="2" t="n">
        <x:f>IF(J1042&lt;&gt;"PASS",0,'Motor_Meciuri'!BT80)</x:f>
        <x:v>0</x:v>
      </x:c>
      <x:c r="AN1042" s="2" t="str">
        <x:f>IF(M1042="","",MAX(0,'Motor_Meciuri'!BF80-IF(L1042&gt;'Config_v6'!$B$12,'Config_v6'!$B$37,IF(L1042&gt;'Config_v6'!$B$11,'Config_v6'!$B$36,0))))</x:f>
      </x:c>
    </x:row>
    <x:row r="1043" ht="21" customHeight="1">
      <x:c r="A1043" s="2" t="n">
        <x:v>75</x:v>
      </x:c>
      <x:c r="B1043" s="2" t="str">
        <x:f>IF('Motor_Meciuri'!A80="","",'Motor_Meciuri'!A80)</x:f>
      </x:c>
      <x:c r="C1043" s="2" t="str">
        <x:f>IF(B1043="","",'Motor_Meciuri'!B80)</x:f>
      </x:c>
      <x:c r="D1043" s="2" t="str">
        <x:f>IF(B1043="","",'Motor_Meciuri'!D80)</x:f>
      </x:c>
      <x:c r="E1043" s="2" t="str">
        <x:f>IF(B1043="","",'Motor_Meciuri'!E80)</x:f>
      </x:c>
      <x:c r="F1043" s="2" t="str">
        <x:v>O4,5</x:v>
      </x:c>
      <x:c r="G1043" s="2" t="str">
        <x:v>OVER</x:v>
      </x:c>
      <x:c r="H1043" s="2" t="n">
        <x:v>4</x:v>
      </x:c>
      <x:c r="I1043" s="2" t="str">
        <x:f>IF(B1043="","",'Motor_Meciuri'!H80)</x:f>
      </x:c>
      <x:c r="J1043" s="2" t="str">
        <x:f>IF(B1043="","",'Motor_Meciuri'!I80)</x:f>
      </x:c>
      <x:c r="K1043" s="11" t="str">
        <x:f>IF(J1043&lt;&gt;"PASS","",'Motor_Meciuri'!BD80)</x:f>
      </x:c>
      <x:c r="L1043" s="11" t="str">
        <x:f>IF(J1043&lt;&gt;"PASS","",'Motor_Meciuri'!AU80)</x:f>
      </x:c>
      <x:c r="M1043" s="10" t="str">
        <x:f>IF(NOT(AND(J1043="PASS",'Calibrare_Linii'!U7="VALID")),"",1-'Distributie'!AB80)</x:f>
      </x:c>
      <x:c r="N1043" s="10" t="str">
        <x:f>IF(M1043="","",MAX(0.01,MIN(0.99,0.5+(M1043-0.5)*'Motor_Meciuri'!BG80*'Calibrare_Linii'!D7)))</x:f>
      </x:c>
      <x:c r="O1043" s="10" t="str">
        <x:f>IF(M1043="","",1-M1043)</x:f>
      </x:c>
      <x:c r="P1043" s="10" t="str">
        <x:f>IF(OR(NOT(AND(J1043="PASS",'Calibrare_Linii'!U7="VALID")),AK1043=0),""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*('Istoric_Nativ'!$Q$6:$Q$405&lt;=H1043))/AK1043)</x:f>
      </x:c>
      <x:c r="Q1043" s="10" t="str">
        <x:f>IF(OR(NOT(AND(J1043="PASS",'Calibrare_Linii'!U7="VALID")),AL1043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M80)+((('Istoric_Nativ'!$E$6:$E$405='Input_Meci'!E80)+('Istoric_Nativ'!$F$6:$F$405='Input_Meci'!E80))&gt;0)*('Istoric_Nativ'!$D$6:$D$405&gt;='Motor_Meciuri'!BN80))&gt;0)*('Istoric_Nativ'!$Q$6:$Q$405&lt;=H1043))/AL1043)</x:f>
      </x:c>
      <x:c r="R1043" s="10" t="str">
        <x:f>IF(OR(NOT(AND(J1043="PASS",'Calibrare_Linii'!U7="VALID")),AM1043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O80)+((('Istoric_Nativ'!$E$6:$E$405='Input_Meci'!E80)+('Istoric_Nativ'!$F$6:$F$405='Input_Meci'!E80))&gt;0)*('Istoric_Nativ'!$D$6:$D$405&gt;='Motor_Meciuri'!BP80))&gt;0)*('Istoric_Nativ'!$Q$6:$Q$405&lt;=H1043))/AM1043)</x:f>
      </x:c>
      <x:c r="S1043" s="10" t="str">
        <x:f>IF(M1043="","",MAX(O1043,P1043,Q1043,R1043))</x:f>
      </x:c>
      <x:c r="T1043" s="11" t="str">
        <x:f>IF(M1043="","",MIN(100,S1043*100*'Config_v6'!$B$44+MIN(100,L1043/'Config_v6'!$B$13*100)*'Config_v6'!$B$45+(100-'Motor_Meciuri'!BF80)*'Config_v6'!$B$46+'Motor_Meciuri'!BH80*100*'Config_v6'!$B$47))</x:f>
      </x:c>
      <x:c r="U1043" s="2" t="str">
        <x:f>IF(T1043="","",IF(T1043&lt;=20,1,IF(T1043&lt;=40,2,IF(T1043&lt;=60,3,IF(T1043&lt;=80,4,5)))))</x:f>
      </x:c>
      <x:c r="V1043" s="2" t="str">
        <x:f>IF(M1043="","",MAX(0,'Motor_Meciuri'!BF80-IF(W1043="OOS PENDING",'Config_v6'!$B$35,0)-IF(L1043&gt;'Config_v6'!$B$12,'Config_v6'!$B$37,IF(L1043&gt;'Config_v6'!$B$11,'Config_v6'!$B$36,0))))</x:f>
      </x:c>
      <x:c r="W1043" s="2" t="str">
        <x:f>IF(B1043="","",IF(I1043&lt;&gt;"READY","NOT RELEASED",IF(NOT(AND(J1043="PASS",'Calibrare_Linii'!U7="VALID")),"INVALID",IF(NOT(AND('Calibrare_Linii'!S7="VALIDATED",AND('Calibrare_Linii'!H7=C1043,ISNUMBER('Calibrare_Linii'!J7),'Calibrare_Linii'!J7&lt;='Input_Meci'!G80))),"OOS PENDING",IF(S1043&lt;='Calibrare_Linii'!E7,"PASS",IF(S1043&lt;='Calibrare_Linii'!F7,"PENALTY","WATCH"))))))</x:f>
      </x:c>
      <x:c r="X1043" s="2" t="str">
        <x:f>IF(M1043="","",IF(AND(AND(J1043="PASS",'Calibrare_Linii'!U7="VALID"),'Motor_Meciuri'!K80=12,'Motor_Meciuri'!L80=12,'Motor_Meciuri'!M80="NO",'Motor_Meciuri'!BL80='Motor_Meciuri'!C80,AB1043&gt;='Config_v6'!$B$50,AN1043&gt;='Config_v6'!$B$51,T1043&lt;='Config_v6'!$B$52,L1043&lt;='Config_v6'!$B$53,ISNUMBER('Calibrare_Linii'!E7),S1043&lt;='Calibrare_Linii'!E7,SUM(AK1043:AM1043)&gt;0),"CANDIDATE","NO"))</x:f>
      </x:c>
      <x:c r="Y1043" s="2" t="str">
        <x:f>IF(B1043="","",IF(I1043&lt;&gt;"READY","NOT RELEASED",IF(AND(X1043="CANDIDATE",V1043&gt;='Config_v6'!$B$51,W1043="PASS",'Calibrare_Linii'!T7="VALIDATED",AND('Calibrare_Linii'!H7=C1043,ISNUMBER('Calibrare_Linii'!J7),'Calibrare_Linii'!J7&lt;='Input_Meci'!G80)),"PASS",IF(X1043="CANDIDATE","OOS PENDING","FAIL"))))</x:f>
      </x:c>
      <x:c r="Z1043" s="2" t="str">
        <x:f>IF(B1043="","",IF(I1043&lt;&gt;"READY","",IF(OR(NOT(AND(J1043="PASS",'Calibrare_Linii'!U7="VALID")),L1043&gt;'Config_v6'!$B$13,W1043="WATCH"),5,IF(Y1043="PASS",1,MIN(5,MAX('Config_v6'!$B$42,U1043)+IF(W1043="PENALTY",1,0))))))</x:f>
      </x:c>
      <x:c r="AA1043" s="2" t="str">
        <x:f>IF(B1043="","",IF(I1043&lt;&gt;"READY","NOT RELEASED",IF(Z1043=5,"NO BET",IF(OR(AB1043&lt;'Config_v6'!$B$16,V1043&lt;'Config_v6'!$B$18),"WATCH",IF(Z1043=1,"DEFENSIV",IF(Z1043=2,"PRUDENT",IF(Z1043=3,"MODERAT","RIDICAT")))))))</x:f>
      </x:c>
      <x:c r="AB1043" s="10" t="str">
        <x:f>IF(N1043="","",MIN(N1043,1-S1043))</x:f>
      </x:c>
      <x:c r="AC1043" s="2" t="str">
        <x:f>IF(AD1043&lt;&gt;1,"",COUNTIFS($Z$1042:$Z$1055,"&lt;"&amp;Z1043,$AD$1042:$AD$1055,1)+COUNTIFS($Z$1042:$Z$1055,Z1043,$AB$1042:$AB$1055,"&gt;"&amp;AB1043,$AD$1042:$AD$1055,1)+COUNTIFS($Z$1042:$Z$1055,Z1043,$AB$1042:$AB$1055,AB1043,$V$1042:$V$1055,"&gt;"&amp;V1043,$AD$1042:$AD$1055,1)+COUNTIFS($Z$1042:Z1043,Z1043,$AB$1042:AB1043,AB1043,$V$1042:V1043,V1043,$AD$1042:AD1043,1))</x:f>
      </x:c>
      <x:c r="AD1043" s="2" t="n">
        <x:f>IF(OR(AA1043="DEFENSIV",AA1043="PRUDENT",AA1043="MODERAT",AA1043="RIDICAT"),1,0)</x:f>
        <x:v>0</x:v>
      </x:c>
      <x:c r="AE1043" s="2" t="str">
        <x:f>IF(AD1043&lt;&gt;1,"NO",IF(W1043="PASS","YES",IF(W1043="OOS PENDING","CONDITIONAL","NO")))</x:f>
        <x:v>NO</x:v>
      </x:c>
      <x:c r="AF1043" s="2" t="n">
        <x:f>IF(AND(AD1043=1,AC1043=1,E1043="LIVE"),1,0)</x:f>
        <x:v>0</x:v>
      </x:c>
      <x:c r="AG1043" s="2" t="str">
        <x:f>IF(AF1043&lt;&gt;1,"",'Dashboard'!P100)</x:f>
      </x:c>
      <x:c r="AH1043" s="2" t="str">
        <x:f>IF(B1043="","",IF(J1043&lt;&gt;"PASS",'Motor_Meciuri'!J80,IF('Calibrare_Linii'!U7&lt;&gt;"VALID","Parametri linie invalizi",IF(L1043&gt;'Config_v6'!$B$13,"Dispersie peste limita",IF(W1043="WATCH","Failure peste limita",IF(AB1043&lt;'Config_v6'!$B$16,"P finala sub prag",IF(V1043&lt;'Config_v6'!$B$18,"Confidence sub prag",IF(E1043="REPLAY","Exemplu retrospectiv; exclus din Top LIVE",IF(Y1043="PASS","DEFENSIV validat",IF(W1043="OOS PENDING","Eligibil; calibrare linie in monitorizare","Eligibil"))))))))))</x:f>
      </x:c>
      <x:c r="AI1043" s="2" t="str">
        <x:f>IF(B1043="","",'Calibrare_Linii'!V7)</x:f>
      </x:c>
      <x:c r="AJ1043" s="2" t="str">
        <x:f>IF(B1043="","",IF(AND('Calibrare_Linii'!T7="VALIDATED",AND('Calibrare_Linii'!H7=C1043,ISNUMBER('Calibrare_Linii'!J7),'Calibrare_Linii'!J7&lt;='Input_Meci'!G80)),"DEFENSIVE VALIDATED",IF(AND('Calibrare_Linii'!S7="VALIDATED",AND('Calibrare_Linii'!H7=C1043,ISNUMBER('Calibrare_Linii'!J7),'Calibrare_Linii'!J7&lt;='Input_Meci'!G80)),"TAIL VALIDATED","OOS PENDING")))</x:f>
      </x:c>
      <x:c r="AK1043" s="2" t="n">
        <x:f>IF(J1043&lt;&gt;"PASS",0,'Motor_Meciuri'!BR80)</x:f>
        <x:v>0</x:v>
      </x:c>
      <x:c r="AL1043" s="2" t="n">
        <x:f>IF(J1043&lt;&gt;"PASS",0,'Motor_Meciuri'!BS80)</x:f>
        <x:v>0</x:v>
      </x:c>
      <x:c r="AM1043" s="2" t="n">
        <x:f>IF(J1043&lt;&gt;"PASS",0,'Motor_Meciuri'!BT80)</x:f>
        <x:v>0</x:v>
      </x:c>
      <x:c r="AN1043" s="2" t="str">
        <x:f>IF(M1043="","",MAX(0,'Motor_Meciuri'!BF80-IF(L1043&gt;'Config_v6'!$B$12,'Config_v6'!$B$37,IF(L1043&gt;'Config_v6'!$B$11,'Config_v6'!$B$36,0))))</x:f>
      </x:c>
    </x:row>
    <x:row r="1044" ht="21" customHeight="1">
      <x:c r="A1044" s="2" t="n">
        <x:v>75</x:v>
      </x:c>
      <x:c r="B1044" s="2" t="str">
        <x:f>IF('Motor_Meciuri'!A80="","",'Motor_Meciuri'!A80)</x:f>
      </x:c>
      <x:c r="C1044" s="2" t="str">
        <x:f>IF(B1044="","",'Motor_Meciuri'!B80)</x:f>
      </x:c>
      <x:c r="D1044" s="2" t="str">
        <x:f>IF(B1044="","",'Motor_Meciuri'!D80)</x:f>
      </x:c>
      <x:c r="E1044" s="2" t="str">
        <x:f>IF(B1044="","",'Motor_Meciuri'!E80)</x:f>
      </x:c>
      <x:c r="F1044" s="2" t="str">
        <x:v>O5,5</x:v>
      </x:c>
      <x:c r="G1044" s="2" t="str">
        <x:v>OVER</x:v>
      </x:c>
      <x:c r="H1044" s="2" t="n">
        <x:v>5</x:v>
      </x:c>
      <x:c r="I1044" s="2" t="str">
        <x:f>IF(B1044="","",'Motor_Meciuri'!H80)</x:f>
      </x:c>
      <x:c r="J1044" s="2" t="str">
        <x:f>IF(B1044="","",'Motor_Meciuri'!I80)</x:f>
      </x:c>
      <x:c r="K1044" s="11" t="str">
        <x:f>IF(J1044&lt;&gt;"PASS","",'Motor_Meciuri'!BD80)</x:f>
      </x:c>
      <x:c r="L1044" s="11" t="str">
        <x:f>IF(J1044&lt;&gt;"PASS","",'Motor_Meciuri'!AU80)</x:f>
      </x:c>
      <x:c r="M1044" s="10" t="str">
        <x:f>IF(NOT(AND(J1044="PASS",'Calibrare_Linii'!U8="VALID")),"",1-'Distributie'!AC80)</x:f>
      </x:c>
      <x:c r="N1044" s="10" t="str">
        <x:f>IF(M1044="","",MAX(0.01,MIN(0.99,0.5+(M1044-0.5)*'Motor_Meciuri'!BG80*'Calibrare_Linii'!D8)))</x:f>
      </x:c>
      <x:c r="O1044" s="10" t="str">
        <x:f>IF(M1044="","",1-M1044)</x:f>
      </x:c>
      <x:c r="P1044" s="10" t="str">
        <x:f>IF(OR(NOT(AND(J1044="PASS",'Calibrare_Linii'!U8="VALID")),AK1044=0),""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*('Istoric_Nativ'!$Q$6:$Q$405&lt;=H1044))/AK1044)</x:f>
      </x:c>
      <x:c r="Q1044" s="10" t="str">
        <x:f>IF(OR(NOT(AND(J1044="PASS",'Calibrare_Linii'!U8="VALID")),AL1044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M80)+((('Istoric_Nativ'!$E$6:$E$405='Input_Meci'!E80)+('Istoric_Nativ'!$F$6:$F$405='Input_Meci'!E80))&gt;0)*('Istoric_Nativ'!$D$6:$D$405&gt;='Motor_Meciuri'!BN80))&gt;0)*('Istoric_Nativ'!$Q$6:$Q$405&lt;=H1044))/AL1044)</x:f>
      </x:c>
      <x:c r="R1044" s="10" t="str">
        <x:f>IF(OR(NOT(AND(J1044="PASS",'Calibrare_Linii'!U8="VALID")),AM1044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O80)+((('Istoric_Nativ'!$E$6:$E$405='Input_Meci'!E80)+('Istoric_Nativ'!$F$6:$F$405='Input_Meci'!E80))&gt;0)*('Istoric_Nativ'!$D$6:$D$405&gt;='Motor_Meciuri'!BP80))&gt;0)*('Istoric_Nativ'!$Q$6:$Q$405&lt;=H1044))/AM1044)</x:f>
      </x:c>
      <x:c r="S1044" s="10" t="str">
        <x:f>IF(M1044="","",MAX(O1044,P1044,Q1044,R1044))</x:f>
      </x:c>
      <x:c r="T1044" s="11" t="str">
        <x:f>IF(M1044="","",MIN(100,S1044*100*'Config_v6'!$B$44+MIN(100,L1044/'Config_v6'!$B$13*100)*'Config_v6'!$B$45+(100-'Motor_Meciuri'!BF80)*'Config_v6'!$B$46+'Motor_Meciuri'!BH80*100*'Config_v6'!$B$47))</x:f>
      </x:c>
      <x:c r="U1044" s="2" t="str">
        <x:f>IF(T1044="","",IF(T1044&lt;=20,1,IF(T1044&lt;=40,2,IF(T1044&lt;=60,3,IF(T1044&lt;=80,4,5)))))</x:f>
      </x:c>
      <x:c r="V1044" s="2" t="str">
        <x:f>IF(M1044="","",MAX(0,'Motor_Meciuri'!BF80-IF(W1044="OOS PENDING",'Config_v6'!$B$35,0)-IF(L1044&gt;'Config_v6'!$B$12,'Config_v6'!$B$37,IF(L1044&gt;'Config_v6'!$B$11,'Config_v6'!$B$36,0))))</x:f>
      </x:c>
      <x:c r="W1044" s="2" t="str">
        <x:f>IF(B1044="","",IF(I1044&lt;&gt;"READY","NOT RELEASED",IF(NOT(AND(J1044="PASS",'Calibrare_Linii'!U8="VALID")),"INVALID",IF(NOT(AND('Calibrare_Linii'!S8="VALIDATED",AND('Calibrare_Linii'!H8=C1044,ISNUMBER('Calibrare_Linii'!J8),'Calibrare_Linii'!J8&lt;='Input_Meci'!G80))),"OOS PENDING",IF(S1044&lt;='Calibrare_Linii'!E8,"PASS",IF(S1044&lt;='Calibrare_Linii'!F8,"PENALTY","WATCH"))))))</x:f>
      </x:c>
      <x:c r="X1044" s="2" t="str">
        <x:f>IF(M1044="","",IF(AND(AND(J1044="PASS",'Calibrare_Linii'!U8="VALID"),'Motor_Meciuri'!K80=12,'Motor_Meciuri'!L80=12,'Motor_Meciuri'!M80="NO",'Motor_Meciuri'!BL80='Motor_Meciuri'!C80,AB1044&gt;='Config_v6'!$B$50,AN1044&gt;='Config_v6'!$B$51,T1044&lt;='Config_v6'!$B$52,L1044&lt;='Config_v6'!$B$53,ISNUMBER('Calibrare_Linii'!E8),S1044&lt;='Calibrare_Linii'!E8,SUM(AK1044:AM1044)&gt;0),"CANDIDATE","NO"))</x:f>
      </x:c>
      <x:c r="Y1044" s="2" t="str">
        <x:f>IF(B1044="","",IF(I1044&lt;&gt;"READY","NOT RELEASED",IF(AND(X1044="CANDIDATE",V1044&gt;='Config_v6'!$B$51,W1044="PASS",'Calibrare_Linii'!T8="VALIDATED",AND('Calibrare_Linii'!H8=C1044,ISNUMBER('Calibrare_Linii'!J8),'Calibrare_Linii'!J8&lt;='Input_Meci'!G80)),"PASS",IF(X1044="CANDIDATE","OOS PENDING","FAIL"))))</x:f>
      </x:c>
      <x:c r="Z1044" s="2" t="str">
        <x:f>IF(B1044="","",IF(I1044&lt;&gt;"READY","",IF(OR(NOT(AND(J1044="PASS",'Calibrare_Linii'!U8="VALID")),L1044&gt;'Config_v6'!$B$13,W1044="WATCH"),5,IF(Y1044="PASS",1,MIN(5,MAX('Config_v6'!$B$42,U1044)+IF(W1044="PENALTY",1,0))))))</x:f>
      </x:c>
      <x:c r="AA1044" s="2" t="str">
        <x:f>IF(B1044="","",IF(I1044&lt;&gt;"READY","NOT RELEASED",IF(Z1044=5,"NO BET",IF(OR(AB1044&lt;'Config_v6'!$B$16,V1044&lt;'Config_v6'!$B$18),"WATCH",IF(Z1044=1,"DEFENSIV",IF(Z1044=2,"PRUDENT",IF(Z1044=3,"MODERAT","RIDICAT")))))))</x:f>
      </x:c>
      <x:c r="AB1044" s="10" t="str">
        <x:f>IF(N1044="","",MIN(N1044,1-S1044))</x:f>
      </x:c>
      <x:c r="AC1044" s="2" t="str">
        <x:f>IF(AD1044&lt;&gt;1,"",COUNTIFS($Z$1042:$Z$1055,"&lt;"&amp;Z1044,$AD$1042:$AD$1055,1)+COUNTIFS($Z$1042:$Z$1055,Z1044,$AB$1042:$AB$1055,"&gt;"&amp;AB1044,$AD$1042:$AD$1055,1)+COUNTIFS($Z$1042:$Z$1055,Z1044,$AB$1042:$AB$1055,AB1044,$V$1042:$V$1055,"&gt;"&amp;V1044,$AD$1042:$AD$1055,1)+COUNTIFS($Z$1042:Z1044,Z1044,$AB$1042:AB1044,AB1044,$V$1042:V1044,V1044,$AD$1042:AD1044,1))</x:f>
      </x:c>
      <x:c r="AD1044" s="2" t="n">
        <x:f>IF(OR(AA1044="DEFENSIV",AA1044="PRUDENT",AA1044="MODERAT",AA1044="RIDICAT"),1,0)</x:f>
        <x:v>0</x:v>
      </x:c>
      <x:c r="AE1044" s="2" t="str">
        <x:f>IF(AD1044&lt;&gt;1,"NO",IF(W1044="PASS","YES",IF(W1044="OOS PENDING","CONDITIONAL","NO")))</x:f>
        <x:v>NO</x:v>
      </x:c>
      <x:c r="AF1044" s="2" t="n">
        <x:f>IF(AND(AD1044=1,AC1044=1,E1044="LIVE"),1,0)</x:f>
        <x:v>0</x:v>
      </x:c>
      <x:c r="AG1044" s="2" t="str">
        <x:f>IF(AF1044&lt;&gt;1,"",'Dashboard'!P100)</x:f>
      </x:c>
      <x:c r="AH1044" s="2" t="str">
        <x:f>IF(B1044="","",IF(J1044&lt;&gt;"PASS",'Motor_Meciuri'!J80,IF('Calibrare_Linii'!U8&lt;&gt;"VALID","Parametri linie invalizi",IF(L1044&gt;'Config_v6'!$B$13,"Dispersie peste limita",IF(W1044="WATCH","Failure peste limita",IF(AB1044&lt;'Config_v6'!$B$16,"P finala sub prag",IF(V1044&lt;'Config_v6'!$B$18,"Confidence sub prag",IF(E1044="REPLAY","Exemplu retrospectiv; exclus din Top LIVE",IF(Y1044="PASS","DEFENSIV validat",IF(W1044="OOS PENDING","Eligibil; calibrare linie in monitorizare","Eligibil"))))))))))</x:f>
      </x:c>
      <x:c r="AI1044" s="2" t="str">
        <x:f>IF(B1044="","",'Calibrare_Linii'!V8)</x:f>
      </x:c>
      <x:c r="AJ1044" s="2" t="str">
        <x:f>IF(B1044="","",IF(AND('Calibrare_Linii'!T8="VALIDATED",AND('Calibrare_Linii'!H8=C1044,ISNUMBER('Calibrare_Linii'!J8),'Calibrare_Linii'!J8&lt;='Input_Meci'!G80)),"DEFENSIVE VALIDATED",IF(AND('Calibrare_Linii'!S8="VALIDATED",AND('Calibrare_Linii'!H8=C1044,ISNUMBER('Calibrare_Linii'!J8),'Calibrare_Linii'!J8&lt;='Input_Meci'!G80)),"TAIL VALIDATED","OOS PENDING")))</x:f>
      </x:c>
      <x:c r="AK1044" s="2" t="n">
        <x:f>IF(J1044&lt;&gt;"PASS",0,'Motor_Meciuri'!BR80)</x:f>
        <x:v>0</x:v>
      </x:c>
      <x:c r="AL1044" s="2" t="n">
        <x:f>IF(J1044&lt;&gt;"PASS",0,'Motor_Meciuri'!BS80)</x:f>
        <x:v>0</x:v>
      </x:c>
      <x:c r="AM1044" s="2" t="n">
        <x:f>IF(J1044&lt;&gt;"PASS",0,'Motor_Meciuri'!BT80)</x:f>
        <x:v>0</x:v>
      </x:c>
      <x:c r="AN1044" s="2" t="str">
        <x:f>IF(M1044="","",MAX(0,'Motor_Meciuri'!BF80-IF(L1044&gt;'Config_v6'!$B$12,'Config_v6'!$B$37,IF(L1044&gt;'Config_v6'!$B$11,'Config_v6'!$B$36,0))))</x:f>
      </x:c>
    </x:row>
    <x:row r="1045" ht="21" customHeight="1">
      <x:c r="A1045" s="2" t="n">
        <x:v>75</x:v>
      </x:c>
      <x:c r="B1045" s="2" t="str">
        <x:f>IF('Motor_Meciuri'!A80="","",'Motor_Meciuri'!A80)</x:f>
      </x:c>
      <x:c r="C1045" s="2" t="str">
        <x:f>IF(B1045="","",'Motor_Meciuri'!B80)</x:f>
      </x:c>
      <x:c r="D1045" s="2" t="str">
        <x:f>IF(B1045="","",'Motor_Meciuri'!D80)</x:f>
      </x:c>
      <x:c r="E1045" s="2" t="str">
        <x:f>IF(B1045="","",'Motor_Meciuri'!E80)</x:f>
      </x:c>
      <x:c r="F1045" s="2" t="str">
        <x:v>O6,5</x:v>
      </x:c>
      <x:c r="G1045" s="2" t="str">
        <x:v>OVER</x:v>
      </x:c>
      <x:c r="H1045" s="2" t="n">
        <x:v>6</x:v>
      </x:c>
      <x:c r="I1045" s="2" t="str">
        <x:f>IF(B1045="","",'Motor_Meciuri'!H80)</x:f>
      </x:c>
      <x:c r="J1045" s="2" t="str">
        <x:f>IF(B1045="","",'Motor_Meciuri'!I80)</x:f>
      </x:c>
      <x:c r="K1045" s="11" t="str">
        <x:f>IF(J1045&lt;&gt;"PASS","",'Motor_Meciuri'!BD80)</x:f>
      </x:c>
      <x:c r="L1045" s="11" t="str">
        <x:f>IF(J1045&lt;&gt;"PASS","",'Motor_Meciuri'!AU80)</x:f>
      </x:c>
      <x:c r="M1045" s="10" t="str">
        <x:f>IF(NOT(AND(J1045="PASS",'Calibrare_Linii'!U9="VALID")),"",1-'Distributie'!AD80)</x:f>
      </x:c>
      <x:c r="N1045" s="10" t="str">
        <x:f>IF(M1045="","",MAX(0.01,MIN(0.99,0.5+(M1045-0.5)*'Motor_Meciuri'!BG80*'Calibrare_Linii'!D9)))</x:f>
      </x:c>
      <x:c r="O1045" s="10" t="str">
        <x:f>IF(M1045="","",1-M1045)</x:f>
      </x:c>
      <x:c r="P1045" s="10" t="str">
        <x:f>IF(OR(NOT(AND(J1045="PASS",'Calibrare_Linii'!U9="VALID")),AK1045=0),""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*('Istoric_Nativ'!$Q$6:$Q$405&lt;=H1045))/AK1045)</x:f>
      </x:c>
      <x:c r="Q1045" s="10" t="str">
        <x:f>IF(OR(NOT(AND(J1045="PASS",'Calibrare_Linii'!U9="VALID")),AL1045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M80)+((('Istoric_Nativ'!$E$6:$E$405='Input_Meci'!E80)+('Istoric_Nativ'!$F$6:$F$405='Input_Meci'!E80))&gt;0)*('Istoric_Nativ'!$D$6:$D$405&gt;='Motor_Meciuri'!BN80))&gt;0)*('Istoric_Nativ'!$Q$6:$Q$405&lt;=H1045))/AL1045)</x:f>
      </x:c>
      <x:c r="R1045" s="10" t="str">
        <x:f>IF(OR(NOT(AND(J1045="PASS",'Calibrare_Linii'!U9="VALID")),AM1045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O80)+((('Istoric_Nativ'!$E$6:$E$405='Input_Meci'!E80)+('Istoric_Nativ'!$F$6:$F$405='Input_Meci'!E80))&gt;0)*('Istoric_Nativ'!$D$6:$D$405&gt;='Motor_Meciuri'!BP80))&gt;0)*('Istoric_Nativ'!$Q$6:$Q$405&lt;=H1045))/AM1045)</x:f>
      </x:c>
      <x:c r="S1045" s="10" t="str">
        <x:f>IF(M1045="","",MAX(O1045,P1045,Q1045,R1045))</x:f>
      </x:c>
      <x:c r="T1045" s="11" t="str">
        <x:f>IF(M1045="","",MIN(100,S1045*100*'Config_v6'!$B$44+MIN(100,L1045/'Config_v6'!$B$13*100)*'Config_v6'!$B$45+(100-'Motor_Meciuri'!BF80)*'Config_v6'!$B$46+'Motor_Meciuri'!BH80*100*'Config_v6'!$B$47))</x:f>
      </x:c>
      <x:c r="U1045" s="2" t="str">
        <x:f>IF(T1045="","",IF(T1045&lt;=20,1,IF(T1045&lt;=40,2,IF(T1045&lt;=60,3,IF(T1045&lt;=80,4,5)))))</x:f>
      </x:c>
      <x:c r="V1045" s="2" t="str">
        <x:f>IF(M1045="","",MAX(0,'Motor_Meciuri'!BF80-IF(W1045="OOS PENDING",'Config_v6'!$B$35,0)-IF(L1045&gt;'Config_v6'!$B$12,'Config_v6'!$B$37,IF(L1045&gt;'Config_v6'!$B$11,'Config_v6'!$B$36,0))))</x:f>
      </x:c>
      <x:c r="W1045" s="2" t="str">
        <x:f>IF(B1045="","",IF(I1045&lt;&gt;"READY","NOT RELEASED",IF(NOT(AND(J1045="PASS",'Calibrare_Linii'!U9="VALID")),"INVALID",IF(NOT(AND('Calibrare_Linii'!S9="VALIDATED",AND('Calibrare_Linii'!H9=C1045,ISNUMBER('Calibrare_Linii'!J9),'Calibrare_Linii'!J9&lt;='Input_Meci'!G80))),"OOS PENDING",IF(S1045&lt;='Calibrare_Linii'!E9,"PASS",IF(S1045&lt;='Calibrare_Linii'!F9,"PENALTY","WATCH"))))))</x:f>
      </x:c>
      <x:c r="X1045" s="2" t="str">
        <x:f>IF(M1045="","",IF(AND(AND(J1045="PASS",'Calibrare_Linii'!U9="VALID"),'Motor_Meciuri'!K80=12,'Motor_Meciuri'!L80=12,'Motor_Meciuri'!M80="NO",'Motor_Meciuri'!BL80='Motor_Meciuri'!C80,AB1045&gt;='Config_v6'!$B$50,AN1045&gt;='Config_v6'!$B$51,T1045&lt;='Config_v6'!$B$52,L1045&lt;='Config_v6'!$B$53,ISNUMBER('Calibrare_Linii'!E9),S1045&lt;='Calibrare_Linii'!E9,SUM(AK1045:AM1045)&gt;0),"CANDIDATE","NO"))</x:f>
      </x:c>
      <x:c r="Y1045" s="2" t="str">
        <x:f>IF(B1045="","",IF(I1045&lt;&gt;"READY","NOT RELEASED",IF(AND(X1045="CANDIDATE",V1045&gt;='Config_v6'!$B$51,W1045="PASS",'Calibrare_Linii'!T9="VALIDATED",AND('Calibrare_Linii'!H9=C1045,ISNUMBER('Calibrare_Linii'!J9),'Calibrare_Linii'!J9&lt;='Input_Meci'!G80)),"PASS",IF(X1045="CANDIDATE","OOS PENDING","FAIL"))))</x:f>
      </x:c>
      <x:c r="Z1045" s="2" t="str">
        <x:f>IF(B1045="","",IF(I1045&lt;&gt;"READY","",IF(OR(NOT(AND(J1045="PASS",'Calibrare_Linii'!U9="VALID")),L1045&gt;'Config_v6'!$B$13,W1045="WATCH"),5,IF(Y1045="PASS",1,MIN(5,MAX('Config_v6'!$B$42,U1045)+IF(W1045="PENALTY",1,0))))))</x:f>
      </x:c>
      <x:c r="AA1045" s="2" t="str">
        <x:f>IF(B1045="","",IF(I1045&lt;&gt;"READY","NOT RELEASED",IF(Z1045=5,"NO BET",IF(OR(AB1045&lt;'Config_v6'!$B$16,V1045&lt;'Config_v6'!$B$18),"WATCH",IF(Z1045=1,"DEFENSIV",IF(Z1045=2,"PRUDENT",IF(Z1045=3,"MODERAT","RIDICAT")))))))</x:f>
      </x:c>
      <x:c r="AB1045" s="10" t="str">
        <x:f>IF(N1045="","",MIN(N1045,1-S1045))</x:f>
      </x:c>
      <x:c r="AC1045" s="2" t="str">
        <x:f>IF(AD1045&lt;&gt;1,"",COUNTIFS($Z$1042:$Z$1055,"&lt;"&amp;Z1045,$AD$1042:$AD$1055,1)+COUNTIFS($Z$1042:$Z$1055,Z1045,$AB$1042:$AB$1055,"&gt;"&amp;AB1045,$AD$1042:$AD$1055,1)+COUNTIFS($Z$1042:$Z$1055,Z1045,$AB$1042:$AB$1055,AB1045,$V$1042:$V$1055,"&gt;"&amp;V1045,$AD$1042:$AD$1055,1)+COUNTIFS($Z$1042:Z1045,Z1045,$AB$1042:AB1045,AB1045,$V$1042:V1045,V1045,$AD$1042:AD1045,1))</x:f>
      </x:c>
      <x:c r="AD1045" s="2" t="n">
        <x:f>IF(OR(AA1045="DEFENSIV",AA1045="PRUDENT",AA1045="MODERAT",AA1045="RIDICAT"),1,0)</x:f>
        <x:v>0</x:v>
      </x:c>
      <x:c r="AE1045" s="2" t="str">
        <x:f>IF(AD1045&lt;&gt;1,"NO",IF(W1045="PASS","YES",IF(W1045="OOS PENDING","CONDITIONAL","NO")))</x:f>
        <x:v>NO</x:v>
      </x:c>
      <x:c r="AF1045" s="2" t="n">
        <x:f>IF(AND(AD1045=1,AC1045=1,E1045="LIVE"),1,0)</x:f>
        <x:v>0</x:v>
      </x:c>
      <x:c r="AG1045" s="2" t="str">
        <x:f>IF(AF1045&lt;&gt;1,"",'Dashboard'!P100)</x:f>
      </x:c>
      <x:c r="AH1045" s="2" t="str">
        <x:f>IF(B1045="","",IF(J1045&lt;&gt;"PASS",'Motor_Meciuri'!J80,IF('Calibrare_Linii'!U9&lt;&gt;"VALID","Parametri linie invalizi",IF(L1045&gt;'Config_v6'!$B$13,"Dispersie peste limita",IF(W1045="WATCH","Failure peste limita",IF(AB1045&lt;'Config_v6'!$B$16,"P finala sub prag",IF(V1045&lt;'Config_v6'!$B$18,"Confidence sub prag",IF(E1045="REPLAY","Exemplu retrospectiv; exclus din Top LIVE",IF(Y1045="PASS","DEFENSIV validat",IF(W1045="OOS PENDING","Eligibil; calibrare linie in monitorizare","Eligibil"))))))))))</x:f>
      </x:c>
      <x:c r="AI1045" s="2" t="str">
        <x:f>IF(B1045="","",'Calibrare_Linii'!V9)</x:f>
      </x:c>
      <x:c r="AJ1045" s="2" t="str">
        <x:f>IF(B1045="","",IF(AND('Calibrare_Linii'!T9="VALIDATED",AND('Calibrare_Linii'!H9=C1045,ISNUMBER('Calibrare_Linii'!J9),'Calibrare_Linii'!J9&lt;='Input_Meci'!G80)),"DEFENSIVE VALIDATED",IF(AND('Calibrare_Linii'!S9="VALIDATED",AND('Calibrare_Linii'!H9=C1045,ISNUMBER('Calibrare_Linii'!J9),'Calibrare_Linii'!J9&lt;='Input_Meci'!G80)),"TAIL VALIDATED","OOS PENDING")))</x:f>
      </x:c>
      <x:c r="AK1045" s="2" t="n">
        <x:f>IF(J1045&lt;&gt;"PASS",0,'Motor_Meciuri'!BR80)</x:f>
        <x:v>0</x:v>
      </x:c>
      <x:c r="AL1045" s="2" t="n">
        <x:f>IF(J1045&lt;&gt;"PASS",0,'Motor_Meciuri'!BS80)</x:f>
        <x:v>0</x:v>
      </x:c>
      <x:c r="AM1045" s="2" t="n">
        <x:f>IF(J1045&lt;&gt;"PASS",0,'Motor_Meciuri'!BT80)</x:f>
        <x:v>0</x:v>
      </x:c>
      <x:c r="AN1045" s="2" t="str">
        <x:f>IF(M1045="","",MAX(0,'Motor_Meciuri'!BF80-IF(L1045&gt;'Config_v6'!$B$12,'Config_v6'!$B$37,IF(L1045&gt;'Config_v6'!$B$11,'Config_v6'!$B$36,0))))</x:f>
      </x:c>
    </x:row>
    <x:row r="1046" ht="21" customHeight="1">
      <x:c r="A1046" s="2" t="n">
        <x:v>75</x:v>
      </x:c>
      <x:c r="B1046" s="2" t="str">
        <x:f>IF('Motor_Meciuri'!A80="","",'Motor_Meciuri'!A80)</x:f>
      </x:c>
      <x:c r="C1046" s="2" t="str">
        <x:f>IF(B1046="","",'Motor_Meciuri'!B80)</x:f>
      </x:c>
      <x:c r="D1046" s="2" t="str">
        <x:f>IF(B1046="","",'Motor_Meciuri'!D80)</x:f>
      </x:c>
      <x:c r="E1046" s="2" t="str">
        <x:f>IF(B1046="","",'Motor_Meciuri'!E80)</x:f>
      </x:c>
      <x:c r="F1046" s="2" t="str">
        <x:v>O7,5</x:v>
      </x:c>
      <x:c r="G1046" s="2" t="str">
        <x:v>OVER</x:v>
      </x:c>
      <x:c r="H1046" s="2" t="n">
        <x:v>7</x:v>
      </x:c>
      <x:c r="I1046" s="2" t="str">
        <x:f>IF(B1046="","",'Motor_Meciuri'!H80)</x:f>
      </x:c>
      <x:c r="J1046" s="2" t="str">
        <x:f>IF(B1046="","",'Motor_Meciuri'!I80)</x:f>
      </x:c>
      <x:c r="K1046" s="11" t="str">
        <x:f>IF(J1046&lt;&gt;"PASS","",'Motor_Meciuri'!BD80)</x:f>
      </x:c>
      <x:c r="L1046" s="11" t="str">
        <x:f>IF(J1046&lt;&gt;"PASS","",'Motor_Meciuri'!AU80)</x:f>
      </x:c>
      <x:c r="M1046" s="10" t="str">
        <x:f>IF(NOT(AND(J1046="PASS",'Calibrare_Linii'!U10="VALID")),"",1-'Distributie'!AE80)</x:f>
      </x:c>
      <x:c r="N1046" s="10" t="str">
        <x:f>IF(M1046="","",MAX(0.01,MIN(0.99,0.5+(M1046-0.5)*'Motor_Meciuri'!BG80*'Calibrare_Linii'!D10)))</x:f>
      </x:c>
      <x:c r="O1046" s="10" t="str">
        <x:f>IF(M1046="","",1-M1046)</x:f>
      </x:c>
      <x:c r="P1046" s="10" t="str">
        <x:f>IF(OR(NOT(AND(J1046="PASS",'Calibrare_Linii'!U10="VALID")),AK1046=0),""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*('Istoric_Nativ'!$Q$6:$Q$405&lt;=H1046))/AK1046)</x:f>
      </x:c>
      <x:c r="Q1046" s="10" t="str">
        <x:f>IF(OR(NOT(AND(J1046="PASS",'Calibrare_Linii'!U10="VALID")),AL1046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M80)+((('Istoric_Nativ'!$E$6:$E$405='Input_Meci'!E80)+('Istoric_Nativ'!$F$6:$F$405='Input_Meci'!E80))&gt;0)*('Istoric_Nativ'!$D$6:$D$405&gt;='Motor_Meciuri'!BN80))&gt;0)*('Istoric_Nativ'!$Q$6:$Q$405&lt;=H1046))/AL1046)</x:f>
      </x:c>
      <x:c r="R1046" s="10" t="str">
        <x:f>IF(OR(NOT(AND(J1046="PASS",'Calibrare_Linii'!U10="VALID")),AM1046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O80)+((('Istoric_Nativ'!$E$6:$E$405='Input_Meci'!E80)+('Istoric_Nativ'!$F$6:$F$405='Input_Meci'!E80))&gt;0)*('Istoric_Nativ'!$D$6:$D$405&gt;='Motor_Meciuri'!BP80))&gt;0)*('Istoric_Nativ'!$Q$6:$Q$405&lt;=H1046))/AM1046)</x:f>
      </x:c>
      <x:c r="S1046" s="10" t="str">
        <x:f>IF(M1046="","",MAX(O1046,P1046,Q1046,R1046))</x:f>
      </x:c>
      <x:c r="T1046" s="11" t="str">
        <x:f>IF(M1046="","",MIN(100,S1046*100*'Config_v6'!$B$44+MIN(100,L1046/'Config_v6'!$B$13*100)*'Config_v6'!$B$45+(100-'Motor_Meciuri'!BF80)*'Config_v6'!$B$46+'Motor_Meciuri'!BH80*100*'Config_v6'!$B$47))</x:f>
      </x:c>
      <x:c r="U1046" s="2" t="str">
        <x:f>IF(T1046="","",IF(T1046&lt;=20,1,IF(T1046&lt;=40,2,IF(T1046&lt;=60,3,IF(T1046&lt;=80,4,5)))))</x:f>
      </x:c>
      <x:c r="V1046" s="2" t="str">
        <x:f>IF(M1046="","",MAX(0,'Motor_Meciuri'!BF80-IF(W1046="OOS PENDING",'Config_v6'!$B$35,0)-IF(L1046&gt;'Config_v6'!$B$12,'Config_v6'!$B$37,IF(L1046&gt;'Config_v6'!$B$11,'Config_v6'!$B$36,0))))</x:f>
      </x:c>
      <x:c r="W1046" s="2" t="str">
        <x:f>IF(B1046="","",IF(I1046&lt;&gt;"READY","NOT RELEASED",IF(NOT(AND(J1046="PASS",'Calibrare_Linii'!U10="VALID")),"INVALID",IF(NOT(AND('Calibrare_Linii'!S10="VALIDATED",AND('Calibrare_Linii'!H10=C1046,ISNUMBER('Calibrare_Linii'!J10),'Calibrare_Linii'!J10&lt;='Input_Meci'!G80))),"OOS PENDING",IF(S1046&lt;='Calibrare_Linii'!E10,"PASS",IF(S1046&lt;='Calibrare_Linii'!F10,"PENALTY","WATCH"))))))</x:f>
      </x:c>
      <x:c r="X1046" s="2" t="str">
        <x:f>IF(M1046="","",IF(AND(AND(J1046="PASS",'Calibrare_Linii'!U10="VALID"),'Motor_Meciuri'!K80=12,'Motor_Meciuri'!L80=12,'Motor_Meciuri'!M80="NO",'Motor_Meciuri'!BL80='Motor_Meciuri'!C80,AB1046&gt;='Config_v6'!$B$50,AN1046&gt;='Config_v6'!$B$51,T1046&lt;='Config_v6'!$B$52,L1046&lt;='Config_v6'!$B$53,ISNUMBER('Calibrare_Linii'!E10),S1046&lt;='Calibrare_Linii'!E10,SUM(AK1046:AM1046)&gt;0),"CANDIDATE","NO"))</x:f>
      </x:c>
      <x:c r="Y1046" s="2" t="str">
        <x:f>IF(B1046="","",IF(I1046&lt;&gt;"READY","NOT RELEASED",IF(AND(X1046="CANDIDATE",V1046&gt;='Config_v6'!$B$51,W1046="PASS",'Calibrare_Linii'!T10="VALIDATED",AND('Calibrare_Linii'!H10=C1046,ISNUMBER('Calibrare_Linii'!J10),'Calibrare_Linii'!J10&lt;='Input_Meci'!G80)),"PASS",IF(X1046="CANDIDATE","OOS PENDING","FAIL"))))</x:f>
      </x:c>
      <x:c r="Z1046" s="2" t="str">
        <x:f>IF(B1046="","",IF(I1046&lt;&gt;"READY","",IF(OR(NOT(AND(J1046="PASS",'Calibrare_Linii'!U10="VALID")),L1046&gt;'Config_v6'!$B$13,W1046="WATCH"),5,IF(Y1046="PASS",1,MIN(5,MAX('Config_v6'!$B$42,U1046)+IF(W1046="PENALTY",1,0))))))</x:f>
      </x:c>
      <x:c r="AA1046" s="2" t="str">
        <x:f>IF(B1046="","",IF(I1046&lt;&gt;"READY","NOT RELEASED",IF(Z1046=5,"NO BET",IF(OR(AB1046&lt;'Config_v6'!$B$16,V1046&lt;'Config_v6'!$B$18),"WATCH",IF(Z1046=1,"DEFENSIV",IF(Z1046=2,"PRUDENT",IF(Z1046=3,"MODERAT","RIDICAT")))))))</x:f>
      </x:c>
      <x:c r="AB1046" s="10" t="str">
        <x:f>IF(N1046="","",MIN(N1046,1-S1046))</x:f>
      </x:c>
      <x:c r="AC1046" s="2" t="str">
        <x:f>IF(AD1046&lt;&gt;1,"",COUNTIFS($Z$1042:$Z$1055,"&lt;"&amp;Z1046,$AD$1042:$AD$1055,1)+COUNTIFS($Z$1042:$Z$1055,Z1046,$AB$1042:$AB$1055,"&gt;"&amp;AB1046,$AD$1042:$AD$1055,1)+COUNTIFS($Z$1042:$Z$1055,Z1046,$AB$1042:$AB$1055,AB1046,$V$1042:$V$1055,"&gt;"&amp;V1046,$AD$1042:$AD$1055,1)+COUNTIFS($Z$1042:Z1046,Z1046,$AB$1042:AB1046,AB1046,$V$1042:V1046,V1046,$AD$1042:AD1046,1))</x:f>
      </x:c>
      <x:c r="AD1046" s="2" t="n">
        <x:f>IF(OR(AA1046="DEFENSIV",AA1046="PRUDENT",AA1046="MODERAT",AA1046="RIDICAT"),1,0)</x:f>
        <x:v>0</x:v>
      </x:c>
      <x:c r="AE1046" s="2" t="str">
        <x:f>IF(AD1046&lt;&gt;1,"NO",IF(W1046="PASS","YES",IF(W1046="OOS PENDING","CONDITIONAL","NO")))</x:f>
        <x:v>NO</x:v>
      </x:c>
      <x:c r="AF1046" s="2" t="n">
        <x:f>IF(AND(AD1046=1,AC1046=1,E1046="LIVE"),1,0)</x:f>
        <x:v>0</x:v>
      </x:c>
      <x:c r="AG1046" s="2" t="str">
        <x:f>IF(AF1046&lt;&gt;1,"",'Dashboard'!P100)</x:f>
      </x:c>
      <x:c r="AH1046" s="2" t="str">
        <x:f>IF(B1046="","",IF(J1046&lt;&gt;"PASS",'Motor_Meciuri'!J80,IF('Calibrare_Linii'!U10&lt;&gt;"VALID","Parametri linie invalizi",IF(L1046&gt;'Config_v6'!$B$13,"Dispersie peste limita",IF(W1046="WATCH","Failure peste limita",IF(AB1046&lt;'Config_v6'!$B$16,"P finala sub prag",IF(V1046&lt;'Config_v6'!$B$18,"Confidence sub prag",IF(E1046="REPLAY","Exemplu retrospectiv; exclus din Top LIVE",IF(Y1046="PASS","DEFENSIV validat",IF(W1046="OOS PENDING","Eligibil; calibrare linie in monitorizare","Eligibil"))))))))))</x:f>
      </x:c>
      <x:c r="AI1046" s="2" t="str">
        <x:f>IF(B1046="","",'Calibrare_Linii'!V10)</x:f>
      </x:c>
      <x:c r="AJ1046" s="2" t="str">
        <x:f>IF(B1046="","",IF(AND('Calibrare_Linii'!T10="VALIDATED",AND('Calibrare_Linii'!H10=C1046,ISNUMBER('Calibrare_Linii'!J10),'Calibrare_Linii'!J10&lt;='Input_Meci'!G80)),"DEFENSIVE VALIDATED",IF(AND('Calibrare_Linii'!S10="VALIDATED",AND('Calibrare_Linii'!H10=C1046,ISNUMBER('Calibrare_Linii'!J10),'Calibrare_Linii'!J10&lt;='Input_Meci'!G80)),"TAIL VALIDATED","OOS PENDING")))</x:f>
      </x:c>
      <x:c r="AK1046" s="2" t="n">
        <x:f>IF(J1046&lt;&gt;"PASS",0,'Motor_Meciuri'!BR80)</x:f>
        <x:v>0</x:v>
      </x:c>
      <x:c r="AL1046" s="2" t="n">
        <x:f>IF(J1046&lt;&gt;"PASS",0,'Motor_Meciuri'!BS80)</x:f>
        <x:v>0</x:v>
      </x:c>
      <x:c r="AM1046" s="2" t="n">
        <x:f>IF(J1046&lt;&gt;"PASS",0,'Motor_Meciuri'!BT80)</x:f>
        <x:v>0</x:v>
      </x:c>
      <x:c r="AN1046" s="2" t="str">
        <x:f>IF(M1046="","",MAX(0,'Motor_Meciuri'!BF80-IF(L1046&gt;'Config_v6'!$B$12,'Config_v6'!$B$37,IF(L1046&gt;'Config_v6'!$B$11,'Config_v6'!$B$36,0))))</x:f>
      </x:c>
    </x:row>
    <x:row r="1047" ht="21" customHeight="1">
      <x:c r="A1047" s="2" t="n">
        <x:v>75</x:v>
      </x:c>
      <x:c r="B1047" s="2" t="str">
        <x:f>IF('Motor_Meciuri'!A80="","",'Motor_Meciuri'!A80)</x:f>
      </x:c>
      <x:c r="C1047" s="2" t="str">
        <x:f>IF(B1047="","",'Motor_Meciuri'!B80)</x:f>
      </x:c>
      <x:c r="D1047" s="2" t="str">
        <x:f>IF(B1047="","",'Motor_Meciuri'!D80)</x:f>
      </x:c>
      <x:c r="E1047" s="2" t="str">
        <x:f>IF(B1047="","",'Motor_Meciuri'!E80)</x:f>
      </x:c>
      <x:c r="F1047" s="2" t="str">
        <x:v>O8,5</x:v>
      </x:c>
      <x:c r="G1047" s="2" t="str">
        <x:v>OVER</x:v>
      </x:c>
      <x:c r="H1047" s="2" t="n">
        <x:v>8</x:v>
      </x:c>
      <x:c r="I1047" s="2" t="str">
        <x:f>IF(B1047="","",'Motor_Meciuri'!H80)</x:f>
      </x:c>
      <x:c r="J1047" s="2" t="str">
        <x:f>IF(B1047="","",'Motor_Meciuri'!I80)</x:f>
      </x:c>
      <x:c r="K1047" s="11" t="str">
        <x:f>IF(J1047&lt;&gt;"PASS","",'Motor_Meciuri'!BD80)</x:f>
      </x:c>
      <x:c r="L1047" s="11" t="str">
        <x:f>IF(J1047&lt;&gt;"PASS","",'Motor_Meciuri'!AU80)</x:f>
      </x:c>
      <x:c r="M1047" s="10" t="str">
        <x:f>IF(NOT(AND(J1047="PASS",'Calibrare_Linii'!U11="VALID")),"",1-'Distributie'!AF80)</x:f>
      </x:c>
      <x:c r="N1047" s="10" t="str">
        <x:f>IF(M1047="","",MAX(0.01,MIN(0.99,0.5+(M1047-0.5)*'Motor_Meciuri'!BG80*'Calibrare_Linii'!D11)))</x:f>
      </x:c>
      <x:c r="O1047" s="10" t="str">
        <x:f>IF(M1047="","",1-M1047)</x:f>
      </x:c>
      <x:c r="P1047" s="10" t="str">
        <x:f>IF(OR(NOT(AND(J1047="PASS",'Calibrare_Linii'!U11="VALID")),AK1047=0),""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*('Istoric_Nativ'!$Q$6:$Q$405&lt;=H1047))/AK1047)</x:f>
      </x:c>
      <x:c r="Q1047" s="10" t="str">
        <x:f>IF(OR(NOT(AND(J1047="PASS",'Calibrare_Linii'!U11="VALID")),AL1047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M80)+((('Istoric_Nativ'!$E$6:$E$405='Input_Meci'!E80)+('Istoric_Nativ'!$F$6:$F$405='Input_Meci'!E80))&gt;0)*('Istoric_Nativ'!$D$6:$D$405&gt;='Motor_Meciuri'!BN80))&gt;0)*('Istoric_Nativ'!$Q$6:$Q$405&lt;=H1047))/AL1047)</x:f>
      </x:c>
      <x:c r="R1047" s="10" t="str">
        <x:f>IF(OR(NOT(AND(J1047="PASS",'Calibrare_Linii'!U11="VALID")),AM1047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O80)+((('Istoric_Nativ'!$E$6:$E$405='Input_Meci'!E80)+('Istoric_Nativ'!$F$6:$F$405='Input_Meci'!E80))&gt;0)*('Istoric_Nativ'!$D$6:$D$405&gt;='Motor_Meciuri'!BP80))&gt;0)*('Istoric_Nativ'!$Q$6:$Q$405&lt;=H1047))/AM1047)</x:f>
      </x:c>
      <x:c r="S1047" s="10" t="str">
        <x:f>IF(M1047="","",MAX(O1047,P1047,Q1047,R1047))</x:f>
      </x:c>
      <x:c r="T1047" s="11" t="str">
        <x:f>IF(M1047="","",MIN(100,S1047*100*'Config_v6'!$B$44+MIN(100,L1047/'Config_v6'!$B$13*100)*'Config_v6'!$B$45+(100-'Motor_Meciuri'!BF80)*'Config_v6'!$B$46+'Motor_Meciuri'!BH80*100*'Config_v6'!$B$47))</x:f>
      </x:c>
      <x:c r="U1047" s="2" t="str">
        <x:f>IF(T1047="","",IF(T1047&lt;=20,1,IF(T1047&lt;=40,2,IF(T1047&lt;=60,3,IF(T1047&lt;=80,4,5)))))</x:f>
      </x:c>
      <x:c r="V1047" s="2" t="str">
        <x:f>IF(M1047="","",MAX(0,'Motor_Meciuri'!BF80-IF(W1047="OOS PENDING",'Config_v6'!$B$35,0)-IF(L1047&gt;'Config_v6'!$B$12,'Config_v6'!$B$37,IF(L1047&gt;'Config_v6'!$B$11,'Config_v6'!$B$36,0))))</x:f>
      </x:c>
      <x:c r="W1047" s="2" t="str">
        <x:f>IF(B1047="","",IF(I1047&lt;&gt;"READY","NOT RELEASED",IF(NOT(AND(J1047="PASS",'Calibrare_Linii'!U11="VALID")),"INVALID",IF(NOT(AND('Calibrare_Linii'!S11="VALIDATED",AND('Calibrare_Linii'!H11=C1047,ISNUMBER('Calibrare_Linii'!J11),'Calibrare_Linii'!J11&lt;='Input_Meci'!G80))),"OOS PENDING",IF(S1047&lt;='Calibrare_Linii'!E11,"PASS",IF(S1047&lt;='Calibrare_Linii'!F11,"PENALTY","WATCH"))))))</x:f>
      </x:c>
      <x:c r="X1047" s="2" t="str">
        <x:f>IF(M1047="","",IF(AND(AND(J1047="PASS",'Calibrare_Linii'!U11="VALID"),'Motor_Meciuri'!K80=12,'Motor_Meciuri'!L80=12,'Motor_Meciuri'!M80="NO",'Motor_Meciuri'!BL80='Motor_Meciuri'!C80,AB1047&gt;='Config_v6'!$B$50,AN1047&gt;='Config_v6'!$B$51,T1047&lt;='Config_v6'!$B$52,L1047&lt;='Config_v6'!$B$53,ISNUMBER('Calibrare_Linii'!E11),S1047&lt;='Calibrare_Linii'!E11,SUM(AK1047:AM1047)&gt;0),"CANDIDATE","NO"))</x:f>
      </x:c>
      <x:c r="Y1047" s="2" t="str">
        <x:f>IF(B1047="","",IF(I1047&lt;&gt;"READY","NOT RELEASED",IF(AND(X1047="CANDIDATE",V1047&gt;='Config_v6'!$B$51,W1047="PASS",'Calibrare_Linii'!T11="VALIDATED",AND('Calibrare_Linii'!H11=C1047,ISNUMBER('Calibrare_Linii'!J11),'Calibrare_Linii'!J11&lt;='Input_Meci'!G80)),"PASS",IF(X1047="CANDIDATE","OOS PENDING","FAIL"))))</x:f>
      </x:c>
      <x:c r="Z1047" s="2" t="str">
        <x:f>IF(B1047="","",IF(I1047&lt;&gt;"READY","",IF(OR(NOT(AND(J1047="PASS",'Calibrare_Linii'!U11="VALID")),L1047&gt;'Config_v6'!$B$13,W1047="WATCH"),5,IF(Y1047="PASS",1,MIN(5,MAX('Config_v6'!$B$42,U1047)+IF(W1047="PENALTY",1,0))))))</x:f>
      </x:c>
      <x:c r="AA1047" s="2" t="str">
        <x:f>IF(B1047="","",IF(I1047&lt;&gt;"READY","NOT RELEASED",IF(Z1047=5,"NO BET",IF(OR(AB1047&lt;'Config_v6'!$B$16,V1047&lt;'Config_v6'!$B$18),"WATCH",IF(Z1047=1,"DEFENSIV",IF(Z1047=2,"PRUDENT",IF(Z1047=3,"MODERAT","RIDICAT")))))))</x:f>
      </x:c>
      <x:c r="AB1047" s="10" t="str">
        <x:f>IF(N1047="","",MIN(N1047,1-S1047))</x:f>
      </x:c>
      <x:c r="AC1047" s="2" t="str">
        <x:f>IF(AD1047&lt;&gt;1,"",COUNTIFS($Z$1042:$Z$1055,"&lt;"&amp;Z1047,$AD$1042:$AD$1055,1)+COUNTIFS($Z$1042:$Z$1055,Z1047,$AB$1042:$AB$1055,"&gt;"&amp;AB1047,$AD$1042:$AD$1055,1)+COUNTIFS($Z$1042:$Z$1055,Z1047,$AB$1042:$AB$1055,AB1047,$V$1042:$V$1055,"&gt;"&amp;V1047,$AD$1042:$AD$1055,1)+COUNTIFS($Z$1042:Z1047,Z1047,$AB$1042:AB1047,AB1047,$V$1042:V1047,V1047,$AD$1042:AD1047,1))</x:f>
      </x:c>
      <x:c r="AD1047" s="2" t="n">
        <x:f>IF(OR(AA1047="DEFENSIV",AA1047="PRUDENT",AA1047="MODERAT",AA1047="RIDICAT"),1,0)</x:f>
        <x:v>0</x:v>
      </x:c>
      <x:c r="AE1047" s="2" t="str">
        <x:f>IF(AD1047&lt;&gt;1,"NO",IF(W1047="PASS","YES",IF(W1047="OOS PENDING","CONDITIONAL","NO")))</x:f>
        <x:v>NO</x:v>
      </x:c>
      <x:c r="AF1047" s="2" t="n">
        <x:f>IF(AND(AD1047=1,AC1047=1,E1047="LIVE"),1,0)</x:f>
        <x:v>0</x:v>
      </x:c>
      <x:c r="AG1047" s="2" t="str">
        <x:f>IF(AF1047&lt;&gt;1,"",'Dashboard'!P100)</x:f>
      </x:c>
      <x:c r="AH1047" s="2" t="str">
        <x:f>IF(B1047="","",IF(J1047&lt;&gt;"PASS",'Motor_Meciuri'!J80,IF('Calibrare_Linii'!U11&lt;&gt;"VALID","Parametri linie invalizi",IF(L1047&gt;'Config_v6'!$B$13,"Dispersie peste limita",IF(W1047="WATCH","Failure peste limita",IF(AB1047&lt;'Config_v6'!$B$16,"P finala sub prag",IF(V1047&lt;'Config_v6'!$B$18,"Confidence sub prag",IF(E1047="REPLAY","Exemplu retrospectiv; exclus din Top LIVE",IF(Y1047="PASS","DEFENSIV validat",IF(W1047="OOS PENDING","Eligibil; calibrare linie in monitorizare","Eligibil"))))))))))</x:f>
      </x:c>
      <x:c r="AI1047" s="2" t="str">
        <x:f>IF(B1047="","",'Calibrare_Linii'!V11)</x:f>
      </x:c>
      <x:c r="AJ1047" s="2" t="str">
        <x:f>IF(B1047="","",IF(AND('Calibrare_Linii'!T11="VALIDATED",AND('Calibrare_Linii'!H11=C1047,ISNUMBER('Calibrare_Linii'!J11),'Calibrare_Linii'!J11&lt;='Input_Meci'!G80)),"DEFENSIVE VALIDATED",IF(AND('Calibrare_Linii'!S11="VALIDATED",AND('Calibrare_Linii'!H11=C1047,ISNUMBER('Calibrare_Linii'!J11),'Calibrare_Linii'!J11&lt;='Input_Meci'!G80)),"TAIL VALIDATED","OOS PENDING")))</x:f>
      </x:c>
      <x:c r="AK1047" s="2" t="n">
        <x:f>IF(J1047&lt;&gt;"PASS",0,'Motor_Meciuri'!BR80)</x:f>
        <x:v>0</x:v>
      </x:c>
      <x:c r="AL1047" s="2" t="n">
        <x:f>IF(J1047&lt;&gt;"PASS",0,'Motor_Meciuri'!BS80)</x:f>
        <x:v>0</x:v>
      </x:c>
      <x:c r="AM1047" s="2" t="n">
        <x:f>IF(J1047&lt;&gt;"PASS",0,'Motor_Meciuri'!BT80)</x:f>
        <x:v>0</x:v>
      </x:c>
      <x:c r="AN1047" s="2" t="str">
        <x:f>IF(M1047="","",MAX(0,'Motor_Meciuri'!BF80-IF(L1047&gt;'Config_v6'!$B$12,'Config_v6'!$B$37,IF(L1047&gt;'Config_v6'!$B$11,'Config_v6'!$B$36,0))))</x:f>
      </x:c>
    </x:row>
    <x:row r="1048" ht="21" customHeight="1">
      <x:c r="A1048" s="2" t="n">
        <x:v>75</x:v>
      </x:c>
      <x:c r="B1048" s="2" t="str">
        <x:f>IF('Motor_Meciuri'!A80="","",'Motor_Meciuri'!A80)</x:f>
      </x:c>
      <x:c r="C1048" s="2" t="str">
        <x:f>IF(B1048="","",'Motor_Meciuri'!B80)</x:f>
      </x:c>
      <x:c r="D1048" s="2" t="str">
        <x:f>IF(B1048="","",'Motor_Meciuri'!D80)</x:f>
      </x:c>
      <x:c r="E1048" s="2" t="str">
        <x:f>IF(B1048="","",'Motor_Meciuri'!E80)</x:f>
      </x:c>
      <x:c r="F1048" s="2" t="str">
        <x:v>U10,5</x:v>
      </x:c>
      <x:c r="G1048" s="2" t="str">
        <x:v>UNDER</x:v>
      </x:c>
      <x:c r="H1048" s="2" t="n">
        <x:v>10</x:v>
      </x:c>
      <x:c r="I1048" s="2" t="str">
        <x:f>IF(B1048="","",'Motor_Meciuri'!H80)</x:f>
      </x:c>
      <x:c r="J1048" s="2" t="str">
        <x:f>IF(B1048="","",'Motor_Meciuri'!I80)</x:f>
      </x:c>
      <x:c r="K1048" s="11" t="str">
        <x:f>IF(J1048&lt;&gt;"PASS","",'Motor_Meciuri'!BD80)</x:f>
      </x:c>
      <x:c r="L1048" s="11" t="str">
        <x:f>IF(J1048&lt;&gt;"PASS","",'Motor_Meciuri'!AU80)</x:f>
      </x:c>
      <x:c r="M1048" s="10" t="str">
        <x:f>IF(NOT(AND(J1048="PASS",'Calibrare_Linii'!U12="VALID")),"",'Distributie'!AH80)</x:f>
      </x:c>
      <x:c r="N1048" s="10" t="str">
        <x:f>IF(M1048="","",MAX(0.01,MIN(0.99,0.5+(M1048-0.5)*'Motor_Meciuri'!BG80*'Calibrare_Linii'!D12)))</x:f>
      </x:c>
      <x:c r="O1048" s="10" t="str">
        <x:f>IF(M1048="","",1-M1048)</x:f>
      </x:c>
      <x:c r="P1048" s="10" t="str">
        <x:f>IF(OR(NOT(AND(J1048="PASS",'Calibrare_Linii'!U12="VALID")),AK1048=0),""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*('Istoric_Nativ'!$Q$6:$Q$405&gt;H1048))/AK1048)</x:f>
      </x:c>
      <x:c r="Q1048" s="10" t="str">
        <x:f>IF(OR(NOT(AND(J1048="PASS",'Calibrare_Linii'!U12="VALID")),AL1048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M80)+((('Istoric_Nativ'!$E$6:$E$405='Input_Meci'!E80)+('Istoric_Nativ'!$F$6:$F$405='Input_Meci'!E80))&gt;0)*('Istoric_Nativ'!$D$6:$D$405&gt;='Motor_Meciuri'!BN80))&gt;0)*('Istoric_Nativ'!$Q$6:$Q$405&gt;H1048))/AL1048)</x:f>
      </x:c>
      <x:c r="R1048" s="10" t="str">
        <x:f>IF(OR(NOT(AND(J1048="PASS",'Calibrare_Linii'!U12="VALID")),AM1048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O80)+((('Istoric_Nativ'!$E$6:$E$405='Input_Meci'!E80)+('Istoric_Nativ'!$F$6:$F$405='Input_Meci'!E80))&gt;0)*('Istoric_Nativ'!$D$6:$D$405&gt;='Motor_Meciuri'!BP80))&gt;0)*('Istoric_Nativ'!$Q$6:$Q$405&gt;H1048))/AM1048)</x:f>
      </x:c>
      <x:c r="S1048" s="10" t="str">
        <x:f>IF(M1048="","",MAX(O1048,P1048,Q1048,R1048))</x:f>
      </x:c>
      <x:c r="T1048" s="11" t="str">
        <x:f>IF(M1048="","",MIN(100,S1048*100*'Config_v6'!$B$44+MIN(100,L1048/'Config_v6'!$B$13*100)*'Config_v6'!$B$45+(100-'Motor_Meciuri'!BF80)*'Config_v6'!$B$46+'Motor_Meciuri'!BH80*100*'Config_v6'!$B$47))</x:f>
      </x:c>
      <x:c r="U1048" s="2" t="str">
        <x:f>IF(T1048="","",IF(T1048&lt;=20,1,IF(T1048&lt;=40,2,IF(T1048&lt;=60,3,IF(T1048&lt;=80,4,5)))))</x:f>
      </x:c>
      <x:c r="V1048" s="2" t="str">
        <x:f>IF(M1048="","",MAX(0,'Motor_Meciuri'!BF80-IF(W1048="OOS PENDING",'Config_v6'!$B$35,0)-IF(L1048&gt;'Config_v6'!$B$12,'Config_v6'!$B$37,IF(L1048&gt;'Config_v6'!$B$11,'Config_v6'!$B$36,0))))</x:f>
      </x:c>
      <x:c r="W1048" s="2" t="str">
        <x:f>IF(B1048="","",IF(I1048&lt;&gt;"READY","NOT RELEASED",IF(NOT(AND(J1048="PASS",'Calibrare_Linii'!U12="VALID")),"INVALID",IF(NOT(AND('Calibrare_Linii'!S12="VALIDATED",AND('Calibrare_Linii'!H12=C1048,ISNUMBER('Calibrare_Linii'!J12),'Calibrare_Linii'!J12&lt;='Input_Meci'!G80))),"OOS PENDING",IF(S1048&lt;='Calibrare_Linii'!E12,"PASS",IF(S1048&lt;='Calibrare_Linii'!F12,"PENALTY","WATCH"))))))</x:f>
      </x:c>
      <x:c r="X1048" s="2" t="str">
        <x:f>IF(M1048="","",IF(AND(AND(J1048="PASS",'Calibrare_Linii'!U12="VALID"),'Motor_Meciuri'!K80=12,'Motor_Meciuri'!L80=12,'Motor_Meciuri'!M80="NO",'Motor_Meciuri'!BL80='Motor_Meciuri'!C80,AB1048&gt;='Config_v6'!$B$50,AN1048&gt;='Config_v6'!$B$51,T1048&lt;='Config_v6'!$B$52,L1048&lt;='Config_v6'!$B$53,ISNUMBER('Calibrare_Linii'!E12),S1048&lt;='Calibrare_Linii'!E12,SUM(AK1048:AM1048)&gt;0),"CANDIDATE","NO"))</x:f>
      </x:c>
      <x:c r="Y1048" s="2" t="str">
        <x:f>IF(B1048="","",IF(I1048&lt;&gt;"READY","NOT RELEASED",IF(AND(X1048="CANDIDATE",V1048&gt;='Config_v6'!$B$51,W1048="PASS",'Calibrare_Linii'!T12="VALIDATED",AND('Calibrare_Linii'!H12=C1048,ISNUMBER('Calibrare_Linii'!J12),'Calibrare_Linii'!J12&lt;='Input_Meci'!G80)),"PASS",IF(X1048="CANDIDATE","OOS PENDING","FAIL"))))</x:f>
      </x:c>
      <x:c r="Z1048" s="2" t="str">
        <x:f>IF(B1048="","",IF(I1048&lt;&gt;"READY","",IF(OR(NOT(AND(J1048="PASS",'Calibrare_Linii'!U12="VALID")),L1048&gt;'Config_v6'!$B$13,W1048="WATCH"),5,IF(Y1048="PASS",1,MIN(5,MAX('Config_v6'!$B$42,U1048)+IF(W1048="PENALTY",1,0))))))</x:f>
      </x:c>
      <x:c r="AA1048" s="2" t="str">
        <x:f>IF(B1048="","",IF(I1048&lt;&gt;"READY","NOT RELEASED",IF(Z1048=5,"NO BET",IF(OR(AB1048&lt;'Config_v6'!$B$16,V1048&lt;'Config_v6'!$B$18),"WATCH",IF(Z1048=1,"DEFENSIV",IF(Z1048=2,"PRUDENT",IF(Z1048=3,"MODERAT","RIDICAT")))))))</x:f>
      </x:c>
      <x:c r="AB1048" s="10" t="str">
        <x:f>IF(N1048="","",MIN(N1048,1-S1048))</x:f>
      </x:c>
      <x:c r="AC1048" s="2" t="str">
        <x:f>IF(AD1048&lt;&gt;1,"",COUNTIFS($Z$1042:$Z$1055,"&lt;"&amp;Z1048,$AD$1042:$AD$1055,1)+COUNTIFS($Z$1042:$Z$1055,Z1048,$AB$1042:$AB$1055,"&gt;"&amp;AB1048,$AD$1042:$AD$1055,1)+COUNTIFS($Z$1042:$Z$1055,Z1048,$AB$1042:$AB$1055,AB1048,$V$1042:$V$1055,"&gt;"&amp;V1048,$AD$1042:$AD$1055,1)+COUNTIFS($Z$1042:Z1048,Z1048,$AB$1042:AB1048,AB1048,$V$1042:V1048,V1048,$AD$1042:AD1048,1))</x:f>
      </x:c>
      <x:c r="AD1048" s="2" t="n">
        <x:f>IF(OR(AA1048="DEFENSIV",AA1048="PRUDENT",AA1048="MODERAT",AA1048="RIDICAT"),1,0)</x:f>
        <x:v>0</x:v>
      </x:c>
      <x:c r="AE1048" s="2" t="str">
        <x:f>IF(AD1048&lt;&gt;1,"NO",IF(W1048="PASS","YES",IF(W1048="OOS PENDING","CONDITIONAL","NO")))</x:f>
        <x:v>NO</x:v>
      </x:c>
      <x:c r="AF1048" s="2" t="n">
        <x:f>IF(AND(AD1048=1,AC1048=1,E1048="LIVE"),1,0)</x:f>
        <x:v>0</x:v>
      </x:c>
      <x:c r="AG1048" s="2" t="str">
        <x:f>IF(AF1048&lt;&gt;1,"",'Dashboard'!P100)</x:f>
      </x:c>
      <x:c r="AH1048" s="2" t="str">
        <x:f>IF(B1048="","",IF(J1048&lt;&gt;"PASS",'Motor_Meciuri'!J80,IF('Calibrare_Linii'!U12&lt;&gt;"VALID","Parametri linie invalizi",IF(L1048&gt;'Config_v6'!$B$13,"Dispersie peste limita",IF(W1048="WATCH","Failure peste limita",IF(AB1048&lt;'Config_v6'!$B$16,"P finala sub prag",IF(V1048&lt;'Config_v6'!$B$18,"Confidence sub prag",IF(E1048="REPLAY","Exemplu retrospectiv; exclus din Top LIVE",IF(Y1048="PASS","DEFENSIV validat",IF(W1048="OOS PENDING","Eligibil; calibrare linie in monitorizare","Eligibil"))))))))))</x:f>
      </x:c>
      <x:c r="AI1048" s="2" t="str">
        <x:f>IF(B1048="","",'Calibrare_Linii'!V12)</x:f>
      </x:c>
      <x:c r="AJ1048" s="2" t="str">
        <x:f>IF(B1048="","",IF(AND('Calibrare_Linii'!T12="VALIDATED",AND('Calibrare_Linii'!H12=C1048,ISNUMBER('Calibrare_Linii'!J12),'Calibrare_Linii'!J12&lt;='Input_Meci'!G80)),"DEFENSIVE VALIDATED",IF(AND('Calibrare_Linii'!S12="VALIDATED",AND('Calibrare_Linii'!H12=C1048,ISNUMBER('Calibrare_Linii'!J12),'Calibrare_Linii'!J12&lt;='Input_Meci'!G80)),"TAIL VALIDATED","OOS PENDING")))</x:f>
      </x:c>
      <x:c r="AK1048" s="2" t="n">
        <x:f>IF(J1048&lt;&gt;"PASS",0,'Motor_Meciuri'!BR80)</x:f>
        <x:v>0</x:v>
      </x:c>
      <x:c r="AL1048" s="2" t="n">
        <x:f>IF(J1048&lt;&gt;"PASS",0,'Motor_Meciuri'!BS80)</x:f>
        <x:v>0</x:v>
      </x:c>
      <x:c r="AM1048" s="2" t="n">
        <x:f>IF(J1048&lt;&gt;"PASS",0,'Motor_Meciuri'!BT80)</x:f>
        <x:v>0</x:v>
      </x:c>
      <x:c r="AN1048" s="2" t="str">
        <x:f>IF(M1048="","",MAX(0,'Motor_Meciuri'!BF80-IF(L1048&gt;'Config_v6'!$B$12,'Config_v6'!$B$37,IF(L1048&gt;'Config_v6'!$B$11,'Config_v6'!$B$36,0))))</x:f>
      </x:c>
    </x:row>
    <x:row r="1049" ht="21" customHeight="1">
      <x:c r="A1049" s="2" t="n">
        <x:v>75</x:v>
      </x:c>
      <x:c r="B1049" s="2" t="str">
        <x:f>IF('Motor_Meciuri'!A80="","",'Motor_Meciuri'!A80)</x:f>
      </x:c>
      <x:c r="C1049" s="2" t="str">
        <x:f>IF(B1049="","",'Motor_Meciuri'!B80)</x:f>
      </x:c>
      <x:c r="D1049" s="2" t="str">
        <x:f>IF(B1049="","",'Motor_Meciuri'!D80)</x:f>
      </x:c>
      <x:c r="E1049" s="2" t="str">
        <x:f>IF(B1049="","",'Motor_Meciuri'!E80)</x:f>
      </x:c>
      <x:c r="F1049" s="2" t="str">
        <x:v>U11,5</x:v>
      </x:c>
      <x:c r="G1049" s="2" t="str">
        <x:v>UNDER</x:v>
      </x:c>
      <x:c r="H1049" s="2" t="n">
        <x:v>11</x:v>
      </x:c>
      <x:c r="I1049" s="2" t="str">
        <x:f>IF(B1049="","",'Motor_Meciuri'!H80)</x:f>
      </x:c>
      <x:c r="J1049" s="2" t="str">
        <x:f>IF(B1049="","",'Motor_Meciuri'!I80)</x:f>
      </x:c>
      <x:c r="K1049" s="11" t="str">
        <x:f>IF(J1049&lt;&gt;"PASS","",'Motor_Meciuri'!BD80)</x:f>
      </x:c>
      <x:c r="L1049" s="11" t="str">
        <x:f>IF(J1049&lt;&gt;"PASS","",'Motor_Meciuri'!AU80)</x:f>
      </x:c>
      <x:c r="M1049" s="10" t="str">
        <x:f>IF(NOT(AND(J1049="PASS",'Calibrare_Linii'!U13="VALID")),"",'Distributie'!AI80)</x:f>
      </x:c>
      <x:c r="N1049" s="10" t="str">
        <x:f>IF(M1049="","",MAX(0.01,MIN(0.99,0.5+(M1049-0.5)*'Motor_Meciuri'!BG80*'Calibrare_Linii'!D13)))</x:f>
      </x:c>
      <x:c r="O1049" s="10" t="str">
        <x:f>IF(M1049="","",1-M1049)</x:f>
      </x:c>
      <x:c r="P1049" s="10" t="str">
        <x:f>IF(OR(NOT(AND(J1049="PASS",'Calibrare_Linii'!U13="VALID")),AK1049=0),""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*('Istoric_Nativ'!$Q$6:$Q$405&gt;H1049))/AK1049)</x:f>
      </x:c>
      <x:c r="Q1049" s="10" t="str">
        <x:f>IF(OR(NOT(AND(J1049="PASS",'Calibrare_Linii'!U13="VALID")),AL1049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M80)+((('Istoric_Nativ'!$E$6:$E$405='Input_Meci'!E80)+('Istoric_Nativ'!$F$6:$F$405='Input_Meci'!E80))&gt;0)*('Istoric_Nativ'!$D$6:$D$405&gt;='Motor_Meciuri'!BN80))&gt;0)*('Istoric_Nativ'!$Q$6:$Q$405&gt;H1049))/AL1049)</x:f>
      </x:c>
      <x:c r="R1049" s="10" t="str">
        <x:f>IF(OR(NOT(AND(J1049="PASS",'Calibrare_Linii'!U13="VALID")),AM1049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O80)+((('Istoric_Nativ'!$E$6:$E$405='Input_Meci'!E80)+('Istoric_Nativ'!$F$6:$F$405='Input_Meci'!E80))&gt;0)*('Istoric_Nativ'!$D$6:$D$405&gt;='Motor_Meciuri'!BP80))&gt;0)*('Istoric_Nativ'!$Q$6:$Q$405&gt;H1049))/AM1049)</x:f>
      </x:c>
      <x:c r="S1049" s="10" t="str">
        <x:f>IF(M1049="","",MAX(O1049,P1049,Q1049,R1049))</x:f>
      </x:c>
      <x:c r="T1049" s="11" t="str">
        <x:f>IF(M1049="","",MIN(100,S1049*100*'Config_v6'!$B$44+MIN(100,L1049/'Config_v6'!$B$13*100)*'Config_v6'!$B$45+(100-'Motor_Meciuri'!BF80)*'Config_v6'!$B$46+'Motor_Meciuri'!BH80*100*'Config_v6'!$B$47))</x:f>
      </x:c>
      <x:c r="U1049" s="2" t="str">
        <x:f>IF(T1049="","",IF(T1049&lt;=20,1,IF(T1049&lt;=40,2,IF(T1049&lt;=60,3,IF(T1049&lt;=80,4,5)))))</x:f>
      </x:c>
      <x:c r="V1049" s="2" t="str">
        <x:f>IF(M1049="","",MAX(0,'Motor_Meciuri'!BF80-IF(W1049="OOS PENDING",'Config_v6'!$B$35,0)-IF(L1049&gt;'Config_v6'!$B$12,'Config_v6'!$B$37,IF(L1049&gt;'Config_v6'!$B$11,'Config_v6'!$B$36,0))))</x:f>
      </x:c>
      <x:c r="W1049" s="2" t="str">
        <x:f>IF(B1049="","",IF(I1049&lt;&gt;"READY","NOT RELEASED",IF(NOT(AND(J1049="PASS",'Calibrare_Linii'!U13="VALID")),"INVALID",IF(NOT(AND('Calibrare_Linii'!S13="VALIDATED",AND('Calibrare_Linii'!H13=C1049,ISNUMBER('Calibrare_Linii'!J13),'Calibrare_Linii'!J13&lt;='Input_Meci'!G80))),"OOS PENDING",IF(S1049&lt;='Calibrare_Linii'!E13,"PASS",IF(S1049&lt;='Calibrare_Linii'!F13,"PENALTY","WATCH"))))))</x:f>
      </x:c>
      <x:c r="X1049" s="2" t="str">
        <x:f>IF(M1049="","",IF(AND(AND(J1049="PASS",'Calibrare_Linii'!U13="VALID"),'Motor_Meciuri'!K80=12,'Motor_Meciuri'!L80=12,'Motor_Meciuri'!M80="NO",'Motor_Meciuri'!BL80='Motor_Meciuri'!C80,AB1049&gt;='Config_v6'!$B$50,AN1049&gt;='Config_v6'!$B$51,T1049&lt;='Config_v6'!$B$52,L1049&lt;='Config_v6'!$B$53,ISNUMBER('Calibrare_Linii'!E13),S1049&lt;='Calibrare_Linii'!E13,SUM(AK1049:AM1049)&gt;0),"CANDIDATE","NO"))</x:f>
      </x:c>
      <x:c r="Y1049" s="2" t="str">
        <x:f>IF(B1049="","",IF(I1049&lt;&gt;"READY","NOT RELEASED",IF(AND(X1049="CANDIDATE",V1049&gt;='Config_v6'!$B$51,W1049="PASS",'Calibrare_Linii'!T13="VALIDATED",AND('Calibrare_Linii'!H13=C1049,ISNUMBER('Calibrare_Linii'!J13),'Calibrare_Linii'!J13&lt;='Input_Meci'!G80)),"PASS",IF(X1049="CANDIDATE","OOS PENDING","FAIL"))))</x:f>
      </x:c>
      <x:c r="Z1049" s="2" t="str">
        <x:f>IF(B1049="","",IF(I1049&lt;&gt;"READY","",IF(OR(NOT(AND(J1049="PASS",'Calibrare_Linii'!U13="VALID")),L1049&gt;'Config_v6'!$B$13,W1049="WATCH"),5,IF(Y1049="PASS",1,MIN(5,MAX('Config_v6'!$B$42,U1049)+IF(W1049="PENALTY",1,0))))))</x:f>
      </x:c>
      <x:c r="AA1049" s="2" t="str">
        <x:f>IF(B1049="","",IF(I1049&lt;&gt;"READY","NOT RELEASED",IF(Z1049=5,"NO BET",IF(OR(AB1049&lt;'Config_v6'!$B$16,V1049&lt;'Config_v6'!$B$18),"WATCH",IF(Z1049=1,"DEFENSIV",IF(Z1049=2,"PRUDENT",IF(Z1049=3,"MODERAT","RIDICAT")))))))</x:f>
      </x:c>
      <x:c r="AB1049" s="10" t="str">
        <x:f>IF(N1049="","",MIN(N1049,1-S1049))</x:f>
      </x:c>
      <x:c r="AC1049" s="2" t="str">
        <x:f>IF(AD1049&lt;&gt;1,"",COUNTIFS($Z$1042:$Z$1055,"&lt;"&amp;Z1049,$AD$1042:$AD$1055,1)+COUNTIFS($Z$1042:$Z$1055,Z1049,$AB$1042:$AB$1055,"&gt;"&amp;AB1049,$AD$1042:$AD$1055,1)+COUNTIFS($Z$1042:$Z$1055,Z1049,$AB$1042:$AB$1055,AB1049,$V$1042:$V$1055,"&gt;"&amp;V1049,$AD$1042:$AD$1055,1)+COUNTIFS($Z$1042:Z1049,Z1049,$AB$1042:AB1049,AB1049,$V$1042:V1049,V1049,$AD$1042:AD1049,1))</x:f>
      </x:c>
      <x:c r="AD1049" s="2" t="n">
        <x:f>IF(OR(AA1049="DEFENSIV",AA1049="PRUDENT",AA1049="MODERAT",AA1049="RIDICAT"),1,0)</x:f>
        <x:v>0</x:v>
      </x:c>
      <x:c r="AE1049" s="2" t="str">
        <x:f>IF(AD1049&lt;&gt;1,"NO",IF(W1049="PASS","YES",IF(W1049="OOS PENDING","CONDITIONAL","NO")))</x:f>
        <x:v>NO</x:v>
      </x:c>
      <x:c r="AF1049" s="2" t="n">
        <x:f>IF(AND(AD1049=1,AC1049=1,E1049="LIVE"),1,0)</x:f>
        <x:v>0</x:v>
      </x:c>
      <x:c r="AG1049" s="2" t="str">
        <x:f>IF(AF1049&lt;&gt;1,"",'Dashboard'!P100)</x:f>
      </x:c>
      <x:c r="AH1049" s="2" t="str">
        <x:f>IF(B1049="","",IF(J1049&lt;&gt;"PASS",'Motor_Meciuri'!J80,IF('Calibrare_Linii'!U13&lt;&gt;"VALID","Parametri linie invalizi",IF(L1049&gt;'Config_v6'!$B$13,"Dispersie peste limita",IF(W1049="WATCH","Failure peste limita",IF(AB1049&lt;'Config_v6'!$B$16,"P finala sub prag",IF(V1049&lt;'Config_v6'!$B$18,"Confidence sub prag",IF(E1049="REPLAY","Exemplu retrospectiv; exclus din Top LIVE",IF(Y1049="PASS","DEFENSIV validat",IF(W1049="OOS PENDING","Eligibil; calibrare linie in monitorizare","Eligibil"))))))))))</x:f>
      </x:c>
      <x:c r="AI1049" s="2" t="str">
        <x:f>IF(B1049="","",'Calibrare_Linii'!V13)</x:f>
      </x:c>
      <x:c r="AJ1049" s="2" t="str">
        <x:f>IF(B1049="","",IF(AND('Calibrare_Linii'!T13="VALIDATED",AND('Calibrare_Linii'!H13=C1049,ISNUMBER('Calibrare_Linii'!J13),'Calibrare_Linii'!J13&lt;='Input_Meci'!G80)),"DEFENSIVE VALIDATED",IF(AND('Calibrare_Linii'!S13="VALIDATED",AND('Calibrare_Linii'!H13=C1049,ISNUMBER('Calibrare_Linii'!J13),'Calibrare_Linii'!J13&lt;='Input_Meci'!G80)),"TAIL VALIDATED","OOS PENDING")))</x:f>
      </x:c>
      <x:c r="AK1049" s="2" t="n">
        <x:f>IF(J1049&lt;&gt;"PASS",0,'Motor_Meciuri'!BR80)</x:f>
        <x:v>0</x:v>
      </x:c>
      <x:c r="AL1049" s="2" t="n">
        <x:f>IF(J1049&lt;&gt;"PASS",0,'Motor_Meciuri'!BS80)</x:f>
        <x:v>0</x:v>
      </x:c>
      <x:c r="AM1049" s="2" t="n">
        <x:f>IF(J1049&lt;&gt;"PASS",0,'Motor_Meciuri'!BT80)</x:f>
        <x:v>0</x:v>
      </x:c>
      <x:c r="AN1049" s="2" t="str">
        <x:f>IF(M1049="","",MAX(0,'Motor_Meciuri'!BF80-IF(L1049&gt;'Config_v6'!$B$12,'Config_v6'!$B$37,IF(L1049&gt;'Config_v6'!$B$11,'Config_v6'!$B$36,0))))</x:f>
      </x:c>
    </x:row>
    <x:row r="1050" ht="21" customHeight="1">
      <x:c r="A1050" s="2" t="n">
        <x:v>75</x:v>
      </x:c>
      <x:c r="B1050" s="2" t="str">
        <x:f>IF('Motor_Meciuri'!A80="","",'Motor_Meciuri'!A80)</x:f>
      </x:c>
      <x:c r="C1050" s="2" t="str">
        <x:f>IF(B1050="","",'Motor_Meciuri'!B80)</x:f>
      </x:c>
      <x:c r="D1050" s="2" t="str">
        <x:f>IF(B1050="","",'Motor_Meciuri'!D80)</x:f>
      </x:c>
      <x:c r="E1050" s="2" t="str">
        <x:f>IF(B1050="","",'Motor_Meciuri'!E80)</x:f>
      </x:c>
      <x:c r="F1050" s="2" t="str">
        <x:v>U12,5</x:v>
      </x:c>
      <x:c r="G1050" s="2" t="str">
        <x:v>UNDER</x:v>
      </x:c>
      <x:c r="H1050" s="2" t="n">
        <x:v>12</x:v>
      </x:c>
      <x:c r="I1050" s="2" t="str">
        <x:f>IF(B1050="","",'Motor_Meciuri'!H80)</x:f>
      </x:c>
      <x:c r="J1050" s="2" t="str">
        <x:f>IF(B1050="","",'Motor_Meciuri'!I80)</x:f>
      </x:c>
      <x:c r="K1050" s="11" t="str">
        <x:f>IF(J1050&lt;&gt;"PASS","",'Motor_Meciuri'!BD80)</x:f>
      </x:c>
      <x:c r="L1050" s="11" t="str">
        <x:f>IF(J1050&lt;&gt;"PASS","",'Motor_Meciuri'!AU80)</x:f>
      </x:c>
      <x:c r="M1050" s="10" t="str">
        <x:f>IF(NOT(AND(J1050="PASS",'Calibrare_Linii'!U14="VALID")),"",'Distributie'!AJ80)</x:f>
      </x:c>
      <x:c r="N1050" s="10" t="str">
        <x:f>IF(M1050="","",MAX(0.01,MIN(0.99,0.5+(M1050-0.5)*'Motor_Meciuri'!BG80*'Calibrare_Linii'!D14)))</x:f>
      </x:c>
      <x:c r="O1050" s="10" t="str">
        <x:f>IF(M1050="","",1-M1050)</x:f>
      </x:c>
      <x:c r="P1050" s="10" t="str">
        <x:f>IF(OR(NOT(AND(J1050="PASS",'Calibrare_Linii'!U14="VALID")),AK1050=0),""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*('Istoric_Nativ'!$Q$6:$Q$405&gt;H1050))/AK1050)</x:f>
      </x:c>
      <x:c r="Q1050" s="10" t="str">
        <x:f>IF(OR(NOT(AND(J1050="PASS",'Calibrare_Linii'!U14="VALID")),AL1050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M80)+((('Istoric_Nativ'!$E$6:$E$405='Input_Meci'!E80)+('Istoric_Nativ'!$F$6:$F$405='Input_Meci'!E80))&gt;0)*('Istoric_Nativ'!$D$6:$D$405&gt;='Motor_Meciuri'!BN80))&gt;0)*('Istoric_Nativ'!$Q$6:$Q$405&gt;H1050))/AL1050)</x:f>
      </x:c>
      <x:c r="R1050" s="10" t="str">
        <x:f>IF(OR(NOT(AND(J1050="PASS",'Calibrare_Linii'!U14="VALID")),AM1050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O80)+((('Istoric_Nativ'!$E$6:$E$405='Input_Meci'!E80)+('Istoric_Nativ'!$F$6:$F$405='Input_Meci'!E80))&gt;0)*('Istoric_Nativ'!$D$6:$D$405&gt;='Motor_Meciuri'!BP80))&gt;0)*('Istoric_Nativ'!$Q$6:$Q$405&gt;H1050))/AM1050)</x:f>
      </x:c>
      <x:c r="S1050" s="10" t="str">
        <x:f>IF(M1050="","",MAX(O1050,P1050,Q1050,R1050))</x:f>
      </x:c>
      <x:c r="T1050" s="11" t="str">
        <x:f>IF(M1050="","",MIN(100,S1050*100*'Config_v6'!$B$44+MIN(100,L1050/'Config_v6'!$B$13*100)*'Config_v6'!$B$45+(100-'Motor_Meciuri'!BF80)*'Config_v6'!$B$46+'Motor_Meciuri'!BH80*100*'Config_v6'!$B$47))</x:f>
      </x:c>
      <x:c r="U1050" s="2" t="str">
        <x:f>IF(T1050="","",IF(T1050&lt;=20,1,IF(T1050&lt;=40,2,IF(T1050&lt;=60,3,IF(T1050&lt;=80,4,5)))))</x:f>
      </x:c>
      <x:c r="V1050" s="2" t="str">
        <x:f>IF(M1050="","",MAX(0,'Motor_Meciuri'!BF80-IF(W1050="OOS PENDING",'Config_v6'!$B$35,0)-IF(L1050&gt;'Config_v6'!$B$12,'Config_v6'!$B$37,IF(L1050&gt;'Config_v6'!$B$11,'Config_v6'!$B$36,0))))</x:f>
      </x:c>
      <x:c r="W1050" s="2" t="str">
        <x:f>IF(B1050="","",IF(I1050&lt;&gt;"READY","NOT RELEASED",IF(NOT(AND(J1050="PASS",'Calibrare_Linii'!U14="VALID")),"INVALID",IF(NOT(AND('Calibrare_Linii'!S14="VALIDATED",AND('Calibrare_Linii'!H14=C1050,ISNUMBER('Calibrare_Linii'!J14),'Calibrare_Linii'!J14&lt;='Input_Meci'!G80))),"OOS PENDING",IF(S1050&lt;='Calibrare_Linii'!E14,"PASS",IF(S1050&lt;='Calibrare_Linii'!F14,"PENALTY","WATCH"))))))</x:f>
      </x:c>
      <x:c r="X1050" s="2" t="str">
        <x:f>IF(M1050="","",IF(AND(AND(J1050="PASS",'Calibrare_Linii'!U14="VALID"),'Motor_Meciuri'!K80=12,'Motor_Meciuri'!L80=12,'Motor_Meciuri'!M80="NO",'Motor_Meciuri'!BL80='Motor_Meciuri'!C80,AB1050&gt;='Config_v6'!$B$50,AN1050&gt;='Config_v6'!$B$51,T1050&lt;='Config_v6'!$B$52,L1050&lt;='Config_v6'!$B$53,ISNUMBER('Calibrare_Linii'!E14),S1050&lt;='Calibrare_Linii'!E14,SUM(AK1050:AM1050)&gt;0),"CANDIDATE","NO"))</x:f>
      </x:c>
      <x:c r="Y1050" s="2" t="str">
        <x:f>IF(B1050="","",IF(I1050&lt;&gt;"READY","NOT RELEASED",IF(AND(X1050="CANDIDATE",V1050&gt;='Config_v6'!$B$51,W1050="PASS",'Calibrare_Linii'!T14="VALIDATED",AND('Calibrare_Linii'!H14=C1050,ISNUMBER('Calibrare_Linii'!J14),'Calibrare_Linii'!J14&lt;='Input_Meci'!G80)),"PASS",IF(X1050="CANDIDATE","OOS PENDING","FAIL"))))</x:f>
      </x:c>
      <x:c r="Z1050" s="2" t="str">
        <x:f>IF(B1050="","",IF(I1050&lt;&gt;"READY","",IF(OR(NOT(AND(J1050="PASS",'Calibrare_Linii'!U14="VALID")),L1050&gt;'Config_v6'!$B$13,W1050="WATCH"),5,IF(Y1050="PASS",1,MIN(5,MAX('Config_v6'!$B$42,U1050)+IF(W1050="PENALTY",1,0))))))</x:f>
      </x:c>
      <x:c r="AA1050" s="2" t="str">
        <x:f>IF(B1050="","",IF(I1050&lt;&gt;"READY","NOT RELEASED",IF(Z1050=5,"NO BET",IF(OR(AB1050&lt;'Config_v6'!$B$16,V1050&lt;'Config_v6'!$B$18),"WATCH",IF(Z1050=1,"DEFENSIV",IF(Z1050=2,"PRUDENT",IF(Z1050=3,"MODERAT","RIDICAT")))))))</x:f>
      </x:c>
      <x:c r="AB1050" s="10" t="str">
        <x:f>IF(N1050="","",MIN(N1050,1-S1050))</x:f>
      </x:c>
      <x:c r="AC1050" s="2" t="str">
        <x:f>IF(AD1050&lt;&gt;1,"",COUNTIFS($Z$1042:$Z$1055,"&lt;"&amp;Z1050,$AD$1042:$AD$1055,1)+COUNTIFS($Z$1042:$Z$1055,Z1050,$AB$1042:$AB$1055,"&gt;"&amp;AB1050,$AD$1042:$AD$1055,1)+COUNTIFS($Z$1042:$Z$1055,Z1050,$AB$1042:$AB$1055,AB1050,$V$1042:$V$1055,"&gt;"&amp;V1050,$AD$1042:$AD$1055,1)+COUNTIFS($Z$1042:Z1050,Z1050,$AB$1042:AB1050,AB1050,$V$1042:V1050,V1050,$AD$1042:AD1050,1))</x:f>
      </x:c>
      <x:c r="AD1050" s="2" t="n">
        <x:f>IF(OR(AA1050="DEFENSIV",AA1050="PRUDENT",AA1050="MODERAT",AA1050="RIDICAT"),1,0)</x:f>
        <x:v>0</x:v>
      </x:c>
      <x:c r="AE1050" s="2" t="str">
        <x:f>IF(AD1050&lt;&gt;1,"NO",IF(W1050="PASS","YES",IF(W1050="OOS PENDING","CONDITIONAL","NO")))</x:f>
        <x:v>NO</x:v>
      </x:c>
      <x:c r="AF1050" s="2" t="n">
        <x:f>IF(AND(AD1050=1,AC1050=1,E1050="LIVE"),1,0)</x:f>
        <x:v>0</x:v>
      </x:c>
      <x:c r="AG1050" s="2" t="str">
        <x:f>IF(AF1050&lt;&gt;1,"",'Dashboard'!P100)</x:f>
      </x:c>
      <x:c r="AH1050" s="2" t="str">
        <x:f>IF(B1050="","",IF(J1050&lt;&gt;"PASS",'Motor_Meciuri'!J80,IF('Calibrare_Linii'!U14&lt;&gt;"VALID","Parametri linie invalizi",IF(L1050&gt;'Config_v6'!$B$13,"Dispersie peste limita",IF(W1050="WATCH","Failure peste limita",IF(AB1050&lt;'Config_v6'!$B$16,"P finala sub prag",IF(V1050&lt;'Config_v6'!$B$18,"Confidence sub prag",IF(E1050="REPLAY","Exemplu retrospectiv; exclus din Top LIVE",IF(Y1050="PASS","DEFENSIV validat",IF(W1050="OOS PENDING","Eligibil; calibrare linie in monitorizare","Eligibil"))))))))))</x:f>
      </x:c>
      <x:c r="AI1050" s="2" t="str">
        <x:f>IF(B1050="","",'Calibrare_Linii'!V14)</x:f>
      </x:c>
      <x:c r="AJ1050" s="2" t="str">
        <x:f>IF(B1050="","",IF(AND('Calibrare_Linii'!T14="VALIDATED",AND('Calibrare_Linii'!H14=C1050,ISNUMBER('Calibrare_Linii'!J14),'Calibrare_Linii'!J14&lt;='Input_Meci'!G80)),"DEFENSIVE VALIDATED",IF(AND('Calibrare_Linii'!S14="VALIDATED",AND('Calibrare_Linii'!H14=C1050,ISNUMBER('Calibrare_Linii'!J14),'Calibrare_Linii'!J14&lt;='Input_Meci'!G80)),"TAIL VALIDATED","OOS PENDING")))</x:f>
      </x:c>
      <x:c r="AK1050" s="2" t="n">
        <x:f>IF(J1050&lt;&gt;"PASS",0,'Motor_Meciuri'!BR80)</x:f>
        <x:v>0</x:v>
      </x:c>
      <x:c r="AL1050" s="2" t="n">
        <x:f>IF(J1050&lt;&gt;"PASS",0,'Motor_Meciuri'!BS80)</x:f>
        <x:v>0</x:v>
      </x:c>
      <x:c r="AM1050" s="2" t="n">
        <x:f>IF(J1050&lt;&gt;"PASS",0,'Motor_Meciuri'!BT80)</x:f>
        <x:v>0</x:v>
      </x:c>
      <x:c r="AN1050" s="2" t="str">
        <x:f>IF(M1050="","",MAX(0,'Motor_Meciuri'!BF80-IF(L1050&gt;'Config_v6'!$B$12,'Config_v6'!$B$37,IF(L1050&gt;'Config_v6'!$B$11,'Config_v6'!$B$36,0))))</x:f>
      </x:c>
    </x:row>
    <x:row r="1051" ht="21" customHeight="1">
      <x:c r="A1051" s="2" t="n">
        <x:v>75</x:v>
      </x:c>
      <x:c r="B1051" s="2" t="str">
        <x:f>IF('Motor_Meciuri'!A80="","",'Motor_Meciuri'!A80)</x:f>
      </x:c>
      <x:c r="C1051" s="2" t="str">
        <x:f>IF(B1051="","",'Motor_Meciuri'!B80)</x:f>
      </x:c>
      <x:c r="D1051" s="2" t="str">
        <x:f>IF(B1051="","",'Motor_Meciuri'!D80)</x:f>
      </x:c>
      <x:c r="E1051" s="2" t="str">
        <x:f>IF(B1051="","",'Motor_Meciuri'!E80)</x:f>
      </x:c>
      <x:c r="F1051" s="2" t="str">
        <x:v>U13,5</x:v>
      </x:c>
      <x:c r="G1051" s="2" t="str">
        <x:v>UNDER</x:v>
      </x:c>
      <x:c r="H1051" s="2" t="n">
        <x:v>13</x:v>
      </x:c>
      <x:c r="I1051" s="2" t="str">
        <x:f>IF(B1051="","",'Motor_Meciuri'!H80)</x:f>
      </x:c>
      <x:c r="J1051" s="2" t="str">
        <x:f>IF(B1051="","",'Motor_Meciuri'!I80)</x:f>
      </x:c>
      <x:c r="K1051" s="11" t="str">
        <x:f>IF(J1051&lt;&gt;"PASS","",'Motor_Meciuri'!BD80)</x:f>
      </x:c>
      <x:c r="L1051" s="11" t="str">
        <x:f>IF(J1051&lt;&gt;"PASS","",'Motor_Meciuri'!AU80)</x:f>
      </x:c>
      <x:c r="M1051" s="10" t="str">
        <x:f>IF(NOT(AND(J1051="PASS",'Calibrare_Linii'!U15="VALID")),"",'Distributie'!AK80)</x:f>
      </x:c>
      <x:c r="N1051" s="10" t="str">
        <x:f>IF(M1051="","",MAX(0.01,MIN(0.99,0.5+(M1051-0.5)*'Motor_Meciuri'!BG80*'Calibrare_Linii'!D15)))</x:f>
      </x:c>
      <x:c r="O1051" s="10" t="str">
        <x:f>IF(M1051="","",1-M1051)</x:f>
      </x:c>
      <x:c r="P1051" s="10" t="str">
        <x:f>IF(OR(NOT(AND(J1051="PASS",'Calibrare_Linii'!U15="VALID")),AK1051=0),""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*('Istoric_Nativ'!$Q$6:$Q$405&gt;H1051))/AK1051)</x:f>
      </x:c>
      <x:c r="Q1051" s="10" t="str">
        <x:f>IF(OR(NOT(AND(J1051="PASS",'Calibrare_Linii'!U15="VALID")),AL1051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M80)+((('Istoric_Nativ'!$E$6:$E$405='Input_Meci'!E80)+('Istoric_Nativ'!$F$6:$F$405='Input_Meci'!E80))&gt;0)*('Istoric_Nativ'!$D$6:$D$405&gt;='Motor_Meciuri'!BN80))&gt;0)*('Istoric_Nativ'!$Q$6:$Q$405&gt;H1051))/AL1051)</x:f>
      </x:c>
      <x:c r="R1051" s="10" t="str">
        <x:f>IF(OR(NOT(AND(J1051="PASS",'Calibrare_Linii'!U15="VALID")),AM1051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O80)+((('Istoric_Nativ'!$E$6:$E$405='Input_Meci'!E80)+('Istoric_Nativ'!$F$6:$F$405='Input_Meci'!E80))&gt;0)*('Istoric_Nativ'!$D$6:$D$405&gt;='Motor_Meciuri'!BP80))&gt;0)*('Istoric_Nativ'!$Q$6:$Q$405&gt;H1051))/AM1051)</x:f>
      </x:c>
      <x:c r="S1051" s="10" t="str">
        <x:f>IF(M1051="","",MAX(O1051,P1051,Q1051,R1051))</x:f>
      </x:c>
      <x:c r="T1051" s="11" t="str">
        <x:f>IF(M1051="","",MIN(100,S1051*100*'Config_v6'!$B$44+MIN(100,L1051/'Config_v6'!$B$13*100)*'Config_v6'!$B$45+(100-'Motor_Meciuri'!BF80)*'Config_v6'!$B$46+'Motor_Meciuri'!BH80*100*'Config_v6'!$B$47))</x:f>
      </x:c>
      <x:c r="U1051" s="2" t="str">
        <x:f>IF(T1051="","",IF(T1051&lt;=20,1,IF(T1051&lt;=40,2,IF(T1051&lt;=60,3,IF(T1051&lt;=80,4,5)))))</x:f>
      </x:c>
      <x:c r="V1051" s="2" t="str">
        <x:f>IF(M1051="","",MAX(0,'Motor_Meciuri'!BF80-IF(W1051="OOS PENDING",'Config_v6'!$B$35,0)-IF(L1051&gt;'Config_v6'!$B$12,'Config_v6'!$B$37,IF(L1051&gt;'Config_v6'!$B$11,'Config_v6'!$B$36,0))))</x:f>
      </x:c>
      <x:c r="W1051" s="2" t="str">
        <x:f>IF(B1051="","",IF(I1051&lt;&gt;"READY","NOT RELEASED",IF(NOT(AND(J1051="PASS",'Calibrare_Linii'!U15="VALID")),"INVALID",IF(NOT(AND('Calibrare_Linii'!S15="VALIDATED",AND('Calibrare_Linii'!H15=C1051,ISNUMBER('Calibrare_Linii'!J15),'Calibrare_Linii'!J15&lt;='Input_Meci'!G80))),"OOS PENDING",IF(S1051&lt;='Calibrare_Linii'!E15,"PASS",IF(S1051&lt;='Calibrare_Linii'!F15,"PENALTY","WATCH"))))))</x:f>
      </x:c>
      <x:c r="X1051" s="2" t="str">
        <x:f>IF(M1051="","",IF(AND(AND(J1051="PASS",'Calibrare_Linii'!U15="VALID"),'Motor_Meciuri'!K80=12,'Motor_Meciuri'!L80=12,'Motor_Meciuri'!M80="NO",'Motor_Meciuri'!BL80='Motor_Meciuri'!C80,AB1051&gt;='Config_v6'!$B$50,AN1051&gt;='Config_v6'!$B$51,T1051&lt;='Config_v6'!$B$52,L1051&lt;='Config_v6'!$B$53,ISNUMBER('Calibrare_Linii'!E15),S1051&lt;='Calibrare_Linii'!E15,SUM(AK1051:AM1051)&gt;0),"CANDIDATE","NO"))</x:f>
      </x:c>
      <x:c r="Y1051" s="2" t="str">
        <x:f>IF(B1051="","",IF(I1051&lt;&gt;"READY","NOT RELEASED",IF(AND(X1051="CANDIDATE",V1051&gt;='Config_v6'!$B$51,W1051="PASS",'Calibrare_Linii'!T15="VALIDATED",AND('Calibrare_Linii'!H15=C1051,ISNUMBER('Calibrare_Linii'!J15),'Calibrare_Linii'!J15&lt;='Input_Meci'!G80)),"PASS",IF(X1051="CANDIDATE","OOS PENDING","FAIL"))))</x:f>
      </x:c>
      <x:c r="Z1051" s="2" t="str">
        <x:f>IF(B1051="","",IF(I1051&lt;&gt;"READY","",IF(OR(NOT(AND(J1051="PASS",'Calibrare_Linii'!U15="VALID")),L1051&gt;'Config_v6'!$B$13,W1051="WATCH"),5,IF(Y1051="PASS",1,MIN(5,MAX('Config_v6'!$B$42,U1051)+IF(W1051="PENALTY",1,0))))))</x:f>
      </x:c>
      <x:c r="AA1051" s="2" t="str">
        <x:f>IF(B1051="","",IF(I1051&lt;&gt;"READY","NOT RELEASED",IF(Z1051=5,"NO BET",IF(OR(AB1051&lt;'Config_v6'!$B$16,V1051&lt;'Config_v6'!$B$18),"WATCH",IF(Z1051=1,"DEFENSIV",IF(Z1051=2,"PRUDENT",IF(Z1051=3,"MODERAT","RIDICAT")))))))</x:f>
      </x:c>
      <x:c r="AB1051" s="10" t="str">
        <x:f>IF(N1051="","",MIN(N1051,1-S1051))</x:f>
      </x:c>
      <x:c r="AC1051" s="2" t="str">
        <x:f>IF(AD1051&lt;&gt;1,"",COUNTIFS($Z$1042:$Z$1055,"&lt;"&amp;Z1051,$AD$1042:$AD$1055,1)+COUNTIFS($Z$1042:$Z$1055,Z1051,$AB$1042:$AB$1055,"&gt;"&amp;AB1051,$AD$1042:$AD$1055,1)+COUNTIFS($Z$1042:$Z$1055,Z1051,$AB$1042:$AB$1055,AB1051,$V$1042:$V$1055,"&gt;"&amp;V1051,$AD$1042:$AD$1055,1)+COUNTIFS($Z$1042:Z1051,Z1051,$AB$1042:AB1051,AB1051,$V$1042:V1051,V1051,$AD$1042:AD1051,1))</x:f>
      </x:c>
      <x:c r="AD1051" s="2" t="n">
        <x:f>IF(OR(AA1051="DEFENSIV",AA1051="PRUDENT",AA1051="MODERAT",AA1051="RIDICAT"),1,0)</x:f>
        <x:v>0</x:v>
      </x:c>
      <x:c r="AE1051" s="2" t="str">
        <x:f>IF(AD1051&lt;&gt;1,"NO",IF(W1051="PASS","YES",IF(W1051="OOS PENDING","CONDITIONAL","NO")))</x:f>
        <x:v>NO</x:v>
      </x:c>
      <x:c r="AF1051" s="2" t="n">
        <x:f>IF(AND(AD1051=1,AC1051=1,E1051="LIVE"),1,0)</x:f>
        <x:v>0</x:v>
      </x:c>
      <x:c r="AG1051" s="2" t="str">
        <x:f>IF(AF1051&lt;&gt;1,"",'Dashboard'!P100)</x:f>
      </x:c>
      <x:c r="AH1051" s="2" t="str">
        <x:f>IF(B1051="","",IF(J1051&lt;&gt;"PASS",'Motor_Meciuri'!J80,IF('Calibrare_Linii'!U15&lt;&gt;"VALID","Parametri linie invalizi",IF(L1051&gt;'Config_v6'!$B$13,"Dispersie peste limita",IF(W1051="WATCH","Failure peste limita",IF(AB1051&lt;'Config_v6'!$B$16,"P finala sub prag",IF(V1051&lt;'Config_v6'!$B$18,"Confidence sub prag",IF(E1051="REPLAY","Exemplu retrospectiv; exclus din Top LIVE",IF(Y1051="PASS","DEFENSIV validat",IF(W1051="OOS PENDING","Eligibil; calibrare linie in monitorizare","Eligibil"))))))))))</x:f>
      </x:c>
      <x:c r="AI1051" s="2" t="str">
        <x:f>IF(B1051="","",'Calibrare_Linii'!V15)</x:f>
      </x:c>
      <x:c r="AJ1051" s="2" t="str">
        <x:f>IF(B1051="","",IF(AND('Calibrare_Linii'!T15="VALIDATED",AND('Calibrare_Linii'!H15=C1051,ISNUMBER('Calibrare_Linii'!J15),'Calibrare_Linii'!J15&lt;='Input_Meci'!G80)),"DEFENSIVE VALIDATED",IF(AND('Calibrare_Linii'!S15="VALIDATED",AND('Calibrare_Linii'!H15=C1051,ISNUMBER('Calibrare_Linii'!J15),'Calibrare_Linii'!J15&lt;='Input_Meci'!G80)),"TAIL VALIDATED","OOS PENDING")))</x:f>
      </x:c>
      <x:c r="AK1051" s="2" t="n">
        <x:f>IF(J1051&lt;&gt;"PASS",0,'Motor_Meciuri'!BR80)</x:f>
        <x:v>0</x:v>
      </x:c>
      <x:c r="AL1051" s="2" t="n">
        <x:f>IF(J1051&lt;&gt;"PASS",0,'Motor_Meciuri'!BS80)</x:f>
        <x:v>0</x:v>
      </x:c>
      <x:c r="AM1051" s="2" t="n">
        <x:f>IF(J1051&lt;&gt;"PASS",0,'Motor_Meciuri'!BT80)</x:f>
        <x:v>0</x:v>
      </x:c>
      <x:c r="AN1051" s="2" t="str">
        <x:f>IF(M1051="","",MAX(0,'Motor_Meciuri'!BF80-IF(L1051&gt;'Config_v6'!$B$12,'Config_v6'!$B$37,IF(L1051&gt;'Config_v6'!$B$11,'Config_v6'!$B$36,0))))</x:f>
      </x:c>
    </x:row>
    <x:row r="1052" ht="21" customHeight="1">
      <x:c r="A1052" s="2" t="n">
        <x:v>75</x:v>
      </x:c>
      <x:c r="B1052" s="2" t="str">
        <x:f>IF('Motor_Meciuri'!A80="","",'Motor_Meciuri'!A80)</x:f>
      </x:c>
      <x:c r="C1052" s="2" t="str">
        <x:f>IF(B1052="","",'Motor_Meciuri'!B80)</x:f>
      </x:c>
      <x:c r="D1052" s="2" t="str">
        <x:f>IF(B1052="","",'Motor_Meciuri'!D80)</x:f>
      </x:c>
      <x:c r="E1052" s="2" t="str">
        <x:f>IF(B1052="","",'Motor_Meciuri'!E80)</x:f>
      </x:c>
      <x:c r="F1052" s="2" t="str">
        <x:v>U14,5</x:v>
      </x:c>
      <x:c r="G1052" s="2" t="str">
        <x:v>UNDER</x:v>
      </x:c>
      <x:c r="H1052" s="2" t="n">
        <x:v>14</x:v>
      </x:c>
      <x:c r="I1052" s="2" t="str">
        <x:f>IF(B1052="","",'Motor_Meciuri'!H80)</x:f>
      </x:c>
      <x:c r="J1052" s="2" t="str">
        <x:f>IF(B1052="","",'Motor_Meciuri'!I80)</x:f>
      </x:c>
      <x:c r="K1052" s="11" t="str">
        <x:f>IF(J1052&lt;&gt;"PASS","",'Motor_Meciuri'!BD80)</x:f>
      </x:c>
      <x:c r="L1052" s="11" t="str">
        <x:f>IF(J1052&lt;&gt;"PASS","",'Motor_Meciuri'!AU80)</x:f>
      </x:c>
      <x:c r="M1052" s="10" t="str">
        <x:f>IF(NOT(AND(J1052="PASS",'Calibrare_Linii'!U16="VALID")),"",'Distributie'!AL80)</x:f>
      </x:c>
      <x:c r="N1052" s="10" t="str">
        <x:f>IF(M1052="","",MAX(0.01,MIN(0.99,0.5+(M1052-0.5)*'Motor_Meciuri'!BG80*'Calibrare_Linii'!D16)))</x:f>
      </x:c>
      <x:c r="O1052" s="10" t="str">
        <x:f>IF(M1052="","",1-M1052)</x:f>
      </x:c>
      <x:c r="P1052" s="10" t="str">
        <x:f>IF(OR(NOT(AND(J1052="PASS",'Calibrare_Linii'!U16="VALID")),AK1052=0),""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*('Istoric_Nativ'!$Q$6:$Q$405&gt;H1052))/AK1052)</x:f>
      </x:c>
      <x:c r="Q1052" s="10" t="str">
        <x:f>IF(OR(NOT(AND(J1052="PASS",'Calibrare_Linii'!U16="VALID")),AL1052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M80)+((('Istoric_Nativ'!$E$6:$E$405='Input_Meci'!E80)+('Istoric_Nativ'!$F$6:$F$405='Input_Meci'!E80))&gt;0)*('Istoric_Nativ'!$D$6:$D$405&gt;='Motor_Meciuri'!BN80))&gt;0)*('Istoric_Nativ'!$Q$6:$Q$405&gt;H1052))/AL1052)</x:f>
      </x:c>
      <x:c r="R1052" s="10" t="str">
        <x:f>IF(OR(NOT(AND(J1052="PASS",'Calibrare_Linii'!U16="VALID")),AM1052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O80)+((('Istoric_Nativ'!$E$6:$E$405='Input_Meci'!E80)+('Istoric_Nativ'!$F$6:$F$405='Input_Meci'!E80))&gt;0)*('Istoric_Nativ'!$D$6:$D$405&gt;='Motor_Meciuri'!BP80))&gt;0)*('Istoric_Nativ'!$Q$6:$Q$405&gt;H1052))/AM1052)</x:f>
      </x:c>
      <x:c r="S1052" s="10" t="str">
        <x:f>IF(M1052="","",MAX(O1052,P1052,Q1052,R1052))</x:f>
      </x:c>
      <x:c r="T1052" s="11" t="str">
        <x:f>IF(M1052="","",MIN(100,S1052*100*'Config_v6'!$B$44+MIN(100,L1052/'Config_v6'!$B$13*100)*'Config_v6'!$B$45+(100-'Motor_Meciuri'!BF80)*'Config_v6'!$B$46+'Motor_Meciuri'!BH80*100*'Config_v6'!$B$47))</x:f>
      </x:c>
      <x:c r="U1052" s="2" t="str">
        <x:f>IF(T1052="","",IF(T1052&lt;=20,1,IF(T1052&lt;=40,2,IF(T1052&lt;=60,3,IF(T1052&lt;=80,4,5)))))</x:f>
      </x:c>
      <x:c r="V1052" s="2" t="str">
        <x:f>IF(M1052="","",MAX(0,'Motor_Meciuri'!BF80-IF(W1052="OOS PENDING",'Config_v6'!$B$35,0)-IF(L1052&gt;'Config_v6'!$B$12,'Config_v6'!$B$37,IF(L1052&gt;'Config_v6'!$B$11,'Config_v6'!$B$36,0))))</x:f>
      </x:c>
      <x:c r="W1052" s="2" t="str">
        <x:f>IF(B1052="","",IF(I1052&lt;&gt;"READY","NOT RELEASED",IF(NOT(AND(J1052="PASS",'Calibrare_Linii'!U16="VALID")),"INVALID",IF(NOT(AND('Calibrare_Linii'!S16="VALIDATED",AND('Calibrare_Linii'!H16=C1052,ISNUMBER('Calibrare_Linii'!J16),'Calibrare_Linii'!J16&lt;='Input_Meci'!G80))),"OOS PENDING",IF(S1052&lt;='Calibrare_Linii'!E16,"PASS",IF(S1052&lt;='Calibrare_Linii'!F16,"PENALTY","WATCH"))))))</x:f>
      </x:c>
      <x:c r="X1052" s="2" t="str">
        <x:f>IF(M1052="","",IF(AND(AND(J1052="PASS",'Calibrare_Linii'!U16="VALID"),'Motor_Meciuri'!K80=12,'Motor_Meciuri'!L80=12,'Motor_Meciuri'!M80="NO",'Motor_Meciuri'!BL80='Motor_Meciuri'!C80,AB1052&gt;='Config_v6'!$B$50,AN1052&gt;='Config_v6'!$B$51,T1052&lt;='Config_v6'!$B$52,L1052&lt;='Config_v6'!$B$53,ISNUMBER('Calibrare_Linii'!E16),S1052&lt;='Calibrare_Linii'!E16,SUM(AK1052:AM1052)&gt;0),"CANDIDATE","NO"))</x:f>
      </x:c>
      <x:c r="Y1052" s="2" t="str">
        <x:f>IF(B1052="","",IF(I1052&lt;&gt;"READY","NOT RELEASED",IF(AND(X1052="CANDIDATE",V1052&gt;='Config_v6'!$B$51,W1052="PASS",'Calibrare_Linii'!T16="VALIDATED",AND('Calibrare_Linii'!H16=C1052,ISNUMBER('Calibrare_Linii'!J16),'Calibrare_Linii'!J16&lt;='Input_Meci'!G80)),"PASS",IF(X1052="CANDIDATE","OOS PENDING","FAIL"))))</x:f>
      </x:c>
      <x:c r="Z1052" s="2" t="str">
        <x:f>IF(B1052="","",IF(I1052&lt;&gt;"READY","",IF(OR(NOT(AND(J1052="PASS",'Calibrare_Linii'!U16="VALID")),L1052&gt;'Config_v6'!$B$13,W1052="WATCH"),5,IF(Y1052="PASS",1,MIN(5,MAX('Config_v6'!$B$42,U1052)+IF(W1052="PENALTY",1,0))))))</x:f>
      </x:c>
      <x:c r="AA1052" s="2" t="str">
        <x:f>IF(B1052="","",IF(I1052&lt;&gt;"READY","NOT RELEASED",IF(Z1052=5,"NO BET",IF(OR(AB1052&lt;'Config_v6'!$B$16,V1052&lt;'Config_v6'!$B$18),"WATCH",IF(Z1052=1,"DEFENSIV",IF(Z1052=2,"PRUDENT",IF(Z1052=3,"MODERAT","RIDICAT")))))))</x:f>
      </x:c>
      <x:c r="AB1052" s="10" t="str">
        <x:f>IF(N1052="","",MIN(N1052,1-S1052))</x:f>
      </x:c>
      <x:c r="AC1052" s="2" t="str">
        <x:f>IF(AD1052&lt;&gt;1,"",COUNTIFS($Z$1042:$Z$1055,"&lt;"&amp;Z1052,$AD$1042:$AD$1055,1)+COUNTIFS($Z$1042:$Z$1055,Z1052,$AB$1042:$AB$1055,"&gt;"&amp;AB1052,$AD$1042:$AD$1055,1)+COUNTIFS($Z$1042:$Z$1055,Z1052,$AB$1042:$AB$1055,AB1052,$V$1042:$V$1055,"&gt;"&amp;V1052,$AD$1042:$AD$1055,1)+COUNTIFS($Z$1042:Z1052,Z1052,$AB$1042:AB1052,AB1052,$V$1042:V1052,V1052,$AD$1042:AD1052,1))</x:f>
      </x:c>
      <x:c r="AD1052" s="2" t="n">
        <x:f>IF(OR(AA1052="DEFENSIV",AA1052="PRUDENT",AA1052="MODERAT",AA1052="RIDICAT"),1,0)</x:f>
        <x:v>0</x:v>
      </x:c>
      <x:c r="AE1052" s="2" t="str">
        <x:f>IF(AD1052&lt;&gt;1,"NO",IF(W1052="PASS","YES",IF(W1052="OOS PENDING","CONDITIONAL","NO")))</x:f>
        <x:v>NO</x:v>
      </x:c>
      <x:c r="AF1052" s="2" t="n">
        <x:f>IF(AND(AD1052=1,AC1052=1,E1052="LIVE"),1,0)</x:f>
        <x:v>0</x:v>
      </x:c>
      <x:c r="AG1052" s="2" t="str">
        <x:f>IF(AF1052&lt;&gt;1,"",'Dashboard'!P100)</x:f>
      </x:c>
      <x:c r="AH1052" s="2" t="str">
        <x:f>IF(B1052="","",IF(J1052&lt;&gt;"PASS",'Motor_Meciuri'!J80,IF('Calibrare_Linii'!U16&lt;&gt;"VALID","Parametri linie invalizi",IF(L1052&gt;'Config_v6'!$B$13,"Dispersie peste limita",IF(W1052="WATCH","Failure peste limita",IF(AB1052&lt;'Config_v6'!$B$16,"P finala sub prag",IF(V1052&lt;'Config_v6'!$B$18,"Confidence sub prag",IF(E1052="REPLAY","Exemplu retrospectiv; exclus din Top LIVE",IF(Y1052="PASS","DEFENSIV validat",IF(W1052="OOS PENDING","Eligibil; calibrare linie in monitorizare","Eligibil"))))))))))</x:f>
      </x:c>
      <x:c r="AI1052" s="2" t="str">
        <x:f>IF(B1052="","",'Calibrare_Linii'!V16)</x:f>
      </x:c>
      <x:c r="AJ1052" s="2" t="str">
        <x:f>IF(B1052="","",IF(AND('Calibrare_Linii'!T16="VALIDATED",AND('Calibrare_Linii'!H16=C1052,ISNUMBER('Calibrare_Linii'!J16),'Calibrare_Linii'!J16&lt;='Input_Meci'!G80)),"DEFENSIVE VALIDATED",IF(AND('Calibrare_Linii'!S16="VALIDATED",AND('Calibrare_Linii'!H16=C1052,ISNUMBER('Calibrare_Linii'!J16),'Calibrare_Linii'!J16&lt;='Input_Meci'!G80)),"TAIL VALIDATED","OOS PENDING")))</x:f>
      </x:c>
      <x:c r="AK1052" s="2" t="n">
        <x:f>IF(J1052&lt;&gt;"PASS",0,'Motor_Meciuri'!BR80)</x:f>
        <x:v>0</x:v>
      </x:c>
      <x:c r="AL1052" s="2" t="n">
        <x:f>IF(J1052&lt;&gt;"PASS",0,'Motor_Meciuri'!BS80)</x:f>
        <x:v>0</x:v>
      </x:c>
      <x:c r="AM1052" s="2" t="n">
        <x:f>IF(J1052&lt;&gt;"PASS",0,'Motor_Meciuri'!BT80)</x:f>
        <x:v>0</x:v>
      </x:c>
      <x:c r="AN1052" s="2" t="str">
        <x:f>IF(M1052="","",MAX(0,'Motor_Meciuri'!BF80-IF(L1052&gt;'Config_v6'!$B$12,'Config_v6'!$B$37,IF(L1052&gt;'Config_v6'!$B$11,'Config_v6'!$B$36,0))))</x:f>
      </x:c>
    </x:row>
    <x:row r="1053" ht="21" customHeight="1">
      <x:c r="A1053" s="2" t="n">
        <x:v>75</x:v>
      </x:c>
      <x:c r="B1053" s="2" t="str">
        <x:f>IF('Motor_Meciuri'!A80="","",'Motor_Meciuri'!A80)</x:f>
      </x:c>
      <x:c r="C1053" s="2" t="str">
        <x:f>IF(B1053="","",'Motor_Meciuri'!B80)</x:f>
      </x:c>
      <x:c r="D1053" s="2" t="str">
        <x:f>IF(B1053="","",'Motor_Meciuri'!D80)</x:f>
      </x:c>
      <x:c r="E1053" s="2" t="str">
        <x:f>IF(B1053="","",'Motor_Meciuri'!E80)</x:f>
      </x:c>
      <x:c r="F1053" s="2" t="str">
        <x:v>U15,5</x:v>
      </x:c>
      <x:c r="G1053" s="2" t="str">
        <x:v>UNDER</x:v>
      </x:c>
      <x:c r="H1053" s="2" t="n">
        <x:v>15</x:v>
      </x:c>
      <x:c r="I1053" s="2" t="str">
        <x:f>IF(B1053="","",'Motor_Meciuri'!H80)</x:f>
      </x:c>
      <x:c r="J1053" s="2" t="str">
        <x:f>IF(B1053="","",'Motor_Meciuri'!I80)</x:f>
      </x:c>
      <x:c r="K1053" s="11" t="str">
        <x:f>IF(J1053&lt;&gt;"PASS","",'Motor_Meciuri'!BD80)</x:f>
      </x:c>
      <x:c r="L1053" s="11" t="str">
        <x:f>IF(J1053&lt;&gt;"PASS","",'Motor_Meciuri'!AU80)</x:f>
      </x:c>
      <x:c r="M1053" s="10" t="str">
        <x:f>IF(NOT(AND(J1053="PASS",'Calibrare_Linii'!U17="VALID")),"",'Distributie'!AM80)</x:f>
      </x:c>
      <x:c r="N1053" s="10" t="str">
        <x:f>IF(M1053="","",MAX(0.01,MIN(0.99,0.5+(M1053-0.5)*'Motor_Meciuri'!BG80*'Calibrare_Linii'!D17)))</x:f>
      </x:c>
      <x:c r="O1053" s="10" t="str">
        <x:f>IF(M1053="","",1-M1053)</x:f>
      </x:c>
      <x:c r="P1053" s="10" t="str">
        <x:f>IF(OR(NOT(AND(J1053="PASS",'Calibrare_Linii'!U17="VALID")),AK1053=0),""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*('Istoric_Nativ'!$Q$6:$Q$405&gt;H1053))/AK1053)</x:f>
      </x:c>
      <x:c r="Q1053" s="10" t="str">
        <x:f>IF(OR(NOT(AND(J1053="PASS",'Calibrare_Linii'!U17="VALID")),AL1053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M80)+((('Istoric_Nativ'!$E$6:$E$405='Input_Meci'!E80)+('Istoric_Nativ'!$F$6:$F$405='Input_Meci'!E80))&gt;0)*('Istoric_Nativ'!$D$6:$D$405&gt;='Motor_Meciuri'!BN80))&gt;0)*('Istoric_Nativ'!$Q$6:$Q$405&gt;H1053))/AL1053)</x:f>
      </x:c>
      <x:c r="R1053" s="10" t="str">
        <x:f>IF(OR(NOT(AND(J1053="PASS",'Calibrare_Linii'!U17="VALID")),AM1053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O80)+((('Istoric_Nativ'!$E$6:$E$405='Input_Meci'!E80)+('Istoric_Nativ'!$F$6:$F$405='Input_Meci'!E80))&gt;0)*('Istoric_Nativ'!$D$6:$D$405&gt;='Motor_Meciuri'!BP80))&gt;0)*('Istoric_Nativ'!$Q$6:$Q$405&gt;H1053))/AM1053)</x:f>
      </x:c>
      <x:c r="S1053" s="10" t="str">
        <x:f>IF(M1053="","",MAX(O1053,P1053,Q1053,R1053))</x:f>
      </x:c>
      <x:c r="T1053" s="11" t="str">
        <x:f>IF(M1053="","",MIN(100,S1053*100*'Config_v6'!$B$44+MIN(100,L1053/'Config_v6'!$B$13*100)*'Config_v6'!$B$45+(100-'Motor_Meciuri'!BF80)*'Config_v6'!$B$46+'Motor_Meciuri'!BH80*100*'Config_v6'!$B$47))</x:f>
      </x:c>
      <x:c r="U1053" s="2" t="str">
        <x:f>IF(T1053="","",IF(T1053&lt;=20,1,IF(T1053&lt;=40,2,IF(T1053&lt;=60,3,IF(T1053&lt;=80,4,5)))))</x:f>
      </x:c>
      <x:c r="V1053" s="2" t="str">
        <x:f>IF(M1053="","",MAX(0,'Motor_Meciuri'!BF80-IF(W1053="OOS PENDING",'Config_v6'!$B$35,0)-IF(L1053&gt;'Config_v6'!$B$12,'Config_v6'!$B$37,IF(L1053&gt;'Config_v6'!$B$11,'Config_v6'!$B$36,0))))</x:f>
      </x:c>
      <x:c r="W1053" s="2" t="str">
        <x:f>IF(B1053="","",IF(I1053&lt;&gt;"READY","NOT RELEASED",IF(NOT(AND(J1053="PASS",'Calibrare_Linii'!U17="VALID")),"INVALID",IF(NOT(AND('Calibrare_Linii'!S17="VALIDATED",AND('Calibrare_Linii'!H17=C1053,ISNUMBER('Calibrare_Linii'!J17),'Calibrare_Linii'!J17&lt;='Input_Meci'!G80))),"OOS PENDING",IF(S1053&lt;='Calibrare_Linii'!E17,"PASS",IF(S1053&lt;='Calibrare_Linii'!F17,"PENALTY","WATCH"))))))</x:f>
      </x:c>
      <x:c r="X1053" s="2" t="str">
        <x:f>IF(M1053="","",IF(AND(AND(J1053="PASS",'Calibrare_Linii'!U17="VALID"),'Motor_Meciuri'!K80=12,'Motor_Meciuri'!L80=12,'Motor_Meciuri'!M80="NO",'Motor_Meciuri'!BL80='Motor_Meciuri'!C80,AB1053&gt;='Config_v6'!$B$50,AN1053&gt;='Config_v6'!$B$51,T1053&lt;='Config_v6'!$B$52,L1053&lt;='Config_v6'!$B$53,ISNUMBER('Calibrare_Linii'!E17),S1053&lt;='Calibrare_Linii'!E17,SUM(AK1053:AM1053)&gt;0),"CANDIDATE","NO"))</x:f>
      </x:c>
      <x:c r="Y1053" s="2" t="str">
        <x:f>IF(B1053="","",IF(I1053&lt;&gt;"READY","NOT RELEASED",IF(AND(X1053="CANDIDATE",V1053&gt;='Config_v6'!$B$51,W1053="PASS",'Calibrare_Linii'!T17="VALIDATED",AND('Calibrare_Linii'!H17=C1053,ISNUMBER('Calibrare_Linii'!J17),'Calibrare_Linii'!J17&lt;='Input_Meci'!G80)),"PASS",IF(X1053="CANDIDATE","OOS PENDING","FAIL"))))</x:f>
      </x:c>
      <x:c r="Z1053" s="2" t="str">
        <x:f>IF(B1053="","",IF(I1053&lt;&gt;"READY","",IF(OR(NOT(AND(J1053="PASS",'Calibrare_Linii'!U17="VALID")),L1053&gt;'Config_v6'!$B$13,W1053="WATCH"),5,IF(Y1053="PASS",1,MIN(5,MAX('Config_v6'!$B$42,U1053)+IF(W1053="PENALTY",1,0))))))</x:f>
      </x:c>
      <x:c r="AA1053" s="2" t="str">
        <x:f>IF(B1053="","",IF(I1053&lt;&gt;"READY","NOT RELEASED",IF(Z1053=5,"NO BET",IF(OR(AB1053&lt;'Config_v6'!$B$16,V1053&lt;'Config_v6'!$B$18),"WATCH",IF(Z1053=1,"DEFENSIV",IF(Z1053=2,"PRUDENT",IF(Z1053=3,"MODERAT","RIDICAT")))))))</x:f>
      </x:c>
      <x:c r="AB1053" s="10" t="str">
        <x:f>IF(N1053="","",MIN(N1053,1-S1053))</x:f>
      </x:c>
      <x:c r="AC1053" s="2" t="str">
        <x:f>IF(AD1053&lt;&gt;1,"",COUNTIFS($Z$1042:$Z$1055,"&lt;"&amp;Z1053,$AD$1042:$AD$1055,1)+COUNTIFS($Z$1042:$Z$1055,Z1053,$AB$1042:$AB$1055,"&gt;"&amp;AB1053,$AD$1042:$AD$1055,1)+COUNTIFS($Z$1042:$Z$1055,Z1053,$AB$1042:$AB$1055,AB1053,$V$1042:$V$1055,"&gt;"&amp;V1053,$AD$1042:$AD$1055,1)+COUNTIFS($Z$1042:Z1053,Z1053,$AB$1042:AB1053,AB1053,$V$1042:V1053,V1053,$AD$1042:AD1053,1))</x:f>
      </x:c>
      <x:c r="AD1053" s="2" t="n">
        <x:f>IF(OR(AA1053="DEFENSIV",AA1053="PRUDENT",AA1053="MODERAT",AA1053="RIDICAT"),1,0)</x:f>
        <x:v>0</x:v>
      </x:c>
      <x:c r="AE1053" s="2" t="str">
        <x:f>IF(AD1053&lt;&gt;1,"NO",IF(W1053="PASS","YES",IF(W1053="OOS PENDING","CONDITIONAL","NO")))</x:f>
        <x:v>NO</x:v>
      </x:c>
      <x:c r="AF1053" s="2" t="n">
        <x:f>IF(AND(AD1053=1,AC1053=1,E1053="LIVE"),1,0)</x:f>
        <x:v>0</x:v>
      </x:c>
      <x:c r="AG1053" s="2" t="str">
        <x:f>IF(AF1053&lt;&gt;1,"",'Dashboard'!P100)</x:f>
      </x:c>
      <x:c r="AH1053" s="2" t="str">
        <x:f>IF(B1053="","",IF(J1053&lt;&gt;"PASS",'Motor_Meciuri'!J80,IF('Calibrare_Linii'!U17&lt;&gt;"VALID","Parametri linie invalizi",IF(L1053&gt;'Config_v6'!$B$13,"Dispersie peste limita",IF(W1053="WATCH","Failure peste limita",IF(AB1053&lt;'Config_v6'!$B$16,"P finala sub prag",IF(V1053&lt;'Config_v6'!$B$18,"Confidence sub prag",IF(E1053="REPLAY","Exemplu retrospectiv; exclus din Top LIVE",IF(Y1053="PASS","DEFENSIV validat",IF(W1053="OOS PENDING","Eligibil; calibrare linie in monitorizare","Eligibil"))))))))))</x:f>
      </x:c>
      <x:c r="AI1053" s="2" t="str">
        <x:f>IF(B1053="","",'Calibrare_Linii'!V17)</x:f>
      </x:c>
      <x:c r="AJ1053" s="2" t="str">
        <x:f>IF(B1053="","",IF(AND('Calibrare_Linii'!T17="VALIDATED",AND('Calibrare_Linii'!H17=C1053,ISNUMBER('Calibrare_Linii'!J17),'Calibrare_Linii'!J17&lt;='Input_Meci'!G80)),"DEFENSIVE VALIDATED",IF(AND('Calibrare_Linii'!S17="VALIDATED",AND('Calibrare_Linii'!H17=C1053,ISNUMBER('Calibrare_Linii'!J17),'Calibrare_Linii'!J17&lt;='Input_Meci'!G80)),"TAIL VALIDATED","OOS PENDING")))</x:f>
      </x:c>
      <x:c r="AK1053" s="2" t="n">
        <x:f>IF(J1053&lt;&gt;"PASS",0,'Motor_Meciuri'!BR80)</x:f>
        <x:v>0</x:v>
      </x:c>
      <x:c r="AL1053" s="2" t="n">
        <x:f>IF(J1053&lt;&gt;"PASS",0,'Motor_Meciuri'!BS80)</x:f>
        <x:v>0</x:v>
      </x:c>
      <x:c r="AM1053" s="2" t="n">
        <x:f>IF(J1053&lt;&gt;"PASS",0,'Motor_Meciuri'!BT80)</x:f>
        <x:v>0</x:v>
      </x:c>
      <x:c r="AN1053" s="2" t="str">
        <x:f>IF(M1053="","",MAX(0,'Motor_Meciuri'!BF80-IF(L1053&gt;'Config_v6'!$B$12,'Config_v6'!$B$37,IF(L1053&gt;'Config_v6'!$B$11,'Config_v6'!$B$36,0))))</x:f>
      </x:c>
    </x:row>
    <x:row r="1054" ht="21" customHeight="1">
      <x:c r="A1054" s="2" t="n">
        <x:v>75</x:v>
      </x:c>
      <x:c r="B1054" s="2" t="str">
        <x:f>IF('Motor_Meciuri'!A80="","",'Motor_Meciuri'!A80)</x:f>
      </x:c>
      <x:c r="C1054" s="2" t="str">
        <x:f>IF(B1054="","",'Motor_Meciuri'!B80)</x:f>
      </x:c>
      <x:c r="D1054" s="2" t="str">
        <x:f>IF(B1054="","",'Motor_Meciuri'!D80)</x:f>
      </x:c>
      <x:c r="E1054" s="2" t="str">
        <x:f>IF(B1054="","",'Motor_Meciuri'!E80)</x:f>
      </x:c>
      <x:c r="F1054" s="2" t="str">
        <x:v>U16,5</x:v>
      </x:c>
      <x:c r="G1054" s="2" t="str">
        <x:v>UNDER</x:v>
      </x:c>
      <x:c r="H1054" s="2" t="n">
        <x:v>16</x:v>
      </x:c>
      <x:c r="I1054" s="2" t="str">
        <x:f>IF(B1054="","",'Motor_Meciuri'!H80)</x:f>
      </x:c>
      <x:c r="J1054" s="2" t="str">
        <x:f>IF(B1054="","",'Motor_Meciuri'!I80)</x:f>
      </x:c>
      <x:c r="K1054" s="11" t="str">
        <x:f>IF(J1054&lt;&gt;"PASS","",'Motor_Meciuri'!BD80)</x:f>
      </x:c>
      <x:c r="L1054" s="11" t="str">
        <x:f>IF(J1054&lt;&gt;"PASS","",'Motor_Meciuri'!AU80)</x:f>
      </x:c>
      <x:c r="M1054" s="10" t="str">
        <x:f>IF(NOT(AND(J1054="PASS",'Calibrare_Linii'!U18="VALID")),"",'Distributie'!AN80)</x:f>
      </x:c>
      <x:c r="N1054" s="10" t="str">
        <x:f>IF(M1054="","",MAX(0.01,MIN(0.99,0.5+(M1054-0.5)*'Motor_Meciuri'!BG80*'Calibrare_Linii'!D18)))</x:f>
      </x:c>
      <x:c r="O1054" s="10" t="str">
        <x:f>IF(M1054="","",1-M1054)</x:f>
      </x:c>
      <x:c r="P1054" s="10" t="str">
        <x:f>IF(OR(NOT(AND(J1054="PASS",'Calibrare_Linii'!U18="VALID")),AK1054=0),""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*('Istoric_Nativ'!$Q$6:$Q$405&gt;H1054))/AK1054)</x:f>
      </x:c>
      <x:c r="Q1054" s="10" t="str">
        <x:f>IF(OR(NOT(AND(J1054="PASS",'Calibrare_Linii'!U18="VALID")),AL1054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M80)+((('Istoric_Nativ'!$E$6:$E$405='Input_Meci'!E80)+('Istoric_Nativ'!$F$6:$F$405='Input_Meci'!E80))&gt;0)*('Istoric_Nativ'!$D$6:$D$405&gt;='Motor_Meciuri'!BN80))&gt;0)*('Istoric_Nativ'!$Q$6:$Q$405&gt;H1054))/AL1054)</x:f>
      </x:c>
      <x:c r="R1054" s="10" t="str">
        <x:f>IF(OR(NOT(AND(J1054="PASS",'Calibrare_Linii'!U18="VALID")),AM1054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O80)+((('Istoric_Nativ'!$E$6:$E$405='Input_Meci'!E80)+('Istoric_Nativ'!$F$6:$F$405='Input_Meci'!E80))&gt;0)*('Istoric_Nativ'!$D$6:$D$405&gt;='Motor_Meciuri'!BP80))&gt;0)*('Istoric_Nativ'!$Q$6:$Q$405&gt;H1054))/AM1054)</x:f>
      </x:c>
      <x:c r="S1054" s="10" t="str">
        <x:f>IF(M1054="","",MAX(O1054,P1054,Q1054,R1054))</x:f>
      </x:c>
      <x:c r="T1054" s="11" t="str">
        <x:f>IF(M1054="","",MIN(100,S1054*100*'Config_v6'!$B$44+MIN(100,L1054/'Config_v6'!$B$13*100)*'Config_v6'!$B$45+(100-'Motor_Meciuri'!BF80)*'Config_v6'!$B$46+'Motor_Meciuri'!BH80*100*'Config_v6'!$B$47))</x:f>
      </x:c>
      <x:c r="U1054" s="2" t="str">
        <x:f>IF(T1054="","",IF(T1054&lt;=20,1,IF(T1054&lt;=40,2,IF(T1054&lt;=60,3,IF(T1054&lt;=80,4,5)))))</x:f>
      </x:c>
      <x:c r="V1054" s="2" t="str">
        <x:f>IF(M1054="","",MAX(0,'Motor_Meciuri'!BF80-IF(W1054="OOS PENDING",'Config_v6'!$B$35,0)-IF(L1054&gt;'Config_v6'!$B$12,'Config_v6'!$B$37,IF(L1054&gt;'Config_v6'!$B$11,'Config_v6'!$B$36,0))))</x:f>
      </x:c>
      <x:c r="W1054" s="2" t="str">
        <x:f>IF(B1054="","",IF(I1054&lt;&gt;"READY","NOT RELEASED",IF(NOT(AND(J1054="PASS",'Calibrare_Linii'!U18="VALID")),"INVALID",IF(NOT(AND('Calibrare_Linii'!S18="VALIDATED",AND('Calibrare_Linii'!H18=C1054,ISNUMBER('Calibrare_Linii'!J18),'Calibrare_Linii'!J18&lt;='Input_Meci'!G80))),"OOS PENDING",IF(S1054&lt;='Calibrare_Linii'!E18,"PASS",IF(S1054&lt;='Calibrare_Linii'!F18,"PENALTY","WATCH"))))))</x:f>
      </x:c>
      <x:c r="X1054" s="2" t="str">
        <x:f>IF(M1054="","",IF(AND(AND(J1054="PASS",'Calibrare_Linii'!U18="VALID"),'Motor_Meciuri'!K80=12,'Motor_Meciuri'!L80=12,'Motor_Meciuri'!M80="NO",'Motor_Meciuri'!BL80='Motor_Meciuri'!C80,AB1054&gt;='Config_v6'!$B$50,AN1054&gt;='Config_v6'!$B$51,T1054&lt;='Config_v6'!$B$52,L1054&lt;='Config_v6'!$B$53,ISNUMBER('Calibrare_Linii'!E18),S1054&lt;='Calibrare_Linii'!E18,SUM(AK1054:AM1054)&gt;0),"CANDIDATE","NO"))</x:f>
      </x:c>
      <x:c r="Y1054" s="2" t="str">
        <x:f>IF(B1054="","",IF(I1054&lt;&gt;"READY","NOT RELEASED",IF(AND(X1054="CANDIDATE",V1054&gt;='Config_v6'!$B$51,W1054="PASS",'Calibrare_Linii'!T18="VALIDATED",AND('Calibrare_Linii'!H18=C1054,ISNUMBER('Calibrare_Linii'!J18),'Calibrare_Linii'!J18&lt;='Input_Meci'!G80)),"PASS",IF(X1054="CANDIDATE","OOS PENDING","FAIL"))))</x:f>
      </x:c>
      <x:c r="Z1054" s="2" t="str">
        <x:f>IF(B1054="","",IF(I1054&lt;&gt;"READY","",IF(OR(NOT(AND(J1054="PASS",'Calibrare_Linii'!U18="VALID")),L1054&gt;'Config_v6'!$B$13,W1054="WATCH"),5,IF(Y1054="PASS",1,MIN(5,MAX('Config_v6'!$B$42,U1054)+IF(W1054="PENALTY",1,0))))))</x:f>
      </x:c>
      <x:c r="AA1054" s="2" t="str">
        <x:f>IF(B1054="","",IF(I1054&lt;&gt;"READY","NOT RELEASED",IF(Z1054=5,"NO BET",IF(OR(AB1054&lt;'Config_v6'!$B$16,V1054&lt;'Config_v6'!$B$18),"WATCH",IF(Z1054=1,"DEFENSIV",IF(Z1054=2,"PRUDENT",IF(Z1054=3,"MODERAT","RIDICAT")))))))</x:f>
      </x:c>
      <x:c r="AB1054" s="10" t="str">
        <x:f>IF(N1054="","",MIN(N1054,1-S1054))</x:f>
      </x:c>
      <x:c r="AC1054" s="2" t="str">
        <x:f>IF(AD1054&lt;&gt;1,"",COUNTIFS($Z$1042:$Z$1055,"&lt;"&amp;Z1054,$AD$1042:$AD$1055,1)+COUNTIFS($Z$1042:$Z$1055,Z1054,$AB$1042:$AB$1055,"&gt;"&amp;AB1054,$AD$1042:$AD$1055,1)+COUNTIFS($Z$1042:$Z$1055,Z1054,$AB$1042:$AB$1055,AB1054,$V$1042:$V$1055,"&gt;"&amp;V1054,$AD$1042:$AD$1055,1)+COUNTIFS($Z$1042:Z1054,Z1054,$AB$1042:AB1054,AB1054,$V$1042:V1054,V1054,$AD$1042:AD1054,1))</x:f>
      </x:c>
      <x:c r="AD1054" s="2" t="n">
        <x:f>IF(OR(AA1054="DEFENSIV",AA1054="PRUDENT",AA1054="MODERAT",AA1054="RIDICAT"),1,0)</x:f>
        <x:v>0</x:v>
      </x:c>
      <x:c r="AE1054" s="2" t="str">
        <x:f>IF(AD1054&lt;&gt;1,"NO",IF(W1054="PASS","YES",IF(W1054="OOS PENDING","CONDITIONAL","NO")))</x:f>
        <x:v>NO</x:v>
      </x:c>
      <x:c r="AF1054" s="2" t="n">
        <x:f>IF(AND(AD1054=1,AC1054=1,E1054="LIVE"),1,0)</x:f>
        <x:v>0</x:v>
      </x:c>
      <x:c r="AG1054" s="2" t="str">
        <x:f>IF(AF1054&lt;&gt;1,"",'Dashboard'!P100)</x:f>
      </x:c>
      <x:c r="AH1054" s="2" t="str">
        <x:f>IF(B1054="","",IF(J1054&lt;&gt;"PASS",'Motor_Meciuri'!J80,IF('Calibrare_Linii'!U18&lt;&gt;"VALID","Parametri linie invalizi",IF(L1054&gt;'Config_v6'!$B$13,"Dispersie peste limita",IF(W1054="WATCH","Failure peste limita",IF(AB1054&lt;'Config_v6'!$B$16,"P finala sub prag",IF(V1054&lt;'Config_v6'!$B$18,"Confidence sub prag",IF(E1054="REPLAY","Exemplu retrospectiv; exclus din Top LIVE",IF(Y1054="PASS","DEFENSIV validat",IF(W1054="OOS PENDING","Eligibil; calibrare linie in monitorizare","Eligibil"))))))))))</x:f>
      </x:c>
      <x:c r="AI1054" s="2" t="str">
        <x:f>IF(B1054="","",'Calibrare_Linii'!V18)</x:f>
      </x:c>
      <x:c r="AJ1054" s="2" t="str">
        <x:f>IF(B1054="","",IF(AND('Calibrare_Linii'!T18="VALIDATED",AND('Calibrare_Linii'!H18=C1054,ISNUMBER('Calibrare_Linii'!J18),'Calibrare_Linii'!J18&lt;='Input_Meci'!G80)),"DEFENSIVE VALIDATED",IF(AND('Calibrare_Linii'!S18="VALIDATED",AND('Calibrare_Linii'!H18=C1054,ISNUMBER('Calibrare_Linii'!J18),'Calibrare_Linii'!J18&lt;='Input_Meci'!G80)),"TAIL VALIDATED","OOS PENDING")))</x:f>
      </x:c>
      <x:c r="AK1054" s="2" t="n">
        <x:f>IF(J1054&lt;&gt;"PASS",0,'Motor_Meciuri'!BR80)</x:f>
        <x:v>0</x:v>
      </x:c>
      <x:c r="AL1054" s="2" t="n">
        <x:f>IF(J1054&lt;&gt;"PASS",0,'Motor_Meciuri'!BS80)</x:f>
        <x:v>0</x:v>
      </x:c>
      <x:c r="AM1054" s="2" t="n">
        <x:f>IF(J1054&lt;&gt;"PASS",0,'Motor_Meciuri'!BT80)</x:f>
        <x:v>0</x:v>
      </x:c>
      <x:c r="AN1054" s="2" t="str">
        <x:f>IF(M1054="","",MAX(0,'Motor_Meciuri'!BF80-IF(L1054&gt;'Config_v6'!$B$12,'Config_v6'!$B$37,IF(L1054&gt;'Config_v6'!$B$11,'Config_v6'!$B$36,0))))</x:f>
      </x:c>
    </x:row>
    <x:row r="1055" ht="21" customHeight="1">
      <x:c r="A1055" s="2" t="n">
        <x:v>75</x:v>
      </x:c>
      <x:c r="B1055" s="2" t="str">
        <x:f>IF('Motor_Meciuri'!A80="","",'Motor_Meciuri'!A80)</x:f>
      </x:c>
      <x:c r="C1055" s="2" t="str">
        <x:f>IF(B1055="","",'Motor_Meciuri'!B80)</x:f>
      </x:c>
      <x:c r="D1055" s="2" t="str">
        <x:f>IF(B1055="","",'Motor_Meciuri'!D80)</x:f>
      </x:c>
      <x:c r="E1055" s="2" t="str">
        <x:f>IF(B1055="","",'Motor_Meciuri'!E80)</x:f>
      </x:c>
      <x:c r="F1055" s="2" t="str">
        <x:v>U17,5</x:v>
      </x:c>
      <x:c r="G1055" s="2" t="str">
        <x:v>UNDER</x:v>
      </x:c>
      <x:c r="H1055" s="2" t="n">
        <x:v>17</x:v>
      </x:c>
      <x:c r="I1055" s="2" t="str">
        <x:f>IF(B1055="","",'Motor_Meciuri'!H80)</x:f>
      </x:c>
      <x:c r="J1055" s="2" t="str">
        <x:f>IF(B1055="","",'Motor_Meciuri'!I80)</x:f>
      </x:c>
      <x:c r="K1055" s="11" t="str">
        <x:f>IF(J1055&lt;&gt;"PASS","",'Motor_Meciuri'!BD80)</x:f>
      </x:c>
      <x:c r="L1055" s="11" t="str">
        <x:f>IF(J1055&lt;&gt;"PASS","",'Motor_Meciuri'!AU80)</x:f>
      </x:c>
      <x:c r="M1055" s="10" t="str">
        <x:f>IF(NOT(AND(J1055="PASS",'Calibrare_Linii'!U19="VALID")),"",'Distributie'!AO80)</x:f>
      </x:c>
      <x:c r="N1055" s="10" t="str">
        <x:f>IF(M1055="","",MAX(0.01,MIN(0.99,0.5+(M1055-0.5)*'Motor_Meciuri'!BG80*'Calibrare_Linii'!D19)))</x:f>
      </x:c>
      <x:c r="O1055" s="10" t="str">
        <x:f>IF(M1055="","",1-M1055)</x:f>
      </x:c>
      <x:c r="P1055" s="10" t="str">
        <x:f>IF(OR(NOT(AND(J1055="PASS",'Calibrare_Linii'!U19="VALID")),AK1055=0),""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*('Istoric_Nativ'!$Q$6:$Q$405&gt;H1055))/AK1055)</x:f>
      </x:c>
      <x:c r="Q1055" s="10" t="str">
        <x:f>IF(OR(NOT(AND(J1055="PASS",'Calibrare_Linii'!U19="VALID")),AL1055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M80)+((('Istoric_Nativ'!$E$6:$E$405='Input_Meci'!E80)+('Istoric_Nativ'!$F$6:$F$405='Input_Meci'!E80))&gt;0)*('Istoric_Nativ'!$D$6:$D$405&gt;='Motor_Meciuri'!BN80))&gt;0)*('Istoric_Nativ'!$Q$6:$Q$405&gt;H1055))/AL1055)</x:f>
      </x:c>
      <x:c r="R1055" s="10" t="str">
        <x:f>IF(OR(NOT(AND(J1055="PASS",'Calibrare_Linii'!U19="VALID")),AM1055=0),""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'Motor_Meciuri'!BO80)+((('Istoric_Nativ'!$E$6:$E$405='Input_Meci'!E80)+('Istoric_Nativ'!$F$6:$F$405='Input_Meci'!E80))&gt;0)*('Istoric_Nativ'!$D$6:$D$405&gt;='Motor_Meciuri'!BP80))&gt;0)*('Istoric_Nativ'!$Q$6:$Q$405&gt;H1055))/AM1055)</x:f>
      </x:c>
      <x:c r="S1055" s="10" t="str">
        <x:f>IF(M1055="","",MAX(O1055,P1055,Q1055,R1055))</x:f>
      </x:c>
      <x:c r="T1055" s="11" t="str">
        <x:f>IF(M1055="","",MIN(100,S1055*100*'Config_v6'!$B$44+MIN(100,L1055/'Config_v6'!$B$13*100)*'Config_v6'!$B$45+(100-'Motor_Meciuri'!BF80)*'Config_v6'!$B$46+'Motor_Meciuri'!BH80*100*'Config_v6'!$B$47))</x:f>
      </x:c>
      <x:c r="U1055" s="2" t="str">
        <x:f>IF(T1055="","",IF(T1055&lt;=20,1,IF(T1055&lt;=40,2,IF(T1055&lt;=60,3,IF(T1055&lt;=80,4,5)))))</x:f>
      </x:c>
      <x:c r="V1055" s="2" t="str">
        <x:f>IF(M1055="","",MAX(0,'Motor_Meciuri'!BF80-IF(W1055="OOS PENDING",'Config_v6'!$B$35,0)-IF(L1055&gt;'Config_v6'!$B$12,'Config_v6'!$B$37,IF(L1055&gt;'Config_v6'!$B$11,'Config_v6'!$B$36,0))))</x:f>
      </x:c>
      <x:c r="W1055" s="2" t="str">
        <x:f>IF(B1055="","",IF(I1055&lt;&gt;"READY","NOT RELEASED",IF(NOT(AND(J1055="PASS",'Calibrare_Linii'!U19="VALID")),"INVALID",IF(NOT(AND('Calibrare_Linii'!S19="VALIDATED",AND('Calibrare_Linii'!H19=C1055,ISNUMBER('Calibrare_Linii'!J19),'Calibrare_Linii'!J19&lt;='Input_Meci'!G80))),"OOS PENDING",IF(S1055&lt;='Calibrare_Linii'!E19,"PASS",IF(S1055&lt;='Calibrare_Linii'!F19,"PENALTY","WATCH"))))))</x:f>
      </x:c>
      <x:c r="X1055" s="2" t="str">
        <x:f>IF(M1055="","",IF(AND(AND(J1055="PASS",'Calibrare_Linii'!U19="VALID"),'Motor_Meciuri'!K80=12,'Motor_Meciuri'!L80=12,'Motor_Meciuri'!M80="NO",'Motor_Meciuri'!BL80='Motor_Meciuri'!C80,AB1055&gt;='Config_v6'!$B$50,AN1055&gt;='Config_v6'!$B$51,T1055&lt;='Config_v6'!$B$52,L1055&lt;='Config_v6'!$B$53,ISNUMBER('Calibrare_Linii'!E19),S1055&lt;='Calibrare_Linii'!E19,SUM(AK1055:AM1055)&gt;0),"CANDIDATE","NO"))</x:f>
      </x:c>
      <x:c r="Y1055" s="2" t="str">
        <x:f>IF(B1055="","",IF(I1055&lt;&gt;"READY","NOT RELEASED",IF(AND(X1055="CANDIDATE",V1055&gt;='Config_v6'!$B$51,W1055="PASS",'Calibrare_Linii'!T19="VALIDATED",AND('Calibrare_Linii'!H19=C1055,ISNUMBER('Calibrare_Linii'!J19),'Calibrare_Linii'!J19&lt;='Input_Meci'!G80)),"PASS",IF(X1055="CANDIDATE","OOS PENDING","FAIL"))))</x:f>
      </x:c>
      <x:c r="Z1055" s="2" t="str">
        <x:f>IF(B1055="","",IF(I1055&lt;&gt;"READY","",IF(OR(NOT(AND(J1055="PASS",'Calibrare_Linii'!U19="VALID")),L1055&gt;'Config_v6'!$B$13,W1055="WATCH"),5,IF(Y1055="PASS",1,MIN(5,MAX('Config_v6'!$B$42,U1055)+IF(W1055="PENALTY",1,0))))))</x:f>
      </x:c>
      <x:c r="AA1055" s="2" t="str">
        <x:f>IF(B1055="","",IF(I1055&lt;&gt;"READY","NOT RELEASED",IF(Z1055=5,"NO BET",IF(OR(AB1055&lt;'Config_v6'!$B$16,V1055&lt;'Config_v6'!$B$18),"WATCH",IF(Z1055=1,"DEFENSIV",IF(Z1055=2,"PRUDENT",IF(Z1055=3,"MODERAT","RIDICAT")))))))</x:f>
      </x:c>
      <x:c r="AB1055" s="10" t="str">
        <x:f>IF(N1055="","",MIN(N1055,1-S1055))</x:f>
      </x:c>
      <x:c r="AC1055" s="2" t="str">
        <x:f>IF(AD1055&lt;&gt;1,"",COUNTIFS($Z$1042:$Z$1055,"&lt;"&amp;Z1055,$AD$1042:$AD$1055,1)+COUNTIFS($Z$1042:$Z$1055,Z1055,$AB$1042:$AB$1055,"&gt;"&amp;AB1055,$AD$1042:$AD$1055,1)+COUNTIFS($Z$1042:$Z$1055,Z1055,$AB$1042:$AB$1055,AB1055,$V$1042:$V$1055,"&gt;"&amp;V1055,$AD$1042:$AD$1055,1)+COUNTIFS($Z$1042:Z1055,Z1055,$AB$1042:AB1055,AB1055,$V$1042:V1055,V1055,$AD$1042:AD1055,1))</x:f>
      </x:c>
      <x:c r="AD1055" s="2" t="n">
        <x:f>IF(OR(AA1055="DEFENSIV",AA1055="PRUDENT",AA1055="MODERAT",AA1055="RIDICAT"),1,0)</x:f>
        <x:v>0</x:v>
      </x:c>
      <x:c r="AE1055" s="2" t="str">
        <x:f>IF(AD1055&lt;&gt;1,"NO",IF(W1055="PASS","YES",IF(W1055="OOS PENDING","CONDITIONAL","NO")))</x:f>
        <x:v>NO</x:v>
      </x:c>
      <x:c r="AF1055" s="2" t="n">
        <x:f>IF(AND(AD1055=1,AC1055=1,E1055="LIVE"),1,0)</x:f>
        <x:v>0</x:v>
      </x:c>
      <x:c r="AG1055" s="2" t="str">
        <x:f>IF(AF1055&lt;&gt;1,"",'Dashboard'!P100)</x:f>
      </x:c>
      <x:c r="AH1055" s="2" t="str">
        <x:f>IF(B1055="","",IF(J1055&lt;&gt;"PASS",'Motor_Meciuri'!J80,IF('Calibrare_Linii'!U19&lt;&gt;"VALID","Parametri linie invalizi",IF(L1055&gt;'Config_v6'!$B$13,"Dispersie peste limita",IF(W1055="WATCH","Failure peste limita",IF(AB1055&lt;'Config_v6'!$B$16,"P finala sub prag",IF(V1055&lt;'Config_v6'!$B$18,"Confidence sub prag",IF(E1055="REPLAY","Exemplu retrospectiv; exclus din Top LIVE",IF(Y1055="PASS","DEFENSIV validat",IF(W1055="OOS PENDING","Eligibil; calibrare linie in monitorizare","Eligibil"))))))))))</x:f>
      </x:c>
      <x:c r="AI1055" s="2" t="str">
        <x:f>IF(B1055="","",'Calibrare_Linii'!V19)</x:f>
      </x:c>
      <x:c r="AJ1055" s="2" t="str">
        <x:f>IF(B1055="","",IF(AND('Calibrare_Linii'!T19="VALIDATED",AND('Calibrare_Linii'!H19=C1055,ISNUMBER('Calibrare_Linii'!J19),'Calibrare_Linii'!J19&lt;='Input_Meci'!G80)),"DEFENSIVE VALIDATED",IF(AND('Calibrare_Linii'!S19="VALIDATED",AND('Calibrare_Linii'!H19=C1055,ISNUMBER('Calibrare_Linii'!J19),'Calibrare_Linii'!J19&lt;='Input_Meci'!G80)),"TAIL VALIDATED","OOS PENDING")))</x:f>
      </x:c>
      <x:c r="AK1055" s="2" t="n">
        <x:f>IF(J1055&lt;&gt;"PASS",0,'Motor_Meciuri'!BR80)</x:f>
        <x:v>0</x:v>
      </x:c>
      <x:c r="AL1055" s="2" t="n">
        <x:f>IF(J1055&lt;&gt;"PASS",0,'Motor_Meciuri'!BS80)</x:f>
        <x:v>0</x:v>
      </x:c>
      <x:c r="AM1055" s="2" t="n">
        <x:f>IF(J1055&lt;&gt;"PASS",0,'Motor_Meciuri'!BT80)</x:f>
        <x:v>0</x:v>
      </x:c>
      <x:c r="AN1055" s="2" t="str">
        <x:f>IF(M1055="","",MAX(0,'Motor_Meciuri'!BF80-IF(L1055&gt;'Config_v6'!$B$12,'Config_v6'!$B$37,IF(L1055&gt;'Config_v6'!$B$11,'Config_v6'!$B$36,0))))</x:f>
      </x:c>
    </x:row>
    <x:row r="1056" ht="21" customHeight="1">
      <x:c r="A1056" s="2" t="n">
        <x:v>76</x:v>
      </x:c>
      <x:c r="B1056" s="2" t="str">
        <x:f>IF('Motor_Meciuri'!A81="","",'Motor_Meciuri'!A81)</x:f>
      </x:c>
      <x:c r="C1056" s="2" t="str">
        <x:f>IF(B1056="","",'Motor_Meciuri'!B81)</x:f>
      </x:c>
      <x:c r="D1056" s="2" t="str">
        <x:f>IF(B1056="","",'Motor_Meciuri'!D81)</x:f>
      </x:c>
      <x:c r="E1056" s="2" t="str">
        <x:f>IF(B1056="","",'Motor_Meciuri'!E81)</x:f>
      </x:c>
      <x:c r="F1056" s="2" t="str">
        <x:v>O3,5</x:v>
      </x:c>
      <x:c r="G1056" s="2" t="str">
        <x:v>OVER</x:v>
      </x:c>
      <x:c r="H1056" s="2" t="n">
        <x:v>3</x:v>
      </x:c>
      <x:c r="I1056" s="2" t="str">
        <x:f>IF(B1056="","",'Motor_Meciuri'!H81)</x:f>
      </x:c>
      <x:c r="J1056" s="2" t="str">
        <x:f>IF(B1056="","",'Motor_Meciuri'!I81)</x:f>
      </x:c>
      <x:c r="K1056" s="11" t="str">
        <x:f>IF(J1056&lt;&gt;"PASS","",'Motor_Meciuri'!BD81)</x:f>
      </x:c>
      <x:c r="L1056" s="11" t="str">
        <x:f>IF(J1056&lt;&gt;"PASS","",'Motor_Meciuri'!AU81)</x:f>
      </x:c>
      <x:c r="M1056" s="10" t="str">
        <x:f>IF(NOT(AND(J1056="PASS",'Calibrare_Linii'!U6="VALID")),"",1-'Distributie'!AA81)</x:f>
      </x:c>
      <x:c r="N1056" s="10" t="str">
        <x:f>IF(M1056="","",MAX(0.01,MIN(0.99,0.5+(M1056-0.5)*'Motor_Meciuri'!BG81*'Calibrare_Linii'!D6)))</x:f>
      </x:c>
      <x:c r="O1056" s="10" t="str">
        <x:f>IF(M1056="","",1-M1056)</x:f>
      </x:c>
      <x:c r="P1056" s="10" t="str">
        <x:f>IF(OR(NOT(AND(J1056="PASS",'Calibrare_Linii'!U6="VALID")),AK1056=0),""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*('Istoric_Nativ'!$Q$6:$Q$405&lt;=H1056))/AK1056)</x:f>
      </x:c>
      <x:c r="Q1056" s="10" t="str">
        <x:f>IF(OR(NOT(AND(J1056="PASS",'Calibrare_Linii'!U6="VALID")),AL1056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M81)+((('Istoric_Nativ'!$E$6:$E$405='Input_Meci'!E81)+('Istoric_Nativ'!$F$6:$F$405='Input_Meci'!E81))&gt;0)*('Istoric_Nativ'!$D$6:$D$405&gt;='Motor_Meciuri'!BN81))&gt;0)*('Istoric_Nativ'!$Q$6:$Q$405&lt;=H1056))/AL1056)</x:f>
      </x:c>
      <x:c r="R1056" s="10" t="str">
        <x:f>IF(OR(NOT(AND(J1056="PASS",'Calibrare_Linii'!U6="VALID")),AM1056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O81)+((('Istoric_Nativ'!$E$6:$E$405='Input_Meci'!E81)+('Istoric_Nativ'!$F$6:$F$405='Input_Meci'!E81))&gt;0)*('Istoric_Nativ'!$D$6:$D$405&gt;='Motor_Meciuri'!BP81))&gt;0)*('Istoric_Nativ'!$Q$6:$Q$405&lt;=H1056))/AM1056)</x:f>
      </x:c>
      <x:c r="S1056" s="10" t="str">
        <x:f>IF(M1056="","",MAX(O1056,P1056,Q1056,R1056))</x:f>
      </x:c>
      <x:c r="T1056" s="11" t="str">
        <x:f>IF(M1056="","",MIN(100,S1056*100*'Config_v6'!$B$44+MIN(100,L1056/'Config_v6'!$B$13*100)*'Config_v6'!$B$45+(100-'Motor_Meciuri'!BF81)*'Config_v6'!$B$46+'Motor_Meciuri'!BH81*100*'Config_v6'!$B$47))</x:f>
      </x:c>
      <x:c r="U1056" s="2" t="str">
        <x:f>IF(T1056="","",IF(T1056&lt;=20,1,IF(T1056&lt;=40,2,IF(T1056&lt;=60,3,IF(T1056&lt;=80,4,5)))))</x:f>
      </x:c>
      <x:c r="V1056" s="2" t="str">
        <x:f>IF(M1056="","",MAX(0,'Motor_Meciuri'!BF81-IF(W1056="OOS PENDING",'Config_v6'!$B$35,0)-IF(L1056&gt;'Config_v6'!$B$12,'Config_v6'!$B$37,IF(L1056&gt;'Config_v6'!$B$11,'Config_v6'!$B$36,0))))</x:f>
      </x:c>
      <x:c r="W1056" s="2" t="str">
        <x:f>IF(B1056="","",IF(I1056&lt;&gt;"READY","NOT RELEASED",IF(NOT(AND(J1056="PASS",'Calibrare_Linii'!U6="VALID")),"INVALID",IF(NOT(TRUE),"OOS PENDING",IF(S1056&lt;=IF(AND('Calibrare_Linii'!S6="VALIDATED",AND('Calibrare_Linii'!H6=C1056,ISNUMBER('Calibrare_Linii'!J6),'Calibrare_Linii'!J6&lt;='Input_Meci'!G81)),'Calibrare_Linii'!E6,'Config_v6'!$B$26),"PASS",IF(S1056&lt;=IF(AND('Calibrare_Linii'!S6="VALIDATED",AND('Calibrare_Linii'!H6=C1056,ISNUMBER('Calibrare_Linii'!J6),'Calibrare_Linii'!J6&lt;='Input_Meci'!G81)),'Calibrare_Linii'!F6,'Config_v6'!$C$26),"PENALTY","WATCH"))))))</x:f>
      </x:c>
      <x:c r="X1056" s="2" t="str">
        <x:f>IF(M1056="","",IF(AND(AND(J1056="PASS",'Calibrare_Linii'!U6="VALID"),'Motor_Meciuri'!K81=12,'Motor_Meciuri'!L81=12,'Motor_Meciuri'!M81="NO",'Motor_Meciuri'!BL81='Motor_Meciuri'!C81,AB1056&gt;='Config_v6'!$B$50,AN1056&gt;='Config_v6'!$B$51,T1056&lt;='Config_v6'!$B$52,L1056&lt;='Config_v6'!$B$53,ISNUMBER('Calibrare_Linii'!E6),S1056&lt;='Calibrare_Linii'!E6,SUM(AK1056:AM1056)&gt;0),"CANDIDATE","NO"))</x:f>
      </x:c>
      <x:c r="Y1056" s="2" t="str">
        <x:f>IF(B1056="","",IF(I1056&lt;&gt;"READY","NOT RELEASED",IF(AND(X1056="CANDIDATE",V1056&gt;='Config_v6'!$B$51,W1056="PASS",'Calibrare_Linii'!T6="VALIDATED",AND('Calibrare_Linii'!H6=C1056,ISNUMBER('Calibrare_Linii'!J6),'Calibrare_Linii'!J6&lt;='Input_Meci'!G81)),"PASS",IF(X1056="CANDIDATE","OOS PENDING","FAIL"))))</x:f>
      </x:c>
      <x:c r="Z1056" s="2" t="str">
        <x:f>IF(B1056="","",IF(I1056&lt;&gt;"READY","",IF(OR(NOT(AND(J1056="PASS",'Calibrare_Linii'!U6="VALID")),L1056&gt;'Config_v6'!$B$13,W1056="WATCH"),5,IF(Y1056="PASS",1,MIN(5,MAX('Config_v6'!$B$42,U1056)+IF(W1056="PENALTY",1,0))))))</x:f>
      </x:c>
      <x:c r="AA1056" s="2" t="str">
        <x:f>IF(B1056="","",IF(I1056&lt;&gt;"READY","NOT RELEASED",IF(Z1056=5,"NO BET",IF(OR(AB1056&lt;'Config_v6'!$B$16,V1056&lt;'Config_v6'!$B$18),"WATCH",IF(Z1056=1,"DEFENSIV",IF(Z1056=2,"PRUDENT",IF(Z1056=3,"MODERAT","RIDICAT")))))))</x:f>
      </x:c>
      <x:c r="AB1056" s="10" t="str">
        <x:f>IF(N1056="","",MIN(N1056,1-S1056))</x:f>
      </x:c>
      <x:c r="AC1056" s="2" t="str">
        <x:f>IF(AD1056&lt;&gt;1,"",COUNTIFS($Z$1056:$Z$1069,"&lt;"&amp;Z1056,$AD$1056:$AD$1069,1)+COUNTIFS($Z$1056:$Z$1069,Z1056,$AB$1056:$AB$1069,"&gt;"&amp;AB1056,$AD$1056:$AD$1069,1)+COUNTIFS($Z$1056:$Z$1069,Z1056,$AB$1056:$AB$1069,AB1056,$V$1056:$V$1069,"&gt;"&amp;V1056,$AD$1056:$AD$1069,1)+COUNTIFS($Z$1056:Z1056,Z1056,$AB$1056:AB1056,AB1056,$V$1056:V1056,V1056,$AD$1056:AD1056,1))</x:f>
      </x:c>
      <x:c r="AD1056" s="2" t="n">
        <x:f>IF(OR(AA1056="DEFENSIV",AA1056="PRUDENT",AA1056="MODERAT",AA1056="RIDICAT"),1,0)</x:f>
        <x:v>0</x:v>
      </x:c>
      <x:c r="AE1056" s="2" t="str">
        <x:f>IF(AD1056&lt;&gt;1,"NO",IF(W1056="PASS","YES",IF(W1056="OOS PENDING","CONDITIONAL","NO")))</x:f>
        <x:v>NO</x:v>
      </x:c>
      <x:c r="AF1056" s="2" t="n">
        <x:f>IF(AND(AD1056=1,AC1056=1,E1056="LIVE"),1,0)</x:f>
        <x:v>0</x:v>
      </x:c>
      <x:c r="AG1056" s="2" t="str">
        <x:f>IF(AF1056&lt;&gt;1,"",'Dashboard'!P101)</x:f>
      </x:c>
      <x:c r="AH1056" s="2" t="str">
        <x:f>IF(B1056="","",IF(J1056&lt;&gt;"PASS",'Motor_Meciuri'!J81,IF('Calibrare_Linii'!U6&lt;&gt;"VALID","Parametri linie invalizi",IF(L1056&gt;'Config_v6'!$B$13,"Dispersie peste limita",IF(W1056="WATCH","Failure peste limita",IF(AB1056&lt;'Config_v6'!$B$16,"P finala sub prag",IF(V1056&lt;'Config_v6'!$B$18,"Confidence sub prag",IF(E1056="REPLAY","Exemplu retrospectiv; exclus din Top LIVE",IF(Y1056="PASS","DEFENSIV validat",IF(W1056="OOS PENDING","Eligibil; calibrare linie in monitorizare","Eligibil"))))))))))</x:f>
      </x:c>
      <x:c r="AI1056" s="2" t="str">
        <x:f>IF(B1056="","",'Calibrare_Linii'!V6)</x:f>
      </x:c>
      <x:c r="AJ1056" s="2" t="str">
        <x:f>IF(B1056="","",IF(AND('Calibrare_Linii'!T6="VALIDATED",AND('Calibrare_Linii'!H6=C1056,ISNUMBER('Calibrare_Linii'!J6),'Calibrare_Linii'!J6&lt;='Input_Meci'!G81)),"DEFENSIVE VALIDATED",IF(AND('Calibrare_Linii'!S6="VALIDATED",AND('Calibrare_Linii'!H6=C1056,ISNUMBER('Calibrare_Linii'!J6),'Calibrare_Linii'!J6&lt;='Input_Meci'!G81)),"TAIL VALIDATED","OOS PENDING")))</x:f>
      </x:c>
      <x:c r="AK1056" s="2" t="n">
        <x:f>IF(J1056&lt;&gt;"PASS",0,'Motor_Meciuri'!BR81)</x:f>
        <x:v>0</x:v>
      </x:c>
      <x:c r="AL1056" s="2" t="n">
        <x:f>IF(J1056&lt;&gt;"PASS",0,'Motor_Meciuri'!BS81)</x:f>
        <x:v>0</x:v>
      </x:c>
      <x:c r="AM1056" s="2" t="n">
        <x:f>IF(J1056&lt;&gt;"PASS",0,'Motor_Meciuri'!BT81)</x:f>
        <x:v>0</x:v>
      </x:c>
      <x:c r="AN1056" s="2" t="str">
        <x:f>IF(M1056="","",MAX(0,'Motor_Meciuri'!BF81-IF(L1056&gt;'Config_v6'!$B$12,'Config_v6'!$B$37,IF(L1056&gt;'Config_v6'!$B$11,'Config_v6'!$B$36,0))))</x:f>
      </x:c>
    </x:row>
    <x:row r="1057" ht="21" customHeight="1">
      <x:c r="A1057" s="2" t="n">
        <x:v>76</x:v>
      </x:c>
      <x:c r="B1057" s="2" t="str">
        <x:f>IF('Motor_Meciuri'!A81="","",'Motor_Meciuri'!A81)</x:f>
      </x:c>
      <x:c r="C1057" s="2" t="str">
        <x:f>IF(B1057="","",'Motor_Meciuri'!B81)</x:f>
      </x:c>
      <x:c r="D1057" s="2" t="str">
        <x:f>IF(B1057="","",'Motor_Meciuri'!D81)</x:f>
      </x:c>
      <x:c r="E1057" s="2" t="str">
        <x:f>IF(B1057="","",'Motor_Meciuri'!E81)</x:f>
      </x:c>
      <x:c r="F1057" s="2" t="str">
        <x:v>O4,5</x:v>
      </x:c>
      <x:c r="G1057" s="2" t="str">
        <x:v>OVER</x:v>
      </x:c>
      <x:c r="H1057" s="2" t="n">
        <x:v>4</x:v>
      </x:c>
      <x:c r="I1057" s="2" t="str">
        <x:f>IF(B1057="","",'Motor_Meciuri'!H81)</x:f>
      </x:c>
      <x:c r="J1057" s="2" t="str">
        <x:f>IF(B1057="","",'Motor_Meciuri'!I81)</x:f>
      </x:c>
      <x:c r="K1057" s="11" t="str">
        <x:f>IF(J1057&lt;&gt;"PASS","",'Motor_Meciuri'!BD81)</x:f>
      </x:c>
      <x:c r="L1057" s="11" t="str">
        <x:f>IF(J1057&lt;&gt;"PASS","",'Motor_Meciuri'!AU81)</x:f>
      </x:c>
      <x:c r="M1057" s="10" t="str">
        <x:f>IF(NOT(AND(J1057="PASS",'Calibrare_Linii'!U7="VALID")),"",1-'Distributie'!AB81)</x:f>
      </x:c>
      <x:c r="N1057" s="10" t="str">
        <x:f>IF(M1057="","",MAX(0.01,MIN(0.99,0.5+(M1057-0.5)*'Motor_Meciuri'!BG81*'Calibrare_Linii'!D7)))</x:f>
      </x:c>
      <x:c r="O1057" s="10" t="str">
        <x:f>IF(M1057="","",1-M1057)</x:f>
      </x:c>
      <x:c r="P1057" s="10" t="str">
        <x:f>IF(OR(NOT(AND(J1057="PASS",'Calibrare_Linii'!U7="VALID")),AK1057=0),""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*('Istoric_Nativ'!$Q$6:$Q$405&lt;=H1057))/AK1057)</x:f>
      </x:c>
      <x:c r="Q1057" s="10" t="str">
        <x:f>IF(OR(NOT(AND(J1057="PASS",'Calibrare_Linii'!U7="VALID")),AL1057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M81)+((('Istoric_Nativ'!$E$6:$E$405='Input_Meci'!E81)+('Istoric_Nativ'!$F$6:$F$405='Input_Meci'!E81))&gt;0)*('Istoric_Nativ'!$D$6:$D$405&gt;='Motor_Meciuri'!BN81))&gt;0)*('Istoric_Nativ'!$Q$6:$Q$405&lt;=H1057))/AL1057)</x:f>
      </x:c>
      <x:c r="R1057" s="10" t="str">
        <x:f>IF(OR(NOT(AND(J1057="PASS",'Calibrare_Linii'!U7="VALID")),AM1057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O81)+((('Istoric_Nativ'!$E$6:$E$405='Input_Meci'!E81)+('Istoric_Nativ'!$F$6:$F$405='Input_Meci'!E81))&gt;0)*('Istoric_Nativ'!$D$6:$D$405&gt;='Motor_Meciuri'!BP81))&gt;0)*('Istoric_Nativ'!$Q$6:$Q$405&lt;=H1057))/AM1057)</x:f>
      </x:c>
      <x:c r="S1057" s="10" t="str">
        <x:f>IF(M1057="","",MAX(O1057,P1057,Q1057,R1057))</x:f>
      </x:c>
      <x:c r="T1057" s="11" t="str">
        <x:f>IF(M1057="","",MIN(100,S1057*100*'Config_v6'!$B$44+MIN(100,L1057/'Config_v6'!$B$13*100)*'Config_v6'!$B$45+(100-'Motor_Meciuri'!BF81)*'Config_v6'!$B$46+'Motor_Meciuri'!BH81*100*'Config_v6'!$B$47))</x:f>
      </x:c>
      <x:c r="U1057" s="2" t="str">
        <x:f>IF(T1057="","",IF(T1057&lt;=20,1,IF(T1057&lt;=40,2,IF(T1057&lt;=60,3,IF(T1057&lt;=80,4,5)))))</x:f>
      </x:c>
      <x:c r="V1057" s="2" t="str">
        <x:f>IF(M1057="","",MAX(0,'Motor_Meciuri'!BF81-IF(W1057="OOS PENDING",'Config_v6'!$B$35,0)-IF(L1057&gt;'Config_v6'!$B$12,'Config_v6'!$B$37,IF(L1057&gt;'Config_v6'!$B$11,'Config_v6'!$B$36,0))))</x:f>
      </x:c>
      <x:c r="W1057" s="2" t="str">
        <x:f>IF(B1057="","",IF(I1057&lt;&gt;"READY","NOT RELEASED",IF(NOT(AND(J1057="PASS",'Calibrare_Linii'!U7="VALID")),"INVALID",IF(NOT(AND('Calibrare_Linii'!S7="VALIDATED",AND('Calibrare_Linii'!H7=C1057,ISNUMBER('Calibrare_Linii'!J7),'Calibrare_Linii'!J7&lt;='Input_Meci'!G81))),"OOS PENDING",IF(S1057&lt;='Calibrare_Linii'!E7,"PASS",IF(S1057&lt;='Calibrare_Linii'!F7,"PENALTY","WATCH"))))))</x:f>
      </x:c>
      <x:c r="X1057" s="2" t="str">
        <x:f>IF(M1057="","",IF(AND(AND(J1057="PASS",'Calibrare_Linii'!U7="VALID"),'Motor_Meciuri'!K81=12,'Motor_Meciuri'!L81=12,'Motor_Meciuri'!M81="NO",'Motor_Meciuri'!BL81='Motor_Meciuri'!C81,AB1057&gt;='Config_v6'!$B$50,AN1057&gt;='Config_v6'!$B$51,T1057&lt;='Config_v6'!$B$52,L1057&lt;='Config_v6'!$B$53,ISNUMBER('Calibrare_Linii'!E7),S1057&lt;='Calibrare_Linii'!E7,SUM(AK1057:AM1057)&gt;0),"CANDIDATE","NO"))</x:f>
      </x:c>
      <x:c r="Y1057" s="2" t="str">
        <x:f>IF(B1057="","",IF(I1057&lt;&gt;"READY","NOT RELEASED",IF(AND(X1057="CANDIDATE",V1057&gt;='Config_v6'!$B$51,W1057="PASS",'Calibrare_Linii'!T7="VALIDATED",AND('Calibrare_Linii'!H7=C1057,ISNUMBER('Calibrare_Linii'!J7),'Calibrare_Linii'!J7&lt;='Input_Meci'!G81)),"PASS",IF(X1057="CANDIDATE","OOS PENDING","FAIL"))))</x:f>
      </x:c>
      <x:c r="Z1057" s="2" t="str">
        <x:f>IF(B1057="","",IF(I1057&lt;&gt;"READY","",IF(OR(NOT(AND(J1057="PASS",'Calibrare_Linii'!U7="VALID")),L1057&gt;'Config_v6'!$B$13,W1057="WATCH"),5,IF(Y1057="PASS",1,MIN(5,MAX('Config_v6'!$B$42,U1057)+IF(W1057="PENALTY",1,0))))))</x:f>
      </x:c>
      <x:c r="AA1057" s="2" t="str">
        <x:f>IF(B1057="","",IF(I1057&lt;&gt;"READY","NOT RELEASED",IF(Z1057=5,"NO BET",IF(OR(AB1057&lt;'Config_v6'!$B$16,V1057&lt;'Config_v6'!$B$18),"WATCH",IF(Z1057=1,"DEFENSIV",IF(Z1057=2,"PRUDENT",IF(Z1057=3,"MODERAT","RIDICAT")))))))</x:f>
      </x:c>
      <x:c r="AB1057" s="10" t="str">
        <x:f>IF(N1057="","",MIN(N1057,1-S1057))</x:f>
      </x:c>
      <x:c r="AC1057" s="2" t="str">
        <x:f>IF(AD1057&lt;&gt;1,"",COUNTIFS($Z$1056:$Z$1069,"&lt;"&amp;Z1057,$AD$1056:$AD$1069,1)+COUNTIFS($Z$1056:$Z$1069,Z1057,$AB$1056:$AB$1069,"&gt;"&amp;AB1057,$AD$1056:$AD$1069,1)+COUNTIFS($Z$1056:$Z$1069,Z1057,$AB$1056:$AB$1069,AB1057,$V$1056:$V$1069,"&gt;"&amp;V1057,$AD$1056:$AD$1069,1)+COUNTIFS($Z$1056:Z1057,Z1057,$AB$1056:AB1057,AB1057,$V$1056:V1057,V1057,$AD$1056:AD1057,1))</x:f>
      </x:c>
      <x:c r="AD1057" s="2" t="n">
        <x:f>IF(OR(AA1057="DEFENSIV",AA1057="PRUDENT",AA1057="MODERAT",AA1057="RIDICAT"),1,0)</x:f>
        <x:v>0</x:v>
      </x:c>
      <x:c r="AE1057" s="2" t="str">
        <x:f>IF(AD1057&lt;&gt;1,"NO",IF(W1057="PASS","YES",IF(W1057="OOS PENDING","CONDITIONAL","NO")))</x:f>
        <x:v>NO</x:v>
      </x:c>
      <x:c r="AF1057" s="2" t="n">
        <x:f>IF(AND(AD1057=1,AC1057=1,E1057="LIVE"),1,0)</x:f>
        <x:v>0</x:v>
      </x:c>
      <x:c r="AG1057" s="2" t="str">
        <x:f>IF(AF1057&lt;&gt;1,"",'Dashboard'!P101)</x:f>
      </x:c>
      <x:c r="AH1057" s="2" t="str">
        <x:f>IF(B1057="","",IF(J1057&lt;&gt;"PASS",'Motor_Meciuri'!J81,IF('Calibrare_Linii'!U7&lt;&gt;"VALID","Parametri linie invalizi",IF(L1057&gt;'Config_v6'!$B$13,"Dispersie peste limita",IF(W1057="WATCH","Failure peste limita",IF(AB1057&lt;'Config_v6'!$B$16,"P finala sub prag",IF(V1057&lt;'Config_v6'!$B$18,"Confidence sub prag",IF(E1057="REPLAY","Exemplu retrospectiv; exclus din Top LIVE",IF(Y1057="PASS","DEFENSIV validat",IF(W1057="OOS PENDING","Eligibil; calibrare linie in monitorizare","Eligibil"))))))))))</x:f>
      </x:c>
      <x:c r="AI1057" s="2" t="str">
        <x:f>IF(B1057="","",'Calibrare_Linii'!V7)</x:f>
      </x:c>
      <x:c r="AJ1057" s="2" t="str">
        <x:f>IF(B1057="","",IF(AND('Calibrare_Linii'!T7="VALIDATED",AND('Calibrare_Linii'!H7=C1057,ISNUMBER('Calibrare_Linii'!J7),'Calibrare_Linii'!J7&lt;='Input_Meci'!G81)),"DEFENSIVE VALIDATED",IF(AND('Calibrare_Linii'!S7="VALIDATED",AND('Calibrare_Linii'!H7=C1057,ISNUMBER('Calibrare_Linii'!J7),'Calibrare_Linii'!J7&lt;='Input_Meci'!G81)),"TAIL VALIDATED","OOS PENDING")))</x:f>
      </x:c>
      <x:c r="AK1057" s="2" t="n">
        <x:f>IF(J1057&lt;&gt;"PASS",0,'Motor_Meciuri'!BR81)</x:f>
        <x:v>0</x:v>
      </x:c>
      <x:c r="AL1057" s="2" t="n">
        <x:f>IF(J1057&lt;&gt;"PASS",0,'Motor_Meciuri'!BS81)</x:f>
        <x:v>0</x:v>
      </x:c>
      <x:c r="AM1057" s="2" t="n">
        <x:f>IF(J1057&lt;&gt;"PASS",0,'Motor_Meciuri'!BT81)</x:f>
        <x:v>0</x:v>
      </x:c>
      <x:c r="AN1057" s="2" t="str">
        <x:f>IF(M1057="","",MAX(0,'Motor_Meciuri'!BF81-IF(L1057&gt;'Config_v6'!$B$12,'Config_v6'!$B$37,IF(L1057&gt;'Config_v6'!$B$11,'Config_v6'!$B$36,0))))</x:f>
      </x:c>
    </x:row>
    <x:row r="1058" ht="21" customHeight="1">
      <x:c r="A1058" s="2" t="n">
        <x:v>76</x:v>
      </x:c>
      <x:c r="B1058" s="2" t="str">
        <x:f>IF('Motor_Meciuri'!A81="","",'Motor_Meciuri'!A81)</x:f>
      </x:c>
      <x:c r="C1058" s="2" t="str">
        <x:f>IF(B1058="","",'Motor_Meciuri'!B81)</x:f>
      </x:c>
      <x:c r="D1058" s="2" t="str">
        <x:f>IF(B1058="","",'Motor_Meciuri'!D81)</x:f>
      </x:c>
      <x:c r="E1058" s="2" t="str">
        <x:f>IF(B1058="","",'Motor_Meciuri'!E81)</x:f>
      </x:c>
      <x:c r="F1058" s="2" t="str">
        <x:v>O5,5</x:v>
      </x:c>
      <x:c r="G1058" s="2" t="str">
        <x:v>OVER</x:v>
      </x:c>
      <x:c r="H1058" s="2" t="n">
        <x:v>5</x:v>
      </x:c>
      <x:c r="I1058" s="2" t="str">
        <x:f>IF(B1058="","",'Motor_Meciuri'!H81)</x:f>
      </x:c>
      <x:c r="J1058" s="2" t="str">
        <x:f>IF(B1058="","",'Motor_Meciuri'!I81)</x:f>
      </x:c>
      <x:c r="K1058" s="11" t="str">
        <x:f>IF(J1058&lt;&gt;"PASS","",'Motor_Meciuri'!BD81)</x:f>
      </x:c>
      <x:c r="L1058" s="11" t="str">
        <x:f>IF(J1058&lt;&gt;"PASS","",'Motor_Meciuri'!AU81)</x:f>
      </x:c>
      <x:c r="M1058" s="10" t="str">
        <x:f>IF(NOT(AND(J1058="PASS",'Calibrare_Linii'!U8="VALID")),"",1-'Distributie'!AC81)</x:f>
      </x:c>
      <x:c r="N1058" s="10" t="str">
        <x:f>IF(M1058="","",MAX(0.01,MIN(0.99,0.5+(M1058-0.5)*'Motor_Meciuri'!BG81*'Calibrare_Linii'!D8)))</x:f>
      </x:c>
      <x:c r="O1058" s="10" t="str">
        <x:f>IF(M1058="","",1-M1058)</x:f>
      </x:c>
      <x:c r="P1058" s="10" t="str">
        <x:f>IF(OR(NOT(AND(J1058="PASS",'Calibrare_Linii'!U8="VALID")),AK1058=0),""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*('Istoric_Nativ'!$Q$6:$Q$405&lt;=H1058))/AK1058)</x:f>
      </x:c>
      <x:c r="Q1058" s="10" t="str">
        <x:f>IF(OR(NOT(AND(J1058="PASS",'Calibrare_Linii'!U8="VALID")),AL1058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M81)+((('Istoric_Nativ'!$E$6:$E$405='Input_Meci'!E81)+('Istoric_Nativ'!$F$6:$F$405='Input_Meci'!E81))&gt;0)*('Istoric_Nativ'!$D$6:$D$405&gt;='Motor_Meciuri'!BN81))&gt;0)*('Istoric_Nativ'!$Q$6:$Q$405&lt;=H1058))/AL1058)</x:f>
      </x:c>
      <x:c r="R1058" s="10" t="str">
        <x:f>IF(OR(NOT(AND(J1058="PASS",'Calibrare_Linii'!U8="VALID")),AM1058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O81)+((('Istoric_Nativ'!$E$6:$E$405='Input_Meci'!E81)+('Istoric_Nativ'!$F$6:$F$405='Input_Meci'!E81))&gt;0)*('Istoric_Nativ'!$D$6:$D$405&gt;='Motor_Meciuri'!BP81))&gt;0)*('Istoric_Nativ'!$Q$6:$Q$405&lt;=H1058))/AM1058)</x:f>
      </x:c>
      <x:c r="S1058" s="10" t="str">
        <x:f>IF(M1058="","",MAX(O1058,P1058,Q1058,R1058))</x:f>
      </x:c>
      <x:c r="T1058" s="11" t="str">
        <x:f>IF(M1058="","",MIN(100,S1058*100*'Config_v6'!$B$44+MIN(100,L1058/'Config_v6'!$B$13*100)*'Config_v6'!$B$45+(100-'Motor_Meciuri'!BF81)*'Config_v6'!$B$46+'Motor_Meciuri'!BH81*100*'Config_v6'!$B$47))</x:f>
      </x:c>
      <x:c r="U1058" s="2" t="str">
        <x:f>IF(T1058="","",IF(T1058&lt;=20,1,IF(T1058&lt;=40,2,IF(T1058&lt;=60,3,IF(T1058&lt;=80,4,5)))))</x:f>
      </x:c>
      <x:c r="V1058" s="2" t="str">
        <x:f>IF(M1058="","",MAX(0,'Motor_Meciuri'!BF81-IF(W1058="OOS PENDING",'Config_v6'!$B$35,0)-IF(L1058&gt;'Config_v6'!$B$12,'Config_v6'!$B$37,IF(L1058&gt;'Config_v6'!$B$11,'Config_v6'!$B$36,0))))</x:f>
      </x:c>
      <x:c r="W1058" s="2" t="str">
        <x:f>IF(B1058="","",IF(I1058&lt;&gt;"READY","NOT RELEASED",IF(NOT(AND(J1058="PASS",'Calibrare_Linii'!U8="VALID")),"INVALID",IF(NOT(AND('Calibrare_Linii'!S8="VALIDATED",AND('Calibrare_Linii'!H8=C1058,ISNUMBER('Calibrare_Linii'!J8),'Calibrare_Linii'!J8&lt;='Input_Meci'!G81))),"OOS PENDING",IF(S1058&lt;='Calibrare_Linii'!E8,"PASS",IF(S1058&lt;='Calibrare_Linii'!F8,"PENALTY","WATCH"))))))</x:f>
      </x:c>
      <x:c r="X1058" s="2" t="str">
        <x:f>IF(M1058="","",IF(AND(AND(J1058="PASS",'Calibrare_Linii'!U8="VALID"),'Motor_Meciuri'!K81=12,'Motor_Meciuri'!L81=12,'Motor_Meciuri'!M81="NO",'Motor_Meciuri'!BL81='Motor_Meciuri'!C81,AB1058&gt;='Config_v6'!$B$50,AN1058&gt;='Config_v6'!$B$51,T1058&lt;='Config_v6'!$B$52,L1058&lt;='Config_v6'!$B$53,ISNUMBER('Calibrare_Linii'!E8),S1058&lt;='Calibrare_Linii'!E8,SUM(AK1058:AM1058)&gt;0),"CANDIDATE","NO"))</x:f>
      </x:c>
      <x:c r="Y1058" s="2" t="str">
        <x:f>IF(B1058="","",IF(I1058&lt;&gt;"READY","NOT RELEASED",IF(AND(X1058="CANDIDATE",V1058&gt;='Config_v6'!$B$51,W1058="PASS",'Calibrare_Linii'!T8="VALIDATED",AND('Calibrare_Linii'!H8=C1058,ISNUMBER('Calibrare_Linii'!J8),'Calibrare_Linii'!J8&lt;='Input_Meci'!G81)),"PASS",IF(X1058="CANDIDATE","OOS PENDING","FAIL"))))</x:f>
      </x:c>
      <x:c r="Z1058" s="2" t="str">
        <x:f>IF(B1058="","",IF(I1058&lt;&gt;"READY","",IF(OR(NOT(AND(J1058="PASS",'Calibrare_Linii'!U8="VALID")),L1058&gt;'Config_v6'!$B$13,W1058="WATCH"),5,IF(Y1058="PASS",1,MIN(5,MAX('Config_v6'!$B$42,U1058)+IF(W1058="PENALTY",1,0))))))</x:f>
      </x:c>
      <x:c r="AA1058" s="2" t="str">
        <x:f>IF(B1058="","",IF(I1058&lt;&gt;"READY","NOT RELEASED",IF(Z1058=5,"NO BET",IF(OR(AB1058&lt;'Config_v6'!$B$16,V1058&lt;'Config_v6'!$B$18),"WATCH",IF(Z1058=1,"DEFENSIV",IF(Z1058=2,"PRUDENT",IF(Z1058=3,"MODERAT","RIDICAT")))))))</x:f>
      </x:c>
      <x:c r="AB1058" s="10" t="str">
        <x:f>IF(N1058="","",MIN(N1058,1-S1058))</x:f>
      </x:c>
      <x:c r="AC1058" s="2" t="str">
        <x:f>IF(AD1058&lt;&gt;1,"",COUNTIFS($Z$1056:$Z$1069,"&lt;"&amp;Z1058,$AD$1056:$AD$1069,1)+COUNTIFS($Z$1056:$Z$1069,Z1058,$AB$1056:$AB$1069,"&gt;"&amp;AB1058,$AD$1056:$AD$1069,1)+COUNTIFS($Z$1056:$Z$1069,Z1058,$AB$1056:$AB$1069,AB1058,$V$1056:$V$1069,"&gt;"&amp;V1058,$AD$1056:$AD$1069,1)+COUNTIFS($Z$1056:Z1058,Z1058,$AB$1056:AB1058,AB1058,$V$1056:V1058,V1058,$AD$1056:AD1058,1))</x:f>
      </x:c>
      <x:c r="AD1058" s="2" t="n">
        <x:f>IF(OR(AA1058="DEFENSIV",AA1058="PRUDENT",AA1058="MODERAT",AA1058="RIDICAT"),1,0)</x:f>
        <x:v>0</x:v>
      </x:c>
      <x:c r="AE1058" s="2" t="str">
        <x:f>IF(AD1058&lt;&gt;1,"NO",IF(W1058="PASS","YES",IF(W1058="OOS PENDING","CONDITIONAL","NO")))</x:f>
        <x:v>NO</x:v>
      </x:c>
      <x:c r="AF1058" s="2" t="n">
        <x:f>IF(AND(AD1058=1,AC1058=1,E1058="LIVE"),1,0)</x:f>
        <x:v>0</x:v>
      </x:c>
      <x:c r="AG1058" s="2" t="str">
        <x:f>IF(AF1058&lt;&gt;1,"",'Dashboard'!P101)</x:f>
      </x:c>
      <x:c r="AH1058" s="2" t="str">
        <x:f>IF(B1058="","",IF(J1058&lt;&gt;"PASS",'Motor_Meciuri'!J81,IF('Calibrare_Linii'!U8&lt;&gt;"VALID","Parametri linie invalizi",IF(L1058&gt;'Config_v6'!$B$13,"Dispersie peste limita",IF(W1058="WATCH","Failure peste limita",IF(AB1058&lt;'Config_v6'!$B$16,"P finala sub prag",IF(V1058&lt;'Config_v6'!$B$18,"Confidence sub prag",IF(E1058="REPLAY","Exemplu retrospectiv; exclus din Top LIVE",IF(Y1058="PASS","DEFENSIV validat",IF(W1058="OOS PENDING","Eligibil; calibrare linie in monitorizare","Eligibil"))))))))))</x:f>
      </x:c>
      <x:c r="AI1058" s="2" t="str">
        <x:f>IF(B1058="","",'Calibrare_Linii'!V8)</x:f>
      </x:c>
      <x:c r="AJ1058" s="2" t="str">
        <x:f>IF(B1058="","",IF(AND('Calibrare_Linii'!T8="VALIDATED",AND('Calibrare_Linii'!H8=C1058,ISNUMBER('Calibrare_Linii'!J8),'Calibrare_Linii'!J8&lt;='Input_Meci'!G81)),"DEFENSIVE VALIDATED",IF(AND('Calibrare_Linii'!S8="VALIDATED",AND('Calibrare_Linii'!H8=C1058,ISNUMBER('Calibrare_Linii'!J8),'Calibrare_Linii'!J8&lt;='Input_Meci'!G81)),"TAIL VALIDATED","OOS PENDING")))</x:f>
      </x:c>
      <x:c r="AK1058" s="2" t="n">
        <x:f>IF(J1058&lt;&gt;"PASS",0,'Motor_Meciuri'!BR81)</x:f>
        <x:v>0</x:v>
      </x:c>
      <x:c r="AL1058" s="2" t="n">
        <x:f>IF(J1058&lt;&gt;"PASS",0,'Motor_Meciuri'!BS81)</x:f>
        <x:v>0</x:v>
      </x:c>
      <x:c r="AM1058" s="2" t="n">
        <x:f>IF(J1058&lt;&gt;"PASS",0,'Motor_Meciuri'!BT81)</x:f>
        <x:v>0</x:v>
      </x:c>
      <x:c r="AN1058" s="2" t="str">
        <x:f>IF(M1058="","",MAX(0,'Motor_Meciuri'!BF81-IF(L1058&gt;'Config_v6'!$B$12,'Config_v6'!$B$37,IF(L1058&gt;'Config_v6'!$B$11,'Config_v6'!$B$36,0))))</x:f>
      </x:c>
    </x:row>
    <x:row r="1059" ht="21" customHeight="1">
      <x:c r="A1059" s="2" t="n">
        <x:v>76</x:v>
      </x:c>
      <x:c r="B1059" s="2" t="str">
        <x:f>IF('Motor_Meciuri'!A81="","",'Motor_Meciuri'!A81)</x:f>
      </x:c>
      <x:c r="C1059" s="2" t="str">
        <x:f>IF(B1059="","",'Motor_Meciuri'!B81)</x:f>
      </x:c>
      <x:c r="D1059" s="2" t="str">
        <x:f>IF(B1059="","",'Motor_Meciuri'!D81)</x:f>
      </x:c>
      <x:c r="E1059" s="2" t="str">
        <x:f>IF(B1059="","",'Motor_Meciuri'!E81)</x:f>
      </x:c>
      <x:c r="F1059" s="2" t="str">
        <x:v>O6,5</x:v>
      </x:c>
      <x:c r="G1059" s="2" t="str">
        <x:v>OVER</x:v>
      </x:c>
      <x:c r="H1059" s="2" t="n">
        <x:v>6</x:v>
      </x:c>
      <x:c r="I1059" s="2" t="str">
        <x:f>IF(B1059="","",'Motor_Meciuri'!H81)</x:f>
      </x:c>
      <x:c r="J1059" s="2" t="str">
        <x:f>IF(B1059="","",'Motor_Meciuri'!I81)</x:f>
      </x:c>
      <x:c r="K1059" s="11" t="str">
        <x:f>IF(J1059&lt;&gt;"PASS","",'Motor_Meciuri'!BD81)</x:f>
      </x:c>
      <x:c r="L1059" s="11" t="str">
        <x:f>IF(J1059&lt;&gt;"PASS","",'Motor_Meciuri'!AU81)</x:f>
      </x:c>
      <x:c r="M1059" s="10" t="str">
        <x:f>IF(NOT(AND(J1059="PASS",'Calibrare_Linii'!U9="VALID")),"",1-'Distributie'!AD81)</x:f>
      </x:c>
      <x:c r="N1059" s="10" t="str">
        <x:f>IF(M1059="","",MAX(0.01,MIN(0.99,0.5+(M1059-0.5)*'Motor_Meciuri'!BG81*'Calibrare_Linii'!D9)))</x:f>
      </x:c>
      <x:c r="O1059" s="10" t="str">
        <x:f>IF(M1059="","",1-M1059)</x:f>
      </x:c>
      <x:c r="P1059" s="10" t="str">
        <x:f>IF(OR(NOT(AND(J1059="PASS",'Calibrare_Linii'!U9="VALID")),AK1059=0),""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*('Istoric_Nativ'!$Q$6:$Q$405&lt;=H1059))/AK1059)</x:f>
      </x:c>
      <x:c r="Q1059" s="10" t="str">
        <x:f>IF(OR(NOT(AND(J1059="PASS",'Calibrare_Linii'!U9="VALID")),AL1059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M81)+((('Istoric_Nativ'!$E$6:$E$405='Input_Meci'!E81)+('Istoric_Nativ'!$F$6:$F$405='Input_Meci'!E81))&gt;0)*('Istoric_Nativ'!$D$6:$D$405&gt;='Motor_Meciuri'!BN81))&gt;0)*('Istoric_Nativ'!$Q$6:$Q$405&lt;=H1059))/AL1059)</x:f>
      </x:c>
      <x:c r="R1059" s="10" t="str">
        <x:f>IF(OR(NOT(AND(J1059="PASS",'Calibrare_Linii'!U9="VALID")),AM1059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O81)+((('Istoric_Nativ'!$E$6:$E$405='Input_Meci'!E81)+('Istoric_Nativ'!$F$6:$F$405='Input_Meci'!E81))&gt;0)*('Istoric_Nativ'!$D$6:$D$405&gt;='Motor_Meciuri'!BP81))&gt;0)*('Istoric_Nativ'!$Q$6:$Q$405&lt;=H1059))/AM1059)</x:f>
      </x:c>
      <x:c r="S1059" s="10" t="str">
        <x:f>IF(M1059="","",MAX(O1059,P1059,Q1059,R1059))</x:f>
      </x:c>
      <x:c r="T1059" s="11" t="str">
        <x:f>IF(M1059="","",MIN(100,S1059*100*'Config_v6'!$B$44+MIN(100,L1059/'Config_v6'!$B$13*100)*'Config_v6'!$B$45+(100-'Motor_Meciuri'!BF81)*'Config_v6'!$B$46+'Motor_Meciuri'!BH81*100*'Config_v6'!$B$47))</x:f>
      </x:c>
      <x:c r="U1059" s="2" t="str">
        <x:f>IF(T1059="","",IF(T1059&lt;=20,1,IF(T1059&lt;=40,2,IF(T1059&lt;=60,3,IF(T1059&lt;=80,4,5)))))</x:f>
      </x:c>
      <x:c r="V1059" s="2" t="str">
        <x:f>IF(M1059="","",MAX(0,'Motor_Meciuri'!BF81-IF(W1059="OOS PENDING",'Config_v6'!$B$35,0)-IF(L1059&gt;'Config_v6'!$B$12,'Config_v6'!$B$37,IF(L1059&gt;'Config_v6'!$B$11,'Config_v6'!$B$36,0))))</x:f>
      </x:c>
      <x:c r="W1059" s="2" t="str">
        <x:f>IF(B1059="","",IF(I1059&lt;&gt;"READY","NOT RELEASED",IF(NOT(AND(J1059="PASS",'Calibrare_Linii'!U9="VALID")),"INVALID",IF(NOT(AND('Calibrare_Linii'!S9="VALIDATED",AND('Calibrare_Linii'!H9=C1059,ISNUMBER('Calibrare_Linii'!J9),'Calibrare_Linii'!J9&lt;='Input_Meci'!G81))),"OOS PENDING",IF(S1059&lt;='Calibrare_Linii'!E9,"PASS",IF(S1059&lt;='Calibrare_Linii'!F9,"PENALTY","WATCH"))))))</x:f>
      </x:c>
      <x:c r="X1059" s="2" t="str">
        <x:f>IF(M1059="","",IF(AND(AND(J1059="PASS",'Calibrare_Linii'!U9="VALID"),'Motor_Meciuri'!K81=12,'Motor_Meciuri'!L81=12,'Motor_Meciuri'!M81="NO",'Motor_Meciuri'!BL81='Motor_Meciuri'!C81,AB1059&gt;='Config_v6'!$B$50,AN1059&gt;='Config_v6'!$B$51,T1059&lt;='Config_v6'!$B$52,L1059&lt;='Config_v6'!$B$53,ISNUMBER('Calibrare_Linii'!E9),S1059&lt;='Calibrare_Linii'!E9,SUM(AK1059:AM1059)&gt;0),"CANDIDATE","NO"))</x:f>
      </x:c>
      <x:c r="Y1059" s="2" t="str">
        <x:f>IF(B1059="","",IF(I1059&lt;&gt;"READY","NOT RELEASED",IF(AND(X1059="CANDIDATE",V1059&gt;='Config_v6'!$B$51,W1059="PASS",'Calibrare_Linii'!T9="VALIDATED",AND('Calibrare_Linii'!H9=C1059,ISNUMBER('Calibrare_Linii'!J9),'Calibrare_Linii'!J9&lt;='Input_Meci'!G81)),"PASS",IF(X1059="CANDIDATE","OOS PENDING","FAIL"))))</x:f>
      </x:c>
      <x:c r="Z1059" s="2" t="str">
        <x:f>IF(B1059="","",IF(I1059&lt;&gt;"READY","",IF(OR(NOT(AND(J1059="PASS",'Calibrare_Linii'!U9="VALID")),L1059&gt;'Config_v6'!$B$13,W1059="WATCH"),5,IF(Y1059="PASS",1,MIN(5,MAX('Config_v6'!$B$42,U1059)+IF(W1059="PENALTY",1,0))))))</x:f>
      </x:c>
      <x:c r="AA1059" s="2" t="str">
        <x:f>IF(B1059="","",IF(I1059&lt;&gt;"READY","NOT RELEASED",IF(Z1059=5,"NO BET",IF(OR(AB1059&lt;'Config_v6'!$B$16,V1059&lt;'Config_v6'!$B$18),"WATCH",IF(Z1059=1,"DEFENSIV",IF(Z1059=2,"PRUDENT",IF(Z1059=3,"MODERAT","RIDICAT")))))))</x:f>
      </x:c>
      <x:c r="AB1059" s="10" t="str">
        <x:f>IF(N1059="","",MIN(N1059,1-S1059))</x:f>
      </x:c>
      <x:c r="AC1059" s="2" t="str">
        <x:f>IF(AD1059&lt;&gt;1,"",COUNTIFS($Z$1056:$Z$1069,"&lt;"&amp;Z1059,$AD$1056:$AD$1069,1)+COUNTIFS($Z$1056:$Z$1069,Z1059,$AB$1056:$AB$1069,"&gt;"&amp;AB1059,$AD$1056:$AD$1069,1)+COUNTIFS($Z$1056:$Z$1069,Z1059,$AB$1056:$AB$1069,AB1059,$V$1056:$V$1069,"&gt;"&amp;V1059,$AD$1056:$AD$1069,1)+COUNTIFS($Z$1056:Z1059,Z1059,$AB$1056:AB1059,AB1059,$V$1056:V1059,V1059,$AD$1056:AD1059,1))</x:f>
      </x:c>
      <x:c r="AD1059" s="2" t="n">
        <x:f>IF(OR(AA1059="DEFENSIV",AA1059="PRUDENT",AA1059="MODERAT",AA1059="RIDICAT"),1,0)</x:f>
        <x:v>0</x:v>
      </x:c>
      <x:c r="AE1059" s="2" t="str">
        <x:f>IF(AD1059&lt;&gt;1,"NO",IF(W1059="PASS","YES",IF(W1059="OOS PENDING","CONDITIONAL","NO")))</x:f>
        <x:v>NO</x:v>
      </x:c>
      <x:c r="AF1059" s="2" t="n">
        <x:f>IF(AND(AD1059=1,AC1059=1,E1059="LIVE"),1,0)</x:f>
        <x:v>0</x:v>
      </x:c>
      <x:c r="AG1059" s="2" t="str">
        <x:f>IF(AF1059&lt;&gt;1,"",'Dashboard'!P101)</x:f>
      </x:c>
      <x:c r="AH1059" s="2" t="str">
        <x:f>IF(B1059="","",IF(J1059&lt;&gt;"PASS",'Motor_Meciuri'!J81,IF('Calibrare_Linii'!U9&lt;&gt;"VALID","Parametri linie invalizi",IF(L1059&gt;'Config_v6'!$B$13,"Dispersie peste limita",IF(W1059="WATCH","Failure peste limita",IF(AB1059&lt;'Config_v6'!$B$16,"P finala sub prag",IF(V1059&lt;'Config_v6'!$B$18,"Confidence sub prag",IF(E1059="REPLAY","Exemplu retrospectiv; exclus din Top LIVE",IF(Y1059="PASS","DEFENSIV validat",IF(W1059="OOS PENDING","Eligibil; calibrare linie in monitorizare","Eligibil"))))))))))</x:f>
      </x:c>
      <x:c r="AI1059" s="2" t="str">
        <x:f>IF(B1059="","",'Calibrare_Linii'!V9)</x:f>
      </x:c>
      <x:c r="AJ1059" s="2" t="str">
        <x:f>IF(B1059="","",IF(AND('Calibrare_Linii'!T9="VALIDATED",AND('Calibrare_Linii'!H9=C1059,ISNUMBER('Calibrare_Linii'!J9),'Calibrare_Linii'!J9&lt;='Input_Meci'!G81)),"DEFENSIVE VALIDATED",IF(AND('Calibrare_Linii'!S9="VALIDATED",AND('Calibrare_Linii'!H9=C1059,ISNUMBER('Calibrare_Linii'!J9),'Calibrare_Linii'!J9&lt;='Input_Meci'!G81)),"TAIL VALIDATED","OOS PENDING")))</x:f>
      </x:c>
      <x:c r="AK1059" s="2" t="n">
        <x:f>IF(J1059&lt;&gt;"PASS",0,'Motor_Meciuri'!BR81)</x:f>
        <x:v>0</x:v>
      </x:c>
      <x:c r="AL1059" s="2" t="n">
        <x:f>IF(J1059&lt;&gt;"PASS",0,'Motor_Meciuri'!BS81)</x:f>
        <x:v>0</x:v>
      </x:c>
      <x:c r="AM1059" s="2" t="n">
        <x:f>IF(J1059&lt;&gt;"PASS",0,'Motor_Meciuri'!BT81)</x:f>
        <x:v>0</x:v>
      </x:c>
      <x:c r="AN1059" s="2" t="str">
        <x:f>IF(M1059="","",MAX(0,'Motor_Meciuri'!BF81-IF(L1059&gt;'Config_v6'!$B$12,'Config_v6'!$B$37,IF(L1059&gt;'Config_v6'!$B$11,'Config_v6'!$B$36,0))))</x:f>
      </x:c>
    </x:row>
    <x:row r="1060" ht="21" customHeight="1">
      <x:c r="A1060" s="2" t="n">
        <x:v>76</x:v>
      </x:c>
      <x:c r="B1060" s="2" t="str">
        <x:f>IF('Motor_Meciuri'!A81="","",'Motor_Meciuri'!A81)</x:f>
      </x:c>
      <x:c r="C1060" s="2" t="str">
        <x:f>IF(B1060="","",'Motor_Meciuri'!B81)</x:f>
      </x:c>
      <x:c r="D1060" s="2" t="str">
        <x:f>IF(B1060="","",'Motor_Meciuri'!D81)</x:f>
      </x:c>
      <x:c r="E1060" s="2" t="str">
        <x:f>IF(B1060="","",'Motor_Meciuri'!E81)</x:f>
      </x:c>
      <x:c r="F1060" s="2" t="str">
        <x:v>O7,5</x:v>
      </x:c>
      <x:c r="G1060" s="2" t="str">
        <x:v>OVER</x:v>
      </x:c>
      <x:c r="H1060" s="2" t="n">
        <x:v>7</x:v>
      </x:c>
      <x:c r="I1060" s="2" t="str">
        <x:f>IF(B1060="","",'Motor_Meciuri'!H81)</x:f>
      </x:c>
      <x:c r="J1060" s="2" t="str">
        <x:f>IF(B1060="","",'Motor_Meciuri'!I81)</x:f>
      </x:c>
      <x:c r="K1060" s="11" t="str">
        <x:f>IF(J1060&lt;&gt;"PASS","",'Motor_Meciuri'!BD81)</x:f>
      </x:c>
      <x:c r="L1060" s="11" t="str">
        <x:f>IF(J1060&lt;&gt;"PASS","",'Motor_Meciuri'!AU81)</x:f>
      </x:c>
      <x:c r="M1060" s="10" t="str">
        <x:f>IF(NOT(AND(J1060="PASS",'Calibrare_Linii'!U10="VALID")),"",1-'Distributie'!AE81)</x:f>
      </x:c>
      <x:c r="N1060" s="10" t="str">
        <x:f>IF(M1060="","",MAX(0.01,MIN(0.99,0.5+(M1060-0.5)*'Motor_Meciuri'!BG81*'Calibrare_Linii'!D10)))</x:f>
      </x:c>
      <x:c r="O1060" s="10" t="str">
        <x:f>IF(M1060="","",1-M1060)</x:f>
      </x:c>
      <x:c r="P1060" s="10" t="str">
        <x:f>IF(OR(NOT(AND(J1060="PASS",'Calibrare_Linii'!U10="VALID")),AK1060=0),""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*('Istoric_Nativ'!$Q$6:$Q$405&lt;=H1060))/AK1060)</x:f>
      </x:c>
      <x:c r="Q1060" s="10" t="str">
        <x:f>IF(OR(NOT(AND(J1060="PASS",'Calibrare_Linii'!U10="VALID")),AL1060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M81)+((('Istoric_Nativ'!$E$6:$E$405='Input_Meci'!E81)+('Istoric_Nativ'!$F$6:$F$405='Input_Meci'!E81))&gt;0)*('Istoric_Nativ'!$D$6:$D$405&gt;='Motor_Meciuri'!BN81))&gt;0)*('Istoric_Nativ'!$Q$6:$Q$405&lt;=H1060))/AL1060)</x:f>
      </x:c>
      <x:c r="R1060" s="10" t="str">
        <x:f>IF(OR(NOT(AND(J1060="PASS",'Calibrare_Linii'!U10="VALID")),AM1060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O81)+((('Istoric_Nativ'!$E$6:$E$405='Input_Meci'!E81)+('Istoric_Nativ'!$F$6:$F$405='Input_Meci'!E81))&gt;0)*('Istoric_Nativ'!$D$6:$D$405&gt;='Motor_Meciuri'!BP81))&gt;0)*('Istoric_Nativ'!$Q$6:$Q$405&lt;=H1060))/AM1060)</x:f>
      </x:c>
      <x:c r="S1060" s="10" t="str">
        <x:f>IF(M1060="","",MAX(O1060,P1060,Q1060,R1060))</x:f>
      </x:c>
      <x:c r="T1060" s="11" t="str">
        <x:f>IF(M1060="","",MIN(100,S1060*100*'Config_v6'!$B$44+MIN(100,L1060/'Config_v6'!$B$13*100)*'Config_v6'!$B$45+(100-'Motor_Meciuri'!BF81)*'Config_v6'!$B$46+'Motor_Meciuri'!BH81*100*'Config_v6'!$B$47))</x:f>
      </x:c>
      <x:c r="U1060" s="2" t="str">
        <x:f>IF(T1060="","",IF(T1060&lt;=20,1,IF(T1060&lt;=40,2,IF(T1060&lt;=60,3,IF(T1060&lt;=80,4,5)))))</x:f>
      </x:c>
      <x:c r="V1060" s="2" t="str">
        <x:f>IF(M1060="","",MAX(0,'Motor_Meciuri'!BF81-IF(W1060="OOS PENDING",'Config_v6'!$B$35,0)-IF(L1060&gt;'Config_v6'!$B$12,'Config_v6'!$B$37,IF(L1060&gt;'Config_v6'!$B$11,'Config_v6'!$B$36,0))))</x:f>
      </x:c>
      <x:c r="W1060" s="2" t="str">
        <x:f>IF(B1060="","",IF(I1060&lt;&gt;"READY","NOT RELEASED",IF(NOT(AND(J1060="PASS",'Calibrare_Linii'!U10="VALID")),"INVALID",IF(NOT(AND('Calibrare_Linii'!S10="VALIDATED",AND('Calibrare_Linii'!H10=C1060,ISNUMBER('Calibrare_Linii'!J10),'Calibrare_Linii'!J10&lt;='Input_Meci'!G81))),"OOS PENDING",IF(S1060&lt;='Calibrare_Linii'!E10,"PASS",IF(S1060&lt;='Calibrare_Linii'!F10,"PENALTY","WATCH"))))))</x:f>
      </x:c>
      <x:c r="X1060" s="2" t="str">
        <x:f>IF(M1060="","",IF(AND(AND(J1060="PASS",'Calibrare_Linii'!U10="VALID"),'Motor_Meciuri'!K81=12,'Motor_Meciuri'!L81=12,'Motor_Meciuri'!M81="NO",'Motor_Meciuri'!BL81='Motor_Meciuri'!C81,AB1060&gt;='Config_v6'!$B$50,AN1060&gt;='Config_v6'!$B$51,T1060&lt;='Config_v6'!$B$52,L1060&lt;='Config_v6'!$B$53,ISNUMBER('Calibrare_Linii'!E10),S1060&lt;='Calibrare_Linii'!E10,SUM(AK1060:AM1060)&gt;0),"CANDIDATE","NO"))</x:f>
      </x:c>
      <x:c r="Y1060" s="2" t="str">
        <x:f>IF(B1060="","",IF(I1060&lt;&gt;"READY","NOT RELEASED",IF(AND(X1060="CANDIDATE",V1060&gt;='Config_v6'!$B$51,W1060="PASS",'Calibrare_Linii'!T10="VALIDATED",AND('Calibrare_Linii'!H10=C1060,ISNUMBER('Calibrare_Linii'!J10),'Calibrare_Linii'!J10&lt;='Input_Meci'!G81)),"PASS",IF(X1060="CANDIDATE","OOS PENDING","FAIL"))))</x:f>
      </x:c>
      <x:c r="Z1060" s="2" t="str">
        <x:f>IF(B1060="","",IF(I1060&lt;&gt;"READY","",IF(OR(NOT(AND(J1060="PASS",'Calibrare_Linii'!U10="VALID")),L1060&gt;'Config_v6'!$B$13,W1060="WATCH"),5,IF(Y1060="PASS",1,MIN(5,MAX('Config_v6'!$B$42,U1060)+IF(W1060="PENALTY",1,0))))))</x:f>
      </x:c>
      <x:c r="AA1060" s="2" t="str">
        <x:f>IF(B1060="","",IF(I1060&lt;&gt;"READY","NOT RELEASED",IF(Z1060=5,"NO BET",IF(OR(AB1060&lt;'Config_v6'!$B$16,V1060&lt;'Config_v6'!$B$18),"WATCH",IF(Z1060=1,"DEFENSIV",IF(Z1060=2,"PRUDENT",IF(Z1060=3,"MODERAT","RIDICAT")))))))</x:f>
      </x:c>
      <x:c r="AB1060" s="10" t="str">
        <x:f>IF(N1060="","",MIN(N1060,1-S1060))</x:f>
      </x:c>
      <x:c r="AC1060" s="2" t="str">
        <x:f>IF(AD1060&lt;&gt;1,"",COUNTIFS($Z$1056:$Z$1069,"&lt;"&amp;Z1060,$AD$1056:$AD$1069,1)+COUNTIFS($Z$1056:$Z$1069,Z1060,$AB$1056:$AB$1069,"&gt;"&amp;AB1060,$AD$1056:$AD$1069,1)+COUNTIFS($Z$1056:$Z$1069,Z1060,$AB$1056:$AB$1069,AB1060,$V$1056:$V$1069,"&gt;"&amp;V1060,$AD$1056:$AD$1069,1)+COUNTIFS($Z$1056:Z1060,Z1060,$AB$1056:AB1060,AB1060,$V$1056:V1060,V1060,$AD$1056:AD1060,1))</x:f>
      </x:c>
      <x:c r="AD1060" s="2" t="n">
        <x:f>IF(OR(AA1060="DEFENSIV",AA1060="PRUDENT",AA1060="MODERAT",AA1060="RIDICAT"),1,0)</x:f>
        <x:v>0</x:v>
      </x:c>
      <x:c r="AE1060" s="2" t="str">
        <x:f>IF(AD1060&lt;&gt;1,"NO",IF(W1060="PASS","YES",IF(W1060="OOS PENDING","CONDITIONAL","NO")))</x:f>
        <x:v>NO</x:v>
      </x:c>
      <x:c r="AF1060" s="2" t="n">
        <x:f>IF(AND(AD1060=1,AC1060=1,E1060="LIVE"),1,0)</x:f>
        <x:v>0</x:v>
      </x:c>
      <x:c r="AG1060" s="2" t="str">
        <x:f>IF(AF1060&lt;&gt;1,"",'Dashboard'!P101)</x:f>
      </x:c>
      <x:c r="AH1060" s="2" t="str">
        <x:f>IF(B1060="","",IF(J1060&lt;&gt;"PASS",'Motor_Meciuri'!J81,IF('Calibrare_Linii'!U10&lt;&gt;"VALID","Parametri linie invalizi",IF(L1060&gt;'Config_v6'!$B$13,"Dispersie peste limita",IF(W1060="WATCH","Failure peste limita",IF(AB1060&lt;'Config_v6'!$B$16,"P finala sub prag",IF(V1060&lt;'Config_v6'!$B$18,"Confidence sub prag",IF(E1060="REPLAY","Exemplu retrospectiv; exclus din Top LIVE",IF(Y1060="PASS","DEFENSIV validat",IF(W1060="OOS PENDING","Eligibil; calibrare linie in monitorizare","Eligibil"))))))))))</x:f>
      </x:c>
      <x:c r="AI1060" s="2" t="str">
        <x:f>IF(B1060="","",'Calibrare_Linii'!V10)</x:f>
      </x:c>
      <x:c r="AJ1060" s="2" t="str">
        <x:f>IF(B1060="","",IF(AND('Calibrare_Linii'!T10="VALIDATED",AND('Calibrare_Linii'!H10=C1060,ISNUMBER('Calibrare_Linii'!J10),'Calibrare_Linii'!J10&lt;='Input_Meci'!G81)),"DEFENSIVE VALIDATED",IF(AND('Calibrare_Linii'!S10="VALIDATED",AND('Calibrare_Linii'!H10=C1060,ISNUMBER('Calibrare_Linii'!J10),'Calibrare_Linii'!J10&lt;='Input_Meci'!G81)),"TAIL VALIDATED","OOS PENDING")))</x:f>
      </x:c>
      <x:c r="AK1060" s="2" t="n">
        <x:f>IF(J1060&lt;&gt;"PASS",0,'Motor_Meciuri'!BR81)</x:f>
        <x:v>0</x:v>
      </x:c>
      <x:c r="AL1060" s="2" t="n">
        <x:f>IF(J1060&lt;&gt;"PASS",0,'Motor_Meciuri'!BS81)</x:f>
        <x:v>0</x:v>
      </x:c>
      <x:c r="AM1060" s="2" t="n">
        <x:f>IF(J1060&lt;&gt;"PASS",0,'Motor_Meciuri'!BT81)</x:f>
        <x:v>0</x:v>
      </x:c>
      <x:c r="AN1060" s="2" t="str">
        <x:f>IF(M1060="","",MAX(0,'Motor_Meciuri'!BF81-IF(L1060&gt;'Config_v6'!$B$12,'Config_v6'!$B$37,IF(L1060&gt;'Config_v6'!$B$11,'Config_v6'!$B$36,0))))</x:f>
      </x:c>
    </x:row>
    <x:row r="1061" ht="21" customHeight="1">
      <x:c r="A1061" s="2" t="n">
        <x:v>76</x:v>
      </x:c>
      <x:c r="B1061" s="2" t="str">
        <x:f>IF('Motor_Meciuri'!A81="","",'Motor_Meciuri'!A81)</x:f>
      </x:c>
      <x:c r="C1061" s="2" t="str">
        <x:f>IF(B1061="","",'Motor_Meciuri'!B81)</x:f>
      </x:c>
      <x:c r="D1061" s="2" t="str">
        <x:f>IF(B1061="","",'Motor_Meciuri'!D81)</x:f>
      </x:c>
      <x:c r="E1061" s="2" t="str">
        <x:f>IF(B1061="","",'Motor_Meciuri'!E81)</x:f>
      </x:c>
      <x:c r="F1061" s="2" t="str">
        <x:v>O8,5</x:v>
      </x:c>
      <x:c r="G1061" s="2" t="str">
        <x:v>OVER</x:v>
      </x:c>
      <x:c r="H1061" s="2" t="n">
        <x:v>8</x:v>
      </x:c>
      <x:c r="I1061" s="2" t="str">
        <x:f>IF(B1061="","",'Motor_Meciuri'!H81)</x:f>
      </x:c>
      <x:c r="J1061" s="2" t="str">
        <x:f>IF(B1061="","",'Motor_Meciuri'!I81)</x:f>
      </x:c>
      <x:c r="K1061" s="11" t="str">
        <x:f>IF(J1061&lt;&gt;"PASS","",'Motor_Meciuri'!BD81)</x:f>
      </x:c>
      <x:c r="L1061" s="11" t="str">
        <x:f>IF(J1061&lt;&gt;"PASS","",'Motor_Meciuri'!AU81)</x:f>
      </x:c>
      <x:c r="M1061" s="10" t="str">
        <x:f>IF(NOT(AND(J1061="PASS",'Calibrare_Linii'!U11="VALID")),"",1-'Distributie'!AF81)</x:f>
      </x:c>
      <x:c r="N1061" s="10" t="str">
        <x:f>IF(M1061="","",MAX(0.01,MIN(0.99,0.5+(M1061-0.5)*'Motor_Meciuri'!BG81*'Calibrare_Linii'!D11)))</x:f>
      </x:c>
      <x:c r="O1061" s="10" t="str">
        <x:f>IF(M1061="","",1-M1061)</x:f>
      </x:c>
      <x:c r="P1061" s="10" t="str">
        <x:f>IF(OR(NOT(AND(J1061="PASS",'Calibrare_Linii'!U11="VALID")),AK1061=0),""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*('Istoric_Nativ'!$Q$6:$Q$405&lt;=H1061))/AK1061)</x:f>
      </x:c>
      <x:c r="Q1061" s="10" t="str">
        <x:f>IF(OR(NOT(AND(J1061="PASS",'Calibrare_Linii'!U11="VALID")),AL1061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M81)+((('Istoric_Nativ'!$E$6:$E$405='Input_Meci'!E81)+('Istoric_Nativ'!$F$6:$F$405='Input_Meci'!E81))&gt;0)*('Istoric_Nativ'!$D$6:$D$405&gt;='Motor_Meciuri'!BN81))&gt;0)*('Istoric_Nativ'!$Q$6:$Q$405&lt;=H1061))/AL1061)</x:f>
      </x:c>
      <x:c r="R1061" s="10" t="str">
        <x:f>IF(OR(NOT(AND(J1061="PASS",'Calibrare_Linii'!U11="VALID")),AM1061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O81)+((('Istoric_Nativ'!$E$6:$E$405='Input_Meci'!E81)+('Istoric_Nativ'!$F$6:$F$405='Input_Meci'!E81))&gt;0)*('Istoric_Nativ'!$D$6:$D$405&gt;='Motor_Meciuri'!BP81))&gt;0)*('Istoric_Nativ'!$Q$6:$Q$405&lt;=H1061))/AM1061)</x:f>
      </x:c>
      <x:c r="S1061" s="10" t="str">
        <x:f>IF(M1061="","",MAX(O1061,P1061,Q1061,R1061))</x:f>
      </x:c>
      <x:c r="T1061" s="11" t="str">
        <x:f>IF(M1061="","",MIN(100,S1061*100*'Config_v6'!$B$44+MIN(100,L1061/'Config_v6'!$B$13*100)*'Config_v6'!$B$45+(100-'Motor_Meciuri'!BF81)*'Config_v6'!$B$46+'Motor_Meciuri'!BH81*100*'Config_v6'!$B$47))</x:f>
      </x:c>
      <x:c r="U1061" s="2" t="str">
        <x:f>IF(T1061="","",IF(T1061&lt;=20,1,IF(T1061&lt;=40,2,IF(T1061&lt;=60,3,IF(T1061&lt;=80,4,5)))))</x:f>
      </x:c>
      <x:c r="V1061" s="2" t="str">
        <x:f>IF(M1061="","",MAX(0,'Motor_Meciuri'!BF81-IF(W1061="OOS PENDING",'Config_v6'!$B$35,0)-IF(L1061&gt;'Config_v6'!$B$12,'Config_v6'!$B$37,IF(L1061&gt;'Config_v6'!$B$11,'Config_v6'!$B$36,0))))</x:f>
      </x:c>
      <x:c r="W1061" s="2" t="str">
        <x:f>IF(B1061="","",IF(I1061&lt;&gt;"READY","NOT RELEASED",IF(NOT(AND(J1061="PASS",'Calibrare_Linii'!U11="VALID")),"INVALID",IF(NOT(AND('Calibrare_Linii'!S11="VALIDATED",AND('Calibrare_Linii'!H11=C1061,ISNUMBER('Calibrare_Linii'!J11),'Calibrare_Linii'!J11&lt;='Input_Meci'!G81))),"OOS PENDING",IF(S1061&lt;='Calibrare_Linii'!E11,"PASS",IF(S1061&lt;='Calibrare_Linii'!F11,"PENALTY","WATCH"))))))</x:f>
      </x:c>
      <x:c r="X1061" s="2" t="str">
        <x:f>IF(M1061="","",IF(AND(AND(J1061="PASS",'Calibrare_Linii'!U11="VALID"),'Motor_Meciuri'!K81=12,'Motor_Meciuri'!L81=12,'Motor_Meciuri'!M81="NO",'Motor_Meciuri'!BL81='Motor_Meciuri'!C81,AB1061&gt;='Config_v6'!$B$50,AN1061&gt;='Config_v6'!$B$51,T1061&lt;='Config_v6'!$B$52,L1061&lt;='Config_v6'!$B$53,ISNUMBER('Calibrare_Linii'!E11),S1061&lt;='Calibrare_Linii'!E11,SUM(AK1061:AM1061)&gt;0),"CANDIDATE","NO"))</x:f>
      </x:c>
      <x:c r="Y1061" s="2" t="str">
        <x:f>IF(B1061="","",IF(I1061&lt;&gt;"READY","NOT RELEASED",IF(AND(X1061="CANDIDATE",V1061&gt;='Config_v6'!$B$51,W1061="PASS",'Calibrare_Linii'!T11="VALIDATED",AND('Calibrare_Linii'!H11=C1061,ISNUMBER('Calibrare_Linii'!J11),'Calibrare_Linii'!J11&lt;='Input_Meci'!G81)),"PASS",IF(X1061="CANDIDATE","OOS PENDING","FAIL"))))</x:f>
      </x:c>
      <x:c r="Z1061" s="2" t="str">
        <x:f>IF(B1061="","",IF(I1061&lt;&gt;"READY","",IF(OR(NOT(AND(J1061="PASS",'Calibrare_Linii'!U11="VALID")),L1061&gt;'Config_v6'!$B$13,W1061="WATCH"),5,IF(Y1061="PASS",1,MIN(5,MAX('Config_v6'!$B$42,U1061)+IF(W1061="PENALTY",1,0))))))</x:f>
      </x:c>
      <x:c r="AA1061" s="2" t="str">
        <x:f>IF(B1061="","",IF(I1061&lt;&gt;"READY","NOT RELEASED",IF(Z1061=5,"NO BET",IF(OR(AB1061&lt;'Config_v6'!$B$16,V1061&lt;'Config_v6'!$B$18),"WATCH",IF(Z1061=1,"DEFENSIV",IF(Z1061=2,"PRUDENT",IF(Z1061=3,"MODERAT","RIDICAT")))))))</x:f>
      </x:c>
      <x:c r="AB1061" s="10" t="str">
        <x:f>IF(N1061="","",MIN(N1061,1-S1061))</x:f>
      </x:c>
      <x:c r="AC1061" s="2" t="str">
        <x:f>IF(AD1061&lt;&gt;1,"",COUNTIFS($Z$1056:$Z$1069,"&lt;"&amp;Z1061,$AD$1056:$AD$1069,1)+COUNTIFS($Z$1056:$Z$1069,Z1061,$AB$1056:$AB$1069,"&gt;"&amp;AB1061,$AD$1056:$AD$1069,1)+COUNTIFS($Z$1056:$Z$1069,Z1061,$AB$1056:$AB$1069,AB1061,$V$1056:$V$1069,"&gt;"&amp;V1061,$AD$1056:$AD$1069,1)+COUNTIFS($Z$1056:Z1061,Z1061,$AB$1056:AB1061,AB1061,$V$1056:V1061,V1061,$AD$1056:AD1061,1))</x:f>
      </x:c>
      <x:c r="AD1061" s="2" t="n">
        <x:f>IF(OR(AA1061="DEFENSIV",AA1061="PRUDENT",AA1061="MODERAT",AA1061="RIDICAT"),1,0)</x:f>
        <x:v>0</x:v>
      </x:c>
      <x:c r="AE1061" s="2" t="str">
        <x:f>IF(AD1061&lt;&gt;1,"NO",IF(W1061="PASS","YES",IF(W1061="OOS PENDING","CONDITIONAL","NO")))</x:f>
        <x:v>NO</x:v>
      </x:c>
      <x:c r="AF1061" s="2" t="n">
        <x:f>IF(AND(AD1061=1,AC1061=1,E1061="LIVE"),1,0)</x:f>
        <x:v>0</x:v>
      </x:c>
      <x:c r="AG1061" s="2" t="str">
        <x:f>IF(AF1061&lt;&gt;1,"",'Dashboard'!P101)</x:f>
      </x:c>
      <x:c r="AH1061" s="2" t="str">
        <x:f>IF(B1061="","",IF(J1061&lt;&gt;"PASS",'Motor_Meciuri'!J81,IF('Calibrare_Linii'!U11&lt;&gt;"VALID","Parametri linie invalizi",IF(L1061&gt;'Config_v6'!$B$13,"Dispersie peste limita",IF(W1061="WATCH","Failure peste limita",IF(AB1061&lt;'Config_v6'!$B$16,"P finala sub prag",IF(V1061&lt;'Config_v6'!$B$18,"Confidence sub prag",IF(E1061="REPLAY","Exemplu retrospectiv; exclus din Top LIVE",IF(Y1061="PASS","DEFENSIV validat",IF(W1061="OOS PENDING","Eligibil; calibrare linie in monitorizare","Eligibil"))))))))))</x:f>
      </x:c>
      <x:c r="AI1061" s="2" t="str">
        <x:f>IF(B1061="","",'Calibrare_Linii'!V11)</x:f>
      </x:c>
      <x:c r="AJ1061" s="2" t="str">
        <x:f>IF(B1061="","",IF(AND('Calibrare_Linii'!T11="VALIDATED",AND('Calibrare_Linii'!H11=C1061,ISNUMBER('Calibrare_Linii'!J11),'Calibrare_Linii'!J11&lt;='Input_Meci'!G81)),"DEFENSIVE VALIDATED",IF(AND('Calibrare_Linii'!S11="VALIDATED",AND('Calibrare_Linii'!H11=C1061,ISNUMBER('Calibrare_Linii'!J11),'Calibrare_Linii'!J11&lt;='Input_Meci'!G81)),"TAIL VALIDATED","OOS PENDING")))</x:f>
      </x:c>
      <x:c r="AK1061" s="2" t="n">
        <x:f>IF(J1061&lt;&gt;"PASS",0,'Motor_Meciuri'!BR81)</x:f>
        <x:v>0</x:v>
      </x:c>
      <x:c r="AL1061" s="2" t="n">
        <x:f>IF(J1061&lt;&gt;"PASS",0,'Motor_Meciuri'!BS81)</x:f>
        <x:v>0</x:v>
      </x:c>
      <x:c r="AM1061" s="2" t="n">
        <x:f>IF(J1061&lt;&gt;"PASS",0,'Motor_Meciuri'!BT81)</x:f>
        <x:v>0</x:v>
      </x:c>
      <x:c r="AN1061" s="2" t="str">
        <x:f>IF(M1061="","",MAX(0,'Motor_Meciuri'!BF81-IF(L1061&gt;'Config_v6'!$B$12,'Config_v6'!$B$37,IF(L1061&gt;'Config_v6'!$B$11,'Config_v6'!$B$36,0))))</x:f>
      </x:c>
    </x:row>
    <x:row r="1062" ht="21" customHeight="1">
      <x:c r="A1062" s="2" t="n">
        <x:v>76</x:v>
      </x:c>
      <x:c r="B1062" s="2" t="str">
        <x:f>IF('Motor_Meciuri'!A81="","",'Motor_Meciuri'!A81)</x:f>
      </x:c>
      <x:c r="C1062" s="2" t="str">
        <x:f>IF(B1062="","",'Motor_Meciuri'!B81)</x:f>
      </x:c>
      <x:c r="D1062" s="2" t="str">
        <x:f>IF(B1062="","",'Motor_Meciuri'!D81)</x:f>
      </x:c>
      <x:c r="E1062" s="2" t="str">
        <x:f>IF(B1062="","",'Motor_Meciuri'!E81)</x:f>
      </x:c>
      <x:c r="F1062" s="2" t="str">
        <x:v>U10,5</x:v>
      </x:c>
      <x:c r="G1062" s="2" t="str">
        <x:v>UNDER</x:v>
      </x:c>
      <x:c r="H1062" s="2" t="n">
        <x:v>10</x:v>
      </x:c>
      <x:c r="I1062" s="2" t="str">
        <x:f>IF(B1062="","",'Motor_Meciuri'!H81)</x:f>
      </x:c>
      <x:c r="J1062" s="2" t="str">
        <x:f>IF(B1062="","",'Motor_Meciuri'!I81)</x:f>
      </x:c>
      <x:c r="K1062" s="11" t="str">
        <x:f>IF(J1062&lt;&gt;"PASS","",'Motor_Meciuri'!BD81)</x:f>
      </x:c>
      <x:c r="L1062" s="11" t="str">
        <x:f>IF(J1062&lt;&gt;"PASS","",'Motor_Meciuri'!AU81)</x:f>
      </x:c>
      <x:c r="M1062" s="10" t="str">
        <x:f>IF(NOT(AND(J1062="PASS",'Calibrare_Linii'!U12="VALID")),"",'Distributie'!AH81)</x:f>
      </x:c>
      <x:c r="N1062" s="10" t="str">
        <x:f>IF(M1062="","",MAX(0.01,MIN(0.99,0.5+(M1062-0.5)*'Motor_Meciuri'!BG81*'Calibrare_Linii'!D12)))</x:f>
      </x:c>
      <x:c r="O1062" s="10" t="str">
        <x:f>IF(M1062="","",1-M1062)</x:f>
      </x:c>
      <x:c r="P1062" s="10" t="str">
        <x:f>IF(OR(NOT(AND(J1062="PASS",'Calibrare_Linii'!U12="VALID")),AK1062=0),""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*('Istoric_Nativ'!$Q$6:$Q$405&gt;H1062))/AK1062)</x:f>
      </x:c>
      <x:c r="Q1062" s="10" t="str">
        <x:f>IF(OR(NOT(AND(J1062="PASS",'Calibrare_Linii'!U12="VALID")),AL1062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M81)+((('Istoric_Nativ'!$E$6:$E$405='Input_Meci'!E81)+('Istoric_Nativ'!$F$6:$F$405='Input_Meci'!E81))&gt;0)*('Istoric_Nativ'!$D$6:$D$405&gt;='Motor_Meciuri'!BN81))&gt;0)*('Istoric_Nativ'!$Q$6:$Q$405&gt;H1062))/AL1062)</x:f>
      </x:c>
      <x:c r="R1062" s="10" t="str">
        <x:f>IF(OR(NOT(AND(J1062="PASS",'Calibrare_Linii'!U12="VALID")),AM1062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O81)+((('Istoric_Nativ'!$E$6:$E$405='Input_Meci'!E81)+('Istoric_Nativ'!$F$6:$F$405='Input_Meci'!E81))&gt;0)*('Istoric_Nativ'!$D$6:$D$405&gt;='Motor_Meciuri'!BP81))&gt;0)*('Istoric_Nativ'!$Q$6:$Q$405&gt;H1062))/AM1062)</x:f>
      </x:c>
      <x:c r="S1062" s="10" t="str">
        <x:f>IF(M1062="","",MAX(O1062,P1062,Q1062,R1062))</x:f>
      </x:c>
      <x:c r="T1062" s="11" t="str">
        <x:f>IF(M1062="","",MIN(100,S1062*100*'Config_v6'!$B$44+MIN(100,L1062/'Config_v6'!$B$13*100)*'Config_v6'!$B$45+(100-'Motor_Meciuri'!BF81)*'Config_v6'!$B$46+'Motor_Meciuri'!BH81*100*'Config_v6'!$B$47))</x:f>
      </x:c>
      <x:c r="U1062" s="2" t="str">
        <x:f>IF(T1062="","",IF(T1062&lt;=20,1,IF(T1062&lt;=40,2,IF(T1062&lt;=60,3,IF(T1062&lt;=80,4,5)))))</x:f>
      </x:c>
      <x:c r="V1062" s="2" t="str">
        <x:f>IF(M1062="","",MAX(0,'Motor_Meciuri'!BF81-IF(W1062="OOS PENDING",'Config_v6'!$B$35,0)-IF(L1062&gt;'Config_v6'!$B$12,'Config_v6'!$B$37,IF(L1062&gt;'Config_v6'!$B$11,'Config_v6'!$B$36,0))))</x:f>
      </x:c>
      <x:c r="W1062" s="2" t="str">
        <x:f>IF(B1062="","",IF(I1062&lt;&gt;"READY","NOT RELEASED",IF(NOT(AND(J1062="PASS",'Calibrare_Linii'!U12="VALID")),"INVALID",IF(NOT(AND('Calibrare_Linii'!S12="VALIDATED",AND('Calibrare_Linii'!H12=C1062,ISNUMBER('Calibrare_Linii'!J12),'Calibrare_Linii'!J12&lt;='Input_Meci'!G81))),"OOS PENDING",IF(S1062&lt;='Calibrare_Linii'!E12,"PASS",IF(S1062&lt;='Calibrare_Linii'!F12,"PENALTY","WATCH"))))))</x:f>
      </x:c>
      <x:c r="X1062" s="2" t="str">
        <x:f>IF(M1062="","",IF(AND(AND(J1062="PASS",'Calibrare_Linii'!U12="VALID"),'Motor_Meciuri'!K81=12,'Motor_Meciuri'!L81=12,'Motor_Meciuri'!M81="NO",'Motor_Meciuri'!BL81='Motor_Meciuri'!C81,AB1062&gt;='Config_v6'!$B$50,AN1062&gt;='Config_v6'!$B$51,T1062&lt;='Config_v6'!$B$52,L1062&lt;='Config_v6'!$B$53,ISNUMBER('Calibrare_Linii'!E12),S1062&lt;='Calibrare_Linii'!E12,SUM(AK1062:AM1062)&gt;0),"CANDIDATE","NO"))</x:f>
      </x:c>
      <x:c r="Y1062" s="2" t="str">
        <x:f>IF(B1062="","",IF(I1062&lt;&gt;"READY","NOT RELEASED",IF(AND(X1062="CANDIDATE",V1062&gt;='Config_v6'!$B$51,W1062="PASS",'Calibrare_Linii'!T12="VALIDATED",AND('Calibrare_Linii'!H12=C1062,ISNUMBER('Calibrare_Linii'!J12),'Calibrare_Linii'!J12&lt;='Input_Meci'!G81)),"PASS",IF(X1062="CANDIDATE","OOS PENDING","FAIL"))))</x:f>
      </x:c>
      <x:c r="Z1062" s="2" t="str">
        <x:f>IF(B1062="","",IF(I1062&lt;&gt;"READY","",IF(OR(NOT(AND(J1062="PASS",'Calibrare_Linii'!U12="VALID")),L1062&gt;'Config_v6'!$B$13,W1062="WATCH"),5,IF(Y1062="PASS",1,MIN(5,MAX('Config_v6'!$B$42,U1062)+IF(W1062="PENALTY",1,0))))))</x:f>
      </x:c>
      <x:c r="AA1062" s="2" t="str">
        <x:f>IF(B1062="","",IF(I1062&lt;&gt;"READY","NOT RELEASED",IF(Z1062=5,"NO BET",IF(OR(AB1062&lt;'Config_v6'!$B$16,V1062&lt;'Config_v6'!$B$18),"WATCH",IF(Z1062=1,"DEFENSIV",IF(Z1062=2,"PRUDENT",IF(Z1062=3,"MODERAT","RIDICAT")))))))</x:f>
      </x:c>
      <x:c r="AB1062" s="10" t="str">
        <x:f>IF(N1062="","",MIN(N1062,1-S1062))</x:f>
      </x:c>
      <x:c r="AC1062" s="2" t="str">
        <x:f>IF(AD1062&lt;&gt;1,"",COUNTIFS($Z$1056:$Z$1069,"&lt;"&amp;Z1062,$AD$1056:$AD$1069,1)+COUNTIFS($Z$1056:$Z$1069,Z1062,$AB$1056:$AB$1069,"&gt;"&amp;AB1062,$AD$1056:$AD$1069,1)+COUNTIFS($Z$1056:$Z$1069,Z1062,$AB$1056:$AB$1069,AB1062,$V$1056:$V$1069,"&gt;"&amp;V1062,$AD$1056:$AD$1069,1)+COUNTIFS($Z$1056:Z1062,Z1062,$AB$1056:AB1062,AB1062,$V$1056:V1062,V1062,$AD$1056:AD1062,1))</x:f>
      </x:c>
      <x:c r="AD1062" s="2" t="n">
        <x:f>IF(OR(AA1062="DEFENSIV",AA1062="PRUDENT",AA1062="MODERAT",AA1062="RIDICAT"),1,0)</x:f>
        <x:v>0</x:v>
      </x:c>
      <x:c r="AE1062" s="2" t="str">
        <x:f>IF(AD1062&lt;&gt;1,"NO",IF(W1062="PASS","YES",IF(W1062="OOS PENDING","CONDITIONAL","NO")))</x:f>
        <x:v>NO</x:v>
      </x:c>
      <x:c r="AF1062" s="2" t="n">
        <x:f>IF(AND(AD1062=1,AC1062=1,E1062="LIVE"),1,0)</x:f>
        <x:v>0</x:v>
      </x:c>
      <x:c r="AG1062" s="2" t="str">
        <x:f>IF(AF1062&lt;&gt;1,"",'Dashboard'!P101)</x:f>
      </x:c>
      <x:c r="AH1062" s="2" t="str">
        <x:f>IF(B1062="","",IF(J1062&lt;&gt;"PASS",'Motor_Meciuri'!J81,IF('Calibrare_Linii'!U12&lt;&gt;"VALID","Parametri linie invalizi",IF(L1062&gt;'Config_v6'!$B$13,"Dispersie peste limita",IF(W1062="WATCH","Failure peste limita",IF(AB1062&lt;'Config_v6'!$B$16,"P finala sub prag",IF(V1062&lt;'Config_v6'!$B$18,"Confidence sub prag",IF(E1062="REPLAY","Exemplu retrospectiv; exclus din Top LIVE",IF(Y1062="PASS","DEFENSIV validat",IF(W1062="OOS PENDING","Eligibil; calibrare linie in monitorizare","Eligibil"))))))))))</x:f>
      </x:c>
      <x:c r="AI1062" s="2" t="str">
        <x:f>IF(B1062="","",'Calibrare_Linii'!V12)</x:f>
      </x:c>
      <x:c r="AJ1062" s="2" t="str">
        <x:f>IF(B1062="","",IF(AND('Calibrare_Linii'!T12="VALIDATED",AND('Calibrare_Linii'!H12=C1062,ISNUMBER('Calibrare_Linii'!J12),'Calibrare_Linii'!J12&lt;='Input_Meci'!G81)),"DEFENSIVE VALIDATED",IF(AND('Calibrare_Linii'!S12="VALIDATED",AND('Calibrare_Linii'!H12=C1062,ISNUMBER('Calibrare_Linii'!J12),'Calibrare_Linii'!J12&lt;='Input_Meci'!G81)),"TAIL VALIDATED","OOS PENDING")))</x:f>
      </x:c>
      <x:c r="AK1062" s="2" t="n">
        <x:f>IF(J1062&lt;&gt;"PASS",0,'Motor_Meciuri'!BR81)</x:f>
        <x:v>0</x:v>
      </x:c>
      <x:c r="AL1062" s="2" t="n">
        <x:f>IF(J1062&lt;&gt;"PASS",0,'Motor_Meciuri'!BS81)</x:f>
        <x:v>0</x:v>
      </x:c>
      <x:c r="AM1062" s="2" t="n">
        <x:f>IF(J1062&lt;&gt;"PASS",0,'Motor_Meciuri'!BT81)</x:f>
        <x:v>0</x:v>
      </x:c>
      <x:c r="AN1062" s="2" t="str">
        <x:f>IF(M1062="","",MAX(0,'Motor_Meciuri'!BF81-IF(L1062&gt;'Config_v6'!$B$12,'Config_v6'!$B$37,IF(L1062&gt;'Config_v6'!$B$11,'Config_v6'!$B$36,0))))</x:f>
      </x:c>
    </x:row>
    <x:row r="1063" ht="21" customHeight="1">
      <x:c r="A1063" s="2" t="n">
        <x:v>76</x:v>
      </x:c>
      <x:c r="B1063" s="2" t="str">
        <x:f>IF('Motor_Meciuri'!A81="","",'Motor_Meciuri'!A81)</x:f>
      </x:c>
      <x:c r="C1063" s="2" t="str">
        <x:f>IF(B1063="","",'Motor_Meciuri'!B81)</x:f>
      </x:c>
      <x:c r="D1063" s="2" t="str">
        <x:f>IF(B1063="","",'Motor_Meciuri'!D81)</x:f>
      </x:c>
      <x:c r="E1063" s="2" t="str">
        <x:f>IF(B1063="","",'Motor_Meciuri'!E81)</x:f>
      </x:c>
      <x:c r="F1063" s="2" t="str">
        <x:v>U11,5</x:v>
      </x:c>
      <x:c r="G1063" s="2" t="str">
        <x:v>UNDER</x:v>
      </x:c>
      <x:c r="H1063" s="2" t="n">
        <x:v>11</x:v>
      </x:c>
      <x:c r="I1063" s="2" t="str">
        <x:f>IF(B1063="","",'Motor_Meciuri'!H81)</x:f>
      </x:c>
      <x:c r="J1063" s="2" t="str">
        <x:f>IF(B1063="","",'Motor_Meciuri'!I81)</x:f>
      </x:c>
      <x:c r="K1063" s="11" t="str">
        <x:f>IF(J1063&lt;&gt;"PASS","",'Motor_Meciuri'!BD81)</x:f>
      </x:c>
      <x:c r="L1063" s="11" t="str">
        <x:f>IF(J1063&lt;&gt;"PASS","",'Motor_Meciuri'!AU81)</x:f>
      </x:c>
      <x:c r="M1063" s="10" t="str">
        <x:f>IF(NOT(AND(J1063="PASS",'Calibrare_Linii'!U13="VALID")),"",'Distributie'!AI81)</x:f>
      </x:c>
      <x:c r="N1063" s="10" t="str">
        <x:f>IF(M1063="","",MAX(0.01,MIN(0.99,0.5+(M1063-0.5)*'Motor_Meciuri'!BG81*'Calibrare_Linii'!D13)))</x:f>
      </x:c>
      <x:c r="O1063" s="10" t="str">
        <x:f>IF(M1063="","",1-M1063)</x:f>
      </x:c>
      <x:c r="P1063" s="10" t="str">
        <x:f>IF(OR(NOT(AND(J1063="PASS",'Calibrare_Linii'!U13="VALID")),AK1063=0),""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*('Istoric_Nativ'!$Q$6:$Q$405&gt;H1063))/AK1063)</x:f>
      </x:c>
      <x:c r="Q1063" s="10" t="str">
        <x:f>IF(OR(NOT(AND(J1063="PASS",'Calibrare_Linii'!U13="VALID")),AL1063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M81)+((('Istoric_Nativ'!$E$6:$E$405='Input_Meci'!E81)+('Istoric_Nativ'!$F$6:$F$405='Input_Meci'!E81))&gt;0)*('Istoric_Nativ'!$D$6:$D$405&gt;='Motor_Meciuri'!BN81))&gt;0)*('Istoric_Nativ'!$Q$6:$Q$405&gt;H1063))/AL1063)</x:f>
      </x:c>
      <x:c r="R1063" s="10" t="str">
        <x:f>IF(OR(NOT(AND(J1063="PASS",'Calibrare_Linii'!U13="VALID")),AM1063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O81)+((('Istoric_Nativ'!$E$6:$E$405='Input_Meci'!E81)+('Istoric_Nativ'!$F$6:$F$405='Input_Meci'!E81))&gt;0)*('Istoric_Nativ'!$D$6:$D$405&gt;='Motor_Meciuri'!BP81))&gt;0)*('Istoric_Nativ'!$Q$6:$Q$405&gt;H1063))/AM1063)</x:f>
      </x:c>
      <x:c r="S1063" s="10" t="str">
        <x:f>IF(M1063="","",MAX(O1063,P1063,Q1063,R1063))</x:f>
      </x:c>
      <x:c r="T1063" s="11" t="str">
        <x:f>IF(M1063="","",MIN(100,S1063*100*'Config_v6'!$B$44+MIN(100,L1063/'Config_v6'!$B$13*100)*'Config_v6'!$B$45+(100-'Motor_Meciuri'!BF81)*'Config_v6'!$B$46+'Motor_Meciuri'!BH81*100*'Config_v6'!$B$47))</x:f>
      </x:c>
      <x:c r="U1063" s="2" t="str">
        <x:f>IF(T1063="","",IF(T1063&lt;=20,1,IF(T1063&lt;=40,2,IF(T1063&lt;=60,3,IF(T1063&lt;=80,4,5)))))</x:f>
      </x:c>
      <x:c r="V1063" s="2" t="str">
        <x:f>IF(M1063="","",MAX(0,'Motor_Meciuri'!BF81-IF(W1063="OOS PENDING",'Config_v6'!$B$35,0)-IF(L1063&gt;'Config_v6'!$B$12,'Config_v6'!$B$37,IF(L1063&gt;'Config_v6'!$B$11,'Config_v6'!$B$36,0))))</x:f>
      </x:c>
      <x:c r="W1063" s="2" t="str">
        <x:f>IF(B1063="","",IF(I1063&lt;&gt;"READY","NOT RELEASED",IF(NOT(AND(J1063="PASS",'Calibrare_Linii'!U13="VALID")),"INVALID",IF(NOT(AND('Calibrare_Linii'!S13="VALIDATED",AND('Calibrare_Linii'!H13=C1063,ISNUMBER('Calibrare_Linii'!J13),'Calibrare_Linii'!J13&lt;='Input_Meci'!G81))),"OOS PENDING",IF(S1063&lt;='Calibrare_Linii'!E13,"PASS",IF(S1063&lt;='Calibrare_Linii'!F13,"PENALTY","WATCH"))))))</x:f>
      </x:c>
      <x:c r="X1063" s="2" t="str">
        <x:f>IF(M1063="","",IF(AND(AND(J1063="PASS",'Calibrare_Linii'!U13="VALID"),'Motor_Meciuri'!K81=12,'Motor_Meciuri'!L81=12,'Motor_Meciuri'!M81="NO",'Motor_Meciuri'!BL81='Motor_Meciuri'!C81,AB1063&gt;='Config_v6'!$B$50,AN1063&gt;='Config_v6'!$B$51,T1063&lt;='Config_v6'!$B$52,L1063&lt;='Config_v6'!$B$53,ISNUMBER('Calibrare_Linii'!E13),S1063&lt;='Calibrare_Linii'!E13,SUM(AK1063:AM1063)&gt;0),"CANDIDATE","NO"))</x:f>
      </x:c>
      <x:c r="Y1063" s="2" t="str">
        <x:f>IF(B1063="","",IF(I1063&lt;&gt;"READY","NOT RELEASED",IF(AND(X1063="CANDIDATE",V1063&gt;='Config_v6'!$B$51,W1063="PASS",'Calibrare_Linii'!T13="VALIDATED",AND('Calibrare_Linii'!H13=C1063,ISNUMBER('Calibrare_Linii'!J13),'Calibrare_Linii'!J13&lt;='Input_Meci'!G81)),"PASS",IF(X1063="CANDIDATE","OOS PENDING","FAIL"))))</x:f>
      </x:c>
      <x:c r="Z1063" s="2" t="str">
        <x:f>IF(B1063="","",IF(I1063&lt;&gt;"READY","",IF(OR(NOT(AND(J1063="PASS",'Calibrare_Linii'!U13="VALID")),L1063&gt;'Config_v6'!$B$13,W1063="WATCH"),5,IF(Y1063="PASS",1,MIN(5,MAX('Config_v6'!$B$42,U1063)+IF(W1063="PENALTY",1,0))))))</x:f>
      </x:c>
      <x:c r="AA1063" s="2" t="str">
        <x:f>IF(B1063="","",IF(I1063&lt;&gt;"READY","NOT RELEASED",IF(Z1063=5,"NO BET",IF(OR(AB1063&lt;'Config_v6'!$B$16,V1063&lt;'Config_v6'!$B$18),"WATCH",IF(Z1063=1,"DEFENSIV",IF(Z1063=2,"PRUDENT",IF(Z1063=3,"MODERAT","RIDICAT")))))))</x:f>
      </x:c>
      <x:c r="AB1063" s="10" t="str">
        <x:f>IF(N1063="","",MIN(N1063,1-S1063))</x:f>
      </x:c>
      <x:c r="AC1063" s="2" t="str">
        <x:f>IF(AD1063&lt;&gt;1,"",COUNTIFS($Z$1056:$Z$1069,"&lt;"&amp;Z1063,$AD$1056:$AD$1069,1)+COUNTIFS($Z$1056:$Z$1069,Z1063,$AB$1056:$AB$1069,"&gt;"&amp;AB1063,$AD$1056:$AD$1069,1)+COUNTIFS($Z$1056:$Z$1069,Z1063,$AB$1056:$AB$1069,AB1063,$V$1056:$V$1069,"&gt;"&amp;V1063,$AD$1056:$AD$1069,1)+COUNTIFS($Z$1056:Z1063,Z1063,$AB$1056:AB1063,AB1063,$V$1056:V1063,V1063,$AD$1056:AD1063,1))</x:f>
      </x:c>
      <x:c r="AD1063" s="2" t="n">
        <x:f>IF(OR(AA1063="DEFENSIV",AA1063="PRUDENT",AA1063="MODERAT",AA1063="RIDICAT"),1,0)</x:f>
        <x:v>0</x:v>
      </x:c>
      <x:c r="AE1063" s="2" t="str">
        <x:f>IF(AD1063&lt;&gt;1,"NO",IF(W1063="PASS","YES",IF(W1063="OOS PENDING","CONDITIONAL","NO")))</x:f>
        <x:v>NO</x:v>
      </x:c>
      <x:c r="AF1063" s="2" t="n">
        <x:f>IF(AND(AD1063=1,AC1063=1,E1063="LIVE"),1,0)</x:f>
        <x:v>0</x:v>
      </x:c>
      <x:c r="AG1063" s="2" t="str">
        <x:f>IF(AF1063&lt;&gt;1,"",'Dashboard'!P101)</x:f>
      </x:c>
      <x:c r="AH1063" s="2" t="str">
        <x:f>IF(B1063="","",IF(J1063&lt;&gt;"PASS",'Motor_Meciuri'!J81,IF('Calibrare_Linii'!U13&lt;&gt;"VALID","Parametri linie invalizi",IF(L1063&gt;'Config_v6'!$B$13,"Dispersie peste limita",IF(W1063="WATCH","Failure peste limita",IF(AB1063&lt;'Config_v6'!$B$16,"P finala sub prag",IF(V1063&lt;'Config_v6'!$B$18,"Confidence sub prag",IF(E1063="REPLAY","Exemplu retrospectiv; exclus din Top LIVE",IF(Y1063="PASS","DEFENSIV validat",IF(W1063="OOS PENDING","Eligibil; calibrare linie in monitorizare","Eligibil"))))))))))</x:f>
      </x:c>
      <x:c r="AI1063" s="2" t="str">
        <x:f>IF(B1063="","",'Calibrare_Linii'!V13)</x:f>
      </x:c>
      <x:c r="AJ1063" s="2" t="str">
        <x:f>IF(B1063="","",IF(AND('Calibrare_Linii'!T13="VALIDATED",AND('Calibrare_Linii'!H13=C1063,ISNUMBER('Calibrare_Linii'!J13),'Calibrare_Linii'!J13&lt;='Input_Meci'!G81)),"DEFENSIVE VALIDATED",IF(AND('Calibrare_Linii'!S13="VALIDATED",AND('Calibrare_Linii'!H13=C1063,ISNUMBER('Calibrare_Linii'!J13),'Calibrare_Linii'!J13&lt;='Input_Meci'!G81)),"TAIL VALIDATED","OOS PENDING")))</x:f>
      </x:c>
      <x:c r="AK1063" s="2" t="n">
        <x:f>IF(J1063&lt;&gt;"PASS",0,'Motor_Meciuri'!BR81)</x:f>
        <x:v>0</x:v>
      </x:c>
      <x:c r="AL1063" s="2" t="n">
        <x:f>IF(J1063&lt;&gt;"PASS",0,'Motor_Meciuri'!BS81)</x:f>
        <x:v>0</x:v>
      </x:c>
      <x:c r="AM1063" s="2" t="n">
        <x:f>IF(J1063&lt;&gt;"PASS",0,'Motor_Meciuri'!BT81)</x:f>
        <x:v>0</x:v>
      </x:c>
      <x:c r="AN1063" s="2" t="str">
        <x:f>IF(M1063="","",MAX(0,'Motor_Meciuri'!BF81-IF(L1063&gt;'Config_v6'!$B$12,'Config_v6'!$B$37,IF(L1063&gt;'Config_v6'!$B$11,'Config_v6'!$B$36,0))))</x:f>
      </x:c>
    </x:row>
    <x:row r="1064" ht="21" customHeight="1">
      <x:c r="A1064" s="2" t="n">
        <x:v>76</x:v>
      </x:c>
      <x:c r="B1064" s="2" t="str">
        <x:f>IF('Motor_Meciuri'!A81="","",'Motor_Meciuri'!A81)</x:f>
      </x:c>
      <x:c r="C1064" s="2" t="str">
        <x:f>IF(B1064="","",'Motor_Meciuri'!B81)</x:f>
      </x:c>
      <x:c r="D1064" s="2" t="str">
        <x:f>IF(B1064="","",'Motor_Meciuri'!D81)</x:f>
      </x:c>
      <x:c r="E1064" s="2" t="str">
        <x:f>IF(B1064="","",'Motor_Meciuri'!E81)</x:f>
      </x:c>
      <x:c r="F1064" s="2" t="str">
        <x:v>U12,5</x:v>
      </x:c>
      <x:c r="G1064" s="2" t="str">
        <x:v>UNDER</x:v>
      </x:c>
      <x:c r="H1064" s="2" t="n">
        <x:v>12</x:v>
      </x:c>
      <x:c r="I1064" s="2" t="str">
        <x:f>IF(B1064="","",'Motor_Meciuri'!H81)</x:f>
      </x:c>
      <x:c r="J1064" s="2" t="str">
        <x:f>IF(B1064="","",'Motor_Meciuri'!I81)</x:f>
      </x:c>
      <x:c r="K1064" s="11" t="str">
        <x:f>IF(J1064&lt;&gt;"PASS","",'Motor_Meciuri'!BD81)</x:f>
      </x:c>
      <x:c r="L1064" s="11" t="str">
        <x:f>IF(J1064&lt;&gt;"PASS","",'Motor_Meciuri'!AU81)</x:f>
      </x:c>
      <x:c r="M1064" s="10" t="str">
        <x:f>IF(NOT(AND(J1064="PASS",'Calibrare_Linii'!U14="VALID")),"",'Distributie'!AJ81)</x:f>
      </x:c>
      <x:c r="N1064" s="10" t="str">
        <x:f>IF(M1064="","",MAX(0.01,MIN(0.99,0.5+(M1064-0.5)*'Motor_Meciuri'!BG81*'Calibrare_Linii'!D14)))</x:f>
      </x:c>
      <x:c r="O1064" s="10" t="str">
        <x:f>IF(M1064="","",1-M1064)</x:f>
      </x:c>
      <x:c r="P1064" s="10" t="str">
        <x:f>IF(OR(NOT(AND(J1064="PASS",'Calibrare_Linii'!U14="VALID")),AK1064=0),""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*('Istoric_Nativ'!$Q$6:$Q$405&gt;H1064))/AK1064)</x:f>
      </x:c>
      <x:c r="Q1064" s="10" t="str">
        <x:f>IF(OR(NOT(AND(J1064="PASS",'Calibrare_Linii'!U14="VALID")),AL1064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M81)+((('Istoric_Nativ'!$E$6:$E$405='Input_Meci'!E81)+('Istoric_Nativ'!$F$6:$F$405='Input_Meci'!E81))&gt;0)*('Istoric_Nativ'!$D$6:$D$405&gt;='Motor_Meciuri'!BN81))&gt;0)*('Istoric_Nativ'!$Q$6:$Q$405&gt;H1064))/AL1064)</x:f>
      </x:c>
      <x:c r="R1064" s="10" t="str">
        <x:f>IF(OR(NOT(AND(J1064="PASS",'Calibrare_Linii'!U14="VALID")),AM1064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O81)+((('Istoric_Nativ'!$E$6:$E$405='Input_Meci'!E81)+('Istoric_Nativ'!$F$6:$F$405='Input_Meci'!E81))&gt;0)*('Istoric_Nativ'!$D$6:$D$405&gt;='Motor_Meciuri'!BP81))&gt;0)*('Istoric_Nativ'!$Q$6:$Q$405&gt;H1064))/AM1064)</x:f>
      </x:c>
      <x:c r="S1064" s="10" t="str">
        <x:f>IF(M1064="","",MAX(O1064,P1064,Q1064,R1064))</x:f>
      </x:c>
      <x:c r="T1064" s="11" t="str">
        <x:f>IF(M1064="","",MIN(100,S1064*100*'Config_v6'!$B$44+MIN(100,L1064/'Config_v6'!$B$13*100)*'Config_v6'!$B$45+(100-'Motor_Meciuri'!BF81)*'Config_v6'!$B$46+'Motor_Meciuri'!BH81*100*'Config_v6'!$B$47))</x:f>
      </x:c>
      <x:c r="U1064" s="2" t="str">
        <x:f>IF(T1064="","",IF(T1064&lt;=20,1,IF(T1064&lt;=40,2,IF(T1064&lt;=60,3,IF(T1064&lt;=80,4,5)))))</x:f>
      </x:c>
      <x:c r="V1064" s="2" t="str">
        <x:f>IF(M1064="","",MAX(0,'Motor_Meciuri'!BF81-IF(W1064="OOS PENDING",'Config_v6'!$B$35,0)-IF(L1064&gt;'Config_v6'!$B$12,'Config_v6'!$B$37,IF(L1064&gt;'Config_v6'!$B$11,'Config_v6'!$B$36,0))))</x:f>
      </x:c>
      <x:c r="W1064" s="2" t="str">
        <x:f>IF(B1064="","",IF(I1064&lt;&gt;"READY","NOT RELEASED",IF(NOT(AND(J1064="PASS",'Calibrare_Linii'!U14="VALID")),"INVALID",IF(NOT(AND('Calibrare_Linii'!S14="VALIDATED",AND('Calibrare_Linii'!H14=C1064,ISNUMBER('Calibrare_Linii'!J14),'Calibrare_Linii'!J14&lt;='Input_Meci'!G81))),"OOS PENDING",IF(S1064&lt;='Calibrare_Linii'!E14,"PASS",IF(S1064&lt;='Calibrare_Linii'!F14,"PENALTY","WATCH"))))))</x:f>
      </x:c>
      <x:c r="X1064" s="2" t="str">
        <x:f>IF(M1064="","",IF(AND(AND(J1064="PASS",'Calibrare_Linii'!U14="VALID"),'Motor_Meciuri'!K81=12,'Motor_Meciuri'!L81=12,'Motor_Meciuri'!M81="NO",'Motor_Meciuri'!BL81='Motor_Meciuri'!C81,AB1064&gt;='Config_v6'!$B$50,AN1064&gt;='Config_v6'!$B$51,T1064&lt;='Config_v6'!$B$52,L1064&lt;='Config_v6'!$B$53,ISNUMBER('Calibrare_Linii'!E14),S1064&lt;='Calibrare_Linii'!E14,SUM(AK1064:AM1064)&gt;0),"CANDIDATE","NO"))</x:f>
      </x:c>
      <x:c r="Y1064" s="2" t="str">
        <x:f>IF(B1064="","",IF(I1064&lt;&gt;"READY","NOT RELEASED",IF(AND(X1064="CANDIDATE",V1064&gt;='Config_v6'!$B$51,W1064="PASS",'Calibrare_Linii'!T14="VALIDATED",AND('Calibrare_Linii'!H14=C1064,ISNUMBER('Calibrare_Linii'!J14),'Calibrare_Linii'!J14&lt;='Input_Meci'!G81)),"PASS",IF(X1064="CANDIDATE","OOS PENDING","FAIL"))))</x:f>
      </x:c>
      <x:c r="Z1064" s="2" t="str">
        <x:f>IF(B1064="","",IF(I1064&lt;&gt;"READY","",IF(OR(NOT(AND(J1064="PASS",'Calibrare_Linii'!U14="VALID")),L1064&gt;'Config_v6'!$B$13,W1064="WATCH"),5,IF(Y1064="PASS",1,MIN(5,MAX('Config_v6'!$B$42,U1064)+IF(W1064="PENALTY",1,0))))))</x:f>
      </x:c>
      <x:c r="AA1064" s="2" t="str">
        <x:f>IF(B1064="","",IF(I1064&lt;&gt;"READY","NOT RELEASED",IF(Z1064=5,"NO BET",IF(OR(AB1064&lt;'Config_v6'!$B$16,V1064&lt;'Config_v6'!$B$18),"WATCH",IF(Z1064=1,"DEFENSIV",IF(Z1064=2,"PRUDENT",IF(Z1064=3,"MODERAT","RIDICAT")))))))</x:f>
      </x:c>
      <x:c r="AB1064" s="10" t="str">
        <x:f>IF(N1064="","",MIN(N1064,1-S1064))</x:f>
      </x:c>
      <x:c r="AC1064" s="2" t="str">
        <x:f>IF(AD1064&lt;&gt;1,"",COUNTIFS($Z$1056:$Z$1069,"&lt;"&amp;Z1064,$AD$1056:$AD$1069,1)+COUNTIFS($Z$1056:$Z$1069,Z1064,$AB$1056:$AB$1069,"&gt;"&amp;AB1064,$AD$1056:$AD$1069,1)+COUNTIFS($Z$1056:$Z$1069,Z1064,$AB$1056:$AB$1069,AB1064,$V$1056:$V$1069,"&gt;"&amp;V1064,$AD$1056:$AD$1069,1)+COUNTIFS($Z$1056:Z1064,Z1064,$AB$1056:AB1064,AB1064,$V$1056:V1064,V1064,$AD$1056:AD1064,1))</x:f>
      </x:c>
      <x:c r="AD1064" s="2" t="n">
        <x:f>IF(OR(AA1064="DEFENSIV",AA1064="PRUDENT",AA1064="MODERAT",AA1064="RIDICAT"),1,0)</x:f>
        <x:v>0</x:v>
      </x:c>
      <x:c r="AE1064" s="2" t="str">
        <x:f>IF(AD1064&lt;&gt;1,"NO",IF(W1064="PASS","YES",IF(W1064="OOS PENDING","CONDITIONAL","NO")))</x:f>
        <x:v>NO</x:v>
      </x:c>
      <x:c r="AF1064" s="2" t="n">
        <x:f>IF(AND(AD1064=1,AC1064=1,E1064="LIVE"),1,0)</x:f>
        <x:v>0</x:v>
      </x:c>
      <x:c r="AG1064" s="2" t="str">
        <x:f>IF(AF1064&lt;&gt;1,"",'Dashboard'!P101)</x:f>
      </x:c>
      <x:c r="AH1064" s="2" t="str">
        <x:f>IF(B1064="","",IF(J1064&lt;&gt;"PASS",'Motor_Meciuri'!J81,IF('Calibrare_Linii'!U14&lt;&gt;"VALID","Parametri linie invalizi",IF(L1064&gt;'Config_v6'!$B$13,"Dispersie peste limita",IF(W1064="WATCH","Failure peste limita",IF(AB1064&lt;'Config_v6'!$B$16,"P finala sub prag",IF(V1064&lt;'Config_v6'!$B$18,"Confidence sub prag",IF(E1064="REPLAY","Exemplu retrospectiv; exclus din Top LIVE",IF(Y1064="PASS","DEFENSIV validat",IF(W1064="OOS PENDING","Eligibil; calibrare linie in monitorizare","Eligibil"))))))))))</x:f>
      </x:c>
      <x:c r="AI1064" s="2" t="str">
        <x:f>IF(B1064="","",'Calibrare_Linii'!V14)</x:f>
      </x:c>
      <x:c r="AJ1064" s="2" t="str">
        <x:f>IF(B1064="","",IF(AND('Calibrare_Linii'!T14="VALIDATED",AND('Calibrare_Linii'!H14=C1064,ISNUMBER('Calibrare_Linii'!J14),'Calibrare_Linii'!J14&lt;='Input_Meci'!G81)),"DEFENSIVE VALIDATED",IF(AND('Calibrare_Linii'!S14="VALIDATED",AND('Calibrare_Linii'!H14=C1064,ISNUMBER('Calibrare_Linii'!J14),'Calibrare_Linii'!J14&lt;='Input_Meci'!G81)),"TAIL VALIDATED","OOS PENDING")))</x:f>
      </x:c>
      <x:c r="AK1064" s="2" t="n">
        <x:f>IF(J1064&lt;&gt;"PASS",0,'Motor_Meciuri'!BR81)</x:f>
        <x:v>0</x:v>
      </x:c>
      <x:c r="AL1064" s="2" t="n">
        <x:f>IF(J1064&lt;&gt;"PASS",0,'Motor_Meciuri'!BS81)</x:f>
        <x:v>0</x:v>
      </x:c>
      <x:c r="AM1064" s="2" t="n">
        <x:f>IF(J1064&lt;&gt;"PASS",0,'Motor_Meciuri'!BT81)</x:f>
        <x:v>0</x:v>
      </x:c>
      <x:c r="AN1064" s="2" t="str">
        <x:f>IF(M1064="","",MAX(0,'Motor_Meciuri'!BF81-IF(L1064&gt;'Config_v6'!$B$12,'Config_v6'!$B$37,IF(L1064&gt;'Config_v6'!$B$11,'Config_v6'!$B$36,0))))</x:f>
      </x:c>
    </x:row>
    <x:row r="1065" ht="21" customHeight="1">
      <x:c r="A1065" s="2" t="n">
        <x:v>76</x:v>
      </x:c>
      <x:c r="B1065" s="2" t="str">
        <x:f>IF('Motor_Meciuri'!A81="","",'Motor_Meciuri'!A81)</x:f>
      </x:c>
      <x:c r="C1065" s="2" t="str">
        <x:f>IF(B1065="","",'Motor_Meciuri'!B81)</x:f>
      </x:c>
      <x:c r="D1065" s="2" t="str">
        <x:f>IF(B1065="","",'Motor_Meciuri'!D81)</x:f>
      </x:c>
      <x:c r="E1065" s="2" t="str">
        <x:f>IF(B1065="","",'Motor_Meciuri'!E81)</x:f>
      </x:c>
      <x:c r="F1065" s="2" t="str">
        <x:v>U13,5</x:v>
      </x:c>
      <x:c r="G1065" s="2" t="str">
        <x:v>UNDER</x:v>
      </x:c>
      <x:c r="H1065" s="2" t="n">
        <x:v>13</x:v>
      </x:c>
      <x:c r="I1065" s="2" t="str">
        <x:f>IF(B1065="","",'Motor_Meciuri'!H81)</x:f>
      </x:c>
      <x:c r="J1065" s="2" t="str">
        <x:f>IF(B1065="","",'Motor_Meciuri'!I81)</x:f>
      </x:c>
      <x:c r="K1065" s="11" t="str">
        <x:f>IF(J1065&lt;&gt;"PASS","",'Motor_Meciuri'!BD81)</x:f>
      </x:c>
      <x:c r="L1065" s="11" t="str">
        <x:f>IF(J1065&lt;&gt;"PASS","",'Motor_Meciuri'!AU81)</x:f>
      </x:c>
      <x:c r="M1065" s="10" t="str">
        <x:f>IF(NOT(AND(J1065="PASS",'Calibrare_Linii'!U15="VALID")),"",'Distributie'!AK81)</x:f>
      </x:c>
      <x:c r="N1065" s="10" t="str">
        <x:f>IF(M1065="","",MAX(0.01,MIN(0.99,0.5+(M1065-0.5)*'Motor_Meciuri'!BG81*'Calibrare_Linii'!D15)))</x:f>
      </x:c>
      <x:c r="O1065" s="10" t="str">
        <x:f>IF(M1065="","",1-M1065)</x:f>
      </x:c>
      <x:c r="P1065" s="10" t="str">
        <x:f>IF(OR(NOT(AND(J1065="PASS",'Calibrare_Linii'!U15="VALID")),AK1065=0),""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*('Istoric_Nativ'!$Q$6:$Q$405&gt;H1065))/AK1065)</x:f>
      </x:c>
      <x:c r="Q1065" s="10" t="str">
        <x:f>IF(OR(NOT(AND(J1065="PASS",'Calibrare_Linii'!U15="VALID")),AL1065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M81)+((('Istoric_Nativ'!$E$6:$E$405='Input_Meci'!E81)+('Istoric_Nativ'!$F$6:$F$405='Input_Meci'!E81))&gt;0)*('Istoric_Nativ'!$D$6:$D$405&gt;='Motor_Meciuri'!BN81))&gt;0)*('Istoric_Nativ'!$Q$6:$Q$405&gt;H1065))/AL1065)</x:f>
      </x:c>
      <x:c r="R1065" s="10" t="str">
        <x:f>IF(OR(NOT(AND(J1065="PASS",'Calibrare_Linii'!U15="VALID")),AM1065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O81)+((('Istoric_Nativ'!$E$6:$E$405='Input_Meci'!E81)+('Istoric_Nativ'!$F$6:$F$405='Input_Meci'!E81))&gt;0)*('Istoric_Nativ'!$D$6:$D$405&gt;='Motor_Meciuri'!BP81))&gt;0)*('Istoric_Nativ'!$Q$6:$Q$405&gt;H1065))/AM1065)</x:f>
      </x:c>
      <x:c r="S1065" s="10" t="str">
        <x:f>IF(M1065="","",MAX(O1065,P1065,Q1065,R1065))</x:f>
      </x:c>
      <x:c r="T1065" s="11" t="str">
        <x:f>IF(M1065="","",MIN(100,S1065*100*'Config_v6'!$B$44+MIN(100,L1065/'Config_v6'!$B$13*100)*'Config_v6'!$B$45+(100-'Motor_Meciuri'!BF81)*'Config_v6'!$B$46+'Motor_Meciuri'!BH81*100*'Config_v6'!$B$47))</x:f>
      </x:c>
      <x:c r="U1065" s="2" t="str">
        <x:f>IF(T1065="","",IF(T1065&lt;=20,1,IF(T1065&lt;=40,2,IF(T1065&lt;=60,3,IF(T1065&lt;=80,4,5)))))</x:f>
      </x:c>
      <x:c r="V1065" s="2" t="str">
        <x:f>IF(M1065="","",MAX(0,'Motor_Meciuri'!BF81-IF(W1065="OOS PENDING",'Config_v6'!$B$35,0)-IF(L1065&gt;'Config_v6'!$B$12,'Config_v6'!$B$37,IF(L1065&gt;'Config_v6'!$B$11,'Config_v6'!$B$36,0))))</x:f>
      </x:c>
      <x:c r="W1065" s="2" t="str">
        <x:f>IF(B1065="","",IF(I1065&lt;&gt;"READY","NOT RELEASED",IF(NOT(AND(J1065="PASS",'Calibrare_Linii'!U15="VALID")),"INVALID",IF(NOT(AND('Calibrare_Linii'!S15="VALIDATED",AND('Calibrare_Linii'!H15=C1065,ISNUMBER('Calibrare_Linii'!J15),'Calibrare_Linii'!J15&lt;='Input_Meci'!G81))),"OOS PENDING",IF(S1065&lt;='Calibrare_Linii'!E15,"PASS",IF(S1065&lt;='Calibrare_Linii'!F15,"PENALTY","WATCH"))))))</x:f>
      </x:c>
      <x:c r="X1065" s="2" t="str">
        <x:f>IF(M1065="","",IF(AND(AND(J1065="PASS",'Calibrare_Linii'!U15="VALID"),'Motor_Meciuri'!K81=12,'Motor_Meciuri'!L81=12,'Motor_Meciuri'!M81="NO",'Motor_Meciuri'!BL81='Motor_Meciuri'!C81,AB1065&gt;='Config_v6'!$B$50,AN1065&gt;='Config_v6'!$B$51,T1065&lt;='Config_v6'!$B$52,L1065&lt;='Config_v6'!$B$53,ISNUMBER('Calibrare_Linii'!E15),S1065&lt;='Calibrare_Linii'!E15,SUM(AK1065:AM1065)&gt;0),"CANDIDATE","NO"))</x:f>
      </x:c>
      <x:c r="Y1065" s="2" t="str">
        <x:f>IF(B1065="","",IF(I1065&lt;&gt;"READY","NOT RELEASED",IF(AND(X1065="CANDIDATE",V1065&gt;='Config_v6'!$B$51,W1065="PASS",'Calibrare_Linii'!T15="VALIDATED",AND('Calibrare_Linii'!H15=C1065,ISNUMBER('Calibrare_Linii'!J15),'Calibrare_Linii'!J15&lt;='Input_Meci'!G81)),"PASS",IF(X1065="CANDIDATE","OOS PENDING","FAIL"))))</x:f>
      </x:c>
      <x:c r="Z1065" s="2" t="str">
        <x:f>IF(B1065="","",IF(I1065&lt;&gt;"READY","",IF(OR(NOT(AND(J1065="PASS",'Calibrare_Linii'!U15="VALID")),L1065&gt;'Config_v6'!$B$13,W1065="WATCH"),5,IF(Y1065="PASS",1,MIN(5,MAX('Config_v6'!$B$42,U1065)+IF(W1065="PENALTY",1,0))))))</x:f>
      </x:c>
      <x:c r="AA1065" s="2" t="str">
        <x:f>IF(B1065="","",IF(I1065&lt;&gt;"READY","NOT RELEASED",IF(Z1065=5,"NO BET",IF(OR(AB1065&lt;'Config_v6'!$B$16,V1065&lt;'Config_v6'!$B$18),"WATCH",IF(Z1065=1,"DEFENSIV",IF(Z1065=2,"PRUDENT",IF(Z1065=3,"MODERAT","RIDICAT")))))))</x:f>
      </x:c>
      <x:c r="AB1065" s="10" t="str">
        <x:f>IF(N1065="","",MIN(N1065,1-S1065))</x:f>
      </x:c>
      <x:c r="AC1065" s="2" t="str">
        <x:f>IF(AD1065&lt;&gt;1,"",COUNTIFS($Z$1056:$Z$1069,"&lt;"&amp;Z1065,$AD$1056:$AD$1069,1)+COUNTIFS($Z$1056:$Z$1069,Z1065,$AB$1056:$AB$1069,"&gt;"&amp;AB1065,$AD$1056:$AD$1069,1)+COUNTIFS($Z$1056:$Z$1069,Z1065,$AB$1056:$AB$1069,AB1065,$V$1056:$V$1069,"&gt;"&amp;V1065,$AD$1056:$AD$1069,1)+COUNTIFS($Z$1056:Z1065,Z1065,$AB$1056:AB1065,AB1065,$V$1056:V1065,V1065,$AD$1056:AD1065,1))</x:f>
      </x:c>
      <x:c r="AD1065" s="2" t="n">
        <x:f>IF(OR(AA1065="DEFENSIV",AA1065="PRUDENT",AA1065="MODERAT",AA1065="RIDICAT"),1,0)</x:f>
        <x:v>0</x:v>
      </x:c>
      <x:c r="AE1065" s="2" t="str">
        <x:f>IF(AD1065&lt;&gt;1,"NO",IF(W1065="PASS","YES",IF(W1065="OOS PENDING","CONDITIONAL","NO")))</x:f>
        <x:v>NO</x:v>
      </x:c>
      <x:c r="AF1065" s="2" t="n">
        <x:f>IF(AND(AD1065=1,AC1065=1,E1065="LIVE"),1,0)</x:f>
        <x:v>0</x:v>
      </x:c>
      <x:c r="AG1065" s="2" t="str">
        <x:f>IF(AF1065&lt;&gt;1,"",'Dashboard'!P101)</x:f>
      </x:c>
      <x:c r="AH1065" s="2" t="str">
        <x:f>IF(B1065="","",IF(J1065&lt;&gt;"PASS",'Motor_Meciuri'!J81,IF('Calibrare_Linii'!U15&lt;&gt;"VALID","Parametri linie invalizi",IF(L1065&gt;'Config_v6'!$B$13,"Dispersie peste limita",IF(W1065="WATCH","Failure peste limita",IF(AB1065&lt;'Config_v6'!$B$16,"P finala sub prag",IF(V1065&lt;'Config_v6'!$B$18,"Confidence sub prag",IF(E1065="REPLAY","Exemplu retrospectiv; exclus din Top LIVE",IF(Y1065="PASS","DEFENSIV validat",IF(W1065="OOS PENDING","Eligibil; calibrare linie in monitorizare","Eligibil"))))))))))</x:f>
      </x:c>
      <x:c r="AI1065" s="2" t="str">
        <x:f>IF(B1065="","",'Calibrare_Linii'!V15)</x:f>
      </x:c>
      <x:c r="AJ1065" s="2" t="str">
        <x:f>IF(B1065="","",IF(AND('Calibrare_Linii'!T15="VALIDATED",AND('Calibrare_Linii'!H15=C1065,ISNUMBER('Calibrare_Linii'!J15),'Calibrare_Linii'!J15&lt;='Input_Meci'!G81)),"DEFENSIVE VALIDATED",IF(AND('Calibrare_Linii'!S15="VALIDATED",AND('Calibrare_Linii'!H15=C1065,ISNUMBER('Calibrare_Linii'!J15),'Calibrare_Linii'!J15&lt;='Input_Meci'!G81)),"TAIL VALIDATED","OOS PENDING")))</x:f>
      </x:c>
      <x:c r="AK1065" s="2" t="n">
        <x:f>IF(J1065&lt;&gt;"PASS",0,'Motor_Meciuri'!BR81)</x:f>
        <x:v>0</x:v>
      </x:c>
      <x:c r="AL1065" s="2" t="n">
        <x:f>IF(J1065&lt;&gt;"PASS",0,'Motor_Meciuri'!BS81)</x:f>
        <x:v>0</x:v>
      </x:c>
      <x:c r="AM1065" s="2" t="n">
        <x:f>IF(J1065&lt;&gt;"PASS",0,'Motor_Meciuri'!BT81)</x:f>
        <x:v>0</x:v>
      </x:c>
      <x:c r="AN1065" s="2" t="str">
        <x:f>IF(M1065="","",MAX(0,'Motor_Meciuri'!BF81-IF(L1065&gt;'Config_v6'!$B$12,'Config_v6'!$B$37,IF(L1065&gt;'Config_v6'!$B$11,'Config_v6'!$B$36,0))))</x:f>
      </x:c>
    </x:row>
    <x:row r="1066" ht="21" customHeight="1">
      <x:c r="A1066" s="2" t="n">
        <x:v>76</x:v>
      </x:c>
      <x:c r="B1066" s="2" t="str">
        <x:f>IF('Motor_Meciuri'!A81="","",'Motor_Meciuri'!A81)</x:f>
      </x:c>
      <x:c r="C1066" s="2" t="str">
        <x:f>IF(B1066="","",'Motor_Meciuri'!B81)</x:f>
      </x:c>
      <x:c r="D1066" s="2" t="str">
        <x:f>IF(B1066="","",'Motor_Meciuri'!D81)</x:f>
      </x:c>
      <x:c r="E1066" s="2" t="str">
        <x:f>IF(B1066="","",'Motor_Meciuri'!E81)</x:f>
      </x:c>
      <x:c r="F1066" s="2" t="str">
        <x:v>U14,5</x:v>
      </x:c>
      <x:c r="G1066" s="2" t="str">
        <x:v>UNDER</x:v>
      </x:c>
      <x:c r="H1066" s="2" t="n">
        <x:v>14</x:v>
      </x:c>
      <x:c r="I1066" s="2" t="str">
        <x:f>IF(B1066="","",'Motor_Meciuri'!H81)</x:f>
      </x:c>
      <x:c r="J1066" s="2" t="str">
        <x:f>IF(B1066="","",'Motor_Meciuri'!I81)</x:f>
      </x:c>
      <x:c r="K1066" s="11" t="str">
        <x:f>IF(J1066&lt;&gt;"PASS","",'Motor_Meciuri'!BD81)</x:f>
      </x:c>
      <x:c r="L1066" s="11" t="str">
        <x:f>IF(J1066&lt;&gt;"PASS","",'Motor_Meciuri'!AU81)</x:f>
      </x:c>
      <x:c r="M1066" s="10" t="str">
        <x:f>IF(NOT(AND(J1066="PASS",'Calibrare_Linii'!U16="VALID")),"",'Distributie'!AL81)</x:f>
      </x:c>
      <x:c r="N1066" s="10" t="str">
        <x:f>IF(M1066="","",MAX(0.01,MIN(0.99,0.5+(M1066-0.5)*'Motor_Meciuri'!BG81*'Calibrare_Linii'!D16)))</x:f>
      </x:c>
      <x:c r="O1066" s="10" t="str">
        <x:f>IF(M1066="","",1-M1066)</x:f>
      </x:c>
      <x:c r="P1066" s="10" t="str">
        <x:f>IF(OR(NOT(AND(J1066="PASS",'Calibrare_Linii'!U16="VALID")),AK1066=0),""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*('Istoric_Nativ'!$Q$6:$Q$405&gt;H1066))/AK1066)</x:f>
      </x:c>
      <x:c r="Q1066" s="10" t="str">
        <x:f>IF(OR(NOT(AND(J1066="PASS",'Calibrare_Linii'!U16="VALID")),AL1066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M81)+((('Istoric_Nativ'!$E$6:$E$405='Input_Meci'!E81)+('Istoric_Nativ'!$F$6:$F$405='Input_Meci'!E81))&gt;0)*('Istoric_Nativ'!$D$6:$D$405&gt;='Motor_Meciuri'!BN81))&gt;0)*('Istoric_Nativ'!$Q$6:$Q$405&gt;H1066))/AL1066)</x:f>
      </x:c>
      <x:c r="R1066" s="10" t="str">
        <x:f>IF(OR(NOT(AND(J1066="PASS",'Calibrare_Linii'!U16="VALID")),AM1066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O81)+((('Istoric_Nativ'!$E$6:$E$405='Input_Meci'!E81)+('Istoric_Nativ'!$F$6:$F$405='Input_Meci'!E81))&gt;0)*('Istoric_Nativ'!$D$6:$D$405&gt;='Motor_Meciuri'!BP81))&gt;0)*('Istoric_Nativ'!$Q$6:$Q$405&gt;H1066))/AM1066)</x:f>
      </x:c>
      <x:c r="S1066" s="10" t="str">
        <x:f>IF(M1066="","",MAX(O1066,P1066,Q1066,R1066))</x:f>
      </x:c>
      <x:c r="T1066" s="11" t="str">
        <x:f>IF(M1066="","",MIN(100,S1066*100*'Config_v6'!$B$44+MIN(100,L1066/'Config_v6'!$B$13*100)*'Config_v6'!$B$45+(100-'Motor_Meciuri'!BF81)*'Config_v6'!$B$46+'Motor_Meciuri'!BH81*100*'Config_v6'!$B$47))</x:f>
      </x:c>
      <x:c r="U1066" s="2" t="str">
        <x:f>IF(T1066="","",IF(T1066&lt;=20,1,IF(T1066&lt;=40,2,IF(T1066&lt;=60,3,IF(T1066&lt;=80,4,5)))))</x:f>
      </x:c>
      <x:c r="V1066" s="2" t="str">
        <x:f>IF(M1066="","",MAX(0,'Motor_Meciuri'!BF81-IF(W1066="OOS PENDING",'Config_v6'!$B$35,0)-IF(L1066&gt;'Config_v6'!$B$12,'Config_v6'!$B$37,IF(L1066&gt;'Config_v6'!$B$11,'Config_v6'!$B$36,0))))</x:f>
      </x:c>
      <x:c r="W1066" s="2" t="str">
        <x:f>IF(B1066="","",IF(I1066&lt;&gt;"READY","NOT RELEASED",IF(NOT(AND(J1066="PASS",'Calibrare_Linii'!U16="VALID")),"INVALID",IF(NOT(AND('Calibrare_Linii'!S16="VALIDATED",AND('Calibrare_Linii'!H16=C1066,ISNUMBER('Calibrare_Linii'!J16),'Calibrare_Linii'!J16&lt;='Input_Meci'!G81))),"OOS PENDING",IF(S1066&lt;='Calibrare_Linii'!E16,"PASS",IF(S1066&lt;='Calibrare_Linii'!F16,"PENALTY","WATCH"))))))</x:f>
      </x:c>
      <x:c r="X1066" s="2" t="str">
        <x:f>IF(M1066="","",IF(AND(AND(J1066="PASS",'Calibrare_Linii'!U16="VALID"),'Motor_Meciuri'!K81=12,'Motor_Meciuri'!L81=12,'Motor_Meciuri'!M81="NO",'Motor_Meciuri'!BL81='Motor_Meciuri'!C81,AB1066&gt;='Config_v6'!$B$50,AN1066&gt;='Config_v6'!$B$51,T1066&lt;='Config_v6'!$B$52,L1066&lt;='Config_v6'!$B$53,ISNUMBER('Calibrare_Linii'!E16),S1066&lt;='Calibrare_Linii'!E16,SUM(AK1066:AM1066)&gt;0),"CANDIDATE","NO"))</x:f>
      </x:c>
      <x:c r="Y1066" s="2" t="str">
        <x:f>IF(B1066="","",IF(I1066&lt;&gt;"READY","NOT RELEASED",IF(AND(X1066="CANDIDATE",V1066&gt;='Config_v6'!$B$51,W1066="PASS",'Calibrare_Linii'!T16="VALIDATED",AND('Calibrare_Linii'!H16=C1066,ISNUMBER('Calibrare_Linii'!J16),'Calibrare_Linii'!J16&lt;='Input_Meci'!G81)),"PASS",IF(X1066="CANDIDATE","OOS PENDING","FAIL"))))</x:f>
      </x:c>
      <x:c r="Z1066" s="2" t="str">
        <x:f>IF(B1066="","",IF(I1066&lt;&gt;"READY","",IF(OR(NOT(AND(J1066="PASS",'Calibrare_Linii'!U16="VALID")),L1066&gt;'Config_v6'!$B$13,W1066="WATCH"),5,IF(Y1066="PASS",1,MIN(5,MAX('Config_v6'!$B$42,U1066)+IF(W1066="PENALTY",1,0))))))</x:f>
      </x:c>
      <x:c r="AA1066" s="2" t="str">
        <x:f>IF(B1066="","",IF(I1066&lt;&gt;"READY","NOT RELEASED",IF(Z1066=5,"NO BET",IF(OR(AB1066&lt;'Config_v6'!$B$16,V1066&lt;'Config_v6'!$B$18),"WATCH",IF(Z1066=1,"DEFENSIV",IF(Z1066=2,"PRUDENT",IF(Z1066=3,"MODERAT","RIDICAT")))))))</x:f>
      </x:c>
      <x:c r="AB1066" s="10" t="str">
        <x:f>IF(N1066="","",MIN(N1066,1-S1066))</x:f>
      </x:c>
      <x:c r="AC1066" s="2" t="str">
        <x:f>IF(AD1066&lt;&gt;1,"",COUNTIFS($Z$1056:$Z$1069,"&lt;"&amp;Z1066,$AD$1056:$AD$1069,1)+COUNTIFS($Z$1056:$Z$1069,Z1066,$AB$1056:$AB$1069,"&gt;"&amp;AB1066,$AD$1056:$AD$1069,1)+COUNTIFS($Z$1056:$Z$1069,Z1066,$AB$1056:$AB$1069,AB1066,$V$1056:$V$1069,"&gt;"&amp;V1066,$AD$1056:$AD$1069,1)+COUNTIFS($Z$1056:Z1066,Z1066,$AB$1056:AB1066,AB1066,$V$1056:V1066,V1066,$AD$1056:AD1066,1))</x:f>
      </x:c>
      <x:c r="AD1066" s="2" t="n">
        <x:f>IF(OR(AA1066="DEFENSIV",AA1066="PRUDENT",AA1066="MODERAT",AA1066="RIDICAT"),1,0)</x:f>
        <x:v>0</x:v>
      </x:c>
      <x:c r="AE1066" s="2" t="str">
        <x:f>IF(AD1066&lt;&gt;1,"NO",IF(W1066="PASS","YES",IF(W1066="OOS PENDING","CONDITIONAL","NO")))</x:f>
        <x:v>NO</x:v>
      </x:c>
      <x:c r="AF1066" s="2" t="n">
        <x:f>IF(AND(AD1066=1,AC1066=1,E1066="LIVE"),1,0)</x:f>
        <x:v>0</x:v>
      </x:c>
      <x:c r="AG1066" s="2" t="str">
        <x:f>IF(AF1066&lt;&gt;1,"",'Dashboard'!P101)</x:f>
      </x:c>
      <x:c r="AH1066" s="2" t="str">
        <x:f>IF(B1066="","",IF(J1066&lt;&gt;"PASS",'Motor_Meciuri'!J81,IF('Calibrare_Linii'!U16&lt;&gt;"VALID","Parametri linie invalizi",IF(L1066&gt;'Config_v6'!$B$13,"Dispersie peste limita",IF(W1066="WATCH","Failure peste limita",IF(AB1066&lt;'Config_v6'!$B$16,"P finala sub prag",IF(V1066&lt;'Config_v6'!$B$18,"Confidence sub prag",IF(E1066="REPLAY","Exemplu retrospectiv; exclus din Top LIVE",IF(Y1066="PASS","DEFENSIV validat",IF(W1066="OOS PENDING","Eligibil; calibrare linie in monitorizare","Eligibil"))))))))))</x:f>
      </x:c>
      <x:c r="AI1066" s="2" t="str">
        <x:f>IF(B1066="","",'Calibrare_Linii'!V16)</x:f>
      </x:c>
      <x:c r="AJ1066" s="2" t="str">
        <x:f>IF(B1066="","",IF(AND('Calibrare_Linii'!T16="VALIDATED",AND('Calibrare_Linii'!H16=C1066,ISNUMBER('Calibrare_Linii'!J16),'Calibrare_Linii'!J16&lt;='Input_Meci'!G81)),"DEFENSIVE VALIDATED",IF(AND('Calibrare_Linii'!S16="VALIDATED",AND('Calibrare_Linii'!H16=C1066,ISNUMBER('Calibrare_Linii'!J16),'Calibrare_Linii'!J16&lt;='Input_Meci'!G81)),"TAIL VALIDATED","OOS PENDING")))</x:f>
      </x:c>
      <x:c r="AK1066" s="2" t="n">
        <x:f>IF(J1066&lt;&gt;"PASS",0,'Motor_Meciuri'!BR81)</x:f>
        <x:v>0</x:v>
      </x:c>
      <x:c r="AL1066" s="2" t="n">
        <x:f>IF(J1066&lt;&gt;"PASS",0,'Motor_Meciuri'!BS81)</x:f>
        <x:v>0</x:v>
      </x:c>
      <x:c r="AM1066" s="2" t="n">
        <x:f>IF(J1066&lt;&gt;"PASS",0,'Motor_Meciuri'!BT81)</x:f>
        <x:v>0</x:v>
      </x:c>
      <x:c r="AN1066" s="2" t="str">
        <x:f>IF(M1066="","",MAX(0,'Motor_Meciuri'!BF81-IF(L1066&gt;'Config_v6'!$B$12,'Config_v6'!$B$37,IF(L1066&gt;'Config_v6'!$B$11,'Config_v6'!$B$36,0))))</x:f>
      </x:c>
    </x:row>
    <x:row r="1067" ht="21" customHeight="1">
      <x:c r="A1067" s="2" t="n">
        <x:v>76</x:v>
      </x:c>
      <x:c r="B1067" s="2" t="str">
        <x:f>IF('Motor_Meciuri'!A81="","",'Motor_Meciuri'!A81)</x:f>
      </x:c>
      <x:c r="C1067" s="2" t="str">
        <x:f>IF(B1067="","",'Motor_Meciuri'!B81)</x:f>
      </x:c>
      <x:c r="D1067" s="2" t="str">
        <x:f>IF(B1067="","",'Motor_Meciuri'!D81)</x:f>
      </x:c>
      <x:c r="E1067" s="2" t="str">
        <x:f>IF(B1067="","",'Motor_Meciuri'!E81)</x:f>
      </x:c>
      <x:c r="F1067" s="2" t="str">
        <x:v>U15,5</x:v>
      </x:c>
      <x:c r="G1067" s="2" t="str">
        <x:v>UNDER</x:v>
      </x:c>
      <x:c r="H1067" s="2" t="n">
        <x:v>15</x:v>
      </x:c>
      <x:c r="I1067" s="2" t="str">
        <x:f>IF(B1067="","",'Motor_Meciuri'!H81)</x:f>
      </x:c>
      <x:c r="J1067" s="2" t="str">
        <x:f>IF(B1067="","",'Motor_Meciuri'!I81)</x:f>
      </x:c>
      <x:c r="K1067" s="11" t="str">
        <x:f>IF(J1067&lt;&gt;"PASS","",'Motor_Meciuri'!BD81)</x:f>
      </x:c>
      <x:c r="L1067" s="11" t="str">
        <x:f>IF(J1067&lt;&gt;"PASS","",'Motor_Meciuri'!AU81)</x:f>
      </x:c>
      <x:c r="M1067" s="10" t="str">
        <x:f>IF(NOT(AND(J1067="PASS",'Calibrare_Linii'!U17="VALID")),"",'Distributie'!AM81)</x:f>
      </x:c>
      <x:c r="N1067" s="10" t="str">
        <x:f>IF(M1067="","",MAX(0.01,MIN(0.99,0.5+(M1067-0.5)*'Motor_Meciuri'!BG81*'Calibrare_Linii'!D17)))</x:f>
      </x:c>
      <x:c r="O1067" s="10" t="str">
        <x:f>IF(M1067="","",1-M1067)</x:f>
      </x:c>
      <x:c r="P1067" s="10" t="str">
        <x:f>IF(OR(NOT(AND(J1067="PASS",'Calibrare_Linii'!U17="VALID")),AK1067=0),""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*('Istoric_Nativ'!$Q$6:$Q$405&gt;H1067))/AK1067)</x:f>
      </x:c>
      <x:c r="Q1067" s="10" t="str">
        <x:f>IF(OR(NOT(AND(J1067="PASS",'Calibrare_Linii'!U17="VALID")),AL1067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M81)+((('Istoric_Nativ'!$E$6:$E$405='Input_Meci'!E81)+('Istoric_Nativ'!$F$6:$F$405='Input_Meci'!E81))&gt;0)*('Istoric_Nativ'!$D$6:$D$405&gt;='Motor_Meciuri'!BN81))&gt;0)*('Istoric_Nativ'!$Q$6:$Q$405&gt;H1067))/AL1067)</x:f>
      </x:c>
      <x:c r="R1067" s="10" t="str">
        <x:f>IF(OR(NOT(AND(J1067="PASS",'Calibrare_Linii'!U17="VALID")),AM1067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O81)+((('Istoric_Nativ'!$E$6:$E$405='Input_Meci'!E81)+('Istoric_Nativ'!$F$6:$F$405='Input_Meci'!E81))&gt;0)*('Istoric_Nativ'!$D$6:$D$405&gt;='Motor_Meciuri'!BP81))&gt;0)*('Istoric_Nativ'!$Q$6:$Q$405&gt;H1067))/AM1067)</x:f>
      </x:c>
      <x:c r="S1067" s="10" t="str">
        <x:f>IF(M1067="","",MAX(O1067,P1067,Q1067,R1067))</x:f>
      </x:c>
      <x:c r="T1067" s="11" t="str">
        <x:f>IF(M1067="","",MIN(100,S1067*100*'Config_v6'!$B$44+MIN(100,L1067/'Config_v6'!$B$13*100)*'Config_v6'!$B$45+(100-'Motor_Meciuri'!BF81)*'Config_v6'!$B$46+'Motor_Meciuri'!BH81*100*'Config_v6'!$B$47))</x:f>
      </x:c>
      <x:c r="U1067" s="2" t="str">
        <x:f>IF(T1067="","",IF(T1067&lt;=20,1,IF(T1067&lt;=40,2,IF(T1067&lt;=60,3,IF(T1067&lt;=80,4,5)))))</x:f>
      </x:c>
      <x:c r="V1067" s="2" t="str">
        <x:f>IF(M1067="","",MAX(0,'Motor_Meciuri'!BF81-IF(W1067="OOS PENDING",'Config_v6'!$B$35,0)-IF(L1067&gt;'Config_v6'!$B$12,'Config_v6'!$B$37,IF(L1067&gt;'Config_v6'!$B$11,'Config_v6'!$B$36,0))))</x:f>
      </x:c>
      <x:c r="W1067" s="2" t="str">
        <x:f>IF(B1067="","",IF(I1067&lt;&gt;"READY","NOT RELEASED",IF(NOT(AND(J1067="PASS",'Calibrare_Linii'!U17="VALID")),"INVALID",IF(NOT(AND('Calibrare_Linii'!S17="VALIDATED",AND('Calibrare_Linii'!H17=C1067,ISNUMBER('Calibrare_Linii'!J17),'Calibrare_Linii'!J17&lt;='Input_Meci'!G81))),"OOS PENDING",IF(S1067&lt;='Calibrare_Linii'!E17,"PASS",IF(S1067&lt;='Calibrare_Linii'!F17,"PENALTY","WATCH"))))))</x:f>
      </x:c>
      <x:c r="X1067" s="2" t="str">
        <x:f>IF(M1067="","",IF(AND(AND(J1067="PASS",'Calibrare_Linii'!U17="VALID"),'Motor_Meciuri'!K81=12,'Motor_Meciuri'!L81=12,'Motor_Meciuri'!M81="NO",'Motor_Meciuri'!BL81='Motor_Meciuri'!C81,AB1067&gt;='Config_v6'!$B$50,AN1067&gt;='Config_v6'!$B$51,T1067&lt;='Config_v6'!$B$52,L1067&lt;='Config_v6'!$B$53,ISNUMBER('Calibrare_Linii'!E17),S1067&lt;='Calibrare_Linii'!E17,SUM(AK1067:AM1067)&gt;0),"CANDIDATE","NO"))</x:f>
      </x:c>
      <x:c r="Y1067" s="2" t="str">
        <x:f>IF(B1067="","",IF(I1067&lt;&gt;"READY","NOT RELEASED",IF(AND(X1067="CANDIDATE",V1067&gt;='Config_v6'!$B$51,W1067="PASS",'Calibrare_Linii'!T17="VALIDATED",AND('Calibrare_Linii'!H17=C1067,ISNUMBER('Calibrare_Linii'!J17),'Calibrare_Linii'!J17&lt;='Input_Meci'!G81)),"PASS",IF(X1067="CANDIDATE","OOS PENDING","FAIL"))))</x:f>
      </x:c>
      <x:c r="Z1067" s="2" t="str">
        <x:f>IF(B1067="","",IF(I1067&lt;&gt;"READY","",IF(OR(NOT(AND(J1067="PASS",'Calibrare_Linii'!U17="VALID")),L1067&gt;'Config_v6'!$B$13,W1067="WATCH"),5,IF(Y1067="PASS",1,MIN(5,MAX('Config_v6'!$B$42,U1067)+IF(W1067="PENALTY",1,0))))))</x:f>
      </x:c>
      <x:c r="AA1067" s="2" t="str">
        <x:f>IF(B1067="","",IF(I1067&lt;&gt;"READY","NOT RELEASED",IF(Z1067=5,"NO BET",IF(OR(AB1067&lt;'Config_v6'!$B$16,V1067&lt;'Config_v6'!$B$18),"WATCH",IF(Z1067=1,"DEFENSIV",IF(Z1067=2,"PRUDENT",IF(Z1067=3,"MODERAT","RIDICAT")))))))</x:f>
      </x:c>
      <x:c r="AB1067" s="10" t="str">
        <x:f>IF(N1067="","",MIN(N1067,1-S1067))</x:f>
      </x:c>
      <x:c r="AC1067" s="2" t="str">
        <x:f>IF(AD1067&lt;&gt;1,"",COUNTIFS($Z$1056:$Z$1069,"&lt;"&amp;Z1067,$AD$1056:$AD$1069,1)+COUNTIFS($Z$1056:$Z$1069,Z1067,$AB$1056:$AB$1069,"&gt;"&amp;AB1067,$AD$1056:$AD$1069,1)+COUNTIFS($Z$1056:$Z$1069,Z1067,$AB$1056:$AB$1069,AB1067,$V$1056:$V$1069,"&gt;"&amp;V1067,$AD$1056:$AD$1069,1)+COUNTIFS($Z$1056:Z1067,Z1067,$AB$1056:AB1067,AB1067,$V$1056:V1067,V1067,$AD$1056:AD1067,1))</x:f>
      </x:c>
      <x:c r="AD1067" s="2" t="n">
        <x:f>IF(OR(AA1067="DEFENSIV",AA1067="PRUDENT",AA1067="MODERAT",AA1067="RIDICAT"),1,0)</x:f>
        <x:v>0</x:v>
      </x:c>
      <x:c r="AE1067" s="2" t="str">
        <x:f>IF(AD1067&lt;&gt;1,"NO",IF(W1067="PASS","YES",IF(W1067="OOS PENDING","CONDITIONAL","NO")))</x:f>
        <x:v>NO</x:v>
      </x:c>
      <x:c r="AF1067" s="2" t="n">
        <x:f>IF(AND(AD1067=1,AC1067=1,E1067="LIVE"),1,0)</x:f>
        <x:v>0</x:v>
      </x:c>
      <x:c r="AG1067" s="2" t="str">
        <x:f>IF(AF1067&lt;&gt;1,"",'Dashboard'!P101)</x:f>
      </x:c>
      <x:c r="AH1067" s="2" t="str">
        <x:f>IF(B1067="","",IF(J1067&lt;&gt;"PASS",'Motor_Meciuri'!J81,IF('Calibrare_Linii'!U17&lt;&gt;"VALID","Parametri linie invalizi",IF(L1067&gt;'Config_v6'!$B$13,"Dispersie peste limita",IF(W1067="WATCH","Failure peste limita",IF(AB1067&lt;'Config_v6'!$B$16,"P finala sub prag",IF(V1067&lt;'Config_v6'!$B$18,"Confidence sub prag",IF(E1067="REPLAY","Exemplu retrospectiv; exclus din Top LIVE",IF(Y1067="PASS","DEFENSIV validat",IF(W1067="OOS PENDING","Eligibil; calibrare linie in monitorizare","Eligibil"))))))))))</x:f>
      </x:c>
      <x:c r="AI1067" s="2" t="str">
        <x:f>IF(B1067="","",'Calibrare_Linii'!V17)</x:f>
      </x:c>
      <x:c r="AJ1067" s="2" t="str">
        <x:f>IF(B1067="","",IF(AND('Calibrare_Linii'!T17="VALIDATED",AND('Calibrare_Linii'!H17=C1067,ISNUMBER('Calibrare_Linii'!J17),'Calibrare_Linii'!J17&lt;='Input_Meci'!G81)),"DEFENSIVE VALIDATED",IF(AND('Calibrare_Linii'!S17="VALIDATED",AND('Calibrare_Linii'!H17=C1067,ISNUMBER('Calibrare_Linii'!J17),'Calibrare_Linii'!J17&lt;='Input_Meci'!G81)),"TAIL VALIDATED","OOS PENDING")))</x:f>
      </x:c>
      <x:c r="AK1067" s="2" t="n">
        <x:f>IF(J1067&lt;&gt;"PASS",0,'Motor_Meciuri'!BR81)</x:f>
        <x:v>0</x:v>
      </x:c>
      <x:c r="AL1067" s="2" t="n">
        <x:f>IF(J1067&lt;&gt;"PASS",0,'Motor_Meciuri'!BS81)</x:f>
        <x:v>0</x:v>
      </x:c>
      <x:c r="AM1067" s="2" t="n">
        <x:f>IF(J1067&lt;&gt;"PASS",0,'Motor_Meciuri'!BT81)</x:f>
        <x:v>0</x:v>
      </x:c>
      <x:c r="AN1067" s="2" t="str">
        <x:f>IF(M1067="","",MAX(0,'Motor_Meciuri'!BF81-IF(L1067&gt;'Config_v6'!$B$12,'Config_v6'!$B$37,IF(L1067&gt;'Config_v6'!$B$11,'Config_v6'!$B$36,0))))</x:f>
      </x:c>
    </x:row>
    <x:row r="1068" ht="21" customHeight="1">
      <x:c r="A1068" s="2" t="n">
        <x:v>76</x:v>
      </x:c>
      <x:c r="B1068" s="2" t="str">
        <x:f>IF('Motor_Meciuri'!A81="","",'Motor_Meciuri'!A81)</x:f>
      </x:c>
      <x:c r="C1068" s="2" t="str">
        <x:f>IF(B1068="","",'Motor_Meciuri'!B81)</x:f>
      </x:c>
      <x:c r="D1068" s="2" t="str">
        <x:f>IF(B1068="","",'Motor_Meciuri'!D81)</x:f>
      </x:c>
      <x:c r="E1068" s="2" t="str">
        <x:f>IF(B1068="","",'Motor_Meciuri'!E81)</x:f>
      </x:c>
      <x:c r="F1068" s="2" t="str">
        <x:v>U16,5</x:v>
      </x:c>
      <x:c r="G1068" s="2" t="str">
        <x:v>UNDER</x:v>
      </x:c>
      <x:c r="H1068" s="2" t="n">
        <x:v>16</x:v>
      </x:c>
      <x:c r="I1068" s="2" t="str">
        <x:f>IF(B1068="","",'Motor_Meciuri'!H81)</x:f>
      </x:c>
      <x:c r="J1068" s="2" t="str">
        <x:f>IF(B1068="","",'Motor_Meciuri'!I81)</x:f>
      </x:c>
      <x:c r="K1068" s="11" t="str">
        <x:f>IF(J1068&lt;&gt;"PASS","",'Motor_Meciuri'!BD81)</x:f>
      </x:c>
      <x:c r="L1068" s="11" t="str">
        <x:f>IF(J1068&lt;&gt;"PASS","",'Motor_Meciuri'!AU81)</x:f>
      </x:c>
      <x:c r="M1068" s="10" t="str">
        <x:f>IF(NOT(AND(J1068="PASS",'Calibrare_Linii'!U18="VALID")),"",'Distributie'!AN81)</x:f>
      </x:c>
      <x:c r="N1068" s="10" t="str">
        <x:f>IF(M1068="","",MAX(0.01,MIN(0.99,0.5+(M1068-0.5)*'Motor_Meciuri'!BG81*'Calibrare_Linii'!D18)))</x:f>
      </x:c>
      <x:c r="O1068" s="10" t="str">
        <x:f>IF(M1068="","",1-M1068)</x:f>
      </x:c>
      <x:c r="P1068" s="10" t="str">
        <x:f>IF(OR(NOT(AND(J1068="PASS",'Calibrare_Linii'!U18="VALID")),AK1068=0),""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*('Istoric_Nativ'!$Q$6:$Q$405&gt;H1068))/AK1068)</x:f>
      </x:c>
      <x:c r="Q1068" s="10" t="str">
        <x:f>IF(OR(NOT(AND(J1068="PASS",'Calibrare_Linii'!U18="VALID")),AL1068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M81)+((('Istoric_Nativ'!$E$6:$E$405='Input_Meci'!E81)+('Istoric_Nativ'!$F$6:$F$405='Input_Meci'!E81))&gt;0)*('Istoric_Nativ'!$D$6:$D$405&gt;='Motor_Meciuri'!BN81))&gt;0)*('Istoric_Nativ'!$Q$6:$Q$405&gt;H1068))/AL1068)</x:f>
      </x:c>
      <x:c r="R1068" s="10" t="str">
        <x:f>IF(OR(NOT(AND(J1068="PASS",'Calibrare_Linii'!U18="VALID")),AM1068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O81)+((('Istoric_Nativ'!$E$6:$E$405='Input_Meci'!E81)+('Istoric_Nativ'!$F$6:$F$405='Input_Meci'!E81))&gt;0)*('Istoric_Nativ'!$D$6:$D$405&gt;='Motor_Meciuri'!BP81))&gt;0)*('Istoric_Nativ'!$Q$6:$Q$405&gt;H1068))/AM1068)</x:f>
      </x:c>
      <x:c r="S1068" s="10" t="str">
        <x:f>IF(M1068="","",MAX(O1068,P1068,Q1068,R1068))</x:f>
      </x:c>
      <x:c r="T1068" s="11" t="str">
        <x:f>IF(M1068="","",MIN(100,S1068*100*'Config_v6'!$B$44+MIN(100,L1068/'Config_v6'!$B$13*100)*'Config_v6'!$B$45+(100-'Motor_Meciuri'!BF81)*'Config_v6'!$B$46+'Motor_Meciuri'!BH81*100*'Config_v6'!$B$47))</x:f>
      </x:c>
      <x:c r="U1068" s="2" t="str">
        <x:f>IF(T1068="","",IF(T1068&lt;=20,1,IF(T1068&lt;=40,2,IF(T1068&lt;=60,3,IF(T1068&lt;=80,4,5)))))</x:f>
      </x:c>
      <x:c r="V1068" s="2" t="str">
        <x:f>IF(M1068="","",MAX(0,'Motor_Meciuri'!BF81-IF(W1068="OOS PENDING",'Config_v6'!$B$35,0)-IF(L1068&gt;'Config_v6'!$B$12,'Config_v6'!$B$37,IF(L1068&gt;'Config_v6'!$B$11,'Config_v6'!$B$36,0))))</x:f>
      </x:c>
      <x:c r="W1068" s="2" t="str">
        <x:f>IF(B1068="","",IF(I1068&lt;&gt;"READY","NOT RELEASED",IF(NOT(AND(J1068="PASS",'Calibrare_Linii'!U18="VALID")),"INVALID",IF(NOT(AND('Calibrare_Linii'!S18="VALIDATED",AND('Calibrare_Linii'!H18=C1068,ISNUMBER('Calibrare_Linii'!J18),'Calibrare_Linii'!J18&lt;='Input_Meci'!G81))),"OOS PENDING",IF(S1068&lt;='Calibrare_Linii'!E18,"PASS",IF(S1068&lt;='Calibrare_Linii'!F18,"PENALTY","WATCH"))))))</x:f>
      </x:c>
      <x:c r="X1068" s="2" t="str">
        <x:f>IF(M1068="","",IF(AND(AND(J1068="PASS",'Calibrare_Linii'!U18="VALID"),'Motor_Meciuri'!K81=12,'Motor_Meciuri'!L81=12,'Motor_Meciuri'!M81="NO",'Motor_Meciuri'!BL81='Motor_Meciuri'!C81,AB1068&gt;='Config_v6'!$B$50,AN1068&gt;='Config_v6'!$B$51,T1068&lt;='Config_v6'!$B$52,L1068&lt;='Config_v6'!$B$53,ISNUMBER('Calibrare_Linii'!E18),S1068&lt;='Calibrare_Linii'!E18,SUM(AK1068:AM1068)&gt;0),"CANDIDATE","NO"))</x:f>
      </x:c>
      <x:c r="Y1068" s="2" t="str">
        <x:f>IF(B1068="","",IF(I1068&lt;&gt;"READY","NOT RELEASED",IF(AND(X1068="CANDIDATE",V1068&gt;='Config_v6'!$B$51,W1068="PASS",'Calibrare_Linii'!T18="VALIDATED",AND('Calibrare_Linii'!H18=C1068,ISNUMBER('Calibrare_Linii'!J18),'Calibrare_Linii'!J18&lt;='Input_Meci'!G81)),"PASS",IF(X1068="CANDIDATE","OOS PENDING","FAIL"))))</x:f>
      </x:c>
      <x:c r="Z1068" s="2" t="str">
        <x:f>IF(B1068="","",IF(I1068&lt;&gt;"READY","",IF(OR(NOT(AND(J1068="PASS",'Calibrare_Linii'!U18="VALID")),L1068&gt;'Config_v6'!$B$13,W1068="WATCH"),5,IF(Y1068="PASS",1,MIN(5,MAX('Config_v6'!$B$42,U1068)+IF(W1068="PENALTY",1,0))))))</x:f>
      </x:c>
      <x:c r="AA1068" s="2" t="str">
        <x:f>IF(B1068="","",IF(I1068&lt;&gt;"READY","NOT RELEASED",IF(Z1068=5,"NO BET",IF(OR(AB1068&lt;'Config_v6'!$B$16,V1068&lt;'Config_v6'!$B$18),"WATCH",IF(Z1068=1,"DEFENSIV",IF(Z1068=2,"PRUDENT",IF(Z1068=3,"MODERAT","RIDICAT")))))))</x:f>
      </x:c>
      <x:c r="AB1068" s="10" t="str">
        <x:f>IF(N1068="","",MIN(N1068,1-S1068))</x:f>
      </x:c>
      <x:c r="AC1068" s="2" t="str">
        <x:f>IF(AD1068&lt;&gt;1,"",COUNTIFS($Z$1056:$Z$1069,"&lt;"&amp;Z1068,$AD$1056:$AD$1069,1)+COUNTIFS($Z$1056:$Z$1069,Z1068,$AB$1056:$AB$1069,"&gt;"&amp;AB1068,$AD$1056:$AD$1069,1)+COUNTIFS($Z$1056:$Z$1069,Z1068,$AB$1056:$AB$1069,AB1068,$V$1056:$V$1069,"&gt;"&amp;V1068,$AD$1056:$AD$1069,1)+COUNTIFS($Z$1056:Z1068,Z1068,$AB$1056:AB1068,AB1068,$V$1056:V1068,V1068,$AD$1056:AD1068,1))</x:f>
      </x:c>
      <x:c r="AD1068" s="2" t="n">
        <x:f>IF(OR(AA1068="DEFENSIV",AA1068="PRUDENT",AA1068="MODERAT",AA1068="RIDICAT"),1,0)</x:f>
        <x:v>0</x:v>
      </x:c>
      <x:c r="AE1068" s="2" t="str">
        <x:f>IF(AD1068&lt;&gt;1,"NO",IF(W1068="PASS","YES",IF(W1068="OOS PENDING","CONDITIONAL","NO")))</x:f>
        <x:v>NO</x:v>
      </x:c>
      <x:c r="AF1068" s="2" t="n">
        <x:f>IF(AND(AD1068=1,AC1068=1,E1068="LIVE"),1,0)</x:f>
        <x:v>0</x:v>
      </x:c>
      <x:c r="AG1068" s="2" t="str">
        <x:f>IF(AF1068&lt;&gt;1,"",'Dashboard'!P101)</x:f>
      </x:c>
      <x:c r="AH1068" s="2" t="str">
        <x:f>IF(B1068="","",IF(J1068&lt;&gt;"PASS",'Motor_Meciuri'!J81,IF('Calibrare_Linii'!U18&lt;&gt;"VALID","Parametri linie invalizi",IF(L1068&gt;'Config_v6'!$B$13,"Dispersie peste limita",IF(W1068="WATCH","Failure peste limita",IF(AB1068&lt;'Config_v6'!$B$16,"P finala sub prag",IF(V1068&lt;'Config_v6'!$B$18,"Confidence sub prag",IF(E1068="REPLAY","Exemplu retrospectiv; exclus din Top LIVE",IF(Y1068="PASS","DEFENSIV validat",IF(W1068="OOS PENDING","Eligibil; calibrare linie in monitorizare","Eligibil"))))))))))</x:f>
      </x:c>
      <x:c r="AI1068" s="2" t="str">
        <x:f>IF(B1068="","",'Calibrare_Linii'!V18)</x:f>
      </x:c>
      <x:c r="AJ1068" s="2" t="str">
        <x:f>IF(B1068="","",IF(AND('Calibrare_Linii'!T18="VALIDATED",AND('Calibrare_Linii'!H18=C1068,ISNUMBER('Calibrare_Linii'!J18),'Calibrare_Linii'!J18&lt;='Input_Meci'!G81)),"DEFENSIVE VALIDATED",IF(AND('Calibrare_Linii'!S18="VALIDATED",AND('Calibrare_Linii'!H18=C1068,ISNUMBER('Calibrare_Linii'!J18),'Calibrare_Linii'!J18&lt;='Input_Meci'!G81)),"TAIL VALIDATED","OOS PENDING")))</x:f>
      </x:c>
      <x:c r="AK1068" s="2" t="n">
        <x:f>IF(J1068&lt;&gt;"PASS",0,'Motor_Meciuri'!BR81)</x:f>
        <x:v>0</x:v>
      </x:c>
      <x:c r="AL1068" s="2" t="n">
        <x:f>IF(J1068&lt;&gt;"PASS",0,'Motor_Meciuri'!BS81)</x:f>
        <x:v>0</x:v>
      </x:c>
      <x:c r="AM1068" s="2" t="n">
        <x:f>IF(J1068&lt;&gt;"PASS",0,'Motor_Meciuri'!BT81)</x:f>
        <x:v>0</x:v>
      </x:c>
      <x:c r="AN1068" s="2" t="str">
        <x:f>IF(M1068="","",MAX(0,'Motor_Meciuri'!BF81-IF(L1068&gt;'Config_v6'!$B$12,'Config_v6'!$B$37,IF(L1068&gt;'Config_v6'!$B$11,'Config_v6'!$B$36,0))))</x:f>
      </x:c>
    </x:row>
    <x:row r="1069" ht="21" customHeight="1">
      <x:c r="A1069" s="2" t="n">
        <x:v>76</x:v>
      </x:c>
      <x:c r="B1069" s="2" t="str">
        <x:f>IF('Motor_Meciuri'!A81="","",'Motor_Meciuri'!A81)</x:f>
      </x:c>
      <x:c r="C1069" s="2" t="str">
        <x:f>IF(B1069="","",'Motor_Meciuri'!B81)</x:f>
      </x:c>
      <x:c r="D1069" s="2" t="str">
        <x:f>IF(B1069="","",'Motor_Meciuri'!D81)</x:f>
      </x:c>
      <x:c r="E1069" s="2" t="str">
        <x:f>IF(B1069="","",'Motor_Meciuri'!E81)</x:f>
      </x:c>
      <x:c r="F1069" s="2" t="str">
        <x:v>U17,5</x:v>
      </x:c>
      <x:c r="G1069" s="2" t="str">
        <x:v>UNDER</x:v>
      </x:c>
      <x:c r="H1069" s="2" t="n">
        <x:v>17</x:v>
      </x:c>
      <x:c r="I1069" s="2" t="str">
        <x:f>IF(B1069="","",'Motor_Meciuri'!H81)</x:f>
      </x:c>
      <x:c r="J1069" s="2" t="str">
        <x:f>IF(B1069="","",'Motor_Meciuri'!I81)</x:f>
      </x:c>
      <x:c r="K1069" s="11" t="str">
        <x:f>IF(J1069&lt;&gt;"PASS","",'Motor_Meciuri'!BD81)</x:f>
      </x:c>
      <x:c r="L1069" s="11" t="str">
        <x:f>IF(J1069&lt;&gt;"PASS","",'Motor_Meciuri'!AU81)</x:f>
      </x:c>
      <x:c r="M1069" s="10" t="str">
        <x:f>IF(NOT(AND(J1069="PASS",'Calibrare_Linii'!U19="VALID")),"",'Distributie'!AO81)</x:f>
      </x:c>
      <x:c r="N1069" s="10" t="str">
        <x:f>IF(M1069="","",MAX(0.01,MIN(0.99,0.5+(M1069-0.5)*'Motor_Meciuri'!BG81*'Calibrare_Linii'!D19)))</x:f>
      </x:c>
      <x:c r="O1069" s="10" t="str">
        <x:f>IF(M1069="","",1-M1069)</x:f>
      </x:c>
      <x:c r="P1069" s="10" t="str">
        <x:f>IF(OR(NOT(AND(J1069="PASS",'Calibrare_Linii'!U19="VALID")),AK1069=0),""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*('Istoric_Nativ'!$Q$6:$Q$405&gt;H1069))/AK1069)</x:f>
      </x:c>
      <x:c r="Q1069" s="10" t="str">
        <x:f>IF(OR(NOT(AND(J1069="PASS",'Calibrare_Linii'!U19="VALID")),AL1069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M81)+((('Istoric_Nativ'!$E$6:$E$405='Input_Meci'!E81)+('Istoric_Nativ'!$F$6:$F$405='Input_Meci'!E81))&gt;0)*('Istoric_Nativ'!$D$6:$D$405&gt;='Motor_Meciuri'!BN81))&gt;0)*('Istoric_Nativ'!$Q$6:$Q$405&gt;H1069))/AL1069)</x:f>
      </x:c>
      <x:c r="R1069" s="10" t="str">
        <x:f>IF(OR(NOT(AND(J1069="PASS",'Calibrare_Linii'!U19="VALID")),AM1069=0),""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'Motor_Meciuri'!BO81)+((('Istoric_Nativ'!$E$6:$E$405='Input_Meci'!E81)+('Istoric_Nativ'!$F$6:$F$405='Input_Meci'!E81))&gt;0)*('Istoric_Nativ'!$D$6:$D$405&gt;='Motor_Meciuri'!BP81))&gt;0)*('Istoric_Nativ'!$Q$6:$Q$405&gt;H1069))/AM1069)</x:f>
      </x:c>
      <x:c r="S1069" s="10" t="str">
        <x:f>IF(M1069="","",MAX(O1069,P1069,Q1069,R1069))</x:f>
      </x:c>
      <x:c r="T1069" s="11" t="str">
        <x:f>IF(M1069="","",MIN(100,S1069*100*'Config_v6'!$B$44+MIN(100,L1069/'Config_v6'!$B$13*100)*'Config_v6'!$B$45+(100-'Motor_Meciuri'!BF81)*'Config_v6'!$B$46+'Motor_Meciuri'!BH81*100*'Config_v6'!$B$47))</x:f>
      </x:c>
      <x:c r="U1069" s="2" t="str">
        <x:f>IF(T1069="","",IF(T1069&lt;=20,1,IF(T1069&lt;=40,2,IF(T1069&lt;=60,3,IF(T1069&lt;=80,4,5)))))</x:f>
      </x:c>
      <x:c r="V1069" s="2" t="str">
        <x:f>IF(M1069="","",MAX(0,'Motor_Meciuri'!BF81-IF(W1069="OOS PENDING",'Config_v6'!$B$35,0)-IF(L1069&gt;'Config_v6'!$B$12,'Config_v6'!$B$37,IF(L1069&gt;'Config_v6'!$B$11,'Config_v6'!$B$36,0))))</x:f>
      </x:c>
      <x:c r="W1069" s="2" t="str">
        <x:f>IF(B1069="","",IF(I1069&lt;&gt;"READY","NOT RELEASED",IF(NOT(AND(J1069="PASS",'Calibrare_Linii'!U19="VALID")),"INVALID",IF(NOT(AND('Calibrare_Linii'!S19="VALIDATED",AND('Calibrare_Linii'!H19=C1069,ISNUMBER('Calibrare_Linii'!J19),'Calibrare_Linii'!J19&lt;='Input_Meci'!G81))),"OOS PENDING",IF(S1069&lt;='Calibrare_Linii'!E19,"PASS",IF(S1069&lt;='Calibrare_Linii'!F19,"PENALTY","WATCH"))))))</x:f>
      </x:c>
      <x:c r="X1069" s="2" t="str">
        <x:f>IF(M1069="","",IF(AND(AND(J1069="PASS",'Calibrare_Linii'!U19="VALID"),'Motor_Meciuri'!K81=12,'Motor_Meciuri'!L81=12,'Motor_Meciuri'!M81="NO",'Motor_Meciuri'!BL81='Motor_Meciuri'!C81,AB1069&gt;='Config_v6'!$B$50,AN1069&gt;='Config_v6'!$B$51,T1069&lt;='Config_v6'!$B$52,L1069&lt;='Config_v6'!$B$53,ISNUMBER('Calibrare_Linii'!E19),S1069&lt;='Calibrare_Linii'!E19,SUM(AK1069:AM1069)&gt;0),"CANDIDATE","NO"))</x:f>
      </x:c>
      <x:c r="Y1069" s="2" t="str">
        <x:f>IF(B1069="","",IF(I1069&lt;&gt;"READY","NOT RELEASED",IF(AND(X1069="CANDIDATE",V1069&gt;='Config_v6'!$B$51,W1069="PASS",'Calibrare_Linii'!T19="VALIDATED",AND('Calibrare_Linii'!H19=C1069,ISNUMBER('Calibrare_Linii'!J19),'Calibrare_Linii'!J19&lt;='Input_Meci'!G81)),"PASS",IF(X1069="CANDIDATE","OOS PENDING","FAIL"))))</x:f>
      </x:c>
      <x:c r="Z1069" s="2" t="str">
        <x:f>IF(B1069="","",IF(I1069&lt;&gt;"READY","",IF(OR(NOT(AND(J1069="PASS",'Calibrare_Linii'!U19="VALID")),L1069&gt;'Config_v6'!$B$13,W1069="WATCH"),5,IF(Y1069="PASS",1,MIN(5,MAX('Config_v6'!$B$42,U1069)+IF(W1069="PENALTY",1,0))))))</x:f>
      </x:c>
      <x:c r="AA1069" s="2" t="str">
        <x:f>IF(B1069="","",IF(I1069&lt;&gt;"READY","NOT RELEASED",IF(Z1069=5,"NO BET",IF(OR(AB1069&lt;'Config_v6'!$B$16,V1069&lt;'Config_v6'!$B$18),"WATCH",IF(Z1069=1,"DEFENSIV",IF(Z1069=2,"PRUDENT",IF(Z1069=3,"MODERAT","RIDICAT")))))))</x:f>
      </x:c>
      <x:c r="AB1069" s="10" t="str">
        <x:f>IF(N1069="","",MIN(N1069,1-S1069))</x:f>
      </x:c>
      <x:c r="AC1069" s="2" t="str">
        <x:f>IF(AD1069&lt;&gt;1,"",COUNTIFS($Z$1056:$Z$1069,"&lt;"&amp;Z1069,$AD$1056:$AD$1069,1)+COUNTIFS($Z$1056:$Z$1069,Z1069,$AB$1056:$AB$1069,"&gt;"&amp;AB1069,$AD$1056:$AD$1069,1)+COUNTIFS($Z$1056:$Z$1069,Z1069,$AB$1056:$AB$1069,AB1069,$V$1056:$V$1069,"&gt;"&amp;V1069,$AD$1056:$AD$1069,1)+COUNTIFS($Z$1056:Z1069,Z1069,$AB$1056:AB1069,AB1069,$V$1056:V1069,V1069,$AD$1056:AD1069,1))</x:f>
      </x:c>
      <x:c r="AD1069" s="2" t="n">
        <x:f>IF(OR(AA1069="DEFENSIV",AA1069="PRUDENT",AA1069="MODERAT",AA1069="RIDICAT"),1,0)</x:f>
        <x:v>0</x:v>
      </x:c>
      <x:c r="AE1069" s="2" t="str">
        <x:f>IF(AD1069&lt;&gt;1,"NO",IF(W1069="PASS","YES",IF(W1069="OOS PENDING","CONDITIONAL","NO")))</x:f>
        <x:v>NO</x:v>
      </x:c>
      <x:c r="AF1069" s="2" t="n">
        <x:f>IF(AND(AD1069=1,AC1069=1,E1069="LIVE"),1,0)</x:f>
        <x:v>0</x:v>
      </x:c>
      <x:c r="AG1069" s="2" t="str">
        <x:f>IF(AF1069&lt;&gt;1,"",'Dashboard'!P101)</x:f>
      </x:c>
      <x:c r="AH1069" s="2" t="str">
        <x:f>IF(B1069="","",IF(J1069&lt;&gt;"PASS",'Motor_Meciuri'!J81,IF('Calibrare_Linii'!U19&lt;&gt;"VALID","Parametri linie invalizi",IF(L1069&gt;'Config_v6'!$B$13,"Dispersie peste limita",IF(W1069="WATCH","Failure peste limita",IF(AB1069&lt;'Config_v6'!$B$16,"P finala sub prag",IF(V1069&lt;'Config_v6'!$B$18,"Confidence sub prag",IF(E1069="REPLAY","Exemplu retrospectiv; exclus din Top LIVE",IF(Y1069="PASS","DEFENSIV validat",IF(W1069="OOS PENDING","Eligibil; calibrare linie in monitorizare","Eligibil"))))))))))</x:f>
      </x:c>
      <x:c r="AI1069" s="2" t="str">
        <x:f>IF(B1069="","",'Calibrare_Linii'!V19)</x:f>
      </x:c>
      <x:c r="AJ1069" s="2" t="str">
        <x:f>IF(B1069="","",IF(AND('Calibrare_Linii'!T19="VALIDATED",AND('Calibrare_Linii'!H19=C1069,ISNUMBER('Calibrare_Linii'!J19),'Calibrare_Linii'!J19&lt;='Input_Meci'!G81)),"DEFENSIVE VALIDATED",IF(AND('Calibrare_Linii'!S19="VALIDATED",AND('Calibrare_Linii'!H19=C1069,ISNUMBER('Calibrare_Linii'!J19),'Calibrare_Linii'!J19&lt;='Input_Meci'!G81)),"TAIL VALIDATED","OOS PENDING")))</x:f>
      </x:c>
      <x:c r="AK1069" s="2" t="n">
        <x:f>IF(J1069&lt;&gt;"PASS",0,'Motor_Meciuri'!BR81)</x:f>
        <x:v>0</x:v>
      </x:c>
      <x:c r="AL1069" s="2" t="n">
        <x:f>IF(J1069&lt;&gt;"PASS",0,'Motor_Meciuri'!BS81)</x:f>
        <x:v>0</x:v>
      </x:c>
      <x:c r="AM1069" s="2" t="n">
        <x:f>IF(J1069&lt;&gt;"PASS",0,'Motor_Meciuri'!BT81)</x:f>
        <x:v>0</x:v>
      </x:c>
      <x:c r="AN1069" s="2" t="str">
        <x:f>IF(M1069="","",MAX(0,'Motor_Meciuri'!BF81-IF(L1069&gt;'Config_v6'!$B$12,'Config_v6'!$B$37,IF(L1069&gt;'Config_v6'!$B$11,'Config_v6'!$B$36,0))))</x:f>
      </x:c>
    </x:row>
    <x:row r="1070" ht="21" customHeight="1">
      <x:c r="A1070" s="2" t="n">
        <x:v>77</x:v>
      </x:c>
      <x:c r="B1070" s="2" t="str">
        <x:f>IF('Motor_Meciuri'!A82="","",'Motor_Meciuri'!A82)</x:f>
      </x:c>
      <x:c r="C1070" s="2" t="str">
        <x:f>IF(B1070="","",'Motor_Meciuri'!B82)</x:f>
      </x:c>
      <x:c r="D1070" s="2" t="str">
        <x:f>IF(B1070="","",'Motor_Meciuri'!D82)</x:f>
      </x:c>
      <x:c r="E1070" s="2" t="str">
        <x:f>IF(B1070="","",'Motor_Meciuri'!E82)</x:f>
      </x:c>
      <x:c r="F1070" s="2" t="str">
        <x:v>O3,5</x:v>
      </x:c>
      <x:c r="G1070" s="2" t="str">
        <x:v>OVER</x:v>
      </x:c>
      <x:c r="H1070" s="2" t="n">
        <x:v>3</x:v>
      </x:c>
      <x:c r="I1070" s="2" t="str">
        <x:f>IF(B1070="","",'Motor_Meciuri'!H82)</x:f>
      </x:c>
      <x:c r="J1070" s="2" t="str">
        <x:f>IF(B1070="","",'Motor_Meciuri'!I82)</x:f>
      </x:c>
      <x:c r="K1070" s="11" t="str">
        <x:f>IF(J1070&lt;&gt;"PASS","",'Motor_Meciuri'!BD82)</x:f>
      </x:c>
      <x:c r="L1070" s="11" t="str">
        <x:f>IF(J1070&lt;&gt;"PASS","",'Motor_Meciuri'!AU82)</x:f>
      </x:c>
      <x:c r="M1070" s="10" t="str">
        <x:f>IF(NOT(AND(J1070="PASS",'Calibrare_Linii'!U6="VALID")),"",1-'Distributie'!AA82)</x:f>
      </x:c>
      <x:c r="N1070" s="10" t="str">
        <x:f>IF(M1070="","",MAX(0.01,MIN(0.99,0.5+(M1070-0.5)*'Motor_Meciuri'!BG82*'Calibrare_Linii'!D6)))</x:f>
      </x:c>
      <x:c r="O1070" s="10" t="str">
        <x:f>IF(M1070="","",1-M1070)</x:f>
      </x:c>
      <x:c r="P1070" s="10" t="str">
        <x:f>IF(OR(NOT(AND(J1070="PASS",'Calibrare_Linii'!U6="VALID")),AK1070=0),""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*('Istoric_Nativ'!$Q$6:$Q$405&lt;=H1070))/AK1070)</x:f>
      </x:c>
      <x:c r="Q1070" s="10" t="str">
        <x:f>IF(OR(NOT(AND(J1070="PASS",'Calibrare_Linii'!U6="VALID")),AL1070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M82)+((('Istoric_Nativ'!$E$6:$E$405='Input_Meci'!E82)+('Istoric_Nativ'!$F$6:$F$405='Input_Meci'!E82))&gt;0)*('Istoric_Nativ'!$D$6:$D$405&gt;='Motor_Meciuri'!BN82))&gt;0)*('Istoric_Nativ'!$Q$6:$Q$405&lt;=H1070))/AL1070)</x:f>
      </x:c>
      <x:c r="R1070" s="10" t="str">
        <x:f>IF(OR(NOT(AND(J1070="PASS",'Calibrare_Linii'!U6="VALID")),AM1070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O82)+((('Istoric_Nativ'!$E$6:$E$405='Input_Meci'!E82)+('Istoric_Nativ'!$F$6:$F$405='Input_Meci'!E82))&gt;0)*('Istoric_Nativ'!$D$6:$D$405&gt;='Motor_Meciuri'!BP82))&gt;0)*('Istoric_Nativ'!$Q$6:$Q$405&lt;=H1070))/AM1070)</x:f>
      </x:c>
      <x:c r="S1070" s="10" t="str">
        <x:f>IF(M1070="","",MAX(O1070,P1070,Q1070,R1070))</x:f>
      </x:c>
      <x:c r="T1070" s="11" t="str">
        <x:f>IF(M1070="","",MIN(100,S1070*100*'Config_v6'!$B$44+MIN(100,L1070/'Config_v6'!$B$13*100)*'Config_v6'!$B$45+(100-'Motor_Meciuri'!BF82)*'Config_v6'!$B$46+'Motor_Meciuri'!BH82*100*'Config_v6'!$B$47))</x:f>
      </x:c>
      <x:c r="U1070" s="2" t="str">
        <x:f>IF(T1070="","",IF(T1070&lt;=20,1,IF(T1070&lt;=40,2,IF(T1070&lt;=60,3,IF(T1070&lt;=80,4,5)))))</x:f>
      </x:c>
      <x:c r="V1070" s="2" t="str">
        <x:f>IF(M1070="","",MAX(0,'Motor_Meciuri'!BF82-IF(W1070="OOS PENDING",'Config_v6'!$B$35,0)-IF(L1070&gt;'Config_v6'!$B$12,'Config_v6'!$B$37,IF(L1070&gt;'Config_v6'!$B$11,'Config_v6'!$B$36,0))))</x:f>
      </x:c>
      <x:c r="W1070" s="2" t="str">
        <x:f>IF(B1070="","",IF(I1070&lt;&gt;"READY","NOT RELEASED",IF(NOT(AND(J1070="PASS",'Calibrare_Linii'!U6="VALID")),"INVALID",IF(NOT(TRUE),"OOS PENDING",IF(S1070&lt;=IF(AND('Calibrare_Linii'!S6="VALIDATED",AND('Calibrare_Linii'!H6=C1070,ISNUMBER('Calibrare_Linii'!J6),'Calibrare_Linii'!J6&lt;='Input_Meci'!G82)),'Calibrare_Linii'!E6,'Config_v6'!$B$26),"PASS",IF(S1070&lt;=IF(AND('Calibrare_Linii'!S6="VALIDATED",AND('Calibrare_Linii'!H6=C1070,ISNUMBER('Calibrare_Linii'!J6),'Calibrare_Linii'!J6&lt;='Input_Meci'!G82)),'Calibrare_Linii'!F6,'Config_v6'!$C$26),"PENALTY","WATCH"))))))</x:f>
      </x:c>
      <x:c r="X1070" s="2" t="str">
        <x:f>IF(M1070="","",IF(AND(AND(J1070="PASS",'Calibrare_Linii'!U6="VALID"),'Motor_Meciuri'!K82=12,'Motor_Meciuri'!L82=12,'Motor_Meciuri'!M82="NO",'Motor_Meciuri'!BL82='Motor_Meciuri'!C82,AB1070&gt;='Config_v6'!$B$50,AN1070&gt;='Config_v6'!$B$51,T1070&lt;='Config_v6'!$B$52,L1070&lt;='Config_v6'!$B$53,ISNUMBER('Calibrare_Linii'!E6),S1070&lt;='Calibrare_Linii'!E6,SUM(AK1070:AM1070)&gt;0),"CANDIDATE","NO"))</x:f>
      </x:c>
      <x:c r="Y1070" s="2" t="str">
        <x:f>IF(B1070="","",IF(I1070&lt;&gt;"READY","NOT RELEASED",IF(AND(X1070="CANDIDATE",V1070&gt;='Config_v6'!$B$51,W1070="PASS",'Calibrare_Linii'!T6="VALIDATED",AND('Calibrare_Linii'!H6=C1070,ISNUMBER('Calibrare_Linii'!J6),'Calibrare_Linii'!J6&lt;='Input_Meci'!G82)),"PASS",IF(X1070="CANDIDATE","OOS PENDING","FAIL"))))</x:f>
      </x:c>
      <x:c r="Z1070" s="2" t="str">
        <x:f>IF(B1070="","",IF(I1070&lt;&gt;"READY","",IF(OR(NOT(AND(J1070="PASS",'Calibrare_Linii'!U6="VALID")),L1070&gt;'Config_v6'!$B$13,W1070="WATCH"),5,IF(Y1070="PASS",1,MIN(5,MAX('Config_v6'!$B$42,U1070)+IF(W1070="PENALTY",1,0))))))</x:f>
      </x:c>
      <x:c r="AA1070" s="2" t="str">
        <x:f>IF(B1070="","",IF(I1070&lt;&gt;"READY","NOT RELEASED",IF(Z1070=5,"NO BET",IF(OR(AB1070&lt;'Config_v6'!$B$16,V1070&lt;'Config_v6'!$B$18),"WATCH",IF(Z1070=1,"DEFENSIV",IF(Z1070=2,"PRUDENT",IF(Z1070=3,"MODERAT","RIDICAT")))))))</x:f>
      </x:c>
      <x:c r="AB1070" s="10" t="str">
        <x:f>IF(N1070="","",MIN(N1070,1-S1070))</x:f>
      </x:c>
      <x:c r="AC1070" s="2" t="str">
        <x:f>IF(AD1070&lt;&gt;1,"",COUNTIFS($Z$1070:$Z$1083,"&lt;"&amp;Z1070,$AD$1070:$AD$1083,1)+COUNTIFS($Z$1070:$Z$1083,Z1070,$AB$1070:$AB$1083,"&gt;"&amp;AB1070,$AD$1070:$AD$1083,1)+COUNTIFS($Z$1070:$Z$1083,Z1070,$AB$1070:$AB$1083,AB1070,$V$1070:$V$1083,"&gt;"&amp;V1070,$AD$1070:$AD$1083,1)+COUNTIFS($Z$1070:Z1070,Z1070,$AB$1070:AB1070,AB1070,$V$1070:V1070,V1070,$AD$1070:AD1070,1))</x:f>
      </x:c>
      <x:c r="AD1070" s="2" t="n">
        <x:f>IF(OR(AA1070="DEFENSIV",AA1070="PRUDENT",AA1070="MODERAT",AA1070="RIDICAT"),1,0)</x:f>
        <x:v>0</x:v>
      </x:c>
      <x:c r="AE1070" s="2" t="str">
        <x:f>IF(AD1070&lt;&gt;1,"NO",IF(W1070="PASS","YES",IF(W1070="OOS PENDING","CONDITIONAL","NO")))</x:f>
        <x:v>NO</x:v>
      </x:c>
      <x:c r="AF1070" s="2" t="n">
        <x:f>IF(AND(AD1070=1,AC1070=1,E1070="LIVE"),1,0)</x:f>
        <x:v>0</x:v>
      </x:c>
      <x:c r="AG1070" s="2" t="str">
        <x:f>IF(AF1070&lt;&gt;1,"",'Dashboard'!P102)</x:f>
      </x:c>
      <x:c r="AH1070" s="2" t="str">
        <x:f>IF(B1070="","",IF(J1070&lt;&gt;"PASS",'Motor_Meciuri'!J82,IF('Calibrare_Linii'!U6&lt;&gt;"VALID","Parametri linie invalizi",IF(L1070&gt;'Config_v6'!$B$13,"Dispersie peste limita",IF(W1070="WATCH","Failure peste limita",IF(AB1070&lt;'Config_v6'!$B$16,"P finala sub prag",IF(V1070&lt;'Config_v6'!$B$18,"Confidence sub prag",IF(E1070="REPLAY","Exemplu retrospectiv; exclus din Top LIVE",IF(Y1070="PASS","DEFENSIV validat",IF(W1070="OOS PENDING","Eligibil; calibrare linie in monitorizare","Eligibil"))))))))))</x:f>
      </x:c>
      <x:c r="AI1070" s="2" t="str">
        <x:f>IF(B1070="","",'Calibrare_Linii'!V6)</x:f>
      </x:c>
      <x:c r="AJ1070" s="2" t="str">
        <x:f>IF(B1070="","",IF(AND('Calibrare_Linii'!T6="VALIDATED",AND('Calibrare_Linii'!H6=C1070,ISNUMBER('Calibrare_Linii'!J6),'Calibrare_Linii'!J6&lt;='Input_Meci'!G82)),"DEFENSIVE VALIDATED",IF(AND('Calibrare_Linii'!S6="VALIDATED",AND('Calibrare_Linii'!H6=C1070,ISNUMBER('Calibrare_Linii'!J6),'Calibrare_Linii'!J6&lt;='Input_Meci'!G82)),"TAIL VALIDATED","OOS PENDING")))</x:f>
      </x:c>
      <x:c r="AK1070" s="2" t="n">
        <x:f>IF(J1070&lt;&gt;"PASS",0,'Motor_Meciuri'!BR82)</x:f>
        <x:v>0</x:v>
      </x:c>
      <x:c r="AL1070" s="2" t="n">
        <x:f>IF(J1070&lt;&gt;"PASS",0,'Motor_Meciuri'!BS82)</x:f>
        <x:v>0</x:v>
      </x:c>
      <x:c r="AM1070" s="2" t="n">
        <x:f>IF(J1070&lt;&gt;"PASS",0,'Motor_Meciuri'!BT82)</x:f>
        <x:v>0</x:v>
      </x:c>
      <x:c r="AN1070" s="2" t="str">
        <x:f>IF(M1070="","",MAX(0,'Motor_Meciuri'!BF82-IF(L1070&gt;'Config_v6'!$B$12,'Config_v6'!$B$37,IF(L1070&gt;'Config_v6'!$B$11,'Config_v6'!$B$36,0))))</x:f>
      </x:c>
    </x:row>
    <x:row r="1071" ht="21" customHeight="1">
      <x:c r="A1071" s="2" t="n">
        <x:v>77</x:v>
      </x:c>
      <x:c r="B1071" s="2" t="str">
        <x:f>IF('Motor_Meciuri'!A82="","",'Motor_Meciuri'!A82)</x:f>
      </x:c>
      <x:c r="C1071" s="2" t="str">
        <x:f>IF(B1071="","",'Motor_Meciuri'!B82)</x:f>
      </x:c>
      <x:c r="D1071" s="2" t="str">
        <x:f>IF(B1071="","",'Motor_Meciuri'!D82)</x:f>
      </x:c>
      <x:c r="E1071" s="2" t="str">
        <x:f>IF(B1071="","",'Motor_Meciuri'!E82)</x:f>
      </x:c>
      <x:c r="F1071" s="2" t="str">
        <x:v>O4,5</x:v>
      </x:c>
      <x:c r="G1071" s="2" t="str">
        <x:v>OVER</x:v>
      </x:c>
      <x:c r="H1071" s="2" t="n">
        <x:v>4</x:v>
      </x:c>
      <x:c r="I1071" s="2" t="str">
        <x:f>IF(B1071="","",'Motor_Meciuri'!H82)</x:f>
      </x:c>
      <x:c r="J1071" s="2" t="str">
        <x:f>IF(B1071="","",'Motor_Meciuri'!I82)</x:f>
      </x:c>
      <x:c r="K1071" s="11" t="str">
        <x:f>IF(J1071&lt;&gt;"PASS","",'Motor_Meciuri'!BD82)</x:f>
      </x:c>
      <x:c r="L1071" s="11" t="str">
        <x:f>IF(J1071&lt;&gt;"PASS","",'Motor_Meciuri'!AU82)</x:f>
      </x:c>
      <x:c r="M1071" s="10" t="str">
        <x:f>IF(NOT(AND(J1071="PASS",'Calibrare_Linii'!U7="VALID")),"",1-'Distributie'!AB82)</x:f>
      </x:c>
      <x:c r="N1071" s="10" t="str">
        <x:f>IF(M1071="","",MAX(0.01,MIN(0.99,0.5+(M1071-0.5)*'Motor_Meciuri'!BG82*'Calibrare_Linii'!D7)))</x:f>
      </x:c>
      <x:c r="O1071" s="10" t="str">
        <x:f>IF(M1071="","",1-M1071)</x:f>
      </x:c>
      <x:c r="P1071" s="10" t="str">
        <x:f>IF(OR(NOT(AND(J1071="PASS",'Calibrare_Linii'!U7="VALID")),AK1071=0),""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*('Istoric_Nativ'!$Q$6:$Q$405&lt;=H1071))/AK1071)</x:f>
      </x:c>
      <x:c r="Q1071" s="10" t="str">
        <x:f>IF(OR(NOT(AND(J1071="PASS",'Calibrare_Linii'!U7="VALID")),AL1071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M82)+((('Istoric_Nativ'!$E$6:$E$405='Input_Meci'!E82)+('Istoric_Nativ'!$F$6:$F$405='Input_Meci'!E82))&gt;0)*('Istoric_Nativ'!$D$6:$D$405&gt;='Motor_Meciuri'!BN82))&gt;0)*('Istoric_Nativ'!$Q$6:$Q$405&lt;=H1071))/AL1071)</x:f>
      </x:c>
      <x:c r="R1071" s="10" t="str">
        <x:f>IF(OR(NOT(AND(J1071="PASS",'Calibrare_Linii'!U7="VALID")),AM1071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O82)+((('Istoric_Nativ'!$E$6:$E$405='Input_Meci'!E82)+('Istoric_Nativ'!$F$6:$F$405='Input_Meci'!E82))&gt;0)*('Istoric_Nativ'!$D$6:$D$405&gt;='Motor_Meciuri'!BP82))&gt;0)*('Istoric_Nativ'!$Q$6:$Q$405&lt;=H1071))/AM1071)</x:f>
      </x:c>
      <x:c r="S1071" s="10" t="str">
        <x:f>IF(M1071="","",MAX(O1071,P1071,Q1071,R1071))</x:f>
      </x:c>
      <x:c r="T1071" s="11" t="str">
        <x:f>IF(M1071="","",MIN(100,S1071*100*'Config_v6'!$B$44+MIN(100,L1071/'Config_v6'!$B$13*100)*'Config_v6'!$B$45+(100-'Motor_Meciuri'!BF82)*'Config_v6'!$B$46+'Motor_Meciuri'!BH82*100*'Config_v6'!$B$47))</x:f>
      </x:c>
      <x:c r="U1071" s="2" t="str">
        <x:f>IF(T1071="","",IF(T1071&lt;=20,1,IF(T1071&lt;=40,2,IF(T1071&lt;=60,3,IF(T1071&lt;=80,4,5)))))</x:f>
      </x:c>
      <x:c r="V1071" s="2" t="str">
        <x:f>IF(M1071="","",MAX(0,'Motor_Meciuri'!BF82-IF(W1071="OOS PENDING",'Config_v6'!$B$35,0)-IF(L1071&gt;'Config_v6'!$B$12,'Config_v6'!$B$37,IF(L1071&gt;'Config_v6'!$B$11,'Config_v6'!$B$36,0))))</x:f>
      </x:c>
      <x:c r="W1071" s="2" t="str">
        <x:f>IF(B1071="","",IF(I1071&lt;&gt;"READY","NOT RELEASED",IF(NOT(AND(J1071="PASS",'Calibrare_Linii'!U7="VALID")),"INVALID",IF(NOT(AND('Calibrare_Linii'!S7="VALIDATED",AND('Calibrare_Linii'!H7=C1071,ISNUMBER('Calibrare_Linii'!J7),'Calibrare_Linii'!J7&lt;='Input_Meci'!G82))),"OOS PENDING",IF(S1071&lt;='Calibrare_Linii'!E7,"PASS",IF(S1071&lt;='Calibrare_Linii'!F7,"PENALTY","WATCH"))))))</x:f>
      </x:c>
      <x:c r="X1071" s="2" t="str">
        <x:f>IF(M1071="","",IF(AND(AND(J1071="PASS",'Calibrare_Linii'!U7="VALID"),'Motor_Meciuri'!K82=12,'Motor_Meciuri'!L82=12,'Motor_Meciuri'!M82="NO",'Motor_Meciuri'!BL82='Motor_Meciuri'!C82,AB1071&gt;='Config_v6'!$B$50,AN1071&gt;='Config_v6'!$B$51,T1071&lt;='Config_v6'!$B$52,L1071&lt;='Config_v6'!$B$53,ISNUMBER('Calibrare_Linii'!E7),S1071&lt;='Calibrare_Linii'!E7,SUM(AK1071:AM1071)&gt;0),"CANDIDATE","NO"))</x:f>
      </x:c>
      <x:c r="Y1071" s="2" t="str">
        <x:f>IF(B1071="","",IF(I1071&lt;&gt;"READY","NOT RELEASED",IF(AND(X1071="CANDIDATE",V1071&gt;='Config_v6'!$B$51,W1071="PASS",'Calibrare_Linii'!T7="VALIDATED",AND('Calibrare_Linii'!H7=C1071,ISNUMBER('Calibrare_Linii'!J7),'Calibrare_Linii'!J7&lt;='Input_Meci'!G82)),"PASS",IF(X1071="CANDIDATE","OOS PENDING","FAIL"))))</x:f>
      </x:c>
      <x:c r="Z1071" s="2" t="str">
        <x:f>IF(B1071="","",IF(I1071&lt;&gt;"READY","",IF(OR(NOT(AND(J1071="PASS",'Calibrare_Linii'!U7="VALID")),L1071&gt;'Config_v6'!$B$13,W1071="WATCH"),5,IF(Y1071="PASS",1,MIN(5,MAX('Config_v6'!$B$42,U1071)+IF(W1071="PENALTY",1,0))))))</x:f>
      </x:c>
      <x:c r="AA1071" s="2" t="str">
        <x:f>IF(B1071="","",IF(I1071&lt;&gt;"READY","NOT RELEASED",IF(Z1071=5,"NO BET",IF(OR(AB1071&lt;'Config_v6'!$B$16,V1071&lt;'Config_v6'!$B$18),"WATCH",IF(Z1071=1,"DEFENSIV",IF(Z1071=2,"PRUDENT",IF(Z1071=3,"MODERAT","RIDICAT")))))))</x:f>
      </x:c>
      <x:c r="AB1071" s="10" t="str">
        <x:f>IF(N1071="","",MIN(N1071,1-S1071))</x:f>
      </x:c>
      <x:c r="AC1071" s="2" t="str">
        <x:f>IF(AD1071&lt;&gt;1,"",COUNTIFS($Z$1070:$Z$1083,"&lt;"&amp;Z1071,$AD$1070:$AD$1083,1)+COUNTIFS($Z$1070:$Z$1083,Z1071,$AB$1070:$AB$1083,"&gt;"&amp;AB1071,$AD$1070:$AD$1083,1)+COUNTIFS($Z$1070:$Z$1083,Z1071,$AB$1070:$AB$1083,AB1071,$V$1070:$V$1083,"&gt;"&amp;V1071,$AD$1070:$AD$1083,1)+COUNTIFS($Z$1070:Z1071,Z1071,$AB$1070:AB1071,AB1071,$V$1070:V1071,V1071,$AD$1070:AD1071,1))</x:f>
      </x:c>
      <x:c r="AD1071" s="2" t="n">
        <x:f>IF(OR(AA1071="DEFENSIV",AA1071="PRUDENT",AA1071="MODERAT",AA1071="RIDICAT"),1,0)</x:f>
        <x:v>0</x:v>
      </x:c>
      <x:c r="AE1071" s="2" t="str">
        <x:f>IF(AD1071&lt;&gt;1,"NO",IF(W1071="PASS","YES",IF(W1071="OOS PENDING","CONDITIONAL","NO")))</x:f>
        <x:v>NO</x:v>
      </x:c>
      <x:c r="AF1071" s="2" t="n">
        <x:f>IF(AND(AD1071=1,AC1071=1,E1071="LIVE"),1,0)</x:f>
        <x:v>0</x:v>
      </x:c>
      <x:c r="AG1071" s="2" t="str">
        <x:f>IF(AF1071&lt;&gt;1,"",'Dashboard'!P102)</x:f>
      </x:c>
      <x:c r="AH1071" s="2" t="str">
        <x:f>IF(B1071="","",IF(J1071&lt;&gt;"PASS",'Motor_Meciuri'!J82,IF('Calibrare_Linii'!U7&lt;&gt;"VALID","Parametri linie invalizi",IF(L1071&gt;'Config_v6'!$B$13,"Dispersie peste limita",IF(W1071="WATCH","Failure peste limita",IF(AB1071&lt;'Config_v6'!$B$16,"P finala sub prag",IF(V1071&lt;'Config_v6'!$B$18,"Confidence sub prag",IF(E1071="REPLAY","Exemplu retrospectiv; exclus din Top LIVE",IF(Y1071="PASS","DEFENSIV validat",IF(W1071="OOS PENDING","Eligibil; calibrare linie in monitorizare","Eligibil"))))))))))</x:f>
      </x:c>
      <x:c r="AI1071" s="2" t="str">
        <x:f>IF(B1071="","",'Calibrare_Linii'!V7)</x:f>
      </x:c>
      <x:c r="AJ1071" s="2" t="str">
        <x:f>IF(B1071="","",IF(AND('Calibrare_Linii'!T7="VALIDATED",AND('Calibrare_Linii'!H7=C1071,ISNUMBER('Calibrare_Linii'!J7),'Calibrare_Linii'!J7&lt;='Input_Meci'!G82)),"DEFENSIVE VALIDATED",IF(AND('Calibrare_Linii'!S7="VALIDATED",AND('Calibrare_Linii'!H7=C1071,ISNUMBER('Calibrare_Linii'!J7),'Calibrare_Linii'!J7&lt;='Input_Meci'!G82)),"TAIL VALIDATED","OOS PENDING")))</x:f>
      </x:c>
      <x:c r="AK1071" s="2" t="n">
        <x:f>IF(J1071&lt;&gt;"PASS",0,'Motor_Meciuri'!BR82)</x:f>
        <x:v>0</x:v>
      </x:c>
      <x:c r="AL1071" s="2" t="n">
        <x:f>IF(J1071&lt;&gt;"PASS",0,'Motor_Meciuri'!BS82)</x:f>
        <x:v>0</x:v>
      </x:c>
      <x:c r="AM1071" s="2" t="n">
        <x:f>IF(J1071&lt;&gt;"PASS",0,'Motor_Meciuri'!BT82)</x:f>
        <x:v>0</x:v>
      </x:c>
      <x:c r="AN1071" s="2" t="str">
        <x:f>IF(M1071="","",MAX(0,'Motor_Meciuri'!BF82-IF(L1071&gt;'Config_v6'!$B$12,'Config_v6'!$B$37,IF(L1071&gt;'Config_v6'!$B$11,'Config_v6'!$B$36,0))))</x:f>
      </x:c>
    </x:row>
    <x:row r="1072" ht="21" customHeight="1">
      <x:c r="A1072" s="2" t="n">
        <x:v>77</x:v>
      </x:c>
      <x:c r="B1072" s="2" t="str">
        <x:f>IF('Motor_Meciuri'!A82="","",'Motor_Meciuri'!A82)</x:f>
      </x:c>
      <x:c r="C1072" s="2" t="str">
        <x:f>IF(B1072="","",'Motor_Meciuri'!B82)</x:f>
      </x:c>
      <x:c r="D1072" s="2" t="str">
        <x:f>IF(B1072="","",'Motor_Meciuri'!D82)</x:f>
      </x:c>
      <x:c r="E1072" s="2" t="str">
        <x:f>IF(B1072="","",'Motor_Meciuri'!E82)</x:f>
      </x:c>
      <x:c r="F1072" s="2" t="str">
        <x:v>O5,5</x:v>
      </x:c>
      <x:c r="G1072" s="2" t="str">
        <x:v>OVER</x:v>
      </x:c>
      <x:c r="H1072" s="2" t="n">
        <x:v>5</x:v>
      </x:c>
      <x:c r="I1072" s="2" t="str">
        <x:f>IF(B1072="","",'Motor_Meciuri'!H82)</x:f>
      </x:c>
      <x:c r="J1072" s="2" t="str">
        <x:f>IF(B1072="","",'Motor_Meciuri'!I82)</x:f>
      </x:c>
      <x:c r="K1072" s="11" t="str">
        <x:f>IF(J1072&lt;&gt;"PASS","",'Motor_Meciuri'!BD82)</x:f>
      </x:c>
      <x:c r="L1072" s="11" t="str">
        <x:f>IF(J1072&lt;&gt;"PASS","",'Motor_Meciuri'!AU82)</x:f>
      </x:c>
      <x:c r="M1072" s="10" t="str">
        <x:f>IF(NOT(AND(J1072="PASS",'Calibrare_Linii'!U8="VALID")),"",1-'Distributie'!AC82)</x:f>
      </x:c>
      <x:c r="N1072" s="10" t="str">
        <x:f>IF(M1072="","",MAX(0.01,MIN(0.99,0.5+(M1072-0.5)*'Motor_Meciuri'!BG82*'Calibrare_Linii'!D8)))</x:f>
      </x:c>
      <x:c r="O1072" s="10" t="str">
        <x:f>IF(M1072="","",1-M1072)</x:f>
      </x:c>
      <x:c r="P1072" s="10" t="str">
        <x:f>IF(OR(NOT(AND(J1072="PASS",'Calibrare_Linii'!U8="VALID")),AK1072=0),""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*('Istoric_Nativ'!$Q$6:$Q$405&lt;=H1072))/AK1072)</x:f>
      </x:c>
      <x:c r="Q1072" s="10" t="str">
        <x:f>IF(OR(NOT(AND(J1072="PASS",'Calibrare_Linii'!U8="VALID")),AL1072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M82)+((('Istoric_Nativ'!$E$6:$E$405='Input_Meci'!E82)+('Istoric_Nativ'!$F$6:$F$405='Input_Meci'!E82))&gt;0)*('Istoric_Nativ'!$D$6:$D$405&gt;='Motor_Meciuri'!BN82))&gt;0)*('Istoric_Nativ'!$Q$6:$Q$405&lt;=H1072))/AL1072)</x:f>
      </x:c>
      <x:c r="R1072" s="10" t="str">
        <x:f>IF(OR(NOT(AND(J1072="PASS",'Calibrare_Linii'!U8="VALID")),AM1072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O82)+((('Istoric_Nativ'!$E$6:$E$405='Input_Meci'!E82)+('Istoric_Nativ'!$F$6:$F$405='Input_Meci'!E82))&gt;0)*('Istoric_Nativ'!$D$6:$D$405&gt;='Motor_Meciuri'!BP82))&gt;0)*('Istoric_Nativ'!$Q$6:$Q$405&lt;=H1072))/AM1072)</x:f>
      </x:c>
      <x:c r="S1072" s="10" t="str">
        <x:f>IF(M1072="","",MAX(O1072,P1072,Q1072,R1072))</x:f>
      </x:c>
      <x:c r="T1072" s="11" t="str">
        <x:f>IF(M1072="","",MIN(100,S1072*100*'Config_v6'!$B$44+MIN(100,L1072/'Config_v6'!$B$13*100)*'Config_v6'!$B$45+(100-'Motor_Meciuri'!BF82)*'Config_v6'!$B$46+'Motor_Meciuri'!BH82*100*'Config_v6'!$B$47))</x:f>
      </x:c>
      <x:c r="U1072" s="2" t="str">
        <x:f>IF(T1072="","",IF(T1072&lt;=20,1,IF(T1072&lt;=40,2,IF(T1072&lt;=60,3,IF(T1072&lt;=80,4,5)))))</x:f>
      </x:c>
      <x:c r="V1072" s="2" t="str">
        <x:f>IF(M1072="","",MAX(0,'Motor_Meciuri'!BF82-IF(W1072="OOS PENDING",'Config_v6'!$B$35,0)-IF(L1072&gt;'Config_v6'!$B$12,'Config_v6'!$B$37,IF(L1072&gt;'Config_v6'!$B$11,'Config_v6'!$B$36,0))))</x:f>
      </x:c>
      <x:c r="W1072" s="2" t="str">
        <x:f>IF(B1072="","",IF(I1072&lt;&gt;"READY","NOT RELEASED",IF(NOT(AND(J1072="PASS",'Calibrare_Linii'!U8="VALID")),"INVALID",IF(NOT(AND('Calibrare_Linii'!S8="VALIDATED",AND('Calibrare_Linii'!H8=C1072,ISNUMBER('Calibrare_Linii'!J8),'Calibrare_Linii'!J8&lt;='Input_Meci'!G82))),"OOS PENDING",IF(S1072&lt;='Calibrare_Linii'!E8,"PASS",IF(S1072&lt;='Calibrare_Linii'!F8,"PENALTY","WATCH"))))))</x:f>
      </x:c>
      <x:c r="X1072" s="2" t="str">
        <x:f>IF(M1072="","",IF(AND(AND(J1072="PASS",'Calibrare_Linii'!U8="VALID"),'Motor_Meciuri'!K82=12,'Motor_Meciuri'!L82=12,'Motor_Meciuri'!M82="NO",'Motor_Meciuri'!BL82='Motor_Meciuri'!C82,AB1072&gt;='Config_v6'!$B$50,AN1072&gt;='Config_v6'!$B$51,T1072&lt;='Config_v6'!$B$52,L1072&lt;='Config_v6'!$B$53,ISNUMBER('Calibrare_Linii'!E8),S1072&lt;='Calibrare_Linii'!E8,SUM(AK1072:AM1072)&gt;0),"CANDIDATE","NO"))</x:f>
      </x:c>
      <x:c r="Y1072" s="2" t="str">
        <x:f>IF(B1072="","",IF(I1072&lt;&gt;"READY","NOT RELEASED",IF(AND(X1072="CANDIDATE",V1072&gt;='Config_v6'!$B$51,W1072="PASS",'Calibrare_Linii'!T8="VALIDATED",AND('Calibrare_Linii'!H8=C1072,ISNUMBER('Calibrare_Linii'!J8),'Calibrare_Linii'!J8&lt;='Input_Meci'!G82)),"PASS",IF(X1072="CANDIDATE","OOS PENDING","FAIL"))))</x:f>
      </x:c>
      <x:c r="Z1072" s="2" t="str">
        <x:f>IF(B1072="","",IF(I1072&lt;&gt;"READY","",IF(OR(NOT(AND(J1072="PASS",'Calibrare_Linii'!U8="VALID")),L1072&gt;'Config_v6'!$B$13,W1072="WATCH"),5,IF(Y1072="PASS",1,MIN(5,MAX('Config_v6'!$B$42,U1072)+IF(W1072="PENALTY",1,0))))))</x:f>
      </x:c>
      <x:c r="AA1072" s="2" t="str">
        <x:f>IF(B1072="","",IF(I1072&lt;&gt;"READY","NOT RELEASED",IF(Z1072=5,"NO BET",IF(OR(AB1072&lt;'Config_v6'!$B$16,V1072&lt;'Config_v6'!$B$18),"WATCH",IF(Z1072=1,"DEFENSIV",IF(Z1072=2,"PRUDENT",IF(Z1072=3,"MODERAT","RIDICAT")))))))</x:f>
      </x:c>
      <x:c r="AB1072" s="10" t="str">
        <x:f>IF(N1072="","",MIN(N1072,1-S1072))</x:f>
      </x:c>
      <x:c r="AC1072" s="2" t="str">
        <x:f>IF(AD1072&lt;&gt;1,"",COUNTIFS($Z$1070:$Z$1083,"&lt;"&amp;Z1072,$AD$1070:$AD$1083,1)+COUNTIFS($Z$1070:$Z$1083,Z1072,$AB$1070:$AB$1083,"&gt;"&amp;AB1072,$AD$1070:$AD$1083,1)+COUNTIFS($Z$1070:$Z$1083,Z1072,$AB$1070:$AB$1083,AB1072,$V$1070:$V$1083,"&gt;"&amp;V1072,$AD$1070:$AD$1083,1)+COUNTIFS($Z$1070:Z1072,Z1072,$AB$1070:AB1072,AB1072,$V$1070:V1072,V1072,$AD$1070:AD1072,1))</x:f>
      </x:c>
      <x:c r="AD1072" s="2" t="n">
        <x:f>IF(OR(AA1072="DEFENSIV",AA1072="PRUDENT",AA1072="MODERAT",AA1072="RIDICAT"),1,0)</x:f>
        <x:v>0</x:v>
      </x:c>
      <x:c r="AE1072" s="2" t="str">
        <x:f>IF(AD1072&lt;&gt;1,"NO",IF(W1072="PASS","YES",IF(W1072="OOS PENDING","CONDITIONAL","NO")))</x:f>
        <x:v>NO</x:v>
      </x:c>
      <x:c r="AF1072" s="2" t="n">
        <x:f>IF(AND(AD1072=1,AC1072=1,E1072="LIVE"),1,0)</x:f>
        <x:v>0</x:v>
      </x:c>
      <x:c r="AG1072" s="2" t="str">
        <x:f>IF(AF1072&lt;&gt;1,"",'Dashboard'!P102)</x:f>
      </x:c>
      <x:c r="AH1072" s="2" t="str">
        <x:f>IF(B1072="","",IF(J1072&lt;&gt;"PASS",'Motor_Meciuri'!J82,IF('Calibrare_Linii'!U8&lt;&gt;"VALID","Parametri linie invalizi",IF(L1072&gt;'Config_v6'!$B$13,"Dispersie peste limita",IF(W1072="WATCH","Failure peste limita",IF(AB1072&lt;'Config_v6'!$B$16,"P finala sub prag",IF(V1072&lt;'Config_v6'!$B$18,"Confidence sub prag",IF(E1072="REPLAY","Exemplu retrospectiv; exclus din Top LIVE",IF(Y1072="PASS","DEFENSIV validat",IF(W1072="OOS PENDING","Eligibil; calibrare linie in monitorizare","Eligibil"))))))))))</x:f>
      </x:c>
      <x:c r="AI1072" s="2" t="str">
        <x:f>IF(B1072="","",'Calibrare_Linii'!V8)</x:f>
      </x:c>
      <x:c r="AJ1072" s="2" t="str">
        <x:f>IF(B1072="","",IF(AND('Calibrare_Linii'!T8="VALIDATED",AND('Calibrare_Linii'!H8=C1072,ISNUMBER('Calibrare_Linii'!J8),'Calibrare_Linii'!J8&lt;='Input_Meci'!G82)),"DEFENSIVE VALIDATED",IF(AND('Calibrare_Linii'!S8="VALIDATED",AND('Calibrare_Linii'!H8=C1072,ISNUMBER('Calibrare_Linii'!J8),'Calibrare_Linii'!J8&lt;='Input_Meci'!G82)),"TAIL VALIDATED","OOS PENDING")))</x:f>
      </x:c>
      <x:c r="AK1072" s="2" t="n">
        <x:f>IF(J1072&lt;&gt;"PASS",0,'Motor_Meciuri'!BR82)</x:f>
        <x:v>0</x:v>
      </x:c>
      <x:c r="AL1072" s="2" t="n">
        <x:f>IF(J1072&lt;&gt;"PASS",0,'Motor_Meciuri'!BS82)</x:f>
        <x:v>0</x:v>
      </x:c>
      <x:c r="AM1072" s="2" t="n">
        <x:f>IF(J1072&lt;&gt;"PASS",0,'Motor_Meciuri'!BT82)</x:f>
        <x:v>0</x:v>
      </x:c>
      <x:c r="AN1072" s="2" t="str">
        <x:f>IF(M1072="","",MAX(0,'Motor_Meciuri'!BF82-IF(L1072&gt;'Config_v6'!$B$12,'Config_v6'!$B$37,IF(L1072&gt;'Config_v6'!$B$11,'Config_v6'!$B$36,0))))</x:f>
      </x:c>
    </x:row>
    <x:row r="1073" ht="21" customHeight="1">
      <x:c r="A1073" s="2" t="n">
        <x:v>77</x:v>
      </x:c>
      <x:c r="B1073" s="2" t="str">
        <x:f>IF('Motor_Meciuri'!A82="","",'Motor_Meciuri'!A82)</x:f>
      </x:c>
      <x:c r="C1073" s="2" t="str">
        <x:f>IF(B1073="","",'Motor_Meciuri'!B82)</x:f>
      </x:c>
      <x:c r="D1073" s="2" t="str">
        <x:f>IF(B1073="","",'Motor_Meciuri'!D82)</x:f>
      </x:c>
      <x:c r="E1073" s="2" t="str">
        <x:f>IF(B1073="","",'Motor_Meciuri'!E82)</x:f>
      </x:c>
      <x:c r="F1073" s="2" t="str">
        <x:v>O6,5</x:v>
      </x:c>
      <x:c r="G1073" s="2" t="str">
        <x:v>OVER</x:v>
      </x:c>
      <x:c r="H1073" s="2" t="n">
        <x:v>6</x:v>
      </x:c>
      <x:c r="I1073" s="2" t="str">
        <x:f>IF(B1073="","",'Motor_Meciuri'!H82)</x:f>
      </x:c>
      <x:c r="J1073" s="2" t="str">
        <x:f>IF(B1073="","",'Motor_Meciuri'!I82)</x:f>
      </x:c>
      <x:c r="K1073" s="11" t="str">
        <x:f>IF(J1073&lt;&gt;"PASS","",'Motor_Meciuri'!BD82)</x:f>
      </x:c>
      <x:c r="L1073" s="11" t="str">
        <x:f>IF(J1073&lt;&gt;"PASS","",'Motor_Meciuri'!AU82)</x:f>
      </x:c>
      <x:c r="M1073" s="10" t="str">
        <x:f>IF(NOT(AND(J1073="PASS",'Calibrare_Linii'!U9="VALID")),"",1-'Distributie'!AD82)</x:f>
      </x:c>
      <x:c r="N1073" s="10" t="str">
        <x:f>IF(M1073="","",MAX(0.01,MIN(0.99,0.5+(M1073-0.5)*'Motor_Meciuri'!BG82*'Calibrare_Linii'!D9)))</x:f>
      </x:c>
      <x:c r="O1073" s="10" t="str">
        <x:f>IF(M1073="","",1-M1073)</x:f>
      </x:c>
      <x:c r="P1073" s="10" t="str">
        <x:f>IF(OR(NOT(AND(J1073="PASS",'Calibrare_Linii'!U9="VALID")),AK1073=0),""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*('Istoric_Nativ'!$Q$6:$Q$405&lt;=H1073))/AK1073)</x:f>
      </x:c>
      <x:c r="Q1073" s="10" t="str">
        <x:f>IF(OR(NOT(AND(J1073="PASS",'Calibrare_Linii'!U9="VALID")),AL1073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M82)+((('Istoric_Nativ'!$E$6:$E$405='Input_Meci'!E82)+('Istoric_Nativ'!$F$6:$F$405='Input_Meci'!E82))&gt;0)*('Istoric_Nativ'!$D$6:$D$405&gt;='Motor_Meciuri'!BN82))&gt;0)*('Istoric_Nativ'!$Q$6:$Q$405&lt;=H1073))/AL1073)</x:f>
      </x:c>
      <x:c r="R1073" s="10" t="str">
        <x:f>IF(OR(NOT(AND(J1073="PASS",'Calibrare_Linii'!U9="VALID")),AM1073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O82)+((('Istoric_Nativ'!$E$6:$E$405='Input_Meci'!E82)+('Istoric_Nativ'!$F$6:$F$405='Input_Meci'!E82))&gt;0)*('Istoric_Nativ'!$D$6:$D$405&gt;='Motor_Meciuri'!BP82))&gt;0)*('Istoric_Nativ'!$Q$6:$Q$405&lt;=H1073))/AM1073)</x:f>
      </x:c>
      <x:c r="S1073" s="10" t="str">
        <x:f>IF(M1073="","",MAX(O1073,P1073,Q1073,R1073))</x:f>
      </x:c>
      <x:c r="T1073" s="11" t="str">
        <x:f>IF(M1073="","",MIN(100,S1073*100*'Config_v6'!$B$44+MIN(100,L1073/'Config_v6'!$B$13*100)*'Config_v6'!$B$45+(100-'Motor_Meciuri'!BF82)*'Config_v6'!$B$46+'Motor_Meciuri'!BH82*100*'Config_v6'!$B$47))</x:f>
      </x:c>
      <x:c r="U1073" s="2" t="str">
        <x:f>IF(T1073="","",IF(T1073&lt;=20,1,IF(T1073&lt;=40,2,IF(T1073&lt;=60,3,IF(T1073&lt;=80,4,5)))))</x:f>
      </x:c>
      <x:c r="V1073" s="2" t="str">
        <x:f>IF(M1073="","",MAX(0,'Motor_Meciuri'!BF82-IF(W1073="OOS PENDING",'Config_v6'!$B$35,0)-IF(L1073&gt;'Config_v6'!$B$12,'Config_v6'!$B$37,IF(L1073&gt;'Config_v6'!$B$11,'Config_v6'!$B$36,0))))</x:f>
      </x:c>
      <x:c r="W1073" s="2" t="str">
        <x:f>IF(B1073="","",IF(I1073&lt;&gt;"READY","NOT RELEASED",IF(NOT(AND(J1073="PASS",'Calibrare_Linii'!U9="VALID")),"INVALID",IF(NOT(AND('Calibrare_Linii'!S9="VALIDATED",AND('Calibrare_Linii'!H9=C1073,ISNUMBER('Calibrare_Linii'!J9),'Calibrare_Linii'!J9&lt;='Input_Meci'!G82))),"OOS PENDING",IF(S1073&lt;='Calibrare_Linii'!E9,"PASS",IF(S1073&lt;='Calibrare_Linii'!F9,"PENALTY","WATCH"))))))</x:f>
      </x:c>
      <x:c r="X1073" s="2" t="str">
        <x:f>IF(M1073="","",IF(AND(AND(J1073="PASS",'Calibrare_Linii'!U9="VALID"),'Motor_Meciuri'!K82=12,'Motor_Meciuri'!L82=12,'Motor_Meciuri'!M82="NO",'Motor_Meciuri'!BL82='Motor_Meciuri'!C82,AB1073&gt;='Config_v6'!$B$50,AN1073&gt;='Config_v6'!$B$51,T1073&lt;='Config_v6'!$B$52,L1073&lt;='Config_v6'!$B$53,ISNUMBER('Calibrare_Linii'!E9),S1073&lt;='Calibrare_Linii'!E9,SUM(AK1073:AM1073)&gt;0),"CANDIDATE","NO"))</x:f>
      </x:c>
      <x:c r="Y1073" s="2" t="str">
        <x:f>IF(B1073="","",IF(I1073&lt;&gt;"READY","NOT RELEASED",IF(AND(X1073="CANDIDATE",V1073&gt;='Config_v6'!$B$51,W1073="PASS",'Calibrare_Linii'!T9="VALIDATED",AND('Calibrare_Linii'!H9=C1073,ISNUMBER('Calibrare_Linii'!J9),'Calibrare_Linii'!J9&lt;='Input_Meci'!G82)),"PASS",IF(X1073="CANDIDATE","OOS PENDING","FAIL"))))</x:f>
      </x:c>
      <x:c r="Z1073" s="2" t="str">
        <x:f>IF(B1073="","",IF(I1073&lt;&gt;"READY","",IF(OR(NOT(AND(J1073="PASS",'Calibrare_Linii'!U9="VALID")),L1073&gt;'Config_v6'!$B$13,W1073="WATCH"),5,IF(Y1073="PASS",1,MIN(5,MAX('Config_v6'!$B$42,U1073)+IF(W1073="PENALTY",1,0))))))</x:f>
      </x:c>
      <x:c r="AA1073" s="2" t="str">
        <x:f>IF(B1073="","",IF(I1073&lt;&gt;"READY","NOT RELEASED",IF(Z1073=5,"NO BET",IF(OR(AB1073&lt;'Config_v6'!$B$16,V1073&lt;'Config_v6'!$B$18),"WATCH",IF(Z1073=1,"DEFENSIV",IF(Z1073=2,"PRUDENT",IF(Z1073=3,"MODERAT","RIDICAT")))))))</x:f>
      </x:c>
      <x:c r="AB1073" s="10" t="str">
        <x:f>IF(N1073="","",MIN(N1073,1-S1073))</x:f>
      </x:c>
      <x:c r="AC1073" s="2" t="str">
        <x:f>IF(AD1073&lt;&gt;1,"",COUNTIFS($Z$1070:$Z$1083,"&lt;"&amp;Z1073,$AD$1070:$AD$1083,1)+COUNTIFS($Z$1070:$Z$1083,Z1073,$AB$1070:$AB$1083,"&gt;"&amp;AB1073,$AD$1070:$AD$1083,1)+COUNTIFS($Z$1070:$Z$1083,Z1073,$AB$1070:$AB$1083,AB1073,$V$1070:$V$1083,"&gt;"&amp;V1073,$AD$1070:$AD$1083,1)+COUNTIFS($Z$1070:Z1073,Z1073,$AB$1070:AB1073,AB1073,$V$1070:V1073,V1073,$AD$1070:AD1073,1))</x:f>
      </x:c>
      <x:c r="AD1073" s="2" t="n">
        <x:f>IF(OR(AA1073="DEFENSIV",AA1073="PRUDENT",AA1073="MODERAT",AA1073="RIDICAT"),1,0)</x:f>
        <x:v>0</x:v>
      </x:c>
      <x:c r="AE1073" s="2" t="str">
        <x:f>IF(AD1073&lt;&gt;1,"NO",IF(W1073="PASS","YES",IF(W1073="OOS PENDING","CONDITIONAL","NO")))</x:f>
        <x:v>NO</x:v>
      </x:c>
      <x:c r="AF1073" s="2" t="n">
        <x:f>IF(AND(AD1073=1,AC1073=1,E1073="LIVE"),1,0)</x:f>
        <x:v>0</x:v>
      </x:c>
      <x:c r="AG1073" s="2" t="str">
        <x:f>IF(AF1073&lt;&gt;1,"",'Dashboard'!P102)</x:f>
      </x:c>
      <x:c r="AH1073" s="2" t="str">
        <x:f>IF(B1073="","",IF(J1073&lt;&gt;"PASS",'Motor_Meciuri'!J82,IF('Calibrare_Linii'!U9&lt;&gt;"VALID","Parametri linie invalizi",IF(L1073&gt;'Config_v6'!$B$13,"Dispersie peste limita",IF(W1073="WATCH","Failure peste limita",IF(AB1073&lt;'Config_v6'!$B$16,"P finala sub prag",IF(V1073&lt;'Config_v6'!$B$18,"Confidence sub prag",IF(E1073="REPLAY","Exemplu retrospectiv; exclus din Top LIVE",IF(Y1073="PASS","DEFENSIV validat",IF(W1073="OOS PENDING","Eligibil; calibrare linie in monitorizare","Eligibil"))))))))))</x:f>
      </x:c>
      <x:c r="AI1073" s="2" t="str">
        <x:f>IF(B1073="","",'Calibrare_Linii'!V9)</x:f>
      </x:c>
      <x:c r="AJ1073" s="2" t="str">
        <x:f>IF(B1073="","",IF(AND('Calibrare_Linii'!T9="VALIDATED",AND('Calibrare_Linii'!H9=C1073,ISNUMBER('Calibrare_Linii'!J9),'Calibrare_Linii'!J9&lt;='Input_Meci'!G82)),"DEFENSIVE VALIDATED",IF(AND('Calibrare_Linii'!S9="VALIDATED",AND('Calibrare_Linii'!H9=C1073,ISNUMBER('Calibrare_Linii'!J9),'Calibrare_Linii'!J9&lt;='Input_Meci'!G82)),"TAIL VALIDATED","OOS PENDING")))</x:f>
      </x:c>
      <x:c r="AK1073" s="2" t="n">
        <x:f>IF(J1073&lt;&gt;"PASS",0,'Motor_Meciuri'!BR82)</x:f>
        <x:v>0</x:v>
      </x:c>
      <x:c r="AL1073" s="2" t="n">
        <x:f>IF(J1073&lt;&gt;"PASS",0,'Motor_Meciuri'!BS82)</x:f>
        <x:v>0</x:v>
      </x:c>
      <x:c r="AM1073" s="2" t="n">
        <x:f>IF(J1073&lt;&gt;"PASS",0,'Motor_Meciuri'!BT82)</x:f>
        <x:v>0</x:v>
      </x:c>
      <x:c r="AN1073" s="2" t="str">
        <x:f>IF(M1073="","",MAX(0,'Motor_Meciuri'!BF82-IF(L1073&gt;'Config_v6'!$B$12,'Config_v6'!$B$37,IF(L1073&gt;'Config_v6'!$B$11,'Config_v6'!$B$36,0))))</x:f>
      </x:c>
    </x:row>
    <x:row r="1074" ht="21" customHeight="1">
      <x:c r="A1074" s="2" t="n">
        <x:v>77</x:v>
      </x:c>
      <x:c r="B1074" s="2" t="str">
        <x:f>IF('Motor_Meciuri'!A82="","",'Motor_Meciuri'!A82)</x:f>
      </x:c>
      <x:c r="C1074" s="2" t="str">
        <x:f>IF(B1074="","",'Motor_Meciuri'!B82)</x:f>
      </x:c>
      <x:c r="D1074" s="2" t="str">
        <x:f>IF(B1074="","",'Motor_Meciuri'!D82)</x:f>
      </x:c>
      <x:c r="E1074" s="2" t="str">
        <x:f>IF(B1074="","",'Motor_Meciuri'!E82)</x:f>
      </x:c>
      <x:c r="F1074" s="2" t="str">
        <x:v>O7,5</x:v>
      </x:c>
      <x:c r="G1074" s="2" t="str">
        <x:v>OVER</x:v>
      </x:c>
      <x:c r="H1074" s="2" t="n">
        <x:v>7</x:v>
      </x:c>
      <x:c r="I1074" s="2" t="str">
        <x:f>IF(B1074="","",'Motor_Meciuri'!H82)</x:f>
      </x:c>
      <x:c r="J1074" s="2" t="str">
        <x:f>IF(B1074="","",'Motor_Meciuri'!I82)</x:f>
      </x:c>
      <x:c r="K1074" s="11" t="str">
        <x:f>IF(J1074&lt;&gt;"PASS","",'Motor_Meciuri'!BD82)</x:f>
      </x:c>
      <x:c r="L1074" s="11" t="str">
        <x:f>IF(J1074&lt;&gt;"PASS","",'Motor_Meciuri'!AU82)</x:f>
      </x:c>
      <x:c r="M1074" s="10" t="str">
        <x:f>IF(NOT(AND(J1074="PASS",'Calibrare_Linii'!U10="VALID")),"",1-'Distributie'!AE82)</x:f>
      </x:c>
      <x:c r="N1074" s="10" t="str">
        <x:f>IF(M1074="","",MAX(0.01,MIN(0.99,0.5+(M1074-0.5)*'Motor_Meciuri'!BG82*'Calibrare_Linii'!D10)))</x:f>
      </x:c>
      <x:c r="O1074" s="10" t="str">
        <x:f>IF(M1074="","",1-M1074)</x:f>
      </x:c>
      <x:c r="P1074" s="10" t="str">
        <x:f>IF(OR(NOT(AND(J1074="PASS",'Calibrare_Linii'!U10="VALID")),AK1074=0),""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*('Istoric_Nativ'!$Q$6:$Q$405&lt;=H1074))/AK1074)</x:f>
      </x:c>
      <x:c r="Q1074" s="10" t="str">
        <x:f>IF(OR(NOT(AND(J1074="PASS",'Calibrare_Linii'!U10="VALID")),AL1074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M82)+((('Istoric_Nativ'!$E$6:$E$405='Input_Meci'!E82)+('Istoric_Nativ'!$F$6:$F$405='Input_Meci'!E82))&gt;0)*('Istoric_Nativ'!$D$6:$D$405&gt;='Motor_Meciuri'!BN82))&gt;0)*('Istoric_Nativ'!$Q$6:$Q$405&lt;=H1074))/AL1074)</x:f>
      </x:c>
      <x:c r="R1074" s="10" t="str">
        <x:f>IF(OR(NOT(AND(J1074="PASS",'Calibrare_Linii'!U10="VALID")),AM1074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O82)+((('Istoric_Nativ'!$E$6:$E$405='Input_Meci'!E82)+('Istoric_Nativ'!$F$6:$F$405='Input_Meci'!E82))&gt;0)*('Istoric_Nativ'!$D$6:$D$405&gt;='Motor_Meciuri'!BP82))&gt;0)*('Istoric_Nativ'!$Q$6:$Q$405&lt;=H1074))/AM1074)</x:f>
      </x:c>
      <x:c r="S1074" s="10" t="str">
        <x:f>IF(M1074="","",MAX(O1074,P1074,Q1074,R1074))</x:f>
      </x:c>
      <x:c r="T1074" s="11" t="str">
        <x:f>IF(M1074="","",MIN(100,S1074*100*'Config_v6'!$B$44+MIN(100,L1074/'Config_v6'!$B$13*100)*'Config_v6'!$B$45+(100-'Motor_Meciuri'!BF82)*'Config_v6'!$B$46+'Motor_Meciuri'!BH82*100*'Config_v6'!$B$47))</x:f>
      </x:c>
      <x:c r="U1074" s="2" t="str">
        <x:f>IF(T1074="","",IF(T1074&lt;=20,1,IF(T1074&lt;=40,2,IF(T1074&lt;=60,3,IF(T1074&lt;=80,4,5)))))</x:f>
      </x:c>
      <x:c r="V1074" s="2" t="str">
        <x:f>IF(M1074="","",MAX(0,'Motor_Meciuri'!BF82-IF(W1074="OOS PENDING",'Config_v6'!$B$35,0)-IF(L1074&gt;'Config_v6'!$B$12,'Config_v6'!$B$37,IF(L1074&gt;'Config_v6'!$B$11,'Config_v6'!$B$36,0))))</x:f>
      </x:c>
      <x:c r="W1074" s="2" t="str">
        <x:f>IF(B1074="","",IF(I1074&lt;&gt;"READY","NOT RELEASED",IF(NOT(AND(J1074="PASS",'Calibrare_Linii'!U10="VALID")),"INVALID",IF(NOT(AND('Calibrare_Linii'!S10="VALIDATED",AND('Calibrare_Linii'!H10=C1074,ISNUMBER('Calibrare_Linii'!J10),'Calibrare_Linii'!J10&lt;='Input_Meci'!G82))),"OOS PENDING",IF(S1074&lt;='Calibrare_Linii'!E10,"PASS",IF(S1074&lt;='Calibrare_Linii'!F10,"PENALTY","WATCH"))))))</x:f>
      </x:c>
      <x:c r="X1074" s="2" t="str">
        <x:f>IF(M1074="","",IF(AND(AND(J1074="PASS",'Calibrare_Linii'!U10="VALID"),'Motor_Meciuri'!K82=12,'Motor_Meciuri'!L82=12,'Motor_Meciuri'!M82="NO",'Motor_Meciuri'!BL82='Motor_Meciuri'!C82,AB1074&gt;='Config_v6'!$B$50,AN1074&gt;='Config_v6'!$B$51,T1074&lt;='Config_v6'!$B$52,L1074&lt;='Config_v6'!$B$53,ISNUMBER('Calibrare_Linii'!E10),S1074&lt;='Calibrare_Linii'!E10,SUM(AK1074:AM1074)&gt;0),"CANDIDATE","NO"))</x:f>
      </x:c>
      <x:c r="Y1074" s="2" t="str">
        <x:f>IF(B1074="","",IF(I1074&lt;&gt;"READY","NOT RELEASED",IF(AND(X1074="CANDIDATE",V1074&gt;='Config_v6'!$B$51,W1074="PASS",'Calibrare_Linii'!T10="VALIDATED",AND('Calibrare_Linii'!H10=C1074,ISNUMBER('Calibrare_Linii'!J10),'Calibrare_Linii'!J10&lt;='Input_Meci'!G82)),"PASS",IF(X1074="CANDIDATE","OOS PENDING","FAIL"))))</x:f>
      </x:c>
      <x:c r="Z1074" s="2" t="str">
        <x:f>IF(B1074="","",IF(I1074&lt;&gt;"READY","",IF(OR(NOT(AND(J1074="PASS",'Calibrare_Linii'!U10="VALID")),L1074&gt;'Config_v6'!$B$13,W1074="WATCH"),5,IF(Y1074="PASS",1,MIN(5,MAX('Config_v6'!$B$42,U1074)+IF(W1074="PENALTY",1,0))))))</x:f>
      </x:c>
      <x:c r="AA1074" s="2" t="str">
        <x:f>IF(B1074="","",IF(I1074&lt;&gt;"READY","NOT RELEASED",IF(Z1074=5,"NO BET",IF(OR(AB1074&lt;'Config_v6'!$B$16,V1074&lt;'Config_v6'!$B$18),"WATCH",IF(Z1074=1,"DEFENSIV",IF(Z1074=2,"PRUDENT",IF(Z1074=3,"MODERAT","RIDICAT")))))))</x:f>
      </x:c>
      <x:c r="AB1074" s="10" t="str">
        <x:f>IF(N1074="","",MIN(N1074,1-S1074))</x:f>
      </x:c>
      <x:c r="AC1074" s="2" t="str">
        <x:f>IF(AD1074&lt;&gt;1,"",COUNTIFS($Z$1070:$Z$1083,"&lt;"&amp;Z1074,$AD$1070:$AD$1083,1)+COUNTIFS($Z$1070:$Z$1083,Z1074,$AB$1070:$AB$1083,"&gt;"&amp;AB1074,$AD$1070:$AD$1083,1)+COUNTIFS($Z$1070:$Z$1083,Z1074,$AB$1070:$AB$1083,AB1074,$V$1070:$V$1083,"&gt;"&amp;V1074,$AD$1070:$AD$1083,1)+COUNTIFS($Z$1070:Z1074,Z1074,$AB$1070:AB1074,AB1074,$V$1070:V1074,V1074,$AD$1070:AD1074,1))</x:f>
      </x:c>
      <x:c r="AD1074" s="2" t="n">
        <x:f>IF(OR(AA1074="DEFENSIV",AA1074="PRUDENT",AA1074="MODERAT",AA1074="RIDICAT"),1,0)</x:f>
        <x:v>0</x:v>
      </x:c>
      <x:c r="AE1074" s="2" t="str">
        <x:f>IF(AD1074&lt;&gt;1,"NO",IF(W1074="PASS","YES",IF(W1074="OOS PENDING","CONDITIONAL","NO")))</x:f>
        <x:v>NO</x:v>
      </x:c>
      <x:c r="AF1074" s="2" t="n">
        <x:f>IF(AND(AD1074=1,AC1074=1,E1074="LIVE"),1,0)</x:f>
        <x:v>0</x:v>
      </x:c>
      <x:c r="AG1074" s="2" t="str">
        <x:f>IF(AF1074&lt;&gt;1,"",'Dashboard'!P102)</x:f>
      </x:c>
      <x:c r="AH1074" s="2" t="str">
        <x:f>IF(B1074="","",IF(J1074&lt;&gt;"PASS",'Motor_Meciuri'!J82,IF('Calibrare_Linii'!U10&lt;&gt;"VALID","Parametri linie invalizi",IF(L1074&gt;'Config_v6'!$B$13,"Dispersie peste limita",IF(W1074="WATCH","Failure peste limita",IF(AB1074&lt;'Config_v6'!$B$16,"P finala sub prag",IF(V1074&lt;'Config_v6'!$B$18,"Confidence sub prag",IF(E1074="REPLAY","Exemplu retrospectiv; exclus din Top LIVE",IF(Y1074="PASS","DEFENSIV validat",IF(W1074="OOS PENDING","Eligibil; calibrare linie in monitorizare","Eligibil"))))))))))</x:f>
      </x:c>
      <x:c r="AI1074" s="2" t="str">
        <x:f>IF(B1074="","",'Calibrare_Linii'!V10)</x:f>
      </x:c>
      <x:c r="AJ1074" s="2" t="str">
        <x:f>IF(B1074="","",IF(AND('Calibrare_Linii'!T10="VALIDATED",AND('Calibrare_Linii'!H10=C1074,ISNUMBER('Calibrare_Linii'!J10),'Calibrare_Linii'!J10&lt;='Input_Meci'!G82)),"DEFENSIVE VALIDATED",IF(AND('Calibrare_Linii'!S10="VALIDATED",AND('Calibrare_Linii'!H10=C1074,ISNUMBER('Calibrare_Linii'!J10),'Calibrare_Linii'!J10&lt;='Input_Meci'!G82)),"TAIL VALIDATED","OOS PENDING")))</x:f>
      </x:c>
      <x:c r="AK1074" s="2" t="n">
        <x:f>IF(J1074&lt;&gt;"PASS",0,'Motor_Meciuri'!BR82)</x:f>
        <x:v>0</x:v>
      </x:c>
      <x:c r="AL1074" s="2" t="n">
        <x:f>IF(J1074&lt;&gt;"PASS",0,'Motor_Meciuri'!BS82)</x:f>
        <x:v>0</x:v>
      </x:c>
      <x:c r="AM1074" s="2" t="n">
        <x:f>IF(J1074&lt;&gt;"PASS",0,'Motor_Meciuri'!BT82)</x:f>
        <x:v>0</x:v>
      </x:c>
      <x:c r="AN1074" s="2" t="str">
        <x:f>IF(M1074="","",MAX(0,'Motor_Meciuri'!BF82-IF(L1074&gt;'Config_v6'!$B$12,'Config_v6'!$B$37,IF(L1074&gt;'Config_v6'!$B$11,'Config_v6'!$B$36,0))))</x:f>
      </x:c>
    </x:row>
    <x:row r="1075" ht="21" customHeight="1">
      <x:c r="A1075" s="2" t="n">
        <x:v>77</x:v>
      </x:c>
      <x:c r="B1075" s="2" t="str">
        <x:f>IF('Motor_Meciuri'!A82="","",'Motor_Meciuri'!A82)</x:f>
      </x:c>
      <x:c r="C1075" s="2" t="str">
        <x:f>IF(B1075="","",'Motor_Meciuri'!B82)</x:f>
      </x:c>
      <x:c r="D1075" s="2" t="str">
        <x:f>IF(B1075="","",'Motor_Meciuri'!D82)</x:f>
      </x:c>
      <x:c r="E1075" s="2" t="str">
        <x:f>IF(B1075="","",'Motor_Meciuri'!E82)</x:f>
      </x:c>
      <x:c r="F1075" s="2" t="str">
        <x:v>O8,5</x:v>
      </x:c>
      <x:c r="G1075" s="2" t="str">
        <x:v>OVER</x:v>
      </x:c>
      <x:c r="H1075" s="2" t="n">
        <x:v>8</x:v>
      </x:c>
      <x:c r="I1075" s="2" t="str">
        <x:f>IF(B1075="","",'Motor_Meciuri'!H82)</x:f>
      </x:c>
      <x:c r="J1075" s="2" t="str">
        <x:f>IF(B1075="","",'Motor_Meciuri'!I82)</x:f>
      </x:c>
      <x:c r="K1075" s="11" t="str">
        <x:f>IF(J1075&lt;&gt;"PASS","",'Motor_Meciuri'!BD82)</x:f>
      </x:c>
      <x:c r="L1075" s="11" t="str">
        <x:f>IF(J1075&lt;&gt;"PASS","",'Motor_Meciuri'!AU82)</x:f>
      </x:c>
      <x:c r="M1075" s="10" t="str">
        <x:f>IF(NOT(AND(J1075="PASS",'Calibrare_Linii'!U11="VALID")),"",1-'Distributie'!AF82)</x:f>
      </x:c>
      <x:c r="N1075" s="10" t="str">
        <x:f>IF(M1075="","",MAX(0.01,MIN(0.99,0.5+(M1075-0.5)*'Motor_Meciuri'!BG82*'Calibrare_Linii'!D11)))</x:f>
      </x:c>
      <x:c r="O1075" s="10" t="str">
        <x:f>IF(M1075="","",1-M1075)</x:f>
      </x:c>
      <x:c r="P1075" s="10" t="str">
        <x:f>IF(OR(NOT(AND(J1075="PASS",'Calibrare_Linii'!U11="VALID")),AK1075=0),""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*('Istoric_Nativ'!$Q$6:$Q$405&lt;=H1075))/AK1075)</x:f>
      </x:c>
      <x:c r="Q1075" s="10" t="str">
        <x:f>IF(OR(NOT(AND(J1075="PASS",'Calibrare_Linii'!U11="VALID")),AL1075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M82)+((('Istoric_Nativ'!$E$6:$E$405='Input_Meci'!E82)+('Istoric_Nativ'!$F$6:$F$405='Input_Meci'!E82))&gt;0)*('Istoric_Nativ'!$D$6:$D$405&gt;='Motor_Meciuri'!BN82))&gt;0)*('Istoric_Nativ'!$Q$6:$Q$405&lt;=H1075))/AL1075)</x:f>
      </x:c>
      <x:c r="R1075" s="10" t="str">
        <x:f>IF(OR(NOT(AND(J1075="PASS",'Calibrare_Linii'!U11="VALID")),AM1075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O82)+((('Istoric_Nativ'!$E$6:$E$405='Input_Meci'!E82)+('Istoric_Nativ'!$F$6:$F$405='Input_Meci'!E82))&gt;0)*('Istoric_Nativ'!$D$6:$D$405&gt;='Motor_Meciuri'!BP82))&gt;0)*('Istoric_Nativ'!$Q$6:$Q$405&lt;=H1075))/AM1075)</x:f>
      </x:c>
      <x:c r="S1075" s="10" t="str">
        <x:f>IF(M1075="","",MAX(O1075,P1075,Q1075,R1075))</x:f>
      </x:c>
      <x:c r="T1075" s="11" t="str">
        <x:f>IF(M1075="","",MIN(100,S1075*100*'Config_v6'!$B$44+MIN(100,L1075/'Config_v6'!$B$13*100)*'Config_v6'!$B$45+(100-'Motor_Meciuri'!BF82)*'Config_v6'!$B$46+'Motor_Meciuri'!BH82*100*'Config_v6'!$B$47))</x:f>
      </x:c>
      <x:c r="U1075" s="2" t="str">
        <x:f>IF(T1075="","",IF(T1075&lt;=20,1,IF(T1075&lt;=40,2,IF(T1075&lt;=60,3,IF(T1075&lt;=80,4,5)))))</x:f>
      </x:c>
      <x:c r="V1075" s="2" t="str">
        <x:f>IF(M1075="","",MAX(0,'Motor_Meciuri'!BF82-IF(W1075="OOS PENDING",'Config_v6'!$B$35,0)-IF(L1075&gt;'Config_v6'!$B$12,'Config_v6'!$B$37,IF(L1075&gt;'Config_v6'!$B$11,'Config_v6'!$B$36,0))))</x:f>
      </x:c>
      <x:c r="W1075" s="2" t="str">
        <x:f>IF(B1075="","",IF(I1075&lt;&gt;"READY","NOT RELEASED",IF(NOT(AND(J1075="PASS",'Calibrare_Linii'!U11="VALID")),"INVALID",IF(NOT(AND('Calibrare_Linii'!S11="VALIDATED",AND('Calibrare_Linii'!H11=C1075,ISNUMBER('Calibrare_Linii'!J11),'Calibrare_Linii'!J11&lt;='Input_Meci'!G82))),"OOS PENDING",IF(S1075&lt;='Calibrare_Linii'!E11,"PASS",IF(S1075&lt;='Calibrare_Linii'!F11,"PENALTY","WATCH"))))))</x:f>
      </x:c>
      <x:c r="X1075" s="2" t="str">
        <x:f>IF(M1075="","",IF(AND(AND(J1075="PASS",'Calibrare_Linii'!U11="VALID"),'Motor_Meciuri'!K82=12,'Motor_Meciuri'!L82=12,'Motor_Meciuri'!M82="NO",'Motor_Meciuri'!BL82='Motor_Meciuri'!C82,AB1075&gt;='Config_v6'!$B$50,AN1075&gt;='Config_v6'!$B$51,T1075&lt;='Config_v6'!$B$52,L1075&lt;='Config_v6'!$B$53,ISNUMBER('Calibrare_Linii'!E11),S1075&lt;='Calibrare_Linii'!E11,SUM(AK1075:AM1075)&gt;0),"CANDIDATE","NO"))</x:f>
      </x:c>
      <x:c r="Y1075" s="2" t="str">
        <x:f>IF(B1075="","",IF(I1075&lt;&gt;"READY","NOT RELEASED",IF(AND(X1075="CANDIDATE",V1075&gt;='Config_v6'!$B$51,W1075="PASS",'Calibrare_Linii'!T11="VALIDATED",AND('Calibrare_Linii'!H11=C1075,ISNUMBER('Calibrare_Linii'!J11),'Calibrare_Linii'!J11&lt;='Input_Meci'!G82)),"PASS",IF(X1075="CANDIDATE","OOS PENDING","FAIL"))))</x:f>
      </x:c>
      <x:c r="Z1075" s="2" t="str">
        <x:f>IF(B1075="","",IF(I1075&lt;&gt;"READY","",IF(OR(NOT(AND(J1075="PASS",'Calibrare_Linii'!U11="VALID")),L1075&gt;'Config_v6'!$B$13,W1075="WATCH"),5,IF(Y1075="PASS",1,MIN(5,MAX('Config_v6'!$B$42,U1075)+IF(W1075="PENALTY",1,0))))))</x:f>
      </x:c>
      <x:c r="AA1075" s="2" t="str">
        <x:f>IF(B1075="","",IF(I1075&lt;&gt;"READY","NOT RELEASED",IF(Z1075=5,"NO BET",IF(OR(AB1075&lt;'Config_v6'!$B$16,V1075&lt;'Config_v6'!$B$18),"WATCH",IF(Z1075=1,"DEFENSIV",IF(Z1075=2,"PRUDENT",IF(Z1075=3,"MODERAT","RIDICAT")))))))</x:f>
      </x:c>
      <x:c r="AB1075" s="10" t="str">
        <x:f>IF(N1075="","",MIN(N1075,1-S1075))</x:f>
      </x:c>
      <x:c r="AC1075" s="2" t="str">
        <x:f>IF(AD1075&lt;&gt;1,"",COUNTIFS($Z$1070:$Z$1083,"&lt;"&amp;Z1075,$AD$1070:$AD$1083,1)+COUNTIFS($Z$1070:$Z$1083,Z1075,$AB$1070:$AB$1083,"&gt;"&amp;AB1075,$AD$1070:$AD$1083,1)+COUNTIFS($Z$1070:$Z$1083,Z1075,$AB$1070:$AB$1083,AB1075,$V$1070:$V$1083,"&gt;"&amp;V1075,$AD$1070:$AD$1083,1)+COUNTIFS($Z$1070:Z1075,Z1075,$AB$1070:AB1075,AB1075,$V$1070:V1075,V1075,$AD$1070:AD1075,1))</x:f>
      </x:c>
      <x:c r="AD1075" s="2" t="n">
        <x:f>IF(OR(AA1075="DEFENSIV",AA1075="PRUDENT",AA1075="MODERAT",AA1075="RIDICAT"),1,0)</x:f>
        <x:v>0</x:v>
      </x:c>
      <x:c r="AE1075" s="2" t="str">
        <x:f>IF(AD1075&lt;&gt;1,"NO",IF(W1075="PASS","YES",IF(W1075="OOS PENDING","CONDITIONAL","NO")))</x:f>
        <x:v>NO</x:v>
      </x:c>
      <x:c r="AF1075" s="2" t="n">
        <x:f>IF(AND(AD1075=1,AC1075=1,E1075="LIVE"),1,0)</x:f>
        <x:v>0</x:v>
      </x:c>
      <x:c r="AG1075" s="2" t="str">
        <x:f>IF(AF1075&lt;&gt;1,"",'Dashboard'!P102)</x:f>
      </x:c>
      <x:c r="AH1075" s="2" t="str">
        <x:f>IF(B1075="","",IF(J1075&lt;&gt;"PASS",'Motor_Meciuri'!J82,IF('Calibrare_Linii'!U11&lt;&gt;"VALID","Parametri linie invalizi",IF(L1075&gt;'Config_v6'!$B$13,"Dispersie peste limita",IF(W1075="WATCH","Failure peste limita",IF(AB1075&lt;'Config_v6'!$B$16,"P finala sub prag",IF(V1075&lt;'Config_v6'!$B$18,"Confidence sub prag",IF(E1075="REPLAY","Exemplu retrospectiv; exclus din Top LIVE",IF(Y1075="PASS","DEFENSIV validat",IF(W1075="OOS PENDING","Eligibil; calibrare linie in monitorizare","Eligibil"))))))))))</x:f>
      </x:c>
      <x:c r="AI1075" s="2" t="str">
        <x:f>IF(B1075="","",'Calibrare_Linii'!V11)</x:f>
      </x:c>
      <x:c r="AJ1075" s="2" t="str">
        <x:f>IF(B1075="","",IF(AND('Calibrare_Linii'!T11="VALIDATED",AND('Calibrare_Linii'!H11=C1075,ISNUMBER('Calibrare_Linii'!J11),'Calibrare_Linii'!J11&lt;='Input_Meci'!G82)),"DEFENSIVE VALIDATED",IF(AND('Calibrare_Linii'!S11="VALIDATED",AND('Calibrare_Linii'!H11=C1075,ISNUMBER('Calibrare_Linii'!J11),'Calibrare_Linii'!J11&lt;='Input_Meci'!G82)),"TAIL VALIDATED","OOS PENDING")))</x:f>
      </x:c>
      <x:c r="AK1075" s="2" t="n">
        <x:f>IF(J1075&lt;&gt;"PASS",0,'Motor_Meciuri'!BR82)</x:f>
        <x:v>0</x:v>
      </x:c>
      <x:c r="AL1075" s="2" t="n">
        <x:f>IF(J1075&lt;&gt;"PASS",0,'Motor_Meciuri'!BS82)</x:f>
        <x:v>0</x:v>
      </x:c>
      <x:c r="AM1075" s="2" t="n">
        <x:f>IF(J1075&lt;&gt;"PASS",0,'Motor_Meciuri'!BT82)</x:f>
        <x:v>0</x:v>
      </x:c>
      <x:c r="AN1075" s="2" t="str">
        <x:f>IF(M1075="","",MAX(0,'Motor_Meciuri'!BF82-IF(L1075&gt;'Config_v6'!$B$12,'Config_v6'!$B$37,IF(L1075&gt;'Config_v6'!$B$11,'Config_v6'!$B$36,0))))</x:f>
      </x:c>
    </x:row>
    <x:row r="1076" ht="21" customHeight="1">
      <x:c r="A1076" s="2" t="n">
        <x:v>77</x:v>
      </x:c>
      <x:c r="B1076" s="2" t="str">
        <x:f>IF('Motor_Meciuri'!A82="","",'Motor_Meciuri'!A82)</x:f>
      </x:c>
      <x:c r="C1076" s="2" t="str">
        <x:f>IF(B1076="","",'Motor_Meciuri'!B82)</x:f>
      </x:c>
      <x:c r="D1076" s="2" t="str">
        <x:f>IF(B1076="","",'Motor_Meciuri'!D82)</x:f>
      </x:c>
      <x:c r="E1076" s="2" t="str">
        <x:f>IF(B1076="","",'Motor_Meciuri'!E82)</x:f>
      </x:c>
      <x:c r="F1076" s="2" t="str">
        <x:v>U10,5</x:v>
      </x:c>
      <x:c r="G1076" s="2" t="str">
        <x:v>UNDER</x:v>
      </x:c>
      <x:c r="H1076" s="2" t="n">
        <x:v>10</x:v>
      </x:c>
      <x:c r="I1076" s="2" t="str">
        <x:f>IF(B1076="","",'Motor_Meciuri'!H82)</x:f>
      </x:c>
      <x:c r="J1076" s="2" t="str">
        <x:f>IF(B1076="","",'Motor_Meciuri'!I82)</x:f>
      </x:c>
      <x:c r="K1076" s="11" t="str">
        <x:f>IF(J1076&lt;&gt;"PASS","",'Motor_Meciuri'!BD82)</x:f>
      </x:c>
      <x:c r="L1076" s="11" t="str">
        <x:f>IF(J1076&lt;&gt;"PASS","",'Motor_Meciuri'!AU82)</x:f>
      </x:c>
      <x:c r="M1076" s="10" t="str">
        <x:f>IF(NOT(AND(J1076="PASS",'Calibrare_Linii'!U12="VALID")),"",'Distributie'!AH82)</x:f>
      </x:c>
      <x:c r="N1076" s="10" t="str">
        <x:f>IF(M1076="","",MAX(0.01,MIN(0.99,0.5+(M1076-0.5)*'Motor_Meciuri'!BG82*'Calibrare_Linii'!D12)))</x:f>
      </x:c>
      <x:c r="O1076" s="10" t="str">
        <x:f>IF(M1076="","",1-M1076)</x:f>
      </x:c>
      <x:c r="P1076" s="10" t="str">
        <x:f>IF(OR(NOT(AND(J1076="PASS",'Calibrare_Linii'!U12="VALID")),AK1076=0),""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*('Istoric_Nativ'!$Q$6:$Q$405&gt;H1076))/AK1076)</x:f>
      </x:c>
      <x:c r="Q1076" s="10" t="str">
        <x:f>IF(OR(NOT(AND(J1076="PASS",'Calibrare_Linii'!U12="VALID")),AL1076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M82)+((('Istoric_Nativ'!$E$6:$E$405='Input_Meci'!E82)+('Istoric_Nativ'!$F$6:$F$405='Input_Meci'!E82))&gt;0)*('Istoric_Nativ'!$D$6:$D$405&gt;='Motor_Meciuri'!BN82))&gt;0)*('Istoric_Nativ'!$Q$6:$Q$405&gt;H1076))/AL1076)</x:f>
      </x:c>
      <x:c r="R1076" s="10" t="str">
        <x:f>IF(OR(NOT(AND(J1076="PASS",'Calibrare_Linii'!U12="VALID")),AM1076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O82)+((('Istoric_Nativ'!$E$6:$E$405='Input_Meci'!E82)+('Istoric_Nativ'!$F$6:$F$405='Input_Meci'!E82))&gt;0)*('Istoric_Nativ'!$D$6:$D$405&gt;='Motor_Meciuri'!BP82))&gt;0)*('Istoric_Nativ'!$Q$6:$Q$405&gt;H1076))/AM1076)</x:f>
      </x:c>
      <x:c r="S1076" s="10" t="str">
        <x:f>IF(M1076="","",MAX(O1076,P1076,Q1076,R1076))</x:f>
      </x:c>
      <x:c r="T1076" s="11" t="str">
        <x:f>IF(M1076="","",MIN(100,S1076*100*'Config_v6'!$B$44+MIN(100,L1076/'Config_v6'!$B$13*100)*'Config_v6'!$B$45+(100-'Motor_Meciuri'!BF82)*'Config_v6'!$B$46+'Motor_Meciuri'!BH82*100*'Config_v6'!$B$47))</x:f>
      </x:c>
      <x:c r="U1076" s="2" t="str">
        <x:f>IF(T1076="","",IF(T1076&lt;=20,1,IF(T1076&lt;=40,2,IF(T1076&lt;=60,3,IF(T1076&lt;=80,4,5)))))</x:f>
      </x:c>
      <x:c r="V1076" s="2" t="str">
        <x:f>IF(M1076="","",MAX(0,'Motor_Meciuri'!BF82-IF(W1076="OOS PENDING",'Config_v6'!$B$35,0)-IF(L1076&gt;'Config_v6'!$B$12,'Config_v6'!$B$37,IF(L1076&gt;'Config_v6'!$B$11,'Config_v6'!$B$36,0))))</x:f>
      </x:c>
      <x:c r="W1076" s="2" t="str">
        <x:f>IF(B1076="","",IF(I1076&lt;&gt;"READY","NOT RELEASED",IF(NOT(AND(J1076="PASS",'Calibrare_Linii'!U12="VALID")),"INVALID",IF(NOT(AND('Calibrare_Linii'!S12="VALIDATED",AND('Calibrare_Linii'!H12=C1076,ISNUMBER('Calibrare_Linii'!J12),'Calibrare_Linii'!J12&lt;='Input_Meci'!G82))),"OOS PENDING",IF(S1076&lt;='Calibrare_Linii'!E12,"PASS",IF(S1076&lt;='Calibrare_Linii'!F12,"PENALTY","WATCH"))))))</x:f>
      </x:c>
      <x:c r="X1076" s="2" t="str">
        <x:f>IF(M1076="","",IF(AND(AND(J1076="PASS",'Calibrare_Linii'!U12="VALID"),'Motor_Meciuri'!K82=12,'Motor_Meciuri'!L82=12,'Motor_Meciuri'!M82="NO",'Motor_Meciuri'!BL82='Motor_Meciuri'!C82,AB1076&gt;='Config_v6'!$B$50,AN1076&gt;='Config_v6'!$B$51,T1076&lt;='Config_v6'!$B$52,L1076&lt;='Config_v6'!$B$53,ISNUMBER('Calibrare_Linii'!E12),S1076&lt;='Calibrare_Linii'!E12,SUM(AK1076:AM1076)&gt;0),"CANDIDATE","NO"))</x:f>
      </x:c>
      <x:c r="Y1076" s="2" t="str">
        <x:f>IF(B1076="","",IF(I1076&lt;&gt;"READY","NOT RELEASED",IF(AND(X1076="CANDIDATE",V1076&gt;='Config_v6'!$B$51,W1076="PASS",'Calibrare_Linii'!T12="VALIDATED",AND('Calibrare_Linii'!H12=C1076,ISNUMBER('Calibrare_Linii'!J12),'Calibrare_Linii'!J12&lt;='Input_Meci'!G82)),"PASS",IF(X1076="CANDIDATE","OOS PENDING","FAIL"))))</x:f>
      </x:c>
      <x:c r="Z1076" s="2" t="str">
        <x:f>IF(B1076="","",IF(I1076&lt;&gt;"READY","",IF(OR(NOT(AND(J1076="PASS",'Calibrare_Linii'!U12="VALID")),L1076&gt;'Config_v6'!$B$13,W1076="WATCH"),5,IF(Y1076="PASS",1,MIN(5,MAX('Config_v6'!$B$42,U1076)+IF(W1076="PENALTY",1,0))))))</x:f>
      </x:c>
      <x:c r="AA1076" s="2" t="str">
        <x:f>IF(B1076="","",IF(I1076&lt;&gt;"READY","NOT RELEASED",IF(Z1076=5,"NO BET",IF(OR(AB1076&lt;'Config_v6'!$B$16,V1076&lt;'Config_v6'!$B$18),"WATCH",IF(Z1076=1,"DEFENSIV",IF(Z1076=2,"PRUDENT",IF(Z1076=3,"MODERAT","RIDICAT")))))))</x:f>
      </x:c>
      <x:c r="AB1076" s="10" t="str">
        <x:f>IF(N1076="","",MIN(N1076,1-S1076))</x:f>
      </x:c>
      <x:c r="AC1076" s="2" t="str">
        <x:f>IF(AD1076&lt;&gt;1,"",COUNTIFS($Z$1070:$Z$1083,"&lt;"&amp;Z1076,$AD$1070:$AD$1083,1)+COUNTIFS($Z$1070:$Z$1083,Z1076,$AB$1070:$AB$1083,"&gt;"&amp;AB1076,$AD$1070:$AD$1083,1)+COUNTIFS($Z$1070:$Z$1083,Z1076,$AB$1070:$AB$1083,AB1076,$V$1070:$V$1083,"&gt;"&amp;V1076,$AD$1070:$AD$1083,1)+COUNTIFS($Z$1070:Z1076,Z1076,$AB$1070:AB1076,AB1076,$V$1070:V1076,V1076,$AD$1070:AD1076,1))</x:f>
      </x:c>
      <x:c r="AD1076" s="2" t="n">
        <x:f>IF(OR(AA1076="DEFENSIV",AA1076="PRUDENT",AA1076="MODERAT",AA1076="RIDICAT"),1,0)</x:f>
        <x:v>0</x:v>
      </x:c>
      <x:c r="AE1076" s="2" t="str">
        <x:f>IF(AD1076&lt;&gt;1,"NO",IF(W1076="PASS","YES",IF(W1076="OOS PENDING","CONDITIONAL","NO")))</x:f>
        <x:v>NO</x:v>
      </x:c>
      <x:c r="AF1076" s="2" t="n">
        <x:f>IF(AND(AD1076=1,AC1076=1,E1076="LIVE"),1,0)</x:f>
        <x:v>0</x:v>
      </x:c>
      <x:c r="AG1076" s="2" t="str">
        <x:f>IF(AF1076&lt;&gt;1,"",'Dashboard'!P102)</x:f>
      </x:c>
      <x:c r="AH1076" s="2" t="str">
        <x:f>IF(B1076="","",IF(J1076&lt;&gt;"PASS",'Motor_Meciuri'!J82,IF('Calibrare_Linii'!U12&lt;&gt;"VALID","Parametri linie invalizi",IF(L1076&gt;'Config_v6'!$B$13,"Dispersie peste limita",IF(W1076="WATCH","Failure peste limita",IF(AB1076&lt;'Config_v6'!$B$16,"P finala sub prag",IF(V1076&lt;'Config_v6'!$B$18,"Confidence sub prag",IF(E1076="REPLAY","Exemplu retrospectiv; exclus din Top LIVE",IF(Y1076="PASS","DEFENSIV validat",IF(W1076="OOS PENDING","Eligibil; calibrare linie in monitorizare","Eligibil"))))))))))</x:f>
      </x:c>
      <x:c r="AI1076" s="2" t="str">
        <x:f>IF(B1076="","",'Calibrare_Linii'!V12)</x:f>
      </x:c>
      <x:c r="AJ1076" s="2" t="str">
        <x:f>IF(B1076="","",IF(AND('Calibrare_Linii'!T12="VALIDATED",AND('Calibrare_Linii'!H12=C1076,ISNUMBER('Calibrare_Linii'!J12),'Calibrare_Linii'!J12&lt;='Input_Meci'!G82)),"DEFENSIVE VALIDATED",IF(AND('Calibrare_Linii'!S12="VALIDATED",AND('Calibrare_Linii'!H12=C1076,ISNUMBER('Calibrare_Linii'!J12),'Calibrare_Linii'!J12&lt;='Input_Meci'!G82)),"TAIL VALIDATED","OOS PENDING")))</x:f>
      </x:c>
      <x:c r="AK1076" s="2" t="n">
        <x:f>IF(J1076&lt;&gt;"PASS",0,'Motor_Meciuri'!BR82)</x:f>
        <x:v>0</x:v>
      </x:c>
      <x:c r="AL1076" s="2" t="n">
        <x:f>IF(J1076&lt;&gt;"PASS",0,'Motor_Meciuri'!BS82)</x:f>
        <x:v>0</x:v>
      </x:c>
      <x:c r="AM1076" s="2" t="n">
        <x:f>IF(J1076&lt;&gt;"PASS",0,'Motor_Meciuri'!BT82)</x:f>
        <x:v>0</x:v>
      </x:c>
      <x:c r="AN1076" s="2" t="str">
        <x:f>IF(M1076="","",MAX(0,'Motor_Meciuri'!BF82-IF(L1076&gt;'Config_v6'!$B$12,'Config_v6'!$B$37,IF(L1076&gt;'Config_v6'!$B$11,'Config_v6'!$B$36,0))))</x:f>
      </x:c>
    </x:row>
    <x:row r="1077" ht="21" customHeight="1">
      <x:c r="A1077" s="2" t="n">
        <x:v>77</x:v>
      </x:c>
      <x:c r="B1077" s="2" t="str">
        <x:f>IF('Motor_Meciuri'!A82="","",'Motor_Meciuri'!A82)</x:f>
      </x:c>
      <x:c r="C1077" s="2" t="str">
        <x:f>IF(B1077="","",'Motor_Meciuri'!B82)</x:f>
      </x:c>
      <x:c r="D1077" s="2" t="str">
        <x:f>IF(B1077="","",'Motor_Meciuri'!D82)</x:f>
      </x:c>
      <x:c r="E1077" s="2" t="str">
        <x:f>IF(B1077="","",'Motor_Meciuri'!E82)</x:f>
      </x:c>
      <x:c r="F1077" s="2" t="str">
        <x:v>U11,5</x:v>
      </x:c>
      <x:c r="G1077" s="2" t="str">
        <x:v>UNDER</x:v>
      </x:c>
      <x:c r="H1077" s="2" t="n">
        <x:v>11</x:v>
      </x:c>
      <x:c r="I1077" s="2" t="str">
        <x:f>IF(B1077="","",'Motor_Meciuri'!H82)</x:f>
      </x:c>
      <x:c r="J1077" s="2" t="str">
        <x:f>IF(B1077="","",'Motor_Meciuri'!I82)</x:f>
      </x:c>
      <x:c r="K1077" s="11" t="str">
        <x:f>IF(J1077&lt;&gt;"PASS","",'Motor_Meciuri'!BD82)</x:f>
      </x:c>
      <x:c r="L1077" s="11" t="str">
        <x:f>IF(J1077&lt;&gt;"PASS","",'Motor_Meciuri'!AU82)</x:f>
      </x:c>
      <x:c r="M1077" s="10" t="str">
        <x:f>IF(NOT(AND(J1077="PASS",'Calibrare_Linii'!U13="VALID")),"",'Distributie'!AI82)</x:f>
      </x:c>
      <x:c r="N1077" s="10" t="str">
        <x:f>IF(M1077="","",MAX(0.01,MIN(0.99,0.5+(M1077-0.5)*'Motor_Meciuri'!BG82*'Calibrare_Linii'!D13)))</x:f>
      </x:c>
      <x:c r="O1077" s="10" t="str">
        <x:f>IF(M1077="","",1-M1077)</x:f>
      </x:c>
      <x:c r="P1077" s="10" t="str">
        <x:f>IF(OR(NOT(AND(J1077="PASS",'Calibrare_Linii'!U13="VALID")),AK1077=0),""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*('Istoric_Nativ'!$Q$6:$Q$405&gt;H1077))/AK1077)</x:f>
      </x:c>
      <x:c r="Q1077" s="10" t="str">
        <x:f>IF(OR(NOT(AND(J1077="PASS",'Calibrare_Linii'!U13="VALID")),AL1077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M82)+((('Istoric_Nativ'!$E$6:$E$405='Input_Meci'!E82)+('Istoric_Nativ'!$F$6:$F$405='Input_Meci'!E82))&gt;0)*('Istoric_Nativ'!$D$6:$D$405&gt;='Motor_Meciuri'!BN82))&gt;0)*('Istoric_Nativ'!$Q$6:$Q$405&gt;H1077))/AL1077)</x:f>
      </x:c>
      <x:c r="R1077" s="10" t="str">
        <x:f>IF(OR(NOT(AND(J1077="PASS",'Calibrare_Linii'!U13="VALID")),AM1077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O82)+((('Istoric_Nativ'!$E$6:$E$405='Input_Meci'!E82)+('Istoric_Nativ'!$F$6:$F$405='Input_Meci'!E82))&gt;0)*('Istoric_Nativ'!$D$6:$D$405&gt;='Motor_Meciuri'!BP82))&gt;0)*('Istoric_Nativ'!$Q$6:$Q$405&gt;H1077))/AM1077)</x:f>
      </x:c>
      <x:c r="S1077" s="10" t="str">
        <x:f>IF(M1077="","",MAX(O1077,P1077,Q1077,R1077))</x:f>
      </x:c>
      <x:c r="T1077" s="11" t="str">
        <x:f>IF(M1077="","",MIN(100,S1077*100*'Config_v6'!$B$44+MIN(100,L1077/'Config_v6'!$B$13*100)*'Config_v6'!$B$45+(100-'Motor_Meciuri'!BF82)*'Config_v6'!$B$46+'Motor_Meciuri'!BH82*100*'Config_v6'!$B$47))</x:f>
      </x:c>
      <x:c r="U1077" s="2" t="str">
        <x:f>IF(T1077="","",IF(T1077&lt;=20,1,IF(T1077&lt;=40,2,IF(T1077&lt;=60,3,IF(T1077&lt;=80,4,5)))))</x:f>
      </x:c>
      <x:c r="V1077" s="2" t="str">
        <x:f>IF(M1077="","",MAX(0,'Motor_Meciuri'!BF82-IF(W1077="OOS PENDING",'Config_v6'!$B$35,0)-IF(L1077&gt;'Config_v6'!$B$12,'Config_v6'!$B$37,IF(L1077&gt;'Config_v6'!$B$11,'Config_v6'!$B$36,0))))</x:f>
      </x:c>
      <x:c r="W1077" s="2" t="str">
        <x:f>IF(B1077="","",IF(I1077&lt;&gt;"READY","NOT RELEASED",IF(NOT(AND(J1077="PASS",'Calibrare_Linii'!U13="VALID")),"INVALID",IF(NOT(AND('Calibrare_Linii'!S13="VALIDATED",AND('Calibrare_Linii'!H13=C1077,ISNUMBER('Calibrare_Linii'!J13),'Calibrare_Linii'!J13&lt;='Input_Meci'!G82))),"OOS PENDING",IF(S1077&lt;='Calibrare_Linii'!E13,"PASS",IF(S1077&lt;='Calibrare_Linii'!F13,"PENALTY","WATCH"))))))</x:f>
      </x:c>
      <x:c r="X1077" s="2" t="str">
        <x:f>IF(M1077="","",IF(AND(AND(J1077="PASS",'Calibrare_Linii'!U13="VALID"),'Motor_Meciuri'!K82=12,'Motor_Meciuri'!L82=12,'Motor_Meciuri'!M82="NO",'Motor_Meciuri'!BL82='Motor_Meciuri'!C82,AB1077&gt;='Config_v6'!$B$50,AN1077&gt;='Config_v6'!$B$51,T1077&lt;='Config_v6'!$B$52,L1077&lt;='Config_v6'!$B$53,ISNUMBER('Calibrare_Linii'!E13),S1077&lt;='Calibrare_Linii'!E13,SUM(AK1077:AM1077)&gt;0),"CANDIDATE","NO"))</x:f>
      </x:c>
      <x:c r="Y1077" s="2" t="str">
        <x:f>IF(B1077="","",IF(I1077&lt;&gt;"READY","NOT RELEASED",IF(AND(X1077="CANDIDATE",V1077&gt;='Config_v6'!$B$51,W1077="PASS",'Calibrare_Linii'!T13="VALIDATED",AND('Calibrare_Linii'!H13=C1077,ISNUMBER('Calibrare_Linii'!J13),'Calibrare_Linii'!J13&lt;='Input_Meci'!G82)),"PASS",IF(X1077="CANDIDATE","OOS PENDING","FAIL"))))</x:f>
      </x:c>
      <x:c r="Z1077" s="2" t="str">
        <x:f>IF(B1077="","",IF(I1077&lt;&gt;"READY","",IF(OR(NOT(AND(J1077="PASS",'Calibrare_Linii'!U13="VALID")),L1077&gt;'Config_v6'!$B$13,W1077="WATCH"),5,IF(Y1077="PASS",1,MIN(5,MAX('Config_v6'!$B$42,U1077)+IF(W1077="PENALTY",1,0))))))</x:f>
      </x:c>
      <x:c r="AA1077" s="2" t="str">
        <x:f>IF(B1077="","",IF(I1077&lt;&gt;"READY","NOT RELEASED",IF(Z1077=5,"NO BET",IF(OR(AB1077&lt;'Config_v6'!$B$16,V1077&lt;'Config_v6'!$B$18),"WATCH",IF(Z1077=1,"DEFENSIV",IF(Z1077=2,"PRUDENT",IF(Z1077=3,"MODERAT","RIDICAT")))))))</x:f>
      </x:c>
      <x:c r="AB1077" s="10" t="str">
        <x:f>IF(N1077="","",MIN(N1077,1-S1077))</x:f>
      </x:c>
      <x:c r="AC1077" s="2" t="str">
        <x:f>IF(AD1077&lt;&gt;1,"",COUNTIFS($Z$1070:$Z$1083,"&lt;"&amp;Z1077,$AD$1070:$AD$1083,1)+COUNTIFS($Z$1070:$Z$1083,Z1077,$AB$1070:$AB$1083,"&gt;"&amp;AB1077,$AD$1070:$AD$1083,1)+COUNTIFS($Z$1070:$Z$1083,Z1077,$AB$1070:$AB$1083,AB1077,$V$1070:$V$1083,"&gt;"&amp;V1077,$AD$1070:$AD$1083,1)+COUNTIFS($Z$1070:Z1077,Z1077,$AB$1070:AB1077,AB1077,$V$1070:V1077,V1077,$AD$1070:AD1077,1))</x:f>
      </x:c>
      <x:c r="AD1077" s="2" t="n">
        <x:f>IF(OR(AA1077="DEFENSIV",AA1077="PRUDENT",AA1077="MODERAT",AA1077="RIDICAT"),1,0)</x:f>
        <x:v>0</x:v>
      </x:c>
      <x:c r="AE1077" s="2" t="str">
        <x:f>IF(AD1077&lt;&gt;1,"NO",IF(W1077="PASS","YES",IF(W1077="OOS PENDING","CONDITIONAL","NO")))</x:f>
        <x:v>NO</x:v>
      </x:c>
      <x:c r="AF1077" s="2" t="n">
        <x:f>IF(AND(AD1077=1,AC1077=1,E1077="LIVE"),1,0)</x:f>
        <x:v>0</x:v>
      </x:c>
      <x:c r="AG1077" s="2" t="str">
        <x:f>IF(AF1077&lt;&gt;1,"",'Dashboard'!P102)</x:f>
      </x:c>
      <x:c r="AH1077" s="2" t="str">
        <x:f>IF(B1077="","",IF(J1077&lt;&gt;"PASS",'Motor_Meciuri'!J82,IF('Calibrare_Linii'!U13&lt;&gt;"VALID","Parametri linie invalizi",IF(L1077&gt;'Config_v6'!$B$13,"Dispersie peste limita",IF(W1077="WATCH","Failure peste limita",IF(AB1077&lt;'Config_v6'!$B$16,"P finala sub prag",IF(V1077&lt;'Config_v6'!$B$18,"Confidence sub prag",IF(E1077="REPLAY","Exemplu retrospectiv; exclus din Top LIVE",IF(Y1077="PASS","DEFENSIV validat",IF(W1077="OOS PENDING","Eligibil; calibrare linie in monitorizare","Eligibil"))))))))))</x:f>
      </x:c>
      <x:c r="AI1077" s="2" t="str">
        <x:f>IF(B1077="","",'Calibrare_Linii'!V13)</x:f>
      </x:c>
      <x:c r="AJ1077" s="2" t="str">
        <x:f>IF(B1077="","",IF(AND('Calibrare_Linii'!T13="VALIDATED",AND('Calibrare_Linii'!H13=C1077,ISNUMBER('Calibrare_Linii'!J13),'Calibrare_Linii'!J13&lt;='Input_Meci'!G82)),"DEFENSIVE VALIDATED",IF(AND('Calibrare_Linii'!S13="VALIDATED",AND('Calibrare_Linii'!H13=C1077,ISNUMBER('Calibrare_Linii'!J13),'Calibrare_Linii'!J13&lt;='Input_Meci'!G82)),"TAIL VALIDATED","OOS PENDING")))</x:f>
      </x:c>
      <x:c r="AK1077" s="2" t="n">
        <x:f>IF(J1077&lt;&gt;"PASS",0,'Motor_Meciuri'!BR82)</x:f>
        <x:v>0</x:v>
      </x:c>
      <x:c r="AL1077" s="2" t="n">
        <x:f>IF(J1077&lt;&gt;"PASS",0,'Motor_Meciuri'!BS82)</x:f>
        <x:v>0</x:v>
      </x:c>
      <x:c r="AM1077" s="2" t="n">
        <x:f>IF(J1077&lt;&gt;"PASS",0,'Motor_Meciuri'!BT82)</x:f>
        <x:v>0</x:v>
      </x:c>
      <x:c r="AN1077" s="2" t="str">
        <x:f>IF(M1077="","",MAX(0,'Motor_Meciuri'!BF82-IF(L1077&gt;'Config_v6'!$B$12,'Config_v6'!$B$37,IF(L1077&gt;'Config_v6'!$B$11,'Config_v6'!$B$36,0))))</x:f>
      </x:c>
    </x:row>
    <x:row r="1078" ht="21" customHeight="1">
      <x:c r="A1078" s="2" t="n">
        <x:v>77</x:v>
      </x:c>
      <x:c r="B1078" s="2" t="str">
        <x:f>IF('Motor_Meciuri'!A82="","",'Motor_Meciuri'!A82)</x:f>
      </x:c>
      <x:c r="C1078" s="2" t="str">
        <x:f>IF(B1078="","",'Motor_Meciuri'!B82)</x:f>
      </x:c>
      <x:c r="D1078" s="2" t="str">
        <x:f>IF(B1078="","",'Motor_Meciuri'!D82)</x:f>
      </x:c>
      <x:c r="E1078" s="2" t="str">
        <x:f>IF(B1078="","",'Motor_Meciuri'!E82)</x:f>
      </x:c>
      <x:c r="F1078" s="2" t="str">
        <x:v>U12,5</x:v>
      </x:c>
      <x:c r="G1078" s="2" t="str">
        <x:v>UNDER</x:v>
      </x:c>
      <x:c r="H1078" s="2" t="n">
        <x:v>12</x:v>
      </x:c>
      <x:c r="I1078" s="2" t="str">
        <x:f>IF(B1078="","",'Motor_Meciuri'!H82)</x:f>
      </x:c>
      <x:c r="J1078" s="2" t="str">
        <x:f>IF(B1078="","",'Motor_Meciuri'!I82)</x:f>
      </x:c>
      <x:c r="K1078" s="11" t="str">
        <x:f>IF(J1078&lt;&gt;"PASS","",'Motor_Meciuri'!BD82)</x:f>
      </x:c>
      <x:c r="L1078" s="11" t="str">
        <x:f>IF(J1078&lt;&gt;"PASS","",'Motor_Meciuri'!AU82)</x:f>
      </x:c>
      <x:c r="M1078" s="10" t="str">
        <x:f>IF(NOT(AND(J1078="PASS",'Calibrare_Linii'!U14="VALID")),"",'Distributie'!AJ82)</x:f>
      </x:c>
      <x:c r="N1078" s="10" t="str">
        <x:f>IF(M1078="","",MAX(0.01,MIN(0.99,0.5+(M1078-0.5)*'Motor_Meciuri'!BG82*'Calibrare_Linii'!D14)))</x:f>
      </x:c>
      <x:c r="O1078" s="10" t="str">
        <x:f>IF(M1078="","",1-M1078)</x:f>
      </x:c>
      <x:c r="P1078" s="10" t="str">
        <x:f>IF(OR(NOT(AND(J1078="PASS",'Calibrare_Linii'!U14="VALID")),AK1078=0),""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*('Istoric_Nativ'!$Q$6:$Q$405&gt;H1078))/AK1078)</x:f>
      </x:c>
      <x:c r="Q1078" s="10" t="str">
        <x:f>IF(OR(NOT(AND(J1078="PASS",'Calibrare_Linii'!U14="VALID")),AL1078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M82)+((('Istoric_Nativ'!$E$6:$E$405='Input_Meci'!E82)+('Istoric_Nativ'!$F$6:$F$405='Input_Meci'!E82))&gt;0)*('Istoric_Nativ'!$D$6:$D$405&gt;='Motor_Meciuri'!BN82))&gt;0)*('Istoric_Nativ'!$Q$6:$Q$405&gt;H1078))/AL1078)</x:f>
      </x:c>
      <x:c r="R1078" s="10" t="str">
        <x:f>IF(OR(NOT(AND(J1078="PASS",'Calibrare_Linii'!U14="VALID")),AM1078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O82)+((('Istoric_Nativ'!$E$6:$E$405='Input_Meci'!E82)+('Istoric_Nativ'!$F$6:$F$405='Input_Meci'!E82))&gt;0)*('Istoric_Nativ'!$D$6:$D$405&gt;='Motor_Meciuri'!BP82))&gt;0)*('Istoric_Nativ'!$Q$6:$Q$405&gt;H1078))/AM1078)</x:f>
      </x:c>
      <x:c r="S1078" s="10" t="str">
        <x:f>IF(M1078="","",MAX(O1078,P1078,Q1078,R1078))</x:f>
      </x:c>
      <x:c r="T1078" s="11" t="str">
        <x:f>IF(M1078="","",MIN(100,S1078*100*'Config_v6'!$B$44+MIN(100,L1078/'Config_v6'!$B$13*100)*'Config_v6'!$B$45+(100-'Motor_Meciuri'!BF82)*'Config_v6'!$B$46+'Motor_Meciuri'!BH82*100*'Config_v6'!$B$47))</x:f>
      </x:c>
      <x:c r="U1078" s="2" t="str">
        <x:f>IF(T1078="","",IF(T1078&lt;=20,1,IF(T1078&lt;=40,2,IF(T1078&lt;=60,3,IF(T1078&lt;=80,4,5)))))</x:f>
      </x:c>
      <x:c r="V1078" s="2" t="str">
        <x:f>IF(M1078="","",MAX(0,'Motor_Meciuri'!BF82-IF(W1078="OOS PENDING",'Config_v6'!$B$35,0)-IF(L1078&gt;'Config_v6'!$B$12,'Config_v6'!$B$37,IF(L1078&gt;'Config_v6'!$B$11,'Config_v6'!$B$36,0))))</x:f>
      </x:c>
      <x:c r="W1078" s="2" t="str">
        <x:f>IF(B1078="","",IF(I1078&lt;&gt;"READY","NOT RELEASED",IF(NOT(AND(J1078="PASS",'Calibrare_Linii'!U14="VALID")),"INVALID",IF(NOT(AND('Calibrare_Linii'!S14="VALIDATED",AND('Calibrare_Linii'!H14=C1078,ISNUMBER('Calibrare_Linii'!J14),'Calibrare_Linii'!J14&lt;='Input_Meci'!G82))),"OOS PENDING",IF(S1078&lt;='Calibrare_Linii'!E14,"PASS",IF(S1078&lt;='Calibrare_Linii'!F14,"PENALTY","WATCH"))))))</x:f>
      </x:c>
      <x:c r="X1078" s="2" t="str">
        <x:f>IF(M1078="","",IF(AND(AND(J1078="PASS",'Calibrare_Linii'!U14="VALID"),'Motor_Meciuri'!K82=12,'Motor_Meciuri'!L82=12,'Motor_Meciuri'!M82="NO",'Motor_Meciuri'!BL82='Motor_Meciuri'!C82,AB1078&gt;='Config_v6'!$B$50,AN1078&gt;='Config_v6'!$B$51,T1078&lt;='Config_v6'!$B$52,L1078&lt;='Config_v6'!$B$53,ISNUMBER('Calibrare_Linii'!E14),S1078&lt;='Calibrare_Linii'!E14,SUM(AK1078:AM1078)&gt;0),"CANDIDATE","NO"))</x:f>
      </x:c>
      <x:c r="Y1078" s="2" t="str">
        <x:f>IF(B1078="","",IF(I1078&lt;&gt;"READY","NOT RELEASED",IF(AND(X1078="CANDIDATE",V1078&gt;='Config_v6'!$B$51,W1078="PASS",'Calibrare_Linii'!T14="VALIDATED",AND('Calibrare_Linii'!H14=C1078,ISNUMBER('Calibrare_Linii'!J14),'Calibrare_Linii'!J14&lt;='Input_Meci'!G82)),"PASS",IF(X1078="CANDIDATE","OOS PENDING","FAIL"))))</x:f>
      </x:c>
      <x:c r="Z1078" s="2" t="str">
        <x:f>IF(B1078="","",IF(I1078&lt;&gt;"READY","",IF(OR(NOT(AND(J1078="PASS",'Calibrare_Linii'!U14="VALID")),L1078&gt;'Config_v6'!$B$13,W1078="WATCH"),5,IF(Y1078="PASS",1,MIN(5,MAX('Config_v6'!$B$42,U1078)+IF(W1078="PENALTY",1,0))))))</x:f>
      </x:c>
      <x:c r="AA1078" s="2" t="str">
        <x:f>IF(B1078="","",IF(I1078&lt;&gt;"READY","NOT RELEASED",IF(Z1078=5,"NO BET",IF(OR(AB1078&lt;'Config_v6'!$B$16,V1078&lt;'Config_v6'!$B$18),"WATCH",IF(Z1078=1,"DEFENSIV",IF(Z1078=2,"PRUDENT",IF(Z1078=3,"MODERAT","RIDICAT")))))))</x:f>
      </x:c>
      <x:c r="AB1078" s="10" t="str">
        <x:f>IF(N1078="","",MIN(N1078,1-S1078))</x:f>
      </x:c>
      <x:c r="AC1078" s="2" t="str">
        <x:f>IF(AD1078&lt;&gt;1,"",COUNTIFS($Z$1070:$Z$1083,"&lt;"&amp;Z1078,$AD$1070:$AD$1083,1)+COUNTIFS($Z$1070:$Z$1083,Z1078,$AB$1070:$AB$1083,"&gt;"&amp;AB1078,$AD$1070:$AD$1083,1)+COUNTIFS($Z$1070:$Z$1083,Z1078,$AB$1070:$AB$1083,AB1078,$V$1070:$V$1083,"&gt;"&amp;V1078,$AD$1070:$AD$1083,1)+COUNTIFS($Z$1070:Z1078,Z1078,$AB$1070:AB1078,AB1078,$V$1070:V1078,V1078,$AD$1070:AD1078,1))</x:f>
      </x:c>
      <x:c r="AD1078" s="2" t="n">
        <x:f>IF(OR(AA1078="DEFENSIV",AA1078="PRUDENT",AA1078="MODERAT",AA1078="RIDICAT"),1,0)</x:f>
        <x:v>0</x:v>
      </x:c>
      <x:c r="AE1078" s="2" t="str">
        <x:f>IF(AD1078&lt;&gt;1,"NO",IF(W1078="PASS","YES",IF(W1078="OOS PENDING","CONDITIONAL","NO")))</x:f>
        <x:v>NO</x:v>
      </x:c>
      <x:c r="AF1078" s="2" t="n">
        <x:f>IF(AND(AD1078=1,AC1078=1,E1078="LIVE"),1,0)</x:f>
        <x:v>0</x:v>
      </x:c>
      <x:c r="AG1078" s="2" t="str">
        <x:f>IF(AF1078&lt;&gt;1,"",'Dashboard'!P102)</x:f>
      </x:c>
      <x:c r="AH1078" s="2" t="str">
        <x:f>IF(B1078="","",IF(J1078&lt;&gt;"PASS",'Motor_Meciuri'!J82,IF('Calibrare_Linii'!U14&lt;&gt;"VALID","Parametri linie invalizi",IF(L1078&gt;'Config_v6'!$B$13,"Dispersie peste limita",IF(W1078="WATCH","Failure peste limita",IF(AB1078&lt;'Config_v6'!$B$16,"P finala sub prag",IF(V1078&lt;'Config_v6'!$B$18,"Confidence sub prag",IF(E1078="REPLAY","Exemplu retrospectiv; exclus din Top LIVE",IF(Y1078="PASS","DEFENSIV validat",IF(W1078="OOS PENDING","Eligibil; calibrare linie in monitorizare","Eligibil"))))))))))</x:f>
      </x:c>
      <x:c r="AI1078" s="2" t="str">
        <x:f>IF(B1078="","",'Calibrare_Linii'!V14)</x:f>
      </x:c>
      <x:c r="AJ1078" s="2" t="str">
        <x:f>IF(B1078="","",IF(AND('Calibrare_Linii'!T14="VALIDATED",AND('Calibrare_Linii'!H14=C1078,ISNUMBER('Calibrare_Linii'!J14),'Calibrare_Linii'!J14&lt;='Input_Meci'!G82)),"DEFENSIVE VALIDATED",IF(AND('Calibrare_Linii'!S14="VALIDATED",AND('Calibrare_Linii'!H14=C1078,ISNUMBER('Calibrare_Linii'!J14),'Calibrare_Linii'!J14&lt;='Input_Meci'!G82)),"TAIL VALIDATED","OOS PENDING")))</x:f>
      </x:c>
      <x:c r="AK1078" s="2" t="n">
        <x:f>IF(J1078&lt;&gt;"PASS",0,'Motor_Meciuri'!BR82)</x:f>
        <x:v>0</x:v>
      </x:c>
      <x:c r="AL1078" s="2" t="n">
        <x:f>IF(J1078&lt;&gt;"PASS",0,'Motor_Meciuri'!BS82)</x:f>
        <x:v>0</x:v>
      </x:c>
      <x:c r="AM1078" s="2" t="n">
        <x:f>IF(J1078&lt;&gt;"PASS",0,'Motor_Meciuri'!BT82)</x:f>
        <x:v>0</x:v>
      </x:c>
      <x:c r="AN1078" s="2" t="str">
        <x:f>IF(M1078="","",MAX(0,'Motor_Meciuri'!BF82-IF(L1078&gt;'Config_v6'!$B$12,'Config_v6'!$B$37,IF(L1078&gt;'Config_v6'!$B$11,'Config_v6'!$B$36,0))))</x:f>
      </x:c>
    </x:row>
    <x:row r="1079" ht="21" customHeight="1">
      <x:c r="A1079" s="2" t="n">
        <x:v>77</x:v>
      </x:c>
      <x:c r="B1079" s="2" t="str">
        <x:f>IF('Motor_Meciuri'!A82="","",'Motor_Meciuri'!A82)</x:f>
      </x:c>
      <x:c r="C1079" s="2" t="str">
        <x:f>IF(B1079="","",'Motor_Meciuri'!B82)</x:f>
      </x:c>
      <x:c r="D1079" s="2" t="str">
        <x:f>IF(B1079="","",'Motor_Meciuri'!D82)</x:f>
      </x:c>
      <x:c r="E1079" s="2" t="str">
        <x:f>IF(B1079="","",'Motor_Meciuri'!E82)</x:f>
      </x:c>
      <x:c r="F1079" s="2" t="str">
        <x:v>U13,5</x:v>
      </x:c>
      <x:c r="G1079" s="2" t="str">
        <x:v>UNDER</x:v>
      </x:c>
      <x:c r="H1079" s="2" t="n">
        <x:v>13</x:v>
      </x:c>
      <x:c r="I1079" s="2" t="str">
        <x:f>IF(B1079="","",'Motor_Meciuri'!H82)</x:f>
      </x:c>
      <x:c r="J1079" s="2" t="str">
        <x:f>IF(B1079="","",'Motor_Meciuri'!I82)</x:f>
      </x:c>
      <x:c r="K1079" s="11" t="str">
        <x:f>IF(J1079&lt;&gt;"PASS","",'Motor_Meciuri'!BD82)</x:f>
      </x:c>
      <x:c r="L1079" s="11" t="str">
        <x:f>IF(J1079&lt;&gt;"PASS","",'Motor_Meciuri'!AU82)</x:f>
      </x:c>
      <x:c r="M1079" s="10" t="str">
        <x:f>IF(NOT(AND(J1079="PASS",'Calibrare_Linii'!U15="VALID")),"",'Distributie'!AK82)</x:f>
      </x:c>
      <x:c r="N1079" s="10" t="str">
        <x:f>IF(M1079="","",MAX(0.01,MIN(0.99,0.5+(M1079-0.5)*'Motor_Meciuri'!BG82*'Calibrare_Linii'!D15)))</x:f>
      </x:c>
      <x:c r="O1079" s="10" t="str">
        <x:f>IF(M1079="","",1-M1079)</x:f>
      </x:c>
      <x:c r="P1079" s="10" t="str">
        <x:f>IF(OR(NOT(AND(J1079="PASS",'Calibrare_Linii'!U15="VALID")),AK1079=0),""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*('Istoric_Nativ'!$Q$6:$Q$405&gt;H1079))/AK1079)</x:f>
      </x:c>
      <x:c r="Q1079" s="10" t="str">
        <x:f>IF(OR(NOT(AND(J1079="PASS",'Calibrare_Linii'!U15="VALID")),AL1079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M82)+((('Istoric_Nativ'!$E$6:$E$405='Input_Meci'!E82)+('Istoric_Nativ'!$F$6:$F$405='Input_Meci'!E82))&gt;0)*('Istoric_Nativ'!$D$6:$D$405&gt;='Motor_Meciuri'!BN82))&gt;0)*('Istoric_Nativ'!$Q$6:$Q$405&gt;H1079))/AL1079)</x:f>
      </x:c>
      <x:c r="R1079" s="10" t="str">
        <x:f>IF(OR(NOT(AND(J1079="PASS",'Calibrare_Linii'!U15="VALID")),AM1079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O82)+((('Istoric_Nativ'!$E$6:$E$405='Input_Meci'!E82)+('Istoric_Nativ'!$F$6:$F$405='Input_Meci'!E82))&gt;0)*('Istoric_Nativ'!$D$6:$D$405&gt;='Motor_Meciuri'!BP82))&gt;0)*('Istoric_Nativ'!$Q$6:$Q$405&gt;H1079))/AM1079)</x:f>
      </x:c>
      <x:c r="S1079" s="10" t="str">
        <x:f>IF(M1079="","",MAX(O1079,P1079,Q1079,R1079))</x:f>
      </x:c>
      <x:c r="T1079" s="11" t="str">
        <x:f>IF(M1079="","",MIN(100,S1079*100*'Config_v6'!$B$44+MIN(100,L1079/'Config_v6'!$B$13*100)*'Config_v6'!$B$45+(100-'Motor_Meciuri'!BF82)*'Config_v6'!$B$46+'Motor_Meciuri'!BH82*100*'Config_v6'!$B$47))</x:f>
      </x:c>
      <x:c r="U1079" s="2" t="str">
        <x:f>IF(T1079="","",IF(T1079&lt;=20,1,IF(T1079&lt;=40,2,IF(T1079&lt;=60,3,IF(T1079&lt;=80,4,5)))))</x:f>
      </x:c>
      <x:c r="V1079" s="2" t="str">
        <x:f>IF(M1079="","",MAX(0,'Motor_Meciuri'!BF82-IF(W1079="OOS PENDING",'Config_v6'!$B$35,0)-IF(L1079&gt;'Config_v6'!$B$12,'Config_v6'!$B$37,IF(L1079&gt;'Config_v6'!$B$11,'Config_v6'!$B$36,0))))</x:f>
      </x:c>
      <x:c r="W1079" s="2" t="str">
        <x:f>IF(B1079="","",IF(I1079&lt;&gt;"READY","NOT RELEASED",IF(NOT(AND(J1079="PASS",'Calibrare_Linii'!U15="VALID")),"INVALID",IF(NOT(AND('Calibrare_Linii'!S15="VALIDATED",AND('Calibrare_Linii'!H15=C1079,ISNUMBER('Calibrare_Linii'!J15),'Calibrare_Linii'!J15&lt;='Input_Meci'!G82))),"OOS PENDING",IF(S1079&lt;='Calibrare_Linii'!E15,"PASS",IF(S1079&lt;='Calibrare_Linii'!F15,"PENALTY","WATCH"))))))</x:f>
      </x:c>
      <x:c r="X1079" s="2" t="str">
        <x:f>IF(M1079="","",IF(AND(AND(J1079="PASS",'Calibrare_Linii'!U15="VALID"),'Motor_Meciuri'!K82=12,'Motor_Meciuri'!L82=12,'Motor_Meciuri'!M82="NO",'Motor_Meciuri'!BL82='Motor_Meciuri'!C82,AB1079&gt;='Config_v6'!$B$50,AN1079&gt;='Config_v6'!$B$51,T1079&lt;='Config_v6'!$B$52,L1079&lt;='Config_v6'!$B$53,ISNUMBER('Calibrare_Linii'!E15),S1079&lt;='Calibrare_Linii'!E15,SUM(AK1079:AM1079)&gt;0),"CANDIDATE","NO"))</x:f>
      </x:c>
      <x:c r="Y1079" s="2" t="str">
        <x:f>IF(B1079="","",IF(I1079&lt;&gt;"READY","NOT RELEASED",IF(AND(X1079="CANDIDATE",V1079&gt;='Config_v6'!$B$51,W1079="PASS",'Calibrare_Linii'!T15="VALIDATED",AND('Calibrare_Linii'!H15=C1079,ISNUMBER('Calibrare_Linii'!J15),'Calibrare_Linii'!J15&lt;='Input_Meci'!G82)),"PASS",IF(X1079="CANDIDATE","OOS PENDING","FAIL"))))</x:f>
      </x:c>
      <x:c r="Z1079" s="2" t="str">
        <x:f>IF(B1079="","",IF(I1079&lt;&gt;"READY","",IF(OR(NOT(AND(J1079="PASS",'Calibrare_Linii'!U15="VALID")),L1079&gt;'Config_v6'!$B$13,W1079="WATCH"),5,IF(Y1079="PASS",1,MIN(5,MAX('Config_v6'!$B$42,U1079)+IF(W1079="PENALTY",1,0))))))</x:f>
      </x:c>
      <x:c r="AA1079" s="2" t="str">
        <x:f>IF(B1079="","",IF(I1079&lt;&gt;"READY","NOT RELEASED",IF(Z1079=5,"NO BET",IF(OR(AB1079&lt;'Config_v6'!$B$16,V1079&lt;'Config_v6'!$B$18),"WATCH",IF(Z1079=1,"DEFENSIV",IF(Z1079=2,"PRUDENT",IF(Z1079=3,"MODERAT","RIDICAT")))))))</x:f>
      </x:c>
      <x:c r="AB1079" s="10" t="str">
        <x:f>IF(N1079="","",MIN(N1079,1-S1079))</x:f>
      </x:c>
      <x:c r="AC1079" s="2" t="str">
        <x:f>IF(AD1079&lt;&gt;1,"",COUNTIFS($Z$1070:$Z$1083,"&lt;"&amp;Z1079,$AD$1070:$AD$1083,1)+COUNTIFS($Z$1070:$Z$1083,Z1079,$AB$1070:$AB$1083,"&gt;"&amp;AB1079,$AD$1070:$AD$1083,1)+COUNTIFS($Z$1070:$Z$1083,Z1079,$AB$1070:$AB$1083,AB1079,$V$1070:$V$1083,"&gt;"&amp;V1079,$AD$1070:$AD$1083,1)+COUNTIFS($Z$1070:Z1079,Z1079,$AB$1070:AB1079,AB1079,$V$1070:V1079,V1079,$AD$1070:AD1079,1))</x:f>
      </x:c>
      <x:c r="AD1079" s="2" t="n">
        <x:f>IF(OR(AA1079="DEFENSIV",AA1079="PRUDENT",AA1079="MODERAT",AA1079="RIDICAT"),1,0)</x:f>
        <x:v>0</x:v>
      </x:c>
      <x:c r="AE1079" s="2" t="str">
        <x:f>IF(AD1079&lt;&gt;1,"NO",IF(W1079="PASS","YES",IF(W1079="OOS PENDING","CONDITIONAL","NO")))</x:f>
        <x:v>NO</x:v>
      </x:c>
      <x:c r="AF1079" s="2" t="n">
        <x:f>IF(AND(AD1079=1,AC1079=1,E1079="LIVE"),1,0)</x:f>
        <x:v>0</x:v>
      </x:c>
      <x:c r="AG1079" s="2" t="str">
        <x:f>IF(AF1079&lt;&gt;1,"",'Dashboard'!P102)</x:f>
      </x:c>
      <x:c r="AH1079" s="2" t="str">
        <x:f>IF(B1079="","",IF(J1079&lt;&gt;"PASS",'Motor_Meciuri'!J82,IF('Calibrare_Linii'!U15&lt;&gt;"VALID","Parametri linie invalizi",IF(L1079&gt;'Config_v6'!$B$13,"Dispersie peste limita",IF(W1079="WATCH","Failure peste limita",IF(AB1079&lt;'Config_v6'!$B$16,"P finala sub prag",IF(V1079&lt;'Config_v6'!$B$18,"Confidence sub prag",IF(E1079="REPLAY","Exemplu retrospectiv; exclus din Top LIVE",IF(Y1079="PASS","DEFENSIV validat",IF(W1079="OOS PENDING","Eligibil; calibrare linie in monitorizare","Eligibil"))))))))))</x:f>
      </x:c>
      <x:c r="AI1079" s="2" t="str">
        <x:f>IF(B1079="","",'Calibrare_Linii'!V15)</x:f>
      </x:c>
      <x:c r="AJ1079" s="2" t="str">
        <x:f>IF(B1079="","",IF(AND('Calibrare_Linii'!T15="VALIDATED",AND('Calibrare_Linii'!H15=C1079,ISNUMBER('Calibrare_Linii'!J15),'Calibrare_Linii'!J15&lt;='Input_Meci'!G82)),"DEFENSIVE VALIDATED",IF(AND('Calibrare_Linii'!S15="VALIDATED",AND('Calibrare_Linii'!H15=C1079,ISNUMBER('Calibrare_Linii'!J15),'Calibrare_Linii'!J15&lt;='Input_Meci'!G82)),"TAIL VALIDATED","OOS PENDING")))</x:f>
      </x:c>
      <x:c r="AK1079" s="2" t="n">
        <x:f>IF(J1079&lt;&gt;"PASS",0,'Motor_Meciuri'!BR82)</x:f>
        <x:v>0</x:v>
      </x:c>
      <x:c r="AL1079" s="2" t="n">
        <x:f>IF(J1079&lt;&gt;"PASS",0,'Motor_Meciuri'!BS82)</x:f>
        <x:v>0</x:v>
      </x:c>
      <x:c r="AM1079" s="2" t="n">
        <x:f>IF(J1079&lt;&gt;"PASS",0,'Motor_Meciuri'!BT82)</x:f>
        <x:v>0</x:v>
      </x:c>
      <x:c r="AN1079" s="2" t="str">
        <x:f>IF(M1079="","",MAX(0,'Motor_Meciuri'!BF82-IF(L1079&gt;'Config_v6'!$B$12,'Config_v6'!$B$37,IF(L1079&gt;'Config_v6'!$B$11,'Config_v6'!$B$36,0))))</x:f>
      </x:c>
    </x:row>
    <x:row r="1080" ht="21" customHeight="1">
      <x:c r="A1080" s="2" t="n">
        <x:v>77</x:v>
      </x:c>
      <x:c r="B1080" s="2" t="str">
        <x:f>IF('Motor_Meciuri'!A82="","",'Motor_Meciuri'!A82)</x:f>
      </x:c>
      <x:c r="C1080" s="2" t="str">
        <x:f>IF(B1080="","",'Motor_Meciuri'!B82)</x:f>
      </x:c>
      <x:c r="D1080" s="2" t="str">
        <x:f>IF(B1080="","",'Motor_Meciuri'!D82)</x:f>
      </x:c>
      <x:c r="E1080" s="2" t="str">
        <x:f>IF(B1080="","",'Motor_Meciuri'!E82)</x:f>
      </x:c>
      <x:c r="F1080" s="2" t="str">
        <x:v>U14,5</x:v>
      </x:c>
      <x:c r="G1080" s="2" t="str">
        <x:v>UNDER</x:v>
      </x:c>
      <x:c r="H1080" s="2" t="n">
        <x:v>14</x:v>
      </x:c>
      <x:c r="I1080" s="2" t="str">
        <x:f>IF(B1080="","",'Motor_Meciuri'!H82)</x:f>
      </x:c>
      <x:c r="J1080" s="2" t="str">
        <x:f>IF(B1080="","",'Motor_Meciuri'!I82)</x:f>
      </x:c>
      <x:c r="K1080" s="11" t="str">
        <x:f>IF(J1080&lt;&gt;"PASS","",'Motor_Meciuri'!BD82)</x:f>
      </x:c>
      <x:c r="L1080" s="11" t="str">
        <x:f>IF(J1080&lt;&gt;"PASS","",'Motor_Meciuri'!AU82)</x:f>
      </x:c>
      <x:c r="M1080" s="10" t="str">
        <x:f>IF(NOT(AND(J1080="PASS",'Calibrare_Linii'!U16="VALID")),"",'Distributie'!AL82)</x:f>
      </x:c>
      <x:c r="N1080" s="10" t="str">
        <x:f>IF(M1080="","",MAX(0.01,MIN(0.99,0.5+(M1080-0.5)*'Motor_Meciuri'!BG82*'Calibrare_Linii'!D16)))</x:f>
      </x:c>
      <x:c r="O1080" s="10" t="str">
        <x:f>IF(M1080="","",1-M1080)</x:f>
      </x:c>
      <x:c r="P1080" s="10" t="str">
        <x:f>IF(OR(NOT(AND(J1080="PASS",'Calibrare_Linii'!U16="VALID")),AK1080=0),""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*('Istoric_Nativ'!$Q$6:$Q$405&gt;H1080))/AK1080)</x:f>
      </x:c>
      <x:c r="Q1080" s="10" t="str">
        <x:f>IF(OR(NOT(AND(J1080="PASS",'Calibrare_Linii'!U16="VALID")),AL1080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M82)+((('Istoric_Nativ'!$E$6:$E$405='Input_Meci'!E82)+('Istoric_Nativ'!$F$6:$F$405='Input_Meci'!E82))&gt;0)*('Istoric_Nativ'!$D$6:$D$405&gt;='Motor_Meciuri'!BN82))&gt;0)*('Istoric_Nativ'!$Q$6:$Q$405&gt;H1080))/AL1080)</x:f>
      </x:c>
      <x:c r="R1080" s="10" t="str">
        <x:f>IF(OR(NOT(AND(J1080="PASS",'Calibrare_Linii'!U16="VALID")),AM1080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O82)+((('Istoric_Nativ'!$E$6:$E$405='Input_Meci'!E82)+('Istoric_Nativ'!$F$6:$F$405='Input_Meci'!E82))&gt;0)*('Istoric_Nativ'!$D$6:$D$405&gt;='Motor_Meciuri'!BP82))&gt;0)*('Istoric_Nativ'!$Q$6:$Q$405&gt;H1080))/AM1080)</x:f>
      </x:c>
      <x:c r="S1080" s="10" t="str">
        <x:f>IF(M1080="","",MAX(O1080,P1080,Q1080,R1080))</x:f>
      </x:c>
      <x:c r="T1080" s="11" t="str">
        <x:f>IF(M1080="","",MIN(100,S1080*100*'Config_v6'!$B$44+MIN(100,L1080/'Config_v6'!$B$13*100)*'Config_v6'!$B$45+(100-'Motor_Meciuri'!BF82)*'Config_v6'!$B$46+'Motor_Meciuri'!BH82*100*'Config_v6'!$B$47))</x:f>
      </x:c>
      <x:c r="U1080" s="2" t="str">
        <x:f>IF(T1080="","",IF(T1080&lt;=20,1,IF(T1080&lt;=40,2,IF(T1080&lt;=60,3,IF(T1080&lt;=80,4,5)))))</x:f>
      </x:c>
      <x:c r="V1080" s="2" t="str">
        <x:f>IF(M1080="","",MAX(0,'Motor_Meciuri'!BF82-IF(W1080="OOS PENDING",'Config_v6'!$B$35,0)-IF(L1080&gt;'Config_v6'!$B$12,'Config_v6'!$B$37,IF(L1080&gt;'Config_v6'!$B$11,'Config_v6'!$B$36,0))))</x:f>
      </x:c>
      <x:c r="W1080" s="2" t="str">
        <x:f>IF(B1080="","",IF(I1080&lt;&gt;"READY","NOT RELEASED",IF(NOT(AND(J1080="PASS",'Calibrare_Linii'!U16="VALID")),"INVALID",IF(NOT(AND('Calibrare_Linii'!S16="VALIDATED",AND('Calibrare_Linii'!H16=C1080,ISNUMBER('Calibrare_Linii'!J16),'Calibrare_Linii'!J16&lt;='Input_Meci'!G82))),"OOS PENDING",IF(S1080&lt;='Calibrare_Linii'!E16,"PASS",IF(S1080&lt;='Calibrare_Linii'!F16,"PENALTY","WATCH"))))))</x:f>
      </x:c>
      <x:c r="X1080" s="2" t="str">
        <x:f>IF(M1080="","",IF(AND(AND(J1080="PASS",'Calibrare_Linii'!U16="VALID"),'Motor_Meciuri'!K82=12,'Motor_Meciuri'!L82=12,'Motor_Meciuri'!M82="NO",'Motor_Meciuri'!BL82='Motor_Meciuri'!C82,AB1080&gt;='Config_v6'!$B$50,AN1080&gt;='Config_v6'!$B$51,T1080&lt;='Config_v6'!$B$52,L1080&lt;='Config_v6'!$B$53,ISNUMBER('Calibrare_Linii'!E16),S1080&lt;='Calibrare_Linii'!E16,SUM(AK1080:AM1080)&gt;0),"CANDIDATE","NO"))</x:f>
      </x:c>
      <x:c r="Y1080" s="2" t="str">
        <x:f>IF(B1080="","",IF(I1080&lt;&gt;"READY","NOT RELEASED",IF(AND(X1080="CANDIDATE",V1080&gt;='Config_v6'!$B$51,W1080="PASS",'Calibrare_Linii'!T16="VALIDATED",AND('Calibrare_Linii'!H16=C1080,ISNUMBER('Calibrare_Linii'!J16),'Calibrare_Linii'!J16&lt;='Input_Meci'!G82)),"PASS",IF(X1080="CANDIDATE","OOS PENDING","FAIL"))))</x:f>
      </x:c>
      <x:c r="Z1080" s="2" t="str">
        <x:f>IF(B1080="","",IF(I1080&lt;&gt;"READY","",IF(OR(NOT(AND(J1080="PASS",'Calibrare_Linii'!U16="VALID")),L1080&gt;'Config_v6'!$B$13,W1080="WATCH"),5,IF(Y1080="PASS",1,MIN(5,MAX('Config_v6'!$B$42,U1080)+IF(W1080="PENALTY",1,0))))))</x:f>
      </x:c>
      <x:c r="AA1080" s="2" t="str">
        <x:f>IF(B1080="","",IF(I1080&lt;&gt;"READY","NOT RELEASED",IF(Z1080=5,"NO BET",IF(OR(AB1080&lt;'Config_v6'!$B$16,V1080&lt;'Config_v6'!$B$18),"WATCH",IF(Z1080=1,"DEFENSIV",IF(Z1080=2,"PRUDENT",IF(Z1080=3,"MODERAT","RIDICAT")))))))</x:f>
      </x:c>
      <x:c r="AB1080" s="10" t="str">
        <x:f>IF(N1080="","",MIN(N1080,1-S1080))</x:f>
      </x:c>
      <x:c r="AC1080" s="2" t="str">
        <x:f>IF(AD1080&lt;&gt;1,"",COUNTIFS($Z$1070:$Z$1083,"&lt;"&amp;Z1080,$AD$1070:$AD$1083,1)+COUNTIFS($Z$1070:$Z$1083,Z1080,$AB$1070:$AB$1083,"&gt;"&amp;AB1080,$AD$1070:$AD$1083,1)+COUNTIFS($Z$1070:$Z$1083,Z1080,$AB$1070:$AB$1083,AB1080,$V$1070:$V$1083,"&gt;"&amp;V1080,$AD$1070:$AD$1083,1)+COUNTIFS($Z$1070:Z1080,Z1080,$AB$1070:AB1080,AB1080,$V$1070:V1080,V1080,$AD$1070:AD1080,1))</x:f>
      </x:c>
      <x:c r="AD1080" s="2" t="n">
        <x:f>IF(OR(AA1080="DEFENSIV",AA1080="PRUDENT",AA1080="MODERAT",AA1080="RIDICAT"),1,0)</x:f>
        <x:v>0</x:v>
      </x:c>
      <x:c r="AE1080" s="2" t="str">
        <x:f>IF(AD1080&lt;&gt;1,"NO",IF(W1080="PASS","YES",IF(W1080="OOS PENDING","CONDITIONAL","NO")))</x:f>
        <x:v>NO</x:v>
      </x:c>
      <x:c r="AF1080" s="2" t="n">
        <x:f>IF(AND(AD1080=1,AC1080=1,E1080="LIVE"),1,0)</x:f>
        <x:v>0</x:v>
      </x:c>
      <x:c r="AG1080" s="2" t="str">
        <x:f>IF(AF1080&lt;&gt;1,"",'Dashboard'!P102)</x:f>
      </x:c>
      <x:c r="AH1080" s="2" t="str">
        <x:f>IF(B1080="","",IF(J1080&lt;&gt;"PASS",'Motor_Meciuri'!J82,IF('Calibrare_Linii'!U16&lt;&gt;"VALID","Parametri linie invalizi",IF(L1080&gt;'Config_v6'!$B$13,"Dispersie peste limita",IF(W1080="WATCH","Failure peste limita",IF(AB1080&lt;'Config_v6'!$B$16,"P finala sub prag",IF(V1080&lt;'Config_v6'!$B$18,"Confidence sub prag",IF(E1080="REPLAY","Exemplu retrospectiv; exclus din Top LIVE",IF(Y1080="PASS","DEFENSIV validat",IF(W1080="OOS PENDING","Eligibil; calibrare linie in monitorizare","Eligibil"))))))))))</x:f>
      </x:c>
      <x:c r="AI1080" s="2" t="str">
        <x:f>IF(B1080="","",'Calibrare_Linii'!V16)</x:f>
      </x:c>
      <x:c r="AJ1080" s="2" t="str">
        <x:f>IF(B1080="","",IF(AND('Calibrare_Linii'!T16="VALIDATED",AND('Calibrare_Linii'!H16=C1080,ISNUMBER('Calibrare_Linii'!J16),'Calibrare_Linii'!J16&lt;='Input_Meci'!G82)),"DEFENSIVE VALIDATED",IF(AND('Calibrare_Linii'!S16="VALIDATED",AND('Calibrare_Linii'!H16=C1080,ISNUMBER('Calibrare_Linii'!J16),'Calibrare_Linii'!J16&lt;='Input_Meci'!G82)),"TAIL VALIDATED","OOS PENDING")))</x:f>
      </x:c>
      <x:c r="AK1080" s="2" t="n">
        <x:f>IF(J1080&lt;&gt;"PASS",0,'Motor_Meciuri'!BR82)</x:f>
        <x:v>0</x:v>
      </x:c>
      <x:c r="AL1080" s="2" t="n">
        <x:f>IF(J1080&lt;&gt;"PASS",0,'Motor_Meciuri'!BS82)</x:f>
        <x:v>0</x:v>
      </x:c>
      <x:c r="AM1080" s="2" t="n">
        <x:f>IF(J1080&lt;&gt;"PASS",0,'Motor_Meciuri'!BT82)</x:f>
        <x:v>0</x:v>
      </x:c>
      <x:c r="AN1080" s="2" t="str">
        <x:f>IF(M1080="","",MAX(0,'Motor_Meciuri'!BF82-IF(L1080&gt;'Config_v6'!$B$12,'Config_v6'!$B$37,IF(L1080&gt;'Config_v6'!$B$11,'Config_v6'!$B$36,0))))</x:f>
      </x:c>
    </x:row>
    <x:row r="1081" ht="21" customHeight="1">
      <x:c r="A1081" s="2" t="n">
        <x:v>77</x:v>
      </x:c>
      <x:c r="B1081" s="2" t="str">
        <x:f>IF('Motor_Meciuri'!A82="","",'Motor_Meciuri'!A82)</x:f>
      </x:c>
      <x:c r="C1081" s="2" t="str">
        <x:f>IF(B1081="","",'Motor_Meciuri'!B82)</x:f>
      </x:c>
      <x:c r="D1081" s="2" t="str">
        <x:f>IF(B1081="","",'Motor_Meciuri'!D82)</x:f>
      </x:c>
      <x:c r="E1081" s="2" t="str">
        <x:f>IF(B1081="","",'Motor_Meciuri'!E82)</x:f>
      </x:c>
      <x:c r="F1081" s="2" t="str">
        <x:v>U15,5</x:v>
      </x:c>
      <x:c r="G1081" s="2" t="str">
        <x:v>UNDER</x:v>
      </x:c>
      <x:c r="H1081" s="2" t="n">
        <x:v>15</x:v>
      </x:c>
      <x:c r="I1081" s="2" t="str">
        <x:f>IF(B1081="","",'Motor_Meciuri'!H82)</x:f>
      </x:c>
      <x:c r="J1081" s="2" t="str">
        <x:f>IF(B1081="","",'Motor_Meciuri'!I82)</x:f>
      </x:c>
      <x:c r="K1081" s="11" t="str">
        <x:f>IF(J1081&lt;&gt;"PASS","",'Motor_Meciuri'!BD82)</x:f>
      </x:c>
      <x:c r="L1081" s="11" t="str">
        <x:f>IF(J1081&lt;&gt;"PASS","",'Motor_Meciuri'!AU82)</x:f>
      </x:c>
      <x:c r="M1081" s="10" t="str">
        <x:f>IF(NOT(AND(J1081="PASS",'Calibrare_Linii'!U17="VALID")),"",'Distributie'!AM82)</x:f>
      </x:c>
      <x:c r="N1081" s="10" t="str">
        <x:f>IF(M1081="","",MAX(0.01,MIN(0.99,0.5+(M1081-0.5)*'Motor_Meciuri'!BG82*'Calibrare_Linii'!D17)))</x:f>
      </x:c>
      <x:c r="O1081" s="10" t="str">
        <x:f>IF(M1081="","",1-M1081)</x:f>
      </x:c>
      <x:c r="P1081" s="10" t="str">
        <x:f>IF(OR(NOT(AND(J1081="PASS",'Calibrare_Linii'!U17="VALID")),AK1081=0),""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*('Istoric_Nativ'!$Q$6:$Q$405&gt;H1081))/AK1081)</x:f>
      </x:c>
      <x:c r="Q1081" s="10" t="str">
        <x:f>IF(OR(NOT(AND(J1081="PASS",'Calibrare_Linii'!U17="VALID")),AL1081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M82)+((('Istoric_Nativ'!$E$6:$E$405='Input_Meci'!E82)+('Istoric_Nativ'!$F$6:$F$405='Input_Meci'!E82))&gt;0)*('Istoric_Nativ'!$D$6:$D$405&gt;='Motor_Meciuri'!BN82))&gt;0)*('Istoric_Nativ'!$Q$6:$Q$405&gt;H1081))/AL1081)</x:f>
      </x:c>
      <x:c r="R1081" s="10" t="str">
        <x:f>IF(OR(NOT(AND(J1081="PASS",'Calibrare_Linii'!U17="VALID")),AM1081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O82)+((('Istoric_Nativ'!$E$6:$E$405='Input_Meci'!E82)+('Istoric_Nativ'!$F$6:$F$405='Input_Meci'!E82))&gt;0)*('Istoric_Nativ'!$D$6:$D$405&gt;='Motor_Meciuri'!BP82))&gt;0)*('Istoric_Nativ'!$Q$6:$Q$405&gt;H1081))/AM1081)</x:f>
      </x:c>
      <x:c r="S1081" s="10" t="str">
        <x:f>IF(M1081="","",MAX(O1081,P1081,Q1081,R1081))</x:f>
      </x:c>
      <x:c r="T1081" s="11" t="str">
        <x:f>IF(M1081="","",MIN(100,S1081*100*'Config_v6'!$B$44+MIN(100,L1081/'Config_v6'!$B$13*100)*'Config_v6'!$B$45+(100-'Motor_Meciuri'!BF82)*'Config_v6'!$B$46+'Motor_Meciuri'!BH82*100*'Config_v6'!$B$47))</x:f>
      </x:c>
      <x:c r="U1081" s="2" t="str">
        <x:f>IF(T1081="","",IF(T1081&lt;=20,1,IF(T1081&lt;=40,2,IF(T1081&lt;=60,3,IF(T1081&lt;=80,4,5)))))</x:f>
      </x:c>
      <x:c r="V1081" s="2" t="str">
        <x:f>IF(M1081="","",MAX(0,'Motor_Meciuri'!BF82-IF(W1081="OOS PENDING",'Config_v6'!$B$35,0)-IF(L1081&gt;'Config_v6'!$B$12,'Config_v6'!$B$37,IF(L1081&gt;'Config_v6'!$B$11,'Config_v6'!$B$36,0))))</x:f>
      </x:c>
      <x:c r="W1081" s="2" t="str">
        <x:f>IF(B1081="","",IF(I1081&lt;&gt;"READY","NOT RELEASED",IF(NOT(AND(J1081="PASS",'Calibrare_Linii'!U17="VALID")),"INVALID",IF(NOT(AND('Calibrare_Linii'!S17="VALIDATED",AND('Calibrare_Linii'!H17=C1081,ISNUMBER('Calibrare_Linii'!J17),'Calibrare_Linii'!J17&lt;='Input_Meci'!G82))),"OOS PENDING",IF(S1081&lt;='Calibrare_Linii'!E17,"PASS",IF(S1081&lt;='Calibrare_Linii'!F17,"PENALTY","WATCH"))))))</x:f>
      </x:c>
      <x:c r="X1081" s="2" t="str">
        <x:f>IF(M1081="","",IF(AND(AND(J1081="PASS",'Calibrare_Linii'!U17="VALID"),'Motor_Meciuri'!K82=12,'Motor_Meciuri'!L82=12,'Motor_Meciuri'!M82="NO",'Motor_Meciuri'!BL82='Motor_Meciuri'!C82,AB1081&gt;='Config_v6'!$B$50,AN1081&gt;='Config_v6'!$B$51,T1081&lt;='Config_v6'!$B$52,L1081&lt;='Config_v6'!$B$53,ISNUMBER('Calibrare_Linii'!E17),S1081&lt;='Calibrare_Linii'!E17,SUM(AK1081:AM1081)&gt;0),"CANDIDATE","NO"))</x:f>
      </x:c>
      <x:c r="Y1081" s="2" t="str">
        <x:f>IF(B1081="","",IF(I1081&lt;&gt;"READY","NOT RELEASED",IF(AND(X1081="CANDIDATE",V1081&gt;='Config_v6'!$B$51,W1081="PASS",'Calibrare_Linii'!T17="VALIDATED",AND('Calibrare_Linii'!H17=C1081,ISNUMBER('Calibrare_Linii'!J17),'Calibrare_Linii'!J17&lt;='Input_Meci'!G82)),"PASS",IF(X1081="CANDIDATE","OOS PENDING","FAIL"))))</x:f>
      </x:c>
      <x:c r="Z1081" s="2" t="str">
        <x:f>IF(B1081="","",IF(I1081&lt;&gt;"READY","",IF(OR(NOT(AND(J1081="PASS",'Calibrare_Linii'!U17="VALID")),L1081&gt;'Config_v6'!$B$13,W1081="WATCH"),5,IF(Y1081="PASS",1,MIN(5,MAX('Config_v6'!$B$42,U1081)+IF(W1081="PENALTY",1,0))))))</x:f>
      </x:c>
      <x:c r="AA1081" s="2" t="str">
        <x:f>IF(B1081="","",IF(I1081&lt;&gt;"READY","NOT RELEASED",IF(Z1081=5,"NO BET",IF(OR(AB1081&lt;'Config_v6'!$B$16,V1081&lt;'Config_v6'!$B$18),"WATCH",IF(Z1081=1,"DEFENSIV",IF(Z1081=2,"PRUDENT",IF(Z1081=3,"MODERAT","RIDICAT")))))))</x:f>
      </x:c>
      <x:c r="AB1081" s="10" t="str">
        <x:f>IF(N1081="","",MIN(N1081,1-S1081))</x:f>
      </x:c>
      <x:c r="AC1081" s="2" t="str">
        <x:f>IF(AD1081&lt;&gt;1,"",COUNTIFS($Z$1070:$Z$1083,"&lt;"&amp;Z1081,$AD$1070:$AD$1083,1)+COUNTIFS($Z$1070:$Z$1083,Z1081,$AB$1070:$AB$1083,"&gt;"&amp;AB1081,$AD$1070:$AD$1083,1)+COUNTIFS($Z$1070:$Z$1083,Z1081,$AB$1070:$AB$1083,AB1081,$V$1070:$V$1083,"&gt;"&amp;V1081,$AD$1070:$AD$1083,1)+COUNTIFS($Z$1070:Z1081,Z1081,$AB$1070:AB1081,AB1081,$V$1070:V1081,V1081,$AD$1070:AD1081,1))</x:f>
      </x:c>
      <x:c r="AD1081" s="2" t="n">
        <x:f>IF(OR(AA1081="DEFENSIV",AA1081="PRUDENT",AA1081="MODERAT",AA1081="RIDICAT"),1,0)</x:f>
        <x:v>0</x:v>
      </x:c>
      <x:c r="AE1081" s="2" t="str">
        <x:f>IF(AD1081&lt;&gt;1,"NO",IF(W1081="PASS","YES",IF(W1081="OOS PENDING","CONDITIONAL","NO")))</x:f>
        <x:v>NO</x:v>
      </x:c>
      <x:c r="AF1081" s="2" t="n">
        <x:f>IF(AND(AD1081=1,AC1081=1,E1081="LIVE"),1,0)</x:f>
        <x:v>0</x:v>
      </x:c>
      <x:c r="AG1081" s="2" t="str">
        <x:f>IF(AF1081&lt;&gt;1,"",'Dashboard'!P102)</x:f>
      </x:c>
      <x:c r="AH1081" s="2" t="str">
        <x:f>IF(B1081="","",IF(J1081&lt;&gt;"PASS",'Motor_Meciuri'!J82,IF('Calibrare_Linii'!U17&lt;&gt;"VALID","Parametri linie invalizi",IF(L1081&gt;'Config_v6'!$B$13,"Dispersie peste limita",IF(W1081="WATCH","Failure peste limita",IF(AB1081&lt;'Config_v6'!$B$16,"P finala sub prag",IF(V1081&lt;'Config_v6'!$B$18,"Confidence sub prag",IF(E1081="REPLAY","Exemplu retrospectiv; exclus din Top LIVE",IF(Y1081="PASS","DEFENSIV validat",IF(W1081="OOS PENDING","Eligibil; calibrare linie in monitorizare","Eligibil"))))))))))</x:f>
      </x:c>
      <x:c r="AI1081" s="2" t="str">
        <x:f>IF(B1081="","",'Calibrare_Linii'!V17)</x:f>
      </x:c>
      <x:c r="AJ1081" s="2" t="str">
        <x:f>IF(B1081="","",IF(AND('Calibrare_Linii'!T17="VALIDATED",AND('Calibrare_Linii'!H17=C1081,ISNUMBER('Calibrare_Linii'!J17),'Calibrare_Linii'!J17&lt;='Input_Meci'!G82)),"DEFENSIVE VALIDATED",IF(AND('Calibrare_Linii'!S17="VALIDATED",AND('Calibrare_Linii'!H17=C1081,ISNUMBER('Calibrare_Linii'!J17),'Calibrare_Linii'!J17&lt;='Input_Meci'!G82)),"TAIL VALIDATED","OOS PENDING")))</x:f>
      </x:c>
      <x:c r="AK1081" s="2" t="n">
        <x:f>IF(J1081&lt;&gt;"PASS",0,'Motor_Meciuri'!BR82)</x:f>
        <x:v>0</x:v>
      </x:c>
      <x:c r="AL1081" s="2" t="n">
        <x:f>IF(J1081&lt;&gt;"PASS",0,'Motor_Meciuri'!BS82)</x:f>
        <x:v>0</x:v>
      </x:c>
      <x:c r="AM1081" s="2" t="n">
        <x:f>IF(J1081&lt;&gt;"PASS",0,'Motor_Meciuri'!BT82)</x:f>
        <x:v>0</x:v>
      </x:c>
      <x:c r="AN1081" s="2" t="str">
        <x:f>IF(M1081="","",MAX(0,'Motor_Meciuri'!BF82-IF(L1081&gt;'Config_v6'!$B$12,'Config_v6'!$B$37,IF(L1081&gt;'Config_v6'!$B$11,'Config_v6'!$B$36,0))))</x:f>
      </x:c>
    </x:row>
    <x:row r="1082" ht="21" customHeight="1">
      <x:c r="A1082" s="2" t="n">
        <x:v>77</x:v>
      </x:c>
      <x:c r="B1082" s="2" t="str">
        <x:f>IF('Motor_Meciuri'!A82="","",'Motor_Meciuri'!A82)</x:f>
      </x:c>
      <x:c r="C1082" s="2" t="str">
        <x:f>IF(B1082="","",'Motor_Meciuri'!B82)</x:f>
      </x:c>
      <x:c r="D1082" s="2" t="str">
        <x:f>IF(B1082="","",'Motor_Meciuri'!D82)</x:f>
      </x:c>
      <x:c r="E1082" s="2" t="str">
        <x:f>IF(B1082="","",'Motor_Meciuri'!E82)</x:f>
      </x:c>
      <x:c r="F1082" s="2" t="str">
        <x:v>U16,5</x:v>
      </x:c>
      <x:c r="G1082" s="2" t="str">
        <x:v>UNDER</x:v>
      </x:c>
      <x:c r="H1082" s="2" t="n">
        <x:v>16</x:v>
      </x:c>
      <x:c r="I1082" s="2" t="str">
        <x:f>IF(B1082="","",'Motor_Meciuri'!H82)</x:f>
      </x:c>
      <x:c r="J1082" s="2" t="str">
        <x:f>IF(B1082="","",'Motor_Meciuri'!I82)</x:f>
      </x:c>
      <x:c r="K1082" s="11" t="str">
        <x:f>IF(J1082&lt;&gt;"PASS","",'Motor_Meciuri'!BD82)</x:f>
      </x:c>
      <x:c r="L1082" s="11" t="str">
        <x:f>IF(J1082&lt;&gt;"PASS","",'Motor_Meciuri'!AU82)</x:f>
      </x:c>
      <x:c r="M1082" s="10" t="str">
        <x:f>IF(NOT(AND(J1082="PASS",'Calibrare_Linii'!U18="VALID")),"",'Distributie'!AN82)</x:f>
      </x:c>
      <x:c r="N1082" s="10" t="str">
        <x:f>IF(M1082="","",MAX(0.01,MIN(0.99,0.5+(M1082-0.5)*'Motor_Meciuri'!BG82*'Calibrare_Linii'!D18)))</x:f>
      </x:c>
      <x:c r="O1082" s="10" t="str">
        <x:f>IF(M1082="","",1-M1082)</x:f>
      </x:c>
      <x:c r="P1082" s="10" t="str">
        <x:f>IF(OR(NOT(AND(J1082="PASS",'Calibrare_Linii'!U18="VALID")),AK1082=0),""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*('Istoric_Nativ'!$Q$6:$Q$405&gt;H1082))/AK1082)</x:f>
      </x:c>
      <x:c r="Q1082" s="10" t="str">
        <x:f>IF(OR(NOT(AND(J1082="PASS",'Calibrare_Linii'!U18="VALID")),AL1082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M82)+((('Istoric_Nativ'!$E$6:$E$405='Input_Meci'!E82)+('Istoric_Nativ'!$F$6:$F$405='Input_Meci'!E82))&gt;0)*('Istoric_Nativ'!$D$6:$D$405&gt;='Motor_Meciuri'!BN82))&gt;0)*('Istoric_Nativ'!$Q$6:$Q$405&gt;H1082))/AL1082)</x:f>
      </x:c>
      <x:c r="R1082" s="10" t="str">
        <x:f>IF(OR(NOT(AND(J1082="PASS",'Calibrare_Linii'!U18="VALID")),AM1082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O82)+((('Istoric_Nativ'!$E$6:$E$405='Input_Meci'!E82)+('Istoric_Nativ'!$F$6:$F$405='Input_Meci'!E82))&gt;0)*('Istoric_Nativ'!$D$6:$D$405&gt;='Motor_Meciuri'!BP82))&gt;0)*('Istoric_Nativ'!$Q$6:$Q$405&gt;H1082))/AM1082)</x:f>
      </x:c>
      <x:c r="S1082" s="10" t="str">
        <x:f>IF(M1082="","",MAX(O1082,P1082,Q1082,R1082))</x:f>
      </x:c>
      <x:c r="T1082" s="11" t="str">
        <x:f>IF(M1082="","",MIN(100,S1082*100*'Config_v6'!$B$44+MIN(100,L1082/'Config_v6'!$B$13*100)*'Config_v6'!$B$45+(100-'Motor_Meciuri'!BF82)*'Config_v6'!$B$46+'Motor_Meciuri'!BH82*100*'Config_v6'!$B$47))</x:f>
      </x:c>
      <x:c r="U1082" s="2" t="str">
        <x:f>IF(T1082="","",IF(T1082&lt;=20,1,IF(T1082&lt;=40,2,IF(T1082&lt;=60,3,IF(T1082&lt;=80,4,5)))))</x:f>
      </x:c>
      <x:c r="V1082" s="2" t="str">
        <x:f>IF(M1082="","",MAX(0,'Motor_Meciuri'!BF82-IF(W1082="OOS PENDING",'Config_v6'!$B$35,0)-IF(L1082&gt;'Config_v6'!$B$12,'Config_v6'!$B$37,IF(L1082&gt;'Config_v6'!$B$11,'Config_v6'!$B$36,0))))</x:f>
      </x:c>
      <x:c r="W1082" s="2" t="str">
        <x:f>IF(B1082="","",IF(I1082&lt;&gt;"READY","NOT RELEASED",IF(NOT(AND(J1082="PASS",'Calibrare_Linii'!U18="VALID")),"INVALID",IF(NOT(AND('Calibrare_Linii'!S18="VALIDATED",AND('Calibrare_Linii'!H18=C1082,ISNUMBER('Calibrare_Linii'!J18),'Calibrare_Linii'!J18&lt;='Input_Meci'!G82))),"OOS PENDING",IF(S1082&lt;='Calibrare_Linii'!E18,"PASS",IF(S1082&lt;='Calibrare_Linii'!F18,"PENALTY","WATCH"))))))</x:f>
      </x:c>
      <x:c r="X1082" s="2" t="str">
        <x:f>IF(M1082="","",IF(AND(AND(J1082="PASS",'Calibrare_Linii'!U18="VALID"),'Motor_Meciuri'!K82=12,'Motor_Meciuri'!L82=12,'Motor_Meciuri'!M82="NO",'Motor_Meciuri'!BL82='Motor_Meciuri'!C82,AB1082&gt;='Config_v6'!$B$50,AN1082&gt;='Config_v6'!$B$51,T1082&lt;='Config_v6'!$B$52,L1082&lt;='Config_v6'!$B$53,ISNUMBER('Calibrare_Linii'!E18),S1082&lt;='Calibrare_Linii'!E18,SUM(AK1082:AM1082)&gt;0),"CANDIDATE","NO"))</x:f>
      </x:c>
      <x:c r="Y1082" s="2" t="str">
        <x:f>IF(B1082="","",IF(I1082&lt;&gt;"READY","NOT RELEASED",IF(AND(X1082="CANDIDATE",V1082&gt;='Config_v6'!$B$51,W1082="PASS",'Calibrare_Linii'!T18="VALIDATED",AND('Calibrare_Linii'!H18=C1082,ISNUMBER('Calibrare_Linii'!J18),'Calibrare_Linii'!J18&lt;='Input_Meci'!G82)),"PASS",IF(X1082="CANDIDATE","OOS PENDING","FAIL"))))</x:f>
      </x:c>
      <x:c r="Z1082" s="2" t="str">
        <x:f>IF(B1082="","",IF(I1082&lt;&gt;"READY","",IF(OR(NOT(AND(J1082="PASS",'Calibrare_Linii'!U18="VALID")),L1082&gt;'Config_v6'!$B$13,W1082="WATCH"),5,IF(Y1082="PASS",1,MIN(5,MAX('Config_v6'!$B$42,U1082)+IF(W1082="PENALTY",1,0))))))</x:f>
      </x:c>
      <x:c r="AA1082" s="2" t="str">
        <x:f>IF(B1082="","",IF(I1082&lt;&gt;"READY","NOT RELEASED",IF(Z1082=5,"NO BET",IF(OR(AB1082&lt;'Config_v6'!$B$16,V1082&lt;'Config_v6'!$B$18),"WATCH",IF(Z1082=1,"DEFENSIV",IF(Z1082=2,"PRUDENT",IF(Z1082=3,"MODERAT","RIDICAT")))))))</x:f>
      </x:c>
      <x:c r="AB1082" s="10" t="str">
        <x:f>IF(N1082="","",MIN(N1082,1-S1082))</x:f>
      </x:c>
      <x:c r="AC1082" s="2" t="str">
        <x:f>IF(AD1082&lt;&gt;1,"",COUNTIFS($Z$1070:$Z$1083,"&lt;"&amp;Z1082,$AD$1070:$AD$1083,1)+COUNTIFS($Z$1070:$Z$1083,Z1082,$AB$1070:$AB$1083,"&gt;"&amp;AB1082,$AD$1070:$AD$1083,1)+COUNTIFS($Z$1070:$Z$1083,Z1082,$AB$1070:$AB$1083,AB1082,$V$1070:$V$1083,"&gt;"&amp;V1082,$AD$1070:$AD$1083,1)+COUNTIFS($Z$1070:Z1082,Z1082,$AB$1070:AB1082,AB1082,$V$1070:V1082,V1082,$AD$1070:AD1082,1))</x:f>
      </x:c>
      <x:c r="AD1082" s="2" t="n">
        <x:f>IF(OR(AA1082="DEFENSIV",AA1082="PRUDENT",AA1082="MODERAT",AA1082="RIDICAT"),1,0)</x:f>
        <x:v>0</x:v>
      </x:c>
      <x:c r="AE1082" s="2" t="str">
        <x:f>IF(AD1082&lt;&gt;1,"NO",IF(W1082="PASS","YES",IF(W1082="OOS PENDING","CONDITIONAL","NO")))</x:f>
        <x:v>NO</x:v>
      </x:c>
      <x:c r="AF1082" s="2" t="n">
        <x:f>IF(AND(AD1082=1,AC1082=1,E1082="LIVE"),1,0)</x:f>
        <x:v>0</x:v>
      </x:c>
      <x:c r="AG1082" s="2" t="str">
        <x:f>IF(AF1082&lt;&gt;1,"",'Dashboard'!P102)</x:f>
      </x:c>
      <x:c r="AH1082" s="2" t="str">
        <x:f>IF(B1082="","",IF(J1082&lt;&gt;"PASS",'Motor_Meciuri'!J82,IF('Calibrare_Linii'!U18&lt;&gt;"VALID","Parametri linie invalizi",IF(L1082&gt;'Config_v6'!$B$13,"Dispersie peste limita",IF(W1082="WATCH","Failure peste limita",IF(AB1082&lt;'Config_v6'!$B$16,"P finala sub prag",IF(V1082&lt;'Config_v6'!$B$18,"Confidence sub prag",IF(E1082="REPLAY","Exemplu retrospectiv; exclus din Top LIVE",IF(Y1082="PASS","DEFENSIV validat",IF(W1082="OOS PENDING","Eligibil; calibrare linie in monitorizare","Eligibil"))))))))))</x:f>
      </x:c>
      <x:c r="AI1082" s="2" t="str">
        <x:f>IF(B1082="","",'Calibrare_Linii'!V18)</x:f>
      </x:c>
      <x:c r="AJ1082" s="2" t="str">
        <x:f>IF(B1082="","",IF(AND('Calibrare_Linii'!T18="VALIDATED",AND('Calibrare_Linii'!H18=C1082,ISNUMBER('Calibrare_Linii'!J18),'Calibrare_Linii'!J18&lt;='Input_Meci'!G82)),"DEFENSIVE VALIDATED",IF(AND('Calibrare_Linii'!S18="VALIDATED",AND('Calibrare_Linii'!H18=C1082,ISNUMBER('Calibrare_Linii'!J18),'Calibrare_Linii'!J18&lt;='Input_Meci'!G82)),"TAIL VALIDATED","OOS PENDING")))</x:f>
      </x:c>
      <x:c r="AK1082" s="2" t="n">
        <x:f>IF(J1082&lt;&gt;"PASS",0,'Motor_Meciuri'!BR82)</x:f>
        <x:v>0</x:v>
      </x:c>
      <x:c r="AL1082" s="2" t="n">
        <x:f>IF(J1082&lt;&gt;"PASS",0,'Motor_Meciuri'!BS82)</x:f>
        <x:v>0</x:v>
      </x:c>
      <x:c r="AM1082" s="2" t="n">
        <x:f>IF(J1082&lt;&gt;"PASS",0,'Motor_Meciuri'!BT82)</x:f>
        <x:v>0</x:v>
      </x:c>
      <x:c r="AN1082" s="2" t="str">
        <x:f>IF(M1082="","",MAX(0,'Motor_Meciuri'!BF82-IF(L1082&gt;'Config_v6'!$B$12,'Config_v6'!$B$37,IF(L1082&gt;'Config_v6'!$B$11,'Config_v6'!$B$36,0))))</x:f>
      </x:c>
    </x:row>
    <x:row r="1083" ht="21" customHeight="1">
      <x:c r="A1083" s="2" t="n">
        <x:v>77</x:v>
      </x:c>
      <x:c r="B1083" s="2" t="str">
        <x:f>IF('Motor_Meciuri'!A82="","",'Motor_Meciuri'!A82)</x:f>
      </x:c>
      <x:c r="C1083" s="2" t="str">
        <x:f>IF(B1083="","",'Motor_Meciuri'!B82)</x:f>
      </x:c>
      <x:c r="D1083" s="2" t="str">
        <x:f>IF(B1083="","",'Motor_Meciuri'!D82)</x:f>
      </x:c>
      <x:c r="E1083" s="2" t="str">
        <x:f>IF(B1083="","",'Motor_Meciuri'!E82)</x:f>
      </x:c>
      <x:c r="F1083" s="2" t="str">
        <x:v>U17,5</x:v>
      </x:c>
      <x:c r="G1083" s="2" t="str">
        <x:v>UNDER</x:v>
      </x:c>
      <x:c r="H1083" s="2" t="n">
        <x:v>17</x:v>
      </x:c>
      <x:c r="I1083" s="2" t="str">
        <x:f>IF(B1083="","",'Motor_Meciuri'!H82)</x:f>
      </x:c>
      <x:c r="J1083" s="2" t="str">
        <x:f>IF(B1083="","",'Motor_Meciuri'!I82)</x:f>
      </x:c>
      <x:c r="K1083" s="11" t="str">
        <x:f>IF(J1083&lt;&gt;"PASS","",'Motor_Meciuri'!BD82)</x:f>
      </x:c>
      <x:c r="L1083" s="11" t="str">
        <x:f>IF(J1083&lt;&gt;"PASS","",'Motor_Meciuri'!AU82)</x:f>
      </x:c>
      <x:c r="M1083" s="10" t="str">
        <x:f>IF(NOT(AND(J1083="PASS",'Calibrare_Linii'!U19="VALID")),"",'Distributie'!AO82)</x:f>
      </x:c>
      <x:c r="N1083" s="10" t="str">
        <x:f>IF(M1083="","",MAX(0.01,MIN(0.99,0.5+(M1083-0.5)*'Motor_Meciuri'!BG82*'Calibrare_Linii'!D19)))</x:f>
      </x:c>
      <x:c r="O1083" s="10" t="str">
        <x:f>IF(M1083="","",1-M1083)</x:f>
      </x:c>
      <x:c r="P1083" s="10" t="str">
        <x:f>IF(OR(NOT(AND(J1083="PASS",'Calibrare_Linii'!U19="VALID")),AK1083=0),""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*('Istoric_Nativ'!$Q$6:$Q$405&gt;H1083))/AK1083)</x:f>
      </x:c>
      <x:c r="Q1083" s="10" t="str">
        <x:f>IF(OR(NOT(AND(J1083="PASS",'Calibrare_Linii'!U19="VALID")),AL1083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M82)+((('Istoric_Nativ'!$E$6:$E$405='Input_Meci'!E82)+('Istoric_Nativ'!$F$6:$F$405='Input_Meci'!E82))&gt;0)*('Istoric_Nativ'!$D$6:$D$405&gt;='Motor_Meciuri'!BN82))&gt;0)*('Istoric_Nativ'!$Q$6:$Q$405&gt;H1083))/AL1083)</x:f>
      </x:c>
      <x:c r="R1083" s="10" t="str">
        <x:f>IF(OR(NOT(AND(J1083="PASS",'Calibrare_Linii'!U19="VALID")),AM1083=0),""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'Motor_Meciuri'!BO82)+((('Istoric_Nativ'!$E$6:$E$405='Input_Meci'!E82)+('Istoric_Nativ'!$F$6:$F$405='Input_Meci'!E82))&gt;0)*('Istoric_Nativ'!$D$6:$D$405&gt;='Motor_Meciuri'!BP82))&gt;0)*('Istoric_Nativ'!$Q$6:$Q$405&gt;H1083))/AM1083)</x:f>
      </x:c>
      <x:c r="S1083" s="10" t="str">
        <x:f>IF(M1083="","",MAX(O1083,P1083,Q1083,R1083))</x:f>
      </x:c>
      <x:c r="T1083" s="11" t="str">
        <x:f>IF(M1083="","",MIN(100,S1083*100*'Config_v6'!$B$44+MIN(100,L1083/'Config_v6'!$B$13*100)*'Config_v6'!$B$45+(100-'Motor_Meciuri'!BF82)*'Config_v6'!$B$46+'Motor_Meciuri'!BH82*100*'Config_v6'!$B$47))</x:f>
      </x:c>
      <x:c r="U1083" s="2" t="str">
        <x:f>IF(T1083="","",IF(T1083&lt;=20,1,IF(T1083&lt;=40,2,IF(T1083&lt;=60,3,IF(T1083&lt;=80,4,5)))))</x:f>
      </x:c>
      <x:c r="V1083" s="2" t="str">
        <x:f>IF(M1083="","",MAX(0,'Motor_Meciuri'!BF82-IF(W1083="OOS PENDING",'Config_v6'!$B$35,0)-IF(L1083&gt;'Config_v6'!$B$12,'Config_v6'!$B$37,IF(L1083&gt;'Config_v6'!$B$11,'Config_v6'!$B$36,0))))</x:f>
      </x:c>
      <x:c r="W1083" s="2" t="str">
        <x:f>IF(B1083="","",IF(I1083&lt;&gt;"READY","NOT RELEASED",IF(NOT(AND(J1083="PASS",'Calibrare_Linii'!U19="VALID")),"INVALID",IF(NOT(AND('Calibrare_Linii'!S19="VALIDATED",AND('Calibrare_Linii'!H19=C1083,ISNUMBER('Calibrare_Linii'!J19),'Calibrare_Linii'!J19&lt;='Input_Meci'!G82))),"OOS PENDING",IF(S1083&lt;='Calibrare_Linii'!E19,"PASS",IF(S1083&lt;='Calibrare_Linii'!F19,"PENALTY","WATCH"))))))</x:f>
      </x:c>
      <x:c r="X1083" s="2" t="str">
        <x:f>IF(M1083="","",IF(AND(AND(J1083="PASS",'Calibrare_Linii'!U19="VALID"),'Motor_Meciuri'!K82=12,'Motor_Meciuri'!L82=12,'Motor_Meciuri'!M82="NO",'Motor_Meciuri'!BL82='Motor_Meciuri'!C82,AB1083&gt;='Config_v6'!$B$50,AN1083&gt;='Config_v6'!$B$51,T1083&lt;='Config_v6'!$B$52,L1083&lt;='Config_v6'!$B$53,ISNUMBER('Calibrare_Linii'!E19),S1083&lt;='Calibrare_Linii'!E19,SUM(AK1083:AM1083)&gt;0),"CANDIDATE","NO"))</x:f>
      </x:c>
      <x:c r="Y1083" s="2" t="str">
        <x:f>IF(B1083="","",IF(I1083&lt;&gt;"READY","NOT RELEASED",IF(AND(X1083="CANDIDATE",V1083&gt;='Config_v6'!$B$51,W1083="PASS",'Calibrare_Linii'!T19="VALIDATED",AND('Calibrare_Linii'!H19=C1083,ISNUMBER('Calibrare_Linii'!J19),'Calibrare_Linii'!J19&lt;='Input_Meci'!G82)),"PASS",IF(X1083="CANDIDATE","OOS PENDING","FAIL"))))</x:f>
      </x:c>
      <x:c r="Z1083" s="2" t="str">
        <x:f>IF(B1083="","",IF(I1083&lt;&gt;"READY","",IF(OR(NOT(AND(J1083="PASS",'Calibrare_Linii'!U19="VALID")),L1083&gt;'Config_v6'!$B$13,W1083="WATCH"),5,IF(Y1083="PASS",1,MIN(5,MAX('Config_v6'!$B$42,U1083)+IF(W1083="PENALTY",1,0))))))</x:f>
      </x:c>
      <x:c r="AA1083" s="2" t="str">
        <x:f>IF(B1083="","",IF(I1083&lt;&gt;"READY","NOT RELEASED",IF(Z1083=5,"NO BET",IF(OR(AB1083&lt;'Config_v6'!$B$16,V1083&lt;'Config_v6'!$B$18),"WATCH",IF(Z1083=1,"DEFENSIV",IF(Z1083=2,"PRUDENT",IF(Z1083=3,"MODERAT","RIDICAT")))))))</x:f>
      </x:c>
      <x:c r="AB1083" s="10" t="str">
        <x:f>IF(N1083="","",MIN(N1083,1-S1083))</x:f>
      </x:c>
      <x:c r="AC1083" s="2" t="str">
        <x:f>IF(AD1083&lt;&gt;1,"",COUNTIFS($Z$1070:$Z$1083,"&lt;"&amp;Z1083,$AD$1070:$AD$1083,1)+COUNTIFS($Z$1070:$Z$1083,Z1083,$AB$1070:$AB$1083,"&gt;"&amp;AB1083,$AD$1070:$AD$1083,1)+COUNTIFS($Z$1070:$Z$1083,Z1083,$AB$1070:$AB$1083,AB1083,$V$1070:$V$1083,"&gt;"&amp;V1083,$AD$1070:$AD$1083,1)+COUNTIFS($Z$1070:Z1083,Z1083,$AB$1070:AB1083,AB1083,$V$1070:V1083,V1083,$AD$1070:AD1083,1))</x:f>
      </x:c>
      <x:c r="AD1083" s="2" t="n">
        <x:f>IF(OR(AA1083="DEFENSIV",AA1083="PRUDENT",AA1083="MODERAT",AA1083="RIDICAT"),1,0)</x:f>
        <x:v>0</x:v>
      </x:c>
      <x:c r="AE1083" s="2" t="str">
        <x:f>IF(AD1083&lt;&gt;1,"NO",IF(W1083="PASS","YES",IF(W1083="OOS PENDING","CONDITIONAL","NO")))</x:f>
        <x:v>NO</x:v>
      </x:c>
      <x:c r="AF1083" s="2" t="n">
        <x:f>IF(AND(AD1083=1,AC1083=1,E1083="LIVE"),1,0)</x:f>
        <x:v>0</x:v>
      </x:c>
      <x:c r="AG1083" s="2" t="str">
        <x:f>IF(AF1083&lt;&gt;1,"",'Dashboard'!P102)</x:f>
      </x:c>
      <x:c r="AH1083" s="2" t="str">
        <x:f>IF(B1083="","",IF(J1083&lt;&gt;"PASS",'Motor_Meciuri'!J82,IF('Calibrare_Linii'!U19&lt;&gt;"VALID","Parametri linie invalizi",IF(L1083&gt;'Config_v6'!$B$13,"Dispersie peste limita",IF(W1083="WATCH","Failure peste limita",IF(AB1083&lt;'Config_v6'!$B$16,"P finala sub prag",IF(V1083&lt;'Config_v6'!$B$18,"Confidence sub prag",IF(E1083="REPLAY","Exemplu retrospectiv; exclus din Top LIVE",IF(Y1083="PASS","DEFENSIV validat",IF(W1083="OOS PENDING","Eligibil; calibrare linie in monitorizare","Eligibil"))))))))))</x:f>
      </x:c>
      <x:c r="AI1083" s="2" t="str">
        <x:f>IF(B1083="","",'Calibrare_Linii'!V19)</x:f>
      </x:c>
      <x:c r="AJ1083" s="2" t="str">
        <x:f>IF(B1083="","",IF(AND('Calibrare_Linii'!T19="VALIDATED",AND('Calibrare_Linii'!H19=C1083,ISNUMBER('Calibrare_Linii'!J19),'Calibrare_Linii'!J19&lt;='Input_Meci'!G82)),"DEFENSIVE VALIDATED",IF(AND('Calibrare_Linii'!S19="VALIDATED",AND('Calibrare_Linii'!H19=C1083,ISNUMBER('Calibrare_Linii'!J19),'Calibrare_Linii'!J19&lt;='Input_Meci'!G82)),"TAIL VALIDATED","OOS PENDING")))</x:f>
      </x:c>
      <x:c r="AK1083" s="2" t="n">
        <x:f>IF(J1083&lt;&gt;"PASS",0,'Motor_Meciuri'!BR82)</x:f>
        <x:v>0</x:v>
      </x:c>
      <x:c r="AL1083" s="2" t="n">
        <x:f>IF(J1083&lt;&gt;"PASS",0,'Motor_Meciuri'!BS82)</x:f>
        <x:v>0</x:v>
      </x:c>
      <x:c r="AM1083" s="2" t="n">
        <x:f>IF(J1083&lt;&gt;"PASS",0,'Motor_Meciuri'!BT82)</x:f>
        <x:v>0</x:v>
      </x:c>
      <x:c r="AN1083" s="2" t="str">
        <x:f>IF(M1083="","",MAX(0,'Motor_Meciuri'!BF82-IF(L1083&gt;'Config_v6'!$B$12,'Config_v6'!$B$37,IF(L1083&gt;'Config_v6'!$B$11,'Config_v6'!$B$36,0))))</x:f>
      </x:c>
    </x:row>
    <x:row r="1084" ht="21" customHeight="1">
      <x:c r="A1084" s="2" t="n">
        <x:v>78</x:v>
      </x:c>
      <x:c r="B1084" s="2" t="str">
        <x:f>IF('Motor_Meciuri'!A83="","",'Motor_Meciuri'!A83)</x:f>
      </x:c>
      <x:c r="C1084" s="2" t="str">
        <x:f>IF(B1084="","",'Motor_Meciuri'!B83)</x:f>
      </x:c>
      <x:c r="D1084" s="2" t="str">
        <x:f>IF(B1084="","",'Motor_Meciuri'!D83)</x:f>
      </x:c>
      <x:c r="E1084" s="2" t="str">
        <x:f>IF(B1084="","",'Motor_Meciuri'!E83)</x:f>
      </x:c>
      <x:c r="F1084" s="2" t="str">
        <x:v>O3,5</x:v>
      </x:c>
      <x:c r="G1084" s="2" t="str">
        <x:v>OVER</x:v>
      </x:c>
      <x:c r="H1084" s="2" t="n">
        <x:v>3</x:v>
      </x:c>
      <x:c r="I1084" s="2" t="str">
        <x:f>IF(B1084="","",'Motor_Meciuri'!H83)</x:f>
      </x:c>
      <x:c r="J1084" s="2" t="str">
        <x:f>IF(B1084="","",'Motor_Meciuri'!I83)</x:f>
      </x:c>
      <x:c r="K1084" s="11" t="str">
        <x:f>IF(J1084&lt;&gt;"PASS","",'Motor_Meciuri'!BD83)</x:f>
      </x:c>
      <x:c r="L1084" s="11" t="str">
        <x:f>IF(J1084&lt;&gt;"PASS","",'Motor_Meciuri'!AU83)</x:f>
      </x:c>
      <x:c r="M1084" s="10" t="str">
        <x:f>IF(NOT(AND(J1084="PASS",'Calibrare_Linii'!U6="VALID")),"",1-'Distributie'!AA83)</x:f>
      </x:c>
      <x:c r="N1084" s="10" t="str">
        <x:f>IF(M1084="","",MAX(0.01,MIN(0.99,0.5+(M1084-0.5)*'Motor_Meciuri'!BG83*'Calibrare_Linii'!D6)))</x:f>
      </x:c>
      <x:c r="O1084" s="10" t="str">
        <x:f>IF(M1084="","",1-M1084)</x:f>
      </x:c>
      <x:c r="P1084" s="10" t="str">
        <x:f>IF(OR(NOT(AND(J1084="PASS",'Calibrare_Linii'!U6="VALID")),AK1084=0),""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*('Istoric_Nativ'!$Q$6:$Q$405&lt;=H1084))/AK1084)</x:f>
      </x:c>
      <x:c r="Q1084" s="10" t="str">
        <x:f>IF(OR(NOT(AND(J1084="PASS",'Calibrare_Linii'!U6="VALID")),AL1084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M83)+((('Istoric_Nativ'!$E$6:$E$405='Input_Meci'!E83)+('Istoric_Nativ'!$F$6:$F$405='Input_Meci'!E83))&gt;0)*('Istoric_Nativ'!$D$6:$D$405&gt;='Motor_Meciuri'!BN83))&gt;0)*('Istoric_Nativ'!$Q$6:$Q$405&lt;=H1084))/AL1084)</x:f>
      </x:c>
      <x:c r="R1084" s="10" t="str">
        <x:f>IF(OR(NOT(AND(J1084="PASS",'Calibrare_Linii'!U6="VALID")),AM1084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O83)+((('Istoric_Nativ'!$E$6:$E$405='Input_Meci'!E83)+('Istoric_Nativ'!$F$6:$F$405='Input_Meci'!E83))&gt;0)*('Istoric_Nativ'!$D$6:$D$405&gt;='Motor_Meciuri'!BP83))&gt;0)*('Istoric_Nativ'!$Q$6:$Q$405&lt;=H1084))/AM1084)</x:f>
      </x:c>
      <x:c r="S1084" s="10" t="str">
        <x:f>IF(M1084="","",MAX(O1084,P1084,Q1084,R1084))</x:f>
      </x:c>
      <x:c r="T1084" s="11" t="str">
        <x:f>IF(M1084="","",MIN(100,S1084*100*'Config_v6'!$B$44+MIN(100,L1084/'Config_v6'!$B$13*100)*'Config_v6'!$B$45+(100-'Motor_Meciuri'!BF83)*'Config_v6'!$B$46+'Motor_Meciuri'!BH83*100*'Config_v6'!$B$47))</x:f>
      </x:c>
      <x:c r="U1084" s="2" t="str">
        <x:f>IF(T1084="","",IF(T1084&lt;=20,1,IF(T1084&lt;=40,2,IF(T1084&lt;=60,3,IF(T1084&lt;=80,4,5)))))</x:f>
      </x:c>
      <x:c r="V1084" s="2" t="str">
        <x:f>IF(M1084="","",MAX(0,'Motor_Meciuri'!BF83-IF(W1084="OOS PENDING",'Config_v6'!$B$35,0)-IF(L1084&gt;'Config_v6'!$B$12,'Config_v6'!$B$37,IF(L1084&gt;'Config_v6'!$B$11,'Config_v6'!$B$36,0))))</x:f>
      </x:c>
      <x:c r="W1084" s="2" t="str">
        <x:f>IF(B1084="","",IF(I1084&lt;&gt;"READY","NOT RELEASED",IF(NOT(AND(J1084="PASS",'Calibrare_Linii'!U6="VALID")),"INVALID",IF(NOT(TRUE),"OOS PENDING",IF(S1084&lt;=IF(AND('Calibrare_Linii'!S6="VALIDATED",AND('Calibrare_Linii'!H6=C1084,ISNUMBER('Calibrare_Linii'!J6),'Calibrare_Linii'!J6&lt;='Input_Meci'!G83)),'Calibrare_Linii'!E6,'Config_v6'!$B$26),"PASS",IF(S1084&lt;=IF(AND('Calibrare_Linii'!S6="VALIDATED",AND('Calibrare_Linii'!H6=C1084,ISNUMBER('Calibrare_Linii'!J6),'Calibrare_Linii'!J6&lt;='Input_Meci'!G83)),'Calibrare_Linii'!F6,'Config_v6'!$C$26),"PENALTY","WATCH"))))))</x:f>
      </x:c>
      <x:c r="X1084" s="2" t="str">
        <x:f>IF(M1084="","",IF(AND(AND(J1084="PASS",'Calibrare_Linii'!U6="VALID"),'Motor_Meciuri'!K83=12,'Motor_Meciuri'!L83=12,'Motor_Meciuri'!M83="NO",'Motor_Meciuri'!BL83='Motor_Meciuri'!C83,AB1084&gt;='Config_v6'!$B$50,AN1084&gt;='Config_v6'!$B$51,T1084&lt;='Config_v6'!$B$52,L1084&lt;='Config_v6'!$B$53,ISNUMBER('Calibrare_Linii'!E6),S1084&lt;='Calibrare_Linii'!E6,SUM(AK1084:AM1084)&gt;0),"CANDIDATE","NO"))</x:f>
      </x:c>
      <x:c r="Y1084" s="2" t="str">
        <x:f>IF(B1084="","",IF(I1084&lt;&gt;"READY","NOT RELEASED",IF(AND(X1084="CANDIDATE",V1084&gt;='Config_v6'!$B$51,W1084="PASS",'Calibrare_Linii'!T6="VALIDATED",AND('Calibrare_Linii'!H6=C1084,ISNUMBER('Calibrare_Linii'!J6),'Calibrare_Linii'!J6&lt;='Input_Meci'!G83)),"PASS",IF(X1084="CANDIDATE","OOS PENDING","FAIL"))))</x:f>
      </x:c>
      <x:c r="Z1084" s="2" t="str">
        <x:f>IF(B1084="","",IF(I1084&lt;&gt;"READY","",IF(OR(NOT(AND(J1084="PASS",'Calibrare_Linii'!U6="VALID")),L1084&gt;'Config_v6'!$B$13,W1084="WATCH"),5,IF(Y1084="PASS",1,MIN(5,MAX('Config_v6'!$B$42,U1084)+IF(W1084="PENALTY",1,0))))))</x:f>
      </x:c>
      <x:c r="AA1084" s="2" t="str">
        <x:f>IF(B1084="","",IF(I1084&lt;&gt;"READY","NOT RELEASED",IF(Z1084=5,"NO BET",IF(OR(AB1084&lt;'Config_v6'!$B$16,V1084&lt;'Config_v6'!$B$18),"WATCH",IF(Z1084=1,"DEFENSIV",IF(Z1084=2,"PRUDENT",IF(Z1084=3,"MODERAT","RIDICAT")))))))</x:f>
      </x:c>
      <x:c r="AB1084" s="10" t="str">
        <x:f>IF(N1084="","",MIN(N1084,1-S1084))</x:f>
      </x:c>
      <x:c r="AC1084" s="2" t="str">
        <x:f>IF(AD1084&lt;&gt;1,"",COUNTIFS($Z$1084:$Z$1097,"&lt;"&amp;Z1084,$AD$1084:$AD$1097,1)+COUNTIFS($Z$1084:$Z$1097,Z1084,$AB$1084:$AB$1097,"&gt;"&amp;AB1084,$AD$1084:$AD$1097,1)+COUNTIFS($Z$1084:$Z$1097,Z1084,$AB$1084:$AB$1097,AB1084,$V$1084:$V$1097,"&gt;"&amp;V1084,$AD$1084:$AD$1097,1)+COUNTIFS($Z$1084:Z1084,Z1084,$AB$1084:AB1084,AB1084,$V$1084:V1084,V1084,$AD$1084:AD1084,1))</x:f>
      </x:c>
      <x:c r="AD1084" s="2" t="n">
        <x:f>IF(OR(AA1084="DEFENSIV",AA1084="PRUDENT",AA1084="MODERAT",AA1084="RIDICAT"),1,0)</x:f>
        <x:v>0</x:v>
      </x:c>
      <x:c r="AE1084" s="2" t="str">
        <x:f>IF(AD1084&lt;&gt;1,"NO",IF(W1084="PASS","YES",IF(W1084="OOS PENDING","CONDITIONAL","NO")))</x:f>
        <x:v>NO</x:v>
      </x:c>
      <x:c r="AF1084" s="2" t="n">
        <x:f>IF(AND(AD1084=1,AC1084=1,E1084="LIVE"),1,0)</x:f>
        <x:v>0</x:v>
      </x:c>
      <x:c r="AG1084" s="2" t="str">
        <x:f>IF(AF1084&lt;&gt;1,"",'Dashboard'!P103)</x:f>
      </x:c>
      <x:c r="AH1084" s="2" t="str">
        <x:f>IF(B1084="","",IF(J1084&lt;&gt;"PASS",'Motor_Meciuri'!J83,IF('Calibrare_Linii'!U6&lt;&gt;"VALID","Parametri linie invalizi",IF(L1084&gt;'Config_v6'!$B$13,"Dispersie peste limita",IF(W1084="WATCH","Failure peste limita",IF(AB1084&lt;'Config_v6'!$B$16,"P finala sub prag",IF(V1084&lt;'Config_v6'!$B$18,"Confidence sub prag",IF(E1084="REPLAY","Exemplu retrospectiv; exclus din Top LIVE",IF(Y1084="PASS","DEFENSIV validat",IF(W1084="OOS PENDING","Eligibil; calibrare linie in monitorizare","Eligibil"))))))))))</x:f>
      </x:c>
      <x:c r="AI1084" s="2" t="str">
        <x:f>IF(B1084="","",'Calibrare_Linii'!V6)</x:f>
      </x:c>
      <x:c r="AJ1084" s="2" t="str">
        <x:f>IF(B1084="","",IF(AND('Calibrare_Linii'!T6="VALIDATED",AND('Calibrare_Linii'!H6=C1084,ISNUMBER('Calibrare_Linii'!J6),'Calibrare_Linii'!J6&lt;='Input_Meci'!G83)),"DEFENSIVE VALIDATED",IF(AND('Calibrare_Linii'!S6="VALIDATED",AND('Calibrare_Linii'!H6=C1084,ISNUMBER('Calibrare_Linii'!J6),'Calibrare_Linii'!J6&lt;='Input_Meci'!G83)),"TAIL VALIDATED","OOS PENDING")))</x:f>
      </x:c>
      <x:c r="AK1084" s="2" t="n">
        <x:f>IF(J1084&lt;&gt;"PASS",0,'Motor_Meciuri'!BR83)</x:f>
        <x:v>0</x:v>
      </x:c>
      <x:c r="AL1084" s="2" t="n">
        <x:f>IF(J1084&lt;&gt;"PASS",0,'Motor_Meciuri'!BS83)</x:f>
        <x:v>0</x:v>
      </x:c>
      <x:c r="AM1084" s="2" t="n">
        <x:f>IF(J1084&lt;&gt;"PASS",0,'Motor_Meciuri'!BT83)</x:f>
        <x:v>0</x:v>
      </x:c>
      <x:c r="AN1084" s="2" t="str">
        <x:f>IF(M1084="","",MAX(0,'Motor_Meciuri'!BF83-IF(L1084&gt;'Config_v6'!$B$12,'Config_v6'!$B$37,IF(L1084&gt;'Config_v6'!$B$11,'Config_v6'!$B$36,0))))</x:f>
      </x:c>
    </x:row>
    <x:row r="1085" ht="21" customHeight="1">
      <x:c r="A1085" s="2" t="n">
        <x:v>78</x:v>
      </x:c>
      <x:c r="B1085" s="2" t="str">
        <x:f>IF('Motor_Meciuri'!A83="","",'Motor_Meciuri'!A83)</x:f>
      </x:c>
      <x:c r="C1085" s="2" t="str">
        <x:f>IF(B1085="","",'Motor_Meciuri'!B83)</x:f>
      </x:c>
      <x:c r="D1085" s="2" t="str">
        <x:f>IF(B1085="","",'Motor_Meciuri'!D83)</x:f>
      </x:c>
      <x:c r="E1085" s="2" t="str">
        <x:f>IF(B1085="","",'Motor_Meciuri'!E83)</x:f>
      </x:c>
      <x:c r="F1085" s="2" t="str">
        <x:v>O4,5</x:v>
      </x:c>
      <x:c r="G1085" s="2" t="str">
        <x:v>OVER</x:v>
      </x:c>
      <x:c r="H1085" s="2" t="n">
        <x:v>4</x:v>
      </x:c>
      <x:c r="I1085" s="2" t="str">
        <x:f>IF(B1085="","",'Motor_Meciuri'!H83)</x:f>
      </x:c>
      <x:c r="J1085" s="2" t="str">
        <x:f>IF(B1085="","",'Motor_Meciuri'!I83)</x:f>
      </x:c>
      <x:c r="K1085" s="11" t="str">
        <x:f>IF(J1085&lt;&gt;"PASS","",'Motor_Meciuri'!BD83)</x:f>
      </x:c>
      <x:c r="L1085" s="11" t="str">
        <x:f>IF(J1085&lt;&gt;"PASS","",'Motor_Meciuri'!AU83)</x:f>
      </x:c>
      <x:c r="M1085" s="10" t="str">
        <x:f>IF(NOT(AND(J1085="PASS",'Calibrare_Linii'!U7="VALID")),"",1-'Distributie'!AB83)</x:f>
      </x:c>
      <x:c r="N1085" s="10" t="str">
        <x:f>IF(M1085="","",MAX(0.01,MIN(0.99,0.5+(M1085-0.5)*'Motor_Meciuri'!BG83*'Calibrare_Linii'!D7)))</x:f>
      </x:c>
      <x:c r="O1085" s="10" t="str">
        <x:f>IF(M1085="","",1-M1085)</x:f>
      </x:c>
      <x:c r="P1085" s="10" t="str">
        <x:f>IF(OR(NOT(AND(J1085="PASS",'Calibrare_Linii'!U7="VALID")),AK1085=0),""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*('Istoric_Nativ'!$Q$6:$Q$405&lt;=H1085))/AK1085)</x:f>
      </x:c>
      <x:c r="Q1085" s="10" t="str">
        <x:f>IF(OR(NOT(AND(J1085="PASS",'Calibrare_Linii'!U7="VALID")),AL1085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M83)+((('Istoric_Nativ'!$E$6:$E$405='Input_Meci'!E83)+('Istoric_Nativ'!$F$6:$F$405='Input_Meci'!E83))&gt;0)*('Istoric_Nativ'!$D$6:$D$405&gt;='Motor_Meciuri'!BN83))&gt;0)*('Istoric_Nativ'!$Q$6:$Q$405&lt;=H1085))/AL1085)</x:f>
      </x:c>
      <x:c r="R1085" s="10" t="str">
        <x:f>IF(OR(NOT(AND(J1085="PASS",'Calibrare_Linii'!U7="VALID")),AM1085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O83)+((('Istoric_Nativ'!$E$6:$E$405='Input_Meci'!E83)+('Istoric_Nativ'!$F$6:$F$405='Input_Meci'!E83))&gt;0)*('Istoric_Nativ'!$D$6:$D$405&gt;='Motor_Meciuri'!BP83))&gt;0)*('Istoric_Nativ'!$Q$6:$Q$405&lt;=H1085))/AM1085)</x:f>
      </x:c>
      <x:c r="S1085" s="10" t="str">
        <x:f>IF(M1085="","",MAX(O1085,P1085,Q1085,R1085))</x:f>
      </x:c>
      <x:c r="T1085" s="11" t="str">
        <x:f>IF(M1085="","",MIN(100,S1085*100*'Config_v6'!$B$44+MIN(100,L1085/'Config_v6'!$B$13*100)*'Config_v6'!$B$45+(100-'Motor_Meciuri'!BF83)*'Config_v6'!$B$46+'Motor_Meciuri'!BH83*100*'Config_v6'!$B$47))</x:f>
      </x:c>
      <x:c r="U1085" s="2" t="str">
        <x:f>IF(T1085="","",IF(T1085&lt;=20,1,IF(T1085&lt;=40,2,IF(T1085&lt;=60,3,IF(T1085&lt;=80,4,5)))))</x:f>
      </x:c>
      <x:c r="V1085" s="2" t="str">
        <x:f>IF(M1085="","",MAX(0,'Motor_Meciuri'!BF83-IF(W1085="OOS PENDING",'Config_v6'!$B$35,0)-IF(L1085&gt;'Config_v6'!$B$12,'Config_v6'!$B$37,IF(L1085&gt;'Config_v6'!$B$11,'Config_v6'!$B$36,0))))</x:f>
      </x:c>
      <x:c r="W1085" s="2" t="str">
        <x:f>IF(B1085="","",IF(I1085&lt;&gt;"READY","NOT RELEASED",IF(NOT(AND(J1085="PASS",'Calibrare_Linii'!U7="VALID")),"INVALID",IF(NOT(AND('Calibrare_Linii'!S7="VALIDATED",AND('Calibrare_Linii'!H7=C1085,ISNUMBER('Calibrare_Linii'!J7),'Calibrare_Linii'!J7&lt;='Input_Meci'!G83))),"OOS PENDING",IF(S1085&lt;='Calibrare_Linii'!E7,"PASS",IF(S1085&lt;='Calibrare_Linii'!F7,"PENALTY","WATCH"))))))</x:f>
      </x:c>
      <x:c r="X1085" s="2" t="str">
        <x:f>IF(M1085="","",IF(AND(AND(J1085="PASS",'Calibrare_Linii'!U7="VALID"),'Motor_Meciuri'!K83=12,'Motor_Meciuri'!L83=12,'Motor_Meciuri'!M83="NO",'Motor_Meciuri'!BL83='Motor_Meciuri'!C83,AB1085&gt;='Config_v6'!$B$50,AN1085&gt;='Config_v6'!$B$51,T1085&lt;='Config_v6'!$B$52,L1085&lt;='Config_v6'!$B$53,ISNUMBER('Calibrare_Linii'!E7),S1085&lt;='Calibrare_Linii'!E7,SUM(AK1085:AM1085)&gt;0),"CANDIDATE","NO"))</x:f>
      </x:c>
      <x:c r="Y1085" s="2" t="str">
        <x:f>IF(B1085="","",IF(I1085&lt;&gt;"READY","NOT RELEASED",IF(AND(X1085="CANDIDATE",V1085&gt;='Config_v6'!$B$51,W1085="PASS",'Calibrare_Linii'!T7="VALIDATED",AND('Calibrare_Linii'!H7=C1085,ISNUMBER('Calibrare_Linii'!J7),'Calibrare_Linii'!J7&lt;='Input_Meci'!G83)),"PASS",IF(X1085="CANDIDATE","OOS PENDING","FAIL"))))</x:f>
      </x:c>
      <x:c r="Z1085" s="2" t="str">
        <x:f>IF(B1085="","",IF(I1085&lt;&gt;"READY","",IF(OR(NOT(AND(J1085="PASS",'Calibrare_Linii'!U7="VALID")),L1085&gt;'Config_v6'!$B$13,W1085="WATCH"),5,IF(Y1085="PASS",1,MIN(5,MAX('Config_v6'!$B$42,U1085)+IF(W1085="PENALTY",1,0))))))</x:f>
      </x:c>
      <x:c r="AA1085" s="2" t="str">
        <x:f>IF(B1085="","",IF(I1085&lt;&gt;"READY","NOT RELEASED",IF(Z1085=5,"NO BET",IF(OR(AB1085&lt;'Config_v6'!$B$16,V1085&lt;'Config_v6'!$B$18),"WATCH",IF(Z1085=1,"DEFENSIV",IF(Z1085=2,"PRUDENT",IF(Z1085=3,"MODERAT","RIDICAT")))))))</x:f>
      </x:c>
      <x:c r="AB1085" s="10" t="str">
        <x:f>IF(N1085="","",MIN(N1085,1-S1085))</x:f>
      </x:c>
      <x:c r="AC1085" s="2" t="str">
        <x:f>IF(AD1085&lt;&gt;1,"",COUNTIFS($Z$1084:$Z$1097,"&lt;"&amp;Z1085,$AD$1084:$AD$1097,1)+COUNTIFS($Z$1084:$Z$1097,Z1085,$AB$1084:$AB$1097,"&gt;"&amp;AB1085,$AD$1084:$AD$1097,1)+COUNTIFS($Z$1084:$Z$1097,Z1085,$AB$1084:$AB$1097,AB1085,$V$1084:$V$1097,"&gt;"&amp;V1085,$AD$1084:$AD$1097,1)+COUNTIFS($Z$1084:Z1085,Z1085,$AB$1084:AB1085,AB1085,$V$1084:V1085,V1085,$AD$1084:AD1085,1))</x:f>
      </x:c>
      <x:c r="AD1085" s="2" t="n">
        <x:f>IF(OR(AA1085="DEFENSIV",AA1085="PRUDENT",AA1085="MODERAT",AA1085="RIDICAT"),1,0)</x:f>
        <x:v>0</x:v>
      </x:c>
      <x:c r="AE1085" s="2" t="str">
        <x:f>IF(AD1085&lt;&gt;1,"NO",IF(W1085="PASS","YES",IF(W1085="OOS PENDING","CONDITIONAL","NO")))</x:f>
        <x:v>NO</x:v>
      </x:c>
      <x:c r="AF1085" s="2" t="n">
        <x:f>IF(AND(AD1085=1,AC1085=1,E1085="LIVE"),1,0)</x:f>
        <x:v>0</x:v>
      </x:c>
      <x:c r="AG1085" s="2" t="str">
        <x:f>IF(AF1085&lt;&gt;1,"",'Dashboard'!P103)</x:f>
      </x:c>
      <x:c r="AH1085" s="2" t="str">
        <x:f>IF(B1085="","",IF(J1085&lt;&gt;"PASS",'Motor_Meciuri'!J83,IF('Calibrare_Linii'!U7&lt;&gt;"VALID","Parametri linie invalizi",IF(L1085&gt;'Config_v6'!$B$13,"Dispersie peste limita",IF(W1085="WATCH","Failure peste limita",IF(AB1085&lt;'Config_v6'!$B$16,"P finala sub prag",IF(V1085&lt;'Config_v6'!$B$18,"Confidence sub prag",IF(E1085="REPLAY","Exemplu retrospectiv; exclus din Top LIVE",IF(Y1085="PASS","DEFENSIV validat",IF(W1085="OOS PENDING","Eligibil; calibrare linie in monitorizare","Eligibil"))))))))))</x:f>
      </x:c>
      <x:c r="AI1085" s="2" t="str">
        <x:f>IF(B1085="","",'Calibrare_Linii'!V7)</x:f>
      </x:c>
      <x:c r="AJ1085" s="2" t="str">
        <x:f>IF(B1085="","",IF(AND('Calibrare_Linii'!T7="VALIDATED",AND('Calibrare_Linii'!H7=C1085,ISNUMBER('Calibrare_Linii'!J7),'Calibrare_Linii'!J7&lt;='Input_Meci'!G83)),"DEFENSIVE VALIDATED",IF(AND('Calibrare_Linii'!S7="VALIDATED",AND('Calibrare_Linii'!H7=C1085,ISNUMBER('Calibrare_Linii'!J7),'Calibrare_Linii'!J7&lt;='Input_Meci'!G83)),"TAIL VALIDATED","OOS PENDING")))</x:f>
      </x:c>
      <x:c r="AK1085" s="2" t="n">
        <x:f>IF(J1085&lt;&gt;"PASS",0,'Motor_Meciuri'!BR83)</x:f>
        <x:v>0</x:v>
      </x:c>
      <x:c r="AL1085" s="2" t="n">
        <x:f>IF(J1085&lt;&gt;"PASS",0,'Motor_Meciuri'!BS83)</x:f>
        <x:v>0</x:v>
      </x:c>
      <x:c r="AM1085" s="2" t="n">
        <x:f>IF(J1085&lt;&gt;"PASS",0,'Motor_Meciuri'!BT83)</x:f>
        <x:v>0</x:v>
      </x:c>
      <x:c r="AN1085" s="2" t="str">
        <x:f>IF(M1085="","",MAX(0,'Motor_Meciuri'!BF83-IF(L1085&gt;'Config_v6'!$B$12,'Config_v6'!$B$37,IF(L1085&gt;'Config_v6'!$B$11,'Config_v6'!$B$36,0))))</x:f>
      </x:c>
    </x:row>
    <x:row r="1086" ht="21" customHeight="1">
      <x:c r="A1086" s="2" t="n">
        <x:v>78</x:v>
      </x:c>
      <x:c r="B1086" s="2" t="str">
        <x:f>IF('Motor_Meciuri'!A83="","",'Motor_Meciuri'!A83)</x:f>
      </x:c>
      <x:c r="C1086" s="2" t="str">
        <x:f>IF(B1086="","",'Motor_Meciuri'!B83)</x:f>
      </x:c>
      <x:c r="D1086" s="2" t="str">
        <x:f>IF(B1086="","",'Motor_Meciuri'!D83)</x:f>
      </x:c>
      <x:c r="E1086" s="2" t="str">
        <x:f>IF(B1086="","",'Motor_Meciuri'!E83)</x:f>
      </x:c>
      <x:c r="F1086" s="2" t="str">
        <x:v>O5,5</x:v>
      </x:c>
      <x:c r="G1086" s="2" t="str">
        <x:v>OVER</x:v>
      </x:c>
      <x:c r="H1086" s="2" t="n">
        <x:v>5</x:v>
      </x:c>
      <x:c r="I1086" s="2" t="str">
        <x:f>IF(B1086="","",'Motor_Meciuri'!H83)</x:f>
      </x:c>
      <x:c r="J1086" s="2" t="str">
        <x:f>IF(B1086="","",'Motor_Meciuri'!I83)</x:f>
      </x:c>
      <x:c r="K1086" s="11" t="str">
        <x:f>IF(J1086&lt;&gt;"PASS","",'Motor_Meciuri'!BD83)</x:f>
      </x:c>
      <x:c r="L1086" s="11" t="str">
        <x:f>IF(J1086&lt;&gt;"PASS","",'Motor_Meciuri'!AU83)</x:f>
      </x:c>
      <x:c r="M1086" s="10" t="str">
        <x:f>IF(NOT(AND(J1086="PASS",'Calibrare_Linii'!U8="VALID")),"",1-'Distributie'!AC83)</x:f>
      </x:c>
      <x:c r="N1086" s="10" t="str">
        <x:f>IF(M1086="","",MAX(0.01,MIN(0.99,0.5+(M1086-0.5)*'Motor_Meciuri'!BG83*'Calibrare_Linii'!D8)))</x:f>
      </x:c>
      <x:c r="O1086" s="10" t="str">
        <x:f>IF(M1086="","",1-M1086)</x:f>
      </x:c>
      <x:c r="P1086" s="10" t="str">
        <x:f>IF(OR(NOT(AND(J1086="PASS",'Calibrare_Linii'!U8="VALID")),AK1086=0),""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*('Istoric_Nativ'!$Q$6:$Q$405&lt;=H1086))/AK1086)</x:f>
      </x:c>
      <x:c r="Q1086" s="10" t="str">
        <x:f>IF(OR(NOT(AND(J1086="PASS",'Calibrare_Linii'!U8="VALID")),AL1086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M83)+((('Istoric_Nativ'!$E$6:$E$405='Input_Meci'!E83)+('Istoric_Nativ'!$F$6:$F$405='Input_Meci'!E83))&gt;0)*('Istoric_Nativ'!$D$6:$D$405&gt;='Motor_Meciuri'!BN83))&gt;0)*('Istoric_Nativ'!$Q$6:$Q$405&lt;=H1086))/AL1086)</x:f>
      </x:c>
      <x:c r="R1086" s="10" t="str">
        <x:f>IF(OR(NOT(AND(J1086="PASS",'Calibrare_Linii'!U8="VALID")),AM1086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O83)+((('Istoric_Nativ'!$E$6:$E$405='Input_Meci'!E83)+('Istoric_Nativ'!$F$6:$F$405='Input_Meci'!E83))&gt;0)*('Istoric_Nativ'!$D$6:$D$405&gt;='Motor_Meciuri'!BP83))&gt;0)*('Istoric_Nativ'!$Q$6:$Q$405&lt;=H1086))/AM1086)</x:f>
      </x:c>
      <x:c r="S1086" s="10" t="str">
        <x:f>IF(M1086="","",MAX(O1086,P1086,Q1086,R1086))</x:f>
      </x:c>
      <x:c r="T1086" s="11" t="str">
        <x:f>IF(M1086="","",MIN(100,S1086*100*'Config_v6'!$B$44+MIN(100,L1086/'Config_v6'!$B$13*100)*'Config_v6'!$B$45+(100-'Motor_Meciuri'!BF83)*'Config_v6'!$B$46+'Motor_Meciuri'!BH83*100*'Config_v6'!$B$47))</x:f>
      </x:c>
      <x:c r="U1086" s="2" t="str">
        <x:f>IF(T1086="","",IF(T1086&lt;=20,1,IF(T1086&lt;=40,2,IF(T1086&lt;=60,3,IF(T1086&lt;=80,4,5)))))</x:f>
      </x:c>
      <x:c r="V1086" s="2" t="str">
        <x:f>IF(M1086="","",MAX(0,'Motor_Meciuri'!BF83-IF(W1086="OOS PENDING",'Config_v6'!$B$35,0)-IF(L1086&gt;'Config_v6'!$B$12,'Config_v6'!$B$37,IF(L1086&gt;'Config_v6'!$B$11,'Config_v6'!$B$36,0))))</x:f>
      </x:c>
      <x:c r="W1086" s="2" t="str">
        <x:f>IF(B1086="","",IF(I1086&lt;&gt;"READY","NOT RELEASED",IF(NOT(AND(J1086="PASS",'Calibrare_Linii'!U8="VALID")),"INVALID",IF(NOT(AND('Calibrare_Linii'!S8="VALIDATED",AND('Calibrare_Linii'!H8=C1086,ISNUMBER('Calibrare_Linii'!J8),'Calibrare_Linii'!J8&lt;='Input_Meci'!G83))),"OOS PENDING",IF(S1086&lt;='Calibrare_Linii'!E8,"PASS",IF(S1086&lt;='Calibrare_Linii'!F8,"PENALTY","WATCH"))))))</x:f>
      </x:c>
      <x:c r="X1086" s="2" t="str">
        <x:f>IF(M1086="","",IF(AND(AND(J1086="PASS",'Calibrare_Linii'!U8="VALID"),'Motor_Meciuri'!K83=12,'Motor_Meciuri'!L83=12,'Motor_Meciuri'!M83="NO",'Motor_Meciuri'!BL83='Motor_Meciuri'!C83,AB1086&gt;='Config_v6'!$B$50,AN1086&gt;='Config_v6'!$B$51,T1086&lt;='Config_v6'!$B$52,L1086&lt;='Config_v6'!$B$53,ISNUMBER('Calibrare_Linii'!E8),S1086&lt;='Calibrare_Linii'!E8,SUM(AK1086:AM1086)&gt;0),"CANDIDATE","NO"))</x:f>
      </x:c>
      <x:c r="Y1086" s="2" t="str">
        <x:f>IF(B1086="","",IF(I1086&lt;&gt;"READY","NOT RELEASED",IF(AND(X1086="CANDIDATE",V1086&gt;='Config_v6'!$B$51,W1086="PASS",'Calibrare_Linii'!T8="VALIDATED",AND('Calibrare_Linii'!H8=C1086,ISNUMBER('Calibrare_Linii'!J8),'Calibrare_Linii'!J8&lt;='Input_Meci'!G83)),"PASS",IF(X1086="CANDIDATE","OOS PENDING","FAIL"))))</x:f>
      </x:c>
      <x:c r="Z1086" s="2" t="str">
        <x:f>IF(B1086="","",IF(I1086&lt;&gt;"READY","",IF(OR(NOT(AND(J1086="PASS",'Calibrare_Linii'!U8="VALID")),L1086&gt;'Config_v6'!$B$13,W1086="WATCH"),5,IF(Y1086="PASS",1,MIN(5,MAX('Config_v6'!$B$42,U1086)+IF(W1086="PENALTY",1,0))))))</x:f>
      </x:c>
      <x:c r="AA1086" s="2" t="str">
        <x:f>IF(B1086="","",IF(I1086&lt;&gt;"READY","NOT RELEASED",IF(Z1086=5,"NO BET",IF(OR(AB1086&lt;'Config_v6'!$B$16,V1086&lt;'Config_v6'!$B$18),"WATCH",IF(Z1086=1,"DEFENSIV",IF(Z1086=2,"PRUDENT",IF(Z1086=3,"MODERAT","RIDICAT")))))))</x:f>
      </x:c>
      <x:c r="AB1086" s="10" t="str">
        <x:f>IF(N1086="","",MIN(N1086,1-S1086))</x:f>
      </x:c>
      <x:c r="AC1086" s="2" t="str">
        <x:f>IF(AD1086&lt;&gt;1,"",COUNTIFS($Z$1084:$Z$1097,"&lt;"&amp;Z1086,$AD$1084:$AD$1097,1)+COUNTIFS($Z$1084:$Z$1097,Z1086,$AB$1084:$AB$1097,"&gt;"&amp;AB1086,$AD$1084:$AD$1097,1)+COUNTIFS($Z$1084:$Z$1097,Z1086,$AB$1084:$AB$1097,AB1086,$V$1084:$V$1097,"&gt;"&amp;V1086,$AD$1084:$AD$1097,1)+COUNTIFS($Z$1084:Z1086,Z1086,$AB$1084:AB1086,AB1086,$V$1084:V1086,V1086,$AD$1084:AD1086,1))</x:f>
      </x:c>
      <x:c r="AD1086" s="2" t="n">
        <x:f>IF(OR(AA1086="DEFENSIV",AA1086="PRUDENT",AA1086="MODERAT",AA1086="RIDICAT"),1,0)</x:f>
        <x:v>0</x:v>
      </x:c>
      <x:c r="AE1086" s="2" t="str">
        <x:f>IF(AD1086&lt;&gt;1,"NO",IF(W1086="PASS","YES",IF(W1086="OOS PENDING","CONDITIONAL","NO")))</x:f>
        <x:v>NO</x:v>
      </x:c>
      <x:c r="AF1086" s="2" t="n">
        <x:f>IF(AND(AD1086=1,AC1086=1,E1086="LIVE"),1,0)</x:f>
        <x:v>0</x:v>
      </x:c>
      <x:c r="AG1086" s="2" t="str">
        <x:f>IF(AF1086&lt;&gt;1,"",'Dashboard'!P103)</x:f>
      </x:c>
      <x:c r="AH1086" s="2" t="str">
        <x:f>IF(B1086="","",IF(J1086&lt;&gt;"PASS",'Motor_Meciuri'!J83,IF('Calibrare_Linii'!U8&lt;&gt;"VALID","Parametri linie invalizi",IF(L1086&gt;'Config_v6'!$B$13,"Dispersie peste limita",IF(W1086="WATCH","Failure peste limita",IF(AB1086&lt;'Config_v6'!$B$16,"P finala sub prag",IF(V1086&lt;'Config_v6'!$B$18,"Confidence sub prag",IF(E1086="REPLAY","Exemplu retrospectiv; exclus din Top LIVE",IF(Y1086="PASS","DEFENSIV validat",IF(W1086="OOS PENDING","Eligibil; calibrare linie in monitorizare","Eligibil"))))))))))</x:f>
      </x:c>
      <x:c r="AI1086" s="2" t="str">
        <x:f>IF(B1086="","",'Calibrare_Linii'!V8)</x:f>
      </x:c>
      <x:c r="AJ1086" s="2" t="str">
        <x:f>IF(B1086="","",IF(AND('Calibrare_Linii'!T8="VALIDATED",AND('Calibrare_Linii'!H8=C1086,ISNUMBER('Calibrare_Linii'!J8),'Calibrare_Linii'!J8&lt;='Input_Meci'!G83)),"DEFENSIVE VALIDATED",IF(AND('Calibrare_Linii'!S8="VALIDATED",AND('Calibrare_Linii'!H8=C1086,ISNUMBER('Calibrare_Linii'!J8),'Calibrare_Linii'!J8&lt;='Input_Meci'!G83)),"TAIL VALIDATED","OOS PENDING")))</x:f>
      </x:c>
      <x:c r="AK1086" s="2" t="n">
        <x:f>IF(J1086&lt;&gt;"PASS",0,'Motor_Meciuri'!BR83)</x:f>
        <x:v>0</x:v>
      </x:c>
      <x:c r="AL1086" s="2" t="n">
        <x:f>IF(J1086&lt;&gt;"PASS",0,'Motor_Meciuri'!BS83)</x:f>
        <x:v>0</x:v>
      </x:c>
      <x:c r="AM1086" s="2" t="n">
        <x:f>IF(J1086&lt;&gt;"PASS",0,'Motor_Meciuri'!BT83)</x:f>
        <x:v>0</x:v>
      </x:c>
      <x:c r="AN1086" s="2" t="str">
        <x:f>IF(M1086="","",MAX(0,'Motor_Meciuri'!BF83-IF(L1086&gt;'Config_v6'!$B$12,'Config_v6'!$B$37,IF(L1086&gt;'Config_v6'!$B$11,'Config_v6'!$B$36,0))))</x:f>
      </x:c>
    </x:row>
    <x:row r="1087" ht="21" customHeight="1">
      <x:c r="A1087" s="2" t="n">
        <x:v>78</x:v>
      </x:c>
      <x:c r="B1087" s="2" t="str">
        <x:f>IF('Motor_Meciuri'!A83="","",'Motor_Meciuri'!A83)</x:f>
      </x:c>
      <x:c r="C1087" s="2" t="str">
        <x:f>IF(B1087="","",'Motor_Meciuri'!B83)</x:f>
      </x:c>
      <x:c r="D1087" s="2" t="str">
        <x:f>IF(B1087="","",'Motor_Meciuri'!D83)</x:f>
      </x:c>
      <x:c r="E1087" s="2" t="str">
        <x:f>IF(B1087="","",'Motor_Meciuri'!E83)</x:f>
      </x:c>
      <x:c r="F1087" s="2" t="str">
        <x:v>O6,5</x:v>
      </x:c>
      <x:c r="G1087" s="2" t="str">
        <x:v>OVER</x:v>
      </x:c>
      <x:c r="H1087" s="2" t="n">
        <x:v>6</x:v>
      </x:c>
      <x:c r="I1087" s="2" t="str">
        <x:f>IF(B1087="","",'Motor_Meciuri'!H83)</x:f>
      </x:c>
      <x:c r="J1087" s="2" t="str">
        <x:f>IF(B1087="","",'Motor_Meciuri'!I83)</x:f>
      </x:c>
      <x:c r="K1087" s="11" t="str">
        <x:f>IF(J1087&lt;&gt;"PASS","",'Motor_Meciuri'!BD83)</x:f>
      </x:c>
      <x:c r="L1087" s="11" t="str">
        <x:f>IF(J1087&lt;&gt;"PASS","",'Motor_Meciuri'!AU83)</x:f>
      </x:c>
      <x:c r="M1087" s="10" t="str">
        <x:f>IF(NOT(AND(J1087="PASS",'Calibrare_Linii'!U9="VALID")),"",1-'Distributie'!AD83)</x:f>
      </x:c>
      <x:c r="N1087" s="10" t="str">
        <x:f>IF(M1087="","",MAX(0.01,MIN(0.99,0.5+(M1087-0.5)*'Motor_Meciuri'!BG83*'Calibrare_Linii'!D9)))</x:f>
      </x:c>
      <x:c r="O1087" s="10" t="str">
        <x:f>IF(M1087="","",1-M1087)</x:f>
      </x:c>
      <x:c r="P1087" s="10" t="str">
        <x:f>IF(OR(NOT(AND(J1087="PASS",'Calibrare_Linii'!U9="VALID")),AK1087=0),""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*('Istoric_Nativ'!$Q$6:$Q$405&lt;=H1087))/AK1087)</x:f>
      </x:c>
      <x:c r="Q1087" s="10" t="str">
        <x:f>IF(OR(NOT(AND(J1087="PASS",'Calibrare_Linii'!U9="VALID")),AL1087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M83)+((('Istoric_Nativ'!$E$6:$E$405='Input_Meci'!E83)+('Istoric_Nativ'!$F$6:$F$405='Input_Meci'!E83))&gt;0)*('Istoric_Nativ'!$D$6:$D$405&gt;='Motor_Meciuri'!BN83))&gt;0)*('Istoric_Nativ'!$Q$6:$Q$405&lt;=H1087))/AL1087)</x:f>
      </x:c>
      <x:c r="R1087" s="10" t="str">
        <x:f>IF(OR(NOT(AND(J1087="PASS",'Calibrare_Linii'!U9="VALID")),AM1087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O83)+((('Istoric_Nativ'!$E$6:$E$405='Input_Meci'!E83)+('Istoric_Nativ'!$F$6:$F$405='Input_Meci'!E83))&gt;0)*('Istoric_Nativ'!$D$6:$D$405&gt;='Motor_Meciuri'!BP83))&gt;0)*('Istoric_Nativ'!$Q$6:$Q$405&lt;=H1087))/AM1087)</x:f>
      </x:c>
      <x:c r="S1087" s="10" t="str">
        <x:f>IF(M1087="","",MAX(O1087,P1087,Q1087,R1087))</x:f>
      </x:c>
      <x:c r="T1087" s="11" t="str">
        <x:f>IF(M1087="","",MIN(100,S1087*100*'Config_v6'!$B$44+MIN(100,L1087/'Config_v6'!$B$13*100)*'Config_v6'!$B$45+(100-'Motor_Meciuri'!BF83)*'Config_v6'!$B$46+'Motor_Meciuri'!BH83*100*'Config_v6'!$B$47))</x:f>
      </x:c>
      <x:c r="U1087" s="2" t="str">
        <x:f>IF(T1087="","",IF(T1087&lt;=20,1,IF(T1087&lt;=40,2,IF(T1087&lt;=60,3,IF(T1087&lt;=80,4,5)))))</x:f>
      </x:c>
      <x:c r="V1087" s="2" t="str">
        <x:f>IF(M1087="","",MAX(0,'Motor_Meciuri'!BF83-IF(W1087="OOS PENDING",'Config_v6'!$B$35,0)-IF(L1087&gt;'Config_v6'!$B$12,'Config_v6'!$B$37,IF(L1087&gt;'Config_v6'!$B$11,'Config_v6'!$B$36,0))))</x:f>
      </x:c>
      <x:c r="W1087" s="2" t="str">
        <x:f>IF(B1087="","",IF(I1087&lt;&gt;"READY","NOT RELEASED",IF(NOT(AND(J1087="PASS",'Calibrare_Linii'!U9="VALID")),"INVALID",IF(NOT(AND('Calibrare_Linii'!S9="VALIDATED",AND('Calibrare_Linii'!H9=C1087,ISNUMBER('Calibrare_Linii'!J9),'Calibrare_Linii'!J9&lt;='Input_Meci'!G83))),"OOS PENDING",IF(S1087&lt;='Calibrare_Linii'!E9,"PASS",IF(S1087&lt;='Calibrare_Linii'!F9,"PENALTY","WATCH"))))))</x:f>
      </x:c>
      <x:c r="X1087" s="2" t="str">
        <x:f>IF(M1087="","",IF(AND(AND(J1087="PASS",'Calibrare_Linii'!U9="VALID"),'Motor_Meciuri'!K83=12,'Motor_Meciuri'!L83=12,'Motor_Meciuri'!M83="NO",'Motor_Meciuri'!BL83='Motor_Meciuri'!C83,AB1087&gt;='Config_v6'!$B$50,AN1087&gt;='Config_v6'!$B$51,T1087&lt;='Config_v6'!$B$52,L1087&lt;='Config_v6'!$B$53,ISNUMBER('Calibrare_Linii'!E9),S1087&lt;='Calibrare_Linii'!E9,SUM(AK1087:AM1087)&gt;0),"CANDIDATE","NO"))</x:f>
      </x:c>
      <x:c r="Y1087" s="2" t="str">
        <x:f>IF(B1087="","",IF(I1087&lt;&gt;"READY","NOT RELEASED",IF(AND(X1087="CANDIDATE",V1087&gt;='Config_v6'!$B$51,W1087="PASS",'Calibrare_Linii'!T9="VALIDATED",AND('Calibrare_Linii'!H9=C1087,ISNUMBER('Calibrare_Linii'!J9),'Calibrare_Linii'!J9&lt;='Input_Meci'!G83)),"PASS",IF(X1087="CANDIDATE","OOS PENDING","FAIL"))))</x:f>
      </x:c>
      <x:c r="Z1087" s="2" t="str">
        <x:f>IF(B1087="","",IF(I1087&lt;&gt;"READY","",IF(OR(NOT(AND(J1087="PASS",'Calibrare_Linii'!U9="VALID")),L1087&gt;'Config_v6'!$B$13,W1087="WATCH"),5,IF(Y1087="PASS",1,MIN(5,MAX('Config_v6'!$B$42,U1087)+IF(W1087="PENALTY",1,0))))))</x:f>
      </x:c>
      <x:c r="AA1087" s="2" t="str">
        <x:f>IF(B1087="","",IF(I1087&lt;&gt;"READY","NOT RELEASED",IF(Z1087=5,"NO BET",IF(OR(AB1087&lt;'Config_v6'!$B$16,V1087&lt;'Config_v6'!$B$18),"WATCH",IF(Z1087=1,"DEFENSIV",IF(Z1087=2,"PRUDENT",IF(Z1087=3,"MODERAT","RIDICAT")))))))</x:f>
      </x:c>
      <x:c r="AB1087" s="10" t="str">
        <x:f>IF(N1087="","",MIN(N1087,1-S1087))</x:f>
      </x:c>
      <x:c r="AC1087" s="2" t="str">
        <x:f>IF(AD1087&lt;&gt;1,"",COUNTIFS($Z$1084:$Z$1097,"&lt;"&amp;Z1087,$AD$1084:$AD$1097,1)+COUNTIFS($Z$1084:$Z$1097,Z1087,$AB$1084:$AB$1097,"&gt;"&amp;AB1087,$AD$1084:$AD$1097,1)+COUNTIFS($Z$1084:$Z$1097,Z1087,$AB$1084:$AB$1097,AB1087,$V$1084:$V$1097,"&gt;"&amp;V1087,$AD$1084:$AD$1097,1)+COUNTIFS($Z$1084:Z1087,Z1087,$AB$1084:AB1087,AB1087,$V$1084:V1087,V1087,$AD$1084:AD1087,1))</x:f>
      </x:c>
      <x:c r="AD1087" s="2" t="n">
        <x:f>IF(OR(AA1087="DEFENSIV",AA1087="PRUDENT",AA1087="MODERAT",AA1087="RIDICAT"),1,0)</x:f>
        <x:v>0</x:v>
      </x:c>
      <x:c r="AE1087" s="2" t="str">
        <x:f>IF(AD1087&lt;&gt;1,"NO",IF(W1087="PASS","YES",IF(W1087="OOS PENDING","CONDITIONAL","NO")))</x:f>
        <x:v>NO</x:v>
      </x:c>
      <x:c r="AF1087" s="2" t="n">
        <x:f>IF(AND(AD1087=1,AC1087=1,E1087="LIVE"),1,0)</x:f>
        <x:v>0</x:v>
      </x:c>
      <x:c r="AG1087" s="2" t="str">
        <x:f>IF(AF1087&lt;&gt;1,"",'Dashboard'!P103)</x:f>
      </x:c>
      <x:c r="AH1087" s="2" t="str">
        <x:f>IF(B1087="","",IF(J1087&lt;&gt;"PASS",'Motor_Meciuri'!J83,IF('Calibrare_Linii'!U9&lt;&gt;"VALID","Parametri linie invalizi",IF(L1087&gt;'Config_v6'!$B$13,"Dispersie peste limita",IF(W1087="WATCH","Failure peste limita",IF(AB1087&lt;'Config_v6'!$B$16,"P finala sub prag",IF(V1087&lt;'Config_v6'!$B$18,"Confidence sub prag",IF(E1087="REPLAY","Exemplu retrospectiv; exclus din Top LIVE",IF(Y1087="PASS","DEFENSIV validat",IF(W1087="OOS PENDING","Eligibil; calibrare linie in monitorizare","Eligibil"))))))))))</x:f>
      </x:c>
      <x:c r="AI1087" s="2" t="str">
        <x:f>IF(B1087="","",'Calibrare_Linii'!V9)</x:f>
      </x:c>
      <x:c r="AJ1087" s="2" t="str">
        <x:f>IF(B1087="","",IF(AND('Calibrare_Linii'!T9="VALIDATED",AND('Calibrare_Linii'!H9=C1087,ISNUMBER('Calibrare_Linii'!J9),'Calibrare_Linii'!J9&lt;='Input_Meci'!G83)),"DEFENSIVE VALIDATED",IF(AND('Calibrare_Linii'!S9="VALIDATED",AND('Calibrare_Linii'!H9=C1087,ISNUMBER('Calibrare_Linii'!J9),'Calibrare_Linii'!J9&lt;='Input_Meci'!G83)),"TAIL VALIDATED","OOS PENDING")))</x:f>
      </x:c>
      <x:c r="AK1087" s="2" t="n">
        <x:f>IF(J1087&lt;&gt;"PASS",0,'Motor_Meciuri'!BR83)</x:f>
        <x:v>0</x:v>
      </x:c>
      <x:c r="AL1087" s="2" t="n">
        <x:f>IF(J1087&lt;&gt;"PASS",0,'Motor_Meciuri'!BS83)</x:f>
        <x:v>0</x:v>
      </x:c>
      <x:c r="AM1087" s="2" t="n">
        <x:f>IF(J1087&lt;&gt;"PASS",0,'Motor_Meciuri'!BT83)</x:f>
        <x:v>0</x:v>
      </x:c>
      <x:c r="AN1087" s="2" t="str">
        <x:f>IF(M1087="","",MAX(0,'Motor_Meciuri'!BF83-IF(L1087&gt;'Config_v6'!$B$12,'Config_v6'!$B$37,IF(L1087&gt;'Config_v6'!$B$11,'Config_v6'!$B$36,0))))</x:f>
      </x:c>
    </x:row>
    <x:row r="1088" ht="21" customHeight="1">
      <x:c r="A1088" s="2" t="n">
        <x:v>78</x:v>
      </x:c>
      <x:c r="B1088" s="2" t="str">
        <x:f>IF('Motor_Meciuri'!A83="","",'Motor_Meciuri'!A83)</x:f>
      </x:c>
      <x:c r="C1088" s="2" t="str">
        <x:f>IF(B1088="","",'Motor_Meciuri'!B83)</x:f>
      </x:c>
      <x:c r="D1088" s="2" t="str">
        <x:f>IF(B1088="","",'Motor_Meciuri'!D83)</x:f>
      </x:c>
      <x:c r="E1088" s="2" t="str">
        <x:f>IF(B1088="","",'Motor_Meciuri'!E83)</x:f>
      </x:c>
      <x:c r="F1088" s="2" t="str">
        <x:v>O7,5</x:v>
      </x:c>
      <x:c r="G1088" s="2" t="str">
        <x:v>OVER</x:v>
      </x:c>
      <x:c r="H1088" s="2" t="n">
        <x:v>7</x:v>
      </x:c>
      <x:c r="I1088" s="2" t="str">
        <x:f>IF(B1088="","",'Motor_Meciuri'!H83)</x:f>
      </x:c>
      <x:c r="J1088" s="2" t="str">
        <x:f>IF(B1088="","",'Motor_Meciuri'!I83)</x:f>
      </x:c>
      <x:c r="K1088" s="11" t="str">
        <x:f>IF(J1088&lt;&gt;"PASS","",'Motor_Meciuri'!BD83)</x:f>
      </x:c>
      <x:c r="L1088" s="11" t="str">
        <x:f>IF(J1088&lt;&gt;"PASS","",'Motor_Meciuri'!AU83)</x:f>
      </x:c>
      <x:c r="M1088" s="10" t="str">
        <x:f>IF(NOT(AND(J1088="PASS",'Calibrare_Linii'!U10="VALID")),"",1-'Distributie'!AE83)</x:f>
      </x:c>
      <x:c r="N1088" s="10" t="str">
        <x:f>IF(M1088="","",MAX(0.01,MIN(0.99,0.5+(M1088-0.5)*'Motor_Meciuri'!BG83*'Calibrare_Linii'!D10)))</x:f>
      </x:c>
      <x:c r="O1088" s="10" t="str">
        <x:f>IF(M1088="","",1-M1088)</x:f>
      </x:c>
      <x:c r="P1088" s="10" t="str">
        <x:f>IF(OR(NOT(AND(J1088="PASS",'Calibrare_Linii'!U10="VALID")),AK1088=0),""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*('Istoric_Nativ'!$Q$6:$Q$405&lt;=H1088))/AK1088)</x:f>
      </x:c>
      <x:c r="Q1088" s="10" t="str">
        <x:f>IF(OR(NOT(AND(J1088="PASS",'Calibrare_Linii'!U10="VALID")),AL1088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M83)+((('Istoric_Nativ'!$E$6:$E$405='Input_Meci'!E83)+('Istoric_Nativ'!$F$6:$F$405='Input_Meci'!E83))&gt;0)*('Istoric_Nativ'!$D$6:$D$405&gt;='Motor_Meciuri'!BN83))&gt;0)*('Istoric_Nativ'!$Q$6:$Q$405&lt;=H1088))/AL1088)</x:f>
      </x:c>
      <x:c r="R1088" s="10" t="str">
        <x:f>IF(OR(NOT(AND(J1088="PASS",'Calibrare_Linii'!U10="VALID")),AM1088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O83)+((('Istoric_Nativ'!$E$6:$E$405='Input_Meci'!E83)+('Istoric_Nativ'!$F$6:$F$405='Input_Meci'!E83))&gt;0)*('Istoric_Nativ'!$D$6:$D$405&gt;='Motor_Meciuri'!BP83))&gt;0)*('Istoric_Nativ'!$Q$6:$Q$405&lt;=H1088))/AM1088)</x:f>
      </x:c>
      <x:c r="S1088" s="10" t="str">
        <x:f>IF(M1088="","",MAX(O1088,P1088,Q1088,R1088))</x:f>
      </x:c>
      <x:c r="T1088" s="11" t="str">
        <x:f>IF(M1088="","",MIN(100,S1088*100*'Config_v6'!$B$44+MIN(100,L1088/'Config_v6'!$B$13*100)*'Config_v6'!$B$45+(100-'Motor_Meciuri'!BF83)*'Config_v6'!$B$46+'Motor_Meciuri'!BH83*100*'Config_v6'!$B$47))</x:f>
      </x:c>
      <x:c r="U1088" s="2" t="str">
        <x:f>IF(T1088="","",IF(T1088&lt;=20,1,IF(T1088&lt;=40,2,IF(T1088&lt;=60,3,IF(T1088&lt;=80,4,5)))))</x:f>
      </x:c>
      <x:c r="V1088" s="2" t="str">
        <x:f>IF(M1088="","",MAX(0,'Motor_Meciuri'!BF83-IF(W1088="OOS PENDING",'Config_v6'!$B$35,0)-IF(L1088&gt;'Config_v6'!$B$12,'Config_v6'!$B$37,IF(L1088&gt;'Config_v6'!$B$11,'Config_v6'!$B$36,0))))</x:f>
      </x:c>
      <x:c r="W1088" s="2" t="str">
        <x:f>IF(B1088="","",IF(I1088&lt;&gt;"READY","NOT RELEASED",IF(NOT(AND(J1088="PASS",'Calibrare_Linii'!U10="VALID")),"INVALID",IF(NOT(AND('Calibrare_Linii'!S10="VALIDATED",AND('Calibrare_Linii'!H10=C1088,ISNUMBER('Calibrare_Linii'!J10),'Calibrare_Linii'!J10&lt;='Input_Meci'!G83))),"OOS PENDING",IF(S1088&lt;='Calibrare_Linii'!E10,"PASS",IF(S1088&lt;='Calibrare_Linii'!F10,"PENALTY","WATCH"))))))</x:f>
      </x:c>
      <x:c r="X1088" s="2" t="str">
        <x:f>IF(M1088="","",IF(AND(AND(J1088="PASS",'Calibrare_Linii'!U10="VALID"),'Motor_Meciuri'!K83=12,'Motor_Meciuri'!L83=12,'Motor_Meciuri'!M83="NO",'Motor_Meciuri'!BL83='Motor_Meciuri'!C83,AB1088&gt;='Config_v6'!$B$50,AN1088&gt;='Config_v6'!$B$51,T1088&lt;='Config_v6'!$B$52,L1088&lt;='Config_v6'!$B$53,ISNUMBER('Calibrare_Linii'!E10),S1088&lt;='Calibrare_Linii'!E10,SUM(AK1088:AM1088)&gt;0),"CANDIDATE","NO"))</x:f>
      </x:c>
      <x:c r="Y1088" s="2" t="str">
        <x:f>IF(B1088="","",IF(I1088&lt;&gt;"READY","NOT RELEASED",IF(AND(X1088="CANDIDATE",V1088&gt;='Config_v6'!$B$51,W1088="PASS",'Calibrare_Linii'!T10="VALIDATED",AND('Calibrare_Linii'!H10=C1088,ISNUMBER('Calibrare_Linii'!J10),'Calibrare_Linii'!J10&lt;='Input_Meci'!G83)),"PASS",IF(X1088="CANDIDATE","OOS PENDING","FAIL"))))</x:f>
      </x:c>
      <x:c r="Z1088" s="2" t="str">
        <x:f>IF(B1088="","",IF(I1088&lt;&gt;"READY","",IF(OR(NOT(AND(J1088="PASS",'Calibrare_Linii'!U10="VALID")),L1088&gt;'Config_v6'!$B$13,W1088="WATCH"),5,IF(Y1088="PASS",1,MIN(5,MAX('Config_v6'!$B$42,U1088)+IF(W1088="PENALTY",1,0))))))</x:f>
      </x:c>
      <x:c r="AA1088" s="2" t="str">
        <x:f>IF(B1088="","",IF(I1088&lt;&gt;"READY","NOT RELEASED",IF(Z1088=5,"NO BET",IF(OR(AB1088&lt;'Config_v6'!$B$16,V1088&lt;'Config_v6'!$B$18),"WATCH",IF(Z1088=1,"DEFENSIV",IF(Z1088=2,"PRUDENT",IF(Z1088=3,"MODERAT","RIDICAT")))))))</x:f>
      </x:c>
      <x:c r="AB1088" s="10" t="str">
        <x:f>IF(N1088="","",MIN(N1088,1-S1088))</x:f>
      </x:c>
      <x:c r="AC1088" s="2" t="str">
        <x:f>IF(AD1088&lt;&gt;1,"",COUNTIFS($Z$1084:$Z$1097,"&lt;"&amp;Z1088,$AD$1084:$AD$1097,1)+COUNTIFS($Z$1084:$Z$1097,Z1088,$AB$1084:$AB$1097,"&gt;"&amp;AB1088,$AD$1084:$AD$1097,1)+COUNTIFS($Z$1084:$Z$1097,Z1088,$AB$1084:$AB$1097,AB1088,$V$1084:$V$1097,"&gt;"&amp;V1088,$AD$1084:$AD$1097,1)+COUNTIFS($Z$1084:Z1088,Z1088,$AB$1084:AB1088,AB1088,$V$1084:V1088,V1088,$AD$1084:AD1088,1))</x:f>
      </x:c>
      <x:c r="AD1088" s="2" t="n">
        <x:f>IF(OR(AA1088="DEFENSIV",AA1088="PRUDENT",AA1088="MODERAT",AA1088="RIDICAT"),1,0)</x:f>
        <x:v>0</x:v>
      </x:c>
      <x:c r="AE1088" s="2" t="str">
        <x:f>IF(AD1088&lt;&gt;1,"NO",IF(W1088="PASS","YES",IF(W1088="OOS PENDING","CONDITIONAL","NO")))</x:f>
        <x:v>NO</x:v>
      </x:c>
      <x:c r="AF1088" s="2" t="n">
        <x:f>IF(AND(AD1088=1,AC1088=1,E1088="LIVE"),1,0)</x:f>
        <x:v>0</x:v>
      </x:c>
      <x:c r="AG1088" s="2" t="str">
        <x:f>IF(AF1088&lt;&gt;1,"",'Dashboard'!P103)</x:f>
      </x:c>
      <x:c r="AH1088" s="2" t="str">
        <x:f>IF(B1088="","",IF(J1088&lt;&gt;"PASS",'Motor_Meciuri'!J83,IF('Calibrare_Linii'!U10&lt;&gt;"VALID","Parametri linie invalizi",IF(L1088&gt;'Config_v6'!$B$13,"Dispersie peste limita",IF(W1088="WATCH","Failure peste limita",IF(AB1088&lt;'Config_v6'!$B$16,"P finala sub prag",IF(V1088&lt;'Config_v6'!$B$18,"Confidence sub prag",IF(E1088="REPLAY","Exemplu retrospectiv; exclus din Top LIVE",IF(Y1088="PASS","DEFENSIV validat",IF(W1088="OOS PENDING","Eligibil; calibrare linie in monitorizare","Eligibil"))))))))))</x:f>
      </x:c>
      <x:c r="AI1088" s="2" t="str">
        <x:f>IF(B1088="","",'Calibrare_Linii'!V10)</x:f>
      </x:c>
      <x:c r="AJ1088" s="2" t="str">
        <x:f>IF(B1088="","",IF(AND('Calibrare_Linii'!T10="VALIDATED",AND('Calibrare_Linii'!H10=C1088,ISNUMBER('Calibrare_Linii'!J10),'Calibrare_Linii'!J10&lt;='Input_Meci'!G83)),"DEFENSIVE VALIDATED",IF(AND('Calibrare_Linii'!S10="VALIDATED",AND('Calibrare_Linii'!H10=C1088,ISNUMBER('Calibrare_Linii'!J10),'Calibrare_Linii'!J10&lt;='Input_Meci'!G83)),"TAIL VALIDATED","OOS PENDING")))</x:f>
      </x:c>
      <x:c r="AK1088" s="2" t="n">
        <x:f>IF(J1088&lt;&gt;"PASS",0,'Motor_Meciuri'!BR83)</x:f>
        <x:v>0</x:v>
      </x:c>
      <x:c r="AL1088" s="2" t="n">
        <x:f>IF(J1088&lt;&gt;"PASS",0,'Motor_Meciuri'!BS83)</x:f>
        <x:v>0</x:v>
      </x:c>
      <x:c r="AM1088" s="2" t="n">
        <x:f>IF(J1088&lt;&gt;"PASS",0,'Motor_Meciuri'!BT83)</x:f>
        <x:v>0</x:v>
      </x:c>
      <x:c r="AN1088" s="2" t="str">
        <x:f>IF(M1088="","",MAX(0,'Motor_Meciuri'!BF83-IF(L1088&gt;'Config_v6'!$B$12,'Config_v6'!$B$37,IF(L1088&gt;'Config_v6'!$B$11,'Config_v6'!$B$36,0))))</x:f>
      </x:c>
    </x:row>
    <x:row r="1089" ht="21" customHeight="1">
      <x:c r="A1089" s="2" t="n">
        <x:v>78</x:v>
      </x:c>
      <x:c r="B1089" s="2" t="str">
        <x:f>IF('Motor_Meciuri'!A83="","",'Motor_Meciuri'!A83)</x:f>
      </x:c>
      <x:c r="C1089" s="2" t="str">
        <x:f>IF(B1089="","",'Motor_Meciuri'!B83)</x:f>
      </x:c>
      <x:c r="D1089" s="2" t="str">
        <x:f>IF(B1089="","",'Motor_Meciuri'!D83)</x:f>
      </x:c>
      <x:c r="E1089" s="2" t="str">
        <x:f>IF(B1089="","",'Motor_Meciuri'!E83)</x:f>
      </x:c>
      <x:c r="F1089" s="2" t="str">
        <x:v>O8,5</x:v>
      </x:c>
      <x:c r="G1089" s="2" t="str">
        <x:v>OVER</x:v>
      </x:c>
      <x:c r="H1089" s="2" t="n">
        <x:v>8</x:v>
      </x:c>
      <x:c r="I1089" s="2" t="str">
        <x:f>IF(B1089="","",'Motor_Meciuri'!H83)</x:f>
      </x:c>
      <x:c r="J1089" s="2" t="str">
        <x:f>IF(B1089="","",'Motor_Meciuri'!I83)</x:f>
      </x:c>
      <x:c r="K1089" s="11" t="str">
        <x:f>IF(J1089&lt;&gt;"PASS","",'Motor_Meciuri'!BD83)</x:f>
      </x:c>
      <x:c r="L1089" s="11" t="str">
        <x:f>IF(J1089&lt;&gt;"PASS","",'Motor_Meciuri'!AU83)</x:f>
      </x:c>
      <x:c r="M1089" s="10" t="str">
        <x:f>IF(NOT(AND(J1089="PASS",'Calibrare_Linii'!U11="VALID")),"",1-'Distributie'!AF83)</x:f>
      </x:c>
      <x:c r="N1089" s="10" t="str">
        <x:f>IF(M1089="","",MAX(0.01,MIN(0.99,0.5+(M1089-0.5)*'Motor_Meciuri'!BG83*'Calibrare_Linii'!D11)))</x:f>
      </x:c>
      <x:c r="O1089" s="10" t="str">
        <x:f>IF(M1089="","",1-M1089)</x:f>
      </x:c>
      <x:c r="P1089" s="10" t="str">
        <x:f>IF(OR(NOT(AND(J1089="PASS",'Calibrare_Linii'!U11="VALID")),AK1089=0),""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*('Istoric_Nativ'!$Q$6:$Q$405&lt;=H1089))/AK1089)</x:f>
      </x:c>
      <x:c r="Q1089" s="10" t="str">
        <x:f>IF(OR(NOT(AND(J1089="PASS",'Calibrare_Linii'!U11="VALID")),AL1089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M83)+((('Istoric_Nativ'!$E$6:$E$405='Input_Meci'!E83)+('Istoric_Nativ'!$F$6:$F$405='Input_Meci'!E83))&gt;0)*('Istoric_Nativ'!$D$6:$D$405&gt;='Motor_Meciuri'!BN83))&gt;0)*('Istoric_Nativ'!$Q$6:$Q$405&lt;=H1089))/AL1089)</x:f>
      </x:c>
      <x:c r="R1089" s="10" t="str">
        <x:f>IF(OR(NOT(AND(J1089="PASS",'Calibrare_Linii'!U11="VALID")),AM1089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O83)+((('Istoric_Nativ'!$E$6:$E$405='Input_Meci'!E83)+('Istoric_Nativ'!$F$6:$F$405='Input_Meci'!E83))&gt;0)*('Istoric_Nativ'!$D$6:$D$405&gt;='Motor_Meciuri'!BP83))&gt;0)*('Istoric_Nativ'!$Q$6:$Q$405&lt;=H1089))/AM1089)</x:f>
      </x:c>
      <x:c r="S1089" s="10" t="str">
        <x:f>IF(M1089="","",MAX(O1089,P1089,Q1089,R1089))</x:f>
      </x:c>
      <x:c r="T1089" s="11" t="str">
        <x:f>IF(M1089="","",MIN(100,S1089*100*'Config_v6'!$B$44+MIN(100,L1089/'Config_v6'!$B$13*100)*'Config_v6'!$B$45+(100-'Motor_Meciuri'!BF83)*'Config_v6'!$B$46+'Motor_Meciuri'!BH83*100*'Config_v6'!$B$47))</x:f>
      </x:c>
      <x:c r="U1089" s="2" t="str">
        <x:f>IF(T1089="","",IF(T1089&lt;=20,1,IF(T1089&lt;=40,2,IF(T1089&lt;=60,3,IF(T1089&lt;=80,4,5)))))</x:f>
      </x:c>
      <x:c r="V1089" s="2" t="str">
        <x:f>IF(M1089="","",MAX(0,'Motor_Meciuri'!BF83-IF(W1089="OOS PENDING",'Config_v6'!$B$35,0)-IF(L1089&gt;'Config_v6'!$B$12,'Config_v6'!$B$37,IF(L1089&gt;'Config_v6'!$B$11,'Config_v6'!$B$36,0))))</x:f>
      </x:c>
      <x:c r="W1089" s="2" t="str">
        <x:f>IF(B1089="","",IF(I1089&lt;&gt;"READY","NOT RELEASED",IF(NOT(AND(J1089="PASS",'Calibrare_Linii'!U11="VALID")),"INVALID",IF(NOT(AND('Calibrare_Linii'!S11="VALIDATED",AND('Calibrare_Linii'!H11=C1089,ISNUMBER('Calibrare_Linii'!J11),'Calibrare_Linii'!J11&lt;='Input_Meci'!G83))),"OOS PENDING",IF(S1089&lt;='Calibrare_Linii'!E11,"PASS",IF(S1089&lt;='Calibrare_Linii'!F11,"PENALTY","WATCH"))))))</x:f>
      </x:c>
      <x:c r="X1089" s="2" t="str">
        <x:f>IF(M1089="","",IF(AND(AND(J1089="PASS",'Calibrare_Linii'!U11="VALID"),'Motor_Meciuri'!K83=12,'Motor_Meciuri'!L83=12,'Motor_Meciuri'!M83="NO",'Motor_Meciuri'!BL83='Motor_Meciuri'!C83,AB1089&gt;='Config_v6'!$B$50,AN1089&gt;='Config_v6'!$B$51,T1089&lt;='Config_v6'!$B$52,L1089&lt;='Config_v6'!$B$53,ISNUMBER('Calibrare_Linii'!E11),S1089&lt;='Calibrare_Linii'!E11,SUM(AK1089:AM1089)&gt;0),"CANDIDATE","NO"))</x:f>
      </x:c>
      <x:c r="Y1089" s="2" t="str">
        <x:f>IF(B1089="","",IF(I1089&lt;&gt;"READY","NOT RELEASED",IF(AND(X1089="CANDIDATE",V1089&gt;='Config_v6'!$B$51,W1089="PASS",'Calibrare_Linii'!T11="VALIDATED",AND('Calibrare_Linii'!H11=C1089,ISNUMBER('Calibrare_Linii'!J11),'Calibrare_Linii'!J11&lt;='Input_Meci'!G83)),"PASS",IF(X1089="CANDIDATE","OOS PENDING","FAIL"))))</x:f>
      </x:c>
      <x:c r="Z1089" s="2" t="str">
        <x:f>IF(B1089="","",IF(I1089&lt;&gt;"READY","",IF(OR(NOT(AND(J1089="PASS",'Calibrare_Linii'!U11="VALID")),L1089&gt;'Config_v6'!$B$13,W1089="WATCH"),5,IF(Y1089="PASS",1,MIN(5,MAX('Config_v6'!$B$42,U1089)+IF(W1089="PENALTY",1,0))))))</x:f>
      </x:c>
      <x:c r="AA1089" s="2" t="str">
        <x:f>IF(B1089="","",IF(I1089&lt;&gt;"READY","NOT RELEASED",IF(Z1089=5,"NO BET",IF(OR(AB1089&lt;'Config_v6'!$B$16,V1089&lt;'Config_v6'!$B$18),"WATCH",IF(Z1089=1,"DEFENSIV",IF(Z1089=2,"PRUDENT",IF(Z1089=3,"MODERAT","RIDICAT")))))))</x:f>
      </x:c>
      <x:c r="AB1089" s="10" t="str">
        <x:f>IF(N1089="","",MIN(N1089,1-S1089))</x:f>
      </x:c>
      <x:c r="AC1089" s="2" t="str">
        <x:f>IF(AD1089&lt;&gt;1,"",COUNTIFS($Z$1084:$Z$1097,"&lt;"&amp;Z1089,$AD$1084:$AD$1097,1)+COUNTIFS($Z$1084:$Z$1097,Z1089,$AB$1084:$AB$1097,"&gt;"&amp;AB1089,$AD$1084:$AD$1097,1)+COUNTIFS($Z$1084:$Z$1097,Z1089,$AB$1084:$AB$1097,AB1089,$V$1084:$V$1097,"&gt;"&amp;V1089,$AD$1084:$AD$1097,1)+COUNTIFS($Z$1084:Z1089,Z1089,$AB$1084:AB1089,AB1089,$V$1084:V1089,V1089,$AD$1084:AD1089,1))</x:f>
      </x:c>
      <x:c r="AD1089" s="2" t="n">
        <x:f>IF(OR(AA1089="DEFENSIV",AA1089="PRUDENT",AA1089="MODERAT",AA1089="RIDICAT"),1,0)</x:f>
        <x:v>0</x:v>
      </x:c>
      <x:c r="AE1089" s="2" t="str">
        <x:f>IF(AD1089&lt;&gt;1,"NO",IF(W1089="PASS","YES",IF(W1089="OOS PENDING","CONDITIONAL","NO")))</x:f>
        <x:v>NO</x:v>
      </x:c>
      <x:c r="AF1089" s="2" t="n">
        <x:f>IF(AND(AD1089=1,AC1089=1,E1089="LIVE"),1,0)</x:f>
        <x:v>0</x:v>
      </x:c>
      <x:c r="AG1089" s="2" t="str">
        <x:f>IF(AF1089&lt;&gt;1,"",'Dashboard'!P103)</x:f>
      </x:c>
      <x:c r="AH1089" s="2" t="str">
        <x:f>IF(B1089="","",IF(J1089&lt;&gt;"PASS",'Motor_Meciuri'!J83,IF('Calibrare_Linii'!U11&lt;&gt;"VALID","Parametri linie invalizi",IF(L1089&gt;'Config_v6'!$B$13,"Dispersie peste limita",IF(W1089="WATCH","Failure peste limita",IF(AB1089&lt;'Config_v6'!$B$16,"P finala sub prag",IF(V1089&lt;'Config_v6'!$B$18,"Confidence sub prag",IF(E1089="REPLAY","Exemplu retrospectiv; exclus din Top LIVE",IF(Y1089="PASS","DEFENSIV validat",IF(W1089="OOS PENDING","Eligibil; calibrare linie in monitorizare","Eligibil"))))))))))</x:f>
      </x:c>
      <x:c r="AI1089" s="2" t="str">
        <x:f>IF(B1089="","",'Calibrare_Linii'!V11)</x:f>
      </x:c>
      <x:c r="AJ1089" s="2" t="str">
        <x:f>IF(B1089="","",IF(AND('Calibrare_Linii'!T11="VALIDATED",AND('Calibrare_Linii'!H11=C1089,ISNUMBER('Calibrare_Linii'!J11),'Calibrare_Linii'!J11&lt;='Input_Meci'!G83)),"DEFENSIVE VALIDATED",IF(AND('Calibrare_Linii'!S11="VALIDATED",AND('Calibrare_Linii'!H11=C1089,ISNUMBER('Calibrare_Linii'!J11),'Calibrare_Linii'!J11&lt;='Input_Meci'!G83)),"TAIL VALIDATED","OOS PENDING")))</x:f>
      </x:c>
      <x:c r="AK1089" s="2" t="n">
        <x:f>IF(J1089&lt;&gt;"PASS",0,'Motor_Meciuri'!BR83)</x:f>
        <x:v>0</x:v>
      </x:c>
      <x:c r="AL1089" s="2" t="n">
        <x:f>IF(J1089&lt;&gt;"PASS",0,'Motor_Meciuri'!BS83)</x:f>
        <x:v>0</x:v>
      </x:c>
      <x:c r="AM1089" s="2" t="n">
        <x:f>IF(J1089&lt;&gt;"PASS",0,'Motor_Meciuri'!BT83)</x:f>
        <x:v>0</x:v>
      </x:c>
      <x:c r="AN1089" s="2" t="str">
        <x:f>IF(M1089="","",MAX(0,'Motor_Meciuri'!BF83-IF(L1089&gt;'Config_v6'!$B$12,'Config_v6'!$B$37,IF(L1089&gt;'Config_v6'!$B$11,'Config_v6'!$B$36,0))))</x:f>
      </x:c>
    </x:row>
    <x:row r="1090" ht="21" customHeight="1">
      <x:c r="A1090" s="2" t="n">
        <x:v>78</x:v>
      </x:c>
      <x:c r="B1090" s="2" t="str">
        <x:f>IF('Motor_Meciuri'!A83="","",'Motor_Meciuri'!A83)</x:f>
      </x:c>
      <x:c r="C1090" s="2" t="str">
        <x:f>IF(B1090="","",'Motor_Meciuri'!B83)</x:f>
      </x:c>
      <x:c r="D1090" s="2" t="str">
        <x:f>IF(B1090="","",'Motor_Meciuri'!D83)</x:f>
      </x:c>
      <x:c r="E1090" s="2" t="str">
        <x:f>IF(B1090="","",'Motor_Meciuri'!E83)</x:f>
      </x:c>
      <x:c r="F1090" s="2" t="str">
        <x:v>U10,5</x:v>
      </x:c>
      <x:c r="G1090" s="2" t="str">
        <x:v>UNDER</x:v>
      </x:c>
      <x:c r="H1090" s="2" t="n">
        <x:v>10</x:v>
      </x:c>
      <x:c r="I1090" s="2" t="str">
        <x:f>IF(B1090="","",'Motor_Meciuri'!H83)</x:f>
      </x:c>
      <x:c r="J1090" s="2" t="str">
        <x:f>IF(B1090="","",'Motor_Meciuri'!I83)</x:f>
      </x:c>
      <x:c r="K1090" s="11" t="str">
        <x:f>IF(J1090&lt;&gt;"PASS","",'Motor_Meciuri'!BD83)</x:f>
      </x:c>
      <x:c r="L1090" s="11" t="str">
        <x:f>IF(J1090&lt;&gt;"PASS","",'Motor_Meciuri'!AU83)</x:f>
      </x:c>
      <x:c r="M1090" s="10" t="str">
        <x:f>IF(NOT(AND(J1090="PASS",'Calibrare_Linii'!U12="VALID")),"",'Distributie'!AH83)</x:f>
      </x:c>
      <x:c r="N1090" s="10" t="str">
        <x:f>IF(M1090="","",MAX(0.01,MIN(0.99,0.5+(M1090-0.5)*'Motor_Meciuri'!BG83*'Calibrare_Linii'!D12)))</x:f>
      </x:c>
      <x:c r="O1090" s="10" t="str">
        <x:f>IF(M1090="","",1-M1090)</x:f>
      </x:c>
      <x:c r="P1090" s="10" t="str">
        <x:f>IF(OR(NOT(AND(J1090="PASS",'Calibrare_Linii'!U12="VALID")),AK1090=0),""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*('Istoric_Nativ'!$Q$6:$Q$405&gt;H1090))/AK1090)</x:f>
      </x:c>
      <x:c r="Q1090" s="10" t="str">
        <x:f>IF(OR(NOT(AND(J1090="PASS",'Calibrare_Linii'!U12="VALID")),AL1090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M83)+((('Istoric_Nativ'!$E$6:$E$405='Input_Meci'!E83)+('Istoric_Nativ'!$F$6:$F$405='Input_Meci'!E83))&gt;0)*('Istoric_Nativ'!$D$6:$D$405&gt;='Motor_Meciuri'!BN83))&gt;0)*('Istoric_Nativ'!$Q$6:$Q$405&gt;H1090))/AL1090)</x:f>
      </x:c>
      <x:c r="R1090" s="10" t="str">
        <x:f>IF(OR(NOT(AND(J1090="PASS",'Calibrare_Linii'!U12="VALID")),AM1090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O83)+((('Istoric_Nativ'!$E$6:$E$405='Input_Meci'!E83)+('Istoric_Nativ'!$F$6:$F$405='Input_Meci'!E83))&gt;0)*('Istoric_Nativ'!$D$6:$D$405&gt;='Motor_Meciuri'!BP83))&gt;0)*('Istoric_Nativ'!$Q$6:$Q$405&gt;H1090))/AM1090)</x:f>
      </x:c>
      <x:c r="S1090" s="10" t="str">
        <x:f>IF(M1090="","",MAX(O1090,P1090,Q1090,R1090))</x:f>
      </x:c>
      <x:c r="T1090" s="11" t="str">
        <x:f>IF(M1090="","",MIN(100,S1090*100*'Config_v6'!$B$44+MIN(100,L1090/'Config_v6'!$B$13*100)*'Config_v6'!$B$45+(100-'Motor_Meciuri'!BF83)*'Config_v6'!$B$46+'Motor_Meciuri'!BH83*100*'Config_v6'!$B$47))</x:f>
      </x:c>
      <x:c r="U1090" s="2" t="str">
        <x:f>IF(T1090="","",IF(T1090&lt;=20,1,IF(T1090&lt;=40,2,IF(T1090&lt;=60,3,IF(T1090&lt;=80,4,5)))))</x:f>
      </x:c>
      <x:c r="V1090" s="2" t="str">
        <x:f>IF(M1090="","",MAX(0,'Motor_Meciuri'!BF83-IF(W1090="OOS PENDING",'Config_v6'!$B$35,0)-IF(L1090&gt;'Config_v6'!$B$12,'Config_v6'!$B$37,IF(L1090&gt;'Config_v6'!$B$11,'Config_v6'!$B$36,0))))</x:f>
      </x:c>
      <x:c r="W1090" s="2" t="str">
        <x:f>IF(B1090="","",IF(I1090&lt;&gt;"READY","NOT RELEASED",IF(NOT(AND(J1090="PASS",'Calibrare_Linii'!U12="VALID")),"INVALID",IF(NOT(AND('Calibrare_Linii'!S12="VALIDATED",AND('Calibrare_Linii'!H12=C1090,ISNUMBER('Calibrare_Linii'!J12),'Calibrare_Linii'!J12&lt;='Input_Meci'!G83))),"OOS PENDING",IF(S1090&lt;='Calibrare_Linii'!E12,"PASS",IF(S1090&lt;='Calibrare_Linii'!F12,"PENALTY","WATCH"))))))</x:f>
      </x:c>
      <x:c r="X1090" s="2" t="str">
        <x:f>IF(M1090="","",IF(AND(AND(J1090="PASS",'Calibrare_Linii'!U12="VALID"),'Motor_Meciuri'!K83=12,'Motor_Meciuri'!L83=12,'Motor_Meciuri'!M83="NO",'Motor_Meciuri'!BL83='Motor_Meciuri'!C83,AB1090&gt;='Config_v6'!$B$50,AN1090&gt;='Config_v6'!$B$51,T1090&lt;='Config_v6'!$B$52,L1090&lt;='Config_v6'!$B$53,ISNUMBER('Calibrare_Linii'!E12),S1090&lt;='Calibrare_Linii'!E12,SUM(AK1090:AM1090)&gt;0),"CANDIDATE","NO"))</x:f>
      </x:c>
      <x:c r="Y1090" s="2" t="str">
        <x:f>IF(B1090="","",IF(I1090&lt;&gt;"READY","NOT RELEASED",IF(AND(X1090="CANDIDATE",V1090&gt;='Config_v6'!$B$51,W1090="PASS",'Calibrare_Linii'!T12="VALIDATED",AND('Calibrare_Linii'!H12=C1090,ISNUMBER('Calibrare_Linii'!J12),'Calibrare_Linii'!J12&lt;='Input_Meci'!G83)),"PASS",IF(X1090="CANDIDATE","OOS PENDING","FAIL"))))</x:f>
      </x:c>
      <x:c r="Z1090" s="2" t="str">
        <x:f>IF(B1090="","",IF(I1090&lt;&gt;"READY","",IF(OR(NOT(AND(J1090="PASS",'Calibrare_Linii'!U12="VALID")),L1090&gt;'Config_v6'!$B$13,W1090="WATCH"),5,IF(Y1090="PASS",1,MIN(5,MAX('Config_v6'!$B$42,U1090)+IF(W1090="PENALTY",1,0))))))</x:f>
      </x:c>
      <x:c r="AA1090" s="2" t="str">
        <x:f>IF(B1090="","",IF(I1090&lt;&gt;"READY","NOT RELEASED",IF(Z1090=5,"NO BET",IF(OR(AB1090&lt;'Config_v6'!$B$16,V1090&lt;'Config_v6'!$B$18),"WATCH",IF(Z1090=1,"DEFENSIV",IF(Z1090=2,"PRUDENT",IF(Z1090=3,"MODERAT","RIDICAT")))))))</x:f>
      </x:c>
      <x:c r="AB1090" s="10" t="str">
        <x:f>IF(N1090="","",MIN(N1090,1-S1090))</x:f>
      </x:c>
      <x:c r="AC1090" s="2" t="str">
        <x:f>IF(AD1090&lt;&gt;1,"",COUNTIFS($Z$1084:$Z$1097,"&lt;"&amp;Z1090,$AD$1084:$AD$1097,1)+COUNTIFS($Z$1084:$Z$1097,Z1090,$AB$1084:$AB$1097,"&gt;"&amp;AB1090,$AD$1084:$AD$1097,1)+COUNTIFS($Z$1084:$Z$1097,Z1090,$AB$1084:$AB$1097,AB1090,$V$1084:$V$1097,"&gt;"&amp;V1090,$AD$1084:$AD$1097,1)+COUNTIFS($Z$1084:Z1090,Z1090,$AB$1084:AB1090,AB1090,$V$1084:V1090,V1090,$AD$1084:AD1090,1))</x:f>
      </x:c>
      <x:c r="AD1090" s="2" t="n">
        <x:f>IF(OR(AA1090="DEFENSIV",AA1090="PRUDENT",AA1090="MODERAT",AA1090="RIDICAT"),1,0)</x:f>
        <x:v>0</x:v>
      </x:c>
      <x:c r="AE1090" s="2" t="str">
        <x:f>IF(AD1090&lt;&gt;1,"NO",IF(W1090="PASS","YES",IF(W1090="OOS PENDING","CONDITIONAL","NO")))</x:f>
        <x:v>NO</x:v>
      </x:c>
      <x:c r="AF1090" s="2" t="n">
        <x:f>IF(AND(AD1090=1,AC1090=1,E1090="LIVE"),1,0)</x:f>
        <x:v>0</x:v>
      </x:c>
      <x:c r="AG1090" s="2" t="str">
        <x:f>IF(AF1090&lt;&gt;1,"",'Dashboard'!P103)</x:f>
      </x:c>
      <x:c r="AH1090" s="2" t="str">
        <x:f>IF(B1090="","",IF(J1090&lt;&gt;"PASS",'Motor_Meciuri'!J83,IF('Calibrare_Linii'!U12&lt;&gt;"VALID","Parametri linie invalizi",IF(L1090&gt;'Config_v6'!$B$13,"Dispersie peste limita",IF(W1090="WATCH","Failure peste limita",IF(AB1090&lt;'Config_v6'!$B$16,"P finala sub prag",IF(V1090&lt;'Config_v6'!$B$18,"Confidence sub prag",IF(E1090="REPLAY","Exemplu retrospectiv; exclus din Top LIVE",IF(Y1090="PASS","DEFENSIV validat",IF(W1090="OOS PENDING","Eligibil; calibrare linie in monitorizare","Eligibil"))))))))))</x:f>
      </x:c>
      <x:c r="AI1090" s="2" t="str">
        <x:f>IF(B1090="","",'Calibrare_Linii'!V12)</x:f>
      </x:c>
      <x:c r="AJ1090" s="2" t="str">
        <x:f>IF(B1090="","",IF(AND('Calibrare_Linii'!T12="VALIDATED",AND('Calibrare_Linii'!H12=C1090,ISNUMBER('Calibrare_Linii'!J12),'Calibrare_Linii'!J12&lt;='Input_Meci'!G83)),"DEFENSIVE VALIDATED",IF(AND('Calibrare_Linii'!S12="VALIDATED",AND('Calibrare_Linii'!H12=C1090,ISNUMBER('Calibrare_Linii'!J12),'Calibrare_Linii'!J12&lt;='Input_Meci'!G83)),"TAIL VALIDATED","OOS PENDING")))</x:f>
      </x:c>
      <x:c r="AK1090" s="2" t="n">
        <x:f>IF(J1090&lt;&gt;"PASS",0,'Motor_Meciuri'!BR83)</x:f>
        <x:v>0</x:v>
      </x:c>
      <x:c r="AL1090" s="2" t="n">
        <x:f>IF(J1090&lt;&gt;"PASS",0,'Motor_Meciuri'!BS83)</x:f>
        <x:v>0</x:v>
      </x:c>
      <x:c r="AM1090" s="2" t="n">
        <x:f>IF(J1090&lt;&gt;"PASS",0,'Motor_Meciuri'!BT83)</x:f>
        <x:v>0</x:v>
      </x:c>
      <x:c r="AN1090" s="2" t="str">
        <x:f>IF(M1090="","",MAX(0,'Motor_Meciuri'!BF83-IF(L1090&gt;'Config_v6'!$B$12,'Config_v6'!$B$37,IF(L1090&gt;'Config_v6'!$B$11,'Config_v6'!$B$36,0))))</x:f>
      </x:c>
    </x:row>
    <x:row r="1091" ht="21" customHeight="1">
      <x:c r="A1091" s="2" t="n">
        <x:v>78</x:v>
      </x:c>
      <x:c r="B1091" s="2" t="str">
        <x:f>IF('Motor_Meciuri'!A83="","",'Motor_Meciuri'!A83)</x:f>
      </x:c>
      <x:c r="C1091" s="2" t="str">
        <x:f>IF(B1091="","",'Motor_Meciuri'!B83)</x:f>
      </x:c>
      <x:c r="D1091" s="2" t="str">
        <x:f>IF(B1091="","",'Motor_Meciuri'!D83)</x:f>
      </x:c>
      <x:c r="E1091" s="2" t="str">
        <x:f>IF(B1091="","",'Motor_Meciuri'!E83)</x:f>
      </x:c>
      <x:c r="F1091" s="2" t="str">
        <x:v>U11,5</x:v>
      </x:c>
      <x:c r="G1091" s="2" t="str">
        <x:v>UNDER</x:v>
      </x:c>
      <x:c r="H1091" s="2" t="n">
        <x:v>11</x:v>
      </x:c>
      <x:c r="I1091" s="2" t="str">
        <x:f>IF(B1091="","",'Motor_Meciuri'!H83)</x:f>
      </x:c>
      <x:c r="J1091" s="2" t="str">
        <x:f>IF(B1091="","",'Motor_Meciuri'!I83)</x:f>
      </x:c>
      <x:c r="K1091" s="11" t="str">
        <x:f>IF(J1091&lt;&gt;"PASS","",'Motor_Meciuri'!BD83)</x:f>
      </x:c>
      <x:c r="L1091" s="11" t="str">
        <x:f>IF(J1091&lt;&gt;"PASS","",'Motor_Meciuri'!AU83)</x:f>
      </x:c>
      <x:c r="M1091" s="10" t="str">
        <x:f>IF(NOT(AND(J1091="PASS",'Calibrare_Linii'!U13="VALID")),"",'Distributie'!AI83)</x:f>
      </x:c>
      <x:c r="N1091" s="10" t="str">
        <x:f>IF(M1091="","",MAX(0.01,MIN(0.99,0.5+(M1091-0.5)*'Motor_Meciuri'!BG83*'Calibrare_Linii'!D13)))</x:f>
      </x:c>
      <x:c r="O1091" s="10" t="str">
        <x:f>IF(M1091="","",1-M1091)</x:f>
      </x:c>
      <x:c r="P1091" s="10" t="str">
        <x:f>IF(OR(NOT(AND(J1091="PASS",'Calibrare_Linii'!U13="VALID")),AK1091=0),""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*('Istoric_Nativ'!$Q$6:$Q$405&gt;H1091))/AK1091)</x:f>
      </x:c>
      <x:c r="Q1091" s="10" t="str">
        <x:f>IF(OR(NOT(AND(J1091="PASS",'Calibrare_Linii'!U13="VALID")),AL1091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M83)+((('Istoric_Nativ'!$E$6:$E$405='Input_Meci'!E83)+('Istoric_Nativ'!$F$6:$F$405='Input_Meci'!E83))&gt;0)*('Istoric_Nativ'!$D$6:$D$405&gt;='Motor_Meciuri'!BN83))&gt;0)*('Istoric_Nativ'!$Q$6:$Q$405&gt;H1091))/AL1091)</x:f>
      </x:c>
      <x:c r="R1091" s="10" t="str">
        <x:f>IF(OR(NOT(AND(J1091="PASS",'Calibrare_Linii'!U13="VALID")),AM1091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O83)+((('Istoric_Nativ'!$E$6:$E$405='Input_Meci'!E83)+('Istoric_Nativ'!$F$6:$F$405='Input_Meci'!E83))&gt;0)*('Istoric_Nativ'!$D$6:$D$405&gt;='Motor_Meciuri'!BP83))&gt;0)*('Istoric_Nativ'!$Q$6:$Q$405&gt;H1091))/AM1091)</x:f>
      </x:c>
      <x:c r="S1091" s="10" t="str">
        <x:f>IF(M1091="","",MAX(O1091,P1091,Q1091,R1091))</x:f>
      </x:c>
      <x:c r="T1091" s="11" t="str">
        <x:f>IF(M1091="","",MIN(100,S1091*100*'Config_v6'!$B$44+MIN(100,L1091/'Config_v6'!$B$13*100)*'Config_v6'!$B$45+(100-'Motor_Meciuri'!BF83)*'Config_v6'!$B$46+'Motor_Meciuri'!BH83*100*'Config_v6'!$B$47))</x:f>
      </x:c>
      <x:c r="U1091" s="2" t="str">
        <x:f>IF(T1091="","",IF(T1091&lt;=20,1,IF(T1091&lt;=40,2,IF(T1091&lt;=60,3,IF(T1091&lt;=80,4,5)))))</x:f>
      </x:c>
      <x:c r="V1091" s="2" t="str">
        <x:f>IF(M1091="","",MAX(0,'Motor_Meciuri'!BF83-IF(W1091="OOS PENDING",'Config_v6'!$B$35,0)-IF(L1091&gt;'Config_v6'!$B$12,'Config_v6'!$B$37,IF(L1091&gt;'Config_v6'!$B$11,'Config_v6'!$B$36,0))))</x:f>
      </x:c>
      <x:c r="W1091" s="2" t="str">
        <x:f>IF(B1091="","",IF(I1091&lt;&gt;"READY","NOT RELEASED",IF(NOT(AND(J1091="PASS",'Calibrare_Linii'!U13="VALID")),"INVALID",IF(NOT(AND('Calibrare_Linii'!S13="VALIDATED",AND('Calibrare_Linii'!H13=C1091,ISNUMBER('Calibrare_Linii'!J13),'Calibrare_Linii'!J13&lt;='Input_Meci'!G83))),"OOS PENDING",IF(S1091&lt;='Calibrare_Linii'!E13,"PASS",IF(S1091&lt;='Calibrare_Linii'!F13,"PENALTY","WATCH"))))))</x:f>
      </x:c>
      <x:c r="X1091" s="2" t="str">
        <x:f>IF(M1091="","",IF(AND(AND(J1091="PASS",'Calibrare_Linii'!U13="VALID"),'Motor_Meciuri'!K83=12,'Motor_Meciuri'!L83=12,'Motor_Meciuri'!M83="NO",'Motor_Meciuri'!BL83='Motor_Meciuri'!C83,AB1091&gt;='Config_v6'!$B$50,AN1091&gt;='Config_v6'!$B$51,T1091&lt;='Config_v6'!$B$52,L1091&lt;='Config_v6'!$B$53,ISNUMBER('Calibrare_Linii'!E13),S1091&lt;='Calibrare_Linii'!E13,SUM(AK1091:AM1091)&gt;0),"CANDIDATE","NO"))</x:f>
      </x:c>
      <x:c r="Y1091" s="2" t="str">
        <x:f>IF(B1091="","",IF(I1091&lt;&gt;"READY","NOT RELEASED",IF(AND(X1091="CANDIDATE",V1091&gt;='Config_v6'!$B$51,W1091="PASS",'Calibrare_Linii'!T13="VALIDATED",AND('Calibrare_Linii'!H13=C1091,ISNUMBER('Calibrare_Linii'!J13),'Calibrare_Linii'!J13&lt;='Input_Meci'!G83)),"PASS",IF(X1091="CANDIDATE","OOS PENDING","FAIL"))))</x:f>
      </x:c>
      <x:c r="Z1091" s="2" t="str">
        <x:f>IF(B1091="","",IF(I1091&lt;&gt;"READY","",IF(OR(NOT(AND(J1091="PASS",'Calibrare_Linii'!U13="VALID")),L1091&gt;'Config_v6'!$B$13,W1091="WATCH"),5,IF(Y1091="PASS",1,MIN(5,MAX('Config_v6'!$B$42,U1091)+IF(W1091="PENALTY",1,0))))))</x:f>
      </x:c>
      <x:c r="AA1091" s="2" t="str">
        <x:f>IF(B1091="","",IF(I1091&lt;&gt;"READY","NOT RELEASED",IF(Z1091=5,"NO BET",IF(OR(AB1091&lt;'Config_v6'!$B$16,V1091&lt;'Config_v6'!$B$18),"WATCH",IF(Z1091=1,"DEFENSIV",IF(Z1091=2,"PRUDENT",IF(Z1091=3,"MODERAT","RIDICAT")))))))</x:f>
      </x:c>
      <x:c r="AB1091" s="10" t="str">
        <x:f>IF(N1091="","",MIN(N1091,1-S1091))</x:f>
      </x:c>
      <x:c r="AC1091" s="2" t="str">
        <x:f>IF(AD1091&lt;&gt;1,"",COUNTIFS($Z$1084:$Z$1097,"&lt;"&amp;Z1091,$AD$1084:$AD$1097,1)+COUNTIFS($Z$1084:$Z$1097,Z1091,$AB$1084:$AB$1097,"&gt;"&amp;AB1091,$AD$1084:$AD$1097,1)+COUNTIFS($Z$1084:$Z$1097,Z1091,$AB$1084:$AB$1097,AB1091,$V$1084:$V$1097,"&gt;"&amp;V1091,$AD$1084:$AD$1097,1)+COUNTIFS($Z$1084:Z1091,Z1091,$AB$1084:AB1091,AB1091,$V$1084:V1091,V1091,$AD$1084:AD1091,1))</x:f>
      </x:c>
      <x:c r="AD1091" s="2" t="n">
        <x:f>IF(OR(AA1091="DEFENSIV",AA1091="PRUDENT",AA1091="MODERAT",AA1091="RIDICAT"),1,0)</x:f>
        <x:v>0</x:v>
      </x:c>
      <x:c r="AE1091" s="2" t="str">
        <x:f>IF(AD1091&lt;&gt;1,"NO",IF(W1091="PASS","YES",IF(W1091="OOS PENDING","CONDITIONAL","NO")))</x:f>
        <x:v>NO</x:v>
      </x:c>
      <x:c r="AF1091" s="2" t="n">
        <x:f>IF(AND(AD1091=1,AC1091=1,E1091="LIVE"),1,0)</x:f>
        <x:v>0</x:v>
      </x:c>
      <x:c r="AG1091" s="2" t="str">
        <x:f>IF(AF1091&lt;&gt;1,"",'Dashboard'!P103)</x:f>
      </x:c>
      <x:c r="AH1091" s="2" t="str">
        <x:f>IF(B1091="","",IF(J1091&lt;&gt;"PASS",'Motor_Meciuri'!J83,IF('Calibrare_Linii'!U13&lt;&gt;"VALID","Parametri linie invalizi",IF(L1091&gt;'Config_v6'!$B$13,"Dispersie peste limita",IF(W1091="WATCH","Failure peste limita",IF(AB1091&lt;'Config_v6'!$B$16,"P finala sub prag",IF(V1091&lt;'Config_v6'!$B$18,"Confidence sub prag",IF(E1091="REPLAY","Exemplu retrospectiv; exclus din Top LIVE",IF(Y1091="PASS","DEFENSIV validat",IF(W1091="OOS PENDING","Eligibil; calibrare linie in monitorizare","Eligibil"))))))))))</x:f>
      </x:c>
      <x:c r="AI1091" s="2" t="str">
        <x:f>IF(B1091="","",'Calibrare_Linii'!V13)</x:f>
      </x:c>
      <x:c r="AJ1091" s="2" t="str">
        <x:f>IF(B1091="","",IF(AND('Calibrare_Linii'!T13="VALIDATED",AND('Calibrare_Linii'!H13=C1091,ISNUMBER('Calibrare_Linii'!J13),'Calibrare_Linii'!J13&lt;='Input_Meci'!G83)),"DEFENSIVE VALIDATED",IF(AND('Calibrare_Linii'!S13="VALIDATED",AND('Calibrare_Linii'!H13=C1091,ISNUMBER('Calibrare_Linii'!J13),'Calibrare_Linii'!J13&lt;='Input_Meci'!G83)),"TAIL VALIDATED","OOS PENDING")))</x:f>
      </x:c>
      <x:c r="AK1091" s="2" t="n">
        <x:f>IF(J1091&lt;&gt;"PASS",0,'Motor_Meciuri'!BR83)</x:f>
        <x:v>0</x:v>
      </x:c>
      <x:c r="AL1091" s="2" t="n">
        <x:f>IF(J1091&lt;&gt;"PASS",0,'Motor_Meciuri'!BS83)</x:f>
        <x:v>0</x:v>
      </x:c>
      <x:c r="AM1091" s="2" t="n">
        <x:f>IF(J1091&lt;&gt;"PASS",0,'Motor_Meciuri'!BT83)</x:f>
        <x:v>0</x:v>
      </x:c>
      <x:c r="AN1091" s="2" t="str">
        <x:f>IF(M1091="","",MAX(0,'Motor_Meciuri'!BF83-IF(L1091&gt;'Config_v6'!$B$12,'Config_v6'!$B$37,IF(L1091&gt;'Config_v6'!$B$11,'Config_v6'!$B$36,0))))</x:f>
      </x:c>
    </x:row>
    <x:row r="1092" ht="21" customHeight="1">
      <x:c r="A1092" s="2" t="n">
        <x:v>78</x:v>
      </x:c>
      <x:c r="B1092" s="2" t="str">
        <x:f>IF('Motor_Meciuri'!A83="","",'Motor_Meciuri'!A83)</x:f>
      </x:c>
      <x:c r="C1092" s="2" t="str">
        <x:f>IF(B1092="","",'Motor_Meciuri'!B83)</x:f>
      </x:c>
      <x:c r="D1092" s="2" t="str">
        <x:f>IF(B1092="","",'Motor_Meciuri'!D83)</x:f>
      </x:c>
      <x:c r="E1092" s="2" t="str">
        <x:f>IF(B1092="","",'Motor_Meciuri'!E83)</x:f>
      </x:c>
      <x:c r="F1092" s="2" t="str">
        <x:v>U12,5</x:v>
      </x:c>
      <x:c r="G1092" s="2" t="str">
        <x:v>UNDER</x:v>
      </x:c>
      <x:c r="H1092" s="2" t="n">
        <x:v>12</x:v>
      </x:c>
      <x:c r="I1092" s="2" t="str">
        <x:f>IF(B1092="","",'Motor_Meciuri'!H83)</x:f>
      </x:c>
      <x:c r="J1092" s="2" t="str">
        <x:f>IF(B1092="","",'Motor_Meciuri'!I83)</x:f>
      </x:c>
      <x:c r="K1092" s="11" t="str">
        <x:f>IF(J1092&lt;&gt;"PASS","",'Motor_Meciuri'!BD83)</x:f>
      </x:c>
      <x:c r="L1092" s="11" t="str">
        <x:f>IF(J1092&lt;&gt;"PASS","",'Motor_Meciuri'!AU83)</x:f>
      </x:c>
      <x:c r="M1092" s="10" t="str">
        <x:f>IF(NOT(AND(J1092="PASS",'Calibrare_Linii'!U14="VALID")),"",'Distributie'!AJ83)</x:f>
      </x:c>
      <x:c r="N1092" s="10" t="str">
        <x:f>IF(M1092="","",MAX(0.01,MIN(0.99,0.5+(M1092-0.5)*'Motor_Meciuri'!BG83*'Calibrare_Linii'!D14)))</x:f>
      </x:c>
      <x:c r="O1092" s="10" t="str">
        <x:f>IF(M1092="","",1-M1092)</x:f>
      </x:c>
      <x:c r="P1092" s="10" t="str">
        <x:f>IF(OR(NOT(AND(J1092="PASS",'Calibrare_Linii'!U14="VALID")),AK1092=0),""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*('Istoric_Nativ'!$Q$6:$Q$405&gt;H1092))/AK1092)</x:f>
      </x:c>
      <x:c r="Q1092" s="10" t="str">
        <x:f>IF(OR(NOT(AND(J1092="PASS",'Calibrare_Linii'!U14="VALID")),AL1092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M83)+((('Istoric_Nativ'!$E$6:$E$405='Input_Meci'!E83)+('Istoric_Nativ'!$F$6:$F$405='Input_Meci'!E83))&gt;0)*('Istoric_Nativ'!$D$6:$D$405&gt;='Motor_Meciuri'!BN83))&gt;0)*('Istoric_Nativ'!$Q$6:$Q$405&gt;H1092))/AL1092)</x:f>
      </x:c>
      <x:c r="R1092" s="10" t="str">
        <x:f>IF(OR(NOT(AND(J1092="PASS",'Calibrare_Linii'!U14="VALID")),AM1092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O83)+((('Istoric_Nativ'!$E$6:$E$405='Input_Meci'!E83)+('Istoric_Nativ'!$F$6:$F$405='Input_Meci'!E83))&gt;0)*('Istoric_Nativ'!$D$6:$D$405&gt;='Motor_Meciuri'!BP83))&gt;0)*('Istoric_Nativ'!$Q$6:$Q$405&gt;H1092))/AM1092)</x:f>
      </x:c>
      <x:c r="S1092" s="10" t="str">
        <x:f>IF(M1092="","",MAX(O1092,P1092,Q1092,R1092))</x:f>
      </x:c>
      <x:c r="T1092" s="11" t="str">
        <x:f>IF(M1092="","",MIN(100,S1092*100*'Config_v6'!$B$44+MIN(100,L1092/'Config_v6'!$B$13*100)*'Config_v6'!$B$45+(100-'Motor_Meciuri'!BF83)*'Config_v6'!$B$46+'Motor_Meciuri'!BH83*100*'Config_v6'!$B$47))</x:f>
      </x:c>
      <x:c r="U1092" s="2" t="str">
        <x:f>IF(T1092="","",IF(T1092&lt;=20,1,IF(T1092&lt;=40,2,IF(T1092&lt;=60,3,IF(T1092&lt;=80,4,5)))))</x:f>
      </x:c>
      <x:c r="V1092" s="2" t="str">
        <x:f>IF(M1092="","",MAX(0,'Motor_Meciuri'!BF83-IF(W1092="OOS PENDING",'Config_v6'!$B$35,0)-IF(L1092&gt;'Config_v6'!$B$12,'Config_v6'!$B$37,IF(L1092&gt;'Config_v6'!$B$11,'Config_v6'!$B$36,0))))</x:f>
      </x:c>
      <x:c r="W1092" s="2" t="str">
        <x:f>IF(B1092="","",IF(I1092&lt;&gt;"READY","NOT RELEASED",IF(NOT(AND(J1092="PASS",'Calibrare_Linii'!U14="VALID")),"INVALID",IF(NOT(AND('Calibrare_Linii'!S14="VALIDATED",AND('Calibrare_Linii'!H14=C1092,ISNUMBER('Calibrare_Linii'!J14),'Calibrare_Linii'!J14&lt;='Input_Meci'!G83))),"OOS PENDING",IF(S1092&lt;='Calibrare_Linii'!E14,"PASS",IF(S1092&lt;='Calibrare_Linii'!F14,"PENALTY","WATCH"))))))</x:f>
      </x:c>
      <x:c r="X1092" s="2" t="str">
        <x:f>IF(M1092="","",IF(AND(AND(J1092="PASS",'Calibrare_Linii'!U14="VALID"),'Motor_Meciuri'!K83=12,'Motor_Meciuri'!L83=12,'Motor_Meciuri'!M83="NO",'Motor_Meciuri'!BL83='Motor_Meciuri'!C83,AB1092&gt;='Config_v6'!$B$50,AN1092&gt;='Config_v6'!$B$51,T1092&lt;='Config_v6'!$B$52,L1092&lt;='Config_v6'!$B$53,ISNUMBER('Calibrare_Linii'!E14),S1092&lt;='Calibrare_Linii'!E14,SUM(AK1092:AM1092)&gt;0),"CANDIDATE","NO"))</x:f>
      </x:c>
      <x:c r="Y1092" s="2" t="str">
        <x:f>IF(B1092="","",IF(I1092&lt;&gt;"READY","NOT RELEASED",IF(AND(X1092="CANDIDATE",V1092&gt;='Config_v6'!$B$51,W1092="PASS",'Calibrare_Linii'!T14="VALIDATED",AND('Calibrare_Linii'!H14=C1092,ISNUMBER('Calibrare_Linii'!J14),'Calibrare_Linii'!J14&lt;='Input_Meci'!G83)),"PASS",IF(X1092="CANDIDATE","OOS PENDING","FAIL"))))</x:f>
      </x:c>
      <x:c r="Z1092" s="2" t="str">
        <x:f>IF(B1092="","",IF(I1092&lt;&gt;"READY","",IF(OR(NOT(AND(J1092="PASS",'Calibrare_Linii'!U14="VALID")),L1092&gt;'Config_v6'!$B$13,W1092="WATCH"),5,IF(Y1092="PASS",1,MIN(5,MAX('Config_v6'!$B$42,U1092)+IF(W1092="PENALTY",1,0))))))</x:f>
      </x:c>
      <x:c r="AA1092" s="2" t="str">
        <x:f>IF(B1092="","",IF(I1092&lt;&gt;"READY","NOT RELEASED",IF(Z1092=5,"NO BET",IF(OR(AB1092&lt;'Config_v6'!$B$16,V1092&lt;'Config_v6'!$B$18),"WATCH",IF(Z1092=1,"DEFENSIV",IF(Z1092=2,"PRUDENT",IF(Z1092=3,"MODERAT","RIDICAT")))))))</x:f>
      </x:c>
      <x:c r="AB1092" s="10" t="str">
        <x:f>IF(N1092="","",MIN(N1092,1-S1092))</x:f>
      </x:c>
      <x:c r="AC1092" s="2" t="str">
        <x:f>IF(AD1092&lt;&gt;1,"",COUNTIFS($Z$1084:$Z$1097,"&lt;"&amp;Z1092,$AD$1084:$AD$1097,1)+COUNTIFS($Z$1084:$Z$1097,Z1092,$AB$1084:$AB$1097,"&gt;"&amp;AB1092,$AD$1084:$AD$1097,1)+COUNTIFS($Z$1084:$Z$1097,Z1092,$AB$1084:$AB$1097,AB1092,$V$1084:$V$1097,"&gt;"&amp;V1092,$AD$1084:$AD$1097,1)+COUNTIFS($Z$1084:Z1092,Z1092,$AB$1084:AB1092,AB1092,$V$1084:V1092,V1092,$AD$1084:AD1092,1))</x:f>
      </x:c>
      <x:c r="AD1092" s="2" t="n">
        <x:f>IF(OR(AA1092="DEFENSIV",AA1092="PRUDENT",AA1092="MODERAT",AA1092="RIDICAT"),1,0)</x:f>
        <x:v>0</x:v>
      </x:c>
      <x:c r="AE1092" s="2" t="str">
        <x:f>IF(AD1092&lt;&gt;1,"NO",IF(W1092="PASS","YES",IF(W1092="OOS PENDING","CONDITIONAL","NO")))</x:f>
        <x:v>NO</x:v>
      </x:c>
      <x:c r="AF1092" s="2" t="n">
        <x:f>IF(AND(AD1092=1,AC1092=1,E1092="LIVE"),1,0)</x:f>
        <x:v>0</x:v>
      </x:c>
      <x:c r="AG1092" s="2" t="str">
        <x:f>IF(AF1092&lt;&gt;1,"",'Dashboard'!P103)</x:f>
      </x:c>
      <x:c r="AH1092" s="2" t="str">
        <x:f>IF(B1092="","",IF(J1092&lt;&gt;"PASS",'Motor_Meciuri'!J83,IF('Calibrare_Linii'!U14&lt;&gt;"VALID","Parametri linie invalizi",IF(L1092&gt;'Config_v6'!$B$13,"Dispersie peste limita",IF(W1092="WATCH","Failure peste limita",IF(AB1092&lt;'Config_v6'!$B$16,"P finala sub prag",IF(V1092&lt;'Config_v6'!$B$18,"Confidence sub prag",IF(E1092="REPLAY","Exemplu retrospectiv; exclus din Top LIVE",IF(Y1092="PASS","DEFENSIV validat",IF(W1092="OOS PENDING","Eligibil; calibrare linie in monitorizare","Eligibil"))))))))))</x:f>
      </x:c>
      <x:c r="AI1092" s="2" t="str">
        <x:f>IF(B1092="","",'Calibrare_Linii'!V14)</x:f>
      </x:c>
      <x:c r="AJ1092" s="2" t="str">
        <x:f>IF(B1092="","",IF(AND('Calibrare_Linii'!T14="VALIDATED",AND('Calibrare_Linii'!H14=C1092,ISNUMBER('Calibrare_Linii'!J14),'Calibrare_Linii'!J14&lt;='Input_Meci'!G83)),"DEFENSIVE VALIDATED",IF(AND('Calibrare_Linii'!S14="VALIDATED",AND('Calibrare_Linii'!H14=C1092,ISNUMBER('Calibrare_Linii'!J14),'Calibrare_Linii'!J14&lt;='Input_Meci'!G83)),"TAIL VALIDATED","OOS PENDING")))</x:f>
      </x:c>
      <x:c r="AK1092" s="2" t="n">
        <x:f>IF(J1092&lt;&gt;"PASS",0,'Motor_Meciuri'!BR83)</x:f>
        <x:v>0</x:v>
      </x:c>
      <x:c r="AL1092" s="2" t="n">
        <x:f>IF(J1092&lt;&gt;"PASS",0,'Motor_Meciuri'!BS83)</x:f>
        <x:v>0</x:v>
      </x:c>
      <x:c r="AM1092" s="2" t="n">
        <x:f>IF(J1092&lt;&gt;"PASS",0,'Motor_Meciuri'!BT83)</x:f>
        <x:v>0</x:v>
      </x:c>
      <x:c r="AN1092" s="2" t="str">
        <x:f>IF(M1092="","",MAX(0,'Motor_Meciuri'!BF83-IF(L1092&gt;'Config_v6'!$B$12,'Config_v6'!$B$37,IF(L1092&gt;'Config_v6'!$B$11,'Config_v6'!$B$36,0))))</x:f>
      </x:c>
    </x:row>
    <x:row r="1093" ht="21" customHeight="1">
      <x:c r="A1093" s="2" t="n">
        <x:v>78</x:v>
      </x:c>
      <x:c r="B1093" s="2" t="str">
        <x:f>IF('Motor_Meciuri'!A83="","",'Motor_Meciuri'!A83)</x:f>
      </x:c>
      <x:c r="C1093" s="2" t="str">
        <x:f>IF(B1093="","",'Motor_Meciuri'!B83)</x:f>
      </x:c>
      <x:c r="D1093" s="2" t="str">
        <x:f>IF(B1093="","",'Motor_Meciuri'!D83)</x:f>
      </x:c>
      <x:c r="E1093" s="2" t="str">
        <x:f>IF(B1093="","",'Motor_Meciuri'!E83)</x:f>
      </x:c>
      <x:c r="F1093" s="2" t="str">
        <x:v>U13,5</x:v>
      </x:c>
      <x:c r="G1093" s="2" t="str">
        <x:v>UNDER</x:v>
      </x:c>
      <x:c r="H1093" s="2" t="n">
        <x:v>13</x:v>
      </x:c>
      <x:c r="I1093" s="2" t="str">
        <x:f>IF(B1093="","",'Motor_Meciuri'!H83)</x:f>
      </x:c>
      <x:c r="J1093" s="2" t="str">
        <x:f>IF(B1093="","",'Motor_Meciuri'!I83)</x:f>
      </x:c>
      <x:c r="K1093" s="11" t="str">
        <x:f>IF(J1093&lt;&gt;"PASS","",'Motor_Meciuri'!BD83)</x:f>
      </x:c>
      <x:c r="L1093" s="11" t="str">
        <x:f>IF(J1093&lt;&gt;"PASS","",'Motor_Meciuri'!AU83)</x:f>
      </x:c>
      <x:c r="M1093" s="10" t="str">
        <x:f>IF(NOT(AND(J1093="PASS",'Calibrare_Linii'!U15="VALID")),"",'Distributie'!AK83)</x:f>
      </x:c>
      <x:c r="N1093" s="10" t="str">
        <x:f>IF(M1093="","",MAX(0.01,MIN(0.99,0.5+(M1093-0.5)*'Motor_Meciuri'!BG83*'Calibrare_Linii'!D15)))</x:f>
      </x:c>
      <x:c r="O1093" s="10" t="str">
        <x:f>IF(M1093="","",1-M1093)</x:f>
      </x:c>
      <x:c r="P1093" s="10" t="str">
        <x:f>IF(OR(NOT(AND(J1093="PASS",'Calibrare_Linii'!U15="VALID")),AK1093=0),""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*('Istoric_Nativ'!$Q$6:$Q$405&gt;H1093))/AK1093)</x:f>
      </x:c>
      <x:c r="Q1093" s="10" t="str">
        <x:f>IF(OR(NOT(AND(J1093="PASS",'Calibrare_Linii'!U15="VALID")),AL1093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M83)+((('Istoric_Nativ'!$E$6:$E$405='Input_Meci'!E83)+('Istoric_Nativ'!$F$6:$F$405='Input_Meci'!E83))&gt;0)*('Istoric_Nativ'!$D$6:$D$405&gt;='Motor_Meciuri'!BN83))&gt;0)*('Istoric_Nativ'!$Q$6:$Q$405&gt;H1093))/AL1093)</x:f>
      </x:c>
      <x:c r="R1093" s="10" t="str">
        <x:f>IF(OR(NOT(AND(J1093="PASS",'Calibrare_Linii'!U15="VALID")),AM1093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O83)+((('Istoric_Nativ'!$E$6:$E$405='Input_Meci'!E83)+('Istoric_Nativ'!$F$6:$F$405='Input_Meci'!E83))&gt;0)*('Istoric_Nativ'!$D$6:$D$405&gt;='Motor_Meciuri'!BP83))&gt;0)*('Istoric_Nativ'!$Q$6:$Q$405&gt;H1093))/AM1093)</x:f>
      </x:c>
      <x:c r="S1093" s="10" t="str">
        <x:f>IF(M1093="","",MAX(O1093,P1093,Q1093,R1093))</x:f>
      </x:c>
      <x:c r="T1093" s="11" t="str">
        <x:f>IF(M1093="","",MIN(100,S1093*100*'Config_v6'!$B$44+MIN(100,L1093/'Config_v6'!$B$13*100)*'Config_v6'!$B$45+(100-'Motor_Meciuri'!BF83)*'Config_v6'!$B$46+'Motor_Meciuri'!BH83*100*'Config_v6'!$B$47))</x:f>
      </x:c>
      <x:c r="U1093" s="2" t="str">
        <x:f>IF(T1093="","",IF(T1093&lt;=20,1,IF(T1093&lt;=40,2,IF(T1093&lt;=60,3,IF(T1093&lt;=80,4,5)))))</x:f>
      </x:c>
      <x:c r="V1093" s="2" t="str">
        <x:f>IF(M1093="","",MAX(0,'Motor_Meciuri'!BF83-IF(W1093="OOS PENDING",'Config_v6'!$B$35,0)-IF(L1093&gt;'Config_v6'!$B$12,'Config_v6'!$B$37,IF(L1093&gt;'Config_v6'!$B$11,'Config_v6'!$B$36,0))))</x:f>
      </x:c>
      <x:c r="W1093" s="2" t="str">
        <x:f>IF(B1093="","",IF(I1093&lt;&gt;"READY","NOT RELEASED",IF(NOT(AND(J1093="PASS",'Calibrare_Linii'!U15="VALID")),"INVALID",IF(NOT(AND('Calibrare_Linii'!S15="VALIDATED",AND('Calibrare_Linii'!H15=C1093,ISNUMBER('Calibrare_Linii'!J15),'Calibrare_Linii'!J15&lt;='Input_Meci'!G83))),"OOS PENDING",IF(S1093&lt;='Calibrare_Linii'!E15,"PASS",IF(S1093&lt;='Calibrare_Linii'!F15,"PENALTY","WATCH"))))))</x:f>
      </x:c>
      <x:c r="X1093" s="2" t="str">
        <x:f>IF(M1093="","",IF(AND(AND(J1093="PASS",'Calibrare_Linii'!U15="VALID"),'Motor_Meciuri'!K83=12,'Motor_Meciuri'!L83=12,'Motor_Meciuri'!M83="NO",'Motor_Meciuri'!BL83='Motor_Meciuri'!C83,AB1093&gt;='Config_v6'!$B$50,AN1093&gt;='Config_v6'!$B$51,T1093&lt;='Config_v6'!$B$52,L1093&lt;='Config_v6'!$B$53,ISNUMBER('Calibrare_Linii'!E15),S1093&lt;='Calibrare_Linii'!E15,SUM(AK1093:AM1093)&gt;0),"CANDIDATE","NO"))</x:f>
      </x:c>
      <x:c r="Y1093" s="2" t="str">
        <x:f>IF(B1093="","",IF(I1093&lt;&gt;"READY","NOT RELEASED",IF(AND(X1093="CANDIDATE",V1093&gt;='Config_v6'!$B$51,W1093="PASS",'Calibrare_Linii'!T15="VALIDATED",AND('Calibrare_Linii'!H15=C1093,ISNUMBER('Calibrare_Linii'!J15),'Calibrare_Linii'!J15&lt;='Input_Meci'!G83)),"PASS",IF(X1093="CANDIDATE","OOS PENDING","FAIL"))))</x:f>
      </x:c>
      <x:c r="Z1093" s="2" t="str">
        <x:f>IF(B1093="","",IF(I1093&lt;&gt;"READY","",IF(OR(NOT(AND(J1093="PASS",'Calibrare_Linii'!U15="VALID")),L1093&gt;'Config_v6'!$B$13,W1093="WATCH"),5,IF(Y1093="PASS",1,MIN(5,MAX('Config_v6'!$B$42,U1093)+IF(W1093="PENALTY",1,0))))))</x:f>
      </x:c>
      <x:c r="AA1093" s="2" t="str">
        <x:f>IF(B1093="","",IF(I1093&lt;&gt;"READY","NOT RELEASED",IF(Z1093=5,"NO BET",IF(OR(AB1093&lt;'Config_v6'!$B$16,V1093&lt;'Config_v6'!$B$18),"WATCH",IF(Z1093=1,"DEFENSIV",IF(Z1093=2,"PRUDENT",IF(Z1093=3,"MODERAT","RIDICAT")))))))</x:f>
      </x:c>
      <x:c r="AB1093" s="10" t="str">
        <x:f>IF(N1093="","",MIN(N1093,1-S1093))</x:f>
      </x:c>
      <x:c r="AC1093" s="2" t="str">
        <x:f>IF(AD1093&lt;&gt;1,"",COUNTIFS($Z$1084:$Z$1097,"&lt;"&amp;Z1093,$AD$1084:$AD$1097,1)+COUNTIFS($Z$1084:$Z$1097,Z1093,$AB$1084:$AB$1097,"&gt;"&amp;AB1093,$AD$1084:$AD$1097,1)+COUNTIFS($Z$1084:$Z$1097,Z1093,$AB$1084:$AB$1097,AB1093,$V$1084:$V$1097,"&gt;"&amp;V1093,$AD$1084:$AD$1097,1)+COUNTIFS($Z$1084:Z1093,Z1093,$AB$1084:AB1093,AB1093,$V$1084:V1093,V1093,$AD$1084:AD1093,1))</x:f>
      </x:c>
      <x:c r="AD1093" s="2" t="n">
        <x:f>IF(OR(AA1093="DEFENSIV",AA1093="PRUDENT",AA1093="MODERAT",AA1093="RIDICAT"),1,0)</x:f>
        <x:v>0</x:v>
      </x:c>
      <x:c r="AE1093" s="2" t="str">
        <x:f>IF(AD1093&lt;&gt;1,"NO",IF(W1093="PASS","YES",IF(W1093="OOS PENDING","CONDITIONAL","NO")))</x:f>
        <x:v>NO</x:v>
      </x:c>
      <x:c r="AF1093" s="2" t="n">
        <x:f>IF(AND(AD1093=1,AC1093=1,E1093="LIVE"),1,0)</x:f>
        <x:v>0</x:v>
      </x:c>
      <x:c r="AG1093" s="2" t="str">
        <x:f>IF(AF1093&lt;&gt;1,"",'Dashboard'!P103)</x:f>
      </x:c>
      <x:c r="AH1093" s="2" t="str">
        <x:f>IF(B1093="","",IF(J1093&lt;&gt;"PASS",'Motor_Meciuri'!J83,IF('Calibrare_Linii'!U15&lt;&gt;"VALID","Parametri linie invalizi",IF(L1093&gt;'Config_v6'!$B$13,"Dispersie peste limita",IF(W1093="WATCH","Failure peste limita",IF(AB1093&lt;'Config_v6'!$B$16,"P finala sub prag",IF(V1093&lt;'Config_v6'!$B$18,"Confidence sub prag",IF(E1093="REPLAY","Exemplu retrospectiv; exclus din Top LIVE",IF(Y1093="PASS","DEFENSIV validat",IF(W1093="OOS PENDING","Eligibil; calibrare linie in monitorizare","Eligibil"))))))))))</x:f>
      </x:c>
      <x:c r="AI1093" s="2" t="str">
        <x:f>IF(B1093="","",'Calibrare_Linii'!V15)</x:f>
      </x:c>
      <x:c r="AJ1093" s="2" t="str">
        <x:f>IF(B1093="","",IF(AND('Calibrare_Linii'!T15="VALIDATED",AND('Calibrare_Linii'!H15=C1093,ISNUMBER('Calibrare_Linii'!J15),'Calibrare_Linii'!J15&lt;='Input_Meci'!G83)),"DEFENSIVE VALIDATED",IF(AND('Calibrare_Linii'!S15="VALIDATED",AND('Calibrare_Linii'!H15=C1093,ISNUMBER('Calibrare_Linii'!J15),'Calibrare_Linii'!J15&lt;='Input_Meci'!G83)),"TAIL VALIDATED","OOS PENDING")))</x:f>
      </x:c>
      <x:c r="AK1093" s="2" t="n">
        <x:f>IF(J1093&lt;&gt;"PASS",0,'Motor_Meciuri'!BR83)</x:f>
        <x:v>0</x:v>
      </x:c>
      <x:c r="AL1093" s="2" t="n">
        <x:f>IF(J1093&lt;&gt;"PASS",0,'Motor_Meciuri'!BS83)</x:f>
        <x:v>0</x:v>
      </x:c>
      <x:c r="AM1093" s="2" t="n">
        <x:f>IF(J1093&lt;&gt;"PASS",0,'Motor_Meciuri'!BT83)</x:f>
        <x:v>0</x:v>
      </x:c>
      <x:c r="AN1093" s="2" t="str">
        <x:f>IF(M1093="","",MAX(0,'Motor_Meciuri'!BF83-IF(L1093&gt;'Config_v6'!$B$12,'Config_v6'!$B$37,IF(L1093&gt;'Config_v6'!$B$11,'Config_v6'!$B$36,0))))</x:f>
      </x:c>
    </x:row>
    <x:row r="1094" ht="21" customHeight="1">
      <x:c r="A1094" s="2" t="n">
        <x:v>78</x:v>
      </x:c>
      <x:c r="B1094" s="2" t="str">
        <x:f>IF('Motor_Meciuri'!A83="","",'Motor_Meciuri'!A83)</x:f>
      </x:c>
      <x:c r="C1094" s="2" t="str">
        <x:f>IF(B1094="","",'Motor_Meciuri'!B83)</x:f>
      </x:c>
      <x:c r="D1094" s="2" t="str">
        <x:f>IF(B1094="","",'Motor_Meciuri'!D83)</x:f>
      </x:c>
      <x:c r="E1094" s="2" t="str">
        <x:f>IF(B1094="","",'Motor_Meciuri'!E83)</x:f>
      </x:c>
      <x:c r="F1094" s="2" t="str">
        <x:v>U14,5</x:v>
      </x:c>
      <x:c r="G1094" s="2" t="str">
        <x:v>UNDER</x:v>
      </x:c>
      <x:c r="H1094" s="2" t="n">
        <x:v>14</x:v>
      </x:c>
      <x:c r="I1094" s="2" t="str">
        <x:f>IF(B1094="","",'Motor_Meciuri'!H83)</x:f>
      </x:c>
      <x:c r="J1094" s="2" t="str">
        <x:f>IF(B1094="","",'Motor_Meciuri'!I83)</x:f>
      </x:c>
      <x:c r="K1094" s="11" t="str">
        <x:f>IF(J1094&lt;&gt;"PASS","",'Motor_Meciuri'!BD83)</x:f>
      </x:c>
      <x:c r="L1094" s="11" t="str">
        <x:f>IF(J1094&lt;&gt;"PASS","",'Motor_Meciuri'!AU83)</x:f>
      </x:c>
      <x:c r="M1094" s="10" t="str">
        <x:f>IF(NOT(AND(J1094="PASS",'Calibrare_Linii'!U16="VALID")),"",'Distributie'!AL83)</x:f>
      </x:c>
      <x:c r="N1094" s="10" t="str">
        <x:f>IF(M1094="","",MAX(0.01,MIN(0.99,0.5+(M1094-0.5)*'Motor_Meciuri'!BG83*'Calibrare_Linii'!D16)))</x:f>
      </x:c>
      <x:c r="O1094" s="10" t="str">
        <x:f>IF(M1094="","",1-M1094)</x:f>
      </x:c>
      <x:c r="P1094" s="10" t="str">
        <x:f>IF(OR(NOT(AND(J1094="PASS",'Calibrare_Linii'!U16="VALID")),AK1094=0),""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*('Istoric_Nativ'!$Q$6:$Q$405&gt;H1094))/AK1094)</x:f>
      </x:c>
      <x:c r="Q1094" s="10" t="str">
        <x:f>IF(OR(NOT(AND(J1094="PASS",'Calibrare_Linii'!U16="VALID")),AL1094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M83)+((('Istoric_Nativ'!$E$6:$E$405='Input_Meci'!E83)+('Istoric_Nativ'!$F$6:$F$405='Input_Meci'!E83))&gt;0)*('Istoric_Nativ'!$D$6:$D$405&gt;='Motor_Meciuri'!BN83))&gt;0)*('Istoric_Nativ'!$Q$6:$Q$405&gt;H1094))/AL1094)</x:f>
      </x:c>
      <x:c r="R1094" s="10" t="str">
        <x:f>IF(OR(NOT(AND(J1094="PASS",'Calibrare_Linii'!U16="VALID")),AM1094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O83)+((('Istoric_Nativ'!$E$6:$E$405='Input_Meci'!E83)+('Istoric_Nativ'!$F$6:$F$405='Input_Meci'!E83))&gt;0)*('Istoric_Nativ'!$D$6:$D$405&gt;='Motor_Meciuri'!BP83))&gt;0)*('Istoric_Nativ'!$Q$6:$Q$405&gt;H1094))/AM1094)</x:f>
      </x:c>
      <x:c r="S1094" s="10" t="str">
        <x:f>IF(M1094="","",MAX(O1094,P1094,Q1094,R1094))</x:f>
      </x:c>
      <x:c r="T1094" s="11" t="str">
        <x:f>IF(M1094="","",MIN(100,S1094*100*'Config_v6'!$B$44+MIN(100,L1094/'Config_v6'!$B$13*100)*'Config_v6'!$B$45+(100-'Motor_Meciuri'!BF83)*'Config_v6'!$B$46+'Motor_Meciuri'!BH83*100*'Config_v6'!$B$47))</x:f>
      </x:c>
      <x:c r="U1094" s="2" t="str">
        <x:f>IF(T1094="","",IF(T1094&lt;=20,1,IF(T1094&lt;=40,2,IF(T1094&lt;=60,3,IF(T1094&lt;=80,4,5)))))</x:f>
      </x:c>
      <x:c r="V1094" s="2" t="str">
        <x:f>IF(M1094="","",MAX(0,'Motor_Meciuri'!BF83-IF(W1094="OOS PENDING",'Config_v6'!$B$35,0)-IF(L1094&gt;'Config_v6'!$B$12,'Config_v6'!$B$37,IF(L1094&gt;'Config_v6'!$B$11,'Config_v6'!$B$36,0))))</x:f>
      </x:c>
      <x:c r="W1094" s="2" t="str">
        <x:f>IF(B1094="","",IF(I1094&lt;&gt;"READY","NOT RELEASED",IF(NOT(AND(J1094="PASS",'Calibrare_Linii'!U16="VALID")),"INVALID",IF(NOT(AND('Calibrare_Linii'!S16="VALIDATED",AND('Calibrare_Linii'!H16=C1094,ISNUMBER('Calibrare_Linii'!J16),'Calibrare_Linii'!J16&lt;='Input_Meci'!G83))),"OOS PENDING",IF(S1094&lt;='Calibrare_Linii'!E16,"PASS",IF(S1094&lt;='Calibrare_Linii'!F16,"PENALTY","WATCH"))))))</x:f>
      </x:c>
      <x:c r="X1094" s="2" t="str">
        <x:f>IF(M1094="","",IF(AND(AND(J1094="PASS",'Calibrare_Linii'!U16="VALID"),'Motor_Meciuri'!K83=12,'Motor_Meciuri'!L83=12,'Motor_Meciuri'!M83="NO",'Motor_Meciuri'!BL83='Motor_Meciuri'!C83,AB1094&gt;='Config_v6'!$B$50,AN1094&gt;='Config_v6'!$B$51,T1094&lt;='Config_v6'!$B$52,L1094&lt;='Config_v6'!$B$53,ISNUMBER('Calibrare_Linii'!E16),S1094&lt;='Calibrare_Linii'!E16,SUM(AK1094:AM1094)&gt;0),"CANDIDATE","NO"))</x:f>
      </x:c>
      <x:c r="Y1094" s="2" t="str">
        <x:f>IF(B1094="","",IF(I1094&lt;&gt;"READY","NOT RELEASED",IF(AND(X1094="CANDIDATE",V1094&gt;='Config_v6'!$B$51,W1094="PASS",'Calibrare_Linii'!T16="VALIDATED",AND('Calibrare_Linii'!H16=C1094,ISNUMBER('Calibrare_Linii'!J16),'Calibrare_Linii'!J16&lt;='Input_Meci'!G83)),"PASS",IF(X1094="CANDIDATE","OOS PENDING","FAIL"))))</x:f>
      </x:c>
      <x:c r="Z1094" s="2" t="str">
        <x:f>IF(B1094="","",IF(I1094&lt;&gt;"READY","",IF(OR(NOT(AND(J1094="PASS",'Calibrare_Linii'!U16="VALID")),L1094&gt;'Config_v6'!$B$13,W1094="WATCH"),5,IF(Y1094="PASS",1,MIN(5,MAX('Config_v6'!$B$42,U1094)+IF(W1094="PENALTY",1,0))))))</x:f>
      </x:c>
      <x:c r="AA1094" s="2" t="str">
        <x:f>IF(B1094="","",IF(I1094&lt;&gt;"READY","NOT RELEASED",IF(Z1094=5,"NO BET",IF(OR(AB1094&lt;'Config_v6'!$B$16,V1094&lt;'Config_v6'!$B$18),"WATCH",IF(Z1094=1,"DEFENSIV",IF(Z1094=2,"PRUDENT",IF(Z1094=3,"MODERAT","RIDICAT")))))))</x:f>
      </x:c>
      <x:c r="AB1094" s="10" t="str">
        <x:f>IF(N1094="","",MIN(N1094,1-S1094))</x:f>
      </x:c>
      <x:c r="AC1094" s="2" t="str">
        <x:f>IF(AD1094&lt;&gt;1,"",COUNTIFS($Z$1084:$Z$1097,"&lt;"&amp;Z1094,$AD$1084:$AD$1097,1)+COUNTIFS($Z$1084:$Z$1097,Z1094,$AB$1084:$AB$1097,"&gt;"&amp;AB1094,$AD$1084:$AD$1097,1)+COUNTIFS($Z$1084:$Z$1097,Z1094,$AB$1084:$AB$1097,AB1094,$V$1084:$V$1097,"&gt;"&amp;V1094,$AD$1084:$AD$1097,1)+COUNTIFS($Z$1084:Z1094,Z1094,$AB$1084:AB1094,AB1094,$V$1084:V1094,V1094,$AD$1084:AD1094,1))</x:f>
      </x:c>
      <x:c r="AD1094" s="2" t="n">
        <x:f>IF(OR(AA1094="DEFENSIV",AA1094="PRUDENT",AA1094="MODERAT",AA1094="RIDICAT"),1,0)</x:f>
        <x:v>0</x:v>
      </x:c>
      <x:c r="AE1094" s="2" t="str">
        <x:f>IF(AD1094&lt;&gt;1,"NO",IF(W1094="PASS","YES",IF(W1094="OOS PENDING","CONDITIONAL","NO")))</x:f>
        <x:v>NO</x:v>
      </x:c>
      <x:c r="AF1094" s="2" t="n">
        <x:f>IF(AND(AD1094=1,AC1094=1,E1094="LIVE"),1,0)</x:f>
        <x:v>0</x:v>
      </x:c>
      <x:c r="AG1094" s="2" t="str">
        <x:f>IF(AF1094&lt;&gt;1,"",'Dashboard'!P103)</x:f>
      </x:c>
      <x:c r="AH1094" s="2" t="str">
        <x:f>IF(B1094="","",IF(J1094&lt;&gt;"PASS",'Motor_Meciuri'!J83,IF('Calibrare_Linii'!U16&lt;&gt;"VALID","Parametri linie invalizi",IF(L1094&gt;'Config_v6'!$B$13,"Dispersie peste limita",IF(W1094="WATCH","Failure peste limita",IF(AB1094&lt;'Config_v6'!$B$16,"P finala sub prag",IF(V1094&lt;'Config_v6'!$B$18,"Confidence sub prag",IF(E1094="REPLAY","Exemplu retrospectiv; exclus din Top LIVE",IF(Y1094="PASS","DEFENSIV validat",IF(W1094="OOS PENDING","Eligibil; calibrare linie in monitorizare","Eligibil"))))))))))</x:f>
      </x:c>
      <x:c r="AI1094" s="2" t="str">
        <x:f>IF(B1094="","",'Calibrare_Linii'!V16)</x:f>
      </x:c>
      <x:c r="AJ1094" s="2" t="str">
        <x:f>IF(B1094="","",IF(AND('Calibrare_Linii'!T16="VALIDATED",AND('Calibrare_Linii'!H16=C1094,ISNUMBER('Calibrare_Linii'!J16),'Calibrare_Linii'!J16&lt;='Input_Meci'!G83)),"DEFENSIVE VALIDATED",IF(AND('Calibrare_Linii'!S16="VALIDATED",AND('Calibrare_Linii'!H16=C1094,ISNUMBER('Calibrare_Linii'!J16),'Calibrare_Linii'!J16&lt;='Input_Meci'!G83)),"TAIL VALIDATED","OOS PENDING")))</x:f>
      </x:c>
      <x:c r="AK1094" s="2" t="n">
        <x:f>IF(J1094&lt;&gt;"PASS",0,'Motor_Meciuri'!BR83)</x:f>
        <x:v>0</x:v>
      </x:c>
      <x:c r="AL1094" s="2" t="n">
        <x:f>IF(J1094&lt;&gt;"PASS",0,'Motor_Meciuri'!BS83)</x:f>
        <x:v>0</x:v>
      </x:c>
      <x:c r="AM1094" s="2" t="n">
        <x:f>IF(J1094&lt;&gt;"PASS",0,'Motor_Meciuri'!BT83)</x:f>
        <x:v>0</x:v>
      </x:c>
      <x:c r="AN1094" s="2" t="str">
        <x:f>IF(M1094="","",MAX(0,'Motor_Meciuri'!BF83-IF(L1094&gt;'Config_v6'!$B$12,'Config_v6'!$B$37,IF(L1094&gt;'Config_v6'!$B$11,'Config_v6'!$B$36,0))))</x:f>
      </x:c>
    </x:row>
    <x:row r="1095" ht="21" customHeight="1">
      <x:c r="A1095" s="2" t="n">
        <x:v>78</x:v>
      </x:c>
      <x:c r="B1095" s="2" t="str">
        <x:f>IF('Motor_Meciuri'!A83="","",'Motor_Meciuri'!A83)</x:f>
      </x:c>
      <x:c r="C1095" s="2" t="str">
        <x:f>IF(B1095="","",'Motor_Meciuri'!B83)</x:f>
      </x:c>
      <x:c r="D1095" s="2" t="str">
        <x:f>IF(B1095="","",'Motor_Meciuri'!D83)</x:f>
      </x:c>
      <x:c r="E1095" s="2" t="str">
        <x:f>IF(B1095="","",'Motor_Meciuri'!E83)</x:f>
      </x:c>
      <x:c r="F1095" s="2" t="str">
        <x:v>U15,5</x:v>
      </x:c>
      <x:c r="G1095" s="2" t="str">
        <x:v>UNDER</x:v>
      </x:c>
      <x:c r="H1095" s="2" t="n">
        <x:v>15</x:v>
      </x:c>
      <x:c r="I1095" s="2" t="str">
        <x:f>IF(B1095="","",'Motor_Meciuri'!H83)</x:f>
      </x:c>
      <x:c r="J1095" s="2" t="str">
        <x:f>IF(B1095="","",'Motor_Meciuri'!I83)</x:f>
      </x:c>
      <x:c r="K1095" s="11" t="str">
        <x:f>IF(J1095&lt;&gt;"PASS","",'Motor_Meciuri'!BD83)</x:f>
      </x:c>
      <x:c r="L1095" s="11" t="str">
        <x:f>IF(J1095&lt;&gt;"PASS","",'Motor_Meciuri'!AU83)</x:f>
      </x:c>
      <x:c r="M1095" s="10" t="str">
        <x:f>IF(NOT(AND(J1095="PASS",'Calibrare_Linii'!U17="VALID")),"",'Distributie'!AM83)</x:f>
      </x:c>
      <x:c r="N1095" s="10" t="str">
        <x:f>IF(M1095="","",MAX(0.01,MIN(0.99,0.5+(M1095-0.5)*'Motor_Meciuri'!BG83*'Calibrare_Linii'!D17)))</x:f>
      </x:c>
      <x:c r="O1095" s="10" t="str">
        <x:f>IF(M1095="","",1-M1095)</x:f>
      </x:c>
      <x:c r="P1095" s="10" t="str">
        <x:f>IF(OR(NOT(AND(J1095="PASS",'Calibrare_Linii'!U17="VALID")),AK1095=0),""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*('Istoric_Nativ'!$Q$6:$Q$405&gt;H1095))/AK1095)</x:f>
      </x:c>
      <x:c r="Q1095" s="10" t="str">
        <x:f>IF(OR(NOT(AND(J1095="PASS",'Calibrare_Linii'!U17="VALID")),AL1095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M83)+((('Istoric_Nativ'!$E$6:$E$405='Input_Meci'!E83)+('Istoric_Nativ'!$F$6:$F$405='Input_Meci'!E83))&gt;0)*('Istoric_Nativ'!$D$6:$D$405&gt;='Motor_Meciuri'!BN83))&gt;0)*('Istoric_Nativ'!$Q$6:$Q$405&gt;H1095))/AL1095)</x:f>
      </x:c>
      <x:c r="R1095" s="10" t="str">
        <x:f>IF(OR(NOT(AND(J1095="PASS",'Calibrare_Linii'!U17="VALID")),AM1095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O83)+((('Istoric_Nativ'!$E$6:$E$405='Input_Meci'!E83)+('Istoric_Nativ'!$F$6:$F$405='Input_Meci'!E83))&gt;0)*('Istoric_Nativ'!$D$6:$D$405&gt;='Motor_Meciuri'!BP83))&gt;0)*('Istoric_Nativ'!$Q$6:$Q$405&gt;H1095))/AM1095)</x:f>
      </x:c>
      <x:c r="S1095" s="10" t="str">
        <x:f>IF(M1095="","",MAX(O1095,P1095,Q1095,R1095))</x:f>
      </x:c>
      <x:c r="T1095" s="11" t="str">
        <x:f>IF(M1095="","",MIN(100,S1095*100*'Config_v6'!$B$44+MIN(100,L1095/'Config_v6'!$B$13*100)*'Config_v6'!$B$45+(100-'Motor_Meciuri'!BF83)*'Config_v6'!$B$46+'Motor_Meciuri'!BH83*100*'Config_v6'!$B$47))</x:f>
      </x:c>
      <x:c r="U1095" s="2" t="str">
        <x:f>IF(T1095="","",IF(T1095&lt;=20,1,IF(T1095&lt;=40,2,IF(T1095&lt;=60,3,IF(T1095&lt;=80,4,5)))))</x:f>
      </x:c>
      <x:c r="V1095" s="2" t="str">
        <x:f>IF(M1095="","",MAX(0,'Motor_Meciuri'!BF83-IF(W1095="OOS PENDING",'Config_v6'!$B$35,0)-IF(L1095&gt;'Config_v6'!$B$12,'Config_v6'!$B$37,IF(L1095&gt;'Config_v6'!$B$11,'Config_v6'!$B$36,0))))</x:f>
      </x:c>
      <x:c r="W1095" s="2" t="str">
        <x:f>IF(B1095="","",IF(I1095&lt;&gt;"READY","NOT RELEASED",IF(NOT(AND(J1095="PASS",'Calibrare_Linii'!U17="VALID")),"INVALID",IF(NOT(AND('Calibrare_Linii'!S17="VALIDATED",AND('Calibrare_Linii'!H17=C1095,ISNUMBER('Calibrare_Linii'!J17),'Calibrare_Linii'!J17&lt;='Input_Meci'!G83))),"OOS PENDING",IF(S1095&lt;='Calibrare_Linii'!E17,"PASS",IF(S1095&lt;='Calibrare_Linii'!F17,"PENALTY","WATCH"))))))</x:f>
      </x:c>
      <x:c r="X1095" s="2" t="str">
        <x:f>IF(M1095="","",IF(AND(AND(J1095="PASS",'Calibrare_Linii'!U17="VALID"),'Motor_Meciuri'!K83=12,'Motor_Meciuri'!L83=12,'Motor_Meciuri'!M83="NO",'Motor_Meciuri'!BL83='Motor_Meciuri'!C83,AB1095&gt;='Config_v6'!$B$50,AN1095&gt;='Config_v6'!$B$51,T1095&lt;='Config_v6'!$B$52,L1095&lt;='Config_v6'!$B$53,ISNUMBER('Calibrare_Linii'!E17),S1095&lt;='Calibrare_Linii'!E17,SUM(AK1095:AM1095)&gt;0),"CANDIDATE","NO"))</x:f>
      </x:c>
      <x:c r="Y1095" s="2" t="str">
        <x:f>IF(B1095="","",IF(I1095&lt;&gt;"READY","NOT RELEASED",IF(AND(X1095="CANDIDATE",V1095&gt;='Config_v6'!$B$51,W1095="PASS",'Calibrare_Linii'!T17="VALIDATED",AND('Calibrare_Linii'!H17=C1095,ISNUMBER('Calibrare_Linii'!J17),'Calibrare_Linii'!J17&lt;='Input_Meci'!G83)),"PASS",IF(X1095="CANDIDATE","OOS PENDING","FAIL"))))</x:f>
      </x:c>
      <x:c r="Z1095" s="2" t="str">
        <x:f>IF(B1095="","",IF(I1095&lt;&gt;"READY","",IF(OR(NOT(AND(J1095="PASS",'Calibrare_Linii'!U17="VALID")),L1095&gt;'Config_v6'!$B$13,W1095="WATCH"),5,IF(Y1095="PASS",1,MIN(5,MAX('Config_v6'!$B$42,U1095)+IF(W1095="PENALTY",1,0))))))</x:f>
      </x:c>
      <x:c r="AA1095" s="2" t="str">
        <x:f>IF(B1095="","",IF(I1095&lt;&gt;"READY","NOT RELEASED",IF(Z1095=5,"NO BET",IF(OR(AB1095&lt;'Config_v6'!$B$16,V1095&lt;'Config_v6'!$B$18),"WATCH",IF(Z1095=1,"DEFENSIV",IF(Z1095=2,"PRUDENT",IF(Z1095=3,"MODERAT","RIDICAT")))))))</x:f>
      </x:c>
      <x:c r="AB1095" s="10" t="str">
        <x:f>IF(N1095="","",MIN(N1095,1-S1095))</x:f>
      </x:c>
      <x:c r="AC1095" s="2" t="str">
        <x:f>IF(AD1095&lt;&gt;1,"",COUNTIFS($Z$1084:$Z$1097,"&lt;"&amp;Z1095,$AD$1084:$AD$1097,1)+COUNTIFS($Z$1084:$Z$1097,Z1095,$AB$1084:$AB$1097,"&gt;"&amp;AB1095,$AD$1084:$AD$1097,1)+COUNTIFS($Z$1084:$Z$1097,Z1095,$AB$1084:$AB$1097,AB1095,$V$1084:$V$1097,"&gt;"&amp;V1095,$AD$1084:$AD$1097,1)+COUNTIFS($Z$1084:Z1095,Z1095,$AB$1084:AB1095,AB1095,$V$1084:V1095,V1095,$AD$1084:AD1095,1))</x:f>
      </x:c>
      <x:c r="AD1095" s="2" t="n">
        <x:f>IF(OR(AA1095="DEFENSIV",AA1095="PRUDENT",AA1095="MODERAT",AA1095="RIDICAT"),1,0)</x:f>
        <x:v>0</x:v>
      </x:c>
      <x:c r="AE1095" s="2" t="str">
        <x:f>IF(AD1095&lt;&gt;1,"NO",IF(W1095="PASS","YES",IF(W1095="OOS PENDING","CONDITIONAL","NO")))</x:f>
        <x:v>NO</x:v>
      </x:c>
      <x:c r="AF1095" s="2" t="n">
        <x:f>IF(AND(AD1095=1,AC1095=1,E1095="LIVE"),1,0)</x:f>
        <x:v>0</x:v>
      </x:c>
      <x:c r="AG1095" s="2" t="str">
        <x:f>IF(AF1095&lt;&gt;1,"",'Dashboard'!P103)</x:f>
      </x:c>
      <x:c r="AH1095" s="2" t="str">
        <x:f>IF(B1095="","",IF(J1095&lt;&gt;"PASS",'Motor_Meciuri'!J83,IF('Calibrare_Linii'!U17&lt;&gt;"VALID","Parametri linie invalizi",IF(L1095&gt;'Config_v6'!$B$13,"Dispersie peste limita",IF(W1095="WATCH","Failure peste limita",IF(AB1095&lt;'Config_v6'!$B$16,"P finala sub prag",IF(V1095&lt;'Config_v6'!$B$18,"Confidence sub prag",IF(E1095="REPLAY","Exemplu retrospectiv; exclus din Top LIVE",IF(Y1095="PASS","DEFENSIV validat",IF(W1095="OOS PENDING","Eligibil; calibrare linie in monitorizare","Eligibil"))))))))))</x:f>
      </x:c>
      <x:c r="AI1095" s="2" t="str">
        <x:f>IF(B1095="","",'Calibrare_Linii'!V17)</x:f>
      </x:c>
      <x:c r="AJ1095" s="2" t="str">
        <x:f>IF(B1095="","",IF(AND('Calibrare_Linii'!T17="VALIDATED",AND('Calibrare_Linii'!H17=C1095,ISNUMBER('Calibrare_Linii'!J17),'Calibrare_Linii'!J17&lt;='Input_Meci'!G83)),"DEFENSIVE VALIDATED",IF(AND('Calibrare_Linii'!S17="VALIDATED",AND('Calibrare_Linii'!H17=C1095,ISNUMBER('Calibrare_Linii'!J17),'Calibrare_Linii'!J17&lt;='Input_Meci'!G83)),"TAIL VALIDATED","OOS PENDING")))</x:f>
      </x:c>
      <x:c r="AK1095" s="2" t="n">
        <x:f>IF(J1095&lt;&gt;"PASS",0,'Motor_Meciuri'!BR83)</x:f>
        <x:v>0</x:v>
      </x:c>
      <x:c r="AL1095" s="2" t="n">
        <x:f>IF(J1095&lt;&gt;"PASS",0,'Motor_Meciuri'!BS83)</x:f>
        <x:v>0</x:v>
      </x:c>
      <x:c r="AM1095" s="2" t="n">
        <x:f>IF(J1095&lt;&gt;"PASS",0,'Motor_Meciuri'!BT83)</x:f>
        <x:v>0</x:v>
      </x:c>
      <x:c r="AN1095" s="2" t="str">
        <x:f>IF(M1095="","",MAX(0,'Motor_Meciuri'!BF83-IF(L1095&gt;'Config_v6'!$B$12,'Config_v6'!$B$37,IF(L1095&gt;'Config_v6'!$B$11,'Config_v6'!$B$36,0))))</x:f>
      </x:c>
    </x:row>
    <x:row r="1096" ht="21" customHeight="1">
      <x:c r="A1096" s="2" t="n">
        <x:v>78</x:v>
      </x:c>
      <x:c r="B1096" s="2" t="str">
        <x:f>IF('Motor_Meciuri'!A83="","",'Motor_Meciuri'!A83)</x:f>
      </x:c>
      <x:c r="C1096" s="2" t="str">
        <x:f>IF(B1096="","",'Motor_Meciuri'!B83)</x:f>
      </x:c>
      <x:c r="D1096" s="2" t="str">
        <x:f>IF(B1096="","",'Motor_Meciuri'!D83)</x:f>
      </x:c>
      <x:c r="E1096" s="2" t="str">
        <x:f>IF(B1096="","",'Motor_Meciuri'!E83)</x:f>
      </x:c>
      <x:c r="F1096" s="2" t="str">
        <x:v>U16,5</x:v>
      </x:c>
      <x:c r="G1096" s="2" t="str">
        <x:v>UNDER</x:v>
      </x:c>
      <x:c r="H1096" s="2" t="n">
        <x:v>16</x:v>
      </x:c>
      <x:c r="I1096" s="2" t="str">
        <x:f>IF(B1096="","",'Motor_Meciuri'!H83)</x:f>
      </x:c>
      <x:c r="J1096" s="2" t="str">
        <x:f>IF(B1096="","",'Motor_Meciuri'!I83)</x:f>
      </x:c>
      <x:c r="K1096" s="11" t="str">
        <x:f>IF(J1096&lt;&gt;"PASS","",'Motor_Meciuri'!BD83)</x:f>
      </x:c>
      <x:c r="L1096" s="11" t="str">
        <x:f>IF(J1096&lt;&gt;"PASS","",'Motor_Meciuri'!AU83)</x:f>
      </x:c>
      <x:c r="M1096" s="10" t="str">
        <x:f>IF(NOT(AND(J1096="PASS",'Calibrare_Linii'!U18="VALID")),"",'Distributie'!AN83)</x:f>
      </x:c>
      <x:c r="N1096" s="10" t="str">
        <x:f>IF(M1096="","",MAX(0.01,MIN(0.99,0.5+(M1096-0.5)*'Motor_Meciuri'!BG83*'Calibrare_Linii'!D18)))</x:f>
      </x:c>
      <x:c r="O1096" s="10" t="str">
        <x:f>IF(M1096="","",1-M1096)</x:f>
      </x:c>
      <x:c r="P1096" s="10" t="str">
        <x:f>IF(OR(NOT(AND(J1096="PASS",'Calibrare_Linii'!U18="VALID")),AK1096=0),""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*('Istoric_Nativ'!$Q$6:$Q$405&gt;H1096))/AK1096)</x:f>
      </x:c>
      <x:c r="Q1096" s="10" t="str">
        <x:f>IF(OR(NOT(AND(J1096="PASS",'Calibrare_Linii'!U18="VALID")),AL1096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M83)+((('Istoric_Nativ'!$E$6:$E$405='Input_Meci'!E83)+('Istoric_Nativ'!$F$6:$F$405='Input_Meci'!E83))&gt;0)*('Istoric_Nativ'!$D$6:$D$405&gt;='Motor_Meciuri'!BN83))&gt;0)*('Istoric_Nativ'!$Q$6:$Q$405&gt;H1096))/AL1096)</x:f>
      </x:c>
      <x:c r="R1096" s="10" t="str">
        <x:f>IF(OR(NOT(AND(J1096="PASS",'Calibrare_Linii'!U18="VALID")),AM1096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O83)+((('Istoric_Nativ'!$E$6:$E$405='Input_Meci'!E83)+('Istoric_Nativ'!$F$6:$F$405='Input_Meci'!E83))&gt;0)*('Istoric_Nativ'!$D$6:$D$405&gt;='Motor_Meciuri'!BP83))&gt;0)*('Istoric_Nativ'!$Q$6:$Q$405&gt;H1096))/AM1096)</x:f>
      </x:c>
      <x:c r="S1096" s="10" t="str">
        <x:f>IF(M1096="","",MAX(O1096,P1096,Q1096,R1096))</x:f>
      </x:c>
      <x:c r="T1096" s="11" t="str">
        <x:f>IF(M1096="","",MIN(100,S1096*100*'Config_v6'!$B$44+MIN(100,L1096/'Config_v6'!$B$13*100)*'Config_v6'!$B$45+(100-'Motor_Meciuri'!BF83)*'Config_v6'!$B$46+'Motor_Meciuri'!BH83*100*'Config_v6'!$B$47))</x:f>
      </x:c>
      <x:c r="U1096" s="2" t="str">
        <x:f>IF(T1096="","",IF(T1096&lt;=20,1,IF(T1096&lt;=40,2,IF(T1096&lt;=60,3,IF(T1096&lt;=80,4,5)))))</x:f>
      </x:c>
      <x:c r="V1096" s="2" t="str">
        <x:f>IF(M1096="","",MAX(0,'Motor_Meciuri'!BF83-IF(W1096="OOS PENDING",'Config_v6'!$B$35,0)-IF(L1096&gt;'Config_v6'!$B$12,'Config_v6'!$B$37,IF(L1096&gt;'Config_v6'!$B$11,'Config_v6'!$B$36,0))))</x:f>
      </x:c>
      <x:c r="W1096" s="2" t="str">
        <x:f>IF(B1096="","",IF(I1096&lt;&gt;"READY","NOT RELEASED",IF(NOT(AND(J1096="PASS",'Calibrare_Linii'!U18="VALID")),"INVALID",IF(NOT(AND('Calibrare_Linii'!S18="VALIDATED",AND('Calibrare_Linii'!H18=C1096,ISNUMBER('Calibrare_Linii'!J18),'Calibrare_Linii'!J18&lt;='Input_Meci'!G83))),"OOS PENDING",IF(S1096&lt;='Calibrare_Linii'!E18,"PASS",IF(S1096&lt;='Calibrare_Linii'!F18,"PENALTY","WATCH"))))))</x:f>
      </x:c>
      <x:c r="X1096" s="2" t="str">
        <x:f>IF(M1096="","",IF(AND(AND(J1096="PASS",'Calibrare_Linii'!U18="VALID"),'Motor_Meciuri'!K83=12,'Motor_Meciuri'!L83=12,'Motor_Meciuri'!M83="NO",'Motor_Meciuri'!BL83='Motor_Meciuri'!C83,AB1096&gt;='Config_v6'!$B$50,AN1096&gt;='Config_v6'!$B$51,T1096&lt;='Config_v6'!$B$52,L1096&lt;='Config_v6'!$B$53,ISNUMBER('Calibrare_Linii'!E18),S1096&lt;='Calibrare_Linii'!E18,SUM(AK1096:AM1096)&gt;0),"CANDIDATE","NO"))</x:f>
      </x:c>
      <x:c r="Y1096" s="2" t="str">
        <x:f>IF(B1096="","",IF(I1096&lt;&gt;"READY","NOT RELEASED",IF(AND(X1096="CANDIDATE",V1096&gt;='Config_v6'!$B$51,W1096="PASS",'Calibrare_Linii'!T18="VALIDATED",AND('Calibrare_Linii'!H18=C1096,ISNUMBER('Calibrare_Linii'!J18),'Calibrare_Linii'!J18&lt;='Input_Meci'!G83)),"PASS",IF(X1096="CANDIDATE","OOS PENDING","FAIL"))))</x:f>
      </x:c>
      <x:c r="Z1096" s="2" t="str">
        <x:f>IF(B1096="","",IF(I1096&lt;&gt;"READY","",IF(OR(NOT(AND(J1096="PASS",'Calibrare_Linii'!U18="VALID")),L1096&gt;'Config_v6'!$B$13,W1096="WATCH"),5,IF(Y1096="PASS",1,MIN(5,MAX('Config_v6'!$B$42,U1096)+IF(W1096="PENALTY",1,0))))))</x:f>
      </x:c>
      <x:c r="AA1096" s="2" t="str">
        <x:f>IF(B1096="","",IF(I1096&lt;&gt;"READY","NOT RELEASED",IF(Z1096=5,"NO BET",IF(OR(AB1096&lt;'Config_v6'!$B$16,V1096&lt;'Config_v6'!$B$18),"WATCH",IF(Z1096=1,"DEFENSIV",IF(Z1096=2,"PRUDENT",IF(Z1096=3,"MODERAT","RIDICAT")))))))</x:f>
      </x:c>
      <x:c r="AB1096" s="10" t="str">
        <x:f>IF(N1096="","",MIN(N1096,1-S1096))</x:f>
      </x:c>
      <x:c r="AC1096" s="2" t="str">
        <x:f>IF(AD1096&lt;&gt;1,"",COUNTIFS($Z$1084:$Z$1097,"&lt;"&amp;Z1096,$AD$1084:$AD$1097,1)+COUNTIFS($Z$1084:$Z$1097,Z1096,$AB$1084:$AB$1097,"&gt;"&amp;AB1096,$AD$1084:$AD$1097,1)+COUNTIFS($Z$1084:$Z$1097,Z1096,$AB$1084:$AB$1097,AB1096,$V$1084:$V$1097,"&gt;"&amp;V1096,$AD$1084:$AD$1097,1)+COUNTIFS($Z$1084:Z1096,Z1096,$AB$1084:AB1096,AB1096,$V$1084:V1096,V1096,$AD$1084:AD1096,1))</x:f>
      </x:c>
      <x:c r="AD1096" s="2" t="n">
        <x:f>IF(OR(AA1096="DEFENSIV",AA1096="PRUDENT",AA1096="MODERAT",AA1096="RIDICAT"),1,0)</x:f>
        <x:v>0</x:v>
      </x:c>
      <x:c r="AE1096" s="2" t="str">
        <x:f>IF(AD1096&lt;&gt;1,"NO",IF(W1096="PASS","YES",IF(W1096="OOS PENDING","CONDITIONAL","NO")))</x:f>
        <x:v>NO</x:v>
      </x:c>
      <x:c r="AF1096" s="2" t="n">
        <x:f>IF(AND(AD1096=1,AC1096=1,E1096="LIVE"),1,0)</x:f>
        <x:v>0</x:v>
      </x:c>
      <x:c r="AG1096" s="2" t="str">
        <x:f>IF(AF1096&lt;&gt;1,"",'Dashboard'!P103)</x:f>
      </x:c>
      <x:c r="AH1096" s="2" t="str">
        <x:f>IF(B1096="","",IF(J1096&lt;&gt;"PASS",'Motor_Meciuri'!J83,IF('Calibrare_Linii'!U18&lt;&gt;"VALID","Parametri linie invalizi",IF(L1096&gt;'Config_v6'!$B$13,"Dispersie peste limita",IF(W1096="WATCH","Failure peste limita",IF(AB1096&lt;'Config_v6'!$B$16,"P finala sub prag",IF(V1096&lt;'Config_v6'!$B$18,"Confidence sub prag",IF(E1096="REPLAY","Exemplu retrospectiv; exclus din Top LIVE",IF(Y1096="PASS","DEFENSIV validat",IF(W1096="OOS PENDING","Eligibil; calibrare linie in monitorizare","Eligibil"))))))))))</x:f>
      </x:c>
      <x:c r="AI1096" s="2" t="str">
        <x:f>IF(B1096="","",'Calibrare_Linii'!V18)</x:f>
      </x:c>
      <x:c r="AJ1096" s="2" t="str">
        <x:f>IF(B1096="","",IF(AND('Calibrare_Linii'!T18="VALIDATED",AND('Calibrare_Linii'!H18=C1096,ISNUMBER('Calibrare_Linii'!J18),'Calibrare_Linii'!J18&lt;='Input_Meci'!G83)),"DEFENSIVE VALIDATED",IF(AND('Calibrare_Linii'!S18="VALIDATED",AND('Calibrare_Linii'!H18=C1096,ISNUMBER('Calibrare_Linii'!J18),'Calibrare_Linii'!J18&lt;='Input_Meci'!G83)),"TAIL VALIDATED","OOS PENDING")))</x:f>
      </x:c>
      <x:c r="AK1096" s="2" t="n">
        <x:f>IF(J1096&lt;&gt;"PASS",0,'Motor_Meciuri'!BR83)</x:f>
        <x:v>0</x:v>
      </x:c>
      <x:c r="AL1096" s="2" t="n">
        <x:f>IF(J1096&lt;&gt;"PASS",0,'Motor_Meciuri'!BS83)</x:f>
        <x:v>0</x:v>
      </x:c>
      <x:c r="AM1096" s="2" t="n">
        <x:f>IF(J1096&lt;&gt;"PASS",0,'Motor_Meciuri'!BT83)</x:f>
        <x:v>0</x:v>
      </x:c>
      <x:c r="AN1096" s="2" t="str">
        <x:f>IF(M1096="","",MAX(0,'Motor_Meciuri'!BF83-IF(L1096&gt;'Config_v6'!$B$12,'Config_v6'!$B$37,IF(L1096&gt;'Config_v6'!$B$11,'Config_v6'!$B$36,0))))</x:f>
      </x:c>
    </x:row>
    <x:row r="1097" ht="21" customHeight="1">
      <x:c r="A1097" s="2" t="n">
        <x:v>78</x:v>
      </x:c>
      <x:c r="B1097" s="2" t="str">
        <x:f>IF('Motor_Meciuri'!A83="","",'Motor_Meciuri'!A83)</x:f>
      </x:c>
      <x:c r="C1097" s="2" t="str">
        <x:f>IF(B1097="","",'Motor_Meciuri'!B83)</x:f>
      </x:c>
      <x:c r="D1097" s="2" t="str">
        <x:f>IF(B1097="","",'Motor_Meciuri'!D83)</x:f>
      </x:c>
      <x:c r="E1097" s="2" t="str">
        <x:f>IF(B1097="","",'Motor_Meciuri'!E83)</x:f>
      </x:c>
      <x:c r="F1097" s="2" t="str">
        <x:v>U17,5</x:v>
      </x:c>
      <x:c r="G1097" s="2" t="str">
        <x:v>UNDER</x:v>
      </x:c>
      <x:c r="H1097" s="2" t="n">
        <x:v>17</x:v>
      </x:c>
      <x:c r="I1097" s="2" t="str">
        <x:f>IF(B1097="","",'Motor_Meciuri'!H83)</x:f>
      </x:c>
      <x:c r="J1097" s="2" t="str">
        <x:f>IF(B1097="","",'Motor_Meciuri'!I83)</x:f>
      </x:c>
      <x:c r="K1097" s="11" t="str">
        <x:f>IF(J1097&lt;&gt;"PASS","",'Motor_Meciuri'!BD83)</x:f>
      </x:c>
      <x:c r="L1097" s="11" t="str">
        <x:f>IF(J1097&lt;&gt;"PASS","",'Motor_Meciuri'!AU83)</x:f>
      </x:c>
      <x:c r="M1097" s="10" t="str">
        <x:f>IF(NOT(AND(J1097="PASS",'Calibrare_Linii'!U19="VALID")),"",'Distributie'!AO83)</x:f>
      </x:c>
      <x:c r="N1097" s="10" t="str">
        <x:f>IF(M1097="","",MAX(0.01,MIN(0.99,0.5+(M1097-0.5)*'Motor_Meciuri'!BG83*'Calibrare_Linii'!D19)))</x:f>
      </x:c>
      <x:c r="O1097" s="10" t="str">
        <x:f>IF(M1097="","",1-M1097)</x:f>
      </x:c>
      <x:c r="P1097" s="10" t="str">
        <x:f>IF(OR(NOT(AND(J1097="PASS",'Calibrare_Linii'!U19="VALID")),AK1097=0),""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*('Istoric_Nativ'!$Q$6:$Q$405&gt;H1097))/AK1097)</x:f>
      </x:c>
      <x:c r="Q1097" s="10" t="str">
        <x:f>IF(OR(NOT(AND(J1097="PASS",'Calibrare_Linii'!U19="VALID")),AL1097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M83)+((('Istoric_Nativ'!$E$6:$E$405='Input_Meci'!E83)+('Istoric_Nativ'!$F$6:$F$405='Input_Meci'!E83))&gt;0)*('Istoric_Nativ'!$D$6:$D$405&gt;='Motor_Meciuri'!BN83))&gt;0)*('Istoric_Nativ'!$Q$6:$Q$405&gt;H1097))/AL1097)</x:f>
      </x:c>
      <x:c r="R1097" s="10" t="str">
        <x:f>IF(OR(NOT(AND(J1097="PASS",'Calibrare_Linii'!U19="VALID")),AM1097=0),""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'Motor_Meciuri'!BO83)+((('Istoric_Nativ'!$E$6:$E$405='Input_Meci'!E83)+('Istoric_Nativ'!$F$6:$F$405='Input_Meci'!E83))&gt;0)*('Istoric_Nativ'!$D$6:$D$405&gt;='Motor_Meciuri'!BP83))&gt;0)*('Istoric_Nativ'!$Q$6:$Q$405&gt;H1097))/AM1097)</x:f>
      </x:c>
      <x:c r="S1097" s="10" t="str">
        <x:f>IF(M1097="","",MAX(O1097,P1097,Q1097,R1097))</x:f>
      </x:c>
      <x:c r="T1097" s="11" t="str">
        <x:f>IF(M1097="","",MIN(100,S1097*100*'Config_v6'!$B$44+MIN(100,L1097/'Config_v6'!$B$13*100)*'Config_v6'!$B$45+(100-'Motor_Meciuri'!BF83)*'Config_v6'!$B$46+'Motor_Meciuri'!BH83*100*'Config_v6'!$B$47))</x:f>
      </x:c>
      <x:c r="U1097" s="2" t="str">
        <x:f>IF(T1097="","",IF(T1097&lt;=20,1,IF(T1097&lt;=40,2,IF(T1097&lt;=60,3,IF(T1097&lt;=80,4,5)))))</x:f>
      </x:c>
      <x:c r="V1097" s="2" t="str">
        <x:f>IF(M1097="","",MAX(0,'Motor_Meciuri'!BF83-IF(W1097="OOS PENDING",'Config_v6'!$B$35,0)-IF(L1097&gt;'Config_v6'!$B$12,'Config_v6'!$B$37,IF(L1097&gt;'Config_v6'!$B$11,'Config_v6'!$B$36,0))))</x:f>
      </x:c>
      <x:c r="W1097" s="2" t="str">
        <x:f>IF(B1097="","",IF(I1097&lt;&gt;"READY","NOT RELEASED",IF(NOT(AND(J1097="PASS",'Calibrare_Linii'!U19="VALID")),"INVALID",IF(NOT(AND('Calibrare_Linii'!S19="VALIDATED",AND('Calibrare_Linii'!H19=C1097,ISNUMBER('Calibrare_Linii'!J19),'Calibrare_Linii'!J19&lt;='Input_Meci'!G83))),"OOS PENDING",IF(S1097&lt;='Calibrare_Linii'!E19,"PASS",IF(S1097&lt;='Calibrare_Linii'!F19,"PENALTY","WATCH"))))))</x:f>
      </x:c>
      <x:c r="X1097" s="2" t="str">
        <x:f>IF(M1097="","",IF(AND(AND(J1097="PASS",'Calibrare_Linii'!U19="VALID"),'Motor_Meciuri'!K83=12,'Motor_Meciuri'!L83=12,'Motor_Meciuri'!M83="NO",'Motor_Meciuri'!BL83='Motor_Meciuri'!C83,AB1097&gt;='Config_v6'!$B$50,AN1097&gt;='Config_v6'!$B$51,T1097&lt;='Config_v6'!$B$52,L1097&lt;='Config_v6'!$B$53,ISNUMBER('Calibrare_Linii'!E19),S1097&lt;='Calibrare_Linii'!E19,SUM(AK1097:AM1097)&gt;0),"CANDIDATE","NO"))</x:f>
      </x:c>
      <x:c r="Y1097" s="2" t="str">
        <x:f>IF(B1097="","",IF(I1097&lt;&gt;"READY","NOT RELEASED",IF(AND(X1097="CANDIDATE",V1097&gt;='Config_v6'!$B$51,W1097="PASS",'Calibrare_Linii'!T19="VALIDATED",AND('Calibrare_Linii'!H19=C1097,ISNUMBER('Calibrare_Linii'!J19),'Calibrare_Linii'!J19&lt;='Input_Meci'!G83)),"PASS",IF(X1097="CANDIDATE","OOS PENDING","FAIL"))))</x:f>
      </x:c>
      <x:c r="Z1097" s="2" t="str">
        <x:f>IF(B1097="","",IF(I1097&lt;&gt;"READY","",IF(OR(NOT(AND(J1097="PASS",'Calibrare_Linii'!U19="VALID")),L1097&gt;'Config_v6'!$B$13,W1097="WATCH"),5,IF(Y1097="PASS",1,MIN(5,MAX('Config_v6'!$B$42,U1097)+IF(W1097="PENALTY",1,0))))))</x:f>
      </x:c>
      <x:c r="AA1097" s="2" t="str">
        <x:f>IF(B1097="","",IF(I1097&lt;&gt;"READY","NOT RELEASED",IF(Z1097=5,"NO BET",IF(OR(AB1097&lt;'Config_v6'!$B$16,V1097&lt;'Config_v6'!$B$18),"WATCH",IF(Z1097=1,"DEFENSIV",IF(Z1097=2,"PRUDENT",IF(Z1097=3,"MODERAT","RIDICAT")))))))</x:f>
      </x:c>
      <x:c r="AB1097" s="10" t="str">
        <x:f>IF(N1097="","",MIN(N1097,1-S1097))</x:f>
      </x:c>
      <x:c r="AC1097" s="2" t="str">
        <x:f>IF(AD1097&lt;&gt;1,"",COUNTIFS($Z$1084:$Z$1097,"&lt;"&amp;Z1097,$AD$1084:$AD$1097,1)+COUNTIFS($Z$1084:$Z$1097,Z1097,$AB$1084:$AB$1097,"&gt;"&amp;AB1097,$AD$1084:$AD$1097,1)+COUNTIFS($Z$1084:$Z$1097,Z1097,$AB$1084:$AB$1097,AB1097,$V$1084:$V$1097,"&gt;"&amp;V1097,$AD$1084:$AD$1097,1)+COUNTIFS($Z$1084:Z1097,Z1097,$AB$1084:AB1097,AB1097,$V$1084:V1097,V1097,$AD$1084:AD1097,1))</x:f>
      </x:c>
      <x:c r="AD1097" s="2" t="n">
        <x:f>IF(OR(AA1097="DEFENSIV",AA1097="PRUDENT",AA1097="MODERAT",AA1097="RIDICAT"),1,0)</x:f>
        <x:v>0</x:v>
      </x:c>
      <x:c r="AE1097" s="2" t="str">
        <x:f>IF(AD1097&lt;&gt;1,"NO",IF(W1097="PASS","YES",IF(W1097="OOS PENDING","CONDITIONAL","NO")))</x:f>
        <x:v>NO</x:v>
      </x:c>
      <x:c r="AF1097" s="2" t="n">
        <x:f>IF(AND(AD1097=1,AC1097=1,E1097="LIVE"),1,0)</x:f>
        <x:v>0</x:v>
      </x:c>
      <x:c r="AG1097" s="2" t="str">
        <x:f>IF(AF1097&lt;&gt;1,"",'Dashboard'!P103)</x:f>
      </x:c>
      <x:c r="AH1097" s="2" t="str">
        <x:f>IF(B1097="","",IF(J1097&lt;&gt;"PASS",'Motor_Meciuri'!J83,IF('Calibrare_Linii'!U19&lt;&gt;"VALID","Parametri linie invalizi",IF(L1097&gt;'Config_v6'!$B$13,"Dispersie peste limita",IF(W1097="WATCH","Failure peste limita",IF(AB1097&lt;'Config_v6'!$B$16,"P finala sub prag",IF(V1097&lt;'Config_v6'!$B$18,"Confidence sub prag",IF(E1097="REPLAY","Exemplu retrospectiv; exclus din Top LIVE",IF(Y1097="PASS","DEFENSIV validat",IF(W1097="OOS PENDING","Eligibil; calibrare linie in monitorizare","Eligibil"))))))))))</x:f>
      </x:c>
      <x:c r="AI1097" s="2" t="str">
        <x:f>IF(B1097="","",'Calibrare_Linii'!V19)</x:f>
      </x:c>
      <x:c r="AJ1097" s="2" t="str">
        <x:f>IF(B1097="","",IF(AND('Calibrare_Linii'!T19="VALIDATED",AND('Calibrare_Linii'!H19=C1097,ISNUMBER('Calibrare_Linii'!J19),'Calibrare_Linii'!J19&lt;='Input_Meci'!G83)),"DEFENSIVE VALIDATED",IF(AND('Calibrare_Linii'!S19="VALIDATED",AND('Calibrare_Linii'!H19=C1097,ISNUMBER('Calibrare_Linii'!J19),'Calibrare_Linii'!J19&lt;='Input_Meci'!G83)),"TAIL VALIDATED","OOS PENDING")))</x:f>
      </x:c>
      <x:c r="AK1097" s="2" t="n">
        <x:f>IF(J1097&lt;&gt;"PASS",0,'Motor_Meciuri'!BR83)</x:f>
        <x:v>0</x:v>
      </x:c>
      <x:c r="AL1097" s="2" t="n">
        <x:f>IF(J1097&lt;&gt;"PASS",0,'Motor_Meciuri'!BS83)</x:f>
        <x:v>0</x:v>
      </x:c>
      <x:c r="AM1097" s="2" t="n">
        <x:f>IF(J1097&lt;&gt;"PASS",0,'Motor_Meciuri'!BT83)</x:f>
        <x:v>0</x:v>
      </x:c>
      <x:c r="AN1097" s="2" t="str">
        <x:f>IF(M1097="","",MAX(0,'Motor_Meciuri'!BF83-IF(L1097&gt;'Config_v6'!$B$12,'Config_v6'!$B$37,IF(L1097&gt;'Config_v6'!$B$11,'Config_v6'!$B$36,0))))</x:f>
      </x:c>
    </x:row>
    <x:row r="1098" ht="21" customHeight="1">
      <x:c r="A1098" s="2" t="n">
        <x:v>79</x:v>
      </x:c>
      <x:c r="B1098" s="2" t="str">
        <x:f>IF('Motor_Meciuri'!A84="","",'Motor_Meciuri'!A84)</x:f>
      </x:c>
      <x:c r="C1098" s="2" t="str">
        <x:f>IF(B1098="","",'Motor_Meciuri'!B84)</x:f>
      </x:c>
      <x:c r="D1098" s="2" t="str">
        <x:f>IF(B1098="","",'Motor_Meciuri'!D84)</x:f>
      </x:c>
      <x:c r="E1098" s="2" t="str">
        <x:f>IF(B1098="","",'Motor_Meciuri'!E84)</x:f>
      </x:c>
      <x:c r="F1098" s="2" t="str">
        <x:v>O3,5</x:v>
      </x:c>
      <x:c r="G1098" s="2" t="str">
        <x:v>OVER</x:v>
      </x:c>
      <x:c r="H1098" s="2" t="n">
        <x:v>3</x:v>
      </x:c>
      <x:c r="I1098" s="2" t="str">
        <x:f>IF(B1098="","",'Motor_Meciuri'!H84)</x:f>
      </x:c>
      <x:c r="J1098" s="2" t="str">
        <x:f>IF(B1098="","",'Motor_Meciuri'!I84)</x:f>
      </x:c>
      <x:c r="K1098" s="11" t="str">
        <x:f>IF(J1098&lt;&gt;"PASS","",'Motor_Meciuri'!BD84)</x:f>
      </x:c>
      <x:c r="L1098" s="11" t="str">
        <x:f>IF(J1098&lt;&gt;"PASS","",'Motor_Meciuri'!AU84)</x:f>
      </x:c>
      <x:c r="M1098" s="10" t="str">
        <x:f>IF(NOT(AND(J1098="PASS",'Calibrare_Linii'!U6="VALID")),"",1-'Distributie'!AA84)</x:f>
      </x:c>
      <x:c r="N1098" s="10" t="str">
        <x:f>IF(M1098="","",MAX(0.01,MIN(0.99,0.5+(M1098-0.5)*'Motor_Meciuri'!BG84*'Calibrare_Linii'!D6)))</x:f>
      </x:c>
      <x:c r="O1098" s="10" t="str">
        <x:f>IF(M1098="","",1-M1098)</x:f>
      </x:c>
      <x:c r="P1098" s="10" t="str">
        <x:f>IF(OR(NOT(AND(J1098="PASS",'Calibrare_Linii'!U6="VALID")),AK1098=0),""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*('Istoric_Nativ'!$Q$6:$Q$405&lt;=H1098))/AK1098)</x:f>
      </x:c>
      <x:c r="Q1098" s="10" t="str">
        <x:f>IF(OR(NOT(AND(J1098="PASS",'Calibrare_Linii'!U6="VALID")),AL1098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M84)+((('Istoric_Nativ'!$E$6:$E$405='Input_Meci'!E84)+('Istoric_Nativ'!$F$6:$F$405='Input_Meci'!E84))&gt;0)*('Istoric_Nativ'!$D$6:$D$405&gt;='Motor_Meciuri'!BN84))&gt;0)*('Istoric_Nativ'!$Q$6:$Q$405&lt;=H1098))/AL1098)</x:f>
      </x:c>
      <x:c r="R1098" s="10" t="str">
        <x:f>IF(OR(NOT(AND(J1098="PASS",'Calibrare_Linii'!U6="VALID")),AM1098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O84)+((('Istoric_Nativ'!$E$6:$E$405='Input_Meci'!E84)+('Istoric_Nativ'!$F$6:$F$405='Input_Meci'!E84))&gt;0)*('Istoric_Nativ'!$D$6:$D$405&gt;='Motor_Meciuri'!BP84))&gt;0)*('Istoric_Nativ'!$Q$6:$Q$405&lt;=H1098))/AM1098)</x:f>
      </x:c>
      <x:c r="S1098" s="10" t="str">
        <x:f>IF(M1098="","",MAX(O1098,P1098,Q1098,R1098))</x:f>
      </x:c>
      <x:c r="T1098" s="11" t="str">
        <x:f>IF(M1098="","",MIN(100,S1098*100*'Config_v6'!$B$44+MIN(100,L1098/'Config_v6'!$B$13*100)*'Config_v6'!$B$45+(100-'Motor_Meciuri'!BF84)*'Config_v6'!$B$46+'Motor_Meciuri'!BH84*100*'Config_v6'!$B$47))</x:f>
      </x:c>
      <x:c r="U1098" s="2" t="str">
        <x:f>IF(T1098="","",IF(T1098&lt;=20,1,IF(T1098&lt;=40,2,IF(T1098&lt;=60,3,IF(T1098&lt;=80,4,5)))))</x:f>
      </x:c>
      <x:c r="V1098" s="2" t="str">
        <x:f>IF(M1098="","",MAX(0,'Motor_Meciuri'!BF84-IF(W1098="OOS PENDING",'Config_v6'!$B$35,0)-IF(L1098&gt;'Config_v6'!$B$12,'Config_v6'!$B$37,IF(L1098&gt;'Config_v6'!$B$11,'Config_v6'!$B$36,0))))</x:f>
      </x:c>
      <x:c r="W1098" s="2" t="str">
        <x:f>IF(B1098="","",IF(I1098&lt;&gt;"READY","NOT RELEASED",IF(NOT(AND(J1098="PASS",'Calibrare_Linii'!U6="VALID")),"INVALID",IF(NOT(TRUE),"OOS PENDING",IF(S1098&lt;=IF(AND('Calibrare_Linii'!S6="VALIDATED",AND('Calibrare_Linii'!H6=C1098,ISNUMBER('Calibrare_Linii'!J6),'Calibrare_Linii'!J6&lt;='Input_Meci'!G84)),'Calibrare_Linii'!E6,'Config_v6'!$B$26),"PASS",IF(S1098&lt;=IF(AND('Calibrare_Linii'!S6="VALIDATED",AND('Calibrare_Linii'!H6=C1098,ISNUMBER('Calibrare_Linii'!J6),'Calibrare_Linii'!J6&lt;='Input_Meci'!G84)),'Calibrare_Linii'!F6,'Config_v6'!$C$26),"PENALTY","WATCH"))))))</x:f>
      </x:c>
      <x:c r="X1098" s="2" t="str">
        <x:f>IF(M1098="","",IF(AND(AND(J1098="PASS",'Calibrare_Linii'!U6="VALID"),'Motor_Meciuri'!K84=12,'Motor_Meciuri'!L84=12,'Motor_Meciuri'!M84="NO",'Motor_Meciuri'!BL84='Motor_Meciuri'!C84,AB1098&gt;='Config_v6'!$B$50,AN1098&gt;='Config_v6'!$B$51,T1098&lt;='Config_v6'!$B$52,L1098&lt;='Config_v6'!$B$53,ISNUMBER('Calibrare_Linii'!E6),S1098&lt;='Calibrare_Linii'!E6,SUM(AK1098:AM1098)&gt;0),"CANDIDATE","NO"))</x:f>
      </x:c>
      <x:c r="Y1098" s="2" t="str">
        <x:f>IF(B1098="","",IF(I1098&lt;&gt;"READY","NOT RELEASED",IF(AND(X1098="CANDIDATE",V1098&gt;='Config_v6'!$B$51,W1098="PASS",'Calibrare_Linii'!T6="VALIDATED",AND('Calibrare_Linii'!H6=C1098,ISNUMBER('Calibrare_Linii'!J6),'Calibrare_Linii'!J6&lt;='Input_Meci'!G84)),"PASS",IF(X1098="CANDIDATE","OOS PENDING","FAIL"))))</x:f>
      </x:c>
      <x:c r="Z1098" s="2" t="str">
        <x:f>IF(B1098="","",IF(I1098&lt;&gt;"READY","",IF(OR(NOT(AND(J1098="PASS",'Calibrare_Linii'!U6="VALID")),L1098&gt;'Config_v6'!$B$13,W1098="WATCH"),5,IF(Y1098="PASS",1,MIN(5,MAX('Config_v6'!$B$42,U1098)+IF(W1098="PENALTY",1,0))))))</x:f>
      </x:c>
      <x:c r="AA1098" s="2" t="str">
        <x:f>IF(B1098="","",IF(I1098&lt;&gt;"READY","NOT RELEASED",IF(Z1098=5,"NO BET",IF(OR(AB1098&lt;'Config_v6'!$B$16,V1098&lt;'Config_v6'!$B$18),"WATCH",IF(Z1098=1,"DEFENSIV",IF(Z1098=2,"PRUDENT",IF(Z1098=3,"MODERAT","RIDICAT")))))))</x:f>
      </x:c>
      <x:c r="AB1098" s="10" t="str">
        <x:f>IF(N1098="","",MIN(N1098,1-S1098))</x:f>
      </x:c>
      <x:c r="AC1098" s="2" t="str">
        <x:f>IF(AD1098&lt;&gt;1,"",COUNTIFS($Z$1098:$Z$1111,"&lt;"&amp;Z1098,$AD$1098:$AD$1111,1)+COUNTIFS($Z$1098:$Z$1111,Z1098,$AB$1098:$AB$1111,"&gt;"&amp;AB1098,$AD$1098:$AD$1111,1)+COUNTIFS($Z$1098:$Z$1111,Z1098,$AB$1098:$AB$1111,AB1098,$V$1098:$V$1111,"&gt;"&amp;V1098,$AD$1098:$AD$1111,1)+COUNTIFS($Z$1098:Z1098,Z1098,$AB$1098:AB1098,AB1098,$V$1098:V1098,V1098,$AD$1098:AD1098,1))</x:f>
      </x:c>
      <x:c r="AD1098" s="2" t="n">
        <x:f>IF(OR(AA1098="DEFENSIV",AA1098="PRUDENT",AA1098="MODERAT",AA1098="RIDICAT"),1,0)</x:f>
        <x:v>0</x:v>
      </x:c>
      <x:c r="AE1098" s="2" t="str">
        <x:f>IF(AD1098&lt;&gt;1,"NO",IF(W1098="PASS","YES",IF(W1098="OOS PENDING","CONDITIONAL","NO")))</x:f>
        <x:v>NO</x:v>
      </x:c>
      <x:c r="AF1098" s="2" t="n">
        <x:f>IF(AND(AD1098=1,AC1098=1,E1098="LIVE"),1,0)</x:f>
        <x:v>0</x:v>
      </x:c>
      <x:c r="AG1098" s="2" t="str">
        <x:f>IF(AF1098&lt;&gt;1,"",'Dashboard'!P104)</x:f>
      </x:c>
      <x:c r="AH1098" s="2" t="str">
        <x:f>IF(B1098="","",IF(J1098&lt;&gt;"PASS",'Motor_Meciuri'!J84,IF('Calibrare_Linii'!U6&lt;&gt;"VALID","Parametri linie invalizi",IF(L1098&gt;'Config_v6'!$B$13,"Dispersie peste limita",IF(W1098="WATCH","Failure peste limita",IF(AB1098&lt;'Config_v6'!$B$16,"P finala sub prag",IF(V1098&lt;'Config_v6'!$B$18,"Confidence sub prag",IF(E1098="REPLAY","Exemplu retrospectiv; exclus din Top LIVE",IF(Y1098="PASS","DEFENSIV validat",IF(W1098="OOS PENDING","Eligibil; calibrare linie in monitorizare","Eligibil"))))))))))</x:f>
      </x:c>
      <x:c r="AI1098" s="2" t="str">
        <x:f>IF(B1098="","",'Calibrare_Linii'!V6)</x:f>
      </x:c>
      <x:c r="AJ1098" s="2" t="str">
        <x:f>IF(B1098="","",IF(AND('Calibrare_Linii'!T6="VALIDATED",AND('Calibrare_Linii'!H6=C1098,ISNUMBER('Calibrare_Linii'!J6),'Calibrare_Linii'!J6&lt;='Input_Meci'!G84)),"DEFENSIVE VALIDATED",IF(AND('Calibrare_Linii'!S6="VALIDATED",AND('Calibrare_Linii'!H6=C1098,ISNUMBER('Calibrare_Linii'!J6),'Calibrare_Linii'!J6&lt;='Input_Meci'!G84)),"TAIL VALIDATED","OOS PENDING")))</x:f>
      </x:c>
      <x:c r="AK1098" s="2" t="n">
        <x:f>IF(J1098&lt;&gt;"PASS",0,'Motor_Meciuri'!BR84)</x:f>
        <x:v>0</x:v>
      </x:c>
      <x:c r="AL1098" s="2" t="n">
        <x:f>IF(J1098&lt;&gt;"PASS",0,'Motor_Meciuri'!BS84)</x:f>
        <x:v>0</x:v>
      </x:c>
      <x:c r="AM1098" s="2" t="n">
        <x:f>IF(J1098&lt;&gt;"PASS",0,'Motor_Meciuri'!BT84)</x:f>
        <x:v>0</x:v>
      </x:c>
      <x:c r="AN1098" s="2" t="str">
        <x:f>IF(M1098="","",MAX(0,'Motor_Meciuri'!BF84-IF(L1098&gt;'Config_v6'!$B$12,'Config_v6'!$B$37,IF(L1098&gt;'Config_v6'!$B$11,'Config_v6'!$B$36,0))))</x:f>
      </x:c>
    </x:row>
    <x:row r="1099" ht="21" customHeight="1">
      <x:c r="A1099" s="2" t="n">
        <x:v>79</x:v>
      </x:c>
      <x:c r="B1099" s="2" t="str">
        <x:f>IF('Motor_Meciuri'!A84="","",'Motor_Meciuri'!A84)</x:f>
      </x:c>
      <x:c r="C1099" s="2" t="str">
        <x:f>IF(B1099="","",'Motor_Meciuri'!B84)</x:f>
      </x:c>
      <x:c r="D1099" s="2" t="str">
        <x:f>IF(B1099="","",'Motor_Meciuri'!D84)</x:f>
      </x:c>
      <x:c r="E1099" s="2" t="str">
        <x:f>IF(B1099="","",'Motor_Meciuri'!E84)</x:f>
      </x:c>
      <x:c r="F1099" s="2" t="str">
        <x:v>O4,5</x:v>
      </x:c>
      <x:c r="G1099" s="2" t="str">
        <x:v>OVER</x:v>
      </x:c>
      <x:c r="H1099" s="2" t="n">
        <x:v>4</x:v>
      </x:c>
      <x:c r="I1099" s="2" t="str">
        <x:f>IF(B1099="","",'Motor_Meciuri'!H84)</x:f>
      </x:c>
      <x:c r="J1099" s="2" t="str">
        <x:f>IF(B1099="","",'Motor_Meciuri'!I84)</x:f>
      </x:c>
      <x:c r="K1099" s="11" t="str">
        <x:f>IF(J1099&lt;&gt;"PASS","",'Motor_Meciuri'!BD84)</x:f>
      </x:c>
      <x:c r="L1099" s="11" t="str">
        <x:f>IF(J1099&lt;&gt;"PASS","",'Motor_Meciuri'!AU84)</x:f>
      </x:c>
      <x:c r="M1099" s="10" t="str">
        <x:f>IF(NOT(AND(J1099="PASS",'Calibrare_Linii'!U7="VALID")),"",1-'Distributie'!AB84)</x:f>
      </x:c>
      <x:c r="N1099" s="10" t="str">
        <x:f>IF(M1099="","",MAX(0.01,MIN(0.99,0.5+(M1099-0.5)*'Motor_Meciuri'!BG84*'Calibrare_Linii'!D7)))</x:f>
      </x:c>
      <x:c r="O1099" s="10" t="str">
        <x:f>IF(M1099="","",1-M1099)</x:f>
      </x:c>
      <x:c r="P1099" s="10" t="str">
        <x:f>IF(OR(NOT(AND(J1099="PASS",'Calibrare_Linii'!U7="VALID")),AK1099=0),""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*('Istoric_Nativ'!$Q$6:$Q$405&lt;=H1099))/AK1099)</x:f>
      </x:c>
      <x:c r="Q1099" s="10" t="str">
        <x:f>IF(OR(NOT(AND(J1099="PASS",'Calibrare_Linii'!U7="VALID")),AL1099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M84)+((('Istoric_Nativ'!$E$6:$E$405='Input_Meci'!E84)+('Istoric_Nativ'!$F$6:$F$405='Input_Meci'!E84))&gt;0)*('Istoric_Nativ'!$D$6:$D$405&gt;='Motor_Meciuri'!BN84))&gt;0)*('Istoric_Nativ'!$Q$6:$Q$405&lt;=H1099))/AL1099)</x:f>
      </x:c>
      <x:c r="R1099" s="10" t="str">
        <x:f>IF(OR(NOT(AND(J1099="PASS",'Calibrare_Linii'!U7="VALID")),AM1099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O84)+((('Istoric_Nativ'!$E$6:$E$405='Input_Meci'!E84)+('Istoric_Nativ'!$F$6:$F$405='Input_Meci'!E84))&gt;0)*('Istoric_Nativ'!$D$6:$D$405&gt;='Motor_Meciuri'!BP84))&gt;0)*('Istoric_Nativ'!$Q$6:$Q$405&lt;=H1099))/AM1099)</x:f>
      </x:c>
      <x:c r="S1099" s="10" t="str">
        <x:f>IF(M1099="","",MAX(O1099,P1099,Q1099,R1099))</x:f>
      </x:c>
      <x:c r="T1099" s="11" t="str">
        <x:f>IF(M1099="","",MIN(100,S1099*100*'Config_v6'!$B$44+MIN(100,L1099/'Config_v6'!$B$13*100)*'Config_v6'!$B$45+(100-'Motor_Meciuri'!BF84)*'Config_v6'!$B$46+'Motor_Meciuri'!BH84*100*'Config_v6'!$B$47))</x:f>
      </x:c>
      <x:c r="U1099" s="2" t="str">
        <x:f>IF(T1099="","",IF(T1099&lt;=20,1,IF(T1099&lt;=40,2,IF(T1099&lt;=60,3,IF(T1099&lt;=80,4,5)))))</x:f>
      </x:c>
      <x:c r="V1099" s="2" t="str">
        <x:f>IF(M1099="","",MAX(0,'Motor_Meciuri'!BF84-IF(W1099="OOS PENDING",'Config_v6'!$B$35,0)-IF(L1099&gt;'Config_v6'!$B$12,'Config_v6'!$B$37,IF(L1099&gt;'Config_v6'!$B$11,'Config_v6'!$B$36,0))))</x:f>
      </x:c>
      <x:c r="W1099" s="2" t="str">
        <x:f>IF(B1099="","",IF(I1099&lt;&gt;"READY","NOT RELEASED",IF(NOT(AND(J1099="PASS",'Calibrare_Linii'!U7="VALID")),"INVALID",IF(NOT(AND('Calibrare_Linii'!S7="VALIDATED",AND('Calibrare_Linii'!H7=C1099,ISNUMBER('Calibrare_Linii'!J7),'Calibrare_Linii'!J7&lt;='Input_Meci'!G84))),"OOS PENDING",IF(S1099&lt;='Calibrare_Linii'!E7,"PASS",IF(S1099&lt;='Calibrare_Linii'!F7,"PENALTY","WATCH"))))))</x:f>
      </x:c>
      <x:c r="X1099" s="2" t="str">
        <x:f>IF(M1099="","",IF(AND(AND(J1099="PASS",'Calibrare_Linii'!U7="VALID"),'Motor_Meciuri'!K84=12,'Motor_Meciuri'!L84=12,'Motor_Meciuri'!M84="NO",'Motor_Meciuri'!BL84='Motor_Meciuri'!C84,AB1099&gt;='Config_v6'!$B$50,AN1099&gt;='Config_v6'!$B$51,T1099&lt;='Config_v6'!$B$52,L1099&lt;='Config_v6'!$B$53,ISNUMBER('Calibrare_Linii'!E7),S1099&lt;='Calibrare_Linii'!E7,SUM(AK1099:AM1099)&gt;0),"CANDIDATE","NO"))</x:f>
      </x:c>
      <x:c r="Y1099" s="2" t="str">
        <x:f>IF(B1099="","",IF(I1099&lt;&gt;"READY","NOT RELEASED",IF(AND(X1099="CANDIDATE",V1099&gt;='Config_v6'!$B$51,W1099="PASS",'Calibrare_Linii'!T7="VALIDATED",AND('Calibrare_Linii'!H7=C1099,ISNUMBER('Calibrare_Linii'!J7),'Calibrare_Linii'!J7&lt;='Input_Meci'!G84)),"PASS",IF(X1099="CANDIDATE","OOS PENDING","FAIL"))))</x:f>
      </x:c>
      <x:c r="Z1099" s="2" t="str">
        <x:f>IF(B1099="","",IF(I1099&lt;&gt;"READY","",IF(OR(NOT(AND(J1099="PASS",'Calibrare_Linii'!U7="VALID")),L1099&gt;'Config_v6'!$B$13,W1099="WATCH"),5,IF(Y1099="PASS",1,MIN(5,MAX('Config_v6'!$B$42,U1099)+IF(W1099="PENALTY",1,0))))))</x:f>
      </x:c>
      <x:c r="AA1099" s="2" t="str">
        <x:f>IF(B1099="","",IF(I1099&lt;&gt;"READY","NOT RELEASED",IF(Z1099=5,"NO BET",IF(OR(AB1099&lt;'Config_v6'!$B$16,V1099&lt;'Config_v6'!$B$18),"WATCH",IF(Z1099=1,"DEFENSIV",IF(Z1099=2,"PRUDENT",IF(Z1099=3,"MODERAT","RIDICAT")))))))</x:f>
      </x:c>
      <x:c r="AB1099" s="10" t="str">
        <x:f>IF(N1099="","",MIN(N1099,1-S1099))</x:f>
      </x:c>
      <x:c r="AC1099" s="2" t="str">
        <x:f>IF(AD1099&lt;&gt;1,"",COUNTIFS($Z$1098:$Z$1111,"&lt;"&amp;Z1099,$AD$1098:$AD$1111,1)+COUNTIFS($Z$1098:$Z$1111,Z1099,$AB$1098:$AB$1111,"&gt;"&amp;AB1099,$AD$1098:$AD$1111,1)+COUNTIFS($Z$1098:$Z$1111,Z1099,$AB$1098:$AB$1111,AB1099,$V$1098:$V$1111,"&gt;"&amp;V1099,$AD$1098:$AD$1111,1)+COUNTIFS($Z$1098:Z1099,Z1099,$AB$1098:AB1099,AB1099,$V$1098:V1099,V1099,$AD$1098:AD1099,1))</x:f>
      </x:c>
      <x:c r="AD1099" s="2" t="n">
        <x:f>IF(OR(AA1099="DEFENSIV",AA1099="PRUDENT",AA1099="MODERAT",AA1099="RIDICAT"),1,0)</x:f>
        <x:v>0</x:v>
      </x:c>
      <x:c r="AE1099" s="2" t="str">
        <x:f>IF(AD1099&lt;&gt;1,"NO",IF(W1099="PASS","YES",IF(W1099="OOS PENDING","CONDITIONAL","NO")))</x:f>
        <x:v>NO</x:v>
      </x:c>
      <x:c r="AF1099" s="2" t="n">
        <x:f>IF(AND(AD1099=1,AC1099=1,E1099="LIVE"),1,0)</x:f>
        <x:v>0</x:v>
      </x:c>
      <x:c r="AG1099" s="2" t="str">
        <x:f>IF(AF1099&lt;&gt;1,"",'Dashboard'!P104)</x:f>
      </x:c>
      <x:c r="AH1099" s="2" t="str">
        <x:f>IF(B1099="","",IF(J1099&lt;&gt;"PASS",'Motor_Meciuri'!J84,IF('Calibrare_Linii'!U7&lt;&gt;"VALID","Parametri linie invalizi",IF(L1099&gt;'Config_v6'!$B$13,"Dispersie peste limita",IF(W1099="WATCH","Failure peste limita",IF(AB1099&lt;'Config_v6'!$B$16,"P finala sub prag",IF(V1099&lt;'Config_v6'!$B$18,"Confidence sub prag",IF(E1099="REPLAY","Exemplu retrospectiv; exclus din Top LIVE",IF(Y1099="PASS","DEFENSIV validat",IF(W1099="OOS PENDING","Eligibil; calibrare linie in monitorizare","Eligibil"))))))))))</x:f>
      </x:c>
      <x:c r="AI1099" s="2" t="str">
        <x:f>IF(B1099="","",'Calibrare_Linii'!V7)</x:f>
      </x:c>
      <x:c r="AJ1099" s="2" t="str">
        <x:f>IF(B1099="","",IF(AND('Calibrare_Linii'!T7="VALIDATED",AND('Calibrare_Linii'!H7=C1099,ISNUMBER('Calibrare_Linii'!J7),'Calibrare_Linii'!J7&lt;='Input_Meci'!G84)),"DEFENSIVE VALIDATED",IF(AND('Calibrare_Linii'!S7="VALIDATED",AND('Calibrare_Linii'!H7=C1099,ISNUMBER('Calibrare_Linii'!J7),'Calibrare_Linii'!J7&lt;='Input_Meci'!G84)),"TAIL VALIDATED","OOS PENDING")))</x:f>
      </x:c>
      <x:c r="AK1099" s="2" t="n">
        <x:f>IF(J1099&lt;&gt;"PASS",0,'Motor_Meciuri'!BR84)</x:f>
        <x:v>0</x:v>
      </x:c>
      <x:c r="AL1099" s="2" t="n">
        <x:f>IF(J1099&lt;&gt;"PASS",0,'Motor_Meciuri'!BS84)</x:f>
        <x:v>0</x:v>
      </x:c>
      <x:c r="AM1099" s="2" t="n">
        <x:f>IF(J1099&lt;&gt;"PASS",0,'Motor_Meciuri'!BT84)</x:f>
        <x:v>0</x:v>
      </x:c>
      <x:c r="AN1099" s="2" t="str">
        <x:f>IF(M1099="","",MAX(0,'Motor_Meciuri'!BF84-IF(L1099&gt;'Config_v6'!$B$12,'Config_v6'!$B$37,IF(L1099&gt;'Config_v6'!$B$11,'Config_v6'!$B$36,0))))</x:f>
      </x:c>
    </x:row>
    <x:row r="1100" ht="21" customHeight="1">
      <x:c r="A1100" s="2" t="n">
        <x:v>79</x:v>
      </x:c>
      <x:c r="B1100" s="2" t="str">
        <x:f>IF('Motor_Meciuri'!A84="","",'Motor_Meciuri'!A84)</x:f>
      </x:c>
      <x:c r="C1100" s="2" t="str">
        <x:f>IF(B1100="","",'Motor_Meciuri'!B84)</x:f>
      </x:c>
      <x:c r="D1100" s="2" t="str">
        <x:f>IF(B1100="","",'Motor_Meciuri'!D84)</x:f>
      </x:c>
      <x:c r="E1100" s="2" t="str">
        <x:f>IF(B1100="","",'Motor_Meciuri'!E84)</x:f>
      </x:c>
      <x:c r="F1100" s="2" t="str">
        <x:v>O5,5</x:v>
      </x:c>
      <x:c r="G1100" s="2" t="str">
        <x:v>OVER</x:v>
      </x:c>
      <x:c r="H1100" s="2" t="n">
        <x:v>5</x:v>
      </x:c>
      <x:c r="I1100" s="2" t="str">
        <x:f>IF(B1100="","",'Motor_Meciuri'!H84)</x:f>
      </x:c>
      <x:c r="J1100" s="2" t="str">
        <x:f>IF(B1100="","",'Motor_Meciuri'!I84)</x:f>
      </x:c>
      <x:c r="K1100" s="11" t="str">
        <x:f>IF(J1100&lt;&gt;"PASS","",'Motor_Meciuri'!BD84)</x:f>
      </x:c>
      <x:c r="L1100" s="11" t="str">
        <x:f>IF(J1100&lt;&gt;"PASS","",'Motor_Meciuri'!AU84)</x:f>
      </x:c>
      <x:c r="M1100" s="10" t="str">
        <x:f>IF(NOT(AND(J1100="PASS",'Calibrare_Linii'!U8="VALID")),"",1-'Distributie'!AC84)</x:f>
      </x:c>
      <x:c r="N1100" s="10" t="str">
        <x:f>IF(M1100="","",MAX(0.01,MIN(0.99,0.5+(M1100-0.5)*'Motor_Meciuri'!BG84*'Calibrare_Linii'!D8)))</x:f>
      </x:c>
      <x:c r="O1100" s="10" t="str">
        <x:f>IF(M1100="","",1-M1100)</x:f>
      </x:c>
      <x:c r="P1100" s="10" t="str">
        <x:f>IF(OR(NOT(AND(J1100="PASS",'Calibrare_Linii'!U8="VALID")),AK1100=0),""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*('Istoric_Nativ'!$Q$6:$Q$405&lt;=H1100))/AK1100)</x:f>
      </x:c>
      <x:c r="Q1100" s="10" t="str">
        <x:f>IF(OR(NOT(AND(J1100="PASS",'Calibrare_Linii'!U8="VALID")),AL1100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M84)+((('Istoric_Nativ'!$E$6:$E$405='Input_Meci'!E84)+('Istoric_Nativ'!$F$6:$F$405='Input_Meci'!E84))&gt;0)*('Istoric_Nativ'!$D$6:$D$405&gt;='Motor_Meciuri'!BN84))&gt;0)*('Istoric_Nativ'!$Q$6:$Q$405&lt;=H1100))/AL1100)</x:f>
      </x:c>
      <x:c r="R1100" s="10" t="str">
        <x:f>IF(OR(NOT(AND(J1100="PASS",'Calibrare_Linii'!U8="VALID")),AM1100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O84)+((('Istoric_Nativ'!$E$6:$E$405='Input_Meci'!E84)+('Istoric_Nativ'!$F$6:$F$405='Input_Meci'!E84))&gt;0)*('Istoric_Nativ'!$D$6:$D$405&gt;='Motor_Meciuri'!BP84))&gt;0)*('Istoric_Nativ'!$Q$6:$Q$405&lt;=H1100))/AM1100)</x:f>
      </x:c>
      <x:c r="S1100" s="10" t="str">
        <x:f>IF(M1100="","",MAX(O1100,P1100,Q1100,R1100))</x:f>
      </x:c>
      <x:c r="T1100" s="11" t="str">
        <x:f>IF(M1100="","",MIN(100,S1100*100*'Config_v6'!$B$44+MIN(100,L1100/'Config_v6'!$B$13*100)*'Config_v6'!$B$45+(100-'Motor_Meciuri'!BF84)*'Config_v6'!$B$46+'Motor_Meciuri'!BH84*100*'Config_v6'!$B$47))</x:f>
      </x:c>
      <x:c r="U1100" s="2" t="str">
        <x:f>IF(T1100="","",IF(T1100&lt;=20,1,IF(T1100&lt;=40,2,IF(T1100&lt;=60,3,IF(T1100&lt;=80,4,5)))))</x:f>
      </x:c>
      <x:c r="V1100" s="2" t="str">
        <x:f>IF(M1100="","",MAX(0,'Motor_Meciuri'!BF84-IF(W1100="OOS PENDING",'Config_v6'!$B$35,0)-IF(L1100&gt;'Config_v6'!$B$12,'Config_v6'!$B$37,IF(L1100&gt;'Config_v6'!$B$11,'Config_v6'!$B$36,0))))</x:f>
      </x:c>
      <x:c r="W1100" s="2" t="str">
        <x:f>IF(B1100="","",IF(I1100&lt;&gt;"READY","NOT RELEASED",IF(NOT(AND(J1100="PASS",'Calibrare_Linii'!U8="VALID")),"INVALID",IF(NOT(AND('Calibrare_Linii'!S8="VALIDATED",AND('Calibrare_Linii'!H8=C1100,ISNUMBER('Calibrare_Linii'!J8),'Calibrare_Linii'!J8&lt;='Input_Meci'!G84))),"OOS PENDING",IF(S1100&lt;='Calibrare_Linii'!E8,"PASS",IF(S1100&lt;='Calibrare_Linii'!F8,"PENALTY","WATCH"))))))</x:f>
      </x:c>
      <x:c r="X1100" s="2" t="str">
        <x:f>IF(M1100="","",IF(AND(AND(J1100="PASS",'Calibrare_Linii'!U8="VALID"),'Motor_Meciuri'!K84=12,'Motor_Meciuri'!L84=12,'Motor_Meciuri'!M84="NO",'Motor_Meciuri'!BL84='Motor_Meciuri'!C84,AB1100&gt;='Config_v6'!$B$50,AN1100&gt;='Config_v6'!$B$51,T1100&lt;='Config_v6'!$B$52,L1100&lt;='Config_v6'!$B$53,ISNUMBER('Calibrare_Linii'!E8),S1100&lt;='Calibrare_Linii'!E8,SUM(AK1100:AM1100)&gt;0),"CANDIDATE","NO"))</x:f>
      </x:c>
      <x:c r="Y1100" s="2" t="str">
        <x:f>IF(B1100="","",IF(I1100&lt;&gt;"READY","NOT RELEASED",IF(AND(X1100="CANDIDATE",V1100&gt;='Config_v6'!$B$51,W1100="PASS",'Calibrare_Linii'!T8="VALIDATED",AND('Calibrare_Linii'!H8=C1100,ISNUMBER('Calibrare_Linii'!J8),'Calibrare_Linii'!J8&lt;='Input_Meci'!G84)),"PASS",IF(X1100="CANDIDATE","OOS PENDING","FAIL"))))</x:f>
      </x:c>
      <x:c r="Z1100" s="2" t="str">
        <x:f>IF(B1100="","",IF(I1100&lt;&gt;"READY","",IF(OR(NOT(AND(J1100="PASS",'Calibrare_Linii'!U8="VALID")),L1100&gt;'Config_v6'!$B$13,W1100="WATCH"),5,IF(Y1100="PASS",1,MIN(5,MAX('Config_v6'!$B$42,U1100)+IF(W1100="PENALTY",1,0))))))</x:f>
      </x:c>
      <x:c r="AA1100" s="2" t="str">
        <x:f>IF(B1100="","",IF(I1100&lt;&gt;"READY","NOT RELEASED",IF(Z1100=5,"NO BET",IF(OR(AB1100&lt;'Config_v6'!$B$16,V1100&lt;'Config_v6'!$B$18),"WATCH",IF(Z1100=1,"DEFENSIV",IF(Z1100=2,"PRUDENT",IF(Z1100=3,"MODERAT","RIDICAT")))))))</x:f>
      </x:c>
      <x:c r="AB1100" s="10" t="str">
        <x:f>IF(N1100="","",MIN(N1100,1-S1100))</x:f>
      </x:c>
      <x:c r="AC1100" s="2" t="str">
        <x:f>IF(AD1100&lt;&gt;1,"",COUNTIFS($Z$1098:$Z$1111,"&lt;"&amp;Z1100,$AD$1098:$AD$1111,1)+COUNTIFS($Z$1098:$Z$1111,Z1100,$AB$1098:$AB$1111,"&gt;"&amp;AB1100,$AD$1098:$AD$1111,1)+COUNTIFS($Z$1098:$Z$1111,Z1100,$AB$1098:$AB$1111,AB1100,$V$1098:$V$1111,"&gt;"&amp;V1100,$AD$1098:$AD$1111,1)+COUNTIFS($Z$1098:Z1100,Z1100,$AB$1098:AB1100,AB1100,$V$1098:V1100,V1100,$AD$1098:AD1100,1))</x:f>
      </x:c>
      <x:c r="AD1100" s="2" t="n">
        <x:f>IF(OR(AA1100="DEFENSIV",AA1100="PRUDENT",AA1100="MODERAT",AA1100="RIDICAT"),1,0)</x:f>
        <x:v>0</x:v>
      </x:c>
      <x:c r="AE1100" s="2" t="str">
        <x:f>IF(AD1100&lt;&gt;1,"NO",IF(W1100="PASS","YES",IF(W1100="OOS PENDING","CONDITIONAL","NO")))</x:f>
        <x:v>NO</x:v>
      </x:c>
      <x:c r="AF1100" s="2" t="n">
        <x:f>IF(AND(AD1100=1,AC1100=1,E1100="LIVE"),1,0)</x:f>
        <x:v>0</x:v>
      </x:c>
      <x:c r="AG1100" s="2" t="str">
        <x:f>IF(AF1100&lt;&gt;1,"",'Dashboard'!P104)</x:f>
      </x:c>
      <x:c r="AH1100" s="2" t="str">
        <x:f>IF(B1100="","",IF(J1100&lt;&gt;"PASS",'Motor_Meciuri'!J84,IF('Calibrare_Linii'!U8&lt;&gt;"VALID","Parametri linie invalizi",IF(L1100&gt;'Config_v6'!$B$13,"Dispersie peste limita",IF(W1100="WATCH","Failure peste limita",IF(AB1100&lt;'Config_v6'!$B$16,"P finala sub prag",IF(V1100&lt;'Config_v6'!$B$18,"Confidence sub prag",IF(E1100="REPLAY","Exemplu retrospectiv; exclus din Top LIVE",IF(Y1100="PASS","DEFENSIV validat",IF(W1100="OOS PENDING","Eligibil; calibrare linie in monitorizare","Eligibil"))))))))))</x:f>
      </x:c>
      <x:c r="AI1100" s="2" t="str">
        <x:f>IF(B1100="","",'Calibrare_Linii'!V8)</x:f>
      </x:c>
      <x:c r="AJ1100" s="2" t="str">
        <x:f>IF(B1100="","",IF(AND('Calibrare_Linii'!T8="VALIDATED",AND('Calibrare_Linii'!H8=C1100,ISNUMBER('Calibrare_Linii'!J8),'Calibrare_Linii'!J8&lt;='Input_Meci'!G84)),"DEFENSIVE VALIDATED",IF(AND('Calibrare_Linii'!S8="VALIDATED",AND('Calibrare_Linii'!H8=C1100,ISNUMBER('Calibrare_Linii'!J8),'Calibrare_Linii'!J8&lt;='Input_Meci'!G84)),"TAIL VALIDATED","OOS PENDING")))</x:f>
      </x:c>
      <x:c r="AK1100" s="2" t="n">
        <x:f>IF(J1100&lt;&gt;"PASS",0,'Motor_Meciuri'!BR84)</x:f>
        <x:v>0</x:v>
      </x:c>
      <x:c r="AL1100" s="2" t="n">
        <x:f>IF(J1100&lt;&gt;"PASS",0,'Motor_Meciuri'!BS84)</x:f>
        <x:v>0</x:v>
      </x:c>
      <x:c r="AM1100" s="2" t="n">
        <x:f>IF(J1100&lt;&gt;"PASS",0,'Motor_Meciuri'!BT84)</x:f>
        <x:v>0</x:v>
      </x:c>
      <x:c r="AN1100" s="2" t="str">
        <x:f>IF(M1100="","",MAX(0,'Motor_Meciuri'!BF84-IF(L1100&gt;'Config_v6'!$B$12,'Config_v6'!$B$37,IF(L1100&gt;'Config_v6'!$B$11,'Config_v6'!$B$36,0))))</x:f>
      </x:c>
    </x:row>
    <x:row r="1101" ht="21" customHeight="1">
      <x:c r="A1101" s="2" t="n">
        <x:v>79</x:v>
      </x:c>
      <x:c r="B1101" s="2" t="str">
        <x:f>IF('Motor_Meciuri'!A84="","",'Motor_Meciuri'!A84)</x:f>
      </x:c>
      <x:c r="C1101" s="2" t="str">
        <x:f>IF(B1101="","",'Motor_Meciuri'!B84)</x:f>
      </x:c>
      <x:c r="D1101" s="2" t="str">
        <x:f>IF(B1101="","",'Motor_Meciuri'!D84)</x:f>
      </x:c>
      <x:c r="E1101" s="2" t="str">
        <x:f>IF(B1101="","",'Motor_Meciuri'!E84)</x:f>
      </x:c>
      <x:c r="F1101" s="2" t="str">
        <x:v>O6,5</x:v>
      </x:c>
      <x:c r="G1101" s="2" t="str">
        <x:v>OVER</x:v>
      </x:c>
      <x:c r="H1101" s="2" t="n">
        <x:v>6</x:v>
      </x:c>
      <x:c r="I1101" s="2" t="str">
        <x:f>IF(B1101="","",'Motor_Meciuri'!H84)</x:f>
      </x:c>
      <x:c r="J1101" s="2" t="str">
        <x:f>IF(B1101="","",'Motor_Meciuri'!I84)</x:f>
      </x:c>
      <x:c r="K1101" s="11" t="str">
        <x:f>IF(J1101&lt;&gt;"PASS","",'Motor_Meciuri'!BD84)</x:f>
      </x:c>
      <x:c r="L1101" s="11" t="str">
        <x:f>IF(J1101&lt;&gt;"PASS","",'Motor_Meciuri'!AU84)</x:f>
      </x:c>
      <x:c r="M1101" s="10" t="str">
        <x:f>IF(NOT(AND(J1101="PASS",'Calibrare_Linii'!U9="VALID")),"",1-'Distributie'!AD84)</x:f>
      </x:c>
      <x:c r="N1101" s="10" t="str">
        <x:f>IF(M1101="","",MAX(0.01,MIN(0.99,0.5+(M1101-0.5)*'Motor_Meciuri'!BG84*'Calibrare_Linii'!D9)))</x:f>
      </x:c>
      <x:c r="O1101" s="10" t="str">
        <x:f>IF(M1101="","",1-M1101)</x:f>
      </x:c>
      <x:c r="P1101" s="10" t="str">
        <x:f>IF(OR(NOT(AND(J1101="PASS",'Calibrare_Linii'!U9="VALID")),AK1101=0),""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*('Istoric_Nativ'!$Q$6:$Q$405&lt;=H1101))/AK1101)</x:f>
      </x:c>
      <x:c r="Q1101" s="10" t="str">
        <x:f>IF(OR(NOT(AND(J1101="PASS",'Calibrare_Linii'!U9="VALID")),AL1101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M84)+((('Istoric_Nativ'!$E$6:$E$405='Input_Meci'!E84)+('Istoric_Nativ'!$F$6:$F$405='Input_Meci'!E84))&gt;0)*('Istoric_Nativ'!$D$6:$D$405&gt;='Motor_Meciuri'!BN84))&gt;0)*('Istoric_Nativ'!$Q$6:$Q$405&lt;=H1101))/AL1101)</x:f>
      </x:c>
      <x:c r="R1101" s="10" t="str">
        <x:f>IF(OR(NOT(AND(J1101="PASS",'Calibrare_Linii'!U9="VALID")),AM1101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O84)+((('Istoric_Nativ'!$E$6:$E$405='Input_Meci'!E84)+('Istoric_Nativ'!$F$6:$F$405='Input_Meci'!E84))&gt;0)*('Istoric_Nativ'!$D$6:$D$405&gt;='Motor_Meciuri'!BP84))&gt;0)*('Istoric_Nativ'!$Q$6:$Q$405&lt;=H1101))/AM1101)</x:f>
      </x:c>
      <x:c r="S1101" s="10" t="str">
        <x:f>IF(M1101="","",MAX(O1101,P1101,Q1101,R1101))</x:f>
      </x:c>
      <x:c r="T1101" s="11" t="str">
        <x:f>IF(M1101="","",MIN(100,S1101*100*'Config_v6'!$B$44+MIN(100,L1101/'Config_v6'!$B$13*100)*'Config_v6'!$B$45+(100-'Motor_Meciuri'!BF84)*'Config_v6'!$B$46+'Motor_Meciuri'!BH84*100*'Config_v6'!$B$47))</x:f>
      </x:c>
      <x:c r="U1101" s="2" t="str">
        <x:f>IF(T1101="","",IF(T1101&lt;=20,1,IF(T1101&lt;=40,2,IF(T1101&lt;=60,3,IF(T1101&lt;=80,4,5)))))</x:f>
      </x:c>
      <x:c r="V1101" s="2" t="str">
        <x:f>IF(M1101="","",MAX(0,'Motor_Meciuri'!BF84-IF(W1101="OOS PENDING",'Config_v6'!$B$35,0)-IF(L1101&gt;'Config_v6'!$B$12,'Config_v6'!$B$37,IF(L1101&gt;'Config_v6'!$B$11,'Config_v6'!$B$36,0))))</x:f>
      </x:c>
      <x:c r="W1101" s="2" t="str">
        <x:f>IF(B1101="","",IF(I1101&lt;&gt;"READY","NOT RELEASED",IF(NOT(AND(J1101="PASS",'Calibrare_Linii'!U9="VALID")),"INVALID",IF(NOT(AND('Calibrare_Linii'!S9="VALIDATED",AND('Calibrare_Linii'!H9=C1101,ISNUMBER('Calibrare_Linii'!J9),'Calibrare_Linii'!J9&lt;='Input_Meci'!G84))),"OOS PENDING",IF(S1101&lt;='Calibrare_Linii'!E9,"PASS",IF(S1101&lt;='Calibrare_Linii'!F9,"PENALTY","WATCH"))))))</x:f>
      </x:c>
      <x:c r="X1101" s="2" t="str">
        <x:f>IF(M1101="","",IF(AND(AND(J1101="PASS",'Calibrare_Linii'!U9="VALID"),'Motor_Meciuri'!K84=12,'Motor_Meciuri'!L84=12,'Motor_Meciuri'!M84="NO",'Motor_Meciuri'!BL84='Motor_Meciuri'!C84,AB1101&gt;='Config_v6'!$B$50,AN1101&gt;='Config_v6'!$B$51,T1101&lt;='Config_v6'!$B$52,L1101&lt;='Config_v6'!$B$53,ISNUMBER('Calibrare_Linii'!E9),S1101&lt;='Calibrare_Linii'!E9,SUM(AK1101:AM1101)&gt;0),"CANDIDATE","NO"))</x:f>
      </x:c>
      <x:c r="Y1101" s="2" t="str">
        <x:f>IF(B1101="","",IF(I1101&lt;&gt;"READY","NOT RELEASED",IF(AND(X1101="CANDIDATE",V1101&gt;='Config_v6'!$B$51,W1101="PASS",'Calibrare_Linii'!T9="VALIDATED",AND('Calibrare_Linii'!H9=C1101,ISNUMBER('Calibrare_Linii'!J9),'Calibrare_Linii'!J9&lt;='Input_Meci'!G84)),"PASS",IF(X1101="CANDIDATE","OOS PENDING","FAIL"))))</x:f>
      </x:c>
      <x:c r="Z1101" s="2" t="str">
        <x:f>IF(B1101="","",IF(I1101&lt;&gt;"READY","",IF(OR(NOT(AND(J1101="PASS",'Calibrare_Linii'!U9="VALID")),L1101&gt;'Config_v6'!$B$13,W1101="WATCH"),5,IF(Y1101="PASS",1,MIN(5,MAX('Config_v6'!$B$42,U1101)+IF(W1101="PENALTY",1,0))))))</x:f>
      </x:c>
      <x:c r="AA1101" s="2" t="str">
        <x:f>IF(B1101="","",IF(I1101&lt;&gt;"READY","NOT RELEASED",IF(Z1101=5,"NO BET",IF(OR(AB1101&lt;'Config_v6'!$B$16,V1101&lt;'Config_v6'!$B$18),"WATCH",IF(Z1101=1,"DEFENSIV",IF(Z1101=2,"PRUDENT",IF(Z1101=3,"MODERAT","RIDICAT")))))))</x:f>
      </x:c>
      <x:c r="AB1101" s="10" t="str">
        <x:f>IF(N1101="","",MIN(N1101,1-S1101))</x:f>
      </x:c>
      <x:c r="AC1101" s="2" t="str">
        <x:f>IF(AD1101&lt;&gt;1,"",COUNTIFS($Z$1098:$Z$1111,"&lt;"&amp;Z1101,$AD$1098:$AD$1111,1)+COUNTIFS($Z$1098:$Z$1111,Z1101,$AB$1098:$AB$1111,"&gt;"&amp;AB1101,$AD$1098:$AD$1111,1)+COUNTIFS($Z$1098:$Z$1111,Z1101,$AB$1098:$AB$1111,AB1101,$V$1098:$V$1111,"&gt;"&amp;V1101,$AD$1098:$AD$1111,1)+COUNTIFS($Z$1098:Z1101,Z1101,$AB$1098:AB1101,AB1101,$V$1098:V1101,V1101,$AD$1098:AD1101,1))</x:f>
      </x:c>
      <x:c r="AD1101" s="2" t="n">
        <x:f>IF(OR(AA1101="DEFENSIV",AA1101="PRUDENT",AA1101="MODERAT",AA1101="RIDICAT"),1,0)</x:f>
        <x:v>0</x:v>
      </x:c>
      <x:c r="AE1101" s="2" t="str">
        <x:f>IF(AD1101&lt;&gt;1,"NO",IF(W1101="PASS","YES",IF(W1101="OOS PENDING","CONDITIONAL","NO")))</x:f>
        <x:v>NO</x:v>
      </x:c>
      <x:c r="AF1101" s="2" t="n">
        <x:f>IF(AND(AD1101=1,AC1101=1,E1101="LIVE"),1,0)</x:f>
        <x:v>0</x:v>
      </x:c>
      <x:c r="AG1101" s="2" t="str">
        <x:f>IF(AF1101&lt;&gt;1,"",'Dashboard'!P104)</x:f>
      </x:c>
      <x:c r="AH1101" s="2" t="str">
        <x:f>IF(B1101="","",IF(J1101&lt;&gt;"PASS",'Motor_Meciuri'!J84,IF('Calibrare_Linii'!U9&lt;&gt;"VALID","Parametri linie invalizi",IF(L1101&gt;'Config_v6'!$B$13,"Dispersie peste limita",IF(W1101="WATCH","Failure peste limita",IF(AB1101&lt;'Config_v6'!$B$16,"P finala sub prag",IF(V1101&lt;'Config_v6'!$B$18,"Confidence sub prag",IF(E1101="REPLAY","Exemplu retrospectiv; exclus din Top LIVE",IF(Y1101="PASS","DEFENSIV validat",IF(W1101="OOS PENDING","Eligibil; calibrare linie in monitorizare","Eligibil"))))))))))</x:f>
      </x:c>
      <x:c r="AI1101" s="2" t="str">
        <x:f>IF(B1101="","",'Calibrare_Linii'!V9)</x:f>
      </x:c>
      <x:c r="AJ1101" s="2" t="str">
        <x:f>IF(B1101="","",IF(AND('Calibrare_Linii'!T9="VALIDATED",AND('Calibrare_Linii'!H9=C1101,ISNUMBER('Calibrare_Linii'!J9),'Calibrare_Linii'!J9&lt;='Input_Meci'!G84)),"DEFENSIVE VALIDATED",IF(AND('Calibrare_Linii'!S9="VALIDATED",AND('Calibrare_Linii'!H9=C1101,ISNUMBER('Calibrare_Linii'!J9),'Calibrare_Linii'!J9&lt;='Input_Meci'!G84)),"TAIL VALIDATED","OOS PENDING")))</x:f>
      </x:c>
      <x:c r="AK1101" s="2" t="n">
        <x:f>IF(J1101&lt;&gt;"PASS",0,'Motor_Meciuri'!BR84)</x:f>
        <x:v>0</x:v>
      </x:c>
      <x:c r="AL1101" s="2" t="n">
        <x:f>IF(J1101&lt;&gt;"PASS",0,'Motor_Meciuri'!BS84)</x:f>
        <x:v>0</x:v>
      </x:c>
      <x:c r="AM1101" s="2" t="n">
        <x:f>IF(J1101&lt;&gt;"PASS",0,'Motor_Meciuri'!BT84)</x:f>
        <x:v>0</x:v>
      </x:c>
      <x:c r="AN1101" s="2" t="str">
        <x:f>IF(M1101="","",MAX(0,'Motor_Meciuri'!BF84-IF(L1101&gt;'Config_v6'!$B$12,'Config_v6'!$B$37,IF(L1101&gt;'Config_v6'!$B$11,'Config_v6'!$B$36,0))))</x:f>
      </x:c>
    </x:row>
    <x:row r="1102" ht="21" customHeight="1">
      <x:c r="A1102" s="2" t="n">
        <x:v>79</x:v>
      </x:c>
      <x:c r="B1102" s="2" t="str">
        <x:f>IF('Motor_Meciuri'!A84="","",'Motor_Meciuri'!A84)</x:f>
      </x:c>
      <x:c r="C1102" s="2" t="str">
        <x:f>IF(B1102="","",'Motor_Meciuri'!B84)</x:f>
      </x:c>
      <x:c r="D1102" s="2" t="str">
        <x:f>IF(B1102="","",'Motor_Meciuri'!D84)</x:f>
      </x:c>
      <x:c r="E1102" s="2" t="str">
        <x:f>IF(B1102="","",'Motor_Meciuri'!E84)</x:f>
      </x:c>
      <x:c r="F1102" s="2" t="str">
        <x:v>O7,5</x:v>
      </x:c>
      <x:c r="G1102" s="2" t="str">
        <x:v>OVER</x:v>
      </x:c>
      <x:c r="H1102" s="2" t="n">
        <x:v>7</x:v>
      </x:c>
      <x:c r="I1102" s="2" t="str">
        <x:f>IF(B1102="","",'Motor_Meciuri'!H84)</x:f>
      </x:c>
      <x:c r="J1102" s="2" t="str">
        <x:f>IF(B1102="","",'Motor_Meciuri'!I84)</x:f>
      </x:c>
      <x:c r="K1102" s="11" t="str">
        <x:f>IF(J1102&lt;&gt;"PASS","",'Motor_Meciuri'!BD84)</x:f>
      </x:c>
      <x:c r="L1102" s="11" t="str">
        <x:f>IF(J1102&lt;&gt;"PASS","",'Motor_Meciuri'!AU84)</x:f>
      </x:c>
      <x:c r="M1102" s="10" t="str">
        <x:f>IF(NOT(AND(J1102="PASS",'Calibrare_Linii'!U10="VALID")),"",1-'Distributie'!AE84)</x:f>
      </x:c>
      <x:c r="N1102" s="10" t="str">
        <x:f>IF(M1102="","",MAX(0.01,MIN(0.99,0.5+(M1102-0.5)*'Motor_Meciuri'!BG84*'Calibrare_Linii'!D10)))</x:f>
      </x:c>
      <x:c r="O1102" s="10" t="str">
        <x:f>IF(M1102="","",1-M1102)</x:f>
      </x:c>
      <x:c r="P1102" s="10" t="str">
        <x:f>IF(OR(NOT(AND(J1102="PASS",'Calibrare_Linii'!U10="VALID")),AK1102=0),""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*('Istoric_Nativ'!$Q$6:$Q$405&lt;=H1102))/AK1102)</x:f>
      </x:c>
      <x:c r="Q1102" s="10" t="str">
        <x:f>IF(OR(NOT(AND(J1102="PASS",'Calibrare_Linii'!U10="VALID")),AL1102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M84)+((('Istoric_Nativ'!$E$6:$E$405='Input_Meci'!E84)+('Istoric_Nativ'!$F$6:$F$405='Input_Meci'!E84))&gt;0)*('Istoric_Nativ'!$D$6:$D$405&gt;='Motor_Meciuri'!BN84))&gt;0)*('Istoric_Nativ'!$Q$6:$Q$405&lt;=H1102))/AL1102)</x:f>
      </x:c>
      <x:c r="R1102" s="10" t="str">
        <x:f>IF(OR(NOT(AND(J1102="PASS",'Calibrare_Linii'!U10="VALID")),AM1102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O84)+((('Istoric_Nativ'!$E$6:$E$405='Input_Meci'!E84)+('Istoric_Nativ'!$F$6:$F$405='Input_Meci'!E84))&gt;0)*('Istoric_Nativ'!$D$6:$D$405&gt;='Motor_Meciuri'!BP84))&gt;0)*('Istoric_Nativ'!$Q$6:$Q$405&lt;=H1102))/AM1102)</x:f>
      </x:c>
      <x:c r="S1102" s="10" t="str">
        <x:f>IF(M1102="","",MAX(O1102,P1102,Q1102,R1102))</x:f>
      </x:c>
      <x:c r="T1102" s="11" t="str">
        <x:f>IF(M1102="","",MIN(100,S1102*100*'Config_v6'!$B$44+MIN(100,L1102/'Config_v6'!$B$13*100)*'Config_v6'!$B$45+(100-'Motor_Meciuri'!BF84)*'Config_v6'!$B$46+'Motor_Meciuri'!BH84*100*'Config_v6'!$B$47))</x:f>
      </x:c>
      <x:c r="U1102" s="2" t="str">
        <x:f>IF(T1102="","",IF(T1102&lt;=20,1,IF(T1102&lt;=40,2,IF(T1102&lt;=60,3,IF(T1102&lt;=80,4,5)))))</x:f>
      </x:c>
      <x:c r="V1102" s="2" t="str">
        <x:f>IF(M1102="","",MAX(0,'Motor_Meciuri'!BF84-IF(W1102="OOS PENDING",'Config_v6'!$B$35,0)-IF(L1102&gt;'Config_v6'!$B$12,'Config_v6'!$B$37,IF(L1102&gt;'Config_v6'!$B$11,'Config_v6'!$B$36,0))))</x:f>
      </x:c>
      <x:c r="W1102" s="2" t="str">
        <x:f>IF(B1102="","",IF(I1102&lt;&gt;"READY","NOT RELEASED",IF(NOT(AND(J1102="PASS",'Calibrare_Linii'!U10="VALID")),"INVALID",IF(NOT(AND('Calibrare_Linii'!S10="VALIDATED",AND('Calibrare_Linii'!H10=C1102,ISNUMBER('Calibrare_Linii'!J10),'Calibrare_Linii'!J10&lt;='Input_Meci'!G84))),"OOS PENDING",IF(S1102&lt;='Calibrare_Linii'!E10,"PASS",IF(S1102&lt;='Calibrare_Linii'!F10,"PENALTY","WATCH"))))))</x:f>
      </x:c>
      <x:c r="X1102" s="2" t="str">
        <x:f>IF(M1102="","",IF(AND(AND(J1102="PASS",'Calibrare_Linii'!U10="VALID"),'Motor_Meciuri'!K84=12,'Motor_Meciuri'!L84=12,'Motor_Meciuri'!M84="NO",'Motor_Meciuri'!BL84='Motor_Meciuri'!C84,AB1102&gt;='Config_v6'!$B$50,AN1102&gt;='Config_v6'!$B$51,T1102&lt;='Config_v6'!$B$52,L1102&lt;='Config_v6'!$B$53,ISNUMBER('Calibrare_Linii'!E10),S1102&lt;='Calibrare_Linii'!E10,SUM(AK1102:AM1102)&gt;0),"CANDIDATE","NO"))</x:f>
      </x:c>
      <x:c r="Y1102" s="2" t="str">
        <x:f>IF(B1102="","",IF(I1102&lt;&gt;"READY","NOT RELEASED",IF(AND(X1102="CANDIDATE",V1102&gt;='Config_v6'!$B$51,W1102="PASS",'Calibrare_Linii'!T10="VALIDATED",AND('Calibrare_Linii'!H10=C1102,ISNUMBER('Calibrare_Linii'!J10),'Calibrare_Linii'!J10&lt;='Input_Meci'!G84)),"PASS",IF(X1102="CANDIDATE","OOS PENDING","FAIL"))))</x:f>
      </x:c>
      <x:c r="Z1102" s="2" t="str">
        <x:f>IF(B1102="","",IF(I1102&lt;&gt;"READY","",IF(OR(NOT(AND(J1102="PASS",'Calibrare_Linii'!U10="VALID")),L1102&gt;'Config_v6'!$B$13,W1102="WATCH"),5,IF(Y1102="PASS",1,MIN(5,MAX('Config_v6'!$B$42,U1102)+IF(W1102="PENALTY",1,0))))))</x:f>
      </x:c>
      <x:c r="AA1102" s="2" t="str">
        <x:f>IF(B1102="","",IF(I1102&lt;&gt;"READY","NOT RELEASED",IF(Z1102=5,"NO BET",IF(OR(AB1102&lt;'Config_v6'!$B$16,V1102&lt;'Config_v6'!$B$18),"WATCH",IF(Z1102=1,"DEFENSIV",IF(Z1102=2,"PRUDENT",IF(Z1102=3,"MODERAT","RIDICAT")))))))</x:f>
      </x:c>
      <x:c r="AB1102" s="10" t="str">
        <x:f>IF(N1102="","",MIN(N1102,1-S1102))</x:f>
      </x:c>
      <x:c r="AC1102" s="2" t="str">
        <x:f>IF(AD1102&lt;&gt;1,"",COUNTIFS($Z$1098:$Z$1111,"&lt;"&amp;Z1102,$AD$1098:$AD$1111,1)+COUNTIFS($Z$1098:$Z$1111,Z1102,$AB$1098:$AB$1111,"&gt;"&amp;AB1102,$AD$1098:$AD$1111,1)+COUNTIFS($Z$1098:$Z$1111,Z1102,$AB$1098:$AB$1111,AB1102,$V$1098:$V$1111,"&gt;"&amp;V1102,$AD$1098:$AD$1111,1)+COUNTIFS($Z$1098:Z1102,Z1102,$AB$1098:AB1102,AB1102,$V$1098:V1102,V1102,$AD$1098:AD1102,1))</x:f>
      </x:c>
      <x:c r="AD1102" s="2" t="n">
        <x:f>IF(OR(AA1102="DEFENSIV",AA1102="PRUDENT",AA1102="MODERAT",AA1102="RIDICAT"),1,0)</x:f>
        <x:v>0</x:v>
      </x:c>
      <x:c r="AE1102" s="2" t="str">
        <x:f>IF(AD1102&lt;&gt;1,"NO",IF(W1102="PASS","YES",IF(W1102="OOS PENDING","CONDITIONAL","NO")))</x:f>
        <x:v>NO</x:v>
      </x:c>
      <x:c r="AF1102" s="2" t="n">
        <x:f>IF(AND(AD1102=1,AC1102=1,E1102="LIVE"),1,0)</x:f>
        <x:v>0</x:v>
      </x:c>
      <x:c r="AG1102" s="2" t="str">
        <x:f>IF(AF1102&lt;&gt;1,"",'Dashboard'!P104)</x:f>
      </x:c>
      <x:c r="AH1102" s="2" t="str">
        <x:f>IF(B1102="","",IF(J1102&lt;&gt;"PASS",'Motor_Meciuri'!J84,IF('Calibrare_Linii'!U10&lt;&gt;"VALID","Parametri linie invalizi",IF(L1102&gt;'Config_v6'!$B$13,"Dispersie peste limita",IF(W1102="WATCH","Failure peste limita",IF(AB1102&lt;'Config_v6'!$B$16,"P finala sub prag",IF(V1102&lt;'Config_v6'!$B$18,"Confidence sub prag",IF(E1102="REPLAY","Exemplu retrospectiv; exclus din Top LIVE",IF(Y1102="PASS","DEFENSIV validat",IF(W1102="OOS PENDING","Eligibil; calibrare linie in monitorizare","Eligibil"))))))))))</x:f>
      </x:c>
      <x:c r="AI1102" s="2" t="str">
        <x:f>IF(B1102="","",'Calibrare_Linii'!V10)</x:f>
      </x:c>
      <x:c r="AJ1102" s="2" t="str">
        <x:f>IF(B1102="","",IF(AND('Calibrare_Linii'!T10="VALIDATED",AND('Calibrare_Linii'!H10=C1102,ISNUMBER('Calibrare_Linii'!J10),'Calibrare_Linii'!J10&lt;='Input_Meci'!G84)),"DEFENSIVE VALIDATED",IF(AND('Calibrare_Linii'!S10="VALIDATED",AND('Calibrare_Linii'!H10=C1102,ISNUMBER('Calibrare_Linii'!J10),'Calibrare_Linii'!J10&lt;='Input_Meci'!G84)),"TAIL VALIDATED","OOS PENDING")))</x:f>
      </x:c>
      <x:c r="AK1102" s="2" t="n">
        <x:f>IF(J1102&lt;&gt;"PASS",0,'Motor_Meciuri'!BR84)</x:f>
        <x:v>0</x:v>
      </x:c>
      <x:c r="AL1102" s="2" t="n">
        <x:f>IF(J1102&lt;&gt;"PASS",0,'Motor_Meciuri'!BS84)</x:f>
        <x:v>0</x:v>
      </x:c>
      <x:c r="AM1102" s="2" t="n">
        <x:f>IF(J1102&lt;&gt;"PASS",0,'Motor_Meciuri'!BT84)</x:f>
        <x:v>0</x:v>
      </x:c>
      <x:c r="AN1102" s="2" t="str">
        <x:f>IF(M1102="","",MAX(0,'Motor_Meciuri'!BF84-IF(L1102&gt;'Config_v6'!$B$12,'Config_v6'!$B$37,IF(L1102&gt;'Config_v6'!$B$11,'Config_v6'!$B$36,0))))</x:f>
      </x:c>
    </x:row>
    <x:row r="1103" ht="21" customHeight="1">
      <x:c r="A1103" s="2" t="n">
        <x:v>79</x:v>
      </x:c>
      <x:c r="B1103" s="2" t="str">
        <x:f>IF('Motor_Meciuri'!A84="","",'Motor_Meciuri'!A84)</x:f>
      </x:c>
      <x:c r="C1103" s="2" t="str">
        <x:f>IF(B1103="","",'Motor_Meciuri'!B84)</x:f>
      </x:c>
      <x:c r="D1103" s="2" t="str">
        <x:f>IF(B1103="","",'Motor_Meciuri'!D84)</x:f>
      </x:c>
      <x:c r="E1103" s="2" t="str">
        <x:f>IF(B1103="","",'Motor_Meciuri'!E84)</x:f>
      </x:c>
      <x:c r="F1103" s="2" t="str">
        <x:v>O8,5</x:v>
      </x:c>
      <x:c r="G1103" s="2" t="str">
        <x:v>OVER</x:v>
      </x:c>
      <x:c r="H1103" s="2" t="n">
        <x:v>8</x:v>
      </x:c>
      <x:c r="I1103" s="2" t="str">
        <x:f>IF(B1103="","",'Motor_Meciuri'!H84)</x:f>
      </x:c>
      <x:c r="J1103" s="2" t="str">
        <x:f>IF(B1103="","",'Motor_Meciuri'!I84)</x:f>
      </x:c>
      <x:c r="K1103" s="11" t="str">
        <x:f>IF(J1103&lt;&gt;"PASS","",'Motor_Meciuri'!BD84)</x:f>
      </x:c>
      <x:c r="L1103" s="11" t="str">
        <x:f>IF(J1103&lt;&gt;"PASS","",'Motor_Meciuri'!AU84)</x:f>
      </x:c>
      <x:c r="M1103" s="10" t="str">
        <x:f>IF(NOT(AND(J1103="PASS",'Calibrare_Linii'!U11="VALID")),"",1-'Distributie'!AF84)</x:f>
      </x:c>
      <x:c r="N1103" s="10" t="str">
        <x:f>IF(M1103="","",MAX(0.01,MIN(0.99,0.5+(M1103-0.5)*'Motor_Meciuri'!BG84*'Calibrare_Linii'!D11)))</x:f>
      </x:c>
      <x:c r="O1103" s="10" t="str">
        <x:f>IF(M1103="","",1-M1103)</x:f>
      </x:c>
      <x:c r="P1103" s="10" t="str">
        <x:f>IF(OR(NOT(AND(J1103="PASS",'Calibrare_Linii'!U11="VALID")),AK1103=0),""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*('Istoric_Nativ'!$Q$6:$Q$405&lt;=H1103))/AK1103)</x:f>
      </x:c>
      <x:c r="Q1103" s="10" t="str">
        <x:f>IF(OR(NOT(AND(J1103="PASS",'Calibrare_Linii'!U11="VALID")),AL1103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M84)+((('Istoric_Nativ'!$E$6:$E$405='Input_Meci'!E84)+('Istoric_Nativ'!$F$6:$F$405='Input_Meci'!E84))&gt;0)*('Istoric_Nativ'!$D$6:$D$405&gt;='Motor_Meciuri'!BN84))&gt;0)*('Istoric_Nativ'!$Q$6:$Q$405&lt;=H1103))/AL1103)</x:f>
      </x:c>
      <x:c r="R1103" s="10" t="str">
        <x:f>IF(OR(NOT(AND(J1103="PASS",'Calibrare_Linii'!U11="VALID")),AM1103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O84)+((('Istoric_Nativ'!$E$6:$E$405='Input_Meci'!E84)+('Istoric_Nativ'!$F$6:$F$405='Input_Meci'!E84))&gt;0)*('Istoric_Nativ'!$D$6:$D$405&gt;='Motor_Meciuri'!BP84))&gt;0)*('Istoric_Nativ'!$Q$6:$Q$405&lt;=H1103))/AM1103)</x:f>
      </x:c>
      <x:c r="S1103" s="10" t="str">
        <x:f>IF(M1103="","",MAX(O1103,P1103,Q1103,R1103))</x:f>
      </x:c>
      <x:c r="T1103" s="11" t="str">
        <x:f>IF(M1103="","",MIN(100,S1103*100*'Config_v6'!$B$44+MIN(100,L1103/'Config_v6'!$B$13*100)*'Config_v6'!$B$45+(100-'Motor_Meciuri'!BF84)*'Config_v6'!$B$46+'Motor_Meciuri'!BH84*100*'Config_v6'!$B$47))</x:f>
      </x:c>
      <x:c r="U1103" s="2" t="str">
        <x:f>IF(T1103="","",IF(T1103&lt;=20,1,IF(T1103&lt;=40,2,IF(T1103&lt;=60,3,IF(T1103&lt;=80,4,5)))))</x:f>
      </x:c>
      <x:c r="V1103" s="2" t="str">
        <x:f>IF(M1103="","",MAX(0,'Motor_Meciuri'!BF84-IF(W1103="OOS PENDING",'Config_v6'!$B$35,0)-IF(L1103&gt;'Config_v6'!$B$12,'Config_v6'!$B$37,IF(L1103&gt;'Config_v6'!$B$11,'Config_v6'!$B$36,0))))</x:f>
      </x:c>
      <x:c r="W1103" s="2" t="str">
        <x:f>IF(B1103="","",IF(I1103&lt;&gt;"READY","NOT RELEASED",IF(NOT(AND(J1103="PASS",'Calibrare_Linii'!U11="VALID")),"INVALID",IF(NOT(AND('Calibrare_Linii'!S11="VALIDATED",AND('Calibrare_Linii'!H11=C1103,ISNUMBER('Calibrare_Linii'!J11),'Calibrare_Linii'!J11&lt;='Input_Meci'!G84))),"OOS PENDING",IF(S1103&lt;='Calibrare_Linii'!E11,"PASS",IF(S1103&lt;='Calibrare_Linii'!F11,"PENALTY","WATCH"))))))</x:f>
      </x:c>
      <x:c r="X1103" s="2" t="str">
        <x:f>IF(M1103="","",IF(AND(AND(J1103="PASS",'Calibrare_Linii'!U11="VALID"),'Motor_Meciuri'!K84=12,'Motor_Meciuri'!L84=12,'Motor_Meciuri'!M84="NO",'Motor_Meciuri'!BL84='Motor_Meciuri'!C84,AB1103&gt;='Config_v6'!$B$50,AN1103&gt;='Config_v6'!$B$51,T1103&lt;='Config_v6'!$B$52,L1103&lt;='Config_v6'!$B$53,ISNUMBER('Calibrare_Linii'!E11),S1103&lt;='Calibrare_Linii'!E11,SUM(AK1103:AM1103)&gt;0),"CANDIDATE","NO"))</x:f>
      </x:c>
      <x:c r="Y1103" s="2" t="str">
        <x:f>IF(B1103="","",IF(I1103&lt;&gt;"READY","NOT RELEASED",IF(AND(X1103="CANDIDATE",V1103&gt;='Config_v6'!$B$51,W1103="PASS",'Calibrare_Linii'!T11="VALIDATED",AND('Calibrare_Linii'!H11=C1103,ISNUMBER('Calibrare_Linii'!J11),'Calibrare_Linii'!J11&lt;='Input_Meci'!G84)),"PASS",IF(X1103="CANDIDATE","OOS PENDING","FAIL"))))</x:f>
      </x:c>
      <x:c r="Z1103" s="2" t="str">
        <x:f>IF(B1103="","",IF(I1103&lt;&gt;"READY","",IF(OR(NOT(AND(J1103="PASS",'Calibrare_Linii'!U11="VALID")),L1103&gt;'Config_v6'!$B$13,W1103="WATCH"),5,IF(Y1103="PASS",1,MIN(5,MAX('Config_v6'!$B$42,U1103)+IF(W1103="PENALTY",1,0))))))</x:f>
      </x:c>
      <x:c r="AA1103" s="2" t="str">
        <x:f>IF(B1103="","",IF(I1103&lt;&gt;"READY","NOT RELEASED",IF(Z1103=5,"NO BET",IF(OR(AB1103&lt;'Config_v6'!$B$16,V1103&lt;'Config_v6'!$B$18),"WATCH",IF(Z1103=1,"DEFENSIV",IF(Z1103=2,"PRUDENT",IF(Z1103=3,"MODERAT","RIDICAT")))))))</x:f>
      </x:c>
      <x:c r="AB1103" s="10" t="str">
        <x:f>IF(N1103="","",MIN(N1103,1-S1103))</x:f>
      </x:c>
      <x:c r="AC1103" s="2" t="str">
        <x:f>IF(AD1103&lt;&gt;1,"",COUNTIFS($Z$1098:$Z$1111,"&lt;"&amp;Z1103,$AD$1098:$AD$1111,1)+COUNTIFS($Z$1098:$Z$1111,Z1103,$AB$1098:$AB$1111,"&gt;"&amp;AB1103,$AD$1098:$AD$1111,1)+COUNTIFS($Z$1098:$Z$1111,Z1103,$AB$1098:$AB$1111,AB1103,$V$1098:$V$1111,"&gt;"&amp;V1103,$AD$1098:$AD$1111,1)+COUNTIFS($Z$1098:Z1103,Z1103,$AB$1098:AB1103,AB1103,$V$1098:V1103,V1103,$AD$1098:AD1103,1))</x:f>
      </x:c>
      <x:c r="AD1103" s="2" t="n">
        <x:f>IF(OR(AA1103="DEFENSIV",AA1103="PRUDENT",AA1103="MODERAT",AA1103="RIDICAT"),1,0)</x:f>
        <x:v>0</x:v>
      </x:c>
      <x:c r="AE1103" s="2" t="str">
        <x:f>IF(AD1103&lt;&gt;1,"NO",IF(W1103="PASS","YES",IF(W1103="OOS PENDING","CONDITIONAL","NO")))</x:f>
        <x:v>NO</x:v>
      </x:c>
      <x:c r="AF1103" s="2" t="n">
        <x:f>IF(AND(AD1103=1,AC1103=1,E1103="LIVE"),1,0)</x:f>
        <x:v>0</x:v>
      </x:c>
      <x:c r="AG1103" s="2" t="str">
        <x:f>IF(AF1103&lt;&gt;1,"",'Dashboard'!P104)</x:f>
      </x:c>
      <x:c r="AH1103" s="2" t="str">
        <x:f>IF(B1103="","",IF(J1103&lt;&gt;"PASS",'Motor_Meciuri'!J84,IF('Calibrare_Linii'!U11&lt;&gt;"VALID","Parametri linie invalizi",IF(L1103&gt;'Config_v6'!$B$13,"Dispersie peste limita",IF(W1103="WATCH","Failure peste limita",IF(AB1103&lt;'Config_v6'!$B$16,"P finala sub prag",IF(V1103&lt;'Config_v6'!$B$18,"Confidence sub prag",IF(E1103="REPLAY","Exemplu retrospectiv; exclus din Top LIVE",IF(Y1103="PASS","DEFENSIV validat",IF(W1103="OOS PENDING","Eligibil; calibrare linie in monitorizare","Eligibil"))))))))))</x:f>
      </x:c>
      <x:c r="AI1103" s="2" t="str">
        <x:f>IF(B1103="","",'Calibrare_Linii'!V11)</x:f>
      </x:c>
      <x:c r="AJ1103" s="2" t="str">
        <x:f>IF(B1103="","",IF(AND('Calibrare_Linii'!T11="VALIDATED",AND('Calibrare_Linii'!H11=C1103,ISNUMBER('Calibrare_Linii'!J11),'Calibrare_Linii'!J11&lt;='Input_Meci'!G84)),"DEFENSIVE VALIDATED",IF(AND('Calibrare_Linii'!S11="VALIDATED",AND('Calibrare_Linii'!H11=C1103,ISNUMBER('Calibrare_Linii'!J11),'Calibrare_Linii'!J11&lt;='Input_Meci'!G84)),"TAIL VALIDATED","OOS PENDING")))</x:f>
      </x:c>
      <x:c r="AK1103" s="2" t="n">
        <x:f>IF(J1103&lt;&gt;"PASS",0,'Motor_Meciuri'!BR84)</x:f>
        <x:v>0</x:v>
      </x:c>
      <x:c r="AL1103" s="2" t="n">
        <x:f>IF(J1103&lt;&gt;"PASS",0,'Motor_Meciuri'!BS84)</x:f>
        <x:v>0</x:v>
      </x:c>
      <x:c r="AM1103" s="2" t="n">
        <x:f>IF(J1103&lt;&gt;"PASS",0,'Motor_Meciuri'!BT84)</x:f>
        <x:v>0</x:v>
      </x:c>
      <x:c r="AN1103" s="2" t="str">
        <x:f>IF(M1103="","",MAX(0,'Motor_Meciuri'!BF84-IF(L1103&gt;'Config_v6'!$B$12,'Config_v6'!$B$37,IF(L1103&gt;'Config_v6'!$B$11,'Config_v6'!$B$36,0))))</x:f>
      </x:c>
    </x:row>
    <x:row r="1104" ht="21" customHeight="1">
      <x:c r="A1104" s="2" t="n">
        <x:v>79</x:v>
      </x:c>
      <x:c r="B1104" s="2" t="str">
        <x:f>IF('Motor_Meciuri'!A84="","",'Motor_Meciuri'!A84)</x:f>
      </x:c>
      <x:c r="C1104" s="2" t="str">
        <x:f>IF(B1104="","",'Motor_Meciuri'!B84)</x:f>
      </x:c>
      <x:c r="D1104" s="2" t="str">
        <x:f>IF(B1104="","",'Motor_Meciuri'!D84)</x:f>
      </x:c>
      <x:c r="E1104" s="2" t="str">
        <x:f>IF(B1104="","",'Motor_Meciuri'!E84)</x:f>
      </x:c>
      <x:c r="F1104" s="2" t="str">
        <x:v>U10,5</x:v>
      </x:c>
      <x:c r="G1104" s="2" t="str">
        <x:v>UNDER</x:v>
      </x:c>
      <x:c r="H1104" s="2" t="n">
        <x:v>10</x:v>
      </x:c>
      <x:c r="I1104" s="2" t="str">
        <x:f>IF(B1104="","",'Motor_Meciuri'!H84)</x:f>
      </x:c>
      <x:c r="J1104" s="2" t="str">
        <x:f>IF(B1104="","",'Motor_Meciuri'!I84)</x:f>
      </x:c>
      <x:c r="K1104" s="11" t="str">
        <x:f>IF(J1104&lt;&gt;"PASS","",'Motor_Meciuri'!BD84)</x:f>
      </x:c>
      <x:c r="L1104" s="11" t="str">
        <x:f>IF(J1104&lt;&gt;"PASS","",'Motor_Meciuri'!AU84)</x:f>
      </x:c>
      <x:c r="M1104" s="10" t="str">
        <x:f>IF(NOT(AND(J1104="PASS",'Calibrare_Linii'!U12="VALID")),"",'Distributie'!AH84)</x:f>
      </x:c>
      <x:c r="N1104" s="10" t="str">
        <x:f>IF(M1104="","",MAX(0.01,MIN(0.99,0.5+(M1104-0.5)*'Motor_Meciuri'!BG84*'Calibrare_Linii'!D12)))</x:f>
      </x:c>
      <x:c r="O1104" s="10" t="str">
        <x:f>IF(M1104="","",1-M1104)</x:f>
      </x:c>
      <x:c r="P1104" s="10" t="str">
        <x:f>IF(OR(NOT(AND(J1104="PASS",'Calibrare_Linii'!U12="VALID")),AK1104=0),""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*('Istoric_Nativ'!$Q$6:$Q$405&gt;H1104))/AK1104)</x:f>
      </x:c>
      <x:c r="Q1104" s="10" t="str">
        <x:f>IF(OR(NOT(AND(J1104="PASS",'Calibrare_Linii'!U12="VALID")),AL1104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M84)+((('Istoric_Nativ'!$E$6:$E$405='Input_Meci'!E84)+('Istoric_Nativ'!$F$6:$F$405='Input_Meci'!E84))&gt;0)*('Istoric_Nativ'!$D$6:$D$405&gt;='Motor_Meciuri'!BN84))&gt;0)*('Istoric_Nativ'!$Q$6:$Q$405&gt;H1104))/AL1104)</x:f>
      </x:c>
      <x:c r="R1104" s="10" t="str">
        <x:f>IF(OR(NOT(AND(J1104="PASS",'Calibrare_Linii'!U12="VALID")),AM1104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O84)+((('Istoric_Nativ'!$E$6:$E$405='Input_Meci'!E84)+('Istoric_Nativ'!$F$6:$F$405='Input_Meci'!E84))&gt;0)*('Istoric_Nativ'!$D$6:$D$405&gt;='Motor_Meciuri'!BP84))&gt;0)*('Istoric_Nativ'!$Q$6:$Q$405&gt;H1104))/AM1104)</x:f>
      </x:c>
      <x:c r="S1104" s="10" t="str">
        <x:f>IF(M1104="","",MAX(O1104,P1104,Q1104,R1104))</x:f>
      </x:c>
      <x:c r="T1104" s="11" t="str">
        <x:f>IF(M1104="","",MIN(100,S1104*100*'Config_v6'!$B$44+MIN(100,L1104/'Config_v6'!$B$13*100)*'Config_v6'!$B$45+(100-'Motor_Meciuri'!BF84)*'Config_v6'!$B$46+'Motor_Meciuri'!BH84*100*'Config_v6'!$B$47))</x:f>
      </x:c>
      <x:c r="U1104" s="2" t="str">
        <x:f>IF(T1104="","",IF(T1104&lt;=20,1,IF(T1104&lt;=40,2,IF(T1104&lt;=60,3,IF(T1104&lt;=80,4,5)))))</x:f>
      </x:c>
      <x:c r="V1104" s="2" t="str">
        <x:f>IF(M1104="","",MAX(0,'Motor_Meciuri'!BF84-IF(W1104="OOS PENDING",'Config_v6'!$B$35,0)-IF(L1104&gt;'Config_v6'!$B$12,'Config_v6'!$B$37,IF(L1104&gt;'Config_v6'!$B$11,'Config_v6'!$B$36,0))))</x:f>
      </x:c>
      <x:c r="W1104" s="2" t="str">
        <x:f>IF(B1104="","",IF(I1104&lt;&gt;"READY","NOT RELEASED",IF(NOT(AND(J1104="PASS",'Calibrare_Linii'!U12="VALID")),"INVALID",IF(NOT(AND('Calibrare_Linii'!S12="VALIDATED",AND('Calibrare_Linii'!H12=C1104,ISNUMBER('Calibrare_Linii'!J12),'Calibrare_Linii'!J12&lt;='Input_Meci'!G84))),"OOS PENDING",IF(S1104&lt;='Calibrare_Linii'!E12,"PASS",IF(S1104&lt;='Calibrare_Linii'!F12,"PENALTY","WATCH"))))))</x:f>
      </x:c>
      <x:c r="X1104" s="2" t="str">
        <x:f>IF(M1104="","",IF(AND(AND(J1104="PASS",'Calibrare_Linii'!U12="VALID"),'Motor_Meciuri'!K84=12,'Motor_Meciuri'!L84=12,'Motor_Meciuri'!M84="NO",'Motor_Meciuri'!BL84='Motor_Meciuri'!C84,AB1104&gt;='Config_v6'!$B$50,AN1104&gt;='Config_v6'!$B$51,T1104&lt;='Config_v6'!$B$52,L1104&lt;='Config_v6'!$B$53,ISNUMBER('Calibrare_Linii'!E12),S1104&lt;='Calibrare_Linii'!E12,SUM(AK1104:AM1104)&gt;0),"CANDIDATE","NO"))</x:f>
      </x:c>
      <x:c r="Y1104" s="2" t="str">
        <x:f>IF(B1104="","",IF(I1104&lt;&gt;"READY","NOT RELEASED",IF(AND(X1104="CANDIDATE",V1104&gt;='Config_v6'!$B$51,W1104="PASS",'Calibrare_Linii'!T12="VALIDATED",AND('Calibrare_Linii'!H12=C1104,ISNUMBER('Calibrare_Linii'!J12),'Calibrare_Linii'!J12&lt;='Input_Meci'!G84)),"PASS",IF(X1104="CANDIDATE","OOS PENDING","FAIL"))))</x:f>
      </x:c>
      <x:c r="Z1104" s="2" t="str">
        <x:f>IF(B1104="","",IF(I1104&lt;&gt;"READY","",IF(OR(NOT(AND(J1104="PASS",'Calibrare_Linii'!U12="VALID")),L1104&gt;'Config_v6'!$B$13,W1104="WATCH"),5,IF(Y1104="PASS",1,MIN(5,MAX('Config_v6'!$B$42,U1104)+IF(W1104="PENALTY",1,0))))))</x:f>
      </x:c>
      <x:c r="AA1104" s="2" t="str">
        <x:f>IF(B1104="","",IF(I1104&lt;&gt;"READY","NOT RELEASED",IF(Z1104=5,"NO BET",IF(OR(AB1104&lt;'Config_v6'!$B$16,V1104&lt;'Config_v6'!$B$18),"WATCH",IF(Z1104=1,"DEFENSIV",IF(Z1104=2,"PRUDENT",IF(Z1104=3,"MODERAT","RIDICAT")))))))</x:f>
      </x:c>
      <x:c r="AB1104" s="10" t="str">
        <x:f>IF(N1104="","",MIN(N1104,1-S1104))</x:f>
      </x:c>
      <x:c r="AC1104" s="2" t="str">
        <x:f>IF(AD1104&lt;&gt;1,"",COUNTIFS($Z$1098:$Z$1111,"&lt;"&amp;Z1104,$AD$1098:$AD$1111,1)+COUNTIFS($Z$1098:$Z$1111,Z1104,$AB$1098:$AB$1111,"&gt;"&amp;AB1104,$AD$1098:$AD$1111,1)+COUNTIFS($Z$1098:$Z$1111,Z1104,$AB$1098:$AB$1111,AB1104,$V$1098:$V$1111,"&gt;"&amp;V1104,$AD$1098:$AD$1111,1)+COUNTIFS($Z$1098:Z1104,Z1104,$AB$1098:AB1104,AB1104,$V$1098:V1104,V1104,$AD$1098:AD1104,1))</x:f>
      </x:c>
      <x:c r="AD1104" s="2" t="n">
        <x:f>IF(OR(AA1104="DEFENSIV",AA1104="PRUDENT",AA1104="MODERAT",AA1104="RIDICAT"),1,0)</x:f>
        <x:v>0</x:v>
      </x:c>
      <x:c r="AE1104" s="2" t="str">
        <x:f>IF(AD1104&lt;&gt;1,"NO",IF(W1104="PASS","YES",IF(W1104="OOS PENDING","CONDITIONAL","NO")))</x:f>
        <x:v>NO</x:v>
      </x:c>
      <x:c r="AF1104" s="2" t="n">
        <x:f>IF(AND(AD1104=1,AC1104=1,E1104="LIVE"),1,0)</x:f>
        <x:v>0</x:v>
      </x:c>
      <x:c r="AG1104" s="2" t="str">
        <x:f>IF(AF1104&lt;&gt;1,"",'Dashboard'!P104)</x:f>
      </x:c>
      <x:c r="AH1104" s="2" t="str">
        <x:f>IF(B1104="","",IF(J1104&lt;&gt;"PASS",'Motor_Meciuri'!J84,IF('Calibrare_Linii'!U12&lt;&gt;"VALID","Parametri linie invalizi",IF(L1104&gt;'Config_v6'!$B$13,"Dispersie peste limita",IF(W1104="WATCH","Failure peste limita",IF(AB1104&lt;'Config_v6'!$B$16,"P finala sub prag",IF(V1104&lt;'Config_v6'!$B$18,"Confidence sub prag",IF(E1104="REPLAY","Exemplu retrospectiv; exclus din Top LIVE",IF(Y1104="PASS","DEFENSIV validat",IF(W1104="OOS PENDING","Eligibil; calibrare linie in monitorizare","Eligibil"))))))))))</x:f>
      </x:c>
      <x:c r="AI1104" s="2" t="str">
        <x:f>IF(B1104="","",'Calibrare_Linii'!V12)</x:f>
      </x:c>
      <x:c r="AJ1104" s="2" t="str">
        <x:f>IF(B1104="","",IF(AND('Calibrare_Linii'!T12="VALIDATED",AND('Calibrare_Linii'!H12=C1104,ISNUMBER('Calibrare_Linii'!J12),'Calibrare_Linii'!J12&lt;='Input_Meci'!G84)),"DEFENSIVE VALIDATED",IF(AND('Calibrare_Linii'!S12="VALIDATED",AND('Calibrare_Linii'!H12=C1104,ISNUMBER('Calibrare_Linii'!J12),'Calibrare_Linii'!J12&lt;='Input_Meci'!G84)),"TAIL VALIDATED","OOS PENDING")))</x:f>
      </x:c>
      <x:c r="AK1104" s="2" t="n">
        <x:f>IF(J1104&lt;&gt;"PASS",0,'Motor_Meciuri'!BR84)</x:f>
        <x:v>0</x:v>
      </x:c>
      <x:c r="AL1104" s="2" t="n">
        <x:f>IF(J1104&lt;&gt;"PASS",0,'Motor_Meciuri'!BS84)</x:f>
        <x:v>0</x:v>
      </x:c>
      <x:c r="AM1104" s="2" t="n">
        <x:f>IF(J1104&lt;&gt;"PASS",0,'Motor_Meciuri'!BT84)</x:f>
        <x:v>0</x:v>
      </x:c>
      <x:c r="AN1104" s="2" t="str">
        <x:f>IF(M1104="","",MAX(0,'Motor_Meciuri'!BF84-IF(L1104&gt;'Config_v6'!$B$12,'Config_v6'!$B$37,IF(L1104&gt;'Config_v6'!$B$11,'Config_v6'!$B$36,0))))</x:f>
      </x:c>
    </x:row>
    <x:row r="1105" ht="21" customHeight="1">
      <x:c r="A1105" s="2" t="n">
        <x:v>79</x:v>
      </x:c>
      <x:c r="B1105" s="2" t="str">
        <x:f>IF('Motor_Meciuri'!A84="","",'Motor_Meciuri'!A84)</x:f>
      </x:c>
      <x:c r="C1105" s="2" t="str">
        <x:f>IF(B1105="","",'Motor_Meciuri'!B84)</x:f>
      </x:c>
      <x:c r="D1105" s="2" t="str">
        <x:f>IF(B1105="","",'Motor_Meciuri'!D84)</x:f>
      </x:c>
      <x:c r="E1105" s="2" t="str">
        <x:f>IF(B1105="","",'Motor_Meciuri'!E84)</x:f>
      </x:c>
      <x:c r="F1105" s="2" t="str">
        <x:v>U11,5</x:v>
      </x:c>
      <x:c r="G1105" s="2" t="str">
        <x:v>UNDER</x:v>
      </x:c>
      <x:c r="H1105" s="2" t="n">
        <x:v>11</x:v>
      </x:c>
      <x:c r="I1105" s="2" t="str">
        <x:f>IF(B1105="","",'Motor_Meciuri'!H84)</x:f>
      </x:c>
      <x:c r="J1105" s="2" t="str">
        <x:f>IF(B1105="","",'Motor_Meciuri'!I84)</x:f>
      </x:c>
      <x:c r="K1105" s="11" t="str">
        <x:f>IF(J1105&lt;&gt;"PASS","",'Motor_Meciuri'!BD84)</x:f>
      </x:c>
      <x:c r="L1105" s="11" t="str">
        <x:f>IF(J1105&lt;&gt;"PASS","",'Motor_Meciuri'!AU84)</x:f>
      </x:c>
      <x:c r="M1105" s="10" t="str">
        <x:f>IF(NOT(AND(J1105="PASS",'Calibrare_Linii'!U13="VALID")),"",'Distributie'!AI84)</x:f>
      </x:c>
      <x:c r="N1105" s="10" t="str">
        <x:f>IF(M1105="","",MAX(0.01,MIN(0.99,0.5+(M1105-0.5)*'Motor_Meciuri'!BG84*'Calibrare_Linii'!D13)))</x:f>
      </x:c>
      <x:c r="O1105" s="10" t="str">
        <x:f>IF(M1105="","",1-M1105)</x:f>
      </x:c>
      <x:c r="P1105" s="10" t="str">
        <x:f>IF(OR(NOT(AND(J1105="PASS",'Calibrare_Linii'!U13="VALID")),AK1105=0),""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*('Istoric_Nativ'!$Q$6:$Q$405&gt;H1105))/AK1105)</x:f>
      </x:c>
      <x:c r="Q1105" s="10" t="str">
        <x:f>IF(OR(NOT(AND(J1105="PASS",'Calibrare_Linii'!U13="VALID")),AL1105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M84)+((('Istoric_Nativ'!$E$6:$E$405='Input_Meci'!E84)+('Istoric_Nativ'!$F$6:$F$405='Input_Meci'!E84))&gt;0)*('Istoric_Nativ'!$D$6:$D$405&gt;='Motor_Meciuri'!BN84))&gt;0)*('Istoric_Nativ'!$Q$6:$Q$405&gt;H1105))/AL1105)</x:f>
      </x:c>
      <x:c r="R1105" s="10" t="str">
        <x:f>IF(OR(NOT(AND(J1105="PASS",'Calibrare_Linii'!U13="VALID")),AM1105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O84)+((('Istoric_Nativ'!$E$6:$E$405='Input_Meci'!E84)+('Istoric_Nativ'!$F$6:$F$405='Input_Meci'!E84))&gt;0)*('Istoric_Nativ'!$D$6:$D$405&gt;='Motor_Meciuri'!BP84))&gt;0)*('Istoric_Nativ'!$Q$6:$Q$405&gt;H1105))/AM1105)</x:f>
      </x:c>
      <x:c r="S1105" s="10" t="str">
        <x:f>IF(M1105="","",MAX(O1105,P1105,Q1105,R1105))</x:f>
      </x:c>
      <x:c r="T1105" s="11" t="str">
        <x:f>IF(M1105="","",MIN(100,S1105*100*'Config_v6'!$B$44+MIN(100,L1105/'Config_v6'!$B$13*100)*'Config_v6'!$B$45+(100-'Motor_Meciuri'!BF84)*'Config_v6'!$B$46+'Motor_Meciuri'!BH84*100*'Config_v6'!$B$47))</x:f>
      </x:c>
      <x:c r="U1105" s="2" t="str">
        <x:f>IF(T1105="","",IF(T1105&lt;=20,1,IF(T1105&lt;=40,2,IF(T1105&lt;=60,3,IF(T1105&lt;=80,4,5)))))</x:f>
      </x:c>
      <x:c r="V1105" s="2" t="str">
        <x:f>IF(M1105="","",MAX(0,'Motor_Meciuri'!BF84-IF(W1105="OOS PENDING",'Config_v6'!$B$35,0)-IF(L1105&gt;'Config_v6'!$B$12,'Config_v6'!$B$37,IF(L1105&gt;'Config_v6'!$B$11,'Config_v6'!$B$36,0))))</x:f>
      </x:c>
      <x:c r="W1105" s="2" t="str">
        <x:f>IF(B1105="","",IF(I1105&lt;&gt;"READY","NOT RELEASED",IF(NOT(AND(J1105="PASS",'Calibrare_Linii'!U13="VALID")),"INVALID",IF(NOT(AND('Calibrare_Linii'!S13="VALIDATED",AND('Calibrare_Linii'!H13=C1105,ISNUMBER('Calibrare_Linii'!J13),'Calibrare_Linii'!J13&lt;='Input_Meci'!G84))),"OOS PENDING",IF(S1105&lt;='Calibrare_Linii'!E13,"PASS",IF(S1105&lt;='Calibrare_Linii'!F13,"PENALTY","WATCH"))))))</x:f>
      </x:c>
      <x:c r="X1105" s="2" t="str">
        <x:f>IF(M1105="","",IF(AND(AND(J1105="PASS",'Calibrare_Linii'!U13="VALID"),'Motor_Meciuri'!K84=12,'Motor_Meciuri'!L84=12,'Motor_Meciuri'!M84="NO",'Motor_Meciuri'!BL84='Motor_Meciuri'!C84,AB1105&gt;='Config_v6'!$B$50,AN1105&gt;='Config_v6'!$B$51,T1105&lt;='Config_v6'!$B$52,L1105&lt;='Config_v6'!$B$53,ISNUMBER('Calibrare_Linii'!E13),S1105&lt;='Calibrare_Linii'!E13,SUM(AK1105:AM1105)&gt;0),"CANDIDATE","NO"))</x:f>
      </x:c>
      <x:c r="Y1105" s="2" t="str">
        <x:f>IF(B1105="","",IF(I1105&lt;&gt;"READY","NOT RELEASED",IF(AND(X1105="CANDIDATE",V1105&gt;='Config_v6'!$B$51,W1105="PASS",'Calibrare_Linii'!T13="VALIDATED",AND('Calibrare_Linii'!H13=C1105,ISNUMBER('Calibrare_Linii'!J13),'Calibrare_Linii'!J13&lt;='Input_Meci'!G84)),"PASS",IF(X1105="CANDIDATE","OOS PENDING","FAIL"))))</x:f>
      </x:c>
      <x:c r="Z1105" s="2" t="str">
        <x:f>IF(B1105="","",IF(I1105&lt;&gt;"READY","",IF(OR(NOT(AND(J1105="PASS",'Calibrare_Linii'!U13="VALID")),L1105&gt;'Config_v6'!$B$13,W1105="WATCH"),5,IF(Y1105="PASS",1,MIN(5,MAX('Config_v6'!$B$42,U1105)+IF(W1105="PENALTY",1,0))))))</x:f>
      </x:c>
      <x:c r="AA1105" s="2" t="str">
        <x:f>IF(B1105="","",IF(I1105&lt;&gt;"READY","NOT RELEASED",IF(Z1105=5,"NO BET",IF(OR(AB1105&lt;'Config_v6'!$B$16,V1105&lt;'Config_v6'!$B$18),"WATCH",IF(Z1105=1,"DEFENSIV",IF(Z1105=2,"PRUDENT",IF(Z1105=3,"MODERAT","RIDICAT")))))))</x:f>
      </x:c>
      <x:c r="AB1105" s="10" t="str">
        <x:f>IF(N1105="","",MIN(N1105,1-S1105))</x:f>
      </x:c>
      <x:c r="AC1105" s="2" t="str">
        <x:f>IF(AD1105&lt;&gt;1,"",COUNTIFS($Z$1098:$Z$1111,"&lt;"&amp;Z1105,$AD$1098:$AD$1111,1)+COUNTIFS($Z$1098:$Z$1111,Z1105,$AB$1098:$AB$1111,"&gt;"&amp;AB1105,$AD$1098:$AD$1111,1)+COUNTIFS($Z$1098:$Z$1111,Z1105,$AB$1098:$AB$1111,AB1105,$V$1098:$V$1111,"&gt;"&amp;V1105,$AD$1098:$AD$1111,1)+COUNTIFS($Z$1098:Z1105,Z1105,$AB$1098:AB1105,AB1105,$V$1098:V1105,V1105,$AD$1098:AD1105,1))</x:f>
      </x:c>
      <x:c r="AD1105" s="2" t="n">
        <x:f>IF(OR(AA1105="DEFENSIV",AA1105="PRUDENT",AA1105="MODERAT",AA1105="RIDICAT"),1,0)</x:f>
        <x:v>0</x:v>
      </x:c>
      <x:c r="AE1105" s="2" t="str">
        <x:f>IF(AD1105&lt;&gt;1,"NO",IF(W1105="PASS","YES",IF(W1105="OOS PENDING","CONDITIONAL","NO")))</x:f>
        <x:v>NO</x:v>
      </x:c>
      <x:c r="AF1105" s="2" t="n">
        <x:f>IF(AND(AD1105=1,AC1105=1,E1105="LIVE"),1,0)</x:f>
        <x:v>0</x:v>
      </x:c>
      <x:c r="AG1105" s="2" t="str">
        <x:f>IF(AF1105&lt;&gt;1,"",'Dashboard'!P104)</x:f>
      </x:c>
      <x:c r="AH1105" s="2" t="str">
        <x:f>IF(B1105="","",IF(J1105&lt;&gt;"PASS",'Motor_Meciuri'!J84,IF('Calibrare_Linii'!U13&lt;&gt;"VALID","Parametri linie invalizi",IF(L1105&gt;'Config_v6'!$B$13,"Dispersie peste limita",IF(W1105="WATCH","Failure peste limita",IF(AB1105&lt;'Config_v6'!$B$16,"P finala sub prag",IF(V1105&lt;'Config_v6'!$B$18,"Confidence sub prag",IF(E1105="REPLAY","Exemplu retrospectiv; exclus din Top LIVE",IF(Y1105="PASS","DEFENSIV validat",IF(W1105="OOS PENDING","Eligibil; calibrare linie in monitorizare","Eligibil"))))))))))</x:f>
      </x:c>
      <x:c r="AI1105" s="2" t="str">
        <x:f>IF(B1105="","",'Calibrare_Linii'!V13)</x:f>
      </x:c>
      <x:c r="AJ1105" s="2" t="str">
        <x:f>IF(B1105="","",IF(AND('Calibrare_Linii'!T13="VALIDATED",AND('Calibrare_Linii'!H13=C1105,ISNUMBER('Calibrare_Linii'!J13),'Calibrare_Linii'!J13&lt;='Input_Meci'!G84)),"DEFENSIVE VALIDATED",IF(AND('Calibrare_Linii'!S13="VALIDATED",AND('Calibrare_Linii'!H13=C1105,ISNUMBER('Calibrare_Linii'!J13),'Calibrare_Linii'!J13&lt;='Input_Meci'!G84)),"TAIL VALIDATED","OOS PENDING")))</x:f>
      </x:c>
      <x:c r="AK1105" s="2" t="n">
        <x:f>IF(J1105&lt;&gt;"PASS",0,'Motor_Meciuri'!BR84)</x:f>
        <x:v>0</x:v>
      </x:c>
      <x:c r="AL1105" s="2" t="n">
        <x:f>IF(J1105&lt;&gt;"PASS",0,'Motor_Meciuri'!BS84)</x:f>
        <x:v>0</x:v>
      </x:c>
      <x:c r="AM1105" s="2" t="n">
        <x:f>IF(J1105&lt;&gt;"PASS",0,'Motor_Meciuri'!BT84)</x:f>
        <x:v>0</x:v>
      </x:c>
      <x:c r="AN1105" s="2" t="str">
        <x:f>IF(M1105="","",MAX(0,'Motor_Meciuri'!BF84-IF(L1105&gt;'Config_v6'!$B$12,'Config_v6'!$B$37,IF(L1105&gt;'Config_v6'!$B$11,'Config_v6'!$B$36,0))))</x:f>
      </x:c>
    </x:row>
    <x:row r="1106" ht="21" customHeight="1">
      <x:c r="A1106" s="2" t="n">
        <x:v>79</x:v>
      </x:c>
      <x:c r="B1106" s="2" t="str">
        <x:f>IF('Motor_Meciuri'!A84="","",'Motor_Meciuri'!A84)</x:f>
      </x:c>
      <x:c r="C1106" s="2" t="str">
        <x:f>IF(B1106="","",'Motor_Meciuri'!B84)</x:f>
      </x:c>
      <x:c r="D1106" s="2" t="str">
        <x:f>IF(B1106="","",'Motor_Meciuri'!D84)</x:f>
      </x:c>
      <x:c r="E1106" s="2" t="str">
        <x:f>IF(B1106="","",'Motor_Meciuri'!E84)</x:f>
      </x:c>
      <x:c r="F1106" s="2" t="str">
        <x:v>U12,5</x:v>
      </x:c>
      <x:c r="G1106" s="2" t="str">
        <x:v>UNDER</x:v>
      </x:c>
      <x:c r="H1106" s="2" t="n">
        <x:v>12</x:v>
      </x:c>
      <x:c r="I1106" s="2" t="str">
        <x:f>IF(B1106="","",'Motor_Meciuri'!H84)</x:f>
      </x:c>
      <x:c r="J1106" s="2" t="str">
        <x:f>IF(B1106="","",'Motor_Meciuri'!I84)</x:f>
      </x:c>
      <x:c r="K1106" s="11" t="str">
        <x:f>IF(J1106&lt;&gt;"PASS","",'Motor_Meciuri'!BD84)</x:f>
      </x:c>
      <x:c r="L1106" s="11" t="str">
        <x:f>IF(J1106&lt;&gt;"PASS","",'Motor_Meciuri'!AU84)</x:f>
      </x:c>
      <x:c r="M1106" s="10" t="str">
        <x:f>IF(NOT(AND(J1106="PASS",'Calibrare_Linii'!U14="VALID")),"",'Distributie'!AJ84)</x:f>
      </x:c>
      <x:c r="N1106" s="10" t="str">
        <x:f>IF(M1106="","",MAX(0.01,MIN(0.99,0.5+(M1106-0.5)*'Motor_Meciuri'!BG84*'Calibrare_Linii'!D14)))</x:f>
      </x:c>
      <x:c r="O1106" s="10" t="str">
        <x:f>IF(M1106="","",1-M1106)</x:f>
      </x:c>
      <x:c r="P1106" s="10" t="str">
        <x:f>IF(OR(NOT(AND(J1106="PASS",'Calibrare_Linii'!U14="VALID")),AK1106=0),""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*('Istoric_Nativ'!$Q$6:$Q$405&gt;H1106))/AK1106)</x:f>
      </x:c>
      <x:c r="Q1106" s="10" t="str">
        <x:f>IF(OR(NOT(AND(J1106="PASS",'Calibrare_Linii'!U14="VALID")),AL1106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M84)+((('Istoric_Nativ'!$E$6:$E$405='Input_Meci'!E84)+('Istoric_Nativ'!$F$6:$F$405='Input_Meci'!E84))&gt;0)*('Istoric_Nativ'!$D$6:$D$405&gt;='Motor_Meciuri'!BN84))&gt;0)*('Istoric_Nativ'!$Q$6:$Q$405&gt;H1106))/AL1106)</x:f>
      </x:c>
      <x:c r="R1106" s="10" t="str">
        <x:f>IF(OR(NOT(AND(J1106="PASS",'Calibrare_Linii'!U14="VALID")),AM1106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O84)+((('Istoric_Nativ'!$E$6:$E$405='Input_Meci'!E84)+('Istoric_Nativ'!$F$6:$F$405='Input_Meci'!E84))&gt;0)*('Istoric_Nativ'!$D$6:$D$405&gt;='Motor_Meciuri'!BP84))&gt;0)*('Istoric_Nativ'!$Q$6:$Q$405&gt;H1106))/AM1106)</x:f>
      </x:c>
      <x:c r="S1106" s="10" t="str">
        <x:f>IF(M1106="","",MAX(O1106,P1106,Q1106,R1106))</x:f>
      </x:c>
      <x:c r="T1106" s="11" t="str">
        <x:f>IF(M1106="","",MIN(100,S1106*100*'Config_v6'!$B$44+MIN(100,L1106/'Config_v6'!$B$13*100)*'Config_v6'!$B$45+(100-'Motor_Meciuri'!BF84)*'Config_v6'!$B$46+'Motor_Meciuri'!BH84*100*'Config_v6'!$B$47))</x:f>
      </x:c>
      <x:c r="U1106" s="2" t="str">
        <x:f>IF(T1106="","",IF(T1106&lt;=20,1,IF(T1106&lt;=40,2,IF(T1106&lt;=60,3,IF(T1106&lt;=80,4,5)))))</x:f>
      </x:c>
      <x:c r="V1106" s="2" t="str">
        <x:f>IF(M1106="","",MAX(0,'Motor_Meciuri'!BF84-IF(W1106="OOS PENDING",'Config_v6'!$B$35,0)-IF(L1106&gt;'Config_v6'!$B$12,'Config_v6'!$B$37,IF(L1106&gt;'Config_v6'!$B$11,'Config_v6'!$B$36,0))))</x:f>
      </x:c>
      <x:c r="W1106" s="2" t="str">
        <x:f>IF(B1106="","",IF(I1106&lt;&gt;"READY","NOT RELEASED",IF(NOT(AND(J1106="PASS",'Calibrare_Linii'!U14="VALID")),"INVALID",IF(NOT(AND('Calibrare_Linii'!S14="VALIDATED",AND('Calibrare_Linii'!H14=C1106,ISNUMBER('Calibrare_Linii'!J14),'Calibrare_Linii'!J14&lt;='Input_Meci'!G84))),"OOS PENDING",IF(S1106&lt;='Calibrare_Linii'!E14,"PASS",IF(S1106&lt;='Calibrare_Linii'!F14,"PENALTY","WATCH"))))))</x:f>
      </x:c>
      <x:c r="X1106" s="2" t="str">
        <x:f>IF(M1106="","",IF(AND(AND(J1106="PASS",'Calibrare_Linii'!U14="VALID"),'Motor_Meciuri'!K84=12,'Motor_Meciuri'!L84=12,'Motor_Meciuri'!M84="NO",'Motor_Meciuri'!BL84='Motor_Meciuri'!C84,AB1106&gt;='Config_v6'!$B$50,AN1106&gt;='Config_v6'!$B$51,T1106&lt;='Config_v6'!$B$52,L1106&lt;='Config_v6'!$B$53,ISNUMBER('Calibrare_Linii'!E14),S1106&lt;='Calibrare_Linii'!E14,SUM(AK1106:AM1106)&gt;0),"CANDIDATE","NO"))</x:f>
      </x:c>
      <x:c r="Y1106" s="2" t="str">
        <x:f>IF(B1106="","",IF(I1106&lt;&gt;"READY","NOT RELEASED",IF(AND(X1106="CANDIDATE",V1106&gt;='Config_v6'!$B$51,W1106="PASS",'Calibrare_Linii'!T14="VALIDATED",AND('Calibrare_Linii'!H14=C1106,ISNUMBER('Calibrare_Linii'!J14),'Calibrare_Linii'!J14&lt;='Input_Meci'!G84)),"PASS",IF(X1106="CANDIDATE","OOS PENDING","FAIL"))))</x:f>
      </x:c>
      <x:c r="Z1106" s="2" t="str">
        <x:f>IF(B1106="","",IF(I1106&lt;&gt;"READY","",IF(OR(NOT(AND(J1106="PASS",'Calibrare_Linii'!U14="VALID")),L1106&gt;'Config_v6'!$B$13,W1106="WATCH"),5,IF(Y1106="PASS",1,MIN(5,MAX('Config_v6'!$B$42,U1106)+IF(W1106="PENALTY",1,0))))))</x:f>
      </x:c>
      <x:c r="AA1106" s="2" t="str">
        <x:f>IF(B1106="","",IF(I1106&lt;&gt;"READY","NOT RELEASED",IF(Z1106=5,"NO BET",IF(OR(AB1106&lt;'Config_v6'!$B$16,V1106&lt;'Config_v6'!$B$18),"WATCH",IF(Z1106=1,"DEFENSIV",IF(Z1106=2,"PRUDENT",IF(Z1106=3,"MODERAT","RIDICAT")))))))</x:f>
      </x:c>
      <x:c r="AB1106" s="10" t="str">
        <x:f>IF(N1106="","",MIN(N1106,1-S1106))</x:f>
      </x:c>
      <x:c r="AC1106" s="2" t="str">
        <x:f>IF(AD1106&lt;&gt;1,"",COUNTIFS($Z$1098:$Z$1111,"&lt;"&amp;Z1106,$AD$1098:$AD$1111,1)+COUNTIFS($Z$1098:$Z$1111,Z1106,$AB$1098:$AB$1111,"&gt;"&amp;AB1106,$AD$1098:$AD$1111,1)+COUNTIFS($Z$1098:$Z$1111,Z1106,$AB$1098:$AB$1111,AB1106,$V$1098:$V$1111,"&gt;"&amp;V1106,$AD$1098:$AD$1111,1)+COUNTIFS($Z$1098:Z1106,Z1106,$AB$1098:AB1106,AB1106,$V$1098:V1106,V1106,$AD$1098:AD1106,1))</x:f>
      </x:c>
      <x:c r="AD1106" s="2" t="n">
        <x:f>IF(OR(AA1106="DEFENSIV",AA1106="PRUDENT",AA1106="MODERAT",AA1106="RIDICAT"),1,0)</x:f>
        <x:v>0</x:v>
      </x:c>
      <x:c r="AE1106" s="2" t="str">
        <x:f>IF(AD1106&lt;&gt;1,"NO",IF(W1106="PASS","YES",IF(W1106="OOS PENDING","CONDITIONAL","NO")))</x:f>
        <x:v>NO</x:v>
      </x:c>
      <x:c r="AF1106" s="2" t="n">
        <x:f>IF(AND(AD1106=1,AC1106=1,E1106="LIVE"),1,0)</x:f>
        <x:v>0</x:v>
      </x:c>
      <x:c r="AG1106" s="2" t="str">
        <x:f>IF(AF1106&lt;&gt;1,"",'Dashboard'!P104)</x:f>
      </x:c>
      <x:c r="AH1106" s="2" t="str">
        <x:f>IF(B1106="","",IF(J1106&lt;&gt;"PASS",'Motor_Meciuri'!J84,IF('Calibrare_Linii'!U14&lt;&gt;"VALID","Parametri linie invalizi",IF(L1106&gt;'Config_v6'!$B$13,"Dispersie peste limita",IF(W1106="WATCH","Failure peste limita",IF(AB1106&lt;'Config_v6'!$B$16,"P finala sub prag",IF(V1106&lt;'Config_v6'!$B$18,"Confidence sub prag",IF(E1106="REPLAY","Exemplu retrospectiv; exclus din Top LIVE",IF(Y1106="PASS","DEFENSIV validat",IF(W1106="OOS PENDING","Eligibil; calibrare linie in monitorizare","Eligibil"))))))))))</x:f>
      </x:c>
      <x:c r="AI1106" s="2" t="str">
        <x:f>IF(B1106="","",'Calibrare_Linii'!V14)</x:f>
      </x:c>
      <x:c r="AJ1106" s="2" t="str">
        <x:f>IF(B1106="","",IF(AND('Calibrare_Linii'!T14="VALIDATED",AND('Calibrare_Linii'!H14=C1106,ISNUMBER('Calibrare_Linii'!J14),'Calibrare_Linii'!J14&lt;='Input_Meci'!G84)),"DEFENSIVE VALIDATED",IF(AND('Calibrare_Linii'!S14="VALIDATED",AND('Calibrare_Linii'!H14=C1106,ISNUMBER('Calibrare_Linii'!J14),'Calibrare_Linii'!J14&lt;='Input_Meci'!G84)),"TAIL VALIDATED","OOS PENDING")))</x:f>
      </x:c>
      <x:c r="AK1106" s="2" t="n">
        <x:f>IF(J1106&lt;&gt;"PASS",0,'Motor_Meciuri'!BR84)</x:f>
        <x:v>0</x:v>
      </x:c>
      <x:c r="AL1106" s="2" t="n">
        <x:f>IF(J1106&lt;&gt;"PASS",0,'Motor_Meciuri'!BS84)</x:f>
        <x:v>0</x:v>
      </x:c>
      <x:c r="AM1106" s="2" t="n">
        <x:f>IF(J1106&lt;&gt;"PASS",0,'Motor_Meciuri'!BT84)</x:f>
        <x:v>0</x:v>
      </x:c>
      <x:c r="AN1106" s="2" t="str">
        <x:f>IF(M1106="","",MAX(0,'Motor_Meciuri'!BF84-IF(L1106&gt;'Config_v6'!$B$12,'Config_v6'!$B$37,IF(L1106&gt;'Config_v6'!$B$11,'Config_v6'!$B$36,0))))</x:f>
      </x:c>
    </x:row>
    <x:row r="1107" ht="21" customHeight="1">
      <x:c r="A1107" s="2" t="n">
        <x:v>79</x:v>
      </x:c>
      <x:c r="B1107" s="2" t="str">
        <x:f>IF('Motor_Meciuri'!A84="","",'Motor_Meciuri'!A84)</x:f>
      </x:c>
      <x:c r="C1107" s="2" t="str">
        <x:f>IF(B1107="","",'Motor_Meciuri'!B84)</x:f>
      </x:c>
      <x:c r="D1107" s="2" t="str">
        <x:f>IF(B1107="","",'Motor_Meciuri'!D84)</x:f>
      </x:c>
      <x:c r="E1107" s="2" t="str">
        <x:f>IF(B1107="","",'Motor_Meciuri'!E84)</x:f>
      </x:c>
      <x:c r="F1107" s="2" t="str">
        <x:v>U13,5</x:v>
      </x:c>
      <x:c r="G1107" s="2" t="str">
        <x:v>UNDER</x:v>
      </x:c>
      <x:c r="H1107" s="2" t="n">
        <x:v>13</x:v>
      </x:c>
      <x:c r="I1107" s="2" t="str">
        <x:f>IF(B1107="","",'Motor_Meciuri'!H84)</x:f>
      </x:c>
      <x:c r="J1107" s="2" t="str">
        <x:f>IF(B1107="","",'Motor_Meciuri'!I84)</x:f>
      </x:c>
      <x:c r="K1107" s="11" t="str">
        <x:f>IF(J1107&lt;&gt;"PASS","",'Motor_Meciuri'!BD84)</x:f>
      </x:c>
      <x:c r="L1107" s="11" t="str">
        <x:f>IF(J1107&lt;&gt;"PASS","",'Motor_Meciuri'!AU84)</x:f>
      </x:c>
      <x:c r="M1107" s="10" t="str">
        <x:f>IF(NOT(AND(J1107="PASS",'Calibrare_Linii'!U15="VALID")),"",'Distributie'!AK84)</x:f>
      </x:c>
      <x:c r="N1107" s="10" t="str">
        <x:f>IF(M1107="","",MAX(0.01,MIN(0.99,0.5+(M1107-0.5)*'Motor_Meciuri'!BG84*'Calibrare_Linii'!D15)))</x:f>
      </x:c>
      <x:c r="O1107" s="10" t="str">
        <x:f>IF(M1107="","",1-M1107)</x:f>
      </x:c>
      <x:c r="P1107" s="10" t="str">
        <x:f>IF(OR(NOT(AND(J1107="PASS",'Calibrare_Linii'!U15="VALID")),AK1107=0),""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*('Istoric_Nativ'!$Q$6:$Q$405&gt;H1107))/AK1107)</x:f>
      </x:c>
      <x:c r="Q1107" s="10" t="str">
        <x:f>IF(OR(NOT(AND(J1107="PASS",'Calibrare_Linii'!U15="VALID")),AL1107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M84)+((('Istoric_Nativ'!$E$6:$E$405='Input_Meci'!E84)+('Istoric_Nativ'!$F$6:$F$405='Input_Meci'!E84))&gt;0)*('Istoric_Nativ'!$D$6:$D$405&gt;='Motor_Meciuri'!BN84))&gt;0)*('Istoric_Nativ'!$Q$6:$Q$405&gt;H1107))/AL1107)</x:f>
      </x:c>
      <x:c r="R1107" s="10" t="str">
        <x:f>IF(OR(NOT(AND(J1107="PASS",'Calibrare_Linii'!U15="VALID")),AM1107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O84)+((('Istoric_Nativ'!$E$6:$E$405='Input_Meci'!E84)+('Istoric_Nativ'!$F$6:$F$405='Input_Meci'!E84))&gt;0)*('Istoric_Nativ'!$D$6:$D$405&gt;='Motor_Meciuri'!BP84))&gt;0)*('Istoric_Nativ'!$Q$6:$Q$405&gt;H1107))/AM1107)</x:f>
      </x:c>
      <x:c r="S1107" s="10" t="str">
        <x:f>IF(M1107="","",MAX(O1107,P1107,Q1107,R1107))</x:f>
      </x:c>
      <x:c r="T1107" s="11" t="str">
        <x:f>IF(M1107="","",MIN(100,S1107*100*'Config_v6'!$B$44+MIN(100,L1107/'Config_v6'!$B$13*100)*'Config_v6'!$B$45+(100-'Motor_Meciuri'!BF84)*'Config_v6'!$B$46+'Motor_Meciuri'!BH84*100*'Config_v6'!$B$47))</x:f>
      </x:c>
      <x:c r="U1107" s="2" t="str">
        <x:f>IF(T1107="","",IF(T1107&lt;=20,1,IF(T1107&lt;=40,2,IF(T1107&lt;=60,3,IF(T1107&lt;=80,4,5)))))</x:f>
      </x:c>
      <x:c r="V1107" s="2" t="str">
        <x:f>IF(M1107="","",MAX(0,'Motor_Meciuri'!BF84-IF(W1107="OOS PENDING",'Config_v6'!$B$35,0)-IF(L1107&gt;'Config_v6'!$B$12,'Config_v6'!$B$37,IF(L1107&gt;'Config_v6'!$B$11,'Config_v6'!$B$36,0))))</x:f>
      </x:c>
      <x:c r="W1107" s="2" t="str">
        <x:f>IF(B1107="","",IF(I1107&lt;&gt;"READY","NOT RELEASED",IF(NOT(AND(J1107="PASS",'Calibrare_Linii'!U15="VALID")),"INVALID",IF(NOT(AND('Calibrare_Linii'!S15="VALIDATED",AND('Calibrare_Linii'!H15=C1107,ISNUMBER('Calibrare_Linii'!J15),'Calibrare_Linii'!J15&lt;='Input_Meci'!G84))),"OOS PENDING",IF(S1107&lt;='Calibrare_Linii'!E15,"PASS",IF(S1107&lt;='Calibrare_Linii'!F15,"PENALTY","WATCH"))))))</x:f>
      </x:c>
      <x:c r="X1107" s="2" t="str">
        <x:f>IF(M1107="","",IF(AND(AND(J1107="PASS",'Calibrare_Linii'!U15="VALID"),'Motor_Meciuri'!K84=12,'Motor_Meciuri'!L84=12,'Motor_Meciuri'!M84="NO",'Motor_Meciuri'!BL84='Motor_Meciuri'!C84,AB1107&gt;='Config_v6'!$B$50,AN1107&gt;='Config_v6'!$B$51,T1107&lt;='Config_v6'!$B$52,L1107&lt;='Config_v6'!$B$53,ISNUMBER('Calibrare_Linii'!E15),S1107&lt;='Calibrare_Linii'!E15,SUM(AK1107:AM1107)&gt;0),"CANDIDATE","NO"))</x:f>
      </x:c>
      <x:c r="Y1107" s="2" t="str">
        <x:f>IF(B1107="","",IF(I1107&lt;&gt;"READY","NOT RELEASED",IF(AND(X1107="CANDIDATE",V1107&gt;='Config_v6'!$B$51,W1107="PASS",'Calibrare_Linii'!T15="VALIDATED",AND('Calibrare_Linii'!H15=C1107,ISNUMBER('Calibrare_Linii'!J15),'Calibrare_Linii'!J15&lt;='Input_Meci'!G84)),"PASS",IF(X1107="CANDIDATE","OOS PENDING","FAIL"))))</x:f>
      </x:c>
      <x:c r="Z1107" s="2" t="str">
        <x:f>IF(B1107="","",IF(I1107&lt;&gt;"READY","",IF(OR(NOT(AND(J1107="PASS",'Calibrare_Linii'!U15="VALID")),L1107&gt;'Config_v6'!$B$13,W1107="WATCH"),5,IF(Y1107="PASS",1,MIN(5,MAX('Config_v6'!$B$42,U1107)+IF(W1107="PENALTY",1,0))))))</x:f>
      </x:c>
      <x:c r="AA1107" s="2" t="str">
        <x:f>IF(B1107="","",IF(I1107&lt;&gt;"READY","NOT RELEASED",IF(Z1107=5,"NO BET",IF(OR(AB1107&lt;'Config_v6'!$B$16,V1107&lt;'Config_v6'!$B$18),"WATCH",IF(Z1107=1,"DEFENSIV",IF(Z1107=2,"PRUDENT",IF(Z1107=3,"MODERAT","RIDICAT")))))))</x:f>
      </x:c>
      <x:c r="AB1107" s="10" t="str">
        <x:f>IF(N1107="","",MIN(N1107,1-S1107))</x:f>
      </x:c>
      <x:c r="AC1107" s="2" t="str">
        <x:f>IF(AD1107&lt;&gt;1,"",COUNTIFS($Z$1098:$Z$1111,"&lt;"&amp;Z1107,$AD$1098:$AD$1111,1)+COUNTIFS($Z$1098:$Z$1111,Z1107,$AB$1098:$AB$1111,"&gt;"&amp;AB1107,$AD$1098:$AD$1111,1)+COUNTIFS($Z$1098:$Z$1111,Z1107,$AB$1098:$AB$1111,AB1107,$V$1098:$V$1111,"&gt;"&amp;V1107,$AD$1098:$AD$1111,1)+COUNTIFS($Z$1098:Z1107,Z1107,$AB$1098:AB1107,AB1107,$V$1098:V1107,V1107,$AD$1098:AD1107,1))</x:f>
      </x:c>
      <x:c r="AD1107" s="2" t="n">
        <x:f>IF(OR(AA1107="DEFENSIV",AA1107="PRUDENT",AA1107="MODERAT",AA1107="RIDICAT"),1,0)</x:f>
        <x:v>0</x:v>
      </x:c>
      <x:c r="AE1107" s="2" t="str">
        <x:f>IF(AD1107&lt;&gt;1,"NO",IF(W1107="PASS","YES",IF(W1107="OOS PENDING","CONDITIONAL","NO")))</x:f>
        <x:v>NO</x:v>
      </x:c>
      <x:c r="AF1107" s="2" t="n">
        <x:f>IF(AND(AD1107=1,AC1107=1,E1107="LIVE"),1,0)</x:f>
        <x:v>0</x:v>
      </x:c>
      <x:c r="AG1107" s="2" t="str">
        <x:f>IF(AF1107&lt;&gt;1,"",'Dashboard'!P104)</x:f>
      </x:c>
      <x:c r="AH1107" s="2" t="str">
        <x:f>IF(B1107="","",IF(J1107&lt;&gt;"PASS",'Motor_Meciuri'!J84,IF('Calibrare_Linii'!U15&lt;&gt;"VALID","Parametri linie invalizi",IF(L1107&gt;'Config_v6'!$B$13,"Dispersie peste limita",IF(W1107="WATCH","Failure peste limita",IF(AB1107&lt;'Config_v6'!$B$16,"P finala sub prag",IF(V1107&lt;'Config_v6'!$B$18,"Confidence sub prag",IF(E1107="REPLAY","Exemplu retrospectiv; exclus din Top LIVE",IF(Y1107="PASS","DEFENSIV validat",IF(W1107="OOS PENDING","Eligibil; calibrare linie in monitorizare","Eligibil"))))))))))</x:f>
      </x:c>
      <x:c r="AI1107" s="2" t="str">
        <x:f>IF(B1107="","",'Calibrare_Linii'!V15)</x:f>
      </x:c>
      <x:c r="AJ1107" s="2" t="str">
        <x:f>IF(B1107="","",IF(AND('Calibrare_Linii'!T15="VALIDATED",AND('Calibrare_Linii'!H15=C1107,ISNUMBER('Calibrare_Linii'!J15),'Calibrare_Linii'!J15&lt;='Input_Meci'!G84)),"DEFENSIVE VALIDATED",IF(AND('Calibrare_Linii'!S15="VALIDATED",AND('Calibrare_Linii'!H15=C1107,ISNUMBER('Calibrare_Linii'!J15),'Calibrare_Linii'!J15&lt;='Input_Meci'!G84)),"TAIL VALIDATED","OOS PENDING")))</x:f>
      </x:c>
      <x:c r="AK1107" s="2" t="n">
        <x:f>IF(J1107&lt;&gt;"PASS",0,'Motor_Meciuri'!BR84)</x:f>
        <x:v>0</x:v>
      </x:c>
      <x:c r="AL1107" s="2" t="n">
        <x:f>IF(J1107&lt;&gt;"PASS",0,'Motor_Meciuri'!BS84)</x:f>
        <x:v>0</x:v>
      </x:c>
      <x:c r="AM1107" s="2" t="n">
        <x:f>IF(J1107&lt;&gt;"PASS",0,'Motor_Meciuri'!BT84)</x:f>
        <x:v>0</x:v>
      </x:c>
      <x:c r="AN1107" s="2" t="str">
        <x:f>IF(M1107="","",MAX(0,'Motor_Meciuri'!BF84-IF(L1107&gt;'Config_v6'!$B$12,'Config_v6'!$B$37,IF(L1107&gt;'Config_v6'!$B$11,'Config_v6'!$B$36,0))))</x:f>
      </x:c>
    </x:row>
    <x:row r="1108" ht="21" customHeight="1">
      <x:c r="A1108" s="2" t="n">
        <x:v>79</x:v>
      </x:c>
      <x:c r="B1108" s="2" t="str">
        <x:f>IF('Motor_Meciuri'!A84="","",'Motor_Meciuri'!A84)</x:f>
      </x:c>
      <x:c r="C1108" s="2" t="str">
        <x:f>IF(B1108="","",'Motor_Meciuri'!B84)</x:f>
      </x:c>
      <x:c r="D1108" s="2" t="str">
        <x:f>IF(B1108="","",'Motor_Meciuri'!D84)</x:f>
      </x:c>
      <x:c r="E1108" s="2" t="str">
        <x:f>IF(B1108="","",'Motor_Meciuri'!E84)</x:f>
      </x:c>
      <x:c r="F1108" s="2" t="str">
        <x:v>U14,5</x:v>
      </x:c>
      <x:c r="G1108" s="2" t="str">
        <x:v>UNDER</x:v>
      </x:c>
      <x:c r="H1108" s="2" t="n">
        <x:v>14</x:v>
      </x:c>
      <x:c r="I1108" s="2" t="str">
        <x:f>IF(B1108="","",'Motor_Meciuri'!H84)</x:f>
      </x:c>
      <x:c r="J1108" s="2" t="str">
        <x:f>IF(B1108="","",'Motor_Meciuri'!I84)</x:f>
      </x:c>
      <x:c r="K1108" s="11" t="str">
        <x:f>IF(J1108&lt;&gt;"PASS","",'Motor_Meciuri'!BD84)</x:f>
      </x:c>
      <x:c r="L1108" s="11" t="str">
        <x:f>IF(J1108&lt;&gt;"PASS","",'Motor_Meciuri'!AU84)</x:f>
      </x:c>
      <x:c r="M1108" s="10" t="str">
        <x:f>IF(NOT(AND(J1108="PASS",'Calibrare_Linii'!U16="VALID")),"",'Distributie'!AL84)</x:f>
      </x:c>
      <x:c r="N1108" s="10" t="str">
        <x:f>IF(M1108="","",MAX(0.01,MIN(0.99,0.5+(M1108-0.5)*'Motor_Meciuri'!BG84*'Calibrare_Linii'!D16)))</x:f>
      </x:c>
      <x:c r="O1108" s="10" t="str">
        <x:f>IF(M1108="","",1-M1108)</x:f>
      </x:c>
      <x:c r="P1108" s="10" t="str">
        <x:f>IF(OR(NOT(AND(J1108="PASS",'Calibrare_Linii'!U16="VALID")),AK1108=0),""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*('Istoric_Nativ'!$Q$6:$Q$405&gt;H1108))/AK1108)</x:f>
      </x:c>
      <x:c r="Q1108" s="10" t="str">
        <x:f>IF(OR(NOT(AND(J1108="PASS",'Calibrare_Linii'!U16="VALID")),AL1108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M84)+((('Istoric_Nativ'!$E$6:$E$405='Input_Meci'!E84)+('Istoric_Nativ'!$F$6:$F$405='Input_Meci'!E84))&gt;0)*('Istoric_Nativ'!$D$6:$D$405&gt;='Motor_Meciuri'!BN84))&gt;0)*('Istoric_Nativ'!$Q$6:$Q$405&gt;H1108))/AL1108)</x:f>
      </x:c>
      <x:c r="R1108" s="10" t="str">
        <x:f>IF(OR(NOT(AND(J1108="PASS",'Calibrare_Linii'!U16="VALID")),AM1108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O84)+((('Istoric_Nativ'!$E$6:$E$405='Input_Meci'!E84)+('Istoric_Nativ'!$F$6:$F$405='Input_Meci'!E84))&gt;0)*('Istoric_Nativ'!$D$6:$D$405&gt;='Motor_Meciuri'!BP84))&gt;0)*('Istoric_Nativ'!$Q$6:$Q$405&gt;H1108))/AM1108)</x:f>
      </x:c>
      <x:c r="S1108" s="10" t="str">
        <x:f>IF(M1108="","",MAX(O1108,P1108,Q1108,R1108))</x:f>
      </x:c>
      <x:c r="T1108" s="11" t="str">
        <x:f>IF(M1108="","",MIN(100,S1108*100*'Config_v6'!$B$44+MIN(100,L1108/'Config_v6'!$B$13*100)*'Config_v6'!$B$45+(100-'Motor_Meciuri'!BF84)*'Config_v6'!$B$46+'Motor_Meciuri'!BH84*100*'Config_v6'!$B$47))</x:f>
      </x:c>
      <x:c r="U1108" s="2" t="str">
        <x:f>IF(T1108="","",IF(T1108&lt;=20,1,IF(T1108&lt;=40,2,IF(T1108&lt;=60,3,IF(T1108&lt;=80,4,5)))))</x:f>
      </x:c>
      <x:c r="V1108" s="2" t="str">
        <x:f>IF(M1108="","",MAX(0,'Motor_Meciuri'!BF84-IF(W1108="OOS PENDING",'Config_v6'!$B$35,0)-IF(L1108&gt;'Config_v6'!$B$12,'Config_v6'!$B$37,IF(L1108&gt;'Config_v6'!$B$11,'Config_v6'!$B$36,0))))</x:f>
      </x:c>
      <x:c r="W1108" s="2" t="str">
        <x:f>IF(B1108="","",IF(I1108&lt;&gt;"READY","NOT RELEASED",IF(NOT(AND(J1108="PASS",'Calibrare_Linii'!U16="VALID")),"INVALID",IF(NOT(AND('Calibrare_Linii'!S16="VALIDATED",AND('Calibrare_Linii'!H16=C1108,ISNUMBER('Calibrare_Linii'!J16),'Calibrare_Linii'!J16&lt;='Input_Meci'!G84))),"OOS PENDING",IF(S1108&lt;='Calibrare_Linii'!E16,"PASS",IF(S1108&lt;='Calibrare_Linii'!F16,"PENALTY","WATCH"))))))</x:f>
      </x:c>
      <x:c r="X1108" s="2" t="str">
        <x:f>IF(M1108="","",IF(AND(AND(J1108="PASS",'Calibrare_Linii'!U16="VALID"),'Motor_Meciuri'!K84=12,'Motor_Meciuri'!L84=12,'Motor_Meciuri'!M84="NO",'Motor_Meciuri'!BL84='Motor_Meciuri'!C84,AB1108&gt;='Config_v6'!$B$50,AN1108&gt;='Config_v6'!$B$51,T1108&lt;='Config_v6'!$B$52,L1108&lt;='Config_v6'!$B$53,ISNUMBER('Calibrare_Linii'!E16),S1108&lt;='Calibrare_Linii'!E16,SUM(AK1108:AM1108)&gt;0),"CANDIDATE","NO"))</x:f>
      </x:c>
      <x:c r="Y1108" s="2" t="str">
        <x:f>IF(B1108="","",IF(I1108&lt;&gt;"READY","NOT RELEASED",IF(AND(X1108="CANDIDATE",V1108&gt;='Config_v6'!$B$51,W1108="PASS",'Calibrare_Linii'!T16="VALIDATED",AND('Calibrare_Linii'!H16=C1108,ISNUMBER('Calibrare_Linii'!J16),'Calibrare_Linii'!J16&lt;='Input_Meci'!G84)),"PASS",IF(X1108="CANDIDATE","OOS PENDING","FAIL"))))</x:f>
      </x:c>
      <x:c r="Z1108" s="2" t="str">
        <x:f>IF(B1108="","",IF(I1108&lt;&gt;"READY","",IF(OR(NOT(AND(J1108="PASS",'Calibrare_Linii'!U16="VALID")),L1108&gt;'Config_v6'!$B$13,W1108="WATCH"),5,IF(Y1108="PASS",1,MIN(5,MAX('Config_v6'!$B$42,U1108)+IF(W1108="PENALTY",1,0))))))</x:f>
      </x:c>
      <x:c r="AA1108" s="2" t="str">
        <x:f>IF(B1108="","",IF(I1108&lt;&gt;"READY","NOT RELEASED",IF(Z1108=5,"NO BET",IF(OR(AB1108&lt;'Config_v6'!$B$16,V1108&lt;'Config_v6'!$B$18),"WATCH",IF(Z1108=1,"DEFENSIV",IF(Z1108=2,"PRUDENT",IF(Z1108=3,"MODERAT","RIDICAT")))))))</x:f>
      </x:c>
      <x:c r="AB1108" s="10" t="str">
        <x:f>IF(N1108="","",MIN(N1108,1-S1108))</x:f>
      </x:c>
      <x:c r="AC1108" s="2" t="str">
        <x:f>IF(AD1108&lt;&gt;1,"",COUNTIFS($Z$1098:$Z$1111,"&lt;"&amp;Z1108,$AD$1098:$AD$1111,1)+COUNTIFS($Z$1098:$Z$1111,Z1108,$AB$1098:$AB$1111,"&gt;"&amp;AB1108,$AD$1098:$AD$1111,1)+COUNTIFS($Z$1098:$Z$1111,Z1108,$AB$1098:$AB$1111,AB1108,$V$1098:$V$1111,"&gt;"&amp;V1108,$AD$1098:$AD$1111,1)+COUNTIFS($Z$1098:Z1108,Z1108,$AB$1098:AB1108,AB1108,$V$1098:V1108,V1108,$AD$1098:AD1108,1))</x:f>
      </x:c>
      <x:c r="AD1108" s="2" t="n">
        <x:f>IF(OR(AA1108="DEFENSIV",AA1108="PRUDENT",AA1108="MODERAT",AA1108="RIDICAT"),1,0)</x:f>
        <x:v>0</x:v>
      </x:c>
      <x:c r="AE1108" s="2" t="str">
        <x:f>IF(AD1108&lt;&gt;1,"NO",IF(W1108="PASS","YES",IF(W1108="OOS PENDING","CONDITIONAL","NO")))</x:f>
        <x:v>NO</x:v>
      </x:c>
      <x:c r="AF1108" s="2" t="n">
        <x:f>IF(AND(AD1108=1,AC1108=1,E1108="LIVE"),1,0)</x:f>
        <x:v>0</x:v>
      </x:c>
      <x:c r="AG1108" s="2" t="str">
        <x:f>IF(AF1108&lt;&gt;1,"",'Dashboard'!P104)</x:f>
      </x:c>
      <x:c r="AH1108" s="2" t="str">
        <x:f>IF(B1108="","",IF(J1108&lt;&gt;"PASS",'Motor_Meciuri'!J84,IF('Calibrare_Linii'!U16&lt;&gt;"VALID","Parametri linie invalizi",IF(L1108&gt;'Config_v6'!$B$13,"Dispersie peste limita",IF(W1108="WATCH","Failure peste limita",IF(AB1108&lt;'Config_v6'!$B$16,"P finala sub prag",IF(V1108&lt;'Config_v6'!$B$18,"Confidence sub prag",IF(E1108="REPLAY","Exemplu retrospectiv; exclus din Top LIVE",IF(Y1108="PASS","DEFENSIV validat",IF(W1108="OOS PENDING","Eligibil; calibrare linie in monitorizare","Eligibil"))))))))))</x:f>
      </x:c>
      <x:c r="AI1108" s="2" t="str">
        <x:f>IF(B1108="","",'Calibrare_Linii'!V16)</x:f>
      </x:c>
      <x:c r="AJ1108" s="2" t="str">
        <x:f>IF(B1108="","",IF(AND('Calibrare_Linii'!T16="VALIDATED",AND('Calibrare_Linii'!H16=C1108,ISNUMBER('Calibrare_Linii'!J16),'Calibrare_Linii'!J16&lt;='Input_Meci'!G84)),"DEFENSIVE VALIDATED",IF(AND('Calibrare_Linii'!S16="VALIDATED",AND('Calibrare_Linii'!H16=C1108,ISNUMBER('Calibrare_Linii'!J16),'Calibrare_Linii'!J16&lt;='Input_Meci'!G84)),"TAIL VALIDATED","OOS PENDING")))</x:f>
      </x:c>
      <x:c r="AK1108" s="2" t="n">
        <x:f>IF(J1108&lt;&gt;"PASS",0,'Motor_Meciuri'!BR84)</x:f>
        <x:v>0</x:v>
      </x:c>
      <x:c r="AL1108" s="2" t="n">
        <x:f>IF(J1108&lt;&gt;"PASS",0,'Motor_Meciuri'!BS84)</x:f>
        <x:v>0</x:v>
      </x:c>
      <x:c r="AM1108" s="2" t="n">
        <x:f>IF(J1108&lt;&gt;"PASS",0,'Motor_Meciuri'!BT84)</x:f>
        <x:v>0</x:v>
      </x:c>
      <x:c r="AN1108" s="2" t="str">
        <x:f>IF(M1108="","",MAX(0,'Motor_Meciuri'!BF84-IF(L1108&gt;'Config_v6'!$B$12,'Config_v6'!$B$37,IF(L1108&gt;'Config_v6'!$B$11,'Config_v6'!$B$36,0))))</x:f>
      </x:c>
    </x:row>
    <x:row r="1109" ht="21" customHeight="1">
      <x:c r="A1109" s="2" t="n">
        <x:v>79</x:v>
      </x:c>
      <x:c r="B1109" s="2" t="str">
        <x:f>IF('Motor_Meciuri'!A84="","",'Motor_Meciuri'!A84)</x:f>
      </x:c>
      <x:c r="C1109" s="2" t="str">
        <x:f>IF(B1109="","",'Motor_Meciuri'!B84)</x:f>
      </x:c>
      <x:c r="D1109" s="2" t="str">
        <x:f>IF(B1109="","",'Motor_Meciuri'!D84)</x:f>
      </x:c>
      <x:c r="E1109" s="2" t="str">
        <x:f>IF(B1109="","",'Motor_Meciuri'!E84)</x:f>
      </x:c>
      <x:c r="F1109" s="2" t="str">
        <x:v>U15,5</x:v>
      </x:c>
      <x:c r="G1109" s="2" t="str">
        <x:v>UNDER</x:v>
      </x:c>
      <x:c r="H1109" s="2" t="n">
        <x:v>15</x:v>
      </x:c>
      <x:c r="I1109" s="2" t="str">
        <x:f>IF(B1109="","",'Motor_Meciuri'!H84)</x:f>
      </x:c>
      <x:c r="J1109" s="2" t="str">
        <x:f>IF(B1109="","",'Motor_Meciuri'!I84)</x:f>
      </x:c>
      <x:c r="K1109" s="11" t="str">
        <x:f>IF(J1109&lt;&gt;"PASS","",'Motor_Meciuri'!BD84)</x:f>
      </x:c>
      <x:c r="L1109" s="11" t="str">
        <x:f>IF(J1109&lt;&gt;"PASS","",'Motor_Meciuri'!AU84)</x:f>
      </x:c>
      <x:c r="M1109" s="10" t="str">
        <x:f>IF(NOT(AND(J1109="PASS",'Calibrare_Linii'!U17="VALID")),"",'Distributie'!AM84)</x:f>
      </x:c>
      <x:c r="N1109" s="10" t="str">
        <x:f>IF(M1109="","",MAX(0.01,MIN(0.99,0.5+(M1109-0.5)*'Motor_Meciuri'!BG84*'Calibrare_Linii'!D17)))</x:f>
      </x:c>
      <x:c r="O1109" s="10" t="str">
        <x:f>IF(M1109="","",1-M1109)</x:f>
      </x:c>
      <x:c r="P1109" s="10" t="str">
        <x:f>IF(OR(NOT(AND(J1109="PASS",'Calibrare_Linii'!U17="VALID")),AK1109=0),""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*('Istoric_Nativ'!$Q$6:$Q$405&gt;H1109))/AK1109)</x:f>
      </x:c>
      <x:c r="Q1109" s="10" t="str">
        <x:f>IF(OR(NOT(AND(J1109="PASS",'Calibrare_Linii'!U17="VALID")),AL1109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M84)+((('Istoric_Nativ'!$E$6:$E$405='Input_Meci'!E84)+('Istoric_Nativ'!$F$6:$F$405='Input_Meci'!E84))&gt;0)*('Istoric_Nativ'!$D$6:$D$405&gt;='Motor_Meciuri'!BN84))&gt;0)*('Istoric_Nativ'!$Q$6:$Q$405&gt;H1109))/AL1109)</x:f>
      </x:c>
      <x:c r="R1109" s="10" t="str">
        <x:f>IF(OR(NOT(AND(J1109="PASS",'Calibrare_Linii'!U17="VALID")),AM1109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O84)+((('Istoric_Nativ'!$E$6:$E$405='Input_Meci'!E84)+('Istoric_Nativ'!$F$6:$F$405='Input_Meci'!E84))&gt;0)*('Istoric_Nativ'!$D$6:$D$405&gt;='Motor_Meciuri'!BP84))&gt;0)*('Istoric_Nativ'!$Q$6:$Q$405&gt;H1109))/AM1109)</x:f>
      </x:c>
      <x:c r="S1109" s="10" t="str">
        <x:f>IF(M1109="","",MAX(O1109,P1109,Q1109,R1109))</x:f>
      </x:c>
      <x:c r="T1109" s="11" t="str">
        <x:f>IF(M1109="","",MIN(100,S1109*100*'Config_v6'!$B$44+MIN(100,L1109/'Config_v6'!$B$13*100)*'Config_v6'!$B$45+(100-'Motor_Meciuri'!BF84)*'Config_v6'!$B$46+'Motor_Meciuri'!BH84*100*'Config_v6'!$B$47))</x:f>
      </x:c>
      <x:c r="U1109" s="2" t="str">
        <x:f>IF(T1109="","",IF(T1109&lt;=20,1,IF(T1109&lt;=40,2,IF(T1109&lt;=60,3,IF(T1109&lt;=80,4,5)))))</x:f>
      </x:c>
      <x:c r="V1109" s="2" t="str">
        <x:f>IF(M1109="","",MAX(0,'Motor_Meciuri'!BF84-IF(W1109="OOS PENDING",'Config_v6'!$B$35,0)-IF(L1109&gt;'Config_v6'!$B$12,'Config_v6'!$B$37,IF(L1109&gt;'Config_v6'!$B$11,'Config_v6'!$B$36,0))))</x:f>
      </x:c>
      <x:c r="W1109" s="2" t="str">
        <x:f>IF(B1109="","",IF(I1109&lt;&gt;"READY","NOT RELEASED",IF(NOT(AND(J1109="PASS",'Calibrare_Linii'!U17="VALID")),"INVALID",IF(NOT(AND('Calibrare_Linii'!S17="VALIDATED",AND('Calibrare_Linii'!H17=C1109,ISNUMBER('Calibrare_Linii'!J17),'Calibrare_Linii'!J17&lt;='Input_Meci'!G84))),"OOS PENDING",IF(S1109&lt;='Calibrare_Linii'!E17,"PASS",IF(S1109&lt;='Calibrare_Linii'!F17,"PENALTY","WATCH"))))))</x:f>
      </x:c>
      <x:c r="X1109" s="2" t="str">
        <x:f>IF(M1109="","",IF(AND(AND(J1109="PASS",'Calibrare_Linii'!U17="VALID"),'Motor_Meciuri'!K84=12,'Motor_Meciuri'!L84=12,'Motor_Meciuri'!M84="NO",'Motor_Meciuri'!BL84='Motor_Meciuri'!C84,AB1109&gt;='Config_v6'!$B$50,AN1109&gt;='Config_v6'!$B$51,T1109&lt;='Config_v6'!$B$52,L1109&lt;='Config_v6'!$B$53,ISNUMBER('Calibrare_Linii'!E17),S1109&lt;='Calibrare_Linii'!E17,SUM(AK1109:AM1109)&gt;0),"CANDIDATE","NO"))</x:f>
      </x:c>
      <x:c r="Y1109" s="2" t="str">
        <x:f>IF(B1109="","",IF(I1109&lt;&gt;"READY","NOT RELEASED",IF(AND(X1109="CANDIDATE",V1109&gt;='Config_v6'!$B$51,W1109="PASS",'Calibrare_Linii'!T17="VALIDATED",AND('Calibrare_Linii'!H17=C1109,ISNUMBER('Calibrare_Linii'!J17),'Calibrare_Linii'!J17&lt;='Input_Meci'!G84)),"PASS",IF(X1109="CANDIDATE","OOS PENDING","FAIL"))))</x:f>
      </x:c>
      <x:c r="Z1109" s="2" t="str">
        <x:f>IF(B1109="","",IF(I1109&lt;&gt;"READY","",IF(OR(NOT(AND(J1109="PASS",'Calibrare_Linii'!U17="VALID")),L1109&gt;'Config_v6'!$B$13,W1109="WATCH"),5,IF(Y1109="PASS",1,MIN(5,MAX('Config_v6'!$B$42,U1109)+IF(W1109="PENALTY",1,0))))))</x:f>
      </x:c>
      <x:c r="AA1109" s="2" t="str">
        <x:f>IF(B1109="","",IF(I1109&lt;&gt;"READY","NOT RELEASED",IF(Z1109=5,"NO BET",IF(OR(AB1109&lt;'Config_v6'!$B$16,V1109&lt;'Config_v6'!$B$18),"WATCH",IF(Z1109=1,"DEFENSIV",IF(Z1109=2,"PRUDENT",IF(Z1109=3,"MODERAT","RIDICAT")))))))</x:f>
      </x:c>
      <x:c r="AB1109" s="10" t="str">
        <x:f>IF(N1109="","",MIN(N1109,1-S1109))</x:f>
      </x:c>
      <x:c r="AC1109" s="2" t="str">
        <x:f>IF(AD1109&lt;&gt;1,"",COUNTIFS($Z$1098:$Z$1111,"&lt;"&amp;Z1109,$AD$1098:$AD$1111,1)+COUNTIFS($Z$1098:$Z$1111,Z1109,$AB$1098:$AB$1111,"&gt;"&amp;AB1109,$AD$1098:$AD$1111,1)+COUNTIFS($Z$1098:$Z$1111,Z1109,$AB$1098:$AB$1111,AB1109,$V$1098:$V$1111,"&gt;"&amp;V1109,$AD$1098:$AD$1111,1)+COUNTIFS($Z$1098:Z1109,Z1109,$AB$1098:AB1109,AB1109,$V$1098:V1109,V1109,$AD$1098:AD1109,1))</x:f>
      </x:c>
      <x:c r="AD1109" s="2" t="n">
        <x:f>IF(OR(AA1109="DEFENSIV",AA1109="PRUDENT",AA1109="MODERAT",AA1109="RIDICAT"),1,0)</x:f>
        <x:v>0</x:v>
      </x:c>
      <x:c r="AE1109" s="2" t="str">
        <x:f>IF(AD1109&lt;&gt;1,"NO",IF(W1109="PASS","YES",IF(W1109="OOS PENDING","CONDITIONAL","NO")))</x:f>
        <x:v>NO</x:v>
      </x:c>
      <x:c r="AF1109" s="2" t="n">
        <x:f>IF(AND(AD1109=1,AC1109=1,E1109="LIVE"),1,0)</x:f>
        <x:v>0</x:v>
      </x:c>
      <x:c r="AG1109" s="2" t="str">
        <x:f>IF(AF1109&lt;&gt;1,"",'Dashboard'!P104)</x:f>
      </x:c>
      <x:c r="AH1109" s="2" t="str">
        <x:f>IF(B1109="","",IF(J1109&lt;&gt;"PASS",'Motor_Meciuri'!J84,IF('Calibrare_Linii'!U17&lt;&gt;"VALID","Parametri linie invalizi",IF(L1109&gt;'Config_v6'!$B$13,"Dispersie peste limita",IF(W1109="WATCH","Failure peste limita",IF(AB1109&lt;'Config_v6'!$B$16,"P finala sub prag",IF(V1109&lt;'Config_v6'!$B$18,"Confidence sub prag",IF(E1109="REPLAY","Exemplu retrospectiv; exclus din Top LIVE",IF(Y1109="PASS","DEFENSIV validat",IF(W1109="OOS PENDING","Eligibil; calibrare linie in monitorizare","Eligibil"))))))))))</x:f>
      </x:c>
      <x:c r="AI1109" s="2" t="str">
        <x:f>IF(B1109="","",'Calibrare_Linii'!V17)</x:f>
      </x:c>
      <x:c r="AJ1109" s="2" t="str">
        <x:f>IF(B1109="","",IF(AND('Calibrare_Linii'!T17="VALIDATED",AND('Calibrare_Linii'!H17=C1109,ISNUMBER('Calibrare_Linii'!J17),'Calibrare_Linii'!J17&lt;='Input_Meci'!G84)),"DEFENSIVE VALIDATED",IF(AND('Calibrare_Linii'!S17="VALIDATED",AND('Calibrare_Linii'!H17=C1109,ISNUMBER('Calibrare_Linii'!J17),'Calibrare_Linii'!J17&lt;='Input_Meci'!G84)),"TAIL VALIDATED","OOS PENDING")))</x:f>
      </x:c>
      <x:c r="AK1109" s="2" t="n">
        <x:f>IF(J1109&lt;&gt;"PASS",0,'Motor_Meciuri'!BR84)</x:f>
        <x:v>0</x:v>
      </x:c>
      <x:c r="AL1109" s="2" t="n">
        <x:f>IF(J1109&lt;&gt;"PASS",0,'Motor_Meciuri'!BS84)</x:f>
        <x:v>0</x:v>
      </x:c>
      <x:c r="AM1109" s="2" t="n">
        <x:f>IF(J1109&lt;&gt;"PASS",0,'Motor_Meciuri'!BT84)</x:f>
        <x:v>0</x:v>
      </x:c>
      <x:c r="AN1109" s="2" t="str">
        <x:f>IF(M1109="","",MAX(0,'Motor_Meciuri'!BF84-IF(L1109&gt;'Config_v6'!$B$12,'Config_v6'!$B$37,IF(L1109&gt;'Config_v6'!$B$11,'Config_v6'!$B$36,0))))</x:f>
      </x:c>
    </x:row>
    <x:row r="1110" ht="21" customHeight="1">
      <x:c r="A1110" s="2" t="n">
        <x:v>79</x:v>
      </x:c>
      <x:c r="B1110" s="2" t="str">
        <x:f>IF('Motor_Meciuri'!A84="","",'Motor_Meciuri'!A84)</x:f>
      </x:c>
      <x:c r="C1110" s="2" t="str">
        <x:f>IF(B1110="","",'Motor_Meciuri'!B84)</x:f>
      </x:c>
      <x:c r="D1110" s="2" t="str">
        <x:f>IF(B1110="","",'Motor_Meciuri'!D84)</x:f>
      </x:c>
      <x:c r="E1110" s="2" t="str">
        <x:f>IF(B1110="","",'Motor_Meciuri'!E84)</x:f>
      </x:c>
      <x:c r="F1110" s="2" t="str">
        <x:v>U16,5</x:v>
      </x:c>
      <x:c r="G1110" s="2" t="str">
        <x:v>UNDER</x:v>
      </x:c>
      <x:c r="H1110" s="2" t="n">
        <x:v>16</x:v>
      </x:c>
      <x:c r="I1110" s="2" t="str">
        <x:f>IF(B1110="","",'Motor_Meciuri'!H84)</x:f>
      </x:c>
      <x:c r="J1110" s="2" t="str">
        <x:f>IF(B1110="","",'Motor_Meciuri'!I84)</x:f>
      </x:c>
      <x:c r="K1110" s="11" t="str">
        <x:f>IF(J1110&lt;&gt;"PASS","",'Motor_Meciuri'!BD84)</x:f>
      </x:c>
      <x:c r="L1110" s="11" t="str">
        <x:f>IF(J1110&lt;&gt;"PASS","",'Motor_Meciuri'!AU84)</x:f>
      </x:c>
      <x:c r="M1110" s="10" t="str">
        <x:f>IF(NOT(AND(J1110="PASS",'Calibrare_Linii'!U18="VALID")),"",'Distributie'!AN84)</x:f>
      </x:c>
      <x:c r="N1110" s="10" t="str">
        <x:f>IF(M1110="","",MAX(0.01,MIN(0.99,0.5+(M1110-0.5)*'Motor_Meciuri'!BG84*'Calibrare_Linii'!D18)))</x:f>
      </x:c>
      <x:c r="O1110" s="10" t="str">
        <x:f>IF(M1110="","",1-M1110)</x:f>
      </x:c>
      <x:c r="P1110" s="10" t="str">
        <x:f>IF(OR(NOT(AND(J1110="PASS",'Calibrare_Linii'!U18="VALID")),AK1110=0),""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*('Istoric_Nativ'!$Q$6:$Q$405&gt;H1110))/AK1110)</x:f>
      </x:c>
      <x:c r="Q1110" s="10" t="str">
        <x:f>IF(OR(NOT(AND(J1110="PASS",'Calibrare_Linii'!U18="VALID")),AL1110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M84)+((('Istoric_Nativ'!$E$6:$E$405='Input_Meci'!E84)+('Istoric_Nativ'!$F$6:$F$405='Input_Meci'!E84))&gt;0)*('Istoric_Nativ'!$D$6:$D$405&gt;='Motor_Meciuri'!BN84))&gt;0)*('Istoric_Nativ'!$Q$6:$Q$405&gt;H1110))/AL1110)</x:f>
      </x:c>
      <x:c r="R1110" s="10" t="str">
        <x:f>IF(OR(NOT(AND(J1110="PASS",'Calibrare_Linii'!U18="VALID")),AM1110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O84)+((('Istoric_Nativ'!$E$6:$E$405='Input_Meci'!E84)+('Istoric_Nativ'!$F$6:$F$405='Input_Meci'!E84))&gt;0)*('Istoric_Nativ'!$D$6:$D$405&gt;='Motor_Meciuri'!BP84))&gt;0)*('Istoric_Nativ'!$Q$6:$Q$405&gt;H1110))/AM1110)</x:f>
      </x:c>
      <x:c r="S1110" s="10" t="str">
        <x:f>IF(M1110="","",MAX(O1110,P1110,Q1110,R1110))</x:f>
      </x:c>
      <x:c r="T1110" s="11" t="str">
        <x:f>IF(M1110="","",MIN(100,S1110*100*'Config_v6'!$B$44+MIN(100,L1110/'Config_v6'!$B$13*100)*'Config_v6'!$B$45+(100-'Motor_Meciuri'!BF84)*'Config_v6'!$B$46+'Motor_Meciuri'!BH84*100*'Config_v6'!$B$47))</x:f>
      </x:c>
      <x:c r="U1110" s="2" t="str">
        <x:f>IF(T1110="","",IF(T1110&lt;=20,1,IF(T1110&lt;=40,2,IF(T1110&lt;=60,3,IF(T1110&lt;=80,4,5)))))</x:f>
      </x:c>
      <x:c r="V1110" s="2" t="str">
        <x:f>IF(M1110="","",MAX(0,'Motor_Meciuri'!BF84-IF(W1110="OOS PENDING",'Config_v6'!$B$35,0)-IF(L1110&gt;'Config_v6'!$B$12,'Config_v6'!$B$37,IF(L1110&gt;'Config_v6'!$B$11,'Config_v6'!$B$36,0))))</x:f>
      </x:c>
      <x:c r="W1110" s="2" t="str">
        <x:f>IF(B1110="","",IF(I1110&lt;&gt;"READY","NOT RELEASED",IF(NOT(AND(J1110="PASS",'Calibrare_Linii'!U18="VALID")),"INVALID",IF(NOT(AND('Calibrare_Linii'!S18="VALIDATED",AND('Calibrare_Linii'!H18=C1110,ISNUMBER('Calibrare_Linii'!J18),'Calibrare_Linii'!J18&lt;='Input_Meci'!G84))),"OOS PENDING",IF(S1110&lt;='Calibrare_Linii'!E18,"PASS",IF(S1110&lt;='Calibrare_Linii'!F18,"PENALTY","WATCH"))))))</x:f>
      </x:c>
      <x:c r="X1110" s="2" t="str">
        <x:f>IF(M1110="","",IF(AND(AND(J1110="PASS",'Calibrare_Linii'!U18="VALID"),'Motor_Meciuri'!K84=12,'Motor_Meciuri'!L84=12,'Motor_Meciuri'!M84="NO",'Motor_Meciuri'!BL84='Motor_Meciuri'!C84,AB1110&gt;='Config_v6'!$B$50,AN1110&gt;='Config_v6'!$B$51,T1110&lt;='Config_v6'!$B$52,L1110&lt;='Config_v6'!$B$53,ISNUMBER('Calibrare_Linii'!E18),S1110&lt;='Calibrare_Linii'!E18,SUM(AK1110:AM1110)&gt;0),"CANDIDATE","NO"))</x:f>
      </x:c>
      <x:c r="Y1110" s="2" t="str">
        <x:f>IF(B1110="","",IF(I1110&lt;&gt;"READY","NOT RELEASED",IF(AND(X1110="CANDIDATE",V1110&gt;='Config_v6'!$B$51,W1110="PASS",'Calibrare_Linii'!T18="VALIDATED",AND('Calibrare_Linii'!H18=C1110,ISNUMBER('Calibrare_Linii'!J18),'Calibrare_Linii'!J18&lt;='Input_Meci'!G84)),"PASS",IF(X1110="CANDIDATE","OOS PENDING","FAIL"))))</x:f>
      </x:c>
      <x:c r="Z1110" s="2" t="str">
        <x:f>IF(B1110="","",IF(I1110&lt;&gt;"READY","",IF(OR(NOT(AND(J1110="PASS",'Calibrare_Linii'!U18="VALID")),L1110&gt;'Config_v6'!$B$13,W1110="WATCH"),5,IF(Y1110="PASS",1,MIN(5,MAX('Config_v6'!$B$42,U1110)+IF(W1110="PENALTY",1,0))))))</x:f>
      </x:c>
      <x:c r="AA1110" s="2" t="str">
        <x:f>IF(B1110="","",IF(I1110&lt;&gt;"READY","NOT RELEASED",IF(Z1110=5,"NO BET",IF(OR(AB1110&lt;'Config_v6'!$B$16,V1110&lt;'Config_v6'!$B$18),"WATCH",IF(Z1110=1,"DEFENSIV",IF(Z1110=2,"PRUDENT",IF(Z1110=3,"MODERAT","RIDICAT")))))))</x:f>
      </x:c>
      <x:c r="AB1110" s="10" t="str">
        <x:f>IF(N1110="","",MIN(N1110,1-S1110))</x:f>
      </x:c>
      <x:c r="AC1110" s="2" t="str">
        <x:f>IF(AD1110&lt;&gt;1,"",COUNTIFS($Z$1098:$Z$1111,"&lt;"&amp;Z1110,$AD$1098:$AD$1111,1)+COUNTIFS($Z$1098:$Z$1111,Z1110,$AB$1098:$AB$1111,"&gt;"&amp;AB1110,$AD$1098:$AD$1111,1)+COUNTIFS($Z$1098:$Z$1111,Z1110,$AB$1098:$AB$1111,AB1110,$V$1098:$V$1111,"&gt;"&amp;V1110,$AD$1098:$AD$1111,1)+COUNTIFS($Z$1098:Z1110,Z1110,$AB$1098:AB1110,AB1110,$V$1098:V1110,V1110,$AD$1098:AD1110,1))</x:f>
      </x:c>
      <x:c r="AD1110" s="2" t="n">
        <x:f>IF(OR(AA1110="DEFENSIV",AA1110="PRUDENT",AA1110="MODERAT",AA1110="RIDICAT"),1,0)</x:f>
        <x:v>0</x:v>
      </x:c>
      <x:c r="AE1110" s="2" t="str">
        <x:f>IF(AD1110&lt;&gt;1,"NO",IF(W1110="PASS","YES",IF(W1110="OOS PENDING","CONDITIONAL","NO")))</x:f>
        <x:v>NO</x:v>
      </x:c>
      <x:c r="AF1110" s="2" t="n">
        <x:f>IF(AND(AD1110=1,AC1110=1,E1110="LIVE"),1,0)</x:f>
        <x:v>0</x:v>
      </x:c>
      <x:c r="AG1110" s="2" t="str">
        <x:f>IF(AF1110&lt;&gt;1,"",'Dashboard'!P104)</x:f>
      </x:c>
      <x:c r="AH1110" s="2" t="str">
        <x:f>IF(B1110="","",IF(J1110&lt;&gt;"PASS",'Motor_Meciuri'!J84,IF('Calibrare_Linii'!U18&lt;&gt;"VALID","Parametri linie invalizi",IF(L1110&gt;'Config_v6'!$B$13,"Dispersie peste limita",IF(W1110="WATCH","Failure peste limita",IF(AB1110&lt;'Config_v6'!$B$16,"P finala sub prag",IF(V1110&lt;'Config_v6'!$B$18,"Confidence sub prag",IF(E1110="REPLAY","Exemplu retrospectiv; exclus din Top LIVE",IF(Y1110="PASS","DEFENSIV validat",IF(W1110="OOS PENDING","Eligibil; calibrare linie in monitorizare","Eligibil"))))))))))</x:f>
      </x:c>
      <x:c r="AI1110" s="2" t="str">
        <x:f>IF(B1110="","",'Calibrare_Linii'!V18)</x:f>
      </x:c>
      <x:c r="AJ1110" s="2" t="str">
        <x:f>IF(B1110="","",IF(AND('Calibrare_Linii'!T18="VALIDATED",AND('Calibrare_Linii'!H18=C1110,ISNUMBER('Calibrare_Linii'!J18),'Calibrare_Linii'!J18&lt;='Input_Meci'!G84)),"DEFENSIVE VALIDATED",IF(AND('Calibrare_Linii'!S18="VALIDATED",AND('Calibrare_Linii'!H18=C1110,ISNUMBER('Calibrare_Linii'!J18),'Calibrare_Linii'!J18&lt;='Input_Meci'!G84)),"TAIL VALIDATED","OOS PENDING")))</x:f>
      </x:c>
      <x:c r="AK1110" s="2" t="n">
        <x:f>IF(J1110&lt;&gt;"PASS",0,'Motor_Meciuri'!BR84)</x:f>
        <x:v>0</x:v>
      </x:c>
      <x:c r="AL1110" s="2" t="n">
        <x:f>IF(J1110&lt;&gt;"PASS",0,'Motor_Meciuri'!BS84)</x:f>
        <x:v>0</x:v>
      </x:c>
      <x:c r="AM1110" s="2" t="n">
        <x:f>IF(J1110&lt;&gt;"PASS",0,'Motor_Meciuri'!BT84)</x:f>
        <x:v>0</x:v>
      </x:c>
      <x:c r="AN1110" s="2" t="str">
        <x:f>IF(M1110="","",MAX(0,'Motor_Meciuri'!BF84-IF(L1110&gt;'Config_v6'!$B$12,'Config_v6'!$B$37,IF(L1110&gt;'Config_v6'!$B$11,'Config_v6'!$B$36,0))))</x:f>
      </x:c>
    </x:row>
    <x:row r="1111" ht="21" customHeight="1">
      <x:c r="A1111" s="2" t="n">
        <x:v>79</x:v>
      </x:c>
      <x:c r="B1111" s="2" t="str">
        <x:f>IF('Motor_Meciuri'!A84="","",'Motor_Meciuri'!A84)</x:f>
      </x:c>
      <x:c r="C1111" s="2" t="str">
        <x:f>IF(B1111="","",'Motor_Meciuri'!B84)</x:f>
      </x:c>
      <x:c r="D1111" s="2" t="str">
        <x:f>IF(B1111="","",'Motor_Meciuri'!D84)</x:f>
      </x:c>
      <x:c r="E1111" s="2" t="str">
        <x:f>IF(B1111="","",'Motor_Meciuri'!E84)</x:f>
      </x:c>
      <x:c r="F1111" s="2" t="str">
        <x:v>U17,5</x:v>
      </x:c>
      <x:c r="G1111" s="2" t="str">
        <x:v>UNDER</x:v>
      </x:c>
      <x:c r="H1111" s="2" t="n">
        <x:v>17</x:v>
      </x:c>
      <x:c r="I1111" s="2" t="str">
        <x:f>IF(B1111="","",'Motor_Meciuri'!H84)</x:f>
      </x:c>
      <x:c r="J1111" s="2" t="str">
        <x:f>IF(B1111="","",'Motor_Meciuri'!I84)</x:f>
      </x:c>
      <x:c r="K1111" s="11" t="str">
        <x:f>IF(J1111&lt;&gt;"PASS","",'Motor_Meciuri'!BD84)</x:f>
      </x:c>
      <x:c r="L1111" s="11" t="str">
        <x:f>IF(J1111&lt;&gt;"PASS","",'Motor_Meciuri'!AU84)</x:f>
      </x:c>
      <x:c r="M1111" s="10" t="str">
        <x:f>IF(NOT(AND(J1111="PASS",'Calibrare_Linii'!U19="VALID")),"",'Distributie'!AO84)</x:f>
      </x:c>
      <x:c r="N1111" s="10" t="str">
        <x:f>IF(M1111="","",MAX(0.01,MIN(0.99,0.5+(M1111-0.5)*'Motor_Meciuri'!BG84*'Calibrare_Linii'!D19)))</x:f>
      </x:c>
      <x:c r="O1111" s="10" t="str">
        <x:f>IF(M1111="","",1-M1111)</x:f>
      </x:c>
      <x:c r="P1111" s="10" t="str">
        <x:f>IF(OR(NOT(AND(J1111="PASS",'Calibrare_Linii'!U19="VALID")),AK1111=0),""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*('Istoric_Nativ'!$Q$6:$Q$405&gt;H1111))/AK1111)</x:f>
      </x:c>
      <x:c r="Q1111" s="10" t="str">
        <x:f>IF(OR(NOT(AND(J1111="PASS",'Calibrare_Linii'!U19="VALID")),AL1111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M84)+((('Istoric_Nativ'!$E$6:$E$405='Input_Meci'!E84)+('Istoric_Nativ'!$F$6:$F$405='Input_Meci'!E84))&gt;0)*('Istoric_Nativ'!$D$6:$D$405&gt;='Motor_Meciuri'!BN84))&gt;0)*('Istoric_Nativ'!$Q$6:$Q$405&gt;H1111))/AL1111)</x:f>
      </x:c>
      <x:c r="R1111" s="10" t="str">
        <x:f>IF(OR(NOT(AND(J1111="PASS",'Calibrare_Linii'!U19="VALID")),AM1111=0),""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'Motor_Meciuri'!BO84)+((('Istoric_Nativ'!$E$6:$E$405='Input_Meci'!E84)+('Istoric_Nativ'!$F$6:$F$405='Input_Meci'!E84))&gt;0)*('Istoric_Nativ'!$D$6:$D$405&gt;='Motor_Meciuri'!BP84))&gt;0)*('Istoric_Nativ'!$Q$6:$Q$405&gt;H1111))/AM1111)</x:f>
      </x:c>
      <x:c r="S1111" s="10" t="str">
        <x:f>IF(M1111="","",MAX(O1111,P1111,Q1111,R1111))</x:f>
      </x:c>
      <x:c r="T1111" s="11" t="str">
        <x:f>IF(M1111="","",MIN(100,S1111*100*'Config_v6'!$B$44+MIN(100,L1111/'Config_v6'!$B$13*100)*'Config_v6'!$B$45+(100-'Motor_Meciuri'!BF84)*'Config_v6'!$B$46+'Motor_Meciuri'!BH84*100*'Config_v6'!$B$47))</x:f>
      </x:c>
      <x:c r="U1111" s="2" t="str">
        <x:f>IF(T1111="","",IF(T1111&lt;=20,1,IF(T1111&lt;=40,2,IF(T1111&lt;=60,3,IF(T1111&lt;=80,4,5)))))</x:f>
      </x:c>
      <x:c r="V1111" s="2" t="str">
        <x:f>IF(M1111="","",MAX(0,'Motor_Meciuri'!BF84-IF(W1111="OOS PENDING",'Config_v6'!$B$35,0)-IF(L1111&gt;'Config_v6'!$B$12,'Config_v6'!$B$37,IF(L1111&gt;'Config_v6'!$B$11,'Config_v6'!$B$36,0))))</x:f>
      </x:c>
      <x:c r="W1111" s="2" t="str">
        <x:f>IF(B1111="","",IF(I1111&lt;&gt;"READY","NOT RELEASED",IF(NOT(AND(J1111="PASS",'Calibrare_Linii'!U19="VALID")),"INVALID",IF(NOT(AND('Calibrare_Linii'!S19="VALIDATED",AND('Calibrare_Linii'!H19=C1111,ISNUMBER('Calibrare_Linii'!J19),'Calibrare_Linii'!J19&lt;='Input_Meci'!G84))),"OOS PENDING",IF(S1111&lt;='Calibrare_Linii'!E19,"PASS",IF(S1111&lt;='Calibrare_Linii'!F19,"PENALTY","WATCH"))))))</x:f>
      </x:c>
      <x:c r="X1111" s="2" t="str">
        <x:f>IF(M1111="","",IF(AND(AND(J1111="PASS",'Calibrare_Linii'!U19="VALID"),'Motor_Meciuri'!K84=12,'Motor_Meciuri'!L84=12,'Motor_Meciuri'!M84="NO",'Motor_Meciuri'!BL84='Motor_Meciuri'!C84,AB1111&gt;='Config_v6'!$B$50,AN1111&gt;='Config_v6'!$B$51,T1111&lt;='Config_v6'!$B$52,L1111&lt;='Config_v6'!$B$53,ISNUMBER('Calibrare_Linii'!E19),S1111&lt;='Calibrare_Linii'!E19,SUM(AK1111:AM1111)&gt;0),"CANDIDATE","NO"))</x:f>
      </x:c>
      <x:c r="Y1111" s="2" t="str">
        <x:f>IF(B1111="","",IF(I1111&lt;&gt;"READY","NOT RELEASED",IF(AND(X1111="CANDIDATE",V1111&gt;='Config_v6'!$B$51,W1111="PASS",'Calibrare_Linii'!T19="VALIDATED",AND('Calibrare_Linii'!H19=C1111,ISNUMBER('Calibrare_Linii'!J19),'Calibrare_Linii'!J19&lt;='Input_Meci'!G84)),"PASS",IF(X1111="CANDIDATE","OOS PENDING","FAIL"))))</x:f>
      </x:c>
      <x:c r="Z1111" s="2" t="str">
        <x:f>IF(B1111="","",IF(I1111&lt;&gt;"READY","",IF(OR(NOT(AND(J1111="PASS",'Calibrare_Linii'!U19="VALID")),L1111&gt;'Config_v6'!$B$13,W1111="WATCH"),5,IF(Y1111="PASS",1,MIN(5,MAX('Config_v6'!$B$42,U1111)+IF(W1111="PENALTY",1,0))))))</x:f>
      </x:c>
      <x:c r="AA1111" s="2" t="str">
        <x:f>IF(B1111="","",IF(I1111&lt;&gt;"READY","NOT RELEASED",IF(Z1111=5,"NO BET",IF(OR(AB1111&lt;'Config_v6'!$B$16,V1111&lt;'Config_v6'!$B$18),"WATCH",IF(Z1111=1,"DEFENSIV",IF(Z1111=2,"PRUDENT",IF(Z1111=3,"MODERAT","RIDICAT")))))))</x:f>
      </x:c>
      <x:c r="AB1111" s="10" t="str">
        <x:f>IF(N1111="","",MIN(N1111,1-S1111))</x:f>
      </x:c>
      <x:c r="AC1111" s="2" t="str">
        <x:f>IF(AD1111&lt;&gt;1,"",COUNTIFS($Z$1098:$Z$1111,"&lt;"&amp;Z1111,$AD$1098:$AD$1111,1)+COUNTIFS($Z$1098:$Z$1111,Z1111,$AB$1098:$AB$1111,"&gt;"&amp;AB1111,$AD$1098:$AD$1111,1)+COUNTIFS($Z$1098:$Z$1111,Z1111,$AB$1098:$AB$1111,AB1111,$V$1098:$V$1111,"&gt;"&amp;V1111,$AD$1098:$AD$1111,1)+COUNTIFS($Z$1098:Z1111,Z1111,$AB$1098:AB1111,AB1111,$V$1098:V1111,V1111,$AD$1098:AD1111,1))</x:f>
      </x:c>
      <x:c r="AD1111" s="2" t="n">
        <x:f>IF(OR(AA1111="DEFENSIV",AA1111="PRUDENT",AA1111="MODERAT",AA1111="RIDICAT"),1,0)</x:f>
        <x:v>0</x:v>
      </x:c>
      <x:c r="AE1111" s="2" t="str">
        <x:f>IF(AD1111&lt;&gt;1,"NO",IF(W1111="PASS","YES",IF(W1111="OOS PENDING","CONDITIONAL","NO")))</x:f>
        <x:v>NO</x:v>
      </x:c>
      <x:c r="AF1111" s="2" t="n">
        <x:f>IF(AND(AD1111=1,AC1111=1,E1111="LIVE"),1,0)</x:f>
        <x:v>0</x:v>
      </x:c>
      <x:c r="AG1111" s="2" t="str">
        <x:f>IF(AF1111&lt;&gt;1,"",'Dashboard'!P104)</x:f>
      </x:c>
      <x:c r="AH1111" s="2" t="str">
        <x:f>IF(B1111="","",IF(J1111&lt;&gt;"PASS",'Motor_Meciuri'!J84,IF('Calibrare_Linii'!U19&lt;&gt;"VALID","Parametri linie invalizi",IF(L1111&gt;'Config_v6'!$B$13,"Dispersie peste limita",IF(W1111="WATCH","Failure peste limita",IF(AB1111&lt;'Config_v6'!$B$16,"P finala sub prag",IF(V1111&lt;'Config_v6'!$B$18,"Confidence sub prag",IF(E1111="REPLAY","Exemplu retrospectiv; exclus din Top LIVE",IF(Y1111="PASS","DEFENSIV validat",IF(W1111="OOS PENDING","Eligibil; calibrare linie in monitorizare","Eligibil"))))))))))</x:f>
      </x:c>
      <x:c r="AI1111" s="2" t="str">
        <x:f>IF(B1111="","",'Calibrare_Linii'!V19)</x:f>
      </x:c>
      <x:c r="AJ1111" s="2" t="str">
        <x:f>IF(B1111="","",IF(AND('Calibrare_Linii'!T19="VALIDATED",AND('Calibrare_Linii'!H19=C1111,ISNUMBER('Calibrare_Linii'!J19),'Calibrare_Linii'!J19&lt;='Input_Meci'!G84)),"DEFENSIVE VALIDATED",IF(AND('Calibrare_Linii'!S19="VALIDATED",AND('Calibrare_Linii'!H19=C1111,ISNUMBER('Calibrare_Linii'!J19),'Calibrare_Linii'!J19&lt;='Input_Meci'!G84)),"TAIL VALIDATED","OOS PENDING")))</x:f>
      </x:c>
      <x:c r="AK1111" s="2" t="n">
        <x:f>IF(J1111&lt;&gt;"PASS",0,'Motor_Meciuri'!BR84)</x:f>
        <x:v>0</x:v>
      </x:c>
      <x:c r="AL1111" s="2" t="n">
        <x:f>IF(J1111&lt;&gt;"PASS",0,'Motor_Meciuri'!BS84)</x:f>
        <x:v>0</x:v>
      </x:c>
      <x:c r="AM1111" s="2" t="n">
        <x:f>IF(J1111&lt;&gt;"PASS",0,'Motor_Meciuri'!BT84)</x:f>
        <x:v>0</x:v>
      </x:c>
      <x:c r="AN1111" s="2" t="str">
        <x:f>IF(M1111="","",MAX(0,'Motor_Meciuri'!BF84-IF(L1111&gt;'Config_v6'!$B$12,'Config_v6'!$B$37,IF(L1111&gt;'Config_v6'!$B$11,'Config_v6'!$B$36,0))))</x:f>
      </x:c>
    </x:row>
    <x:row r="1112" ht="21" customHeight="1">
      <x:c r="A1112" s="2" t="n">
        <x:v>80</x:v>
      </x:c>
      <x:c r="B1112" s="2" t="str">
        <x:f>IF('Motor_Meciuri'!A85="","",'Motor_Meciuri'!A85)</x:f>
      </x:c>
      <x:c r="C1112" s="2" t="str">
        <x:f>IF(B1112="","",'Motor_Meciuri'!B85)</x:f>
      </x:c>
      <x:c r="D1112" s="2" t="str">
        <x:f>IF(B1112="","",'Motor_Meciuri'!D85)</x:f>
      </x:c>
      <x:c r="E1112" s="2" t="str">
        <x:f>IF(B1112="","",'Motor_Meciuri'!E85)</x:f>
      </x:c>
      <x:c r="F1112" s="2" t="str">
        <x:v>O3,5</x:v>
      </x:c>
      <x:c r="G1112" s="2" t="str">
        <x:v>OVER</x:v>
      </x:c>
      <x:c r="H1112" s="2" t="n">
        <x:v>3</x:v>
      </x:c>
      <x:c r="I1112" s="2" t="str">
        <x:f>IF(B1112="","",'Motor_Meciuri'!H85)</x:f>
      </x:c>
      <x:c r="J1112" s="2" t="str">
        <x:f>IF(B1112="","",'Motor_Meciuri'!I85)</x:f>
      </x:c>
      <x:c r="K1112" s="11" t="str">
        <x:f>IF(J1112&lt;&gt;"PASS","",'Motor_Meciuri'!BD85)</x:f>
      </x:c>
      <x:c r="L1112" s="11" t="str">
        <x:f>IF(J1112&lt;&gt;"PASS","",'Motor_Meciuri'!AU85)</x:f>
      </x:c>
      <x:c r="M1112" s="10" t="str">
        <x:f>IF(NOT(AND(J1112="PASS",'Calibrare_Linii'!U6="VALID")),"",1-'Distributie'!AA85)</x:f>
      </x:c>
      <x:c r="N1112" s="10" t="str">
        <x:f>IF(M1112="","",MAX(0.01,MIN(0.99,0.5+(M1112-0.5)*'Motor_Meciuri'!BG85*'Calibrare_Linii'!D6)))</x:f>
      </x:c>
      <x:c r="O1112" s="10" t="str">
        <x:f>IF(M1112="","",1-M1112)</x:f>
      </x:c>
      <x:c r="P1112" s="10" t="str">
        <x:f>IF(OR(NOT(AND(J1112="PASS",'Calibrare_Linii'!U6="VALID")),AK1112=0),""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*('Istoric_Nativ'!$Q$6:$Q$405&lt;=H1112))/AK1112)</x:f>
      </x:c>
      <x:c r="Q1112" s="10" t="str">
        <x:f>IF(OR(NOT(AND(J1112="PASS",'Calibrare_Linii'!U6="VALID")),AL1112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M85)+((('Istoric_Nativ'!$E$6:$E$405='Input_Meci'!E85)+('Istoric_Nativ'!$F$6:$F$405='Input_Meci'!E85))&gt;0)*('Istoric_Nativ'!$D$6:$D$405&gt;='Motor_Meciuri'!BN85))&gt;0)*('Istoric_Nativ'!$Q$6:$Q$405&lt;=H1112))/AL1112)</x:f>
      </x:c>
      <x:c r="R1112" s="10" t="str">
        <x:f>IF(OR(NOT(AND(J1112="PASS",'Calibrare_Linii'!U6="VALID")),AM1112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O85)+((('Istoric_Nativ'!$E$6:$E$405='Input_Meci'!E85)+('Istoric_Nativ'!$F$6:$F$405='Input_Meci'!E85))&gt;0)*('Istoric_Nativ'!$D$6:$D$405&gt;='Motor_Meciuri'!BP85))&gt;0)*('Istoric_Nativ'!$Q$6:$Q$405&lt;=H1112))/AM1112)</x:f>
      </x:c>
      <x:c r="S1112" s="10" t="str">
        <x:f>IF(M1112="","",MAX(O1112,P1112,Q1112,R1112))</x:f>
      </x:c>
      <x:c r="T1112" s="11" t="str">
        <x:f>IF(M1112="","",MIN(100,S1112*100*'Config_v6'!$B$44+MIN(100,L1112/'Config_v6'!$B$13*100)*'Config_v6'!$B$45+(100-'Motor_Meciuri'!BF85)*'Config_v6'!$B$46+'Motor_Meciuri'!BH85*100*'Config_v6'!$B$47))</x:f>
      </x:c>
      <x:c r="U1112" s="2" t="str">
        <x:f>IF(T1112="","",IF(T1112&lt;=20,1,IF(T1112&lt;=40,2,IF(T1112&lt;=60,3,IF(T1112&lt;=80,4,5)))))</x:f>
      </x:c>
      <x:c r="V1112" s="2" t="str">
        <x:f>IF(M1112="","",MAX(0,'Motor_Meciuri'!BF85-IF(W1112="OOS PENDING",'Config_v6'!$B$35,0)-IF(L1112&gt;'Config_v6'!$B$12,'Config_v6'!$B$37,IF(L1112&gt;'Config_v6'!$B$11,'Config_v6'!$B$36,0))))</x:f>
      </x:c>
      <x:c r="W1112" s="2" t="str">
        <x:f>IF(B1112="","",IF(I1112&lt;&gt;"READY","NOT RELEASED",IF(NOT(AND(J1112="PASS",'Calibrare_Linii'!U6="VALID")),"INVALID",IF(NOT(TRUE),"OOS PENDING",IF(S1112&lt;=IF(AND('Calibrare_Linii'!S6="VALIDATED",AND('Calibrare_Linii'!H6=C1112,ISNUMBER('Calibrare_Linii'!J6),'Calibrare_Linii'!J6&lt;='Input_Meci'!G85)),'Calibrare_Linii'!E6,'Config_v6'!$B$26),"PASS",IF(S1112&lt;=IF(AND('Calibrare_Linii'!S6="VALIDATED",AND('Calibrare_Linii'!H6=C1112,ISNUMBER('Calibrare_Linii'!J6),'Calibrare_Linii'!J6&lt;='Input_Meci'!G85)),'Calibrare_Linii'!F6,'Config_v6'!$C$26),"PENALTY","WATCH"))))))</x:f>
      </x:c>
      <x:c r="X1112" s="2" t="str">
        <x:f>IF(M1112="","",IF(AND(AND(J1112="PASS",'Calibrare_Linii'!U6="VALID"),'Motor_Meciuri'!K85=12,'Motor_Meciuri'!L85=12,'Motor_Meciuri'!M85="NO",'Motor_Meciuri'!BL85='Motor_Meciuri'!C85,AB1112&gt;='Config_v6'!$B$50,AN1112&gt;='Config_v6'!$B$51,T1112&lt;='Config_v6'!$B$52,L1112&lt;='Config_v6'!$B$53,ISNUMBER('Calibrare_Linii'!E6),S1112&lt;='Calibrare_Linii'!E6,SUM(AK1112:AM1112)&gt;0),"CANDIDATE","NO"))</x:f>
      </x:c>
      <x:c r="Y1112" s="2" t="str">
        <x:f>IF(B1112="","",IF(I1112&lt;&gt;"READY","NOT RELEASED",IF(AND(X1112="CANDIDATE",V1112&gt;='Config_v6'!$B$51,W1112="PASS",'Calibrare_Linii'!T6="VALIDATED",AND('Calibrare_Linii'!H6=C1112,ISNUMBER('Calibrare_Linii'!J6),'Calibrare_Linii'!J6&lt;='Input_Meci'!G85)),"PASS",IF(X1112="CANDIDATE","OOS PENDING","FAIL"))))</x:f>
      </x:c>
      <x:c r="Z1112" s="2" t="str">
        <x:f>IF(B1112="","",IF(I1112&lt;&gt;"READY","",IF(OR(NOT(AND(J1112="PASS",'Calibrare_Linii'!U6="VALID")),L1112&gt;'Config_v6'!$B$13,W1112="WATCH"),5,IF(Y1112="PASS",1,MIN(5,MAX('Config_v6'!$B$42,U1112)+IF(W1112="PENALTY",1,0))))))</x:f>
      </x:c>
      <x:c r="AA1112" s="2" t="str">
        <x:f>IF(B1112="","",IF(I1112&lt;&gt;"READY","NOT RELEASED",IF(Z1112=5,"NO BET",IF(OR(AB1112&lt;'Config_v6'!$B$16,V1112&lt;'Config_v6'!$B$18),"WATCH",IF(Z1112=1,"DEFENSIV",IF(Z1112=2,"PRUDENT",IF(Z1112=3,"MODERAT","RIDICAT")))))))</x:f>
      </x:c>
      <x:c r="AB1112" s="10" t="str">
        <x:f>IF(N1112="","",MIN(N1112,1-S1112))</x:f>
      </x:c>
      <x:c r="AC1112" s="2" t="str">
        <x:f>IF(AD1112&lt;&gt;1,"",COUNTIFS($Z$1112:$Z$1125,"&lt;"&amp;Z1112,$AD$1112:$AD$1125,1)+COUNTIFS($Z$1112:$Z$1125,Z1112,$AB$1112:$AB$1125,"&gt;"&amp;AB1112,$AD$1112:$AD$1125,1)+COUNTIFS($Z$1112:$Z$1125,Z1112,$AB$1112:$AB$1125,AB1112,$V$1112:$V$1125,"&gt;"&amp;V1112,$AD$1112:$AD$1125,1)+COUNTIFS($Z$1112:Z1112,Z1112,$AB$1112:AB1112,AB1112,$V$1112:V1112,V1112,$AD$1112:AD1112,1))</x:f>
      </x:c>
      <x:c r="AD1112" s="2" t="n">
        <x:f>IF(OR(AA1112="DEFENSIV",AA1112="PRUDENT",AA1112="MODERAT",AA1112="RIDICAT"),1,0)</x:f>
        <x:v>0</x:v>
      </x:c>
      <x:c r="AE1112" s="2" t="str">
        <x:f>IF(AD1112&lt;&gt;1,"NO",IF(W1112="PASS","YES",IF(W1112="OOS PENDING","CONDITIONAL","NO")))</x:f>
        <x:v>NO</x:v>
      </x:c>
      <x:c r="AF1112" s="2" t="n">
        <x:f>IF(AND(AD1112=1,AC1112=1,E1112="LIVE"),1,0)</x:f>
        <x:v>0</x:v>
      </x:c>
      <x:c r="AG1112" s="2" t="str">
        <x:f>IF(AF1112&lt;&gt;1,"",'Dashboard'!P105)</x:f>
      </x:c>
      <x:c r="AH1112" s="2" t="str">
        <x:f>IF(B1112="","",IF(J1112&lt;&gt;"PASS",'Motor_Meciuri'!J85,IF('Calibrare_Linii'!U6&lt;&gt;"VALID","Parametri linie invalizi",IF(L1112&gt;'Config_v6'!$B$13,"Dispersie peste limita",IF(W1112="WATCH","Failure peste limita",IF(AB1112&lt;'Config_v6'!$B$16,"P finala sub prag",IF(V1112&lt;'Config_v6'!$B$18,"Confidence sub prag",IF(E1112="REPLAY","Exemplu retrospectiv; exclus din Top LIVE",IF(Y1112="PASS","DEFENSIV validat",IF(W1112="OOS PENDING","Eligibil; calibrare linie in monitorizare","Eligibil"))))))))))</x:f>
      </x:c>
      <x:c r="AI1112" s="2" t="str">
        <x:f>IF(B1112="","",'Calibrare_Linii'!V6)</x:f>
      </x:c>
      <x:c r="AJ1112" s="2" t="str">
        <x:f>IF(B1112="","",IF(AND('Calibrare_Linii'!T6="VALIDATED",AND('Calibrare_Linii'!H6=C1112,ISNUMBER('Calibrare_Linii'!J6),'Calibrare_Linii'!J6&lt;='Input_Meci'!G85)),"DEFENSIVE VALIDATED",IF(AND('Calibrare_Linii'!S6="VALIDATED",AND('Calibrare_Linii'!H6=C1112,ISNUMBER('Calibrare_Linii'!J6),'Calibrare_Linii'!J6&lt;='Input_Meci'!G85)),"TAIL VALIDATED","OOS PENDING")))</x:f>
      </x:c>
      <x:c r="AK1112" s="2" t="n">
        <x:f>IF(J1112&lt;&gt;"PASS",0,'Motor_Meciuri'!BR85)</x:f>
        <x:v>0</x:v>
      </x:c>
      <x:c r="AL1112" s="2" t="n">
        <x:f>IF(J1112&lt;&gt;"PASS",0,'Motor_Meciuri'!BS85)</x:f>
        <x:v>0</x:v>
      </x:c>
      <x:c r="AM1112" s="2" t="n">
        <x:f>IF(J1112&lt;&gt;"PASS",0,'Motor_Meciuri'!BT85)</x:f>
        <x:v>0</x:v>
      </x:c>
      <x:c r="AN1112" s="2" t="str">
        <x:f>IF(M1112="","",MAX(0,'Motor_Meciuri'!BF85-IF(L1112&gt;'Config_v6'!$B$12,'Config_v6'!$B$37,IF(L1112&gt;'Config_v6'!$B$11,'Config_v6'!$B$36,0))))</x:f>
      </x:c>
    </x:row>
    <x:row r="1113" ht="21" customHeight="1">
      <x:c r="A1113" s="2" t="n">
        <x:v>80</x:v>
      </x:c>
      <x:c r="B1113" s="2" t="str">
        <x:f>IF('Motor_Meciuri'!A85="","",'Motor_Meciuri'!A85)</x:f>
      </x:c>
      <x:c r="C1113" s="2" t="str">
        <x:f>IF(B1113="","",'Motor_Meciuri'!B85)</x:f>
      </x:c>
      <x:c r="D1113" s="2" t="str">
        <x:f>IF(B1113="","",'Motor_Meciuri'!D85)</x:f>
      </x:c>
      <x:c r="E1113" s="2" t="str">
        <x:f>IF(B1113="","",'Motor_Meciuri'!E85)</x:f>
      </x:c>
      <x:c r="F1113" s="2" t="str">
        <x:v>O4,5</x:v>
      </x:c>
      <x:c r="G1113" s="2" t="str">
        <x:v>OVER</x:v>
      </x:c>
      <x:c r="H1113" s="2" t="n">
        <x:v>4</x:v>
      </x:c>
      <x:c r="I1113" s="2" t="str">
        <x:f>IF(B1113="","",'Motor_Meciuri'!H85)</x:f>
      </x:c>
      <x:c r="J1113" s="2" t="str">
        <x:f>IF(B1113="","",'Motor_Meciuri'!I85)</x:f>
      </x:c>
      <x:c r="K1113" s="11" t="str">
        <x:f>IF(J1113&lt;&gt;"PASS","",'Motor_Meciuri'!BD85)</x:f>
      </x:c>
      <x:c r="L1113" s="11" t="str">
        <x:f>IF(J1113&lt;&gt;"PASS","",'Motor_Meciuri'!AU85)</x:f>
      </x:c>
      <x:c r="M1113" s="10" t="str">
        <x:f>IF(NOT(AND(J1113="PASS",'Calibrare_Linii'!U7="VALID")),"",1-'Distributie'!AB85)</x:f>
      </x:c>
      <x:c r="N1113" s="10" t="str">
        <x:f>IF(M1113="","",MAX(0.01,MIN(0.99,0.5+(M1113-0.5)*'Motor_Meciuri'!BG85*'Calibrare_Linii'!D7)))</x:f>
      </x:c>
      <x:c r="O1113" s="10" t="str">
        <x:f>IF(M1113="","",1-M1113)</x:f>
      </x:c>
      <x:c r="P1113" s="10" t="str">
        <x:f>IF(OR(NOT(AND(J1113="PASS",'Calibrare_Linii'!U7="VALID")),AK1113=0),""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*('Istoric_Nativ'!$Q$6:$Q$405&lt;=H1113))/AK1113)</x:f>
      </x:c>
      <x:c r="Q1113" s="10" t="str">
        <x:f>IF(OR(NOT(AND(J1113="PASS",'Calibrare_Linii'!U7="VALID")),AL1113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M85)+((('Istoric_Nativ'!$E$6:$E$405='Input_Meci'!E85)+('Istoric_Nativ'!$F$6:$F$405='Input_Meci'!E85))&gt;0)*('Istoric_Nativ'!$D$6:$D$405&gt;='Motor_Meciuri'!BN85))&gt;0)*('Istoric_Nativ'!$Q$6:$Q$405&lt;=H1113))/AL1113)</x:f>
      </x:c>
      <x:c r="R1113" s="10" t="str">
        <x:f>IF(OR(NOT(AND(J1113="PASS",'Calibrare_Linii'!U7="VALID")),AM1113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O85)+((('Istoric_Nativ'!$E$6:$E$405='Input_Meci'!E85)+('Istoric_Nativ'!$F$6:$F$405='Input_Meci'!E85))&gt;0)*('Istoric_Nativ'!$D$6:$D$405&gt;='Motor_Meciuri'!BP85))&gt;0)*('Istoric_Nativ'!$Q$6:$Q$405&lt;=H1113))/AM1113)</x:f>
      </x:c>
      <x:c r="S1113" s="10" t="str">
        <x:f>IF(M1113="","",MAX(O1113,P1113,Q1113,R1113))</x:f>
      </x:c>
      <x:c r="T1113" s="11" t="str">
        <x:f>IF(M1113="","",MIN(100,S1113*100*'Config_v6'!$B$44+MIN(100,L1113/'Config_v6'!$B$13*100)*'Config_v6'!$B$45+(100-'Motor_Meciuri'!BF85)*'Config_v6'!$B$46+'Motor_Meciuri'!BH85*100*'Config_v6'!$B$47))</x:f>
      </x:c>
      <x:c r="U1113" s="2" t="str">
        <x:f>IF(T1113="","",IF(T1113&lt;=20,1,IF(T1113&lt;=40,2,IF(T1113&lt;=60,3,IF(T1113&lt;=80,4,5)))))</x:f>
      </x:c>
      <x:c r="V1113" s="2" t="str">
        <x:f>IF(M1113="","",MAX(0,'Motor_Meciuri'!BF85-IF(W1113="OOS PENDING",'Config_v6'!$B$35,0)-IF(L1113&gt;'Config_v6'!$B$12,'Config_v6'!$B$37,IF(L1113&gt;'Config_v6'!$B$11,'Config_v6'!$B$36,0))))</x:f>
      </x:c>
      <x:c r="W1113" s="2" t="str">
        <x:f>IF(B1113="","",IF(I1113&lt;&gt;"READY","NOT RELEASED",IF(NOT(AND(J1113="PASS",'Calibrare_Linii'!U7="VALID")),"INVALID",IF(NOT(AND('Calibrare_Linii'!S7="VALIDATED",AND('Calibrare_Linii'!H7=C1113,ISNUMBER('Calibrare_Linii'!J7),'Calibrare_Linii'!J7&lt;='Input_Meci'!G85))),"OOS PENDING",IF(S1113&lt;='Calibrare_Linii'!E7,"PASS",IF(S1113&lt;='Calibrare_Linii'!F7,"PENALTY","WATCH"))))))</x:f>
      </x:c>
      <x:c r="X1113" s="2" t="str">
        <x:f>IF(M1113="","",IF(AND(AND(J1113="PASS",'Calibrare_Linii'!U7="VALID"),'Motor_Meciuri'!K85=12,'Motor_Meciuri'!L85=12,'Motor_Meciuri'!M85="NO",'Motor_Meciuri'!BL85='Motor_Meciuri'!C85,AB1113&gt;='Config_v6'!$B$50,AN1113&gt;='Config_v6'!$B$51,T1113&lt;='Config_v6'!$B$52,L1113&lt;='Config_v6'!$B$53,ISNUMBER('Calibrare_Linii'!E7),S1113&lt;='Calibrare_Linii'!E7,SUM(AK1113:AM1113)&gt;0),"CANDIDATE","NO"))</x:f>
      </x:c>
      <x:c r="Y1113" s="2" t="str">
        <x:f>IF(B1113="","",IF(I1113&lt;&gt;"READY","NOT RELEASED",IF(AND(X1113="CANDIDATE",V1113&gt;='Config_v6'!$B$51,W1113="PASS",'Calibrare_Linii'!T7="VALIDATED",AND('Calibrare_Linii'!H7=C1113,ISNUMBER('Calibrare_Linii'!J7),'Calibrare_Linii'!J7&lt;='Input_Meci'!G85)),"PASS",IF(X1113="CANDIDATE","OOS PENDING","FAIL"))))</x:f>
      </x:c>
      <x:c r="Z1113" s="2" t="str">
        <x:f>IF(B1113="","",IF(I1113&lt;&gt;"READY","",IF(OR(NOT(AND(J1113="PASS",'Calibrare_Linii'!U7="VALID")),L1113&gt;'Config_v6'!$B$13,W1113="WATCH"),5,IF(Y1113="PASS",1,MIN(5,MAX('Config_v6'!$B$42,U1113)+IF(W1113="PENALTY",1,0))))))</x:f>
      </x:c>
      <x:c r="AA1113" s="2" t="str">
        <x:f>IF(B1113="","",IF(I1113&lt;&gt;"READY","NOT RELEASED",IF(Z1113=5,"NO BET",IF(OR(AB1113&lt;'Config_v6'!$B$16,V1113&lt;'Config_v6'!$B$18),"WATCH",IF(Z1113=1,"DEFENSIV",IF(Z1113=2,"PRUDENT",IF(Z1113=3,"MODERAT","RIDICAT")))))))</x:f>
      </x:c>
      <x:c r="AB1113" s="10" t="str">
        <x:f>IF(N1113="","",MIN(N1113,1-S1113))</x:f>
      </x:c>
      <x:c r="AC1113" s="2" t="str">
        <x:f>IF(AD1113&lt;&gt;1,"",COUNTIFS($Z$1112:$Z$1125,"&lt;"&amp;Z1113,$AD$1112:$AD$1125,1)+COUNTIFS($Z$1112:$Z$1125,Z1113,$AB$1112:$AB$1125,"&gt;"&amp;AB1113,$AD$1112:$AD$1125,1)+COUNTIFS($Z$1112:$Z$1125,Z1113,$AB$1112:$AB$1125,AB1113,$V$1112:$V$1125,"&gt;"&amp;V1113,$AD$1112:$AD$1125,1)+COUNTIFS($Z$1112:Z1113,Z1113,$AB$1112:AB1113,AB1113,$V$1112:V1113,V1113,$AD$1112:AD1113,1))</x:f>
      </x:c>
      <x:c r="AD1113" s="2" t="n">
        <x:f>IF(OR(AA1113="DEFENSIV",AA1113="PRUDENT",AA1113="MODERAT",AA1113="RIDICAT"),1,0)</x:f>
        <x:v>0</x:v>
      </x:c>
      <x:c r="AE1113" s="2" t="str">
        <x:f>IF(AD1113&lt;&gt;1,"NO",IF(W1113="PASS","YES",IF(W1113="OOS PENDING","CONDITIONAL","NO")))</x:f>
        <x:v>NO</x:v>
      </x:c>
      <x:c r="AF1113" s="2" t="n">
        <x:f>IF(AND(AD1113=1,AC1113=1,E1113="LIVE"),1,0)</x:f>
        <x:v>0</x:v>
      </x:c>
      <x:c r="AG1113" s="2" t="str">
        <x:f>IF(AF1113&lt;&gt;1,"",'Dashboard'!P105)</x:f>
      </x:c>
      <x:c r="AH1113" s="2" t="str">
        <x:f>IF(B1113="","",IF(J1113&lt;&gt;"PASS",'Motor_Meciuri'!J85,IF('Calibrare_Linii'!U7&lt;&gt;"VALID","Parametri linie invalizi",IF(L1113&gt;'Config_v6'!$B$13,"Dispersie peste limita",IF(W1113="WATCH","Failure peste limita",IF(AB1113&lt;'Config_v6'!$B$16,"P finala sub prag",IF(V1113&lt;'Config_v6'!$B$18,"Confidence sub prag",IF(E1113="REPLAY","Exemplu retrospectiv; exclus din Top LIVE",IF(Y1113="PASS","DEFENSIV validat",IF(W1113="OOS PENDING","Eligibil; calibrare linie in monitorizare","Eligibil"))))))))))</x:f>
      </x:c>
      <x:c r="AI1113" s="2" t="str">
        <x:f>IF(B1113="","",'Calibrare_Linii'!V7)</x:f>
      </x:c>
      <x:c r="AJ1113" s="2" t="str">
        <x:f>IF(B1113="","",IF(AND('Calibrare_Linii'!T7="VALIDATED",AND('Calibrare_Linii'!H7=C1113,ISNUMBER('Calibrare_Linii'!J7),'Calibrare_Linii'!J7&lt;='Input_Meci'!G85)),"DEFENSIVE VALIDATED",IF(AND('Calibrare_Linii'!S7="VALIDATED",AND('Calibrare_Linii'!H7=C1113,ISNUMBER('Calibrare_Linii'!J7),'Calibrare_Linii'!J7&lt;='Input_Meci'!G85)),"TAIL VALIDATED","OOS PENDING")))</x:f>
      </x:c>
      <x:c r="AK1113" s="2" t="n">
        <x:f>IF(J1113&lt;&gt;"PASS",0,'Motor_Meciuri'!BR85)</x:f>
        <x:v>0</x:v>
      </x:c>
      <x:c r="AL1113" s="2" t="n">
        <x:f>IF(J1113&lt;&gt;"PASS",0,'Motor_Meciuri'!BS85)</x:f>
        <x:v>0</x:v>
      </x:c>
      <x:c r="AM1113" s="2" t="n">
        <x:f>IF(J1113&lt;&gt;"PASS",0,'Motor_Meciuri'!BT85)</x:f>
        <x:v>0</x:v>
      </x:c>
      <x:c r="AN1113" s="2" t="str">
        <x:f>IF(M1113="","",MAX(0,'Motor_Meciuri'!BF85-IF(L1113&gt;'Config_v6'!$B$12,'Config_v6'!$B$37,IF(L1113&gt;'Config_v6'!$B$11,'Config_v6'!$B$36,0))))</x:f>
      </x:c>
    </x:row>
    <x:row r="1114" ht="21" customHeight="1">
      <x:c r="A1114" s="2" t="n">
        <x:v>80</x:v>
      </x:c>
      <x:c r="B1114" s="2" t="str">
        <x:f>IF('Motor_Meciuri'!A85="","",'Motor_Meciuri'!A85)</x:f>
      </x:c>
      <x:c r="C1114" s="2" t="str">
        <x:f>IF(B1114="","",'Motor_Meciuri'!B85)</x:f>
      </x:c>
      <x:c r="D1114" s="2" t="str">
        <x:f>IF(B1114="","",'Motor_Meciuri'!D85)</x:f>
      </x:c>
      <x:c r="E1114" s="2" t="str">
        <x:f>IF(B1114="","",'Motor_Meciuri'!E85)</x:f>
      </x:c>
      <x:c r="F1114" s="2" t="str">
        <x:v>O5,5</x:v>
      </x:c>
      <x:c r="G1114" s="2" t="str">
        <x:v>OVER</x:v>
      </x:c>
      <x:c r="H1114" s="2" t="n">
        <x:v>5</x:v>
      </x:c>
      <x:c r="I1114" s="2" t="str">
        <x:f>IF(B1114="","",'Motor_Meciuri'!H85)</x:f>
      </x:c>
      <x:c r="J1114" s="2" t="str">
        <x:f>IF(B1114="","",'Motor_Meciuri'!I85)</x:f>
      </x:c>
      <x:c r="K1114" s="11" t="str">
        <x:f>IF(J1114&lt;&gt;"PASS","",'Motor_Meciuri'!BD85)</x:f>
      </x:c>
      <x:c r="L1114" s="11" t="str">
        <x:f>IF(J1114&lt;&gt;"PASS","",'Motor_Meciuri'!AU85)</x:f>
      </x:c>
      <x:c r="M1114" s="10" t="str">
        <x:f>IF(NOT(AND(J1114="PASS",'Calibrare_Linii'!U8="VALID")),"",1-'Distributie'!AC85)</x:f>
      </x:c>
      <x:c r="N1114" s="10" t="str">
        <x:f>IF(M1114="","",MAX(0.01,MIN(0.99,0.5+(M1114-0.5)*'Motor_Meciuri'!BG85*'Calibrare_Linii'!D8)))</x:f>
      </x:c>
      <x:c r="O1114" s="10" t="str">
        <x:f>IF(M1114="","",1-M1114)</x:f>
      </x:c>
      <x:c r="P1114" s="10" t="str">
        <x:f>IF(OR(NOT(AND(J1114="PASS",'Calibrare_Linii'!U8="VALID")),AK1114=0),""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*('Istoric_Nativ'!$Q$6:$Q$405&lt;=H1114))/AK1114)</x:f>
      </x:c>
      <x:c r="Q1114" s="10" t="str">
        <x:f>IF(OR(NOT(AND(J1114="PASS",'Calibrare_Linii'!U8="VALID")),AL1114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M85)+((('Istoric_Nativ'!$E$6:$E$405='Input_Meci'!E85)+('Istoric_Nativ'!$F$6:$F$405='Input_Meci'!E85))&gt;0)*('Istoric_Nativ'!$D$6:$D$405&gt;='Motor_Meciuri'!BN85))&gt;0)*('Istoric_Nativ'!$Q$6:$Q$405&lt;=H1114))/AL1114)</x:f>
      </x:c>
      <x:c r="R1114" s="10" t="str">
        <x:f>IF(OR(NOT(AND(J1114="PASS",'Calibrare_Linii'!U8="VALID")),AM1114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O85)+((('Istoric_Nativ'!$E$6:$E$405='Input_Meci'!E85)+('Istoric_Nativ'!$F$6:$F$405='Input_Meci'!E85))&gt;0)*('Istoric_Nativ'!$D$6:$D$405&gt;='Motor_Meciuri'!BP85))&gt;0)*('Istoric_Nativ'!$Q$6:$Q$405&lt;=H1114))/AM1114)</x:f>
      </x:c>
      <x:c r="S1114" s="10" t="str">
        <x:f>IF(M1114="","",MAX(O1114,P1114,Q1114,R1114))</x:f>
      </x:c>
      <x:c r="T1114" s="11" t="str">
        <x:f>IF(M1114="","",MIN(100,S1114*100*'Config_v6'!$B$44+MIN(100,L1114/'Config_v6'!$B$13*100)*'Config_v6'!$B$45+(100-'Motor_Meciuri'!BF85)*'Config_v6'!$B$46+'Motor_Meciuri'!BH85*100*'Config_v6'!$B$47))</x:f>
      </x:c>
      <x:c r="U1114" s="2" t="str">
        <x:f>IF(T1114="","",IF(T1114&lt;=20,1,IF(T1114&lt;=40,2,IF(T1114&lt;=60,3,IF(T1114&lt;=80,4,5)))))</x:f>
      </x:c>
      <x:c r="V1114" s="2" t="str">
        <x:f>IF(M1114="","",MAX(0,'Motor_Meciuri'!BF85-IF(W1114="OOS PENDING",'Config_v6'!$B$35,0)-IF(L1114&gt;'Config_v6'!$B$12,'Config_v6'!$B$37,IF(L1114&gt;'Config_v6'!$B$11,'Config_v6'!$B$36,0))))</x:f>
      </x:c>
      <x:c r="W1114" s="2" t="str">
        <x:f>IF(B1114="","",IF(I1114&lt;&gt;"READY","NOT RELEASED",IF(NOT(AND(J1114="PASS",'Calibrare_Linii'!U8="VALID")),"INVALID",IF(NOT(AND('Calibrare_Linii'!S8="VALIDATED",AND('Calibrare_Linii'!H8=C1114,ISNUMBER('Calibrare_Linii'!J8),'Calibrare_Linii'!J8&lt;='Input_Meci'!G85))),"OOS PENDING",IF(S1114&lt;='Calibrare_Linii'!E8,"PASS",IF(S1114&lt;='Calibrare_Linii'!F8,"PENALTY","WATCH"))))))</x:f>
      </x:c>
      <x:c r="X1114" s="2" t="str">
        <x:f>IF(M1114="","",IF(AND(AND(J1114="PASS",'Calibrare_Linii'!U8="VALID"),'Motor_Meciuri'!K85=12,'Motor_Meciuri'!L85=12,'Motor_Meciuri'!M85="NO",'Motor_Meciuri'!BL85='Motor_Meciuri'!C85,AB1114&gt;='Config_v6'!$B$50,AN1114&gt;='Config_v6'!$B$51,T1114&lt;='Config_v6'!$B$52,L1114&lt;='Config_v6'!$B$53,ISNUMBER('Calibrare_Linii'!E8),S1114&lt;='Calibrare_Linii'!E8,SUM(AK1114:AM1114)&gt;0),"CANDIDATE","NO"))</x:f>
      </x:c>
      <x:c r="Y1114" s="2" t="str">
        <x:f>IF(B1114="","",IF(I1114&lt;&gt;"READY","NOT RELEASED",IF(AND(X1114="CANDIDATE",V1114&gt;='Config_v6'!$B$51,W1114="PASS",'Calibrare_Linii'!T8="VALIDATED",AND('Calibrare_Linii'!H8=C1114,ISNUMBER('Calibrare_Linii'!J8),'Calibrare_Linii'!J8&lt;='Input_Meci'!G85)),"PASS",IF(X1114="CANDIDATE","OOS PENDING","FAIL"))))</x:f>
      </x:c>
      <x:c r="Z1114" s="2" t="str">
        <x:f>IF(B1114="","",IF(I1114&lt;&gt;"READY","",IF(OR(NOT(AND(J1114="PASS",'Calibrare_Linii'!U8="VALID")),L1114&gt;'Config_v6'!$B$13,W1114="WATCH"),5,IF(Y1114="PASS",1,MIN(5,MAX('Config_v6'!$B$42,U1114)+IF(W1114="PENALTY",1,0))))))</x:f>
      </x:c>
      <x:c r="AA1114" s="2" t="str">
        <x:f>IF(B1114="","",IF(I1114&lt;&gt;"READY","NOT RELEASED",IF(Z1114=5,"NO BET",IF(OR(AB1114&lt;'Config_v6'!$B$16,V1114&lt;'Config_v6'!$B$18),"WATCH",IF(Z1114=1,"DEFENSIV",IF(Z1114=2,"PRUDENT",IF(Z1114=3,"MODERAT","RIDICAT")))))))</x:f>
      </x:c>
      <x:c r="AB1114" s="10" t="str">
        <x:f>IF(N1114="","",MIN(N1114,1-S1114))</x:f>
      </x:c>
      <x:c r="AC1114" s="2" t="str">
        <x:f>IF(AD1114&lt;&gt;1,"",COUNTIFS($Z$1112:$Z$1125,"&lt;"&amp;Z1114,$AD$1112:$AD$1125,1)+COUNTIFS($Z$1112:$Z$1125,Z1114,$AB$1112:$AB$1125,"&gt;"&amp;AB1114,$AD$1112:$AD$1125,1)+COUNTIFS($Z$1112:$Z$1125,Z1114,$AB$1112:$AB$1125,AB1114,$V$1112:$V$1125,"&gt;"&amp;V1114,$AD$1112:$AD$1125,1)+COUNTIFS($Z$1112:Z1114,Z1114,$AB$1112:AB1114,AB1114,$V$1112:V1114,V1114,$AD$1112:AD1114,1))</x:f>
      </x:c>
      <x:c r="AD1114" s="2" t="n">
        <x:f>IF(OR(AA1114="DEFENSIV",AA1114="PRUDENT",AA1114="MODERAT",AA1114="RIDICAT"),1,0)</x:f>
        <x:v>0</x:v>
      </x:c>
      <x:c r="AE1114" s="2" t="str">
        <x:f>IF(AD1114&lt;&gt;1,"NO",IF(W1114="PASS","YES",IF(W1114="OOS PENDING","CONDITIONAL","NO")))</x:f>
        <x:v>NO</x:v>
      </x:c>
      <x:c r="AF1114" s="2" t="n">
        <x:f>IF(AND(AD1114=1,AC1114=1,E1114="LIVE"),1,0)</x:f>
        <x:v>0</x:v>
      </x:c>
      <x:c r="AG1114" s="2" t="str">
        <x:f>IF(AF1114&lt;&gt;1,"",'Dashboard'!P105)</x:f>
      </x:c>
      <x:c r="AH1114" s="2" t="str">
        <x:f>IF(B1114="","",IF(J1114&lt;&gt;"PASS",'Motor_Meciuri'!J85,IF('Calibrare_Linii'!U8&lt;&gt;"VALID","Parametri linie invalizi",IF(L1114&gt;'Config_v6'!$B$13,"Dispersie peste limita",IF(W1114="WATCH","Failure peste limita",IF(AB1114&lt;'Config_v6'!$B$16,"P finala sub prag",IF(V1114&lt;'Config_v6'!$B$18,"Confidence sub prag",IF(E1114="REPLAY","Exemplu retrospectiv; exclus din Top LIVE",IF(Y1114="PASS","DEFENSIV validat",IF(W1114="OOS PENDING","Eligibil; calibrare linie in monitorizare","Eligibil"))))))))))</x:f>
      </x:c>
      <x:c r="AI1114" s="2" t="str">
        <x:f>IF(B1114="","",'Calibrare_Linii'!V8)</x:f>
      </x:c>
      <x:c r="AJ1114" s="2" t="str">
        <x:f>IF(B1114="","",IF(AND('Calibrare_Linii'!T8="VALIDATED",AND('Calibrare_Linii'!H8=C1114,ISNUMBER('Calibrare_Linii'!J8),'Calibrare_Linii'!J8&lt;='Input_Meci'!G85)),"DEFENSIVE VALIDATED",IF(AND('Calibrare_Linii'!S8="VALIDATED",AND('Calibrare_Linii'!H8=C1114,ISNUMBER('Calibrare_Linii'!J8),'Calibrare_Linii'!J8&lt;='Input_Meci'!G85)),"TAIL VALIDATED","OOS PENDING")))</x:f>
      </x:c>
      <x:c r="AK1114" s="2" t="n">
        <x:f>IF(J1114&lt;&gt;"PASS",0,'Motor_Meciuri'!BR85)</x:f>
        <x:v>0</x:v>
      </x:c>
      <x:c r="AL1114" s="2" t="n">
        <x:f>IF(J1114&lt;&gt;"PASS",0,'Motor_Meciuri'!BS85)</x:f>
        <x:v>0</x:v>
      </x:c>
      <x:c r="AM1114" s="2" t="n">
        <x:f>IF(J1114&lt;&gt;"PASS",0,'Motor_Meciuri'!BT85)</x:f>
        <x:v>0</x:v>
      </x:c>
      <x:c r="AN1114" s="2" t="str">
        <x:f>IF(M1114="","",MAX(0,'Motor_Meciuri'!BF85-IF(L1114&gt;'Config_v6'!$B$12,'Config_v6'!$B$37,IF(L1114&gt;'Config_v6'!$B$11,'Config_v6'!$B$36,0))))</x:f>
      </x:c>
    </x:row>
    <x:row r="1115" ht="21" customHeight="1">
      <x:c r="A1115" s="2" t="n">
        <x:v>80</x:v>
      </x:c>
      <x:c r="B1115" s="2" t="str">
        <x:f>IF('Motor_Meciuri'!A85="","",'Motor_Meciuri'!A85)</x:f>
      </x:c>
      <x:c r="C1115" s="2" t="str">
        <x:f>IF(B1115="","",'Motor_Meciuri'!B85)</x:f>
      </x:c>
      <x:c r="D1115" s="2" t="str">
        <x:f>IF(B1115="","",'Motor_Meciuri'!D85)</x:f>
      </x:c>
      <x:c r="E1115" s="2" t="str">
        <x:f>IF(B1115="","",'Motor_Meciuri'!E85)</x:f>
      </x:c>
      <x:c r="F1115" s="2" t="str">
        <x:v>O6,5</x:v>
      </x:c>
      <x:c r="G1115" s="2" t="str">
        <x:v>OVER</x:v>
      </x:c>
      <x:c r="H1115" s="2" t="n">
        <x:v>6</x:v>
      </x:c>
      <x:c r="I1115" s="2" t="str">
        <x:f>IF(B1115="","",'Motor_Meciuri'!H85)</x:f>
      </x:c>
      <x:c r="J1115" s="2" t="str">
        <x:f>IF(B1115="","",'Motor_Meciuri'!I85)</x:f>
      </x:c>
      <x:c r="K1115" s="11" t="str">
        <x:f>IF(J1115&lt;&gt;"PASS","",'Motor_Meciuri'!BD85)</x:f>
      </x:c>
      <x:c r="L1115" s="11" t="str">
        <x:f>IF(J1115&lt;&gt;"PASS","",'Motor_Meciuri'!AU85)</x:f>
      </x:c>
      <x:c r="M1115" s="10" t="str">
        <x:f>IF(NOT(AND(J1115="PASS",'Calibrare_Linii'!U9="VALID")),"",1-'Distributie'!AD85)</x:f>
      </x:c>
      <x:c r="N1115" s="10" t="str">
        <x:f>IF(M1115="","",MAX(0.01,MIN(0.99,0.5+(M1115-0.5)*'Motor_Meciuri'!BG85*'Calibrare_Linii'!D9)))</x:f>
      </x:c>
      <x:c r="O1115" s="10" t="str">
        <x:f>IF(M1115="","",1-M1115)</x:f>
      </x:c>
      <x:c r="P1115" s="10" t="str">
        <x:f>IF(OR(NOT(AND(J1115="PASS",'Calibrare_Linii'!U9="VALID")),AK1115=0),""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*('Istoric_Nativ'!$Q$6:$Q$405&lt;=H1115))/AK1115)</x:f>
      </x:c>
      <x:c r="Q1115" s="10" t="str">
        <x:f>IF(OR(NOT(AND(J1115="PASS",'Calibrare_Linii'!U9="VALID")),AL1115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M85)+((('Istoric_Nativ'!$E$6:$E$405='Input_Meci'!E85)+('Istoric_Nativ'!$F$6:$F$405='Input_Meci'!E85))&gt;0)*('Istoric_Nativ'!$D$6:$D$405&gt;='Motor_Meciuri'!BN85))&gt;0)*('Istoric_Nativ'!$Q$6:$Q$405&lt;=H1115))/AL1115)</x:f>
      </x:c>
      <x:c r="R1115" s="10" t="str">
        <x:f>IF(OR(NOT(AND(J1115="PASS",'Calibrare_Linii'!U9="VALID")),AM1115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O85)+((('Istoric_Nativ'!$E$6:$E$405='Input_Meci'!E85)+('Istoric_Nativ'!$F$6:$F$405='Input_Meci'!E85))&gt;0)*('Istoric_Nativ'!$D$6:$D$405&gt;='Motor_Meciuri'!BP85))&gt;0)*('Istoric_Nativ'!$Q$6:$Q$405&lt;=H1115))/AM1115)</x:f>
      </x:c>
      <x:c r="S1115" s="10" t="str">
        <x:f>IF(M1115="","",MAX(O1115,P1115,Q1115,R1115))</x:f>
      </x:c>
      <x:c r="T1115" s="11" t="str">
        <x:f>IF(M1115="","",MIN(100,S1115*100*'Config_v6'!$B$44+MIN(100,L1115/'Config_v6'!$B$13*100)*'Config_v6'!$B$45+(100-'Motor_Meciuri'!BF85)*'Config_v6'!$B$46+'Motor_Meciuri'!BH85*100*'Config_v6'!$B$47))</x:f>
      </x:c>
      <x:c r="U1115" s="2" t="str">
        <x:f>IF(T1115="","",IF(T1115&lt;=20,1,IF(T1115&lt;=40,2,IF(T1115&lt;=60,3,IF(T1115&lt;=80,4,5)))))</x:f>
      </x:c>
      <x:c r="V1115" s="2" t="str">
        <x:f>IF(M1115="","",MAX(0,'Motor_Meciuri'!BF85-IF(W1115="OOS PENDING",'Config_v6'!$B$35,0)-IF(L1115&gt;'Config_v6'!$B$12,'Config_v6'!$B$37,IF(L1115&gt;'Config_v6'!$B$11,'Config_v6'!$B$36,0))))</x:f>
      </x:c>
      <x:c r="W1115" s="2" t="str">
        <x:f>IF(B1115="","",IF(I1115&lt;&gt;"READY","NOT RELEASED",IF(NOT(AND(J1115="PASS",'Calibrare_Linii'!U9="VALID")),"INVALID",IF(NOT(AND('Calibrare_Linii'!S9="VALIDATED",AND('Calibrare_Linii'!H9=C1115,ISNUMBER('Calibrare_Linii'!J9),'Calibrare_Linii'!J9&lt;='Input_Meci'!G85))),"OOS PENDING",IF(S1115&lt;='Calibrare_Linii'!E9,"PASS",IF(S1115&lt;='Calibrare_Linii'!F9,"PENALTY","WATCH"))))))</x:f>
      </x:c>
      <x:c r="X1115" s="2" t="str">
        <x:f>IF(M1115="","",IF(AND(AND(J1115="PASS",'Calibrare_Linii'!U9="VALID"),'Motor_Meciuri'!K85=12,'Motor_Meciuri'!L85=12,'Motor_Meciuri'!M85="NO",'Motor_Meciuri'!BL85='Motor_Meciuri'!C85,AB1115&gt;='Config_v6'!$B$50,AN1115&gt;='Config_v6'!$B$51,T1115&lt;='Config_v6'!$B$52,L1115&lt;='Config_v6'!$B$53,ISNUMBER('Calibrare_Linii'!E9),S1115&lt;='Calibrare_Linii'!E9,SUM(AK1115:AM1115)&gt;0),"CANDIDATE","NO"))</x:f>
      </x:c>
      <x:c r="Y1115" s="2" t="str">
        <x:f>IF(B1115="","",IF(I1115&lt;&gt;"READY","NOT RELEASED",IF(AND(X1115="CANDIDATE",V1115&gt;='Config_v6'!$B$51,W1115="PASS",'Calibrare_Linii'!T9="VALIDATED",AND('Calibrare_Linii'!H9=C1115,ISNUMBER('Calibrare_Linii'!J9),'Calibrare_Linii'!J9&lt;='Input_Meci'!G85)),"PASS",IF(X1115="CANDIDATE","OOS PENDING","FAIL"))))</x:f>
      </x:c>
      <x:c r="Z1115" s="2" t="str">
        <x:f>IF(B1115="","",IF(I1115&lt;&gt;"READY","",IF(OR(NOT(AND(J1115="PASS",'Calibrare_Linii'!U9="VALID")),L1115&gt;'Config_v6'!$B$13,W1115="WATCH"),5,IF(Y1115="PASS",1,MIN(5,MAX('Config_v6'!$B$42,U1115)+IF(W1115="PENALTY",1,0))))))</x:f>
      </x:c>
      <x:c r="AA1115" s="2" t="str">
        <x:f>IF(B1115="","",IF(I1115&lt;&gt;"READY","NOT RELEASED",IF(Z1115=5,"NO BET",IF(OR(AB1115&lt;'Config_v6'!$B$16,V1115&lt;'Config_v6'!$B$18),"WATCH",IF(Z1115=1,"DEFENSIV",IF(Z1115=2,"PRUDENT",IF(Z1115=3,"MODERAT","RIDICAT")))))))</x:f>
      </x:c>
      <x:c r="AB1115" s="10" t="str">
        <x:f>IF(N1115="","",MIN(N1115,1-S1115))</x:f>
      </x:c>
      <x:c r="AC1115" s="2" t="str">
        <x:f>IF(AD1115&lt;&gt;1,"",COUNTIFS($Z$1112:$Z$1125,"&lt;"&amp;Z1115,$AD$1112:$AD$1125,1)+COUNTIFS($Z$1112:$Z$1125,Z1115,$AB$1112:$AB$1125,"&gt;"&amp;AB1115,$AD$1112:$AD$1125,1)+COUNTIFS($Z$1112:$Z$1125,Z1115,$AB$1112:$AB$1125,AB1115,$V$1112:$V$1125,"&gt;"&amp;V1115,$AD$1112:$AD$1125,1)+COUNTIFS($Z$1112:Z1115,Z1115,$AB$1112:AB1115,AB1115,$V$1112:V1115,V1115,$AD$1112:AD1115,1))</x:f>
      </x:c>
      <x:c r="AD1115" s="2" t="n">
        <x:f>IF(OR(AA1115="DEFENSIV",AA1115="PRUDENT",AA1115="MODERAT",AA1115="RIDICAT"),1,0)</x:f>
        <x:v>0</x:v>
      </x:c>
      <x:c r="AE1115" s="2" t="str">
        <x:f>IF(AD1115&lt;&gt;1,"NO",IF(W1115="PASS","YES",IF(W1115="OOS PENDING","CONDITIONAL","NO")))</x:f>
        <x:v>NO</x:v>
      </x:c>
      <x:c r="AF1115" s="2" t="n">
        <x:f>IF(AND(AD1115=1,AC1115=1,E1115="LIVE"),1,0)</x:f>
        <x:v>0</x:v>
      </x:c>
      <x:c r="AG1115" s="2" t="str">
        <x:f>IF(AF1115&lt;&gt;1,"",'Dashboard'!P105)</x:f>
      </x:c>
      <x:c r="AH1115" s="2" t="str">
        <x:f>IF(B1115="","",IF(J1115&lt;&gt;"PASS",'Motor_Meciuri'!J85,IF('Calibrare_Linii'!U9&lt;&gt;"VALID","Parametri linie invalizi",IF(L1115&gt;'Config_v6'!$B$13,"Dispersie peste limita",IF(W1115="WATCH","Failure peste limita",IF(AB1115&lt;'Config_v6'!$B$16,"P finala sub prag",IF(V1115&lt;'Config_v6'!$B$18,"Confidence sub prag",IF(E1115="REPLAY","Exemplu retrospectiv; exclus din Top LIVE",IF(Y1115="PASS","DEFENSIV validat",IF(W1115="OOS PENDING","Eligibil; calibrare linie in monitorizare","Eligibil"))))))))))</x:f>
      </x:c>
      <x:c r="AI1115" s="2" t="str">
        <x:f>IF(B1115="","",'Calibrare_Linii'!V9)</x:f>
      </x:c>
      <x:c r="AJ1115" s="2" t="str">
        <x:f>IF(B1115="","",IF(AND('Calibrare_Linii'!T9="VALIDATED",AND('Calibrare_Linii'!H9=C1115,ISNUMBER('Calibrare_Linii'!J9),'Calibrare_Linii'!J9&lt;='Input_Meci'!G85)),"DEFENSIVE VALIDATED",IF(AND('Calibrare_Linii'!S9="VALIDATED",AND('Calibrare_Linii'!H9=C1115,ISNUMBER('Calibrare_Linii'!J9),'Calibrare_Linii'!J9&lt;='Input_Meci'!G85)),"TAIL VALIDATED","OOS PENDING")))</x:f>
      </x:c>
      <x:c r="AK1115" s="2" t="n">
        <x:f>IF(J1115&lt;&gt;"PASS",0,'Motor_Meciuri'!BR85)</x:f>
        <x:v>0</x:v>
      </x:c>
      <x:c r="AL1115" s="2" t="n">
        <x:f>IF(J1115&lt;&gt;"PASS",0,'Motor_Meciuri'!BS85)</x:f>
        <x:v>0</x:v>
      </x:c>
      <x:c r="AM1115" s="2" t="n">
        <x:f>IF(J1115&lt;&gt;"PASS",0,'Motor_Meciuri'!BT85)</x:f>
        <x:v>0</x:v>
      </x:c>
      <x:c r="AN1115" s="2" t="str">
        <x:f>IF(M1115="","",MAX(0,'Motor_Meciuri'!BF85-IF(L1115&gt;'Config_v6'!$B$12,'Config_v6'!$B$37,IF(L1115&gt;'Config_v6'!$B$11,'Config_v6'!$B$36,0))))</x:f>
      </x:c>
    </x:row>
    <x:row r="1116" ht="21" customHeight="1">
      <x:c r="A1116" s="2" t="n">
        <x:v>80</x:v>
      </x:c>
      <x:c r="B1116" s="2" t="str">
        <x:f>IF('Motor_Meciuri'!A85="","",'Motor_Meciuri'!A85)</x:f>
      </x:c>
      <x:c r="C1116" s="2" t="str">
        <x:f>IF(B1116="","",'Motor_Meciuri'!B85)</x:f>
      </x:c>
      <x:c r="D1116" s="2" t="str">
        <x:f>IF(B1116="","",'Motor_Meciuri'!D85)</x:f>
      </x:c>
      <x:c r="E1116" s="2" t="str">
        <x:f>IF(B1116="","",'Motor_Meciuri'!E85)</x:f>
      </x:c>
      <x:c r="F1116" s="2" t="str">
        <x:v>O7,5</x:v>
      </x:c>
      <x:c r="G1116" s="2" t="str">
        <x:v>OVER</x:v>
      </x:c>
      <x:c r="H1116" s="2" t="n">
        <x:v>7</x:v>
      </x:c>
      <x:c r="I1116" s="2" t="str">
        <x:f>IF(B1116="","",'Motor_Meciuri'!H85)</x:f>
      </x:c>
      <x:c r="J1116" s="2" t="str">
        <x:f>IF(B1116="","",'Motor_Meciuri'!I85)</x:f>
      </x:c>
      <x:c r="K1116" s="11" t="str">
        <x:f>IF(J1116&lt;&gt;"PASS","",'Motor_Meciuri'!BD85)</x:f>
      </x:c>
      <x:c r="L1116" s="11" t="str">
        <x:f>IF(J1116&lt;&gt;"PASS","",'Motor_Meciuri'!AU85)</x:f>
      </x:c>
      <x:c r="M1116" s="10" t="str">
        <x:f>IF(NOT(AND(J1116="PASS",'Calibrare_Linii'!U10="VALID")),"",1-'Distributie'!AE85)</x:f>
      </x:c>
      <x:c r="N1116" s="10" t="str">
        <x:f>IF(M1116="","",MAX(0.01,MIN(0.99,0.5+(M1116-0.5)*'Motor_Meciuri'!BG85*'Calibrare_Linii'!D10)))</x:f>
      </x:c>
      <x:c r="O1116" s="10" t="str">
        <x:f>IF(M1116="","",1-M1116)</x:f>
      </x:c>
      <x:c r="P1116" s="10" t="str">
        <x:f>IF(OR(NOT(AND(J1116="PASS",'Calibrare_Linii'!U10="VALID")),AK1116=0),""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*('Istoric_Nativ'!$Q$6:$Q$405&lt;=H1116))/AK1116)</x:f>
      </x:c>
      <x:c r="Q1116" s="10" t="str">
        <x:f>IF(OR(NOT(AND(J1116="PASS",'Calibrare_Linii'!U10="VALID")),AL1116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M85)+((('Istoric_Nativ'!$E$6:$E$405='Input_Meci'!E85)+('Istoric_Nativ'!$F$6:$F$405='Input_Meci'!E85))&gt;0)*('Istoric_Nativ'!$D$6:$D$405&gt;='Motor_Meciuri'!BN85))&gt;0)*('Istoric_Nativ'!$Q$6:$Q$405&lt;=H1116))/AL1116)</x:f>
      </x:c>
      <x:c r="R1116" s="10" t="str">
        <x:f>IF(OR(NOT(AND(J1116="PASS",'Calibrare_Linii'!U10="VALID")),AM1116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O85)+((('Istoric_Nativ'!$E$6:$E$405='Input_Meci'!E85)+('Istoric_Nativ'!$F$6:$F$405='Input_Meci'!E85))&gt;0)*('Istoric_Nativ'!$D$6:$D$405&gt;='Motor_Meciuri'!BP85))&gt;0)*('Istoric_Nativ'!$Q$6:$Q$405&lt;=H1116))/AM1116)</x:f>
      </x:c>
      <x:c r="S1116" s="10" t="str">
        <x:f>IF(M1116="","",MAX(O1116,P1116,Q1116,R1116))</x:f>
      </x:c>
      <x:c r="T1116" s="11" t="str">
        <x:f>IF(M1116="","",MIN(100,S1116*100*'Config_v6'!$B$44+MIN(100,L1116/'Config_v6'!$B$13*100)*'Config_v6'!$B$45+(100-'Motor_Meciuri'!BF85)*'Config_v6'!$B$46+'Motor_Meciuri'!BH85*100*'Config_v6'!$B$47))</x:f>
      </x:c>
      <x:c r="U1116" s="2" t="str">
        <x:f>IF(T1116="","",IF(T1116&lt;=20,1,IF(T1116&lt;=40,2,IF(T1116&lt;=60,3,IF(T1116&lt;=80,4,5)))))</x:f>
      </x:c>
      <x:c r="V1116" s="2" t="str">
        <x:f>IF(M1116="","",MAX(0,'Motor_Meciuri'!BF85-IF(W1116="OOS PENDING",'Config_v6'!$B$35,0)-IF(L1116&gt;'Config_v6'!$B$12,'Config_v6'!$B$37,IF(L1116&gt;'Config_v6'!$B$11,'Config_v6'!$B$36,0))))</x:f>
      </x:c>
      <x:c r="W1116" s="2" t="str">
        <x:f>IF(B1116="","",IF(I1116&lt;&gt;"READY","NOT RELEASED",IF(NOT(AND(J1116="PASS",'Calibrare_Linii'!U10="VALID")),"INVALID",IF(NOT(AND('Calibrare_Linii'!S10="VALIDATED",AND('Calibrare_Linii'!H10=C1116,ISNUMBER('Calibrare_Linii'!J10),'Calibrare_Linii'!J10&lt;='Input_Meci'!G85))),"OOS PENDING",IF(S1116&lt;='Calibrare_Linii'!E10,"PASS",IF(S1116&lt;='Calibrare_Linii'!F10,"PENALTY","WATCH"))))))</x:f>
      </x:c>
      <x:c r="X1116" s="2" t="str">
        <x:f>IF(M1116="","",IF(AND(AND(J1116="PASS",'Calibrare_Linii'!U10="VALID"),'Motor_Meciuri'!K85=12,'Motor_Meciuri'!L85=12,'Motor_Meciuri'!M85="NO",'Motor_Meciuri'!BL85='Motor_Meciuri'!C85,AB1116&gt;='Config_v6'!$B$50,AN1116&gt;='Config_v6'!$B$51,T1116&lt;='Config_v6'!$B$52,L1116&lt;='Config_v6'!$B$53,ISNUMBER('Calibrare_Linii'!E10),S1116&lt;='Calibrare_Linii'!E10,SUM(AK1116:AM1116)&gt;0),"CANDIDATE","NO"))</x:f>
      </x:c>
      <x:c r="Y1116" s="2" t="str">
        <x:f>IF(B1116="","",IF(I1116&lt;&gt;"READY","NOT RELEASED",IF(AND(X1116="CANDIDATE",V1116&gt;='Config_v6'!$B$51,W1116="PASS",'Calibrare_Linii'!T10="VALIDATED",AND('Calibrare_Linii'!H10=C1116,ISNUMBER('Calibrare_Linii'!J10),'Calibrare_Linii'!J10&lt;='Input_Meci'!G85)),"PASS",IF(X1116="CANDIDATE","OOS PENDING","FAIL"))))</x:f>
      </x:c>
      <x:c r="Z1116" s="2" t="str">
        <x:f>IF(B1116="","",IF(I1116&lt;&gt;"READY","",IF(OR(NOT(AND(J1116="PASS",'Calibrare_Linii'!U10="VALID")),L1116&gt;'Config_v6'!$B$13,W1116="WATCH"),5,IF(Y1116="PASS",1,MIN(5,MAX('Config_v6'!$B$42,U1116)+IF(W1116="PENALTY",1,0))))))</x:f>
      </x:c>
      <x:c r="AA1116" s="2" t="str">
        <x:f>IF(B1116="","",IF(I1116&lt;&gt;"READY","NOT RELEASED",IF(Z1116=5,"NO BET",IF(OR(AB1116&lt;'Config_v6'!$B$16,V1116&lt;'Config_v6'!$B$18),"WATCH",IF(Z1116=1,"DEFENSIV",IF(Z1116=2,"PRUDENT",IF(Z1116=3,"MODERAT","RIDICAT")))))))</x:f>
      </x:c>
      <x:c r="AB1116" s="10" t="str">
        <x:f>IF(N1116="","",MIN(N1116,1-S1116))</x:f>
      </x:c>
      <x:c r="AC1116" s="2" t="str">
        <x:f>IF(AD1116&lt;&gt;1,"",COUNTIFS($Z$1112:$Z$1125,"&lt;"&amp;Z1116,$AD$1112:$AD$1125,1)+COUNTIFS($Z$1112:$Z$1125,Z1116,$AB$1112:$AB$1125,"&gt;"&amp;AB1116,$AD$1112:$AD$1125,1)+COUNTIFS($Z$1112:$Z$1125,Z1116,$AB$1112:$AB$1125,AB1116,$V$1112:$V$1125,"&gt;"&amp;V1116,$AD$1112:$AD$1125,1)+COUNTIFS($Z$1112:Z1116,Z1116,$AB$1112:AB1116,AB1116,$V$1112:V1116,V1116,$AD$1112:AD1116,1))</x:f>
      </x:c>
      <x:c r="AD1116" s="2" t="n">
        <x:f>IF(OR(AA1116="DEFENSIV",AA1116="PRUDENT",AA1116="MODERAT",AA1116="RIDICAT"),1,0)</x:f>
        <x:v>0</x:v>
      </x:c>
      <x:c r="AE1116" s="2" t="str">
        <x:f>IF(AD1116&lt;&gt;1,"NO",IF(W1116="PASS","YES",IF(W1116="OOS PENDING","CONDITIONAL","NO")))</x:f>
        <x:v>NO</x:v>
      </x:c>
      <x:c r="AF1116" s="2" t="n">
        <x:f>IF(AND(AD1116=1,AC1116=1,E1116="LIVE"),1,0)</x:f>
        <x:v>0</x:v>
      </x:c>
      <x:c r="AG1116" s="2" t="str">
        <x:f>IF(AF1116&lt;&gt;1,"",'Dashboard'!P105)</x:f>
      </x:c>
      <x:c r="AH1116" s="2" t="str">
        <x:f>IF(B1116="","",IF(J1116&lt;&gt;"PASS",'Motor_Meciuri'!J85,IF('Calibrare_Linii'!U10&lt;&gt;"VALID","Parametri linie invalizi",IF(L1116&gt;'Config_v6'!$B$13,"Dispersie peste limita",IF(W1116="WATCH","Failure peste limita",IF(AB1116&lt;'Config_v6'!$B$16,"P finala sub prag",IF(V1116&lt;'Config_v6'!$B$18,"Confidence sub prag",IF(E1116="REPLAY","Exemplu retrospectiv; exclus din Top LIVE",IF(Y1116="PASS","DEFENSIV validat",IF(W1116="OOS PENDING","Eligibil; calibrare linie in monitorizare","Eligibil"))))))))))</x:f>
      </x:c>
      <x:c r="AI1116" s="2" t="str">
        <x:f>IF(B1116="","",'Calibrare_Linii'!V10)</x:f>
      </x:c>
      <x:c r="AJ1116" s="2" t="str">
        <x:f>IF(B1116="","",IF(AND('Calibrare_Linii'!T10="VALIDATED",AND('Calibrare_Linii'!H10=C1116,ISNUMBER('Calibrare_Linii'!J10),'Calibrare_Linii'!J10&lt;='Input_Meci'!G85)),"DEFENSIVE VALIDATED",IF(AND('Calibrare_Linii'!S10="VALIDATED",AND('Calibrare_Linii'!H10=C1116,ISNUMBER('Calibrare_Linii'!J10),'Calibrare_Linii'!J10&lt;='Input_Meci'!G85)),"TAIL VALIDATED","OOS PENDING")))</x:f>
      </x:c>
      <x:c r="AK1116" s="2" t="n">
        <x:f>IF(J1116&lt;&gt;"PASS",0,'Motor_Meciuri'!BR85)</x:f>
        <x:v>0</x:v>
      </x:c>
      <x:c r="AL1116" s="2" t="n">
        <x:f>IF(J1116&lt;&gt;"PASS",0,'Motor_Meciuri'!BS85)</x:f>
        <x:v>0</x:v>
      </x:c>
      <x:c r="AM1116" s="2" t="n">
        <x:f>IF(J1116&lt;&gt;"PASS",0,'Motor_Meciuri'!BT85)</x:f>
        <x:v>0</x:v>
      </x:c>
      <x:c r="AN1116" s="2" t="str">
        <x:f>IF(M1116="","",MAX(0,'Motor_Meciuri'!BF85-IF(L1116&gt;'Config_v6'!$B$12,'Config_v6'!$B$37,IF(L1116&gt;'Config_v6'!$B$11,'Config_v6'!$B$36,0))))</x:f>
      </x:c>
    </x:row>
    <x:row r="1117" ht="21" customHeight="1">
      <x:c r="A1117" s="2" t="n">
        <x:v>80</x:v>
      </x:c>
      <x:c r="B1117" s="2" t="str">
        <x:f>IF('Motor_Meciuri'!A85="","",'Motor_Meciuri'!A85)</x:f>
      </x:c>
      <x:c r="C1117" s="2" t="str">
        <x:f>IF(B1117="","",'Motor_Meciuri'!B85)</x:f>
      </x:c>
      <x:c r="D1117" s="2" t="str">
        <x:f>IF(B1117="","",'Motor_Meciuri'!D85)</x:f>
      </x:c>
      <x:c r="E1117" s="2" t="str">
        <x:f>IF(B1117="","",'Motor_Meciuri'!E85)</x:f>
      </x:c>
      <x:c r="F1117" s="2" t="str">
        <x:v>O8,5</x:v>
      </x:c>
      <x:c r="G1117" s="2" t="str">
        <x:v>OVER</x:v>
      </x:c>
      <x:c r="H1117" s="2" t="n">
        <x:v>8</x:v>
      </x:c>
      <x:c r="I1117" s="2" t="str">
        <x:f>IF(B1117="","",'Motor_Meciuri'!H85)</x:f>
      </x:c>
      <x:c r="J1117" s="2" t="str">
        <x:f>IF(B1117="","",'Motor_Meciuri'!I85)</x:f>
      </x:c>
      <x:c r="K1117" s="11" t="str">
        <x:f>IF(J1117&lt;&gt;"PASS","",'Motor_Meciuri'!BD85)</x:f>
      </x:c>
      <x:c r="L1117" s="11" t="str">
        <x:f>IF(J1117&lt;&gt;"PASS","",'Motor_Meciuri'!AU85)</x:f>
      </x:c>
      <x:c r="M1117" s="10" t="str">
        <x:f>IF(NOT(AND(J1117="PASS",'Calibrare_Linii'!U11="VALID")),"",1-'Distributie'!AF85)</x:f>
      </x:c>
      <x:c r="N1117" s="10" t="str">
        <x:f>IF(M1117="","",MAX(0.01,MIN(0.99,0.5+(M1117-0.5)*'Motor_Meciuri'!BG85*'Calibrare_Linii'!D11)))</x:f>
      </x:c>
      <x:c r="O1117" s="10" t="str">
        <x:f>IF(M1117="","",1-M1117)</x:f>
      </x:c>
      <x:c r="P1117" s="10" t="str">
        <x:f>IF(OR(NOT(AND(J1117="PASS",'Calibrare_Linii'!U11="VALID")),AK1117=0),""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*('Istoric_Nativ'!$Q$6:$Q$405&lt;=H1117))/AK1117)</x:f>
      </x:c>
      <x:c r="Q1117" s="10" t="str">
        <x:f>IF(OR(NOT(AND(J1117="PASS",'Calibrare_Linii'!U11="VALID")),AL1117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M85)+((('Istoric_Nativ'!$E$6:$E$405='Input_Meci'!E85)+('Istoric_Nativ'!$F$6:$F$405='Input_Meci'!E85))&gt;0)*('Istoric_Nativ'!$D$6:$D$405&gt;='Motor_Meciuri'!BN85))&gt;0)*('Istoric_Nativ'!$Q$6:$Q$405&lt;=H1117))/AL1117)</x:f>
      </x:c>
      <x:c r="R1117" s="10" t="str">
        <x:f>IF(OR(NOT(AND(J1117="PASS",'Calibrare_Linii'!U11="VALID")),AM1117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O85)+((('Istoric_Nativ'!$E$6:$E$405='Input_Meci'!E85)+('Istoric_Nativ'!$F$6:$F$405='Input_Meci'!E85))&gt;0)*('Istoric_Nativ'!$D$6:$D$405&gt;='Motor_Meciuri'!BP85))&gt;0)*('Istoric_Nativ'!$Q$6:$Q$405&lt;=H1117))/AM1117)</x:f>
      </x:c>
      <x:c r="S1117" s="10" t="str">
        <x:f>IF(M1117="","",MAX(O1117,P1117,Q1117,R1117))</x:f>
      </x:c>
      <x:c r="T1117" s="11" t="str">
        <x:f>IF(M1117="","",MIN(100,S1117*100*'Config_v6'!$B$44+MIN(100,L1117/'Config_v6'!$B$13*100)*'Config_v6'!$B$45+(100-'Motor_Meciuri'!BF85)*'Config_v6'!$B$46+'Motor_Meciuri'!BH85*100*'Config_v6'!$B$47))</x:f>
      </x:c>
      <x:c r="U1117" s="2" t="str">
        <x:f>IF(T1117="","",IF(T1117&lt;=20,1,IF(T1117&lt;=40,2,IF(T1117&lt;=60,3,IF(T1117&lt;=80,4,5)))))</x:f>
      </x:c>
      <x:c r="V1117" s="2" t="str">
        <x:f>IF(M1117="","",MAX(0,'Motor_Meciuri'!BF85-IF(W1117="OOS PENDING",'Config_v6'!$B$35,0)-IF(L1117&gt;'Config_v6'!$B$12,'Config_v6'!$B$37,IF(L1117&gt;'Config_v6'!$B$11,'Config_v6'!$B$36,0))))</x:f>
      </x:c>
      <x:c r="W1117" s="2" t="str">
        <x:f>IF(B1117="","",IF(I1117&lt;&gt;"READY","NOT RELEASED",IF(NOT(AND(J1117="PASS",'Calibrare_Linii'!U11="VALID")),"INVALID",IF(NOT(AND('Calibrare_Linii'!S11="VALIDATED",AND('Calibrare_Linii'!H11=C1117,ISNUMBER('Calibrare_Linii'!J11),'Calibrare_Linii'!J11&lt;='Input_Meci'!G85))),"OOS PENDING",IF(S1117&lt;='Calibrare_Linii'!E11,"PASS",IF(S1117&lt;='Calibrare_Linii'!F11,"PENALTY","WATCH"))))))</x:f>
      </x:c>
      <x:c r="X1117" s="2" t="str">
        <x:f>IF(M1117="","",IF(AND(AND(J1117="PASS",'Calibrare_Linii'!U11="VALID"),'Motor_Meciuri'!K85=12,'Motor_Meciuri'!L85=12,'Motor_Meciuri'!M85="NO",'Motor_Meciuri'!BL85='Motor_Meciuri'!C85,AB1117&gt;='Config_v6'!$B$50,AN1117&gt;='Config_v6'!$B$51,T1117&lt;='Config_v6'!$B$52,L1117&lt;='Config_v6'!$B$53,ISNUMBER('Calibrare_Linii'!E11),S1117&lt;='Calibrare_Linii'!E11,SUM(AK1117:AM1117)&gt;0),"CANDIDATE","NO"))</x:f>
      </x:c>
      <x:c r="Y1117" s="2" t="str">
        <x:f>IF(B1117="","",IF(I1117&lt;&gt;"READY","NOT RELEASED",IF(AND(X1117="CANDIDATE",V1117&gt;='Config_v6'!$B$51,W1117="PASS",'Calibrare_Linii'!T11="VALIDATED",AND('Calibrare_Linii'!H11=C1117,ISNUMBER('Calibrare_Linii'!J11),'Calibrare_Linii'!J11&lt;='Input_Meci'!G85)),"PASS",IF(X1117="CANDIDATE","OOS PENDING","FAIL"))))</x:f>
      </x:c>
      <x:c r="Z1117" s="2" t="str">
        <x:f>IF(B1117="","",IF(I1117&lt;&gt;"READY","",IF(OR(NOT(AND(J1117="PASS",'Calibrare_Linii'!U11="VALID")),L1117&gt;'Config_v6'!$B$13,W1117="WATCH"),5,IF(Y1117="PASS",1,MIN(5,MAX('Config_v6'!$B$42,U1117)+IF(W1117="PENALTY",1,0))))))</x:f>
      </x:c>
      <x:c r="AA1117" s="2" t="str">
        <x:f>IF(B1117="","",IF(I1117&lt;&gt;"READY","NOT RELEASED",IF(Z1117=5,"NO BET",IF(OR(AB1117&lt;'Config_v6'!$B$16,V1117&lt;'Config_v6'!$B$18),"WATCH",IF(Z1117=1,"DEFENSIV",IF(Z1117=2,"PRUDENT",IF(Z1117=3,"MODERAT","RIDICAT")))))))</x:f>
      </x:c>
      <x:c r="AB1117" s="10" t="str">
        <x:f>IF(N1117="","",MIN(N1117,1-S1117))</x:f>
      </x:c>
      <x:c r="AC1117" s="2" t="str">
        <x:f>IF(AD1117&lt;&gt;1,"",COUNTIFS($Z$1112:$Z$1125,"&lt;"&amp;Z1117,$AD$1112:$AD$1125,1)+COUNTIFS($Z$1112:$Z$1125,Z1117,$AB$1112:$AB$1125,"&gt;"&amp;AB1117,$AD$1112:$AD$1125,1)+COUNTIFS($Z$1112:$Z$1125,Z1117,$AB$1112:$AB$1125,AB1117,$V$1112:$V$1125,"&gt;"&amp;V1117,$AD$1112:$AD$1125,1)+COUNTIFS($Z$1112:Z1117,Z1117,$AB$1112:AB1117,AB1117,$V$1112:V1117,V1117,$AD$1112:AD1117,1))</x:f>
      </x:c>
      <x:c r="AD1117" s="2" t="n">
        <x:f>IF(OR(AA1117="DEFENSIV",AA1117="PRUDENT",AA1117="MODERAT",AA1117="RIDICAT"),1,0)</x:f>
        <x:v>0</x:v>
      </x:c>
      <x:c r="AE1117" s="2" t="str">
        <x:f>IF(AD1117&lt;&gt;1,"NO",IF(W1117="PASS","YES",IF(W1117="OOS PENDING","CONDITIONAL","NO")))</x:f>
        <x:v>NO</x:v>
      </x:c>
      <x:c r="AF1117" s="2" t="n">
        <x:f>IF(AND(AD1117=1,AC1117=1,E1117="LIVE"),1,0)</x:f>
        <x:v>0</x:v>
      </x:c>
      <x:c r="AG1117" s="2" t="str">
        <x:f>IF(AF1117&lt;&gt;1,"",'Dashboard'!P105)</x:f>
      </x:c>
      <x:c r="AH1117" s="2" t="str">
        <x:f>IF(B1117="","",IF(J1117&lt;&gt;"PASS",'Motor_Meciuri'!J85,IF('Calibrare_Linii'!U11&lt;&gt;"VALID","Parametri linie invalizi",IF(L1117&gt;'Config_v6'!$B$13,"Dispersie peste limita",IF(W1117="WATCH","Failure peste limita",IF(AB1117&lt;'Config_v6'!$B$16,"P finala sub prag",IF(V1117&lt;'Config_v6'!$B$18,"Confidence sub prag",IF(E1117="REPLAY","Exemplu retrospectiv; exclus din Top LIVE",IF(Y1117="PASS","DEFENSIV validat",IF(W1117="OOS PENDING","Eligibil; calibrare linie in monitorizare","Eligibil"))))))))))</x:f>
      </x:c>
      <x:c r="AI1117" s="2" t="str">
        <x:f>IF(B1117="","",'Calibrare_Linii'!V11)</x:f>
      </x:c>
      <x:c r="AJ1117" s="2" t="str">
        <x:f>IF(B1117="","",IF(AND('Calibrare_Linii'!T11="VALIDATED",AND('Calibrare_Linii'!H11=C1117,ISNUMBER('Calibrare_Linii'!J11),'Calibrare_Linii'!J11&lt;='Input_Meci'!G85)),"DEFENSIVE VALIDATED",IF(AND('Calibrare_Linii'!S11="VALIDATED",AND('Calibrare_Linii'!H11=C1117,ISNUMBER('Calibrare_Linii'!J11),'Calibrare_Linii'!J11&lt;='Input_Meci'!G85)),"TAIL VALIDATED","OOS PENDING")))</x:f>
      </x:c>
      <x:c r="AK1117" s="2" t="n">
        <x:f>IF(J1117&lt;&gt;"PASS",0,'Motor_Meciuri'!BR85)</x:f>
        <x:v>0</x:v>
      </x:c>
      <x:c r="AL1117" s="2" t="n">
        <x:f>IF(J1117&lt;&gt;"PASS",0,'Motor_Meciuri'!BS85)</x:f>
        <x:v>0</x:v>
      </x:c>
      <x:c r="AM1117" s="2" t="n">
        <x:f>IF(J1117&lt;&gt;"PASS",0,'Motor_Meciuri'!BT85)</x:f>
        <x:v>0</x:v>
      </x:c>
      <x:c r="AN1117" s="2" t="str">
        <x:f>IF(M1117="","",MAX(0,'Motor_Meciuri'!BF85-IF(L1117&gt;'Config_v6'!$B$12,'Config_v6'!$B$37,IF(L1117&gt;'Config_v6'!$B$11,'Config_v6'!$B$36,0))))</x:f>
      </x:c>
    </x:row>
    <x:row r="1118" ht="21" customHeight="1">
      <x:c r="A1118" s="2" t="n">
        <x:v>80</x:v>
      </x:c>
      <x:c r="B1118" s="2" t="str">
        <x:f>IF('Motor_Meciuri'!A85="","",'Motor_Meciuri'!A85)</x:f>
      </x:c>
      <x:c r="C1118" s="2" t="str">
        <x:f>IF(B1118="","",'Motor_Meciuri'!B85)</x:f>
      </x:c>
      <x:c r="D1118" s="2" t="str">
        <x:f>IF(B1118="","",'Motor_Meciuri'!D85)</x:f>
      </x:c>
      <x:c r="E1118" s="2" t="str">
        <x:f>IF(B1118="","",'Motor_Meciuri'!E85)</x:f>
      </x:c>
      <x:c r="F1118" s="2" t="str">
        <x:v>U10,5</x:v>
      </x:c>
      <x:c r="G1118" s="2" t="str">
        <x:v>UNDER</x:v>
      </x:c>
      <x:c r="H1118" s="2" t="n">
        <x:v>10</x:v>
      </x:c>
      <x:c r="I1118" s="2" t="str">
        <x:f>IF(B1118="","",'Motor_Meciuri'!H85)</x:f>
      </x:c>
      <x:c r="J1118" s="2" t="str">
        <x:f>IF(B1118="","",'Motor_Meciuri'!I85)</x:f>
      </x:c>
      <x:c r="K1118" s="11" t="str">
        <x:f>IF(J1118&lt;&gt;"PASS","",'Motor_Meciuri'!BD85)</x:f>
      </x:c>
      <x:c r="L1118" s="11" t="str">
        <x:f>IF(J1118&lt;&gt;"PASS","",'Motor_Meciuri'!AU85)</x:f>
      </x:c>
      <x:c r="M1118" s="10" t="str">
        <x:f>IF(NOT(AND(J1118="PASS",'Calibrare_Linii'!U12="VALID")),"",'Distributie'!AH85)</x:f>
      </x:c>
      <x:c r="N1118" s="10" t="str">
        <x:f>IF(M1118="","",MAX(0.01,MIN(0.99,0.5+(M1118-0.5)*'Motor_Meciuri'!BG85*'Calibrare_Linii'!D12)))</x:f>
      </x:c>
      <x:c r="O1118" s="10" t="str">
        <x:f>IF(M1118="","",1-M1118)</x:f>
      </x:c>
      <x:c r="P1118" s="10" t="str">
        <x:f>IF(OR(NOT(AND(J1118="PASS",'Calibrare_Linii'!U12="VALID")),AK1118=0),""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*('Istoric_Nativ'!$Q$6:$Q$405&gt;H1118))/AK1118)</x:f>
      </x:c>
      <x:c r="Q1118" s="10" t="str">
        <x:f>IF(OR(NOT(AND(J1118="PASS",'Calibrare_Linii'!U12="VALID")),AL1118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M85)+((('Istoric_Nativ'!$E$6:$E$405='Input_Meci'!E85)+('Istoric_Nativ'!$F$6:$F$405='Input_Meci'!E85))&gt;0)*('Istoric_Nativ'!$D$6:$D$405&gt;='Motor_Meciuri'!BN85))&gt;0)*('Istoric_Nativ'!$Q$6:$Q$405&gt;H1118))/AL1118)</x:f>
      </x:c>
      <x:c r="R1118" s="10" t="str">
        <x:f>IF(OR(NOT(AND(J1118="PASS",'Calibrare_Linii'!U12="VALID")),AM1118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O85)+((('Istoric_Nativ'!$E$6:$E$405='Input_Meci'!E85)+('Istoric_Nativ'!$F$6:$F$405='Input_Meci'!E85))&gt;0)*('Istoric_Nativ'!$D$6:$D$405&gt;='Motor_Meciuri'!BP85))&gt;0)*('Istoric_Nativ'!$Q$6:$Q$405&gt;H1118))/AM1118)</x:f>
      </x:c>
      <x:c r="S1118" s="10" t="str">
        <x:f>IF(M1118="","",MAX(O1118,P1118,Q1118,R1118))</x:f>
      </x:c>
      <x:c r="T1118" s="11" t="str">
        <x:f>IF(M1118="","",MIN(100,S1118*100*'Config_v6'!$B$44+MIN(100,L1118/'Config_v6'!$B$13*100)*'Config_v6'!$B$45+(100-'Motor_Meciuri'!BF85)*'Config_v6'!$B$46+'Motor_Meciuri'!BH85*100*'Config_v6'!$B$47))</x:f>
      </x:c>
      <x:c r="U1118" s="2" t="str">
        <x:f>IF(T1118="","",IF(T1118&lt;=20,1,IF(T1118&lt;=40,2,IF(T1118&lt;=60,3,IF(T1118&lt;=80,4,5)))))</x:f>
      </x:c>
      <x:c r="V1118" s="2" t="str">
        <x:f>IF(M1118="","",MAX(0,'Motor_Meciuri'!BF85-IF(W1118="OOS PENDING",'Config_v6'!$B$35,0)-IF(L1118&gt;'Config_v6'!$B$12,'Config_v6'!$B$37,IF(L1118&gt;'Config_v6'!$B$11,'Config_v6'!$B$36,0))))</x:f>
      </x:c>
      <x:c r="W1118" s="2" t="str">
        <x:f>IF(B1118="","",IF(I1118&lt;&gt;"READY","NOT RELEASED",IF(NOT(AND(J1118="PASS",'Calibrare_Linii'!U12="VALID")),"INVALID",IF(NOT(AND('Calibrare_Linii'!S12="VALIDATED",AND('Calibrare_Linii'!H12=C1118,ISNUMBER('Calibrare_Linii'!J12),'Calibrare_Linii'!J12&lt;='Input_Meci'!G85))),"OOS PENDING",IF(S1118&lt;='Calibrare_Linii'!E12,"PASS",IF(S1118&lt;='Calibrare_Linii'!F12,"PENALTY","WATCH"))))))</x:f>
      </x:c>
      <x:c r="X1118" s="2" t="str">
        <x:f>IF(M1118="","",IF(AND(AND(J1118="PASS",'Calibrare_Linii'!U12="VALID"),'Motor_Meciuri'!K85=12,'Motor_Meciuri'!L85=12,'Motor_Meciuri'!M85="NO",'Motor_Meciuri'!BL85='Motor_Meciuri'!C85,AB1118&gt;='Config_v6'!$B$50,AN1118&gt;='Config_v6'!$B$51,T1118&lt;='Config_v6'!$B$52,L1118&lt;='Config_v6'!$B$53,ISNUMBER('Calibrare_Linii'!E12),S1118&lt;='Calibrare_Linii'!E12,SUM(AK1118:AM1118)&gt;0),"CANDIDATE","NO"))</x:f>
      </x:c>
      <x:c r="Y1118" s="2" t="str">
        <x:f>IF(B1118="","",IF(I1118&lt;&gt;"READY","NOT RELEASED",IF(AND(X1118="CANDIDATE",V1118&gt;='Config_v6'!$B$51,W1118="PASS",'Calibrare_Linii'!T12="VALIDATED",AND('Calibrare_Linii'!H12=C1118,ISNUMBER('Calibrare_Linii'!J12),'Calibrare_Linii'!J12&lt;='Input_Meci'!G85)),"PASS",IF(X1118="CANDIDATE","OOS PENDING","FAIL"))))</x:f>
      </x:c>
      <x:c r="Z1118" s="2" t="str">
        <x:f>IF(B1118="","",IF(I1118&lt;&gt;"READY","",IF(OR(NOT(AND(J1118="PASS",'Calibrare_Linii'!U12="VALID")),L1118&gt;'Config_v6'!$B$13,W1118="WATCH"),5,IF(Y1118="PASS",1,MIN(5,MAX('Config_v6'!$B$42,U1118)+IF(W1118="PENALTY",1,0))))))</x:f>
      </x:c>
      <x:c r="AA1118" s="2" t="str">
        <x:f>IF(B1118="","",IF(I1118&lt;&gt;"READY","NOT RELEASED",IF(Z1118=5,"NO BET",IF(OR(AB1118&lt;'Config_v6'!$B$16,V1118&lt;'Config_v6'!$B$18),"WATCH",IF(Z1118=1,"DEFENSIV",IF(Z1118=2,"PRUDENT",IF(Z1118=3,"MODERAT","RIDICAT")))))))</x:f>
      </x:c>
      <x:c r="AB1118" s="10" t="str">
        <x:f>IF(N1118="","",MIN(N1118,1-S1118))</x:f>
      </x:c>
      <x:c r="AC1118" s="2" t="str">
        <x:f>IF(AD1118&lt;&gt;1,"",COUNTIFS($Z$1112:$Z$1125,"&lt;"&amp;Z1118,$AD$1112:$AD$1125,1)+COUNTIFS($Z$1112:$Z$1125,Z1118,$AB$1112:$AB$1125,"&gt;"&amp;AB1118,$AD$1112:$AD$1125,1)+COUNTIFS($Z$1112:$Z$1125,Z1118,$AB$1112:$AB$1125,AB1118,$V$1112:$V$1125,"&gt;"&amp;V1118,$AD$1112:$AD$1125,1)+COUNTIFS($Z$1112:Z1118,Z1118,$AB$1112:AB1118,AB1118,$V$1112:V1118,V1118,$AD$1112:AD1118,1))</x:f>
      </x:c>
      <x:c r="AD1118" s="2" t="n">
        <x:f>IF(OR(AA1118="DEFENSIV",AA1118="PRUDENT",AA1118="MODERAT",AA1118="RIDICAT"),1,0)</x:f>
        <x:v>0</x:v>
      </x:c>
      <x:c r="AE1118" s="2" t="str">
        <x:f>IF(AD1118&lt;&gt;1,"NO",IF(W1118="PASS","YES",IF(W1118="OOS PENDING","CONDITIONAL","NO")))</x:f>
        <x:v>NO</x:v>
      </x:c>
      <x:c r="AF1118" s="2" t="n">
        <x:f>IF(AND(AD1118=1,AC1118=1,E1118="LIVE"),1,0)</x:f>
        <x:v>0</x:v>
      </x:c>
      <x:c r="AG1118" s="2" t="str">
        <x:f>IF(AF1118&lt;&gt;1,"",'Dashboard'!P105)</x:f>
      </x:c>
      <x:c r="AH1118" s="2" t="str">
        <x:f>IF(B1118="","",IF(J1118&lt;&gt;"PASS",'Motor_Meciuri'!J85,IF('Calibrare_Linii'!U12&lt;&gt;"VALID","Parametri linie invalizi",IF(L1118&gt;'Config_v6'!$B$13,"Dispersie peste limita",IF(W1118="WATCH","Failure peste limita",IF(AB1118&lt;'Config_v6'!$B$16,"P finala sub prag",IF(V1118&lt;'Config_v6'!$B$18,"Confidence sub prag",IF(E1118="REPLAY","Exemplu retrospectiv; exclus din Top LIVE",IF(Y1118="PASS","DEFENSIV validat",IF(W1118="OOS PENDING","Eligibil; calibrare linie in monitorizare","Eligibil"))))))))))</x:f>
      </x:c>
      <x:c r="AI1118" s="2" t="str">
        <x:f>IF(B1118="","",'Calibrare_Linii'!V12)</x:f>
      </x:c>
      <x:c r="AJ1118" s="2" t="str">
        <x:f>IF(B1118="","",IF(AND('Calibrare_Linii'!T12="VALIDATED",AND('Calibrare_Linii'!H12=C1118,ISNUMBER('Calibrare_Linii'!J12),'Calibrare_Linii'!J12&lt;='Input_Meci'!G85)),"DEFENSIVE VALIDATED",IF(AND('Calibrare_Linii'!S12="VALIDATED",AND('Calibrare_Linii'!H12=C1118,ISNUMBER('Calibrare_Linii'!J12),'Calibrare_Linii'!J12&lt;='Input_Meci'!G85)),"TAIL VALIDATED","OOS PENDING")))</x:f>
      </x:c>
      <x:c r="AK1118" s="2" t="n">
        <x:f>IF(J1118&lt;&gt;"PASS",0,'Motor_Meciuri'!BR85)</x:f>
        <x:v>0</x:v>
      </x:c>
      <x:c r="AL1118" s="2" t="n">
        <x:f>IF(J1118&lt;&gt;"PASS",0,'Motor_Meciuri'!BS85)</x:f>
        <x:v>0</x:v>
      </x:c>
      <x:c r="AM1118" s="2" t="n">
        <x:f>IF(J1118&lt;&gt;"PASS",0,'Motor_Meciuri'!BT85)</x:f>
        <x:v>0</x:v>
      </x:c>
      <x:c r="AN1118" s="2" t="str">
        <x:f>IF(M1118="","",MAX(0,'Motor_Meciuri'!BF85-IF(L1118&gt;'Config_v6'!$B$12,'Config_v6'!$B$37,IF(L1118&gt;'Config_v6'!$B$11,'Config_v6'!$B$36,0))))</x:f>
      </x:c>
    </x:row>
    <x:row r="1119" ht="21" customHeight="1">
      <x:c r="A1119" s="2" t="n">
        <x:v>80</x:v>
      </x:c>
      <x:c r="B1119" s="2" t="str">
        <x:f>IF('Motor_Meciuri'!A85="","",'Motor_Meciuri'!A85)</x:f>
      </x:c>
      <x:c r="C1119" s="2" t="str">
        <x:f>IF(B1119="","",'Motor_Meciuri'!B85)</x:f>
      </x:c>
      <x:c r="D1119" s="2" t="str">
        <x:f>IF(B1119="","",'Motor_Meciuri'!D85)</x:f>
      </x:c>
      <x:c r="E1119" s="2" t="str">
        <x:f>IF(B1119="","",'Motor_Meciuri'!E85)</x:f>
      </x:c>
      <x:c r="F1119" s="2" t="str">
        <x:v>U11,5</x:v>
      </x:c>
      <x:c r="G1119" s="2" t="str">
        <x:v>UNDER</x:v>
      </x:c>
      <x:c r="H1119" s="2" t="n">
        <x:v>11</x:v>
      </x:c>
      <x:c r="I1119" s="2" t="str">
        <x:f>IF(B1119="","",'Motor_Meciuri'!H85)</x:f>
      </x:c>
      <x:c r="J1119" s="2" t="str">
        <x:f>IF(B1119="","",'Motor_Meciuri'!I85)</x:f>
      </x:c>
      <x:c r="K1119" s="11" t="str">
        <x:f>IF(J1119&lt;&gt;"PASS","",'Motor_Meciuri'!BD85)</x:f>
      </x:c>
      <x:c r="L1119" s="11" t="str">
        <x:f>IF(J1119&lt;&gt;"PASS","",'Motor_Meciuri'!AU85)</x:f>
      </x:c>
      <x:c r="M1119" s="10" t="str">
        <x:f>IF(NOT(AND(J1119="PASS",'Calibrare_Linii'!U13="VALID")),"",'Distributie'!AI85)</x:f>
      </x:c>
      <x:c r="N1119" s="10" t="str">
        <x:f>IF(M1119="","",MAX(0.01,MIN(0.99,0.5+(M1119-0.5)*'Motor_Meciuri'!BG85*'Calibrare_Linii'!D13)))</x:f>
      </x:c>
      <x:c r="O1119" s="10" t="str">
        <x:f>IF(M1119="","",1-M1119)</x:f>
      </x:c>
      <x:c r="P1119" s="10" t="str">
        <x:f>IF(OR(NOT(AND(J1119="PASS",'Calibrare_Linii'!U13="VALID")),AK1119=0),""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*('Istoric_Nativ'!$Q$6:$Q$405&gt;H1119))/AK1119)</x:f>
      </x:c>
      <x:c r="Q1119" s="10" t="str">
        <x:f>IF(OR(NOT(AND(J1119="PASS",'Calibrare_Linii'!U13="VALID")),AL1119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M85)+((('Istoric_Nativ'!$E$6:$E$405='Input_Meci'!E85)+('Istoric_Nativ'!$F$6:$F$405='Input_Meci'!E85))&gt;0)*('Istoric_Nativ'!$D$6:$D$405&gt;='Motor_Meciuri'!BN85))&gt;0)*('Istoric_Nativ'!$Q$6:$Q$405&gt;H1119))/AL1119)</x:f>
      </x:c>
      <x:c r="R1119" s="10" t="str">
        <x:f>IF(OR(NOT(AND(J1119="PASS",'Calibrare_Linii'!U13="VALID")),AM1119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O85)+((('Istoric_Nativ'!$E$6:$E$405='Input_Meci'!E85)+('Istoric_Nativ'!$F$6:$F$405='Input_Meci'!E85))&gt;0)*('Istoric_Nativ'!$D$6:$D$405&gt;='Motor_Meciuri'!BP85))&gt;0)*('Istoric_Nativ'!$Q$6:$Q$405&gt;H1119))/AM1119)</x:f>
      </x:c>
      <x:c r="S1119" s="10" t="str">
        <x:f>IF(M1119="","",MAX(O1119,P1119,Q1119,R1119))</x:f>
      </x:c>
      <x:c r="T1119" s="11" t="str">
        <x:f>IF(M1119="","",MIN(100,S1119*100*'Config_v6'!$B$44+MIN(100,L1119/'Config_v6'!$B$13*100)*'Config_v6'!$B$45+(100-'Motor_Meciuri'!BF85)*'Config_v6'!$B$46+'Motor_Meciuri'!BH85*100*'Config_v6'!$B$47))</x:f>
      </x:c>
      <x:c r="U1119" s="2" t="str">
        <x:f>IF(T1119="","",IF(T1119&lt;=20,1,IF(T1119&lt;=40,2,IF(T1119&lt;=60,3,IF(T1119&lt;=80,4,5)))))</x:f>
      </x:c>
      <x:c r="V1119" s="2" t="str">
        <x:f>IF(M1119="","",MAX(0,'Motor_Meciuri'!BF85-IF(W1119="OOS PENDING",'Config_v6'!$B$35,0)-IF(L1119&gt;'Config_v6'!$B$12,'Config_v6'!$B$37,IF(L1119&gt;'Config_v6'!$B$11,'Config_v6'!$B$36,0))))</x:f>
      </x:c>
      <x:c r="W1119" s="2" t="str">
        <x:f>IF(B1119="","",IF(I1119&lt;&gt;"READY","NOT RELEASED",IF(NOT(AND(J1119="PASS",'Calibrare_Linii'!U13="VALID")),"INVALID",IF(NOT(AND('Calibrare_Linii'!S13="VALIDATED",AND('Calibrare_Linii'!H13=C1119,ISNUMBER('Calibrare_Linii'!J13),'Calibrare_Linii'!J13&lt;='Input_Meci'!G85))),"OOS PENDING",IF(S1119&lt;='Calibrare_Linii'!E13,"PASS",IF(S1119&lt;='Calibrare_Linii'!F13,"PENALTY","WATCH"))))))</x:f>
      </x:c>
      <x:c r="X1119" s="2" t="str">
        <x:f>IF(M1119="","",IF(AND(AND(J1119="PASS",'Calibrare_Linii'!U13="VALID"),'Motor_Meciuri'!K85=12,'Motor_Meciuri'!L85=12,'Motor_Meciuri'!M85="NO",'Motor_Meciuri'!BL85='Motor_Meciuri'!C85,AB1119&gt;='Config_v6'!$B$50,AN1119&gt;='Config_v6'!$B$51,T1119&lt;='Config_v6'!$B$52,L1119&lt;='Config_v6'!$B$53,ISNUMBER('Calibrare_Linii'!E13),S1119&lt;='Calibrare_Linii'!E13,SUM(AK1119:AM1119)&gt;0),"CANDIDATE","NO"))</x:f>
      </x:c>
      <x:c r="Y1119" s="2" t="str">
        <x:f>IF(B1119="","",IF(I1119&lt;&gt;"READY","NOT RELEASED",IF(AND(X1119="CANDIDATE",V1119&gt;='Config_v6'!$B$51,W1119="PASS",'Calibrare_Linii'!T13="VALIDATED",AND('Calibrare_Linii'!H13=C1119,ISNUMBER('Calibrare_Linii'!J13),'Calibrare_Linii'!J13&lt;='Input_Meci'!G85)),"PASS",IF(X1119="CANDIDATE","OOS PENDING","FAIL"))))</x:f>
      </x:c>
      <x:c r="Z1119" s="2" t="str">
        <x:f>IF(B1119="","",IF(I1119&lt;&gt;"READY","",IF(OR(NOT(AND(J1119="PASS",'Calibrare_Linii'!U13="VALID")),L1119&gt;'Config_v6'!$B$13,W1119="WATCH"),5,IF(Y1119="PASS",1,MIN(5,MAX('Config_v6'!$B$42,U1119)+IF(W1119="PENALTY",1,0))))))</x:f>
      </x:c>
      <x:c r="AA1119" s="2" t="str">
        <x:f>IF(B1119="","",IF(I1119&lt;&gt;"READY","NOT RELEASED",IF(Z1119=5,"NO BET",IF(OR(AB1119&lt;'Config_v6'!$B$16,V1119&lt;'Config_v6'!$B$18),"WATCH",IF(Z1119=1,"DEFENSIV",IF(Z1119=2,"PRUDENT",IF(Z1119=3,"MODERAT","RIDICAT")))))))</x:f>
      </x:c>
      <x:c r="AB1119" s="10" t="str">
        <x:f>IF(N1119="","",MIN(N1119,1-S1119))</x:f>
      </x:c>
      <x:c r="AC1119" s="2" t="str">
        <x:f>IF(AD1119&lt;&gt;1,"",COUNTIFS($Z$1112:$Z$1125,"&lt;"&amp;Z1119,$AD$1112:$AD$1125,1)+COUNTIFS($Z$1112:$Z$1125,Z1119,$AB$1112:$AB$1125,"&gt;"&amp;AB1119,$AD$1112:$AD$1125,1)+COUNTIFS($Z$1112:$Z$1125,Z1119,$AB$1112:$AB$1125,AB1119,$V$1112:$V$1125,"&gt;"&amp;V1119,$AD$1112:$AD$1125,1)+COUNTIFS($Z$1112:Z1119,Z1119,$AB$1112:AB1119,AB1119,$V$1112:V1119,V1119,$AD$1112:AD1119,1))</x:f>
      </x:c>
      <x:c r="AD1119" s="2" t="n">
        <x:f>IF(OR(AA1119="DEFENSIV",AA1119="PRUDENT",AA1119="MODERAT",AA1119="RIDICAT"),1,0)</x:f>
        <x:v>0</x:v>
      </x:c>
      <x:c r="AE1119" s="2" t="str">
        <x:f>IF(AD1119&lt;&gt;1,"NO",IF(W1119="PASS","YES",IF(W1119="OOS PENDING","CONDITIONAL","NO")))</x:f>
        <x:v>NO</x:v>
      </x:c>
      <x:c r="AF1119" s="2" t="n">
        <x:f>IF(AND(AD1119=1,AC1119=1,E1119="LIVE"),1,0)</x:f>
        <x:v>0</x:v>
      </x:c>
      <x:c r="AG1119" s="2" t="str">
        <x:f>IF(AF1119&lt;&gt;1,"",'Dashboard'!P105)</x:f>
      </x:c>
      <x:c r="AH1119" s="2" t="str">
        <x:f>IF(B1119="","",IF(J1119&lt;&gt;"PASS",'Motor_Meciuri'!J85,IF('Calibrare_Linii'!U13&lt;&gt;"VALID","Parametri linie invalizi",IF(L1119&gt;'Config_v6'!$B$13,"Dispersie peste limita",IF(W1119="WATCH","Failure peste limita",IF(AB1119&lt;'Config_v6'!$B$16,"P finala sub prag",IF(V1119&lt;'Config_v6'!$B$18,"Confidence sub prag",IF(E1119="REPLAY","Exemplu retrospectiv; exclus din Top LIVE",IF(Y1119="PASS","DEFENSIV validat",IF(W1119="OOS PENDING","Eligibil; calibrare linie in monitorizare","Eligibil"))))))))))</x:f>
      </x:c>
      <x:c r="AI1119" s="2" t="str">
        <x:f>IF(B1119="","",'Calibrare_Linii'!V13)</x:f>
      </x:c>
      <x:c r="AJ1119" s="2" t="str">
        <x:f>IF(B1119="","",IF(AND('Calibrare_Linii'!T13="VALIDATED",AND('Calibrare_Linii'!H13=C1119,ISNUMBER('Calibrare_Linii'!J13),'Calibrare_Linii'!J13&lt;='Input_Meci'!G85)),"DEFENSIVE VALIDATED",IF(AND('Calibrare_Linii'!S13="VALIDATED",AND('Calibrare_Linii'!H13=C1119,ISNUMBER('Calibrare_Linii'!J13),'Calibrare_Linii'!J13&lt;='Input_Meci'!G85)),"TAIL VALIDATED","OOS PENDING")))</x:f>
      </x:c>
      <x:c r="AK1119" s="2" t="n">
        <x:f>IF(J1119&lt;&gt;"PASS",0,'Motor_Meciuri'!BR85)</x:f>
        <x:v>0</x:v>
      </x:c>
      <x:c r="AL1119" s="2" t="n">
        <x:f>IF(J1119&lt;&gt;"PASS",0,'Motor_Meciuri'!BS85)</x:f>
        <x:v>0</x:v>
      </x:c>
      <x:c r="AM1119" s="2" t="n">
        <x:f>IF(J1119&lt;&gt;"PASS",0,'Motor_Meciuri'!BT85)</x:f>
        <x:v>0</x:v>
      </x:c>
      <x:c r="AN1119" s="2" t="str">
        <x:f>IF(M1119="","",MAX(0,'Motor_Meciuri'!BF85-IF(L1119&gt;'Config_v6'!$B$12,'Config_v6'!$B$37,IF(L1119&gt;'Config_v6'!$B$11,'Config_v6'!$B$36,0))))</x:f>
      </x:c>
    </x:row>
    <x:row r="1120" ht="21" customHeight="1">
      <x:c r="A1120" s="2" t="n">
        <x:v>80</x:v>
      </x:c>
      <x:c r="B1120" s="2" t="str">
        <x:f>IF('Motor_Meciuri'!A85="","",'Motor_Meciuri'!A85)</x:f>
      </x:c>
      <x:c r="C1120" s="2" t="str">
        <x:f>IF(B1120="","",'Motor_Meciuri'!B85)</x:f>
      </x:c>
      <x:c r="D1120" s="2" t="str">
        <x:f>IF(B1120="","",'Motor_Meciuri'!D85)</x:f>
      </x:c>
      <x:c r="E1120" s="2" t="str">
        <x:f>IF(B1120="","",'Motor_Meciuri'!E85)</x:f>
      </x:c>
      <x:c r="F1120" s="2" t="str">
        <x:v>U12,5</x:v>
      </x:c>
      <x:c r="G1120" s="2" t="str">
        <x:v>UNDER</x:v>
      </x:c>
      <x:c r="H1120" s="2" t="n">
        <x:v>12</x:v>
      </x:c>
      <x:c r="I1120" s="2" t="str">
        <x:f>IF(B1120="","",'Motor_Meciuri'!H85)</x:f>
      </x:c>
      <x:c r="J1120" s="2" t="str">
        <x:f>IF(B1120="","",'Motor_Meciuri'!I85)</x:f>
      </x:c>
      <x:c r="K1120" s="11" t="str">
        <x:f>IF(J1120&lt;&gt;"PASS","",'Motor_Meciuri'!BD85)</x:f>
      </x:c>
      <x:c r="L1120" s="11" t="str">
        <x:f>IF(J1120&lt;&gt;"PASS","",'Motor_Meciuri'!AU85)</x:f>
      </x:c>
      <x:c r="M1120" s="10" t="str">
        <x:f>IF(NOT(AND(J1120="PASS",'Calibrare_Linii'!U14="VALID")),"",'Distributie'!AJ85)</x:f>
      </x:c>
      <x:c r="N1120" s="10" t="str">
        <x:f>IF(M1120="","",MAX(0.01,MIN(0.99,0.5+(M1120-0.5)*'Motor_Meciuri'!BG85*'Calibrare_Linii'!D14)))</x:f>
      </x:c>
      <x:c r="O1120" s="10" t="str">
        <x:f>IF(M1120="","",1-M1120)</x:f>
      </x:c>
      <x:c r="P1120" s="10" t="str">
        <x:f>IF(OR(NOT(AND(J1120="PASS",'Calibrare_Linii'!U14="VALID")),AK1120=0),""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*('Istoric_Nativ'!$Q$6:$Q$405&gt;H1120))/AK1120)</x:f>
      </x:c>
      <x:c r="Q1120" s="10" t="str">
        <x:f>IF(OR(NOT(AND(J1120="PASS",'Calibrare_Linii'!U14="VALID")),AL1120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M85)+((('Istoric_Nativ'!$E$6:$E$405='Input_Meci'!E85)+('Istoric_Nativ'!$F$6:$F$405='Input_Meci'!E85))&gt;0)*('Istoric_Nativ'!$D$6:$D$405&gt;='Motor_Meciuri'!BN85))&gt;0)*('Istoric_Nativ'!$Q$6:$Q$405&gt;H1120))/AL1120)</x:f>
      </x:c>
      <x:c r="R1120" s="10" t="str">
        <x:f>IF(OR(NOT(AND(J1120="PASS",'Calibrare_Linii'!U14="VALID")),AM1120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O85)+((('Istoric_Nativ'!$E$6:$E$405='Input_Meci'!E85)+('Istoric_Nativ'!$F$6:$F$405='Input_Meci'!E85))&gt;0)*('Istoric_Nativ'!$D$6:$D$405&gt;='Motor_Meciuri'!BP85))&gt;0)*('Istoric_Nativ'!$Q$6:$Q$405&gt;H1120))/AM1120)</x:f>
      </x:c>
      <x:c r="S1120" s="10" t="str">
        <x:f>IF(M1120="","",MAX(O1120,P1120,Q1120,R1120))</x:f>
      </x:c>
      <x:c r="T1120" s="11" t="str">
        <x:f>IF(M1120="","",MIN(100,S1120*100*'Config_v6'!$B$44+MIN(100,L1120/'Config_v6'!$B$13*100)*'Config_v6'!$B$45+(100-'Motor_Meciuri'!BF85)*'Config_v6'!$B$46+'Motor_Meciuri'!BH85*100*'Config_v6'!$B$47))</x:f>
      </x:c>
      <x:c r="U1120" s="2" t="str">
        <x:f>IF(T1120="","",IF(T1120&lt;=20,1,IF(T1120&lt;=40,2,IF(T1120&lt;=60,3,IF(T1120&lt;=80,4,5)))))</x:f>
      </x:c>
      <x:c r="V1120" s="2" t="str">
        <x:f>IF(M1120="","",MAX(0,'Motor_Meciuri'!BF85-IF(W1120="OOS PENDING",'Config_v6'!$B$35,0)-IF(L1120&gt;'Config_v6'!$B$12,'Config_v6'!$B$37,IF(L1120&gt;'Config_v6'!$B$11,'Config_v6'!$B$36,0))))</x:f>
      </x:c>
      <x:c r="W1120" s="2" t="str">
        <x:f>IF(B1120="","",IF(I1120&lt;&gt;"READY","NOT RELEASED",IF(NOT(AND(J1120="PASS",'Calibrare_Linii'!U14="VALID")),"INVALID",IF(NOT(AND('Calibrare_Linii'!S14="VALIDATED",AND('Calibrare_Linii'!H14=C1120,ISNUMBER('Calibrare_Linii'!J14),'Calibrare_Linii'!J14&lt;='Input_Meci'!G85))),"OOS PENDING",IF(S1120&lt;='Calibrare_Linii'!E14,"PASS",IF(S1120&lt;='Calibrare_Linii'!F14,"PENALTY","WATCH"))))))</x:f>
      </x:c>
      <x:c r="X1120" s="2" t="str">
        <x:f>IF(M1120="","",IF(AND(AND(J1120="PASS",'Calibrare_Linii'!U14="VALID"),'Motor_Meciuri'!K85=12,'Motor_Meciuri'!L85=12,'Motor_Meciuri'!M85="NO",'Motor_Meciuri'!BL85='Motor_Meciuri'!C85,AB1120&gt;='Config_v6'!$B$50,AN1120&gt;='Config_v6'!$B$51,T1120&lt;='Config_v6'!$B$52,L1120&lt;='Config_v6'!$B$53,ISNUMBER('Calibrare_Linii'!E14),S1120&lt;='Calibrare_Linii'!E14,SUM(AK1120:AM1120)&gt;0),"CANDIDATE","NO"))</x:f>
      </x:c>
      <x:c r="Y1120" s="2" t="str">
        <x:f>IF(B1120="","",IF(I1120&lt;&gt;"READY","NOT RELEASED",IF(AND(X1120="CANDIDATE",V1120&gt;='Config_v6'!$B$51,W1120="PASS",'Calibrare_Linii'!T14="VALIDATED",AND('Calibrare_Linii'!H14=C1120,ISNUMBER('Calibrare_Linii'!J14),'Calibrare_Linii'!J14&lt;='Input_Meci'!G85)),"PASS",IF(X1120="CANDIDATE","OOS PENDING","FAIL"))))</x:f>
      </x:c>
      <x:c r="Z1120" s="2" t="str">
        <x:f>IF(B1120="","",IF(I1120&lt;&gt;"READY","",IF(OR(NOT(AND(J1120="PASS",'Calibrare_Linii'!U14="VALID")),L1120&gt;'Config_v6'!$B$13,W1120="WATCH"),5,IF(Y1120="PASS",1,MIN(5,MAX('Config_v6'!$B$42,U1120)+IF(W1120="PENALTY",1,0))))))</x:f>
      </x:c>
      <x:c r="AA1120" s="2" t="str">
        <x:f>IF(B1120="","",IF(I1120&lt;&gt;"READY","NOT RELEASED",IF(Z1120=5,"NO BET",IF(OR(AB1120&lt;'Config_v6'!$B$16,V1120&lt;'Config_v6'!$B$18),"WATCH",IF(Z1120=1,"DEFENSIV",IF(Z1120=2,"PRUDENT",IF(Z1120=3,"MODERAT","RIDICAT")))))))</x:f>
      </x:c>
      <x:c r="AB1120" s="10" t="str">
        <x:f>IF(N1120="","",MIN(N1120,1-S1120))</x:f>
      </x:c>
      <x:c r="AC1120" s="2" t="str">
        <x:f>IF(AD1120&lt;&gt;1,"",COUNTIFS($Z$1112:$Z$1125,"&lt;"&amp;Z1120,$AD$1112:$AD$1125,1)+COUNTIFS($Z$1112:$Z$1125,Z1120,$AB$1112:$AB$1125,"&gt;"&amp;AB1120,$AD$1112:$AD$1125,1)+COUNTIFS($Z$1112:$Z$1125,Z1120,$AB$1112:$AB$1125,AB1120,$V$1112:$V$1125,"&gt;"&amp;V1120,$AD$1112:$AD$1125,1)+COUNTIFS($Z$1112:Z1120,Z1120,$AB$1112:AB1120,AB1120,$V$1112:V1120,V1120,$AD$1112:AD1120,1))</x:f>
      </x:c>
      <x:c r="AD1120" s="2" t="n">
        <x:f>IF(OR(AA1120="DEFENSIV",AA1120="PRUDENT",AA1120="MODERAT",AA1120="RIDICAT"),1,0)</x:f>
        <x:v>0</x:v>
      </x:c>
      <x:c r="AE1120" s="2" t="str">
        <x:f>IF(AD1120&lt;&gt;1,"NO",IF(W1120="PASS","YES",IF(W1120="OOS PENDING","CONDITIONAL","NO")))</x:f>
        <x:v>NO</x:v>
      </x:c>
      <x:c r="AF1120" s="2" t="n">
        <x:f>IF(AND(AD1120=1,AC1120=1,E1120="LIVE"),1,0)</x:f>
        <x:v>0</x:v>
      </x:c>
      <x:c r="AG1120" s="2" t="str">
        <x:f>IF(AF1120&lt;&gt;1,"",'Dashboard'!P105)</x:f>
      </x:c>
      <x:c r="AH1120" s="2" t="str">
        <x:f>IF(B1120="","",IF(J1120&lt;&gt;"PASS",'Motor_Meciuri'!J85,IF('Calibrare_Linii'!U14&lt;&gt;"VALID","Parametri linie invalizi",IF(L1120&gt;'Config_v6'!$B$13,"Dispersie peste limita",IF(W1120="WATCH","Failure peste limita",IF(AB1120&lt;'Config_v6'!$B$16,"P finala sub prag",IF(V1120&lt;'Config_v6'!$B$18,"Confidence sub prag",IF(E1120="REPLAY","Exemplu retrospectiv; exclus din Top LIVE",IF(Y1120="PASS","DEFENSIV validat",IF(W1120="OOS PENDING","Eligibil; calibrare linie in monitorizare","Eligibil"))))))))))</x:f>
      </x:c>
      <x:c r="AI1120" s="2" t="str">
        <x:f>IF(B1120="","",'Calibrare_Linii'!V14)</x:f>
      </x:c>
      <x:c r="AJ1120" s="2" t="str">
        <x:f>IF(B1120="","",IF(AND('Calibrare_Linii'!T14="VALIDATED",AND('Calibrare_Linii'!H14=C1120,ISNUMBER('Calibrare_Linii'!J14),'Calibrare_Linii'!J14&lt;='Input_Meci'!G85)),"DEFENSIVE VALIDATED",IF(AND('Calibrare_Linii'!S14="VALIDATED",AND('Calibrare_Linii'!H14=C1120,ISNUMBER('Calibrare_Linii'!J14),'Calibrare_Linii'!J14&lt;='Input_Meci'!G85)),"TAIL VALIDATED","OOS PENDING")))</x:f>
      </x:c>
      <x:c r="AK1120" s="2" t="n">
        <x:f>IF(J1120&lt;&gt;"PASS",0,'Motor_Meciuri'!BR85)</x:f>
        <x:v>0</x:v>
      </x:c>
      <x:c r="AL1120" s="2" t="n">
        <x:f>IF(J1120&lt;&gt;"PASS",0,'Motor_Meciuri'!BS85)</x:f>
        <x:v>0</x:v>
      </x:c>
      <x:c r="AM1120" s="2" t="n">
        <x:f>IF(J1120&lt;&gt;"PASS",0,'Motor_Meciuri'!BT85)</x:f>
        <x:v>0</x:v>
      </x:c>
      <x:c r="AN1120" s="2" t="str">
        <x:f>IF(M1120="","",MAX(0,'Motor_Meciuri'!BF85-IF(L1120&gt;'Config_v6'!$B$12,'Config_v6'!$B$37,IF(L1120&gt;'Config_v6'!$B$11,'Config_v6'!$B$36,0))))</x:f>
      </x:c>
    </x:row>
    <x:row r="1121" ht="21" customHeight="1">
      <x:c r="A1121" s="2" t="n">
        <x:v>80</x:v>
      </x:c>
      <x:c r="B1121" s="2" t="str">
        <x:f>IF('Motor_Meciuri'!A85="","",'Motor_Meciuri'!A85)</x:f>
      </x:c>
      <x:c r="C1121" s="2" t="str">
        <x:f>IF(B1121="","",'Motor_Meciuri'!B85)</x:f>
      </x:c>
      <x:c r="D1121" s="2" t="str">
        <x:f>IF(B1121="","",'Motor_Meciuri'!D85)</x:f>
      </x:c>
      <x:c r="E1121" s="2" t="str">
        <x:f>IF(B1121="","",'Motor_Meciuri'!E85)</x:f>
      </x:c>
      <x:c r="F1121" s="2" t="str">
        <x:v>U13,5</x:v>
      </x:c>
      <x:c r="G1121" s="2" t="str">
        <x:v>UNDER</x:v>
      </x:c>
      <x:c r="H1121" s="2" t="n">
        <x:v>13</x:v>
      </x:c>
      <x:c r="I1121" s="2" t="str">
        <x:f>IF(B1121="","",'Motor_Meciuri'!H85)</x:f>
      </x:c>
      <x:c r="J1121" s="2" t="str">
        <x:f>IF(B1121="","",'Motor_Meciuri'!I85)</x:f>
      </x:c>
      <x:c r="K1121" s="11" t="str">
        <x:f>IF(J1121&lt;&gt;"PASS","",'Motor_Meciuri'!BD85)</x:f>
      </x:c>
      <x:c r="L1121" s="11" t="str">
        <x:f>IF(J1121&lt;&gt;"PASS","",'Motor_Meciuri'!AU85)</x:f>
      </x:c>
      <x:c r="M1121" s="10" t="str">
        <x:f>IF(NOT(AND(J1121="PASS",'Calibrare_Linii'!U15="VALID")),"",'Distributie'!AK85)</x:f>
      </x:c>
      <x:c r="N1121" s="10" t="str">
        <x:f>IF(M1121="","",MAX(0.01,MIN(0.99,0.5+(M1121-0.5)*'Motor_Meciuri'!BG85*'Calibrare_Linii'!D15)))</x:f>
      </x:c>
      <x:c r="O1121" s="10" t="str">
        <x:f>IF(M1121="","",1-M1121)</x:f>
      </x:c>
      <x:c r="P1121" s="10" t="str">
        <x:f>IF(OR(NOT(AND(J1121="PASS",'Calibrare_Linii'!U15="VALID")),AK1121=0),""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*('Istoric_Nativ'!$Q$6:$Q$405&gt;H1121))/AK1121)</x:f>
      </x:c>
      <x:c r="Q1121" s="10" t="str">
        <x:f>IF(OR(NOT(AND(J1121="PASS",'Calibrare_Linii'!U15="VALID")),AL1121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M85)+((('Istoric_Nativ'!$E$6:$E$405='Input_Meci'!E85)+('Istoric_Nativ'!$F$6:$F$405='Input_Meci'!E85))&gt;0)*('Istoric_Nativ'!$D$6:$D$405&gt;='Motor_Meciuri'!BN85))&gt;0)*('Istoric_Nativ'!$Q$6:$Q$405&gt;H1121))/AL1121)</x:f>
      </x:c>
      <x:c r="R1121" s="10" t="str">
        <x:f>IF(OR(NOT(AND(J1121="PASS",'Calibrare_Linii'!U15="VALID")),AM1121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O85)+((('Istoric_Nativ'!$E$6:$E$405='Input_Meci'!E85)+('Istoric_Nativ'!$F$6:$F$405='Input_Meci'!E85))&gt;0)*('Istoric_Nativ'!$D$6:$D$405&gt;='Motor_Meciuri'!BP85))&gt;0)*('Istoric_Nativ'!$Q$6:$Q$405&gt;H1121))/AM1121)</x:f>
      </x:c>
      <x:c r="S1121" s="10" t="str">
        <x:f>IF(M1121="","",MAX(O1121,P1121,Q1121,R1121))</x:f>
      </x:c>
      <x:c r="T1121" s="11" t="str">
        <x:f>IF(M1121="","",MIN(100,S1121*100*'Config_v6'!$B$44+MIN(100,L1121/'Config_v6'!$B$13*100)*'Config_v6'!$B$45+(100-'Motor_Meciuri'!BF85)*'Config_v6'!$B$46+'Motor_Meciuri'!BH85*100*'Config_v6'!$B$47))</x:f>
      </x:c>
      <x:c r="U1121" s="2" t="str">
        <x:f>IF(T1121="","",IF(T1121&lt;=20,1,IF(T1121&lt;=40,2,IF(T1121&lt;=60,3,IF(T1121&lt;=80,4,5)))))</x:f>
      </x:c>
      <x:c r="V1121" s="2" t="str">
        <x:f>IF(M1121="","",MAX(0,'Motor_Meciuri'!BF85-IF(W1121="OOS PENDING",'Config_v6'!$B$35,0)-IF(L1121&gt;'Config_v6'!$B$12,'Config_v6'!$B$37,IF(L1121&gt;'Config_v6'!$B$11,'Config_v6'!$B$36,0))))</x:f>
      </x:c>
      <x:c r="W1121" s="2" t="str">
        <x:f>IF(B1121="","",IF(I1121&lt;&gt;"READY","NOT RELEASED",IF(NOT(AND(J1121="PASS",'Calibrare_Linii'!U15="VALID")),"INVALID",IF(NOT(AND('Calibrare_Linii'!S15="VALIDATED",AND('Calibrare_Linii'!H15=C1121,ISNUMBER('Calibrare_Linii'!J15),'Calibrare_Linii'!J15&lt;='Input_Meci'!G85))),"OOS PENDING",IF(S1121&lt;='Calibrare_Linii'!E15,"PASS",IF(S1121&lt;='Calibrare_Linii'!F15,"PENALTY","WATCH"))))))</x:f>
      </x:c>
      <x:c r="X1121" s="2" t="str">
        <x:f>IF(M1121="","",IF(AND(AND(J1121="PASS",'Calibrare_Linii'!U15="VALID"),'Motor_Meciuri'!K85=12,'Motor_Meciuri'!L85=12,'Motor_Meciuri'!M85="NO",'Motor_Meciuri'!BL85='Motor_Meciuri'!C85,AB1121&gt;='Config_v6'!$B$50,AN1121&gt;='Config_v6'!$B$51,T1121&lt;='Config_v6'!$B$52,L1121&lt;='Config_v6'!$B$53,ISNUMBER('Calibrare_Linii'!E15),S1121&lt;='Calibrare_Linii'!E15,SUM(AK1121:AM1121)&gt;0),"CANDIDATE","NO"))</x:f>
      </x:c>
      <x:c r="Y1121" s="2" t="str">
        <x:f>IF(B1121="","",IF(I1121&lt;&gt;"READY","NOT RELEASED",IF(AND(X1121="CANDIDATE",V1121&gt;='Config_v6'!$B$51,W1121="PASS",'Calibrare_Linii'!T15="VALIDATED",AND('Calibrare_Linii'!H15=C1121,ISNUMBER('Calibrare_Linii'!J15),'Calibrare_Linii'!J15&lt;='Input_Meci'!G85)),"PASS",IF(X1121="CANDIDATE","OOS PENDING","FAIL"))))</x:f>
      </x:c>
      <x:c r="Z1121" s="2" t="str">
        <x:f>IF(B1121="","",IF(I1121&lt;&gt;"READY","",IF(OR(NOT(AND(J1121="PASS",'Calibrare_Linii'!U15="VALID")),L1121&gt;'Config_v6'!$B$13,W1121="WATCH"),5,IF(Y1121="PASS",1,MIN(5,MAX('Config_v6'!$B$42,U1121)+IF(W1121="PENALTY",1,0))))))</x:f>
      </x:c>
      <x:c r="AA1121" s="2" t="str">
        <x:f>IF(B1121="","",IF(I1121&lt;&gt;"READY","NOT RELEASED",IF(Z1121=5,"NO BET",IF(OR(AB1121&lt;'Config_v6'!$B$16,V1121&lt;'Config_v6'!$B$18),"WATCH",IF(Z1121=1,"DEFENSIV",IF(Z1121=2,"PRUDENT",IF(Z1121=3,"MODERAT","RIDICAT")))))))</x:f>
      </x:c>
      <x:c r="AB1121" s="10" t="str">
        <x:f>IF(N1121="","",MIN(N1121,1-S1121))</x:f>
      </x:c>
      <x:c r="AC1121" s="2" t="str">
        <x:f>IF(AD1121&lt;&gt;1,"",COUNTIFS($Z$1112:$Z$1125,"&lt;"&amp;Z1121,$AD$1112:$AD$1125,1)+COUNTIFS($Z$1112:$Z$1125,Z1121,$AB$1112:$AB$1125,"&gt;"&amp;AB1121,$AD$1112:$AD$1125,1)+COUNTIFS($Z$1112:$Z$1125,Z1121,$AB$1112:$AB$1125,AB1121,$V$1112:$V$1125,"&gt;"&amp;V1121,$AD$1112:$AD$1125,1)+COUNTIFS($Z$1112:Z1121,Z1121,$AB$1112:AB1121,AB1121,$V$1112:V1121,V1121,$AD$1112:AD1121,1))</x:f>
      </x:c>
      <x:c r="AD1121" s="2" t="n">
        <x:f>IF(OR(AA1121="DEFENSIV",AA1121="PRUDENT",AA1121="MODERAT",AA1121="RIDICAT"),1,0)</x:f>
        <x:v>0</x:v>
      </x:c>
      <x:c r="AE1121" s="2" t="str">
        <x:f>IF(AD1121&lt;&gt;1,"NO",IF(W1121="PASS","YES",IF(W1121="OOS PENDING","CONDITIONAL","NO")))</x:f>
        <x:v>NO</x:v>
      </x:c>
      <x:c r="AF1121" s="2" t="n">
        <x:f>IF(AND(AD1121=1,AC1121=1,E1121="LIVE"),1,0)</x:f>
        <x:v>0</x:v>
      </x:c>
      <x:c r="AG1121" s="2" t="str">
        <x:f>IF(AF1121&lt;&gt;1,"",'Dashboard'!P105)</x:f>
      </x:c>
      <x:c r="AH1121" s="2" t="str">
        <x:f>IF(B1121="","",IF(J1121&lt;&gt;"PASS",'Motor_Meciuri'!J85,IF('Calibrare_Linii'!U15&lt;&gt;"VALID","Parametri linie invalizi",IF(L1121&gt;'Config_v6'!$B$13,"Dispersie peste limita",IF(W1121="WATCH","Failure peste limita",IF(AB1121&lt;'Config_v6'!$B$16,"P finala sub prag",IF(V1121&lt;'Config_v6'!$B$18,"Confidence sub prag",IF(E1121="REPLAY","Exemplu retrospectiv; exclus din Top LIVE",IF(Y1121="PASS","DEFENSIV validat",IF(W1121="OOS PENDING","Eligibil; calibrare linie in monitorizare","Eligibil"))))))))))</x:f>
      </x:c>
      <x:c r="AI1121" s="2" t="str">
        <x:f>IF(B1121="","",'Calibrare_Linii'!V15)</x:f>
      </x:c>
      <x:c r="AJ1121" s="2" t="str">
        <x:f>IF(B1121="","",IF(AND('Calibrare_Linii'!T15="VALIDATED",AND('Calibrare_Linii'!H15=C1121,ISNUMBER('Calibrare_Linii'!J15),'Calibrare_Linii'!J15&lt;='Input_Meci'!G85)),"DEFENSIVE VALIDATED",IF(AND('Calibrare_Linii'!S15="VALIDATED",AND('Calibrare_Linii'!H15=C1121,ISNUMBER('Calibrare_Linii'!J15),'Calibrare_Linii'!J15&lt;='Input_Meci'!G85)),"TAIL VALIDATED","OOS PENDING")))</x:f>
      </x:c>
      <x:c r="AK1121" s="2" t="n">
        <x:f>IF(J1121&lt;&gt;"PASS",0,'Motor_Meciuri'!BR85)</x:f>
        <x:v>0</x:v>
      </x:c>
      <x:c r="AL1121" s="2" t="n">
        <x:f>IF(J1121&lt;&gt;"PASS",0,'Motor_Meciuri'!BS85)</x:f>
        <x:v>0</x:v>
      </x:c>
      <x:c r="AM1121" s="2" t="n">
        <x:f>IF(J1121&lt;&gt;"PASS",0,'Motor_Meciuri'!BT85)</x:f>
        <x:v>0</x:v>
      </x:c>
      <x:c r="AN1121" s="2" t="str">
        <x:f>IF(M1121="","",MAX(0,'Motor_Meciuri'!BF85-IF(L1121&gt;'Config_v6'!$B$12,'Config_v6'!$B$37,IF(L1121&gt;'Config_v6'!$B$11,'Config_v6'!$B$36,0))))</x:f>
      </x:c>
    </x:row>
    <x:row r="1122" ht="21" customHeight="1">
      <x:c r="A1122" s="2" t="n">
        <x:v>80</x:v>
      </x:c>
      <x:c r="B1122" s="2" t="str">
        <x:f>IF('Motor_Meciuri'!A85="","",'Motor_Meciuri'!A85)</x:f>
      </x:c>
      <x:c r="C1122" s="2" t="str">
        <x:f>IF(B1122="","",'Motor_Meciuri'!B85)</x:f>
      </x:c>
      <x:c r="D1122" s="2" t="str">
        <x:f>IF(B1122="","",'Motor_Meciuri'!D85)</x:f>
      </x:c>
      <x:c r="E1122" s="2" t="str">
        <x:f>IF(B1122="","",'Motor_Meciuri'!E85)</x:f>
      </x:c>
      <x:c r="F1122" s="2" t="str">
        <x:v>U14,5</x:v>
      </x:c>
      <x:c r="G1122" s="2" t="str">
        <x:v>UNDER</x:v>
      </x:c>
      <x:c r="H1122" s="2" t="n">
        <x:v>14</x:v>
      </x:c>
      <x:c r="I1122" s="2" t="str">
        <x:f>IF(B1122="","",'Motor_Meciuri'!H85)</x:f>
      </x:c>
      <x:c r="J1122" s="2" t="str">
        <x:f>IF(B1122="","",'Motor_Meciuri'!I85)</x:f>
      </x:c>
      <x:c r="K1122" s="11" t="str">
        <x:f>IF(J1122&lt;&gt;"PASS","",'Motor_Meciuri'!BD85)</x:f>
      </x:c>
      <x:c r="L1122" s="11" t="str">
        <x:f>IF(J1122&lt;&gt;"PASS","",'Motor_Meciuri'!AU85)</x:f>
      </x:c>
      <x:c r="M1122" s="10" t="str">
        <x:f>IF(NOT(AND(J1122="PASS",'Calibrare_Linii'!U16="VALID")),"",'Distributie'!AL85)</x:f>
      </x:c>
      <x:c r="N1122" s="10" t="str">
        <x:f>IF(M1122="","",MAX(0.01,MIN(0.99,0.5+(M1122-0.5)*'Motor_Meciuri'!BG85*'Calibrare_Linii'!D16)))</x:f>
      </x:c>
      <x:c r="O1122" s="10" t="str">
        <x:f>IF(M1122="","",1-M1122)</x:f>
      </x:c>
      <x:c r="P1122" s="10" t="str">
        <x:f>IF(OR(NOT(AND(J1122="PASS",'Calibrare_Linii'!U16="VALID")),AK1122=0),""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*('Istoric_Nativ'!$Q$6:$Q$405&gt;H1122))/AK1122)</x:f>
      </x:c>
      <x:c r="Q1122" s="10" t="str">
        <x:f>IF(OR(NOT(AND(J1122="PASS",'Calibrare_Linii'!U16="VALID")),AL1122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M85)+((('Istoric_Nativ'!$E$6:$E$405='Input_Meci'!E85)+('Istoric_Nativ'!$F$6:$F$405='Input_Meci'!E85))&gt;0)*('Istoric_Nativ'!$D$6:$D$405&gt;='Motor_Meciuri'!BN85))&gt;0)*('Istoric_Nativ'!$Q$6:$Q$405&gt;H1122))/AL1122)</x:f>
      </x:c>
      <x:c r="R1122" s="10" t="str">
        <x:f>IF(OR(NOT(AND(J1122="PASS",'Calibrare_Linii'!U16="VALID")),AM1122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O85)+((('Istoric_Nativ'!$E$6:$E$405='Input_Meci'!E85)+('Istoric_Nativ'!$F$6:$F$405='Input_Meci'!E85))&gt;0)*('Istoric_Nativ'!$D$6:$D$405&gt;='Motor_Meciuri'!BP85))&gt;0)*('Istoric_Nativ'!$Q$6:$Q$405&gt;H1122))/AM1122)</x:f>
      </x:c>
      <x:c r="S1122" s="10" t="str">
        <x:f>IF(M1122="","",MAX(O1122,P1122,Q1122,R1122))</x:f>
      </x:c>
      <x:c r="T1122" s="11" t="str">
        <x:f>IF(M1122="","",MIN(100,S1122*100*'Config_v6'!$B$44+MIN(100,L1122/'Config_v6'!$B$13*100)*'Config_v6'!$B$45+(100-'Motor_Meciuri'!BF85)*'Config_v6'!$B$46+'Motor_Meciuri'!BH85*100*'Config_v6'!$B$47))</x:f>
      </x:c>
      <x:c r="U1122" s="2" t="str">
        <x:f>IF(T1122="","",IF(T1122&lt;=20,1,IF(T1122&lt;=40,2,IF(T1122&lt;=60,3,IF(T1122&lt;=80,4,5)))))</x:f>
      </x:c>
      <x:c r="V1122" s="2" t="str">
        <x:f>IF(M1122="","",MAX(0,'Motor_Meciuri'!BF85-IF(W1122="OOS PENDING",'Config_v6'!$B$35,0)-IF(L1122&gt;'Config_v6'!$B$12,'Config_v6'!$B$37,IF(L1122&gt;'Config_v6'!$B$11,'Config_v6'!$B$36,0))))</x:f>
      </x:c>
      <x:c r="W1122" s="2" t="str">
        <x:f>IF(B1122="","",IF(I1122&lt;&gt;"READY","NOT RELEASED",IF(NOT(AND(J1122="PASS",'Calibrare_Linii'!U16="VALID")),"INVALID",IF(NOT(AND('Calibrare_Linii'!S16="VALIDATED",AND('Calibrare_Linii'!H16=C1122,ISNUMBER('Calibrare_Linii'!J16),'Calibrare_Linii'!J16&lt;='Input_Meci'!G85))),"OOS PENDING",IF(S1122&lt;='Calibrare_Linii'!E16,"PASS",IF(S1122&lt;='Calibrare_Linii'!F16,"PENALTY","WATCH"))))))</x:f>
      </x:c>
      <x:c r="X1122" s="2" t="str">
        <x:f>IF(M1122="","",IF(AND(AND(J1122="PASS",'Calibrare_Linii'!U16="VALID"),'Motor_Meciuri'!K85=12,'Motor_Meciuri'!L85=12,'Motor_Meciuri'!M85="NO",'Motor_Meciuri'!BL85='Motor_Meciuri'!C85,AB1122&gt;='Config_v6'!$B$50,AN1122&gt;='Config_v6'!$B$51,T1122&lt;='Config_v6'!$B$52,L1122&lt;='Config_v6'!$B$53,ISNUMBER('Calibrare_Linii'!E16),S1122&lt;='Calibrare_Linii'!E16,SUM(AK1122:AM1122)&gt;0),"CANDIDATE","NO"))</x:f>
      </x:c>
      <x:c r="Y1122" s="2" t="str">
        <x:f>IF(B1122="","",IF(I1122&lt;&gt;"READY","NOT RELEASED",IF(AND(X1122="CANDIDATE",V1122&gt;='Config_v6'!$B$51,W1122="PASS",'Calibrare_Linii'!T16="VALIDATED",AND('Calibrare_Linii'!H16=C1122,ISNUMBER('Calibrare_Linii'!J16),'Calibrare_Linii'!J16&lt;='Input_Meci'!G85)),"PASS",IF(X1122="CANDIDATE","OOS PENDING","FAIL"))))</x:f>
      </x:c>
      <x:c r="Z1122" s="2" t="str">
        <x:f>IF(B1122="","",IF(I1122&lt;&gt;"READY","",IF(OR(NOT(AND(J1122="PASS",'Calibrare_Linii'!U16="VALID")),L1122&gt;'Config_v6'!$B$13,W1122="WATCH"),5,IF(Y1122="PASS",1,MIN(5,MAX('Config_v6'!$B$42,U1122)+IF(W1122="PENALTY",1,0))))))</x:f>
      </x:c>
      <x:c r="AA1122" s="2" t="str">
        <x:f>IF(B1122="","",IF(I1122&lt;&gt;"READY","NOT RELEASED",IF(Z1122=5,"NO BET",IF(OR(AB1122&lt;'Config_v6'!$B$16,V1122&lt;'Config_v6'!$B$18),"WATCH",IF(Z1122=1,"DEFENSIV",IF(Z1122=2,"PRUDENT",IF(Z1122=3,"MODERAT","RIDICAT")))))))</x:f>
      </x:c>
      <x:c r="AB1122" s="10" t="str">
        <x:f>IF(N1122="","",MIN(N1122,1-S1122))</x:f>
      </x:c>
      <x:c r="AC1122" s="2" t="str">
        <x:f>IF(AD1122&lt;&gt;1,"",COUNTIFS($Z$1112:$Z$1125,"&lt;"&amp;Z1122,$AD$1112:$AD$1125,1)+COUNTIFS($Z$1112:$Z$1125,Z1122,$AB$1112:$AB$1125,"&gt;"&amp;AB1122,$AD$1112:$AD$1125,1)+COUNTIFS($Z$1112:$Z$1125,Z1122,$AB$1112:$AB$1125,AB1122,$V$1112:$V$1125,"&gt;"&amp;V1122,$AD$1112:$AD$1125,1)+COUNTIFS($Z$1112:Z1122,Z1122,$AB$1112:AB1122,AB1122,$V$1112:V1122,V1122,$AD$1112:AD1122,1))</x:f>
      </x:c>
      <x:c r="AD1122" s="2" t="n">
        <x:f>IF(OR(AA1122="DEFENSIV",AA1122="PRUDENT",AA1122="MODERAT",AA1122="RIDICAT"),1,0)</x:f>
        <x:v>0</x:v>
      </x:c>
      <x:c r="AE1122" s="2" t="str">
        <x:f>IF(AD1122&lt;&gt;1,"NO",IF(W1122="PASS","YES",IF(W1122="OOS PENDING","CONDITIONAL","NO")))</x:f>
        <x:v>NO</x:v>
      </x:c>
      <x:c r="AF1122" s="2" t="n">
        <x:f>IF(AND(AD1122=1,AC1122=1,E1122="LIVE"),1,0)</x:f>
        <x:v>0</x:v>
      </x:c>
      <x:c r="AG1122" s="2" t="str">
        <x:f>IF(AF1122&lt;&gt;1,"",'Dashboard'!P105)</x:f>
      </x:c>
      <x:c r="AH1122" s="2" t="str">
        <x:f>IF(B1122="","",IF(J1122&lt;&gt;"PASS",'Motor_Meciuri'!J85,IF('Calibrare_Linii'!U16&lt;&gt;"VALID","Parametri linie invalizi",IF(L1122&gt;'Config_v6'!$B$13,"Dispersie peste limita",IF(W1122="WATCH","Failure peste limita",IF(AB1122&lt;'Config_v6'!$B$16,"P finala sub prag",IF(V1122&lt;'Config_v6'!$B$18,"Confidence sub prag",IF(E1122="REPLAY","Exemplu retrospectiv; exclus din Top LIVE",IF(Y1122="PASS","DEFENSIV validat",IF(W1122="OOS PENDING","Eligibil; calibrare linie in monitorizare","Eligibil"))))))))))</x:f>
      </x:c>
      <x:c r="AI1122" s="2" t="str">
        <x:f>IF(B1122="","",'Calibrare_Linii'!V16)</x:f>
      </x:c>
      <x:c r="AJ1122" s="2" t="str">
        <x:f>IF(B1122="","",IF(AND('Calibrare_Linii'!T16="VALIDATED",AND('Calibrare_Linii'!H16=C1122,ISNUMBER('Calibrare_Linii'!J16),'Calibrare_Linii'!J16&lt;='Input_Meci'!G85)),"DEFENSIVE VALIDATED",IF(AND('Calibrare_Linii'!S16="VALIDATED",AND('Calibrare_Linii'!H16=C1122,ISNUMBER('Calibrare_Linii'!J16),'Calibrare_Linii'!J16&lt;='Input_Meci'!G85)),"TAIL VALIDATED","OOS PENDING")))</x:f>
      </x:c>
      <x:c r="AK1122" s="2" t="n">
        <x:f>IF(J1122&lt;&gt;"PASS",0,'Motor_Meciuri'!BR85)</x:f>
        <x:v>0</x:v>
      </x:c>
      <x:c r="AL1122" s="2" t="n">
        <x:f>IF(J1122&lt;&gt;"PASS",0,'Motor_Meciuri'!BS85)</x:f>
        <x:v>0</x:v>
      </x:c>
      <x:c r="AM1122" s="2" t="n">
        <x:f>IF(J1122&lt;&gt;"PASS",0,'Motor_Meciuri'!BT85)</x:f>
        <x:v>0</x:v>
      </x:c>
      <x:c r="AN1122" s="2" t="str">
        <x:f>IF(M1122="","",MAX(0,'Motor_Meciuri'!BF85-IF(L1122&gt;'Config_v6'!$B$12,'Config_v6'!$B$37,IF(L1122&gt;'Config_v6'!$B$11,'Config_v6'!$B$36,0))))</x:f>
      </x:c>
    </x:row>
    <x:row r="1123" ht="21" customHeight="1">
      <x:c r="A1123" s="2" t="n">
        <x:v>80</x:v>
      </x:c>
      <x:c r="B1123" s="2" t="str">
        <x:f>IF('Motor_Meciuri'!A85="","",'Motor_Meciuri'!A85)</x:f>
      </x:c>
      <x:c r="C1123" s="2" t="str">
        <x:f>IF(B1123="","",'Motor_Meciuri'!B85)</x:f>
      </x:c>
      <x:c r="D1123" s="2" t="str">
        <x:f>IF(B1123="","",'Motor_Meciuri'!D85)</x:f>
      </x:c>
      <x:c r="E1123" s="2" t="str">
        <x:f>IF(B1123="","",'Motor_Meciuri'!E85)</x:f>
      </x:c>
      <x:c r="F1123" s="2" t="str">
        <x:v>U15,5</x:v>
      </x:c>
      <x:c r="G1123" s="2" t="str">
        <x:v>UNDER</x:v>
      </x:c>
      <x:c r="H1123" s="2" t="n">
        <x:v>15</x:v>
      </x:c>
      <x:c r="I1123" s="2" t="str">
        <x:f>IF(B1123="","",'Motor_Meciuri'!H85)</x:f>
      </x:c>
      <x:c r="J1123" s="2" t="str">
        <x:f>IF(B1123="","",'Motor_Meciuri'!I85)</x:f>
      </x:c>
      <x:c r="K1123" s="11" t="str">
        <x:f>IF(J1123&lt;&gt;"PASS","",'Motor_Meciuri'!BD85)</x:f>
      </x:c>
      <x:c r="L1123" s="11" t="str">
        <x:f>IF(J1123&lt;&gt;"PASS","",'Motor_Meciuri'!AU85)</x:f>
      </x:c>
      <x:c r="M1123" s="10" t="str">
        <x:f>IF(NOT(AND(J1123="PASS",'Calibrare_Linii'!U17="VALID")),"",'Distributie'!AM85)</x:f>
      </x:c>
      <x:c r="N1123" s="10" t="str">
        <x:f>IF(M1123="","",MAX(0.01,MIN(0.99,0.5+(M1123-0.5)*'Motor_Meciuri'!BG85*'Calibrare_Linii'!D17)))</x:f>
      </x:c>
      <x:c r="O1123" s="10" t="str">
        <x:f>IF(M1123="","",1-M1123)</x:f>
      </x:c>
      <x:c r="P1123" s="10" t="str">
        <x:f>IF(OR(NOT(AND(J1123="PASS",'Calibrare_Linii'!U17="VALID")),AK1123=0),""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*('Istoric_Nativ'!$Q$6:$Q$405&gt;H1123))/AK1123)</x:f>
      </x:c>
      <x:c r="Q1123" s="10" t="str">
        <x:f>IF(OR(NOT(AND(J1123="PASS",'Calibrare_Linii'!U17="VALID")),AL1123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M85)+((('Istoric_Nativ'!$E$6:$E$405='Input_Meci'!E85)+('Istoric_Nativ'!$F$6:$F$405='Input_Meci'!E85))&gt;0)*('Istoric_Nativ'!$D$6:$D$405&gt;='Motor_Meciuri'!BN85))&gt;0)*('Istoric_Nativ'!$Q$6:$Q$405&gt;H1123))/AL1123)</x:f>
      </x:c>
      <x:c r="R1123" s="10" t="str">
        <x:f>IF(OR(NOT(AND(J1123="PASS",'Calibrare_Linii'!U17="VALID")),AM1123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O85)+((('Istoric_Nativ'!$E$6:$E$405='Input_Meci'!E85)+('Istoric_Nativ'!$F$6:$F$405='Input_Meci'!E85))&gt;0)*('Istoric_Nativ'!$D$6:$D$405&gt;='Motor_Meciuri'!BP85))&gt;0)*('Istoric_Nativ'!$Q$6:$Q$405&gt;H1123))/AM1123)</x:f>
      </x:c>
      <x:c r="S1123" s="10" t="str">
        <x:f>IF(M1123="","",MAX(O1123,P1123,Q1123,R1123))</x:f>
      </x:c>
      <x:c r="T1123" s="11" t="str">
        <x:f>IF(M1123="","",MIN(100,S1123*100*'Config_v6'!$B$44+MIN(100,L1123/'Config_v6'!$B$13*100)*'Config_v6'!$B$45+(100-'Motor_Meciuri'!BF85)*'Config_v6'!$B$46+'Motor_Meciuri'!BH85*100*'Config_v6'!$B$47))</x:f>
      </x:c>
      <x:c r="U1123" s="2" t="str">
        <x:f>IF(T1123="","",IF(T1123&lt;=20,1,IF(T1123&lt;=40,2,IF(T1123&lt;=60,3,IF(T1123&lt;=80,4,5)))))</x:f>
      </x:c>
      <x:c r="V1123" s="2" t="str">
        <x:f>IF(M1123="","",MAX(0,'Motor_Meciuri'!BF85-IF(W1123="OOS PENDING",'Config_v6'!$B$35,0)-IF(L1123&gt;'Config_v6'!$B$12,'Config_v6'!$B$37,IF(L1123&gt;'Config_v6'!$B$11,'Config_v6'!$B$36,0))))</x:f>
      </x:c>
      <x:c r="W1123" s="2" t="str">
        <x:f>IF(B1123="","",IF(I1123&lt;&gt;"READY","NOT RELEASED",IF(NOT(AND(J1123="PASS",'Calibrare_Linii'!U17="VALID")),"INVALID",IF(NOT(AND('Calibrare_Linii'!S17="VALIDATED",AND('Calibrare_Linii'!H17=C1123,ISNUMBER('Calibrare_Linii'!J17),'Calibrare_Linii'!J17&lt;='Input_Meci'!G85))),"OOS PENDING",IF(S1123&lt;='Calibrare_Linii'!E17,"PASS",IF(S1123&lt;='Calibrare_Linii'!F17,"PENALTY","WATCH"))))))</x:f>
      </x:c>
      <x:c r="X1123" s="2" t="str">
        <x:f>IF(M1123="","",IF(AND(AND(J1123="PASS",'Calibrare_Linii'!U17="VALID"),'Motor_Meciuri'!K85=12,'Motor_Meciuri'!L85=12,'Motor_Meciuri'!M85="NO",'Motor_Meciuri'!BL85='Motor_Meciuri'!C85,AB1123&gt;='Config_v6'!$B$50,AN1123&gt;='Config_v6'!$B$51,T1123&lt;='Config_v6'!$B$52,L1123&lt;='Config_v6'!$B$53,ISNUMBER('Calibrare_Linii'!E17),S1123&lt;='Calibrare_Linii'!E17,SUM(AK1123:AM1123)&gt;0),"CANDIDATE","NO"))</x:f>
      </x:c>
      <x:c r="Y1123" s="2" t="str">
        <x:f>IF(B1123="","",IF(I1123&lt;&gt;"READY","NOT RELEASED",IF(AND(X1123="CANDIDATE",V1123&gt;='Config_v6'!$B$51,W1123="PASS",'Calibrare_Linii'!T17="VALIDATED",AND('Calibrare_Linii'!H17=C1123,ISNUMBER('Calibrare_Linii'!J17),'Calibrare_Linii'!J17&lt;='Input_Meci'!G85)),"PASS",IF(X1123="CANDIDATE","OOS PENDING","FAIL"))))</x:f>
      </x:c>
      <x:c r="Z1123" s="2" t="str">
        <x:f>IF(B1123="","",IF(I1123&lt;&gt;"READY","",IF(OR(NOT(AND(J1123="PASS",'Calibrare_Linii'!U17="VALID")),L1123&gt;'Config_v6'!$B$13,W1123="WATCH"),5,IF(Y1123="PASS",1,MIN(5,MAX('Config_v6'!$B$42,U1123)+IF(W1123="PENALTY",1,0))))))</x:f>
      </x:c>
      <x:c r="AA1123" s="2" t="str">
        <x:f>IF(B1123="","",IF(I1123&lt;&gt;"READY","NOT RELEASED",IF(Z1123=5,"NO BET",IF(OR(AB1123&lt;'Config_v6'!$B$16,V1123&lt;'Config_v6'!$B$18),"WATCH",IF(Z1123=1,"DEFENSIV",IF(Z1123=2,"PRUDENT",IF(Z1123=3,"MODERAT","RIDICAT")))))))</x:f>
      </x:c>
      <x:c r="AB1123" s="10" t="str">
        <x:f>IF(N1123="","",MIN(N1123,1-S1123))</x:f>
      </x:c>
      <x:c r="AC1123" s="2" t="str">
        <x:f>IF(AD1123&lt;&gt;1,"",COUNTIFS($Z$1112:$Z$1125,"&lt;"&amp;Z1123,$AD$1112:$AD$1125,1)+COUNTIFS($Z$1112:$Z$1125,Z1123,$AB$1112:$AB$1125,"&gt;"&amp;AB1123,$AD$1112:$AD$1125,1)+COUNTIFS($Z$1112:$Z$1125,Z1123,$AB$1112:$AB$1125,AB1123,$V$1112:$V$1125,"&gt;"&amp;V1123,$AD$1112:$AD$1125,1)+COUNTIFS($Z$1112:Z1123,Z1123,$AB$1112:AB1123,AB1123,$V$1112:V1123,V1123,$AD$1112:AD1123,1))</x:f>
      </x:c>
      <x:c r="AD1123" s="2" t="n">
        <x:f>IF(OR(AA1123="DEFENSIV",AA1123="PRUDENT",AA1123="MODERAT",AA1123="RIDICAT"),1,0)</x:f>
        <x:v>0</x:v>
      </x:c>
      <x:c r="AE1123" s="2" t="str">
        <x:f>IF(AD1123&lt;&gt;1,"NO",IF(W1123="PASS","YES",IF(W1123="OOS PENDING","CONDITIONAL","NO")))</x:f>
        <x:v>NO</x:v>
      </x:c>
      <x:c r="AF1123" s="2" t="n">
        <x:f>IF(AND(AD1123=1,AC1123=1,E1123="LIVE"),1,0)</x:f>
        <x:v>0</x:v>
      </x:c>
      <x:c r="AG1123" s="2" t="str">
        <x:f>IF(AF1123&lt;&gt;1,"",'Dashboard'!P105)</x:f>
      </x:c>
      <x:c r="AH1123" s="2" t="str">
        <x:f>IF(B1123="","",IF(J1123&lt;&gt;"PASS",'Motor_Meciuri'!J85,IF('Calibrare_Linii'!U17&lt;&gt;"VALID","Parametri linie invalizi",IF(L1123&gt;'Config_v6'!$B$13,"Dispersie peste limita",IF(W1123="WATCH","Failure peste limita",IF(AB1123&lt;'Config_v6'!$B$16,"P finala sub prag",IF(V1123&lt;'Config_v6'!$B$18,"Confidence sub prag",IF(E1123="REPLAY","Exemplu retrospectiv; exclus din Top LIVE",IF(Y1123="PASS","DEFENSIV validat",IF(W1123="OOS PENDING","Eligibil; calibrare linie in monitorizare","Eligibil"))))))))))</x:f>
      </x:c>
      <x:c r="AI1123" s="2" t="str">
        <x:f>IF(B1123="","",'Calibrare_Linii'!V17)</x:f>
      </x:c>
      <x:c r="AJ1123" s="2" t="str">
        <x:f>IF(B1123="","",IF(AND('Calibrare_Linii'!T17="VALIDATED",AND('Calibrare_Linii'!H17=C1123,ISNUMBER('Calibrare_Linii'!J17),'Calibrare_Linii'!J17&lt;='Input_Meci'!G85)),"DEFENSIVE VALIDATED",IF(AND('Calibrare_Linii'!S17="VALIDATED",AND('Calibrare_Linii'!H17=C1123,ISNUMBER('Calibrare_Linii'!J17),'Calibrare_Linii'!J17&lt;='Input_Meci'!G85)),"TAIL VALIDATED","OOS PENDING")))</x:f>
      </x:c>
      <x:c r="AK1123" s="2" t="n">
        <x:f>IF(J1123&lt;&gt;"PASS",0,'Motor_Meciuri'!BR85)</x:f>
        <x:v>0</x:v>
      </x:c>
      <x:c r="AL1123" s="2" t="n">
        <x:f>IF(J1123&lt;&gt;"PASS",0,'Motor_Meciuri'!BS85)</x:f>
        <x:v>0</x:v>
      </x:c>
      <x:c r="AM1123" s="2" t="n">
        <x:f>IF(J1123&lt;&gt;"PASS",0,'Motor_Meciuri'!BT85)</x:f>
        <x:v>0</x:v>
      </x:c>
      <x:c r="AN1123" s="2" t="str">
        <x:f>IF(M1123="","",MAX(0,'Motor_Meciuri'!BF85-IF(L1123&gt;'Config_v6'!$B$12,'Config_v6'!$B$37,IF(L1123&gt;'Config_v6'!$B$11,'Config_v6'!$B$36,0))))</x:f>
      </x:c>
    </x:row>
    <x:row r="1124" ht="21" customHeight="1">
      <x:c r="A1124" s="2" t="n">
        <x:v>80</x:v>
      </x:c>
      <x:c r="B1124" s="2" t="str">
        <x:f>IF('Motor_Meciuri'!A85="","",'Motor_Meciuri'!A85)</x:f>
      </x:c>
      <x:c r="C1124" s="2" t="str">
        <x:f>IF(B1124="","",'Motor_Meciuri'!B85)</x:f>
      </x:c>
      <x:c r="D1124" s="2" t="str">
        <x:f>IF(B1124="","",'Motor_Meciuri'!D85)</x:f>
      </x:c>
      <x:c r="E1124" s="2" t="str">
        <x:f>IF(B1124="","",'Motor_Meciuri'!E85)</x:f>
      </x:c>
      <x:c r="F1124" s="2" t="str">
        <x:v>U16,5</x:v>
      </x:c>
      <x:c r="G1124" s="2" t="str">
        <x:v>UNDER</x:v>
      </x:c>
      <x:c r="H1124" s="2" t="n">
        <x:v>16</x:v>
      </x:c>
      <x:c r="I1124" s="2" t="str">
        <x:f>IF(B1124="","",'Motor_Meciuri'!H85)</x:f>
      </x:c>
      <x:c r="J1124" s="2" t="str">
        <x:f>IF(B1124="","",'Motor_Meciuri'!I85)</x:f>
      </x:c>
      <x:c r="K1124" s="11" t="str">
        <x:f>IF(J1124&lt;&gt;"PASS","",'Motor_Meciuri'!BD85)</x:f>
      </x:c>
      <x:c r="L1124" s="11" t="str">
        <x:f>IF(J1124&lt;&gt;"PASS","",'Motor_Meciuri'!AU85)</x:f>
      </x:c>
      <x:c r="M1124" s="10" t="str">
        <x:f>IF(NOT(AND(J1124="PASS",'Calibrare_Linii'!U18="VALID")),"",'Distributie'!AN85)</x:f>
      </x:c>
      <x:c r="N1124" s="10" t="str">
        <x:f>IF(M1124="","",MAX(0.01,MIN(0.99,0.5+(M1124-0.5)*'Motor_Meciuri'!BG85*'Calibrare_Linii'!D18)))</x:f>
      </x:c>
      <x:c r="O1124" s="10" t="str">
        <x:f>IF(M1124="","",1-M1124)</x:f>
      </x:c>
      <x:c r="P1124" s="10" t="str">
        <x:f>IF(OR(NOT(AND(J1124="PASS",'Calibrare_Linii'!U18="VALID")),AK1124=0),""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*('Istoric_Nativ'!$Q$6:$Q$405&gt;H1124))/AK1124)</x:f>
      </x:c>
      <x:c r="Q1124" s="10" t="str">
        <x:f>IF(OR(NOT(AND(J1124="PASS",'Calibrare_Linii'!U18="VALID")),AL1124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M85)+((('Istoric_Nativ'!$E$6:$E$405='Input_Meci'!E85)+('Istoric_Nativ'!$F$6:$F$405='Input_Meci'!E85))&gt;0)*('Istoric_Nativ'!$D$6:$D$405&gt;='Motor_Meciuri'!BN85))&gt;0)*('Istoric_Nativ'!$Q$6:$Q$405&gt;H1124))/AL1124)</x:f>
      </x:c>
      <x:c r="R1124" s="10" t="str">
        <x:f>IF(OR(NOT(AND(J1124="PASS",'Calibrare_Linii'!U18="VALID")),AM1124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O85)+((('Istoric_Nativ'!$E$6:$E$405='Input_Meci'!E85)+('Istoric_Nativ'!$F$6:$F$405='Input_Meci'!E85))&gt;0)*('Istoric_Nativ'!$D$6:$D$405&gt;='Motor_Meciuri'!BP85))&gt;0)*('Istoric_Nativ'!$Q$6:$Q$405&gt;H1124))/AM1124)</x:f>
      </x:c>
      <x:c r="S1124" s="10" t="str">
        <x:f>IF(M1124="","",MAX(O1124,P1124,Q1124,R1124))</x:f>
      </x:c>
      <x:c r="T1124" s="11" t="str">
        <x:f>IF(M1124="","",MIN(100,S1124*100*'Config_v6'!$B$44+MIN(100,L1124/'Config_v6'!$B$13*100)*'Config_v6'!$B$45+(100-'Motor_Meciuri'!BF85)*'Config_v6'!$B$46+'Motor_Meciuri'!BH85*100*'Config_v6'!$B$47))</x:f>
      </x:c>
      <x:c r="U1124" s="2" t="str">
        <x:f>IF(T1124="","",IF(T1124&lt;=20,1,IF(T1124&lt;=40,2,IF(T1124&lt;=60,3,IF(T1124&lt;=80,4,5)))))</x:f>
      </x:c>
      <x:c r="V1124" s="2" t="str">
        <x:f>IF(M1124="","",MAX(0,'Motor_Meciuri'!BF85-IF(W1124="OOS PENDING",'Config_v6'!$B$35,0)-IF(L1124&gt;'Config_v6'!$B$12,'Config_v6'!$B$37,IF(L1124&gt;'Config_v6'!$B$11,'Config_v6'!$B$36,0))))</x:f>
      </x:c>
      <x:c r="W1124" s="2" t="str">
        <x:f>IF(B1124="","",IF(I1124&lt;&gt;"READY","NOT RELEASED",IF(NOT(AND(J1124="PASS",'Calibrare_Linii'!U18="VALID")),"INVALID",IF(NOT(AND('Calibrare_Linii'!S18="VALIDATED",AND('Calibrare_Linii'!H18=C1124,ISNUMBER('Calibrare_Linii'!J18),'Calibrare_Linii'!J18&lt;='Input_Meci'!G85))),"OOS PENDING",IF(S1124&lt;='Calibrare_Linii'!E18,"PASS",IF(S1124&lt;='Calibrare_Linii'!F18,"PENALTY","WATCH"))))))</x:f>
      </x:c>
      <x:c r="X1124" s="2" t="str">
        <x:f>IF(M1124="","",IF(AND(AND(J1124="PASS",'Calibrare_Linii'!U18="VALID"),'Motor_Meciuri'!K85=12,'Motor_Meciuri'!L85=12,'Motor_Meciuri'!M85="NO",'Motor_Meciuri'!BL85='Motor_Meciuri'!C85,AB1124&gt;='Config_v6'!$B$50,AN1124&gt;='Config_v6'!$B$51,T1124&lt;='Config_v6'!$B$52,L1124&lt;='Config_v6'!$B$53,ISNUMBER('Calibrare_Linii'!E18),S1124&lt;='Calibrare_Linii'!E18,SUM(AK1124:AM1124)&gt;0),"CANDIDATE","NO"))</x:f>
      </x:c>
      <x:c r="Y1124" s="2" t="str">
        <x:f>IF(B1124="","",IF(I1124&lt;&gt;"READY","NOT RELEASED",IF(AND(X1124="CANDIDATE",V1124&gt;='Config_v6'!$B$51,W1124="PASS",'Calibrare_Linii'!T18="VALIDATED",AND('Calibrare_Linii'!H18=C1124,ISNUMBER('Calibrare_Linii'!J18),'Calibrare_Linii'!J18&lt;='Input_Meci'!G85)),"PASS",IF(X1124="CANDIDATE","OOS PENDING","FAIL"))))</x:f>
      </x:c>
      <x:c r="Z1124" s="2" t="str">
        <x:f>IF(B1124="","",IF(I1124&lt;&gt;"READY","",IF(OR(NOT(AND(J1124="PASS",'Calibrare_Linii'!U18="VALID")),L1124&gt;'Config_v6'!$B$13,W1124="WATCH"),5,IF(Y1124="PASS",1,MIN(5,MAX('Config_v6'!$B$42,U1124)+IF(W1124="PENALTY",1,0))))))</x:f>
      </x:c>
      <x:c r="AA1124" s="2" t="str">
        <x:f>IF(B1124="","",IF(I1124&lt;&gt;"READY","NOT RELEASED",IF(Z1124=5,"NO BET",IF(OR(AB1124&lt;'Config_v6'!$B$16,V1124&lt;'Config_v6'!$B$18),"WATCH",IF(Z1124=1,"DEFENSIV",IF(Z1124=2,"PRUDENT",IF(Z1124=3,"MODERAT","RIDICAT")))))))</x:f>
      </x:c>
      <x:c r="AB1124" s="10" t="str">
        <x:f>IF(N1124="","",MIN(N1124,1-S1124))</x:f>
      </x:c>
      <x:c r="AC1124" s="2" t="str">
        <x:f>IF(AD1124&lt;&gt;1,"",COUNTIFS($Z$1112:$Z$1125,"&lt;"&amp;Z1124,$AD$1112:$AD$1125,1)+COUNTIFS($Z$1112:$Z$1125,Z1124,$AB$1112:$AB$1125,"&gt;"&amp;AB1124,$AD$1112:$AD$1125,1)+COUNTIFS($Z$1112:$Z$1125,Z1124,$AB$1112:$AB$1125,AB1124,$V$1112:$V$1125,"&gt;"&amp;V1124,$AD$1112:$AD$1125,1)+COUNTIFS($Z$1112:Z1124,Z1124,$AB$1112:AB1124,AB1124,$V$1112:V1124,V1124,$AD$1112:AD1124,1))</x:f>
      </x:c>
      <x:c r="AD1124" s="2" t="n">
        <x:f>IF(OR(AA1124="DEFENSIV",AA1124="PRUDENT",AA1124="MODERAT",AA1124="RIDICAT"),1,0)</x:f>
        <x:v>0</x:v>
      </x:c>
      <x:c r="AE1124" s="2" t="str">
        <x:f>IF(AD1124&lt;&gt;1,"NO",IF(W1124="PASS","YES",IF(W1124="OOS PENDING","CONDITIONAL","NO")))</x:f>
        <x:v>NO</x:v>
      </x:c>
      <x:c r="AF1124" s="2" t="n">
        <x:f>IF(AND(AD1124=1,AC1124=1,E1124="LIVE"),1,0)</x:f>
        <x:v>0</x:v>
      </x:c>
      <x:c r="AG1124" s="2" t="str">
        <x:f>IF(AF1124&lt;&gt;1,"",'Dashboard'!P105)</x:f>
      </x:c>
      <x:c r="AH1124" s="2" t="str">
        <x:f>IF(B1124="","",IF(J1124&lt;&gt;"PASS",'Motor_Meciuri'!J85,IF('Calibrare_Linii'!U18&lt;&gt;"VALID","Parametri linie invalizi",IF(L1124&gt;'Config_v6'!$B$13,"Dispersie peste limita",IF(W1124="WATCH","Failure peste limita",IF(AB1124&lt;'Config_v6'!$B$16,"P finala sub prag",IF(V1124&lt;'Config_v6'!$B$18,"Confidence sub prag",IF(E1124="REPLAY","Exemplu retrospectiv; exclus din Top LIVE",IF(Y1124="PASS","DEFENSIV validat",IF(W1124="OOS PENDING","Eligibil; calibrare linie in monitorizare","Eligibil"))))))))))</x:f>
      </x:c>
      <x:c r="AI1124" s="2" t="str">
        <x:f>IF(B1124="","",'Calibrare_Linii'!V18)</x:f>
      </x:c>
      <x:c r="AJ1124" s="2" t="str">
        <x:f>IF(B1124="","",IF(AND('Calibrare_Linii'!T18="VALIDATED",AND('Calibrare_Linii'!H18=C1124,ISNUMBER('Calibrare_Linii'!J18),'Calibrare_Linii'!J18&lt;='Input_Meci'!G85)),"DEFENSIVE VALIDATED",IF(AND('Calibrare_Linii'!S18="VALIDATED",AND('Calibrare_Linii'!H18=C1124,ISNUMBER('Calibrare_Linii'!J18),'Calibrare_Linii'!J18&lt;='Input_Meci'!G85)),"TAIL VALIDATED","OOS PENDING")))</x:f>
      </x:c>
      <x:c r="AK1124" s="2" t="n">
        <x:f>IF(J1124&lt;&gt;"PASS",0,'Motor_Meciuri'!BR85)</x:f>
        <x:v>0</x:v>
      </x:c>
      <x:c r="AL1124" s="2" t="n">
        <x:f>IF(J1124&lt;&gt;"PASS",0,'Motor_Meciuri'!BS85)</x:f>
        <x:v>0</x:v>
      </x:c>
      <x:c r="AM1124" s="2" t="n">
        <x:f>IF(J1124&lt;&gt;"PASS",0,'Motor_Meciuri'!BT85)</x:f>
        <x:v>0</x:v>
      </x:c>
      <x:c r="AN1124" s="2" t="str">
        <x:f>IF(M1124="","",MAX(0,'Motor_Meciuri'!BF85-IF(L1124&gt;'Config_v6'!$B$12,'Config_v6'!$B$37,IF(L1124&gt;'Config_v6'!$B$11,'Config_v6'!$B$36,0))))</x:f>
      </x:c>
    </x:row>
    <x:row r="1125" ht="21" customHeight="1">
      <x:c r="A1125" s="2" t="n">
        <x:v>80</x:v>
      </x:c>
      <x:c r="B1125" s="2" t="str">
        <x:f>IF('Motor_Meciuri'!A85="","",'Motor_Meciuri'!A85)</x:f>
      </x:c>
      <x:c r="C1125" s="2" t="str">
        <x:f>IF(B1125="","",'Motor_Meciuri'!B85)</x:f>
      </x:c>
      <x:c r="D1125" s="2" t="str">
        <x:f>IF(B1125="","",'Motor_Meciuri'!D85)</x:f>
      </x:c>
      <x:c r="E1125" s="2" t="str">
        <x:f>IF(B1125="","",'Motor_Meciuri'!E85)</x:f>
      </x:c>
      <x:c r="F1125" s="2" t="str">
        <x:v>U17,5</x:v>
      </x:c>
      <x:c r="G1125" s="2" t="str">
        <x:v>UNDER</x:v>
      </x:c>
      <x:c r="H1125" s="2" t="n">
        <x:v>17</x:v>
      </x:c>
      <x:c r="I1125" s="2" t="str">
        <x:f>IF(B1125="","",'Motor_Meciuri'!H85)</x:f>
      </x:c>
      <x:c r="J1125" s="2" t="str">
        <x:f>IF(B1125="","",'Motor_Meciuri'!I85)</x:f>
      </x:c>
      <x:c r="K1125" s="11" t="str">
        <x:f>IF(J1125&lt;&gt;"PASS","",'Motor_Meciuri'!BD85)</x:f>
      </x:c>
      <x:c r="L1125" s="11" t="str">
        <x:f>IF(J1125&lt;&gt;"PASS","",'Motor_Meciuri'!AU85)</x:f>
      </x:c>
      <x:c r="M1125" s="10" t="str">
        <x:f>IF(NOT(AND(J1125="PASS",'Calibrare_Linii'!U19="VALID")),"",'Distributie'!AO85)</x:f>
      </x:c>
      <x:c r="N1125" s="10" t="str">
        <x:f>IF(M1125="","",MAX(0.01,MIN(0.99,0.5+(M1125-0.5)*'Motor_Meciuri'!BG85*'Calibrare_Linii'!D19)))</x:f>
      </x:c>
      <x:c r="O1125" s="10" t="str">
        <x:f>IF(M1125="","",1-M1125)</x:f>
      </x:c>
      <x:c r="P1125" s="10" t="str">
        <x:f>IF(OR(NOT(AND(J1125="PASS",'Calibrare_Linii'!U19="VALID")),AK1125=0),""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*('Istoric_Nativ'!$Q$6:$Q$405&gt;H1125))/AK1125)</x:f>
      </x:c>
      <x:c r="Q1125" s="10" t="str">
        <x:f>IF(OR(NOT(AND(J1125="PASS",'Calibrare_Linii'!U19="VALID")),AL1125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M85)+((('Istoric_Nativ'!$E$6:$E$405='Input_Meci'!E85)+('Istoric_Nativ'!$F$6:$F$405='Input_Meci'!E85))&gt;0)*('Istoric_Nativ'!$D$6:$D$405&gt;='Motor_Meciuri'!BN85))&gt;0)*('Istoric_Nativ'!$Q$6:$Q$405&gt;H1125))/AL1125)</x:f>
      </x:c>
      <x:c r="R1125" s="10" t="str">
        <x:f>IF(OR(NOT(AND(J1125="PASS",'Calibrare_Linii'!U19="VALID")),AM1125=0),""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'Motor_Meciuri'!BO85)+((('Istoric_Nativ'!$E$6:$E$405='Input_Meci'!E85)+('Istoric_Nativ'!$F$6:$F$405='Input_Meci'!E85))&gt;0)*('Istoric_Nativ'!$D$6:$D$405&gt;='Motor_Meciuri'!BP85))&gt;0)*('Istoric_Nativ'!$Q$6:$Q$405&gt;H1125))/AM1125)</x:f>
      </x:c>
      <x:c r="S1125" s="10" t="str">
        <x:f>IF(M1125="","",MAX(O1125,P1125,Q1125,R1125))</x:f>
      </x:c>
      <x:c r="T1125" s="11" t="str">
        <x:f>IF(M1125="","",MIN(100,S1125*100*'Config_v6'!$B$44+MIN(100,L1125/'Config_v6'!$B$13*100)*'Config_v6'!$B$45+(100-'Motor_Meciuri'!BF85)*'Config_v6'!$B$46+'Motor_Meciuri'!BH85*100*'Config_v6'!$B$47))</x:f>
      </x:c>
      <x:c r="U1125" s="2" t="str">
        <x:f>IF(T1125="","",IF(T1125&lt;=20,1,IF(T1125&lt;=40,2,IF(T1125&lt;=60,3,IF(T1125&lt;=80,4,5)))))</x:f>
      </x:c>
      <x:c r="V1125" s="2" t="str">
        <x:f>IF(M1125="","",MAX(0,'Motor_Meciuri'!BF85-IF(W1125="OOS PENDING",'Config_v6'!$B$35,0)-IF(L1125&gt;'Config_v6'!$B$12,'Config_v6'!$B$37,IF(L1125&gt;'Config_v6'!$B$11,'Config_v6'!$B$36,0))))</x:f>
      </x:c>
      <x:c r="W1125" s="2" t="str">
        <x:f>IF(B1125="","",IF(I1125&lt;&gt;"READY","NOT RELEASED",IF(NOT(AND(J1125="PASS",'Calibrare_Linii'!U19="VALID")),"INVALID",IF(NOT(AND('Calibrare_Linii'!S19="VALIDATED",AND('Calibrare_Linii'!H19=C1125,ISNUMBER('Calibrare_Linii'!J19),'Calibrare_Linii'!J19&lt;='Input_Meci'!G85))),"OOS PENDING",IF(S1125&lt;='Calibrare_Linii'!E19,"PASS",IF(S1125&lt;='Calibrare_Linii'!F19,"PENALTY","WATCH"))))))</x:f>
      </x:c>
      <x:c r="X1125" s="2" t="str">
        <x:f>IF(M1125="","",IF(AND(AND(J1125="PASS",'Calibrare_Linii'!U19="VALID"),'Motor_Meciuri'!K85=12,'Motor_Meciuri'!L85=12,'Motor_Meciuri'!M85="NO",'Motor_Meciuri'!BL85='Motor_Meciuri'!C85,AB1125&gt;='Config_v6'!$B$50,AN1125&gt;='Config_v6'!$B$51,T1125&lt;='Config_v6'!$B$52,L1125&lt;='Config_v6'!$B$53,ISNUMBER('Calibrare_Linii'!E19),S1125&lt;='Calibrare_Linii'!E19,SUM(AK1125:AM1125)&gt;0),"CANDIDATE","NO"))</x:f>
      </x:c>
      <x:c r="Y1125" s="2" t="str">
        <x:f>IF(B1125="","",IF(I1125&lt;&gt;"READY","NOT RELEASED",IF(AND(X1125="CANDIDATE",V1125&gt;='Config_v6'!$B$51,W1125="PASS",'Calibrare_Linii'!T19="VALIDATED",AND('Calibrare_Linii'!H19=C1125,ISNUMBER('Calibrare_Linii'!J19),'Calibrare_Linii'!J19&lt;='Input_Meci'!G85)),"PASS",IF(X1125="CANDIDATE","OOS PENDING","FAIL"))))</x:f>
      </x:c>
      <x:c r="Z1125" s="2" t="str">
        <x:f>IF(B1125="","",IF(I1125&lt;&gt;"READY","",IF(OR(NOT(AND(J1125="PASS",'Calibrare_Linii'!U19="VALID")),L1125&gt;'Config_v6'!$B$13,W1125="WATCH"),5,IF(Y1125="PASS",1,MIN(5,MAX('Config_v6'!$B$42,U1125)+IF(W1125="PENALTY",1,0))))))</x:f>
      </x:c>
      <x:c r="AA1125" s="2" t="str">
        <x:f>IF(B1125="","",IF(I1125&lt;&gt;"READY","NOT RELEASED",IF(Z1125=5,"NO BET",IF(OR(AB1125&lt;'Config_v6'!$B$16,V1125&lt;'Config_v6'!$B$18),"WATCH",IF(Z1125=1,"DEFENSIV",IF(Z1125=2,"PRUDENT",IF(Z1125=3,"MODERAT","RIDICAT")))))))</x:f>
      </x:c>
      <x:c r="AB1125" s="10" t="str">
        <x:f>IF(N1125="","",MIN(N1125,1-S1125))</x:f>
      </x:c>
      <x:c r="AC1125" s="2" t="str">
        <x:f>IF(AD1125&lt;&gt;1,"",COUNTIFS($Z$1112:$Z$1125,"&lt;"&amp;Z1125,$AD$1112:$AD$1125,1)+COUNTIFS($Z$1112:$Z$1125,Z1125,$AB$1112:$AB$1125,"&gt;"&amp;AB1125,$AD$1112:$AD$1125,1)+COUNTIFS($Z$1112:$Z$1125,Z1125,$AB$1112:$AB$1125,AB1125,$V$1112:$V$1125,"&gt;"&amp;V1125,$AD$1112:$AD$1125,1)+COUNTIFS($Z$1112:Z1125,Z1125,$AB$1112:AB1125,AB1125,$V$1112:V1125,V1125,$AD$1112:AD1125,1))</x:f>
      </x:c>
      <x:c r="AD1125" s="2" t="n">
        <x:f>IF(OR(AA1125="DEFENSIV",AA1125="PRUDENT",AA1125="MODERAT",AA1125="RIDICAT"),1,0)</x:f>
        <x:v>0</x:v>
      </x:c>
      <x:c r="AE1125" s="2" t="str">
        <x:f>IF(AD1125&lt;&gt;1,"NO",IF(W1125="PASS","YES",IF(W1125="OOS PENDING","CONDITIONAL","NO")))</x:f>
        <x:v>NO</x:v>
      </x:c>
      <x:c r="AF1125" s="2" t="n">
        <x:f>IF(AND(AD1125=1,AC1125=1,E1125="LIVE"),1,0)</x:f>
        <x:v>0</x:v>
      </x:c>
      <x:c r="AG1125" s="2" t="str">
        <x:f>IF(AF1125&lt;&gt;1,"",'Dashboard'!P105)</x:f>
      </x:c>
      <x:c r="AH1125" s="2" t="str">
        <x:f>IF(B1125="","",IF(J1125&lt;&gt;"PASS",'Motor_Meciuri'!J85,IF('Calibrare_Linii'!U19&lt;&gt;"VALID","Parametri linie invalizi",IF(L1125&gt;'Config_v6'!$B$13,"Dispersie peste limita",IF(W1125="WATCH","Failure peste limita",IF(AB1125&lt;'Config_v6'!$B$16,"P finala sub prag",IF(V1125&lt;'Config_v6'!$B$18,"Confidence sub prag",IF(E1125="REPLAY","Exemplu retrospectiv; exclus din Top LIVE",IF(Y1125="PASS","DEFENSIV validat",IF(W1125="OOS PENDING","Eligibil; calibrare linie in monitorizare","Eligibil"))))))))))</x:f>
      </x:c>
      <x:c r="AI1125" s="2" t="str">
        <x:f>IF(B1125="","",'Calibrare_Linii'!V19)</x:f>
      </x:c>
      <x:c r="AJ1125" s="2" t="str">
        <x:f>IF(B1125="","",IF(AND('Calibrare_Linii'!T19="VALIDATED",AND('Calibrare_Linii'!H19=C1125,ISNUMBER('Calibrare_Linii'!J19),'Calibrare_Linii'!J19&lt;='Input_Meci'!G85)),"DEFENSIVE VALIDATED",IF(AND('Calibrare_Linii'!S19="VALIDATED",AND('Calibrare_Linii'!H19=C1125,ISNUMBER('Calibrare_Linii'!J19),'Calibrare_Linii'!J19&lt;='Input_Meci'!G85)),"TAIL VALIDATED","OOS PENDING")))</x:f>
      </x:c>
      <x:c r="AK1125" s="2" t="n">
        <x:f>IF(J1125&lt;&gt;"PASS",0,'Motor_Meciuri'!BR85)</x:f>
        <x:v>0</x:v>
      </x:c>
      <x:c r="AL1125" s="2" t="n">
        <x:f>IF(J1125&lt;&gt;"PASS",0,'Motor_Meciuri'!BS85)</x:f>
        <x:v>0</x:v>
      </x:c>
      <x:c r="AM1125" s="2" t="n">
        <x:f>IF(J1125&lt;&gt;"PASS",0,'Motor_Meciuri'!BT85)</x:f>
        <x:v>0</x:v>
      </x:c>
      <x:c r="AN1125" s="2" t="str">
        <x:f>IF(M1125="","",MAX(0,'Motor_Meciuri'!BF85-IF(L1125&gt;'Config_v6'!$B$12,'Config_v6'!$B$37,IF(L1125&gt;'Config_v6'!$B$11,'Config_v6'!$B$36,0))))</x:f>
      </x:c>
    </x:row>
    <x:row r="1126" ht="21" customHeight="1">
      <x:c r="A1126" s="2" t="n">
        <x:v>81</x:v>
      </x:c>
      <x:c r="B1126" s="2" t="str">
        <x:f>IF('Motor_Meciuri'!A86="","",'Motor_Meciuri'!A86)</x:f>
      </x:c>
      <x:c r="C1126" s="2" t="str">
        <x:f>IF(B1126="","",'Motor_Meciuri'!B86)</x:f>
      </x:c>
      <x:c r="D1126" s="2" t="str">
        <x:f>IF(B1126="","",'Motor_Meciuri'!D86)</x:f>
      </x:c>
      <x:c r="E1126" s="2" t="str">
        <x:f>IF(B1126="","",'Motor_Meciuri'!E86)</x:f>
      </x:c>
      <x:c r="F1126" s="2" t="str">
        <x:v>O3,5</x:v>
      </x:c>
      <x:c r="G1126" s="2" t="str">
        <x:v>OVER</x:v>
      </x:c>
      <x:c r="H1126" s="2" t="n">
        <x:v>3</x:v>
      </x:c>
      <x:c r="I1126" s="2" t="str">
        <x:f>IF(B1126="","",'Motor_Meciuri'!H86)</x:f>
      </x:c>
      <x:c r="J1126" s="2" t="str">
        <x:f>IF(B1126="","",'Motor_Meciuri'!I86)</x:f>
      </x:c>
      <x:c r="K1126" s="11" t="str">
        <x:f>IF(J1126&lt;&gt;"PASS","",'Motor_Meciuri'!BD86)</x:f>
      </x:c>
      <x:c r="L1126" s="11" t="str">
        <x:f>IF(J1126&lt;&gt;"PASS","",'Motor_Meciuri'!AU86)</x:f>
      </x:c>
      <x:c r="M1126" s="10" t="str">
        <x:f>IF(NOT(AND(J1126="PASS",'Calibrare_Linii'!U6="VALID")),"",1-'Distributie'!AA86)</x:f>
      </x:c>
      <x:c r="N1126" s="10" t="str">
        <x:f>IF(M1126="","",MAX(0.01,MIN(0.99,0.5+(M1126-0.5)*'Motor_Meciuri'!BG86*'Calibrare_Linii'!D6)))</x:f>
      </x:c>
      <x:c r="O1126" s="10" t="str">
        <x:f>IF(M1126="","",1-M1126)</x:f>
      </x:c>
      <x:c r="P1126" s="10" t="str">
        <x:f>IF(OR(NOT(AND(J1126="PASS",'Calibrare_Linii'!U6="VALID")),AK1126=0),""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*('Istoric_Nativ'!$Q$6:$Q$405&lt;=H1126))/AK1126)</x:f>
      </x:c>
      <x:c r="Q1126" s="10" t="str">
        <x:f>IF(OR(NOT(AND(J1126="PASS",'Calibrare_Linii'!U6="VALID")),AL1126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M86)+((('Istoric_Nativ'!$E$6:$E$405='Input_Meci'!E86)+('Istoric_Nativ'!$F$6:$F$405='Input_Meci'!E86))&gt;0)*('Istoric_Nativ'!$D$6:$D$405&gt;='Motor_Meciuri'!BN86))&gt;0)*('Istoric_Nativ'!$Q$6:$Q$405&lt;=H1126))/AL1126)</x:f>
      </x:c>
      <x:c r="R1126" s="10" t="str">
        <x:f>IF(OR(NOT(AND(J1126="PASS",'Calibrare_Linii'!U6="VALID")),AM1126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O86)+((('Istoric_Nativ'!$E$6:$E$405='Input_Meci'!E86)+('Istoric_Nativ'!$F$6:$F$405='Input_Meci'!E86))&gt;0)*('Istoric_Nativ'!$D$6:$D$405&gt;='Motor_Meciuri'!BP86))&gt;0)*('Istoric_Nativ'!$Q$6:$Q$405&lt;=H1126))/AM1126)</x:f>
      </x:c>
      <x:c r="S1126" s="10" t="str">
        <x:f>IF(M1126="","",MAX(O1126,P1126,Q1126,R1126))</x:f>
      </x:c>
      <x:c r="T1126" s="11" t="str">
        <x:f>IF(M1126="","",MIN(100,S1126*100*'Config_v6'!$B$44+MIN(100,L1126/'Config_v6'!$B$13*100)*'Config_v6'!$B$45+(100-'Motor_Meciuri'!BF86)*'Config_v6'!$B$46+'Motor_Meciuri'!BH86*100*'Config_v6'!$B$47))</x:f>
      </x:c>
      <x:c r="U1126" s="2" t="str">
        <x:f>IF(T1126="","",IF(T1126&lt;=20,1,IF(T1126&lt;=40,2,IF(T1126&lt;=60,3,IF(T1126&lt;=80,4,5)))))</x:f>
      </x:c>
      <x:c r="V1126" s="2" t="str">
        <x:f>IF(M1126="","",MAX(0,'Motor_Meciuri'!BF86-IF(W1126="OOS PENDING",'Config_v6'!$B$35,0)-IF(L1126&gt;'Config_v6'!$B$12,'Config_v6'!$B$37,IF(L1126&gt;'Config_v6'!$B$11,'Config_v6'!$B$36,0))))</x:f>
      </x:c>
      <x:c r="W1126" s="2" t="str">
        <x:f>IF(B1126="","",IF(I1126&lt;&gt;"READY","NOT RELEASED",IF(NOT(AND(J1126="PASS",'Calibrare_Linii'!U6="VALID")),"INVALID",IF(NOT(TRUE),"OOS PENDING",IF(S1126&lt;=IF(AND('Calibrare_Linii'!S6="VALIDATED",AND('Calibrare_Linii'!H6=C1126,ISNUMBER('Calibrare_Linii'!J6),'Calibrare_Linii'!J6&lt;='Input_Meci'!G86)),'Calibrare_Linii'!E6,'Config_v6'!$B$26),"PASS",IF(S1126&lt;=IF(AND('Calibrare_Linii'!S6="VALIDATED",AND('Calibrare_Linii'!H6=C1126,ISNUMBER('Calibrare_Linii'!J6),'Calibrare_Linii'!J6&lt;='Input_Meci'!G86)),'Calibrare_Linii'!F6,'Config_v6'!$C$26),"PENALTY","WATCH"))))))</x:f>
      </x:c>
      <x:c r="X1126" s="2" t="str">
        <x:f>IF(M1126="","",IF(AND(AND(J1126="PASS",'Calibrare_Linii'!U6="VALID"),'Motor_Meciuri'!K86=12,'Motor_Meciuri'!L86=12,'Motor_Meciuri'!M86="NO",'Motor_Meciuri'!BL86='Motor_Meciuri'!C86,AB1126&gt;='Config_v6'!$B$50,AN1126&gt;='Config_v6'!$B$51,T1126&lt;='Config_v6'!$B$52,L1126&lt;='Config_v6'!$B$53,ISNUMBER('Calibrare_Linii'!E6),S1126&lt;='Calibrare_Linii'!E6,SUM(AK1126:AM1126)&gt;0),"CANDIDATE","NO"))</x:f>
      </x:c>
      <x:c r="Y1126" s="2" t="str">
        <x:f>IF(B1126="","",IF(I1126&lt;&gt;"READY","NOT RELEASED",IF(AND(X1126="CANDIDATE",V1126&gt;='Config_v6'!$B$51,W1126="PASS",'Calibrare_Linii'!T6="VALIDATED",AND('Calibrare_Linii'!H6=C1126,ISNUMBER('Calibrare_Linii'!J6),'Calibrare_Linii'!J6&lt;='Input_Meci'!G86)),"PASS",IF(X1126="CANDIDATE","OOS PENDING","FAIL"))))</x:f>
      </x:c>
      <x:c r="Z1126" s="2" t="str">
        <x:f>IF(B1126="","",IF(I1126&lt;&gt;"READY","",IF(OR(NOT(AND(J1126="PASS",'Calibrare_Linii'!U6="VALID")),L1126&gt;'Config_v6'!$B$13,W1126="WATCH"),5,IF(Y1126="PASS",1,MIN(5,MAX('Config_v6'!$B$42,U1126)+IF(W1126="PENALTY",1,0))))))</x:f>
      </x:c>
      <x:c r="AA1126" s="2" t="str">
        <x:f>IF(B1126="","",IF(I1126&lt;&gt;"READY","NOT RELEASED",IF(Z1126=5,"NO BET",IF(OR(AB1126&lt;'Config_v6'!$B$16,V1126&lt;'Config_v6'!$B$18),"WATCH",IF(Z1126=1,"DEFENSIV",IF(Z1126=2,"PRUDENT",IF(Z1126=3,"MODERAT","RIDICAT")))))))</x:f>
      </x:c>
      <x:c r="AB1126" s="10" t="str">
        <x:f>IF(N1126="","",MIN(N1126,1-S1126))</x:f>
      </x:c>
      <x:c r="AC1126" s="2" t="str">
        <x:f>IF(AD1126&lt;&gt;1,"",COUNTIFS($Z$1126:$Z$1139,"&lt;"&amp;Z1126,$AD$1126:$AD$1139,1)+COUNTIFS($Z$1126:$Z$1139,Z1126,$AB$1126:$AB$1139,"&gt;"&amp;AB1126,$AD$1126:$AD$1139,1)+COUNTIFS($Z$1126:$Z$1139,Z1126,$AB$1126:$AB$1139,AB1126,$V$1126:$V$1139,"&gt;"&amp;V1126,$AD$1126:$AD$1139,1)+COUNTIFS($Z$1126:Z1126,Z1126,$AB$1126:AB1126,AB1126,$V$1126:V1126,V1126,$AD$1126:AD1126,1))</x:f>
      </x:c>
      <x:c r="AD1126" s="2" t="n">
        <x:f>IF(OR(AA1126="DEFENSIV",AA1126="PRUDENT",AA1126="MODERAT",AA1126="RIDICAT"),1,0)</x:f>
        <x:v>0</x:v>
      </x:c>
      <x:c r="AE1126" s="2" t="str">
        <x:f>IF(AD1126&lt;&gt;1,"NO",IF(W1126="PASS","YES",IF(W1126="OOS PENDING","CONDITIONAL","NO")))</x:f>
        <x:v>NO</x:v>
      </x:c>
      <x:c r="AF1126" s="2" t="n">
        <x:f>IF(AND(AD1126=1,AC1126=1,E1126="LIVE"),1,0)</x:f>
        <x:v>0</x:v>
      </x:c>
      <x:c r="AG1126" s="2" t="str">
        <x:f>IF(AF1126&lt;&gt;1,"",'Dashboard'!P106)</x:f>
      </x:c>
      <x:c r="AH1126" s="2" t="str">
        <x:f>IF(B1126="","",IF(J1126&lt;&gt;"PASS",'Motor_Meciuri'!J86,IF('Calibrare_Linii'!U6&lt;&gt;"VALID","Parametri linie invalizi",IF(L1126&gt;'Config_v6'!$B$13,"Dispersie peste limita",IF(W1126="WATCH","Failure peste limita",IF(AB1126&lt;'Config_v6'!$B$16,"P finala sub prag",IF(V1126&lt;'Config_v6'!$B$18,"Confidence sub prag",IF(E1126="REPLAY","Exemplu retrospectiv; exclus din Top LIVE",IF(Y1126="PASS","DEFENSIV validat",IF(W1126="OOS PENDING","Eligibil; calibrare linie in monitorizare","Eligibil"))))))))))</x:f>
      </x:c>
      <x:c r="AI1126" s="2" t="str">
        <x:f>IF(B1126="","",'Calibrare_Linii'!V6)</x:f>
      </x:c>
      <x:c r="AJ1126" s="2" t="str">
        <x:f>IF(B1126="","",IF(AND('Calibrare_Linii'!T6="VALIDATED",AND('Calibrare_Linii'!H6=C1126,ISNUMBER('Calibrare_Linii'!J6),'Calibrare_Linii'!J6&lt;='Input_Meci'!G86)),"DEFENSIVE VALIDATED",IF(AND('Calibrare_Linii'!S6="VALIDATED",AND('Calibrare_Linii'!H6=C1126,ISNUMBER('Calibrare_Linii'!J6),'Calibrare_Linii'!J6&lt;='Input_Meci'!G86)),"TAIL VALIDATED","OOS PENDING")))</x:f>
      </x:c>
      <x:c r="AK1126" s="2" t="n">
        <x:f>IF(J1126&lt;&gt;"PASS",0,'Motor_Meciuri'!BR86)</x:f>
        <x:v>0</x:v>
      </x:c>
      <x:c r="AL1126" s="2" t="n">
        <x:f>IF(J1126&lt;&gt;"PASS",0,'Motor_Meciuri'!BS86)</x:f>
        <x:v>0</x:v>
      </x:c>
      <x:c r="AM1126" s="2" t="n">
        <x:f>IF(J1126&lt;&gt;"PASS",0,'Motor_Meciuri'!BT86)</x:f>
        <x:v>0</x:v>
      </x:c>
      <x:c r="AN1126" s="2" t="str">
        <x:f>IF(M1126="","",MAX(0,'Motor_Meciuri'!BF86-IF(L1126&gt;'Config_v6'!$B$12,'Config_v6'!$B$37,IF(L1126&gt;'Config_v6'!$B$11,'Config_v6'!$B$36,0))))</x:f>
      </x:c>
    </x:row>
    <x:row r="1127" ht="21" customHeight="1">
      <x:c r="A1127" s="2" t="n">
        <x:v>81</x:v>
      </x:c>
      <x:c r="B1127" s="2" t="str">
        <x:f>IF('Motor_Meciuri'!A86="","",'Motor_Meciuri'!A86)</x:f>
      </x:c>
      <x:c r="C1127" s="2" t="str">
        <x:f>IF(B1127="","",'Motor_Meciuri'!B86)</x:f>
      </x:c>
      <x:c r="D1127" s="2" t="str">
        <x:f>IF(B1127="","",'Motor_Meciuri'!D86)</x:f>
      </x:c>
      <x:c r="E1127" s="2" t="str">
        <x:f>IF(B1127="","",'Motor_Meciuri'!E86)</x:f>
      </x:c>
      <x:c r="F1127" s="2" t="str">
        <x:v>O4,5</x:v>
      </x:c>
      <x:c r="G1127" s="2" t="str">
        <x:v>OVER</x:v>
      </x:c>
      <x:c r="H1127" s="2" t="n">
        <x:v>4</x:v>
      </x:c>
      <x:c r="I1127" s="2" t="str">
        <x:f>IF(B1127="","",'Motor_Meciuri'!H86)</x:f>
      </x:c>
      <x:c r="J1127" s="2" t="str">
        <x:f>IF(B1127="","",'Motor_Meciuri'!I86)</x:f>
      </x:c>
      <x:c r="K1127" s="11" t="str">
        <x:f>IF(J1127&lt;&gt;"PASS","",'Motor_Meciuri'!BD86)</x:f>
      </x:c>
      <x:c r="L1127" s="11" t="str">
        <x:f>IF(J1127&lt;&gt;"PASS","",'Motor_Meciuri'!AU86)</x:f>
      </x:c>
      <x:c r="M1127" s="10" t="str">
        <x:f>IF(NOT(AND(J1127="PASS",'Calibrare_Linii'!U7="VALID")),"",1-'Distributie'!AB86)</x:f>
      </x:c>
      <x:c r="N1127" s="10" t="str">
        <x:f>IF(M1127="","",MAX(0.01,MIN(0.99,0.5+(M1127-0.5)*'Motor_Meciuri'!BG86*'Calibrare_Linii'!D7)))</x:f>
      </x:c>
      <x:c r="O1127" s="10" t="str">
        <x:f>IF(M1127="","",1-M1127)</x:f>
      </x:c>
      <x:c r="P1127" s="10" t="str">
        <x:f>IF(OR(NOT(AND(J1127="PASS",'Calibrare_Linii'!U7="VALID")),AK1127=0),""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*('Istoric_Nativ'!$Q$6:$Q$405&lt;=H1127))/AK1127)</x:f>
      </x:c>
      <x:c r="Q1127" s="10" t="str">
        <x:f>IF(OR(NOT(AND(J1127="PASS",'Calibrare_Linii'!U7="VALID")),AL1127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M86)+((('Istoric_Nativ'!$E$6:$E$405='Input_Meci'!E86)+('Istoric_Nativ'!$F$6:$F$405='Input_Meci'!E86))&gt;0)*('Istoric_Nativ'!$D$6:$D$405&gt;='Motor_Meciuri'!BN86))&gt;0)*('Istoric_Nativ'!$Q$6:$Q$405&lt;=H1127))/AL1127)</x:f>
      </x:c>
      <x:c r="R1127" s="10" t="str">
        <x:f>IF(OR(NOT(AND(J1127="PASS",'Calibrare_Linii'!U7="VALID")),AM1127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O86)+((('Istoric_Nativ'!$E$6:$E$405='Input_Meci'!E86)+('Istoric_Nativ'!$F$6:$F$405='Input_Meci'!E86))&gt;0)*('Istoric_Nativ'!$D$6:$D$405&gt;='Motor_Meciuri'!BP86))&gt;0)*('Istoric_Nativ'!$Q$6:$Q$405&lt;=H1127))/AM1127)</x:f>
      </x:c>
      <x:c r="S1127" s="10" t="str">
        <x:f>IF(M1127="","",MAX(O1127,P1127,Q1127,R1127))</x:f>
      </x:c>
      <x:c r="T1127" s="11" t="str">
        <x:f>IF(M1127="","",MIN(100,S1127*100*'Config_v6'!$B$44+MIN(100,L1127/'Config_v6'!$B$13*100)*'Config_v6'!$B$45+(100-'Motor_Meciuri'!BF86)*'Config_v6'!$B$46+'Motor_Meciuri'!BH86*100*'Config_v6'!$B$47))</x:f>
      </x:c>
      <x:c r="U1127" s="2" t="str">
        <x:f>IF(T1127="","",IF(T1127&lt;=20,1,IF(T1127&lt;=40,2,IF(T1127&lt;=60,3,IF(T1127&lt;=80,4,5)))))</x:f>
      </x:c>
      <x:c r="V1127" s="2" t="str">
        <x:f>IF(M1127="","",MAX(0,'Motor_Meciuri'!BF86-IF(W1127="OOS PENDING",'Config_v6'!$B$35,0)-IF(L1127&gt;'Config_v6'!$B$12,'Config_v6'!$B$37,IF(L1127&gt;'Config_v6'!$B$11,'Config_v6'!$B$36,0))))</x:f>
      </x:c>
      <x:c r="W1127" s="2" t="str">
        <x:f>IF(B1127="","",IF(I1127&lt;&gt;"READY","NOT RELEASED",IF(NOT(AND(J1127="PASS",'Calibrare_Linii'!U7="VALID")),"INVALID",IF(NOT(AND('Calibrare_Linii'!S7="VALIDATED",AND('Calibrare_Linii'!H7=C1127,ISNUMBER('Calibrare_Linii'!J7),'Calibrare_Linii'!J7&lt;='Input_Meci'!G86))),"OOS PENDING",IF(S1127&lt;='Calibrare_Linii'!E7,"PASS",IF(S1127&lt;='Calibrare_Linii'!F7,"PENALTY","WATCH"))))))</x:f>
      </x:c>
      <x:c r="X1127" s="2" t="str">
        <x:f>IF(M1127="","",IF(AND(AND(J1127="PASS",'Calibrare_Linii'!U7="VALID"),'Motor_Meciuri'!K86=12,'Motor_Meciuri'!L86=12,'Motor_Meciuri'!M86="NO",'Motor_Meciuri'!BL86='Motor_Meciuri'!C86,AB1127&gt;='Config_v6'!$B$50,AN1127&gt;='Config_v6'!$B$51,T1127&lt;='Config_v6'!$B$52,L1127&lt;='Config_v6'!$B$53,ISNUMBER('Calibrare_Linii'!E7),S1127&lt;='Calibrare_Linii'!E7,SUM(AK1127:AM1127)&gt;0),"CANDIDATE","NO"))</x:f>
      </x:c>
      <x:c r="Y1127" s="2" t="str">
        <x:f>IF(B1127="","",IF(I1127&lt;&gt;"READY","NOT RELEASED",IF(AND(X1127="CANDIDATE",V1127&gt;='Config_v6'!$B$51,W1127="PASS",'Calibrare_Linii'!T7="VALIDATED",AND('Calibrare_Linii'!H7=C1127,ISNUMBER('Calibrare_Linii'!J7),'Calibrare_Linii'!J7&lt;='Input_Meci'!G86)),"PASS",IF(X1127="CANDIDATE","OOS PENDING","FAIL"))))</x:f>
      </x:c>
      <x:c r="Z1127" s="2" t="str">
        <x:f>IF(B1127="","",IF(I1127&lt;&gt;"READY","",IF(OR(NOT(AND(J1127="PASS",'Calibrare_Linii'!U7="VALID")),L1127&gt;'Config_v6'!$B$13,W1127="WATCH"),5,IF(Y1127="PASS",1,MIN(5,MAX('Config_v6'!$B$42,U1127)+IF(W1127="PENALTY",1,0))))))</x:f>
      </x:c>
      <x:c r="AA1127" s="2" t="str">
        <x:f>IF(B1127="","",IF(I1127&lt;&gt;"READY","NOT RELEASED",IF(Z1127=5,"NO BET",IF(OR(AB1127&lt;'Config_v6'!$B$16,V1127&lt;'Config_v6'!$B$18),"WATCH",IF(Z1127=1,"DEFENSIV",IF(Z1127=2,"PRUDENT",IF(Z1127=3,"MODERAT","RIDICAT")))))))</x:f>
      </x:c>
      <x:c r="AB1127" s="10" t="str">
        <x:f>IF(N1127="","",MIN(N1127,1-S1127))</x:f>
      </x:c>
      <x:c r="AC1127" s="2" t="str">
        <x:f>IF(AD1127&lt;&gt;1,"",COUNTIFS($Z$1126:$Z$1139,"&lt;"&amp;Z1127,$AD$1126:$AD$1139,1)+COUNTIFS($Z$1126:$Z$1139,Z1127,$AB$1126:$AB$1139,"&gt;"&amp;AB1127,$AD$1126:$AD$1139,1)+COUNTIFS($Z$1126:$Z$1139,Z1127,$AB$1126:$AB$1139,AB1127,$V$1126:$V$1139,"&gt;"&amp;V1127,$AD$1126:$AD$1139,1)+COUNTIFS($Z$1126:Z1127,Z1127,$AB$1126:AB1127,AB1127,$V$1126:V1127,V1127,$AD$1126:AD1127,1))</x:f>
      </x:c>
      <x:c r="AD1127" s="2" t="n">
        <x:f>IF(OR(AA1127="DEFENSIV",AA1127="PRUDENT",AA1127="MODERAT",AA1127="RIDICAT"),1,0)</x:f>
        <x:v>0</x:v>
      </x:c>
      <x:c r="AE1127" s="2" t="str">
        <x:f>IF(AD1127&lt;&gt;1,"NO",IF(W1127="PASS","YES",IF(W1127="OOS PENDING","CONDITIONAL","NO")))</x:f>
        <x:v>NO</x:v>
      </x:c>
      <x:c r="AF1127" s="2" t="n">
        <x:f>IF(AND(AD1127=1,AC1127=1,E1127="LIVE"),1,0)</x:f>
        <x:v>0</x:v>
      </x:c>
      <x:c r="AG1127" s="2" t="str">
        <x:f>IF(AF1127&lt;&gt;1,"",'Dashboard'!P106)</x:f>
      </x:c>
      <x:c r="AH1127" s="2" t="str">
        <x:f>IF(B1127="","",IF(J1127&lt;&gt;"PASS",'Motor_Meciuri'!J86,IF('Calibrare_Linii'!U7&lt;&gt;"VALID","Parametri linie invalizi",IF(L1127&gt;'Config_v6'!$B$13,"Dispersie peste limita",IF(W1127="WATCH","Failure peste limita",IF(AB1127&lt;'Config_v6'!$B$16,"P finala sub prag",IF(V1127&lt;'Config_v6'!$B$18,"Confidence sub prag",IF(E1127="REPLAY","Exemplu retrospectiv; exclus din Top LIVE",IF(Y1127="PASS","DEFENSIV validat",IF(W1127="OOS PENDING","Eligibil; calibrare linie in monitorizare","Eligibil"))))))))))</x:f>
      </x:c>
      <x:c r="AI1127" s="2" t="str">
        <x:f>IF(B1127="","",'Calibrare_Linii'!V7)</x:f>
      </x:c>
      <x:c r="AJ1127" s="2" t="str">
        <x:f>IF(B1127="","",IF(AND('Calibrare_Linii'!T7="VALIDATED",AND('Calibrare_Linii'!H7=C1127,ISNUMBER('Calibrare_Linii'!J7),'Calibrare_Linii'!J7&lt;='Input_Meci'!G86)),"DEFENSIVE VALIDATED",IF(AND('Calibrare_Linii'!S7="VALIDATED",AND('Calibrare_Linii'!H7=C1127,ISNUMBER('Calibrare_Linii'!J7),'Calibrare_Linii'!J7&lt;='Input_Meci'!G86)),"TAIL VALIDATED","OOS PENDING")))</x:f>
      </x:c>
      <x:c r="AK1127" s="2" t="n">
        <x:f>IF(J1127&lt;&gt;"PASS",0,'Motor_Meciuri'!BR86)</x:f>
        <x:v>0</x:v>
      </x:c>
      <x:c r="AL1127" s="2" t="n">
        <x:f>IF(J1127&lt;&gt;"PASS",0,'Motor_Meciuri'!BS86)</x:f>
        <x:v>0</x:v>
      </x:c>
      <x:c r="AM1127" s="2" t="n">
        <x:f>IF(J1127&lt;&gt;"PASS",0,'Motor_Meciuri'!BT86)</x:f>
        <x:v>0</x:v>
      </x:c>
      <x:c r="AN1127" s="2" t="str">
        <x:f>IF(M1127="","",MAX(0,'Motor_Meciuri'!BF86-IF(L1127&gt;'Config_v6'!$B$12,'Config_v6'!$B$37,IF(L1127&gt;'Config_v6'!$B$11,'Config_v6'!$B$36,0))))</x:f>
      </x:c>
    </x:row>
    <x:row r="1128" ht="21" customHeight="1">
      <x:c r="A1128" s="2" t="n">
        <x:v>81</x:v>
      </x:c>
      <x:c r="B1128" s="2" t="str">
        <x:f>IF('Motor_Meciuri'!A86="","",'Motor_Meciuri'!A86)</x:f>
      </x:c>
      <x:c r="C1128" s="2" t="str">
        <x:f>IF(B1128="","",'Motor_Meciuri'!B86)</x:f>
      </x:c>
      <x:c r="D1128" s="2" t="str">
        <x:f>IF(B1128="","",'Motor_Meciuri'!D86)</x:f>
      </x:c>
      <x:c r="E1128" s="2" t="str">
        <x:f>IF(B1128="","",'Motor_Meciuri'!E86)</x:f>
      </x:c>
      <x:c r="F1128" s="2" t="str">
        <x:v>O5,5</x:v>
      </x:c>
      <x:c r="G1128" s="2" t="str">
        <x:v>OVER</x:v>
      </x:c>
      <x:c r="H1128" s="2" t="n">
        <x:v>5</x:v>
      </x:c>
      <x:c r="I1128" s="2" t="str">
        <x:f>IF(B1128="","",'Motor_Meciuri'!H86)</x:f>
      </x:c>
      <x:c r="J1128" s="2" t="str">
        <x:f>IF(B1128="","",'Motor_Meciuri'!I86)</x:f>
      </x:c>
      <x:c r="K1128" s="11" t="str">
        <x:f>IF(J1128&lt;&gt;"PASS","",'Motor_Meciuri'!BD86)</x:f>
      </x:c>
      <x:c r="L1128" s="11" t="str">
        <x:f>IF(J1128&lt;&gt;"PASS","",'Motor_Meciuri'!AU86)</x:f>
      </x:c>
      <x:c r="M1128" s="10" t="str">
        <x:f>IF(NOT(AND(J1128="PASS",'Calibrare_Linii'!U8="VALID")),"",1-'Distributie'!AC86)</x:f>
      </x:c>
      <x:c r="N1128" s="10" t="str">
        <x:f>IF(M1128="","",MAX(0.01,MIN(0.99,0.5+(M1128-0.5)*'Motor_Meciuri'!BG86*'Calibrare_Linii'!D8)))</x:f>
      </x:c>
      <x:c r="O1128" s="10" t="str">
        <x:f>IF(M1128="","",1-M1128)</x:f>
      </x:c>
      <x:c r="P1128" s="10" t="str">
        <x:f>IF(OR(NOT(AND(J1128="PASS",'Calibrare_Linii'!U8="VALID")),AK1128=0),""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*('Istoric_Nativ'!$Q$6:$Q$405&lt;=H1128))/AK1128)</x:f>
      </x:c>
      <x:c r="Q1128" s="10" t="str">
        <x:f>IF(OR(NOT(AND(J1128="PASS",'Calibrare_Linii'!U8="VALID")),AL1128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M86)+((('Istoric_Nativ'!$E$6:$E$405='Input_Meci'!E86)+('Istoric_Nativ'!$F$6:$F$405='Input_Meci'!E86))&gt;0)*('Istoric_Nativ'!$D$6:$D$405&gt;='Motor_Meciuri'!BN86))&gt;0)*('Istoric_Nativ'!$Q$6:$Q$405&lt;=H1128))/AL1128)</x:f>
      </x:c>
      <x:c r="R1128" s="10" t="str">
        <x:f>IF(OR(NOT(AND(J1128="PASS",'Calibrare_Linii'!U8="VALID")),AM1128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O86)+((('Istoric_Nativ'!$E$6:$E$405='Input_Meci'!E86)+('Istoric_Nativ'!$F$6:$F$405='Input_Meci'!E86))&gt;0)*('Istoric_Nativ'!$D$6:$D$405&gt;='Motor_Meciuri'!BP86))&gt;0)*('Istoric_Nativ'!$Q$6:$Q$405&lt;=H1128))/AM1128)</x:f>
      </x:c>
      <x:c r="S1128" s="10" t="str">
        <x:f>IF(M1128="","",MAX(O1128,P1128,Q1128,R1128))</x:f>
      </x:c>
      <x:c r="T1128" s="11" t="str">
        <x:f>IF(M1128="","",MIN(100,S1128*100*'Config_v6'!$B$44+MIN(100,L1128/'Config_v6'!$B$13*100)*'Config_v6'!$B$45+(100-'Motor_Meciuri'!BF86)*'Config_v6'!$B$46+'Motor_Meciuri'!BH86*100*'Config_v6'!$B$47))</x:f>
      </x:c>
      <x:c r="U1128" s="2" t="str">
        <x:f>IF(T1128="","",IF(T1128&lt;=20,1,IF(T1128&lt;=40,2,IF(T1128&lt;=60,3,IF(T1128&lt;=80,4,5)))))</x:f>
      </x:c>
      <x:c r="V1128" s="2" t="str">
        <x:f>IF(M1128="","",MAX(0,'Motor_Meciuri'!BF86-IF(W1128="OOS PENDING",'Config_v6'!$B$35,0)-IF(L1128&gt;'Config_v6'!$B$12,'Config_v6'!$B$37,IF(L1128&gt;'Config_v6'!$B$11,'Config_v6'!$B$36,0))))</x:f>
      </x:c>
      <x:c r="W1128" s="2" t="str">
        <x:f>IF(B1128="","",IF(I1128&lt;&gt;"READY","NOT RELEASED",IF(NOT(AND(J1128="PASS",'Calibrare_Linii'!U8="VALID")),"INVALID",IF(NOT(AND('Calibrare_Linii'!S8="VALIDATED",AND('Calibrare_Linii'!H8=C1128,ISNUMBER('Calibrare_Linii'!J8),'Calibrare_Linii'!J8&lt;='Input_Meci'!G86))),"OOS PENDING",IF(S1128&lt;='Calibrare_Linii'!E8,"PASS",IF(S1128&lt;='Calibrare_Linii'!F8,"PENALTY","WATCH"))))))</x:f>
      </x:c>
      <x:c r="X1128" s="2" t="str">
        <x:f>IF(M1128="","",IF(AND(AND(J1128="PASS",'Calibrare_Linii'!U8="VALID"),'Motor_Meciuri'!K86=12,'Motor_Meciuri'!L86=12,'Motor_Meciuri'!M86="NO",'Motor_Meciuri'!BL86='Motor_Meciuri'!C86,AB1128&gt;='Config_v6'!$B$50,AN1128&gt;='Config_v6'!$B$51,T1128&lt;='Config_v6'!$B$52,L1128&lt;='Config_v6'!$B$53,ISNUMBER('Calibrare_Linii'!E8),S1128&lt;='Calibrare_Linii'!E8,SUM(AK1128:AM1128)&gt;0),"CANDIDATE","NO"))</x:f>
      </x:c>
      <x:c r="Y1128" s="2" t="str">
        <x:f>IF(B1128="","",IF(I1128&lt;&gt;"READY","NOT RELEASED",IF(AND(X1128="CANDIDATE",V1128&gt;='Config_v6'!$B$51,W1128="PASS",'Calibrare_Linii'!T8="VALIDATED",AND('Calibrare_Linii'!H8=C1128,ISNUMBER('Calibrare_Linii'!J8),'Calibrare_Linii'!J8&lt;='Input_Meci'!G86)),"PASS",IF(X1128="CANDIDATE","OOS PENDING","FAIL"))))</x:f>
      </x:c>
      <x:c r="Z1128" s="2" t="str">
        <x:f>IF(B1128="","",IF(I1128&lt;&gt;"READY","",IF(OR(NOT(AND(J1128="PASS",'Calibrare_Linii'!U8="VALID")),L1128&gt;'Config_v6'!$B$13,W1128="WATCH"),5,IF(Y1128="PASS",1,MIN(5,MAX('Config_v6'!$B$42,U1128)+IF(W1128="PENALTY",1,0))))))</x:f>
      </x:c>
      <x:c r="AA1128" s="2" t="str">
        <x:f>IF(B1128="","",IF(I1128&lt;&gt;"READY","NOT RELEASED",IF(Z1128=5,"NO BET",IF(OR(AB1128&lt;'Config_v6'!$B$16,V1128&lt;'Config_v6'!$B$18),"WATCH",IF(Z1128=1,"DEFENSIV",IF(Z1128=2,"PRUDENT",IF(Z1128=3,"MODERAT","RIDICAT")))))))</x:f>
      </x:c>
      <x:c r="AB1128" s="10" t="str">
        <x:f>IF(N1128="","",MIN(N1128,1-S1128))</x:f>
      </x:c>
      <x:c r="AC1128" s="2" t="str">
        <x:f>IF(AD1128&lt;&gt;1,"",COUNTIFS($Z$1126:$Z$1139,"&lt;"&amp;Z1128,$AD$1126:$AD$1139,1)+COUNTIFS($Z$1126:$Z$1139,Z1128,$AB$1126:$AB$1139,"&gt;"&amp;AB1128,$AD$1126:$AD$1139,1)+COUNTIFS($Z$1126:$Z$1139,Z1128,$AB$1126:$AB$1139,AB1128,$V$1126:$V$1139,"&gt;"&amp;V1128,$AD$1126:$AD$1139,1)+COUNTIFS($Z$1126:Z1128,Z1128,$AB$1126:AB1128,AB1128,$V$1126:V1128,V1128,$AD$1126:AD1128,1))</x:f>
      </x:c>
      <x:c r="AD1128" s="2" t="n">
        <x:f>IF(OR(AA1128="DEFENSIV",AA1128="PRUDENT",AA1128="MODERAT",AA1128="RIDICAT"),1,0)</x:f>
        <x:v>0</x:v>
      </x:c>
      <x:c r="AE1128" s="2" t="str">
        <x:f>IF(AD1128&lt;&gt;1,"NO",IF(W1128="PASS","YES",IF(W1128="OOS PENDING","CONDITIONAL","NO")))</x:f>
        <x:v>NO</x:v>
      </x:c>
      <x:c r="AF1128" s="2" t="n">
        <x:f>IF(AND(AD1128=1,AC1128=1,E1128="LIVE"),1,0)</x:f>
        <x:v>0</x:v>
      </x:c>
      <x:c r="AG1128" s="2" t="str">
        <x:f>IF(AF1128&lt;&gt;1,"",'Dashboard'!P106)</x:f>
      </x:c>
      <x:c r="AH1128" s="2" t="str">
        <x:f>IF(B1128="","",IF(J1128&lt;&gt;"PASS",'Motor_Meciuri'!J86,IF('Calibrare_Linii'!U8&lt;&gt;"VALID","Parametri linie invalizi",IF(L1128&gt;'Config_v6'!$B$13,"Dispersie peste limita",IF(W1128="WATCH","Failure peste limita",IF(AB1128&lt;'Config_v6'!$B$16,"P finala sub prag",IF(V1128&lt;'Config_v6'!$B$18,"Confidence sub prag",IF(E1128="REPLAY","Exemplu retrospectiv; exclus din Top LIVE",IF(Y1128="PASS","DEFENSIV validat",IF(W1128="OOS PENDING","Eligibil; calibrare linie in monitorizare","Eligibil"))))))))))</x:f>
      </x:c>
      <x:c r="AI1128" s="2" t="str">
        <x:f>IF(B1128="","",'Calibrare_Linii'!V8)</x:f>
      </x:c>
      <x:c r="AJ1128" s="2" t="str">
        <x:f>IF(B1128="","",IF(AND('Calibrare_Linii'!T8="VALIDATED",AND('Calibrare_Linii'!H8=C1128,ISNUMBER('Calibrare_Linii'!J8),'Calibrare_Linii'!J8&lt;='Input_Meci'!G86)),"DEFENSIVE VALIDATED",IF(AND('Calibrare_Linii'!S8="VALIDATED",AND('Calibrare_Linii'!H8=C1128,ISNUMBER('Calibrare_Linii'!J8),'Calibrare_Linii'!J8&lt;='Input_Meci'!G86)),"TAIL VALIDATED","OOS PENDING")))</x:f>
      </x:c>
      <x:c r="AK1128" s="2" t="n">
        <x:f>IF(J1128&lt;&gt;"PASS",0,'Motor_Meciuri'!BR86)</x:f>
        <x:v>0</x:v>
      </x:c>
      <x:c r="AL1128" s="2" t="n">
        <x:f>IF(J1128&lt;&gt;"PASS",0,'Motor_Meciuri'!BS86)</x:f>
        <x:v>0</x:v>
      </x:c>
      <x:c r="AM1128" s="2" t="n">
        <x:f>IF(J1128&lt;&gt;"PASS",0,'Motor_Meciuri'!BT86)</x:f>
        <x:v>0</x:v>
      </x:c>
      <x:c r="AN1128" s="2" t="str">
        <x:f>IF(M1128="","",MAX(0,'Motor_Meciuri'!BF86-IF(L1128&gt;'Config_v6'!$B$12,'Config_v6'!$B$37,IF(L1128&gt;'Config_v6'!$B$11,'Config_v6'!$B$36,0))))</x:f>
      </x:c>
    </x:row>
    <x:row r="1129" ht="21" customHeight="1">
      <x:c r="A1129" s="2" t="n">
        <x:v>81</x:v>
      </x:c>
      <x:c r="B1129" s="2" t="str">
        <x:f>IF('Motor_Meciuri'!A86="","",'Motor_Meciuri'!A86)</x:f>
      </x:c>
      <x:c r="C1129" s="2" t="str">
        <x:f>IF(B1129="","",'Motor_Meciuri'!B86)</x:f>
      </x:c>
      <x:c r="D1129" s="2" t="str">
        <x:f>IF(B1129="","",'Motor_Meciuri'!D86)</x:f>
      </x:c>
      <x:c r="E1129" s="2" t="str">
        <x:f>IF(B1129="","",'Motor_Meciuri'!E86)</x:f>
      </x:c>
      <x:c r="F1129" s="2" t="str">
        <x:v>O6,5</x:v>
      </x:c>
      <x:c r="G1129" s="2" t="str">
        <x:v>OVER</x:v>
      </x:c>
      <x:c r="H1129" s="2" t="n">
        <x:v>6</x:v>
      </x:c>
      <x:c r="I1129" s="2" t="str">
        <x:f>IF(B1129="","",'Motor_Meciuri'!H86)</x:f>
      </x:c>
      <x:c r="J1129" s="2" t="str">
        <x:f>IF(B1129="","",'Motor_Meciuri'!I86)</x:f>
      </x:c>
      <x:c r="K1129" s="11" t="str">
        <x:f>IF(J1129&lt;&gt;"PASS","",'Motor_Meciuri'!BD86)</x:f>
      </x:c>
      <x:c r="L1129" s="11" t="str">
        <x:f>IF(J1129&lt;&gt;"PASS","",'Motor_Meciuri'!AU86)</x:f>
      </x:c>
      <x:c r="M1129" s="10" t="str">
        <x:f>IF(NOT(AND(J1129="PASS",'Calibrare_Linii'!U9="VALID")),"",1-'Distributie'!AD86)</x:f>
      </x:c>
      <x:c r="N1129" s="10" t="str">
        <x:f>IF(M1129="","",MAX(0.01,MIN(0.99,0.5+(M1129-0.5)*'Motor_Meciuri'!BG86*'Calibrare_Linii'!D9)))</x:f>
      </x:c>
      <x:c r="O1129" s="10" t="str">
        <x:f>IF(M1129="","",1-M1129)</x:f>
      </x:c>
      <x:c r="P1129" s="10" t="str">
        <x:f>IF(OR(NOT(AND(J1129="PASS",'Calibrare_Linii'!U9="VALID")),AK1129=0),""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*('Istoric_Nativ'!$Q$6:$Q$405&lt;=H1129))/AK1129)</x:f>
      </x:c>
      <x:c r="Q1129" s="10" t="str">
        <x:f>IF(OR(NOT(AND(J1129="PASS",'Calibrare_Linii'!U9="VALID")),AL1129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M86)+((('Istoric_Nativ'!$E$6:$E$405='Input_Meci'!E86)+('Istoric_Nativ'!$F$6:$F$405='Input_Meci'!E86))&gt;0)*('Istoric_Nativ'!$D$6:$D$405&gt;='Motor_Meciuri'!BN86))&gt;0)*('Istoric_Nativ'!$Q$6:$Q$405&lt;=H1129))/AL1129)</x:f>
      </x:c>
      <x:c r="R1129" s="10" t="str">
        <x:f>IF(OR(NOT(AND(J1129="PASS",'Calibrare_Linii'!U9="VALID")),AM1129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O86)+((('Istoric_Nativ'!$E$6:$E$405='Input_Meci'!E86)+('Istoric_Nativ'!$F$6:$F$405='Input_Meci'!E86))&gt;0)*('Istoric_Nativ'!$D$6:$D$405&gt;='Motor_Meciuri'!BP86))&gt;0)*('Istoric_Nativ'!$Q$6:$Q$405&lt;=H1129))/AM1129)</x:f>
      </x:c>
      <x:c r="S1129" s="10" t="str">
        <x:f>IF(M1129="","",MAX(O1129,P1129,Q1129,R1129))</x:f>
      </x:c>
      <x:c r="T1129" s="11" t="str">
        <x:f>IF(M1129="","",MIN(100,S1129*100*'Config_v6'!$B$44+MIN(100,L1129/'Config_v6'!$B$13*100)*'Config_v6'!$B$45+(100-'Motor_Meciuri'!BF86)*'Config_v6'!$B$46+'Motor_Meciuri'!BH86*100*'Config_v6'!$B$47))</x:f>
      </x:c>
      <x:c r="U1129" s="2" t="str">
        <x:f>IF(T1129="","",IF(T1129&lt;=20,1,IF(T1129&lt;=40,2,IF(T1129&lt;=60,3,IF(T1129&lt;=80,4,5)))))</x:f>
      </x:c>
      <x:c r="V1129" s="2" t="str">
        <x:f>IF(M1129="","",MAX(0,'Motor_Meciuri'!BF86-IF(W1129="OOS PENDING",'Config_v6'!$B$35,0)-IF(L1129&gt;'Config_v6'!$B$12,'Config_v6'!$B$37,IF(L1129&gt;'Config_v6'!$B$11,'Config_v6'!$B$36,0))))</x:f>
      </x:c>
      <x:c r="W1129" s="2" t="str">
        <x:f>IF(B1129="","",IF(I1129&lt;&gt;"READY","NOT RELEASED",IF(NOT(AND(J1129="PASS",'Calibrare_Linii'!U9="VALID")),"INVALID",IF(NOT(AND('Calibrare_Linii'!S9="VALIDATED",AND('Calibrare_Linii'!H9=C1129,ISNUMBER('Calibrare_Linii'!J9),'Calibrare_Linii'!J9&lt;='Input_Meci'!G86))),"OOS PENDING",IF(S1129&lt;='Calibrare_Linii'!E9,"PASS",IF(S1129&lt;='Calibrare_Linii'!F9,"PENALTY","WATCH"))))))</x:f>
      </x:c>
      <x:c r="X1129" s="2" t="str">
        <x:f>IF(M1129="","",IF(AND(AND(J1129="PASS",'Calibrare_Linii'!U9="VALID"),'Motor_Meciuri'!K86=12,'Motor_Meciuri'!L86=12,'Motor_Meciuri'!M86="NO",'Motor_Meciuri'!BL86='Motor_Meciuri'!C86,AB1129&gt;='Config_v6'!$B$50,AN1129&gt;='Config_v6'!$B$51,T1129&lt;='Config_v6'!$B$52,L1129&lt;='Config_v6'!$B$53,ISNUMBER('Calibrare_Linii'!E9),S1129&lt;='Calibrare_Linii'!E9,SUM(AK1129:AM1129)&gt;0),"CANDIDATE","NO"))</x:f>
      </x:c>
      <x:c r="Y1129" s="2" t="str">
        <x:f>IF(B1129="","",IF(I1129&lt;&gt;"READY","NOT RELEASED",IF(AND(X1129="CANDIDATE",V1129&gt;='Config_v6'!$B$51,W1129="PASS",'Calibrare_Linii'!T9="VALIDATED",AND('Calibrare_Linii'!H9=C1129,ISNUMBER('Calibrare_Linii'!J9),'Calibrare_Linii'!J9&lt;='Input_Meci'!G86)),"PASS",IF(X1129="CANDIDATE","OOS PENDING","FAIL"))))</x:f>
      </x:c>
      <x:c r="Z1129" s="2" t="str">
        <x:f>IF(B1129="","",IF(I1129&lt;&gt;"READY","",IF(OR(NOT(AND(J1129="PASS",'Calibrare_Linii'!U9="VALID")),L1129&gt;'Config_v6'!$B$13,W1129="WATCH"),5,IF(Y1129="PASS",1,MIN(5,MAX('Config_v6'!$B$42,U1129)+IF(W1129="PENALTY",1,0))))))</x:f>
      </x:c>
      <x:c r="AA1129" s="2" t="str">
        <x:f>IF(B1129="","",IF(I1129&lt;&gt;"READY","NOT RELEASED",IF(Z1129=5,"NO BET",IF(OR(AB1129&lt;'Config_v6'!$B$16,V1129&lt;'Config_v6'!$B$18),"WATCH",IF(Z1129=1,"DEFENSIV",IF(Z1129=2,"PRUDENT",IF(Z1129=3,"MODERAT","RIDICAT")))))))</x:f>
      </x:c>
      <x:c r="AB1129" s="10" t="str">
        <x:f>IF(N1129="","",MIN(N1129,1-S1129))</x:f>
      </x:c>
      <x:c r="AC1129" s="2" t="str">
        <x:f>IF(AD1129&lt;&gt;1,"",COUNTIFS($Z$1126:$Z$1139,"&lt;"&amp;Z1129,$AD$1126:$AD$1139,1)+COUNTIFS($Z$1126:$Z$1139,Z1129,$AB$1126:$AB$1139,"&gt;"&amp;AB1129,$AD$1126:$AD$1139,1)+COUNTIFS($Z$1126:$Z$1139,Z1129,$AB$1126:$AB$1139,AB1129,$V$1126:$V$1139,"&gt;"&amp;V1129,$AD$1126:$AD$1139,1)+COUNTIFS($Z$1126:Z1129,Z1129,$AB$1126:AB1129,AB1129,$V$1126:V1129,V1129,$AD$1126:AD1129,1))</x:f>
      </x:c>
      <x:c r="AD1129" s="2" t="n">
        <x:f>IF(OR(AA1129="DEFENSIV",AA1129="PRUDENT",AA1129="MODERAT",AA1129="RIDICAT"),1,0)</x:f>
        <x:v>0</x:v>
      </x:c>
      <x:c r="AE1129" s="2" t="str">
        <x:f>IF(AD1129&lt;&gt;1,"NO",IF(W1129="PASS","YES",IF(W1129="OOS PENDING","CONDITIONAL","NO")))</x:f>
        <x:v>NO</x:v>
      </x:c>
      <x:c r="AF1129" s="2" t="n">
        <x:f>IF(AND(AD1129=1,AC1129=1,E1129="LIVE"),1,0)</x:f>
        <x:v>0</x:v>
      </x:c>
      <x:c r="AG1129" s="2" t="str">
        <x:f>IF(AF1129&lt;&gt;1,"",'Dashboard'!P106)</x:f>
      </x:c>
      <x:c r="AH1129" s="2" t="str">
        <x:f>IF(B1129="","",IF(J1129&lt;&gt;"PASS",'Motor_Meciuri'!J86,IF('Calibrare_Linii'!U9&lt;&gt;"VALID","Parametri linie invalizi",IF(L1129&gt;'Config_v6'!$B$13,"Dispersie peste limita",IF(W1129="WATCH","Failure peste limita",IF(AB1129&lt;'Config_v6'!$B$16,"P finala sub prag",IF(V1129&lt;'Config_v6'!$B$18,"Confidence sub prag",IF(E1129="REPLAY","Exemplu retrospectiv; exclus din Top LIVE",IF(Y1129="PASS","DEFENSIV validat",IF(W1129="OOS PENDING","Eligibil; calibrare linie in monitorizare","Eligibil"))))))))))</x:f>
      </x:c>
      <x:c r="AI1129" s="2" t="str">
        <x:f>IF(B1129="","",'Calibrare_Linii'!V9)</x:f>
      </x:c>
      <x:c r="AJ1129" s="2" t="str">
        <x:f>IF(B1129="","",IF(AND('Calibrare_Linii'!T9="VALIDATED",AND('Calibrare_Linii'!H9=C1129,ISNUMBER('Calibrare_Linii'!J9),'Calibrare_Linii'!J9&lt;='Input_Meci'!G86)),"DEFENSIVE VALIDATED",IF(AND('Calibrare_Linii'!S9="VALIDATED",AND('Calibrare_Linii'!H9=C1129,ISNUMBER('Calibrare_Linii'!J9),'Calibrare_Linii'!J9&lt;='Input_Meci'!G86)),"TAIL VALIDATED","OOS PENDING")))</x:f>
      </x:c>
      <x:c r="AK1129" s="2" t="n">
        <x:f>IF(J1129&lt;&gt;"PASS",0,'Motor_Meciuri'!BR86)</x:f>
        <x:v>0</x:v>
      </x:c>
      <x:c r="AL1129" s="2" t="n">
        <x:f>IF(J1129&lt;&gt;"PASS",0,'Motor_Meciuri'!BS86)</x:f>
        <x:v>0</x:v>
      </x:c>
      <x:c r="AM1129" s="2" t="n">
        <x:f>IF(J1129&lt;&gt;"PASS",0,'Motor_Meciuri'!BT86)</x:f>
        <x:v>0</x:v>
      </x:c>
      <x:c r="AN1129" s="2" t="str">
        <x:f>IF(M1129="","",MAX(0,'Motor_Meciuri'!BF86-IF(L1129&gt;'Config_v6'!$B$12,'Config_v6'!$B$37,IF(L1129&gt;'Config_v6'!$B$11,'Config_v6'!$B$36,0))))</x:f>
      </x:c>
    </x:row>
    <x:row r="1130" ht="21" customHeight="1">
      <x:c r="A1130" s="2" t="n">
        <x:v>81</x:v>
      </x:c>
      <x:c r="B1130" s="2" t="str">
        <x:f>IF('Motor_Meciuri'!A86="","",'Motor_Meciuri'!A86)</x:f>
      </x:c>
      <x:c r="C1130" s="2" t="str">
        <x:f>IF(B1130="","",'Motor_Meciuri'!B86)</x:f>
      </x:c>
      <x:c r="D1130" s="2" t="str">
        <x:f>IF(B1130="","",'Motor_Meciuri'!D86)</x:f>
      </x:c>
      <x:c r="E1130" s="2" t="str">
        <x:f>IF(B1130="","",'Motor_Meciuri'!E86)</x:f>
      </x:c>
      <x:c r="F1130" s="2" t="str">
        <x:v>O7,5</x:v>
      </x:c>
      <x:c r="G1130" s="2" t="str">
        <x:v>OVER</x:v>
      </x:c>
      <x:c r="H1130" s="2" t="n">
        <x:v>7</x:v>
      </x:c>
      <x:c r="I1130" s="2" t="str">
        <x:f>IF(B1130="","",'Motor_Meciuri'!H86)</x:f>
      </x:c>
      <x:c r="J1130" s="2" t="str">
        <x:f>IF(B1130="","",'Motor_Meciuri'!I86)</x:f>
      </x:c>
      <x:c r="K1130" s="11" t="str">
        <x:f>IF(J1130&lt;&gt;"PASS","",'Motor_Meciuri'!BD86)</x:f>
      </x:c>
      <x:c r="L1130" s="11" t="str">
        <x:f>IF(J1130&lt;&gt;"PASS","",'Motor_Meciuri'!AU86)</x:f>
      </x:c>
      <x:c r="M1130" s="10" t="str">
        <x:f>IF(NOT(AND(J1130="PASS",'Calibrare_Linii'!U10="VALID")),"",1-'Distributie'!AE86)</x:f>
      </x:c>
      <x:c r="N1130" s="10" t="str">
        <x:f>IF(M1130="","",MAX(0.01,MIN(0.99,0.5+(M1130-0.5)*'Motor_Meciuri'!BG86*'Calibrare_Linii'!D10)))</x:f>
      </x:c>
      <x:c r="O1130" s="10" t="str">
        <x:f>IF(M1130="","",1-M1130)</x:f>
      </x:c>
      <x:c r="P1130" s="10" t="str">
        <x:f>IF(OR(NOT(AND(J1130="PASS",'Calibrare_Linii'!U10="VALID")),AK1130=0),""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*('Istoric_Nativ'!$Q$6:$Q$405&lt;=H1130))/AK1130)</x:f>
      </x:c>
      <x:c r="Q1130" s="10" t="str">
        <x:f>IF(OR(NOT(AND(J1130="PASS",'Calibrare_Linii'!U10="VALID")),AL1130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M86)+((('Istoric_Nativ'!$E$6:$E$405='Input_Meci'!E86)+('Istoric_Nativ'!$F$6:$F$405='Input_Meci'!E86))&gt;0)*('Istoric_Nativ'!$D$6:$D$405&gt;='Motor_Meciuri'!BN86))&gt;0)*('Istoric_Nativ'!$Q$6:$Q$405&lt;=H1130))/AL1130)</x:f>
      </x:c>
      <x:c r="R1130" s="10" t="str">
        <x:f>IF(OR(NOT(AND(J1130="PASS",'Calibrare_Linii'!U10="VALID")),AM1130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O86)+((('Istoric_Nativ'!$E$6:$E$405='Input_Meci'!E86)+('Istoric_Nativ'!$F$6:$F$405='Input_Meci'!E86))&gt;0)*('Istoric_Nativ'!$D$6:$D$405&gt;='Motor_Meciuri'!BP86))&gt;0)*('Istoric_Nativ'!$Q$6:$Q$405&lt;=H1130))/AM1130)</x:f>
      </x:c>
      <x:c r="S1130" s="10" t="str">
        <x:f>IF(M1130="","",MAX(O1130,P1130,Q1130,R1130))</x:f>
      </x:c>
      <x:c r="T1130" s="11" t="str">
        <x:f>IF(M1130="","",MIN(100,S1130*100*'Config_v6'!$B$44+MIN(100,L1130/'Config_v6'!$B$13*100)*'Config_v6'!$B$45+(100-'Motor_Meciuri'!BF86)*'Config_v6'!$B$46+'Motor_Meciuri'!BH86*100*'Config_v6'!$B$47))</x:f>
      </x:c>
      <x:c r="U1130" s="2" t="str">
        <x:f>IF(T1130="","",IF(T1130&lt;=20,1,IF(T1130&lt;=40,2,IF(T1130&lt;=60,3,IF(T1130&lt;=80,4,5)))))</x:f>
      </x:c>
      <x:c r="V1130" s="2" t="str">
        <x:f>IF(M1130="","",MAX(0,'Motor_Meciuri'!BF86-IF(W1130="OOS PENDING",'Config_v6'!$B$35,0)-IF(L1130&gt;'Config_v6'!$B$12,'Config_v6'!$B$37,IF(L1130&gt;'Config_v6'!$B$11,'Config_v6'!$B$36,0))))</x:f>
      </x:c>
      <x:c r="W1130" s="2" t="str">
        <x:f>IF(B1130="","",IF(I1130&lt;&gt;"READY","NOT RELEASED",IF(NOT(AND(J1130="PASS",'Calibrare_Linii'!U10="VALID")),"INVALID",IF(NOT(AND('Calibrare_Linii'!S10="VALIDATED",AND('Calibrare_Linii'!H10=C1130,ISNUMBER('Calibrare_Linii'!J10),'Calibrare_Linii'!J10&lt;='Input_Meci'!G86))),"OOS PENDING",IF(S1130&lt;='Calibrare_Linii'!E10,"PASS",IF(S1130&lt;='Calibrare_Linii'!F10,"PENALTY","WATCH"))))))</x:f>
      </x:c>
      <x:c r="X1130" s="2" t="str">
        <x:f>IF(M1130="","",IF(AND(AND(J1130="PASS",'Calibrare_Linii'!U10="VALID"),'Motor_Meciuri'!K86=12,'Motor_Meciuri'!L86=12,'Motor_Meciuri'!M86="NO",'Motor_Meciuri'!BL86='Motor_Meciuri'!C86,AB1130&gt;='Config_v6'!$B$50,AN1130&gt;='Config_v6'!$B$51,T1130&lt;='Config_v6'!$B$52,L1130&lt;='Config_v6'!$B$53,ISNUMBER('Calibrare_Linii'!E10),S1130&lt;='Calibrare_Linii'!E10,SUM(AK1130:AM1130)&gt;0),"CANDIDATE","NO"))</x:f>
      </x:c>
      <x:c r="Y1130" s="2" t="str">
        <x:f>IF(B1130="","",IF(I1130&lt;&gt;"READY","NOT RELEASED",IF(AND(X1130="CANDIDATE",V1130&gt;='Config_v6'!$B$51,W1130="PASS",'Calibrare_Linii'!T10="VALIDATED",AND('Calibrare_Linii'!H10=C1130,ISNUMBER('Calibrare_Linii'!J10),'Calibrare_Linii'!J10&lt;='Input_Meci'!G86)),"PASS",IF(X1130="CANDIDATE","OOS PENDING","FAIL"))))</x:f>
      </x:c>
      <x:c r="Z1130" s="2" t="str">
        <x:f>IF(B1130="","",IF(I1130&lt;&gt;"READY","",IF(OR(NOT(AND(J1130="PASS",'Calibrare_Linii'!U10="VALID")),L1130&gt;'Config_v6'!$B$13,W1130="WATCH"),5,IF(Y1130="PASS",1,MIN(5,MAX('Config_v6'!$B$42,U1130)+IF(W1130="PENALTY",1,0))))))</x:f>
      </x:c>
      <x:c r="AA1130" s="2" t="str">
        <x:f>IF(B1130="","",IF(I1130&lt;&gt;"READY","NOT RELEASED",IF(Z1130=5,"NO BET",IF(OR(AB1130&lt;'Config_v6'!$B$16,V1130&lt;'Config_v6'!$B$18),"WATCH",IF(Z1130=1,"DEFENSIV",IF(Z1130=2,"PRUDENT",IF(Z1130=3,"MODERAT","RIDICAT")))))))</x:f>
      </x:c>
      <x:c r="AB1130" s="10" t="str">
        <x:f>IF(N1130="","",MIN(N1130,1-S1130))</x:f>
      </x:c>
      <x:c r="AC1130" s="2" t="str">
        <x:f>IF(AD1130&lt;&gt;1,"",COUNTIFS($Z$1126:$Z$1139,"&lt;"&amp;Z1130,$AD$1126:$AD$1139,1)+COUNTIFS($Z$1126:$Z$1139,Z1130,$AB$1126:$AB$1139,"&gt;"&amp;AB1130,$AD$1126:$AD$1139,1)+COUNTIFS($Z$1126:$Z$1139,Z1130,$AB$1126:$AB$1139,AB1130,$V$1126:$V$1139,"&gt;"&amp;V1130,$AD$1126:$AD$1139,1)+COUNTIFS($Z$1126:Z1130,Z1130,$AB$1126:AB1130,AB1130,$V$1126:V1130,V1130,$AD$1126:AD1130,1))</x:f>
      </x:c>
      <x:c r="AD1130" s="2" t="n">
        <x:f>IF(OR(AA1130="DEFENSIV",AA1130="PRUDENT",AA1130="MODERAT",AA1130="RIDICAT"),1,0)</x:f>
        <x:v>0</x:v>
      </x:c>
      <x:c r="AE1130" s="2" t="str">
        <x:f>IF(AD1130&lt;&gt;1,"NO",IF(W1130="PASS","YES",IF(W1130="OOS PENDING","CONDITIONAL","NO")))</x:f>
        <x:v>NO</x:v>
      </x:c>
      <x:c r="AF1130" s="2" t="n">
        <x:f>IF(AND(AD1130=1,AC1130=1,E1130="LIVE"),1,0)</x:f>
        <x:v>0</x:v>
      </x:c>
      <x:c r="AG1130" s="2" t="str">
        <x:f>IF(AF1130&lt;&gt;1,"",'Dashboard'!P106)</x:f>
      </x:c>
      <x:c r="AH1130" s="2" t="str">
        <x:f>IF(B1130="","",IF(J1130&lt;&gt;"PASS",'Motor_Meciuri'!J86,IF('Calibrare_Linii'!U10&lt;&gt;"VALID","Parametri linie invalizi",IF(L1130&gt;'Config_v6'!$B$13,"Dispersie peste limita",IF(W1130="WATCH","Failure peste limita",IF(AB1130&lt;'Config_v6'!$B$16,"P finala sub prag",IF(V1130&lt;'Config_v6'!$B$18,"Confidence sub prag",IF(E1130="REPLAY","Exemplu retrospectiv; exclus din Top LIVE",IF(Y1130="PASS","DEFENSIV validat",IF(W1130="OOS PENDING","Eligibil; calibrare linie in monitorizare","Eligibil"))))))))))</x:f>
      </x:c>
      <x:c r="AI1130" s="2" t="str">
        <x:f>IF(B1130="","",'Calibrare_Linii'!V10)</x:f>
      </x:c>
      <x:c r="AJ1130" s="2" t="str">
        <x:f>IF(B1130="","",IF(AND('Calibrare_Linii'!T10="VALIDATED",AND('Calibrare_Linii'!H10=C1130,ISNUMBER('Calibrare_Linii'!J10),'Calibrare_Linii'!J10&lt;='Input_Meci'!G86)),"DEFENSIVE VALIDATED",IF(AND('Calibrare_Linii'!S10="VALIDATED",AND('Calibrare_Linii'!H10=C1130,ISNUMBER('Calibrare_Linii'!J10),'Calibrare_Linii'!J10&lt;='Input_Meci'!G86)),"TAIL VALIDATED","OOS PENDING")))</x:f>
      </x:c>
      <x:c r="AK1130" s="2" t="n">
        <x:f>IF(J1130&lt;&gt;"PASS",0,'Motor_Meciuri'!BR86)</x:f>
        <x:v>0</x:v>
      </x:c>
      <x:c r="AL1130" s="2" t="n">
        <x:f>IF(J1130&lt;&gt;"PASS",0,'Motor_Meciuri'!BS86)</x:f>
        <x:v>0</x:v>
      </x:c>
      <x:c r="AM1130" s="2" t="n">
        <x:f>IF(J1130&lt;&gt;"PASS",0,'Motor_Meciuri'!BT86)</x:f>
        <x:v>0</x:v>
      </x:c>
      <x:c r="AN1130" s="2" t="str">
        <x:f>IF(M1130="","",MAX(0,'Motor_Meciuri'!BF86-IF(L1130&gt;'Config_v6'!$B$12,'Config_v6'!$B$37,IF(L1130&gt;'Config_v6'!$B$11,'Config_v6'!$B$36,0))))</x:f>
      </x:c>
    </x:row>
    <x:row r="1131" ht="21" customHeight="1">
      <x:c r="A1131" s="2" t="n">
        <x:v>81</x:v>
      </x:c>
      <x:c r="B1131" s="2" t="str">
        <x:f>IF('Motor_Meciuri'!A86="","",'Motor_Meciuri'!A86)</x:f>
      </x:c>
      <x:c r="C1131" s="2" t="str">
        <x:f>IF(B1131="","",'Motor_Meciuri'!B86)</x:f>
      </x:c>
      <x:c r="D1131" s="2" t="str">
        <x:f>IF(B1131="","",'Motor_Meciuri'!D86)</x:f>
      </x:c>
      <x:c r="E1131" s="2" t="str">
        <x:f>IF(B1131="","",'Motor_Meciuri'!E86)</x:f>
      </x:c>
      <x:c r="F1131" s="2" t="str">
        <x:v>O8,5</x:v>
      </x:c>
      <x:c r="G1131" s="2" t="str">
        <x:v>OVER</x:v>
      </x:c>
      <x:c r="H1131" s="2" t="n">
        <x:v>8</x:v>
      </x:c>
      <x:c r="I1131" s="2" t="str">
        <x:f>IF(B1131="","",'Motor_Meciuri'!H86)</x:f>
      </x:c>
      <x:c r="J1131" s="2" t="str">
        <x:f>IF(B1131="","",'Motor_Meciuri'!I86)</x:f>
      </x:c>
      <x:c r="K1131" s="11" t="str">
        <x:f>IF(J1131&lt;&gt;"PASS","",'Motor_Meciuri'!BD86)</x:f>
      </x:c>
      <x:c r="L1131" s="11" t="str">
        <x:f>IF(J1131&lt;&gt;"PASS","",'Motor_Meciuri'!AU86)</x:f>
      </x:c>
      <x:c r="M1131" s="10" t="str">
        <x:f>IF(NOT(AND(J1131="PASS",'Calibrare_Linii'!U11="VALID")),"",1-'Distributie'!AF86)</x:f>
      </x:c>
      <x:c r="N1131" s="10" t="str">
        <x:f>IF(M1131="","",MAX(0.01,MIN(0.99,0.5+(M1131-0.5)*'Motor_Meciuri'!BG86*'Calibrare_Linii'!D11)))</x:f>
      </x:c>
      <x:c r="O1131" s="10" t="str">
        <x:f>IF(M1131="","",1-M1131)</x:f>
      </x:c>
      <x:c r="P1131" s="10" t="str">
        <x:f>IF(OR(NOT(AND(J1131="PASS",'Calibrare_Linii'!U11="VALID")),AK1131=0),""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*('Istoric_Nativ'!$Q$6:$Q$405&lt;=H1131))/AK1131)</x:f>
      </x:c>
      <x:c r="Q1131" s="10" t="str">
        <x:f>IF(OR(NOT(AND(J1131="PASS",'Calibrare_Linii'!U11="VALID")),AL1131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M86)+((('Istoric_Nativ'!$E$6:$E$405='Input_Meci'!E86)+('Istoric_Nativ'!$F$6:$F$405='Input_Meci'!E86))&gt;0)*('Istoric_Nativ'!$D$6:$D$405&gt;='Motor_Meciuri'!BN86))&gt;0)*('Istoric_Nativ'!$Q$6:$Q$405&lt;=H1131))/AL1131)</x:f>
      </x:c>
      <x:c r="R1131" s="10" t="str">
        <x:f>IF(OR(NOT(AND(J1131="PASS",'Calibrare_Linii'!U11="VALID")),AM1131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O86)+((('Istoric_Nativ'!$E$6:$E$405='Input_Meci'!E86)+('Istoric_Nativ'!$F$6:$F$405='Input_Meci'!E86))&gt;0)*('Istoric_Nativ'!$D$6:$D$405&gt;='Motor_Meciuri'!BP86))&gt;0)*('Istoric_Nativ'!$Q$6:$Q$405&lt;=H1131))/AM1131)</x:f>
      </x:c>
      <x:c r="S1131" s="10" t="str">
        <x:f>IF(M1131="","",MAX(O1131,P1131,Q1131,R1131))</x:f>
      </x:c>
      <x:c r="T1131" s="11" t="str">
        <x:f>IF(M1131="","",MIN(100,S1131*100*'Config_v6'!$B$44+MIN(100,L1131/'Config_v6'!$B$13*100)*'Config_v6'!$B$45+(100-'Motor_Meciuri'!BF86)*'Config_v6'!$B$46+'Motor_Meciuri'!BH86*100*'Config_v6'!$B$47))</x:f>
      </x:c>
      <x:c r="U1131" s="2" t="str">
        <x:f>IF(T1131="","",IF(T1131&lt;=20,1,IF(T1131&lt;=40,2,IF(T1131&lt;=60,3,IF(T1131&lt;=80,4,5)))))</x:f>
      </x:c>
      <x:c r="V1131" s="2" t="str">
        <x:f>IF(M1131="","",MAX(0,'Motor_Meciuri'!BF86-IF(W1131="OOS PENDING",'Config_v6'!$B$35,0)-IF(L1131&gt;'Config_v6'!$B$12,'Config_v6'!$B$37,IF(L1131&gt;'Config_v6'!$B$11,'Config_v6'!$B$36,0))))</x:f>
      </x:c>
      <x:c r="W1131" s="2" t="str">
        <x:f>IF(B1131="","",IF(I1131&lt;&gt;"READY","NOT RELEASED",IF(NOT(AND(J1131="PASS",'Calibrare_Linii'!U11="VALID")),"INVALID",IF(NOT(AND('Calibrare_Linii'!S11="VALIDATED",AND('Calibrare_Linii'!H11=C1131,ISNUMBER('Calibrare_Linii'!J11),'Calibrare_Linii'!J11&lt;='Input_Meci'!G86))),"OOS PENDING",IF(S1131&lt;='Calibrare_Linii'!E11,"PASS",IF(S1131&lt;='Calibrare_Linii'!F11,"PENALTY","WATCH"))))))</x:f>
      </x:c>
      <x:c r="X1131" s="2" t="str">
        <x:f>IF(M1131="","",IF(AND(AND(J1131="PASS",'Calibrare_Linii'!U11="VALID"),'Motor_Meciuri'!K86=12,'Motor_Meciuri'!L86=12,'Motor_Meciuri'!M86="NO",'Motor_Meciuri'!BL86='Motor_Meciuri'!C86,AB1131&gt;='Config_v6'!$B$50,AN1131&gt;='Config_v6'!$B$51,T1131&lt;='Config_v6'!$B$52,L1131&lt;='Config_v6'!$B$53,ISNUMBER('Calibrare_Linii'!E11),S1131&lt;='Calibrare_Linii'!E11,SUM(AK1131:AM1131)&gt;0),"CANDIDATE","NO"))</x:f>
      </x:c>
      <x:c r="Y1131" s="2" t="str">
        <x:f>IF(B1131="","",IF(I1131&lt;&gt;"READY","NOT RELEASED",IF(AND(X1131="CANDIDATE",V1131&gt;='Config_v6'!$B$51,W1131="PASS",'Calibrare_Linii'!T11="VALIDATED",AND('Calibrare_Linii'!H11=C1131,ISNUMBER('Calibrare_Linii'!J11),'Calibrare_Linii'!J11&lt;='Input_Meci'!G86)),"PASS",IF(X1131="CANDIDATE","OOS PENDING","FAIL"))))</x:f>
      </x:c>
      <x:c r="Z1131" s="2" t="str">
        <x:f>IF(B1131="","",IF(I1131&lt;&gt;"READY","",IF(OR(NOT(AND(J1131="PASS",'Calibrare_Linii'!U11="VALID")),L1131&gt;'Config_v6'!$B$13,W1131="WATCH"),5,IF(Y1131="PASS",1,MIN(5,MAX('Config_v6'!$B$42,U1131)+IF(W1131="PENALTY",1,0))))))</x:f>
      </x:c>
      <x:c r="AA1131" s="2" t="str">
        <x:f>IF(B1131="","",IF(I1131&lt;&gt;"READY","NOT RELEASED",IF(Z1131=5,"NO BET",IF(OR(AB1131&lt;'Config_v6'!$B$16,V1131&lt;'Config_v6'!$B$18),"WATCH",IF(Z1131=1,"DEFENSIV",IF(Z1131=2,"PRUDENT",IF(Z1131=3,"MODERAT","RIDICAT")))))))</x:f>
      </x:c>
      <x:c r="AB1131" s="10" t="str">
        <x:f>IF(N1131="","",MIN(N1131,1-S1131))</x:f>
      </x:c>
      <x:c r="AC1131" s="2" t="str">
        <x:f>IF(AD1131&lt;&gt;1,"",COUNTIFS($Z$1126:$Z$1139,"&lt;"&amp;Z1131,$AD$1126:$AD$1139,1)+COUNTIFS($Z$1126:$Z$1139,Z1131,$AB$1126:$AB$1139,"&gt;"&amp;AB1131,$AD$1126:$AD$1139,1)+COUNTIFS($Z$1126:$Z$1139,Z1131,$AB$1126:$AB$1139,AB1131,$V$1126:$V$1139,"&gt;"&amp;V1131,$AD$1126:$AD$1139,1)+COUNTIFS($Z$1126:Z1131,Z1131,$AB$1126:AB1131,AB1131,$V$1126:V1131,V1131,$AD$1126:AD1131,1))</x:f>
      </x:c>
      <x:c r="AD1131" s="2" t="n">
        <x:f>IF(OR(AA1131="DEFENSIV",AA1131="PRUDENT",AA1131="MODERAT",AA1131="RIDICAT"),1,0)</x:f>
        <x:v>0</x:v>
      </x:c>
      <x:c r="AE1131" s="2" t="str">
        <x:f>IF(AD1131&lt;&gt;1,"NO",IF(W1131="PASS","YES",IF(W1131="OOS PENDING","CONDITIONAL","NO")))</x:f>
        <x:v>NO</x:v>
      </x:c>
      <x:c r="AF1131" s="2" t="n">
        <x:f>IF(AND(AD1131=1,AC1131=1,E1131="LIVE"),1,0)</x:f>
        <x:v>0</x:v>
      </x:c>
      <x:c r="AG1131" s="2" t="str">
        <x:f>IF(AF1131&lt;&gt;1,"",'Dashboard'!P106)</x:f>
      </x:c>
      <x:c r="AH1131" s="2" t="str">
        <x:f>IF(B1131="","",IF(J1131&lt;&gt;"PASS",'Motor_Meciuri'!J86,IF('Calibrare_Linii'!U11&lt;&gt;"VALID","Parametri linie invalizi",IF(L1131&gt;'Config_v6'!$B$13,"Dispersie peste limita",IF(W1131="WATCH","Failure peste limita",IF(AB1131&lt;'Config_v6'!$B$16,"P finala sub prag",IF(V1131&lt;'Config_v6'!$B$18,"Confidence sub prag",IF(E1131="REPLAY","Exemplu retrospectiv; exclus din Top LIVE",IF(Y1131="PASS","DEFENSIV validat",IF(W1131="OOS PENDING","Eligibil; calibrare linie in monitorizare","Eligibil"))))))))))</x:f>
      </x:c>
      <x:c r="AI1131" s="2" t="str">
        <x:f>IF(B1131="","",'Calibrare_Linii'!V11)</x:f>
      </x:c>
      <x:c r="AJ1131" s="2" t="str">
        <x:f>IF(B1131="","",IF(AND('Calibrare_Linii'!T11="VALIDATED",AND('Calibrare_Linii'!H11=C1131,ISNUMBER('Calibrare_Linii'!J11),'Calibrare_Linii'!J11&lt;='Input_Meci'!G86)),"DEFENSIVE VALIDATED",IF(AND('Calibrare_Linii'!S11="VALIDATED",AND('Calibrare_Linii'!H11=C1131,ISNUMBER('Calibrare_Linii'!J11),'Calibrare_Linii'!J11&lt;='Input_Meci'!G86)),"TAIL VALIDATED","OOS PENDING")))</x:f>
      </x:c>
      <x:c r="AK1131" s="2" t="n">
        <x:f>IF(J1131&lt;&gt;"PASS",0,'Motor_Meciuri'!BR86)</x:f>
        <x:v>0</x:v>
      </x:c>
      <x:c r="AL1131" s="2" t="n">
        <x:f>IF(J1131&lt;&gt;"PASS",0,'Motor_Meciuri'!BS86)</x:f>
        <x:v>0</x:v>
      </x:c>
      <x:c r="AM1131" s="2" t="n">
        <x:f>IF(J1131&lt;&gt;"PASS",0,'Motor_Meciuri'!BT86)</x:f>
        <x:v>0</x:v>
      </x:c>
      <x:c r="AN1131" s="2" t="str">
        <x:f>IF(M1131="","",MAX(0,'Motor_Meciuri'!BF86-IF(L1131&gt;'Config_v6'!$B$12,'Config_v6'!$B$37,IF(L1131&gt;'Config_v6'!$B$11,'Config_v6'!$B$36,0))))</x:f>
      </x:c>
    </x:row>
    <x:row r="1132" ht="21" customHeight="1">
      <x:c r="A1132" s="2" t="n">
        <x:v>81</x:v>
      </x:c>
      <x:c r="B1132" s="2" t="str">
        <x:f>IF('Motor_Meciuri'!A86="","",'Motor_Meciuri'!A86)</x:f>
      </x:c>
      <x:c r="C1132" s="2" t="str">
        <x:f>IF(B1132="","",'Motor_Meciuri'!B86)</x:f>
      </x:c>
      <x:c r="D1132" s="2" t="str">
        <x:f>IF(B1132="","",'Motor_Meciuri'!D86)</x:f>
      </x:c>
      <x:c r="E1132" s="2" t="str">
        <x:f>IF(B1132="","",'Motor_Meciuri'!E86)</x:f>
      </x:c>
      <x:c r="F1132" s="2" t="str">
        <x:v>U10,5</x:v>
      </x:c>
      <x:c r="G1132" s="2" t="str">
        <x:v>UNDER</x:v>
      </x:c>
      <x:c r="H1132" s="2" t="n">
        <x:v>10</x:v>
      </x:c>
      <x:c r="I1132" s="2" t="str">
        <x:f>IF(B1132="","",'Motor_Meciuri'!H86)</x:f>
      </x:c>
      <x:c r="J1132" s="2" t="str">
        <x:f>IF(B1132="","",'Motor_Meciuri'!I86)</x:f>
      </x:c>
      <x:c r="K1132" s="11" t="str">
        <x:f>IF(J1132&lt;&gt;"PASS","",'Motor_Meciuri'!BD86)</x:f>
      </x:c>
      <x:c r="L1132" s="11" t="str">
        <x:f>IF(J1132&lt;&gt;"PASS","",'Motor_Meciuri'!AU86)</x:f>
      </x:c>
      <x:c r="M1132" s="10" t="str">
        <x:f>IF(NOT(AND(J1132="PASS",'Calibrare_Linii'!U12="VALID")),"",'Distributie'!AH86)</x:f>
      </x:c>
      <x:c r="N1132" s="10" t="str">
        <x:f>IF(M1132="","",MAX(0.01,MIN(0.99,0.5+(M1132-0.5)*'Motor_Meciuri'!BG86*'Calibrare_Linii'!D12)))</x:f>
      </x:c>
      <x:c r="O1132" s="10" t="str">
        <x:f>IF(M1132="","",1-M1132)</x:f>
      </x:c>
      <x:c r="P1132" s="10" t="str">
        <x:f>IF(OR(NOT(AND(J1132="PASS",'Calibrare_Linii'!U12="VALID")),AK1132=0),""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*('Istoric_Nativ'!$Q$6:$Q$405&gt;H1132))/AK1132)</x:f>
      </x:c>
      <x:c r="Q1132" s="10" t="str">
        <x:f>IF(OR(NOT(AND(J1132="PASS",'Calibrare_Linii'!U12="VALID")),AL1132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M86)+((('Istoric_Nativ'!$E$6:$E$405='Input_Meci'!E86)+('Istoric_Nativ'!$F$6:$F$405='Input_Meci'!E86))&gt;0)*('Istoric_Nativ'!$D$6:$D$405&gt;='Motor_Meciuri'!BN86))&gt;0)*('Istoric_Nativ'!$Q$6:$Q$405&gt;H1132))/AL1132)</x:f>
      </x:c>
      <x:c r="R1132" s="10" t="str">
        <x:f>IF(OR(NOT(AND(J1132="PASS",'Calibrare_Linii'!U12="VALID")),AM1132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O86)+((('Istoric_Nativ'!$E$6:$E$405='Input_Meci'!E86)+('Istoric_Nativ'!$F$6:$F$405='Input_Meci'!E86))&gt;0)*('Istoric_Nativ'!$D$6:$D$405&gt;='Motor_Meciuri'!BP86))&gt;0)*('Istoric_Nativ'!$Q$6:$Q$405&gt;H1132))/AM1132)</x:f>
      </x:c>
      <x:c r="S1132" s="10" t="str">
        <x:f>IF(M1132="","",MAX(O1132,P1132,Q1132,R1132))</x:f>
      </x:c>
      <x:c r="T1132" s="11" t="str">
        <x:f>IF(M1132="","",MIN(100,S1132*100*'Config_v6'!$B$44+MIN(100,L1132/'Config_v6'!$B$13*100)*'Config_v6'!$B$45+(100-'Motor_Meciuri'!BF86)*'Config_v6'!$B$46+'Motor_Meciuri'!BH86*100*'Config_v6'!$B$47))</x:f>
      </x:c>
      <x:c r="U1132" s="2" t="str">
        <x:f>IF(T1132="","",IF(T1132&lt;=20,1,IF(T1132&lt;=40,2,IF(T1132&lt;=60,3,IF(T1132&lt;=80,4,5)))))</x:f>
      </x:c>
      <x:c r="V1132" s="2" t="str">
        <x:f>IF(M1132="","",MAX(0,'Motor_Meciuri'!BF86-IF(W1132="OOS PENDING",'Config_v6'!$B$35,0)-IF(L1132&gt;'Config_v6'!$B$12,'Config_v6'!$B$37,IF(L1132&gt;'Config_v6'!$B$11,'Config_v6'!$B$36,0))))</x:f>
      </x:c>
      <x:c r="W1132" s="2" t="str">
        <x:f>IF(B1132="","",IF(I1132&lt;&gt;"READY","NOT RELEASED",IF(NOT(AND(J1132="PASS",'Calibrare_Linii'!U12="VALID")),"INVALID",IF(NOT(AND('Calibrare_Linii'!S12="VALIDATED",AND('Calibrare_Linii'!H12=C1132,ISNUMBER('Calibrare_Linii'!J12),'Calibrare_Linii'!J12&lt;='Input_Meci'!G86))),"OOS PENDING",IF(S1132&lt;='Calibrare_Linii'!E12,"PASS",IF(S1132&lt;='Calibrare_Linii'!F12,"PENALTY","WATCH"))))))</x:f>
      </x:c>
      <x:c r="X1132" s="2" t="str">
        <x:f>IF(M1132="","",IF(AND(AND(J1132="PASS",'Calibrare_Linii'!U12="VALID"),'Motor_Meciuri'!K86=12,'Motor_Meciuri'!L86=12,'Motor_Meciuri'!M86="NO",'Motor_Meciuri'!BL86='Motor_Meciuri'!C86,AB1132&gt;='Config_v6'!$B$50,AN1132&gt;='Config_v6'!$B$51,T1132&lt;='Config_v6'!$B$52,L1132&lt;='Config_v6'!$B$53,ISNUMBER('Calibrare_Linii'!E12),S1132&lt;='Calibrare_Linii'!E12,SUM(AK1132:AM1132)&gt;0),"CANDIDATE","NO"))</x:f>
      </x:c>
      <x:c r="Y1132" s="2" t="str">
        <x:f>IF(B1132="","",IF(I1132&lt;&gt;"READY","NOT RELEASED",IF(AND(X1132="CANDIDATE",V1132&gt;='Config_v6'!$B$51,W1132="PASS",'Calibrare_Linii'!T12="VALIDATED",AND('Calibrare_Linii'!H12=C1132,ISNUMBER('Calibrare_Linii'!J12),'Calibrare_Linii'!J12&lt;='Input_Meci'!G86)),"PASS",IF(X1132="CANDIDATE","OOS PENDING","FAIL"))))</x:f>
      </x:c>
      <x:c r="Z1132" s="2" t="str">
        <x:f>IF(B1132="","",IF(I1132&lt;&gt;"READY","",IF(OR(NOT(AND(J1132="PASS",'Calibrare_Linii'!U12="VALID")),L1132&gt;'Config_v6'!$B$13,W1132="WATCH"),5,IF(Y1132="PASS",1,MIN(5,MAX('Config_v6'!$B$42,U1132)+IF(W1132="PENALTY",1,0))))))</x:f>
      </x:c>
      <x:c r="AA1132" s="2" t="str">
        <x:f>IF(B1132="","",IF(I1132&lt;&gt;"READY","NOT RELEASED",IF(Z1132=5,"NO BET",IF(OR(AB1132&lt;'Config_v6'!$B$16,V1132&lt;'Config_v6'!$B$18),"WATCH",IF(Z1132=1,"DEFENSIV",IF(Z1132=2,"PRUDENT",IF(Z1132=3,"MODERAT","RIDICAT")))))))</x:f>
      </x:c>
      <x:c r="AB1132" s="10" t="str">
        <x:f>IF(N1132="","",MIN(N1132,1-S1132))</x:f>
      </x:c>
      <x:c r="AC1132" s="2" t="str">
        <x:f>IF(AD1132&lt;&gt;1,"",COUNTIFS($Z$1126:$Z$1139,"&lt;"&amp;Z1132,$AD$1126:$AD$1139,1)+COUNTIFS($Z$1126:$Z$1139,Z1132,$AB$1126:$AB$1139,"&gt;"&amp;AB1132,$AD$1126:$AD$1139,1)+COUNTIFS($Z$1126:$Z$1139,Z1132,$AB$1126:$AB$1139,AB1132,$V$1126:$V$1139,"&gt;"&amp;V1132,$AD$1126:$AD$1139,1)+COUNTIFS($Z$1126:Z1132,Z1132,$AB$1126:AB1132,AB1132,$V$1126:V1132,V1132,$AD$1126:AD1132,1))</x:f>
      </x:c>
      <x:c r="AD1132" s="2" t="n">
        <x:f>IF(OR(AA1132="DEFENSIV",AA1132="PRUDENT",AA1132="MODERAT",AA1132="RIDICAT"),1,0)</x:f>
        <x:v>0</x:v>
      </x:c>
      <x:c r="AE1132" s="2" t="str">
        <x:f>IF(AD1132&lt;&gt;1,"NO",IF(W1132="PASS","YES",IF(W1132="OOS PENDING","CONDITIONAL","NO")))</x:f>
        <x:v>NO</x:v>
      </x:c>
      <x:c r="AF1132" s="2" t="n">
        <x:f>IF(AND(AD1132=1,AC1132=1,E1132="LIVE"),1,0)</x:f>
        <x:v>0</x:v>
      </x:c>
      <x:c r="AG1132" s="2" t="str">
        <x:f>IF(AF1132&lt;&gt;1,"",'Dashboard'!P106)</x:f>
      </x:c>
      <x:c r="AH1132" s="2" t="str">
        <x:f>IF(B1132="","",IF(J1132&lt;&gt;"PASS",'Motor_Meciuri'!J86,IF('Calibrare_Linii'!U12&lt;&gt;"VALID","Parametri linie invalizi",IF(L1132&gt;'Config_v6'!$B$13,"Dispersie peste limita",IF(W1132="WATCH","Failure peste limita",IF(AB1132&lt;'Config_v6'!$B$16,"P finala sub prag",IF(V1132&lt;'Config_v6'!$B$18,"Confidence sub prag",IF(E1132="REPLAY","Exemplu retrospectiv; exclus din Top LIVE",IF(Y1132="PASS","DEFENSIV validat",IF(W1132="OOS PENDING","Eligibil; calibrare linie in monitorizare","Eligibil"))))))))))</x:f>
      </x:c>
      <x:c r="AI1132" s="2" t="str">
        <x:f>IF(B1132="","",'Calibrare_Linii'!V12)</x:f>
      </x:c>
      <x:c r="AJ1132" s="2" t="str">
        <x:f>IF(B1132="","",IF(AND('Calibrare_Linii'!T12="VALIDATED",AND('Calibrare_Linii'!H12=C1132,ISNUMBER('Calibrare_Linii'!J12),'Calibrare_Linii'!J12&lt;='Input_Meci'!G86)),"DEFENSIVE VALIDATED",IF(AND('Calibrare_Linii'!S12="VALIDATED",AND('Calibrare_Linii'!H12=C1132,ISNUMBER('Calibrare_Linii'!J12),'Calibrare_Linii'!J12&lt;='Input_Meci'!G86)),"TAIL VALIDATED","OOS PENDING")))</x:f>
      </x:c>
      <x:c r="AK1132" s="2" t="n">
        <x:f>IF(J1132&lt;&gt;"PASS",0,'Motor_Meciuri'!BR86)</x:f>
        <x:v>0</x:v>
      </x:c>
      <x:c r="AL1132" s="2" t="n">
        <x:f>IF(J1132&lt;&gt;"PASS",0,'Motor_Meciuri'!BS86)</x:f>
        <x:v>0</x:v>
      </x:c>
      <x:c r="AM1132" s="2" t="n">
        <x:f>IF(J1132&lt;&gt;"PASS",0,'Motor_Meciuri'!BT86)</x:f>
        <x:v>0</x:v>
      </x:c>
      <x:c r="AN1132" s="2" t="str">
        <x:f>IF(M1132="","",MAX(0,'Motor_Meciuri'!BF86-IF(L1132&gt;'Config_v6'!$B$12,'Config_v6'!$B$37,IF(L1132&gt;'Config_v6'!$B$11,'Config_v6'!$B$36,0))))</x:f>
      </x:c>
    </x:row>
    <x:row r="1133" ht="21" customHeight="1">
      <x:c r="A1133" s="2" t="n">
        <x:v>81</x:v>
      </x:c>
      <x:c r="B1133" s="2" t="str">
        <x:f>IF('Motor_Meciuri'!A86="","",'Motor_Meciuri'!A86)</x:f>
      </x:c>
      <x:c r="C1133" s="2" t="str">
        <x:f>IF(B1133="","",'Motor_Meciuri'!B86)</x:f>
      </x:c>
      <x:c r="D1133" s="2" t="str">
        <x:f>IF(B1133="","",'Motor_Meciuri'!D86)</x:f>
      </x:c>
      <x:c r="E1133" s="2" t="str">
        <x:f>IF(B1133="","",'Motor_Meciuri'!E86)</x:f>
      </x:c>
      <x:c r="F1133" s="2" t="str">
        <x:v>U11,5</x:v>
      </x:c>
      <x:c r="G1133" s="2" t="str">
        <x:v>UNDER</x:v>
      </x:c>
      <x:c r="H1133" s="2" t="n">
        <x:v>11</x:v>
      </x:c>
      <x:c r="I1133" s="2" t="str">
        <x:f>IF(B1133="","",'Motor_Meciuri'!H86)</x:f>
      </x:c>
      <x:c r="J1133" s="2" t="str">
        <x:f>IF(B1133="","",'Motor_Meciuri'!I86)</x:f>
      </x:c>
      <x:c r="K1133" s="11" t="str">
        <x:f>IF(J1133&lt;&gt;"PASS","",'Motor_Meciuri'!BD86)</x:f>
      </x:c>
      <x:c r="L1133" s="11" t="str">
        <x:f>IF(J1133&lt;&gt;"PASS","",'Motor_Meciuri'!AU86)</x:f>
      </x:c>
      <x:c r="M1133" s="10" t="str">
        <x:f>IF(NOT(AND(J1133="PASS",'Calibrare_Linii'!U13="VALID")),"",'Distributie'!AI86)</x:f>
      </x:c>
      <x:c r="N1133" s="10" t="str">
        <x:f>IF(M1133="","",MAX(0.01,MIN(0.99,0.5+(M1133-0.5)*'Motor_Meciuri'!BG86*'Calibrare_Linii'!D13)))</x:f>
      </x:c>
      <x:c r="O1133" s="10" t="str">
        <x:f>IF(M1133="","",1-M1133)</x:f>
      </x:c>
      <x:c r="P1133" s="10" t="str">
        <x:f>IF(OR(NOT(AND(J1133="PASS",'Calibrare_Linii'!U13="VALID")),AK1133=0),""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*('Istoric_Nativ'!$Q$6:$Q$405&gt;H1133))/AK1133)</x:f>
      </x:c>
      <x:c r="Q1133" s="10" t="str">
        <x:f>IF(OR(NOT(AND(J1133="PASS",'Calibrare_Linii'!U13="VALID")),AL1133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M86)+((('Istoric_Nativ'!$E$6:$E$405='Input_Meci'!E86)+('Istoric_Nativ'!$F$6:$F$405='Input_Meci'!E86))&gt;0)*('Istoric_Nativ'!$D$6:$D$405&gt;='Motor_Meciuri'!BN86))&gt;0)*('Istoric_Nativ'!$Q$6:$Q$405&gt;H1133))/AL1133)</x:f>
      </x:c>
      <x:c r="R1133" s="10" t="str">
        <x:f>IF(OR(NOT(AND(J1133="PASS",'Calibrare_Linii'!U13="VALID")),AM1133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O86)+((('Istoric_Nativ'!$E$6:$E$405='Input_Meci'!E86)+('Istoric_Nativ'!$F$6:$F$405='Input_Meci'!E86))&gt;0)*('Istoric_Nativ'!$D$6:$D$405&gt;='Motor_Meciuri'!BP86))&gt;0)*('Istoric_Nativ'!$Q$6:$Q$405&gt;H1133))/AM1133)</x:f>
      </x:c>
      <x:c r="S1133" s="10" t="str">
        <x:f>IF(M1133="","",MAX(O1133,P1133,Q1133,R1133))</x:f>
      </x:c>
      <x:c r="T1133" s="11" t="str">
        <x:f>IF(M1133="","",MIN(100,S1133*100*'Config_v6'!$B$44+MIN(100,L1133/'Config_v6'!$B$13*100)*'Config_v6'!$B$45+(100-'Motor_Meciuri'!BF86)*'Config_v6'!$B$46+'Motor_Meciuri'!BH86*100*'Config_v6'!$B$47))</x:f>
      </x:c>
      <x:c r="U1133" s="2" t="str">
        <x:f>IF(T1133="","",IF(T1133&lt;=20,1,IF(T1133&lt;=40,2,IF(T1133&lt;=60,3,IF(T1133&lt;=80,4,5)))))</x:f>
      </x:c>
      <x:c r="V1133" s="2" t="str">
        <x:f>IF(M1133="","",MAX(0,'Motor_Meciuri'!BF86-IF(W1133="OOS PENDING",'Config_v6'!$B$35,0)-IF(L1133&gt;'Config_v6'!$B$12,'Config_v6'!$B$37,IF(L1133&gt;'Config_v6'!$B$11,'Config_v6'!$B$36,0))))</x:f>
      </x:c>
      <x:c r="W1133" s="2" t="str">
        <x:f>IF(B1133="","",IF(I1133&lt;&gt;"READY","NOT RELEASED",IF(NOT(AND(J1133="PASS",'Calibrare_Linii'!U13="VALID")),"INVALID",IF(NOT(AND('Calibrare_Linii'!S13="VALIDATED",AND('Calibrare_Linii'!H13=C1133,ISNUMBER('Calibrare_Linii'!J13),'Calibrare_Linii'!J13&lt;='Input_Meci'!G86))),"OOS PENDING",IF(S1133&lt;='Calibrare_Linii'!E13,"PASS",IF(S1133&lt;='Calibrare_Linii'!F13,"PENALTY","WATCH"))))))</x:f>
      </x:c>
      <x:c r="X1133" s="2" t="str">
        <x:f>IF(M1133="","",IF(AND(AND(J1133="PASS",'Calibrare_Linii'!U13="VALID"),'Motor_Meciuri'!K86=12,'Motor_Meciuri'!L86=12,'Motor_Meciuri'!M86="NO",'Motor_Meciuri'!BL86='Motor_Meciuri'!C86,AB1133&gt;='Config_v6'!$B$50,AN1133&gt;='Config_v6'!$B$51,T1133&lt;='Config_v6'!$B$52,L1133&lt;='Config_v6'!$B$53,ISNUMBER('Calibrare_Linii'!E13),S1133&lt;='Calibrare_Linii'!E13,SUM(AK1133:AM1133)&gt;0),"CANDIDATE","NO"))</x:f>
      </x:c>
      <x:c r="Y1133" s="2" t="str">
        <x:f>IF(B1133="","",IF(I1133&lt;&gt;"READY","NOT RELEASED",IF(AND(X1133="CANDIDATE",V1133&gt;='Config_v6'!$B$51,W1133="PASS",'Calibrare_Linii'!T13="VALIDATED",AND('Calibrare_Linii'!H13=C1133,ISNUMBER('Calibrare_Linii'!J13),'Calibrare_Linii'!J13&lt;='Input_Meci'!G86)),"PASS",IF(X1133="CANDIDATE","OOS PENDING","FAIL"))))</x:f>
      </x:c>
      <x:c r="Z1133" s="2" t="str">
        <x:f>IF(B1133="","",IF(I1133&lt;&gt;"READY","",IF(OR(NOT(AND(J1133="PASS",'Calibrare_Linii'!U13="VALID")),L1133&gt;'Config_v6'!$B$13,W1133="WATCH"),5,IF(Y1133="PASS",1,MIN(5,MAX('Config_v6'!$B$42,U1133)+IF(W1133="PENALTY",1,0))))))</x:f>
      </x:c>
      <x:c r="AA1133" s="2" t="str">
        <x:f>IF(B1133="","",IF(I1133&lt;&gt;"READY","NOT RELEASED",IF(Z1133=5,"NO BET",IF(OR(AB1133&lt;'Config_v6'!$B$16,V1133&lt;'Config_v6'!$B$18),"WATCH",IF(Z1133=1,"DEFENSIV",IF(Z1133=2,"PRUDENT",IF(Z1133=3,"MODERAT","RIDICAT")))))))</x:f>
      </x:c>
      <x:c r="AB1133" s="10" t="str">
        <x:f>IF(N1133="","",MIN(N1133,1-S1133))</x:f>
      </x:c>
      <x:c r="AC1133" s="2" t="str">
        <x:f>IF(AD1133&lt;&gt;1,"",COUNTIFS($Z$1126:$Z$1139,"&lt;"&amp;Z1133,$AD$1126:$AD$1139,1)+COUNTIFS($Z$1126:$Z$1139,Z1133,$AB$1126:$AB$1139,"&gt;"&amp;AB1133,$AD$1126:$AD$1139,1)+COUNTIFS($Z$1126:$Z$1139,Z1133,$AB$1126:$AB$1139,AB1133,$V$1126:$V$1139,"&gt;"&amp;V1133,$AD$1126:$AD$1139,1)+COUNTIFS($Z$1126:Z1133,Z1133,$AB$1126:AB1133,AB1133,$V$1126:V1133,V1133,$AD$1126:AD1133,1))</x:f>
      </x:c>
      <x:c r="AD1133" s="2" t="n">
        <x:f>IF(OR(AA1133="DEFENSIV",AA1133="PRUDENT",AA1133="MODERAT",AA1133="RIDICAT"),1,0)</x:f>
        <x:v>0</x:v>
      </x:c>
      <x:c r="AE1133" s="2" t="str">
        <x:f>IF(AD1133&lt;&gt;1,"NO",IF(W1133="PASS","YES",IF(W1133="OOS PENDING","CONDITIONAL","NO")))</x:f>
        <x:v>NO</x:v>
      </x:c>
      <x:c r="AF1133" s="2" t="n">
        <x:f>IF(AND(AD1133=1,AC1133=1,E1133="LIVE"),1,0)</x:f>
        <x:v>0</x:v>
      </x:c>
      <x:c r="AG1133" s="2" t="str">
        <x:f>IF(AF1133&lt;&gt;1,"",'Dashboard'!P106)</x:f>
      </x:c>
      <x:c r="AH1133" s="2" t="str">
        <x:f>IF(B1133="","",IF(J1133&lt;&gt;"PASS",'Motor_Meciuri'!J86,IF('Calibrare_Linii'!U13&lt;&gt;"VALID","Parametri linie invalizi",IF(L1133&gt;'Config_v6'!$B$13,"Dispersie peste limita",IF(W1133="WATCH","Failure peste limita",IF(AB1133&lt;'Config_v6'!$B$16,"P finala sub prag",IF(V1133&lt;'Config_v6'!$B$18,"Confidence sub prag",IF(E1133="REPLAY","Exemplu retrospectiv; exclus din Top LIVE",IF(Y1133="PASS","DEFENSIV validat",IF(W1133="OOS PENDING","Eligibil; calibrare linie in monitorizare","Eligibil"))))))))))</x:f>
      </x:c>
      <x:c r="AI1133" s="2" t="str">
        <x:f>IF(B1133="","",'Calibrare_Linii'!V13)</x:f>
      </x:c>
      <x:c r="AJ1133" s="2" t="str">
        <x:f>IF(B1133="","",IF(AND('Calibrare_Linii'!T13="VALIDATED",AND('Calibrare_Linii'!H13=C1133,ISNUMBER('Calibrare_Linii'!J13),'Calibrare_Linii'!J13&lt;='Input_Meci'!G86)),"DEFENSIVE VALIDATED",IF(AND('Calibrare_Linii'!S13="VALIDATED",AND('Calibrare_Linii'!H13=C1133,ISNUMBER('Calibrare_Linii'!J13),'Calibrare_Linii'!J13&lt;='Input_Meci'!G86)),"TAIL VALIDATED","OOS PENDING")))</x:f>
      </x:c>
      <x:c r="AK1133" s="2" t="n">
        <x:f>IF(J1133&lt;&gt;"PASS",0,'Motor_Meciuri'!BR86)</x:f>
        <x:v>0</x:v>
      </x:c>
      <x:c r="AL1133" s="2" t="n">
        <x:f>IF(J1133&lt;&gt;"PASS",0,'Motor_Meciuri'!BS86)</x:f>
        <x:v>0</x:v>
      </x:c>
      <x:c r="AM1133" s="2" t="n">
        <x:f>IF(J1133&lt;&gt;"PASS",0,'Motor_Meciuri'!BT86)</x:f>
        <x:v>0</x:v>
      </x:c>
      <x:c r="AN1133" s="2" t="str">
        <x:f>IF(M1133="","",MAX(0,'Motor_Meciuri'!BF86-IF(L1133&gt;'Config_v6'!$B$12,'Config_v6'!$B$37,IF(L1133&gt;'Config_v6'!$B$11,'Config_v6'!$B$36,0))))</x:f>
      </x:c>
    </x:row>
    <x:row r="1134" ht="21" customHeight="1">
      <x:c r="A1134" s="2" t="n">
        <x:v>81</x:v>
      </x:c>
      <x:c r="B1134" s="2" t="str">
        <x:f>IF('Motor_Meciuri'!A86="","",'Motor_Meciuri'!A86)</x:f>
      </x:c>
      <x:c r="C1134" s="2" t="str">
        <x:f>IF(B1134="","",'Motor_Meciuri'!B86)</x:f>
      </x:c>
      <x:c r="D1134" s="2" t="str">
        <x:f>IF(B1134="","",'Motor_Meciuri'!D86)</x:f>
      </x:c>
      <x:c r="E1134" s="2" t="str">
        <x:f>IF(B1134="","",'Motor_Meciuri'!E86)</x:f>
      </x:c>
      <x:c r="F1134" s="2" t="str">
        <x:v>U12,5</x:v>
      </x:c>
      <x:c r="G1134" s="2" t="str">
        <x:v>UNDER</x:v>
      </x:c>
      <x:c r="H1134" s="2" t="n">
        <x:v>12</x:v>
      </x:c>
      <x:c r="I1134" s="2" t="str">
        <x:f>IF(B1134="","",'Motor_Meciuri'!H86)</x:f>
      </x:c>
      <x:c r="J1134" s="2" t="str">
        <x:f>IF(B1134="","",'Motor_Meciuri'!I86)</x:f>
      </x:c>
      <x:c r="K1134" s="11" t="str">
        <x:f>IF(J1134&lt;&gt;"PASS","",'Motor_Meciuri'!BD86)</x:f>
      </x:c>
      <x:c r="L1134" s="11" t="str">
        <x:f>IF(J1134&lt;&gt;"PASS","",'Motor_Meciuri'!AU86)</x:f>
      </x:c>
      <x:c r="M1134" s="10" t="str">
        <x:f>IF(NOT(AND(J1134="PASS",'Calibrare_Linii'!U14="VALID")),"",'Distributie'!AJ86)</x:f>
      </x:c>
      <x:c r="N1134" s="10" t="str">
        <x:f>IF(M1134="","",MAX(0.01,MIN(0.99,0.5+(M1134-0.5)*'Motor_Meciuri'!BG86*'Calibrare_Linii'!D14)))</x:f>
      </x:c>
      <x:c r="O1134" s="10" t="str">
        <x:f>IF(M1134="","",1-M1134)</x:f>
      </x:c>
      <x:c r="P1134" s="10" t="str">
        <x:f>IF(OR(NOT(AND(J1134="PASS",'Calibrare_Linii'!U14="VALID")),AK1134=0),""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*('Istoric_Nativ'!$Q$6:$Q$405&gt;H1134))/AK1134)</x:f>
      </x:c>
      <x:c r="Q1134" s="10" t="str">
        <x:f>IF(OR(NOT(AND(J1134="PASS",'Calibrare_Linii'!U14="VALID")),AL1134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M86)+((('Istoric_Nativ'!$E$6:$E$405='Input_Meci'!E86)+('Istoric_Nativ'!$F$6:$F$405='Input_Meci'!E86))&gt;0)*('Istoric_Nativ'!$D$6:$D$405&gt;='Motor_Meciuri'!BN86))&gt;0)*('Istoric_Nativ'!$Q$6:$Q$405&gt;H1134))/AL1134)</x:f>
      </x:c>
      <x:c r="R1134" s="10" t="str">
        <x:f>IF(OR(NOT(AND(J1134="PASS",'Calibrare_Linii'!U14="VALID")),AM1134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O86)+((('Istoric_Nativ'!$E$6:$E$405='Input_Meci'!E86)+('Istoric_Nativ'!$F$6:$F$405='Input_Meci'!E86))&gt;0)*('Istoric_Nativ'!$D$6:$D$405&gt;='Motor_Meciuri'!BP86))&gt;0)*('Istoric_Nativ'!$Q$6:$Q$405&gt;H1134))/AM1134)</x:f>
      </x:c>
      <x:c r="S1134" s="10" t="str">
        <x:f>IF(M1134="","",MAX(O1134,P1134,Q1134,R1134))</x:f>
      </x:c>
      <x:c r="T1134" s="11" t="str">
        <x:f>IF(M1134="","",MIN(100,S1134*100*'Config_v6'!$B$44+MIN(100,L1134/'Config_v6'!$B$13*100)*'Config_v6'!$B$45+(100-'Motor_Meciuri'!BF86)*'Config_v6'!$B$46+'Motor_Meciuri'!BH86*100*'Config_v6'!$B$47))</x:f>
      </x:c>
      <x:c r="U1134" s="2" t="str">
        <x:f>IF(T1134="","",IF(T1134&lt;=20,1,IF(T1134&lt;=40,2,IF(T1134&lt;=60,3,IF(T1134&lt;=80,4,5)))))</x:f>
      </x:c>
      <x:c r="V1134" s="2" t="str">
        <x:f>IF(M1134="","",MAX(0,'Motor_Meciuri'!BF86-IF(W1134="OOS PENDING",'Config_v6'!$B$35,0)-IF(L1134&gt;'Config_v6'!$B$12,'Config_v6'!$B$37,IF(L1134&gt;'Config_v6'!$B$11,'Config_v6'!$B$36,0))))</x:f>
      </x:c>
      <x:c r="W1134" s="2" t="str">
        <x:f>IF(B1134="","",IF(I1134&lt;&gt;"READY","NOT RELEASED",IF(NOT(AND(J1134="PASS",'Calibrare_Linii'!U14="VALID")),"INVALID",IF(NOT(AND('Calibrare_Linii'!S14="VALIDATED",AND('Calibrare_Linii'!H14=C1134,ISNUMBER('Calibrare_Linii'!J14),'Calibrare_Linii'!J14&lt;='Input_Meci'!G86))),"OOS PENDING",IF(S1134&lt;='Calibrare_Linii'!E14,"PASS",IF(S1134&lt;='Calibrare_Linii'!F14,"PENALTY","WATCH"))))))</x:f>
      </x:c>
      <x:c r="X1134" s="2" t="str">
        <x:f>IF(M1134="","",IF(AND(AND(J1134="PASS",'Calibrare_Linii'!U14="VALID"),'Motor_Meciuri'!K86=12,'Motor_Meciuri'!L86=12,'Motor_Meciuri'!M86="NO",'Motor_Meciuri'!BL86='Motor_Meciuri'!C86,AB1134&gt;='Config_v6'!$B$50,AN1134&gt;='Config_v6'!$B$51,T1134&lt;='Config_v6'!$B$52,L1134&lt;='Config_v6'!$B$53,ISNUMBER('Calibrare_Linii'!E14),S1134&lt;='Calibrare_Linii'!E14,SUM(AK1134:AM1134)&gt;0),"CANDIDATE","NO"))</x:f>
      </x:c>
      <x:c r="Y1134" s="2" t="str">
        <x:f>IF(B1134="","",IF(I1134&lt;&gt;"READY","NOT RELEASED",IF(AND(X1134="CANDIDATE",V1134&gt;='Config_v6'!$B$51,W1134="PASS",'Calibrare_Linii'!T14="VALIDATED",AND('Calibrare_Linii'!H14=C1134,ISNUMBER('Calibrare_Linii'!J14),'Calibrare_Linii'!J14&lt;='Input_Meci'!G86)),"PASS",IF(X1134="CANDIDATE","OOS PENDING","FAIL"))))</x:f>
      </x:c>
      <x:c r="Z1134" s="2" t="str">
        <x:f>IF(B1134="","",IF(I1134&lt;&gt;"READY","",IF(OR(NOT(AND(J1134="PASS",'Calibrare_Linii'!U14="VALID")),L1134&gt;'Config_v6'!$B$13,W1134="WATCH"),5,IF(Y1134="PASS",1,MIN(5,MAX('Config_v6'!$B$42,U1134)+IF(W1134="PENALTY",1,0))))))</x:f>
      </x:c>
      <x:c r="AA1134" s="2" t="str">
        <x:f>IF(B1134="","",IF(I1134&lt;&gt;"READY","NOT RELEASED",IF(Z1134=5,"NO BET",IF(OR(AB1134&lt;'Config_v6'!$B$16,V1134&lt;'Config_v6'!$B$18),"WATCH",IF(Z1134=1,"DEFENSIV",IF(Z1134=2,"PRUDENT",IF(Z1134=3,"MODERAT","RIDICAT")))))))</x:f>
      </x:c>
      <x:c r="AB1134" s="10" t="str">
        <x:f>IF(N1134="","",MIN(N1134,1-S1134))</x:f>
      </x:c>
      <x:c r="AC1134" s="2" t="str">
        <x:f>IF(AD1134&lt;&gt;1,"",COUNTIFS($Z$1126:$Z$1139,"&lt;"&amp;Z1134,$AD$1126:$AD$1139,1)+COUNTIFS($Z$1126:$Z$1139,Z1134,$AB$1126:$AB$1139,"&gt;"&amp;AB1134,$AD$1126:$AD$1139,1)+COUNTIFS($Z$1126:$Z$1139,Z1134,$AB$1126:$AB$1139,AB1134,$V$1126:$V$1139,"&gt;"&amp;V1134,$AD$1126:$AD$1139,1)+COUNTIFS($Z$1126:Z1134,Z1134,$AB$1126:AB1134,AB1134,$V$1126:V1134,V1134,$AD$1126:AD1134,1))</x:f>
      </x:c>
      <x:c r="AD1134" s="2" t="n">
        <x:f>IF(OR(AA1134="DEFENSIV",AA1134="PRUDENT",AA1134="MODERAT",AA1134="RIDICAT"),1,0)</x:f>
        <x:v>0</x:v>
      </x:c>
      <x:c r="AE1134" s="2" t="str">
        <x:f>IF(AD1134&lt;&gt;1,"NO",IF(W1134="PASS","YES",IF(W1134="OOS PENDING","CONDITIONAL","NO")))</x:f>
        <x:v>NO</x:v>
      </x:c>
      <x:c r="AF1134" s="2" t="n">
        <x:f>IF(AND(AD1134=1,AC1134=1,E1134="LIVE"),1,0)</x:f>
        <x:v>0</x:v>
      </x:c>
      <x:c r="AG1134" s="2" t="str">
        <x:f>IF(AF1134&lt;&gt;1,"",'Dashboard'!P106)</x:f>
      </x:c>
      <x:c r="AH1134" s="2" t="str">
        <x:f>IF(B1134="","",IF(J1134&lt;&gt;"PASS",'Motor_Meciuri'!J86,IF('Calibrare_Linii'!U14&lt;&gt;"VALID","Parametri linie invalizi",IF(L1134&gt;'Config_v6'!$B$13,"Dispersie peste limita",IF(W1134="WATCH","Failure peste limita",IF(AB1134&lt;'Config_v6'!$B$16,"P finala sub prag",IF(V1134&lt;'Config_v6'!$B$18,"Confidence sub prag",IF(E1134="REPLAY","Exemplu retrospectiv; exclus din Top LIVE",IF(Y1134="PASS","DEFENSIV validat",IF(W1134="OOS PENDING","Eligibil; calibrare linie in monitorizare","Eligibil"))))))))))</x:f>
      </x:c>
      <x:c r="AI1134" s="2" t="str">
        <x:f>IF(B1134="","",'Calibrare_Linii'!V14)</x:f>
      </x:c>
      <x:c r="AJ1134" s="2" t="str">
        <x:f>IF(B1134="","",IF(AND('Calibrare_Linii'!T14="VALIDATED",AND('Calibrare_Linii'!H14=C1134,ISNUMBER('Calibrare_Linii'!J14),'Calibrare_Linii'!J14&lt;='Input_Meci'!G86)),"DEFENSIVE VALIDATED",IF(AND('Calibrare_Linii'!S14="VALIDATED",AND('Calibrare_Linii'!H14=C1134,ISNUMBER('Calibrare_Linii'!J14),'Calibrare_Linii'!J14&lt;='Input_Meci'!G86)),"TAIL VALIDATED","OOS PENDING")))</x:f>
      </x:c>
      <x:c r="AK1134" s="2" t="n">
        <x:f>IF(J1134&lt;&gt;"PASS",0,'Motor_Meciuri'!BR86)</x:f>
        <x:v>0</x:v>
      </x:c>
      <x:c r="AL1134" s="2" t="n">
        <x:f>IF(J1134&lt;&gt;"PASS",0,'Motor_Meciuri'!BS86)</x:f>
        <x:v>0</x:v>
      </x:c>
      <x:c r="AM1134" s="2" t="n">
        <x:f>IF(J1134&lt;&gt;"PASS",0,'Motor_Meciuri'!BT86)</x:f>
        <x:v>0</x:v>
      </x:c>
      <x:c r="AN1134" s="2" t="str">
        <x:f>IF(M1134="","",MAX(0,'Motor_Meciuri'!BF86-IF(L1134&gt;'Config_v6'!$B$12,'Config_v6'!$B$37,IF(L1134&gt;'Config_v6'!$B$11,'Config_v6'!$B$36,0))))</x:f>
      </x:c>
    </x:row>
    <x:row r="1135" ht="21" customHeight="1">
      <x:c r="A1135" s="2" t="n">
        <x:v>81</x:v>
      </x:c>
      <x:c r="B1135" s="2" t="str">
        <x:f>IF('Motor_Meciuri'!A86="","",'Motor_Meciuri'!A86)</x:f>
      </x:c>
      <x:c r="C1135" s="2" t="str">
        <x:f>IF(B1135="","",'Motor_Meciuri'!B86)</x:f>
      </x:c>
      <x:c r="D1135" s="2" t="str">
        <x:f>IF(B1135="","",'Motor_Meciuri'!D86)</x:f>
      </x:c>
      <x:c r="E1135" s="2" t="str">
        <x:f>IF(B1135="","",'Motor_Meciuri'!E86)</x:f>
      </x:c>
      <x:c r="F1135" s="2" t="str">
        <x:v>U13,5</x:v>
      </x:c>
      <x:c r="G1135" s="2" t="str">
        <x:v>UNDER</x:v>
      </x:c>
      <x:c r="H1135" s="2" t="n">
        <x:v>13</x:v>
      </x:c>
      <x:c r="I1135" s="2" t="str">
        <x:f>IF(B1135="","",'Motor_Meciuri'!H86)</x:f>
      </x:c>
      <x:c r="J1135" s="2" t="str">
        <x:f>IF(B1135="","",'Motor_Meciuri'!I86)</x:f>
      </x:c>
      <x:c r="K1135" s="11" t="str">
        <x:f>IF(J1135&lt;&gt;"PASS","",'Motor_Meciuri'!BD86)</x:f>
      </x:c>
      <x:c r="L1135" s="11" t="str">
        <x:f>IF(J1135&lt;&gt;"PASS","",'Motor_Meciuri'!AU86)</x:f>
      </x:c>
      <x:c r="M1135" s="10" t="str">
        <x:f>IF(NOT(AND(J1135="PASS",'Calibrare_Linii'!U15="VALID")),"",'Distributie'!AK86)</x:f>
      </x:c>
      <x:c r="N1135" s="10" t="str">
        <x:f>IF(M1135="","",MAX(0.01,MIN(0.99,0.5+(M1135-0.5)*'Motor_Meciuri'!BG86*'Calibrare_Linii'!D15)))</x:f>
      </x:c>
      <x:c r="O1135" s="10" t="str">
        <x:f>IF(M1135="","",1-M1135)</x:f>
      </x:c>
      <x:c r="P1135" s="10" t="str">
        <x:f>IF(OR(NOT(AND(J1135="PASS",'Calibrare_Linii'!U15="VALID")),AK1135=0),""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*('Istoric_Nativ'!$Q$6:$Q$405&gt;H1135))/AK1135)</x:f>
      </x:c>
      <x:c r="Q1135" s="10" t="str">
        <x:f>IF(OR(NOT(AND(J1135="PASS",'Calibrare_Linii'!U15="VALID")),AL1135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M86)+((('Istoric_Nativ'!$E$6:$E$405='Input_Meci'!E86)+('Istoric_Nativ'!$F$6:$F$405='Input_Meci'!E86))&gt;0)*('Istoric_Nativ'!$D$6:$D$405&gt;='Motor_Meciuri'!BN86))&gt;0)*('Istoric_Nativ'!$Q$6:$Q$405&gt;H1135))/AL1135)</x:f>
      </x:c>
      <x:c r="R1135" s="10" t="str">
        <x:f>IF(OR(NOT(AND(J1135="PASS",'Calibrare_Linii'!U15="VALID")),AM1135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O86)+((('Istoric_Nativ'!$E$6:$E$405='Input_Meci'!E86)+('Istoric_Nativ'!$F$6:$F$405='Input_Meci'!E86))&gt;0)*('Istoric_Nativ'!$D$6:$D$405&gt;='Motor_Meciuri'!BP86))&gt;0)*('Istoric_Nativ'!$Q$6:$Q$405&gt;H1135))/AM1135)</x:f>
      </x:c>
      <x:c r="S1135" s="10" t="str">
        <x:f>IF(M1135="","",MAX(O1135,P1135,Q1135,R1135))</x:f>
      </x:c>
      <x:c r="T1135" s="11" t="str">
        <x:f>IF(M1135="","",MIN(100,S1135*100*'Config_v6'!$B$44+MIN(100,L1135/'Config_v6'!$B$13*100)*'Config_v6'!$B$45+(100-'Motor_Meciuri'!BF86)*'Config_v6'!$B$46+'Motor_Meciuri'!BH86*100*'Config_v6'!$B$47))</x:f>
      </x:c>
      <x:c r="U1135" s="2" t="str">
        <x:f>IF(T1135="","",IF(T1135&lt;=20,1,IF(T1135&lt;=40,2,IF(T1135&lt;=60,3,IF(T1135&lt;=80,4,5)))))</x:f>
      </x:c>
      <x:c r="V1135" s="2" t="str">
        <x:f>IF(M1135="","",MAX(0,'Motor_Meciuri'!BF86-IF(W1135="OOS PENDING",'Config_v6'!$B$35,0)-IF(L1135&gt;'Config_v6'!$B$12,'Config_v6'!$B$37,IF(L1135&gt;'Config_v6'!$B$11,'Config_v6'!$B$36,0))))</x:f>
      </x:c>
      <x:c r="W1135" s="2" t="str">
        <x:f>IF(B1135="","",IF(I1135&lt;&gt;"READY","NOT RELEASED",IF(NOT(AND(J1135="PASS",'Calibrare_Linii'!U15="VALID")),"INVALID",IF(NOT(AND('Calibrare_Linii'!S15="VALIDATED",AND('Calibrare_Linii'!H15=C1135,ISNUMBER('Calibrare_Linii'!J15),'Calibrare_Linii'!J15&lt;='Input_Meci'!G86))),"OOS PENDING",IF(S1135&lt;='Calibrare_Linii'!E15,"PASS",IF(S1135&lt;='Calibrare_Linii'!F15,"PENALTY","WATCH"))))))</x:f>
      </x:c>
      <x:c r="X1135" s="2" t="str">
        <x:f>IF(M1135="","",IF(AND(AND(J1135="PASS",'Calibrare_Linii'!U15="VALID"),'Motor_Meciuri'!K86=12,'Motor_Meciuri'!L86=12,'Motor_Meciuri'!M86="NO",'Motor_Meciuri'!BL86='Motor_Meciuri'!C86,AB1135&gt;='Config_v6'!$B$50,AN1135&gt;='Config_v6'!$B$51,T1135&lt;='Config_v6'!$B$52,L1135&lt;='Config_v6'!$B$53,ISNUMBER('Calibrare_Linii'!E15),S1135&lt;='Calibrare_Linii'!E15,SUM(AK1135:AM1135)&gt;0),"CANDIDATE","NO"))</x:f>
      </x:c>
      <x:c r="Y1135" s="2" t="str">
        <x:f>IF(B1135="","",IF(I1135&lt;&gt;"READY","NOT RELEASED",IF(AND(X1135="CANDIDATE",V1135&gt;='Config_v6'!$B$51,W1135="PASS",'Calibrare_Linii'!T15="VALIDATED",AND('Calibrare_Linii'!H15=C1135,ISNUMBER('Calibrare_Linii'!J15),'Calibrare_Linii'!J15&lt;='Input_Meci'!G86)),"PASS",IF(X1135="CANDIDATE","OOS PENDING","FAIL"))))</x:f>
      </x:c>
      <x:c r="Z1135" s="2" t="str">
        <x:f>IF(B1135="","",IF(I1135&lt;&gt;"READY","",IF(OR(NOT(AND(J1135="PASS",'Calibrare_Linii'!U15="VALID")),L1135&gt;'Config_v6'!$B$13,W1135="WATCH"),5,IF(Y1135="PASS",1,MIN(5,MAX('Config_v6'!$B$42,U1135)+IF(W1135="PENALTY",1,0))))))</x:f>
      </x:c>
      <x:c r="AA1135" s="2" t="str">
        <x:f>IF(B1135="","",IF(I1135&lt;&gt;"READY","NOT RELEASED",IF(Z1135=5,"NO BET",IF(OR(AB1135&lt;'Config_v6'!$B$16,V1135&lt;'Config_v6'!$B$18),"WATCH",IF(Z1135=1,"DEFENSIV",IF(Z1135=2,"PRUDENT",IF(Z1135=3,"MODERAT","RIDICAT")))))))</x:f>
      </x:c>
      <x:c r="AB1135" s="10" t="str">
        <x:f>IF(N1135="","",MIN(N1135,1-S1135))</x:f>
      </x:c>
      <x:c r="AC1135" s="2" t="str">
        <x:f>IF(AD1135&lt;&gt;1,"",COUNTIFS($Z$1126:$Z$1139,"&lt;"&amp;Z1135,$AD$1126:$AD$1139,1)+COUNTIFS($Z$1126:$Z$1139,Z1135,$AB$1126:$AB$1139,"&gt;"&amp;AB1135,$AD$1126:$AD$1139,1)+COUNTIFS($Z$1126:$Z$1139,Z1135,$AB$1126:$AB$1139,AB1135,$V$1126:$V$1139,"&gt;"&amp;V1135,$AD$1126:$AD$1139,1)+COUNTIFS($Z$1126:Z1135,Z1135,$AB$1126:AB1135,AB1135,$V$1126:V1135,V1135,$AD$1126:AD1135,1))</x:f>
      </x:c>
      <x:c r="AD1135" s="2" t="n">
        <x:f>IF(OR(AA1135="DEFENSIV",AA1135="PRUDENT",AA1135="MODERAT",AA1135="RIDICAT"),1,0)</x:f>
        <x:v>0</x:v>
      </x:c>
      <x:c r="AE1135" s="2" t="str">
        <x:f>IF(AD1135&lt;&gt;1,"NO",IF(W1135="PASS","YES",IF(W1135="OOS PENDING","CONDITIONAL","NO")))</x:f>
        <x:v>NO</x:v>
      </x:c>
      <x:c r="AF1135" s="2" t="n">
        <x:f>IF(AND(AD1135=1,AC1135=1,E1135="LIVE"),1,0)</x:f>
        <x:v>0</x:v>
      </x:c>
      <x:c r="AG1135" s="2" t="str">
        <x:f>IF(AF1135&lt;&gt;1,"",'Dashboard'!P106)</x:f>
      </x:c>
      <x:c r="AH1135" s="2" t="str">
        <x:f>IF(B1135="","",IF(J1135&lt;&gt;"PASS",'Motor_Meciuri'!J86,IF('Calibrare_Linii'!U15&lt;&gt;"VALID","Parametri linie invalizi",IF(L1135&gt;'Config_v6'!$B$13,"Dispersie peste limita",IF(W1135="WATCH","Failure peste limita",IF(AB1135&lt;'Config_v6'!$B$16,"P finala sub prag",IF(V1135&lt;'Config_v6'!$B$18,"Confidence sub prag",IF(E1135="REPLAY","Exemplu retrospectiv; exclus din Top LIVE",IF(Y1135="PASS","DEFENSIV validat",IF(W1135="OOS PENDING","Eligibil; calibrare linie in monitorizare","Eligibil"))))))))))</x:f>
      </x:c>
      <x:c r="AI1135" s="2" t="str">
        <x:f>IF(B1135="","",'Calibrare_Linii'!V15)</x:f>
      </x:c>
      <x:c r="AJ1135" s="2" t="str">
        <x:f>IF(B1135="","",IF(AND('Calibrare_Linii'!T15="VALIDATED",AND('Calibrare_Linii'!H15=C1135,ISNUMBER('Calibrare_Linii'!J15),'Calibrare_Linii'!J15&lt;='Input_Meci'!G86)),"DEFENSIVE VALIDATED",IF(AND('Calibrare_Linii'!S15="VALIDATED",AND('Calibrare_Linii'!H15=C1135,ISNUMBER('Calibrare_Linii'!J15),'Calibrare_Linii'!J15&lt;='Input_Meci'!G86)),"TAIL VALIDATED","OOS PENDING")))</x:f>
      </x:c>
      <x:c r="AK1135" s="2" t="n">
        <x:f>IF(J1135&lt;&gt;"PASS",0,'Motor_Meciuri'!BR86)</x:f>
        <x:v>0</x:v>
      </x:c>
      <x:c r="AL1135" s="2" t="n">
        <x:f>IF(J1135&lt;&gt;"PASS",0,'Motor_Meciuri'!BS86)</x:f>
        <x:v>0</x:v>
      </x:c>
      <x:c r="AM1135" s="2" t="n">
        <x:f>IF(J1135&lt;&gt;"PASS",0,'Motor_Meciuri'!BT86)</x:f>
        <x:v>0</x:v>
      </x:c>
      <x:c r="AN1135" s="2" t="str">
        <x:f>IF(M1135="","",MAX(0,'Motor_Meciuri'!BF86-IF(L1135&gt;'Config_v6'!$B$12,'Config_v6'!$B$37,IF(L1135&gt;'Config_v6'!$B$11,'Config_v6'!$B$36,0))))</x:f>
      </x:c>
    </x:row>
    <x:row r="1136" ht="21" customHeight="1">
      <x:c r="A1136" s="2" t="n">
        <x:v>81</x:v>
      </x:c>
      <x:c r="B1136" s="2" t="str">
        <x:f>IF('Motor_Meciuri'!A86="","",'Motor_Meciuri'!A86)</x:f>
      </x:c>
      <x:c r="C1136" s="2" t="str">
        <x:f>IF(B1136="","",'Motor_Meciuri'!B86)</x:f>
      </x:c>
      <x:c r="D1136" s="2" t="str">
        <x:f>IF(B1136="","",'Motor_Meciuri'!D86)</x:f>
      </x:c>
      <x:c r="E1136" s="2" t="str">
        <x:f>IF(B1136="","",'Motor_Meciuri'!E86)</x:f>
      </x:c>
      <x:c r="F1136" s="2" t="str">
        <x:v>U14,5</x:v>
      </x:c>
      <x:c r="G1136" s="2" t="str">
        <x:v>UNDER</x:v>
      </x:c>
      <x:c r="H1136" s="2" t="n">
        <x:v>14</x:v>
      </x:c>
      <x:c r="I1136" s="2" t="str">
        <x:f>IF(B1136="","",'Motor_Meciuri'!H86)</x:f>
      </x:c>
      <x:c r="J1136" s="2" t="str">
        <x:f>IF(B1136="","",'Motor_Meciuri'!I86)</x:f>
      </x:c>
      <x:c r="K1136" s="11" t="str">
        <x:f>IF(J1136&lt;&gt;"PASS","",'Motor_Meciuri'!BD86)</x:f>
      </x:c>
      <x:c r="L1136" s="11" t="str">
        <x:f>IF(J1136&lt;&gt;"PASS","",'Motor_Meciuri'!AU86)</x:f>
      </x:c>
      <x:c r="M1136" s="10" t="str">
        <x:f>IF(NOT(AND(J1136="PASS",'Calibrare_Linii'!U16="VALID")),"",'Distributie'!AL86)</x:f>
      </x:c>
      <x:c r="N1136" s="10" t="str">
        <x:f>IF(M1136="","",MAX(0.01,MIN(0.99,0.5+(M1136-0.5)*'Motor_Meciuri'!BG86*'Calibrare_Linii'!D16)))</x:f>
      </x:c>
      <x:c r="O1136" s="10" t="str">
        <x:f>IF(M1136="","",1-M1136)</x:f>
      </x:c>
      <x:c r="P1136" s="10" t="str">
        <x:f>IF(OR(NOT(AND(J1136="PASS",'Calibrare_Linii'!U16="VALID")),AK1136=0),""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*('Istoric_Nativ'!$Q$6:$Q$405&gt;H1136))/AK1136)</x:f>
      </x:c>
      <x:c r="Q1136" s="10" t="str">
        <x:f>IF(OR(NOT(AND(J1136="PASS",'Calibrare_Linii'!U16="VALID")),AL1136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M86)+((('Istoric_Nativ'!$E$6:$E$405='Input_Meci'!E86)+('Istoric_Nativ'!$F$6:$F$405='Input_Meci'!E86))&gt;0)*('Istoric_Nativ'!$D$6:$D$405&gt;='Motor_Meciuri'!BN86))&gt;0)*('Istoric_Nativ'!$Q$6:$Q$405&gt;H1136))/AL1136)</x:f>
      </x:c>
      <x:c r="R1136" s="10" t="str">
        <x:f>IF(OR(NOT(AND(J1136="PASS",'Calibrare_Linii'!U16="VALID")),AM1136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O86)+((('Istoric_Nativ'!$E$6:$E$405='Input_Meci'!E86)+('Istoric_Nativ'!$F$6:$F$405='Input_Meci'!E86))&gt;0)*('Istoric_Nativ'!$D$6:$D$405&gt;='Motor_Meciuri'!BP86))&gt;0)*('Istoric_Nativ'!$Q$6:$Q$405&gt;H1136))/AM1136)</x:f>
      </x:c>
      <x:c r="S1136" s="10" t="str">
        <x:f>IF(M1136="","",MAX(O1136,P1136,Q1136,R1136))</x:f>
      </x:c>
      <x:c r="T1136" s="11" t="str">
        <x:f>IF(M1136="","",MIN(100,S1136*100*'Config_v6'!$B$44+MIN(100,L1136/'Config_v6'!$B$13*100)*'Config_v6'!$B$45+(100-'Motor_Meciuri'!BF86)*'Config_v6'!$B$46+'Motor_Meciuri'!BH86*100*'Config_v6'!$B$47))</x:f>
      </x:c>
      <x:c r="U1136" s="2" t="str">
        <x:f>IF(T1136="","",IF(T1136&lt;=20,1,IF(T1136&lt;=40,2,IF(T1136&lt;=60,3,IF(T1136&lt;=80,4,5)))))</x:f>
      </x:c>
      <x:c r="V1136" s="2" t="str">
        <x:f>IF(M1136="","",MAX(0,'Motor_Meciuri'!BF86-IF(W1136="OOS PENDING",'Config_v6'!$B$35,0)-IF(L1136&gt;'Config_v6'!$B$12,'Config_v6'!$B$37,IF(L1136&gt;'Config_v6'!$B$11,'Config_v6'!$B$36,0))))</x:f>
      </x:c>
      <x:c r="W1136" s="2" t="str">
        <x:f>IF(B1136="","",IF(I1136&lt;&gt;"READY","NOT RELEASED",IF(NOT(AND(J1136="PASS",'Calibrare_Linii'!U16="VALID")),"INVALID",IF(NOT(AND('Calibrare_Linii'!S16="VALIDATED",AND('Calibrare_Linii'!H16=C1136,ISNUMBER('Calibrare_Linii'!J16),'Calibrare_Linii'!J16&lt;='Input_Meci'!G86))),"OOS PENDING",IF(S1136&lt;='Calibrare_Linii'!E16,"PASS",IF(S1136&lt;='Calibrare_Linii'!F16,"PENALTY","WATCH"))))))</x:f>
      </x:c>
      <x:c r="X1136" s="2" t="str">
        <x:f>IF(M1136="","",IF(AND(AND(J1136="PASS",'Calibrare_Linii'!U16="VALID"),'Motor_Meciuri'!K86=12,'Motor_Meciuri'!L86=12,'Motor_Meciuri'!M86="NO",'Motor_Meciuri'!BL86='Motor_Meciuri'!C86,AB1136&gt;='Config_v6'!$B$50,AN1136&gt;='Config_v6'!$B$51,T1136&lt;='Config_v6'!$B$52,L1136&lt;='Config_v6'!$B$53,ISNUMBER('Calibrare_Linii'!E16),S1136&lt;='Calibrare_Linii'!E16,SUM(AK1136:AM1136)&gt;0),"CANDIDATE","NO"))</x:f>
      </x:c>
      <x:c r="Y1136" s="2" t="str">
        <x:f>IF(B1136="","",IF(I1136&lt;&gt;"READY","NOT RELEASED",IF(AND(X1136="CANDIDATE",V1136&gt;='Config_v6'!$B$51,W1136="PASS",'Calibrare_Linii'!T16="VALIDATED",AND('Calibrare_Linii'!H16=C1136,ISNUMBER('Calibrare_Linii'!J16),'Calibrare_Linii'!J16&lt;='Input_Meci'!G86)),"PASS",IF(X1136="CANDIDATE","OOS PENDING","FAIL"))))</x:f>
      </x:c>
      <x:c r="Z1136" s="2" t="str">
        <x:f>IF(B1136="","",IF(I1136&lt;&gt;"READY","",IF(OR(NOT(AND(J1136="PASS",'Calibrare_Linii'!U16="VALID")),L1136&gt;'Config_v6'!$B$13,W1136="WATCH"),5,IF(Y1136="PASS",1,MIN(5,MAX('Config_v6'!$B$42,U1136)+IF(W1136="PENALTY",1,0))))))</x:f>
      </x:c>
      <x:c r="AA1136" s="2" t="str">
        <x:f>IF(B1136="","",IF(I1136&lt;&gt;"READY","NOT RELEASED",IF(Z1136=5,"NO BET",IF(OR(AB1136&lt;'Config_v6'!$B$16,V1136&lt;'Config_v6'!$B$18),"WATCH",IF(Z1136=1,"DEFENSIV",IF(Z1136=2,"PRUDENT",IF(Z1136=3,"MODERAT","RIDICAT")))))))</x:f>
      </x:c>
      <x:c r="AB1136" s="10" t="str">
        <x:f>IF(N1136="","",MIN(N1136,1-S1136))</x:f>
      </x:c>
      <x:c r="AC1136" s="2" t="str">
        <x:f>IF(AD1136&lt;&gt;1,"",COUNTIFS($Z$1126:$Z$1139,"&lt;"&amp;Z1136,$AD$1126:$AD$1139,1)+COUNTIFS($Z$1126:$Z$1139,Z1136,$AB$1126:$AB$1139,"&gt;"&amp;AB1136,$AD$1126:$AD$1139,1)+COUNTIFS($Z$1126:$Z$1139,Z1136,$AB$1126:$AB$1139,AB1136,$V$1126:$V$1139,"&gt;"&amp;V1136,$AD$1126:$AD$1139,1)+COUNTIFS($Z$1126:Z1136,Z1136,$AB$1126:AB1136,AB1136,$V$1126:V1136,V1136,$AD$1126:AD1136,1))</x:f>
      </x:c>
      <x:c r="AD1136" s="2" t="n">
        <x:f>IF(OR(AA1136="DEFENSIV",AA1136="PRUDENT",AA1136="MODERAT",AA1136="RIDICAT"),1,0)</x:f>
        <x:v>0</x:v>
      </x:c>
      <x:c r="AE1136" s="2" t="str">
        <x:f>IF(AD1136&lt;&gt;1,"NO",IF(W1136="PASS","YES",IF(W1136="OOS PENDING","CONDITIONAL","NO")))</x:f>
        <x:v>NO</x:v>
      </x:c>
      <x:c r="AF1136" s="2" t="n">
        <x:f>IF(AND(AD1136=1,AC1136=1,E1136="LIVE"),1,0)</x:f>
        <x:v>0</x:v>
      </x:c>
      <x:c r="AG1136" s="2" t="str">
        <x:f>IF(AF1136&lt;&gt;1,"",'Dashboard'!P106)</x:f>
      </x:c>
      <x:c r="AH1136" s="2" t="str">
        <x:f>IF(B1136="","",IF(J1136&lt;&gt;"PASS",'Motor_Meciuri'!J86,IF('Calibrare_Linii'!U16&lt;&gt;"VALID","Parametri linie invalizi",IF(L1136&gt;'Config_v6'!$B$13,"Dispersie peste limita",IF(W1136="WATCH","Failure peste limita",IF(AB1136&lt;'Config_v6'!$B$16,"P finala sub prag",IF(V1136&lt;'Config_v6'!$B$18,"Confidence sub prag",IF(E1136="REPLAY","Exemplu retrospectiv; exclus din Top LIVE",IF(Y1136="PASS","DEFENSIV validat",IF(W1136="OOS PENDING","Eligibil; calibrare linie in monitorizare","Eligibil"))))))))))</x:f>
      </x:c>
      <x:c r="AI1136" s="2" t="str">
        <x:f>IF(B1136="","",'Calibrare_Linii'!V16)</x:f>
      </x:c>
      <x:c r="AJ1136" s="2" t="str">
        <x:f>IF(B1136="","",IF(AND('Calibrare_Linii'!T16="VALIDATED",AND('Calibrare_Linii'!H16=C1136,ISNUMBER('Calibrare_Linii'!J16),'Calibrare_Linii'!J16&lt;='Input_Meci'!G86)),"DEFENSIVE VALIDATED",IF(AND('Calibrare_Linii'!S16="VALIDATED",AND('Calibrare_Linii'!H16=C1136,ISNUMBER('Calibrare_Linii'!J16),'Calibrare_Linii'!J16&lt;='Input_Meci'!G86)),"TAIL VALIDATED","OOS PENDING")))</x:f>
      </x:c>
      <x:c r="AK1136" s="2" t="n">
        <x:f>IF(J1136&lt;&gt;"PASS",0,'Motor_Meciuri'!BR86)</x:f>
        <x:v>0</x:v>
      </x:c>
      <x:c r="AL1136" s="2" t="n">
        <x:f>IF(J1136&lt;&gt;"PASS",0,'Motor_Meciuri'!BS86)</x:f>
        <x:v>0</x:v>
      </x:c>
      <x:c r="AM1136" s="2" t="n">
        <x:f>IF(J1136&lt;&gt;"PASS",0,'Motor_Meciuri'!BT86)</x:f>
        <x:v>0</x:v>
      </x:c>
      <x:c r="AN1136" s="2" t="str">
        <x:f>IF(M1136="","",MAX(0,'Motor_Meciuri'!BF86-IF(L1136&gt;'Config_v6'!$B$12,'Config_v6'!$B$37,IF(L1136&gt;'Config_v6'!$B$11,'Config_v6'!$B$36,0))))</x:f>
      </x:c>
    </x:row>
    <x:row r="1137" ht="21" customHeight="1">
      <x:c r="A1137" s="2" t="n">
        <x:v>81</x:v>
      </x:c>
      <x:c r="B1137" s="2" t="str">
        <x:f>IF('Motor_Meciuri'!A86="","",'Motor_Meciuri'!A86)</x:f>
      </x:c>
      <x:c r="C1137" s="2" t="str">
        <x:f>IF(B1137="","",'Motor_Meciuri'!B86)</x:f>
      </x:c>
      <x:c r="D1137" s="2" t="str">
        <x:f>IF(B1137="","",'Motor_Meciuri'!D86)</x:f>
      </x:c>
      <x:c r="E1137" s="2" t="str">
        <x:f>IF(B1137="","",'Motor_Meciuri'!E86)</x:f>
      </x:c>
      <x:c r="F1137" s="2" t="str">
        <x:v>U15,5</x:v>
      </x:c>
      <x:c r="G1137" s="2" t="str">
        <x:v>UNDER</x:v>
      </x:c>
      <x:c r="H1137" s="2" t="n">
        <x:v>15</x:v>
      </x:c>
      <x:c r="I1137" s="2" t="str">
        <x:f>IF(B1137="","",'Motor_Meciuri'!H86)</x:f>
      </x:c>
      <x:c r="J1137" s="2" t="str">
        <x:f>IF(B1137="","",'Motor_Meciuri'!I86)</x:f>
      </x:c>
      <x:c r="K1137" s="11" t="str">
        <x:f>IF(J1137&lt;&gt;"PASS","",'Motor_Meciuri'!BD86)</x:f>
      </x:c>
      <x:c r="L1137" s="11" t="str">
        <x:f>IF(J1137&lt;&gt;"PASS","",'Motor_Meciuri'!AU86)</x:f>
      </x:c>
      <x:c r="M1137" s="10" t="str">
        <x:f>IF(NOT(AND(J1137="PASS",'Calibrare_Linii'!U17="VALID")),"",'Distributie'!AM86)</x:f>
      </x:c>
      <x:c r="N1137" s="10" t="str">
        <x:f>IF(M1137="","",MAX(0.01,MIN(0.99,0.5+(M1137-0.5)*'Motor_Meciuri'!BG86*'Calibrare_Linii'!D17)))</x:f>
      </x:c>
      <x:c r="O1137" s="10" t="str">
        <x:f>IF(M1137="","",1-M1137)</x:f>
      </x:c>
      <x:c r="P1137" s="10" t="str">
        <x:f>IF(OR(NOT(AND(J1137="PASS",'Calibrare_Linii'!U17="VALID")),AK1137=0),""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*('Istoric_Nativ'!$Q$6:$Q$405&gt;H1137))/AK1137)</x:f>
      </x:c>
      <x:c r="Q1137" s="10" t="str">
        <x:f>IF(OR(NOT(AND(J1137="PASS",'Calibrare_Linii'!U17="VALID")),AL1137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M86)+((('Istoric_Nativ'!$E$6:$E$405='Input_Meci'!E86)+('Istoric_Nativ'!$F$6:$F$405='Input_Meci'!E86))&gt;0)*('Istoric_Nativ'!$D$6:$D$405&gt;='Motor_Meciuri'!BN86))&gt;0)*('Istoric_Nativ'!$Q$6:$Q$405&gt;H1137))/AL1137)</x:f>
      </x:c>
      <x:c r="R1137" s="10" t="str">
        <x:f>IF(OR(NOT(AND(J1137="PASS",'Calibrare_Linii'!U17="VALID")),AM1137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O86)+((('Istoric_Nativ'!$E$6:$E$405='Input_Meci'!E86)+('Istoric_Nativ'!$F$6:$F$405='Input_Meci'!E86))&gt;0)*('Istoric_Nativ'!$D$6:$D$405&gt;='Motor_Meciuri'!BP86))&gt;0)*('Istoric_Nativ'!$Q$6:$Q$405&gt;H1137))/AM1137)</x:f>
      </x:c>
      <x:c r="S1137" s="10" t="str">
        <x:f>IF(M1137="","",MAX(O1137,P1137,Q1137,R1137))</x:f>
      </x:c>
      <x:c r="T1137" s="11" t="str">
        <x:f>IF(M1137="","",MIN(100,S1137*100*'Config_v6'!$B$44+MIN(100,L1137/'Config_v6'!$B$13*100)*'Config_v6'!$B$45+(100-'Motor_Meciuri'!BF86)*'Config_v6'!$B$46+'Motor_Meciuri'!BH86*100*'Config_v6'!$B$47))</x:f>
      </x:c>
      <x:c r="U1137" s="2" t="str">
        <x:f>IF(T1137="","",IF(T1137&lt;=20,1,IF(T1137&lt;=40,2,IF(T1137&lt;=60,3,IF(T1137&lt;=80,4,5)))))</x:f>
      </x:c>
      <x:c r="V1137" s="2" t="str">
        <x:f>IF(M1137="","",MAX(0,'Motor_Meciuri'!BF86-IF(W1137="OOS PENDING",'Config_v6'!$B$35,0)-IF(L1137&gt;'Config_v6'!$B$12,'Config_v6'!$B$37,IF(L1137&gt;'Config_v6'!$B$11,'Config_v6'!$B$36,0))))</x:f>
      </x:c>
      <x:c r="W1137" s="2" t="str">
        <x:f>IF(B1137="","",IF(I1137&lt;&gt;"READY","NOT RELEASED",IF(NOT(AND(J1137="PASS",'Calibrare_Linii'!U17="VALID")),"INVALID",IF(NOT(AND('Calibrare_Linii'!S17="VALIDATED",AND('Calibrare_Linii'!H17=C1137,ISNUMBER('Calibrare_Linii'!J17),'Calibrare_Linii'!J17&lt;='Input_Meci'!G86))),"OOS PENDING",IF(S1137&lt;='Calibrare_Linii'!E17,"PASS",IF(S1137&lt;='Calibrare_Linii'!F17,"PENALTY","WATCH"))))))</x:f>
      </x:c>
      <x:c r="X1137" s="2" t="str">
        <x:f>IF(M1137="","",IF(AND(AND(J1137="PASS",'Calibrare_Linii'!U17="VALID"),'Motor_Meciuri'!K86=12,'Motor_Meciuri'!L86=12,'Motor_Meciuri'!M86="NO",'Motor_Meciuri'!BL86='Motor_Meciuri'!C86,AB1137&gt;='Config_v6'!$B$50,AN1137&gt;='Config_v6'!$B$51,T1137&lt;='Config_v6'!$B$52,L1137&lt;='Config_v6'!$B$53,ISNUMBER('Calibrare_Linii'!E17),S1137&lt;='Calibrare_Linii'!E17,SUM(AK1137:AM1137)&gt;0),"CANDIDATE","NO"))</x:f>
      </x:c>
      <x:c r="Y1137" s="2" t="str">
        <x:f>IF(B1137="","",IF(I1137&lt;&gt;"READY","NOT RELEASED",IF(AND(X1137="CANDIDATE",V1137&gt;='Config_v6'!$B$51,W1137="PASS",'Calibrare_Linii'!T17="VALIDATED",AND('Calibrare_Linii'!H17=C1137,ISNUMBER('Calibrare_Linii'!J17),'Calibrare_Linii'!J17&lt;='Input_Meci'!G86)),"PASS",IF(X1137="CANDIDATE","OOS PENDING","FAIL"))))</x:f>
      </x:c>
      <x:c r="Z1137" s="2" t="str">
        <x:f>IF(B1137="","",IF(I1137&lt;&gt;"READY","",IF(OR(NOT(AND(J1137="PASS",'Calibrare_Linii'!U17="VALID")),L1137&gt;'Config_v6'!$B$13,W1137="WATCH"),5,IF(Y1137="PASS",1,MIN(5,MAX('Config_v6'!$B$42,U1137)+IF(W1137="PENALTY",1,0))))))</x:f>
      </x:c>
      <x:c r="AA1137" s="2" t="str">
        <x:f>IF(B1137="","",IF(I1137&lt;&gt;"READY","NOT RELEASED",IF(Z1137=5,"NO BET",IF(OR(AB1137&lt;'Config_v6'!$B$16,V1137&lt;'Config_v6'!$B$18),"WATCH",IF(Z1137=1,"DEFENSIV",IF(Z1137=2,"PRUDENT",IF(Z1137=3,"MODERAT","RIDICAT")))))))</x:f>
      </x:c>
      <x:c r="AB1137" s="10" t="str">
        <x:f>IF(N1137="","",MIN(N1137,1-S1137))</x:f>
      </x:c>
      <x:c r="AC1137" s="2" t="str">
        <x:f>IF(AD1137&lt;&gt;1,"",COUNTIFS($Z$1126:$Z$1139,"&lt;"&amp;Z1137,$AD$1126:$AD$1139,1)+COUNTIFS($Z$1126:$Z$1139,Z1137,$AB$1126:$AB$1139,"&gt;"&amp;AB1137,$AD$1126:$AD$1139,1)+COUNTIFS($Z$1126:$Z$1139,Z1137,$AB$1126:$AB$1139,AB1137,$V$1126:$V$1139,"&gt;"&amp;V1137,$AD$1126:$AD$1139,1)+COUNTIFS($Z$1126:Z1137,Z1137,$AB$1126:AB1137,AB1137,$V$1126:V1137,V1137,$AD$1126:AD1137,1))</x:f>
      </x:c>
      <x:c r="AD1137" s="2" t="n">
        <x:f>IF(OR(AA1137="DEFENSIV",AA1137="PRUDENT",AA1137="MODERAT",AA1137="RIDICAT"),1,0)</x:f>
        <x:v>0</x:v>
      </x:c>
      <x:c r="AE1137" s="2" t="str">
        <x:f>IF(AD1137&lt;&gt;1,"NO",IF(W1137="PASS","YES",IF(W1137="OOS PENDING","CONDITIONAL","NO")))</x:f>
        <x:v>NO</x:v>
      </x:c>
      <x:c r="AF1137" s="2" t="n">
        <x:f>IF(AND(AD1137=1,AC1137=1,E1137="LIVE"),1,0)</x:f>
        <x:v>0</x:v>
      </x:c>
      <x:c r="AG1137" s="2" t="str">
        <x:f>IF(AF1137&lt;&gt;1,"",'Dashboard'!P106)</x:f>
      </x:c>
      <x:c r="AH1137" s="2" t="str">
        <x:f>IF(B1137="","",IF(J1137&lt;&gt;"PASS",'Motor_Meciuri'!J86,IF('Calibrare_Linii'!U17&lt;&gt;"VALID","Parametri linie invalizi",IF(L1137&gt;'Config_v6'!$B$13,"Dispersie peste limita",IF(W1137="WATCH","Failure peste limita",IF(AB1137&lt;'Config_v6'!$B$16,"P finala sub prag",IF(V1137&lt;'Config_v6'!$B$18,"Confidence sub prag",IF(E1137="REPLAY","Exemplu retrospectiv; exclus din Top LIVE",IF(Y1137="PASS","DEFENSIV validat",IF(W1137="OOS PENDING","Eligibil; calibrare linie in monitorizare","Eligibil"))))))))))</x:f>
      </x:c>
      <x:c r="AI1137" s="2" t="str">
        <x:f>IF(B1137="","",'Calibrare_Linii'!V17)</x:f>
      </x:c>
      <x:c r="AJ1137" s="2" t="str">
        <x:f>IF(B1137="","",IF(AND('Calibrare_Linii'!T17="VALIDATED",AND('Calibrare_Linii'!H17=C1137,ISNUMBER('Calibrare_Linii'!J17),'Calibrare_Linii'!J17&lt;='Input_Meci'!G86)),"DEFENSIVE VALIDATED",IF(AND('Calibrare_Linii'!S17="VALIDATED",AND('Calibrare_Linii'!H17=C1137,ISNUMBER('Calibrare_Linii'!J17),'Calibrare_Linii'!J17&lt;='Input_Meci'!G86)),"TAIL VALIDATED","OOS PENDING")))</x:f>
      </x:c>
      <x:c r="AK1137" s="2" t="n">
        <x:f>IF(J1137&lt;&gt;"PASS",0,'Motor_Meciuri'!BR86)</x:f>
        <x:v>0</x:v>
      </x:c>
      <x:c r="AL1137" s="2" t="n">
        <x:f>IF(J1137&lt;&gt;"PASS",0,'Motor_Meciuri'!BS86)</x:f>
        <x:v>0</x:v>
      </x:c>
      <x:c r="AM1137" s="2" t="n">
        <x:f>IF(J1137&lt;&gt;"PASS",0,'Motor_Meciuri'!BT86)</x:f>
        <x:v>0</x:v>
      </x:c>
      <x:c r="AN1137" s="2" t="str">
        <x:f>IF(M1137="","",MAX(0,'Motor_Meciuri'!BF86-IF(L1137&gt;'Config_v6'!$B$12,'Config_v6'!$B$37,IF(L1137&gt;'Config_v6'!$B$11,'Config_v6'!$B$36,0))))</x:f>
      </x:c>
    </x:row>
    <x:row r="1138" ht="21" customHeight="1">
      <x:c r="A1138" s="2" t="n">
        <x:v>81</x:v>
      </x:c>
      <x:c r="B1138" s="2" t="str">
        <x:f>IF('Motor_Meciuri'!A86="","",'Motor_Meciuri'!A86)</x:f>
      </x:c>
      <x:c r="C1138" s="2" t="str">
        <x:f>IF(B1138="","",'Motor_Meciuri'!B86)</x:f>
      </x:c>
      <x:c r="D1138" s="2" t="str">
        <x:f>IF(B1138="","",'Motor_Meciuri'!D86)</x:f>
      </x:c>
      <x:c r="E1138" s="2" t="str">
        <x:f>IF(B1138="","",'Motor_Meciuri'!E86)</x:f>
      </x:c>
      <x:c r="F1138" s="2" t="str">
        <x:v>U16,5</x:v>
      </x:c>
      <x:c r="G1138" s="2" t="str">
        <x:v>UNDER</x:v>
      </x:c>
      <x:c r="H1138" s="2" t="n">
        <x:v>16</x:v>
      </x:c>
      <x:c r="I1138" s="2" t="str">
        <x:f>IF(B1138="","",'Motor_Meciuri'!H86)</x:f>
      </x:c>
      <x:c r="J1138" s="2" t="str">
        <x:f>IF(B1138="","",'Motor_Meciuri'!I86)</x:f>
      </x:c>
      <x:c r="K1138" s="11" t="str">
        <x:f>IF(J1138&lt;&gt;"PASS","",'Motor_Meciuri'!BD86)</x:f>
      </x:c>
      <x:c r="L1138" s="11" t="str">
        <x:f>IF(J1138&lt;&gt;"PASS","",'Motor_Meciuri'!AU86)</x:f>
      </x:c>
      <x:c r="M1138" s="10" t="str">
        <x:f>IF(NOT(AND(J1138="PASS",'Calibrare_Linii'!U18="VALID")),"",'Distributie'!AN86)</x:f>
      </x:c>
      <x:c r="N1138" s="10" t="str">
        <x:f>IF(M1138="","",MAX(0.01,MIN(0.99,0.5+(M1138-0.5)*'Motor_Meciuri'!BG86*'Calibrare_Linii'!D18)))</x:f>
      </x:c>
      <x:c r="O1138" s="10" t="str">
        <x:f>IF(M1138="","",1-M1138)</x:f>
      </x:c>
      <x:c r="P1138" s="10" t="str">
        <x:f>IF(OR(NOT(AND(J1138="PASS",'Calibrare_Linii'!U18="VALID")),AK1138=0),""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*('Istoric_Nativ'!$Q$6:$Q$405&gt;H1138))/AK1138)</x:f>
      </x:c>
      <x:c r="Q1138" s="10" t="str">
        <x:f>IF(OR(NOT(AND(J1138="PASS",'Calibrare_Linii'!U18="VALID")),AL1138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M86)+((('Istoric_Nativ'!$E$6:$E$405='Input_Meci'!E86)+('Istoric_Nativ'!$F$6:$F$405='Input_Meci'!E86))&gt;0)*('Istoric_Nativ'!$D$6:$D$405&gt;='Motor_Meciuri'!BN86))&gt;0)*('Istoric_Nativ'!$Q$6:$Q$405&gt;H1138))/AL1138)</x:f>
      </x:c>
      <x:c r="R1138" s="10" t="str">
        <x:f>IF(OR(NOT(AND(J1138="PASS",'Calibrare_Linii'!U18="VALID")),AM1138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O86)+((('Istoric_Nativ'!$E$6:$E$405='Input_Meci'!E86)+('Istoric_Nativ'!$F$6:$F$405='Input_Meci'!E86))&gt;0)*('Istoric_Nativ'!$D$6:$D$405&gt;='Motor_Meciuri'!BP86))&gt;0)*('Istoric_Nativ'!$Q$6:$Q$405&gt;H1138))/AM1138)</x:f>
      </x:c>
      <x:c r="S1138" s="10" t="str">
        <x:f>IF(M1138="","",MAX(O1138,P1138,Q1138,R1138))</x:f>
      </x:c>
      <x:c r="T1138" s="11" t="str">
        <x:f>IF(M1138="","",MIN(100,S1138*100*'Config_v6'!$B$44+MIN(100,L1138/'Config_v6'!$B$13*100)*'Config_v6'!$B$45+(100-'Motor_Meciuri'!BF86)*'Config_v6'!$B$46+'Motor_Meciuri'!BH86*100*'Config_v6'!$B$47))</x:f>
      </x:c>
      <x:c r="U1138" s="2" t="str">
        <x:f>IF(T1138="","",IF(T1138&lt;=20,1,IF(T1138&lt;=40,2,IF(T1138&lt;=60,3,IF(T1138&lt;=80,4,5)))))</x:f>
      </x:c>
      <x:c r="V1138" s="2" t="str">
        <x:f>IF(M1138="","",MAX(0,'Motor_Meciuri'!BF86-IF(W1138="OOS PENDING",'Config_v6'!$B$35,0)-IF(L1138&gt;'Config_v6'!$B$12,'Config_v6'!$B$37,IF(L1138&gt;'Config_v6'!$B$11,'Config_v6'!$B$36,0))))</x:f>
      </x:c>
      <x:c r="W1138" s="2" t="str">
        <x:f>IF(B1138="","",IF(I1138&lt;&gt;"READY","NOT RELEASED",IF(NOT(AND(J1138="PASS",'Calibrare_Linii'!U18="VALID")),"INVALID",IF(NOT(AND('Calibrare_Linii'!S18="VALIDATED",AND('Calibrare_Linii'!H18=C1138,ISNUMBER('Calibrare_Linii'!J18),'Calibrare_Linii'!J18&lt;='Input_Meci'!G86))),"OOS PENDING",IF(S1138&lt;='Calibrare_Linii'!E18,"PASS",IF(S1138&lt;='Calibrare_Linii'!F18,"PENALTY","WATCH"))))))</x:f>
      </x:c>
      <x:c r="X1138" s="2" t="str">
        <x:f>IF(M1138="","",IF(AND(AND(J1138="PASS",'Calibrare_Linii'!U18="VALID"),'Motor_Meciuri'!K86=12,'Motor_Meciuri'!L86=12,'Motor_Meciuri'!M86="NO",'Motor_Meciuri'!BL86='Motor_Meciuri'!C86,AB1138&gt;='Config_v6'!$B$50,AN1138&gt;='Config_v6'!$B$51,T1138&lt;='Config_v6'!$B$52,L1138&lt;='Config_v6'!$B$53,ISNUMBER('Calibrare_Linii'!E18),S1138&lt;='Calibrare_Linii'!E18,SUM(AK1138:AM1138)&gt;0),"CANDIDATE","NO"))</x:f>
      </x:c>
      <x:c r="Y1138" s="2" t="str">
        <x:f>IF(B1138="","",IF(I1138&lt;&gt;"READY","NOT RELEASED",IF(AND(X1138="CANDIDATE",V1138&gt;='Config_v6'!$B$51,W1138="PASS",'Calibrare_Linii'!T18="VALIDATED",AND('Calibrare_Linii'!H18=C1138,ISNUMBER('Calibrare_Linii'!J18),'Calibrare_Linii'!J18&lt;='Input_Meci'!G86)),"PASS",IF(X1138="CANDIDATE","OOS PENDING","FAIL"))))</x:f>
      </x:c>
      <x:c r="Z1138" s="2" t="str">
        <x:f>IF(B1138="","",IF(I1138&lt;&gt;"READY","",IF(OR(NOT(AND(J1138="PASS",'Calibrare_Linii'!U18="VALID")),L1138&gt;'Config_v6'!$B$13,W1138="WATCH"),5,IF(Y1138="PASS",1,MIN(5,MAX('Config_v6'!$B$42,U1138)+IF(W1138="PENALTY",1,0))))))</x:f>
      </x:c>
      <x:c r="AA1138" s="2" t="str">
        <x:f>IF(B1138="","",IF(I1138&lt;&gt;"READY","NOT RELEASED",IF(Z1138=5,"NO BET",IF(OR(AB1138&lt;'Config_v6'!$B$16,V1138&lt;'Config_v6'!$B$18),"WATCH",IF(Z1138=1,"DEFENSIV",IF(Z1138=2,"PRUDENT",IF(Z1138=3,"MODERAT","RIDICAT")))))))</x:f>
      </x:c>
      <x:c r="AB1138" s="10" t="str">
        <x:f>IF(N1138="","",MIN(N1138,1-S1138))</x:f>
      </x:c>
      <x:c r="AC1138" s="2" t="str">
        <x:f>IF(AD1138&lt;&gt;1,"",COUNTIFS($Z$1126:$Z$1139,"&lt;"&amp;Z1138,$AD$1126:$AD$1139,1)+COUNTIFS($Z$1126:$Z$1139,Z1138,$AB$1126:$AB$1139,"&gt;"&amp;AB1138,$AD$1126:$AD$1139,1)+COUNTIFS($Z$1126:$Z$1139,Z1138,$AB$1126:$AB$1139,AB1138,$V$1126:$V$1139,"&gt;"&amp;V1138,$AD$1126:$AD$1139,1)+COUNTIFS($Z$1126:Z1138,Z1138,$AB$1126:AB1138,AB1138,$V$1126:V1138,V1138,$AD$1126:AD1138,1))</x:f>
      </x:c>
      <x:c r="AD1138" s="2" t="n">
        <x:f>IF(OR(AA1138="DEFENSIV",AA1138="PRUDENT",AA1138="MODERAT",AA1138="RIDICAT"),1,0)</x:f>
        <x:v>0</x:v>
      </x:c>
      <x:c r="AE1138" s="2" t="str">
        <x:f>IF(AD1138&lt;&gt;1,"NO",IF(W1138="PASS","YES",IF(W1138="OOS PENDING","CONDITIONAL","NO")))</x:f>
        <x:v>NO</x:v>
      </x:c>
      <x:c r="AF1138" s="2" t="n">
        <x:f>IF(AND(AD1138=1,AC1138=1,E1138="LIVE"),1,0)</x:f>
        <x:v>0</x:v>
      </x:c>
      <x:c r="AG1138" s="2" t="str">
        <x:f>IF(AF1138&lt;&gt;1,"",'Dashboard'!P106)</x:f>
      </x:c>
      <x:c r="AH1138" s="2" t="str">
        <x:f>IF(B1138="","",IF(J1138&lt;&gt;"PASS",'Motor_Meciuri'!J86,IF('Calibrare_Linii'!U18&lt;&gt;"VALID","Parametri linie invalizi",IF(L1138&gt;'Config_v6'!$B$13,"Dispersie peste limita",IF(W1138="WATCH","Failure peste limita",IF(AB1138&lt;'Config_v6'!$B$16,"P finala sub prag",IF(V1138&lt;'Config_v6'!$B$18,"Confidence sub prag",IF(E1138="REPLAY","Exemplu retrospectiv; exclus din Top LIVE",IF(Y1138="PASS","DEFENSIV validat",IF(W1138="OOS PENDING","Eligibil; calibrare linie in monitorizare","Eligibil"))))))))))</x:f>
      </x:c>
      <x:c r="AI1138" s="2" t="str">
        <x:f>IF(B1138="","",'Calibrare_Linii'!V18)</x:f>
      </x:c>
      <x:c r="AJ1138" s="2" t="str">
        <x:f>IF(B1138="","",IF(AND('Calibrare_Linii'!T18="VALIDATED",AND('Calibrare_Linii'!H18=C1138,ISNUMBER('Calibrare_Linii'!J18),'Calibrare_Linii'!J18&lt;='Input_Meci'!G86)),"DEFENSIVE VALIDATED",IF(AND('Calibrare_Linii'!S18="VALIDATED",AND('Calibrare_Linii'!H18=C1138,ISNUMBER('Calibrare_Linii'!J18),'Calibrare_Linii'!J18&lt;='Input_Meci'!G86)),"TAIL VALIDATED","OOS PENDING")))</x:f>
      </x:c>
      <x:c r="AK1138" s="2" t="n">
        <x:f>IF(J1138&lt;&gt;"PASS",0,'Motor_Meciuri'!BR86)</x:f>
        <x:v>0</x:v>
      </x:c>
      <x:c r="AL1138" s="2" t="n">
        <x:f>IF(J1138&lt;&gt;"PASS",0,'Motor_Meciuri'!BS86)</x:f>
        <x:v>0</x:v>
      </x:c>
      <x:c r="AM1138" s="2" t="n">
        <x:f>IF(J1138&lt;&gt;"PASS",0,'Motor_Meciuri'!BT86)</x:f>
        <x:v>0</x:v>
      </x:c>
      <x:c r="AN1138" s="2" t="str">
        <x:f>IF(M1138="","",MAX(0,'Motor_Meciuri'!BF86-IF(L1138&gt;'Config_v6'!$B$12,'Config_v6'!$B$37,IF(L1138&gt;'Config_v6'!$B$11,'Config_v6'!$B$36,0))))</x:f>
      </x:c>
    </x:row>
    <x:row r="1139" ht="21" customHeight="1">
      <x:c r="A1139" s="2" t="n">
        <x:v>81</x:v>
      </x:c>
      <x:c r="B1139" s="2" t="str">
        <x:f>IF('Motor_Meciuri'!A86="","",'Motor_Meciuri'!A86)</x:f>
      </x:c>
      <x:c r="C1139" s="2" t="str">
        <x:f>IF(B1139="","",'Motor_Meciuri'!B86)</x:f>
      </x:c>
      <x:c r="D1139" s="2" t="str">
        <x:f>IF(B1139="","",'Motor_Meciuri'!D86)</x:f>
      </x:c>
      <x:c r="E1139" s="2" t="str">
        <x:f>IF(B1139="","",'Motor_Meciuri'!E86)</x:f>
      </x:c>
      <x:c r="F1139" s="2" t="str">
        <x:v>U17,5</x:v>
      </x:c>
      <x:c r="G1139" s="2" t="str">
        <x:v>UNDER</x:v>
      </x:c>
      <x:c r="H1139" s="2" t="n">
        <x:v>17</x:v>
      </x:c>
      <x:c r="I1139" s="2" t="str">
        <x:f>IF(B1139="","",'Motor_Meciuri'!H86)</x:f>
      </x:c>
      <x:c r="J1139" s="2" t="str">
        <x:f>IF(B1139="","",'Motor_Meciuri'!I86)</x:f>
      </x:c>
      <x:c r="K1139" s="11" t="str">
        <x:f>IF(J1139&lt;&gt;"PASS","",'Motor_Meciuri'!BD86)</x:f>
      </x:c>
      <x:c r="L1139" s="11" t="str">
        <x:f>IF(J1139&lt;&gt;"PASS","",'Motor_Meciuri'!AU86)</x:f>
      </x:c>
      <x:c r="M1139" s="10" t="str">
        <x:f>IF(NOT(AND(J1139="PASS",'Calibrare_Linii'!U19="VALID")),"",'Distributie'!AO86)</x:f>
      </x:c>
      <x:c r="N1139" s="10" t="str">
        <x:f>IF(M1139="","",MAX(0.01,MIN(0.99,0.5+(M1139-0.5)*'Motor_Meciuri'!BG86*'Calibrare_Linii'!D19)))</x:f>
      </x:c>
      <x:c r="O1139" s="10" t="str">
        <x:f>IF(M1139="","",1-M1139)</x:f>
      </x:c>
      <x:c r="P1139" s="10" t="str">
        <x:f>IF(OR(NOT(AND(J1139="PASS",'Calibrare_Linii'!U19="VALID")),AK1139=0),""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*('Istoric_Nativ'!$Q$6:$Q$405&gt;H1139))/AK1139)</x:f>
      </x:c>
      <x:c r="Q1139" s="10" t="str">
        <x:f>IF(OR(NOT(AND(J1139="PASS",'Calibrare_Linii'!U19="VALID")),AL1139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M86)+((('Istoric_Nativ'!$E$6:$E$405='Input_Meci'!E86)+('Istoric_Nativ'!$F$6:$F$405='Input_Meci'!E86))&gt;0)*('Istoric_Nativ'!$D$6:$D$405&gt;='Motor_Meciuri'!BN86))&gt;0)*('Istoric_Nativ'!$Q$6:$Q$405&gt;H1139))/AL1139)</x:f>
      </x:c>
      <x:c r="R1139" s="10" t="str">
        <x:f>IF(OR(NOT(AND(J1139="PASS",'Calibrare_Linii'!U19="VALID")),AM1139=0),""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'Motor_Meciuri'!BO86)+((('Istoric_Nativ'!$E$6:$E$405='Input_Meci'!E86)+('Istoric_Nativ'!$F$6:$F$405='Input_Meci'!E86))&gt;0)*('Istoric_Nativ'!$D$6:$D$405&gt;='Motor_Meciuri'!BP86))&gt;0)*('Istoric_Nativ'!$Q$6:$Q$405&gt;H1139))/AM1139)</x:f>
      </x:c>
      <x:c r="S1139" s="10" t="str">
        <x:f>IF(M1139="","",MAX(O1139,P1139,Q1139,R1139))</x:f>
      </x:c>
      <x:c r="T1139" s="11" t="str">
        <x:f>IF(M1139="","",MIN(100,S1139*100*'Config_v6'!$B$44+MIN(100,L1139/'Config_v6'!$B$13*100)*'Config_v6'!$B$45+(100-'Motor_Meciuri'!BF86)*'Config_v6'!$B$46+'Motor_Meciuri'!BH86*100*'Config_v6'!$B$47))</x:f>
      </x:c>
      <x:c r="U1139" s="2" t="str">
        <x:f>IF(T1139="","",IF(T1139&lt;=20,1,IF(T1139&lt;=40,2,IF(T1139&lt;=60,3,IF(T1139&lt;=80,4,5)))))</x:f>
      </x:c>
      <x:c r="V1139" s="2" t="str">
        <x:f>IF(M1139="","",MAX(0,'Motor_Meciuri'!BF86-IF(W1139="OOS PENDING",'Config_v6'!$B$35,0)-IF(L1139&gt;'Config_v6'!$B$12,'Config_v6'!$B$37,IF(L1139&gt;'Config_v6'!$B$11,'Config_v6'!$B$36,0))))</x:f>
      </x:c>
      <x:c r="W1139" s="2" t="str">
        <x:f>IF(B1139="","",IF(I1139&lt;&gt;"READY","NOT RELEASED",IF(NOT(AND(J1139="PASS",'Calibrare_Linii'!U19="VALID")),"INVALID",IF(NOT(AND('Calibrare_Linii'!S19="VALIDATED",AND('Calibrare_Linii'!H19=C1139,ISNUMBER('Calibrare_Linii'!J19),'Calibrare_Linii'!J19&lt;='Input_Meci'!G86))),"OOS PENDING",IF(S1139&lt;='Calibrare_Linii'!E19,"PASS",IF(S1139&lt;='Calibrare_Linii'!F19,"PENALTY","WATCH"))))))</x:f>
      </x:c>
      <x:c r="X1139" s="2" t="str">
        <x:f>IF(M1139="","",IF(AND(AND(J1139="PASS",'Calibrare_Linii'!U19="VALID"),'Motor_Meciuri'!K86=12,'Motor_Meciuri'!L86=12,'Motor_Meciuri'!M86="NO",'Motor_Meciuri'!BL86='Motor_Meciuri'!C86,AB1139&gt;='Config_v6'!$B$50,AN1139&gt;='Config_v6'!$B$51,T1139&lt;='Config_v6'!$B$52,L1139&lt;='Config_v6'!$B$53,ISNUMBER('Calibrare_Linii'!E19),S1139&lt;='Calibrare_Linii'!E19,SUM(AK1139:AM1139)&gt;0),"CANDIDATE","NO"))</x:f>
      </x:c>
      <x:c r="Y1139" s="2" t="str">
        <x:f>IF(B1139="","",IF(I1139&lt;&gt;"READY","NOT RELEASED",IF(AND(X1139="CANDIDATE",V1139&gt;='Config_v6'!$B$51,W1139="PASS",'Calibrare_Linii'!T19="VALIDATED",AND('Calibrare_Linii'!H19=C1139,ISNUMBER('Calibrare_Linii'!J19),'Calibrare_Linii'!J19&lt;='Input_Meci'!G86)),"PASS",IF(X1139="CANDIDATE","OOS PENDING","FAIL"))))</x:f>
      </x:c>
      <x:c r="Z1139" s="2" t="str">
        <x:f>IF(B1139="","",IF(I1139&lt;&gt;"READY","",IF(OR(NOT(AND(J1139="PASS",'Calibrare_Linii'!U19="VALID")),L1139&gt;'Config_v6'!$B$13,W1139="WATCH"),5,IF(Y1139="PASS",1,MIN(5,MAX('Config_v6'!$B$42,U1139)+IF(W1139="PENALTY",1,0))))))</x:f>
      </x:c>
      <x:c r="AA1139" s="2" t="str">
        <x:f>IF(B1139="","",IF(I1139&lt;&gt;"READY","NOT RELEASED",IF(Z1139=5,"NO BET",IF(OR(AB1139&lt;'Config_v6'!$B$16,V1139&lt;'Config_v6'!$B$18),"WATCH",IF(Z1139=1,"DEFENSIV",IF(Z1139=2,"PRUDENT",IF(Z1139=3,"MODERAT","RIDICAT")))))))</x:f>
      </x:c>
      <x:c r="AB1139" s="10" t="str">
        <x:f>IF(N1139="","",MIN(N1139,1-S1139))</x:f>
      </x:c>
      <x:c r="AC1139" s="2" t="str">
        <x:f>IF(AD1139&lt;&gt;1,"",COUNTIFS($Z$1126:$Z$1139,"&lt;"&amp;Z1139,$AD$1126:$AD$1139,1)+COUNTIFS($Z$1126:$Z$1139,Z1139,$AB$1126:$AB$1139,"&gt;"&amp;AB1139,$AD$1126:$AD$1139,1)+COUNTIFS($Z$1126:$Z$1139,Z1139,$AB$1126:$AB$1139,AB1139,$V$1126:$V$1139,"&gt;"&amp;V1139,$AD$1126:$AD$1139,1)+COUNTIFS($Z$1126:Z1139,Z1139,$AB$1126:AB1139,AB1139,$V$1126:V1139,V1139,$AD$1126:AD1139,1))</x:f>
      </x:c>
      <x:c r="AD1139" s="2" t="n">
        <x:f>IF(OR(AA1139="DEFENSIV",AA1139="PRUDENT",AA1139="MODERAT",AA1139="RIDICAT"),1,0)</x:f>
        <x:v>0</x:v>
      </x:c>
      <x:c r="AE1139" s="2" t="str">
        <x:f>IF(AD1139&lt;&gt;1,"NO",IF(W1139="PASS","YES",IF(W1139="OOS PENDING","CONDITIONAL","NO")))</x:f>
        <x:v>NO</x:v>
      </x:c>
      <x:c r="AF1139" s="2" t="n">
        <x:f>IF(AND(AD1139=1,AC1139=1,E1139="LIVE"),1,0)</x:f>
        <x:v>0</x:v>
      </x:c>
      <x:c r="AG1139" s="2" t="str">
        <x:f>IF(AF1139&lt;&gt;1,"",'Dashboard'!P106)</x:f>
      </x:c>
      <x:c r="AH1139" s="2" t="str">
        <x:f>IF(B1139="","",IF(J1139&lt;&gt;"PASS",'Motor_Meciuri'!J86,IF('Calibrare_Linii'!U19&lt;&gt;"VALID","Parametri linie invalizi",IF(L1139&gt;'Config_v6'!$B$13,"Dispersie peste limita",IF(W1139="WATCH","Failure peste limita",IF(AB1139&lt;'Config_v6'!$B$16,"P finala sub prag",IF(V1139&lt;'Config_v6'!$B$18,"Confidence sub prag",IF(E1139="REPLAY","Exemplu retrospectiv; exclus din Top LIVE",IF(Y1139="PASS","DEFENSIV validat",IF(W1139="OOS PENDING","Eligibil; calibrare linie in monitorizare","Eligibil"))))))))))</x:f>
      </x:c>
      <x:c r="AI1139" s="2" t="str">
        <x:f>IF(B1139="","",'Calibrare_Linii'!V19)</x:f>
      </x:c>
      <x:c r="AJ1139" s="2" t="str">
        <x:f>IF(B1139="","",IF(AND('Calibrare_Linii'!T19="VALIDATED",AND('Calibrare_Linii'!H19=C1139,ISNUMBER('Calibrare_Linii'!J19),'Calibrare_Linii'!J19&lt;='Input_Meci'!G86)),"DEFENSIVE VALIDATED",IF(AND('Calibrare_Linii'!S19="VALIDATED",AND('Calibrare_Linii'!H19=C1139,ISNUMBER('Calibrare_Linii'!J19),'Calibrare_Linii'!J19&lt;='Input_Meci'!G86)),"TAIL VALIDATED","OOS PENDING")))</x:f>
      </x:c>
      <x:c r="AK1139" s="2" t="n">
        <x:f>IF(J1139&lt;&gt;"PASS",0,'Motor_Meciuri'!BR86)</x:f>
        <x:v>0</x:v>
      </x:c>
      <x:c r="AL1139" s="2" t="n">
        <x:f>IF(J1139&lt;&gt;"PASS",0,'Motor_Meciuri'!BS86)</x:f>
        <x:v>0</x:v>
      </x:c>
      <x:c r="AM1139" s="2" t="n">
        <x:f>IF(J1139&lt;&gt;"PASS",0,'Motor_Meciuri'!BT86)</x:f>
        <x:v>0</x:v>
      </x:c>
      <x:c r="AN1139" s="2" t="str">
        <x:f>IF(M1139="","",MAX(0,'Motor_Meciuri'!BF86-IF(L1139&gt;'Config_v6'!$B$12,'Config_v6'!$B$37,IF(L1139&gt;'Config_v6'!$B$11,'Config_v6'!$B$36,0))))</x:f>
      </x:c>
    </x:row>
    <x:row r="1140" ht="21" customHeight="1">
      <x:c r="A1140" s="2" t="n">
        <x:v>82</x:v>
      </x:c>
      <x:c r="B1140" s="2" t="str">
        <x:f>IF('Motor_Meciuri'!A87="","",'Motor_Meciuri'!A87)</x:f>
      </x:c>
      <x:c r="C1140" s="2" t="str">
        <x:f>IF(B1140="","",'Motor_Meciuri'!B87)</x:f>
      </x:c>
      <x:c r="D1140" s="2" t="str">
        <x:f>IF(B1140="","",'Motor_Meciuri'!D87)</x:f>
      </x:c>
      <x:c r="E1140" s="2" t="str">
        <x:f>IF(B1140="","",'Motor_Meciuri'!E87)</x:f>
      </x:c>
      <x:c r="F1140" s="2" t="str">
        <x:v>O3,5</x:v>
      </x:c>
      <x:c r="G1140" s="2" t="str">
        <x:v>OVER</x:v>
      </x:c>
      <x:c r="H1140" s="2" t="n">
        <x:v>3</x:v>
      </x:c>
      <x:c r="I1140" s="2" t="str">
        <x:f>IF(B1140="","",'Motor_Meciuri'!H87)</x:f>
      </x:c>
      <x:c r="J1140" s="2" t="str">
        <x:f>IF(B1140="","",'Motor_Meciuri'!I87)</x:f>
      </x:c>
      <x:c r="K1140" s="11" t="str">
        <x:f>IF(J1140&lt;&gt;"PASS","",'Motor_Meciuri'!BD87)</x:f>
      </x:c>
      <x:c r="L1140" s="11" t="str">
        <x:f>IF(J1140&lt;&gt;"PASS","",'Motor_Meciuri'!AU87)</x:f>
      </x:c>
      <x:c r="M1140" s="10" t="str">
        <x:f>IF(NOT(AND(J1140="PASS",'Calibrare_Linii'!U6="VALID")),"",1-'Distributie'!AA87)</x:f>
      </x:c>
      <x:c r="N1140" s="10" t="str">
        <x:f>IF(M1140="","",MAX(0.01,MIN(0.99,0.5+(M1140-0.5)*'Motor_Meciuri'!BG87*'Calibrare_Linii'!D6)))</x:f>
      </x:c>
      <x:c r="O1140" s="10" t="str">
        <x:f>IF(M1140="","",1-M1140)</x:f>
      </x:c>
      <x:c r="P1140" s="10" t="str">
        <x:f>IF(OR(NOT(AND(J1140="PASS",'Calibrare_Linii'!U6="VALID")),AK1140=0),""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*('Istoric_Nativ'!$Q$6:$Q$405&lt;=H1140))/AK1140)</x:f>
      </x:c>
      <x:c r="Q1140" s="10" t="str">
        <x:f>IF(OR(NOT(AND(J1140="PASS",'Calibrare_Linii'!U6="VALID")),AL1140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M87)+((('Istoric_Nativ'!$E$6:$E$405='Input_Meci'!E87)+('Istoric_Nativ'!$F$6:$F$405='Input_Meci'!E87))&gt;0)*('Istoric_Nativ'!$D$6:$D$405&gt;='Motor_Meciuri'!BN87))&gt;0)*('Istoric_Nativ'!$Q$6:$Q$405&lt;=H1140))/AL1140)</x:f>
      </x:c>
      <x:c r="R1140" s="10" t="str">
        <x:f>IF(OR(NOT(AND(J1140="PASS",'Calibrare_Linii'!U6="VALID")),AM1140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O87)+((('Istoric_Nativ'!$E$6:$E$405='Input_Meci'!E87)+('Istoric_Nativ'!$F$6:$F$405='Input_Meci'!E87))&gt;0)*('Istoric_Nativ'!$D$6:$D$405&gt;='Motor_Meciuri'!BP87))&gt;0)*('Istoric_Nativ'!$Q$6:$Q$405&lt;=H1140))/AM1140)</x:f>
      </x:c>
      <x:c r="S1140" s="10" t="str">
        <x:f>IF(M1140="","",MAX(O1140,P1140,Q1140,R1140))</x:f>
      </x:c>
      <x:c r="T1140" s="11" t="str">
        <x:f>IF(M1140="","",MIN(100,S1140*100*'Config_v6'!$B$44+MIN(100,L1140/'Config_v6'!$B$13*100)*'Config_v6'!$B$45+(100-'Motor_Meciuri'!BF87)*'Config_v6'!$B$46+'Motor_Meciuri'!BH87*100*'Config_v6'!$B$47))</x:f>
      </x:c>
      <x:c r="U1140" s="2" t="str">
        <x:f>IF(T1140="","",IF(T1140&lt;=20,1,IF(T1140&lt;=40,2,IF(T1140&lt;=60,3,IF(T1140&lt;=80,4,5)))))</x:f>
      </x:c>
      <x:c r="V1140" s="2" t="str">
        <x:f>IF(M1140="","",MAX(0,'Motor_Meciuri'!BF87-IF(W1140="OOS PENDING",'Config_v6'!$B$35,0)-IF(L1140&gt;'Config_v6'!$B$12,'Config_v6'!$B$37,IF(L1140&gt;'Config_v6'!$B$11,'Config_v6'!$B$36,0))))</x:f>
      </x:c>
      <x:c r="W1140" s="2" t="str">
        <x:f>IF(B1140="","",IF(I1140&lt;&gt;"READY","NOT RELEASED",IF(NOT(AND(J1140="PASS",'Calibrare_Linii'!U6="VALID")),"INVALID",IF(NOT(TRUE),"OOS PENDING",IF(S1140&lt;=IF(AND('Calibrare_Linii'!S6="VALIDATED",AND('Calibrare_Linii'!H6=C1140,ISNUMBER('Calibrare_Linii'!J6),'Calibrare_Linii'!J6&lt;='Input_Meci'!G87)),'Calibrare_Linii'!E6,'Config_v6'!$B$26),"PASS",IF(S1140&lt;=IF(AND('Calibrare_Linii'!S6="VALIDATED",AND('Calibrare_Linii'!H6=C1140,ISNUMBER('Calibrare_Linii'!J6),'Calibrare_Linii'!J6&lt;='Input_Meci'!G87)),'Calibrare_Linii'!F6,'Config_v6'!$C$26),"PENALTY","WATCH"))))))</x:f>
      </x:c>
      <x:c r="X1140" s="2" t="str">
        <x:f>IF(M1140="","",IF(AND(AND(J1140="PASS",'Calibrare_Linii'!U6="VALID"),'Motor_Meciuri'!K87=12,'Motor_Meciuri'!L87=12,'Motor_Meciuri'!M87="NO",'Motor_Meciuri'!BL87='Motor_Meciuri'!C87,AB1140&gt;='Config_v6'!$B$50,AN1140&gt;='Config_v6'!$B$51,T1140&lt;='Config_v6'!$B$52,L1140&lt;='Config_v6'!$B$53,ISNUMBER('Calibrare_Linii'!E6),S1140&lt;='Calibrare_Linii'!E6,SUM(AK1140:AM1140)&gt;0),"CANDIDATE","NO"))</x:f>
      </x:c>
      <x:c r="Y1140" s="2" t="str">
        <x:f>IF(B1140="","",IF(I1140&lt;&gt;"READY","NOT RELEASED",IF(AND(X1140="CANDIDATE",V1140&gt;='Config_v6'!$B$51,W1140="PASS",'Calibrare_Linii'!T6="VALIDATED",AND('Calibrare_Linii'!H6=C1140,ISNUMBER('Calibrare_Linii'!J6),'Calibrare_Linii'!J6&lt;='Input_Meci'!G87)),"PASS",IF(X1140="CANDIDATE","OOS PENDING","FAIL"))))</x:f>
      </x:c>
      <x:c r="Z1140" s="2" t="str">
        <x:f>IF(B1140="","",IF(I1140&lt;&gt;"READY","",IF(OR(NOT(AND(J1140="PASS",'Calibrare_Linii'!U6="VALID")),L1140&gt;'Config_v6'!$B$13,W1140="WATCH"),5,IF(Y1140="PASS",1,MIN(5,MAX('Config_v6'!$B$42,U1140)+IF(W1140="PENALTY",1,0))))))</x:f>
      </x:c>
      <x:c r="AA1140" s="2" t="str">
        <x:f>IF(B1140="","",IF(I1140&lt;&gt;"READY","NOT RELEASED",IF(Z1140=5,"NO BET",IF(OR(AB1140&lt;'Config_v6'!$B$16,V1140&lt;'Config_v6'!$B$18),"WATCH",IF(Z1140=1,"DEFENSIV",IF(Z1140=2,"PRUDENT",IF(Z1140=3,"MODERAT","RIDICAT")))))))</x:f>
      </x:c>
      <x:c r="AB1140" s="10" t="str">
        <x:f>IF(N1140="","",MIN(N1140,1-S1140))</x:f>
      </x:c>
      <x:c r="AC1140" s="2" t="str">
        <x:f>IF(AD1140&lt;&gt;1,"",COUNTIFS($Z$1140:$Z$1153,"&lt;"&amp;Z1140,$AD$1140:$AD$1153,1)+COUNTIFS($Z$1140:$Z$1153,Z1140,$AB$1140:$AB$1153,"&gt;"&amp;AB1140,$AD$1140:$AD$1153,1)+COUNTIFS($Z$1140:$Z$1153,Z1140,$AB$1140:$AB$1153,AB1140,$V$1140:$V$1153,"&gt;"&amp;V1140,$AD$1140:$AD$1153,1)+COUNTIFS($Z$1140:Z1140,Z1140,$AB$1140:AB1140,AB1140,$V$1140:V1140,V1140,$AD$1140:AD1140,1))</x:f>
      </x:c>
      <x:c r="AD1140" s="2" t="n">
        <x:f>IF(OR(AA1140="DEFENSIV",AA1140="PRUDENT",AA1140="MODERAT",AA1140="RIDICAT"),1,0)</x:f>
        <x:v>0</x:v>
      </x:c>
      <x:c r="AE1140" s="2" t="str">
        <x:f>IF(AD1140&lt;&gt;1,"NO",IF(W1140="PASS","YES",IF(W1140="OOS PENDING","CONDITIONAL","NO")))</x:f>
        <x:v>NO</x:v>
      </x:c>
      <x:c r="AF1140" s="2" t="n">
        <x:f>IF(AND(AD1140=1,AC1140=1,E1140="LIVE"),1,0)</x:f>
        <x:v>0</x:v>
      </x:c>
      <x:c r="AG1140" s="2" t="str">
        <x:f>IF(AF1140&lt;&gt;1,"",'Dashboard'!P107)</x:f>
      </x:c>
      <x:c r="AH1140" s="2" t="str">
        <x:f>IF(B1140="","",IF(J1140&lt;&gt;"PASS",'Motor_Meciuri'!J87,IF('Calibrare_Linii'!U6&lt;&gt;"VALID","Parametri linie invalizi",IF(L1140&gt;'Config_v6'!$B$13,"Dispersie peste limita",IF(W1140="WATCH","Failure peste limita",IF(AB1140&lt;'Config_v6'!$B$16,"P finala sub prag",IF(V1140&lt;'Config_v6'!$B$18,"Confidence sub prag",IF(E1140="REPLAY","Exemplu retrospectiv; exclus din Top LIVE",IF(Y1140="PASS","DEFENSIV validat",IF(W1140="OOS PENDING","Eligibil; calibrare linie in monitorizare","Eligibil"))))))))))</x:f>
      </x:c>
      <x:c r="AI1140" s="2" t="str">
        <x:f>IF(B1140="","",'Calibrare_Linii'!V6)</x:f>
      </x:c>
      <x:c r="AJ1140" s="2" t="str">
        <x:f>IF(B1140="","",IF(AND('Calibrare_Linii'!T6="VALIDATED",AND('Calibrare_Linii'!H6=C1140,ISNUMBER('Calibrare_Linii'!J6),'Calibrare_Linii'!J6&lt;='Input_Meci'!G87)),"DEFENSIVE VALIDATED",IF(AND('Calibrare_Linii'!S6="VALIDATED",AND('Calibrare_Linii'!H6=C1140,ISNUMBER('Calibrare_Linii'!J6),'Calibrare_Linii'!J6&lt;='Input_Meci'!G87)),"TAIL VALIDATED","OOS PENDING")))</x:f>
      </x:c>
      <x:c r="AK1140" s="2" t="n">
        <x:f>IF(J1140&lt;&gt;"PASS",0,'Motor_Meciuri'!BR87)</x:f>
        <x:v>0</x:v>
      </x:c>
      <x:c r="AL1140" s="2" t="n">
        <x:f>IF(J1140&lt;&gt;"PASS",0,'Motor_Meciuri'!BS87)</x:f>
        <x:v>0</x:v>
      </x:c>
      <x:c r="AM1140" s="2" t="n">
        <x:f>IF(J1140&lt;&gt;"PASS",0,'Motor_Meciuri'!BT87)</x:f>
        <x:v>0</x:v>
      </x:c>
      <x:c r="AN1140" s="2" t="str">
        <x:f>IF(M1140="","",MAX(0,'Motor_Meciuri'!BF87-IF(L1140&gt;'Config_v6'!$B$12,'Config_v6'!$B$37,IF(L1140&gt;'Config_v6'!$B$11,'Config_v6'!$B$36,0))))</x:f>
      </x:c>
    </x:row>
    <x:row r="1141" ht="21" customHeight="1">
      <x:c r="A1141" s="2" t="n">
        <x:v>82</x:v>
      </x:c>
      <x:c r="B1141" s="2" t="str">
        <x:f>IF('Motor_Meciuri'!A87="","",'Motor_Meciuri'!A87)</x:f>
      </x:c>
      <x:c r="C1141" s="2" t="str">
        <x:f>IF(B1141="","",'Motor_Meciuri'!B87)</x:f>
      </x:c>
      <x:c r="D1141" s="2" t="str">
        <x:f>IF(B1141="","",'Motor_Meciuri'!D87)</x:f>
      </x:c>
      <x:c r="E1141" s="2" t="str">
        <x:f>IF(B1141="","",'Motor_Meciuri'!E87)</x:f>
      </x:c>
      <x:c r="F1141" s="2" t="str">
        <x:v>O4,5</x:v>
      </x:c>
      <x:c r="G1141" s="2" t="str">
        <x:v>OVER</x:v>
      </x:c>
      <x:c r="H1141" s="2" t="n">
        <x:v>4</x:v>
      </x:c>
      <x:c r="I1141" s="2" t="str">
        <x:f>IF(B1141="","",'Motor_Meciuri'!H87)</x:f>
      </x:c>
      <x:c r="J1141" s="2" t="str">
        <x:f>IF(B1141="","",'Motor_Meciuri'!I87)</x:f>
      </x:c>
      <x:c r="K1141" s="11" t="str">
        <x:f>IF(J1141&lt;&gt;"PASS","",'Motor_Meciuri'!BD87)</x:f>
      </x:c>
      <x:c r="L1141" s="11" t="str">
        <x:f>IF(J1141&lt;&gt;"PASS","",'Motor_Meciuri'!AU87)</x:f>
      </x:c>
      <x:c r="M1141" s="10" t="str">
        <x:f>IF(NOT(AND(J1141="PASS",'Calibrare_Linii'!U7="VALID")),"",1-'Distributie'!AB87)</x:f>
      </x:c>
      <x:c r="N1141" s="10" t="str">
        <x:f>IF(M1141="","",MAX(0.01,MIN(0.99,0.5+(M1141-0.5)*'Motor_Meciuri'!BG87*'Calibrare_Linii'!D7)))</x:f>
      </x:c>
      <x:c r="O1141" s="10" t="str">
        <x:f>IF(M1141="","",1-M1141)</x:f>
      </x:c>
      <x:c r="P1141" s="10" t="str">
        <x:f>IF(OR(NOT(AND(J1141="PASS",'Calibrare_Linii'!U7="VALID")),AK1141=0),""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*('Istoric_Nativ'!$Q$6:$Q$405&lt;=H1141))/AK1141)</x:f>
      </x:c>
      <x:c r="Q1141" s="10" t="str">
        <x:f>IF(OR(NOT(AND(J1141="PASS",'Calibrare_Linii'!U7="VALID")),AL1141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M87)+((('Istoric_Nativ'!$E$6:$E$405='Input_Meci'!E87)+('Istoric_Nativ'!$F$6:$F$405='Input_Meci'!E87))&gt;0)*('Istoric_Nativ'!$D$6:$D$405&gt;='Motor_Meciuri'!BN87))&gt;0)*('Istoric_Nativ'!$Q$6:$Q$405&lt;=H1141))/AL1141)</x:f>
      </x:c>
      <x:c r="R1141" s="10" t="str">
        <x:f>IF(OR(NOT(AND(J1141="PASS",'Calibrare_Linii'!U7="VALID")),AM1141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O87)+((('Istoric_Nativ'!$E$6:$E$405='Input_Meci'!E87)+('Istoric_Nativ'!$F$6:$F$405='Input_Meci'!E87))&gt;0)*('Istoric_Nativ'!$D$6:$D$405&gt;='Motor_Meciuri'!BP87))&gt;0)*('Istoric_Nativ'!$Q$6:$Q$405&lt;=H1141))/AM1141)</x:f>
      </x:c>
      <x:c r="S1141" s="10" t="str">
        <x:f>IF(M1141="","",MAX(O1141,P1141,Q1141,R1141))</x:f>
      </x:c>
      <x:c r="T1141" s="11" t="str">
        <x:f>IF(M1141="","",MIN(100,S1141*100*'Config_v6'!$B$44+MIN(100,L1141/'Config_v6'!$B$13*100)*'Config_v6'!$B$45+(100-'Motor_Meciuri'!BF87)*'Config_v6'!$B$46+'Motor_Meciuri'!BH87*100*'Config_v6'!$B$47))</x:f>
      </x:c>
      <x:c r="U1141" s="2" t="str">
        <x:f>IF(T1141="","",IF(T1141&lt;=20,1,IF(T1141&lt;=40,2,IF(T1141&lt;=60,3,IF(T1141&lt;=80,4,5)))))</x:f>
      </x:c>
      <x:c r="V1141" s="2" t="str">
        <x:f>IF(M1141="","",MAX(0,'Motor_Meciuri'!BF87-IF(W1141="OOS PENDING",'Config_v6'!$B$35,0)-IF(L1141&gt;'Config_v6'!$B$12,'Config_v6'!$B$37,IF(L1141&gt;'Config_v6'!$B$11,'Config_v6'!$B$36,0))))</x:f>
      </x:c>
      <x:c r="W1141" s="2" t="str">
        <x:f>IF(B1141="","",IF(I1141&lt;&gt;"READY","NOT RELEASED",IF(NOT(AND(J1141="PASS",'Calibrare_Linii'!U7="VALID")),"INVALID",IF(NOT(AND('Calibrare_Linii'!S7="VALIDATED",AND('Calibrare_Linii'!H7=C1141,ISNUMBER('Calibrare_Linii'!J7),'Calibrare_Linii'!J7&lt;='Input_Meci'!G87))),"OOS PENDING",IF(S1141&lt;='Calibrare_Linii'!E7,"PASS",IF(S1141&lt;='Calibrare_Linii'!F7,"PENALTY","WATCH"))))))</x:f>
      </x:c>
      <x:c r="X1141" s="2" t="str">
        <x:f>IF(M1141="","",IF(AND(AND(J1141="PASS",'Calibrare_Linii'!U7="VALID"),'Motor_Meciuri'!K87=12,'Motor_Meciuri'!L87=12,'Motor_Meciuri'!M87="NO",'Motor_Meciuri'!BL87='Motor_Meciuri'!C87,AB1141&gt;='Config_v6'!$B$50,AN1141&gt;='Config_v6'!$B$51,T1141&lt;='Config_v6'!$B$52,L1141&lt;='Config_v6'!$B$53,ISNUMBER('Calibrare_Linii'!E7),S1141&lt;='Calibrare_Linii'!E7,SUM(AK1141:AM1141)&gt;0),"CANDIDATE","NO"))</x:f>
      </x:c>
      <x:c r="Y1141" s="2" t="str">
        <x:f>IF(B1141="","",IF(I1141&lt;&gt;"READY","NOT RELEASED",IF(AND(X1141="CANDIDATE",V1141&gt;='Config_v6'!$B$51,W1141="PASS",'Calibrare_Linii'!T7="VALIDATED",AND('Calibrare_Linii'!H7=C1141,ISNUMBER('Calibrare_Linii'!J7),'Calibrare_Linii'!J7&lt;='Input_Meci'!G87)),"PASS",IF(X1141="CANDIDATE","OOS PENDING","FAIL"))))</x:f>
      </x:c>
      <x:c r="Z1141" s="2" t="str">
        <x:f>IF(B1141="","",IF(I1141&lt;&gt;"READY","",IF(OR(NOT(AND(J1141="PASS",'Calibrare_Linii'!U7="VALID")),L1141&gt;'Config_v6'!$B$13,W1141="WATCH"),5,IF(Y1141="PASS",1,MIN(5,MAX('Config_v6'!$B$42,U1141)+IF(W1141="PENALTY",1,0))))))</x:f>
      </x:c>
      <x:c r="AA1141" s="2" t="str">
        <x:f>IF(B1141="","",IF(I1141&lt;&gt;"READY","NOT RELEASED",IF(Z1141=5,"NO BET",IF(OR(AB1141&lt;'Config_v6'!$B$16,V1141&lt;'Config_v6'!$B$18),"WATCH",IF(Z1141=1,"DEFENSIV",IF(Z1141=2,"PRUDENT",IF(Z1141=3,"MODERAT","RIDICAT")))))))</x:f>
      </x:c>
      <x:c r="AB1141" s="10" t="str">
        <x:f>IF(N1141="","",MIN(N1141,1-S1141))</x:f>
      </x:c>
      <x:c r="AC1141" s="2" t="str">
        <x:f>IF(AD1141&lt;&gt;1,"",COUNTIFS($Z$1140:$Z$1153,"&lt;"&amp;Z1141,$AD$1140:$AD$1153,1)+COUNTIFS($Z$1140:$Z$1153,Z1141,$AB$1140:$AB$1153,"&gt;"&amp;AB1141,$AD$1140:$AD$1153,1)+COUNTIFS($Z$1140:$Z$1153,Z1141,$AB$1140:$AB$1153,AB1141,$V$1140:$V$1153,"&gt;"&amp;V1141,$AD$1140:$AD$1153,1)+COUNTIFS($Z$1140:Z1141,Z1141,$AB$1140:AB1141,AB1141,$V$1140:V1141,V1141,$AD$1140:AD1141,1))</x:f>
      </x:c>
      <x:c r="AD1141" s="2" t="n">
        <x:f>IF(OR(AA1141="DEFENSIV",AA1141="PRUDENT",AA1141="MODERAT",AA1141="RIDICAT"),1,0)</x:f>
        <x:v>0</x:v>
      </x:c>
      <x:c r="AE1141" s="2" t="str">
        <x:f>IF(AD1141&lt;&gt;1,"NO",IF(W1141="PASS","YES",IF(W1141="OOS PENDING","CONDITIONAL","NO")))</x:f>
        <x:v>NO</x:v>
      </x:c>
      <x:c r="AF1141" s="2" t="n">
        <x:f>IF(AND(AD1141=1,AC1141=1,E1141="LIVE"),1,0)</x:f>
        <x:v>0</x:v>
      </x:c>
      <x:c r="AG1141" s="2" t="str">
        <x:f>IF(AF1141&lt;&gt;1,"",'Dashboard'!P107)</x:f>
      </x:c>
      <x:c r="AH1141" s="2" t="str">
        <x:f>IF(B1141="","",IF(J1141&lt;&gt;"PASS",'Motor_Meciuri'!J87,IF('Calibrare_Linii'!U7&lt;&gt;"VALID","Parametri linie invalizi",IF(L1141&gt;'Config_v6'!$B$13,"Dispersie peste limita",IF(W1141="WATCH","Failure peste limita",IF(AB1141&lt;'Config_v6'!$B$16,"P finala sub prag",IF(V1141&lt;'Config_v6'!$B$18,"Confidence sub prag",IF(E1141="REPLAY","Exemplu retrospectiv; exclus din Top LIVE",IF(Y1141="PASS","DEFENSIV validat",IF(W1141="OOS PENDING","Eligibil; calibrare linie in monitorizare","Eligibil"))))))))))</x:f>
      </x:c>
      <x:c r="AI1141" s="2" t="str">
        <x:f>IF(B1141="","",'Calibrare_Linii'!V7)</x:f>
      </x:c>
      <x:c r="AJ1141" s="2" t="str">
        <x:f>IF(B1141="","",IF(AND('Calibrare_Linii'!T7="VALIDATED",AND('Calibrare_Linii'!H7=C1141,ISNUMBER('Calibrare_Linii'!J7),'Calibrare_Linii'!J7&lt;='Input_Meci'!G87)),"DEFENSIVE VALIDATED",IF(AND('Calibrare_Linii'!S7="VALIDATED",AND('Calibrare_Linii'!H7=C1141,ISNUMBER('Calibrare_Linii'!J7),'Calibrare_Linii'!J7&lt;='Input_Meci'!G87)),"TAIL VALIDATED","OOS PENDING")))</x:f>
      </x:c>
      <x:c r="AK1141" s="2" t="n">
        <x:f>IF(J1141&lt;&gt;"PASS",0,'Motor_Meciuri'!BR87)</x:f>
        <x:v>0</x:v>
      </x:c>
      <x:c r="AL1141" s="2" t="n">
        <x:f>IF(J1141&lt;&gt;"PASS",0,'Motor_Meciuri'!BS87)</x:f>
        <x:v>0</x:v>
      </x:c>
      <x:c r="AM1141" s="2" t="n">
        <x:f>IF(J1141&lt;&gt;"PASS",0,'Motor_Meciuri'!BT87)</x:f>
        <x:v>0</x:v>
      </x:c>
      <x:c r="AN1141" s="2" t="str">
        <x:f>IF(M1141="","",MAX(0,'Motor_Meciuri'!BF87-IF(L1141&gt;'Config_v6'!$B$12,'Config_v6'!$B$37,IF(L1141&gt;'Config_v6'!$B$11,'Config_v6'!$B$36,0))))</x:f>
      </x:c>
    </x:row>
    <x:row r="1142" ht="21" customHeight="1">
      <x:c r="A1142" s="2" t="n">
        <x:v>82</x:v>
      </x:c>
      <x:c r="B1142" s="2" t="str">
        <x:f>IF('Motor_Meciuri'!A87="","",'Motor_Meciuri'!A87)</x:f>
      </x:c>
      <x:c r="C1142" s="2" t="str">
        <x:f>IF(B1142="","",'Motor_Meciuri'!B87)</x:f>
      </x:c>
      <x:c r="D1142" s="2" t="str">
        <x:f>IF(B1142="","",'Motor_Meciuri'!D87)</x:f>
      </x:c>
      <x:c r="E1142" s="2" t="str">
        <x:f>IF(B1142="","",'Motor_Meciuri'!E87)</x:f>
      </x:c>
      <x:c r="F1142" s="2" t="str">
        <x:v>O5,5</x:v>
      </x:c>
      <x:c r="G1142" s="2" t="str">
        <x:v>OVER</x:v>
      </x:c>
      <x:c r="H1142" s="2" t="n">
        <x:v>5</x:v>
      </x:c>
      <x:c r="I1142" s="2" t="str">
        <x:f>IF(B1142="","",'Motor_Meciuri'!H87)</x:f>
      </x:c>
      <x:c r="J1142" s="2" t="str">
        <x:f>IF(B1142="","",'Motor_Meciuri'!I87)</x:f>
      </x:c>
      <x:c r="K1142" s="11" t="str">
        <x:f>IF(J1142&lt;&gt;"PASS","",'Motor_Meciuri'!BD87)</x:f>
      </x:c>
      <x:c r="L1142" s="11" t="str">
        <x:f>IF(J1142&lt;&gt;"PASS","",'Motor_Meciuri'!AU87)</x:f>
      </x:c>
      <x:c r="M1142" s="10" t="str">
        <x:f>IF(NOT(AND(J1142="PASS",'Calibrare_Linii'!U8="VALID")),"",1-'Distributie'!AC87)</x:f>
      </x:c>
      <x:c r="N1142" s="10" t="str">
        <x:f>IF(M1142="","",MAX(0.01,MIN(0.99,0.5+(M1142-0.5)*'Motor_Meciuri'!BG87*'Calibrare_Linii'!D8)))</x:f>
      </x:c>
      <x:c r="O1142" s="10" t="str">
        <x:f>IF(M1142="","",1-M1142)</x:f>
      </x:c>
      <x:c r="P1142" s="10" t="str">
        <x:f>IF(OR(NOT(AND(J1142="PASS",'Calibrare_Linii'!U8="VALID")),AK1142=0),""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*('Istoric_Nativ'!$Q$6:$Q$405&lt;=H1142))/AK1142)</x:f>
      </x:c>
      <x:c r="Q1142" s="10" t="str">
        <x:f>IF(OR(NOT(AND(J1142="PASS",'Calibrare_Linii'!U8="VALID")),AL1142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M87)+((('Istoric_Nativ'!$E$6:$E$405='Input_Meci'!E87)+('Istoric_Nativ'!$F$6:$F$405='Input_Meci'!E87))&gt;0)*('Istoric_Nativ'!$D$6:$D$405&gt;='Motor_Meciuri'!BN87))&gt;0)*('Istoric_Nativ'!$Q$6:$Q$405&lt;=H1142))/AL1142)</x:f>
      </x:c>
      <x:c r="R1142" s="10" t="str">
        <x:f>IF(OR(NOT(AND(J1142="PASS",'Calibrare_Linii'!U8="VALID")),AM1142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O87)+((('Istoric_Nativ'!$E$6:$E$405='Input_Meci'!E87)+('Istoric_Nativ'!$F$6:$F$405='Input_Meci'!E87))&gt;0)*('Istoric_Nativ'!$D$6:$D$405&gt;='Motor_Meciuri'!BP87))&gt;0)*('Istoric_Nativ'!$Q$6:$Q$405&lt;=H1142))/AM1142)</x:f>
      </x:c>
      <x:c r="S1142" s="10" t="str">
        <x:f>IF(M1142="","",MAX(O1142,P1142,Q1142,R1142))</x:f>
      </x:c>
      <x:c r="T1142" s="11" t="str">
        <x:f>IF(M1142="","",MIN(100,S1142*100*'Config_v6'!$B$44+MIN(100,L1142/'Config_v6'!$B$13*100)*'Config_v6'!$B$45+(100-'Motor_Meciuri'!BF87)*'Config_v6'!$B$46+'Motor_Meciuri'!BH87*100*'Config_v6'!$B$47))</x:f>
      </x:c>
      <x:c r="U1142" s="2" t="str">
        <x:f>IF(T1142="","",IF(T1142&lt;=20,1,IF(T1142&lt;=40,2,IF(T1142&lt;=60,3,IF(T1142&lt;=80,4,5)))))</x:f>
      </x:c>
      <x:c r="V1142" s="2" t="str">
        <x:f>IF(M1142="","",MAX(0,'Motor_Meciuri'!BF87-IF(W1142="OOS PENDING",'Config_v6'!$B$35,0)-IF(L1142&gt;'Config_v6'!$B$12,'Config_v6'!$B$37,IF(L1142&gt;'Config_v6'!$B$11,'Config_v6'!$B$36,0))))</x:f>
      </x:c>
      <x:c r="W1142" s="2" t="str">
        <x:f>IF(B1142="","",IF(I1142&lt;&gt;"READY","NOT RELEASED",IF(NOT(AND(J1142="PASS",'Calibrare_Linii'!U8="VALID")),"INVALID",IF(NOT(AND('Calibrare_Linii'!S8="VALIDATED",AND('Calibrare_Linii'!H8=C1142,ISNUMBER('Calibrare_Linii'!J8),'Calibrare_Linii'!J8&lt;='Input_Meci'!G87))),"OOS PENDING",IF(S1142&lt;='Calibrare_Linii'!E8,"PASS",IF(S1142&lt;='Calibrare_Linii'!F8,"PENALTY","WATCH"))))))</x:f>
      </x:c>
      <x:c r="X1142" s="2" t="str">
        <x:f>IF(M1142="","",IF(AND(AND(J1142="PASS",'Calibrare_Linii'!U8="VALID"),'Motor_Meciuri'!K87=12,'Motor_Meciuri'!L87=12,'Motor_Meciuri'!M87="NO",'Motor_Meciuri'!BL87='Motor_Meciuri'!C87,AB1142&gt;='Config_v6'!$B$50,AN1142&gt;='Config_v6'!$B$51,T1142&lt;='Config_v6'!$B$52,L1142&lt;='Config_v6'!$B$53,ISNUMBER('Calibrare_Linii'!E8),S1142&lt;='Calibrare_Linii'!E8,SUM(AK1142:AM1142)&gt;0),"CANDIDATE","NO"))</x:f>
      </x:c>
      <x:c r="Y1142" s="2" t="str">
        <x:f>IF(B1142="","",IF(I1142&lt;&gt;"READY","NOT RELEASED",IF(AND(X1142="CANDIDATE",V1142&gt;='Config_v6'!$B$51,W1142="PASS",'Calibrare_Linii'!T8="VALIDATED",AND('Calibrare_Linii'!H8=C1142,ISNUMBER('Calibrare_Linii'!J8),'Calibrare_Linii'!J8&lt;='Input_Meci'!G87)),"PASS",IF(X1142="CANDIDATE","OOS PENDING","FAIL"))))</x:f>
      </x:c>
      <x:c r="Z1142" s="2" t="str">
        <x:f>IF(B1142="","",IF(I1142&lt;&gt;"READY","",IF(OR(NOT(AND(J1142="PASS",'Calibrare_Linii'!U8="VALID")),L1142&gt;'Config_v6'!$B$13,W1142="WATCH"),5,IF(Y1142="PASS",1,MIN(5,MAX('Config_v6'!$B$42,U1142)+IF(W1142="PENALTY",1,0))))))</x:f>
      </x:c>
      <x:c r="AA1142" s="2" t="str">
        <x:f>IF(B1142="","",IF(I1142&lt;&gt;"READY","NOT RELEASED",IF(Z1142=5,"NO BET",IF(OR(AB1142&lt;'Config_v6'!$B$16,V1142&lt;'Config_v6'!$B$18),"WATCH",IF(Z1142=1,"DEFENSIV",IF(Z1142=2,"PRUDENT",IF(Z1142=3,"MODERAT","RIDICAT")))))))</x:f>
      </x:c>
      <x:c r="AB1142" s="10" t="str">
        <x:f>IF(N1142="","",MIN(N1142,1-S1142))</x:f>
      </x:c>
      <x:c r="AC1142" s="2" t="str">
        <x:f>IF(AD1142&lt;&gt;1,"",COUNTIFS($Z$1140:$Z$1153,"&lt;"&amp;Z1142,$AD$1140:$AD$1153,1)+COUNTIFS($Z$1140:$Z$1153,Z1142,$AB$1140:$AB$1153,"&gt;"&amp;AB1142,$AD$1140:$AD$1153,1)+COUNTIFS($Z$1140:$Z$1153,Z1142,$AB$1140:$AB$1153,AB1142,$V$1140:$V$1153,"&gt;"&amp;V1142,$AD$1140:$AD$1153,1)+COUNTIFS($Z$1140:Z1142,Z1142,$AB$1140:AB1142,AB1142,$V$1140:V1142,V1142,$AD$1140:AD1142,1))</x:f>
      </x:c>
      <x:c r="AD1142" s="2" t="n">
        <x:f>IF(OR(AA1142="DEFENSIV",AA1142="PRUDENT",AA1142="MODERAT",AA1142="RIDICAT"),1,0)</x:f>
        <x:v>0</x:v>
      </x:c>
      <x:c r="AE1142" s="2" t="str">
        <x:f>IF(AD1142&lt;&gt;1,"NO",IF(W1142="PASS","YES",IF(W1142="OOS PENDING","CONDITIONAL","NO")))</x:f>
        <x:v>NO</x:v>
      </x:c>
      <x:c r="AF1142" s="2" t="n">
        <x:f>IF(AND(AD1142=1,AC1142=1,E1142="LIVE"),1,0)</x:f>
        <x:v>0</x:v>
      </x:c>
      <x:c r="AG1142" s="2" t="str">
        <x:f>IF(AF1142&lt;&gt;1,"",'Dashboard'!P107)</x:f>
      </x:c>
      <x:c r="AH1142" s="2" t="str">
        <x:f>IF(B1142="","",IF(J1142&lt;&gt;"PASS",'Motor_Meciuri'!J87,IF('Calibrare_Linii'!U8&lt;&gt;"VALID","Parametri linie invalizi",IF(L1142&gt;'Config_v6'!$B$13,"Dispersie peste limita",IF(W1142="WATCH","Failure peste limita",IF(AB1142&lt;'Config_v6'!$B$16,"P finala sub prag",IF(V1142&lt;'Config_v6'!$B$18,"Confidence sub prag",IF(E1142="REPLAY","Exemplu retrospectiv; exclus din Top LIVE",IF(Y1142="PASS","DEFENSIV validat",IF(W1142="OOS PENDING","Eligibil; calibrare linie in monitorizare","Eligibil"))))))))))</x:f>
      </x:c>
      <x:c r="AI1142" s="2" t="str">
        <x:f>IF(B1142="","",'Calibrare_Linii'!V8)</x:f>
      </x:c>
      <x:c r="AJ1142" s="2" t="str">
        <x:f>IF(B1142="","",IF(AND('Calibrare_Linii'!T8="VALIDATED",AND('Calibrare_Linii'!H8=C1142,ISNUMBER('Calibrare_Linii'!J8),'Calibrare_Linii'!J8&lt;='Input_Meci'!G87)),"DEFENSIVE VALIDATED",IF(AND('Calibrare_Linii'!S8="VALIDATED",AND('Calibrare_Linii'!H8=C1142,ISNUMBER('Calibrare_Linii'!J8),'Calibrare_Linii'!J8&lt;='Input_Meci'!G87)),"TAIL VALIDATED","OOS PENDING")))</x:f>
      </x:c>
      <x:c r="AK1142" s="2" t="n">
        <x:f>IF(J1142&lt;&gt;"PASS",0,'Motor_Meciuri'!BR87)</x:f>
        <x:v>0</x:v>
      </x:c>
      <x:c r="AL1142" s="2" t="n">
        <x:f>IF(J1142&lt;&gt;"PASS",0,'Motor_Meciuri'!BS87)</x:f>
        <x:v>0</x:v>
      </x:c>
      <x:c r="AM1142" s="2" t="n">
        <x:f>IF(J1142&lt;&gt;"PASS",0,'Motor_Meciuri'!BT87)</x:f>
        <x:v>0</x:v>
      </x:c>
      <x:c r="AN1142" s="2" t="str">
        <x:f>IF(M1142="","",MAX(0,'Motor_Meciuri'!BF87-IF(L1142&gt;'Config_v6'!$B$12,'Config_v6'!$B$37,IF(L1142&gt;'Config_v6'!$B$11,'Config_v6'!$B$36,0))))</x:f>
      </x:c>
    </x:row>
    <x:row r="1143" ht="21" customHeight="1">
      <x:c r="A1143" s="2" t="n">
        <x:v>82</x:v>
      </x:c>
      <x:c r="B1143" s="2" t="str">
        <x:f>IF('Motor_Meciuri'!A87="","",'Motor_Meciuri'!A87)</x:f>
      </x:c>
      <x:c r="C1143" s="2" t="str">
        <x:f>IF(B1143="","",'Motor_Meciuri'!B87)</x:f>
      </x:c>
      <x:c r="D1143" s="2" t="str">
        <x:f>IF(B1143="","",'Motor_Meciuri'!D87)</x:f>
      </x:c>
      <x:c r="E1143" s="2" t="str">
        <x:f>IF(B1143="","",'Motor_Meciuri'!E87)</x:f>
      </x:c>
      <x:c r="F1143" s="2" t="str">
        <x:v>O6,5</x:v>
      </x:c>
      <x:c r="G1143" s="2" t="str">
        <x:v>OVER</x:v>
      </x:c>
      <x:c r="H1143" s="2" t="n">
        <x:v>6</x:v>
      </x:c>
      <x:c r="I1143" s="2" t="str">
        <x:f>IF(B1143="","",'Motor_Meciuri'!H87)</x:f>
      </x:c>
      <x:c r="J1143" s="2" t="str">
        <x:f>IF(B1143="","",'Motor_Meciuri'!I87)</x:f>
      </x:c>
      <x:c r="K1143" s="11" t="str">
        <x:f>IF(J1143&lt;&gt;"PASS","",'Motor_Meciuri'!BD87)</x:f>
      </x:c>
      <x:c r="L1143" s="11" t="str">
        <x:f>IF(J1143&lt;&gt;"PASS","",'Motor_Meciuri'!AU87)</x:f>
      </x:c>
      <x:c r="M1143" s="10" t="str">
        <x:f>IF(NOT(AND(J1143="PASS",'Calibrare_Linii'!U9="VALID")),"",1-'Distributie'!AD87)</x:f>
      </x:c>
      <x:c r="N1143" s="10" t="str">
        <x:f>IF(M1143="","",MAX(0.01,MIN(0.99,0.5+(M1143-0.5)*'Motor_Meciuri'!BG87*'Calibrare_Linii'!D9)))</x:f>
      </x:c>
      <x:c r="O1143" s="10" t="str">
        <x:f>IF(M1143="","",1-M1143)</x:f>
      </x:c>
      <x:c r="P1143" s="10" t="str">
        <x:f>IF(OR(NOT(AND(J1143="PASS",'Calibrare_Linii'!U9="VALID")),AK1143=0),""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*('Istoric_Nativ'!$Q$6:$Q$405&lt;=H1143))/AK1143)</x:f>
      </x:c>
      <x:c r="Q1143" s="10" t="str">
        <x:f>IF(OR(NOT(AND(J1143="PASS",'Calibrare_Linii'!U9="VALID")),AL1143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M87)+((('Istoric_Nativ'!$E$6:$E$405='Input_Meci'!E87)+('Istoric_Nativ'!$F$6:$F$405='Input_Meci'!E87))&gt;0)*('Istoric_Nativ'!$D$6:$D$405&gt;='Motor_Meciuri'!BN87))&gt;0)*('Istoric_Nativ'!$Q$6:$Q$405&lt;=H1143))/AL1143)</x:f>
      </x:c>
      <x:c r="R1143" s="10" t="str">
        <x:f>IF(OR(NOT(AND(J1143="PASS",'Calibrare_Linii'!U9="VALID")),AM1143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O87)+((('Istoric_Nativ'!$E$6:$E$405='Input_Meci'!E87)+('Istoric_Nativ'!$F$6:$F$405='Input_Meci'!E87))&gt;0)*('Istoric_Nativ'!$D$6:$D$405&gt;='Motor_Meciuri'!BP87))&gt;0)*('Istoric_Nativ'!$Q$6:$Q$405&lt;=H1143))/AM1143)</x:f>
      </x:c>
      <x:c r="S1143" s="10" t="str">
        <x:f>IF(M1143="","",MAX(O1143,P1143,Q1143,R1143))</x:f>
      </x:c>
      <x:c r="T1143" s="11" t="str">
        <x:f>IF(M1143="","",MIN(100,S1143*100*'Config_v6'!$B$44+MIN(100,L1143/'Config_v6'!$B$13*100)*'Config_v6'!$B$45+(100-'Motor_Meciuri'!BF87)*'Config_v6'!$B$46+'Motor_Meciuri'!BH87*100*'Config_v6'!$B$47))</x:f>
      </x:c>
      <x:c r="U1143" s="2" t="str">
        <x:f>IF(T1143="","",IF(T1143&lt;=20,1,IF(T1143&lt;=40,2,IF(T1143&lt;=60,3,IF(T1143&lt;=80,4,5)))))</x:f>
      </x:c>
      <x:c r="V1143" s="2" t="str">
        <x:f>IF(M1143="","",MAX(0,'Motor_Meciuri'!BF87-IF(W1143="OOS PENDING",'Config_v6'!$B$35,0)-IF(L1143&gt;'Config_v6'!$B$12,'Config_v6'!$B$37,IF(L1143&gt;'Config_v6'!$B$11,'Config_v6'!$B$36,0))))</x:f>
      </x:c>
      <x:c r="W1143" s="2" t="str">
        <x:f>IF(B1143="","",IF(I1143&lt;&gt;"READY","NOT RELEASED",IF(NOT(AND(J1143="PASS",'Calibrare_Linii'!U9="VALID")),"INVALID",IF(NOT(AND('Calibrare_Linii'!S9="VALIDATED",AND('Calibrare_Linii'!H9=C1143,ISNUMBER('Calibrare_Linii'!J9),'Calibrare_Linii'!J9&lt;='Input_Meci'!G87))),"OOS PENDING",IF(S1143&lt;='Calibrare_Linii'!E9,"PASS",IF(S1143&lt;='Calibrare_Linii'!F9,"PENALTY","WATCH"))))))</x:f>
      </x:c>
      <x:c r="X1143" s="2" t="str">
        <x:f>IF(M1143="","",IF(AND(AND(J1143="PASS",'Calibrare_Linii'!U9="VALID"),'Motor_Meciuri'!K87=12,'Motor_Meciuri'!L87=12,'Motor_Meciuri'!M87="NO",'Motor_Meciuri'!BL87='Motor_Meciuri'!C87,AB1143&gt;='Config_v6'!$B$50,AN1143&gt;='Config_v6'!$B$51,T1143&lt;='Config_v6'!$B$52,L1143&lt;='Config_v6'!$B$53,ISNUMBER('Calibrare_Linii'!E9),S1143&lt;='Calibrare_Linii'!E9,SUM(AK1143:AM1143)&gt;0),"CANDIDATE","NO"))</x:f>
      </x:c>
      <x:c r="Y1143" s="2" t="str">
        <x:f>IF(B1143="","",IF(I1143&lt;&gt;"READY","NOT RELEASED",IF(AND(X1143="CANDIDATE",V1143&gt;='Config_v6'!$B$51,W1143="PASS",'Calibrare_Linii'!T9="VALIDATED",AND('Calibrare_Linii'!H9=C1143,ISNUMBER('Calibrare_Linii'!J9),'Calibrare_Linii'!J9&lt;='Input_Meci'!G87)),"PASS",IF(X1143="CANDIDATE","OOS PENDING","FAIL"))))</x:f>
      </x:c>
      <x:c r="Z1143" s="2" t="str">
        <x:f>IF(B1143="","",IF(I1143&lt;&gt;"READY","",IF(OR(NOT(AND(J1143="PASS",'Calibrare_Linii'!U9="VALID")),L1143&gt;'Config_v6'!$B$13,W1143="WATCH"),5,IF(Y1143="PASS",1,MIN(5,MAX('Config_v6'!$B$42,U1143)+IF(W1143="PENALTY",1,0))))))</x:f>
      </x:c>
      <x:c r="AA1143" s="2" t="str">
        <x:f>IF(B1143="","",IF(I1143&lt;&gt;"READY","NOT RELEASED",IF(Z1143=5,"NO BET",IF(OR(AB1143&lt;'Config_v6'!$B$16,V1143&lt;'Config_v6'!$B$18),"WATCH",IF(Z1143=1,"DEFENSIV",IF(Z1143=2,"PRUDENT",IF(Z1143=3,"MODERAT","RIDICAT")))))))</x:f>
      </x:c>
      <x:c r="AB1143" s="10" t="str">
        <x:f>IF(N1143="","",MIN(N1143,1-S1143))</x:f>
      </x:c>
      <x:c r="AC1143" s="2" t="str">
        <x:f>IF(AD1143&lt;&gt;1,"",COUNTIFS($Z$1140:$Z$1153,"&lt;"&amp;Z1143,$AD$1140:$AD$1153,1)+COUNTIFS($Z$1140:$Z$1153,Z1143,$AB$1140:$AB$1153,"&gt;"&amp;AB1143,$AD$1140:$AD$1153,1)+COUNTIFS($Z$1140:$Z$1153,Z1143,$AB$1140:$AB$1153,AB1143,$V$1140:$V$1153,"&gt;"&amp;V1143,$AD$1140:$AD$1153,1)+COUNTIFS($Z$1140:Z1143,Z1143,$AB$1140:AB1143,AB1143,$V$1140:V1143,V1143,$AD$1140:AD1143,1))</x:f>
      </x:c>
      <x:c r="AD1143" s="2" t="n">
        <x:f>IF(OR(AA1143="DEFENSIV",AA1143="PRUDENT",AA1143="MODERAT",AA1143="RIDICAT"),1,0)</x:f>
        <x:v>0</x:v>
      </x:c>
      <x:c r="AE1143" s="2" t="str">
        <x:f>IF(AD1143&lt;&gt;1,"NO",IF(W1143="PASS","YES",IF(W1143="OOS PENDING","CONDITIONAL","NO")))</x:f>
        <x:v>NO</x:v>
      </x:c>
      <x:c r="AF1143" s="2" t="n">
        <x:f>IF(AND(AD1143=1,AC1143=1,E1143="LIVE"),1,0)</x:f>
        <x:v>0</x:v>
      </x:c>
      <x:c r="AG1143" s="2" t="str">
        <x:f>IF(AF1143&lt;&gt;1,"",'Dashboard'!P107)</x:f>
      </x:c>
      <x:c r="AH1143" s="2" t="str">
        <x:f>IF(B1143="","",IF(J1143&lt;&gt;"PASS",'Motor_Meciuri'!J87,IF('Calibrare_Linii'!U9&lt;&gt;"VALID","Parametri linie invalizi",IF(L1143&gt;'Config_v6'!$B$13,"Dispersie peste limita",IF(W1143="WATCH","Failure peste limita",IF(AB1143&lt;'Config_v6'!$B$16,"P finala sub prag",IF(V1143&lt;'Config_v6'!$B$18,"Confidence sub prag",IF(E1143="REPLAY","Exemplu retrospectiv; exclus din Top LIVE",IF(Y1143="PASS","DEFENSIV validat",IF(W1143="OOS PENDING","Eligibil; calibrare linie in monitorizare","Eligibil"))))))))))</x:f>
      </x:c>
      <x:c r="AI1143" s="2" t="str">
        <x:f>IF(B1143="","",'Calibrare_Linii'!V9)</x:f>
      </x:c>
      <x:c r="AJ1143" s="2" t="str">
        <x:f>IF(B1143="","",IF(AND('Calibrare_Linii'!T9="VALIDATED",AND('Calibrare_Linii'!H9=C1143,ISNUMBER('Calibrare_Linii'!J9),'Calibrare_Linii'!J9&lt;='Input_Meci'!G87)),"DEFENSIVE VALIDATED",IF(AND('Calibrare_Linii'!S9="VALIDATED",AND('Calibrare_Linii'!H9=C1143,ISNUMBER('Calibrare_Linii'!J9),'Calibrare_Linii'!J9&lt;='Input_Meci'!G87)),"TAIL VALIDATED","OOS PENDING")))</x:f>
      </x:c>
      <x:c r="AK1143" s="2" t="n">
        <x:f>IF(J1143&lt;&gt;"PASS",0,'Motor_Meciuri'!BR87)</x:f>
        <x:v>0</x:v>
      </x:c>
      <x:c r="AL1143" s="2" t="n">
        <x:f>IF(J1143&lt;&gt;"PASS",0,'Motor_Meciuri'!BS87)</x:f>
        <x:v>0</x:v>
      </x:c>
      <x:c r="AM1143" s="2" t="n">
        <x:f>IF(J1143&lt;&gt;"PASS",0,'Motor_Meciuri'!BT87)</x:f>
        <x:v>0</x:v>
      </x:c>
      <x:c r="AN1143" s="2" t="str">
        <x:f>IF(M1143="","",MAX(0,'Motor_Meciuri'!BF87-IF(L1143&gt;'Config_v6'!$B$12,'Config_v6'!$B$37,IF(L1143&gt;'Config_v6'!$B$11,'Config_v6'!$B$36,0))))</x:f>
      </x:c>
    </x:row>
    <x:row r="1144" ht="21" customHeight="1">
      <x:c r="A1144" s="2" t="n">
        <x:v>82</x:v>
      </x:c>
      <x:c r="B1144" s="2" t="str">
        <x:f>IF('Motor_Meciuri'!A87="","",'Motor_Meciuri'!A87)</x:f>
      </x:c>
      <x:c r="C1144" s="2" t="str">
        <x:f>IF(B1144="","",'Motor_Meciuri'!B87)</x:f>
      </x:c>
      <x:c r="D1144" s="2" t="str">
        <x:f>IF(B1144="","",'Motor_Meciuri'!D87)</x:f>
      </x:c>
      <x:c r="E1144" s="2" t="str">
        <x:f>IF(B1144="","",'Motor_Meciuri'!E87)</x:f>
      </x:c>
      <x:c r="F1144" s="2" t="str">
        <x:v>O7,5</x:v>
      </x:c>
      <x:c r="G1144" s="2" t="str">
        <x:v>OVER</x:v>
      </x:c>
      <x:c r="H1144" s="2" t="n">
        <x:v>7</x:v>
      </x:c>
      <x:c r="I1144" s="2" t="str">
        <x:f>IF(B1144="","",'Motor_Meciuri'!H87)</x:f>
      </x:c>
      <x:c r="J1144" s="2" t="str">
        <x:f>IF(B1144="","",'Motor_Meciuri'!I87)</x:f>
      </x:c>
      <x:c r="K1144" s="11" t="str">
        <x:f>IF(J1144&lt;&gt;"PASS","",'Motor_Meciuri'!BD87)</x:f>
      </x:c>
      <x:c r="L1144" s="11" t="str">
        <x:f>IF(J1144&lt;&gt;"PASS","",'Motor_Meciuri'!AU87)</x:f>
      </x:c>
      <x:c r="M1144" s="10" t="str">
        <x:f>IF(NOT(AND(J1144="PASS",'Calibrare_Linii'!U10="VALID")),"",1-'Distributie'!AE87)</x:f>
      </x:c>
      <x:c r="N1144" s="10" t="str">
        <x:f>IF(M1144="","",MAX(0.01,MIN(0.99,0.5+(M1144-0.5)*'Motor_Meciuri'!BG87*'Calibrare_Linii'!D10)))</x:f>
      </x:c>
      <x:c r="O1144" s="10" t="str">
        <x:f>IF(M1144="","",1-M1144)</x:f>
      </x:c>
      <x:c r="P1144" s="10" t="str">
        <x:f>IF(OR(NOT(AND(J1144="PASS",'Calibrare_Linii'!U10="VALID")),AK1144=0),""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*('Istoric_Nativ'!$Q$6:$Q$405&lt;=H1144))/AK1144)</x:f>
      </x:c>
      <x:c r="Q1144" s="10" t="str">
        <x:f>IF(OR(NOT(AND(J1144="PASS",'Calibrare_Linii'!U10="VALID")),AL1144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M87)+((('Istoric_Nativ'!$E$6:$E$405='Input_Meci'!E87)+('Istoric_Nativ'!$F$6:$F$405='Input_Meci'!E87))&gt;0)*('Istoric_Nativ'!$D$6:$D$405&gt;='Motor_Meciuri'!BN87))&gt;0)*('Istoric_Nativ'!$Q$6:$Q$405&lt;=H1144))/AL1144)</x:f>
      </x:c>
      <x:c r="R1144" s="10" t="str">
        <x:f>IF(OR(NOT(AND(J1144="PASS",'Calibrare_Linii'!U10="VALID")),AM1144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O87)+((('Istoric_Nativ'!$E$6:$E$405='Input_Meci'!E87)+('Istoric_Nativ'!$F$6:$F$405='Input_Meci'!E87))&gt;0)*('Istoric_Nativ'!$D$6:$D$405&gt;='Motor_Meciuri'!BP87))&gt;0)*('Istoric_Nativ'!$Q$6:$Q$405&lt;=H1144))/AM1144)</x:f>
      </x:c>
      <x:c r="S1144" s="10" t="str">
        <x:f>IF(M1144="","",MAX(O1144,P1144,Q1144,R1144))</x:f>
      </x:c>
      <x:c r="T1144" s="11" t="str">
        <x:f>IF(M1144="","",MIN(100,S1144*100*'Config_v6'!$B$44+MIN(100,L1144/'Config_v6'!$B$13*100)*'Config_v6'!$B$45+(100-'Motor_Meciuri'!BF87)*'Config_v6'!$B$46+'Motor_Meciuri'!BH87*100*'Config_v6'!$B$47))</x:f>
      </x:c>
      <x:c r="U1144" s="2" t="str">
        <x:f>IF(T1144="","",IF(T1144&lt;=20,1,IF(T1144&lt;=40,2,IF(T1144&lt;=60,3,IF(T1144&lt;=80,4,5)))))</x:f>
      </x:c>
      <x:c r="V1144" s="2" t="str">
        <x:f>IF(M1144="","",MAX(0,'Motor_Meciuri'!BF87-IF(W1144="OOS PENDING",'Config_v6'!$B$35,0)-IF(L1144&gt;'Config_v6'!$B$12,'Config_v6'!$B$37,IF(L1144&gt;'Config_v6'!$B$11,'Config_v6'!$B$36,0))))</x:f>
      </x:c>
      <x:c r="W1144" s="2" t="str">
        <x:f>IF(B1144="","",IF(I1144&lt;&gt;"READY","NOT RELEASED",IF(NOT(AND(J1144="PASS",'Calibrare_Linii'!U10="VALID")),"INVALID",IF(NOT(AND('Calibrare_Linii'!S10="VALIDATED",AND('Calibrare_Linii'!H10=C1144,ISNUMBER('Calibrare_Linii'!J10),'Calibrare_Linii'!J10&lt;='Input_Meci'!G87))),"OOS PENDING",IF(S1144&lt;='Calibrare_Linii'!E10,"PASS",IF(S1144&lt;='Calibrare_Linii'!F10,"PENALTY","WATCH"))))))</x:f>
      </x:c>
      <x:c r="X1144" s="2" t="str">
        <x:f>IF(M1144="","",IF(AND(AND(J1144="PASS",'Calibrare_Linii'!U10="VALID"),'Motor_Meciuri'!K87=12,'Motor_Meciuri'!L87=12,'Motor_Meciuri'!M87="NO",'Motor_Meciuri'!BL87='Motor_Meciuri'!C87,AB1144&gt;='Config_v6'!$B$50,AN1144&gt;='Config_v6'!$B$51,T1144&lt;='Config_v6'!$B$52,L1144&lt;='Config_v6'!$B$53,ISNUMBER('Calibrare_Linii'!E10),S1144&lt;='Calibrare_Linii'!E10,SUM(AK1144:AM1144)&gt;0),"CANDIDATE","NO"))</x:f>
      </x:c>
      <x:c r="Y1144" s="2" t="str">
        <x:f>IF(B1144="","",IF(I1144&lt;&gt;"READY","NOT RELEASED",IF(AND(X1144="CANDIDATE",V1144&gt;='Config_v6'!$B$51,W1144="PASS",'Calibrare_Linii'!T10="VALIDATED",AND('Calibrare_Linii'!H10=C1144,ISNUMBER('Calibrare_Linii'!J10),'Calibrare_Linii'!J10&lt;='Input_Meci'!G87)),"PASS",IF(X1144="CANDIDATE","OOS PENDING","FAIL"))))</x:f>
      </x:c>
      <x:c r="Z1144" s="2" t="str">
        <x:f>IF(B1144="","",IF(I1144&lt;&gt;"READY","",IF(OR(NOT(AND(J1144="PASS",'Calibrare_Linii'!U10="VALID")),L1144&gt;'Config_v6'!$B$13,W1144="WATCH"),5,IF(Y1144="PASS",1,MIN(5,MAX('Config_v6'!$B$42,U1144)+IF(W1144="PENALTY",1,0))))))</x:f>
      </x:c>
      <x:c r="AA1144" s="2" t="str">
        <x:f>IF(B1144="","",IF(I1144&lt;&gt;"READY","NOT RELEASED",IF(Z1144=5,"NO BET",IF(OR(AB1144&lt;'Config_v6'!$B$16,V1144&lt;'Config_v6'!$B$18),"WATCH",IF(Z1144=1,"DEFENSIV",IF(Z1144=2,"PRUDENT",IF(Z1144=3,"MODERAT","RIDICAT")))))))</x:f>
      </x:c>
      <x:c r="AB1144" s="10" t="str">
        <x:f>IF(N1144="","",MIN(N1144,1-S1144))</x:f>
      </x:c>
      <x:c r="AC1144" s="2" t="str">
        <x:f>IF(AD1144&lt;&gt;1,"",COUNTIFS($Z$1140:$Z$1153,"&lt;"&amp;Z1144,$AD$1140:$AD$1153,1)+COUNTIFS($Z$1140:$Z$1153,Z1144,$AB$1140:$AB$1153,"&gt;"&amp;AB1144,$AD$1140:$AD$1153,1)+COUNTIFS($Z$1140:$Z$1153,Z1144,$AB$1140:$AB$1153,AB1144,$V$1140:$V$1153,"&gt;"&amp;V1144,$AD$1140:$AD$1153,1)+COUNTIFS($Z$1140:Z1144,Z1144,$AB$1140:AB1144,AB1144,$V$1140:V1144,V1144,$AD$1140:AD1144,1))</x:f>
      </x:c>
      <x:c r="AD1144" s="2" t="n">
        <x:f>IF(OR(AA1144="DEFENSIV",AA1144="PRUDENT",AA1144="MODERAT",AA1144="RIDICAT"),1,0)</x:f>
        <x:v>0</x:v>
      </x:c>
      <x:c r="AE1144" s="2" t="str">
        <x:f>IF(AD1144&lt;&gt;1,"NO",IF(W1144="PASS","YES",IF(W1144="OOS PENDING","CONDITIONAL","NO")))</x:f>
        <x:v>NO</x:v>
      </x:c>
      <x:c r="AF1144" s="2" t="n">
        <x:f>IF(AND(AD1144=1,AC1144=1,E1144="LIVE"),1,0)</x:f>
        <x:v>0</x:v>
      </x:c>
      <x:c r="AG1144" s="2" t="str">
        <x:f>IF(AF1144&lt;&gt;1,"",'Dashboard'!P107)</x:f>
      </x:c>
      <x:c r="AH1144" s="2" t="str">
        <x:f>IF(B1144="","",IF(J1144&lt;&gt;"PASS",'Motor_Meciuri'!J87,IF('Calibrare_Linii'!U10&lt;&gt;"VALID","Parametri linie invalizi",IF(L1144&gt;'Config_v6'!$B$13,"Dispersie peste limita",IF(W1144="WATCH","Failure peste limita",IF(AB1144&lt;'Config_v6'!$B$16,"P finala sub prag",IF(V1144&lt;'Config_v6'!$B$18,"Confidence sub prag",IF(E1144="REPLAY","Exemplu retrospectiv; exclus din Top LIVE",IF(Y1144="PASS","DEFENSIV validat",IF(W1144="OOS PENDING","Eligibil; calibrare linie in monitorizare","Eligibil"))))))))))</x:f>
      </x:c>
      <x:c r="AI1144" s="2" t="str">
        <x:f>IF(B1144="","",'Calibrare_Linii'!V10)</x:f>
      </x:c>
      <x:c r="AJ1144" s="2" t="str">
        <x:f>IF(B1144="","",IF(AND('Calibrare_Linii'!T10="VALIDATED",AND('Calibrare_Linii'!H10=C1144,ISNUMBER('Calibrare_Linii'!J10),'Calibrare_Linii'!J10&lt;='Input_Meci'!G87)),"DEFENSIVE VALIDATED",IF(AND('Calibrare_Linii'!S10="VALIDATED",AND('Calibrare_Linii'!H10=C1144,ISNUMBER('Calibrare_Linii'!J10),'Calibrare_Linii'!J10&lt;='Input_Meci'!G87)),"TAIL VALIDATED","OOS PENDING")))</x:f>
      </x:c>
      <x:c r="AK1144" s="2" t="n">
        <x:f>IF(J1144&lt;&gt;"PASS",0,'Motor_Meciuri'!BR87)</x:f>
        <x:v>0</x:v>
      </x:c>
      <x:c r="AL1144" s="2" t="n">
        <x:f>IF(J1144&lt;&gt;"PASS",0,'Motor_Meciuri'!BS87)</x:f>
        <x:v>0</x:v>
      </x:c>
      <x:c r="AM1144" s="2" t="n">
        <x:f>IF(J1144&lt;&gt;"PASS",0,'Motor_Meciuri'!BT87)</x:f>
        <x:v>0</x:v>
      </x:c>
      <x:c r="AN1144" s="2" t="str">
        <x:f>IF(M1144="","",MAX(0,'Motor_Meciuri'!BF87-IF(L1144&gt;'Config_v6'!$B$12,'Config_v6'!$B$37,IF(L1144&gt;'Config_v6'!$B$11,'Config_v6'!$B$36,0))))</x:f>
      </x:c>
    </x:row>
    <x:row r="1145" ht="21" customHeight="1">
      <x:c r="A1145" s="2" t="n">
        <x:v>82</x:v>
      </x:c>
      <x:c r="B1145" s="2" t="str">
        <x:f>IF('Motor_Meciuri'!A87="","",'Motor_Meciuri'!A87)</x:f>
      </x:c>
      <x:c r="C1145" s="2" t="str">
        <x:f>IF(B1145="","",'Motor_Meciuri'!B87)</x:f>
      </x:c>
      <x:c r="D1145" s="2" t="str">
        <x:f>IF(B1145="","",'Motor_Meciuri'!D87)</x:f>
      </x:c>
      <x:c r="E1145" s="2" t="str">
        <x:f>IF(B1145="","",'Motor_Meciuri'!E87)</x:f>
      </x:c>
      <x:c r="F1145" s="2" t="str">
        <x:v>O8,5</x:v>
      </x:c>
      <x:c r="G1145" s="2" t="str">
        <x:v>OVER</x:v>
      </x:c>
      <x:c r="H1145" s="2" t="n">
        <x:v>8</x:v>
      </x:c>
      <x:c r="I1145" s="2" t="str">
        <x:f>IF(B1145="","",'Motor_Meciuri'!H87)</x:f>
      </x:c>
      <x:c r="J1145" s="2" t="str">
        <x:f>IF(B1145="","",'Motor_Meciuri'!I87)</x:f>
      </x:c>
      <x:c r="K1145" s="11" t="str">
        <x:f>IF(J1145&lt;&gt;"PASS","",'Motor_Meciuri'!BD87)</x:f>
      </x:c>
      <x:c r="L1145" s="11" t="str">
        <x:f>IF(J1145&lt;&gt;"PASS","",'Motor_Meciuri'!AU87)</x:f>
      </x:c>
      <x:c r="M1145" s="10" t="str">
        <x:f>IF(NOT(AND(J1145="PASS",'Calibrare_Linii'!U11="VALID")),"",1-'Distributie'!AF87)</x:f>
      </x:c>
      <x:c r="N1145" s="10" t="str">
        <x:f>IF(M1145="","",MAX(0.01,MIN(0.99,0.5+(M1145-0.5)*'Motor_Meciuri'!BG87*'Calibrare_Linii'!D11)))</x:f>
      </x:c>
      <x:c r="O1145" s="10" t="str">
        <x:f>IF(M1145="","",1-M1145)</x:f>
      </x:c>
      <x:c r="P1145" s="10" t="str">
        <x:f>IF(OR(NOT(AND(J1145="PASS",'Calibrare_Linii'!U11="VALID")),AK1145=0),""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*('Istoric_Nativ'!$Q$6:$Q$405&lt;=H1145))/AK1145)</x:f>
      </x:c>
      <x:c r="Q1145" s="10" t="str">
        <x:f>IF(OR(NOT(AND(J1145="PASS",'Calibrare_Linii'!U11="VALID")),AL1145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M87)+((('Istoric_Nativ'!$E$6:$E$405='Input_Meci'!E87)+('Istoric_Nativ'!$F$6:$F$405='Input_Meci'!E87))&gt;0)*('Istoric_Nativ'!$D$6:$D$405&gt;='Motor_Meciuri'!BN87))&gt;0)*('Istoric_Nativ'!$Q$6:$Q$405&lt;=H1145))/AL1145)</x:f>
      </x:c>
      <x:c r="R1145" s="10" t="str">
        <x:f>IF(OR(NOT(AND(J1145="PASS",'Calibrare_Linii'!U11="VALID")),AM1145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O87)+((('Istoric_Nativ'!$E$6:$E$405='Input_Meci'!E87)+('Istoric_Nativ'!$F$6:$F$405='Input_Meci'!E87))&gt;0)*('Istoric_Nativ'!$D$6:$D$405&gt;='Motor_Meciuri'!BP87))&gt;0)*('Istoric_Nativ'!$Q$6:$Q$405&lt;=H1145))/AM1145)</x:f>
      </x:c>
      <x:c r="S1145" s="10" t="str">
        <x:f>IF(M1145="","",MAX(O1145,P1145,Q1145,R1145))</x:f>
      </x:c>
      <x:c r="T1145" s="11" t="str">
        <x:f>IF(M1145="","",MIN(100,S1145*100*'Config_v6'!$B$44+MIN(100,L1145/'Config_v6'!$B$13*100)*'Config_v6'!$B$45+(100-'Motor_Meciuri'!BF87)*'Config_v6'!$B$46+'Motor_Meciuri'!BH87*100*'Config_v6'!$B$47))</x:f>
      </x:c>
      <x:c r="U1145" s="2" t="str">
        <x:f>IF(T1145="","",IF(T1145&lt;=20,1,IF(T1145&lt;=40,2,IF(T1145&lt;=60,3,IF(T1145&lt;=80,4,5)))))</x:f>
      </x:c>
      <x:c r="V1145" s="2" t="str">
        <x:f>IF(M1145="","",MAX(0,'Motor_Meciuri'!BF87-IF(W1145="OOS PENDING",'Config_v6'!$B$35,0)-IF(L1145&gt;'Config_v6'!$B$12,'Config_v6'!$B$37,IF(L1145&gt;'Config_v6'!$B$11,'Config_v6'!$B$36,0))))</x:f>
      </x:c>
      <x:c r="W1145" s="2" t="str">
        <x:f>IF(B1145="","",IF(I1145&lt;&gt;"READY","NOT RELEASED",IF(NOT(AND(J1145="PASS",'Calibrare_Linii'!U11="VALID")),"INVALID",IF(NOT(AND('Calibrare_Linii'!S11="VALIDATED",AND('Calibrare_Linii'!H11=C1145,ISNUMBER('Calibrare_Linii'!J11),'Calibrare_Linii'!J11&lt;='Input_Meci'!G87))),"OOS PENDING",IF(S1145&lt;='Calibrare_Linii'!E11,"PASS",IF(S1145&lt;='Calibrare_Linii'!F11,"PENALTY","WATCH"))))))</x:f>
      </x:c>
      <x:c r="X1145" s="2" t="str">
        <x:f>IF(M1145="","",IF(AND(AND(J1145="PASS",'Calibrare_Linii'!U11="VALID"),'Motor_Meciuri'!K87=12,'Motor_Meciuri'!L87=12,'Motor_Meciuri'!M87="NO",'Motor_Meciuri'!BL87='Motor_Meciuri'!C87,AB1145&gt;='Config_v6'!$B$50,AN1145&gt;='Config_v6'!$B$51,T1145&lt;='Config_v6'!$B$52,L1145&lt;='Config_v6'!$B$53,ISNUMBER('Calibrare_Linii'!E11),S1145&lt;='Calibrare_Linii'!E11,SUM(AK1145:AM1145)&gt;0),"CANDIDATE","NO"))</x:f>
      </x:c>
      <x:c r="Y1145" s="2" t="str">
        <x:f>IF(B1145="","",IF(I1145&lt;&gt;"READY","NOT RELEASED",IF(AND(X1145="CANDIDATE",V1145&gt;='Config_v6'!$B$51,W1145="PASS",'Calibrare_Linii'!T11="VALIDATED",AND('Calibrare_Linii'!H11=C1145,ISNUMBER('Calibrare_Linii'!J11),'Calibrare_Linii'!J11&lt;='Input_Meci'!G87)),"PASS",IF(X1145="CANDIDATE","OOS PENDING","FAIL"))))</x:f>
      </x:c>
      <x:c r="Z1145" s="2" t="str">
        <x:f>IF(B1145="","",IF(I1145&lt;&gt;"READY","",IF(OR(NOT(AND(J1145="PASS",'Calibrare_Linii'!U11="VALID")),L1145&gt;'Config_v6'!$B$13,W1145="WATCH"),5,IF(Y1145="PASS",1,MIN(5,MAX('Config_v6'!$B$42,U1145)+IF(W1145="PENALTY",1,0))))))</x:f>
      </x:c>
      <x:c r="AA1145" s="2" t="str">
        <x:f>IF(B1145="","",IF(I1145&lt;&gt;"READY","NOT RELEASED",IF(Z1145=5,"NO BET",IF(OR(AB1145&lt;'Config_v6'!$B$16,V1145&lt;'Config_v6'!$B$18),"WATCH",IF(Z1145=1,"DEFENSIV",IF(Z1145=2,"PRUDENT",IF(Z1145=3,"MODERAT","RIDICAT")))))))</x:f>
      </x:c>
      <x:c r="AB1145" s="10" t="str">
        <x:f>IF(N1145="","",MIN(N1145,1-S1145))</x:f>
      </x:c>
      <x:c r="AC1145" s="2" t="str">
        <x:f>IF(AD1145&lt;&gt;1,"",COUNTIFS($Z$1140:$Z$1153,"&lt;"&amp;Z1145,$AD$1140:$AD$1153,1)+COUNTIFS($Z$1140:$Z$1153,Z1145,$AB$1140:$AB$1153,"&gt;"&amp;AB1145,$AD$1140:$AD$1153,1)+COUNTIFS($Z$1140:$Z$1153,Z1145,$AB$1140:$AB$1153,AB1145,$V$1140:$V$1153,"&gt;"&amp;V1145,$AD$1140:$AD$1153,1)+COUNTIFS($Z$1140:Z1145,Z1145,$AB$1140:AB1145,AB1145,$V$1140:V1145,V1145,$AD$1140:AD1145,1))</x:f>
      </x:c>
      <x:c r="AD1145" s="2" t="n">
        <x:f>IF(OR(AA1145="DEFENSIV",AA1145="PRUDENT",AA1145="MODERAT",AA1145="RIDICAT"),1,0)</x:f>
        <x:v>0</x:v>
      </x:c>
      <x:c r="AE1145" s="2" t="str">
        <x:f>IF(AD1145&lt;&gt;1,"NO",IF(W1145="PASS","YES",IF(W1145="OOS PENDING","CONDITIONAL","NO")))</x:f>
        <x:v>NO</x:v>
      </x:c>
      <x:c r="AF1145" s="2" t="n">
        <x:f>IF(AND(AD1145=1,AC1145=1,E1145="LIVE"),1,0)</x:f>
        <x:v>0</x:v>
      </x:c>
      <x:c r="AG1145" s="2" t="str">
        <x:f>IF(AF1145&lt;&gt;1,"",'Dashboard'!P107)</x:f>
      </x:c>
      <x:c r="AH1145" s="2" t="str">
        <x:f>IF(B1145="","",IF(J1145&lt;&gt;"PASS",'Motor_Meciuri'!J87,IF('Calibrare_Linii'!U11&lt;&gt;"VALID","Parametri linie invalizi",IF(L1145&gt;'Config_v6'!$B$13,"Dispersie peste limita",IF(W1145="WATCH","Failure peste limita",IF(AB1145&lt;'Config_v6'!$B$16,"P finala sub prag",IF(V1145&lt;'Config_v6'!$B$18,"Confidence sub prag",IF(E1145="REPLAY","Exemplu retrospectiv; exclus din Top LIVE",IF(Y1145="PASS","DEFENSIV validat",IF(W1145="OOS PENDING","Eligibil; calibrare linie in monitorizare","Eligibil"))))))))))</x:f>
      </x:c>
      <x:c r="AI1145" s="2" t="str">
        <x:f>IF(B1145="","",'Calibrare_Linii'!V11)</x:f>
      </x:c>
      <x:c r="AJ1145" s="2" t="str">
        <x:f>IF(B1145="","",IF(AND('Calibrare_Linii'!T11="VALIDATED",AND('Calibrare_Linii'!H11=C1145,ISNUMBER('Calibrare_Linii'!J11),'Calibrare_Linii'!J11&lt;='Input_Meci'!G87)),"DEFENSIVE VALIDATED",IF(AND('Calibrare_Linii'!S11="VALIDATED",AND('Calibrare_Linii'!H11=C1145,ISNUMBER('Calibrare_Linii'!J11),'Calibrare_Linii'!J11&lt;='Input_Meci'!G87)),"TAIL VALIDATED","OOS PENDING")))</x:f>
      </x:c>
      <x:c r="AK1145" s="2" t="n">
        <x:f>IF(J1145&lt;&gt;"PASS",0,'Motor_Meciuri'!BR87)</x:f>
        <x:v>0</x:v>
      </x:c>
      <x:c r="AL1145" s="2" t="n">
        <x:f>IF(J1145&lt;&gt;"PASS",0,'Motor_Meciuri'!BS87)</x:f>
        <x:v>0</x:v>
      </x:c>
      <x:c r="AM1145" s="2" t="n">
        <x:f>IF(J1145&lt;&gt;"PASS",0,'Motor_Meciuri'!BT87)</x:f>
        <x:v>0</x:v>
      </x:c>
      <x:c r="AN1145" s="2" t="str">
        <x:f>IF(M1145="","",MAX(0,'Motor_Meciuri'!BF87-IF(L1145&gt;'Config_v6'!$B$12,'Config_v6'!$B$37,IF(L1145&gt;'Config_v6'!$B$11,'Config_v6'!$B$36,0))))</x:f>
      </x:c>
    </x:row>
    <x:row r="1146" ht="21" customHeight="1">
      <x:c r="A1146" s="2" t="n">
        <x:v>82</x:v>
      </x:c>
      <x:c r="B1146" s="2" t="str">
        <x:f>IF('Motor_Meciuri'!A87="","",'Motor_Meciuri'!A87)</x:f>
      </x:c>
      <x:c r="C1146" s="2" t="str">
        <x:f>IF(B1146="","",'Motor_Meciuri'!B87)</x:f>
      </x:c>
      <x:c r="D1146" s="2" t="str">
        <x:f>IF(B1146="","",'Motor_Meciuri'!D87)</x:f>
      </x:c>
      <x:c r="E1146" s="2" t="str">
        <x:f>IF(B1146="","",'Motor_Meciuri'!E87)</x:f>
      </x:c>
      <x:c r="F1146" s="2" t="str">
        <x:v>U10,5</x:v>
      </x:c>
      <x:c r="G1146" s="2" t="str">
        <x:v>UNDER</x:v>
      </x:c>
      <x:c r="H1146" s="2" t="n">
        <x:v>10</x:v>
      </x:c>
      <x:c r="I1146" s="2" t="str">
        <x:f>IF(B1146="","",'Motor_Meciuri'!H87)</x:f>
      </x:c>
      <x:c r="J1146" s="2" t="str">
        <x:f>IF(B1146="","",'Motor_Meciuri'!I87)</x:f>
      </x:c>
      <x:c r="K1146" s="11" t="str">
        <x:f>IF(J1146&lt;&gt;"PASS","",'Motor_Meciuri'!BD87)</x:f>
      </x:c>
      <x:c r="L1146" s="11" t="str">
        <x:f>IF(J1146&lt;&gt;"PASS","",'Motor_Meciuri'!AU87)</x:f>
      </x:c>
      <x:c r="M1146" s="10" t="str">
        <x:f>IF(NOT(AND(J1146="PASS",'Calibrare_Linii'!U12="VALID")),"",'Distributie'!AH87)</x:f>
      </x:c>
      <x:c r="N1146" s="10" t="str">
        <x:f>IF(M1146="","",MAX(0.01,MIN(0.99,0.5+(M1146-0.5)*'Motor_Meciuri'!BG87*'Calibrare_Linii'!D12)))</x:f>
      </x:c>
      <x:c r="O1146" s="10" t="str">
        <x:f>IF(M1146="","",1-M1146)</x:f>
      </x:c>
      <x:c r="P1146" s="10" t="str">
        <x:f>IF(OR(NOT(AND(J1146="PASS",'Calibrare_Linii'!U12="VALID")),AK1146=0),""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*('Istoric_Nativ'!$Q$6:$Q$405&gt;H1146))/AK1146)</x:f>
      </x:c>
      <x:c r="Q1146" s="10" t="str">
        <x:f>IF(OR(NOT(AND(J1146="PASS",'Calibrare_Linii'!U12="VALID")),AL1146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M87)+((('Istoric_Nativ'!$E$6:$E$405='Input_Meci'!E87)+('Istoric_Nativ'!$F$6:$F$405='Input_Meci'!E87))&gt;0)*('Istoric_Nativ'!$D$6:$D$405&gt;='Motor_Meciuri'!BN87))&gt;0)*('Istoric_Nativ'!$Q$6:$Q$405&gt;H1146))/AL1146)</x:f>
      </x:c>
      <x:c r="R1146" s="10" t="str">
        <x:f>IF(OR(NOT(AND(J1146="PASS",'Calibrare_Linii'!U12="VALID")),AM1146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O87)+((('Istoric_Nativ'!$E$6:$E$405='Input_Meci'!E87)+('Istoric_Nativ'!$F$6:$F$405='Input_Meci'!E87))&gt;0)*('Istoric_Nativ'!$D$6:$D$405&gt;='Motor_Meciuri'!BP87))&gt;0)*('Istoric_Nativ'!$Q$6:$Q$405&gt;H1146))/AM1146)</x:f>
      </x:c>
      <x:c r="S1146" s="10" t="str">
        <x:f>IF(M1146="","",MAX(O1146,P1146,Q1146,R1146))</x:f>
      </x:c>
      <x:c r="T1146" s="11" t="str">
        <x:f>IF(M1146="","",MIN(100,S1146*100*'Config_v6'!$B$44+MIN(100,L1146/'Config_v6'!$B$13*100)*'Config_v6'!$B$45+(100-'Motor_Meciuri'!BF87)*'Config_v6'!$B$46+'Motor_Meciuri'!BH87*100*'Config_v6'!$B$47))</x:f>
      </x:c>
      <x:c r="U1146" s="2" t="str">
        <x:f>IF(T1146="","",IF(T1146&lt;=20,1,IF(T1146&lt;=40,2,IF(T1146&lt;=60,3,IF(T1146&lt;=80,4,5)))))</x:f>
      </x:c>
      <x:c r="V1146" s="2" t="str">
        <x:f>IF(M1146="","",MAX(0,'Motor_Meciuri'!BF87-IF(W1146="OOS PENDING",'Config_v6'!$B$35,0)-IF(L1146&gt;'Config_v6'!$B$12,'Config_v6'!$B$37,IF(L1146&gt;'Config_v6'!$B$11,'Config_v6'!$B$36,0))))</x:f>
      </x:c>
      <x:c r="W1146" s="2" t="str">
        <x:f>IF(B1146="","",IF(I1146&lt;&gt;"READY","NOT RELEASED",IF(NOT(AND(J1146="PASS",'Calibrare_Linii'!U12="VALID")),"INVALID",IF(NOT(AND('Calibrare_Linii'!S12="VALIDATED",AND('Calibrare_Linii'!H12=C1146,ISNUMBER('Calibrare_Linii'!J12),'Calibrare_Linii'!J12&lt;='Input_Meci'!G87))),"OOS PENDING",IF(S1146&lt;='Calibrare_Linii'!E12,"PASS",IF(S1146&lt;='Calibrare_Linii'!F12,"PENALTY","WATCH"))))))</x:f>
      </x:c>
      <x:c r="X1146" s="2" t="str">
        <x:f>IF(M1146="","",IF(AND(AND(J1146="PASS",'Calibrare_Linii'!U12="VALID"),'Motor_Meciuri'!K87=12,'Motor_Meciuri'!L87=12,'Motor_Meciuri'!M87="NO",'Motor_Meciuri'!BL87='Motor_Meciuri'!C87,AB1146&gt;='Config_v6'!$B$50,AN1146&gt;='Config_v6'!$B$51,T1146&lt;='Config_v6'!$B$52,L1146&lt;='Config_v6'!$B$53,ISNUMBER('Calibrare_Linii'!E12),S1146&lt;='Calibrare_Linii'!E12,SUM(AK1146:AM1146)&gt;0),"CANDIDATE","NO"))</x:f>
      </x:c>
      <x:c r="Y1146" s="2" t="str">
        <x:f>IF(B1146="","",IF(I1146&lt;&gt;"READY","NOT RELEASED",IF(AND(X1146="CANDIDATE",V1146&gt;='Config_v6'!$B$51,W1146="PASS",'Calibrare_Linii'!T12="VALIDATED",AND('Calibrare_Linii'!H12=C1146,ISNUMBER('Calibrare_Linii'!J12),'Calibrare_Linii'!J12&lt;='Input_Meci'!G87)),"PASS",IF(X1146="CANDIDATE","OOS PENDING","FAIL"))))</x:f>
      </x:c>
      <x:c r="Z1146" s="2" t="str">
        <x:f>IF(B1146="","",IF(I1146&lt;&gt;"READY","",IF(OR(NOT(AND(J1146="PASS",'Calibrare_Linii'!U12="VALID")),L1146&gt;'Config_v6'!$B$13,W1146="WATCH"),5,IF(Y1146="PASS",1,MIN(5,MAX('Config_v6'!$B$42,U1146)+IF(W1146="PENALTY",1,0))))))</x:f>
      </x:c>
      <x:c r="AA1146" s="2" t="str">
        <x:f>IF(B1146="","",IF(I1146&lt;&gt;"READY","NOT RELEASED",IF(Z1146=5,"NO BET",IF(OR(AB1146&lt;'Config_v6'!$B$16,V1146&lt;'Config_v6'!$B$18),"WATCH",IF(Z1146=1,"DEFENSIV",IF(Z1146=2,"PRUDENT",IF(Z1146=3,"MODERAT","RIDICAT")))))))</x:f>
      </x:c>
      <x:c r="AB1146" s="10" t="str">
        <x:f>IF(N1146="","",MIN(N1146,1-S1146))</x:f>
      </x:c>
      <x:c r="AC1146" s="2" t="str">
        <x:f>IF(AD1146&lt;&gt;1,"",COUNTIFS($Z$1140:$Z$1153,"&lt;"&amp;Z1146,$AD$1140:$AD$1153,1)+COUNTIFS($Z$1140:$Z$1153,Z1146,$AB$1140:$AB$1153,"&gt;"&amp;AB1146,$AD$1140:$AD$1153,1)+COUNTIFS($Z$1140:$Z$1153,Z1146,$AB$1140:$AB$1153,AB1146,$V$1140:$V$1153,"&gt;"&amp;V1146,$AD$1140:$AD$1153,1)+COUNTIFS($Z$1140:Z1146,Z1146,$AB$1140:AB1146,AB1146,$V$1140:V1146,V1146,$AD$1140:AD1146,1))</x:f>
      </x:c>
      <x:c r="AD1146" s="2" t="n">
        <x:f>IF(OR(AA1146="DEFENSIV",AA1146="PRUDENT",AA1146="MODERAT",AA1146="RIDICAT"),1,0)</x:f>
        <x:v>0</x:v>
      </x:c>
      <x:c r="AE1146" s="2" t="str">
        <x:f>IF(AD1146&lt;&gt;1,"NO",IF(W1146="PASS","YES",IF(W1146="OOS PENDING","CONDITIONAL","NO")))</x:f>
        <x:v>NO</x:v>
      </x:c>
      <x:c r="AF1146" s="2" t="n">
        <x:f>IF(AND(AD1146=1,AC1146=1,E1146="LIVE"),1,0)</x:f>
        <x:v>0</x:v>
      </x:c>
      <x:c r="AG1146" s="2" t="str">
        <x:f>IF(AF1146&lt;&gt;1,"",'Dashboard'!P107)</x:f>
      </x:c>
      <x:c r="AH1146" s="2" t="str">
        <x:f>IF(B1146="","",IF(J1146&lt;&gt;"PASS",'Motor_Meciuri'!J87,IF('Calibrare_Linii'!U12&lt;&gt;"VALID","Parametri linie invalizi",IF(L1146&gt;'Config_v6'!$B$13,"Dispersie peste limita",IF(W1146="WATCH","Failure peste limita",IF(AB1146&lt;'Config_v6'!$B$16,"P finala sub prag",IF(V1146&lt;'Config_v6'!$B$18,"Confidence sub prag",IF(E1146="REPLAY","Exemplu retrospectiv; exclus din Top LIVE",IF(Y1146="PASS","DEFENSIV validat",IF(W1146="OOS PENDING","Eligibil; calibrare linie in monitorizare","Eligibil"))))))))))</x:f>
      </x:c>
      <x:c r="AI1146" s="2" t="str">
        <x:f>IF(B1146="","",'Calibrare_Linii'!V12)</x:f>
      </x:c>
      <x:c r="AJ1146" s="2" t="str">
        <x:f>IF(B1146="","",IF(AND('Calibrare_Linii'!T12="VALIDATED",AND('Calibrare_Linii'!H12=C1146,ISNUMBER('Calibrare_Linii'!J12),'Calibrare_Linii'!J12&lt;='Input_Meci'!G87)),"DEFENSIVE VALIDATED",IF(AND('Calibrare_Linii'!S12="VALIDATED",AND('Calibrare_Linii'!H12=C1146,ISNUMBER('Calibrare_Linii'!J12),'Calibrare_Linii'!J12&lt;='Input_Meci'!G87)),"TAIL VALIDATED","OOS PENDING")))</x:f>
      </x:c>
      <x:c r="AK1146" s="2" t="n">
        <x:f>IF(J1146&lt;&gt;"PASS",0,'Motor_Meciuri'!BR87)</x:f>
        <x:v>0</x:v>
      </x:c>
      <x:c r="AL1146" s="2" t="n">
        <x:f>IF(J1146&lt;&gt;"PASS",0,'Motor_Meciuri'!BS87)</x:f>
        <x:v>0</x:v>
      </x:c>
      <x:c r="AM1146" s="2" t="n">
        <x:f>IF(J1146&lt;&gt;"PASS",0,'Motor_Meciuri'!BT87)</x:f>
        <x:v>0</x:v>
      </x:c>
      <x:c r="AN1146" s="2" t="str">
        <x:f>IF(M1146="","",MAX(0,'Motor_Meciuri'!BF87-IF(L1146&gt;'Config_v6'!$B$12,'Config_v6'!$B$37,IF(L1146&gt;'Config_v6'!$B$11,'Config_v6'!$B$36,0))))</x:f>
      </x:c>
    </x:row>
    <x:row r="1147" ht="21" customHeight="1">
      <x:c r="A1147" s="2" t="n">
        <x:v>82</x:v>
      </x:c>
      <x:c r="B1147" s="2" t="str">
        <x:f>IF('Motor_Meciuri'!A87="","",'Motor_Meciuri'!A87)</x:f>
      </x:c>
      <x:c r="C1147" s="2" t="str">
        <x:f>IF(B1147="","",'Motor_Meciuri'!B87)</x:f>
      </x:c>
      <x:c r="D1147" s="2" t="str">
        <x:f>IF(B1147="","",'Motor_Meciuri'!D87)</x:f>
      </x:c>
      <x:c r="E1147" s="2" t="str">
        <x:f>IF(B1147="","",'Motor_Meciuri'!E87)</x:f>
      </x:c>
      <x:c r="F1147" s="2" t="str">
        <x:v>U11,5</x:v>
      </x:c>
      <x:c r="G1147" s="2" t="str">
        <x:v>UNDER</x:v>
      </x:c>
      <x:c r="H1147" s="2" t="n">
        <x:v>11</x:v>
      </x:c>
      <x:c r="I1147" s="2" t="str">
        <x:f>IF(B1147="","",'Motor_Meciuri'!H87)</x:f>
      </x:c>
      <x:c r="J1147" s="2" t="str">
        <x:f>IF(B1147="","",'Motor_Meciuri'!I87)</x:f>
      </x:c>
      <x:c r="K1147" s="11" t="str">
        <x:f>IF(J1147&lt;&gt;"PASS","",'Motor_Meciuri'!BD87)</x:f>
      </x:c>
      <x:c r="L1147" s="11" t="str">
        <x:f>IF(J1147&lt;&gt;"PASS","",'Motor_Meciuri'!AU87)</x:f>
      </x:c>
      <x:c r="M1147" s="10" t="str">
        <x:f>IF(NOT(AND(J1147="PASS",'Calibrare_Linii'!U13="VALID")),"",'Distributie'!AI87)</x:f>
      </x:c>
      <x:c r="N1147" s="10" t="str">
        <x:f>IF(M1147="","",MAX(0.01,MIN(0.99,0.5+(M1147-0.5)*'Motor_Meciuri'!BG87*'Calibrare_Linii'!D13)))</x:f>
      </x:c>
      <x:c r="O1147" s="10" t="str">
        <x:f>IF(M1147="","",1-M1147)</x:f>
      </x:c>
      <x:c r="P1147" s="10" t="str">
        <x:f>IF(OR(NOT(AND(J1147="PASS",'Calibrare_Linii'!U13="VALID")),AK1147=0),""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*('Istoric_Nativ'!$Q$6:$Q$405&gt;H1147))/AK1147)</x:f>
      </x:c>
      <x:c r="Q1147" s="10" t="str">
        <x:f>IF(OR(NOT(AND(J1147="PASS",'Calibrare_Linii'!U13="VALID")),AL1147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M87)+((('Istoric_Nativ'!$E$6:$E$405='Input_Meci'!E87)+('Istoric_Nativ'!$F$6:$F$405='Input_Meci'!E87))&gt;0)*('Istoric_Nativ'!$D$6:$D$405&gt;='Motor_Meciuri'!BN87))&gt;0)*('Istoric_Nativ'!$Q$6:$Q$405&gt;H1147))/AL1147)</x:f>
      </x:c>
      <x:c r="R1147" s="10" t="str">
        <x:f>IF(OR(NOT(AND(J1147="PASS",'Calibrare_Linii'!U13="VALID")),AM1147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O87)+((('Istoric_Nativ'!$E$6:$E$405='Input_Meci'!E87)+('Istoric_Nativ'!$F$6:$F$405='Input_Meci'!E87))&gt;0)*('Istoric_Nativ'!$D$6:$D$405&gt;='Motor_Meciuri'!BP87))&gt;0)*('Istoric_Nativ'!$Q$6:$Q$405&gt;H1147))/AM1147)</x:f>
      </x:c>
      <x:c r="S1147" s="10" t="str">
        <x:f>IF(M1147="","",MAX(O1147,P1147,Q1147,R1147))</x:f>
      </x:c>
      <x:c r="T1147" s="11" t="str">
        <x:f>IF(M1147="","",MIN(100,S1147*100*'Config_v6'!$B$44+MIN(100,L1147/'Config_v6'!$B$13*100)*'Config_v6'!$B$45+(100-'Motor_Meciuri'!BF87)*'Config_v6'!$B$46+'Motor_Meciuri'!BH87*100*'Config_v6'!$B$47))</x:f>
      </x:c>
      <x:c r="U1147" s="2" t="str">
        <x:f>IF(T1147="","",IF(T1147&lt;=20,1,IF(T1147&lt;=40,2,IF(T1147&lt;=60,3,IF(T1147&lt;=80,4,5)))))</x:f>
      </x:c>
      <x:c r="V1147" s="2" t="str">
        <x:f>IF(M1147="","",MAX(0,'Motor_Meciuri'!BF87-IF(W1147="OOS PENDING",'Config_v6'!$B$35,0)-IF(L1147&gt;'Config_v6'!$B$12,'Config_v6'!$B$37,IF(L1147&gt;'Config_v6'!$B$11,'Config_v6'!$B$36,0))))</x:f>
      </x:c>
      <x:c r="W1147" s="2" t="str">
        <x:f>IF(B1147="","",IF(I1147&lt;&gt;"READY","NOT RELEASED",IF(NOT(AND(J1147="PASS",'Calibrare_Linii'!U13="VALID")),"INVALID",IF(NOT(AND('Calibrare_Linii'!S13="VALIDATED",AND('Calibrare_Linii'!H13=C1147,ISNUMBER('Calibrare_Linii'!J13),'Calibrare_Linii'!J13&lt;='Input_Meci'!G87))),"OOS PENDING",IF(S1147&lt;='Calibrare_Linii'!E13,"PASS",IF(S1147&lt;='Calibrare_Linii'!F13,"PENALTY","WATCH"))))))</x:f>
      </x:c>
      <x:c r="X1147" s="2" t="str">
        <x:f>IF(M1147="","",IF(AND(AND(J1147="PASS",'Calibrare_Linii'!U13="VALID"),'Motor_Meciuri'!K87=12,'Motor_Meciuri'!L87=12,'Motor_Meciuri'!M87="NO",'Motor_Meciuri'!BL87='Motor_Meciuri'!C87,AB1147&gt;='Config_v6'!$B$50,AN1147&gt;='Config_v6'!$B$51,T1147&lt;='Config_v6'!$B$52,L1147&lt;='Config_v6'!$B$53,ISNUMBER('Calibrare_Linii'!E13),S1147&lt;='Calibrare_Linii'!E13,SUM(AK1147:AM1147)&gt;0),"CANDIDATE","NO"))</x:f>
      </x:c>
      <x:c r="Y1147" s="2" t="str">
        <x:f>IF(B1147="","",IF(I1147&lt;&gt;"READY","NOT RELEASED",IF(AND(X1147="CANDIDATE",V1147&gt;='Config_v6'!$B$51,W1147="PASS",'Calibrare_Linii'!T13="VALIDATED",AND('Calibrare_Linii'!H13=C1147,ISNUMBER('Calibrare_Linii'!J13),'Calibrare_Linii'!J13&lt;='Input_Meci'!G87)),"PASS",IF(X1147="CANDIDATE","OOS PENDING","FAIL"))))</x:f>
      </x:c>
      <x:c r="Z1147" s="2" t="str">
        <x:f>IF(B1147="","",IF(I1147&lt;&gt;"READY","",IF(OR(NOT(AND(J1147="PASS",'Calibrare_Linii'!U13="VALID")),L1147&gt;'Config_v6'!$B$13,W1147="WATCH"),5,IF(Y1147="PASS",1,MIN(5,MAX('Config_v6'!$B$42,U1147)+IF(W1147="PENALTY",1,0))))))</x:f>
      </x:c>
      <x:c r="AA1147" s="2" t="str">
        <x:f>IF(B1147="","",IF(I1147&lt;&gt;"READY","NOT RELEASED",IF(Z1147=5,"NO BET",IF(OR(AB1147&lt;'Config_v6'!$B$16,V1147&lt;'Config_v6'!$B$18),"WATCH",IF(Z1147=1,"DEFENSIV",IF(Z1147=2,"PRUDENT",IF(Z1147=3,"MODERAT","RIDICAT")))))))</x:f>
      </x:c>
      <x:c r="AB1147" s="10" t="str">
        <x:f>IF(N1147="","",MIN(N1147,1-S1147))</x:f>
      </x:c>
      <x:c r="AC1147" s="2" t="str">
        <x:f>IF(AD1147&lt;&gt;1,"",COUNTIFS($Z$1140:$Z$1153,"&lt;"&amp;Z1147,$AD$1140:$AD$1153,1)+COUNTIFS($Z$1140:$Z$1153,Z1147,$AB$1140:$AB$1153,"&gt;"&amp;AB1147,$AD$1140:$AD$1153,1)+COUNTIFS($Z$1140:$Z$1153,Z1147,$AB$1140:$AB$1153,AB1147,$V$1140:$V$1153,"&gt;"&amp;V1147,$AD$1140:$AD$1153,1)+COUNTIFS($Z$1140:Z1147,Z1147,$AB$1140:AB1147,AB1147,$V$1140:V1147,V1147,$AD$1140:AD1147,1))</x:f>
      </x:c>
      <x:c r="AD1147" s="2" t="n">
        <x:f>IF(OR(AA1147="DEFENSIV",AA1147="PRUDENT",AA1147="MODERAT",AA1147="RIDICAT"),1,0)</x:f>
        <x:v>0</x:v>
      </x:c>
      <x:c r="AE1147" s="2" t="str">
        <x:f>IF(AD1147&lt;&gt;1,"NO",IF(W1147="PASS","YES",IF(W1147="OOS PENDING","CONDITIONAL","NO")))</x:f>
        <x:v>NO</x:v>
      </x:c>
      <x:c r="AF1147" s="2" t="n">
        <x:f>IF(AND(AD1147=1,AC1147=1,E1147="LIVE"),1,0)</x:f>
        <x:v>0</x:v>
      </x:c>
      <x:c r="AG1147" s="2" t="str">
        <x:f>IF(AF1147&lt;&gt;1,"",'Dashboard'!P107)</x:f>
      </x:c>
      <x:c r="AH1147" s="2" t="str">
        <x:f>IF(B1147="","",IF(J1147&lt;&gt;"PASS",'Motor_Meciuri'!J87,IF('Calibrare_Linii'!U13&lt;&gt;"VALID","Parametri linie invalizi",IF(L1147&gt;'Config_v6'!$B$13,"Dispersie peste limita",IF(W1147="WATCH","Failure peste limita",IF(AB1147&lt;'Config_v6'!$B$16,"P finala sub prag",IF(V1147&lt;'Config_v6'!$B$18,"Confidence sub prag",IF(E1147="REPLAY","Exemplu retrospectiv; exclus din Top LIVE",IF(Y1147="PASS","DEFENSIV validat",IF(W1147="OOS PENDING","Eligibil; calibrare linie in monitorizare","Eligibil"))))))))))</x:f>
      </x:c>
      <x:c r="AI1147" s="2" t="str">
        <x:f>IF(B1147="","",'Calibrare_Linii'!V13)</x:f>
      </x:c>
      <x:c r="AJ1147" s="2" t="str">
        <x:f>IF(B1147="","",IF(AND('Calibrare_Linii'!T13="VALIDATED",AND('Calibrare_Linii'!H13=C1147,ISNUMBER('Calibrare_Linii'!J13),'Calibrare_Linii'!J13&lt;='Input_Meci'!G87)),"DEFENSIVE VALIDATED",IF(AND('Calibrare_Linii'!S13="VALIDATED",AND('Calibrare_Linii'!H13=C1147,ISNUMBER('Calibrare_Linii'!J13),'Calibrare_Linii'!J13&lt;='Input_Meci'!G87)),"TAIL VALIDATED","OOS PENDING")))</x:f>
      </x:c>
      <x:c r="AK1147" s="2" t="n">
        <x:f>IF(J1147&lt;&gt;"PASS",0,'Motor_Meciuri'!BR87)</x:f>
        <x:v>0</x:v>
      </x:c>
      <x:c r="AL1147" s="2" t="n">
        <x:f>IF(J1147&lt;&gt;"PASS",0,'Motor_Meciuri'!BS87)</x:f>
        <x:v>0</x:v>
      </x:c>
      <x:c r="AM1147" s="2" t="n">
        <x:f>IF(J1147&lt;&gt;"PASS",0,'Motor_Meciuri'!BT87)</x:f>
        <x:v>0</x:v>
      </x:c>
      <x:c r="AN1147" s="2" t="str">
        <x:f>IF(M1147="","",MAX(0,'Motor_Meciuri'!BF87-IF(L1147&gt;'Config_v6'!$B$12,'Config_v6'!$B$37,IF(L1147&gt;'Config_v6'!$B$11,'Config_v6'!$B$36,0))))</x:f>
      </x:c>
    </x:row>
    <x:row r="1148" ht="21" customHeight="1">
      <x:c r="A1148" s="2" t="n">
        <x:v>82</x:v>
      </x:c>
      <x:c r="B1148" s="2" t="str">
        <x:f>IF('Motor_Meciuri'!A87="","",'Motor_Meciuri'!A87)</x:f>
      </x:c>
      <x:c r="C1148" s="2" t="str">
        <x:f>IF(B1148="","",'Motor_Meciuri'!B87)</x:f>
      </x:c>
      <x:c r="D1148" s="2" t="str">
        <x:f>IF(B1148="","",'Motor_Meciuri'!D87)</x:f>
      </x:c>
      <x:c r="E1148" s="2" t="str">
        <x:f>IF(B1148="","",'Motor_Meciuri'!E87)</x:f>
      </x:c>
      <x:c r="F1148" s="2" t="str">
        <x:v>U12,5</x:v>
      </x:c>
      <x:c r="G1148" s="2" t="str">
        <x:v>UNDER</x:v>
      </x:c>
      <x:c r="H1148" s="2" t="n">
        <x:v>12</x:v>
      </x:c>
      <x:c r="I1148" s="2" t="str">
        <x:f>IF(B1148="","",'Motor_Meciuri'!H87)</x:f>
      </x:c>
      <x:c r="J1148" s="2" t="str">
        <x:f>IF(B1148="","",'Motor_Meciuri'!I87)</x:f>
      </x:c>
      <x:c r="K1148" s="11" t="str">
        <x:f>IF(J1148&lt;&gt;"PASS","",'Motor_Meciuri'!BD87)</x:f>
      </x:c>
      <x:c r="L1148" s="11" t="str">
        <x:f>IF(J1148&lt;&gt;"PASS","",'Motor_Meciuri'!AU87)</x:f>
      </x:c>
      <x:c r="M1148" s="10" t="str">
        <x:f>IF(NOT(AND(J1148="PASS",'Calibrare_Linii'!U14="VALID")),"",'Distributie'!AJ87)</x:f>
      </x:c>
      <x:c r="N1148" s="10" t="str">
        <x:f>IF(M1148="","",MAX(0.01,MIN(0.99,0.5+(M1148-0.5)*'Motor_Meciuri'!BG87*'Calibrare_Linii'!D14)))</x:f>
      </x:c>
      <x:c r="O1148" s="10" t="str">
        <x:f>IF(M1148="","",1-M1148)</x:f>
      </x:c>
      <x:c r="P1148" s="10" t="str">
        <x:f>IF(OR(NOT(AND(J1148="PASS",'Calibrare_Linii'!U14="VALID")),AK1148=0),""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*('Istoric_Nativ'!$Q$6:$Q$405&gt;H1148))/AK1148)</x:f>
      </x:c>
      <x:c r="Q1148" s="10" t="str">
        <x:f>IF(OR(NOT(AND(J1148="PASS",'Calibrare_Linii'!U14="VALID")),AL1148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M87)+((('Istoric_Nativ'!$E$6:$E$405='Input_Meci'!E87)+('Istoric_Nativ'!$F$6:$F$405='Input_Meci'!E87))&gt;0)*('Istoric_Nativ'!$D$6:$D$405&gt;='Motor_Meciuri'!BN87))&gt;0)*('Istoric_Nativ'!$Q$6:$Q$405&gt;H1148))/AL1148)</x:f>
      </x:c>
      <x:c r="R1148" s="10" t="str">
        <x:f>IF(OR(NOT(AND(J1148="PASS",'Calibrare_Linii'!U14="VALID")),AM1148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O87)+((('Istoric_Nativ'!$E$6:$E$405='Input_Meci'!E87)+('Istoric_Nativ'!$F$6:$F$405='Input_Meci'!E87))&gt;0)*('Istoric_Nativ'!$D$6:$D$405&gt;='Motor_Meciuri'!BP87))&gt;0)*('Istoric_Nativ'!$Q$6:$Q$405&gt;H1148))/AM1148)</x:f>
      </x:c>
      <x:c r="S1148" s="10" t="str">
        <x:f>IF(M1148="","",MAX(O1148,P1148,Q1148,R1148))</x:f>
      </x:c>
      <x:c r="T1148" s="11" t="str">
        <x:f>IF(M1148="","",MIN(100,S1148*100*'Config_v6'!$B$44+MIN(100,L1148/'Config_v6'!$B$13*100)*'Config_v6'!$B$45+(100-'Motor_Meciuri'!BF87)*'Config_v6'!$B$46+'Motor_Meciuri'!BH87*100*'Config_v6'!$B$47))</x:f>
      </x:c>
      <x:c r="U1148" s="2" t="str">
        <x:f>IF(T1148="","",IF(T1148&lt;=20,1,IF(T1148&lt;=40,2,IF(T1148&lt;=60,3,IF(T1148&lt;=80,4,5)))))</x:f>
      </x:c>
      <x:c r="V1148" s="2" t="str">
        <x:f>IF(M1148="","",MAX(0,'Motor_Meciuri'!BF87-IF(W1148="OOS PENDING",'Config_v6'!$B$35,0)-IF(L1148&gt;'Config_v6'!$B$12,'Config_v6'!$B$37,IF(L1148&gt;'Config_v6'!$B$11,'Config_v6'!$B$36,0))))</x:f>
      </x:c>
      <x:c r="W1148" s="2" t="str">
        <x:f>IF(B1148="","",IF(I1148&lt;&gt;"READY","NOT RELEASED",IF(NOT(AND(J1148="PASS",'Calibrare_Linii'!U14="VALID")),"INVALID",IF(NOT(AND('Calibrare_Linii'!S14="VALIDATED",AND('Calibrare_Linii'!H14=C1148,ISNUMBER('Calibrare_Linii'!J14),'Calibrare_Linii'!J14&lt;='Input_Meci'!G87))),"OOS PENDING",IF(S1148&lt;='Calibrare_Linii'!E14,"PASS",IF(S1148&lt;='Calibrare_Linii'!F14,"PENALTY","WATCH"))))))</x:f>
      </x:c>
      <x:c r="X1148" s="2" t="str">
        <x:f>IF(M1148="","",IF(AND(AND(J1148="PASS",'Calibrare_Linii'!U14="VALID"),'Motor_Meciuri'!K87=12,'Motor_Meciuri'!L87=12,'Motor_Meciuri'!M87="NO",'Motor_Meciuri'!BL87='Motor_Meciuri'!C87,AB1148&gt;='Config_v6'!$B$50,AN1148&gt;='Config_v6'!$B$51,T1148&lt;='Config_v6'!$B$52,L1148&lt;='Config_v6'!$B$53,ISNUMBER('Calibrare_Linii'!E14),S1148&lt;='Calibrare_Linii'!E14,SUM(AK1148:AM1148)&gt;0),"CANDIDATE","NO"))</x:f>
      </x:c>
      <x:c r="Y1148" s="2" t="str">
        <x:f>IF(B1148="","",IF(I1148&lt;&gt;"READY","NOT RELEASED",IF(AND(X1148="CANDIDATE",V1148&gt;='Config_v6'!$B$51,W1148="PASS",'Calibrare_Linii'!T14="VALIDATED",AND('Calibrare_Linii'!H14=C1148,ISNUMBER('Calibrare_Linii'!J14),'Calibrare_Linii'!J14&lt;='Input_Meci'!G87)),"PASS",IF(X1148="CANDIDATE","OOS PENDING","FAIL"))))</x:f>
      </x:c>
      <x:c r="Z1148" s="2" t="str">
        <x:f>IF(B1148="","",IF(I1148&lt;&gt;"READY","",IF(OR(NOT(AND(J1148="PASS",'Calibrare_Linii'!U14="VALID")),L1148&gt;'Config_v6'!$B$13,W1148="WATCH"),5,IF(Y1148="PASS",1,MIN(5,MAX('Config_v6'!$B$42,U1148)+IF(W1148="PENALTY",1,0))))))</x:f>
      </x:c>
      <x:c r="AA1148" s="2" t="str">
        <x:f>IF(B1148="","",IF(I1148&lt;&gt;"READY","NOT RELEASED",IF(Z1148=5,"NO BET",IF(OR(AB1148&lt;'Config_v6'!$B$16,V1148&lt;'Config_v6'!$B$18),"WATCH",IF(Z1148=1,"DEFENSIV",IF(Z1148=2,"PRUDENT",IF(Z1148=3,"MODERAT","RIDICAT")))))))</x:f>
      </x:c>
      <x:c r="AB1148" s="10" t="str">
        <x:f>IF(N1148="","",MIN(N1148,1-S1148))</x:f>
      </x:c>
      <x:c r="AC1148" s="2" t="str">
        <x:f>IF(AD1148&lt;&gt;1,"",COUNTIFS($Z$1140:$Z$1153,"&lt;"&amp;Z1148,$AD$1140:$AD$1153,1)+COUNTIFS($Z$1140:$Z$1153,Z1148,$AB$1140:$AB$1153,"&gt;"&amp;AB1148,$AD$1140:$AD$1153,1)+COUNTIFS($Z$1140:$Z$1153,Z1148,$AB$1140:$AB$1153,AB1148,$V$1140:$V$1153,"&gt;"&amp;V1148,$AD$1140:$AD$1153,1)+COUNTIFS($Z$1140:Z1148,Z1148,$AB$1140:AB1148,AB1148,$V$1140:V1148,V1148,$AD$1140:AD1148,1))</x:f>
      </x:c>
      <x:c r="AD1148" s="2" t="n">
        <x:f>IF(OR(AA1148="DEFENSIV",AA1148="PRUDENT",AA1148="MODERAT",AA1148="RIDICAT"),1,0)</x:f>
        <x:v>0</x:v>
      </x:c>
      <x:c r="AE1148" s="2" t="str">
        <x:f>IF(AD1148&lt;&gt;1,"NO",IF(W1148="PASS","YES",IF(W1148="OOS PENDING","CONDITIONAL","NO")))</x:f>
        <x:v>NO</x:v>
      </x:c>
      <x:c r="AF1148" s="2" t="n">
        <x:f>IF(AND(AD1148=1,AC1148=1,E1148="LIVE"),1,0)</x:f>
        <x:v>0</x:v>
      </x:c>
      <x:c r="AG1148" s="2" t="str">
        <x:f>IF(AF1148&lt;&gt;1,"",'Dashboard'!P107)</x:f>
      </x:c>
      <x:c r="AH1148" s="2" t="str">
        <x:f>IF(B1148="","",IF(J1148&lt;&gt;"PASS",'Motor_Meciuri'!J87,IF('Calibrare_Linii'!U14&lt;&gt;"VALID","Parametri linie invalizi",IF(L1148&gt;'Config_v6'!$B$13,"Dispersie peste limita",IF(W1148="WATCH","Failure peste limita",IF(AB1148&lt;'Config_v6'!$B$16,"P finala sub prag",IF(V1148&lt;'Config_v6'!$B$18,"Confidence sub prag",IF(E1148="REPLAY","Exemplu retrospectiv; exclus din Top LIVE",IF(Y1148="PASS","DEFENSIV validat",IF(W1148="OOS PENDING","Eligibil; calibrare linie in monitorizare","Eligibil"))))))))))</x:f>
      </x:c>
      <x:c r="AI1148" s="2" t="str">
        <x:f>IF(B1148="","",'Calibrare_Linii'!V14)</x:f>
      </x:c>
      <x:c r="AJ1148" s="2" t="str">
        <x:f>IF(B1148="","",IF(AND('Calibrare_Linii'!T14="VALIDATED",AND('Calibrare_Linii'!H14=C1148,ISNUMBER('Calibrare_Linii'!J14),'Calibrare_Linii'!J14&lt;='Input_Meci'!G87)),"DEFENSIVE VALIDATED",IF(AND('Calibrare_Linii'!S14="VALIDATED",AND('Calibrare_Linii'!H14=C1148,ISNUMBER('Calibrare_Linii'!J14),'Calibrare_Linii'!J14&lt;='Input_Meci'!G87)),"TAIL VALIDATED","OOS PENDING")))</x:f>
      </x:c>
      <x:c r="AK1148" s="2" t="n">
        <x:f>IF(J1148&lt;&gt;"PASS",0,'Motor_Meciuri'!BR87)</x:f>
        <x:v>0</x:v>
      </x:c>
      <x:c r="AL1148" s="2" t="n">
        <x:f>IF(J1148&lt;&gt;"PASS",0,'Motor_Meciuri'!BS87)</x:f>
        <x:v>0</x:v>
      </x:c>
      <x:c r="AM1148" s="2" t="n">
        <x:f>IF(J1148&lt;&gt;"PASS",0,'Motor_Meciuri'!BT87)</x:f>
        <x:v>0</x:v>
      </x:c>
      <x:c r="AN1148" s="2" t="str">
        <x:f>IF(M1148="","",MAX(0,'Motor_Meciuri'!BF87-IF(L1148&gt;'Config_v6'!$B$12,'Config_v6'!$B$37,IF(L1148&gt;'Config_v6'!$B$11,'Config_v6'!$B$36,0))))</x:f>
      </x:c>
    </x:row>
    <x:row r="1149" ht="21" customHeight="1">
      <x:c r="A1149" s="2" t="n">
        <x:v>82</x:v>
      </x:c>
      <x:c r="B1149" s="2" t="str">
        <x:f>IF('Motor_Meciuri'!A87="","",'Motor_Meciuri'!A87)</x:f>
      </x:c>
      <x:c r="C1149" s="2" t="str">
        <x:f>IF(B1149="","",'Motor_Meciuri'!B87)</x:f>
      </x:c>
      <x:c r="D1149" s="2" t="str">
        <x:f>IF(B1149="","",'Motor_Meciuri'!D87)</x:f>
      </x:c>
      <x:c r="E1149" s="2" t="str">
        <x:f>IF(B1149="","",'Motor_Meciuri'!E87)</x:f>
      </x:c>
      <x:c r="F1149" s="2" t="str">
        <x:v>U13,5</x:v>
      </x:c>
      <x:c r="G1149" s="2" t="str">
        <x:v>UNDER</x:v>
      </x:c>
      <x:c r="H1149" s="2" t="n">
        <x:v>13</x:v>
      </x:c>
      <x:c r="I1149" s="2" t="str">
        <x:f>IF(B1149="","",'Motor_Meciuri'!H87)</x:f>
      </x:c>
      <x:c r="J1149" s="2" t="str">
        <x:f>IF(B1149="","",'Motor_Meciuri'!I87)</x:f>
      </x:c>
      <x:c r="K1149" s="11" t="str">
        <x:f>IF(J1149&lt;&gt;"PASS","",'Motor_Meciuri'!BD87)</x:f>
      </x:c>
      <x:c r="L1149" s="11" t="str">
        <x:f>IF(J1149&lt;&gt;"PASS","",'Motor_Meciuri'!AU87)</x:f>
      </x:c>
      <x:c r="M1149" s="10" t="str">
        <x:f>IF(NOT(AND(J1149="PASS",'Calibrare_Linii'!U15="VALID")),"",'Distributie'!AK87)</x:f>
      </x:c>
      <x:c r="N1149" s="10" t="str">
        <x:f>IF(M1149="","",MAX(0.01,MIN(0.99,0.5+(M1149-0.5)*'Motor_Meciuri'!BG87*'Calibrare_Linii'!D15)))</x:f>
      </x:c>
      <x:c r="O1149" s="10" t="str">
        <x:f>IF(M1149="","",1-M1149)</x:f>
      </x:c>
      <x:c r="P1149" s="10" t="str">
        <x:f>IF(OR(NOT(AND(J1149="PASS",'Calibrare_Linii'!U15="VALID")),AK1149=0),""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*('Istoric_Nativ'!$Q$6:$Q$405&gt;H1149))/AK1149)</x:f>
      </x:c>
      <x:c r="Q1149" s="10" t="str">
        <x:f>IF(OR(NOT(AND(J1149="PASS",'Calibrare_Linii'!U15="VALID")),AL1149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M87)+((('Istoric_Nativ'!$E$6:$E$405='Input_Meci'!E87)+('Istoric_Nativ'!$F$6:$F$405='Input_Meci'!E87))&gt;0)*('Istoric_Nativ'!$D$6:$D$405&gt;='Motor_Meciuri'!BN87))&gt;0)*('Istoric_Nativ'!$Q$6:$Q$405&gt;H1149))/AL1149)</x:f>
      </x:c>
      <x:c r="R1149" s="10" t="str">
        <x:f>IF(OR(NOT(AND(J1149="PASS",'Calibrare_Linii'!U15="VALID")),AM1149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O87)+((('Istoric_Nativ'!$E$6:$E$405='Input_Meci'!E87)+('Istoric_Nativ'!$F$6:$F$405='Input_Meci'!E87))&gt;0)*('Istoric_Nativ'!$D$6:$D$405&gt;='Motor_Meciuri'!BP87))&gt;0)*('Istoric_Nativ'!$Q$6:$Q$405&gt;H1149))/AM1149)</x:f>
      </x:c>
      <x:c r="S1149" s="10" t="str">
        <x:f>IF(M1149="","",MAX(O1149,P1149,Q1149,R1149))</x:f>
      </x:c>
      <x:c r="T1149" s="11" t="str">
        <x:f>IF(M1149="","",MIN(100,S1149*100*'Config_v6'!$B$44+MIN(100,L1149/'Config_v6'!$B$13*100)*'Config_v6'!$B$45+(100-'Motor_Meciuri'!BF87)*'Config_v6'!$B$46+'Motor_Meciuri'!BH87*100*'Config_v6'!$B$47))</x:f>
      </x:c>
      <x:c r="U1149" s="2" t="str">
        <x:f>IF(T1149="","",IF(T1149&lt;=20,1,IF(T1149&lt;=40,2,IF(T1149&lt;=60,3,IF(T1149&lt;=80,4,5)))))</x:f>
      </x:c>
      <x:c r="V1149" s="2" t="str">
        <x:f>IF(M1149="","",MAX(0,'Motor_Meciuri'!BF87-IF(W1149="OOS PENDING",'Config_v6'!$B$35,0)-IF(L1149&gt;'Config_v6'!$B$12,'Config_v6'!$B$37,IF(L1149&gt;'Config_v6'!$B$11,'Config_v6'!$B$36,0))))</x:f>
      </x:c>
      <x:c r="W1149" s="2" t="str">
        <x:f>IF(B1149="","",IF(I1149&lt;&gt;"READY","NOT RELEASED",IF(NOT(AND(J1149="PASS",'Calibrare_Linii'!U15="VALID")),"INVALID",IF(NOT(AND('Calibrare_Linii'!S15="VALIDATED",AND('Calibrare_Linii'!H15=C1149,ISNUMBER('Calibrare_Linii'!J15),'Calibrare_Linii'!J15&lt;='Input_Meci'!G87))),"OOS PENDING",IF(S1149&lt;='Calibrare_Linii'!E15,"PASS",IF(S1149&lt;='Calibrare_Linii'!F15,"PENALTY","WATCH"))))))</x:f>
      </x:c>
      <x:c r="X1149" s="2" t="str">
        <x:f>IF(M1149="","",IF(AND(AND(J1149="PASS",'Calibrare_Linii'!U15="VALID"),'Motor_Meciuri'!K87=12,'Motor_Meciuri'!L87=12,'Motor_Meciuri'!M87="NO",'Motor_Meciuri'!BL87='Motor_Meciuri'!C87,AB1149&gt;='Config_v6'!$B$50,AN1149&gt;='Config_v6'!$B$51,T1149&lt;='Config_v6'!$B$52,L1149&lt;='Config_v6'!$B$53,ISNUMBER('Calibrare_Linii'!E15),S1149&lt;='Calibrare_Linii'!E15,SUM(AK1149:AM1149)&gt;0),"CANDIDATE","NO"))</x:f>
      </x:c>
      <x:c r="Y1149" s="2" t="str">
        <x:f>IF(B1149="","",IF(I1149&lt;&gt;"READY","NOT RELEASED",IF(AND(X1149="CANDIDATE",V1149&gt;='Config_v6'!$B$51,W1149="PASS",'Calibrare_Linii'!T15="VALIDATED",AND('Calibrare_Linii'!H15=C1149,ISNUMBER('Calibrare_Linii'!J15),'Calibrare_Linii'!J15&lt;='Input_Meci'!G87)),"PASS",IF(X1149="CANDIDATE","OOS PENDING","FAIL"))))</x:f>
      </x:c>
      <x:c r="Z1149" s="2" t="str">
        <x:f>IF(B1149="","",IF(I1149&lt;&gt;"READY","",IF(OR(NOT(AND(J1149="PASS",'Calibrare_Linii'!U15="VALID")),L1149&gt;'Config_v6'!$B$13,W1149="WATCH"),5,IF(Y1149="PASS",1,MIN(5,MAX('Config_v6'!$B$42,U1149)+IF(W1149="PENALTY",1,0))))))</x:f>
      </x:c>
      <x:c r="AA1149" s="2" t="str">
        <x:f>IF(B1149="","",IF(I1149&lt;&gt;"READY","NOT RELEASED",IF(Z1149=5,"NO BET",IF(OR(AB1149&lt;'Config_v6'!$B$16,V1149&lt;'Config_v6'!$B$18),"WATCH",IF(Z1149=1,"DEFENSIV",IF(Z1149=2,"PRUDENT",IF(Z1149=3,"MODERAT","RIDICAT")))))))</x:f>
      </x:c>
      <x:c r="AB1149" s="10" t="str">
        <x:f>IF(N1149="","",MIN(N1149,1-S1149))</x:f>
      </x:c>
      <x:c r="AC1149" s="2" t="str">
        <x:f>IF(AD1149&lt;&gt;1,"",COUNTIFS($Z$1140:$Z$1153,"&lt;"&amp;Z1149,$AD$1140:$AD$1153,1)+COUNTIFS($Z$1140:$Z$1153,Z1149,$AB$1140:$AB$1153,"&gt;"&amp;AB1149,$AD$1140:$AD$1153,1)+COUNTIFS($Z$1140:$Z$1153,Z1149,$AB$1140:$AB$1153,AB1149,$V$1140:$V$1153,"&gt;"&amp;V1149,$AD$1140:$AD$1153,1)+COUNTIFS($Z$1140:Z1149,Z1149,$AB$1140:AB1149,AB1149,$V$1140:V1149,V1149,$AD$1140:AD1149,1))</x:f>
      </x:c>
      <x:c r="AD1149" s="2" t="n">
        <x:f>IF(OR(AA1149="DEFENSIV",AA1149="PRUDENT",AA1149="MODERAT",AA1149="RIDICAT"),1,0)</x:f>
        <x:v>0</x:v>
      </x:c>
      <x:c r="AE1149" s="2" t="str">
        <x:f>IF(AD1149&lt;&gt;1,"NO",IF(W1149="PASS","YES",IF(W1149="OOS PENDING","CONDITIONAL","NO")))</x:f>
        <x:v>NO</x:v>
      </x:c>
      <x:c r="AF1149" s="2" t="n">
        <x:f>IF(AND(AD1149=1,AC1149=1,E1149="LIVE"),1,0)</x:f>
        <x:v>0</x:v>
      </x:c>
      <x:c r="AG1149" s="2" t="str">
        <x:f>IF(AF1149&lt;&gt;1,"",'Dashboard'!P107)</x:f>
      </x:c>
      <x:c r="AH1149" s="2" t="str">
        <x:f>IF(B1149="","",IF(J1149&lt;&gt;"PASS",'Motor_Meciuri'!J87,IF('Calibrare_Linii'!U15&lt;&gt;"VALID","Parametri linie invalizi",IF(L1149&gt;'Config_v6'!$B$13,"Dispersie peste limita",IF(W1149="WATCH","Failure peste limita",IF(AB1149&lt;'Config_v6'!$B$16,"P finala sub prag",IF(V1149&lt;'Config_v6'!$B$18,"Confidence sub prag",IF(E1149="REPLAY","Exemplu retrospectiv; exclus din Top LIVE",IF(Y1149="PASS","DEFENSIV validat",IF(W1149="OOS PENDING","Eligibil; calibrare linie in monitorizare","Eligibil"))))))))))</x:f>
      </x:c>
      <x:c r="AI1149" s="2" t="str">
        <x:f>IF(B1149="","",'Calibrare_Linii'!V15)</x:f>
      </x:c>
      <x:c r="AJ1149" s="2" t="str">
        <x:f>IF(B1149="","",IF(AND('Calibrare_Linii'!T15="VALIDATED",AND('Calibrare_Linii'!H15=C1149,ISNUMBER('Calibrare_Linii'!J15),'Calibrare_Linii'!J15&lt;='Input_Meci'!G87)),"DEFENSIVE VALIDATED",IF(AND('Calibrare_Linii'!S15="VALIDATED",AND('Calibrare_Linii'!H15=C1149,ISNUMBER('Calibrare_Linii'!J15),'Calibrare_Linii'!J15&lt;='Input_Meci'!G87)),"TAIL VALIDATED","OOS PENDING")))</x:f>
      </x:c>
      <x:c r="AK1149" s="2" t="n">
        <x:f>IF(J1149&lt;&gt;"PASS",0,'Motor_Meciuri'!BR87)</x:f>
        <x:v>0</x:v>
      </x:c>
      <x:c r="AL1149" s="2" t="n">
        <x:f>IF(J1149&lt;&gt;"PASS",0,'Motor_Meciuri'!BS87)</x:f>
        <x:v>0</x:v>
      </x:c>
      <x:c r="AM1149" s="2" t="n">
        <x:f>IF(J1149&lt;&gt;"PASS",0,'Motor_Meciuri'!BT87)</x:f>
        <x:v>0</x:v>
      </x:c>
      <x:c r="AN1149" s="2" t="str">
        <x:f>IF(M1149="","",MAX(0,'Motor_Meciuri'!BF87-IF(L1149&gt;'Config_v6'!$B$12,'Config_v6'!$B$37,IF(L1149&gt;'Config_v6'!$B$11,'Config_v6'!$B$36,0))))</x:f>
      </x:c>
    </x:row>
    <x:row r="1150" ht="21" customHeight="1">
      <x:c r="A1150" s="2" t="n">
        <x:v>82</x:v>
      </x:c>
      <x:c r="B1150" s="2" t="str">
        <x:f>IF('Motor_Meciuri'!A87="","",'Motor_Meciuri'!A87)</x:f>
      </x:c>
      <x:c r="C1150" s="2" t="str">
        <x:f>IF(B1150="","",'Motor_Meciuri'!B87)</x:f>
      </x:c>
      <x:c r="D1150" s="2" t="str">
        <x:f>IF(B1150="","",'Motor_Meciuri'!D87)</x:f>
      </x:c>
      <x:c r="E1150" s="2" t="str">
        <x:f>IF(B1150="","",'Motor_Meciuri'!E87)</x:f>
      </x:c>
      <x:c r="F1150" s="2" t="str">
        <x:v>U14,5</x:v>
      </x:c>
      <x:c r="G1150" s="2" t="str">
        <x:v>UNDER</x:v>
      </x:c>
      <x:c r="H1150" s="2" t="n">
        <x:v>14</x:v>
      </x:c>
      <x:c r="I1150" s="2" t="str">
        <x:f>IF(B1150="","",'Motor_Meciuri'!H87)</x:f>
      </x:c>
      <x:c r="J1150" s="2" t="str">
        <x:f>IF(B1150="","",'Motor_Meciuri'!I87)</x:f>
      </x:c>
      <x:c r="K1150" s="11" t="str">
        <x:f>IF(J1150&lt;&gt;"PASS","",'Motor_Meciuri'!BD87)</x:f>
      </x:c>
      <x:c r="L1150" s="11" t="str">
        <x:f>IF(J1150&lt;&gt;"PASS","",'Motor_Meciuri'!AU87)</x:f>
      </x:c>
      <x:c r="M1150" s="10" t="str">
        <x:f>IF(NOT(AND(J1150="PASS",'Calibrare_Linii'!U16="VALID")),"",'Distributie'!AL87)</x:f>
      </x:c>
      <x:c r="N1150" s="10" t="str">
        <x:f>IF(M1150="","",MAX(0.01,MIN(0.99,0.5+(M1150-0.5)*'Motor_Meciuri'!BG87*'Calibrare_Linii'!D16)))</x:f>
      </x:c>
      <x:c r="O1150" s="10" t="str">
        <x:f>IF(M1150="","",1-M1150)</x:f>
      </x:c>
      <x:c r="P1150" s="10" t="str">
        <x:f>IF(OR(NOT(AND(J1150="PASS",'Calibrare_Linii'!U16="VALID")),AK1150=0),""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*('Istoric_Nativ'!$Q$6:$Q$405&gt;H1150))/AK1150)</x:f>
      </x:c>
      <x:c r="Q1150" s="10" t="str">
        <x:f>IF(OR(NOT(AND(J1150="PASS",'Calibrare_Linii'!U16="VALID")),AL1150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M87)+((('Istoric_Nativ'!$E$6:$E$405='Input_Meci'!E87)+('Istoric_Nativ'!$F$6:$F$405='Input_Meci'!E87))&gt;0)*('Istoric_Nativ'!$D$6:$D$405&gt;='Motor_Meciuri'!BN87))&gt;0)*('Istoric_Nativ'!$Q$6:$Q$405&gt;H1150))/AL1150)</x:f>
      </x:c>
      <x:c r="R1150" s="10" t="str">
        <x:f>IF(OR(NOT(AND(J1150="PASS",'Calibrare_Linii'!U16="VALID")),AM1150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O87)+((('Istoric_Nativ'!$E$6:$E$405='Input_Meci'!E87)+('Istoric_Nativ'!$F$6:$F$405='Input_Meci'!E87))&gt;0)*('Istoric_Nativ'!$D$6:$D$405&gt;='Motor_Meciuri'!BP87))&gt;0)*('Istoric_Nativ'!$Q$6:$Q$405&gt;H1150))/AM1150)</x:f>
      </x:c>
      <x:c r="S1150" s="10" t="str">
        <x:f>IF(M1150="","",MAX(O1150,P1150,Q1150,R1150))</x:f>
      </x:c>
      <x:c r="T1150" s="11" t="str">
        <x:f>IF(M1150="","",MIN(100,S1150*100*'Config_v6'!$B$44+MIN(100,L1150/'Config_v6'!$B$13*100)*'Config_v6'!$B$45+(100-'Motor_Meciuri'!BF87)*'Config_v6'!$B$46+'Motor_Meciuri'!BH87*100*'Config_v6'!$B$47))</x:f>
      </x:c>
      <x:c r="U1150" s="2" t="str">
        <x:f>IF(T1150="","",IF(T1150&lt;=20,1,IF(T1150&lt;=40,2,IF(T1150&lt;=60,3,IF(T1150&lt;=80,4,5)))))</x:f>
      </x:c>
      <x:c r="V1150" s="2" t="str">
        <x:f>IF(M1150="","",MAX(0,'Motor_Meciuri'!BF87-IF(W1150="OOS PENDING",'Config_v6'!$B$35,0)-IF(L1150&gt;'Config_v6'!$B$12,'Config_v6'!$B$37,IF(L1150&gt;'Config_v6'!$B$11,'Config_v6'!$B$36,0))))</x:f>
      </x:c>
      <x:c r="W1150" s="2" t="str">
        <x:f>IF(B1150="","",IF(I1150&lt;&gt;"READY","NOT RELEASED",IF(NOT(AND(J1150="PASS",'Calibrare_Linii'!U16="VALID")),"INVALID",IF(NOT(AND('Calibrare_Linii'!S16="VALIDATED",AND('Calibrare_Linii'!H16=C1150,ISNUMBER('Calibrare_Linii'!J16),'Calibrare_Linii'!J16&lt;='Input_Meci'!G87))),"OOS PENDING",IF(S1150&lt;='Calibrare_Linii'!E16,"PASS",IF(S1150&lt;='Calibrare_Linii'!F16,"PENALTY","WATCH"))))))</x:f>
      </x:c>
      <x:c r="X1150" s="2" t="str">
        <x:f>IF(M1150="","",IF(AND(AND(J1150="PASS",'Calibrare_Linii'!U16="VALID"),'Motor_Meciuri'!K87=12,'Motor_Meciuri'!L87=12,'Motor_Meciuri'!M87="NO",'Motor_Meciuri'!BL87='Motor_Meciuri'!C87,AB1150&gt;='Config_v6'!$B$50,AN1150&gt;='Config_v6'!$B$51,T1150&lt;='Config_v6'!$B$52,L1150&lt;='Config_v6'!$B$53,ISNUMBER('Calibrare_Linii'!E16),S1150&lt;='Calibrare_Linii'!E16,SUM(AK1150:AM1150)&gt;0),"CANDIDATE","NO"))</x:f>
      </x:c>
      <x:c r="Y1150" s="2" t="str">
        <x:f>IF(B1150="","",IF(I1150&lt;&gt;"READY","NOT RELEASED",IF(AND(X1150="CANDIDATE",V1150&gt;='Config_v6'!$B$51,W1150="PASS",'Calibrare_Linii'!T16="VALIDATED",AND('Calibrare_Linii'!H16=C1150,ISNUMBER('Calibrare_Linii'!J16),'Calibrare_Linii'!J16&lt;='Input_Meci'!G87)),"PASS",IF(X1150="CANDIDATE","OOS PENDING","FAIL"))))</x:f>
      </x:c>
      <x:c r="Z1150" s="2" t="str">
        <x:f>IF(B1150="","",IF(I1150&lt;&gt;"READY","",IF(OR(NOT(AND(J1150="PASS",'Calibrare_Linii'!U16="VALID")),L1150&gt;'Config_v6'!$B$13,W1150="WATCH"),5,IF(Y1150="PASS",1,MIN(5,MAX('Config_v6'!$B$42,U1150)+IF(W1150="PENALTY",1,0))))))</x:f>
      </x:c>
      <x:c r="AA1150" s="2" t="str">
        <x:f>IF(B1150="","",IF(I1150&lt;&gt;"READY","NOT RELEASED",IF(Z1150=5,"NO BET",IF(OR(AB1150&lt;'Config_v6'!$B$16,V1150&lt;'Config_v6'!$B$18),"WATCH",IF(Z1150=1,"DEFENSIV",IF(Z1150=2,"PRUDENT",IF(Z1150=3,"MODERAT","RIDICAT")))))))</x:f>
      </x:c>
      <x:c r="AB1150" s="10" t="str">
        <x:f>IF(N1150="","",MIN(N1150,1-S1150))</x:f>
      </x:c>
      <x:c r="AC1150" s="2" t="str">
        <x:f>IF(AD1150&lt;&gt;1,"",COUNTIFS($Z$1140:$Z$1153,"&lt;"&amp;Z1150,$AD$1140:$AD$1153,1)+COUNTIFS($Z$1140:$Z$1153,Z1150,$AB$1140:$AB$1153,"&gt;"&amp;AB1150,$AD$1140:$AD$1153,1)+COUNTIFS($Z$1140:$Z$1153,Z1150,$AB$1140:$AB$1153,AB1150,$V$1140:$V$1153,"&gt;"&amp;V1150,$AD$1140:$AD$1153,1)+COUNTIFS($Z$1140:Z1150,Z1150,$AB$1140:AB1150,AB1150,$V$1140:V1150,V1150,$AD$1140:AD1150,1))</x:f>
      </x:c>
      <x:c r="AD1150" s="2" t="n">
        <x:f>IF(OR(AA1150="DEFENSIV",AA1150="PRUDENT",AA1150="MODERAT",AA1150="RIDICAT"),1,0)</x:f>
        <x:v>0</x:v>
      </x:c>
      <x:c r="AE1150" s="2" t="str">
        <x:f>IF(AD1150&lt;&gt;1,"NO",IF(W1150="PASS","YES",IF(W1150="OOS PENDING","CONDITIONAL","NO")))</x:f>
        <x:v>NO</x:v>
      </x:c>
      <x:c r="AF1150" s="2" t="n">
        <x:f>IF(AND(AD1150=1,AC1150=1,E1150="LIVE"),1,0)</x:f>
        <x:v>0</x:v>
      </x:c>
      <x:c r="AG1150" s="2" t="str">
        <x:f>IF(AF1150&lt;&gt;1,"",'Dashboard'!P107)</x:f>
      </x:c>
      <x:c r="AH1150" s="2" t="str">
        <x:f>IF(B1150="","",IF(J1150&lt;&gt;"PASS",'Motor_Meciuri'!J87,IF('Calibrare_Linii'!U16&lt;&gt;"VALID","Parametri linie invalizi",IF(L1150&gt;'Config_v6'!$B$13,"Dispersie peste limita",IF(W1150="WATCH","Failure peste limita",IF(AB1150&lt;'Config_v6'!$B$16,"P finala sub prag",IF(V1150&lt;'Config_v6'!$B$18,"Confidence sub prag",IF(E1150="REPLAY","Exemplu retrospectiv; exclus din Top LIVE",IF(Y1150="PASS","DEFENSIV validat",IF(W1150="OOS PENDING","Eligibil; calibrare linie in monitorizare","Eligibil"))))))))))</x:f>
      </x:c>
      <x:c r="AI1150" s="2" t="str">
        <x:f>IF(B1150="","",'Calibrare_Linii'!V16)</x:f>
      </x:c>
      <x:c r="AJ1150" s="2" t="str">
        <x:f>IF(B1150="","",IF(AND('Calibrare_Linii'!T16="VALIDATED",AND('Calibrare_Linii'!H16=C1150,ISNUMBER('Calibrare_Linii'!J16),'Calibrare_Linii'!J16&lt;='Input_Meci'!G87)),"DEFENSIVE VALIDATED",IF(AND('Calibrare_Linii'!S16="VALIDATED",AND('Calibrare_Linii'!H16=C1150,ISNUMBER('Calibrare_Linii'!J16),'Calibrare_Linii'!J16&lt;='Input_Meci'!G87)),"TAIL VALIDATED","OOS PENDING")))</x:f>
      </x:c>
      <x:c r="AK1150" s="2" t="n">
        <x:f>IF(J1150&lt;&gt;"PASS",0,'Motor_Meciuri'!BR87)</x:f>
        <x:v>0</x:v>
      </x:c>
      <x:c r="AL1150" s="2" t="n">
        <x:f>IF(J1150&lt;&gt;"PASS",0,'Motor_Meciuri'!BS87)</x:f>
        <x:v>0</x:v>
      </x:c>
      <x:c r="AM1150" s="2" t="n">
        <x:f>IF(J1150&lt;&gt;"PASS",0,'Motor_Meciuri'!BT87)</x:f>
        <x:v>0</x:v>
      </x:c>
      <x:c r="AN1150" s="2" t="str">
        <x:f>IF(M1150="","",MAX(0,'Motor_Meciuri'!BF87-IF(L1150&gt;'Config_v6'!$B$12,'Config_v6'!$B$37,IF(L1150&gt;'Config_v6'!$B$11,'Config_v6'!$B$36,0))))</x:f>
      </x:c>
    </x:row>
    <x:row r="1151" ht="21" customHeight="1">
      <x:c r="A1151" s="2" t="n">
        <x:v>82</x:v>
      </x:c>
      <x:c r="B1151" s="2" t="str">
        <x:f>IF('Motor_Meciuri'!A87="","",'Motor_Meciuri'!A87)</x:f>
      </x:c>
      <x:c r="C1151" s="2" t="str">
        <x:f>IF(B1151="","",'Motor_Meciuri'!B87)</x:f>
      </x:c>
      <x:c r="D1151" s="2" t="str">
        <x:f>IF(B1151="","",'Motor_Meciuri'!D87)</x:f>
      </x:c>
      <x:c r="E1151" s="2" t="str">
        <x:f>IF(B1151="","",'Motor_Meciuri'!E87)</x:f>
      </x:c>
      <x:c r="F1151" s="2" t="str">
        <x:v>U15,5</x:v>
      </x:c>
      <x:c r="G1151" s="2" t="str">
        <x:v>UNDER</x:v>
      </x:c>
      <x:c r="H1151" s="2" t="n">
        <x:v>15</x:v>
      </x:c>
      <x:c r="I1151" s="2" t="str">
        <x:f>IF(B1151="","",'Motor_Meciuri'!H87)</x:f>
      </x:c>
      <x:c r="J1151" s="2" t="str">
        <x:f>IF(B1151="","",'Motor_Meciuri'!I87)</x:f>
      </x:c>
      <x:c r="K1151" s="11" t="str">
        <x:f>IF(J1151&lt;&gt;"PASS","",'Motor_Meciuri'!BD87)</x:f>
      </x:c>
      <x:c r="L1151" s="11" t="str">
        <x:f>IF(J1151&lt;&gt;"PASS","",'Motor_Meciuri'!AU87)</x:f>
      </x:c>
      <x:c r="M1151" s="10" t="str">
        <x:f>IF(NOT(AND(J1151="PASS",'Calibrare_Linii'!U17="VALID")),"",'Distributie'!AM87)</x:f>
      </x:c>
      <x:c r="N1151" s="10" t="str">
        <x:f>IF(M1151="","",MAX(0.01,MIN(0.99,0.5+(M1151-0.5)*'Motor_Meciuri'!BG87*'Calibrare_Linii'!D17)))</x:f>
      </x:c>
      <x:c r="O1151" s="10" t="str">
        <x:f>IF(M1151="","",1-M1151)</x:f>
      </x:c>
      <x:c r="P1151" s="10" t="str">
        <x:f>IF(OR(NOT(AND(J1151="PASS",'Calibrare_Linii'!U17="VALID")),AK1151=0),""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*('Istoric_Nativ'!$Q$6:$Q$405&gt;H1151))/AK1151)</x:f>
      </x:c>
      <x:c r="Q1151" s="10" t="str">
        <x:f>IF(OR(NOT(AND(J1151="PASS",'Calibrare_Linii'!U17="VALID")),AL1151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M87)+((('Istoric_Nativ'!$E$6:$E$405='Input_Meci'!E87)+('Istoric_Nativ'!$F$6:$F$405='Input_Meci'!E87))&gt;0)*('Istoric_Nativ'!$D$6:$D$405&gt;='Motor_Meciuri'!BN87))&gt;0)*('Istoric_Nativ'!$Q$6:$Q$405&gt;H1151))/AL1151)</x:f>
      </x:c>
      <x:c r="R1151" s="10" t="str">
        <x:f>IF(OR(NOT(AND(J1151="PASS",'Calibrare_Linii'!U17="VALID")),AM1151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O87)+((('Istoric_Nativ'!$E$6:$E$405='Input_Meci'!E87)+('Istoric_Nativ'!$F$6:$F$405='Input_Meci'!E87))&gt;0)*('Istoric_Nativ'!$D$6:$D$405&gt;='Motor_Meciuri'!BP87))&gt;0)*('Istoric_Nativ'!$Q$6:$Q$405&gt;H1151))/AM1151)</x:f>
      </x:c>
      <x:c r="S1151" s="10" t="str">
        <x:f>IF(M1151="","",MAX(O1151,P1151,Q1151,R1151))</x:f>
      </x:c>
      <x:c r="T1151" s="11" t="str">
        <x:f>IF(M1151="","",MIN(100,S1151*100*'Config_v6'!$B$44+MIN(100,L1151/'Config_v6'!$B$13*100)*'Config_v6'!$B$45+(100-'Motor_Meciuri'!BF87)*'Config_v6'!$B$46+'Motor_Meciuri'!BH87*100*'Config_v6'!$B$47))</x:f>
      </x:c>
      <x:c r="U1151" s="2" t="str">
        <x:f>IF(T1151="","",IF(T1151&lt;=20,1,IF(T1151&lt;=40,2,IF(T1151&lt;=60,3,IF(T1151&lt;=80,4,5)))))</x:f>
      </x:c>
      <x:c r="V1151" s="2" t="str">
        <x:f>IF(M1151="","",MAX(0,'Motor_Meciuri'!BF87-IF(W1151="OOS PENDING",'Config_v6'!$B$35,0)-IF(L1151&gt;'Config_v6'!$B$12,'Config_v6'!$B$37,IF(L1151&gt;'Config_v6'!$B$11,'Config_v6'!$B$36,0))))</x:f>
      </x:c>
      <x:c r="W1151" s="2" t="str">
        <x:f>IF(B1151="","",IF(I1151&lt;&gt;"READY","NOT RELEASED",IF(NOT(AND(J1151="PASS",'Calibrare_Linii'!U17="VALID")),"INVALID",IF(NOT(AND('Calibrare_Linii'!S17="VALIDATED",AND('Calibrare_Linii'!H17=C1151,ISNUMBER('Calibrare_Linii'!J17),'Calibrare_Linii'!J17&lt;='Input_Meci'!G87))),"OOS PENDING",IF(S1151&lt;='Calibrare_Linii'!E17,"PASS",IF(S1151&lt;='Calibrare_Linii'!F17,"PENALTY","WATCH"))))))</x:f>
      </x:c>
      <x:c r="X1151" s="2" t="str">
        <x:f>IF(M1151="","",IF(AND(AND(J1151="PASS",'Calibrare_Linii'!U17="VALID"),'Motor_Meciuri'!K87=12,'Motor_Meciuri'!L87=12,'Motor_Meciuri'!M87="NO",'Motor_Meciuri'!BL87='Motor_Meciuri'!C87,AB1151&gt;='Config_v6'!$B$50,AN1151&gt;='Config_v6'!$B$51,T1151&lt;='Config_v6'!$B$52,L1151&lt;='Config_v6'!$B$53,ISNUMBER('Calibrare_Linii'!E17),S1151&lt;='Calibrare_Linii'!E17,SUM(AK1151:AM1151)&gt;0),"CANDIDATE","NO"))</x:f>
      </x:c>
      <x:c r="Y1151" s="2" t="str">
        <x:f>IF(B1151="","",IF(I1151&lt;&gt;"READY","NOT RELEASED",IF(AND(X1151="CANDIDATE",V1151&gt;='Config_v6'!$B$51,W1151="PASS",'Calibrare_Linii'!T17="VALIDATED",AND('Calibrare_Linii'!H17=C1151,ISNUMBER('Calibrare_Linii'!J17),'Calibrare_Linii'!J17&lt;='Input_Meci'!G87)),"PASS",IF(X1151="CANDIDATE","OOS PENDING","FAIL"))))</x:f>
      </x:c>
      <x:c r="Z1151" s="2" t="str">
        <x:f>IF(B1151="","",IF(I1151&lt;&gt;"READY","",IF(OR(NOT(AND(J1151="PASS",'Calibrare_Linii'!U17="VALID")),L1151&gt;'Config_v6'!$B$13,W1151="WATCH"),5,IF(Y1151="PASS",1,MIN(5,MAX('Config_v6'!$B$42,U1151)+IF(W1151="PENALTY",1,0))))))</x:f>
      </x:c>
      <x:c r="AA1151" s="2" t="str">
        <x:f>IF(B1151="","",IF(I1151&lt;&gt;"READY","NOT RELEASED",IF(Z1151=5,"NO BET",IF(OR(AB1151&lt;'Config_v6'!$B$16,V1151&lt;'Config_v6'!$B$18),"WATCH",IF(Z1151=1,"DEFENSIV",IF(Z1151=2,"PRUDENT",IF(Z1151=3,"MODERAT","RIDICAT")))))))</x:f>
      </x:c>
      <x:c r="AB1151" s="10" t="str">
        <x:f>IF(N1151="","",MIN(N1151,1-S1151))</x:f>
      </x:c>
      <x:c r="AC1151" s="2" t="str">
        <x:f>IF(AD1151&lt;&gt;1,"",COUNTIFS($Z$1140:$Z$1153,"&lt;"&amp;Z1151,$AD$1140:$AD$1153,1)+COUNTIFS($Z$1140:$Z$1153,Z1151,$AB$1140:$AB$1153,"&gt;"&amp;AB1151,$AD$1140:$AD$1153,1)+COUNTIFS($Z$1140:$Z$1153,Z1151,$AB$1140:$AB$1153,AB1151,$V$1140:$V$1153,"&gt;"&amp;V1151,$AD$1140:$AD$1153,1)+COUNTIFS($Z$1140:Z1151,Z1151,$AB$1140:AB1151,AB1151,$V$1140:V1151,V1151,$AD$1140:AD1151,1))</x:f>
      </x:c>
      <x:c r="AD1151" s="2" t="n">
        <x:f>IF(OR(AA1151="DEFENSIV",AA1151="PRUDENT",AA1151="MODERAT",AA1151="RIDICAT"),1,0)</x:f>
        <x:v>0</x:v>
      </x:c>
      <x:c r="AE1151" s="2" t="str">
        <x:f>IF(AD1151&lt;&gt;1,"NO",IF(W1151="PASS","YES",IF(W1151="OOS PENDING","CONDITIONAL","NO")))</x:f>
        <x:v>NO</x:v>
      </x:c>
      <x:c r="AF1151" s="2" t="n">
        <x:f>IF(AND(AD1151=1,AC1151=1,E1151="LIVE"),1,0)</x:f>
        <x:v>0</x:v>
      </x:c>
      <x:c r="AG1151" s="2" t="str">
        <x:f>IF(AF1151&lt;&gt;1,"",'Dashboard'!P107)</x:f>
      </x:c>
      <x:c r="AH1151" s="2" t="str">
        <x:f>IF(B1151="","",IF(J1151&lt;&gt;"PASS",'Motor_Meciuri'!J87,IF('Calibrare_Linii'!U17&lt;&gt;"VALID","Parametri linie invalizi",IF(L1151&gt;'Config_v6'!$B$13,"Dispersie peste limita",IF(W1151="WATCH","Failure peste limita",IF(AB1151&lt;'Config_v6'!$B$16,"P finala sub prag",IF(V1151&lt;'Config_v6'!$B$18,"Confidence sub prag",IF(E1151="REPLAY","Exemplu retrospectiv; exclus din Top LIVE",IF(Y1151="PASS","DEFENSIV validat",IF(W1151="OOS PENDING","Eligibil; calibrare linie in monitorizare","Eligibil"))))))))))</x:f>
      </x:c>
      <x:c r="AI1151" s="2" t="str">
        <x:f>IF(B1151="","",'Calibrare_Linii'!V17)</x:f>
      </x:c>
      <x:c r="AJ1151" s="2" t="str">
        <x:f>IF(B1151="","",IF(AND('Calibrare_Linii'!T17="VALIDATED",AND('Calibrare_Linii'!H17=C1151,ISNUMBER('Calibrare_Linii'!J17),'Calibrare_Linii'!J17&lt;='Input_Meci'!G87)),"DEFENSIVE VALIDATED",IF(AND('Calibrare_Linii'!S17="VALIDATED",AND('Calibrare_Linii'!H17=C1151,ISNUMBER('Calibrare_Linii'!J17),'Calibrare_Linii'!J17&lt;='Input_Meci'!G87)),"TAIL VALIDATED","OOS PENDING")))</x:f>
      </x:c>
      <x:c r="AK1151" s="2" t="n">
        <x:f>IF(J1151&lt;&gt;"PASS",0,'Motor_Meciuri'!BR87)</x:f>
        <x:v>0</x:v>
      </x:c>
      <x:c r="AL1151" s="2" t="n">
        <x:f>IF(J1151&lt;&gt;"PASS",0,'Motor_Meciuri'!BS87)</x:f>
        <x:v>0</x:v>
      </x:c>
      <x:c r="AM1151" s="2" t="n">
        <x:f>IF(J1151&lt;&gt;"PASS",0,'Motor_Meciuri'!BT87)</x:f>
        <x:v>0</x:v>
      </x:c>
      <x:c r="AN1151" s="2" t="str">
        <x:f>IF(M1151="","",MAX(0,'Motor_Meciuri'!BF87-IF(L1151&gt;'Config_v6'!$B$12,'Config_v6'!$B$37,IF(L1151&gt;'Config_v6'!$B$11,'Config_v6'!$B$36,0))))</x:f>
      </x:c>
    </x:row>
    <x:row r="1152" ht="21" customHeight="1">
      <x:c r="A1152" s="2" t="n">
        <x:v>82</x:v>
      </x:c>
      <x:c r="B1152" s="2" t="str">
        <x:f>IF('Motor_Meciuri'!A87="","",'Motor_Meciuri'!A87)</x:f>
      </x:c>
      <x:c r="C1152" s="2" t="str">
        <x:f>IF(B1152="","",'Motor_Meciuri'!B87)</x:f>
      </x:c>
      <x:c r="D1152" s="2" t="str">
        <x:f>IF(B1152="","",'Motor_Meciuri'!D87)</x:f>
      </x:c>
      <x:c r="E1152" s="2" t="str">
        <x:f>IF(B1152="","",'Motor_Meciuri'!E87)</x:f>
      </x:c>
      <x:c r="F1152" s="2" t="str">
        <x:v>U16,5</x:v>
      </x:c>
      <x:c r="G1152" s="2" t="str">
        <x:v>UNDER</x:v>
      </x:c>
      <x:c r="H1152" s="2" t="n">
        <x:v>16</x:v>
      </x:c>
      <x:c r="I1152" s="2" t="str">
        <x:f>IF(B1152="","",'Motor_Meciuri'!H87)</x:f>
      </x:c>
      <x:c r="J1152" s="2" t="str">
        <x:f>IF(B1152="","",'Motor_Meciuri'!I87)</x:f>
      </x:c>
      <x:c r="K1152" s="11" t="str">
        <x:f>IF(J1152&lt;&gt;"PASS","",'Motor_Meciuri'!BD87)</x:f>
      </x:c>
      <x:c r="L1152" s="11" t="str">
        <x:f>IF(J1152&lt;&gt;"PASS","",'Motor_Meciuri'!AU87)</x:f>
      </x:c>
      <x:c r="M1152" s="10" t="str">
        <x:f>IF(NOT(AND(J1152="PASS",'Calibrare_Linii'!U18="VALID")),"",'Distributie'!AN87)</x:f>
      </x:c>
      <x:c r="N1152" s="10" t="str">
        <x:f>IF(M1152="","",MAX(0.01,MIN(0.99,0.5+(M1152-0.5)*'Motor_Meciuri'!BG87*'Calibrare_Linii'!D18)))</x:f>
      </x:c>
      <x:c r="O1152" s="10" t="str">
        <x:f>IF(M1152="","",1-M1152)</x:f>
      </x:c>
      <x:c r="P1152" s="10" t="str">
        <x:f>IF(OR(NOT(AND(J1152="PASS",'Calibrare_Linii'!U18="VALID")),AK1152=0),""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*('Istoric_Nativ'!$Q$6:$Q$405&gt;H1152))/AK1152)</x:f>
      </x:c>
      <x:c r="Q1152" s="10" t="str">
        <x:f>IF(OR(NOT(AND(J1152="PASS",'Calibrare_Linii'!U18="VALID")),AL1152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M87)+((('Istoric_Nativ'!$E$6:$E$405='Input_Meci'!E87)+('Istoric_Nativ'!$F$6:$F$405='Input_Meci'!E87))&gt;0)*('Istoric_Nativ'!$D$6:$D$405&gt;='Motor_Meciuri'!BN87))&gt;0)*('Istoric_Nativ'!$Q$6:$Q$405&gt;H1152))/AL1152)</x:f>
      </x:c>
      <x:c r="R1152" s="10" t="str">
        <x:f>IF(OR(NOT(AND(J1152="PASS",'Calibrare_Linii'!U18="VALID")),AM1152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O87)+((('Istoric_Nativ'!$E$6:$E$405='Input_Meci'!E87)+('Istoric_Nativ'!$F$6:$F$405='Input_Meci'!E87))&gt;0)*('Istoric_Nativ'!$D$6:$D$405&gt;='Motor_Meciuri'!BP87))&gt;0)*('Istoric_Nativ'!$Q$6:$Q$405&gt;H1152))/AM1152)</x:f>
      </x:c>
      <x:c r="S1152" s="10" t="str">
        <x:f>IF(M1152="","",MAX(O1152,P1152,Q1152,R1152))</x:f>
      </x:c>
      <x:c r="T1152" s="11" t="str">
        <x:f>IF(M1152="","",MIN(100,S1152*100*'Config_v6'!$B$44+MIN(100,L1152/'Config_v6'!$B$13*100)*'Config_v6'!$B$45+(100-'Motor_Meciuri'!BF87)*'Config_v6'!$B$46+'Motor_Meciuri'!BH87*100*'Config_v6'!$B$47))</x:f>
      </x:c>
      <x:c r="U1152" s="2" t="str">
        <x:f>IF(T1152="","",IF(T1152&lt;=20,1,IF(T1152&lt;=40,2,IF(T1152&lt;=60,3,IF(T1152&lt;=80,4,5)))))</x:f>
      </x:c>
      <x:c r="V1152" s="2" t="str">
        <x:f>IF(M1152="","",MAX(0,'Motor_Meciuri'!BF87-IF(W1152="OOS PENDING",'Config_v6'!$B$35,0)-IF(L1152&gt;'Config_v6'!$B$12,'Config_v6'!$B$37,IF(L1152&gt;'Config_v6'!$B$11,'Config_v6'!$B$36,0))))</x:f>
      </x:c>
      <x:c r="W1152" s="2" t="str">
        <x:f>IF(B1152="","",IF(I1152&lt;&gt;"READY","NOT RELEASED",IF(NOT(AND(J1152="PASS",'Calibrare_Linii'!U18="VALID")),"INVALID",IF(NOT(AND('Calibrare_Linii'!S18="VALIDATED",AND('Calibrare_Linii'!H18=C1152,ISNUMBER('Calibrare_Linii'!J18),'Calibrare_Linii'!J18&lt;='Input_Meci'!G87))),"OOS PENDING",IF(S1152&lt;='Calibrare_Linii'!E18,"PASS",IF(S1152&lt;='Calibrare_Linii'!F18,"PENALTY","WATCH"))))))</x:f>
      </x:c>
      <x:c r="X1152" s="2" t="str">
        <x:f>IF(M1152="","",IF(AND(AND(J1152="PASS",'Calibrare_Linii'!U18="VALID"),'Motor_Meciuri'!K87=12,'Motor_Meciuri'!L87=12,'Motor_Meciuri'!M87="NO",'Motor_Meciuri'!BL87='Motor_Meciuri'!C87,AB1152&gt;='Config_v6'!$B$50,AN1152&gt;='Config_v6'!$B$51,T1152&lt;='Config_v6'!$B$52,L1152&lt;='Config_v6'!$B$53,ISNUMBER('Calibrare_Linii'!E18),S1152&lt;='Calibrare_Linii'!E18,SUM(AK1152:AM1152)&gt;0),"CANDIDATE","NO"))</x:f>
      </x:c>
      <x:c r="Y1152" s="2" t="str">
        <x:f>IF(B1152="","",IF(I1152&lt;&gt;"READY","NOT RELEASED",IF(AND(X1152="CANDIDATE",V1152&gt;='Config_v6'!$B$51,W1152="PASS",'Calibrare_Linii'!T18="VALIDATED",AND('Calibrare_Linii'!H18=C1152,ISNUMBER('Calibrare_Linii'!J18),'Calibrare_Linii'!J18&lt;='Input_Meci'!G87)),"PASS",IF(X1152="CANDIDATE","OOS PENDING","FAIL"))))</x:f>
      </x:c>
      <x:c r="Z1152" s="2" t="str">
        <x:f>IF(B1152="","",IF(I1152&lt;&gt;"READY","",IF(OR(NOT(AND(J1152="PASS",'Calibrare_Linii'!U18="VALID")),L1152&gt;'Config_v6'!$B$13,W1152="WATCH"),5,IF(Y1152="PASS",1,MIN(5,MAX('Config_v6'!$B$42,U1152)+IF(W1152="PENALTY",1,0))))))</x:f>
      </x:c>
      <x:c r="AA1152" s="2" t="str">
        <x:f>IF(B1152="","",IF(I1152&lt;&gt;"READY","NOT RELEASED",IF(Z1152=5,"NO BET",IF(OR(AB1152&lt;'Config_v6'!$B$16,V1152&lt;'Config_v6'!$B$18),"WATCH",IF(Z1152=1,"DEFENSIV",IF(Z1152=2,"PRUDENT",IF(Z1152=3,"MODERAT","RIDICAT")))))))</x:f>
      </x:c>
      <x:c r="AB1152" s="10" t="str">
        <x:f>IF(N1152="","",MIN(N1152,1-S1152))</x:f>
      </x:c>
      <x:c r="AC1152" s="2" t="str">
        <x:f>IF(AD1152&lt;&gt;1,"",COUNTIFS($Z$1140:$Z$1153,"&lt;"&amp;Z1152,$AD$1140:$AD$1153,1)+COUNTIFS($Z$1140:$Z$1153,Z1152,$AB$1140:$AB$1153,"&gt;"&amp;AB1152,$AD$1140:$AD$1153,1)+COUNTIFS($Z$1140:$Z$1153,Z1152,$AB$1140:$AB$1153,AB1152,$V$1140:$V$1153,"&gt;"&amp;V1152,$AD$1140:$AD$1153,1)+COUNTIFS($Z$1140:Z1152,Z1152,$AB$1140:AB1152,AB1152,$V$1140:V1152,V1152,$AD$1140:AD1152,1))</x:f>
      </x:c>
      <x:c r="AD1152" s="2" t="n">
        <x:f>IF(OR(AA1152="DEFENSIV",AA1152="PRUDENT",AA1152="MODERAT",AA1152="RIDICAT"),1,0)</x:f>
        <x:v>0</x:v>
      </x:c>
      <x:c r="AE1152" s="2" t="str">
        <x:f>IF(AD1152&lt;&gt;1,"NO",IF(W1152="PASS","YES",IF(W1152="OOS PENDING","CONDITIONAL","NO")))</x:f>
        <x:v>NO</x:v>
      </x:c>
      <x:c r="AF1152" s="2" t="n">
        <x:f>IF(AND(AD1152=1,AC1152=1,E1152="LIVE"),1,0)</x:f>
        <x:v>0</x:v>
      </x:c>
      <x:c r="AG1152" s="2" t="str">
        <x:f>IF(AF1152&lt;&gt;1,"",'Dashboard'!P107)</x:f>
      </x:c>
      <x:c r="AH1152" s="2" t="str">
        <x:f>IF(B1152="","",IF(J1152&lt;&gt;"PASS",'Motor_Meciuri'!J87,IF('Calibrare_Linii'!U18&lt;&gt;"VALID","Parametri linie invalizi",IF(L1152&gt;'Config_v6'!$B$13,"Dispersie peste limita",IF(W1152="WATCH","Failure peste limita",IF(AB1152&lt;'Config_v6'!$B$16,"P finala sub prag",IF(V1152&lt;'Config_v6'!$B$18,"Confidence sub prag",IF(E1152="REPLAY","Exemplu retrospectiv; exclus din Top LIVE",IF(Y1152="PASS","DEFENSIV validat",IF(W1152="OOS PENDING","Eligibil; calibrare linie in monitorizare","Eligibil"))))))))))</x:f>
      </x:c>
      <x:c r="AI1152" s="2" t="str">
        <x:f>IF(B1152="","",'Calibrare_Linii'!V18)</x:f>
      </x:c>
      <x:c r="AJ1152" s="2" t="str">
        <x:f>IF(B1152="","",IF(AND('Calibrare_Linii'!T18="VALIDATED",AND('Calibrare_Linii'!H18=C1152,ISNUMBER('Calibrare_Linii'!J18),'Calibrare_Linii'!J18&lt;='Input_Meci'!G87)),"DEFENSIVE VALIDATED",IF(AND('Calibrare_Linii'!S18="VALIDATED",AND('Calibrare_Linii'!H18=C1152,ISNUMBER('Calibrare_Linii'!J18),'Calibrare_Linii'!J18&lt;='Input_Meci'!G87)),"TAIL VALIDATED","OOS PENDING")))</x:f>
      </x:c>
      <x:c r="AK1152" s="2" t="n">
        <x:f>IF(J1152&lt;&gt;"PASS",0,'Motor_Meciuri'!BR87)</x:f>
        <x:v>0</x:v>
      </x:c>
      <x:c r="AL1152" s="2" t="n">
        <x:f>IF(J1152&lt;&gt;"PASS",0,'Motor_Meciuri'!BS87)</x:f>
        <x:v>0</x:v>
      </x:c>
      <x:c r="AM1152" s="2" t="n">
        <x:f>IF(J1152&lt;&gt;"PASS",0,'Motor_Meciuri'!BT87)</x:f>
        <x:v>0</x:v>
      </x:c>
      <x:c r="AN1152" s="2" t="str">
        <x:f>IF(M1152="","",MAX(0,'Motor_Meciuri'!BF87-IF(L1152&gt;'Config_v6'!$B$12,'Config_v6'!$B$37,IF(L1152&gt;'Config_v6'!$B$11,'Config_v6'!$B$36,0))))</x:f>
      </x:c>
    </x:row>
    <x:row r="1153" ht="21" customHeight="1">
      <x:c r="A1153" s="2" t="n">
        <x:v>82</x:v>
      </x:c>
      <x:c r="B1153" s="2" t="str">
        <x:f>IF('Motor_Meciuri'!A87="","",'Motor_Meciuri'!A87)</x:f>
      </x:c>
      <x:c r="C1153" s="2" t="str">
        <x:f>IF(B1153="","",'Motor_Meciuri'!B87)</x:f>
      </x:c>
      <x:c r="D1153" s="2" t="str">
        <x:f>IF(B1153="","",'Motor_Meciuri'!D87)</x:f>
      </x:c>
      <x:c r="E1153" s="2" t="str">
        <x:f>IF(B1153="","",'Motor_Meciuri'!E87)</x:f>
      </x:c>
      <x:c r="F1153" s="2" t="str">
        <x:v>U17,5</x:v>
      </x:c>
      <x:c r="G1153" s="2" t="str">
        <x:v>UNDER</x:v>
      </x:c>
      <x:c r="H1153" s="2" t="n">
        <x:v>17</x:v>
      </x:c>
      <x:c r="I1153" s="2" t="str">
        <x:f>IF(B1153="","",'Motor_Meciuri'!H87)</x:f>
      </x:c>
      <x:c r="J1153" s="2" t="str">
        <x:f>IF(B1153="","",'Motor_Meciuri'!I87)</x:f>
      </x:c>
      <x:c r="K1153" s="11" t="str">
        <x:f>IF(J1153&lt;&gt;"PASS","",'Motor_Meciuri'!BD87)</x:f>
      </x:c>
      <x:c r="L1153" s="11" t="str">
        <x:f>IF(J1153&lt;&gt;"PASS","",'Motor_Meciuri'!AU87)</x:f>
      </x:c>
      <x:c r="M1153" s="10" t="str">
        <x:f>IF(NOT(AND(J1153="PASS",'Calibrare_Linii'!U19="VALID")),"",'Distributie'!AO87)</x:f>
      </x:c>
      <x:c r="N1153" s="10" t="str">
        <x:f>IF(M1153="","",MAX(0.01,MIN(0.99,0.5+(M1153-0.5)*'Motor_Meciuri'!BG87*'Calibrare_Linii'!D19)))</x:f>
      </x:c>
      <x:c r="O1153" s="10" t="str">
        <x:f>IF(M1153="","",1-M1153)</x:f>
      </x:c>
      <x:c r="P1153" s="10" t="str">
        <x:f>IF(OR(NOT(AND(J1153="PASS",'Calibrare_Linii'!U19="VALID")),AK1153=0),""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*('Istoric_Nativ'!$Q$6:$Q$405&gt;H1153))/AK1153)</x:f>
      </x:c>
      <x:c r="Q1153" s="10" t="str">
        <x:f>IF(OR(NOT(AND(J1153="PASS",'Calibrare_Linii'!U19="VALID")),AL1153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M87)+((('Istoric_Nativ'!$E$6:$E$405='Input_Meci'!E87)+('Istoric_Nativ'!$F$6:$F$405='Input_Meci'!E87))&gt;0)*('Istoric_Nativ'!$D$6:$D$405&gt;='Motor_Meciuri'!BN87))&gt;0)*('Istoric_Nativ'!$Q$6:$Q$405&gt;H1153))/AL1153)</x:f>
      </x:c>
      <x:c r="R1153" s="10" t="str">
        <x:f>IF(OR(NOT(AND(J1153="PASS",'Calibrare_Linii'!U19="VALID")),AM1153=0),""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'Motor_Meciuri'!BO87)+((('Istoric_Nativ'!$E$6:$E$405='Input_Meci'!E87)+('Istoric_Nativ'!$F$6:$F$405='Input_Meci'!E87))&gt;0)*('Istoric_Nativ'!$D$6:$D$405&gt;='Motor_Meciuri'!BP87))&gt;0)*('Istoric_Nativ'!$Q$6:$Q$405&gt;H1153))/AM1153)</x:f>
      </x:c>
      <x:c r="S1153" s="10" t="str">
        <x:f>IF(M1153="","",MAX(O1153,P1153,Q1153,R1153))</x:f>
      </x:c>
      <x:c r="T1153" s="11" t="str">
        <x:f>IF(M1153="","",MIN(100,S1153*100*'Config_v6'!$B$44+MIN(100,L1153/'Config_v6'!$B$13*100)*'Config_v6'!$B$45+(100-'Motor_Meciuri'!BF87)*'Config_v6'!$B$46+'Motor_Meciuri'!BH87*100*'Config_v6'!$B$47))</x:f>
      </x:c>
      <x:c r="U1153" s="2" t="str">
        <x:f>IF(T1153="","",IF(T1153&lt;=20,1,IF(T1153&lt;=40,2,IF(T1153&lt;=60,3,IF(T1153&lt;=80,4,5)))))</x:f>
      </x:c>
      <x:c r="V1153" s="2" t="str">
        <x:f>IF(M1153="","",MAX(0,'Motor_Meciuri'!BF87-IF(W1153="OOS PENDING",'Config_v6'!$B$35,0)-IF(L1153&gt;'Config_v6'!$B$12,'Config_v6'!$B$37,IF(L1153&gt;'Config_v6'!$B$11,'Config_v6'!$B$36,0))))</x:f>
      </x:c>
      <x:c r="W1153" s="2" t="str">
        <x:f>IF(B1153="","",IF(I1153&lt;&gt;"READY","NOT RELEASED",IF(NOT(AND(J1153="PASS",'Calibrare_Linii'!U19="VALID")),"INVALID",IF(NOT(AND('Calibrare_Linii'!S19="VALIDATED",AND('Calibrare_Linii'!H19=C1153,ISNUMBER('Calibrare_Linii'!J19),'Calibrare_Linii'!J19&lt;='Input_Meci'!G87))),"OOS PENDING",IF(S1153&lt;='Calibrare_Linii'!E19,"PASS",IF(S1153&lt;='Calibrare_Linii'!F19,"PENALTY","WATCH"))))))</x:f>
      </x:c>
      <x:c r="X1153" s="2" t="str">
        <x:f>IF(M1153="","",IF(AND(AND(J1153="PASS",'Calibrare_Linii'!U19="VALID"),'Motor_Meciuri'!K87=12,'Motor_Meciuri'!L87=12,'Motor_Meciuri'!M87="NO",'Motor_Meciuri'!BL87='Motor_Meciuri'!C87,AB1153&gt;='Config_v6'!$B$50,AN1153&gt;='Config_v6'!$B$51,T1153&lt;='Config_v6'!$B$52,L1153&lt;='Config_v6'!$B$53,ISNUMBER('Calibrare_Linii'!E19),S1153&lt;='Calibrare_Linii'!E19,SUM(AK1153:AM1153)&gt;0),"CANDIDATE","NO"))</x:f>
      </x:c>
      <x:c r="Y1153" s="2" t="str">
        <x:f>IF(B1153="","",IF(I1153&lt;&gt;"READY","NOT RELEASED",IF(AND(X1153="CANDIDATE",V1153&gt;='Config_v6'!$B$51,W1153="PASS",'Calibrare_Linii'!T19="VALIDATED",AND('Calibrare_Linii'!H19=C1153,ISNUMBER('Calibrare_Linii'!J19),'Calibrare_Linii'!J19&lt;='Input_Meci'!G87)),"PASS",IF(X1153="CANDIDATE","OOS PENDING","FAIL"))))</x:f>
      </x:c>
      <x:c r="Z1153" s="2" t="str">
        <x:f>IF(B1153="","",IF(I1153&lt;&gt;"READY","",IF(OR(NOT(AND(J1153="PASS",'Calibrare_Linii'!U19="VALID")),L1153&gt;'Config_v6'!$B$13,W1153="WATCH"),5,IF(Y1153="PASS",1,MIN(5,MAX('Config_v6'!$B$42,U1153)+IF(W1153="PENALTY",1,0))))))</x:f>
      </x:c>
      <x:c r="AA1153" s="2" t="str">
        <x:f>IF(B1153="","",IF(I1153&lt;&gt;"READY","NOT RELEASED",IF(Z1153=5,"NO BET",IF(OR(AB1153&lt;'Config_v6'!$B$16,V1153&lt;'Config_v6'!$B$18),"WATCH",IF(Z1153=1,"DEFENSIV",IF(Z1153=2,"PRUDENT",IF(Z1153=3,"MODERAT","RIDICAT")))))))</x:f>
      </x:c>
      <x:c r="AB1153" s="10" t="str">
        <x:f>IF(N1153="","",MIN(N1153,1-S1153))</x:f>
      </x:c>
      <x:c r="AC1153" s="2" t="str">
        <x:f>IF(AD1153&lt;&gt;1,"",COUNTIFS($Z$1140:$Z$1153,"&lt;"&amp;Z1153,$AD$1140:$AD$1153,1)+COUNTIFS($Z$1140:$Z$1153,Z1153,$AB$1140:$AB$1153,"&gt;"&amp;AB1153,$AD$1140:$AD$1153,1)+COUNTIFS($Z$1140:$Z$1153,Z1153,$AB$1140:$AB$1153,AB1153,$V$1140:$V$1153,"&gt;"&amp;V1153,$AD$1140:$AD$1153,1)+COUNTIFS($Z$1140:Z1153,Z1153,$AB$1140:AB1153,AB1153,$V$1140:V1153,V1153,$AD$1140:AD1153,1))</x:f>
      </x:c>
      <x:c r="AD1153" s="2" t="n">
        <x:f>IF(OR(AA1153="DEFENSIV",AA1153="PRUDENT",AA1153="MODERAT",AA1153="RIDICAT"),1,0)</x:f>
        <x:v>0</x:v>
      </x:c>
      <x:c r="AE1153" s="2" t="str">
        <x:f>IF(AD1153&lt;&gt;1,"NO",IF(W1153="PASS","YES",IF(W1153="OOS PENDING","CONDITIONAL","NO")))</x:f>
        <x:v>NO</x:v>
      </x:c>
      <x:c r="AF1153" s="2" t="n">
        <x:f>IF(AND(AD1153=1,AC1153=1,E1153="LIVE"),1,0)</x:f>
        <x:v>0</x:v>
      </x:c>
      <x:c r="AG1153" s="2" t="str">
        <x:f>IF(AF1153&lt;&gt;1,"",'Dashboard'!P107)</x:f>
      </x:c>
      <x:c r="AH1153" s="2" t="str">
        <x:f>IF(B1153="","",IF(J1153&lt;&gt;"PASS",'Motor_Meciuri'!J87,IF('Calibrare_Linii'!U19&lt;&gt;"VALID","Parametri linie invalizi",IF(L1153&gt;'Config_v6'!$B$13,"Dispersie peste limita",IF(W1153="WATCH","Failure peste limita",IF(AB1153&lt;'Config_v6'!$B$16,"P finala sub prag",IF(V1153&lt;'Config_v6'!$B$18,"Confidence sub prag",IF(E1153="REPLAY","Exemplu retrospectiv; exclus din Top LIVE",IF(Y1153="PASS","DEFENSIV validat",IF(W1153="OOS PENDING","Eligibil; calibrare linie in monitorizare","Eligibil"))))))))))</x:f>
      </x:c>
      <x:c r="AI1153" s="2" t="str">
        <x:f>IF(B1153="","",'Calibrare_Linii'!V19)</x:f>
      </x:c>
      <x:c r="AJ1153" s="2" t="str">
        <x:f>IF(B1153="","",IF(AND('Calibrare_Linii'!T19="VALIDATED",AND('Calibrare_Linii'!H19=C1153,ISNUMBER('Calibrare_Linii'!J19),'Calibrare_Linii'!J19&lt;='Input_Meci'!G87)),"DEFENSIVE VALIDATED",IF(AND('Calibrare_Linii'!S19="VALIDATED",AND('Calibrare_Linii'!H19=C1153,ISNUMBER('Calibrare_Linii'!J19),'Calibrare_Linii'!J19&lt;='Input_Meci'!G87)),"TAIL VALIDATED","OOS PENDING")))</x:f>
      </x:c>
      <x:c r="AK1153" s="2" t="n">
        <x:f>IF(J1153&lt;&gt;"PASS",0,'Motor_Meciuri'!BR87)</x:f>
        <x:v>0</x:v>
      </x:c>
      <x:c r="AL1153" s="2" t="n">
        <x:f>IF(J1153&lt;&gt;"PASS",0,'Motor_Meciuri'!BS87)</x:f>
        <x:v>0</x:v>
      </x:c>
      <x:c r="AM1153" s="2" t="n">
        <x:f>IF(J1153&lt;&gt;"PASS",0,'Motor_Meciuri'!BT87)</x:f>
        <x:v>0</x:v>
      </x:c>
      <x:c r="AN1153" s="2" t="str">
        <x:f>IF(M1153="","",MAX(0,'Motor_Meciuri'!BF87-IF(L1153&gt;'Config_v6'!$B$12,'Config_v6'!$B$37,IF(L1153&gt;'Config_v6'!$B$11,'Config_v6'!$B$36,0))))</x:f>
      </x:c>
    </x:row>
    <x:row r="1154" ht="21" customHeight="1">
      <x:c r="A1154" s="2" t="n">
        <x:v>83</x:v>
      </x:c>
      <x:c r="B1154" s="2" t="str">
        <x:f>IF('Motor_Meciuri'!A88="","",'Motor_Meciuri'!A88)</x:f>
      </x:c>
      <x:c r="C1154" s="2" t="str">
        <x:f>IF(B1154="","",'Motor_Meciuri'!B88)</x:f>
      </x:c>
      <x:c r="D1154" s="2" t="str">
        <x:f>IF(B1154="","",'Motor_Meciuri'!D88)</x:f>
      </x:c>
      <x:c r="E1154" s="2" t="str">
        <x:f>IF(B1154="","",'Motor_Meciuri'!E88)</x:f>
      </x:c>
      <x:c r="F1154" s="2" t="str">
        <x:v>O3,5</x:v>
      </x:c>
      <x:c r="G1154" s="2" t="str">
        <x:v>OVER</x:v>
      </x:c>
      <x:c r="H1154" s="2" t="n">
        <x:v>3</x:v>
      </x:c>
      <x:c r="I1154" s="2" t="str">
        <x:f>IF(B1154="","",'Motor_Meciuri'!H88)</x:f>
      </x:c>
      <x:c r="J1154" s="2" t="str">
        <x:f>IF(B1154="","",'Motor_Meciuri'!I88)</x:f>
      </x:c>
      <x:c r="K1154" s="11" t="str">
        <x:f>IF(J1154&lt;&gt;"PASS","",'Motor_Meciuri'!BD88)</x:f>
      </x:c>
      <x:c r="L1154" s="11" t="str">
        <x:f>IF(J1154&lt;&gt;"PASS","",'Motor_Meciuri'!AU88)</x:f>
      </x:c>
      <x:c r="M1154" s="10" t="str">
        <x:f>IF(NOT(AND(J1154="PASS",'Calibrare_Linii'!U6="VALID")),"",1-'Distributie'!AA88)</x:f>
      </x:c>
      <x:c r="N1154" s="10" t="str">
        <x:f>IF(M1154="","",MAX(0.01,MIN(0.99,0.5+(M1154-0.5)*'Motor_Meciuri'!BG88*'Calibrare_Linii'!D6)))</x:f>
      </x:c>
      <x:c r="O1154" s="10" t="str">
        <x:f>IF(M1154="","",1-M1154)</x:f>
      </x:c>
      <x:c r="P1154" s="10" t="str">
        <x:f>IF(OR(NOT(AND(J1154="PASS",'Calibrare_Linii'!U6="VALID")),AK1154=0),""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*('Istoric_Nativ'!$Q$6:$Q$405&lt;=H1154))/AK1154)</x:f>
      </x:c>
      <x:c r="Q1154" s="10" t="str">
        <x:f>IF(OR(NOT(AND(J1154="PASS",'Calibrare_Linii'!U6="VALID")),AL1154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M88)+((('Istoric_Nativ'!$E$6:$E$405='Input_Meci'!E88)+('Istoric_Nativ'!$F$6:$F$405='Input_Meci'!E88))&gt;0)*('Istoric_Nativ'!$D$6:$D$405&gt;='Motor_Meciuri'!BN88))&gt;0)*('Istoric_Nativ'!$Q$6:$Q$405&lt;=H1154))/AL1154)</x:f>
      </x:c>
      <x:c r="R1154" s="10" t="str">
        <x:f>IF(OR(NOT(AND(J1154="PASS",'Calibrare_Linii'!U6="VALID")),AM1154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O88)+((('Istoric_Nativ'!$E$6:$E$405='Input_Meci'!E88)+('Istoric_Nativ'!$F$6:$F$405='Input_Meci'!E88))&gt;0)*('Istoric_Nativ'!$D$6:$D$405&gt;='Motor_Meciuri'!BP88))&gt;0)*('Istoric_Nativ'!$Q$6:$Q$405&lt;=H1154))/AM1154)</x:f>
      </x:c>
      <x:c r="S1154" s="10" t="str">
        <x:f>IF(M1154="","",MAX(O1154,P1154,Q1154,R1154))</x:f>
      </x:c>
      <x:c r="T1154" s="11" t="str">
        <x:f>IF(M1154="","",MIN(100,S1154*100*'Config_v6'!$B$44+MIN(100,L1154/'Config_v6'!$B$13*100)*'Config_v6'!$B$45+(100-'Motor_Meciuri'!BF88)*'Config_v6'!$B$46+'Motor_Meciuri'!BH88*100*'Config_v6'!$B$47))</x:f>
      </x:c>
      <x:c r="U1154" s="2" t="str">
        <x:f>IF(T1154="","",IF(T1154&lt;=20,1,IF(T1154&lt;=40,2,IF(T1154&lt;=60,3,IF(T1154&lt;=80,4,5)))))</x:f>
      </x:c>
      <x:c r="V1154" s="2" t="str">
        <x:f>IF(M1154="","",MAX(0,'Motor_Meciuri'!BF88-IF(W1154="OOS PENDING",'Config_v6'!$B$35,0)-IF(L1154&gt;'Config_v6'!$B$12,'Config_v6'!$B$37,IF(L1154&gt;'Config_v6'!$B$11,'Config_v6'!$B$36,0))))</x:f>
      </x:c>
      <x:c r="W1154" s="2" t="str">
        <x:f>IF(B1154="","",IF(I1154&lt;&gt;"READY","NOT RELEASED",IF(NOT(AND(J1154="PASS",'Calibrare_Linii'!U6="VALID")),"INVALID",IF(NOT(TRUE),"OOS PENDING",IF(S1154&lt;=IF(AND('Calibrare_Linii'!S6="VALIDATED",AND('Calibrare_Linii'!H6=C1154,ISNUMBER('Calibrare_Linii'!J6),'Calibrare_Linii'!J6&lt;='Input_Meci'!G88)),'Calibrare_Linii'!E6,'Config_v6'!$B$26),"PASS",IF(S1154&lt;=IF(AND('Calibrare_Linii'!S6="VALIDATED",AND('Calibrare_Linii'!H6=C1154,ISNUMBER('Calibrare_Linii'!J6),'Calibrare_Linii'!J6&lt;='Input_Meci'!G88)),'Calibrare_Linii'!F6,'Config_v6'!$C$26),"PENALTY","WATCH"))))))</x:f>
      </x:c>
      <x:c r="X1154" s="2" t="str">
        <x:f>IF(M1154="","",IF(AND(AND(J1154="PASS",'Calibrare_Linii'!U6="VALID"),'Motor_Meciuri'!K88=12,'Motor_Meciuri'!L88=12,'Motor_Meciuri'!M88="NO",'Motor_Meciuri'!BL88='Motor_Meciuri'!C88,AB1154&gt;='Config_v6'!$B$50,AN1154&gt;='Config_v6'!$B$51,T1154&lt;='Config_v6'!$B$52,L1154&lt;='Config_v6'!$B$53,ISNUMBER('Calibrare_Linii'!E6),S1154&lt;='Calibrare_Linii'!E6,SUM(AK1154:AM1154)&gt;0),"CANDIDATE","NO"))</x:f>
      </x:c>
      <x:c r="Y1154" s="2" t="str">
        <x:f>IF(B1154="","",IF(I1154&lt;&gt;"READY","NOT RELEASED",IF(AND(X1154="CANDIDATE",V1154&gt;='Config_v6'!$B$51,W1154="PASS",'Calibrare_Linii'!T6="VALIDATED",AND('Calibrare_Linii'!H6=C1154,ISNUMBER('Calibrare_Linii'!J6),'Calibrare_Linii'!J6&lt;='Input_Meci'!G88)),"PASS",IF(X1154="CANDIDATE","OOS PENDING","FAIL"))))</x:f>
      </x:c>
      <x:c r="Z1154" s="2" t="str">
        <x:f>IF(B1154="","",IF(I1154&lt;&gt;"READY","",IF(OR(NOT(AND(J1154="PASS",'Calibrare_Linii'!U6="VALID")),L1154&gt;'Config_v6'!$B$13,W1154="WATCH"),5,IF(Y1154="PASS",1,MIN(5,MAX('Config_v6'!$B$42,U1154)+IF(W1154="PENALTY",1,0))))))</x:f>
      </x:c>
      <x:c r="AA1154" s="2" t="str">
        <x:f>IF(B1154="","",IF(I1154&lt;&gt;"READY","NOT RELEASED",IF(Z1154=5,"NO BET",IF(OR(AB1154&lt;'Config_v6'!$B$16,V1154&lt;'Config_v6'!$B$18),"WATCH",IF(Z1154=1,"DEFENSIV",IF(Z1154=2,"PRUDENT",IF(Z1154=3,"MODERAT","RIDICAT")))))))</x:f>
      </x:c>
      <x:c r="AB1154" s="10" t="str">
        <x:f>IF(N1154="","",MIN(N1154,1-S1154))</x:f>
      </x:c>
      <x:c r="AC1154" s="2" t="str">
        <x:f>IF(AD1154&lt;&gt;1,"",COUNTIFS($Z$1154:$Z$1167,"&lt;"&amp;Z1154,$AD$1154:$AD$1167,1)+COUNTIFS($Z$1154:$Z$1167,Z1154,$AB$1154:$AB$1167,"&gt;"&amp;AB1154,$AD$1154:$AD$1167,1)+COUNTIFS($Z$1154:$Z$1167,Z1154,$AB$1154:$AB$1167,AB1154,$V$1154:$V$1167,"&gt;"&amp;V1154,$AD$1154:$AD$1167,1)+COUNTIFS($Z$1154:Z1154,Z1154,$AB$1154:AB1154,AB1154,$V$1154:V1154,V1154,$AD$1154:AD1154,1))</x:f>
      </x:c>
      <x:c r="AD1154" s="2" t="n">
        <x:f>IF(OR(AA1154="DEFENSIV",AA1154="PRUDENT",AA1154="MODERAT",AA1154="RIDICAT"),1,0)</x:f>
        <x:v>0</x:v>
      </x:c>
      <x:c r="AE1154" s="2" t="str">
        <x:f>IF(AD1154&lt;&gt;1,"NO",IF(W1154="PASS","YES",IF(W1154="OOS PENDING","CONDITIONAL","NO")))</x:f>
        <x:v>NO</x:v>
      </x:c>
      <x:c r="AF1154" s="2" t="n">
        <x:f>IF(AND(AD1154=1,AC1154=1,E1154="LIVE"),1,0)</x:f>
        <x:v>0</x:v>
      </x:c>
      <x:c r="AG1154" s="2" t="str">
        <x:f>IF(AF1154&lt;&gt;1,"",'Dashboard'!P108)</x:f>
      </x:c>
      <x:c r="AH1154" s="2" t="str">
        <x:f>IF(B1154="","",IF(J1154&lt;&gt;"PASS",'Motor_Meciuri'!J88,IF('Calibrare_Linii'!U6&lt;&gt;"VALID","Parametri linie invalizi",IF(L1154&gt;'Config_v6'!$B$13,"Dispersie peste limita",IF(W1154="WATCH","Failure peste limita",IF(AB1154&lt;'Config_v6'!$B$16,"P finala sub prag",IF(V1154&lt;'Config_v6'!$B$18,"Confidence sub prag",IF(E1154="REPLAY","Exemplu retrospectiv; exclus din Top LIVE",IF(Y1154="PASS","DEFENSIV validat",IF(W1154="OOS PENDING","Eligibil; calibrare linie in monitorizare","Eligibil"))))))))))</x:f>
      </x:c>
      <x:c r="AI1154" s="2" t="str">
        <x:f>IF(B1154="","",'Calibrare_Linii'!V6)</x:f>
      </x:c>
      <x:c r="AJ1154" s="2" t="str">
        <x:f>IF(B1154="","",IF(AND('Calibrare_Linii'!T6="VALIDATED",AND('Calibrare_Linii'!H6=C1154,ISNUMBER('Calibrare_Linii'!J6),'Calibrare_Linii'!J6&lt;='Input_Meci'!G88)),"DEFENSIVE VALIDATED",IF(AND('Calibrare_Linii'!S6="VALIDATED",AND('Calibrare_Linii'!H6=C1154,ISNUMBER('Calibrare_Linii'!J6),'Calibrare_Linii'!J6&lt;='Input_Meci'!G88)),"TAIL VALIDATED","OOS PENDING")))</x:f>
      </x:c>
      <x:c r="AK1154" s="2" t="n">
        <x:f>IF(J1154&lt;&gt;"PASS",0,'Motor_Meciuri'!BR88)</x:f>
        <x:v>0</x:v>
      </x:c>
      <x:c r="AL1154" s="2" t="n">
        <x:f>IF(J1154&lt;&gt;"PASS",0,'Motor_Meciuri'!BS88)</x:f>
        <x:v>0</x:v>
      </x:c>
      <x:c r="AM1154" s="2" t="n">
        <x:f>IF(J1154&lt;&gt;"PASS",0,'Motor_Meciuri'!BT88)</x:f>
        <x:v>0</x:v>
      </x:c>
      <x:c r="AN1154" s="2" t="str">
        <x:f>IF(M1154="","",MAX(0,'Motor_Meciuri'!BF88-IF(L1154&gt;'Config_v6'!$B$12,'Config_v6'!$B$37,IF(L1154&gt;'Config_v6'!$B$11,'Config_v6'!$B$36,0))))</x:f>
      </x:c>
    </x:row>
    <x:row r="1155" ht="21" customHeight="1">
      <x:c r="A1155" s="2" t="n">
        <x:v>83</x:v>
      </x:c>
      <x:c r="B1155" s="2" t="str">
        <x:f>IF('Motor_Meciuri'!A88="","",'Motor_Meciuri'!A88)</x:f>
      </x:c>
      <x:c r="C1155" s="2" t="str">
        <x:f>IF(B1155="","",'Motor_Meciuri'!B88)</x:f>
      </x:c>
      <x:c r="D1155" s="2" t="str">
        <x:f>IF(B1155="","",'Motor_Meciuri'!D88)</x:f>
      </x:c>
      <x:c r="E1155" s="2" t="str">
        <x:f>IF(B1155="","",'Motor_Meciuri'!E88)</x:f>
      </x:c>
      <x:c r="F1155" s="2" t="str">
        <x:v>O4,5</x:v>
      </x:c>
      <x:c r="G1155" s="2" t="str">
        <x:v>OVER</x:v>
      </x:c>
      <x:c r="H1155" s="2" t="n">
        <x:v>4</x:v>
      </x:c>
      <x:c r="I1155" s="2" t="str">
        <x:f>IF(B1155="","",'Motor_Meciuri'!H88)</x:f>
      </x:c>
      <x:c r="J1155" s="2" t="str">
        <x:f>IF(B1155="","",'Motor_Meciuri'!I88)</x:f>
      </x:c>
      <x:c r="K1155" s="11" t="str">
        <x:f>IF(J1155&lt;&gt;"PASS","",'Motor_Meciuri'!BD88)</x:f>
      </x:c>
      <x:c r="L1155" s="11" t="str">
        <x:f>IF(J1155&lt;&gt;"PASS","",'Motor_Meciuri'!AU88)</x:f>
      </x:c>
      <x:c r="M1155" s="10" t="str">
        <x:f>IF(NOT(AND(J1155="PASS",'Calibrare_Linii'!U7="VALID")),"",1-'Distributie'!AB88)</x:f>
      </x:c>
      <x:c r="N1155" s="10" t="str">
        <x:f>IF(M1155="","",MAX(0.01,MIN(0.99,0.5+(M1155-0.5)*'Motor_Meciuri'!BG88*'Calibrare_Linii'!D7)))</x:f>
      </x:c>
      <x:c r="O1155" s="10" t="str">
        <x:f>IF(M1155="","",1-M1155)</x:f>
      </x:c>
      <x:c r="P1155" s="10" t="str">
        <x:f>IF(OR(NOT(AND(J1155="PASS",'Calibrare_Linii'!U7="VALID")),AK1155=0),""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*('Istoric_Nativ'!$Q$6:$Q$405&lt;=H1155))/AK1155)</x:f>
      </x:c>
      <x:c r="Q1155" s="10" t="str">
        <x:f>IF(OR(NOT(AND(J1155="PASS",'Calibrare_Linii'!U7="VALID")),AL1155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M88)+((('Istoric_Nativ'!$E$6:$E$405='Input_Meci'!E88)+('Istoric_Nativ'!$F$6:$F$405='Input_Meci'!E88))&gt;0)*('Istoric_Nativ'!$D$6:$D$405&gt;='Motor_Meciuri'!BN88))&gt;0)*('Istoric_Nativ'!$Q$6:$Q$405&lt;=H1155))/AL1155)</x:f>
      </x:c>
      <x:c r="R1155" s="10" t="str">
        <x:f>IF(OR(NOT(AND(J1155="PASS",'Calibrare_Linii'!U7="VALID")),AM1155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O88)+((('Istoric_Nativ'!$E$6:$E$405='Input_Meci'!E88)+('Istoric_Nativ'!$F$6:$F$405='Input_Meci'!E88))&gt;0)*('Istoric_Nativ'!$D$6:$D$405&gt;='Motor_Meciuri'!BP88))&gt;0)*('Istoric_Nativ'!$Q$6:$Q$405&lt;=H1155))/AM1155)</x:f>
      </x:c>
      <x:c r="S1155" s="10" t="str">
        <x:f>IF(M1155="","",MAX(O1155,P1155,Q1155,R1155))</x:f>
      </x:c>
      <x:c r="T1155" s="11" t="str">
        <x:f>IF(M1155="","",MIN(100,S1155*100*'Config_v6'!$B$44+MIN(100,L1155/'Config_v6'!$B$13*100)*'Config_v6'!$B$45+(100-'Motor_Meciuri'!BF88)*'Config_v6'!$B$46+'Motor_Meciuri'!BH88*100*'Config_v6'!$B$47))</x:f>
      </x:c>
      <x:c r="U1155" s="2" t="str">
        <x:f>IF(T1155="","",IF(T1155&lt;=20,1,IF(T1155&lt;=40,2,IF(T1155&lt;=60,3,IF(T1155&lt;=80,4,5)))))</x:f>
      </x:c>
      <x:c r="V1155" s="2" t="str">
        <x:f>IF(M1155="","",MAX(0,'Motor_Meciuri'!BF88-IF(W1155="OOS PENDING",'Config_v6'!$B$35,0)-IF(L1155&gt;'Config_v6'!$B$12,'Config_v6'!$B$37,IF(L1155&gt;'Config_v6'!$B$11,'Config_v6'!$B$36,0))))</x:f>
      </x:c>
      <x:c r="W1155" s="2" t="str">
        <x:f>IF(B1155="","",IF(I1155&lt;&gt;"READY","NOT RELEASED",IF(NOT(AND(J1155="PASS",'Calibrare_Linii'!U7="VALID")),"INVALID",IF(NOT(AND('Calibrare_Linii'!S7="VALIDATED",AND('Calibrare_Linii'!H7=C1155,ISNUMBER('Calibrare_Linii'!J7),'Calibrare_Linii'!J7&lt;='Input_Meci'!G88))),"OOS PENDING",IF(S1155&lt;='Calibrare_Linii'!E7,"PASS",IF(S1155&lt;='Calibrare_Linii'!F7,"PENALTY","WATCH"))))))</x:f>
      </x:c>
      <x:c r="X1155" s="2" t="str">
        <x:f>IF(M1155="","",IF(AND(AND(J1155="PASS",'Calibrare_Linii'!U7="VALID"),'Motor_Meciuri'!K88=12,'Motor_Meciuri'!L88=12,'Motor_Meciuri'!M88="NO",'Motor_Meciuri'!BL88='Motor_Meciuri'!C88,AB1155&gt;='Config_v6'!$B$50,AN1155&gt;='Config_v6'!$B$51,T1155&lt;='Config_v6'!$B$52,L1155&lt;='Config_v6'!$B$53,ISNUMBER('Calibrare_Linii'!E7),S1155&lt;='Calibrare_Linii'!E7,SUM(AK1155:AM1155)&gt;0),"CANDIDATE","NO"))</x:f>
      </x:c>
      <x:c r="Y1155" s="2" t="str">
        <x:f>IF(B1155="","",IF(I1155&lt;&gt;"READY","NOT RELEASED",IF(AND(X1155="CANDIDATE",V1155&gt;='Config_v6'!$B$51,W1155="PASS",'Calibrare_Linii'!T7="VALIDATED",AND('Calibrare_Linii'!H7=C1155,ISNUMBER('Calibrare_Linii'!J7),'Calibrare_Linii'!J7&lt;='Input_Meci'!G88)),"PASS",IF(X1155="CANDIDATE","OOS PENDING","FAIL"))))</x:f>
      </x:c>
      <x:c r="Z1155" s="2" t="str">
        <x:f>IF(B1155="","",IF(I1155&lt;&gt;"READY","",IF(OR(NOT(AND(J1155="PASS",'Calibrare_Linii'!U7="VALID")),L1155&gt;'Config_v6'!$B$13,W1155="WATCH"),5,IF(Y1155="PASS",1,MIN(5,MAX('Config_v6'!$B$42,U1155)+IF(W1155="PENALTY",1,0))))))</x:f>
      </x:c>
      <x:c r="AA1155" s="2" t="str">
        <x:f>IF(B1155="","",IF(I1155&lt;&gt;"READY","NOT RELEASED",IF(Z1155=5,"NO BET",IF(OR(AB1155&lt;'Config_v6'!$B$16,V1155&lt;'Config_v6'!$B$18),"WATCH",IF(Z1155=1,"DEFENSIV",IF(Z1155=2,"PRUDENT",IF(Z1155=3,"MODERAT","RIDICAT")))))))</x:f>
      </x:c>
      <x:c r="AB1155" s="10" t="str">
        <x:f>IF(N1155="","",MIN(N1155,1-S1155))</x:f>
      </x:c>
      <x:c r="AC1155" s="2" t="str">
        <x:f>IF(AD1155&lt;&gt;1,"",COUNTIFS($Z$1154:$Z$1167,"&lt;"&amp;Z1155,$AD$1154:$AD$1167,1)+COUNTIFS($Z$1154:$Z$1167,Z1155,$AB$1154:$AB$1167,"&gt;"&amp;AB1155,$AD$1154:$AD$1167,1)+COUNTIFS($Z$1154:$Z$1167,Z1155,$AB$1154:$AB$1167,AB1155,$V$1154:$V$1167,"&gt;"&amp;V1155,$AD$1154:$AD$1167,1)+COUNTIFS($Z$1154:Z1155,Z1155,$AB$1154:AB1155,AB1155,$V$1154:V1155,V1155,$AD$1154:AD1155,1))</x:f>
      </x:c>
      <x:c r="AD1155" s="2" t="n">
        <x:f>IF(OR(AA1155="DEFENSIV",AA1155="PRUDENT",AA1155="MODERAT",AA1155="RIDICAT"),1,0)</x:f>
        <x:v>0</x:v>
      </x:c>
      <x:c r="AE1155" s="2" t="str">
        <x:f>IF(AD1155&lt;&gt;1,"NO",IF(W1155="PASS","YES",IF(W1155="OOS PENDING","CONDITIONAL","NO")))</x:f>
        <x:v>NO</x:v>
      </x:c>
      <x:c r="AF1155" s="2" t="n">
        <x:f>IF(AND(AD1155=1,AC1155=1,E1155="LIVE"),1,0)</x:f>
        <x:v>0</x:v>
      </x:c>
      <x:c r="AG1155" s="2" t="str">
        <x:f>IF(AF1155&lt;&gt;1,"",'Dashboard'!P108)</x:f>
      </x:c>
      <x:c r="AH1155" s="2" t="str">
        <x:f>IF(B1155="","",IF(J1155&lt;&gt;"PASS",'Motor_Meciuri'!J88,IF('Calibrare_Linii'!U7&lt;&gt;"VALID","Parametri linie invalizi",IF(L1155&gt;'Config_v6'!$B$13,"Dispersie peste limita",IF(W1155="WATCH","Failure peste limita",IF(AB1155&lt;'Config_v6'!$B$16,"P finala sub prag",IF(V1155&lt;'Config_v6'!$B$18,"Confidence sub prag",IF(E1155="REPLAY","Exemplu retrospectiv; exclus din Top LIVE",IF(Y1155="PASS","DEFENSIV validat",IF(W1155="OOS PENDING","Eligibil; calibrare linie in monitorizare","Eligibil"))))))))))</x:f>
      </x:c>
      <x:c r="AI1155" s="2" t="str">
        <x:f>IF(B1155="","",'Calibrare_Linii'!V7)</x:f>
      </x:c>
      <x:c r="AJ1155" s="2" t="str">
        <x:f>IF(B1155="","",IF(AND('Calibrare_Linii'!T7="VALIDATED",AND('Calibrare_Linii'!H7=C1155,ISNUMBER('Calibrare_Linii'!J7),'Calibrare_Linii'!J7&lt;='Input_Meci'!G88)),"DEFENSIVE VALIDATED",IF(AND('Calibrare_Linii'!S7="VALIDATED",AND('Calibrare_Linii'!H7=C1155,ISNUMBER('Calibrare_Linii'!J7),'Calibrare_Linii'!J7&lt;='Input_Meci'!G88)),"TAIL VALIDATED","OOS PENDING")))</x:f>
      </x:c>
      <x:c r="AK1155" s="2" t="n">
        <x:f>IF(J1155&lt;&gt;"PASS",0,'Motor_Meciuri'!BR88)</x:f>
        <x:v>0</x:v>
      </x:c>
      <x:c r="AL1155" s="2" t="n">
        <x:f>IF(J1155&lt;&gt;"PASS",0,'Motor_Meciuri'!BS88)</x:f>
        <x:v>0</x:v>
      </x:c>
      <x:c r="AM1155" s="2" t="n">
        <x:f>IF(J1155&lt;&gt;"PASS",0,'Motor_Meciuri'!BT88)</x:f>
        <x:v>0</x:v>
      </x:c>
      <x:c r="AN1155" s="2" t="str">
        <x:f>IF(M1155="","",MAX(0,'Motor_Meciuri'!BF88-IF(L1155&gt;'Config_v6'!$B$12,'Config_v6'!$B$37,IF(L1155&gt;'Config_v6'!$B$11,'Config_v6'!$B$36,0))))</x:f>
      </x:c>
    </x:row>
    <x:row r="1156" ht="21" customHeight="1">
      <x:c r="A1156" s="2" t="n">
        <x:v>83</x:v>
      </x:c>
      <x:c r="B1156" s="2" t="str">
        <x:f>IF('Motor_Meciuri'!A88="","",'Motor_Meciuri'!A88)</x:f>
      </x:c>
      <x:c r="C1156" s="2" t="str">
        <x:f>IF(B1156="","",'Motor_Meciuri'!B88)</x:f>
      </x:c>
      <x:c r="D1156" s="2" t="str">
        <x:f>IF(B1156="","",'Motor_Meciuri'!D88)</x:f>
      </x:c>
      <x:c r="E1156" s="2" t="str">
        <x:f>IF(B1156="","",'Motor_Meciuri'!E88)</x:f>
      </x:c>
      <x:c r="F1156" s="2" t="str">
        <x:v>O5,5</x:v>
      </x:c>
      <x:c r="G1156" s="2" t="str">
        <x:v>OVER</x:v>
      </x:c>
      <x:c r="H1156" s="2" t="n">
        <x:v>5</x:v>
      </x:c>
      <x:c r="I1156" s="2" t="str">
        <x:f>IF(B1156="","",'Motor_Meciuri'!H88)</x:f>
      </x:c>
      <x:c r="J1156" s="2" t="str">
        <x:f>IF(B1156="","",'Motor_Meciuri'!I88)</x:f>
      </x:c>
      <x:c r="K1156" s="11" t="str">
        <x:f>IF(J1156&lt;&gt;"PASS","",'Motor_Meciuri'!BD88)</x:f>
      </x:c>
      <x:c r="L1156" s="11" t="str">
        <x:f>IF(J1156&lt;&gt;"PASS","",'Motor_Meciuri'!AU88)</x:f>
      </x:c>
      <x:c r="M1156" s="10" t="str">
        <x:f>IF(NOT(AND(J1156="PASS",'Calibrare_Linii'!U8="VALID")),"",1-'Distributie'!AC88)</x:f>
      </x:c>
      <x:c r="N1156" s="10" t="str">
        <x:f>IF(M1156="","",MAX(0.01,MIN(0.99,0.5+(M1156-0.5)*'Motor_Meciuri'!BG88*'Calibrare_Linii'!D8)))</x:f>
      </x:c>
      <x:c r="O1156" s="10" t="str">
        <x:f>IF(M1156="","",1-M1156)</x:f>
      </x:c>
      <x:c r="P1156" s="10" t="str">
        <x:f>IF(OR(NOT(AND(J1156="PASS",'Calibrare_Linii'!U8="VALID")),AK1156=0),""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*('Istoric_Nativ'!$Q$6:$Q$405&lt;=H1156))/AK1156)</x:f>
      </x:c>
      <x:c r="Q1156" s="10" t="str">
        <x:f>IF(OR(NOT(AND(J1156="PASS",'Calibrare_Linii'!U8="VALID")),AL1156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M88)+((('Istoric_Nativ'!$E$6:$E$405='Input_Meci'!E88)+('Istoric_Nativ'!$F$6:$F$405='Input_Meci'!E88))&gt;0)*('Istoric_Nativ'!$D$6:$D$405&gt;='Motor_Meciuri'!BN88))&gt;0)*('Istoric_Nativ'!$Q$6:$Q$405&lt;=H1156))/AL1156)</x:f>
      </x:c>
      <x:c r="R1156" s="10" t="str">
        <x:f>IF(OR(NOT(AND(J1156="PASS",'Calibrare_Linii'!U8="VALID")),AM1156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O88)+((('Istoric_Nativ'!$E$6:$E$405='Input_Meci'!E88)+('Istoric_Nativ'!$F$6:$F$405='Input_Meci'!E88))&gt;0)*('Istoric_Nativ'!$D$6:$D$405&gt;='Motor_Meciuri'!BP88))&gt;0)*('Istoric_Nativ'!$Q$6:$Q$405&lt;=H1156))/AM1156)</x:f>
      </x:c>
      <x:c r="S1156" s="10" t="str">
        <x:f>IF(M1156="","",MAX(O1156,P1156,Q1156,R1156))</x:f>
      </x:c>
      <x:c r="T1156" s="11" t="str">
        <x:f>IF(M1156="","",MIN(100,S1156*100*'Config_v6'!$B$44+MIN(100,L1156/'Config_v6'!$B$13*100)*'Config_v6'!$B$45+(100-'Motor_Meciuri'!BF88)*'Config_v6'!$B$46+'Motor_Meciuri'!BH88*100*'Config_v6'!$B$47))</x:f>
      </x:c>
      <x:c r="U1156" s="2" t="str">
        <x:f>IF(T1156="","",IF(T1156&lt;=20,1,IF(T1156&lt;=40,2,IF(T1156&lt;=60,3,IF(T1156&lt;=80,4,5)))))</x:f>
      </x:c>
      <x:c r="V1156" s="2" t="str">
        <x:f>IF(M1156="","",MAX(0,'Motor_Meciuri'!BF88-IF(W1156="OOS PENDING",'Config_v6'!$B$35,0)-IF(L1156&gt;'Config_v6'!$B$12,'Config_v6'!$B$37,IF(L1156&gt;'Config_v6'!$B$11,'Config_v6'!$B$36,0))))</x:f>
      </x:c>
      <x:c r="W1156" s="2" t="str">
        <x:f>IF(B1156="","",IF(I1156&lt;&gt;"READY","NOT RELEASED",IF(NOT(AND(J1156="PASS",'Calibrare_Linii'!U8="VALID")),"INVALID",IF(NOT(AND('Calibrare_Linii'!S8="VALIDATED",AND('Calibrare_Linii'!H8=C1156,ISNUMBER('Calibrare_Linii'!J8),'Calibrare_Linii'!J8&lt;='Input_Meci'!G88))),"OOS PENDING",IF(S1156&lt;='Calibrare_Linii'!E8,"PASS",IF(S1156&lt;='Calibrare_Linii'!F8,"PENALTY","WATCH"))))))</x:f>
      </x:c>
      <x:c r="X1156" s="2" t="str">
        <x:f>IF(M1156="","",IF(AND(AND(J1156="PASS",'Calibrare_Linii'!U8="VALID"),'Motor_Meciuri'!K88=12,'Motor_Meciuri'!L88=12,'Motor_Meciuri'!M88="NO",'Motor_Meciuri'!BL88='Motor_Meciuri'!C88,AB1156&gt;='Config_v6'!$B$50,AN1156&gt;='Config_v6'!$B$51,T1156&lt;='Config_v6'!$B$52,L1156&lt;='Config_v6'!$B$53,ISNUMBER('Calibrare_Linii'!E8),S1156&lt;='Calibrare_Linii'!E8,SUM(AK1156:AM1156)&gt;0),"CANDIDATE","NO"))</x:f>
      </x:c>
      <x:c r="Y1156" s="2" t="str">
        <x:f>IF(B1156="","",IF(I1156&lt;&gt;"READY","NOT RELEASED",IF(AND(X1156="CANDIDATE",V1156&gt;='Config_v6'!$B$51,W1156="PASS",'Calibrare_Linii'!T8="VALIDATED",AND('Calibrare_Linii'!H8=C1156,ISNUMBER('Calibrare_Linii'!J8),'Calibrare_Linii'!J8&lt;='Input_Meci'!G88)),"PASS",IF(X1156="CANDIDATE","OOS PENDING","FAIL"))))</x:f>
      </x:c>
      <x:c r="Z1156" s="2" t="str">
        <x:f>IF(B1156="","",IF(I1156&lt;&gt;"READY","",IF(OR(NOT(AND(J1156="PASS",'Calibrare_Linii'!U8="VALID")),L1156&gt;'Config_v6'!$B$13,W1156="WATCH"),5,IF(Y1156="PASS",1,MIN(5,MAX('Config_v6'!$B$42,U1156)+IF(W1156="PENALTY",1,0))))))</x:f>
      </x:c>
      <x:c r="AA1156" s="2" t="str">
        <x:f>IF(B1156="","",IF(I1156&lt;&gt;"READY","NOT RELEASED",IF(Z1156=5,"NO BET",IF(OR(AB1156&lt;'Config_v6'!$B$16,V1156&lt;'Config_v6'!$B$18),"WATCH",IF(Z1156=1,"DEFENSIV",IF(Z1156=2,"PRUDENT",IF(Z1156=3,"MODERAT","RIDICAT")))))))</x:f>
      </x:c>
      <x:c r="AB1156" s="10" t="str">
        <x:f>IF(N1156="","",MIN(N1156,1-S1156))</x:f>
      </x:c>
      <x:c r="AC1156" s="2" t="str">
        <x:f>IF(AD1156&lt;&gt;1,"",COUNTIFS($Z$1154:$Z$1167,"&lt;"&amp;Z1156,$AD$1154:$AD$1167,1)+COUNTIFS($Z$1154:$Z$1167,Z1156,$AB$1154:$AB$1167,"&gt;"&amp;AB1156,$AD$1154:$AD$1167,1)+COUNTIFS($Z$1154:$Z$1167,Z1156,$AB$1154:$AB$1167,AB1156,$V$1154:$V$1167,"&gt;"&amp;V1156,$AD$1154:$AD$1167,1)+COUNTIFS($Z$1154:Z1156,Z1156,$AB$1154:AB1156,AB1156,$V$1154:V1156,V1156,$AD$1154:AD1156,1))</x:f>
      </x:c>
      <x:c r="AD1156" s="2" t="n">
        <x:f>IF(OR(AA1156="DEFENSIV",AA1156="PRUDENT",AA1156="MODERAT",AA1156="RIDICAT"),1,0)</x:f>
        <x:v>0</x:v>
      </x:c>
      <x:c r="AE1156" s="2" t="str">
        <x:f>IF(AD1156&lt;&gt;1,"NO",IF(W1156="PASS","YES",IF(W1156="OOS PENDING","CONDITIONAL","NO")))</x:f>
        <x:v>NO</x:v>
      </x:c>
      <x:c r="AF1156" s="2" t="n">
        <x:f>IF(AND(AD1156=1,AC1156=1,E1156="LIVE"),1,0)</x:f>
        <x:v>0</x:v>
      </x:c>
      <x:c r="AG1156" s="2" t="str">
        <x:f>IF(AF1156&lt;&gt;1,"",'Dashboard'!P108)</x:f>
      </x:c>
      <x:c r="AH1156" s="2" t="str">
        <x:f>IF(B1156="","",IF(J1156&lt;&gt;"PASS",'Motor_Meciuri'!J88,IF('Calibrare_Linii'!U8&lt;&gt;"VALID","Parametri linie invalizi",IF(L1156&gt;'Config_v6'!$B$13,"Dispersie peste limita",IF(W1156="WATCH","Failure peste limita",IF(AB1156&lt;'Config_v6'!$B$16,"P finala sub prag",IF(V1156&lt;'Config_v6'!$B$18,"Confidence sub prag",IF(E1156="REPLAY","Exemplu retrospectiv; exclus din Top LIVE",IF(Y1156="PASS","DEFENSIV validat",IF(W1156="OOS PENDING","Eligibil; calibrare linie in monitorizare","Eligibil"))))))))))</x:f>
      </x:c>
      <x:c r="AI1156" s="2" t="str">
        <x:f>IF(B1156="","",'Calibrare_Linii'!V8)</x:f>
      </x:c>
      <x:c r="AJ1156" s="2" t="str">
        <x:f>IF(B1156="","",IF(AND('Calibrare_Linii'!T8="VALIDATED",AND('Calibrare_Linii'!H8=C1156,ISNUMBER('Calibrare_Linii'!J8),'Calibrare_Linii'!J8&lt;='Input_Meci'!G88)),"DEFENSIVE VALIDATED",IF(AND('Calibrare_Linii'!S8="VALIDATED",AND('Calibrare_Linii'!H8=C1156,ISNUMBER('Calibrare_Linii'!J8),'Calibrare_Linii'!J8&lt;='Input_Meci'!G88)),"TAIL VALIDATED","OOS PENDING")))</x:f>
      </x:c>
      <x:c r="AK1156" s="2" t="n">
        <x:f>IF(J1156&lt;&gt;"PASS",0,'Motor_Meciuri'!BR88)</x:f>
        <x:v>0</x:v>
      </x:c>
      <x:c r="AL1156" s="2" t="n">
        <x:f>IF(J1156&lt;&gt;"PASS",0,'Motor_Meciuri'!BS88)</x:f>
        <x:v>0</x:v>
      </x:c>
      <x:c r="AM1156" s="2" t="n">
        <x:f>IF(J1156&lt;&gt;"PASS",0,'Motor_Meciuri'!BT88)</x:f>
        <x:v>0</x:v>
      </x:c>
      <x:c r="AN1156" s="2" t="str">
        <x:f>IF(M1156="","",MAX(0,'Motor_Meciuri'!BF88-IF(L1156&gt;'Config_v6'!$B$12,'Config_v6'!$B$37,IF(L1156&gt;'Config_v6'!$B$11,'Config_v6'!$B$36,0))))</x:f>
      </x:c>
    </x:row>
    <x:row r="1157" ht="21" customHeight="1">
      <x:c r="A1157" s="2" t="n">
        <x:v>83</x:v>
      </x:c>
      <x:c r="B1157" s="2" t="str">
        <x:f>IF('Motor_Meciuri'!A88="","",'Motor_Meciuri'!A88)</x:f>
      </x:c>
      <x:c r="C1157" s="2" t="str">
        <x:f>IF(B1157="","",'Motor_Meciuri'!B88)</x:f>
      </x:c>
      <x:c r="D1157" s="2" t="str">
        <x:f>IF(B1157="","",'Motor_Meciuri'!D88)</x:f>
      </x:c>
      <x:c r="E1157" s="2" t="str">
        <x:f>IF(B1157="","",'Motor_Meciuri'!E88)</x:f>
      </x:c>
      <x:c r="F1157" s="2" t="str">
        <x:v>O6,5</x:v>
      </x:c>
      <x:c r="G1157" s="2" t="str">
        <x:v>OVER</x:v>
      </x:c>
      <x:c r="H1157" s="2" t="n">
        <x:v>6</x:v>
      </x:c>
      <x:c r="I1157" s="2" t="str">
        <x:f>IF(B1157="","",'Motor_Meciuri'!H88)</x:f>
      </x:c>
      <x:c r="J1157" s="2" t="str">
        <x:f>IF(B1157="","",'Motor_Meciuri'!I88)</x:f>
      </x:c>
      <x:c r="K1157" s="11" t="str">
        <x:f>IF(J1157&lt;&gt;"PASS","",'Motor_Meciuri'!BD88)</x:f>
      </x:c>
      <x:c r="L1157" s="11" t="str">
        <x:f>IF(J1157&lt;&gt;"PASS","",'Motor_Meciuri'!AU88)</x:f>
      </x:c>
      <x:c r="M1157" s="10" t="str">
        <x:f>IF(NOT(AND(J1157="PASS",'Calibrare_Linii'!U9="VALID")),"",1-'Distributie'!AD88)</x:f>
      </x:c>
      <x:c r="N1157" s="10" t="str">
        <x:f>IF(M1157="","",MAX(0.01,MIN(0.99,0.5+(M1157-0.5)*'Motor_Meciuri'!BG88*'Calibrare_Linii'!D9)))</x:f>
      </x:c>
      <x:c r="O1157" s="10" t="str">
        <x:f>IF(M1157="","",1-M1157)</x:f>
      </x:c>
      <x:c r="P1157" s="10" t="str">
        <x:f>IF(OR(NOT(AND(J1157="PASS",'Calibrare_Linii'!U9="VALID")),AK1157=0),""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*('Istoric_Nativ'!$Q$6:$Q$405&lt;=H1157))/AK1157)</x:f>
      </x:c>
      <x:c r="Q1157" s="10" t="str">
        <x:f>IF(OR(NOT(AND(J1157="PASS",'Calibrare_Linii'!U9="VALID")),AL1157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M88)+((('Istoric_Nativ'!$E$6:$E$405='Input_Meci'!E88)+('Istoric_Nativ'!$F$6:$F$405='Input_Meci'!E88))&gt;0)*('Istoric_Nativ'!$D$6:$D$405&gt;='Motor_Meciuri'!BN88))&gt;0)*('Istoric_Nativ'!$Q$6:$Q$405&lt;=H1157))/AL1157)</x:f>
      </x:c>
      <x:c r="R1157" s="10" t="str">
        <x:f>IF(OR(NOT(AND(J1157="PASS",'Calibrare_Linii'!U9="VALID")),AM1157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O88)+((('Istoric_Nativ'!$E$6:$E$405='Input_Meci'!E88)+('Istoric_Nativ'!$F$6:$F$405='Input_Meci'!E88))&gt;0)*('Istoric_Nativ'!$D$6:$D$405&gt;='Motor_Meciuri'!BP88))&gt;0)*('Istoric_Nativ'!$Q$6:$Q$405&lt;=H1157))/AM1157)</x:f>
      </x:c>
      <x:c r="S1157" s="10" t="str">
        <x:f>IF(M1157="","",MAX(O1157,P1157,Q1157,R1157))</x:f>
      </x:c>
      <x:c r="T1157" s="11" t="str">
        <x:f>IF(M1157="","",MIN(100,S1157*100*'Config_v6'!$B$44+MIN(100,L1157/'Config_v6'!$B$13*100)*'Config_v6'!$B$45+(100-'Motor_Meciuri'!BF88)*'Config_v6'!$B$46+'Motor_Meciuri'!BH88*100*'Config_v6'!$B$47))</x:f>
      </x:c>
      <x:c r="U1157" s="2" t="str">
        <x:f>IF(T1157="","",IF(T1157&lt;=20,1,IF(T1157&lt;=40,2,IF(T1157&lt;=60,3,IF(T1157&lt;=80,4,5)))))</x:f>
      </x:c>
      <x:c r="V1157" s="2" t="str">
        <x:f>IF(M1157="","",MAX(0,'Motor_Meciuri'!BF88-IF(W1157="OOS PENDING",'Config_v6'!$B$35,0)-IF(L1157&gt;'Config_v6'!$B$12,'Config_v6'!$B$37,IF(L1157&gt;'Config_v6'!$B$11,'Config_v6'!$B$36,0))))</x:f>
      </x:c>
      <x:c r="W1157" s="2" t="str">
        <x:f>IF(B1157="","",IF(I1157&lt;&gt;"READY","NOT RELEASED",IF(NOT(AND(J1157="PASS",'Calibrare_Linii'!U9="VALID")),"INVALID",IF(NOT(AND('Calibrare_Linii'!S9="VALIDATED",AND('Calibrare_Linii'!H9=C1157,ISNUMBER('Calibrare_Linii'!J9),'Calibrare_Linii'!J9&lt;='Input_Meci'!G88))),"OOS PENDING",IF(S1157&lt;='Calibrare_Linii'!E9,"PASS",IF(S1157&lt;='Calibrare_Linii'!F9,"PENALTY","WATCH"))))))</x:f>
      </x:c>
      <x:c r="X1157" s="2" t="str">
        <x:f>IF(M1157="","",IF(AND(AND(J1157="PASS",'Calibrare_Linii'!U9="VALID"),'Motor_Meciuri'!K88=12,'Motor_Meciuri'!L88=12,'Motor_Meciuri'!M88="NO",'Motor_Meciuri'!BL88='Motor_Meciuri'!C88,AB1157&gt;='Config_v6'!$B$50,AN1157&gt;='Config_v6'!$B$51,T1157&lt;='Config_v6'!$B$52,L1157&lt;='Config_v6'!$B$53,ISNUMBER('Calibrare_Linii'!E9),S1157&lt;='Calibrare_Linii'!E9,SUM(AK1157:AM1157)&gt;0),"CANDIDATE","NO"))</x:f>
      </x:c>
      <x:c r="Y1157" s="2" t="str">
        <x:f>IF(B1157="","",IF(I1157&lt;&gt;"READY","NOT RELEASED",IF(AND(X1157="CANDIDATE",V1157&gt;='Config_v6'!$B$51,W1157="PASS",'Calibrare_Linii'!T9="VALIDATED",AND('Calibrare_Linii'!H9=C1157,ISNUMBER('Calibrare_Linii'!J9),'Calibrare_Linii'!J9&lt;='Input_Meci'!G88)),"PASS",IF(X1157="CANDIDATE","OOS PENDING","FAIL"))))</x:f>
      </x:c>
      <x:c r="Z1157" s="2" t="str">
        <x:f>IF(B1157="","",IF(I1157&lt;&gt;"READY","",IF(OR(NOT(AND(J1157="PASS",'Calibrare_Linii'!U9="VALID")),L1157&gt;'Config_v6'!$B$13,W1157="WATCH"),5,IF(Y1157="PASS",1,MIN(5,MAX('Config_v6'!$B$42,U1157)+IF(W1157="PENALTY",1,0))))))</x:f>
      </x:c>
      <x:c r="AA1157" s="2" t="str">
        <x:f>IF(B1157="","",IF(I1157&lt;&gt;"READY","NOT RELEASED",IF(Z1157=5,"NO BET",IF(OR(AB1157&lt;'Config_v6'!$B$16,V1157&lt;'Config_v6'!$B$18),"WATCH",IF(Z1157=1,"DEFENSIV",IF(Z1157=2,"PRUDENT",IF(Z1157=3,"MODERAT","RIDICAT")))))))</x:f>
      </x:c>
      <x:c r="AB1157" s="10" t="str">
        <x:f>IF(N1157="","",MIN(N1157,1-S1157))</x:f>
      </x:c>
      <x:c r="AC1157" s="2" t="str">
        <x:f>IF(AD1157&lt;&gt;1,"",COUNTIFS($Z$1154:$Z$1167,"&lt;"&amp;Z1157,$AD$1154:$AD$1167,1)+COUNTIFS($Z$1154:$Z$1167,Z1157,$AB$1154:$AB$1167,"&gt;"&amp;AB1157,$AD$1154:$AD$1167,1)+COUNTIFS($Z$1154:$Z$1167,Z1157,$AB$1154:$AB$1167,AB1157,$V$1154:$V$1167,"&gt;"&amp;V1157,$AD$1154:$AD$1167,1)+COUNTIFS($Z$1154:Z1157,Z1157,$AB$1154:AB1157,AB1157,$V$1154:V1157,V1157,$AD$1154:AD1157,1))</x:f>
      </x:c>
      <x:c r="AD1157" s="2" t="n">
        <x:f>IF(OR(AA1157="DEFENSIV",AA1157="PRUDENT",AA1157="MODERAT",AA1157="RIDICAT"),1,0)</x:f>
        <x:v>0</x:v>
      </x:c>
      <x:c r="AE1157" s="2" t="str">
        <x:f>IF(AD1157&lt;&gt;1,"NO",IF(W1157="PASS","YES",IF(W1157="OOS PENDING","CONDITIONAL","NO")))</x:f>
        <x:v>NO</x:v>
      </x:c>
      <x:c r="AF1157" s="2" t="n">
        <x:f>IF(AND(AD1157=1,AC1157=1,E1157="LIVE"),1,0)</x:f>
        <x:v>0</x:v>
      </x:c>
      <x:c r="AG1157" s="2" t="str">
        <x:f>IF(AF1157&lt;&gt;1,"",'Dashboard'!P108)</x:f>
      </x:c>
      <x:c r="AH1157" s="2" t="str">
        <x:f>IF(B1157="","",IF(J1157&lt;&gt;"PASS",'Motor_Meciuri'!J88,IF('Calibrare_Linii'!U9&lt;&gt;"VALID","Parametri linie invalizi",IF(L1157&gt;'Config_v6'!$B$13,"Dispersie peste limita",IF(W1157="WATCH","Failure peste limita",IF(AB1157&lt;'Config_v6'!$B$16,"P finala sub prag",IF(V1157&lt;'Config_v6'!$B$18,"Confidence sub prag",IF(E1157="REPLAY","Exemplu retrospectiv; exclus din Top LIVE",IF(Y1157="PASS","DEFENSIV validat",IF(W1157="OOS PENDING","Eligibil; calibrare linie in monitorizare","Eligibil"))))))))))</x:f>
      </x:c>
      <x:c r="AI1157" s="2" t="str">
        <x:f>IF(B1157="","",'Calibrare_Linii'!V9)</x:f>
      </x:c>
      <x:c r="AJ1157" s="2" t="str">
        <x:f>IF(B1157="","",IF(AND('Calibrare_Linii'!T9="VALIDATED",AND('Calibrare_Linii'!H9=C1157,ISNUMBER('Calibrare_Linii'!J9),'Calibrare_Linii'!J9&lt;='Input_Meci'!G88)),"DEFENSIVE VALIDATED",IF(AND('Calibrare_Linii'!S9="VALIDATED",AND('Calibrare_Linii'!H9=C1157,ISNUMBER('Calibrare_Linii'!J9),'Calibrare_Linii'!J9&lt;='Input_Meci'!G88)),"TAIL VALIDATED","OOS PENDING")))</x:f>
      </x:c>
      <x:c r="AK1157" s="2" t="n">
        <x:f>IF(J1157&lt;&gt;"PASS",0,'Motor_Meciuri'!BR88)</x:f>
        <x:v>0</x:v>
      </x:c>
      <x:c r="AL1157" s="2" t="n">
        <x:f>IF(J1157&lt;&gt;"PASS",0,'Motor_Meciuri'!BS88)</x:f>
        <x:v>0</x:v>
      </x:c>
      <x:c r="AM1157" s="2" t="n">
        <x:f>IF(J1157&lt;&gt;"PASS",0,'Motor_Meciuri'!BT88)</x:f>
        <x:v>0</x:v>
      </x:c>
      <x:c r="AN1157" s="2" t="str">
        <x:f>IF(M1157="","",MAX(0,'Motor_Meciuri'!BF88-IF(L1157&gt;'Config_v6'!$B$12,'Config_v6'!$B$37,IF(L1157&gt;'Config_v6'!$B$11,'Config_v6'!$B$36,0))))</x:f>
      </x:c>
    </x:row>
    <x:row r="1158" ht="21" customHeight="1">
      <x:c r="A1158" s="2" t="n">
        <x:v>83</x:v>
      </x:c>
      <x:c r="B1158" s="2" t="str">
        <x:f>IF('Motor_Meciuri'!A88="","",'Motor_Meciuri'!A88)</x:f>
      </x:c>
      <x:c r="C1158" s="2" t="str">
        <x:f>IF(B1158="","",'Motor_Meciuri'!B88)</x:f>
      </x:c>
      <x:c r="D1158" s="2" t="str">
        <x:f>IF(B1158="","",'Motor_Meciuri'!D88)</x:f>
      </x:c>
      <x:c r="E1158" s="2" t="str">
        <x:f>IF(B1158="","",'Motor_Meciuri'!E88)</x:f>
      </x:c>
      <x:c r="F1158" s="2" t="str">
        <x:v>O7,5</x:v>
      </x:c>
      <x:c r="G1158" s="2" t="str">
        <x:v>OVER</x:v>
      </x:c>
      <x:c r="H1158" s="2" t="n">
        <x:v>7</x:v>
      </x:c>
      <x:c r="I1158" s="2" t="str">
        <x:f>IF(B1158="","",'Motor_Meciuri'!H88)</x:f>
      </x:c>
      <x:c r="J1158" s="2" t="str">
        <x:f>IF(B1158="","",'Motor_Meciuri'!I88)</x:f>
      </x:c>
      <x:c r="K1158" s="11" t="str">
        <x:f>IF(J1158&lt;&gt;"PASS","",'Motor_Meciuri'!BD88)</x:f>
      </x:c>
      <x:c r="L1158" s="11" t="str">
        <x:f>IF(J1158&lt;&gt;"PASS","",'Motor_Meciuri'!AU88)</x:f>
      </x:c>
      <x:c r="M1158" s="10" t="str">
        <x:f>IF(NOT(AND(J1158="PASS",'Calibrare_Linii'!U10="VALID")),"",1-'Distributie'!AE88)</x:f>
      </x:c>
      <x:c r="N1158" s="10" t="str">
        <x:f>IF(M1158="","",MAX(0.01,MIN(0.99,0.5+(M1158-0.5)*'Motor_Meciuri'!BG88*'Calibrare_Linii'!D10)))</x:f>
      </x:c>
      <x:c r="O1158" s="10" t="str">
        <x:f>IF(M1158="","",1-M1158)</x:f>
      </x:c>
      <x:c r="P1158" s="10" t="str">
        <x:f>IF(OR(NOT(AND(J1158="PASS",'Calibrare_Linii'!U10="VALID")),AK1158=0),""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*('Istoric_Nativ'!$Q$6:$Q$405&lt;=H1158))/AK1158)</x:f>
      </x:c>
      <x:c r="Q1158" s="10" t="str">
        <x:f>IF(OR(NOT(AND(J1158="PASS",'Calibrare_Linii'!U10="VALID")),AL1158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M88)+((('Istoric_Nativ'!$E$6:$E$405='Input_Meci'!E88)+('Istoric_Nativ'!$F$6:$F$405='Input_Meci'!E88))&gt;0)*('Istoric_Nativ'!$D$6:$D$405&gt;='Motor_Meciuri'!BN88))&gt;0)*('Istoric_Nativ'!$Q$6:$Q$405&lt;=H1158))/AL1158)</x:f>
      </x:c>
      <x:c r="R1158" s="10" t="str">
        <x:f>IF(OR(NOT(AND(J1158="PASS",'Calibrare_Linii'!U10="VALID")),AM1158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O88)+((('Istoric_Nativ'!$E$6:$E$405='Input_Meci'!E88)+('Istoric_Nativ'!$F$6:$F$405='Input_Meci'!E88))&gt;0)*('Istoric_Nativ'!$D$6:$D$405&gt;='Motor_Meciuri'!BP88))&gt;0)*('Istoric_Nativ'!$Q$6:$Q$405&lt;=H1158))/AM1158)</x:f>
      </x:c>
      <x:c r="S1158" s="10" t="str">
        <x:f>IF(M1158="","",MAX(O1158,P1158,Q1158,R1158))</x:f>
      </x:c>
      <x:c r="T1158" s="11" t="str">
        <x:f>IF(M1158="","",MIN(100,S1158*100*'Config_v6'!$B$44+MIN(100,L1158/'Config_v6'!$B$13*100)*'Config_v6'!$B$45+(100-'Motor_Meciuri'!BF88)*'Config_v6'!$B$46+'Motor_Meciuri'!BH88*100*'Config_v6'!$B$47))</x:f>
      </x:c>
      <x:c r="U1158" s="2" t="str">
        <x:f>IF(T1158="","",IF(T1158&lt;=20,1,IF(T1158&lt;=40,2,IF(T1158&lt;=60,3,IF(T1158&lt;=80,4,5)))))</x:f>
      </x:c>
      <x:c r="V1158" s="2" t="str">
        <x:f>IF(M1158="","",MAX(0,'Motor_Meciuri'!BF88-IF(W1158="OOS PENDING",'Config_v6'!$B$35,0)-IF(L1158&gt;'Config_v6'!$B$12,'Config_v6'!$B$37,IF(L1158&gt;'Config_v6'!$B$11,'Config_v6'!$B$36,0))))</x:f>
      </x:c>
      <x:c r="W1158" s="2" t="str">
        <x:f>IF(B1158="","",IF(I1158&lt;&gt;"READY","NOT RELEASED",IF(NOT(AND(J1158="PASS",'Calibrare_Linii'!U10="VALID")),"INVALID",IF(NOT(AND('Calibrare_Linii'!S10="VALIDATED",AND('Calibrare_Linii'!H10=C1158,ISNUMBER('Calibrare_Linii'!J10),'Calibrare_Linii'!J10&lt;='Input_Meci'!G88))),"OOS PENDING",IF(S1158&lt;='Calibrare_Linii'!E10,"PASS",IF(S1158&lt;='Calibrare_Linii'!F10,"PENALTY","WATCH"))))))</x:f>
      </x:c>
      <x:c r="X1158" s="2" t="str">
        <x:f>IF(M1158="","",IF(AND(AND(J1158="PASS",'Calibrare_Linii'!U10="VALID"),'Motor_Meciuri'!K88=12,'Motor_Meciuri'!L88=12,'Motor_Meciuri'!M88="NO",'Motor_Meciuri'!BL88='Motor_Meciuri'!C88,AB1158&gt;='Config_v6'!$B$50,AN1158&gt;='Config_v6'!$B$51,T1158&lt;='Config_v6'!$B$52,L1158&lt;='Config_v6'!$B$53,ISNUMBER('Calibrare_Linii'!E10),S1158&lt;='Calibrare_Linii'!E10,SUM(AK1158:AM1158)&gt;0),"CANDIDATE","NO"))</x:f>
      </x:c>
      <x:c r="Y1158" s="2" t="str">
        <x:f>IF(B1158="","",IF(I1158&lt;&gt;"READY","NOT RELEASED",IF(AND(X1158="CANDIDATE",V1158&gt;='Config_v6'!$B$51,W1158="PASS",'Calibrare_Linii'!T10="VALIDATED",AND('Calibrare_Linii'!H10=C1158,ISNUMBER('Calibrare_Linii'!J10),'Calibrare_Linii'!J10&lt;='Input_Meci'!G88)),"PASS",IF(X1158="CANDIDATE","OOS PENDING","FAIL"))))</x:f>
      </x:c>
      <x:c r="Z1158" s="2" t="str">
        <x:f>IF(B1158="","",IF(I1158&lt;&gt;"READY","",IF(OR(NOT(AND(J1158="PASS",'Calibrare_Linii'!U10="VALID")),L1158&gt;'Config_v6'!$B$13,W1158="WATCH"),5,IF(Y1158="PASS",1,MIN(5,MAX('Config_v6'!$B$42,U1158)+IF(W1158="PENALTY",1,0))))))</x:f>
      </x:c>
      <x:c r="AA1158" s="2" t="str">
        <x:f>IF(B1158="","",IF(I1158&lt;&gt;"READY","NOT RELEASED",IF(Z1158=5,"NO BET",IF(OR(AB1158&lt;'Config_v6'!$B$16,V1158&lt;'Config_v6'!$B$18),"WATCH",IF(Z1158=1,"DEFENSIV",IF(Z1158=2,"PRUDENT",IF(Z1158=3,"MODERAT","RIDICAT")))))))</x:f>
      </x:c>
      <x:c r="AB1158" s="10" t="str">
        <x:f>IF(N1158="","",MIN(N1158,1-S1158))</x:f>
      </x:c>
      <x:c r="AC1158" s="2" t="str">
        <x:f>IF(AD1158&lt;&gt;1,"",COUNTIFS($Z$1154:$Z$1167,"&lt;"&amp;Z1158,$AD$1154:$AD$1167,1)+COUNTIFS($Z$1154:$Z$1167,Z1158,$AB$1154:$AB$1167,"&gt;"&amp;AB1158,$AD$1154:$AD$1167,1)+COUNTIFS($Z$1154:$Z$1167,Z1158,$AB$1154:$AB$1167,AB1158,$V$1154:$V$1167,"&gt;"&amp;V1158,$AD$1154:$AD$1167,1)+COUNTIFS($Z$1154:Z1158,Z1158,$AB$1154:AB1158,AB1158,$V$1154:V1158,V1158,$AD$1154:AD1158,1))</x:f>
      </x:c>
      <x:c r="AD1158" s="2" t="n">
        <x:f>IF(OR(AA1158="DEFENSIV",AA1158="PRUDENT",AA1158="MODERAT",AA1158="RIDICAT"),1,0)</x:f>
        <x:v>0</x:v>
      </x:c>
      <x:c r="AE1158" s="2" t="str">
        <x:f>IF(AD1158&lt;&gt;1,"NO",IF(W1158="PASS","YES",IF(W1158="OOS PENDING","CONDITIONAL","NO")))</x:f>
        <x:v>NO</x:v>
      </x:c>
      <x:c r="AF1158" s="2" t="n">
        <x:f>IF(AND(AD1158=1,AC1158=1,E1158="LIVE"),1,0)</x:f>
        <x:v>0</x:v>
      </x:c>
      <x:c r="AG1158" s="2" t="str">
        <x:f>IF(AF1158&lt;&gt;1,"",'Dashboard'!P108)</x:f>
      </x:c>
      <x:c r="AH1158" s="2" t="str">
        <x:f>IF(B1158="","",IF(J1158&lt;&gt;"PASS",'Motor_Meciuri'!J88,IF('Calibrare_Linii'!U10&lt;&gt;"VALID","Parametri linie invalizi",IF(L1158&gt;'Config_v6'!$B$13,"Dispersie peste limita",IF(W1158="WATCH","Failure peste limita",IF(AB1158&lt;'Config_v6'!$B$16,"P finala sub prag",IF(V1158&lt;'Config_v6'!$B$18,"Confidence sub prag",IF(E1158="REPLAY","Exemplu retrospectiv; exclus din Top LIVE",IF(Y1158="PASS","DEFENSIV validat",IF(W1158="OOS PENDING","Eligibil; calibrare linie in monitorizare","Eligibil"))))))))))</x:f>
      </x:c>
      <x:c r="AI1158" s="2" t="str">
        <x:f>IF(B1158="","",'Calibrare_Linii'!V10)</x:f>
      </x:c>
      <x:c r="AJ1158" s="2" t="str">
        <x:f>IF(B1158="","",IF(AND('Calibrare_Linii'!T10="VALIDATED",AND('Calibrare_Linii'!H10=C1158,ISNUMBER('Calibrare_Linii'!J10),'Calibrare_Linii'!J10&lt;='Input_Meci'!G88)),"DEFENSIVE VALIDATED",IF(AND('Calibrare_Linii'!S10="VALIDATED",AND('Calibrare_Linii'!H10=C1158,ISNUMBER('Calibrare_Linii'!J10),'Calibrare_Linii'!J10&lt;='Input_Meci'!G88)),"TAIL VALIDATED","OOS PENDING")))</x:f>
      </x:c>
      <x:c r="AK1158" s="2" t="n">
        <x:f>IF(J1158&lt;&gt;"PASS",0,'Motor_Meciuri'!BR88)</x:f>
        <x:v>0</x:v>
      </x:c>
      <x:c r="AL1158" s="2" t="n">
        <x:f>IF(J1158&lt;&gt;"PASS",0,'Motor_Meciuri'!BS88)</x:f>
        <x:v>0</x:v>
      </x:c>
      <x:c r="AM1158" s="2" t="n">
        <x:f>IF(J1158&lt;&gt;"PASS",0,'Motor_Meciuri'!BT88)</x:f>
        <x:v>0</x:v>
      </x:c>
      <x:c r="AN1158" s="2" t="str">
        <x:f>IF(M1158="","",MAX(0,'Motor_Meciuri'!BF88-IF(L1158&gt;'Config_v6'!$B$12,'Config_v6'!$B$37,IF(L1158&gt;'Config_v6'!$B$11,'Config_v6'!$B$36,0))))</x:f>
      </x:c>
    </x:row>
    <x:row r="1159" ht="21" customHeight="1">
      <x:c r="A1159" s="2" t="n">
        <x:v>83</x:v>
      </x:c>
      <x:c r="B1159" s="2" t="str">
        <x:f>IF('Motor_Meciuri'!A88="","",'Motor_Meciuri'!A88)</x:f>
      </x:c>
      <x:c r="C1159" s="2" t="str">
        <x:f>IF(B1159="","",'Motor_Meciuri'!B88)</x:f>
      </x:c>
      <x:c r="D1159" s="2" t="str">
        <x:f>IF(B1159="","",'Motor_Meciuri'!D88)</x:f>
      </x:c>
      <x:c r="E1159" s="2" t="str">
        <x:f>IF(B1159="","",'Motor_Meciuri'!E88)</x:f>
      </x:c>
      <x:c r="F1159" s="2" t="str">
        <x:v>O8,5</x:v>
      </x:c>
      <x:c r="G1159" s="2" t="str">
        <x:v>OVER</x:v>
      </x:c>
      <x:c r="H1159" s="2" t="n">
        <x:v>8</x:v>
      </x:c>
      <x:c r="I1159" s="2" t="str">
        <x:f>IF(B1159="","",'Motor_Meciuri'!H88)</x:f>
      </x:c>
      <x:c r="J1159" s="2" t="str">
        <x:f>IF(B1159="","",'Motor_Meciuri'!I88)</x:f>
      </x:c>
      <x:c r="K1159" s="11" t="str">
        <x:f>IF(J1159&lt;&gt;"PASS","",'Motor_Meciuri'!BD88)</x:f>
      </x:c>
      <x:c r="L1159" s="11" t="str">
        <x:f>IF(J1159&lt;&gt;"PASS","",'Motor_Meciuri'!AU88)</x:f>
      </x:c>
      <x:c r="M1159" s="10" t="str">
        <x:f>IF(NOT(AND(J1159="PASS",'Calibrare_Linii'!U11="VALID")),"",1-'Distributie'!AF88)</x:f>
      </x:c>
      <x:c r="N1159" s="10" t="str">
        <x:f>IF(M1159="","",MAX(0.01,MIN(0.99,0.5+(M1159-0.5)*'Motor_Meciuri'!BG88*'Calibrare_Linii'!D11)))</x:f>
      </x:c>
      <x:c r="O1159" s="10" t="str">
        <x:f>IF(M1159="","",1-M1159)</x:f>
      </x:c>
      <x:c r="P1159" s="10" t="str">
        <x:f>IF(OR(NOT(AND(J1159="PASS",'Calibrare_Linii'!U11="VALID")),AK1159=0),""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*('Istoric_Nativ'!$Q$6:$Q$405&lt;=H1159))/AK1159)</x:f>
      </x:c>
      <x:c r="Q1159" s="10" t="str">
        <x:f>IF(OR(NOT(AND(J1159="PASS",'Calibrare_Linii'!U11="VALID")),AL1159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M88)+((('Istoric_Nativ'!$E$6:$E$405='Input_Meci'!E88)+('Istoric_Nativ'!$F$6:$F$405='Input_Meci'!E88))&gt;0)*('Istoric_Nativ'!$D$6:$D$405&gt;='Motor_Meciuri'!BN88))&gt;0)*('Istoric_Nativ'!$Q$6:$Q$405&lt;=H1159))/AL1159)</x:f>
      </x:c>
      <x:c r="R1159" s="10" t="str">
        <x:f>IF(OR(NOT(AND(J1159="PASS",'Calibrare_Linii'!U11="VALID")),AM1159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O88)+((('Istoric_Nativ'!$E$6:$E$405='Input_Meci'!E88)+('Istoric_Nativ'!$F$6:$F$405='Input_Meci'!E88))&gt;0)*('Istoric_Nativ'!$D$6:$D$405&gt;='Motor_Meciuri'!BP88))&gt;0)*('Istoric_Nativ'!$Q$6:$Q$405&lt;=H1159))/AM1159)</x:f>
      </x:c>
      <x:c r="S1159" s="10" t="str">
        <x:f>IF(M1159="","",MAX(O1159,P1159,Q1159,R1159))</x:f>
      </x:c>
      <x:c r="T1159" s="11" t="str">
        <x:f>IF(M1159="","",MIN(100,S1159*100*'Config_v6'!$B$44+MIN(100,L1159/'Config_v6'!$B$13*100)*'Config_v6'!$B$45+(100-'Motor_Meciuri'!BF88)*'Config_v6'!$B$46+'Motor_Meciuri'!BH88*100*'Config_v6'!$B$47))</x:f>
      </x:c>
      <x:c r="U1159" s="2" t="str">
        <x:f>IF(T1159="","",IF(T1159&lt;=20,1,IF(T1159&lt;=40,2,IF(T1159&lt;=60,3,IF(T1159&lt;=80,4,5)))))</x:f>
      </x:c>
      <x:c r="V1159" s="2" t="str">
        <x:f>IF(M1159="","",MAX(0,'Motor_Meciuri'!BF88-IF(W1159="OOS PENDING",'Config_v6'!$B$35,0)-IF(L1159&gt;'Config_v6'!$B$12,'Config_v6'!$B$37,IF(L1159&gt;'Config_v6'!$B$11,'Config_v6'!$B$36,0))))</x:f>
      </x:c>
      <x:c r="W1159" s="2" t="str">
        <x:f>IF(B1159="","",IF(I1159&lt;&gt;"READY","NOT RELEASED",IF(NOT(AND(J1159="PASS",'Calibrare_Linii'!U11="VALID")),"INVALID",IF(NOT(AND('Calibrare_Linii'!S11="VALIDATED",AND('Calibrare_Linii'!H11=C1159,ISNUMBER('Calibrare_Linii'!J11),'Calibrare_Linii'!J11&lt;='Input_Meci'!G88))),"OOS PENDING",IF(S1159&lt;='Calibrare_Linii'!E11,"PASS",IF(S1159&lt;='Calibrare_Linii'!F11,"PENALTY","WATCH"))))))</x:f>
      </x:c>
      <x:c r="X1159" s="2" t="str">
        <x:f>IF(M1159="","",IF(AND(AND(J1159="PASS",'Calibrare_Linii'!U11="VALID"),'Motor_Meciuri'!K88=12,'Motor_Meciuri'!L88=12,'Motor_Meciuri'!M88="NO",'Motor_Meciuri'!BL88='Motor_Meciuri'!C88,AB1159&gt;='Config_v6'!$B$50,AN1159&gt;='Config_v6'!$B$51,T1159&lt;='Config_v6'!$B$52,L1159&lt;='Config_v6'!$B$53,ISNUMBER('Calibrare_Linii'!E11),S1159&lt;='Calibrare_Linii'!E11,SUM(AK1159:AM1159)&gt;0),"CANDIDATE","NO"))</x:f>
      </x:c>
      <x:c r="Y1159" s="2" t="str">
        <x:f>IF(B1159="","",IF(I1159&lt;&gt;"READY","NOT RELEASED",IF(AND(X1159="CANDIDATE",V1159&gt;='Config_v6'!$B$51,W1159="PASS",'Calibrare_Linii'!T11="VALIDATED",AND('Calibrare_Linii'!H11=C1159,ISNUMBER('Calibrare_Linii'!J11),'Calibrare_Linii'!J11&lt;='Input_Meci'!G88)),"PASS",IF(X1159="CANDIDATE","OOS PENDING","FAIL"))))</x:f>
      </x:c>
      <x:c r="Z1159" s="2" t="str">
        <x:f>IF(B1159="","",IF(I1159&lt;&gt;"READY","",IF(OR(NOT(AND(J1159="PASS",'Calibrare_Linii'!U11="VALID")),L1159&gt;'Config_v6'!$B$13,W1159="WATCH"),5,IF(Y1159="PASS",1,MIN(5,MAX('Config_v6'!$B$42,U1159)+IF(W1159="PENALTY",1,0))))))</x:f>
      </x:c>
      <x:c r="AA1159" s="2" t="str">
        <x:f>IF(B1159="","",IF(I1159&lt;&gt;"READY","NOT RELEASED",IF(Z1159=5,"NO BET",IF(OR(AB1159&lt;'Config_v6'!$B$16,V1159&lt;'Config_v6'!$B$18),"WATCH",IF(Z1159=1,"DEFENSIV",IF(Z1159=2,"PRUDENT",IF(Z1159=3,"MODERAT","RIDICAT")))))))</x:f>
      </x:c>
      <x:c r="AB1159" s="10" t="str">
        <x:f>IF(N1159="","",MIN(N1159,1-S1159))</x:f>
      </x:c>
      <x:c r="AC1159" s="2" t="str">
        <x:f>IF(AD1159&lt;&gt;1,"",COUNTIFS($Z$1154:$Z$1167,"&lt;"&amp;Z1159,$AD$1154:$AD$1167,1)+COUNTIFS($Z$1154:$Z$1167,Z1159,$AB$1154:$AB$1167,"&gt;"&amp;AB1159,$AD$1154:$AD$1167,1)+COUNTIFS($Z$1154:$Z$1167,Z1159,$AB$1154:$AB$1167,AB1159,$V$1154:$V$1167,"&gt;"&amp;V1159,$AD$1154:$AD$1167,1)+COUNTIFS($Z$1154:Z1159,Z1159,$AB$1154:AB1159,AB1159,$V$1154:V1159,V1159,$AD$1154:AD1159,1))</x:f>
      </x:c>
      <x:c r="AD1159" s="2" t="n">
        <x:f>IF(OR(AA1159="DEFENSIV",AA1159="PRUDENT",AA1159="MODERAT",AA1159="RIDICAT"),1,0)</x:f>
        <x:v>0</x:v>
      </x:c>
      <x:c r="AE1159" s="2" t="str">
        <x:f>IF(AD1159&lt;&gt;1,"NO",IF(W1159="PASS","YES",IF(W1159="OOS PENDING","CONDITIONAL","NO")))</x:f>
        <x:v>NO</x:v>
      </x:c>
      <x:c r="AF1159" s="2" t="n">
        <x:f>IF(AND(AD1159=1,AC1159=1,E1159="LIVE"),1,0)</x:f>
        <x:v>0</x:v>
      </x:c>
      <x:c r="AG1159" s="2" t="str">
        <x:f>IF(AF1159&lt;&gt;1,"",'Dashboard'!P108)</x:f>
      </x:c>
      <x:c r="AH1159" s="2" t="str">
        <x:f>IF(B1159="","",IF(J1159&lt;&gt;"PASS",'Motor_Meciuri'!J88,IF('Calibrare_Linii'!U11&lt;&gt;"VALID","Parametri linie invalizi",IF(L1159&gt;'Config_v6'!$B$13,"Dispersie peste limita",IF(W1159="WATCH","Failure peste limita",IF(AB1159&lt;'Config_v6'!$B$16,"P finala sub prag",IF(V1159&lt;'Config_v6'!$B$18,"Confidence sub prag",IF(E1159="REPLAY","Exemplu retrospectiv; exclus din Top LIVE",IF(Y1159="PASS","DEFENSIV validat",IF(W1159="OOS PENDING","Eligibil; calibrare linie in monitorizare","Eligibil"))))))))))</x:f>
      </x:c>
      <x:c r="AI1159" s="2" t="str">
        <x:f>IF(B1159="","",'Calibrare_Linii'!V11)</x:f>
      </x:c>
      <x:c r="AJ1159" s="2" t="str">
        <x:f>IF(B1159="","",IF(AND('Calibrare_Linii'!T11="VALIDATED",AND('Calibrare_Linii'!H11=C1159,ISNUMBER('Calibrare_Linii'!J11),'Calibrare_Linii'!J11&lt;='Input_Meci'!G88)),"DEFENSIVE VALIDATED",IF(AND('Calibrare_Linii'!S11="VALIDATED",AND('Calibrare_Linii'!H11=C1159,ISNUMBER('Calibrare_Linii'!J11),'Calibrare_Linii'!J11&lt;='Input_Meci'!G88)),"TAIL VALIDATED","OOS PENDING")))</x:f>
      </x:c>
      <x:c r="AK1159" s="2" t="n">
        <x:f>IF(J1159&lt;&gt;"PASS",0,'Motor_Meciuri'!BR88)</x:f>
        <x:v>0</x:v>
      </x:c>
      <x:c r="AL1159" s="2" t="n">
        <x:f>IF(J1159&lt;&gt;"PASS",0,'Motor_Meciuri'!BS88)</x:f>
        <x:v>0</x:v>
      </x:c>
      <x:c r="AM1159" s="2" t="n">
        <x:f>IF(J1159&lt;&gt;"PASS",0,'Motor_Meciuri'!BT88)</x:f>
        <x:v>0</x:v>
      </x:c>
      <x:c r="AN1159" s="2" t="str">
        <x:f>IF(M1159="","",MAX(0,'Motor_Meciuri'!BF88-IF(L1159&gt;'Config_v6'!$B$12,'Config_v6'!$B$37,IF(L1159&gt;'Config_v6'!$B$11,'Config_v6'!$B$36,0))))</x:f>
      </x:c>
    </x:row>
    <x:row r="1160" ht="21" customHeight="1">
      <x:c r="A1160" s="2" t="n">
        <x:v>83</x:v>
      </x:c>
      <x:c r="B1160" s="2" t="str">
        <x:f>IF('Motor_Meciuri'!A88="","",'Motor_Meciuri'!A88)</x:f>
      </x:c>
      <x:c r="C1160" s="2" t="str">
        <x:f>IF(B1160="","",'Motor_Meciuri'!B88)</x:f>
      </x:c>
      <x:c r="D1160" s="2" t="str">
        <x:f>IF(B1160="","",'Motor_Meciuri'!D88)</x:f>
      </x:c>
      <x:c r="E1160" s="2" t="str">
        <x:f>IF(B1160="","",'Motor_Meciuri'!E88)</x:f>
      </x:c>
      <x:c r="F1160" s="2" t="str">
        <x:v>U10,5</x:v>
      </x:c>
      <x:c r="G1160" s="2" t="str">
        <x:v>UNDER</x:v>
      </x:c>
      <x:c r="H1160" s="2" t="n">
        <x:v>10</x:v>
      </x:c>
      <x:c r="I1160" s="2" t="str">
        <x:f>IF(B1160="","",'Motor_Meciuri'!H88)</x:f>
      </x:c>
      <x:c r="J1160" s="2" t="str">
        <x:f>IF(B1160="","",'Motor_Meciuri'!I88)</x:f>
      </x:c>
      <x:c r="K1160" s="11" t="str">
        <x:f>IF(J1160&lt;&gt;"PASS","",'Motor_Meciuri'!BD88)</x:f>
      </x:c>
      <x:c r="L1160" s="11" t="str">
        <x:f>IF(J1160&lt;&gt;"PASS","",'Motor_Meciuri'!AU88)</x:f>
      </x:c>
      <x:c r="M1160" s="10" t="str">
        <x:f>IF(NOT(AND(J1160="PASS",'Calibrare_Linii'!U12="VALID")),"",'Distributie'!AH88)</x:f>
      </x:c>
      <x:c r="N1160" s="10" t="str">
        <x:f>IF(M1160="","",MAX(0.01,MIN(0.99,0.5+(M1160-0.5)*'Motor_Meciuri'!BG88*'Calibrare_Linii'!D12)))</x:f>
      </x:c>
      <x:c r="O1160" s="10" t="str">
        <x:f>IF(M1160="","",1-M1160)</x:f>
      </x:c>
      <x:c r="P1160" s="10" t="str">
        <x:f>IF(OR(NOT(AND(J1160="PASS",'Calibrare_Linii'!U12="VALID")),AK1160=0),""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*('Istoric_Nativ'!$Q$6:$Q$405&gt;H1160))/AK1160)</x:f>
      </x:c>
      <x:c r="Q1160" s="10" t="str">
        <x:f>IF(OR(NOT(AND(J1160="PASS",'Calibrare_Linii'!U12="VALID")),AL1160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M88)+((('Istoric_Nativ'!$E$6:$E$405='Input_Meci'!E88)+('Istoric_Nativ'!$F$6:$F$405='Input_Meci'!E88))&gt;0)*('Istoric_Nativ'!$D$6:$D$405&gt;='Motor_Meciuri'!BN88))&gt;0)*('Istoric_Nativ'!$Q$6:$Q$405&gt;H1160))/AL1160)</x:f>
      </x:c>
      <x:c r="R1160" s="10" t="str">
        <x:f>IF(OR(NOT(AND(J1160="PASS",'Calibrare_Linii'!U12="VALID")),AM1160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O88)+((('Istoric_Nativ'!$E$6:$E$405='Input_Meci'!E88)+('Istoric_Nativ'!$F$6:$F$405='Input_Meci'!E88))&gt;0)*('Istoric_Nativ'!$D$6:$D$405&gt;='Motor_Meciuri'!BP88))&gt;0)*('Istoric_Nativ'!$Q$6:$Q$405&gt;H1160))/AM1160)</x:f>
      </x:c>
      <x:c r="S1160" s="10" t="str">
        <x:f>IF(M1160="","",MAX(O1160,P1160,Q1160,R1160))</x:f>
      </x:c>
      <x:c r="T1160" s="11" t="str">
        <x:f>IF(M1160="","",MIN(100,S1160*100*'Config_v6'!$B$44+MIN(100,L1160/'Config_v6'!$B$13*100)*'Config_v6'!$B$45+(100-'Motor_Meciuri'!BF88)*'Config_v6'!$B$46+'Motor_Meciuri'!BH88*100*'Config_v6'!$B$47))</x:f>
      </x:c>
      <x:c r="U1160" s="2" t="str">
        <x:f>IF(T1160="","",IF(T1160&lt;=20,1,IF(T1160&lt;=40,2,IF(T1160&lt;=60,3,IF(T1160&lt;=80,4,5)))))</x:f>
      </x:c>
      <x:c r="V1160" s="2" t="str">
        <x:f>IF(M1160="","",MAX(0,'Motor_Meciuri'!BF88-IF(W1160="OOS PENDING",'Config_v6'!$B$35,0)-IF(L1160&gt;'Config_v6'!$B$12,'Config_v6'!$B$37,IF(L1160&gt;'Config_v6'!$B$11,'Config_v6'!$B$36,0))))</x:f>
      </x:c>
      <x:c r="W1160" s="2" t="str">
        <x:f>IF(B1160="","",IF(I1160&lt;&gt;"READY","NOT RELEASED",IF(NOT(AND(J1160="PASS",'Calibrare_Linii'!U12="VALID")),"INVALID",IF(NOT(AND('Calibrare_Linii'!S12="VALIDATED",AND('Calibrare_Linii'!H12=C1160,ISNUMBER('Calibrare_Linii'!J12),'Calibrare_Linii'!J12&lt;='Input_Meci'!G88))),"OOS PENDING",IF(S1160&lt;='Calibrare_Linii'!E12,"PASS",IF(S1160&lt;='Calibrare_Linii'!F12,"PENALTY","WATCH"))))))</x:f>
      </x:c>
      <x:c r="X1160" s="2" t="str">
        <x:f>IF(M1160="","",IF(AND(AND(J1160="PASS",'Calibrare_Linii'!U12="VALID"),'Motor_Meciuri'!K88=12,'Motor_Meciuri'!L88=12,'Motor_Meciuri'!M88="NO",'Motor_Meciuri'!BL88='Motor_Meciuri'!C88,AB1160&gt;='Config_v6'!$B$50,AN1160&gt;='Config_v6'!$B$51,T1160&lt;='Config_v6'!$B$52,L1160&lt;='Config_v6'!$B$53,ISNUMBER('Calibrare_Linii'!E12),S1160&lt;='Calibrare_Linii'!E12,SUM(AK1160:AM1160)&gt;0),"CANDIDATE","NO"))</x:f>
      </x:c>
      <x:c r="Y1160" s="2" t="str">
        <x:f>IF(B1160="","",IF(I1160&lt;&gt;"READY","NOT RELEASED",IF(AND(X1160="CANDIDATE",V1160&gt;='Config_v6'!$B$51,W1160="PASS",'Calibrare_Linii'!T12="VALIDATED",AND('Calibrare_Linii'!H12=C1160,ISNUMBER('Calibrare_Linii'!J12),'Calibrare_Linii'!J12&lt;='Input_Meci'!G88)),"PASS",IF(X1160="CANDIDATE","OOS PENDING","FAIL"))))</x:f>
      </x:c>
      <x:c r="Z1160" s="2" t="str">
        <x:f>IF(B1160="","",IF(I1160&lt;&gt;"READY","",IF(OR(NOT(AND(J1160="PASS",'Calibrare_Linii'!U12="VALID")),L1160&gt;'Config_v6'!$B$13,W1160="WATCH"),5,IF(Y1160="PASS",1,MIN(5,MAX('Config_v6'!$B$42,U1160)+IF(W1160="PENALTY",1,0))))))</x:f>
      </x:c>
      <x:c r="AA1160" s="2" t="str">
        <x:f>IF(B1160="","",IF(I1160&lt;&gt;"READY","NOT RELEASED",IF(Z1160=5,"NO BET",IF(OR(AB1160&lt;'Config_v6'!$B$16,V1160&lt;'Config_v6'!$B$18),"WATCH",IF(Z1160=1,"DEFENSIV",IF(Z1160=2,"PRUDENT",IF(Z1160=3,"MODERAT","RIDICAT")))))))</x:f>
      </x:c>
      <x:c r="AB1160" s="10" t="str">
        <x:f>IF(N1160="","",MIN(N1160,1-S1160))</x:f>
      </x:c>
      <x:c r="AC1160" s="2" t="str">
        <x:f>IF(AD1160&lt;&gt;1,"",COUNTIFS($Z$1154:$Z$1167,"&lt;"&amp;Z1160,$AD$1154:$AD$1167,1)+COUNTIFS($Z$1154:$Z$1167,Z1160,$AB$1154:$AB$1167,"&gt;"&amp;AB1160,$AD$1154:$AD$1167,1)+COUNTIFS($Z$1154:$Z$1167,Z1160,$AB$1154:$AB$1167,AB1160,$V$1154:$V$1167,"&gt;"&amp;V1160,$AD$1154:$AD$1167,1)+COUNTIFS($Z$1154:Z1160,Z1160,$AB$1154:AB1160,AB1160,$V$1154:V1160,V1160,$AD$1154:AD1160,1))</x:f>
      </x:c>
      <x:c r="AD1160" s="2" t="n">
        <x:f>IF(OR(AA1160="DEFENSIV",AA1160="PRUDENT",AA1160="MODERAT",AA1160="RIDICAT"),1,0)</x:f>
        <x:v>0</x:v>
      </x:c>
      <x:c r="AE1160" s="2" t="str">
        <x:f>IF(AD1160&lt;&gt;1,"NO",IF(W1160="PASS","YES",IF(W1160="OOS PENDING","CONDITIONAL","NO")))</x:f>
        <x:v>NO</x:v>
      </x:c>
      <x:c r="AF1160" s="2" t="n">
        <x:f>IF(AND(AD1160=1,AC1160=1,E1160="LIVE"),1,0)</x:f>
        <x:v>0</x:v>
      </x:c>
      <x:c r="AG1160" s="2" t="str">
        <x:f>IF(AF1160&lt;&gt;1,"",'Dashboard'!P108)</x:f>
      </x:c>
      <x:c r="AH1160" s="2" t="str">
        <x:f>IF(B1160="","",IF(J1160&lt;&gt;"PASS",'Motor_Meciuri'!J88,IF('Calibrare_Linii'!U12&lt;&gt;"VALID","Parametri linie invalizi",IF(L1160&gt;'Config_v6'!$B$13,"Dispersie peste limita",IF(W1160="WATCH","Failure peste limita",IF(AB1160&lt;'Config_v6'!$B$16,"P finala sub prag",IF(V1160&lt;'Config_v6'!$B$18,"Confidence sub prag",IF(E1160="REPLAY","Exemplu retrospectiv; exclus din Top LIVE",IF(Y1160="PASS","DEFENSIV validat",IF(W1160="OOS PENDING","Eligibil; calibrare linie in monitorizare","Eligibil"))))))))))</x:f>
      </x:c>
      <x:c r="AI1160" s="2" t="str">
        <x:f>IF(B1160="","",'Calibrare_Linii'!V12)</x:f>
      </x:c>
      <x:c r="AJ1160" s="2" t="str">
        <x:f>IF(B1160="","",IF(AND('Calibrare_Linii'!T12="VALIDATED",AND('Calibrare_Linii'!H12=C1160,ISNUMBER('Calibrare_Linii'!J12),'Calibrare_Linii'!J12&lt;='Input_Meci'!G88)),"DEFENSIVE VALIDATED",IF(AND('Calibrare_Linii'!S12="VALIDATED",AND('Calibrare_Linii'!H12=C1160,ISNUMBER('Calibrare_Linii'!J12),'Calibrare_Linii'!J12&lt;='Input_Meci'!G88)),"TAIL VALIDATED","OOS PENDING")))</x:f>
      </x:c>
      <x:c r="AK1160" s="2" t="n">
        <x:f>IF(J1160&lt;&gt;"PASS",0,'Motor_Meciuri'!BR88)</x:f>
        <x:v>0</x:v>
      </x:c>
      <x:c r="AL1160" s="2" t="n">
        <x:f>IF(J1160&lt;&gt;"PASS",0,'Motor_Meciuri'!BS88)</x:f>
        <x:v>0</x:v>
      </x:c>
      <x:c r="AM1160" s="2" t="n">
        <x:f>IF(J1160&lt;&gt;"PASS",0,'Motor_Meciuri'!BT88)</x:f>
        <x:v>0</x:v>
      </x:c>
      <x:c r="AN1160" s="2" t="str">
        <x:f>IF(M1160="","",MAX(0,'Motor_Meciuri'!BF88-IF(L1160&gt;'Config_v6'!$B$12,'Config_v6'!$B$37,IF(L1160&gt;'Config_v6'!$B$11,'Config_v6'!$B$36,0))))</x:f>
      </x:c>
    </x:row>
    <x:row r="1161" ht="21" customHeight="1">
      <x:c r="A1161" s="2" t="n">
        <x:v>83</x:v>
      </x:c>
      <x:c r="B1161" s="2" t="str">
        <x:f>IF('Motor_Meciuri'!A88="","",'Motor_Meciuri'!A88)</x:f>
      </x:c>
      <x:c r="C1161" s="2" t="str">
        <x:f>IF(B1161="","",'Motor_Meciuri'!B88)</x:f>
      </x:c>
      <x:c r="D1161" s="2" t="str">
        <x:f>IF(B1161="","",'Motor_Meciuri'!D88)</x:f>
      </x:c>
      <x:c r="E1161" s="2" t="str">
        <x:f>IF(B1161="","",'Motor_Meciuri'!E88)</x:f>
      </x:c>
      <x:c r="F1161" s="2" t="str">
        <x:v>U11,5</x:v>
      </x:c>
      <x:c r="G1161" s="2" t="str">
        <x:v>UNDER</x:v>
      </x:c>
      <x:c r="H1161" s="2" t="n">
        <x:v>11</x:v>
      </x:c>
      <x:c r="I1161" s="2" t="str">
        <x:f>IF(B1161="","",'Motor_Meciuri'!H88)</x:f>
      </x:c>
      <x:c r="J1161" s="2" t="str">
        <x:f>IF(B1161="","",'Motor_Meciuri'!I88)</x:f>
      </x:c>
      <x:c r="K1161" s="11" t="str">
        <x:f>IF(J1161&lt;&gt;"PASS","",'Motor_Meciuri'!BD88)</x:f>
      </x:c>
      <x:c r="L1161" s="11" t="str">
        <x:f>IF(J1161&lt;&gt;"PASS","",'Motor_Meciuri'!AU88)</x:f>
      </x:c>
      <x:c r="M1161" s="10" t="str">
        <x:f>IF(NOT(AND(J1161="PASS",'Calibrare_Linii'!U13="VALID")),"",'Distributie'!AI88)</x:f>
      </x:c>
      <x:c r="N1161" s="10" t="str">
        <x:f>IF(M1161="","",MAX(0.01,MIN(0.99,0.5+(M1161-0.5)*'Motor_Meciuri'!BG88*'Calibrare_Linii'!D13)))</x:f>
      </x:c>
      <x:c r="O1161" s="10" t="str">
        <x:f>IF(M1161="","",1-M1161)</x:f>
      </x:c>
      <x:c r="P1161" s="10" t="str">
        <x:f>IF(OR(NOT(AND(J1161="PASS",'Calibrare_Linii'!U13="VALID")),AK1161=0),""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*('Istoric_Nativ'!$Q$6:$Q$405&gt;H1161))/AK1161)</x:f>
      </x:c>
      <x:c r="Q1161" s="10" t="str">
        <x:f>IF(OR(NOT(AND(J1161="PASS",'Calibrare_Linii'!U13="VALID")),AL1161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M88)+((('Istoric_Nativ'!$E$6:$E$405='Input_Meci'!E88)+('Istoric_Nativ'!$F$6:$F$405='Input_Meci'!E88))&gt;0)*('Istoric_Nativ'!$D$6:$D$405&gt;='Motor_Meciuri'!BN88))&gt;0)*('Istoric_Nativ'!$Q$6:$Q$405&gt;H1161))/AL1161)</x:f>
      </x:c>
      <x:c r="R1161" s="10" t="str">
        <x:f>IF(OR(NOT(AND(J1161="PASS",'Calibrare_Linii'!U13="VALID")),AM1161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O88)+((('Istoric_Nativ'!$E$6:$E$405='Input_Meci'!E88)+('Istoric_Nativ'!$F$6:$F$405='Input_Meci'!E88))&gt;0)*('Istoric_Nativ'!$D$6:$D$405&gt;='Motor_Meciuri'!BP88))&gt;0)*('Istoric_Nativ'!$Q$6:$Q$405&gt;H1161))/AM1161)</x:f>
      </x:c>
      <x:c r="S1161" s="10" t="str">
        <x:f>IF(M1161="","",MAX(O1161,P1161,Q1161,R1161))</x:f>
      </x:c>
      <x:c r="T1161" s="11" t="str">
        <x:f>IF(M1161="","",MIN(100,S1161*100*'Config_v6'!$B$44+MIN(100,L1161/'Config_v6'!$B$13*100)*'Config_v6'!$B$45+(100-'Motor_Meciuri'!BF88)*'Config_v6'!$B$46+'Motor_Meciuri'!BH88*100*'Config_v6'!$B$47))</x:f>
      </x:c>
      <x:c r="U1161" s="2" t="str">
        <x:f>IF(T1161="","",IF(T1161&lt;=20,1,IF(T1161&lt;=40,2,IF(T1161&lt;=60,3,IF(T1161&lt;=80,4,5)))))</x:f>
      </x:c>
      <x:c r="V1161" s="2" t="str">
        <x:f>IF(M1161="","",MAX(0,'Motor_Meciuri'!BF88-IF(W1161="OOS PENDING",'Config_v6'!$B$35,0)-IF(L1161&gt;'Config_v6'!$B$12,'Config_v6'!$B$37,IF(L1161&gt;'Config_v6'!$B$11,'Config_v6'!$B$36,0))))</x:f>
      </x:c>
      <x:c r="W1161" s="2" t="str">
        <x:f>IF(B1161="","",IF(I1161&lt;&gt;"READY","NOT RELEASED",IF(NOT(AND(J1161="PASS",'Calibrare_Linii'!U13="VALID")),"INVALID",IF(NOT(AND('Calibrare_Linii'!S13="VALIDATED",AND('Calibrare_Linii'!H13=C1161,ISNUMBER('Calibrare_Linii'!J13),'Calibrare_Linii'!J13&lt;='Input_Meci'!G88))),"OOS PENDING",IF(S1161&lt;='Calibrare_Linii'!E13,"PASS",IF(S1161&lt;='Calibrare_Linii'!F13,"PENALTY","WATCH"))))))</x:f>
      </x:c>
      <x:c r="X1161" s="2" t="str">
        <x:f>IF(M1161="","",IF(AND(AND(J1161="PASS",'Calibrare_Linii'!U13="VALID"),'Motor_Meciuri'!K88=12,'Motor_Meciuri'!L88=12,'Motor_Meciuri'!M88="NO",'Motor_Meciuri'!BL88='Motor_Meciuri'!C88,AB1161&gt;='Config_v6'!$B$50,AN1161&gt;='Config_v6'!$B$51,T1161&lt;='Config_v6'!$B$52,L1161&lt;='Config_v6'!$B$53,ISNUMBER('Calibrare_Linii'!E13),S1161&lt;='Calibrare_Linii'!E13,SUM(AK1161:AM1161)&gt;0),"CANDIDATE","NO"))</x:f>
      </x:c>
      <x:c r="Y1161" s="2" t="str">
        <x:f>IF(B1161="","",IF(I1161&lt;&gt;"READY","NOT RELEASED",IF(AND(X1161="CANDIDATE",V1161&gt;='Config_v6'!$B$51,W1161="PASS",'Calibrare_Linii'!T13="VALIDATED",AND('Calibrare_Linii'!H13=C1161,ISNUMBER('Calibrare_Linii'!J13),'Calibrare_Linii'!J13&lt;='Input_Meci'!G88)),"PASS",IF(X1161="CANDIDATE","OOS PENDING","FAIL"))))</x:f>
      </x:c>
      <x:c r="Z1161" s="2" t="str">
        <x:f>IF(B1161="","",IF(I1161&lt;&gt;"READY","",IF(OR(NOT(AND(J1161="PASS",'Calibrare_Linii'!U13="VALID")),L1161&gt;'Config_v6'!$B$13,W1161="WATCH"),5,IF(Y1161="PASS",1,MIN(5,MAX('Config_v6'!$B$42,U1161)+IF(W1161="PENALTY",1,0))))))</x:f>
      </x:c>
      <x:c r="AA1161" s="2" t="str">
        <x:f>IF(B1161="","",IF(I1161&lt;&gt;"READY","NOT RELEASED",IF(Z1161=5,"NO BET",IF(OR(AB1161&lt;'Config_v6'!$B$16,V1161&lt;'Config_v6'!$B$18),"WATCH",IF(Z1161=1,"DEFENSIV",IF(Z1161=2,"PRUDENT",IF(Z1161=3,"MODERAT","RIDICAT")))))))</x:f>
      </x:c>
      <x:c r="AB1161" s="10" t="str">
        <x:f>IF(N1161="","",MIN(N1161,1-S1161))</x:f>
      </x:c>
      <x:c r="AC1161" s="2" t="str">
        <x:f>IF(AD1161&lt;&gt;1,"",COUNTIFS($Z$1154:$Z$1167,"&lt;"&amp;Z1161,$AD$1154:$AD$1167,1)+COUNTIFS($Z$1154:$Z$1167,Z1161,$AB$1154:$AB$1167,"&gt;"&amp;AB1161,$AD$1154:$AD$1167,1)+COUNTIFS($Z$1154:$Z$1167,Z1161,$AB$1154:$AB$1167,AB1161,$V$1154:$V$1167,"&gt;"&amp;V1161,$AD$1154:$AD$1167,1)+COUNTIFS($Z$1154:Z1161,Z1161,$AB$1154:AB1161,AB1161,$V$1154:V1161,V1161,$AD$1154:AD1161,1))</x:f>
      </x:c>
      <x:c r="AD1161" s="2" t="n">
        <x:f>IF(OR(AA1161="DEFENSIV",AA1161="PRUDENT",AA1161="MODERAT",AA1161="RIDICAT"),1,0)</x:f>
        <x:v>0</x:v>
      </x:c>
      <x:c r="AE1161" s="2" t="str">
        <x:f>IF(AD1161&lt;&gt;1,"NO",IF(W1161="PASS","YES",IF(W1161="OOS PENDING","CONDITIONAL","NO")))</x:f>
        <x:v>NO</x:v>
      </x:c>
      <x:c r="AF1161" s="2" t="n">
        <x:f>IF(AND(AD1161=1,AC1161=1,E1161="LIVE"),1,0)</x:f>
        <x:v>0</x:v>
      </x:c>
      <x:c r="AG1161" s="2" t="str">
        <x:f>IF(AF1161&lt;&gt;1,"",'Dashboard'!P108)</x:f>
      </x:c>
      <x:c r="AH1161" s="2" t="str">
        <x:f>IF(B1161="","",IF(J1161&lt;&gt;"PASS",'Motor_Meciuri'!J88,IF('Calibrare_Linii'!U13&lt;&gt;"VALID","Parametri linie invalizi",IF(L1161&gt;'Config_v6'!$B$13,"Dispersie peste limita",IF(W1161="WATCH","Failure peste limita",IF(AB1161&lt;'Config_v6'!$B$16,"P finala sub prag",IF(V1161&lt;'Config_v6'!$B$18,"Confidence sub prag",IF(E1161="REPLAY","Exemplu retrospectiv; exclus din Top LIVE",IF(Y1161="PASS","DEFENSIV validat",IF(W1161="OOS PENDING","Eligibil; calibrare linie in monitorizare","Eligibil"))))))))))</x:f>
      </x:c>
      <x:c r="AI1161" s="2" t="str">
        <x:f>IF(B1161="","",'Calibrare_Linii'!V13)</x:f>
      </x:c>
      <x:c r="AJ1161" s="2" t="str">
        <x:f>IF(B1161="","",IF(AND('Calibrare_Linii'!T13="VALIDATED",AND('Calibrare_Linii'!H13=C1161,ISNUMBER('Calibrare_Linii'!J13),'Calibrare_Linii'!J13&lt;='Input_Meci'!G88)),"DEFENSIVE VALIDATED",IF(AND('Calibrare_Linii'!S13="VALIDATED",AND('Calibrare_Linii'!H13=C1161,ISNUMBER('Calibrare_Linii'!J13),'Calibrare_Linii'!J13&lt;='Input_Meci'!G88)),"TAIL VALIDATED","OOS PENDING")))</x:f>
      </x:c>
      <x:c r="AK1161" s="2" t="n">
        <x:f>IF(J1161&lt;&gt;"PASS",0,'Motor_Meciuri'!BR88)</x:f>
        <x:v>0</x:v>
      </x:c>
      <x:c r="AL1161" s="2" t="n">
        <x:f>IF(J1161&lt;&gt;"PASS",0,'Motor_Meciuri'!BS88)</x:f>
        <x:v>0</x:v>
      </x:c>
      <x:c r="AM1161" s="2" t="n">
        <x:f>IF(J1161&lt;&gt;"PASS",0,'Motor_Meciuri'!BT88)</x:f>
        <x:v>0</x:v>
      </x:c>
      <x:c r="AN1161" s="2" t="str">
        <x:f>IF(M1161="","",MAX(0,'Motor_Meciuri'!BF88-IF(L1161&gt;'Config_v6'!$B$12,'Config_v6'!$B$37,IF(L1161&gt;'Config_v6'!$B$11,'Config_v6'!$B$36,0))))</x:f>
      </x:c>
    </x:row>
    <x:row r="1162" ht="21" customHeight="1">
      <x:c r="A1162" s="2" t="n">
        <x:v>83</x:v>
      </x:c>
      <x:c r="B1162" s="2" t="str">
        <x:f>IF('Motor_Meciuri'!A88="","",'Motor_Meciuri'!A88)</x:f>
      </x:c>
      <x:c r="C1162" s="2" t="str">
        <x:f>IF(B1162="","",'Motor_Meciuri'!B88)</x:f>
      </x:c>
      <x:c r="D1162" s="2" t="str">
        <x:f>IF(B1162="","",'Motor_Meciuri'!D88)</x:f>
      </x:c>
      <x:c r="E1162" s="2" t="str">
        <x:f>IF(B1162="","",'Motor_Meciuri'!E88)</x:f>
      </x:c>
      <x:c r="F1162" s="2" t="str">
        <x:v>U12,5</x:v>
      </x:c>
      <x:c r="G1162" s="2" t="str">
        <x:v>UNDER</x:v>
      </x:c>
      <x:c r="H1162" s="2" t="n">
        <x:v>12</x:v>
      </x:c>
      <x:c r="I1162" s="2" t="str">
        <x:f>IF(B1162="","",'Motor_Meciuri'!H88)</x:f>
      </x:c>
      <x:c r="J1162" s="2" t="str">
        <x:f>IF(B1162="","",'Motor_Meciuri'!I88)</x:f>
      </x:c>
      <x:c r="K1162" s="11" t="str">
        <x:f>IF(J1162&lt;&gt;"PASS","",'Motor_Meciuri'!BD88)</x:f>
      </x:c>
      <x:c r="L1162" s="11" t="str">
        <x:f>IF(J1162&lt;&gt;"PASS","",'Motor_Meciuri'!AU88)</x:f>
      </x:c>
      <x:c r="M1162" s="10" t="str">
        <x:f>IF(NOT(AND(J1162="PASS",'Calibrare_Linii'!U14="VALID")),"",'Distributie'!AJ88)</x:f>
      </x:c>
      <x:c r="N1162" s="10" t="str">
        <x:f>IF(M1162="","",MAX(0.01,MIN(0.99,0.5+(M1162-0.5)*'Motor_Meciuri'!BG88*'Calibrare_Linii'!D14)))</x:f>
      </x:c>
      <x:c r="O1162" s="10" t="str">
        <x:f>IF(M1162="","",1-M1162)</x:f>
      </x:c>
      <x:c r="P1162" s="10" t="str">
        <x:f>IF(OR(NOT(AND(J1162="PASS",'Calibrare_Linii'!U14="VALID")),AK1162=0),""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*('Istoric_Nativ'!$Q$6:$Q$405&gt;H1162))/AK1162)</x:f>
      </x:c>
      <x:c r="Q1162" s="10" t="str">
        <x:f>IF(OR(NOT(AND(J1162="PASS",'Calibrare_Linii'!U14="VALID")),AL1162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M88)+((('Istoric_Nativ'!$E$6:$E$405='Input_Meci'!E88)+('Istoric_Nativ'!$F$6:$F$405='Input_Meci'!E88))&gt;0)*('Istoric_Nativ'!$D$6:$D$405&gt;='Motor_Meciuri'!BN88))&gt;0)*('Istoric_Nativ'!$Q$6:$Q$405&gt;H1162))/AL1162)</x:f>
      </x:c>
      <x:c r="R1162" s="10" t="str">
        <x:f>IF(OR(NOT(AND(J1162="PASS",'Calibrare_Linii'!U14="VALID")),AM1162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O88)+((('Istoric_Nativ'!$E$6:$E$405='Input_Meci'!E88)+('Istoric_Nativ'!$F$6:$F$405='Input_Meci'!E88))&gt;0)*('Istoric_Nativ'!$D$6:$D$405&gt;='Motor_Meciuri'!BP88))&gt;0)*('Istoric_Nativ'!$Q$6:$Q$405&gt;H1162))/AM1162)</x:f>
      </x:c>
      <x:c r="S1162" s="10" t="str">
        <x:f>IF(M1162="","",MAX(O1162,P1162,Q1162,R1162))</x:f>
      </x:c>
      <x:c r="T1162" s="11" t="str">
        <x:f>IF(M1162="","",MIN(100,S1162*100*'Config_v6'!$B$44+MIN(100,L1162/'Config_v6'!$B$13*100)*'Config_v6'!$B$45+(100-'Motor_Meciuri'!BF88)*'Config_v6'!$B$46+'Motor_Meciuri'!BH88*100*'Config_v6'!$B$47))</x:f>
      </x:c>
      <x:c r="U1162" s="2" t="str">
        <x:f>IF(T1162="","",IF(T1162&lt;=20,1,IF(T1162&lt;=40,2,IF(T1162&lt;=60,3,IF(T1162&lt;=80,4,5)))))</x:f>
      </x:c>
      <x:c r="V1162" s="2" t="str">
        <x:f>IF(M1162="","",MAX(0,'Motor_Meciuri'!BF88-IF(W1162="OOS PENDING",'Config_v6'!$B$35,0)-IF(L1162&gt;'Config_v6'!$B$12,'Config_v6'!$B$37,IF(L1162&gt;'Config_v6'!$B$11,'Config_v6'!$B$36,0))))</x:f>
      </x:c>
      <x:c r="W1162" s="2" t="str">
        <x:f>IF(B1162="","",IF(I1162&lt;&gt;"READY","NOT RELEASED",IF(NOT(AND(J1162="PASS",'Calibrare_Linii'!U14="VALID")),"INVALID",IF(NOT(AND('Calibrare_Linii'!S14="VALIDATED",AND('Calibrare_Linii'!H14=C1162,ISNUMBER('Calibrare_Linii'!J14),'Calibrare_Linii'!J14&lt;='Input_Meci'!G88))),"OOS PENDING",IF(S1162&lt;='Calibrare_Linii'!E14,"PASS",IF(S1162&lt;='Calibrare_Linii'!F14,"PENALTY","WATCH"))))))</x:f>
      </x:c>
      <x:c r="X1162" s="2" t="str">
        <x:f>IF(M1162="","",IF(AND(AND(J1162="PASS",'Calibrare_Linii'!U14="VALID"),'Motor_Meciuri'!K88=12,'Motor_Meciuri'!L88=12,'Motor_Meciuri'!M88="NO",'Motor_Meciuri'!BL88='Motor_Meciuri'!C88,AB1162&gt;='Config_v6'!$B$50,AN1162&gt;='Config_v6'!$B$51,T1162&lt;='Config_v6'!$B$52,L1162&lt;='Config_v6'!$B$53,ISNUMBER('Calibrare_Linii'!E14),S1162&lt;='Calibrare_Linii'!E14,SUM(AK1162:AM1162)&gt;0),"CANDIDATE","NO"))</x:f>
      </x:c>
      <x:c r="Y1162" s="2" t="str">
        <x:f>IF(B1162="","",IF(I1162&lt;&gt;"READY","NOT RELEASED",IF(AND(X1162="CANDIDATE",V1162&gt;='Config_v6'!$B$51,W1162="PASS",'Calibrare_Linii'!T14="VALIDATED",AND('Calibrare_Linii'!H14=C1162,ISNUMBER('Calibrare_Linii'!J14),'Calibrare_Linii'!J14&lt;='Input_Meci'!G88)),"PASS",IF(X1162="CANDIDATE","OOS PENDING","FAIL"))))</x:f>
      </x:c>
      <x:c r="Z1162" s="2" t="str">
        <x:f>IF(B1162="","",IF(I1162&lt;&gt;"READY","",IF(OR(NOT(AND(J1162="PASS",'Calibrare_Linii'!U14="VALID")),L1162&gt;'Config_v6'!$B$13,W1162="WATCH"),5,IF(Y1162="PASS",1,MIN(5,MAX('Config_v6'!$B$42,U1162)+IF(W1162="PENALTY",1,0))))))</x:f>
      </x:c>
      <x:c r="AA1162" s="2" t="str">
        <x:f>IF(B1162="","",IF(I1162&lt;&gt;"READY","NOT RELEASED",IF(Z1162=5,"NO BET",IF(OR(AB1162&lt;'Config_v6'!$B$16,V1162&lt;'Config_v6'!$B$18),"WATCH",IF(Z1162=1,"DEFENSIV",IF(Z1162=2,"PRUDENT",IF(Z1162=3,"MODERAT","RIDICAT")))))))</x:f>
      </x:c>
      <x:c r="AB1162" s="10" t="str">
        <x:f>IF(N1162="","",MIN(N1162,1-S1162))</x:f>
      </x:c>
      <x:c r="AC1162" s="2" t="str">
        <x:f>IF(AD1162&lt;&gt;1,"",COUNTIFS($Z$1154:$Z$1167,"&lt;"&amp;Z1162,$AD$1154:$AD$1167,1)+COUNTIFS($Z$1154:$Z$1167,Z1162,$AB$1154:$AB$1167,"&gt;"&amp;AB1162,$AD$1154:$AD$1167,1)+COUNTIFS($Z$1154:$Z$1167,Z1162,$AB$1154:$AB$1167,AB1162,$V$1154:$V$1167,"&gt;"&amp;V1162,$AD$1154:$AD$1167,1)+COUNTIFS($Z$1154:Z1162,Z1162,$AB$1154:AB1162,AB1162,$V$1154:V1162,V1162,$AD$1154:AD1162,1))</x:f>
      </x:c>
      <x:c r="AD1162" s="2" t="n">
        <x:f>IF(OR(AA1162="DEFENSIV",AA1162="PRUDENT",AA1162="MODERAT",AA1162="RIDICAT"),1,0)</x:f>
        <x:v>0</x:v>
      </x:c>
      <x:c r="AE1162" s="2" t="str">
        <x:f>IF(AD1162&lt;&gt;1,"NO",IF(W1162="PASS","YES",IF(W1162="OOS PENDING","CONDITIONAL","NO")))</x:f>
        <x:v>NO</x:v>
      </x:c>
      <x:c r="AF1162" s="2" t="n">
        <x:f>IF(AND(AD1162=1,AC1162=1,E1162="LIVE"),1,0)</x:f>
        <x:v>0</x:v>
      </x:c>
      <x:c r="AG1162" s="2" t="str">
        <x:f>IF(AF1162&lt;&gt;1,"",'Dashboard'!P108)</x:f>
      </x:c>
      <x:c r="AH1162" s="2" t="str">
        <x:f>IF(B1162="","",IF(J1162&lt;&gt;"PASS",'Motor_Meciuri'!J88,IF('Calibrare_Linii'!U14&lt;&gt;"VALID","Parametri linie invalizi",IF(L1162&gt;'Config_v6'!$B$13,"Dispersie peste limita",IF(W1162="WATCH","Failure peste limita",IF(AB1162&lt;'Config_v6'!$B$16,"P finala sub prag",IF(V1162&lt;'Config_v6'!$B$18,"Confidence sub prag",IF(E1162="REPLAY","Exemplu retrospectiv; exclus din Top LIVE",IF(Y1162="PASS","DEFENSIV validat",IF(W1162="OOS PENDING","Eligibil; calibrare linie in monitorizare","Eligibil"))))))))))</x:f>
      </x:c>
      <x:c r="AI1162" s="2" t="str">
        <x:f>IF(B1162="","",'Calibrare_Linii'!V14)</x:f>
      </x:c>
      <x:c r="AJ1162" s="2" t="str">
        <x:f>IF(B1162="","",IF(AND('Calibrare_Linii'!T14="VALIDATED",AND('Calibrare_Linii'!H14=C1162,ISNUMBER('Calibrare_Linii'!J14),'Calibrare_Linii'!J14&lt;='Input_Meci'!G88)),"DEFENSIVE VALIDATED",IF(AND('Calibrare_Linii'!S14="VALIDATED",AND('Calibrare_Linii'!H14=C1162,ISNUMBER('Calibrare_Linii'!J14),'Calibrare_Linii'!J14&lt;='Input_Meci'!G88)),"TAIL VALIDATED","OOS PENDING")))</x:f>
      </x:c>
      <x:c r="AK1162" s="2" t="n">
        <x:f>IF(J1162&lt;&gt;"PASS",0,'Motor_Meciuri'!BR88)</x:f>
        <x:v>0</x:v>
      </x:c>
      <x:c r="AL1162" s="2" t="n">
        <x:f>IF(J1162&lt;&gt;"PASS",0,'Motor_Meciuri'!BS88)</x:f>
        <x:v>0</x:v>
      </x:c>
      <x:c r="AM1162" s="2" t="n">
        <x:f>IF(J1162&lt;&gt;"PASS",0,'Motor_Meciuri'!BT88)</x:f>
        <x:v>0</x:v>
      </x:c>
      <x:c r="AN1162" s="2" t="str">
        <x:f>IF(M1162="","",MAX(0,'Motor_Meciuri'!BF88-IF(L1162&gt;'Config_v6'!$B$12,'Config_v6'!$B$37,IF(L1162&gt;'Config_v6'!$B$11,'Config_v6'!$B$36,0))))</x:f>
      </x:c>
    </x:row>
    <x:row r="1163" ht="21" customHeight="1">
      <x:c r="A1163" s="2" t="n">
        <x:v>83</x:v>
      </x:c>
      <x:c r="B1163" s="2" t="str">
        <x:f>IF('Motor_Meciuri'!A88="","",'Motor_Meciuri'!A88)</x:f>
      </x:c>
      <x:c r="C1163" s="2" t="str">
        <x:f>IF(B1163="","",'Motor_Meciuri'!B88)</x:f>
      </x:c>
      <x:c r="D1163" s="2" t="str">
        <x:f>IF(B1163="","",'Motor_Meciuri'!D88)</x:f>
      </x:c>
      <x:c r="E1163" s="2" t="str">
        <x:f>IF(B1163="","",'Motor_Meciuri'!E88)</x:f>
      </x:c>
      <x:c r="F1163" s="2" t="str">
        <x:v>U13,5</x:v>
      </x:c>
      <x:c r="G1163" s="2" t="str">
        <x:v>UNDER</x:v>
      </x:c>
      <x:c r="H1163" s="2" t="n">
        <x:v>13</x:v>
      </x:c>
      <x:c r="I1163" s="2" t="str">
        <x:f>IF(B1163="","",'Motor_Meciuri'!H88)</x:f>
      </x:c>
      <x:c r="J1163" s="2" t="str">
        <x:f>IF(B1163="","",'Motor_Meciuri'!I88)</x:f>
      </x:c>
      <x:c r="K1163" s="11" t="str">
        <x:f>IF(J1163&lt;&gt;"PASS","",'Motor_Meciuri'!BD88)</x:f>
      </x:c>
      <x:c r="L1163" s="11" t="str">
        <x:f>IF(J1163&lt;&gt;"PASS","",'Motor_Meciuri'!AU88)</x:f>
      </x:c>
      <x:c r="M1163" s="10" t="str">
        <x:f>IF(NOT(AND(J1163="PASS",'Calibrare_Linii'!U15="VALID")),"",'Distributie'!AK88)</x:f>
      </x:c>
      <x:c r="N1163" s="10" t="str">
        <x:f>IF(M1163="","",MAX(0.01,MIN(0.99,0.5+(M1163-0.5)*'Motor_Meciuri'!BG88*'Calibrare_Linii'!D15)))</x:f>
      </x:c>
      <x:c r="O1163" s="10" t="str">
        <x:f>IF(M1163="","",1-M1163)</x:f>
      </x:c>
      <x:c r="P1163" s="10" t="str">
        <x:f>IF(OR(NOT(AND(J1163="PASS",'Calibrare_Linii'!U15="VALID")),AK1163=0),""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*('Istoric_Nativ'!$Q$6:$Q$405&gt;H1163))/AK1163)</x:f>
      </x:c>
      <x:c r="Q1163" s="10" t="str">
        <x:f>IF(OR(NOT(AND(J1163="PASS",'Calibrare_Linii'!U15="VALID")),AL1163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M88)+((('Istoric_Nativ'!$E$6:$E$405='Input_Meci'!E88)+('Istoric_Nativ'!$F$6:$F$405='Input_Meci'!E88))&gt;0)*('Istoric_Nativ'!$D$6:$D$405&gt;='Motor_Meciuri'!BN88))&gt;0)*('Istoric_Nativ'!$Q$6:$Q$405&gt;H1163))/AL1163)</x:f>
      </x:c>
      <x:c r="R1163" s="10" t="str">
        <x:f>IF(OR(NOT(AND(J1163="PASS",'Calibrare_Linii'!U15="VALID")),AM1163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O88)+((('Istoric_Nativ'!$E$6:$E$405='Input_Meci'!E88)+('Istoric_Nativ'!$F$6:$F$405='Input_Meci'!E88))&gt;0)*('Istoric_Nativ'!$D$6:$D$405&gt;='Motor_Meciuri'!BP88))&gt;0)*('Istoric_Nativ'!$Q$6:$Q$405&gt;H1163))/AM1163)</x:f>
      </x:c>
      <x:c r="S1163" s="10" t="str">
        <x:f>IF(M1163="","",MAX(O1163,P1163,Q1163,R1163))</x:f>
      </x:c>
      <x:c r="T1163" s="11" t="str">
        <x:f>IF(M1163="","",MIN(100,S1163*100*'Config_v6'!$B$44+MIN(100,L1163/'Config_v6'!$B$13*100)*'Config_v6'!$B$45+(100-'Motor_Meciuri'!BF88)*'Config_v6'!$B$46+'Motor_Meciuri'!BH88*100*'Config_v6'!$B$47))</x:f>
      </x:c>
      <x:c r="U1163" s="2" t="str">
        <x:f>IF(T1163="","",IF(T1163&lt;=20,1,IF(T1163&lt;=40,2,IF(T1163&lt;=60,3,IF(T1163&lt;=80,4,5)))))</x:f>
      </x:c>
      <x:c r="V1163" s="2" t="str">
        <x:f>IF(M1163="","",MAX(0,'Motor_Meciuri'!BF88-IF(W1163="OOS PENDING",'Config_v6'!$B$35,0)-IF(L1163&gt;'Config_v6'!$B$12,'Config_v6'!$B$37,IF(L1163&gt;'Config_v6'!$B$11,'Config_v6'!$B$36,0))))</x:f>
      </x:c>
      <x:c r="W1163" s="2" t="str">
        <x:f>IF(B1163="","",IF(I1163&lt;&gt;"READY","NOT RELEASED",IF(NOT(AND(J1163="PASS",'Calibrare_Linii'!U15="VALID")),"INVALID",IF(NOT(AND('Calibrare_Linii'!S15="VALIDATED",AND('Calibrare_Linii'!H15=C1163,ISNUMBER('Calibrare_Linii'!J15),'Calibrare_Linii'!J15&lt;='Input_Meci'!G88))),"OOS PENDING",IF(S1163&lt;='Calibrare_Linii'!E15,"PASS",IF(S1163&lt;='Calibrare_Linii'!F15,"PENALTY","WATCH"))))))</x:f>
      </x:c>
      <x:c r="X1163" s="2" t="str">
        <x:f>IF(M1163="","",IF(AND(AND(J1163="PASS",'Calibrare_Linii'!U15="VALID"),'Motor_Meciuri'!K88=12,'Motor_Meciuri'!L88=12,'Motor_Meciuri'!M88="NO",'Motor_Meciuri'!BL88='Motor_Meciuri'!C88,AB1163&gt;='Config_v6'!$B$50,AN1163&gt;='Config_v6'!$B$51,T1163&lt;='Config_v6'!$B$52,L1163&lt;='Config_v6'!$B$53,ISNUMBER('Calibrare_Linii'!E15),S1163&lt;='Calibrare_Linii'!E15,SUM(AK1163:AM1163)&gt;0),"CANDIDATE","NO"))</x:f>
      </x:c>
      <x:c r="Y1163" s="2" t="str">
        <x:f>IF(B1163="","",IF(I1163&lt;&gt;"READY","NOT RELEASED",IF(AND(X1163="CANDIDATE",V1163&gt;='Config_v6'!$B$51,W1163="PASS",'Calibrare_Linii'!T15="VALIDATED",AND('Calibrare_Linii'!H15=C1163,ISNUMBER('Calibrare_Linii'!J15),'Calibrare_Linii'!J15&lt;='Input_Meci'!G88)),"PASS",IF(X1163="CANDIDATE","OOS PENDING","FAIL"))))</x:f>
      </x:c>
      <x:c r="Z1163" s="2" t="str">
        <x:f>IF(B1163="","",IF(I1163&lt;&gt;"READY","",IF(OR(NOT(AND(J1163="PASS",'Calibrare_Linii'!U15="VALID")),L1163&gt;'Config_v6'!$B$13,W1163="WATCH"),5,IF(Y1163="PASS",1,MIN(5,MAX('Config_v6'!$B$42,U1163)+IF(W1163="PENALTY",1,0))))))</x:f>
      </x:c>
      <x:c r="AA1163" s="2" t="str">
        <x:f>IF(B1163="","",IF(I1163&lt;&gt;"READY","NOT RELEASED",IF(Z1163=5,"NO BET",IF(OR(AB1163&lt;'Config_v6'!$B$16,V1163&lt;'Config_v6'!$B$18),"WATCH",IF(Z1163=1,"DEFENSIV",IF(Z1163=2,"PRUDENT",IF(Z1163=3,"MODERAT","RIDICAT")))))))</x:f>
      </x:c>
      <x:c r="AB1163" s="10" t="str">
        <x:f>IF(N1163="","",MIN(N1163,1-S1163))</x:f>
      </x:c>
      <x:c r="AC1163" s="2" t="str">
        <x:f>IF(AD1163&lt;&gt;1,"",COUNTIFS($Z$1154:$Z$1167,"&lt;"&amp;Z1163,$AD$1154:$AD$1167,1)+COUNTIFS($Z$1154:$Z$1167,Z1163,$AB$1154:$AB$1167,"&gt;"&amp;AB1163,$AD$1154:$AD$1167,1)+COUNTIFS($Z$1154:$Z$1167,Z1163,$AB$1154:$AB$1167,AB1163,$V$1154:$V$1167,"&gt;"&amp;V1163,$AD$1154:$AD$1167,1)+COUNTIFS($Z$1154:Z1163,Z1163,$AB$1154:AB1163,AB1163,$V$1154:V1163,V1163,$AD$1154:AD1163,1))</x:f>
      </x:c>
      <x:c r="AD1163" s="2" t="n">
        <x:f>IF(OR(AA1163="DEFENSIV",AA1163="PRUDENT",AA1163="MODERAT",AA1163="RIDICAT"),1,0)</x:f>
        <x:v>0</x:v>
      </x:c>
      <x:c r="AE1163" s="2" t="str">
        <x:f>IF(AD1163&lt;&gt;1,"NO",IF(W1163="PASS","YES",IF(W1163="OOS PENDING","CONDITIONAL","NO")))</x:f>
        <x:v>NO</x:v>
      </x:c>
      <x:c r="AF1163" s="2" t="n">
        <x:f>IF(AND(AD1163=1,AC1163=1,E1163="LIVE"),1,0)</x:f>
        <x:v>0</x:v>
      </x:c>
      <x:c r="AG1163" s="2" t="str">
        <x:f>IF(AF1163&lt;&gt;1,"",'Dashboard'!P108)</x:f>
      </x:c>
      <x:c r="AH1163" s="2" t="str">
        <x:f>IF(B1163="","",IF(J1163&lt;&gt;"PASS",'Motor_Meciuri'!J88,IF('Calibrare_Linii'!U15&lt;&gt;"VALID","Parametri linie invalizi",IF(L1163&gt;'Config_v6'!$B$13,"Dispersie peste limita",IF(W1163="WATCH","Failure peste limita",IF(AB1163&lt;'Config_v6'!$B$16,"P finala sub prag",IF(V1163&lt;'Config_v6'!$B$18,"Confidence sub prag",IF(E1163="REPLAY","Exemplu retrospectiv; exclus din Top LIVE",IF(Y1163="PASS","DEFENSIV validat",IF(W1163="OOS PENDING","Eligibil; calibrare linie in monitorizare","Eligibil"))))))))))</x:f>
      </x:c>
      <x:c r="AI1163" s="2" t="str">
        <x:f>IF(B1163="","",'Calibrare_Linii'!V15)</x:f>
      </x:c>
      <x:c r="AJ1163" s="2" t="str">
        <x:f>IF(B1163="","",IF(AND('Calibrare_Linii'!T15="VALIDATED",AND('Calibrare_Linii'!H15=C1163,ISNUMBER('Calibrare_Linii'!J15),'Calibrare_Linii'!J15&lt;='Input_Meci'!G88)),"DEFENSIVE VALIDATED",IF(AND('Calibrare_Linii'!S15="VALIDATED",AND('Calibrare_Linii'!H15=C1163,ISNUMBER('Calibrare_Linii'!J15),'Calibrare_Linii'!J15&lt;='Input_Meci'!G88)),"TAIL VALIDATED","OOS PENDING")))</x:f>
      </x:c>
      <x:c r="AK1163" s="2" t="n">
        <x:f>IF(J1163&lt;&gt;"PASS",0,'Motor_Meciuri'!BR88)</x:f>
        <x:v>0</x:v>
      </x:c>
      <x:c r="AL1163" s="2" t="n">
        <x:f>IF(J1163&lt;&gt;"PASS",0,'Motor_Meciuri'!BS88)</x:f>
        <x:v>0</x:v>
      </x:c>
      <x:c r="AM1163" s="2" t="n">
        <x:f>IF(J1163&lt;&gt;"PASS",0,'Motor_Meciuri'!BT88)</x:f>
        <x:v>0</x:v>
      </x:c>
      <x:c r="AN1163" s="2" t="str">
        <x:f>IF(M1163="","",MAX(0,'Motor_Meciuri'!BF88-IF(L1163&gt;'Config_v6'!$B$12,'Config_v6'!$B$37,IF(L1163&gt;'Config_v6'!$B$11,'Config_v6'!$B$36,0))))</x:f>
      </x:c>
    </x:row>
    <x:row r="1164" ht="21" customHeight="1">
      <x:c r="A1164" s="2" t="n">
        <x:v>83</x:v>
      </x:c>
      <x:c r="B1164" s="2" t="str">
        <x:f>IF('Motor_Meciuri'!A88="","",'Motor_Meciuri'!A88)</x:f>
      </x:c>
      <x:c r="C1164" s="2" t="str">
        <x:f>IF(B1164="","",'Motor_Meciuri'!B88)</x:f>
      </x:c>
      <x:c r="D1164" s="2" t="str">
        <x:f>IF(B1164="","",'Motor_Meciuri'!D88)</x:f>
      </x:c>
      <x:c r="E1164" s="2" t="str">
        <x:f>IF(B1164="","",'Motor_Meciuri'!E88)</x:f>
      </x:c>
      <x:c r="F1164" s="2" t="str">
        <x:v>U14,5</x:v>
      </x:c>
      <x:c r="G1164" s="2" t="str">
        <x:v>UNDER</x:v>
      </x:c>
      <x:c r="H1164" s="2" t="n">
        <x:v>14</x:v>
      </x:c>
      <x:c r="I1164" s="2" t="str">
        <x:f>IF(B1164="","",'Motor_Meciuri'!H88)</x:f>
      </x:c>
      <x:c r="J1164" s="2" t="str">
        <x:f>IF(B1164="","",'Motor_Meciuri'!I88)</x:f>
      </x:c>
      <x:c r="K1164" s="11" t="str">
        <x:f>IF(J1164&lt;&gt;"PASS","",'Motor_Meciuri'!BD88)</x:f>
      </x:c>
      <x:c r="L1164" s="11" t="str">
        <x:f>IF(J1164&lt;&gt;"PASS","",'Motor_Meciuri'!AU88)</x:f>
      </x:c>
      <x:c r="M1164" s="10" t="str">
        <x:f>IF(NOT(AND(J1164="PASS",'Calibrare_Linii'!U16="VALID")),"",'Distributie'!AL88)</x:f>
      </x:c>
      <x:c r="N1164" s="10" t="str">
        <x:f>IF(M1164="","",MAX(0.01,MIN(0.99,0.5+(M1164-0.5)*'Motor_Meciuri'!BG88*'Calibrare_Linii'!D16)))</x:f>
      </x:c>
      <x:c r="O1164" s="10" t="str">
        <x:f>IF(M1164="","",1-M1164)</x:f>
      </x:c>
      <x:c r="P1164" s="10" t="str">
        <x:f>IF(OR(NOT(AND(J1164="PASS",'Calibrare_Linii'!U16="VALID")),AK1164=0),""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*('Istoric_Nativ'!$Q$6:$Q$405&gt;H1164))/AK1164)</x:f>
      </x:c>
      <x:c r="Q1164" s="10" t="str">
        <x:f>IF(OR(NOT(AND(J1164="PASS",'Calibrare_Linii'!U16="VALID")),AL1164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M88)+((('Istoric_Nativ'!$E$6:$E$405='Input_Meci'!E88)+('Istoric_Nativ'!$F$6:$F$405='Input_Meci'!E88))&gt;0)*('Istoric_Nativ'!$D$6:$D$405&gt;='Motor_Meciuri'!BN88))&gt;0)*('Istoric_Nativ'!$Q$6:$Q$405&gt;H1164))/AL1164)</x:f>
      </x:c>
      <x:c r="R1164" s="10" t="str">
        <x:f>IF(OR(NOT(AND(J1164="PASS",'Calibrare_Linii'!U16="VALID")),AM1164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O88)+((('Istoric_Nativ'!$E$6:$E$405='Input_Meci'!E88)+('Istoric_Nativ'!$F$6:$F$405='Input_Meci'!E88))&gt;0)*('Istoric_Nativ'!$D$6:$D$405&gt;='Motor_Meciuri'!BP88))&gt;0)*('Istoric_Nativ'!$Q$6:$Q$405&gt;H1164))/AM1164)</x:f>
      </x:c>
      <x:c r="S1164" s="10" t="str">
        <x:f>IF(M1164="","",MAX(O1164,P1164,Q1164,R1164))</x:f>
      </x:c>
      <x:c r="T1164" s="11" t="str">
        <x:f>IF(M1164="","",MIN(100,S1164*100*'Config_v6'!$B$44+MIN(100,L1164/'Config_v6'!$B$13*100)*'Config_v6'!$B$45+(100-'Motor_Meciuri'!BF88)*'Config_v6'!$B$46+'Motor_Meciuri'!BH88*100*'Config_v6'!$B$47))</x:f>
      </x:c>
      <x:c r="U1164" s="2" t="str">
        <x:f>IF(T1164="","",IF(T1164&lt;=20,1,IF(T1164&lt;=40,2,IF(T1164&lt;=60,3,IF(T1164&lt;=80,4,5)))))</x:f>
      </x:c>
      <x:c r="V1164" s="2" t="str">
        <x:f>IF(M1164="","",MAX(0,'Motor_Meciuri'!BF88-IF(W1164="OOS PENDING",'Config_v6'!$B$35,0)-IF(L1164&gt;'Config_v6'!$B$12,'Config_v6'!$B$37,IF(L1164&gt;'Config_v6'!$B$11,'Config_v6'!$B$36,0))))</x:f>
      </x:c>
      <x:c r="W1164" s="2" t="str">
        <x:f>IF(B1164="","",IF(I1164&lt;&gt;"READY","NOT RELEASED",IF(NOT(AND(J1164="PASS",'Calibrare_Linii'!U16="VALID")),"INVALID",IF(NOT(AND('Calibrare_Linii'!S16="VALIDATED",AND('Calibrare_Linii'!H16=C1164,ISNUMBER('Calibrare_Linii'!J16),'Calibrare_Linii'!J16&lt;='Input_Meci'!G88))),"OOS PENDING",IF(S1164&lt;='Calibrare_Linii'!E16,"PASS",IF(S1164&lt;='Calibrare_Linii'!F16,"PENALTY","WATCH"))))))</x:f>
      </x:c>
      <x:c r="X1164" s="2" t="str">
        <x:f>IF(M1164="","",IF(AND(AND(J1164="PASS",'Calibrare_Linii'!U16="VALID"),'Motor_Meciuri'!K88=12,'Motor_Meciuri'!L88=12,'Motor_Meciuri'!M88="NO",'Motor_Meciuri'!BL88='Motor_Meciuri'!C88,AB1164&gt;='Config_v6'!$B$50,AN1164&gt;='Config_v6'!$B$51,T1164&lt;='Config_v6'!$B$52,L1164&lt;='Config_v6'!$B$53,ISNUMBER('Calibrare_Linii'!E16),S1164&lt;='Calibrare_Linii'!E16,SUM(AK1164:AM1164)&gt;0),"CANDIDATE","NO"))</x:f>
      </x:c>
      <x:c r="Y1164" s="2" t="str">
        <x:f>IF(B1164="","",IF(I1164&lt;&gt;"READY","NOT RELEASED",IF(AND(X1164="CANDIDATE",V1164&gt;='Config_v6'!$B$51,W1164="PASS",'Calibrare_Linii'!T16="VALIDATED",AND('Calibrare_Linii'!H16=C1164,ISNUMBER('Calibrare_Linii'!J16),'Calibrare_Linii'!J16&lt;='Input_Meci'!G88)),"PASS",IF(X1164="CANDIDATE","OOS PENDING","FAIL"))))</x:f>
      </x:c>
      <x:c r="Z1164" s="2" t="str">
        <x:f>IF(B1164="","",IF(I1164&lt;&gt;"READY","",IF(OR(NOT(AND(J1164="PASS",'Calibrare_Linii'!U16="VALID")),L1164&gt;'Config_v6'!$B$13,W1164="WATCH"),5,IF(Y1164="PASS",1,MIN(5,MAX('Config_v6'!$B$42,U1164)+IF(W1164="PENALTY",1,0))))))</x:f>
      </x:c>
      <x:c r="AA1164" s="2" t="str">
        <x:f>IF(B1164="","",IF(I1164&lt;&gt;"READY","NOT RELEASED",IF(Z1164=5,"NO BET",IF(OR(AB1164&lt;'Config_v6'!$B$16,V1164&lt;'Config_v6'!$B$18),"WATCH",IF(Z1164=1,"DEFENSIV",IF(Z1164=2,"PRUDENT",IF(Z1164=3,"MODERAT","RIDICAT")))))))</x:f>
      </x:c>
      <x:c r="AB1164" s="10" t="str">
        <x:f>IF(N1164="","",MIN(N1164,1-S1164))</x:f>
      </x:c>
      <x:c r="AC1164" s="2" t="str">
        <x:f>IF(AD1164&lt;&gt;1,"",COUNTIFS($Z$1154:$Z$1167,"&lt;"&amp;Z1164,$AD$1154:$AD$1167,1)+COUNTIFS($Z$1154:$Z$1167,Z1164,$AB$1154:$AB$1167,"&gt;"&amp;AB1164,$AD$1154:$AD$1167,1)+COUNTIFS($Z$1154:$Z$1167,Z1164,$AB$1154:$AB$1167,AB1164,$V$1154:$V$1167,"&gt;"&amp;V1164,$AD$1154:$AD$1167,1)+COUNTIFS($Z$1154:Z1164,Z1164,$AB$1154:AB1164,AB1164,$V$1154:V1164,V1164,$AD$1154:AD1164,1))</x:f>
      </x:c>
      <x:c r="AD1164" s="2" t="n">
        <x:f>IF(OR(AA1164="DEFENSIV",AA1164="PRUDENT",AA1164="MODERAT",AA1164="RIDICAT"),1,0)</x:f>
        <x:v>0</x:v>
      </x:c>
      <x:c r="AE1164" s="2" t="str">
        <x:f>IF(AD1164&lt;&gt;1,"NO",IF(W1164="PASS","YES",IF(W1164="OOS PENDING","CONDITIONAL","NO")))</x:f>
        <x:v>NO</x:v>
      </x:c>
      <x:c r="AF1164" s="2" t="n">
        <x:f>IF(AND(AD1164=1,AC1164=1,E1164="LIVE"),1,0)</x:f>
        <x:v>0</x:v>
      </x:c>
      <x:c r="AG1164" s="2" t="str">
        <x:f>IF(AF1164&lt;&gt;1,"",'Dashboard'!P108)</x:f>
      </x:c>
      <x:c r="AH1164" s="2" t="str">
        <x:f>IF(B1164="","",IF(J1164&lt;&gt;"PASS",'Motor_Meciuri'!J88,IF('Calibrare_Linii'!U16&lt;&gt;"VALID","Parametri linie invalizi",IF(L1164&gt;'Config_v6'!$B$13,"Dispersie peste limita",IF(W1164="WATCH","Failure peste limita",IF(AB1164&lt;'Config_v6'!$B$16,"P finala sub prag",IF(V1164&lt;'Config_v6'!$B$18,"Confidence sub prag",IF(E1164="REPLAY","Exemplu retrospectiv; exclus din Top LIVE",IF(Y1164="PASS","DEFENSIV validat",IF(W1164="OOS PENDING","Eligibil; calibrare linie in monitorizare","Eligibil"))))))))))</x:f>
      </x:c>
      <x:c r="AI1164" s="2" t="str">
        <x:f>IF(B1164="","",'Calibrare_Linii'!V16)</x:f>
      </x:c>
      <x:c r="AJ1164" s="2" t="str">
        <x:f>IF(B1164="","",IF(AND('Calibrare_Linii'!T16="VALIDATED",AND('Calibrare_Linii'!H16=C1164,ISNUMBER('Calibrare_Linii'!J16),'Calibrare_Linii'!J16&lt;='Input_Meci'!G88)),"DEFENSIVE VALIDATED",IF(AND('Calibrare_Linii'!S16="VALIDATED",AND('Calibrare_Linii'!H16=C1164,ISNUMBER('Calibrare_Linii'!J16),'Calibrare_Linii'!J16&lt;='Input_Meci'!G88)),"TAIL VALIDATED","OOS PENDING")))</x:f>
      </x:c>
      <x:c r="AK1164" s="2" t="n">
        <x:f>IF(J1164&lt;&gt;"PASS",0,'Motor_Meciuri'!BR88)</x:f>
        <x:v>0</x:v>
      </x:c>
      <x:c r="AL1164" s="2" t="n">
        <x:f>IF(J1164&lt;&gt;"PASS",0,'Motor_Meciuri'!BS88)</x:f>
        <x:v>0</x:v>
      </x:c>
      <x:c r="AM1164" s="2" t="n">
        <x:f>IF(J1164&lt;&gt;"PASS",0,'Motor_Meciuri'!BT88)</x:f>
        <x:v>0</x:v>
      </x:c>
      <x:c r="AN1164" s="2" t="str">
        <x:f>IF(M1164="","",MAX(0,'Motor_Meciuri'!BF88-IF(L1164&gt;'Config_v6'!$B$12,'Config_v6'!$B$37,IF(L1164&gt;'Config_v6'!$B$11,'Config_v6'!$B$36,0))))</x:f>
      </x:c>
    </x:row>
    <x:row r="1165" ht="21" customHeight="1">
      <x:c r="A1165" s="2" t="n">
        <x:v>83</x:v>
      </x:c>
      <x:c r="B1165" s="2" t="str">
        <x:f>IF('Motor_Meciuri'!A88="","",'Motor_Meciuri'!A88)</x:f>
      </x:c>
      <x:c r="C1165" s="2" t="str">
        <x:f>IF(B1165="","",'Motor_Meciuri'!B88)</x:f>
      </x:c>
      <x:c r="D1165" s="2" t="str">
        <x:f>IF(B1165="","",'Motor_Meciuri'!D88)</x:f>
      </x:c>
      <x:c r="E1165" s="2" t="str">
        <x:f>IF(B1165="","",'Motor_Meciuri'!E88)</x:f>
      </x:c>
      <x:c r="F1165" s="2" t="str">
        <x:v>U15,5</x:v>
      </x:c>
      <x:c r="G1165" s="2" t="str">
        <x:v>UNDER</x:v>
      </x:c>
      <x:c r="H1165" s="2" t="n">
        <x:v>15</x:v>
      </x:c>
      <x:c r="I1165" s="2" t="str">
        <x:f>IF(B1165="","",'Motor_Meciuri'!H88)</x:f>
      </x:c>
      <x:c r="J1165" s="2" t="str">
        <x:f>IF(B1165="","",'Motor_Meciuri'!I88)</x:f>
      </x:c>
      <x:c r="K1165" s="11" t="str">
        <x:f>IF(J1165&lt;&gt;"PASS","",'Motor_Meciuri'!BD88)</x:f>
      </x:c>
      <x:c r="L1165" s="11" t="str">
        <x:f>IF(J1165&lt;&gt;"PASS","",'Motor_Meciuri'!AU88)</x:f>
      </x:c>
      <x:c r="M1165" s="10" t="str">
        <x:f>IF(NOT(AND(J1165="PASS",'Calibrare_Linii'!U17="VALID")),"",'Distributie'!AM88)</x:f>
      </x:c>
      <x:c r="N1165" s="10" t="str">
        <x:f>IF(M1165="","",MAX(0.01,MIN(0.99,0.5+(M1165-0.5)*'Motor_Meciuri'!BG88*'Calibrare_Linii'!D17)))</x:f>
      </x:c>
      <x:c r="O1165" s="10" t="str">
        <x:f>IF(M1165="","",1-M1165)</x:f>
      </x:c>
      <x:c r="P1165" s="10" t="str">
        <x:f>IF(OR(NOT(AND(J1165="PASS",'Calibrare_Linii'!U17="VALID")),AK1165=0),""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*('Istoric_Nativ'!$Q$6:$Q$405&gt;H1165))/AK1165)</x:f>
      </x:c>
      <x:c r="Q1165" s="10" t="str">
        <x:f>IF(OR(NOT(AND(J1165="PASS",'Calibrare_Linii'!U17="VALID")),AL1165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M88)+((('Istoric_Nativ'!$E$6:$E$405='Input_Meci'!E88)+('Istoric_Nativ'!$F$6:$F$405='Input_Meci'!E88))&gt;0)*('Istoric_Nativ'!$D$6:$D$405&gt;='Motor_Meciuri'!BN88))&gt;0)*('Istoric_Nativ'!$Q$6:$Q$405&gt;H1165))/AL1165)</x:f>
      </x:c>
      <x:c r="R1165" s="10" t="str">
        <x:f>IF(OR(NOT(AND(J1165="PASS",'Calibrare_Linii'!U17="VALID")),AM1165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O88)+((('Istoric_Nativ'!$E$6:$E$405='Input_Meci'!E88)+('Istoric_Nativ'!$F$6:$F$405='Input_Meci'!E88))&gt;0)*('Istoric_Nativ'!$D$6:$D$405&gt;='Motor_Meciuri'!BP88))&gt;0)*('Istoric_Nativ'!$Q$6:$Q$405&gt;H1165))/AM1165)</x:f>
      </x:c>
      <x:c r="S1165" s="10" t="str">
        <x:f>IF(M1165="","",MAX(O1165,P1165,Q1165,R1165))</x:f>
      </x:c>
      <x:c r="T1165" s="11" t="str">
        <x:f>IF(M1165="","",MIN(100,S1165*100*'Config_v6'!$B$44+MIN(100,L1165/'Config_v6'!$B$13*100)*'Config_v6'!$B$45+(100-'Motor_Meciuri'!BF88)*'Config_v6'!$B$46+'Motor_Meciuri'!BH88*100*'Config_v6'!$B$47))</x:f>
      </x:c>
      <x:c r="U1165" s="2" t="str">
        <x:f>IF(T1165="","",IF(T1165&lt;=20,1,IF(T1165&lt;=40,2,IF(T1165&lt;=60,3,IF(T1165&lt;=80,4,5)))))</x:f>
      </x:c>
      <x:c r="V1165" s="2" t="str">
        <x:f>IF(M1165="","",MAX(0,'Motor_Meciuri'!BF88-IF(W1165="OOS PENDING",'Config_v6'!$B$35,0)-IF(L1165&gt;'Config_v6'!$B$12,'Config_v6'!$B$37,IF(L1165&gt;'Config_v6'!$B$11,'Config_v6'!$B$36,0))))</x:f>
      </x:c>
      <x:c r="W1165" s="2" t="str">
        <x:f>IF(B1165="","",IF(I1165&lt;&gt;"READY","NOT RELEASED",IF(NOT(AND(J1165="PASS",'Calibrare_Linii'!U17="VALID")),"INVALID",IF(NOT(AND('Calibrare_Linii'!S17="VALIDATED",AND('Calibrare_Linii'!H17=C1165,ISNUMBER('Calibrare_Linii'!J17),'Calibrare_Linii'!J17&lt;='Input_Meci'!G88))),"OOS PENDING",IF(S1165&lt;='Calibrare_Linii'!E17,"PASS",IF(S1165&lt;='Calibrare_Linii'!F17,"PENALTY","WATCH"))))))</x:f>
      </x:c>
      <x:c r="X1165" s="2" t="str">
        <x:f>IF(M1165="","",IF(AND(AND(J1165="PASS",'Calibrare_Linii'!U17="VALID"),'Motor_Meciuri'!K88=12,'Motor_Meciuri'!L88=12,'Motor_Meciuri'!M88="NO",'Motor_Meciuri'!BL88='Motor_Meciuri'!C88,AB1165&gt;='Config_v6'!$B$50,AN1165&gt;='Config_v6'!$B$51,T1165&lt;='Config_v6'!$B$52,L1165&lt;='Config_v6'!$B$53,ISNUMBER('Calibrare_Linii'!E17),S1165&lt;='Calibrare_Linii'!E17,SUM(AK1165:AM1165)&gt;0),"CANDIDATE","NO"))</x:f>
      </x:c>
      <x:c r="Y1165" s="2" t="str">
        <x:f>IF(B1165="","",IF(I1165&lt;&gt;"READY","NOT RELEASED",IF(AND(X1165="CANDIDATE",V1165&gt;='Config_v6'!$B$51,W1165="PASS",'Calibrare_Linii'!T17="VALIDATED",AND('Calibrare_Linii'!H17=C1165,ISNUMBER('Calibrare_Linii'!J17),'Calibrare_Linii'!J17&lt;='Input_Meci'!G88)),"PASS",IF(X1165="CANDIDATE","OOS PENDING","FAIL"))))</x:f>
      </x:c>
      <x:c r="Z1165" s="2" t="str">
        <x:f>IF(B1165="","",IF(I1165&lt;&gt;"READY","",IF(OR(NOT(AND(J1165="PASS",'Calibrare_Linii'!U17="VALID")),L1165&gt;'Config_v6'!$B$13,W1165="WATCH"),5,IF(Y1165="PASS",1,MIN(5,MAX('Config_v6'!$B$42,U1165)+IF(W1165="PENALTY",1,0))))))</x:f>
      </x:c>
      <x:c r="AA1165" s="2" t="str">
        <x:f>IF(B1165="","",IF(I1165&lt;&gt;"READY","NOT RELEASED",IF(Z1165=5,"NO BET",IF(OR(AB1165&lt;'Config_v6'!$B$16,V1165&lt;'Config_v6'!$B$18),"WATCH",IF(Z1165=1,"DEFENSIV",IF(Z1165=2,"PRUDENT",IF(Z1165=3,"MODERAT","RIDICAT")))))))</x:f>
      </x:c>
      <x:c r="AB1165" s="10" t="str">
        <x:f>IF(N1165="","",MIN(N1165,1-S1165))</x:f>
      </x:c>
      <x:c r="AC1165" s="2" t="str">
        <x:f>IF(AD1165&lt;&gt;1,"",COUNTIFS($Z$1154:$Z$1167,"&lt;"&amp;Z1165,$AD$1154:$AD$1167,1)+COUNTIFS($Z$1154:$Z$1167,Z1165,$AB$1154:$AB$1167,"&gt;"&amp;AB1165,$AD$1154:$AD$1167,1)+COUNTIFS($Z$1154:$Z$1167,Z1165,$AB$1154:$AB$1167,AB1165,$V$1154:$V$1167,"&gt;"&amp;V1165,$AD$1154:$AD$1167,1)+COUNTIFS($Z$1154:Z1165,Z1165,$AB$1154:AB1165,AB1165,$V$1154:V1165,V1165,$AD$1154:AD1165,1))</x:f>
      </x:c>
      <x:c r="AD1165" s="2" t="n">
        <x:f>IF(OR(AA1165="DEFENSIV",AA1165="PRUDENT",AA1165="MODERAT",AA1165="RIDICAT"),1,0)</x:f>
        <x:v>0</x:v>
      </x:c>
      <x:c r="AE1165" s="2" t="str">
        <x:f>IF(AD1165&lt;&gt;1,"NO",IF(W1165="PASS","YES",IF(W1165="OOS PENDING","CONDITIONAL","NO")))</x:f>
        <x:v>NO</x:v>
      </x:c>
      <x:c r="AF1165" s="2" t="n">
        <x:f>IF(AND(AD1165=1,AC1165=1,E1165="LIVE"),1,0)</x:f>
        <x:v>0</x:v>
      </x:c>
      <x:c r="AG1165" s="2" t="str">
        <x:f>IF(AF1165&lt;&gt;1,"",'Dashboard'!P108)</x:f>
      </x:c>
      <x:c r="AH1165" s="2" t="str">
        <x:f>IF(B1165="","",IF(J1165&lt;&gt;"PASS",'Motor_Meciuri'!J88,IF('Calibrare_Linii'!U17&lt;&gt;"VALID","Parametri linie invalizi",IF(L1165&gt;'Config_v6'!$B$13,"Dispersie peste limita",IF(W1165="WATCH","Failure peste limita",IF(AB1165&lt;'Config_v6'!$B$16,"P finala sub prag",IF(V1165&lt;'Config_v6'!$B$18,"Confidence sub prag",IF(E1165="REPLAY","Exemplu retrospectiv; exclus din Top LIVE",IF(Y1165="PASS","DEFENSIV validat",IF(W1165="OOS PENDING","Eligibil; calibrare linie in monitorizare","Eligibil"))))))))))</x:f>
      </x:c>
      <x:c r="AI1165" s="2" t="str">
        <x:f>IF(B1165="","",'Calibrare_Linii'!V17)</x:f>
      </x:c>
      <x:c r="AJ1165" s="2" t="str">
        <x:f>IF(B1165="","",IF(AND('Calibrare_Linii'!T17="VALIDATED",AND('Calibrare_Linii'!H17=C1165,ISNUMBER('Calibrare_Linii'!J17),'Calibrare_Linii'!J17&lt;='Input_Meci'!G88)),"DEFENSIVE VALIDATED",IF(AND('Calibrare_Linii'!S17="VALIDATED",AND('Calibrare_Linii'!H17=C1165,ISNUMBER('Calibrare_Linii'!J17),'Calibrare_Linii'!J17&lt;='Input_Meci'!G88)),"TAIL VALIDATED","OOS PENDING")))</x:f>
      </x:c>
      <x:c r="AK1165" s="2" t="n">
        <x:f>IF(J1165&lt;&gt;"PASS",0,'Motor_Meciuri'!BR88)</x:f>
        <x:v>0</x:v>
      </x:c>
      <x:c r="AL1165" s="2" t="n">
        <x:f>IF(J1165&lt;&gt;"PASS",0,'Motor_Meciuri'!BS88)</x:f>
        <x:v>0</x:v>
      </x:c>
      <x:c r="AM1165" s="2" t="n">
        <x:f>IF(J1165&lt;&gt;"PASS",0,'Motor_Meciuri'!BT88)</x:f>
        <x:v>0</x:v>
      </x:c>
      <x:c r="AN1165" s="2" t="str">
        <x:f>IF(M1165="","",MAX(0,'Motor_Meciuri'!BF88-IF(L1165&gt;'Config_v6'!$B$12,'Config_v6'!$B$37,IF(L1165&gt;'Config_v6'!$B$11,'Config_v6'!$B$36,0))))</x:f>
      </x:c>
    </x:row>
    <x:row r="1166" ht="21" customHeight="1">
      <x:c r="A1166" s="2" t="n">
        <x:v>83</x:v>
      </x:c>
      <x:c r="B1166" s="2" t="str">
        <x:f>IF('Motor_Meciuri'!A88="","",'Motor_Meciuri'!A88)</x:f>
      </x:c>
      <x:c r="C1166" s="2" t="str">
        <x:f>IF(B1166="","",'Motor_Meciuri'!B88)</x:f>
      </x:c>
      <x:c r="D1166" s="2" t="str">
        <x:f>IF(B1166="","",'Motor_Meciuri'!D88)</x:f>
      </x:c>
      <x:c r="E1166" s="2" t="str">
        <x:f>IF(B1166="","",'Motor_Meciuri'!E88)</x:f>
      </x:c>
      <x:c r="F1166" s="2" t="str">
        <x:v>U16,5</x:v>
      </x:c>
      <x:c r="G1166" s="2" t="str">
        <x:v>UNDER</x:v>
      </x:c>
      <x:c r="H1166" s="2" t="n">
        <x:v>16</x:v>
      </x:c>
      <x:c r="I1166" s="2" t="str">
        <x:f>IF(B1166="","",'Motor_Meciuri'!H88)</x:f>
      </x:c>
      <x:c r="J1166" s="2" t="str">
        <x:f>IF(B1166="","",'Motor_Meciuri'!I88)</x:f>
      </x:c>
      <x:c r="K1166" s="11" t="str">
        <x:f>IF(J1166&lt;&gt;"PASS","",'Motor_Meciuri'!BD88)</x:f>
      </x:c>
      <x:c r="L1166" s="11" t="str">
        <x:f>IF(J1166&lt;&gt;"PASS","",'Motor_Meciuri'!AU88)</x:f>
      </x:c>
      <x:c r="M1166" s="10" t="str">
        <x:f>IF(NOT(AND(J1166="PASS",'Calibrare_Linii'!U18="VALID")),"",'Distributie'!AN88)</x:f>
      </x:c>
      <x:c r="N1166" s="10" t="str">
        <x:f>IF(M1166="","",MAX(0.01,MIN(0.99,0.5+(M1166-0.5)*'Motor_Meciuri'!BG88*'Calibrare_Linii'!D18)))</x:f>
      </x:c>
      <x:c r="O1166" s="10" t="str">
        <x:f>IF(M1166="","",1-M1166)</x:f>
      </x:c>
      <x:c r="P1166" s="10" t="str">
        <x:f>IF(OR(NOT(AND(J1166="PASS",'Calibrare_Linii'!U18="VALID")),AK1166=0),""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*('Istoric_Nativ'!$Q$6:$Q$405&gt;H1166))/AK1166)</x:f>
      </x:c>
      <x:c r="Q1166" s="10" t="str">
        <x:f>IF(OR(NOT(AND(J1166="PASS",'Calibrare_Linii'!U18="VALID")),AL1166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M88)+((('Istoric_Nativ'!$E$6:$E$405='Input_Meci'!E88)+('Istoric_Nativ'!$F$6:$F$405='Input_Meci'!E88))&gt;0)*('Istoric_Nativ'!$D$6:$D$405&gt;='Motor_Meciuri'!BN88))&gt;0)*('Istoric_Nativ'!$Q$6:$Q$405&gt;H1166))/AL1166)</x:f>
      </x:c>
      <x:c r="R1166" s="10" t="str">
        <x:f>IF(OR(NOT(AND(J1166="PASS",'Calibrare_Linii'!U18="VALID")),AM1166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O88)+((('Istoric_Nativ'!$E$6:$E$405='Input_Meci'!E88)+('Istoric_Nativ'!$F$6:$F$405='Input_Meci'!E88))&gt;0)*('Istoric_Nativ'!$D$6:$D$405&gt;='Motor_Meciuri'!BP88))&gt;0)*('Istoric_Nativ'!$Q$6:$Q$405&gt;H1166))/AM1166)</x:f>
      </x:c>
      <x:c r="S1166" s="10" t="str">
        <x:f>IF(M1166="","",MAX(O1166,P1166,Q1166,R1166))</x:f>
      </x:c>
      <x:c r="T1166" s="11" t="str">
        <x:f>IF(M1166="","",MIN(100,S1166*100*'Config_v6'!$B$44+MIN(100,L1166/'Config_v6'!$B$13*100)*'Config_v6'!$B$45+(100-'Motor_Meciuri'!BF88)*'Config_v6'!$B$46+'Motor_Meciuri'!BH88*100*'Config_v6'!$B$47))</x:f>
      </x:c>
      <x:c r="U1166" s="2" t="str">
        <x:f>IF(T1166="","",IF(T1166&lt;=20,1,IF(T1166&lt;=40,2,IF(T1166&lt;=60,3,IF(T1166&lt;=80,4,5)))))</x:f>
      </x:c>
      <x:c r="V1166" s="2" t="str">
        <x:f>IF(M1166="","",MAX(0,'Motor_Meciuri'!BF88-IF(W1166="OOS PENDING",'Config_v6'!$B$35,0)-IF(L1166&gt;'Config_v6'!$B$12,'Config_v6'!$B$37,IF(L1166&gt;'Config_v6'!$B$11,'Config_v6'!$B$36,0))))</x:f>
      </x:c>
      <x:c r="W1166" s="2" t="str">
        <x:f>IF(B1166="","",IF(I1166&lt;&gt;"READY","NOT RELEASED",IF(NOT(AND(J1166="PASS",'Calibrare_Linii'!U18="VALID")),"INVALID",IF(NOT(AND('Calibrare_Linii'!S18="VALIDATED",AND('Calibrare_Linii'!H18=C1166,ISNUMBER('Calibrare_Linii'!J18),'Calibrare_Linii'!J18&lt;='Input_Meci'!G88))),"OOS PENDING",IF(S1166&lt;='Calibrare_Linii'!E18,"PASS",IF(S1166&lt;='Calibrare_Linii'!F18,"PENALTY","WATCH"))))))</x:f>
      </x:c>
      <x:c r="X1166" s="2" t="str">
        <x:f>IF(M1166="","",IF(AND(AND(J1166="PASS",'Calibrare_Linii'!U18="VALID"),'Motor_Meciuri'!K88=12,'Motor_Meciuri'!L88=12,'Motor_Meciuri'!M88="NO",'Motor_Meciuri'!BL88='Motor_Meciuri'!C88,AB1166&gt;='Config_v6'!$B$50,AN1166&gt;='Config_v6'!$B$51,T1166&lt;='Config_v6'!$B$52,L1166&lt;='Config_v6'!$B$53,ISNUMBER('Calibrare_Linii'!E18),S1166&lt;='Calibrare_Linii'!E18,SUM(AK1166:AM1166)&gt;0),"CANDIDATE","NO"))</x:f>
      </x:c>
      <x:c r="Y1166" s="2" t="str">
        <x:f>IF(B1166="","",IF(I1166&lt;&gt;"READY","NOT RELEASED",IF(AND(X1166="CANDIDATE",V1166&gt;='Config_v6'!$B$51,W1166="PASS",'Calibrare_Linii'!T18="VALIDATED",AND('Calibrare_Linii'!H18=C1166,ISNUMBER('Calibrare_Linii'!J18),'Calibrare_Linii'!J18&lt;='Input_Meci'!G88)),"PASS",IF(X1166="CANDIDATE","OOS PENDING","FAIL"))))</x:f>
      </x:c>
      <x:c r="Z1166" s="2" t="str">
        <x:f>IF(B1166="","",IF(I1166&lt;&gt;"READY","",IF(OR(NOT(AND(J1166="PASS",'Calibrare_Linii'!U18="VALID")),L1166&gt;'Config_v6'!$B$13,W1166="WATCH"),5,IF(Y1166="PASS",1,MIN(5,MAX('Config_v6'!$B$42,U1166)+IF(W1166="PENALTY",1,0))))))</x:f>
      </x:c>
      <x:c r="AA1166" s="2" t="str">
        <x:f>IF(B1166="","",IF(I1166&lt;&gt;"READY","NOT RELEASED",IF(Z1166=5,"NO BET",IF(OR(AB1166&lt;'Config_v6'!$B$16,V1166&lt;'Config_v6'!$B$18),"WATCH",IF(Z1166=1,"DEFENSIV",IF(Z1166=2,"PRUDENT",IF(Z1166=3,"MODERAT","RIDICAT")))))))</x:f>
      </x:c>
      <x:c r="AB1166" s="10" t="str">
        <x:f>IF(N1166="","",MIN(N1166,1-S1166))</x:f>
      </x:c>
      <x:c r="AC1166" s="2" t="str">
        <x:f>IF(AD1166&lt;&gt;1,"",COUNTIFS($Z$1154:$Z$1167,"&lt;"&amp;Z1166,$AD$1154:$AD$1167,1)+COUNTIFS($Z$1154:$Z$1167,Z1166,$AB$1154:$AB$1167,"&gt;"&amp;AB1166,$AD$1154:$AD$1167,1)+COUNTIFS($Z$1154:$Z$1167,Z1166,$AB$1154:$AB$1167,AB1166,$V$1154:$V$1167,"&gt;"&amp;V1166,$AD$1154:$AD$1167,1)+COUNTIFS($Z$1154:Z1166,Z1166,$AB$1154:AB1166,AB1166,$V$1154:V1166,V1166,$AD$1154:AD1166,1))</x:f>
      </x:c>
      <x:c r="AD1166" s="2" t="n">
        <x:f>IF(OR(AA1166="DEFENSIV",AA1166="PRUDENT",AA1166="MODERAT",AA1166="RIDICAT"),1,0)</x:f>
        <x:v>0</x:v>
      </x:c>
      <x:c r="AE1166" s="2" t="str">
        <x:f>IF(AD1166&lt;&gt;1,"NO",IF(W1166="PASS","YES",IF(W1166="OOS PENDING","CONDITIONAL","NO")))</x:f>
        <x:v>NO</x:v>
      </x:c>
      <x:c r="AF1166" s="2" t="n">
        <x:f>IF(AND(AD1166=1,AC1166=1,E1166="LIVE"),1,0)</x:f>
        <x:v>0</x:v>
      </x:c>
      <x:c r="AG1166" s="2" t="str">
        <x:f>IF(AF1166&lt;&gt;1,"",'Dashboard'!P108)</x:f>
      </x:c>
      <x:c r="AH1166" s="2" t="str">
        <x:f>IF(B1166="","",IF(J1166&lt;&gt;"PASS",'Motor_Meciuri'!J88,IF('Calibrare_Linii'!U18&lt;&gt;"VALID","Parametri linie invalizi",IF(L1166&gt;'Config_v6'!$B$13,"Dispersie peste limita",IF(W1166="WATCH","Failure peste limita",IF(AB1166&lt;'Config_v6'!$B$16,"P finala sub prag",IF(V1166&lt;'Config_v6'!$B$18,"Confidence sub prag",IF(E1166="REPLAY","Exemplu retrospectiv; exclus din Top LIVE",IF(Y1166="PASS","DEFENSIV validat",IF(W1166="OOS PENDING","Eligibil; calibrare linie in monitorizare","Eligibil"))))))))))</x:f>
      </x:c>
      <x:c r="AI1166" s="2" t="str">
        <x:f>IF(B1166="","",'Calibrare_Linii'!V18)</x:f>
      </x:c>
      <x:c r="AJ1166" s="2" t="str">
        <x:f>IF(B1166="","",IF(AND('Calibrare_Linii'!T18="VALIDATED",AND('Calibrare_Linii'!H18=C1166,ISNUMBER('Calibrare_Linii'!J18),'Calibrare_Linii'!J18&lt;='Input_Meci'!G88)),"DEFENSIVE VALIDATED",IF(AND('Calibrare_Linii'!S18="VALIDATED",AND('Calibrare_Linii'!H18=C1166,ISNUMBER('Calibrare_Linii'!J18),'Calibrare_Linii'!J18&lt;='Input_Meci'!G88)),"TAIL VALIDATED","OOS PENDING")))</x:f>
      </x:c>
      <x:c r="AK1166" s="2" t="n">
        <x:f>IF(J1166&lt;&gt;"PASS",0,'Motor_Meciuri'!BR88)</x:f>
        <x:v>0</x:v>
      </x:c>
      <x:c r="AL1166" s="2" t="n">
        <x:f>IF(J1166&lt;&gt;"PASS",0,'Motor_Meciuri'!BS88)</x:f>
        <x:v>0</x:v>
      </x:c>
      <x:c r="AM1166" s="2" t="n">
        <x:f>IF(J1166&lt;&gt;"PASS",0,'Motor_Meciuri'!BT88)</x:f>
        <x:v>0</x:v>
      </x:c>
      <x:c r="AN1166" s="2" t="str">
        <x:f>IF(M1166="","",MAX(0,'Motor_Meciuri'!BF88-IF(L1166&gt;'Config_v6'!$B$12,'Config_v6'!$B$37,IF(L1166&gt;'Config_v6'!$B$11,'Config_v6'!$B$36,0))))</x:f>
      </x:c>
    </x:row>
    <x:row r="1167" ht="21" customHeight="1">
      <x:c r="A1167" s="2" t="n">
        <x:v>83</x:v>
      </x:c>
      <x:c r="B1167" s="2" t="str">
        <x:f>IF('Motor_Meciuri'!A88="","",'Motor_Meciuri'!A88)</x:f>
      </x:c>
      <x:c r="C1167" s="2" t="str">
        <x:f>IF(B1167="","",'Motor_Meciuri'!B88)</x:f>
      </x:c>
      <x:c r="D1167" s="2" t="str">
        <x:f>IF(B1167="","",'Motor_Meciuri'!D88)</x:f>
      </x:c>
      <x:c r="E1167" s="2" t="str">
        <x:f>IF(B1167="","",'Motor_Meciuri'!E88)</x:f>
      </x:c>
      <x:c r="F1167" s="2" t="str">
        <x:v>U17,5</x:v>
      </x:c>
      <x:c r="G1167" s="2" t="str">
        <x:v>UNDER</x:v>
      </x:c>
      <x:c r="H1167" s="2" t="n">
        <x:v>17</x:v>
      </x:c>
      <x:c r="I1167" s="2" t="str">
        <x:f>IF(B1167="","",'Motor_Meciuri'!H88)</x:f>
      </x:c>
      <x:c r="J1167" s="2" t="str">
        <x:f>IF(B1167="","",'Motor_Meciuri'!I88)</x:f>
      </x:c>
      <x:c r="K1167" s="11" t="str">
        <x:f>IF(J1167&lt;&gt;"PASS","",'Motor_Meciuri'!BD88)</x:f>
      </x:c>
      <x:c r="L1167" s="11" t="str">
        <x:f>IF(J1167&lt;&gt;"PASS","",'Motor_Meciuri'!AU88)</x:f>
      </x:c>
      <x:c r="M1167" s="10" t="str">
        <x:f>IF(NOT(AND(J1167="PASS",'Calibrare_Linii'!U19="VALID")),"",'Distributie'!AO88)</x:f>
      </x:c>
      <x:c r="N1167" s="10" t="str">
        <x:f>IF(M1167="","",MAX(0.01,MIN(0.99,0.5+(M1167-0.5)*'Motor_Meciuri'!BG88*'Calibrare_Linii'!D19)))</x:f>
      </x:c>
      <x:c r="O1167" s="10" t="str">
        <x:f>IF(M1167="","",1-M1167)</x:f>
      </x:c>
      <x:c r="P1167" s="10" t="str">
        <x:f>IF(OR(NOT(AND(J1167="PASS",'Calibrare_Linii'!U19="VALID")),AK1167=0),""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*('Istoric_Nativ'!$Q$6:$Q$405&gt;H1167))/AK1167)</x:f>
      </x:c>
      <x:c r="Q1167" s="10" t="str">
        <x:f>IF(OR(NOT(AND(J1167="PASS",'Calibrare_Linii'!U19="VALID")),AL1167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M88)+((('Istoric_Nativ'!$E$6:$E$405='Input_Meci'!E88)+('Istoric_Nativ'!$F$6:$F$405='Input_Meci'!E88))&gt;0)*('Istoric_Nativ'!$D$6:$D$405&gt;='Motor_Meciuri'!BN88))&gt;0)*('Istoric_Nativ'!$Q$6:$Q$405&gt;H1167))/AL1167)</x:f>
      </x:c>
      <x:c r="R1167" s="10" t="str">
        <x:f>IF(OR(NOT(AND(J1167="PASS",'Calibrare_Linii'!U19="VALID")),AM1167=0),""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'Motor_Meciuri'!BO88)+((('Istoric_Nativ'!$E$6:$E$405='Input_Meci'!E88)+('Istoric_Nativ'!$F$6:$F$405='Input_Meci'!E88))&gt;0)*('Istoric_Nativ'!$D$6:$D$405&gt;='Motor_Meciuri'!BP88))&gt;0)*('Istoric_Nativ'!$Q$6:$Q$405&gt;H1167))/AM1167)</x:f>
      </x:c>
      <x:c r="S1167" s="10" t="str">
        <x:f>IF(M1167="","",MAX(O1167,P1167,Q1167,R1167))</x:f>
      </x:c>
      <x:c r="T1167" s="11" t="str">
        <x:f>IF(M1167="","",MIN(100,S1167*100*'Config_v6'!$B$44+MIN(100,L1167/'Config_v6'!$B$13*100)*'Config_v6'!$B$45+(100-'Motor_Meciuri'!BF88)*'Config_v6'!$B$46+'Motor_Meciuri'!BH88*100*'Config_v6'!$B$47))</x:f>
      </x:c>
      <x:c r="U1167" s="2" t="str">
        <x:f>IF(T1167="","",IF(T1167&lt;=20,1,IF(T1167&lt;=40,2,IF(T1167&lt;=60,3,IF(T1167&lt;=80,4,5)))))</x:f>
      </x:c>
      <x:c r="V1167" s="2" t="str">
        <x:f>IF(M1167="","",MAX(0,'Motor_Meciuri'!BF88-IF(W1167="OOS PENDING",'Config_v6'!$B$35,0)-IF(L1167&gt;'Config_v6'!$B$12,'Config_v6'!$B$37,IF(L1167&gt;'Config_v6'!$B$11,'Config_v6'!$B$36,0))))</x:f>
      </x:c>
      <x:c r="W1167" s="2" t="str">
        <x:f>IF(B1167="","",IF(I1167&lt;&gt;"READY","NOT RELEASED",IF(NOT(AND(J1167="PASS",'Calibrare_Linii'!U19="VALID")),"INVALID",IF(NOT(AND('Calibrare_Linii'!S19="VALIDATED",AND('Calibrare_Linii'!H19=C1167,ISNUMBER('Calibrare_Linii'!J19),'Calibrare_Linii'!J19&lt;='Input_Meci'!G88))),"OOS PENDING",IF(S1167&lt;='Calibrare_Linii'!E19,"PASS",IF(S1167&lt;='Calibrare_Linii'!F19,"PENALTY","WATCH"))))))</x:f>
      </x:c>
      <x:c r="X1167" s="2" t="str">
        <x:f>IF(M1167="","",IF(AND(AND(J1167="PASS",'Calibrare_Linii'!U19="VALID"),'Motor_Meciuri'!K88=12,'Motor_Meciuri'!L88=12,'Motor_Meciuri'!M88="NO",'Motor_Meciuri'!BL88='Motor_Meciuri'!C88,AB1167&gt;='Config_v6'!$B$50,AN1167&gt;='Config_v6'!$B$51,T1167&lt;='Config_v6'!$B$52,L1167&lt;='Config_v6'!$B$53,ISNUMBER('Calibrare_Linii'!E19),S1167&lt;='Calibrare_Linii'!E19,SUM(AK1167:AM1167)&gt;0),"CANDIDATE","NO"))</x:f>
      </x:c>
      <x:c r="Y1167" s="2" t="str">
        <x:f>IF(B1167="","",IF(I1167&lt;&gt;"READY","NOT RELEASED",IF(AND(X1167="CANDIDATE",V1167&gt;='Config_v6'!$B$51,W1167="PASS",'Calibrare_Linii'!T19="VALIDATED",AND('Calibrare_Linii'!H19=C1167,ISNUMBER('Calibrare_Linii'!J19),'Calibrare_Linii'!J19&lt;='Input_Meci'!G88)),"PASS",IF(X1167="CANDIDATE","OOS PENDING","FAIL"))))</x:f>
      </x:c>
      <x:c r="Z1167" s="2" t="str">
        <x:f>IF(B1167="","",IF(I1167&lt;&gt;"READY","",IF(OR(NOT(AND(J1167="PASS",'Calibrare_Linii'!U19="VALID")),L1167&gt;'Config_v6'!$B$13,W1167="WATCH"),5,IF(Y1167="PASS",1,MIN(5,MAX('Config_v6'!$B$42,U1167)+IF(W1167="PENALTY",1,0))))))</x:f>
      </x:c>
      <x:c r="AA1167" s="2" t="str">
        <x:f>IF(B1167="","",IF(I1167&lt;&gt;"READY","NOT RELEASED",IF(Z1167=5,"NO BET",IF(OR(AB1167&lt;'Config_v6'!$B$16,V1167&lt;'Config_v6'!$B$18),"WATCH",IF(Z1167=1,"DEFENSIV",IF(Z1167=2,"PRUDENT",IF(Z1167=3,"MODERAT","RIDICAT")))))))</x:f>
      </x:c>
      <x:c r="AB1167" s="10" t="str">
        <x:f>IF(N1167="","",MIN(N1167,1-S1167))</x:f>
      </x:c>
      <x:c r="AC1167" s="2" t="str">
        <x:f>IF(AD1167&lt;&gt;1,"",COUNTIFS($Z$1154:$Z$1167,"&lt;"&amp;Z1167,$AD$1154:$AD$1167,1)+COUNTIFS($Z$1154:$Z$1167,Z1167,$AB$1154:$AB$1167,"&gt;"&amp;AB1167,$AD$1154:$AD$1167,1)+COUNTIFS($Z$1154:$Z$1167,Z1167,$AB$1154:$AB$1167,AB1167,$V$1154:$V$1167,"&gt;"&amp;V1167,$AD$1154:$AD$1167,1)+COUNTIFS($Z$1154:Z1167,Z1167,$AB$1154:AB1167,AB1167,$V$1154:V1167,V1167,$AD$1154:AD1167,1))</x:f>
      </x:c>
      <x:c r="AD1167" s="2" t="n">
        <x:f>IF(OR(AA1167="DEFENSIV",AA1167="PRUDENT",AA1167="MODERAT",AA1167="RIDICAT"),1,0)</x:f>
        <x:v>0</x:v>
      </x:c>
      <x:c r="AE1167" s="2" t="str">
        <x:f>IF(AD1167&lt;&gt;1,"NO",IF(W1167="PASS","YES",IF(W1167="OOS PENDING","CONDITIONAL","NO")))</x:f>
        <x:v>NO</x:v>
      </x:c>
      <x:c r="AF1167" s="2" t="n">
        <x:f>IF(AND(AD1167=1,AC1167=1,E1167="LIVE"),1,0)</x:f>
        <x:v>0</x:v>
      </x:c>
      <x:c r="AG1167" s="2" t="str">
        <x:f>IF(AF1167&lt;&gt;1,"",'Dashboard'!P108)</x:f>
      </x:c>
      <x:c r="AH1167" s="2" t="str">
        <x:f>IF(B1167="","",IF(J1167&lt;&gt;"PASS",'Motor_Meciuri'!J88,IF('Calibrare_Linii'!U19&lt;&gt;"VALID","Parametri linie invalizi",IF(L1167&gt;'Config_v6'!$B$13,"Dispersie peste limita",IF(W1167="WATCH","Failure peste limita",IF(AB1167&lt;'Config_v6'!$B$16,"P finala sub prag",IF(V1167&lt;'Config_v6'!$B$18,"Confidence sub prag",IF(E1167="REPLAY","Exemplu retrospectiv; exclus din Top LIVE",IF(Y1167="PASS","DEFENSIV validat",IF(W1167="OOS PENDING","Eligibil; calibrare linie in monitorizare","Eligibil"))))))))))</x:f>
      </x:c>
      <x:c r="AI1167" s="2" t="str">
        <x:f>IF(B1167="","",'Calibrare_Linii'!V19)</x:f>
      </x:c>
      <x:c r="AJ1167" s="2" t="str">
        <x:f>IF(B1167="","",IF(AND('Calibrare_Linii'!T19="VALIDATED",AND('Calibrare_Linii'!H19=C1167,ISNUMBER('Calibrare_Linii'!J19),'Calibrare_Linii'!J19&lt;='Input_Meci'!G88)),"DEFENSIVE VALIDATED",IF(AND('Calibrare_Linii'!S19="VALIDATED",AND('Calibrare_Linii'!H19=C1167,ISNUMBER('Calibrare_Linii'!J19),'Calibrare_Linii'!J19&lt;='Input_Meci'!G88)),"TAIL VALIDATED","OOS PENDING")))</x:f>
      </x:c>
      <x:c r="AK1167" s="2" t="n">
        <x:f>IF(J1167&lt;&gt;"PASS",0,'Motor_Meciuri'!BR88)</x:f>
        <x:v>0</x:v>
      </x:c>
      <x:c r="AL1167" s="2" t="n">
        <x:f>IF(J1167&lt;&gt;"PASS",0,'Motor_Meciuri'!BS88)</x:f>
        <x:v>0</x:v>
      </x:c>
      <x:c r="AM1167" s="2" t="n">
        <x:f>IF(J1167&lt;&gt;"PASS",0,'Motor_Meciuri'!BT88)</x:f>
        <x:v>0</x:v>
      </x:c>
      <x:c r="AN1167" s="2" t="str">
        <x:f>IF(M1167="","",MAX(0,'Motor_Meciuri'!BF88-IF(L1167&gt;'Config_v6'!$B$12,'Config_v6'!$B$37,IF(L1167&gt;'Config_v6'!$B$11,'Config_v6'!$B$36,0))))</x:f>
      </x:c>
    </x:row>
    <x:row r="1168" ht="21" customHeight="1">
      <x:c r="A1168" s="2" t="n">
        <x:v>84</x:v>
      </x:c>
      <x:c r="B1168" s="2" t="str">
        <x:f>IF('Motor_Meciuri'!A89="","",'Motor_Meciuri'!A89)</x:f>
      </x:c>
      <x:c r="C1168" s="2" t="str">
        <x:f>IF(B1168="","",'Motor_Meciuri'!B89)</x:f>
      </x:c>
      <x:c r="D1168" s="2" t="str">
        <x:f>IF(B1168="","",'Motor_Meciuri'!D89)</x:f>
      </x:c>
      <x:c r="E1168" s="2" t="str">
        <x:f>IF(B1168="","",'Motor_Meciuri'!E89)</x:f>
      </x:c>
      <x:c r="F1168" s="2" t="str">
        <x:v>O3,5</x:v>
      </x:c>
      <x:c r="G1168" s="2" t="str">
        <x:v>OVER</x:v>
      </x:c>
      <x:c r="H1168" s="2" t="n">
        <x:v>3</x:v>
      </x:c>
      <x:c r="I1168" s="2" t="str">
        <x:f>IF(B1168="","",'Motor_Meciuri'!H89)</x:f>
      </x:c>
      <x:c r="J1168" s="2" t="str">
        <x:f>IF(B1168="","",'Motor_Meciuri'!I89)</x:f>
      </x:c>
      <x:c r="K1168" s="11" t="str">
        <x:f>IF(J1168&lt;&gt;"PASS","",'Motor_Meciuri'!BD89)</x:f>
      </x:c>
      <x:c r="L1168" s="11" t="str">
        <x:f>IF(J1168&lt;&gt;"PASS","",'Motor_Meciuri'!AU89)</x:f>
      </x:c>
      <x:c r="M1168" s="10" t="str">
        <x:f>IF(NOT(AND(J1168="PASS",'Calibrare_Linii'!U6="VALID")),"",1-'Distributie'!AA89)</x:f>
      </x:c>
      <x:c r="N1168" s="10" t="str">
        <x:f>IF(M1168="","",MAX(0.01,MIN(0.99,0.5+(M1168-0.5)*'Motor_Meciuri'!BG89*'Calibrare_Linii'!D6)))</x:f>
      </x:c>
      <x:c r="O1168" s="10" t="str">
        <x:f>IF(M1168="","",1-M1168)</x:f>
      </x:c>
      <x:c r="P1168" s="10" t="str">
        <x:f>IF(OR(NOT(AND(J1168="PASS",'Calibrare_Linii'!U6="VALID")),AK1168=0),""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*('Istoric_Nativ'!$Q$6:$Q$405&lt;=H1168))/AK1168)</x:f>
      </x:c>
      <x:c r="Q1168" s="10" t="str">
        <x:f>IF(OR(NOT(AND(J1168="PASS",'Calibrare_Linii'!U6="VALID")),AL1168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M89)+((('Istoric_Nativ'!$E$6:$E$405='Input_Meci'!E89)+('Istoric_Nativ'!$F$6:$F$405='Input_Meci'!E89))&gt;0)*('Istoric_Nativ'!$D$6:$D$405&gt;='Motor_Meciuri'!BN89))&gt;0)*('Istoric_Nativ'!$Q$6:$Q$405&lt;=H1168))/AL1168)</x:f>
      </x:c>
      <x:c r="R1168" s="10" t="str">
        <x:f>IF(OR(NOT(AND(J1168="PASS",'Calibrare_Linii'!U6="VALID")),AM1168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O89)+((('Istoric_Nativ'!$E$6:$E$405='Input_Meci'!E89)+('Istoric_Nativ'!$F$6:$F$405='Input_Meci'!E89))&gt;0)*('Istoric_Nativ'!$D$6:$D$405&gt;='Motor_Meciuri'!BP89))&gt;0)*('Istoric_Nativ'!$Q$6:$Q$405&lt;=H1168))/AM1168)</x:f>
      </x:c>
      <x:c r="S1168" s="10" t="str">
        <x:f>IF(M1168="","",MAX(O1168,P1168,Q1168,R1168))</x:f>
      </x:c>
      <x:c r="T1168" s="11" t="str">
        <x:f>IF(M1168="","",MIN(100,S1168*100*'Config_v6'!$B$44+MIN(100,L1168/'Config_v6'!$B$13*100)*'Config_v6'!$B$45+(100-'Motor_Meciuri'!BF89)*'Config_v6'!$B$46+'Motor_Meciuri'!BH89*100*'Config_v6'!$B$47))</x:f>
      </x:c>
      <x:c r="U1168" s="2" t="str">
        <x:f>IF(T1168="","",IF(T1168&lt;=20,1,IF(T1168&lt;=40,2,IF(T1168&lt;=60,3,IF(T1168&lt;=80,4,5)))))</x:f>
      </x:c>
      <x:c r="V1168" s="2" t="str">
        <x:f>IF(M1168="","",MAX(0,'Motor_Meciuri'!BF89-IF(W1168="OOS PENDING",'Config_v6'!$B$35,0)-IF(L1168&gt;'Config_v6'!$B$12,'Config_v6'!$B$37,IF(L1168&gt;'Config_v6'!$B$11,'Config_v6'!$B$36,0))))</x:f>
      </x:c>
      <x:c r="W1168" s="2" t="str">
        <x:f>IF(B1168="","",IF(I1168&lt;&gt;"READY","NOT RELEASED",IF(NOT(AND(J1168="PASS",'Calibrare_Linii'!U6="VALID")),"INVALID",IF(NOT(TRUE),"OOS PENDING",IF(S1168&lt;=IF(AND('Calibrare_Linii'!S6="VALIDATED",AND('Calibrare_Linii'!H6=C1168,ISNUMBER('Calibrare_Linii'!J6),'Calibrare_Linii'!J6&lt;='Input_Meci'!G89)),'Calibrare_Linii'!E6,'Config_v6'!$B$26),"PASS",IF(S1168&lt;=IF(AND('Calibrare_Linii'!S6="VALIDATED",AND('Calibrare_Linii'!H6=C1168,ISNUMBER('Calibrare_Linii'!J6),'Calibrare_Linii'!J6&lt;='Input_Meci'!G89)),'Calibrare_Linii'!F6,'Config_v6'!$C$26),"PENALTY","WATCH"))))))</x:f>
      </x:c>
      <x:c r="X1168" s="2" t="str">
        <x:f>IF(M1168="","",IF(AND(AND(J1168="PASS",'Calibrare_Linii'!U6="VALID"),'Motor_Meciuri'!K89=12,'Motor_Meciuri'!L89=12,'Motor_Meciuri'!M89="NO",'Motor_Meciuri'!BL89='Motor_Meciuri'!C89,AB1168&gt;='Config_v6'!$B$50,AN1168&gt;='Config_v6'!$B$51,T1168&lt;='Config_v6'!$B$52,L1168&lt;='Config_v6'!$B$53,ISNUMBER('Calibrare_Linii'!E6),S1168&lt;='Calibrare_Linii'!E6,SUM(AK1168:AM1168)&gt;0),"CANDIDATE","NO"))</x:f>
      </x:c>
      <x:c r="Y1168" s="2" t="str">
        <x:f>IF(B1168="","",IF(I1168&lt;&gt;"READY","NOT RELEASED",IF(AND(X1168="CANDIDATE",V1168&gt;='Config_v6'!$B$51,W1168="PASS",'Calibrare_Linii'!T6="VALIDATED",AND('Calibrare_Linii'!H6=C1168,ISNUMBER('Calibrare_Linii'!J6),'Calibrare_Linii'!J6&lt;='Input_Meci'!G89)),"PASS",IF(X1168="CANDIDATE","OOS PENDING","FAIL"))))</x:f>
      </x:c>
      <x:c r="Z1168" s="2" t="str">
        <x:f>IF(B1168="","",IF(I1168&lt;&gt;"READY","",IF(OR(NOT(AND(J1168="PASS",'Calibrare_Linii'!U6="VALID")),L1168&gt;'Config_v6'!$B$13,W1168="WATCH"),5,IF(Y1168="PASS",1,MIN(5,MAX('Config_v6'!$B$42,U1168)+IF(W1168="PENALTY",1,0))))))</x:f>
      </x:c>
      <x:c r="AA1168" s="2" t="str">
        <x:f>IF(B1168="","",IF(I1168&lt;&gt;"READY","NOT RELEASED",IF(Z1168=5,"NO BET",IF(OR(AB1168&lt;'Config_v6'!$B$16,V1168&lt;'Config_v6'!$B$18),"WATCH",IF(Z1168=1,"DEFENSIV",IF(Z1168=2,"PRUDENT",IF(Z1168=3,"MODERAT","RIDICAT")))))))</x:f>
      </x:c>
      <x:c r="AB1168" s="10" t="str">
        <x:f>IF(N1168="","",MIN(N1168,1-S1168))</x:f>
      </x:c>
      <x:c r="AC1168" s="2" t="str">
        <x:f>IF(AD1168&lt;&gt;1,"",COUNTIFS($Z$1168:$Z$1181,"&lt;"&amp;Z1168,$AD$1168:$AD$1181,1)+COUNTIFS($Z$1168:$Z$1181,Z1168,$AB$1168:$AB$1181,"&gt;"&amp;AB1168,$AD$1168:$AD$1181,1)+COUNTIFS($Z$1168:$Z$1181,Z1168,$AB$1168:$AB$1181,AB1168,$V$1168:$V$1181,"&gt;"&amp;V1168,$AD$1168:$AD$1181,1)+COUNTIFS($Z$1168:Z1168,Z1168,$AB$1168:AB1168,AB1168,$V$1168:V1168,V1168,$AD$1168:AD1168,1))</x:f>
      </x:c>
      <x:c r="AD1168" s="2" t="n">
        <x:f>IF(OR(AA1168="DEFENSIV",AA1168="PRUDENT",AA1168="MODERAT",AA1168="RIDICAT"),1,0)</x:f>
        <x:v>0</x:v>
      </x:c>
      <x:c r="AE1168" s="2" t="str">
        <x:f>IF(AD1168&lt;&gt;1,"NO",IF(W1168="PASS","YES",IF(W1168="OOS PENDING","CONDITIONAL","NO")))</x:f>
        <x:v>NO</x:v>
      </x:c>
      <x:c r="AF1168" s="2" t="n">
        <x:f>IF(AND(AD1168=1,AC1168=1,E1168="LIVE"),1,0)</x:f>
        <x:v>0</x:v>
      </x:c>
      <x:c r="AG1168" s="2" t="str">
        <x:f>IF(AF1168&lt;&gt;1,"",'Dashboard'!P109)</x:f>
      </x:c>
      <x:c r="AH1168" s="2" t="str">
        <x:f>IF(B1168="","",IF(J1168&lt;&gt;"PASS",'Motor_Meciuri'!J89,IF('Calibrare_Linii'!U6&lt;&gt;"VALID","Parametri linie invalizi",IF(L1168&gt;'Config_v6'!$B$13,"Dispersie peste limita",IF(W1168="WATCH","Failure peste limita",IF(AB1168&lt;'Config_v6'!$B$16,"P finala sub prag",IF(V1168&lt;'Config_v6'!$B$18,"Confidence sub prag",IF(E1168="REPLAY","Exemplu retrospectiv; exclus din Top LIVE",IF(Y1168="PASS","DEFENSIV validat",IF(W1168="OOS PENDING","Eligibil; calibrare linie in monitorizare","Eligibil"))))))))))</x:f>
      </x:c>
      <x:c r="AI1168" s="2" t="str">
        <x:f>IF(B1168="","",'Calibrare_Linii'!V6)</x:f>
      </x:c>
      <x:c r="AJ1168" s="2" t="str">
        <x:f>IF(B1168="","",IF(AND('Calibrare_Linii'!T6="VALIDATED",AND('Calibrare_Linii'!H6=C1168,ISNUMBER('Calibrare_Linii'!J6),'Calibrare_Linii'!J6&lt;='Input_Meci'!G89)),"DEFENSIVE VALIDATED",IF(AND('Calibrare_Linii'!S6="VALIDATED",AND('Calibrare_Linii'!H6=C1168,ISNUMBER('Calibrare_Linii'!J6),'Calibrare_Linii'!J6&lt;='Input_Meci'!G89)),"TAIL VALIDATED","OOS PENDING")))</x:f>
      </x:c>
      <x:c r="AK1168" s="2" t="n">
        <x:f>IF(J1168&lt;&gt;"PASS",0,'Motor_Meciuri'!BR89)</x:f>
        <x:v>0</x:v>
      </x:c>
      <x:c r="AL1168" s="2" t="n">
        <x:f>IF(J1168&lt;&gt;"PASS",0,'Motor_Meciuri'!BS89)</x:f>
        <x:v>0</x:v>
      </x:c>
      <x:c r="AM1168" s="2" t="n">
        <x:f>IF(J1168&lt;&gt;"PASS",0,'Motor_Meciuri'!BT89)</x:f>
        <x:v>0</x:v>
      </x:c>
      <x:c r="AN1168" s="2" t="str">
        <x:f>IF(M1168="","",MAX(0,'Motor_Meciuri'!BF89-IF(L1168&gt;'Config_v6'!$B$12,'Config_v6'!$B$37,IF(L1168&gt;'Config_v6'!$B$11,'Config_v6'!$B$36,0))))</x:f>
      </x:c>
    </x:row>
    <x:row r="1169" ht="21" customHeight="1">
      <x:c r="A1169" s="2" t="n">
        <x:v>84</x:v>
      </x:c>
      <x:c r="B1169" s="2" t="str">
        <x:f>IF('Motor_Meciuri'!A89="","",'Motor_Meciuri'!A89)</x:f>
      </x:c>
      <x:c r="C1169" s="2" t="str">
        <x:f>IF(B1169="","",'Motor_Meciuri'!B89)</x:f>
      </x:c>
      <x:c r="D1169" s="2" t="str">
        <x:f>IF(B1169="","",'Motor_Meciuri'!D89)</x:f>
      </x:c>
      <x:c r="E1169" s="2" t="str">
        <x:f>IF(B1169="","",'Motor_Meciuri'!E89)</x:f>
      </x:c>
      <x:c r="F1169" s="2" t="str">
        <x:v>O4,5</x:v>
      </x:c>
      <x:c r="G1169" s="2" t="str">
        <x:v>OVER</x:v>
      </x:c>
      <x:c r="H1169" s="2" t="n">
        <x:v>4</x:v>
      </x:c>
      <x:c r="I1169" s="2" t="str">
        <x:f>IF(B1169="","",'Motor_Meciuri'!H89)</x:f>
      </x:c>
      <x:c r="J1169" s="2" t="str">
        <x:f>IF(B1169="","",'Motor_Meciuri'!I89)</x:f>
      </x:c>
      <x:c r="K1169" s="11" t="str">
        <x:f>IF(J1169&lt;&gt;"PASS","",'Motor_Meciuri'!BD89)</x:f>
      </x:c>
      <x:c r="L1169" s="11" t="str">
        <x:f>IF(J1169&lt;&gt;"PASS","",'Motor_Meciuri'!AU89)</x:f>
      </x:c>
      <x:c r="M1169" s="10" t="str">
        <x:f>IF(NOT(AND(J1169="PASS",'Calibrare_Linii'!U7="VALID")),"",1-'Distributie'!AB89)</x:f>
      </x:c>
      <x:c r="N1169" s="10" t="str">
        <x:f>IF(M1169="","",MAX(0.01,MIN(0.99,0.5+(M1169-0.5)*'Motor_Meciuri'!BG89*'Calibrare_Linii'!D7)))</x:f>
      </x:c>
      <x:c r="O1169" s="10" t="str">
        <x:f>IF(M1169="","",1-M1169)</x:f>
      </x:c>
      <x:c r="P1169" s="10" t="str">
        <x:f>IF(OR(NOT(AND(J1169="PASS",'Calibrare_Linii'!U7="VALID")),AK1169=0),""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*('Istoric_Nativ'!$Q$6:$Q$405&lt;=H1169))/AK1169)</x:f>
      </x:c>
      <x:c r="Q1169" s="10" t="str">
        <x:f>IF(OR(NOT(AND(J1169="PASS",'Calibrare_Linii'!U7="VALID")),AL1169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M89)+((('Istoric_Nativ'!$E$6:$E$405='Input_Meci'!E89)+('Istoric_Nativ'!$F$6:$F$405='Input_Meci'!E89))&gt;0)*('Istoric_Nativ'!$D$6:$D$405&gt;='Motor_Meciuri'!BN89))&gt;0)*('Istoric_Nativ'!$Q$6:$Q$405&lt;=H1169))/AL1169)</x:f>
      </x:c>
      <x:c r="R1169" s="10" t="str">
        <x:f>IF(OR(NOT(AND(J1169="PASS",'Calibrare_Linii'!U7="VALID")),AM1169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O89)+((('Istoric_Nativ'!$E$6:$E$405='Input_Meci'!E89)+('Istoric_Nativ'!$F$6:$F$405='Input_Meci'!E89))&gt;0)*('Istoric_Nativ'!$D$6:$D$405&gt;='Motor_Meciuri'!BP89))&gt;0)*('Istoric_Nativ'!$Q$6:$Q$405&lt;=H1169))/AM1169)</x:f>
      </x:c>
      <x:c r="S1169" s="10" t="str">
        <x:f>IF(M1169="","",MAX(O1169,P1169,Q1169,R1169))</x:f>
      </x:c>
      <x:c r="T1169" s="11" t="str">
        <x:f>IF(M1169="","",MIN(100,S1169*100*'Config_v6'!$B$44+MIN(100,L1169/'Config_v6'!$B$13*100)*'Config_v6'!$B$45+(100-'Motor_Meciuri'!BF89)*'Config_v6'!$B$46+'Motor_Meciuri'!BH89*100*'Config_v6'!$B$47))</x:f>
      </x:c>
      <x:c r="U1169" s="2" t="str">
        <x:f>IF(T1169="","",IF(T1169&lt;=20,1,IF(T1169&lt;=40,2,IF(T1169&lt;=60,3,IF(T1169&lt;=80,4,5)))))</x:f>
      </x:c>
      <x:c r="V1169" s="2" t="str">
        <x:f>IF(M1169="","",MAX(0,'Motor_Meciuri'!BF89-IF(W1169="OOS PENDING",'Config_v6'!$B$35,0)-IF(L1169&gt;'Config_v6'!$B$12,'Config_v6'!$B$37,IF(L1169&gt;'Config_v6'!$B$11,'Config_v6'!$B$36,0))))</x:f>
      </x:c>
      <x:c r="W1169" s="2" t="str">
        <x:f>IF(B1169="","",IF(I1169&lt;&gt;"READY","NOT RELEASED",IF(NOT(AND(J1169="PASS",'Calibrare_Linii'!U7="VALID")),"INVALID",IF(NOT(AND('Calibrare_Linii'!S7="VALIDATED",AND('Calibrare_Linii'!H7=C1169,ISNUMBER('Calibrare_Linii'!J7),'Calibrare_Linii'!J7&lt;='Input_Meci'!G89))),"OOS PENDING",IF(S1169&lt;='Calibrare_Linii'!E7,"PASS",IF(S1169&lt;='Calibrare_Linii'!F7,"PENALTY","WATCH"))))))</x:f>
      </x:c>
      <x:c r="X1169" s="2" t="str">
        <x:f>IF(M1169="","",IF(AND(AND(J1169="PASS",'Calibrare_Linii'!U7="VALID"),'Motor_Meciuri'!K89=12,'Motor_Meciuri'!L89=12,'Motor_Meciuri'!M89="NO",'Motor_Meciuri'!BL89='Motor_Meciuri'!C89,AB1169&gt;='Config_v6'!$B$50,AN1169&gt;='Config_v6'!$B$51,T1169&lt;='Config_v6'!$B$52,L1169&lt;='Config_v6'!$B$53,ISNUMBER('Calibrare_Linii'!E7),S1169&lt;='Calibrare_Linii'!E7,SUM(AK1169:AM1169)&gt;0),"CANDIDATE","NO"))</x:f>
      </x:c>
      <x:c r="Y1169" s="2" t="str">
        <x:f>IF(B1169="","",IF(I1169&lt;&gt;"READY","NOT RELEASED",IF(AND(X1169="CANDIDATE",V1169&gt;='Config_v6'!$B$51,W1169="PASS",'Calibrare_Linii'!T7="VALIDATED",AND('Calibrare_Linii'!H7=C1169,ISNUMBER('Calibrare_Linii'!J7),'Calibrare_Linii'!J7&lt;='Input_Meci'!G89)),"PASS",IF(X1169="CANDIDATE","OOS PENDING","FAIL"))))</x:f>
      </x:c>
      <x:c r="Z1169" s="2" t="str">
        <x:f>IF(B1169="","",IF(I1169&lt;&gt;"READY","",IF(OR(NOT(AND(J1169="PASS",'Calibrare_Linii'!U7="VALID")),L1169&gt;'Config_v6'!$B$13,W1169="WATCH"),5,IF(Y1169="PASS",1,MIN(5,MAX('Config_v6'!$B$42,U1169)+IF(W1169="PENALTY",1,0))))))</x:f>
      </x:c>
      <x:c r="AA1169" s="2" t="str">
        <x:f>IF(B1169="","",IF(I1169&lt;&gt;"READY","NOT RELEASED",IF(Z1169=5,"NO BET",IF(OR(AB1169&lt;'Config_v6'!$B$16,V1169&lt;'Config_v6'!$B$18),"WATCH",IF(Z1169=1,"DEFENSIV",IF(Z1169=2,"PRUDENT",IF(Z1169=3,"MODERAT","RIDICAT")))))))</x:f>
      </x:c>
      <x:c r="AB1169" s="10" t="str">
        <x:f>IF(N1169="","",MIN(N1169,1-S1169))</x:f>
      </x:c>
      <x:c r="AC1169" s="2" t="str">
        <x:f>IF(AD1169&lt;&gt;1,"",COUNTIFS($Z$1168:$Z$1181,"&lt;"&amp;Z1169,$AD$1168:$AD$1181,1)+COUNTIFS($Z$1168:$Z$1181,Z1169,$AB$1168:$AB$1181,"&gt;"&amp;AB1169,$AD$1168:$AD$1181,1)+COUNTIFS($Z$1168:$Z$1181,Z1169,$AB$1168:$AB$1181,AB1169,$V$1168:$V$1181,"&gt;"&amp;V1169,$AD$1168:$AD$1181,1)+COUNTIFS($Z$1168:Z1169,Z1169,$AB$1168:AB1169,AB1169,$V$1168:V1169,V1169,$AD$1168:AD1169,1))</x:f>
      </x:c>
      <x:c r="AD1169" s="2" t="n">
        <x:f>IF(OR(AA1169="DEFENSIV",AA1169="PRUDENT",AA1169="MODERAT",AA1169="RIDICAT"),1,0)</x:f>
        <x:v>0</x:v>
      </x:c>
      <x:c r="AE1169" s="2" t="str">
        <x:f>IF(AD1169&lt;&gt;1,"NO",IF(W1169="PASS","YES",IF(W1169="OOS PENDING","CONDITIONAL","NO")))</x:f>
        <x:v>NO</x:v>
      </x:c>
      <x:c r="AF1169" s="2" t="n">
        <x:f>IF(AND(AD1169=1,AC1169=1,E1169="LIVE"),1,0)</x:f>
        <x:v>0</x:v>
      </x:c>
      <x:c r="AG1169" s="2" t="str">
        <x:f>IF(AF1169&lt;&gt;1,"",'Dashboard'!P109)</x:f>
      </x:c>
      <x:c r="AH1169" s="2" t="str">
        <x:f>IF(B1169="","",IF(J1169&lt;&gt;"PASS",'Motor_Meciuri'!J89,IF('Calibrare_Linii'!U7&lt;&gt;"VALID","Parametri linie invalizi",IF(L1169&gt;'Config_v6'!$B$13,"Dispersie peste limita",IF(W1169="WATCH","Failure peste limita",IF(AB1169&lt;'Config_v6'!$B$16,"P finala sub prag",IF(V1169&lt;'Config_v6'!$B$18,"Confidence sub prag",IF(E1169="REPLAY","Exemplu retrospectiv; exclus din Top LIVE",IF(Y1169="PASS","DEFENSIV validat",IF(W1169="OOS PENDING","Eligibil; calibrare linie in monitorizare","Eligibil"))))))))))</x:f>
      </x:c>
      <x:c r="AI1169" s="2" t="str">
        <x:f>IF(B1169="","",'Calibrare_Linii'!V7)</x:f>
      </x:c>
      <x:c r="AJ1169" s="2" t="str">
        <x:f>IF(B1169="","",IF(AND('Calibrare_Linii'!T7="VALIDATED",AND('Calibrare_Linii'!H7=C1169,ISNUMBER('Calibrare_Linii'!J7),'Calibrare_Linii'!J7&lt;='Input_Meci'!G89)),"DEFENSIVE VALIDATED",IF(AND('Calibrare_Linii'!S7="VALIDATED",AND('Calibrare_Linii'!H7=C1169,ISNUMBER('Calibrare_Linii'!J7),'Calibrare_Linii'!J7&lt;='Input_Meci'!G89)),"TAIL VALIDATED","OOS PENDING")))</x:f>
      </x:c>
      <x:c r="AK1169" s="2" t="n">
        <x:f>IF(J1169&lt;&gt;"PASS",0,'Motor_Meciuri'!BR89)</x:f>
        <x:v>0</x:v>
      </x:c>
      <x:c r="AL1169" s="2" t="n">
        <x:f>IF(J1169&lt;&gt;"PASS",0,'Motor_Meciuri'!BS89)</x:f>
        <x:v>0</x:v>
      </x:c>
      <x:c r="AM1169" s="2" t="n">
        <x:f>IF(J1169&lt;&gt;"PASS",0,'Motor_Meciuri'!BT89)</x:f>
        <x:v>0</x:v>
      </x:c>
      <x:c r="AN1169" s="2" t="str">
        <x:f>IF(M1169="","",MAX(0,'Motor_Meciuri'!BF89-IF(L1169&gt;'Config_v6'!$B$12,'Config_v6'!$B$37,IF(L1169&gt;'Config_v6'!$B$11,'Config_v6'!$B$36,0))))</x:f>
      </x:c>
    </x:row>
    <x:row r="1170" ht="21" customHeight="1">
      <x:c r="A1170" s="2" t="n">
        <x:v>84</x:v>
      </x:c>
      <x:c r="B1170" s="2" t="str">
        <x:f>IF('Motor_Meciuri'!A89="","",'Motor_Meciuri'!A89)</x:f>
      </x:c>
      <x:c r="C1170" s="2" t="str">
        <x:f>IF(B1170="","",'Motor_Meciuri'!B89)</x:f>
      </x:c>
      <x:c r="D1170" s="2" t="str">
        <x:f>IF(B1170="","",'Motor_Meciuri'!D89)</x:f>
      </x:c>
      <x:c r="E1170" s="2" t="str">
        <x:f>IF(B1170="","",'Motor_Meciuri'!E89)</x:f>
      </x:c>
      <x:c r="F1170" s="2" t="str">
        <x:v>O5,5</x:v>
      </x:c>
      <x:c r="G1170" s="2" t="str">
        <x:v>OVER</x:v>
      </x:c>
      <x:c r="H1170" s="2" t="n">
        <x:v>5</x:v>
      </x:c>
      <x:c r="I1170" s="2" t="str">
        <x:f>IF(B1170="","",'Motor_Meciuri'!H89)</x:f>
      </x:c>
      <x:c r="J1170" s="2" t="str">
        <x:f>IF(B1170="","",'Motor_Meciuri'!I89)</x:f>
      </x:c>
      <x:c r="K1170" s="11" t="str">
        <x:f>IF(J1170&lt;&gt;"PASS","",'Motor_Meciuri'!BD89)</x:f>
      </x:c>
      <x:c r="L1170" s="11" t="str">
        <x:f>IF(J1170&lt;&gt;"PASS","",'Motor_Meciuri'!AU89)</x:f>
      </x:c>
      <x:c r="M1170" s="10" t="str">
        <x:f>IF(NOT(AND(J1170="PASS",'Calibrare_Linii'!U8="VALID")),"",1-'Distributie'!AC89)</x:f>
      </x:c>
      <x:c r="N1170" s="10" t="str">
        <x:f>IF(M1170="","",MAX(0.01,MIN(0.99,0.5+(M1170-0.5)*'Motor_Meciuri'!BG89*'Calibrare_Linii'!D8)))</x:f>
      </x:c>
      <x:c r="O1170" s="10" t="str">
        <x:f>IF(M1170="","",1-M1170)</x:f>
      </x:c>
      <x:c r="P1170" s="10" t="str">
        <x:f>IF(OR(NOT(AND(J1170="PASS",'Calibrare_Linii'!U8="VALID")),AK1170=0),""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*('Istoric_Nativ'!$Q$6:$Q$405&lt;=H1170))/AK1170)</x:f>
      </x:c>
      <x:c r="Q1170" s="10" t="str">
        <x:f>IF(OR(NOT(AND(J1170="PASS",'Calibrare_Linii'!U8="VALID")),AL1170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M89)+((('Istoric_Nativ'!$E$6:$E$405='Input_Meci'!E89)+('Istoric_Nativ'!$F$6:$F$405='Input_Meci'!E89))&gt;0)*('Istoric_Nativ'!$D$6:$D$405&gt;='Motor_Meciuri'!BN89))&gt;0)*('Istoric_Nativ'!$Q$6:$Q$405&lt;=H1170))/AL1170)</x:f>
      </x:c>
      <x:c r="R1170" s="10" t="str">
        <x:f>IF(OR(NOT(AND(J1170="PASS",'Calibrare_Linii'!U8="VALID")),AM1170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O89)+((('Istoric_Nativ'!$E$6:$E$405='Input_Meci'!E89)+('Istoric_Nativ'!$F$6:$F$405='Input_Meci'!E89))&gt;0)*('Istoric_Nativ'!$D$6:$D$405&gt;='Motor_Meciuri'!BP89))&gt;0)*('Istoric_Nativ'!$Q$6:$Q$405&lt;=H1170))/AM1170)</x:f>
      </x:c>
      <x:c r="S1170" s="10" t="str">
        <x:f>IF(M1170="","",MAX(O1170,P1170,Q1170,R1170))</x:f>
      </x:c>
      <x:c r="T1170" s="11" t="str">
        <x:f>IF(M1170="","",MIN(100,S1170*100*'Config_v6'!$B$44+MIN(100,L1170/'Config_v6'!$B$13*100)*'Config_v6'!$B$45+(100-'Motor_Meciuri'!BF89)*'Config_v6'!$B$46+'Motor_Meciuri'!BH89*100*'Config_v6'!$B$47))</x:f>
      </x:c>
      <x:c r="U1170" s="2" t="str">
        <x:f>IF(T1170="","",IF(T1170&lt;=20,1,IF(T1170&lt;=40,2,IF(T1170&lt;=60,3,IF(T1170&lt;=80,4,5)))))</x:f>
      </x:c>
      <x:c r="V1170" s="2" t="str">
        <x:f>IF(M1170="","",MAX(0,'Motor_Meciuri'!BF89-IF(W1170="OOS PENDING",'Config_v6'!$B$35,0)-IF(L1170&gt;'Config_v6'!$B$12,'Config_v6'!$B$37,IF(L1170&gt;'Config_v6'!$B$11,'Config_v6'!$B$36,0))))</x:f>
      </x:c>
      <x:c r="W1170" s="2" t="str">
        <x:f>IF(B1170="","",IF(I1170&lt;&gt;"READY","NOT RELEASED",IF(NOT(AND(J1170="PASS",'Calibrare_Linii'!U8="VALID")),"INVALID",IF(NOT(AND('Calibrare_Linii'!S8="VALIDATED",AND('Calibrare_Linii'!H8=C1170,ISNUMBER('Calibrare_Linii'!J8),'Calibrare_Linii'!J8&lt;='Input_Meci'!G89))),"OOS PENDING",IF(S1170&lt;='Calibrare_Linii'!E8,"PASS",IF(S1170&lt;='Calibrare_Linii'!F8,"PENALTY","WATCH"))))))</x:f>
      </x:c>
      <x:c r="X1170" s="2" t="str">
        <x:f>IF(M1170="","",IF(AND(AND(J1170="PASS",'Calibrare_Linii'!U8="VALID"),'Motor_Meciuri'!K89=12,'Motor_Meciuri'!L89=12,'Motor_Meciuri'!M89="NO",'Motor_Meciuri'!BL89='Motor_Meciuri'!C89,AB1170&gt;='Config_v6'!$B$50,AN1170&gt;='Config_v6'!$B$51,T1170&lt;='Config_v6'!$B$52,L1170&lt;='Config_v6'!$B$53,ISNUMBER('Calibrare_Linii'!E8),S1170&lt;='Calibrare_Linii'!E8,SUM(AK1170:AM1170)&gt;0),"CANDIDATE","NO"))</x:f>
      </x:c>
      <x:c r="Y1170" s="2" t="str">
        <x:f>IF(B1170="","",IF(I1170&lt;&gt;"READY","NOT RELEASED",IF(AND(X1170="CANDIDATE",V1170&gt;='Config_v6'!$B$51,W1170="PASS",'Calibrare_Linii'!T8="VALIDATED",AND('Calibrare_Linii'!H8=C1170,ISNUMBER('Calibrare_Linii'!J8),'Calibrare_Linii'!J8&lt;='Input_Meci'!G89)),"PASS",IF(X1170="CANDIDATE","OOS PENDING","FAIL"))))</x:f>
      </x:c>
      <x:c r="Z1170" s="2" t="str">
        <x:f>IF(B1170="","",IF(I1170&lt;&gt;"READY","",IF(OR(NOT(AND(J1170="PASS",'Calibrare_Linii'!U8="VALID")),L1170&gt;'Config_v6'!$B$13,W1170="WATCH"),5,IF(Y1170="PASS",1,MIN(5,MAX('Config_v6'!$B$42,U1170)+IF(W1170="PENALTY",1,0))))))</x:f>
      </x:c>
      <x:c r="AA1170" s="2" t="str">
        <x:f>IF(B1170="","",IF(I1170&lt;&gt;"READY","NOT RELEASED",IF(Z1170=5,"NO BET",IF(OR(AB1170&lt;'Config_v6'!$B$16,V1170&lt;'Config_v6'!$B$18),"WATCH",IF(Z1170=1,"DEFENSIV",IF(Z1170=2,"PRUDENT",IF(Z1170=3,"MODERAT","RIDICAT")))))))</x:f>
      </x:c>
      <x:c r="AB1170" s="10" t="str">
        <x:f>IF(N1170="","",MIN(N1170,1-S1170))</x:f>
      </x:c>
      <x:c r="AC1170" s="2" t="str">
        <x:f>IF(AD1170&lt;&gt;1,"",COUNTIFS($Z$1168:$Z$1181,"&lt;"&amp;Z1170,$AD$1168:$AD$1181,1)+COUNTIFS($Z$1168:$Z$1181,Z1170,$AB$1168:$AB$1181,"&gt;"&amp;AB1170,$AD$1168:$AD$1181,1)+COUNTIFS($Z$1168:$Z$1181,Z1170,$AB$1168:$AB$1181,AB1170,$V$1168:$V$1181,"&gt;"&amp;V1170,$AD$1168:$AD$1181,1)+COUNTIFS($Z$1168:Z1170,Z1170,$AB$1168:AB1170,AB1170,$V$1168:V1170,V1170,$AD$1168:AD1170,1))</x:f>
      </x:c>
      <x:c r="AD1170" s="2" t="n">
        <x:f>IF(OR(AA1170="DEFENSIV",AA1170="PRUDENT",AA1170="MODERAT",AA1170="RIDICAT"),1,0)</x:f>
        <x:v>0</x:v>
      </x:c>
      <x:c r="AE1170" s="2" t="str">
        <x:f>IF(AD1170&lt;&gt;1,"NO",IF(W1170="PASS","YES",IF(W1170="OOS PENDING","CONDITIONAL","NO")))</x:f>
        <x:v>NO</x:v>
      </x:c>
      <x:c r="AF1170" s="2" t="n">
        <x:f>IF(AND(AD1170=1,AC1170=1,E1170="LIVE"),1,0)</x:f>
        <x:v>0</x:v>
      </x:c>
      <x:c r="AG1170" s="2" t="str">
        <x:f>IF(AF1170&lt;&gt;1,"",'Dashboard'!P109)</x:f>
      </x:c>
      <x:c r="AH1170" s="2" t="str">
        <x:f>IF(B1170="","",IF(J1170&lt;&gt;"PASS",'Motor_Meciuri'!J89,IF('Calibrare_Linii'!U8&lt;&gt;"VALID","Parametri linie invalizi",IF(L1170&gt;'Config_v6'!$B$13,"Dispersie peste limita",IF(W1170="WATCH","Failure peste limita",IF(AB1170&lt;'Config_v6'!$B$16,"P finala sub prag",IF(V1170&lt;'Config_v6'!$B$18,"Confidence sub prag",IF(E1170="REPLAY","Exemplu retrospectiv; exclus din Top LIVE",IF(Y1170="PASS","DEFENSIV validat",IF(W1170="OOS PENDING","Eligibil; calibrare linie in monitorizare","Eligibil"))))))))))</x:f>
      </x:c>
      <x:c r="AI1170" s="2" t="str">
        <x:f>IF(B1170="","",'Calibrare_Linii'!V8)</x:f>
      </x:c>
      <x:c r="AJ1170" s="2" t="str">
        <x:f>IF(B1170="","",IF(AND('Calibrare_Linii'!T8="VALIDATED",AND('Calibrare_Linii'!H8=C1170,ISNUMBER('Calibrare_Linii'!J8),'Calibrare_Linii'!J8&lt;='Input_Meci'!G89)),"DEFENSIVE VALIDATED",IF(AND('Calibrare_Linii'!S8="VALIDATED",AND('Calibrare_Linii'!H8=C1170,ISNUMBER('Calibrare_Linii'!J8),'Calibrare_Linii'!J8&lt;='Input_Meci'!G89)),"TAIL VALIDATED","OOS PENDING")))</x:f>
      </x:c>
      <x:c r="AK1170" s="2" t="n">
        <x:f>IF(J1170&lt;&gt;"PASS",0,'Motor_Meciuri'!BR89)</x:f>
        <x:v>0</x:v>
      </x:c>
      <x:c r="AL1170" s="2" t="n">
        <x:f>IF(J1170&lt;&gt;"PASS",0,'Motor_Meciuri'!BS89)</x:f>
        <x:v>0</x:v>
      </x:c>
      <x:c r="AM1170" s="2" t="n">
        <x:f>IF(J1170&lt;&gt;"PASS",0,'Motor_Meciuri'!BT89)</x:f>
        <x:v>0</x:v>
      </x:c>
      <x:c r="AN1170" s="2" t="str">
        <x:f>IF(M1170="","",MAX(0,'Motor_Meciuri'!BF89-IF(L1170&gt;'Config_v6'!$B$12,'Config_v6'!$B$37,IF(L1170&gt;'Config_v6'!$B$11,'Config_v6'!$B$36,0))))</x:f>
      </x:c>
    </x:row>
    <x:row r="1171" ht="21" customHeight="1">
      <x:c r="A1171" s="2" t="n">
        <x:v>84</x:v>
      </x:c>
      <x:c r="B1171" s="2" t="str">
        <x:f>IF('Motor_Meciuri'!A89="","",'Motor_Meciuri'!A89)</x:f>
      </x:c>
      <x:c r="C1171" s="2" t="str">
        <x:f>IF(B1171="","",'Motor_Meciuri'!B89)</x:f>
      </x:c>
      <x:c r="D1171" s="2" t="str">
        <x:f>IF(B1171="","",'Motor_Meciuri'!D89)</x:f>
      </x:c>
      <x:c r="E1171" s="2" t="str">
        <x:f>IF(B1171="","",'Motor_Meciuri'!E89)</x:f>
      </x:c>
      <x:c r="F1171" s="2" t="str">
        <x:v>O6,5</x:v>
      </x:c>
      <x:c r="G1171" s="2" t="str">
        <x:v>OVER</x:v>
      </x:c>
      <x:c r="H1171" s="2" t="n">
        <x:v>6</x:v>
      </x:c>
      <x:c r="I1171" s="2" t="str">
        <x:f>IF(B1171="","",'Motor_Meciuri'!H89)</x:f>
      </x:c>
      <x:c r="J1171" s="2" t="str">
        <x:f>IF(B1171="","",'Motor_Meciuri'!I89)</x:f>
      </x:c>
      <x:c r="K1171" s="11" t="str">
        <x:f>IF(J1171&lt;&gt;"PASS","",'Motor_Meciuri'!BD89)</x:f>
      </x:c>
      <x:c r="L1171" s="11" t="str">
        <x:f>IF(J1171&lt;&gt;"PASS","",'Motor_Meciuri'!AU89)</x:f>
      </x:c>
      <x:c r="M1171" s="10" t="str">
        <x:f>IF(NOT(AND(J1171="PASS",'Calibrare_Linii'!U9="VALID")),"",1-'Distributie'!AD89)</x:f>
      </x:c>
      <x:c r="N1171" s="10" t="str">
        <x:f>IF(M1171="","",MAX(0.01,MIN(0.99,0.5+(M1171-0.5)*'Motor_Meciuri'!BG89*'Calibrare_Linii'!D9)))</x:f>
      </x:c>
      <x:c r="O1171" s="10" t="str">
        <x:f>IF(M1171="","",1-M1171)</x:f>
      </x:c>
      <x:c r="P1171" s="10" t="str">
        <x:f>IF(OR(NOT(AND(J1171="PASS",'Calibrare_Linii'!U9="VALID")),AK1171=0),""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*('Istoric_Nativ'!$Q$6:$Q$405&lt;=H1171))/AK1171)</x:f>
      </x:c>
      <x:c r="Q1171" s="10" t="str">
        <x:f>IF(OR(NOT(AND(J1171="PASS",'Calibrare_Linii'!U9="VALID")),AL1171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M89)+((('Istoric_Nativ'!$E$6:$E$405='Input_Meci'!E89)+('Istoric_Nativ'!$F$6:$F$405='Input_Meci'!E89))&gt;0)*('Istoric_Nativ'!$D$6:$D$405&gt;='Motor_Meciuri'!BN89))&gt;0)*('Istoric_Nativ'!$Q$6:$Q$405&lt;=H1171))/AL1171)</x:f>
      </x:c>
      <x:c r="R1171" s="10" t="str">
        <x:f>IF(OR(NOT(AND(J1171="PASS",'Calibrare_Linii'!U9="VALID")),AM1171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O89)+((('Istoric_Nativ'!$E$6:$E$405='Input_Meci'!E89)+('Istoric_Nativ'!$F$6:$F$405='Input_Meci'!E89))&gt;0)*('Istoric_Nativ'!$D$6:$D$405&gt;='Motor_Meciuri'!BP89))&gt;0)*('Istoric_Nativ'!$Q$6:$Q$405&lt;=H1171))/AM1171)</x:f>
      </x:c>
      <x:c r="S1171" s="10" t="str">
        <x:f>IF(M1171="","",MAX(O1171,P1171,Q1171,R1171))</x:f>
      </x:c>
      <x:c r="T1171" s="11" t="str">
        <x:f>IF(M1171="","",MIN(100,S1171*100*'Config_v6'!$B$44+MIN(100,L1171/'Config_v6'!$B$13*100)*'Config_v6'!$B$45+(100-'Motor_Meciuri'!BF89)*'Config_v6'!$B$46+'Motor_Meciuri'!BH89*100*'Config_v6'!$B$47))</x:f>
      </x:c>
      <x:c r="U1171" s="2" t="str">
        <x:f>IF(T1171="","",IF(T1171&lt;=20,1,IF(T1171&lt;=40,2,IF(T1171&lt;=60,3,IF(T1171&lt;=80,4,5)))))</x:f>
      </x:c>
      <x:c r="V1171" s="2" t="str">
        <x:f>IF(M1171="","",MAX(0,'Motor_Meciuri'!BF89-IF(W1171="OOS PENDING",'Config_v6'!$B$35,0)-IF(L1171&gt;'Config_v6'!$B$12,'Config_v6'!$B$37,IF(L1171&gt;'Config_v6'!$B$11,'Config_v6'!$B$36,0))))</x:f>
      </x:c>
      <x:c r="W1171" s="2" t="str">
        <x:f>IF(B1171="","",IF(I1171&lt;&gt;"READY","NOT RELEASED",IF(NOT(AND(J1171="PASS",'Calibrare_Linii'!U9="VALID")),"INVALID",IF(NOT(AND('Calibrare_Linii'!S9="VALIDATED",AND('Calibrare_Linii'!H9=C1171,ISNUMBER('Calibrare_Linii'!J9),'Calibrare_Linii'!J9&lt;='Input_Meci'!G89))),"OOS PENDING",IF(S1171&lt;='Calibrare_Linii'!E9,"PASS",IF(S1171&lt;='Calibrare_Linii'!F9,"PENALTY","WATCH"))))))</x:f>
      </x:c>
      <x:c r="X1171" s="2" t="str">
        <x:f>IF(M1171="","",IF(AND(AND(J1171="PASS",'Calibrare_Linii'!U9="VALID"),'Motor_Meciuri'!K89=12,'Motor_Meciuri'!L89=12,'Motor_Meciuri'!M89="NO",'Motor_Meciuri'!BL89='Motor_Meciuri'!C89,AB1171&gt;='Config_v6'!$B$50,AN1171&gt;='Config_v6'!$B$51,T1171&lt;='Config_v6'!$B$52,L1171&lt;='Config_v6'!$B$53,ISNUMBER('Calibrare_Linii'!E9),S1171&lt;='Calibrare_Linii'!E9,SUM(AK1171:AM1171)&gt;0),"CANDIDATE","NO"))</x:f>
      </x:c>
      <x:c r="Y1171" s="2" t="str">
        <x:f>IF(B1171="","",IF(I1171&lt;&gt;"READY","NOT RELEASED",IF(AND(X1171="CANDIDATE",V1171&gt;='Config_v6'!$B$51,W1171="PASS",'Calibrare_Linii'!T9="VALIDATED",AND('Calibrare_Linii'!H9=C1171,ISNUMBER('Calibrare_Linii'!J9),'Calibrare_Linii'!J9&lt;='Input_Meci'!G89)),"PASS",IF(X1171="CANDIDATE","OOS PENDING","FAIL"))))</x:f>
      </x:c>
      <x:c r="Z1171" s="2" t="str">
        <x:f>IF(B1171="","",IF(I1171&lt;&gt;"READY","",IF(OR(NOT(AND(J1171="PASS",'Calibrare_Linii'!U9="VALID")),L1171&gt;'Config_v6'!$B$13,W1171="WATCH"),5,IF(Y1171="PASS",1,MIN(5,MAX('Config_v6'!$B$42,U1171)+IF(W1171="PENALTY",1,0))))))</x:f>
      </x:c>
      <x:c r="AA1171" s="2" t="str">
        <x:f>IF(B1171="","",IF(I1171&lt;&gt;"READY","NOT RELEASED",IF(Z1171=5,"NO BET",IF(OR(AB1171&lt;'Config_v6'!$B$16,V1171&lt;'Config_v6'!$B$18),"WATCH",IF(Z1171=1,"DEFENSIV",IF(Z1171=2,"PRUDENT",IF(Z1171=3,"MODERAT","RIDICAT")))))))</x:f>
      </x:c>
      <x:c r="AB1171" s="10" t="str">
        <x:f>IF(N1171="","",MIN(N1171,1-S1171))</x:f>
      </x:c>
      <x:c r="AC1171" s="2" t="str">
        <x:f>IF(AD1171&lt;&gt;1,"",COUNTIFS($Z$1168:$Z$1181,"&lt;"&amp;Z1171,$AD$1168:$AD$1181,1)+COUNTIFS($Z$1168:$Z$1181,Z1171,$AB$1168:$AB$1181,"&gt;"&amp;AB1171,$AD$1168:$AD$1181,1)+COUNTIFS($Z$1168:$Z$1181,Z1171,$AB$1168:$AB$1181,AB1171,$V$1168:$V$1181,"&gt;"&amp;V1171,$AD$1168:$AD$1181,1)+COUNTIFS($Z$1168:Z1171,Z1171,$AB$1168:AB1171,AB1171,$V$1168:V1171,V1171,$AD$1168:AD1171,1))</x:f>
      </x:c>
      <x:c r="AD1171" s="2" t="n">
        <x:f>IF(OR(AA1171="DEFENSIV",AA1171="PRUDENT",AA1171="MODERAT",AA1171="RIDICAT"),1,0)</x:f>
        <x:v>0</x:v>
      </x:c>
      <x:c r="AE1171" s="2" t="str">
        <x:f>IF(AD1171&lt;&gt;1,"NO",IF(W1171="PASS","YES",IF(W1171="OOS PENDING","CONDITIONAL","NO")))</x:f>
        <x:v>NO</x:v>
      </x:c>
      <x:c r="AF1171" s="2" t="n">
        <x:f>IF(AND(AD1171=1,AC1171=1,E1171="LIVE"),1,0)</x:f>
        <x:v>0</x:v>
      </x:c>
      <x:c r="AG1171" s="2" t="str">
        <x:f>IF(AF1171&lt;&gt;1,"",'Dashboard'!P109)</x:f>
      </x:c>
      <x:c r="AH1171" s="2" t="str">
        <x:f>IF(B1171="","",IF(J1171&lt;&gt;"PASS",'Motor_Meciuri'!J89,IF('Calibrare_Linii'!U9&lt;&gt;"VALID","Parametri linie invalizi",IF(L1171&gt;'Config_v6'!$B$13,"Dispersie peste limita",IF(W1171="WATCH","Failure peste limita",IF(AB1171&lt;'Config_v6'!$B$16,"P finala sub prag",IF(V1171&lt;'Config_v6'!$B$18,"Confidence sub prag",IF(E1171="REPLAY","Exemplu retrospectiv; exclus din Top LIVE",IF(Y1171="PASS","DEFENSIV validat",IF(W1171="OOS PENDING","Eligibil; calibrare linie in monitorizare","Eligibil"))))))))))</x:f>
      </x:c>
      <x:c r="AI1171" s="2" t="str">
        <x:f>IF(B1171="","",'Calibrare_Linii'!V9)</x:f>
      </x:c>
      <x:c r="AJ1171" s="2" t="str">
        <x:f>IF(B1171="","",IF(AND('Calibrare_Linii'!T9="VALIDATED",AND('Calibrare_Linii'!H9=C1171,ISNUMBER('Calibrare_Linii'!J9),'Calibrare_Linii'!J9&lt;='Input_Meci'!G89)),"DEFENSIVE VALIDATED",IF(AND('Calibrare_Linii'!S9="VALIDATED",AND('Calibrare_Linii'!H9=C1171,ISNUMBER('Calibrare_Linii'!J9),'Calibrare_Linii'!J9&lt;='Input_Meci'!G89)),"TAIL VALIDATED","OOS PENDING")))</x:f>
      </x:c>
      <x:c r="AK1171" s="2" t="n">
        <x:f>IF(J1171&lt;&gt;"PASS",0,'Motor_Meciuri'!BR89)</x:f>
        <x:v>0</x:v>
      </x:c>
      <x:c r="AL1171" s="2" t="n">
        <x:f>IF(J1171&lt;&gt;"PASS",0,'Motor_Meciuri'!BS89)</x:f>
        <x:v>0</x:v>
      </x:c>
      <x:c r="AM1171" s="2" t="n">
        <x:f>IF(J1171&lt;&gt;"PASS",0,'Motor_Meciuri'!BT89)</x:f>
        <x:v>0</x:v>
      </x:c>
      <x:c r="AN1171" s="2" t="str">
        <x:f>IF(M1171="","",MAX(0,'Motor_Meciuri'!BF89-IF(L1171&gt;'Config_v6'!$B$12,'Config_v6'!$B$37,IF(L1171&gt;'Config_v6'!$B$11,'Config_v6'!$B$36,0))))</x:f>
      </x:c>
    </x:row>
    <x:row r="1172" ht="21" customHeight="1">
      <x:c r="A1172" s="2" t="n">
        <x:v>84</x:v>
      </x:c>
      <x:c r="B1172" s="2" t="str">
        <x:f>IF('Motor_Meciuri'!A89="","",'Motor_Meciuri'!A89)</x:f>
      </x:c>
      <x:c r="C1172" s="2" t="str">
        <x:f>IF(B1172="","",'Motor_Meciuri'!B89)</x:f>
      </x:c>
      <x:c r="D1172" s="2" t="str">
        <x:f>IF(B1172="","",'Motor_Meciuri'!D89)</x:f>
      </x:c>
      <x:c r="E1172" s="2" t="str">
        <x:f>IF(B1172="","",'Motor_Meciuri'!E89)</x:f>
      </x:c>
      <x:c r="F1172" s="2" t="str">
        <x:v>O7,5</x:v>
      </x:c>
      <x:c r="G1172" s="2" t="str">
        <x:v>OVER</x:v>
      </x:c>
      <x:c r="H1172" s="2" t="n">
        <x:v>7</x:v>
      </x:c>
      <x:c r="I1172" s="2" t="str">
        <x:f>IF(B1172="","",'Motor_Meciuri'!H89)</x:f>
      </x:c>
      <x:c r="J1172" s="2" t="str">
        <x:f>IF(B1172="","",'Motor_Meciuri'!I89)</x:f>
      </x:c>
      <x:c r="K1172" s="11" t="str">
        <x:f>IF(J1172&lt;&gt;"PASS","",'Motor_Meciuri'!BD89)</x:f>
      </x:c>
      <x:c r="L1172" s="11" t="str">
        <x:f>IF(J1172&lt;&gt;"PASS","",'Motor_Meciuri'!AU89)</x:f>
      </x:c>
      <x:c r="M1172" s="10" t="str">
        <x:f>IF(NOT(AND(J1172="PASS",'Calibrare_Linii'!U10="VALID")),"",1-'Distributie'!AE89)</x:f>
      </x:c>
      <x:c r="N1172" s="10" t="str">
        <x:f>IF(M1172="","",MAX(0.01,MIN(0.99,0.5+(M1172-0.5)*'Motor_Meciuri'!BG89*'Calibrare_Linii'!D10)))</x:f>
      </x:c>
      <x:c r="O1172" s="10" t="str">
        <x:f>IF(M1172="","",1-M1172)</x:f>
      </x:c>
      <x:c r="P1172" s="10" t="str">
        <x:f>IF(OR(NOT(AND(J1172="PASS",'Calibrare_Linii'!U10="VALID")),AK1172=0),""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*('Istoric_Nativ'!$Q$6:$Q$405&lt;=H1172))/AK1172)</x:f>
      </x:c>
      <x:c r="Q1172" s="10" t="str">
        <x:f>IF(OR(NOT(AND(J1172="PASS",'Calibrare_Linii'!U10="VALID")),AL1172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M89)+((('Istoric_Nativ'!$E$6:$E$405='Input_Meci'!E89)+('Istoric_Nativ'!$F$6:$F$405='Input_Meci'!E89))&gt;0)*('Istoric_Nativ'!$D$6:$D$405&gt;='Motor_Meciuri'!BN89))&gt;0)*('Istoric_Nativ'!$Q$6:$Q$405&lt;=H1172))/AL1172)</x:f>
      </x:c>
      <x:c r="R1172" s="10" t="str">
        <x:f>IF(OR(NOT(AND(J1172="PASS",'Calibrare_Linii'!U10="VALID")),AM1172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O89)+((('Istoric_Nativ'!$E$6:$E$405='Input_Meci'!E89)+('Istoric_Nativ'!$F$6:$F$405='Input_Meci'!E89))&gt;0)*('Istoric_Nativ'!$D$6:$D$405&gt;='Motor_Meciuri'!BP89))&gt;0)*('Istoric_Nativ'!$Q$6:$Q$405&lt;=H1172))/AM1172)</x:f>
      </x:c>
      <x:c r="S1172" s="10" t="str">
        <x:f>IF(M1172="","",MAX(O1172,P1172,Q1172,R1172))</x:f>
      </x:c>
      <x:c r="T1172" s="11" t="str">
        <x:f>IF(M1172="","",MIN(100,S1172*100*'Config_v6'!$B$44+MIN(100,L1172/'Config_v6'!$B$13*100)*'Config_v6'!$B$45+(100-'Motor_Meciuri'!BF89)*'Config_v6'!$B$46+'Motor_Meciuri'!BH89*100*'Config_v6'!$B$47))</x:f>
      </x:c>
      <x:c r="U1172" s="2" t="str">
        <x:f>IF(T1172="","",IF(T1172&lt;=20,1,IF(T1172&lt;=40,2,IF(T1172&lt;=60,3,IF(T1172&lt;=80,4,5)))))</x:f>
      </x:c>
      <x:c r="V1172" s="2" t="str">
        <x:f>IF(M1172="","",MAX(0,'Motor_Meciuri'!BF89-IF(W1172="OOS PENDING",'Config_v6'!$B$35,0)-IF(L1172&gt;'Config_v6'!$B$12,'Config_v6'!$B$37,IF(L1172&gt;'Config_v6'!$B$11,'Config_v6'!$B$36,0))))</x:f>
      </x:c>
      <x:c r="W1172" s="2" t="str">
        <x:f>IF(B1172="","",IF(I1172&lt;&gt;"READY","NOT RELEASED",IF(NOT(AND(J1172="PASS",'Calibrare_Linii'!U10="VALID")),"INVALID",IF(NOT(AND('Calibrare_Linii'!S10="VALIDATED",AND('Calibrare_Linii'!H10=C1172,ISNUMBER('Calibrare_Linii'!J10),'Calibrare_Linii'!J10&lt;='Input_Meci'!G89))),"OOS PENDING",IF(S1172&lt;='Calibrare_Linii'!E10,"PASS",IF(S1172&lt;='Calibrare_Linii'!F10,"PENALTY","WATCH"))))))</x:f>
      </x:c>
      <x:c r="X1172" s="2" t="str">
        <x:f>IF(M1172="","",IF(AND(AND(J1172="PASS",'Calibrare_Linii'!U10="VALID"),'Motor_Meciuri'!K89=12,'Motor_Meciuri'!L89=12,'Motor_Meciuri'!M89="NO",'Motor_Meciuri'!BL89='Motor_Meciuri'!C89,AB1172&gt;='Config_v6'!$B$50,AN1172&gt;='Config_v6'!$B$51,T1172&lt;='Config_v6'!$B$52,L1172&lt;='Config_v6'!$B$53,ISNUMBER('Calibrare_Linii'!E10),S1172&lt;='Calibrare_Linii'!E10,SUM(AK1172:AM1172)&gt;0),"CANDIDATE","NO"))</x:f>
      </x:c>
      <x:c r="Y1172" s="2" t="str">
        <x:f>IF(B1172="","",IF(I1172&lt;&gt;"READY","NOT RELEASED",IF(AND(X1172="CANDIDATE",V1172&gt;='Config_v6'!$B$51,W1172="PASS",'Calibrare_Linii'!T10="VALIDATED",AND('Calibrare_Linii'!H10=C1172,ISNUMBER('Calibrare_Linii'!J10),'Calibrare_Linii'!J10&lt;='Input_Meci'!G89)),"PASS",IF(X1172="CANDIDATE","OOS PENDING","FAIL"))))</x:f>
      </x:c>
      <x:c r="Z1172" s="2" t="str">
        <x:f>IF(B1172="","",IF(I1172&lt;&gt;"READY","",IF(OR(NOT(AND(J1172="PASS",'Calibrare_Linii'!U10="VALID")),L1172&gt;'Config_v6'!$B$13,W1172="WATCH"),5,IF(Y1172="PASS",1,MIN(5,MAX('Config_v6'!$B$42,U1172)+IF(W1172="PENALTY",1,0))))))</x:f>
      </x:c>
      <x:c r="AA1172" s="2" t="str">
        <x:f>IF(B1172="","",IF(I1172&lt;&gt;"READY","NOT RELEASED",IF(Z1172=5,"NO BET",IF(OR(AB1172&lt;'Config_v6'!$B$16,V1172&lt;'Config_v6'!$B$18),"WATCH",IF(Z1172=1,"DEFENSIV",IF(Z1172=2,"PRUDENT",IF(Z1172=3,"MODERAT","RIDICAT")))))))</x:f>
      </x:c>
      <x:c r="AB1172" s="10" t="str">
        <x:f>IF(N1172="","",MIN(N1172,1-S1172))</x:f>
      </x:c>
      <x:c r="AC1172" s="2" t="str">
        <x:f>IF(AD1172&lt;&gt;1,"",COUNTIFS($Z$1168:$Z$1181,"&lt;"&amp;Z1172,$AD$1168:$AD$1181,1)+COUNTIFS($Z$1168:$Z$1181,Z1172,$AB$1168:$AB$1181,"&gt;"&amp;AB1172,$AD$1168:$AD$1181,1)+COUNTIFS($Z$1168:$Z$1181,Z1172,$AB$1168:$AB$1181,AB1172,$V$1168:$V$1181,"&gt;"&amp;V1172,$AD$1168:$AD$1181,1)+COUNTIFS($Z$1168:Z1172,Z1172,$AB$1168:AB1172,AB1172,$V$1168:V1172,V1172,$AD$1168:AD1172,1))</x:f>
      </x:c>
      <x:c r="AD1172" s="2" t="n">
        <x:f>IF(OR(AA1172="DEFENSIV",AA1172="PRUDENT",AA1172="MODERAT",AA1172="RIDICAT"),1,0)</x:f>
        <x:v>0</x:v>
      </x:c>
      <x:c r="AE1172" s="2" t="str">
        <x:f>IF(AD1172&lt;&gt;1,"NO",IF(W1172="PASS","YES",IF(W1172="OOS PENDING","CONDITIONAL","NO")))</x:f>
        <x:v>NO</x:v>
      </x:c>
      <x:c r="AF1172" s="2" t="n">
        <x:f>IF(AND(AD1172=1,AC1172=1,E1172="LIVE"),1,0)</x:f>
        <x:v>0</x:v>
      </x:c>
      <x:c r="AG1172" s="2" t="str">
        <x:f>IF(AF1172&lt;&gt;1,"",'Dashboard'!P109)</x:f>
      </x:c>
      <x:c r="AH1172" s="2" t="str">
        <x:f>IF(B1172="","",IF(J1172&lt;&gt;"PASS",'Motor_Meciuri'!J89,IF('Calibrare_Linii'!U10&lt;&gt;"VALID","Parametri linie invalizi",IF(L1172&gt;'Config_v6'!$B$13,"Dispersie peste limita",IF(W1172="WATCH","Failure peste limita",IF(AB1172&lt;'Config_v6'!$B$16,"P finala sub prag",IF(V1172&lt;'Config_v6'!$B$18,"Confidence sub prag",IF(E1172="REPLAY","Exemplu retrospectiv; exclus din Top LIVE",IF(Y1172="PASS","DEFENSIV validat",IF(W1172="OOS PENDING","Eligibil; calibrare linie in monitorizare","Eligibil"))))))))))</x:f>
      </x:c>
      <x:c r="AI1172" s="2" t="str">
        <x:f>IF(B1172="","",'Calibrare_Linii'!V10)</x:f>
      </x:c>
      <x:c r="AJ1172" s="2" t="str">
        <x:f>IF(B1172="","",IF(AND('Calibrare_Linii'!T10="VALIDATED",AND('Calibrare_Linii'!H10=C1172,ISNUMBER('Calibrare_Linii'!J10),'Calibrare_Linii'!J10&lt;='Input_Meci'!G89)),"DEFENSIVE VALIDATED",IF(AND('Calibrare_Linii'!S10="VALIDATED",AND('Calibrare_Linii'!H10=C1172,ISNUMBER('Calibrare_Linii'!J10),'Calibrare_Linii'!J10&lt;='Input_Meci'!G89)),"TAIL VALIDATED","OOS PENDING")))</x:f>
      </x:c>
      <x:c r="AK1172" s="2" t="n">
        <x:f>IF(J1172&lt;&gt;"PASS",0,'Motor_Meciuri'!BR89)</x:f>
        <x:v>0</x:v>
      </x:c>
      <x:c r="AL1172" s="2" t="n">
        <x:f>IF(J1172&lt;&gt;"PASS",0,'Motor_Meciuri'!BS89)</x:f>
        <x:v>0</x:v>
      </x:c>
      <x:c r="AM1172" s="2" t="n">
        <x:f>IF(J1172&lt;&gt;"PASS",0,'Motor_Meciuri'!BT89)</x:f>
        <x:v>0</x:v>
      </x:c>
      <x:c r="AN1172" s="2" t="str">
        <x:f>IF(M1172="","",MAX(0,'Motor_Meciuri'!BF89-IF(L1172&gt;'Config_v6'!$B$12,'Config_v6'!$B$37,IF(L1172&gt;'Config_v6'!$B$11,'Config_v6'!$B$36,0))))</x:f>
      </x:c>
    </x:row>
    <x:row r="1173" ht="21" customHeight="1">
      <x:c r="A1173" s="2" t="n">
        <x:v>84</x:v>
      </x:c>
      <x:c r="B1173" s="2" t="str">
        <x:f>IF('Motor_Meciuri'!A89="","",'Motor_Meciuri'!A89)</x:f>
      </x:c>
      <x:c r="C1173" s="2" t="str">
        <x:f>IF(B1173="","",'Motor_Meciuri'!B89)</x:f>
      </x:c>
      <x:c r="D1173" s="2" t="str">
        <x:f>IF(B1173="","",'Motor_Meciuri'!D89)</x:f>
      </x:c>
      <x:c r="E1173" s="2" t="str">
        <x:f>IF(B1173="","",'Motor_Meciuri'!E89)</x:f>
      </x:c>
      <x:c r="F1173" s="2" t="str">
        <x:v>O8,5</x:v>
      </x:c>
      <x:c r="G1173" s="2" t="str">
        <x:v>OVER</x:v>
      </x:c>
      <x:c r="H1173" s="2" t="n">
        <x:v>8</x:v>
      </x:c>
      <x:c r="I1173" s="2" t="str">
        <x:f>IF(B1173="","",'Motor_Meciuri'!H89)</x:f>
      </x:c>
      <x:c r="J1173" s="2" t="str">
        <x:f>IF(B1173="","",'Motor_Meciuri'!I89)</x:f>
      </x:c>
      <x:c r="K1173" s="11" t="str">
        <x:f>IF(J1173&lt;&gt;"PASS","",'Motor_Meciuri'!BD89)</x:f>
      </x:c>
      <x:c r="L1173" s="11" t="str">
        <x:f>IF(J1173&lt;&gt;"PASS","",'Motor_Meciuri'!AU89)</x:f>
      </x:c>
      <x:c r="M1173" s="10" t="str">
        <x:f>IF(NOT(AND(J1173="PASS",'Calibrare_Linii'!U11="VALID")),"",1-'Distributie'!AF89)</x:f>
      </x:c>
      <x:c r="N1173" s="10" t="str">
        <x:f>IF(M1173="","",MAX(0.01,MIN(0.99,0.5+(M1173-0.5)*'Motor_Meciuri'!BG89*'Calibrare_Linii'!D11)))</x:f>
      </x:c>
      <x:c r="O1173" s="10" t="str">
        <x:f>IF(M1173="","",1-M1173)</x:f>
      </x:c>
      <x:c r="P1173" s="10" t="str">
        <x:f>IF(OR(NOT(AND(J1173="PASS",'Calibrare_Linii'!U11="VALID")),AK1173=0),""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*('Istoric_Nativ'!$Q$6:$Q$405&lt;=H1173))/AK1173)</x:f>
      </x:c>
      <x:c r="Q1173" s="10" t="str">
        <x:f>IF(OR(NOT(AND(J1173="PASS",'Calibrare_Linii'!U11="VALID")),AL1173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M89)+((('Istoric_Nativ'!$E$6:$E$405='Input_Meci'!E89)+('Istoric_Nativ'!$F$6:$F$405='Input_Meci'!E89))&gt;0)*('Istoric_Nativ'!$D$6:$D$405&gt;='Motor_Meciuri'!BN89))&gt;0)*('Istoric_Nativ'!$Q$6:$Q$405&lt;=H1173))/AL1173)</x:f>
      </x:c>
      <x:c r="R1173" s="10" t="str">
        <x:f>IF(OR(NOT(AND(J1173="PASS",'Calibrare_Linii'!U11="VALID")),AM1173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O89)+((('Istoric_Nativ'!$E$6:$E$405='Input_Meci'!E89)+('Istoric_Nativ'!$F$6:$F$405='Input_Meci'!E89))&gt;0)*('Istoric_Nativ'!$D$6:$D$405&gt;='Motor_Meciuri'!BP89))&gt;0)*('Istoric_Nativ'!$Q$6:$Q$405&lt;=H1173))/AM1173)</x:f>
      </x:c>
      <x:c r="S1173" s="10" t="str">
        <x:f>IF(M1173="","",MAX(O1173,P1173,Q1173,R1173))</x:f>
      </x:c>
      <x:c r="T1173" s="11" t="str">
        <x:f>IF(M1173="","",MIN(100,S1173*100*'Config_v6'!$B$44+MIN(100,L1173/'Config_v6'!$B$13*100)*'Config_v6'!$B$45+(100-'Motor_Meciuri'!BF89)*'Config_v6'!$B$46+'Motor_Meciuri'!BH89*100*'Config_v6'!$B$47))</x:f>
      </x:c>
      <x:c r="U1173" s="2" t="str">
        <x:f>IF(T1173="","",IF(T1173&lt;=20,1,IF(T1173&lt;=40,2,IF(T1173&lt;=60,3,IF(T1173&lt;=80,4,5)))))</x:f>
      </x:c>
      <x:c r="V1173" s="2" t="str">
        <x:f>IF(M1173="","",MAX(0,'Motor_Meciuri'!BF89-IF(W1173="OOS PENDING",'Config_v6'!$B$35,0)-IF(L1173&gt;'Config_v6'!$B$12,'Config_v6'!$B$37,IF(L1173&gt;'Config_v6'!$B$11,'Config_v6'!$B$36,0))))</x:f>
      </x:c>
      <x:c r="W1173" s="2" t="str">
        <x:f>IF(B1173="","",IF(I1173&lt;&gt;"READY","NOT RELEASED",IF(NOT(AND(J1173="PASS",'Calibrare_Linii'!U11="VALID")),"INVALID",IF(NOT(AND('Calibrare_Linii'!S11="VALIDATED",AND('Calibrare_Linii'!H11=C1173,ISNUMBER('Calibrare_Linii'!J11),'Calibrare_Linii'!J11&lt;='Input_Meci'!G89))),"OOS PENDING",IF(S1173&lt;='Calibrare_Linii'!E11,"PASS",IF(S1173&lt;='Calibrare_Linii'!F11,"PENALTY","WATCH"))))))</x:f>
      </x:c>
      <x:c r="X1173" s="2" t="str">
        <x:f>IF(M1173="","",IF(AND(AND(J1173="PASS",'Calibrare_Linii'!U11="VALID"),'Motor_Meciuri'!K89=12,'Motor_Meciuri'!L89=12,'Motor_Meciuri'!M89="NO",'Motor_Meciuri'!BL89='Motor_Meciuri'!C89,AB1173&gt;='Config_v6'!$B$50,AN1173&gt;='Config_v6'!$B$51,T1173&lt;='Config_v6'!$B$52,L1173&lt;='Config_v6'!$B$53,ISNUMBER('Calibrare_Linii'!E11),S1173&lt;='Calibrare_Linii'!E11,SUM(AK1173:AM1173)&gt;0),"CANDIDATE","NO"))</x:f>
      </x:c>
      <x:c r="Y1173" s="2" t="str">
        <x:f>IF(B1173="","",IF(I1173&lt;&gt;"READY","NOT RELEASED",IF(AND(X1173="CANDIDATE",V1173&gt;='Config_v6'!$B$51,W1173="PASS",'Calibrare_Linii'!T11="VALIDATED",AND('Calibrare_Linii'!H11=C1173,ISNUMBER('Calibrare_Linii'!J11),'Calibrare_Linii'!J11&lt;='Input_Meci'!G89)),"PASS",IF(X1173="CANDIDATE","OOS PENDING","FAIL"))))</x:f>
      </x:c>
      <x:c r="Z1173" s="2" t="str">
        <x:f>IF(B1173="","",IF(I1173&lt;&gt;"READY","",IF(OR(NOT(AND(J1173="PASS",'Calibrare_Linii'!U11="VALID")),L1173&gt;'Config_v6'!$B$13,W1173="WATCH"),5,IF(Y1173="PASS",1,MIN(5,MAX('Config_v6'!$B$42,U1173)+IF(W1173="PENALTY",1,0))))))</x:f>
      </x:c>
      <x:c r="AA1173" s="2" t="str">
        <x:f>IF(B1173="","",IF(I1173&lt;&gt;"READY","NOT RELEASED",IF(Z1173=5,"NO BET",IF(OR(AB1173&lt;'Config_v6'!$B$16,V1173&lt;'Config_v6'!$B$18),"WATCH",IF(Z1173=1,"DEFENSIV",IF(Z1173=2,"PRUDENT",IF(Z1173=3,"MODERAT","RIDICAT")))))))</x:f>
      </x:c>
      <x:c r="AB1173" s="10" t="str">
        <x:f>IF(N1173="","",MIN(N1173,1-S1173))</x:f>
      </x:c>
      <x:c r="AC1173" s="2" t="str">
        <x:f>IF(AD1173&lt;&gt;1,"",COUNTIFS($Z$1168:$Z$1181,"&lt;"&amp;Z1173,$AD$1168:$AD$1181,1)+COUNTIFS($Z$1168:$Z$1181,Z1173,$AB$1168:$AB$1181,"&gt;"&amp;AB1173,$AD$1168:$AD$1181,1)+COUNTIFS($Z$1168:$Z$1181,Z1173,$AB$1168:$AB$1181,AB1173,$V$1168:$V$1181,"&gt;"&amp;V1173,$AD$1168:$AD$1181,1)+COUNTIFS($Z$1168:Z1173,Z1173,$AB$1168:AB1173,AB1173,$V$1168:V1173,V1173,$AD$1168:AD1173,1))</x:f>
      </x:c>
      <x:c r="AD1173" s="2" t="n">
        <x:f>IF(OR(AA1173="DEFENSIV",AA1173="PRUDENT",AA1173="MODERAT",AA1173="RIDICAT"),1,0)</x:f>
        <x:v>0</x:v>
      </x:c>
      <x:c r="AE1173" s="2" t="str">
        <x:f>IF(AD1173&lt;&gt;1,"NO",IF(W1173="PASS","YES",IF(W1173="OOS PENDING","CONDITIONAL","NO")))</x:f>
        <x:v>NO</x:v>
      </x:c>
      <x:c r="AF1173" s="2" t="n">
        <x:f>IF(AND(AD1173=1,AC1173=1,E1173="LIVE"),1,0)</x:f>
        <x:v>0</x:v>
      </x:c>
      <x:c r="AG1173" s="2" t="str">
        <x:f>IF(AF1173&lt;&gt;1,"",'Dashboard'!P109)</x:f>
      </x:c>
      <x:c r="AH1173" s="2" t="str">
        <x:f>IF(B1173="","",IF(J1173&lt;&gt;"PASS",'Motor_Meciuri'!J89,IF('Calibrare_Linii'!U11&lt;&gt;"VALID","Parametri linie invalizi",IF(L1173&gt;'Config_v6'!$B$13,"Dispersie peste limita",IF(W1173="WATCH","Failure peste limita",IF(AB1173&lt;'Config_v6'!$B$16,"P finala sub prag",IF(V1173&lt;'Config_v6'!$B$18,"Confidence sub prag",IF(E1173="REPLAY","Exemplu retrospectiv; exclus din Top LIVE",IF(Y1173="PASS","DEFENSIV validat",IF(W1173="OOS PENDING","Eligibil; calibrare linie in monitorizare","Eligibil"))))))))))</x:f>
      </x:c>
      <x:c r="AI1173" s="2" t="str">
        <x:f>IF(B1173="","",'Calibrare_Linii'!V11)</x:f>
      </x:c>
      <x:c r="AJ1173" s="2" t="str">
        <x:f>IF(B1173="","",IF(AND('Calibrare_Linii'!T11="VALIDATED",AND('Calibrare_Linii'!H11=C1173,ISNUMBER('Calibrare_Linii'!J11),'Calibrare_Linii'!J11&lt;='Input_Meci'!G89)),"DEFENSIVE VALIDATED",IF(AND('Calibrare_Linii'!S11="VALIDATED",AND('Calibrare_Linii'!H11=C1173,ISNUMBER('Calibrare_Linii'!J11),'Calibrare_Linii'!J11&lt;='Input_Meci'!G89)),"TAIL VALIDATED","OOS PENDING")))</x:f>
      </x:c>
      <x:c r="AK1173" s="2" t="n">
        <x:f>IF(J1173&lt;&gt;"PASS",0,'Motor_Meciuri'!BR89)</x:f>
        <x:v>0</x:v>
      </x:c>
      <x:c r="AL1173" s="2" t="n">
        <x:f>IF(J1173&lt;&gt;"PASS",0,'Motor_Meciuri'!BS89)</x:f>
        <x:v>0</x:v>
      </x:c>
      <x:c r="AM1173" s="2" t="n">
        <x:f>IF(J1173&lt;&gt;"PASS",0,'Motor_Meciuri'!BT89)</x:f>
        <x:v>0</x:v>
      </x:c>
      <x:c r="AN1173" s="2" t="str">
        <x:f>IF(M1173="","",MAX(0,'Motor_Meciuri'!BF89-IF(L1173&gt;'Config_v6'!$B$12,'Config_v6'!$B$37,IF(L1173&gt;'Config_v6'!$B$11,'Config_v6'!$B$36,0))))</x:f>
      </x:c>
    </x:row>
    <x:row r="1174" ht="21" customHeight="1">
      <x:c r="A1174" s="2" t="n">
        <x:v>84</x:v>
      </x:c>
      <x:c r="B1174" s="2" t="str">
        <x:f>IF('Motor_Meciuri'!A89="","",'Motor_Meciuri'!A89)</x:f>
      </x:c>
      <x:c r="C1174" s="2" t="str">
        <x:f>IF(B1174="","",'Motor_Meciuri'!B89)</x:f>
      </x:c>
      <x:c r="D1174" s="2" t="str">
        <x:f>IF(B1174="","",'Motor_Meciuri'!D89)</x:f>
      </x:c>
      <x:c r="E1174" s="2" t="str">
        <x:f>IF(B1174="","",'Motor_Meciuri'!E89)</x:f>
      </x:c>
      <x:c r="F1174" s="2" t="str">
        <x:v>U10,5</x:v>
      </x:c>
      <x:c r="G1174" s="2" t="str">
        <x:v>UNDER</x:v>
      </x:c>
      <x:c r="H1174" s="2" t="n">
        <x:v>10</x:v>
      </x:c>
      <x:c r="I1174" s="2" t="str">
        <x:f>IF(B1174="","",'Motor_Meciuri'!H89)</x:f>
      </x:c>
      <x:c r="J1174" s="2" t="str">
        <x:f>IF(B1174="","",'Motor_Meciuri'!I89)</x:f>
      </x:c>
      <x:c r="K1174" s="11" t="str">
        <x:f>IF(J1174&lt;&gt;"PASS","",'Motor_Meciuri'!BD89)</x:f>
      </x:c>
      <x:c r="L1174" s="11" t="str">
        <x:f>IF(J1174&lt;&gt;"PASS","",'Motor_Meciuri'!AU89)</x:f>
      </x:c>
      <x:c r="M1174" s="10" t="str">
        <x:f>IF(NOT(AND(J1174="PASS",'Calibrare_Linii'!U12="VALID")),"",'Distributie'!AH89)</x:f>
      </x:c>
      <x:c r="N1174" s="10" t="str">
        <x:f>IF(M1174="","",MAX(0.01,MIN(0.99,0.5+(M1174-0.5)*'Motor_Meciuri'!BG89*'Calibrare_Linii'!D12)))</x:f>
      </x:c>
      <x:c r="O1174" s="10" t="str">
        <x:f>IF(M1174="","",1-M1174)</x:f>
      </x:c>
      <x:c r="P1174" s="10" t="str">
        <x:f>IF(OR(NOT(AND(J1174="PASS",'Calibrare_Linii'!U12="VALID")),AK1174=0),""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*('Istoric_Nativ'!$Q$6:$Q$405&gt;H1174))/AK1174)</x:f>
      </x:c>
      <x:c r="Q1174" s="10" t="str">
        <x:f>IF(OR(NOT(AND(J1174="PASS",'Calibrare_Linii'!U12="VALID")),AL1174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M89)+((('Istoric_Nativ'!$E$6:$E$405='Input_Meci'!E89)+('Istoric_Nativ'!$F$6:$F$405='Input_Meci'!E89))&gt;0)*('Istoric_Nativ'!$D$6:$D$405&gt;='Motor_Meciuri'!BN89))&gt;0)*('Istoric_Nativ'!$Q$6:$Q$405&gt;H1174))/AL1174)</x:f>
      </x:c>
      <x:c r="R1174" s="10" t="str">
        <x:f>IF(OR(NOT(AND(J1174="PASS",'Calibrare_Linii'!U12="VALID")),AM1174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O89)+((('Istoric_Nativ'!$E$6:$E$405='Input_Meci'!E89)+('Istoric_Nativ'!$F$6:$F$405='Input_Meci'!E89))&gt;0)*('Istoric_Nativ'!$D$6:$D$405&gt;='Motor_Meciuri'!BP89))&gt;0)*('Istoric_Nativ'!$Q$6:$Q$405&gt;H1174))/AM1174)</x:f>
      </x:c>
      <x:c r="S1174" s="10" t="str">
        <x:f>IF(M1174="","",MAX(O1174,P1174,Q1174,R1174))</x:f>
      </x:c>
      <x:c r="T1174" s="11" t="str">
        <x:f>IF(M1174="","",MIN(100,S1174*100*'Config_v6'!$B$44+MIN(100,L1174/'Config_v6'!$B$13*100)*'Config_v6'!$B$45+(100-'Motor_Meciuri'!BF89)*'Config_v6'!$B$46+'Motor_Meciuri'!BH89*100*'Config_v6'!$B$47))</x:f>
      </x:c>
      <x:c r="U1174" s="2" t="str">
        <x:f>IF(T1174="","",IF(T1174&lt;=20,1,IF(T1174&lt;=40,2,IF(T1174&lt;=60,3,IF(T1174&lt;=80,4,5)))))</x:f>
      </x:c>
      <x:c r="V1174" s="2" t="str">
        <x:f>IF(M1174="","",MAX(0,'Motor_Meciuri'!BF89-IF(W1174="OOS PENDING",'Config_v6'!$B$35,0)-IF(L1174&gt;'Config_v6'!$B$12,'Config_v6'!$B$37,IF(L1174&gt;'Config_v6'!$B$11,'Config_v6'!$B$36,0))))</x:f>
      </x:c>
      <x:c r="W1174" s="2" t="str">
        <x:f>IF(B1174="","",IF(I1174&lt;&gt;"READY","NOT RELEASED",IF(NOT(AND(J1174="PASS",'Calibrare_Linii'!U12="VALID")),"INVALID",IF(NOT(AND('Calibrare_Linii'!S12="VALIDATED",AND('Calibrare_Linii'!H12=C1174,ISNUMBER('Calibrare_Linii'!J12),'Calibrare_Linii'!J12&lt;='Input_Meci'!G89))),"OOS PENDING",IF(S1174&lt;='Calibrare_Linii'!E12,"PASS",IF(S1174&lt;='Calibrare_Linii'!F12,"PENALTY","WATCH"))))))</x:f>
      </x:c>
      <x:c r="X1174" s="2" t="str">
        <x:f>IF(M1174="","",IF(AND(AND(J1174="PASS",'Calibrare_Linii'!U12="VALID"),'Motor_Meciuri'!K89=12,'Motor_Meciuri'!L89=12,'Motor_Meciuri'!M89="NO",'Motor_Meciuri'!BL89='Motor_Meciuri'!C89,AB1174&gt;='Config_v6'!$B$50,AN1174&gt;='Config_v6'!$B$51,T1174&lt;='Config_v6'!$B$52,L1174&lt;='Config_v6'!$B$53,ISNUMBER('Calibrare_Linii'!E12),S1174&lt;='Calibrare_Linii'!E12,SUM(AK1174:AM1174)&gt;0),"CANDIDATE","NO"))</x:f>
      </x:c>
      <x:c r="Y1174" s="2" t="str">
        <x:f>IF(B1174="","",IF(I1174&lt;&gt;"READY","NOT RELEASED",IF(AND(X1174="CANDIDATE",V1174&gt;='Config_v6'!$B$51,W1174="PASS",'Calibrare_Linii'!T12="VALIDATED",AND('Calibrare_Linii'!H12=C1174,ISNUMBER('Calibrare_Linii'!J12),'Calibrare_Linii'!J12&lt;='Input_Meci'!G89)),"PASS",IF(X1174="CANDIDATE","OOS PENDING","FAIL"))))</x:f>
      </x:c>
      <x:c r="Z1174" s="2" t="str">
        <x:f>IF(B1174="","",IF(I1174&lt;&gt;"READY","",IF(OR(NOT(AND(J1174="PASS",'Calibrare_Linii'!U12="VALID")),L1174&gt;'Config_v6'!$B$13,W1174="WATCH"),5,IF(Y1174="PASS",1,MIN(5,MAX('Config_v6'!$B$42,U1174)+IF(W1174="PENALTY",1,0))))))</x:f>
      </x:c>
      <x:c r="AA1174" s="2" t="str">
        <x:f>IF(B1174="","",IF(I1174&lt;&gt;"READY","NOT RELEASED",IF(Z1174=5,"NO BET",IF(OR(AB1174&lt;'Config_v6'!$B$16,V1174&lt;'Config_v6'!$B$18),"WATCH",IF(Z1174=1,"DEFENSIV",IF(Z1174=2,"PRUDENT",IF(Z1174=3,"MODERAT","RIDICAT")))))))</x:f>
      </x:c>
      <x:c r="AB1174" s="10" t="str">
        <x:f>IF(N1174="","",MIN(N1174,1-S1174))</x:f>
      </x:c>
      <x:c r="AC1174" s="2" t="str">
        <x:f>IF(AD1174&lt;&gt;1,"",COUNTIFS($Z$1168:$Z$1181,"&lt;"&amp;Z1174,$AD$1168:$AD$1181,1)+COUNTIFS($Z$1168:$Z$1181,Z1174,$AB$1168:$AB$1181,"&gt;"&amp;AB1174,$AD$1168:$AD$1181,1)+COUNTIFS($Z$1168:$Z$1181,Z1174,$AB$1168:$AB$1181,AB1174,$V$1168:$V$1181,"&gt;"&amp;V1174,$AD$1168:$AD$1181,1)+COUNTIFS($Z$1168:Z1174,Z1174,$AB$1168:AB1174,AB1174,$V$1168:V1174,V1174,$AD$1168:AD1174,1))</x:f>
      </x:c>
      <x:c r="AD1174" s="2" t="n">
        <x:f>IF(OR(AA1174="DEFENSIV",AA1174="PRUDENT",AA1174="MODERAT",AA1174="RIDICAT"),1,0)</x:f>
        <x:v>0</x:v>
      </x:c>
      <x:c r="AE1174" s="2" t="str">
        <x:f>IF(AD1174&lt;&gt;1,"NO",IF(W1174="PASS","YES",IF(W1174="OOS PENDING","CONDITIONAL","NO")))</x:f>
        <x:v>NO</x:v>
      </x:c>
      <x:c r="AF1174" s="2" t="n">
        <x:f>IF(AND(AD1174=1,AC1174=1,E1174="LIVE"),1,0)</x:f>
        <x:v>0</x:v>
      </x:c>
      <x:c r="AG1174" s="2" t="str">
        <x:f>IF(AF1174&lt;&gt;1,"",'Dashboard'!P109)</x:f>
      </x:c>
      <x:c r="AH1174" s="2" t="str">
        <x:f>IF(B1174="","",IF(J1174&lt;&gt;"PASS",'Motor_Meciuri'!J89,IF('Calibrare_Linii'!U12&lt;&gt;"VALID","Parametri linie invalizi",IF(L1174&gt;'Config_v6'!$B$13,"Dispersie peste limita",IF(W1174="WATCH","Failure peste limita",IF(AB1174&lt;'Config_v6'!$B$16,"P finala sub prag",IF(V1174&lt;'Config_v6'!$B$18,"Confidence sub prag",IF(E1174="REPLAY","Exemplu retrospectiv; exclus din Top LIVE",IF(Y1174="PASS","DEFENSIV validat",IF(W1174="OOS PENDING","Eligibil; calibrare linie in monitorizare","Eligibil"))))))))))</x:f>
      </x:c>
      <x:c r="AI1174" s="2" t="str">
        <x:f>IF(B1174="","",'Calibrare_Linii'!V12)</x:f>
      </x:c>
      <x:c r="AJ1174" s="2" t="str">
        <x:f>IF(B1174="","",IF(AND('Calibrare_Linii'!T12="VALIDATED",AND('Calibrare_Linii'!H12=C1174,ISNUMBER('Calibrare_Linii'!J12),'Calibrare_Linii'!J12&lt;='Input_Meci'!G89)),"DEFENSIVE VALIDATED",IF(AND('Calibrare_Linii'!S12="VALIDATED",AND('Calibrare_Linii'!H12=C1174,ISNUMBER('Calibrare_Linii'!J12),'Calibrare_Linii'!J12&lt;='Input_Meci'!G89)),"TAIL VALIDATED","OOS PENDING")))</x:f>
      </x:c>
      <x:c r="AK1174" s="2" t="n">
        <x:f>IF(J1174&lt;&gt;"PASS",0,'Motor_Meciuri'!BR89)</x:f>
        <x:v>0</x:v>
      </x:c>
      <x:c r="AL1174" s="2" t="n">
        <x:f>IF(J1174&lt;&gt;"PASS",0,'Motor_Meciuri'!BS89)</x:f>
        <x:v>0</x:v>
      </x:c>
      <x:c r="AM1174" s="2" t="n">
        <x:f>IF(J1174&lt;&gt;"PASS",0,'Motor_Meciuri'!BT89)</x:f>
        <x:v>0</x:v>
      </x:c>
      <x:c r="AN1174" s="2" t="str">
        <x:f>IF(M1174="","",MAX(0,'Motor_Meciuri'!BF89-IF(L1174&gt;'Config_v6'!$B$12,'Config_v6'!$B$37,IF(L1174&gt;'Config_v6'!$B$11,'Config_v6'!$B$36,0))))</x:f>
      </x:c>
    </x:row>
    <x:row r="1175" ht="21" customHeight="1">
      <x:c r="A1175" s="2" t="n">
        <x:v>84</x:v>
      </x:c>
      <x:c r="B1175" s="2" t="str">
        <x:f>IF('Motor_Meciuri'!A89="","",'Motor_Meciuri'!A89)</x:f>
      </x:c>
      <x:c r="C1175" s="2" t="str">
        <x:f>IF(B1175="","",'Motor_Meciuri'!B89)</x:f>
      </x:c>
      <x:c r="D1175" s="2" t="str">
        <x:f>IF(B1175="","",'Motor_Meciuri'!D89)</x:f>
      </x:c>
      <x:c r="E1175" s="2" t="str">
        <x:f>IF(B1175="","",'Motor_Meciuri'!E89)</x:f>
      </x:c>
      <x:c r="F1175" s="2" t="str">
        <x:v>U11,5</x:v>
      </x:c>
      <x:c r="G1175" s="2" t="str">
        <x:v>UNDER</x:v>
      </x:c>
      <x:c r="H1175" s="2" t="n">
        <x:v>11</x:v>
      </x:c>
      <x:c r="I1175" s="2" t="str">
        <x:f>IF(B1175="","",'Motor_Meciuri'!H89)</x:f>
      </x:c>
      <x:c r="J1175" s="2" t="str">
        <x:f>IF(B1175="","",'Motor_Meciuri'!I89)</x:f>
      </x:c>
      <x:c r="K1175" s="11" t="str">
        <x:f>IF(J1175&lt;&gt;"PASS","",'Motor_Meciuri'!BD89)</x:f>
      </x:c>
      <x:c r="L1175" s="11" t="str">
        <x:f>IF(J1175&lt;&gt;"PASS","",'Motor_Meciuri'!AU89)</x:f>
      </x:c>
      <x:c r="M1175" s="10" t="str">
        <x:f>IF(NOT(AND(J1175="PASS",'Calibrare_Linii'!U13="VALID")),"",'Distributie'!AI89)</x:f>
      </x:c>
      <x:c r="N1175" s="10" t="str">
        <x:f>IF(M1175="","",MAX(0.01,MIN(0.99,0.5+(M1175-0.5)*'Motor_Meciuri'!BG89*'Calibrare_Linii'!D13)))</x:f>
      </x:c>
      <x:c r="O1175" s="10" t="str">
        <x:f>IF(M1175="","",1-M1175)</x:f>
      </x:c>
      <x:c r="P1175" s="10" t="str">
        <x:f>IF(OR(NOT(AND(J1175="PASS",'Calibrare_Linii'!U13="VALID")),AK1175=0),""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*('Istoric_Nativ'!$Q$6:$Q$405&gt;H1175))/AK1175)</x:f>
      </x:c>
      <x:c r="Q1175" s="10" t="str">
        <x:f>IF(OR(NOT(AND(J1175="PASS",'Calibrare_Linii'!U13="VALID")),AL1175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M89)+((('Istoric_Nativ'!$E$6:$E$405='Input_Meci'!E89)+('Istoric_Nativ'!$F$6:$F$405='Input_Meci'!E89))&gt;0)*('Istoric_Nativ'!$D$6:$D$405&gt;='Motor_Meciuri'!BN89))&gt;0)*('Istoric_Nativ'!$Q$6:$Q$405&gt;H1175))/AL1175)</x:f>
      </x:c>
      <x:c r="R1175" s="10" t="str">
        <x:f>IF(OR(NOT(AND(J1175="PASS",'Calibrare_Linii'!U13="VALID")),AM1175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O89)+((('Istoric_Nativ'!$E$6:$E$405='Input_Meci'!E89)+('Istoric_Nativ'!$F$6:$F$405='Input_Meci'!E89))&gt;0)*('Istoric_Nativ'!$D$6:$D$405&gt;='Motor_Meciuri'!BP89))&gt;0)*('Istoric_Nativ'!$Q$6:$Q$405&gt;H1175))/AM1175)</x:f>
      </x:c>
      <x:c r="S1175" s="10" t="str">
        <x:f>IF(M1175="","",MAX(O1175,P1175,Q1175,R1175))</x:f>
      </x:c>
      <x:c r="T1175" s="11" t="str">
        <x:f>IF(M1175="","",MIN(100,S1175*100*'Config_v6'!$B$44+MIN(100,L1175/'Config_v6'!$B$13*100)*'Config_v6'!$B$45+(100-'Motor_Meciuri'!BF89)*'Config_v6'!$B$46+'Motor_Meciuri'!BH89*100*'Config_v6'!$B$47))</x:f>
      </x:c>
      <x:c r="U1175" s="2" t="str">
        <x:f>IF(T1175="","",IF(T1175&lt;=20,1,IF(T1175&lt;=40,2,IF(T1175&lt;=60,3,IF(T1175&lt;=80,4,5)))))</x:f>
      </x:c>
      <x:c r="V1175" s="2" t="str">
        <x:f>IF(M1175="","",MAX(0,'Motor_Meciuri'!BF89-IF(W1175="OOS PENDING",'Config_v6'!$B$35,0)-IF(L1175&gt;'Config_v6'!$B$12,'Config_v6'!$B$37,IF(L1175&gt;'Config_v6'!$B$11,'Config_v6'!$B$36,0))))</x:f>
      </x:c>
      <x:c r="W1175" s="2" t="str">
        <x:f>IF(B1175="","",IF(I1175&lt;&gt;"READY","NOT RELEASED",IF(NOT(AND(J1175="PASS",'Calibrare_Linii'!U13="VALID")),"INVALID",IF(NOT(AND('Calibrare_Linii'!S13="VALIDATED",AND('Calibrare_Linii'!H13=C1175,ISNUMBER('Calibrare_Linii'!J13),'Calibrare_Linii'!J13&lt;='Input_Meci'!G89))),"OOS PENDING",IF(S1175&lt;='Calibrare_Linii'!E13,"PASS",IF(S1175&lt;='Calibrare_Linii'!F13,"PENALTY","WATCH"))))))</x:f>
      </x:c>
      <x:c r="X1175" s="2" t="str">
        <x:f>IF(M1175="","",IF(AND(AND(J1175="PASS",'Calibrare_Linii'!U13="VALID"),'Motor_Meciuri'!K89=12,'Motor_Meciuri'!L89=12,'Motor_Meciuri'!M89="NO",'Motor_Meciuri'!BL89='Motor_Meciuri'!C89,AB1175&gt;='Config_v6'!$B$50,AN1175&gt;='Config_v6'!$B$51,T1175&lt;='Config_v6'!$B$52,L1175&lt;='Config_v6'!$B$53,ISNUMBER('Calibrare_Linii'!E13),S1175&lt;='Calibrare_Linii'!E13,SUM(AK1175:AM1175)&gt;0),"CANDIDATE","NO"))</x:f>
      </x:c>
      <x:c r="Y1175" s="2" t="str">
        <x:f>IF(B1175="","",IF(I1175&lt;&gt;"READY","NOT RELEASED",IF(AND(X1175="CANDIDATE",V1175&gt;='Config_v6'!$B$51,W1175="PASS",'Calibrare_Linii'!T13="VALIDATED",AND('Calibrare_Linii'!H13=C1175,ISNUMBER('Calibrare_Linii'!J13),'Calibrare_Linii'!J13&lt;='Input_Meci'!G89)),"PASS",IF(X1175="CANDIDATE","OOS PENDING","FAIL"))))</x:f>
      </x:c>
      <x:c r="Z1175" s="2" t="str">
        <x:f>IF(B1175="","",IF(I1175&lt;&gt;"READY","",IF(OR(NOT(AND(J1175="PASS",'Calibrare_Linii'!U13="VALID")),L1175&gt;'Config_v6'!$B$13,W1175="WATCH"),5,IF(Y1175="PASS",1,MIN(5,MAX('Config_v6'!$B$42,U1175)+IF(W1175="PENALTY",1,0))))))</x:f>
      </x:c>
      <x:c r="AA1175" s="2" t="str">
        <x:f>IF(B1175="","",IF(I1175&lt;&gt;"READY","NOT RELEASED",IF(Z1175=5,"NO BET",IF(OR(AB1175&lt;'Config_v6'!$B$16,V1175&lt;'Config_v6'!$B$18),"WATCH",IF(Z1175=1,"DEFENSIV",IF(Z1175=2,"PRUDENT",IF(Z1175=3,"MODERAT","RIDICAT")))))))</x:f>
      </x:c>
      <x:c r="AB1175" s="10" t="str">
        <x:f>IF(N1175="","",MIN(N1175,1-S1175))</x:f>
      </x:c>
      <x:c r="AC1175" s="2" t="str">
        <x:f>IF(AD1175&lt;&gt;1,"",COUNTIFS($Z$1168:$Z$1181,"&lt;"&amp;Z1175,$AD$1168:$AD$1181,1)+COUNTIFS($Z$1168:$Z$1181,Z1175,$AB$1168:$AB$1181,"&gt;"&amp;AB1175,$AD$1168:$AD$1181,1)+COUNTIFS($Z$1168:$Z$1181,Z1175,$AB$1168:$AB$1181,AB1175,$V$1168:$V$1181,"&gt;"&amp;V1175,$AD$1168:$AD$1181,1)+COUNTIFS($Z$1168:Z1175,Z1175,$AB$1168:AB1175,AB1175,$V$1168:V1175,V1175,$AD$1168:AD1175,1))</x:f>
      </x:c>
      <x:c r="AD1175" s="2" t="n">
        <x:f>IF(OR(AA1175="DEFENSIV",AA1175="PRUDENT",AA1175="MODERAT",AA1175="RIDICAT"),1,0)</x:f>
        <x:v>0</x:v>
      </x:c>
      <x:c r="AE1175" s="2" t="str">
        <x:f>IF(AD1175&lt;&gt;1,"NO",IF(W1175="PASS","YES",IF(W1175="OOS PENDING","CONDITIONAL","NO")))</x:f>
        <x:v>NO</x:v>
      </x:c>
      <x:c r="AF1175" s="2" t="n">
        <x:f>IF(AND(AD1175=1,AC1175=1,E1175="LIVE"),1,0)</x:f>
        <x:v>0</x:v>
      </x:c>
      <x:c r="AG1175" s="2" t="str">
        <x:f>IF(AF1175&lt;&gt;1,"",'Dashboard'!P109)</x:f>
      </x:c>
      <x:c r="AH1175" s="2" t="str">
        <x:f>IF(B1175="","",IF(J1175&lt;&gt;"PASS",'Motor_Meciuri'!J89,IF('Calibrare_Linii'!U13&lt;&gt;"VALID","Parametri linie invalizi",IF(L1175&gt;'Config_v6'!$B$13,"Dispersie peste limita",IF(W1175="WATCH","Failure peste limita",IF(AB1175&lt;'Config_v6'!$B$16,"P finala sub prag",IF(V1175&lt;'Config_v6'!$B$18,"Confidence sub prag",IF(E1175="REPLAY","Exemplu retrospectiv; exclus din Top LIVE",IF(Y1175="PASS","DEFENSIV validat",IF(W1175="OOS PENDING","Eligibil; calibrare linie in monitorizare","Eligibil"))))))))))</x:f>
      </x:c>
      <x:c r="AI1175" s="2" t="str">
        <x:f>IF(B1175="","",'Calibrare_Linii'!V13)</x:f>
      </x:c>
      <x:c r="AJ1175" s="2" t="str">
        <x:f>IF(B1175="","",IF(AND('Calibrare_Linii'!T13="VALIDATED",AND('Calibrare_Linii'!H13=C1175,ISNUMBER('Calibrare_Linii'!J13),'Calibrare_Linii'!J13&lt;='Input_Meci'!G89)),"DEFENSIVE VALIDATED",IF(AND('Calibrare_Linii'!S13="VALIDATED",AND('Calibrare_Linii'!H13=C1175,ISNUMBER('Calibrare_Linii'!J13),'Calibrare_Linii'!J13&lt;='Input_Meci'!G89)),"TAIL VALIDATED","OOS PENDING")))</x:f>
      </x:c>
      <x:c r="AK1175" s="2" t="n">
        <x:f>IF(J1175&lt;&gt;"PASS",0,'Motor_Meciuri'!BR89)</x:f>
        <x:v>0</x:v>
      </x:c>
      <x:c r="AL1175" s="2" t="n">
        <x:f>IF(J1175&lt;&gt;"PASS",0,'Motor_Meciuri'!BS89)</x:f>
        <x:v>0</x:v>
      </x:c>
      <x:c r="AM1175" s="2" t="n">
        <x:f>IF(J1175&lt;&gt;"PASS",0,'Motor_Meciuri'!BT89)</x:f>
        <x:v>0</x:v>
      </x:c>
      <x:c r="AN1175" s="2" t="str">
        <x:f>IF(M1175="","",MAX(0,'Motor_Meciuri'!BF89-IF(L1175&gt;'Config_v6'!$B$12,'Config_v6'!$B$37,IF(L1175&gt;'Config_v6'!$B$11,'Config_v6'!$B$36,0))))</x:f>
      </x:c>
    </x:row>
    <x:row r="1176" ht="21" customHeight="1">
      <x:c r="A1176" s="2" t="n">
        <x:v>84</x:v>
      </x:c>
      <x:c r="B1176" s="2" t="str">
        <x:f>IF('Motor_Meciuri'!A89="","",'Motor_Meciuri'!A89)</x:f>
      </x:c>
      <x:c r="C1176" s="2" t="str">
        <x:f>IF(B1176="","",'Motor_Meciuri'!B89)</x:f>
      </x:c>
      <x:c r="D1176" s="2" t="str">
        <x:f>IF(B1176="","",'Motor_Meciuri'!D89)</x:f>
      </x:c>
      <x:c r="E1176" s="2" t="str">
        <x:f>IF(B1176="","",'Motor_Meciuri'!E89)</x:f>
      </x:c>
      <x:c r="F1176" s="2" t="str">
        <x:v>U12,5</x:v>
      </x:c>
      <x:c r="G1176" s="2" t="str">
        <x:v>UNDER</x:v>
      </x:c>
      <x:c r="H1176" s="2" t="n">
        <x:v>12</x:v>
      </x:c>
      <x:c r="I1176" s="2" t="str">
        <x:f>IF(B1176="","",'Motor_Meciuri'!H89)</x:f>
      </x:c>
      <x:c r="J1176" s="2" t="str">
        <x:f>IF(B1176="","",'Motor_Meciuri'!I89)</x:f>
      </x:c>
      <x:c r="K1176" s="11" t="str">
        <x:f>IF(J1176&lt;&gt;"PASS","",'Motor_Meciuri'!BD89)</x:f>
      </x:c>
      <x:c r="L1176" s="11" t="str">
        <x:f>IF(J1176&lt;&gt;"PASS","",'Motor_Meciuri'!AU89)</x:f>
      </x:c>
      <x:c r="M1176" s="10" t="str">
        <x:f>IF(NOT(AND(J1176="PASS",'Calibrare_Linii'!U14="VALID")),"",'Distributie'!AJ89)</x:f>
      </x:c>
      <x:c r="N1176" s="10" t="str">
        <x:f>IF(M1176="","",MAX(0.01,MIN(0.99,0.5+(M1176-0.5)*'Motor_Meciuri'!BG89*'Calibrare_Linii'!D14)))</x:f>
      </x:c>
      <x:c r="O1176" s="10" t="str">
        <x:f>IF(M1176="","",1-M1176)</x:f>
      </x:c>
      <x:c r="P1176" s="10" t="str">
        <x:f>IF(OR(NOT(AND(J1176="PASS",'Calibrare_Linii'!U14="VALID")),AK1176=0),""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*('Istoric_Nativ'!$Q$6:$Q$405&gt;H1176))/AK1176)</x:f>
      </x:c>
      <x:c r="Q1176" s="10" t="str">
        <x:f>IF(OR(NOT(AND(J1176="PASS",'Calibrare_Linii'!U14="VALID")),AL1176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M89)+((('Istoric_Nativ'!$E$6:$E$405='Input_Meci'!E89)+('Istoric_Nativ'!$F$6:$F$405='Input_Meci'!E89))&gt;0)*('Istoric_Nativ'!$D$6:$D$405&gt;='Motor_Meciuri'!BN89))&gt;0)*('Istoric_Nativ'!$Q$6:$Q$405&gt;H1176))/AL1176)</x:f>
      </x:c>
      <x:c r="R1176" s="10" t="str">
        <x:f>IF(OR(NOT(AND(J1176="PASS",'Calibrare_Linii'!U14="VALID")),AM1176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O89)+((('Istoric_Nativ'!$E$6:$E$405='Input_Meci'!E89)+('Istoric_Nativ'!$F$6:$F$405='Input_Meci'!E89))&gt;0)*('Istoric_Nativ'!$D$6:$D$405&gt;='Motor_Meciuri'!BP89))&gt;0)*('Istoric_Nativ'!$Q$6:$Q$405&gt;H1176))/AM1176)</x:f>
      </x:c>
      <x:c r="S1176" s="10" t="str">
        <x:f>IF(M1176="","",MAX(O1176,P1176,Q1176,R1176))</x:f>
      </x:c>
      <x:c r="T1176" s="11" t="str">
        <x:f>IF(M1176="","",MIN(100,S1176*100*'Config_v6'!$B$44+MIN(100,L1176/'Config_v6'!$B$13*100)*'Config_v6'!$B$45+(100-'Motor_Meciuri'!BF89)*'Config_v6'!$B$46+'Motor_Meciuri'!BH89*100*'Config_v6'!$B$47))</x:f>
      </x:c>
      <x:c r="U1176" s="2" t="str">
        <x:f>IF(T1176="","",IF(T1176&lt;=20,1,IF(T1176&lt;=40,2,IF(T1176&lt;=60,3,IF(T1176&lt;=80,4,5)))))</x:f>
      </x:c>
      <x:c r="V1176" s="2" t="str">
        <x:f>IF(M1176="","",MAX(0,'Motor_Meciuri'!BF89-IF(W1176="OOS PENDING",'Config_v6'!$B$35,0)-IF(L1176&gt;'Config_v6'!$B$12,'Config_v6'!$B$37,IF(L1176&gt;'Config_v6'!$B$11,'Config_v6'!$B$36,0))))</x:f>
      </x:c>
      <x:c r="W1176" s="2" t="str">
        <x:f>IF(B1176="","",IF(I1176&lt;&gt;"READY","NOT RELEASED",IF(NOT(AND(J1176="PASS",'Calibrare_Linii'!U14="VALID")),"INVALID",IF(NOT(AND('Calibrare_Linii'!S14="VALIDATED",AND('Calibrare_Linii'!H14=C1176,ISNUMBER('Calibrare_Linii'!J14),'Calibrare_Linii'!J14&lt;='Input_Meci'!G89))),"OOS PENDING",IF(S1176&lt;='Calibrare_Linii'!E14,"PASS",IF(S1176&lt;='Calibrare_Linii'!F14,"PENALTY","WATCH"))))))</x:f>
      </x:c>
      <x:c r="X1176" s="2" t="str">
        <x:f>IF(M1176="","",IF(AND(AND(J1176="PASS",'Calibrare_Linii'!U14="VALID"),'Motor_Meciuri'!K89=12,'Motor_Meciuri'!L89=12,'Motor_Meciuri'!M89="NO",'Motor_Meciuri'!BL89='Motor_Meciuri'!C89,AB1176&gt;='Config_v6'!$B$50,AN1176&gt;='Config_v6'!$B$51,T1176&lt;='Config_v6'!$B$52,L1176&lt;='Config_v6'!$B$53,ISNUMBER('Calibrare_Linii'!E14),S1176&lt;='Calibrare_Linii'!E14,SUM(AK1176:AM1176)&gt;0),"CANDIDATE","NO"))</x:f>
      </x:c>
      <x:c r="Y1176" s="2" t="str">
        <x:f>IF(B1176="","",IF(I1176&lt;&gt;"READY","NOT RELEASED",IF(AND(X1176="CANDIDATE",V1176&gt;='Config_v6'!$B$51,W1176="PASS",'Calibrare_Linii'!T14="VALIDATED",AND('Calibrare_Linii'!H14=C1176,ISNUMBER('Calibrare_Linii'!J14),'Calibrare_Linii'!J14&lt;='Input_Meci'!G89)),"PASS",IF(X1176="CANDIDATE","OOS PENDING","FAIL"))))</x:f>
      </x:c>
      <x:c r="Z1176" s="2" t="str">
        <x:f>IF(B1176="","",IF(I1176&lt;&gt;"READY","",IF(OR(NOT(AND(J1176="PASS",'Calibrare_Linii'!U14="VALID")),L1176&gt;'Config_v6'!$B$13,W1176="WATCH"),5,IF(Y1176="PASS",1,MIN(5,MAX('Config_v6'!$B$42,U1176)+IF(W1176="PENALTY",1,0))))))</x:f>
      </x:c>
      <x:c r="AA1176" s="2" t="str">
        <x:f>IF(B1176="","",IF(I1176&lt;&gt;"READY","NOT RELEASED",IF(Z1176=5,"NO BET",IF(OR(AB1176&lt;'Config_v6'!$B$16,V1176&lt;'Config_v6'!$B$18),"WATCH",IF(Z1176=1,"DEFENSIV",IF(Z1176=2,"PRUDENT",IF(Z1176=3,"MODERAT","RIDICAT")))))))</x:f>
      </x:c>
      <x:c r="AB1176" s="10" t="str">
        <x:f>IF(N1176="","",MIN(N1176,1-S1176))</x:f>
      </x:c>
      <x:c r="AC1176" s="2" t="str">
        <x:f>IF(AD1176&lt;&gt;1,"",COUNTIFS($Z$1168:$Z$1181,"&lt;"&amp;Z1176,$AD$1168:$AD$1181,1)+COUNTIFS($Z$1168:$Z$1181,Z1176,$AB$1168:$AB$1181,"&gt;"&amp;AB1176,$AD$1168:$AD$1181,1)+COUNTIFS($Z$1168:$Z$1181,Z1176,$AB$1168:$AB$1181,AB1176,$V$1168:$V$1181,"&gt;"&amp;V1176,$AD$1168:$AD$1181,1)+COUNTIFS($Z$1168:Z1176,Z1176,$AB$1168:AB1176,AB1176,$V$1168:V1176,V1176,$AD$1168:AD1176,1))</x:f>
      </x:c>
      <x:c r="AD1176" s="2" t="n">
        <x:f>IF(OR(AA1176="DEFENSIV",AA1176="PRUDENT",AA1176="MODERAT",AA1176="RIDICAT"),1,0)</x:f>
        <x:v>0</x:v>
      </x:c>
      <x:c r="AE1176" s="2" t="str">
        <x:f>IF(AD1176&lt;&gt;1,"NO",IF(W1176="PASS","YES",IF(W1176="OOS PENDING","CONDITIONAL","NO")))</x:f>
        <x:v>NO</x:v>
      </x:c>
      <x:c r="AF1176" s="2" t="n">
        <x:f>IF(AND(AD1176=1,AC1176=1,E1176="LIVE"),1,0)</x:f>
        <x:v>0</x:v>
      </x:c>
      <x:c r="AG1176" s="2" t="str">
        <x:f>IF(AF1176&lt;&gt;1,"",'Dashboard'!P109)</x:f>
      </x:c>
      <x:c r="AH1176" s="2" t="str">
        <x:f>IF(B1176="","",IF(J1176&lt;&gt;"PASS",'Motor_Meciuri'!J89,IF('Calibrare_Linii'!U14&lt;&gt;"VALID","Parametri linie invalizi",IF(L1176&gt;'Config_v6'!$B$13,"Dispersie peste limita",IF(W1176="WATCH","Failure peste limita",IF(AB1176&lt;'Config_v6'!$B$16,"P finala sub prag",IF(V1176&lt;'Config_v6'!$B$18,"Confidence sub prag",IF(E1176="REPLAY","Exemplu retrospectiv; exclus din Top LIVE",IF(Y1176="PASS","DEFENSIV validat",IF(W1176="OOS PENDING","Eligibil; calibrare linie in monitorizare","Eligibil"))))))))))</x:f>
      </x:c>
      <x:c r="AI1176" s="2" t="str">
        <x:f>IF(B1176="","",'Calibrare_Linii'!V14)</x:f>
      </x:c>
      <x:c r="AJ1176" s="2" t="str">
        <x:f>IF(B1176="","",IF(AND('Calibrare_Linii'!T14="VALIDATED",AND('Calibrare_Linii'!H14=C1176,ISNUMBER('Calibrare_Linii'!J14),'Calibrare_Linii'!J14&lt;='Input_Meci'!G89)),"DEFENSIVE VALIDATED",IF(AND('Calibrare_Linii'!S14="VALIDATED",AND('Calibrare_Linii'!H14=C1176,ISNUMBER('Calibrare_Linii'!J14),'Calibrare_Linii'!J14&lt;='Input_Meci'!G89)),"TAIL VALIDATED","OOS PENDING")))</x:f>
      </x:c>
      <x:c r="AK1176" s="2" t="n">
        <x:f>IF(J1176&lt;&gt;"PASS",0,'Motor_Meciuri'!BR89)</x:f>
        <x:v>0</x:v>
      </x:c>
      <x:c r="AL1176" s="2" t="n">
        <x:f>IF(J1176&lt;&gt;"PASS",0,'Motor_Meciuri'!BS89)</x:f>
        <x:v>0</x:v>
      </x:c>
      <x:c r="AM1176" s="2" t="n">
        <x:f>IF(J1176&lt;&gt;"PASS",0,'Motor_Meciuri'!BT89)</x:f>
        <x:v>0</x:v>
      </x:c>
      <x:c r="AN1176" s="2" t="str">
        <x:f>IF(M1176="","",MAX(0,'Motor_Meciuri'!BF89-IF(L1176&gt;'Config_v6'!$B$12,'Config_v6'!$B$37,IF(L1176&gt;'Config_v6'!$B$11,'Config_v6'!$B$36,0))))</x:f>
      </x:c>
    </x:row>
    <x:row r="1177" ht="21" customHeight="1">
      <x:c r="A1177" s="2" t="n">
        <x:v>84</x:v>
      </x:c>
      <x:c r="B1177" s="2" t="str">
        <x:f>IF('Motor_Meciuri'!A89="","",'Motor_Meciuri'!A89)</x:f>
      </x:c>
      <x:c r="C1177" s="2" t="str">
        <x:f>IF(B1177="","",'Motor_Meciuri'!B89)</x:f>
      </x:c>
      <x:c r="D1177" s="2" t="str">
        <x:f>IF(B1177="","",'Motor_Meciuri'!D89)</x:f>
      </x:c>
      <x:c r="E1177" s="2" t="str">
        <x:f>IF(B1177="","",'Motor_Meciuri'!E89)</x:f>
      </x:c>
      <x:c r="F1177" s="2" t="str">
        <x:v>U13,5</x:v>
      </x:c>
      <x:c r="G1177" s="2" t="str">
        <x:v>UNDER</x:v>
      </x:c>
      <x:c r="H1177" s="2" t="n">
        <x:v>13</x:v>
      </x:c>
      <x:c r="I1177" s="2" t="str">
        <x:f>IF(B1177="","",'Motor_Meciuri'!H89)</x:f>
      </x:c>
      <x:c r="J1177" s="2" t="str">
        <x:f>IF(B1177="","",'Motor_Meciuri'!I89)</x:f>
      </x:c>
      <x:c r="K1177" s="11" t="str">
        <x:f>IF(J1177&lt;&gt;"PASS","",'Motor_Meciuri'!BD89)</x:f>
      </x:c>
      <x:c r="L1177" s="11" t="str">
        <x:f>IF(J1177&lt;&gt;"PASS","",'Motor_Meciuri'!AU89)</x:f>
      </x:c>
      <x:c r="M1177" s="10" t="str">
        <x:f>IF(NOT(AND(J1177="PASS",'Calibrare_Linii'!U15="VALID")),"",'Distributie'!AK89)</x:f>
      </x:c>
      <x:c r="N1177" s="10" t="str">
        <x:f>IF(M1177="","",MAX(0.01,MIN(0.99,0.5+(M1177-0.5)*'Motor_Meciuri'!BG89*'Calibrare_Linii'!D15)))</x:f>
      </x:c>
      <x:c r="O1177" s="10" t="str">
        <x:f>IF(M1177="","",1-M1177)</x:f>
      </x:c>
      <x:c r="P1177" s="10" t="str">
        <x:f>IF(OR(NOT(AND(J1177="PASS",'Calibrare_Linii'!U15="VALID")),AK1177=0),""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*('Istoric_Nativ'!$Q$6:$Q$405&gt;H1177))/AK1177)</x:f>
      </x:c>
      <x:c r="Q1177" s="10" t="str">
        <x:f>IF(OR(NOT(AND(J1177="PASS",'Calibrare_Linii'!U15="VALID")),AL1177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M89)+((('Istoric_Nativ'!$E$6:$E$405='Input_Meci'!E89)+('Istoric_Nativ'!$F$6:$F$405='Input_Meci'!E89))&gt;0)*('Istoric_Nativ'!$D$6:$D$405&gt;='Motor_Meciuri'!BN89))&gt;0)*('Istoric_Nativ'!$Q$6:$Q$405&gt;H1177))/AL1177)</x:f>
      </x:c>
      <x:c r="R1177" s="10" t="str">
        <x:f>IF(OR(NOT(AND(J1177="PASS",'Calibrare_Linii'!U15="VALID")),AM1177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O89)+((('Istoric_Nativ'!$E$6:$E$405='Input_Meci'!E89)+('Istoric_Nativ'!$F$6:$F$405='Input_Meci'!E89))&gt;0)*('Istoric_Nativ'!$D$6:$D$405&gt;='Motor_Meciuri'!BP89))&gt;0)*('Istoric_Nativ'!$Q$6:$Q$405&gt;H1177))/AM1177)</x:f>
      </x:c>
      <x:c r="S1177" s="10" t="str">
        <x:f>IF(M1177="","",MAX(O1177,P1177,Q1177,R1177))</x:f>
      </x:c>
      <x:c r="T1177" s="11" t="str">
        <x:f>IF(M1177="","",MIN(100,S1177*100*'Config_v6'!$B$44+MIN(100,L1177/'Config_v6'!$B$13*100)*'Config_v6'!$B$45+(100-'Motor_Meciuri'!BF89)*'Config_v6'!$B$46+'Motor_Meciuri'!BH89*100*'Config_v6'!$B$47))</x:f>
      </x:c>
      <x:c r="U1177" s="2" t="str">
        <x:f>IF(T1177="","",IF(T1177&lt;=20,1,IF(T1177&lt;=40,2,IF(T1177&lt;=60,3,IF(T1177&lt;=80,4,5)))))</x:f>
      </x:c>
      <x:c r="V1177" s="2" t="str">
        <x:f>IF(M1177="","",MAX(0,'Motor_Meciuri'!BF89-IF(W1177="OOS PENDING",'Config_v6'!$B$35,0)-IF(L1177&gt;'Config_v6'!$B$12,'Config_v6'!$B$37,IF(L1177&gt;'Config_v6'!$B$11,'Config_v6'!$B$36,0))))</x:f>
      </x:c>
      <x:c r="W1177" s="2" t="str">
        <x:f>IF(B1177="","",IF(I1177&lt;&gt;"READY","NOT RELEASED",IF(NOT(AND(J1177="PASS",'Calibrare_Linii'!U15="VALID")),"INVALID",IF(NOT(AND('Calibrare_Linii'!S15="VALIDATED",AND('Calibrare_Linii'!H15=C1177,ISNUMBER('Calibrare_Linii'!J15),'Calibrare_Linii'!J15&lt;='Input_Meci'!G89))),"OOS PENDING",IF(S1177&lt;='Calibrare_Linii'!E15,"PASS",IF(S1177&lt;='Calibrare_Linii'!F15,"PENALTY","WATCH"))))))</x:f>
      </x:c>
      <x:c r="X1177" s="2" t="str">
        <x:f>IF(M1177="","",IF(AND(AND(J1177="PASS",'Calibrare_Linii'!U15="VALID"),'Motor_Meciuri'!K89=12,'Motor_Meciuri'!L89=12,'Motor_Meciuri'!M89="NO",'Motor_Meciuri'!BL89='Motor_Meciuri'!C89,AB1177&gt;='Config_v6'!$B$50,AN1177&gt;='Config_v6'!$B$51,T1177&lt;='Config_v6'!$B$52,L1177&lt;='Config_v6'!$B$53,ISNUMBER('Calibrare_Linii'!E15),S1177&lt;='Calibrare_Linii'!E15,SUM(AK1177:AM1177)&gt;0),"CANDIDATE","NO"))</x:f>
      </x:c>
      <x:c r="Y1177" s="2" t="str">
        <x:f>IF(B1177="","",IF(I1177&lt;&gt;"READY","NOT RELEASED",IF(AND(X1177="CANDIDATE",V1177&gt;='Config_v6'!$B$51,W1177="PASS",'Calibrare_Linii'!T15="VALIDATED",AND('Calibrare_Linii'!H15=C1177,ISNUMBER('Calibrare_Linii'!J15),'Calibrare_Linii'!J15&lt;='Input_Meci'!G89)),"PASS",IF(X1177="CANDIDATE","OOS PENDING","FAIL"))))</x:f>
      </x:c>
      <x:c r="Z1177" s="2" t="str">
        <x:f>IF(B1177="","",IF(I1177&lt;&gt;"READY","",IF(OR(NOT(AND(J1177="PASS",'Calibrare_Linii'!U15="VALID")),L1177&gt;'Config_v6'!$B$13,W1177="WATCH"),5,IF(Y1177="PASS",1,MIN(5,MAX('Config_v6'!$B$42,U1177)+IF(W1177="PENALTY",1,0))))))</x:f>
      </x:c>
      <x:c r="AA1177" s="2" t="str">
        <x:f>IF(B1177="","",IF(I1177&lt;&gt;"READY","NOT RELEASED",IF(Z1177=5,"NO BET",IF(OR(AB1177&lt;'Config_v6'!$B$16,V1177&lt;'Config_v6'!$B$18),"WATCH",IF(Z1177=1,"DEFENSIV",IF(Z1177=2,"PRUDENT",IF(Z1177=3,"MODERAT","RIDICAT")))))))</x:f>
      </x:c>
      <x:c r="AB1177" s="10" t="str">
        <x:f>IF(N1177="","",MIN(N1177,1-S1177))</x:f>
      </x:c>
      <x:c r="AC1177" s="2" t="str">
        <x:f>IF(AD1177&lt;&gt;1,"",COUNTIFS($Z$1168:$Z$1181,"&lt;"&amp;Z1177,$AD$1168:$AD$1181,1)+COUNTIFS($Z$1168:$Z$1181,Z1177,$AB$1168:$AB$1181,"&gt;"&amp;AB1177,$AD$1168:$AD$1181,1)+COUNTIFS($Z$1168:$Z$1181,Z1177,$AB$1168:$AB$1181,AB1177,$V$1168:$V$1181,"&gt;"&amp;V1177,$AD$1168:$AD$1181,1)+COUNTIFS($Z$1168:Z1177,Z1177,$AB$1168:AB1177,AB1177,$V$1168:V1177,V1177,$AD$1168:AD1177,1))</x:f>
      </x:c>
      <x:c r="AD1177" s="2" t="n">
        <x:f>IF(OR(AA1177="DEFENSIV",AA1177="PRUDENT",AA1177="MODERAT",AA1177="RIDICAT"),1,0)</x:f>
        <x:v>0</x:v>
      </x:c>
      <x:c r="AE1177" s="2" t="str">
        <x:f>IF(AD1177&lt;&gt;1,"NO",IF(W1177="PASS","YES",IF(W1177="OOS PENDING","CONDITIONAL","NO")))</x:f>
        <x:v>NO</x:v>
      </x:c>
      <x:c r="AF1177" s="2" t="n">
        <x:f>IF(AND(AD1177=1,AC1177=1,E1177="LIVE"),1,0)</x:f>
        <x:v>0</x:v>
      </x:c>
      <x:c r="AG1177" s="2" t="str">
        <x:f>IF(AF1177&lt;&gt;1,"",'Dashboard'!P109)</x:f>
      </x:c>
      <x:c r="AH1177" s="2" t="str">
        <x:f>IF(B1177="","",IF(J1177&lt;&gt;"PASS",'Motor_Meciuri'!J89,IF('Calibrare_Linii'!U15&lt;&gt;"VALID","Parametri linie invalizi",IF(L1177&gt;'Config_v6'!$B$13,"Dispersie peste limita",IF(W1177="WATCH","Failure peste limita",IF(AB1177&lt;'Config_v6'!$B$16,"P finala sub prag",IF(V1177&lt;'Config_v6'!$B$18,"Confidence sub prag",IF(E1177="REPLAY","Exemplu retrospectiv; exclus din Top LIVE",IF(Y1177="PASS","DEFENSIV validat",IF(W1177="OOS PENDING","Eligibil; calibrare linie in monitorizare","Eligibil"))))))))))</x:f>
      </x:c>
      <x:c r="AI1177" s="2" t="str">
        <x:f>IF(B1177="","",'Calibrare_Linii'!V15)</x:f>
      </x:c>
      <x:c r="AJ1177" s="2" t="str">
        <x:f>IF(B1177="","",IF(AND('Calibrare_Linii'!T15="VALIDATED",AND('Calibrare_Linii'!H15=C1177,ISNUMBER('Calibrare_Linii'!J15),'Calibrare_Linii'!J15&lt;='Input_Meci'!G89)),"DEFENSIVE VALIDATED",IF(AND('Calibrare_Linii'!S15="VALIDATED",AND('Calibrare_Linii'!H15=C1177,ISNUMBER('Calibrare_Linii'!J15),'Calibrare_Linii'!J15&lt;='Input_Meci'!G89)),"TAIL VALIDATED","OOS PENDING")))</x:f>
      </x:c>
      <x:c r="AK1177" s="2" t="n">
        <x:f>IF(J1177&lt;&gt;"PASS",0,'Motor_Meciuri'!BR89)</x:f>
        <x:v>0</x:v>
      </x:c>
      <x:c r="AL1177" s="2" t="n">
        <x:f>IF(J1177&lt;&gt;"PASS",0,'Motor_Meciuri'!BS89)</x:f>
        <x:v>0</x:v>
      </x:c>
      <x:c r="AM1177" s="2" t="n">
        <x:f>IF(J1177&lt;&gt;"PASS",0,'Motor_Meciuri'!BT89)</x:f>
        <x:v>0</x:v>
      </x:c>
      <x:c r="AN1177" s="2" t="str">
        <x:f>IF(M1177="","",MAX(0,'Motor_Meciuri'!BF89-IF(L1177&gt;'Config_v6'!$B$12,'Config_v6'!$B$37,IF(L1177&gt;'Config_v6'!$B$11,'Config_v6'!$B$36,0))))</x:f>
      </x:c>
    </x:row>
    <x:row r="1178" ht="21" customHeight="1">
      <x:c r="A1178" s="2" t="n">
        <x:v>84</x:v>
      </x:c>
      <x:c r="B1178" s="2" t="str">
        <x:f>IF('Motor_Meciuri'!A89="","",'Motor_Meciuri'!A89)</x:f>
      </x:c>
      <x:c r="C1178" s="2" t="str">
        <x:f>IF(B1178="","",'Motor_Meciuri'!B89)</x:f>
      </x:c>
      <x:c r="D1178" s="2" t="str">
        <x:f>IF(B1178="","",'Motor_Meciuri'!D89)</x:f>
      </x:c>
      <x:c r="E1178" s="2" t="str">
        <x:f>IF(B1178="","",'Motor_Meciuri'!E89)</x:f>
      </x:c>
      <x:c r="F1178" s="2" t="str">
        <x:v>U14,5</x:v>
      </x:c>
      <x:c r="G1178" s="2" t="str">
        <x:v>UNDER</x:v>
      </x:c>
      <x:c r="H1178" s="2" t="n">
        <x:v>14</x:v>
      </x:c>
      <x:c r="I1178" s="2" t="str">
        <x:f>IF(B1178="","",'Motor_Meciuri'!H89)</x:f>
      </x:c>
      <x:c r="J1178" s="2" t="str">
        <x:f>IF(B1178="","",'Motor_Meciuri'!I89)</x:f>
      </x:c>
      <x:c r="K1178" s="11" t="str">
        <x:f>IF(J1178&lt;&gt;"PASS","",'Motor_Meciuri'!BD89)</x:f>
      </x:c>
      <x:c r="L1178" s="11" t="str">
        <x:f>IF(J1178&lt;&gt;"PASS","",'Motor_Meciuri'!AU89)</x:f>
      </x:c>
      <x:c r="M1178" s="10" t="str">
        <x:f>IF(NOT(AND(J1178="PASS",'Calibrare_Linii'!U16="VALID")),"",'Distributie'!AL89)</x:f>
      </x:c>
      <x:c r="N1178" s="10" t="str">
        <x:f>IF(M1178="","",MAX(0.01,MIN(0.99,0.5+(M1178-0.5)*'Motor_Meciuri'!BG89*'Calibrare_Linii'!D16)))</x:f>
      </x:c>
      <x:c r="O1178" s="10" t="str">
        <x:f>IF(M1178="","",1-M1178)</x:f>
      </x:c>
      <x:c r="P1178" s="10" t="str">
        <x:f>IF(OR(NOT(AND(J1178="PASS",'Calibrare_Linii'!U16="VALID")),AK1178=0),""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*('Istoric_Nativ'!$Q$6:$Q$405&gt;H1178))/AK1178)</x:f>
      </x:c>
      <x:c r="Q1178" s="10" t="str">
        <x:f>IF(OR(NOT(AND(J1178="PASS",'Calibrare_Linii'!U16="VALID")),AL1178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M89)+((('Istoric_Nativ'!$E$6:$E$405='Input_Meci'!E89)+('Istoric_Nativ'!$F$6:$F$405='Input_Meci'!E89))&gt;0)*('Istoric_Nativ'!$D$6:$D$405&gt;='Motor_Meciuri'!BN89))&gt;0)*('Istoric_Nativ'!$Q$6:$Q$405&gt;H1178))/AL1178)</x:f>
      </x:c>
      <x:c r="R1178" s="10" t="str">
        <x:f>IF(OR(NOT(AND(J1178="PASS",'Calibrare_Linii'!U16="VALID")),AM1178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O89)+((('Istoric_Nativ'!$E$6:$E$405='Input_Meci'!E89)+('Istoric_Nativ'!$F$6:$F$405='Input_Meci'!E89))&gt;0)*('Istoric_Nativ'!$D$6:$D$405&gt;='Motor_Meciuri'!BP89))&gt;0)*('Istoric_Nativ'!$Q$6:$Q$405&gt;H1178))/AM1178)</x:f>
      </x:c>
      <x:c r="S1178" s="10" t="str">
        <x:f>IF(M1178="","",MAX(O1178,P1178,Q1178,R1178))</x:f>
      </x:c>
      <x:c r="T1178" s="11" t="str">
        <x:f>IF(M1178="","",MIN(100,S1178*100*'Config_v6'!$B$44+MIN(100,L1178/'Config_v6'!$B$13*100)*'Config_v6'!$B$45+(100-'Motor_Meciuri'!BF89)*'Config_v6'!$B$46+'Motor_Meciuri'!BH89*100*'Config_v6'!$B$47))</x:f>
      </x:c>
      <x:c r="U1178" s="2" t="str">
        <x:f>IF(T1178="","",IF(T1178&lt;=20,1,IF(T1178&lt;=40,2,IF(T1178&lt;=60,3,IF(T1178&lt;=80,4,5)))))</x:f>
      </x:c>
      <x:c r="V1178" s="2" t="str">
        <x:f>IF(M1178="","",MAX(0,'Motor_Meciuri'!BF89-IF(W1178="OOS PENDING",'Config_v6'!$B$35,0)-IF(L1178&gt;'Config_v6'!$B$12,'Config_v6'!$B$37,IF(L1178&gt;'Config_v6'!$B$11,'Config_v6'!$B$36,0))))</x:f>
      </x:c>
      <x:c r="W1178" s="2" t="str">
        <x:f>IF(B1178="","",IF(I1178&lt;&gt;"READY","NOT RELEASED",IF(NOT(AND(J1178="PASS",'Calibrare_Linii'!U16="VALID")),"INVALID",IF(NOT(AND('Calibrare_Linii'!S16="VALIDATED",AND('Calibrare_Linii'!H16=C1178,ISNUMBER('Calibrare_Linii'!J16),'Calibrare_Linii'!J16&lt;='Input_Meci'!G89))),"OOS PENDING",IF(S1178&lt;='Calibrare_Linii'!E16,"PASS",IF(S1178&lt;='Calibrare_Linii'!F16,"PENALTY","WATCH"))))))</x:f>
      </x:c>
      <x:c r="X1178" s="2" t="str">
        <x:f>IF(M1178="","",IF(AND(AND(J1178="PASS",'Calibrare_Linii'!U16="VALID"),'Motor_Meciuri'!K89=12,'Motor_Meciuri'!L89=12,'Motor_Meciuri'!M89="NO",'Motor_Meciuri'!BL89='Motor_Meciuri'!C89,AB1178&gt;='Config_v6'!$B$50,AN1178&gt;='Config_v6'!$B$51,T1178&lt;='Config_v6'!$B$52,L1178&lt;='Config_v6'!$B$53,ISNUMBER('Calibrare_Linii'!E16),S1178&lt;='Calibrare_Linii'!E16,SUM(AK1178:AM1178)&gt;0),"CANDIDATE","NO"))</x:f>
      </x:c>
      <x:c r="Y1178" s="2" t="str">
        <x:f>IF(B1178="","",IF(I1178&lt;&gt;"READY","NOT RELEASED",IF(AND(X1178="CANDIDATE",V1178&gt;='Config_v6'!$B$51,W1178="PASS",'Calibrare_Linii'!T16="VALIDATED",AND('Calibrare_Linii'!H16=C1178,ISNUMBER('Calibrare_Linii'!J16),'Calibrare_Linii'!J16&lt;='Input_Meci'!G89)),"PASS",IF(X1178="CANDIDATE","OOS PENDING","FAIL"))))</x:f>
      </x:c>
      <x:c r="Z1178" s="2" t="str">
        <x:f>IF(B1178="","",IF(I1178&lt;&gt;"READY","",IF(OR(NOT(AND(J1178="PASS",'Calibrare_Linii'!U16="VALID")),L1178&gt;'Config_v6'!$B$13,W1178="WATCH"),5,IF(Y1178="PASS",1,MIN(5,MAX('Config_v6'!$B$42,U1178)+IF(W1178="PENALTY",1,0))))))</x:f>
      </x:c>
      <x:c r="AA1178" s="2" t="str">
        <x:f>IF(B1178="","",IF(I1178&lt;&gt;"READY","NOT RELEASED",IF(Z1178=5,"NO BET",IF(OR(AB1178&lt;'Config_v6'!$B$16,V1178&lt;'Config_v6'!$B$18),"WATCH",IF(Z1178=1,"DEFENSIV",IF(Z1178=2,"PRUDENT",IF(Z1178=3,"MODERAT","RIDICAT")))))))</x:f>
      </x:c>
      <x:c r="AB1178" s="10" t="str">
        <x:f>IF(N1178="","",MIN(N1178,1-S1178))</x:f>
      </x:c>
      <x:c r="AC1178" s="2" t="str">
        <x:f>IF(AD1178&lt;&gt;1,"",COUNTIFS($Z$1168:$Z$1181,"&lt;"&amp;Z1178,$AD$1168:$AD$1181,1)+COUNTIFS($Z$1168:$Z$1181,Z1178,$AB$1168:$AB$1181,"&gt;"&amp;AB1178,$AD$1168:$AD$1181,1)+COUNTIFS($Z$1168:$Z$1181,Z1178,$AB$1168:$AB$1181,AB1178,$V$1168:$V$1181,"&gt;"&amp;V1178,$AD$1168:$AD$1181,1)+COUNTIFS($Z$1168:Z1178,Z1178,$AB$1168:AB1178,AB1178,$V$1168:V1178,V1178,$AD$1168:AD1178,1))</x:f>
      </x:c>
      <x:c r="AD1178" s="2" t="n">
        <x:f>IF(OR(AA1178="DEFENSIV",AA1178="PRUDENT",AA1178="MODERAT",AA1178="RIDICAT"),1,0)</x:f>
        <x:v>0</x:v>
      </x:c>
      <x:c r="AE1178" s="2" t="str">
        <x:f>IF(AD1178&lt;&gt;1,"NO",IF(W1178="PASS","YES",IF(W1178="OOS PENDING","CONDITIONAL","NO")))</x:f>
        <x:v>NO</x:v>
      </x:c>
      <x:c r="AF1178" s="2" t="n">
        <x:f>IF(AND(AD1178=1,AC1178=1,E1178="LIVE"),1,0)</x:f>
        <x:v>0</x:v>
      </x:c>
      <x:c r="AG1178" s="2" t="str">
        <x:f>IF(AF1178&lt;&gt;1,"",'Dashboard'!P109)</x:f>
      </x:c>
      <x:c r="AH1178" s="2" t="str">
        <x:f>IF(B1178="","",IF(J1178&lt;&gt;"PASS",'Motor_Meciuri'!J89,IF('Calibrare_Linii'!U16&lt;&gt;"VALID","Parametri linie invalizi",IF(L1178&gt;'Config_v6'!$B$13,"Dispersie peste limita",IF(W1178="WATCH","Failure peste limita",IF(AB1178&lt;'Config_v6'!$B$16,"P finala sub prag",IF(V1178&lt;'Config_v6'!$B$18,"Confidence sub prag",IF(E1178="REPLAY","Exemplu retrospectiv; exclus din Top LIVE",IF(Y1178="PASS","DEFENSIV validat",IF(W1178="OOS PENDING","Eligibil; calibrare linie in monitorizare","Eligibil"))))))))))</x:f>
      </x:c>
      <x:c r="AI1178" s="2" t="str">
        <x:f>IF(B1178="","",'Calibrare_Linii'!V16)</x:f>
      </x:c>
      <x:c r="AJ1178" s="2" t="str">
        <x:f>IF(B1178="","",IF(AND('Calibrare_Linii'!T16="VALIDATED",AND('Calibrare_Linii'!H16=C1178,ISNUMBER('Calibrare_Linii'!J16),'Calibrare_Linii'!J16&lt;='Input_Meci'!G89)),"DEFENSIVE VALIDATED",IF(AND('Calibrare_Linii'!S16="VALIDATED",AND('Calibrare_Linii'!H16=C1178,ISNUMBER('Calibrare_Linii'!J16),'Calibrare_Linii'!J16&lt;='Input_Meci'!G89)),"TAIL VALIDATED","OOS PENDING")))</x:f>
      </x:c>
      <x:c r="AK1178" s="2" t="n">
        <x:f>IF(J1178&lt;&gt;"PASS",0,'Motor_Meciuri'!BR89)</x:f>
        <x:v>0</x:v>
      </x:c>
      <x:c r="AL1178" s="2" t="n">
        <x:f>IF(J1178&lt;&gt;"PASS",0,'Motor_Meciuri'!BS89)</x:f>
        <x:v>0</x:v>
      </x:c>
      <x:c r="AM1178" s="2" t="n">
        <x:f>IF(J1178&lt;&gt;"PASS",0,'Motor_Meciuri'!BT89)</x:f>
        <x:v>0</x:v>
      </x:c>
      <x:c r="AN1178" s="2" t="str">
        <x:f>IF(M1178="","",MAX(0,'Motor_Meciuri'!BF89-IF(L1178&gt;'Config_v6'!$B$12,'Config_v6'!$B$37,IF(L1178&gt;'Config_v6'!$B$11,'Config_v6'!$B$36,0))))</x:f>
      </x:c>
    </x:row>
    <x:row r="1179" ht="21" customHeight="1">
      <x:c r="A1179" s="2" t="n">
        <x:v>84</x:v>
      </x:c>
      <x:c r="B1179" s="2" t="str">
        <x:f>IF('Motor_Meciuri'!A89="","",'Motor_Meciuri'!A89)</x:f>
      </x:c>
      <x:c r="C1179" s="2" t="str">
        <x:f>IF(B1179="","",'Motor_Meciuri'!B89)</x:f>
      </x:c>
      <x:c r="D1179" s="2" t="str">
        <x:f>IF(B1179="","",'Motor_Meciuri'!D89)</x:f>
      </x:c>
      <x:c r="E1179" s="2" t="str">
        <x:f>IF(B1179="","",'Motor_Meciuri'!E89)</x:f>
      </x:c>
      <x:c r="F1179" s="2" t="str">
        <x:v>U15,5</x:v>
      </x:c>
      <x:c r="G1179" s="2" t="str">
        <x:v>UNDER</x:v>
      </x:c>
      <x:c r="H1179" s="2" t="n">
        <x:v>15</x:v>
      </x:c>
      <x:c r="I1179" s="2" t="str">
        <x:f>IF(B1179="","",'Motor_Meciuri'!H89)</x:f>
      </x:c>
      <x:c r="J1179" s="2" t="str">
        <x:f>IF(B1179="","",'Motor_Meciuri'!I89)</x:f>
      </x:c>
      <x:c r="K1179" s="11" t="str">
        <x:f>IF(J1179&lt;&gt;"PASS","",'Motor_Meciuri'!BD89)</x:f>
      </x:c>
      <x:c r="L1179" s="11" t="str">
        <x:f>IF(J1179&lt;&gt;"PASS","",'Motor_Meciuri'!AU89)</x:f>
      </x:c>
      <x:c r="M1179" s="10" t="str">
        <x:f>IF(NOT(AND(J1179="PASS",'Calibrare_Linii'!U17="VALID")),"",'Distributie'!AM89)</x:f>
      </x:c>
      <x:c r="N1179" s="10" t="str">
        <x:f>IF(M1179="","",MAX(0.01,MIN(0.99,0.5+(M1179-0.5)*'Motor_Meciuri'!BG89*'Calibrare_Linii'!D17)))</x:f>
      </x:c>
      <x:c r="O1179" s="10" t="str">
        <x:f>IF(M1179="","",1-M1179)</x:f>
      </x:c>
      <x:c r="P1179" s="10" t="str">
        <x:f>IF(OR(NOT(AND(J1179="PASS",'Calibrare_Linii'!U17="VALID")),AK1179=0),""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*('Istoric_Nativ'!$Q$6:$Q$405&gt;H1179))/AK1179)</x:f>
      </x:c>
      <x:c r="Q1179" s="10" t="str">
        <x:f>IF(OR(NOT(AND(J1179="PASS",'Calibrare_Linii'!U17="VALID")),AL1179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M89)+((('Istoric_Nativ'!$E$6:$E$405='Input_Meci'!E89)+('Istoric_Nativ'!$F$6:$F$405='Input_Meci'!E89))&gt;0)*('Istoric_Nativ'!$D$6:$D$405&gt;='Motor_Meciuri'!BN89))&gt;0)*('Istoric_Nativ'!$Q$6:$Q$405&gt;H1179))/AL1179)</x:f>
      </x:c>
      <x:c r="R1179" s="10" t="str">
        <x:f>IF(OR(NOT(AND(J1179="PASS",'Calibrare_Linii'!U17="VALID")),AM1179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O89)+((('Istoric_Nativ'!$E$6:$E$405='Input_Meci'!E89)+('Istoric_Nativ'!$F$6:$F$405='Input_Meci'!E89))&gt;0)*('Istoric_Nativ'!$D$6:$D$405&gt;='Motor_Meciuri'!BP89))&gt;0)*('Istoric_Nativ'!$Q$6:$Q$405&gt;H1179))/AM1179)</x:f>
      </x:c>
      <x:c r="S1179" s="10" t="str">
        <x:f>IF(M1179="","",MAX(O1179,P1179,Q1179,R1179))</x:f>
      </x:c>
      <x:c r="T1179" s="11" t="str">
        <x:f>IF(M1179="","",MIN(100,S1179*100*'Config_v6'!$B$44+MIN(100,L1179/'Config_v6'!$B$13*100)*'Config_v6'!$B$45+(100-'Motor_Meciuri'!BF89)*'Config_v6'!$B$46+'Motor_Meciuri'!BH89*100*'Config_v6'!$B$47))</x:f>
      </x:c>
      <x:c r="U1179" s="2" t="str">
        <x:f>IF(T1179="","",IF(T1179&lt;=20,1,IF(T1179&lt;=40,2,IF(T1179&lt;=60,3,IF(T1179&lt;=80,4,5)))))</x:f>
      </x:c>
      <x:c r="V1179" s="2" t="str">
        <x:f>IF(M1179="","",MAX(0,'Motor_Meciuri'!BF89-IF(W1179="OOS PENDING",'Config_v6'!$B$35,0)-IF(L1179&gt;'Config_v6'!$B$12,'Config_v6'!$B$37,IF(L1179&gt;'Config_v6'!$B$11,'Config_v6'!$B$36,0))))</x:f>
      </x:c>
      <x:c r="W1179" s="2" t="str">
        <x:f>IF(B1179="","",IF(I1179&lt;&gt;"READY","NOT RELEASED",IF(NOT(AND(J1179="PASS",'Calibrare_Linii'!U17="VALID")),"INVALID",IF(NOT(AND('Calibrare_Linii'!S17="VALIDATED",AND('Calibrare_Linii'!H17=C1179,ISNUMBER('Calibrare_Linii'!J17),'Calibrare_Linii'!J17&lt;='Input_Meci'!G89))),"OOS PENDING",IF(S1179&lt;='Calibrare_Linii'!E17,"PASS",IF(S1179&lt;='Calibrare_Linii'!F17,"PENALTY","WATCH"))))))</x:f>
      </x:c>
      <x:c r="X1179" s="2" t="str">
        <x:f>IF(M1179="","",IF(AND(AND(J1179="PASS",'Calibrare_Linii'!U17="VALID"),'Motor_Meciuri'!K89=12,'Motor_Meciuri'!L89=12,'Motor_Meciuri'!M89="NO",'Motor_Meciuri'!BL89='Motor_Meciuri'!C89,AB1179&gt;='Config_v6'!$B$50,AN1179&gt;='Config_v6'!$B$51,T1179&lt;='Config_v6'!$B$52,L1179&lt;='Config_v6'!$B$53,ISNUMBER('Calibrare_Linii'!E17),S1179&lt;='Calibrare_Linii'!E17,SUM(AK1179:AM1179)&gt;0),"CANDIDATE","NO"))</x:f>
      </x:c>
      <x:c r="Y1179" s="2" t="str">
        <x:f>IF(B1179="","",IF(I1179&lt;&gt;"READY","NOT RELEASED",IF(AND(X1179="CANDIDATE",V1179&gt;='Config_v6'!$B$51,W1179="PASS",'Calibrare_Linii'!T17="VALIDATED",AND('Calibrare_Linii'!H17=C1179,ISNUMBER('Calibrare_Linii'!J17),'Calibrare_Linii'!J17&lt;='Input_Meci'!G89)),"PASS",IF(X1179="CANDIDATE","OOS PENDING","FAIL"))))</x:f>
      </x:c>
      <x:c r="Z1179" s="2" t="str">
        <x:f>IF(B1179="","",IF(I1179&lt;&gt;"READY","",IF(OR(NOT(AND(J1179="PASS",'Calibrare_Linii'!U17="VALID")),L1179&gt;'Config_v6'!$B$13,W1179="WATCH"),5,IF(Y1179="PASS",1,MIN(5,MAX('Config_v6'!$B$42,U1179)+IF(W1179="PENALTY",1,0))))))</x:f>
      </x:c>
      <x:c r="AA1179" s="2" t="str">
        <x:f>IF(B1179="","",IF(I1179&lt;&gt;"READY","NOT RELEASED",IF(Z1179=5,"NO BET",IF(OR(AB1179&lt;'Config_v6'!$B$16,V1179&lt;'Config_v6'!$B$18),"WATCH",IF(Z1179=1,"DEFENSIV",IF(Z1179=2,"PRUDENT",IF(Z1179=3,"MODERAT","RIDICAT")))))))</x:f>
      </x:c>
      <x:c r="AB1179" s="10" t="str">
        <x:f>IF(N1179="","",MIN(N1179,1-S1179))</x:f>
      </x:c>
      <x:c r="AC1179" s="2" t="str">
        <x:f>IF(AD1179&lt;&gt;1,"",COUNTIFS($Z$1168:$Z$1181,"&lt;"&amp;Z1179,$AD$1168:$AD$1181,1)+COUNTIFS($Z$1168:$Z$1181,Z1179,$AB$1168:$AB$1181,"&gt;"&amp;AB1179,$AD$1168:$AD$1181,1)+COUNTIFS($Z$1168:$Z$1181,Z1179,$AB$1168:$AB$1181,AB1179,$V$1168:$V$1181,"&gt;"&amp;V1179,$AD$1168:$AD$1181,1)+COUNTIFS($Z$1168:Z1179,Z1179,$AB$1168:AB1179,AB1179,$V$1168:V1179,V1179,$AD$1168:AD1179,1))</x:f>
      </x:c>
      <x:c r="AD1179" s="2" t="n">
        <x:f>IF(OR(AA1179="DEFENSIV",AA1179="PRUDENT",AA1179="MODERAT",AA1179="RIDICAT"),1,0)</x:f>
        <x:v>0</x:v>
      </x:c>
      <x:c r="AE1179" s="2" t="str">
        <x:f>IF(AD1179&lt;&gt;1,"NO",IF(W1179="PASS","YES",IF(W1179="OOS PENDING","CONDITIONAL","NO")))</x:f>
        <x:v>NO</x:v>
      </x:c>
      <x:c r="AF1179" s="2" t="n">
        <x:f>IF(AND(AD1179=1,AC1179=1,E1179="LIVE"),1,0)</x:f>
        <x:v>0</x:v>
      </x:c>
      <x:c r="AG1179" s="2" t="str">
        <x:f>IF(AF1179&lt;&gt;1,"",'Dashboard'!P109)</x:f>
      </x:c>
      <x:c r="AH1179" s="2" t="str">
        <x:f>IF(B1179="","",IF(J1179&lt;&gt;"PASS",'Motor_Meciuri'!J89,IF('Calibrare_Linii'!U17&lt;&gt;"VALID","Parametri linie invalizi",IF(L1179&gt;'Config_v6'!$B$13,"Dispersie peste limita",IF(W1179="WATCH","Failure peste limita",IF(AB1179&lt;'Config_v6'!$B$16,"P finala sub prag",IF(V1179&lt;'Config_v6'!$B$18,"Confidence sub prag",IF(E1179="REPLAY","Exemplu retrospectiv; exclus din Top LIVE",IF(Y1179="PASS","DEFENSIV validat",IF(W1179="OOS PENDING","Eligibil; calibrare linie in monitorizare","Eligibil"))))))))))</x:f>
      </x:c>
      <x:c r="AI1179" s="2" t="str">
        <x:f>IF(B1179="","",'Calibrare_Linii'!V17)</x:f>
      </x:c>
      <x:c r="AJ1179" s="2" t="str">
        <x:f>IF(B1179="","",IF(AND('Calibrare_Linii'!T17="VALIDATED",AND('Calibrare_Linii'!H17=C1179,ISNUMBER('Calibrare_Linii'!J17),'Calibrare_Linii'!J17&lt;='Input_Meci'!G89)),"DEFENSIVE VALIDATED",IF(AND('Calibrare_Linii'!S17="VALIDATED",AND('Calibrare_Linii'!H17=C1179,ISNUMBER('Calibrare_Linii'!J17),'Calibrare_Linii'!J17&lt;='Input_Meci'!G89)),"TAIL VALIDATED","OOS PENDING")))</x:f>
      </x:c>
      <x:c r="AK1179" s="2" t="n">
        <x:f>IF(J1179&lt;&gt;"PASS",0,'Motor_Meciuri'!BR89)</x:f>
        <x:v>0</x:v>
      </x:c>
      <x:c r="AL1179" s="2" t="n">
        <x:f>IF(J1179&lt;&gt;"PASS",0,'Motor_Meciuri'!BS89)</x:f>
        <x:v>0</x:v>
      </x:c>
      <x:c r="AM1179" s="2" t="n">
        <x:f>IF(J1179&lt;&gt;"PASS",0,'Motor_Meciuri'!BT89)</x:f>
        <x:v>0</x:v>
      </x:c>
      <x:c r="AN1179" s="2" t="str">
        <x:f>IF(M1179="","",MAX(0,'Motor_Meciuri'!BF89-IF(L1179&gt;'Config_v6'!$B$12,'Config_v6'!$B$37,IF(L1179&gt;'Config_v6'!$B$11,'Config_v6'!$B$36,0))))</x:f>
      </x:c>
    </x:row>
    <x:row r="1180" ht="21" customHeight="1">
      <x:c r="A1180" s="2" t="n">
        <x:v>84</x:v>
      </x:c>
      <x:c r="B1180" s="2" t="str">
        <x:f>IF('Motor_Meciuri'!A89="","",'Motor_Meciuri'!A89)</x:f>
      </x:c>
      <x:c r="C1180" s="2" t="str">
        <x:f>IF(B1180="","",'Motor_Meciuri'!B89)</x:f>
      </x:c>
      <x:c r="D1180" s="2" t="str">
        <x:f>IF(B1180="","",'Motor_Meciuri'!D89)</x:f>
      </x:c>
      <x:c r="E1180" s="2" t="str">
        <x:f>IF(B1180="","",'Motor_Meciuri'!E89)</x:f>
      </x:c>
      <x:c r="F1180" s="2" t="str">
        <x:v>U16,5</x:v>
      </x:c>
      <x:c r="G1180" s="2" t="str">
        <x:v>UNDER</x:v>
      </x:c>
      <x:c r="H1180" s="2" t="n">
        <x:v>16</x:v>
      </x:c>
      <x:c r="I1180" s="2" t="str">
        <x:f>IF(B1180="","",'Motor_Meciuri'!H89)</x:f>
      </x:c>
      <x:c r="J1180" s="2" t="str">
        <x:f>IF(B1180="","",'Motor_Meciuri'!I89)</x:f>
      </x:c>
      <x:c r="K1180" s="11" t="str">
        <x:f>IF(J1180&lt;&gt;"PASS","",'Motor_Meciuri'!BD89)</x:f>
      </x:c>
      <x:c r="L1180" s="11" t="str">
        <x:f>IF(J1180&lt;&gt;"PASS","",'Motor_Meciuri'!AU89)</x:f>
      </x:c>
      <x:c r="M1180" s="10" t="str">
        <x:f>IF(NOT(AND(J1180="PASS",'Calibrare_Linii'!U18="VALID")),"",'Distributie'!AN89)</x:f>
      </x:c>
      <x:c r="N1180" s="10" t="str">
        <x:f>IF(M1180="","",MAX(0.01,MIN(0.99,0.5+(M1180-0.5)*'Motor_Meciuri'!BG89*'Calibrare_Linii'!D18)))</x:f>
      </x:c>
      <x:c r="O1180" s="10" t="str">
        <x:f>IF(M1180="","",1-M1180)</x:f>
      </x:c>
      <x:c r="P1180" s="10" t="str">
        <x:f>IF(OR(NOT(AND(J1180="PASS",'Calibrare_Linii'!U18="VALID")),AK1180=0),""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*('Istoric_Nativ'!$Q$6:$Q$405&gt;H1180))/AK1180)</x:f>
      </x:c>
      <x:c r="Q1180" s="10" t="str">
        <x:f>IF(OR(NOT(AND(J1180="PASS",'Calibrare_Linii'!U18="VALID")),AL1180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M89)+((('Istoric_Nativ'!$E$6:$E$405='Input_Meci'!E89)+('Istoric_Nativ'!$F$6:$F$405='Input_Meci'!E89))&gt;0)*('Istoric_Nativ'!$D$6:$D$405&gt;='Motor_Meciuri'!BN89))&gt;0)*('Istoric_Nativ'!$Q$6:$Q$405&gt;H1180))/AL1180)</x:f>
      </x:c>
      <x:c r="R1180" s="10" t="str">
        <x:f>IF(OR(NOT(AND(J1180="PASS",'Calibrare_Linii'!U18="VALID")),AM1180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O89)+((('Istoric_Nativ'!$E$6:$E$405='Input_Meci'!E89)+('Istoric_Nativ'!$F$6:$F$405='Input_Meci'!E89))&gt;0)*('Istoric_Nativ'!$D$6:$D$405&gt;='Motor_Meciuri'!BP89))&gt;0)*('Istoric_Nativ'!$Q$6:$Q$405&gt;H1180))/AM1180)</x:f>
      </x:c>
      <x:c r="S1180" s="10" t="str">
        <x:f>IF(M1180="","",MAX(O1180,P1180,Q1180,R1180))</x:f>
      </x:c>
      <x:c r="T1180" s="11" t="str">
        <x:f>IF(M1180="","",MIN(100,S1180*100*'Config_v6'!$B$44+MIN(100,L1180/'Config_v6'!$B$13*100)*'Config_v6'!$B$45+(100-'Motor_Meciuri'!BF89)*'Config_v6'!$B$46+'Motor_Meciuri'!BH89*100*'Config_v6'!$B$47))</x:f>
      </x:c>
      <x:c r="U1180" s="2" t="str">
        <x:f>IF(T1180="","",IF(T1180&lt;=20,1,IF(T1180&lt;=40,2,IF(T1180&lt;=60,3,IF(T1180&lt;=80,4,5)))))</x:f>
      </x:c>
      <x:c r="V1180" s="2" t="str">
        <x:f>IF(M1180="","",MAX(0,'Motor_Meciuri'!BF89-IF(W1180="OOS PENDING",'Config_v6'!$B$35,0)-IF(L1180&gt;'Config_v6'!$B$12,'Config_v6'!$B$37,IF(L1180&gt;'Config_v6'!$B$11,'Config_v6'!$B$36,0))))</x:f>
      </x:c>
      <x:c r="W1180" s="2" t="str">
        <x:f>IF(B1180="","",IF(I1180&lt;&gt;"READY","NOT RELEASED",IF(NOT(AND(J1180="PASS",'Calibrare_Linii'!U18="VALID")),"INVALID",IF(NOT(AND('Calibrare_Linii'!S18="VALIDATED",AND('Calibrare_Linii'!H18=C1180,ISNUMBER('Calibrare_Linii'!J18),'Calibrare_Linii'!J18&lt;='Input_Meci'!G89))),"OOS PENDING",IF(S1180&lt;='Calibrare_Linii'!E18,"PASS",IF(S1180&lt;='Calibrare_Linii'!F18,"PENALTY","WATCH"))))))</x:f>
      </x:c>
      <x:c r="X1180" s="2" t="str">
        <x:f>IF(M1180="","",IF(AND(AND(J1180="PASS",'Calibrare_Linii'!U18="VALID"),'Motor_Meciuri'!K89=12,'Motor_Meciuri'!L89=12,'Motor_Meciuri'!M89="NO",'Motor_Meciuri'!BL89='Motor_Meciuri'!C89,AB1180&gt;='Config_v6'!$B$50,AN1180&gt;='Config_v6'!$B$51,T1180&lt;='Config_v6'!$B$52,L1180&lt;='Config_v6'!$B$53,ISNUMBER('Calibrare_Linii'!E18),S1180&lt;='Calibrare_Linii'!E18,SUM(AK1180:AM1180)&gt;0),"CANDIDATE","NO"))</x:f>
      </x:c>
      <x:c r="Y1180" s="2" t="str">
        <x:f>IF(B1180="","",IF(I1180&lt;&gt;"READY","NOT RELEASED",IF(AND(X1180="CANDIDATE",V1180&gt;='Config_v6'!$B$51,W1180="PASS",'Calibrare_Linii'!T18="VALIDATED",AND('Calibrare_Linii'!H18=C1180,ISNUMBER('Calibrare_Linii'!J18),'Calibrare_Linii'!J18&lt;='Input_Meci'!G89)),"PASS",IF(X1180="CANDIDATE","OOS PENDING","FAIL"))))</x:f>
      </x:c>
      <x:c r="Z1180" s="2" t="str">
        <x:f>IF(B1180="","",IF(I1180&lt;&gt;"READY","",IF(OR(NOT(AND(J1180="PASS",'Calibrare_Linii'!U18="VALID")),L1180&gt;'Config_v6'!$B$13,W1180="WATCH"),5,IF(Y1180="PASS",1,MIN(5,MAX('Config_v6'!$B$42,U1180)+IF(W1180="PENALTY",1,0))))))</x:f>
      </x:c>
      <x:c r="AA1180" s="2" t="str">
        <x:f>IF(B1180="","",IF(I1180&lt;&gt;"READY","NOT RELEASED",IF(Z1180=5,"NO BET",IF(OR(AB1180&lt;'Config_v6'!$B$16,V1180&lt;'Config_v6'!$B$18),"WATCH",IF(Z1180=1,"DEFENSIV",IF(Z1180=2,"PRUDENT",IF(Z1180=3,"MODERAT","RIDICAT")))))))</x:f>
      </x:c>
      <x:c r="AB1180" s="10" t="str">
        <x:f>IF(N1180="","",MIN(N1180,1-S1180))</x:f>
      </x:c>
      <x:c r="AC1180" s="2" t="str">
        <x:f>IF(AD1180&lt;&gt;1,"",COUNTIFS($Z$1168:$Z$1181,"&lt;"&amp;Z1180,$AD$1168:$AD$1181,1)+COUNTIFS($Z$1168:$Z$1181,Z1180,$AB$1168:$AB$1181,"&gt;"&amp;AB1180,$AD$1168:$AD$1181,1)+COUNTIFS($Z$1168:$Z$1181,Z1180,$AB$1168:$AB$1181,AB1180,$V$1168:$V$1181,"&gt;"&amp;V1180,$AD$1168:$AD$1181,1)+COUNTIFS($Z$1168:Z1180,Z1180,$AB$1168:AB1180,AB1180,$V$1168:V1180,V1180,$AD$1168:AD1180,1))</x:f>
      </x:c>
      <x:c r="AD1180" s="2" t="n">
        <x:f>IF(OR(AA1180="DEFENSIV",AA1180="PRUDENT",AA1180="MODERAT",AA1180="RIDICAT"),1,0)</x:f>
        <x:v>0</x:v>
      </x:c>
      <x:c r="AE1180" s="2" t="str">
        <x:f>IF(AD1180&lt;&gt;1,"NO",IF(W1180="PASS","YES",IF(W1180="OOS PENDING","CONDITIONAL","NO")))</x:f>
        <x:v>NO</x:v>
      </x:c>
      <x:c r="AF1180" s="2" t="n">
        <x:f>IF(AND(AD1180=1,AC1180=1,E1180="LIVE"),1,0)</x:f>
        <x:v>0</x:v>
      </x:c>
      <x:c r="AG1180" s="2" t="str">
        <x:f>IF(AF1180&lt;&gt;1,"",'Dashboard'!P109)</x:f>
      </x:c>
      <x:c r="AH1180" s="2" t="str">
        <x:f>IF(B1180="","",IF(J1180&lt;&gt;"PASS",'Motor_Meciuri'!J89,IF('Calibrare_Linii'!U18&lt;&gt;"VALID","Parametri linie invalizi",IF(L1180&gt;'Config_v6'!$B$13,"Dispersie peste limita",IF(W1180="WATCH","Failure peste limita",IF(AB1180&lt;'Config_v6'!$B$16,"P finala sub prag",IF(V1180&lt;'Config_v6'!$B$18,"Confidence sub prag",IF(E1180="REPLAY","Exemplu retrospectiv; exclus din Top LIVE",IF(Y1180="PASS","DEFENSIV validat",IF(W1180="OOS PENDING","Eligibil; calibrare linie in monitorizare","Eligibil"))))))))))</x:f>
      </x:c>
      <x:c r="AI1180" s="2" t="str">
        <x:f>IF(B1180="","",'Calibrare_Linii'!V18)</x:f>
      </x:c>
      <x:c r="AJ1180" s="2" t="str">
        <x:f>IF(B1180="","",IF(AND('Calibrare_Linii'!T18="VALIDATED",AND('Calibrare_Linii'!H18=C1180,ISNUMBER('Calibrare_Linii'!J18),'Calibrare_Linii'!J18&lt;='Input_Meci'!G89)),"DEFENSIVE VALIDATED",IF(AND('Calibrare_Linii'!S18="VALIDATED",AND('Calibrare_Linii'!H18=C1180,ISNUMBER('Calibrare_Linii'!J18),'Calibrare_Linii'!J18&lt;='Input_Meci'!G89)),"TAIL VALIDATED","OOS PENDING")))</x:f>
      </x:c>
      <x:c r="AK1180" s="2" t="n">
        <x:f>IF(J1180&lt;&gt;"PASS",0,'Motor_Meciuri'!BR89)</x:f>
        <x:v>0</x:v>
      </x:c>
      <x:c r="AL1180" s="2" t="n">
        <x:f>IF(J1180&lt;&gt;"PASS",0,'Motor_Meciuri'!BS89)</x:f>
        <x:v>0</x:v>
      </x:c>
      <x:c r="AM1180" s="2" t="n">
        <x:f>IF(J1180&lt;&gt;"PASS",0,'Motor_Meciuri'!BT89)</x:f>
        <x:v>0</x:v>
      </x:c>
      <x:c r="AN1180" s="2" t="str">
        <x:f>IF(M1180="","",MAX(0,'Motor_Meciuri'!BF89-IF(L1180&gt;'Config_v6'!$B$12,'Config_v6'!$B$37,IF(L1180&gt;'Config_v6'!$B$11,'Config_v6'!$B$36,0))))</x:f>
      </x:c>
    </x:row>
    <x:row r="1181" ht="21" customHeight="1">
      <x:c r="A1181" s="2" t="n">
        <x:v>84</x:v>
      </x:c>
      <x:c r="B1181" s="2" t="str">
        <x:f>IF('Motor_Meciuri'!A89="","",'Motor_Meciuri'!A89)</x:f>
      </x:c>
      <x:c r="C1181" s="2" t="str">
        <x:f>IF(B1181="","",'Motor_Meciuri'!B89)</x:f>
      </x:c>
      <x:c r="D1181" s="2" t="str">
        <x:f>IF(B1181="","",'Motor_Meciuri'!D89)</x:f>
      </x:c>
      <x:c r="E1181" s="2" t="str">
        <x:f>IF(B1181="","",'Motor_Meciuri'!E89)</x:f>
      </x:c>
      <x:c r="F1181" s="2" t="str">
        <x:v>U17,5</x:v>
      </x:c>
      <x:c r="G1181" s="2" t="str">
        <x:v>UNDER</x:v>
      </x:c>
      <x:c r="H1181" s="2" t="n">
        <x:v>17</x:v>
      </x:c>
      <x:c r="I1181" s="2" t="str">
        <x:f>IF(B1181="","",'Motor_Meciuri'!H89)</x:f>
      </x:c>
      <x:c r="J1181" s="2" t="str">
        <x:f>IF(B1181="","",'Motor_Meciuri'!I89)</x:f>
      </x:c>
      <x:c r="K1181" s="11" t="str">
        <x:f>IF(J1181&lt;&gt;"PASS","",'Motor_Meciuri'!BD89)</x:f>
      </x:c>
      <x:c r="L1181" s="11" t="str">
        <x:f>IF(J1181&lt;&gt;"PASS","",'Motor_Meciuri'!AU89)</x:f>
      </x:c>
      <x:c r="M1181" s="10" t="str">
        <x:f>IF(NOT(AND(J1181="PASS",'Calibrare_Linii'!U19="VALID")),"",'Distributie'!AO89)</x:f>
      </x:c>
      <x:c r="N1181" s="10" t="str">
        <x:f>IF(M1181="","",MAX(0.01,MIN(0.99,0.5+(M1181-0.5)*'Motor_Meciuri'!BG89*'Calibrare_Linii'!D19)))</x:f>
      </x:c>
      <x:c r="O1181" s="10" t="str">
        <x:f>IF(M1181="","",1-M1181)</x:f>
      </x:c>
      <x:c r="P1181" s="10" t="str">
        <x:f>IF(OR(NOT(AND(J1181="PASS",'Calibrare_Linii'!U19="VALID")),AK1181=0),""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*('Istoric_Nativ'!$Q$6:$Q$405&gt;H1181))/AK1181)</x:f>
      </x:c>
      <x:c r="Q1181" s="10" t="str">
        <x:f>IF(OR(NOT(AND(J1181="PASS",'Calibrare_Linii'!U19="VALID")),AL1181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M89)+((('Istoric_Nativ'!$E$6:$E$405='Input_Meci'!E89)+('Istoric_Nativ'!$F$6:$F$405='Input_Meci'!E89))&gt;0)*('Istoric_Nativ'!$D$6:$D$405&gt;='Motor_Meciuri'!BN89))&gt;0)*('Istoric_Nativ'!$Q$6:$Q$405&gt;H1181))/AL1181)</x:f>
      </x:c>
      <x:c r="R1181" s="10" t="str">
        <x:f>IF(OR(NOT(AND(J1181="PASS",'Calibrare_Linii'!U19="VALID")),AM1181=0),""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'Motor_Meciuri'!BO89)+((('Istoric_Nativ'!$E$6:$E$405='Input_Meci'!E89)+('Istoric_Nativ'!$F$6:$F$405='Input_Meci'!E89))&gt;0)*('Istoric_Nativ'!$D$6:$D$405&gt;='Motor_Meciuri'!BP89))&gt;0)*('Istoric_Nativ'!$Q$6:$Q$405&gt;H1181))/AM1181)</x:f>
      </x:c>
      <x:c r="S1181" s="10" t="str">
        <x:f>IF(M1181="","",MAX(O1181,P1181,Q1181,R1181))</x:f>
      </x:c>
      <x:c r="T1181" s="11" t="str">
        <x:f>IF(M1181="","",MIN(100,S1181*100*'Config_v6'!$B$44+MIN(100,L1181/'Config_v6'!$B$13*100)*'Config_v6'!$B$45+(100-'Motor_Meciuri'!BF89)*'Config_v6'!$B$46+'Motor_Meciuri'!BH89*100*'Config_v6'!$B$47))</x:f>
      </x:c>
      <x:c r="U1181" s="2" t="str">
        <x:f>IF(T1181="","",IF(T1181&lt;=20,1,IF(T1181&lt;=40,2,IF(T1181&lt;=60,3,IF(T1181&lt;=80,4,5)))))</x:f>
      </x:c>
      <x:c r="V1181" s="2" t="str">
        <x:f>IF(M1181="","",MAX(0,'Motor_Meciuri'!BF89-IF(W1181="OOS PENDING",'Config_v6'!$B$35,0)-IF(L1181&gt;'Config_v6'!$B$12,'Config_v6'!$B$37,IF(L1181&gt;'Config_v6'!$B$11,'Config_v6'!$B$36,0))))</x:f>
      </x:c>
      <x:c r="W1181" s="2" t="str">
        <x:f>IF(B1181="","",IF(I1181&lt;&gt;"READY","NOT RELEASED",IF(NOT(AND(J1181="PASS",'Calibrare_Linii'!U19="VALID")),"INVALID",IF(NOT(AND('Calibrare_Linii'!S19="VALIDATED",AND('Calibrare_Linii'!H19=C1181,ISNUMBER('Calibrare_Linii'!J19),'Calibrare_Linii'!J19&lt;='Input_Meci'!G89))),"OOS PENDING",IF(S1181&lt;='Calibrare_Linii'!E19,"PASS",IF(S1181&lt;='Calibrare_Linii'!F19,"PENALTY","WATCH"))))))</x:f>
      </x:c>
      <x:c r="X1181" s="2" t="str">
        <x:f>IF(M1181="","",IF(AND(AND(J1181="PASS",'Calibrare_Linii'!U19="VALID"),'Motor_Meciuri'!K89=12,'Motor_Meciuri'!L89=12,'Motor_Meciuri'!M89="NO",'Motor_Meciuri'!BL89='Motor_Meciuri'!C89,AB1181&gt;='Config_v6'!$B$50,AN1181&gt;='Config_v6'!$B$51,T1181&lt;='Config_v6'!$B$52,L1181&lt;='Config_v6'!$B$53,ISNUMBER('Calibrare_Linii'!E19),S1181&lt;='Calibrare_Linii'!E19,SUM(AK1181:AM1181)&gt;0),"CANDIDATE","NO"))</x:f>
      </x:c>
      <x:c r="Y1181" s="2" t="str">
        <x:f>IF(B1181="","",IF(I1181&lt;&gt;"READY","NOT RELEASED",IF(AND(X1181="CANDIDATE",V1181&gt;='Config_v6'!$B$51,W1181="PASS",'Calibrare_Linii'!T19="VALIDATED",AND('Calibrare_Linii'!H19=C1181,ISNUMBER('Calibrare_Linii'!J19),'Calibrare_Linii'!J19&lt;='Input_Meci'!G89)),"PASS",IF(X1181="CANDIDATE","OOS PENDING","FAIL"))))</x:f>
      </x:c>
      <x:c r="Z1181" s="2" t="str">
        <x:f>IF(B1181="","",IF(I1181&lt;&gt;"READY","",IF(OR(NOT(AND(J1181="PASS",'Calibrare_Linii'!U19="VALID")),L1181&gt;'Config_v6'!$B$13,W1181="WATCH"),5,IF(Y1181="PASS",1,MIN(5,MAX('Config_v6'!$B$42,U1181)+IF(W1181="PENALTY",1,0))))))</x:f>
      </x:c>
      <x:c r="AA1181" s="2" t="str">
        <x:f>IF(B1181="","",IF(I1181&lt;&gt;"READY","NOT RELEASED",IF(Z1181=5,"NO BET",IF(OR(AB1181&lt;'Config_v6'!$B$16,V1181&lt;'Config_v6'!$B$18),"WATCH",IF(Z1181=1,"DEFENSIV",IF(Z1181=2,"PRUDENT",IF(Z1181=3,"MODERAT","RIDICAT")))))))</x:f>
      </x:c>
      <x:c r="AB1181" s="10" t="str">
        <x:f>IF(N1181="","",MIN(N1181,1-S1181))</x:f>
      </x:c>
      <x:c r="AC1181" s="2" t="str">
        <x:f>IF(AD1181&lt;&gt;1,"",COUNTIFS($Z$1168:$Z$1181,"&lt;"&amp;Z1181,$AD$1168:$AD$1181,1)+COUNTIFS($Z$1168:$Z$1181,Z1181,$AB$1168:$AB$1181,"&gt;"&amp;AB1181,$AD$1168:$AD$1181,1)+COUNTIFS($Z$1168:$Z$1181,Z1181,$AB$1168:$AB$1181,AB1181,$V$1168:$V$1181,"&gt;"&amp;V1181,$AD$1168:$AD$1181,1)+COUNTIFS($Z$1168:Z1181,Z1181,$AB$1168:AB1181,AB1181,$V$1168:V1181,V1181,$AD$1168:AD1181,1))</x:f>
      </x:c>
      <x:c r="AD1181" s="2" t="n">
        <x:f>IF(OR(AA1181="DEFENSIV",AA1181="PRUDENT",AA1181="MODERAT",AA1181="RIDICAT"),1,0)</x:f>
        <x:v>0</x:v>
      </x:c>
      <x:c r="AE1181" s="2" t="str">
        <x:f>IF(AD1181&lt;&gt;1,"NO",IF(W1181="PASS","YES",IF(W1181="OOS PENDING","CONDITIONAL","NO")))</x:f>
        <x:v>NO</x:v>
      </x:c>
      <x:c r="AF1181" s="2" t="n">
        <x:f>IF(AND(AD1181=1,AC1181=1,E1181="LIVE"),1,0)</x:f>
        <x:v>0</x:v>
      </x:c>
      <x:c r="AG1181" s="2" t="str">
        <x:f>IF(AF1181&lt;&gt;1,"",'Dashboard'!P109)</x:f>
      </x:c>
      <x:c r="AH1181" s="2" t="str">
        <x:f>IF(B1181="","",IF(J1181&lt;&gt;"PASS",'Motor_Meciuri'!J89,IF('Calibrare_Linii'!U19&lt;&gt;"VALID","Parametri linie invalizi",IF(L1181&gt;'Config_v6'!$B$13,"Dispersie peste limita",IF(W1181="WATCH","Failure peste limita",IF(AB1181&lt;'Config_v6'!$B$16,"P finala sub prag",IF(V1181&lt;'Config_v6'!$B$18,"Confidence sub prag",IF(E1181="REPLAY","Exemplu retrospectiv; exclus din Top LIVE",IF(Y1181="PASS","DEFENSIV validat",IF(W1181="OOS PENDING","Eligibil; calibrare linie in monitorizare","Eligibil"))))))))))</x:f>
      </x:c>
      <x:c r="AI1181" s="2" t="str">
        <x:f>IF(B1181="","",'Calibrare_Linii'!V19)</x:f>
      </x:c>
      <x:c r="AJ1181" s="2" t="str">
        <x:f>IF(B1181="","",IF(AND('Calibrare_Linii'!T19="VALIDATED",AND('Calibrare_Linii'!H19=C1181,ISNUMBER('Calibrare_Linii'!J19),'Calibrare_Linii'!J19&lt;='Input_Meci'!G89)),"DEFENSIVE VALIDATED",IF(AND('Calibrare_Linii'!S19="VALIDATED",AND('Calibrare_Linii'!H19=C1181,ISNUMBER('Calibrare_Linii'!J19),'Calibrare_Linii'!J19&lt;='Input_Meci'!G89)),"TAIL VALIDATED","OOS PENDING")))</x:f>
      </x:c>
      <x:c r="AK1181" s="2" t="n">
        <x:f>IF(J1181&lt;&gt;"PASS",0,'Motor_Meciuri'!BR89)</x:f>
        <x:v>0</x:v>
      </x:c>
      <x:c r="AL1181" s="2" t="n">
        <x:f>IF(J1181&lt;&gt;"PASS",0,'Motor_Meciuri'!BS89)</x:f>
        <x:v>0</x:v>
      </x:c>
      <x:c r="AM1181" s="2" t="n">
        <x:f>IF(J1181&lt;&gt;"PASS",0,'Motor_Meciuri'!BT89)</x:f>
        <x:v>0</x:v>
      </x:c>
      <x:c r="AN1181" s="2" t="str">
        <x:f>IF(M1181="","",MAX(0,'Motor_Meciuri'!BF89-IF(L1181&gt;'Config_v6'!$B$12,'Config_v6'!$B$37,IF(L1181&gt;'Config_v6'!$B$11,'Config_v6'!$B$36,0))))</x:f>
      </x:c>
    </x:row>
    <x:row r="1182" ht="21" customHeight="1">
      <x:c r="A1182" s="2" t="n">
        <x:v>85</x:v>
      </x:c>
      <x:c r="B1182" s="2" t="str">
        <x:f>IF('Motor_Meciuri'!A90="","",'Motor_Meciuri'!A90)</x:f>
      </x:c>
      <x:c r="C1182" s="2" t="str">
        <x:f>IF(B1182="","",'Motor_Meciuri'!B90)</x:f>
      </x:c>
      <x:c r="D1182" s="2" t="str">
        <x:f>IF(B1182="","",'Motor_Meciuri'!D90)</x:f>
      </x:c>
      <x:c r="E1182" s="2" t="str">
        <x:f>IF(B1182="","",'Motor_Meciuri'!E90)</x:f>
      </x:c>
      <x:c r="F1182" s="2" t="str">
        <x:v>O3,5</x:v>
      </x:c>
      <x:c r="G1182" s="2" t="str">
        <x:v>OVER</x:v>
      </x:c>
      <x:c r="H1182" s="2" t="n">
        <x:v>3</x:v>
      </x:c>
      <x:c r="I1182" s="2" t="str">
        <x:f>IF(B1182="","",'Motor_Meciuri'!H90)</x:f>
      </x:c>
      <x:c r="J1182" s="2" t="str">
        <x:f>IF(B1182="","",'Motor_Meciuri'!I90)</x:f>
      </x:c>
      <x:c r="K1182" s="11" t="str">
        <x:f>IF(J1182&lt;&gt;"PASS","",'Motor_Meciuri'!BD90)</x:f>
      </x:c>
      <x:c r="L1182" s="11" t="str">
        <x:f>IF(J1182&lt;&gt;"PASS","",'Motor_Meciuri'!AU90)</x:f>
      </x:c>
      <x:c r="M1182" s="10" t="str">
        <x:f>IF(NOT(AND(J1182="PASS",'Calibrare_Linii'!U6="VALID")),"",1-'Distributie'!AA90)</x:f>
      </x:c>
      <x:c r="N1182" s="10" t="str">
        <x:f>IF(M1182="","",MAX(0.01,MIN(0.99,0.5+(M1182-0.5)*'Motor_Meciuri'!BG90*'Calibrare_Linii'!D6)))</x:f>
      </x:c>
      <x:c r="O1182" s="10" t="str">
        <x:f>IF(M1182="","",1-M1182)</x:f>
      </x:c>
      <x:c r="P1182" s="10" t="str">
        <x:f>IF(OR(NOT(AND(J1182="PASS",'Calibrare_Linii'!U6="VALID")),AK1182=0),""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*('Istoric_Nativ'!$Q$6:$Q$405&lt;=H1182))/AK1182)</x:f>
      </x:c>
      <x:c r="Q1182" s="10" t="str">
        <x:f>IF(OR(NOT(AND(J1182="PASS",'Calibrare_Linii'!U6="VALID")),AL1182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M90)+((('Istoric_Nativ'!$E$6:$E$405='Input_Meci'!E90)+('Istoric_Nativ'!$F$6:$F$405='Input_Meci'!E90))&gt;0)*('Istoric_Nativ'!$D$6:$D$405&gt;='Motor_Meciuri'!BN90))&gt;0)*('Istoric_Nativ'!$Q$6:$Q$405&lt;=H1182))/AL1182)</x:f>
      </x:c>
      <x:c r="R1182" s="10" t="str">
        <x:f>IF(OR(NOT(AND(J1182="PASS",'Calibrare_Linii'!U6="VALID")),AM1182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O90)+((('Istoric_Nativ'!$E$6:$E$405='Input_Meci'!E90)+('Istoric_Nativ'!$F$6:$F$405='Input_Meci'!E90))&gt;0)*('Istoric_Nativ'!$D$6:$D$405&gt;='Motor_Meciuri'!BP90))&gt;0)*('Istoric_Nativ'!$Q$6:$Q$405&lt;=H1182))/AM1182)</x:f>
      </x:c>
      <x:c r="S1182" s="10" t="str">
        <x:f>IF(M1182="","",MAX(O1182,P1182,Q1182,R1182))</x:f>
      </x:c>
      <x:c r="T1182" s="11" t="str">
        <x:f>IF(M1182="","",MIN(100,S1182*100*'Config_v6'!$B$44+MIN(100,L1182/'Config_v6'!$B$13*100)*'Config_v6'!$B$45+(100-'Motor_Meciuri'!BF90)*'Config_v6'!$B$46+'Motor_Meciuri'!BH90*100*'Config_v6'!$B$47))</x:f>
      </x:c>
      <x:c r="U1182" s="2" t="str">
        <x:f>IF(T1182="","",IF(T1182&lt;=20,1,IF(T1182&lt;=40,2,IF(T1182&lt;=60,3,IF(T1182&lt;=80,4,5)))))</x:f>
      </x:c>
      <x:c r="V1182" s="2" t="str">
        <x:f>IF(M1182="","",MAX(0,'Motor_Meciuri'!BF90-IF(W1182="OOS PENDING",'Config_v6'!$B$35,0)-IF(L1182&gt;'Config_v6'!$B$12,'Config_v6'!$B$37,IF(L1182&gt;'Config_v6'!$B$11,'Config_v6'!$B$36,0))))</x:f>
      </x:c>
      <x:c r="W1182" s="2" t="str">
        <x:f>IF(B1182="","",IF(I1182&lt;&gt;"READY","NOT RELEASED",IF(NOT(AND(J1182="PASS",'Calibrare_Linii'!U6="VALID")),"INVALID",IF(NOT(TRUE),"OOS PENDING",IF(S1182&lt;=IF(AND('Calibrare_Linii'!S6="VALIDATED",AND('Calibrare_Linii'!H6=C1182,ISNUMBER('Calibrare_Linii'!J6),'Calibrare_Linii'!J6&lt;='Input_Meci'!G90)),'Calibrare_Linii'!E6,'Config_v6'!$B$26),"PASS",IF(S1182&lt;=IF(AND('Calibrare_Linii'!S6="VALIDATED",AND('Calibrare_Linii'!H6=C1182,ISNUMBER('Calibrare_Linii'!J6),'Calibrare_Linii'!J6&lt;='Input_Meci'!G90)),'Calibrare_Linii'!F6,'Config_v6'!$C$26),"PENALTY","WATCH"))))))</x:f>
      </x:c>
      <x:c r="X1182" s="2" t="str">
        <x:f>IF(M1182="","",IF(AND(AND(J1182="PASS",'Calibrare_Linii'!U6="VALID"),'Motor_Meciuri'!K90=12,'Motor_Meciuri'!L90=12,'Motor_Meciuri'!M90="NO",'Motor_Meciuri'!BL90='Motor_Meciuri'!C90,AB1182&gt;='Config_v6'!$B$50,AN1182&gt;='Config_v6'!$B$51,T1182&lt;='Config_v6'!$B$52,L1182&lt;='Config_v6'!$B$53,ISNUMBER('Calibrare_Linii'!E6),S1182&lt;='Calibrare_Linii'!E6,SUM(AK1182:AM1182)&gt;0),"CANDIDATE","NO"))</x:f>
      </x:c>
      <x:c r="Y1182" s="2" t="str">
        <x:f>IF(B1182="","",IF(I1182&lt;&gt;"READY","NOT RELEASED",IF(AND(X1182="CANDIDATE",V1182&gt;='Config_v6'!$B$51,W1182="PASS",'Calibrare_Linii'!T6="VALIDATED",AND('Calibrare_Linii'!H6=C1182,ISNUMBER('Calibrare_Linii'!J6),'Calibrare_Linii'!J6&lt;='Input_Meci'!G90)),"PASS",IF(X1182="CANDIDATE","OOS PENDING","FAIL"))))</x:f>
      </x:c>
      <x:c r="Z1182" s="2" t="str">
        <x:f>IF(B1182="","",IF(I1182&lt;&gt;"READY","",IF(OR(NOT(AND(J1182="PASS",'Calibrare_Linii'!U6="VALID")),L1182&gt;'Config_v6'!$B$13,W1182="WATCH"),5,IF(Y1182="PASS",1,MIN(5,MAX('Config_v6'!$B$42,U1182)+IF(W1182="PENALTY",1,0))))))</x:f>
      </x:c>
      <x:c r="AA1182" s="2" t="str">
        <x:f>IF(B1182="","",IF(I1182&lt;&gt;"READY","NOT RELEASED",IF(Z1182=5,"NO BET",IF(OR(AB1182&lt;'Config_v6'!$B$16,V1182&lt;'Config_v6'!$B$18),"WATCH",IF(Z1182=1,"DEFENSIV",IF(Z1182=2,"PRUDENT",IF(Z1182=3,"MODERAT","RIDICAT")))))))</x:f>
      </x:c>
      <x:c r="AB1182" s="10" t="str">
        <x:f>IF(N1182="","",MIN(N1182,1-S1182))</x:f>
      </x:c>
      <x:c r="AC1182" s="2" t="str">
        <x:f>IF(AD1182&lt;&gt;1,"",COUNTIFS($Z$1182:$Z$1195,"&lt;"&amp;Z1182,$AD$1182:$AD$1195,1)+COUNTIFS($Z$1182:$Z$1195,Z1182,$AB$1182:$AB$1195,"&gt;"&amp;AB1182,$AD$1182:$AD$1195,1)+COUNTIFS($Z$1182:$Z$1195,Z1182,$AB$1182:$AB$1195,AB1182,$V$1182:$V$1195,"&gt;"&amp;V1182,$AD$1182:$AD$1195,1)+COUNTIFS($Z$1182:Z1182,Z1182,$AB$1182:AB1182,AB1182,$V$1182:V1182,V1182,$AD$1182:AD1182,1))</x:f>
      </x:c>
      <x:c r="AD1182" s="2" t="n">
        <x:f>IF(OR(AA1182="DEFENSIV",AA1182="PRUDENT",AA1182="MODERAT",AA1182="RIDICAT"),1,0)</x:f>
        <x:v>0</x:v>
      </x:c>
      <x:c r="AE1182" s="2" t="str">
        <x:f>IF(AD1182&lt;&gt;1,"NO",IF(W1182="PASS","YES",IF(W1182="OOS PENDING","CONDITIONAL","NO")))</x:f>
        <x:v>NO</x:v>
      </x:c>
      <x:c r="AF1182" s="2" t="n">
        <x:f>IF(AND(AD1182=1,AC1182=1,E1182="LIVE"),1,0)</x:f>
        <x:v>0</x:v>
      </x:c>
      <x:c r="AG1182" s="2" t="str">
        <x:f>IF(AF1182&lt;&gt;1,"",'Dashboard'!P110)</x:f>
      </x:c>
      <x:c r="AH1182" s="2" t="str">
        <x:f>IF(B1182="","",IF(J1182&lt;&gt;"PASS",'Motor_Meciuri'!J90,IF('Calibrare_Linii'!U6&lt;&gt;"VALID","Parametri linie invalizi",IF(L1182&gt;'Config_v6'!$B$13,"Dispersie peste limita",IF(W1182="WATCH","Failure peste limita",IF(AB1182&lt;'Config_v6'!$B$16,"P finala sub prag",IF(V1182&lt;'Config_v6'!$B$18,"Confidence sub prag",IF(E1182="REPLAY","Exemplu retrospectiv; exclus din Top LIVE",IF(Y1182="PASS","DEFENSIV validat",IF(W1182="OOS PENDING","Eligibil; calibrare linie in monitorizare","Eligibil"))))))))))</x:f>
      </x:c>
      <x:c r="AI1182" s="2" t="str">
        <x:f>IF(B1182="","",'Calibrare_Linii'!V6)</x:f>
      </x:c>
      <x:c r="AJ1182" s="2" t="str">
        <x:f>IF(B1182="","",IF(AND('Calibrare_Linii'!T6="VALIDATED",AND('Calibrare_Linii'!H6=C1182,ISNUMBER('Calibrare_Linii'!J6),'Calibrare_Linii'!J6&lt;='Input_Meci'!G90)),"DEFENSIVE VALIDATED",IF(AND('Calibrare_Linii'!S6="VALIDATED",AND('Calibrare_Linii'!H6=C1182,ISNUMBER('Calibrare_Linii'!J6),'Calibrare_Linii'!J6&lt;='Input_Meci'!G90)),"TAIL VALIDATED","OOS PENDING")))</x:f>
      </x:c>
      <x:c r="AK1182" s="2" t="n">
        <x:f>IF(J1182&lt;&gt;"PASS",0,'Motor_Meciuri'!BR90)</x:f>
        <x:v>0</x:v>
      </x:c>
      <x:c r="AL1182" s="2" t="n">
        <x:f>IF(J1182&lt;&gt;"PASS",0,'Motor_Meciuri'!BS90)</x:f>
        <x:v>0</x:v>
      </x:c>
      <x:c r="AM1182" s="2" t="n">
        <x:f>IF(J1182&lt;&gt;"PASS",0,'Motor_Meciuri'!BT90)</x:f>
        <x:v>0</x:v>
      </x:c>
      <x:c r="AN1182" s="2" t="str">
        <x:f>IF(M1182="","",MAX(0,'Motor_Meciuri'!BF90-IF(L1182&gt;'Config_v6'!$B$12,'Config_v6'!$B$37,IF(L1182&gt;'Config_v6'!$B$11,'Config_v6'!$B$36,0))))</x:f>
      </x:c>
    </x:row>
    <x:row r="1183" ht="21" customHeight="1">
      <x:c r="A1183" s="2" t="n">
        <x:v>85</x:v>
      </x:c>
      <x:c r="B1183" s="2" t="str">
        <x:f>IF('Motor_Meciuri'!A90="","",'Motor_Meciuri'!A90)</x:f>
      </x:c>
      <x:c r="C1183" s="2" t="str">
        <x:f>IF(B1183="","",'Motor_Meciuri'!B90)</x:f>
      </x:c>
      <x:c r="D1183" s="2" t="str">
        <x:f>IF(B1183="","",'Motor_Meciuri'!D90)</x:f>
      </x:c>
      <x:c r="E1183" s="2" t="str">
        <x:f>IF(B1183="","",'Motor_Meciuri'!E90)</x:f>
      </x:c>
      <x:c r="F1183" s="2" t="str">
        <x:v>O4,5</x:v>
      </x:c>
      <x:c r="G1183" s="2" t="str">
        <x:v>OVER</x:v>
      </x:c>
      <x:c r="H1183" s="2" t="n">
        <x:v>4</x:v>
      </x:c>
      <x:c r="I1183" s="2" t="str">
        <x:f>IF(B1183="","",'Motor_Meciuri'!H90)</x:f>
      </x:c>
      <x:c r="J1183" s="2" t="str">
        <x:f>IF(B1183="","",'Motor_Meciuri'!I90)</x:f>
      </x:c>
      <x:c r="K1183" s="11" t="str">
        <x:f>IF(J1183&lt;&gt;"PASS","",'Motor_Meciuri'!BD90)</x:f>
      </x:c>
      <x:c r="L1183" s="11" t="str">
        <x:f>IF(J1183&lt;&gt;"PASS","",'Motor_Meciuri'!AU90)</x:f>
      </x:c>
      <x:c r="M1183" s="10" t="str">
        <x:f>IF(NOT(AND(J1183="PASS",'Calibrare_Linii'!U7="VALID")),"",1-'Distributie'!AB90)</x:f>
      </x:c>
      <x:c r="N1183" s="10" t="str">
        <x:f>IF(M1183="","",MAX(0.01,MIN(0.99,0.5+(M1183-0.5)*'Motor_Meciuri'!BG90*'Calibrare_Linii'!D7)))</x:f>
      </x:c>
      <x:c r="O1183" s="10" t="str">
        <x:f>IF(M1183="","",1-M1183)</x:f>
      </x:c>
      <x:c r="P1183" s="10" t="str">
        <x:f>IF(OR(NOT(AND(J1183="PASS",'Calibrare_Linii'!U7="VALID")),AK1183=0),""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*('Istoric_Nativ'!$Q$6:$Q$405&lt;=H1183))/AK1183)</x:f>
      </x:c>
      <x:c r="Q1183" s="10" t="str">
        <x:f>IF(OR(NOT(AND(J1183="PASS",'Calibrare_Linii'!U7="VALID")),AL1183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M90)+((('Istoric_Nativ'!$E$6:$E$405='Input_Meci'!E90)+('Istoric_Nativ'!$F$6:$F$405='Input_Meci'!E90))&gt;0)*('Istoric_Nativ'!$D$6:$D$405&gt;='Motor_Meciuri'!BN90))&gt;0)*('Istoric_Nativ'!$Q$6:$Q$405&lt;=H1183))/AL1183)</x:f>
      </x:c>
      <x:c r="R1183" s="10" t="str">
        <x:f>IF(OR(NOT(AND(J1183="PASS",'Calibrare_Linii'!U7="VALID")),AM1183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O90)+((('Istoric_Nativ'!$E$6:$E$405='Input_Meci'!E90)+('Istoric_Nativ'!$F$6:$F$405='Input_Meci'!E90))&gt;0)*('Istoric_Nativ'!$D$6:$D$405&gt;='Motor_Meciuri'!BP90))&gt;0)*('Istoric_Nativ'!$Q$6:$Q$405&lt;=H1183))/AM1183)</x:f>
      </x:c>
      <x:c r="S1183" s="10" t="str">
        <x:f>IF(M1183="","",MAX(O1183,P1183,Q1183,R1183))</x:f>
      </x:c>
      <x:c r="T1183" s="11" t="str">
        <x:f>IF(M1183="","",MIN(100,S1183*100*'Config_v6'!$B$44+MIN(100,L1183/'Config_v6'!$B$13*100)*'Config_v6'!$B$45+(100-'Motor_Meciuri'!BF90)*'Config_v6'!$B$46+'Motor_Meciuri'!BH90*100*'Config_v6'!$B$47))</x:f>
      </x:c>
      <x:c r="U1183" s="2" t="str">
        <x:f>IF(T1183="","",IF(T1183&lt;=20,1,IF(T1183&lt;=40,2,IF(T1183&lt;=60,3,IF(T1183&lt;=80,4,5)))))</x:f>
      </x:c>
      <x:c r="V1183" s="2" t="str">
        <x:f>IF(M1183="","",MAX(0,'Motor_Meciuri'!BF90-IF(W1183="OOS PENDING",'Config_v6'!$B$35,0)-IF(L1183&gt;'Config_v6'!$B$12,'Config_v6'!$B$37,IF(L1183&gt;'Config_v6'!$B$11,'Config_v6'!$B$36,0))))</x:f>
      </x:c>
      <x:c r="W1183" s="2" t="str">
        <x:f>IF(B1183="","",IF(I1183&lt;&gt;"READY","NOT RELEASED",IF(NOT(AND(J1183="PASS",'Calibrare_Linii'!U7="VALID")),"INVALID",IF(NOT(AND('Calibrare_Linii'!S7="VALIDATED",AND('Calibrare_Linii'!H7=C1183,ISNUMBER('Calibrare_Linii'!J7),'Calibrare_Linii'!J7&lt;='Input_Meci'!G90))),"OOS PENDING",IF(S1183&lt;='Calibrare_Linii'!E7,"PASS",IF(S1183&lt;='Calibrare_Linii'!F7,"PENALTY","WATCH"))))))</x:f>
      </x:c>
      <x:c r="X1183" s="2" t="str">
        <x:f>IF(M1183="","",IF(AND(AND(J1183="PASS",'Calibrare_Linii'!U7="VALID"),'Motor_Meciuri'!K90=12,'Motor_Meciuri'!L90=12,'Motor_Meciuri'!M90="NO",'Motor_Meciuri'!BL90='Motor_Meciuri'!C90,AB1183&gt;='Config_v6'!$B$50,AN1183&gt;='Config_v6'!$B$51,T1183&lt;='Config_v6'!$B$52,L1183&lt;='Config_v6'!$B$53,ISNUMBER('Calibrare_Linii'!E7),S1183&lt;='Calibrare_Linii'!E7,SUM(AK1183:AM1183)&gt;0),"CANDIDATE","NO"))</x:f>
      </x:c>
      <x:c r="Y1183" s="2" t="str">
        <x:f>IF(B1183="","",IF(I1183&lt;&gt;"READY","NOT RELEASED",IF(AND(X1183="CANDIDATE",V1183&gt;='Config_v6'!$B$51,W1183="PASS",'Calibrare_Linii'!T7="VALIDATED",AND('Calibrare_Linii'!H7=C1183,ISNUMBER('Calibrare_Linii'!J7),'Calibrare_Linii'!J7&lt;='Input_Meci'!G90)),"PASS",IF(X1183="CANDIDATE","OOS PENDING","FAIL"))))</x:f>
      </x:c>
      <x:c r="Z1183" s="2" t="str">
        <x:f>IF(B1183="","",IF(I1183&lt;&gt;"READY","",IF(OR(NOT(AND(J1183="PASS",'Calibrare_Linii'!U7="VALID")),L1183&gt;'Config_v6'!$B$13,W1183="WATCH"),5,IF(Y1183="PASS",1,MIN(5,MAX('Config_v6'!$B$42,U1183)+IF(W1183="PENALTY",1,0))))))</x:f>
      </x:c>
      <x:c r="AA1183" s="2" t="str">
        <x:f>IF(B1183="","",IF(I1183&lt;&gt;"READY","NOT RELEASED",IF(Z1183=5,"NO BET",IF(OR(AB1183&lt;'Config_v6'!$B$16,V1183&lt;'Config_v6'!$B$18),"WATCH",IF(Z1183=1,"DEFENSIV",IF(Z1183=2,"PRUDENT",IF(Z1183=3,"MODERAT","RIDICAT")))))))</x:f>
      </x:c>
      <x:c r="AB1183" s="10" t="str">
        <x:f>IF(N1183="","",MIN(N1183,1-S1183))</x:f>
      </x:c>
      <x:c r="AC1183" s="2" t="str">
        <x:f>IF(AD1183&lt;&gt;1,"",COUNTIFS($Z$1182:$Z$1195,"&lt;"&amp;Z1183,$AD$1182:$AD$1195,1)+COUNTIFS($Z$1182:$Z$1195,Z1183,$AB$1182:$AB$1195,"&gt;"&amp;AB1183,$AD$1182:$AD$1195,1)+COUNTIFS($Z$1182:$Z$1195,Z1183,$AB$1182:$AB$1195,AB1183,$V$1182:$V$1195,"&gt;"&amp;V1183,$AD$1182:$AD$1195,1)+COUNTIFS($Z$1182:Z1183,Z1183,$AB$1182:AB1183,AB1183,$V$1182:V1183,V1183,$AD$1182:AD1183,1))</x:f>
      </x:c>
      <x:c r="AD1183" s="2" t="n">
        <x:f>IF(OR(AA1183="DEFENSIV",AA1183="PRUDENT",AA1183="MODERAT",AA1183="RIDICAT"),1,0)</x:f>
        <x:v>0</x:v>
      </x:c>
      <x:c r="AE1183" s="2" t="str">
        <x:f>IF(AD1183&lt;&gt;1,"NO",IF(W1183="PASS","YES",IF(W1183="OOS PENDING","CONDITIONAL","NO")))</x:f>
        <x:v>NO</x:v>
      </x:c>
      <x:c r="AF1183" s="2" t="n">
        <x:f>IF(AND(AD1183=1,AC1183=1,E1183="LIVE"),1,0)</x:f>
        <x:v>0</x:v>
      </x:c>
      <x:c r="AG1183" s="2" t="str">
        <x:f>IF(AF1183&lt;&gt;1,"",'Dashboard'!P110)</x:f>
      </x:c>
      <x:c r="AH1183" s="2" t="str">
        <x:f>IF(B1183="","",IF(J1183&lt;&gt;"PASS",'Motor_Meciuri'!J90,IF('Calibrare_Linii'!U7&lt;&gt;"VALID","Parametri linie invalizi",IF(L1183&gt;'Config_v6'!$B$13,"Dispersie peste limita",IF(W1183="WATCH","Failure peste limita",IF(AB1183&lt;'Config_v6'!$B$16,"P finala sub prag",IF(V1183&lt;'Config_v6'!$B$18,"Confidence sub prag",IF(E1183="REPLAY","Exemplu retrospectiv; exclus din Top LIVE",IF(Y1183="PASS","DEFENSIV validat",IF(W1183="OOS PENDING","Eligibil; calibrare linie in monitorizare","Eligibil"))))))))))</x:f>
      </x:c>
      <x:c r="AI1183" s="2" t="str">
        <x:f>IF(B1183="","",'Calibrare_Linii'!V7)</x:f>
      </x:c>
      <x:c r="AJ1183" s="2" t="str">
        <x:f>IF(B1183="","",IF(AND('Calibrare_Linii'!T7="VALIDATED",AND('Calibrare_Linii'!H7=C1183,ISNUMBER('Calibrare_Linii'!J7),'Calibrare_Linii'!J7&lt;='Input_Meci'!G90)),"DEFENSIVE VALIDATED",IF(AND('Calibrare_Linii'!S7="VALIDATED",AND('Calibrare_Linii'!H7=C1183,ISNUMBER('Calibrare_Linii'!J7),'Calibrare_Linii'!J7&lt;='Input_Meci'!G90)),"TAIL VALIDATED","OOS PENDING")))</x:f>
      </x:c>
      <x:c r="AK1183" s="2" t="n">
        <x:f>IF(J1183&lt;&gt;"PASS",0,'Motor_Meciuri'!BR90)</x:f>
        <x:v>0</x:v>
      </x:c>
      <x:c r="AL1183" s="2" t="n">
        <x:f>IF(J1183&lt;&gt;"PASS",0,'Motor_Meciuri'!BS90)</x:f>
        <x:v>0</x:v>
      </x:c>
      <x:c r="AM1183" s="2" t="n">
        <x:f>IF(J1183&lt;&gt;"PASS",0,'Motor_Meciuri'!BT90)</x:f>
        <x:v>0</x:v>
      </x:c>
      <x:c r="AN1183" s="2" t="str">
        <x:f>IF(M1183="","",MAX(0,'Motor_Meciuri'!BF90-IF(L1183&gt;'Config_v6'!$B$12,'Config_v6'!$B$37,IF(L1183&gt;'Config_v6'!$B$11,'Config_v6'!$B$36,0))))</x:f>
      </x:c>
    </x:row>
    <x:row r="1184" ht="21" customHeight="1">
      <x:c r="A1184" s="2" t="n">
        <x:v>85</x:v>
      </x:c>
      <x:c r="B1184" s="2" t="str">
        <x:f>IF('Motor_Meciuri'!A90="","",'Motor_Meciuri'!A90)</x:f>
      </x:c>
      <x:c r="C1184" s="2" t="str">
        <x:f>IF(B1184="","",'Motor_Meciuri'!B90)</x:f>
      </x:c>
      <x:c r="D1184" s="2" t="str">
        <x:f>IF(B1184="","",'Motor_Meciuri'!D90)</x:f>
      </x:c>
      <x:c r="E1184" s="2" t="str">
        <x:f>IF(B1184="","",'Motor_Meciuri'!E90)</x:f>
      </x:c>
      <x:c r="F1184" s="2" t="str">
        <x:v>O5,5</x:v>
      </x:c>
      <x:c r="G1184" s="2" t="str">
        <x:v>OVER</x:v>
      </x:c>
      <x:c r="H1184" s="2" t="n">
        <x:v>5</x:v>
      </x:c>
      <x:c r="I1184" s="2" t="str">
        <x:f>IF(B1184="","",'Motor_Meciuri'!H90)</x:f>
      </x:c>
      <x:c r="J1184" s="2" t="str">
        <x:f>IF(B1184="","",'Motor_Meciuri'!I90)</x:f>
      </x:c>
      <x:c r="K1184" s="11" t="str">
        <x:f>IF(J1184&lt;&gt;"PASS","",'Motor_Meciuri'!BD90)</x:f>
      </x:c>
      <x:c r="L1184" s="11" t="str">
        <x:f>IF(J1184&lt;&gt;"PASS","",'Motor_Meciuri'!AU90)</x:f>
      </x:c>
      <x:c r="M1184" s="10" t="str">
        <x:f>IF(NOT(AND(J1184="PASS",'Calibrare_Linii'!U8="VALID")),"",1-'Distributie'!AC90)</x:f>
      </x:c>
      <x:c r="N1184" s="10" t="str">
        <x:f>IF(M1184="","",MAX(0.01,MIN(0.99,0.5+(M1184-0.5)*'Motor_Meciuri'!BG90*'Calibrare_Linii'!D8)))</x:f>
      </x:c>
      <x:c r="O1184" s="10" t="str">
        <x:f>IF(M1184="","",1-M1184)</x:f>
      </x:c>
      <x:c r="P1184" s="10" t="str">
        <x:f>IF(OR(NOT(AND(J1184="PASS",'Calibrare_Linii'!U8="VALID")),AK1184=0),""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*('Istoric_Nativ'!$Q$6:$Q$405&lt;=H1184))/AK1184)</x:f>
      </x:c>
      <x:c r="Q1184" s="10" t="str">
        <x:f>IF(OR(NOT(AND(J1184="PASS",'Calibrare_Linii'!U8="VALID")),AL1184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M90)+((('Istoric_Nativ'!$E$6:$E$405='Input_Meci'!E90)+('Istoric_Nativ'!$F$6:$F$405='Input_Meci'!E90))&gt;0)*('Istoric_Nativ'!$D$6:$D$405&gt;='Motor_Meciuri'!BN90))&gt;0)*('Istoric_Nativ'!$Q$6:$Q$405&lt;=H1184))/AL1184)</x:f>
      </x:c>
      <x:c r="R1184" s="10" t="str">
        <x:f>IF(OR(NOT(AND(J1184="PASS",'Calibrare_Linii'!U8="VALID")),AM1184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O90)+((('Istoric_Nativ'!$E$6:$E$405='Input_Meci'!E90)+('Istoric_Nativ'!$F$6:$F$405='Input_Meci'!E90))&gt;0)*('Istoric_Nativ'!$D$6:$D$405&gt;='Motor_Meciuri'!BP90))&gt;0)*('Istoric_Nativ'!$Q$6:$Q$405&lt;=H1184))/AM1184)</x:f>
      </x:c>
      <x:c r="S1184" s="10" t="str">
        <x:f>IF(M1184="","",MAX(O1184,P1184,Q1184,R1184))</x:f>
      </x:c>
      <x:c r="T1184" s="11" t="str">
        <x:f>IF(M1184="","",MIN(100,S1184*100*'Config_v6'!$B$44+MIN(100,L1184/'Config_v6'!$B$13*100)*'Config_v6'!$B$45+(100-'Motor_Meciuri'!BF90)*'Config_v6'!$B$46+'Motor_Meciuri'!BH90*100*'Config_v6'!$B$47))</x:f>
      </x:c>
      <x:c r="U1184" s="2" t="str">
        <x:f>IF(T1184="","",IF(T1184&lt;=20,1,IF(T1184&lt;=40,2,IF(T1184&lt;=60,3,IF(T1184&lt;=80,4,5)))))</x:f>
      </x:c>
      <x:c r="V1184" s="2" t="str">
        <x:f>IF(M1184="","",MAX(0,'Motor_Meciuri'!BF90-IF(W1184="OOS PENDING",'Config_v6'!$B$35,0)-IF(L1184&gt;'Config_v6'!$B$12,'Config_v6'!$B$37,IF(L1184&gt;'Config_v6'!$B$11,'Config_v6'!$B$36,0))))</x:f>
      </x:c>
      <x:c r="W1184" s="2" t="str">
        <x:f>IF(B1184="","",IF(I1184&lt;&gt;"READY","NOT RELEASED",IF(NOT(AND(J1184="PASS",'Calibrare_Linii'!U8="VALID")),"INVALID",IF(NOT(AND('Calibrare_Linii'!S8="VALIDATED",AND('Calibrare_Linii'!H8=C1184,ISNUMBER('Calibrare_Linii'!J8),'Calibrare_Linii'!J8&lt;='Input_Meci'!G90))),"OOS PENDING",IF(S1184&lt;='Calibrare_Linii'!E8,"PASS",IF(S1184&lt;='Calibrare_Linii'!F8,"PENALTY","WATCH"))))))</x:f>
      </x:c>
      <x:c r="X1184" s="2" t="str">
        <x:f>IF(M1184="","",IF(AND(AND(J1184="PASS",'Calibrare_Linii'!U8="VALID"),'Motor_Meciuri'!K90=12,'Motor_Meciuri'!L90=12,'Motor_Meciuri'!M90="NO",'Motor_Meciuri'!BL90='Motor_Meciuri'!C90,AB1184&gt;='Config_v6'!$B$50,AN1184&gt;='Config_v6'!$B$51,T1184&lt;='Config_v6'!$B$52,L1184&lt;='Config_v6'!$B$53,ISNUMBER('Calibrare_Linii'!E8),S1184&lt;='Calibrare_Linii'!E8,SUM(AK1184:AM1184)&gt;0),"CANDIDATE","NO"))</x:f>
      </x:c>
      <x:c r="Y1184" s="2" t="str">
        <x:f>IF(B1184="","",IF(I1184&lt;&gt;"READY","NOT RELEASED",IF(AND(X1184="CANDIDATE",V1184&gt;='Config_v6'!$B$51,W1184="PASS",'Calibrare_Linii'!T8="VALIDATED",AND('Calibrare_Linii'!H8=C1184,ISNUMBER('Calibrare_Linii'!J8),'Calibrare_Linii'!J8&lt;='Input_Meci'!G90)),"PASS",IF(X1184="CANDIDATE","OOS PENDING","FAIL"))))</x:f>
      </x:c>
      <x:c r="Z1184" s="2" t="str">
        <x:f>IF(B1184="","",IF(I1184&lt;&gt;"READY","",IF(OR(NOT(AND(J1184="PASS",'Calibrare_Linii'!U8="VALID")),L1184&gt;'Config_v6'!$B$13,W1184="WATCH"),5,IF(Y1184="PASS",1,MIN(5,MAX('Config_v6'!$B$42,U1184)+IF(W1184="PENALTY",1,0))))))</x:f>
      </x:c>
      <x:c r="AA1184" s="2" t="str">
        <x:f>IF(B1184="","",IF(I1184&lt;&gt;"READY","NOT RELEASED",IF(Z1184=5,"NO BET",IF(OR(AB1184&lt;'Config_v6'!$B$16,V1184&lt;'Config_v6'!$B$18),"WATCH",IF(Z1184=1,"DEFENSIV",IF(Z1184=2,"PRUDENT",IF(Z1184=3,"MODERAT","RIDICAT")))))))</x:f>
      </x:c>
      <x:c r="AB1184" s="10" t="str">
        <x:f>IF(N1184="","",MIN(N1184,1-S1184))</x:f>
      </x:c>
      <x:c r="AC1184" s="2" t="str">
        <x:f>IF(AD1184&lt;&gt;1,"",COUNTIFS($Z$1182:$Z$1195,"&lt;"&amp;Z1184,$AD$1182:$AD$1195,1)+COUNTIFS($Z$1182:$Z$1195,Z1184,$AB$1182:$AB$1195,"&gt;"&amp;AB1184,$AD$1182:$AD$1195,1)+COUNTIFS($Z$1182:$Z$1195,Z1184,$AB$1182:$AB$1195,AB1184,$V$1182:$V$1195,"&gt;"&amp;V1184,$AD$1182:$AD$1195,1)+COUNTIFS($Z$1182:Z1184,Z1184,$AB$1182:AB1184,AB1184,$V$1182:V1184,V1184,$AD$1182:AD1184,1))</x:f>
      </x:c>
      <x:c r="AD1184" s="2" t="n">
        <x:f>IF(OR(AA1184="DEFENSIV",AA1184="PRUDENT",AA1184="MODERAT",AA1184="RIDICAT"),1,0)</x:f>
        <x:v>0</x:v>
      </x:c>
      <x:c r="AE1184" s="2" t="str">
        <x:f>IF(AD1184&lt;&gt;1,"NO",IF(W1184="PASS","YES",IF(W1184="OOS PENDING","CONDITIONAL","NO")))</x:f>
        <x:v>NO</x:v>
      </x:c>
      <x:c r="AF1184" s="2" t="n">
        <x:f>IF(AND(AD1184=1,AC1184=1,E1184="LIVE"),1,0)</x:f>
        <x:v>0</x:v>
      </x:c>
      <x:c r="AG1184" s="2" t="str">
        <x:f>IF(AF1184&lt;&gt;1,"",'Dashboard'!P110)</x:f>
      </x:c>
      <x:c r="AH1184" s="2" t="str">
        <x:f>IF(B1184="","",IF(J1184&lt;&gt;"PASS",'Motor_Meciuri'!J90,IF('Calibrare_Linii'!U8&lt;&gt;"VALID","Parametri linie invalizi",IF(L1184&gt;'Config_v6'!$B$13,"Dispersie peste limita",IF(W1184="WATCH","Failure peste limita",IF(AB1184&lt;'Config_v6'!$B$16,"P finala sub prag",IF(V1184&lt;'Config_v6'!$B$18,"Confidence sub prag",IF(E1184="REPLAY","Exemplu retrospectiv; exclus din Top LIVE",IF(Y1184="PASS","DEFENSIV validat",IF(W1184="OOS PENDING","Eligibil; calibrare linie in monitorizare","Eligibil"))))))))))</x:f>
      </x:c>
      <x:c r="AI1184" s="2" t="str">
        <x:f>IF(B1184="","",'Calibrare_Linii'!V8)</x:f>
      </x:c>
      <x:c r="AJ1184" s="2" t="str">
        <x:f>IF(B1184="","",IF(AND('Calibrare_Linii'!T8="VALIDATED",AND('Calibrare_Linii'!H8=C1184,ISNUMBER('Calibrare_Linii'!J8),'Calibrare_Linii'!J8&lt;='Input_Meci'!G90)),"DEFENSIVE VALIDATED",IF(AND('Calibrare_Linii'!S8="VALIDATED",AND('Calibrare_Linii'!H8=C1184,ISNUMBER('Calibrare_Linii'!J8),'Calibrare_Linii'!J8&lt;='Input_Meci'!G90)),"TAIL VALIDATED","OOS PENDING")))</x:f>
      </x:c>
      <x:c r="AK1184" s="2" t="n">
        <x:f>IF(J1184&lt;&gt;"PASS",0,'Motor_Meciuri'!BR90)</x:f>
        <x:v>0</x:v>
      </x:c>
      <x:c r="AL1184" s="2" t="n">
        <x:f>IF(J1184&lt;&gt;"PASS",0,'Motor_Meciuri'!BS90)</x:f>
        <x:v>0</x:v>
      </x:c>
      <x:c r="AM1184" s="2" t="n">
        <x:f>IF(J1184&lt;&gt;"PASS",0,'Motor_Meciuri'!BT90)</x:f>
        <x:v>0</x:v>
      </x:c>
      <x:c r="AN1184" s="2" t="str">
        <x:f>IF(M1184="","",MAX(0,'Motor_Meciuri'!BF90-IF(L1184&gt;'Config_v6'!$B$12,'Config_v6'!$B$37,IF(L1184&gt;'Config_v6'!$B$11,'Config_v6'!$B$36,0))))</x:f>
      </x:c>
    </x:row>
    <x:row r="1185" ht="21" customHeight="1">
      <x:c r="A1185" s="2" t="n">
        <x:v>85</x:v>
      </x:c>
      <x:c r="B1185" s="2" t="str">
        <x:f>IF('Motor_Meciuri'!A90="","",'Motor_Meciuri'!A90)</x:f>
      </x:c>
      <x:c r="C1185" s="2" t="str">
        <x:f>IF(B1185="","",'Motor_Meciuri'!B90)</x:f>
      </x:c>
      <x:c r="D1185" s="2" t="str">
        <x:f>IF(B1185="","",'Motor_Meciuri'!D90)</x:f>
      </x:c>
      <x:c r="E1185" s="2" t="str">
        <x:f>IF(B1185="","",'Motor_Meciuri'!E90)</x:f>
      </x:c>
      <x:c r="F1185" s="2" t="str">
        <x:v>O6,5</x:v>
      </x:c>
      <x:c r="G1185" s="2" t="str">
        <x:v>OVER</x:v>
      </x:c>
      <x:c r="H1185" s="2" t="n">
        <x:v>6</x:v>
      </x:c>
      <x:c r="I1185" s="2" t="str">
        <x:f>IF(B1185="","",'Motor_Meciuri'!H90)</x:f>
      </x:c>
      <x:c r="J1185" s="2" t="str">
        <x:f>IF(B1185="","",'Motor_Meciuri'!I90)</x:f>
      </x:c>
      <x:c r="K1185" s="11" t="str">
        <x:f>IF(J1185&lt;&gt;"PASS","",'Motor_Meciuri'!BD90)</x:f>
      </x:c>
      <x:c r="L1185" s="11" t="str">
        <x:f>IF(J1185&lt;&gt;"PASS","",'Motor_Meciuri'!AU90)</x:f>
      </x:c>
      <x:c r="M1185" s="10" t="str">
        <x:f>IF(NOT(AND(J1185="PASS",'Calibrare_Linii'!U9="VALID")),"",1-'Distributie'!AD90)</x:f>
      </x:c>
      <x:c r="N1185" s="10" t="str">
        <x:f>IF(M1185="","",MAX(0.01,MIN(0.99,0.5+(M1185-0.5)*'Motor_Meciuri'!BG90*'Calibrare_Linii'!D9)))</x:f>
      </x:c>
      <x:c r="O1185" s="10" t="str">
        <x:f>IF(M1185="","",1-M1185)</x:f>
      </x:c>
      <x:c r="P1185" s="10" t="str">
        <x:f>IF(OR(NOT(AND(J1185="PASS",'Calibrare_Linii'!U9="VALID")),AK1185=0),""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*('Istoric_Nativ'!$Q$6:$Q$405&lt;=H1185))/AK1185)</x:f>
      </x:c>
      <x:c r="Q1185" s="10" t="str">
        <x:f>IF(OR(NOT(AND(J1185="PASS",'Calibrare_Linii'!U9="VALID")),AL1185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M90)+((('Istoric_Nativ'!$E$6:$E$405='Input_Meci'!E90)+('Istoric_Nativ'!$F$6:$F$405='Input_Meci'!E90))&gt;0)*('Istoric_Nativ'!$D$6:$D$405&gt;='Motor_Meciuri'!BN90))&gt;0)*('Istoric_Nativ'!$Q$6:$Q$405&lt;=H1185))/AL1185)</x:f>
      </x:c>
      <x:c r="R1185" s="10" t="str">
        <x:f>IF(OR(NOT(AND(J1185="PASS",'Calibrare_Linii'!U9="VALID")),AM1185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O90)+((('Istoric_Nativ'!$E$6:$E$405='Input_Meci'!E90)+('Istoric_Nativ'!$F$6:$F$405='Input_Meci'!E90))&gt;0)*('Istoric_Nativ'!$D$6:$D$405&gt;='Motor_Meciuri'!BP90))&gt;0)*('Istoric_Nativ'!$Q$6:$Q$405&lt;=H1185))/AM1185)</x:f>
      </x:c>
      <x:c r="S1185" s="10" t="str">
        <x:f>IF(M1185="","",MAX(O1185,P1185,Q1185,R1185))</x:f>
      </x:c>
      <x:c r="T1185" s="11" t="str">
        <x:f>IF(M1185="","",MIN(100,S1185*100*'Config_v6'!$B$44+MIN(100,L1185/'Config_v6'!$B$13*100)*'Config_v6'!$B$45+(100-'Motor_Meciuri'!BF90)*'Config_v6'!$B$46+'Motor_Meciuri'!BH90*100*'Config_v6'!$B$47))</x:f>
      </x:c>
      <x:c r="U1185" s="2" t="str">
        <x:f>IF(T1185="","",IF(T1185&lt;=20,1,IF(T1185&lt;=40,2,IF(T1185&lt;=60,3,IF(T1185&lt;=80,4,5)))))</x:f>
      </x:c>
      <x:c r="V1185" s="2" t="str">
        <x:f>IF(M1185="","",MAX(0,'Motor_Meciuri'!BF90-IF(W1185="OOS PENDING",'Config_v6'!$B$35,0)-IF(L1185&gt;'Config_v6'!$B$12,'Config_v6'!$B$37,IF(L1185&gt;'Config_v6'!$B$11,'Config_v6'!$B$36,0))))</x:f>
      </x:c>
      <x:c r="W1185" s="2" t="str">
        <x:f>IF(B1185="","",IF(I1185&lt;&gt;"READY","NOT RELEASED",IF(NOT(AND(J1185="PASS",'Calibrare_Linii'!U9="VALID")),"INVALID",IF(NOT(AND('Calibrare_Linii'!S9="VALIDATED",AND('Calibrare_Linii'!H9=C1185,ISNUMBER('Calibrare_Linii'!J9),'Calibrare_Linii'!J9&lt;='Input_Meci'!G90))),"OOS PENDING",IF(S1185&lt;='Calibrare_Linii'!E9,"PASS",IF(S1185&lt;='Calibrare_Linii'!F9,"PENALTY","WATCH"))))))</x:f>
      </x:c>
      <x:c r="X1185" s="2" t="str">
        <x:f>IF(M1185="","",IF(AND(AND(J1185="PASS",'Calibrare_Linii'!U9="VALID"),'Motor_Meciuri'!K90=12,'Motor_Meciuri'!L90=12,'Motor_Meciuri'!M90="NO",'Motor_Meciuri'!BL90='Motor_Meciuri'!C90,AB1185&gt;='Config_v6'!$B$50,AN1185&gt;='Config_v6'!$B$51,T1185&lt;='Config_v6'!$B$52,L1185&lt;='Config_v6'!$B$53,ISNUMBER('Calibrare_Linii'!E9),S1185&lt;='Calibrare_Linii'!E9,SUM(AK1185:AM1185)&gt;0),"CANDIDATE","NO"))</x:f>
      </x:c>
      <x:c r="Y1185" s="2" t="str">
        <x:f>IF(B1185="","",IF(I1185&lt;&gt;"READY","NOT RELEASED",IF(AND(X1185="CANDIDATE",V1185&gt;='Config_v6'!$B$51,W1185="PASS",'Calibrare_Linii'!T9="VALIDATED",AND('Calibrare_Linii'!H9=C1185,ISNUMBER('Calibrare_Linii'!J9),'Calibrare_Linii'!J9&lt;='Input_Meci'!G90)),"PASS",IF(X1185="CANDIDATE","OOS PENDING","FAIL"))))</x:f>
      </x:c>
      <x:c r="Z1185" s="2" t="str">
        <x:f>IF(B1185="","",IF(I1185&lt;&gt;"READY","",IF(OR(NOT(AND(J1185="PASS",'Calibrare_Linii'!U9="VALID")),L1185&gt;'Config_v6'!$B$13,W1185="WATCH"),5,IF(Y1185="PASS",1,MIN(5,MAX('Config_v6'!$B$42,U1185)+IF(W1185="PENALTY",1,0))))))</x:f>
      </x:c>
      <x:c r="AA1185" s="2" t="str">
        <x:f>IF(B1185="","",IF(I1185&lt;&gt;"READY","NOT RELEASED",IF(Z1185=5,"NO BET",IF(OR(AB1185&lt;'Config_v6'!$B$16,V1185&lt;'Config_v6'!$B$18),"WATCH",IF(Z1185=1,"DEFENSIV",IF(Z1185=2,"PRUDENT",IF(Z1185=3,"MODERAT","RIDICAT")))))))</x:f>
      </x:c>
      <x:c r="AB1185" s="10" t="str">
        <x:f>IF(N1185="","",MIN(N1185,1-S1185))</x:f>
      </x:c>
      <x:c r="AC1185" s="2" t="str">
        <x:f>IF(AD1185&lt;&gt;1,"",COUNTIFS($Z$1182:$Z$1195,"&lt;"&amp;Z1185,$AD$1182:$AD$1195,1)+COUNTIFS($Z$1182:$Z$1195,Z1185,$AB$1182:$AB$1195,"&gt;"&amp;AB1185,$AD$1182:$AD$1195,1)+COUNTIFS($Z$1182:$Z$1195,Z1185,$AB$1182:$AB$1195,AB1185,$V$1182:$V$1195,"&gt;"&amp;V1185,$AD$1182:$AD$1195,1)+COUNTIFS($Z$1182:Z1185,Z1185,$AB$1182:AB1185,AB1185,$V$1182:V1185,V1185,$AD$1182:AD1185,1))</x:f>
      </x:c>
      <x:c r="AD1185" s="2" t="n">
        <x:f>IF(OR(AA1185="DEFENSIV",AA1185="PRUDENT",AA1185="MODERAT",AA1185="RIDICAT"),1,0)</x:f>
        <x:v>0</x:v>
      </x:c>
      <x:c r="AE1185" s="2" t="str">
        <x:f>IF(AD1185&lt;&gt;1,"NO",IF(W1185="PASS","YES",IF(W1185="OOS PENDING","CONDITIONAL","NO")))</x:f>
        <x:v>NO</x:v>
      </x:c>
      <x:c r="AF1185" s="2" t="n">
        <x:f>IF(AND(AD1185=1,AC1185=1,E1185="LIVE"),1,0)</x:f>
        <x:v>0</x:v>
      </x:c>
      <x:c r="AG1185" s="2" t="str">
        <x:f>IF(AF1185&lt;&gt;1,"",'Dashboard'!P110)</x:f>
      </x:c>
      <x:c r="AH1185" s="2" t="str">
        <x:f>IF(B1185="","",IF(J1185&lt;&gt;"PASS",'Motor_Meciuri'!J90,IF('Calibrare_Linii'!U9&lt;&gt;"VALID","Parametri linie invalizi",IF(L1185&gt;'Config_v6'!$B$13,"Dispersie peste limita",IF(W1185="WATCH","Failure peste limita",IF(AB1185&lt;'Config_v6'!$B$16,"P finala sub prag",IF(V1185&lt;'Config_v6'!$B$18,"Confidence sub prag",IF(E1185="REPLAY","Exemplu retrospectiv; exclus din Top LIVE",IF(Y1185="PASS","DEFENSIV validat",IF(W1185="OOS PENDING","Eligibil; calibrare linie in monitorizare","Eligibil"))))))))))</x:f>
      </x:c>
      <x:c r="AI1185" s="2" t="str">
        <x:f>IF(B1185="","",'Calibrare_Linii'!V9)</x:f>
      </x:c>
      <x:c r="AJ1185" s="2" t="str">
        <x:f>IF(B1185="","",IF(AND('Calibrare_Linii'!T9="VALIDATED",AND('Calibrare_Linii'!H9=C1185,ISNUMBER('Calibrare_Linii'!J9),'Calibrare_Linii'!J9&lt;='Input_Meci'!G90)),"DEFENSIVE VALIDATED",IF(AND('Calibrare_Linii'!S9="VALIDATED",AND('Calibrare_Linii'!H9=C1185,ISNUMBER('Calibrare_Linii'!J9),'Calibrare_Linii'!J9&lt;='Input_Meci'!G90)),"TAIL VALIDATED","OOS PENDING")))</x:f>
      </x:c>
      <x:c r="AK1185" s="2" t="n">
        <x:f>IF(J1185&lt;&gt;"PASS",0,'Motor_Meciuri'!BR90)</x:f>
        <x:v>0</x:v>
      </x:c>
      <x:c r="AL1185" s="2" t="n">
        <x:f>IF(J1185&lt;&gt;"PASS",0,'Motor_Meciuri'!BS90)</x:f>
        <x:v>0</x:v>
      </x:c>
      <x:c r="AM1185" s="2" t="n">
        <x:f>IF(J1185&lt;&gt;"PASS",0,'Motor_Meciuri'!BT90)</x:f>
        <x:v>0</x:v>
      </x:c>
      <x:c r="AN1185" s="2" t="str">
        <x:f>IF(M1185="","",MAX(0,'Motor_Meciuri'!BF90-IF(L1185&gt;'Config_v6'!$B$12,'Config_v6'!$B$37,IF(L1185&gt;'Config_v6'!$B$11,'Config_v6'!$B$36,0))))</x:f>
      </x:c>
    </x:row>
    <x:row r="1186" ht="21" customHeight="1">
      <x:c r="A1186" s="2" t="n">
        <x:v>85</x:v>
      </x:c>
      <x:c r="B1186" s="2" t="str">
        <x:f>IF('Motor_Meciuri'!A90="","",'Motor_Meciuri'!A90)</x:f>
      </x:c>
      <x:c r="C1186" s="2" t="str">
        <x:f>IF(B1186="","",'Motor_Meciuri'!B90)</x:f>
      </x:c>
      <x:c r="D1186" s="2" t="str">
        <x:f>IF(B1186="","",'Motor_Meciuri'!D90)</x:f>
      </x:c>
      <x:c r="E1186" s="2" t="str">
        <x:f>IF(B1186="","",'Motor_Meciuri'!E90)</x:f>
      </x:c>
      <x:c r="F1186" s="2" t="str">
        <x:v>O7,5</x:v>
      </x:c>
      <x:c r="G1186" s="2" t="str">
        <x:v>OVER</x:v>
      </x:c>
      <x:c r="H1186" s="2" t="n">
        <x:v>7</x:v>
      </x:c>
      <x:c r="I1186" s="2" t="str">
        <x:f>IF(B1186="","",'Motor_Meciuri'!H90)</x:f>
      </x:c>
      <x:c r="J1186" s="2" t="str">
        <x:f>IF(B1186="","",'Motor_Meciuri'!I90)</x:f>
      </x:c>
      <x:c r="K1186" s="11" t="str">
        <x:f>IF(J1186&lt;&gt;"PASS","",'Motor_Meciuri'!BD90)</x:f>
      </x:c>
      <x:c r="L1186" s="11" t="str">
        <x:f>IF(J1186&lt;&gt;"PASS","",'Motor_Meciuri'!AU90)</x:f>
      </x:c>
      <x:c r="M1186" s="10" t="str">
        <x:f>IF(NOT(AND(J1186="PASS",'Calibrare_Linii'!U10="VALID")),"",1-'Distributie'!AE90)</x:f>
      </x:c>
      <x:c r="N1186" s="10" t="str">
        <x:f>IF(M1186="","",MAX(0.01,MIN(0.99,0.5+(M1186-0.5)*'Motor_Meciuri'!BG90*'Calibrare_Linii'!D10)))</x:f>
      </x:c>
      <x:c r="O1186" s="10" t="str">
        <x:f>IF(M1186="","",1-M1186)</x:f>
      </x:c>
      <x:c r="P1186" s="10" t="str">
        <x:f>IF(OR(NOT(AND(J1186="PASS",'Calibrare_Linii'!U10="VALID")),AK1186=0),""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*('Istoric_Nativ'!$Q$6:$Q$405&lt;=H1186))/AK1186)</x:f>
      </x:c>
      <x:c r="Q1186" s="10" t="str">
        <x:f>IF(OR(NOT(AND(J1186="PASS",'Calibrare_Linii'!U10="VALID")),AL1186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M90)+((('Istoric_Nativ'!$E$6:$E$405='Input_Meci'!E90)+('Istoric_Nativ'!$F$6:$F$405='Input_Meci'!E90))&gt;0)*('Istoric_Nativ'!$D$6:$D$405&gt;='Motor_Meciuri'!BN90))&gt;0)*('Istoric_Nativ'!$Q$6:$Q$405&lt;=H1186))/AL1186)</x:f>
      </x:c>
      <x:c r="R1186" s="10" t="str">
        <x:f>IF(OR(NOT(AND(J1186="PASS",'Calibrare_Linii'!U10="VALID")),AM1186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O90)+((('Istoric_Nativ'!$E$6:$E$405='Input_Meci'!E90)+('Istoric_Nativ'!$F$6:$F$405='Input_Meci'!E90))&gt;0)*('Istoric_Nativ'!$D$6:$D$405&gt;='Motor_Meciuri'!BP90))&gt;0)*('Istoric_Nativ'!$Q$6:$Q$405&lt;=H1186))/AM1186)</x:f>
      </x:c>
      <x:c r="S1186" s="10" t="str">
        <x:f>IF(M1186="","",MAX(O1186,P1186,Q1186,R1186))</x:f>
      </x:c>
      <x:c r="T1186" s="11" t="str">
        <x:f>IF(M1186="","",MIN(100,S1186*100*'Config_v6'!$B$44+MIN(100,L1186/'Config_v6'!$B$13*100)*'Config_v6'!$B$45+(100-'Motor_Meciuri'!BF90)*'Config_v6'!$B$46+'Motor_Meciuri'!BH90*100*'Config_v6'!$B$47))</x:f>
      </x:c>
      <x:c r="U1186" s="2" t="str">
        <x:f>IF(T1186="","",IF(T1186&lt;=20,1,IF(T1186&lt;=40,2,IF(T1186&lt;=60,3,IF(T1186&lt;=80,4,5)))))</x:f>
      </x:c>
      <x:c r="V1186" s="2" t="str">
        <x:f>IF(M1186="","",MAX(0,'Motor_Meciuri'!BF90-IF(W1186="OOS PENDING",'Config_v6'!$B$35,0)-IF(L1186&gt;'Config_v6'!$B$12,'Config_v6'!$B$37,IF(L1186&gt;'Config_v6'!$B$11,'Config_v6'!$B$36,0))))</x:f>
      </x:c>
      <x:c r="W1186" s="2" t="str">
        <x:f>IF(B1186="","",IF(I1186&lt;&gt;"READY","NOT RELEASED",IF(NOT(AND(J1186="PASS",'Calibrare_Linii'!U10="VALID")),"INVALID",IF(NOT(AND('Calibrare_Linii'!S10="VALIDATED",AND('Calibrare_Linii'!H10=C1186,ISNUMBER('Calibrare_Linii'!J10),'Calibrare_Linii'!J10&lt;='Input_Meci'!G90))),"OOS PENDING",IF(S1186&lt;='Calibrare_Linii'!E10,"PASS",IF(S1186&lt;='Calibrare_Linii'!F10,"PENALTY","WATCH"))))))</x:f>
      </x:c>
      <x:c r="X1186" s="2" t="str">
        <x:f>IF(M1186="","",IF(AND(AND(J1186="PASS",'Calibrare_Linii'!U10="VALID"),'Motor_Meciuri'!K90=12,'Motor_Meciuri'!L90=12,'Motor_Meciuri'!M90="NO",'Motor_Meciuri'!BL90='Motor_Meciuri'!C90,AB1186&gt;='Config_v6'!$B$50,AN1186&gt;='Config_v6'!$B$51,T1186&lt;='Config_v6'!$B$52,L1186&lt;='Config_v6'!$B$53,ISNUMBER('Calibrare_Linii'!E10),S1186&lt;='Calibrare_Linii'!E10,SUM(AK1186:AM1186)&gt;0),"CANDIDATE","NO"))</x:f>
      </x:c>
      <x:c r="Y1186" s="2" t="str">
        <x:f>IF(B1186="","",IF(I1186&lt;&gt;"READY","NOT RELEASED",IF(AND(X1186="CANDIDATE",V1186&gt;='Config_v6'!$B$51,W1186="PASS",'Calibrare_Linii'!T10="VALIDATED",AND('Calibrare_Linii'!H10=C1186,ISNUMBER('Calibrare_Linii'!J10),'Calibrare_Linii'!J10&lt;='Input_Meci'!G90)),"PASS",IF(X1186="CANDIDATE","OOS PENDING","FAIL"))))</x:f>
      </x:c>
      <x:c r="Z1186" s="2" t="str">
        <x:f>IF(B1186="","",IF(I1186&lt;&gt;"READY","",IF(OR(NOT(AND(J1186="PASS",'Calibrare_Linii'!U10="VALID")),L1186&gt;'Config_v6'!$B$13,W1186="WATCH"),5,IF(Y1186="PASS",1,MIN(5,MAX('Config_v6'!$B$42,U1186)+IF(W1186="PENALTY",1,0))))))</x:f>
      </x:c>
      <x:c r="AA1186" s="2" t="str">
        <x:f>IF(B1186="","",IF(I1186&lt;&gt;"READY","NOT RELEASED",IF(Z1186=5,"NO BET",IF(OR(AB1186&lt;'Config_v6'!$B$16,V1186&lt;'Config_v6'!$B$18),"WATCH",IF(Z1186=1,"DEFENSIV",IF(Z1186=2,"PRUDENT",IF(Z1186=3,"MODERAT","RIDICAT")))))))</x:f>
      </x:c>
      <x:c r="AB1186" s="10" t="str">
        <x:f>IF(N1186="","",MIN(N1186,1-S1186))</x:f>
      </x:c>
      <x:c r="AC1186" s="2" t="str">
        <x:f>IF(AD1186&lt;&gt;1,"",COUNTIFS($Z$1182:$Z$1195,"&lt;"&amp;Z1186,$AD$1182:$AD$1195,1)+COUNTIFS($Z$1182:$Z$1195,Z1186,$AB$1182:$AB$1195,"&gt;"&amp;AB1186,$AD$1182:$AD$1195,1)+COUNTIFS($Z$1182:$Z$1195,Z1186,$AB$1182:$AB$1195,AB1186,$V$1182:$V$1195,"&gt;"&amp;V1186,$AD$1182:$AD$1195,1)+COUNTIFS($Z$1182:Z1186,Z1186,$AB$1182:AB1186,AB1186,$V$1182:V1186,V1186,$AD$1182:AD1186,1))</x:f>
      </x:c>
      <x:c r="AD1186" s="2" t="n">
        <x:f>IF(OR(AA1186="DEFENSIV",AA1186="PRUDENT",AA1186="MODERAT",AA1186="RIDICAT"),1,0)</x:f>
        <x:v>0</x:v>
      </x:c>
      <x:c r="AE1186" s="2" t="str">
        <x:f>IF(AD1186&lt;&gt;1,"NO",IF(W1186="PASS","YES",IF(W1186="OOS PENDING","CONDITIONAL","NO")))</x:f>
        <x:v>NO</x:v>
      </x:c>
      <x:c r="AF1186" s="2" t="n">
        <x:f>IF(AND(AD1186=1,AC1186=1,E1186="LIVE"),1,0)</x:f>
        <x:v>0</x:v>
      </x:c>
      <x:c r="AG1186" s="2" t="str">
        <x:f>IF(AF1186&lt;&gt;1,"",'Dashboard'!P110)</x:f>
      </x:c>
      <x:c r="AH1186" s="2" t="str">
        <x:f>IF(B1186="","",IF(J1186&lt;&gt;"PASS",'Motor_Meciuri'!J90,IF('Calibrare_Linii'!U10&lt;&gt;"VALID","Parametri linie invalizi",IF(L1186&gt;'Config_v6'!$B$13,"Dispersie peste limita",IF(W1186="WATCH","Failure peste limita",IF(AB1186&lt;'Config_v6'!$B$16,"P finala sub prag",IF(V1186&lt;'Config_v6'!$B$18,"Confidence sub prag",IF(E1186="REPLAY","Exemplu retrospectiv; exclus din Top LIVE",IF(Y1186="PASS","DEFENSIV validat",IF(W1186="OOS PENDING","Eligibil; calibrare linie in monitorizare","Eligibil"))))))))))</x:f>
      </x:c>
      <x:c r="AI1186" s="2" t="str">
        <x:f>IF(B1186="","",'Calibrare_Linii'!V10)</x:f>
      </x:c>
      <x:c r="AJ1186" s="2" t="str">
        <x:f>IF(B1186="","",IF(AND('Calibrare_Linii'!T10="VALIDATED",AND('Calibrare_Linii'!H10=C1186,ISNUMBER('Calibrare_Linii'!J10),'Calibrare_Linii'!J10&lt;='Input_Meci'!G90)),"DEFENSIVE VALIDATED",IF(AND('Calibrare_Linii'!S10="VALIDATED",AND('Calibrare_Linii'!H10=C1186,ISNUMBER('Calibrare_Linii'!J10),'Calibrare_Linii'!J10&lt;='Input_Meci'!G90)),"TAIL VALIDATED","OOS PENDING")))</x:f>
      </x:c>
      <x:c r="AK1186" s="2" t="n">
        <x:f>IF(J1186&lt;&gt;"PASS",0,'Motor_Meciuri'!BR90)</x:f>
        <x:v>0</x:v>
      </x:c>
      <x:c r="AL1186" s="2" t="n">
        <x:f>IF(J1186&lt;&gt;"PASS",0,'Motor_Meciuri'!BS90)</x:f>
        <x:v>0</x:v>
      </x:c>
      <x:c r="AM1186" s="2" t="n">
        <x:f>IF(J1186&lt;&gt;"PASS",0,'Motor_Meciuri'!BT90)</x:f>
        <x:v>0</x:v>
      </x:c>
      <x:c r="AN1186" s="2" t="str">
        <x:f>IF(M1186="","",MAX(0,'Motor_Meciuri'!BF90-IF(L1186&gt;'Config_v6'!$B$12,'Config_v6'!$B$37,IF(L1186&gt;'Config_v6'!$B$11,'Config_v6'!$B$36,0))))</x:f>
      </x:c>
    </x:row>
    <x:row r="1187" ht="21" customHeight="1">
      <x:c r="A1187" s="2" t="n">
        <x:v>85</x:v>
      </x:c>
      <x:c r="B1187" s="2" t="str">
        <x:f>IF('Motor_Meciuri'!A90="","",'Motor_Meciuri'!A90)</x:f>
      </x:c>
      <x:c r="C1187" s="2" t="str">
        <x:f>IF(B1187="","",'Motor_Meciuri'!B90)</x:f>
      </x:c>
      <x:c r="D1187" s="2" t="str">
        <x:f>IF(B1187="","",'Motor_Meciuri'!D90)</x:f>
      </x:c>
      <x:c r="E1187" s="2" t="str">
        <x:f>IF(B1187="","",'Motor_Meciuri'!E90)</x:f>
      </x:c>
      <x:c r="F1187" s="2" t="str">
        <x:v>O8,5</x:v>
      </x:c>
      <x:c r="G1187" s="2" t="str">
        <x:v>OVER</x:v>
      </x:c>
      <x:c r="H1187" s="2" t="n">
        <x:v>8</x:v>
      </x:c>
      <x:c r="I1187" s="2" t="str">
        <x:f>IF(B1187="","",'Motor_Meciuri'!H90)</x:f>
      </x:c>
      <x:c r="J1187" s="2" t="str">
        <x:f>IF(B1187="","",'Motor_Meciuri'!I90)</x:f>
      </x:c>
      <x:c r="K1187" s="11" t="str">
        <x:f>IF(J1187&lt;&gt;"PASS","",'Motor_Meciuri'!BD90)</x:f>
      </x:c>
      <x:c r="L1187" s="11" t="str">
        <x:f>IF(J1187&lt;&gt;"PASS","",'Motor_Meciuri'!AU90)</x:f>
      </x:c>
      <x:c r="M1187" s="10" t="str">
        <x:f>IF(NOT(AND(J1187="PASS",'Calibrare_Linii'!U11="VALID")),"",1-'Distributie'!AF90)</x:f>
      </x:c>
      <x:c r="N1187" s="10" t="str">
        <x:f>IF(M1187="","",MAX(0.01,MIN(0.99,0.5+(M1187-0.5)*'Motor_Meciuri'!BG90*'Calibrare_Linii'!D11)))</x:f>
      </x:c>
      <x:c r="O1187" s="10" t="str">
        <x:f>IF(M1187="","",1-M1187)</x:f>
      </x:c>
      <x:c r="P1187" s="10" t="str">
        <x:f>IF(OR(NOT(AND(J1187="PASS",'Calibrare_Linii'!U11="VALID")),AK1187=0),""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*('Istoric_Nativ'!$Q$6:$Q$405&lt;=H1187))/AK1187)</x:f>
      </x:c>
      <x:c r="Q1187" s="10" t="str">
        <x:f>IF(OR(NOT(AND(J1187="PASS",'Calibrare_Linii'!U11="VALID")),AL1187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M90)+((('Istoric_Nativ'!$E$6:$E$405='Input_Meci'!E90)+('Istoric_Nativ'!$F$6:$F$405='Input_Meci'!E90))&gt;0)*('Istoric_Nativ'!$D$6:$D$405&gt;='Motor_Meciuri'!BN90))&gt;0)*('Istoric_Nativ'!$Q$6:$Q$405&lt;=H1187))/AL1187)</x:f>
      </x:c>
      <x:c r="R1187" s="10" t="str">
        <x:f>IF(OR(NOT(AND(J1187="PASS",'Calibrare_Linii'!U11="VALID")),AM1187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O90)+((('Istoric_Nativ'!$E$6:$E$405='Input_Meci'!E90)+('Istoric_Nativ'!$F$6:$F$405='Input_Meci'!E90))&gt;0)*('Istoric_Nativ'!$D$6:$D$405&gt;='Motor_Meciuri'!BP90))&gt;0)*('Istoric_Nativ'!$Q$6:$Q$405&lt;=H1187))/AM1187)</x:f>
      </x:c>
      <x:c r="S1187" s="10" t="str">
        <x:f>IF(M1187="","",MAX(O1187,P1187,Q1187,R1187))</x:f>
      </x:c>
      <x:c r="T1187" s="11" t="str">
        <x:f>IF(M1187="","",MIN(100,S1187*100*'Config_v6'!$B$44+MIN(100,L1187/'Config_v6'!$B$13*100)*'Config_v6'!$B$45+(100-'Motor_Meciuri'!BF90)*'Config_v6'!$B$46+'Motor_Meciuri'!BH90*100*'Config_v6'!$B$47))</x:f>
      </x:c>
      <x:c r="U1187" s="2" t="str">
        <x:f>IF(T1187="","",IF(T1187&lt;=20,1,IF(T1187&lt;=40,2,IF(T1187&lt;=60,3,IF(T1187&lt;=80,4,5)))))</x:f>
      </x:c>
      <x:c r="V1187" s="2" t="str">
        <x:f>IF(M1187="","",MAX(0,'Motor_Meciuri'!BF90-IF(W1187="OOS PENDING",'Config_v6'!$B$35,0)-IF(L1187&gt;'Config_v6'!$B$12,'Config_v6'!$B$37,IF(L1187&gt;'Config_v6'!$B$11,'Config_v6'!$B$36,0))))</x:f>
      </x:c>
      <x:c r="W1187" s="2" t="str">
        <x:f>IF(B1187="","",IF(I1187&lt;&gt;"READY","NOT RELEASED",IF(NOT(AND(J1187="PASS",'Calibrare_Linii'!U11="VALID")),"INVALID",IF(NOT(AND('Calibrare_Linii'!S11="VALIDATED",AND('Calibrare_Linii'!H11=C1187,ISNUMBER('Calibrare_Linii'!J11),'Calibrare_Linii'!J11&lt;='Input_Meci'!G90))),"OOS PENDING",IF(S1187&lt;='Calibrare_Linii'!E11,"PASS",IF(S1187&lt;='Calibrare_Linii'!F11,"PENALTY","WATCH"))))))</x:f>
      </x:c>
      <x:c r="X1187" s="2" t="str">
        <x:f>IF(M1187="","",IF(AND(AND(J1187="PASS",'Calibrare_Linii'!U11="VALID"),'Motor_Meciuri'!K90=12,'Motor_Meciuri'!L90=12,'Motor_Meciuri'!M90="NO",'Motor_Meciuri'!BL90='Motor_Meciuri'!C90,AB1187&gt;='Config_v6'!$B$50,AN1187&gt;='Config_v6'!$B$51,T1187&lt;='Config_v6'!$B$52,L1187&lt;='Config_v6'!$B$53,ISNUMBER('Calibrare_Linii'!E11),S1187&lt;='Calibrare_Linii'!E11,SUM(AK1187:AM1187)&gt;0),"CANDIDATE","NO"))</x:f>
      </x:c>
      <x:c r="Y1187" s="2" t="str">
        <x:f>IF(B1187="","",IF(I1187&lt;&gt;"READY","NOT RELEASED",IF(AND(X1187="CANDIDATE",V1187&gt;='Config_v6'!$B$51,W1187="PASS",'Calibrare_Linii'!T11="VALIDATED",AND('Calibrare_Linii'!H11=C1187,ISNUMBER('Calibrare_Linii'!J11),'Calibrare_Linii'!J11&lt;='Input_Meci'!G90)),"PASS",IF(X1187="CANDIDATE","OOS PENDING","FAIL"))))</x:f>
      </x:c>
      <x:c r="Z1187" s="2" t="str">
        <x:f>IF(B1187="","",IF(I1187&lt;&gt;"READY","",IF(OR(NOT(AND(J1187="PASS",'Calibrare_Linii'!U11="VALID")),L1187&gt;'Config_v6'!$B$13,W1187="WATCH"),5,IF(Y1187="PASS",1,MIN(5,MAX('Config_v6'!$B$42,U1187)+IF(W1187="PENALTY",1,0))))))</x:f>
      </x:c>
      <x:c r="AA1187" s="2" t="str">
        <x:f>IF(B1187="","",IF(I1187&lt;&gt;"READY","NOT RELEASED",IF(Z1187=5,"NO BET",IF(OR(AB1187&lt;'Config_v6'!$B$16,V1187&lt;'Config_v6'!$B$18),"WATCH",IF(Z1187=1,"DEFENSIV",IF(Z1187=2,"PRUDENT",IF(Z1187=3,"MODERAT","RIDICAT")))))))</x:f>
      </x:c>
      <x:c r="AB1187" s="10" t="str">
        <x:f>IF(N1187="","",MIN(N1187,1-S1187))</x:f>
      </x:c>
      <x:c r="AC1187" s="2" t="str">
        <x:f>IF(AD1187&lt;&gt;1,"",COUNTIFS($Z$1182:$Z$1195,"&lt;"&amp;Z1187,$AD$1182:$AD$1195,1)+COUNTIFS($Z$1182:$Z$1195,Z1187,$AB$1182:$AB$1195,"&gt;"&amp;AB1187,$AD$1182:$AD$1195,1)+COUNTIFS($Z$1182:$Z$1195,Z1187,$AB$1182:$AB$1195,AB1187,$V$1182:$V$1195,"&gt;"&amp;V1187,$AD$1182:$AD$1195,1)+COUNTIFS($Z$1182:Z1187,Z1187,$AB$1182:AB1187,AB1187,$V$1182:V1187,V1187,$AD$1182:AD1187,1))</x:f>
      </x:c>
      <x:c r="AD1187" s="2" t="n">
        <x:f>IF(OR(AA1187="DEFENSIV",AA1187="PRUDENT",AA1187="MODERAT",AA1187="RIDICAT"),1,0)</x:f>
        <x:v>0</x:v>
      </x:c>
      <x:c r="AE1187" s="2" t="str">
        <x:f>IF(AD1187&lt;&gt;1,"NO",IF(W1187="PASS","YES",IF(W1187="OOS PENDING","CONDITIONAL","NO")))</x:f>
        <x:v>NO</x:v>
      </x:c>
      <x:c r="AF1187" s="2" t="n">
        <x:f>IF(AND(AD1187=1,AC1187=1,E1187="LIVE"),1,0)</x:f>
        <x:v>0</x:v>
      </x:c>
      <x:c r="AG1187" s="2" t="str">
        <x:f>IF(AF1187&lt;&gt;1,"",'Dashboard'!P110)</x:f>
      </x:c>
      <x:c r="AH1187" s="2" t="str">
        <x:f>IF(B1187="","",IF(J1187&lt;&gt;"PASS",'Motor_Meciuri'!J90,IF('Calibrare_Linii'!U11&lt;&gt;"VALID","Parametri linie invalizi",IF(L1187&gt;'Config_v6'!$B$13,"Dispersie peste limita",IF(W1187="WATCH","Failure peste limita",IF(AB1187&lt;'Config_v6'!$B$16,"P finala sub prag",IF(V1187&lt;'Config_v6'!$B$18,"Confidence sub prag",IF(E1187="REPLAY","Exemplu retrospectiv; exclus din Top LIVE",IF(Y1187="PASS","DEFENSIV validat",IF(W1187="OOS PENDING","Eligibil; calibrare linie in monitorizare","Eligibil"))))))))))</x:f>
      </x:c>
      <x:c r="AI1187" s="2" t="str">
        <x:f>IF(B1187="","",'Calibrare_Linii'!V11)</x:f>
      </x:c>
      <x:c r="AJ1187" s="2" t="str">
        <x:f>IF(B1187="","",IF(AND('Calibrare_Linii'!T11="VALIDATED",AND('Calibrare_Linii'!H11=C1187,ISNUMBER('Calibrare_Linii'!J11),'Calibrare_Linii'!J11&lt;='Input_Meci'!G90)),"DEFENSIVE VALIDATED",IF(AND('Calibrare_Linii'!S11="VALIDATED",AND('Calibrare_Linii'!H11=C1187,ISNUMBER('Calibrare_Linii'!J11),'Calibrare_Linii'!J11&lt;='Input_Meci'!G90)),"TAIL VALIDATED","OOS PENDING")))</x:f>
      </x:c>
      <x:c r="AK1187" s="2" t="n">
        <x:f>IF(J1187&lt;&gt;"PASS",0,'Motor_Meciuri'!BR90)</x:f>
        <x:v>0</x:v>
      </x:c>
      <x:c r="AL1187" s="2" t="n">
        <x:f>IF(J1187&lt;&gt;"PASS",0,'Motor_Meciuri'!BS90)</x:f>
        <x:v>0</x:v>
      </x:c>
      <x:c r="AM1187" s="2" t="n">
        <x:f>IF(J1187&lt;&gt;"PASS",0,'Motor_Meciuri'!BT90)</x:f>
        <x:v>0</x:v>
      </x:c>
      <x:c r="AN1187" s="2" t="str">
        <x:f>IF(M1187="","",MAX(0,'Motor_Meciuri'!BF90-IF(L1187&gt;'Config_v6'!$B$12,'Config_v6'!$B$37,IF(L1187&gt;'Config_v6'!$B$11,'Config_v6'!$B$36,0))))</x:f>
      </x:c>
    </x:row>
    <x:row r="1188" ht="21" customHeight="1">
      <x:c r="A1188" s="2" t="n">
        <x:v>85</x:v>
      </x:c>
      <x:c r="B1188" s="2" t="str">
        <x:f>IF('Motor_Meciuri'!A90="","",'Motor_Meciuri'!A90)</x:f>
      </x:c>
      <x:c r="C1188" s="2" t="str">
        <x:f>IF(B1188="","",'Motor_Meciuri'!B90)</x:f>
      </x:c>
      <x:c r="D1188" s="2" t="str">
        <x:f>IF(B1188="","",'Motor_Meciuri'!D90)</x:f>
      </x:c>
      <x:c r="E1188" s="2" t="str">
        <x:f>IF(B1188="","",'Motor_Meciuri'!E90)</x:f>
      </x:c>
      <x:c r="F1188" s="2" t="str">
        <x:v>U10,5</x:v>
      </x:c>
      <x:c r="G1188" s="2" t="str">
        <x:v>UNDER</x:v>
      </x:c>
      <x:c r="H1188" s="2" t="n">
        <x:v>10</x:v>
      </x:c>
      <x:c r="I1188" s="2" t="str">
        <x:f>IF(B1188="","",'Motor_Meciuri'!H90)</x:f>
      </x:c>
      <x:c r="J1188" s="2" t="str">
        <x:f>IF(B1188="","",'Motor_Meciuri'!I90)</x:f>
      </x:c>
      <x:c r="K1188" s="11" t="str">
        <x:f>IF(J1188&lt;&gt;"PASS","",'Motor_Meciuri'!BD90)</x:f>
      </x:c>
      <x:c r="L1188" s="11" t="str">
        <x:f>IF(J1188&lt;&gt;"PASS","",'Motor_Meciuri'!AU90)</x:f>
      </x:c>
      <x:c r="M1188" s="10" t="str">
        <x:f>IF(NOT(AND(J1188="PASS",'Calibrare_Linii'!U12="VALID")),"",'Distributie'!AH90)</x:f>
      </x:c>
      <x:c r="N1188" s="10" t="str">
        <x:f>IF(M1188="","",MAX(0.01,MIN(0.99,0.5+(M1188-0.5)*'Motor_Meciuri'!BG90*'Calibrare_Linii'!D12)))</x:f>
      </x:c>
      <x:c r="O1188" s="10" t="str">
        <x:f>IF(M1188="","",1-M1188)</x:f>
      </x:c>
      <x:c r="P1188" s="10" t="str">
        <x:f>IF(OR(NOT(AND(J1188="PASS",'Calibrare_Linii'!U12="VALID")),AK1188=0),""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*('Istoric_Nativ'!$Q$6:$Q$405&gt;H1188))/AK1188)</x:f>
      </x:c>
      <x:c r="Q1188" s="10" t="str">
        <x:f>IF(OR(NOT(AND(J1188="PASS",'Calibrare_Linii'!U12="VALID")),AL1188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M90)+((('Istoric_Nativ'!$E$6:$E$405='Input_Meci'!E90)+('Istoric_Nativ'!$F$6:$F$405='Input_Meci'!E90))&gt;0)*('Istoric_Nativ'!$D$6:$D$405&gt;='Motor_Meciuri'!BN90))&gt;0)*('Istoric_Nativ'!$Q$6:$Q$405&gt;H1188))/AL1188)</x:f>
      </x:c>
      <x:c r="R1188" s="10" t="str">
        <x:f>IF(OR(NOT(AND(J1188="PASS",'Calibrare_Linii'!U12="VALID")),AM1188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O90)+((('Istoric_Nativ'!$E$6:$E$405='Input_Meci'!E90)+('Istoric_Nativ'!$F$6:$F$405='Input_Meci'!E90))&gt;0)*('Istoric_Nativ'!$D$6:$D$405&gt;='Motor_Meciuri'!BP90))&gt;0)*('Istoric_Nativ'!$Q$6:$Q$405&gt;H1188))/AM1188)</x:f>
      </x:c>
      <x:c r="S1188" s="10" t="str">
        <x:f>IF(M1188="","",MAX(O1188,P1188,Q1188,R1188))</x:f>
      </x:c>
      <x:c r="T1188" s="11" t="str">
        <x:f>IF(M1188="","",MIN(100,S1188*100*'Config_v6'!$B$44+MIN(100,L1188/'Config_v6'!$B$13*100)*'Config_v6'!$B$45+(100-'Motor_Meciuri'!BF90)*'Config_v6'!$B$46+'Motor_Meciuri'!BH90*100*'Config_v6'!$B$47))</x:f>
      </x:c>
      <x:c r="U1188" s="2" t="str">
        <x:f>IF(T1188="","",IF(T1188&lt;=20,1,IF(T1188&lt;=40,2,IF(T1188&lt;=60,3,IF(T1188&lt;=80,4,5)))))</x:f>
      </x:c>
      <x:c r="V1188" s="2" t="str">
        <x:f>IF(M1188="","",MAX(0,'Motor_Meciuri'!BF90-IF(W1188="OOS PENDING",'Config_v6'!$B$35,0)-IF(L1188&gt;'Config_v6'!$B$12,'Config_v6'!$B$37,IF(L1188&gt;'Config_v6'!$B$11,'Config_v6'!$B$36,0))))</x:f>
      </x:c>
      <x:c r="W1188" s="2" t="str">
        <x:f>IF(B1188="","",IF(I1188&lt;&gt;"READY","NOT RELEASED",IF(NOT(AND(J1188="PASS",'Calibrare_Linii'!U12="VALID")),"INVALID",IF(NOT(AND('Calibrare_Linii'!S12="VALIDATED",AND('Calibrare_Linii'!H12=C1188,ISNUMBER('Calibrare_Linii'!J12),'Calibrare_Linii'!J12&lt;='Input_Meci'!G90))),"OOS PENDING",IF(S1188&lt;='Calibrare_Linii'!E12,"PASS",IF(S1188&lt;='Calibrare_Linii'!F12,"PENALTY","WATCH"))))))</x:f>
      </x:c>
      <x:c r="X1188" s="2" t="str">
        <x:f>IF(M1188="","",IF(AND(AND(J1188="PASS",'Calibrare_Linii'!U12="VALID"),'Motor_Meciuri'!K90=12,'Motor_Meciuri'!L90=12,'Motor_Meciuri'!M90="NO",'Motor_Meciuri'!BL90='Motor_Meciuri'!C90,AB1188&gt;='Config_v6'!$B$50,AN1188&gt;='Config_v6'!$B$51,T1188&lt;='Config_v6'!$B$52,L1188&lt;='Config_v6'!$B$53,ISNUMBER('Calibrare_Linii'!E12),S1188&lt;='Calibrare_Linii'!E12,SUM(AK1188:AM1188)&gt;0),"CANDIDATE","NO"))</x:f>
      </x:c>
      <x:c r="Y1188" s="2" t="str">
        <x:f>IF(B1188="","",IF(I1188&lt;&gt;"READY","NOT RELEASED",IF(AND(X1188="CANDIDATE",V1188&gt;='Config_v6'!$B$51,W1188="PASS",'Calibrare_Linii'!T12="VALIDATED",AND('Calibrare_Linii'!H12=C1188,ISNUMBER('Calibrare_Linii'!J12),'Calibrare_Linii'!J12&lt;='Input_Meci'!G90)),"PASS",IF(X1188="CANDIDATE","OOS PENDING","FAIL"))))</x:f>
      </x:c>
      <x:c r="Z1188" s="2" t="str">
        <x:f>IF(B1188="","",IF(I1188&lt;&gt;"READY","",IF(OR(NOT(AND(J1188="PASS",'Calibrare_Linii'!U12="VALID")),L1188&gt;'Config_v6'!$B$13,W1188="WATCH"),5,IF(Y1188="PASS",1,MIN(5,MAX('Config_v6'!$B$42,U1188)+IF(W1188="PENALTY",1,0))))))</x:f>
      </x:c>
      <x:c r="AA1188" s="2" t="str">
        <x:f>IF(B1188="","",IF(I1188&lt;&gt;"READY","NOT RELEASED",IF(Z1188=5,"NO BET",IF(OR(AB1188&lt;'Config_v6'!$B$16,V1188&lt;'Config_v6'!$B$18),"WATCH",IF(Z1188=1,"DEFENSIV",IF(Z1188=2,"PRUDENT",IF(Z1188=3,"MODERAT","RIDICAT")))))))</x:f>
      </x:c>
      <x:c r="AB1188" s="10" t="str">
        <x:f>IF(N1188="","",MIN(N1188,1-S1188))</x:f>
      </x:c>
      <x:c r="AC1188" s="2" t="str">
        <x:f>IF(AD1188&lt;&gt;1,"",COUNTIFS($Z$1182:$Z$1195,"&lt;"&amp;Z1188,$AD$1182:$AD$1195,1)+COUNTIFS($Z$1182:$Z$1195,Z1188,$AB$1182:$AB$1195,"&gt;"&amp;AB1188,$AD$1182:$AD$1195,1)+COUNTIFS($Z$1182:$Z$1195,Z1188,$AB$1182:$AB$1195,AB1188,$V$1182:$V$1195,"&gt;"&amp;V1188,$AD$1182:$AD$1195,1)+COUNTIFS($Z$1182:Z1188,Z1188,$AB$1182:AB1188,AB1188,$V$1182:V1188,V1188,$AD$1182:AD1188,1))</x:f>
      </x:c>
      <x:c r="AD1188" s="2" t="n">
        <x:f>IF(OR(AA1188="DEFENSIV",AA1188="PRUDENT",AA1188="MODERAT",AA1188="RIDICAT"),1,0)</x:f>
        <x:v>0</x:v>
      </x:c>
      <x:c r="AE1188" s="2" t="str">
        <x:f>IF(AD1188&lt;&gt;1,"NO",IF(W1188="PASS","YES",IF(W1188="OOS PENDING","CONDITIONAL","NO")))</x:f>
        <x:v>NO</x:v>
      </x:c>
      <x:c r="AF1188" s="2" t="n">
        <x:f>IF(AND(AD1188=1,AC1188=1,E1188="LIVE"),1,0)</x:f>
        <x:v>0</x:v>
      </x:c>
      <x:c r="AG1188" s="2" t="str">
        <x:f>IF(AF1188&lt;&gt;1,"",'Dashboard'!P110)</x:f>
      </x:c>
      <x:c r="AH1188" s="2" t="str">
        <x:f>IF(B1188="","",IF(J1188&lt;&gt;"PASS",'Motor_Meciuri'!J90,IF('Calibrare_Linii'!U12&lt;&gt;"VALID","Parametri linie invalizi",IF(L1188&gt;'Config_v6'!$B$13,"Dispersie peste limita",IF(W1188="WATCH","Failure peste limita",IF(AB1188&lt;'Config_v6'!$B$16,"P finala sub prag",IF(V1188&lt;'Config_v6'!$B$18,"Confidence sub prag",IF(E1188="REPLAY","Exemplu retrospectiv; exclus din Top LIVE",IF(Y1188="PASS","DEFENSIV validat",IF(W1188="OOS PENDING","Eligibil; calibrare linie in monitorizare","Eligibil"))))))))))</x:f>
      </x:c>
      <x:c r="AI1188" s="2" t="str">
        <x:f>IF(B1188="","",'Calibrare_Linii'!V12)</x:f>
      </x:c>
      <x:c r="AJ1188" s="2" t="str">
        <x:f>IF(B1188="","",IF(AND('Calibrare_Linii'!T12="VALIDATED",AND('Calibrare_Linii'!H12=C1188,ISNUMBER('Calibrare_Linii'!J12),'Calibrare_Linii'!J12&lt;='Input_Meci'!G90)),"DEFENSIVE VALIDATED",IF(AND('Calibrare_Linii'!S12="VALIDATED",AND('Calibrare_Linii'!H12=C1188,ISNUMBER('Calibrare_Linii'!J12),'Calibrare_Linii'!J12&lt;='Input_Meci'!G90)),"TAIL VALIDATED","OOS PENDING")))</x:f>
      </x:c>
      <x:c r="AK1188" s="2" t="n">
        <x:f>IF(J1188&lt;&gt;"PASS",0,'Motor_Meciuri'!BR90)</x:f>
        <x:v>0</x:v>
      </x:c>
      <x:c r="AL1188" s="2" t="n">
        <x:f>IF(J1188&lt;&gt;"PASS",0,'Motor_Meciuri'!BS90)</x:f>
        <x:v>0</x:v>
      </x:c>
      <x:c r="AM1188" s="2" t="n">
        <x:f>IF(J1188&lt;&gt;"PASS",0,'Motor_Meciuri'!BT90)</x:f>
        <x:v>0</x:v>
      </x:c>
      <x:c r="AN1188" s="2" t="str">
        <x:f>IF(M1188="","",MAX(0,'Motor_Meciuri'!BF90-IF(L1188&gt;'Config_v6'!$B$12,'Config_v6'!$B$37,IF(L1188&gt;'Config_v6'!$B$11,'Config_v6'!$B$36,0))))</x:f>
      </x:c>
    </x:row>
    <x:row r="1189" ht="21" customHeight="1">
      <x:c r="A1189" s="2" t="n">
        <x:v>85</x:v>
      </x:c>
      <x:c r="B1189" s="2" t="str">
        <x:f>IF('Motor_Meciuri'!A90="","",'Motor_Meciuri'!A90)</x:f>
      </x:c>
      <x:c r="C1189" s="2" t="str">
        <x:f>IF(B1189="","",'Motor_Meciuri'!B90)</x:f>
      </x:c>
      <x:c r="D1189" s="2" t="str">
        <x:f>IF(B1189="","",'Motor_Meciuri'!D90)</x:f>
      </x:c>
      <x:c r="E1189" s="2" t="str">
        <x:f>IF(B1189="","",'Motor_Meciuri'!E90)</x:f>
      </x:c>
      <x:c r="F1189" s="2" t="str">
        <x:v>U11,5</x:v>
      </x:c>
      <x:c r="G1189" s="2" t="str">
        <x:v>UNDER</x:v>
      </x:c>
      <x:c r="H1189" s="2" t="n">
        <x:v>11</x:v>
      </x:c>
      <x:c r="I1189" s="2" t="str">
        <x:f>IF(B1189="","",'Motor_Meciuri'!H90)</x:f>
      </x:c>
      <x:c r="J1189" s="2" t="str">
        <x:f>IF(B1189="","",'Motor_Meciuri'!I90)</x:f>
      </x:c>
      <x:c r="K1189" s="11" t="str">
        <x:f>IF(J1189&lt;&gt;"PASS","",'Motor_Meciuri'!BD90)</x:f>
      </x:c>
      <x:c r="L1189" s="11" t="str">
        <x:f>IF(J1189&lt;&gt;"PASS","",'Motor_Meciuri'!AU90)</x:f>
      </x:c>
      <x:c r="M1189" s="10" t="str">
        <x:f>IF(NOT(AND(J1189="PASS",'Calibrare_Linii'!U13="VALID")),"",'Distributie'!AI90)</x:f>
      </x:c>
      <x:c r="N1189" s="10" t="str">
        <x:f>IF(M1189="","",MAX(0.01,MIN(0.99,0.5+(M1189-0.5)*'Motor_Meciuri'!BG90*'Calibrare_Linii'!D13)))</x:f>
      </x:c>
      <x:c r="O1189" s="10" t="str">
        <x:f>IF(M1189="","",1-M1189)</x:f>
      </x:c>
      <x:c r="P1189" s="10" t="str">
        <x:f>IF(OR(NOT(AND(J1189="PASS",'Calibrare_Linii'!U13="VALID")),AK1189=0),""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*('Istoric_Nativ'!$Q$6:$Q$405&gt;H1189))/AK1189)</x:f>
      </x:c>
      <x:c r="Q1189" s="10" t="str">
        <x:f>IF(OR(NOT(AND(J1189="PASS",'Calibrare_Linii'!U13="VALID")),AL1189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M90)+((('Istoric_Nativ'!$E$6:$E$405='Input_Meci'!E90)+('Istoric_Nativ'!$F$6:$F$405='Input_Meci'!E90))&gt;0)*('Istoric_Nativ'!$D$6:$D$405&gt;='Motor_Meciuri'!BN90))&gt;0)*('Istoric_Nativ'!$Q$6:$Q$405&gt;H1189))/AL1189)</x:f>
      </x:c>
      <x:c r="R1189" s="10" t="str">
        <x:f>IF(OR(NOT(AND(J1189="PASS",'Calibrare_Linii'!U13="VALID")),AM1189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O90)+((('Istoric_Nativ'!$E$6:$E$405='Input_Meci'!E90)+('Istoric_Nativ'!$F$6:$F$405='Input_Meci'!E90))&gt;0)*('Istoric_Nativ'!$D$6:$D$405&gt;='Motor_Meciuri'!BP90))&gt;0)*('Istoric_Nativ'!$Q$6:$Q$405&gt;H1189))/AM1189)</x:f>
      </x:c>
      <x:c r="S1189" s="10" t="str">
        <x:f>IF(M1189="","",MAX(O1189,P1189,Q1189,R1189))</x:f>
      </x:c>
      <x:c r="T1189" s="11" t="str">
        <x:f>IF(M1189="","",MIN(100,S1189*100*'Config_v6'!$B$44+MIN(100,L1189/'Config_v6'!$B$13*100)*'Config_v6'!$B$45+(100-'Motor_Meciuri'!BF90)*'Config_v6'!$B$46+'Motor_Meciuri'!BH90*100*'Config_v6'!$B$47))</x:f>
      </x:c>
      <x:c r="U1189" s="2" t="str">
        <x:f>IF(T1189="","",IF(T1189&lt;=20,1,IF(T1189&lt;=40,2,IF(T1189&lt;=60,3,IF(T1189&lt;=80,4,5)))))</x:f>
      </x:c>
      <x:c r="V1189" s="2" t="str">
        <x:f>IF(M1189="","",MAX(0,'Motor_Meciuri'!BF90-IF(W1189="OOS PENDING",'Config_v6'!$B$35,0)-IF(L1189&gt;'Config_v6'!$B$12,'Config_v6'!$B$37,IF(L1189&gt;'Config_v6'!$B$11,'Config_v6'!$B$36,0))))</x:f>
      </x:c>
      <x:c r="W1189" s="2" t="str">
        <x:f>IF(B1189="","",IF(I1189&lt;&gt;"READY","NOT RELEASED",IF(NOT(AND(J1189="PASS",'Calibrare_Linii'!U13="VALID")),"INVALID",IF(NOT(AND('Calibrare_Linii'!S13="VALIDATED",AND('Calibrare_Linii'!H13=C1189,ISNUMBER('Calibrare_Linii'!J13),'Calibrare_Linii'!J13&lt;='Input_Meci'!G90))),"OOS PENDING",IF(S1189&lt;='Calibrare_Linii'!E13,"PASS",IF(S1189&lt;='Calibrare_Linii'!F13,"PENALTY","WATCH"))))))</x:f>
      </x:c>
      <x:c r="X1189" s="2" t="str">
        <x:f>IF(M1189="","",IF(AND(AND(J1189="PASS",'Calibrare_Linii'!U13="VALID"),'Motor_Meciuri'!K90=12,'Motor_Meciuri'!L90=12,'Motor_Meciuri'!M90="NO",'Motor_Meciuri'!BL90='Motor_Meciuri'!C90,AB1189&gt;='Config_v6'!$B$50,AN1189&gt;='Config_v6'!$B$51,T1189&lt;='Config_v6'!$B$52,L1189&lt;='Config_v6'!$B$53,ISNUMBER('Calibrare_Linii'!E13),S1189&lt;='Calibrare_Linii'!E13,SUM(AK1189:AM1189)&gt;0),"CANDIDATE","NO"))</x:f>
      </x:c>
      <x:c r="Y1189" s="2" t="str">
        <x:f>IF(B1189="","",IF(I1189&lt;&gt;"READY","NOT RELEASED",IF(AND(X1189="CANDIDATE",V1189&gt;='Config_v6'!$B$51,W1189="PASS",'Calibrare_Linii'!T13="VALIDATED",AND('Calibrare_Linii'!H13=C1189,ISNUMBER('Calibrare_Linii'!J13),'Calibrare_Linii'!J13&lt;='Input_Meci'!G90)),"PASS",IF(X1189="CANDIDATE","OOS PENDING","FAIL"))))</x:f>
      </x:c>
      <x:c r="Z1189" s="2" t="str">
        <x:f>IF(B1189="","",IF(I1189&lt;&gt;"READY","",IF(OR(NOT(AND(J1189="PASS",'Calibrare_Linii'!U13="VALID")),L1189&gt;'Config_v6'!$B$13,W1189="WATCH"),5,IF(Y1189="PASS",1,MIN(5,MAX('Config_v6'!$B$42,U1189)+IF(W1189="PENALTY",1,0))))))</x:f>
      </x:c>
      <x:c r="AA1189" s="2" t="str">
        <x:f>IF(B1189="","",IF(I1189&lt;&gt;"READY","NOT RELEASED",IF(Z1189=5,"NO BET",IF(OR(AB1189&lt;'Config_v6'!$B$16,V1189&lt;'Config_v6'!$B$18),"WATCH",IF(Z1189=1,"DEFENSIV",IF(Z1189=2,"PRUDENT",IF(Z1189=3,"MODERAT","RIDICAT")))))))</x:f>
      </x:c>
      <x:c r="AB1189" s="10" t="str">
        <x:f>IF(N1189="","",MIN(N1189,1-S1189))</x:f>
      </x:c>
      <x:c r="AC1189" s="2" t="str">
        <x:f>IF(AD1189&lt;&gt;1,"",COUNTIFS($Z$1182:$Z$1195,"&lt;"&amp;Z1189,$AD$1182:$AD$1195,1)+COUNTIFS($Z$1182:$Z$1195,Z1189,$AB$1182:$AB$1195,"&gt;"&amp;AB1189,$AD$1182:$AD$1195,1)+COUNTIFS($Z$1182:$Z$1195,Z1189,$AB$1182:$AB$1195,AB1189,$V$1182:$V$1195,"&gt;"&amp;V1189,$AD$1182:$AD$1195,1)+COUNTIFS($Z$1182:Z1189,Z1189,$AB$1182:AB1189,AB1189,$V$1182:V1189,V1189,$AD$1182:AD1189,1))</x:f>
      </x:c>
      <x:c r="AD1189" s="2" t="n">
        <x:f>IF(OR(AA1189="DEFENSIV",AA1189="PRUDENT",AA1189="MODERAT",AA1189="RIDICAT"),1,0)</x:f>
        <x:v>0</x:v>
      </x:c>
      <x:c r="AE1189" s="2" t="str">
        <x:f>IF(AD1189&lt;&gt;1,"NO",IF(W1189="PASS","YES",IF(W1189="OOS PENDING","CONDITIONAL","NO")))</x:f>
        <x:v>NO</x:v>
      </x:c>
      <x:c r="AF1189" s="2" t="n">
        <x:f>IF(AND(AD1189=1,AC1189=1,E1189="LIVE"),1,0)</x:f>
        <x:v>0</x:v>
      </x:c>
      <x:c r="AG1189" s="2" t="str">
        <x:f>IF(AF1189&lt;&gt;1,"",'Dashboard'!P110)</x:f>
      </x:c>
      <x:c r="AH1189" s="2" t="str">
        <x:f>IF(B1189="","",IF(J1189&lt;&gt;"PASS",'Motor_Meciuri'!J90,IF('Calibrare_Linii'!U13&lt;&gt;"VALID","Parametri linie invalizi",IF(L1189&gt;'Config_v6'!$B$13,"Dispersie peste limita",IF(W1189="WATCH","Failure peste limita",IF(AB1189&lt;'Config_v6'!$B$16,"P finala sub prag",IF(V1189&lt;'Config_v6'!$B$18,"Confidence sub prag",IF(E1189="REPLAY","Exemplu retrospectiv; exclus din Top LIVE",IF(Y1189="PASS","DEFENSIV validat",IF(W1189="OOS PENDING","Eligibil; calibrare linie in monitorizare","Eligibil"))))))))))</x:f>
      </x:c>
      <x:c r="AI1189" s="2" t="str">
        <x:f>IF(B1189="","",'Calibrare_Linii'!V13)</x:f>
      </x:c>
      <x:c r="AJ1189" s="2" t="str">
        <x:f>IF(B1189="","",IF(AND('Calibrare_Linii'!T13="VALIDATED",AND('Calibrare_Linii'!H13=C1189,ISNUMBER('Calibrare_Linii'!J13),'Calibrare_Linii'!J13&lt;='Input_Meci'!G90)),"DEFENSIVE VALIDATED",IF(AND('Calibrare_Linii'!S13="VALIDATED",AND('Calibrare_Linii'!H13=C1189,ISNUMBER('Calibrare_Linii'!J13),'Calibrare_Linii'!J13&lt;='Input_Meci'!G90)),"TAIL VALIDATED","OOS PENDING")))</x:f>
      </x:c>
      <x:c r="AK1189" s="2" t="n">
        <x:f>IF(J1189&lt;&gt;"PASS",0,'Motor_Meciuri'!BR90)</x:f>
        <x:v>0</x:v>
      </x:c>
      <x:c r="AL1189" s="2" t="n">
        <x:f>IF(J1189&lt;&gt;"PASS",0,'Motor_Meciuri'!BS90)</x:f>
        <x:v>0</x:v>
      </x:c>
      <x:c r="AM1189" s="2" t="n">
        <x:f>IF(J1189&lt;&gt;"PASS",0,'Motor_Meciuri'!BT90)</x:f>
        <x:v>0</x:v>
      </x:c>
      <x:c r="AN1189" s="2" t="str">
        <x:f>IF(M1189="","",MAX(0,'Motor_Meciuri'!BF90-IF(L1189&gt;'Config_v6'!$B$12,'Config_v6'!$B$37,IF(L1189&gt;'Config_v6'!$B$11,'Config_v6'!$B$36,0))))</x:f>
      </x:c>
    </x:row>
    <x:row r="1190" ht="21" customHeight="1">
      <x:c r="A1190" s="2" t="n">
        <x:v>85</x:v>
      </x:c>
      <x:c r="B1190" s="2" t="str">
        <x:f>IF('Motor_Meciuri'!A90="","",'Motor_Meciuri'!A90)</x:f>
      </x:c>
      <x:c r="C1190" s="2" t="str">
        <x:f>IF(B1190="","",'Motor_Meciuri'!B90)</x:f>
      </x:c>
      <x:c r="D1190" s="2" t="str">
        <x:f>IF(B1190="","",'Motor_Meciuri'!D90)</x:f>
      </x:c>
      <x:c r="E1190" s="2" t="str">
        <x:f>IF(B1190="","",'Motor_Meciuri'!E90)</x:f>
      </x:c>
      <x:c r="F1190" s="2" t="str">
        <x:v>U12,5</x:v>
      </x:c>
      <x:c r="G1190" s="2" t="str">
        <x:v>UNDER</x:v>
      </x:c>
      <x:c r="H1190" s="2" t="n">
        <x:v>12</x:v>
      </x:c>
      <x:c r="I1190" s="2" t="str">
        <x:f>IF(B1190="","",'Motor_Meciuri'!H90)</x:f>
      </x:c>
      <x:c r="J1190" s="2" t="str">
        <x:f>IF(B1190="","",'Motor_Meciuri'!I90)</x:f>
      </x:c>
      <x:c r="K1190" s="11" t="str">
        <x:f>IF(J1190&lt;&gt;"PASS","",'Motor_Meciuri'!BD90)</x:f>
      </x:c>
      <x:c r="L1190" s="11" t="str">
        <x:f>IF(J1190&lt;&gt;"PASS","",'Motor_Meciuri'!AU90)</x:f>
      </x:c>
      <x:c r="M1190" s="10" t="str">
        <x:f>IF(NOT(AND(J1190="PASS",'Calibrare_Linii'!U14="VALID")),"",'Distributie'!AJ90)</x:f>
      </x:c>
      <x:c r="N1190" s="10" t="str">
        <x:f>IF(M1190="","",MAX(0.01,MIN(0.99,0.5+(M1190-0.5)*'Motor_Meciuri'!BG90*'Calibrare_Linii'!D14)))</x:f>
      </x:c>
      <x:c r="O1190" s="10" t="str">
        <x:f>IF(M1190="","",1-M1190)</x:f>
      </x:c>
      <x:c r="P1190" s="10" t="str">
        <x:f>IF(OR(NOT(AND(J1190="PASS",'Calibrare_Linii'!U14="VALID")),AK1190=0),""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*('Istoric_Nativ'!$Q$6:$Q$405&gt;H1190))/AK1190)</x:f>
      </x:c>
      <x:c r="Q1190" s="10" t="str">
        <x:f>IF(OR(NOT(AND(J1190="PASS",'Calibrare_Linii'!U14="VALID")),AL1190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M90)+((('Istoric_Nativ'!$E$6:$E$405='Input_Meci'!E90)+('Istoric_Nativ'!$F$6:$F$405='Input_Meci'!E90))&gt;0)*('Istoric_Nativ'!$D$6:$D$405&gt;='Motor_Meciuri'!BN90))&gt;0)*('Istoric_Nativ'!$Q$6:$Q$405&gt;H1190))/AL1190)</x:f>
      </x:c>
      <x:c r="R1190" s="10" t="str">
        <x:f>IF(OR(NOT(AND(J1190="PASS",'Calibrare_Linii'!U14="VALID")),AM1190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O90)+((('Istoric_Nativ'!$E$6:$E$405='Input_Meci'!E90)+('Istoric_Nativ'!$F$6:$F$405='Input_Meci'!E90))&gt;0)*('Istoric_Nativ'!$D$6:$D$405&gt;='Motor_Meciuri'!BP90))&gt;0)*('Istoric_Nativ'!$Q$6:$Q$405&gt;H1190))/AM1190)</x:f>
      </x:c>
      <x:c r="S1190" s="10" t="str">
        <x:f>IF(M1190="","",MAX(O1190,P1190,Q1190,R1190))</x:f>
      </x:c>
      <x:c r="T1190" s="11" t="str">
        <x:f>IF(M1190="","",MIN(100,S1190*100*'Config_v6'!$B$44+MIN(100,L1190/'Config_v6'!$B$13*100)*'Config_v6'!$B$45+(100-'Motor_Meciuri'!BF90)*'Config_v6'!$B$46+'Motor_Meciuri'!BH90*100*'Config_v6'!$B$47))</x:f>
      </x:c>
      <x:c r="U1190" s="2" t="str">
        <x:f>IF(T1190="","",IF(T1190&lt;=20,1,IF(T1190&lt;=40,2,IF(T1190&lt;=60,3,IF(T1190&lt;=80,4,5)))))</x:f>
      </x:c>
      <x:c r="V1190" s="2" t="str">
        <x:f>IF(M1190="","",MAX(0,'Motor_Meciuri'!BF90-IF(W1190="OOS PENDING",'Config_v6'!$B$35,0)-IF(L1190&gt;'Config_v6'!$B$12,'Config_v6'!$B$37,IF(L1190&gt;'Config_v6'!$B$11,'Config_v6'!$B$36,0))))</x:f>
      </x:c>
      <x:c r="W1190" s="2" t="str">
        <x:f>IF(B1190="","",IF(I1190&lt;&gt;"READY","NOT RELEASED",IF(NOT(AND(J1190="PASS",'Calibrare_Linii'!U14="VALID")),"INVALID",IF(NOT(AND('Calibrare_Linii'!S14="VALIDATED",AND('Calibrare_Linii'!H14=C1190,ISNUMBER('Calibrare_Linii'!J14),'Calibrare_Linii'!J14&lt;='Input_Meci'!G90))),"OOS PENDING",IF(S1190&lt;='Calibrare_Linii'!E14,"PASS",IF(S1190&lt;='Calibrare_Linii'!F14,"PENALTY","WATCH"))))))</x:f>
      </x:c>
      <x:c r="X1190" s="2" t="str">
        <x:f>IF(M1190="","",IF(AND(AND(J1190="PASS",'Calibrare_Linii'!U14="VALID"),'Motor_Meciuri'!K90=12,'Motor_Meciuri'!L90=12,'Motor_Meciuri'!M90="NO",'Motor_Meciuri'!BL90='Motor_Meciuri'!C90,AB1190&gt;='Config_v6'!$B$50,AN1190&gt;='Config_v6'!$B$51,T1190&lt;='Config_v6'!$B$52,L1190&lt;='Config_v6'!$B$53,ISNUMBER('Calibrare_Linii'!E14),S1190&lt;='Calibrare_Linii'!E14,SUM(AK1190:AM1190)&gt;0),"CANDIDATE","NO"))</x:f>
      </x:c>
      <x:c r="Y1190" s="2" t="str">
        <x:f>IF(B1190="","",IF(I1190&lt;&gt;"READY","NOT RELEASED",IF(AND(X1190="CANDIDATE",V1190&gt;='Config_v6'!$B$51,W1190="PASS",'Calibrare_Linii'!T14="VALIDATED",AND('Calibrare_Linii'!H14=C1190,ISNUMBER('Calibrare_Linii'!J14),'Calibrare_Linii'!J14&lt;='Input_Meci'!G90)),"PASS",IF(X1190="CANDIDATE","OOS PENDING","FAIL"))))</x:f>
      </x:c>
      <x:c r="Z1190" s="2" t="str">
        <x:f>IF(B1190="","",IF(I1190&lt;&gt;"READY","",IF(OR(NOT(AND(J1190="PASS",'Calibrare_Linii'!U14="VALID")),L1190&gt;'Config_v6'!$B$13,W1190="WATCH"),5,IF(Y1190="PASS",1,MIN(5,MAX('Config_v6'!$B$42,U1190)+IF(W1190="PENALTY",1,0))))))</x:f>
      </x:c>
      <x:c r="AA1190" s="2" t="str">
        <x:f>IF(B1190="","",IF(I1190&lt;&gt;"READY","NOT RELEASED",IF(Z1190=5,"NO BET",IF(OR(AB1190&lt;'Config_v6'!$B$16,V1190&lt;'Config_v6'!$B$18),"WATCH",IF(Z1190=1,"DEFENSIV",IF(Z1190=2,"PRUDENT",IF(Z1190=3,"MODERAT","RIDICAT")))))))</x:f>
      </x:c>
      <x:c r="AB1190" s="10" t="str">
        <x:f>IF(N1190="","",MIN(N1190,1-S1190))</x:f>
      </x:c>
      <x:c r="AC1190" s="2" t="str">
        <x:f>IF(AD1190&lt;&gt;1,"",COUNTIFS($Z$1182:$Z$1195,"&lt;"&amp;Z1190,$AD$1182:$AD$1195,1)+COUNTIFS($Z$1182:$Z$1195,Z1190,$AB$1182:$AB$1195,"&gt;"&amp;AB1190,$AD$1182:$AD$1195,1)+COUNTIFS($Z$1182:$Z$1195,Z1190,$AB$1182:$AB$1195,AB1190,$V$1182:$V$1195,"&gt;"&amp;V1190,$AD$1182:$AD$1195,1)+COUNTIFS($Z$1182:Z1190,Z1190,$AB$1182:AB1190,AB1190,$V$1182:V1190,V1190,$AD$1182:AD1190,1))</x:f>
      </x:c>
      <x:c r="AD1190" s="2" t="n">
        <x:f>IF(OR(AA1190="DEFENSIV",AA1190="PRUDENT",AA1190="MODERAT",AA1190="RIDICAT"),1,0)</x:f>
        <x:v>0</x:v>
      </x:c>
      <x:c r="AE1190" s="2" t="str">
        <x:f>IF(AD1190&lt;&gt;1,"NO",IF(W1190="PASS","YES",IF(W1190="OOS PENDING","CONDITIONAL","NO")))</x:f>
        <x:v>NO</x:v>
      </x:c>
      <x:c r="AF1190" s="2" t="n">
        <x:f>IF(AND(AD1190=1,AC1190=1,E1190="LIVE"),1,0)</x:f>
        <x:v>0</x:v>
      </x:c>
      <x:c r="AG1190" s="2" t="str">
        <x:f>IF(AF1190&lt;&gt;1,"",'Dashboard'!P110)</x:f>
      </x:c>
      <x:c r="AH1190" s="2" t="str">
        <x:f>IF(B1190="","",IF(J1190&lt;&gt;"PASS",'Motor_Meciuri'!J90,IF('Calibrare_Linii'!U14&lt;&gt;"VALID","Parametri linie invalizi",IF(L1190&gt;'Config_v6'!$B$13,"Dispersie peste limita",IF(W1190="WATCH","Failure peste limita",IF(AB1190&lt;'Config_v6'!$B$16,"P finala sub prag",IF(V1190&lt;'Config_v6'!$B$18,"Confidence sub prag",IF(E1190="REPLAY","Exemplu retrospectiv; exclus din Top LIVE",IF(Y1190="PASS","DEFENSIV validat",IF(W1190="OOS PENDING","Eligibil; calibrare linie in monitorizare","Eligibil"))))))))))</x:f>
      </x:c>
      <x:c r="AI1190" s="2" t="str">
        <x:f>IF(B1190="","",'Calibrare_Linii'!V14)</x:f>
      </x:c>
      <x:c r="AJ1190" s="2" t="str">
        <x:f>IF(B1190="","",IF(AND('Calibrare_Linii'!T14="VALIDATED",AND('Calibrare_Linii'!H14=C1190,ISNUMBER('Calibrare_Linii'!J14),'Calibrare_Linii'!J14&lt;='Input_Meci'!G90)),"DEFENSIVE VALIDATED",IF(AND('Calibrare_Linii'!S14="VALIDATED",AND('Calibrare_Linii'!H14=C1190,ISNUMBER('Calibrare_Linii'!J14),'Calibrare_Linii'!J14&lt;='Input_Meci'!G90)),"TAIL VALIDATED","OOS PENDING")))</x:f>
      </x:c>
      <x:c r="AK1190" s="2" t="n">
        <x:f>IF(J1190&lt;&gt;"PASS",0,'Motor_Meciuri'!BR90)</x:f>
        <x:v>0</x:v>
      </x:c>
      <x:c r="AL1190" s="2" t="n">
        <x:f>IF(J1190&lt;&gt;"PASS",0,'Motor_Meciuri'!BS90)</x:f>
        <x:v>0</x:v>
      </x:c>
      <x:c r="AM1190" s="2" t="n">
        <x:f>IF(J1190&lt;&gt;"PASS",0,'Motor_Meciuri'!BT90)</x:f>
        <x:v>0</x:v>
      </x:c>
      <x:c r="AN1190" s="2" t="str">
        <x:f>IF(M1190="","",MAX(0,'Motor_Meciuri'!BF90-IF(L1190&gt;'Config_v6'!$B$12,'Config_v6'!$B$37,IF(L1190&gt;'Config_v6'!$B$11,'Config_v6'!$B$36,0))))</x:f>
      </x:c>
    </x:row>
    <x:row r="1191" ht="21" customHeight="1">
      <x:c r="A1191" s="2" t="n">
        <x:v>85</x:v>
      </x:c>
      <x:c r="B1191" s="2" t="str">
        <x:f>IF('Motor_Meciuri'!A90="","",'Motor_Meciuri'!A90)</x:f>
      </x:c>
      <x:c r="C1191" s="2" t="str">
        <x:f>IF(B1191="","",'Motor_Meciuri'!B90)</x:f>
      </x:c>
      <x:c r="D1191" s="2" t="str">
        <x:f>IF(B1191="","",'Motor_Meciuri'!D90)</x:f>
      </x:c>
      <x:c r="E1191" s="2" t="str">
        <x:f>IF(B1191="","",'Motor_Meciuri'!E90)</x:f>
      </x:c>
      <x:c r="F1191" s="2" t="str">
        <x:v>U13,5</x:v>
      </x:c>
      <x:c r="G1191" s="2" t="str">
        <x:v>UNDER</x:v>
      </x:c>
      <x:c r="H1191" s="2" t="n">
        <x:v>13</x:v>
      </x:c>
      <x:c r="I1191" s="2" t="str">
        <x:f>IF(B1191="","",'Motor_Meciuri'!H90)</x:f>
      </x:c>
      <x:c r="J1191" s="2" t="str">
        <x:f>IF(B1191="","",'Motor_Meciuri'!I90)</x:f>
      </x:c>
      <x:c r="K1191" s="11" t="str">
        <x:f>IF(J1191&lt;&gt;"PASS","",'Motor_Meciuri'!BD90)</x:f>
      </x:c>
      <x:c r="L1191" s="11" t="str">
        <x:f>IF(J1191&lt;&gt;"PASS","",'Motor_Meciuri'!AU90)</x:f>
      </x:c>
      <x:c r="M1191" s="10" t="str">
        <x:f>IF(NOT(AND(J1191="PASS",'Calibrare_Linii'!U15="VALID")),"",'Distributie'!AK90)</x:f>
      </x:c>
      <x:c r="N1191" s="10" t="str">
        <x:f>IF(M1191="","",MAX(0.01,MIN(0.99,0.5+(M1191-0.5)*'Motor_Meciuri'!BG90*'Calibrare_Linii'!D15)))</x:f>
      </x:c>
      <x:c r="O1191" s="10" t="str">
        <x:f>IF(M1191="","",1-M1191)</x:f>
      </x:c>
      <x:c r="P1191" s="10" t="str">
        <x:f>IF(OR(NOT(AND(J1191="PASS",'Calibrare_Linii'!U15="VALID")),AK1191=0),""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*('Istoric_Nativ'!$Q$6:$Q$405&gt;H1191))/AK1191)</x:f>
      </x:c>
      <x:c r="Q1191" s="10" t="str">
        <x:f>IF(OR(NOT(AND(J1191="PASS",'Calibrare_Linii'!U15="VALID")),AL1191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M90)+((('Istoric_Nativ'!$E$6:$E$405='Input_Meci'!E90)+('Istoric_Nativ'!$F$6:$F$405='Input_Meci'!E90))&gt;0)*('Istoric_Nativ'!$D$6:$D$405&gt;='Motor_Meciuri'!BN90))&gt;0)*('Istoric_Nativ'!$Q$6:$Q$405&gt;H1191))/AL1191)</x:f>
      </x:c>
      <x:c r="R1191" s="10" t="str">
        <x:f>IF(OR(NOT(AND(J1191="PASS",'Calibrare_Linii'!U15="VALID")),AM1191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O90)+((('Istoric_Nativ'!$E$6:$E$405='Input_Meci'!E90)+('Istoric_Nativ'!$F$6:$F$405='Input_Meci'!E90))&gt;0)*('Istoric_Nativ'!$D$6:$D$405&gt;='Motor_Meciuri'!BP90))&gt;0)*('Istoric_Nativ'!$Q$6:$Q$405&gt;H1191))/AM1191)</x:f>
      </x:c>
      <x:c r="S1191" s="10" t="str">
        <x:f>IF(M1191="","",MAX(O1191,P1191,Q1191,R1191))</x:f>
      </x:c>
      <x:c r="T1191" s="11" t="str">
        <x:f>IF(M1191="","",MIN(100,S1191*100*'Config_v6'!$B$44+MIN(100,L1191/'Config_v6'!$B$13*100)*'Config_v6'!$B$45+(100-'Motor_Meciuri'!BF90)*'Config_v6'!$B$46+'Motor_Meciuri'!BH90*100*'Config_v6'!$B$47))</x:f>
      </x:c>
      <x:c r="U1191" s="2" t="str">
        <x:f>IF(T1191="","",IF(T1191&lt;=20,1,IF(T1191&lt;=40,2,IF(T1191&lt;=60,3,IF(T1191&lt;=80,4,5)))))</x:f>
      </x:c>
      <x:c r="V1191" s="2" t="str">
        <x:f>IF(M1191="","",MAX(0,'Motor_Meciuri'!BF90-IF(W1191="OOS PENDING",'Config_v6'!$B$35,0)-IF(L1191&gt;'Config_v6'!$B$12,'Config_v6'!$B$37,IF(L1191&gt;'Config_v6'!$B$11,'Config_v6'!$B$36,0))))</x:f>
      </x:c>
      <x:c r="W1191" s="2" t="str">
        <x:f>IF(B1191="","",IF(I1191&lt;&gt;"READY","NOT RELEASED",IF(NOT(AND(J1191="PASS",'Calibrare_Linii'!U15="VALID")),"INVALID",IF(NOT(AND('Calibrare_Linii'!S15="VALIDATED",AND('Calibrare_Linii'!H15=C1191,ISNUMBER('Calibrare_Linii'!J15),'Calibrare_Linii'!J15&lt;='Input_Meci'!G90))),"OOS PENDING",IF(S1191&lt;='Calibrare_Linii'!E15,"PASS",IF(S1191&lt;='Calibrare_Linii'!F15,"PENALTY","WATCH"))))))</x:f>
      </x:c>
      <x:c r="X1191" s="2" t="str">
        <x:f>IF(M1191="","",IF(AND(AND(J1191="PASS",'Calibrare_Linii'!U15="VALID"),'Motor_Meciuri'!K90=12,'Motor_Meciuri'!L90=12,'Motor_Meciuri'!M90="NO",'Motor_Meciuri'!BL90='Motor_Meciuri'!C90,AB1191&gt;='Config_v6'!$B$50,AN1191&gt;='Config_v6'!$B$51,T1191&lt;='Config_v6'!$B$52,L1191&lt;='Config_v6'!$B$53,ISNUMBER('Calibrare_Linii'!E15),S1191&lt;='Calibrare_Linii'!E15,SUM(AK1191:AM1191)&gt;0),"CANDIDATE","NO"))</x:f>
      </x:c>
      <x:c r="Y1191" s="2" t="str">
        <x:f>IF(B1191="","",IF(I1191&lt;&gt;"READY","NOT RELEASED",IF(AND(X1191="CANDIDATE",V1191&gt;='Config_v6'!$B$51,W1191="PASS",'Calibrare_Linii'!T15="VALIDATED",AND('Calibrare_Linii'!H15=C1191,ISNUMBER('Calibrare_Linii'!J15),'Calibrare_Linii'!J15&lt;='Input_Meci'!G90)),"PASS",IF(X1191="CANDIDATE","OOS PENDING","FAIL"))))</x:f>
      </x:c>
      <x:c r="Z1191" s="2" t="str">
        <x:f>IF(B1191="","",IF(I1191&lt;&gt;"READY","",IF(OR(NOT(AND(J1191="PASS",'Calibrare_Linii'!U15="VALID")),L1191&gt;'Config_v6'!$B$13,W1191="WATCH"),5,IF(Y1191="PASS",1,MIN(5,MAX('Config_v6'!$B$42,U1191)+IF(W1191="PENALTY",1,0))))))</x:f>
      </x:c>
      <x:c r="AA1191" s="2" t="str">
        <x:f>IF(B1191="","",IF(I1191&lt;&gt;"READY","NOT RELEASED",IF(Z1191=5,"NO BET",IF(OR(AB1191&lt;'Config_v6'!$B$16,V1191&lt;'Config_v6'!$B$18),"WATCH",IF(Z1191=1,"DEFENSIV",IF(Z1191=2,"PRUDENT",IF(Z1191=3,"MODERAT","RIDICAT")))))))</x:f>
      </x:c>
      <x:c r="AB1191" s="10" t="str">
        <x:f>IF(N1191="","",MIN(N1191,1-S1191))</x:f>
      </x:c>
      <x:c r="AC1191" s="2" t="str">
        <x:f>IF(AD1191&lt;&gt;1,"",COUNTIFS($Z$1182:$Z$1195,"&lt;"&amp;Z1191,$AD$1182:$AD$1195,1)+COUNTIFS($Z$1182:$Z$1195,Z1191,$AB$1182:$AB$1195,"&gt;"&amp;AB1191,$AD$1182:$AD$1195,1)+COUNTIFS($Z$1182:$Z$1195,Z1191,$AB$1182:$AB$1195,AB1191,$V$1182:$V$1195,"&gt;"&amp;V1191,$AD$1182:$AD$1195,1)+COUNTIFS($Z$1182:Z1191,Z1191,$AB$1182:AB1191,AB1191,$V$1182:V1191,V1191,$AD$1182:AD1191,1))</x:f>
      </x:c>
      <x:c r="AD1191" s="2" t="n">
        <x:f>IF(OR(AA1191="DEFENSIV",AA1191="PRUDENT",AA1191="MODERAT",AA1191="RIDICAT"),1,0)</x:f>
        <x:v>0</x:v>
      </x:c>
      <x:c r="AE1191" s="2" t="str">
        <x:f>IF(AD1191&lt;&gt;1,"NO",IF(W1191="PASS","YES",IF(W1191="OOS PENDING","CONDITIONAL","NO")))</x:f>
        <x:v>NO</x:v>
      </x:c>
      <x:c r="AF1191" s="2" t="n">
        <x:f>IF(AND(AD1191=1,AC1191=1,E1191="LIVE"),1,0)</x:f>
        <x:v>0</x:v>
      </x:c>
      <x:c r="AG1191" s="2" t="str">
        <x:f>IF(AF1191&lt;&gt;1,"",'Dashboard'!P110)</x:f>
      </x:c>
      <x:c r="AH1191" s="2" t="str">
        <x:f>IF(B1191="","",IF(J1191&lt;&gt;"PASS",'Motor_Meciuri'!J90,IF('Calibrare_Linii'!U15&lt;&gt;"VALID","Parametri linie invalizi",IF(L1191&gt;'Config_v6'!$B$13,"Dispersie peste limita",IF(W1191="WATCH","Failure peste limita",IF(AB1191&lt;'Config_v6'!$B$16,"P finala sub prag",IF(V1191&lt;'Config_v6'!$B$18,"Confidence sub prag",IF(E1191="REPLAY","Exemplu retrospectiv; exclus din Top LIVE",IF(Y1191="PASS","DEFENSIV validat",IF(W1191="OOS PENDING","Eligibil; calibrare linie in monitorizare","Eligibil"))))))))))</x:f>
      </x:c>
      <x:c r="AI1191" s="2" t="str">
        <x:f>IF(B1191="","",'Calibrare_Linii'!V15)</x:f>
      </x:c>
      <x:c r="AJ1191" s="2" t="str">
        <x:f>IF(B1191="","",IF(AND('Calibrare_Linii'!T15="VALIDATED",AND('Calibrare_Linii'!H15=C1191,ISNUMBER('Calibrare_Linii'!J15),'Calibrare_Linii'!J15&lt;='Input_Meci'!G90)),"DEFENSIVE VALIDATED",IF(AND('Calibrare_Linii'!S15="VALIDATED",AND('Calibrare_Linii'!H15=C1191,ISNUMBER('Calibrare_Linii'!J15),'Calibrare_Linii'!J15&lt;='Input_Meci'!G90)),"TAIL VALIDATED","OOS PENDING")))</x:f>
      </x:c>
      <x:c r="AK1191" s="2" t="n">
        <x:f>IF(J1191&lt;&gt;"PASS",0,'Motor_Meciuri'!BR90)</x:f>
        <x:v>0</x:v>
      </x:c>
      <x:c r="AL1191" s="2" t="n">
        <x:f>IF(J1191&lt;&gt;"PASS",0,'Motor_Meciuri'!BS90)</x:f>
        <x:v>0</x:v>
      </x:c>
      <x:c r="AM1191" s="2" t="n">
        <x:f>IF(J1191&lt;&gt;"PASS",0,'Motor_Meciuri'!BT90)</x:f>
        <x:v>0</x:v>
      </x:c>
      <x:c r="AN1191" s="2" t="str">
        <x:f>IF(M1191="","",MAX(0,'Motor_Meciuri'!BF90-IF(L1191&gt;'Config_v6'!$B$12,'Config_v6'!$B$37,IF(L1191&gt;'Config_v6'!$B$11,'Config_v6'!$B$36,0))))</x:f>
      </x:c>
    </x:row>
    <x:row r="1192" ht="21" customHeight="1">
      <x:c r="A1192" s="2" t="n">
        <x:v>85</x:v>
      </x:c>
      <x:c r="B1192" s="2" t="str">
        <x:f>IF('Motor_Meciuri'!A90="","",'Motor_Meciuri'!A90)</x:f>
      </x:c>
      <x:c r="C1192" s="2" t="str">
        <x:f>IF(B1192="","",'Motor_Meciuri'!B90)</x:f>
      </x:c>
      <x:c r="D1192" s="2" t="str">
        <x:f>IF(B1192="","",'Motor_Meciuri'!D90)</x:f>
      </x:c>
      <x:c r="E1192" s="2" t="str">
        <x:f>IF(B1192="","",'Motor_Meciuri'!E90)</x:f>
      </x:c>
      <x:c r="F1192" s="2" t="str">
        <x:v>U14,5</x:v>
      </x:c>
      <x:c r="G1192" s="2" t="str">
        <x:v>UNDER</x:v>
      </x:c>
      <x:c r="H1192" s="2" t="n">
        <x:v>14</x:v>
      </x:c>
      <x:c r="I1192" s="2" t="str">
        <x:f>IF(B1192="","",'Motor_Meciuri'!H90)</x:f>
      </x:c>
      <x:c r="J1192" s="2" t="str">
        <x:f>IF(B1192="","",'Motor_Meciuri'!I90)</x:f>
      </x:c>
      <x:c r="K1192" s="11" t="str">
        <x:f>IF(J1192&lt;&gt;"PASS","",'Motor_Meciuri'!BD90)</x:f>
      </x:c>
      <x:c r="L1192" s="11" t="str">
        <x:f>IF(J1192&lt;&gt;"PASS","",'Motor_Meciuri'!AU90)</x:f>
      </x:c>
      <x:c r="M1192" s="10" t="str">
        <x:f>IF(NOT(AND(J1192="PASS",'Calibrare_Linii'!U16="VALID")),"",'Distributie'!AL90)</x:f>
      </x:c>
      <x:c r="N1192" s="10" t="str">
        <x:f>IF(M1192="","",MAX(0.01,MIN(0.99,0.5+(M1192-0.5)*'Motor_Meciuri'!BG90*'Calibrare_Linii'!D16)))</x:f>
      </x:c>
      <x:c r="O1192" s="10" t="str">
        <x:f>IF(M1192="","",1-M1192)</x:f>
      </x:c>
      <x:c r="P1192" s="10" t="str">
        <x:f>IF(OR(NOT(AND(J1192="PASS",'Calibrare_Linii'!U16="VALID")),AK1192=0),""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*('Istoric_Nativ'!$Q$6:$Q$405&gt;H1192))/AK1192)</x:f>
      </x:c>
      <x:c r="Q1192" s="10" t="str">
        <x:f>IF(OR(NOT(AND(J1192="PASS",'Calibrare_Linii'!U16="VALID")),AL1192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M90)+((('Istoric_Nativ'!$E$6:$E$405='Input_Meci'!E90)+('Istoric_Nativ'!$F$6:$F$405='Input_Meci'!E90))&gt;0)*('Istoric_Nativ'!$D$6:$D$405&gt;='Motor_Meciuri'!BN90))&gt;0)*('Istoric_Nativ'!$Q$6:$Q$405&gt;H1192))/AL1192)</x:f>
      </x:c>
      <x:c r="R1192" s="10" t="str">
        <x:f>IF(OR(NOT(AND(J1192="PASS",'Calibrare_Linii'!U16="VALID")),AM1192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O90)+((('Istoric_Nativ'!$E$6:$E$405='Input_Meci'!E90)+('Istoric_Nativ'!$F$6:$F$405='Input_Meci'!E90))&gt;0)*('Istoric_Nativ'!$D$6:$D$405&gt;='Motor_Meciuri'!BP90))&gt;0)*('Istoric_Nativ'!$Q$6:$Q$405&gt;H1192))/AM1192)</x:f>
      </x:c>
      <x:c r="S1192" s="10" t="str">
        <x:f>IF(M1192="","",MAX(O1192,P1192,Q1192,R1192))</x:f>
      </x:c>
      <x:c r="T1192" s="11" t="str">
        <x:f>IF(M1192="","",MIN(100,S1192*100*'Config_v6'!$B$44+MIN(100,L1192/'Config_v6'!$B$13*100)*'Config_v6'!$B$45+(100-'Motor_Meciuri'!BF90)*'Config_v6'!$B$46+'Motor_Meciuri'!BH90*100*'Config_v6'!$B$47))</x:f>
      </x:c>
      <x:c r="U1192" s="2" t="str">
        <x:f>IF(T1192="","",IF(T1192&lt;=20,1,IF(T1192&lt;=40,2,IF(T1192&lt;=60,3,IF(T1192&lt;=80,4,5)))))</x:f>
      </x:c>
      <x:c r="V1192" s="2" t="str">
        <x:f>IF(M1192="","",MAX(0,'Motor_Meciuri'!BF90-IF(W1192="OOS PENDING",'Config_v6'!$B$35,0)-IF(L1192&gt;'Config_v6'!$B$12,'Config_v6'!$B$37,IF(L1192&gt;'Config_v6'!$B$11,'Config_v6'!$B$36,0))))</x:f>
      </x:c>
      <x:c r="W1192" s="2" t="str">
        <x:f>IF(B1192="","",IF(I1192&lt;&gt;"READY","NOT RELEASED",IF(NOT(AND(J1192="PASS",'Calibrare_Linii'!U16="VALID")),"INVALID",IF(NOT(AND('Calibrare_Linii'!S16="VALIDATED",AND('Calibrare_Linii'!H16=C1192,ISNUMBER('Calibrare_Linii'!J16),'Calibrare_Linii'!J16&lt;='Input_Meci'!G90))),"OOS PENDING",IF(S1192&lt;='Calibrare_Linii'!E16,"PASS",IF(S1192&lt;='Calibrare_Linii'!F16,"PENALTY","WATCH"))))))</x:f>
      </x:c>
      <x:c r="X1192" s="2" t="str">
        <x:f>IF(M1192="","",IF(AND(AND(J1192="PASS",'Calibrare_Linii'!U16="VALID"),'Motor_Meciuri'!K90=12,'Motor_Meciuri'!L90=12,'Motor_Meciuri'!M90="NO",'Motor_Meciuri'!BL90='Motor_Meciuri'!C90,AB1192&gt;='Config_v6'!$B$50,AN1192&gt;='Config_v6'!$B$51,T1192&lt;='Config_v6'!$B$52,L1192&lt;='Config_v6'!$B$53,ISNUMBER('Calibrare_Linii'!E16),S1192&lt;='Calibrare_Linii'!E16,SUM(AK1192:AM1192)&gt;0),"CANDIDATE","NO"))</x:f>
      </x:c>
      <x:c r="Y1192" s="2" t="str">
        <x:f>IF(B1192="","",IF(I1192&lt;&gt;"READY","NOT RELEASED",IF(AND(X1192="CANDIDATE",V1192&gt;='Config_v6'!$B$51,W1192="PASS",'Calibrare_Linii'!T16="VALIDATED",AND('Calibrare_Linii'!H16=C1192,ISNUMBER('Calibrare_Linii'!J16),'Calibrare_Linii'!J16&lt;='Input_Meci'!G90)),"PASS",IF(X1192="CANDIDATE","OOS PENDING","FAIL"))))</x:f>
      </x:c>
      <x:c r="Z1192" s="2" t="str">
        <x:f>IF(B1192="","",IF(I1192&lt;&gt;"READY","",IF(OR(NOT(AND(J1192="PASS",'Calibrare_Linii'!U16="VALID")),L1192&gt;'Config_v6'!$B$13,W1192="WATCH"),5,IF(Y1192="PASS",1,MIN(5,MAX('Config_v6'!$B$42,U1192)+IF(W1192="PENALTY",1,0))))))</x:f>
      </x:c>
      <x:c r="AA1192" s="2" t="str">
        <x:f>IF(B1192="","",IF(I1192&lt;&gt;"READY","NOT RELEASED",IF(Z1192=5,"NO BET",IF(OR(AB1192&lt;'Config_v6'!$B$16,V1192&lt;'Config_v6'!$B$18),"WATCH",IF(Z1192=1,"DEFENSIV",IF(Z1192=2,"PRUDENT",IF(Z1192=3,"MODERAT","RIDICAT")))))))</x:f>
      </x:c>
      <x:c r="AB1192" s="10" t="str">
        <x:f>IF(N1192="","",MIN(N1192,1-S1192))</x:f>
      </x:c>
      <x:c r="AC1192" s="2" t="str">
        <x:f>IF(AD1192&lt;&gt;1,"",COUNTIFS($Z$1182:$Z$1195,"&lt;"&amp;Z1192,$AD$1182:$AD$1195,1)+COUNTIFS($Z$1182:$Z$1195,Z1192,$AB$1182:$AB$1195,"&gt;"&amp;AB1192,$AD$1182:$AD$1195,1)+COUNTIFS($Z$1182:$Z$1195,Z1192,$AB$1182:$AB$1195,AB1192,$V$1182:$V$1195,"&gt;"&amp;V1192,$AD$1182:$AD$1195,1)+COUNTIFS($Z$1182:Z1192,Z1192,$AB$1182:AB1192,AB1192,$V$1182:V1192,V1192,$AD$1182:AD1192,1))</x:f>
      </x:c>
      <x:c r="AD1192" s="2" t="n">
        <x:f>IF(OR(AA1192="DEFENSIV",AA1192="PRUDENT",AA1192="MODERAT",AA1192="RIDICAT"),1,0)</x:f>
        <x:v>0</x:v>
      </x:c>
      <x:c r="AE1192" s="2" t="str">
        <x:f>IF(AD1192&lt;&gt;1,"NO",IF(W1192="PASS","YES",IF(W1192="OOS PENDING","CONDITIONAL","NO")))</x:f>
        <x:v>NO</x:v>
      </x:c>
      <x:c r="AF1192" s="2" t="n">
        <x:f>IF(AND(AD1192=1,AC1192=1,E1192="LIVE"),1,0)</x:f>
        <x:v>0</x:v>
      </x:c>
      <x:c r="AG1192" s="2" t="str">
        <x:f>IF(AF1192&lt;&gt;1,"",'Dashboard'!P110)</x:f>
      </x:c>
      <x:c r="AH1192" s="2" t="str">
        <x:f>IF(B1192="","",IF(J1192&lt;&gt;"PASS",'Motor_Meciuri'!J90,IF('Calibrare_Linii'!U16&lt;&gt;"VALID","Parametri linie invalizi",IF(L1192&gt;'Config_v6'!$B$13,"Dispersie peste limita",IF(W1192="WATCH","Failure peste limita",IF(AB1192&lt;'Config_v6'!$B$16,"P finala sub prag",IF(V1192&lt;'Config_v6'!$B$18,"Confidence sub prag",IF(E1192="REPLAY","Exemplu retrospectiv; exclus din Top LIVE",IF(Y1192="PASS","DEFENSIV validat",IF(W1192="OOS PENDING","Eligibil; calibrare linie in monitorizare","Eligibil"))))))))))</x:f>
      </x:c>
      <x:c r="AI1192" s="2" t="str">
        <x:f>IF(B1192="","",'Calibrare_Linii'!V16)</x:f>
      </x:c>
      <x:c r="AJ1192" s="2" t="str">
        <x:f>IF(B1192="","",IF(AND('Calibrare_Linii'!T16="VALIDATED",AND('Calibrare_Linii'!H16=C1192,ISNUMBER('Calibrare_Linii'!J16),'Calibrare_Linii'!J16&lt;='Input_Meci'!G90)),"DEFENSIVE VALIDATED",IF(AND('Calibrare_Linii'!S16="VALIDATED",AND('Calibrare_Linii'!H16=C1192,ISNUMBER('Calibrare_Linii'!J16),'Calibrare_Linii'!J16&lt;='Input_Meci'!G90)),"TAIL VALIDATED","OOS PENDING")))</x:f>
      </x:c>
      <x:c r="AK1192" s="2" t="n">
        <x:f>IF(J1192&lt;&gt;"PASS",0,'Motor_Meciuri'!BR90)</x:f>
        <x:v>0</x:v>
      </x:c>
      <x:c r="AL1192" s="2" t="n">
        <x:f>IF(J1192&lt;&gt;"PASS",0,'Motor_Meciuri'!BS90)</x:f>
        <x:v>0</x:v>
      </x:c>
      <x:c r="AM1192" s="2" t="n">
        <x:f>IF(J1192&lt;&gt;"PASS",0,'Motor_Meciuri'!BT90)</x:f>
        <x:v>0</x:v>
      </x:c>
      <x:c r="AN1192" s="2" t="str">
        <x:f>IF(M1192="","",MAX(0,'Motor_Meciuri'!BF90-IF(L1192&gt;'Config_v6'!$B$12,'Config_v6'!$B$37,IF(L1192&gt;'Config_v6'!$B$11,'Config_v6'!$B$36,0))))</x:f>
      </x:c>
    </x:row>
    <x:row r="1193" ht="21" customHeight="1">
      <x:c r="A1193" s="2" t="n">
        <x:v>85</x:v>
      </x:c>
      <x:c r="B1193" s="2" t="str">
        <x:f>IF('Motor_Meciuri'!A90="","",'Motor_Meciuri'!A90)</x:f>
      </x:c>
      <x:c r="C1193" s="2" t="str">
        <x:f>IF(B1193="","",'Motor_Meciuri'!B90)</x:f>
      </x:c>
      <x:c r="D1193" s="2" t="str">
        <x:f>IF(B1193="","",'Motor_Meciuri'!D90)</x:f>
      </x:c>
      <x:c r="E1193" s="2" t="str">
        <x:f>IF(B1193="","",'Motor_Meciuri'!E90)</x:f>
      </x:c>
      <x:c r="F1193" s="2" t="str">
        <x:v>U15,5</x:v>
      </x:c>
      <x:c r="G1193" s="2" t="str">
        <x:v>UNDER</x:v>
      </x:c>
      <x:c r="H1193" s="2" t="n">
        <x:v>15</x:v>
      </x:c>
      <x:c r="I1193" s="2" t="str">
        <x:f>IF(B1193="","",'Motor_Meciuri'!H90)</x:f>
      </x:c>
      <x:c r="J1193" s="2" t="str">
        <x:f>IF(B1193="","",'Motor_Meciuri'!I90)</x:f>
      </x:c>
      <x:c r="K1193" s="11" t="str">
        <x:f>IF(J1193&lt;&gt;"PASS","",'Motor_Meciuri'!BD90)</x:f>
      </x:c>
      <x:c r="L1193" s="11" t="str">
        <x:f>IF(J1193&lt;&gt;"PASS","",'Motor_Meciuri'!AU90)</x:f>
      </x:c>
      <x:c r="M1193" s="10" t="str">
        <x:f>IF(NOT(AND(J1193="PASS",'Calibrare_Linii'!U17="VALID")),"",'Distributie'!AM90)</x:f>
      </x:c>
      <x:c r="N1193" s="10" t="str">
        <x:f>IF(M1193="","",MAX(0.01,MIN(0.99,0.5+(M1193-0.5)*'Motor_Meciuri'!BG90*'Calibrare_Linii'!D17)))</x:f>
      </x:c>
      <x:c r="O1193" s="10" t="str">
        <x:f>IF(M1193="","",1-M1193)</x:f>
      </x:c>
      <x:c r="P1193" s="10" t="str">
        <x:f>IF(OR(NOT(AND(J1193="PASS",'Calibrare_Linii'!U17="VALID")),AK1193=0),""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*('Istoric_Nativ'!$Q$6:$Q$405&gt;H1193))/AK1193)</x:f>
      </x:c>
      <x:c r="Q1193" s="10" t="str">
        <x:f>IF(OR(NOT(AND(J1193="PASS",'Calibrare_Linii'!U17="VALID")),AL1193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M90)+((('Istoric_Nativ'!$E$6:$E$405='Input_Meci'!E90)+('Istoric_Nativ'!$F$6:$F$405='Input_Meci'!E90))&gt;0)*('Istoric_Nativ'!$D$6:$D$405&gt;='Motor_Meciuri'!BN90))&gt;0)*('Istoric_Nativ'!$Q$6:$Q$405&gt;H1193))/AL1193)</x:f>
      </x:c>
      <x:c r="R1193" s="10" t="str">
        <x:f>IF(OR(NOT(AND(J1193="PASS",'Calibrare_Linii'!U17="VALID")),AM1193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O90)+((('Istoric_Nativ'!$E$6:$E$405='Input_Meci'!E90)+('Istoric_Nativ'!$F$6:$F$405='Input_Meci'!E90))&gt;0)*('Istoric_Nativ'!$D$6:$D$405&gt;='Motor_Meciuri'!BP90))&gt;0)*('Istoric_Nativ'!$Q$6:$Q$405&gt;H1193))/AM1193)</x:f>
      </x:c>
      <x:c r="S1193" s="10" t="str">
        <x:f>IF(M1193="","",MAX(O1193,P1193,Q1193,R1193))</x:f>
      </x:c>
      <x:c r="T1193" s="11" t="str">
        <x:f>IF(M1193="","",MIN(100,S1193*100*'Config_v6'!$B$44+MIN(100,L1193/'Config_v6'!$B$13*100)*'Config_v6'!$B$45+(100-'Motor_Meciuri'!BF90)*'Config_v6'!$B$46+'Motor_Meciuri'!BH90*100*'Config_v6'!$B$47))</x:f>
      </x:c>
      <x:c r="U1193" s="2" t="str">
        <x:f>IF(T1193="","",IF(T1193&lt;=20,1,IF(T1193&lt;=40,2,IF(T1193&lt;=60,3,IF(T1193&lt;=80,4,5)))))</x:f>
      </x:c>
      <x:c r="V1193" s="2" t="str">
        <x:f>IF(M1193="","",MAX(0,'Motor_Meciuri'!BF90-IF(W1193="OOS PENDING",'Config_v6'!$B$35,0)-IF(L1193&gt;'Config_v6'!$B$12,'Config_v6'!$B$37,IF(L1193&gt;'Config_v6'!$B$11,'Config_v6'!$B$36,0))))</x:f>
      </x:c>
      <x:c r="W1193" s="2" t="str">
        <x:f>IF(B1193="","",IF(I1193&lt;&gt;"READY","NOT RELEASED",IF(NOT(AND(J1193="PASS",'Calibrare_Linii'!U17="VALID")),"INVALID",IF(NOT(AND('Calibrare_Linii'!S17="VALIDATED",AND('Calibrare_Linii'!H17=C1193,ISNUMBER('Calibrare_Linii'!J17),'Calibrare_Linii'!J17&lt;='Input_Meci'!G90))),"OOS PENDING",IF(S1193&lt;='Calibrare_Linii'!E17,"PASS",IF(S1193&lt;='Calibrare_Linii'!F17,"PENALTY","WATCH"))))))</x:f>
      </x:c>
      <x:c r="X1193" s="2" t="str">
        <x:f>IF(M1193="","",IF(AND(AND(J1193="PASS",'Calibrare_Linii'!U17="VALID"),'Motor_Meciuri'!K90=12,'Motor_Meciuri'!L90=12,'Motor_Meciuri'!M90="NO",'Motor_Meciuri'!BL90='Motor_Meciuri'!C90,AB1193&gt;='Config_v6'!$B$50,AN1193&gt;='Config_v6'!$B$51,T1193&lt;='Config_v6'!$B$52,L1193&lt;='Config_v6'!$B$53,ISNUMBER('Calibrare_Linii'!E17),S1193&lt;='Calibrare_Linii'!E17,SUM(AK1193:AM1193)&gt;0),"CANDIDATE","NO"))</x:f>
      </x:c>
      <x:c r="Y1193" s="2" t="str">
        <x:f>IF(B1193="","",IF(I1193&lt;&gt;"READY","NOT RELEASED",IF(AND(X1193="CANDIDATE",V1193&gt;='Config_v6'!$B$51,W1193="PASS",'Calibrare_Linii'!T17="VALIDATED",AND('Calibrare_Linii'!H17=C1193,ISNUMBER('Calibrare_Linii'!J17),'Calibrare_Linii'!J17&lt;='Input_Meci'!G90)),"PASS",IF(X1193="CANDIDATE","OOS PENDING","FAIL"))))</x:f>
      </x:c>
      <x:c r="Z1193" s="2" t="str">
        <x:f>IF(B1193="","",IF(I1193&lt;&gt;"READY","",IF(OR(NOT(AND(J1193="PASS",'Calibrare_Linii'!U17="VALID")),L1193&gt;'Config_v6'!$B$13,W1193="WATCH"),5,IF(Y1193="PASS",1,MIN(5,MAX('Config_v6'!$B$42,U1193)+IF(W1193="PENALTY",1,0))))))</x:f>
      </x:c>
      <x:c r="AA1193" s="2" t="str">
        <x:f>IF(B1193="","",IF(I1193&lt;&gt;"READY","NOT RELEASED",IF(Z1193=5,"NO BET",IF(OR(AB1193&lt;'Config_v6'!$B$16,V1193&lt;'Config_v6'!$B$18),"WATCH",IF(Z1193=1,"DEFENSIV",IF(Z1193=2,"PRUDENT",IF(Z1193=3,"MODERAT","RIDICAT")))))))</x:f>
      </x:c>
      <x:c r="AB1193" s="10" t="str">
        <x:f>IF(N1193="","",MIN(N1193,1-S1193))</x:f>
      </x:c>
      <x:c r="AC1193" s="2" t="str">
        <x:f>IF(AD1193&lt;&gt;1,"",COUNTIFS($Z$1182:$Z$1195,"&lt;"&amp;Z1193,$AD$1182:$AD$1195,1)+COUNTIFS($Z$1182:$Z$1195,Z1193,$AB$1182:$AB$1195,"&gt;"&amp;AB1193,$AD$1182:$AD$1195,1)+COUNTIFS($Z$1182:$Z$1195,Z1193,$AB$1182:$AB$1195,AB1193,$V$1182:$V$1195,"&gt;"&amp;V1193,$AD$1182:$AD$1195,1)+COUNTIFS($Z$1182:Z1193,Z1193,$AB$1182:AB1193,AB1193,$V$1182:V1193,V1193,$AD$1182:AD1193,1))</x:f>
      </x:c>
      <x:c r="AD1193" s="2" t="n">
        <x:f>IF(OR(AA1193="DEFENSIV",AA1193="PRUDENT",AA1193="MODERAT",AA1193="RIDICAT"),1,0)</x:f>
        <x:v>0</x:v>
      </x:c>
      <x:c r="AE1193" s="2" t="str">
        <x:f>IF(AD1193&lt;&gt;1,"NO",IF(W1193="PASS","YES",IF(W1193="OOS PENDING","CONDITIONAL","NO")))</x:f>
        <x:v>NO</x:v>
      </x:c>
      <x:c r="AF1193" s="2" t="n">
        <x:f>IF(AND(AD1193=1,AC1193=1,E1193="LIVE"),1,0)</x:f>
        <x:v>0</x:v>
      </x:c>
      <x:c r="AG1193" s="2" t="str">
        <x:f>IF(AF1193&lt;&gt;1,"",'Dashboard'!P110)</x:f>
      </x:c>
      <x:c r="AH1193" s="2" t="str">
        <x:f>IF(B1193="","",IF(J1193&lt;&gt;"PASS",'Motor_Meciuri'!J90,IF('Calibrare_Linii'!U17&lt;&gt;"VALID","Parametri linie invalizi",IF(L1193&gt;'Config_v6'!$B$13,"Dispersie peste limita",IF(W1193="WATCH","Failure peste limita",IF(AB1193&lt;'Config_v6'!$B$16,"P finala sub prag",IF(V1193&lt;'Config_v6'!$B$18,"Confidence sub prag",IF(E1193="REPLAY","Exemplu retrospectiv; exclus din Top LIVE",IF(Y1193="PASS","DEFENSIV validat",IF(W1193="OOS PENDING","Eligibil; calibrare linie in monitorizare","Eligibil"))))))))))</x:f>
      </x:c>
      <x:c r="AI1193" s="2" t="str">
        <x:f>IF(B1193="","",'Calibrare_Linii'!V17)</x:f>
      </x:c>
      <x:c r="AJ1193" s="2" t="str">
        <x:f>IF(B1193="","",IF(AND('Calibrare_Linii'!T17="VALIDATED",AND('Calibrare_Linii'!H17=C1193,ISNUMBER('Calibrare_Linii'!J17),'Calibrare_Linii'!J17&lt;='Input_Meci'!G90)),"DEFENSIVE VALIDATED",IF(AND('Calibrare_Linii'!S17="VALIDATED",AND('Calibrare_Linii'!H17=C1193,ISNUMBER('Calibrare_Linii'!J17),'Calibrare_Linii'!J17&lt;='Input_Meci'!G90)),"TAIL VALIDATED","OOS PENDING")))</x:f>
      </x:c>
      <x:c r="AK1193" s="2" t="n">
        <x:f>IF(J1193&lt;&gt;"PASS",0,'Motor_Meciuri'!BR90)</x:f>
        <x:v>0</x:v>
      </x:c>
      <x:c r="AL1193" s="2" t="n">
        <x:f>IF(J1193&lt;&gt;"PASS",0,'Motor_Meciuri'!BS90)</x:f>
        <x:v>0</x:v>
      </x:c>
      <x:c r="AM1193" s="2" t="n">
        <x:f>IF(J1193&lt;&gt;"PASS",0,'Motor_Meciuri'!BT90)</x:f>
        <x:v>0</x:v>
      </x:c>
      <x:c r="AN1193" s="2" t="str">
        <x:f>IF(M1193="","",MAX(0,'Motor_Meciuri'!BF90-IF(L1193&gt;'Config_v6'!$B$12,'Config_v6'!$B$37,IF(L1193&gt;'Config_v6'!$B$11,'Config_v6'!$B$36,0))))</x:f>
      </x:c>
    </x:row>
    <x:row r="1194" ht="21" customHeight="1">
      <x:c r="A1194" s="2" t="n">
        <x:v>85</x:v>
      </x:c>
      <x:c r="B1194" s="2" t="str">
        <x:f>IF('Motor_Meciuri'!A90="","",'Motor_Meciuri'!A90)</x:f>
      </x:c>
      <x:c r="C1194" s="2" t="str">
        <x:f>IF(B1194="","",'Motor_Meciuri'!B90)</x:f>
      </x:c>
      <x:c r="D1194" s="2" t="str">
        <x:f>IF(B1194="","",'Motor_Meciuri'!D90)</x:f>
      </x:c>
      <x:c r="E1194" s="2" t="str">
        <x:f>IF(B1194="","",'Motor_Meciuri'!E90)</x:f>
      </x:c>
      <x:c r="F1194" s="2" t="str">
        <x:v>U16,5</x:v>
      </x:c>
      <x:c r="G1194" s="2" t="str">
        <x:v>UNDER</x:v>
      </x:c>
      <x:c r="H1194" s="2" t="n">
        <x:v>16</x:v>
      </x:c>
      <x:c r="I1194" s="2" t="str">
        <x:f>IF(B1194="","",'Motor_Meciuri'!H90)</x:f>
      </x:c>
      <x:c r="J1194" s="2" t="str">
        <x:f>IF(B1194="","",'Motor_Meciuri'!I90)</x:f>
      </x:c>
      <x:c r="K1194" s="11" t="str">
        <x:f>IF(J1194&lt;&gt;"PASS","",'Motor_Meciuri'!BD90)</x:f>
      </x:c>
      <x:c r="L1194" s="11" t="str">
        <x:f>IF(J1194&lt;&gt;"PASS","",'Motor_Meciuri'!AU90)</x:f>
      </x:c>
      <x:c r="M1194" s="10" t="str">
        <x:f>IF(NOT(AND(J1194="PASS",'Calibrare_Linii'!U18="VALID")),"",'Distributie'!AN90)</x:f>
      </x:c>
      <x:c r="N1194" s="10" t="str">
        <x:f>IF(M1194="","",MAX(0.01,MIN(0.99,0.5+(M1194-0.5)*'Motor_Meciuri'!BG90*'Calibrare_Linii'!D18)))</x:f>
      </x:c>
      <x:c r="O1194" s="10" t="str">
        <x:f>IF(M1194="","",1-M1194)</x:f>
      </x:c>
      <x:c r="P1194" s="10" t="str">
        <x:f>IF(OR(NOT(AND(J1194="PASS",'Calibrare_Linii'!U18="VALID")),AK1194=0),""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*('Istoric_Nativ'!$Q$6:$Q$405&gt;H1194))/AK1194)</x:f>
      </x:c>
      <x:c r="Q1194" s="10" t="str">
        <x:f>IF(OR(NOT(AND(J1194="PASS",'Calibrare_Linii'!U18="VALID")),AL1194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M90)+((('Istoric_Nativ'!$E$6:$E$405='Input_Meci'!E90)+('Istoric_Nativ'!$F$6:$F$405='Input_Meci'!E90))&gt;0)*('Istoric_Nativ'!$D$6:$D$405&gt;='Motor_Meciuri'!BN90))&gt;0)*('Istoric_Nativ'!$Q$6:$Q$405&gt;H1194))/AL1194)</x:f>
      </x:c>
      <x:c r="R1194" s="10" t="str">
        <x:f>IF(OR(NOT(AND(J1194="PASS",'Calibrare_Linii'!U18="VALID")),AM1194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O90)+((('Istoric_Nativ'!$E$6:$E$405='Input_Meci'!E90)+('Istoric_Nativ'!$F$6:$F$405='Input_Meci'!E90))&gt;0)*('Istoric_Nativ'!$D$6:$D$405&gt;='Motor_Meciuri'!BP90))&gt;0)*('Istoric_Nativ'!$Q$6:$Q$405&gt;H1194))/AM1194)</x:f>
      </x:c>
      <x:c r="S1194" s="10" t="str">
        <x:f>IF(M1194="","",MAX(O1194,P1194,Q1194,R1194))</x:f>
      </x:c>
      <x:c r="T1194" s="11" t="str">
        <x:f>IF(M1194="","",MIN(100,S1194*100*'Config_v6'!$B$44+MIN(100,L1194/'Config_v6'!$B$13*100)*'Config_v6'!$B$45+(100-'Motor_Meciuri'!BF90)*'Config_v6'!$B$46+'Motor_Meciuri'!BH90*100*'Config_v6'!$B$47))</x:f>
      </x:c>
      <x:c r="U1194" s="2" t="str">
        <x:f>IF(T1194="","",IF(T1194&lt;=20,1,IF(T1194&lt;=40,2,IF(T1194&lt;=60,3,IF(T1194&lt;=80,4,5)))))</x:f>
      </x:c>
      <x:c r="V1194" s="2" t="str">
        <x:f>IF(M1194="","",MAX(0,'Motor_Meciuri'!BF90-IF(W1194="OOS PENDING",'Config_v6'!$B$35,0)-IF(L1194&gt;'Config_v6'!$B$12,'Config_v6'!$B$37,IF(L1194&gt;'Config_v6'!$B$11,'Config_v6'!$B$36,0))))</x:f>
      </x:c>
      <x:c r="W1194" s="2" t="str">
        <x:f>IF(B1194="","",IF(I1194&lt;&gt;"READY","NOT RELEASED",IF(NOT(AND(J1194="PASS",'Calibrare_Linii'!U18="VALID")),"INVALID",IF(NOT(AND('Calibrare_Linii'!S18="VALIDATED",AND('Calibrare_Linii'!H18=C1194,ISNUMBER('Calibrare_Linii'!J18),'Calibrare_Linii'!J18&lt;='Input_Meci'!G90))),"OOS PENDING",IF(S1194&lt;='Calibrare_Linii'!E18,"PASS",IF(S1194&lt;='Calibrare_Linii'!F18,"PENALTY","WATCH"))))))</x:f>
      </x:c>
      <x:c r="X1194" s="2" t="str">
        <x:f>IF(M1194="","",IF(AND(AND(J1194="PASS",'Calibrare_Linii'!U18="VALID"),'Motor_Meciuri'!K90=12,'Motor_Meciuri'!L90=12,'Motor_Meciuri'!M90="NO",'Motor_Meciuri'!BL90='Motor_Meciuri'!C90,AB1194&gt;='Config_v6'!$B$50,AN1194&gt;='Config_v6'!$B$51,T1194&lt;='Config_v6'!$B$52,L1194&lt;='Config_v6'!$B$53,ISNUMBER('Calibrare_Linii'!E18),S1194&lt;='Calibrare_Linii'!E18,SUM(AK1194:AM1194)&gt;0),"CANDIDATE","NO"))</x:f>
      </x:c>
      <x:c r="Y1194" s="2" t="str">
        <x:f>IF(B1194="","",IF(I1194&lt;&gt;"READY","NOT RELEASED",IF(AND(X1194="CANDIDATE",V1194&gt;='Config_v6'!$B$51,W1194="PASS",'Calibrare_Linii'!T18="VALIDATED",AND('Calibrare_Linii'!H18=C1194,ISNUMBER('Calibrare_Linii'!J18),'Calibrare_Linii'!J18&lt;='Input_Meci'!G90)),"PASS",IF(X1194="CANDIDATE","OOS PENDING","FAIL"))))</x:f>
      </x:c>
      <x:c r="Z1194" s="2" t="str">
        <x:f>IF(B1194="","",IF(I1194&lt;&gt;"READY","",IF(OR(NOT(AND(J1194="PASS",'Calibrare_Linii'!U18="VALID")),L1194&gt;'Config_v6'!$B$13,W1194="WATCH"),5,IF(Y1194="PASS",1,MIN(5,MAX('Config_v6'!$B$42,U1194)+IF(W1194="PENALTY",1,0))))))</x:f>
      </x:c>
      <x:c r="AA1194" s="2" t="str">
        <x:f>IF(B1194="","",IF(I1194&lt;&gt;"READY","NOT RELEASED",IF(Z1194=5,"NO BET",IF(OR(AB1194&lt;'Config_v6'!$B$16,V1194&lt;'Config_v6'!$B$18),"WATCH",IF(Z1194=1,"DEFENSIV",IF(Z1194=2,"PRUDENT",IF(Z1194=3,"MODERAT","RIDICAT")))))))</x:f>
      </x:c>
      <x:c r="AB1194" s="10" t="str">
        <x:f>IF(N1194="","",MIN(N1194,1-S1194))</x:f>
      </x:c>
      <x:c r="AC1194" s="2" t="str">
        <x:f>IF(AD1194&lt;&gt;1,"",COUNTIFS($Z$1182:$Z$1195,"&lt;"&amp;Z1194,$AD$1182:$AD$1195,1)+COUNTIFS($Z$1182:$Z$1195,Z1194,$AB$1182:$AB$1195,"&gt;"&amp;AB1194,$AD$1182:$AD$1195,1)+COUNTIFS($Z$1182:$Z$1195,Z1194,$AB$1182:$AB$1195,AB1194,$V$1182:$V$1195,"&gt;"&amp;V1194,$AD$1182:$AD$1195,1)+COUNTIFS($Z$1182:Z1194,Z1194,$AB$1182:AB1194,AB1194,$V$1182:V1194,V1194,$AD$1182:AD1194,1))</x:f>
      </x:c>
      <x:c r="AD1194" s="2" t="n">
        <x:f>IF(OR(AA1194="DEFENSIV",AA1194="PRUDENT",AA1194="MODERAT",AA1194="RIDICAT"),1,0)</x:f>
        <x:v>0</x:v>
      </x:c>
      <x:c r="AE1194" s="2" t="str">
        <x:f>IF(AD1194&lt;&gt;1,"NO",IF(W1194="PASS","YES",IF(W1194="OOS PENDING","CONDITIONAL","NO")))</x:f>
        <x:v>NO</x:v>
      </x:c>
      <x:c r="AF1194" s="2" t="n">
        <x:f>IF(AND(AD1194=1,AC1194=1,E1194="LIVE"),1,0)</x:f>
        <x:v>0</x:v>
      </x:c>
      <x:c r="AG1194" s="2" t="str">
        <x:f>IF(AF1194&lt;&gt;1,"",'Dashboard'!P110)</x:f>
      </x:c>
      <x:c r="AH1194" s="2" t="str">
        <x:f>IF(B1194="","",IF(J1194&lt;&gt;"PASS",'Motor_Meciuri'!J90,IF('Calibrare_Linii'!U18&lt;&gt;"VALID","Parametri linie invalizi",IF(L1194&gt;'Config_v6'!$B$13,"Dispersie peste limita",IF(W1194="WATCH","Failure peste limita",IF(AB1194&lt;'Config_v6'!$B$16,"P finala sub prag",IF(V1194&lt;'Config_v6'!$B$18,"Confidence sub prag",IF(E1194="REPLAY","Exemplu retrospectiv; exclus din Top LIVE",IF(Y1194="PASS","DEFENSIV validat",IF(W1194="OOS PENDING","Eligibil; calibrare linie in monitorizare","Eligibil"))))))))))</x:f>
      </x:c>
      <x:c r="AI1194" s="2" t="str">
        <x:f>IF(B1194="","",'Calibrare_Linii'!V18)</x:f>
      </x:c>
      <x:c r="AJ1194" s="2" t="str">
        <x:f>IF(B1194="","",IF(AND('Calibrare_Linii'!T18="VALIDATED",AND('Calibrare_Linii'!H18=C1194,ISNUMBER('Calibrare_Linii'!J18),'Calibrare_Linii'!J18&lt;='Input_Meci'!G90)),"DEFENSIVE VALIDATED",IF(AND('Calibrare_Linii'!S18="VALIDATED",AND('Calibrare_Linii'!H18=C1194,ISNUMBER('Calibrare_Linii'!J18),'Calibrare_Linii'!J18&lt;='Input_Meci'!G90)),"TAIL VALIDATED","OOS PENDING")))</x:f>
      </x:c>
      <x:c r="AK1194" s="2" t="n">
        <x:f>IF(J1194&lt;&gt;"PASS",0,'Motor_Meciuri'!BR90)</x:f>
        <x:v>0</x:v>
      </x:c>
      <x:c r="AL1194" s="2" t="n">
        <x:f>IF(J1194&lt;&gt;"PASS",0,'Motor_Meciuri'!BS90)</x:f>
        <x:v>0</x:v>
      </x:c>
      <x:c r="AM1194" s="2" t="n">
        <x:f>IF(J1194&lt;&gt;"PASS",0,'Motor_Meciuri'!BT90)</x:f>
        <x:v>0</x:v>
      </x:c>
      <x:c r="AN1194" s="2" t="str">
        <x:f>IF(M1194="","",MAX(0,'Motor_Meciuri'!BF90-IF(L1194&gt;'Config_v6'!$B$12,'Config_v6'!$B$37,IF(L1194&gt;'Config_v6'!$B$11,'Config_v6'!$B$36,0))))</x:f>
      </x:c>
    </x:row>
    <x:row r="1195" ht="21" customHeight="1">
      <x:c r="A1195" s="2" t="n">
        <x:v>85</x:v>
      </x:c>
      <x:c r="B1195" s="2" t="str">
        <x:f>IF('Motor_Meciuri'!A90="","",'Motor_Meciuri'!A90)</x:f>
      </x:c>
      <x:c r="C1195" s="2" t="str">
        <x:f>IF(B1195="","",'Motor_Meciuri'!B90)</x:f>
      </x:c>
      <x:c r="D1195" s="2" t="str">
        <x:f>IF(B1195="","",'Motor_Meciuri'!D90)</x:f>
      </x:c>
      <x:c r="E1195" s="2" t="str">
        <x:f>IF(B1195="","",'Motor_Meciuri'!E90)</x:f>
      </x:c>
      <x:c r="F1195" s="2" t="str">
        <x:v>U17,5</x:v>
      </x:c>
      <x:c r="G1195" s="2" t="str">
        <x:v>UNDER</x:v>
      </x:c>
      <x:c r="H1195" s="2" t="n">
        <x:v>17</x:v>
      </x:c>
      <x:c r="I1195" s="2" t="str">
        <x:f>IF(B1195="","",'Motor_Meciuri'!H90)</x:f>
      </x:c>
      <x:c r="J1195" s="2" t="str">
        <x:f>IF(B1195="","",'Motor_Meciuri'!I90)</x:f>
      </x:c>
      <x:c r="K1195" s="11" t="str">
        <x:f>IF(J1195&lt;&gt;"PASS","",'Motor_Meciuri'!BD90)</x:f>
      </x:c>
      <x:c r="L1195" s="11" t="str">
        <x:f>IF(J1195&lt;&gt;"PASS","",'Motor_Meciuri'!AU90)</x:f>
      </x:c>
      <x:c r="M1195" s="10" t="str">
        <x:f>IF(NOT(AND(J1195="PASS",'Calibrare_Linii'!U19="VALID")),"",'Distributie'!AO90)</x:f>
      </x:c>
      <x:c r="N1195" s="10" t="str">
        <x:f>IF(M1195="","",MAX(0.01,MIN(0.99,0.5+(M1195-0.5)*'Motor_Meciuri'!BG90*'Calibrare_Linii'!D19)))</x:f>
      </x:c>
      <x:c r="O1195" s="10" t="str">
        <x:f>IF(M1195="","",1-M1195)</x:f>
      </x:c>
      <x:c r="P1195" s="10" t="str">
        <x:f>IF(OR(NOT(AND(J1195="PASS",'Calibrare_Linii'!U19="VALID")),AK1195=0),""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*('Istoric_Nativ'!$Q$6:$Q$405&gt;H1195))/AK1195)</x:f>
      </x:c>
      <x:c r="Q1195" s="10" t="str">
        <x:f>IF(OR(NOT(AND(J1195="PASS",'Calibrare_Linii'!U19="VALID")),AL1195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M90)+((('Istoric_Nativ'!$E$6:$E$405='Input_Meci'!E90)+('Istoric_Nativ'!$F$6:$F$405='Input_Meci'!E90))&gt;0)*('Istoric_Nativ'!$D$6:$D$405&gt;='Motor_Meciuri'!BN90))&gt;0)*('Istoric_Nativ'!$Q$6:$Q$405&gt;H1195))/AL1195)</x:f>
      </x:c>
      <x:c r="R1195" s="10" t="str">
        <x:f>IF(OR(NOT(AND(J1195="PASS",'Calibrare_Linii'!U19="VALID")),AM1195=0),""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'Motor_Meciuri'!BO90)+((('Istoric_Nativ'!$E$6:$E$405='Input_Meci'!E90)+('Istoric_Nativ'!$F$6:$F$405='Input_Meci'!E90))&gt;0)*('Istoric_Nativ'!$D$6:$D$405&gt;='Motor_Meciuri'!BP90))&gt;0)*('Istoric_Nativ'!$Q$6:$Q$405&gt;H1195))/AM1195)</x:f>
      </x:c>
      <x:c r="S1195" s="10" t="str">
        <x:f>IF(M1195="","",MAX(O1195,P1195,Q1195,R1195))</x:f>
      </x:c>
      <x:c r="T1195" s="11" t="str">
        <x:f>IF(M1195="","",MIN(100,S1195*100*'Config_v6'!$B$44+MIN(100,L1195/'Config_v6'!$B$13*100)*'Config_v6'!$B$45+(100-'Motor_Meciuri'!BF90)*'Config_v6'!$B$46+'Motor_Meciuri'!BH90*100*'Config_v6'!$B$47))</x:f>
      </x:c>
      <x:c r="U1195" s="2" t="str">
        <x:f>IF(T1195="","",IF(T1195&lt;=20,1,IF(T1195&lt;=40,2,IF(T1195&lt;=60,3,IF(T1195&lt;=80,4,5)))))</x:f>
      </x:c>
      <x:c r="V1195" s="2" t="str">
        <x:f>IF(M1195="","",MAX(0,'Motor_Meciuri'!BF90-IF(W1195="OOS PENDING",'Config_v6'!$B$35,0)-IF(L1195&gt;'Config_v6'!$B$12,'Config_v6'!$B$37,IF(L1195&gt;'Config_v6'!$B$11,'Config_v6'!$B$36,0))))</x:f>
      </x:c>
      <x:c r="W1195" s="2" t="str">
        <x:f>IF(B1195="","",IF(I1195&lt;&gt;"READY","NOT RELEASED",IF(NOT(AND(J1195="PASS",'Calibrare_Linii'!U19="VALID")),"INVALID",IF(NOT(AND('Calibrare_Linii'!S19="VALIDATED",AND('Calibrare_Linii'!H19=C1195,ISNUMBER('Calibrare_Linii'!J19),'Calibrare_Linii'!J19&lt;='Input_Meci'!G90))),"OOS PENDING",IF(S1195&lt;='Calibrare_Linii'!E19,"PASS",IF(S1195&lt;='Calibrare_Linii'!F19,"PENALTY","WATCH"))))))</x:f>
      </x:c>
      <x:c r="X1195" s="2" t="str">
        <x:f>IF(M1195="","",IF(AND(AND(J1195="PASS",'Calibrare_Linii'!U19="VALID"),'Motor_Meciuri'!K90=12,'Motor_Meciuri'!L90=12,'Motor_Meciuri'!M90="NO",'Motor_Meciuri'!BL90='Motor_Meciuri'!C90,AB1195&gt;='Config_v6'!$B$50,AN1195&gt;='Config_v6'!$B$51,T1195&lt;='Config_v6'!$B$52,L1195&lt;='Config_v6'!$B$53,ISNUMBER('Calibrare_Linii'!E19),S1195&lt;='Calibrare_Linii'!E19,SUM(AK1195:AM1195)&gt;0),"CANDIDATE","NO"))</x:f>
      </x:c>
      <x:c r="Y1195" s="2" t="str">
        <x:f>IF(B1195="","",IF(I1195&lt;&gt;"READY","NOT RELEASED",IF(AND(X1195="CANDIDATE",V1195&gt;='Config_v6'!$B$51,W1195="PASS",'Calibrare_Linii'!T19="VALIDATED",AND('Calibrare_Linii'!H19=C1195,ISNUMBER('Calibrare_Linii'!J19),'Calibrare_Linii'!J19&lt;='Input_Meci'!G90)),"PASS",IF(X1195="CANDIDATE","OOS PENDING","FAIL"))))</x:f>
      </x:c>
      <x:c r="Z1195" s="2" t="str">
        <x:f>IF(B1195="","",IF(I1195&lt;&gt;"READY","",IF(OR(NOT(AND(J1195="PASS",'Calibrare_Linii'!U19="VALID")),L1195&gt;'Config_v6'!$B$13,W1195="WATCH"),5,IF(Y1195="PASS",1,MIN(5,MAX('Config_v6'!$B$42,U1195)+IF(W1195="PENALTY",1,0))))))</x:f>
      </x:c>
      <x:c r="AA1195" s="2" t="str">
        <x:f>IF(B1195="","",IF(I1195&lt;&gt;"READY","NOT RELEASED",IF(Z1195=5,"NO BET",IF(OR(AB1195&lt;'Config_v6'!$B$16,V1195&lt;'Config_v6'!$B$18),"WATCH",IF(Z1195=1,"DEFENSIV",IF(Z1195=2,"PRUDENT",IF(Z1195=3,"MODERAT","RIDICAT")))))))</x:f>
      </x:c>
      <x:c r="AB1195" s="10" t="str">
        <x:f>IF(N1195="","",MIN(N1195,1-S1195))</x:f>
      </x:c>
      <x:c r="AC1195" s="2" t="str">
        <x:f>IF(AD1195&lt;&gt;1,"",COUNTIFS($Z$1182:$Z$1195,"&lt;"&amp;Z1195,$AD$1182:$AD$1195,1)+COUNTIFS($Z$1182:$Z$1195,Z1195,$AB$1182:$AB$1195,"&gt;"&amp;AB1195,$AD$1182:$AD$1195,1)+COUNTIFS($Z$1182:$Z$1195,Z1195,$AB$1182:$AB$1195,AB1195,$V$1182:$V$1195,"&gt;"&amp;V1195,$AD$1182:$AD$1195,1)+COUNTIFS($Z$1182:Z1195,Z1195,$AB$1182:AB1195,AB1195,$V$1182:V1195,V1195,$AD$1182:AD1195,1))</x:f>
      </x:c>
      <x:c r="AD1195" s="2" t="n">
        <x:f>IF(OR(AA1195="DEFENSIV",AA1195="PRUDENT",AA1195="MODERAT",AA1195="RIDICAT"),1,0)</x:f>
        <x:v>0</x:v>
      </x:c>
      <x:c r="AE1195" s="2" t="str">
        <x:f>IF(AD1195&lt;&gt;1,"NO",IF(W1195="PASS","YES",IF(W1195="OOS PENDING","CONDITIONAL","NO")))</x:f>
        <x:v>NO</x:v>
      </x:c>
      <x:c r="AF1195" s="2" t="n">
        <x:f>IF(AND(AD1195=1,AC1195=1,E1195="LIVE"),1,0)</x:f>
        <x:v>0</x:v>
      </x:c>
      <x:c r="AG1195" s="2" t="str">
        <x:f>IF(AF1195&lt;&gt;1,"",'Dashboard'!P110)</x:f>
      </x:c>
      <x:c r="AH1195" s="2" t="str">
        <x:f>IF(B1195="","",IF(J1195&lt;&gt;"PASS",'Motor_Meciuri'!J90,IF('Calibrare_Linii'!U19&lt;&gt;"VALID","Parametri linie invalizi",IF(L1195&gt;'Config_v6'!$B$13,"Dispersie peste limita",IF(W1195="WATCH","Failure peste limita",IF(AB1195&lt;'Config_v6'!$B$16,"P finala sub prag",IF(V1195&lt;'Config_v6'!$B$18,"Confidence sub prag",IF(E1195="REPLAY","Exemplu retrospectiv; exclus din Top LIVE",IF(Y1195="PASS","DEFENSIV validat",IF(W1195="OOS PENDING","Eligibil; calibrare linie in monitorizare","Eligibil"))))))))))</x:f>
      </x:c>
      <x:c r="AI1195" s="2" t="str">
        <x:f>IF(B1195="","",'Calibrare_Linii'!V19)</x:f>
      </x:c>
      <x:c r="AJ1195" s="2" t="str">
        <x:f>IF(B1195="","",IF(AND('Calibrare_Linii'!T19="VALIDATED",AND('Calibrare_Linii'!H19=C1195,ISNUMBER('Calibrare_Linii'!J19),'Calibrare_Linii'!J19&lt;='Input_Meci'!G90)),"DEFENSIVE VALIDATED",IF(AND('Calibrare_Linii'!S19="VALIDATED",AND('Calibrare_Linii'!H19=C1195,ISNUMBER('Calibrare_Linii'!J19),'Calibrare_Linii'!J19&lt;='Input_Meci'!G90)),"TAIL VALIDATED","OOS PENDING")))</x:f>
      </x:c>
      <x:c r="AK1195" s="2" t="n">
        <x:f>IF(J1195&lt;&gt;"PASS",0,'Motor_Meciuri'!BR90)</x:f>
        <x:v>0</x:v>
      </x:c>
      <x:c r="AL1195" s="2" t="n">
        <x:f>IF(J1195&lt;&gt;"PASS",0,'Motor_Meciuri'!BS90)</x:f>
        <x:v>0</x:v>
      </x:c>
      <x:c r="AM1195" s="2" t="n">
        <x:f>IF(J1195&lt;&gt;"PASS",0,'Motor_Meciuri'!BT90)</x:f>
        <x:v>0</x:v>
      </x:c>
      <x:c r="AN1195" s="2" t="str">
        <x:f>IF(M1195="","",MAX(0,'Motor_Meciuri'!BF90-IF(L1195&gt;'Config_v6'!$B$12,'Config_v6'!$B$37,IF(L1195&gt;'Config_v6'!$B$11,'Config_v6'!$B$36,0))))</x:f>
      </x:c>
    </x:row>
    <x:row r="1196" ht="21" customHeight="1">
      <x:c r="A1196" s="2" t="n">
        <x:v>86</x:v>
      </x:c>
      <x:c r="B1196" s="2" t="str">
        <x:f>IF('Motor_Meciuri'!A91="","",'Motor_Meciuri'!A91)</x:f>
      </x:c>
      <x:c r="C1196" s="2" t="str">
        <x:f>IF(B1196="","",'Motor_Meciuri'!B91)</x:f>
      </x:c>
      <x:c r="D1196" s="2" t="str">
        <x:f>IF(B1196="","",'Motor_Meciuri'!D91)</x:f>
      </x:c>
      <x:c r="E1196" s="2" t="str">
        <x:f>IF(B1196="","",'Motor_Meciuri'!E91)</x:f>
      </x:c>
      <x:c r="F1196" s="2" t="str">
        <x:v>O3,5</x:v>
      </x:c>
      <x:c r="G1196" s="2" t="str">
        <x:v>OVER</x:v>
      </x:c>
      <x:c r="H1196" s="2" t="n">
        <x:v>3</x:v>
      </x:c>
      <x:c r="I1196" s="2" t="str">
        <x:f>IF(B1196="","",'Motor_Meciuri'!H91)</x:f>
      </x:c>
      <x:c r="J1196" s="2" t="str">
        <x:f>IF(B1196="","",'Motor_Meciuri'!I91)</x:f>
      </x:c>
      <x:c r="K1196" s="11" t="str">
        <x:f>IF(J1196&lt;&gt;"PASS","",'Motor_Meciuri'!BD91)</x:f>
      </x:c>
      <x:c r="L1196" s="11" t="str">
        <x:f>IF(J1196&lt;&gt;"PASS","",'Motor_Meciuri'!AU91)</x:f>
      </x:c>
      <x:c r="M1196" s="10" t="str">
        <x:f>IF(NOT(AND(J1196="PASS",'Calibrare_Linii'!U6="VALID")),"",1-'Distributie'!AA91)</x:f>
      </x:c>
      <x:c r="N1196" s="10" t="str">
        <x:f>IF(M1196="","",MAX(0.01,MIN(0.99,0.5+(M1196-0.5)*'Motor_Meciuri'!BG91*'Calibrare_Linii'!D6)))</x:f>
      </x:c>
      <x:c r="O1196" s="10" t="str">
        <x:f>IF(M1196="","",1-M1196)</x:f>
      </x:c>
      <x:c r="P1196" s="10" t="str">
        <x:f>IF(OR(NOT(AND(J1196="PASS",'Calibrare_Linii'!U6="VALID")),AK1196=0),""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*('Istoric_Nativ'!$Q$6:$Q$405&lt;=H1196))/AK1196)</x:f>
      </x:c>
      <x:c r="Q1196" s="10" t="str">
        <x:f>IF(OR(NOT(AND(J1196="PASS",'Calibrare_Linii'!U6="VALID")),AL1196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M91)+((('Istoric_Nativ'!$E$6:$E$405='Input_Meci'!E91)+('Istoric_Nativ'!$F$6:$F$405='Input_Meci'!E91))&gt;0)*('Istoric_Nativ'!$D$6:$D$405&gt;='Motor_Meciuri'!BN91))&gt;0)*('Istoric_Nativ'!$Q$6:$Q$405&lt;=H1196))/AL1196)</x:f>
      </x:c>
      <x:c r="R1196" s="10" t="str">
        <x:f>IF(OR(NOT(AND(J1196="PASS",'Calibrare_Linii'!U6="VALID")),AM1196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O91)+((('Istoric_Nativ'!$E$6:$E$405='Input_Meci'!E91)+('Istoric_Nativ'!$F$6:$F$405='Input_Meci'!E91))&gt;0)*('Istoric_Nativ'!$D$6:$D$405&gt;='Motor_Meciuri'!BP91))&gt;0)*('Istoric_Nativ'!$Q$6:$Q$405&lt;=H1196))/AM1196)</x:f>
      </x:c>
      <x:c r="S1196" s="10" t="str">
        <x:f>IF(M1196="","",MAX(O1196,P1196,Q1196,R1196))</x:f>
      </x:c>
      <x:c r="T1196" s="11" t="str">
        <x:f>IF(M1196="","",MIN(100,S1196*100*'Config_v6'!$B$44+MIN(100,L1196/'Config_v6'!$B$13*100)*'Config_v6'!$B$45+(100-'Motor_Meciuri'!BF91)*'Config_v6'!$B$46+'Motor_Meciuri'!BH91*100*'Config_v6'!$B$47))</x:f>
      </x:c>
      <x:c r="U1196" s="2" t="str">
        <x:f>IF(T1196="","",IF(T1196&lt;=20,1,IF(T1196&lt;=40,2,IF(T1196&lt;=60,3,IF(T1196&lt;=80,4,5)))))</x:f>
      </x:c>
      <x:c r="V1196" s="2" t="str">
        <x:f>IF(M1196="","",MAX(0,'Motor_Meciuri'!BF91-IF(W1196="OOS PENDING",'Config_v6'!$B$35,0)-IF(L1196&gt;'Config_v6'!$B$12,'Config_v6'!$B$37,IF(L1196&gt;'Config_v6'!$B$11,'Config_v6'!$B$36,0))))</x:f>
      </x:c>
      <x:c r="W1196" s="2" t="str">
        <x:f>IF(B1196="","",IF(I1196&lt;&gt;"READY","NOT RELEASED",IF(NOT(AND(J1196="PASS",'Calibrare_Linii'!U6="VALID")),"INVALID",IF(NOT(TRUE),"OOS PENDING",IF(S1196&lt;=IF(AND('Calibrare_Linii'!S6="VALIDATED",AND('Calibrare_Linii'!H6=C1196,ISNUMBER('Calibrare_Linii'!J6),'Calibrare_Linii'!J6&lt;='Input_Meci'!G91)),'Calibrare_Linii'!E6,'Config_v6'!$B$26),"PASS",IF(S1196&lt;=IF(AND('Calibrare_Linii'!S6="VALIDATED",AND('Calibrare_Linii'!H6=C1196,ISNUMBER('Calibrare_Linii'!J6),'Calibrare_Linii'!J6&lt;='Input_Meci'!G91)),'Calibrare_Linii'!F6,'Config_v6'!$C$26),"PENALTY","WATCH"))))))</x:f>
      </x:c>
      <x:c r="X1196" s="2" t="str">
        <x:f>IF(M1196="","",IF(AND(AND(J1196="PASS",'Calibrare_Linii'!U6="VALID"),'Motor_Meciuri'!K91=12,'Motor_Meciuri'!L91=12,'Motor_Meciuri'!M91="NO",'Motor_Meciuri'!BL91='Motor_Meciuri'!C91,AB1196&gt;='Config_v6'!$B$50,AN1196&gt;='Config_v6'!$B$51,T1196&lt;='Config_v6'!$B$52,L1196&lt;='Config_v6'!$B$53,ISNUMBER('Calibrare_Linii'!E6),S1196&lt;='Calibrare_Linii'!E6,SUM(AK1196:AM1196)&gt;0),"CANDIDATE","NO"))</x:f>
      </x:c>
      <x:c r="Y1196" s="2" t="str">
        <x:f>IF(B1196="","",IF(I1196&lt;&gt;"READY","NOT RELEASED",IF(AND(X1196="CANDIDATE",V1196&gt;='Config_v6'!$B$51,W1196="PASS",'Calibrare_Linii'!T6="VALIDATED",AND('Calibrare_Linii'!H6=C1196,ISNUMBER('Calibrare_Linii'!J6),'Calibrare_Linii'!J6&lt;='Input_Meci'!G91)),"PASS",IF(X1196="CANDIDATE","OOS PENDING","FAIL"))))</x:f>
      </x:c>
      <x:c r="Z1196" s="2" t="str">
        <x:f>IF(B1196="","",IF(I1196&lt;&gt;"READY","",IF(OR(NOT(AND(J1196="PASS",'Calibrare_Linii'!U6="VALID")),L1196&gt;'Config_v6'!$B$13,W1196="WATCH"),5,IF(Y1196="PASS",1,MIN(5,MAX('Config_v6'!$B$42,U1196)+IF(W1196="PENALTY",1,0))))))</x:f>
      </x:c>
      <x:c r="AA1196" s="2" t="str">
        <x:f>IF(B1196="","",IF(I1196&lt;&gt;"READY","NOT RELEASED",IF(Z1196=5,"NO BET",IF(OR(AB1196&lt;'Config_v6'!$B$16,V1196&lt;'Config_v6'!$B$18),"WATCH",IF(Z1196=1,"DEFENSIV",IF(Z1196=2,"PRUDENT",IF(Z1196=3,"MODERAT","RIDICAT")))))))</x:f>
      </x:c>
      <x:c r="AB1196" s="10" t="str">
        <x:f>IF(N1196="","",MIN(N1196,1-S1196))</x:f>
      </x:c>
      <x:c r="AC1196" s="2" t="str">
        <x:f>IF(AD1196&lt;&gt;1,"",COUNTIFS($Z$1196:$Z$1209,"&lt;"&amp;Z1196,$AD$1196:$AD$1209,1)+COUNTIFS($Z$1196:$Z$1209,Z1196,$AB$1196:$AB$1209,"&gt;"&amp;AB1196,$AD$1196:$AD$1209,1)+COUNTIFS($Z$1196:$Z$1209,Z1196,$AB$1196:$AB$1209,AB1196,$V$1196:$V$1209,"&gt;"&amp;V1196,$AD$1196:$AD$1209,1)+COUNTIFS($Z$1196:Z1196,Z1196,$AB$1196:AB1196,AB1196,$V$1196:V1196,V1196,$AD$1196:AD1196,1))</x:f>
      </x:c>
      <x:c r="AD1196" s="2" t="n">
        <x:f>IF(OR(AA1196="DEFENSIV",AA1196="PRUDENT",AA1196="MODERAT",AA1196="RIDICAT"),1,0)</x:f>
        <x:v>0</x:v>
      </x:c>
      <x:c r="AE1196" s="2" t="str">
        <x:f>IF(AD1196&lt;&gt;1,"NO",IF(W1196="PASS","YES",IF(W1196="OOS PENDING","CONDITIONAL","NO")))</x:f>
        <x:v>NO</x:v>
      </x:c>
      <x:c r="AF1196" s="2" t="n">
        <x:f>IF(AND(AD1196=1,AC1196=1,E1196="LIVE"),1,0)</x:f>
        <x:v>0</x:v>
      </x:c>
      <x:c r="AG1196" s="2" t="str">
        <x:f>IF(AF1196&lt;&gt;1,"",'Dashboard'!P111)</x:f>
      </x:c>
      <x:c r="AH1196" s="2" t="str">
        <x:f>IF(B1196="","",IF(J1196&lt;&gt;"PASS",'Motor_Meciuri'!J91,IF('Calibrare_Linii'!U6&lt;&gt;"VALID","Parametri linie invalizi",IF(L1196&gt;'Config_v6'!$B$13,"Dispersie peste limita",IF(W1196="WATCH","Failure peste limita",IF(AB1196&lt;'Config_v6'!$B$16,"P finala sub prag",IF(V1196&lt;'Config_v6'!$B$18,"Confidence sub prag",IF(E1196="REPLAY","Exemplu retrospectiv; exclus din Top LIVE",IF(Y1196="PASS","DEFENSIV validat",IF(W1196="OOS PENDING","Eligibil; calibrare linie in monitorizare","Eligibil"))))))))))</x:f>
      </x:c>
      <x:c r="AI1196" s="2" t="str">
        <x:f>IF(B1196="","",'Calibrare_Linii'!V6)</x:f>
      </x:c>
      <x:c r="AJ1196" s="2" t="str">
        <x:f>IF(B1196="","",IF(AND('Calibrare_Linii'!T6="VALIDATED",AND('Calibrare_Linii'!H6=C1196,ISNUMBER('Calibrare_Linii'!J6),'Calibrare_Linii'!J6&lt;='Input_Meci'!G91)),"DEFENSIVE VALIDATED",IF(AND('Calibrare_Linii'!S6="VALIDATED",AND('Calibrare_Linii'!H6=C1196,ISNUMBER('Calibrare_Linii'!J6),'Calibrare_Linii'!J6&lt;='Input_Meci'!G91)),"TAIL VALIDATED","OOS PENDING")))</x:f>
      </x:c>
      <x:c r="AK1196" s="2" t="n">
        <x:f>IF(J1196&lt;&gt;"PASS",0,'Motor_Meciuri'!BR91)</x:f>
        <x:v>0</x:v>
      </x:c>
      <x:c r="AL1196" s="2" t="n">
        <x:f>IF(J1196&lt;&gt;"PASS",0,'Motor_Meciuri'!BS91)</x:f>
        <x:v>0</x:v>
      </x:c>
      <x:c r="AM1196" s="2" t="n">
        <x:f>IF(J1196&lt;&gt;"PASS",0,'Motor_Meciuri'!BT91)</x:f>
        <x:v>0</x:v>
      </x:c>
      <x:c r="AN1196" s="2" t="str">
        <x:f>IF(M1196="","",MAX(0,'Motor_Meciuri'!BF91-IF(L1196&gt;'Config_v6'!$B$12,'Config_v6'!$B$37,IF(L1196&gt;'Config_v6'!$B$11,'Config_v6'!$B$36,0))))</x:f>
      </x:c>
    </x:row>
    <x:row r="1197" ht="21" customHeight="1">
      <x:c r="A1197" s="2" t="n">
        <x:v>86</x:v>
      </x:c>
      <x:c r="B1197" s="2" t="str">
        <x:f>IF('Motor_Meciuri'!A91="","",'Motor_Meciuri'!A91)</x:f>
      </x:c>
      <x:c r="C1197" s="2" t="str">
        <x:f>IF(B1197="","",'Motor_Meciuri'!B91)</x:f>
      </x:c>
      <x:c r="D1197" s="2" t="str">
        <x:f>IF(B1197="","",'Motor_Meciuri'!D91)</x:f>
      </x:c>
      <x:c r="E1197" s="2" t="str">
        <x:f>IF(B1197="","",'Motor_Meciuri'!E91)</x:f>
      </x:c>
      <x:c r="F1197" s="2" t="str">
        <x:v>O4,5</x:v>
      </x:c>
      <x:c r="G1197" s="2" t="str">
        <x:v>OVER</x:v>
      </x:c>
      <x:c r="H1197" s="2" t="n">
        <x:v>4</x:v>
      </x:c>
      <x:c r="I1197" s="2" t="str">
        <x:f>IF(B1197="","",'Motor_Meciuri'!H91)</x:f>
      </x:c>
      <x:c r="J1197" s="2" t="str">
        <x:f>IF(B1197="","",'Motor_Meciuri'!I91)</x:f>
      </x:c>
      <x:c r="K1197" s="11" t="str">
        <x:f>IF(J1197&lt;&gt;"PASS","",'Motor_Meciuri'!BD91)</x:f>
      </x:c>
      <x:c r="L1197" s="11" t="str">
        <x:f>IF(J1197&lt;&gt;"PASS","",'Motor_Meciuri'!AU91)</x:f>
      </x:c>
      <x:c r="M1197" s="10" t="str">
        <x:f>IF(NOT(AND(J1197="PASS",'Calibrare_Linii'!U7="VALID")),"",1-'Distributie'!AB91)</x:f>
      </x:c>
      <x:c r="N1197" s="10" t="str">
        <x:f>IF(M1197="","",MAX(0.01,MIN(0.99,0.5+(M1197-0.5)*'Motor_Meciuri'!BG91*'Calibrare_Linii'!D7)))</x:f>
      </x:c>
      <x:c r="O1197" s="10" t="str">
        <x:f>IF(M1197="","",1-M1197)</x:f>
      </x:c>
      <x:c r="P1197" s="10" t="str">
        <x:f>IF(OR(NOT(AND(J1197="PASS",'Calibrare_Linii'!U7="VALID")),AK1197=0),""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*('Istoric_Nativ'!$Q$6:$Q$405&lt;=H1197))/AK1197)</x:f>
      </x:c>
      <x:c r="Q1197" s="10" t="str">
        <x:f>IF(OR(NOT(AND(J1197="PASS",'Calibrare_Linii'!U7="VALID")),AL1197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M91)+((('Istoric_Nativ'!$E$6:$E$405='Input_Meci'!E91)+('Istoric_Nativ'!$F$6:$F$405='Input_Meci'!E91))&gt;0)*('Istoric_Nativ'!$D$6:$D$405&gt;='Motor_Meciuri'!BN91))&gt;0)*('Istoric_Nativ'!$Q$6:$Q$405&lt;=H1197))/AL1197)</x:f>
      </x:c>
      <x:c r="R1197" s="10" t="str">
        <x:f>IF(OR(NOT(AND(J1197="PASS",'Calibrare_Linii'!U7="VALID")),AM1197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O91)+((('Istoric_Nativ'!$E$6:$E$405='Input_Meci'!E91)+('Istoric_Nativ'!$F$6:$F$405='Input_Meci'!E91))&gt;0)*('Istoric_Nativ'!$D$6:$D$405&gt;='Motor_Meciuri'!BP91))&gt;0)*('Istoric_Nativ'!$Q$6:$Q$405&lt;=H1197))/AM1197)</x:f>
      </x:c>
      <x:c r="S1197" s="10" t="str">
        <x:f>IF(M1197="","",MAX(O1197,P1197,Q1197,R1197))</x:f>
      </x:c>
      <x:c r="T1197" s="11" t="str">
        <x:f>IF(M1197="","",MIN(100,S1197*100*'Config_v6'!$B$44+MIN(100,L1197/'Config_v6'!$B$13*100)*'Config_v6'!$B$45+(100-'Motor_Meciuri'!BF91)*'Config_v6'!$B$46+'Motor_Meciuri'!BH91*100*'Config_v6'!$B$47))</x:f>
      </x:c>
      <x:c r="U1197" s="2" t="str">
        <x:f>IF(T1197="","",IF(T1197&lt;=20,1,IF(T1197&lt;=40,2,IF(T1197&lt;=60,3,IF(T1197&lt;=80,4,5)))))</x:f>
      </x:c>
      <x:c r="V1197" s="2" t="str">
        <x:f>IF(M1197="","",MAX(0,'Motor_Meciuri'!BF91-IF(W1197="OOS PENDING",'Config_v6'!$B$35,0)-IF(L1197&gt;'Config_v6'!$B$12,'Config_v6'!$B$37,IF(L1197&gt;'Config_v6'!$B$11,'Config_v6'!$B$36,0))))</x:f>
      </x:c>
      <x:c r="W1197" s="2" t="str">
        <x:f>IF(B1197="","",IF(I1197&lt;&gt;"READY","NOT RELEASED",IF(NOT(AND(J1197="PASS",'Calibrare_Linii'!U7="VALID")),"INVALID",IF(NOT(AND('Calibrare_Linii'!S7="VALIDATED",AND('Calibrare_Linii'!H7=C1197,ISNUMBER('Calibrare_Linii'!J7),'Calibrare_Linii'!J7&lt;='Input_Meci'!G91))),"OOS PENDING",IF(S1197&lt;='Calibrare_Linii'!E7,"PASS",IF(S1197&lt;='Calibrare_Linii'!F7,"PENALTY","WATCH"))))))</x:f>
      </x:c>
      <x:c r="X1197" s="2" t="str">
        <x:f>IF(M1197="","",IF(AND(AND(J1197="PASS",'Calibrare_Linii'!U7="VALID"),'Motor_Meciuri'!K91=12,'Motor_Meciuri'!L91=12,'Motor_Meciuri'!M91="NO",'Motor_Meciuri'!BL91='Motor_Meciuri'!C91,AB1197&gt;='Config_v6'!$B$50,AN1197&gt;='Config_v6'!$B$51,T1197&lt;='Config_v6'!$B$52,L1197&lt;='Config_v6'!$B$53,ISNUMBER('Calibrare_Linii'!E7),S1197&lt;='Calibrare_Linii'!E7,SUM(AK1197:AM1197)&gt;0),"CANDIDATE","NO"))</x:f>
      </x:c>
      <x:c r="Y1197" s="2" t="str">
        <x:f>IF(B1197="","",IF(I1197&lt;&gt;"READY","NOT RELEASED",IF(AND(X1197="CANDIDATE",V1197&gt;='Config_v6'!$B$51,W1197="PASS",'Calibrare_Linii'!T7="VALIDATED",AND('Calibrare_Linii'!H7=C1197,ISNUMBER('Calibrare_Linii'!J7),'Calibrare_Linii'!J7&lt;='Input_Meci'!G91)),"PASS",IF(X1197="CANDIDATE","OOS PENDING","FAIL"))))</x:f>
      </x:c>
      <x:c r="Z1197" s="2" t="str">
        <x:f>IF(B1197="","",IF(I1197&lt;&gt;"READY","",IF(OR(NOT(AND(J1197="PASS",'Calibrare_Linii'!U7="VALID")),L1197&gt;'Config_v6'!$B$13,W1197="WATCH"),5,IF(Y1197="PASS",1,MIN(5,MAX('Config_v6'!$B$42,U1197)+IF(W1197="PENALTY",1,0))))))</x:f>
      </x:c>
      <x:c r="AA1197" s="2" t="str">
        <x:f>IF(B1197="","",IF(I1197&lt;&gt;"READY","NOT RELEASED",IF(Z1197=5,"NO BET",IF(OR(AB1197&lt;'Config_v6'!$B$16,V1197&lt;'Config_v6'!$B$18),"WATCH",IF(Z1197=1,"DEFENSIV",IF(Z1197=2,"PRUDENT",IF(Z1197=3,"MODERAT","RIDICAT")))))))</x:f>
      </x:c>
      <x:c r="AB1197" s="10" t="str">
        <x:f>IF(N1197="","",MIN(N1197,1-S1197))</x:f>
      </x:c>
      <x:c r="AC1197" s="2" t="str">
        <x:f>IF(AD1197&lt;&gt;1,"",COUNTIFS($Z$1196:$Z$1209,"&lt;"&amp;Z1197,$AD$1196:$AD$1209,1)+COUNTIFS($Z$1196:$Z$1209,Z1197,$AB$1196:$AB$1209,"&gt;"&amp;AB1197,$AD$1196:$AD$1209,1)+COUNTIFS($Z$1196:$Z$1209,Z1197,$AB$1196:$AB$1209,AB1197,$V$1196:$V$1209,"&gt;"&amp;V1197,$AD$1196:$AD$1209,1)+COUNTIFS($Z$1196:Z1197,Z1197,$AB$1196:AB1197,AB1197,$V$1196:V1197,V1197,$AD$1196:AD1197,1))</x:f>
      </x:c>
      <x:c r="AD1197" s="2" t="n">
        <x:f>IF(OR(AA1197="DEFENSIV",AA1197="PRUDENT",AA1197="MODERAT",AA1197="RIDICAT"),1,0)</x:f>
        <x:v>0</x:v>
      </x:c>
      <x:c r="AE1197" s="2" t="str">
        <x:f>IF(AD1197&lt;&gt;1,"NO",IF(W1197="PASS","YES",IF(W1197="OOS PENDING","CONDITIONAL","NO")))</x:f>
        <x:v>NO</x:v>
      </x:c>
      <x:c r="AF1197" s="2" t="n">
        <x:f>IF(AND(AD1197=1,AC1197=1,E1197="LIVE"),1,0)</x:f>
        <x:v>0</x:v>
      </x:c>
      <x:c r="AG1197" s="2" t="str">
        <x:f>IF(AF1197&lt;&gt;1,"",'Dashboard'!P111)</x:f>
      </x:c>
      <x:c r="AH1197" s="2" t="str">
        <x:f>IF(B1197="","",IF(J1197&lt;&gt;"PASS",'Motor_Meciuri'!J91,IF('Calibrare_Linii'!U7&lt;&gt;"VALID","Parametri linie invalizi",IF(L1197&gt;'Config_v6'!$B$13,"Dispersie peste limita",IF(W1197="WATCH","Failure peste limita",IF(AB1197&lt;'Config_v6'!$B$16,"P finala sub prag",IF(V1197&lt;'Config_v6'!$B$18,"Confidence sub prag",IF(E1197="REPLAY","Exemplu retrospectiv; exclus din Top LIVE",IF(Y1197="PASS","DEFENSIV validat",IF(W1197="OOS PENDING","Eligibil; calibrare linie in monitorizare","Eligibil"))))))))))</x:f>
      </x:c>
      <x:c r="AI1197" s="2" t="str">
        <x:f>IF(B1197="","",'Calibrare_Linii'!V7)</x:f>
      </x:c>
      <x:c r="AJ1197" s="2" t="str">
        <x:f>IF(B1197="","",IF(AND('Calibrare_Linii'!T7="VALIDATED",AND('Calibrare_Linii'!H7=C1197,ISNUMBER('Calibrare_Linii'!J7),'Calibrare_Linii'!J7&lt;='Input_Meci'!G91)),"DEFENSIVE VALIDATED",IF(AND('Calibrare_Linii'!S7="VALIDATED",AND('Calibrare_Linii'!H7=C1197,ISNUMBER('Calibrare_Linii'!J7),'Calibrare_Linii'!J7&lt;='Input_Meci'!G91)),"TAIL VALIDATED","OOS PENDING")))</x:f>
      </x:c>
      <x:c r="AK1197" s="2" t="n">
        <x:f>IF(J1197&lt;&gt;"PASS",0,'Motor_Meciuri'!BR91)</x:f>
        <x:v>0</x:v>
      </x:c>
      <x:c r="AL1197" s="2" t="n">
        <x:f>IF(J1197&lt;&gt;"PASS",0,'Motor_Meciuri'!BS91)</x:f>
        <x:v>0</x:v>
      </x:c>
      <x:c r="AM1197" s="2" t="n">
        <x:f>IF(J1197&lt;&gt;"PASS",0,'Motor_Meciuri'!BT91)</x:f>
        <x:v>0</x:v>
      </x:c>
      <x:c r="AN1197" s="2" t="str">
        <x:f>IF(M1197="","",MAX(0,'Motor_Meciuri'!BF91-IF(L1197&gt;'Config_v6'!$B$12,'Config_v6'!$B$37,IF(L1197&gt;'Config_v6'!$B$11,'Config_v6'!$B$36,0))))</x:f>
      </x:c>
    </x:row>
    <x:row r="1198" ht="21" customHeight="1">
      <x:c r="A1198" s="2" t="n">
        <x:v>86</x:v>
      </x:c>
      <x:c r="B1198" s="2" t="str">
        <x:f>IF('Motor_Meciuri'!A91="","",'Motor_Meciuri'!A91)</x:f>
      </x:c>
      <x:c r="C1198" s="2" t="str">
        <x:f>IF(B1198="","",'Motor_Meciuri'!B91)</x:f>
      </x:c>
      <x:c r="D1198" s="2" t="str">
        <x:f>IF(B1198="","",'Motor_Meciuri'!D91)</x:f>
      </x:c>
      <x:c r="E1198" s="2" t="str">
        <x:f>IF(B1198="","",'Motor_Meciuri'!E91)</x:f>
      </x:c>
      <x:c r="F1198" s="2" t="str">
        <x:v>O5,5</x:v>
      </x:c>
      <x:c r="G1198" s="2" t="str">
        <x:v>OVER</x:v>
      </x:c>
      <x:c r="H1198" s="2" t="n">
        <x:v>5</x:v>
      </x:c>
      <x:c r="I1198" s="2" t="str">
        <x:f>IF(B1198="","",'Motor_Meciuri'!H91)</x:f>
      </x:c>
      <x:c r="J1198" s="2" t="str">
        <x:f>IF(B1198="","",'Motor_Meciuri'!I91)</x:f>
      </x:c>
      <x:c r="K1198" s="11" t="str">
        <x:f>IF(J1198&lt;&gt;"PASS","",'Motor_Meciuri'!BD91)</x:f>
      </x:c>
      <x:c r="L1198" s="11" t="str">
        <x:f>IF(J1198&lt;&gt;"PASS","",'Motor_Meciuri'!AU91)</x:f>
      </x:c>
      <x:c r="M1198" s="10" t="str">
        <x:f>IF(NOT(AND(J1198="PASS",'Calibrare_Linii'!U8="VALID")),"",1-'Distributie'!AC91)</x:f>
      </x:c>
      <x:c r="N1198" s="10" t="str">
        <x:f>IF(M1198="","",MAX(0.01,MIN(0.99,0.5+(M1198-0.5)*'Motor_Meciuri'!BG91*'Calibrare_Linii'!D8)))</x:f>
      </x:c>
      <x:c r="O1198" s="10" t="str">
        <x:f>IF(M1198="","",1-M1198)</x:f>
      </x:c>
      <x:c r="P1198" s="10" t="str">
        <x:f>IF(OR(NOT(AND(J1198="PASS",'Calibrare_Linii'!U8="VALID")),AK1198=0),""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*('Istoric_Nativ'!$Q$6:$Q$405&lt;=H1198))/AK1198)</x:f>
      </x:c>
      <x:c r="Q1198" s="10" t="str">
        <x:f>IF(OR(NOT(AND(J1198="PASS",'Calibrare_Linii'!U8="VALID")),AL1198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M91)+((('Istoric_Nativ'!$E$6:$E$405='Input_Meci'!E91)+('Istoric_Nativ'!$F$6:$F$405='Input_Meci'!E91))&gt;0)*('Istoric_Nativ'!$D$6:$D$405&gt;='Motor_Meciuri'!BN91))&gt;0)*('Istoric_Nativ'!$Q$6:$Q$405&lt;=H1198))/AL1198)</x:f>
      </x:c>
      <x:c r="R1198" s="10" t="str">
        <x:f>IF(OR(NOT(AND(J1198="PASS",'Calibrare_Linii'!U8="VALID")),AM1198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O91)+((('Istoric_Nativ'!$E$6:$E$405='Input_Meci'!E91)+('Istoric_Nativ'!$F$6:$F$405='Input_Meci'!E91))&gt;0)*('Istoric_Nativ'!$D$6:$D$405&gt;='Motor_Meciuri'!BP91))&gt;0)*('Istoric_Nativ'!$Q$6:$Q$405&lt;=H1198))/AM1198)</x:f>
      </x:c>
      <x:c r="S1198" s="10" t="str">
        <x:f>IF(M1198="","",MAX(O1198,P1198,Q1198,R1198))</x:f>
      </x:c>
      <x:c r="T1198" s="11" t="str">
        <x:f>IF(M1198="","",MIN(100,S1198*100*'Config_v6'!$B$44+MIN(100,L1198/'Config_v6'!$B$13*100)*'Config_v6'!$B$45+(100-'Motor_Meciuri'!BF91)*'Config_v6'!$B$46+'Motor_Meciuri'!BH91*100*'Config_v6'!$B$47))</x:f>
      </x:c>
      <x:c r="U1198" s="2" t="str">
        <x:f>IF(T1198="","",IF(T1198&lt;=20,1,IF(T1198&lt;=40,2,IF(T1198&lt;=60,3,IF(T1198&lt;=80,4,5)))))</x:f>
      </x:c>
      <x:c r="V1198" s="2" t="str">
        <x:f>IF(M1198="","",MAX(0,'Motor_Meciuri'!BF91-IF(W1198="OOS PENDING",'Config_v6'!$B$35,0)-IF(L1198&gt;'Config_v6'!$B$12,'Config_v6'!$B$37,IF(L1198&gt;'Config_v6'!$B$11,'Config_v6'!$B$36,0))))</x:f>
      </x:c>
      <x:c r="W1198" s="2" t="str">
        <x:f>IF(B1198="","",IF(I1198&lt;&gt;"READY","NOT RELEASED",IF(NOT(AND(J1198="PASS",'Calibrare_Linii'!U8="VALID")),"INVALID",IF(NOT(AND('Calibrare_Linii'!S8="VALIDATED",AND('Calibrare_Linii'!H8=C1198,ISNUMBER('Calibrare_Linii'!J8),'Calibrare_Linii'!J8&lt;='Input_Meci'!G91))),"OOS PENDING",IF(S1198&lt;='Calibrare_Linii'!E8,"PASS",IF(S1198&lt;='Calibrare_Linii'!F8,"PENALTY","WATCH"))))))</x:f>
      </x:c>
      <x:c r="X1198" s="2" t="str">
        <x:f>IF(M1198="","",IF(AND(AND(J1198="PASS",'Calibrare_Linii'!U8="VALID"),'Motor_Meciuri'!K91=12,'Motor_Meciuri'!L91=12,'Motor_Meciuri'!M91="NO",'Motor_Meciuri'!BL91='Motor_Meciuri'!C91,AB1198&gt;='Config_v6'!$B$50,AN1198&gt;='Config_v6'!$B$51,T1198&lt;='Config_v6'!$B$52,L1198&lt;='Config_v6'!$B$53,ISNUMBER('Calibrare_Linii'!E8),S1198&lt;='Calibrare_Linii'!E8,SUM(AK1198:AM1198)&gt;0),"CANDIDATE","NO"))</x:f>
      </x:c>
      <x:c r="Y1198" s="2" t="str">
        <x:f>IF(B1198="","",IF(I1198&lt;&gt;"READY","NOT RELEASED",IF(AND(X1198="CANDIDATE",V1198&gt;='Config_v6'!$B$51,W1198="PASS",'Calibrare_Linii'!T8="VALIDATED",AND('Calibrare_Linii'!H8=C1198,ISNUMBER('Calibrare_Linii'!J8),'Calibrare_Linii'!J8&lt;='Input_Meci'!G91)),"PASS",IF(X1198="CANDIDATE","OOS PENDING","FAIL"))))</x:f>
      </x:c>
      <x:c r="Z1198" s="2" t="str">
        <x:f>IF(B1198="","",IF(I1198&lt;&gt;"READY","",IF(OR(NOT(AND(J1198="PASS",'Calibrare_Linii'!U8="VALID")),L1198&gt;'Config_v6'!$B$13,W1198="WATCH"),5,IF(Y1198="PASS",1,MIN(5,MAX('Config_v6'!$B$42,U1198)+IF(W1198="PENALTY",1,0))))))</x:f>
      </x:c>
      <x:c r="AA1198" s="2" t="str">
        <x:f>IF(B1198="","",IF(I1198&lt;&gt;"READY","NOT RELEASED",IF(Z1198=5,"NO BET",IF(OR(AB1198&lt;'Config_v6'!$B$16,V1198&lt;'Config_v6'!$B$18),"WATCH",IF(Z1198=1,"DEFENSIV",IF(Z1198=2,"PRUDENT",IF(Z1198=3,"MODERAT","RIDICAT")))))))</x:f>
      </x:c>
      <x:c r="AB1198" s="10" t="str">
        <x:f>IF(N1198="","",MIN(N1198,1-S1198))</x:f>
      </x:c>
      <x:c r="AC1198" s="2" t="str">
        <x:f>IF(AD1198&lt;&gt;1,"",COUNTIFS($Z$1196:$Z$1209,"&lt;"&amp;Z1198,$AD$1196:$AD$1209,1)+COUNTIFS($Z$1196:$Z$1209,Z1198,$AB$1196:$AB$1209,"&gt;"&amp;AB1198,$AD$1196:$AD$1209,1)+COUNTIFS($Z$1196:$Z$1209,Z1198,$AB$1196:$AB$1209,AB1198,$V$1196:$V$1209,"&gt;"&amp;V1198,$AD$1196:$AD$1209,1)+COUNTIFS($Z$1196:Z1198,Z1198,$AB$1196:AB1198,AB1198,$V$1196:V1198,V1198,$AD$1196:AD1198,1))</x:f>
      </x:c>
      <x:c r="AD1198" s="2" t="n">
        <x:f>IF(OR(AA1198="DEFENSIV",AA1198="PRUDENT",AA1198="MODERAT",AA1198="RIDICAT"),1,0)</x:f>
        <x:v>0</x:v>
      </x:c>
      <x:c r="AE1198" s="2" t="str">
        <x:f>IF(AD1198&lt;&gt;1,"NO",IF(W1198="PASS","YES",IF(W1198="OOS PENDING","CONDITIONAL","NO")))</x:f>
        <x:v>NO</x:v>
      </x:c>
      <x:c r="AF1198" s="2" t="n">
        <x:f>IF(AND(AD1198=1,AC1198=1,E1198="LIVE"),1,0)</x:f>
        <x:v>0</x:v>
      </x:c>
      <x:c r="AG1198" s="2" t="str">
        <x:f>IF(AF1198&lt;&gt;1,"",'Dashboard'!P111)</x:f>
      </x:c>
      <x:c r="AH1198" s="2" t="str">
        <x:f>IF(B1198="","",IF(J1198&lt;&gt;"PASS",'Motor_Meciuri'!J91,IF('Calibrare_Linii'!U8&lt;&gt;"VALID","Parametri linie invalizi",IF(L1198&gt;'Config_v6'!$B$13,"Dispersie peste limita",IF(W1198="WATCH","Failure peste limita",IF(AB1198&lt;'Config_v6'!$B$16,"P finala sub prag",IF(V1198&lt;'Config_v6'!$B$18,"Confidence sub prag",IF(E1198="REPLAY","Exemplu retrospectiv; exclus din Top LIVE",IF(Y1198="PASS","DEFENSIV validat",IF(W1198="OOS PENDING","Eligibil; calibrare linie in monitorizare","Eligibil"))))))))))</x:f>
      </x:c>
      <x:c r="AI1198" s="2" t="str">
        <x:f>IF(B1198="","",'Calibrare_Linii'!V8)</x:f>
      </x:c>
      <x:c r="AJ1198" s="2" t="str">
        <x:f>IF(B1198="","",IF(AND('Calibrare_Linii'!T8="VALIDATED",AND('Calibrare_Linii'!H8=C1198,ISNUMBER('Calibrare_Linii'!J8),'Calibrare_Linii'!J8&lt;='Input_Meci'!G91)),"DEFENSIVE VALIDATED",IF(AND('Calibrare_Linii'!S8="VALIDATED",AND('Calibrare_Linii'!H8=C1198,ISNUMBER('Calibrare_Linii'!J8),'Calibrare_Linii'!J8&lt;='Input_Meci'!G91)),"TAIL VALIDATED","OOS PENDING")))</x:f>
      </x:c>
      <x:c r="AK1198" s="2" t="n">
        <x:f>IF(J1198&lt;&gt;"PASS",0,'Motor_Meciuri'!BR91)</x:f>
        <x:v>0</x:v>
      </x:c>
      <x:c r="AL1198" s="2" t="n">
        <x:f>IF(J1198&lt;&gt;"PASS",0,'Motor_Meciuri'!BS91)</x:f>
        <x:v>0</x:v>
      </x:c>
      <x:c r="AM1198" s="2" t="n">
        <x:f>IF(J1198&lt;&gt;"PASS",0,'Motor_Meciuri'!BT91)</x:f>
        <x:v>0</x:v>
      </x:c>
      <x:c r="AN1198" s="2" t="str">
        <x:f>IF(M1198="","",MAX(0,'Motor_Meciuri'!BF91-IF(L1198&gt;'Config_v6'!$B$12,'Config_v6'!$B$37,IF(L1198&gt;'Config_v6'!$B$11,'Config_v6'!$B$36,0))))</x:f>
      </x:c>
    </x:row>
    <x:row r="1199" ht="21" customHeight="1">
      <x:c r="A1199" s="2" t="n">
        <x:v>86</x:v>
      </x:c>
      <x:c r="B1199" s="2" t="str">
        <x:f>IF('Motor_Meciuri'!A91="","",'Motor_Meciuri'!A91)</x:f>
      </x:c>
      <x:c r="C1199" s="2" t="str">
        <x:f>IF(B1199="","",'Motor_Meciuri'!B91)</x:f>
      </x:c>
      <x:c r="D1199" s="2" t="str">
        <x:f>IF(B1199="","",'Motor_Meciuri'!D91)</x:f>
      </x:c>
      <x:c r="E1199" s="2" t="str">
        <x:f>IF(B1199="","",'Motor_Meciuri'!E91)</x:f>
      </x:c>
      <x:c r="F1199" s="2" t="str">
        <x:v>O6,5</x:v>
      </x:c>
      <x:c r="G1199" s="2" t="str">
        <x:v>OVER</x:v>
      </x:c>
      <x:c r="H1199" s="2" t="n">
        <x:v>6</x:v>
      </x:c>
      <x:c r="I1199" s="2" t="str">
        <x:f>IF(B1199="","",'Motor_Meciuri'!H91)</x:f>
      </x:c>
      <x:c r="J1199" s="2" t="str">
        <x:f>IF(B1199="","",'Motor_Meciuri'!I91)</x:f>
      </x:c>
      <x:c r="K1199" s="11" t="str">
        <x:f>IF(J1199&lt;&gt;"PASS","",'Motor_Meciuri'!BD91)</x:f>
      </x:c>
      <x:c r="L1199" s="11" t="str">
        <x:f>IF(J1199&lt;&gt;"PASS","",'Motor_Meciuri'!AU91)</x:f>
      </x:c>
      <x:c r="M1199" s="10" t="str">
        <x:f>IF(NOT(AND(J1199="PASS",'Calibrare_Linii'!U9="VALID")),"",1-'Distributie'!AD91)</x:f>
      </x:c>
      <x:c r="N1199" s="10" t="str">
        <x:f>IF(M1199="","",MAX(0.01,MIN(0.99,0.5+(M1199-0.5)*'Motor_Meciuri'!BG91*'Calibrare_Linii'!D9)))</x:f>
      </x:c>
      <x:c r="O1199" s="10" t="str">
        <x:f>IF(M1199="","",1-M1199)</x:f>
      </x:c>
      <x:c r="P1199" s="10" t="str">
        <x:f>IF(OR(NOT(AND(J1199="PASS",'Calibrare_Linii'!U9="VALID")),AK1199=0),""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*('Istoric_Nativ'!$Q$6:$Q$405&lt;=H1199))/AK1199)</x:f>
      </x:c>
      <x:c r="Q1199" s="10" t="str">
        <x:f>IF(OR(NOT(AND(J1199="PASS",'Calibrare_Linii'!U9="VALID")),AL1199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M91)+((('Istoric_Nativ'!$E$6:$E$405='Input_Meci'!E91)+('Istoric_Nativ'!$F$6:$F$405='Input_Meci'!E91))&gt;0)*('Istoric_Nativ'!$D$6:$D$405&gt;='Motor_Meciuri'!BN91))&gt;0)*('Istoric_Nativ'!$Q$6:$Q$405&lt;=H1199))/AL1199)</x:f>
      </x:c>
      <x:c r="R1199" s="10" t="str">
        <x:f>IF(OR(NOT(AND(J1199="PASS",'Calibrare_Linii'!U9="VALID")),AM1199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O91)+((('Istoric_Nativ'!$E$6:$E$405='Input_Meci'!E91)+('Istoric_Nativ'!$F$6:$F$405='Input_Meci'!E91))&gt;0)*('Istoric_Nativ'!$D$6:$D$405&gt;='Motor_Meciuri'!BP91))&gt;0)*('Istoric_Nativ'!$Q$6:$Q$405&lt;=H1199))/AM1199)</x:f>
      </x:c>
      <x:c r="S1199" s="10" t="str">
        <x:f>IF(M1199="","",MAX(O1199,P1199,Q1199,R1199))</x:f>
      </x:c>
      <x:c r="T1199" s="11" t="str">
        <x:f>IF(M1199="","",MIN(100,S1199*100*'Config_v6'!$B$44+MIN(100,L1199/'Config_v6'!$B$13*100)*'Config_v6'!$B$45+(100-'Motor_Meciuri'!BF91)*'Config_v6'!$B$46+'Motor_Meciuri'!BH91*100*'Config_v6'!$B$47))</x:f>
      </x:c>
      <x:c r="U1199" s="2" t="str">
        <x:f>IF(T1199="","",IF(T1199&lt;=20,1,IF(T1199&lt;=40,2,IF(T1199&lt;=60,3,IF(T1199&lt;=80,4,5)))))</x:f>
      </x:c>
      <x:c r="V1199" s="2" t="str">
        <x:f>IF(M1199="","",MAX(0,'Motor_Meciuri'!BF91-IF(W1199="OOS PENDING",'Config_v6'!$B$35,0)-IF(L1199&gt;'Config_v6'!$B$12,'Config_v6'!$B$37,IF(L1199&gt;'Config_v6'!$B$11,'Config_v6'!$B$36,0))))</x:f>
      </x:c>
      <x:c r="W1199" s="2" t="str">
        <x:f>IF(B1199="","",IF(I1199&lt;&gt;"READY","NOT RELEASED",IF(NOT(AND(J1199="PASS",'Calibrare_Linii'!U9="VALID")),"INVALID",IF(NOT(AND('Calibrare_Linii'!S9="VALIDATED",AND('Calibrare_Linii'!H9=C1199,ISNUMBER('Calibrare_Linii'!J9),'Calibrare_Linii'!J9&lt;='Input_Meci'!G91))),"OOS PENDING",IF(S1199&lt;='Calibrare_Linii'!E9,"PASS",IF(S1199&lt;='Calibrare_Linii'!F9,"PENALTY","WATCH"))))))</x:f>
      </x:c>
      <x:c r="X1199" s="2" t="str">
        <x:f>IF(M1199="","",IF(AND(AND(J1199="PASS",'Calibrare_Linii'!U9="VALID"),'Motor_Meciuri'!K91=12,'Motor_Meciuri'!L91=12,'Motor_Meciuri'!M91="NO",'Motor_Meciuri'!BL91='Motor_Meciuri'!C91,AB1199&gt;='Config_v6'!$B$50,AN1199&gt;='Config_v6'!$B$51,T1199&lt;='Config_v6'!$B$52,L1199&lt;='Config_v6'!$B$53,ISNUMBER('Calibrare_Linii'!E9),S1199&lt;='Calibrare_Linii'!E9,SUM(AK1199:AM1199)&gt;0),"CANDIDATE","NO"))</x:f>
      </x:c>
      <x:c r="Y1199" s="2" t="str">
        <x:f>IF(B1199="","",IF(I1199&lt;&gt;"READY","NOT RELEASED",IF(AND(X1199="CANDIDATE",V1199&gt;='Config_v6'!$B$51,W1199="PASS",'Calibrare_Linii'!T9="VALIDATED",AND('Calibrare_Linii'!H9=C1199,ISNUMBER('Calibrare_Linii'!J9),'Calibrare_Linii'!J9&lt;='Input_Meci'!G91)),"PASS",IF(X1199="CANDIDATE","OOS PENDING","FAIL"))))</x:f>
      </x:c>
      <x:c r="Z1199" s="2" t="str">
        <x:f>IF(B1199="","",IF(I1199&lt;&gt;"READY","",IF(OR(NOT(AND(J1199="PASS",'Calibrare_Linii'!U9="VALID")),L1199&gt;'Config_v6'!$B$13,W1199="WATCH"),5,IF(Y1199="PASS",1,MIN(5,MAX('Config_v6'!$B$42,U1199)+IF(W1199="PENALTY",1,0))))))</x:f>
      </x:c>
      <x:c r="AA1199" s="2" t="str">
        <x:f>IF(B1199="","",IF(I1199&lt;&gt;"READY","NOT RELEASED",IF(Z1199=5,"NO BET",IF(OR(AB1199&lt;'Config_v6'!$B$16,V1199&lt;'Config_v6'!$B$18),"WATCH",IF(Z1199=1,"DEFENSIV",IF(Z1199=2,"PRUDENT",IF(Z1199=3,"MODERAT","RIDICAT")))))))</x:f>
      </x:c>
      <x:c r="AB1199" s="10" t="str">
        <x:f>IF(N1199="","",MIN(N1199,1-S1199))</x:f>
      </x:c>
      <x:c r="AC1199" s="2" t="str">
        <x:f>IF(AD1199&lt;&gt;1,"",COUNTIFS($Z$1196:$Z$1209,"&lt;"&amp;Z1199,$AD$1196:$AD$1209,1)+COUNTIFS($Z$1196:$Z$1209,Z1199,$AB$1196:$AB$1209,"&gt;"&amp;AB1199,$AD$1196:$AD$1209,1)+COUNTIFS($Z$1196:$Z$1209,Z1199,$AB$1196:$AB$1209,AB1199,$V$1196:$V$1209,"&gt;"&amp;V1199,$AD$1196:$AD$1209,1)+COUNTIFS($Z$1196:Z1199,Z1199,$AB$1196:AB1199,AB1199,$V$1196:V1199,V1199,$AD$1196:AD1199,1))</x:f>
      </x:c>
      <x:c r="AD1199" s="2" t="n">
        <x:f>IF(OR(AA1199="DEFENSIV",AA1199="PRUDENT",AA1199="MODERAT",AA1199="RIDICAT"),1,0)</x:f>
        <x:v>0</x:v>
      </x:c>
      <x:c r="AE1199" s="2" t="str">
        <x:f>IF(AD1199&lt;&gt;1,"NO",IF(W1199="PASS","YES",IF(W1199="OOS PENDING","CONDITIONAL","NO")))</x:f>
        <x:v>NO</x:v>
      </x:c>
      <x:c r="AF1199" s="2" t="n">
        <x:f>IF(AND(AD1199=1,AC1199=1,E1199="LIVE"),1,0)</x:f>
        <x:v>0</x:v>
      </x:c>
      <x:c r="AG1199" s="2" t="str">
        <x:f>IF(AF1199&lt;&gt;1,"",'Dashboard'!P111)</x:f>
      </x:c>
      <x:c r="AH1199" s="2" t="str">
        <x:f>IF(B1199="","",IF(J1199&lt;&gt;"PASS",'Motor_Meciuri'!J91,IF('Calibrare_Linii'!U9&lt;&gt;"VALID","Parametri linie invalizi",IF(L1199&gt;'Config_v6'!$B$13,"Dispersie peste limita",IF(W1199="WATCH","Failure peste limita",IF(AB1199&lt;'Config_v6'!$B$16,"P finala sub prag",IF(V1199&lt;'Config_v6'!$B$18,"Confidence sub prag",IF(E1199="REPLAY","Exemplu retrospectiv; exclus din Top LIVE",IF(Y1199="PASS","DEFENSIV validat",IF(W1199="OOS PENDING","Eligibil; calibrare linie in monitorizare","Eligibil"))))))))))</x:f>
      </x:c>
      <x:c r="AI1199" s="2" t="str">
        <x:f>IF(B1199="","",'Calibrare_Linii'!V9)</x:f>
      </x:c>
      <x:c r="AJ1199" s="2" t="str">
        <x:f>IF(B1199="","",IF(AND('Calibrare_Linii'!T9="VALIDATED",AND('Calibrare_Linii'!H9=C1199,ISNUMBER('Calibrare_Linii'!J9),'Calibrare_Linii'!J9&lt;='Input_Meci'!G91)),"DEFENSIVE VALIDATED",IF(AND('Calibrare_Linii'!S9="VALIDATED",AND('Calibrare_Linii'!H9=C1199,ISNUMBER('Calibrare_Linii'!J9),'Calibrare_Linii'!J9&lt;='Input_Meci'!G91)),"TAIL VALIDATED","OOS PENDING")))</x:f>
      </x:c>
      <x:c r="AK1199" s="2" t="n">
        <x:f>IF(J1199&lt;&gt;"PASS",0,'Motor_Meciuri'!BR91)</x:f>
        <x:v>0</x:v>
      </x:c>
      <x:c r="AL1199" s="2" t="n">
        <x:f>IF(J1199&lt;&gt;"PASS",0,'Motor_Meciuri'!BS91)</x:f>
        <x:v>0</x:v>
      </x:c>
      <x:c r="AM1199" s="2" t="n">
        <x:f>IF(J1199&lt;&gt;"PASS",0,'Motor_Meciuri'!BT91)</x:f>
        <x:v>0</x:v>
      </x:c>
      <x:c r="AN1199" s="2" t="str">
        <x:f>IF(M1199="","",MAX(0,'Motor_Meciuri'!BF91-IF(L1199&gt;'Config_v6'!$B$12,'Config_v6'!$B$37,IF(L1199&gt;'Config_v6'!$B$11,'Config_v6'!$B$36,0))))</x:f>
      </x:c>
    </x:row>
    <x:row r="1200" ht="21" customHeight="1">
      <x:c r="A1200" s="2" t="n">
        <x:v>86</x:v>
      </x:c>
      <x:c r="B1200" s="2" t="str">
        <x:f>IF('Motor_Meciuri'!A91="","",'Motor_Meciuri'!A91)</x:f>
      </x:c>
      <x:c r="C1200" s="2" t="str">
        <x:f>IF(B1200="","",'Motor_Meciuri'!B91)</x:f>
      </x:c>
      <x:c r="D1200" s="2" t="str">
        <x:f>IF(B1200="","",'Motor_Meciuri'!D91)</x:f>
      </x:c>
      <x:c r="E1200" s="2" t="str">
        <x:f>IF(B1200="","",'Motor_Meciuri'!E91)</x:f>
      </x:c>
      <x:c r="F1200" s="2" t="str">
        <x:v>O7,5</x:v>
      </x:c>
      <x:c r="G1200" s="2" t="str">
        <x:v>OVER</x:v>
      </x:c>
      <x:c r="H1200" s="2" t="n">
        <x:v>7</x:v>
      </x:c>
      <x:c r="I1200" s="2" t="str">
        <x:f>IF(B1200="","",'Motor_Meciuri'!H91)</x:f>
      </x:c>
      <x:c r="J1200" s="2" t="str">
        <x:f>IF(B1200="","",'Motor_Meciuri'!I91)</x:f>
      </x:c>
      <x:c r="K1200" s="11" t="str">
        <x:f>IF(J1200&lt;&gt;"PASS","",'Motor_Meciuri'!BD91)</x:f>
      </x:c>
      <x:c r="L1200" s="11" t="str">
        <x:f>IF(J1200&lt;&gt;"PASS","",'Motor_Meciuri'!AU91)</x:f>
      </x:c>
      <x:c r="M1200" s="10" t="str">
        <x:f>IF(NOT(AND(J1200="PASS",'Calibrare_Linii'!U10="VALID")),"",1-'Distributie'!AE91)</x:f>
      </x:c>
      <x:c r="N1200" s="10" t="str">
        <x:f>IF(M1200="","",MAX(0.01,MIN(0.99,0.5+(M1200-0.5)*'Motor_Meciuri'!BG91*'Calibrare_Linii'!D10)))</x:f>
      </x:c>
      <x:c r="O1200" s="10" t="str">
        <x:f>IF(M1200="","",1-M1200)</x:f>
      </x:c>
      <x:c r="P1200" s="10" t="str">
        <x:f>IF(OR(NOT(AND(J1200="PASS",'Calibrare_Linii'!U10="VALID")),AK1200=0),""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*('Istoric_Nativ'!$Q$6:$Q$405&lt;=H1200))/AK1200)</x:f>
      </x:c>
      <x:c r="Q1200" s="10" t="str">
        <x:f>IF(OR(NOT(AND(J1200="PASS",'Calibrare_Linii'!U10="VALID")),AL1200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M91)+((('Istoric_Nativ'!$E$6:$E$405='Input_Meci'!E91)+('Istoric_Nativ'!$F$6:$F$405='Input_Meci'!E91))&gt;0)*('Istoric_Nativ'!$D$6:$D$405&gt;='Motor_Meciuri'!BN91))&gt;0)*('Istoric_Nativ'!$Q$6:$Q$405&lt;=H1200))/AL1200)</x:f>
      </x:c>
      <x:c r="R1200" s="10" t="str">
        <x:f>IF(OR(NOT(AND(J1200="PASS",'Calibrare_Linii'!U10="VALID")),AM1200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O91)+((('Istoric_Nativ'!$E$6:$E$405='Input_Meci'!E91)+('Istoric_Nativ'!$F$6:$F$405='Input_Meci'!E91))&gt;0)*('Istoric_Nativ'!$D$6:$D$405&gt;='Motor_Meciuri'!BP91))&gt;0)*('Istoric_Nativ'!$Q$6:$Q$405&lt;=H1200))/AM1200)</x:f>
      </x:c>
      <x:c r="S1200" s="10" t="str">
        <x:f>IF(M1200="","",MAX(O1200,P1200,Q1200,R1200))</x:f>
      </x:c>
      <x:c r="T1200" s="11" t="str">
        <x:f>IF(M1200="","",MIN(100,S1200*100*'Config_v6'!$B$44+MIN(100,L1200/'Config_v6'!$B$13*100)*'Config_v6'!$B$45+(100-'Motor_Meciuri'!BF91)*'Config_v6'!$B$46+'Motor_Meciuri'!BH91*100*'Config_v6'!$B$47))</x:f>
      </x:c>
      <x:c r="U1200" s="2" t="str">
        <x:f>IF(T1200="","",IF(T1200&lt;=20,1,IF(T1200&lt;=40,2,IF(T1200&lt;=60,3,IF(T1200&lt;=80,4,5)))))</x:f>
      </x:c>
      <x:c r="V1200" s="2" t="str">
        <x:f>IF(M1200="","",MAX(0,'Motor_Meciuri'!BF91-IF(W1200="OOS PENDING",'Config_v6'!$B$35,0)-IF(L1200&gt;'Config_v6'!$B$12,'Config_v6'!$B$37,IF(L1200&gt;'Config_v6'!$B$11,'Config_v6'!$B$36,0))))</x:f>
      </x:c>
      <x:c r="W1200" s="2" t="str">
        <x:f>IF(B1200="","",IF(I1200&lt;&gt;"READY","NOT RELEASED",IF(NOT(AND(J1200="PASS",'Calibrare_Linii'!U10="VALID")),"INVALID",IF(NOT(AND('Calibrare_Linii'!S10="VALIDATED",AND('Calibrare_Linii'!H10=C1200,ISNUMBER('Calibrare_Linii'!J10),'Calibrare_Linii'!J10&lt;='Input_Meci'!G91))),"OOS PENDING",IF(S1200&lt;='Calibrare_Linii'!E10,"PASS",IF(S1200&lt;='Calibrare_Linii'!F10,"PENALTY","WATCH"))))))</x:f>
      </x:c>
      <x:c r="X1200" s="2" t="str">
        <x:f>IF(M1200="","",IF(AND(AND(J1200="PASS",'Calibrare_Linii'!U10="VALID"),'Motor_Meciuri'!K91=12,'Motor_Meciuri'!L91=12,'Motor_Meciuri'!M91="NO",'Motor_Meciuri'!BL91='Motor_Meciuri'!C91,AB1200&gt;='Config_v6'!$B$50,AN1200&gt;='Config_v6'!$B$51,T1200&lt;='Config_v6'!$B$52,L1200&lt;='Config_v6'!$B$53,ISNUMBER('Calibrare_Linii'!E10),S1200&lt;='Calibrare_Linii'!E10,SUM(AK1200:AM1200)&gt;0),"CANDIDATE","NO"))</x:f>
      </x:c>
      <x:c r="Y1200" s="2" t="str">
        <x:f>IF(B1200="","",IF(I1200&lt;&gt;"READY","NOT RELEASED",IF(AND(X1200="CANDIDATE",V1200&gt;='Config_v6'!$B$51,W1200="PASS",'Calibrare_Linii'!T10="VALIDATED",AND('Calibrare_Linii'!H10=C1200,ISNUMBER('Calibrare_Linii'!J10),'Calibrare_Linii'!J10&lt;='Input_Meci'!G91)),"PASS",IF(X1200="CANDIDATE","OOS PENDING","FAIL"))))</x:f>
      </x:c>
      <x:c r="Z1200" s="2" t="str">
        <x:f>IF(B1200="","",IF(I1200&lt;&gt;"READY","",IF(OR(NOT(AND(J1200="PASS",'Calibrare_Linii'!U10="VALID")),L1200&gt;'Config_v6'!$B$13,W1200="WATCH"),5,IF(Y1200="PASS",1,MIN(5,MAX('Config_v6'!$B$42,U1200)+IF(W1200="PENALTY",1,0))))))</x:f>
      </x:c>
      <x:c r="AA1200" s="2" t="str">
        <x:f>IF(B1200="","",IF(I1200&lt;&gt;"READY","NOT RELEASED",IF(Z1200=5,"NO BET",IF(OR(AB1200&lt;'Config_v6'!$B$16,V1200&lt;'Config_v6'!$B$18),"WATCH",IF(Z1200=1,"DEFENSIV",IF(Z1200=2,"PRUDENT",IF(Z1200=3,"MODERAT","RIDICAT")))))))</x:f>
      </x:c>
      <x:c r="AB1200" s="10" t="str">
        <x:f>IF(N1200="","",MIN(N1200,1-S1200))</x:f>
      </x:c>
      <x:c r="AC1200" s="2" t="str">
        <x:f>IF(AD1200&lt;&gt;1,"",COUNTIFS($Z$1196:$Z$1209,"&lt;"&amp;Z1200,$AD$1196:$AD$1209,1)+COUNTIFS($Z$1196:$Z$1209,Z1200,$AB$1196:$AB$1209,"&gt;"&amp;AB1200,$AD$1196:$AD$1209,1)+COUNTIFS($Z$1196:$Z$1209,Z1200,$AB$1196:$AB$1209,AB1200,$V$1196:$V$1209,"&gt;"&amp;V1200,$AD$1196:$AD$1209,1)+COUNTIFS($Z$1196:Z1200,Z1200,$AB$1196:AB1200,AB1200,$V$1196:V1200,V1200,$AD$1196:AD1200,1))</x:f>
      </x:c>
      <x:c r="AD1200" s="2" t="n">
        <x:f>IF(OR(AA1200="DEFENSIV",AA1200="PRUDENT",AA1200="MODERAT",AA1200="RIDICAT"),1,0)</x:f>
        <x:v>0</x:v>
      </x:c>
      <x:c r="AE1200" s="2" t="str">
        <x:f>IF(AD1200&lt;&gt;1,"NO",IF(W1200="PASS","YES",IF(W1200="OOS PENDING","CONDITIONAL","NO")))</x:f>
        <x:v>NO</x:v>
      </x:c>
      <x:c r="AF1200" s="2" t="n">
        <x:f>IF(AND(AD1200=1,AC1200=1,E1200="LIVE"),1,0)</x:f>
        <x:v>0</x:v>
      </x:c>
      <x:c r="AG1200" s="2" t="str">
        <x:f>IF(AF1200&lt;&gt;1,"",'Dashboard'!P111)</x:f>
      </x:c>
      <x:c r="AH1200" s="2" t="str">
        <x:f>IF(B1200="","",IF(J1200&lt;&gt;"PASS",'Motor_Meciuri'!J91,IF('Calibrare_Linii'!U10&lt;&gt;"VALID","Parametri linie invalizi",IF(L1200&gt;'Config_v6'!$B$13,"Dispersie peste limita",IF(W1200="WATCH","Failure peste limita",IF(AB1200&lt;'Config_v6'!$B$16,"P finala sub prag",IF(V1200&lt;'Config_v6'!$B$18,"Confidence sub prag",IF(E1200="REPLAY","Exemplu retrospectiv; exclus din Top LIVE",IF(Y1200="PASS","DEFENSIV validat",IF(W1200="OOS PENDING","Eligibil; calibrare linie in monitorizare","Eligibil"))))))))))</x:f>
      </x:c>
      <x:c r="AI1200" s="2" t="str">
        <x:f>IF(B1200="","",'Calibrare_Linii'!V10)</x:f>
      </x:c>
      <x:c r="AJ1200" s="2" t="str">
        <x:f>IF(B1200="","",IF(AND('Calibrare_Linii'!T10="VALIDATED",AND('Calibrare_Linii'!H10=C1200,ISNUMBER('Calibrare_Linii'!J10),'Calibrare_Linii'!J10&lt;='Input_Meci'!G91)),"DEFENSIVE VALIDATED",IF(AND('Calibrare_Linii'!S10="VALIDATED",AND('Calibrare_Linii'!H10=C1200,ISNUMBER('Calibrare_Linii'!J10),'Calibrare_Linii'!J10&lt;='Input_Meci'!G91)),"TAIL VALIDATED","OOS PENDING")))</x:f>
      </x:c>
      <x:c r="AK1200" s="2" t="n">
        <x:f>IF(J1200&lt;&gt;"PASS",0,'Motor_Meciuri'!BR91)</x:f>
        <x:v>0</x:v>
      </x:c>
      <x:c r="AL1200" s="2" t="n">
        <x:f>IF(J1200&lt;&gt;"PASS",0,'Motor_Meciuri'!BS91)</x:f>
        <x:v>0</x:v>
      </x:c>
      <x:c r="AM1200" s="2" t="n">
        <x:f>IF(J1200&lt;&gt;"PASS",0,'Motor_Meciuri'!BT91)</x:f>
        <x:v>0</x:v>
      </x:c>
      <x:c r="AN1200" s="2" t="str">
        <x:f>IF(M1200="","",MAX(0,'Motor_Meciuri'!BF91-IF(L1200&gt;'Config_v6'!$B$12,'Config_v6'!$B$37,IF(L1200&gt;'Config_v6'!$B$11,'Config_v6'!$B$36,0))))</x:f>
      </x:c>
    </x:row>
    <x:row r="1201" ht="21" customHeight="1">
      <x:c r="A1201" s="2" t="n">
        <x:v>86</x:v>
      </x:c>
      <x:c r="B1201" s="2" t="str">
        <x:f>IF('Motor_Meciuri'!A91="","",'Motor_Meciuri'!A91)</x:f>
      </x:c>
      <x:c r="C1201" s="2" t="str">
        <x:f>IF(B1201="","",'Motor_Meciuri'!B91)</x:f>
      </x:c>
      <x:c r="D1201" s="2" t="str">
        <x:f>IF(B1201="","",'Motor_Meciuri'!D91)</x:f>
      </x:c>
      <x:c r="E1201" s="2" t="str">
        <x:f>IF(B1201="","",'Motor_Meciuri'!E91)</x:f>
      </x:c>
      <x:c r="F1201" s="2" t="str">
        <x:v>O8,5</x:v>
      </x:c>
      <x:c r="G1201" s="2" t="str">
        <x:v>OVER</x:v>
      </x:c>
      <x:c r="H1201" s="2" t="n">
        <x:v>8</x:v>
      </x:c>
      <x:c r="I1201" s="2" t="str">
        <x:f>IF(B1201="","",'Motor_Meciuri'!H91)</x:f>
      </x:c>
      <x:c r="J1201" s="2" t="str">
        <x:f>IF(B1201="","",'Motor_Meciuri'!I91)</x:f>
      </x:c>
      <x:c r="K1201" s="11" t="str">
        <x:f>IF(J1201&lt;&gt;"PASS","",'Motor_Meciuri'!BD91)</x:f>
      </x:c>
      <x:c r="L1201" s="11" t="str">
        <x:f>IF(J1201&lt;&gt;"PASS","",'Motor_Meciuri'!AU91)</x:f>
      </x:c>
      <x:c r="M1201" s="10" t="str">
        <x:f>IF(NOT(AND(J1201="PASS",'Calibrare_Linii'!U11="VALID")),"",1-'Distributie'!AF91)</x:f>
      </x:c>
      <x:c r="N1201" s="10" t="str">
        <x:f>IF(M1201="","",MAX(0.01,MIN(0.99,0.5+(M1201-0.5)*'Motor_Meciuri'!BG91*'Calibrare_Linii'!D11)))</x:f>
      </x:c>
      <x:c r="O1201" s="10" t="str">
        <x:f>IF(M1201="","",1-M1201)</x:f>
      </x:c>
      <x:c r="P1201" s="10" t="str">
        <x:f>IF(OR(NOT(AND(J1201="PASS",'Calibrare_Linii'!U11="VALID")),AK1201=0),""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*('Istoric_Nativ'!$Q$6:$Q$405&lt;=H1201))/AK1201)</x:f>
      </x:c>
      <x:c r="Q1201" s="10" t="str">
        <x:f>IF(OR(NOT(AND(J1201="PASS",'Calibrare_Linii'!U11="VALID")),AL1201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M91)+((('Istoric_Nativ'!$E$6:$E$405='Input_Meci'!E91)+('Istoric_Nativ'!$F$6:$F$405='Input_Meci'!E91))&gt;0)*('Istoric_Nativ'!$D$6:$D$405&gt;='Motor_Meciuri'!BN91))&gt;0)*('Istoric_Nativ'!$Q$6:$Q$405&lt;=H1201))/AL1201)</x:f>
      </x:c>
      <x:c r="R1201" s="10" t="str">
        <x:f>IF(OR(NOT(AND(J1201="PASS",'Calibrare_Linii'!U11="VALID")),AM1201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O91)+((('Istoric_Nativ'!$E$6:$E$405='Input_Meci'!E91)+('Istoric_Nativ'!$F$6:$F$405='Input_Meci'!E91))&gt;0)*('Istoric_Nativ'!$D$6:$D$405&gt;='Motor_Meciuri'!BP91))&gt;0)*('Istoric_Nativ'!$Q$6:$Q$405&lt;=H1201))/AM1201)</x:f>
      </x:c>
      <x:c r="S1201" s="10" t="str">
        <x:f>IF(M1201="","",MAX(O1201,P1201,Q1201,R1201))</x:f>
      </x:c>
      <x:c r="T1201" s="11" t="str">
        <x:f>IF(M1201="","",MIN(100,S1201*100*'Config_v6'!$B$44+MIN(100,L1201/'Config_v6'!$B$13*100)*'Config_v6'!$B$45+(100-'Motor_Meciuri'!BF91)*'Config_v6'!$B$46+'Motor_Meciuri'!BH91*100*'Config_v6'!$B$47))</x:f>
      </x:c>
      <x:c r="U1201" s="2" t="str">
        <x:f>IF(T1201="","",IF(T1201&lt;=20,1,IF(T1201&lt;=40,2,IF(T1201&lt;=60,3,IF(T1201&lt;=80,4,5)))))</x:f>
      </x:c>
      <x:c r="V1201" s="2" t="str">
        <x:f>IF(M1201="","",MAX(0,'Motor_Meciuri'!BF91-IF(W1201="OOS PENDING",'Config_v6'!$B$35,0)-IF(L1201&gt;'Config_v6'!$B$12,'Config_v6'!$B$37,IF(L1201&gt;'Config_v6'!$B$11,'Config_v6'!$B$36,0))))</x:f>
      </x:c>
      <x:c r="W1201" s="2" t="str">
        <x:f>IF(B1201="","",IF(I1201&lt;&gt;"READY","NOT RELEASED",IF(NOT(AND(J1201="PASS",'Calibrare_Linii'!U11="VALID")),"INVALID",IF(NOT(AND('Calibrare_Linii'!S11="VALIDATED",AND('Calibrare_Linii'!H11=C1201,ISNUMBER('Calibrare_Linii'!J11),'Calibrare_Linii'!J11&lt;='Input_Meci'!G91))),"OOS PENDING",IF(S1201&lt;='Calibrare_Linii'!E11,"PASS",IF(S1201&lt;='Calibrare_Linii'!F11,"PENALTY","WATCH"))))))</x:f>
      </x:c>
      <x:c r="X1201" s="2" t="str">
        <x:f>IF(M1201="","",IF(AND(AND(J1201="PASS",'Calibrare_Linii'!U11="VALID"),'Motor_Meciuri'!K91=12,'Motor_Meciuri'!L91=12,'Motor_Meciuri'!M91="NO",'Motor_Meciuri'!BL91='Motor_Meciuri'!C91,AB1201&gt;='Config_v6'!$B$50,AN1201&gt;='Config_v6'!$B$51,T1201&lt;='Config_v6'!$B$52,L1201&lt;='Config_v6'!$B$53,ISNUMBER('Calibrare_Linii'!E11),S1201&lt;='Calibrare_Linii'!E11,SUM(AK1201:AM1201)&gt;0),"CANDIDATE","NO"))</x:f>
      </x:c>
      <x:c r="Y1201" s="2" t="str">
        <x:f>IF(B1201="","",IF(I1201&lt;&gt;"READY","NOT RELEASED",IF(AND(X1201="CANDIDATE",V1201&gt;='Config_v6'!$B$51,W1201="PASS",'Calibrare_Linii'!T11="VALIDATED",AND('Calibrare_Linii'!H11=C1201,ISNUMBER('Calibrare_Linii'!J11),'Calibrare_Linii'!J11&lt;='Input_Meci'!G91)),"PASS",IF(X1201="CANDIDATE","OOS PENDING","FAIL"))))</x:f>
      </x:c>
      <x:c r="Z1201" s="2" t="str">
        <x:f>IF(B1201="","",IF(I1201&lt;&gt;"READY","",IF(OR(NOT(AND(J1201="PASS",'Calibrare_Linii'!U11="VALID")),L1201&gt;'Config_v6'!$B$13,W1201="WATCH"),5,IF(Y1201="PASS",1,MIN(5,MAX('Config_v6'!$B$42,U1201)+IF(W1201="PENALTY",1,0))))))</x:f>
      </x:c>
      <x:c r="AA1201" s="2" t="str">
        <x:f>IF(B1201="","",IF(I1201&lt;&gt;"READY","NOT RELEASED",IF(Z1201=5,"NO BET",IF(OR(AB1201&lt;'Config_v6'!$B$16,V1201&lt;'Config_v6'!$B$18),"WATCH",IF(Z1201=1,"DEFENSIV",IF(Z1201=2,"PRUDENT",IF(Z1201=3,"MODERAT","RIDICAT")))))))</x:f>
      </x:c>
      <x:c r="AB1201" s="10" t="str">
        <x:f>IF(N1201="","",MIN(N1201,1-S1201))</x:f>
      </x:c>
      <x:c r="AC1201" s="2" t="str">
        <x:f>IF(AD1201&lt;&gt;1,"",COUNTIFS($Z$1196:$Z$1209,"&lt;"&amp;Z1201,$AD$1196:$AD$1209,1)+COUNTIFS($Z$1196:$Z$1209,Z1201,$AB$1196:$AB$1209,"&gt;"&amp;AB1201,$AD$1196:$AD$1209,1)+COUNTIFS($Z$1196:$Z$1209,Z1201,$AB$1196:$AB$1209,AB1201,$V$1196:$V$1209,"&gt;"&amp;V1201,$AD$1196:$AD$1209,1)+COUNTIFS($Z$1196:Z1201,Z1201,$AB$1196:AB1201,AB1201,$V$1196:V1201,V1201,$AD$1196:AD1201,1))</x:f>
      </x:c>
      <x:c r="AD1201" s="2" t="n">
        <x:f>IF(OR(AA1201="DEFENSIV",AA1201="PRUDENT",AA1201="MODERAT",AA1201="RIDICAT"),1,0)</x:f>
        <x:v>0</x:v>
      </x:c>
      <x:c r="AE1201" s="2" t="str">
        <x:f>IF(AD1201&lt;&gt;1,"NO",IF(W1201="PASS","YES",IF(W1201="OOS PENDING","CONDITIONAL","NO")))</x:f>
        <x:v>NO</x:v>
      </x:c>
      <x:c r="AF1201" s="2" t="n">
        <x:f>IF(AND(AD1201=1,AC1201=1,E1201="LIVE"),1,0)</x:f>
        <x:v>0</x:v>
      </x:c>
      <x:c r="AG1201" s="2" t="str">
        <x:f>IF(AF1201&lt;&gt;1,"",'Dashboard'!P111)</x:f>
      </x:c>
      <x:c r="AH1201" s="2" t="str">
        <x:f>IF(B1201="","",IF(J1201&lt;&gt;"PASS",'Motor_Meciuri'!J91,IF('Calibrare_Linii'!U11&lt;&gt;"VALID","Parametri linie invalizi",IF(L1201&gt;'Config_v6'!$B$13,"Dispersie peste limita",IF(W1201="WATCH","Failure peste limita",IF(AB1201&lt;'Config_v6'!$B$16,"P finala sub prag",IF(V1201&lt;'Config_v6'!$B$18,"Confidence sub prag",IF(E1201="REPLAY","Exemplu retrospectiv; exclus din Top LIVE",IF(Y1201="PASS","DEFENSIV validat",IF(W1201="OOS PENDING","Eligibil; calibrare linie in monitorizare","Eligibil"))))))))))</x:f>
      </x:c>
      <x:c r="AI1201" s="2" t="str">
        <x:f>IF(B1201="","",'Calibrare_Linii'!V11)</x:f>
      </x:c>
      <x:c r="AJ1201" s="2" t="str">
        <x:f>IF(B1201="","",IF(AND('Calibrare_Linii'!T11="VALIDATED",AND('Calibrare_Linii'!H11=C1201,ISNUMBER('Calibrare_Linii'!J11),'Calibrare_Linii'!J11&lt;='Input_Meci'!G91)),"DEFENSIVE VALIDATED",IF(AND('Calibrare_Linii'!S11="VALIDATED",AND('Calibrare_Linii'!H11=C1201,ISNUMBER('Calibrare_Linii'!J11),'Calibrare_Linii'!J11&lt;='Input_Meci'!G91)),"TAIL VALIDATED","OOS PENDING")))</x:f>
      </x:c>
      <x:c r="AK1201" s="2" t="n">
        <x:f>IF(J1201&lt;&gt;"PASS",0,'Motor_Meciuri'!BR91)</x:f>
        <x:v>0</x:v>
      </x:c>
      <x:c r="AL1201" s="2" t="n">
        <x:f>IF(J1201&lt;&gt;"PASS",0,'Motor_Meciuri'!BS91)</x:f>
        <x:v>0</x:v>
      </x:c>
      <x:c r="AM1201" s="2" t="n">
        <x:f>IF(J1201&lt;&gt;"PASS",0,'Motor_Meciuri'!BT91)</x:f>
        <x:v>0</x:v>
      </x:c>
      <x:c r="AN1201" s="2" t="str">
        <x:f>IF(M1201="","",MAX(0,'Motor_Meciuri'!BF91-IF(L1201&gt;'Config_v6'!$B$12,'Config_v6'!$B$37,IF(L1201&gt;'Config_v6'!$B$11,'Config_v6'!$B$36,0))))</x:f>
      </x:c>
    </x:row>
    <x:row r="1202" ht="21" customHeight="1">
      <x:c r="A1202" s="2" t="n">
        <x:v>86</x:v>
      </x:c>
      <x:c r="B1202" s="2" t="str">
        <x:f>IF('Motor_Meciuri'!A91="","",'Motor_Meciuri'!A91)</x:f>
      </x:c>
      <x:c r="C1202" s="2" t="str">
        <x:f>IF(B1202="","",'Motor_Meciuri'!B91)</x:f>
      </x:c>
      <x:c r="D1202" s="2" t="str">
        <x:f>IF(B1202="","",'Motor_Meciuri'!D91)</x:f>
      </x:c>
      <x:c r="E1202" s="2" t="str">
        <x:f>IF(B1202="","",'Motor_Meciuri'!E91)</x:f>
      </x:c>
      <x:c r="F1202" s="2" t="str">
        <x:v>U10,5</x:v>
      </x:c>
      <x:c r="G1202" s="2" t="str">
        <x:v>UNDER</x:v>
      </x:c>
      <x:c r="H1202" s="2" t="n">
        <x:v>10</x:v>
      </x:c>
      <x:c r="I1202" s="2" t="str">
        <x:f>IF(B1202="","",'Motor_Meciuri'!H91)</x:f>
      </x:c>
      <x:c r="J1202" s="2" t="str">
        <x:f>IF(B1202="","",'Motor_Meciuri'!I91)</x:f>
      </x:c>
      <x:c r="K1202" s="11" t="str">
        <x:f>IF(J1202&lt;&gt;"PASS","",'Motor_Meciuri'!BD91)</x:f>
      </x:c>
      <x:c r="L1202" s="11" t="str">
        <x:f>IF(J1202&lt;&gt;"PASS","",'Motor_Meciuri'!AU91)</x:f>
      </x:c>
      <x:c r="M1202" s="10" t="str">
        <x:f>IF(NOT(AND(J1202="PASS",'Calibrare_Linii'!U12="VALID")),"",'Distributie'!AH91)</x:f>
      </x:c>
      <x:c r="N1202" s="10" t="str">
        <x:f>IF(M1202="","",MAX(0.01,MIN(0.99,0.5+(M1202-0.5)*'Motor_Meciuri'!BG91*'Calibrare_Linii'!D12)))</x:f>
      </x:c>
      <x:c r="O1202" s="10" t="str">
        <x:f>IF(M1202="","",1-M1202)</x:f>
      </x:c>
      <x:c r="P1202" s="10" t="str">
        <x:f>IF(OR(NOT(AND(J1202="PASS",'Calibrare_Linii'!U12="VALID")),AK1202=0),""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*('Istoric_Nativ'!$Q$6:$Q$405&gt;H1202))/AK1202)</x:f>
      </x:c>
      <x:c r="Q1202" s="10" t="str">
        <x:f>IF(OR(NOT(AND(J1202="PASS",'Calibrare_Linii'!U12="VALID")),AL1202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M91)+((('Istoric_Nativ'!$E$6:$E$405='Input_Meci'!E91)+('Istoric_Nativ'!$F$6:$F$405='Input_Meci'!E91))&gt;0)*('Istoric_Nativ'!$D$6:$D$405&gt;='Motor_Meciuri'!BN91))&gt;0)*('Istoric_Nativ'!$Q$6:$Q$405&gt;H1202))/AL1202)</x:f>
      </x:c>
      <x:c r="R1202" s="10" t="str">
        <x:f>IF(OR(NOT(AND(J1202="PASS",'Calibrare_Linii'!U12="VALID")),AM1202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O91)+((('Istoric_Nativ'!$E$6:$E$405='Input_Meci'!E91)+('Istoric_Nativ'!$F$6:$F$405='Input_Meci'!E91))&gt;0)*('Istoric_Nativ'!$D$6:$D$405&gt;='Motor_Meciuri'!BP91))&gt;0)*('Istoric_Nativ'!$Q$6:$Q$405&gt;H1202))/AM1202)</x:f>
      </x:c>
      <x:c r="S1202" s="10" t="str">
        <x:f>IF(M1202="","",MAX(O1202,P1202,Q1202,R1202))</x:f>
      </x:c>
      <x:c r="T1202" s="11" t="str">
        <x:f>IF(M1202="","",MIN(100,S1202*100*'Config_v6'!$B$44+MIN(100,L1202/'Config_v6'!$B$13*100)*'Config_v6'!$B$45+(100-'Motor_Meciuri'!BF91)*'Config_v6'!$B$46+'Motor_Meciuri'!BH91*100*'Config_v6'!$B$47))</x:f>
      </x:c>
      <x:c r="U1202" s="2" t="str">
        <x:f>IF(T1202="","",IF(T1202&lt;=20,1,IF(T1202&lt;=40,2,IF(T1202&lt;=60,3,IF(T1202&lt;=80,4,5)))))</x:f>
      </x:c>
      <x:c r="V1202" s="2" t="str">
        <x:f>IF(M1202="","",MAX(0,'Motor_Meciuri'!BF91-IF(W1202="OOS PENDING",'Config_v6'!$B$35,0)-IF(L1202&gt;'Config_v6'!$B$12,'Config_v6'!$B$37,IF(L1202&gt;'Config_v6'!$B$11,'Config_v6'!$B$36,0))))</x:f>
      </x:c>
      <x:c r="W1202" s="2" t="str">
        <x:f>IF(B1202="","",IF(I1202&lt;&gt;"READY","NOT RELEASED",IF(NOT(AND(J1202="PASS",'Calibrare_Linii'!U12="VALID")),"INVALID",IF(NOT(AND('Calibrare_Linii'!S12="VALIDATED",AND('Calibrare_Linii'!H12=C1202,ISNUMBER('Calibrare_Linii'!J12),'Calibrare_Linii'!J12&lt;='Input_Meci'!G91))),"OOS PENDING",IF(S1202&lt;='Calibrare_Linii'!E12,"PASS",IF(S1202&lt;='Calibrare_Linii'!F12,"PENALTY","WATCH"))))))</x:f>
      </x:c>
      <x:c r="X1202" s="2" t="str">
        <x:f>IF(M1202="","",IF(AND(AND(J1202="PASS",'Calibrare_Linii'!U12="VALID"),'Motor_Meciuri'!K91=12,'Motor_Meciuri'!L91=12,'Motor_Meciuri'!M91="NO",'Motor_Meciuri'!BL91='Motor_Meciuri'!C91,AB1202&gt;='Config_v6'!$B$50,AN1202&gt;='Config_v6'!$B$51,T1202&lt;='Config_v6'!$B$52,L1202&lt;='Config_v6'!$B$53,ISNUMBER('Calibrare_Linii'!E12),S1202&lt;='Calibrare_Linii'!E12,SUM(AK1202:AM1202)&gt;0),"CANDIDATE","NO"))</x:f>
      </x:c>
      <x:c r="Y1202" s="2" t="str">
        <x:f>IF(B1202="","",IF(I1202&lt;&gt;"READY","NOT RELEASED",IF(AND(X1202="CANDIDATE",V1202&gt;='Config_v6'!$B$51,W1202="PASS",'Calibrare_Linii'!T12="VALIDATED",AND('Calibrare_Linii'!H12=C1202,ISNUMBER('Calibrare_Linii'!J12),'Calibrare_Linii'!J12&lt;='Input_Meci'!G91)),"PASS",IF(X1202="CANDIDATE","OOS PENDING","FAIL"))))</x:f>
      </x:c>
      <x:c r="Z1202" s="2" t="str">
        <x:f>IF(B1202="","",IF(I1202&lt;&gt;"READY","",IF(OR(NOT(AND(J1202="PASS",'Calibrare_Linii'!U12="VALID")),L1202&gt;'Config_v6'!$B$13,W1202="WATCH"),5,IF(Y1202="PASS",1,MIN(5,MAX('Config_v6'!$B$42,U1202)+IF(W1202="PENALTY",1,0))))))</x:f>
      </x:c>
      <x:c r="AA1202" s="2" t="str">
        <x:f>IF(B1202="","",IF(I1202&lt;&gt;"READY","NOT RELEASED",IF(Z1202=5,"NO BET",IF(OR(AB1202&lt;'Config_v6'!$B$16,V1202&lt;'Config_v6'!$B$18),"WATCH",IF(Z1202=1,"DEFENSIV",IF(Z1202=2,"PRUDENT",IF(Z1202=3,"MODERAT","RIDICAT")))))))</x:f>
      </x:c>
      <x:c r="AB1202" s="10" t="str">
        <x:f>IF(N1202="","",MIN(N1202,1-S1202))</x:f>
      </x:c>
      <x:c r="AC1202" s="2" t="str">
        <x:f>IF(AD1202&lt;&gt;1,"",COUNTIFS($Z$1196:$Z$1209,"&lt;"&amp;Z1202,$AD$1196:$AD$1209,1)+COUNTIFS($Z$1196:$Z$1209,Z1202,$AB$1196:$AB$1209,"&gt;"&amp;AB1202,$AD$1196:$AD$1209,1)+COUNTIFS($Z$1196:$Z$1209,Z1202,$AB$1196:$AB$1209,AB1202,$V$1196:$V$1209,"&gt;"&amp;V1202,$AD$1196:$AD$1209,1)+COUNTIFS($Z$1196:Z1202,Z1202,$AB$1196:AB1202,AB1202,$V$1196:V1202,V1202,$AD$1196:AD1202,1))</x:f>
      </x:c>
      <x:c r="AD1202" s="2" t="n">
        <x:f>IF(OR(AA1202="DEFENSIV",AA1202="PRUDENT",AA1202="MODERAT",AA1202="RIDICAT"),1,0)</x:f>
        <x:v>0</x:v>
      </x:c>
      <x:c r="AE1202" s="2" t="str">
        <x:f>IF(AD1202&lt;&gt;1,"NO",IF(W1202="PASS","YES",IF(W1202="OOS PENDING","CONDITIONAL","NO")))</x:f>
        <x:v>NO</x:v>
      </x:c>
      <x:c r="AF1202" s="2" t="n">
        <x:f>IF(AND(AD1202=1,AC1202=1,E1202="LIVE"),1,0)</x:f>
        <x:v>0</x:v>
      </x:c>
      <x:c r="AG1202" s="2" t="str">
        <x:f>IF(AF1202&lt;&gt;1,"",'Dashboard'!P111)</x:f>
      </x:c>
      <x:c r="AH1202" s="2" t="str">
        <x:f>IF(B1202="","",IF(J1202&lt;&gt;"PASS",'Motor_Meciuri'!J91,IF('Calibrare_Linii'!U12&lt;&gt;"VALID","Parametri linie invalizi",IF(L1202&gt;'Config_v6'!$B$13,"Dispersie peste limita",IF(W1202="WATCH","Failure peste limita",IF(AB1202&lt;'Config_v6'!$B$16,"P finala sub prag",IF(V1202&lt;'Config_v6'!$B$18,"Confidence sub prag",IF(E1202="REPLAY","Exemplu retrospectiv; exclus din Top LIVE",IF(Y1202="PASS","DEFENSIV validat",IF(W1202="OOS PENDING","Eligibil; calibrare linie in monitorizare","Eligibil"))))))))))</x:f>
      </x:c>
      <x:c r="AI1202" s="2" t="str">
        <x:f>IF(B1202="","",'Calibrare_Linii'!V12)</x:f>
      </x:c>
      <x:c r="AJ1202" s="2" t="str">
        <x:f>IF(B1202="","",IF(AND('Calibrare_Linii'!T12="VALIDATED",AND('Calibrare_Linii'!H12=C1202,ISNUMBER('Calibrare_Linii'!J12),'Calibrare_Linii'!J12&lt;='Input_Meci'!G91)),"DEFENSIVE VALIDATED",IF(AND('Calibrare_Linii'!S12="VALIDATED",AND('Calibrare_Linii'!H12=C1202,ISNUMBER('Calibrare_Linii'!J12),'Calibrare_Linii'!J12&lt;='Input_Meci'!G91)),"TAIL VALIDATED","OOS PENDING")))</x:f>
      </x:c>
      <x:c r="AK1202" s="2" t="n">
        <x:f>IF(J1202&lt;&gt;"PASS",0,'Motor_Meciuri'!BR91)</x:f>
        <x:v>0</x:v>
      </x:c>
      <x:c r="AL1202" s="2" t="n">
        <x:f>IF(J1202&lt;&gt;"PASS",0,'Motor_Meciuri'!BS91)</x:f>
        <x:v>0</x:v>
      </x:c>
      <x:c r="AM1202" s="2" t="n">
        <x:f>IF(J1202&lt;&gt;"PASS",0,'Motor_Meciuri'!BT91)</x:f>
        <x:v>0</x:v>
      </x:c>
      <x:c r="AN1202" s="2" t="str">
        <x:f>IF(M1202="","",MAX(0,'Motor_Meciuri'!BF91-IF(L1202&gt;'Config_v6'!$B$12,'Config_v6'!$B$37,IF(L1202&gt;'Config_v6'!$B$11,'Config_v6'!$B$36,0))))</x:f>
      </x:c>
    </x:row>
    <x:row r="1203" ht="21" customHeight="1">
      <x:c r="A1203" s="2" t="n">
        <x:v>86</x:v>
      </x:c>
      <x:c r="B1203" s="2" t="str">
        <x:f>IF('Motor_Meciuri'!A91="","",'Motor_Meciuri'!A91)</x:f>
      </x:c>
      <x:c r="C1203" s="2" t="str">
        <x:f>IF(B1203="","",'Motor_Meciuri'!B91)</x:f>
      </x:c>
      <x:c r="D1203" s="2" t="str">
        <x:f>IF(B1203="","",'Motor_Meciuri'!D91)</x:f>
      </x:c>
      <x:c r="E1203" s="2" t="str">
        <x:f>IF(B1203="","",'Motor_Meciuri'!E91)</x:f>
      </x:c>
      <x:c r="F1203" s="2" t="str">
        <x:v>U11,5</x:v>
      </x:c>
      <x:c r="G1203" s="2" t="str">
        <x:v>UNDER</x:v>
      </x:c>
      <x:c r="H1203" s="2" t="n">
        <x:v>11</x:v>
      </x:c>
      <x:c r="I1203" s="2" t="str">
        <x:f>IF(B1203="","",'Motor_Meciuri'!H91)</x:f>
      </x:c>
      <x:c r="J1203" s="2" t="str">
        <x:f>IF(B1203="","",'Motor_Meciuri'!I91)</x:f>
      </x:c>
      <x:c r="K1203" s="11" t="str">
        <x:f>IF(J1203&lt;&gt;"PASS","",'Motor_Meciuri'!BD91)</x:f>
      </x:c>
      <x:c r="L1203" s="11" t="str">
        <x:f>IF(J1203&lt;&gt;"PASS","",'Motor_Meciuri'!AU91)</x:f>
      </x:c>
      <x:c r="M1203" s="10" t="str">
        <x:f>IF(NOT(AND(J1203="PASS",'Calibrare_Linii'!U13="VALID")),"",'Distributie'!AI91)</x:f>
      </x:c>
      <x:c r="N1203" s="10" t="str">
        <x:f>IF(M1203="","",MAX(0.01,MIN(0.99,0.5+(M1203-0.5)*'Motor_Meciuri'!BG91*'Calibrare_Linii'!D13)))</x:f>
      </x:c>
      <x:c r="O1203" s="10" t="str">
        <x:f>IF(M1203="","",1-M1203)</x:f>
      </x:c>
      <x:c r="P1203" s="10" t="str">
        <x:f>IF(OR(NOT(AND(J1203="PASS",'Calibrare_Linii'!U13="VALID")),AK1203=0),""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*('Istoric_Nativ'!$Q$6:$Q$405&gt;H1203))/AK1203)</x:f>
      </x:c>
      <x:c r="Q1203" s="10" t="str">
        <x:f>IF(OR(NOT(AND(J1203="PASS",'Calibrare_Linii'!U13="VALID")),AL1203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M91)+((('Istoric_Nativ'!$E$6:$E$405='Input_Meci'!E91)+('Istoric_Nativ'!$F$6:$F$405='Input_Meci'!E91))&gt;0)*('Istoric_Nativ'!$D$6:$D$405&gt;='Motor_Meciuri'!BN91))&gt;0)*('Istoric_Nativ'!$Q$6:$Q$405&gt;H1203))/AL1203)</x:f>
      </x:c>
      <x:c r="R1203" s="10" t="str">
        <x:f>IF(OR(NOT(AND(J1203="PASS",'Calibrare_Linii'!U13="VALID")),AM1203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O91)+((('Istoric_Nativ'!$E$6:$E$405='Input_Meci'!E91)+('Istoric_Nativ'!$F$6:$F$405='Input_Meci'!E91))&gt;0)*('Istoric_Nativ'!$D$6:$D$405&gt;='Motor_Meciuri'!BP91))&gt;0)*('Istoric_Nativ'!$Q$6:$Q$405&gt;H1203))/AM1203)</x:f>
      </x:c>
      <x:c r="S1203" s="10" t="str">
        <x:f>IF(M1203="","",MAX(O1203,P1203,Q1203,R1203))</x:f>
      </x:c>
      <x:c r="T1203" s="11" t="str">
        <x:f>IF(M1203="","",MIN(100,S1203*100*'Config_v6'!$B$44+MIN(100,L1203/'Config_v6'!$B$13*100)*'Config_v6'!$B$45+(100-'Motor_Meciuri'!BF91)*'Config_v6'!$B$46+'Motor_Meciuri'!BH91*100*'Config_v6'!$B$47))</x:f>
      </x:c>
      <x:c r="U1203" s="2" t="str">
        <x:f>IF(T1203="","",IF(T1203&lt;=20,1,IF(T1203&lt;=40,2,IF(T1203&lt;=60,3,IF(T1203&lt;=80,4,5)))))</x:f>
      </x:c>
      <x:c r="V1203" s="2" t="str">
        <x:f>IF(M1203="","",MAX(0,'Motor_Meciuri'!BF91-IF(W1203="OOS PENDING",'Config_v6'!$B$35,0)-IF(L1203&gt;'Config_v6'!$B$12,'Config_v6'!$B$37,IF(L1203&gt;'Config_v6'!$B$11,'Config_v6'!$B$36,0))))</x:f>
      </x:c>
      <x:c r="W1203" s="2" t="str">
        <x:f>IF(B1203="","",IF(I1203&lt;&gt;"READY","NOT RELEASED",IF(NOT(AND(J1203="PASS",'Calibrare_Linii'!U13="VALID")),"INVALID",IF(NOT(AND('Calibrare_Linii'!S13="VALIDATED",AND('Calibrare_Linii'!H13=C1203,ISNUMBER('Calibrare_Linii'!J13),'Calibrare_Linii'!J13&lt;='Input_Meci'!G91))),"OOS PENDING",IF(S1203&lt;='Calibrare_Linii'!E13,"PASS",IF(S1203&lt;='Calibrare_Linii'!F13,"PENALTY","WATCH"))))))</x:f>
      </x:c>
      <x:c r="X1203" s="2" t="str">
        <x:f>IF(M1203="","",IF(AND(AND(J1203="PASS",'Calibrare_Linii'!U13="VALID"),'Motor_Meciuri'!K91=12,'Motor_Meciuri'!L91=12,'Motor_Meciuri'!M91="NO",'Motor_Meciuri'!BL91='Motor_Meciuri'!C91,AB1203&gt;='Config_v6'!$B$50,AN1203&gt;='Config_v6'!$B$51,T1203&lt;='Config_v6'!$B$52,L1203&lt;='Config_v6'!$B$53,ISNUMBER('Calibrare_Linii'!E13),S1203&lt;='Calibrare_Linii'!E13,SUM(AK1203:AM1203)&gt;0),"CANDIDATE","NO"))</x:f>
      </x:c>
      <x:c r="Y1203" s="2" t="str">
        <x:f>IF(B1203="","",IF(I1203&lt;&gt;"READY","NOT RELEASED",IF(AND(X1203="CANDIDATE",V1203&gt;='Config_v6'!$B$51,W1203="PASS",'Calibrare_Linii'!T13="VALIDATED",AND('Calibrare_Linii'!H13=C1203,ISNUMBER('Calibrare_Linii'!J13),'Calibrare_Linii'!J13&lt;='Input_Meci'!G91)),"PASS",IF(X1203="CANDIDATE","OOS PENDING","FAIL"))))</x:f>
      </x:c>
      <x:c r="Z1203" s="2" t="str">
        <x:f>IF(B1203="","",IF(I1203&lt;&gt;"READY","",IF(OR(NOT(AND(J1203="PASS",'Calibrare_Linii'!U13="VALID")),L1203&gt;'Config_v6'!$B$13,W1203="WATCH"),5,IF(Y1203="PASS",1,MIN(5,MAX('Config_v6'!$B$42,U1203)+IF(W1203="PENALTY",1,0))))))</x:f>
      </x:c>
      <x:c r="AA1203" s="2" t="str">
        <x:f>IF(B1203="","",IF(I1203&lt;&gt;"READY","NOT RELEASED",IF(Z1203=5,"NO BET",IF(OR(AB1203&lt;'Config_v6'!$B$16,V1203&lt;'Config_v6'!$B$18),"WATCH",IF(Z1203=1,"DEFENSIV",IF(Z1203=2,"PRUDENT",IF(Z1203=3,"MODERAT","RIDICAT")))))))</x:f>
      </x:c>
      <x:c r="AB1203" s="10" t="str">
        <x:f>IF(N1203="","",MIN(N1203,1-S1203))</x:f>
      </x:c>
      <x:c r="AC1203" s="2" t="str">
        <x:f>IF(AD1203&lt;&gt;1,"",COUNTIFS($Z$1196:$Z$1209,"&lt;"&amp;Z1203,$AD$1196:$AD$1209,1)+COUNTIFS($Z$1196:$Z$1209,Z1203,$AB$1196:$AB$1209,"&gt;"&amp;AB1203,$AD$1196:$AD$1209,1)+COUNTIFS($Z$1196:$Z$1209,Z1203,$AB$1196:$AB$1209,AB1203,$V$1196:$V$1209,"&gt;"&amp;V1203,$AD$1196:$AD$1209,1)+COUNTIFS($Z$1196:Z1203,Z1203,$AB$1196:AB1203,AB1203,$V$1196:V1203,V1203,$AD$1196:AD1203,1))</x:f>
      </x:c>
      <x:c r="AD1203" s="2" t="n">
        <x:f>IF(OR(AA1203="DEFENSIV",AA1203="PRUDENT",AA1203="MODERAT",AA1203="RIDICAT"),1,0)</x:f>
        <x:v>0</x:v>
      </x:c>
      <x:c r="AE1203" s="2" t="str">
        <x:f>IF(AD1203&lt;&gt;1,"NO",IF(W1203="PASS","YES",IF(W1203="OOS PENDING","CONDITIONAL","NO")))</x:f>
        <x:v>NO</x:v>
      </x:c>
      <x:c r="AF1203" s="2" t="n">
        <x:f>IF(AND(AD1203=1,AC1203=1,E1203="LIVE"),1,0)</x:f>
        <x:v>0</x:v>
      </x:c>
      <x:c r="AG1203" s="2" t="str">
        <x:f>IF(AF1203&lt;&gt;1,"",'Dashboard'!P111)</x:f>
      </x:c>
      <x:c r="AH1203" s="2" t="str">
        <x:f>IF(B1203="","",IF(J1203&lt;&gt;"PASS",'Motor_Meciuri'!J91,IF('Calibrare_Linii'!U13&lt;&gt;"VALID","Parametri linie invalizi",IF(L1203&gt;'Config_v6'!$B$13,"Dispersie peste limita",IF(W1203="WATCH","Failure peste limita",IF(AB1203&lt;'Config_v6'!$B$16,"P finala sub prag",IF(V1203&lt;'Config_v6'!$B$18,"Confidence sub prag",IF(E1203="REPLAY","Exemplu retrospectiv; exclus din Top LIVE",IF(Y1203="PASS","DEFENSIV validat",IF(W1203="OOS PENDING","Eligibil; calibrare linie in monitorizare","Eligibil"))))))))))</x:f>
      </x:c>
      <x:c r="AI1203" s="2" t="str">
        <x:f>IF(B1203="","",'Calibrare_Linii'!V13)</x:f>
      </x:c>
      <x:c r="AJ1203" s="2" t="str">
        <x:f>IF(B1203="","",IF(AND('Calibrare_Linii'!T13="VALIDATED",AND('Calibrare_Linii'!H13=C1203,ISNUMBER('Calibrare_Linii'!J13),'Calibrare_Linii'!J13&lt;='Input_Meci'!G91)),"DEFENSIVE VALIDATED",IF(AND('Calibrare_Linii'!S13="VALIDATED",AND('Calibrare_Linii'!H13=C1203,ISNUMBER('Calibrare_Linii'!J13),'Calibrare_Linii'!J13&lt;='Input_Meci'!G91)),"TAIL VALIDATED","OOS PENDING")))</x:f>
      </x:c>
      <x:c r="AK1203" s="2" t="n">
        <x:f>IF(J1203&lt;&gt;"PASS",0,'Motor_Meciuri'!BR91)</x:f>
        <x:v>0</x:v>
      </x:c>
      <x:c r="AL1203" s="2" t="n">
        <x:f>IF(J1203&lt;&gt;"PASS",0,'Motor_Meciuri'!BS91)</x:f>
        <x:v>0</x:v>
      </x:c>
      <x:c r="AM1203" s="2" t="n">
        <x:f>IF(J1203&lt;&gt;"PASS",0,'Motor_Meciuri'!BT91)</x:f>
        <x:v>0</x:v>
      </x:c>
      <x:c r="AN1203" s="2" t="str">
        <x:f>IF(M1203="","",MAX(0,'Motor_Meciuri'!BF91-IF(L1203&gt;'Config_v6'!$B$12,'Config_v6'!$B$37,IF(L1203&gt;'Config_v6'!$B$11,'Config_v6'!$B$36,0))))</x:f>
      </x:c>
    </x:row>
    <x:row r="1204" ht="21" customHeight="1">
      <x:c r="A1204" s="2" t="n">
        <x:v>86</x:v>
      </x:c>
      <x:c r="B1204" s="2" t="str">
        <x:f>IF('Motor_Meciuri'!A91="","",'Motor_Meciuri'!A91)</x:f>
      </x:c>
      <x:c r="C1204" s="2" t="str">
        <x:f>IF(B1204="","",'Motor_Meciuri'!B91)</x:f>
      </x:c>
      <x:c r="D1204" s="2" t="str">
        <x:f>IF(B1204="","",'Motor_Meciuri'!D91)</x:f>
      </x:c>
      <x:c r="E1204" s="2" t="str">
        <x:f>IF(B1204="","",'Motor_Meciuri'!E91)</x:f>
      </x:c>
      <x:c r="F1204" s="2" t="str">
        <x:v>U12,5</x:v>
      </x:c>
      <x:c r="G1204" s="2" t="str">
        <x:v>UNDER</x:v>
      </x:c>
      <x:c r="H1204" s="2" t="n">
        <x:v>12</x:v>
      </x:c>
      <x:c r="I1204" s="2" t="str">
        <x:f>IF(B1204="","",'Motor_Meciuri'!H91)</x:f>
      </x:c>
      <x:c r="J1204" s="2" t="str">
        <x:f>IF(B1204="","",'Motor_Meciuri'!I91)</x:f>
      </x:c>
      <x:c r="K1204" s="11" t="str">
        <x:f>IF(J1204&lt;&gt;"PASS","",'Motor_Meciuri'!BD91)</x:f>
      </x:c>
      <x:c r="L1204" s="11" t="str">
        <x:f>IF(J1204&lt;&gt;"PASS","",'Motor_Meciuri'!AU91)</x:f>
      </x:c>
      <x:c r="M1204" s="10" t="str">
        <x:f>IF(NOT(AND(J1204="PASS",'Calibrare_Linii'!U14="VALID")),"",'Distributie'!AJ91)</x:f>
      </x:c>
      <x:c r="N1204" s="10" t="str">
        <x:f>IF(M1204="","",MAX(0.01,MIN(0.99,0.5+(M1204-0.5)*'Motor_Meciuri'!BG91*'Calibrare_Linii'!D14)))</x:f>
      </x:c>
      <x:c r="O1204" s="10" t="str">
        <x:f>IF(M1204="","",1-M1204)</x:f>
      </x:c>
      <x:c r="P1204" s="10" t="str">
        <x:f>IF(OR(NOT(AND(J1204="PASS",'Calibrare_Linii'!U14="VALID")),AK1204=0),""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*('Istoric_Nativ'!$Q$6:$Q$405&gt;H1204))/AK1204)</x:f>
      </x:c>
      <x:c r="Q1204" s="10" t="str">
        <x:f>IF(OR(NOT(AND(J1204="PASS",'Calibrare_Linii'!U14="VALID")),AL1204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M91)+((('Istoric_Nativ'!$E$6:$E$405='Input_Meci'!E91)+('Istoric_Nativ'!$F$6:$F$405='Input_Meci'!E91))&gt;0)*('Istoric_Nativ'!$D$6:$D$405&gt;='Motor_Meciuri'!BN91))&gt;0)*('Istoric_Nativ'!$Q$6:$Q$405&gt;H1204))/AL1204)</x:f>
      </x:c>
      <x:c r="R1204" s="10" t="str">
        <x:f>IF(OR(NOT(AND(J1204="PASS",'Calibrare_Linii'!U14="VALID")),AM1204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O91)+((('Istoric_Nativ'!$E$6:$E$405='Input_Meci'!E91)+('Istoric_Nativ'!$F$6:$F$405='Input_Meci'!E91))&gt;0)*('Istoric_Nativ'!$D$6:$D$405&gt;='Motor_Meciuri'!BP91))&gt;0)*('Istoric_Nativ'!$Q$6:$Q$405&gt;H1204))/AM1204)</x:f>
      </x:c>
      <x:c r="S1204" s="10" t="str">
        <x:f>IF(M1204="","",MAX(O1204,P1204,Q1204,R1204))</x:f>
      </x:c>
      <x:c r="T1204" s="11" t="str">
        <x:f>IF(M1204="","",MIN(100,S1204*100*'Config_v6'!$B$44+MIN(100,L1204/'Config_v6'!$B$13*100)*'Config_v6'!$B$45+(100-'Motor_Meciuri'!BF91)*'Config_v6'!$B$46+'Motor_Meciuri'!BH91*100*'Config_v6'!$B$47))</x:f>
      </x:c>
      <x:c r="U1204" s="2" t="str">
        <x:f>IF(T1204="","",IF(T1204&lt;=20,1,IF(T1204&lt;=40,2,IF(T1204&lt;=60,3,IF(T1204&lt;=80,4,5)))))</x:f>
      </x:c>
      <x:c r="V1204" s="2" t="str">
        <x:f>IF(M1204="","",MAX(0,'Motor_Meciuri'!BF91-IF(W1204="OOS PENDING",'Config_v6'!$B$35,0)-IF(L1204&gt;'Config_v6'!$B$12,'Config_v6'!$B$37,IF(L1204&gt;'Config_v6'!$B$11,'Config_v6'!$B$36,0))))</x:f>
      </x:c>
      <x:c r="W1204" s="2" t="str">
        <x:f>IF(B1204="","",IF(I1204&lt;&gt;"READY","NOT RELEASED",IF(NOT(AND(J1204="PASS",'Calibrare_Linii'!U14="VALID")),"INVALID",IF(NOT(AND('Calibrare_Linii'!S14="VALIDATED",AND('Calibrare_Linii'!H14=C1204,ISNUMBER('Calibrare_Linii'!J14),'Calibrare_Linii'!J14&lt;='Input_Meci'!G91))),"OOS PENDING",IF(S1204&lt;='Calibrare_Linii'!E14,"PASS",IF(S1204&lt;='Calibrare_Linii'!F14,"PENALTY","WATCH"))))))</x:f>
      </x:c>
      <x:c r="X1204" s="2" t="str">
        <x:f>IF(M1204="","",IF(AND(AND(J1204="PASS",'Calibrare_Linii'!U14="VALID"),'Motor_Meciuri'!K91=12,'Motor_Meciuri'!L91=12,'Motor_Meciuri'!M91="NO",'Motor_Meciuri'!BL91='Motor_Meciuri'!C91,AB1204&gt;='Config_v6'!$B$50,AN1204&gt;='Config_v6'!$B$51,T1204&lt;='Config_v6'!$B$52,L1204&lt;='Config_v6'!$B$53,ISNUMBER('Calibrare_Linii'!E14),S1204&lt;='Calibrare_Linii'!E14,SUM(AK1204:AM1204)&gt;0),"CANDIDATE","NO"))</x:f>
      </x:c>
      <x:c r="Y1204" s="2" t="str">
        <x:f>IF(B1204="","",IF(I1204&lt;&gt;"READY","NOT RELEASED",IF(AND(X1204="CANDIDATE",V1204&gt;='Config_v6'!$B$51,W1204="PASS",'Calibrare_Linii'!T14="VALIDATED",AND('Calibrare_Linii'!H14=C1204,ISNUMBER('Calibrare_Linii'!J14),'Calibrare_Linii'!J14&lt;='Input_Meci'!G91)),"PASS",IF(X1204="CANDIDATE","OOS PENDING","FAIL"))))</x:f>
      </x:c>
      <x:c r="Z1204" s="2" t="str">
        <x:f>IF(B1204="","",IF(I1204&lt;&gt;"READY","",IF(OR(NOT(AND(J1204="PASS",'Calibrare_Linii'!U14="VALID")),L1204&gt;'Config_v6'!$B$13,W1204="WATCH"),5,IF(Y1204="PASS",1,MIN(5,MAX('Config_v6'!$B$42,U1204)+IF(W1204="PENALTY",1,0))))))</x:f>
      </x:c>
      <x:c r="AA1204" s="2" t="str">
        <x:f>IF(B1204="","",IF(I1204&lt;&gt;"READY","NOT RELEASED",IF(Z1204=5,"NO BET",IF(OR(AB1204&lt;'Config_v6'!$B$16,V1204&lt;'Config_v6'!$B$18),"WATCH",IF(Z1204=1,"DEFENSIV",IF(Z1204=2,"PRUDENT",IF(Z1204=3,"MODERAT","RIDICAT")))))))</x:f>
      </x:c>
      <x:c r="AB1204" s="10" t="str">
        <x:f>IF(N1204="","",MIN(N1204,1-S1204))</x:f>
      </x:c>
      <x:c r="AC1204" s="2" t="str">
        <x:f>IF(AD1204&lt;&gt;1,"",COUNTIFS($Z$1196:$Z$1209,"&lt;"&amp;Z1204,$AD$1196:$AD$1209,1)+COUNTIFS($Z$1196:$Z$1209,Z1204,$AB$1196:$AB$1209,"&gt;"&amp;AB1204,$AD$1196:$AD$1209,1)+COUNTIFS($Z$1196:$Z$1209,Z1204,$AB$1196:$AB$1209,AB1204,$V$1196:$V$1209,"&gt;"&amp;V1204,$AD$1196:$AD$1209,1)+COUNTIFS($Z$1196:Z1204,Z1204,$AB$1196:AB1204,AB1204,$V$1196:V1204,V1204,$AD$1196:AD1204,1))</x:f>
      </x:c>
      <x:c r="AD1204" s="2" t="n">
        <x:f>IF(OR(AA1204="DEFENSIV",AA1204="PRUDENT",AA1204="MODERAT",AA1204="RIDICAT"),1,0)</x:f>
        <x:v>0</x:v>
      </x:c>
      <x:c r="AE1204" s="2" t="str">
        <x:f>IF(AD1204&lt;&gt;1,"NO",IF(W1204="PASS","YES",IF(W1204="OOS PENDING","CONDITIONAL","NO")))</x:f>
        <x:v>NO</x:v>
      </x:c>
      <x:c r="AF1204" s="2" t="n">
        <x:f>IF(AND(AD1204=1,AC1204=1,E1204="LIVE"),1,0)</x:f>
        <x:v>0</x:v>
      </x:c>
      <x:c r="AG1204" s="2" t="str">
        <x:f>IF(AF1204&lt;&gt;1,"",'Dashboard'!P111)</x:f>
      </x:c>
      <x:c r="AH1204" s="2" t="str">
        <x:f>IF(B1204="","",IF(J1204&lt;&gt;"PASS",'Motor_Meciuri'!J91,IF('Calibrare_Linii'!U14&lt;&gt;"VALID","Parametri linie invalizi",IF(L1204&gt;'Config_v6'!$B$13,"Dispersie peste limita",IF(W1204="WATCH","Failure peste limita",IF(AB1204&lt;'Config_v6'!$B$16,"P finala sub prag",IF(V1204&lt;'Config_v6'!$B$18,"Confidence sub prag",IF(E1204="REPLAY","Exemplu retrospectiv; exclus din Top LIVE",IF(Y1204="PASS","DEFENSIV validat",IF(W1204="OOS PENDING","Eligibil; calibrare linie in monitorizare","Eligibil"))))))))))</x:f>
      </x:c>
      <x:c r="AI1204" s="2" t="str">
        <x:f>IF(B1204="","",'Calibrare_Linii'!V14)</x:f>
      </x:c>
      <x:c r="AJ1204" s="2" t="str">
        <x:f>IF(B1204="","",IF(AND('Calibrare_Linii'!T14="VALIDATED",AND('Calibrare_Linii'!H14=C1204,ISNUMBER('Calibrare_Linii'!J14),'Calibrare_Linii'!J14&lt;='Input_Meci'!G91)),"DEFENSIVE VALIDATED",IF(AND('Calibrare_Linii'!S14="VALIDATED",AND('Calibrare_Linii'!H14=C1204,ISNUMBER('Calibrare_Linii'!J14),'Calibrare_Linii'!J14&lt;='Input_Meci'!G91)),"TAIL VALIDATED","OOS PENDING")))</x:f>
      </x:c>
      <x:c r="AK1204" s="2" t="n">
        <x:f>IF(J1204&lt;&gt;"PASS",0,'Motor_Meciuri'!BR91)</x:f>
        <x:v>0</x:v>
      </x:c>
      <x:c r="AL1204" s="2" t="n">
        <x:f>IF(J1204&lt;&gt;"PASS",0,'Motor_Meciuri'!BS91)</x:f>
        <x:v>0</x:v>
      </x:c>
      <x:c r="AM1204" s="2" t="n">
        <x:f>IF(J1204&lt;&gt;"PASS",0,'Motor_Meciuri'!BT91)</x:f>
        <x:v>0</x:v>
      </x:c>
      <x:c r="AN1204" s="2" t="str">
        <x:f>IF(M1204="","",MAX(0,'Motor_Meciuri'!BF91-IF(L1204&gt;'Config_v6'!$B$12,'Config_v6'!$B$37,IF(L1204&gt;'Config_v6'!$B$11,'Config_v6'!$B$36,0))))</x:f>
      </x:c>
    </x:row>
    <x:row r="1205" ht="21" customHeight="1">
      <x:c r="A1205" s="2" t="n">
        <x:v>86</x:v>
      </x:c>
      <x:c r="B1205" s="2" t="str">
        <x:f>IF('Motor_Meciuri'!A91="","",'Motor_Meciuri'!A91)</x:f>
      </x:c>
      <x:c r="C1205" s="2" t="str">
        <x:f>IF(B1205="","",'Motor_Meciuri'!B91)</x:f>
      </x:c>
      <x:c r="D1205" s="2" t="str">
        <x:f>IF(B1205="","",'Motor_Meciuri'!D91)</x:f>
      </x:c>
      <x:c r="E1205" s="2" t="str">
        <x:f>IF(B1205="","",'Motor_Meciuri'!E91)</x:f>
      </x:c>
      <x:c r="F1205" s="2" t="str">
        <x:v>U13,5</x:v>
      </x:c>
      <x:c r="G1205" s="2" t="str">
        <x:v>UNDER</x:v>
      </x:c>
      <x:c r="H1205" s="2" t="n">
        <x:v>13</x:v>
      </x:c>
      <x:c r="I1205" s="2" t="str">
        <x:f>IF(B1205="","",'Motor_Meciuri'!H91)</x:f>
      </x:c>
      <x:c r="J1205" s="2" t="str">
        <x:f>IF(B1205="","",'Motor_Meciuri'!I91)</x:f>
      </x:c>
      <x:c r="K1205" s="11" t="str">
        <x:f>IF(J1205&lt;&gt;"PASS","",'Motor_Meciuri'!BD91)</x:f>
      </x:c>
      <x:c r="L1205" s="11" t="str">
        <x:f>IF(J1205&lt;&gt;"PASS","",'Motor_Meciuri'!AU91)</x:f>
      </x:c>
      <x:c r="M1205" s="10" t="str">
        <x:f>IF(NOT(AND(J1205="PASS",'Calibrare_Linii'!U15="VALID")),"",'Distributie'!AK91)</x:f>
      </x:c>
      <x:c r="N1205" s="10" t="str">
        <x:f>IF(M1205="","",MAX(0.01,MIN(0.99,0.5+(M1205-0.5)*'Motor_Meciuri'!BG91*'Calibrare_Linii'!D15)))</x:f>
      </x:c>
      <x:c r="O1205" s="10" t="str">
        <x:f>IF(M1205="","",1-M1205)</x:f>
      </x:c>
      <x:c r="P1205" s="10" t="str">
        <x:f>IF(OR(NOT(AND(J1205="PASS",'Calibrare_Linii'!U15="VALID")),AK1205=0),""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*('Istoric_Nativ'!$Q$6:$Q$405&gt;H1205))/AK1205)</x:f>
      </x:c>
      <x:c r="Q1205" s="10" t="str">
        <x:f>IF(OR(NOT(AND(J1205="PASS",'Calibrare_Linii'!U15="VALID")),AL1205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M91)+((('Istoric_Nativ'!$E$6:$E$405='Input_Meci'!E91)+('Istoric_Nativ'!$F$6:$F$405='Input_Meci'!E91))&gt;0)*('Istoric_Nativ'!$D$6:$D$405&gt;='Motor_Meciuri'!BN91))&gt;0)*('Istoric_Nativ'!$Q$6:$Q$405&gt;H1205))/AL1205)</x:f>
      </x:c>
      <x:c r="R1205" s="10" t="str">
        <x:f>IF(OR(NOT(AND(J1205="PASS",'Calibrare_Linii'!U15="VALID")),AM1205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O91)+((('Istoric_Nativ'!$E$6:$E$405='Input_Meci'!E91)+('Istoric_Nativ'!$F$6:$F$405='Input_Meci'!E91))&gt;0)*('Istoric_Nativ'!$D$6:$D$405&gt;='Motor_Meciuri'!BP91))&gt;0)*('Istoric_Nativ'!$Q$6:$Q$405&gt;H1205))/AM1205)</x:f>
      </x:c>
      <x:c r="S1205" s="10" t="str">
        <x:f>IF(M1205="","",MAX(O1205,P1205,Q1205,R1205))</x:f>
      </x:c>
      <x:c r="T1205" s="11" t="str">
        <x:f>IF(M1205="","",MIN(100,S1205*100*'Config_v6'!$B$44+MIN(100,L1205/'Config_v6'!$B$13*100)*'Config_v6'!$B$45+(100-'Motor_Meciuri'!BF91)*'Config_v6'!$B$46+'Motor_Meciuri'!BH91*100*'Config_v6'!$B$47))</x:f>
      </x:c>
      <x:c r="U1205" s="2" t="str">
        <x:f>IF(T1205="","",IF(T1205&lt;=20,1,IF(T1205&lt;=40,2,IF(T1205&lt;=60,3,IF(T1205&lt;=80,4,5)))))</x:f>
      </x:c>
      <x:c r="V1205" s="2" t="str">
        <x:f>IF(M1205="","",MAX(0,'Motor_Meciuri'!BF91-IF(W1205="OOS PENDING",'Config_v6'!$B$35,0)-IF(L1205&gt;'Config_v6'!$B$12,'Config_v6'!$B$37,IF(L1205&gt;'Config_v6'!$B$11,'Config_v6'!$B$36,0))))</x:f>
      </x:c>
      <x:c r="W1205" s="2" t="str">
        <x:f>IF(B1205="","",IF(I1205&lt;&gt;"READY","NOT RELEASED",IF(NOT(AND(J1205="PASS",'Calibrare_Linii'!U15="VALID")),"INVALID",IF(NOT(AND('Calibrare_Linii'!S15="VALIDATED",AND('Calibrare_Linii'!H15=C1205,ISNUMBER('Calibrare_Linii'!J15),'Calibrare_Linii'!J15&lt;='Input_Meci'!G91))),"OOS PENDING",IF(S1205&lt;='Calibrare_Linii'!E15,"PASS",IF(S1205&lt;='Calibrare_Linii'!F15,"PENALTY","WATCH"))))))</x:f>
      </x:c>
      <x:c r="X1205" s="2" t="str">
        <x:f>IF(M1205="","",IF(AND(AND(J1205="PASS",'Calibrare_Linii'!U15="VALID"),'Motor_Meciuri'!K91=12,'Motor_Meciuri'!L91=12,'Motor_Meciuri'!M91="NO",'Motor_Meciuri'!BL91='Motor_Meciuri'!C91,AB1205&gt;='Config_v6'!$B$50,AN1205&gt;='Config_v6'!$B$51,T1205&lt;='Config_v6'!$B$52,L1205&lt;='Config_v6'!$B$53,ISNUMBER('Calibrare_Linii'!E15),S1205&lt;='Calibrare_Linii'!E15,SUM(AK1205:AM1205)&gt;0),"CANDIDATE","NO"))</x:f>
      </x:c>
      <x:c r="Y1205" s="2" t="str">
        <x:f>IF(B1205="","",IF(I1205&lt;&gt;"READY","NOT RELEASED",IF(AND(X1205="CANDIDATE",V1205&gt;='Config_v6'!$B$51,W1205="PASS",'Calibrare_Linii'!T15="VALIDATED",AND('Calibrare_Linii'!H15=C1205,ISNUMBER('Calibrare_Linii'!J15),'Calibrare_Linii'!J15&lt;='Input_Meci'!G91)),"PASS",IF(X1205="CANDIDATE","OOS PENDING","FAIL"))))</x:f>
      </x:c>
      <x:c r="Z1205" s="2" t="str">
        <x:f>IF(B1205="","",IF(I1205&lt;&gt;"READY","",IF(OR(NOT(AND(J1205="PASS",'Calibrare_Linii'!U15="VALID")),L1205&gt;'Config_v6'!$B$13,W1205="WATCH"),5,IF(Y1205="PASS",1,MIN(5,MAX('Config_v6'!$B$42,U1205)+IF(W1205="PENALTY",1,0))))))</x:f>
      </x:c>
      <x:c r="AA1205" s="2" t="str">
        <x:f>IF(B1205="","",IF(I1205&lt;&gt;"READY","NOT RELEASED",IF(Z1205=5,"NO BET",IF(OR(AB1205&lt;'Config_v6'!$B$16,V1205&lt;'Config_v6'!$B$18),"WATCH",IF(Z1205=1,"DEFENSIV",IF(Z1205=2,"PRUDENT",IF(Z1205=3,"MODERAT","RIDICAT")))))))</x:f>
      </x:c>
      <x:c r="AB1205" s="10" t="str">
        <x:f>IF(N1205="","",MIN(N1205,1-S1205))</x:f>
      </x:c>
      <x:c r="AC1205" s="2" t="str">
        <x:f>IF(AD1205&lt;&gt;1,"",COUNTIFS($Z$1196:$Z$1209,"&lt;"&amp;Z1205,$AD$1196:$AD$1209,1)+COUNTIFS($Z$1196:$Z$1209,Z1205,$AB$1196:$AB$1209,"&gt;"&amp;AB1205,$AD$1196:$AD$1209,1)+COUNTIFS($Z$1196:$Z$1209,Z1205,$AB$1196:$AB$1209,AB1205,$V$1196:$V$1209,"&gt;"&amp;V1205,$AD$1196:$AD$1209,1)+COUNTIFS($Z$1196:Z1205,Z1205,$AB$1196:AB1205,AB1205,$V$1196:V1205,V1205,$AD$1196:AD1205,1))</x:f>
      </x:c>
      <x:c r="AD1205" s="2" t="n">
        <x:f>IF(OR(AA1205="DEFENSIV",AA1205="PRUDENT",AA1205="MODERAT",AA1205="RIDICAT"),1,0)</x:f>
        <x:v>0</x:v>
      </x:c>
      <x:c r="AE1205" s="2" t="str">
        <x:f>IF(AD1205&lt;&gt;1,"NO",IF(W1205="PASS","YES",IF(W1205="OOS PENDING","CONDITIONAL","NO")))</x:f>
        <x:v>NO</x:v>
      </x:c>
      <x:c r="AF1205" s="2" t="n">
        <x:f>IF(AND(AD1205=1,AC1205=1,E1205="LIVE"),1,0)</x:f>
        <x:v>0</x:v>
      </x:c>
      <x:c r="AG1205" s="2" t="str">
        <x:f>IF(AF1205&lt;&gt;1,"",'Dashboard'!P111)</x:f>
      </x:c>
      <x:c r="AH1205" s="2" t="str">
        <x:f>IF(B1205="","",IF(J1205&lt;&gt;"PASS",'Motor_Meciuri'!J91,IF('Calibrare_Linii'!U15&lt;&gt;"VALID","Parametri linie invalizi",IF(L1205&gt;'Config_v6'!$B$13,"Dispersie peste limita",IF(W1205="WATCH","Failure peste limita",IF(AB1205&lt;'Config_v6'!$B$16,"P finala sub prag",IF(V1205&lt;'Config_v6'!$B$18,"Confidence sub prag",IF(E1205="REPLAY","Exemplu retrospectiv; exclus din Top LIVE",IF(Y1205="PASS","DEFENSIV validat",IF(W1205="OOS PENDING","Eligibil; calibrare linie in monitorizare","Eligibil"))))))))))</x:f>
      </x:c>
      <x:c r="AI1205" s="2" t="str">
        <x:f>IF(B1205="","",'Calibrare_Linii'!V15)</x:f>
      </x:c>
      <x:c r="AJ1205" s="2" t="str">
        <x:f>IF(B1205="","",IF(AND('Calibrare_Linii'!T15="VALIDATED",AND('Calibrare_Linii'!H15=C1205,ISNUMBER('Calibrare_Linii'!J15),'Calibrare_Linii'!J15&lt;='Input_Meci'!G91)),"DEFENSIVE VALIDATED",IF(AND('Calibrare_Linii'!S15="VALIDATED",AND('Calibrare_Linii'!H15=C1205,ISNUMBER('Calibrare_Linii'!J15),'Calibrare_Linii'!J15&lt;='Input_Meci'!G91)),"TAIL VALIDATED","OOS PENDING")))</x:f>
      </x:c>
      <x:c r="AK1205" s="2" t="n">
        <x:f>IF(J1205&lt;&gt;"PASS",0,'Motor_Meciuri'!BR91)</x:f>
        <x:v>0</x:v>
      </x:c>
      <x:c r="AL1205" s="2" t="n">
        <x:f>IF(J1205&lt;&gt;"PASS",0,'Motor_Meciuri'!BS91)</x:f>
        <x:v>0</x:v>
      </x:c>
      <x:c r="AM1205" s="2" t="n">
        <x:f>IF(J1205&lt;&gt;"PASS",0,'Motor_Meciuri'!BT91)</x:f>
        <x:v>0</x:v>
      </x:c>
      <x:c r="AN1205" s="2" t="str">
        <x:f>IF(M1205="","",MAX(0,'Motor_Meciuri'!BF91-IF(L1205&gt;'Config_v6'!$B$12,'Config_v6'!$B$37,IF(L1205&gt;'Config_v6'!$B$11,'Config_v6'!$B$36,0))))</x:f>
      </x:c>
    </x:row>
    <x:row r="1206" ht="21" customHeight="1">
      <x:c r="A1206" s="2" t="n">
        <x:v>86</x:v>
      </x:c>
      <x:c r="B1206" s="2" t="str">
        <x:f>IF('Motor_Meciuri'!A91="","",'Motor_Meciuri'!A91)</x:f>
      </x:c>
      <x:c r="C1206" s="2" t="str">
        <x:f>IF(B1206="","",'Motor_Meciuri'!B91)</x:f>
      </x:c>
      <x:c r="D1206" s="2" t="str">
        <x:f>IF(B1206="","",'Motor_Meciuri'!D91)</x:f>
      </x:c>
      <x:c r="E1206" s="2" t="str">
        <x:f>IF(B1206="","",'Motor_Meciuri'!E91)</x:f>
      </x:c>
      <x:c r="F1206" s="2" t="str">
        <x:v>U14,5</x:v>
      </x:c>
      <x:c r="G1206" s="2" t="str">
        <x:v>UNDER</x:v>
      </x:c>
      <x:c r="H1206" s="2" t="n">
        <x:v>14</x:v>
      </x:c>
      <x:c r="I1206" s="2" t="str">
        <x:f>IF(B1206="","",'Motor_Meciuri'!H91)</x:f>
      </x:c>
      <x:c r="J1206" s="2" t="str">
        <x:f>IF(B1206="","",'Motor_Meciuri'!I91)</x:f>
      </x:c>
      <x:c r="K1206" s="11" t="str">
        <x:f>IF(J1206&lt;&gt;"PASS","",'Motor_Meciuri'!BD91)</x:f>
      </x:c>
      <x:c r="L1206" s="11" t="str">
        <x:f>IF(J1206&lt;&gt;"PASS","",'Motor_Meciuri'!AU91)</x:f>
      </x:c>
      <x:c r="M1206" s="10" t="str">
        <x:f>IF(NOT(AND(J1206="PASS",'Calibrare_Linii'!U16="VALID")),"",'Distributie'!AL91)</x:f>
      </x:c>
      <x:c r="N1206" s="10" t="str">
        <x:f>IF(M1206="","",MAX(0.01,MIN(0.99,0.5+(M1206-0.5)*'Motor_Meciuri'!BG91*'Calibrare_Linii'!D16)))</x:f>
      </x:c>
      <x:c r="O1206" s="10" t="str">
        <x:f>IF(M1206="","",1-M1206)</x:f>
      </x:c>
      <x:c r="P1206" s="10" t="str">
        <x:f>IF(OR(NOT(AND(J1206="PASS",'Calibrare_Linii'!U16="VALID")),AK1206=0),""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*('Istoric_Nativ'!$Q$6:$Q$405&gt;H1206))/AK1206)</x:f>
      </x:c>
      <x:c r="Q1206" s="10" t="str">
        <x:f>IF(OR(NOT(AND(J1206="PASS",'Calibrare_Linii'!U16="VALID")),AL1206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M91)+((('Istoric_Nativ'!$E$6:$E$405='Input_Meci'!E91)+('Istoric_Nativ'!$F$6:$F$405='Input_Meci'!E91))&gt;0)*('Istoric_Nativ'!$D$6:$D$405&gt;='Motor_Meciuri'!BN91))&gt;0)*('Istoric_Nativ'!$Q$6:$Q$405&gt;H1206))/AL1206)</x:f>
      </x:c>
      <x:c r="R1206" s="10" t="str">
        <x:f>IF(OR(NOT(AND(J1206="PASS",'Calibrare_Linii'!U16="VALID")),AM1206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O91)+((('Istoric_Nativ'!$E$6:$E$405='Input_Meci'!E91)+('Istoric_Nativ'!$F$6:$F$405='Input_Meci'!E91))&gt;0)*('Istoric_Nativ'!$D$6:$D$405&gt;='Motor_Meciuri'!BP91))&gt;0)*('Istoric_Nativ'!$Q$6:$Q$405&gt;H1206))/AM1206)</x:f>
      </x:c>
      <x:c r="S1206" s="10" t="str">
        <x:f>IF(M1206="","",MAX(O1206,P1206,Q1206,R1206))</x:f>
      </x:c>
      <x:c r="T1206" s="11" t="str">
        <x:f>IF(M1206="","",MIN(100,S1206*100*'Config_v6'!$B$44+MIN(100,L1206/'Config_v6'!$B$13*100)*'Config_v6'!$B$45+(100-'Motor_Meciuri'!BF91)*'Config_v6'!$B$46+'Motor_Meciuri'!BH91*100*'Config_v6'!$B$47))</x:f>
      </x:c>
      <x:c r="U1206" s="2" t="str">
        <x:f>IF(T1206="","",IF(T1206&lt;=20,1,IF(T1206&lt;=40,2,IF(T1206&lt;=60,3,IF(T1206&lt;=80,4,5)))))</x:f>
      </x:c>
      <x:c r="V1206" s="2" t="str">
        <x:f>IF(M1206="","",MAX(0,'Motor_Meciuri'!BF91-IF(W1206="OOS PENDING",'Config_v6'!$B$35,0)-IF(L1206&gt;'Config_v6'!$B$12,'Config_v6'!$B$37,IF(L1206&gt;'Config_v6'!$B$11,'Config_v6'!$B$36,0))))</x:f>
      </x:c>
      <x:c r="W1206" s="2" t="str">
        <x:f>IF(B1206="","",IF(I1206&lt;&gt;"READY","NOT RELEASED",IF(NOT(AND(J1206="PASS",'Calibrare_Linii'!U16="VALID")),"INVALID",IF(NOT(AND('Calibrare_Linii'!S16="VALIDATED",AND('Calibrare_Linii'!H16=C1206,ISNUMBER('Calibrare_Linii'!J16),'Calibrare_Linii'!J16&lt;='Input_Meci'!G91))),"OOS PENDING",IF(S1206&lt;='Calibrare_Linii'!E16,"PASS",IF(S1206&lt;='Calibrare_Linii'!F16,"PENALTY","WATCH"))))))</x:f>
      </x:c>
      <x:c r="X1206" s="2" t="str">
        <x:f>IF(M1206="","",IF(AND(AND(J1206="PASS",'Calibrare_Linii'!U16="VALID"),'Motor_Meciuri'!K91=12,'Motor_Meciuri'!L91=12,'Motor_Meciuri'!M91="NO",'Motor_Meciuri'!BL91='Motor_Meciuri'!C91,AB1206&gt;='Config_v6'!$B$50,AN1206&gt;='Config_v6'!$B$51,T1206&lt;='Config_v6'!$B$52,L1206&lt;='Config_v6'!$B$53,ISNUMBER('Calibrare_Linii'!E16),S1206&lt;='Calibrare_Linii'!E16,SUM(AK1206:AM1206)&gt;0),"CANDIDATE","NO"))</x:f>
      </x:c>
      <x:c r="Y1206" s="2" t="str">
        <x:f>IF(B1206="","",IF(I1206&lt;&gt;"READY","NOT RELEASED",IF(AND(X1206="CANDIDATE",V1206&gt;='Config_v6'!$B$51,W1206="PASS",'Calibrare_Linii'!T16="VALIDATED",AND('Calibrare_Linii'!H16=C1206,ISNUMBER('Calibrare_Linii'!J16),'Calibrare_Linii'!J16&lt;='Input_Meci'!G91)),"PASS",IF(X1206="CANDIDATE","OOS PENDING","FAIL"))))</x:f>
      </x:c>
      <x:c r="Z1206" s="2" t="str">
        <x:f>IF(B1206="","",IF(I1206&lt;&gt;"READY","",IF(OR(NOT(AND(J1206="PASS",'Calibrare_Linii'!U16="VALID")),L1206&gt;'Config_v6'!$B$13,W1206="WATCH"),5,IF(Y1206="PASS",1,MIN(5,MAX('Config_v6'!$B$42,U1206)+IF(W1206="PENALTY",1,0))))))</x:f>
      </x:c>
      <x:c r="AA1206" s="2" t="str">
        <x:f>IF(B1206="","",IF(I1206&lt;&gt;"READY","NOT RELEASED",IF(Z1206=5,"NO BET",IF(OR(AB1206&lt;'Config_v6'!$B$16,V1206&lt;'Config_v6'!$B$18),"WATCH",IF(Z1206=1,"DEFENSIV",IF(Z1206=2,"PRUDENT",IF(Z1206=3,"MODERAT","RIDICAT")))))))</x:f>
      </x:c>
      <x:c r="AB1206" s="10" t="str">
        <x:f>IF(N1206="","",MIN(N1206,1-S1206))</x:f>
      </x:c>
      <x:c r="AC1206" s="2" t="str">
        <x:f>IF(AD1206&lt;&gt;1,"",COUNTIFS($Z$1196:$Z$1209,"&lt;"&amp;Z1206,$AD$1196:$AD$1209,1)+COUNTIFS($Z$1196:$Z$1209,Z1206,$AB$1196:$AB$1209,"&gt;"&amp;AB1206,$AD$1196:$AD$1209,1)+COUNTIFS($Z$1196:$Z$1209,Z1206,$AB$1196:$AB$1209,AB1206,$V$1196:$V$1209,"&gt;"&amp;V1206,$AD$1196:$AD$1209,1)+COUNTIFS($Z$1196:Z1206,Z1206,$AB$1196:AB1206,AB1206,$V$1196:V1206,V1206,$AD$1196:AD1206,1))</x:f>
      </x:c>
      <x:c r="AD1206" s="2" t="n">
        <x:f>IF(OR(AA1206="DEFENSIV",AA1206="PRUDENT",AA1206="MODERAT",AA1206="RIDICAT"),1,0)</x:f>
        <x:v>0</x:v>
      </x:c>
      <x:c r="AE1206" s="2" t="str">
        <x:f>IF(AD1206&lt;&gt;1,"NO",IF(W1206="PASS","YES",IF(W1206="OOS PENDING","CONDITIONAL","NO")))</x:f>
        <x:v>NO</x:v>
      </x:c>
      <x:c r="AF1206" s="2" t="n">
        <x:f>IF(AND(AD1206=1,AC1206=1,E1206="LIVE"),1,0)</x:f>
        <x:v>0</x:v>
      </x:c>
      <x:c r="AG1206" s="2" t="str">
        <x:f>IF(AF1206&lt;&gt;1,"",'Dashboard'!P111)</x:f>
      </x:c>
      <x:c r="AH1206" s="2" t="str">
        <x:f>IF(B1206="","",IF(J1206&lt;&gt;"PASS",'Motor_Meciuri'!J91,IF('Calibrare_Linii'!U16&lt;&gt;"VALID","Parametri linie invalizi",IF(L1206&gt;'Config_v6'!$B$13,"Dispersie peste limita",IF(W1206="WATCH","Failure peste limita",IF(AB1206&lt;'Config_v6'!$B$16,"P finala sub prag",IF(V1206&lt;'Config_v6'!$B$18,"Confidence sub prag",IF(E1206="REPLAY","Exemplu retrospectiv; exclus din Top LIVE",IF(Y1206="PASS","DEFENSIV validat",IF(W1206="OOS PENDING","Eligibil; calibrare linie in monitorizare","Eligibil"))))))))))</x:f>
      </x:c>
      <x:c r="AI1206" s="2" t="str">
        <x:f>IF(B1206="","",'Calibrare_Linii'!V16)</x:f>
      </x:c>
      <x:c r="AJ1206" s="2" t="str">
        <x:f>IF(B1206="","",IF(AND('Calibrare_Linii'!T16="VALIDATED",AND('Calibrare_Linii'!H16=C1206,ISNUMBER('Calibrare_Linii'!J16),'Calibrare_Linii'!J16&lt;='Input_Meci'!G91)),"DEFENSIVE VALIDATED",IF(AND('Calibrare_Linii'!S16="VALIDATED",AND('Calibrare_Linii'!H16=C1206,ISNUMBER('Calibrare_Linii'!J16),'Calibrare_Linii'!J16&lt;='Input_Meci'!G91)),"TAIL VALIDATED","OOS PENDING")))</x:f>
      </x:c>
      <x:c r="AK1206" s="2" t="n">
        <x:f>IF(J1206&lt;&gt;"PASS",0,'Motor_Meciuri'!BR91)</x:f>
        <x:v>0</x:v>
      </x:c>
      <x:c r="AL1206" s="2" t="n">
        <x:f>IF(J1206&lt;&gt;"PASS",0,'Motor_Meciuri'!BS91)</x:f>
        <x:v>0</x:v>
      </x:c>
      <x:c r="AM1206" s="2" t="n">
        <x:f>IF(J1206&lt;&gt;"PASS",0,'Motor_Meciuri'!BT91)</x:f>
        <x:v>0</x:v>
      </x:c>
      <x:c r="AN1206" s="2" t="str">
        <x:f>IF(M1206="","",MAX(0,'Motor_Meciuri'!BF91-IF(L1206&gt;'Config_v6'!$B$12,'Config_v6'!$B$37,IF(L1206&gt;'Config_v6'!$B$11,'Config_v6'!$B$36,0))))</x:f>
      </x:c>
    </x:row>
    <x:row r="1207" ht="21" customHeight="1">
      <x:c r="A1207" s="2" t="n">
        <x:v>86</x:v>
      </x:c>
      <x:c r="B1207" s="2" t="str">
        <x:f>IF('Motor_Meciuri'!A91="","",'Motor_Meciuri'!A91)</x:f>
      </x:c>
      <x:c r="C1207" s="2" t="str">
        <x:f>IF(B1207="","",'Motor_Meciuri'!B91)</x:f>
      </x:c>
      <x:c r="D1207" s="2" t="str">
        <x:f>IF(B1207="","",'Motor_Meciuri'!D91)</x:f>
      </x:c>
      <x:c r="E1207" s="2" t="str">
        <x:f>IF(B1207="","",'Motor_Meciuri'!E91)</x:f>
      </x:c>
      <x:c r="F1207" s="2" t="str">
        <x:v>U15,5</x:v>
      </x:c>
      <x:c r="G1207" s="2" t="str">
        <x:v>UNDER</x:v>
      </x:c>
      <x:c r="H1207" s="2" t="n">
        <x:v>15</x:v>
      </x:c>
      <x:c r="I1207" s="2" t="str">
        <x:f>IF(B1207="","",'Motor_Meciuri'!H91)</x:f>
      </x:c>
      <x:c r="J1207" s="2" t="str">
        <x:f>IF(B1207="","",'Motor_Meciuri'!I91)</x:f>
      </x:c>
      <x:c r="K1207" s="11" t="str">
        <x:f>IF(J1207&lt;&gt;"PASS","",'Motor_Meciuri'!BD91)</x:f>
      </x:c>
      <x:c r="L1207" s="11" t="str">
        <x:f>IF(J1207&lt;&gt;"PASS","",'Motor_Meciuri'!AU91)</x:f>
      </x:c>
      <x:c r="M1207" s="10" t="str">
        <x:f>IF(NOT(AND(J1207="PASS",'Calibrare_Linii'!U17="VALID")),"",'Distributie'!AM91)</x:f>
      </x:c>
      <x:c r="N1207" s="10" t="str">
        <x:f>IF(M1207="","",MAX(0.01,MIN(0.99,0.5+(M1207-0.5)*'Motor_Meciuri'!BG91*'Calibrare_Linii'!D17)))</x:f>
      </x:c>
      <x:c r="O1207" s="10" t="str">
        <x:f>IF(M1207="","",1-M1207)</x:f>
      </x:c>
      <x:c r="P1207" s="10" t="str">
        <x:f>IF(OR(NOT(AND(J1207="PASS",'Calibrare_Linii'!U17="VALID")),AK1207=0),""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*('Istoric_Nativ'!$Q$6:$Q$405&gt;H1207))/AK1207)</x:f>
      </x:c>
      <x:c r="Q1207" s="10" t="str">
        <x:f>IF(OR(NOT(AND(J1207="PASS",'Calibrare_Linii'!U17="VALID")),AL1207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M91)+((('Istoric_Nativ'!$E$6:$E$405='Input_Meci'!E91)+('Istoric_Nativ'!$F$6:$F$405='Input_Meci'!E91))&gt;0)*('Istoric_Nativ'!$D$6:$D$405&gt;='Motor_Meciuri'!BN91))&gt;0)*('Istoric_Nativ'!$Q$6:$Q$405&gt;H1207))/AL1207)</x:f>
      </x:c>
      <x:c r="R1207" s="10" t="str">
        <x:f>IF(OR(NOT(AND(J1207="PASS",'Calibrare_Linii'!U17="VALID")),AM1207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O91)+((('Istoric_Nativ'!$E$6:$E$405='Input_Meci'!E91)+('Istoric_Nativ'!$F$6:$F$405='Input_Meci'!E91))&gt;0)*('Istoric_Nativ'!$D$6:$D$405&gt;='Motor_Meciuri'!BP91))&gt;0)*('Istoric_Nativ'!$Q$6:$Q$405&gt;H1207))/AM1207)</x:f>
      </x:c>
      <x:c r="S1207" s="10" t="str">
        <x:f>IF(M1207="","",MAX(O1207,P1207,Q1207,R1207))</x:f>
      </x:c>
      <x:c r="T1207" s="11" t="str">
        <x:f>IF(M1207="","",MIN(100,S1207*100*'Config_v6'!$B$44+MIN(100,L1207/'Config_v6'!$B$13*100)*'Config_v6'!$B$45+(100-'Motor_Meciuri'!BF91)*'Config_v6'!$B$46+'Motor_Meciuri'!BH91*100*'Config_v6'!$B$47))</x:f>
      </x:c>
      <x:c r="U1207" s="2" t="str">
        <x:f>IF(T1207="","",IF(T1207&lt;=20,1,IF(T1207&lt;=40,2,IF(T1207&lt;=60,3,IF(T1207&lt;=80,4,5)))))</x:f>
      </x:c>
      <x:c r="V1207" s="2" t="str">
        <x:f>IF(M1207="","",MAX(0,'Motor_Meciuri'!BF91-IF(W1207="OOS PENDING",'Config_v6'!$B$35,0)-IF(L1207&gt;'Config_v6'!$B$12,'Config_v6'!$B$37,IF(L1207&gt;'Config_v6'!$B$11,'Config_v6'!$B$36,0))))</x:f>
      </x:c>
      <x:c r="W1207" s="2" t="str">
        <x:f>IF(B1207="","",IF(I1207&lt;&gt;"READY","NOT RELEASED",IF(NOT(AND(J1207="PASS",'Calibrare_Linii'!U17="VALID")),"INVALID",IF(NOT(AND('Calibrare_Linii'!S17="VALIDATED",AND('Calibrare_Linii'!H17=C1207,ISNUMBER('Calibrare_Linii'!J17),'Calibrare_Linii'!J17&lt;='Input_Meci'!G91))),"OOS PENDING",IF(S1207&lt;='Calibrare_Linii'!E17,"PASS",IF(S1207&lt;='Calibrare_Linii'!F17,"PENALTY","WATCH"))))))</x:f>
      </x:c>
      <x:c r="X1207" s="2" t="str">
        <x:f>IF(M1207="","",IF(AND(AND(J1207="PASS",'Calibrare_Linii'!U17="VALID"),'Motor_Meciuri'!K91=12,'Motor_Meciuri'!L91=12,'Motor_Meciuri'!M91="NO",'Motor_Meciuri'!BL91='Motor_Meciuri'!C91,AB1207&gt;='Config_v6'!$B$50,AN1207&gt;='Config_v6'!$B$51,T1207&lt;='Config_v6'!$B$52,L1207&lt;='Config_v6'!$B$53,ISNUMBER('Calibrare_Linii'!E17),S1207&lt;='Calibrare_Linii'!E17,SUM(AK1207:AM1207)&gt;0),"CANDIDATE","NO"))</x:f>
      </x:c>
      <x:c r="Y1207" s="2" t="str">
        <x:f>IF(B1207="","",IF(I1207&lt;&gt;"READY","NOT RELEASED",IF(AND(X1207="CANDIDATE",V1207&gt;='Config_v6'!$B$51,W1207="PASS",'Calibrare_Linii'!T17="VALIDATED",AND('Calibrare_Linii'!H17=C1207,ISNUMBER('Calibrare_Linii'!J17),'Calibrare_Linii'!J17&lt;='Input_Meci'!G91)),"PASS",IF(X1207="CANDIDATE","OOS PENDING","FAIL"))))</x:f>
      </x:c>
      <x:c r="Z1207" s="2" t="str">
        <x:f>IF(B1207="","",IF(I1207&lt;&gt;"READY","",IF(OR(NOT(AND(J1207="PASS",'Calibrare_Linii'!U17="VALID")),L1207&gt;'Config_v6'!$B$13,W1207="WATCH"),5,IF(Y1207="PASS",1,MIN(5,MAX('Config_v6'!$B$42,U1207)+IF(W1207="PENALTY",1,0))))))</x:f>
      </x:c>
      <x:c r="AA1207" s="2" t="str">
        <x:f>IF(B1207="","",IF(I1207&lt;&gt;"READY","NOT RELEASED",IF(Z1207=5,"NO BET",IF(OR(AB1207&lt;'Config_v6'!$B$16,V1207&lt;'Config_v6'!$B$18),"WATCH",IF(Z1207=1,"DEFENSIV",IF(Z1207=2,"PRUDENT",IF(Z1207=3,"MODERAT","RIDICAT")))))))</x:f>
      </x:c>
      <x:c r="AB1207" s="10" t="str">
        <x:f>IF(N1207="","",MIN(N1207,1-S1207))</x:f>
      </x:c>
      <x:c r="AC1207" s="2" t="str">
        <x:f>IF(AD1207&lt;&gt;1,"",COUNTIFS($Z$1196:$Z$1209,"&lt;"&amp;Z1207,$AD$1196:$AD$1209,1)+COUNTIFS($Z$1196:$Z$1209,Z1207,$AB$1196:$AB$1209,"&gt;"&amp;AB1207,$AD$1196:$AD$1209,1)+COUNTIFS($Z$1196:$Z$1209,Z1207,$AB$1196:$AB$1209,AB1207,$V$1196:$V$1209,"&gt;"&amp;V1207,$AD$1196:$AD$1209,1)+COUNTIFS($Z$1196:Z1207,Z1207,$AB$1196:AB1207,AB1207,$V$1196:V1207,V1207,$AD$1196:AD1207,1))</x:f>
      </x:c>
      <x:c r="AD1207" s="2" t="n">
        <x:f>IF(OR(AA1207="DEFENSIV",AA1207="PRUDENT",AA1207="MODERAT",AA1207="RIDICAT"),1,0)</x:f>
        <x:v>0</x:v>
      </x:c>
      <x:c r="AE1207" s="2" t="str">
        <x:f>IF(AD1207&lt;&gt;1,"NO",IF(W1207="PASS","YES",IF(W1207="OOS PENDING","CONDITIONAL","NO")))</x:f>
        <x:v>NO</x:v>
      </x:c>
      <x:c r="AF1207" s="2" t="n">
        <x:f>IF(AND(AD1207=1,AC1207=1,E1207="LIVE"),1,0)</x:f>
        <x:v>0</x:v>
      </x:c>
      <x:c r="AG1207" s="2" t="str">
        <x:f>IF(AF1207&lt;&gt;1,"",'Dashboard'!P111)</x:f>
      </x:c>
      <x:c r="AH1207" s="2" t="str">
        <x:f>IF(B1207="","",IF(J1207&lt;&gt;"PASS",'Motor_Meciuri'!J91,IF('Calibrare_Linii'!U17&lt;&gt;"VALID","Parametri linie invalizi",IF(L1207&gt;'Config_v6'!$B$13,"Dispersie peste limita",IF(W1207="WATCH","Failure peste limita",IF(AB1207&lt;'Config_v6'!$B$16,"P finala sub prag",IF(V1207&lt;'Config_v6'!$B$18,"Confidence sub prag",IF(E1207="REPLAY","Exemplu retrospectiv; exclus din Top LIVE",IF(Y1207="PASS","DEFENSIV validat",IF(W1207="OOS PENDING","Eligibil; calibrare linie in monitorizare","Eligibil"))))))))))</x:f>
      </x:c>
      <x:c r="AI1207" s="2" t="str">
        <x:f>IF(B1207="","",'Calibrare_Linii'!V17)</x:f>
      </x:c>
      <x:c r="AJ1207" s="2" t="str">
        <x:f>IF(B1207="","",IF(AND('Calibrare_Linii'!T17="VALIDATED",AND('Calibrare_Linii'!H17=C1207,ISNUMBER('Calibrare_Linii'!J17),'Calibrare_Linii'!J17&lt;='Input_Meci'!G91)),"DEFENSIVE VALIDATED",IF(AND('Calibrare_Linii'!S17="VALIDATED",AND('Calibrare_Linii'!H17=C1207,ISNUMBER('Calibrare_Linii'!J17),'Calibrare_Linii'!J17&lt;='Input_Meci'!G91)),"TAIL VALIDATED","OOS PENDING")))</x:f>
      </x:c>
      <x:c r="AK1207" s="2" t="n">
        <x:f>IF(J1207&lt;&gt;"PASS",0,'Motor_Meciuri'!BR91)</x:f>
        <x:v>0</x:v>
      </x:c>
      <x:c r="AL1207" s="2" t="n">
        <x:f>IF(J1207&lt;&gt;"PASS",0,'Motor_Meciuri'!BS91)</x:f>
        <x:v>0</x:v>
      </x:c>
      <x:c r="AM1207" s="2" t="n">
        <x:f>IF(J1207&lt;&gt;"PASS",0,'Motor_Meciuri'!BT91)</x:f>
        <x:v>0</x:v>
      </x:c>
      <x:c r="AN1207" s="2" t="str">
        <x:f>IF(M1207="","",MAX(0,'Motor_Meciuri'!BF91-IF(L1207&gt;'Config_v6'!$B$12,'Config_v6'!$B$37,IF(L1207&gt;'Config_v6'!$B$11,'Config_v6'!$B$36,0))))</x:f>
      </x:c>
    </x:row>
    <x:row r="1208" ht="21" customHeight="1">
      <x:c r="A1208" s="2" t="n">
        <x:v>86</x:v>
      </x:c>
      <x:c r="B1208" s="2" t="str">
        <x:f>IF('Motor_Meciuri'!A91="","",'Motor_Meciuri'!A91)</x:f>
      </x:c>
      <x:c r="C1208" s="2" t="str">
        <x:f>IF(B1208="","",'Motor_Meciuri'!B91)</x:f>
      </x:c>
      <x:c r="D1208" s="2" t="str">
        <x:f>IF(B1208="","",'Motor_Meciuri'!D91)</x:f>
      </x:c>
      <x:c r="E1208" s="2" t="str">
        <x:f>IF(B1208="","",'Motor_Meciuri'!E91)</x:f>
      </x:c>
      <x:c r="F1208" s="2" t="str">
        <x:v>U16,5</x:v>
      </x:c>
      <x:c r="G1208" s="2" t="str">
        <x:v>UNDER</x:v>
      </x:c>
      <x:c r="H1208" s="2" t="n">
        <x:v>16</x:v>
      </x:c>
      <x:c r="I1208" s="2" t="str">
        <x:f>IF(B1208="","",'Motor_Meciuri'!H91)</x:f>
      </x:c>
      <x:c r="J1208" s="2" t="str">
        <x:f>IF(B1208="","",'Motor_Meciuri'!I91)</x:f>
      </x:c>
      <x:c r="K1208" s="11" t="str">
        <x:f>IF(J1208&lt;&gt;"PASS","",'Motor_Meciuri'!BD91)</x:f>
      </x:c>
      <x:c r="L1208" s="11" t="str">
        <x:f>IF(J1208&lt;&gt;"PASS","",'Motor_Meciuri'!AU91)</x:f>
      </x:c>
      <x:c r="M1208" s="10" t="str">
        <x:f>IF(NOT(AND(J1208="PASS",'Calibrare_Linii'!U18="VALID")),"",'Distributie'!AN91)</x:f>
      </x:c>
      <x:c r="N1208" s="10" t="str">
        <x:f>IF(M1208="","",MAX(0.01,MIN(0.99,0.5+(M1208-0.5)*'Motor_Meciuri'!BG91*'Calibrare_Linii'!D18)))</x:f>
      </x:c>
      <x:c r="O1208" s="10" t="str">
        <x:f>IF(M1208="","",1-M1208)</x:f>
      </x:c>
      <x:c r="P1208" s="10" t="str">
        <x:f>IF(OR(NOT(AND(J1208="PASS",'Calibrare_Linii'!U18="VALID")),AK1208=0),""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*('Istoric_Nativ'!$Q$6:$Q$405&gt;H1208))/AK1208)</x:f>
      </x:c>
      <x:c r="Q1208" s="10" t="str">
        <x:f>IF(OR(NOT(AND(J1208="PASS",'Calibrare_Linii'!U18="VALID")),AL1208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M91)+((('Istoric_Nativ'!$E$6:$E$405='Input_Meci'!E91)+('Istoric_Nativ'!$F$6:$F$405='Input_Meci'!E91))&gt;0)*('Istoric_Nativ'!$D$6:$D$405&gt;='Motor_Meciuri'!BN91))&gt;0)*('Istoric_Nativ'!$Q$6:$Q$405&gt;H1208))/AL1208)</x:f>
      </x:c>
      <x:c r="R1208" s="10" t="str">
        <x:f>IF(OR(NOT(AND(J1208="PASS",'Calibrare_Linii'!U18="VALID")),AM1208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O91)+((('Istoric_Nativ'!$E$6:$E$405='Input_Meci'!E91)+('Istoric_Nativ'!$F$6:$F$405='Input_Meci'!E91))&gt;0)*('Istoric_Nativ'!$D$6:$D$405&gt;='Motor_Meciuri'!BP91))&gt;0)*('Istoric_Nativ'!$Q$6:$Q$405&gt;H1208))/AM1208)</x:f>
      </x:c>
      <x:c r="S1208" s="10" t="str">
        <x:f>IF(M1208="","",MAX(O1208,P1208,Q1208,R1208))</x:f>
      </x:c>
      <x:c r="T1208" s="11" t="str">
        <x:f>IF(M1208="","",MIN(100,S1208*100*'Config_v6'!$B$44+MIN(100,L1208/'Config_v6'!$B$13*100)*'Config_v6'!$B$45+(100-'Motor_Meciuri'!BF91)*'Config_v6'!$B$46+'Motor_Meciuri'!BH91*100*'Config_v6'!$B$47))</x:f>
      </x:c>
      <x:c r="U1208" s="2" t="str">
        <x:f>IF(T1208="","",IF(T1208&lt;=20,1,IF(T1208&lt;=40,2,IF(T1208&lt;=60,3,IF(T1208&lt;=80,4,5)))))</x:f>
      </x:c>
      <x:c r="V1208" s="2" t="str">
        <x:f>IF(M1208="","",MAX(0,'Motor_Meciuri'!BF91-IF(W1208="OOS PENDING",'Config_v6'!$B$35,0)-IF(L1208&gt;'Config_v6'!$B$12,'Config_v6'!$B$37,IF(L1208&gt;'Config_v6'!$B$11,'Config_v6'!$B$36,0))))</x:f>
      </x:c>
      <x:c r="W1208" s="2" t="str">
        <x:f>IF(B1208="","",IF(I1208&lt;&gt;"READY","NOT RELEASED",IF(NOT(AND(J1208="PASS",'Calibrare_Linii'!U18="VALID")),"INVALID",IF(NOT(AND('Calibrare_Linii'!S18="VALIDATED",AND('Calibrare_Linii'!H18=C1208,ISNUMBER('Calibrare_Linii'!J18),'Calibrare_Linii'!J18&lt;='Input_Meci'!G91))),"OOS PENDING",IF(S1208&lt;='Calibrare_Linii'!E18,"PASS",IF(S1208&lt;='Calibrare_Linii'!F18,"PENALTY","WATCH"))))))</x:f>
      </x:c>
      <x:c r="X1208" s="2" t="str">
        <x:f>IF(M1208="","",IF(AND(AND(J1208="PASS",'Calibrare_Linii'!U18="VALID"),'Motor_Meciuri'!K91=12,'Motor_Meciuri'!L91=12,'Motor_Meciuri'!M91="NO",'Motor_Meciuri'!BL91='Motor_Meciuri'!C91,AB1208&gt;='Config_v6'!$B$50,AN1208&gt;='Config_v6'!$B$51,T1208&lt;='Config_v6'!$B$52,L1208&lt;='Config_v6'!$B$53,ISNUMBER('Calibrare_Linii'!E18),S1208&lt;='Calibrare_Linii'!E18,SUM(AK1208:AM1208)&gt;0),"CANDIDATE","NO"))</x:f>
      </x:c>
      <x:c r="Y1208" s="2" t="str">
        <x:f>IF(B1208="","",IF(I1208&lt;&gt;"READY","NOT RELEASED",IF(AND(X1208="CANDIDATE",V1208&gt;='Config_v6'!$B$51,W1208="PASS",'Calibrare_Linii'!T18="VALIDATED",AND('Calibrare_Linii'!H18=C1208,ISNUMBER('Calibrare_Linii'!J18),'Calibrare_Linii'!J18&lt;='Input_Meci'!G91)),"PASS",IF(X1208="CANDIDATE","OOS PENDING","FAIL"))))</x:f>
      </x:c>
      <x:c r="Z1208" s="2" t="str">
        <x:f>IF(B1208="","",IF(I1208&lt;&gt;"READY","",IF(OR(NOT(AND(J1208="PASS",'Calibrare_Linii'!U18="VALID")),L1208&gt;'Config_v6'!$B$13,W1208="WATCH"),5,IF(Y1208="PASS",1,MIN(5,MAX('Config_v6'!$B$42,U1208)+IF(W1208="PENALTY",1,0))))))</x:f>
      </x:c>
      <x:c r="AA1208" s="2" t="str">
        <x:f>IF(B1208="","",IF(I1208&lt;&gt;"READY","NOT RELEASED",IF(Z1208=5,"NO BET",IF(OR(AB1208&lt;'Config_v6'!$B$16,V1208&lt;'Config_v6'!$B$18),"WATCH",IF(Z1208=1,"DEFENSIV",IF(Z1208=2,"PRUDENT",IF(Z1208=3,"MODERAT","RIDICAT")))))))</x:f>
      </x:c>
      <x:c r="AB1208" s="10" t="str">
        <x:f>IF(N1208="","",MIN(N1208,1-S1208))</x:f>
      </x:c>
      <x:c r="AC1208" s="2" t="str">
        <x:f>IF(AD1208&lt;&gt;1,"",COUNTIFS($Z$1196:$Z$1209,"&lt;"&amp;Z1208,$AD$1196:$AD$1209,1)+COUNTIFS($Z$1196:$Z$1209,Z1208,$AB$1196:$AB$1209,"&gt;"&amp;AB1208,$AD$1196:$AD$1209,1)+COUNTIFS($Z$1196:$Z$1209,Z1208,$AB$1196:$AB$1209,AB1208,$V$1196:$V$1209,"&gt;"&amp;V1208,$AD$1196:$AD$1209,1)+COUNTIFS($Z$1196:Z1208,Z1208,$AB$1196:AB1208,AB1208,$V$1196:V1208,V1208,$AD$1196:AD1208,1))</x:f>
      </x:c>
      <x:c r="AD1208" s="2" t="n">
        <x:f>IF(OR(AA1208="DEFENSIV",AA1208="PRUDENT",AA1208="MODERAT",AA1208="RIDICAT"),1,0)</x:f>
        <x:v>0</x:v>
      </x:c>
      <x:c r="AE1208" s="2" t="str">
        <x:f>IF(AD1208&lt;&gt;1,"NO",IF(W1208="PASS","YES",IF(W1208="OOS PENDING","CONDITIONAL","NO")))</x:f>
        <x:v>NO</x:v>
      </x:c>
      <x:c r="AF1208" s="2" t="n">
        <x:f>IF(AND(AD1208=1,AC1208=1,E1208="LIVE"),1,0)</x:f>
        <x:v>0</x:v>
      </x:c>
      <x:c r="AG1208" s="2" t="str">
        <x:f>IF(AF1208&lt;&gt;1,"",'Dashboard'!P111)</x:f>
      </x:c>
      <x:c r="AH1208" s="2" t="str">
        <x:f>IF(B1208="","",IF(J1208&lt;&gt;"PASS",'Motor_Meciuri'!J91,IF('Calibrare_Linii'!U18&lt;&gt;"VALID","Parametri linie invalizi",IF(L1208&gt;'Config_v6'!$B$13,"Dispersie peste limita",IF(W1208="WATCH","Failure peste limita",IF(AB1208&lt;'Config_v6'!$B$16,"P finala sub prag",IF(V1208&lt;'Config_v6'!$B$18,"Confidence sub prag",IF(E1208="REPLAY","Exemplu retrospectiv; exclus din Top LIVE",IF(Y1208="PASS","DEFENSIV validat",IF(W1208="OOS PENDING","Eligibil; calibrare linie in monitorizare","Eligibil"))))))))))</x:f>
      </x:c>
      <x:c r="AI1208" s="2" t="str">
        <x:f>IF(B1208="","",'Calibrare_Linii'!V18)</x:f>
      </x:c>
      <x:c r="AJ1208" s="2" t="str">
        <x:f>IF(B1208="","",IF(AND('Calibrare_Linii'!T18="VALIDATED",AND('Calibrare_Linii'!H18=C1208,ISNUMBER('Calibrare_Linii'!J18),'Calibrare_Linii'!J18&lt;='Input_Meci'!G91)),"DEFENSIVE VALIDATED",IF(AND('Calibrare_Linii'!S18="VALIDATED",AND('Calibrare_Linii'!H18=C1208,ISNUMBER('Calibrare_Linii'!J18),'Calibrare_Linii'!J18&lt;='Input_Meci'!G91)),"TAIL VALIDATED","OOS PENDING")))</x:f>
      </x:c>
      <x:c r="AK1208" s="2" t="n">
        <x:f>IF(J1208&lt;&gt;"PASS",0,'Motor_Meciuri'!BR91)</x:f>
        <x:v>0</x:v>
      </x:c>
      <x:c r="AL1208" s="2" t="n">
        <x:f>IF(J1208&lt;&gt;"PASS",0,'Motor_Meciuri'!BS91)</x:f>
        <x:v>0</x:v>
      </x:c>
      <x:c r="AM1208" s="2" t="n">
        <x:f>IF(J1208&lt;&gt;"PASS",0,'Motor_Meciuri'!BT91)</x:f>
        <x:v>0</x:v>
      </x:c>
      <x:c r="AN1208" s="2" t="str">
        <x:f>IF(M1208="","",MAX(0,'Motor_Meciuri'!BF91-IF(L1208&gt;'Config_v6'!$B$12,'Config_v6'!$B$37,IF(L1208&gt;'Config_v6'!$B$11,'Config_v6'!$B$36,0))))</x:f>
      </x:c>
    </x:row>
    <x:row r="1209" ht="21" customHeight="1">
      <x:c r="A1209" s="2" t="n">
        <x:v>86</x:v>
      </x:c>
      <x:c r="B1209" s="2" t="str">
        <x:f>IF('Motor_Meciuri'!A91="","",'Motor_Meciuri'!A91)</x:f>
      </x:c>
      <x:c r="C1209" s="2" t="str">
        <x:f>IF(B1209="","",'Motor_Meciuri'!B91)</x:f>
      </x:c>
      <x:c r="D1209" s="2" t="str">
        <x:f>IF(B1209="","",'Motor_Meciuri'!D91)</x:f>
      </x:c>
      <x:c r="E1209" s="2" t="str">
        <x:f>IF(B1209="","",'Motor_Meciuri'!E91)</x:f>
      </x:c>
      <x:c r="F1209" s="2" t="str">
        <x:v>U17,5</x:v>
      </x:c>
      <x:c r="G1209" s="2" t="str">
        <x:v>UNDER</x:v>
      </x:c>
      <x:c r="H1209" s="2" t="n">
        <x:v>17</x:v>
      </x:c>
      <x:c r="I1209" s="2" t="str">
        <x:f>IF(B1209="","",'Motor_Meciuri'!H91)</x:f>
      </x:c>
      <x:c r="J1209" s="2" t="str">
        <x:f>IF(B1209="","",'Motor_Meciuri'!I91)</x:f>
      </x:c>
      <x:c r="K1209" s="11" t="str">
        <x:f>IF(J1209&lt;&gt;"PASS","",'Motor_Meciuri'!BD91)</x:f>
      </x:c>
      <x:c r="L1209" s="11" t="str">
        <x:f>IF(J1209&lt;&gt;"PASS","",'Motor_Meciuri'!AU91)</x:f>
      </x:c>
      <x:c r="M1209" s="10" t="str">
        <x:f>IF(NOT(AND(J1209="PASS",'Calibrare_Linii'!U19="VALID")),"",'Distributie'!AO91)</x:f>
      </x:c>
      <x:c r="N1209" s="10" t="str">
        <x:f>IF(M1209="","",MAX(0.01,MIN(0.99,0.5+(M1209-0.5)*'Motor_Meciuri'!BG91*'Calibrare_Linii'!D19)))</x:f>
      </x:c>
      <x:c r="O1209" s="10" t="str">
        <x:f>IF(M1209="","",1-M1209)</x:f>
      </x:c>
      <x:c r="P1209" s="10" t="str">
        <x:f>IF(OR(NOT(AND(J1209="PASS",'Calibrare_Linii'!U19="VALID")),AK1209=0),""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*('Istoric_Nativ'!$Q$6:$Q$405&gt;H1209))/AK1209)</x:f>
      </x:c>
      <x:c r="Q1209" s="10" t="str">
        <x:f>IF(OR(NOT(AND(J1209="PASS",'Calibrare_Linii'!U19="VALID")),AL1209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M91)+((('Istoric_Nativ'!$E$6:$E$405='Input_Meci'!E91)+('Istoric_Nativ'!$F$6:$F$405='Input_Meci'!E91))&gt;0)*('Istoric_Nativ'!$D$6:$D$405&gt;='Motor_Meciuri'!BN91))&gt;0)*('Istoric_Nativ'!$Q$6:$Q$405&gt;H1209))/AL1209)</x:f>
      </x:c>
      <x:c r="R1209" s="10" t="str">
        <x:f>IF(OR(NOT(AND(J1209="PASS",'Calibrare_Linii'!U19="VALID")),AM1209=0),""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'Motor_Meciuri'!BO91)+((('Istoric_Nativ'!$E$6:$E$405='Input_Meci'!E91)+('Istoric_Nativ'!$F$6:$F$405='Input_Meci'!E91))&gt;0)*('Istoric_Nativ'!$D$6:$D$405&gt;='Motor_Meciuri'!BP91))&gt;0)*('Istoric_Nativ'!$Q$6:$Q$405&gt;H1209))/AM1209)</x:f>
      </x:c>
      <x:c r="S1209" s="10" t="str">
        <x:f>IF(M1209="","",MAX(O1209,P1209,Q1209,R1209))</x:f>
      </x:c>
      <x:c r="T1209" s="11" t="str">
        <x:f>IF(M1209="","",MIN(100,S1209*100*'Config_v6'!$B$44+MIN(100,L1209/'Config_v6'!$B$13*100)*'Config_v6'!$B$45+(100-'Motor_Meciuri'!BF91)*'Config_v6'!$B$46+'Motor_Meciuri'!BH91*100*'Config_v6'!$B$47))</x:f>
      </x:c>
      <x:c r="U1209" s="2" t="str">
        <x:f>IF(T1209="","",IF(T1209&lt;=20,1,IF(T1209&lt;=40,2,IF(T1209&lt;=60,3,IF(T1209&lt;=80,4,5)))))</x:f>
      </x:c>
      <x:c r="V1209" s="2" t="str">
        <x:f>IF(M1209="","",MAX(0,'Motor_Meciuri'!BF91-IF(W1209="OOS PENDING",'Config_v6'!$B$35,0)-IF(L1209&gt;'Config_v6'!$B$12,'Config_v6'!$B$37,IF(L1209&gt;'Config_v6'!$B$11,'Config_v6'!$B$36,0))))</x:f>
      </x:c>
      <x:c r="W1209" s="2" t="str">
        <x:f>IF(B1209="","",IF(I1209&lt;&gt;"READY","NOT RELEASED",IF(NOT(AND(J1209="PASS",'Calibrare_Linii'!U19="VALID")),"INVALID",IF(NOT(AND('Calibrare_Linii'!S19="VALIDATED",AND('Calibrare_Linii'!H19=C1209,ISNUMBER('Calibrare_Linii'!J19),'Calibrare_Linii'!J19&lt;='Input_Meci'!G91))),"OOS PENDING",IF(S1209&lt;='Calibrare_Linii'!E19,"PASS",IF(S1209&lt;='Calibrare_Linii'!F19,"PENALTY","WATCH"))))))</x:f>
      </x:c>
      <x:c r="X1209" s="2" t="str">
        <x:f>IF(M1209="","",IF(AND(AND(J1209="PASS",'Calibrare_Linii'!U19="VALID"),'Motor_Meciuri'!K91=12,'Motor_Meciuri'!L91=12,'Motor_Meciuri'!M91="NO",'Motor_Meciuri'!BL91='Motor_Meciuri'!C91,AB1209&gt;='Config_v6'!$B$50,AN1209&gt;='Config_v6'!$B$51,T1209&lt;='Config_v6'!$B$52,L1209&lt;='Config_v6'!$B$53,ISNUMBER('Calibrare_Linii'!E19),S1209&lt;='Calibrare_Linii'!E19,SUM(AK1209:AM1209)&gt;0),"CANDIDATE","NO"))</x:f>
      </x:c>
      <x:c r="Y1209" s="2" t="str">
        <x:f>IF(B1209="","",IF(I1209&lt;&gt;"READY","NOT RELEASED",IF(AND(X1209="CANDIDATE",V1209&gt;='Config_v6'!$B$51,W1209="PASS",'Calibrare_Linii'!T19="VALIDATED",AND('Calibrare_Linii'!H19=C1209,ISNUMBER('Calibrare_Linii'!J19),'Calibrare_Linii'!J19&lt;='Input_Meci'!G91)),"PASS",IF(X1209="CANDIDATE","OOS PENDING","FAIL"))))</x:f>
      </x:c>
      <x:c r="Z1209" s="2" t="str">
        <x:f>IF(B1209="","",IF(I1209&lt;&gt;"READY","",IF(OR(NOT(AND(J1209="PASS",'Calibrare_Linii'!U19="VALID")),L1209&gt;'Config_v6'!$B$13,W1209="WATCH"),5,IF(Y1209="PASS",1,MIN(5,MAX('Config_v6'!$B$42,U1209)+IF(W1209="PENALTY",1,0))))))</x:f>
      </x:c>
      <x:c r="AA1209" s="2" t="str">
        <x:f>IF(B1209="","",IF(I1209&lt;&gt;"READY","NOT RELEASED",IF(Z1209=5,"NO BET",IF(OR(AB1209&lt;'Config_v6'!$B$16,V1209&lt;'Config_v6'!$B$18),"WATCH",IF(Z1209=1,"DEFENSIV",IF(Z1209=2,"PRUDENT",IF(Z1209=3,"MODERAT","RIDICAT")))))))</x:f>
      </x:c>
      <x:c r="AB1209" s="10" t="str">
        <x:f>IF(N1209="","",MIN(N1209,1-S1209))</x:f>
      </x:c>
      <x:c r="AC1209" s="2" t="str">
        <x:f>IF(AD1209&lt;&gt;1,"",COUNTIFS($Z$1196:$Z$1209,"&lt;"&amp;Z1209,$AD$1196:$AD$1209,1)+COUNTIFS($Z$1196:$Z$1209,Z1209,$AB$1196:$AB$1209,"&gt;"&amp;AB1209,$AD$1196:$AD$1209,1)+COUNTIFS($Z$1196:$Z$1209,Z1209,$AB$1196:$AB$1209,AB1209,$V$1196:$V$1209,"&gt;"&amp;V1209,$AD$1196:$AD$1209,1)+COUNTIFS($Z$1196:Z1209,Z1209,$AB$1196:AB1209,AB1209,$V$1196:V1209,V1209,$AD$1196:AD1209,1))</x:f>
      </x:c>
      <x:c r="AD1209" s="2" t="n">
        <x:f>IF(OR(AA1209="DEFENSIV",AA1209="PRUDENT",AA1209="MODERAT",AA1209="RIDICAT"),1,0)</x:f>
        <x:v>0</x:v>
      </x:c>
      <x:c r="AE1209" s="2" t="str">
        <x:f>IF(AD1209&lt;&gt;1,"NO",IF(W1209="PASS","YES",IF(W1209="OOS PENDING","CONDITIONAL","NO")))</x:f>
        <x:v>NO</x:v>
      </x:c>
      <x:c r="AF1209" s="2" t="n">
        <x:f>IF(AND(AD1209=1,AC1209=1,E1209="LIVE"),1,0)</x:f>
        <x:v>0</x:v>
      </x:c>
      <x:c r="AG1209" s="2" t="str">
        <x:f>IF(AF1209&lt;&gt;1,"",'Dashboard'!P111)</x:f>
      </x:c>
      <x:c r="AH1209" s="2" t="str">
        <x:f>IF(B1209="","",IF(J1209&lt;&gt;"PASS",'Motor_Meciuri'!J91,IF('Calibrare_Linii'!U19&lt;&gt;"VALID","Parametri linie invalizi",IF(L1209&gt;'Config_v6'!$B$13,"Dispersie peste limita",IF(W1209="WATCH","Failure peste limita",IF(AB1209&lt;'Config_v6'!$B$16,"P finala sub prag",IF(V1209&lt;'Config_v6'!$B$18,"Confidence sub prag",IF(E1209="REPLAY","Exemplu retrospectiv; exclus din Top LIVE",IF(Y1209="PASS","DEFENSIV validat",IF(W1209="OOS PENDING","Eligibil; calibrare linie in monitorizare","Eligibil"))))))))))</x:f>
      </x:c>
      <x:c r="AI1209" s="2" t="str">
        <x:f>IF(B1209="","",'Calibrare_Linii'!V19)</x:f>
      </x:c>
      <x:c r="AJ1209" s="2" t="str">
        <x:f>IF(B1209="","",IF(AND('Calibrare_Linii'!T19="VALIDATED",AND('Calibrare_Linii'!H19=C1209,ISNUMBER('Calibrare_Linii'!J19),'Calibrare_Linii'!J19&lt;='Input_Meci'!G91)),"DEFENSIVE VALIDATED",IF(AND('Calibrare_Linii'!S19="VALIDATED",AND('Calibrare_Linii'!H19=C1209,ISNUMBER('Calibrare_Linii'!J19),'Calibrare_Linii'!J19&lt;='Input_Meci'!G91)),"TAIL VALIDATED","OOS PENDING")))</x:f>
      </x:c>
      <x:c r="AK1209" s="2" t="n">
        <x:f>IF(J1209&lt;&gt;"PASS",0,'Motor_Meciuri'!BR91)</x:f>
        <x:v>0</x:v>
      </x:c>
      <x:c r="AL1209" s="2" t="n">
        <x:f>IF(J1209&lt;&gt;"PASS",0,'Motor_Meciuri'!BS91)</x:f>
        <x:v>0</x:v>
      </x:c>
      <x:c r="AM1209" s="2" t="n">
        <x:f>IF(J1209&lt;&gt;"PASS",0,'Motor_Meciuri'!BT91)</x:f>
        <x:v>0</x:v>
      </x:c>
      <x:c r="AN1209" s="2" t="str">
        <x:f>IF(M1209="","",MAX(0,'Motor_Meciuri'!BF91-IF(L1209&gt;'Config_v6'!$B$12,'Config_v6'!$B$37,IF(L1209&gt;'Config_v6'!$B$11,'Config_v6'!$B$36,0))))</x:f>
      </x:c>
    </x:row>
    <x:row r="1210" ht="21" customHeight="1">
      <x:c r="A1210" s="2" t="n">
        <x:v>87</x:v>
      </x:c>
      <x:c r="B1210" s="2" t="str">
        <x:f>IF('Motor_Meciuri'!A92="","",'Motor_Meciuri'!A92)</x:f>
      </x:c>
      <x:c r="C1210" s="2" t="str">
        <x:f>IF(B1210="","",'Motor_Meciuri'!B92)</x:f>
      </x:c>
      <x:c r="D1210" s="2" t="str">
        <x:f>IF(B1210="","",'Motor_Meciuri'!D92)</x:f>
      </x:c>
      <x:c r="E1210" s="2" t="str">
        <x:f>IF(B1210="","",'Motor_Meciuri'!E92)</x:f>
      </x:c>
      <x:c r="F1210" s="2" t="str">
        <x:v>O3,5</x:v>
      </x:c>
      <x:c r="G1210" s="2" t="str">
        <x:v>OVER</x:v>
      </x:c>
      <x:c r="H1210" s="2" t="n">
        <x:v>3</x:v>
      </x:c>
      <x:c r="I1210" s="2" t="str">
        <x:f>IF(B1210="","",'Motor_Meciuri'!H92)</x:f>
      </x:c>
      <x:c r="J1210" s="2" t="str">
        <x:f>IF(B1210="","",'Motor_Meciuri'!I92)</x:f>
      </x:c>
      <x:c r="K1210" s="11" t="str">
        <x:f>IF(J1210&lt;&gt;"PASS","",'Motor_Meciuri'!BD92)</x:f>
      </x:c>
      <x:c r="L1210" s="11" t="str">
        <x:f>IF(J1210&lt;&gt;"PASS","",'Motor_Meciuri'!AU92)</x:f>
      </x:c>
      <x:c r="M1210" s="10" t="str">
        <x:f>IF(NOT(AND(J1210="PASS",'Calibrare_Linii'!U6="VALID")),"",1-'Distributie'!AA92)</x:f>
      </x:c>
      <x:c r="N1210" s="10" t="str">
        <x:f>IF(M1210="","",MAX(0.01,MIN(0.99,0.5+(M1210-0.5)*'Motor_Meciuri'!BG92*'Calibrare_Linii'!D6)))</x:f>
      </x:c>
      <x:c r="O1210" s="10" t="str">
        <x:f>IF(M1210="","",1-M1210)</x:f>
      </x:c>
      <x:c r="P1210" s="10" t="str">
        <x:f>IF(OR(NOT(AND(J1210="PASS",'Calibrare_Linii'!U6="VALID")),AK1210=0),""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*('Istoric_Nativ'!$Q$6:$Q$405&lt;=H1210))/AK1210)</x:f>
      </x:c>
      <x:c r="Q1210" s="10" t="str">
        <x:f>IF(OR(NOT(AND(J1210="PASS",'Calibrare_Linii'!U6="VALID")),AL1210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M92)+((('Istoric_Nativ'!$E$6:$E$405='Input_Meci'!E92)+('Istoric_Nativ'!$F$6:$F$405='Input_Meci'!E92))&gt;0)*('Istoric_Nativ'!$D$6:$D$405&gt;='Motor_Meciuri'!BN92))&gt;0)*('Istoric_Nativ'!$Q$6:$Q$405&lt;=H1210))/AL1210)</x:f>
      </x:c>
      <x:c r="R1210" s="10" t="str">
        <x:f>IF(OR(NOT(AND(J1210="PASS",'Calibrare_Linii'!U6="VALID")),AM1210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O92)+((('Istoric_Nativ'!$E$6:$E$405='Input_Meci'!E92)+('Istoric_Nativ'!$F$6:$F$405='Input_Meci'!E92))&gt;0)*('Istoric_Nativ'!$D$6:$D$405&gt;='Motor_Meciuri'!BP92))&gt;0)*('Istoric_Nativ'!$Q$6:$Q$405&lt;=H1210))/AM1210)</x:f>
      </x:c>
      <x:c r="S1210" s="10" t="str">
        <x:f>IF(M1210="","",MAX(O1210,P1210,Q1210,R1210))</x:f>
      </x:c>
      <x:c r="T1210" s="11" t="str">
        <x:f>IF(M1210="","",MIN(100,S1210*100*'Config_v6'!$B$44+MIN(100,L1210/'Config_v6'!$B$13*100)*'Config_v6'!$B$45+(100-'Motor_Meciuri'!BF92)*'Config_v6'!$B$46+'Motor_Meciuri'!BH92*100*'Config_v6'!$B$47))</x:f>
      </x:c>
      <x:c r="U1210" s="2" t="str">
        <x:f>IF(T1210="","",IF(T1210&lt;=20,1,IF(T1210&lt;=40,2,IF(T1210&lt;=60,3,IF(T1210&lt;=80,4,5)))))</x:f>
      </x:c>
      <x:c r="V1210" s="2" t="str">
        <x:f>IF(M1210="","",MAX(0,'Motor_Meciuri'!BF92-IF(W1210="OOS PENDING",'Config_v6'!$B$35,0)-IF(L1210&gt;'Config_v6'!$B$12,'Config_v6'!$B$37,IF(L1210&gt;'Config_v6'!$B$11,'Config_v6'!$B$36,0))))</x:f>
      </x:c>
      <x:c r="W1210" s="2" t="str">
        <x:f>IF(B1210="","",IF(I1210&lt;&gt;"READY","NOT RELEASED",IF(NOT(AND(J1210="PASS",'Calibrare_Linii'!U6="VALID")),"INVALID",IF(NOT(TRUE),"OOS PENDING",IF(S1210&lt;=IF(AND('Calibrare_Linii'!S6="VALIDATED",AND('Calibrare_Linii'!H6=C1210,ISNUMBER('Calibrare_Linii'!J6),'Calibrare_Linii'!J6&lt;='Input_Meci'!G92)),'Calibrare_Linii'!E6,'Config_v6'!$B$26),"PASS",IF(S1210&lt;=IF(AND('Calibrare_Linii'!S6="VALIDATED",AND('Calibrare_Linii'!H6=C1210,ISNUMBER('Calibrare_Linii'!J6),'Calibrare_Linii'!J6&lt;='Input_Meci'!G92)),'Calibrare_Linii'!F6,'Config_v6'!$C$26),"PENALTY","WATCH"))))))</x:f>
      </x:c>
      <x:c r="X1210" s="2" t="str">
        <x:f>IF(M1210="","",IF(AND(AND(J1210="PASS",'Calibrare_Linii'!U6="VALID"),'Motor_Meciuri'!K92=12,'Motor_Meciuri'!L92=12,'Motor_Meciuri'!M92="NO",'Motor_Meciuri'!BL92='Motor_Meciuri'!C92,AB1210&gt;='Config_v6'!$B$50,AN1210&gt;='Config_v6'!$B$51,T1210&lt;='Config_v6'!$B$52,L1210&lt;='Config_v6'!$B$53,ISNUMBER('Calibrare_Linii'!E6),S1210&lt;='Calibrare_Linii'!E6,SUM(AK1210:AM1210)&gt;0),"CANDIDATE","NO"))</x:f>
      </x:c>
      <x:c r="Y1210" s="2" t="str">
        <x:f>IF(B1210="","",IF(I1210&lt;&gt;"READY","NOT RELEASED",IF(AND(X1210="CANDIDATE",V1210&gt;='Config_v6'!$B$51,W1210="PASS",'Calibrare_Linii'!T6="VALIDATED",AND('Calibrare_Linii'!H6=C1210,ISNUMBER('Calibrare_Linii'!J6),'Calibrare_Linii'!J6&lt;='Input_Meci'!G92)),"PASS",IF(X1210="CANDIDATE","OOS PENDING","FAIL"))))</x:f>
      </x:c>
      <x:c r="Z1210" s="2" t="str">
        <x:f>IF(B1210="","",IF(I1210&lt;&gt;"READY","",IF(OR(NOT(AND(J1210="PASS",'Calibrare_Linii'!U6="VALID")),L1210&gt;'Config_v6'!$B$13,W1210="WATCH"),5,IF(Y1210="PASS",1,MIN(5,MAX('Config_v6'!$B$42,U1210)+IF(W1210="PENALTY",1,0))))))</x:f>
      </x:c>
      <x:c r="AA1210" s="2" t="str">
        <x:f>IF(B1210="","",IF(I1210&lt;&gt;"READY","NOT RELEASED",IF(Z1210=5,"NO BET",IF(OR(AB1210&lt;'Config_v6'!$B$16,V1210&lt;'Config_v6'!$B$18),"WATCH",IF(Z1210=1,"DEFENSIV",IF(Z1210=2,"PRUDENT",IF(Z1210=3,"MODERAT","RIDICAT")))))))</x:f>
      </x:c>
      <x:c r="AB1210" s="10" t="str">
        <x:f>IF(N1210="","",MIN(N1210,1-S1210))</x:f>
      </x:c>
      <x:c r="AC1210" s="2" t="str">
        <x:f>IF(AD1210&lt;&gt;1,"",COUNTIFS($Z$1210:$Z$1223,"&lt;"&amp;Z1210,$AD$1210:$AD$1223,1)+COUNTIFS($Z$1210:$Z$1223,Z1210,$AB$1210:$AB$1223,"&gt;"&amp;AB1210,$AD$1210:$AD$1223,1)+COUNTIFS($Z$1210:$Z$1223,Z1210,$AB$1210:$AB$1223,AB1210,$V$1210:$V$1223,"&gt;"&amp;V1210,$AD$1210:$AD$1223,1)+COUNTIFS($Z$1210:Z1210,Z1210,$AB$1210:AB1210,AB1210,$V$1210:V1210,V1210,$AD$1210:AD1210,1))</x:f>
      </x:c>
      <x:c r="AD1210" s="2" t="n">
        <x:f>IF(OR(AA1210="DEFENSIV",AA1210="PRUDENT",AA1210="MODERAT",AA1210="RIDICAT"),1,0)</x:f>
        <x:v>0</x:v>
      </x:c>
      <x:c r="AE1210" s="2" t="str">
        <x:f>IF(AD1210&lt;&gt;1,"NO",IF(W1210="PASS","YES",IF(W1210="OOS PENDING","CONDITIONAL","NO")))</x:f>
        <x:v>NO</x:v>
      </x:c>
      <x:c r="AF1210" s="2" t="n">
        <x:f>IF(AND(AD1210=1,AC1210=1,E1210="LIVE"),1,0)</x:f>
        <x:v>0</x:v>
      </x:c>
      <x:c r="AG1210" s="2" t="str">
        <x:f>IF(AF1210&lt;&gt;1,"",'Dashboard'!P112)</x:f>
      </x:c>
      <x:c r="AH1210" s="2" t="str">
        <x:f>IF(B1210="","",IF(J1210&lt;&gt;"PASS",'Motor_Meciuri'!J92,IF('Calibrare_Linii'!U6&lt;&gt;"VALID","Parametri linie invalizi",IF(L1210&gt;'Config_v6'!$B$13,"Dispersie peste limita",IF(W1210="WATCH","Failure peste limita",IF(AB1210&lt;'Config_v6'!$B$16,"P finala sub prag",IF(V1210&lt;'Config_v6'!$B$18,"Confidence sub prag",IF(E1210="REPLAY","Exemplu retrospectiv; exclus din Top LIVE",IF(Y1210="PASS","DEFENSIV validat",IF(W1210="OOS PENDING","Eligibil; calibrare linie in monitorizare","Eligibil"))))))))))</x:f>
      </x:c>
      <x:c r="AI1210" s="2" t="str">
        <x:f>IF(B1210="","",'Calibrare_Linii'!V6)</x:f>
      </x:c>
      <x:c r="AJ1210" s="2" t="str">
        <x:f>IF(B1210="","",IF(AND('Calibrare_Linii'!T6="VALIDATED",AND('Calibrare_Linii'!H6=C1210,ISNUMBER('Calibrare_Linii'!J6),'Calibrare_Linii'!J6&lt;='Input_Meci'!G92)),"DEFENSIVE VALIDATED",IF(AND('Calibrare_Linii'!S6="VALIDATED",AND('Calibrare_Linii'!H6=C1210,ISNUMBER('Calibrare_Linii'!J6),'Calibrare_Linii'!J6&lt;='Input_Meci'!G92)),"TAIL VALIDATED","OOS PENDING")))</x:f>
      </x:c>
      <x:c r="AK1210" s="2" t="n">
        <x:f>IF(J1210&lt;&gt;"PASS",0,'Motor_Meciuri'!BR92)</x:f>
        <x:v>0</x:v>
      </x:c>
      <x:c r="AL1210" s="2" t="n">
        <x:f>IF(J1210&lt;&gt;"PASS",0,'Motor_Meciuri'!BS92)</x:f>
        <x:v>0</x:v>
      </x:c>
      <x:c r="AM1210" s="2" t="n">
        <x:f>IF(J1210&lt;&gt;"PASS",0,'Motor_Meciuri'!BT92)</x:f>
        <x:v>0</x:v>
      </x:c>
      <x:c r="AN1210" s="2" t="str">
        <x:f>IF(M1210="","",MAX(0,'Motor_Meciuri'!BF92-IF(L1210&gt;'Config_v6'!$B$12,'Config_v6'!$B$37,IF(L1210&gt;'Config_v6'!$B$11,'Config_v6'!$B$36,0))))</x:f>
      </x:c>
    </x:row>
    <x:row r="1211" ht="21" customHeight="1">
      <x:c r="A1211" s="2" t="n">
        <x:v>87</x:v>
      </x:c>
      <x:c r="B1211" s="2" t="str">
        <x:f>IF('Motor_Meciuri'!A92="","",'Motor_Meciuri'!A92)</x:f>
      </x:c>
      <x:c r="C1211" s="2" t="str">
        <x:f>IF(B1211="","",'Motor_Meciuri'!B92)</x:f>
      </x:c>
      <x:c r="D1211" s="2" t="str">
        <x:f>IF(B1211="","",'Motor_Meciuri'!D92)</x:f>
      </x:c>
      <x:c r="E1211" s="2" t="str">
        <x:f>IF(B1211="","",'Motor_Meciuri'!E92)</x:f>
      </x:c>
      <x:c r="F1211" s="2" t="str">
        <x:v>O4,5</x:v>
      </x:c>
      <x:c r="G1211" s="2" t="str">
        <x:v>OVER</x:v>
      </x:c>
      <x:c r="H1211" s="2" t="n">
        <x:v>4</x:v>
      </x:c>
      <x:c r="I1211" s="2" t="str">
        <x:f>IF(B1211="","",'Motor_Meciuri'!H92)</x:f>
      </x:c>
      <x:c r="J1211" s="2" t="str">
        <x:f>IF(B1211="","",'Motor_Meciuri'!I92)</x:f>
      </x:c>
      <x:c r="K1211" s="11" t="str">
        <x:f>IF(J1211&lt;&gt;"PASS","",'Motor_Meciuri'!BD92)</x:f>
      </x:c>
      <x:c r="L1211" s="11" t="str">
        <x:f>IF(J1211&lt;&gt;"PASS","",'Motor_Meciuri'!AU92)</x:f>
      </x:c>
      <x:c r="M1211" s="10" t="str">
        <x:f>IF(NOT(AND(J1211="PASS",'Calibrare_Linii'!U7="VALID")),"",1-'Distributie'!AB92)</x:f>
      </x:c>
      <x:c r="N1211" s="10" t="str">
        <x:f>IF(M1211="","",MAX(0.01,MIN(0.99,0.5+(M1211-0.5)*'Motor_Meciuri'!BG92*'Calibrare_Linii'!D7)))</x:f>
      </x:c>
      <x:c r="O1211" s="10" t="str">
        <x:f>IF(M1211="","",1-M1211)</x:f>
      </x:c>
      <x:c r="P1211" s="10" t="str">
        <x:f>IF(OR(NOT(AND(J1211="PASS",'Calibrare_Linii'!U7="VALID")),AK1211=0),""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*('Istoric_Nativ'!$Q$6:$Q$405&lt;=H1211))/AK1211)</x:f>
      </x:c>
      <x:c r="Q1211" s="10" t="str">
        <x:f>IF(OR(NOT(AND(J1211="PASS",'Calibrare_Linii'!U7="VALID")),AL1211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M92)+((('Istoric_Nativ'!$E$6:$E$405='Input_Meci'!E92)+('Istoric_Nativ'!$F$6:$F$405='Input_Meci'!E92))&gt;0)*('Istoric_Nativ'!$D$6:$D$405&gt;='Motor_Meciuri'!BN92))&gt;0)*('Istoric_Nativ'!$Q$6:$Q$405&lt;=H1211))/AL1211)</x:f>
      </x:c>
      <x:c r="R1211" s="10" t="str">
        <x:f>IF(OR(NOT(AND(J1211="PASS",'Calibrare_Linii'!U7="VALID")),AM1211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O92)+((('Istoric_Nativ'!$E$6:$E$405='Input_Meci'!E92)+('Istoric_Nativ'!$F$6:$F$405='Input_Meci'!E92))&gt;0)*('Istoric_Nativ'!$D$6:$D$405&gt;='Motor_Meciuri'!BP92))&gt;0)*('Istoric_Nativ'!$Q$6:$Q$405&lt;=H1211))/AM1211)</x:f>
      </x:c>
      <x:c r="S1211" s="10" t="str">
        <x:f>IF(M1211="","",MAX(O1211,P1211,Q1211,R1211))</x:f>
      </x:c>
      <x:c r="T1211" s="11" t="str">
        <x:f>IF(M1211="","",MIN(100,S1211*100*'Config_v6'!$B$44+MIN(100,L1211/'Config_v6'!$B$13*100)*'Config_v6'!$B$45+(100-'Motor_Meciuri'!BF92)*'Config_v6'!$B$46+'Motor_Meciuri'!BH92*100*'Config_v6'!$B$47))</x:f>
      </x:c>
      <x:c r="U1211" s="2" t="str">
        <x:f>IF(T1211="","",IF(T1211&lt;=20,1,IF(T1211&lt;=40,2,IF(T1211&lt;=60,3,IF(T1211&lt;=80,4,5)))))</x:f>
      </x:c>
      <x:c r="V1211" s="2" t="str">
        <x:f>IF(M1211="","",MAX(0,'Motor_Meciuri'!BF92-IF(W1211="OOS PENDING",'Config_v6'!$B$35,0)-IF(L1211&gt;'Config_v6'!$B$12,'Config_v6'!$B$37,IF(L1211&gt;'Config_v6'!$B$11,'Config_v6'!$B$36,0))))</x:f>
      </x:c>
      <x:c r="W1211" s="2" t="str">
        <x:f>IF(B1211="","",IF(I1211&lt;&gt;"READY","NOT RELEASED",IF(NOT(AND(J1211="PASS",'Calibrare_Linii'!U7="VALID")),"INVALID",IF(NOT(AND('Calibrare_Linii'!S7="VALIDATED",AND('Calibrare_Linii'!H7=C1211,ISNUMBER('Calibrare_Linii'!J7),'Calibrare_Linii'!J7&lt;='Input_Meci'!G92))),"OOS PENDING",IF(S1211&lt;='Calibrare_Linii'!E7,"PASS",IF(S1211&lt;='Calibrare_Linii'!F7,"PENALTY","WATCH"))))))</x:f>
      </x:c>
      <x:c r="X1211" s="2" t="str">
        <x:f>IF(M1211="","",IF(AND(AND(J1211="PASS",'Calibrare_Linii'!U7="VALID"),'Motor_Meciuri'!K92=12,'Motor_Meciuri'!L92=12,'Motor_Meciuri'!M92="NO",'Motor_Meciuri'!BL92='Motor_Meciuri'!C92,AB1211&gt;='Config_v6'!$B$50,AN1211&gt;='Config_v6'!$B$51,T1211&lt;='Config_v6'!$B$52,L1211&lt;='Config_v6'!$B$53,ISNUMBER('Calibrare_Linii'!E7),S1211&lt;='Calibrare_Linii'!E7,SUM(AK1211:AM1211)&gt;0),"CANDIDATE","NO"))</x:f>
      </x:c>
      <x:c r="Y1211" s="2" t="str">
        <x:f>IF(B1211="","",IF(I1211&lt;&gt;"READY","NOT RELEASED",IF(AND(X1211="CANDIDATE",V1211&gt;='Config_v6'!$B$51,W1211="PASS",'Calibrare_Linii'!T7="VALIDATED",AND('Calibrare_Linii'!H7=C1211,ISNUMBER('Calibrare_Linii'!J7),'Calibrare_Linii'!J7&lt;='Input_Meci'!G92)),"PASS",IF(X1211="CANDIDATE","OOS PENDING","FAIL"))))</x:f>
      </x:c>
      <x:c r="Z1211" s="2" t="str">
        <x:f>IF(B1211="","",IF(I1211&lt;&gt;"READY","",IF(OR(NOT(AND(J1211="PASS",'Calibrare_Linii'!U7="VALID")),L1211&gt;'Config_v6'!$B$13,W1211="WATCH"),5,IF(Y1211="PASS",1,MIN(5,MAX('Config_v6'!$B$42,U1211)+IF(W1211="PENALTY",1,0))))))</x:f>
      </x:c>
      <x:c r="AA1211" s="2" t="str">
        <x:f>IF(B1211="","",IF(I1211&lt;&gt;"READY","NOT RELEASED",IF(Z1211=5,"NO BET",IF(OR(AB1211&lt;'Config_v6'!$B$16,V1211&lt;'Config_v6'!$B$18),"WATCH",IF(Z1211=1,"DEFENSIV",IF(Z1211=2,"PRUDENT",IF(Z1211=3,"MODERAT","RIDICAT")))))))</x:f>
      </x:c>
      <x:c r="AB1211" s="10" t="str">
        <x:f>IF(N1211="","",MIN(N1211,1-S1211))</x:f>
      </x:c>
      <x:c r="AC1211" s="2" t="str">
        <x:f>IF(AD1211&lt;&gt;1,"",COUNTIFS($Z$1210:$Z$1223,"&lt;"&amp;Z1211,$AD$1210:$AD$1223,1)+COUNTIFS($Z$1210:$Z$1223,Z1211,$AB$1210:$AB$1223,"&gt;"&amp;AB1211,$AD$1210:$AD$1223,1)+COUNTIFS($Z$1210:$Z$1223,Z1211,$AB$1210:$AB$1223,AB1211,$V$1210:$V$1223,"&gt;"&amp;V1211,$AD$1210:$AD$1223,1)+COUNTIFS($Z$1210:Z1211,Z1211,$AB$1210:AB1211,AB1211,$V$1210:V1211,V1211,$AD$1210:AD1211,1))</x:f>
      </x:c>
      <x:c r="AD1211" s="2" t="n">
        <x:f>IF(OR(AA1211="DEFENSIV",AA1211="PRUDENT",AA1211="MODERAT",AA1211="RIDICAT"),1,0)</x:f>
        <x:v>0</x:v>
      </x:c>
      <x:c r="AE1211" s="2" t="str">
        <x:f>IF(AD1211&lt;&gt;1,"NO",IF(W1211="PASS","YES",IF(W1211="OOS PENDING","CONDITIONAL","NO")))</x:f>
        <x:v>NO</x:v>
      </x:c>
      <x:c r="AF1211" s="2" t="n">
        <x:f>IF(AND(AD1211=1,AC1211=1,E1211="LIVE"),1,0)</x:f>
        <x:v>0</x:v>
      </x:c>
      <x:c r="AG1211" s="2" t="str">
        <x:f>IF(AF1211&lt;&gt;1,"",'Dashboard'!P112)</x:f>
      </x:c>
      <x:c r="AH1211" s="2" t="str">
        <x:f>IF(B1211="","",IF(J1211&lt;&gt;"PASS",'Motor_Meciuri'!J92,IF('Calibrare_Linii'!U7&lt;&gt;"VALID","Parametri linie invalizi",IF(L1211&gt;'Config_v6'!$B$13,"Dispersie peste limita",IF(W1211="WATCH","Failure peste limita",IF(AB1211&lt;'Config_v6'!$B$16,"P finala sub prag",IF(V1211&lt;'Config_v6'!$B$18,"Confidence sub prag",IF(E1211="REPLAY","Exemplu retrospectiv; exclus din Top LIVE",IF(Y1211="PASS","DEFENSIV validat",IF(W1211="OOS PENDING","Eligibil; calibrare linie in monitorizare","Eligibil"))))))))))</x:f>
      </x:c>
      <x:c r="AI1211" s="2" t="str">
        <x:f>IF(B1211="","",'Calibrare_Linii'!V7)</x:f>
      </x:c>
      <x:c r="AJ1211" s="2" t="str">
        <x:f>IF(B1211="","",IF(AND('Calibrare_Linii'!T7="VALIDATED",AND('Calibrare_Linii'!H7=C1211,ISNUMBER('Calibrare_Linii'!J7),'Calibrare_Linii'!J7&lt;='Input_Meci'!G92)),"DEFENSIVE VALIDATED",IF(AND('Calibrare_Linii'!S7="VALIDATED",AND('Calibrare_Linii'!H7=C1211,ISNUMBER('Calibrare_Linii'!J7),'Calibrare_Linii'!J7&lt;='Input_Meci'!G92)),"TAIL VALIDATED","OOS PENDING")))</x:f>
      </x:c>
      <x:c r="AK1211" s="2" t="n">
        <x:f>IF(J1211&lt;&gt;"PASS",0,'Motor_Meciuri'!BR92)</x:f>
        <x:v>0</x:v>
      </x:c>
      <x:c r="AL1211" s="2" t="n">
        <x:f>IF(J1211&lt;&gt;"PASS",0,'Motor_Meciuri'!BS92)</x:f>
        <x:v>0</x:v>
      </x:c>
      <x:c r="AM1211" s="2" t="n">
        <x:f>IF(J1211&lt;&gt;"PASS",0,'Motor_Meciuri'!BT92)</x:f>
        <x:v>0</x:v>
      </x:c>
      <x:c r="AN1211" s="2" t="str">
        <x:f>IF(M1211="","",MAX(0,'Motor_Meciuri'!BF92-IF(L1211&gt;'Config_v6'!$B$12,'Config_v6'!$B$37,IF(L1211&gt;'Config_v6'!$B$11,'Config_v6'!$B$36,0))))</x:f>
      </x:c>
    </x:row>
    <x:row r="1212" ht="21" customHeight="1">
      <x:c r="A1212" s="2" t="n">
        <x:v>87</x:v>
      </x:c>
      <x:c r="B1212" s="2" t="str">
        <x:f>IF('Motor_Meciuri'!A92="","",'Motor_Meciuri'!A92)</x:f>
      </x:c>
      <x:c r="C1212" s="2" t="str">
        <x:f>IF(B1212="","",'Motor_Meciuri'!B92)</x:f>
      </x:c>
      <x:c r="D1212" s="2" t="str">
        <x:f>IF(B1212="","",'Motor_Meciuri'!D92)</x:f>
      </x:c>
      <x:c r="E1212" s="2" t="str">
        <x:f>IF(B1212="","",'Motor_Meciuri'!E92)</x:f>
      </x:c>
      <x:c r="F1212" s="2" t="str">
        <x:v>O5,5</x:v>
      </x:c>
      <x:c r="G1212" s="2" t="str">
        <x:v>OVER</x:v>
      </x:c>
      <x:c r="H1212" s="2" t="n">
        <x:v>5</x:v>
      </x:c>
      <x:c r="I1212" s="2" t="str">
        <x:f>IF(B1212="","",'Motor_Meciuri'!H92)</x:f>
      </x:c>
      <x:c r="J1212" s="2" t="str">
        <x:f>IF(B1212="","",'Motor_Meciuri'!I92)</x:f>
      </x:c>
      <x:c r="K1212" s="11" t="str">
        <x:f>IF(J1212&lt;&gt;"PASS","",'Motor_Meciuri'!BD92)</x:f>
      </x:c>
      <x:c r="L1212" s="11" t="str">
        <x:f>IF(J1212&lt;&gt;"PASS","",'Motor_Meciuri'!AU92)</x:f>
      </x:c>
      <x:c r="M1212" s="10" t="str">
        <x:f>IF(NOT(AND(J1212="PASS",'Calibrare_Linii'!U8="VALID")),"",1-'Distributie'!AC92)</x:f>
      </x:c>
      <x:c r="N1212" s="10" t="str">
        <x:f>IF(M1212="","",MAX(0.01,MIN(0.99,0.5+(M1212-0.5)*'Motor_Meciuri'!BG92*'Calibrare_Linii'!D8)))</x:f>
      </x:c>
      <x:c r="O1212" s="10" t="str">
        <x:f>IF(M1212="","",1-M1212)</x:f>
      </x:c>
      <x:c r="P1212" s="10" t="str">
        <x:f>IF(OR(NOT(AND(J1212="PASS",'Calibrare_Linii'!U8="VALID")),AK1212=0),""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*('Istoric_Nativ'!$Q$6:$Q$405&lt;=H1212))/AK1212)</x:f>
      </x:c>
      <x:c r="Q1212" s="10" t="str">
        <x:f>IF(OR(NOT(AND(J1212="PASS",'Calibrare_Linii'!U8="VALID")),AL1212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M92)+((('Istoric_Nativ'!$E$6:$E$405='Input_Meci'!E92)+('Istoric_Nativ'!$F$6:$F$405='Input_Meci'!E92))&gt;0)*('Istoric_Nativ'!$D$6:$D$405&gt;='Motor_Meciuri'!BN92))&gt;0)*('Istoric_Nativ'!$Q$6:$Q$405&lt;=H1212))/AL1212)</x:f>
      </x:c>
      <x:c r="R1212" s="10" t="str">
        <x:f>IF(OR(NOT(AND(J1212="PASS",'Calibrare_Linii'!U8="VALID")),AM1212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O92)+((('Istoric_Nativ'!$E$6:$E$405='Input_Meci'!E92)+('Istoric_Nativ'!$F$6:$F$405='Input_Meci'!E92))&gt;0)*('Istoric_Nativ'!$D$6:$D$405&gt;='Motor_Meciuri'!BP92))&gt;0)*('Istoric_Nativ'!$Q$6:$Q$405&lt;=H1212))/AM1212)</x:f>
      </x:c>
      <x:c r="S1212" s="10" t="str">
        <x:f>IF(M1212="","",MAX(O1212,P1212,Q1212,R1212))</x:f>
      </x:c>
      <x:c r="T1212" s="11" t="str">
        <x:f>IF(M1212="","",MIN(100,S1212*100*'Config_v6'!$B$44+MIN(100,L1212/'Config_v6'!$B$13*100)*'Config_v6'!$B$45+(100-'Motor_Meciuri'!BF92)*'Config_v6'!$B$46+'Motor_Meciuri'!BH92*100*'Config_v6'!$B$47))</x:f>
      </x:c>
      <x:c r="U1212" s="2" t="str">
        <x:f>IF(T1212="","",IF(T1212&lt;=20,1,IF(T1212&lt;=40,2,IF(T1212&lt;=60,3,IF(T1212&lt;=80,4,5)))))</x:f>
      </x:c>
      <x:c r="V1212" s="2" t="str">
        <x:f>IF(M1212="","",MAX(0,'Motor_Meciuri'!BF92-IF(W1212="OOS PENDING",'Config_v6'!$B$35,0)-IF(L1212&gt;'Config_v6'!$B$12,'Config_v6'!$B$37,IF(L1212&gt;'Config_v6'!$B$11,'Config_v6'!$B$36,0))))</x:f>
      </x:c>
      <x:c r="W1212" s="2" t="str">
        <x:f>IF(B1212="","",IF(I1212&lt;&gt;"READY","NOT RELEASED",IF(NOT(AND(J1212="PASS",'Calibrare_Linii'!U8="VALID")),"INVALID",IF(NOT(AND('Calibrare_Linii'!S8="VALIDATED",AND('Calibrare_Linii'!H8=C1212,ISNUMBER('Calibrare_Linii'!J8),'Calibrare_Linii'!J8&lt;='Input_Meci'!G92))),"OOS PENDING",IF(S1212&lt;='Calibrare_Linii'!E8,"PASS",IF(S1212&lt;='Calibrare_Linii'!F8,"PENALTY","WATCH"))))))</x:f>
      </x:c>
      <x:c r="X1212" s="2" t="str">
        <x:f>IF(M1212="","",IF(AND(AND(J1212="PASS",'Calibrare_Linii'!U8="VALID"),'Motor_Meciuri'!K92=12,'Motor_Meciuri'!L92=12,'Motor_Meciuri'!M92="NO",'Motor_Meciuri'!BL92='Motor_Meciuri'!C92,AB1212&gt;='Config_v6'!$B$50,AN1212&gt;='Config_v6'!$B$51,T1212&lt;='Config_v6'!$B$52,L1212&lt;='Config_v6'!$B$53,ISNUMBER('Calibrare_Linii'!E8),S1212&lt;='Calibrare_Linii'!E8,SUM(AK1212:AM1212)&gt;0),"CANDIDATE","NO"))</x:f>
      </x:c>
      <x:c r="Y1212" s="2" t="str">
        <x:f>IF(B1212="","",IF(I1212&lt;&gt;"READY","NOT RELEASED",IF(AND(X1212="CANDIDATE",V1212&gt;='Config_v6'!$B$51,W1212="PASS",'Calibrare_Linii'!T8="VALIDATED",AND('Calibrare_Linii'!H8=C1212,ISNUMBER('Calibrare_Linii'!J8),'Calibrare_Linii'!J8&lt;='Input_Meci'!G92)),"PASS",IF(X1212="CANDIDATE","OOS PENDING","FAIL"))))</x:f>
      </x:c>
      <x:c r="Z1212" s="2" t="str">
        <x:f>IF(B1212="","",IF(I1212&lt;&gt;"READY","",IF(OR(NOT(AND(J1212="PASS",'Calibrare_Linii'!U8="VALID")),L1212&gt;'Config_v6'!$B$13,W1212="WATCH"),5,IF(Y1212="PASS",1,MIN(5,MAX('Config_v6'!$B$42,U1212)+IF(W1212="PENALTY",1,0))))))</x:f>
      </x:c>
      <x:c r="AA1212" s="2" t="str">
        <x:f>IF(B1212="","",IF(I1212&lt;&gt;"READY","NOT RELEASED",IF(Z1212=5,"NO BET",IF(OR(AB1212&lt;'Config_v6'!$B$16,V1212&lt;'Config_v6'!$B$18),"WATCH",IF(Z1212=1,"DEFENSIV",IF(Z1212=2,"PRUDENT",IF(Z1212=3,"MODERAT","RIDICAT")))))))</x:f>
      </x:c>
      <x:c r="AB1212" s="10" t="str">
        <x:f>IF(N1212="","",MIN(N1212,1-S1212))</x:f>
      </x:c>
      <x:c r="AC1212" s="2" t="str">
        <x:f>IF(AD1212&lt;&gt;1,"",COUNTIFS($Z$1210:$Z$1223,"&lt;"&amp;Z1212,$AD$1210:$AD$1223,1)+COUNTIFS($Z$1210:$Z$1223,Z1212,$AB$1210:$AB$1223,"&gt;"&amp;AB1212,$AD$1210:$AD$1223,1)+COUNTIFS($Z$1210:$Z$1223,Z1212,$AB$1210:$AB$1223,AB1212,$V$1210:$V$1223,"&gt;"&amp;V1212,$AD$1210:$AD$1223,1)+COUNTIFS($Z$1210:Z1212,Z1212,$AB$1210:AB1212,AB1212,$V$1210:V1212,V1212,$AD$1210:AD1212,1))</x:f>
      </x:c>
      <x:c r="AD1212" s="2" t="n">
        <x:f>IF(OR(AA1212="DEFENSIV",AA1212="PRUDENT",AA1212="MODERAT",AA1212="RIDICAT"),1,0)</x:f>
        <x:v>0</x:v>
      </x:c>
      <x:c r="AE1212" s="2" t="str">
        <x:f>IF(AD1212&lt;&gt;1,"NO",IF(W1212="PASS","YES",IF(W1212="OOS PENDING","CONDITIONAL","NO")))</x:f>
        <x:v>NO</x:v>
      </x:c>
      <x:c r="AF1212" s="2" t="n">
        <x:f>IF(AND(AD1212=1,AC1212=1,E1212="LIVE"),1,0)</x:f>
        <x:v>0</x:v>
      </x:c>
      <x:c r="AG1212" s="2" t="str">
        <x:f>IF(AF1212&lt;&gt;1,"",'Dashboard'!P112)</x:f>
      </x:c>
      <x:c r="AH1212" s="2" t="str">
        <x:f>IF(B1212="","",IF(J1212&lt;&gt;"PASS",'Motor_Meciuri'!J92,IF('Calibrare_Linii'!U8&lt;&gt;"VALID","Parametri linie invalizi",IF(L1212&gt;'Config_v6'!$B$13,"Dispersie peste limita",IF(W1212="WATCH","Failure peste limita",IF(AB1212&lt;'Config_v6'!$B$16,"P finala sub prag",IF(V1212&lt;'Config_v6'!$B$18,"Confidence sub prag",IF(E1212="REPLAY","Exemplu retrospectiv; exclus din Top LIVE",IF(Y1212="PASS","DEFENSIV validat",IF(W1212="OOS PENDING","Eligibil; calibrare linie in monitorizare","Eligibil"))))))))))</x:f>
      </x:c>
      <x:c r="AI1212" s="2" t="str">
        <x:f>IF(B1212="","",'Calibrare_Linii'!V8)</x:f>
      </x:c>
      <x:c r="AJ1212" s="2" t="str">
        <x:f>IF(B1212="","",IF(AND('Calibrare_Linii'!T8="VALIDATED",AND('Calibrare_Linii'!H8=C1212,ISNUMBER('Calibrare_Linii'!J8),'Calibrare_Linii'!J8&lt;='Input_Meci'!G92)),"DEFENSIVE VALIDATED",IF(AND('Calibrare_Linii'!S8="VALIDATED",AND('Calibrare_Linii'!H8=C1212,ISNUMBER('Calibrare_Linii'!J8),'Calibrare_Linii'!J8&lt;='Input_Meci'!G92)),"TAIL VALIDATED","OOS PENDING")))</x:f>
      </x:c>
      <x:c r="AK1212" s="2" t="n">
        <x:f>IF(J1212&lt;&gt;"PASS",0,'Motor_Meciuri'!BR92)</x:f>
        <x:v>0</x:v>
      </x:c>
      <x:c r="AL1212" s="2" t="n">
        <x:f>IF(J1212&lt;&gt;"PASS",0,'Motor_Meciuri'!BS92)</x:f>
        <x:v>0</x:v>
      </x:c>
      <x:c r="AM1212" s="2" t="n">
        <x:f>IF(J1212&lt;&gt;"PASS",0,'Motor_Meciuri'!BT92)</x:f>
        <x:v>0</x:v>
      </x:c>
      <x:c r="AN1212" s="2" t="str">
        <x:f>IF(M1212="","",MAX(0,'Motor_Meciuri'!BF92-IF(L1212&gt;'Config_v6'!$B$12,'Config_v6'!$B$37,IF(L1212&gt;'Config_v6'!$B$11,'Config_v6'!$B$36,0))))</x:f>
      </x:c>
    </x:row>
    <x:row r="1213" ht="21" customHeight="1">
      <x:c r="A1213" s="2" t="n">
        <x:v>87</x:v>
      </x:c>
      <x:c r="B1213" s="2" t="str">
        <x:f>IF('Motor_Meciuri'!A92="","",'Motor_Meciuri'!A92)</x:f>
      </x:c>
      <x:c r="C1213" s="2" t="str">
        <x:f>IF(B1213="","",'Motor_Meciuri'!B92)</x:f>
      </x:c>
      <x:c r="D1213" s="2" t="str">
        <x:f>IF(B1213="","",'Motor_Meciuri'!D92)</x:f>
      </x:c>
      <x:c r="E1213" s="2" t="str">
        <x:f>IF(B1213="","",'Motor_Meciuri'!E92)</x:f>
      </x:c>
      <x:c r="F1213" s="2" t="str">
        <x:v>O6,5</x:v>
      </x:c>
      <x:c r="G1213" s="2" t="str">
        <x:v>OVER</x:v>
      </x:c>
      <x:c r="H1213" s="2" t="n">
        <x:v>6</x:v>
      </x:c>
      <x:c r="I1213" s="2" t="str">
        <x:f>IF(B1213="","",'Motor_Meciuri'!H92)</x:f>
      </x:c>
      <x:c r="J1213" s="2" t="str">
        <x:f>IF(B1213="","",'Motor_Meciuri'!I92)</x:f>
      </x:c>
      <x:c r="K1213" s="11" t="str">
        <x:f>IF(J1213&lt;&gt;"PASS","",'Motor_Meciuri'!BD92)</x:f>
      </x:c>
      <x:c r="L1213" s="11" t="str">
        <x:f>IF(J1213&lt;&gt;"PASS","",'Motor_Meciuri'!AU92)</x:f>
      </x:c>
      <x:c r="M1213" s="10" t="str">
        <x:f>IF(NOT(AND(J1213="PASS",'Calibrare_Linii'!U9="VALID")),"",1-'Distributie'!AD92)</x:f>
      </x:c>
      <x:c r="N1213" s="10" t="str">
        <x:f>IF(M1213="","",MAX(0.01,MIN(0.99,0.5+(M1213-0.5)*'Motor_Meciuri'!BG92*'Calibrare_Linii'!D9)))</x:f>
      </x:c>
      <x:c r="O1213" s="10" t="str">
        <x:f>IF(M1213="","",1-M1213)</x:f>
      </x:c>
      <x:c r="P1213" s="10" t="str">
        <x:f>IF(OR(NOT(AND(J1213="PASS",'Calibrare_Linii'!U9="VALID")),AK1213=0),""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*('Istoric_Nativ'!$Q$6:$Q$405&lt;=H1213))/AK1213)</x:f>
      </x:c>
      <x:c r="Q1213" s="10" t="str">
        <x:f>IF(OR(NOT(AND(J1213="PASS",'Calibrare_Linii'!U9="VALID")),AL1213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M92)+((('Istoric_Nativ'!$E$6:$E$405='Input_Meci'!E92)+('Istoric_Nativ'!$F$6:$F$405='Input_Meci'!E92))&gt;0)*('Istoric_Nativ'!$D$6:$D$405&gt;='Motor_Meciuri'!BN92))&gt;0)*('Istoric_Nativ'!$Q$6:$Q$405&lt;=H1213))/AL1213)</x:f>
      </x:c>
      <x:c r="R1213" s="10" t="str">
        <x:f>IF(OR(NOT(AND(J1213="PASS",'Calibrare_Linii'!U9="VALID")),AM1213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O92)+((('Istoric_Nativ'!$E$6:$E$405='Input_Meci'!E92)+('Istoric_Nativ'!$F$6:$F$405='Input_Meci'!E92))&gt;0)*('Istoric_Nativ'!$D$6:$D$405&gt;='Motor_Meciuri'!BP92))&gt;0)*('Istoric_Nativ'!$Q$6:$Q$405&lt;=H1213))/AM1213)</x:f>
      </x:c>
      <x:c r="S1213" s="10" t="str">
        <x:f>IF(M1213="","",MAX(O1213,P1213,Q1213,R1213))</x:f>
      </x:c>
      <x:c r="T1213" s="11" t="str">
        <x:f>IF(M1213="","",MIN(100,S1213*100*'Config_v6'!$B$44+MIN(100,L1213/'Config_v6'!$B$13*100)*'Config_v6'!$B$45+(100-'Motor_Meciuri'!BF92)*'Config_v6'!$B$46+'Motor_Meciuri'!BH92*100*'Config_v6'!$B$47))</x:f>
      </x:c>
      <x:c r="U1213" s="2" t="str">
        <x:f>IF(T1213="","",IF(T1213&lt;=20,1,IF(T1213&lt;=40,2,IF(T1213&lt;=60,3,IF(T1213&lt;=80,4,5)))))</x:f>
      </x:c>
      <x:c r="V1213" s="2" t="str">
        <x:f>IF(M1213="","",MAX(0,'Motor_Meciuri'!BF92-IF(W1213="OOS PENDING",'Config_v6'!$B$35,0)-IF(L1213&gt;'Config_v6'!$B$12,'Config_v6'!$B$37,IF(L1213&gt;'Config_v6'!$B$11,'Config_v6'!$B$36,0))))</x:f>
      </x:c>
      <x:c r="W1213" s="2" t="str">
        <x:f>IF(B1213="","",IF(I1213&lt;&gt;"READY","NOT RELEASED",IF(NOT(AND(J1213="PASS",'Calibrare_Linii'!U9="VALID")),"INVALID",IF(NOT(AND('Calibrare_Linii'!S9="VALIDATED",AND('Calibrare_Linii'!H9=C1213,ISNUMBER('Calibrare_Linii'!J9),'Calibrare_Linii'!J9&lt;='Input_Meci'!G92))),"OOS PENDING",IF(S1213&lt;='Calibrare_Linii'!E9,"PASS",IF(S1213&lt;='Calibrare_Linii'!F9,"PENALTY","WATCH"))))))</x:f>
      </x:c>
      <x:c r="X1213" s="2" t="str">
        <x:f>IF(M1213="","",IF(AND(AND(J1213="PASS",'Calibrare_Linii'!U9="VALID"),'Motor_Meciuri'!K92=12,'Motor_Meciuri'!L92=12,'Motor_Meciuri'!M92="NO",'Motor_Meciuri'!BL92='Motor_Meciuri'!C92,AB1213&gt;='Config_v6'!$B$50,AN1213&gt;='Config_v6'!$B$51,T1213&lt;='Config_v6'!$B$52,L1213&lt;='Config_v6'!$B$53,ISNUMBER('Calibrare_Linii'!E9),S1213&lt;='Calibrare_Linii'!E9,SUM(AK1213:AM1213)&gt;0),"CANDIDATE","NO"))</x:f>
      </x:c>
      <x:c r="Y1213" s="2" t="str">
        <x:f>IF(B1213="","",IF(I1213&lt;&gt;"READY","NOT RELEASED",IF(AND(X1213="CANDIDATE",V1213&gt;='Config_v6'!$B$51,W1213="PASS",'Calibrare_Linii'!T9="VALIDATED",AND('Calibrare_Linii'!H9=C1213,ISNUMBER('Calibrare_Linii'!J9),'Calibrare_Linii'!J9&lt;='Input_Meci'!G92)),"PASS",IF(X1213="CANDIDATE","OOS PENDING","FAIL"))))</x:f>
      </x:c>
      <x:c r="Z1213" s="2" t="str">
        <x:f>IF(B1213="","",IF(I1213&lt;&gt;"READY","",IF(OR(NOT(AND(J1213="PASS",'Calibrare_Linii'!U9="VALID")),L1213&gt;'Config_v6'!$B$13,W1213="WATCH"),5,IF(Y1213="PASS",1,MIN(5,MAX('Config_v6'!$B$42,U1213)+IF(W1213="PENALTY",1,0))))))</x:f>
      </x:c>
      <x:c r="AA1213" s="2" t="str">
        <x:f>IF(B1213="","",IF(I1213&lt;&gt;"READY","NOT RELEASED",IF(Z1213=5,"NO BET",IF(OR(AB1213&lt;'Config_v6'!$B$16,V1213&lt;'Config_v6'!$B$18),"WATCH",IF(Z1213=1,"DEFENSIV",IF(Z1213=2,"PRUDENT",IF(Z1213=3,"MODERAT","RIDICAT")))))))</x:f>
      </x:c>
      <x:c r="AB1213" s="10" t="str">
        <x:f>IF(N1213="","",MIN(N1213,1-S1213))</x:f>
      </x:c>
      <x:c r="AC1213" s="2" t="str">
        <x:f>IF(AD1213&lt;&gt;1,"",COUNTIFS($Z$1210:$Z$1223,"&lt;"&amp;Z1213,$AD$1210:$AD$1223,1)+COUNTIFS($Z$1210:$Z$1223,Z1213,$AB$1210:$AB$1223,"&gt;"&amp;AB1213,$AD$1210:$AD$1223,1)+COUNTIFS($Z$1210:$Z$1223,Z1213,$AB$1210:$AB$1223,AB1213,$V$1210:$V$1223,"&gt;"&amp;V1213,$AD$1210:$AD$1223,1)+COUNTIFS($Z$1210:Z1213,Z1213,$AB$1210:AB1213,AB1213,$V$1210:V1213,V1213,$AD$1210:AD1213,1))</x:f>
      </x:c>
      <x:c r="AD1213" s="2" t="n">
        <x:f>IF(OR(AA1213="DEFENSIV",AA1213="PRUDENT",AA1213="MODERAT",AA1213="RIDICAT"),1,0)</x:f>
        <x:v>0</x:v>
      </x:c>
      <x:c r="AE1213" s="2" t="str">
        <x:f>IF(AD1213&lt;&gt;1,"NO",IF(W1213="PASS","YES",IF(W1213="OOS PENDING","CONDITIONAL","NO")))</x:f>
        <x:v>NO</x:v>
      </x:c>
      <x:c r="AF1213" s="2" t="n">
        <x:f>IF(AND(AD1213=1,AC1213=1,E1213="LIVE"),1,0)</x:f>
        <x:v>0</x:v>
      </x:c>
      <x:c r="AG1213" s="2" t="str">
        <x:f>IF(AF1213&lt;&gt;1,"",'Dashboard'!P112)</x:f>
      </x:c>
      <x:c r="AH1213" s="2" t="str">
        <x:f>IF(B1213="","",IF(J1213&lt;&gt;"PASS",'Motor_Meciuri'!J92,IF('Calibrare_Linii'!U9&lt;&gt;"VALID","Parametri linie invalizi",IF(L1213&gt;'Config_v6'!$B$13,"Dispersie peste limita",IF(W1213="WATCH","Failure peste limita",IF(AB1213&lt;'Config_v6'!$B$16,"P finala sub prag",IF(V1213&lt;'Config_v6'!$B$18,"Confidence sub prag",IF(E1213="REPLAY","Exemplu retrospectiv; exclus din Top LIVE",IF(Y1213="PASS","DEFENSIV validat",IF(W1213="OOS PENDING","Eligibil; calibrare linie in monitorizare","Eligibil"))))))))))</x:f>
      </x:c>
      <x:c r="AI1213" s="2" t="str">
        <x:f>IF(B1213="","",'Calibrare_Linii'!V9)</x:f>
      </x:c>
      <x:c r="AJ1213" s="2" t="str">
        <x:f>IF(B1213="","",IF(AND('Calibrare_Linii'!T9="VALIDATED",AND('Calibrare_Linii'!H9=C1213,ISNUMBER('Calibrare_Linii'!J9),'Calibrare_Linii'!J9&lt;='Input_Meci'!G92)),"DEFENSIVE VALIDATED",IF(AND('Calibrare_Linii'!S9="VALIDATED",AND('Calibrare_Linii'!H9=C1213,ISNUMBER('Calibrare_Linii'!J9),'Calibrare_Linii'!J9&lt;='Input_Meci'!G92)),"TAIL VALIDATED","OOS PENDING")))</x:f>
      </x:c>
      <x:c r="AK1213" s="2" t="n">
        <x:f>IF(J1213&lt;&gt;"PASS",0,'Motor_Meciuri'!BR92)</x:f>
        <x:v>0</x:v>
      </x:c>
      <x:c r="AL1213" s="2" t="n">
        <x:f>IF(J1213&lt;&gt;"PASS",0,'Motor_Meciuri'!BS92)</x:f>
        <x:v>0</x:v>
      </x:c>
      <x:c r="AM1213" s="2" t="n">
        <x:f>IF(J1213&lt;&gt;"PASS",0,'Motor_Meciuri'!BT92)</x:f>
        <x:v>0</x:v>
      </x:c>
      <x:c r="AN1213" s="2" t="str">
        <x:f>IF(M1213="","",MAX(0,'Motor_Meciuri'!BF92-IF(L1213&gt;'Config_v6'!$B$12,'Config_v6'!$B$37,IF(L1213&gt;'Config_v6'!$B$11,'Config_v6'!$B$36,0))))</x:f>
      </x:c>
    </x:row>
    <x:row r="1214" ht="21" customHeight="1">
      <x:c r="A1214" s="2" t="n">
        <x:v>87</x:v>
      </x:c>
      <x:c r="B1214" s="2" t="str">
        <x:f>IF('Motor_Meciuri'!A92="","",'Motor_Meciuri'!A92)</x:f>
      </x:c>
      <x:c r="C1214" s="2" t="str">
        <x:f>IF(B1214="","",'Motor_Meciuri'!B92)</x:f>
      </x:c>
      <x:c r="D1214" s="2" t="str">
        <x:f>IF(B1214="","",'Motor_Meciuri'!D92)</x:f>
      </x:c>
      <x:c r="E1214" s="2" t="str">
        <x:f>IF(B1214="","",'Motor_Meciuri'!E92)</x:f>
      </x:c>
      <x:c r="F1214" s="2" t="str">
        <x:v>O7,5</x:v>
      </x:c>
      <x:c r="G1214" s="2" t="str">
        <x:v>OVER</x:v>
      </x:c>
      <x:c r="H1214" s="2" t="n">
        <x:v>7</x:v>
      </x:c>
      <x:c r="I1214" s="2" t="str">
        <x:f>IF(B1214="","",'Motor_Meciuri'!H92)</x:f>
      </x:c>
      <x:c r="J1214" s="2" t="str">
        <x:f>IF(B1214="","",'Motor_Meciuri'!I92)</x:f>
      </x:c>
      <x:c r="K1214" s="11" t="str">
        <x:f>IF(J1214&lt;&gt;"PASS","",'Motor_Meciuri'!BD92)</x:f>
      </x:c>
      <x:c r="L1214" s="11" t="str">
        <x:f>IF(J1214&lt;&gt;"PASS","",'Motor_Meciuri'!AU92)</x:f>
      </x:c>
      <x:c r="M1214" s="10" t="str">
        <x:f>IF(NOT(AND(J1214="PASS",'Calibrare_Linii'!U10="VALID")),"",1-'Distributie'!AE92)</x:f>
      </x:c>
      <x:c r="N1214" s="10" t="str">
        <x:f>IF(M1214="","",MAX(0.01,MIN(0.99,0.5+(M1214-0.5)*'Motor_Meciuri'!BG92*'Calibrare_Linii'!D10)))</x:f>
      </x:c>
      <x:c r="O1214" s="10" t="str">
        <x:f>IF(M1214="","",1-M1214)</x:f>
      </x:c>
      <x:c r="P1214" s="10" t="str">
        <x:f>IF(OR(NOT(AND(J1214="PASS",'Calibrare_Linii'!U10="VALID")),AK1214=0),""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*('Istoric_Nativ'!$Q$6:$Q$405&lt;=H1214))/AK1214)</x:f>
      </x:c>
      <x:c r="Q1214" s="10" t="str">
        <x:f>IF(OR(NOT(AND(J1214="PASS",'Calibrare_Linii'!U10="VALID")),AL1214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M92)+((('Istoric_Nativ'!$E$6:$E$405='Input_Meci'!E92)+('Istoric_Nativ'!$F$6:$F$405='Input_Meci'!E92))&gt;0)*('Istoric_Nativ'!$D$6:$D$405&gt;='Motor_Meciuri'!BN92))&gt;0)*('Istoric_Nativ'!$Q$6:$Q$405&lt;=H1214))/AL1214)</x:f>
      </x:c>
      <x:c r="R1214" s="10" t="str">
        <x:f>IF(OR(NOT(AND(J1214="PASS",'Calibrare_Linii'!U10="VALID")),AM1214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O92)+((('Istoric_Nativ'!$E$6:$E$405='Input_Meci'!E92)+('Istoric_Nativ'!$F$6:$F$405='Input_Meci'!E92))&gt;0)*('Istoric_Nativ'!$D$6:$D$405&gt;='Motor_Meciuri'!BP92))&gt;0)*('Istoric_Nativ'!$Q$6:$Q$405&lt;=H1214))/AM1214)</x:f>
      </x:c>
      <x:c r="S1214" s="10" t="str">
        <x:f>IF(M1214="","",MAX(O1214,P1214,Q1214,R1214))</x:f>
      </x:c>
      <x:c r="T1214" s="11" t="str">
        <x:f>IF(M1214="","",MIN(100,S1214*100*'Config_v6'!$B$44+MIN(100,L1214/'Config_v6'!$B$13*100)*'Config_v6'!$B$45+(100-'Motor_Meciuri'!BF92)*'Config_v6'!$B$46+'Motor_Meciuri'!BH92*100*'Config_v6'!$B$47))</x:f>
      </x:c>
      <x:c r="U1214" s="2" t="str">
        <x:f>IF(T1214="","",IF(T1214&lt;=20,1,IF(T1214&lt;=40,2,IF(T1214&lt;=60,3,IF(T1214&lt;=80,4,5)))))</x:f>
      </x:c>
      <x:c r="V1214" s="2" t="str">
        <x:f>IF(M1214="","",MAX(0,'Motor_Meciuri'!BF92-IF(W1214="OOS PENDING",'Config_v6'!$B$35,0)-IF(L1214&gt;'Config_v6'!$B$12,'Config_v6'!$B$37,IF(L1214&gt;'Config_v6'!$B$11,'Config_v6'!$B$36,0))))</x:f>
      </x:c>
      <x:c r="W1214" s="2" t="str">
        <x:f>IF(B1214="","",IF(I1214&lt;&gt;"READY","NOT RELEASED",IF(NOT(AND(J1214="PASS",'Calibrare_Linii'!U10="VALID")),"INVALID",IF(NOT(AND('Calibrare_Linii'!S10="VALIDATED",AND('Calibrare_Linii'!H10=C1214,ISNUMBER('Calibrare_Linii'!J10),'Calibrare_Linii'!J10&lt;='Input_Meci'!G92))),"OOS PENDING",IF(S1214&lt;='Calibrare_Linii'!E10,"PASS",IF(S1214&lt;='Calibrare_Linii'!F10,"PENALTY","WATCH"))))))</x:f>
      </x:c>
      <x:c r="X1214" s="2" t="str">
        <x:f>IF(M1214="","",IF(AND(AND(J1214="PASS",'Calibrare_Linii'!U10="VALID"),'Motor_Meciuri'!K92=12,'Motor_Meciuri'!L92=12,'Motor_Meciuri'!M92="NO",'Motor_Meciuri'!BL92='Motor_Meciuri'!C92,AB1214&gt;='Config_v6'!$B$50,AN1214&gt;='Config_v6'!$B$51,T1214&lt;='Config_v6'!$B$52,L1214&lt;='Config_v6'!$B$53,ISNUMBER('Calibrare_Linii'!E10),S1214&lt;='Calibrare_Linii'!E10,SUM(AK1214:AM1214)&gt;0),"CANDIDATE","NO"))</x:f>
      </x:c>
      <x:c r="Y1214" s="2" t="str">
        <x:f>IF(B1214="","",IF(I1214&lt;&gt;"READY","NOT RELEASED",IF(AND(X1214="CANDIDATE",V1214&gt;='Config_v6'!$B$51,W1214="PASS",'Calibrare_Linii'!T10="VALIDATED",AND('Calibrare_Linii'!H10=C1214,ISNUMBER('Calibrare_Linii'!J10),'Calibrare_Linii'!J10&lt;='Input_Meci'!G92)),"PASS",IF(X1214="CANDIDATE","OOS PENDING","FAIL"))))</x:f>
      </x:c>
      <x:c r="Z1214" s="2" t="str">
        <x:f>IF(B1214="","",IF(I1214&lt;&gt;"READY","",IF(OR(NOT(AND(J1214="PASS",'Calibrare_Linii'!U10="VALID")),L1214&gt;'Config_v6'!$B$13,W1214="WATCH"),5,IF(Y1214="PASS",1,MIN(5,MAX('Config_v6'!$B$42,U1214)+IF(W1214="PENALTY",1,0))))))</x:f>
      </x:c>
      <x:c r="AA1214" s="2" t="str">
        <x:f>IF(B1214="","",IF(I1214&lt;&gt;"READY","NOT RELEASED",IF(Z1214=5,"NO BET",IF(OR(AB1214&lt;'Config_v6'!$B$16,V1214&lt;'Config_v6'!$B$18),"WATCH",IF(Z1214=1,"DEFENSIV",IF(Z1214=2,"PRUDENT",IF(Z1214=3,"MODERAT","RIDICAT")))))))</x:f>
      </x:c>
      <x:c r="AB1214" s="10" t="str">
        <x:f>IF(N1214="","",MIN(N1214,1-S1214))</x:f>
      </x:c>
      <x:c r="AC1214" s="2" t="str">
        <x:f>IF(AD1214&lt;&gt;1,"",COUNTIFS($Z$1210:$Z$1223,"&lt;"&amp;Z1214,$AD$1210:$AD$1223,1)+COUNTIFS($Z$1210:$Z$1223,Z1214,$AB$1210:$AB$1223,"&gt;"&amp;AB1214,$AD$1210:$AD$1223,1)+COUNTIFS($Z$1210:$Z$1223,Z1214,$AB$1210:$AB$1223,AB1214,$V$1210:$V$1223,"&gt;"&amp;V1214,$AD$1210:$AD$1223,1)+COUNTIFS($Z$1210:Z1214,Z1214,$AB$1210:AB1214,AB1214,$V$1210:V1214,V1214,$AD$1210:AD1214,1))</x:f>
      </x:c>
      <x:c r="AD1214" s="2" t="n">
        <x:f>IF(OR(AA1214="DEFENSIV",AA1214="PRUDENT",AA1214="MODERAT",AA1214="RIDICAT"),1,0)</x:f>
        <x:v>0</x:v>
      </x:c>
      <x:c r="AE1214" s="2" t="str">
        <x:f>IF(AD1214&lt;&gt;1,"NO",IF(W1214="PASS","YES",IF(W1214="OOS PENDING","CONDITIONAL","NO")))</x:f>
        <x:v>NO</x:v>
      </x:c>
      <x:c r="AF1214" s="2" t="n">
        <x:f>IF(AND(AD1214=1,AC1214=1,E1214="LIVE"),1,0)</x:f>
        <x:v>0</x:v>
      </x:c>
      <x:c r="AG1214" s="2" t="str">
        <x:f>IF(AF1214&lt;&gt;1,"",'Dashboard'!P112)</x:f>
      </x:c>
      <x:c r="AH1214" s="2" t="str">
        <x:f>IF(B1214="","",IF(J1214&lt;&gt;"PASS",'Motor_Meciuri'!J92,IF('Calibrare_Linii'!U10&lt;&gt;"VALID","Parametri linie invalizi",IF(L1214&gt;'Config_v6'!$B$13,"Dispersie peste limita",IF(W1214="WATCH","Failure peste limita",IF(AB1214&lt;'Config_v6'!$B$16,"P finala sub prag",IF(V1214&lt;'Config_v6'!$B$18,"Confidence sub prag",IF(E1214="REPLAY","Exemplu retrospectiv; exclus din Top LIVE",IF(Y1214="PASS","DEFENSIV validat",IF(W1214="OOS PENDING","Eligibil; calibrare linie in monitorizare","Eligibil"))))))))))</x:f>
      </x:c>
      <x:c r="AI1214" s="2" t="str">
        <x:f>IF(B1214="","",'Calibrare_Linii'!V10)</x:f>
      </x:c>
      <x:c r="AJ1214" s="2" t="str">
        <x:f>IF(B1214="","",IF(AND('Calibrare_Linii'!T10="VALIDATED",AND('Calibrare_Linii'!H10=C1214,ISNUMBER('Calibrare_Linii'!J10),'Calibrare_Linii'!J10&lt;='Input_Meci'!G92)),"DEFENSIVE VALIDATED",IF(AND('Calibrare_Linii'!S10="VALIDATED",AND('Calibrare_Linii'!H10=C1214,ISNUMBER('Calibrare_Linii'!J10),'Calibrare_Linii'!J10&lt;='Input_Meci'!G92)),"TAIL VALIDATED","OOS PENDING")))</x:f>
      </x:c>
      <x:c r="AK1214" s="2" t="n">
        <x:f>IF(J1214&lt;&gt;"PASS",0,'Motor_Meciuri'!BR92)</x:f>
        <x:v>0</x:v>
      </x:c>
      <x:c r="AL1214" s="2" t="n">
        <x:f>IF(J1214&lt;&gt;"PASS",0,'Motor_Meciuri'!BS92)</x:f>
        <x:v>0</x:v>
      </x:c>
      <x:c r="AM1214" s="2" t="n">
        <x:f>IF(J1214&lt;&gt;"PASS",0,'Motor_Meciuri'!BT92)</x:f>
        <x:v>0</x:v>
      </x:c>
      <x:c r="AN1214" s="2" t="str">
        <x:f>IF(M1214="","",MAX(0,'Motor_Meciuri'!BF92-IF(L1214&gt;'Config_v6'!$B$12,'Config_v6'!$B$37,IF(L1214&gt;'Config_v6'!$B$11,'Config_v6'!$B$36,0))))</x:f>
      </x:c>
    </x:row>
    <x:row r="1215" ht="21" customHeight="1">
      <x:c r="A1215" s="2" t="n">
        <x:v>87</x:v>
      </x:c>
      <x:c r="B1215" s="2" t="str">
        <x:f>IF('Motor_Meciuri'!A92="","",'Motor_Meciuri'!A92)</x:f>
      </x:c>
      <x:c r="C1215" s="2" t="str">
        <x:f>IF(B1215="","",'Motor_Meciuri'!B92)</x:f>
      </x:c>
      <x:c r="D1215" s="2" t="str">
        <x:f>IF(B1215="","",'Motor_Meciuri'!D92)</x:f>
      </x:c>
      <x:c r="E1215" s="2" t="str">
        <x:f>IF(B1215="","",'Motor_Meciuri'!E92)</x:f>
      </x:c>
      <x:c r="F1215" s="2" t="str">
        <x:v>O8,5</x:v>
      </x:c>
      <x:c r="G1215" s="2" t="str">
        <x:v>OVER</x:v>
      </x:c>
      <x:c r="H1215" s="2" t="n">
        <x:v>8</x:v>
      </x:c>
      <x:c r="I1215" s="2" t="str">
        <x:f>IF(B1215="","",'Motor_Meciuri'!H92)</x:f>
      </x:c>
      <x:c r="J1215" s="2" t="str">
        <x:f>IF(B1215="","",'Motor_Meciuri'!I92)</x:f>
      </x:c>
      <x:c r="K1215" s="11" t="str">
        <x:f>IF(J1215&lt;&gt;"PASS","",'Motor_Meciuri'!BD92)</x:f>
      </x:c>
      <x:c r="L1215" s="11" t="str">
        <x:f>IF(J1215&lt;&gt;"PASS","",'Motor_Meciuri'!AU92)</x:f>
      </x:c>
      <x:c r="M1215" s="10" t="str">
        <x:f>IF(NOT(AND(J1215="PASS",'Calibrare_Linii'!U11="VALID")),"",1-'Distributie'!AF92)</x:f>
      </x:c>
      <x:c r="N1215" s="10" t="str">
        <x:f>IF(M1215="","",MAX(0.01,MIN(0.99,0.5+(M1215-0.5)*'Motor_Meciuri'!BG92*'Calibrare_Linii'!D11)))</x:f>
      </x:c>
      <x:c r="O1215" s="10" t="str">
        <x:f>IF(M1215="","",1-M1215)</x:f>
      </x:c>
      <x:c r="P1215" s="10" t="str">
        <x:f>IF(OR(NOT(AND(J1215="PASS",'Calibrare_Linii'!U11="VALID")),AK1215=0),""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*('Istoric_Nativ'!$Q$6:$Q$405&lt;=H1215))/AK1215)</x:f>
      </x:c>
      <x:c r="Q1215" s="10" t="str">
        <x:f>IF(OR(NOT(AND(J1215="PASS",'Calibrare_Linii'!U11="VALID")),AL1215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M92)+((('Istoric_Nativ'!$E$6:$E$405='Input_Meci'!E92)+('Istoric_Nativ'!$F$6:$F$405='Input_Meci'!E92))&gt;0)*('Istoric_Nativ'!$D$6:$D$405&gt;='Motor_Meciuri'!BN92))&gt;0)*('Istoric_Nativ'!$Q$6:$Q$405&lt;=H1215))/AL1215)</x:f>
      </x:c>
      <x:c r="R1215" s="10" t="str">
        <x:f>IF(OR(NOT(AND(J1215="PASS",'Calibrare_Linii'!U11="VALID")),AM1215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O92)+((('Istoric_Nativ'!$E$6:$E$405='Input_Meci'!E92)+('Istoric_Nativ'!$F$6:$F$405='Input_Meci'!E92))&gt;0)*('Istoric_Nativ'!$D$6:$D$405&gt;='Motor_Meciuri'!BP92))&gt;0)*('Istoric_Nativ'!$Q$6:$Q$405&lt;=H1215))/AM1215)</x:f>
      </x:c>
      <x:c r="S1215" s="10" t="str">
        <x:f>IF(M1215="","",MAX(O1215,P1215,Q1215,R1215))</x:f>
      </x:c>
      <x:c r="T1215" s="11" t="str">
        <x:f>IF(M1215="","",MIN(100,S1215*100*'Config_v6'!$B$44+MIN(100,L1215/'Config_v6'!$B$13*100)*'Config_v6'!$B$45+(100-'Motor_Meciuri'!BF92)*'Config_v6'!$B$46+'Motor_Meciuri'!BH92*100*'Config_v6'!$B$47))</x:f>
      </x:c>
      <x:c r="U1215" s="2" t="str">
        <x:f>IF(T1215="","",IF(T1215&lt;=20,1,IF(T1215&lt;=40,2,IF(T1215&lt;=60,3,IF(T1215&lt;=80,4,5)))))</x:f>
      </x:c>
      <x:c r="V1215" s="2" t="str">
        <x:f>IF(M1215="","",MAX(0,'Motor_Meciuri'!BF92-IF(W1215="OOS PENDING",'Config_v6'!$B$35,0)-IF(L1215&gt;'Config_v6'!$B$12,'Config_v6'!$B$37,IF(L1215&gt;'Config_v6'!$B$11,'Config_v6'!$B$36,0))))</x:f>
      </x:c>
      <x:c r="W1215" s="2" t="str">
        <x:f>IF(B1215="","",IF(I1215&lt;&gt;"READY","NOT RELEASED",IF(NOT(AND(J1215="PASS",'Calibrare_Linii'!U11="VALID")),"INVALID",IF(NOT(AND('Calibrare_Linii'!S11="VALIDATED",AND('Calibrare_Linii'!H11=C1215,ISNUMBER('Calibrare_Linii'!J11),'Calibrare_Linii'!J11&lt;='Input_Meci'!G92))),"OOS PENDING",IF(S1215&lt;='Calibrare_Linii'!E11,"PASS",IF(S1215&lt;='Calibrare_Linii'!F11,"PENALTY","WATCH"))))))</x:f>
      </x:c>
      <x:c r="X1215" s="2" t="str">
        <x:f>IF(M1215="","",IF(AND(AND(J1215="PASS",'Calibrare_Linii'!U11="VALID"),'Motor_Meciuri'!K92=12,'Motor_Meciuri'!L92=12,'Motor_Meciuri'!M92="NO",'Motor_Meciuri'!BL92='Motor_Meciuri'!C92,AB1215&gt;='Config_v6'!$B$50,AN1215&gt;='Config_v6'!$B$51,T1215&lt;='Config_v6'!$B$52,L1215&lt;='Config_v6'!$B$53,ISNUMBER('Calibrare_Linii'!E11),S1215&lt;='Calibrare_Linii'!E11,SUM(AK1215:AM1215)&gt;0),"CANDIDATE","NO"))</x:f>
      </x:c>
      <x:c r="Y1215" s="2" t="str">
        <x:f>IF(B1215="","",IF(I1215&lt;&gt;"READY","NOT RELEASED",IF(AND(X1215="CANDIDATE",V1215&gt;='Config_v6'!$B$51,W1215="PASS",'Calibrare_Linii'!T11="VALIDATED",AND('Calibrare_Linii'!H11=C1215,ISNUMBER('Calibrare_Linii'!J11),'Calibrare_Linii'!J11&lt;='Input_Meci'!G92)),"PASS",IF(X1215="CANDIDATE","OOS PENDING","FAIL"))))</x:f>
      </x:c>
      <x:c r="Z1215" s="2" t="str">
        <x:f>IF(B1215="","",IF(I1215&lt;&gt;"READY","",IF(OR(NOT(AND(J1215="PASS",'Calibrare_Linii'!U11="VALID")),L1215&gt;'Config_v6'!$B$13,W1215="WATCH"),5,IF(Y1215="PASS",1,MIN(5,MAX('Config_v6'!$B$42,U1215)+IF(W1215="PENALTY",1,0))))))</x:f>
      </x:c>
      <x:c r="AA1215" s="2" t="str">
        <x:f>IF(B1215="","",IF(I1215&lt;&gt;"READY","NOT RELEASED",IF(Z1215=5,"NO BET",IF(OR(AB1215&lt;'Config_v6'!$B$16,V1215&lt;'Config_v6'!$B$18),"WATCH",IF(Z1215=1,"DEFENSIV",IF(Z1215=2,"PRUDENT",IF(Z1215=3,"MODERAT","RIDICAT")))))))</x:f>
      </x:c>
      <x:c r="AB1215" s="10" t="str">
        <x:f>IF(N1215="","",MIN(N1215,1-S1215))</x:f>
      </x:c>
      <x:c r="AC1215" s="2" t="str">
        <x:f>IF(AD1215&lt;&gt;1,"",COUNTIFS($Z$1210:$Z$1223,"&lt;"&amp;Z1215,$AD$1210:$AD$1223,1)+COUNTIFS($Z$1210:$Z$1223,Z1215,$AB$1210:$AB$1223,"&gt;"&amp;AB1215,$AD$1210:$AD$1223,1)+COUNTIFS($Z$1210:$Z$1223,Z1215,$AB$1210:$AB$1223,AB1215,$V$1210:$V$1223,"&gt;"&amp;V1215,$AD$1210:$AD$1223,1)+COUNTIFS($Z$1210:Z1215,Z1215,$AB$1210:AB1215,AB1215,$V$1210:V1215,V1215,$AD$1210:AD1215,1))</x:f>
      </x:c>
      <x:c r="AD1215" s="2" t="n">
        <x:f>IF(OR(AA1215="DEFENSIV",AA1215="PRUDENT",AA1215="MODERAT",AA1215="RIDICAT"),1,0)</x:f>
        <x:v>0</x:v>
      </x:c>
      <x:c r="AE1215" s="2" t="str">
        <x:f>IF(AD1215&lt;&gt;1,"NO",IF(W1215="PASS","YES",IF(W1215="OOS PENDING","CONDITIONAL","NO")))</x:f>
        <x:v>NO</x:v>
      </x:c>
      <x:c r="AF1215" s="2" t="n">
        <x:f>IF(AND(AD1215=1,AC1215=1,E1215="LIVE"),1,0)</x:f>
        <x:v>0</x:v>
      </x:c>
      <x:c r="AG1215" s="2" t="str">
        <x:f>IF(AF1215&lt;&gt;1,"",'Dashboard'!P112)</x:f>
      </x:c>
      <x:c r="AH1215" s="2" t="str">
        <x:f>IF(B1215="","",IF(J1215&lt;&gt;"PASS",'Motor_Meciuri'!J92,IF('Calibrare_Linii'!U11&lt;&gt;"VALID","Parametri linie invalizi",IF(L1215&gt;'Config_v6'!$B$13,"Dispersie peste limita",IF(W1215="WATCH","Failure peste limita",IF(AB1215&lt;'Config_v6'!$B$16,"P finala sub prag",IF(V1215&lt;'Config_v6'!$B$18,"Confidence sub prag",IF(E1215="REPLAY","Exemplu retrospectiv; exclus din Top LIVE",IF(Y1215="PASS","DEFENSIV validat",IF(W1215="OOS PENDING","Eligibil; calibrare linie in monitorizare","Eligibil"))))))))))</x:f>
      </x:c>
      <x:c r="AI1215" s="2" t="str">
        <x:f>IF(B1215="","",'Calibrare_Linii'!V11)</x:f>
      </x:c>
      <x:c r="AJ1215" s="2" t="str">
        <x:f>IF(B1215="","",IF(AND('Calibrare_Linii'!T11="VALIDATED",AND('Calibrare_Linii'!H11=C1215,ISNUMBER('Calibrare_Linii'!J11),'Calibrare_Linii'!J11&lt;='Input_Meci'!G92)),"DEFENSIVE VALIDATED",IF(AND('Calibrare_Linii'!S11="VALIDATED",AND('Calibrare_Linii'!H11=C1215,ISNUMBER('Calibrare_Linii'!J11),'Calibrare_Linii'!J11&lt;='Input_Meci'!G92)),"TAIL VALIDATED","OOS PENDING")))</x:f>
      </x:c>
      <x:c r="AK1215" s="2" t="n">
        <x:f>IF(J1215&lt;&gt;"PASS",0,'Motor_Meciuri'!BR92)</x:f>
        <x:v>0</x:v>
      </x:c>
      <x:c r="AL1215" s="2" t="n">
        <x:f>IF(J1215&lt;&gt;"PASS",0,'Motor_Meciuri'!BS92)</x:f>
        <x:v>0</x:v>
      </x:c>
      <x:c r="AM1215" s="2" t="n">
        <x:f>IF(J1215&lt;&gt;"PASS",0,'Motor_Meciuri'!BT92)</x:f>
        <x:v>0</x:v>
      </x:c>
      <x:c r="AN1215" s="2" t="str">
        <x:f>IF(M1215="","",MAX(0,'Motor_Meciuri'!BF92-IF(L1215&gt;'Config_v6'!$B$12,'Config_v6'!$B$37,IF(L1215&gt;'Config_v6'!$B$11,'Config_v6'!$B$36,0))))</x:f>
      </x:c>
    </x:row>
    <x:row r="1216" ht="21" customHeight="1">
      <x:c r="A1216" s="2" t="n">
        <x:v>87</x:v>
      </x:c>
      <x:c r="B1216" s="2" t="str">
        <x:f>IF('Motor_Meciuri'!A92="","",'Motor_Meciuri'!A92)</x:f>
      </x:c>
      <x:c r="C1216" s="2" t="str">
        <x:f>IF(B1216="","",'Motor_Meciuri'!B92)</x:f>
      </x:c>
      <x:c r="D1216" s="2" t="str">
        <x:f>IF(B1216="","",'Motor_Meciuri'!D92)</x:f>
      </x:c>
      <x:c r="E1216" s="2" t="str">
        <x:f>IF(B1216="","",'Motor_Meciuri'!E92)</x:f>
      </x:c>
      <x:c r="F1216" s="2" t="str">
        <x:v>U10,5</x:v>
      </x:c>
      <x:c r="G1216" s="2" t="str">
        <x:v>UNDER</x:v>
      </x:c>
      <x:c r="H1216" s="2" t="n">
        <x:v>10</x:v>
      </x:c>
      <x:c r="I1216" s="2" t="str">
        <x:f>IF(B1216="","",'Motor_Meciuri'!H92)</x:f>
      </x:c>
      <x:c r="J1216" s="2" t="str">
        <x:f>IF(B1216="","",'Motor_Meciuri'!I92)</x:f>
      </x:c>
      <x:c r="K1216" s="11" t="str">
        <x:f>IF(J1216&lt;&gt;"PASS","",'Motor_Meciuri'!BD92)</x:f>
      </x:c>
      <x:c r="L1216" s="11" t="str">
        <x:f>IF(J1216&lt;&gt;"PASS","",'Motor_Meciuri'!AU92)</x:f>
      </x:c>
      <x:c r="M1216" s="10" t="str">
        <x:f>IF(NOT(AND(J1216="PASS",'Calibrare_Linii'!U12="VALID")),"",'Distributie'!AH92)</x:f>
      </x:c>
      <x:c r="N1216" s="10" t="str">
        <x:f>IF(M1216="","",MAX(0.01,MIN(0.99,0.5+(M1216-0.5)*'Motor_Meciuri'!BG92*'Calibrare_Linii'!D12)))</x:f>
      </x:c>
      <x:c r="O1216" s="10" t="str">
        <x:f>IF(M1216="","",1-M1216)</x:f>
      </x:c>
      <x:c r="P1216" s="10" t="str">
        <x:f>IF(OR(NOT(AND(J1216="PASS",'Calibrare_Linii'!U12="VALID")),AK1216=0),""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*('Istoric_Nativ'!$Q$6:$Q$405&gt;H1216))/AK1216)</x:f>
      </x:c>
      <x:c r="Q1216" s="10" t="str">
        <x:f>IF(OR(NOT(AND(J1216="PASS",'Calibrare_Linii'!U12="VALID")),AL1216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M92)+((('Istoric_Nativ'!$E$6:$E$405='Input_Meci'!E92)+('Istoric_Nativ'!$F$6:$F$405='Input_Meci'!E92))&gt;0)*('Istoric_Nativ'!$D$6:$D$405&gt;='Motor_Meciuri'!BN92))&gt;0)*('Istoric_Nativ'!$Q$6:$Q$405&gt;H1216))/AL1216)</x:f>
      </x:c>
      <x:c r="R1216" s="10" t="str">
        <x:f>IF(OR(NOT(AND(J1216="PASS",'Calibrare_Linii'!U12="VALID")),AM1216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O92)+((('Istoric_Nativ'!$E$6:$E$405='Input_Meci'!E92)+('Istoric_Nativ'!$F$6:$F$405='Input_Meci'!E92))&gt;0)*('Istoric_Nativ'!$D$6:$D$405&gt;='Motor_Meciuri'!BP92))&gt;0)*('Istoric_Nativ'!$Q$6:$Q$405&gt;H1216))/AM1216)</x:f>
      </x:c>
      <x:c r="S1216" s="10" t="str">
        <x:f>IF(M1216="","",MAX(O1216,P1216,Q1216,R1216))</x:f>
      </x:c>
      <x:c r="T1216" s="11" t="str">
        <x:f>IF(M1216="","",MIN(100,S1216*100*'Config_v6'!$B$44+MIN(100,L1216/'Config_v6'!$B$13*100)*'Config_v6'!$B$45+(100-'Motor_Meciuri'!BF92)*'Config_v6'!$B$46+'Motor_Meciuri'!BH92*100*'Config_v6'!$B$47))</x:f>
      </x:c>
      <x:c r="U1216" s="2" t="str">
        <x:f>IF(T1216="","",IF(T1216&lt;=20,1,IF(T1216&lt;=40,2,IF(T1216&lt;=60,3,IF(T1216&lt;=80,4,5)))))</x:f>
      </x:c>
      <x:c r="V1216" s="2" t="str">
        <x:f>IF(M1216="","",MAX(0,'Motor_Meciuri'!BF92-IF(W1216="OOS PENDING",'Config_v6'!$B$35,0)-IF(L1216&gt;'Config_v6'!$B$12,'Config_v6'!$B$37,IF(L1216&gt;'Config_v6'!$B$11,'Config_v6'!$B$36,0))))</x:f>
      </x:c>
      <x:c r="W1216" s="2" t="str">
        <x:f>IF(B1216="","",IF(I1216&lt;&gt;"READY","NOT RELEASED",IF(NOT(AND(J1216="PASS",'Calibrare_Linii'!U12="VALID")),"INVALID",IF(NOT(AND('Calibrare_Linii'!S12="VALIDATED",AND('Calibrare_Linii'!H12=C1216,ISNUMBER('Calibrare_Linii'!J12),'Calibrare_Linii'!J12&lt;='Input_Meci'!G92))),"OOS PENDING",IF(S1216&lt;='Calibrare_Linii'!E12,"PASS",IF(S1216&lt;='Calibrare_Linii'!F12,"PENALTY","WATCH"))))))</x:f>
      </x:c>
      <x:c r="X1216" s="2" t="str">
        <x:f>IF(M1216="","",IF(AND(AND(J1216="PASS",'Calibrare_Linii'!U12="VALID"),'Motor_Meciuri'!K92=12,'Motor_Meciuri'!L92=12,'Motor_Meciuri'!M92="NO",'Motor_Meciuri'!BL92='Motor_Meciuri'!C92,AB1216&gt;='Config_v6'!$B$50,AN1216&gt;='Config_v6'!$B$51,T1216&lt;='Config_v6'!$B$52,L1216&lt;='Config_v6'!$B$53,ISNUMBER('Calibrare_Linii'!E12),S1216&lt;='Calibrare_Linii'!E12,SUM(AK1216:AM1216)&gt;0),"CANDIDATE","NO"))</x:f>
      </x:c>
      <x:c r="Y1216" s="2" t="str">
        <x:f>IF(B1216="","",IF(I1216&lt;&gt;"READY","NOT RELEASED",IF(AND(X1216="CANDIDATE",V1216&gt;='Config_v6'!$B$51,W1216="PASS",'Calibrare_Linii'!T12="VALIDATED",AND('Calibrare_Linii'!H12=C1216,ISNUMBER('Calibrare_Linii'!J12),'Calibrare_Linii'!J12&lt;='Input_Meci'!G92)),"PASS",IF(X1216="CANDIDATE","OOS PENDING","FAIL"))))</x:f>
      </x:c>
      <x:c r="Z1216" s="2" t="str">
        <x:f>IF(B1216="","",IF(I1216&lt;&gt;"READY","",IF(OR(NOT(AND(J1216="PASS",'Calibrare_Linii'!U12="VALID")),L1216&gt;'Config_v6'!$B$13,W1216="WATCH"),5,IF(Y1216="PASS",1,MIN(5,MAX('Config_v6'!$B$42,U1216)+IF(W1216="PENALTY",1,0))))))</x:f>
      </x:c>
      <x:c r="AA1216" s="2" t="str">
        <x:f>IF(B1216="","",IF(I1216&lt;&gt;"READY","NOT RELEASED",IF(Z1216=5,"NO BET",IF(OR(AB1216&lt;'Config_v6'!$B$16,V1216&lt;'Config_v6'!$B$18),"WATCH",IF(Z1216=1,"DEFENSIV",IF(Z1216=2,"PRUDENT",IF(Z1216=3,"MODERAT","RIDICAT")))))))</x:f>
      </x:c>
      <x:c r="AB1216" s="10" t="str">
        <x:f>IF(N1216="","",MIN(N1216,1-S1216))</x:f>
      </x:c>
      <x:c r="AC1216" s="2" t="str">
        <x:f>IF(AD1216&lt;&gt;1,"",COUNTIFS($Z$1210:$Z$1223,"&lt;"&amp;Z1216,$AD$1210:$AD$1223,1)+COUNTIFS($Z$1210:$Z$1223,Z1216,$AB$1210:$AB$1223,"&gt;"&amp;AB1216,$AD$1210:$AD$1223,1)+COUNTIFS($Z$1210:$Z$1223,Z1216,$AB$1210:$AB$1223,AB1216,$V$1210:$V$1223,"&gt;"&amp;V1216,$AD$1210:$AD$1223,1)+COUNTIFS($Z$1210:Z1216,Z1216,$AB$1210:AB1216,AB1216,$V$1210:V1216,V1216,$AD$1210:AD1216,1))</x:f>
      </x:c>
      <x:c r="AD1216" s="2" t="n">
        <x:f>IF(OR(AA1216="DEFENSIV",AA1216="PRUDENT",AA1216="MODERAT",AA1216="RIDICAT"),1,0)</x:f>
        <x:v>0</x:v>
      </x:c>
      <x:c r="AE1216" s="2" t="str">
        <x:f>IF(AD1216&lt;&gt;1,"NO",IF(W1216="PASS","YES",IF(W1216="OOS PENDING","CONDITIONAL","NO")))</x:f>
        <x:v>NO</x:v>
      </x:c>
      <x:c r="AF1216" s="2" t="n">
        <x:f>IF(AND(AD1216=1,AC1216=1,E1216="LIVE"),1,0)</x:f>
        <x:v>0</x:v>
      </x:c>
      <x:c r="AG1216" s="2" t="str">
        <x:f>IF(AF1216&lt;&gt;1,"",'Dashboard'!P112)</x:f>
      </x:c>
      <x:c r="AH1216" s="2" t="str">
        <x:f>IF(B1216="","",IF(J1216&lt;&gt;"PASS",'Motor_Meciuri'!J92,IF('Calibrare_Linii'!U12&lt;&gt;"VALID","Parametri linie invalizi",IF(L1216&gt;'Config_v6'!$B$13,"Dispersie peste limita",IF(W1216="WATCH","Failure peste limita",IF(AB1216&lt;'Config_v6'!$B$16,"P finala sub prag",IF(V1216&lt;'Config_v6'!$B$18,"Confidence sub prag",IF(E1216="REPLAY","Exemplu retrospectiv; exclus din Top LIVE",IF(Y1216="PASS","DEFENSIV validat",IF(W1216="OOS PENDING","Eligibil; calibrare linie in monitorizare","Eligibil"))))))))))</x:f>
      </x:c>
      <x:c r="AI1216" s="2" t="str">
        <x:f>IF(B1216="","",'Calibrare_Linii'!V12)</x:f>
      </x:c>
      <x:c r="AJ1216" s="2" t="str">
        <x:f>IF(B1216="","",IF(AND('Calibrare_Linii'!T12="VALIDATED",AND('Calibrare_Linii'!H12=C1216,ISNUMBER('Calibrare_Linii'!J12),'Calibrare_Linii'!J12&lt;='Input_Meci'!G92)),"DEFENSIVE VALIDATED",IF(AND('Calibrare_Linii'!S12="VALIDATED",AND('Calibrare_Linii'!H12=C1216,ISNUMBER('Calibrare_Linii'!J12),'Calibrare_Linii'!J12&lt;='Input_Meci'!G92)),"TAIL VALIDATED","OOS PENDING")))</x:f>
      </x:c>
      <x:c r="AK1216" s="2" t="n">
        <x:f>IF(J1216&lt;&gt;"PASS",0,'Motor_Meciuri'!BR92)</x:f>
        <x:v>0</x:v>
      </x:c>
      <x:c r="AL1216" s="2" t="n">
        <x:f>IF(J1216&lt;&gt;"PASS",0,'Motor_Meciuri'!BS92)</x:f>
        <x:v>0</x:v>
      </x:c>
      <x:c r="AM1216" s="2" t="n">
        <x:f>IF(J1216&lt;&gt;"PASS",0,'Motor_Meciuri'!BT92)</x:f>
        <x:v>0</x:v>
      </x:c>
      <x:c r="AN1216" s="2" t="str">
        <x:f>IF(M1216="","",MAX(0,'Motor_Meciuri'!BF92-IF(L1216&gt;'Config_v6'!$B$12,'Config_v6'!$B$37,IF(L1216&gt;'Config_v6'!$B$11,'Config_v6'!$B$36,0))))</x:f>
      </x:c>
    </x:row>
    <x:row r="1217" ht="21" customHeight="1">
      <x:c r="A1217" s="2" t="n">
        <x:v>87</x:v>
      </x:c>
      <x:c r="B1217" s="2" t="str">
        <x:f>IF('Motor_Meciuri'!A92="","",'Motor_Meciuri'!A92)</x:f>
      </x:c>
      <x:c r="C1217" s="2" t="str">
        <x:f>IF(B1217="","",'Motor_Meciuri'!B92)</x:f>
      </x:c>
      <x:c r="D1217" s="2" t="str">
        <x:f>IF(B1217="","",'Motor_Meciuri'!D92)</x:f>
      </x:c>
      <x:c r="E1217" s="2" t="str">
        <x:f>IF(B1217="","",'Motor_Meciuri'!E92)</x:f>
      </x:c>
      <x:c r="F1217" s="2" t="str">
        <x:v>U11,5</x:v>
      </x:c>
      <x:c r="G1217" s="2" t="str">
        <x:v>UNDER</x:v>
      </x:c>
      <x:c r="H1217" s="2" t="n">
        <x:v>11</x:v>
      </x:c>
      <x:c r="I1217" s="2" t="str">
        <x:f>IF(B1217="","",'Motor_Meciuri'!H92)</x:f>
      </x:c>
      <x:c r="J1217" s="2" t="str">
        <x:f>IF(B1217="","",'Motor_Meciuri'!I92)</x:f>
      </x:c>
      <x:c r="K1217" s="11" t="str">
        <x:f>IF(J1217&lt;&gt;"PASS","",'Motor_Meciuri'!BD92)</x:f>
      </x:c>
      <x:c r="L1217" s="11" t="str">
        <x:f>IF(J1217&lt;&gt;"PASS","",'Motor_Meciuri'!AU92)</x:f>
      </x:c>
      <x:c r="M1217" s="10" t="str">
        <x:f>IF(NOT(AND(J1217="PASS",'Calibrare_Linii'!U13="VALID")),"",'Distributie'!AI92)</x:f>
      </x:c>
      <x:c r="N1217" s="10" t="str">
        <x:f>IF(M1217="","",MAX(0.01,MIN(0.99,0.5+(M1217-0.5)*'Motor_Meciuri'!BG92*'Calibrare_Linii'!D13)))</x:f>
      </x:c>
      <x:c r="O1217" s="10" t="str">
        <x:f>IF(M1217="","",1-M1217)</x:f>
      </x:c>
      <x:c r="P1217" s="10" t="str">
        <x:f>IF(OR(NOT(AND(J1217="PASS",'Calibrare_Linii'!U13="VALID")),AK1217=0),""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*('Istoric_Nativ'!$Q$6:$Q$405&gt;H1217))/AK1217)</x:f>
      </x:c>
      <x:c r="Q1217" s="10" t="str">
        <x:f>IF(OR(NOT(AND(J1217="PASS",'Calibrare_Linii'!U13="VALID")),AL1217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M92)+((('Istoric_Nativ'!$E$6:$E$405='Input_Meci'!E92)+('Istoric_Nativ'!$F$6:$F$405='Input_Meci'!E92))&gt;0)*('Istoric_Nativ'!$D$6:$D$405&gt;='Motor_Meciuri'!BN92))&gt;0)*('Istoric_Nativ'!$Q$6:$Q$405&gt;H1217))/AL1217)</x:f>
      </x:c>
      <x:c r="R1217" s="10" t="str">
        <x:f>IF(OR(NOT(AND(J1217="PASS",'Calibrare_Linii'!U13="VALID")),AM1217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O92)+((('Istoric_Nativ'!$E$6:$E$405='Input_Meci'!E92)+('Istoric_Nativ'!$F$6:$F$405='Input_Meci'!E92))&gt;0)*('Istoric_Nativ'!$D$6:$D$405&gt;='Motor_Meciuri'!BP92))&gt;0)*('Istoric_Nativ'!$Q$6:$Q$405&gt;H1217))/AM1217)</x:f>
      </x:c>
      <x:c r="S1217" s="10" t="str">
        <x:f>IF(M1217="","",MAX(O1217,P1217,Q1217,R1217))</x:f>
      </x:c>
      <x:c r="T1217" s="11" t="str">
        <x:f>IF(M1217="","",MIN(100,S1217*100*'Config_v6'!$B$44+MIN(100,L1217/'Config_v6'!$B$13*100)*'Config_v6'!$B$45+(100-'Motor_Meciuri'!BF92)*'Config_v6'!$B$46+'Motor_Meciuri'!BH92*100*'Config_v6'!$B$47))</x:f>
      </x:c>
      <x:c r="U1217" s="2" t="str">
        <x:f>IF(T1217="","",IF(T1217&lt;=20,1,IF(T1217&lt;=40,2,IF(T1217&lt;=60,3,IF(T1217&lt;=80,4,5)))))</x:f>
      </x:c>
      <x:c r="V1217" s="2" t="str">
        <x:f>IF(M1217="","",MAX(0,'Motor_Meciuri'!BF92-IF(W1217="OOS PENDING",'Config_v6'!$B$35,0)-IF(L1217&gt;'Config_v6'!$B$12,'Config_v6'!$B$37,IF(L1217&gt;'Config_v6'!$B$11,'Config_v6'!$B$36,0))))</x:f>
      </x:c>
      <x:c r="W1217" s="2" t="str">
        <x:f>IF(B1217="","",IF(I1217&lt;&gt;"READY","NOT RELEASED",IF(NOT(AND(J1217="PASS",'Calibrare_Linii'!U13="VALID")),"INVALID",IF(NOT(AND('Calibrare_Linii'!S13="VALIDATED",AND('Calibrare_Linii'!H13=C1217,ISNUMBER('Calibrare_Linii'!J13),'Calibrare_Linii'!J13&lt;='Input_Meci'!G92))),"OOS PENDING",IF(S1217&lt;='Calibrare_Linii'!E13,"PASS",IF(S1217&lt;='Calibrare_Linii'!F13,"PENALTY","WATCH"))))))</x:f>
      </x:c>
      <x:c r="X1217" s="2" t="str">
        <x:f>IF(M1217="","",IF(AND(AND(J1217="PASS",'Calibrare_Linii'!U13="VALID"),'Motor_Meciuri'!K92=12,'Motor_Meciuri'!L92=12,'Motor_Meciuri'!M92="NO",'Motor_Meciuri'!BL92='Motor_Meciuri'!C92,AB1217&gt;='Config_v6'!$B$50,AN1217&gt;='Config_v6'!$B$51,T1217&lt;='Config_v6'!$B$52,L1217&lt;='Config_v6'!$B$53,ISNUMBER('Calibrare_Linii'!E13),S1217&lt;='Calibrare_Linii'!E13,SUM(AK1217:AM1217)&gt;0),"CANDIDATE","NO"))</x:f>
      </x:c>
      <x:c r="Y1217" s="2" t="str">
        <x:f>IF(B1217="","",IF(I1217&lt;&gt;"READY","NOT RELEASED",IF(AND(X1217="CANDIDATE",V1217&gt;='Config_v6'!$B$51,W1217="PASS",'Calibrare_Linii'!T13="VALIDATED",AND('Calibrare_Linii'!H13=C1217,ISNUMBER('Calibrare_Linii'!J13),'Calibrare_Linii'!J13&lt;='Input_Meci'!G92)),"PASS",IF(X1217="CANDIDATE","OOS PENDING","FAIL"))))</x:f>
      </x:c>
      <x:c r="Z1217" s="2" t="str">
        <x:f>IF(B1217="","",IF(I1217&lt;&gt;"READY","",IF(OR(NOT(AND(J1217="PASS",'Calibrare_Linii'!U13="VALID")),L1217&gt;'Config_v6'!$B$13,W1217="WATCH"),5,IF(Y1217="PASS",1,MIN(5,MAX('Config_v6'!$B$42,U1217)+IF(W1217="PENALTY",1,0))))))</x:f>
      </x:c>
      <x:c r="AA1217" s="2" t="str">
        <x:f>IF(B1217="","",IF(I1217&lt;&gt;"READY","NOT RELEASED",IF(Z1217=5,"NO BET",IF(OR(AB1217&lt;'Config_v6'!$B$16,V1217&lt;'Config_v6'!$B$18),"WATCH",IF(Z1217=1,"DEFENSIV",IF(Z1217=2,"PRUDENT",IF(Z1217=3,"MODERAT","RIDICAT")))))))</x:f>
      </x:c>
      <x:c r="AB1217" s="10" t="str">
        <x:f>IF(N1217="","",MIN(N1217,1-S1217))</x:f>
      </x:c>
      <x:c r="AC1217" s="2" t="str">
        <x:f>IF(AD1217&lt;&gt;1,"",COUNTIFS($Z$1210:$Z$1223,"&lt;"&amp;Z1217,$AD$1210:$AD$1223,1)+COUNTIFS($Z$1210:$Z$1223,Z1217,$AB$1210:$AB$1223,"&gt;"&amp;AB1217,$AD$1210:$AD$1223,1)+COUNTIFS($Z$1210:$Z$1223,Z1217,$AB$1210:$AB$1223,AB1217,$V$1210:$V$1223,"&gt;"&amp;V1217,$AD$1210:$AD$1223,1)+COUNTIFS($Z$1210:Z1217,Z1217,$AB$1210:AB1217,AB1217,$V$1210:V1217,V1217,$AD$1210:AD1217,1))</x:f>
      </x:c>
      <x:c r="AD1217" s="2" t="n">
        <x:f>IF(OR(AA1217="DEFENSIV",AA1217="PRUDENT",AA1217="MODERAT",AA1217="RIDICAT"),1,0)</x:f>
        <x:v>0</x:v>
      </x:c>
      <x:c r="AE1217" s="2" t="str">
        <x:f>IF(AD1217&lt;&gt;1,"NO",IF(W1217="PASS","YES",IF(W1217="OOS PENDING","CONDITIONAL","NO")))</x:f>
        <x:v>NO</x:v>
      </x:c>
      <x:c r="AF1217" s="2" t="n">
        <x:f>IF(AND(AD1217=1,AC1217=1,E1217="LIVE"),1,0)</x:f>
        <x:v>0</x:v>
      </x:c>
      <x:c r="AG1217" s="2" t="str">
        <x:f>IF(AF1217&lt;&gt;1,"",'Dashboard'!P112)</x:f>
      </x:c>
      <x:c r="AH1217" s="2" t="str">
        <x:f>IF(B1217="","",IF(J1217&lt;&gt;"PASS",'Motor_Meciuri'!J92,IF('Calibrare_Linii'!U13&lt;&gt;"VALID","Parametri linie invalizi",IF(L1217&gt;'Config_v6'!$B$13,"Dispersie peste limita",IF(W1217="WATCH","Failure peste limita",IF(AB1217&lt;'Config_v6'!$B$16,"P finala sub prag",IF(V1217&lt;'Config_v6'!$B$18,"Confidence sub prag",IF(E1217="REPLAY","Exemplu retrospectiv; exclus din Top LIVE",IF(Y1217="PASS","DEFENSIV validat",IF(W1217="OOS PENDING","Eligibil; calibrare linie in monitorizare","Eligibil"))))))))))</x:f>
      </x:c>
      <x:c r="AI1217" s="2" t="str">
        <x:f>IF(B1217="","",'Calibrare_Linii'!V13)</x:f>
      </x:c>
      <x:c r="AJ1217" s="2" t="str">
        <x:f>IF(B1217="","",IF(AND('Calibrare_Linii'!T13="VALIDATED",AND('Calibrare_Linii'!H13=C1217,ISNUMBER('Calibrare_Linii'!J13),'Calibrare_Linii'!J13&lt;='Input_Meci'!G92)),"DEFENSIVE VALIDATED",IF(AND('Calibrare_Linii'!S13="VALIDATED",AND('Calibrare_Linii'!H13=C1217,ISNUMBER('Calibrare_Linii'!J13),'Calibrare_Linii'!J13&lt;='Input_Meci'!G92)),"TAIL VALIDATED","OOS PENDING")))</x:f>
      </x:c>
      <x:c r="AK1217" s="2" t="n">
        <x:f>IF(J1217&lt;&gt;"PASS",0,'Motor_Meciuri'!BR92)</x:f>
        <x:v>0</x:v>
      </x:c>
      <x:c r="AL1217" s="2" t="n">
        <x:f>IF(J1217&lt;&gt;"PASS",0,'Motor_Meciuri'!BS92)</x:f>
        <x:v>0</x:v>
      </x:c>
      <x:c r="AM1217" s="2" t="n">
        <x:f>IF(J1217&lt;&gt;"PASS",0,'Motor_Meciuri'!BT92)</x:f>
        <x:v>0</x:v>
      </x:c>
      <x:c r="AN1217" s="2" t="str">
        <x:f>IF(M1217="","",MAX(0,'Motor_Meciuri'!BF92-IF(L1217&gt;'Config_v6'!$B$12,'Config_v6'!$B$37,IF(L1217&gt;'Config_v6'!$B$11,'Config_v6'!$B$36,0))))</x:f>
      </x:c>
    </x:row>
    <x:row r="1218" ht="21" customHeight="1">
      <x:c r="A1218" s="2" t="n">
        <x:v>87</x:v>
      </x:c>
      <x:c r="B1218" s="2" t="str">
        <x:f>IF('Motor_Meciuri'!A92="","",'Motor_Meciuri'!A92)</x:f>
      </x:c>
      <x:c r="C1218" s="2" t="str">
        <x:f>IF(B1218="","",'Motor_Meciuri'!B92)</x:f>
      </x:c>
      <x:c r="D1218" s="2" t="str">
        <x:f>IF(B1218="","",'Motor_Meciuri'!D92)</x:f>
      </x:c>
      <x:c r="E1218" s="2" t="str">
        <x:f>IF(B1218="","",'Motor_Meciuri'!E92)</x:f>
      </x:c>
      <x:c r="F1218" s="2" t="str">
        <x:v>U12,5</x:v>
      </x:c>
      <x:c r="G1218" s="2" t="str">
        <x:v>UNDER</x:v>
      </x:c>
      <x:c r="H1218" s="2" t="n">
        <x:v>12</x:v>
      </x:c>
      <x:c r="I1218" s="2" t="str">
        <x:f>IF(B1218="","",'Motor_Meciuri'!H92)</x:f>
      </x:c>
      <x:c r="J1218" s="2" t="str">
        <x:f>IF(B1218="","",'Motor_Meciuri'!I92)</x:f>
      </x:c>
      <x:c r="K1218" s="11" t="str">
        <x:f>IF(J1218&lt;&gt;"PASS","",'Motor_Meciuri'!BD92)</x:f>
      </x:c>
      <x:c r="L1218" s="11" t="str">
        <x:f>IF(J1218&lt;&gt;"PASS","",'Motor_Meciuri'!AU92)</x:f>
      </x:c>
      <x:c r="M1218" s="10" t="str">
        <x:f>IF(NOT(AND(J1218="PASS",'Calibrare_Linii'!U14="VALID")),"",'Distributie'!AJ92)</x:f>
      </x:c>
      <x:c r="N1218" s="10" t="str">
        <x:f>IF(M1218="","",MAX(0.01,MIN(0.99,0.5+(M1218-0.5)*'Motor_Meciuri'!BG92*'Calibrare_Linii'!D14)))</x:f>
      </x:c>
      <x:c r="O1218" s="10" t="str">
        <x:f>IF(M1218="","",1-M1218)</x:f>
      </x:c>
      <x:c r="P1218" s="10" t="str">
        <x:f>IF(OR(NOT(AND(J1218="PASS",'Calibrare_Linii'!U14="VALID")),AK1218=0),""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*('Istoric_Nativ'!$Q$6:$Q$405&gt;H1218))/AK1218)</x:f>
      </x:c>
      <x:c r="Q1218" s="10" t="str">
        <x:f>IF(OR(NOT(AND(J1218="PASS",'Calibrare_Linii'!U14="VALID")),AL1218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M92)+((('Istoric_Nativ'!$E$6:$E$405='Input_Meci'!E92)+('Istoric_Nativ'!$F$6:$F$405='Input_Meci'!E92))&gt;0)*('Istoric_Nativ'!$D$6:$D$405&gt;='Motor_Meciuri'!BN92))&gt;0)*('Istoric_Nativ'!$Q$6:$Q$405&gt;H1218))/AL1218)</x:f>
      </x:c>
      <x:c r="R1218" s="10" t="str">
        <x:f>IF(OR(NOT(AND(J1218="PASS",'Calibrare_Linii'!U14="VALID")),AM1218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O92)+((('Istoric_Nativ'!$E$6:$E$405='Input_Meci'!E92)+('Istoric_Nativ'!$F$6:$F$405='Input_Meci'!E92))&gt;0)*('Istoric_Nativ'!$D$6:$D$405&gt;='Motor_Meciuri'!BP92))&gt;0)*('Istoric_Nativ'!$Q$6:$Q$405&gt;H1218))/AM1218)</x:f>
      </x:c>
      <x:c r="S1218" s="10" t="str">
        <x:f>IF(M1218="","",MAX(O1218,P1218,Q1218,R1218))</x:f>
      </x:c>
      <x:c r="T1218" s="11" t="str">
        <x:f>IF(M1218="","",MIN(100,S1218*100*'Config_v6'!$B$44+MIN(100,L1218/'Config_v6'!$B$13*100)*'Config_v6'!$B$45+(100-'Motor_Meciuri'!BF92)*'Config_v6'!$B$46+'Motor_Meciuri'!BH92*100*'Config_v6'!$B$47))</x:f>
      </x:c>
      <x:c r="U1218" s="2" t="str">
        <x:f>IF(T1218="","",IF(T1218&lt;=20,1,IF(T1218&lt;=40,2,IF(T1218&lt;=60,3,IF(T1218&lt;=80,4,5)))))</x:f>
      </x:c>
      <x:c r="V1218" s="2" t="str">
        <x:f>IF(M1218="","",MAX(0,'Motor_Meciuri'!BF92-IF(W1218="OOS PENDING",'Config_v6'!$B$35,0)-IF(L1218&gt;'Config_v6'!$B$12,'Config_v6'!$B$37,IF(L1218&gt;'Config_v6'!$B$11,'Config_v6'!$B$36,0))))</x:f>
      </x:c>
      <x:c r="W1218" s="2" t="str">
        <x:f>IF(B1218="","",IF(I1218&lt;&gt;"READY","NOT RELEASED",IF(NOT(AND(J1218="PASS",'Calibrare_Linii'!U14="VALID")),"INVALID",IF(NOT(AND('Calibrare_Linii'!S14="VALIDATED",AND('Calibrare_Linii'!H14=C1218,ISNUMBER('Calibrare_Linii'!J14),'Calibrare_Linii'!J14&lt;='Input_Meci'!G92))),"OOS PENDING",IF(S1218&lt;='Calibrare_Linii'!E14,"PASS",IF(S1218&lt;='Calibrare_Linii'!F14,"PENALTY","WATCH"))))))</x:f>
      </x:c>
      <x:c r="X1218" s="2" t="str">
        <x:f>IF(M1218="","",IF(AND(AND(J1218="PASS",'Calibrare_Linii'!U14="VALID"),'Motor_Meciuri'!K92=12,'Motor_Meciuri'!L92=12,'Motor_Meciuri'!M92="NO",'Motor_Meciuri'!BL92='Motor_Meciuri'!C92,AB1218&gt;='Config_v6'!$B$50,AN1218&gt;='Config_v6'!$B$51,T1218&lt;='Config_v6'!$B$52,L1218&lt;='Config_v6'!$B$53,ISNUMBER('Calibrare_Linii'!E14),S1218&lt;='Calibrare_Linii'!E14,SUM(AK1218:AM1218)&gt;0),"CANDIDATE","NO"))</x:f>
      </x:c>
      <x:c r="Y1218" s="2" t="str">
        <x:f>IF(B1218="","",IF(I1218&lt;&gt;"READY","NOT RELEASED",IF(AND(X1218="CANDIDATE",V1218&gt;='Config_v6'!$B$51,W1218="PASS",'Calibrare_Linii'!T14="VALIDATED",AND('Calibrare_Linii'!H14=C1218,ISNUMBER('Calibrare_Linii'!J14),'Calibrare_Linii'!J14&lt;='Input_Meci'!G92)),"PASS",IF(X1218="CANDIDATE","OOS PENDING","FAIL"))))</x:f>
      </x:c>
      <x:c r="Z1218" s="2" t="str">
        <x:f>IF(B1218="","",IF(I1218&lt;&gt;"READY","",IF(OR(NOT(AND(J1218="PASS",'Calibrare_Linii'!U14="VALID")),L1218&gt;'Config_v6'!$B$13,W1218="WATCH"),5,IF(Y1218="PASS",1,MIN(5,MAX('Config_v6'!$B$42,U1218)+IF(W1218="PENALTY",1,0))))))</x:f>
      </x:c>
      <x:c r="AA1218" s="2" t="str">
        <x:f>IF(B1218="","",IF(I1218&lt;&gt;"READY","NOT RELEASED",IF(Z1218=5,"NO BET",IF(OR(AB1218&lt;'Config_v6'!$B$16,V1218&lt;'Config_v6'!$B$18),"WATCH",IF(Z1218=1,"DEFENSIV",IF(Z1218=2,"PRUDENT",IF(Z1218=3,"MODERAT","RIDICAT")))))))</x:f>
      </x:c>
      <x:c r="AB1218" s="10" t="str">
        <x:f>IF(N1218="","",MIN(N1218,1-S1218))</x:f>
      </x:c>
      <x:c r="AC1218" s="2" t="str">
        <x:f>IF(AD1218&lt;&gt;1,"",COUNTIFS($Z$1210:$Z$1223,"&lt;"&amp;Z1218,$AD$1210:$AD$1223,1)+COUNTIFS($Z$1210:$Z$1223,Z1218,$AB$1210:$AB$1223,"&gt;"&amp;AB1218,$AD$1210:$AD$1223,1)+COUNTIFS($Z$1210:$Z$1223,Z1218,$AB$1210:$AB$1223,AB1218,$V$1210:$V$1223,"&gt;"&amp;V1218,$AD$1210:$AD$1223,1)+COUNTIFS($Z$1210:Z1218,Z1218,$AB$1210:AB1218,AB1218,$V$1210:V1218,V1218,$AD$1210:AD1218,1))</x:f>
      </x:c>
      <x:c r="AD1218" s="2" t="n">
        <x:f>IF(OR(AA1218="DEFENSIV",AA1218="PRUDENT",AA1218="MODERAT",AA1218="RIDICAT"),1,0)</x:f>
        <x:v>0</x:v>
      </x:c>
      <x:c r="AE1218" s="2" t="str">
        <x:f>IF(AD1218&lt;&gt;1,"NO",IF(W1218="PASS","YES",IF(W1218="OOS PENDING","CONDITIONAL","NO")))</x:f>
        <x:v>NO</x:v>
      </x:c>
      <x:c r="AF1218" s="2" t="n">
        <x:f>IF(AND(AD1218=1,AC1218=1,E1218="LIVE"),1,0)</x:f>
        <x:v>0</x:v>
      </x:c>
      <x:c r="AG1218" s="2" t="str">
        <x:f>IF(AF1218&lt;&gt;1,"",'Dashboard'!P112)</x:f>
      </x:c>
      <x:c r="AH1218" s="2" t="str">
        <x:f>IF(B1218="","",IF(J1218&lt;&gt;"PASS",'Motor_Meciuri'!J92,IF('Calibrare_Linii'!U14&lt;&gt;"VALID","Parametri linie invalizi",IF(L1218&gt;'Config_v6'!$B$13,"Dispersie peste limita",IF(W1218="WATCH","Failure peste limita",IF(AB1218&lt;'Config_v6'!$B$16,"P finala sub prag",IF(V1218&lt;'Config_v6'!$B$18,"Confidence sub prag",IF(E1218="REPLAY","Exemplu retrospectiv; exclus din Top LIVE",IF(Y1218="PASS","DEFENSIV validat",IF(W1218="OOS PENDING","Eligibil; calibrare linie in monitorizare","Eligibil"))))))))))</x:f>
      </x:c>
      <x:c r="AI1218" s="2" t="str">
        <x:f>IF(B1218="","",'Calibrare_Linii'!V14)</x:f>
      </x:c>
      <x:c r="AJ1218" s="2" t="str">
        <x:f>IF(B1218="","",IF(AND('Calibrare_Linii'!T14="VALIDATED",AND('Calibrare_Linii'!H14=C1218,ISNUMBER('Calibrare_Linii'!J14),'Calibrare_Linii'!J14&lt;='Input_Meci'!G92)),"DEFENSIVE VALIDATED",IF(AND('Calibrare_Linii'!S14="VALIDATED",AND('Calibrare_Linii'!H14=C1218,ISNUMBER('Calibrare_Linii'!J14),'Calibrare_Linii'!J14&lt;='Input_Meci'!G92)),"TAIL VALIDATED","OOS PENDING")))</x:f>
      </x:c>
      <x:c r="AK1218" s="2" t="n">
        <x:f>IF(J1218&lt;&gt;"PASS",0,'Motor_Meciuri'!BR92)</x:f>
        <x:v>0</x:v>
      </x:c>
      <x:c r="AL1218" s="2" t="n">
        <x:f>IF(J1218&lt;&gt;"PASS",0,'Motor_Meciuri'!BS92)</x:f>
        <x:v>0</x:v>
      </x:c>
      <x:c r="AM1218" s="2" t="n">
        <x:f>IF(J1218&lt;&gt;"PASS",0,'Motor_Meciuri'!BT92)</x:f>
        <x:v>0</x:v>
      </x:c>
      <x:c r="AN1218" s="2" t="str">
        <x:f>IF(M1218="","",MAX(0,'Motor_Meciuri'!BF92-IF(L1218&gt;'Config_v6'!$B$12,'Config_v6'!$B$37,IF(L1218&gt;'Config_v6'!$B$11,'Config_v6'!$B$36,0))))</x:f>
      </x:c>
    </x:row>
    <x:row r="1219" ht="21" customHeight="1">
      <x:c r="A1219" s="2" t="n">
        <x:v>87</x:v>
      </x:c>
      <x:c r="B1219" s="2" t="str">
        <x:f>IF('Motor_Meciuri'!A92="","",'Motor_Meciuri'!A92)</x:f>
      </x:c>
      <x:c r="C1219" s="2" t="str">
        <x:f>IF(B1219="","",'Motor_Meciuri'!B92)</x:f>
      </x:c>
      <x:c r="D1219" s="2" t="str">
        <x:f>IF(B1219="","",'Motor_Meciuri'!D92)</x:f>
      </x:c>
      <x:c r="E1219" s="2" t="str">
        <x:f>IF(B1219="","",'Motor_Meciuri'!E92)</x:f>
      </x:c>
      <x:c r="F1219" s="2" t="str">
        <x:v>U13,5</x:v>
      </x:c>
      <x:c r="G1219" s="2" t="str">
        <x:v>UNDER</x:v>
      </x:c>
      <x:c r="H1219" s="2" t="n">
        <x:v>13</x:v>
      </x:c>
      <x:c r="I1219" s="2" t="str">
        <x:f>IF(B1219="","",'Motor_Meciuri'!H92)</x:f>
      </x:c>
      <x:c r="J1219" s="2" t="str">
        <x:f>IF(B1219="","",'Motor_Meciuri'!I92)</x:f>
      </x:c>
      <x:c r="K1219" s="11" t="str">
        <x:f>IF(J1219&lt;&gt;"PASS","",'Motor_Meciuri'!BD92)</x:f>
      </x:c>
      <x:c r="L1219" s="11" t="str">
        <x:f>IF(J1219&lt;&gt;"PASS","",'Motor_Meciuri'!AU92)</x:f>
      </x:c>
      <x:c r="M1219" s="10" t="str">
        <x:f>IF(NOT(AND(J1219="PASS",'Calibrare_Linii'!U15="VALID")),"",'Distributie'!AK92)</x:f>
      </x:c>
      <x:c r="N1219" s="10" t="str">
        <x:f>IF(M1219="","",MAX(0.01,MIN(0.99,0.5+(M1219-0.5)*'Motor_Meciuri'!BG92*'Calibrare_Linii'!D15)))</x:f>
      </x:c>
      <x:c r="O1219" s="10" t="str">
        <x:f>IF(M1219="","",1-M1219)</x:f>
      </x:c>
      <x:c r="P1219" s="10" t="str">
        <x:f>IF(OR(NOT(AND(J1219="PASS",'Calibrare_Linii'!U15="VALID")),AK1219=0),""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*('Istoric_Nativ'!$Q$6:$Q$405&gt;H1219))/AK1219)</x:f>
      </x:c>
      <x:c r="Q1219" s="10" t="str">
        <x:f>IF(OR(NOT(AND(J1219="PASS",'Calibrare_Linii'!U15="VALID")),AL1219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M92)+((('Istoric_Nativ'!$E$6:$E$405='Input_Meci'!E92)+('Istoric_Nativ'!$F$6:$F$405='Input_Meci'!E92))&gt;0)*('Istoric_Nativ'!$D$6:$D$405&gt;='Motor_Meciuri'!BN92))&gt;0)*('Istoric_Nativ'!$Q$6:$Q$405&gt;H1219))/AL1219)</x:f>
      </x:c>
      <x:c r="R1219" s="10" t="str">
        <x:f>IF(OR(NOT(AND(J1219="PASS",'Calibrare_Linii'!U15="VALID")),AM1219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O92)+((('Istoric_Nativ'!$E$6:$E$405='Input_Meci'!E92)+('Istoric_Nativ'!$F$6:$F$405='Input_Meci'!E92))&gt;0)*('Istoric_Nativ'!$D$6:$D$405&gt;='Motor_Meciuri'!BP92))&gt;0)*('Istoric_Nativ'!$Q$6:$Q$405&gt;H1219))/AM1219)</x:f>
      </x:c>
      <x:c r="S1219" s="10" t="str">
        <x:f>IF(M1219="","",MAX(O1219,P1219,Q1219,R1219))</x:f>
      </x:c>
      <x:c r="T1219" s="11" t="str">
        <x:f>IF(M1219="","",MIN(100,S1219*100*'Config_v6'!$B$44+MIN(100,L1219/'Config_v6'!$B$13*100)*'Config_v6'!$B$45+(100-'Motor_Meciuri'!BF92)*'Config_v6'!$B$46+'Motor_Meciuri'!BH92*100*'Config_v6'!$B$47))</x:f>
      </x:c>
      <x:c r="U1219" s="2" t="str">
        <x:f>IF(T1219="","",IF(T1219&lt;=20,1,IF(T1219&lt;=40,2,IF(T1219&lt;=60,3,IF(T1219&lt;=80,4,5)))))</x:f>
      </x:c>
      <x:c r="V1219" s="2" t="str">
        <x:f>IF(M1219="","",MAX(0,'Motor_Meciuri'!BF92-IF(W1219="OOS PENDING",'Config_v6'!$B$35,0)-IF(L1219&gt;'Config_v6'!$B$12,'Config_v6'!$B$37,IF(L1219&gt;'Config_v6'!$B$11,'Config_v6'!$B$36,0))))</x:f>
      </x:c>
      <x:c r="W1219" s="2" t="str">
        <x:f>IF(B1219="","",IF(I1219&lt;&gt;"READY","NOT RELEASED",IF(NOT(AND(J1219="PASS",'Calibrare_Linii'!U15="VALID")),"INVALID",IF(NOT(AND('Calibrare_Linii'!S15="VALIDATED",AND('Calibrare_Linii'!H15=C1219,ISNUMBER('Calibrare_Linii'!J15),'Calibrare_Linii'!J15&lt;='Input_Meci'!G92))),"OOS PENDING",IF(S1219&lt;='Calibrare_Linii'!E15,"PASS",IF(S1219&lt;='Calibrare_Linii'!F15,"PENALTY","WATCH"))))))</x:f>
      </x:c>
      <x:c r="X1219" s="2" t="str">
        <x:f>IF(M1219="","",IF(AND(AND(J1219="PASS",'Calibrare_Linii'!U15="VALID"),'Motor_Meciuri'!K92=12,'Motor_Meciuri'!L92=12,'Motor_Meciuri'!M92="NO",'Motor_Meciuri'!BL92='Motor_Meciuri'!C92,AB1219&gt;='Config_v6'!$B$50,AN1219&gt;='Config_v6'!$B$51,T1219&lt;='Config_v6'!$B$52,L1219&lt;='Config_v6'!$B$53,ISNUMBER('Calibrare_Linii'!E15),S1219&lt;='Calibrare_Linii'!E15,SUM(AK1219:AM1219)&gt;0),"CANDIDATE","NO"))</x:f>
      </x:c>
      <x:c r="Y1219" s="2" t="str">
        <x:f>IF(B1219="","",IF(I1219&lt;&gt;"READY","NOT RELEASED",IF(AND(X1219="CANDIDATE",V1219&gt;='Config_v6'!$B$51,W1219="PASS",'Calibrare_Linii'!T15="VALIDATED",AND('Calibrare_Linii'!H15=C1219,ISNUMBER('Calibrare_Linii'!J15),'Calibrare_Linii'!J15&lt;='Input_Meci'!G92)),"PASS",IF(X1219="CANDIDATE","OOS PENDING","FAIL"))))</x:f>
      </x:c>
      <x:c r="Z1219" s="2" t="str">
        <x:f>IF(B1219="","",IF(I1219&lt;&gt;"READY","",IF(OR(NOT(AND(J1219="PASS",'Calibrare_Linii'!U15="VALID")),L1219&gt;'Config_v6'!$B$13,W1219="WATCH"),5,IF(Y1219="PASS",1,MIN(5,MAX('Config_v6'!$B$42,U1219)+IF(W1219="PENALTY",1,0))))))</x:f>
      </x:c>
      <x:c r="AA1219" s="2" t="str">
        <x:f>IF(B1219="","",IF(I1219&lt;&gt;"READY","NOT RELEASED",IF(Z1219=5,"NO BET",IF(OR(AB1219&lt;'Config_v6'!$B$16,V1219&lt;'Config_v6'!$B$18),"WATCH",IF(Z1219=1,"DEFENSIV",IF(Z1219=2,"PRUDENT",IF(Z1219=3,"MODERAT","RIDICAT")))))))</x:f>
      </x:c>
      <x:c r="AB1219" s="10" t="str">
        <x:f>IF(N1219="","",MIN(N1219,1-S1219))</x:f>
      </x:c>
      <x:c r="AC1219" s="2" t="str">
        <x:f>IF(AD1219&lt;&gt;1,"",COUNTIFS($Z$1210:$Z$1223,"&lt;"&amp;Z1219,$AD$1210:$AD$1223,1)+COUNTIFS($Z$1210:$Z$1223,Z1219,$AB$1210:$AB$1223,"&gt;"&amp;AB1219,$AD$1210:$AD$1223,1)+COUNTIFS($Z$1210:$Z$1223,Z1219,$AB$1210:$AB$1223,AB1219,$V$1210:$V$1223,"&gt;"&amp;V1219,$AD$1210:$AD$1223,1)+COUNTIFS($Z$1210:Z1219,Z1219,$AB$1210:AB1219,AB1219,$V$1210:V1219,V1219,$AD$1210:AD1219,1))</x:f>
      </x:c>
      <x:c r="AD1219" s="2" t="n">
        <x:f>IF(OR(AA1219="DEFENSIV",AA1219="PRUDENT",AA1219="MODERAT",AA1219="RIDICAT"),1,0)</x:f>
        <x:v>0</x:v>
      </x:c>
      <x:c r="AE1219" s="2" t="str">
        <x:f>IF(AD1219&lt;&gt;1,"NO",IF(W1219="PASS","YES",IF(W1219="OOS PENDING","CONDITIONAL","NO")))</x:f>
        <x:v>NO</x:v>
      </x:c>
      <x:c r="AF1219" s="2" t="n">
        <x:f>IF(AND(AD1219=1,AC1219=1,E1219="LIVE"),1,0)</x:f>
        <x:v>0</x:v>
      </x:c>
      <x:c r="AG1219" s="2" t="str">
        <x:f>IF(AF1219&lt;&gt;1,"",'Dashboard'!P112)</x:f>
      </x:c>
      <x:c r="AH1219" s="2" t="str">
        <x:f>IF(B1219="","",IF(J1219&lt;&gt;"PASS",'Motor_Meciuri'!J92,IF('Calibrare_Linii'!U15&lt;&gt;"VALID","Parametri linie invalizi",IF(L1219&gt;'Config_v6'!$B$13,"Dispersie peste limita",IF(W1219="WATCH","Failure peste limita",IF(AB1219&lt;'Config_v6'!$B$16,"P finala sub prag",IF(V1219&lt;'Config_v6'!$B$18,"Confidence sub prag",IF(E1219="REPLAY","Exemplu retrospectiv; exclus din Top LIVE",IF(Y1219="PASS","DEFENSIV validat",IF(W1219="OOS PENDING","Eligibil; calibrare linie in monitorizare","Eligibil"))))))))))</x:f>
      </x:c>
      <x:c r="AI1219" s="2" t="str">
        <x:f>IF(B1219="","",'Calibrare_Linii'!V15)</x:f>
      </x:c>
      <x:c r="AJ1219" s="2" t="str">
        <x:f>IF(B1219="","",IF(AND('Calibrare_Linii'!T15="VALIDATED",AND('Calibrare_Linii'!H15=C1219,ISNUMBER('Calibrare_Linii'!J15),'Calibrare_Linii'!J15&lt;='Input_Meci'!G92)),"DEFENSIVE VALIDATED",IF(AND('Calibrare_Linii'!S15="VALIDATED",AND('Calibrare_Linii'!H15=C1219,ISNUMBER('Calibrare_Linii'!J15),'Calibrare_Linii'!J15&lt;='Input_Meci'!G92)),"TAIL VALIDATED","OOS PENDING")))</x:f>
      </x:c>
      <x:c r="AK1219" s="2" t="n">
        <x:f>IF(J1219&lt;&gt;"PASS",0,'Motor_Meciuri'!BR92)</x:f>
        <x:v>0</x:v>
      </x:c>
      <x:c r="AL1219" s="2" t="n">
        <x:f>IF(J1219&lt;&gt;"PASS",0,'Motor_Meciuri'!BS92)</x:f>
        <x:v>0</x:v>
      </x:c>
      <x:c r="AM1219" s="2" t="n">
        <x:f>IF(J1219&lt;&gt;"PASS",0,'Motor_Meciuri'!BT92)</x:f>
        <x:v>0</x:v>
      </x:c>
      <x:c r="AN1219" s="2" t="str">
        <x:f>IF(M1219="","",MAX(0,'Motor_Meciuri'!BF92-IF(L1219&gt;'Config_v6'!$B$12,'Config_v6'!$B$37,IF(L1219&gt;'Config_v6'!$B$11,'Config_v6'!$B$36,0))))</x:f>
      </x:c>
    </x:row>
    <x:row r="1220" ht="21" customHeight="1">
      <x:c r="A1220" s="2" t="n">
        <x:v>87</x:v>
      </x:c>
      <x:c r="B1220" s="2" t="str">
        <x:f>IF('Motor_Meciuri'!A92="","",'Motor_Meciuri'!A92)</x:f>
      </x:c>
      <x:c r="C1220" s="2" t="str">
        <x:f>IF(B1220="","",'Motor_Meciuri'!B92)</x:f>
      </x:c>
      <x:c r="D1220" s="2" t="str">
        <x:f>IF(B1220="","",'Motor_Meciuri'!D92)</x:f>
      </x:c>
      <x:c r="E1220" s="2" t="str">
        <x:f>IF(B1220="","",'Motor_Meciuri'!E92)</x:f>
      </x:c>
      <x:c r="F1220" s="2" t="str">
        <x:v>U14,5</x:v>
      </x:c>
      <x:c r="G1220" s="2" t="str">
        <x:v>UNDER</x:v>
      </x:c>
      <x:c r="H1220" s="2" t="n">
        <x:v>14</x:v>
      </x:c>
      <x:c r="I1220" s="2" t="str">
        <x:f>IF(B1220="","",'Motor_Meciuri'!H92)</x:f>
      </x:c>
      <x:c r="J1220" s="2" t="str">
        <x:f>IF(B1220="","",'Motor_Meciuri'!I92)</x:f>
      </x:c>
      <x:c r="K1220" s="11" t="str">
        <x:f>IF(J1220&lt;&gt;"PASS","",'Motor_Meciuri'!BD92)</x:f>
      </x:c>
      <x:c r="L1220" s="11" t="str">
        <x:f>IF(J1220&lt;&gt;"PASS","",'Motor_Meciuri'!AU92)</x:f>
      </x:c>
      <x:c r="M1220" s="10" t="str">
        <x:f>IF(NOT(AND(J1220="PASS",'Calibrare_Linii'!U16="VALID")),"",'Distributie'!AL92)</x:f>
      </x:c>
      <x:c r="N1220" s="10" t="str">
        <x:f>IF(M1220="","",MAX(0.01,MIN(0.99,0.5+(M1220-0.5)*'Motor_Meciuri'!BG92*'Calibrare_Linii'!D16)))</x:f>
      </x:c>
      <x:c r="O1220" s="10" t="str">
        <x:f>IF(M1220="","",1-M1220)</x:f>
      </x:c>
      <x:c r="P1220" s="10" t="str">
        <x:f>IF(OR(NOT(AND(J1220="PASS",'Calibrare_Linii'!U16="VALID")),AK1220=0),""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*('Istoric_Nativ'!$Q$6:$Q$405&gt;H1220))/AK1220)</x:f>
      </x:c>
      <x:c r="Q1220" s="10" t="str">
        <x:f>IF(OR(NOT(AND(J1220="PASS",'Calibrare_Linii'!U16="VALID")),AL1220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M92)+((('Istoric_Nativ'!$E$6:$E$405='Input_Meci'!E92)+('Istoric_Nativ'!$F$6:$F$405='Input_Meci'!E92))&gt;0)*('Istoric_Nativ'!$D$6:$D$405&gt;='Motor_Meciuri'!BN92))&gt;0)*('Istoric_Nativ'!$Q$6:$Q$405&gt;H1220))/AL1220)</x:f>
      </x:c>
      <x:c r="R1220" s="10" t="str">
        <x:f>IF(OR(NOT(AND(J1220="PASS",'Calibrare_Linii'!U16="VALID")),AM1220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O92)+((('Istoric_Nativ'!$E$6:$E$405='Input_Meci'!E92)+('Istoric_Nativ'!$F$6:$F$405='Input_Meci'!E92))&gt;0)*('Istoric_Nativ'!$D$6:$D$405&gt;='Motor_Meciuri'!BP92))&gt;0)*('Istoric_Nativ'!$Q$6:$Q$405&gt;H1220))/AM1220)</x:f>
      </x:c>
      <x:c r="S1220" s="10" t="str">
        <x:f>IF(M1220="","",MAX(O1220,P1220,Q1220,R1220))</x:f>
      </x:c>
      <x:c r="T1220" s="11" t="str">
        <x:f>IF(M1220="","",MIN(100,S1220*100*'Config_v6'!$B$44+MIN(100,L1220/'Config_v6'!$B$13*100)*'Config_v6'!$B$45+(100-'Motor_Meciuri'!BF92)*'Config_v6'!$B$46+'Motor_Meciuri'!BH92*100*'Config_v6'!$B$47))</x:f>
      </x:c>
      <x:c r="U1220" s="2" t="str">
        <x:f>IF(T1220="","",IF(T1220&lt;=20,1,IF(T1220&lt;=40,2,IF(T1220&lt;=60,3,IF(T1220&lt;=80,4,5)))))</x:f>
      </x:c>
      <x:c r="V1220" s="2" t="str">
        <x:f>IF(M1220="","",MAX(0,'Motor_Meciuri'!BF92-IF(W1220="OOS PENDING",'Config_v6'!$B$35,0)-IF(L1220&gt;'Config_v6'!$B$12,'Config_v6'!$B$37,IF(L1220&gt;'Config_v6'!$B$11,'Config_v6'!$B$36,0))))</x:f>
      </x:c>
      <x:c r="W1220" s="2" t="str">
        <x:f>IF(B1220="","",IF(I1220&lt;&gt;"READY","NOT RELEASED",IF(NOT(AND(J1220="PASS",'Calibrare_Linii'!U16="VALID")),"INVALID",IF(NOT(AND('Calibrare_Linii'!S16="VALIDATED",AND('Calibrare_Linii'!H16=C1220,ISNUMBER('Calibrare_Linii'!J16),'Calibrare_Linii'!J16&lt;='Input_Meci'!G92))),"OOS PENDING",IF(S1220&lt;='Calibrare_Linii'!E16,"PASS",IF(S1220&lt;='Calibrare_Linii'!F16,"PENALTY","WATCH"))))))</x:f>
      </x:c>
      <x:c r="X1220" s="2" t="str">
        <x:f>IF(M1220="","",IF(AND(AND(J1220="PASS",'Calibrare_Linii'!U16="VALID"),'Motor_Meciuri'!K92=12,'Motor_Meciuri'!L92=12,'Motor_Meciuri'!M92="NO",'Motor_Meciuri'!BL92='Motor_Meciuri'!C92,AB1220&gt;='Config_v6'!$B$50,AN1220&gt;='Config_v6'!$B$51,T1220&lt;='Config_v6'!$B$52,L1220&lt;='Config_v6'!$B$53,ISNUMBER('Calibrare_Linii'!E16),S1220&lt;='Calibrare_Linii'!E16,SUM(AK1220:AM1220)&gt;0),"CANDIDATE","NO"))</x:f>
      </x:c>
      <x:c r="Y1220" s="2" t="str">
        <x:f>IF(B1220="","",IF(I1220&lt;&gt;"READY","NOT RELEASED",IF(AND(X1220="CANDIDATE",V1220&gt;='Config_v6'!$B$51,W1220="PASS",'Calibrare_Linii'!T16="VALIDATED",AND('Calibrare_Linii'!H16=C1220,ISNUMBER('Calibrare_Linii'!J16),'Calibrare_Linii'!J16&lt;='Input_Meci'!G92)),"PASS",IF(X1220="CANDIDATE","OOS PENDING","FAIL"))))</x:f>
      </x:c>
      <x:c r="Z1220" s="2" t="str">
        <x:f>IF(B1220="","",IF(I1220&lt;&gt;"READY","",IF(OR(NOT(AND(J1220="PASS",'Calibrare_Linii'!U16="VALID")),L1220&gt;'Config_v6'!$B$13,W1220="WATCH"),5,IF(Y1220="PASS",1,MIN(5,MAX('Config_v6'!$B$42,U1220)+IF(W1220="PENALTY",1,0))))))</x:f>
      </x:c>
      <x:c r="AA1220" s="2" t="str">
        <x:f>IF(B1220="","",IF(I1220&lt;&gt;"READY","NOT RELEASED",IF(Z1220=5,"NO BET",IF(OR(AB1220&lt;'Config_v6'!$B$16,V1220&lt;'Config_v6'!$B$18),"WATCH",IF(Z1220=1,"DEFENSIV",IF(Z1220=2,"PRUDENT",IF(Z1220=3,"MODERAT","RIDICAT")))))))</x:f>
      </x:c>
      <x:c r="AB1220" s="10" t="str">
        <x:f>IF(N1220="","",MIN(N1220,1-S1220))</x:f>
      </x:c>
      <x:c r="AC1220" s="2" t="str">
        <x:f>IF(AD1220&lt;&gt;1,"",COUNTIFS($Z$1210:$Z$1223,"&lt;"&amp;Z1220,$AD$1210:$AD$1223,1)+COUNTIFS($Z$1210:$Z$1223,Z1220,$AB$1210:$AB$1223,"&gt;"&amp;AB1220,$AD$1210:$AD$1223,1)+COUNTIFS($Z$1210:$Z$1223,Z1220,$AB$1210:$AB$1223,AB1220,$V$1210:$V$1223,"&gt;"&amp;V1220,$AD$1210:$AD$1223,1)+COUNTIFS($Z$1210:Z1220,Z1220,$AB$1210:AB1220,AB1220,$V$1210:V1220,V1220,$AD$1210:AD1220,1))</x:f>
      </x:c>
      <x:c r="AD1220" s="2" t="n">
        <x:f>IF(OR(AA1220="DEFENSIV",AA1220="PRUDENT",AA1220="MODERAT",AA1220="RIDICAT"),1,0)</x:f>
        <x:v>0</x:v>
      </x:c>
      <x:c r="AE1220" s="2" t="str">
        <x:f>IF(AD1220&lt;&gt;1,"NO",IF(W1220="PASS","YES",IF(W1220="OOS PENDING","CONDITIONAL","NO")))</x:f>
        <x:v>NO</x:v>
      </x:c>
      <x:c r="AF1220" s="2" t="n">
        <x:f>IF(AND(AD1220=1,AC1220=1,E1220="LIVE"),1,0)</x:f>
        <x:v>0</x:v>
      </x:c>
      <x:c r="AG1220" s="2" t="str">
        <x:f>IF(AF1220&lt;&gt;1,"",'Dashboard'!P112)</x:f>
      </x:c>
      <x:c r="AH1220" s="2" t="str">
        <x:f>IF(B1220="","",IF(J1220&lt;&gt;"PASS",'Motor_Meciuri'!J92,IF('Calibrare_Linii'!U16&lt;&gt;"VALID","Parametri linie invalizi",IF(L1220&gt;'Config_v6'!$B$13,"Dispersie peste limita",IF(W1220="WATCH","Failure peste limita",IF(AB1220&lt;'Config_v6'!$B$16,"P finala sub prag",IF(V1220&lt;'Config_v6'!$B$18,"Confidence sub prag",IF(E1220="REPLAY","Exemplu retrospectiv; exclus din Top LIVE",IF(Y1220="PASS","DEFENSIV validat",IF(W1220="OOS PENDING","Eligibil; calibrare linie in monitorizare","Eligibil"))))))))))</x:f>
      </x:c>
      <x:c r="AI1220" s="2" t="str">
        <x:f>IF(B1220="","",'Calibrare_Linii'!V16)</x:f>
      </x:c>
      <x:c r="AJ1220" s="2" t="str">
        <x:f>IF(B1220="","",IF(AND('Calibrare_Linii'!T16="VALIDATED",AND('Calibrare_Linii'!H16=C1220,ISNUMBER('Calibrare_Linii'!J16),'Calibrare_Linii'!J16&lt;='Input_Meci'!G92)),"DEFENSIVE VALIDATED",IF(AND('Calibrare_Linii'!S16="VALIDATED",AND('Calibrare_Linii'!H16=C1220,ISNUMBER('Calibrare_Linii'!J16),'Calibrare_Linii'!J16&lt;='Input_Meci'!G92)),"TAIL VALIDATED","OOS PENDING")))</x:f>
      </x:c>
      <x:c r="AK1220" s="2" t="n">
        <x:f>IF(J1220&lt;&gt;"PASS",0,'Motor_Meciuri'!BR92)</x:f>
        <x:v>0</x:v>
      </x:c>
      <x:c r="AL1220" s="2" t="n">
        <x:f>IF(J1220&lt;&gt;"PASS",0,'Motor_Meciuri'!BS92)</x:f>
        <x:v>0</x:v>
      </x:c>
      <x:c r="AM1220" s="2" t="n">
        <x:f>IF(J1220&lt;&gt;"PASS",0,'Motor_Meciuri'!BT92)</x:f>
        <x:v>0</x:v>
      </x:c>
      <x:c r="AN1220" s="2" t="str">
        <x:f>IF(M1220="","",MAX(0,'Motor_Meciuri'!BF92-IF(L1220&gt;'Config_v6'!$B$12,'Config_v6'!$B$37,IF(L1220&gt;'Config_v6'!$B$11,'Config_v6'!$B$36,0))))</x:f>
      </x:c>
    </x:row>
    <x:row r="1221" ht="21" customHeight="1">
      <x:c r="A1221" s="2" t="n">
        <x:v>87</x:v>
      </x:c>
      <x:c r="B1221" s="2" t="str">
        <x:f>IF('Motor_Meciuri'!A92="","",'Motor_Meciuri'!A92)</x:f>
      </x:c>
      <x:c r="C1221" s="2" t="str">
        <x:f>IF(B1221="","",'Motor_Meciuri'!B92)</x:f>
      </x:c>
      <x:c r="D1221" s="2" t="str">
        <x:f>IF(B1221="","",'Motor_Meciuri'!D92)</x:f>
      </x:c>
      <x:c r="E1221" s="2" t="str">
        <x:f>IF(B1221="","",'Motor_Meciuri'!E92)</x:f>
      </x:c>
      <x:c r="F1221" s="2" t="str">
        <x:v>U15,5</x:v>
      </x:c>
      <x:c r="G1221" s="2" t="str">
        <x:v>UNDER</x:v>
      </x:c>
      <x:c r="H1221" s="2" t="n">
        <x:v>15</x:v>
      </x:c>
      <x:c r="I1221" s="2" t="str">
        <x:f>IF(B1221="","",'Motor_Meciuri'!H92)</x:f>
      </x:c>
      <x:c r="J1221" s="2" t="str">
        <x:f>IF(B1221="","",'Motor_Meciuri'!I92)</x:f>
      </x:c>
      <x:c r="K1221" s="11" t="str">
        <x:f>IF(J1221&lt;&gt;"PASS","",'Motor_Meciuri'!BD92)</x:f>
      </x:c>
      <x:c r="L1221" s="11" t="str">
        <x:f>IF(J1221&lt;&gt;"PASS","",'Motor_Meciuri'!AU92)</x:f>
      </x:c>
      <x:c r="M1221" s="10" t="str">
        <x:f>IF(NOT(AND(J1221="PASS",'Calibrare_Linii'!U17="VALID")),"",'Distributie'!AM92)</x:f>
      </x:c>
      <x:c r="N1221" s="10" t="str">
        <x:f>IF(M1221="","",MAX(0.01,MIN(0.99,0.5+(M1221-0.5)*'Motor_Meciuri'!BG92*'Calibrare_Linii'!D17)))</x:f>
      </x:c>
      <x:c r="O1221" s="10" t="str">
        <x:f>IF(M1221="","",1-M1221)</x:f>
      </x:c>
      <x:c r="P1221" s="10" t="str">
        <x:f>IF(OR(NOT(AND(J1221="PASS",'Calibrare_Linii'!U17="VALID")),AK1221=0),""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*('Istoric_Nativ'!$Q$6:$Q$405&gt;H1221))/AK1221)</x:f>
      </x:c>
      <x:c r="Q1221" s="10" t="str">
        <x:f>IF(OR(NOT(AND(J1221="PASS",'Calibrare_Linii'!U17="VALID")),AL1221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M92)+((('Istoric_Nativ'!$E$6:$E$405='Input_Meci'!E92)+('Istoric_Nativ'!$F$6:$F$405='Input_Meci'!E92))&gt;0)*('Istoric_Nativ'!$D$6:$D$405&gt;='Motor_Meciuri'!BN92))&gt;0)*('Istoric_Nativ'!$Q$6:$Q$405&gt;H1221))/AL1221)</x:f>
      </x:c>
      <x:c r="R1221" s="10" t="str">
        <x:f>IF(OR(NOT(AND(J1221="PASS",'Calibrare_Linii'!U17="VALID")),AM1221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O92)+((('Istoric_Nativ'!$E$6:$E$405='Input_Meci'!E92)+('Istoric_Nativ'!$F$6:$F$405='Input_Meci'!E92))&gt;0)*('Istoric_Nativ'!$D$6:$D$405&gt;='Motor_Meciuri'!BP92))&gt;0)*('Istoric_Nativ'!$Q$6:$Q$405&gt;H1221))/AM1221)</x:f>
      </x:c>
      <x:c r="S1221" s="10" t="str">
        <x:f>IF(M1221="","",MAX(O1221,P1221,Q1221,R1221))</x:f>
      </x:c>
      <x:c r="T1221" s="11" t="str">
        <x:f>IF(M1221="","",MIN(100,S1221*100*'Config_v6'!$B$44+MIN(100,L1221/'Config_v6'!$B$13*100)*'Config_v6'!$B$45+(100-'Motor_Meciuri'!BF92)*'Config_v6'!$B$46+'Motor_Meciuri'!BH92*100*'Config_v6'!$B$47))</x:f>
      </x:c>
      <x:c r="U1221" s="2" t="str">
        <x:f>IF(T1221="","",IF(T1221&lt;=20,1,IF(T1221&lt;=40,2,IF(T1221&lt;=60,3,IF(T1221&lt;=80,4,5)))))</x:f>
      </x:c>
      <x:c r="V1221" s="2" t="str">
        <x:f>IF(M1221="","",MAX(0,'Motor_Meciuri'!BF92-IF(W1221="OOS PENDING",'Config_v6'!$B$35,0)-IF(L1221&gt;'Config_v6'!$B$12,'Config_v6'!$B$37,IF(L1221&gt;'Config_v6'!$B$11,'Config_v6'!$B$36,0))))</x:f>
      </x:c>
      <x:c r="W1221" s="2" t="str">
        <x:f>IF(B1221="","",IF(I1221&lt;&gt;"READY","NOT RELEASED",IF(NOT(AND(J1221="PASS",'Calibrare_Linii'!U17="VALID")),"INVALID",IF(NOT(AND('Calibrare_Linii'!S17="VALIDATED",AND('Calibrare_Linii'!H17=C1221,ISNUMBER('Calibrare_Linii'!J17),'Calibrare_Linii'!J17&lt;='Input_Meci'!G92))),"OOS PENDING",IF(S1221&lt;='Calibrare_Linii'!E17,"PASS",IF(S1221&lt;='Calibrare_Linii'!F17,"PENALTY","WATCH"))))))</x:f>
      </x:c>
      <x:c r="X1221" s="2" t="str">
        <x:f>IF(M1221="","",IF(AND(AND(J1221="PASS",'Calibrare_Linii'!U17="VALID"),'Motor_Meciuri'!K92=12,'Motor_Meciuri'!L92=12,'Motor_Meciuri'!M92="NO",'Motor_Meciuri'!BL92='Motor_Meciuri'!C92,AB1221&gt;='Config_v6'!$B$50,AN1221&gt;='Config_v6'!$B$51,T1221&lt;='Config_v6'!$B$52,L1221&lt;='Config_v6'!$B$53,ISNUMBER('Calibrare_Linii'!E17),S1221&lt;='Calibrare_Linii'!E17,SUM(AK1221:AM1221)&gt;0),"CANDIDATE","NO"))</x:f>
      </x:c>
      <x:c r="Y1221" s="2" t="str">
        <x:f>IF(B1221="","",IF(I1221&lt;&gt;"READY","NOT RELEASED",IF(AND(X1221="CANDIDATE",V1221&gt;='Config_v6'!$B$51,W1221="PASS",'Calibrare_Linii'!T17="VALIDATED",AND('Calibrare_Linii'!H17=C1221,ISNUMBER('Calibrare_Linii'!J17),'Calibrare_Linii'!J17&lt;='Input_Meci'!G92)),"PASS",IF(X1221="CANDIDATE","OOS PENDING","FAIL"))))</x:f>
      </x:c>
      <x:c r="Z1221" s="2" t="str">
        <x:f>IF(B1221="","",IF(I1221&lt;&gt;"READY","",IF(OR(NOT(AND(J1221="PASS",'Calibrare_Linii'!U17="VALID")),L1221&gt;'Config_v6'!$B$13,W1221="WATCH"),5,IF(Y1221="PASS",1,MIN(5,MAX('Config_v6'!$B$42,U1221)+IF(W1221="PENALTY",1,0))))))</x:f>
      </x:c>
      <x:c r="AA1221" s="2" t="str">
        <x:f>IF(B1221="","",IF(I1221&lt;&gt;"READY","NOT RELEASED",IF(Z1221=5,"NO BET",IF(OR(AB1221&lt;'Config_v6'!$B$16,V1221&lt;'Config_v6'!$B$18),"WATCH",IF(Z1221=1,"DEFENSIV",IF(Z1221=2,"PRUDENT",IF(Z1221=3,"MODERAT","RIDICAT")))))))</x:f>
      </x:c>
      <x:c r="AB1221" s="10" t="str">
        <x:f>IF(N1221="","",MIN(N1221,1-S1221))</x:f>
      </x:c>
      <x:c r="AC1221" s="2" t="str">
        <x:f>IF(AD1221&lt;&gt;1,"",COUNTIFS($Z$1210:$Z$1223,"&lt;"&amp;Z1221,$AD$1210:$AD$1223,1)+COUNTIFS($Z$1210:$Z$1223,Z1221,$AB$1210:$AB$1223,"&gt;"&amp;AB1221,$AD$1210:$AD$1223,1)+COUNTIFS($Z$1210:$Z$1223,Z1221,$AB$1210:$AB$1223,AB1221,$V$1210:$V$1223,"&gt;"&amp;V1221,$AD$1210:$AD$1223,1)+COUNTIFS($Z$1210:Z1221,Z1221,$AB$1210:AB1221,AB1221,$V$1210:V1221,V1221,$AD$1210:AD1221,1))</x:f>
      </x:c>
      <x:c r="AD1221" s="2" t="n">
        <x:f>IF(OR(AA1221="DEFENSIV",AA1221="PRUDENT",AA1221="MODERAT",AA1221="RIDICAT"),1,0)</x:f>
        <x:v>0</x:v>
      </x:c>
      <x:c r="AE1221" s="2" t="str">
        <x:f>IF(AD1221&lt;&gt;1,"NO",IF(W1221="PASS","YES",IF(W1221="OOS PENDING","CONDITIONAL","NO")))</x:f>
        <x:v>NO</x:v>
      </x:c>
      <x:c r="AF1221" s="2" t="n">
        <x:f>IF(AND(AD1221=1,AC1221=1,E1221="LIVE"),1,0)</x:f>
        <x:v>0</x:v>
      </x:c>
      <x:c r="AG1221" s="2" t="str">
        <x:f>IF(AF1221&lt;&gt;1,"",'Dashboard'!P112)</x:f>
      </x:c>
      <x:c r="AH1221" s="2" t="str">
        <x:f>IF(B1221="","",IF(J1221&lt;&gt;"PASS",'Motor_Meciuri'!J92,IF('Calibrare_Linii'!U17&lt;&gt;"VALID","Parametri linie invalizi",IF(L1221&gt;'Config_v6'!$B$13,"Dispersie peste limita",IF(W1221="WATCH","Failure peste limita",IF(AB1221&lt;'Config_v6'!$B$16,"P finala sub prag",IF(V1221&lt;'Config_v6'!$B$18,"Confidence sub prag",IF(E1221="REPLAY","Exemplu retrospectiv; exclus din Top LIVE",IF(Y1221="PASS","DEFENSIV validat",IF(W1221="OOS PENDING","Eligibil; calibrare linie in monitorizare","Eligibil"))))))))))</x:f>
      </x:c>
      <x:c r="AI1221" s="2" t="str">
        <x:f>IF(B1221="","",'Calibrare_Linii'!V17)</x:f>
      </x:c>
      <x:c r="AJ1221" s="2" t="str">
        <x:f>IF(B1221="","",IF(AND('Calibrare_Linii'!T17="VALIDATED",AND('Calibrare_Linii'!H17=C1221,ISNUMBER('Calibrare_Linii'!J17),'Calibrare_Linii'!J17&lt;='Input_Meci'!G92)),"DEFENSIVE VALIDATED",IF(AND('Calibrare_Linii'!S17="VALIDATED",AND('Calibrare_Linii'!H17=C1221,ISNUMBER('Calibrare_Linii'!J17),'Calibrare_Linii'!J17&lt;='Input_Meci'!G92)),"TAIL VALIDATED","OOS PENDING")))</x:f>
      </x:c>
      <x:c r="AK1221" s="2" t="n">
        <x:f>IF(J1221&lt;&gt;"PASS",0,'Motor_Meciuri'!BR92)</x:f>
        <x:v>0</x:v>
      </x:c>
      <x:c r="AL1221" s="2" t="n">
        <x:f>IF(J1221&lt;&gt;"PASS",0,'Motor_Meciuri'!BS92)</x:f>
        <x:v>0</x:v>
      </x:c>
      <x:c r="AM1221" s="2" t="n">
        <x:f>IF(J1221&lt;&gt;"PASS",0,'Motor_Meciuri'!BT92)</x:f>
        <x:v>0</x:v>
      </x:c>
      <x:c r="AN1221" s="2" t="str">
        <x:f>IF(M1221="","",MAX(0,'Motor_Meciuri'!BF92-IF(L1221&gt;'Config_v6'!$B$12,'Config_v6'!$B$37,IF(L1221&gt;'Config_v6'!$B$11,'Config_v6'!$B$36,0))))</x:f>
      </x:c>
    </x:row>
    <x:row r="1222" ht="21" customHeight="1">
      <x:c r="A1222" s="2" t="n">
        <x:v>87</x:v>
      </x:c>
      <x:c r="B1222" s="2" t="str">
        <x:f>IF('Motor_Meciuri'!A92="","",'Motor_Meciuri'!A92)</x:f>
      </x:c>
      <x:c r="C1222" s="2" t="str">
        <x:f>IF(B1222="","",'Motor_Meciuri'!B92)</x:f>
      </x:c>
      <x:c r="D1222" s="2" t="str">
        <x:f>IF(B1222="","",'Motor_Meciuri'!D92)</x:f>
      </x:c>
      <x:c r="E1222" s="2" t="str">
        <x:f>IF(B1222="","",'Motor_Meciuri'!E92)</x:f>
      </x:c>
      <x:c r="F1222" s="2" t="str">
        <x:v>U16,5</x:v>
      </x:c>
      <x:c r="G1222" s="2" t="str">
        <x:v>UNDER</x:v>
      </x:c>
      <x:c r="H1222" s="2" t="n">
        <x:v>16</x:v>
      </x:c>
      <x:c r="I1222" s="2" t="str">
        <x:f>IF(B1222="","",'Motor_Meciuri'!H92)</x:f>
      </x:c>
      <x:c r="J1222" s="2" t="str">
        <x:f>IF(B1222="","",'Motor_Meciuri'!I92)</x:f>
      </x:c>
      <x:c r="K1222" s="11" t="str">
        <x:f>IF(J1222&lt;&gt;"PASS","",'Motor_Meciuri'!BD92)</x:f>
      </x:c>
      <x:c r="L1222" s="11" t="str">
        <x:f>IF(J1222&lt;&gt;"PASS","",'Motor_Meciuri'!AU92)</x:f>
      </x:c>
      <x:c r="M1222" s="10" t="str">
        <x:f>IF(NOT(AND(J1222="PASS",'Calibrare_Linii'!U18="VALID")),"",'Distributie'!AN92)</x:f>
      </x:c>
      <x:c r="N1222" s="10" t="str">
        <x:f>IF(M1222="","",MAX(0.01,MIN(0.99,0.5+(M1222-0.5)*'Motor_Meciuri'!BG92*'Calibrare_Linii'!D18)))</x:f>
      </x:c>
      <x:c r="O1222" s="10" t="str">
        <x:f>IF(M1222="","",1-M1222)</x:f>
      </x:c>
      <x:c r="P1222" s="10" t="str">
        <x:f>IF(OR(NOT(AND(J1222="PASS",'Calibrare_Linii'!U18="VALID")),AK1222=0),""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*('Istoric_Nativ'!$Q$6:$Q$405&gt;H1222))/AK1222)</x:f>
      </x:c>
      <x:c r="Q1222" s="10" t="str">
        <x:f>IF(OR(NOT(AND(J1222="PASS",'Calibrare_Linii'!U18="VALID")),AL1222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M92)+((('Istoric_Nativ'!$E$6:$E$405='Input_Meci'!E92)+('Istoric_Nativ'!$F$6:$F$405='Input_Meci'!E92))&gt;0)*('Istoric_Nativ'!$D$6:$D$405&gt;='Motor_Meciuri'!BN92))&gt;0)*('Istoric_Nativ'!$Q$6:$Q$405&gt;H1222))/AL1222)</x:f>
      </x:c>
      <x:c r="R1222" s="10" t="str">
        <x:f>IF(OR(NOT(AND(J1222="PASS",'Calibrare_Linii'!U18="VALID")),AM1222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O92)+((('Istoric_Nativ'!$E$6:$E$405='Input_Meci'!E92)+('Istoric_Nativ'!$F$6:$F$405='Input_Meci'!E92))&gt;0)*('Istoric_Nativ'!$D$6:$D$405&gt;='Motor_Meciuri'!BP92))&gt;0)*('Istoric_Nativ'!$Q$6:$Q$405&gt;H1222))/AM1222)</x:f>
      </x:c>
      <x:c r="S1222" s="10" t="str">
        <x:f>IF(M1222="","",MAX(O1222,P1222,Q1222,R1222))</x:f>
      </x:c>
      <x:c r="T1222" s="11" t="str">
        <x:f>IF(M1222="","",MIN(100,S1222*100*'Config_v6'!$B$44+MIN(100,L1222/'Config_v6'!$B$13*100)*'Config_v6'!$B$45+(100-'Motor_Meciuri'!BF92)*'Config_v6'!$B$46+'Motor_Meciuri'!BH92*100*'Config_v6'!$B$47))</x:f>
      </x:c>
      <x:c r="U1222" s="2" t="str">
        <x:f>IF(T1222="","",IF(T1222&lt;=20,1,IF(T1222&lt;=40,2,IF(T1222&lt;=60,3,IF(T1222&lt;=80,4,5)))))</x:f>
      </x:c>
      <x:c r="V1222" s="2" t="str">
        <x:f>IF(M1222="","",MAX(0,'Motor_Meciuri'!BF92-IF(W1222="OOS PENDING",'Config_v6'!$B$35,0)-IF(L1222&gt;'Config_v6'!$B$12,'Config_v6'!$B$37,IF(L1222&gt;'Config_v6'!$B$11,'Config_v6'!$B$36,0))))</x:f>
      </x:c>
      <x:c r="W1222" s="2" t="str">
        <x:f>IF(B1222="","",IF(I1222&lt;&gt;"READY","NOT RELEASED",IF(NOT(AND(J1222="PASS",'Calibrare_Linii'!U18="VALID")),"INVALID",IF(NOT(AND('Calibrare_Linii'!S18="VALIDATED",AND('Calibrare_Linii'!H18=C1222,ISNUMBER('Calibrare_Linii'!J18),'Calibrare_Linii'!J18&lt;='Input_Meci'!G92))),"OOS PENDING",IF(S1222&lt;='Calibrare_Linii'!E18,"PASS",IF(S1222&lt;='Calibrare_Linii'!F18,"PENALTY","WATCH"))))))</x:f>
      </x:c>
      <x:c r="X1222" s="2" t="str">
        <x:f>IF(M1222="","",IF(AND(AND(J1222="PASS",'Calibrare_Linii'!U18="VALID"),'Motor_Meciuri'!K92=12,'Motor_Meciuri'!L92=12,'Motor_Meciuri'!M92="NO",'Motor_Meciuri'!BL92='Motor_Meciuri'!C92,AB1222&gt;='Config_v6'!$B$50,AN1222&gt;='Config_v6'!$B$51,T1222&lt;='Config_v6'!$B$52,L1222&lt;='Config_v6'!$B$53,ISNUMBER('Calibrare_Linii'!E18),S1222&lt;='Calibrare_Linii'!E18,SUM(AK1222:AM1222)&gt;0),"CANDIDATE","NO"))</x:f>
      </x:c>
      <x:c r="Y1222" s="2" t="str">
        <x:f>IF(B1222="","",IF(I1222&lt;&gt;"READY","NOT RELEASED",IF(AND(X1222="CANDIDATE",V1222&gt;='Config_v6'!$B$51,W1222="PASS",'Calibrare_Linii'!T18="VALIDATED",AND('Calibrare_Linii'!H18=C1222,ISNUMBER('Calibrare_Linii'!J18),'Calibrare_Linii'!J18&lt;='Input_Meci'!G92)),"PASS",IF(X1222="CANDIDATE","OOS PENDING","FAIL"))))</x:f>
      </x:c>
      <x:c r="Z1222" s="2" t="str">
        <x:f>IF(B1222="","",IF(I1222&lt;&gt;"READY","",IF(OR(NOT(AND(J1222="PASS",'Calibrare_Linii'!U18="VALID")),L1222&gt;'Config_v6'!$B$13,W1222="WATCH"),5,IF(Y1222="PASS",1,MIN(5,MAX('Config_v6'!$B$42,U1222)+IF(W1222="PENALTY",1,0))))))</x:f>
      </x:c>
      <x:c r="AA1222" s="2" t="str">
        <x:f>IF(B1222="","",IF(I1222&lt;&gt;"READY","NOT RELEASED",IF(Z1222=5,"NO BET",IF(OR(AB1222&lt;'Config_v6'!$B$16,V1222&lt;'Config_v6'!$B$18),"WATCH",IF(Z1222=1,"DEFENSIV",IF(Z1222=2,"PRUDENT",IF(Z1222=3,"MODERAT","RIDICAT")))))))</x:f>
      </x:c>
      <x:c r="AB1222" s="10" t="str">
        <x:f>IF(N1222="","",MIN(N1222,1-S1222))</x:f>
      </x:c>
      <x:c r="AC1222" s="2" t="str">
        <x:f>IF(AD1222&lt;&gt;1,"",COUNTIFS($Z$1210:$Z$1223,"&lt;"&amp;Z1222,$AD$1210:$AD$1223,1)+COUNTIFS($Z$1210:$Z$1223,Z1222,$AB$1210:$AB$1223,"&gt;"&amp;AB1222,$AD$1210:$AD$1223,1)+COUNTIFS($Z$1210:$Z$1223,Z1222,$AB$1210:$AB$1223,AB1222,$V$1210:$V$1223,"&gt;"&amp;V1222,$AD$1210:$AD$1223,1)+COUNTIFS($Z$1210:Z1222,Z1222,$AB$1210:AB1222,AB1222,$V$1210:V1222,V1222,$AD$1210:AD1222,1))</x:f>
      </x:c>
      <x:c r="AD1222" s="2" t="n">
        <x:f>IF(OR(AA1222="DEFENSIV",AA1222="PRUDENT",AA1222="MODERAT",AA1222="RIDICAT"),1,0)</x:f>
        <x:v>0</x:v>
      </x:c>
      <x:c r="AE1222" s="2" t="str">
        <x:f>IF(AD1222&lt;&gt;1,"NO",IF(W1222="PASS","YES",IF(W1222="OOS PENDING","CONDITIONAL","NO")))</x:f>
        <x:v>NO</x:v>
      </x:c>
      <x:c r="AF1222" s="2" t="n">
        <x:f>IF(AND(AD1222=1,AC1222=1,E1222="LIVE"),1,0)</x:f>
        <x:v>0</x:v>
      </x:c>
      <x:c r="AG1222" s="2" t="str">
        <x:f>IF(AF1222&lt;&gt;1,"",'Dashboard'!P112)</x:f>
      </x:c>
      <x:c r="AH1222" s="2" t="str">
        <x:f>IF(B1222="","",IF(J1222&lt;&gt;"PASS",'Motor_Meciuri'!J92,IF('Calibrare_Linii'!U18&lt;&gt;"VALID","Parametri linie invalizi",IF(L1222&gt;'Config_v6'!$B$13,"Dispersie peste limita",IF(W1222="WATCH","Failure peste limita",IF(AB1222&lt;'Config_v6'!$B$16,"P finala sub prag",IF(V1222&lt;'Config_v6'!$B$18,"Confidence sub prag",IF(E1222="REPLAY","Exemplu retrospectiv; exclus din Top LIVE",IF(Y1222="PASS","DEFENSIV validat",IF(W1222="OOS PENDING","Eligibil; calibrare linie in monitorizare","Eligibil"))))))))))</x:f>
      </x:c>
      <x:c r="AI1222" s="2" t="str">
        <x:f>IF(B1222="","",'Calibrare_Linii'!V18)</x:f>
      </x:c>
      <x:c r="AJ1222" s="2" t="str">
        <x:f>IF(B1222="","",IF(AND('Calibrare_Linii'!T18="VALIDATED",AND('Calibrare_Linii'!H18=C1222,ISNUMBER('Calibrare_Linii'!J18),'Calibrare_Linii'!J18&lt;='Input_Meci'!G92)),"DEFENSIVE VALIDATED",IF(AND('Calibrare_Linii'!S18="VALIDATED",AND('Calibrare_Linii'!H18=C1222,ISNUMBER('Calibrare_Linii'!J18),'Calibrare_Linii'!J18&lt;='Input_Meci'!G92)),"TAIL VALIDATED","OOS PENDING")))</x:f>
      </x:c>
      <x:c r="AK1222" s="2" t="n">
        <x:f>IF(J1222&lt;&gt;"PASS",0,'Motor_Meciuri'!BR92)</x:f>
        <x:v>0</x:v>
      </x:c>
      <x:c r="AL1222" s="2" t="n">
        <x:f>IF(J1222&lt;&gt;"PASS",0,'Motor_Meciuri'!BS92)</x:f>
        <x:v>0</x:v>
      </x:c>
      <x:c r="AM1222" s="2" t="n">
        <x:f>IF(J1222&lt;&gt;"PASS",0,'Motor_Meciuri'!BT92)</x:f>
        <x:v>0</x:v>
      </x:c>
      <x:c r="AN1222" s="2" t="str">
        <x:f>IF(M1222="","",MAX(0,'Motor_Meciuri'!BF92-IF(L1222&gt;'Config_v6'!$B$12,'Config_v6'!$B$37,IF(L1222&gt;'Config_v6'!$B$11,'Config_v6'!$B$36,0))))</x:f>
      </x:c>
    </x:row>
    <x:row r="1223" ht="21" customHeight="1">
      <x:c r="A1223" s="2" t="n">
        <x:v>87</x:v>
      </x:c>
      <x:c r="B1223" s="2" t="str">
        <x:f>IF('Motor_Meciuri'!A92="","",'Motor_Meciuri'!A92)</x:f>
      </x:c>
      <x:c r="C1223" s="2" t="str">
        <x:f>IF(B1223="","",'Motor_Meciuri'!B92)</x:f>
      </x:c>
      <x:c r="D1223" s="2" t="str">
        <x:f>IF(B1223="","",'Motor_Meciuri'!D92)</x:f>
      </x:c>
      <x:c r="E1223" s="2" t="str">
        <x:f>IF(B1223="","",'Motor_Meciuri'!E92)</x:f>
      </x:c>
      <x:c r="F1223" s="2" t="str">
        <x:v>U17,5</x:v>
      </x:c>
      <x:c r="G1223" s="2" t="str">
        <x:v>UNDER</x:v>
      </x:c>
      <x:c r="H1223" s="2" t="n">
        <x:v>17</x:v>
      </x:c>
      <x:c r="I1223" s="2" t="str">
        <x:f>IF(B1223="","",'Motor_Meciuri'!H92)</x:f>
      </x:c>
      <x:c r="J1223" s="2" t="str">
        <x:f>IF(B1223="","",'Motor_Meciuri'!I92)</x:f>
      </x:c>
      <x:c r="K1223" s="11" t="str">
        <x:f>IF(J1223&lt;&gt;"PASS","",'Motor_Meciuri'!BD92)</x:f>
      </x:c>
      <x:c r="L1223" s="11" t="str">
        <x:f>IF(J1223&lt;&gt;"PASS","",'Motor_Meciuri'!AU92)</x:f>
      </x:c>
      <x:c r="M1223" s="10" t="str">
        <x:f>IF(NOT(AND(J1223="PASS",'Calibrare_Linii'!U19="VALID")),"",'Distributie'!AO92)</x:f>
      </x:c>
      <x:c r="N1223" s="10" t="str">
        <x:f>IF(M1223="","",MAX(0.01,MIN(0.99,0.5+(M1223-0.5)*'Motor_Meciuri'!BG92*'Calibrare_Linii'!D19)))</x:f>
      </x:c>
      <x:c r="O1223" s="10" t="str">
        <x:f>IF(M1223="","",1-M1223)</x:f>
      </x:c>
      <x:c r="P1223" s="10" t="str">
        <x:f>IF(OR(NOT(AND(J1223="PASS",'Calibrare_Linii'!U19="VALID")),AK1223=0),""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*('Istoric_Nativ'!$Q$6:$Q$405&gt;H1223))/AK1223)</x:f>
      </x:c>
      <x:c r="Q1223" s="10" t="str">
        <x:f>IF(OR(NOT(AND(J1223="PASS",'Calibrare_Linii'!U19="VALID")),AL1223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M92)+((('Istoric_Nativ'!$E$6:$E$405='Input_Meci'!E92)+('Istoric_Nativ'!$F$6:$F$405='Input_Meci'!E92))&gt;0)*('Istoric_Nativ'!$D$6:$D$405&gt;='Motor_Meciuri'!BN92))&gt;0)*('Istoric_Nativ'!$Q$6:$Q$405&gt;H1223))/AL1223)</x:f>
      </x:c>
      <x:c r="R1223" s="10" t="str">
        <x:f>IF(OR(NOT(AND(J1223="PASS",'Calibrare_Linii'!U19="VALID")),AM1223=0),""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'Motor_Meciuri'!BO92)+((('Istoric_Nativ'!$E$6:$E$405='Input_Meci'!E92)+('Istoric_Nativ'!$F$6:$F$405='Input_Meci'!E92))&gt;0)*('Istoric_Nativ'!$D$6:$D$405&gt;='Motor_Meciuri'!BP92))&gt;0)*('Istoric_Nativ'!$Q$6:$Q$405&gt;H1223))/AM1223)</x:f>
      </x:c>
      <x:c r="S1223" s="10" t="str">
        <x:f>IF(M1223="","",MAX(O1223,P1223,Q1223,R1223))</x:f>
      </x:c>
      <x:c r="T1223" s="11" t="str">
        <x:f>IF(M1223="","",MIN(100,S1223*100*'Config_v6'!$B$44+MIN(100,L1223/'Config_v6'!$B$13*100)*'Config_v6'!$B$45+(100-'Motor_Meciuri'!BF92)*'Config_v6'!$B$46+'Motor_Meciuri'!BH92*100*'Config_v6'!$B$47))</x:f>
      </x:c>
      <x:c r="U1223" s="2" t="str">
        <x:f>IF(T1223="","",IF(T1223&lt;=20,1,IF(T1223&lt;=40,2,IF(T1223&lt;=60,3,IF(T1223&lt;=80,4,5)))))</x:f>
      </x:c>
      <x:c r="V1223" s="2" t="str">
        <x:f>IF(M1223="","",MAX(0,'Motor_Meciuri'!BF92-IF(W1223="OOS PENDING",'Config_v6'!$B$35,0)-IF(L1223&gt;'Config_v6'!$B$12,'Config_v6'!$B$37,IF(L1223&gt;'Config_v6'!$B$11,'Config_v6'!$B$36,0))))</x:f>
      </x:c>
      <x:c r="W1223" s="2" t="str">
        <x:f>IF(B1223="","",IF(I1223&lt;&gt;"READY","NOT RELEASED",IF(NOT(AND(J1223="PASS",'Calibrare_Linii'!U19="VALID")),"INVALID",IF(NOT(AND('Calibrare_Linii'!S19="VALIDATED",AND('Calibrare_Linii'!H19=C1223,ISNUMBER('Calibrare_Linii'!J19),'Calibrare_Linii'!J19&lt;='Input_Meci'!G92))),"OOS PENDING",IF(S1223&lt;='Calibrare_Linii'!E19,"PASS",IF(S1223&lt;='Calibrare_Linii'!F19,"PENALTY","WATCH"))))))</x:f>
      </x:c>
      <x:c r="X1223" s="2" t="str">
        <x:f>IF(M1223="","",IF(AND(AND(J1223="PASS",'Calibrare_Linii'!U19="VALID"),'Motor_Meciuri'!K92=12,'Motor_Meciuri'!L92=12,'Motor_Meciuri'!M92="NO",'Motor_Meciuri'!BL92='Motor_Meciuri'!C92,AB1223&gt;='Config_v6'!$B$50,AN1223&gt;='Config_v6'!$B$51,T1223&lt;='Config_v6'!$B$52,L1223&lt;='Config_v6'!$B$53,ISNUMBER('Calibrare_Linii'!E19),S1223&lt;='Calibrare_Linii'!E19,SUM(AK1223:AM1223)&gt;0),"CANDIDATE","NO"))</x:f>
      </x:c>
      <x:c r="Y1223" s="2" t="str">
        <x:f>IF(B1223="","",IF(I1223&lt;&gt;"READY","NOT RELEASED",IF(AND(X1223="CANDIDATE",V1223&gt;='Config_v6'!$B$51,W1223="PASS",'Calibrare_Linii'!T19="VALIDATED",AND('Calibrare_Linii'!H19=C1223,ISNUMBER('Calibrare_Linii'!J19),'Calibrare_Linii'!J19&lt;='Input_Meci'!G92)),"PASS",IF(X1223="CANDIDATE","OOS PENDING","FAIL"))))</x:f>
      </x:c>
      <x:c r="Z1223" s="2" t="str">
        <x:f>IF(B1223="","",IF(I1223&lt;&gt;"READY","",IF(OR(NOT(AND(J1223="PASS",'Calibrare_Linii'!U19="VALID")),L1223&gt;'Config_v6'!$B$13,W1223="WATCH"),5,IF(Y1223="PASS",1,MIN(5,MAX('Config_v6'!$B$42,U1223)+IF(W1223="PENALTY",1,0))))))</x:f>
      </x:c>
      <x:c r="AA1223" s="2" t="str">
        <x:f>IF(B1223="","",IF(I1223&lt;&gt;"READY","NOT RELEASED",IF(Z1223=5,"NO BET",IF(OR(AB1223&lt;'Config_v6'!$B$16,V1223&lt;'Config_v6'!$B$18),"WATCH",IF(Z1223=1,"DEFENSIV",IF(Z1223=2,"PRUDENT",IF(Z1223=3,"MODERAT","RIDICAT")))))))</x:f>
      </x:c>
      <x:c r="AB1223" s="10" t="str">
        <x:f>IF(N1223="","",MIN(N1223,1-S1223))</x:f>
      </x:c>
      <x:c r="AC1223" s="2" t="str">
        <x:f>IF(AD1223&lt;&gt;1,"",COUNTIFS($Z$1210:$Z$1223,"&lt;"&amp;Z1223,$AD$1210:$AD$1223,1)+COUNTIFS($Z$1210:$Z$1223,Z1223,$AB$1210:$AB$1223,"&gt;"&amp;AB1223,$AD$1210:$AD$1223,1)+COUNTIFS($Z$1210:$Z$1223,Z1223,$AB$1210:$AB$1223,AB1223,$V$1210:$V$1223,"&gt;"&amp;V1223,$AD$1210:$AD$1223,1)+COUNTIFS($Z$1210:Z1223,Z1223,$AB$1210:AB1223,AB1223,$V$1210:V1223,V1223,$AD$1210:AD1223,1))</x:f>
      </x:c>
      <x:c r="AD1223" s="2" t="n">
        <x:f>IF(OR(AA1223="DEFENSIV",AA1223="PRUDENT",AA1223="MODERAT",AA1223="RIDICAT"),1,0)</x:f>
        <x:v>0</x:v>
      </x:c>
      <x:c r="AE1223" s="2" t="str">
        <x:f>IF(AD1223&lt;&gt;1,"NO",IF(W1223="PASS","YES",IF(W1223="OOS PENDING","CONDITIONAL","NO")))</x:f>
        <x:v>NO</x:v>
      </x:c>
      <x:c r="AF1223" s="2" t="n">
        <x:f>IF(AND(AD1223=1,AC1223=1,E1223="LIVE"),1,0)</x:f>
        <x:v>0</x:v>
      </x:c>
      <x:c r="AG1223" s="2" t="str">
        <x:f>IF(AF1223&lt;&gt;1,"",'Dashboard'!P112)</x:f>
      </x:c>
      <x:c r="AH1223" s="2" t="str">
        <x:f>IF(B1223="","",IF(J1223&lt;&gt;"PASS",'Motor_Meciuri'!J92,IF('Calibrare_Linii'!U19&lt;&gt;"VALID","Parametri linie invalizi",IF(L1223&gt;'Config_v6'!$B$13,"Dispersie peste limita",IF(W1223="WATCH","Failure peste limita",IF(AB1223&lt;'Config_v6'!$B$16,"P finala sub prag",IF(V1223&lt;'Config_v6'!$B$18,"Confidence sub prag",IF(E1223="REPLAY","Exemplu retrospectiv; exclus din Top LIVE",IF(Y1223="PASS","DEFENSIV validat",IF(W1223="OOS PENDING","Eligibil; calibrare linie in monitorizare","Eligibil"))))))))))</x:f>
      </x:c>
      <x:c r="AI1223" s="2" t="str">
        <x:f>IF(B1223="","",'Calibrare_Linii'!V19)</x:f>
      </x:c>
      <x:c r="AJ1223" s="2" t="str">
        <x:f>IF(B1223="","",IF(AND('Calibrare_Linii'!T19="VALIDATED",AND('Calibrare_Linii'!H19=C1223,ISNUMBER('Calibrare_Linii'!J19),'Calibrare_Linii'!J19&lt;='Input_Meci'!G92)),"DEFENSIVE VALIDATED",IF(AND('Calibrare_Linii'!S19="VALIDATED",AND('Calibrare_Linii'!H19=C1223,ISNUMBER('Calibrare_Linii'!J19),'Calibrare_Linii'!J19&lt;='Input_Meci'!G92)),"TAIL VALIDATED","OOS PENDING")))</x:f>
      </x:c>
      <x:c r="AK1223" s="2" t="n">
        <x:f>IF(J1223&lt;&gt;"PASS",0,'Motor_Meciuri'!BR92)</x:f>
        <x:v>0</x:v>
      </x:c>
      <x:c r="AL1223" s="2" t="n">
        <x:f>IF(J1223&lt;&gt;"PASS",0,'Motor_Meciuri'!BS92)</x:f>
        <x:v>0</x:v>
      </x:c>
      <x:c r="AM1223" s="2" t="n">
        <x:f>IF(J1223&lt;&gt;"PASS",0,'Motor_Meciuri'!BT92)</x:f>
        <x:v>0</x:v>
      </x:c>
      <x:c r="AN1223" s="2" t="str">
        <x:f>IF(M1223="","",MAX(0,'Motor_Meciuri'!BF92-IF(L1223&gt;'Config_v6'!$B$12,'Config_v6'!$B$37,IF(L1223&gt;'Config_v6'!$B$11,'Config_v6'!$B$36,0))))</x:f>
      </x:c>
    </x:row>
    <x:row r="1224" ht="21" customHeight="1">
      <x:c r="A1224" s="2" t="n">
        <x:v>88</x:v>
      </x:c>
      <x:c r="B1224" s="2" t="str">
        <x:f>IF('Motor_Meciuri'!A93="","",'Motor_Meciuri'!A93)</x:f>
      </x:c>
      <x:c r="C1224" s="2" t="str">
        <x:f>IF(B1224="","",'Motor_Meciuri'!B93)</x:f>
      </x:c>
      <x:c r="D1224" s="2" t="str">
        <x:f>IF(B1224="","",'Motor_Meciuri'!D93)</x:f>
      </x:c>
      <x:c r="E1224" s="2" t="str">
        <x:f>IF(B1224="","",'Motor_Meciuri'!E93)</x:f>
      </x:c>
      <x:c r="F1224" s="2" t="str">
        <x:v>O3,5</x:v>
      </x:c>
      <x:c r="G1224" s="2" t="str">
        <x:v>OVER</x:v>
      </x:c>
      <x:c r="H1224" s="2" t="n">
        <x:v>3</x:v>
      </x:c>
      <x:c r="I1224" s="2" t="str">
        <x:f>IF(B1224="","",'Motor_Meciuri'!H93)</x:f>
      </x:c>
      <x:c r="J1224" s="2" t="str">
        <x:f>IF(B1224="","",'Motor_Meciuri'!I93)</x:f>
      </x:c>
      <x:c r="K1224" s="11" t="str">
        <x:f>IF(J1224&lt;&gt;"PASS","",'Motor_Meciuri'!BD93)</x:f>
      </x:c>
      <x:c r="L1224" s="11" t="str">
        <x:f>IF(J1224&lt;&gt;"PASS","",'Motor_Meciuri'!AU93)</x:f>
      </x:c>
      <x:c r="M1224" s="10" t="str">
        <x:f>IF(NOT(AND(J1224="PASS",'Calibrare_Linii'!U6="VALID")),"",1-'Distributie'!AA93)</x:f>
      </x:c>
      <x:c r="N1224" s="10" t="str">
        <x:f>IF(M1224="","",MAX(0.01,MIN(0.99,0.5+(M1224-0.5)*'Motor_Meciuri'!BG93*'Calibrare_Linii'!D6)))</x:f>
      </x:c>
      <x:c r="O1224" s="10" t="str">
        <x:f>IF(M1224="","",1-M1224)</x:f>
      </x:c>
      <x:c r="P1224" s="10" t="str">
        <x:f>IF(OR(NOT(AND(J1224="PASS",'Calibrare_Linii'!U6="VALID")),AK1224=0),""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*('Istoric_Nativ'!$Q$6:$Q$405&lt;=H1224))/AK1224)</x:f>
      </x:c>
      <x:c r="Q1224" s="10" t="str">
        <x:f>IF(OR(NOT(AND(J1224="PASS",'Calibrare_Linii'!U6="VALID")),AL1224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M93)+((('Istoric_Nativ'!$E$6:$E$405='Input_Meci'!E93)+('Istoric_Nativ'!$F$6:$F$405='Input_Meci'!E93))&gt;0)*('Istoric_Nativ'!$D$6:$D$405&gt;='Motor_Meciuri'!BN93))&gt;0)*('Istoric_Nativ'!$Q$6:$Q$405&lt;=H1224))/AL1224)</x:f>
      </x:c>
      <x:c r="R1224" s="10" t="str">
        <x:f>IF(OR(NOT(AND(J1224="PASS",'Calibrare_Linii'!U6="VALID")),AM1224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O93)+((('Istoric_Nativ'!$E$6:$E$405='Input_Meci'!E93)+('Istoric_Nativ'!$F$6:$F$405='Input_Meci'!E93))&gt;0)*('Istoric_Nativ'!$D$6:$D$405&gt;='Motor_Meciuri'!BP93))&gt;0)*('Istoric_Nativ'!$Q$6:$Q$405&lt;=H1224))/AM1224)</x:f>
      </x:c>
      <x:c r="S1224" s="10" t="str">
        <x:f>IF(M1224="","",MAX(O1224,P1224,Q1224,R1224))</x:f>
      </x:c>
      <x:c r="T1224" s="11" t="str">
        <x:f>IF(M1224="","",MIN(100,S1224*100*'Config_v6'!$B$44+MIN(100,L1224/'Config_v6'!$B$13*100)*'Config_v6'!$B$45+(100-'Motor_Meciuri'!BF93)*'Config_v6'!$B$46+'Motor_Meciuri'!BH93*100*'Config_v6'!$B$47))</x:f>
      </x:c>
      <x:c r="U1224" s="2" t="str">
        <x:f>IF(T1224="","",IF(T1224&lt;=20,1,IF(T1224&lt;=40,2,IF(T1224&lt;=60,3,IF(T1224&lt;=80,4,5)))))</x:f>
      </x:c>
      <x:c r="V1224" s="2" t="str">
        <x:f>IF(M1224="","",MAX(0,'Motor_Meciuri'!BF93-IF(W1224="OOS PENDING",'Config_v6'!$B$35,0)-IF(L1224&gt;'Config_v6'!$B$12,'Config_v6'!$B$37,IF(L1224&gt;'Config_v6'!$B$11,'Config_v6'!$B$36,0))))</x:f>
      </x:c>
      <x:c r="W1224" s="2" t="str">
        <x:f>IF(B1224="","",IF(I1224&lt;&gt;"READY","NOT RELEASED",IF(NOT(AND(J1224="PASS",'Calibrare_Linii'!U6="VALID")),"INVALID",IF(NOT(TRUE),"OOS PENDING",IF(S1224&lt;=IF(AND('Calibrare_Linii'!S6="VALIDATED",AND('Calibrare_Linii'!H6=C1224,ISNUMBER('Calibrare_Linii'!J6),'Calibrare_Linii'!J6&lt;='Input_Meci'!G93)),'Calibrare_Linii'!E6,'Config_v6'!$B$26),"PASS",IF(S1224&lt;=IF(AND('Calibrare_Linii'!S6="VALIDATED",AND('Calibrare_Linii'!H6=C1224,ISNUMBER('Calibrare_Linii'!J6),'Calibrare_Linii'!J6&lt;='Input_Meci'!G93)),'Calibrare_Linii'!F6,'Config_v6'!$C$26),"PENALTY","WATCH"))))))</x:f>
      </x:c>
      <x:c r="X1224" s="2" t="str">
        <x:f>IF(M1224="","",IF(AND(AND(J1224="PASS",'Calibrare_Linii'!U6="VALID"),'Motor_Meciuri'!K93=12,'Motor_Meciuri'!L93=12,'Motor_Meciuri'!M93="NO",'Motor_Meciuri'!BL93='Motor_Meciuri'!C93,AB1224&gt;='Config_v6'!$B$50,AN1224&gt;='Config_v6'!$B$51,T1224&lt;='Config_v6'!$B$52,L1224&lt;='Config_v6'!$B$53,ISNUMBER('Calibrare_Linii'!E6),S1224&lt;='Calibrare_Linii'!E6,SUM(AK1224:AM1224)&gt;0),"CANDIDATE","NO"))</x:f>
      </x:c>
      <x:c r="Y1224" s="2" t="str">
        <x:f>IF(B1224="","",IF(I1224&lt;&gt;"READY","NOT RELEASED",IF(AND(X1224="CANDIDATE",V1224&gt;='Config_v6'!$B$51,W1224="PASS",'Calibrare_Linii'!T6="VALIDATED",AND('Calibrare_Linii'!H6=C1224,ISNUMBER('Calibrare_Linii'!J6),'Calibrare_Linii'!J6&lt;='Input_Meci'!G93)),"PASS",IF(X1224="CANDIDATE","OOS PENDING","FAIL"))))</x:f>
      </x:c>
      <x:c r="Z1224" s="2" t="str">
        <x:f>IF(B1224="","",IF(I1224&lt;&gt;"READY","",IF(OR(NOT(AND(J1224="PASS",'Calibrare_Linii'!U6="VALID")),L1224&gt;'Config_v6'!$B$13,W1224="WATCH"),5,IF(Y1224="PASS",1,MIN(5,MAX('Config_v6'!$B$42,U1224)+IF(W1224="PENALTY",1,0))))))</x:f>
      </x:c>
      <x:c r="AA1224" s="2" t="str">
        <x:f>IF(B1224="","",IF(I1224&lt;&gt;"READY","NOT RELEASED",IF(Z1224=5,"NO BET",IF(OR(AB1224&lt;'Config_v6'!$B$16,V1224&lt;'Config_v6'!$B$18),"WATCH",IF(Z1224=1,"DEFENSIV",IF(Z1224=2,"PRUDENT",IF(Z1224=3,"MODERAT","RIDICAT")))))))</x:f>
      </x:c>
      <x:c r="AB1224" s="10" t="str">
        <x:f>IF(N1224="","",MIN(N1224,1-S1224))</x:f>
      </x:c>
      <x:c r="AC1224" s="2" t="str">
        <x:f>IF(AD1224&lt;&gt;1,"",COUNTIFS($Z$1224:$Z$1237,"&lt;"&amp;Z1224,$AD$1224:$AD$1237,1)+COUNTIFS($Z$1224:$Z$1237,Z1224,$AB$1224:$AB$1237,"&gt;"&amp;AB1224,$AD$1224:$AD$1237,1)+COUNTIFS($Z$1224:$Z$1237,Z1224,$AB$1224:$AB$1237,AB1224,$V$1224:$V$1237,"&gt;"&amp;V1224,$AD$1224:$AD$1237,1)+COUNTIFS($Z$1224:Z1224,Z1224,$AB$1224:AB1224,AB1224,$V$1224:V1224,V1224,$AD$1224:AD1224,1))</x:f>
      </x:c>
      <x:c r="AD1224" s="2" t="n">
        <x:f>IF(OR(AA1224="DEFENSIV",AA1224="PRUDENT",AA1224="MODERAT",AA1224="RIDICAT"),1,0)</x:f>
        <x:v>0</x:v>
      </x:c>
      <x:c r="AE1224" s="2" t="str">
        <x:f>IF(AD1224&lt;&gt;1,"NO",IF(W1224="PASS","YES",IF(W1224="OOS PENDING","CONDITIONAL","NO")))</x:f>
        <x:v>NO</x:v>
      </x:c>
      <x:c r="AF1224" s="2" t="n">
        <x:f>IF(AND(AD1224=1,AC1224=1,E1224="LIVE"),1,0)</x:f>
        <x:v>0</x:v>
      </x:c>
      <x:c r="AG1224" s="2" t="str">
        <x:f>IF(AF1224&lt;&gt;1,"",'Dashboard'!P113)</x:f>
      </x:c>
      <x:c r="AH1224" s="2" t="str">
        <x:f>IF(B1224="","",IF(J1224&lt;&gt;"PASS",'Motor_Meciuri'!J93,IF('Calibrare_Linii'!U6&lt;&gt;"VALID","Parametri linie invalizi",IF(L1224&gt;'Config_v6'!$B$13,"Dispersie peste limita",IF(W1224="WATCH","Failure peste limita",IF(AB1224&lt;'Config_v6'!$B$16,"P finala sub prag",IF(V1224&lt;'Config_v6'!$B$18,"Confidence sub prag",IF(E1224="REPLAY","Exemplu retrospectiv; exclus din Top LIVE",IF(Y1224="PASS","DEFENSIV validat",IF(W1224="OOS PENDING","Eligibil; calibrare linie in monitorizare","Eligibil"))))))))))</x:f>
      </x:c>
      <x:c r="AI1224" s="2" t="str">
        <x:f>IF(B1224="","",'Calibrare_Linii'!V6)</x:f>
      </x:c>
      <x:c r="AJ1224" s="2" t="str">
        <x:f>IF(B1224="","",IF(AND('Calibrare_Linii'!T6="VALIDATED",AND('Calibrare_Linii'!H6=C1224,ISNUMBER('Calibrare_Linii'!J6),'Calibrare_Linii'!J6&lt;='Input_Meci'!G93)),"DEFENSIVE VALIDATED",IF(AND('Calibrare_Linii'!S6="VALIDATED",AND('Calibrare_Linii'!H6=C1224,ISNUMBER('Calibrare_Linii'!J6),'Calibrare_Linii'!J6&lt;='Input_Meci'!G93)),"TAIL VALIDATED","OOS PENDING")))</x:f>
      </x:c>
      <x:c r="AK1224" s="2" t="n">
        <x:f>IF(J1224&lt;&gt;"PASS",0,'Motor_Meciuri'!BR93)</x:f>
        <x:v>0</x:v>
      </x:c>
      <x:c r="AL1224" s="2" t="n">
        <x:f>IF(J1224&lt;&gt;"PASS",0,'Motor_Meciuri'!BS93)</x:f>
        <x:v>0</x:v>
      </x:c>
      <x:c r="AM1224" s="2" t="n">
        <x:f>IF(J1224&lt;&gt;"PASS",0,'Motor_Meciuri'!BT93)</x:f>
        <x:v>0</x:v>
      </x:c>
      <x:c r="AN1224" s="2" t="str">
        <x:f>IF(M1224="","",MAX(0,'Motor_Meciuri'!BF93-IF(L1224&gt;'Config_v6'!$B$12,'Config_v6'!$B$37,IF(L1224&gt;'Config_v6'!$B$11,'Config_v6'!$B$36,0))))</x:f>
      </x:c>
    </x:row>
    <x:row r="1225" ht="21" customHeight="1">
      <x:c r="A1225" s="2" t="n">
        <x:v>88</x:v>
      </x:c>
      <x:c r="B1225" s="2" t="str">
        <x:f>IF('Motor_Meciuri'!A93="","",'Motor_Meciuri'!A93)</x:f>
      </x:c>
      <x:c r="C1225" s="2" t="str">
        <x:f>IF(B1225="","",'Motor_Meciuri'!B93)</x:f>
      </x:c>
      <x:c r="D1225" s="2" t="str">
        <x:f>IF(B1225="","",'Motor_Meciuri'!D93)</x:f>
      </x:c>
      <x:c r="E1225" s="2" t="str">
        <x:f>IF(B1225="","",'Motor_Meciuri'!E93)</x:f>
      </x:c>
      <x:c r="F1225" s="2" t="str">
        <x:v>O4,5</x:v>
      </x:c>
      <x:c r="G1225" s="2" t="str">
        <x:v>OVER</x:v>
      </x:c>
      <x:c r="H1225" s="2" t="n">
        <x:v>4</x:v>
      </x:c>
      <x:c r="I1225" s="2" t="str">
        <x:f>IF(B1225="","",'Motor_Meciuri'!H93)</x:f>
      </x:c>
      <x:c r="J1225" s="2" t="str">
        <x:f>IF(B1225="","",'Motor_Meciuri'!I93)</x:f>
      </x:c>
      <x:c r="K1225" s="11" t="str">
        <x:f>IF(J1225&lt;&gt;"PASS","",'Motor_Meciuri'!BD93)</x:f>
      </x:c>
      <x:c r="L1225" s="11" t="str">
        <x:f>IF(J1225&lt;&gt;"PASS","",'Motor_Meciuri'!AU93)</x:f>
      </x:c>
      <x:c r="M1225" s="10" t="str">
        <x:f>IF(NOT(AND(J1225="PASS",'Calibrare_Linii'!U7="VALID")),"",1-'Distributie'!AB93)</x:f>
      </x:c>
      <x:c r="N1225" s="10" t="str">
        <x:f>IF(M1225="","",MAX(0.01,MIN(0.99,0.5+(M1225-0.5)*'Motor_Meciuri'!BG93*'Calibrare_Linii'!D7)))</x:f>
      </x:c>
      <x:c r="O1225" s="10" t="str">
        <x:f>IF(M1225="","",1-M1225)</x:f>
      </x:c>
      <x:c r="P1225" s="10" t="str">
        <x:f>IF(OR(NOT(AND(J1225="PASS",'Calibrare_Linii'!U7="VALID")),AK1225=0),""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*('Istoric_Nativ'!$Q$6:$Q$405&lt;=H1225))/AK1225)</x:f>
      </x:c>
      <x:c r="Q1225" s="10" t="str">
        <x:f>IF(OR(NOT(AND(J1225="PASS",'Calibrare_Linii'!U7="VALID")),AL1225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M93)+((('Istoric_Nativ'!$E$6:$E$405='Input_Meci'!E93)+('Istoric_Nativ'!$F$6:$F$405='Input_Meci'!E93))&gt;0)*('Istoric_Nativ'!$D$6:$D$405&gt;='Motor_Meciuri'!BN93))&gt;0)*('Istoric_Nativ'!$Q$6:$Q$405&lt;=H1225))/AL1225)</x:f>
      </x:c>
      <x:c r="R1225" s="10" t="str">
        <x:f>IF(OR(NOT(AND(J1225="PASS",'Calibrare_Linii'!U7="VALID")),AM1225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O93)+((('Istoric_Nativ'!$E$6:$E$405='Input_Meci'!E93)+('Istoric_Nativ'!$F$6:$F$405='Input_Meci'!E93))&gt;0)*('Istoric_Nativ'!$D$6:$D$405&gt;='Motor_Meciuri'!BP93))&gt;0)*('Istoric_Nativ'!$Q$6:$Q$405&lt;=H1225))/AM1225)</x:f>
      </x:c>
      <x:c r="S1225" s="10" t="str">
        <x:f>IF(M1225="","",MAX(O1225,P1225,Q1225,R1225))</x:f>
      </x:c>
      <x:c r="T1225" s="11" t="str">
        <x:f>IF(M1225="","",MIN(100,S1225*100*'Config_v6'!$B$44+MIN(100,L1225/'Config_v6'!$B$13*100)*'Config_v6'!$B$45+(100-'Motor_Meciuri'!BF93)*'Config_v6'!$B$46+'Motor_Meciuri'!BH93*100*'Config_v6'!$B$47))</x:f>
      </x:c>
      <x:c r="U1225" s="2" t="str">
        <x:f>IF(T1225="","",IF(T1225&lt;=20,1,IF(T1225&lt;=40,2,IF(T1225&lt;=60,3,IF(T1225&lt;=80,4,5)))))</x:f>
      </x:c>
      <x:c r="V1225" s="2" t="str">
        <x:f>IF(M1225="","",MAX(0,'Motor_Meciuri'!BF93-IF(W1225="OOS PENDING",'Config_v6'!$B$35,0)-IF(L1225&gt;'Config_v6'!$B$12,'Config_v6'!$B$37,IF(L1225&gt;'Config_v6'!$B$11,'Config_v6'!$B$36,0))))</x:f>
      </x:c>
      <x:c r="W1225" s="2" t="str">
        <x:f>IF(B1225="","",IF(I1225&lt;&gt;"READY","NOT RELEASED",IF(NOT(AND(J1225="PASS",'Calibrare_Linii'!U7="VALID")),"INVALID",IF(NOT(AND('Calibrare_Linii'!S7="VALIDATED",AND('Calibrare_Linii'!H7=C1225,ISNUMBER('Calibrare_Linii'!J7),'Calibrare_Linii'!J7&lt;='Input_Meci'!G93))),"OOS PENDING",IF(S1225&lt;='Calibrare_Linii'!E7,"PASS",IF(S1225&lt;='Calibrare_Linii'!F7,"PENALTY","WATCH"))))))</x:f>
      </x:c>
      <x:c r="X1225" s="2" t="str">
        <x:f>IF(M1225="","",IF(AND(AND(J1225="PASS",'Calibrare_Linii'!U7="VALID"),'Motor_Meciuri'!K93=12,'Motor_Meciuri'!L93=12,'Motor_Meciuri'!M93="NO",'Motor_Meciuri'!BL93='Motor_Meciuri'!C93,AB1225&gt;='Config_v6'!$B$50,AN1225&gt;='Config_v6'!$B$51,T1225&lt;='Config_v6'!$B$52,L1225&lt;='Config_v6'!$B$53,ISNUMBER('Calibrare_Linii'!E7),S1225&lt;='Calibrare_Linii'!E7,SUM(AK1225:AM1225)&gt;0),"CANDIDATE","NO"))</x:f>
      </x:c>
      <x:c r="Y1225" s="2" t="str">
        <x:f>IF(B1225="","",IF(I1225&lt;&gt;"READY","NOT RELEASED",IF(AND(X1225="CANDIDATE",V1225&gt;='Config_v6'!$B$51,W1225="PASS",'Calibrare_Linii'!T7="VALIDATED",AND('Calibrare_Linii'!H7=C1225,ISNUMBER('Calibrare_Linii'!J7),'Calibrare_Linii'!J7&lt;='Input_Meci'!G93)),"PASS",IF(X1225="CANDIDATE","OOS PENDING","FAIL"))))</x:f>
      </x:c>
      <x:c r="Z1225" s="2" t="str">
        <x:f>IF(B1225="","",IF(I1225&lt;&gt;"READY","",IF(OR(NOT(AND(J1225="PASS",'Calibrare_Linii'!U7="VALID")),L1225&gt;'Config_v6'!$B$13,W1225="WATCH"),5,IF(Y1225="PASS",1,MIN(5,MAX('Config_v6'!$B$42,U1225)+IF(W1225="PENALTY",1,0))))))</x:f>
      </x:c>
      <x:c r="AA1225" s="2" t="str">
        <x:f>IF(B1225="","",IF(I1225&lt;&gt;"READY","NOT RELEASED",IF(Z1225=5,"NO BET",IF(OR(AB1225&lt;'Config_v6'!$B$16,V1225&lt;'Config_v6'!$B$18),"WATCH",IF(Z1225=1,"DEFENSIV",IF(Z1225=2,"PRUDENT",IF(Z1225=3,"MODERAT","RIDICAT")))))))</x:f>
      </x:c>
      <x:c r="AB1225" s="10" t="str">
        <x:f>IF(N1225="","",MIN(N1225,1-S1225))</x:f>
      </x:c>
      <x:c r="AC1225" s="2" t="str">
        <x:f>IF(AD1225&lt;&gt;1,"",COUNTIFS($Z$1224:$Z$1237,"&lt;"&amp;Z1225,$AD$1224:$AD$1237,1)+COUNTIFS($Z$1224:$Z$1237,Z1225,$AB$1224:$AB$1237,"&gt;"&amp;AB1225,$AD$1224:$AD$1237,1)+COUNTIFS($Z$1224:$Z$1237,Z1225,$AB$1224:$AB$1237,AB1225,$V$1224:$V$1237,"&gt;"&amp;V1225,$AD$1224:$AD$1237,1)+COUNTIFS($Z$1224:Z1225,Z1225,$AB$1224:AB1225,AB1225,$V$1224:V1225,V1225,$AD$1224:AD1225,1))</x:f>
      </x:c>
      <x:c r="AD1225" s="2" t="n">
        <x:f>IF(OR(AA1225="DEFENSIV",AA1225="PRUDENT",AA1225="MODERAT",AA1225="RIDICAT"),1,0)</x:f>
        <x:v>0</x:v>
      </x:c>
      <x:c r="AE1225" s="2" t="str">
        <x:f>IF(AD1225&lt;&gt;1,"NO",IF(W1225="PASS","YES",IF(W1225="OOS PENDING","CONDITIONAL","NO")))</x:f>
        <x:v>NO</x:v>
      </x:c>
      <x:c r="AF1225" s="2" t="n">
        <x:f>IF(AND(AD1225=1,AC1225=1,E1225="LIVE"),1,0)</x:f>
        <x:v>0</x:v>
      </x:c>
      <x:c r="AG1225" s="2" t="str">
        <x:f>IF(AF1225&lt;&gt;1,"",'Dashboard'!P113)</x:f>
      </x:c>
      <x:c r="AH1225" s="2" t="str">
        <x:f>IF(B1225="","",IF(J1225&lt;&gt;"PASS",'Motor_Meciuri'!J93,IF('Calibrare_Linii'!U7&lt;&gt;"VALID","Parametri linie invalizi",IF(L1225&gt;'Config_v6'!$B$13,"Dispersie peste limita",IF(W1225="WATCH","Failure peste limita",IF(AB1225&lt;'Config_v6'!$B$16,"P finala sub prag",IF(V1225&lt;'Config_v6'!$B$18,"Confidence sub prag",IF(E1225="REPLAY","Exemplu retrospectiv; exclus din Top LIVE",IF(Y1225="PASS","DEFENSIV validat",IF(W1225="OOS PENDING","Eligibil; calibrare linie in monitorizare","Eligibil"))))))))))</x:f>
      </x:c>
      <x:c r="AI1225" s="2" t="str">
        <x:f>IF(B1225="","",'Calibrare_Linii'!V7)</x:f>
      </x:c>
      <x:c r="AJ1225" s="2" t="str">
        <x:f>IF(B1225="","",IF(AND('Calibrare_Linii'!T7="VALIDATED",AND('Calibrare_Linii'!H7=C1225,ISNUMBER('Calibrare_Linii'!J7),'Calibrare_Linii'!J7&lt;='Input_Meci'!G93)),"DEFENSIVE VALIDATED",IF(AND('Calibrare_Linii'!S7="VALIDATED",AND('Calibrare_Linii'!H7=C1225,ISNUMBER('Calibrare_Linii'!J7),'Calibrare_Linii'!J7&lt;='Input_Meci'!G93)),"TAIL VALIDATED","OOS PENDING")))</x:f>
      </x:c>
      <x:c r="AK1225" s="2" t="n">
        <x:f>IF(J1225&lt;&gt;"PASS",0,'Motor_Meciuri'!BR93)</x:f>
        <x:v>0</x:v>
      </x:c>
      <x:c r="AL1225" s="2" t="n">
        <x:f>IF(J1225&lt;&gt;"PASS",0,'Motor_Meciuri'!BS93)</x:f>
        <x:v>0</x:v>
      </x:c>
      <x:c r="AM1225" s="2" t="n">
        <x:f>IF(J1225&lt;&gt;"PASS",0,'Motor_Meciuri'!BT93)</x:f>
        <x:v>0</x:v>
      </x:c>
      <x:c r="AN1225" s="2" t="str">
        <x:f>IF(M1225="","",MAX(0,'Motor_Meciuri'!BF93-IF(L1225&gt;'Config_v6'!$B$12,'Config_v6'!$B$37,IF(L1225&gt;'Config_v6'!$B$11,'Config_v6'!$B$36,0))))</x:f>
      </x:c>
    </x:row>
    <x:row r="1226" ht="21" customHeight="1">
      <x:c r="A1226" s="2" t="n">
        <x:v>88</x:v>
      </x:c>
      <x:c r="B1226" s="2" t="str">
        <x:f>IF('Motor_Meciuri'!A93="","",'Motor_Meciuri'!A93)</x:f>
      </x:c>
      <x:c r="C1226" s="2" t="str">
        <x:f>IF(B1226="","",'Motor_Meciuri'!B93)</x:f>
      </x:c>
      <x:c r="D1226" s="2" t="str">
        <x:f>IF(B1226="","",'Motor_Meciuri'!D93)</x:f>
      </x:c>
      <x:c r="E1226" s="2" t="str">
        <x:f>IF(B1226="","",'Motor_Meciuri'!E93)</x:f>
      </x:c>
      <x:c r="F1226" s="2" t="str">
        <x:v>O5,5</x:v>
      </x:c>
      <x:c r="G1226" s="2" t="str">
        <x:v>OVER</x:v>
      </x:c>
      <x:c r="H1226" s="2" t="n">
        <x:v>5</x:v>
      </x:c>
      <x:c r="I1226" s="2" t="str">
        <x:f>IF(B1226="","",'Motor_Meciuri'!H93)</x:f>
      </x:c>
      <x:c r="J1226" s="2" t="str">
        <x:f>IF(B1226="","",'Motor_Meciuri'!I93)</x:f>
      </x:c>
      <x:c r="K1226" s="11" t="str">
        <x:f>IF(J1226&lt;&gt;"PASS","",'Motor_Meciuri'!BD93)</x:f>
      </x:c>
      <x:c r="L1226" s="11" t="str">
        <x:f>IF(J1226&lt;&gt;"PASS","",'Motor_Meciuri'!AU93)</x:f>
      </x:c>
      <x:c r="M1226" s="10" t="str">
        <x:f>IF(NOT(AND(J1226="PASS",'Calibrare_Linii'!U8="VALID")),"",1-'Distributie'!AC93)</x:f>
      </x:c>
      <x:c r="N1226" s="10" t="str">
        <x:f>IF(M1226="","",MAX(0.01,MIN(0.99,0.5+(M1226-0.5)*'Motor_Meciuri'!BG93*'Calibrare_Linii'!D8)))</x:f>
      </x:c>
      <x:c r="O1226" s="10" t="str">
        <x:f>IF(M1226="","",1-M1226)</x:f>
      </x:c>
      <x:c r="P1226" s="10" t="str">
        <x:f>IF(OR(NOT(AND(J1226="PASS",'Calibrare_Linii'!U8="VALID")),AK1226=0),""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*('Istoric_Nativ'!$Q$6:$Q$405&lt;=H1226))/AK1226)</x:f>
      </x:c>
      <x:c r="Q1226" s="10" t="str">
        <x:f>IF(OR(NOT(AND(J1226="PASS",'Calibrare_Linii'!U8="VALID")),AL1226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M93)+((('Istoric_Nativ'!$E$6:$E$405='Input_Meci'!E93)+('Istoric_Nativ'!$F$6:$F$405='Input_Meci'!E93))&gt;0)*('Istoric_Nativ'!$D$6:$D$405&gt;='Motor_Meciuri'!BN93))&gt;0)*('Istoric_Nativ'!$Q$6:$Q$405&lt;=H1226))/AL1226)</x:f>
      </x:c>
      <x:c r="R1226" s="10" t="str">
        <x:f>IF(OR(NOT(AND(J1226="PASS",'Calibrare_Linii'!U8="VALID")),AM1226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O93)+((('Istoric_Nativ'!$E$6:$E$405='Input_Meci'!E93)+('Istoric_Nativ'!$F$6:$F$405='Input_Meci'!E93))&gt;0)*('Istoric_Nativ'!$D$6:$D$405&gt;='Motor_Meciuri'!BP93))&gt;0)*('Istoric_Nativ'!$Q$6:$Q$405&lt;=H1226))/AM1226)</x:f>
      </x:c>
      <x:c r="S1226" s="10" t="str">
        <x:f>IF(M1226="","",MAX(O1226,P1226,Q1226,R1226))</x:f>
      </x:c>
      <x:c r="T1226" s="11" t="str">
        <x:f>IF(M1226="","",MIN(100,S1226*100*'Config_v6'!$B$44+MIN(100,L1226/'Config_v6'!$B$13*100)*'Config_v6'!$B$45+(100-'Motor_Meciuri'!BF93)*'Config_v6'!$B$46+'Motor_Meciuri'!BH93*100*'Config_v6'!$B$47))</x:f>
      </x:c>
      <x:c r="U1226" s="2" t="str">
        <x:f>IF(T1226="","",IF(T1226&lt;=20,1,IF(T1226&lt;=40,2,IF(T1226&lt;=60,3,IF(T1226&lt;=80,4,5)))))</x:f>
      </x:c>
      <x:c r="V1226" s="2" t="str">
        <x:f>IF(M1226="","",MAX(0,'Motor_Meciuri'!BF93-IF(W1226="OOS PENDING",'Config_v6'!$B$35,0)-IF(L1226&gt;'Config_v6'!$B$12,'Config_v6'!$B$37,IF(L1226&gt;'Config_v6'!$B$11,'Config_v6'!$B$36,0))))</x:f>
      </x:c>
      <x:c r="W1226" s="2" t="str">
        <x:f>IF(B1226="","",IF(I1226&lt;&gt;"READY","NOT RELEASED",IF(NOT(AND(J1226="PASS",'Calibrare_Linii'!U8="VALID")),"INVALID",IF(NOT(AND('Calibrare_Linii'!S8="VALIDATED",AND('Calibrare_Linii'!H8=C1226,ISNUMBER('Calibrare_Linii'!J8),'Calibrare_Linii'!J8&lt;='Input_Meci'!G93))),"OOS PENDING",IF(S1226&lt;='Calibrare_Linii'!E8,"PASS",IF(S1226&lt;='Calibrare_Linii'!F8,"PENALTY","WATCH"))))))</x:f>
      </x:c>
      <x:c r="X1226" s="2" t="str">
        <x:f>IF(M1226="","",IF(AND(AND(J1226="PASS",'Calibrare_Linii'!U8="VALID"),'Motor_Meciuri'!K93=12,'Motor_Meciuri'!L93=12,'Motor_Meciuri'!M93="NO",'Motor_Meciuri'!BL93='Motor_Meciuri'!C93,AB1226&gt;='Config_v6'!$B$50,AN1226&gt;='Config_v6'!$B$51,T1226&lt;='Config_v6'!$B$52,L1226&lt;='Config_v6'!$B$53,ISNUMBER('Calibrare_Linii'!E8),S1226&lt;='Calibrare_Linii'!E8,SUM(AK1226:AM1226)&gt;0),"CANDIDATE","NO"))</x:f>
      </x:c>
      <x:c r="Y1226" s="2" t="str">
        <x:f>IF(B1226="","",IF(I1226&lt;&gt;"READY","NOT RELEASED",IF(AND(X1226="CANDIDATE",V1226&gt;='Config_v6'!$B$51,W1226="PASS",'Calibrare_Linii'!T8="VALIDATED",AND('Calibrare_Linii'!H8=C1226,ISNUMBER('Calibrare_Linii'!J8),'Calibrare_Linii'!J8&lt;='Input_Meci'!G93)),"PASS",IF(X1226="CANDIDATE","OOS PENDING","FAIL"))))</x:f>
      </x:c>
      <x:c r="Z1226" s="2" t="str">
        <x:f>IF(B1226="","",IF(I1226&lt;&gt;"READY","",IF(OR(NOT(AND(J1226="PASS",'Calibrare_Linii'!U8="VALID")),L1226&gt;'Config_v6'!$B$13,W1226="WATCH"),5,IF(Y1226="PASS",1,MIN(5,MAX('Config_v6'!$B$42,U1226)+IF(W1226="PENALTY",1,0))))))</x:f>
      </x:c>
      <x:c r="AA1226" s="2" t="str">
        <x:f>IF(B1226="","",IF(I1226&lt;&gt;"READY","NOT RELEASED",IF(Z1226=5,"NO BET",IF(OR(AB1226&lt;'Config_v6'!$B$16,V1226&lt;'Config_v6'!$B$18),"WATCH",IF(Z1226=1,"DEFENSIV",IF(Z1226=2,"PRUDENT",IF(Z1226=3,"MODERAT","RIDICAT")))))))</x:f>
      </x:c>
      <x:c r="AB1226" s="10" t="str">
        <x:f>IF(N1226="","",MIN(N1226,1-S1226))</x:f>
      </x:c>
      <x:c r="AC1226" s="2" t="str">
        <x:f>IF(AD1226&lt;&gt;1,"",COUNTIFS($Z$1224:$Z$1237,"&lt;"&amp;Z1226,$AD$1224:$AD$1237,1)+COUNTIFS($Z$1224:$Z$1237,Z1226,$AB$1224:$AB$1237,"&gt;"&amp;AB1226,$AD$1224:$AD$1237,1)+COUNTIFS($Z$1224:$Z$1237,Z1226,$AB$1224:$AB$1237,AB1226,$V$1224:$V$1237,"&gt;"&amp;V1226,$AD$1224:$AD$1237,1)+COUNTIFS($Z$1224:Z1226,Z1226,$AB$1224:AB1226,AB1226,$V$1224:V1226,V1226,$AD$1224:AD1226,1))</x:f>
      </x:c>
      <x:c r="AD1226" s="2" t="n">
        <x:f>IF(OR(AA1226="DEFENSIV",AA1226="PRUDENT",AA1226="MODERAT",AA1226="RIDICAT"),1,0)</x:f>
        <x:v>0</x:v>
      </x:c>
      <x:c r="AE1226" s="2" t="str">
        <x:f>IF(AD1226&lt;&gt;1,"NO",IF(W1226="PASS","YES",IF(W1226="OOS PENDING","CONDITIONAL","NO")))</x:f>
        <x:v>NO</x:v>
      </x:c>
      <x:c r="AF1226" s="2" t="n">
        <x:f>IF(AND(AD1226=1,AC1226=1,E1226="LIVE"),1,0)</x:f>
        <x:v>0</x:v>
      </x:c>
      <x:c r="AG1226" s="2" t="str">
        <x:f>IF(AF1226&lt;&gt;1,"",'Dashboard'!P113)</x:f>
      </x:c>
      <x:c r="AH1226" s="2" t="str">
        <x:f>IF(B1226="","",IF(J1226&lt;&gt;"PASS",'Motor_Meciuri'!J93,IF('Calibrare_Linii'!U8&lt;&gt;"VALID","Parametri linie invalizi",IF(L1226&gt;'Config_v6'!$B$13,"Dispersie peste limita",IF(W1226="WATCH","Failure peste limita",IF(AB1226&lt;'Config_v6'!$B$16,"P finala sub prag",IF(V1226&lt;'Config_v6'!$B$18,"Confidence sub prag",IF(E1226="REPLAY","Exemplu retrospectiv; exclus din Top LIVE",IF(Y1226="PASS","DEFENSIV validat",IF(W1226="OOS PENDING","Eligibil; calibrare linie in monitorizare","Eligibil"))))))))))</x:f>
      </x:c>
      <x:c r="AI1226" s="2" t="str">
        <x:f>IF(B1226="","",'Calibrare_Linii'!V8)</x:f>
      </x:c>
      <x:c r="AJ1226" s="2" t="str">
        <x:f>IF(B1226="","",IF(AND('Calibrare_Linii'!T8="VALIDATED",AND('Calibrare_Linii'!H8=C1226,ISNUMBER('Calibrare_Linii'!J8),'Calibrare_Linii'!J8&lt;='Input_Meci'!G93)),"DEFENSIVE VALIDATED",IF(AND('Calibrare_Linii'!S8="VALIDATED",AND('Calibrare_Linii'!H8=C1226,ISNUMBER('Calibrare_Linii'!J8),'Calibrare_Linii'!J8&lt;='Input_Meci'!G93)),"TAIL VALIDATED","OOS PENDING")))</x:f>
      </x:c>
      <x:c r="AK1226" s="2" t="n">
        <x:f>IF(J1226&lt;&gt;"PASS",0,'Motor_Meciuri'!BR93)</x:f>
        <x:v>0</x:v>
      </x:c>
      <x:c r="AL1226" s="2" t="n">
        <x:f>IF(J1226&lt;&gt;"PASS",0,'Motor_Meciuri'!BS93)</x:f>
        <x:v>0</x:v>
      </x:c>
      <x:c r="AM1226" s="2" t="n">
        <x:f>IF(J1226&lt;&gt;"PASS",0,'Motor_Meciuri'!BT93)</x:f>
        <x:v>0</x:v>
      </x:c>
      <x:c r="AN1226" s="2" t="str">
        <x:f>IF(M1226="","",MAX(0,'Motor_Meciuri'!BF93-IF(L1226&gt;'Config_v6'!$B$12,'Config_v6'!$B$37,IF(L1226&gt;'Config_v6'!$B$11,'Config_v6'!$B$36,0))))</x:f>
      </x:c>
    </x:row>
    <x:row r="1227" ht="21" customHeight="1">
      <x:c r="A1227" s="2" t="n">
        <x:v>88</x:v>
      </x:c>
      <x:c r="B1227" s="2" t="str">
        <x:f>IF('Motor_Meciuri'!A93="","",'Motor_Meciuri'!A93)</x:f>
      </x:c>
      <x:c r="C1227" s="2" t="str">
        <x:f>IF(B1227="","",'Motor_Meciuri'!B93)</x:f>
      </x:c>
      <x:c r="D1227" s="2" t="str">
        <x:f>IF(B1227="","",'Motor_Meciuri'!D93)</x:f>
      </x:c>
      <x:c r="E1227" s="2" t="str">
        <x:f>IF(B1227="","",'Motor_Meciuri'!E93)</x:f>
      </x:c>
      <x:c r="F1227" s="2" t="str">
        <x:v>O6,5</x:v>
      </x:c>
      <x:c r="G1227" s="2" t="str">
        <x:v>OVER</x:v>
      </x:c>
      <x:c r="H1227" s="2" t="n">
        <x:v>6</x:v>
      </x:c>
      <x:c r="I1227" s="2" t="str">
        <x:f>IF(B1227="","",'Motor_Meciuri'!H93)</x:f>
      </x:c>
      <x:c r="J1227" s="2" t="str">
        <x:f>IF(B1227="","",'Motor_Meciuri'!I93)</x:f>
      </x:c>
      <x:c r="K1227" s="11" t="str">
        <x:f>IF(J1227&lt;&gt;"PASS","",'Motor_Meciuri'!BD93)</x:f>
      </x:c>
      <x:c r="L1227" s="11" t="str">
        <x:f>IF(J1227&lt;&gt;"PASS","",'Motor_Meciuri'!AU93)</x:f>
      </x:c>
      <x:c r="M1227" s="10" t="str">
        <x:f>IF(NOT(AND(J1227="PASS",'Calibrare_Linii'!U9="VALID")),"",1-'Distributie'!AD93)</x:f>
      </x:c>
      <x:c r="N1227" s="10" t="str">
        <x:f>IF(M1227="","",MAX(0.01,MIN(0.99,0.5+(M1227-0.5)*'Motor_Meciuri'!BG93*'Calibrare_Linii'!D9)))</x:f>
      </x:c>
      <x:c r="O1227" s="10" t="str">
        <x:f>IF(M1227="","",1-M1227)</x:f>
      </x:c>
      <x:c r="P1227" s="10" t="str">
        <x:f>IF(OR(NOT(AND(J1227="PASS",'Calibrare_Linii'!U9="VALID")),AK1227=0),""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*('Istoric_Nativ'!$Q$6:$Q$405&lt;=H1227))/AK1227)</x:f>
      </x:c>
      <x:c r="Q1227" s="10" t="str">
        <x:f>IF(OR(NOT(AND(J1227="PASS",'Calibrare_Linii'!U9="VALID")),AL1227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M93)+((('Istoric_Nativ'!$E$6:$E$405='Input_Meci'!E93)+('Istoric_Nativ'!$F$6:$F$405='Input_Meci'!E93))&gt;0)*('Istoric_Nativ'!$D$6:$D$405&gt;='Motor_Meciuri'!BN93))&gt;0)*('Istoric_Nativ'!$Q$6:$Q$405&lt;=H1227))/AL1227)</x:f>
      </x:c>
      <x:c r="R1227" s="10" t="str">
        <x:f>IF(OR(NOT(AND(J1227="PASS",'Calibrare_Linii'!U9="VALID")),AM1227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O93)+((('Istoric_Nativ'!$E$6:$E$405='Input_Meci'!E93)+('Istoric_Nativ'!$F$6:$F$405='Input_Meci'!E93))&gt;0)*('Istoric_Nativ'!$D$6:$D$405&gt;='Motor_Meciuri'!BP93))&gt;0)*('Istoric_Nativ'!$Q$6:$Q$405&lt;=H1227))/AM1227)</x:f>
      </x:c>
      <x:c r="S1227" s="10" t="str">
        <x:f>IF(M1227="","",MAX(O1227,P1227,Q1227,R1227))</x:f>
      </x:c>
      <x:c r="T1227" s="11" t="str">
        <x:f>IF(M1227="","",MIN(100,S1227*100*'Config_v6'!$B$44+MIN(100,L1227/'Config_v6'!$B$13*100)*'Config_v6'!$B$45+(100-'Motor_Meciuri'!BF93)*'Config_v6'!$B$46+'Motor_Meciuri'!BH93*100*'Config_v6'!$B$47))</x:f>
      </x:c>
      <x:c r="U1227" s="2" t="str">
        <x:f>IF(T1227="","",IF(T1227&lt;=20,1,IF(T1227&lt;=40,2,IF(T1227&lt;=60,3,IF(T1227&lt;=80,4,5)))))</x:f>
      </x:c>
      <x:c r="V1227" s="2" t="str">
        <x:f>IF(M1227="","",MAX(0,'Motor_Meciuri'!BF93-IF(W1227="OOS PENDING",'Config_v6'!$B$35,0)-IF(L1227&gt;'Config_v6'!$B$12,'Config_v6'!$B$37,IF(L1227&gt;'Config_v6'!$B$11,'Config_v6'!$B$36,0))))</x:f>
      </x:c>
      <x:c r="W1227" s="2" t="str">
        <x:f>IF(B1227="","",IF(I1227&lt;&gt;"READY","NOT RELEASED",IF(NOT(AND(J1227="PASS",'Calibrare_Linii'!U9="VALID")),"INVALID",IF(NOT(AND('Calibrare_Linii'!S9="VALIDATED",AND('Calibrare_Linii'!H9=C1227,ISNUMBER('Calibrare_Linii'!J9),'Calibrare_Linii'!J9&lt;='Input_Meci'!G93))),"OOS PENDING",IF(S1227&lt;='Calibrare_Linii'!E9,"PASS",IF(S1227&lt;='Calibrare_Linii'!F9,"PENALTY","WATCH"))))))</x:f>
      </x:c>
      <x:c r="X1227" s="2" t="str">
        <x:f>IF(M1227="","",IF(AND(AND(J1227="PASS",'Calibrare_Linii'!U9="VALID"),'Motor_Meciuri'!K93=12,'Motor_Meciuri'!L93=12,'Motor_Meciuri'!M93="NO",'Motor_Meciuri'!BL93='Motor_Meciuri'!C93,AB1227&gt;='Config_v6'!$B$50,AN1227&gt;='Config_v6'!$B$51,T1227&lt;='Config_v6'!$B$52,L1227&lt;='Config_v6'!$B$53,ISNUMBER('Calibrare_Linii'!E9),S1227&lt;='Calibrare_Linii'!E9,SUM(AK1227:AM1227)&gt;0),"CANDIDATE","NO"))</x:f>
      </x:c>
      <x:c r="Y1227" s="2" t="str">
        <x:f>IF(B1227="","",IF(I1227&lt;&gt;"READY","NOT RELEASED",IF(AND(X1227="CANDIDATE",V1227&gt;='Config_v6'!$B$51,W1227="PASS",'Calibrare_Linii'!T9="VALIDATED",AND('Calibrare_Linii'!H9=C1227,ISNUMBER('Calibrare_Linii'!J9),'Calibrare_Linii'!J9&lt;='Input_Meci'!G93)),"PASS",IF(X1227="CANDIDATE","OOS PENDING","FAIL"))))</x:f>
      </x:c>
      <x:c r="Z1227" s="2" t="str">
        <x:f>IF(B1227="","",IF(I1227&lt;&gt;"READY","",IF(OR(NOT(AND(J1227="PASS",'Calibrare_Linii'!U9="VALID")),L1227&gt;'Config_v6'!$B$13,W1227="WATCH"),5,IF(Y1227="PASS",1,MIN(5,MAX('Config_v6'!$B$42,U1227)+IF(W1227="PENALTY",1,0))))))</x:f>
      </x:c>
      <x:c r="AA1227" s="2" t="str">
        <x:f>IF(B1227="","",IF(I1227&lt;&gt;"READY","NOT RELEASED",IF(Z1227=5,"NO BET",IF(OR(AB1227&lt;'Config_v6'!$B$16,V1227&lt;'Config_v6'!$B$18),"WATCH",IF(Z1227=1,"DEFENSIV",IF(Z1227=2,"PRUDENT",IF(Z1227=3,"MODERAT","RIDICAT")))))))</x:f>
      </x:c>
      <x:c r="AB1227" s="10" t="str">
        <x:f>IF(N1227="","",MIN(N1227,1-S1227))</x:f>
      </x:c>
      <x:c r="AC1227" s="2" t="str">
        <x:f>IF(AD1227&lt;&gt;1,"",COUNTIFS($Z$1224:$Z$1237,"&lt;"&amp;Z1227,$AD$1224:$AD$1237,1)+COUNTIFS($Z$1224:$Z$1237,Z1227,$AB$1224:$AB$1237,"&gt;"&amp;AB1227,$AD$1224:$AD$1237,1)+COUNTIFS($Z$1224:$Z$1237,Z1227,$AB$1224:$AB$1237,AB1227,$V$1224:$V$1237,"&gt;"&amp;V1227,$AD$1224:$AD$1237,1)+COUNTIFS($Z$1224:Z1227,Z1227,$AB$1224:AB1227,AB1227,$V$1224:V1227,V1227,$AD$1224:AD1227,1))</x:f>
      </x:c>
      <x:c r="AD1227" s="2" t="n">
        <x:f>IF(OR(AA1227="DEFENSIV",AA1227="PRUDENT",AA1227="MODERAT",AA1227="RIDICAT"),1,0)</x:f>
        <x:v>0</x:v>
      </x:c>
      <x:c r="AE1227" s="2" t="str">
        <x:f>IF(AD1227&lt;&gt;1,"NO",IF(W1227="PASS","YES",IF(W1227="OOS PENDING","CONDITIONAL","NO")))</x:f>
        <x:v>NO</x:v>
      </x:c>
      <x:c r="AF1227" s="2" t="n">
        <x:f>IF(AND(AD1227=1,AC1227=1,E1227="LIVE"),1,0)</x:f>
        <x:v>0</x:v>
      </x:c>
      <x:c r="AG1227" s="2" t="str">
        <x:f>IF(AF1227&lt;&gt;1,"",'Dashboard'!P113)</x:f>
      </x:c>
      <x:c r="AH1227" s="2" t="str">
        <x:f>IF(B1227="","",IF(J1227&lt;&gt;"PASS",'Motor_Meciuri'!J93,IF('Calibrare_Linii'!U9&lt;&gt;"VALID","Parametri linie invalizi",IF(L1227&gt;'Config_v6'!$B$13,"Dispersie peste limita",IF(W1227="WATCH","Failure peste limita",IF(AB1227&lt;'Config_v6'!$B$16,"P finala sub prag",IF(V1227&lt;'Config_v6'!$B$18,"Confidence sub prag",IF(E1227="REPLAY","Exemplu retrospectiv; exclus din Top LIVE",IF(Y1227="PASS","DEFENSIV validat",IF(W1227="OOS PENDING","Eligibil; calibrare linie in monitorizare","Eligibil"))))))))))</x:f>
      </x:c>
      <x:c r="AI1227" s="2" t="str">
        <x:f>IF(B1227="","",'Calibrare_Linii'!V9)</x:f>
      </x:c>
      <x:c r="AJ1227" s="2" t="str">
        <x:f>IF(B1227="","",IF(AND('Calibrare_Linii'!T9="VALIDATED",AND('Calibrare_Linii'!H9=C1227,ISNUMBER('Calibrare_Linii'!J9),'Calibrare_Linii'!J9&lt;='Input_Meci'!G93)),"DEFENSIVE VALIDATED",IF(AND('Calibrare_Linii'!S9="VALIDATED",AND('Calibrare_Linii'!H9=C1227,ISNUMBER('Calibrare_Linii'!J9),'Calibrare_Linii'!J9&lt;='Input_Meci'!G93)),"TAIL VALIDATED","OOS PENDING")))</x:f>
      </x:c>
      <x:c r="AK1227" s="2" t="n">
        <x:f>IF(J1227&lt;&gt;"PASS",0,'Motor_Meciuri'!BR93)</x:f>
        <x:v>0</x:v>
      </x:c>
      <x:c r="AL1227" s="2" t="n">
        <x:f>IF(J1227&lt;&gt;"PASS",0,'Motor_Meciuri'!BS93)</x:f>
        <x:v>0</x:v>
      </x:c>
      <x:c r="AM1227" s="2" t="n">
        <x:f>IF(J1227&lt;&gt;"PASS",0,'Motor_Meciuri'!BT93)</x:f>
        <x:v>0</x:v>
      </x:c>
      <x:c r="AN1227" s="2" t="str">
        <x:f>IF(M1227="","",MAX(0,'Motor_Meciuri'!BF93-IF(L1227&gt;'Config_v6'!$B$12,'Config_v6'!$B$37,IF(L1227&gt;'Config_v6'!$B$11,'Config_v6'!$B$36,0))))</x:f>
      </x:c>
    </x:row>
    <x:row r="1228" ht="21" customHeight="1">
      <x:c r="A1228" s="2" t="n">
        <x:v>88</x:v>
      </x:c>
      <x:c r="B1228" s="2" t="str">
        <x:f>IF('Motor_Meciuri'!A93="","",'Motor_Meciuri'!A93)</x:f>
      </x:c>
      <x:c r="C1228" s="2" t="str">
        <x:f>IF(B1228="","",'Motor_Meciuri'!B93)</x:f>
      </x:c>
      <x:c r="D1228" s="2" t="str">
        <x:f>IF(B1228="","",'Motor_Meciuri'!D93)</x:f>
      </x:c>
      <x:c r="E1228" s="2" t="str">
        <x:f>IF(B1228="","",'Motor_Meciuri'!E93)</x:f>
      </x:c>
      <x:c r="F1228" s="2" t="str">
        <x:v>O7,5</x:v>
      </x:c>
      <x:c r="G1228" s="2" t="str">
        <x:v>OVER</x:v>
      </x:c>
      <x:c r="H1228" s="2" t="n">
        <x:v>7</x:v>
      </x:c>
      <x:c r="I1228" s="2" t="str">
        <x:f>IF(B1228="","",'Motor_Meciuri'!H93)</x:f>
      </x:c>
      <x:c r="J1228" s="2" t="str">
        <x:f>IF(B1228="","",'Motor_Meciuri'!I93)</x:f>
      </x:c>
      <x:c r="K1228" s="11" t="str">
        <x:f>IF(J1228&lt;&gt;"PASS","",'Motor_Meciuri'!BD93)</x:f>
      </x:c>
      <x:c r="L1228" s="11" t="str">
        <x:f>IF(J1228&lt;&gt;"PASS","",'Motor_Meciuri'!AU93)</x:f>
      </x:c>
      <x:c r="M1228" s="10" t="str">
        <x:f>IF(NOT(AND(J1228="PASS",'Calibrare_Linii'!U10="VALID")),"",1-'Distributie'!AE93)</x:f>
      </x:c>
      <x:c r="N1228" s="10" t="str">
        <x:f>IF(M1228="","",MAX(0.01,MIN(0.99,0.5+(M1228-0.5)*'Motor_Meciuri'!BG93*'Calibrare_Linii'!D10)))</x:f>
      </x:c>
      <x:c r="O1228" s="10" t="str">
        <x:f>IF(M1228="","",1-M1228)</x:f>
      </x:c>
      <x:c r="P1228" s="10" t="str">
        <x:f>IF(OR(NOT(AND(J1228="PASS",'Calibrare_Linii'!U10="VALID")),AK1228=0),""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*('Istoric_Nativ'!$Q$6:$Q$405&lt;=H1228))/AK1228)</x:f>
      </x:c>
      <x:c r="Q1228" s="10" t="str">
        <x:f>IF(OR(NOT(AND(J1228="PASS",'Calibrare_Linii'!U10="VALID")),AL1228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M93)+((('Istoric_Nativ'!$E$6:$E$405='Input_Meci'!E93)+('Istoric_Nativ'!$F$6:$F$405='Input_Meci'!E93))&gt;0)*('Istoric_Nativ'!$D$6:$D$405&gt;='Motor_Meciuri'!BN93))&gt;0)*('Istoric_Nativ'!$Q$6:$Q$405&lt;=H1228))/AL1228)</x:f>
      </x:c>
      <x:c r="R1228" s="10" t="str">
        <x:f>IF(OR(NOT(AND(J1228="PASS",'Calibrare_Linii'!U10="VALID")),AM1228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O93)+((('Istoric_Nativ'!$E$6:$E$405='Input_Meci'!E93)+('Istoric_Nativ'!$F$6:$F$405='Input_Meci'!E93))&gt;0)*('Istoric_Nativ'!$D$6:$D$405&gt;='Motor_Meciuri'!BP93))&gt;0)*('Istoric_Nativ'!$Q$6:$Q$405&lt;=H1228))/AM1228)</x:f>
      </x:c>
      <x:c r="S1228" s="10" t="str">
        <x:f>IF(M1228="","",MAX(O1228,P1228,Q1228,R1228))</x:f>
      </x:c>
      <x:c r="T1228" s="11" t="str">
        <x:f>IF(M1228="","",MIN(100,S1228*100*'Config_v6'!$B$44+MIN(100,L1228/'Config_v6'!$B$13*100)*'Config_v6'!$B$45+(100-'Motor_Meciuri'!BF93)*'Config_v6'!$B$46+'Motor_Meciuri'!BH93*100*'Config_v6'!$B$47))</x:f>
      </x:c>
      <x:c r="U1228" s="2" t="str">
        <x:f>IF(T1228="","",IF(T1228&lt;=20,1,IF(T1228&lt;=40,2,IF(T1228&lt;=60,3,IF(T1228&lt;=80,4,5)))))</x:f>
      </x:c>
      <x:c r="V1228" s="2" t="str">
        <x:f>IF(M1228="","",MAX(0,'Motor_Meciuri'!BF93-IF(W1228="OOS PENDING",'Config_v6'!$B$35,0)-IF(L1228&gt;'Config_v6'!$B$12,'Config_v6'!$B$37,IF(L1228&gt;'Config_v6'!$B$11,'Config_v6'!$B$36,0))))</x:f>
      </x:c>
      <x:c r="W1228" s="2" t="str">
        <x:f>IF(B1228="","",IF(I1228&lt;&gt;"READY","NOT RELEASED",IF(NOT(AND(J1228="PASS",'Calibrare_Linii'!U10="VALID")),"INVALID",IF(NOT(AND('Calibrare_Linii'!S10="VALIDATED",AND('Calibrare_Linii'!H10=C1228,ISNUMBER('Calibrare_Linii'!J10),'Calibrare_Linii'!J10&lt;='Input_Meci'!G93))),"OOS PENDING",IF(S1228&lt;='Calibrare_Linii'!E10,"PASS",IF(S1228&lt;='Calibrare_Linii'!F10,"PENALTY","WATCH"))))))</x:f>
      </x:c>
      <x:c r="X1228" s="2" t="str">
        <x:f>IF(M1228="","",IF(AND(AND(J1228="PASS",'Calibrare_Linii'!U10="VALID"),'Motor_Meciuri'!K93=12,'Motor_Meciuri'!L93=12,'Motor_Meciuri'!M93="NO",'Motor_Meciuri'!BL93='Motor_Meciuri'!C93,AB1228&gt;='Config_v6'!$B$50,AN1228&gt;='Config_v6'!$B$51,T1228&lt;='Config_v6'!$B$52,L1228&lt;='Config_v6'!$B$53,ISNUMBER('Calibrare_Linii'!E10),S1228&lt;='Calibrare_Linii'!E10,SUM(AK1228:AM1228)&gt;0),"CANDIDATE","NO"))</x:f>
      </x:c>
      <x:c r="Y1228" s="2" t="str">
        <x:f>IF(B1228="","",IF(I1228&lt;&gt;"READY","NOT RELEASED",IF(AND(X1228="CANDIDATE",V1228&gt;='Config_v6'!$B$51,W1228="PASS",'Calibrare_Linii'!T10="VALIDATED",AND('Calibrare_Linii'!H10=C1228,ISNUMBER('Calibrare_Linii'!J10),'Calibrare_Linii'!J10&lt;='Input_Meci'!G93)),"PASS",IF(X1228="CANDIDATE","OOS PENDING","FAIL"))))</x:f>
      </x:c>
      <x:c r="Z1228" s="2" t="str">
        <x:f>IF(B1228="","",IF(I1228&lt;&gt;"READY","",IF(OR(NOT(AND(J1228="PASS",'Calibrare_Linii'!U10="VALID")),L1228&gt;'Config_v6'!$B$13,W1228="WATCH"),5,IF(Y1228="PASS",1,MIN(5,MAX('Config_v6'!$B$42,U1228)+IF(W1228="PENALTY",1,0))))))</x:f>
      </x:c>
      <x:c r="AA1228" s="2" t="str">
        <x:f>IF(B1228="","",IF(I1228&lt;&gt;"READY","NOT RELEASED",IF(Z1228=5,"NO BET",IF(OR(AB1228&lt;'Config_v6'!$B$16,V1228&lt;'Config_v6'!$B$18),"WATCH",IF(Z1228=1,"DEFENSIV",IF(Z1228=2,"PRUDENT",IF(Z1228=3,"MODERAT","RIDICAT")))))))</x:f>
      </x:c>
      <x:c r="AB1228" s="10" t="str">
        <x:f>IF(N1228="","",MIN(N1228,1-S1228))</x:f>
      </x:c>
      <x:c r="AC1228" s="2" t="str">
        <x:f>IF(AD1228&lt;&gt;1,"",COUNTIFS($Z$1224:$Z$1237,"&lt;"&amp;Z1228,$AD$1224:$AD$1237,1)+COUNTIFS($Z$1224:$Z$1237,Z1228,$AB$1224:$AB$1237,"&gt;"&amp;AB1228,$AD$1224:$AD$1237,1)+COUNTIFS($Z$1224:$Z$1237,Z1228,$AB$1224:$AB$1237,AB1228,$V$1224:$V$1237,"&gt;"&amp;V1228,$AD$1224:$AD$1237,1)+COUNTIFS($Z$1224:Z1228,Z1228,$AB$1224:AB1228,AB1228,$V$1224:V1228,V1228,$AD$1224:AD1228,1))</x:f>
      </x:c>
      <x:c r="AD1228" s="2" t="n">
        <x:f>IF(OR(AA1228="DEFENSIV",AA1228="PRUDENT",AA1228="MODERAT",AA1228="RIDICAT"),1,0)</x:f>
        <x:v>0</x:v>
      </x:c>
      <x:c r="AE1228" s="2" t="str">
        <x:f>IF(AD1228&lt;&gt;1,"NO",IF(W1228="PASS","YES",IF(W1228="OOS PENDING","CONDITIONAL","NO")))</x:f>
        <x:v>NO</x:v>
      </x:c>
      <x:c r="AF1228" s="2" t="n">
        <x:f>IF(AND(AD1228=1,AC1228=1,E1228="LIVE"),1,0)</x:f>
        <x:v>0</x:v>
      </x:c>
      <x:c r="AG1228" s="2" t="str">
        <x:f>IF(AF1228&lt;&gt;1,"",'Dashboard'!P113)</x:f>
      </x:c>
      <x:c r="AH1228" s="2" t="str">
        <x:f>IF(B1228="","",IF(J1228&lt;&gt;"PASS",'Motor_Meciuri'!J93,IF('Calibrare_Linii'!U10&lt;&gt;"VALID","Parametri linie invalizi",IF(L1228&gt;'Config_v6'!$B$13,"Dispersie peste limita",IF(W1228="WATCH","Failure peste limita",IF(AB1228&lt;'Config_v6'!$B$16,"P finala sub prag",IF(V1228&lt;'Config_v6'!$B$18,"Confidence sub prag",IF(E1228="REPLAY","Exemplu retrospectiv; exclus din Top LIVE",IF(Y1228="PASS","DEFENSIV validat",IF(W1228="OOS PENDING","Eligibil; calibrare linie in monitorizare","Eligibil"))))))))))</x:f>
      </x:c>
      <x:c r="AI1228" s="2" t="str">
        <x:f>IF(B1228="","",'Calibrare_Linii'!V10)</x:f>
      </x:c>
      <x:c r="AJ1228" s="2" t="str">
        <x:f>IF(B1228="","",IF(AND('Calibrare_Linii'!T10="VALIDATED",AND('Calibrare_Linii'!H10=C1228,ISNUMBER('Calibrare_Linii'!J10),'Calibrare_Linii'!J10&lt;='Input_Meci'!G93)),"DEFENSIVE VALIDATED",IF(AND('Calibrare_Linii'!S10="VALIDATED",AND('Calibrare_Linii'!H10=C1228,ISNUMBER('Calibrare_Linii'!J10),'Calibrare_Linii'!J10&lt;='Input_Meci'!G93)),"TAIL VALIDATED","OOS PENDING")))</x:f>
      </x:c>
      <x:c r="AK1228" s="2" t="n">
        <x:f>IF(J1228&lt;&gt;"PASS",0,'Motor_Meciuri'!BR93)</x:f>
        <x:v>0</x:v>
      </x:c>
      <x:c r="AL1228" s="2" t="n">
        <x:f>IF(J1228&lt;&gt;"PASS",0,'Motor_Meciuri'!BS93)</x:f>
        <x:v>0</x:v>
      </x:c>
      <x:c r="AM1228" s="2" t="n">
        <x:f>IF(J1228&lt;&gt;"PASS",0,'Motor_Meciuri'!BT93)</x:f>
        <x:v>0</x:v>
      </x:c>
      <x:c r="AN1228" s="2" t="str">
        <x:f>IF(M1228="","",MAX(0,'Motor_Meciuri'!BF93-IF(L1228&gt;'Config_v6'!$B$12,'Config_v6'!$B$37,IF(L1228&gt;'Config_v6'!$B$11,'Config_v6'!$B$36,0))))</x:f>
      </x:c>
    </x:row>
    <x:row r="1229" ht="21" customHeight="1">
      <x:c r="A1229" s="2" t="n">
        <x:v>88</x:v>
      </x:c>
      <x:c r="B1229" s="2" t="str">
        <x:f>IF('Motor_Meciuri'!A93="","",'Motor_Meciuri'!A93)</x:f>
      </x:c>
      <x:c r="C1229" s="2" t="str">
        <x:f>IF(B1229="","",'Motor_Meciuri'!B93)</x:f>
      </x:c>
      <x:c r="D1229" s="2" t="str">
        <x:f>IF(B1229="","",'Motor_Meciuri'!D93)</x:f>
      </x:c>
      <x:c r="E1229" s="2" t="str">
        <x:f>IF(B1229="","",'Motor_Meciuri'!E93)</x:f>
      </x:c>
      <x:c r="F1229" s="2" t="str">
        <x:v>O8,5</x:v>
      </x:c>
      <x:c r="G1229" s="2" t="str">
        <x:v>OVER</x:v>
      </x:c>
      <x:c r="H1229" s="2" t="n">
        <x:v>8</x:v>
      </x:c>
      <x:c r="I1229" s="2" t="str">
        <x:f>IF(B1229="","",'Motor_Meciuri'!H93)</x:f>
      </x:c>
      <x:c r="J1229" s="2" t="str">
        <x:f>IF(B1229="","",'Motor_Meciuri'!I93)</x:f>
      </x:c>
      <x:c r="K1229" s="11" t="str">
        <x:f>IF(J1229&lt;&gt;"PASS","",'Motor_Meciuri'!BD93)</x:f>
      </x:c>
      <x:c r="L1229" s="11" t="str">
        <x:f>IF(J1229&lt;&gt;"PASS","",'Motor_Meciuri'!AU93)</x:f>
      </x:c>
      <x:c r="M1229" s="10" t="str">
        <x:f>IF(NOT(AND(J1229="PASS",'Calibrare_Linii'!U11="VALID")),"",1-'Distributie'!AF93)</x:f>
      </x:c>
      <x:c r="N1229" s="10" t="str">
        <x:f>IF(M1229="","",MAX(0.01,MIN(0.99,0.5+(M1229-0.5)*'Motor_Meciuri'!BG93*'Calibrare_Linii'!D11)))</x:f>
      </x:c>
      <x:c r="O1229" s="10" t="str">
        <x:f>IF(M1229="","",1-M1229)</x:f>
      </x:c>
      <x:c r="P1229" s="10" t="str">
        <x:f>IF(OR(NOT(AND(J1229="PASS",'Calibrare_Linii'!U11="VALID")),AK1229=0),""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*('Istoric_Nativ'!$Q$6:$Q$405&lt;=H1229))/AK1229)</x:f>
      </x:c>
      <x:c r="Q1229" s="10" t="str">
        <x:f>IF(OR(NOT(AND(J1229="PASS",'Calibrare_Linii'!U11="VALID")),AL1229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M93)+((('Istoric_Nativ'!$E$6:$E$405='Input_Meci'!E93)+('Istoric_Nativ'!$F$6:$F$405='Input_Meci'!E93))&gt;0)*('Istoric_Nativ'!$D$6:$D$405&gt;='Motor_Meciuri'!BN93))&gt;0)*('Istoric_Nativ'!$Q$6:$Q$405&lt;=H1229))/AL1229)</x:f>
      </x:c>
      <x:c r="R1229" s="10" t="str">
        <x:f>IF(OR(NOT(AND(J1229="PASS",'Calibrare_Linii'!U11="VALID")),AM1229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O93)+((('Istoric_Nativ'!$E$6:$E$405='Input_Meci'!E93)+('Istoric_Nativ'!$F$6:$F$405='Input_Meci'!E93))&gt;0)*('Istoric_Nativ'!$D$6:$D$405&gt;='Motor_Meciuri'!BP93))&gt;0)*('Istoric_Nativ'!$Q$6:$Q$405&lt;=H1229))/AM1229)</x:f>
      </x:c>
      <x:c r="S1229" s="10" t="str">
        <x:f>IF(M1229="","",MAX(O1229,P1229,Q1229,R1229))</x:f>
      </x:c>
      <x:c r="T1229" s="11" t="str">
        <x:f>IF(M1229="","",MIN(100,S1229*100*'Config_v6'!$B$44+MIN(100,L1229/'Config_v6'!$B$13*100)*'Config_v6'!$B$45+(100-'Motor_Meciuri'!BF93)*'Config_v6'!$B$46+'Motor_Meciuri'!BH93*100*'Config_v6'!$B$47))</x:f>
      </x:c>
      <x:c r="U1229" s="2" t="str">
        <x:f>IF(T1229="","",IF(T1229&lt;=20,1,IF(T1229&lt;=40,2,IF(T1229&lt;=60,3,IF(T1229&lt;=80,4,5)))))</x:f>
      </x:c>
      <x:c r="V1229" s="2" t="str">
        <x:f>IF(M1229="","",MAX(0,'Motor_Meciuri'!BF93-IF(W1229="OOS PENDING",'Config_v6'!$B$35,0)-IF(L1229&gt;'Config_v6'!$B$12,'Config_v6'!$B$37,IF(L1229&gt;'Config_v6'!$B$11,'Config_v6'!$B$36,0))))</x:f>
      </x:c>
      <x:c r="W1229" s="2" t="str">
        <x:f>IF(B1229="","",IF(I1229&lt;&gt;"READY","NOT RELEASED",IF(NOT(AND(J1229="PASS",'Calibrare_Linii'!U11="VALID")),"INVALID",IF(NOT(AND('Calibrare_Linii'!S11="VALIDATED",AND('Calibrare_Linii'!H11=C1229,ISNUMBER('Calibrare_Linii'!J11),'Calibrare_Linii'!J11&lt;='Input_Meci'!G93))),"OOS PENDING",IF(S1229&lt;='Calibrare_Linii'!E11,"PASS",IF(S1229&lt;='Calibrare_Linii'!F11,"PENALTY","WATCH"))))))</x:f>
      </x:c>
      <x:c r="X1229" s="2" t="str">
        <x:f>IF(M1229="","",IF(AND(AND(J1229="PASS",'Calibrare_Linii'!U11="VALID"),'Motor_Meciuri'!K93=12,'Motor_Meciuri'!L93=12,'Motor_Meciuri'!M93="NO",'Motor_Meciuri'!BL93='Motor_Meciuri'!C93,AB1229&gt;='Config_v6'!$B$50,AN1229&gt;='Config_v6'!$B$51,T1229&lt;='Config_v6'!$B$52,L1229&lt;='Config_v6'!$B$53,ISNUMBER('Calibrare_Linii'!E11),S1229&lt;='Calibrare_Linii'!E11,SUM(AK1229:AM1229)&gt;0),"CANDIDATE","NO"))</x:f>
      </x:c>
      <x:c r="Y1229" s="2" t="str">
        <x:f>IF(B1229="","",IF(I1229&lt;&gt;"READY","NOT RELEASED",IF(AND(X1229="CANDIDATE",V1229&gt;='Config_v6'!$B$51,W1229="PASS",'Calibrare_Linii'!T11="VALIDATED",AND('Calibrare_Linii'!H11=C1229,ISNUMBER('Calibrare_Linii'!J11),'Calibrare_Linii'!J11&lt;='Input_Meci'!G93)),"PASS",IF(X1229="CANDIDATE","OOS PENDING","FAIL"))))</x:f>
      </x:c>
      <x:c r="Z1229" s="2" t="str">
        <x:f>IF(B1229="","",IF(I1229&lt;&gt;"READY","",IF(OR(NOT(AND(J1229="PASS",'Calibrare_Linii'!U11="VALID")),L1229&gt;'Config_v6'!$B$13,W1229="WATCH"),5,IF(Y1229="PASS",1,MIN(5,MAX('Config_v6'!$B$42,U1229)+IF(W1229="PENALTY",1,0))))))</x:f>
      </x:c>
      <x:c r="AA1229" s="2" t="str">
        <x:f>IF(B1229="","",IF(I1229&lt;&gt;"READY","NOT RELEASED",IF(Z1229=5,"NO BET",IF(OR(AB1229&lt;'Config_v6'!$B$16,V1229&lt;'Config_v6'!$B$18),"WATCH",IF(Z1229=1,"DEFENSIV",IF(Z1229=2,"PRUDENT",IF(Z1229=3,"MODERAT","RIDICAT")))))))</x:f>
      </x:c>
      <x:c r="AB1229" s="10" t="str">
        <x:f>IF(N1229="","",MIN(N1229,1-S1229))</x:f>
      </x:c>
      <x:c r="AC1229" s="2" t="str">
        <x:f>IF(AD1229&lt;&gt;1,"",COUNTIFS($Z$1224:$Z$1237,"&lt;"&amp;Z1229,$AD$1224:$AD$1237,1)+COUNTIFS($Z$1224:$Z$1237,Z1229,$AB$1224:$AB$1237,"&gt;"&amp;AB1229,$AD$1224:$AD$1237,1)+COUNTIFS($Z$1224:$Z$1237,Z1229,$AB$1224:$AB$1237,AB1229,$V$1224:$V$1237,"&gt;"&amp;V1229,$AD$1224:$AD$1237,1)+COUNTIFS($Z$1224:Z1229,Z1229,$AB$1224:AB1229,AB1229,$V$1224:V1229,V1229,$AD$1224:AD1229,1))</x:f>
      </x:c>
      <x:c r="AD1229" s="2" t="n">
        <x:f>IF(OR(AA1229="DEFENSIV",AA1229="PRUDENT",AA1229="MODERAT",AA1229="RIDICAT"),1,0)</x:f>
        <x:v>0</x:v>
      </x:c>
      <x:c r="AE1229" s="2" t="str">
        <x:f>IF(AD1229&lt;&gt;1,"NO",IF(W1229="PASS","YES",IF(W1229="OOS PENDING","CONDITIONAL","NO")))</x:f>
        <x:v>NO</x:v>
      </x:c>
      <x:c r="AF1229" s="2" t="n">
        <x:f>IF(AND(AD1229=1,AC1229=1,E1229="LIVE"),1,0)</x:f>
        <x:v>0</x:v>
      </x:c>
      <x:c r="AG1229" s="2" t="str">
        <x:f>IF(AF1229&lt;&gt;1,"",'Dashboard'!P113)</x:f>
      </x:c>
      <x:c r="AH1229" s="2" t="str">
        <x:f>IF(B1229="","",IF(J1229&lt;&gt;"PASS",'Motor_Meciuri'!J93,IF('Calibrare_Linii'!U11&lt;&gt;"VALID","Parametri linie invalizi",IF(L1229&gt;'Config_v6'!$B$13,"Dispersie peste limita",IF(W1229="WATCH","Failure peste limita",IF(AB1229&lt;'Config_v6'!$B$16,"P finala sub prag",IF(V1229&lt;'Config_v6'!$B$18,"Confidence sub prag",IF(E1229="REPLAY","Exemplu retrospectiv; exclus din Top LIVE",IF(Y1229="PASS","DEFENSIV validat",IF(W1229="OOS PENDING","Eligibil; calibrare linie in monitorizare","Eligibil"))))))))))</x:f>
      </x:c>
      <x:c r="AI1229" s="2" t="str">
        <x:f>IF(B1229="","",'Calibrare_Linii'!V11)</x:f>
      </x:c>
      <x:c r="AJ1229" s="2" t="str">
        <x:f>IF(B1229="","",IF(AND('Calibrare_Linii'!T11="VALIDATED",AND('Calibrare_Linii'!H11=C1229,ISNUMBER('Calibrare_Linii'!J11),'Calibrare_Linii'!J11&lt;='Input_Meci'!G93)),"DEFENSIVE VALIDATED",IF(AND('Calibrare_Linii'!S11="VALIDATED",AND('Calibrare_Linii'!H11=C1229,ISNUMBER('Calibrare_Linii'!J11),'Calibrare_Linii'!J11&lt;='Input_Meci'!G93)),"TAIL VALIDATED","OOS PENDING")))</x:f>
      </x:c>
      <x:c r="AK1229" s="2" t="n">
        <x:f>IF(J1229&lt;&gt;"PASS",0,'Motor_Meciuri'!BR93)</x:f>
        <x:v>0</x:v>
      </x:c>
      <x:c r="AL1229" s="2" t="n">
        <x:f>IF(J1229&lt;&gt;"PASS",0,'Motor_Meciuri'!BS93)</x:f>
        <x:v>0</x:v>
      </x:c>
      <x:c r="AM1229" s="2" t="n">
        <x:f>IF(J1229&lt;&gt;"PASS",0,'Motor_Meciuri'!BT93)</x:f>
        <x:v>0</x:v>
      </x:c>
      <x:c r="AN1229" s="2" t="str">
        <x:f>IF(M1229="","",MAX(0,'Motor_Meciuri'!BF93-IF(L1229&gt;'Config_v6'!$B$12,'Config_v6'!$B$37,IF(L1229&gt;'Config_v6'!$B$11,'Config_v6'!$B$36,0))))</x:f>
      </x:c>
    </x:row>
    <x:row r="1230" ht="21" customHeight="1">
      <x:c r="A1230" s="2" t="n">
        <x:v>88</x:v>
      </x:c>
      <x:c r="B1230" s="2" t="str">
        <x:f>IF('Motor_Meciuri'!A93="","",'Motor_Meciuri'!A93)</x:f>
      </x:c>
      <x:c r="C1230" s="2" t="str">
        <x:f>IF(B1230="","",'Motor_Meciuri'!B93)</x:f>
      </x:c>
      <x:c r="D1230" s="2" t="str">
        <x:f>IF(B1230="","",'Motor_Meciuri'!D93)</x:f>
      </x:c>
      <x:c r="E1230" s="2" t="str">
        <x:f>IF(B1230="","",'Motor_Meciuri'!E93)</x:f>
      </x:c>
      <x:c r="F1230" s="2" t="str">
        <x:v>U10,5</x:v>
      </x:c>
      <x:c r="G1230" s="2" t="str">
        <x:v>UNDER</x:v>
      </x:c>
      <x:c r="H1230" s="2" t="n">
        <x:v>10</x:v>
      </x:c>
      <x:c r="I1230" s="2" t="str">
        <x:f>IF(B1230="","",'Motor_Meciuri'!H93)</x:f>
      </x:c>
      <x:c r="J1230" s="2" t="str">
        <x:f>IF(B1230="","",'Motor_Meciuri'!I93)</x:f>
      </x:c>
      <x:c r="K1230" s="11" t="str">
        <x:f>IF(J1230&lt;&gt;"PASS","",'Motor_Meciuri'!BD93)</x:f>
      </x:c>
      <x:c r="L1230" s="11" t="str">
        <x:f>IF(J1230&lt;&gt;"PASS","",'Motor_Meciuri'!AU93)</x:f>
      </x:c>
      <x:c r="M1230" s="10" t="str">
        <x:f>IF(NOT(AND(J1230="PASS",'Calibrare_Linii'!U12="VALID")),"",'Distributie'!AH93)</x:f>
      </x:c>
      <x:c r="N1230" s="10" t="str">
        <x:f>IF(M1230="","",MAX(0.01,MIN(0.99,0.5+(M1230-0.5)*'Motor_Meciuri'!BG93*'Calibrare_Linii'!D12)))</x:f>
      </x:c>
      <x:c r="O1230" s="10" t="str">
        <x:f>IF(M1230="","",1-M1230)</x:f>
      </x:c>
      <x:c r="P1230" s="10" t="str">
        <x:f>IF(OR(NOT(AND(J1230="PASS",'Calibrare_Linii'!U12="VALID")),AK1230=0),""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*('Istoric_Nativ'!$Q$6:$Q$405&gt;H1230))/AK1230)</x:f>
      </x:c>
      <x:c r="Q1230" s="10" t="str">
        <x:f>IF(OR(NOT(AND(J1230="PASS",'Calibrare_Linii'!U12="VALID")),AL1230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M93)+((('Istoric_Nativ'!$E$6:$E$405='Input_Meci'!E93)+('Istoric_Nativ'!$F$6:$F$405='Input_Meci'!E93))&gt;0)*('Istoric_Nativ'!$D$6:$D$405&gt;='Motor_Meciuri'!BN93))&gt;0)*('Istoric_Nativ'!$Q$6:$Q$405&gt;H1230))/AL1230)</x:f>
      </x:c>
      <x:c r="R1230" s="10" t="str">
        <x:f>IF(OR(NOT(AND(J1230="PASS",'Calibrare_Linii'!U12="VALID")),AM1230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O93)+((('Istoric_Nativ'!$E$6:$E$405='Input_Meci'!E93)+('Istoric_Nativ'!$F$6:$F$405='Input_Meci'!E93))&gt;0)*('Istoric_Nativ'!$D$6:$D$405&gt;='Motor_Meciuri'!BP93))&gt;0)*('Istoric_Nativ'!$Q$6:$Q$405&gt;H1230))/AM1230)</x:f>
      </x:c>
      <x:c r="S1230" s="10" t="str">
        <x:f>IF(M1230="","",MAX(O1230,P1230,Q1230,R1230))</x:f>
      </x:c>
      <x:c r="T1230" s="11" t="str">
        <x:f>IF(M1230="","",MIN(100,S1230*100*'Config_v6'!$B$44+MIN(100,L1230/'Config_v6'!$B$13*100)*'Config_v6'!$B$45+(100-'Motor_Meciuri'!BF93)*'Config_v6'!$B$46+'Motor_Meciuri'!BH93*100*'Config_v6'!$B$47))</x:f>
      </x:c>
      <x:c r="U1230" s="2" t="str">
        <x:f>IF(T1230="","",IF(T1230&lt;=20,1,IF(T1230&lt;=40,2,IF(T1230&lt;=60,3,IF(T1230&lt;=80,4,5)))))</x:f>
      </x:c>
      <x:c r="V1230" s="2" t="str">
        <x:f>IF(M1230="","",MAX(0,'Motor_Meciuri'!BF93-IF(W1230="OOS PENDING",'Config_v6'!$B$35,0)-IF(L1230&gt;'Config_v6'!$B$12,'Config_v6'!$B$37,IF(L1230&gt;'Config_v6'!$B$11,'Config_v6'!$B$36,0))))</x:f>
      </x:c>
      <x:c r="W1230" s="2" t="str">
        <x:f>IF(B1230="","",IF(I1230&lt;&gt;"READY","NOT RELEASED",IF(NOT(AND(J1230="PASS",'Calibrare_Linii'!U12="VALID")),"INVALID",IF(NOT(AND('Calibrare_Linii'!S12="VALIDATED",AND('Calibrare_Linii'!H12=C1230,ISNUMBER('Calibrare_Linii'!J12),'Calibrare_Linii'!J12&lt;='Input_Meci'!G93))),"OOS PENDING",IF(S1230&lt;='Calibrare_Linii'!E12,"PASS",IF(S1230&lt;='Calibrare_Linii'!F12,"PENALTY","WATCH"))))))</x:f>
      </x:c>
      <x:c r="X1230" s="2" t="str">
        <x:f>IF(M1230="","",IF(AND(AND(J1230="PASS",'Calibrare_Linii'!U12="VALID"),'Motor_Meciuri'!K93=12,'Motor_Meciuri'!L93=12,'Motor_Meciuri'!M93="NO",'Motor_Meciuri'!BL93='Motor_Meciuri'!C93,AB1230&gt;='Config_v6'!$B$50,AN1230&gt;='Config_v6'!$B$51,T1230&lt;='Config_v6'!$B$52,L1230&lt;='Config_v6'!$B$53,ISNUMBER('Calibrare_Linii'!E12),S1230&lt;='Calibrare_Linii'!E12,SUM(AK1230:AM1230)&gt;0),"CANDIDATE","NO"))</x:f>
      </x:c>
      <x:c r="Y1230" s="2" t="str">
        <x:f>IF(B1230="","",IF(I1230&lt;&gt;"READY","NOT RELEASED",IF(AND(X1230="CANDIDATE",V1230&gt;='Config_v6'!$B$51,W1230="PASS",'Calibrare_Linii'!T12="VALIDATED",AND('Calibrare_Linii'!H12=C1230,ISNUMBER('Calibrare_Linii'!J12),'Calibrare_Linii'!J12&lt;='Input_Meci'!G93)),"PASS",IF(X1230="CANDIDATE","OOS PENDING","FAIL"))))</x:f>
      </x:c>
      <x:c r="Z1230" s="2" t="str">
        <x:f>IF(B1230="","",IF(I1230&lt;&gt;"READY","",IF(OR(NOT(AND(J1230="PASS",'Calibrare_Linii'!U12="VALID")),L1230&gt;'Config_v6'!$B$13,W1230="WATCH"),5,IF(Y1230="PASS",1,MIN(5,MAX('Config_v6'!$B$42,U1230)+IF(W1230="PENALTY",1,0))))))</x:f>
      </x:c>
      <x:c r="AA1230" s="2" t="str">
        <x:f>IF(B1230="","",IF(I1230&lt;&gt;"READY","NOT RELEASED",IF(Z1230=5,"NO BET",IF(OR(AB1230&lt;'Config_v6'!$B$16,V1230&lt;'Config_v6'!$B$18),"WATCH",IF(Z1230=1,"DEFENSIV",IF(Z1230=2,"PRUDENT",IF(Z1230=3,"MODERAT","RIDICAT")))))))</x:f>
      </x:c>
      <x:c r="AB1230" s="10" t="str">
        <x:f>IF(N1230="","",MIN(N1230,1-S1230))</x:f>
      </x:c>
      <x:c r="AC1230" s="2" t="str">
        <x:f>IF(AD1230&lt;&gt;1,"",COUNTIFS($Z$1224:$Z$1237,"&lt;"&amp;Z1230,$AD$1224:$AD$1237,1)+COUNTIFS($Z$1224:$Z$1237,Z1230,$AB$1224:$AB$1237,"&gt;"&amp;AB1230,$AD$1224:$AD$1237,1)+COUNTIFS($Z$1224:$Z$1237,Z1230,$AB$1224:$AB$1237,AB1230,$V$1224:$V$1237,"&gt;"&amp;V1230,$AD$1224:$AD$1237,1)+COUNTIFS($Z$1224:Z1230,Z1230,$AB$1224:AB1230,AB1230,$V$1224:V1230,V1230,$AD$1224:AD1230,1))</x:f>
      </x:c>
      <x:c r="AD1230" s="2" t="n">
        <x:f>IF(OR(AA1230="DEFENSIV",AA1230="PRUDENT",AA1230="MODERAT",AA1230="RIDICAT"),1,0)</x:f>
        <x:v>0</x:v>
      </x:c>
      <x:c r="AE1230" s="2" t="str">
        <x:f>IF(AD1230&lt;&gt;1,"NO",IF(W1230="PASS","YES",IF(W1230="OOS PENDING","CONDITIONAL","NO")))</x:f>
        <x:v>NO</x:v>
      </x:c>
      <x:c r="AF1230" s="2" t="n">
        <x:f>IF(AND(AD1230=1,AC1230=1,E1230="LIVE"),1,0)</x:f>
        <x:v>0</x:v>
      </x:c>
      <x:c r="AG1230" s="2" t="str">
        <x:f>IF(AF1230&lt;&gt;1,"",'Dashboard'!P113)</x:f>
      </x:c>
      <x:c r="AH1230" s="2" t="str">
        <x:f>IF(B1230="","",IF(J1230&lt;&gt;"PASS",'Motor_Meciuri'!J93,IF('Calibrare_Linii'!U12&lt;&gt;"VALID","Parametri linie invalizi",IF(L1230&gt;'Config_v6'!$B$13,"Dispersie peste limita",IF(W1230="WATCH","Failure peste limita",IF(AB1230&lt;'Config_v6'!$B$16,"P finala sub prag",IF(V1230&lt;'Config_v6'!$B$18,"Confidence sub prag",IF(E1230="REPLAY","Exemplu retrospectiv; exclus din Top LIVE",IF(Y1230="PASS","DEFENSIV validat",IF(W1230="OOS PENDING","Eligibil; calibrare linie in monitorizare","Eligibil"))))))))))</x:f>
      </x:c>
      <x:c r="AI1230" s="2" t="str">
        <x:f>IF(B1230="","",'Calibrare_Linii'!V12)</x:f>
      </x:c>
      <x:c r="AJ1230" s="2" t="str">
        <x:f>IF(B1230="","",IF(AND('Calibrare_Linii'!T12="VALIDATED",AND('Calibrare_Linii'!H12=C1230,ISNUMBER('Calibrare_Linii'!J12),'Calibrare_Linii'!J12&lt;='Input_Meci'!G93)),"DEFENSIVE VALIDATED",IF(AND('Calibrare_Linii'!S12="VALIDATED",AND('Calibrare_Linii'!H12=C1230,ISNUMBER('Calibrare_Linii'!J12),'Calibrare_Linii'!J12&lt;='Input_Meci'!G93)),"TAIL VALIDATED","OOS PENDING")))</x:f>
      </x:c>
      <x:c r="AK1230" s="2" t="n">
        <x:f>IF(J1230&lt;&gt;"PASS",0,'Motor_Meciuri'!BR93)</x:f>
        <x:v>0</x:v>
      </x:c>
      <x:c r="AL1230" s="2" t="n">
        <x:f>IF(J1230&lt;&gt;"PASS",0,'Motor_Meciuri'!BS93)</x:f>
        <x:v>0</x:v>
      </x:c>
      <x:c r="AM1230" s="2" t="n">
        <x:f>IF(J1230&lt;&gt;"PASS",0,'Motor_Meciuri'!BT93)</x:f>
        <x:v>0</x:v>
      </x:c>
      <x:c r="AN1230" s="2" t="str">
        <x:f>IF(M1230="","",MAX(0,'Motor_Meciuri'!BF93-IF(L1230&gt;'Config_v6'!$B$12,'Config_v6'!$B$37,IF(L1230&gt;'Config_v6'!$B$11,'Config_v6'!$B$36,0))))</x:f>
      </x:c>
    </x:row>
    <x:row r="1231" ht="21" customHeight="1">
      <x:c r="A1231" s="2" t="n">
        <x:v>88</x:v>
      </x:c>
      <x:c r="B1231" s="2" t="str">
        <x:f>IF('Motor_Meciuri'!A93="","",'Motor_Meciuri'!A93)</x:f>
      </x:c>
      <x:c r="C1231" s="2" t="str">
        <x:f>IF(B1231="","",'Motor_Meciuri'!B93)</x:f>
      </x:c>
      <x:c r="D1231" s="2" t="str">
        <x:f>IF(B1231="","",'Motor_Meciuri'!D93)</x:f>
      </x:c>
      <x:c r="E1231" s="2" t="str">
        <x:f>IF(B1231="","",'Motor_Meciuri'!E93)</x:f>
      </x:c>
      <x:c r="F1231" s="2" t="str">
        <x:v>U11,5</x:v>
      </x:c>
      <x:c r="G1231" s="2" t="str">
        <x:v>UNDER</x:v>
      </x:c>
      <x:c r="H1231" s="2" t="n">
        <x:v>11</x:v>
      </x:c>
      <x:c r="I1231" s="2" t="str">
        <x:f>IF(B1231="","",'Motor_Meciuri'!H93)</x:f>
      </x:c>
      <x:c r="J1231" s="2" t="str">
        <x:f>IF(B1231="","",'Motor_Meciuri'!I93)</x:f>
      </x:c>
      <x:c r="K1231" s="11" t="str">
        <x:f>IF(J1231&lt;&gt;"PASS","",'Motor_Meciuri'!BD93)</x:f>
      </x:c>
      <x:c r="L1231" s="11" t="str">
        <x:f>IF(J1231&lt;&gt;"PASS","",'Motor_Meciuri'!AU93)</x:f>
      </x:c>
      <x:c r="M1231" s="10" t="str">
        <x:f>IF(NOT(AND(J1231="PASS",'Calibrare_Linii'!U13="VALID")),"",'Distributie'!AI93)</x:f>
      </x:c>
      <x:c r="N1231" s="10" t="str">
        <x:f>IF(M1231="","",MAX(0.01,MIN(0.99,0.5+(M1231-0.5)*'Motor_Meciuri'!BG93*'Calibrare_Linii'!D13)))</x:f>
      </x:c>
      <x:c r="O1231" s="10" t="str">
        <x:f>IF(M1231="","",1-M1231)</x:f>
      </x:c>
      <x:c r="P1231" s="10" t="str">
        <x:f>IF(OR(NOT(AND(J1231="PASS",'Calibrare_Linii'!U13="VALID")),AK1231=0),""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*('Istoric_Nativ'!$Q$6:$Q$405&gt;H1231))/AK1231)</x:f>
      </x:c>
      <x:c r="Q1231" s="10" t="str">
        <x:f>IF(OR(NOT(AND(J1231="PASS",'Calibrare_Linii'!U13="VALID")),AL1231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M93)+((('Istoric_Nativ'!$E$6:$E$405='Input_Meci'!E93)+('Istoric_Nativ'!$F$6:$F$405='Input_Meci'!E93))&gt;0)*('Istoric_Nativ'!$D$6:$D$405&gt;='Motor_Meciuri'!BN93))&gt;0)*('Istoric_Nativ'!$Q$6:$Q$405&gt;H1231))/AL1231)</x:f>
      </x:c>
      <x:c r="R1231" s="10" t="str">
        <x:f>IF(OR(NOT(AND(J1231="PASS",'Calibrare_Linii'!U13="VALID")),AM1231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O93)+((('Istoric_Nativ'!$E$6:$E$405='Input_Meci'!E93)+('Istoric_Nativ'!$F$6:$F$405='Input_Meci'!E93))&gt;0)*('Istoric_Nativ'!$D$6:$D$405&gt;='Motor_Meciuri'!BP93))&gt;0)*('Istoric_Nativ'!$Q$6:$Q$405&gt;H1231))/AM1231)</x:f>
      </x:c>
      <x:c r="S1231" s="10" t="str">
        <x:f>IF(M1231="","",MAX(O1231,P1231,Q1231,R1231))</x:f>
      </x:c>
      <x:c r="T1231" s="11" t="str">
        <x:f>IF(M1231="","",MIN(100,S1231*100*'Config_v6'!$B$44+MIN(100,L1231/'Config_v6'!$B$13*100)*'Config_v6'!$B$45+(100-'Motor_Meciuri'!BF93)*'Config_v6'!$B$46+'Motor_Meciuri'!BH93*100*'Config_v6'!$B$47))</x:f>
      </x:c>
      <x:c r="U1231" s="2" t="str">
        <x:f>IF(T1231="","",IF(T1231&lt;=20,1,IF(T1231&lt;=40,2,IF(T1231&lt;=60,3,IF(T1231&lt;=80,4,5)))))</x:f>
      </x:c>
      <x:c r="V1231" s="2" t="str">
        <x:f>IF(M1231="","",MAX(0,'Motor_Meciuri'!BF93-IF(W1231="OOS PENDING",'Config_v6'!$B$35,0)-IF(L1231&gt;'Config_v6'!$B$12,'Config_v6'!$B$37,IF(L1231&gt;'Config_v6'!$B$11,'Config_v6'!$B$36,0))))</x:f>
      </x:c>
      <x:c r="W1231" s="2" t="str">
        <x:f>IF(B1231="","",IF(I1231&lt;&gt;"READY","NOT RELEASED",IF(NOT(AND(J1231="PASS",'Calibrare_Linii'!U13="VALID")),"INVALID",IF(NOT(AND('Calibrare_Linii'!S13="VALIDATED",AND('Calibrare_Linii'!H13=C1231,ISNUMBER('Calibrare_Linii'!J13),'Calibrare_Linii'!J13&lt;='Input_Meci'!G93))),"OOS PENDING",IF(S1231&lt;='Calibrare_Linii'!E13,"PASS",IF(S1231&lt;='Calibrare_Linii'!F13,"PENALTY","WATCH"))))))</x:f>
      </x:c>
      <x:c r="X1231" s="2" t="str">
        <x:f>IF(M1231="","",IF(AND(AND(J1231="PASS",'Calibrare_Linii'!U13="VALID"),'Motor_Meciuri'!K93=12,'Motor_Meciuri'!L93=12,'Motor_Meciuri'!M93="NO",'Motor_Meciuri'!BL93='Motor_Meciuri'!C93,AB1231&gt;='Config_v6'!$B$50,AN1231&gt;='Config_v6'!$B$51,T1231&lt;='Config_v6'!$B$52,L1231&lt;='Config_v6'!$B$53,ISNUMBER('Calibrare_Linii'!E13),S1231&lt;='Calibrare_Linii'!E13,SUM(AK1231:AM1231)&gt;0),"CANDIDATE","NO"))</x:f>
      </x:c>
      <x:c r="Y1231" s="2" t="str">
        <x:f>IF(B1231="","",IF(I1231&lt;&gt;"READY","NOT RELEASED",IF(AND(X1231="CANDIDATE",V1231&gt;='Config_v6'!$B$51,W1231="PASS",'Calibrare_Linii'!T13="VALIDATED",AND('Calibrare_Linii'!H13=C1231,ISNUMBER('Calibrare_Linii'!J13),'Calibrare_Linii'!J13&lt;='Input_Meci'!G93)),"PASS",IF(X1231="CANDIDATE","OOS PENDING","FAIL"))))</x:f>
      </x:c>
      <x:c r="Z1231" s="2" t="str">
        <x:f>IF(B1231="","",IF(I1231&lt;&gt;"READY","",IF(OR(NOT(AND(J1231="PASS",'Calibrare_Linii'!U13="VALID")),L1231&gt;'Config_v6'!$B$13,W1231="WATCH"),5,IF(Y1231="PASS",1,MIN(5,MAX('Config_v6'!$B$42,U1231)+IF(W1231="PENALTY",1,0))))))</x:f>
      </x:c>
      <x:c r="AA1231" s="2" t="str">
        <x:f>IF(B1231="","",IF(I1231&lt;&gt;"READY","NOT RELEASED",IF(Z1231=5,"NO BET",IF(OR(AB1231&lt;'Config_v6'!$B$16,V1231&lt;'Config_v6'!$B$18),"WATCH",IF(Z1231=1,"DEFENSIV",IF(Z1231=2,"PRUDENT",IF(Z1231=3,"MODERAT","RIDICAT")))))))</x:f>
      </x:c>
      <x:c r="AB1231" s="10" t="str">
        <x:f>IF(N1231="","",MIN(N1231,1-S1231))</x:f>
      </x:c>
      <x:c r="AC1231" s="2" t="str">
        <x:f>IF(AD1231&lt;&gt;1,"",COUNTIFS($Z$1224:$Z$1237,"&lt;"&amp;Z1231,$AD$1224:$AD$1237,1)+COUNTIFS($Z$1224:$Z$1237,Z1231,$AB$1224:$AB$1237,"&gt;"&amp;AB1231,$AD$1224:$AD$1237,1)+COUNTIFS($Z$1224:$Z$1237,Z1231,$AB$1224:$AB$1237,AB1231,$V$1224:$V$1237,"&gt;"&amp;V1231,$AD$1224:$AD$1237,1)+COUNTIFS($Z$1224:Z1231,Z1231,$AB$1224:AB1231,AB1231,$V$1224:V1231,V1231,$AD$1224:AD1231,1))</x:f>
      </x:c>
      <x:c r="AD1231" s="2" t="n">
        <x:f>IF(OR(AA1231="DEFENSIV",AA1231="PRUDENT",AA1231="MODERAT",AA1231="RIDICAT"),1,0)</x:f>
        <x:v>0</x:v>
      </x:c>
      <x:c r="AE1231" s="2" t="str">
        <x:f>IF(AD1231&lt;&gt;1,"NO",IF(W1231="PASS","YES",IF(W1231="OOS PENDING","CONDITIONAL","NO")))</x:f>
        <x:v>NO</x:v>
      </x:c>
      <x:c r="AF1231" s="2" t="n">
        <x:f>IF(AND(AD1231=1,AC1231=1,E1231="LIVE"),1,0)</x:f>
        <x:v>0</x:v>
      </x:c>
      <x:c r="AG1231" s="2" t="str">
        <x:f>IF(AF1231&lt;&gt;1,"",'Dashboard'!P113)</x:f>
      </x:c>
      <x:c r="AH1231" s="2" t="str">
        <x:f>IF(B1231="","",IF(J1231&lt;&gt;"PASS",'Motor_Meciuri'!J93,IF('Calibrare_Linii'!U13&lt;&gt;"VALID","Parametri linie invalizi",IF(L1231&gt;'Config_v6'!$B$13,"Dispersie peste limita",IF(W1231="WATCH","Failure peste limita",IF(AB1231&lt;'Config_v6'!$B$16,"P finala sub prag",IF(V1231&lt;'Config_v6'!$B$18,"Confidence sub prag",IF(E1231="REPLAY","Exemplu retrospectiv; exclus din Top LIVE",IF(Y1231="PASS","DEFENSIV validat",IF(W1231="OOS PENDING","Eligibil; calibrare linie in monitorizare","Eligibil"))))))))))</x:f>
      </x:c>
      <x:c r="AI1231" s="2" t="str">
        <x:f>IF(B1231="","",'Calibrare_Linii'!V13)</x:f>
      </x:c>
      <x:c r="AJ1231" s="2" t="str">
        <x:f>IF(B1231="","",IF(AND('Calibrare_Linii'!T13="VALIDATED",AND('Calibrare_Linii'!H13=C1231,ISNUMBER('Calibrare_Linii'!J13),'Calibrare_Linii'!J13&lt;='Input_Meci'!G93)),"DEFENSIVE VALIDATED",IF(AND('Calibrare_Linii'!S13="VALIDATED",AND('Calibrare_Linii'!H13=C1231,ISNUMBER('Calibrare_Linii'!J13),'Calibrare_Linii'!J13&lt;='Input_Meci'!G93)),"TAIL VALIDATED","OOS PENDING")))</x:f>
      </x:c>
      <x:c r="AK1231" s="2" t="n">
        <x:f>IF(J1231&lt;&gt;"PASS",0,'Motor_Meciuri'!BR93)</x:f>
        <x:v>0</x:v>
      </x:c>
      <x:c r="AL1231" s="2" t="n">
        <x:f>IF(J1231&lt;&gt;"PASS",0,'Motor_Meciuri'!BS93)</x:f>
        <x:v>0</x:v>
      </x:c>
      <x:c r="AM1231" s="2" t="n">
        <x:f>IF(J1231&lt;&gt;"PASS",0,'Motor_Meciuri'!BT93)</x:f>
        <x:v>0</x:v>
      </x:c>
      <x:c r="AN1231" s="2" t="str">
        <x:f>IF(M1231="","",MAX(0,'Motor_Meciuri'!BF93-IF(L1231&gt;'Config_v6'!$B$12,'Config_v6'!$B$37,IF(L1231&gt;'Config_v6'!$B$11,'Config_v6'!$B$36,0))))</x:f>
      </x:c>
    </x:row>
    <x:row r="1232" ht="21" customHeight="1">
      <x:c r="A1232" s="2" t="n">
        <x:v>88</x:v>
      </x:c>
      <x:c r="B1232" s="2" t="str">
        <x:f>IF('Motor_Meciuri'!A93="","",'Motor_Meciuri'!A93)</x:f>
      </x:c>
      <x:c r="C1232" s="2" t="str">
        <x:f>IF(B1232="","",'Motor_Meciuri'!B93)</x:f>
      </x:c>
      <x:c r="D1232" s="2" t="str">
        <x:f>IF(B1232="","",'Motor_Meciuri'!D93)</x:f>
      </x:c>
      <x:c r="E1232" s="2" t="str">
        <x:f>IF(B1232="","",'Motor_Meciuri'!E93)</x:f>
      </x:c>
      <x:c r="F1232" s="2" t="str">
        <x:v>U12,5</x:v>
      </x:c>
      <x:c r="G1232" s="2" t="str">
        <x:v>UNDER</x:v>
      </x:c>
      <x:c r="H1232" s="2" t="n">
        <x:v>12</x:v>
      </x:c>
      <x:c r="I1232" s="2" t="str">
        <x:f>IF(B1232="","",'Motor_Meciuri'!H93)</x:f>
      </x:c>
      <x:c r="J1232" s="2" t="str">
        <x:f>IF(B1232="","",'Motor_Meciuri'!I93)</x:f>
      </x:c>
      <x:c r="K1232" s="11" t="str">
        <x:f>IF(J1232&lt;&gt;"PASS","",'Motor_Meciuri'!BD93)</x:f>
      </x:c>
      <x:c r="L1232" s="11" t="str">
        <x:f>IF(J1232&lt;&gt;"PASS","",'Motor_Meciuri'!AU93)</x:f>
      </x:c>
      <x:c r="M1232" s="10" t="str">
        <x:f>IF(NOT(AND(J1232="PASS",'Calibrare_Linii'!U14="VALID")),"",'Distributie'!AJ93)</x:f>
      </x:c>
      <x:c r="N1232" s="10" t="str">
        <x:f>IF(M1232="","",MAX(0.01,MIN(0.99,0.5+(M1232-0.5)*'Motor_Meciuri'!BG93*'Calibrare_Linii'!D14)))</x:f>
      </x:c>
      <x:c r="O1232" s="10" t="str">
        <x:f>IF(M1232="","",1-M1232)</x:f>
      </x:c>
      <x:c r="P1232" s="10" t="str">
        <x:f>IF(OR(NOT(AND(J1232="PASS",'Calibrare_Linii'!U14="VALID")),AK1232=0),""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*('Istoric_Nativ'!$Q$6:$Q$405&gt;H1232))/AK1232)</x:f>
      </x:c>
      <x:c r="Q1232" s="10" t="str">
        <x:f>IF(OR(NOT(AND(J1232="PASS",'Calibrare_Linii'!U14="VALID")),AL1232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M93)+((('Istoric_Nativ'!$E$6:$E$405='Input_Meci'!E93)+('Istoric_Nativ'!$F$6:$F$405='Input_Meci'!E93))&gt;0)*('Istoric_Nativ'!$D$6:$D$405&gt;='Motor_Meciuri'!BN93))&gt;0)*('Istoric_Nativ'!$Q$6:$Q$405&gt;H1232))/AL1232)</x:f>
      </x:c>
      <x:c r="R1232" s="10" t="str">
        <x:f>IF(OR(NOT(AND(J1232="PASS",'Calibrare_Linii'!U14="VALID")),AM1232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O93)+((('Istoric_Nativ'!$E$6:$E$405='Input_Meci'!E93)+('Istoric_Nativ'!$F$6:$F$405='Input_Meci'!E93))&gt;0)*('Istoric_Nativ'!$D$6:$D$405&gt;='Motor_Meciuri'!BP93))&gt;0)*('Istoric_Nativ'!$Q$6:$Q$405&gt;H1232))/AM1232)</x:f>
      </x:c>
      <x:c r="S1232" s="10" t="str">
        <x:f>IF(M1232="","",MAX(O1232,P1232,Q1232,R1232))</x:f>
      </x:c>
      <x:c r="T1232" s="11" t="str">
        <x:f>IF(M1232="","",MIN(100,S1232*100*'Config_v6'!$B$44+MIN(100,L1232/'Config_v6'!$B$13*100)*'Config_v6'!$B$45+(100-'Motor_Meciuri'!BF93)*'Config_v6'!$B$46+'Motor_Meciuri'!BH93*100*'Config_v6'!$B$47))</x:f>
      </x:c>
      <x:c r="U1232" s="2" t="str">
        <x:f>IF(T1232="","",IF(T1232&lt;=20,1,IF(T1232&lt;=40,2,IF(T1232&lt;=60,3,IF(T1232&lt;=80,4,5)))))</x:f>
      </x:c>
      <x:c r="V1232" s="2" t="str">
        <x:f>IF(M1232="","",MAX(0,'Motor_Meciuri'!BF93-IF(W1232="OOS PENDING",'Config_v6'!$B$35,0)-IF(L1232&gt;'Config_v6'!$B$12,'Config_v6'!$B$37,IF(L1232&gt;'Config_v6'!$B$11,'Config_v6'!$B$36,0))))</x:f>
      </x:c>
      <x:c r="W1232" s="2" t="str">
        <x:f>IF(B1232="","",IF(I1232&lt;&gt;"READY","NOT RELEASED",IF(NOT(AND(J1232="PASS",'Calibrare_Linii'!U14="VALID")),"INVALID",IF(NOT(AND('Calibrare_Linii'!S14="VALIDATED",AND('Calibrare_Linii'!H14=C1232,ISNUMBER('Calibrare_Linii'!J14),'Calibrare_Linii'!J14&lt;='Input_Meci'!G93))),"OOS PENDING",IF(S1232&lt;='Calibrare_Linii'!E14,"PASS",IF(S1232&lt;='Calibrare_Linii'!F14,"PENALTY","WATCH"))))))</x:f>
      </x:c>
      <x:c r="X1232" s="2" t="str">
        <x:f>IF(M1232="","",IF(AND(AND(J1232="PASS",'Calibrare_Linii'!U14="VALID"),'Motor_Meciuri'!K93=12,'Motor_Meciuri'!L93=12,'Motor_Meciuri'!M93="NO",'Motor_Meciuri'!BL93='Motor_Meciuri'!C93,AB1232&gt;='Config_v6'!$B$50,AN1232&gt;='Config_v6'!$B$51,T1232&lt;='Config_v6'!$B$52,L1232&lt;='Config_v6'!$B$53,ISNUMBER('Calibrare_Linii'!E14),S1232&lt;='Calibrare_Linii'!E14,SUM(AK1232:AM1232)&gt;0),"CANDIDATE","NO"))</x:f>
      </x:c>
      <x:c r="Y1232" s="2" t="str">
        <x:f>IF(B1232="","",IF(I1232&lt;&gt;"READY","NOT RELEASED",IF(AND(X1232="CANDIDATE",V1232&gt;='Config_v6'!$B$51,W1232="PASS",'Calibrare_Linii'!T14="VALIDATED",AND('Calibrare_Linii'!H14=C1232,ISNUMBER('Calibrare_Linii'!J14),'Calibrare_Linii'!J14&lt;='Input_Meci'!G93)),"PASS",IF(X1232="CANDIDATE","OOS PENDING","FAIL"))))</x:f>
      </x:c>
      <x:c r="Z1232" s="2" t="str">
        <x:f>IF(B1232="","",IF(I1232&lt;&gt;"READY","",IF(OR(NOT(AND(J1232="PASS",'Calibrare_Linii'!U14="VALID")),L1232&gt;'Config_v6'!$B$13,W1232="WATCH"),5,IF(Y1232="PASS",1,MIN(5,MAX('Config_v6'!$B$42,U1232)+IF(W1232="PENALTY",1,0))))))</x:f>
      </x:c>
      <x:c r="AA1232" s="2" t="str">
        <x:f>IF(B1232="","",IF(I1232&lt;&gt;"READY","NOT RELEASED",IF(Z1232=5,"NO BET",IF(OR(AB1232&lt;'Config_v6'!$B$16,V1232&lt;'Config_v6'!$B$18),"WATCH",IF(Z1232=1,"DEFENSIV",IF(Z1232=2,"PRUDENT",IF(Z1232=3,"MODERAT","RIDICAT")))))))</x:f>
      </x:c>
      <x:c r="AB1232" s="10" t="str">
        <x:f>IF(N1232="","",MIN(N1232,1-S1232))</x:f>
      </x:c>
      <x:c r="AC1232" s="2" t="str">
        <x:f>IF(AD1232&lt;&gt;1,"",COUNTIFS($Z$1224:$Z$1237,"&lt;"&amp;Z1232,$AD$1224:$AD$1237,1)+COUNTIFS($Z$1224:$Z$1237,Z1232,$AB$1224:$AB$1237,"&gt;"&amp;AB1232,$AD$1224:$AD$1237,1)+COUNTIFS($Z$1224:$Z$1237,Z1232,$AB$1224:$AB$1237,AB1232,$V$1224:$V$1237,"&gt;"&amp;V1232,$AD$1224:$AD$1237,1)+COUNTIFS($Z$1224:Z1232,Z1232,$AB$1224:AB1232,AB1232,$V$1224:V1232,V1232,$AD$1224:AD1232,1))</x:f>
      </x:c>
      <x:c r="AD1232" s="2" t="n">
        <x:f>IF(OR(AA1232="DEFENSIV",AA1232="PRUDENT",AA1232="MODERAT",AA1232="RIDICAT"),1,0)</x:f>
        <x:v>0</x:v>
      </x:c>
      <x:c r="AE1232" s="2" t="str">
        <x:f>IF(AD1232&lt;&gt;1,"NO",IF(W1232="PASS","YES",IF(W1232="OOS PENDING","CONDITIONAL","NO")))</x:f>
        <x:v>NO</x:v>
      </x:c>
      <x:c r="AF1232" s="2" t="n">
        <x:f>IF(AND(AD1232=1,AC1232=1,E1232="LIVE"),1,0)</x:f>
        <x:v>0</x:v>
      </x:c>
      <x:c r="AG1232" s="2" t="str">
        <x:f>IF(AF1232&lt;&gt;1,"",'Dashboard'!P113)</x:f>
      </x:c>
      <x:c r="AH1232" s="2" t="str">
        <x:f>IF(B1232="","",IF(J1232&lt;&gt;"PASS",'Motor_Meciuri'!J93,IF('Calibrare_Linii'!U14&lt;&gt;"VALID","Parametri linie invalizi",IF(L1232&gt;'Config_v6'!$B$13,"Dispersie peste limita",IF(W1232="WATCH","Failure peste limita",IF(AB1232&lt;'Config_v6'!$B$16,"P finala sub prag",IF(V1232&lt;'Config_v6'!$B$18,"Confidence sub prag",IF(E1232="REPLAY","Exemplu retrospectiv; exclus din Top LIVE",IF(Y1232="PASS","DEFENSIV validat",IF(W1232="OOS PENDING","Eligibil; calibrare linie in monitorizare","Eligibil"))))))))))</x:f>
      </x:c>
      <x:c r="AI1232" s="2" t="str">
        <x:f>IF(B1232="","",'Calibrare_Linii'!V14)</x:f>
      </x:c>
      <x:c r="AJ1232" s="2" t="str">
        <x:f>IF(B1232="","",IF(AND('Calibrare_Linii'!T14="VALIDATED",AND('Calibrare_Linii'!H14=C1232,ISNUMBER('Calibrare_Linii'!J14),'Calibrare_Linii'!J14&lt;='Input_Meci'!G93)),"DEFENSIVE VALIDATED",IF(AND('Calibrare_Linii'!S14="VALIDATED",AND('Calibrare_Linii'!H14=C1232,ISNUMBER('Calibrare_Linii'!J14),'Calibrare_Linii'!J14&lt;='Input_Meci'!G93)),"TAIL VALIDATED","OOS PENDING")))</x:f>
      </x:c>
      <x:c r="AK1232" s="2" t="n">
        <x:f>IF(J1232&lt;&gt;"PASS",0,'Motor_Meciuri'!BR93)</x:f>
        <x:v>0</x:v>
      </x:c>
      <x:c r="AL1232" s="2" t="n">
        <x:f>IF(J1232&lt;&gt;"PASS",0,'Motor_Meciuri'!BS93)</x:f>
        <x:v>0</x:v>
      </x:c>
      <x:c r="AM1232" s="2" t="n">
        <x:f>IF(J1232&lt;&gt;"PASS",0,'Motor_Meciuri'!BT93)</x:f>
        <x:v>0</x:v>
      </x:c>
      <x:c r="AN1232" s="2" t="str">
        <x:f>IF(M1232="","",MAX(0,'Motor_Meciuri'!BF93-IF(L1232&gt;'Config_v6'!$B$12,'Config_v6'!$B$37,IF(L1232&gt;'Config_v6'!$B$11,'Config_v6'!$B$36,0))))</x:f>
      </x:c>
    </x:row>
    <x:row r="1233" ht="21" customHeight="1">
      <x:c r="A1233" s="2" t="n">
        <x:v>88</x:v>
      </x:c>
      <x:c r="B1233" s="2" t="str">
        <x:f>IF('Motor_Meciuri'!A93="","",'Motor_Meciuri'!A93)</x:f>
      </x:c>
      <x:c r="C1233" s="2" t="str">
        <x:f>IF(B1233="","",'Motor_Meciuri'!B93)</x:f>
      </x:c>
      <x:c r="D1233" s="2" t="str">
        <x:f>IF(B1233="","",'Motor_Meciuri'!D93)</x:f>
      </x:c>
      <x:c r="E1233" s="2" t="str">
        <x:f>IF(B1233="","",'Motor_Meciuri'!E93)</x:f>
      </x:c>
      <x:c r="F1233" s="2" t="str">
        <x:v>U13,5</x:v>
      </x:c>
      <x:c r="G1233" s="2" t="str">
        <x:v>UNDER</x:v>
      </x:c>
      <x:c r="H1233" s="2" t="n">
        <x:v>13</x:v>
      </x:c>
      <x:c r="I1233" s="2" t="str">
        <x:f>IF(B1233="","",'Motor_Meciuri'!H93)</x:f>
      </x:c>
      <x:c r="J1233" s="2" t="str">
        <x:f>IF(B1233="","",'Motor_Meciuri'!I93)</x:f>
      </x:c>
      <x:c r="K1233" s="11" t="str">
        <x:f>IF(J1233&lt;&gt;"PASS","",'Motor_Meciuri'!BD93)</x:f>
      </x:c>
      <x:c r="L1233" s="11" t="str">
        <x:f>IF(J1233&lt;&gt;"PASS","",'Motor_Meciuri'!AU93)</x:f>
      </x:c>
      <x:c r="M1233" s="10" t="str">
        <x:f>IF(NOT(AND(J1233="PASS",'Calibrare_Linii'!U15="VALID")),"",'Distributie'!AK93)</x:f>
      </x:c>
      <x:c r="N1233" s="10" t="str">
        <x:f>IF(M1233="","",MAX(0.01,MIN(0.99,0.5+(M1233-0.5)*'Motor_Meciuri'!BG93*'Calibrare_Linii'!D15)))</x:f>
      </x:c>
      <x:c r="O1233" s="10" t="str">
        <x:f>IF(M1233="","",1-M1233)</x:f>
      </x:c>
      <x:c r="P1233" s="10" t="str">
        <x:f>IF(OR(NOT(AND(J1233="PASS",'Calibrare_Linii'!U15="VALID")),AK1233=0),""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*('Istoric_Nativ'!$Q$6:$Q$405&gt;H1233))/AK1233)</x:f>
      </x:c>
      <x:c r="Q1233" s="10" t="str">
        <x:f>IF(OR(NOT(AND(J1233="PASS",'Calibrare_Linii'!U15="VALID")),AL1233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M93)+((('Istoric_Nativ'!$E$6:$E$405='Input_Meci'!E93)+('Istoric_Nativ'!$F$6:$F$405='Input_Meci'!E93))&gt;0)*('Istoric_Nativ'!$D$6:$D$405&gt;='Motor_Meciuri'!BN93))&gt;0)*('Istoric_Nativ'!$Q$6:$Q$405&gt;H1233))/AL1233)</x:f>
      </x:c>
      <x:c r="R1233" s="10" t="str">
        <x:f>IF(OR(NOT(AND(J1233="PASS",'Calibrare_Linii'!U15="VALID")),AM1233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O93)+((('Istoric_Nativ'!$E$6:$E$405='Input_Meci'!E93)+('Istoric_Nativ'!$F$6:$F$405='Input_Meci'!E93))&gt;0)*('Istoric_Nativ'!$D$6:$D$405&gt;='Motor_Meciuri'!BP93))&gt;0)*('Istoric_Nativ'!$Q$6:$Q$405&gt;H1233))/AM1233)</x:f>
      </x:c>
      <x:c r="S1233" s="10" t="str">
        <x:f>IF(M1233="","",MAX(O1233,P1233,Q1233,R1233))</x:f>
      </x:c>
      <x:c r="T1233" s="11" t="str">
        <x:f>IF(M1233="","",MIN(100,S1233*100*'Config_v6'!$B$44+MIN(100,L1233/'Config_v6'!$B$13*100)*'Config_v6'!$B$45+(100-'Motor_Meciuri'!BF93)*'Config_v6'!$B$46+'Motor_Meciuri'!BH93*100*'Config_v6'!$B$47))</x:f>
      </x:c>
      <x:c r="U1233" s="2" t="str">
        <x:f>IF(T1233="","",IF(T1233&lt;=20,1,IF(T1233&lt;=40,2,IF(T1233&lt;=60,3,IF(T1233&lt;=80,4,5)))))</x:f>
      </x:c>
      <x:c r="V1233" s="2" t="str">
        <x:f>IF(M1233="","",MAX(0,'Motor_Meciuri'!BF93-IF(W1233="OOS PENDING",'Config_v6'!$B$35,0)-IF(L1233&gt;'Config_v6'!$B$12,'Config_v6'!$B$37,IF(L1233&gt;'Config_v6'!$B$11,'Config_v6'!$B$36,0))))</x:f>
      </x:c>
      <x:c r="W1233" s="2" t="str">
        <x:f>IF(B1233="","",IF(I1233&lt;&gt;"READY","NOT RELEASED",IF(NOT(AND(J1233="PASS",'Calibrare_Linii'!U15="VALID")),"INVALID",IF(NOT(AND('Calibrare_Linii'!S15="VALIDATED",AND('Calibrare_Linii'!H15=C1233,ISNUMBER('Calibrare_Linii'!J15),'Calibrare_Linii'!J15&lt;='Input_Meci'!G93))),"OOS PENDING",IF(S1233&lt;='Calibrare_Linii'!E15,"PASS",IF(S1233&lt;='Calibrare_Linii'!F15,"PENALTY","WATCH"))))))</x:f>
      </x:c>
      <x:c r="X1233" s="2" t="str">
        <x:f>IF(M1233="","",IF(AND(AND(J1233="PASS",'Calibrare_Linii'!U15="VALID"),'Motor_Meciuri'!K93=12,'Motor_Meciuri'!L93=12,'Motor_Meciuri'!M93="NO",'Motor_Meciuri'!BL93='Motor_Meciuri'!C93,AB1233&gt;='Config_v6'!$B$50,AN1233&gt;='Config_v6'!$B$51,T1233&lt;='Config_v6'!$B$52,L1233&lt;='Config_v6'!$B$53,ISNUMBER('Calibrare_Linii'!E15),S1233&lt;='Calibrare_Linii'!E15,SUM(AK1233:AM1233)&gt;0),"CANDIDATE","NO"))</x:f>
      </x:c>
      <x:c r="Y1233" s="2" t="str">
        <x:f>IF(B1233="","",IF(I1233&lt;&gt;"READY","NOT RELEASED",IF(AND(X1233="CANDIDATE",V1233&gt;='Config_v6'!$B$51,W1233="PASS",'Calibrare_Linii'!T15="VALIDATED",AND('Calibrare_Linii'!H15=C1233,ISNUMBER('Calibrare_Linii'!J15),'Calibrare_Linii'!J15&lt;='Input_Meci'!G93)),"PASS",IF(X1233="CANDIDATE","OOS PENDING","FAIL"))))</x:f>
      </x:c>
      <x:c r="Z1233" s="2" t="str">
        <x:f>IF(B1233="","",IF(I1233&lt;&gt;"READY","",IF(OR(NOT(AND(J1233="PASS",'Calibrare_Linii'!U15="VALID")),L1233&gt;'Config_v6'!$B$13,W1233="WATCH"),5,IF(Y1233="PASS",1,MIN(5,MAX('Config_v6'!$B$42,U1233)+IF(W1233="PENALTY",1,0))))))</x:f>
      </x:c>
      <x:c r="AA1233" s="2" t="str">
        <x:f>IF(B1233="","",IF(I1233&lt;&gt;"READY","NOT RELEASED",IF(Z1233=5,"NO BET",IF(OR(AB1233&lt;'Config_v6'!$B$16,V1233&lt;'Config_v6'!$B$18),"WATCH",IF(Z1233=1,"DEFENSIV",IF(Z1233=2,"PRUDENT",IF(Z1233=3,"MODERAT","RIDICAT")))))))</x:f>
      </x:c>
      <x:c r="AB1233" s="10" t="str">
        <x:f>IF(N1233="","",MIN(N1233,1-S1233))</x:f>
      </x:c>
      <x:c r="AC1233" s="2" t="str">
        <x:f>IF(AD1233&lt;&gt;1,"",COUNTIFS($Z$1224:$Z$1237,"&lt;"&amp;Z1233,$AD$1224:$AD$1237,1)+COUNTIFS($Z$1224:$Z$1237,Z1233,$AB$1224:$AB$1237,"&gt;"&amp;AB1233,$AD$1224:$AD$1237,1)+COUNTIFS($Z$1224:$Z$1237,Z1233,$AB$1224:$AB$1237,AB1233,$V$1224:$V$1237,"&gt;"&amp;V1233,$AD$1224:$AD$1237,1)+COUNTIFS($Z$1224:Z1233,Z1233,$AB$1224:AB1233,AB1233,$V$1224:V1233,V1233,$AD$1224:AD1233,1))</x:f>
      </x:c>
      <x:c r="AD1233" s="2" t="n">
        <x:f>IF(OR(AA1233="DEFENSIV",AA1233="PRUDENT",AA1233="MODERAT",AA1233="RIDICAT"),1,0)</x:f>
        <x:v>0</x:v>
      </x:c>
      <x:c r="AE1233" s="2" t="str">
        <x:f>IF(AD1233&lt;&gt;1,"NO",IF(W1233="PASS","YES",IF(W1233="OOS PENDING","CONDITIONAL","NO")))</x:f>
        <x:v>NO</x:v>
      </x:c>
      <x:c r="AF1233" s="2" t="n">
        <x:f>IF(AND(AD1233=1,AC1233=1,E1233="LIVE"),1,0)</x:f>
        <x:v>0</x:v>
      </x:c>
      <x:c r="AG1233" s="2" t="str">
        <x:f>IF(AF1233&lt;&gt;1,"",'Dashboard'!P113)</x:f>
      </x:c>
      <x:c r="AH1233" s="2" t="str">
        <x:f>IF(B1233="","",IF(J1233&lt;&gt;"PASS",'Motor_Meciuri'!J93,IF('Calibrare_Linii'!U15&lt;&gt;"VALID","Parametri linie invalizi",IF(L1233&gt;'Config_v6'!$B$13,"Dispersie peste limita",IF(W1233="WATCH","Failure peste limita",IF(AB1233&lt;'Config_v6'!$B$16,"P finala sub prag",IF(V1233&lt;'Config_v6'!$B$18,"Confidence sub prag",IF(E1233="REPLAY","Exemplu retrospectiv; exclus din Top LIVE",IF(Y1233="PASS","DEFENSIV validat",IF(W1233="OOS PENDING","Eligibil; calibrare linie in monitorizare","Eligibil"))))))))))</x:f>
      </x:c>
      <x:c r="AI1233" s="2" t="str">
        <x:f>IF(B1233="","",'Calibrare_Linii'!V15)</x:f>
      </x:c>
      <x:c r="AJ1233" s="2" t="str">
        <x:f>IF(B1233="","",IF(AND('Calibrare_Linii'!T15="VALIDATED",AND('Calibrare_Linii'!H15=C1233,ISNUMBER('Calibrare_Linii'!J15),'Calibrare_Linii'!J15&lt;='Input_Meci'!G93)),"DEFENSIVE VALIDATED",IF(AND('Calibrare_Linii'!S15="VALIDATED",AND('Calibrare_Linii'!H15=C1233,ISNUMBER('Calibrare_Linii'!J15),'Calibrare_Linii'!J15&lt;='Input_Meci'!G93)),"TAIL VALIDATED","OOS PENDING")))</x:f>
      </x:c>
      <x:c r="AK1233" s="2" t="n">
        <x:f>IF(J1233&lt;&gt;"PASS",0,'Motor_Meciuri'!BR93)</x:f>
        <x:v>0</x:v>
      </x:c>
      <x:c r="AL1233" s="2" t="n">
        <x:f>IF(J1233&lt;&gt;"PASS",0,'Motor_Meciuri'!BS93)</x:f>
        <x:v>0</x:v>
      </x:c>
      <x:c r="AM1233" s="2" t="n">
        <x:f>IF(J1233&lt;&gt;"PASS",0,'Motor_Meciuri'!BT93)</x:f>
        <x:v>0</x:v>
      </x:c>
      <x:c r="AN1233" s="2" t="str">
        <x:f>IF(M1233="","",MAX(0,'Motor_Meciuri'!BF93-IF(L1233&gt;'Config_v6'!$B$12,'Config_v6'!$B$37,IF(L1233&gt;'Config_v6'!$B$11,'Config_v6'!$B$36,0))))</x:f>
      </x:c>
    </x:row>
    <x:row r="1234" ht="21" customHeight="1">
      <x:c r="A1234" s="2" t="n">
        <x:v>88</x:v>
      </x:c>
      <x:c r="B1234" s="2" t="str">
        <x:f>IF('Motor_Meciuri'!A93="","",'Motor_Meciuri'!A93)</x:f>
      </x:c>
      <x:c r="C1234" s="2" t="str">
        <x:f>IF(B1234="","",'Motor_Meciuri'!B93)</x:f>
      </x:c>
      <x:c r="D1234" s="2" t="str">
        <x:f>IF(B1234="","",'Motor_Meciuri'!D93)</x:f>
      </x:c>
      <x:c r="E1234" s="2" t="str">
        <x:f>IF(B1234="","",'Motor_Meciuri'!E93)</x:f>
      </x:c>
      <x:c r="F1234" s="2" t="str">
        <x:v>U14,5</x:v>
      </x:c>
      <x:c r="G1234" s="2" t="str">
        <x:v>UNDER</x:v>
      </x:c>
      <x:c r="H1234" s="2" t="n">
        <x:v>14</x:v>
      </x:c>
      <x:c r="I1234" s="2" t="str">
        <x:f>IF(B1234="","",'Motor_Meciuri'!H93)</x:f>
      </x:c>
      <x:c r="J1234" s="2" t="str">
        <x:f>IF(B1234="","",'Motor_Meciuri'!I93)</x:f>
      </x:c>
      <x:c r="K1234" s="11" t="str">
        <x:f>IF(J1234&lt;&gt;"PASS","",'Motor_Meciuri'!BD93)</x:f>
      </x:c>
      <x:c r="L1234" s="11" t="str">
        <x:f>IF(J1234&lt;&gt;"PASS","",'Motor_Meciuri'!AU93)</x:f>
      </x:c>
      <x:c r="M1234" s="10" t="str">
        <x:f>IF(NOT(AND(J1234="PASS",'Calibrare_Linii'!U16="VALID")),"",'Distributie'!AL93)</x:f>
      </x:c>
      <x:c r="N1234" s="10" t="str">
        <x:f>IF(M1234="","",MAX(0.01,MIN(0.99,0.5+(M1234-0.5)*'Motor_Meciuri'!BG93*'Calibrare_Linii'!D16)))</x:f>
      </x:c>
      <x:c r="O1234" s="10" t="str">
        <x:f>IF(M1234="","",1-M1234)</x:f>
      </x:c>
      <x:c r="P1234" s="10" t="str">
        <x:f>IF(OR(NOT(AND(J1234="PASS",'Calibrare_Linii'!U16="VALID")),AK1234=0),""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*('Istoric_Nativ'!$Q$6:$Q$405&gt;H1234))/AK1234)</x:f>
      </x:c>
      <x:c r="Q1234" s="10" t="str">
        <x:f>IF(OR(NOT(AND(J1234="PASS",'Calibrare_Linii'!U16="VALID")),AL1234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M93)+((('Istoric_Nativ'!$E$6:$E$405='Input_Meci'!E93)+('Istoric_Nativ'!$F$6:$F$405='Input_Meci'!E93))&gt;0)*('Istoric_Nativ'!$D$6:$D$405&gt;='Motor_Meciuri'!BN93))&gt;0)*('Istoric_Nativ'!$Q$6:$Q$405&gt;H1234))/AL1234)</x:f>
      </x:c>
      <x:c r="R1234" s="10" t="str">
        <x:f>IF(OR(NOT(AND(J1234="PASS",'Calibrare_Linii'!U16="VALID")),AM1234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O93)+((('Istoric_Nativ'!$E$6:$E$405='Input_Meci'!E93)+('Istoric_Nativ'!$F$6:$F$405='Input_Meci'!E93))&gt;0)*('Istoric_Nativ'!$D$6:$D$405&gt;='Motor_Meciuri'!BP93))&gt;0)*('Istoric_Nativ'!$Q$6:$Q$405&gt;H1234))/AM1234)</x:f>
      </x:c>
      <x:c r="S1234" s="10" t="str">
        <x:f>IF(M1234="","",MAX(O1234,P1234,Q1234,R1234))</x:f>
      </x:c>
      <x:c r="T1234" s="11" t="str">
        <x:f>IF(M1234="","",MIN(100,S1234*100*'Config_v6'!$B$44+MIN(100,L1234/'Config_v6'!$B$13*100)*'Config_v6'!$B$45+(100-'Motor_Meciuri'!BF93)*'Config_v6'!$B$46+'Motor_Meciuri'!BH93*100*'Config_v6'!$B$47))</x:f>
      </x:c>
      <x:c r="U1234" s="2" t="str">
        <x:f>IF(T1234="","",IF(T1234&lt;=20,1,IF(T1234&lt;=40,2,IF(T1234&lt;=60,3,IF(T1234&lt;=80,4,5)))))</x:f>
      </x:c>
      <x:c r="V1234" s="2" t="str">
        <x:f>IF(M1234="","",MAX(0,'Motor_Meciuri'!BF93-IF(W1234="OOS PENDING",'Config_v6'!$B$35,0)-IF(L1234&gt;'Config_v6'!$B$12,'Config_v6'!$B$37,IF(L1234&gt;'Config_v6'!$B$11,'Config_v6'!$B$36,0))))</x:f>
      </x:c>
      <x:c r="W1234" s="2" t="str">
        <x:f>IF(B1234="","",IF(I1234&lt;&gt;"READY","NOT RELEASED",IF(NOT(AND(J1234="PASS",'Calibrare_Linii'!U16="VALID")),"INVALID",IF(NOT(AND('Calibrare_Linii'!S16="VALIDATED",AND('Calibrare_Linii'!H16=C1234,ISNUMBER('Calibrare_Linii'!J16),'Calibrare_Linii'!J16&lt;='Input_Meci'!G93))),"OOS PENDING",IF(S1234&lt;='Calibrare_Linii'!E16,"PASS",IF(S1234&lt;='Calibrare_Linii'!F16,"PENALTY","WATCH"))))))</x:f>
      </x:c>
      <x:c r="X1234" s="2" t="str">
        <x:f>IF(M1234="","",IF(AND(AND(J1234="PASS",'Calibrare_Linii'!U16="VALID"),'Motor_Meciuri'!K93=12,'Motor_Meciuri'!L93=12,'Motor_Meciuri'!M93="NO",'Motor_Meciuri'!BL93='Motor_Meciuri'!C93,AB1234&gt;='Config_v6'!$B$50,AN1234&gt;='Config_v6'!$B$51,T1234&lt;='Config_v6'!$B$52,L1234&lt;='Config_v6'!$B$53,ISNUMBER('Calibrare_Linii'!E16),S1234&lt;='Calibrare_Linii'!E16,SUM(AK1234:AM1234)&gt;0),"CANDIDATE","NO"))</x:f>
      </x:c>
      <x:c r="Y1234" s="2" t="str">
        <x:f>IF(B1234="","",IF(I1234&lt;&gt;"READY","NOT RELEASED",IF(AND(X1234="CANDIDATE",V1234&gt;='Config_v6'!$B$51,W1234="PASS",'Calibrare_Linii'!T16="VALIDATED",AND('Calibrare_Linii'!H16=C1234,ISNUMBER('Calibrare_Linii'!J16),'Calibrare_Linii'!J16&lt;='Input_Meci'!G93)),"PASS",IF(X1234="CANDIDATE","OOS PENDING","FAIL"))))</x:f>
      </x:c>
      <x:c r="Z1234" s="2" t="str">
        <x:f>IF(B1234="","",IF(I1234&lt;&gt;"READY","",IF(OR(NOT(AND(J1234="PASS",'Calibrare_Linii'!U16="VALID")),L1234&gt;'Config_v6'!$B$13,W1234="WATCH"),5,IF(Y1234="PASS",1,MIN(5,MAX('Config_v6'!$B$42,U1234)+IF(W1234="PENALTY",1,0))))))</x:f>
      </x:c>
      <x:c r="AA1234" s="2" t="str">
        <x:f>IF(B1234="","",IF(I1234&lt;&gt;"READY","NOT RELEASED",IF(Z1234=5,"NO BET",IF(OR(AB1234&lt;'Config_v6'!$B$16,V1234&lt;'Config_v6'!$B$18),"WATCH",IF(Z1234=1,"DEFENSIV",IF(Z1234=2,"PRUDENT",IF(Z1234=3,"MODERAT","RIDICAT")))))))</x:f>
      </x:c>
      <x:c r="AB1234" s="10" t="str">
        <x:f>IF(N1234="","",MIN(N1234,1-S1234))</x:f>
      </x:c>
      <x:c r="AC1234" s="2" t="str">
        <x:f>IF(AD1234&lt;&gt;1,"",COUNTIFS($Z$1224:$Z$1237,"&lt;"&amp;Z1234,$AD$1224:$AD$1237,1)+COUNTIFS($Z$1224:$Z$1237,Z1234,$AB$1224:$AB$1237,"&gt;"&amp;AB1234,$AD$1224:$AD$1237,1)+COUNTIFS($Z$1224:$Z$1237,Z1234,$AB$1224:$AB$1237,AB1234,$V$1224:$V$1237,"&gt;"&amp;V1234,$AD$1224:$AD$1237,1)+COUNTIFS($Z$1224:Z1234,Z1234,$AB$1224:AB1234,AB1234,$V$1224:V1234,V1234,$AD$1224:AD1234,1))</x:f>
      </x:c>
      <x:c r="AD1234" s="2" t="n">
        <x:f>IF(OR(AA1234="DEFENSIV",AA1234="PRUDENT",AA1234="MODERAT",AA1234="RIDICAT"),1,0)</x:f>
        <x:v>0</x:v>
      </x:c>
      <x:c r="AE1234" s="2" t="str">
        <x:f>IF(AD1234&lt;&gt;1,"NO",IF(W1234="PASS","YES",IF(W1234="OOS PENDING","CONDITIONAL","NO")))</x:f>
        <x:v>NO</x:v>
      </x:c>
      <x:c r="AF1234" s="2" t="n">
        <x:f>IF(AND(AD1234=1,AC1234=1,E1234="LIVE"),1,0)</x:f>
        <x:v>0</x:v>
      </x:c>
      <x:c r="AG1234" s="2" t="str">
        <x:f>IF(AF1234&lt;&gt;1,"",'Dashboard'!P113)</x:f>
      </x:c>
      <x:c r="AH1234" s="2" t="str">
        <x:f>IF(B1234="","",IF(J1234&lt;&gt;"PASS",'Motor_Meciuri'!J93,IF('Calibrare_Linii'!U16&lt;&gt;"VALID","Parametri linie invalizi",IF(L1234&gt;'Config_v6'!$B$13,"Dispersie peste limita",IF(W1234="WATCH","Failure peste limita",IF(AB1234&lt;'Config_v6'!$B$16,"P finala sub prag",IF(V1234&lt;'Config_v6'!$B$18,"Confidence sub prag",IF(E1234="REPLAY","Exemplu retrospectiv; exclus din Top LIVE",IF(Y1234="PASS","DEFENSIV validat",IF(W1234="OOS PENDING","Eligibil; calibrare linie in monitorizare","Eligibil"))))))))))</x:f>
      </x:c>
      <x:c r="AI1234" s="2" t="str">
        <x:f>IF(B1234="","",'Calibrare_Linii'!V16)</x:f>
      </x:c>
      <x:c r="AJ1234" s="2" t="str">
        <x:f>IF(B1234="","",IF(AND('Calibrare_Linii'!T16="VALIDATED",AND('Calibrare_Linii'!H16=C1234,ISNUMBER('Calibrare_Linii'!J16),'Calibrare_Linii'!J16&lt;='Input_Meci'!G93)),"DEFENSIVE VALIDATED",IF(AND('Calibrare_Linii'!S16="VALIDATED",AND('Calibrare_Linii'!H16=C1234,ISNUMBER('Calibrare_Linii'!J16),'Calibrare_Linii'!J16&lt;='Input_Meci'!G93)),"TAIL VALIDATED","OOS PENDING")))</x:f>
      </x:c>
      <x:c r="AK1234" s="2" t="n">
        <x:f>IF(J1234&lt;&gt;"PASS",0,'Motor_Meciuri'!BR93)</x:f>
        <x:v>0</x:v>
      </x:c>
      <x:c r="AL1234" s="2" t="n">
        <x:f>IF(J1234&lt;&gt;"PASS",0,'Motor_Meciuri'!BS93)</x:f>
        <x:v>0</x:v>
      </x:c>
      <x:c r="AM1234" s="2" t="n">
        <x:f>IF(J1234&lt;&gt;"PASS",0,'Motor_Meciuri'!BT93)</x:f>
        <x:v>0</x:v>
      </x:c>
      <x:c r="AN1234" s="2" t="str">
        <x:f>IF(M1234="","",MAX(0,'Motor_Meciuri'!BF93-IF(L1234&gt;'Config_v6'!$B$12,'Config_v6'!$B$37,IF(L1234&gt;'Config_v6'!$B$11,'Config_v6'!$B$36,0))))</x:f>
      </x:c>
    </x:row>
    <x:row r="1235" ht="21" customHeight="1">
      <x:c r="A1235" s="2" t="n">
        <x:v>88</x:v>
      </x:c>
      <x:c r="B1235" s="2" t="str">
        <x:f>IF('Motor_Meciuri'!A93="","",'Motor_Meciuri'!A93)</x:f>
      </x:c>
      <x:c r="C1235" s="2" t="str">
        <x:f>IF(B1235="","",'Motor_Meciuri'!B93)</x:f>
      </x:c>
      <x:c r="D1235" s="2" t="str">
        <x:f>IF(B1235="","",'Motor_Meciuri'!D93)</x:f>
      </x:c>
      <x:c r="E1235" s="2" t="str">
        <x:f>IF(B1235="","",'Motor_Meciuri'!E93)</x:f>
      </x:c>
      <x:c r="F1235" s="2" t="str">
        <x:v>U15,5</x:v>
      </x:c>
      <x:c r="G1235" s="2" t="str">
        <x:v>UNDER</x:v>
      </x:c>
      <x:c r="H1235" s="2" t="n">
        <x:v>15</x:v>
      </x:c>
      <x:c r="I1235" s="2" t="str">
        <x:f>IF(B1235="","",'Motor_Meciuri'!H93)</x:f>
      </x:c>
      <x:c r="J1235" s="2" t="str">
        <x:f>IF(B1235="","",'Motor_Meciuri'!I93)</x:f>
      </x:c>
      <x:c r="K1235" s="11" t="str">
        <x:f>IF(J1235&lt;&gt;"PASS","",'Motor_Meciuri'!BD93)</x:f>
      </x:c>
      <x:c r="L1235" s="11" t="str">
        <x:f>IF(J1235&lt;&gt;"PASS","",'Motor_Meciuri'!AU93)</x:f>
      </x:c>
      <x:c r="M1235" s="10" t="str">
        <x:f>IF(NOT(AND(J1235="PASS",'Calibrare_Linii'!U17="VALID")),"",'Distributie'!AM93)</x:f>
      </x:c>
      <x:c r="N1235" s="10" t="str">
        <x:f>IF(M1235="","",MAX(0.01,MIN(0.99,0.5+(M1235-0.5)*'Motor_Meciuri'!BG93*'Calibrare_Linii'!D17)))</x:f>
      </x:c>
      <x:c r="O1235" s="10" t="str">
        <x:f>IF(M1235="","",1-M1235)</x:f>
      </x:c>
      <x:c r="P1235" s="10" t="str">
        <x:f>IF(OR(NOT(AND(J1235="PASS",'Calibrare_Linii'!U17="VALID")),AK1235=0),""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*('Istoric_Nativ'!$Q$6:$Q$405&gt;H1235))/AK1235)</x:f>
      </x:c>
      <x:c r="Q1235" s="10" t="str">
        <x:f>IF(OR(NOT(AND(J1235="PASS",'Calibrare_Linii'!U17="VALID")),AL1235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M93)+((('Istoric_Nativ'!$E$6:$E$405='Input_Meci'!E93)+('Istoric_Nativ'!$F$6:$F$405='Input_Meci'!E93))&gt;0)*('Istoric_Nativ'!$D$6:$D$405&gt;='Motor_Meciuri'!BN93))&gt;0)*('Istoric_Nativ'!$Q$6:$Q$405&gt;H1235))/AL1235)</x:f>
      </x:c>
      <x:c r="R1235" s="10" t="str">
        <x:f>IF(OR(NOT(AND(J1235="PASS",'Calibrare_Linii'!U17="VALID")),AM1235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O93)+((('Istoric_Nativ'!$E$6:$E$405='Input_Meci'!E93)+('Istoric_Nativ'!$F$6:$F$405='Input_Meci'!E93))&gt;0)*('Istoric_Nativ'!$D$6:$D$405&gt;='Motor_Meciuri'!BP93))&gt;0)*('Istoric_Nativ'!$Q$6:$Q$405&gt;H1235))/AM1235)</x:f>
      </x:c>
      <x:c r="S1235" s="10" t="str">
        <x:f>IF(M1235="","",MAX(O1235,P1235,Q1235,R1235))</x:f>
      </x:c>
      <x:c r="T1235" s="11" t="str">
        <x:f>IF(M1235="","",MIN(100,S1235*100*'Config_v6'!$B$44+MIN(100,L1235/'Config_v6'!$B$13*100)*'Config_v6'!$B$45+(100-'Motor_Meciuri'!BF93)*'Config_v6'!$B$46+'Motor_Meciuri'!BH93*100*'Config_v6'!$B$47))</x:f>
      </x:c>
      <x:c r="U1235" s="2" t="str">
        <x:f>IF(T1235="","",IF(T1235&lt;=20,1,IF(T1235&lt;=40,2,IF(T1235&lt;=60,3,IF(T1235&lt;=80,4,5)))))</x:f>
      </x:c>
      <x:c r="V1235" s="2" t="str">
        <x:f>IF(M1235="","",MAX(0,'Motor_Meciuri'!BF93-IF(W1235="OOS PENDING",'Config_v6'!$B$35,0)-IF(L1235&gt;'Config_v6'!$B$12,'Config_v6'!$B$37,IF(L1235&gt;'Config_v6'!$B$11,'Config_v6'!$B$36,0))))</x:f>
      </x:c>
      <x:c r="W1235" s="2" t="str">
        <x:f>IF(B1235="","",IF(I1235&lt;&gt;"READY","NOT RELEASED",IF(NOT(AND(J1235="PASS",'Calibrare_Linii'!U17="VALID")),"INVALID",IF(NOT(AND('Calibrare_Linii'!S17="VALIDATED",AND('Calibrare_Linii'!H17=C1235,ISNUMBER('Calibrare_Linii'!J17),'Calibrare_Linii'!J17&lt;='Input_Meci'!G93))),"OOS PENDING",IF(S1235&lt;='Calibrare_Linii'!E17,"PASS",IF(S1235&lt;='Calibrare_Linii'!F17,"PENALTY","WATCH"))))))</x:f>
      </x:c>
      <x:c r="X1235" s="2" t="str">
        <x:f>IF(M1235="","",IF(AND(AND(J1235="PASS",'Calibrare_Linii'!U17="VALID"),'Motor_Meciuri'!K93=12,'Motor_Meciuri'!L93=12,'Motor_Meciuri'!M93="NO",'Motor_Meciuri'!BL93='Motor_Meciuri'!C93,AB1235&gt;='Config_v6'!$B$50,AN1235&gt;='Config_v6'!$B$51,T1235&lt;='Config_v6'!$B$52,L1235&lt;='Config_v6'!$B$53,ISNUMBER('Calibrare_Linii'!E17),S1235&lt;='Calibrare_Linii'!E17,SUM(AK1235:AM1235)&gt;0),"CANDIDATE","NO"))</x:f>
      </x:c>
      <x:c r="Y1235" s="2" t="str">
        <x:f>IF(B1235="","",IF(I1235&lt;&gt;"READY","NOT RELEASED",IF(AND(X1235="CANDIDATE",V1235&gt;='Config_v6'!$B$51,W1235="PASS",'Calibrare_Linii'!T17="VALIDATED",AND('Calibrare_Linii'!H17=C1235,ISNUMBER('Calibrare_Linii'!J17),'Calibrare_Linii'!J17&lt;='Input_Meci'!G93)),"PASS",IF(X1235="CANDIDATE","OOS PENDING","FAIL"))))</x:f>
      </x:c>
      <x:c r="Z1235" s="2" t="str">
        <x:f>IF(B1235="","",IF(I1235&lt;&gt;"READY","",IF(OR(NOT(AND(J1235="PASS",'Calibrare_Linii'!U17="VALID")),L1235&gt;'Config_v6'!$B$13,W1235="WATCH"),5,IF(Y1235="PASS",1,MIN(5,MAX('Config_v6'!$B$42,U1235)+IF(W1235="PENALTY",1,0))))))</x:f>
      </x:c>
      <x:c r="AA1235" s="2" t="str">
        <x:f>IF(B1235="","",IF(I1235&lt;&gt;"READY","NOT RELEASED",IF(Z1235=5,"NO BET",IF(OR(AB1235&lt;'Config_v6'!$B$16,V1235&lt;'Config_v6'!$B$18),"WATCH",IF(Z1235=1,"DEFENSIV",IF(Z1235=2,"PRUDENT",IF(Z1235=3,"MODERAT","RIDICAT")))))))</x:f>
      </x:c>
      <x:c r="AB1235" s="10" t="str">
        <x:f>IF(N1235="","",MIN(N1235,1-S1235))</x:f>
      </x:c>
      <x:c r="AC1235" s="2" t="str">
        <x:f>IF(AD1235&lt;&gt;1,"",COUNTIFS($Z$1224:$Z$1237,"&lt;"&amp;Z1235,$AD$1224:$AD$1237,1)+COUNTIFS($Z$1224:$Z$1237,Z1235,$AB$1224:$AB$1237,"&gt;"&amp;AB1235,$AD$1224:$AD$1237,1)+COUNTIFS($Z$1224:$Z$1237,Z1235,$AB$1224:$AB$1237,AB1235,$V$1224:$V$1237,"&gt;"&amp;V1235,$AD$1224:$AD$1237,1)+COUNTIFS($Z$1224:Z1235,Z1235,$AB$1224:AB1235,AB1235,$V$1224:V1235,V1235,$AD$1224:AD1235,1))</x:f>
      </x:c>
      <x:c r="AD1235" s="2" t="n">
        <x:f>IF(OR(AA1235="DEFENSIV",AA1235="PRUDENT",AA1235="MODERAT",AA1235="RIDICAT"),1,0)</x:f>
        <x:v>0</x:v>
      </x:c>
      <x:c r="AE1235" s="2" t="str">
        <x:f>IF(AD1235&lt;&gt;1,"NO",IF(W1235="PASS","YES",IF(W1235="OOS PENDING","CONDITIONAL","NO")))</x:f>
        <x:v>NO</x:v>
      </x:c>
      <x:c r="AF1235" s="2" t="n">
        <x:f>IF(AND(AD1235=1,AC1235=1,E1235="LIVE"),1,0)</x:f>
        <x:v>0</x:v>
      </x:c>
      <x:c r="AG1235" s="2" t="str">
        <x:f>IF(AF1235&lt;&gt;1,"",'Dashboard'!P113)</x:f>
      </x:c>
      <x:c r="AH1235" s="2" t="str">
        <x:f>IF(B1235="","",IF(J1235&lt;&gt;"PASS",'Motor_Meciuri'!J93,IF('Calibrare_Linii'!U17&lt;&gt;"VALID","Parametri linie invalizi",IF(L1235&gt;'Config_v6'!$B$13,"Dispersie peste limita",IF(W1235="WATCH","Failure peste limita",IF(AB1235&lt;'Config_v6'!$B$16,"P finala sub prag",IF(V1235&lt;'Config_v6'!$B$18,"Confidence sub prag",IF(E1235="REPLAY","Exemplu retrospectiv; exclus din Top LIVE",IF(Y1235="PASS","DEFENSIV validat",IF(W1235="OOS PENDING","Eligibil; calibrare linie in monitorizare","Eligibil"))))))))))</x:f>
      </x:c>
      <x:c r="AI1235" s="2" t="str">
        <x:f>IF(B1235="","",'Calibrare_Linii'!V17)</x:f>
      </x:c>
      <x:c r="AJ1235" s="2" t="str">
        <x:f>IF(B1235="","",IF(AND('Calibrare_Linii'!T17="VALIDATED",AND('Calibrare_Linii'!H17=C1235,ISNUMBER('Calibrare_Linii'!J17),'Calibrare_Linii'!J17&lt;='Input_Meci'!G93)),"DEFENSIVE VALIDATED",IF(AND('Calibrare_Linii'!S17="VALIDATED",AND('Calibrare_Linii'!H17=C1235,ISNUMBER('Calibrare_Linii'!J17),'Calibrare_Linii'!J17&lt;='Input_Meci'!G93)),"TAIL VALIDATED","OOS PENDING")))</x:f>
      </x:c>
      <x:c r="AK1235" s="2" t="n">
        <x:f>IF(J1235&lt;&gt;"PASS",0,'Motor_Meciuri'!BR93)</x:f>
        <x:v>0</x:v>
      </x:c>
      <x:c r="AL1235" s="2" t="n">
        <x:f>IF(J1235&lt;&gt;"PASS",0,'Motor_Meciuri'!BS93)</x:f>
        <x:v>0</x:v>
      </x:c>
      <x:c r="AM1235" s="2" t="n">
        <x:f>IF(J1235&lt;&gt;"PASS",0,'Motor_Meciuri'!BT93)</x:f>
        <x:v>0</x:v>
      </x:c>
      <x:c r="AN1235" s="2" t="str">
        <x:f>IF(M1235="","",MAX(0,'Motor_Meciuri'!BF93-IF(L1235&gt;'Config_v6'!$B$12,'Config_v6'!$B$37,IF(L1235&gt;'Config_v6'!$B$11,'Config_v6'!$B$36,0))))</x:f>
      </x:c>
    </x:row>
    <x:row r="1236" ht="21" customHeight="1">
      <x:c r="A1236" s="2" t="n">
        <x:v>88</x:v>
      </x:c>
      <x:c r="B1236" s="2" t="str">
        <x:f>IF('Motor_Meciuri'!A93="","",'Motor_Meciuri'!A93)</x:f>
      </x:c>
      <x:c r="C1236" s="2" t="str">
        <x:f>IF(B1236="","",'Motor_Meciuri'!B93)</x:f>
      </x:c>
      <x:c r="D1236" s="2" t="str">
        <x:f>IF(B1236="","",'Motor_Meciuri'!D93)</x:f>
      </x:c>
      <x:c r="E1236" s="2" t="str">
        <x:f>IF(B1236="","",'Motor_Meciuri'!E93)</x:f>
      </x:c>
      <x:c r="F1236" s="2" t="str">
        <x:v>U16,5</x:v>
      </x:c>
      <x:c r="G1236" s="2" t="str">
        <x:v>UNDER</x:v>
      </x:c>
      <x:c r="H1236" s="2" t="n">
        <x:v>16</x:v>
      </x:c>
      <x:c r="I1236" s="2" t="str">
        <x:f>IF(B1236="","",'Motor_Meciuri'!H93)</x:f>
      </x:c>
      <x:c r="J1236" s="2" t="str">
        <x:f>IF(B1236="","",'Motor_Meciuri'!I93)</x:f>
      </x:c>
      <x:c r="K1236" s="11" t="str">
        <x:f>IF(J1236&lt;&gt;"PASS","",'Motor_Meciuri'!BD93)</x:f>
      </x:c>
      <x:c r="L1236" s="11" t="str">
        <x:f>IF(J1236&lt;&gt;"PASS","",'Motor_Meciuri'!AU93)</x:f>
      </x:c>
      <x:c r="M1236" s="10" t="str">
        <x:f>IF(NOT(AND(J1236="PASS",'Calibrare_Linii'!U18="VALID")),"",'Distributie'!AN93)</x:f>
      </x:c>
      <x:c r="N1236" s="10" t="str">
        <x:f>IF(M1236="","",MAX(0.01,MIN(0.99,0.5+(M1236-0.5)*'Motor_Meciuri'!BG93*'Calibrare_Linii'!D18)))</x:f>
      </x:c>
      <x:c r="O1236" s="10" t="str">
        <x:f>IF(M1236="","",1-M1236)</x:f>
      </x:c>
      <x:c r="P1236" s="10" t="str">
        <x:f>IF(OR(NOT(AND(J1236="PASS",'Calibrare_Linii'!U18="VALID")),AK1236=0),""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*('Istoric_Nativ'!$Q$6:$Q$405&gt;H1236))/AK1236)</x:f>
      </x:c>
      <x:c r="Q1236" s="10" t="str">
        <x:f>IF(OR(NOT(AND(J1236="PASS",'Calibrare_Linii'!U18="VALID")),AL1236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M93)+((('Istoric_Nativ'!$E$6:$E$405='Input_Meci'!E93)+('Istoric_Nativ'!$F$6:$F$405='Input_Meci'!E93))&gt;0)*('Istoric_Nativ'!$D$6:$D$405&gt;='Motor_Meciuri'!BN93))&gt;0)*('Istoric_Nativ'!$Q$6:$Q$405&gt;H1236))/AL1236)</x:f>
      </x:c>
      <x:c r="R1236" s="10" t="str">
        <x:f>IF(OR(NOT(AND(J1236="PASS",'Calibrare_Linii'!U18="VALID")),AM1236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O93)+((('Istoric_Nativ'!$E$6:$E$405='Input_Meci'!E93)+('Istoric_Nativ'!$F$6:$F$405='Input_Meci'!E93))&gt;0)*('Istoric_Nativ'!$D$6:$D$405&gt;='Motor_Meciuri'!BP93))&gt;0)*('Istoric_Nativ'!$Q$6:$Q$405&gt;H1236))/AM1236)</x:f>
      </x:c>
      <x:c r="S1236" s="10" t="str">
        <x:f>IF(M1236="","",MAX(O1236,P1236,Q1236,R1236))</x:f>
      </x:c>
      <x:c r="T1236" s="11" t="str">
        <x:f>IF(M1236="","",MIN(100,S1236*100*'Config_v6'!$B$44+MIN(100,L1236/'Config_v6'!$B$13*100)*'Config_v6'!$B$45+(100-'Motor_Meciuri'!BF93)*'Config_v6'!$B$46+'Motor_Meciuri'!BH93*100*'Config_v6'!$B$47))</x:f>
      </x:c>
      <x:c r="U1236" s="2" t="str">
        <x:f>IF(T1236="","",IF(T1236&lt;=20,1,IF(T1236&lt;=40,2,IF(T1236&lt;=60,3,IF(T1236&lt;=80,4,5)))))</x:f>
      </x:c>
      <x:c r="V1236" s="2" t="str">
        <x:f>IF(M1236="","",MAX(0,'Motor_Meciuri'!BF93-IF(W1236="OOS PENDING",'Config_v6'!$B$35,0)-IF(L1236&gt;'Config_v6'!$B$12,'Config_v6'!$B$37,IF(L1236&gt;'Config_v6'!$B$11,'Config_v6'!$B$36,0))))</x:f>
      </x:c>
      <x:c r="W1236" s="2" t="str">
        <x:f>IF(B1236="","",IF(I1236&lt;&gt;"READY","NOT RELEASED",IF(NOT(AND(J1236="PASS",'Calibrare_Linii'!U18="VALID")),"INVALID",IF(NOT(AND('Calibrare_Linii'!S18="VALIDATED",AND('Calibrare_Linii'!H18=C1236,ISNUMBER('Calibrare_Linii'!J18),'Calibrare_Linii'!J18&lt;='Input_Meci'!G93))),"OOS PENDING",IF(S1236&lt;='Calibrare_Linii'!E18,"PASS",IF(S1236&lt;='Calibrare_Linii'!F18,"PENALTY","WATCH"))))))</x:f>
      </x:c>
      <x:c r="X1236" s="2" t="str">
        <x:f>IF(M1236="","",IF(AND(AND(J1236="PASS",'Calibrare_Linii'!U18="VALID"),'Motor_Meciuri'!K93=12,'Motor_Meciuri'!L93=12,'Motor_Meciuri'!M93="NO",'Motor_Meciuri'!BL93='Motor_Meciuri'!C93,AB1236&gt;='Config_v6'!$B$50,AN1236&gt;='Config_v6'!$B$51,T1236&lt;='Config_v6'!$B$52,L1236&lt;='Config_v6'!$B$53,ISNUMBER('Calibrare_Linii'!E18),S1236&lt;='Calibrare_Linii'!E18,SUM(AK1236:AM1236)&gt;0),"CANDIDATE","NO"))</x:f>
      </x:c>
      <x:c r="Y1236" s="2" t="str">
        <x:f>IF(B1236="","",IF(I1236&lt;&gt;"READY","NOT RELEASED",IF(AND(X1236="CANDIDATE",V1236&gt;='Config_v6'!$B$51,W1236="PASS",'Calibrare_Linii'!T18="VALIDATED",AND('Calibrare_Linii'!H18=C1236,ISNUMBER('Calibrare_Linii'!J18),'Calibrare_Linii'!J18&lt;='Input_Meci'!G93)),"PASS",IF(X1236="CANDIDATE","OOS PENDING","FAIL"))))</x:f>
      </x:c>
      <x:c r="Z1236" s="2" t="str">
        <x:f>IF(B1236="","",IF(I1236&lt;&gt;"READY","",IF(OR(NOT(AND(J1236="PASS",'Calibrare_Linii'!U18="VALID")),L1236&gt;'Config_v6'!$B$13,W1236="WATCH"),5,IF(Y1236="PASS",1,MIN(5,MAX('Config_v6'!$B$42,U1236)+IF(W1236="PENALTY",1,0))))))</x:f>
      </x:c>
      <x:c r="AA1236" s="2" t="str">
        <x:f>IF(B1236="","",IF(I1236&lt;&gt;"READY","NOT RELEASED",IF(Z1236=5,"NO BET",IF(OR(AB1236&lt;'Config_v6'!$B$16,V1236&lt;'Config_v6'!$B$18),"WATCH",IF(Z1236=1,"DEFENSIV",IF(Z1236=2,"PRUDENT",IF(Z1236=3,"MODERAT","RIDICAT")))))))</x:f>
      </x:c>
      <x:c r="AB1236" s="10" t="str">
        <x:f>IF(N1236="","",MIN(N1236,1-S1236))</x:f>
      </x:c>
      <x:c r="AC1236" s="2" t="str">
        <x:f>IF(AD1236&lt;&gt;1,"",COUNTIFS($Z$1224:$Z$1237,"&lt;"&amp;Z1236,$AD$1224:$AD$1237,1)+COUNTIFS($Z$1224:$Z$1237,Z1236,$AB$1224:$AB$1237,"&gt;"&amp;AB1236,$AD$1224:$AD$1237,1)+COUNTIFS($Z$1224:$Z$1237,Z1236,$AB$1224:$AB$1237,AB1236,$V$1224:$V$1237,"&gt;"&amp;V1236,$AD$1224:$AD$1237,1)+COUNTIFS($Z$1224:Z1236,Z1236,$AB$1224:AB1236,AB1236,$V$1224:V1236,V1236,$AD$1224:AD1236,1))</x:f>
      </x:c>
      <x:c r="AD1236" s="2" t="n">
        <x:f>IF(OR(AA1236="DEFENSIV",AA1236="PRUDENT",AA1236="MODERAT",AA1236="RIDICAT"),1,0)</x:f>
        <x:v>0</x:v>
      </x:c>
      <x:c r="AE1236" s="2" t="str">
        <x:f>IF(AD1236&lt;&gt;1,"NO",IF(W1236="PASS","YES",IF(W1236="OOS PENDING","CONDITIONAL","NO")))</x:f>
        <x:v>NO</x:v>
      </x:c>
      <x:c r="AF1236" s="2" t="n">
        <x:f>IF(AND(AD1236=1,AC1236=1,E1236="LIVE"),1,0)</x:f>
        <x:v>0</x:v>
      </x:c>
      <x:c r="AG1236" s="2" t="str">
        <x:f>IF(AF1236&lt;&gt;1,"",'Dashboard'!P113)</x:f>
      </x:c>
      <x:c r="AH1236" s="2" t="str">
        <x:f>IF(B1236="","",IF(J1236&lt;&gt;"PASS",'Motor_Meciuri'!J93,IF('Calibrare_Linii'!U18&lt;&gt;"VALID","Parametri linie invalizi",IF(L1236&gt;'Config_v6'!$B$13,"Dispersie peste limita",IF(W1236="WATCH","Failure peste limita",IF(AB1236&lt;'Config_v6'!$B$16,"P finala sub prag",IF(V1236&lt;'Config_v6'!$B$18,"Confidence sub prag",IF(E1236="REPLAY","Exemplu retrospectiv; exclus din Top LIVE",IF(Y1236="PASS","DEFENSIV validat",IF(W1236="OOS PENDING","Eligibil; calibrare linie in monitorizare","Eligibil"))))))))))</x:f>
      </x:c>
      <x:c r="AI1236" s="2" t="str">
        <x:f>IF(B1236="","",'Calibrare_Linii'!V18)</x:f>
      </x:c>
      <x:c r="AJ1236" s="2" t="str">
        <x:f>IF(B1236="","",IF(AND('Calibrare_Linii'!T18="VALIDATED",AND('Calibrare_Linii'!H18=C1236,ISNUMBER('Calibrare_Linii'!J18),'Calibrare_Linii'!J18&lt;='Input_Meci'!G93)),"DEFENSIVE VALIDATED",IF(AND('Calibrare_Linii'!S18="VALIDATED",AND('Calibrare_Linii'!H18=C1236,ISNUMBER('Calibrare_Linii'!J18),'Calibrare_Linii'!J18&lt;='Input_Meci'!G93)),"TAIL VALIDATED","OOS PENDING")))</x:f>
      </x:c>
      <x:c r="AK1236" s="2" t="n">
        <x:f>IF(J1236&lt;&gt;"PASS",0,'Motor_Meciuri'!BR93)</x:f>
        <x:v>0</x:v>
      </x:c>
      <x:c r="AL1236" s="2" t="n">
        <x:f>IF(J1236&lt;&gt;"PASS",0,'Motor_Meciuri'!BS93)</x:f>
        <x:v>0</x:v>
      </x:c>
      <x:c r="AM1236" s="2" t="n">
        <x:f>IF(J1236&lt;&gt;"PASS",0,'Motor_Meciuri'!BT93)</x:f>
        <x:v>0</x:v>
      </x:c>
      <x:c r="AN1236" s="2" t="str">
        <x:f>IF(M1236="","",MAX(0,'Motor_Meciuri'!BF93-IF(L1236&gt;'Config_v6'!$B$12,'Config_v6'!$B$37,IF(L1236&gt;'Config_v6'!$B$11,'Config_v6'!$B$36,0))))</x:f>
      </x:c>
    </x:row>
    <x:row r="1237" ht="21" customHeight="1">
      <x:c r="A1237" s="2" t="n">
        <x:v>88</x:v>
      </x:c>
      <x:c r="B1237" s="2" t="str">
        <x:f>IF('Motor_Meciuri'!A93="","",'Motor_Meciuri'!A93)</x:f>
      </x:c>
      <x:c r="C1237" s="2" t="str">
        <x:f>IF(B1237="","",'Motor_Meciuri'!B93)</x:f>
      </x:c>
      <x:c r="D1237" s="2" t="str">
        <x:f>IF(B1237="","",'Motor_Meciuri'!D93)</x:f>
      </x:c>
      <x:c r="E1237" s="2" t="str">
        <x:f>IF(B1237="","",'Motor_Meciuri'!E93)</x:f>
      </x:c>
      <x:c r="F1237" s="2" t="str">
        <x:v>U17,5</x:v>
      </x:c>
      <x:c r="G1237" s="2" t="str">
        <x:v>UNDER</x:v>
      </x:c>
      <x:c r="H1237" s="2" t="n">
        <x:v>17</x:v>
      </x:c>
      <x:c r="I1237" s="2" t="str">
        <x:f>IF(B1237="","",'Motor_Meciuri'!H93)</x:f>
      </x:c>
      <x:c r="J1237" s="2" t="str">
        <x:f>IF(B1237="","",'Motor_Meciuri'!I93)</x:f>
      </x:c>
      <x:c r="K1237" s="11" t="str">
        <x:f>IF(J1237&lt;&gt;"PASS","",'Motor_Meciuri'!BD93)</x:f>
      </x:c>
      <x:c r="L1237" s="11" t="str">
        <x:f>IF(J1237&lt;&gt;"PASS","",'Motor_Meciuri'!AU93)</x:f>
      </x:c>
      <x:c r="M1237" s="10" t="str">
        <x:f>IF(NOT(AND(J1237="PASS",'Calibrare_Linii'!U19="VALID")),"",'Distributie'!AO93)</x:f>
      </x:c>
      <x:c r="N1237" s="10" t="str">
        <x:f>IF(M1237="","",MAX(0.01,MIN(0.99,0.5+(M1237-0.5)*'Motor_Meciuri'!BG93*'Calibrare_Linii'!D19)))</x:f>
      </x:c>
      <x:c r="O1237" s="10" t="str">
        <x:f>IF(M1237="","",1-M1237)</x:f>
      </x:c>
      <x:c r="P1237" s="10" t="str">
        <x:f>IF(OR(NOT(AND(J1237="PASS",'Calibrare_Linii'!U19="VALID")),AK1237=0),""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*('Istoric_Nativ'!$Q$6:$Q$405&gt;H1237))/AK1237)</x:f>
      </x:c>
      <x:c r="Q1237" s="10" t="str">
        <x:f>IF(OR(NOT(AND(J1237="PASS",'Calibrare_Linii'!U19="VALID")),AL1237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M93)+((('Istoric_Nativ'!$E$6:$E$405='Input_Meci'!E93)+('Istoric_Nativ'!$F$6:$F$405='Input_Meci'!E93))&gt;0)*('Istoric_Nativ'!$D$6:$D$405&gt;='Motor_Meciuri'!BN93))&gt;0)*('Istoric_Nativ'!$Q$6:$Q$405&gt;H1237))/AL1237)</x:f>
      </x:c>
      <x:c r="R1237" s="10" t="str">
        <x:f>IF(OR(NOT(AND(J1237="PASS",'Calibrare_Linii'!U19="VALID")),AM1237=0),""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'Motor_Meciuri'!BO93)+((('Istoric_Nativ'!$E$6:$E$405='Input_Meci'!E93)+('Istoric_Nativ'!$F$6:$F$405='Input_Meci'!E93))&gt;0)*('Istoric_Nativ'!$D$6:$D$405&gt;='Motor_Meciuri'!BP93))&gt;0)*('Istoric_Nativ'!$Q$6:$Q$405&gt;H1237))/AM1237)</x:f>
      </x:c>
      <x:c r="S1237" s="10" t="str">
        <x:f>IF(M1237="","",MAX(O1237,P1237,Q1237,R1237))</x:f>
      </x:c>
      <x:c r="T1237" s="11" t="str">
        <x:f>IF(M1237="","",MIN(100,S1237*100*'Config_v6'!$B$44+MIN(100,L1237/'Config_v6'!$B$13*100)*'Config_v6'!$B$45+(100-'Motor_Meciuri'!BF93)*'Config_v6'!$B$46+'Motor_Meciuri'!BH93*100*'Config_v6'!$B$47))</x:f>
      </x:c>
      <x:c r="U1237" s="2" t="str">
        <x:f>IF(T1237="","",IF(T1237&lt;=20,1,IF(T1237&lt;=40,2,IF(T1237&lt;=60,3,IF(T1237&lt;=80,4,5)))))</x:f>
      </x:c>
      <x:c r="V1237" s="2" t="str">
        <x:f>IF(M1237="","",MAX(0,'Motor_Meciuri'!BF93-IF(W1237="OOS PENDING",'Config_v6'!$B$35,0)-IF(L1237&gt;'Config_v6'!$B$12,'Config_v6'!$B$37,IF(L1237&gt;'Config_v6'!$B$11,'Config_v6'!$B$36,0))))</x:f>
      </x:c>
      <x:c r="W1237" s="2" t="str">
        <x:f>IF(B1237="","",IF(I1237&lt;&gt;"READY","NOT RELEASED",IF(NOT(AND(J1237="PASS",'Calibrare_Linii'!U19="VALID")),"INVALID",IF(NOT(AND('Calibrare_Linii'!S19="VALIDATED",AND('Calibrare_Linii'!H19=C1237,ISNUMBER('Calibrare_Linii'!J19),'Calibrare_Linii'!J19&lt;='Input_Meci'!G93))),"OOS PENDING",IF(S1237&lt;='Calibrare_Linii'!E19,"PASS",IF(S1237&lt;='Calibrare_Linii'!F19,"PENALTY","WATCH"))))))</x:f>
      </x:c>
      <x:c r="X1237" s="2" t="str">
        <x:f>IF(M1237="","",IF(AND(AND(J1237="PASS",'Calibrare_Linii'!U19="VALID"),'Motor_Meciuri'!K93=12,'Motor_Meciuri'!L93=12,'Motor_Meciuri'!M93="NO",'Motor_Meciuri'!BL93='Motor_Meciuri'!C93,AB1237&gt;='Config_v6'!$B$50,AN1237&gt;='Config_v6'!$B$51,T1237&lt;='Config_v6'!$B$52,L1237&lt;='Config_v6'!$B$53,ISNUMBER('Calibrare_Linii'!E19),S1237&lt;='Calibrare_Linii'!E19,SUM(AK1237:AM1237)&gt;0),"CANDIDATE","NO"))</x:f>
      </x:c>
      <x:c r="Y1237" s="2" t="str">
        <x:f>IF(B1237="","",IF(I1237&lt;&gt;"READY","NOT RELEASED",IF(AND(X1237="CANDIDATE",V1237&gt;='Config_v6'!$B$51,W1237="PASS",'Calibrare_Linii'!T19="VALIDATED",AND('Calibrare_Linii'!H19=C1237,ISNUMBER('Calibrare_Linii'!J19),'Calibrare_Linii'!J19&lt;='Input_Meci'!G93)),"PASS",IF(X1237="CANDIDATE","OOS PENDING","FAIL"))))</x:f>
      </x:c>
      <x:c r="Z1237" s="2" t="str">
        <x:f>IF(B1237="","",IF(I1237&lt;&gt;"READY","",IF(OR(NOT(AND(J1237="PASS",'Calibrare_Linii'!U19="VALID")),L1237&gt;'Config_v6'!$B$13,W1237="WATCH"),5,IF(Y1237="PASS",1,MIN(5,MAX('Config_v6'!$B$42,U1237)+IF(W1237="PENALTY",1,0))))))</x:f>
      </x:c>
      <x:c r="AA1237" s="2" t="str">
        <x:f>IF(B1237="","",IF(I1237&lt;&gt;"READY","NOT RELEASED",IF(Z1237=5,"NO BET",IF(OR(AB1237&lt;'Config_v6'!$B$16,V1237&lt;'Config_v6'!$B$18),"WATCH",IF(Z1237=1,"DEFENSIV",IF(Z1237=2,"PRUDENT",IF(Z1237=3,"MODERAT","RIDICAT")))))))</x:f>
      </x:c>
      <x:c r="AB1237" s="10" t="str">
        <x:f>IF(N1237="","",MIN(N1237,1-S1237))</x:f>
      </x:c>
      <x:c r="AC1237" s="2" t="str">
        <x:f>IF(AD1237&lt;&gt;1,"",COUNTIFS($Z$1224:$Z$1237,"&lt;"&amp;Z1237,$AD$1224:$AD$1237,1)+COUNTIFS($Z$1224:$Z$1237,Z1237,$AB$1224:$AB$1237,"&gt;"&amp;AB1237,$AD$1224:$AD$1237,1)+COUNTIFS($Z$1224:$Z$1237,Z1237,$AB$1224:$AB$1237,AB1237,$V$1224:$V$1237,"&gt;"&amp;V1237,$AD$1224:$AD$1237,1)+COUNTIFS($Z$1224:Z1237,Z1237,$AB$1224:AB1237,AB1237,$V$1224:V1237,V1237,$AD$1224:AD1237,1))</x:f>
      </x:c>
      <x:c r="AD1237" s="2" t="n">
        <x:f>IF(OR(AA1237="DEFENSIV",AA1237="PRUDENT",AA1237="MODERAT",AA1237="RIDICAT"),1,0)</x:f>
        <x:v>0</x:v>
      </x:c>
      <x:c r="AE1237" s="2" t="str">
        <x:f>IF(AD1237&lt;&gt;1,"NO",IF(W1237="PASS","YES",IF(W1237="OOS PENDING","CONDITIONAL","NO")))</x:f>
        <x:v>NO</x:v>
      </x:c>
      <x:c r="AF1237" s="2" t="n">
        <x:f>IF(AND(AD1237=1,AC1237=1,E1237="LIVE"),1,0)</x:f>
        <x:v>0</x:v>
      </x:c>
      <x:c r="AG1237" s="2" t="str">
        <x:f>IF(AF1237&lt;&gt;1,"",'Dashboard'!P113)</x:f>
      </x:c>
      <x:c r="AH1237" s="2" t="str">
        <x:f>IF(B1237="","",IF(J1237&lt;&gt;"PASS",'Motor_Meciuri'!J93,IF('Calibrare_Linii'!U19&lt;&gt;"VALID","Parametri linie invalizi",IF(L1237&gt;'Config_v6'!$B$13,"Dispersie peste limita",IF(W1237="WATCH","Failure peste limita",IF(AB1237&lt;'Config_v6'!$B$16,"P finala sub prag",IF(V1237&lt;'Config_v6'!$B$18,"Confidence sub prag",IF(E1237="REPLAY","Exemplu retrospectiv; exclus din Top LIVE",IF(Y1237="PASS","DEFENSIV validat",IF(W1237="OOS PENDING","Eligibil; calibrare linie in monitorizare","Eligibil"))))))))))</x:f>
      </x:c>
      <x:c r="AI1237" s="2" t="str">
        <x:f>IF(B1237="","",'Calibrare_Linii'!V19)</x:f>
      </x:c>
      <x:c r="AJ1237" s="2" t="str">
        <x:f>IF(B1237="","",IF(AND('Calibrare_Linii'!T19="VALIDATED",AND('Calibrare_Linii'!H19=C1237,ISNUMBER('Calibrare_Linii'!J19),'Calibrare_Linii'!J19&lt;='Input_Meci'!G93)),"DEFENSIVE VALIDATED",IF(AND('Calibrare_Linii'!S19="VALIDATED",AND('Calibrare_Linii'!H19=C1237,ISNUMBER('Calibrare_Linii'!J19),'Calibrare_Linii'!J19&lt;='Input_Meci'!G93)),"TAIL VALIDATED","OOS PENDING")))</x:f>
      </x:c>
      <x:c r="AK1237" s="2" t="n">
        <x:f>IF(J1237&lt;&gt;"PASS",0,'Motor_Meciuri'!BR93)</x:f>
        <x:v>0</x:v>
      </x:c>
      <x:c r="AL1237" s="2" t="n">
        <x:f>IF(J1237&lt;&gt;"PASS",0,'Motor_Meciuri'!BS93)</x:f>
        <x:v>0</x:v>
      </x:c>
      <x:c r="AM1237" s="2" t="n">
        <x:f>IF(J1237&lt;&gt;"PASS",0,'Motor_Meciuri'!BT93)</x:f>
        <x:v>0</x:v>
      </x:c>
      <x:c r="AN1237" s="2" t="str">
        <x:f>IF(M1237="","",MAX(0,'Motor_Meciuri'!BF93-IF(L1237&gt;'Config_v6'!$B$12,'Config_v6'!$B$37,IF(L1237&gt;'Config_v6'!$B$11,'Config_v6'!$B$36,0))))</x:f>
      </x:c>
    </x:row>
    <x:row r="1238" ht="21" customHeight="1">
      <x:c r="A1238" s="2" t="n">
        <x:v>89</x:v>
      </x:c>
      <x:c r="B1238" s="2" t="str">
        <x:f>IF('Motor_Meciuri'!A94="","",'Motor_Meciuri'!A94)</x:f>
      </x:c>
      <x:c r="C1238" s="2" t="str">
        <x:f>IF(B1238="","",'Motor_Meciuri'!B94)</x:f>
      </x:c>
      <x:c r="D1238" s="2" t="str">
        <x:f>IF(B1238="","",'Motor_Meciuri'!D94)</x:f>
      </x:c>
      <x:c r="E1238" s="2" t="str">
        <x:f>IF(B1238="","",'Motor_Meciuri'!E94)</x:f>
      </x:c>
      <x:c r="F1238" s="2" t="str">
        <x:v>O3,5</x:v>
      </x:c>
      <x:c r="G1238" s="2" t="str">
        <x:v>OVER</x:v>
      </x:c>
      <x:c r="H1238" s="2" t="n">
        <x:v>3</x:v>
      </x:c>
      <x:c r="I1238" s="2" t="str">
        <x:f>IF(B1238="","",'Motor_Meciuri'!H94)</x:f>
      </x:c>
      <x:c r="J1238" s="2" t="str">
        <x:f>IF(B1238="","",'Motor_Meciuri'!I94)</x:f>
      </x:c>
      <x:c r="K1238" s="11" t="str">
        <x:f>IF(J1238&lt;&gt;"PASS","",'Motor_Meciuri'!BD94)</x:f>
      </x:c>
      <x:c r="L1238" s="11" t="str">
        <x:f>IF(J1238&lt;&gt;"PASS","",'Motor_Meciuri'!AU94)</x:f>
      </x:c>
      <x:c r="M1238" s="10" t="str">
        <x:f>IF(NOT(AND(J1238="PASS",'Calibrare_Linii'!U6="VALID")),"",1-'Distributie'!AA94)</x:f>
      </x:c>
      <x:c r="N1238" s="10" t="str">
        <x:f>IF(M1238="","",MAX(0.01,MIN(0.99,0.5+(M1238-0.5)*'Motor_Meciuri'!BG94*'Calibrare_Linii'!D6)))</x:f>
      </x:c>
      <x:c r="O1238" s="10" t="str">
        <x:f>IF(M1238="","",1-M1238)</x:f>
      </x:c>
      <x:c r="P1238" s="10" t="str">
        <x:f>IF(OR(NOT(AND(J1238="PASS",'Calibrare_Linii'!U6="VALID")),AK1238=0),""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*('Istoric_Nativ'!$Q$6:$Q$405&lt;=H1238))/AK1238)</x:f>
      </x:c>
      <x:c r="Q1238" s="10" t="str">
        <x:f>IF(OR(NOT(AND(J1238="PASS",'Calibrare_Linii'!U6="VALID")),AL1238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M94)+((('Istoric_Nativ'!$E$6:$E$405='Input_Meci'!E94)+('Istoric_Nativ'!$F$6:$F$405='Input_Meci'!E94))&gt;0)*('Istoric_Nativ'!$D$6:$D$405&gt;='Motor_Meciuri'!BN94))&gt;0)*('Istoric_Nativ'!$Q$6:$Q$405&lt;=H1238))/AL1238)</x:f>
      </x:c>
      <x:c r="R1238" s="10" t="str">
        <x:f>IF(OR(NOT(AND(J1238="PASS",'Calibrare_Linii'!U6="VALID")),AM1238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O94)+((('Istoric_Nativ'!$E$6:$E$405='Input_Meci'!E94)+('Istoric_Nativ'!$F$6:$F$405='Input_Meci'!E94))&gt;0)*('Istoric_Nativ'!$D$6:$D$405&gt;='Motor_Meciuri'!BP94))&gt;0)*('Istoric_Nativ'!$Q$6:$Q$405&lt;=H1238))/AM1238)</x:f>
      </x:c>
      <x:c r="S1238" s="10" t="str">
        <x:f>IF(M1238="","",MAX(O1238,P1238,Q1238,R1238))</x:f>
      </x:c>
      <x:c r="T1238" s="11" t="str">
        <x:f>IF(M1238="","",MIN(100,S1238*100*'Config_v6'!$B$44+MIN(100,L1238/'Config_v6'!$B$13*100)*'Config_v6'!$B$45+(100-'Motor_Meciuri'!BF94)*'Config_v6'!$B$46+'Motor_Meciuri'!BH94*100*'Config_v6'!$B$47))</x:f>
      </x:c>
      <x:c r="U1238" s="2" t="str">
        <x:f>IF(T1238="","",IF(T1238&lt;=20,1,IF(T1238&lt;=40,2,IF(T1238&lt;=60,3,IF(T1238&lt;=80,4,5)))))</x:f>
      </x:c>
      <x:c r="V1238" s="2" t="str">
        <x:f>IF(M1238="","",MAX(0,'Motor_Meciuri'!BF94-IF(W1238="OOS PENDING",'Config_v6'!$B$35,0)-IF(L1238&gt;'Config_v6'!$B$12,'Config_v6'!$B$37,IF(L1238&gt;'Config_v6'!$B$11,'Config_v6'!$B$36,0))))</x:f>
      </x:c>
      <x:c r="W1238" s="2" t="str">
        <x:f>IF(B1238="","",IF(I1238&lt;&gt;"READY","NOT RELEASED",IF(NOT(AND(J1238="PASS",'Calibrare_Linii'!U6="VALID")),"INVALID",IF(NOT(TRUE),"OOS PENDING",IF(S1238&lt;=IF(AND('Calibrare_Linii'!S6="VALIDATED",AND('Calibrare_Linii'!H6=C1238,ISNUMBER('Calibrare_Linii'!J6),'Calibrare_Linii'!J6&lt;='Input_Meci'!G94)),'Calibrare_Linii'!E6,'Config_v6'!$B$26),"PASS",IF(S1238&lt;=IF(AND('Calibrare_Linii'!S6="VALIDATED",AND('Calibrare_Linii'!H6=C1238,ISNUMBER('Calibrare_Linii'!J6),'Calibrare_Linii'!J6&lt;='Input_Meci'!G94)),'Calibrare_Linii'!F6,'Config_v6'!$C$26),"PENALTY","WATCH"))))))</x:f>
      </x:c>
      <x:c r="X1238" s="2" t="str">
        <x:f>IF(M1238="","",IF(AND(AND(J1238="PASS",'Calibrare_Linii'!U6="VALID"),'Motor_Meciuri'!K94=12,'Motor_Meciuri'!L94=12,'Motor_Meciuri'!M94="NO",'Motor_Meciuri'!BL94='Motor_Meciuri'!C94,AB1238&gt;='Config_v6'!$B$50,AN1238&gt;='Config_v6'!$B$51,T1238&lt;='Config_v6'!$B$52,L1238&lt;='Config_v6'!$B$53,ISNUMBER('Calibrare_Linii'!E6),S1238&lt;='Calibrare_Linii'!E6,SUM(AK1238:AM1238)&gt;0),"CANDIDATE","NO"))</x:f>
      </x:c>
      <x:c r="Y1238" s="2" t="str">
        <x:f>IF(B1238="","",IF(I1238&lt;&gt;"READY","NOT RELEASED",IF(AND(X1238="CANDIDATE",V1238&gt;='Config_v6'!$B$51,W1238="PASS",'Calibrare_Linii'!T6="VALIDATED",AND('Calibrare_Linii'!H6=C1238,ISNUMBER('Calibrare_Linii'!J6),'Calibrare_Linii'!J6&lt;='Input_Meci'!G94)),"PASS",IF(X1238="CANDIDATE","OOS PENDING","FAIL"))))</x:f>
      </x:c>
      <x:c r="Z1238" s="2" t="str">
        <x:f>IF(B1238="","",IF(I1238&lt;&gt;"READY","",IF(OR(NOT(AND(J1238="PASS",'Calibrare_Linii'!U6="VALID")),L1238&gt;'Config_v6'!$B$13,W1238="WATCH"),5,IF(Y1238="PASS",1,MIN(5,MAX('Config_v6'!$B$42,U1238)+IF(W1238="PENALTY",1,0))))))</x:f>
      </x:c>
      <x:c r="AA1238" s="2" t="str">
        <x:f>IF(B1238="","",IF(I1238&lt;&gt;"READY","NOT RELEASED",IF(Z1238=5,"NO BET",IF(OR(AB1238&lt;'Config_v6'!$B$16,V1238&lt;'Config_v6'!$B$18),"WATCH",IF(Z1238=1,"DEFENSIV",IF(Z1238=2,"PRUDENT",IF(Z1238=3,"MODERAT","RIDICAT")))))))</x:f>
      </x:c>
      <x:c r="AB1238" s="10" t="str">
        <x:f>IF(N1238="","",MIN(N1238,1-S1238))</x:f>
      </x:c>
      <x:c r="AC1238" s="2" t="str">
        <x:f>IF(AD1238&lt;&gt;1,"",COUNTIFS($Z$1238:$Z$1251,"&lt;"&amp;Z1238,$AD$1238:$AD$1251,1)+COUNTIFS($Z$1238:$Z$1251,Z1238,$AB$1238:$AB$1251,"&gt;"&amp;AB1238,$AD$1238:$AD$1251,1)+COUNTIFS($Z$1238:$Z$1251,Z1238,$AB$1238:$AB$1251,AB1238,$V$1238:$V$1251,"&gt;"&amp;V1238,$AD$1238:$AD$1251,1)+COUNTIFS($Z$1238:Z1238,Z1238,$AB$1238:AB1238,AB1238,$V$1238:V1238,V1238,$AD$1238:AD1238,1))</x:f>
      </x:c>
      <x:c r="AD1238" s="2" t="n">
        <x:f>IF(OR(AA1238="DEFENSIV",AA1238="PRUDENT",AA1238="MODERAT",AA1238="RIDICAT"),1,0)</x:f>
        <x:v>0</x:v>
      </x:c>
      <x:c r="AE1238" s="2" t="str">
        <x:f>IF(AD1238&lt;&gt;1,"NO",IF(W1238="PASS","YES",IF(W1238="OOS PENDING","CONDITIONAL","NO")))</x:f>
        <x:v>NO</x:v>
      </x:c>
      <x:c r="AF1238" s="2" t="n">
        <x:f>IF(AND(AD1238=1,AC1238=1,E1238="LIVE"),1,0)</x:f>
        <x:v>0</x:v>
      </x:c>
      <x:c r="AG1238" s="2" t="str">
        <x:f>IF(AF1238&lt;&gt;1,"",'Dashboard'!P114)</x:f>
      </x:c>
      <x:c r="AH1238" s="2" t="str">
        <x:f>IF(B1238="","",IF(J1238&lt;&gt;"PASS",'Motor_Meciuri'!J94,IF('Calibrare_Linii'!U6&lt;&gt;"VALID","Parametri linie invalizi",IF(L1238&gt;'Config_v6'!$B$13,"Dispersie peste limita",IF(W1238="WATCH","Failure peste limita",IF(AB1238&lt;'Config_v6'!$B$16,"P finala sub prag",IF(V1238&lt;'Config_v6'!$B$18,"Confidence sub prag",IF(E1238="REPLAY","Exemplu retrospectiv; exclus din Top LIVE",IF(Y1238="PASS","DEFENSIV validat",IF(W1238="OOS PENDING","Eligibil; calibrare linie in monitorizare","Eligibil"))))))))))</x:f>
      </x:c>
      <x:c r="AI1238" s="2" t="str">
        <x:f>IF(B1238="","",'Calibrare_Linii'!V6)</x:f>
      </x:c>
      <x:c r="AJ1238" s="2" t="str">
        <x:f>IF(B1238="","",IF(AND('Calibrare_Linii'!T6="VALIDATED",AND('Calibrare_Linii'!H6=C1238,ISNUMBER('Calibrare_Linii'!J6),'Calibrare_Linii'!J6&lt;='Input_Meci'!G94)),"DEFENSIVE VALIDATED",IF(AND('Calibrare_Linii'!S6="VALIDATED",AND('Calibrare_Linii'!H6=C1238,ISNUMBER('Calibrare_Linii'!J6),'Calibrare_Linii'!J6&lt;='Input_Meci'!G94)),"TAIL VALIDATED","OOS PENDING")))</x:f>
      </x:c>
      <x:c r="AK1238" s="2" t="n">
        <x:f>IF(J1238&lt;&gt;"PASS",0,'Motor_Meciuri'!BR94)</x:f>
        <x:v>0</x:v>
      </x:c>
      <x:c r="AL1238" s="2" t="n">
        <x:f>IF(J1238&lt;&gt;"PASS",0,'Motor_Meciuri'!BS94)</x:f>
        <x:v>0</x:v>
      </x:c>
      <x:c r="AM1238" s="2" t="n">
        <x:f>IF(J1238&lt;&gt;"PASS",0,'Motor_Meciuri'!BT94)</x:f>
        <x:v>0</x:v>
      </x:c>
      <x:c r="AN1238" s="2" t="str">
        <x:f>IF(M1238="","",MAX(0,'Motor_Meciuri'!BF94-IF(L1238&gt;'Config_v6'!$B$12,'Config_v6'!$B$37,IF(L1238&gt;'Config_v6'!$B$11,'Config_v6'!$B$36,0))))</x:f>
      </x:c>
    </x:row>
    <x:row r="1239" ht="21" customHeight="1">
      <x:c r="A1239" s="2" t="n">
        <x:v>89</x:v>
      </x:c>
      <x:c r="B1239" s="2" t="str">
        <x:f>IF('Motor_Meciuri'!A94="","",'Motor_Meciuri'!A94)</x:f>
      </x:c>
      <x:c r="C1239" s="2" t="str">
        <x:f>IF(B1239="","",'Motor_Meciuri'!B94)</x:f>
      </x:c>
      <x:c r="D1239" s="2" t="str">
        <x:f>IF(B1239="","",'Motor_Meciuri'!D94)</x:f>
      </x:c>
      <x:c r="E1239" s="2" t="str">
        <x:f>IF(B1239="","",'Motor_Meciuri'!E94)</x:f>
      </x:c>
      <x:c r="F1239" s="2" t="str">
        <x:v>O4,5</x:v>
      </x:c>
      <x:c r="G1239" s="2" t="str">
        <x:v>OVER</x:v>
      </x:c>
      <x:c r="H1239" s="2" t="n">
        <x:v>4</x:v>
      </x:c>
      <x:c r="I1239" s="2" t="str">
        <x:f>IF(B1239="","",'Motor_Meciuri'!H94)</x:f>
      </x:c>
      <x:c r="J1239" s="2" t="str">
        <x:f>IF(B1239="","",'Motor_Meciuri'!I94)</x:f>
      </x:c>
      <x:c r="K1239" s="11" t="str">
        <x:f>IF(J1239&lt;&gt;"PASS","",'Motor_Meciuri'!BD94)</x:f>
      </x:c>
      <x:c r="L1239" s="11" t="str">
        <x:f>IF(J1239&lt;&gt;"PASS","",'Motor_Meciuri'!AU94)</x:f>
      </x:c>
      <x:c r="M1239" s="10" t="str">
        <x:f>IF(NOT(AND(J1239="PASS",'Calibrare_Linii'!U7="VALID")),"",1-'Distributie'!AB94)</x:f>
      </x:c>
      <x:c r="N1239" s="10" t="str">
        <x:f>IF(M1239="","",MAX(0.01,MIN(0.99,0.5+(M1239-0.5)*'Motor_Meciuri'!BG94*'Calibrare_Linii'!D7)))</x:f>
      </x:c>
      <x:c r="O1239" s="10" t="str">
        <x:f>IF(M1239="","",1-M1239)</x:f>
      </x:c>
      <x:c r="P1239" s="10" t="str">
        <x:f>IF(OR(NOT(AND(J1239="PASS",'Calibrare_Linii'!U7="VALID")),AK1239=0),""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*('Istoric_Nativ'!$Q$6:$Q$405&lt;=H1239))/AK1239)</x:f>
      </x:c>
      <x:c r="Q1239" s="10" t="str">
        <x:f>IF(OR(NOT(AND(J1239="PASS",'Calibrare_Linii'!U7="VALID")),AL1239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M94)+((('Istoric_Nativ'!$E$6:$E$405='Input_Meci'!E94)+('Istoric_Nativ'!$F$6:$F$405='Input_Meci'!E94))&gt;0)*('Istoric_Nativ'!$D$6:$D$405&gt;='Motor_Meciuri'!BN94))&gt;0)*('Istoric_Nativ'!$Q$6:$Q$405&lt;=H1239))/AL1239)</x:f>
      </x:c>
      <x:c r="R1239" s="10" t="str">
        <x:f>IF(OR(NOT(AND(J1239="PASS",'Calibrare_Linii'!U7="VALID")),AM1239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O94)+((('Istoric_Nativ'!$E$6:$E$405='Input_Meci'!E94)+('Istoric_Nativ'!$F$6:$F$405='Input_Meci'!E94))&gt;0)*('Istoric_Nativ'!$D$6:$D$405&gt;='Motor_Meciuri'!BP94))&gt;0)*('Istoric_Nativ'!$Q$6:$Q$405&lt;=H1239))/AM1239)</x:f>
      </x:c>
      <x:c r="S1239" s="10" t="str">
        <x:f>IF(M1239="","",MAX(O1239,P1239,Q1239,R1239))</x:f>
      </x:c>
      <x:c r="T1239" s="11" t="str">
        <x:f>IF(M1239="","",MIN(100,S1239*100*'Config_v6'!$B$44+MIN(100,L1239/'Config_v6'!$B$13*100)*'Config_v6'!$B$45+(100-'Motor_Meciuri'!BF94)*'Config_v6'!$B$46+'Motor_Meciuri'!BH94*100*'Config_v6'!$B$47))</x:f>
      </x:c>
      <x:c r="U1239" s="2" t="str">
        <x:f>IF(T1239="","",IF(T1239&lt;=20,1,IF(T1239&lt;=40,2,IF(T1239&lt;=60,3,IF(T1239&lt;=80,4,5)))))</x:f>
      </x:c>
      <x:c r="V1239" s="2" t="str">
        <x:f>IF(M1239="","",MAX(0,'Motor_Meciuri'!BF94-IF(W1239="OOS PENDING",'Config_v6'!$B$35,0)-IF(L1239&gt;'Config_v6'!$B$12,'Config_v6'!$B$37,IF(L1239&gt;'Config_v6'!$B$11,'Config_v6'!$B$36,0))))</x:f>
      </x:c>
      <x:c r="W1239" s="2" t="str">
        <x:f>IF(B1239="","",IF(I1239&lt;&gt;"READY","NOT RELEASED",IF(NOT(AND(J1239="PASS",'Calibrare_Linii'!U7="VALID")),"INVALID",IF(NOT(AND('Calibrare_Linii'!S7="VALIDATED",AND('Calibrare_Linii'!H7=C1239,ISNUMBER('Calibrare_Linii'!J7),'Calibrare_Linii'!J7&lt;='Input_Meci'!G94))),"OOS PENDING",IF(S1239&lt;='Calibrare_Linii'!E7,"PASS",IF(S1239&lt;='Calibrare_Linii'!F7,"PENALTY","WATCH"))))))</x:f>
      </x:c>
      <x:c r="X1239" s="2" t="str">
        <x:f>IF(M1239="","",IF(AND(AND(J1239="PASS",'Calibrare_Linii'!U7="VALID"),'Motor_Meciuri'!K94=12,'Motor_Meciuri'!L94=12,'Motor_Meciuri'!M94="NO",'Motor_Meciuri'!BL94='Motor_Meciuri'!C94,AB1239&gt;='Config_v6'!$B$50,AN1239&gt;='Config_v6'!$B$51,T1239&lt;='Config_v6'!$B$52,L1239&lt;='Config_v6'!$B$53,ISNUMBER('Calibrare_Linii'!E7),S1239&lt;='Calibrare_Linii'!E7,SUM(AK1239:AM1239)&gt;0),"CANDIDATE","NO"))</x:f>
      </x:c>
      <x:c r="Y1239" s="2" t="str">
        <x:f>IF(B1239="","",IF(I1239&lt;&gt;"READY","NOT RELEASED",IF(AND(X1239="CANDIDATE",V1239&gt;='Config_v6'!$B$51,W1239="PASS",'Calibrare_Linii'!T7="VALIDATED",AND('Calibrare_Linii'!H7=C1239,ISNUMBER('Calibrare_Linii'!J7),'Calibrare_Linii'!J7&lt;='Input_Meci'!G94)),"PASS",IF(X1239="CANDIDATE","OOS PENDING","FAIL"))))</x:f>
      </x:c>
      <x:c r="Z1239" s="2" t="str">
        <x:f>IF(B1239="","",IF(I1239&lt;&gt;"READY","",IF(OR(NOT(AND(J1239="PASS",'Calibrare_Linii'!U7="VALID")),L1239&gt;'Config_v6'!$B$13,W1239="WATCH"),5,IF(Y1239="PASS",1,MIN(5,MAX('Config_v6'!$B$42,U1239)+IF(W1239="PENALTY",1,0))))))</x:f>
      </x:c>
      <x:c r="AA1239" s="2" t="str">
        <x:f>IF(B1239="","",IF(I1239&lt;&gt;"READY","NOT RELEASED",IF(Z1239=5,"NO BET",IF(OR(AB1239&lt;'Config_v6'!$B$16,V1239&lt;'Config_v6'!$B$18),"WATCH",IF(Z1239=1,"DEFENSIV",IF(Z1239=2,"PRUDENT",IF(Z1239=3,"MODERAT","RIDICAT")))))))</x:f>
      </x:c>
      <x:c r="AB1239" s="10" t="str">
        <x:f>IF(N1239="","",MIN(N1239,1-S1239))</x:f>
      </x:c>
      <x:c r="AC1239" s="2" t="str">
        <x:f>IF(AD1239&lt;&gt;1,"",COUNTIFS($Z$1238:$Z$1251,"&lt;"&amp;Z1239,$AD$1238:$AD$1251,1)+COUNTIFS($Z$1238:$Z$1251,Z1239,$AB$1238:$AB$1251,"&gt;"&amp;AB1239,$AD$1238:$AD$1251,1)+COUNTIFS($Z$1238:$Z$1251,Z1239,$AB$1238:$AB$1251,AB1239,$V$1238:$V$1251,"&gt;"&amp;V1239,$AD$1238:$AD$1251,1)+COUNTIFS($Z$1238:Z1239,Z1239,$AB$1238:AB1239,AB1239,$V$1238:V1239,V1239,$AD$1238:AD1239,1))</x:f>
      </x:c>
      <x:c r="AD1239" s="2" t="n">
        <x:f>IF(OR(AA1239="DEFENSIV",AA1239="PRUDENT",AA1239="MODERAT",AA1239="RIDICAT"),1,0)</x:f>
        <x:v>0</x:v>
      </x:c>
      <x:c r="AE1239" s="2" t="str">
        <x:f>IF(AD1239&lt;&gt;1,"NO",IF(W1239="PASS","YES",IF(W1239="OOS PENDING","CONDITIONAL","NO")))</x:f>
        <x:v>NO</x:v>
      </x:c>
      <x:c r="AF1239" s="2" t="n">
        <x:f>IF(AND(AD1239=1,AC1239=1,E1239="LIVE"),1,0)</x:f>
        <x:v>0</x:v>
      </x:c>
      <x:c r="AG1239" s="2" t="str">
        <x:f>IF(AF1239&lt;&gt;1,"",'Dashboard'!P114)</x:f>
      </x:c>
      <x:c r="AH1239" s="2" t="str">
        <x:f>IF(B1239="","",IF(J1239&lt;&gt;"PASS",'Motor_Meciuri'!J94,IF('Calibrare_Linii'!U7&lt;&gt;"VALID","Parametri linie invalizi",IF(L1239&gt;'Config_v6'!$B$13,"Dispersie peste limita",IF(W1239="WATCH","Failure peste limita",IF(AB1239&lt;'Config_v6'!$B$16,"P finala sub prag",IF(V1239&lt;'Config_v6'!$B$18,"Confidence sub prag",IF(E1239="REPLAY","Exemplu retrospectiv; exclus din Top LIVE",IF(Y1239="PASS","DEFENSIV validat",IF(W1239="OOS PENDING","Eligibil; calibrare linie in monitorizare","Eligibil"))))))))))</x:f>
      </x:c>
      <x:c r="AI1239" s="2" t="str">
        <x:f>IF(B1239="","",'Calibrare_Linii'!V7)</x:f>
      </x:c>
      <x:c r="AJ1239" s="2" t="str">
        <x:f>IF(B1239="","",IF(AND('Calibrare_Linii'!T7="VALIDATED",AND('Calibrare_Linii'!H7=C1239,ISNUMBER('Calibrare_Linii'!J7),'Calibrare_Linii'!J7&lt;='Input_Meci'!G94)),"DEFENSIVE VALIDATED",IF(AND('Calibrare_Linii'!S7="VALIDATED",AND('Calibrare_Linii'!H7=C1239,ISNUMBER('Calibrare_Linii'!J7),'Calibrare_Linii'!J7&lt;='Input_Meci'!G94)),"TAIL VALIDATED","OOS PENDING")))</x:f>
      </x:c>
      <x:c r="AK1239" s="2" t="n">
        <x:f>IF(J1239&lt;&gt;"PASS",0,'Motor_Meciuri'!BR94)</x:f>
        <x:v>0</x:v>
      </x:c>
      <x:c r="AL1239" s="2" t="n">
        <x:f>IF(J1239&lt;&gt;"PASS",0,'Motor_Meciuri'!BS94)</x:f>
        <x:v>0</x:v>
      </x:c>
      <x:c r="AM1239" s="2" t="n">
        <x:f>IF(J1239&lt;&gt;"PASS",0,'Motor_Meciuri'!BT94)</x:f>
        <x:v>0</x:v>
      </x:c>
      <x:c r="AN1239" s="2" t="str">
        <x:f>IF(M1239="","",MAX(0,'Motor_Meciuri'!BF94-IF(L1239&gt;'Config_v6'!$B$12,'Config_v6'!$B$37,IF(L1239&gt;'Config_v6'!$B$11,'Config_v6'!$B$36,0))))</x:f>
      </x:c>
    </x:row>
    <x:row r="1240" ht="21" customHeight="1">
      <x:c r="A1240" s="2" t="n">
        <x:v>89</x:v>
      </x:c>
      <x:c r="B1240" s="2" t="str">
        <x:f>IF('Motor_Meciuri'!A94="","",'Motor_Meciuri'!A94)</x:f>
      </x:c>
      <x:c r="C1240" s="2" t="str">
        <x:f>IF(B1240="","",'Motor_Meciuri'!B94)</x:f>
      </x:c>
      <x:c r="D1240" s="2" t="str">
        <x:f>IF(B1240="","",'Motor_Meciuri'!D94)</x:f>
      </x:c>
      <x:c r="E1240" s="2" t="str">
        <x:f>IF(B1240="","",'Motor_Meciuri'!E94)</x:f>
      </x:c>
      <x:c r="F1240" s="2" t="str">
        <x:v>O5,5</x:v>
      </x:c>
      <x:c r="G1240" s="2" t="str">
        <x:v>OVER</x:v>
      </x:c>
      <x:c r="H1240" s="2" t="n">
        <x:v>5</x:v>
      </x:c>
      <x:c r="I1240" s="2" t="str">
        <x:f>IF(B1240="","",'Motor_Meciuri'!H94)</x:f>
      </x:c>
      <x:c r="J1240" s="2" t="str">
        <x:f>IF(B1240="","",'Motor_Meciuri'!I94)</x:f>
      </x:c>
      <x:c r="K1240" s="11" t="str">
        <x:f>IF(J1240&lt;&gt;"PASS","",'Motor_Meciuri'!BD94)</x:f>
      </x:c>
      <x:c r="L1240" s="11" t="str">
        <x:f>IF(J1240&lt;&gt;"PASS","",'Motor_Meciuri'!AU94)</x:f>
      </x:c>
      <x:c r="M1240" s="10" t="str">
        <x:f>IF(NOT(AND(J1240="PASS",'Calibrare_Linii'!U8="VALID")),"",1-'Distributie'!AC94)</x:f>
      </x:c>
      <x:c r="N1240" s="10" t="str">
        <x:f>IF(M1240="","",MAX(0.01,MIN(0.99,0.5+(M1240-0.5)*'Motor_Meciuri'!BG94*'Calibrare_Linii'!D8)))</x:f>
      </x:c>
      <x:c r="O1240" s="10" t="str">
        <x:f>IF(M1240="","",1-M1240)</x:f>
      </x:c>
      <x:c r="P1240" s="10" t="str">
        <x:f>IF(OR(NOT(AND(J1240="PASS",'Calibrare_Linii'!U8="VALID")),AK1240=0),""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*('Istoric_Nativ'!$Q$6:$Q$405&lt;=H1240))/AK1240)</x:f>
      </x:c>
      <x:c r="Q1240" s="10" t="str">
        <x:f>IF(OR(NOT(AND(J1240="PASS",'Calibrare_Linii'!U8="VALID")),AL1240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M94)+((('Istoric_Nativ'!$E$6:$E$405='Input_Meci'!E94)+('Istoric_Nativ'!$F$6:$F$405='Input_Meci'!E94))&gt;0)*('Istoric_Nativ'!$D$6:$D$405&gt;='Motor_Meciuri'!BN94))&gt;0)*('Istoric_Nativ'!$Q$6:$Q$405&lt;=H1240))/AL1240)</x:f>
      </x:c>
      <x:c r="R1240" s="10" t="str">
        <x:f>IF(OR(NOT(AND(J1240="PASS",'Calibrare_Linii'!U8="VALID")),AM1240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O94)+((('Istoric_Nativ'!$E$6:$E$405='Input_Meci'!E94)+('Istoric_Nativ'!$F$6:$F$405='Input_Meci'!E94))&gt;0)*('Istoric_Nativ'!$D$6:$D$405&gt;='Motor_Meciuri'!BP94))&gt;0)*('Istoric_Nativ'!$Q$6:$Q$405&lt;=H1240))/AM1240)</x:f>
      </x:c>
      <x:c r="S1240" s="10" t="str">
        <x:f>IF(M1240="","",MAX(O1240,P1240,Q1240,R1240))</x:f>
      </x:c>
      <x:c r="T1240" s="11" t="str">
        <x:f>IF(M1240="","",MIN(100,S1240*100*'Config_v6'!$B$44+MIN(100,L1240/'Config_v6'!$B$13*100)*'Config_v6'!$B$45+(100-'Motor_Meciuri'!BF94)*'Config_v6'!$B$46+'Motor_Meciuri'!BH94*100*'Config_v6'!$B$47))</x:f>
      </x:c>
      <x:c r="U1240" s="2" t="str">
        <x:f>IF(T1240="","",IF(T1240&lt;=20,1,IF(T1240&lt;=40,2,IF(T1240&lt;=60,3,IF(T1240&lt;=80,4,5)))))</x:f>
      </x:c>
      <x:c r="V1240" s="2" t="str">
        <x:f>IF(M1240="","",MAX(0,'Motor_Meciuri'!BF94-IF(W1240="OOS PENDING",'Config_v6'!$B$35,0)-IF(L1240&gt;'Config_v6'!$B$12,'Config_v6'!$B$37,IF(L1240&gt;'Config_v6'!$B$11,'Config_v6'!$B$36,0))))</x:f>
      </x:c>
      <x:c r="W1240" s="2" t="str">
        <x:f>IF(B1240="","",IF(I1240&lt;&gt;"READY","NOT RELEASED",IF(NOT(AND(J1240="PASS",'Calibrare_Linii'!U8="VALID")),"INVALID",IF(NOT(AND('Calibrare_Linii'!S8="VALIDATED",AND('Calibrare_Linii'!H8=C1240,ISNUMBER('Calibrare_Linii'!J8),'Calibrare_Linii'!J8&lt;='Input_Meci'!G94))),"OOS PENDING",IF(S1240&lt;='Calibrare_Linii'!E8,"PASS",IF(S1240&lt;='Calibrare_Linii'!F8,"PENALTY","WATCH"))))))</x:f>
      </x:c>
      <x:c r="X1240" s="2" t="str">
        <x:f>IF(M1240="","",IF(AND(AND(J1240="PASS",'Calibrare_Linii'!U8="VALID"),'Motor_Meciuri'!K94=12,'Motor_Meciuri'!L94=12,'Motor_Meciuri'!M94="NO",'Motor_Meciuri'!BL94='Motor_Meciuri'!C94,AB1240&gt;='Config_v6'!$B$50,AN1240&gt;='Config_v6'!$B$51,T1240&lt;='Config_v6'!$B$52,L1240&lt;='Config_v6'!$B$53,ISNUMBER('Calibrare_Linii'!E8),S1240&lt;='Calibrare_Linii'!E8,SUM(AK1240:AM1240)&gt;0),"CANDIDATE","NO"))</x:f>
      </x:c>
      <x:c r="Y1240" s="2" t="str">
        <x:f>IF(B1240="","",IF(I1240&lt;&gt;"READY","NOT RELEASED",IF(AND(X1240="CANDIDATE",V1240&gt;='Config_v6'!$B$51,W1240="PASS",'Calibrare_Linii'!T8="VALIDATED",AND('Calibrare_Linii'!H8=C1240,ISNUMBER('Calibrare_Linii'!J8),'Calibrare_Linii'!J8&lt;='Input_Meci'!G94)),"PASS",IF(X1240="CANDIDATE","OOS PENDING","FAIL"))))</x:f>
      </x:c>
      <x:c r="Z1240" s="2" t="str">
        <x:f>IF(B1240="","",IF(I1240&lt;&gt;"READY","",IF(OR(NOT(AND(J1240="PASS",'Calibrare_Linii'!U8="VALID")),L1240&gt;'Config_v6'!$B$13,W1240="WATCH"),5,IF(Y1240="PASS",1,MIN(5,MAX('Config_v6'!$B$42,U1240)+IF(W1240="PENALTY",1,0))))))</x:f>
      </x:c>
      <x:c r="AA1240" s="2" t="str">
        <x:f>IF(B1240="","",IF(I1240&lt;&gt;"READY","NOT RELEASED",IF(Z1240=5,"NO BET",IF(OR(AB1240&lt;'Config_v6'!$B$16,V1240&lt;'Config_v6'!$B$18),"WATCH",IF(Z1240=1,"DEFENSIV",IF(Z1240=2,"PRUDENT",IF(Z1240=3,"MODERAT","RIDICAT")))))))</x:f>
      </x:c>
      <x:c r="AB1240" s="10" t="str">
        <x:f>IF(N1240="","",MIN(N1240,1-S1240))</x:f>
      </x:c>
      <x:c r="AC1240" s="2" t="str">
        <x:f>IF(AD1240&lt;&gt;1,"",COUNTIFS($Z$1238:$Z$1251,"&lt;"&amp;Z1240,$AD$1238:$AD$1251,1)+COUNTIFS($Z$1238:$Z$1251,Z1240,$AB$1238:$AB$1251,"&gt;"&amp;AB1240,$AD$1238:$AD$1251,1)+COUNTIFS($Z$1238:$Z$1251,Z1240,$AB$1238:$AB$1251,AB1240,$V$1238:$V$1251,"&gt;"&amp;V1240,$AD$1238:$AD$1251,1)+COUNTIFS($Z$1238:Z1240,Z1240,$AB$1238:AB1240,AB1240,$V$1238:V1240,V1240,$AD$1238:AD1240,1))</x:f>
      </x:c>
      <x:c r="AD1240" s="2" t="n">
        <x:f>IF(OR(AA1240="DEFENSIV",AA1240="PRUDENT",AA1240="MODERAT",AA1240="RIDICAT"),1,0)</x:f>
        <x:v>0</x:v>
      </x:c>
      <x:c r="AE1240" s="2" t="str">
        <x:f>IF(AD1240&lt;&gt;1,"NO",IF(W1240="PASS","YES",IF(W1240="OOS PENDING","CONDITIONAL","NO")))</x:f>
        <x:v>NO</x:v>
      </x:c>
      <x:c r="AF1240" s="2" t="n">
        <x:f>IF(AND(AD1240=1,AC1240=1,E1240="LIVE"),1,0)</x:f>
        <x:v>0</x:v>
      </x:c>
      <x:c r="AG1240" s="2" t="str">
        <x:f>IF(AF1240&lt;&gt;1,"",'Dashboard'!P114)</x:f>
      </x:c>
      <x:c r="AH1240" s="2" t="str">
        <x:f>IF(B1240="","",IF(J1240&lt;&gt;"PASS",'Motor_Meciuri'!J94,IF('Calibrare_Linii'!U8&lt;&gt;"VALID","Parametri linie invalizi",IF(L1240&gt;'Config_v6'!$B$13,"Dispersie peste limita",IF(W1240="WATCH","Failure peste limita",IF(AB1240&lt;'Config_v6'!$B$16,"P finala sub prag",IF(V1240&lt;'Config_v6'!$B$18,"Confidence sub prag",IF(E1240="REPLAY","Exemplu retrospectiv; exclus din Top LIVE",IF(Y1240="PASS","DEFENSIV validat",IF(W1240="OOS PENDING","Eligibil; calibrare linie in monitorizare","Eligibil"))))))))))</x:f>
      </x:c>
      <x:c r="AI1240" s="2" t="str">
        <x:f>IF(B1240="","",'Calibrare_Linii'!V8)</x:f>
      </x:c>
      <x:c r="AJ1240" s="2" t="str">
        <x:f>IF(B1240="","",IF(AND('Calibrare_Linii'!T8="VALIDATED",AND('Calibrare_Linii'!H8=C1240,ISNUMBER('Calibrare_Linii'!J8),'Calibrare_Linii'!J8&lt;='Input_Meci'!G94)),"DEFENSIVE VALIDATED",IF(AND('Calibrare_Linii'!S8="VALIDATED",AND('Calibrare_Linii'!H8=C1240,ISNUMBER('Calibrare_Linii'!J8),'Calibrare_Linii'!J8&lt;='Input_Meci'!G94)),"TAIL VALIDATED","OOS PENDING")))</x:f>
      </x:c>
      <x:c r="AK1240" s="2" t="n">
        <x:f>IF(J1240&lt;&gt;"PASS",0,'Motor_Meciuri'!BR94)</x:f>
        <x:v>0</x:v>
      </x:c>
      <x:c r="AL1240" s="2" t="n">
        <x:f>IF(J1240&lt;&gt;"PASS",0,'Motor_Meciuri'!BS94)</x:f>
        <x:v>0</x:v>
      </x:c>
      <x:c r="AM1240" s="2" t="n">
        <x:f>IF(J1240&lt;&gt;"PASS",0,'Motor_Meciuri'!BT94)</x:f>
        <x:v>0</x:v>
      </x:c>
      <x:c r="AN1240" s="2" t="str">
        <x:f>IF(M1240="","",MAX(0,'Motor_Meciuri'!BF94-IF(L1240&gt;'Config_v6'!$B$12,'Config_v6'!$B$37,IF(L1240&gt;'Config_v6'!$B$11,'Config_v6'!$B$36,0))))</x:f>
      </x:c>
    </x:row>
    <x:row r="1241" ht="21" customHeight="1">
      <x:c r="A1241" s="2" t="n">
        <x:v>89</x:v>
      </x:c>
      <x:c r="B1241" s="2" t="str">
        <x:f>IF('Motor_Meciuri'!A94="","",'Motor_Meciuri'!A94)</x:f>
      </x:c>
      <x:c r="C1241" s="2" t="str">
        <x:f>IF(B1241="","",'Motor_Meciuri'!B94)</x:f>
      </x:c>
      <x:c r="D1241" s="2" t="str">
        <x:f>IF(B1241="","",'Motor_Meciuri'!D94)</x:f>
      </x:c>
      <x:c r="E1241" s="2" t="str">
        <x:f>IF(B1241="","",'Motor_Meciuri'!E94)</x:f>
      </x:c>
      <x:c r="F1241" s="2" t="str">
        <x:v>O6,5</x:v>
      </x:c>
      <x:c r="G1241" s="2" t="str">
        <x:v>OVER</x:v>
      </x:c>
      <x:c r="H1241" s="2" t="n">
        <x:v>6</x:v>
      </x:c>
      <x:c r="I1241" s="2" t="str">
        <x:f>IF(B1241="","",'Motor_Meciuri'!H94)</x:f>
      </x:c>
      <x:c r="J1241" s="2" t="str">
        <x:f>IF(B1241="","",'Motor_Meciuri'!I94)</x:f>
      </x:c>
      <x:c r="K1241" s="11" t="str">
        <x:f>IF(J1241&lt;&gt;"PASS","",'Motor_Meciuri'!BD94)</x:f>
      </x:c>
      <x:c r="L1241" s="11" t="str">
        <x:f>IF(J1241&lt;&gt;"PASS","",'Motor_Meciuri'!AU94)</x:f>
      </x:c>
      <x:c r="M1241" s="10" t="str">
        <x:f>IF(NOT(AND(J1241="PASS",'Calibrare_Linii'!U9="VALID")),"",1-'Distributie'!AD94)</x:f>
      </x:c>
      <x:c r="N1241" s="10" t="str">
        <x:f>IF(M1241="","",MAX(0.01,MIN(0.99,0.5+(M1241-0.5)*'Motor_Meciuri'!BG94*'Calibrare_Linii'!D9)))</x:f>
      </x:c>
      <x:c r="O1241" s="10" t="str">
        <x:f>IF(M1241="","",1-M1241)</x:f>
      </x:c>
      <x:c r="P1241" s="10" t="str">
        <x:f>IF(OR(NOT(AND(J1241="PASS",'Calibrare_Linii'!U9="VALID")),AK1241=0),""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*('Istoric_Nativ'!$Q$6:$Q$405&lt;=H1241))/AK1241)</x:f>
      </x:c>
      <x:c r="Q1241" s="10" t="str">
        <x:f>IF(OR(NOT(AND(J1241="PASS",'Calibrare_Linii'!U9="VALID")),AL1241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M94)+((('Istoric_Nativ'!$E$6:$E$405='Input_Meci'!E94)+('Istoric_Nativ'!$F$6:$F$405='Input_Meci'!E94))&gt;0)*('Istoric_Nativ'!$D$6:$D$405&gt;='Motor_Meciuri'!BN94))&gt;0)*('Istoric_Nativ'!$Q$6:$Q$405&lt;=H1241))/AL1241)</x:f>
      </x:c>
      <x:c r="R1241" s="10" t="str">
        <x:f>IF(OR(NOT(AND(J1241="PASS",'Calibrare_Linii'!U9="VALID")),AM1241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O94)+((('Istoric_Nativ'!$E$6:$E$405='Input_Meci'!E94)+('Istoric_Nativ'!$F$6:$F$405='Input_Meci'!E94))&gt;0)*('Istoric_Nativ'!$D$6:$D$405&gt;='Motor_Meciuri'!BP94))&gt;0)*('Istoric_Nativ'!$Q$6:$Q$405&lt;=H1241))/AM1241)</x:f>
      </x:c>
      <x:c r="S1241" s="10" t="str">
        <x:f>IF(M1241="","",MAX(O1241,P1241,Q1241,R1241))</x:f>
      </x:c>
      <x:c r="T1241" s="11" t="str">
        <x:f>IF(M1241="","",MIN(100,S1241*100*'Config_v6'!$B$44+MIN(100,L1241/'Config_v6'!$B$13*100)*'Config_v6'!$B$45+(100-'Motor_Meciuri'!BF94)*'Config_v6'!$B$46+'Motor_Meciuri'!BH94*100*'Config_v6'!$B$47))</x:f>
      </x:c>
      <x:c r="U1241" s="2" t="str">
        <x:f>IF(T1241="","",IF(T1241&lt;=20,1,IF(T1241&lt;=40,2,IF(T1241&lt;=60,3,IF(T1241&lt;=80,4,5)))))</x:f>
      </x:c>
      <x:c r="V1241" s="2" t="str">
        <x:f>IF(M1241="","",MAX(0,'Motor_Meciuri'!BF94-IF(W1241="OOS PENDING",'Config_v6'!$B$35,0)-IF(L1241&gt;'Config_v6'!$B$12,'Config_v6'!$B$37,IF(L1241&gt;'Config_v6'!$B$11,'Config_v6'!$B$36,0))))</x:f>
      </x:c>
      <x:c r="W1241" s="2" t="str">
        <x:f>IF(B1241="","",IF(I1241&lt;&gt;"READY","NOT RELEASED",IF(NOT(AND(J1241="PASS",'Calibrare_Linii'!U9="VALID")),"INVALID",IF(NOT(AND('Calibrare_Linii'!S9="VALIDATED",AND('Calibrare_Linii'!H9=C1241,ISNUMBER('Calibrare_Linii'!J9),'Calibrare_Linii'!J9&lt;='Input_Meci'!G94))),"OOS PENDING",IF(S1241&lt;='Calibrare_Linii'!E9,"PASS",IF(S1241&lt;='Calibrare_Linii'!F9,"PENALTY","WATCH"))))))</x:f>
      </x:c>
      <x:c r="X1241" s="2" t="str">
        <x:f>IF(M1241="","",IF(AND(AND(J1241="PASS",'Calibrare_Linii'!U9="VALID"),'Motor_Meciuri'!K94=12,'Motor_Meciuri'!L94=12,'Motor_Meciuri'!M94="NO",'Motor_Meciuri'!BL94='Motor_Meciuri'!C94,AB1241&gt;='Config_v6'!$B$50,AN1241&gt;='Config_v6'!$B$51,T1241&lt;='Config_v6'!$B$52,L1241&lt;='Config_v6'!$B$53,ISNUMBER('Calibrare_Linii'!E9),S1241&lt;='Calibrare_Linii'!E9,SUM(AK1241:AM1241)&gt;0),"CANDIDATE","NO"))</x:f>
      </x:c>
      <x:c r="Y1241" s="2" t="str">
        <x:f>IF(B1241="","",IF(I1241&lt;&gt;"READY","NOT RELEASED",IF(AND(X1241="CANDIDATE",V1241&gt;='Config_v6'!$B$51,W1241="PASS",'Calibrare_Linii'!T9="VALIDATED",AND('Calibrare_Linii'!H9=C1241,ISNUMBER('Calibrare_Linii'!J9),'Calibrare_Linii'!J9&lt;='Input_Meci'!G94)),"PASS",IF(X1241="CANDIDATE","OOS PENDING","FAIL"))))</x:f>
      </x:c>
      <x:c r="Z1241" s="2" t="str">
        <x:f>IF(B1241="","",IF(I1241&lt;&gt;"READY","",IF(OR(NOT(AND(J1241="PASS",'Calibrare_Linii'!U9="VALID")),L1241&gt;'Config_v6'!$B$13,W1241="WATCH"),5,IF(Y1241="PASS",1,MIN(5,MAX('Config_v6'!$B$42,U1241)+IF(W1241="PENALTY",1,0))))))</x:f>
      </x:c>
      <x:c r="AA1241" s="2" t="str">
        <x:f>IF(B1241="","",IF(I1241&lt;&gt;"READY","NOT RELEASED",IF(Z1241=5,"NO BET",IF(OR(AB1241&lt;'Config_v6'!$B$16,V1241&lt;'Config_v6'!$B$18),"WATCH",IF(Z1241=1,"DEFENSIV",IF(Z1241=2,"PRUDENT",IF(Z1241=3,"MODERAT","RIDICAT")))))))</x:f>
      </x:c>
      <x:c r="AB1241" s="10" t="str">
        <x:f>IF(N1241="","",MIN(N1241,1-S1241))</x:f>
      </x:c>
      <x:c r="AC1241" s="2" t="str">
        <x:f>IF(AD1241&lt;&gt;1,"",COUNTIFS($Z$1238:$Z$1251,"&lt;"&amp;Z1241,$AD$1238:$AD$1251,1)+COUNTIFS($Z$1238:$Z$1251,Z1241,$AB$1238:$AB$1251,"&gt;"&amp;AB1241,$AD$1238:$AD$1251,1)+COUNTIFS($Z$1238:$Z$1251,Z1241,$AB$1238:$AB$1251,AB1241,$V$1238:$V$1251,"&gt;"&amp;V1241,$AD$1238:$AD$1251,1)+COUNTIFS($Z$1238:Z1241,Z1241,$AB$1238:AB1241,AB1241,$V$1238:V1241,V1241,$AD$1238:AD1241,1))</x:f>
      </x:c>
      <x:c r="AD1241" s="2" t="n">
        <x:f>IF(OR(AA1241="DEFENSIV",AA1241="PRUDENT",AA1241="MODERAT",AA1241="RIDICAT"),1,0)</x:f>
        <x:v>0</x:v>
      </x:c>
      <x:c r="AE1241" s="2" t="str">
        <x:f>IF(AD1241&lt;&gt;1,"NO",IF(W1241="PASS","YES",IF(W1241="OOS PENDING","CONDITIONAL","NO")))</x:f>
        <x:v>NO</x:v>
      </x:c>
      <x:c r="AF1241" s="2" t="n">
        <x:f>IF(AND(AD1241=1,AC1241=1,E1241="LIVE"),1,0)</x:f>
        <x:v>0</x:v>
      </x:c>
      <x:c r="AG1241" s="2" t="str">
        <x:f>IF(AF1241&lt;&gt;1,"",'Dashboard'!P114)</x:f>
      </x:c>
      <x:c r="AH1241" s="2" t="str">
        <x:f>IF(B1241="","",IF(J1241&lt;&gt;"PASS",'Motor_Meciuri'!J94,IF('Calibrare_Linii'!U9&lt;&gt;"VALID","Parametri linie invalizi",IF(L1241&gt;'Config_v6'!$B$13,"Dispersie peste limita",IF(W1241="WATCH","Failure peste limita",IF(AB1241&lt;'Config_v6'!$B$16,"P finala sub prag",IF(V1241&lt;'Config_v6'!$B$18,"Confidence sub prag",IF(E1241="REPLAY","Exemplu retrospectiv; exclus din Top LIVE",IF(Y1241="PASS","DEFENSIV validat",IF(W1241="OOS PENDING","Eligibil; calibrare linie in monitorizare","Eligibil"))))))))))</x:f>
      </x:c>
      <x:c r="AI1241" s="2" t="str">
        <x:f>IF(B1241="","",'Calibrare_Linii'!V9)</x:f>
      </x:c>
      <x:c r="AJ1241" s="2" t="str">
        <x:f>IF(B1241="","",IF(AND('Calibrare_Linii'!T9="VALIDATED",AND('Calibrare_Linii'!H9=C1241,ISNUMBER('Calibrare_Linii'!J9),'Calibrare_Linii'!J9&lt;='Input_Meci'!G94)),"DEFENSIVE VALIDATED",IF(AND('Calibrare_Linii'!S9="VALIDATED",AND('Calibrare_Linii'!H9=C1241,ISNUMBER('Calibrare_Linii'!J9),'Calibrare_Linii'!J9&lt;='Input_Meci'!G94)),"TAIL VALIDATED","OOS PENDING")))</x:f>
      </x:c>
      <x:c r="AK1241" s="2" t="n">
        <x:f>IF(J1241&lt;&gt;"PASS",0,'Motor_Meciuri'!BR94)</x:f>
        <x:v>0</x:v>
      </x:c>
      <x:c r="AL1241" s="2" t="n">
        <x:f>IF(J1241&lt;&gt;"PASS",0,'Motor_Meciuri'!BS94)</x:f>
        <x:v>0</x:v>
      </x:c>
      <x:c r="AM1241" s="2" t="n">
        <x:f>IF(J1241&lt;&gt;"PASS",0,'Motor_Meciuri'!BT94)</x:f>
        <x:v>0</x:v>
      </x:c>
      <x:c r="AN1241" s="2" t="str">
        <x:f>IF(M1241="","",MAX(0,'Motor_Meciuri'!BF94-IF(L1241&gt;'Config_v6'!$B$12,'Config_v6'!$B$37,IF(L1241&gt;'Config_v6'!$B$11,'Config_v6'!$B$36,0))))</x:f>
      </x:c>
    </x:row>
    <x:row r="1242" ht="21" customHeight="1">
      <x:c r="A1242" s="2" t="n">
        <x:v>89</x:v>
      </x:c>
      <x:c r="B1242" s="2" t="str">
        <x:f>IF('Motor_Meciuri'!A94="","",'Motor_Meciuri'!A94)</x:f>
      </x:c>
      <x:c r="C1242" s="2" t="str">
        <x:f>IF(B1242="","",'Motor_Meciuri'!B94)</x:f>
      </x:c>
      <x:c r="D1242" s="2" t="str">
        <x:f>IF(B1242="","",'Motor_Meciuri'!D94)</x:f>
      </x:c>
      <x:c r="E1242" s="2" t="str">
        <x:f>IF(B1242="","",'Motor_Meciuri'!E94)</x:f>
      </x:c>
      <x:c r="F1242" s="2" t="str">
        <x:v>O7,5</x:v>
      </x:c>
      <x:c r="G1242" s="2" t="str">
        <x:v>OVER</x:v>
      </x:c>
      <x:c r="H1242" s="2" t="n">
        <x:v>7</x:v>
      </x:c>
      <x:c r="I1242" s="2" t="str">
        <x:f>IF(B1242="","",'Motor_Meciuri'!H94)</x:f>
      </x:c>
      <x:c r="J1242" s="2" t="str">
        <x:f>IF(B1242="","",'Motor_Meciuri'!I94)</x:f>
      </x:c>
      <x:c r="K1242" s="11" t="str">
        <x:f>IF(J1242&lt;&gt;"PASS","",'Motor_Meciuri'!BD94)</x:f>
      </x:c>
      <x:c r="L1242" s="11" t="str">
        <x:f>IF(J1242&lt;&gt;"PASS","",'Motor_Meciuri'!AU94)</x:f>
      </x:c>
      <x:c r="M1242" s="10" t="str">
        <x:f>IF(NOT(AND(J1242="PASS",'Calibrare_Linii'!U10="VALID")),"",1-'Distributie'!AE94)</x:f>
      </x:c>
      <x:c r="N1242" s="10" t="str">
        <x:f>IF(M1242="","",MAX(0.01,MIN(0.99,0.5+(M1242-0.5)*'Motor_Meciuri'!BG94*'Calibrare_Linii'!D10)))</x:f>
      </x:c>
      <x:c r="O1242" s="10" t="str">
        <x:f>IF(M1242="","",1-M1242)</x:f>
      </x:c>
      <x:c r="P1242" s="10" t="str">
        <x:f>IF(OR(NOT(AND(J1242="PASS",'Calibrare_Linii'!U10="VALID")),AK1242=0),""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*('Istoric_Nativ'!$Q$6:$Q$405&lt;=H1242))/AK1242)</x:f>
      </x:c>
      <x:c r="Q1242" s="10" t="str">
        <x:f>IF(OR(NOT(AND(J1242="PASS",'Calibrare_Linii'!U10="VALID")),AL1242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M94)+((('Istoric_Nativ'!$E$6:$E$405='Input_Meci'!E94)+('Istoric_Nativ'!$F$6:$F$405='Input_Meci'!E94))&gt;0)*('Istoric_Nativ'!$D$6:$D$405&gt;='Motor_Meciuri'!BN94))&gt;0)*('Istoric_Nativ'!$Q$6:$Q$405&lt;=H1242))/AL1242)</x:f>
      </x:c>
      <x:c r="R1242" s="10" t="str">
        <x:f>IF(OR(NOT(AND(J1242="PASS",'Calibrare_Linii'!U10="VALID")),AM1242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O94)+((('Istoric_Nativ'!$E$6:$E$405='Input_Meci'!E94)+('Istoric_Nativ'!$F$6:$F$405='Input_Meci'!E94))&gt;0)*('Istoric_Nativ'!$D$6:$D$405&gt;='Motor_Meciuri'!BP94))&gt;0)*('Istoric_Nativ'!$Q$6:$Q$405&lt;=H1242))/AM1242)</x:f>
      </x:c>
      <x:c r="S1242" s="10" t="str">
        <x:f>IF(M1242="","",MAX(O1242,P1242,Q1242,R1242))</x:f>
      </x:c>
      <x:c r="T1242" s="11" t="str">
        <x:f>IF(M1242="","",MIN(100,S1242*100*'Config_v6'!$B$44+MIN(100,L1242/'Config_v6'!$B$13*100)*'Config_v6'!$B$45+(100-'Motor_Meciuri'!BF94)*'Config_v6'!$B$46+'Motor_Meciuri'!BH94*100*'Config_v6'!$B$47))</x:f>
      </x:c>
      <x:c r="U1242" s="2" t="str">
        <x:f>IF(T1242="","",IF(T1242&lt;=20,1,IF(T1242&lt;=40,2,IF(T1242&lt;=60,3,IF(T1242&lt;=80,4,5)))))</x:f>
      </x:c>
      <x:c r="V1242" s="2" t="str">
        <x:f>IF(M1242="","",MAX(0,'Motor_Meciuri'!BF94-IF(W1242="OOS PENDING",'Config_v6'!$B$35,0)-IF(L1242&gt;'Config_v6'!$B$12,'Config_v6'!$B$37,IF(L1242&gt;'Config_v6'!$B$11,'Config_v6'!$B$36,0))))</x:f>
      </x:c>
      <x:c r="W1242" s="2" t="str">
        <x:f>IF(B1242="","",IF(I1242&lt;&gt;"READY","NOT RELEASED",IF(NOT(AND(J1242="PASS",'Calibrare_Linii'!U10="VALID")),"INVALID",IF(NOT(AND('Calibrare_Linii'!S10="VALIDATED",AND('Calibrare_Linii'!H10=C1242,ISNUMBER('Calibrare_Linii'!J10),'Calibrare_Linii'!J10&lt;='Input_Meci'!G94))),"OOS PENDING",IF(S1242&lt;='Calibrare_Linii'!E10,"PASS",IF(S1242&lt;='Calibrare_Linii'!F10,"PENALTY","WATCH"))))))</x:f>
      </x:c>
      <x:c r="X1242" s="2" t="str">
        <x:f>IF(M1242="","",IF(AND(AND(J1242="PASS",'Calibrare_Linii'!U10="VALID"),'Motor_Meciuri'!K94=12,'Motor_Meciuri'!L94=12,'Motor_Meciuri'!M94="NO",'Motor_Meciuri'!BL94='Motor_Meciuri'!C94,AB1242&gt;='Config_v6'!$B$50,AN1242&gt;='Config_v6'!$B$51,T1242&lt;='Config_v6'!$B$52,L1242&lt;='Config_v6'!$B$53,ISNUMBER('Calibrare_Linii'!E10),S1242&lt;='Calibrare_Linii'!E10,SUM(AK1242:AM1242)&gt;0),"CANDIDATE","NO"))</x:f>
      </x:c>
      <x:c r="Y1242" s="2" t="str">
        <x:f>IF(B1242="","",IF(I1242&lt;&gt;"READY","NOT RELEASED",IF(AND(X1242="CANDIDATE",V1242&gt;='Config_v6'!$B$51,W1242="PASS",'Calibrare_Linii'!T10="VALIDATED",AND('Calibrare_Linii'!H10=C1242,ISNUMBER('Calibrare_Linii'!J10),'Calibrare_Linii'!J10&lt;='Input_Meci'!G94)),"PASS",IF(X1242="CANDIDATE","OOS PENDING","FAIL"))))</x:f>
      </x:c>
      <x:c r="Z1242" s="2" t="str">
        <x:f>IF(B1242="","",IF(I1242&lt;&gt;"READY","",IF(OR(NOT(AND(J1242="PASS",'Calibrare_Linii'!U10="VALID")),L1242&gt;'Config_v6'!$B$13,W1242="WATCH"),5,IF(Y1242="PASS",1,MIN(5,MAX('Config_v6'!$B$42,U1242)+IF(W1242="PENALTY",1,0))))))</x:f>
      </x:c>
      <x:c r="AA1242" s="2" t="str">
        <x:f>IF(B1242="","",IF(I1242&lt;&gt;"READY","NOT RELEASED",IF(Z1242=5,"NO BET",IF(OR(AB1242&lt;'Config_v6'!$B$16,V1242&lt;'Config_v6'!$B$18),"WATCH",IF(Z1242=1,"DEFENSIV",IF(Z1242=2,"PRUDENT",IF(Z1242=3,"MODERAT","RIDICAT")))))))</x:f>
      </x:c>
      <x:c r="AB1242" s="10" t="str">
        <x:f>IF(N1242="","",MIN(N1242,1-S1242))</x:f>
      </x:c>
      <x:c r="AC1242" s="2" t="str">
        <x:f>IF(AD1242&lt;&gt;1,"",COUNTIFS($Z$1238:$Z$1251,"&lt;"&amp;Z1242,$AD$1238:$AD$1251,1)+COUNTIFS($Z$1238:$Z$1251,Z1242,$AB$1238:$AB$1251,"&gt;"&amp;AB1242,$AD$1238:$AD$1251,1)+COUNTIFS($Z$1238:$Z$1251,Z1242,$AB$1238:$AB$1251,AB1242,$V$1238:$V$1251,"&gt;"&amp;V1242,$AD$1238:$AD$1251,1)+COUNTIFS($Z$1238:Z1242,Z1242,$AB$1238:AB1242,AB1242,$V$1238:V1242,V1242,$AD$1238:AD1242,1))</x:f>
      </x:c>
      <x:c r="AD1242" s="2" t="n">
        <x:f>IF(OR(AA1242="DEFENSIV",AA1242="PRUDENT",AA1242="MODERAT",AA1242="RIDICAT"),1,0)</x:f>
        <x:v>0</x:v>
      </x:c>
      <x:c r="AE1242" s="2" t="str">
        <x:f>IF(AD1242&lt;&gt;1,"NO",IF(W1242="PASS","YES",IF(W1242="OOS PENDING","CONDITIONAL","NO")))</x:f>
        <x:v>NO</x:v>
      </x:c>
      <x:c r="AF1242" s="2" t="n">
        <x:f>IF(AND(AD1242=1,AC1242=1,E1242="LIVE"),1,0)</x:f>
        <x:v>0</x:v>
      </x:c>
      <x:c r="AG1242" s="2" t="str">
        <x:f>IF(AF1242&lt;&gt;1,"",'Dashboard'!P114)</x:f>
      </x:c>
      <x:c r="AH1242" s="2" t="str">
        <x:f>IF(B1242="","",IF(J1242&lt;&gt;"PASS",'Motor_Meciuri'!J94,IF('Calibrare_Linii'!U10&lt;&gt;"VALID","Parametri linie invalizi",IF(L1242&gt;'Config_v6'!$B$13,"Dispersie peste limita",IF(W1242="WATCH","Failure peste limita",IF(AB1242&lt;'Config_v6'!$B$16,"P finala sub prag",IF(V1242&lt;'Config_v6'!$B$18,"Confidence sub prag",IF(E1242="REPLAY","Exemplu retrospectiv; exclus din Top LIVE",IF(Y1242="PASS","DEFENSIV validat",IF(W1242="OOS PENDING","Eligibil; calibrare linie in monitorizare","Eligibil"))))))))))</x:f>
      </x:c>
      <x:c r="AI1242" s="2" t="str">
        <x:f>IF(B1242="","",'Calibrare_Linii'!V10)</x:f>
      </x:c>
      <x:c r="AJ1242" s="2" t="str">
        <x:f>IF(B1242="","",IF(AND('Calibrare_Linii'!T10="VALIDATED",AND('Calibrare_Linii'!H10=C1242,ISNUMBER('Calibrare_Linii'!J10),'Calibrare_Linii'!J10&lt;='Input_Meci'!G94)),"DEFENSIVE VALIDATED",IF(AND('Calibrare_Linii'!S10="VALIDATED",AND('Calibrare_Linii'!H10=C1242,ISNUMBER('Calibrare_Linii'!J10),'Calibrare_Linii'!J10&lt;='Input_Meci'!G94)),"TAIL VALIDATED","OOS PENDING")))</x:f>
      </x:c>
      <x:c r="AK1242" s="2" t="n">
        <x:f>IF(J1242&lt;&gt;"PASS",0,'Motor_Meciuri'!BR94)</x:f>
        <x:v>0</x:v>
      </x:c>
      <x:c r="AL1242" s="2" t="n">
        <x:f>IF(J1242&lt;&gt;"PASS",0,'Motor_Meciuri'!BS94)</x:f>
        <x:v>0</x:v>
      </x:c>
      <x:c r="AM1242" s="2" t="n">
        <x:f>IF(J1242&lt;&gt;"PASS",0,'Motor_Meciuri'!BT94)</x:f>
        <x:v>0</x:v>
      </x:c>
      <x:c r="AN1242" s="2" t="str">
        <x:f>IF(M1242="","",MAX(0,'Motor_Meciuri'!BF94-IF(L1242&gt;'Config_v6'!$B$12,'Config_v6'!$B$37,IF(L1242&gt;'Config_v6'!$B$11,'Config_v6'!$B$36,0))))</x:f>
      </x:c>
    </x:row>
    <x:row r="1243" ht="21" customHeight="1">
      <x:c r="A1243" s="2" t="n">
        <x:v>89</x:v>
      </x:c>
      <x:c r="B1243" s="2" t="str">
        <x:f>IF('Motor_Meciuri'!A94="","",'Motor_Meciuri'!A94)</x:f>
      </x:c>
      <x:c r="C1243" s="2" t="str">
        <x:f>IF(B1243="","",'Motor_Meciuri'!B94)</x:f>
      </x:c>
      <x:c r="D1243" s="2" t="str">
        <x:f>IF(B1243="","",'Motor_Meciuri'!D94)</x:f>
      </x:c>
      <x:c r="E1243" s="2" t="str">
        <x:f>IF(B1243="","",'Motor_Meciuri'!E94)</x:f>
      </x:c>
      <x:c r="F1243" s="2" t="str">
        <x:v>O8,5</x:v>
      </x:c>
      <x:c r="G1243" s="2" t="str">
        <x:v>OVER</x:v>
      </x:c>
      <x:c r="H1243" s="2" t="n">
        <x:v>8</x:v>
      </x:c>
      <x:c r="I1243" s="2" t="str">
        <x:f>IF(B1243="","",'Motor_Meciuri'!H94)</x:f>
      </x:c>
      <x:c r="J1243" s="2" t="str">
        <x:f>IF(B1243="","",'Motor_Meciuri'!I94)</x:f>
      </x:c>
      <x:c r="K1243" s="11" t="str">
        <x:f>IF(J1243&lt;&gt;"PASS","",'Motor_Meciuri'!BD94)</x:f>
      </x:c>
      <x:c r="L1243" s="11" t="str">
        <x:f>IF(J1243&lt;&gt;"PASS","",'Motor_Meciuri'!AU94)</x:f>
      </x:c>
      <x:c r="M1243" s="10" t="str">
        <x:f>IF(NOT(AND(J1243="PASS",'Calibrare_Linii'!U11="VALID")),"",1-'Distributie'!AF94)</x:f>
      </x:c>
      <x:c r="N1243" s="10" t="str">
        <x:f>IF(M1243="","",MAX(0.01,MIN(0.99,0.5+(M1243-0.5)*'Motor_Meciuri'!BG94*'Calibrare_Linii'!D11)))</x:f>
      </x:c>
      <x:c r="O1243" s="10" t="str">
        <x:f>IF(M1243="","",1-M1243)</x:f>
      </x:c>
      <x:c r="P1243" s="10" t="str">
        <x:f>IF(OR(NOT(AND(J1243="PASS",'Calibrare_Linii'!U11="VALID")),AK1243=0),""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*('Istoric_Nativ'!$Q$6:$Q$405&lt;=H1243))/AK1243)</x:f>
      </x:c>
      <x:c r="Q1243" s="10" t="str">
        <x:f>IF(OR(NOT(AND(J1243="PASS",'Calibrare_Linii'!U11="VALID")),AL1243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M94)+((('Istoric_Nativ'!$E$6:$E$405='Input_Meci'!E94)+('Istoric_Nativ'!$F$6:$F$405='Input_Meci'!E94))&gt;0)*('Istoric_Nativ'!$D$6:$D$405&gt;='Motor_Meciuri'!BN94))&gt;0)*('Istoric_Nativ'!$Q$6:$Q$405&lt;=H1243))/AL1243)</x:f>
      </x:c>
      <x:c r="R1243" s="10" t="str">
        <x:f>IF(OR(NOT(AND(J1243="PASS",'Calibrare_Linii'!U11="VALID")),AM1243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O94)+((('Istoric_Nativ'!$E$6:$E$405='Input_Meci'!E94)+('Istoric_Nativ'!$F$6:$F$405='Input_Meci'!E94))&gt;0)*('Istoric_Nativ'!$D$6:$D$405&gt;='Motor_Meciuri'!BP94))&gt;0)*('Istoric_Nativ'!$Q$6:$Q$405&lt;=H1243))/AM1243)</x:f>
      </x:c>
      <x:c r="S1243" s="10" t="str">
        <x:f>IF(M1243="","",MAX(O1243,P1243,Q1243,R1243))</x:f>
      </x:c>
      <x:c r="T1243" s="11" t="str">
        <x:f>IF(M1243="","",MIN(100,S1243*100*'Config_v6'!$B$44+MIN(100,L1243/'Config_v6'!$B$13*100)*'Config_v6'!$B$45+(100-'Motor_Meciuri'!BF94)*'Config_v6'!$B$46+'Motor_Meciuri'!BH94*100*'Config_v6'!$B$47))</x:f>
      </x:c>
      <x:c r="U1243" s="2" t="str">
        <x:f>IF(T1243="","",IF(T1243&lt;=20,1,IF(T1243&lt;=40,2,IF(T1243&lt;=60,3,IF(T1243&lt;=80,4,5)))))</x:f>
      </x:c>
      <x:c r="V1243" s="2" t="str">
        <x:f>IF(M1243="","",MAX(0,'Motor_Meciuri'!BF94-IF(W1243="OOS PENDING",'Config_v6'!$B$35,0)-IF(L1243&gt;'Config_v6'!$B$12,'Config_v6'!$B$37,IF(L1243&gt;'Config_v6'!$B$11,'Config_v6'!$B$36,0))))</x:f>
      </x:c>
      <x:c r="W1243" s="2" t="str">
        <x:f>IF(B1243="","",IF(I1243&lt;&gt;"READY","NOT RELEASED",IF(NOT(AND(J1243="PASS",'Calibrare_Linii'!U11="VALID")),"INVALID",IF(NOT(AND('Calibrare_Linii'!S11="VALIDATED",AND('Calibrare_Linii'!H11=C1243,ISNUMBER('Calibrare_Linii'!J11),'Calibrare_Linii'!J11&lt;='Input_Meci'!G94))),"OOS PENDING",IF(S1243&lt;='Calibrare_Linii'!E11,"PASS",IF(S1243&lt;='Calibrare_Linii'!F11,"PENALTY","WATCH"))))))</x:f>
      </x:c>
      <x:c r="X1243" s="2" t="str">
        <x:f>IF(M1243="","",IF(AND(AND(J1243="PASS",'Calibrare_Linii'!U11="VALID"),'Motor_Meciuri'!K94=12,'Motor_Meciuri'!L94=12,'Motor_Meciuri'!M94="NO",'Motor_Meciuri'!BL94='Motor_Meciuri'!C94,AB1243&gt;='Config_v6'!$B$50,AN1243&gt;='Config_v6'!$B$51,T1243&lt;='Config_v6'!$B$52,L1243&lt;='Config_v6'!$B$53,ISNUMBER('Calibrare_Linii'!E11),S1243&lt;='Calibrare_Linii'!E11,SUM(AK1243:AM1243)&gt;0),"CANDIDATE","NO"))</x:f>
      </x:c>
      <x:c r="Y1243" s="2" t="str">
        <x:f>IF(B1243="","",IF(I1243&lt;&gt;"READY","NOT RELEASED",IF(AND(X1243="CANDIDATE",V1243&gt;='Config_v6'!$B$51,W1243="PASS",'Calibrare_Linii'!T11="VALIDATED",AND('Calibrare_Linii'!H11=C1243,ISNUMBER('Calibrare_Linii'!J11),'Calibrare_Linii'!J11&lt;='Input_Meci'!G94)),"PASS",IF(X1243="CANDIDATE","OOS PENDING","FAIL"))))</x:f>
      </x:c>
      <x:c r="Z1243" s="2" t="str">
        <x:f>IF(B1243="","",IF(I1243&lt;&gt;"READY","",IF(OR(NOT(AND(J1243="PASS",'Calibrare_Linii'!U11="VALID")),L1243&gt;'Config_v6'!$B$13,W1243="WATCH"),5,IF(Y1243="PASS",1,MIN(5,MAX('Config_v6'!$B$42,U1243)+IF(W1243="PENALTY",1,0))))))</x:f>
      </x:c>
      <x:c r="AA1243" s="2" t="str">
        <x:f>IF(B1243="","",IF(I1243&lt;&gt;"READY","NOT RELEASED",IF(Z1243=5,"NO BET",IF(OR(AB1243&lt;'Config_v6'!$B$16,V1243&lt;'Config_v6'!$B$18),"WATCH",IF(Z1243=1,"DEFENSIV",IF(Z1243=2,"PRUDENT",IF(Z1243=3,"MODERAT","RIDICAT")))))))</x:f>
      </x:c>
      <x:c r="AB1243" s="10" t="str">
        <x:f>IF(N1243="","",MIN(N1243,1-S1243))</x:f>
      </x:c>
      <x:c r="AC1243" s="2" t="str">
        <x:f>IF(AD1243&lt;&gt;1,"",COUNTIFS($Z$1238:$Z$1251,"&lt;"&amp;Z1243,$AD$1238:$AD$1251,1)+COUNTIFS($Z$1238:$Z$1251,Z1243,$AB$1238:$AB$1251,"&gt;"&amp;AB1243,$AD$1238:$AD$1251,1)+COUNTIFS($Z$1238:$Z$1251,Z1243,$AB$1238:$AB$1251,AB1243,$V$1238:$V$1251,"&gt;"&amp;V1243,$AD$1238:$AD$1251,1)+COUNTIFS($Z$1238:Z1243,Z1243,$AB$1238:AB1243,AB1243,$V$1238:V1243,V1243,$AD$1238:AD1243,1))</x:f>
      </x:c>
      <x:c r="AD1243" s="2" t="n">
        <x:f>IF(OR(AA1243="DEFENSIV",AA1243="PRUDENT",AA1243="MODERAT",AA1243="RIDICAT"),1,0)</x:f>
        <x:v>0</x:v>
      </x:c>
      <x:c r="AE1243" s="2" t="str">
        <x:f>IF(AD1243&lt;&gt;1,"NO",IF(W1243="PASS","YES",IF(W1243="OOS PENDING","CONDITIONAL","NO")))</x:f>
        <x:v>NO</x:v>
      </x:c>
      <x:c r="AF1243" s="2" t="n">
        <x:f>IF(AND(AD1243=1,AC1243=1,E1243="LIVE"),1,0)</x:f>
        <x:v>0</x:v>
      </x:c>
      <x:c r="AG1243" s="2" t="str">
        <x:f>IF(AF1243&lt;&gt;1,"",'Dashboard'!P114)</x:f>
      </x:c>
      <x:c r="AH1243" s="2" t="str">
        <x:f>IF(B1243="","",IF(J1243&lt;&gt;"PASS",'Motor_Meciuri'!J94,IF('Calibrare_Linii'!U11&lt;&gt;"VALID","Parametri linie invalizi",IF(L1243&gt;'Config_v6'!$B$13,"Dispersie peste limita",IF(W1243="WATCH","Failure peste limita",IF(AB1243&lt;'Config_v6'!$B$16,"P finala sub prag",IF(V1243&lt;'Config_v6'!$B$18,"Confidence sub prag",IF(E1243="REPLAY","Exemplu retrospectiv; exclus din Top LIVE",IF(Y1243="PASS","DEFENSIV validat",IF(W1243="OOS PENDING","Eligibil; calibrare linie in monitorizare","Eligibil"))))))))))</x:f>
      </x:c>
      <x:c r="AI1243" s="2" t="str">
        <x:f>IF(B1243="","",'Calibrare_Linii'!V11)</x:f>
      </x:c>
      <x:c r="AJ1243" s="2" t="str">
        <x:f>IF(B1243="","",IF(AND('Calibrare_Linii'!T11="VALIDATED",AND('Calibrare_Linii'!H11=C1243,ISNUMBER('Calibrare_Linii'!J11),'Calibrare_Linii'!J11&lt;='Input_Meci'!G94)),"DEFENSIVE VALIDATED",IF(AND('Calibrare_Linii'!S11="VALIDATED",AND('Calibrare_Linii'!H11=C1243,ISNUMBER('Calibrare_Linii'!J11),'Calibrare_Linii'!J11&lt;='Input_Meci'!G94)),"TAIL VALIDATED","OOS PENDING")))</x:f>
      </x:c>
      <x:c r="AK1243" s="2" t="n">
        <x:f>IF(J1243&lt;&gt;"PASS",0,'Motor_Meciuri'!BR94)</x:f>
        <x:v>0</x:v>
      </x:c>
      <x:c r="AL1243" s="2" t="n">
        <x:f>IF(J1243&lt;&gt;"PASS",0,'Motor_Meciuri'!BS94)</x:f>
        <x:v>0</x:v>
      </x:c>
      <x:c r="AM1243" s="2" t="n">
        <x:f>IF(J1243&lt;&gt;"PASS",0,'Motor_Meciuri'!BT94)</x:f>
        <x:v>0</x:v>
      </x:c>
      <x:c r="AN1243" s="2" t="str">
        <x:f>IF(M1243="","",MAX(0,'Motor_Meciuri'!BF94-IF(L1243&gt;'Config_v6'!$B$12,'Config_v6'!$B$37,IF(L1243&gt;'Config_v6'!$B$11,'Config_v6'!$B$36,0))))</x:f>
      </x:c>
    </x:row>
    <x:row r="1244" ht="21" customHeight="1">
      <x:c r="A1244" s="2" t="n">
        <x:v>89</x:v>
      </x:c>
      <x:c r="B1244" s="2" t="str">
        <x:f>IF('Motor_Meciuri'!A94="","",'Motor_Meciuri'!A94)</x:f>
      </x:c>
      <x:c r="C1244" s="2" t="str">
        <x:f>IF(B1244="","",'Motor_Meciuri'!B94)</x:f>
      </x:c>
      <x:c r="D1244" s="2" t="str">
        <x:f>IF(B1244="","",'Motor_Meciuri'!D94)</x:f>
      </x:c>
      <x:c r="E1244" s="2" t="str">
        <x:f>IF(B1244="","",'Motor_Meciuri'!E94)</x:f>
      </x:c>
      <x:c r="F1244" s="2" t="str">
        <x:v>U10,5</x:v>
      </x:c>
      <x:c r="G1244" s="2" t="str">
        <x:v>UNDER</x:v>
      </x:c>
      <x:c r="H1244" s="2" t="n">
        <x:v>10</x:v>
      </x:c>
      <x:c r="I1244" s="2" t="str">
        <x:f>IF(B1244="","",'Motor_Meciuri'!H94)</x:f>
      </x:c>
      <x:c r="J1244" s="2" t="str">
        <x:f>IF(B1244="","",'Motor_Meciuri'!I94)</x:f>
      </x:c>
      <x:c r="K1244" s="11" t="str">
        <x:f>IF(J1244&lt;&gt;"PASS","",'Motor_Meciuri'!BD94)</x:f>
      </x:c>
      <x:c r="L1244" s="11" t="str">
        <x:f>IF(J1244&lt;&gt;"PASS","",'Motor_Meciuri'!AU94)</x:f>
      </x:c>
      <x:c r="M1244" s="10" t="str">
        <x:f>IF(NOT(AND(J1244="PASS",'Calibrare_Linii'!U12="VALID")),"",'Distributie'!AH94)</x:f>
      </x:c>
      <x:c r="N1244" s="10" t="str">
        <x:f>IF(M1244="","",MAX(0.01,MIN(0.99,0.5+(M1244-0.5)*'Motor_Meciuri'!BG94*'Calibrare_Linii'!D12)))</x:f>
      </x:c>
      <x:c r="O1244" s="10" t="str">
        <x:f>IF(M1244="","",1-M1244)</x:f>
      </x:c>
      <x:c r="P1244" s="10" t="str">
        <x:f>IF(OR(NOT(AND(J1244="PASS",'Calibrare_Linii'!U12="VALID")),AK1244=0),""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*('Istoric_Nativ'!$Q$6:$Q$405&gt;H1244))/AK1244)</x:f>
      </x:c>
      <x:c r="Q1244" s="10" t="str">
        <x:f>IF(OR(NOT(AND(J1244="PASS",'Calibrare_Linii'!U12="VALID")),AL1244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M94)+((('Istoric_Nativ'!$E$6:$E$405='Input_Meci'!E94)+('Istoric_Nativ'!$F$6:$F$405='Input_Meci'!E94))&gt;0)*('Istoric_Nativ'!$D$6:$D$405&gt;='Motor_Meciuri'!BN94))&gt;0)*('Istoric_Nativ'!$Q$6:$Q$405&gt;H1244))/AL1244)</x:f>
      </x:c>
      <x:c r="R1244" s="10" t="str">
        <x:f>IF(OR(NOT(AND(J1244="PASS",'Calibrare_Linii'!U12="VALID")),AM1244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O94)+((('Istoric_Nativ'!$E$6:$E$405='Input_Meci'!E94)+('Istoric_Nativ'!$F$6:$F$405='Input_Meci'!E94))&gt;0)*('Istoric_Nativ'!$D$6:$D$405&gt;='Motor_Meciuri'!BP94))&gt;0)*('Istoric_Nativ'!$Q$6:$Q$405&gt;H1244))/AM1244)</x:f>
      </x:c>
      <x:c r="S1244" s="10" t="str">
        <x:f>IF(M1244="","",MAX(O1244,P1244,Q1244,R1244))</x:f>
      </x:c>
      <x:c r="T1244" s="11" t="str">
        <x:f>IF(M1244="","",MIN(100,S1244*100*'Config_v6'!$B$44+MIN(100,L1244/'Config_v6'!$B$13*100)*'Config_v6'!$B$45+(100-'Motor_Meciuri'!BF94)*'Config_v6'!$B$46+'Motor_Meciuri'!BH94*100*'Config_v6'!$B$47))</x:f>
      </x:c>
      <x:c r="U1244" s="2" t="str">
        <x:f>IF(T1244="","",IF(T1244&lt;=20,1,IF(T1244&lt;=40,2,IF(T1244&lt;=60,3,IF(T1244&lt;=80,4,5)))))</x:f>
      </x:c>
      <x:c r="V1244" s="2" t="str">
        <x:f>IF(M1244="","",MAX(0,'Motor_Meciuri'!BF94-IF(W1244="OOS PENDING",'Config_v6'!$B$35,0)-IF(L1244&gt;'Config_v6'!$B$12,'Config_v6'!$B$37,IF(L1244&gt;'Config_v6'!$B$11,'Config_v6'!$B$36,0))))</x:f>
      </x:c>
      <x:c r="W1244" s="2" t="str">
        <x:f>IF(B1244="","",IF(I1244&lt;&gt;"READY","NOT RELEASED",IF(NOT(AND(J1244="PASS",'Calibrare_Linii'!U12="VALID")),"INVALID",IF(NOT(AND('Calibrare_Linii'!S12="VALIDATED",AND('Calibrare_Linii'!H12=C1244,ISNUMBER('Calibrare_Linii'!J12),'Calibrare_Linii'!J12&lt;='Input_Meci'!G94))),"OOS PENDING",IF(S1244&lt;='Calibrare_Linii'!E12,"PASS",IF(S1244&lt;='Calibrare_Linii'!F12,"PENALTY","WATCH"))))))</x:f>
      </x:c>
      <x:c r="X1244" s="2" t="str">
        <x:f>IF(M1244="","",IF(AND(AND(J1244="PASS",'Calibrare_Linii'!U12="VALID"),'Motor_Meciuri'!K94=12,'Motor_Meciuri'!L94=12,'Motor_Meciuri'!M94="NO",'Motor_Meciuri'!BL94='Motor_Meciuri'!C94,AB1244&gt;='Config_v6'!$B$50,AN1244&gt;='Config_v6'!$B$51,T1244&lt;='Config_v6'!$B$52,L1244&lt;='Config_v6'!$B$53,ISNUMBER('Calibrare_Linii'!E12),S1244&lt;='Calibrare_Linii'!E12,SUM(AK1244:AM1244)&gt;0),"CANDIDATE","NO"))</x:f>
      </x:c>
      <x:c r="Y1244" s="2" t="str">
        <x:f>IF(B1244="","",IF(I1244&lt;&gt;"READY","NOT RELEASED",IF(AND(X1244="CANDIDATE",V1244&gt;='Config_v6'!$B$51,W1244="PASS",'Calibrare_Linii'!T12="VALIDATED",AND('Calibrare_Linii'!H12=C1244,ISNUMBER('Calibrare_Linii'!J12),'Calibrare_Linii'!J12&lt;='Input_Meci'!G94)),"PASS",IF(X1244="CANDIDATE","OOS PENDING","FAIL"))))</x:f>
      </x:c>
      <x:c r="Z1244" s="2" t="str">
        <x:f>IF(B1244="","",IF(I1244&lt;&gt;"READY","",IF(OR(NOT(AND(J1244="PASS",'Calibrare_Linii'!U12="VALID")),L1244&gt;'Config_v6'!$B$13,W1244="WATCH"),5,IF(Y1244="PASS",1,MIN(5,MAX('Config_v6'!$B$42,U1244)+IF(W1244="PENALTY",1,0))))))</x:f>
      </x:c>
      <x:c r="AA1244" s="2" t="str">
        <x:f>IF(B1244="","",IF(I1244&lt;&gt;"READY","NOT RELEASED",IF(Z1244=5,"NO BET",IF(OR(AB1244&lt;'Config_v6'!$B$16,V1244&lt;'Config_v6'!$B$18),"WATCH",IF(Z1244=1,"DEFENSIV",IF(Z1244=2,"PRUDENT",IF(Z1244=3,"MODERAT","RIDICAT")))))))</x:f>
      </x:c>
      <x:c r="AB1244" s="10" t="str">
        <x:f>IF(N1244="","",MIN(N1244,1-S1244))</x:f>
      </x:c>
      <x:c r="AC1244" s="2" t="str">
        <x:f>IF(AD1244&lt;&gt;1,"",COUNTIFS($Z$1238:$Z$1251,"&lt;"&amp;Z1244,$AD$1238:$AD$1251,1)+COUNTIFS($Z$1238:$Z$1251,Z1244,$AB$1238:$AB$1251,"&gt;"&amp;AB1244,$AD$1238:$AD$1251,1)+COUNTIFS($Z$1238:$Z$1251,Z1244,$AB$1238:$AB$1251,AB1244,$V$1238:$V$1251,"&gt;"&amp;V1244,$AD$1238:$AD$1251,1)+COUNTIFS($Z$1238:Z1244,Z1244,$AB$1238:AB1244,AB1244,$V$1238:V1244,V1244,$AD$1238:AD1244,1))</x:f>
      </x:c>
      <x:c r="AD1244" s="2" t="n">
        <x:f>IF(OR(AA1244="DEFENSIV",AA1244="PRUDENT",AA1244="MODERAT",AA1244="RIDICAT"),1,0)</x:f>
        <x:v>0</x:v>
      </x:c>
      <x:c r="AE1244" s="2" t="str">
        <x:f>IF(AD1244&lt;&gt;1,"NO",IF(W1244="PASS","YES",IF(W1244="OOS PENDING","CONDITIONAL","NO")))</x:f>
        <x:v>NO</x:v>
      </x:c>
      <x:c r="AF1244" s="2" t="n">
        <x:f>IF(AND(AD1244=1,AC1244=1,E1244="LIVE"),1,0)</x:f>
        <x:v>0</x:v>
      </x:c>
      <x:c r="AG1244" s="2" t="str">
        <x:f>IF(AF1244&lt;&gt;1,"",'Dashboard'!P114)</x:f>
      </x:c>
      <x:c r="AH1244" s="2" t="str">
        <x:f>IF(B1244="","",IF(J1244&lt;&gt;"PASS",'Motor_Meciuri'!J94,IF('Calibrare_Linii'!U12&lt;&gt;"VALID","Parametri linie invalizi",IF(L1244&gt;'Config_v6'!$B$13,"Dispersie peste limita",IF(W1244="WATCH","Failure peste limita",IF(AB1244&lt;'Config_v6'!$B$16,"P finala sub prag",IF(V1244&lt;'Config_v6'!$B$18,"Confidence sub prag",IF(E1244="REPLAY","Exemplu retrospectiv; exclus din Top LIVE",IF(Y1244="PASS","DEFENSIV validat",IF(W1244="OOS PENDING","Eligibil; calibrare linie in monitorizare","Eligibil"))))))))))</x:f>
      </x:c>
      <x:c r="AI1244" s="2" t="str">
        <x:f>IF(B1244="","",'Calibrare_Linii'!V12)</x:f>
      </x:c>
      <x:c r="AJ1244" s="2" t="str">
        <x:f>IF(B1244="","",IF(AND('Calibrare_Linii'!T12="VALIDATED",AND('Calibrare_Linii'!H12=C1244,ISNUMBER('Calibrare_Linii'!J12),'Calibrare_Linii'!J12&lt;='Input_Meci'!G94)),"DEFENSIVE VALIDATED",IF(AND('Calibrare_Linii'!S12="VALIDATED",AND('Calibrare_Linii'!H12=C1244,ISNUMBER('Calibrare_Linii'!J12),'Calibrare_Linii'!J12&lt;='Input_Meci'!G94)),"TAIL VALIDATED","OOS PENDING")))</x:f>
      </x:c>
      <x:c r="AK1244" s="2" t="n">
        <x:f>IF(J1244&lt;&gt;"PASS",0,'Motor_Meciuri'!BR94)</x:f>
        <x:v>0</x:v>
      </x:c>
      <x:c r="AL1244" s="2" t="n">
        <x:f>IF(J1244&lt;&gt;"PASS",0,'Motor_Meciuri'!BS94)</x:f>
        <x:v>0</x:v>
      </x:c>
      <x:c r="AM1244" s="2" t="n">
        <x:f>IF(J1244&lt;&gt;"PASS",0,'Motor_Meciuri'!BT94)</x:f>
        <x:v>0</x:v>
      </x:c>
      <x:c r="AN1244" s="2" t="str">
        <x:f>IF(M1244="","",MAX(0,'Motor_Meciuri'!BF94-IF(L1244&gt;'Config_v6'!$B$12,'Config_v6'!$B$37,IF(L1244&gt;'Config_v6'!$B$11,'Config_v6'!$B$36,0))))</x:f>
      </x:c>
    </x:row>
    <x:row r="1245" ht="21" customHeight="1">
      <x:c r="A1245" s="2" t="n">
        <x:v>89</x:v>
      </x:c>
      <x:c r="B1245" s="2" t="str">
        <x:f>IF('Motor_Meciuri'!A94="","",'Motor_Meciuri'!A94)</x:f>
      </x:c>
      <x:c r="C1245" s="2" t="str">
        <x:f>IF(B1245="","",'Motor_Meciuri'!B94)</x:f>
      </x:c>
      <x:c r="D1245" s="2" t="str">
        <x:f>IF(B1245="","",'Motor_Meciuri'!D94)</x:f>
      </x:c>
      <x:c r="E1245" s="2" t="str">
        <x:f>IF(B1245="","",'Motor_Meciuri'!E94)</x:f>
      </x:c>
      <x:c r="F1245" s="2" t="str">
        <x:v>U11,5</x:v>
      </x:c>
      <x:c r="G1245" s="2" t="str">
        <x:v>UNDER</x:v>
      </x:c>
      <x:c r="H1245" s="2" t="n">
        <x:v>11</x:v>
      </x:c>
      <x:c r="I1245" s="2" t="str">
        <x:f>IF(B1245="","",'Motor_Meciuri'!H94)</x:f>
      </x:c>
      <x:c r="J1245" s="2" t="str">
        <x:f>IF(B1245="","",'Motor_Meciuri'!I94)</x:f>
      </x:c>
      <x:c r="K1245" s="11" t="str">
        <x:f>IF(J1245&lt;&gt;"PASS","",'Motor_Meciuri'!BD94)</x:f>
      </x:c>
      <x:c r="L1245" s="11" t="str">
        <x:f>IF(J1245&lt;&gt;"PASS","",'Motor_Meciuri'!AU94)</x:f>
      </x:c>
      <x:c r="M1245" s="10" t="str">
        <x:f>IF(NOT(AND(J1245="PASS",'Calibrare_Linii'!U13="VALID")),"",'Distributie'!AI94)</x:f>
      </x:c>
      <x:c r="N1245" s="10" t="str">
        <x:f>IF(M1245="","",MAX(0.01,MIN(0.99,0.5+(M1245-0.5)*'Motor_Meciuri'!BG94*'Calibrare_Linii'!D13)))</x:f>
      </x:c>
      <x:c r="O1245" s="10" t="str">
        <x:f>IF(M1245="","",1-M1245)</x:f>
      </x:c>
      <x:c r="P1245" s="10" t="str">
        <x:f>IF(OR(NOT(AND(J1245="PASS",'Calibrare_Linii'!U13="VALID")),AK1245=0),""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*('Istoric_Nativ'!$Q$6:$Q$405&gt;H1245))/AK1245)</x:f>
      </x:c>
      <x:c r="Q1245" s="10" t="str">
        <x:f>IF(OR(NOT(AND(J1245="PASS",'Calibrare_Linii'!U13="VALID")),AL1245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M94)+((('Istoric_Nativ'!$E$6:$E$405='Input_Meci'!E94)+('Istoric_Nativ'!$F$6:$F$405='Input_Meci'!E94))&gt;0)*('Istoric_Nativ'!$D$6:$D$405&gt;='Motor_Meciuri'!BN94))&gt;0)*('Istoric_Nativ'!$Q$6:$Q$405&gt;H1245))/AL1245)</x:f>
      </x:c>
      <x:c r="R1245" s="10" t="str">
        <x:f>IF(OR(NOT(AND(J1245="PASS",'Calibrare_Linii'!U13="VALID")),AM1245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O94)+((('Istoric_Nativ'!$E$6:$E$405='Input_Meci'!E94)+('Istoric_Nativ'!$F$6:$F$405='Input_Meci'!E94))&gt;0)*('Istoric_Nativ'!$D$6:$D$405&gt;='Motor_Meciuri'!BP94))&gt;0)*('Istoric_Nativ'!$Q$6:$Q$405&gt;H1245))/AM1245)</x:f>
      </x:c>
      <x:c r="S1245" s="10" t="str">
        <x:f>IF(M1245="","",MAX(O1245,P1245,Q1245,R1245))</x:f>
      </x:c>
      <x:c r="T1245" s="11" t="str">
        <x:f>IF(M1245="","",MIN(100,S1245*100*'Config_v6'!$B$44+MIN(100,L1245/'Config_v6'!$B$13*100)*'Config_v6'!$B$45+(100-'Motor_Meciuri'!BF94)*'Config_v6'!$B$46+'Motor_Meciuri'!BH94*100*'Config_v6'!$B$47))</x:f>
      </x:c>
      <x:c r="U1245" s="2" t="str">
        <x:f>IF(T1245="","",IF(T1245&lt;=20,1,IF(T1245&lt;=40,2,IF(T1245&lt;=60,3,IF(T1245&lt;=80,4,5)))))</x:f>
      </x:c>
      <x:c r="V1245" s="2" t="str">
        <x:f>IF(M1245="","",MAX(0,'Motor_Meciuri'!BF94-IF(W1245="OOS PENDING",'Config_v6'!$B$35,0)-IF(L1245&gt;'Config_v6'!$B$12,'Config_v6'!$B$37,IF(L1245&gt;'Config_v6'!$B$11,'Config_v6'!$B$36,0))))</x:f>
      </x:c>
      <x:c r="W1245" s="2" t="str">
        <x:f>IF(B1245="","",IF(I1245&lt;&gt;"READY","NOT RELEASED",IF(NOT(AND(J1245="PASS",'Calibrare_Linii'!U13="VALID")),"INVALID",IF(NOT(AND('Calibrare_Linii'!S13="VALIDATED",AND('Calibrare_Linii'!H13=C1245,ISNUMBER('Calibrare_Linii'!J13),'Calibrare_Linii'!J13&lt;='Input_Meci'!G94))),"OOS PENDING",IF(S1245&lt;='Calibrare_Linii'!E13,"PASS",IF(S1245&lt;='Calibrare_Linii'!F13,"PENALTY","WATCH"))))))</x:f>
      </x:c>
      <x:c r="X1245" s="2" t="str">
        <x:f>IF(M1245="","",IF(AND(AND(J1245="PASS",'Calibrare_Linii'!U13="VALID"),'Motor_Meciuri'!K94=12,'Motor_Meciuri'!L94=12,'Motor_Meciuri'!M94="NO",'Motor_Meciuri'!BL94='Motor_Meciuri'!C94,AB1245&gt;='Config_v6'!$B$50,AN1245&gt;='Config_v6'!$B$51,T1245&lt;='Config_v6'!$B$52,L1245&lt;='Config_v6'!$B$53,ISNUMBER('Calibrare_Linii'!E13),S1245&lt;='Calibrare_Linii'!E13,SUM(AK1245:AM1245)&gt;0),"CANDIDATE","NO"))</x:f>
      </x:c>
      <x:c r="Y1245" s="2" t="str">
        <x:f>IF(B1245="","",IF(I1245&lt;&gt;"READY","NOT RELEASED",IF(AND(X1245="CANDIDATE",V1245&gt;='Config_v6'!$B$51,W1245="PASS",'Calibrare_Linii'!T13="VALIDATED",AND('Calibrare_Linii'!H13=C1245,ISNUMBER('Calibrare_Linii'!J13),'Calibrare_Linii'!J13&lt;='Input_Meci'!G94)),"PASS",IF(X1245="CANDIDATE","OOS PENDING","FAIL"))))</x:f>
      </x:c>
      <x:c r="Z1245" s="2" t="str">
        <x:f>IF(B1245="","",IF(I1245&lt;&gt;"READY","",IF(OR(NOT(AND(J1245="PASS",'Calibrare_Linii'!U13="VALID")),L1245&gt;'Config_v6'!$B$13,W1245="WATCH"),5,IF(Y1245="PASS",1,MIN(5,MAX('Config_v6'!$B$42,U1245)+IF(W1245="PENALTY",1,0))))))</x:f>
      </x:c>
      <x:c r="AA1245" s="2" t="str">
        <x:f>IF(B1245="","",IF(I1245&lt;&gt;"READY","NOT RELEASED",IF(Z1245=5,"NO BET",IF(OR(AB1245&lt;'Config_v6'!$B$16,V1245&lt;'Config_v6'!$B$18),"WATCH",IF(Z1245=1,"DEFENSIV",IF(Z1245=2,"PRUDENT",IF(Z1245=3,"MODERAT","RIDICAT")))))))</x:f>
      </x:c>
      <x:c r="AB1245" s="10" t="str">
        <x:f>IF(N1245="","",MIN(N1245,1-S1245))</x:f>
      </x:c>
      <x:c r="AC1245" s="2" t="str">
        <x:f>IF(AD1245&lt;&gt;1,"",COUNTIFS($Z$1238:$Z$1251,"&lt;"&amp;Z1245,$AD$1238:$AD$1251,1)+COUNTIFS($Z$1238:$Z$1251,Z1245,$AB$1238:$AB$1251,"&gt;"&amp;AB1245,$AD$1238:$AD$1251,1)+COUNTIFS($Z$1238:$Z$1251,Z1245,$AB$1238:$AB$1251,AB1245,$V$1238:$V$1251,"&gt;"&amp;V1245,$AD$1238:$AD$1251,1)+COUNTIFS($Z$1238:Z1245,Z1245,$AB$1238:AB1245,AB1245,$V$1238:V1245,V1245,$AD$1238:AD1245,1))</x:f>
      </x:c>
      <x:c r="AD1245" s="2" t="n">
        <x:f>IF(OR(AA1245="DEFENSIV",AA1245="PRUDENT",AA1245="MODERAT",AA1245="RIDICAT"),1,0)</x:f>
        <x:v>0</x:v>
      </x:c>
      <x:c r="AE1245" s="2" t="str">
        <x:f>IF(AD1245&lt;&gt;1,"NO",IF(W1245="PASS","YES",IF(W1245="OOS PENDING","CONDITIONAL","NO")))</x:f>
        <x:v>NO</x:v>
      </x:c>
      <x:c r="AF1245" s="2" t="n">
        <x:f>IF(AND(AD1245=1,AC1245=1,E1245="LIVE"),1,0)</x:f>
        <x:v>0</x:v>
      </x:c>
      <x:c r="AG1245" s="2" t="str">
        <x:f>IF(AF1245&lt;&gt;1,"",'Dashboard'!P114)</x:f>
      </x:c>
      <x:c r="AH1245" s="2" t="str">
        <x:f>IF(B1245="","",IF(J1245&lt;&gt;"PASS",'Motor_Meciuri'!J94,IF('Calibrare_Linii'!U13&lt;&gt;"VALID","Parametri linie invalizi",IF(L1245&gt;'Config_v6'!$B$13,"Dispersie peste limita",IF(W1245="WATCH","Failure peste limita",IF(AB1245&lt;'Config_v6'!$B$16,"P finala sub prag",IF(V1245&lt;'Config_v6'!$B$18,"Confidence sub prag",IF(E1245="REPLAY","Exemplu retrospectiv; exclus din Top LIVE",IF(Y1245="PASS","DEFENSIV validat",IF(W1245="OOS PENDING","Eligibil; calibrare linie in monitorizare","Eligibil"))))))))))</x:f>
      </x:c>
      <x:c r="AI1245" s="2" t="str">
        <x:f>IF(B1245="","",'Calibrare_Linii'!V13)</x:f>
      </x:c>
      <x:c r="AJ1245" s="2" t="str">
        <x:f>IF(B1245="","",IF(AND('Calibrare_Linii'!T13="VALIDATED",AND('Calibrare_Linii'!H13=C1245,ISNUMBER('Calibrare_Linii'!J13),'Calibrare_Linii'!J13&lt;='Input_Meci'!G94)),"DEFENSIVE VALIDATED",IF(AND('Calibrare_Linii'!S13="VALIDATED",AND('Calibrare_Linii'!H13=C1245,ISNUMBER('Calibrare_Linii'!J13),'Calibrare_Linii'!J13&lt;='Input_Meci'!G94)),"TAIL VALIDATED","OOS PENDING")))</x:f>
      </x:c>
      <x:c r="AK1245" s="2" t="n">
        <x:f>IF(J1245&lt;&gt;"PASS",0,'Motor_Meciuri'!BR94)</x:f>
        <x:v>0</x:v>
      </x:c>
      <x:c r="AL1245" s="2" t="n">
        <x:f>IF(J1245&lt;&gt;"PASS",0,'Motor_Meciuri'!BS94)</x:f>
        <x:v>0</x:v>
      </x:c>
      <x:c r="AM1245" s="2" t="n">
        <x:f>IF(J1245&lt;&gt;"PASS",0,'Motor_Meciuri'!BT94)</x:f>
        <x:v>0</x:v>
      </x:c>
      <x:c r="AN1245" s="2" t="str">
        <x:f>IF(M1245="","",MAX(0,'Motor_Meciuri'!BF94-IF(L1245&gt;'Config_v6'!$B$12,'Config_v6'!$B$37,IF(L1245&gt;'Config_v6'!$B$11,'Config_v6'!$B$36,0))))</x:f>
      </x:c>
    </x:row>
    <x:row r="1246" ht="21" customHeight="1">
      <x:c r="A1246" s="2" t="n">
        <x:v>89</x:v>
      </x:c>
      <x:c r="B1246" s="2" t="str">
        <x:f>IF('Motor_Meciuri'!A94="","",'Motor_Meciuri'!A94)</x:f>
      </x:c>
      <x:c r="C1246" s="2" t="str">
        <x:f>IF(B1246="","",'Motor_Meciuri'!B94)</x:f>
      </x:c>
      <x:c r="D1246" s="2" t="str">
        <x:f>IF(B1246="","",'Motor_Meciuri'!D94)</x:f>
      </x:c>
      <x:c r="E1246" s="2" t="str">
        <x:f>IF(B1246="","",'Motor_Meciuri'!E94)</x:f>
      </x:c>
      <x:c r="F1246" s="2" t="str">
        <x:v>U12,5</x:v>
      </x:c>
      <x:c r="G1246" s="2" t="str">
        <x:v>UNDER</x:v>
      </x:c>
      <x:c r="H1246" s="2" t="n">
        <x:v>12</x:v>
      </x:c>
      <x:c r="I1246" s="2" t="str">
        <x:f>IF(B1246="","",'Motor_Meciuri'!H94)</x:f>
      </x:c>
      <x:c r="J1246" s="2" t="str">
        <x:f>IF(B1246="","",'Motor_Meciuri'!I94)</x:f>
      </x:c>
      <x:c r="K1246" s="11" t="str">
        <x:f>IF(J1246&lt;&gt;"PASS","",'Motor_Meciuri'!BD94)</x:f>
      </x:c>
      <x:c r="L1246" s="11" t="str">
        <x:f>IF(J1246&lt;&gt;"PASS","",'Motor_Meciuri'!AU94)</x:f>
      </x:c>
      <x:c r="M1246" s="10" t="str">
        <x:f>IF(NOT(AND(J1246="PASS",'Calibrare_Linii'!U14="VALID")),"",'Distributie'!AJ94)</x:f>
      </x:c>
      <x:c r="N1246" s="10" t="str">
        <x:f>IF(M1246="","",MAX(0.01,MIN(0.99,0.5+(M1246-0.5)*'Motor_Meciuri'!BG94*'Calibrare_Linii'!D14)))</x:f>
      </x:c>
      <x:c r="O1246" s="10" t="str">
        <x:f>IF(M1246="","",1-M1246)</x:f>
      </x:c>
      <x:c r="P1246" s="10" t="str">
        <x:f>IF(OR(NOT(AND(J1246="PASS",'Calibrare_Linii'!U14="VALID")),AK1246=0),""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*('Istoric_Nativ'!$Q$6:$Q$405&gt;H1246))/AK1246)</x:f>
      </x:c>
      <x:c r="Q1246" s="10" t="str">
        <x:f>IF(OR(NOT(AND(J1246="PASS",'Calibrare_Linii'!U14="VALID")),AL1246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M94)+((('Istoric_Nativ'!$E$6:$E$405='Input_Meci'!E94)+('Istoric_Nativ'!$F$6:$F$405='Input_Meci'!E94))&gt;0)*('Istoric_Nativ'!$D$6:$D$405&gt;='Motor_Meciuri'!BN94))&gt;0)*('Istoric_Nativ'!$Q$6:$Q$405&gt;H1246))/AL1246)</x:f>
      </x:c>
      <x:c r="R1246" s="10" t="str">
        <x:f>IF(OR(NOT(AND(J1246="PASS",'Calibrare_Linii'!U14="VALID")),AM1246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O94)+((('Istoric_Nativ'!$E$6:$E$405='Input_Meci'!E94)+('Istoric_Nativ'!$F$6:$F$405='Input_Meci'!E94))&gt;0)*('Istoric_Nativ'!$D$6:$D$405&gt;='Motor_Meciuri'!BP94))&gt;0)*('Istoric_Nativ'!$Q$6:$Q$405&gt;H1246))/AM1246)</x:f>
      </x:c>
      <x:c r="S1246" s="10" t="str">
        <x:f>IF(M1246="","",MAX(O1246,P1246,Q1246,R1246))</x:f>
      </x:c>
      <x:c r="T1246" s="11" t="str">
        <x:f>IF(M1246="","",MIN(100,S1246*100*'Config_v6'!$B$44+MIN(100,L1246/'Config_v6'!$B$13*100)*'Config_v6'!$B$45+(100-'Motor_Meciuri'!BF94)*'Config_v6'!$B$46+'Motor_Meciuri'!BH94*100*'Config_v6'!$B$47))</x:f>
      </x:c>
      <x:c r="U1246" s="2" t="str">
        <x:f>IF(T1246="","",IF(T1246&lt;=20,1,IF(T1246&lt;=40,2,IF(T1246&lt;=60,3,IF(T1246&lt;=80,4,5)))))</x:f>
      </x:c>
      <x:c r="V1246" s="2" t="str">
        <x:f>IF(M1246="","",MAX(0,'Motor_Meciuri'!BF94-IF(W1246="OOS PENDING",'Config_v6'!$B$35,0)-IF(L1246&gt;'Config_v6'!$B$12,'Config_v6'!$B$37,IF(L1246&gt;'Config_v6'!$B$11,'Config_v6'!$B$36,0))))</x:f>
      </x:c>
      <x:c r="W1246" s="2" t="str">
        <x:f>IF(B1246="","",IF(I1246&lt;&gt;"READY","NOT RELEASED",IF(NOT(AND(J1246="PASS",'Calibrare_Linii'!U14="VALID")),"INVALID",IF(NOT(AND('Calibrare_Linii'!S14="VALIDATED",AND('Calibrare_Linii'!H14=C1246,ISNUMBER('Calibrare_Linii'!J14),'Calibrare_Linii'!J14&lt;='Input_Meci'!G94))),"OOS PENDING",IF(S1246&lt;='Calibrare_Linii'!E14,"PASS",IF(S1246&lt;='Calibrare_Linii'!F14,"PENALTY","WATCH"))))))</x:f>
      </x:c>
      <x:c r="X1246" s="2" t="str">
        <x:f>IF(M1246="","",IF(AND(AND(J1246="PASS",'Calibrare_Linii'!U14="VALID"),'Motor_Meciuri'!K94=12,'Motor_Meciuri'!L94=12,'Motor_Meciuri'!M94="NO",'Motor_Meciuri'!BL94='Motor_Meciuri'!C94,AB1246&gt;='Config_v6'!$B$50,AN1246&gt;='Config_v6'!$B$51,T1246&lt;='Config_v6'!$B$52,L1246&lt;='Config_v6'!$B$53,ISNUMBER('Calibrare_Linii'!E14),S1246&lt;='Calibrare_Linii'!E14,SUM(AK1246:AM1246)&gt;0),"CANDIDATE","NO"))</x:f>
      </x:c>
      <x:c r="Y1246" s="2" t="str">
        <x:f>IF(B1246="","",IF(I1246&lt;&gt;"READY","NOT RELEASED",IF(AND(X1246="CANDIDATE",V1246&gt;='Config_v6'!$B$51,W1246="PASS",'Calibrare_Linii'!T14="VALIDATED",AND('Calibrare_Linii'!H14=C1246,ISNUMBER('Calibrare_Linii'!J14),'Calibrare_Linii'!J14&lt;='Input_Meci'!G94)),"PASS",IF(X1246="CANDIDATE","OOS PENDING","FAIL"))))</x:f>
      </x:c>
      <x:c r="Z1246" s="2" t="str">
        <x:f>IF(B1246="","",IF(I1246&lt;&gt;"READY","",IF(OR(NOT(AND(J1246="PASS",'Calibrare_Linii'!U14="VALID")),L1246&gt;'Config_v6'!$B$13,W1246="WATCH"),5,IF(Y1246="PASS",1,MIN(5,MAX('Config_v6'!$B$42,U1246)+IF(W1246="PENALTY",1,0))))))</x:f>
      </x:c>
      <x:c r="AA1246" s="2" t="str">
        <x:f>IF(B1246="","",IF(I1246&lt;&gt;"READY","NOT RELEASED",IF(Z1246=5,"NO BET",IF(OR(AB1246&lt;'Config_v6'!$B$16,V1246&lt;'Config_v6'!$B$18),"WATCH",IF(Z1246=1,"DEFENSIV",IF(Z1246=2,"PRUDENT",IF(Z1246=3,"MODERAT","RIDICAT")))))))</x:f>
      </x:c>
      <x:c r="AB1246" s="10" t="str">
        <x:f>IF(N1246="","",MIN(N1246,1-S1246))</x:f>
      </x:c>
      <x:c r="AC1246" s="2" t="str">
        <x:f>IF(AD1246&lt;&gt;1,"",COUNTIFS($Z$1238:$Z$1251,"&lt;"&amp;Z1246,$AD$1238:$AD$1251,1)+COUNTIFS($Z$1238:$Z$1251,Z1246,$AB$1238:$AB$1251,"&gt;"&amp;AB1246,$AD$1238:$AD$1251,1)+COUNTIFS($Z$1238:$Z$1251,Z1246,$AB$1238:$AB$1251,AB1246,$V$1238:$V$1251,"&gt;"&amp;V1246,$AD$1238:$AD$1251,1)+COUNTIFS($Z$1238:Z1246,Z1246,$AB$1238:AB1246,AB1246,$V$1238:V1246,V1246,$AD$1238:AD1246,1))</x:f>
      </x:c>
      <x:c r="AD1246" s="2" t="n">
        <x:f>IF(OR(AA1246="DEFENSIV",AA1246="PRUDENT",AA1246="MODERAT",AA1246="RIDICAT"),1,0)</x:f>
        <x:v>0</x:v>
      </x:c>
      <x:c r="AE1246" s="2" t="str">
        <x:f>IF(AD1246&lt;&gt;1,"NO",IF(W1246="PASS","YES",IF(W1246="OOS PENDING","CONDITIONAL","NO")))</x:f>
        <x:v>NO</x:v>
      </x:c>
      <x:c r="AF1246" s="2" t="n">
        <x:f>IF(AND(AD1246=1,AC1246=1,E1246="LIVE"),1,0)</x:f>
        <x:v>0</x:v>
      </x:c>
      <x:c r="AG1246" s="2" t="str">
        <x:f>IF(AF1246&lt;&gt;1,"",'Dashboard'!P114)</x:f>
      </x:c>
      <x:c r="AH1246" s="2" t="str">
        <x:f>IF(B1246="","",IF(J1246&lt;&gt;"PASS",'Motor_Meciuri'!J94,IF('Calibrare_Linii'!U14&lt;&gt;"VALID","Parametri linie invalizi",IF(L1246&gt;'Config_v6'!$B$13,"Dispersie peste limita",IF(W1246="WATCH","Failure peste limita",IF(AB1246&lt;'Config_v6'!$B$16,"P finala sub prag",IF(V1246&lt;'Config_v6'!$B$18,"Confidence sub prag",IF(E1246="REPLAY","Exemplu retrospectiv; exclus din Top LIVE",IF(Y1246="PASS","DEFENSIV validat",IF(W1246="OOS PENDING","Eligibil; calibrare linie in monitorizare","Eligibil"))))))))))</x:f>
      </x:c>
      <x:c r="AI1246" s="2" t="str">
        <x:f>IF(B1246="","",'Calibrare_Linii'!V14)</x:f>
      </x:c>
      <x:c r="AJ1246" s="2" t="str">
        <x:f>IF(B1246="","",IF(AND('Calibrare_Linii'!T14="VALIDATED",AND('Calibrare_Linii'!H14=C1246,ISNUMBER('Calibrare_Linii'!J14),'Calibrare_Linii'!J14&lt;='Input_Meci'!G94)),"DEFENSIVE VALIDATED",IF(AND('Calibrare_Linii'!S14="VALIDATED",AND('Calibrare_Linii'!H14=C1246,ISNUMBER('Calibrare_Linii'!J14),'Calibrare_Linii'!J14&lt;='Input_Meci'!G94)),"TAIL VALIDATED","OOS PENDING")))</x:f>
      </x:c>
      <x:c r="AK1246" s="2" t="n">
        <x:f>IF(J1246&lt;&gt;"PASS",0,'Motor_Meciuri'!BR94)</x:f>
        <x:v>0</x:v>
      </x:c>
      <x:c r="AL1246" s="2" t="n">
        <x:f>IF(J1246&lt;&gt;"PASS",0,'Motor_Meciuri'!BS94)</x:f>
        <x:v>0</x:v>
      </x:c>
      <x:c r="AM1246" s="2" t="n">
        <x:f>IF(J1246&lt;&gt;"PASS",0,'Motor_Meciuri'!BT94)</x:f>
        <x:v>0</x:v>
      </x:c>
      <x:c r="AN1246" s="2" t="str">
        <x:f>IF(M1246="","",MAX(0,'Motor_Meciuri'!BF94-IF(L1246&gt;'Config_v6'!$B$12,'Config_v6'!$B$37,IF(L1246&gt;'Config_v6'!$B$11,'Config_v6'!$B$36,0))))</x:f>
      </x:c>
    </x:row>
    <x:row r="1247" ht="21" customHeight="1">
      <x:c r="A1247" s="2" t="n">
        <x:v>89</x:v>
      </x:c>
      <x:c r="B1247" s="2" t="str">
        <x:f>IF('Motor_Meciuri'!A94="","",'Motor_Meciuri'!A94)</x:f>
      </x:c>
      <x:c r="C1247" s="2" t="str">
        <x:f>IF(B1247="","",'Motor_Meciuri'!B94)</x:f>
      </x:c>
      <x:c r="D1247" s="2" t="str">
        <x:f>IF(B1247="","",'Motor_Meciuri'!D94)</x:f>
      </x:c>
      <x:c r="E1247" s="2" t="str">
        <x:f>IF(B1247="","",'Motor_Meciuri'!E94)</x:f>
      </x:c>
      <x:c r="F1247" s="2" t="str">
        <x:v>U13,5</x:v>
      </x:c>
      <x:c r="G1247" s="2" t="str">
        <x:v>UNDER</x:v>
      </x:c>
      <x:c r="H1247" s="2" t="n">
        <x:v>13</x:v>
      </x:c>
      <x:c r="I1247" s="2" t="str">
        <x:f>IF(B1247="","",'Motor_Meciuri'!H94)</x:f>
      </x:c>
      <x:c r="J1247" s="2" t="str">
        <x:f>IF(B1247="","",'Motor_Meciuri'!I94)</x:f>
      </x:c>
      <x:c r="K1247" s="11" t="str">
        <x:f>IF(J1247&lt;&gt;"PASS","",'Motor_Meciuri'!BD94)</x:f>
      </x:c>
      <x:c r="L1247" s="11" t="str">
        <x:f>IF(J1247&lt;&gt;"PASS","",'Motor_Meciuri'!AU94)</x:f>
      </x:c>
      <x:c r="M1247" s="10" t="str">
        <x:f>IF(NOT(AND(J1247="PASS",'Calibrare_Linii'!U15="VALID")),"",'Distributie'!AK94)</x:f>
      </x:c>
      <x:c r="N1247" s="10" t="str">
        <x:f>IF(M1247="","",MAX(0.01,MIN(0.99,0.5+(M1247-0.5)*'Motor_Meciuri'!BG94*'Calibrare_Linii'!D15)))</x:f>
      </x:c>
      <x:c r="O1247" s="10" t="str">
        <x:f>IF(M1247="","",1-M1247)</x:f>
      </x:c>
      <x:c r="P1247" s="10" t="str">
        <x:f>IF(OR(NOT(AND(J1247="PASS",'Calibrare_Linii'!U15="VALID")),AK1247=0),""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*('Istoric_Nativ'!$Q$6:$Q$405&gt;H1247))/AK1247)</x:f>
      </x:c>
      <x:c r="Q1247" s="10" t="str">
        <x:f>IF(OR(NOT(AND(J1247="PASS",'Calibrare_Linii'!U15="VALID")),AL1247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M94)+((('Istoric_Nativ'!$E$6:$E$405='Input_Meci'!E94)+('Istoric_Nativ'!$F$6:$F$405='Input_Meci'!E94))&gt;0)*('Istoric_Nativ'!$D$6:$D$405&gt;='Motor_Meciuri'!BN94))&gt;0)*('Istoric_Nativ'!$Q$6:$Q$405&gt;H1247))/AL1247)</x:f>
      </x:c>
      <x:c r="R1247" s="10" t="str">
        <x:f>IF(OR(NOT(AND(J1247="PASS",'Calibrare_Linii'!U15="VALID")),AM1247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O94)+((('Istoric_Nativ'!$E$6:$E$405='Input_Meci'!E94)+('Istoric_Nativ'!$F$6:$F$405='Input_Meci'!E94))&gt;0)*('Istoric_Nativ'!$D$6:$D$405&gt;='Motor_Meciuri'!BP94))&gt;0)*('Istoric_Nativ'!$Q$6:$Q$405&gt;H1247))/AM1247)</x:f>
      </x:c>
      <x:c r="S1247" s="10" t="str">
        <x:f>IF(M1247="","",MAX(O1247,P1247,Q1247,R1247))</x:f>
      </x:c>
      <x:c r="T1247" s="11" t="str">
        <x:f>IF(M1247="","",MIN(100,S1247*100*'Config_v6'!$B$44+MIN(100,L1247/'Config_v6'!$B$13*100)*'Config_v6'!$B$45+(100-'Motor_Meciuri'!BF94)*'Config_v6'!$B$46+'Motor_Meciuri'!BH94*100*'Config_v6'!$B$47))</x:f>
      </x:c>
      <x:c r="U1247" s="2" t="str">
        <x:f>IF(T1247="","",IF(T1247&lt;=20,1,IF(T1247&lt;=40,2,IF(T1247&lt;=60,3,IF(T1247&lt;=80,4,5)))))</x:f>
      </x:c>
      <x:c r="V1247" s="2" t="str">
        <x:f>IF(M1247="","",MAX(0,'Motor_Meciuri'!BF94-IF(W1247="OOS PENDING",'Config_v6'!$B$35,0)-IF(L1247&gt;'Config_v6'!$B$12,'Config_v6'!$B$37,IF(L1247&gt;'Config_v6'!$B$11,'Config_v6'!$B$36,0))))</x:f>
      </x:c>
      <x:c r="W1247" s="2" t="str">
        <x:f>IF(B1247="","",IF(I1247&lt;&gt;"READY","NOT RELEASED",IF(NOT(AND(J1247="PASS",'Calibrare_Linii'!U15="VALID")),"INVALID",IF(NOT(AND('Calibrare_Linii'!S15="VALIDATED",AND('Calibrare_Linii'!H15=C1247,ISNUMBER('Calibrare_Linii'!J15),'Calibrare_Linii'!J15&lt;='Input_Meci'!G94))),"OOS PENDING",IF(S1247&lt;='Calibrare_Linii'!E15,"PASS",IF(S1247&lt;='Calibrare_Linii'!F15,"PENALTY","WATCH"))))))</x:f>
      </x:c>
      <x:c r="X1247" s="2" t="str">
        <x:f>IF(M1247="","",IF(AND(AND(J1247="PASS",'Calibrare_Linii'!U15="VALID"),'Motor_Meciuri'!K94=12,'Motor_Meciuri'!L94=12,'Motor_Meciuri'!M94="NO",'Motor_Meciuri'!BL94='Motor_Meciuri'!C94,AB1247&gt;='Config_v6'!$B$50,AN1247&gt;='Config_v6'!$B$51,T1247&lt;='Config_v6'!$B$52,L1247&lt;='Config_v6'!$B$53,ISNUMBER('Calibrare_Linii'!E15),S1247&lt;='Calibrare_Linii'!E15,SUM(AK1247:AM1247)&gt;0),"CANDIDATE","NO"))</x:f>
      </x:c>
      <x:c r="Y1247" s="2" t="str">
        <x:f>IF(B1247="","",IF(I1247&lt;&gt;"READY","NOT RELEASED",IF(AND(X1247="CANDIDATE",V1247&gt;='Config_v6'!$B$51,W1247="PASS",'Calibrare_Linii'!T15="VALIDATED",AND('Calibrare_Linii'!H15=C1247,ISNUMBER('Calibrare_Linii'!J15),'Calibrare_Linii'!J15&lt;='Input_Meci'!G94)),"PASS",IF(X1247="CANDIDATE","OOS PENDING","FAIL"))))</x:f>
      </x:c>
      <x:c r="Z1247" s="2" t="str">
        <x:f>IF(B1247="","",IF(I1247&lt;&gt;"READY","",IF(OR(NOT(AND(J1247="PASS",'Calibrare_Linii'!U15="VALID")),L1247&gt;'Config_v6'!$B$13,W1247="WATCH"),5,IF(Y1247="PASS",1,MIN(5,MAX('Config_v6'!$B$42,U1247)+IF(W1247="PENALTY",1,0))))))</x:f>
      </x:c>
      <x:c r="AA1247" s="2" t="str">
        <x:f>IF(B1247="","",IF(I1247&lt;&gt;"READY","NOT RELEASED",IF(Z1247=5,"NO BET",IF(OR(AB1247&lt;'Config_v6'!$B$16,V1247&lt;'Config_v6'!$B$18),"WATCH",IF(Z1247=1,"DEFENSIV",IF(Z1247=2,"PRUDENT",IF(Z1247=3,"MODERAT","RIDICAT")))))))</x:f>
      </x:c>
      <x:c r="AB1247" s="10" t="str">
        <x:f>IF(N1247="","",MIN(N1247,1-S1247))</x:f>
      </x:c>
      <x:c r="AC1247" s="2" t="str">
        <x:f>IF(AD1247&lt;&gt;1,"",COUNTIFS($Z$1238:$Z$1251,"&lt;"&amp;Z1247,$AD$1238:$AD$1251,1)+COUNTIFS($Z$1238:$Z$1251,Z1247,$AB$1238:$AB$1251,"&gt;"&amp;AB1247,$AD$1238:$AD$1251,1)+COUNTIFS($Z$1238:$Z$1251,Z1247,$AB$1238:$AB$1251,AB1247,$V$1238:$V$1251,"&gt;"&amp;V1247,$AD$1238:$AD$1251,1)+COUNTIFS($Z$1238:Z1247,Z1247,$AB$1238:AB1247,AB1247,$V$1238:V1247,V1247,$AD$1238:AD1247,1))</x:f>
      </x:c>
      <x:c r="AD1247" s="2" t="n">
        <x:f>IF(OR(AA1247="DEFENSIV",AA1247="PRUDENT",AA1247="MODERAT",AA1247="RIDICAT"),1,0)</x:f>
        <x:v>0</x:v>
      </x:c>
      <x:c r="AE1247" s="2" t="str">
        <x:f>IF(AD1247&lt;&gt;1,"NO",IF(W1247="PASS","YES",IF(W1247="OOS PENDING","CONDITIONAL","NO")))</x:f>
        <x:v>NO</x:v>
      </x:c>
      <x:c r="AF1247" s="2" t="n">
        <x:f>IF(AND(AD1247=1,AC1247=1,E1247="LIVE"),1,0)</x:f>
        <x:v>0</x:v>
      </x:c>
      <x:c r="AG1247" s="2" t="str">
        <x:f>IF(AF1247&lt;&gt;1,"",'Dashboard'!P114)</x:f>
      </x:c>
      <x:c r="AH1247" s="2" t="str">
        <x:f>IF(B1247="","",IF(J1247&lt;&gt;"PASS",'Motor_Meciuri'!J94,IF('Calibrare_Linii'!U15&lt;&gt;"VALID","Parametri linie invalizi",IF(L1247&gt;'Config_v6'!$B$13,"Dispersie peste limita",IF(W1247="WATCH","Failure peste limita",IF(AB1247&lt;'Config_v6'!$B$16,"P finala sub prag",IF(V1247&lt;'Config_v6'!$B$18,"Confidence sub prag",IF(E1247="REPLAY","Exemplu retrospectiv; exclus din Top LIVE",IF(Y1247="PASS","DEFENSIV validat",IF(W1247="OOS PENDING","Eligibil; calibrare linie in monitorizare","Eligibil"))))))))))</x:f>
      </x:c>
      <x:c r="AI1247" s="2" t="str">
        <x:f>IF(B1247="","",'Calibrare_Linii'!V15)</x:f>
      </x:c>
      <x:c r="AJ1247" s="2" t="str">
        <x:f>IF(B1247="","",IF(AND('Calibrare_Linii'!T15="VALIDATED",AND('Calibrare_Linii'!H15=C1247,ISNUMBER('Calibrare_Linii'!J15),'Calibrare_Linii'!J15&lt;='Input_Meci'!G94)),"DEFENSIVE VALIDATED",IF(AND('Calibrare_Linii'!S15="VALIDATED",AND('Calibrare_Linii'!H15=C1247,ISNUMBER('Calibrare_Linii'!J15),'Calibrare_Linii'!J15&lt;='Input_Meci'!G94)),"TAIL VALIDATED","OOS PENDING")))</x:f>
      </x:c>
      <x:c r="AK1247" s="2" t="n">
        <x:f>IF(J1247&lt;&gt;"PASS",0,'Motor_Meciuri'!BR94)</x:f>
        <x:v>0</x:v>
      </x:c>
      <x:c r="AL1247" s="2" t="n">
        <x:f>IF(J1247&lt;&gt;"PASS",0,'Motor_Meciuri'!BS94)</x:f>
        <x:v>0</x:v>
      </x:c>
      <x:c r="AM1247" s="2" t="n">
        <x:f>IF(J1247&lt;&gt;"PASS",0,'Motor_Meciuri'!BT94)</x:f>
        <x:v>0</x:v>
      </x:c>
      <x:c r="AN1247" s="2" t="str">
        <x:f>IF(M1247="","",MAX(0,'Motor_Meciuri'!BF94-IF(L1247&gt;'Config_v6'!$B$12,'Config_v6'!$B$37,IF(L1247&gt;'Config_v6'!$B$11,'Config_v6'!$B$36,0))))</x:f>
      </x:c>
    </x:row>
    <x:row r="1248" ht="21" customHeight="1">
      <x:c r="A1248" s="2" t="n">
        <x:v>89</x:v>
      </x:c>
      <x:c r="B1248" s="2" t="str">
        <x:f>IF('Motor_Meciuri'!A94="","",'Motor_Meciuri'!A94)</x:f>
      </x:c>
      <x:c r="C1248" s="2" t="str">
        <x:f>IF(B1248="","",'Motor_Meciuri'!B94)</x:f>
      </x:c>
      <x:c r="D1248" s="2" t="str">
        <x:f>IF(B1248="","",'Motor_Meciuri'!D94)</x:f>
      </x:c>
      <x:c r="E1248" s="2" t="str">
        <x:f>IF(B1248="","",'Motor_Meciuri'!E94)</x:f>
      </x:c>
      <x:c r="F1248" s="2" t="str">
        <x:v>U14,5</x:v>
      </x:c>
      <x:c r="G1248" s="2" t="str">
        <x:v>UNDER</x:v>
      </x:c>
      <x:c r="H1248" s="2" t="n">
        <x:v>14</x:v>
      </x:c>
      <x:c r="I1248" s="2" t="str">
        <x:f>IF(B1248="","",'Motor_Meciuri'!H94)</x:f>
      </x:c>
      <x:c r="J1248" s="2" t="str">
        <x:f>IF(B1248="","",'Motor_Meciuri'!I94)</x:f>
      </x:c>
      <x:c r="K1248" s="11" t="str">
        <x:f>IF(J1248&lt;&gt;"PASS","",'Motor_Meciuri'!BD94)</x:f>
      </x:c>
      <x:c r="L1248" s="11" t="str">
        <x:f>IF(J1248&lt;&gt;"PASS","",'Motor_Meciuri'!AU94)</x:f>
      </x:c>
      <x:c r="M1248" s="10" t="str">
        <x:f>IF(NOT(AND(J1248="PASS",'Calibrare_Linii'!U16="VALID")),"",'Distributie'!AL94)</x:f>
      </x:c>
      <x:c r="N1248" s="10" t="str">
        <x:f>IF(M1248="","",MAX(0.01,MIN(0.99,0.5+(M1248-0.5)*'Motor_Meciuri'!BG94*'Calibrare_Linii'!D16)))</x:f>
      </x:c>
      <x:c r="O1248" s="10" t="str">
        <x:f>IF(M1248="","",1-M1248)</x:f>
      </x:c>
      <x:c r="P1248" s="10" t="str">
        <x:f>IF(OR(NOT(AND(J1248="PASS",'Calibrare_Linii'!U16="VALID")),AK1248=0),""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*('Istoric_Nativ'!$Q$6:$Q$405&gt;H1248))/AK1248)</x:f>
      </x:c>
      <x:c r="Q1248" s="10" t="str">
        <x:f>IF(OR(NOT(AND(J1248="PASS",'Calibrare_Linii'!U16="VALID")),AL1248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M94)+((('Istoric_Nativ'!$E$6:$E$405='Input_Meci'!E94)+('Istoric_Nativ'!$F$6:$F$405='Input_Meci'!E94))&gt;0)*('Istoric_Nativ'!$D$6:$D$405&gt;='Motor_Meciuri'!BN94))&gt;0)*('Istoric_Nativ'!$Q$6:$Q$405&gt;H1248))/AL1248)</x:f>
      </x:c>
      <x:c r="R1248" s="10" t="str">
        <x:f>IF(OR(NOT(AND(J1248="PASS",'Calibrare_Linii'!U16="VALID")),AM1248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O94)+((('Istoric_Nativ'!$E$6:$E$405='Input_Meci'!E94)+('Istoric_Nativ'!$F$6:$F$405='Input_Meci'!E94))&gt;0)*('Istoric_Nativ'!$D$6:$D$405&gt;='Motor_Meciuri'!BP94))&gt;0)*('Istoric_Nativ'!$Q$6:$Q$405&gt;H1248))/AM1248)</x:f>
      </x:c>
      <x:c r="S1248" s="10" t="str">
        <x:f>IF(M1248="","",MAX(O1248,P1248,Q1248,R1248))</x:f>
      </x:c>
      <x:c r="T1248" s="11" t="str">
        <x:f>IF(M1248="","",MIN(100,S1248*100*'Config_v6'!$B$44+MIN(100,L1248/'Config_v6'!$B$13*100)*'Config_v6'!$B$45+(100-'Motor_Meciuri'!BF94)*'Config_v6'!$B$46+'Motor_Meciuri'!BH94*100*'Config_v6'!$B$47))</x:f>
      </x:c>
      <x:c r="U1248" s="2" t="str">
        <x:f>IF(T1248="","",IF(T1248&lt;=20,1,IF(T1248&lt;=40,2,IF(T1248&lt;=60,3,IF(T1248&lt;=80,4,5)))))</x:f>
      </x:c>
      <x:c r="V1248" s="2" t="str">
        <x:f>IF(M1248="","",MAX(0,'Motor_Meciuri'!BF94-IF(W1248="OOS PENDING",'Config_v6'!$B$35,0)-IF(L1248&gt;'Config_v6'!$B$12,'Config_v6'!$B$37,IF(L1248&gt;'Config_v6'!$B$11,'Config_v6'!$B$36,0))))</x:f>
      </x:c>
      <x:c r="W1248" s="2" t="str">
        <x:f>IF(B1248="","",IF(I1248&lt;&gt;"READY","NOT RELEASED",IF(NOT(AND(J1248="PASS",'Calibrare_Linii'!U16="VALID")),"INVALID",IF(NOT(AND('Calibrare_Linii'!S16="VALIDATED",AND('Calibrare_Linii'!H16=C1248,ISNUMBER('Calibrare_Linii'!J16),'Calibrare_Linii'!J16&lt;='Input_Meci'!G94))),"OOS PENDING",IF(S1248&lt;='Calibrare_Linii'!E16,"PASS",IF(S1248&lt;='Calibrare_Linii'!F16,"PENALTY","WATCH"))))))</x:f>
      </x:c>
      <x:c r="X1248" s="2" t="str">
        <x:f>IF(M1248="","",IF(AND(AND(J1248="PASS",'Calibrare_Linii'!U16="VALID"),'Motor_Meciuri'!K94=12,'Motor_Meciuri'!L94=12,'Motor_Meciuri'!M94="NO",'Motor_Meciuri'!BL94='Motor_Meciuri'!C94,AB1248&gt;='Config_v6'!$B$50,AN1248&gt;='Config_v6'!$B$51,T1248&lt;='Config_v6'!$B$52,L1248&lt;='Config_v6'!$B$53,ISNUMBER('Calibrare_Linii'!E16),S1248&lt;='Calibrare_Linii'!E16,SUM(AK1248:AM1248)&gt;0),"CANDIDATE","NO"))</x:f>
      </x:c>
      <x:c r="Y1248" s="2" t="str">
        <x:f>IF(B1248="","",IF(I1248&lt;&gt;"READY","NOT RELEASED",IF(AND(X1248="CANDIDATE",V1248&gt;='Config_v6'!$B$51,W1248="PASS",'Calibrare_Linii'!T16="VALIDATED",AND('Calibrare_Linii'!H16=C1248,ISNUMBER('Calibrare_Linii'!J16),'Calibrare_Linii'!J16&lt;='Input_Meci'!G94)),"PASS",IF(X1248="CANDIDATE","OOS PENDING","FAIL"))))</x:f>
      </x:c>
      <x:c r="Z1248" s="2" t="str">
        <x:f>IF(B1248="","",IF(I1248&lt;&gt;"READY","",IF(OR(NOT(AND(J1248="PASS",'Calibrare_Linii'!U16="VALID")),L1248&gt;'Config_v6'!$B$13,W1248="WATCH"),5,IF(Y1248="PASS",1,MIN(5,MAX('Config_v6'!$B$42,U1248)+IF(W1248="PENALTY",1,0))))))</x:f>
      </x:c>
      <x:c r="AA1248" s="2" t="str">
        <x:f>IF(B1248="","",IF(I1248&lt;&gt;"READY","NOT RELEASED",IF(Z1248=5,"NO BET",IF(OR(AB1248&lt;'Config_v6'!$B$16,V1248&lt;'Config_v6'!$B$18),"WATCH",IF(Z1248=1,"DEFENSIV",IF(Z1248=2,"PRUDENT",IF(Z1248=3,"MODERAT","RIDICAT")))))))</x:f>
      </x:c>
      <x:c r="AB1248" s="10" t="str">
        <x:f>IF(N1248="","",MIN(N1248,1-S1248))</x:f>
      </x:c>
      <x:c r="AC1248" s="2" t="str">
        <x:f>IF(AD1248&lt;&gt;1,"",COUNTIFS($Z$1238:$Z$1251,"&lt;"&amp;Z1248,$AD$1238:$AD$1251,1)+COUNTIFS($Z$1238:$Z$1251,Z1248,$AB$1238:$AB$1251,"&gt;"&amp;AB1248,$AD$1238:$AD$1251,1)+COUNTIFS($Z$1238:$Z$1251,Z1248,$AB$1238:$AB$1251,AB1248,$V$1238:$V$1251,"&gt;"&amp;V1248,$AD$1238:$AD$1251,1)+COUNTIFS($Z$1238:Z1248,Z1248,$AB$1238:AB1248,AB1248,$V$1238:V1248,V1248,$AD$1238:AD1248,1))</x:f>
      </x:c>
      <x:c r="AD1248" s="2" t="n">
        <x:f>IF(OR(AA1248="DEFENSIV",AA1248="PRUDENT",AA1248="MODERAT",AA1248="RIDICAT"),1,0)</x:f>
        <x:v>0</x:v>
      </x:c>
      <x:c r="AE1248" s="2" t="str">
        <x:f>IF(AD1248&lt;&gt;1,"NO",IF(W1248="PASS","YES",IF(W1248="OOS PENDING","CONDITIONAL","NO")))</x:f>
        <x:v>NO</x:v>
      </x:c>
      <x:c r="AF1248" s="2" t="n">
        <x:f>IF(AND(AD1248=1,AC1248=1,E1248="LIVE"),1,0)</x:f>
        <x:v>0</x:v>
      </x:c>
      <x:c r="AG1248" s="2" t="str">
        <x:f>IF(AF1248&lt;&gt;1,"",'Dashboard'!P114)</x:f>
      </x:c>
      <x:c r="AH1248" s="2" t="str">
        <x:f>IF(B1248="","",IF(J1248&lt;&gt;"PASS",'Motor_Meciuri'!J94,IF('Calibrare_Linii'!U16&lt;&gt;"VALID","Parametri linie invalizi",IF(L1248&gt;'Config_v6'!$B$13,"Dispersie peste limita",IF(W1248="WATCH","Failure peste limita",IF(AB1248&lt;'Config_v6'!$B$16,"P finala sub prag",IF(V1248&lt;'Config_v6'!$B$18,"Confidence sub prag",IF(E1248="REPLAY","Exemplu retrospectiv; exclus din Top LIVE",IF(Y1248="PASS","DEFENSIV validat",IF(W1248="OOS PENDING","Eligibil; calibrare linie in monitorizare","Eligibil"))))))))))</x:f>
      </x:c>
      <x:c r="AI1248" s="2" t="str">
        <x:f>IF(B1248="","",'Calibrare_Linii'!V16)</x:f>
      </x:c>
      <x:c r="AJ1248" s="2" t="str">
        <x:f>IF(B1248="","",IF(AND('Calibrare_Linii'!T16="VALIDATED",AND('Calibrare_Linii'!H16=C1248,ISNUMBER('Calibrare_Linii'!J16),'Calibrare_Linii'!J16&lt;='Input_Meci'!G94)),"DEFENSIVE VALIDATED",IF(AND('Calibrare_Linii'!S16="VALIDATED",AND('Calibrare_Linii'!H16=C1248,ISNUMBER('Calibrare_Linii'!J16),'Calibrare_Linii'!J16&lt;='Input_Meci'!G94)),"TAIL VALIDATED","OOS PENDING")))</x:f>
      </x:c>
      <x:c r="AK1248" s="2" t="n">
        <x:f>IF(J1248&lt;&gt;"PASS",0,'Motor_Meciuri'!BR94)</x:f>
        <x:v>0</x:v>
      </x:c>
      <x:c r="AL1248" s="2" t="n">
        <x:f>IF(J1248&lt;&gt;"PASS",0,'Motor_Meciuri'!BS94)</x:f>
        <x:v>0</x:v>
      </x:c>
      <x:c r="AM1248" s="2" t="n">
        <x:f>IF(J1248&lt;&gt;"PASS",0,'Motor_Meciuri'!BT94)</x:f>
        <x:v>0</x:v>
      </x:c>
      <x:c r="AN1248" s="2" t="str">
        <x:f>IF(M1248="","",MAX(0,'Motor_Meciuri'!BF94-IF(L1248&gt;'Config_v6'!$B$12,'Config_v6'!$B$37,IF(L1248&gt;'Config_v6'!$B$11,'Config_v6'!$B$36,0))))</x:f>
      </x:c>
    </x:row>
    <x:row r="1249" ht="21" customHeight="1">
      <x:c r="A1249" s="2" t="n">
        <x:v>89</x:v>
      </x:c>
      <x:c r="B1249" s="2" t="str">
        <x:f>IF('Motor_Meciuri'!A94="","",'Motor_Meciuri'!A94)</x:f>
      </x:c>
      <x:c r="C1249" s="2" t="str">
        <x:f>IF(B1249="","",'Motor_Meciuri'!B94)</x:f>
      </x:c>
      <x:c r="D1249" s="2" t="str">
        <x:f>IF(B1249="","",'Motor_Meciuri'!D94)</x:f>
      </x:c>
      <x:c r="E1249" s="2" t="str">
        <x:f>IF(B1249="","",'Motor_Meciuri'!E94)</x:f>
      </x:c>
      <x:c r="F1249" s="2" t="str">
        <x:v>U15,5</x:v>
      </x:c>
      <x:c r="G1249" s="2" t="str">
        <x:v>UNDER</x:v>
      </x:c>
      <x:c r="H1249" s="2" t="n">
        <x:v>15</x:v>
      </x:c>
      <x:c r="I1249" s="2" t="str">
        <x:f>IF(B1249="","",'Motor_Meciuri'!H94)</x:f>
      </x:c>
      <x:c r="J1249" s="2" t="str">
        <x:f>IF(B1249="","",'Motor_Meciuri'!I94)</x:f>
      </x:c>
      <x:c r="K1249" s="11" t="str">
        <x:f>IF(J1249&lt;&gt;"PASS","",'Motor_Meciuri'!BD94)</x:f>
      </x:c>
      <x:c r="L1249" s="11" t="str">
        <x:f>IF(J1249&lt;&gt;"PASS","",'Motor_Meciuri'!AU94)</x:f>
      </x:c>
      <x:c r="M1249" s="10" t="str">
        <x:f>IF(NOT(AND(J1249="PASS",'Calibrare_Linii'!U17="VALID")),"",'Distributie'!AM94)</x:f>
      </x:c>
      <x:c r="N1249" s="10" t="str">
        <x:f>IF(M1249="","",MAX(0.01,MIN(0.99,0.5+(M1249-0.5)*'Motor_Meciuri'!BG94*'Calibrare_Linii'!D17)))</x:f>
      </x:c>
      <x:c r="O1249" s="10" t="str">
        <x:f>IF(M1249="","",1-M1249)</x:f>
      </x:c>
      <x:c r="P1249" s="10" t="str">
        <x:f>IF(OR(NOT(AND(J1249="PASS",'Calibrare_Linii'!U17="VALID")),AK1249=0),""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*('Istoric_Nativ'!$Q$6:$Q$405&gt;H1249))/AK1249)</x:f>
      </x:c>
      <x:c r="Q1249" s="10" t="str">
        <x:f>IF(OR(NOT(AND(J1249="PASS",'Calibrare_Linii'!U17="VALID")),AL1249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M94)+((('Istoric_Nativ'!$E$6:$E$405='Input_Meci'!E94)+('Istoric_Nativ'!$F$6:$F$405='Input_Meci'!E94))&gt;0)*('Istoric_Nativ'!$D$6:$D$405&gt;='Motor_Meciuri'!BN94))&gt;0)*('Istoric_Nativ'!$Q$6:$Q$405&gt;H1249))/AL1249)</x:f>
      </x:c>
      <x:c r="R1249" s="10" t="str">
        <x:f>IF(OR(NOT(AND(J1249="PASS",'Calibrare_Linii'!U17="VALID")),AM1249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O94)+((('Istoric_Nativ'!$E$6:$E$405='Input_Meci'!E94)+('Istoric_Nativ'!$F$6:$F$405='Input_Meci'!E94))&gt;0)*('Istoric_Nativ'!$D$6:$D$405&gt;='Motor_Meciuri'!BP94))&gt;0)*('Istoric_Nativ'!$Q$6:$Q$405&gt;H1249))/AM1249)</x:f>
      </x:c>
      <x:c r="S1249" s="10" t="str">
        <x:f>IF(M1249="","",MAX(O1249,P1249,Q1249,R1249))</x:f>
      </x:c>
      <x:c r="T1249" s="11" t="str">
        <x:f>IF(M1249="","",MIN(100,S1249*100*'Config_v6'!$B$44+MIN(100,L1249/'Config_v6'!$B$13*100)*'Config_v6'!$B$45+(100-'Motor_Meciuri'!BF94)*'Config_v6'!$B$46+'Motor_Meciuri'!BH94*100*'Config_v6'!$B$47))</x:f>
      </x:c>
      <x:c r="U1249" s="2" t="str">
        <x:f>IF(T1249="","",IF(T1249&lt;=20,1,IF(T1249&lt;=40,2,IF(T1249&lt;=60,3,IF(T1249&lt;=80,4,5)))))</x:f>
      </x:c>
      <x:c r="V1249" s="2" t="str">
        <x:f>IF(M1249="","",MAX(0,'Motor_Meciuri'!BF94-IF(W1249="OOS PENDING",'Config_v6'!$B$35,0)-IF(L1249&gt;'Config_v6'!$B$12,'Config_v6'!$B$37,IF(L1249&gt;'Config_v6'!$B$11,'Config_v6'!$B$36,0))))</x:f>
      </x:c>
      <x:c r="W1249" s="2" t="str">
        <x:f>IF(B1249="","",IF(I1249&lt;&gt;"READY","NOT RELEASED",IF(NOT(AND(J1249="PASS",'Calibrare_Linii'!U17="VALID")),"INVALID",IF(NOT(AND('Calibrare_Linii'!S17="VALIDATED",AND('Calibrare_Linii'!H17=C1249,ISNUMBER('Calibrare_Linii'!J17),'Calibrare_Linii'!J17&lt;='Input_Meci'!G94))),"OOS PENDING",IF(S1249&lt;='Calibrare_Linii'!E17,"PASS",IF(S1249&lt;='Calibrare_Linii'!F17,"PENALTY","WATCH"))))))</x:f>
      </x:c>
      <x:c r="X1249" s="2" t="str">
        <x:f>IF(M1249="","",IF(AND(AND(J1249="PASS",'Calibrare_Linii'!U17="VALID"),'Motor_Meciuri'!K94=12,'Motor_Meciuri'!L94=12,'Motor_Meciuri'!M94="NO",'Motor_Meciuri'!BL94='Motor_Meciuri'!C94,AB1249&gt;='Config_v6'!$B$50,AN1249&gt;='Config_v6'!$B$51,T1249&lt;='Config_v6'!$B$52,L1249&lt;='Config_v6'!$B$53,ISNUMBER('Calibrare_Linii'!E17),S1249&lt;='Calibrare_Linii'!E17,SUM(AK1249:AM1249)&gt;0),"CANDIDATE","NO"))</x:f>
      </x:c>
      <x:c r="Y1249" s="2" t="str">
        <x:f>IF(B1249="","",IF(I1249&lt;&gt;"READY","NOT RELEASED",IF(AND(X1249="CANDIDATE",V1249&gt;='Config_v6'!$B$51,W1249="PASS",'Calibrare_Linii'!T17="VALIDATED",AND('Calibrare_Linii'!H17=C1249,ISNUMBER('Calibrare_Linii'!J17),'Calibrare_Linii'!J17&lt;='Input_Meci'!G94)),"PASS",IF(X1249="CANDIDATE","OOS PENDING","FAIL"))))</x:f>
      </x:c>
      <x:c r="Z1249" s="2" t="str">
        <x:f>IF(B1249="","",IF(I1249&lt;&gt;"READY","",IF(OR(NOT(AND(J1249="PASS",'Calibrare_Linii'!U17="VALID")),L1249&gt;'Config_v6'!$B$13,W1249="WATCH"),5,IF(Y1249="PASS",1,MIN(5,MAX('Config_v6'!$B$42,U1249)+IF(W1249="PENALTY",1,0))))))</x:f>
      </x:c>
      <x:c r="AA1249" s="2" t="str">
        <x:f>IF(B1249="","",IF(I1249&lt;&gt;"READY","NOT RELEASED",IF(Z1249=5,"NO BET",IF(OR(AB1249&lt;'Config_v6'!$B$16,V1249&lt;'Config_v6'!$B$18),"WATCH",IF(Z1249=1,"DEFENSIV",IF(Z1249=2,"PRUDENT",IF(Z1249=3,"MODERAT","RIDICAT")))))))</x:f>
      </x:c>
      <x:c r="AB1249" s="10" t="str">
        <x:f>IF(N1249="","",MIN(N1249,1-S1249))</x:f>
      </x:c>
      <x:c r="AC1249" s="2" t="str">
        <x:f>IF(AD1249&lt;&gt;1,"",COUNTIFS($Z$1238:$Z$1251,"&lt;"&amp;Z1249,$AD$1238:$AD$1251,1)+COUNTIFS($Z$1238:$Z$1251,Z1249,$AB$1238:$AB$1251,"&gt;"&amp;AB1249,$AD$1238:$AD$1251,1)+COUNTIFS($Z$1238:$Z$1251,Z1249,$AB$1238:$AB$1251,AB1249,$V$1238:$V$1251,"&gt;"&amp;V1249,$AD$1238:$AD$1251,1)+COUNTIFS($Z$1238:Z1249,Z1249,$AB$1238:AB1249,AB1249,$V$1238:V1249,V1249,$AD$1238:AD1249,1))</x:f>
      </x:c>
      <x:c r="AD1249" s="2" t="n">
        <x:f>IF(OR(AA1249="DEFENSIV",AA1249="PRUDENT",AA1249="MODERAT",AA1249="RIDICAT"),1,0)</x:f>
        <x:v>0</x:v>
      </x:c>
      <x:c r="AE1249" s="2" t="str">
        <x:f>IF(AD1249&lt;&gt;1,"NO",IF(W1249="PASS","YES",IF(W1249="OOS PENDING","CONDITIONAL","NO")))</x:f>
        <x:v>NO</x:v>
      </x:c>
      <x:c r="AF1249" s="2" t="n">
        <x:f>IF(AND(AD1249=1,AC1249=1,E1249="LIVE"),1,0)</x:f>
        <x:v>0</x:v>
      </x:c>
      <x:c r="AG1249" s="2" t="str">
        <x:f>IF(AF1249&lt;&gt;1,"",'Dashboard'!P114)</x:f>
      </x:c>
      <x:c r="AH1249" s="2" t="str">
        <x:f>IF(B1249="","",IF(J1249&lt;&gt;"PASS",'Motor_Meciuri'!J94,IF('Calibrare_Linii'!U17&lt;&gt;"VALID","Parametri linie invalizi",IF(L1249&gt;'Config_v6'!$B$13,"Dispersie peste limita",IF(W1249="WATCH","Failure peste limita",IF(AB1249&lt;'Config_v6'!$B$16,"P finala sub prag",IF(V1249&lt;'Config_v6'!$B$18,"Confidence sub prag",IF(E1249="REPLAY","Exemplu retrospectiv; exclus din Top LIVE",IF(Y1249="PASS","DEFENSIV validat",IF(W1249="OOS PENDING","Eligibil; calibrare linie in monitorizare","Eligibil"))))))))))</x:f>
      </x:c>
      <x:c r="AI1249" s="2" t="str">
        <x:f>IF(B1249="","",'Calibrare_Linii'!V17)</x:f>
      </x:c>
      <x:c r="AJ1249" s="2" t="str">
        <x:f>IF(B1249="","",IF(AND('Calibrare_Linii'!T17="VALIDATED",AND('Calibrare_Linii'!H17=C1249,ISNUMBER('Calibrare_Linii'!J17),'Calibrare_Linii'!J17&lt;='Input_Meci'!G94)),"DEFENSIVE VALIDATED",IF(AND('Calibrare_Linii'!S17="VALIDATED",AND('Calibrare_Linii'!H17=C1249,ISNUMBER('Calibrare_Linii'!J17),'Calibrare_Linii'!J17&lt;='Input_Meci'!G94)),"TAIL VALIDATED","OOS PENDING")))</x:f>
      </x:c>
      <x:c r="AK1249" s="2" t="n">
        <x:f>IF(J1249&lt;&gt;"PASS",0,'Motor_Meciuri'!BR94)</x:f>
        <x:v>0</x:v>
      </x:c>
      <x:c r="AL1249" s="2" t="n">
        <x:f>IF(J1249&lt;&gt;"PASS",0,'Motor_Meciuri'!BS94)</x:f>
        <x:v>0</x:v>
      </x:c>
      <x:c r="AM1249" s="2" t="n">
        <x:f>IF(J1249&lt;&gt;"PASS",0,'Motor_Meciuri'!BT94)</x:f>
        <x:v>0</x:v>
      </x:c>
      <x:c r="AN1249" s="2" t="str">
        <x:f>IF(M1249="","",MAX(0,'Motor_Meciuri'!BF94-IF(L1249&gt;'Config_v6'!$B$12,'Config_v6'!$B$37,IF(L1249&gt;'Config_v6'!$B$11,'Config_v6'!$B$36,0))))</x:f>
      </x:c>
    </x:row>
    <x:row r="1250" ht="21" customHeight="1">
      <x:c r="A1250" s="2" t="n">
        <x:v>89</x:v>
      </x:c>
      <x:c r="B1250" s="2" t="str">
        <x:f>IF('Motor_Meciuri'!A94="","",'Motor_Meciuri'!A94)</x:f>
      </x:c>
      <x:c r="C1250" s="2" t="str">
        <x:f>IF(B1250="","",'Motor_Meciuri'!B94)</x:f>
      </x:c>
      <x:c r="D1250" s="2" t="str">
        <x:f>IF(B1250="","",'Motor_Meciuri'!D94)</x:f>
      </x:c>
      <x:c r="E1250" s="2" t="str">
        <x:f>IF(B1250="","",'Motor_Meciuri'!E94)</x:f>
      </x:c>
      <x:c r="F1250" s="2" t="str">
        <x:v>U16,5</x:v>
      </x:c>
      <x:c r="G1250" s="2" t="str">
        <x:v>UNDER</x:v>
      </x:c>
      <x:c r="H1250" s="2" t="n">
        <x:v>16</x:v>
      </x:c>
      <x:c r="I1250" s="2" t="str">
        <x:f>IF(B1250="","",'Motor_Meciuri'!H94)</x:f>
      </x:c>
      <x:c r="J1250" s="2" t="str">
        <x:f>IF(B1250="","",'Motor_Meciuri'!I94)</x:f>
      </x:c>
      <x:c r="K1250" s="11" t="str">
        <x:f>IF(J1250&lt;&gt;"PASS","",'Motor_Meciuri'!BD94)</x:f>
      </x:c>
      <x:c r="L1250" s="11" t="str">
        <x:f>IF(J1250&lt;&gt;"PASS","",'Motor_Meciuri'!AU94)</x:f>
      </x:c>
      <x:c r="M1250" s="10" t="str">
        <x:f>IF(NOT(AND(J1250="PASS",'Calibrare_Linii'!U18="VALID")),"",'Distributie'!AN94)</x:f>
      </x:c>
      <x:c r="N1250" s="10" t="str">
        <x:f>IF(M1250="","",MAX(0.01,MIN(0.99,0.5+(M1250-0.5)*'Motor_Meciuri'!BG94*'Calibrare_Linii'!D18)))</x:f>
      </x:c>
      <x:c r="O1250" s="10" t="str">
        <x:f>IF(M1250="","",1-M1250)</x:f>
      </x:c>
      <x:c r="P1250" s="10" t="str">
        <x:f>IF(OR(NOT(AND(J1250="PASS",'Calibrare_Linii'!U18="VALID")),AK1250=0),""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*('Istoric_Nativ'!$Q$6:$Q$405&gt;H1250))/AK1250)</x:f>
      </x:c>
      <x:c r="Q1250" s="10" t="str">
        <x:f>IF(OR(NOT(AND(J1250="PASS",'Calibrare_Linii'!U18="VALID")),AL1250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M94)+((('Istoric_Nativ'!$E$6:$E$405='Input_Meci'!E94)+('Istoric_Nativ'!$F$6:$F$405='Input_Meci'!E94))&gt;0)*('Istoric_Nativ'!$D$6:$D$405&gt;='Motor_Meciuri'!BN94))&gt;0)*('Istoric_Nativ'!$Q$6:$Q$405&gt;H1250))/AL1250)</x:f>
      </x:c>
      <x:c r="R1250" s="10" t="str">
        <x:f>IF(OR(NOT(AND(J1250="PASS",'Calibrare_Linii'!U18="VALID")),AM1250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O94)+((('Istoric_Nativ'!$E$6:$E$405='Input_Meci'!E94)+('Istoric_Nativ'!$F$6:$F$405='Input_Meci'!E94))&gt;0)*('Istoric_Nativ'!$D$6:$D$405&gt;='Motor_Meciuri'!BP94))&gt;0)*('Istoric_Nativ'!$Q$6:$Q$405&gt;H1250))/AM1250)</x:f>
      </x:c>
      <x:c r="S1250" s="10" t="str">
        <x:f>IF(M1250="","",MAX(O1250,P1250,Q1250,R1250))</x:f>
      </x:c>
      <x:c r="T1250" s="11" t="str">
        <x:f>IF(M1250="","",MIN(100,S1250*100*'Config_v6'!$B$44+MIN(100,L1250/'Config_v6'!$B$13*100)*'Config_v6'!$B$45+(100-'Motor_Meciuri'!BF94)*'Config_v6'!$B$46+'Motor_Meciuri'!BH94*100*'Config_v6'!$B$47))</x:f>
      </x:c>
      <x:c r="U1250" s="2" t="str">
        <x:f>IF(T1250="","",IF(T1250&lt;=20,1,IF(T1250&lt;=40,2,IF(T1250&lt;=60,3,IF(T1250&lt;=80,4,5)))))</x:f>
      </x:c>
      <x:c r="V1250" s="2" t="str">
        <x:f>IF(M1250="","",MAX(0,'Motor_Meciuri'!BF94-IF(W1250="OOS PENDING",'Config_v6'!$B$35,0)-IF(L1250&gt;'Config_v6'!$B$12,'Config_v6'!$B$37,IF(L1250&gt;'Config_v6'!$B$11,'Config_v6'!$B$36,0))))</x:f>
      </x:c>
      <x:c r="W1250" s="2" t="str">
        <x:f>IF(B1250="","",IF(I1250&lt;&gt;"READY","NOT RELEASED",IF(NOT(AND(J1250="PASS",'Calibrare_Linii'!U18="VALID")),"INVALID",IF(NOT(AND('Calibrare_Linii'!S18="VALIDATED",AND('Calibrare_Linii'!H18=C1250,ISNUMBER('Calibrare_Linii'!J18),'Calibrare_Linii'!J18&lt;='Input_Meci'!G94))),"OOS PENDING",IF(S1250&lt;='Calibrare_Linii'!E18,"PASS",IF(S1250&lt;='Calibrare_Linii'!F18,"PENALTY","WATCH"))))))</x:f>
      </x:c>
      <x:c r="X1250" s="2" t="str">
        <x:f>IF(M1250="","",IF(AND(AND(J1250="PASS",'Calibrare_Linii'!U18="VALID"),'Motor_Meciuri'!K94=12,'Motor_Meciuri'!L94=12,'Motor_Meciuri'!M94="NO",'Motor_Meciuri'!BL94='Motor_Meciuri'!C94,AB1250&gt;='Config_v6'!$B$50,AN1250&gt;='Config_v6'!$B$51,T1250&lt;='Config_v6'!$B$52,L1250&lt;='Config_v6'!$B$53,ISNUMBER('Calibrare_Linii'!E18),S1250&lt;='Calibrare_Linii'!E18,SUM(AK1250:AM1250)&gt;0),"CANDIDATE","NO"))</x:f>
      </x:c>
      <x:c r="Y1250" s="2" t="str">
        <x:f>IF(B1250="","",IF(I1250&lt;&gt;"READY","NOT RELEASED",IF(AND(X1250="CANDIDATE",V1250&gt;='Config_v6'!$B$51,W1250="PASS",'Calibrare_Linii'!T18="VALIDATED",AND('Calibrare_Linii'!H18=C1250,ISNUMBER('Calibrare_Linii'!J18),'Calibrare_Linii'!J18&lt;='Input_Meci'!G94)),"PASS",IF(X1250="CANDIDATE","OOS PENDING","FAIL"))))</x:f>
      </x:c>
      <x:c r="Z1250" s="2" t="str">
        <x:f>IF(B1250="","",IF(I1250&lt;&gt;"READY","",IF(OR(NOT(AND(J1250="PASS",'Calibrare_Linii'!U18="VALID")),L1250&gt;'Config_v6'!$B$13,W1250="WATCH"),5,IF(Y1250="PASS",1,MIN(5,MAX('Config_v6'!$B$42,U1250)+IF(W1250="PENALTY",1,0))))))</x:f>
      </x:c>
      <x:c r="AA1250" s="2" t="str">
        <x:f>IF(B1250="","",IF(I1250&lt;&gt;"READY","NOT RELEASED",IF(Z1250=5,"NO BET",IF(OR(AB1250&lt;'Config_v6'!$B$16,V1250&lt;'Config_v6'!$B$18),"WATCH",IF(Z1250=1,"DEFENSIV",IF(Z1250=2,"PRUDENT",IF(Z1250=3,"MODERAT","RIDICAT")))))))</x:f>
      </x:c>
      <x:c r="AB1250" s="10" t="str">
        <x:f>IF(N1250="","",MIN(N1250,1-S1250))</x:f>
      </x:c>
      <x:c r="AC1250" s="2" t="str">
        <x:f>IF(AD1250&lt;&gt;1,"",COUNTIFS($Z$1238:$Z$1251,"&lt;"&amp;Z1250,$AD$1238:$AD$1251,1)+COUNTIFS($Z$1238:$Z$1251,Z1250,$AB$1238:$AB$1251,"&gt;"&amp;AB1250,$AD$1238:$AD$1251,1)+COUNTIFS($Z$1238:$Z$1251,Z1250,$AB$1238:$AB$1251,AB1250,$V$1238:$V$1251,"&gt;"&amp;V1250,$AD$1238:$AD$1251,1)+COUNTIFS($Z$1238:Z1250,Z1250,$AB$1238:AB1250,AB1250,$V$1238:V1250,V1250,$AD$1238:AD1250,1))</x:f>
      </x:c>
      <x:c r="AD1250" s="2" t="n">
        <x:f>IF(OR(AA1250="DEFENSIV",AA1250="PRUDENT",AA1250="MODERAT",AA1250="RIDICAT"),1,0)</x:f>
        <x:v>0</x:v>
      </x:c>
      <x:c r="AE1250" s="2" t="str">
        <x:f>IF(AD1250&lt;&gt;1,"NO",IF(W1250="PASS","YES",IF(W1250="OOS PENDING","CONDITIONAL","NO")))</x:f>
        <x:v>NO</x:v>
      </x:c>
      <x:c r="AF1250" s="2" t="n">
        <x:f>IF(AND(AD1250=1,AC1250=1,E1250="LIVE"),1,0)</x:f>
        <x:v>0</x:v>
      </x:c>
      <x:c r="AG1250" s="2" t="str">
        <x:f>IF(AF1250&lt;&gt;1,"",'Dashboard'!P114)</x:f>
      </x:c>
      <x:c r="AH1250" s="2" t="str">
        <x:f>IF(B1250="","",IF(J1250&lt;&gt;"PASS",'Motor_Meciuri'!J94,IF('Calibrare_Linii'!U18&lt;&gt;"VALID","Parametri linie invalizi",IF(L1250&gt;'Config_v6'!$B$13,"Dispersie peste limita",IF(W1250="WATCH","Failure peste limita",IF(AB1250&lt;'Config_v6'!$B$16,"P finala sub prag",IF(V1250&lt;'Config_v6'!$B$18,"Confidence sub prag",IF(E1250="REPLAY","Exemplu retrospectiv; exclus din Top LIVE",IF(Y1250="PASS","DEFENSIV validat",IF(W1250="OOS PENDING","Eligibil; calibrare linie in monitorizare","Eligibil"))))))))))</x:f>
      </x:c>
      <x:c r="AI1250" s="2" t="str">
        <x:f>IF(B1250="","",'Calibrare_Linii'!V18)</x:f>
      </x:c>
      <x:c r="AJ1250" s="2" t="str">
        <x:f>IF(B1250="","",IF(AND('Calibrare_Linii'!T18="VALIDATED",AND('Calibrare_Linii'!H18=C1250,ISNUMBER('Calibrare_Linii'!J18),'Calibrare_Linii'!J18&lt;='Input_Meci'!G94)),"DEFENSIVE VALIDATED",IF(AND('Calibrare_Linii'!S18="VALIDATED",AND('Calibrare_Linii'!H18=C1250,ISNUMBER('Calibrare_Linii'!J18),'Calibrare_Linii'!J18&lt;='Input_Meci'!G94)),"TAIL VALIDATED","OOS PENDING")))</x:f>
      </x:c>
      <x:c r="AK1250" s="2" t="n">
        <x:f>IF(J1250&lt;&gt;"PASS",0,'Motor_Meciuri'!BR94)</x:f>
        <x:v>0</x:v>
      </x:c>
      <x:c r="AL1250" s="2" t="n">
        <x:f>IF(J1250&lt;&gt;"PASS",0,'Motor_Meciuri'!BS94)</x:f>
        <x:v>0</x:v>
      </x:c>
      <x:c r="AM1250" s="2" t="n">
        <x:f>IF(J1250&lt;&gt;"PASS",0,'Motor_Meciuri'!BT94)</x:f>
        <x:v>0</x:v>
      </x:c>
      <x:c r="AN1250" s="2" t="str">
        <x:f>IF(M1250="","",MAX(0,'Motor_Meciuri'!BF94-IF(L1250&gt;'Config_v6'!$B$12,'Config_v6'!$B$37,IF(L1250&gt;'Config_v6'!$B$11,'Config_v6'!$B$36,0))))</x:f>
      </x:c>
    </x:row>
    <x:row r="1251" ht="21" customHeight="1">
      <x:c r="A1251" s="2" t="n">
        <x:v>89</x:v>
      </x:c>
      <x:c r="B1251" s="2" t="str">
        <x:f>IF('Motor_Meciuri'!A94="","",'Motor_Meciuri'!A94)</x:f>
      </x:c>
      <x:c r="C1251" s="2" t="str">
        <x:f>IF(B1251="","",'Motor_Meciuri'!B94)</x:f>
      </x:c>
      <x:c r="D1251" s="2" t="str">
        <x:f>IF(B1251="","",'Motor_Meciuri'!D94)</x:f>
      </x:c>
      <x:c r="E1251" s="2" t="str">
        <x:f>IF(B1251="","",'Motor_Meciuri'!E94)</x:f>
      </x:c>
      <x:c r="F1251" s="2" t="str">
        <x:v>U17,5</x:v>
      </x:c>
      <x:c r="G1251" s="2" t="str">
        <x:v>UNDER</x:v>
      </x:c>
      <x:c r="H1251" s="2" t="n">
        <x:v>17</x:v>
      </x:c>
      <x:c r="I1251" s="2" t="str">
        <x:f>IF(B1251="","",'Motor_Meciuri'!H94)</x:f>
      </x:c>
      <x:c r="J1251" s="2" t="str">
        <x:f>IF(B1251="","",'Motor_Meciuri'!I94)</x:f>
      </x:c>
      <x:c r="K1251" s="11" t="str">
        <x:f>IF(J1251&lt;&gt;"PASS","",'Motor_Meciuri'!BD94)</x:f>
      </x:c>
      <x:c r="L1251" s="11" t="str">
        <x:f>IF(J1251&lt;&gt;"PASS","",'Motor_Meciuri'!AU94)</x:f>
      </x:c>
      <x:c r="M1251" s="10" t="str">
        <x:f>IF(NOT(AND(J1251="PASS",'Calibrare_Linii'!U19="VALID")),"",'Distributie'!AO94)</x:f>
      </x:c>
      <x:c r="N1251" s="10" t="str">
        <x:f>IF(M1251="","",MAX(0.01,MIN(0.99,0.5+(M1251-0.5)*'Motor_Meciuri'!BG94*'Calibrare_Linii'!D19)))</x:f>
      </x:c>
      <x:c r="O1251" s="10" t="str">
        <x:f>IF(M1251="","",1-M1251)</x:f>
      </x:c>
      <x:c r="P1251" s="10" t="str">
        <x:f>IF(OR(NOT(AND(J1251="PASS",'Calibrare_Linii'!U19="VALID")),AK1251=0),""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*('Istoric_Nativ'!$Q$6:$Q$405&gt;H1251))/AK1251)</x:f>
      </x:c>
      <x:c r="Q1251" s="10" t="str">
        <x:f>IF(OR(NOT(AND(J1251="PASS",'Calibrare_Linii'!U19="VALID")),AL1251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M94)+((('Istoric_Nativ'!$E$6:$E$405='Input_Meci'!E94)+('Istoric_Nativ'!$F$6:$F$405='Input_Meci'!E94))&gt;0)*('Istoric_Nativ'!$D$6:$D$405&gt;='Motor_Meciuri'!BN94))&gt;0)*('Istoric_Nativ'!$Q$6:$Q$405&gt;H1251))/AL1251)</x:f>
      </x:c>
      <x:c r="R1251" s="10" t="str">
        <x:f>IF(OR(NOT(AND(J1251="PASS",'Calibrare_Linii'!U19="VALID")),AM1251=0),""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'Motor_Meciuri'!BO94)+((('Istoric_Nativ'!$E$6:$E$405='Input_Meci'!E94)+('Istoric_Nativ'!$F$6:$F$405='Input_Meci'!E94))&gt;0)*('Istoric_Nativ'!$D$6:$D$405&gt;='Motor_Meciuri'!BP94))&gt;0)*('Istoric_Nativ'!$Q$6:$Q$405&gt;H1251))/AM1251)</x:f>
      </x:c>
      <x:c r="S1251" s="10" t="str">
        <x:f>IF(M1251="","",MAX(O1251,P1251,Q1251,R1251))</x:f>
      </x:c>
      <x:c r="T1251" s="11" t="str">
        <x:f>IF(M1251="","",MIN(100,S1251*100*'Config_v6'!$B$44+MIN(100,L1251/'Config_v6'!$B$13*100)*'Config_v6'!$B$45+(100-'Motor_Meciuri'!BF94)*'Config_v6'!$B$46+'Motor_Meciuri'!BH94*100*'Config_v6'!$B$47))</x:f>
      </x:c>
      <x:c r="U1251" s="2" t="str">
        <x:f>IF(T1251="","",IF(T1251&lt;=20,1,IF(T1251&lt;=40,2,IF(T1251&lt;=60,3,IF(T1251&lt;=80,4,5)))))</x:f>
      </x:c>
      <x:c r="V1251" s="2" t="str">
        <x:f>IF(M1251="","",MAX(0,'Motor_Meciuri'!BF94-IF(W1251="OOS PENDING",'Config_v6'!$B$35,0)-IF(L1251&gt;'Config_v6'!$B$12,'Config_v6'!$B$37,IF(L1251&gt;'Config_v6'!$B$11,'Config_v6'!$B$36,0))))</x:f>
      </x:c>
      <x:c r="W1251" s="2" t="str">
        <x:f>IF(B1251="","",IF(I1251&lt;&gt;"READY","NOT RELEASED",IF(NOT(AND(J1251="PASS",'Calibrare_Linii'!U19="VALID")),"INVALID",IF(NOT(AND('Calibrare_Linii'!S19="VALIDATED",AND('Calibrare_Linii'!H19=C1251,ISNUMBER('Calibrare_Linii'!J19),'Calibrare_Linii'!J19&lt;='Input_Meci'!G94))),"OOS PENDING",IF(S1251&lt;='Calibrare_Linii'!E19,"PASS",IF(S1251&lt;='Calibrare_Linii'!F19,"PENALTY","WATCH"))))))</x:f>
      </x:c>
      <x:c r="X1251" s="2" t="str">
        <x:f>IF(M1251="","",IF(AND(AND(J1251="PASS",'Calibrare_Linii'!U19="VALID"),'Motor_Meciuri'!K94=12,'Motor_Meciuri'!L94=12,'Motor_Meciuri'!M94="NO",'Motor_Meciuri'!BL94='Motor_Meciuri'!C94,AB1251&gt;='Config_v6'!$B$50,AN1251&gt;='Config_v6'!$B$51,T1251&lt;='Config_v6'!$B$52,L1251&lt;='Config_v6'!$B$53,ISNUMBER('Calibrare_Linii'!E19),S1251&lt;='Calibrare_Linii'!E19,SUM(AK1251:AM1251)&gt;0),"CANDIDATE","NO"))</x:f>
      </x:c>
      <x:c r="Y1251" s="2" t="str">
        <x:f>IF(B1251="","",IF(I1251&lt;&gt;"READY","NOT RELEASED",IF(AND(X1251="CANDIDATE",V1251&gt;='Config_v6'!$B$51,W1251="PASS",'Calibrare_Linii'!T19="VALIDATED",AND('Calibrare_Linii'!H19=C1251,ISNUMBER('Calibrare_Linii'!J19),'Calibrare_Linii'!J19&lt;='Input_Meci'!G94)),"PASS",IF(X1251="CANDIDATE","OOS PENDING","FAIL"))))</x:f>
      </x:c>
      <x:c r="Z1251" s="2" t="str">
        <x:f>IF(B1251="","",IF(I1251&lt;&gt;"READY","",IF(OR(NOT(AND(J1251="PASS",'Calibrare_Linii'!U19="VALID")),L1251&gt;'Config_v6'!$B$13,W1251="WATCH"),5,IF(Y1251="PASS",1,MIN(5,MAX('Config_v6'!$B$42,U1251)+IF(W1251="PENALTY",1,0))))))</x:f>
      </x:c>
      <x:c r="AA1251" s="2" t="str">
        <x:f>IF(B1251="","",IF(I1251&lt;&gt;"READY","NOT RELEASED",IF(Z1251=5,"NO BET",IF(OR(AB1251&lt;'Config_v6'!$B$16,V1251&lt;'Config_v6'!$B$18),"WATCH",IF(Z1251=1,"DEFENSIV",IF(Z1251=2,"PRUDENT",IF(Z1251=3,"MODERAT","RIDICAT")))))))</x:f>
      </x:c>
      <x:c r="AB1251" s="10" t="str">
        <x:f>IF(N1251="","",MIN(N1251,1-S1251))</x:f>
      </x:c>
      <x:c r="AC1251" s="2" t="str">
        <x:f>IF(AD1251&lt;&gt;1,"",COUNTIFS($Z$1238:$Z$1251,"&lt;"&amp;Z1251,$AD$1238:$AD$1251,1)+COUNTIFS($Z$1238:$Z$1251,Z1251,$AB$1238:$AB$1251,"&gt;"&amp;AB1251,$AD$1238:$AD$1251,1)+COUNTIFS($Z$1238:$Z$1251,Z1251,$AB$1238:$AB$1251,AB1251,$V$1238:$V$1251,"&gt;"&amp;V1251,$AD$1238:$AD$1251,1)+COUNTIFS($Z$1238:Z1251,Z1251,$AB$1238:AB1251,AB1251,$V$1238:V1251,V1251,$AD$1238:AD1251,1))</x:f>
      </x:c>
      <x:c r="AD1251" s="2" t="n">
        <x:f>IF(OR(AA1251="DEFENSIV",AA1251="PRUDENT",AA1251="MODERAT",AA1251="RIDICAT"),1,0)</x:f>
        <x:v>0</x:v>
      </x:c>
      <x:c r="AE1251" s="2" t="str">
        <x:f>IF(AD1251&lt;&gt;1,"NO",IF(W1251="PASS","YES",IF(W1251="OOS PENDING","CONDITIONAL","NO")))</x:f>
        <x:v>NO</x:v>
      </x:c>
      <x:c r="AF1251" s="2" t="n">
        <x:f>IF(AND(AD1251=1,AC1251=1,E1251="LIVE"),1,0)</x:f>
        <x:v>0</x:v>
      </x:c>
      <x:c r="AG1251" s="2" t="str">
        <x:f>IF(AF1251&lt;&gt;1,"",'Dashboard'!P114)</x:f>
      </x:c>
      <x:c r="AH1251" s="2" t="str">
        <x:f>IF(B1251="","",IF(J1251&lt;&gt;"PASS",'Motor_Meciuri'!J94,IF('Calibrare_Linii'!U19&lt;&gt;"VALID","Parametri linie invalizi",IF(L1251&gt;'Config_v6'!$B$13,"Dispersie peste limita",IF(W1251="WATCH","Failure peste limita",IF(AB1251&lt;'Config_v6'!$B$16,"P finala sub prag",IF(V1251&lt;'Config_v6'!$B$18,"Confidence sub prag",IF(E1251="REPLAY","Exemplu retrospectiv; exclus din Top LIVE",IF(Y1251="PASS","DEFENSIV validat",IF(W1251="OOS PENDING","Eligibil; calibrare linie in monitorizare","Eligibil"))))))))))</x:f>
      </x:c>
      <x:c r="AI1251" s="2" t="str">
        <x:f>IF(B1251="","",'Calibrare_Linii'!V19)</x:f>
      </x:c>
      <x:c r="AJ1251" s="2" t="str">
        <x:f>IF(B1251="","",IF(AND('Calibrare_Linii'!T19="VALIDATED",AND('Calibrare_Linii'!H19=C1251,ISNUMBER('Calibrare_Linii'!J19),'Calibrare_Linii'!J19&lt;='Input_Meci'!G94)),"DEFENSIVE VALIDATED",IF(AND('Calibrare_Linii'!S19="VALIDATED",AND('Calibrare_Linii'!H19=C1251,ISNUMBER('Calibrare_Linii'!J19),'Calibrare_Linii'!J19&lt;='Input_Meci'!G94)),"TAIL VALIDATED","OOS PENDING")))</x:f>
      </x:c>
      <x:c r="AK1251" s="2" t="n">
        <x:f>IF(J1251&lt;&gt;"PASS",0,'Motor_Meciuri'!BR94)</x:f>
        <x:v>0</x:v>
      </x:c>
      <x:c r="AL1251" s="2" t="n">
        <x:f>IF(J1251&lt;&gt;"PASS",0,'Motor_Meciuri'!BS94)</x:f>
        <x:v>0</x:v>
      </x:c>
      <x:c r="AM1251" s="2" t="n">
        <x:f>IF(J1251&lt;&gt;"PASS",0,'Motor_Meciuri'!BT94)</x:f>
        <x:v>0</x:v>
      </x:c>
      <x:c r="AN1251" s="2" t="str">
        <x:f>IF(M1251="","",MAX(0,'Motor_Meciuri'!BF94-IF(L1251&gt;'Config_v6'!$B$12,'Config_v6'!$B$37,IF(L1251&gt;'Config_v6'!$B$11,'Config_v6'!$B$36,0))))</x:f>
      </x:c>
    </x:row>
    <x:row r="1252" ht="21" customHeight="1">
      <x:c r="A1252" s="2" t="n">
        <x:v>90</x:v>
      </x:c>
      <x:c r="B1252" s="2" t="str">
        <x:f>IF('Motor_Meciuri'!A95="","",'Motor_Meciuri'!A95)</x:f>
      </x:c>
      <x:c r="C1252" s="2" t="str">
        <x:f>IF(B1252="","",'Motor_Meciuri'!B95)</x:f>
      </x:c>
      <x:c r="D1252" s="2" t="str">
        <x:f>IF(B1252="","",'Motor_Meciuri'!D95)</x:f>
      </x:c>
      <x:c r="E1252" s="2" t="str">
        <x:f>IF(B1252="","",'Motor_Meciuri'!E95)</x:f>
      </x:c>
      <x:c r="F1252" s="2" t="str">
        <x:v>O3,5</x:v>
      </x:c>
      <x:c r="G1252" s="2" t="str">
        <x:v>OVER</x:v>
      </x:c>
      <x:c r="H1252" s="2" t="n">
        <x:v>3</x:v>
      </x:c>
      <x:c r="I1252" s="2" t="str">
        <x:f>IF(B1252="","",'Motor_Meciuri'!H95)</x:f>
      </x:c>
      <x:c r="J1252" s="2" t="str">
        <x:f>IF(B1252="","",'Motor_Meciuri'!I95)</x:f>
      </x:c>
      <x:c r="K1252" s="11" t="str">
        <x:f>IF(J1252&lt;&gt;"PASS","",'Motor_Meciuri'!BD95)</x:f>
      </x:c>
      <x:c r="L1252" s="11" t="str">
        <x:f>IF(J1252&lt;&gt;"PASS","",'Motor_Meciuri'!AU95)</x:f>
      </x:c>
      <x:c r="M1252" s="10" t="str">
        <x:f>IF(NOT(AND(J1252="PASS",'Calibrare_Linii'!U6="VALID")),"",1-'Distributie'!AA95)</x:f>
      </x:c>
      <x:c r="N1252" s="10" t="str">
        <x:f>IF(M1252="","",MAX(0.01,MIN(0.99,0.5+(M1252-0.5)*'Motor_Meciuri'!BG95*'Calibrare_Linii'!D6)))</x:f>
      </x:c>
      <x:c r="O1252" s="10" t="str">
        <x:f>IF(M1252="","",1-M1252)</x:f>
      </x:c>
      <x:c r="P1252" s="10" t="str">
        <x:f>IF(OR(NOT(AND(J1252="PASS",'Calibrare_Linii'!U6="VALID")),AK1252=0),""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*('Istoric_Nativ'!$Q$6:$Q$405&lt;=H1252))/AK1252)</x:f>
      </x:c>
      <x:c r="Q1252" s="10" t="str">
        <x:f>IF(OR(NOT(AND(J1252="PASS",'Calibrare_Linii'!U6="VALID")),AL1252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M95)+((('Istoric_Nativ'!$E$6:$E$405='Input_Meci'!E95)+('Istoric_Nativ'!$F$6:$F$405='Input_Meci'!E95))&gt;0)*('Istoric_Nativ'!$D$6:$D$405&gt;='Motor_Meciuri'!BN95))&gt;0)*('Istoric_Nativ'!$Q$6:$Q$405&lt;=H1252))/AL1252)</x:f>
      </x:c>
      <x:c r="R1252" s="10" t="str">
        <x:f>IF(OR(NOT(AND(J1252="PASS",'Calibrare_Linii'!U6="VALID")),AM1252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O95)+((('Istoric_Nativ'!$E$6:$E$405='Input_Meci'!E95)+('Istoric_Nativ'!$F$6:$F$405='Input_Meci'!E95))&gt;0)*('Istoric_Nativ'!$D$6:$D$405&gt;='Motor_Meciuri'!BP95))&gt;0)*('Istoric_Nativ'!$Q$6:$Q$405&lt;=H1252))/AM1252)</x:f>
      </x:c>
      <x:c r="S1252" s="10" t="str">
        <x:f>IF(M1252="","",MAX(O1252,P1252,Q1252,R1252))</x:f>
      </x:c>
      <x:c r="T1252" s="11" t="str">
        <x:f>IF(M1252="","",MIN(100,S1252*100*'Config_v6'!$B$44+MIN(100,L1252/'Config_v6'!$B$13*100)*'Config_v6'!$B$45+(100-'Motor_Meciuri'!BF95)*'Config_v6'!$B$46+'Motor_Meciuri'!BH95*100*'Config_v6'!$B$47))</x:f>
      </x:c>
      <x:c r="U1252" s="2" t="str">
        <x:f>IF(T1252="","",IF(T1252&lt;=20,1,IF(T1252&lt;=40,2,IF(T1252&lt;=60,3,IF(T1252&lt;=80,4,5)))))</x:f>
      </x:c>
      <x:c r="V1252" s="2" t="str">
        <x:f>IF(M1252="","",MAX(0,'Motor_Meciuri'!BF95-IF(W1252="OOS PENDING",'Config_v6'!$B$35,0)-IF(L1252&gt;'Config_v6'!$B$12,'Config_v6'!$B$37,IF(L1252&gt;'Config_v6'!$B$11,'Config_v6'!$B$36,0))))</x:f>
      </x:c>
      <x:c r="W1252" s="2" t="str">
        <x:f>IF(B1252="","",IF(I1252&lt;&gt;"READY","NOT RELEASED",IF(NOT(AND(J1252="PASS",'Calibrare_Linii'!U6="VALID")),"INVALID",IF(NOT(TRUE),"OOS PENDING",IF(S1252&lt;=IF(AND('Calibrare_Linii'!S6="VALIDATED",AND('Calibrare_Linii'!H6=C1252,ISNUMBER('Calibrare_Linii'!J6),'Calibrare_Linii'!J6&lt;='Input_Meci'!G95)),'Calibrare_Linii'!E6,'Config_v6'!$B$26),"PASS",IF(S1252&lt;=IF(AND('Calibrare_Linii'!S6="VALIDATED",AND('Calibrare_Linii'!H6=C1252,ISNUMBER('Calibrare_Linii'!J6),'Calibrare_Linii'!J6&lt;='Input_Meci'!G95)),'Calibrare_Linii'!F6,'Config_v6'!$C$26),"PENALTY","WATCH"))))))</x:f>
      </x:c>
      <x:c r="X1252" s="2" t="str">
        <x:f>IF(M1252="","",IF(AND(AND(J1252="PASS",'Calibrare_Linii'!U6="VALID"),'Motor_Meciuri'!K95=12,'Motor_Meciuri'!L95=12,'Motor_Meciuri'!M95="NO",'Motor_Meciuri'!BL95='Motor_Meciuri'!C95,AB1252&gt;='Config_v6'!$B$50,AN1252&gt;='Config_v6'!$B$51,T1252&lt;='Config_v6'!$B$52,L1252&lt;='Config_v6'!$B$53,ISNUMBER('Calibrare_Linii'!E6),S1252&lt;='Calibrare_Linii'!E6,SUM(AK1252:AM1252)&gt;0),"CANDIDATE","NO"))</x:f>
      </x:c>
      <x:c r="Y1252" s="2" t="str">
        <x:f>IF(B1252="","",IF(I1252&lt;&gt;"READY","NOT RELEASED",IF(AND(X1252="CANDIDATE",V1252&gt;='Config_v6'!$B$51,W1252="PASS",'Calibrare_Linii'!T6="VALIDATED",AND('Calibrare_Linii'!H6=C1252,ISNUMBER('Calibrare_Linii'!J6),'Calibrare_Linii'!J6&lt;='Input_Meci'!G95)),"PASS",IF(X1252="CANDIDATE","OOS PENDING","FAIL"))))</x:f>
      </x:c>
      <x:c r="Z1252" s="2" t="str">
        <x:f>IF(B1252="","",IF(I1252&lt;&gt;"READY","",IF(OR(NOT(AND(J1252="PASS",'Calibrare_Linii'!U6="VALID")),L1252&gt;'Config_v6'!$B$13,W1252="WATCH"),5,IF(Y1252="PASS",1,MIN(5,MAX('Config_v6'!$B$42,U1252)+IF(W1252="PENALTY",1,0))))))</x:f>
      </x:c>
      <x:c r="AA1252" s="2" t="str">
        <x:f>IF(B1252="","",IF(I1252&lt;&gt;"READY","NOT RELEASED",IF(Z1252=5,"NO BET",IF(OR(AB1252&lt;'Config_v6'!$B$16,V1252&lt;'Config_v6'!$B$18),"WATCH",IF(Z1252=1,"DEFENSIV",IF(Z1252=2,"PRUDENT",IF(Z1252=3,"MODERAT","RIDICAT")))))))</x:f>
      </x:c>
      <x:c r="AB1252" s="10" t="str">
        <x:f>IF(N1252="","",MIN(N1252,1-S1252))</x:f>
      </x:c>
      <x:c r="AC1252" s="2" t="str">
        <x:f>IF(AD1252&lt;&gt;1,"",COUNTIFS($Z$1252:$Z$1265,"&lt;"&amp;Z1252,$AD$1252:$AD$1265,1)+COUNTIFS($Z$1252:$Z$1265,Z1252,$AB$1252:$AB$1265,"&gt;"&amp;AB1252,$AD$1252:$AD$1265,1)+COUNTIFS($Z$1252:$Z$1265,Z1252,$AB$1252:$AB$1265,AB1252,$V$1252:$V$1265,"&gt;"&amp;V1252,$AD$1252:$AD$1265,1)+COUNTIFS($Z$1252:Z1252,Z1252,$AB$1252:AB1252,AB1252,$V$1252:V1252,V1252,$AD$1252:AD1252,1))</x:f>
      </x:c>
      <x:c r="AD1252" s="2" t="n">
        <x:f>IF(OR(AA1252="DEFENSIV",AA1252="PRUDENT",AA1252="MODERAT",AA1252="RIDICAT"),1,0)</x:f>
        <x:v>0</x:v>
      </x:c>
      <x:c r="AE1252" s="2" t="str">
        <x:f>IF(AD1252&lt;&gt;1,"NO",IF(W1252="PASS","YES",IF(W1252="OOS PENDING","CONDITIONAL","NO")))</x:f>
        <x:v>NO</x:v>
      </x:c>
      <x:c r="AF1252" s="2" t="n">
        <x:f>IF(AND(AD1252=1,AC1252=1,E1252="LIVE"),1,0)</x:f>
        <x:v>0</x:v>
      </x:c>
      <x:c r="AG1252" s="2" t="str">
        <x:f>IF(AF1252&lt;&gt;1,"",'Dashboard'!P115)</x:f>
      </x:c>
      <x:c r="AH1252" s="2" t="str">
        <x:f>IF(B1252="","",IF(J1252&lt;&gt;"PASS",'Motor_Meciuri'!J95,IF('Calibrare_Linii'!U6&lt;&gt;"VALID","Parametri linie invalizi",IF(L1252&gt;'Config_v6'!$B$13,"Dispersie peste limita",IF(W1252="WATCH","Failure peste limita",IF(AB1252&lt;'Config_v6'!$B$16,"P finala sub prag",IF(V1252&lt;'Config_v6'!$B$18,"Confidence sub prag",IF(E1252="REPLAY","Exemplu retrospectiv; exclus din Top LIVE",IF(Y1252="PASS","DEFENSIV validat",IF(W1252="OOS PENDING","Eligibil; calibrare linie in monitorizare","Eligibil"))))))))))</x:f>
      </x:c>
      <x:c r="AI1252" s="2" t="str">
        <x:f>IF(B1252="","",'Calibrare_Linii'!V6)</x:f>
      </x:c>
      <x:c r="AJ1252" s="2" t="str">
        <x:f>IF(B1252="","",IF(AND('Calibrare_Linii'!T6="VALIDATED",AND('Calibrare_Linii'!H6=C1252,ISNUMBER('Calibrare_Linii'!J6),'Calibrare_Linii'!J6&lt;='Input_Meci'!G95)),"DEFENSIVE VALIDATED",IF(AND('Calibrare_Linii'!S6="VALIDATED",AND('Calibrare_Linii'!H6=C1252,ISNUMBER('Calibrare_Linii'!J6),'Calibrare_Linii'!J6&lt;='Input_Meci'!G95)),"TAIL VALIDATED","OOS PENDING")))</x:f>
      </x:c>
      <x:c r="AK1252" s="2" t="n">
        <x:f>IF(J1252&lt;&gt;"PASS",0,'Motor_Meciuri'!BR95)</x:f>
        <x:v>0</x:v>
      </x:c>
      <x:c r="AL1252" s="2" t="n">
        <x:f>IF(J1252&lt;&gt;"PASS",0,'Motor_Meciuri'!BS95)</x:f>
        <x:v>0</x:v>
      </x:c>
      <x:c r="AM1252" s="2" t="n">
        <x:f>IF(J1252&lt;&gt;"PASS",0,'Motor_Meciuri'!BT95)</x:f>
        <x:v>0</x:v>
      </x:c>
      <x:c r="AN1252" s="2" t="str">
        <x:f>IF(M1252="","",MAX(0,'Motor_Meciuri'!BF95-IF(L1252&gt;'Config_v6'!$B$12,'Config_v6'!$B$37,IF(L1252&gt;'Config_v6'!$B$11,'Config_v6'!$B$36,0))))</x:f>
      </x:c>
    </x:row>
    <x:row r="1253" ht="21" customHeight="1">
      <x:c r="A1253" s="2" t="n">
        <x:v>90</x:v>
      </x:c>
      <x:c r="B1253" s="2" t="str">
        <x:f>IF('Motor_Meciuri'!A95="","",'Motor_Meciuri'!A95)</x:f>
      </x:c>
      <x:c r="C1253" s="2" t="str">
        <x:f>IF(B1253="","",'Motor_Meciuri'!B95)</x:f>
      </x:c>
      <x:c r="D1253" s="2" t="str">
        <x:f>IF(B1253="","",'Motor_Meciuri'!D95)</x:f>
      </x:c>
      <x:c r="E1253" s="2" t="str">
        <x:f>IF(B1253="","",'Motor_Meciuri'!E95)</x:f>
      </x:c>
      <x:c r="F1253" s="2" t="str">
        <x:v>O4,5</x:v>
      </x:c>
      <x:c r="G1253" s="2" t="str">
        <x:v>OVER</x:v>
      </x:c>
      <x:c r="H1253" s="2" t="n">
        <x:v>4</x:v>
      </x:c>
      <x:c r="I1253" s="2" t="str">
        <x:f>IF(B1253="","",'Motor_Meciuri'!H95)</x:f>
      </x:c>
      <x:c r="J1253" s="2" t="str">
        <x:f>IF(B1253="","",'Motor_Meciuri'!I95)</x:f>
      </x:c>
      <x:c r="K1253" s="11" t="str">
        <x:f>IF(J1253&lt;&gt;"PASS","",'Motor_Meciuri'!BD95)</x:f>
      </x:c>
      <x:c r="L1253" s="11" t="str">
        <x:f>IF(J1253&lt;&gt;"PASS","",'Motor_Meciuri'!AU95)</x:f>
      </x:c>
      <x:c r="M1253" s="10" t="str">
        <x:f>IF(NOT(AND(J1253="PASS",'Calibrare_Linii'!U7="VALID")),"",1-'Distributie'!AB95)</x:f>
      </x:c>
      <x:c r="N1253" s="10" t="str">
        <x:f>IF(M1253="","",MAX(0.01,MIN(0.99,0.5+(M1253-0.5)*'Motor_Meciuri'!BG95*'Calibrare_Linii'!D7)))</x:f>
      </x:c>
      <x:c r="O1253" s="10" t="str">
        <x:f>IF(M1253="","",1-M1253)</x:f>
      </x:c>
      <x:c r="P1253" s="10" t="str">
        <x:f>IF(OR(NOT(AND(J1253="PASS",'Calibrare_Linii'!U7="VALID")),AK1253=0),""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*('Istoric_Nativ'!$Q$6:$Q$405&lt;=H1253))/AK1253)</x:f>
      </x:c>
      <x:c r="Q1253" s="10" t="str">
        <x:f>IF(OR(NOT(AND(J1253="PASS",'Calibrare_Linii'!U7="VALID")),AL1253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M95)+((('Istoric_Nativ'!$E$6:$E$405='Input_Meci'!E95)+('Istoric_Nativ'!$F$6:$F$405='Input_Meci'!E95))&gt;0)*('Istoric_Nativ'!$D$6:$D$405&gt;='Motor_Meciuri'!BN95))&gt;0)*('Istoric_Nativ'!$Q$6:$Q$405&lt;=H1253))/AL1253)</x:f>
      </x:c>
      <x:c r="R1253" s="10" t="str">
        <x:f>IF(OR(NOT(AND(J1253="PASS",'Calibrare_Linii'!U7="VALID")),AM1253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O95)+((('Istoric_Nativ'!$E$6:$E$405='Input_Meci'!E95)+('Istoric_Nativ'!$F$6:$F$405='Input_Meci'!E95))&gt;0)*('Istoric_Nativ'!$D$6:$D$405&gt;='Motor_Meciuri'!BP95))&gt;0)*('Istoric_Nativ'!$Q$6:$Q$405&lt;=H1253))/AM1253)</x:f>
      </x:c>
      <x:c r="S1253" s="10" t="str">
        <x:f>IF(M1253="","",MAX(O1253,P1253,Q1253,R1253))</x:f>
      </x:c>
      <x:c r="T1253" s="11" t="str">
        <x:f>IF(M1253="","",MIN(100,S1253*100*'Config_v6'!$B$44+MIN(100,L1253/'Config_v6'!$B$13*100)*'Config_v6'!$B$45+(100-'Motor_Meciuri'!BF95)*'Config_v6'!$B$46+'Motor_Meciuri'!BH95*100*'Config_v6'!$B$47))</x:f>
      </x:c>
      <x:c r="U1253" s="2" t="str">
        <x:f>IF(T1253="","",IF(T1253&lt;=20,1,IF(T1253&lt;=40,2,IF(T1253&lt;=60,3,IF(T1253&lt;=80,4,5)))))</x:f>
      </x:c>
      <x:c r="V1253" s="2" t="str">
        <x:f>IF(M1253="","",MAX(0,'Motor_Meciuri'!BF95-IF(W1253="OOS PENDING",'Config_v6'!$B$35,0)-IF(L1253&gt;'Config_v6'!$B$12,'Config_v6'!$B$37,IF(L1253&gt;'Config_v6'!$B$11,'Config_v6'!$B$36,0))))</x:f>
      </x:c>
      <x:c r="W1253" s="2" t="str">
        <x:f>IF(B1253="","",IF(I1253&lt;&gt;"READY","NOT RELEASED",IF(NOT(AND(J1253="PASS",'Calibrare_Linii'!U7="VALID")),"INVALID",IF(NOT(AND('Calibrare_Linii'!S7="VALIDATED",AND('Calibrare_Linii'!H7=C1253,ISNUMBER('Calibrare_Linii'!J7),'Calibrare_Linii'!J7&lt;='Input_Meci'!G95))),"OOS PENDING",IF(S1253&lt;='Calibrare_Linii'!E7,"PASS",IF(S1253&lt;='Calibrare_Linii'!F7,"PENALTY","WATCH"))))))</x:f>
      </x:c>
      <x:c r="X1253" s="2" t="str">
        <x:f>IF(M1253="","",IF(AND(AND(J1253="PASS",'Calibrare_Linii'!U7="VALID"),'Motor_Meciuri'!K95=12,'Motor_Meciuri'!L95=12,'Motor_Meciuri'!M95="NO",'Motor_Meciuri'!BL95='Motor_Meciuri'!C95,AB1253&gt;='Config_v6'!$B$50,AN1253&gt;='Config_v6'!$B$51,T1253&lt;='Config_v6'!$B$52,L1253&lt;='Config_v6'!$B$53,ISNUMBER('Calibrare_Linii'!E7),S1253&lt;='Calibrare_Linii'!E7,SUM(AK1253:AM1253)&gt;0),"CANDIDATE","NO"))</x:f>
      </x:c>
      <x:c r="Y1253" s="2" t="str">
        <x:f>IF(B1253="","",IF(I1253&lt;&gt;"READY","NOT RELEASED",IF(AND(X1253="CANDIDATE",V1253&gt;='Config_v6'!$B$51,W1253="PASS",'Calibrare_Linii'!T7="VALIDATED",AND('Calibrare_Linii'!H7=C1253,ISNUMBER('Calibrare_Linii'!J7),'Calibrare_Linii'!J7&lt;='Input_Meci'!G95)),"PASS",IF(X1253="CANDIDATE","OOS PENDING","FAIL"))))</x:f>
      </x:c>
      <x:c r="Z1253" s="2" t="str">
        <x:f>IF(B1253="","",IF(I1253&lt;&gt;"READY","",IF(OR(NOT(AND(J1253="PASS",'Calibrare_Linii'!U7="VALID")),L1253&gt;'Config_v6'!$B$13,W1253="WATCH"),5,IF(Y1253="PASS",1,MIN(5,MAX('Config_v6'!$B$42,U1253)+IF(W1253="PENALTY",1,0))))))</x:f>
      </x:c>
      <x:c r="AA1253" s="2" t="str">
        <x:f>IF(B1253="","",IF(I1253&lt;&gt;"READY","NOT RELEASED",IF(Z1253=5,"NO BET",IF(OR(AB1253&lt;'Config_v6'!$B$16,V1253&lt;'Config_v6'!$B$18),"WATCH",IF(Z1253=1,"DEFENSIV",IF(Z1253=2,"PRUDENT",IF(Z1253=3,"MODERAT","RIDICAT")))))))</x:f>
      </x:c>
      <x:c r="AB1253" s="10" t="str">
        <x:f>IF(N1253="","",MIN(N1253,1-S1253))</x:f>
      </x:c>
      <x:c r="AC1253" s="2" t="str">
        <x:f>IF(AD1253&lt;&gt;1,"",COUNTIFS($Z$1252:$Z$1265,"&lt;"&amp;Z1253,$AD$1252:$AD$1265,1)+COUNTIFS($Z$1252:$Z$1265,Z1253,$AB$1252:$AB$1265,"&gt;"&amp;AB1253,$AD$1252:$AD$1265,1)+COUNTIFS($Z$1252:$Z$1265,Z1253,$AB$1252:$AB$1265,AB1253,$V$1252:$V$1265,"&gt;"&amp;V1253,$AD$1252:$AD$1265,1)+COUNTIFS($Z$1252:Z1253,Z1253,$AB$1252:AB1253,AB1253,$V$1252:V1253,V1253,$AD$1252:AD1253,1))</x:f>
      </x:c>
      <x:c r="AD1253" s="2" t="n">
        <x:f>IF(OR(AA1253="DEFENSIV",AA1253="PRUDENT",AA1253="MODERAT",AA1253="RIDICAT"),1,0)</x:f>
        <x:v>0</x:v>
      </x:c>
      <x:c r="AE1253" s="2" t="str">
        <x:f>IF(AD1253&lt;&gt;1,"NO",IF(W1253="PASS","YES",IF(W1253="OOS PENDING","CONDITIONAL","NO")))</x:f>
        <x:v>NO</x:v>
      </x:c>
      <x:c r="AF1253" s="2" t="n">
        <x:f>IF(AND(AD1253=1,AC1253=1,E1253="LIVE"),1,0)</x:f>
        <x:v>0</x:v>
      </x:c>
      <x:c r="AG1253" s="2" t="str">
        <x:f>IF(AF1253&lt;&gt;1,"",'Dashboard'!P115)</x:f>
      </x:c>
      <x:c r="AH1253" s="2" t="str">
        <x:f>IF(B1253="","",IF(J1253&lt;&gt;"PASS",'Motor_Meciuri'!J95,IF('Calibrare_Linii'!U7&lt;&gt;"VALID","Parametri linie invalizi",IF(L1253&gt;'Config_v6'!$B$13,"Dispersie peste limita",IF(W1253="WATCH","Failure peste limita",IF(AB1253&lt;'Config_v6'!$B$16,"P finala sub prag",IF(V1253&lt;'Config_v6'!$B$18,"Confidence sub prag",IF(E1253="REPLAY","Exemplu retrospectiv; exclus din Top LIVE",IF(Y1253="PASS","DEFENSIV validat",IF(W1253="OOS PENDING","Eligibil; calibrare linie in monitorizare","Eligibil"))))))))))</x:f>
      </x:c>
      <x:c r="AI1253" s="2" t="str">
        <x:f>IF(B1253="","",'Calibrare_Linii'!V7)</x:f>
      </x:c>
      <x:c r="AJ1253" s="2" t="str">
        <x:f>IF(B1253="","",IF(AND('Calibrare_Linii'!T7="VALIDATED",AND('Calibrare_Linii'!H7=C1253,ISNUMBER('Calibrare_Linii'!J7),'Calibrare_Linii'!J7&lt;='Input_Meci'!G95)),"DEFENSIVE VALIDATED",IF(AND('Calibrare_Linii'!S7="VALIDATED",AND('Calibrare_Linii'!H7=C1253,ISNUMBER('Calibrare_Linii'!J7),'Calibrare_Linii'!J7&lt;='Input_Meci'!G95)),"TAIL VALIDATED","OOS PENDING")))</x:f>
      </x:c>
      <x:c r="AK1253" s="2" t="n">
        <x:f>IF(J1253&lt;&gt;"PASS",0,'Motor_Meciuri'!BR95)</x:f>
        <x:v>0</x:v>
      </x:c>
      <x:c r="AL1253" s="2" t="n">
        <x:f>IF(J1253&lt;&gt;"PASS",0,'Motor_Meciuri'!BS95)</x:f>
        <x:v>0</x:v>
      </x:c>
      <x:c r="AM1253" s="2" t="n">
        <x:f>IF(J1253&lt;&gt;"PASS",0,'Motor_Meciuri'!BT95)</x:f>
        <x:v>0</x:v>
      </x:c>
      <x:c r="AN1253" s="2" t="str">
        <x:f>IF(M1253="","",MAX(0,'Motor_Meciuri'!BF95-IF(L1253&gt;'Config_v6'!$B$12,'Config_v6'!$B$37,IF(L1253&gt;'Config_v6'!$B$11,'Config_v6'!$B$36,0))))</x:f>
      </x:c>
    </x:row>
    <x:row r="1254" ht="21" customHeight="1">
      <x:c r="A1254" s="2" t="n">
        <x:v>90</x:v>
      </x:c>
      <x:c r="B1254" s="2" t="str">
        <x:f>IF('Motor_Meciuri'!A95="","",'Motor_Meciuri'!A95)</x:f>
      </x:c>
      <x:c r="C1254" s="2" t="str">
        <x:f>IF(B1254="","",'Motor_Meciuri'!B95)</x:f>
      </x:c>
      <x:c r="D1254" s="2" t="str">
        <x:f>IF(B1254="","",'Motor_Meciuri'!D95)</x:f>
      </x:c>
      <x:c r="E1254" s="2" t="str">
        <x:f>IF(B1254="","",'Motor_Meciuri'!E95)</x:f>
      </x:c>
      <x:c r="F1254" s="2" t="str">
        <x:v>O5,5</x:v>
      </x:c>
      <x:c r="G1254" s="2" t="str">
        <x:v>OVER</x:v>
      </x:c>
      <x:c r="H1254" s="2" t="n">
        <x:v>5</x:v>
      </x:c>
      <x:c r="I1254" s="2" t="str">
        <x:f>IF(B1254="","",'Motor_Meciuri'!H95)</x:f>
      </x:c>
      <x:c r="J1254" s="2" t="str">
        <x:f>IF(B1254="","",'Motor_Meciuri'!I95)</x:f>
      </x:c>
      <x:c r="K1254" s="11" t="str">
        <x:f>IF(J1254&lt;&gt;"PASS","",'Motor_Meciuri'!BD95)</x:f>
      </x:c>
      <x:c r="L1254" s="11" t="str">
        <x:f>IF(J1254&lt;&gt;"PASS","",'Motor_Meciuri'!AU95)</x:f>
      </x:c>
      <x:c r="M1254" s="10" t="str">
        <x:f>IF(NOT(AND(J1254="PASS",'Calibrare_Linii'!U8="VALID")),"",1-'Distributie'!AC95)</x:f>
      </x:c>
      <x:c r="N1254" s="10" t="str">
        <x:f>IF(M1254="","",MAX(0.01,MIN(0.99,0.5+(M1254-0.5)*'Motor_Meciuri'!BG95*'Calibrare_Linii'!D8)))</x:f>
      </x:c>
      <x:c r="O1254" s="10" t="str">
        <x:f>IF(M1254="","",1-M1254)</x:f>
      </x:c>
      <x:c r="P1254" s="10" t="str">
        <x:f>IF(OR(NOT(AND(J1254="PASS",'Calibrare_Linii'!U8="VALID")),AK1254=0),""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*('Istoric_Nativ'!$Q$6:$Q$405&lt;=H1254))/AK1254)</x:f>
      </x:c>
      <x:c r="Q1254" s="10" t="str">
        <x:f>IF(OR(NOT(AND(J1254="PASS",'Calibrare_Linii'!U8="VALID")),AL1254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M95)+((('Istoric_Nativ'!$E$6:$E$405='Input_Meci'!E95)+('Istoric_Nativ'!$F$6:$F$405='Input_Meci'!E95))&gt;0)*('Istoric_Nativ'!$D$6:$D$405&gt;='Motor_Meciuri'!BN95))&gt;0)*('Istoric_Nativ'!$Q$6:$Q$405&lt;=H1254))/AL1254)</x:f>
      </x:c>
      <x:c r="R1254" s="10" t="str">
        <x:f>IF(OR(NOT(AND(J1254="PASS",'Calibrare_Linii'!U8="VALID")),AM1254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O95)+((('Istoric_Nativ'!$E$6:$E$405='Input_Meci'!E95)+('Istoric_Nativ'!$F$6:$F$405='Input_Meci'!E95))&gt;0)*('Istoric_Nativ'!$D$6:$D$405&gt;='Motor_Meciuri'!BP95))&gt;0)*('Istoric_Nativ'!$Q$6:$Q$405&lt;=H1254))/AM1254)</x:f>
      </x:c>
      <x:c r="S1254" s="10" t="str">
        <x:f>IF(M1254="","",MAX(O1254,P1254,Q1254,R1254))</x:f>
      </x:c>
      <x:c r="T1254" s="11" t="str">
        <x:f>IF(M1254="","",MIN(100,S1254*100*'Config_v6'!$B$44+MIN(100,L1254/'Config_v6'!$B$13*100)*'Config_v6'!$B$45+(100-'Motor_Meciuri'!BF95)*'Config_v6'!$B$46+'Motor_Meciuri'!BH95*100*'Config_v6'!$B$47))</x:f>
      </x:c>
      <x:c r="U1254" s="2" t="str">
        <x:f>IF(T1254="","",IF(T1254&lt;=20,1,IF(T1254&lt;=40,2,IF(T1254&lt;=60,3,IF(T1254&lt;=80,4,5)))))</x:f>
      </x:c>
      <x:c r="V1254" s="2" t="str">
        <x:f>IF(M1254="","",MAX(0,'Motor_Meciuri'!BF95-IF(W1254="OOS PENDING",'Config_v6'!$B$35,0)-IF(L1254&gt;'Config_v6'!$B$12,'Config_v6'!$B$37,IF(L1254&gt;'Config_v6'!$B$11,'Config_v6'!$B$36,0))))</x:f>
      </x:c>
      <x:c r="W1254" s="2" t="str">
        <x:f>IF(B1254="","",IF(I1254&lt;&gt;"READY","NOT RELEASED",IF(NOT(AND(J1254="PASS",'Calibrare_Linii'!U8="VALID")),"INVALID",IF(NOT(AND('Calibrare_Linii'!S8="VALIDATED",AND('Calibrare_Linii'!H8=C1254,ISNUMBER('Calibrare_Linii'!J8),'Calibrare_Linii'!J8&lt;='Input_Meci'!G95))),"OOS PENDING",IF(S1254&lt;='Calibrare_Linii'!E8,"PASS",IF(S1254&lt;='Calibrare_Linii'!F8,"PENALTY","WATCH"))))))</x:f>
      </x:c>
      <x:c r="X1254" s="2" t="str">
        <x:f>IF(M1254="","",IF(AND(AND(J1254="PASS",'Calibrare_Linii'!U8="VALID"),'Motor_Meciuri'!K95=12,'Motor_Meciuri'!L95=12,'Motor_Meciuri'!M95="NO",'Motor_Meciuri'!BL95='Motor_Meciuri'!C95,AB1254&gt;='Config_v6'!$B$50,AN1254&gt;='Config_v6'!$B$51,T1254&lt;='Config_v6'!$B$52,L1254&lt;='Config_v6'!$B$53,ISNUMBER('Calibrare_Linii'!E8),S1254&lt;='Calibrare_Linii'!E8,SUM(AK1254:AM1254)&gt;0),"CANDIDATE","NO"))</x:f>
      </x:c>
      <x:c r="Y1254" s="2" t="str">
        <x:f>IF(B1254="","",IF(I1254&lt;&gt;"READY","NOT RELEASED",IF(AND(X1254="CANDIDATE",V1254&gt;='Config_v6'!$B$51,W1254="PASS",'Calibrare_Linii'!T8="VALIDATED",AND('Calibrare_Linii'!H8=C1254,ISNUMBER('Calibrare_Linii'!J8),'Calibrare_Linii'!J8&lt;='Input_Meci'!G95)),"PASS",IF(X1254="CANDIDATE","OOS PENDING","FAIL"))))</x:f>
      </x:c>
      <x:c r="Z1254" s="2" t="str">
        <x:f>IF(B1254="","",IF(I1254&lt;&gt;"READY","",IF(OR(NOT(AND(J1254="PASS",'Calibrare_Linii'!U8="VALID")),L1254&gt;'Config_v6'!$B$13,W1254="WATCH"),5,IF(Y1254="PASS",1,MIN(5,MAX('Config_v6'!$B$42,U1254)+IF(W1254="PENALTY",1,0))))))</x:f>
      </x:c>
      <x:c r="AA1254" s="2" t="str">
        <x:f>IF(B1254="","",IF(I1254&lt;&gt;"READY","NOT RELEASED",IF(Z1254=5,"NO BET",IF(OR(AB1254&lt;'Config_v6'!$B$16,V1254&lt;'Config_v6'!$B$18),"WATCH",IF(Z1254=1,"DEFENSIV",IF(Z1254=2,"PRUDENT",IF(Z1254=3,"MODERAT","RIDICAT")))))))</x:f>
      </x:c>
      <x:c r="AB1254" s="10" t="str">
        <x:f>IF(N1254="","",MIN(N1254,1-S1254))</x:f>
      </x:c>
      <x:c r="AC1254" s="2" t="str">
        <x:f>IF(AD1254&lt;&gt;1,"",COUNTIFS($Z$1252:$Z$1265,"&lt;"&amp;Z1254,$AD$1252:$AD$1265,1)+COUNTIFS($Z$1252:$Z$1265,Z1254,$AB$1252:$AB$1265,"&gt;"&amp;AB1254,$AD$1252:$AD$1265,1)+COUNTIFS($Z$1252:$Z$1265,Z1254,$AB$1252:$AB$1265,AB1254,$V$1252:$V$1265,"&gt;"&amp;V1254,$AD$1252:$AD$1265,1)+COUNTIFS($Z$1252:Z1254,Z1254,$AB$1252:AB1254,AB1254,$V$1252:V1254,V1254,$AD$1252:AD1254,1))</x:f>
      </x:c>
      <x:c r="AD1254" s="2" t="n">
        <x:f>IF(OR(AA1254="DEFENSIV",AA1254="PRUDENT",AA1254="MODERAT",AA1254="RIDICAT"),1,0)</x:f>
        <x:v>0</x:v>
      </x:c>
      <x:c r="AE1254" s="2" t="str">
        <x:f>IF(AD1254&lt;&gt;1,"NO",IF(W1254="PASS","YES",IF(W1254="OOS PENDING","CONDITIONAL","NO")))</x:f>
        <x:v>NO</x:v>
      </x:c>
      <x:c r="AF1254" s="2" t="n">
        <x:f>IF(AND(AD1254=1,AC1254=1,E1254="LIVE"),1,0)</x:f>
        <x:v>0</x:v>
      </x:c>
      <x:c r="AG1254" s="2" t="str">
        <x:f>IF(AF1254&lt;&gt;1,"",'Dashboard'!P115)</x:f>
      </x:c>
      <x:c r="AH1254" s="2" t="str">
        <x:f>IF(B1254="","",IF(J1254&lt;&gt;"PASS",'Motor_Meciuri'!J95,IF('Calibrare_Linii'!U8&lt;&gt;"VALID","Parametri linie invalizi",IF(L1254&gt;'Config_v6'!$B$13,"Dispersie peste limita",IF(W1254="WATCH","Failure peste limita",IF(AB1254&lt;'Config_v6'!$B$16,"P finala sub prag",IF(V1254&lt;'Config_v6'!$B$18,"Confidence sub prag",IF(E1254="REPLAY","Exemplu retrospectiv; exclus din Top LIVE",IF(Y1254="PASS","DEFENSIV validat",IF(W1254="OOS PENDING","Eligibil; calibrare linie in monitorizare","Eligibil"))))))))))</x:f>
      </x:c>
      <x:c r="AI1254" s="2" t="str">
        <x:f>IF(B1254="","",'Calibrare_Linii'!V8)</x:f>
      </x:c>
      <x:c r="AJ1254" s="2" t="str">
        <x:f>IF(B1254="","",IF(AND('Calibrare_Linii'!T8="VALIDATED",AND('Calibrare_Linii'!H8=C1254,ISNUMBER('Calibrare_Linii'!J8),'Calibrare_Linii'!J8&lt;='Input_Meci'!G95)),"DEFENSIVE VALIDATED",IF(AND('Calibrare_Linii'!S8="VALIDATED",AND('Calibrare_Linii'!H8=C1254,ISNUMBER('Calibrare_Linii'!J8),'Calibrare_Linii'!J8&lt;='Input_Meci'!G95)),"TAIL VALIDATED","OOS PENDING")))</x:f>
      </x:c>
      <x:c r="AK1254" s="2" t="n">
        <x:f>IF(J1254&lt;&gt;"PASS",0,'Motor_Meciuri'!BR95)</x:f>
        <x:v>0</x:v>
      </x:c>
      <x:c r="AL1254" s="2" t="n">
        <x:f>IF(J1254&lt;&gt;"PASS",0,'Motor_Meciuri'!BS95)</x:f>
        <x:v>0</x:v>
      </x:c>
      <x:c r="AM1254" s="2" t="n">
        <x:f>IF(J1254&lt;&gt;"PASS",0,'Motor_Meciuri'!BT95)</x:f>
        <x:v>0</x:v>
      </x:c>
      <x:c r="AN1254" s="2" t="str">
        <x:f>IF(M1254="","",MAX(0,'Motor_Meciuri'!BF95-IF(L1254&gt;'Config_v6'!$B$12,'Config_v6'!$B$37,IF(L1254&gt;'Config_v6'!$B$11,'Config_v6'!$B$36,0))))</x:f>
      </x:c>
    </x:row>
    <x:row r="1255" ht="21" customHeight="1">
      <x:c r="A1255" s="2" t="n">
        <x:v>90</x:v>
      </x:c>
      <x:c r="B1255" s="2" t="str">
        <x:f>IF('Motor_Meciuri'!A95="","",'Motor_Meciuri'!A95)</x:f>
      </x:c>
      <x:c r="C1255" s="2" t="str">
        <x:f>IF(B1255="","",'Motor_Meciuri'!B95)</x:f>
      </x:c>
      <x:c r="D1255" s="2" t="str">
        <x:f>IF(B1255="","",'Motor_Meciuri'!D95)</x:f>
      </x:c>
      <x:c r="E1255" s="2" t="str">
        <x:f>IF(B1255="","",'Motor_Meciuri'!E95)</x:f>
      </x:c>
      <x:c r="F1255" s="2" t="str">
        <x:v>O6,5</x:v>
      </x:c>
      <x:c r="G1255" s="2" t="str">
        <x:v>OVER</x:v>
      </x:c>
      <x:c r="H1255" s="2" t="n">
        <x:v>6</x:v>
      </x:c>
      <x:c r="I1255" s="2" t="str">
        <x:f>IF(B1255="","",'Motor_Meciuri'!H95)</x:f>
      </x:c>
      <x:c r="J1255" s="2" t="str">
        <x:f>IF(B1255="","",'Motor_Meciuri'!I95)</x:f>
      </x:c>
      <x:c r="K1255" s="11" t="str">
        <x:f>IF(J1255&lt;&gt;"PASS","",'Motor_Meciuri'!BD95)</x:f>
      </x:c>
      <x:c r="L1255" s="11" t="str">
        <x:f>IF(J1255&lt;&gt;"PASS","",'Motor_Meciuri'!AU95)</x:f>
      </x:c>
      <x:c r="M1255" s="10" t="str">
        <x:f>IF(NOT(AND(J1255="PASS",'Calibrare_Linii'!U9="VALID")),"",1-'Distributie'!AD95)</x:f>
      </x:c>
      <x:c r="N1255" s="10" t="str">
        <x:f>IF(M1255="","",MAX(0.01,MIN(0.99,0.5+(M1255-0.5)*'Motor_Meciuri'!BG95*'Calibrare_Linii'!D9)))</x:f>
      </x:c>
      <x:c r="O1255" s="10" t="str">
        <x:f>IF(M1255="","",1-M1255)</x:f>
      </x:c>
      <x:c r="P1255" s="10" t="str">
        <x:f>IF(OR(NOT(AND(J1255="PASS",'Calibrare_Linii'!U9="VALID")),AK1255=0),""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*('Istoric_Nativ'!$Q$6:$Q$405&lt;=H1255))/AK1255)</x:f>
      </x:c>
      <x:c r="Q1255" s="10" t="str">
        <x:f>IF(OR(NOT(AND(J1255="PASS",'Calibrare_Linii'!U9="VALID")),AL1255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M95)+((('Istoric_Nativ'!$E$6:$E$405='Input_Meci'!E95)+('Istoric_Nativ'!$F$6:$F$405='Input_Meci'!E95))&gt;0)*('Istoric_Nativ'!$D$6:$D$405&gt;='Motor_Meciuri'!BN95))&gt;0)*('Istoric_Nativ'!$Q$6:$Q$405&lt;=H1255))/AL1255)</x:f>
      </x:c>
      <x:c r="R1255" s="10" t="str">
        <x:f>IF(OR(NOT(AND(J1255="PASS",'Calibrare_Linii'!U9="VALID")),AM1255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O95)+((('Istoric_Nativ'!$E$6:$E$405='Input_Meci'!E95)+('Istoric_Nativ'!$F$6:$F$405='Input_Meci'!E95))&gt;0)*('Istoric_Nativ'!$D$6:$D$405&gt;='Motor_Meciuri'!BP95))&gt;0)*('Istoric_Nativ'!$Q$6:$Q$405&lt;=H1255))/AM1255)</x:f>
      </x:c>
      <x:c r="S1255" s="10" t="str">
        <x:f>IF(M1255="","",MAX(O1255,P1255,Q1255,R1255))</x:f>
      </x:c>
      <x:c r="T1255" s="11" t="str">
        <x:f>IF(M1255="","",MIN(100,S1255*100*'Config_v6'!$B$44+MIN(100,L1255/'Config_v6'!$B$13*100)*'Config_v6'!$B$45+(100-'Motor_Meciuri'!BF95)*'Config_v6'!$B$46+'Motor_Meciuri'!BH95*100*'Config_v6'!$B$47))</x:f>
      </x:c>
      <x:c r="U1255" s="2" t="str">
        <x:f>IF(T1255="","",IF(T1255&lt;=20,1,IF(T1255&lt;=40,2,IF(T1255&lt;=60,3,IF(T1255&lt;=80,4,5)))))</x:f>
      </x:c>
      <x:c r="V1255" s="2" t="str">
        <x:f>IF(M1255="","",MAX(0,'Motor_Meciuri'!BF95-IF(W1255="OOS PENDING",'Config_v6'!$B$35,0)-IF(L1255&gt;'Config_v6'!$B$12,'Config_v6'!$B$37,IF(L1255&gt;'Config_v6'!$B$11,'Config_v6'!$B$36,0))))</x:f>
      </x:c>
      <x:c r="W1255" s="2" t="str">
        <x:f>IF(B1255="","",IF(I1255&lt;&gt;"READY","NOT RELEASED",IF(NOT(AND(J1255="PASS",'Calibrare_Linii'!U9="VALID")),"INVALID",IF(NOT(AND('Calibrare_Linii'!S9="VALIDATED",AND('Calibrare_Linii'!H9=C1255,ISNUMBER('Calibrare_Linii'!J9),'Calibrare_Linii'!J9&lt;='Input_Meci'!G95))),"OOS PENDING",IF(S1255&lt;='Calibrare_Linii'!E9,"PASS",IF(S1255&lt;='Calibrare_Linii'!F9,"PENALTY","WATCH"))))))</x:f>
      </x:c>
      <x:c r="X1255" s="2" t="str">
        <x:f>IF(M1255="","",IF(AND(AND(J1255="PASS",'Calibrare_Linii'!U9="VALID"),'Motor_Meciuri'!K95=12,'Motor_Meciuri'!L95=12,'Motor_Meciuri'!M95="NO",'Motor_Meciuri'!BL95='Motor_Meciuri'!C95,AB1255&gt;='Config_v6'!$B$50,AN1255&gt;='Config_v6'!$B$51,T1255&lt;='Config_v6'!$B$52,L1255&lt;='Config_v6'!$B$53,ISNUMBER('Calibrare_Linii'!E9),S1255&lt;='Calibrare_Linii'!E9,SUM(AK1255:AM1255)&gt;0),"CANDIDATE","NO"))</x:f>
      </x:c>
      <x:c r="Y1255" s="2" t="str">
        <x:f>IF(B1255="","",IF(I1255&lt;&gt;"READY","NOT RELEASED",IF(AND(X1255="CANDIDATE",V1255&gt;='Config_v6'!$B$51,W1255="PASS",'Calibrare_Linii'!T9="VALIDATED",AND('Calibrare_Linii'!H9=C1255,ISNUMBER('Calibrare_Linii'!J9),'Calibrare_Linii'!J9&lt;='Input_Meci'!G95)),"PASS",IF(X1255="CANDIDATE","OOS PENDING","FAIL"))))</x:f>
      </x:c>
      <x:c r="Z1255" s="2" t="str">
        <x:f>IF(B1255="","",IF(I1255&lt;&gt;"READY","",IF(OR(NOT(AND(J1255="PASS",'Calibrare_Linii'!U9="VALID")),L1255&gt;'Config_v6'!$B$13,W1255="WATCH"),5,IF(Y1255="PASS",1,MIN(5,MAX('Config_v6'!$B$42,U1255)+IF(W1255="PENALTY",1,0))))))</x:f>
      </x:c>
      <x:c r="AA1255" s="2" t="str">
        <x:f>IF(B1255="","",IF(I1255&lt;&gt;"READY","NOT RELEASED",IF(Z1255=5,"NO BET",IF(OR(AB1255&lt;'Config_v6'!$B$16,V1255&lt;'Config_v6'!$B$18),"WATCH",IF(Z1255=1,"DEFENSIV",IF(Z1255=2,"PRUDENT",IF(Z1255=3,"MODERAT","RIDICAT")))))))</x:f>
      </x:c>
      <x:c r="AB1255" s="10" t="str">
        <x:f>IF(N1255="","",MIN(N1255,1-S1255))</x:f>
      </x:c>
      <x:c r="AC1255" s="2" t="str">
        <x:f>IF(AD1255&lt;&gt;1,"",COUNTIFS($Z$1252:$Z$1265,"&lt;"&amp;Z1255,$AD$1252:$AD$1265,1)+COUNTIFS($Z$1252:$Z$1265,Z1255,$AB$1252:$AB$1265,"&gt;"&amp;AB1255,$AD$1252:$AD$1265,1)+COUNTIFS($Z$1252:$Z$1265,Z1255,$AB$1252:$AB$1265,AB1255,$V$1252:$V$1265,"&gt;"&amp;V1255,$AD$1252:$AD$1265,1)+COUNTIFS($Z$1252:Z1255,Z1255,$AB$1252:AB1255,AB1255,$V$1252:V1255,V1255,$AD$1252:AD1255,1))</x:f>
      </x:c>
      <x:c r="AD1255" s="2" t="n">
        <x:f>IF(OR(AA1255="DEFENSIV",AA1255="PRUDENT",AA1255="MODERAT",AA1255="RIDICAT"),1,0)</x:f>
        <x:v>0</x:v>
      </x:c>
      <x:c r="AE1255" s="2" t="str">
        <x:f>IF(AD1255&lt;&gt;1,"NO",IF(W1255="PASS","YES",IF(W1255="OOS PENDING","CONDITIONAL","NO")))</x:f>
        <x:v>NO</x:v>
      </x:c>
      <x:c r="AF1255" s="2" t="n">
        <x:f>IF(AND(AD1255=1,AC1255=1,E1255="LIVE"),1,0)</x:f>
        <x:v>0</x:v>
      </x:c>
      <x:c r="AG1255" s="2" t="str">
        <x:f>IF(AF1255&lt;&gt;1,"",'Dashboard'!P115)</x:f>
      </x:c>
      <x:c r="AH1255" s="2" t="str">
        <x:f>IF(B1255="","",IF(J1255&lt;&gt;"PASS",'Motor_Meciuri'!J95,IF('Calibrare_Linii'!U9&lt;&gt;"VALID","Parametri linie invalizi",IF(L1255&gt;'Config_v6'!$B$13,"Dispersie peste limita",IF(W1255="WATCH","Failure peste limita",IF(AB1255&lt;'Config_v6'!$B$16,"P finala sub prag",IF(V1255&lt;'Config_v6'!$B$18,"Confidence sub prag",IF(E1255="REPLAY","Exemplu retrospectiv; exclus din Top LIVE",IF(Y1255="PASS","DEFENSIV validat",IF(W1255="OOS PENDING","Eligibil; calibrare linie in monitorizare","Eligibil"))))))))))</x:f>
      </x:c>
      <x:c r="AI1255" s="2" t="str">
        <x:f>IF(B1255="","",'Calibrare_Linii'!V9)</x:f>
      </x:c>
      <x:c r="AJ1255" s="2" t="str">
        <x:f>IF(B1255="","",IF(AND('Calibrare_Linii'!T9="VALIDATED",AND('Calibrare_Linii'!H9=C1255,ISNUMBER('Calibrare_Linii'!J9),'Calibrare_Linii'!J9&lt;='Input_Meci'!G95)),"DEFENSIVE VALIDATED",IF(AND('Calibrare_Linii'!S9="VALIDATED",AND('Calibrare_Linii'!H9=C1255,ISNUMBER('Calibrare_Linii'!J9),'Calibrare_Linii'!J9&lt;='Input_Meci'!G95)),"TAIL VALIDATED","OOS PENDING")))</x:f>
      </x:c>
      <x:c r="AK1255" s="2" t="n">
        <x:f>IF(J1255&lt;&gt;"PASS",0,'Motor_Meciuri'!BR95)</x:f>
        <x:v>0</x:v>
      </x:c>
      <x:c r="AL1255" s="2" t="n">
        <x:f>IF(J1255&lt;&gt;"PASS",0,'Motor_Meciuri'!BS95)</x:f>
        <x:v>0</x:v>
      </x:c>
      <x:c r="AM1255" s="2" t="n">
        <x:f>IF(J1255&lt;&gt;"PASS",0,'Motor_Meciuri'!BT95)</x:f>
        <x:v>0</x:v>
      </x:c>
      <x:c r="AN1255" s="2" t="str">
        <x:f>IF(M1255="","",MAX(0,'Motor_Meciuri'!BF95-IF(L1255&gt;'Config_v6'!$B$12,'Config_v6'!$B$37,IF(L1255&gt;'Config_v6'!$B$11,'Config_v6'!$B$36,0))))</x:f>
      </x:c>
    </x:row>
    <x:row r="1256" ht="21" customHeight="1">
      <x:c r="A1256" s="2" t="n">
        <x:v>90</x:v>
      </x:c>
      <x:c r="B1256" s="2" t="str">
        <x:f>IF('Motor_Meciuri'!A95="","",'Motor_Meciuri'!A95)</x:f>
      </x:c>
      <x:c r="C1256" s="2" t="str">
        <x:f>IF(B1256="","",'Motor_Meciuri'!B95)</x:f>
      </x:c>
      <x:c r="D1256" s="2" t="str">
        <x:f>IF(B1256="","",'Motor_Meciuri'!D95)</x:f>
      </x:c>
      <x:c r="E1256" s="2" t="str">
        <x:f>IF(B1256="","",'Motor_Meciuri'!E95)</x:f>
      </x:c>
      <x:c r="F1256" s="2" t="str">
        <x:v>O7,5</x:v>
      </x:c>
      <x:c r="G1256" s="2" t="str">
        <x:v>OVER</x:v>
      </x:c>
      <x:c r="H1256" s="2" t="n">
        <x:v>7</x:v>
      </x:c>
      <x:c r="I1256" s="2" t="str">
        <x:f>IF(B1256="","",'Motor_Meciuri'!H95)</x:f>
      </x:c>
      <x:c r="J1256" s="2" t="str">
        <x:f>IF(B1256="","",'Motor_Meciuri'!I95)</x:f>
      </x:c>
      <x:c r="K1256" s="11" t="str">
        <x:f>IF(J1256&lt;&gt;"PASS","",'Motor_Meciuri'!BD95)</x:f>
      </x:c>
      <x:c r="L1256" s="11" t="str">
        <x:f>IF(J1256&lt;&gt;"PASS","",'Motor_Meciuri'!AU95)</x:f>
      </x:c>
      <x:c r="M1256" s="10" t="str">
        <x:f>IF(NOT(AND(J1256="PASS",'Calibrare_Linii'!U10="VALID")),"",1-'Distributie'!AE95)</x:f>
      </x:c>
      <x:c r="N1256" s="10" t="str">
        <x:f>IF(M1256="","",MAX(0.01,MIN(0.99,0.5+(M1256-0.5)*'Motor_Meciuri'!BG95*'Calibrare_Linii'!D10)))</x:f>
      </x:c>
      <x:c r="O1256" s="10" t="str">
        <x:f>IF(M1256="","",1-M1256)</x:f>
      </x:c>
      <x:c r="P1256" s="10" t="str">
        <x:f>IF(OR(NOT(AND(J1256="PASS",'Calibrare_Linii'!U10="VALID")),AK1256=0),""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*('Istoric_Nativ'!$Q$6:$Q$405&lt;=H1256))/AK1256)</x:f>
      </x:c>
      <x:c r="Q1256" s="10" t="str">
        <x:f>IF(OR(NOT(AND(J1256="PASS",'Calibrare_Linii'!U10="VALID")),AL1256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M95)+((('Istoric_Nativ'!$E$6:$E$405='Input_Meci'!E95)+('Istoric_Nativ'!$F$6:$F$405='Input_Meci'!E95))&gt;0)*('Istoric_Nativ'!$D$6:$D$405&gt;='Motor_Meciuri'!BN95))&gt;0)*('Istoric_Nativ'!$Q$6:$Q$405&lt;=H1256))/AL1256)</x:f>
      </x:c>
      <x:c r="R1256" s="10" t="str">
        <x:f>IF(OR(NOT(AND(J1256="PASS",'Calibrare_Linii'!U10="VALID")),AM1256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O95)+((('Istoric_Nativ'!$E$6:$E$405='Input_Meci'!E95)+('Istoric_Nativ'!$F$6:$F$405='Input_Meci'!E95))&gt;0)*('Istoric_Nativ'!$D$6:$D$405&gt;='Motor_Meciuri'!BP95))&gt;0)*('Istoric_Nativ'!$Q$6:$Q$405&lt;=H1256))/AM1256)</x:f>
      </x:c>
      <x:c r="S1256" s="10" t="str">
        <x:f>IF(M1256="","",MAX(O1256,P1256,Q1256,R1256))</x:f>
      </x:c>
      <x:c r="T1256" s="11" t="str">
        <x:f>IF(M1256="","",MIN(100,S1256*100*'Config_v6'!$B$44+MIN(100,L1256/'Config_v6'!$B$13*100)*'Config_v6'!$B$45+(100-'Motor_Meciuri'!BF95)*'Config_v6'!$B$46+'Motor_Meciuri'!BH95*100*'Config_v6'!$B$47))</x:f>
      </x:c>
      <x:c r="U1256" s="2" t="str">
        <x:f>IF(T1256="","",IF(T1256&lt;=20,1,IF(T1256&lt;=40,2,IF(T1256&lt;=60,3,IF(T1256&lt;=80,4,5)))))</x:f>
      </x:c>
      <x:c r="V1256" s="2" t="str">
        <x:f>IF(M1256="","",MAX(0,'Motor_Meciuri'!BF95-IF(W1256="OOS PENDING",'Config_v6'!$B$35,0)-IF(L1256&gt;'Config_v6'!$B$12,'Config_v6'!$B$37,IF(L1256&gt;'Config_v6'!$B$11,'Config_v6'!$B$36,0))))</x:f>
      </x:c>
      <x:c r="W1256" s="2" t="str">
        <x:f>IF(B1256="","",IF(I1256&lt;&gt;"READY","NOT RELEASED",IF(NOT(AND(J1256="PASS",'Calibrare_Linii'!U10="VALID")),"INVALID",IF(NOT(AND('Calibrare_Linii'!S10="VALIDATED",AND('Calibrare_Linii'!H10=C1256,ISNUMBER('Calibrare_Linii'!J10),'Calibrare_Linii'!J10&lt;='Input_Meci'!G95))),"OOS PENDING",IF(S1256&lt;='Calibrare_Linii'!E10,"PASS",IF(S1256&lt;='Calibrare_Linii'!F10,"PENALTY","WATCH"))))))</x:f>
      </x:c>
      <x:c r="X1256" s="2" t="str">
        <x:f>IF(M1256="","",IF(AND(AND(J1256="PASS",'Calibrare_Linii'!U10="VALID"),'Motor_Meciuri'!K95=12,'Motor_Meciuri'!L95=12,'Motor_Meciuri'!M95="NO",'Motor_Meciuri'!BL95='Motor_Meciuri'!C95,AB1256&gt;='Config_v6'!$B$50,AN1256&gt;='Config_v6'!$B$51,T1256&lt;='Config_v6'!$B$52,L1256&lt;='Config_v6'!$B$53,ISNUMBER('Calibrare_Linii'!E10),S1256&lt;='Calibrare_Linii'!E10,SUM(AK1256:AM1256)&gt;0),"CANDIDATE","NO"))</x:f>
      </x:c>
      <x:c r="Y1256" s="2" t="str">
        <x:f>IF(B1256="","",IF(I1256&lt;&gt;"READY","NOT RELEASED",IF(AND(X1256="CANDIDATE",V1256&gt;='Config_v6'!$B$51,W1256="PASS",'Calibrare_Linii'!T10="VALIDATED",AND('Calibrare_Linii'!H10=C1256,ISNUMBER('Calibrare_Linii'!J10),'Calibrare_Linii'!J10&lt;='Input_Meci'!G95)),"PASS",IF(X1256="CANDIDATE","OOS PENDING","FAIL"))))</x:f>
      </x:c>
      <x:c r="Z1256" s="2" t="str">
        <x:f>IF(B1256="","",IF(I1256&lt;&gt;"READY","",IF(OR(NOT(AND(J1256="PASS",'Calibrare_Linii'!U10="VALID")),L1256&gt;'Config_v6'!$B$13,W1256="WATCH"),5,IF(Y1256="PASS",1,MIN(5,MAX('Config_v6'!$B$42,U1256)+IF(W1256="PENALTY",1,0))))))</x:f>
      </x:c>
      <x:c r="AA1256" s="2" t="str">
        <x:f>IF(B1256="","",IF(I1256&lt;&gt;"READY","NOT RELEASED",IF(Z1256=5,"NO BET",IF(OR(AB1256&lt;'Config_v6'!$B$16,V1256&lt;'Config_v6'!$B$18),"WATCH",IF(Z1256=1,"DEFENSIV",IF(Z1256=2,"PRUDENT",IF(Z1256=3,"MODERAT","RIDICAT")))))))</x:f>
      </x:c>
      <x:c r="AB1256" s="10" t="str">
        <x:f>IF(N1256="","",MIN(N1256,1-S1256))</x:f>
      </x:c>
      <x:c r="AC1256" s="2" t="str">
        <x:f>IF(AD1256&lt;&gt;1,"",COUNTIFS($Z$1252:$Z$1265,"&lt;"&amp;Z1256,$AD$1252:$AD$1265,1)+COUNTIFS($Z$1252:$Z$1265,Z1256,$AB$1252:$AB$1265,"&gt;"&amp;AB1256,$AD$1252:$AD$1265,1)+COUNTIFS($Z$1252:$Z$1265,Z1256,$AB$1252:$AB$1265,AB1256,$V$1252:$V$1265,"&gt;"&amp;V1256,$AD$1252:$AD$1265,1)+COUNTIFS($Z$1252:Z1256,Z1256,$AB$1252:AB1256,AB1256,$V$1252:V1256,V1256,$AD$1252:AD1256,1))</x:f>
      </x:c>
      <x:c r="AD1256" s="2" t="n">
        <x:f>IF(OR(AA1256="DEFENSIV",AA1256="PRUDENT",AA1256="MODERAT",AA1256="RIDICAT"),1,0)</x:f>
        <x:v>0</x:v>
      </x:c>
      <x:c r="AE1256" s="2" t="str">
        <x:f>IF(AD1256&lt;&gt;1,"NO",IF(W1256="PASS","YES",IF(W1256="OOS PENDING","CONDITIONAL","NO")))</x:f>
        <x:v>NO</x:v>
      </x:c>
      <x:c r="AF1256" s="2" t="n">
        <x:f>IF(AND(AD1256=1,AC1256=1,E1256="LIVE"),1,0)</x:f>
        <x:v>0</x:v>
      </x:c>
      <x:c r="AG1256" s="2" t="str">
        <x:f>IF(AF1256&lt;&gt;1,"",'Dashboard'!P115)</x:f>
      </x:c>
      <x:c r="AH1256" s="2" t="str">
        <x:f>IF(B1256="","",IF(J1256&lt;&gt;"PASS",'Motor_Meciuri'!J95,IF('Calibrare_Linii'!U10&lt;&gt;"VALID","Parametri linie invalizi",IF(L1256&gt;'Config_v6'!$B$13,"Dispersie peste limita",IF(W1256="WATCH","Failure peste limita",IF(AB1256&lt;'Config_v6'!$B$16,"P finala sub prag",IF(V1256&lt;'Config_v6'!$B$18,"Confidence sub prag",IF(E1256="REPLAY","Exemplu retrospectiv; exclus din Top LIVE",IF(Y1256="PASS","DEFENSIV validat",IF(W1256="OOS PENDING","Eligibil; calibrare linie in monitorizare","Eligibil"))))))))))</x:f>
      </x:c>
      <x:c r="AI1256" s="2" t="str">
        <x:f>IF(B1256="","",'Calibrare_Linii'!V10)</x:f>
      </x:c>
      <x:c r="AJ1256" s="2" t="str">
        <x:f>IF(B1256="","",IF(AND('Calibrare_Linii'!T10="VALIDATED",AND('Calibrare_Linii'!H10=C1256,ISNUMBER('Calibrare_Linii'!J10),'Calibrare_Linii'!J10&lt;='Input_Meci'!G95)),"DEFENSIVE VALIDATED",IF(AND('Calibrare_Linii'!S10="VALIDATED",AND('Calibrare_Linii'!H10=C1256,ISNUMBER('Calibrare_Linii'!J10),'Calibrare_Linii'!J10&lt;='Input_Meci'!G95)),"TAIL VALIDATED","OOS PENDING")))</x:f>
      </x:c>
      <x:c r="AK1256" s="2" t="n">
        <x:f>IF(J1256&lt;&gt;"PASS",0,'Motor_Meciuri'!BR95)</x:f>
        <x:v>0</x:v>
      </x:c>
      <x:c r="AL1256" s="2" t="n">
        <x:f>IF(J1256&lt;&gt;"PASS",0,'Motor_Meciuri'!BS95)</x:f>
        <x:v>0</x:v>
      </x:c>
      <x:c r="AM1256" s="2" t="n">
        <x:f>IF(J1256&lt;&gt;"PASS",0,'Motor_Meciuri'!BT95)</x:f>
        <x:v>0</x:v>
      </x:c>
      <x:c r="AN1256" s="2" t="str">
        <x:f>IF(M1256="","",MAX(0,'Motor_Meciuri'!BF95-IF(L1256&gt;'Config_v6'!$B$12,'Config_v6'!$B$37,IF(L1256&gt;'Config_v6'!$B$11,'Config_v6'!$B$36,0))))</x:f>
      </x:c>
    </x:row>
    <x:row r="1257" ht="21" customHeight="1">
      <x:c r="A1257" s="2" t="n">
        <x:v>90</x:v>
      </x:c>
      <x:c r="B1257" s="2" t="str">
        <x:f>IF('Motor_Meciuri'!A95="","",'Motor_Meciuri'!A95)</x:f>
      </x:c>
      <x:c r="C1257" s="2" t="str">
        <x:f>IF(B1257="","",'Motor_Meciuri'!B95)</x:f>
      </x:c>
      <x:c r="D1257" s="2" t="str">
        <x:f>IF(B1257="","",'Motor_Meciuri'!D95)</x:f>
      </x:c>
      <x:c r="E1257" s="2" t="str">
        <x:f>IF(B1257="","",'Motor_Meciuri'!E95)</x:f>
      </x:c>
      <x:c r="F1257" s="2" t="str">
        <x:v>O8,5</x:v>
      </x:c>
      <x:c r="G1257" s="2" t="str">
        <x:v>OVER</x:v>
      </x:c>
      <x:c r="H1257" s="2" t="n">
        <x:v>8</x:v>
      </x:c>
      <x:c r="I1257" s="2" t="str">
        <x:f>IF(B1257="","",'Motor_Meciuri'!H95)</x:f>
      </x:c>
      <x:c r="J1257" s="2" t="str">
        <x:f>IF(B1257="","",'Motor_Meciuri'!I95)</x:f>
      </x:c>
      <x:c r="K1257" s="11" t="str">
        <x:f>IF(J1257&lt;&gt;"PASS","",'Motor_Meciuri'!BD95)</x:f>
      </x:c>
      <x:c r="L1257" s="11" t="str">
        <x:f>IF(J1257&lt;&gt;"PASS","",'Motor_Meciuri'!AU95)</x:f>
      </x:c>
      <x:c r="M1257" s="10" t="str">
        <x:f>IF(NOT(AND(J1257="PASS",'Calibrare_Linii'!U11="VALID")),"",1-'Distributie'!AF95)</x:f>
      </x:c>
      <x:c r="N1257" s="10" t="str">
        <x:f>IF(M1257="","",MAX(0.01,MIN(0.99,0.5+(M1257-0.5)*'Motor_Meciuri'!BG95*'Calibrare_Linii'!D11)))</x:f>
      </x:c>
      <x:c r="O1257" s="10" t="str">
        <x:f>IF(M1257="","",1-M1257)</x:f>
      </x:c>
      <x:c r="P1257" s="10" t="str">
        <x:f>IF(OR(NOT(AND(J1257="PASS",'Calibrare_Linii'!U11="VALID")),AK1257=0),""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*('Istoric_Nativ'!$Q$6:$Q$405&lt;=H1257))/AK1257)</x:f>
      </x:c>
      <x:c r="Q1257" s="10" t="str">
        <x:f>IF(OR(NOT(AND(J1257="PASS",'Calibrare_Linii'!U11="VALID")),AL1257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M95)+((('Istoric_Nativ'!$E$6:$E$405='Input_Meci'!E95)+('Istoric_Nativ'!$F$6:$F$405='Input_Meci'!E95))&gt;0)*('Istoric_Nativ'!$D$6:$D$405&gt;='Motor_Meciuri'!BN95))&gt;0)*('Istoric_Nativ'!$Q$6:$Q$405&lt;=H1257))/AL1257)</x:f>
      </x:c>
      <x:c r="R1257" s="10" t="str">
        <x:f>IF(OR(NOT(AND(J1257="PASS",'Calibrare_Linii'!U11="VALID")),AM1257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O95)+((('Istoric_Nativ'!$E$6:$E$405='Input_Meci'!E95)+('Istoric_Nativ'!$F$6:$F$405='Input_Meci'!E95))&gt;0)*('Istoric_Nativ'!$D$6:$D$405&gt;='Motor_Meciuri'!BP95))&gt;0)*('Istoric_Nativ'!$Q$6:$Q$405&lt;=H1257))/AM1257)</x:f>
      </x:c>
      <x:c r="S1257" s="10" t="str">
        <x:f>IF(M1257="","",MAX(O1257,P1257,Q1257,R1257))</x:f>
      </x:c>
      <x:c r="T1257" s="11" t="str">
        <x:f>IF(M1257="","",MIN(100,S1257*100*'Config_v6'!$B$44+MIN(100,L1257/'Config_v6'!$B$13*100)*'Config_v6'!$B$45+(100-'Motor_Meciuri'!BF95)*'Config_v6'!$B$46+'Motor_Meciuri'!BH95*100*'Config_v6'!$B$47))</x:f>
      </x:c>
      <x:c r="U1257" s="2" t="str">
        <x:f>IF(T1257="","",IF(T1257&lt;=20,1,IF(T1257&lt;=40,2,IF(T1257&lt;=60,3,IF(T1257&lt;=80,4,5)))))</x:f>
      </x:c>
      <x:c r="V1257" s="2" t="str">
        <x:f>IF(M1257="","",MAX(0,'Motor_Meciuri'!BF95-IF(W1257="OOS PENDING",'Config_v6'!$B$35,0)-IF(L1257&gt;'Config_v6'!$B$12,'Config_v6'!$B$37,IF(L1257&gt;'Config_v6'!$B$11,'Config_v6'!$B$36,0))))</x:f>
      </x:c>
      <x:c r="W1257" s="2" t="str">
        <x:f>IF(B1257="","",IF(I1257&lt;&gt;"READY","NOT RELEASED",IF(NOT(AND(J1257="PASS",'Calibrare_Linii'!U11="VALID")),"INVALID",IF(NOT(AND('Calibrare_Linii'!S11="VALIDATED",AND('Calibrare_Linii'!H11=C1257,ISNUMBER('Calibrare_Linii'!J11),'Calibrare_Linii'!J11&lt;='Input_Meci'!G95))),"OOS PENDING",IF(S1257&lt;='Calibrare_Linii'!E11,"PASS",IF(S1257&lt;='Calibrare_Linii'!F11,"PENALTY","WATCH"))))))</x:f>
      </x:c>
      <x:c r="X1257" s="2" t="str">
        <x:f>IF(M1257="","",IF(AND(AND(J1257="PASS",'Calibrare_Linii'!U11="VALID"),'Motor_Meciuri'!K95=12,'Motor_Meciuri'!L95=12,'Motor_Meciuri'!M95="NO",'Motor_Meciuri'!BL95='Motor_Meciuri'!C95,AB1257&gt;='Config_v6'!$B$50,AN1257&gt;='Config_v6'!$B$51,T1257&lt;='Config_v6'!$B$52,L1257&lt;='Config_v6'!$B$53,ISNUMBER('Calibrare_Linii'!E11),S1257&lt;='Calibrare_Linii'!E11,SUM(AK1257:AM1257)&gt;0),"CANDIDATE","NO"))</x:f>
      </x:c>
      <x:c r="Y1257" s="2" t="str">
        <x:f>IF(B1257="","",IF(I1257&lt;&gt;"READY","NOT RELEASED",IF(AND(X1257="CANDIDATE",V1257&gt;='Config_v6'!$B$51,W1257="PASS",'Calibrare_Linii'!T11="VALIDATED",AND('Calibrare_Linii'!H11=C1257,ISNUMBER('Calibrare_Linii'!J11),'Calibrare_Linii'!J11&lt;='Input_Meci'!G95)),"PASS",IF(X1257="CANDIDATE","OOS PENDING","FAIL"))))</x:f>
      </x:c>
      <x:c r="Z1257" s="2" t="str">
        <x:f>IF(B1257="","",IF(I1257&lt;&gt;"READY","",IF(OR(NOT(AND(J1257="PASS",'Calibrare_Linii'!U11="VALID")),L1257&gt;'Config_v6'!$B$13,W1257="WATCH"),5,IF(Y1257="PASS",1,MIN(5,MAX('Config_v6'!$B$42,U1257)+IF(W1257="PENALTY",1,0))))))</x:f>
      </x:c>
      <x:c r="AA1257" s="2" t="str">
        <x:f>IF(B1257="","",IF(I1257&lt;&gt;"READY","NOT RELEASED",IF(Z1257=5,"NO BET",IF(OR(AB1257&lt;'Config_v6'!$B$16,V1257&lt;'Config_v6'!$B$18),"WATCH",IF(Z1257=1,"DEFENSIV",IF(Z1257=2,"PRUDENT",IF(Z1257=3,"MODERAT","RIDICAT")))))))</x:f>
      </x:c>
      <x:c r="AB1257" s="10" t="str">
        <x:f>IF(N1257="","",MIN(N1257,1-S1257))</x:f>
      </x:c>
      <x:c r="AC1257" s="2" t="str">
        <x:f>IF(AD1257&lt;&gt;1,"",COUNTIFS($Z$1252:$Z$1265,"&lt;"&amp;Z1257,$AD$1252:$AD$1265,1)+COUNTIFS($Z$1252:$Z$1265,Z1257,$AB$1252:$AB$1265,"&gt;"&amp;AB1257,$AD$1252:$AD$1265,1)+COUNTIFS($Z$1252:$Z$1265,Z1257,$AB$1252:$AB$1265,AB1257,$V$1252:$V$1265,"&gt;"&amp;V1257,$AD$1252:$AD$1265,1)+COUNTIFS($Z$1252:Z1257,Z1257,$AB$1252:AB1257,AB1257,$V$1252:V1257,V1257,$AD$1252:AD1257,1))</x:f>
      </x:c>
      <x:c r="AD1257" s="2" t="n">
        <x:f>IF(OR(AA1257="DEFENSIV",AA1257="PRUDENT",AA1257="MODERAT",AA1257="RIDICAT"),1,0)</x:f>
        <x:v>0</x:v>
      </x:c>
      <x:c r="AE1257" s="2" t="str">
        <x:f>IF(AD1257&lt;&gt;1,"NO",IF(W1257="PASS","YES",IF(W1257="OOS PENDING","CONDITIONAL","NO")))</x:f>
        <x:v>NO</x:v>
      </x:c>
      <x:c r="AF1257" s="2" t="n">
        <x:f>IF(AND(AD1257=1,AC1257=1,E1257="LIVE"),1,0)</x:f>
        <x:v>0</x:v>
      </x:c>
      <x:c r="AG1257" s="2" t="str">
        <x:f>IF(AF1257&lt;&gt;1,"",'Dashboard'!P115)</x:f>
      </x:c>
      <x:c r="AH1257" s="2" t="str">
        <x:f>IF(B1257="","",IF(J1257&lt;&gt;"PASS",'Motor_Meciuri'!J95,IF('Calibrare_Linii'!U11&lt;&gt;"VALID","Parametri linie invalizi",IF(L1257&gt;'Config_v6'!$B$13,"Dispersie peste limita",IF(W1257="WATCH","Failure peste limita",IF(AB1257&lt;'Config_v6'!$B$16,"P finala sub prag",IF(V1257&lt;'Config_v6'!$B$18,"Confidence sub prag",IF(E1257="REPLAY","Exemplu retrospectiv; exclus din Top LIVE",IF(Y1257="PASS","DEFENSIV validat",IF(W1257="OOS PENDING","Eligibil; calibrare linie in monitorizare","Eligibil"))))))))))</x:f>
      </x:c>
      <x:c r="AI1257" s="2" t="str">
        <x:f>IF(B1257="","",'Calibrare_Linii'!V11)</x:f>
      </x:c>
      <x:c r="AJ1257" s="2" t="str">
        <x:f>IF(B1257="","",IF(AND('Calibrare_Linii'!T11="VALIDATED",AND('Calibrare_Linii'!H11=C1257,ISNUMBER('Calibrare_Linii'!J11),'Calibrare_Linii'!J11&lt;='Input_Meci'!G95)),"DEFENSIVE VALIDATED",IF(AND('Calibrare_Linii'!S11="VALIDATED",AND('Calibrare_Linii'!H11=C1257,ISNUMBER('Calibrare_Linii'!J11),'Calibrare_Linii'!J11&lt;='Input_Meci'!G95)),"TAIL VALIDATED","OOS PENDING")))</x:f>
      </x:c>
      <x:c r="AK1257" s="2" t="n">
        <x:f>IF(J1257&lt;&gt;"PASS",0,'Motor_Meciuri'!BR95)</x:f>
        <x:v>0</x:v>
      </x:c>
      <x:c r="AL1257" s="2" t="n">
        <x:f>IF(J1257&lt;&gt;"PASS",0,'Motor_Meciuri'!BS95)</x:f>
        <x:v>0</x:v>
      </x:c>
      <x:c r="AM1257" s="2" t="n">
        <x:f>IF(J1257&lt;&gt;"PASS",0,'Motor_Meciuri'!BT95)</x:f>
        <x:v>0</x:v>
      </x:c>
      <x:c r="AN1257" s="2" t="str">
        <x:f>IF(M1257="","",MAX(0,'Motor_Meciuri'!BF95-IF(L1257&gt;'Config_v6'!$B$12,'Config_v6'!$B$37,IF(L1257&gt;'Config_v6'!$B$11,'Config_v6'!$B$36,0))))</x:f>
      </x:c>
    </x:row>
    <x:row r="1258" ht="21" customHeight="1">
      <x:c r="A1258" s="2" t="n">
        <x:v>90</x:v>
      </x:c>
      <x:c r="B1258" s="2" t="str">
        <x:f>IF('Motor_Meciuri'!A95="","",'Motor_Meciuri'!A95)</x:f>
      </x:c>
      <x:c r="C1258" s="2" t="str">
        <x:f>IF(B1258="","",'Motor_Meciuri'!B95)</x:f>
      </x:c>
      <x:c r="D1258" s="2" t="str">
        <x:f>IF(B1258="","",'Motor_Meciuri'!D95)</x:f>
      </x:c>
      <x:c r="E1258" s="2" t="str">
        <x:f>IF(B1258="","",'Motor_Meciuri'!E95)</x:f>
      </x:c>
      <x:c r="F1258" s="2" t="str">
        <x:v>U10,5</x:v>
      </x:c>
      <x:c r="G1258" s="2" t="str">
        <x:v>UNDER</x:v>
      </x:c>
      <x:c r="H1258" s="2" t="n">
        <x:v>10</x:v>
      </x:c>
      <x:c r="I1258" s="2" t="str">
        <x:f>IF(B1258="","",'Motor_Meciuri'!H95)</x:f>
      </x:c>
      <x:c r="J1258" s="2" t="str">
        <x:f>IF(B1258="","",'Motor_Meciuri'!I95)</x:f>
      </x:c>
      <x:c r="K1258" s="11" t="str">
        <x:f>IF(J1258&lt;&gt;"PASS","",'Motor_Meciuri'!BD95)</x:f>
      </x:c>
      <x:c r="L1258" s="11" t="str">
        <x:f>IF(J1258&lt;&gt;"PASS","",'Motor_Meciuri'!AU95)</x:f>
      </x:c>
      <x:c r="M1258" s="10" t="str">
        <x:f>IF(NOT(AND(J1258="PASS",'Calibrare_Linii'!U12="VALID")),"",'Distributie'!AH95)</x:f>
      </x:c>
      <x:c r="N1258" s="10" t="str">
        <x:f>IF(M1258="","",MAX(0.01,MIN(0.99,0.5+(M1258-0.5)*'Motor_Meciuri'!BG95*'Calibrare_Linii'!D12)))</x:f>
      </x:c>
      <x:c r="O1258" s="10" t="str">
        <x:f>IF(M1258="","",1-M1258)</x:f>
      </x:c>
      <x:c r="P1258" s="10" t="str">
        <x:f>IF(OR(NOT(AND(J1258="PASS",'Calibrare_Linii'!U12="VALID")),AK1258=0),""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*('Istoric_Nativ'!$Q$6:$Q$405&gt;H1258))/AK1258)</x:f>
      </x:c>
      <x:c r="Q1258" s="10" t="str">
        <x:f>IF(OR(NOT(AND(J1258="PASS",'Calibrare_Linii'!U12="VALID")),AL1258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M95)+((('Istoric_Nativ'!$E$6:$E$405='Input_Meci'!E95)+('Istoric_Nativ'!$F$6:$F$405='Input_Meci'!E95))&gt;0)*('Istoric_Nativ'!$D$6:$D$405&gt;='Motor_Meciuri'!BN95))&gt;0)*('Istoric_Nativ'!$Q$6:$Q$405&gt;H1258))/AL1258)</x:f>
      </x:c>
      <x:c r="R1258" s="10" t="str">
        <x:f>IF(OR(NOT(AND(J1258="PASS",'Calibrare_Linii'!U12="VALID")),AM1258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O95)+((('Istoric_Nativ'!$E$6:$E$405='Input_Meci'!E95)+('Istoric_Nativ'!$F$6:$F$405='Input_Meci'!E95))&gt;0)*('Istoric_Nativ'!$D$6:$D$405&gt;='Motor_Meciuri'!BP95))&gt;0)*('Istoric_Nativ'!$Q$6:$Q$405&gt;H1258))/AM1258)</x:f>
      </x:c>
      <x:c r="S1258" s="10" t="str">
        <x:f>IF(M1258="","",MAX(O1258,P1258,Q1258,R1258))</x:f>
      </x:c>
      <x:c r="T1258" s="11" t="str">
        <x:f>IF(M1258="","",MIN(100,S1258*100*'Config_v6'!$B$44+MIN(100,L1258/'Config_v6'!$B$13*100)*'Config_v6'!$B$45+(100-'Motor_Meciuri'!BF95)*'Config_v6'!$B$46+'Motor_Meciuri'!BH95*100*'Config_v6'!$B$47))</x:f>
      </x:c>
      <x:c r="U1258" s="2" t="str">
        <x:f>IF(T1258="","",IF(T1258&lt;=20,1,IF(T1258&lt;=40,2,IF(T1258&lt;=60,3,IF(T1258&lt;=80,4,5)))))</x:f>
      </x:c>
      <x:c r="V1258" s="2" t="str">
        <x:f>IF(M1258="","",MAX(0,'Motor_Meciuri'!BF95-IF(W1258="OOS PENDING",'Config_v6'!$B$35,0)-IF(L1258&gt;'Config_v6'!$B$12,'Config_v6'!$B$37,IF(L1258&gt;'Config_v6'!$B$11,'Config_v6'!$B$36,0))))</x:f>
      </x:c>
      <x:c r="W1258" s="2" t="str">
        <x:f>IF(B1258="","",IF(I1258&lt;&gt;"READY","NOT RELEASED",IF(NOT(AND(J1258="PASS",'Calibrare_Linii'!U12="VALID")),"INVALID",IF(NOT(AND('Calibrare_Linii'!S12="VALIDATED",AND('Calibrare_Linii'!H12=C1258,ISNUMBER('Calibrare_Linii'!J12),'Calibrare_Linii'!J12&lt;='Input_Meci'!G95))),"OOS PENDING",IF(S1258&lt;='Calibrare_Linii'!E12,"PASS",IF(S1258&lt;='Calibrare_Linii'!F12,"PENALTY","WATCH"))))))</x:f>
      </x:c>
      <x:c r="X1258" s="2" t="str">
        <x:f>IF(M1258="","",IF(AND(AND(J1258="PASS",'Calibrare_Linii'!U12="VALID"),'Motor_Meciuri'!K95=12,'Motor_Meciuri'!L95=12,'Motor_Meciuri'!M95="NO",'Motor_Meciuri'!BL95='Motor_Meciuri'!C95,AB1258&gt;='Config_v6'!$B$50,AN1258&gt;='Config_v6'!$B$51,T1258&lt;='Config_v6'!$B$52,L1258&lt;='Config_v6'!$B$53,ISNUMBER('Calibrare_Linii'!E12),S1258&lt;='Calibrare_Linii'!E12,SUM(AK1258:AM1258)&gt;0),"CANDIDATE","NO"))</x:f>
      </x:c>
      <x:c r="Y1258" s="2" t="str">
        <x:f>IF(B1258="","",IF(I1258&lt;&gt;"READY","NOT RELEASED",IF(AND(X1258="CANDIDATE",V1258&gt;='Config_v6'!$B$51,W1258="PASS",'Calibrare_Linii'!T12="VALIDATED",AND('Calibrare_Linii'!H12=C1258,ISNUMBER('Calibrare_Linii'!J12),'Calibrare_Linii'!J12&lt;='Input_Meci'!G95)),"PASS",IF(X1258="CANDIDATE","OOS PENDING","FAIL"))))</x:f>
      </x:c>
      <x:c r="Z1258" s="2" t="str">
        <x:f>IF(B1258="","",IF(I1258&lt;&gt;"READY","",IF(OR(NOT(AND(J1258="PASS",'Calibrare_Linii'!U12="VALID")),L1258&gt;'Config_v6'!$B$13,W1258="WATCH"),5,IF(Y1258="PASS",1,MIN(5,MAX('Config_v6'!$B$42,U1258)+IF(W1258="PENALTY",1,0))))))</x:f>
      </x:c>
      <x:c r="AA1258" s="2" t="str">
        <x:f>IF(B1258="","",IF(I1258&lt;&gt;"READY","NOT RELEASED",IF(Z1258=5,"NO BET",IF(OR(AB1258&lt;'Config_v6'!$B$16,V1258&lt;'Config_v6'!$B$18),"WATCH",IF(Z1258=1,"DEFENSIV",IF(Z1258=2,"PRUDENT",IF(Z1258=3,"MODERAT","RIDICAT")))))))</x:f>
      </x:c>
      <x:c r="AB1258" s="10" t="str">
        <x:f>IF(N1258="","",MIN(N1258,1-S1258))</x:f>
      </x:c>
      <x:c r="AC1258" s="2" t="str">
        <x:f>IF(AD1258&lt;&gt;1,"",COUNTIFS($Z$1252:$Z$1265,"&lt;"&amp;Z1258,$AD$1252:$AD$1265,1)+COUNTIFS($Z$1252:$Z$1265,Z1258,$AB$1252:$AB$1265,"&gt;"&amp;AB1258,$AD$1252:$AD$1265,1)+COUNTIFS($Z$1252:$Z$1265,Z1258,$AB$1252:$AB$1265,AB1258,$V$1252:$V$1265,"&gt;"&amp;V1258,$AD$1252:$AD$1265,1)+COUNTIFS($Z$1252:Z1258,Z1258,$AB$1252:AB1258,AB1258,$V$1252:V1258,V1258,$AD$1252:AD1258,1))</x:f>
      </x:c>
      <x:c r="AD1258" s="2" t="n">
        <x:f>IF(OR(AA1258="DEFENSIV",AA1258="PRUDENT",AA1258="MODERAT",AA1258="RIDICAT"),1,0)</x:f>
        <x:v>0</x:v>
      </x:c>
      <x:c r="AE1258" s="2" t="str">
        <x:f>IF(AD1258&lt;&gt;1,"NO",IF(W1258="PASS","YES",IF(W1258="OOS PENDING","CONDITIONAL","NO")))</x:f>
        <x:v>NO</x:v>
      </x:c>
      <x:c r="AF1258" s="2" t="n">
        <x:f>IF(AND(AD1258=1,AC1258=1,E1258="LIVE"),1,0)</x:f>
        <x:v>0</x:v>
      </x:c>
      <x:c r="AG1258" s="2" t="str">
        <x:f>IF(AF1258&lt;&gt;1,"",'Dashboard'!P115)</x:f>
      </x:c>
      <x:c r="AH1258" s="2" t="str">
        <x:f>IF(B1258="","",IF(J1258&lt;&gt;"PASS",'Motor_Meciuri'!J95,IF('Calibrare_Linii'!U12&lt;&gt;"VALID","Parametri linie invalizi",IF(L1258&gt;'Config_v6'!$B$13,"Dispersie peste limita",IF(W1258="WATCH","Failure peste limita",IF(AB1258&lt;'Config_v6'!$B$16,"P finala sub prag",IF(V1258&lt;'Config_v6'!$B$18,"Confidence sub prag",IF(E1258="REPLAY","Exemplu retrospectiv; exclus din Top LIVE",IF(Y1258="PASS","DEFENSIV validat",IF(W1258="OOS PENDING","Eligibil; calibrare linie in monitorizare","Eligibil"))))))))))</x:f>
      </x:c>
      <x:c r="AI1258" s="2" t="str">
        <x:f>IF(B1258="","",'Calibrare_Linii'!V12)</x:f>
      </x:c>
      <x:c r="AJ1258" s="2" t="str">
        <x:f>IF(B1258="","",IF(AND('Calibrare_Linii'!T12="VALIDATED",AND('Calibrare_Linii'!H12=C1258,ISNUMBER('Calibrare_Linii'!J12),'Calibrare_Linii'!J12&lt;='Input_Meci'!G95)),"DEFENSIVE VALIDATED",IF(AND('Calibrare_Linii'!S12="VALIDATED",AND('Calibrare_Linii'!H12=C1258,ISNUMBER('Calibrare_Linii'!J12),'Calibrare_Linii'!J12&lt;='Input_Meci'!G95)),"TAIL VALIDATED","OOS PENDING")))</x:f>
      </x:c>
      <x:c r="AK1258" s="2" t="n">
        <x:f>IF(J1258&lt;&gt;"PASS",0,'Motor_Meciuri'!BR95)</x:f>
        <x:v>0</x:v>
      </x:c>
      <x:c r="AL1258" s="2" t="n">
        <x:f>IF(J1258&lt;&gt;"PASS",0,'Motor_Meciuri'!BS95)</x:f>
        <x:v>0</x:v>
      </x:c>
      <x:c r="AM1258" s="2" t="n">
        <x:f>IF(J1258&lt;&gt;"PASS",0,'Motor_Meciuri'!BT95)</x:f>
        <x:v>0</x:v>
      </x:c>
      <x:c r="AN1258" s="2" t="str">
        <x:f>IF(M1258="","",MAX(0,'Motor_Meciuri'!BF95-IF(L1258&gt;'Config_v6'!$B$12,'Config_v6'!$B$37,IF(L1258&gt;'Config_v6'!$B$11,'Config_v6'!$B$36,0))))</x:f>
      </x:c>
    </x:row>
    <x:row r="1259" ht="21" customHeight="1">
      <x:c r="A1259" s="2" t="n">
        <x:v>90</x:v>
      </x:c>
      <x:c r="B1259" s="2" t="str">
        <x:f>IF('Motor_Meciuri'!A95="","",'Motor_Meciuri'!A95)</x:f>
      </x:c>
      <x:c r="C1259" s="2" t="str">
        <x:f>IF(B1259="","",'Motor_Meciuri'!B95)</x:f>
      </x:c>
      <x:c r="D1259" s="2" t="str">
        <x:f>IF(B1259="","",'Motor_Meciuri'!D95)</x:f>
      </x:c>
      <x:c r="E1259" s="2" t="str">
        <x:f>IF(B1259="","",'Motor_Meciuri'!E95)</x:f>
      </x:c>
      <x:c r="F1259" s="2" t="str">
        <x:v>U11,5</x:v>
      </x:c>
      <x:c r="G1259" s="2" t="str">
        <x:v>UNDER</x:v>
      </x:c>
      <x:c r="H1259" s="2" t="n">
        <x:v>11</x:v>
      </x:c>
      <x:c r="I1259" s="2" t="str">
        <x:f>IF(B1259="","",'Motor_Meciuri'!H95)</x:f>
      </x:c>
      <x:c r="J1259" s="2" t="str">
        <x:f>IF(B1259="","",'Motor_Meciuri'!I95)</x:f>
      </x:c>
      <x:c r="K1259" s="11" t="str">
        <x:f>IF(J1259&lt;&gt;"PASS","",'Motor_Meciuri'!BD95)</x:f>
      </x:c>
      <x:c r="L1259" s="11" t="str">
        <x:f>IF(J1259&lt;&gt;"PASS","",'Motor_Meciuri'!AU95)</x:f>
      </x:c>
      <x:c r="M1259" s="10" t="str">
        <x:f>IF(NOT(AND(J1259="PASS",'Calibrare_Linii'!U13="VALID")),"",'Distributie'!AI95)</x:f>
      </x:c>
      <x:c r="N1259" s="10" t="str">
        <x:f>IF(M1259="","",MAX(0.01,MIN(0.99,0.5+(M1259-0.5)*'Motor_Meciuri'!BG95*'Calibrare_Linii'!D13)))</x:f>
      </x:c>
      <x:c r="O1259" s="10" t="str">
        <x:f>IF(M1259="","",1-M1259)</x:f>
      </x:c>
      <x:c r="P1259" s="10" t="str">
        <x:f>IF(OR(NOT(AND(J1259="PASS",'Calibrare_Linii'!U13="VALID")),AK1259=0),""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*('Istoric_Nativ'!$Q$6:$Q$405&gt;H1259))/AK1259)</x:f>
      </x:c>
      <x:c r="Q1259" s="10" t="str">
        <x:f>IF(OR(NOT(AND(J1259="PASS",'Calibrare_Linii'!U13="VALID")),AL1259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M95)+((('Istoric_Nativ'!$E$6:$E$405='Input_Meci'!E95)+('Istoric_Nativ'!$F$6:$F$405='Input_Meci'!E95))&gt;0)*('Istoric_Nativ'!$D$6:$D$405&gt;='Motor_Meciuri'!BN95))&gt;0)*('Istoric_Nativ'!$Q$6:$Q$405&gt;H1259))/AL1259)</x:f>
      </x:c>
      <x:c r="R1259" s="10" t="str">
        <x:f>IF(OR(NOT(AND(J1259="PASS",'Calibrare_Linii'!U13="VALID")),AM1259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O95)+((('Istoric_Nativ'!$E$6:$E$405='Input_Meci'!E95)+('Istoric_Nativ'!$F$6:$F$405='Input_Meci'!E95))&gt;0)*('Istoric_Nativ'!$D$6:$D$405&gt;='Motor_Meciuri'!BP95))&gt;0)*('Istoric_Nativ'!$Q$6:$Q$405&gt;H1259))/AM1259)</x:f>
      </x:c>
      <x:c r="S1259" s="10" t="str">
        <x:f>IF(M1259="","",MAX(O1259,P1259,Q1259,R1259))</x:f>
      </x:c>
      <x:c r="T1259" s="11" t="str">
        <x:f>IF(M1259="","",MIN(100,S1259*100*'Config_v6'!$B$44+MIN(100,L1259/'Config_v6'!$B$13*100)*'Config_v6'!$B$45+(100-'Motor_Meciuri'!BF95)*'Config_v6'!$B$46+'Motor_Meciuri'!BH95*100*'Config_v6'!$B$47))</x:f>
      </x:c>
      <x:c r="U1259" s="2" t="str">
        <x:f>IF(T1259="","",IF(T1259&lt;=20,1,IF(T1259&lt;=40,2,IF(T1259&lt;=60,3,IF(T1259&lt;=80,4,5)))))</x:f>
      </x:c>
      <x:c r="V1259" s="2" t="str">
        <x:f>IF(M1259="","",MAX(0,'Motor_Meciuri'!BF95-IF(W1259="OOS PENDING",'Config_v6'!$B$35,0)-IF(L1259&gt;'Config_v6'!$B$12,'Config_v6'!$B$37,IF(L1259&gt;'Config_v6'!$B$11,'Config_v6'!$B$36,0))))</x:f>
      </x:c>
      <x:c r="W1259" s="2" t="str">
        <x:f>IF(B1259="","",IF(I1259&lt;&gt;"READY","NOT RELEASED",IF(NOT(AND(J1259="PASS",'Calibrare_Linii'!U13="VALID")),"INVALID",IF(NOT(AND('Calibrare_Linii'!S13="VALIDATED",AND('Calibrare_Linii'!H13=C1259,ISNUMBER('Calibrare_Linii'!J13),'Calibrare_Linii'!J13&lt;='Input_Meci'!G95))),"OOS PENDING",IF(S1259&lt;='Calibrare_Linii'!E13,"PASS",IF(S1259&lt;='Calibrare_Linii'!F13,"PENALTY","WATCH"))))))</x:f>
      </x:c>
      <x:c r="X1259" s="2" t="str">
        <x:f>IF(M1259="","",IF(AND(AND(J1259="PASS",'Calibrare_Linii'!U13="VALID"),'Motor_Meciuri'!K95=12,'Motor_Meciuri'!L95=12,'Motor_Meciuri'!M95="NO",'Motor_Meciuri'!BL95='Motor_Meciuri'!C95,AB1259&gt;='Config_v6'!$B$50,AN1259&gt;='Config_v6'!$B$51,T1259&lt;='Config_v6'!$B$52,L1259&lt;='Config_v6'!$B$53,ISNUMBER('Calibrare_Linii'!E13),S1259&lt;='Calibrare_Linii'!E13,SUM(AK1259:AM1259)&gt;0),"CANDIDATE","NO"))</x:f>
      </x:c>
      <x:c r="Y1259" s="2" t="str">
        <x:f>IF(B1259="","",IF(I1259&lt;&gt;"READY","NOT RELEASED",IF(AND(X1259="CANDIDATE",V1259&gt;='Config_v6'!$B$51,W1259="PASS",'Calibrare_Linii'!T13="VALIDATED",AND('Calibrare_Linii'!H13=C1259,ISNUMBER('Calibrare_Linii'!J13),'Calibrare_Linii'!J13&lt;='Input_Meci'!G95)),"PASS",IF(X1259="CANDIDATE","OOS PENDING","FAIL"))))</x:f>
      </x:c>
      <x:c r="Z1259" s="2" t="str">
        <x:f>IF(B1259="","",IF(I1259&lt;&gt;"READY","",IF(OR(NOT(AND(J1259="PASS",'Calibrare_Linii'!U13="VALID")),L1259&gt;'Config_v6'!$B$13,W1259="WATCH"),5,IF(Y1259="PASS",1,MIN(5,MAX('Config_v6'!$B$42,U1259)+IF(W1259="PENALTY",1,0))))))</x:f>
      </x:c>
      <x:c r="AA1259" s="2" t="str">
        <x:f>IF(B1259="","",IF(I1259&lt;&gt;"READY","NOT RELEASED",IF(Z1259=5,"NO BET",IF(OR(AB1259&lt;'Config_v6'!$B$16,V1259&lt;'Config_v6'!$B$18),"WATCH",IF(Z1259=1,"DEFENSIV",IF(Z1259=2,"PRUDENT",IF(Z1259=3,"MODERAT","RIDICAT")))))))</x:f>
      </x:c>
      <x:c r="AB1259" s="10" t="str">
        <x:f>IF(N1259="","",MIN(N1259,1-S1259))</x:f>
      </x:c>
      <x:c r="AC1259" s="2" t="str">
        <x:f>IF(AD1259&lt;&gt;1,"",COUNTIFS($Z$1252:$Z$1265,"&lt;"&amp;Z1259,$AD$1252:$AD$1265,1)+COUNTIFS($Z$1252:$Z$1265,Z1259,$AB$1252:$AB$1265,"&gt;"&amp;AB1259,$AD$1252:$AD$1265,1)+COUNTIFS($Z$1252:$Z$1265,Z1259,$AB$1252:$AB$1265,AB1259,$V$1252:$V$1265,"&gt;"&amp;V1259,$AD$1252:$AD$1265,1)+COUNTIFS($Z$1252:Z1259,Z1259,$AB$1252:AB1259,AB1259,$V$1252:V1259,V1259,$AD$1252:AD1259,1))</x:f>
      </x:c>
      <x:c r="AD1259" s="2" t="n">
        <x:f>IF(OR(AA1259="DEFENSIV",AA1259="PRUDENT",AA1259="MODERAT",AA1259="RIDICAT"),1,0)</x:f>
        <x:v>0</x:v>
      </x:c>
      <x:c r="AE1259" s="2" t="str">
        <x:f>IF(AD1259&lt;&gt;1,"NO",IF(W1259="PASS","YES",IF(W1259="OOS PENDING","CONDITIONAL","NO")))</x:f>
        <x:v>NO</x:v>
      </x:c>
      <x:c r="AF1259" s="2" t="n">
        <x:f>IF(AND(AD1259=1,AC1259=1,E1259="LIVE"),1,0)</x:f>
        <x:v>0</x:v>
      </x:c>
      <x:c r="AG1259" s="2" t="str">
        <x:f>IF(AF1259&lt;&gt;1,"",'Dashboard'!P115)</x:f>
      </x:c>
      <x:c r="AH1259" s="2" t="str">
        <x:f>IF(B1259="","",IF(J1259&lt;&gt;"PASS",'Motor_Meciuri'!J95,IF('Calibrare_Linii'!U13&lt;&gt;"VALID","Parametri linie invalizi",IF(L1259&gt;'Config_v6'!$B$13,"Dispersie peste limita",IF(W1259="WATCH","Failure peste limita",IF(AB1259&lt;'Config_v6'!$B$16,"P finala sub prag",IF(V1259&lt;'Config_v6'!$B$18,"Confidence sub prag",IF(E1259="REPLAY","Exemplu retrospectiv; exclus din Top LIVE",IF(Y1259="PASS","DEFENSIV validat",IF(W1259="OOS PENDING","Eligibil; calibrare linie in monitorizare","Eligibil"))))))))))</x:f>
      </x:c>
      <x:c r="AI1259" s="2" t="str">
        <x:f>IF(B1259="","",'Calibrare_Linii'!V13)</x:f>
      </x:c>
      <x:c r="AJ1259" s="2" t="str">
        <x:f>IF(B1259="","",IF(AND('Calibrare_Linii'!T13="VALIDATED",AND('Calibrare_Linii'!H13=C1259,ISNUMBER('Calibrare_Linii'!J13),'Calibrare_Linii'!J13&lt;='Input_Meci'!G95)),"DEFENSIVE VALIDATED",IF(AND('Calibrare_Linii'!S13="VALIDATED",AND('Calibrare_Linii'!H13=C1259,ISNUMBER('Calibrare_Linii'!J13),'Calibrare_Linii'!J13&lt;='Input_Meci'!G95)),"TAIL VALIDATED","OOS PENDING")))</x:f>
      </x:c>
      <x:c r="AK1259" s="2" t="n">
        <x:f>IF(J1259&lt;&gt;"PASS",0,'Motor_Meciuri'!BR95)</x:f>
        <x:v>0</x:v>
      </x:c>
      <x:c r="AL1259" s="2" t="n">
        <x:f>IF(J1259&lt;&gt;"PASS",0,'Motor_Meciuri'!BS95)</x:f>
        <x:v>0</x:v>
      </x:c>
      <x:c r="AM1259" s="2" t="n">
        <x:f>IF(J1259&lt;&gt;"PASS",0,'Motor_Meciuri'!BT95)</x:f>
        <x:v>0</x:v>
      </x:c>
      <x:c r="AN1259" s="2" t="str">
        <x:f>IF(M1259="","",MAX(0,'Motor_Meciuri'!BF95-IF(L1259&gt;'Config_v6'!$B$12,'Config_v6'!$B$37,IF(L1259&gt;'Config_v6'!$B$11,'Config_v6'!$B$36,0))))</x:f>
      </x:c>
    </x:row>
    <x:row r="1260" ht="21" customHeight="1">
      <x:c r="A1260" s="2" t="n">
        <x:v>90</x:v>
      </x:c>
      <x:c r="B1260" s="2" t="str">
        <x:f>IF('Motor_Meciuri'!A95="","",'Motor_Meciuri'!A95)</x:f>
      </x:c>
      <x:c r="C1260" s="2" t="str">
        <x:f>IF(B1260="","",'Motor_Meciuri'!B95)</x:f>
      </x:c>
      <x:c r="D1260" s="2" t="str">
        <x:f>IF(B1260="","",'Motor_Meciuri'!D95)</x:f>
      </x:c>
      <x:c r="E1260" s="2" t="str">
        <x:f>IF(B1260="","",'Motor_Meciuri'!E95)</x:f>
      </x:c>
      <x:c r="F1260" s="2" t="str">
        <x:v>U12,5</x:v>
      </x:c>
      <x:c r="G1260" s="2" t="str">
        <x:v>UNDER</x:v>
      </x:c>
      <x:c r="H1260" s="2" t="n">
        <x:v>12</x:v>
      </x:c>
      <x:c r="I1260" s="2" t="str">
        <x:f>IF(B1260="","",'Motor_Meciuri'!H95)</x:f>
      </x:c>
      <x:c r="J1260" s="2" t="str">
        <x:f>IF(B1260="","",'Motor_Meciuri'!I95)</x:f>
      </x:c>
      <x:c r="K1260" s="11" t="str">
        <x:f>IF(J1260&lt;&gt;"PASS","",'Motor_Meciuri'!BD95)</x:f>
      </x:c>
      <x:c r="L1260" s="11" t="str">
        <x:f>IF(J1260&lt;&gt;"PASS","",'Motor_Meciuri'!AU95)</x:f>
      </x:c>
      <x:c r="M1260" s="10" t="str">
        <x:f>IF(NOT(AND(J1260="PASS",'Calibrare_Linii'!U14="VALID")),"",'Distributie'!AJ95)</x:f>
      </x:c>
      <x:c r="N1260" s="10" t="str">
        <x:f>IF(M1260="","",MAX(0.01,MIN(0.99,0.5+(M1260-0.5)*'Motor_Meciuri'!BG95*'Calibrare_Linii'!D14)))</x:f>
      </x:c>
      <x:c r="O1260" s="10" t="str">
        <x:f>IF(M1260="","",1-M1260)</x:f>
      </x:c>
      <x:c r="P1260" s="10" t="str">
        <x:f>IF(OR(NOT(AND(J1260="PASS",'Calibrare_Linii'!U14="VALID")),AK1260=0),""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*('Istoric_Nativ'!$Q$6:$Q$405&gt;H1260))/AK1260)</x:f>
      </x:c>
      <x:c r="Q1260" s="10" t="str">
        <x:f>IF(OR(NOT(AND(J1260="PASS",'Calibrare_Linii'!U14="VALID")),AL1260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M95)+((('Istoric_Nativ'!$E$6:$E$405='Input_Meci'!E95)+('Istoric_Nativ'!$F$6:$F$405='Input_Meci'!E95))&gt;0)*('Istoric_Nativ'!$D$6:$D$405&gt;='Motor_Meciuri'!BN95))&gt;0)*('Istoric_Nativ'!$Q$6:$Q$405&gt;H1260))/AL1260)</x:f>
      </x:c>
      <x:c r="R1260" s="10" t="str">
        <x:f>IF(OR(NOT(AND(J1260="PASS",'Calibrare_Linii'!U14="VALID")),AM1260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O95)+((('Istoric_Nativ'!$E$6:$E$405='Input_Meci'!E95)+('Istoric_Nativ'!$F$6:$F$405='Input_Meci'!E95))&gt;0)*('Istoric_Nativ'!$D$6:$D$405&gt;='Motor_Meciuri'!BP95))&gt;0)*('Istoric_Nativ'!$Q$6:$Q$405&gt;H1260))/AM1260)</x:f>
      </x:c>
      <x:c r="S1260" s="10" t="str">
        <x:f>IF(M1260="","",MAX(O1260,P1260,Q1260,R1260))</x:f>
      </x:c>
      <x:c r="T1260" s="11" t="str">
        <x:f>IF(M1260="","",MIN(100,S1260*100*'Config_v6'!$B$44+MIN(100,L1260/'Config_v6'!$B$13*100)*'Config_v6'!$B$45+(100-'Motor_Meciuri'!BF95)*'Config_v6'!$B$46+'Motor_Meciuri'!BH95*100*'Config_v6'!$B$47))</x:f>
      </x:c>
      <x:c r="U1260" s="2" t="str">
        <x:f>IF(T1260="","",IF(T1260&lt;=20,1,IF(T1260&lt;=40,2,IF(T1260&lt;=60,3,IF(T1260&lt;=80,4,5)))))</x:f>
      </x:c>
      <x:c r="V1260" s="2" t="str">
        <x:f>IF(M1260="","",MAX(0,'Motor_Meciuri'!BF95-IF(W1260="OOS PENDING",'Config_v6'!$B$35,0)-IF(L1260&gt;'Config_v6'!$B$12,'Config_v6'!$B$37,IF(L1260&gt;'Config_v6'!$B$11,'Config_v6'!$B$36,0))))</x:f>
      </x:c>
      <x:c r="W1260" s="2" t="str">
        <x:f>IF(B1260="","",IF(I1260&lt;&gt;"READY","NOT RELEASED",IF(NOT(AND(J1260="PASS",'Calibrare_Linii'!U14="VALID")),"INVALID",IF(NOT(AND('Calibrare_Linii'!S14="VALIDATED",AND('Calibrare_Linii'!H14=C1260,ISNUMBER('Calibrare_Linii'!J14),'Calibrare_Linii'!J14&lt;='Input_Meci'!G95))),"OOS PENDING",IF(S1260&lt;='Calibrare_Linii'!E14,"PASS",IF(S1260&lt;='Calibrare_Linii'!F14,"PENALTY","WATCH"))))))</x:f>
      </x:c>
      <x:c r="X1260" s="2" t="str">
        <x:f>IF(M1260="","",IF(AND(AND(J1260="PASS",'Calibrare_Linii'!U14="VALID"),'Motor_Meciuri'!K95=12,'Motor_Meciuri'!L95=12,'Motor_Meciuri'!M95="NO",'Motor_Meciuri'!BL95='Motor_Meciuri'!C95,AB1260&gt;='Config_v6'!$B$50,AN1260&gt;='Config_v6'!$B$51,T1260&lt;='Config_v6'!$B$52,L1260&lt;='Config_v6'!$B$53,ISNUMBER('Calibrare_Linii'!E14),S1260&lt;='Calibrare_Linii'!E14,SUM(AK1260:AM1260)&gt;0),"CANDIDATE","NO"))</x:f>
      </x:c>
      <x:c r="Y1260" s="2" t="str">
        <x:f>IF(B1260="","",IF(I1260&lt;&gt;"READY","NOT RELEASED",IF(AND(X1260="CANDIDATE",V1260&gt;='Config_v6'!$B$51,W1260="PASS",'Calibrare_Linii'!T14="VALIDATED",AND('Calibrare_Linii'!H14=C1260,ISNUMBER('Calibrare_Linii'!J14),'Calibrare_Linii'!J14&lt;='Input_Meci'!G95)),"PASS",IF(X1260="CANDIDATE","OOS PENDING","FAIL"))))</x:f>
      </x:c>
      <x:c r="Z1260" s="2" t="str">
        <x:f>IF(B1260="","",IF(I1260&lt;&gt;"READY","",IF(OR(NOT(AND(J1260="PASS",'Calibrare_Linii'!U14="VALID")),L1260&gt;'Config_v6'!$B$13,W1260="WATCH"),5,IF(Y1260="PASS",1,MIN(5,MAX('Config_v6'!$B$42,U1260)+IF(W1260="PENALTY",1,0))))))</x:f>
      </x:c>
      <x:c r="AA1260" s="2" t="str">
        <x:f>IF(B1260="","",IF(I1260&lt;&gt;"READY","NOT RELEASED",IF(Z1260=5,"NO BET",IF(OR(AB1260&lt;'Config_v6'!$B$16,V1260&lt;'Config_v6'!$B$18),"WATCH",IF(Z1260=1,"DEFENSIV",IF(Z1260=2,"PRUDENT",IF(Z1260=3,"MODERAT","RIDICAT")))))))</x:f>
      </x:c>
      <x:c r="AB1260" s="10" t="str">
        <x:f>IF(N1260="","",MIN(N1260,1-S1260))</x:f>
      </x:c>
      <x:c r="AC1260" s="2" t="str">
        <x:f>IF(AD1260&lt;&gt;1,"",COUNTIFS($Z$1252:$Z$1265,"&lt;"&amp;Z1260,$AD$1252:$AD$1265,1)+COUNTIFS($Z$1252:$Z$1265,Z1260,$AB$1252:$AB$1265,"&gt;"&amp;AB1260,$AD$1252:$AD$1265,1)+COUNTIFS($Z$1252:$Z$1265,Z1260,$AB$1252:$AB$1265,AB1260,$V$1252:$V$1265,"&gt;"&amp;V1260,$AD$1252:$AD$1265,1)+COUNTIFS($Z$1252:Z1260,Z1260,$AB$1252:AB1260,AB1260,$V$1252:V1260,V1260,$AD$1252:AD1260,1))</x:f>
      </x:c>
      <x:c r="AD1260" s="2" t="n">
        <x:f>IF(OR(AA1260="DEFENSIV",AA1260="PRUDENT",AA1260="MODERAT",AA1260="RIDICAT"),1,0)</x:f>
        <x:v>0</x:v>
      </x:c>
      <x:c r="AE1260" s="2" t="str">
        <x:f>IF(AD1260&lt;&gt;1,"NO",IF(W1260="PASS","YES",IF(W1260="OOS PENDING","CONDITIONAL","NO")))</x:f>
        <x:v>NO</x:v>
      </x:c>
      <x:c r="AF1260" s="2" t="n">
        <x:f>IF(AND(AD1260=1,AC1260=1,E1260="LIVE"),1,0)</x:f>
        <x:v>0</x:v>
      </x:c>
      <x:c r="AG1260" s="2" t="str">
        <x:f>IF(AF1260&lt;&gt;1,"",'Dashboard'!P115)</x:f>
      </x:c>
      <x:c r="AH1260" s="2" t="str">
        <x:f>IF(B1260="","",IF(J1260&lt;&gt;"PASS",'Motor_Meciuri'!J95,IF('Calibrare_Linii'!U14&lt;&gt;"VALID","Parametri linie invalizi",IF(L1260&gt;'Config_v6'!$B$13,"Dispersie peste limita",IF(W1260="WATCH","Failure peste limita",IF(AB1260&lt;'Config_v6'!$B$16,"P finala sub prag",IF(V1260&lt;'Config_v6'!$B$18,"Confidence sub prag",IF(E1260="REPLAY","Exemplu retrospectiv; exclus din Top LIVE",IF(Y1260="PASS","DEFENSIV validat",IF(W1260="OOS PENDING","Eligibil; calibrare linie in monitorizare","Eligibil"))))))))))</x:f>
      </x:c>
      <x:c r="AI1260" s="2" t="str">
        <x:f>IF(B1260="","",'Calibrare_Linii'!V14)</x:f>
      </x:c>
      <x:c r="AJ1260" s="2" t="str">
        <x:f>IF(B1260="","",IF(AND('Calibrare_Linii'!T14="VALIDATED",AND('Calibrare_Linii'!H14=C1260,ISNUMBER('Calibrare_Linii'!J14),'Calibrare_Linii'!J14&lt;='Input_Meci'!G95)),"DEFENSIVE VALIDATED",IF(AND('Calibrare_Linii'!S14="VALIDATED",AND('Calibrare_Linii'!H14=C1260,ISNUMBER('Calibrare_Linii'!J14),'Calibrare_Linii'!J14&lt;='Input_Meci'!G95)),"TAIL VALIDATED","OOS PENDING")))</x:f>
      </x:c>
      <x:c r="AK1260" s="2" t="n">
        <x:f>IF(J1260&lt;&gt;"PASS",0,'Motor_Meciuri'!BR95)</x:f>
        <x:v>0</x:v>
      </x:c>
      <x:c r="AL1260" s="2" t="n">
        <x:f>IF(J1260&lt;&gt;"PASS",0,'Motor_Meciuri'!BS95)</x:f>
        <x:v>0</x:v>
      </x:c>
      <x:c r="AM1260" s="2" t="n">
        <x:f>IF(J1260&lt;&gt;"PASS",0,'Motor_Meciuri'!BT95)</x:f>
        <x:v>0</x:v>
      </x:c>
      <x:c r="AN1260" s="2" t="str">
        <x:f>IF(M1260="","",MAX(0,'Motor_Meciuri'!BF95-IF(L1260&gt;'Config_v6'!$B$12,'Config_v6'!$B$37,IF(L1260&gt;'Config_v6'!$B$11,'Config_v6'!$B$36,0))))</x:f>
      </x:c>
    </x:row>
    <x:row r="1261" ht="21" customHeight="1">
      <x:c r="A1261" s="2" t="n">
        <x:v>90</x:v>
      </x:c>
      <x:c r="B1261" s="2" t="str">
        <x:f>IF('Motor_Meciuri'!A95="","",'Motor_Meciuri'!A95)</x:f>
      </x:c>
      <x:c r="C1261" s="2" t="str">
        <x:f>IF(B1261="","",'Motor_Meciuri'!B95)</x:f>
      </x:c>
      <x:c r="D1261" s="2" t="str">
        <x:f>IF(B1261="","",'Motor_Meciuri'!D95)</x:f>
      </x:c>
      <x:c r="E1261" s="2" t="str">
        <x:f>IF(B1261="","",'Motor_Meciuri'!E95)</x:f>
      </x:c>
      <x:c r="F1261" s="2" t="str">
        <x:v>U13,5</x:v>
      </x:c>
      <x:c r="G1261" s="2" t="str">
        <x:v>UNDER</x:v>
      </x:c>
      <x:c r="H1261" s="2" t="n">
        <x:v>13</x:v>
      </x:c>
      <x:c r="I1261" s="2" t="str">
        <x:f>IF(B1261="","",'Motor_Meciuri'!H95)</x:f>
      </x:c>
      <x:c r="J1261" s="2" t="str">
        <x:f>IF(B1261="","",'Motor_Meciuri'!I95)</x:f>
      </x:c>
      <x:c r="K1261" s="11" t="str">
        <x:f>IF(J1261&lt;&gt;"PASS","",'Motor_Meciuri'!BD95)</x:f>
      </x:c>
      <x:c r="L1261" s="11" t="str">
        <x:f>IF(J1261&lt;&gt;"PASS","",'Motor_Meciuri'!AU95)</x:f>
      </x:c>
      <x:c r="M1261" s="10" t="str">
        <x:f>IF(NOT(AND(J1261="PASS",'Calibrare_Linii'!U15="VALID")),"",'Distributie'!AK95)</x:f>
      </x:c>
      <x:c r="N1261" s="10" t="str">
        <x:f>IF(M1261="","",MAX(0.01,MIN(0.99,0.5+(M1261-0.5)*'Motor_Meciuri'!BG95*'Calibrare_Linii'!D15)))</x:f>
      </x:c>
      <x:c r="O1261" s="10" t="str">
        <x:f>IF(M1261="","",1-M1261)</x:f>
      </x:c>
      <x:c r="P1261" s="10" t="str">
        <x:f>IF(OR(NOT(AND(J1261="PASS",'Calibrare_Linii'!U15="VALID")),AK1261=0),""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*('Istoric_Nativ'!$Q$6:$Q$405&gt;H1261))/AK1261)</x:f>
      </x:c>
      <x:c r="Q1261" s="10" t="str">
        <x:f>IF(OR(NOT(AND(J1261="PASS",'Calibrare_Linii'!U15="VALID")),AL1261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M95)+((('Istoric_Nativ'!$E$6:$E$405='Input_Meci'!E95)+('Istoric_Nativ'!$F$6:$F$405='Input_Meci'!E95))&gt;0)*('Istoric_Nativ'!$D$6:$D$405&gt;='Motor_Meciuri'!BN95))&gt;0)*('Istoric_Nativ'!$Q$6:$Q$405&gt;H1261))/AL1261)</x:f>
      </x:c>
      <x:c r="R1261" s="10" t="str">
        <x:f>IF(OR(NOT(AND(J1261="PASS",'Calibrare_Linii'!U15="VALID")),AM1261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O95)+((('Istoric_Nativ'!$E$6:$E$405='Input_Meci'!E95)+('Istoric_Nativ'!$F$6:$F$405='Input_Meci'!E95))&gt;0)*('Istoric_Nativ'!$D$6:$D$405&gt;='Motor_Meciuri'!BP95))&gt;0)*('Istoric_Nativ'!$Q$6:$Q$405&gt;H1261))/AM1261)</x:f>
      </x:c>
      <x:c r="S1261" s="10" t="str">
        <x:f>IF(M1261="","",MAX(O1261,P1261,Q1261,R1261))</x:f>
      </x:c>
      <x:c r="T1261" s="11" t="str">
        <x:f>IF(M1261="","",MIN(100,S1261*100*'Config_v6'!$B$44+MIN(100,L1261/'Config_v6'!$B$13*100)*'Config_v6'!$B$45+(100-'Motor_Meciuri'!BF95)*'Config_v6'!$B$46+'Motor_Meciuri'!BH95*100*'Config_v6'!$B$47))</x:f>
      </x:c>
      <x:c r="U1261" s="2" t="str">
        <x:f>IF(T1261="","",IF(T1261&lt;=20,1,IF(T1261&lt;=40,2,IF(T1261&lt;=60,3,IF(T1261&lt;=80,4,5)))))</x:f>
      </x:c>
      <x:c r="V1261" s="2" t="str">
        <x:f>IF(M1261="","",MAX(0,'Motor_Meciuri'!BF95-IF(W1261="OOS PENDING",'Config_v6'!$B$35,0)-IF(L1261&gt;'Config_v6'!$B$12,'Config_v6'!$B$37,IF(L1261&gt;'Config_v6'!$B$11,'Config_v6'!$B$36,0))))</x:f>
      </x:c>
      <x:c r="W1261" s="2" t="str">
        <x:f>IF(B1261="","",IF(I1261&lt;&gt;"READY","NOT RELEASED",IF(NOT(AND(J1261="PASS",'Calibrare_Linii'!U15="VALID")),"INVALID",IF(NOT(AND('Calibrare_Linii'!S15="VALIDATED",AND('Calibrare_Linii'!H15=C1261,ISNUMBER('Calibrare_Linii'!J15),'Calibrare_Linii'!J15&lt;='Input_Meci'!G95))),"OOS PENDING",IF(S1261&lt;='Calibrare_Linii'!E15,"PASS",IF(S1261&lt;='Calibrare_Linii'!F15,"PENALTY","WATCH"))))))</x:f>
      </x:c>
      <x:c r="X1261" s="2" t="str">
        <x:f>IF(M1261="","",IF(AND(AND(J1261="PASS",'Calibrare_Linii'!U15="VALID"),'Motor_Meciuri'!K95=12,'Motor_Meciuri'!L95=12,'Motor_Meciuri'!M95="NO",'Motor_Meciuri'!BL95='Motor_Meciuri'!C95,AB1261&gt;='Config_v6'!$B$50,AN1261&gt;='Config_v6'!$B$51,T1261&lt;='Config_v6'!$B$52,L1261&lt;='Config_v6'!$B$53,ISNUMBER('Calibrare_Linii'!E15),S1261&lt;='Calibrare_Linii'!E15,SUM(AK1261:AM1261)&gt;0),"CANDIDATE","NO"))</x:f>
      </x:c>
      <x:c r="Y1261" s="2" t="str">
        <x:f>IF(B1261="","",IF(I1261&lt;&gt;"READY","NOT RELEASED",IF(AND(X1261="CANDIDATE",V1261&gt;='Config_v6'!$B$51,W1261="PASS",'Calibrare_Linii'!T15="VALIDATED",AND('Calibrare_Linii'!H15=C1261,ISNUMBER('Calibrare_Linii'!J15),'Calibrare_Linii'!J15&lt;='Input_Meci'!G95)),"PASS",IF(X1261="CANDIDATE","OOS PENDING","FAIL"))))</x:f>
      </x:c>
      <x:c r="Z1261" s="2" t="str">
        <x:f>IF(B1261="","",IF(I1261&lt;&gt;"READY","",IF(OR(NOT(AND(J1261="PASS",'Calibrare_Linii'!U15="VALID")),L1261&gt;'Config_v6'!$B$13,W1261="WATCH"),5,IF(Y1261="PASS",1,MIN(5,MAX('Config_v6'!$B$42,U1261)+IF(W1261="PENALTY",1,0))))))</x:f>
      </x:c>
      <x:c r="AA1261" s="2" t="str">
        <x:f>IF(B1261="","",IF(I1261&lt;&gt;"READY","NOT RELEASED",IF(Z1261=5,"NO BET",IF(OR(AB1261&lt;'Config_v6'!$B$16,V1261&lt;'Config_v6'!$B$18),"WATCH",IF(Z1261=1,"DEFENSIV",IF(Z1261=2,"PRUDENT",IF(Z1261=3,"MODERAT","RIDICAT")))))))</x:f>
      </x:c>
      <x:c r="AB1261" s="10" t="str">
        <x:f>IF(N1261="","",MIN(N1261,1-S1261))</x:f>
      </x:c>
      <x:c r="AC1261" s="2" t="str">
        <x:f>IF(AD1261&lt;&gt;1,"",COUNTIFS($Z$1252:$Z$1265,"&lt;"&amp;Z1261,$AD$1252:$AD$1265,1)+COUNTIFS($Z$1252:$Z$1265,Z1261,$AB$1252:$AB$1265,"&gt;"&amp;AB1261,$AD$1252:$AD$1265,1)+COUNTIFS($Z$1252:$Z$1265,Z1261,$AB$1252:$AB$1265,AB1261,$V$1252:$V$1265,"&gt;"&amp;V1261,$AD$1252:$AD$1265,1)+COUNTIFS($Z$1252:Z1261,Z1261,$AB$1252:AB1261,AB1261,$V$1252:V1261,V1261,$AD$1252:AD1261,1))</x:f>
      </x:c>
      <x:c r="AD1261" s="2" t="n">
        <x:f>IF(OR(AA1261="DEFENSIV",AA1261="PRUDENT",AA1261="MODERAT",AA1261="RIDICAT"),1,0)</x:f>
        <x:v>0</x:v>
      </x:c>
      <x:c r="AE1261" s="2" t="str">
        <x:f>IF(AD1261&lt;&gt;1,"NO",IF(W1261="PASS","YES",IF(W1261="OOS PENDING","CONDITIONAL","NO")))</x:f>
        <x:v>NO</x:v>
      </x:c>
      <x:c r="AF1261" s="2" t="n">
        <x:f>IF(AND(AD1261=1,AC1261=1,E1261="LIVE"),1,0)</x:f>
        <x:v>0</x:v>
      </x:c>
      <x:c r="AG1261" s="2" t="str">
        <x:f>IF(AF1261&lt;&gt;1,"",'Dashboard'!P115)</x:f>
      </x:c>
      <x:c r="AH1261" s="2" t="str">
        <x:f>IF(B1261="","",IF(J1261&lt;&gt;"PASS",'Motor_Meciuri'!J95,IF('Calibrare_Linii'!U15&lt;&gt;"VALID","Parametri linie invalizi",IF(L1261&gt;'Config_v6'!$B$13,"Dispersie peste limita",IF(W1261="WATCH","Failure peste limita",IF(AB1261&lt;'Config_v6'!$B$16,"P finala sub prag",IF(V1261&lt;'Config_v6'!$B$18,"Confidence sub prag",IF(E1261="REPLAY","Exemplu retrospectiv; exclus din Top LIVE",IF(Y1261="PASS","DEFENSIV validat",IF(W1261="OOS PENDING","Eligibil; calibrare linie in monitorizare","Eligibil"))))))))))</x:f>
      </x:c>
      <x:c r="AI1261" s="2" t="str">
        <x:f>IF(B1261="","",'Calibrare_Linii'!V15)</x:f>
      </x:c>
      <x:c r="AJ1261" s="2" t="str">
        <x:f>IF(B1261="","",IF(AND('Calibrare_Linii'!T15="VALIDATED",AND('Calibrare_Linii'!H15=C1261,ISNUMBER('Calibrare_Linii'!J15),'Calibrare_Linii'!J15&lt;='Input_Meci'!G95)),"DEFENSIVE VALIDATED",IF(AND('Calibrare_Linii'!S15="VALIDATED",AND('Calibrare_Linii'!H15=C1261,ISNUMBER('Calibrare_Linii'!J15),'Calibrare_Linii'!J15&lt;='Input_Meci'!G95)),"TAIL VALIDATED","OOS PENDING")))</x:f>
      </x:c>
      <x:c r="AK1261" s="2" t="n">
        <x:f>IF(J1261&lt;&gt;"PASS",0,'Motor_Meciuri'!BR95)</x:f>
        <x:v>0</x:v>
      </x:c>
      <x:c r="AL1261" s="2" t="n">
        <x:f>IF(J1261&lt;&gt;"PASS",0,'Motor_Meciuri'!BS95)</x:f>
        <x:v>0</x:v>
      </x:c>
      <x:c r="AM1261" s="2" t="n">
        <x:f>IF(J1261&lt;&gt;"PASS",0,'Motor_Meciuri'!BT95)</x:f>
        <x:v>0</x:v>
      </x:c>
      <x:c r="AN1261" s="2" t="str">
        <x:f>IF(M1261="","",MAX(0,'Motor_Meciuri'!BF95-IF(L1261&gt;'Config_v6'!$B$12,'Config_v6'!$B$37,IF(L1261&gt;'Config_v6'!$B$11,'Config_v6'!$B$36,0))))</x:f>
      </x:c>
    </x:row>
    <x:row r="1262" ht="21" customHeight="1">
      <x:c r="A1262" s="2" t="n">
        <x:v>90</x:v>
      </x:c>
      <x:c r="B1262" s="2" t="str">
        <x:f>IF('Motor_Meciuri'!A95="","",'Motor_Meciuri'!A95)</x:f>
      </x:c>
      <x:c r="C1262" s="2" t="str">
        <x:f>IF(B1262="","",'Motor_Meciuri'!B95)</x:f>
      </x:c>
      <x:c r="D1262" s="2" t="str">
        <x:f>IF(B1262="","",'Motor_Meciuri'!D95)</x:f>
      </x:c>
      <x:c r="E1262" s="2" t="str">
        <x:f>IF(B1262="","",'Motor_Meciuri'!E95)</x:f>
      </x:c>
      <x:c r="F1262" s="2" t="str">
        <x:v>U14,5</x:v>
      </x:c>
      <x:c r="G1262" s="2" t="str">
        <x:v>UNDER</x:v>
      </x:c>
      <x:c r="H1262" s="2" t="n">
        <x:v>14</x:v>
      </x:c>
      <x:c r="I1262" s="2" t="str">
        <x:f>IF(B1262="","",'Motor_Meciuri'!H95)</x:f>
      </x:c>
      <x:c r="J1262" s="2" t="str">
        <x:f>IF(B1262="","",'Motor_Meciuri'!I95)</x:f>
      </x:c>
      <x:c r="K1262" s="11" t="str">
        <x:f>IF(J1262&lt;&gt;"PASS","",'Motor_Meciuri'!BD95)</x:f>
      </x:c>
      <x:c r="L1262" s="11" t="str">
        <x:f>IF(J1262&lt;&gt;"PASS","",'Motor_Meciuri'!AU95)</x:f>
      </x:c>
      <x:c r="M1262" s="10" t="str">
        <x:f>IF(NOT(AND(J1262="PASS",'Calibrare_Linii'!U16="VALID")),"",'Distributie'!AL95)</x:f>
      </x:c>
      <x:c r="N1262" s="10" t="str">
        <x:f>IF(M1262="","",MAX(0.01,MIN(0.99,0.5+(M1262-0.5)*'Motor_Meciuri'!BG95*'Calibrare_Linii'!D16)))</x:f>
      </x:c>
      <x:c r="O1262" s="10" t="str">
        <x:f>IF(M1262="","",1-M1262)</x:f>
      </x:c>
      <x:c r="P1262" s="10" t="str">
        <x:f>IF(OR(NOT(AND(J1262="PASS",'Calibrare_Linii'!U16="VALID")),AK1262=0),""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*('Istoric_Nativ'!$Q$6:$Q$405&gt;H1262))/AK1262)</x:f>
      </x:c>
      <x:c r="Q1262" s="10" t="str">
        <x:f>IF(OR(NOT(AND(J1262="PASS",'Calibrare_Linii'!U16="VALID")),AL1262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M95)+((('Istoric_Nativ'!$E$6:$E$405='Input_Meci'!E95)+('Istoric_Nativ'!$F$6:$F$405='Input_Meci'!E95))&gt;0)*('Istoric_Nativ'!$D$6:$D$405&gt;='Motor_Meciuri'!BN95))&gt;0)*('Istoric_Nativ'!$Q$6:$Q$405&gt;H1262))/AL1262)</x:f>
      </x:c>
      <x:c r="R1262" s="10" t="str">
        <x:f>IF(OR(NOT(AND(J1262="PASS",'Calibrare_Linii'!U16="VALID")),AM1262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O95)+((('Istoric_Nativ'!$E$6:$E$405='Input_Meci'!E95)+('Istoric_Nativ'!$F$6:$F$405='Input_Meci'!E95))&gt;0)*('Istoric_Nativ'!$D$6:$D$405&gt;='Motor_Meciuri'!BP95))&gt;0)*('Istoric_Nativ'!$Q$6:$Q$405&gt;H1262))/AM1262)</x:f>
      </x:c>
      <x:c r="S1262" s="10" t="str">
        <x:f>IF(M1262="","",MAX(O1262,P1262,Q1262,R1262))</x:f>
      </x:c>
      <x:c r="T1262" s="11" t="str">
        <x:f>IF(M1262="","",MIN(100,S1262*100*'Config_v6'!$B$44+MIN(100,L1262/'Config_v6'!$B$13*100)*'Config_v6'!$B$45+(100-'Motor_Meciuri'!BF95)*'Config_v6'!$B$46+'Motor_Meciuri'!BH95*100*'Config_v6'!$B$47))</x:f>
      </x:c>
      <x:c r="U1262" s="2" t="str">
        <x:f>IF(T1262="","",IF(T1262&lt;=20,1,IF(T1262&lt;=40,2,IF(T1262&lt;=60,3,IF(T1262&lt;=80,4,5)))))</x:f>
      </x:c>
      <x:c r="V1262" s="2" t="str">
        <x:f>IF(M1262="","",MAX(0,'Motor_Meciuri'!BF95-IF(W1262="OOS PENDING",'Config_v6'!$B$35,0)-IF(L1262&gt;'Config_v6'!$B$12,'Config_v6'!$B$37,IF(L1262&gt;'Config_v6'!$B$11,'Config_v6'!$B$36,0))))</x:f>
      </x:c>
      <x:c r="W1262" s="2" t="str">
        <x:f>IF(B1262="","",IF(I1262&lt;&gt;"READY","NOT RELEASED",IF(NOT(AND(J1262="PASS",'Calibrare_Linii'!U16="VALID")),"INVALID",IF(NOT(AND('Calibrare_Linii'!S16="VALIDATED",AND('Calibrare_Linii'!H16=C1262,ISNUMBER('Calibrare_Linii'!J16),'Calibrare_Linii'!J16&lt;='Input_Meci'!G95))),"OOS PENDING",IF(S1262&lt;='Calibrare_Linii'!E16,"PASS",IF(S1262&lt;='Calibrare_Linii'!F16,"PENALTY","WATCH"))))))</x:f>
      </x:c>
      <x:c r="X1262" s="2" t="str">
        <x:f>IF(M1262="","",IF(AND(AND(J1262="PASS",'Calibrare_Linii'!U16="VALID"),'Motor_Meciuri'!K95=12,'Motor_Meciuri'!L95=12,'Motor_Meciuri'!M95="NO",'Motor_Meciuri'!BL95='Motor_Meciuri'!C95,AB1262&gt;='Config_v6'!$B$50,AN1262&gt;='Config_v6'!$B$51,T1262&lt;='Config_v6'!$B$52,L1262&lt;='Config_v6'!$B$53,ISNUMBER('Calibrare_Linii'!E16),S1262&lt;='Calibrare_Linii'!E16,SUM(AK1262:AM1262)&gt;0),"CANDIDATE","NO"))</x:f>
      </x:c>
      <x:c r="Y1262" s="2" t="str">
        <x:f>IF(B1262="","",IF(I1262&lt;&gt;"READY","NOT RELEASED",IF(AND(X1262="CANDIDATE",V1262&gt;='Config_v6'!$B$51,W1262="PASS",'Calibrare_Linii'!T16="VALIDATED",AND('Calibrare_Linii'!H16=C1262,ISNUMBER('Calibrare_Linii'!J16),'Calibrare_Linii'!J16&lt;='Input_Meci'!G95)),"PASS",IF(X1262="CANDIDATE","OOS PENDING","FAIL"))))</x:f>
      </x:c>
      <x:c r="Z1262" s="2" t="str">
        <x:f>IF(B1262="","",IF(I1262&lt;&gt;"READY","",IF(OR(NOT(AND(J1262="PASS",'Calibrare_Linii'!U16="VALID")),L1262&gt;'Config_v6'!$B$13,W1262="WATCH"),5,IF(Y1262="PASS",1,MIN(5,MAX('Config_v6'!$B$42,U1262)+IF(W1262="PENALTY",1,0))))))</x:f>
      </x:c>
      <x:c r="AA1262" s="2" t="str">
        <x:f>IF(B1262="","",IF(I1262&lt;&gt;"READY","NOT RELEASED",IF(Z1262=5,"NO BET",IF(OR(AB1262&lt;'Config_v6'!$B$16,V1262&lt;'Config_v6'!$B$18),"WATCH",IF(Z1262=1,"DEFENSIV",IF(Z1262=2,"PRUDENT",IF(Z1262=3,"MODERAT","RIDICAT")))))))</x:f>
      </x:c>
      <x:c r="AB1262" s="10" t="str">
        <x:f>IF(N1262="","",MIN(N1262,1-S1262))</x:f>
      </x:c>
      <x:c r="AC1262" s="2" t="str">
        <x:f>IF(AD1262&lt;&gt;1,"",COUNTIFS($Z$1252:$Z$1265,"&lt;"&amp;Z1262,$AD$1252:$AD$1265,1)+COUNTIFS($Z$1252:$Z$1265,Z1262,$AB$1252:$AB$1265,"&gt;"&amp;AB1262,$AD$1252:$AD$1265,1)+COUNTIFS($Z$1252:$Z$1265,Z1262,$AB$1252:$AB$1265,AB1262,$V$1252:$V$1265,"&gt;"&amp;V1262,$AD$1252:$AD$1265,1)+COUNTIFS($Z$1252:Z1262,Z1262,$AB$1252:AB1262,AB1262,$V$1252:V1262,V1262,$AD$1252:AD1262,1))</x:f>
      </x:c>
      <x:c r="AD1262" s="2" t="n">
        <x:f>IF(OR(AA1262="DEFENSIV",AA1262="PRUDENT",AA1262="MODERAT",AA1262="RIDICAT"),1,0)</x:f>
        <x:v>0</x:v>
      </x:c>
      <x:c r="AE1262" s="2" t="str">
        <x:f>IF(AD1262&lt;&gt;1,"NO",IF(W1262="PASS","YES",IF(W1262="OOS PENDING","CONDITIONAL","NO")))</x:f>
        <x:v>NO</x:v>
      </x:c>
      <x:c r="AF1262" s="2" t="n">
        <x:f>IF(AND(AD1262=1,AC1262=1,E1262="LIVE"),1,0)</x:f>
        <x:v>0</x:v>
      </x:c>
      <x:c r="AG1262" s="2" t="str">
        <x:f>IF(AF1262&lt;&gt;1,"",'Dashboard'!P115)</x:f>
      </x:c>
      <x:c r="AH1262" s="2" t="str">
        <x:f>IF(B1262="","",IF(J1262&lt;&gt;"PASS",'Motor_Meciuri'!J95,IF('Calibrare_Linii'!U16&lt;&gt;"VALID","Parametri linie invalizi",IF(L1262&gt;'Config_v6'!$B$13,"Dispersie peste limita",IF(W1262="WATCH","Failure peste limita",IF(AB1262&lt;'Config_v6'!$B$16,"P finala sub prag",IF(V1262&lt;'Config_v6'!$B$18,"Confidence sub prag",IF(E1262="REPLAY","Exemplu retrospectiv; exclus din Top LIVE",IF(Y1262="PASS","DEFENSIV validat",IF(W1262="OOS PENDING","Eligibil; calibrare linie in monitorizare","Eligibil"))))))))))</x:f>
      </x:c>
      <x:c r="AI1262" s="2" t="str">
        <x:f>IF(B1262="","",'Calibrare_Linii'!V16)</x:f>
      </x:c>
      <x:c r="AJ1262" s="2" t="str">
        <x:f>IF(B1262="","",IF(AND('Calibrare_Linii'!T16="VALIDATED",AND('Calibrare_Linii'!H16=C1262,ISNUMBER('Calibrare_Linii'!J16),'Calibrare_Linii'!J16&lt;='Input_Meci'!G95)),"DEFENSIVE VALIDATED",IF(AND('Calibrare_Linii'!S16="VALIDATED",AND('Calibrare_Linii'!H16=C1262,ISNUMBER('Calibrare_Linii'!J16),'Calibrare_Linii'!J16&lt;='Input_Meci'!G95)),"TAIL VALIDATED","OOS PENDING")))</x:f>
      </x:c>
      <x:c r="AK1262" s="2" t="n">
        <x:f>IF(J1262&lt;&gt;"PASS",0,'Motor_Meciuri'!BR95)</x:f>
        <x:v>0</x:v>
      </x:c>
      <x:c r="AL1262" s="2" t="n">
        <x:f>IF(J1262&lt;&gt;"PASS",0,'Motor_Meciuri'!BS95)</x:f>
        <x:v>0</x:v>
      </x:c>
      <x:c r="AM1262" s="2" t="n">
        <x:f>IF(J1262&lt;&gt;"PASS",0,'Motor_Meciuri'!BT95)</x:f>
        <x:v>0</x:v>
      </x:c>
      <x:c r="AN1262" s="2" t="str">
        <x:f>IF(M1262="","",MAX(0,'Motor_Meciuri'!BF95-IF(L1262&gt;'Config_v6'!$B$12,'Config_v6'!$B$37,IF(L1262&gt;'Config_v6'!$B$11,'Config_v6'!$B$36,0))))</x:f>
      </x:c>
    </x:row>
    <x:row r="1263" ht="21" customHeight="1">
      <x:c r="A1263" s="2" t="n">
        <x:v>90</x:v>
      </x:c>
      <x:c r="B1263" s="2" t="str">
        <x:f>IF('Motor_Meciuri'!A95="","",'Motor_Meciuri'!A95)</x:f>
      </x:c>
      <x:c r="C1263" s="2" t="str">
        <x:f>IF(B1263="","",'Motor_Meciuri'!B95)</x:f>
      </x:c>
      <x:c r="D1263" s="2" t="str">
        <x:f>IF(B1263="","",'Motor_Meciuri'!D95)</x:f>
      </x:c>
      <x:c r="E1263" s="2" t="str">
        <x:f>IF(B1263="","",'Motor_Meciuri'!E95)</x:f>
      </x:c>
      <x:c r="F1263" s="2" t="str">
        <x:v>U15,5</x:v>
      </x:c>
      <x:c r="G1263" s="2" t="str">
        <x:v>UNDER</x:v>
      </x:c>
      <x:c r="H1263" s="2" t="n">
        <x:v>15</x:v>
      </x:c>
      <x:c r="I1263" s="2" t="str">
        <x:f>IF(B1263="","",'Motor_Meciuri'!H95)</x:f>
      </x:c>
      <x:c r="J1263" s="2" t="str">
        <x:f>IF(B1263="","",'Motor_Meciuri'!I95)</x:f>
      </x:c>
      <x:c r="K1263" s="11" t="str">
        <x:f>IF(J1263&lt;&gt;"PASS","",'Motor_Meciuri'!BD95)</x:f>
      </x:c>
      <x:c r="L1263" s="11" t="str">
        <x:f>IF(J1263&lt;&gt;"PASS","",'Motor_Meciuri'!AU95)</x:f>
      </x:c>
      <x:c r="M1263" s="10" t="str">
        <x:f>IF(NOT(AND(J1263="PASS",'Calibrare_Linii'!U17="VALID")),"",'Distributie'!AM95)</x:f>
      </x:c>
      <x:c r="N1263" s="10" t="str">
        <x:f>IF(M1263="","",MAX(0.01,MIN(0.99,0.5+(M1263-0.5)*'Motor_Meciuri'!BG95*'Calibrare_Linii'!D17)))</x:f>
      </x:c>
      <x:c r="O1263" s="10" t="str">
        <x:f>IF(M1263="","",1-M1263)</x:f>
      </x:c>
      <x:c r="P1263" s="10" t="str">
        <x:f>IF(OR(NOT(AND(J1263="PASS",'Calibrare_Linii'!U17="VALID")),AK1263=0),""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*('Istoric_Nativ'!$Q$6:$Q$405&gt;H1263))/AK1263)</x:f>
      </x:c>
      <x:c r="Q1263" s="10" t="str">
        <x:f>IF(OR(NOT(AND(J1263="PASS",'Calibrare_Linii'!U17="VALID")),AL1263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M95)+((('Istoric_Nativ'!$E$6:$E$405='Input_Meci'!E95)+('Istoric_Nativ'!$F$6:$F$405='Input_Meci'!E95))&gt;0)*('Istoric_Nativ'!$D$6:$D$405&gt;='Motor_Meciuri'!BN95))&gt;0)*('Istoric_Nativ'!$Q$6:$Q$405&gt;H1263))/AL1263)</x:f>
      </x:c>
      <x:c r="R1263" s="10" t="str">
        <x:f>IF(OR(NOT(AND(J1263="PASS",'Calibrare_Linii'!U17="VALID")),AM1263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O95)+((('Istoric_Nativ'!$E$6:$E$405='Input_Meci'!E95)+('Istoric_Nativ'!$F$6:$F$405='Input_Meci'!E95))&gt;0)*('Istoric_Nativ'!$D$6:$D$405&gt;='Motor_Meciuri'!BP95))&gt;0)*('Istoric_Nativ'!$Q$6:$Q$405&gt;H1263))/AM1263)</x:f>
      </x:c>
      <x:c r="S1263" s="10" t="str">
        <x:f>IF(M1263="","",MAX(O1263,P1263,Q1263,R1263))</x:f>
      </x:c>
      <x:c r="T1263" s="11" t="str">
        <x:f>IF(M1263="","",MIN(100,S1263*100*'Config_v6'!$B$44+MIN(100,L1263/'Config_v6'!$B$13*100)*'Config_v6'!$B$45+(100-'Motor_Meciuri'!BF95)*'Config_v6'!$B$46+'Motor_Meciuri'!BH95*100*'Config_v6'!$B$47))</x:f>
      </x:c>
      <x:c r="U1263" s="2" t="str">
        <x:f>IF(T1263="","",IF(T1263&lt;=20,1,IF(T1263&lt;=40,2,IF(T1263&lt;=60,3,IF(T1263&lt;=80,4,5)))))</x:f>
      </x:c>
      <x:c r="V1263" s="2" t="str">
        <x:f>IF(M1263="","",MAX(0,'Motor_Meciuri'!BF95-IF(W1263="OOS PENDING",'Config_v6'!$B$35,0)-IF(L1263&gt;'Config_v6'!$B$12,'Config_v6'!$B$37,IF(L1263&gt;'Config_v6'!$B$11,'Config_v6'!$B$36,0))))</x:f>
      </x:c>
      <x:c r="W1263" s="2" t="str">
        <x:f>IF(B1263="","",IF(I1263&lt;&gt;"READY","NOT RELEASED",IF(NOT(AND(J1263="PASS",'Calibrare_Linii'!U17="VALID")),"INVALID",IF(NOT(AND('Calibrare_Linii'!S17="VALIDATED",AND('Calibrare_Linii'!H17=C1263,ISNUMBER('Calibrare_Linii'!J17),'Calibrare_Linii'!J17&lt;='Input_Meci'!G95))),"OOS PENDING",IF(S1263&lt;='Calibrare_Linii'!E17,"PASS",IF(S1263&lt;='Calibrare_Linii'!F17,"PENALTY","WATCH"))))))</x:f>
      </x:c>
      <x:c r="X1263" s="2" t="str">
        <x:f>IF(M1263="","",IF(AND(AND(J1263="PASS",'Calibrare_Linii'!U17="VALID"),'Motor_Meciuri'!K95=12,'Motor_Meciuri'!L95=12,'Motor_Meciuri'!M95="NO",'Motor_Meciuri'!BL95='Motor_Meciuri'!C95,AB1263&gt;='Config_v6'!$B$50,AN1263&gt;='Config_v6'!$B$51,T1263&lt;='Config_v6'!$B$52,L1263&lt;='Config_v6'!$B$53,ISNUMBER('Calibrare_Linii'!E17),S1263&lt;='Calibrare_Linii'!E17,SUM(AK1263:AM1263)&gt;0),"CANDIDATE","NO"))</x:f>
      </x:c>
      <x:c r="Y1263" s="2" t="str">
        <x:f>IF(B1263="","",IF(I1263&lt;&gt;"READY","NOT RELEASED",IF(AND(X1263="CANDIDATE",V1263&gt;='Config_v6'!$B$51,W1263="PASS",'Calibrare_Linii'!T17="VALIDATED",AND('Calibrare_Linii'!H17=C1263,ISNUMBER('Calibrare_Linii'!J17),'Calibrare_Linii'!J17&lt;='Input_Meci'!G95)),"PASS",IF(X1263="CANDIDATE","OOS PENDING","FAIL"))))</x:f>
      </x:c>
      <x:c r="Z1263" s="2" t="str">
        <x:f>IF(B1263="","",IF(I1263&lt;&gt;"READY","",IF(OR(NOT(AND(J1263="PASS",'Calibrare_Linii'!U17="VALID")),L1263&gt;'Config_v6'!$B$13,W1263="WATCH"),5,IF(Y1263="PASS",1,MIN(5,MAX('Config_v6'!$B$42,U1263)+IF(W1263="PENALTY",1,0))))))</x:f>
      </x:c>
      <x:c r="AA1263" s="2" t="str">
        <x:f>IF(B1263="","",IF(I1263&lt;&gt;"READY","NOT RELEASED",IF(Z1263=5,"NO BET",IF(OR(AB1263&lt;'Config_v6'!$B$16,V1263&lt;'Config_v6'!$B$18),"WATCH",IF(Z1263=1,"DEFENSIV",IF(Z1263=2,"PRUDENT",IF(Z1263=3,"MODERAT","RIDICAT")))))))</x:f>
      </x:c>
      <x:c r="AB1263" s="10" t="str">
        <x:f>IF(N1263="","",MIN(N1263,1-S1263))</x:f>
      </x:c>
      <x:c r="AC1263" s="2" t="str">
        <x:f>IF(AD1263&lt;&gt;1,"",COUNTIFS($Z$1252:$Z$1265,"&lt;"&amp;Z1263,$AD$1252:$AD$1265,1)+COUNTIFS($Z$1252:$Z$1265,Z1263,$AB$1252:$AB$1265,"&gt;"&amp;AB1263,$AD$1252:$AD$1265,1)+COUNTIFS($Z$1252:$Z$1265,Z1263,$AB$1252:$AB$1265,AB1263,$V$1252:$V$1265,"&gt;"&amp;V1263,$AD$1252:$AD$1265,1)+COUNTIFS($Z$1252:Z1263,Z1263,$AB$1252:AB1263,AB1263,$V$1252:V1263,V1263,$AD$1252:AD1263,1))</x:f>
      </x:c>
      <x:c r="AD1263" s="2" t="n">
        <x:f>IF(OR(AA1263="DEFENSIV",AA1263="PRUDENT",AA1263="MODERAT",AA1263="RIDICAT"),1,0)</x:f>
        <x:v>0</x:v>
      </x:c>
      <x:c r="AE1263" s="2" t="str">
        <x:f>IF(AD1263&lt;&gt;1,"NO",IF(W1263="PASS","YES",IF(W1263="OOS PENDING","CONDITIONAL","NO")))</x:f>
        <x:v>NO</x:v>
      </x:c>
      <x:c r="AF1263" s="2" t="n">
        <x:f>IF(AND(AD1263=1,AC1263=1,E1263="LIVE"),1,0)</x:f>
        <x:v>0</x:v>
      </x:c>
      <x:c r="AG1263" s="2" t="str">
        <x:f>IF(AF1263&lt;&gt;1,"",'Dashboard'!P115)</x:f>
      </x:c>
      <x:c r="AH1263" s="2" t="str">
        <x:f>IF(B1263="","",IF(J1263&lt;&gt;"PASS",'Motor_Meciuri'!J95,IF('Calibrare_Linii'!U17&lt;&gt;"VALID","Parametri linie invalizi",IF(L1263&gt;'Config_v6'!$B$13,"Dispersie peste limita",IF(W1263="WATCH","Failure peste limita",IF(AB1263&lt;'Config_v6'!$B$16,"P finala sub prag",IF(V1263&lt;'Config_v6'!$B$18,"Confidence sub prag",IF(E1263="REPLAY","Exemplu retrospectiv; exclus din Top LIVE",IF(Y1263="PASS","DEFENSIV validat",IF(W1263="OOS PENDING","Eligibil; calibrare linie in monitorizare","Eligibil"))))))))))</x:f>
      </x:c>
      <x:c r="AI1263" s="2" t="str">
        <x:f>IF(B1263="","",'Calibrare_Linii'!V17)</x:f>
      </x:c>
      <x:c r="AJ1263" s="2" t="str">
        <x:f>IF(B1263="","",IF(AND('Calibrare_Linii'!T17="VALIDATED",AND('Calibrare_Linii'!H17=C1263,ISNUMBER('Calibrare_Linii'!J17),'Calibrare_Linii'!J17&lt;='Input_Meci'!G95)),"DEFENSIVE VALIDATED",IF(AND('Calibrare_Linii'!S17="VALIDATED",AND('Calibrare_Linii'!H17=C1263,ISNUMBER('Calibrare_Linii'!J17),'Calibrare_Linii'!J17&lt;='Input_Meci'!G95)),"TAIL VALIDATED","OOS PENDING")))</x:f>
      </x:c>
      <x:c r="AK1263" s="2" t="n">
        <x:f>IF(J1263&lt;&gt;"PASS",0,'Motor_Meciuri'!BR95)</x:f>
        <x:v>0</x:v>
      </x:c>
      <x:c r="AL1263" s="2" t="n">
        <x:f>IF(J1263&lt;&gt;"PASS",0,'Motor_Meciuri'!BS95)</x:f>
        <x:v>0</x:v>
      </x:c>
      <x:c r="AM1263" s="2" t="n">
        <x:f>IF(J1263&lt;&gt;"PASS",0,'Motor_Meciuri'!BT95)</x:f>
        <x:v>0</x:v>
      </x:c>
      <x:c r="AN1263" s="2" t="str">
        <x:f>IF(M1263="","",MAX(0,'Motor_Meciuri'!BF95-IF(L1263&gt;'Config_v6'!$B$12,'Config_v6'!$B$37,IF(L1263&gt;'Config_v6'!$B$11,'Config_v6'!$B$36,0))))</x:f>
      </x:c>
    </x:row>
    <x:row r="1264" ht="21" customHeight="1">
      <x:c r="A1264" s="2" t="n">
        <x:v>90</x:v>
      </x:c>
      <x:c r="B1264" s="2" t="str">
        <x:f>IF('Motor_Meciuri'!A95="","",'Motor_Meciuri'!A95)</x:f>
      </x:c>
      <x:c r="C1264" s="2" t="str">
        <x:f>IF(B1264="","",'Motor_Meciuri'!B95)</x:f>
      </x:c>
      <x:c r="D1264" s="2" t="str">
        <x:f>IF(B1264="","",'Motor_Meciuri'!D95)</x:f>
      </x:c>
      <x:c r="E1264" s="2" t="str">
        <x:f>IF(B1264="","",'Motor_Meciuri'!E95)</x:f>
      </x:c>
      <x:c r="F1264" s="2" t="str">
        <x:v>U16,5</x:v>
      </x:c>
      <x:c r="G1264" s="2" t="str">
        <x:v>UNDER</x:v>
      </x:c>
      <x:c r="H1264" s="2" t="n">
        <x:v>16</x:v>
      </x:c>
      <x:c r="I1264" s="2" t="str">
        <x:f>IF(B1264="","",'Motor_Meciuri'!H95)</x:f>
      </x:c>
      <x:c r="J1264" s="2" t="str">
        <x:f>IF(B1264="","",'Motor_Meciuri'!I95)</x:f>
      </x:c>
      <x:c r="K1264" s="11" t="str">
        <x:f>IF(J1264&lt;&gt;"PASS","",'Motor_Meciuri'!BD95)</x:f>
      </x:c>
      <x:c r="L1264" s="11" t="str">
        <x:f>IF(J1264&lt;&gt;"PASS","",'Motor_Meciuri'!AU95)</x:f>
      </x:c>
      <x:c r="M1264" s="10" t="str">
        <x:f>IF(NOT(AND(J1264="PASS",'Calibrare_Linii'!U18="VALID")),"",'Distributie'!AN95)</x:f>
      </x:c>
      <x:c r="N1264" s="10" t="str">
        <x:f>IF(M1264="","",MAX(0.01,MIN(0.99,0.5+(M1264-0.5)*'Motor_Meciuri'!BG95*'Calibrare_Linii'!D18)))</x:f>
      </x:c>
      <x:c r="O1264" s="10" t="str">
        <x:f>IF(M1264="","",1-M1264)</x:f>
      </x:c>
      <x:c r="P1264" s="10" t="str">
        <x:f>IF(OR(NOT(AND(J1264="PASS",'Calibrare_Linii'!U18="VALID")),AK1264=0),""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*('Istoric_Nativ'!$Q$6:$Q$405&gt;H1264))/AK1264)</x:f>
      </x:c>
      <x:c r="Q1264" s="10" t="str">
        <x:f>IF(OR(NOT(AND(J1264="PASS",'Calibrare_Linii'!U18="VALID")),AL1264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M95)+((('Istoric_Nativ'!$E$6:$E$405='Input_Meci'!E95)+('Istoric_Nativ'!$F$6:$F$405='Input_Meci'!E95))&gt;0)*('Istoric_Nativ'!$D$6:$D$405&gt;='Motor_Meciuri'!BN95))&gt;0)*('Istoric_Nativ'!$Q$6:$Q$405&gt;H1264))/AL1264)</x:f>
      </x:c>
      <x:c r="R1264" s="10" t="str">
        <x:f>IF(OR(NOT(AND(J1264="PASS",'Calibrare_Linii'!U18="VALID")),AM1264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O95)+((('Istoric_Nativ'!$E$6:$E$405='Input_Meci'!E95)+('Istoric_Nativ'!$F$6:$F$405='Input_Meci'!E95))&gt;0)*('Istoric_Nativ'!$D$6:$D$405&gt;='Motor_Meciuri'!BP95))&gt;0)*('Istoric_Nativ'!$Q$6:$Q$405&gt;H1264))/AM1264)</x:f>
      </x:c>
      <x:c r="S1264" s="10" t="str">
        <x:f>IF(M1264="","",MAX(O1264,P1264,Q1264,R1264))</x:f>
      </x:c>
      <x:c r="T1264" s="11" t="str">
        <x:f>IF(M1264="","",MIN(100,S1264*100*'Config_v6'!$B$44+MIN(100,L1264/'Config_v6'!$B$13*100)*'Config_v6'!$B$45+(100-'Motor_Meciuri'!BF95)*'Config_v6'!$B$46+'Motor_Meciuri'!BH95*100*'Config_v6'!$B$47))</x:f>
      </x:c>
      <x:c r="U1264" s="2" t="str">
        <x:f>IF(T1264="","",IF(T1264&lt;=20,1,IF(T1264&lt;=40,2,IF(T1264&lt;=60,3,IF(T1264&lt;=80,4,5)))))</x:f>
      </x:c>
      <x:c r="V1264" s="2" t="str">
        <x:f>IF(M1264="","",MAX(0,'Motor_Meciuri'!BF95-IF(W1264="OOS PENDING",'Config_v6'!$B$35,0)-IF(L1264&gt;'Config_v6'!$B$12,'Config_v6'!$B$37,IF(L1264&gt;'Config_v6'!$B$11,'Config_v6'!$B$36,0))))</x:f>
      </x:c>
      <x:c r="W1264" s="2" t="str">
        <x:f>IF(B1264="","",IF(I1264&lt;&gt;"READY","NOT RELEASED",IF(NOT(AND(J1264="PASS",'Calibrare_Linii'!U18="VALID")),"INVALID",IF(NOT(AND('Calibrare_Linii'!S18="VALIDATED",AND('Calibrare_Linii'!H18=C1264,ISNUMBER('Calibrare_Linii'!J18),'Calibrare_Linii'!J18&lt;='Input_Meci'!G95))),"OOS PENDING",IF(S1264&lt;='Calibrare_Linii'!E18,"PASS",IF(S1264&lt;='Calibrare_Linii'!F18,"PENALTY","WATCH"))))))</x:f>
      </x:c>
      <x:c r="X1264" s="2" t="str">
        <x:f>IF(M1264="","",IF(AND(AND(J1264="PASS",'Calibrare_Linii'!U18="VALID"),'Motor_Meciuri'!K95=12,'Motor_Meciuri'!L95=12,'Motor_Meciuri'!M95="NO",'Motor_Meciuri'!BL95='Motor_Meciuri'!C95,AB1264&gt;='Config_v6'!$B$50,AN1264&gt;='Config_v6'!$B$51,T1264&lt;='Config_v6'!$B$52,L1264&lt;='Config_v6'!$B$53,ISNUMBER('Calibrare_Linii'!E18),S1264&lt;='Calibrare_Linii'!E18,SUM(AK1264:AM1264)&gt;0),"CANDIDATE","NO"))</x:f>
      </x:c>
      <x:c r="Y1264" s="2" t="str">
        <x:f>IF(B1264="","",IF(I1264&lt;&gt;"READY","NOT RELEASED",IF(AND(X1264="CANDIDATE",V1264&gt;='Config_v6'!$B$51,W1264="PASS",'Calibrare_Linii'!T18="VALIDATED",AND('Calibrare_Linii'!H18=C1264,ISNUMBER('Calibrare_Linii'!J18),'Calibrare_Linii'!J18&lt;='Input_Meci'!G95)),"PASS",IF(X1264="CANDIDATE","OOS PENDING","FAIL"))))</x:f>
      </x:c>
      <x:c r="Z1264" s="2" t="str">
        <x:f>IF(B1264="","",IF(I1264&lt;&gt;"READY","",IF(OR(NOT(AND(J1264="PASS",'Calibrare_Linii'!U18="VALID")),L1264&gt;'Config_v6'!$B$13,W1264="WATCH"),5,IF(Y1264="PASS",1,MIN(5,MAX('Config_v6'!$B$42,U1264)+IF(W1264="PENALTY",1,0))))))</x:f>
      </x:c>
      <x:c r="AA1264" s="2" t="str">
        <x:f>IF(B1264="","",IF(I1264&lt;&gt;"READY","NOT RELEASED",IF(Z1264=5,"NO BET",IF(OR(AB1264&lt;'Config_v6'!$B$16,V1264&lt;'Config_v6'!$B$18),"WATCH",IF(Z1264=1,"DEFENSIV",IF(Z1264=2,"PRUDENT",IF(Z1264=3,"MODERAT","RIDICAT")))))))</x:f>
      </x:c>
      <x:c r="AB1264" s="10" t="str">
        <x:f>IF(N1264="","",MIN(N1264,1-S1264))</x:f>
      </x:c>
      <x:c r="AC1264" s="2" t="str">
        <x:f>IF(AD1264&lt;&gt;1,"",COUNTIFS($Z$1252:$Z$1265,"&lt;"&amp;Z1264,$AD$1252:$AD$1265,1)+COUNTIFS($Z$1252:$Z$1265,Z1264,$AB$1252:$AB$1265,"&gt;"&amp;AB1264,$AD$1252:$AD$1265,1)+COUNTIFS($Z$1252:$Z$1265,Z1264,$AB$1252:$AB$1265,AB1264,$V$1252:$V$1265,"&gt;"&amp;V1264,$AD$1252:$AD$1265,1)+COUNTIFS($Z$1252:Z1264,Z1264,$AB$1252:AB1264,AB1264,$V$1252:V1264,V1264,$AD$1252:AD1264,1))</x:f>
      </x:c>
      <x:c r="AD1264" s="2" t="n">
        <x:f>IF(OR(AA1264="DEFENSIV",AA1264="PRUDENT",AA1264="MODERAT",AA1264="RIDICAT"),1,0)</x:f>
        <x:v>0</x:v>
      </x:c>
      <x:c r="AE1264" s="2" t="str">
        <x:f>IF(AD1264&lt;&gt;1,"NO",IF(W1264="PASS","YES",IF(W1264="OOS PENDING","CONDITIONAL","NO")))</x:f>
        <x:v>NO</x:v>
      </x:c>
      <x:c r="AF1264" s="2" t="n">
        <x:f>IF(AND(AD1264=1,AC1264=1,E1264="LIVE"),1,0)</x:f>
        <x:v>0</x:v>
      </x:c>
      <x:c r="AG1264" s="2" t="str">
        <x:f>IF(AF1264&lt;&gt;1,"",'Dashboard'!P115)</x:f>
      </x:c>
      <x:c r="AH1264" s="2" t="str">
        <x:f>IF(B1264="","",IF(J1264&lt;&gt;"PASS",'Motor_Meciuri'!J95,IF('Calibrare_Linii'!U18&lt;&gt;"VALID","Parametri linie invalizi",IF(L1264&gt;'Config_v6'!$B$13,"Dispersie peste limita",IF(W1264="WATCH","Failure peste limita",IF(AB1264&lt;'Config_v6'!$B$16,"P finala sub prag",IF(V1264&lt;'Config_v6'!$B$18,"Confidence sub prag",IF(E1264="REPLAY","Exemplu retrospectiv; exclus din Top LIVE",IF(Y1264="PASS","DEFENSIV validat",IF(W1264="OOS PENDING","Eligibil; calibrare linie in monitorizare","Eligibil"))))))))))</x:f>
      </x:c>
      <x:c r="AI1264" s="2" t="str">
        <x:f>IF(B1264="","",'Calibrare_Linii'!V18)</x:f>
      </x:c>
      <x:c r="AJ1264" s="2" t="str">
        <x:f>IF(B1264="","",IF(AND('Calibrare_Linii'!T18="VALIDATED",AND('Calibrare_Linii'!H18=C1264,ISNUMBER('Calibrare_Linii'!J18),'Calibrare_Linii'!J18&lt;='Input_Meci'!G95)),"DEFENSIVE VALIDATED",IF(AND('Calibrare_Linii'!S18="VALIDATED",AND('Calibrare_Linii'!H18=C1264,ISNUMBER('Calibrare_Linii'!J18),'Calibrare_Linii'!J18&lt;='Input_Meci'!G95)),"TAIL VALIDATED","OOS PENDING")))</x:f>
      </x:c>
      <x:c r="AK1264" s="2" t="n">
        <x:f>IF(J1264&lt;&gt;"PASS",0,'Motor_Meciuri'!BR95)</x:f>
        <x:v>0</x:v>
      </x:c>
      <x:c r="AL1264" s="2" t="n">
        <x:f>IF(J1264&lt;&gt;"PASS",0,'Motor_Meciuri'!BS95)</x:f>
        <x:v>0</x:v>
      </x:c>
      <x:c r="AM1264" s="2" t="n">
        <x:f>IF(J1264&lt;&gt;"PASS",0,'Motor_Meciuri'!BT95)</x:f>
        <x:v>0</x:v>
      </x:c>
      <x:c r="AN1264" s="2" t="str">
        <x:f>IF(M1264="","",MAX(0,'Motor_Meciuri'!BF95-IF(L1264&gt;'Config_v6'!$B$12,'Config_v6'!$B$37,IF(L1264&gt;'Config_v6'!$B$11,'Config_v6'!$B$36,0))))</x:f>
      </x:c>
    </x:row>
    <x:row r="1265" ht="21" customHeight="1">
      <x:c r="A1265" s="2" t="n">
        <x:v>90</x:v>
      </x:c>
      <x:c r="B1265" s="2" t="str">
        <x:f>IF('Motor_Meciuri'!A95="","",'Motor_Meciuri'!A95)</x:f>
      </x:c>
      <x:c r="C1265" s="2" t="str">
        <x:f>IF(B1265="","",'Motor_Meciuri'!B95)</x:f>
      </x:c>
      <x:c r="D1265" s="2" t="str">
        <x:f>IF(B1265="","",'Motor_Meciuri'!D95)</x:f>
      </x:c>
      <x:c r="E1265" s="2" t="str">
        <x:f>IF(B1265="","",'Motor_Meciuri'!E95)</x:f>
      </x:c>
      <x:c r="F1265" s="2" t="str">
        <x:v>U17,5</x:v>
      </x:c>
      <x:c r="G1265" s="2" t="str">
        <x:v>UNDER</x:v>
      </x:c>
      <x:c r="H1265" s="2" t="n">
        <x:v>17</x:v>
      </x:c>
      <x:c r="I1265" s="2" t="str">
        <x:f>IF(B1265="","",'Motor_Meciuri'!H95)</x:f>
      </x:c>
      <x:c r="J1265" s="2" t="str">
        <x:f>IF(B1265="","",'Motor_Meciuri'!I95)</x:f>
      </x:c>
      <x:c r="K1265" s="11" t="str">
        <x:f>IF(J1265&lt;&gt;"PASS","",'Motor_Meciuri'!BD95)</x:f>
      </x:c>
      <x:c r="L1265" s="11" t="str">
        <x:f>IF(J1265&lt;&gt;"PASS","",'Motor_Meciuri'!AU95)</x:f>
      </x:c>
      <x:c r="M1265" s="10" t="str">
        <x:f>IF(NOT(AND(J1265="PASS",'Calibrare_Linii'!U19="VALID")),"",'Distributie'!AO95)</x:f>
      </x:c>
      <x:c r="N1265" s="10" t="str">
        <x:f>IF(M1265="","",MAX(0.01,MIN(0.99,0.5+(M1265-0.5)*'Motor_Meciuri'!BG95*'Calibrare_Linii'!D19)))</x:f>
      </x:c>
      <x:c r="O1265" s="10" t="str">
        <x:f>IF(M1265="","",1-M1265)</x:f>
      </x:c>
      <x:c r="P1265" s="10" t="str">
        <x:f>IF(OR(NOT(AND(J1265="PASS",'Calibrare_Linii'!U19="VALID")),AK1265=0),""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*('Istoric_Nativ'!$Q$6:$Q$405&gt;H1265))/AK1265)</x:f>
      </x:c>
      <x:c r="Q1265" s="10" t="str">
        <x:f>IF(OR(NOT(AND(J1265="PASS",'Calibrare_Linii'!U19="VALID")),AL1265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M95)+((('Istoric_Nativ'!$E$6:$E$405='Input_Meci'!E95)+('Istoric_Nativ'!$F$6:$F$405='Input_Meci'!E95))&gt;0)*('Istoric_Nativ'!$D$6:$D$405&gt;='Motor_Meciuri'!BN95))&gt;0)*('Istoric_Nativ'!$Q$6:$Q$405&gt;H1265))/AL1265)</x:f>
      </x:c>
      <x:c r="R1265" s="10" t="str">
        <x:f>IF(OR(NOT(AND(J1265="PASS",'Calibrare_Linii'!U19="VALID")),AM1265=0),""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'Motor_Meciuri'!BO95)+((('Istoric_Nativ'!$E$6:$E$405='Input_Meci'!E95)+('Istoric_Nativ'!$F$6:$F$405='Input_Meci'!E95))&gt;0)*('Istoric_Nativ'!$D$6:$D$405&gt;='Motor_Meciuri'!BP95))&gt;0)*('Istoric_Nativ'!$Q$6:$Q$405&gt;H1265))/AM1265)</x:f>
      </x:c>
      <x:c r="S1265" s="10" t="str">
        <x:f>IF(M1265="","",MAX(O1265,P1265,Q1265,R1265))</x:f>
      </x:c>
      <x:c r="T1265" s="11" t="str">
        <x:f>IF(M1265="","",MIN(100,S1265*100*'Config_v6'!$B$44+MIN(100,L1265/'Config_v6'!$B$13*100)*'Config_v6'!$B$45+(100-'Motor_Meciuri'!BF95)*'Config_v6'!$B$46+'Motor_Meciuri'!BH95*100*'Config_v6'!$B$47))</x:f>
      </x:c>
      <x:c r="U1265" s="2" t="str">
        <x:f>IF(T1265="","",IF(T1265&lt;=20,1,IF(T1265&lt;=40,2,IF(T1265&lt;=60,3,IF(T1265&lt;=80,4,5)))))</x:f>
      </x:c>
      <x:c r="V1265" s="2" t="str">
        <x:f>IF(M1265="","",MAX(0,'Motor_Meciuri'!BF95-IF(W1265="OOS PENDING",'Config_v6'!$B$35,0)-IF(L1265&gt;'Config_v6'!$B$12,'Config_v6'!$B$37,IF(L1265&gt;'Config_v6'!$B$11,'Config_v6'!$B$36,0))))</x:f>
      </x:c>
      <x:c r="W1265" s="2" t="str">
        <x:f>IF(B1265="","",IF(I1265&lt;&gt;"READY","NOT RELEASED",IF(NOT(AND(J1265="PASS",'Calibrare_Linii'!U19="VALID")),"INVALID",IF(NOT(AND('Calibrare_Linii'!S19="VALIDATED",AND('Calibrare_Linii'!H19=C1265,ISNUMBER('Calibrare_Linii'!J19),'Calibrare_Linii'!J19&lt;='Input_Meci'!G95))),"OOS PENDING",IF(S1265&lt;='Calibrare_Linii'!E19,"PASS",IF(S1265&lt;='Calibrare_Linii'!F19,"PENALTY","WATCH"))))))</x:f>
      </x:c>
      <x:c r="X1265" s="2" t="str">
        <x:f>IF(M1265="","",IF(AND(AND(J1265="PASS",'Calibrare_Linii'!U19="VALID"),'Motor_Meciuri'!K95=12,'Motor_Meciuri'!L95=12,'Motor_Meciuri'!M95="NO",'Motor_Meciuri'!BL95='Motor_Meciuri'!C95,AB1265&gt;='Config_v6'!$B$50,AN1265&gt;='Config_v6'!$B$51,T1265&lt;='Config_v6'!$B$52,L1265&lt;='Config_v6'!$B$53,ISNUMBER('Calibrare_Linii'!E19),S1265&lt;='Calibrare_Linii'!E19,SUM(AK1265:AM1265)&gt;0),"CANDIDATE","NO"))</x:f>
      </x:c>
      <x:c r="Y1265" s="2" t="str">
        <x:f>IF(B1265="","",IF(I1265&lt;&gt;"READY","NOT RELEASED",IF(AND(X1265="CANDIDATE",V1265&gt;='Config_v6'!$B$51,W1265="PASS",'Calibrare_Linii'!T19="VALIDATED",AND('Calibrare_Linii'!H19=C1265,ISNUMBER('Calibrare_Linii'!J19),'Calibrare_Linii'!J19&lt;='Input_Meci'!G95)),"PASS",IF(X1265="CANDIDATE","OOS PENDING","FAIL"))))</x:f>
      </x:c>
      <x:c r="Z1265" s="2" t="str">
        <x:f>IF(B1265="","",IF(I1265&lt;&gt;"READY","",IF(OR(NOT(AND(J1265="PASS",'Calibrare_Linii'!U19="VALID")),L1265&gt;'Config_v6'!$B$13,W1265="WATCH"),5,IF(Y1265="PASS",1,MIN(5,MAX('Config_v6'!$B$42,U1265)+IF(W1265="PENALTY",1,0))))))</x:f>
      </x:c>
      <x:c r="AA1265" s="2" t="str">
        <x:f>IF(B1265="","",IF(I1265&lt;&gt;"READY","NOT RELEASED",IF(Z1265=5,"NO BET",IF(OR(AB1265&lt;'Config_v6'!$B$16,V1265&lt;'Config_v6'!$B$18),"WATCH",IF(Z1265=1,"DEFENSIV",IF(Z1265=2,"PRUDENT",IF(Z1265=3,"MODERAT","RIDICAT")))))))</x:f>
      </x:c>
      <x:c r="AB1265" s="10" t="str">
        <x:f>IF(N1265="","",MIN(N1265,1-S1265))</x:f>
      </x:c>
      <x:c r="AC1265" s="2" t="str">
        <x:f>IF(AD1265&lt;&gt;1,"",COUNTIFS($Z$1252:$Z$1265,"&lt;"&amp;Z1265,$AD$1252:$AD$1265,1)+COUNTIFS($Z$1252:$Z$1265,Z1265,$AB$1252:$AB$1265,"&gt;"&amp;AB1265,$AD$1252:$AD$1265,1)+COUNTIFS($Z$1252:$Z$1265,Z1265,$AB$1252:$AB$1265,AB1265,$V$1252:$V$1265,"&gt;"&amp;V1265,$AD$1252:$AD$1265,1)+COUNTIFS($Z$1252:Z1265,Z1265,$AB$1252:AB1265,AB1265,$V$1252:V1265,V1265,$AD$1252:AD1265,1))</x:f>
      </x:c>
      <x:c r="AD1265" s="2" t="n">
        <x:f>IF(OR(AA1265="DEFENSIV",AA1265="PRUDENT",AA1265="MODERAT",AA1265="RIDICAT"),1,0)</x:f>
        <x:v>0</x:v>
      </x:c>
      <x:c r="AE1265" s="2" t="str">
        <x:f>IF(AD1265&lt;&gt;1,"NO",IF(W1265="PASS","YES",IF(W1265="OOS PENDING","CONDITIONAL","NO")))</x:f>
        <x:v>NO</x:v>
      </x:c>
      <x:c r="AF1265" s="2" t="n">
        <x:f>IF(AND(AD1265=1,AC1265=1,E1265="LIVE"),1,0)</x:f>
        <x:v>0</x:v>
      </x:c>
      <x:c r="AG1265" s="2" t="str">
        <x:f>IF(AF1265&lt;&gt;1,"",'Dashboard'!P115)</x:f>
      </x:c>
      <x:c r="AH1265" s="2" t="str">
        <x:f>IF(B1265="","",IF(J1265&lt;&gt;"PASS",'Motor_Meciuri'!J95,IF('Calibrare_Linii'!U19&lt;&gt;"VALID","Parametri linie invalizi",IF(L1265&gt;'Config_v6'!$B$13,"Dispersie peste limita",IF(W1265="WATCH","Failure peste limita",IF(AB1265&lt;'Config_v6'!$B$16,"P finala sub prag",IF(V1265&lt;'Config_v6'!$B$18,"Confidence sub prag",IF(E1265="REPLAY","Exemplu retrospectiv; exclus din Top LIVE",IF(Y1265="PASS","DEFENSIV validat",IF(W1265="OOS PENDING","Eligibil; calibrare linie in monitorizare","Eligibil"))))))))))</x:f>
      </x:c>
      <x:c r="AI1265" s="2" t="str">
        <x:f>IF(B1265="","",'Calibrare_Linii'!V19)</x:f>
      </x:c>
      <x:c r="AJ1265" s="2" t="str">
        <x:f>IF(B1265="","",IF(AND('Calibrare_Linii'!T19="VALIDATED",AND('Calibrare_Linii'!H19=C1265,ISNUMBER('Calibrare_Linii'!J19),'Calibrare_Linii'!J19&lt;='Input_Meci'!G95)),"DEFENSIVE VALIDATED",IF(AND('Calibrare_Linii'!S19="VALIDATED",AND('Calibrare_Linii'!H19=C1265,ISNUMBER('Calibrare_Linii'!J19),'Calibrare_Linii'!J19&lt;='Input_Meci'!G95)),"TAIL VALIDATED","OOS PENDING")))</x:f>
      </x:c>
      <x:c r="AK1265" s="2" t="n">
        <x:f>IF(J1265&lt;&gt;"PASS",0,'Motor_Meciuri'!BR95)</x:f>
        <x:v>0</x:v>
      </x:c>
      <x:c r="AL1265" s="2" t="n">
        <x:f>IF(J1265&lt;&gt;"PASS",0,'Motor_Meciuri'!BS95)</x:f>
        <x:v>0</x:v>
      </x:c>
      <x:c r="AM1265" s="2" t="n">
        <x:f>IF(J1265&lt;&gt;"PASS",0,'Motor_Meciuri'!BT95)</x:f>
        <x:v>0</x:v>
      </x:c>
      <x:c r="AN1265" s="2" t="str">
        <x:f>IF(M1265="","",MAX(0,'Motor_Meciuri'!BF95-IF(L1265&gt;'Config_v6'!$B$12,'Config_v6'!$B$37,IF(L1265&gt;'Config_v6'!$B$11,'Config_v6'!$B$36,0))))</x:f>
      </x:c>
    </x:row>
    <x:row r="1266" ht="21" customHeight="1">
      <x:c r="A1266" s="2" t="n">
        <x:v>91</x:v>
      </x:c>
      <x:c r="B1266" s="2" t="str">
        <x:f>IF('Motor_Meciuri'!A96="","",'Motor_Meciuri'!A96)</x:f>
      </x:c>
      <x:c r="C1266" s="2" t="str">
        <x:f>IF(B1266="","",'Motor_Meciuri'!B96)</x:f>
      </x:c>
      <x:c r="D1266" s="2" t="str">
        <x:f>IF(B1266="","",'Motor_Meciuri'!D96)</x:f>
      </x:c>
      <x:c r="E1266" s="2" t="str">
        <x:f>IF(B1266="","",'Motor_Meciuri'!E96)</x:f>
      </x:c>
      <x:c r="F1266" s="2" t="str">
        <x:v>O3,5</x:v>
      </x:c>
      <x:c r="G1266" s="2" t="str">
        <x:v>OVER</x:v>
      </x:c>
      <x:c r="H1266" s="2" t="n">
        <x:v>3</x:v>
      </x:c>
      <x:c r="I1266" s="2" t="str">
        <x:f>IF(B1266="","",'Motor_Meciuri'!H96)</x:f>
      </x:c>
      <x:c r="J1266" s="2" t="str">
        <x:f>IF(B1266="","",'Motor_Meciuri'!I96)</x:f>
      </x:c>
      <x:c r="K1266" s="11" t="str">
        <x:f>IF(J1266&lt;&gt;"PASS","",'Motor_Meciuri'!BD96)</x:f>
      </x:c>
      <x:c r="L1266" s="11" t="str">
        <x:f>IF(J1266&lt;&gt;"PASS","",'Motor_Meciuri'!AU96)</x:f>
      </x:c>
      <x:c r="M1266" s="10" t="str">
        <x:f>IF(NOT(AND(J1266="PASS",'Calibrare_Linii'!U6="VALID")),"",1-'Distributie'!AA96)</x:f>
      </x:c>
      <x:c r="N1266" s="10" t="str">
        <x:f>IF(M1266="","",MAX(0.01,MIN(0.99,0.5+(M1266-0.5)*'Motor_Meciuri'!BG96*'Calibrare_Linii'!D6)))</x:f>
      </x:c>
      <x:c r="O1266" s="10" t="str">
        <x:f>IF(M1266="","",1-M1266)</x:f>
      </x:c>
      <x:c r="P1266" s="10" t="str">
        <x:f>IF(OR(NOT(AND(J1266="PASS",'Calibrare_Linii'!U6="VALID")),AK1266=0),""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*('Istoric_Nativ'!$Q$6:$Q$405&lt;=H1266))/AK1266)</x:f>
      </x:c>
      <x:c r="Q1266" s="10" t="str">
        <x:f>IF(OR(NOT(AND(J1266="PASS",'Calibrare_Linii'!U6="VALID")),AL1266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M96)+((('Istoric_Nativ'!$E$6:$E$405='Input_Meci'!E96)+('Istoric_Nativ'!$F$6:$F$405='Input_Meci'!E96))&gt;0)*('Istoric_Nativ'!$D$6:$D$405&gt;='Motor_Meciuri'!BN96))&gt;0)*('Istoric_Nativ'!$Q$6:$Q$405&lt;=H1266))/AL1266)</x:f>
      </x:c>
      <x:c r="R1266" s="10" t="str">
        <x:f>IF(OR(NOT(AND(J1266="PASS",'Calibrare_Linii'!U6="VALID")),AM1266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O96)+((('Istoric_Nativ'!$E$6:$E$405='Input_Meci'!E96)+('Istoric_Nativ'!$F$6:$F$405='Input_Meci'!E96))&gt;0)*('Istoric_Nativ'!$D$6:$D$405&gt;='Motor_Meciuri'!BP96))&gt;0)*('Istoric_Nativ'!$Q$6:$Q$405&lt;=H1266))/AM1266)</x:f>
      </x:c>
      <x:c r="S1266" s="10" t="str">
        <x:f>IF(M1266="","",MAX(O1266,P1266,Q1266,R1266))</x:f>
      </x:c>
      <x:c r="T1266" s="11" t="str">
        <x:f>IF(M1266="","",MIN(100,S1266*100*'Config_v6'!$B$44+MIN(100,L1266/'Config_v6'!$B$13*100)*'Config_v6'!$B$45+(100-'Motor_Meciuri'!BF96)*'Config_v6'!$B$46+'Motor_Meciuri'!BH96*100*'Config_v6'!$B$47))</x:f>
      </x:c>
      <x:c r="U1266" s="2" t="str">
        <x:f>IF(T1266="","",IF(T1266&lt;=20,1,IF(T1266&lt;=40,2,IF(T1266&lt;=60,3,IF(T1266&lt;=80,4,5)))))</x:f>
      </x:c>
      <x:c r="V1266" s="2" t="str">
        <x:f>IF(M1266="","",MAX(0,'Motor_Meciuri'!BF96-IF(W1266="OOS PENDING",'Config_v6'!$B$35,0)-IF(L1266&gt;'Config_v6'!$B$12,'Config_v6'!$B$37,IF(L1266&gt;'Config_v6'!$B$11,'Config_v6'!$B$36,0))))</x:f>
      </x:c>
      <x:c r="W1266" s="2" t="str">
        <x:f>IF(B1266="","",IF(I1266&lt;&gt;"READY","NOT RELEASED",IF(NOT(AND(J1266="PASS",'Calibrare_Linii'!U6="VALID")),"INVALID",IF(NOT(TRUE),"OOS PENDING",IF(S1266&lt;=IF(AND('Calibrare_Linii'!S6="VALIDATED",AND('Calibrare_Linii'!H6=C1266,ISNUMBER('Calibrare_Linii'!J6),'Calibrare_Linii'!J6&lt;='Input_Meci'!G96)),'Calibrare_Linii'!E6,'Config_v6'!$B$26),"PASS",IF(S1266&lt;=IF(AND('Calibrare_Linii'!S6="VALIDATED",AND('Calibrare_Linii'!H6=C1266,ISNUMBER('Calibrare_Linii'!J6),'Calibrare_Linii'!J6&lt;='Input_Meci'!G96)),'Calibrare_Linii'!F6,'Config_v6'!$C$26),"PENALTY","WATCH"))))))</x:f>
      </x:c>
      <x:c r="X1266" s="2" t="str">
        <x:f>IF(M1266="","",IF(AND(AND(J1266="PASS",'Calibrare_Linii'!U6="VALID"),'Motor_Meciuri'!K96=12,'Motor_Meciuri'!L96=12,'Motor_Meciuri'!M96="NO",'Motor_Meciuri'!BL96='Motor_Meciuri'!C96,AB1266&gt;='Config_v6'!$B$50,AN1266&gt;='Config_v6'!$B$51,T1266&lt;='Config_v6'!$B$52,L1266&lt;='Config_v6'!$B$53,ISNUMBER('Calibrare_Linii'!E6),S1266&lt;='Calibrare_Linii'!E6,SUM(AK1266:AM1266)&gt;0),"CANDIDATE","NO"))</x:f>
      </x:c>
      <x:c r="Y1266" s="2" t="str">
        <x:f>IF(B1266="","",IF(I1266&lt;&gt;"READY","NOT RELEASED",IF(AND(X1266="CANDIDATE",V1266&gt;='Config_v6'!$B$51,W1266="PASS",'Calibrare_Linii'!T6="VALIDATED",AND('Calibrare_Linii'!H6=C1266,ISNUMBER('Calibrare_Linii'!J6),'Calibrare_Linii'!J6&lt;='Input_Meci'!G96)),"PASS",IF(X1266="CANDIDATE","OOS PENDING","FAIL"))))</x:f>
      </x:c>
      <x:c r="Z1266" s="2" t="str">
        <x:f>IF(B1266="","",IF(I1266&lt;&gt;"READY","",IF(OR(NOT(AND(J1266="PASS",'Calibrare_Linii'!U6="VALID")),L1266&gt;'Config_v6'!$B$13,W1266="WATCH"),5,IF(Y1266="PASS",1,MIN(5,MAX('Config_v6'!$B$42,U1266)+IF(W1266="PENALTY",1,0))))))</x:f>
      </x:c>
      <x:c r="AA1266" s="2" t="str">
        <x:f>IF(B1266="","",IF(I1266&lt;&gt;"READY","NOT RELEASED",IF(Z1266=5,"NO BET",IF(OR(AB1266&lt;'Config_v6'!$B$16,V1266&lt;'Config_v6'!$B$18),"WATCH",IF(Z1266=1,"DEFENSIV",IF(Z1266=2,"PRUDENT",IF(Z1266=3,"MODERAT","RIDICAT")))))))</x:f>
      </x:c>
      <x:c r="AB1266" s="10" t="str">
        <x:f>IF(N1266="","",MIN(N1266,1-S1266))</x:f>
      </x:c>
      <x:c r="AC1266" s="2" t="str">
        <x:f>IF(AD1266&lt;&gt;1,"",COUNTIFS($Z$1266:$Z$1279,"&lt;"&amp;Z1266,$AD$1266:$AD$1279,1)+COUNTIFS($Z$1266:$Z$1279,Z1266,$AB$1266:$AB$1279,"&gt;"&amp;AB1266,$AD$1266:$AD$1279,1)+COUNTIFS($Z$1266:$Z$1279,Z1266,$AB$1266:$AB$1279,AB1266,$V$1266:$V$1279,"&gt;"&amp;V1266,$AD$1266:$AD$1279,1)+COUNTIFS($Z$1266:Z1266,Z1266,$AB$1266:AB1266,AB1266,$V$1266:V1266,V1266,$AD$1266:AD1266,1))</x:f>
      </x:c>
      <x:c r="AD1266" s="2" t="n">
        <x:f>IF(OR(AA1266="DEFENSIV",AA1266="PRUDENT",AA1266="MODERAT",AA1266="RIDICAT"),1,0)</x:f>
        <x:v>0</x:v>
      </x:c>
      <x:c r="AE1266" s="2" t="str">
        <x:f>IF(AD1266&lt;&gt;1,"NO",IF(W1266="PASS","YES",IF(W1266="OOS PENDING","CONDITIONAL","NO")))</x:f>
        <x:v>NO</x:v>
      </x:c>
      <x:c r="AF1266" s="2" t="n">
        <x:f>IF(AND(AD1266=1,AC1266=1,E1266="LIVE"),1,0)</x:f>
        <x:v>0</x:v>
      </x:c>
      <x:c r="AG1266" s="2" t="str">
        <x:f>IF(AF1266&lt;&gt;1,"",'Dashboard'!P116)</x:f>
      </x:c>
      <x:c r="AH1266" s="2" t="str">
        <x:f>IF(B1266="","",IF(J1266&lt;&gt;"PASS",'Motor_Meciuri'!J96,IF('Calibrare_Linii'!U6&lt;&gt;"VALID","Parametri linie invalizi",IF(L1266&gt;'Config_v6'!$B$13,"Dispersie peste limita",IF(W1266="WATCH","Failure peste limita",IF(AB1266&lt;'Config_v6'!$B$16,"P finala sub prag",IF(V1266&lt;'Config_v6'!$B$18,"Confidence sub prag",IF(E1266="REPLAY","Exemplu retrospectiv; exclus din Top LIVE",IF(Y1266="PASS","DEFENSIV validat",IF(W1266="OOS PENDING","Eligibil; calibrare linie in monitorizare","Eligibil"))))))))))</x:f>
      </x:c>
      <x:c r="AI1266" s="2" t="str">
        <x:f>IF(B1266="","",'Calibrare_Linii'!V6)</x:f>
      </x:c>
      <x:c r="AJ1266" s="2" t="str">
        <x:f>IF(B1266="","",IF(AND('Calibrare_Linii'!T6="VALIDATED",AND('Calibrare_Linii'!H6=C1266,ISNUMBER('Calibrare_Linii'!J6),'Calibrare_Linii'!J6&lt;='Input_Meci'!G96)),"DEFENSIVE VALIDATED",IF(AND('Calibrare_Linii'!S6="VALIDATED",AND('Calibrare_Linii'!H6=C1266,ISNUMBER('Calibrare_Linii'!J6),'Calibrare_Linii'!J6&lt;='Input_Meci'!G96)),"TAIL VALIDATED","OOS PENDING")))</x:f>
      </x:c>
      <x:c r="AK1266" s="2" t="n">
        <x:f>IF(J1266&lt;&gt;"PASS",0,'Motor_Meciuri'!BR96)</x:f>
        <x:v>0</x:v>
      </x:c>
      <x:c r="AL1266" s="2" t="n">
        <x:f>IF(J1266&lt;&gt;"PASS",0,'Motor_Meciuri'!BS96)</x:f>
        <x:v>0</x:v>
      </x:c>
      <x:c r="AM1266" s="2" t="n">
        <x:f>IF(J1266&lt;&gt;"PASS",0,'Motor_Meciuri'!BT96)</x:f>
        <x:v>0</x:v>
      </x:c>
      <x:c r="AN1266" s="2" t="str">
        <x:f>IF(M1266="","",MAX(0,'Motor_Meciuri'!BF96-IF(L1266&gt;'Config_v6'!$B$12,'Config_v6'!$B$37,IF(L1266&gt;'Config_v6'!$B$11,'Config_v6'!$B$36,0))))</x:f>
      </x:c>
    </x:row>
    <x:row r="1267" ht="21" customHeight="1">
      <x:c r="A1267" s="2" t="n">
        <x:v>91</x:v>
      </x:c>
      <x:c r="B1267" s="2" t="str">
        <x:f>IF('Motor_Meciuri'!A96="","",'Motor_Meciuri'!A96)</x:f>
      </x:c>
      <x:c r="C1267" s="2" t="str">
        <x:f>IF(B1267="","",'Motor_Meciuri'!B96)</x:f>
      </x:c>
      <x:c r="D1267" s="2" t="str">
        <x:f>IF(B1267="","",'Motor_Meciuri'!D96)</x:f>
      </x:c>
      <x:c r="E1267" s="2" t="str">
        <x:f>IF(B1267="","",'Motor_Meciuri'!E96)</x:f>
      </x:c>
      <x:c r="F1267" s="2" t="str">
        <x:v>O4,5</x:v>
      </x:c>
      <x:c r="G1267" s="2" t="str">
        <x:v>OVER</x:v>
      </x:c>
      <x:c r="H1267" s="2" t="n">
        <x:v>4</x:v>
      </x:c>
      <x:c r="I1267" s="2" t="str">
        <x:f>IF(B1267="","",'Motor_Meciuri'!H96)</x:f>
      </x:c>
      <x:c r="J1267" s="2" t="str">
        <x:f>IF(B1267="","",'Motor_Meciuri'!I96)</x:f>
      </x:c>
      <x:c r="K1267" s="11" t="str">
        <x:f>IF(J1267&lt;&gt;"PASS","",'Motor_Meciuri'!BD96)</x:f>
      </x:c>
      <x:c r="L1267" s="11" t="str">
        <x:f>IF(J1267&lt;&gt;"PASS","",'Motor_Meciuri'!AU96)</x:f>
      </x:c>
      <x:c r="M1267" s="10" t="str">
        <x:f>IF(NOT(AND(J1267="PASS",'Calibrare_Linii'!U7="VALID")),"",1-'Distributie'!AB96)</x:f>
      </x:c>
      <x:c r="N1267" s="10" t="str">
        <x:f>IF(M1267="","",MAX(0.01,MIN(0.99,0.5+(M1267-0.5)*'Motor_Meciuri'!BG96*'Calibrare_Linii'!D7)))</x:f>
      </x:c>
      <x:c r="O1267" s="10" t="str">
        <x:f>IF(M1267="","",1-M1267)</x:f>
      </x:c>
      <x:c r="P1267" s="10" t="str">
        <x:f>IF(OR(NOT(AND(J1267="PASS",'Calibrare_Linii'!U7="VALID")),AK1267=0),""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*('Istoric_Nativ'!$Q$6:$Q$405&lt;=H1267))/AK1267)</x:f>
      </x:c>
      <x:c r="Q1267" s="10" t="str">
        <x:f>IF(OR(NOT(AND(J1267="PASS",'Calibrare_Linii'!U7="VALID")),AL1267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M96)+((('Istoric_Nativ'!$E$6:$E$405='Input_Meci'!E96)+('Istoric_Nativ'!$F$6:$F$405='Input_Meci'!E96))&gt;0)*('Istoric_Nativ'!$D$6:$D$405&gt;='Motor_Meciuri'!BN96))&gt;0)*('Istoric_Nativ'!$Q$6:$Q$405&lt;=H1267))/AL1267)</x:f>
      </x:c>
      <x:c r="R1267" s="10" t="str">
        <x:f>IF(OR(NOT(AND(J1267="PASS",'Calibrare_Linii'!U7="VALID")),AM1267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O96)+((('Istoric_Nativ'!$E$6:$E$405='Input_Meci'!E96)+('Istoric_Nativ'!$F$6:$F$405='Input_Meci'!E96))&gt;0)*('Istoric_Nativ'!$D$6:$D$405&gt;='Motor_Meciuri'!BP96))&gt;0)*('Istoric_Nativ'!$Q$6:$Q$405&lt;=H1267))/AM1267)</x:f>
      </x:c>
      <x:c r="S1267" s="10" t="str">
        <x:f>IF(M1267="","",MAX(O1267,P1267,Q1267,R1267))</x:f>
      </x:c>
      <x:c r="T1267" s="11" t="str">
        <x:f>IF(M1267="","",MIN(100,S1267*100*'Config_v6'!$B$44+MIN(100,L1267/'Config_v6'!$B$13*100)*'Config_v6'!$B$45+(100-'Motor_Meciuri'!BF96)*'Config_v6'!$B$46+'Motor_Meciuri'!BH96*100*'Config_v6'!$B$47))</x:f>
      </x:c>
      <x:c r="U1267" s="2" t="str">
        <x:f>IF(T1267="","",IF(T1267&lt;=20,1,IF(T1267&lt;=40,2,IF(T1267&lt;=60,3,IF(T1267&lt;=80,4,5)))))</x:f>
      </x:c>
      <x:c r="V1267" s="2" t="str">
        <x:f>IF(M1267="","",MAX(0,'Motor_Meciuri'!BF96-IF(W1267="OOS PENDING",'Config_v6'!$B$35,0)-IF(L1267&gt;'Config_v6'!$B$12,'Config_v6'!$B$37,IF(L1267&gt;'Config_v6'!$B$11,'Config_v6'!$B$36,0))))</x:f>
      </x:c>
      <x:c r="W1267" s="2" t="str">
        <x:f>IF(B1267="","",IF(I1267&lt;&gt;"READY","NOT RELEASED",IF(NOT(AND(J1267="PASS",'Calibrare_Linii'!U7="VALID")),"INVALID",IF(NOT(AND('Calibrare_Linii'!S7="VALIDATED",AND('Calibrare_Linii'!H7=C1267,ISNUMBER('Calibrare_Linii'!J7),'Calibrare_Linii'!J7&lt;='Input_Meci'!G96))),"OOS PENDING",IF(S1267&lt;='Calibrare_Linii'!E7,"PASS",IF(S1267&lt;='Calibrare_Linii'!F7,"PENALTY","WATCH"))))))</x:f>
      </x:c>
      <x:c r="X1267" s="2" t="str">
        <x:f>IF(M1267="","",IF(AND(AND(J1267="PASS",'Calibrare_Linii'!U7="VALID"),'Motor_Meciuri'!K96=12,'Motor_Meciuri'!L96=12,'Motor_Meciuri'!M96="NO",'Motor_Meciuri'!BL96='Motor_Meciuri'!C96,AB1267&gt;='Config_v6'!$B$50,AN1267&gt;='Config_v6'!$B$51,T1267&lt;='Config_v6'!$B$52,L1267&lt;='Config_v6'!$B$53,ISNUMBER('Calibrare_Linii'!E7),S1267&lt;='Calibrare_Linii'!E7,SUM(AK1267:AM1267)&gt;0),"CANDIDATE","NO"))</x:f>
      </x:c>
      <x:c r="Y1267" s="2" t="str">
        <x:f>IF(B1267="","",IF(I1267&lt;&gt;"READY","NOT RELEASED",IF(AND(X1267="CANDIDATE",V1267&gt;='Config_v6'!$B$51,W1267="PASS",'Calibrare_Linii'!T7="VALIDATED",AND('Calibrare_Linii'!H7=C1267,ISNUMBER('Calibrare_Linii'!J7),'Calibrare_Linii'!J7&lt;='Input_Meci'!G96)),"PASS",IF(X1267="CANDIDATE","OOS PENDING","FAIL"))))</x:f>
      </x:c>
      <x:c r="Z1267" s="2" t="str">
        <x:f>IF(B1267="","",IF(I1267&lt;&gt;"READY","",IF(OR(NOT(AND(J1267="PASS",'Calibrare_Linii'!U7="VALID")),L1267&gt;'Config_v6'!$B$13,W1267="WATCH"),5,IF(Y1267="PASS",1,MIN(5,MAX('Config_v6'!$B$42,U1267)+IF(W1267="PENALTY",1,0))))))</x:f>
      </x:c>
      <x:c r="AA1267" s="2" t="str">
        <x:f>IF(B1267="","",IF(I1267&lt;&gt;"READY","NOT RELEASED",IF(Z1267=5,"NO BET",IF(OR(AB1267&lt;'Config_v6'!$B$16,V1267&lt;'Config_v6'!$B$18),"WATCH",IF(Z1267=1,"DEFENSIV",IF(Z1267=2,"PRUDENT",IF(Z1267=3,"MODERAT","RIDICAT")))))))</x:f>
      </x:c>
      <x:c r="AB1267" s="10" t="str">
        <x:f>IF(N1267="","",MIN(N1267,1-S1267))</x:f>
      </x:c>
      <x:c r="AC1267" s="2" t="str">
        <x:f>IF(AD1267&lt;&gt;1,"",COUNTIFS($Z$1266:$Z$1279,"&lt;"&amp;Z1267,$AD$1266:$AD$1279,1)+COUNTIFS($Z$1266:$Z$1279,Z1267,$AB$1266:$AB$1279,"&gt;"&amp;AB1267,$AD$1266:$AD$1279,1)+COUNTIFS($Z$1266:$Z$1279,Z1267,$AB$1266:$AB$1279,AB1267,$V$1266:$V$1279,"&gt;"&amp;V1267,$AD$1266:$AD$1279,1)+COUNTIFS($Z$1266:Z1267,Z1267,$AB$1266:AB1267,AB1267,$V$1266:V1267,V1267,$AD$1266:AD1267,1))</x:f>
      </x:c>
      <x:c r="AD1267" s="2" t="n">
        <x:f>IF(OR(AA1267="DEFENSIV",AA1267="PRUDENT",AA1267="MODERAT",AA1267="RIDICAT"),1,0)</x:f>
        <x:v>0</x:v>
      </x:c>
      <x:c r="AE1267" s="2" t="str">
        <x:f>IF(AD1267&lt;&gt;1,"NO",IF(W1267="PASS","YES",IF(W1267="OOS PENDING","CONDITIONAL","NO")))</x:f>
        <x:v>NO</x:v>
      </x:c>
      <x:c r="AF1267" s="2" t="n">
        <x:f>IF(AND(AD1267=1,AC1267=1,E1267="LIVE"),1,0)</x:f>
        <x:v>0</x:v>
      </x:c>
      <x:c r="AG1267" s="2" t="str">
        <x:f>IF(AF1267&lt;&gt;1,"",'Dashboard'!P116)</x:f>
      </x:c>
      <x:c r="AH1267" s="2" t="str">
        <x:f>IF(B1267="","",IF(J1267&lt;&gt;"PASS",'Motor_Meciuri'!J96,IF('Calibrare_Linii'!U7&lt;&gt;"VALID","Parametri linie invalizi",IF(L1267&gt;'Config_v6'!$B$13,"Dispersie peste limita",IF(W1267="WATCH","Failure peste limita",IF(AB1267&lt;'Config_v6'!$B$16,"P finala sub prag",IF(V1267&lt;'Config_v6'!$B$18,"Confidence sub prag",IF(E1267="REPLAY","Exemplu retrospectiv; exclus din Top LIVE",IF(Y1267="PASS","DEFENSIV validat",IF(W1267="OOS PENDING","Eligibil; calibrare linie in monitorizare","Eligibil"))))))))))</x:f>
      </x:c>
      <x:c r="AI1267" s="2" t="str">
        <x:f>IF(B1267="","",'Calibrare_Linii'!V7)</x:f>
      </x:c>
      <x:c r="AJ1267" s="2" t="str">
        <x:f>IF(B1267="","",IF(AND('Calibrare_Linii'!T7="VALIDATED",AND('Calibrare_Linii'!H7=C1267,ISNUMBER('Calibrare_Linii'!J7),'Calibrare_Linii'!J7&lt;='Input_Meci'!G96)),"DEFENSIVE VALIDATED",IF(AND('Calibrare_Linii'!S7="VALIDATED",AND('Calibrare_Linii'!H7=C1267,ISNUMBER('Calibrare_Linii'!J7),'Calibrare_Linii'!J7&lt;='Input_Meci'!G96)),"TAIL VALIDATED","OOS PENDING")))</x:f>
      </x:c>
      <x:c r="AK1267" s="2" t="n">
        <x:f>IF(J1267&lt;&gt;"PASS",0,'Motor_Meciuri'!BR96)</x:f>
        <x:v>0</x:v>
      </x:c>
      <x:c r="AL1267" s="2" t="n">
        <x:f>IF(J1267&lt;&gt;"PASS",0,'Motor_Meciuri'!BS96)</x:f>
        <x:v>0</x:v>
      </x:c>
      <x:c r="AM1267" s="2" t="n">
        <x:f>IF(J1267&lt;&gt;"PASS",0,'Motor_Meciuri'!BT96)</x:f>
        <x:v>0</x:v>
      </x:c>
      <x:c r="AN1267" s="2" t="str">
        <x:f>IF(M1267="","",MAX(0,'Motor_Meciuri'!BF96-IF(L1267&gt;'Config_v6'!$B$12,'Config_v6'!$B$37,IF(L1267&gt;'Config_v6'!$B$11,'Config_v6'!$B$36,0))))</x:f>
      </x:c>
    </x:row>
    <x:row r="1268" ht="21" customHeight="1">
      <x:c r="A1268" s="2" t="n">
        <x:v>91</x:v>
      </x:c>
      <x:c r="B1268" s="2" t="str">
        <x:f>IF('Motor_Meciuri'!A96="","",'Motor_Meciuri'!A96)</x:f>
      </x:c>
      <x:c r="C1268" s="2" t="str">
        <x:f>IF(B1268="","",'Motor_Meciuri'!B96)</x:f>
      </x:c>
      <x:c r="D1268" s="2" t="str">
        <x:f>IF(B1268="","",'Motor_Meciuri'!D96)</x:f>
      </x:c>
      <x:c r="E1268" s="2" t="str">
        <x:f>IF(B1268="","",'Motor_Meciuri'!E96)</x:f>
      </x:c>
      <x:c r="F1268" s="2" t="str">
        <x:v>O5,5</x:v>
      </x:c>
      <x:c r="G1268" s="2" t="str">
        <x:v>OVER</x:v>
      </x:c>
      <x:c r="H1268" s="2" t="n">
        <x:v>5</x:v>
      </x:c>
      <x:c r="I1268" s="2" t="str">
        <x:f>IF(B1268="","",'Motor_Meciuri'!H96)</x:f>
      </x:c>
      <x:c r="J1268" s="2" t="str">
        <x:f>IF(B1268="","",'Motor_Meciuri'!I96)</x:f>
      </x:c>
      <x:c r="K1268" s="11" t="str">
        <x:f>IF(J1268&lt;&gt;"PASS","",'Motor_Meciuri'!BD96)</x:f>
      </x:c>
      <x:c r="L1268" s="11" t="str">
        <x:f>IF(J1268&lt;&gt;"PASS","",'Motor_Meciuri'!AU96)</x:f>
      </x:c>
      <x:c r="M1268" s="10" t="str">
        <x:f>IF(NOT(AND(J1268="PASS",'Calibrare_Linii'!U8="VALID")),"",1-'Distributie'!AC96)</x:f>
      </x:c>
      <x:c r="N1268" s="10" t="str">
        <x:f>IF(M1268="","",MAX(0.01,MIN(0.99,0.5+(M1268-0.5)*'Motor_Meciuri'!BG96*'Calibrare_Linii'!D8)))</x:f>
      </x:c>
      <x:c r="O1268" s="10" t="str">
        <x:f>IF(M1268="","",1-M1268)</x:f>
      </x:c>
      <x:c r="P1268" s="10" t="str">
        <x:f>IF(OR(NOT(AND(J1268="PASS",'Calibrare_Linii'!U8="VALID")),AK1268=0),""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*('Istoric_Nativ'!$Q$6:$Q$405&lt;=H1268))/AK1268)</x:f>
      </x:c>
      <x:c r="Q1268" s="10" t="str">
        <x:f>IF(OR(NOT(AND(J1268="PASS",'Calibrare_Linii'!U8="VALID")),AL1268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M96)+((('Istoric_Nativ'!$E$6:$E$405='Input_Meci'!E96)+('Istoric_Nativ'!$F$6:$F$405='Input_Meci'!E96))&gt;0)*('Istoric_Nativ'!$D$6:$D$405&gt;='Motor_Meciuri'!BN96))&gt;0)*('Istoric_Nativ'!$Q$6:$Q$405&lt;=H1268))/AL1268)</x:f>
      </x:c>
      <x:c r="R1268" s="10" t="str">
        <x:f>IF(OR(NOT(AND(J1268="PASS",'Calibrare_Linii'!U8="VALID")),AM1268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O96)+((('Istoric_Nativ'!$E$6:$E$405='Input_Meci'!E96)+('Istoric_Nativ'!$F$6:$F$405='Input_Meci'!E96))&gt;0)*('Istoric_Nativ'!$D$6:$D$405&gt;='Motor_Meciuri'!BP96))&gt;0)*('Istoric_Nativ'!$Q$6:$Q$405&lt;=H1268))/AM1268)</x:f>
      </x:c>
      <x:c r="S1268" s="10" t="str">
        <x:f>IF(M1268="","",MAX(O1268,P1268,Q1268,R1268))</x:f>
      </x:c>
      <x:c r="T1268" s="11" t="str">
        <x:f>IF(M1268="","",MIN(100,S1268*100*'Config_v6'!$B$44+MIN(100,L1268/'Config_v6'!$B$13*100)*'Config_v6'!$B$45+(100-'Motor_Meciuri'!BF96)*'Config_v6'!$B$46+'Motor_Meciuri'!BH96*100*'Config_v6'!$B$47))</x:f>
      </x:c>
      <x:c r="U1268" s="2" t="str">
        <x:f>IF(T1268="","",IF(T1268&lt;=20,1,IF(T1268&lt;=40,2,IF(T1268&lt;=60,3,IF(T1268&lt;=80,4,5)))))</x:f>
      </x:c>
      <x:c r="V1268" s="2" t="str">
        <x:f>IF(M1268="","",MAX(0,'Motor_Meciuri'!BF96-IF(W1268="OOS PENDING",'Config_v6'!$B$35,0)-IF(L1268&gt;'Config_v6'!$B$12,'Config_v6'!$B$37,IF(L1268&gt;'Config_v6'!$B$11,'Config_v6'!$B$36,0))))</x:f>
      </x:c>
      <x:c r="W1268" s="2" t="str">
        <x:f>IF(B1268="","",IF(I1268&lt;&gt;"READY","NOT RELEASED",IF(NOT(AND(J1268="PASS",'Calibrare_Linii'!U8="VALID")),"INVALID",IF(NOT(AND('Calibrare_Linii'!S8="VALIDATED",AND('Calibrare_Linii'!H8=C1268,ISNUMBER('Calibrare_Linii'!J8),'Calibrare_Linii'!J8&lt;='Input_Meci'!G96))),"OOS PENDING",IF(S1268&lt;='Calibrare_Linii'!E8,"PASS",IF(S1268&lt;='Calibrare_Linii'!F8,"PENALTY","WATCH"))))))</x:f>
      </x:c>
      <x:c r="X1268" s="2" t="str">
        <x:f>IF(M1268="","",IF(AND(AND(J1268="PASS",'Calibrare_Linii'!U8="VALID"),'Motor_Meciuri'!K96=12,'Motor_Meciuri'!L96=12,'Motor_Meciuri'!M96="NO",'Motor_Meciuri'!BL96='Motor_Meciuri'!C96,AB1268&gt;='Config_v6'!$B$50,AN1268&gt;='Config_v6'!$B$51,T1268&lt;='Config_v6'!$B$52,L1268&lt;='Config_v6'!$B$53,ISNUMBER('Calibrare_Linii'!E8),S1268&lt;='Calibrare_Linii'!E8,SUM(AK1268:AM1268)&gt;0),"CANDIDATE","NO"))</x:f>
      </x:c>
      <x:c r="Y1268" s="2" t="str">
        <x:f>IF(B1268="","",IF(I1268&lt;&gt;"READY","NOT RELEASED",IF(AND(X1268="CANDIDATE",V1268&gt;='Config_v6'!$B$51,W1268="PASS",'Calibrare_Linii'!T8="VALIDATED",AND('Calibrare_Linii'!H8=C1268,ISNUMBER('Calibrare_Linii'!J8),'Calibrare_Linii'!J8&lt;='Input_Meci'!G96)),"PASS",IF(X1268="CANDIDATE","OOS PENDING","FAIL"))))</x:f>
      </x:c>
      <x:c r="Z1268" s="2" t="str">
        <x:f>IF(B1268="","",IF(I1268&lt;&gt;"READY","",IF(OR(NOT(AND(J1268="PASS",'Calibrare_Linii'!U8="VALID")),L1268&gt;'Config_v6'!$B$13,W1268="WATCH"),5,IF(Y1268="PASS",1,MIN(5,MAX('Config_v6'!$B$42,U1268)+IF(W1268="PENALTY",1,0))))))</x:f>
      </x:c>
      <x:c r="AA1268" s="2" t="str">
        <x:f>IF(B1268="","",IF(I1268&lt;&gt;"READY","NOT RELEASED",IF(Z1268=5,"NO BET",IF(OR(AB1268&lt;'Config_v6'!$B$16,V1268&lt;'Config_v6'!$B$18),"WATCH",IF(Z1268=1,"DEFENSIV",IF(Z1268=2,"PRUDENT",IF(Z1268=3,"MODERAT","RIDICAT")))))))</x:f>
      </x:c>
      <x:c r="AB1268" s="10" t="str">
        <x:f>IF(N1268="","",MIN(N1268,1-S1268))</x:f>
      </x:c>
      <x:c r="AC1268" s="2" t="str">
        <x:f>IF(AD1268&lt;&gt;1,"",COUNTIFS($Z$1266:$Z$1279,"&lt;"&amp;Z1268,$AD$1266:$AD$1279,1)+COUNTIFS($Z$1266:$Z$1279,Z1268,$AB$1266:$AB$1279,"&gt;"&amp;AB1268,$AD$1266:$AD$1279,1)+COUNTIFS($Z$1266:$Z$1279,Z1268,$AB$1266:$AB$1279,AB1268,$V$1266:$V$1279,"&gt;"&amp;V1268,$AD$1266:$AD$1279,1)+COUNTIFS($Z$1266:Z1268,Z1268,$AB$1266:AB1268,AB1268,$V$1266:V1268,V1268,$AD$1266:AD1268,1))</x:f>
      </x:c>
      <x:c r="AD1268" s="2" t="n">
        <x:f>IF(OR(AA1268="DEFENSIV",AA1268="PRUDENT",AA1268="MODERAT",AA1268="RIDICAT"),1,0)</x:f>
        <x:v>0</x:v>
      </x:c>
      <x:c r="AE1268" s="2" t="str">
        <x:f>IF(AD1268&lt;&gt;1,"NO",IF(W1268="PASS","YES",IF(W1268="OOS PENDING","CONDITIONAL","NO")))</x:f>
        <x:v>NO</x:v>
      </x:c>
      <x:c r="AF1268" s="2" t="n">
        <x:f>IF(AND(AD1268=1,AC1268=1,E1268="LIVE"),1,0)</x:f>
        <x:v>0</x:v>
      </x:c>
      <x:c r="AG1268" s="2" t="str">
        <x:f>IF(AF1268&lt;&gt;1,"",'Dashboard'!P116)</x:f>
      </x:c>
      <x:c r="AH1268" s="2" t="str">
        <x:f>IF(B1268="","",IF(J1268&lt;&gt;"PASS",'Motor_Meciuri'!J96,IF('Calibrare_Linii'!U8&lt;&gt;"VALID","Parametri linie invalizi",IF(L1268&gt;'Config_v6'!$B$13,"Dispersie peste limita",IF(W1268="WATCH","Failure peste limita",IF(AB1268&lt;'Config_v6'!$B$16,"P finala sub prag",IF(V1268&lt;'Config_v6'!$B$18,"Confidence sub prag",IF(E1268="REPLAY","Exemplu retrospectiv; exclus din Top LIVE",IF(Y1268="PASS","DEFENSIV validat",IF(W1268="OOS PENDING","Eligibil; calibrare linie in monitorizare","Eligibil"))))))))))</x:f>
      </x:c>
      <x:c r="AI1268" s="2" t="str">
        <x:f>IF(B1268="","",'Calibrare_Linii'!V8)</x:f>
      </x:c>
      <x:c r="AJ1268" s="2" t="str">
        <x:f>IF(B1268="","",IF(AND('Calibrare_Linii'!T8="VALIDATED",AND('Calibrare_Linii'!H8=C1268,ISNUMBER('Calibrare_Linii'!J8),'Calibrare_Linii'!J8&lt;='Input_Meci'!G96)),"DEFENSIVE VALIDATED",IF(AND('Calibrare_Linii'!S8="VALIDATED",AND('Calibrare_Linii'!H8=C1268,ISNUMBER('Calibrare_Linii'!J8),'Calibrare_Linii'!J8&lt;='Input_Meci'!G96)),"TAIL VALIDATED","OOS PENDING")))</x:f>
      </x:c>
      <x:c r="AK1268" s="2" t="n">
        <x:f>IF(J1268&lt;&gt;"PASS",0,'Motor_Meciuri'!BR96)</x:f>
        <x:v>0</x:v>
      </x:c>
      <x:c r="AL1268" s="2" t="n">
        <x:f>IF(J1268&lt;&gt;"PASS",0,'Motor_Meciuri'!BS96)</x:f>
        <x:v>0</x:v>
      </x:c>
      <x:c r="AM1268" s="2" t="n">
        <x:f>IF(J1268&lt;&gt;"PASS",0,'Motor_Meciuri'!BT96)</x:f>
        <x:v>0</x:v>
      </x:c>
      <x:c r="AN1268" s="2" t="str">
        <x:f>IF(M1268="","",MAX(0,'Motor_Meciuri'!BF96-IF(L1268&gt;'Config_v6'!$B$12,'Config_v6'!$B$37,IF(L1268&gt;'Config_v6'!$B$11,'Config_v6'!$B$36,0))))</x:f>
      </x:c>
    </x:row>
    <x:row r="1269" ht="21" customHeight="1">
      <x:c r="A1269" s="2" t="n">
        <x:v>91</x:v>
      </x:c>
      <x:c r="B1269" s="2" t="str">
        <x:f>IF('Motor_Meciuri'!A96="","",'Motor_Meciuri'!A96)</x:f>
      </x:c>
      <x:c r="C1269" s="2" t="str">
        <x:f>IF(B1269="","",'Motor_Meciuri'!B96)</x:f>
      </x:c>
      <x:c r="D1269" s="2" t="str">
        <x:f>IF(B1269="","",'Motor_Meciuri'!D96)</x:f>
      </x:c>
      <x:c r="E1269" s="2" t="str">
        <x:f>IF(B1269="","",'Motor_Meciuri'!E96)</x:f>
      </x:c>
      <x:c r="F1269" s="2" t="str">
        <x:v>O6,5</x:v>
      </x:c>
      <x:c r="G1269" s="2" t="str">
        <x:v>OVER</x:v>
      </x:c>
      <x:c r="H1269" s="2" t="n">
        <x:v>6</x:v>
      </x:c>
      <x:c r="I1269" s="2" t="str">
        <x:f>IF(B1269="","",'Motor_Meciuri'!H96)</x:f>
      </x:c>
      <x:c r="J1269" s="2" t="str">
        <x:f>IF(B1269="","",'Motor_Meciuri'!I96)</x:f>
      </x:c>
      <x:c r="K1269" s="11" t="str">
        <x:f>IF(J1269&lt;&gt;"PASS","",'Motor_Meciuri'!BD96)</x:f>
      </x:c>
      <x:c r="L1269" s="11" t="str">
        <x:f>IF(J1269&lt;&gt;"PASS","",'Motor_Meciuri'!AU96)</x:f>
      </x:c>
      <x:c r="M1269" s="10" t="str">
        <x:f>IF(NOT(AND(J1269="PASS",'Calibrare_Linii'!U9="VALID")),"",1-'Distributie'!AD96)</x:f>
      </x:c>
      <x:c r="N1269" s="10" t="str">
        <x:f>IF(M1269="","",MAX(0.01,MIN(0.99,0.5+(M1269-0.5)*'Motor_Meciuri'!BG96*'Calibrare_Linii'!D9)))</x:f>
      </x:c>
      <x:c r="O1269" s="10" t="str">
        <x:f>IF(M1269="","",1-M1269)</x:f>
      </x:c>
      <x:c r="P1269" s="10" t="str">
        <x:f>IF(OR(NOT(AND(J1269="PASS",'Calibrare_Linii'!U9="VALID")),AK1269=0),""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*('Istoric_Nativ'!$Q$6:$Q$405&lt;=H1269))/AK1269)</x:f>
      </x:c>
      <x:c r="Q1269" s="10" t="str">
        <x:f>IF(OR(NOT(AND(J1269="PASS",'Calibrare_Linii'!U9="VALID")),AL1269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M96)+((('Istoric_Nativ'!$E$6:$E$405='Input_Meci'!E96)+('Istoric_Nativ'!$F$6:$F$405='Input_Meci'!E96))&gt;0)*('Istoric_Nativ'!$D$6:$D$405&gt;='Motor_Meciuri'!BN96))&gt;0)*('Istoric_Nativ'!$Q$6:$Q$405&lt;=H1269))/AL1269)</x:f>
      </x:c>
      <x:c r="R1269" s="10" t="str">
        <x:f>IF(OR(NOT(AND(J1269="PASS",'Calibrare_Linii'!U9="VALID")),AM1269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O96)+((('Istoric_Nativ'!$E$6:$E$405='Input_Meci'!E96)+('Istoric_Nativ'!$F$6:$F$405='Input_Meci'!E96))&gt;0)*('Istoric_Nativ'!$D$6:$D$405&gt;='Motor_Meciuri'!BP96))&gt;0)*('Istoric_Nativ'!$Q$6:$Q$405&lt;=H1269))/AM1269)</x:f>
      </x:c>
      <x:c r="S1269" s="10" t="str">
        <x:f>IF(M1269="","",MAX(O1269,P1269,Q1269,R1269))</x:f>
      </x:c>
      <x:c r="T1269" s="11" t="str">
        <x:f>IF(M1269="","",MIN(100,S1269*100*'Config_v6'!$B$44+MIN(100,L1269/'Config_v6'!$B$13*100)*'Config_v6'!$B$45+(100-'Motor_Meciuri'!BF96)*'Config_v6'!$B$46+'Motor_Meciuri'!BH96*100*'Config_v6'!$B$47))</x:f>
      </x:c>
      <x:c r="U1269" s="2" t="str">
        <x:f>IF(T1269="","",IF(T1269&lt;=20,1,IF(T1269&lt;=40,2,IF(T1269&lt;=60,3,IF(T1269&lt;=80,4,5)))))</x:f>
      </x:c>
      <x:c r="V1269" s="2" t="str">
        <x:f>IF(M1269="","",MAX(0,'Motor_Meciuri'!BF96-IF(W1269="OOS PENDING",'Config_v6'!$B$35,0)-IF(L1269&gt;'Config_v6'!$B$12,'Config_v6'!$B$37,IF(L1269&gt;'Config_v6'!$B$11,'Config_v6'!$B$36,0))))</x:f>
      </x:c>
      <x:c r="W1269" s="2" t="str">
        <x:f>IF(B1269="","",IF(I1269&lt;&gt;"READY","NOT RELEASED",IF(NOT(AND(J1269="PASS",'Calibrare_Linii'!U9="VALID")),"INVALID",IF(NOT(AND('Calibrare_Linii'!S9="VALIDATED",AND('Calibrare_Linii'!H9=C1269,ISNUMBER('Calibrare_Linii'!J9),'Calibrare_Linii'!J9&lt;='Input_Meci'!G96))),"OOS PENDING",IF(S1269&lt;='Calibrare_Linii'!E9,"PASS",IF(S1269&lt;='Calibrare_Linii'!F9,"PENALTY","WATCH"))))))</x:f>
      </x:c>
      <x:c r="X1269" s="2" t="str">
        <x:f>IF(M1269="","",IF(AND(AND(J1269="PASS",'Calibrare_Linii'!U9="VALID"),'Motor_Meciuri'!K96=12,'Motor_Meciuri'!L96=12,'Motor_Meciuri'!M96="NO",'Motor_Meciuri'!BL96='Motor_Meciuri'!C96,AB1269&gt;='Config_v6'!$B$50,AN1269&gt;='Config_v6'!$B$51,T1269&lt;='Config_v6'!$B$52,L1269&lt;='Config_v6'!$B$53,ISNUMBER('Calibrare_Linii'!E9),S1269&lt;='Calibrare_Linii'!E9,SUM(AK1269:AM1269)&gt;0),"CANDIDATE","NO"))</x:f>
      </x:c>
      <x:c r="Y1269" s="2" t="str">
        <x:f>IF(B1269="","",IF(I1269&lt;&gt;"READY","NOT RELEASED",IF(AND(X1269="CANDIDATE",V1269&gt;='Config_v6'!$B$51,W1269="PASS",'Calibrare_Linii'!T9="VALIDATED",AND('Calibrare_Linii'!H9=C1269,ISNUMBER('Calibrare_Linii'!J9),'Calibrare_Linii'!J9&lt;='Input_Meci'!G96)),"PASS",IF(X1269="CANDIDATE","OOS PENDING","FAIL"))))</x:f>
      </x:c>
      <x:c r="Z1269" s="2" t="str">
        <x:f>IF(B1269="","",IF(I1269&lt;&gt;"READY","",IF(OR(NOT(AND(J1269="PASS",'Calibrare_Linii'!U9="VALID")),L1269&gt;'Config_v6'!$B$13,W1269="WATCH"),5,IF(Y1269="PASS",1,MIN(5,MAX('Config_v6'!$B$42,U1269)+IF(W1269="PENALTY",1,0))))))</x:f>
      </x:c>
      <x:c r="AA1269" s="2" t="str">
        <x:f>IF(B1269="","",IF(I1269&lt;&gt;"READY","NOT RELEASED",IF(Z1269=5,"NO BET",IF(OR(AB1269&lt;'Config_v6'!$B$16,V1269&lt;'Config_v6'!$B$18),"WATCH",IF(Z1269=1,"DEFENSIV",IF(Z1269=2,"PRUDENT",IF(Z1269=3,"MODERAT","RIDICAT")))))))</x:f>
      </x:c>
      <x:c r="AB1269" s="10" t="str">
        <x:f>IF(N1269="","",MIN(N1269,1-S1269))</x:f>
      </x:c>
      <x:c r="AC1269" s="2" t="str">
        <x:f>IF(AD1269&lt;&gt;1,"",COUNTIFS($Z$1266:$Z$1279,"&lt;"&amp;Z1269,$AD$1266:$AD$1279,1)+COUNTIFS($Z$1266:$Z$1279,Z1269,$AB$1266:$AB$1279,"&gt;"&amp;AB1269,$AD$1266:$AD$1279,1)+COUNTIFS($Z$1266:$Z$1279,Z1269,$AB$1266:$AB$1279,AB1269,$V$1266:$V$1279,"&gt;"&amp;V1269,$AD$1266:$AD$1279,1)+COUNTIFS($Z$1266:Z1269,Z1269,$AB$1266:AB1269,AB1269,$V$1266:V1269,V1269,$AD$1266:AD1269,1))</x:f>
      </x:c>
      <x:c r="AD1269" s="2" t="n">
        <x:f>IF(OR(AA1269="DEFENSIV",AA1269="PRUDENT",AA1269="MODERAT",AA1269="RIDICAT"),1,0)</x:f>
        <x:v>0</x:v>
      </x:c>
      <x:c r="AE1269" s="2" t="str">
        <x:f>IF(AD1269&lt;&gt;1,"NO",IF(W1269="PASS","YES",IF(W1269="OOS PENDING","CONDITIONAL","NO")))</x:f>
        <x:v>NO</x:v>
      </x:c>
      <x:c r="AF1269" s="2" t="n">
        <x:f>IF(AND(AD1269=1,AC1269=1,E1269="LIVE"),1,0)</x:f>
        <x:v>0</x:v>
      </x:c>
      <x:c r="AG1269" s="2" t="str">
        <x:f>IF(AF1269&lt;&gt;1,"",'Dashboard'!P116)</x:f>
      </x:c>
      <x:c r="AH1269" s="2" t="str">
        <x:f>IF(B1269="","",IF(J1269&lt;&gt;"PASS",'Motor_Meciuri'!J96,IF('Calibrare_Linii'!U9&lt;&gt;"VALID","Parametri linie invalizi",IF(L1269&gt;'Config_v6'!$B$13,"Dispersie peste limita",IF(W1269="WATCH","Failure peste limita",IF(AB1269&lt;'Config_v6'!$B$16,"P finala sub prag",IF(V1269&lt;'Config_v6'!$B$18,"Confidence sub prag",IF(E1269="REPLAY","Exemplu retrospectiv; exclus din Top LIVE",IF(Y1269="PASS","DEFENSIV validat",IF(W1269="OOS PENDING","Eligibil; calibrare linie in monitorizare","Eligibil"))))))))))</x:f>
      </x:c>
      <x:c r="AI1269" s="2" t="str">
        <x:f>IF(B1269="","",'Calibrare_Linii'!V9)</x:f>
      </x:c>
      <x:c r="AJ1269" s="2" t="str">
        <x:f>IF(B1269="","",IF(AND('Calibrare_Linii'!T9="VALIDATED",AND('Calibrare_Linii'!H9=C1269,ISNUMBER('Calibrare_Linii'!J9),'Calibrare_Linii'!J9&lt;='Input_Meci'!G96)),"DEFENSIVE VALIDATED",IF(AND('Calibrare_Linii'!S9="VALIDATED",AND('Calibrare_Linii'!H9=C1269,ISNUMBER('Calibrare_Linii'!J9),'Calibrare_Linii'!J9&lt;='Input_Meci'!G96)),"TAIL VALIDATED","OOS PENDING")))</x:f>
      </x:c>
      <x:c r="AK1269" s="2" t="n">
        <x:f>IF(J1269&lt;&gt;"PASS",0,'Motor_Meciuri'!BR96)</x:f>
        <x:v>0</x:v>
      </x:c>
      <x:c r="AL1269" s="2" t="n">
        <x:f>IF(J1269&lt;&gt;"PASS",0,'Motor_Meciuri'!BS96)</x:f>
        <x:v>0</x:v>
      </x:c>
      <x:c r="AM1269" s="2" t="n">
        <x:f>IF(J1269&lt;&gt;"PASS",0,'Motor_Meciuri'!BT96)</x:f>
        <x:v>0</x:v>
      </x:c>
      <x:c r="AN1269" s="2" t="str">
        <x:f>IF(M1269="","",MAX(0,'Motor_Meciuri'!BF96-IF(L1269&gt;'Config_v6'!$B$12,'Config_v6'!$B$37,IF(L1269&gt;'Config_v6'!$B$11,'Config_v6'!$B$36,0))))</x:f>
      </x:c>
    </x:row>
    <x:row r="1270" ht="21" customHeight="1">
      <x:c r="A1270" s="2" t="n">
        <x:v>91</x:v>
      </x:c>
      <x:c r="B1270" s="2" t="str">
        <x:f>IF('Motor_Meciuri'!A96="","",'Motor_Meciuri'!A96)</x:f>
      </x:c>
      <x:c r="C1270" s="2" t="str">
        <x:f>IF(B1270="","",'Motor_Meciuri'!B96)</x:f>
      </x:c>
      <x:c r="D1270" s="2" t="str">
        <x:f>IF(B1270="","",'Motor_Meciuri'!D96)</x:f>
      </x:c>
      <x:c r="E1270" s="2" t="str">
        <x:f>IF(B1270="","",'Motor_Meciuri'!E96)</x:f>
      </x:c>
      <x:c r="F1270" s="2" t="str">
        <x:v>O7,5</x:v>
      </x:c>
      <x:c r="G1270" s="2" t="str">
        <x:v>OVER</x:v>
      </x:c>
      <x:c r="H1270" s="2" t="n">
        <x:v>7</x:v>
      </x:c>
      <x:c r="I1270" s="2" t="str">
        <x:f>IF(B1270="","",'Motor_Meciuri'!H96)</x:f>
      </x:c>
      <x:c r="J1270" s="2" t="str">
        <x:f>IF(B1270="","",'Motor_Meciuri'!I96)</x:f>
      </x:c>
      <x:c r="K1270" s="11" t="str">
        <x:f>IF(J1270&lt;&gt;"PASS","",'Motor_Meciuri'!BD96)</x:f>
      </x:c>
      <x:c r="L1270" s="11" t="str">
        <x:f>IF(J1270&lt;&gt;"PASS","",'Motor_Meciuri'!AU96)</x:f>
      </x:c>
      <x:c r="M1270" s="10" t="str">
        <x:f>IF(NOT(AND(J1270="PASS",'Calibrare_Linii'!U10="VALID")),"",1-'Distributie'!AE96)</x:f>
      </x:c>
      <x:c r="N1270" s="10" t="str">
        <x:f>IF(M1270="","",MAX(0.01,MIN(0.99,0.5+(M1270-0.5)*'Motor_Meciuri'!BG96*'Calibrare_Linii'!D10)))</x:f>
      </x:c>
      <x:c r="O1270" s="10" t="str">
        <x:f>IF(M1270="","",1-M1270)</x:f>
      </x:c>
      <x:c r="P1270" s="10" t="str">
        <x:f>IF(OR(NOT(AND(J1270="PASS",'Calibrare_Linii'!U10="VALID")),AK1270=0),""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*('Istoric_Nativ'!$Q$6:$Q$405&lt;=H1270))/AK1270)</x:f>
      </x:c>
      <x:c r="Q1270" s="10" t="str">
        <x:f>IF(OR(NOT(AND(J1270="PASS",'Calibrare_Linii'!U10="VALID")),AL1270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M96)+((('Istoric_Nativ'!$E$6:$E$405='Input_Meci'!E96)+('Istoric_Nativ'!$F$6:$F$405='Input_Meci'!E96))&gt;0)*('Istoric_Nativ'!$D$6:$D$405&gt;='Motor_Meciuri'!BN96))&gt;0)*('Istoric_Nativ'!$Q$6:$Q$405&lt;=H1270))/AL1270)</x:f>
      </x:c>
      <x:c r="R1270" s="10" t="str">
        <x:f>IF(OR(NOT(AND(J1270="PASS",'Calibrare_Linii'!U10="VALID")),AM1270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O96)+((('Istoric_Nativ'!$E$6:$E$405='Input_Meci'!E96)+('Istoric_Nativ'!$F$6:$F$405='Input_Meci'!E96))&gt;0)*('Istoric_Nativ'!$D$6:$D$405&gt;='Motor_Meciuri'!BP96))&gt;0)*('Istoric_Nativ'!$Q$6:$Q$405&lt;=H1270))/AM1270)</x:f>
      </x:c>
      <x:c r="S1270" s="10" t="str">
        <x:f>IF(M1270="","",MAX(O1270,P1270,Q1270,R1270))</x:f>
      </x:c>
      <x:c r="T1270" s="11" t="str">
        <x:f>IF(M1270="","",MIN(100,S1270*100*'Config_v6'!$B$44+MIN(100,L1270/'Config_v6'!$B$13*100)*'Config_v6'!$B$45+(100-'Motor_Meciuri'!BF96)*'Config_v6'!$B$46+'Motor_Meciuri'!BH96*100*'Config_v6'!$B$47))</x:f>
      </x:c>
      <x:c r="U1270" s="2" t="str">
        <x:f>IF(T1270="","",IF(T1270&lt;=20,1,IF(T1270&lt;=40,2,IF(T1270&lt;=60,3,IF(T1270&lt;=80,4,5)))))</x:f>
      </x:c>
      <x:c r="V1270" s="2" t="str">
        <x:f>IF(M1270="","",MAX(0,'Motor_Meciuri'!BF96-IF(W1270="OOS PENDING",'Config_v6'!$B$35,0)-IF(L1270&gt;'Config_v6'!$B$12,'Config_v6'!$B$37,IF(L1270&gt;'Config_v6'!$B$11,'Config_v6'!$B$36,0))))</x:f>
      </x:c>
      <x:c r="W1270" s="2" t="str">
        <x:f>IF(B1270="","",IF(I1270&lt;&gt;"READY","NOT RELEASED",IF(NOT(AND(J1270="PASS",'Calibrare_Linii'!U10="VALID")),"INVALID",IF(NOT(AND('Calibrare_Linii'!S10="VALIDATED",AND('Calibrare_Linii'!H10=C1270,ISNUMBER('Calibrare_Linii'!J10),'Calibrare_Linii'!J10&lt;='Input_Meci'!G96))),"OOS PENDING",IF(S1270&lt;='Calibrare_Linii'!E10,"PASS",IF(S1270&lt;='Calibrare_Linii'!F10,"PENALTY","WATCH"))))))</x:f>
      </x:c>
      <x:c r="X1270" s="2" t="str">
        <x:f>IF(M1270="","",IF(AND(AND(J1270="PASS",'Calibrare_Linii'!U10="VALID"),'Motor_Meciuri'!K96=12,'Motor_Meciuri'!L96=12,'Motor_Meciuri'!M96="NO",'Motor_Meciuri'!BL96='Motor_Meciuri'!C96,AB1270&gt;='Config_v6'!$B$50,AN1270&gt;='Config_v6'!$B$51,T1270&lt;='Config_v6'!$B$52,L1270&lt;='Config_v6'!$B$53,ISNUMBER('Calibrare_Linii'!E10),S1270&lt;='Calibrare_Linii'!E10,SUM(AK1270:AM1270)&gt;0),"CANDIDATE","NO"))</x:f>
      </x:c>
      <x:c r="Y1270" s="2" t="str">
        <x:f>IF(B1270="","",IF(I1270&lt;&gt;"READY","NOT RELEASED",IF(AND(X1270="CANDIDATE",V1270&gt;='Config_v6'!$B$51,W1270="PASS",'Calibrare_Linii'!T10="VALIDATED",AND('Calibrare_Linii'!H10=C1270,ISNUMBER('Calibrare_Linii'!J10),'Calibrare_Linii'!J10&lt;='Input_Meci'!G96)),"PASS",IF(X1270="CANDIDATE","OOS PENDING","FAIL"))))</x:f>
      </x:c>
      <x:c r="Z1270" s="2" t="str">
        <x:f>IF(B1270="","",IF(I1270&lt;&gt;"READY","",IF(OR(NOT(AND(J1270="PASS",'Calibrare_Linii'!U10="VALID")),L1270&gt;'Config_v6'!$B$13,W1270="WATCH"),5,IF(Y1270="PASS",1,MIN(5,MAX('Config_v6'!$B$42,U1270)+IF(W1270="PENALTY",1,0))))))</x:f>
      </x:c>
      <x:c r="AA1270" s="2" t="str">
        <x:f>IF(B1270="","",IF(I1270&lt;&gt;"READY","NOT RELEASED",IF(Z1270=5,"NO BET",IF(OR(AB1270&lt;'Config_v6'!$B$16,V1270&lt;'Config_v6'!$B$18),"WATCH",IF(Z1270=1,"DEFENSIV",IF(Z1270=2,"PRUDENT",IF(Z1270=3,"MODERAT","RIDICAT")))))))</x:f>
      </x:c>
      <x:c r="AB1270" s="10" t="str">
        <x:f>IF(N1270="","",MIN(N1270,1-S1270))</x:f>
      </x:c>
      <x:c r="AC1270" s="2" t="str">
        <x:f>IF(AD1270&lt;&gt;1,"",COUNTIFS($Z$1266:$Z$1279,"&lt;"&amp;Z1270,$AD$1266:$AD$1279,1)+COUNTIFS($Z$1266:$Z$1279,Z1270,$AB$1266:$AB$1279,"&gt;"&amp;AB1270,$AD$1266:$AD$1279,1)+COUNTIFS($Z$1266:$Z$1279,Z1270,$AB$1266:$AB$1279,AB1270,$V$1266:$V$1279,"&gt;"&amp;V1270,$AD$1266:$AD$1279,1)+COUNTIFS($Z$1266:Z1270,Z1270,$AB$1266:AB1270,AB1270,$V$1266:V1270,V1270,$AD$1266:AD1270,1))</x:f>
      </x:c>
      <x:c r="AD1270" s="2" t="n">
        <x:f>IF(OR(AA1270="DEFENSIV",AA1270="PRUDENT",AA1270="MODERAT",AA1270="RIDICAT"),1,0)</x:f>
        <x:v>0</x:v>
      </x:c>
      <x:c r="AE1270" s="2" t="str">
        <x:f>IF(AD1270&lt;&gt;1,"NO",IF(W1270="PASS","YES",IF(W1270="OOS PENDING","CONDITIONAL","NO")))</x:f>
        <x:v>NO</x:v>
      </x:c>
      <x:c r="AF1270" s="2" t="n">
        <x:f>IF(AND(AD1270=1,AC1270=1,E1270="LIVE"),1,0)</x:f>
        <x:v>0</x:v>
      </x:c>
      <x:c r="AG1270" s="2" t="str">
        <x:f>IF(AF1270&lt;&gt;1,"",'Dashboard'!P116)</x:f>
      </x:c>
      <x:c r="AH1270" s="2" t="str">
        <x:f>IF(B1270="","",IF(J1270&lt;&gt;"PASS",'Motor_Meciuri'!J96,IF('Calibrare_Linii'!U10&lt;&gt;"VALID","Parametri linie invalizi",IF(L1270&gt;'Config_v6'!$B$13,"Dispersie peste limita",IF(W1270="WATCH","Failure peste limita",IF(AB1270&lt;'Config_v6'!$B$16,"P finala sub prag",IF(V1270&lt;'Config_v6'!$B$18,"Confidence sub prag",IF(E1270="REPLAY","Exemplu retrospectiv; exclus din Top LIVE",IF(Y1270="PASS","DEFENSIV validat",IF(W1270="OOS PENDING","Eligibil; calibrare linie in monitorizare","Eligibil"))))))))))</x:f>
      </x:c>
      <x:c r="AI1270" s="2" t="str">
        <x:f>IF(B1270="","",'Calibrare_Linii'!V10)</x:f>
      </x:c>
      <x:c r="AJ1270" s="2" t="str">
        <x:f>IF(B1270="","",IF(AND('Calibrare_Linii'!T10="VALIDATED",AND('Calibrare_Linii'!H10=C1270,ISNUMBER('Calibrare_Linii'!J10),'Calibrare_Linii'!J10&lt;='Input_Meci'!G96)),"DEFENSIVE VALIDATED",IF(AND('Calibrare_Linii'!S10="VALIDATED",AND('Calibrare_Linii'!H10=C1270,ISNUMBER('Calibrare_Linii'!J10),'Calibrare_Linii'!J10&lt;='Input_Meci'!G96)),"TAIL VALIDATED","OOS PENDING")))</x:f>
      </x:c>
      <x:c r="AK1270" s="2" t="n">
        <x:f>IF(J1270&lt;&gt;"PASS",0,'Motor_Meciuri'!BR96)</x:f>
        <x:v>0</x:v>
      </x:c>
      <x:c r="AL1270" s="2" t="n">
        <x:f>IF(J1270&lt;&gt;"PASS",0,'Motor_Meciuri'!BS96)</x:f>
        <x:v>0</x:v>
      </x:c>
      <x:c r="AM1270" s="2" t="n">
        <x:f>IF(J1270&lt;&gt;"PASS",0,'Motor_Meciuri'!BT96)</x:f>
        <x:v>0</x:v>
      </x:c>
      <x:c r="AN1270" s="2" t="str">
        <x:f>IF(M1270="","",MAX(0,'Motor_Meciuri'!BF96-IF(L1270&gt;'Config_v6'!$B$12,'Config_v6'!$B$37,IF(L1270&gt;'Config_v6'!$B$11,'Config_v6'!$B$36,0))))</x:f>
      </x:c>
    </x:row>
    <x:row r="1271" ht="21" customHeight="1">
      <x:c r="A1271" s="2" t="n">
        <x:v>91</x:v>
      </x:c>
      <x:c r="B1271" s="2" t="str">
        <x:f>IF('Motor_Meciuri'!A96="","",'Motor_Meciuri'!A96)</x:f>
      </x:c>
      <x:c r="C1271" s="2" t="str">
        <x:f>IF(B1271="","",'Motor_Meciuri'!B96)</x:f>
      </x:c>
      <x:c r="D1271" s="2" t="str">
        <x:f>IF(B1271="","",'Motor_Meciuri'!D96)</x:f>
      </x:c>
      <x:c r="E1271" s="2" t="str">
        <x:f>IF(B1271="","",'Motor_Meciuri'!E96)</x:f>
      </x:c>
      <x:c r="F1271" s="2" t="str">
        <x:v>O8,5</x:v>
      </x:c>
      <x:c r="G1271" s="2" t="str">
        <x:v>OVER</x:v>
      </x:c>
      <x:c r="H1271" s="2" t="n">
        <x:v>8</x:v>
      </x:c>
      <x:c r="I1271" s="2" t="str">
        <x:f>IF(B1271="","",'Motor_Meciuri'!H96)</x:f>
      </x:c>
      <x:c r="J1271" s="2" t="str">
        <x:f>IF(B1271="","",'Motor_Meciuri'!I96)</x:f>
      </x:c>
      <x:c r="K1271" s="11" t="str">
        <x:f>IF(J1271&lt;&gt;"PASS","",'Motor_Meciuri'!BD96)</x:f>
      </x:c>
      <x:c r="L1271" s="11" t="str">
        <x:f>IF(J1271&lt;&gt;"PASS","",'Motor_Meciuri'!AU96)</x:f>
      </x:c>
      <x:c r="M1271" s="10" t="str">
        <x:f>IF(NOT(AND(J1271="PASS",'Calibrare_Linii'!U11="VALID")),"",1-'Distributie'!AF96)</x:f>
      </x:c>
      <x:c r="N1271" s="10" t="str">
        <x:f>IF(M1271="","",MAX(0.01,MIN(0.99,0.5+(M1271-0.5)*'Motor_Meciuri'!BG96*'Calibrare_Linii'!D11)))</x:f>
      </x:c>
      <x:c r="O1271" s="10" t="str">
        <x:f>IF(M1271="","",1-M1271)</x:f>
      </x:c>
      <x:c r="P1271" s="10" t="str">
        <x:f>IF(OR(NOT(AND(J1271="PASS",'Calibrare_Linii'!U11="VALID")),AK1271=0),""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*('Istoric_Nativ'!$Q$6:$Q$405&lt;=H1271))/AK1271)</x:f>
      </x:c>
      <x:c r="Q1271" s="10" t="str">
        <x:f>IF(OR(NOT(AND(J1271="PASS",'Calibrare_Linii'!U11="VALID")),AL1271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M96)+((('Istoric_Nativ'!$E$6:$E$405='Input_Meci'!E96)+('Istoric_Nativ'!$F$6:$F$405='Input_Meci'!E96))&gt;0)*('Istoric_Nativ'!$D$6:$D$405&gt;='Motor_Meciuri'!BN96))&gt;0)*('Istoric_Nativ'!$Q$6:$Q$405&lt;=H1271))/AL1271)</x:f>
      </x:c>
      <x:c r="R1271" s="10" t="str">
        <x:f>IF(OR(NOT(AND(J1271="PASS",'Calibrare_Linii'!U11="VALID")),AM1271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O96)+((('Istoric_Nativ'!$E$6:$E$405='Input_Meci'!E96)+('Istoric_Nativ'!$F$6:$F$405='Input_Meci'!E96))&gt;0)*('Istoric_Nativ'!$D$6:$D$405&gt;='Motor_Meciuri'!BP96))&gt;0)*('Istoric_Nativ'!$Q$6:$Q$405&lt;=H1271))/AM1271)</x:f>
      </x:c>
      <x:c r="S1271" s="10" t="str">
        <x:f>IF(M1271="","",MAX(O1271,P1271,Q1271,R1271))</x:f>
      </x:c>
      <x:c r="T1271" s="11" t="str">
        <x:f>IF(M1271="","",MIN(100,S1271*100*'Config_v6'!$B$44+MIN(100,L1271/'Config_v6'!$B$13*100)*'Config_v6'!$B$45+(100-'Motor_Meciuri'!BF96)*'Config_v6'!$B$46+'Motor_Meciuri'!BH96*100*'Config_v6'!$B$47))</x:f>
      </x:c>
      <x:c r="U1271" s="2" t="str">
        <x:f>IF(T1271="","",IF(T1271&lt;=20,1,IF(T1271&lt;=40,2,IF(T1271&lt;=60,3,IF(T1271&lt;=80,4,5)))))</x:f>
      </x:c>
      <x:c r="V1271" s="2" t="str">
        <x:f>IF(M1271="","",MAX(0,'Motor_Meciuri'!BF96-IF(W1271="OOS PENDING",'Config_v6'!$B$35,0)-IF(L1271&gt;'Config_v6'!$B$12,'Config_v6'!$B$37,IF(L1271&gt;'Config_v6'!$B$11,'Config_v6'!$B$36,0))))</x:f>
      </x:c>
      <x:c r="W1271" s="2" t="str">
        <x:f>IF(B1271="","",IF(I1271&lt;&gt;"READY","NOT RELEASED",IF(NOT(AND(J1271="PASS",'Calibrare_Linii'!U11="VALID")),"INVALID",IF(NOT(AND('Calibrare_Linii'!S11="VALIDATED",AND('Calibrare_Linii'!H11=C1271,ISNUMBER('Calibrare_Linii'!J11),'Calibrare_Linii'!J11&lt;='Input_Meci'!G96))),"OOS PENDING",IF(S1271&lt;='Calibrare_Linii'!E11,"PASS",IF(S1271&lt;='Calibrare_Linii'!F11,"PENALTY","WATCH"))))))</x:f>
      </x:c>
      <x:c r="X1271" s="2" t="str">
        <x:f>IF(M1271="","",IF(AND(AND(J1271="PASS",'Calibrare_Linii'!U11="VALID"),'Motor_Meciuri'!K96=12,'Motor_Meciuri'!L96=12,'Motor_Meciuri'!M96="NO",'Motor_Meciuri'!BL96='Motor_Meciuri'!C96,AB1271&gt;='Config_v6'!$B$50,AN1271&gt;='Config_v6'!$B$51,T1271&lt;='Config_v6'!$B$52,L1271&lt;='Config_v6'!$B$53,ISNUMBER('Calibrare_Linii'!E11),S1271&lt;='Calibrare_Linii'!E11,SUM(AK1271:AM1271)&gt;0),"CANDIDATE","NO"))</x:f>
      </x:c>
      <x:c r="Y1271" s="2" t="str">
        <x:f>IF(B1271="","",IF(I1271&lt;&gt;"READY","NOT RELEASED",IF(AND(X1271="CANDIDATE",V1271&gt;='Config_v6'!$B$51,W1271="PASS",'Calibrare_Linii'!T11="VALIDATED",AND('Calibrare_Linii'!H11=C1271,ISNUMBER('Calibrare_Linii'!J11),'Calibrare_Linii'!J11&lt;='Input_Meci'!G96)),"PASS",IF(X1271="CANDIDATE","OOS PENDING","FAIL"))))</x:f>
      </x:c>
      <x:c r="Z1271" s="2" t="str">
        <x:f>IF(B1271="","",IF(I1271&lt;&gt;"READY","",IF(OR(NOT(AND(J1271="PASS",'Calibrare_Linii'!U11="VALID")),L1271&gt;'Config_v6'!$B$13,W1271="WATCH"),5,IF(Y1271="PASS",1,MIN(5,MAX('Config_v6'!$B$42,U1271)+IF(W1271="PENALTY",1,0))))))</x:f>
      </x:c>
      <x:c r="AA1271" s="2" t="str">
        <x:f>IF(B1271="","",IF(I1271&lt;&gt;"READY","NOT RELEASED",IF(Z1271=5,"NO BET",IF(OR(AB1271&lt;'Config_v6'!$B$16,V1271&lt;'Config_v6'!$B$18),"WATCH",IF(Z1271=1,"DEFENSIV",IF(Z1271=2,"PRUDENT",IF(Z1271=3,"MODERAT","RIDICAT")))))))</x:f>
      </x:c>
      <x:c r="AB1271" s="10" t="str">
        <x:f>IF(N1271="","",MIN(N1271,1-S1271))</x:f>
      </x:c>
      <x:c r="AC1271" s="2" t="str">
        <x:f>IF(AD1271&lt;&gt;1,"",COUNTIFS($Z$1266:$Z$1279,"&lt;"&amp;Z1271,$AD$1266:$AD$1279,1)+COUNTIFS($Z$1266:$Z$1279,Z1271,$AB$1266:$AB$1279,"&gt;"&amp;AB1271,$AD$1266:$AD$1279,1)+COUNTIFS($Z$1266:$Z$1279,Z1271,$AB$1266:$AB$1279,AB1271,$V$1266:$V$1279,"&gt;"&amp;V1271,$AD$1266:$AD$1279,1)+COUNTIFS($Z$1266:Z1271,Z1271,$AB$1266:AB1271,AB1271,$V$1266:V1271,V1271,$AD$1266:AD1271,1))</x:f>
      </x:c>
      <x:c r="AD1271" s="2" t="n">
        <x:f>IF(OR(AA1271="DEFENSIV",AA1271="PRUDENT",AA1271="MODERAT",AA1271="RIDICAT"),1,0)</x:f>
        <x:v>0</x:v>
      </x:c>
      <x:c r="AE1271" s="2" t="str">
        <x:f>IF(AD1271&lt;&gt;1,"NO",IF(W1271="PASS","YES",IF(W1271="OOS PENDING","CONDITIONAL","NO")))</x:f>
        <x:v>NO</x:v>
      </x:c>
      <x:c r="AF1271" s="2" t="n">
        <x:f>IF(AND(AD1271=1,AC1271=1,E1271="LIVE"),1,0)</x:f>
        <x:v>0</x:v>
      </x:c>
      <x:c r="AG1271" s="2" t="str">
        <x:f>IF(AF1271&lt;&gt;1,"",'Dashboard'!P116)</x:f>
      </x:c>
      <x:c r="AH1271" s="2" t="str">
        <x:f>IF(B1271="","",IF(J1271&lt;&gt;"PASS",'Motor_Meciuri'!J96,IF('Calibrare_Linii'!U11&lt;&gt;"VALID","Parametri linie invalizi",IF(L1271&gt;'Config_v6'!$B$13,"Dispersie peste limita",IF(W1271="WATCH","Failure peste limita",IF(AB1271&lt;'Config_v6'!$B$16,"P finala sub prag",IF(V1271&lt;'Config_v6'!$B$18,"Confidence sub prag",IF(E1271="REPLAY","Exemplu retrospectiv; exclus din Top LIVE",IF(Y1271="PASS","DEFENSIV validat",IF(W1271="OOS PENDING","Eligibil; calibrare linie in monitorizare","Eligibil"))))))))))</x:f>
      </x:c>
      <x:c r="AI1271" s="2" t="str">
        <x:f>IF(B1271="","",'Calibrare_Linii'!V11)</x:f>
      </x:c>
      <x:c r="AJ1271" s="2" t="str">
        <x:f>IF(B1271="","",IF(AND('Calibrare_Linii'!T11="VALIDATED",AND('Calibrare_Linii'!H11=C1271,ISNUMBER('Calibrare_Linii'!J11),'Calibrare_Linii'!J11&lt;='Input_Meci'!G96)),"DEFENSIVE VALIDATED",IF(AND('Calibrare_Linii'!S11="VALIDATED",AND('Calibrare_Linii'!H11=C1271,ISNUMBER('Calibrare_Linii'!J11),'Calibrare_Linii'!J11&lt;='Input_Meci'!G96)),"TAIL VALIDATED","OOS PENDING")))</x:f>
      </x:c>
      <x:c r="AK1271" s="2" t="n">
        <x:f>IF(J1271&lt;&gt;"PASS",0,'Motor_Meciuri'!BR96)</x:f>
        <x:v>0</x:v>
      </x:c>
      <x:c r="AL1271" s="2" t="n">
        <x:f>IF(J1271&lt;&gt;"PASS",0,'Motor_Meciuri'!BS96)</x:f>
        <x:v>0</x:v>
      </x:c>
      <x:c r="AM1271" s="2" t="n">
        <x:f>IF(J1271&lt;&gt;"PASS",0,'Motor_Meciuri'!BT96)</x:f>
        <x:v>0</x:v>
      </x:c>
      <x:c r="AN1271" s="2" t="str">
        <x:f>IF(M1271="","",MAX(0,'Motor_Meciuri'!BF96-IF(L1271&gt;'Config_v6'!$B$12,'Config_v6'!$B$37,IF(L1271&gt;'Config_v6'!$B$11,'Config_v6'!$B$36,0))))</x:f>
      </x:c>
    </x:row>
    <x:row r="1272" ht="21" customHeight="1">
      <x:c r="A1272" s="2" t="n">
        <x:v>91</x:v>
      </x:c>
      <x:c r="B1272" s="2" t="str">
        <x:f>IF('Motor_Meciuri'!A96="","",'Motor_Meciuri'!A96)</x:f>
      </x:c>
      <x:c r="C1272" s="2" t="str">
        <x:f>IF(B1272="","",'Motor_Meciuri'!B96)</x:f>
      </x:c>
      <x:c r="D1272" s="2" t="str">
        <x:f>IF(B1272="","",'Motor_Meciuri'!D96)</x:f>
      </x:c>
      <x:c r="E1272" s="2" t="str">
        <x:f>IF(B1272="","",'Motor_Meciuri'!E96)</x:f>
      </x:c>
      <x:c r="F1272" s="2" t="str">
        <x:v>U10,5</x:v>
      </x:c>
      <x:c r="G1272" s="2" t="str">
        <x:v>UNDER</x:v>
      </x:c>
      <x:c r="H1272" s="2" t="n">
        <x:v>10</x:v>
      </x:c>
      <x:c r="I1272" s="2" t="str">
        <x:f>IF(B1272="","",'Motor_Meciuri'!H96)</x:f>
      </x:c>
      <x:c r="J1272" s="2" t="str">
        <x:f>IF(B1272="","",'Motor_Meciuri'!I96)</x:f>
      </x:c>
      <x:c r="K1272" s="11" t="str">
        <x:f>IF(J1272&lt;&gt;"PASS","",'Motor_Meciuri'!BD96)</x:f>
      </x:c>
      <x:c r="L1272" s="11" t="str">
        <x:f>IF(J1272&lt;&gt;"PASS","",'Motor_Meciuri'!AU96)</x:f>
      </x:c>
      <x:c r="M1272" s="10" t="str">
        <x:f>IF(NOT(AND(J1272="PASS",'Calibrare_Linii'!U12="VALID")),"",'Distributie'!AH96)</x:f>
      </x:c>
      <x:c r="N1272" s="10" t="str">
        <x:f>IF(M1272="","",MAX(0.01,MIN(0.99,0.5+(M1272-0.5)*'Motor_Meciuri'!BG96*'Calibrare_Linii'!D12)))</x:f>
      </x:c>
      <x:c r="O1272" s="10" t="str">
        <x:f>IF(M1272="","",1-M1272)</x:f>
      </x:c>
      <x:c r="P1272" s="10" t="str">
        <x:f>IF(OR(NOT(AND(J1272="PASS",'Calibrare_Linii'!U12="VALID")),AK1272=0),""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*('Istoric_Nativ'!$Q$6:$Q$405&gt;H1272))/AK1272)</x:f>
      </x:c>
      <x:c r="Q1272" s="10" t="str">
        <x:f>IF(OR(NOT(AND(J1272="PASS",'Calibrare_Linii'!U12="VALID")),AL1272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M96)+((('Istoric_Nativ'!$E$6:$E$405='Input_Meci'!E96)+('Istoric_Nativ'!$F$6:$F$405='Input_Meci'!E96))&gt;0)*('Istoric_Nativ'!$D$6:$D$405&gt;='Motor_Meciuri'!BN96))&gt;0)*('Istoric_Nativ'!$Q$6:$Q$405&gt;H1272))/AL1272)</x:f>
      </x:c>
      <x:c r="R1272" s="10" t="str">
        <x:f>IF(OR(NOT(AND(J1272="PASS",'Calibrare_Linii'!U12="VALID")),AM1272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O96)+((('Istoric_Nativ'!$E$6:$E$405='Input_Meci'!E96)+('Istoric_Nativ'!$F$6:$F$405='Input_Meci'!E96))&gt;0)*('Istoric_Nativ'!$D$6:$D$405&gt;='Motor_Meciuri'!BP96))&gt;0)*('Istoric_Nativ'!$Q$6:$Q$405&gt;H1272))/AM1272)</x:f>
      </x:c>
      <x:c r="S1272" s="10" t="str">
        <x:f>IF(M1272="","",MAX(O1272,P1272,Q1272,R1272))</x:f>
      </x:c>
      <x:c r="T1272" s="11" t="str">
        <x:f>IF(M1272="","",MIN(100,S1272*100*'Config_v6'!$B$44+MIN(100,L1272/'Config_v6'!$B$13*100)*'Config_v6'!$B$45+(100-'Motor_Meciuri'!BF96)*'Config_v6'!$B$46+'Motor_Meciuri'!BH96*100*'Config_v6'!$B$47))</x:f>
      </x:c>
      <x:c r="U1272" s="2" t="str">
        <x:f>IF(T1272="","",IF(T1272&lt;=20,1,IF(T1272&lt;=40,2,IF(T1272&lt;=60,3,IF(T1272&lt;=80,4,5)))))</x:f>
      </x:c>
      <x:c r="V1272" s="2" t="str">
        <x:f>IF(M1272="","",MAX(0,'Motor_Meciuri'!BF96-IF(W1272="OOS PENDING",'Config_v6'!$B$35,0)-IF(L1272&gt;'Config_v6'!$B$12,'Config_v6'!$B$37,IF(L1272&gt;'Config_v6'!$B$11,'Config_v6'!$B$36,0))))</x:f>
      </x:c>
      <x:c r="W1272" s="2" t="str">
        <x:f>IF(B1272="","",IF(I1272&lt;&gt;"READY","NOT RELEASED",IF(NOT(AND(J1272="PASS",'Calibrare_Linii'!U12="VALID")),"INVALID",IF(NOT(AND('Calibrare_Linii'!S12="VALIDATED",AND('Calibrare_Linii'!H12=C1272,ISNUMBER('Calibrare_Linii'!J12),'Calibrare_Linii'!J12&lt;='Input_Meci'!G96))),"OOS PENDING",IF(S1272&lt;='Calibrare_Linii'!E12,"PASS",IF(S1272&lt;='Calibrare_Linii'!F12,"PENALTY","WATCH"))))))</x:f>
      </x:c>
      <x:c r="X1272" s="2" t="str">
        <x:f>IF(M1272="","",IF(AND(AND(J1272="PASS",'Calibrare_Linii'!U12="VALID"),'Motor_Meciuri'!K96=12,'Motor_Meciuri'!L96=12,'Motor_Meciuri'!M96="NO",'Motor_Meciuri'!BL96='Motor_Meciuri'!C96,AB1272&gt;='Config_v6'!$B$50,AN1272&gt;='Config_v6'!$B$51,T1272&lt;='Config_v6'!$B$52,L1272&lt;='Config_v6'!$B$53,ISNUMBER('Calibrare_Linii'!E12),S1272&lt;='Calibrare_Linii'!E12,SUM(AK1272:AM1272)&gt;0),"CANDIDATE","NO"))</x:f>
      </x:c>
      <x:c r="Y1272" s="2" t="str">
        <x:f>IF(B1272="","",IF(I1272&lt;&gt;"READY","NOT RELEASED",IF(AND(X1272="CANDIDATE",V1272&gt;='Config_v6'!$B$51,W1272="PASS",'Calibrare_Linii'!T12="VALIDATED",AND('Calibrare_Linii'!H12=C1272,ISNUMBER('Calibrare_Linii'!J12),'Calibrare_Linii'!J12&lt;='Input_Meci'!G96)),"PASS",IF(X1272="CANDIDATE","OOS PENDING","FAIL"))))</x:f>
      </x:c>
      <x:c r="Z1272" s="2" t="str">
        <x:f>IF(B1272="","",IF(I1272&lt;&gt;"READY","",IF(OR(NOT(AND(J1272="PASS",'Calibrare_Linii'!U12="VALID")),L1272&gt;'Config_v6'!$B$13,W1272="WATCH"),5,IF(Y1272="PASS",1,MIN(5,MAX('Config_v6'!$B$42,U1272)+IF(W1272="PENALTY",1,0))))))</x:f>
      </x:c>
      <x:c r="AA1272" s="2" t="str">
        <x:f>IF(B1272="","",IF(I1272&lt;&gt;"READY","NOT RELEASED",IF(Z1272=5,"NO BET",IF(OR(AB1272&lt;'Config_v6'!$B$16,V1272&lt;'Config_v6'!$B$18),"WATCH",IF(Z1272=1,"DEFENSIV",IF(Z1272=2,"PRUDENT",IF(Z1272=3,"MODERAT","RIDICAT")))))))</x:f>
      </x:c>
      <x:c r="AB1272" s="10" t="str">
        <x:f>IF(N1272="","",MIN(N1272,1-S1272))</x:f>
      </x:c>
      <x:c r="AC1272" s="2" t="str">
        <x:f>IF(AD1272&lt;&gt;1,"",COUNTIFS($Z$1266:$Z$1279,"&lt;"&amp;Z1272,$AD$1266:$AD$1279,1)+COUNTIFS($Z$1266:$Z$1279,Z1272,$AB$1266:$AB$1279,"&gt;"&amp;AB1272,$AD$1266:$AD$1279,1)+COUNTIFS($Z$1266:$Z$1279,Z1272,$AB$1266:$AB$1279,AB1272,$V$1266:$V$1279,"&gt;"&amp;V1272,$AD$1266:$AD$1279,1)+COUNTIFS($Z$1266:Z1272,Z1272,$AB$1266:AB1272,AB1272,$V$1266:V1272,V1272,$AD$1266:AD1272,1))</x:f>
      </x:c>
      <x:c r="AD1272" s="2" t="n">
        <x:f>IF(OR(AA1272="DEFENSIV",AA1272="PRUDENT",AA1272="MODERAT",AA1272="RIDICAT"),1,0)</x:f>
        <x:v>0</x:v>
      </x:c>
      <x:c r="AE1272" s="2" t="str">
        <x:f>IF(AD1272&lt;&gt;1,"NO",IF(W1272="PASS","YES",IF(W1272="OOS PENDING","CONDITIONAL","NO")))</x:f>
        <x:v>NO</x:v>
      </x:c>
      <x:c r="AF1272" s="2" t="n">
        <x:f>IF(AND(AD1272=1,AC1272=1,E1272="LIVE"),1,0)</x:f>
        <x:v>0</x:v>
      </x:c>
      <x:c r="AG1272" s="2" t="str">
        <x:f>IF(AF1272&lt;&gt;1,"",'Dashboard'!P116)</x:f>
      </x:c>
      <x:c r="AH1272" s="2" t="str">
        <x:f>IF(B1272="","",IF(J1272&lt;&gt;"PASS",'Motor_Meciuri'!J96,IF('Calibrare_Linii'!U12&lt;&gt;"VALID","Parametri linie invalizi",IF(L1272&gt;'Config_v6'!$B$13,"Dispersie peste limita",IF(W1272="WATCH","Failure peste limita",IF(AB1272&lt;'Config_v6'!$B$16,"P finala sub prag",IF(V1272&lt;'Config_v6'!$B$18,"Confidence sub prag",IF(E1272="REPLAY","Exemplu retrospectiv; exclus din Top LIVE",IF(Y1272="PASS","DEFENSIV validat",IF(W1272="OOS PENDING","Eligibil; calibrare linie in monitorizare","Eligibil"))))))))))</x:f>
      </x:c>
      <x:c r="AI1272" s="2" t="str">
        <x:f>IF(B1272="","",'Calibrare_Linii'!V12)</x:f>
      </x:c>
      <x:c r="AJ1272" s="2" t="str">
        <x:f>IF(B1272="","",IF(AND('Calibrare_Linii'!T12="VALIDATED",AND('Calibrare_Linii'!H12=C1272,ISNUMBER('Calibrare_Linii'!J12),'Calibrare_Linii'!J12&lt;='Input_Meci'!G96)),"DEFENSIVE VALIDATED",IF(AND('Calibrare_Linii'!S12="VALIDATED",AND('Calibrare_Linii'!H12=C1272,ISNUMBER('Calibrare_Linii'!J12),'Calibrare_Linii'!J12&lt;='Input_Meci'!G96)),"TAIL VALIDATED","OOS PENDING")))</x:f>
      </x:c>
      <x:c r="AK1272" s="2" t="n">
        <x:f>IF(J1272&lt;&gt;"PASS",0,'Motor_Meciuri'!BR96)</x:f>
        <x:v>0</x:v>
      </x:c>
      <x:c r="AL1272" s="2" t="n">
        <x:f>IF(J1272&lt;&gt;"PASS",0,'Motor_Meciuri'!BS96)</x:f>
        <x:v>0</x:v>
      </x:c>
      <x:c r="AM1272" s="2" t="n">
        <x:f>IF(J1272&lt;&gt;"PASS",0,'Motor_Meciuri'!BT96)</x:f>
        <x:v>0</x:v>
      </x:c>
      <x:c r="AN1272" s="2" t="str">
        <x:f>IF(M1272="","",MAX(0,'Motor_Meciuri'!BF96-IF(L1272&gt;'Config_v6'!$B$12,'Config_v6'!$B$37,IF(L1272&gt;'Config_v6'!$B$11,'Config_v6'!$B$36,0))))</x:f>
      </x:c>
    </x:row>
    <x:row r="1273" ht="21" customHeight="1">
      <x:c r="A1273" s="2" t="n">
        <x:v>91</x:v>
      </x:c>
      <x:c r="B1273" s="2" t="str">
        <x:f>IF('Motor_Meciuri'!A96="","",'Motor_Meciuri'!A96)</x:f>
      </x:c>
      <x:c r="C1273" s="2" t="str">
        <x:f>IF(B1273="","",'Motor_Meciuri'!B96)</x:f>
      </x:c>
      <x:c r="D1273" s="2" t="str">
        <x:f>IF(B1273="","",'Motor_Meciuri'!D96)</x:f>
      </x:c>
      <x:c r="E1273" s="2" t="str">
        <x:f>IF(B1273="","",'Motor_Meciuri'!E96)</x:f>
      </x:c>
      <x:c r="F1273" s="2" t="str">
        <x:v>U11,5</x:v>
      </x:c>
      <x:c r="G1273" s="2" t="str">
        <x:v>UNDER</x:v>
      </x:c>
      <x:c r="H1273" s="2" t="n">
        <x:v>11</x:v>
      </x:c>
      <x:c r="I1273" s="2" t="str">
        <x:f>IF(B1273="","",'Motor_Meciuri'!H96)</x:f>
      </x:c>
      <x:c r="J1273" s="2" t="str">
        <x:f>IF(B1273="","",'Motor_Meciuri'!I96)</x:f>
      </x:c>
      <x:c r="K1273" s="11" t="str">
        <x:f>IF(J1273&lt;&gt;"PASS","",'Motor_Meciuri'!BD96)</x:f>
      </x:c>
      <x:c r="L1273" s="11" t="str">
        <x:f>IF(J1273&lt;&gt;"PASS","",'Motor_Meciuri'!AU96)</x:f>
      </x:c>
      <x:c r="M1273" s="10" t="str">
        <x:f>IF(NOT(AND(J1273="PASS",'Calibrare_Linii'!U13="VALID")),"",'Distributie'!AI96)</x:f>
      </x:c>
      <x:c r="N1273" s="10" t="str">
        <x:f>IF(M1273="","",MAX(0.01,MIN(0.99,0.5+(M1273-0.5)*'Motor_Meciuri'!BG96*'Calibrare_Linii'!D13)))</x:f>
      </x:c>
      <x:c r="O1273" s="10" t="str">
        <x:f>IF(M1273="","",1-M1273)</x:f>
      </x:c>
      <x:c r="P1273" s="10" t="str">
        <x:f>IF(OR(NOT(AND(J1273="PASS",'Calibrare_Linii'!U13="VALID")),AK1273=0),""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*('Istoric_Nativ'!$Q$6:$Q$405&gt;H1273))/AK1273)</x:f>
      </x:c>
      <x:c r="Q1273" s="10" t="str">
        <x:f>IF(OR(NOT(AND(J1273="PASS",'Calibrare_Linii'!U13="VALID")),AL1273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M96)+((('Istoric_Nativ'!$E$6:$E$405='Input_Meci'!E96)+('Istoric_Nativ'!$F$6:$F$405='Input_Meci'!E96))&gt;0)*('Istoric_Nativ'!$D$6:$D$405&gt;='Motor_Meciuri'!BN96))&gt;0)*('Istoric_Nativ'!$Q$6:$Q$405&gt;H1273))/AL1273)</x:f>
      </x:c>
      <x:c r="R1273" s="10" t="str">
        <x:f>IF(OR(NOT(AND(J1273="PASS",'Calibrare_Linii'!U13="VALID")),AM1273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O96)+((('Istoric_Nativ'!$E$6:$E$405='Input_Meci'!E96)+('Istoric_Nativ'!$F$6:$F$405='Input_Meci'!E96))&gt;0)*('Istoric_Nativ'!$D$6:$D$405&gt;='Motor_Meciuri'!BP96))&gt;0)*('Istoric_Nativ'!$Q$6:$Q$405&gt;H1273))/AM1273)</x:f>
      </x:c>
      <x:c r="S1273" s="10" t="str">
        <x:f>IF(M1273="","",MAX(O1273,P1273,Q1273,R1273))</x:f>
      </x:c>
      <x:c r="T1273" s="11" t="str">
        <x:f>IF(M1273="","",MIN(100,S1273*100*'Config_v6'!$B$44+MIN(100,L1273/'Config_v6'!$B$13*100)*'Config_v6'!$B$45+(100-'Motor_Meciuri'!BF96)*'Config_v6'!$B$46+'Motor_Meciuri'!BH96*100*'Config_v6'!$B$47))</x:f>
      </x:c>
      <x:c r="U1273" s="2" t="str">
        <x:f>IF(T1273="","",IF(T1273&lt;=20,1,IF(T1273&lt;=40,2,IF(T1273&lt;=60,3,IF(T1273&lt;=80,4,5)))))</x:f>
      </x:c>
      <x:c r="V1273" s="2" t="str">
        <x:f>IF(M1273="","",MAX(0,'Motor_Meciuri'!BF96-IF(W1273="OOS PENDING",'Config_v6'!$B$35,0)-IF(L1273&gt;'Config_v6'!$B$12,'Config_v6'!$B$37,IF(L1273&gt;'Config_v6'!$B$11,'Config_v6'!$B$36,0))))</x:f>
      </x:c>
      <x:c r="W1273" s="2" t="str">
        <x:f>IF(B1273="","",IF(I1273&lt;&gt;"READY","NOT RELEASED",IF(NOT(AND(J1273="PASS",'Calibrare_Linii'!U13="VALID")),"INVALID",IF(NOT(AND('Calibrare_Linii'!S13="VALIDATED",AND('Calibrare_Linii'!H13=C1273,ISNUMBER('Calibrare_Linii'!J13),'Calibrare_Linii'!J13&lt;='Input_Meci'!G96))),"OOS PENDING",IF(S1273&lt;='Calibrare_Linii'!E13,"PASS",IF(S1273&lt;='Calibrare_Linii'!F13,"PENALTY","WATCH"))))))</x:f>
      </x:c>
      <x:c r="X1273" s="2" t="str">
        <x:f>IF(M1273="","",IF(AND(AND(J1273="PASS",'Calibrare_Linii'!U13="VALID"),'Motor_Meciuri'!K96=12,'Motor_Meciuri'!L96=12,'Motor_Meciuri'!M96="NO",'Motor_Meciuri'!BL96='Motor_Meciuri'!C96,AB1273&gt;='Config_v6'!$B$50,AN1273&gt;='Config_v6'!$B$51,T1273&lt;='Config_v6'!$B$52,L1273&lt;='Config_v6'!$B$53,ISNUMBER('Calibrare_Linii'!E13),S1273&lt;='Calibrare_Linii'!E13,SUM(AK1273:AM1273)&gt;0),"CANDIDATE","NO"))</x:f>
      </x:c>
      <x:c r="Y1273" s="2" t="str">
        <x:f>IF(B1273="","",IF(I1273&lt;&gt;"READY","NOT RELEASED",IF(AND(X1273="CANDIDATE",V1273&gt;='Config_v6'!$B$51,W1273="PASS",'Calibrare_Linii'!T13="VALIDATED",AND('Calibrare_Linii'!H13=C1273,ISNUMBER('Calibrare_Linii'!J13),'Calibrare_Linii'!J13&lt;='Input_Meci'!G96)),"PASS",IF(X1273="CANDIDATE","OOS PENDING","FAIL"))))</x:f>
      </x:c>
      <x:c r="Z1273" s="2" t="str">
        <x:f>IF(B1273="","",IF(I1273&lt;&gt;"READY","",IF(OR(NOT(AND(J1273="PASS",'Calibrare_Linii'!U13="VALID")),L1273&gt;'Config_v6'!$B$13,W1273="WATCH"),5,IF(Y1273="PASS",1,MIN(5,MAX('Config_v6'!$B$42,U1273)+IF(W1273="PENALTY",1,0))))))</x:f>
      </x:c>
      <x:c r="AA1273" s="2" t="str">
        <x:f>IF(B1273="","",IF(I1273&lt;&gt;"READY","NOT RELEASED",IF(Z1273=5,"NO BET",IF(OR(AB1273&lt;'Config_v6'!$B$16,V1273&lt;'Config_v6'!$B$18),"WATCH",IF(Z1273=1,"DEFENSIV",IF(Z1273=2,"PRUDENT",IF(Z1273=3,"MODERAT","RIDICAT")))))))</x:f>
      </x:c>
      <x:c r="AB1273" s="10" t="str">
        <x:f>IF(N1273="","",MIN(N1273,1-S1273))</x:f>
      </x:c>
      <x:c r="AC1273" s="2" t="str">
        <x:f>IF(AD1273&lt;&gt;1,"",COUNTIFS($Z$1266:$Z$1279,"&lt;"&amp;Z1273,$AD$1266:$AD$1279,1)+COUNTIFS($Z$1266:$Z$1279,Z1273,$AB$1266:$AB$1279,"&gt;"&amp;AB1273,$AD$1266:$AD$1279,1)+COUNTIFS($Z$1266:$Z$1279,Z1273,$AB$1266:$AB$1279,AB1273,$V$1266:$V$1279,"&gt;"&amp;V1273,$AD$1266:$AD$1279,1)+COUNTIFS($Z$1266:Z1273,Z1273,$AB$1266:AB1273,AB1273,$V$1266:V1273,V1273,$AD$1266:AD1273,1))</x:f>
      </x:c>
      <x:c r="AD1273" s="2" t="n">
        <x:f>IF(OR(AA1273="DEFENSIV",AA1273="PRUDENT",AA1273="MODERAT",AA1273="RIDICAT"),1,0)</x:f>
        <x:v>0</x:v>
      </x:c>
      <x:c r="AE1273" s="2" t="str">
        <x:f>IF(AD1273&lt;&gt;1,"NO",IF(W1273="PASS","YES",IF(W1273="OOS PENDING","CONDITIONAL","NO")))</x:f>
        <x:v>NO</x:v>
      </x:c>
      <x:c r="AF1273" s="2" t="n">
        <x:f>IF(AND(AD1273=1,AC1273=1,E1273="LIVE"),1,0)</x:f>
        <x:v>0</x:v>
      </x:c>
      <x:c r="AG1273" s="2" t="str">
        <x:f>IF(AF1273&lt;&gt;1,"",'Dashboard'!P116)</x:f>
      </x:c>
      <x:c r="AH1273" s="2" t="str">
        <x:f>IF(B1273="","",IF(J1273&lt;&gt;"PASS",'Motor_Meciuri'!J96,IF('Calibrare_Linii'!U13&lt;&gt;"VALID","Parametri linie invalizi",IF(L1273&gt;'Config_v6'!$B$13,"Dispersie peste limita",IF(W1273="WATCH","Failure peste limita",IF(AB1273&lt;'Config_v6'!$B$16,"P finala sub prag",IF(V1273&lt;'Config_v6'!$B$18,"Confidence sub prag",IF(E1273="REPLAY","Exemplu retrospectiv; exclus din Top LIVE",IF(Y1273="PASS","DEFENSIV validat",IF(W1273="OOS PENDING","Eligibil; calibrare linie in monitorizare","Eligibil"))))))))))</x:f>
      </x:c>
      <x:c r="AI1273" s="2" t="str">
        <x:f>IF(B1273="","",'Calibrare_Linii'!V13)</x:f>
      </x:c>
      <x:c r="AJ1273" s="2" t="str">
        <x:f>IF(B1273="","",IF(AND('Calibrare_Linii'!T13="VALIDATED",AND('Calibrare_Linii'!H13=C1273,ISNUMBER('Calibrare_Linii'!J13),'Calibrare_Linii'!J13&lt;='Input_Meci'!G96)),"DEFENSIVE VALIDATED",IF(AND('Calibrare_Linii'!S13="VALIDATED",AND('Calibrare_Linii'!H13=C1273,ISNUMBER('Calibrare_Linii'!J13),'Calibrare_Linii'!J13&lt;='Input_Meci'!G96)),"TAIL VALIDATED","OOS PENDING")))</x:f>
      </x:c>
      <x:c r="AK1273" s="2" t="n">
        <x:f>IF(J1273&lt;&gt;"PASS",0,'Motor_Meciuri'!BR96)</x:f>
        <x:v>0</x:v>
      </x:c>
      <x:c r="AL1273" s="2" t="n">
        <x:f>IF(J1273&lt;&gt;"PASS",0,'Motor_Meciuri'!BS96)</x:f>
        <x:v>0</x:v>
      </x:c>
      <x:c r="AM1273" s="2" t="n">
        <x:f>IF(J1273&lt;&gt;"PASS",0,'Motor_Meciuri'!BT96)</x:f>
        <x:v>0</x:v>
      </x:c>
      <x:c r="AN1273" s="2" t="str">
        <x:f>IF(M1273="","",MAX(0,'Motor_Meciuri'!BF96-IF(L1273&gt;'Config_v6'!$B$12,'Config_v6'!$B$37,IF(L1273&gt;'Config_v6'!$B$11,'Config_v6'!$B$36,0))))</x:f>
      </x:c>
    </x:row>
    <x:row r="1274" ht="21" customHeight="1">
      <x:c r="A1274" s="2" t="n">
        <x:v>91</x:v>
      </x:c>
      <x:c r="B1274" s="2" t="str">
        <x:f>IF('Motor_Meciuri'!A96="","",'Motor_Meciuri'!A96)</x:f>
      </x:c>
      <x:c r="C1274" s="2" t="str">
        <x:f>IF(B1274="","",'Motor_Meciuri'!B96)</x:f>
      </x:c>
      <x:c r="D1274" s="2" t="str">
        <x:f>IF(B1274="","",'Motor_Meciuri'!D96)</x:f>
      </x:c>
      <x:c r="E1274" s="2" t="str">
        <x:f>IF(B1274="","",'Motor_Meciuri'!E96)</x:f>
      </x:c>
      <x:c r="F1274" s="2" t="str">
        <x:v>U12,5</x:v>
      </x:c>
      <x:c r="G1274" s="2" t="str">
        <x:v>UNDER</x:v>
      </x:c>
      <x:c r="H1274" s="2" t="n">
        <x:v>12</x:v>
      </x:c>
      <x:c r="I1274" s="2" t="str">
        <x:f>IF(B1274="","",'Motor_Meciuri'!H96)</x:f>
      </x:c>
      <x:c r="J1274" s="2" t="str">
        <x:f>IF(B1274="","",'Motor_Meciuri'!I96)</x:f>
      </x:c>
      <x:c r="K1274" s="11" t="str">
        <x:f>IF(J1274&lt;&gt;"PASS","",'Motor_Meciuri'!BD96)</x:f>
      </x:c>
      <x:c r="L1274" s="11" t="str">
        <x:f>IF(J1274&lt;&gt;"PASS","",'Motor_Meciuri'!AU96)</x:f>
      </x:c>
      <x:c r="M1274" s="10" t="str">
        <x:f>IF(NOT(AND(J1274="PASS",'Calibrare_Linii'!U14="VALID")),"",'Distributie'!AJ96)</x:f>
      </x:c>
      <x:c r="N1274" s="10" t="str">
        <x:f>IF(M1274="","",MAX(0.01,MIN(0.99,0.5+(M1274-0.5)*'Motor_Meciuri'!BG96*'Calibrare_Linii'!D14)))</x:f>
      </x:c>
      <x:c r="O1274" s="10" t="str">
        <x:f>IF(M1274="","",1-M1274)</x:f>
      </x:c>
      <x:c r="P1274" s="10" t="str">
        <x:f>IF(OR(NOT(AND(J1274="PASS",'Calibrare_Linii'!U14="VALID")),AK1274=0),""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*('Istoric_Nativ'!$Q$6:$Q$405&gt;H1274))/AK1274)</x:f>
      </x:c>
      <x:c r="Q1274" s="10" t="str">
        <x:f>IF(OR(NOT(AND(J1274="PASS",'Calibrare_Linii'!U14="VALID")),AL1274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M96)+((('Istoric_Nativ'!$E$6:$E$405='Input_Meci'!E96)+('Istoric_Nativ'!$F$6:$F$405='Input_Meci'!E96))&gt;0)*('Istoric_Nativ'!$D$6:$D$405&gt;='Motor_Meciuri'!BN96))&gt;0)*('Istoric_Nativ'!$Q$6:$Q$405&gt;H1274))/AL1274)</x:f>
      </x:c>
      <x:c r="R1274" s="10" t="str">
        <x:f>IF(OR(NOT(AND(J1274="PASS",'Calibrare_Linii'!U14="VALID")),AM1274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O96)+((('Istoric_Nativ'!$E$6:$E$405='Input_Meci'!E96)+('Istoric_Nativ'!$F$6:$F$405='Input_Meci'!E96))&gt;0)*('Istoric_Nativ'!$D$6:$D$405&gt;='Motor_Meciuri'!BP96))&gt;0)*('Istoric_Nativ'!$Q$6:$Q$405&gt;H1274))/AM1274)</x:f>
      </x:c>
      <x:c r="S1274" s="10" t="str">
        <x:f>IF(M1274="","",MAX(O1274,P1274,Q1274,R1274))</x:f>
      </x:c>
      <x:c r="T1274" s="11" t="str">
        <x:f>IF(M1274="","",MIN(100,S1274*100*'Config_v6'!$B$44+MIN(100,L1274/'Config_v6'!$B$13*100)*'Config_v6'!$B$45+(100-'Motor_Meciuri'!BF96)*'Config_v6'!$B$46+'Motor_Meciuri'!BH96*100*'Config_v6'!$B$47))</x:f>
      </x:c>
      <x:c r="U1274" s="2" t="str">
        <x:f>IF(T1274="","",IF(T1274&lt;=20,1,IF(T1274&lt;=40,2,IF(T1274&lt;=60,3,IF(T1274&lt;=80,4,5)))))</x:f>
      </x:c>
      <x:c r="V1274" s="2" t="str">
        <x:f>IF(M1274="","",MAX(0,'Motor_Meciuri'!BF96-IF(W1274="OOS PENDING",'Config_v6'!$B$35,0)-IF(L1274&gt;'Config_v6'!$B$12,'Config_v6'!$B$37,IF(L1274&gt;'Config_v6'!$B$11,'Config_v6'!$B$36,0))))</x:f>
      </x:c>
      <x:c r="W1274" s="2" t="str">
        <x:f>IF(B1274="","",IF(I1274&lt;&gt;"READY","NOT RELEASED",IF(NOT(AND(J1274="PASS",'Calibrare_Linii'!U14="VALID")),"INVALID",IF(NOT(AND('Calibrare_Linii'!S14="VALIDATED",AND('Calibrare_Linii'!H14=C1274,ISNUMBER('Calibrare_Linii'!J14),'Calibrare_Linii'!J14&lt;='Input_Meci'!G96))),"OOS PENDING",IF(S1274&lt;='Calibrare_Linii'!E14,"PASS",IF(S1274&lt;='Calibrare_Linii'!F14,"PENALTY","WATCH"))))))</x:f>
      </x:c>
      <x:c r="X1274" s="2" t="str">
        <x:f>IF(M1274="","",IF(AND(AND(J1274="PASS",'Calibrare_Linii'!U14="VALID"),'Motor_Meciuri'!K96=12,'Motor_Meciuri'!L96=12,'Motor_Meciuri'!M96="NO",'Motor_Meciuri'!BL96='Motor_Meciuri'!C96,AB1274&gt;='Config_v6'!$B$50,AN1274&gt;='Config_v6'!$B$51,T1274&lt;='Config_v6'!$B$52,L1274&lt;='Config_v6'!$B$53,ISNUMBER('Calibrare_Linii'!E14),S1274&lt;='Calibrare_Linii'!E14,SUM(AK1274:AM1274)&gt;0),"CANDIDATE","NO"))</x:f>
      </x:c>
      <x:c r="Y1274" s="2" t="str">
        <x:f>IF(B1274="","",IF(I1274&lt;&gt;"READY","NOT RELEASED",IF(AND(X1274="CANDIDATE",V1274&gt;='Config_v6'!$B$51,W1274="PASS",'Calibrare_Linii'!T14="VALIDATED",AND('Calibrare_Linii'!H14=C1274,ISNUMBER('Calibrare_Linii'!J14),'Calibrare_Linii'!J14&lt;='Input_Meci'!G96)),"PASS",IF(X1274="CANDIDATE","OOS PENDING","FAIL"))))</x:f>
      </x:c>
      <x:c r="Z1274" s="2" t="str">
        <x:f>IF(B1274="","",IF(I1274&lt;&gt;"READY","",IF(OR(NOT(AND(J1274="PASS",'Calibrare_Linii'!U14="VALID")),L1274&gt;'Config_v6'!$B$13,W1274="WATCH"),5,IF(Y1274="PASS",1,MIN(5,MAX('Config_v6'!$B$42,U1274)+IF(W1274="PENALTY",1,0))))))</x:f>
      </x:c>
      <x:c r="AA1274" s="2" t="str">
        <x:f>IF(B1274="","",IF(I1274&lt;&gt;"READY","NOT RELEASED",IF(Z1274=5,"NO BET",IF(OR(AB1274&lt;'Config_v6'!$B$16,V1274&lt;'Config_v6'!$B$18),"WATCH",IF(Z1274=1,"DEFENSIV",IF(Z1274=2,"PRUDENT",IF(Z1274=3,"MODERAT","RIDICAT")))))))</x:f>
      </x:c>
      <x:c r="AB1274" s="10" t="str">
        <x:f>IF(N1274="","",MIN(N1274,1-S1274))</x:f>
      </x:c>
      <x:c r="AC1274" s="2" t="str">
        <x:f>IF(AD1274&lt;&gt;1,"",COUNTIFS($Z$1266:$Z$1279,"&lt;"&amp;Z1274,$AD$1266:$AD$1279,1)+COUNTIFS($Z$1266:$Z$1279,Z1274,$AB$1266:$AB$1279,"&gt;"&amp;AB1274,$AD$1266:$AD$1279,1)+COUNTIFS($Z$1266:$Z$1279,Z1274,$AB$1266:$AB$1279,AB1274,$V$1266:$V$1279,"&gt;"&amp;V1274,$AD$1266:$AD$1279,1)+COUNTIFS($Z$1266:Z1274,Z1274,$AB$1266:AB1274,AB1274,$V$1266:V1274,V1274,$AD$1266:AD1274,1))</x:f>
      </x:c>
      <x:c r="AD1274" s="2" t="n">
        <x:f>IF(OR(AA1274="DEFENSIV",AA1274="PRUDENT",AA1274="MODERAT",AA1274="RIDICAT"),1,0)</x:f>
        <x:v>0</x:v>
      </x:c>
      <x:c r="AE1274" s="2" t="str">
        <x:f>IF(AD1274&lt;&gt;1,"NO",IF(W1274="PASS","YES",IF(W1274="OOS PENDING","CONDITIONAL","NO")))</x:f>
        <x:v>NO</x:v>
      </x:c>
      <x:c r="AF1274" s="2" t="n">
        <x:f>IF(AND(AD1274=1,AC1274=1,E1274="LIVE"),1,0)</x:f>
        <x:v>0</x:v>
      </x:c>
      <x:c r="AG1274" s="2" t="str">
        <x:f>IF(AF1274&lt;&gt;1,"",'Dashboard'!P116)</x:f>
      </x:c>
      <x:c r="AH1274" s="2" t="str">
        <x:f>IF(B1274="","",IF(J1274&lt;&gt;"PASS",'Motor_Meciuri'!J96,IF('Calibrare_Linii'!U14&lt;&gt;"VALID","Parametri linie invalizi",IF(L1274&gt;'Config_v6'!$B$13,"Dispersie peste limita",IF(W1274="WATCH","Failure peste limita",IF(AB1274&lt;'Config_v6'!$B$16,"P finala sub prag",IF(V1274&lt;'Config_v6'!$B$18,"Confidence sub prag",IF(E1274="REPLAY","Exemplu retrospectiv; exclus din Top LIVE",IF(Y1274="PASS","DEFENSIV validat",IF(W1274="OOS PENDING","Eligibil; calibrare linie in monitorizare","Eligibil"))))))))))</x:f>
      </x:c>
      <x:c r="AI1274" s="2" t="str">
        <x:f>IF(B1274="","",'Calibrare_Linii'!V14)</x:f>
      </x:c>
      <x:c r="AJ1274" s="2" t="str">
        <x:f>IF(B1274="","",IF(AND('Calibrare_Linii'!T14="VALIDATED",AND('Calibrare_Linii'!H14=C1274,ISNUMBER('Calibrare_Linii'!J14),'Calibrare_Linii'!J14&lt;='Input_Meci'!G96)),"DEFENSIVE VALIDATED",IF(AND('Calibrare_Linii'!S14="VALIDATED",AND('Calibrare_Linii'!H14=C1274,ISNUMBER('Calibrare_Linii'!J14),'Calibrare_Linii'!J14&lt;='Input_Meci'!G96)),"TAIL VALIDATED","OOS PENDING")))</x:f>
      </x:c>
      <x:c r="AK1274" s="2" t="n">
        <x:f>IF(J1274&lt;&gt;"PASS",0,'Motor_Meciuri'!BR96)</x:f>
        <x:v>0</x:v>
      </x:c>
      <x:c r="AL1274" s="2" t="n">
        <x:f>IF(J1274&lt;&gt;"PASS",0,'Motor_Meciuri'!BS96)</x:f>
        <x:v>0</x:v>
      </x:c>
      <x:c r="AM1274" s="2" t="n">
        <x:f>IF(J1274&lt;&gt;"PASS",0,'Motor_Meciuri'!BT96)</x:f>
        <x:v>0</x:v>
      </x:c>
      <x:c r="AN1274" s="2" t="str">
        <x:f>IF(M1274="","",MAX(0,'Motor_Meciuri'!BF96-IF(L1274&gt;'Config_v6'!$B$12,'Config_v6'!$B$37,IF(L1274&gt;'Config_v6'!$B$11,'Config_v6'!$B$36,0))))</x:f>
      </x:c>
    </x:row>
    <x:row r="1275" ht="21" customHeight="1">
      <x:c r="A1275" s="2" t="n">
        <x:v>91</x:v>
      </x:c>
      <x:c r="B1275" s="2" t="str">
        <x:f>IF('Motor_Meciuri'!A96="","",'Motor_Meciuri'!A96)</x:f>
      </x:c>
      <x:c r="C1275" s="2" t="str">
        <x:f>IF(B1275="","",'Motor_Meciuri'!B96)</x:f>
      </x:c>
      <x:c r="D1275" s="2" t="str">
        <x:f>IF(B1275="","",'Motor_Meciuri'!D96)</x:f>
      </x:c>
      <x:c r="E1275" s="2" t="str">
        <x:f>IF(B1275="","",'Motor_Meciuri'!E96)</x:f>
      </x:c>
      <x:c r="F1275" s="2" t="str">
        <x:v>U13,5</x:v>
      </x:c>
      <x:c r="G1275" s="2" t="str">
        <x:v>UNDER</x:v>
      </x:c>
      <x:c r="H1275" s="2" t="n">
        <x:v>13</x:v>
      </x:c>
      <x:c r="I1275" s="2" t="str">
        <x:f>IF(B1275="","",'Motor_Meciuri'!H96)</x:f>
      </x:c>
      <x:c r="J1275" s="2" t="str">
        <x:f>IF(B1275="","",'Motor_Meciuri'!I96)</x:f>
      </x:c>
      <x:c r="K1275" s="11" t="str">
        <x:f>IF(J1275&lt;&gt;"PASS","",'Motor_Meciuri'!BD96)</x:f>
      </x:c>
      <x:c r="L1275" s="11" t="str">
        <x:f>IF(J1275&lt;&gt;"PASS","",'Motor_Meciuri'!AU96)</x:f>
      </x:c>
      <x:c r="M1275" s="10" t="str">
        <x:f>IF(NOT(AND(J1275="PASS",'Calibrare_Linii'!U15="VALID")),"",'Distributie'!AK96)</x:f>
      </x:c>
      <x:c r="N1275" s="10" t="str">
        <x:f>IF(M1275="","",MAX(0.01,MIN(0.99,0.5+(M1275-0.5)*'Motor_Meciuri'!BG96*'Calibrare_Linii'!D15)))</x:f>
      </x:c>
      <x:c r="O1275" s="10" t="str">
        <x:f>IF(M1275="","",1-M1275)</x:f>
      </x:c>
      <x:c r="P1275" s="10" t="str">
        <x:f>IF(OR(NOT(AND(J1275="PASS",'Calibrare_Linii'!U15="VALID")),AK1275=0),""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*('Istoric_Nativ'!$Q$6:$Q$405&gt;H1275))/AK1275)</x:f>
      </x:c>
      <x:c r="Q1275" s="10" t="str">
        <x:f>IF(OR(NOT(AND(J1275="PASS",'Calibrare_Linii'!U15="VALID")),AL1275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M96)+((('Istoric_Nativ'!$E$6:$E$405='Input_Meci'!E96)+('Istoric_Nativ'!$F$6:$F$405='Input_Meci'!E96))&gt;0)*('Istoric_Nativ'!$D$6:$D$405&gt;='Motor_Meciuri'!BN96))&gt;0)*('Istoric_Nativ'!$Q$6:$Q$405&gt;H1275))/AL1275)</x:f>
      </x:c>
      <x:c r="R1275" s="10" t="str">
        <x:f>IF(OR(NOT(AND(J1275="PASS",'Calibrare_Linii'!U15="VALID")),AM1275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O96)+((('Istoric_Nativ'!$E$6:$E$405='Input_Meci'!E96)+('Istoric_Nativ'!$F$6:$F$405='Input_Meci'!E96))&gt;0)*('Istoric_Nativ'!$D$6:$D$405&gt;='Motor_Meciuri'!BP96))&gt;0)*('Istoric_Nativ'!$Q$6:$Q$405&gt;H1275))/AM1275)</x:f>
      </x:c>
      <x:c r="S1275" s="10" t="str">
        <x:f>IF(M1275="","",MAX(O1275,P1275,Q1275,R1275))</x:f>
      </x:c>
      <x:c r="T1275" s="11" t="str">
        <x:f>IF(M1275="","",MIN(100,S1275*100*'Config_v6'!$B$44+MIN(100,L1275/'Config_v6'!$B$13*100)*'Config_v6'!$B$45+(100-'Motor_Meciuri'!BF96)*'Config_v6'!$B$46+'Motor_Meciuri'!BH96*100*'Config_v6'!$B$47))</x:f>
      </x:c>
      <x:c r="U1275" s="2" t="str">
        <x:f>IF(T1275="","",IF(T1275&lt;=20,1,IF(T1275&lt;=40,2,IF(T1275&lt;=60,3,IF(T1275&lt;=80,4,5)))))</x:f>
      </x:c>
      <x:c r="V1275" s="2" t="str">
        <x:f>IF(M1275="","",MAX(0,'Motor_Meciuri'!BF96-IF(W1275="OOS PENDING",'Config_v6'!$B$35,0)-IF(L1275&gt;'Config_v6'!$B$12,'Config_v6'!$B$37,IF(L1275&gt;'Config_v6'!$B$11,'Config_v6'!$B$36,0))))</x:f>
      </x:c>
      <x:c r="W1275" s="2" t="str">
        <x:f>IF(B1275="","",IF(I1275&lt;&gt;"READY","NOT RELEASED",IF(NOT(AND(J1275="PASS",'Calibrare_Linii'!U15="VALID")),"INVALID",IF(NOT(AND('Calibrare_Linii'!S15="VALIDATED",AND('Calibrare_Linii'!H15=C1275,ISNUMBER('Calibrare_Linii'!J15),'Calibrare_Linii'!J15&lt;='Input_Meci'!G96))),"OOS PENDING",IF(S1275&lt;='Calibrare_Linii'!E15,"PASS",IF(S1275&lt;='Calibrare_Linii'!F15,"PENALTY","WATCH"))))))</x:f>
      </x:c>
      <x:c r="X1275" s="2" t="str">
        <x:f>IF(M1275="","",IF(AND(AND(J1275="PASS",'Calibrare_Linii'!U15="VALID"),'Motor_Meciuri'!K96=12,'Motor_Meciuri'!L96=12,'Motor_Meciuri'!M96="NO",'Motor_Meciuri'!BL96='Motor_Meciuri'!C96,AB1275&gt;='Config_v6'!$B$50,AN1275&gt;='Config_v6'!$B$51,T1275&lt;='Config_v6'!$B$52,L1275&lt;='Config_v6'!$B$53,ISNUMBER('Calibrare_Linii'!E15),S1275&lt;='Calibrare_Linii'!E15,SUM(AK1275:AM1275)&gt;0),"CANDIDATE","NO"))</x:f>
      </x:c>
      <x:c r="Y1275" s="2" t="str">
        <x:f>IF(B1275="","",IF(I1275&lt;&gt;"READY","NOT RELEASED",IF(AND(X1275="CANDIDATE",V1275&gt;='Config_v6'!$B$51,W1275="PASS",'Calibrare_Linii'!T15="VALIDATED",AND('Calibrare_Linii'!H15=C1275,ISNUMBER('Calibrare_Linii'!J15),'Calibrare_Linii'!J15&lt;='Input_Meci'!G96)),"PASS",IF(X1275="CANDIDATE","OOS PENDING","FAIL"))))</x:f>
      </x:c>
      <x:c r="Z1275" s="2" t="str">
        <x:f>IF(B1275="","",IF(I1275&lt;&gt;"READY","",IF(OR(NOT(AND(J1275="PASS",'Calibrare_Linii'!U15="VALID")),L1275&gt;'Config_v6'!$B$13,W1275="WATCH"),5,IF(Y1275="PASS",1,MIN(5,MAX('Config_v6'!$B$42,U1275)+IF(W1275="PENALTY",1,0))))))</x:f>
      </x:c>
      <x:c r="AA1275" s="2" t="str">
        <x:f>IF(B1275="","",IF(I1275&lt;&gt;"READY","NOT RELEASED",IF(Z1275=5,"NO BET",IF(OR(AB1275&lt;'Config_v6'!$B$16,V1275&lt;'Config_v6'!$B$18),"WATCH",IF(Z1275=1,"DEFENSIV",IF(Z1275=2,"PRUDENT",IF(Z1275=3,"MODERAT","RIDICAT")))))))</x:f>
      </x:c>
      <x:c r="AB1275" s="10" t="str">
        <x:f>IF(N1275="","",MIN(N1275,1-S1275))</x:f>
      </x:c>
      <x:c r="AC1275" s="2" t="str">
        <x:f>IF(AD1275&lt;&gt;1,"",COUNTIFS($Z$1266:$Z$1279,"&lt;"&amp;Z1275,$AD$1266:$AD$1279,1)+COUNTIFS($Z$1266:$Z$1279,Z1275,$AB$1266:$AB$1279,"&gt;"&amp;AB1275,$AD$1266:$AD$1279,1)+COUNTIFS($Z$1266:$Z$1279,Z1275,$AB$1266:$AB$1279,AB1275,$V$1266:$V$1279,"&gt;"&amp;V1275,$AD$1266:$AD$1279,1)+COUNTIFS($Z$1266:Z1275,Z1275,$AB$1266:AB1275,AB1275,$V$1266:V1275,V1275,$AD$1266:AD1275,1))</x:f>
      </x:c>
      <x:c r="AD1275" s="2" t="n">
        <x:f>IF(OR(AA1275="DEFENSIV",AA1275="PRUDENT",AA1275="MODERAT",AA1275="RIDICAT"),1,0)</x:f>
        <x:v>0</x:v>
      </x:c>
      <x:c r="AE1275" s="2" t="str">
        <x:f>IF(AD1275&lt;&gt;1,"NO",IF(W1275="PASS","YES",IF(W1275="OOS PENDING","CONDITIONAL","NO")))</x:f>
        <x:v>NO</x:v>
      </x:c>
      <x:c r="AF1275" s="2" t="n">
        <x:f>IF(AND(AD1275=1,AC1275=1,E1275="LIVE"),1,0)</x:f>
        <x:v>0</x:v>
      </x:c>
      <x:c r="AG1275" s="2" t="str">
        <x:f>IF(AF1275&lt;&gt;1,"",'Dashboard'!P116)</x:f>
      </x:c>
      <x:c r="AH1275" s="2" t="str">
        <x:f>IF(B1275="","",IF(J1275&lt;&gt;"PASS",'Motor_Meciuri'!J96,IF('Calibrare_Linii'!U15&lt;&gt;"VALID","Parametri linie invalizi",IF(L1275&gt;'Config_v6'!$B$13,"Dispersie peste limita",IF(W1275="WATCH","Failure peste limita",IF(AB1275&lt;'Config_v6'!$B$16,"P finala sub prag",IF(V1275&lt;'Config_v6'!$B$18,"Confidence sub prag",IF(E1275="REPLAY","Exemplu retrospectiv; exclus din Top LIVE",IF(Y1275="PASS","DEFENSIV validat",IF(W1275="OOS PENDING","Eligibil; calibrare linie in monitorizare","Eligibil"))))))))))</x:f>
      </x:c>
      <x:c r="AI1275" s="2" t="str">
        <x:f>IF(B1275="","",'Calibrare_Linii'!V15)</x:f>
      </x:c>
      <x:c r="AJ1275" s="2" t="str">
        <x:f>IF(B1275="","",IF(AND('Calibrare_Linii'!T15="VALIDATED",AND('Calibrare_Linii'!H15=C1275,ISNUMBER('Calibrare_Linii'!J15),'Calibrare_Linii'!J15&lt;='Input_Meci'!G96)),"DEFENSIVE VALIDATED",IF(AND('Calibrare_Linii'!S15="VALIDATED",AND('Calibrare_Linii'!H15=C1275,ISNUMBER('Calibrare_Linii'!J15),'Calibrare_Linii'!J15&lt;='Input_Meci'!G96)),"TAIL VALIDATED","OOS PENDING")))</x:f>
      </x:c>
      <x:c r="AK1275" s="2" t="n">
        <x:f>IF(J1275&lt;&gt;"PASS",0,'Motor_Meciuri'!BR96)</x:f>
        <x:v>0</x:v>
      </x:c>
      <x:c r="AL1275" s="2" t="n">
        <x:f>IF(J1275&lt;&gt;"PASS",0,'Motor_Meciuri'!BS96)</x:f>
        <x:v>0</x:v>
      </x:c>
      <x:c r="AM1275" s="2" t="n">
        <x:f>IF(J1275&lt;&gt;"PASS",0,'Motor_Meciuri'!BT96)</x:f>
        <x:v>0</x:v>
      </x:c>
      <x:c r="AN1275" s="2" t="str">
        <x:f>IF(M1275="","",MAX(0,'Motor_Meciuri'!BF96-IF(L1275&gt;'Config_v6'!$B$12,'Config_v6'!$B$37,IF(L1275&gt;'Config_v6'!$B$11,'Config_v6'!$B$36,0))))</x:f>
      </x:c>
    </x:row>
    <x:row r="1276" ht="21" customHeight="1">
      <x:c r="A1276" s="2" t="n">
        <x:v>91</x:v>
      </x:c>
      <x:c r="B1276" s="2" t="str">
        <x:f>IF('Motor_Meciuri'!A96="","",'Motor_Meciuri'!A96)</x:f>
      </x:c>
      <x:c r="C1276" s="2" t="str">
        <x:f>IF(B1276="","",'Motor_Meciuri'!B96)</x:f>
      </x:c>
      <x:c r="D1276" s="2" t="str">
        <x:f>IF(B1276="","",'Motor_Meciuri'!D96)</x:f>
      </x:c>
      <x:c r="E1276" s="2" t="str">
        <x:f>IF(B1276="","",'Motor_Meciuri'!E96)</x:f>
      </x:c>
      <x:c r="F1276" s="2" t="str">
        <x:v>U14,5</x:v>
      </x:c>
      <x:c r="G1276" s="2" t="str">
        <x:v>UNDER</x:v>
      </x:c>
      <x:c r="H1276" s="2" t="n">
        <x:v>14</x:v>
      </x:c>
      <x:c r="I1276" s="2" t="str">
        <x:f>IF(B1276="","",'Motor_Meciuri'!H96)</x:f>
      </x:c>
      <x:c r="J1276" s="2" t="str">
        <x:f>IF(B1276="","",'Motor_Meciuri'!I96)</x:f>
      </x:c>
      <x:c r="K1276" s="11" t="str">
        <x:f>IF(J1276&lt;&gt;"PASS","",'Motor_Meciuri'!BD96)</x:f>
      </x:c>
      <x:c r="L1276" s="11" t="str">
        <x:f>IF(J1276&lt;&gt;"PASS","",'Motor_Meciuri'!AU96)</x:f>
      </x:c>
      <x:c r="M1276" s="10" t="str">
        <x:f>IF(NOT(AND(J1276="PASS",'Calibrare_Linii'!U16="VALID")),"",'Distributie'!AL96)</x:f>
      </x:c>
      <x:c r="N1276" s="10" t="str">
        <x:f>IF(M1276="","",MAX(0.01,MIN(0.99,0.5+(M1276-0.5)*'Motor_Meciuri'!BG96*'Calibrare_Linii'!D16)))</x:f>
      </x:c>
      <x:c r="O1276" s="10" t="str">
        <x:f>IF(M1276="","",1-M1276)</x:f>
      </x:c>
      <x:c r="P1276" s="10" t="str">
        <x:f>IF(OR(NOT(AND(J1276="PASS",'Calibrare_Linii'!U16="VALID")),AK1276=0),""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*('Istoric_Nativ'!$Q$6:$Q$405&gt;H1276))/AK1276)</x:f>
      </x:c>
      <x:c r="Q1276" s="10" t="str">
        <x:f>IF(OR(NOT(AND(J1276="PASS",'Calibrare_Linii'!U16="VALID")),AL1276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M96)+((('Istoric_Nativ'!$E$6:$E$405='Input_Meci'!E96)+('Istoric_Nativ'!$F$6:$F$405='Input_Meci'!E96))&gt;0)*('Istoric_Nativ'!$D$6:$D$405&gt;='Motor_Meciuri'!BN96))&gt;0)*('Istoric_Nativ'!$Q$6:$Q$405&gt;H1276))/AL1276)</x:f>
      </x:c>
      <x:c r="R1276" s="10" t="str">
        <x:f>IF(OR(NOT(AND(J1276="PASS",'Calibrare_Linii'!U16="VALID")),AM1276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O96)+((('Istoric_Nativ'!$E$6:$E$405='Input_Meci'!E96)+('Istoric_Nativ'!$F$6:$F$405='Input_Meci'!E96))&gt;0)*('Istoric_Nativ'!$D$6:$D$405&gt;='Motor_Meciuri'!BP96))&gt;0)*('Istoric_Nativ'!$Q$6:$Q$405&gt;H1276))/AM1276)</x:f>
      </x:c>
      <x:c r="S1276" s="10" t="str">
        <x:f>IF(M1276="","",MAX(O1276,P1276,Q1276,R1276))</x:f>
      </x:c>
      <x:c r="T1276" s="11" t="str">
        <x:f>IF(M1276="","",MIN(100,S1276*100*'Config_v6'!$B$44+MIN(100,L1276/'Config_v6'!$B$13*100)*'Config_v6'!$B$45+(100-'Motor_Meciuri'!BF96)*'Config_v6'!$B$46+'Motor_Meciuri'!BH96*100*'Config_v6'!$B$47))</x:f>
      </x:c>
      <x:c r="U1276" s="2" t="str">
        <x:f>IF(T1276="","",IF(T1276&lt;=20,1,IF(T1276&lt;=40,2,IF(T1276&lt;=60,3,IF(T1276&lt;=80,4,5)))))</x:f>
      </x:c>
      <x:c r="V1276" s="2" t="str">
        <x:f>IF(M1276="","",MAX(0,'Motor_Meciuri'!BF96-IF(W1276="OOS PENDING",'Config_v6'!$B$35,0)-IF(L1276&gt;'Config_v6'!$B$12,'Config_v6'!$B$37,IF(L1276&gt;'Config_v6'!$B$11,'Config_v6'!$B$36,0))))</x:f>
      </x:c>
      <x:c r="W1276" s="2" t="str">
        <x:f>IF(B1276="","",IF(I1276&lt;&gt;"READY","NOT RELEASED",IF(NOT(AND(J1276="PASS",'Calibrare_Linii'!U16="VALID")),"INVALID",IF(NOT(AND('Calibrare_Linii'!S16="VALIDATED",AND('Calibrare_Linii'!H16=C1276,ISNUMBER('Calibrare_Linii'!J16),'Calibrare_Linii'!J16&lt;='Input_Meci'!G96))),"OOS PENDING",IF(S1276&lt;='Calibrare_Linii'!E16,"PASS",IF(S1276&lt;='Calibrare_Linii'!F16,"PENALTY","WATCH"))))))</x:f>
      </x:c>
      <x:c r="X1276" s="2" t="str">
        <x:f>IF(M1276="","",IF(AND(AND(J1276="PASS",'Calibrare_Linii'!U16="VALID"),'Motor_Meciuri'!K96=12,'Motor_Meciuri'!L96=12,'Motor_Meciuri'!M96="NO",'Motor_Meciuri'!BL96='Motor_Meciuri'!C96,AB1276&gt;='Config_v6'!$B$50,AN1276&gt;='Config_v6'!$B$51,T1276&lt;='Config_v6'!$B$52,L1276&lt;='Config_v6'!$B$53,ISNUMBER('Calibrare_Linii'!E16),S1276&lt;='Calibrare_Linii'!E16,SUM(AK1276:AM1276)&gt;0),"CANDIDATE","NO"))</x:f>
      </x:c>
      <x:c r="Y1276" s="2" t="str">
        <x:f>IF(B1276="","",IF(I1276&lt;&gt;"READY","NOT RELEASED",IF(AND(X1276="CANDIDATE",V1276&gt;='Config_v6'!$B$51,W1276="PASS",'Calibrare_Linii'!T16="VALIDATED",AND('Calibrare_Linii'!H16=C1276,ISNUMBER('Calibrare_Linii'!J16),'Calibrare_Linii'!J16&lt;='Input_Meci'!G96)),"PASS",IF(X1276="CANDIDATE","OOS PENDING","FAIL"))))</x:f>
      </x:c>
      <x:c r="Z1276" s="2" t="str">
        <x:f>IF(B1276="","",IF(I1276&lt;&gt;"READY","",IF(OR(NOT(AND(J1276="PASS",'Calibrare_Linii'!U16="VALID")),L1276&gt;'Config_v6'!$B$13,W1276="WATCH"),5,IF(Y1276="PASS",1,MIN(5,MAX('Config_v6'!$B$42,U1276)+IF(W1276="PENALTY",1,0))))))</x:f>
      </x:c>
      <x:c r="AA1276" s="2" t="str">
        <x:f>IF(B1276="","",IF(I1276&lt;&gt;"READY","NOT RELEASED",IF(Z1276=5,"NO BET",IF(OR(AB1276&lt;'Config_v6'!$B$16,V1276&lt;'Config_v6'!$B$18),"WATCH",IF(Z1276=1,"DEFENSIV",IF(Z1276=2,"PRUDENT",IF(Z1276=3,"MODERAT","RIDICAT")))))))</x:f>
      </x:c>
      <x:c r="AB1276" s="10" t="str">
        <x:f>IF(N1276="","",MIN(N1276,1-S1276))</x:f>
      </x:c>
      <x:c r="AC1276" s="2" t="str">
        <x:f>IF(AD1276&lt;&gt;1,"",COUNTIFS($Z$1266:$Z$1279,"&lt;"&amp;Z1276,$AD$1266:$AD$1279,1)+COUNTIFS($Z$1266:$Z$1279,Z1276,$AB$1266:$AB$1279,"&gt;"&amp;AB1276,$AD$1266:$AD$1279,1)+COUNTIFS($Z$1266:$Z$1279,Z1276,$AB$1266:$AB$1279,AB1276,$V$1266:$V$1279,"&gt;"&amp;V1276,$AD$1266:$AD$1279,1)+COUNTIFS($Z$1266:Z1276,Z1276,$AB$1266:AB1276,AB1276,$V$1266:V1276,V1276,$AD$1266:AD1276,1))</x:f>
      </x:c>
      <x:c r="AD1276" s="2" t="n">
        <x:f>IF(OR(AA1276="DEFENSIV",AA1276="PRUDENT",AA1276="MODERAT",AA1276="RIDICAT"),1,0)</x:f>
        <x:v>0</x:v>
      </x:c>
      <x:c r="AE1276" s="2" t="str">
        <x:f>IF(AD1276&lt;&gt;1,"NO",IF(W1276="PASS","YES",IF(W1276="OOS PENDING","CONDITIONAL","NO")))</x:f>
        <x:v>NO</x:v>
      </x:c>
      <x:c r="AF1276" s="2" t="n">
        <x:f>IF(AND(AD1276=1,AC1276=1,E1276="LIVE"),1,0)</x:f>
        <x:v>0</x:v>
      </x:c>
      <x:c r="AG1276" s="2" t="str">
        <x:f>IF(AF1276&lt;&gt;1,"",'Dashboard'!P116)</x:f>
      </x:c>
      <x:c r="AH1276" s="2" t="str">
        <x:f>IF(B1276="","",IF(J1276&lt;&gt;"PASS",'Motor_Meciuri'!J96,IF('Calibrare_Linii'!U16&lt;&gt;"VALID","Parametri linie invalizi",IF(L1276&gt;'Config_v6'!$B$13,"Dispersie peste limita",IF(W1276="WATCH","Failure peste limita",IF(AB1276&lt;'Config_v6'!$B$16,"P finala sub prag",IF(V1276&lt;'Config_v6'!$B$18,"Confidence sub prag",IF(E1276="REPLAY","Exemplu retrospectiv; exclus din Top LIVE",IF(Y1276="PASS","DEFENSIV validat",IF(W1276="OOS PENDING","Eligibil; calibrare linie in monitorizare","Eligibil"))))))))))</x:f>
      </x:c>
      <x:c r="AI1276" s="2" t="str">
        <x:f>IF(B1276="","",'Calibrare_Linii'!V16)</x:f>
      </x:c>
      <x:c r="AJ1276" s="2" t="str">
        <x:f>IF(B1276="","",IF(AND('Calibrare_Linii'!T16="VALIDATED",AND('Calibrare_Linii'!H16=C1276,ISNUMBER('Calibrare_Linii'!J16),'Calibrare_Linii'!J16&lt;='Input_Meci'!G96)),"DEFENSIVE VALIDATED",IF(AND('Calibrare_Linii'!S16="VALIDATED",AND('Calibrare_Linii'!H16=C1276,ISNUMBER('Calibrare_Linii'!J16),'Calibrare_Linii'!J16&lt;='Input_Meci'!G96)),"TAIL VALIDATED","OOS PENDING")))</x:f>
      </x:c>
      <x:c r="AK1276" s="2" t="n">
        <x:f>IF(J1276&lt;&gt;"PASS",0,'Motor_Meciuri'!BR96)</x:f>
        <x:v>0</x:v>
      </x:c>
      <x:c r="AL1276" s="2" t="n">
        <x:f>IF(J1276&lt;&gt;"PASS",0,'Motor_Meciuri'!BS96)</x:f>
        <x:v>0</x:v>
      </x:c>
      <x:c r="AM1276" s="2" t="n">
        <x:f>IF(J1276&lt;&gt;"PASS",0,'Motor_Meciuri'!BT96)</x:f>
        <x:v>0</x:v>
      </x:c>
      <x:c r="AN1276" s="2" t="str">
        <x:f>IF(M1276="","",MAX(0,'Motor_Meciuri'!BF96-IF(L1276&gt;'Config_v6'!$B$12,'Config_v6'!$B$37,IF(L1276&gt;'Config_v6'!$B$11,'Config_v6'!$B$36,0))))</x:f>
      </x:c>
    </x:row>
    <x:row r="1277" ht="21" customHeight="1">
      <x:c r="A1277" s="2" t="n">
        <x:v>91</x:v>
      </x:c>
      <x:c r="B1277" s="2" t="str">
        <x:f>IF('Motor_Meciuri'!A96="","",'Motor_Meciuri'!A96)</x:f>
      </x:c>
      <x:c r="C1277" s="2" t="str">
        <x:f>IF(B1277="","",'Motor_Meciuri'!B96)</x:f>
      </x:c>
      <x:c r="D1277" s="2" t="str">
        <x:f>IF(B1277="","",'Motor_Meciuri'!D96)</x:f>
      </x:c>
      <x:c r="E1277" s="2" t="str">
        <x:f>IF(B1277="","",'Motor_Meciuri'!E96)</x:f>
      </x:c>
      <x:c r="F1277" s="2" t="str">
        <x:v>U15,5</x:v>
      </x:c>
      <x:c r="G1277" s="2" t="str">
        <x:v>UNDER</x:v>
      </x:c>
      <x:c r="H1277" s="2" t="n">
        <x:v>15</x:v>
      </x:c>
      <x:c r="I1277" s="2" t="str">
        <x:f>IF(B1277="","",'Motor_Meciuri'!H96)</x:f>
      </x:c>
      <x:c r="J1277" s="2" t="str">
        <x:f>IF(B1277="","",'Motor_Meciuri'!I96)</x:f>
      </x:c>
      <x:c r="K1277" s="11" t="str">
        <x:f>IF(J1277&lt;&gt;"PASS","",'Motor_Meciuri'!BD96)</x:f>
      </x:c>
      <x:c r="L1277" s="11" t="str">
        <x:f>IF(J1277&lt;&gt;"PASS","",'Motor_Meciuri'!AU96)</x:f>
      </x:c>
      <x:c r="M1277" s="10" t="str">
        <x:f>IF(NOT(AND(J1277="PASS",'Calibrare_Linii'!U17="VALID")),"",'Distributie'!AM96)</x:f>
      </x:c>
      <x:c r="N1277" s="10" t="str">
        <x:f>IF(M1277="","",MAX(0.01,MIN(0.99,0.5+(M1277-0.5)*'Motor_Meciuri'!BG96*'Calibrare_Linii'!D17)))</x:f>
      </x:c>
      <x:c r="O1277" s="10" t="str">
        <x:f>IF(M1277="","",1-M1277)</x:f>
      </x:c>
      <x:c r="P1277" s="10" t="str">
        <x:f>IF(OR(NOT(AND(J1277="PASS",'Calibrare_Linii'!U17="VALID")),AK1277=0),""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*('Istoric_Nativ'!$Q$6:$Q$405&gt;H1277))/AK1277)</x:f>
      </x:c>
      <x:c r="Q1277" s="10" t="str">
        <x:f>IF(OR(NOT(AND(J1277="PASS",'Calibrare_Linii'!U17="VALID")),AL1277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M96)+((('Istoric_Nativ'!$E$6:$E$405='Input_Meci'!E96)+('Istoric_Nativ'!$F$6:$F$405='Input_Meci'!E96))&gt;0)*('Istoric_Nativ'!$D$6:$D$405&gt;='Motor_Meciuri'!BN96))&gt;0)*('Istoric_Nativ'!$Q$6:$Q$405&gt;H1277))/AL1277)</x:f>
      </x:c>
      <x:c r="R1277" s="10" t="str">
        <x:f>IF(OR(NOT(AND(J1277="PASS",'Calibrare_Linii'!U17="VALID")),AM1277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O96)+((('Istoric_Nativ'!$E$6:$E$405='Input_Meci'!E96)+('Istoric_Nativ'!$F$6:$F$405='Input_Meci'!E96))&gt;0)*('Istoric_Nativ'!$D$6:$D$405&gt;='Motor_Meciuri'!BP96))&gt;0)*('Istoric_Nativ'!$Q$6:$Q$405&gt;H1277))/AM1277)</x:f>
      </x:c>
      <x:c r="S1277" s="10" t="str">
        <x:f>IF(M1277="","",MAX(O1277,P1277,Q1277,R1277))</x:f>
      </x:c>
      <x:c r="T1277" s="11" t="str">
        <x:f>IF(M1277="","",MIN(100,S1277*100*'Config_v6'!$B$44+MIN(100,L1277/'Config_v6'!$B$13*100)*'Config_v6'!$B$45+(100-'Motor_Meciuri'!BF96)*'Config_v6'!$B$46+'Motor_Meciuri'!BH96*100*'Config_v6'!$B$47))</x:f>
      </x:c>
      <x:c r="U1277" s="2" t="str">
        <x:f>IF(T1277="","",IF(T1277&lt;=20,1,IF(T1277&lt;=40,2,IF(T1277&lt;=60,3,IF(T1277&lt;=80,4,5)))))</x:f>
      </x:c>
      <x:c r="V1277" s="2" t="str">
        <x:f>IF(M1277="","",MAX(0,'Motor_Meciuri'!BF96-IF(W1277="OOS PENDING",'Config_v6'!$B$35,0)-IF(L1277&gt;'Config_v6'!$B$12,'Config_v6'!$B$37,IF(L1277&gt;'Config_v6'!$B$11,'Config_v6'!$B$36,0))))</x:f>
      </x:c>
      <x:c r="W1277" s="2" t="str">
        <x:f>IF(B1277="","",IF(I1277&lt;&gt;"READY","NOT RELEASED",IF(NOT(AND(J1277="PASS",'Calibrare_Linii'!U17="VALID")),"INVALID",IF(NOT(AND('Calibrare_Linii'!S17="VALIDATED",AND('Calibrare_Linii'!H17=C1277,ISNUMBER('Calibrare_Linii'!J17),'Calibrare_Linii'!J17&lt;='Input_Meci'!G96))),"OOS PENDING",IF(S1277&lt;='Calibrare_Linii'!E17,"PASS",IF(S1277&lt;='Calibrare_Linii'!F17,"PENALTY","WATCH"))))))</x:f>
      </x:c>
      <x:c r="X1277" s="2" t="str">
        <x:f>IF(M1277="","",IF(AND(AND(J1277="PASS",'Calibrare_Linii'!U17="VALID"),'Motor_Meciuri'!K96=12,'Motor_Meciuri'!L96=12,'Motor_Meciuri'!M96="NO",'Motor_Meciuri'!BL96='Motor_Meciuri'!C96,AB1277&gt;='Config_v6'!$B$50,AN1277&gt;='Config_v6'!$B$51,T1277&lt;='Config_v6'!$B$52,L1277&lt;='Config_v6'!$B$53,ISNUMBER('Calibrare_Linii'!E17),S1277&lt;='Calibrare_Linii'!E17,SUM(AK1277:AM1277)&gt;0),"CANDIDATE","NO"))</x:f>
      </x:c>
      <x:c r="Y1277" s="2" t="str">
        <x:f>IF(B1277="","",IF(I1277&lt;&gt;"READY","NOT RELEASED",IF(AND(X1277="CANDIDATE",V1277&gt;='Config_v6'!$B$51,W1277="PASS",'Calibrare_Linii'!T17="VALIDATED",AND('Calibrare_Linii'!H17=C1277,ISNUMBER('Calibrare_Linii'!J17),'Calibrare_Linii'!J17&lt;='Input_Meci'!G96)),"PASS",IF(X1277="CANDIDATE","OOS PENDING","FAIL"))))</x:f>
      </x:c>
      <x:c r="Z1277" s="2" t="str">
        <x:f>IF(B1277="","",IF(I1277&lt;&gt;"READY","",IF(OR(NOT(AND(J1277="PASS",'Calibrare_Linii'!U17="VALID")),L1277&gt;'Config_v6'!$B$13,W1277="WATCH"),5,IF(Y1277="PASS",1,MIN(5,MAX('Config_v6'!$B$42,U1277)+IF(W1277="PENALTY",1,0))))))</x:f>
      </x:c>
      <x:c r="AA1277" s="2" t="str">
        <x:f>IF(B1277="","",IF(I1277&lt;&gt;"READY","NOT RELEASED",IF(Z1277=5,"NO BET",IF(OR(AB1277&lt;'Config_v6'!$B$16,V1277&lt;'Config_v6'!$B$18),"WATCH",IF(Z1277=1,"DEFENSIV",IF(Z1277=2,"PRUDENT",IF(Z1277=3,"MODERAT","RIDICAT")))))))</x:f>
      </x:c>
      <x:c r="AB1277" s="10" t="str">
        <x:f>IF(N1277="","",MIN(N1277,1-S1277))</x:f>
      </x:c>
      <x:c r="AC1277" s="2" t="str">
        <x:f>IF(AD1277&lt;&gt;1,"",COUNTIFS($Z$1266:$Z$1279,"&lt;"&amp;Z1277,$AD$1266:$AD$1279,1)+COUNTIFS($Z$1266:$Z$1279,Z1277,$AB$1266:$AB$1279,"&gt;"&amp;AB1277,$AD$1266:$AD$1279,1)+COUNTIFS($Z$1266:$Z$1279,Z1277,$AB$1266:$AB$1279,AB1277,$V$1266:$V$1279,"&gt;"&amp;V1277,$AD$1266:$AD$1279,1)+COUNTIFS($Z$1266:Z1277,Z1277,$AB$1266:AB1277,AB1277,$V$1266:V1277,V1277,$AD$1266:AD1277,1))</x:f>
      </x:c>
      <x:c r="AD1277" s="2" t="n">
        <x:f>IF(OR(AA1277="DEFENSIV",AA1277="PRUDENT",AA1277="MODERAT",AA1277="RIDICAT"),1,0)</x:f>
        <x:v>0</x:v>
      </x:c>
      <x:c r="AE1277" s="2" t="str">
        <x:f>IF(AD1277&lt;&gt;1,"NO",IF(W1277="PASS","YES",IF(W1277="OOS PENDING","CONDITIONAL","NO")))</x:f>
        <x:v>NO</x:v>
      </x:c>
      <x:c r="AF1277" s="2" t="n">
        <x:f>IF(AND(AD1277=1,AC1277=1,E1277="LIVE"),1,0)</x:f>
        <x:v>0</x:v>
      </x:c>
      <x:c r="AG1277" s="2" t="str">
        <x:f>IF(AF1277&lt;&gt;1,"",'Dashboard'!P116)</x:f>
      </x:c>
      <x:c r="AH1277" s="2" t="str">
        <x:f>IF(B1277="","",IF(J1277&lt;&gt;"PASS",'Motor_Meciuri'!J96,IF('Calibrare_Linii'!U17&lt;&gt;"VALID","Parametri linie invalizi",IF(L1277&gt;'Config_v6'!$B$13,"Dispersie peste limita",IF(W1277="WATCH","Failure peste limita",IF(AB1277&lt;'Config_v6'!$B$16,"P finala sub prag",IF(V1277&lt;'Config_v6'!$B$18,"Confidence sub prag",IF(E1277="REPLAY","Exemplu retrospectiv; exclus din Top LIVE",IF(Y1277="PASS","DEFENSIV validat",IF(W1277="OOS PENDING","Eligibil; calibrare linie in monitorizare","Eligibil"))))))))))</x:f>
      </x:c>
      <x:c r="AI1277" s="2" t="str">
        <x:f>IF(B1277="","",'Calibrare_Linii'!V17)</x:f>
      </x:c>
      <x:c r="AJ1277" s="2" t="str">
        <x:f>IF(B1277="","",IF(AND('Calibrare_Linii'!T17="VALIDATED",AND('Calibrare_Linii'!H17=C1277,ISNUMBER('Calibrare_Linii'!J17),'Calibrare_Linii'!J17&lt;='Input_Meci'!G96)),"DEFENSIVE VALIDATED",IF(AND('Calibrare_Linii'!S17="VALIDATED",AND('Calibrare_Linii'!H17=C1277,ISNUMBER('Calibrare_Linii'!J17),'Calibrare_Linii'!J17&lt;='Input_Meci'!G96)),"TAIL VALIDATED","OOS PENDING")))</x:f>
      </x:c>
      <x:c r="AK1277" s="2" t="n">
        <x:f>IF(J1277&lt;&gt;"PASS",0,'Motor_Meciuri'!BR96)</x:f>
        <x:v>0</x:v>
      </x:c>
      <x:c r="AL1277" s="2" t="n">
        <x:f>IF(J1277&lt;&gt;"PASS",0,'Motor_Meciuri'!BS96)</x:f>
        <x:v>0</x:v>
      </x:c>
      <x:c r="AM1277" s="2" t="n">
        <x:f>IF(J1277&lt;&gt;"PASS",0,'Motor_Meciuri'!BT96)</x:f>
        <x:v>0</x:v>
      </x:c>
      <x:c r="AN1277" s="2" t="str">
        <x:f>IF(M1277="","",MAX(0,'Motor_Meciuri'!BF96-IF(L1277&gt;'Config_v6'!$B$12,'Config_v6'!$B$37,IF(L1277&gt;'Config_v6'!$B$11,'Config_v6'!$B$36,0))))</x:f>
      </x:c>
    </x:row>
    <x:row r="1278" ht="21" customHeight="1">
      <x:c r="A1278" s="2" t="n">
        <x:v>91</x:v>
      </x:c>
      <x:c r="B1278" s="2" t="str">
        <x:f>IF('Motor_Meciuri'!A96="","",'Motor_Meciuri'!A96)</x:f>
      </x:c>
      <x:c r="C1278" s="2" t="str">
        <x:f>IF(B1278="","",'Motor_Meciuri'!B96)</x:f>
      </x:c>
      <x:c r="D1278" s="2" t="str">
        <x:f>IF(B1278="","",'Motor_Meciuri'!D96)</x:f>
      </x:c>
      <x:c r="E1278" s="2" t="str">
        <x:f>IF(B1278="","",'Motor_Meciuri'!E96)</x:f>
      </x:c>
      <x:c r="F1278" s="2" t="str">
        <x:v>U16,5</x:v>
      </x:c>
      <x:c r="G1278" s="2" t="str">
        <x:v>UNDER</x:v>
      </x:c>
      <x:c r="H1278" s="2" t="n">
        <x:v>16</x:v>
      </x:c>
      <x:c r="I1278" s="2" t="str">
        <x:f>IF(B1278="","",'Motor_Meciuri'!H96)</x:f>
      </x:c>
      <x:c r="J1278" s="2" t="str">
        <x:f>IF(B1278="","",'Motor_Meciuri'!I96)</x:f>
      </x:c>
      <x:c r="K1278" s="11" t="str">
        <x:f>IF(J1278&lt;&gt;"PASS","",'Motor_Meciuri'!BD96)</x:f>
      </x:c>
      <x:c r="L1278" s="11" t="str">
        <x:f>IF(J1278&lt;&gt;"PASS","",'Motor_Meciuri'!AU96)</x:f>
      </x:c>
      <x:c r="M1278" s="10" t="str">
        <x:f>IF(NOT(AND(J1278="PASS",'Calibrare_Linii'!U18="VALID")),"",'Distributie'!AN96)</x:f>
      </x:c>
      <x:c r="N1278" s="10" t="str">
        <x:f>IF(M1278="","",MAX(0.01,MIN(0.99,0.5+(M1278-0.5)*'Motor_Meciuri'!BG96*'Calibrare_Linii'!D18)))</x:f>
      </x:c>
      <x:c r="O1278" s="10" t="str">
        <x:f>IF(M1278="","",1-M1278)</x:f>
      </x:c>
      <x:c r="P1278" s="10" t="str">
        <x:f>IF(OR(NOT(AND(J1278="PASS",'Calibrare_Linii'!U18="VALID")),AK1278=0),""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*('Istoric_Nativ'!$Q$6:$Q$405&gt;H1278))/AK1278)</x:f>
      </x:c>
      <x:c r="Q1278" s="10" t="str">
        <x:f>IF(OR(NOT(AND(J1278="PASS",'Calibrare_Linii'!U18="VALID")),AL1278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M96)+((('Istoric_Nativ'!$E$6:$E$405='Input_Meci'!E96)+('Istoric_Nativ'!$F$6:$F$405='Input_Meci'!E96))&gt;0)*('Istoric_Nativ'!$D$6:$D$405&gt;='Motor_Meciuri'!BN96))&gt;0)*('Istoric_Nativ'!$Q$6:$Q$405&gt;H1278))/AL1278)</x:f>
      </x:c>
      <x:c r="R1278" s="10" t="str">
        <x:f>IF(OR(NOT(AND(J1278="PASS",'Calibrare_Linii'!U18="VALID")),AM1278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O96)+((('Istoric_Nativ'!$E$6:$E$405='Input_Meci'!E96)+('Istoric_Nativ'!$F$6:$F$405='Input_Meci'!E96))&gt;0)*('Istoric_Nativ'!$D$6:$D$405&gt;='Motor_Meciuri'!BP96))&gt;0)*('Istoric_Nativ'!$Q$6:$Q$405&gt;H1278))/AM1278)</x:f>
      </x:c>
      <x:c r="S1278" s="10" t="str">
        <x:f>IF(M1278="","",MAX(O1278,P1278,Q1278,R1278))</x:f>
      </x:c>
      <x:c r="T1278" s="11" t="str">
        <x:f>IF(M1278="","",MIN(100,S1278*100*'Config_v6'!$B$44+MIN(100,L1278/'Config_v6'!$B$13*100)*'Config_v6'!$B$45+(100-'Motor_Meciuri'!BF96)*'Config_v6'!$B$46+'Motor_Meciuri'!BH96*100*'Config_v6'!$B$47))</x:f>
      </x:c>
      <x:c r="U1278" s="2" t="str">
        <x:f>IF(T1278="","",IF(T1278&lt;=20,1,IF(T1278&lt;=40,2,IF(T1278&lt;=60,3,IF(T1278&lt;=80,4,5)))))</x:f>
      </x:c>
      <x:c r="V1278" s="2" t="str">
        <x:f>IF(M1278="","",MAX(0,'Motor_Meciuri'!BF96-IF(W1278="OOS PENDING",'Config_v6'!$B$35,0)-IF(L1278&gt;'Config_v6'!$B$12,'Config_v6'!$B$37,IF(L1278&gt;'Config_v6'!$B$11,'Config_v6'!$B$36,0))))</x:f>
      </x:c>
      <x:c r="W1278" s="2" t="str">
        <x:f>IF(B1278="","",IF(I1278&lt;&gt;"READY","NOT RELEASED",IF(NOT(AND(J1278="PASS",'Calibrare_Linii'!U18="VALID")),"INVALID",IF(NOT(AND('Calibrare_Linii'!S18="VALIDATED",AND('Calibrare_Linii'!H18=C1278,ISNUMBER('Calibrare_Linii'!J18),'Calibrare_Linii'!J18&lt;='Input_Meci'!G96))),"OOS PENDING",IF(S1278&lt;='Calibrare_Linii'!E18,"PASS",IF(S1278&lt;='Calibrare_Linii'!F18,"PENALTY","WATCH"))))))</x:f>
      </x:c>
      <x:c r="X1278" s="2" t="str">
        <x:f>IF(M1278="","",IF(AND(AND(J1278="PASS",'Calibrare_Linii'!U18="VALID"),'Motor_Meciuri'!K96=12,'Motor_Meciuri'!L96=12,'Motor_Meciuri'!M96="NO",'Motor_Meciuri'!BL96='Motor_Meciuri'!C96,AB1278&gt;='Config_v6'!$B$50,AN1278&gt;='Config_v6'!$B$51,T1278&lt;='Config_v6'!$B$52,L1278&lt;='Config_v6'!$B$53,ISNUMBER('Calibrare_Linii'!E18),S1278&lt;='Calibrare_Linii'!E18,SUM(AK1278:AM1278)&gt;0),"CANDIDATE","NO"))</x:f>
      </x:c>
      <x:c r="Y1278" s="2" t="str">
        <x:f>IF(B1278="","",IF(I1278&lt;&gt;"READY","NOT RELEASED",IF(AND(X1278="CANDIDATE",V1278&gt;='Config_v6'!$B$51,W1278="PASS",'Calibrare_Linii'!T18="VALIDATED",AND('Calibrare_Linii'!H18=C1278,ISNUMBER('Calibrare_Linii'!J18),'Calibrare_Linii'!J18&lt;='Input_Meci'!G96)),"PASS",IF(X1278="CANDIDATE","OOS PENDING","FAIL"))))</x:f>
      </x:c>
      <x:c r="Z1278" s="2" t="str">
        <x:f>IF(B1278="","",IF(I1278&lt;&gt;"READY","",IF(OR(NOT(AND(J1278="PASS",'Calibrare_Linii'!U18="VALID")),L1278&gt;'Config_v6'!$B$13,W1278="WATCH"),5,IF(Y1278="PASS",1,MIN(5,MAX('Config_v6'!$B$42,U1278)+IF(W1278="PENALTY",1,0))))))</x:f>
      </x:c>
      <x:c r="AA1278" s="2" t="str">
        <x:f>IF(B1278="","",IF(I1278&lt;&gt;"READY","NOT RELEASED",IF(Z1278=5,"NO BET",IF(OR(AB1278&lt;'Config_v6'!$B$16,V1278&lt;'Config_v6'!$B$18),"WATCH",IF(Z1278=1,"DEFENSIV",IF(Z1278=2,"PRUDENT",IF(Z1278=3,"MODERAT","RIDICAT")))))))</x:f>
      </x:c>
      <x:c r="AB1278" s="10" t="str">
        <x:f>IF(N1278="","",MIN(N1278,1-S1278))</x:f>
      </x:c>
      <x:c r="AC1278" s="2" t="str">
        <x:f>IF(AD1278&lt;&gt;1,"",COUNTIFS($Z$1266:$Z$1279,"&lt;"&amp;Z1278,$AD$1266:$AD$1279,1)+COUNTIFS($Z$1266:$Z$1279,Z1278,$AB$1266:$AB$1279,"&gt;"&amp;AB1278,$AD$1266:$AD$1279,1)+COUNTIFS($Z$1266:$Z$1279,Z1278,$AB$1266:$AB$1279,AB1278,$V$1266:$V$1279,"&gt;"&amp;V1278,$AD$1266:$AD$1279,1)+COUNTIFS($Z$1266:Z1278,Z1278,$AB$1266:AB1278,AB1278,$V$1266:V1278,V1278,$AD$1266:AD1278,1))</x:f>
      </x:c>
      <x:c r="AD1278" s="2" t="n">
        <x:f>IF(OR(AA1278="DEFENSIV",AA1278="PRUDENT",AA1278="MODERAT",AA1278="RIDICAT"),1,0)</x:f>
        <x:v>0</x:v>
      </x:c>
      <x:c r="AE1278" s="2" t="str">
        <x:f>IF(AD1278&lt;&gt;1,"NO",IF(W1278="PASS","YES",IF(W1278="OOS PENDING","CONDITIONAL","NO")))</x:f>
        <x:v>NO</x:v>
      </x:c>
      <x:c r="AF1278" s="2" t="n">
        <x:f>IF(AND(AD1278=1,AC1278=1,E1278="LIVE"),1,0)</x:f>
        <x:v>0</x:v>
      </x:c>
      <x:c r="AG1278" s="2" t="str">
        <x:f>IF(AF1278&lt;&gt;1,"",'Dashboard'!P116)</x:f>
      </x:c>
      <x:c r="AH1278" s="2" t="str">
        <x:f>IF(B1278="","",IF(J1278&lt;&gt;"PASS",'Motor_Meciuri'!J96,IF('Calibrare_Linii'!U18&lt;&gt;"VALID","Parametri linie invalizi",IF(L1278&gt;'Config_v6'!$B$13,"Dispersie peste limita",IF(W1278="WATCH","Failure peste limita",IF(AB1278&lt;'Config_v6'!$B$16,"P finala sub prag",IF(V1278&lt;'Config_v6'!$B$18,"Confidence sub prag",IF(E1278="REPLAY","Exemplu retrospectiv; exclus din Top LIVE",IF(Y1278="PASS","DEFENSIV validat",IF(W1278="OOS PENDING","Eligibil; calibrare linie in monitorizare","Eligibil"))))))))))</x:f>
      </x:c>
      <x:c r="AI1278" s="2" t="str">
        <x:f>IF(B1278="","",'Calibrare_Linii'!V18)</x:f>
      </x:c>
      <x:c r="AJ1278" s="2" t="str">
        <x:f>IF(B1278="","",IF(AND('Calibrare_Linii'!T18="VALIDATED",AND('Calibrare_Linii'!H18=C1278,ISNUMBER('Calibrare_Linii'!J18),'Calibrare_Linii'!J18&lt;='Input_Meci'!G96)),"DEFENSIVE VALIDATED",IF(AND('Calibrare_Linii'!S18="VALIDATED",AND('Calibrare_Linii'!H18=C1278,ISNUMBER('Calibrare_Linii'!J18),'Calibrare_Linii'!J18&lt;='Input_Meci'!G96)),"TAIL VALIDATED","OOS PENDING")))</x:f>
      </x:c>
      <x:c r="AK1278" s="2" t="n">
        <x:f>IF(J1278&lt;&gt;"PASS",0,'Motor_Meciuri'!BR96)</x:f>
        <x:v>0</x:v>
      </x:c>
      <x:c r="AL1278" s="2" t="n">
        <x:f>IF(J1278&lt;&gt;"PASS",0,'Motor_Meciuri'!BS96)</x:f>
        <x:v>0</x:v>
      </x:c>
      <x:c r="AM1278" s="2" t="n">
        <x:f>IF(J1278&lt;&gt;"PASS",0,'Motor_Meciuri'!BT96)</x:f>
        <x:v>0</x:v>
      </x:c>
      <x:c r="AN1278" s="2" t="str">
        <x:f>IF(M1278="","",MAX(0,'Motor_Meciuri'!BF96-IF(L1278&gt;'Config_v6'!$B$12,'Config_v6'!$B$37,IF(L1278&gt;'Config_v6'!$B$11,'Config_v6'!$B$36,0))))</x:f>
      </x:c>
    </x:row>
    <x:row r="1279" ht="21" customHeight="1">
      <x:c r="A1279" s="2" t="n">
        <x:v>91</x:v>
      </x:c>
      <x:c r="B1279" s="2" t="str">
        <x:f>IF('Motor_Meciuri'!A96="","",'Motor_Meciuri'!A96)</x:f>
      </x:c>
      <x:c r="C1279" s="2" t="str">
        <x:f>IF(B1279="","",'Motor_Meciuri'!B96)</x:f>
      </x:c>
      <x:c r="D1279" s="2" t="str">
        <x:f>IF(B1279="","",'Motor_Meciuri'!D96)</x:f>
      </x:c>
      <x:c r="E1279" s="2" t="str">
        <x:f>IF(B1279="","",'Motor_Meciuri'!E96)</x:f>
      </x:c>
      <x:c r="F1279" s="2" t="str">
        <x:v>U17,5</x:v>
      </x:c>
      <x:c r="G1279" s="2" t="str">
        <x:v>UNDER</x:v>
      </x:c>
      <x:c r="H1279" s="2" t="n">
        <x:v>17</x:v>
      </x:c>
      <x:c r="I1279" s="2" t="str">
        <x:f>IF(B1279="","",'Motor_Meciuri'!H96)</x:f>
      </x:c>
      <x:c r="J1279" s="2" t="str">
        <x:f>IF(B1279="","",'Motor_Meciuri'!I96)</x:f>
      </x:c>
      <x:c r="K1279" s="11" t="str">
        <x:f>IF(J1279&lt;&gt;"PASS","",'Motor_Meciuri'!BD96)</x:f>
      </x:c>
      <x:c r="L1279" s="11" t="str">
        <x:f>IF(J1279&lt;&gt;"PASS","",'Motor_Meciuri'!AU96)</x:f>
      </x:c>
      <x:c r="M1279" s="10" t="str">
        <x:f>IF(NOT(AND(J1279="PASS",'Calibrare_Linii'!U19="VALID")),"",'Distributie'!AO96)</x:f>
      </x:c>
      <x:c r="N1279" s="10" t="str">
        <x:f>IF(M1279="","",MAX(0.01,MIN(0.99,0.5+(M1279-0.5)*'Motor_Meciuri'!BG96*'Calibrare_Linii'!D19)))</x:f>
      </x:c>
      <x:c r="O1279" s="10" t="str">
        <x:f>IF(M1279="","",1-M1279)</x:f>
      </x:c>
      <x:c r="P1279" s="10" t="str">
        <x:f>IF(OR(NOT(AND(J1279="PASS",'Calibrare_Linii'!U19="VALID")),AK1279=0),""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*('Istoric_Nativ'!$Q$6:$Q$405&gt;H1279))/AK1279)</x:f>
      </x:c>
      <x:c r="Q1279" s="10" t="str">
        <x:f>IF(OR(NOT(AND(J1279="PASS",'Calibrare_Linii'!U19="VALID")),AL1279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M96)+((('Istoric_Nativ'!$E$6:$E$405='Input_Meci'!E96)+('Istoric_Nativ'!$F$6:$F$405='Input_Meci'!E96))&gt;0)*('Istoric_Nativ'!$D$6:$D$405&gt;='Motor_Meciuri'!BN96))&gt;0)*('Istoric_Nativ'!$Q$6:$Q$405&gt;H1279))/AL1279)</x:f>
      </x:c>
      <x:c r="R1279" s="10" t="str">
        <x:f>IF(OR(NOT(AND(J1279="PASS",'Calibrare_Linii'!U19="VALID")),AM1279=0),""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'Motor_Meciuri'!BO96)+((('Istoric_Nativ'!$E$6:$E$405='Input_Meci'!E96)+('Istoric_Nativ'!$F$6:$F$405='Input_Meci'!E96))&gt;0)*('Istoric_Nativ'!$D$6:$D$405&gt;='Motor_Meciuri'!BP96))&gt;0)*('Istoric_Nativ'!$Q$6:$Q$405&gt;H1279))/AM1279)</x:f>
      </x:c>
      <x:c r="S1279" s="10" t="str">
        <x:f>IF(M1279="","",MAX(O1279,P1279,Q1279,R1279))</x:f>
      </x:c>
      <x:c r="T1279" s="11" t="str">
        <x:f>IF(M1279="","",MIN(100,S1279*100*'Config_v6'!$B$44+MIN(100,L1279/'Config_v6'!$B$13*100)*'Config_v6'!$B$45+(100-'Motor_Meciuri'!BF96)*'Config_v6'!$B$46+'Motor_Meciuri'!BH96*100*'Config_v6'!$B$47))</x:f>
      </x:c>
      <x:c r="U1279" s="2" t="str">
        <x:f>IF(T1279="","",IF(T1279&lt;=20,1,IF(T1279&lt;=40,2,IF(T1279&lt;=60,3,IF(T1279&lt;=80,4,5)))))</x:f>
      </x:c>
      <x:c r="V1279" s="2" t="str">
        <x:f>IF(M1279="","",MAX(0,'Motor_Meciuri'!BF96-IF(W1279="OOS PENDING",'Config_v6'!$B$35,0)-IF(L1279&gt;'Config_v6'!$B$12,'Config_v6'!$B$37,IF(L1279&gt;'Config_v6'!$B$11,'Config_v6'!$B$36,0))))</x:f>
      </x:c>
      <x:c r="W1279" s="2" t="str">
        <x:f>IF(B1279="","",IF(I1279&lt;&gt;"READY","NOT RELEASED",IF(NOT(AND(J1279="PASS",'Calibrare_Linii'!U19="VALID")),"INVALID",IF(NOT(AND('Calibrare_Linii'!S19="VALIDATED",AND('Calibrare_Linii'!H19=C1279,ISNUMBER('Calibrare_Linii'!J19),'Calibrare_Linii'!J19&lt;='Input_Meci'!G96))),"OOS PENDING",IF(S1279&lt;='Calibrare_Linii'!E19,"PASS",IF(S1279&lt;='Calibrare_Linii'!F19,"PENALTY","WATCH"))))))</x:f>
      </x:c>
      <x:c r="X1279" s="2" t="str">
        <x:f>IF(M1279="","",IF(AND(AND(J1279="PASS",'Calibrare_Linii'!U19="VALID"),'Motor_Meciuri'!K96=12,'Motor_Meciuri'!L96=12,'Motor_Meciuri'!M96="NO",'Motor_Meciuri'!BL96='Motor_Meciuri'!C96,AB1279&gt;='Config_v6'!$B$50,AN1279&gt;='Config_v6'!$B$51,T1279&lt;='Config_v6'!$B$52,L1279&lt;='Config_v6'!$B$53,ISNUMBER('Calibrare_Linii'!E19),S1279&lt;='Calibrare_Linii'!E19,SUM(AK1279:AM1279)&gt;0),"CANDIDATE","NO"))</x:f>
      </x:c>
      <x:c r="Y1279" s="2" t="str">
        <x:f>IF(B1279="","",IF(I1279&lt;&gt;"READY","NOT RELEASED",IF(AND(X1279="CANDIDATE",V1279&gt;='Config_v6'!$B$51,W1279="PASS",'Calibrare_Linii'!T19="VALIDATED",AND('Calibrare_Linii'!H19=C1279,ISNUMBER('Calibrare_Linii'!J19),'Calibrare_Linii'!J19&lt;='Input_Meci'!G96)),"PASS",IF(X1279="CANDIDATE","OOS PENDING","FAIL"))))</x:f>
      </x:c>
      <x:c r="Z1279" s="2" t="str">
        <x:f>IF(B1279="","",IF(I1279&lt;&gt;"READY","",IF(OR(NOT(AND(J1279="PASS",'Calibrare_Linii'!U19="VALID")),L1279&gt;'Config_v6'!$B$13,W1279="WATCH"),5,IF(Y1279="PASS",1,MIN(5,MAX('Config_v6'!$B$42,U1279)+IF(W1279="PENALTY",1,0))))))</x:f>
      </x:c>
      <x:c r="AA1279" s="2" t="str">
        <x:f>IF(B1279="","",IF(I1279&lt;&gt;"READY","NOT RELEASED",IF(Z1279=5,"NO BET",IF(OR(AB1279&lt;'Config_v6'!$B$16,V1279&lt;'Config_v6'!$B$18),"WATCH",IF(Z1279=1,"DEFENSIV",IF(Z1279=2,"PRUDENT",IF(Z1279=3,"MODERAT","RIDICAT")))))))</x:f>
      </x:c>
      <x:c r="AB1279" s="10" t="str">
        <x:f>IF(N1279="","",MIN(N1279,1-S1279))</x:f>
      </x:c>
      <x:c r="AC1279" s="2" t="str">
        <x:f>IF(AD1279&lt;&gt;1,"",COUNTIFS($Z$1266:$Z$1279,"&lt;"&amp;Z1279,$AD$1266:$AD$1279,1)+COUNTIFS($Z$1266:$Z$1279,Z1279,$AB$1266:$AB$1279,"&gt;"&amp;AB1279,$AD$1266:$AD$1279,1)+COUNTIFS($Z$1266:$Z$1279,Z1279,$AB$1266:$AB$1279,AB1279,$V$1266:$V$1279,"&gt;"&amp;V1279,$AD$1266:$AD$1279,1)+COUNTIFS($Z$1266:Z1279,Z1279,$AB$1266:AB1279,AB1279,$V$1266:V1279,V1279,$AD$1266:AD1279,1))</x:f>
      </x:c>
      <x:c r="AD1279" s="2" t="n">
        <x:f>IF(OR(AA1279="DEFENSIV",AA1279="PRUDENT",AA1279="MODERAT",AA1279="RIDICAT"),1,0)</x:f>
        <x:v>0</x:v>
      </x:c>
      <x:c r="AE1279" s="2" t="str">
        <x:f>IF(AD1279&lt;&gt;1,"NO",IF(W1279="PASS","YES",IF(W1279="OOS PENDING","CONDITIONAL","NO")))</x:f>
        <x:v>NO</x:v>
      </x:c>
      <x:c r="AF1279" s="2" t="n">
        <x:f>IF(AND(AD1279=1,AC1279=1,E1279="LIVE"),1,0)</x:f>
        <x:v>0</x:v>
      </x:c>
      <x:c r="AG1279" s="2" t="str">
        <x:f>IF(AF1279&lt;&gt;1,"",'Dashboard'!P116)</x:f>
      </x:c>
      <x:c r="AH1279" s="2" t="str">
        <x:f>IF(B1279="","",IF(J1279&lt;&gt;"PASS",'Motor_Meciuri'!J96,IF('Calibrare_Linii'!U19&lt;&gt;"VALID","Parametri linie invalizi",IF(L1279&gt;'Config_v6'!$B$13,"Dispersie peste limita",IF(W1279="WATCH","Failure peste limita",IF(AB1279&lt;'Config_v6'!$B$16,"P finala sub prag",IF(V1279&lt;'Config_v6'!$B$18,"Confidence sub prag",IF(E1279="REPLAY","Exemplu retrospectiv; exclus din Top LIVE",IF(Y1279="PASS","DEFENSIV validat",IF(W1279="OOS PENDING","Eligibil; calibrare linie in monitorizare","Eligibil"))))))))))</x:f>
      </x:c>
      <x:c r="AI1279" s="2" t="str">
        <x:f>IF(B1279="","",'Calibrare_Linii'!V19)</x:f>
      </x:c>
      <x:c r="AJ1279" s="2" t="str">
        <x:f>IF(B1279="","",IF(AND('Calibrare_Linii'!T19="VALIDATED",AND('Calibrare_Linii'!H19=C1279,ISNUMBER('Calibrare_Linii'!J19),'Calibrare_Linii'!J19&lt;='Input_Meci'!G96)),"DEFENSIVE VALIDATED",IF(AND('Calibrare_Linii'!S19="VALIDATED",AND('Calibrare_Linii'!H19=C1279,ISNUMBER('Calibrare_Linii'!J19),'Calibrare_Linii'!J19&lt;='Input_Meci'!G96)),"TAIL VALIDATED","OOS PENDING")))</x:f>
      </x:c>
      <x:c r="AK1279" s="2" t="n">
        <x:f>IF(J1279&lt;&gt;"PASS",0,'Motor_Meciuri'!BR96)</x:f>
        <x:v>0</x:v>
      </x:c>
      <x:c r="AL1279" s="2" t="n">
        <x:f>IF(J1279&lt;&gt;"PASS",0,'Motor_Meciuri'!BS96)</x:f>
        <x:v>0</x:v>
      </x:c>
      <x:c r="AM1279" s="2" t="n">
        <x:f>IF(J1279&lt;&gt;"PASS",0,'Motor_Meciuri'!BT96)</x:f>
        <x:v>0</x:v>
      </x:c>
      <x:c r="AN1279" s="2" t="str">
        <x:f>IF(M1279="","",MAX(0,'Motor_Meciuri'!BF96-IF(L1279&gt;'Config_v6'!$B$12,'Config_v6'!$B$37,IF(L1279&gt;'Config_v6'!$B$11,'Config_v6'!$B$36,0))))</x:f>
      </x:c>
    </x:row>
    <x:row r="1280" ht="21" customHeight="1">
      <x:c r="A1280" s="2" t="n">
        <x:v>92</x:v>
      </x:c>
      <x:c r="B1280" s="2" t="str">
        <x:f>IF('Motor_Meciuri'!A97="","",'Motor_Meciuri'!A97)</x:f>
      </x:c>
      <x:c r="C1280" s="2" t="str">
        <x:f>IF(B1280="","",'Motor_Meciuri'!B97)</x:f>
      </x:c>
      <x:c r="D1280" s="2" t="str">
        <x:f>IF(B1280="","",'Motor_Meciuri'!D97)</x:f>
      </x:c>
      <x:c r="E1280" s="2" t="str">
        <x:f>IF(B1280="","",'Motor_Meciuri'!E97)</x:f>
      </x:c>
      <x:c r="F1280" s="2" t="str">
        <x:v>O3,5</x:v>
      </x:c>
      <x:c r="G1280" s="2" t="str">
        <x:v>OVER</x:v>
      </x:c>
      <x:c r="H1280" s="2" t="n">
        <x:v>3</x:v>
      </x:c>
      <x:c r="I1280" s="2" t="str">
        <x:f>IF(B1280="","",'Motor_Meciuri'!H97)</x:f>
      </x:c>
      <x:c r="J1280" s="2" t="str">
        <x:f>IF(B1280="","",'Motor_Meciuri'!I97)</x:f>
      </x:c>
      <x:c r="K1280" s="11" t="str">
        <x:f>IF(J1280&lt;&gt;"PASS","",'Motor_Meciuri'!BD97)</x:f>
      </x:c>
      <x:c r="L1280" s="11" t="str">
        <x:f>IF(J1280&lt;&gt;"PASS","",'Motor_Meciuri'!AU97)</x:f>
      </x:c>
      <x:c r="M1280" s="10" t="str">
        <x:f>IF(NOT(AND(J1280="PASS",'Calibrare_Linii'!U6="VALID")),"",1-'Distributie'!AA97)</x:f>
      </x:c>
      <x:c r="N1280" s="10" t="str">
        <x:f>IF(M1280="","",MAX(0.01,MIN(0.99,0.5+(M1280-0.5)*'Motor_Meciuri'!BG97*'Calibrare_Linii'!D6)))</x:f>
      </x:c>
      <x:c r="O1280" s="10" t="str">
        <x:f>IF(M1280="","",1-M1280)</x:f>
      </x:c>
      <x:c r="P1280" s="10" t="str">
        <x:f>IF(OR(NOT(AND(J1280="PASS",'Calibrare_Linii'!U6="VALID")),AK1280=0),""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*('Istoric_Nativ'!$Q$6:$Q$405&lt;=H1280))/AK1280)</x:f>
      </x:c>
      <x:c r="Q1280" s="10" t="str">
        <x:f>IF(OR(NOT(AND(J1280="PASS",'Calibrare_Linii'!U6="VALID")),AL1280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M97)+((('Istoric_Nativ'!$E$6:$E$405='Input_Meci'!E97)+('Istoric_Nativ'!$F$6:$F$405='Input_Meci'!E97))&gt;0)*('Istoric_Nativ'!$D$6:$D$405&gt;='Motor_Meciuri'!BN97))&gt;0)*('Istoric_Nativ'!$Q$6:$Q$405&lt;=H1280))/AL1280)</x:f>
      </x:c>
      <x:c r="R1280" s="10" t="str">
        <x:f>IF(OR(NOT(AND(J1280="PASS",'Calibrare_Linii'!U6="VALID")),AM1280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O97)+((('Istoric_Nativ'!$E$6:$E$405='Input_Meci'!E97)+('Istoric_Nativ'!$F$6:$F$405='Input_Meci'!E97))&gt;0)*('Istoric_Nativ'!$D$6:$D$405&gt;='Motor_Meciuri'!BP97))&gt;0)*('Istoric_Nativ'!$Q$6:$Q$405&lt;=H1280))/AM1280)</x:f>
      </x:c>
      <x:c r="S1280" s="10" t="str">
        <x:f>IF(M1280="","",MAX(O1280,P1280,Q1280,R1280))</x:f>
      </x:c>
      <x:c r="T1280" s="11" t="str">
        <x:f>IF(M1280="","",MIN(100,S1280*100*'Config_v6'!$B$44+MIN(100,L1280/'Config_v6'!$B$13*100)*'Config_v6'!$B$45+(100-'Motor_Meciuri'!BF97)*'Config_v6'!$B$46+'Motor_Meciuri'!BH97*100*'Config_v6'!$B$47))</x:f>
      </x:c>
      <x:c r="U1280" s="2" t="str">
        <x:f>IF(T1280="","",IF(T1280&lt;=20,1,IF(T1280&lt;=40,2,IF(T1280&lt;=60,3,IF(T1280&lt;=80,4,5)))))</x:f>
      </x:c>
      <x:c r="V1280" s="2" t="str">
        <x:f>IF(M1280="","",MAX(0,'Motor_Meciuri'!BF97-IF(W1280="OOS PENDING",'Config_v6'!$B$35,0)-IF(L1280&gt;'Config_v6'!$B$12,'Config_v6'!$B$37,IF(L1280&gt;'Config_v6'!$B$11,'Config_v6'!$B$36,0))))</x:f>
      </x:c>
      <x:c r="W1280" s="2" t="str">
        <x:f>IF(B1280="","",IF(I1280&lt;&gt;"READY","NOT RELEASED",IF(NOT(AND(J1280="PASS",'Calibrare_Linii'!U6="VALID")),"INVALID",IF(NOT(TRUE),"OOS PENDING",IF(S1280&lt;=IF(AND('Calibrare_Linii'!S6="VALIDATED",AND('Calibrare_Linii'!H6=C1280,ISNUMBER('Calibrare_Linii'!J6),'Calibrare_Linii'!J6&lt;='Input_Meci'!G97)),'Calibrare_Linii'!E6,'Config_v6'!$B$26),"PASS",IF(S1280&lt;=IF(AND('Calibrare_Linii'!S6="VALIDATED",AND('Calibrare_Linii'!H6=C1280,ISNUMBER('Calibrare_Linii'!J6),'Calibrare_Linii'!J6&lt;='Input_Meci'!G97)),'Calibrare_Linii'!F6,'Config_v6'!$C$26),"PENALTY","WATCH"))))))</x:f>
      </x:c>
      <x:c r="X1280" s="2" t="str">
        <x:f>IF(M1280="","",IF(AND(AND(J1280="PASS",'Calibrare_Linii'!U6="VALID"),'Motor_Meciuri'!K97=12,'Motor_Meciuri'!L97=12,'Motor_Meciuri'!M97="NO",'Motor_Meciuri'!BL97='Motor_Meciuri'!C97,AB1280&gt;='Config_v6'!$B$50,AN1280&gt;='Config_v6'!$B$51,T1280&lt;='Config_v6'!$B$52,L1280&lt;='Config_v6'!$B$53,ISNUMBER('Calibrare_Linii'!E6),S1280&lt;='Calibrare_Linii'!E6,SUM(AK1280:AM1280)&gt;0),"CANDIDATE","NO"))</x:f>
      </x:c>
      <x:c r="Y1280" s="2" t="str">
        <x:f>IF(B1280="","",IF(I1280&lt;&gt;"READY","NOT RELEASED",IF(AND(X1280="CANDIDATE",V1280&gt;='Config_v6'!$B$51,W1280="PASS",'Calibrare_Linii'!T6="VALIDATED",AND('Calibrare_Linii'!H6=C1280,ISNUMBER('Calibrare_Linii'!J6),'Calibrare_Linii'!J6&lt;='Input_Meci'!G97)),"PASS",IF(X1280="CANDIDATE","OOS PENDING","FAIL"))))</x:f>
      </x:c>
      <x:c r="Z1280" s="2" t="str">
        <x:f>IF(B1280="","",IF(I1280&lt;&gt;"READY","",IF(OR(NOT(AND(J1280="PASS",'Calibrare_Linii'!U6="VALID")),L1280&gt;'Config_v6'!$B$13,W1280="WATCH"),5,IF(Y1280="PASS",1,MIN(5,MAX('Config_v6'!$B$42,U1280)+IF(W1280="PENALTY",1,0))))))</x:f>
      </x:c>
      <x:c r="AA1280" s="2" t="str">
        <x:f>IF(B1280="","",IF(I1280&lt;&gt;"READY","NOT RELEASED",IF(Z1280=5,"NO BET",IF(OR(AB1280&lt;'Config_v6'!$B$16,V1280&lt;'Config_v6'!$B$18),"WATCH",IF(Z1280=1,"DEFENSIV",IF(Z1280=2,"PRUDENT",IF(Z1280=3,"MODERAT","RIDICAT")))))))</x:f>
      </x:c>
      <x:c r="AB1280" s="10" t="str">
        <x:f>IF(N1280="","",MIN(N1280,1-S1280))</x:f>
      </x:c>
      <x:c r="AC1280" s="2" t="str">
        <x:f>IF(AD1280&lt;&gt;1,"",COUNTIFS($Z$1280:$Z$1293,"&lt;"&amp;Z1280,$AD$1280:$AD$1293,1)+COUNTIFS($Z$1280:$Z$1293,Z1280,$AB$1280:$AB$1293,"&gt;"&amp;AB1280,$AD$1280:$AD$1293,1)+COUNTIFS($Z$1280:$Z$1293,Z1280,$AB$1280:$AB$1293,AB1280,$V$1280:$V$1293,"&gt;"&amp;V1280,$AD$1280:$AD$1293,1)+COUNTIFS($Z$1280:Z1280,Z1280,$AB$1280:AB1280,AB1280,$V$1280:V1280,V1280,$AD$1280:AD1280,1))</x:f>
      </x:c>
      <x:c r="AD1280" s="2" t="n">
        <x:f>IF(OR(AA1280="DEFENSIV",AA1280="PRUDENT",AA1280="MODERAT",AA1280="RIDICAT"),1,0)</x:f>
        <x:v>0</x:v>
      </x:c>
      <x:c r="AE1280" s="2" t="str">
        <x:f>IF(AD1280&lt;&gt;1,"NO",IF(W1280="PASS","YES",IF(W1280="OOS PENDING","CONDITIONAL","NO")))</x:f>
        <x:v>NO</x:v>
      </x:c>
      <x:c r="AF1280" s="2" t="n">
        <x:f>IF(AND(AD1280=1,AC1280=1,E1280="LIVE"),1,0)</x:f>
        <x:v>0</x:v>
      </x:c>
      <x:c r="AG1280" s="2" t="str">
        <x:f>IF(AF1280&lt;&gt;1,"",'Dashboard'!P117)</x:f>
      </x:c>
      <x:c r="AH1280" s="2" t="str">
        <x:f>IF(B1280="","",IF(J1280&lt;&gt;"PASS",'Motor_Meciuri'!J97,IF('Calibrare_Linii'!U6&lt;&gt;"VALID","Parametri linie invalizi",IF(L1280&gt;'Config_v6'!$B$13,"Dispersie peste limita",IF(W1280="WATCH","Failure peste limita",IF(AB1280&lt;'Config_v6'!$B$16,"P finala sub prag",IF(V1280&lt;'Config_v6'!$B$18,"Confidence sub prag",IF(E1280="REPLAY","Exemplu retrospectiv; exclus din Top LIVE",IF(Y1280="PASS","DEFENSIV validat",IF(W1280="OOS PENDING","Eligibil; calibrare linie in monitorizare","Eligibil"))))))))))</x:f>
      </x:c>
      <x:c r="AI1280" s="2" t="str">
        <x:f>IF(B1280="","",'Calibrare_Linii'!V6)</x:f>
      </x:c>
      <x:c r="AJ1280" s="2" t="str">
        <x:f>IF(B1280="","",IF(AND('Calibrare_Linii'!T6="VALIDATED",AND('Calibrare_Linii'!H6=C1280,ISNUMBER('Calibrare_Linii'!J6),'Calibrare_Linii'!J6&lt;='Input_Meci'!G97)),"DEFENSIVE VALIDATED",IF(AND('Calibrare_Linii'!S6="VALIDATED",AND('Calibrare_Linii'!H6=C1280,ISNUMBER('Calibrare_Linii'!J6),'Calibrare_Linii'!J6&lt;='Input_Meci'!G97)),"TAIL VALIDATED","OOS PENDING")))</x:f>
      </x:c>
      <x:c r="AK1280" s="2" t="n">
        <x:f>IF(J1280&lt;&gt;"PASS",0,'Motor_Meciuri'!BR97)</x:f>
        <x:v>0</x:v>
      </x:c>
      <x:c r="AL1280" s="2" t="n">
        <x:f>IF(J1280&lt;&gt;"PASS",0,'Motor_Meciuri'!BS97)</x:f>
        <x:v>0</x:v>
      </x:c>
      <x:c r="AM1280" s="2" t="n">
        <x:f>IF(J1280&lt;&gt;"PASS",0,'Motor_Meciuri'!BT97)</x:f>
        <x:v>0</x:v>
      </x:c>
      <x:c r="AN1280" s="2" t="str">
        <x:f>IF(M1280="","",MAX(0,'Motor_Meciuri'!BF97-IF(L1280&gt;'Config_v6'!$B$12,'Config_v6'!$B$37,IF(L1280&gt;'Config_v6'!$B$11,'Config_v6'!$B$36,0))))</x:f>
      </x:c>
    </x:row>
    <x:row r="1281" ht="21" customHeight="1">
      <x:c r="A1281" s="2" t="n">
        <x:v>92</x:v>
      </x:c>
      <x:c r="B1281" s="2" t="str">
        <x:f>IF('Motor_Meciuri'!A97="","",'Motor_Meciuri'!A97)</x:f>
      </x:c>
      <x:c r="C1281" s="2" t="str">
        <x:f>IF(B1281="","",'Motor_Meciuri'!B97)</x:f>
      </x:c>
      <x:c r="D1281" s="2" t="str">
        <x:f>IF(B1281="","",'Motor_Meciuri'!D97)</x:f>
      </x:c>
      <x:c r="E1281" s="2" t="str">
        <x:f>IF(B1281="","",'Motor_Meciuri'!E97)</x:f>
      </x:c>
      <x:c r="F1281" s="2" t="str">
        <x:v>O4,5</x:v>
      </x:c>
      <x:c r="G1281" s="2" t="str">
        <x:v>OVER</x:v>
      </x:c>
      <x:c r="H1281" s="2" t="n">
        <x:v>4</x:v>
      </x:c>
      <x:c r="I1281" s="2" t="str">
        <x:f>IF(B1281="","",'Motor_Meciuri'!H97)</x:f>
      </x:c>
      <x:c r="J1281" s="2" t="str">
        <x:f>IF(B1281="","",'Motor_Meciuri'!I97)</x:f>
      </x:c>
      <x:c r="K1281" s="11" t="str">
        <x:f>IF(J1281&lt;&gt;"PASS","",'Motor_Meciuri'!BD97)</x:f>
      </x:c>
      <x:c r="L1281" s="11" t="str">
        <x:f>IF(J1281&lt;&gt;"PASS","",'Motor_Meciuri'!AU97)</x:f>
      </x:c>
      <x:c r="M1281" s="10" t="str">
        <x:f>IF(NOT(AND(J1281="PASS",'Calibrare_Linii'!U7="VALID")),"",1-'Distributie'!AB97)</x:f>
      </x:c>
      <x:c r="N1281" s="10" t="str">
        <x:f>IF(M1281="","",MAX(0.01,MIN(0.99,0.5+(M1281-0.5)*'Motor_Meciuri'!BG97*'Calibrare_Linii'!D7)))</x:f>
      </x:c>
      <x:c r="O1281" s="10" t="str">
        <x:f>IF(M1281="","",1-M1281)</x:f>
      </x:c>
      <x:c r="P1281" s="10" t="str">
        <x:f>IF(OR(NOT(AND(J1281="PASS",'Calibrare_Linii'!U7="VALID")),AK1281=0),""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*('Istoric_Nativ'!$Q$6:$Q$405&lt;=H1281))/AK1281)</x:f>
      </x:c>
      <x:c r="Q1281" s="10" t="str">
        <x:f>IF(OR(NOT(AND(J1281="PASS",'Calibrare_Linii'!U7="VALID")),AL1281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M97)+((('Istoric_Nativ'!$E$6:$E$405='Input_Meci'!E97)+('Istoric_Nativ'!$F$6:$F$405='Input_Meci'!E97))&gt;0)*('Istoric_Nativ'!$D$6:$D$405&gt;='Motor_Meciuri'!BN97))&gt;0)*('Istoric_Nativ'!$Q$6:$Q$405&lt;=H1281))/AL1281)</x:f>
      </x:c>
      <x:c r="R1281" s="10" t="str">
        <x:f>IF(OR(NOT(AND(J1281="PASS",'Calibrare_Linii'!U7="VALID")),AM1281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O97)+((('Istoric_Nativ'!$E$6:$E$405='Input_Meci'!E97)+('Istoric_Nativ'!$F$6:$F$405='Input_Meci'!E97))&gt;0)*('Istoric_Nativ'!$D$6:$D$405&gt;='Motor_Meciuri'!BP97))&gt;0)*('Istoric_Nativ'!$Q$6:$Q$405&lt;=H1281))/AM1281)</x:f>
      </x:c>
      <x:c r="S1281" s="10" t="str">
        <x:f>IF(M1281="","",MAX(O1281,P1281,Q1281,R1281))</x:f>
      </x:c>
      <x:c r="T1281" s="11" t="str">
        <x:f>IF(M1281="","",MIN(100,S1281*100*'Config_v6'!$B$44+MIN(100,L1281/'Config_v6'!$B$13*100)*'Config_v6'!$B$45+(100-'Motor_Meciuri'!BF97)*'Config_v6'!$B$46+'Motor_Meciuri'!BH97*100*'Config_v6'!$B$47))</x:f>
      </x:c>
      <x:c r="U1281" s="2" t="str">
        <x:f>IF(T1281="","",IF(T1281&lt;=20,1,IF(T1281&lt;=40,2,IF(T1281&lt;=60,3,IF(T1281&lt;=80,4,5)))))</x:f>
      </x:c>
      <x:c r="V1281" s="2" t="str">
        <x:f>IF(M1281="","",MAX(0,'Motor_Meciuri'!BF97-IF(W1281="OOS PENDING",'Config_v6'!$B$35,0)-IF(L1281&gt;'Config_v6'!$B$12,'Config_v6'!$B$37,IF(L1281&gt;'Config_v6'!$B$11,'Config_v6'!$B$36,0))))</x:f>
      </x:c>
      <x:c r="W1281" s="2" t="str">
        <x:f>IF(B1281="","",IF(I1281&lt;&gt;"READY","NOT RELEASED",IF(NOT(AND(J1281="PASS",'Calibrare_Linii'!U7="VALID")),"INVALID",IF(NOT(AND('Calibrare_Linii'!S7="VALIDATED",AND('Calibrare_Linii'!H7=C1281,ISNUMBER('Calibrare_Linii'!J7),'Calibrare_Linii'!J7&lt;='Input_Meci'!G97))),"OOS PENDING",IF(S1281&lt;='Calibrare_Linii'!E7,"PASS",IF(S1281&lt;='Calibrare_Linii'!F7,"PENALTY","WATCH"))))))</x:f>
      </x:c>
      <x:c r="X1281" s="2" t="str">
        <x:f>IF(M1281="","",IF(AND(AND(J1281="PASS",'Calibrare_Linii'!U7="VALID"),'Motor_Meciuri'!K97=12,'Motor_Meciuri'!L97=12,'Motor_Meciuri'!M97="NO",'Motor_Meciuri'!BL97='Motor_Meciuri'!C97,AB1281&gt;='Config_v6'!$B$50,AN1281&gt;='Config_v6'!$B$51,T1281&lt;='Config_v6'!$B$52,L1281&lt;='Config_v6'!$B$53,ISNUMBER('Calibrare_Linii'!E7),S1281&lt;='Calibrare_Linii'!E7,SUM(AK1281:AM1281)&gt;0),"CANDIDATE","NO"))</x:f>
      </x:c>
      <x:c r="Y1281" s="2" t="str">
        <x:f>IF(B1281="","",IF(I1281&lt;&gt;"READY","NOT RELEASED",IF(AND(X1281="CANDIDATE",V1281&gt;='Config_v6'!$B$51,W1281="PASS",'Calibrare_Linii'!T7="VALIDATED",AND('Calibrare_Linii'!H7=C1281,ISNUMBER('Calibrare_Linii'!J7),'Calibrare_Linii'!J7&lt;='Input_Meci'!G97)),"PASS",IF(X1281="CANDIDATE","OOS PENDING","FAIL"))))</x:f>
      </x:c>
      <x:c r="Z1281" s="2" t="str">
        <x:f>IF(B1281="","",IF(I1281&lt;&gt;"READY","",IF(OR(NOT(AND(J1281="PASS",'Calibrare_Linii'!U7="VALID")),L1281&gt;'Config_v6'!$B$13,W1281="WATCH"),5,IF(Y1281="PASS",1,MIN(5,MAX('Config_v6'!$B$42,U1281)+IF(W1281="PENALTY",1,0))))))</x:f>
      </x:c>
      <x:c r="AA1281" s="2" t="str">
        <x:f>IF(B1281="","",IF(I1281&lt;&gt;"READY","NOT RELEASED",IF(Z1281=5,"NO BET",IF(OR(AB1281&lt;'Config_v6'!$B$16,V1281&lt;'Config_v6'!$B$18),"WATCH",IF(Z1281=1,"DEFENSIV",IF(Z1281=2,"PRUDENT",IF(Z1281=3,"MODERAT","RIDICAT")))))))</x:f>
      </x:c>
      <x:c r="AB1281" s="10" t="str">
        <x:f>IF(N1281="","",MIN(N1281,1-S1281))</x:f>
      </x:c>
      <x:c r="AC1281" s="2" t="str">
        <x:f>IF(AD1281&lt;&gt;1,"",COUNTIFS($Z$1280:$Z$1293,"&lt;"&amp;Z1281,$AD$1280:$AD$1293,1)+COUNTIFS($Z$1280:$Z$1293,Z1281,$AB$1280:$AB$1293,"&gt;"&amp;AB1281,$AD$1280:$AD$1293,1)+COUNTIFS($Z$1280:$Z$1293,Z1281,$AB$1280:$AB$1293,AB1281,$V$1280:$V$1293,"&gt;"&amp;V1281,$AD$1280:$AD$1293,1)+COUNTIFS($Z$1280:Z1281,Z1281,$AB$1280:AB1281,AB1281,$V$1280:V1281,V1281,$AD$1280:AD1281,1))</x:f>
      </x:c>
      <x:c r="AD1281" s="2" t="n">
        <x:f>IF(OR(AA1281="DEFENSIV",AA1281="PRUDENT",AA1281="MODERAT",AA1281="RIDICAT"),1,0)</x:f>
        <x:v>0</x:v>
      </x:c>
      <x:c r="AE1281" s="2" t="str">
        <x:f>IF(AD1281&lt;&gt;1,"NO",IF(W1281="PASS","YES",IF(W1281="OOS PENDING","CONDITIONAL","NO")))</x:f>
        <x:v>NO</x:v>
      </x:c>
      <x:c r="AF1281" s="2" t="n">
        <x:f>IF(AND(AD1281=1,AC1281=1,E1281="LIVE"),1,0)</x:f>
        <x:v>0</x:v>
      </x:c>
      <x:c r="AG1281" s="2" t="str">
        <x:f>IF(AF1281&lt;&gt;1,"",'Dashboard'!P117)</x:f>
      </x:c>
      <x:c r="AH1281" s="2" t="str">
        <x:f>IF(B1281="","",IF(J1281&lt;&gt;"PASS",'Motor_Meciuri'!J97,IF('Calibrare_Linii'!U7&lt;&gt;"VALID","Parametri linie invalizi",IF(L1281&gt;'Config_v6'!$B$13,"Dispersie peste limita",IF(W1281="WATCH","Failure peste limita",IF(AB1281&lt;'Config_v6'!$B$16,"P finala sub prag",IF(V1281&lt;'Config_v6'!$B$18,"Confidence sub prag",IF(E1281="REPLAY","Exemplu retrospectiv; exclus din Top LIVE",IF(Y1281="PASS","DEFENSIV validat",IF(W1281="OOS PENDING","Eligibil; calibrare linie in monitorizare","Eligibil"))))))))))</x:f>
      </x:c>
      <x:c r="AI1281" s="2" t="str">
        <x:f>IF(B1281="","",'Calibrare_Linii'!V7)</x:f>
      </x:c>
      <x:c r="AJ1281" s="2" t="str">
        <x:f>IF(B1281="","",IF(AND('Calibrare_Linii'!T7="VALIDATED",AND('Calibrare_Linii'!H7=C1281,ISNUMBER('Calibrare_Linii'!J7),'Calibrare_Linii'!J7&lt;='Input_Meci'!G97)),"DEFENSIVE VALIDATED",IF(AND('Calibrare_Linii'!S7="VALIDATED",AND('Calibrare_Linii'!H7=C1281,ISNUMBER('Calibrare_Linii'!J7),'Calibrare_Linii'!J7&lt;='Input_Meci'!G97)),"TAIL VALIDATED","OOS PENDING")))</x:f>
      </x:c>
      <x:c r="AK1281" s="2" t="n">
        <x:f>IF(J1281&lt;&gt;"PASS",0,'Motor_Meciuri'!BR97)</x:f>
        <x:v>0</x:v>
      </x:c>
      <x:c r="AL1281" s="2" t="n">
        <x:f>IF(J1281&lt;&gt;"PASS",0,'Motor_Meciuri'!BS97)</x:f>
        <x:v>0</x:v>
      </x:c>
      <x:c r="AM1281" s="2" t="n">
        <x:f>IF(J1281&lt;&gt;"PASS",0,'Motor_Meciuri'!BT97)</x:f>
        <x:v>0</x:v>
      </x:c>
      <x:c r="AN1281" s="2" t="str">
        <x:f>IF(M1281="","",MAX(0,'Motor_Meciuri'!BF97-IF(L1281&gt;'Config_v6'!$B$12,'Config_v6'!$B$37,IF(L1281&gt;'Config_v6'!$B$11,'Config_v6'!$B$36,0))))</x:f>
      </x:c>
    </x:row>
    <x:row r="1282" ht="21" customHeight="1">
      <x:c r="A1282" s="2" t="n">
        <x:v>92</x:v>
      </x:c>
      <x:c r="B1282" s="2" t="str">
        <x:f>IF('Motor_Meciuri'!A97="","",'Motor_Meciuri'!A97)</x:f>
      </x:c>
      <x:c r="C1282" s="2" t="str">
        <x:f>IF(B1282="","",'Motor_Meciuri'!B97)</x:f>
      </x:c>
      <x:c r="D1282" s="2" t="str">
        <x:f>IF(B1282="","",'Motor_Meciuri'!D97)</x:f>
      </x:c>
      <x:c r="E1282" s="2" t="str">
        <x:f>IF(B1282="","",'Motor_Meciuri'!E97)</x:f>
      </x:c>
      <x:c r="F1282" s="2" t="str">
        <x:v>O5,5</x:v>
      </x:c>
      <x:c r="G1282" s="2" t="str">
        <x:v>OVER</x:v>
      </x:c>
      <x:c r="H1282" s="2" t="n">
        <x:v>5</x:v>
      </x:c>
      <x:c r="I1282" s="2" t="str">
        <x:f>IF(B1282="","",'Motor_Meciuri'!H97)</x:f>
      </x:c>
      <x:c r="J1282" s="2" t="str">
        <x:f>IF(B1282="","",'Motor_Meciuri'!I97)</x:f>
      </x:c>
      <x:c r="K1282" s="11" t="str">
        <x:f>IF(J1282&lt;&gt;"PASS","",'Motor_Meciuri'!BD97)</x:f>
      </x:c>
      <x:c r="L1282" s="11" t="str">
        <x:f>IF(J1282&lt;&gt;"PASS","",'Motor_Meciuri'!AU97)</x:f>
      </x:c>
      <x:c r="M1282" s="10" t="str">
        <x:f>IF(NOT(AND(J1282="PASS",'Calibrare_Linii'!U8="VALID")),"",1-'Distributie'!AC97)</x:f>
      </x:c>
      <x:c r="N1282" s="10" t="str">
        <x:f>IF(M1282="","",MAX(0.01,MIN(0.99,0.5+(M1282-0.5)*'Motor_Meciuri'!BG97*'Calibrare_Linii'!D8)))</x:f>
      </x:c>
      <x:c r="O1282" s="10" t="str">
        <x:f>IF(M1282="","",1-M1282)</x:f>
      </x:c>
      <x:c r="P1282" s="10" t="str">
        <x:f>IF(OR(NOT(AND(J1282="PASS",'Calibrare_Linii'!U8="VALID")),AK1282=0),""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*('Istoric_Nativ'!$Q$6:$Q$405&lt;=H1282))/AK1282)</x:f>
      </x:c>
      <x:c r="Q1282" s="10" t="str">
        <x:f>IF(OR(NOT(AND(J1282="PASS",'Calibrare_Linii'!U8="VALID")),AL1282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M97)+((('Istoric_Nativ'!$E$6:$E$405='Input_Meci'!E97)+('Istoric_Nativ'!$F$6:$F$405='Input_Meci'!E97))&gt;0)*('Istoric_Nativ'!$D$6:$D$405&gt;='Motor_Meciuri'!BN97))&gt;0)*('Istoric_Nativ'!$Q$6:$Q$405&lt;=H1282))/AL1282)</x:f>
      </x:c>
      <x:c r="R1282" s="10" t="str">
        <x:f>IF(OR(NOT(AND(J1282="PASS",'Calibrare_Linii'!U8="VALID")),AM1282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O97)+((('Istoric_Nativ'!$E$6:$E$405='Input_Meci'!E97)+('Istoric_Nativ'!$F$6:$F$405='Input_Meci'!E97))&gt;0)*('Istoric_Nativ'!$D$6:$D$405&gt;='Motor_Meciuri'!BP97))&gt;0)*('Istoric_Nativ'!$Q$6:$Q$405&lt;=H1282))/AM1282)</x:f>
      </x:c>
      <x:c r="S1282" s="10" t="str">
        <x:f>IF(M1282="","",MAX(O1282,P1282,Q1282,R1282))</x:f>
      </x:c>
      <x:c r="T1282" s="11" t="str">
        <x:f>IF(M1282="","",MIN(100,S1282*100*'Config_v6'!$B$44+MIN(100,L1282/'Config_v6'!$B$13*100)*'Config_v6'!$B$45+(100-'Motor_Meciuri'!BF97)*'Config_v6'!$B$46+'Motor_Meciuri'!BH97*100*'Config_v6'!$B$47))</x:f>
      </x:c>
      <x:c r="U1282" s="2" t="str">
        <x:f>IF(T1282="","",IF(T1282&lt;=20,1,IF(T1282&lt;=40,2,IF(T1282&lt;=60,3,IF(T1282&lt;=80,4,5)))))</x:f>
      </x:c>
      <x:c r="V1282" s="2" t="str">
        <x:f>IF(M1282="","",MAX(0,'Motor_Meciuri'!BF97-IF(W1282="OOS PENDING",'Config_v6'!$B$35,0)-IF(L1282&gt;'Config_v6'!$B$12,'Config_v6'!$B$37,IF(L1282&gt;'Config_v6'!$B$11,'Config_v6'!$B$36,0))))</x:f>
      </x:c>
      <x:c r="W1282" s="2" t="str">
        <x:f>IF(B1282="","",IF(I1282&lt;&gt;"READY","NOT RELEASED",IF(NOT(AND(J1282="PASS",'Calibrare_Linii'!U8="VALID")),"INVALID",IF(NOT(AND('Calibrare_Linii'!S8="VALIDATED",AND('Calibrare_Linii'!H8=C1282,ISNUMBER('Calibrare_Linii'!J8),'Calibrare_Linii'!J8&lt;='Input_Meci'!G97))),"OOS PENDING",IF(S1282&lt;='Calibrare_Linii'!E8,"PASS",IF(S1282&lt;='Calibrare_Linii'!F8,"PENALTY","WATCH"))))))</x:f>
      </x:c>
      <x:c r="X1282" s="2" t="str">
        <x:f>IF(M1282="","",IF(AND(AND(J1282="PASS",'Calibrare_Linii'!U8="VALID"),'Motor_Meciuri'!K97=12,'Motor_Meciuri'!L97=12,'Motor_Meciuri'!M97="NO",'Motor_Meciuri'!BL97='Motor_Meciuri'!C97,AB1282&gt;='Config_v6'!$B$50,AN1282&gt;='Config_v6'!$B$51,T1282&lt;='Config_v6'!$B$52,L1282&lt;='Config_v6'!$B$53,ISNUMBER('Calibrare_Linii'!E8),S1282&lt;='Calibrare_Linii'!E8,SUM(AK1282:AM1282)&gt;0),"CANDIDATE","NO"))</x:f>
      </x:c>
      <x:c r="Y1282" s="2" t="str">
        <x:f>IF(B1282="","",IF(I1282&lt;&gt;"READY","NOT RELEASED",IF(AND(X1282="CANDIDATE",V1282&gt;='Config_v6'!$B$51,W1282="PASS",'Calibrare_Linii'!T8="VALIDATED",AND('Calibrare_Linii'!H8=C1282,ISNUMBER('Calibrare_Linii'!J8),'Calibrare_Linii'!J8&lt;='Input_Meci'!G97)),"PASS",IF(X1282="CANDIDATE","OOS PENDING","FAIL"))))</x:f>
      </x:c>
      <x:c r="Z1282" s="2" t="str">
        <x:f>IF(B1282="","",IF(I1282&lt;&gt;"READY","",IF(OR(NOT(AND(J1282="PASS",'Calibrare_Linii'!U8="VALID")),L1282&gt;'Config_v6'!$B$13,W1282="WATCH"),5,IF(Y1282="PASS",1,MIN(5,MAX('Config_v6'!$B$42,U1282)+IF(W1282="PENALTY",1,0))))))</x:f>
      </x:c>
      <x:c r="AA1282" s="2" t="str">
        <x:f>IF(B1282="","",IF(I1282&lt;&gt;"READY","NOT RELEASED",IF(Z1282=5,"NO BET",IF(OR(AB1282&lt;'Config_v6'!$B$16,V1282&lt;'Config_v6'!$B$18),"WATCH",IF(Z1282=1,"DEFENSIV",IF(Z1282=2,"PRUDENT",IF(Z1282=3,"MODERAT","RIDICAT")))))))</x:f>
      </x:c>
      <x:c r="AB1282" s="10" t="str">
        <x:f>IF(N1282="","",MIN(N1282,1-S1282))</x:f>
      </x:c>
      <x:c r="AC1282" s="2" t="str">
        <x:f>IF(AD1282&lt;&gt;1,"",COUNTIFS($Z$1280:$Z$1293,"&lt;"&amp;Z1282,$AD$1280:$AD$1293,1)+COUNTIFS($Z$1280:$Z$1293,Z1282,$AB$1280:$AB$1293,"&gt;"&amp;AB1282,$AD$1280:$AD$1293,1)+COUNTIFS($Z$1280:$Z$1293,Z1282,$AB$1280:$AB$1293,AB1282,$V$1280:$V$1293,"&gt;"&amp;V1282,$AD$1280:$AD$1293,1)+COUNTIFS($Z$1280:Z1282,Z1282,$AB$1280:AB1282,AB1282,$V$1280:V1282,V1282,$AD$1280:AD1282,1))</x:f>
      </x:c>
      <x:c r="AD1282" s="2" t="n">
        <x:f>IF(OR(AA1282="DEFENSIV",AA1282="PRUDENT",AA1282="MODERAT",AA1282="RIDICAT"),1,0)</x:f>
        <x:v>0</x:v>
      </x:c>
      <x:c r="AE1282" s="2" t="str">
        <x:f>IF(AD1282&lt;&gt;1,"NO",IF(W1282="PASS","YES",IF(W1282="OOS PENDING","CONDITIONAL","NO")))</x:f>
        <x:v>NO</x:v>
      </x:c>
      <x:c r="AF1282" s="2" t="n">
        <x:f>IF(AND(AD1282=1,AC1282=1,E1282="LIVE"),1,0)</x:f>
        <x:v>0</x:v>
      </x:c>
      <x:c r="AG1282" s="2" t="str">
        <x:f>IF(AF1282&lt;&gt;1,"",'Dashboard'!P117)</x:f>
      </x:c>
      <x:c r="AH1282" s="2" t="str">
        <x:f>IF(B1282="","",IF(J1282&lt;&gt;"PASS",'Motor_Meciuri'!J97,IF('Calibrare_Linii'!U8&lt;&gt;"VALID","Parametri linie invalizi",IF(L1282&gt;'Config_v6'!$B$13,"Dispersie peste limita",IF(W1282="WATCH","Failure peste limita",IF(AB1282&lt;'Config_v6'!$B$16,"P finala sub prag",IF(V1282&lt;'Config_v6'!$B$18,"Confidence sub prag",IF(E1282="REPLAY","Exemplu retrospectiv; exclus din Top LIVE",IF(Y1282="PASS","DEFENSIV validat",IF(W1282="OOS PENDING","Eligibil; calibrare linie in monitorizare","Eligibil"))))))))))</x:f>
      </x:c>
      <x:c r="AI1282" s="2" t="str">
        <x:f>IF(B1282="","",'Calibrare_Linii'!V8)</x:f>
      </x:c>
      <x:c r="AJ1282" s="2" t="str">
        <x:f>IF(B1282="","",IF(AND('Calibrare_Linii'!T8="VALIDATED",AND('Calibrare_Linii'!H8=C1282,ISNUMBER('Calibrare_Linii'!J8),'Calibrare_Linii'!J8&lt;='Input_Meci'!G97)),"DEFENSIVE VALIDATED",IF(AND('Calibrare_Linii'!S8="VALIDATED",AND('Calibrare_Linii'!H8=C1282,ISNUMBER('Calibrare_Linii'!J8),'Calibrare_Linii'!J8&lt;='Input_Meci'!G97)),"TAIL VALIDATED","OOS PENDING")))</x:f>
      </x:c>
      <x:c r="AK1282" s="2" t="n">
        <x:f>IF(J1282&lt;&gt;"PASS",0,'Motor_Meciuri'!BR97)</x:f>
        <x:v>0</x:v>
      </x:c>
      <x:c r="AL1282" s="2" t="n">
        <x:f>IF(J1282&lt;&gt;"PASS",0,'Motor_Meciuri'!BS97)</x:f>
        <x:v>0</x:v>
      </x:c>
      <x:c r="AM1282" s="2" t="n">
        <x:f>IF(J1282&lt;&gt;"PASS",0,'Motor_Meciuri'!BT97)</x:f>
        <x:v>0</x:v>
      </x:c>
      <x:c r="AN1282" s="2" t="str">
        <x:f>IF(M1282="","",MAX(0,'Motor_Meciuri'!BF97-IF(L1282&gt;'Config_v6'!$B$12,'Config_v6'!$B$37,IF(L1282&gt;'Config_v6'!$B$11,'Config_v6'!$B$36,0))))</x:f>
      </x:c>
    </x:row>
    <x:row r="1283" ht="21" customHeight="1">
      <x:c r="A1283" s="2" t="n">
        <x:v>92</x:v>
      </x:c>
      <x:c r="B1283" s="2" t="str">
        <x:f>IF('Motor_Meciuri'!A97="","",'Motor_Meciuri'!A97)</x:f>
      </x:c>
      <x:c r="C1283" s="2" t="str">
        <x:f>IF(B1283="","",'Motor_Meciuri'!B97)</x:f>
      </x:c>
      <x:c r="D1283" s="2" t="str">
        <x:f>IF(B1283="","",'Motor_Meciuri'!D97)</x:f>
      </x:c>
      <x:c r="E1283" s="2" t="str">
        <x:f>IF(B1283="","",'Motor_Meciuri'!E97)</x:f>
      </x:c>
      <x:c r="F1283" s="2" t="str">
        <x:v>O6,5</x:v>
      </x:c>
      <x:c r="G1283" s="2" t="str">
        <x:v>OVER</x:v>
      </x:c>
      <x:c r="H1283" s="2" t="n">
        <x:v>6</x:v>
      </x:c>
      <x:c r="I1283" s="2" t="str">
        <x:f>IF(B1283="","",'Motor_Meciuri'!H97)</x:f>
      </x:c>
      <x:c r="J1283" s="2" t="str">
        <x:f>IF(B1283="","",'Motor_Meciuri'!I97)</x:f>
      </x:c>
      <x:c r="K1283" s="11" t="str">
        <x:f>IF(J1283&lt;&gt;"PASS","",'Motor_Meciuri'!BD97)</x:f>
      </x:c>
      <x:c r="L1283" s="11" t="str">
        <x:f>IF(J1283&lt;&gt;"PASS","",'Motor_Meciuri'!AU97)</x:f>
      </x:c>
      <x:c r="M1283" s="10" t="str">
        <x:f>IF(NOT(AND(J1283="PASS",'Calibrare_Linii'!U9="VALID")),"",1-'Distributie'!AD97)</x:f>
      </x:c>
      <x:c r="N1283" s="10" t="str">
        <x:f>IF(M1283="","",MAX(0.01,MIN(0.99,0.5+(M1283-0.5)*'Motor_Meciuri'!BG97*'Calibrare_Linii'!D9)))</x:f>
      </x:c>
      <x:c r="O1283" s="10" t="str">
        <x:f>IF(M1283="","",1-M1283)</x:f>
      </x:c>
      <x:c r="P1283" s="10" t="str">
        <x:f>IF(OR(NOT(AND(J1283="PASS",'Calibrare_Linii'!U9="VALID")),AK1283=0),""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*('Istoric_Nativ'!$Q$6:$Q$405&lt;=H1283))/AK1283)</x:f>
      </x:c>
      <x:c r="Q1283" s="10" t="str">
        <x:f>IF(OR(NOT(AND(J1283="PASS",'Calibrare_Linii'!U9="VALID")),AL1283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M97)+((('Istoric_Nativ'!$E$6:$E$405='Input_Meci'!E97)+('Istoric_Nativ'!$F$6:$F$405='Input_Meci'!E97))&gt;0)*('Istoric_Nativ'!$D$6:$D$405&gt;='Motor_Meciuri'!BN97))&gt;0)*('Istoric_Nativ'!$Q$6:$Q$405&lt;=H1283))/AL1283)</x:f>
      </x:c>
      <x:c r="R1283" s="10" t="str">
        <x:f>IF(OR(NOT(AND(J1283="PASS",'Calibrare_Linii'!U9="VALID")),AM1283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O97)+((('Istoric_Nativ'!$E$6:$E$405='Input_Meci'!E97)+('Istoric_Nativ'!$F$6:$F$405='Input_Meci'!E97))&gt;0)*('Istoric_Nativ'!$D$6:$D$405&gt;='Motor_Meciuri'!BP97))&gt;0)*('Istoric_Nativ'!$Q$6:$Q$405&lt;=H1283))/AM1283)</x:f>
      </x:c>
      <x:c r="S1283" s="10" t="str">
        <x:f>IF(M1283="","",MAX(O1283,P1283,Q1283,R1283))</x:f>
      </x:c>
      <x:c r="T1283" s="11" t="str">
        <x:f>IF(M1283="","",MIN(100,S1283*100*'Config_v6'!$B$44+MIN(100,L1283/'Config_v6'!$B$13*100)*'Config_v6'!$B$45+(100-'Motor_Meciuri'!BF97)*'Config_v6'!$B$46+'Motor_Meciuri'!BH97*100*'Config_v6'!$B$47))</x:f>
      </x:c>
      <x:c r="U1283" s="2" t="str">
        <x:f>IF(T1283="","",IF(T1283&lt;=20,1,IF(T1283&lt;=40,2,IF(T1283&lt;=60,3,IF(T1283&lt;=80,4,5)))))</x:f>
      </x:c>
      <x:c r="V1283" s="2" t="str">
        <x:f>IF(M1283="","",MAX(0,'Motor_Meciuri'!BF97-IF(W1283="OOS PENDING",'Config_v6'!$B$35,0)-IF(L1283&gt;'Config_v6'!$B$12,'Config_v6'!$B$37,IF(L1283&gt;'Config_v6'!$B$11,'Config_v6'!$B$36,0))))</x:f>
      </x:c>
      <x:c r="W1283" s="2" t="str">
        <x:f>IF(B1283="","",IF(I1283&lt;&gt;"READY","NOT RELEASED",IF(NOT(AND(J1283="PASS",'Calibrare_Linii'!U9="VALID")),"INVALID",IF(NOT(AND('Calibrare_Linii'!S9="VALIDATED",AND('Calibrare_Linii'!H9=C1283,ISNUMBER('Calibrare_Linii'!J9),'Calibrare_Linii'!J9&lt;='Input_Meci'!G97))),"OOS PENDING",IF(S1283&lt;='Calibrare_Linii'!E9,"PASS",IF(S1283&lt;='Calibrare_Linii'!F9,"PENALTY","WATCH"))))))</x:f>
      </x:c>
      <x:c r="X1283" s="2" t="str">
        <x:f>IF(M1283="","",IF(AND(AND(J1283="PASS",'Calibrare_Linii'!U9="VALID"),'Motor_Meciuri'!K97=12,'Motor_Meciuri'!L97=12,'Motor_Meciuri'!M97="NO",'Motor_Meciuri'!BL97='Motor_Meciuri'!C97,AB1283&gt;='Config_v6'!$B$50,AN1283&gt;='Config_v6'!$B$51,T1283&lt;='Config_v6'!$B$52,L1283&lt;='Config_v6'!$B$53,ISNUMBER('Calibrare_Linii'!E9),S1283&lt;='Calibrare_Linii'!E9,SUM(AK1283:AM1283)&gt;0),"CANDIDATE","NO"))</x:f>
      </x:c>
      <x:c r="Y1283" s="2" t="str">
        <x:f>IF(B1283="","",IF(I1283&lt;&gt;"READY","NOT RELEASED",IF(AND(X1283="CANDIDATE",V1283&gt;='Config_v6'!$B$51,W1283="PASS",'Calibrare_Linii'!T9="VALIDATED",AND('Calibrare_Linii'!H9=C1283,ISNUMBER('Calibrare_Linii'!J9),'Calibrare_Linii'!J9&lt;='Input_Meci'!G97)),"PASS",IF(X1283="CANDIDATE","OOS PENDING","FAIL"))))</x:f>
      </x:c>
      <x:c r="Z1283" s="2" t="str">
        <x:f>IF(B1283="","",IF(I1283&lt;&gt;"READY","",IF(OR(NOT(AND(J1283="PASS",'Calibrare_Linii'!U9="VALID")),L1283&gt;'Config_v6'!$B$13,W1283="WATCH"),5,IF(Y1283="PASS",1,MIN(5,MAX('Config_v6'!$B$42,U1283)+IF(W1283="PENALTY",1,0))))))</x:f>
      </x:c>
      <x:c r="AA1283" s="2" t="str">
        <x:f>IF(B1283="","",IF(I1283&lt;&gt;"READY","NOT RELEASED",IF(Z1283=5,"NO BET",IF(OR(AB1283&lt;'Config_v6'!$B$16,V1283&lt;'Config_v6'!$B$18),"WATCH",IF(Z1283=1,"DEFENSIV",IF(Z1283=2,"PRUDENT",IF(Z1283=3,"MODERAT","RIDICAT")))))))</x:f>
      </x:c>
      <x:c r="AB1283" s="10" t="str">
        <x:f>IF(N1283="","",MIN(N1283,1-S1283))</x:f>
      </x:c>
      <x:c r="AC1283" s="2" t="str">
        <x:f>IF(AD1283&lt;&gt;1,"",COUNTIFS($Z$1280:$Z$1293,"&lt;"&amp;Z1283,$AD$1280:$AD$1293,1)+COUNTIFS($Z$1280:$Z$1293,Z1283,$AB$1280:$AB$1293,"&gt;"&amp;AB1283,$AD$1280:$AD$1293,1)+COUNTIFS($Z$1280:$Z$1293,Z1283,$AB$1280:$AB$1293,AB1283,$V$1280:$V$1293,"&gt;"&amp;V1283,$AD$1280:$AD$1293,1)+COUNTIFS($Z$1280:Z1283,Z1283,$AB$1280:AB1283,AB1283,$V$1280:V1283,V1283,$AD$1280:AD1283,1))</x:f>
      </x:c>
      <x:c r="AD1283" s="2" t="n">
        <x:f>IF(OR(AA1283="DEFENSIV",AA1283="PRUDENT",AA1283="MODERAT",AA1283="RIDICAT"),1,0)</x:f>
        <x:v>0</x:v>
      </x:c>
      <x:c r="AE1283" s="2" t="str">
        <x:f>IF(AD1283&lt;&gt;1,"NO",IF(W1283="PASS","YES",IF(W1283="OOS PENDING","CONDITIONAL","NO")))</x:f>
        <x:v>NO</x:v>
      </x:c>
      <x:c r="AF1283" s="2" t="n">
        <x:f>IF(AND(AD1283=1,AC1283=1,E1283="LIVE"),1,0)</x:f>
        <x:v>0</x:v>
      </x:c>
      <x:c r="AG1283" s="2" t="str">
        <x:f>IF(AF1283&lt;&gt;1,"",'Dashboard'!P117)</x:f>
      </x:c>
      <x:c r="AH1283" s="2" t="str">
        <x:f>IF(B1283="","",IF(J1283&lt;&gt;"PASS",'Motor_Meciuri'!J97,IF('Calibrare_Linii'!U9&lt;&gt;"VALID","Parametri linie invalizi",IF(L1283&gt;'Config_v6'!$B$13,"Dispersie peste limita",IF(W1283="WATCH","Failure peste limita",IF(AB1283&lt;'Config_v6'!$B$16,"P finala sub prag",IF(V1283&lt;'Config_v6'!$B$18,"Confidence sub prag",IF(E1283="REPLAY","Exemplu retrospectiv; exclus din Top LIVE",IF(Y1283="PASS","DEFENSIV validat",IF(W1283="OOS PENDING","Eligibil; calibrare linie in monitorizare","Eligibil"))))))))))</x:f>
      </x:c>
      <x:c r="AI1283" s="2" t="str">
        <x:f>IF(B1283="","",'Calibrare_Linii'!V9)</x:f>
      </x:c>
      <x:c r="AJ1283" s="2" t="str">
        <x:f>IF(B1283="","",IF(AND('Calibrare_Linii'!T9="VALIDATED",AND('Calibrare_Linii'!H9=C1283,ISNUMBER('Calibrare_Linii'!J9),'Calibrare_Linii'!J9&lt;='Input_Meci'!G97)),"DEFENSIVE VALIDATED",IF(AND('Calibrare_Linii'!S9="VALIDATED",AND('Calibrare_Linii'!H9=C1283,ISNUMBER('Calibrare_Linii'!J9),'Calibrare_Linii'!J9&lt;='Input_Meci'!G97)),"TAIL VALIDATED","OOS PENDING")))</x:f>
      </x:c>
      <x:c r="AK1283" s="2" t="n">
        <x:f>IF(J1283&lt;&gt;"PASS",0,'Motor_Meciuri'!BR97)</x:f>
        <x:v>0</x:v>
      </x:c>
      <x:c r="AL1283" s="2" t="n">
        <x:f>IF(J1283&lt;&gt;"PASS",0,'Motor_Meciuri'!BS97)</x:f>
        <x:v>0</x:v>
      </x:c>
      <x:c r="AM1283" s="2" t="n">
        <x:f>IF(J1283&lt;&gt;"PASS",0,'Motor_Meciuri'!BT97)</x:f>
        <x:v>0</x:v>
      </x:c>
      <x:c r="AN1283" s="2" t="str">
        <x:f>IF(M1283="","",MAX(0,'Motor_Meciuri'!BF97-IF(L1283&gt;'Config_v6'!$B$12,'Config_v6'!$B$37,IF(L1283&gt;'Config_v6'!$B$11,'Config_v6'!$B$36,0))))</x:f>
      </x:c>
    </x:row>
    <x:row r="1284" ht="21" customHeight="1">
      <x:c r="A1284" s="2" t="n">
        <x:v>92</x:v>
      </x:c>
      <x:c r="B1284" s="2" t="str">
        <x:f>IF('Motor_Meciuri'!A97="","",'Motor_Meciuri'!A97)</x:f>
      </x:c>
      <x:c r="C1284" s="2" t="str">
        <x:f>IF(B1284="","",'Motor_Meciuri'!B97)</x:f>
      </x:c>
      <x:c r="D1284" s="2" t="str">
        <x:f>IF(B1284="","",'Motor_Meciuri'!D97)</x:f>
      </x:c>
      <x:c r="E1284" s="2" t="str">
        <x:f>IF(B1284="","",'Motor_Meciuri'!E97)</x:f>
      </x:c>
      <x:c r="F1284" s="2" t="str">
        <x:v>O7,5</x:v>
      </x:c>
      <x:c r="G1284" s="2" t="str">
        <x:v>OVER</x:v>
      </x:c>
      <x:c r="H1284" s="2" t="n">
        <x:v>7</x:v>
      </x:c>
      <x:c r="I1284" s="2" t="str">
        <x:f>IF(B1284="","",'Motor_Meciuri'!H97)</x:f>
      </x:c>
      <x:c r="J1284" s="2" t="str">
        <x:f>IF(B1284="","",'Motor_Meciuri'!I97)</x:f>
      </x:c>
      <x:c r="K1284" s="11" t="str">
        <x:f>IF(J1284&lt;&gt;"PASS","",'Motor_Meciuri'!BD97)</x:f>
      </x:c>
      <x:c r="L1284" s="11" t="str">
        <x:f>IF(J1284&lt;&gt;"PASS","",'Motor_Meciuri'!AU97)</x:f>
      </x:c>
      <x:c r="M1284" s="10" t="str">
        <x:f>IF(NOT(AND(J1284="PASS",'Calibrare_Linii'!U10="VALID")),"",1-'Distributie'!AE97)</x:f>
      </x:c>
      <x:c r="N1284" s="10" t="str">
        <x:f>IF(M1284="","",MAX(0.01,MIN(0.99,0.5+(M1284-0.5)*'Motor_Meciuri'!BG97*'Calibrare_Linii'!D10)))</x:f>
      </x:c>
      <x:c r="O1284" s="10" t="str">
        <x:f>IF(M1284="","",1-M1284)</x:f>
      </x:c>
      <x:c r="P1284" s="10" t="str">
        <x:f>IF(OR(NOT(AND(J1284="PASS",'Calibrare_Linii'!U10="VALID")),AK1284=0),""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*('Istoric_Nativ'!$Q$6:$Q$405&lt;=H1284))/AK1284)</x:f>
      </x:c>
      <x:c r="Q1284" s="10" t="str">
        <x:f>IF(OR(NOT(AND(J1284="PASS",'Calibrare_Linii'!U10="VALID")),AL1284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M97)+((('Istoric_Nativ'!$E$6:$E$405='Input_Meci'!E97)+('Istoric_Nativ'!$F$6:$F$405='Input_Meci'!E97))&gt;0)*('Istoric_Nativ'!$D$6:$D$405&gt;='Motor_Meciuri'!BN97))&gt;0)*('Istoric_Nativ'!$Q$6:$Q$405&lt;=H1284))/AL1284)</x:f>
      </x:c>
      <x:c r="R1284" s="10" t="str">
        <x:f>IF(OR(NOT(AND(J1284="PASS",'Calibrare_Linii'!U10="VALID")),AM1284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O97)+((('Istoric_Nativ'!$E$6:$E$405='Input_Meci'!E97)+('Istoric_Nativ'!$F$6:$F$405='Input_Meci'!E97))&gt;0)*('Istoric_Nativ'!$D$6:$D$405&gt;='Motor_Meciuri'!BP97))&gt;0)*('Istoric_Nativ'!$Q$6:$Q$405&lt;=H1284))/AM1284)</x:f>
      </x:c>
      <x:c r="S1284" s="10" t="str">
        <x:f>IF(M1284="","",MAX(O1284,P1284,Q1284,R1284))</x:f>
      </x:c>
      <x:c r="T1284" s="11" t="str">
        <x:f>IF(M1284="","",MIN(100,S1284*100*'Config_v6'!$B$44+MIN(100,L1284/'Config_v6'!$B$13*100)*'Config_v6'!$B$45+(100-'Motor_Meciuri'!BF97)*'Config_v6'!$B$46+'Motor_Meciuri'!BH97*100*'Config_v6'!$B$47))</x:f>
      </x:c>
      <x:c r="U1284" s="2" t="str">
        <x:f>IF(T1284="","",IF(T1284&lt;=20,1,IF(T1284&lt;=40,2,IF(T1284&lt;=60,3,IF(T1284&lt;=80,4,5)))))</x:f>
      </x:c>
      <x:c r="V1284" s="2" t="str">
        <x:f>IF(M1284="","",MAX(0,'Motor_Meciuri'!BF97-IF(W1284="OOS PENDING",'Config_v6'!$B$35,0)-IF(L1284&gt;'Config_v6'!$B$12,'Config_v6'!$B$37,IF(L1284&gt;'Config_v6'!$B$11,'Config_v6'!$B$36,0))))</x:f>
      </x:c>
      <x:c r="W1284" s="2" t="str">
        <x:f>IF(B1284="","",IF(I1284&lt;&gt;"READY","NOT RELEASED",IF(NOT(AND(J1284="PASS",'Calibrare_Linii'!U10="VALID")),"INVALID",IF(NOT(AND('Calibrare_Linii'!S10="VALIDATED",AND('Calibrare_Linii'!H10=C1284,ISNUMBER('Calibrare_Linii'!J10),'Calibrare_Linii'!J10&lt;='Input_Meci'!G97))),"OOS PENDING",IF(S1284&lt;='Calibrare_Linii'!E10,"PASS",IF(S1284&lt;='Calibrare_Linii'!F10,"PENALTY","WATCH"))))))</x:f>
      </x:c>
      <x:c r="X1284" s="2" t="str">
        <x:f>IF(M1284="","",IF(AND(AND(J1284="PASS",'Calibrare_Linii'!U10="VALID"),'Motor_Meciuri'!K97=12,'Motor_Meciuri'!L97=12,'Motor_Meciuri'!M97="NO",'Motor_Meciuri'!BL97='Motor_Meciuri'!C97,AB1284&gt;='Config_v6'!$B$50,AN1284&gt;='Config_v6'!$B$51,T1284&lt;='Config_v6'!$B$52,L1284&lt;='Config_v6'!$B$53,ISNUMBER('Calibrare_Linii'!E10),S1284&lt;='Calibrare_Linii'!E10,SUM(AK1284:AM1284)&gt;0),"CANDIDATE","NO"))</x:f>
      </x:c>
      <x:c r="Y1284" s="2" t="str">
        <x:f>IF(B1284="","",IF(I1284&lt;&gt;"READY","NOT RELEASED",IF(AND(X1284="CANDIDATE",V1284&gt;='Config_v6'!$B$51,W1284="PASS",'Calibrare_Linii'!T10="VALIDATED",AND('Calibrare_Linii'!H10=C1284,ISNUMBER('Calibrare_Linii'!J10),'Calibrare_Linii'!J10&lt;='Input_Meci'!G97)),"PASS",IF(X1284="CANDIDATE","OOS PENDING","FAIL"))))</x:f>
      </x:c>
      <x:c r="Z1284" s="2" t="str">
        <x:f>IF(B1284="","",IF(I1284&lt;&gt;"READY","",IF(OR(NOT(AND(J1284="PASS",'Calibrare_Linii'!U10="VALID")),L1284&gt;'Config_v6'!$B$13,W1284="WATCH"),5,IF(Y1284="PASS",1,MIN(5,MAX('Config_v6'!$B$42,U1284)+IF(W1284="PENALTY",1,0))))))</x:f>
      </x:c>
      <x:c r="AA1284" s="2" t="str">
        <x:f>IF(B1284="","",IF(I1284&lt;&gt;"READY","NOT RELEASED",IF(Z1284=5,"NO BET",IF(OR(AB1284&lt;'Config_v6'!$B$16,V1284&lt;'Config_v6'!$B$18),"WATCH",IF(Z1284=1,"DEFENSIV",IF(Z1284=2,"PRUDENT",IF(Z1284=3,"MODERAT","RIDICAT")))))))</x:f>
      </x:c>
      <x:c r="AB1284" s="10" t="str">
        <x:f>IF(N1284="","",MIN(N1284,1-S1284))</x:f>
      </x:c>
      <x:c r="AC1284" s="2" t="str">
        <x:f>IF(AD1284&lt;&gt;1,"",COUNTIFS($Z$1280:$Z$1293,"&lt;"&amp;Z1284,$AD$1280:$AD$1293,1)+COUNTIFS($Z$1280:$Z$1293,Z1284,$AB$1280:$AB$1293,"&gt;"&amp;AB1284,$AD$1280:$AD$1293,1)+COUNTIFS($Z$1280:$Z$1293,Z1284,$AB$1280:$AB$1293,AB1284,$V$1280:$V$1293,"&gt;"&amp;V1284,$AD$1280:$AD$1293,1)+COUNTIFS($Z$1280:Z1284,Z1284,$AB$1280:AB1284,AB1284,$V$1280:V1284,V1284,$AD$1280:AD1284,1))</x:f>
      </x:c>
      <x:c r="AD1284" s="2" t="n">
        <x:f>IF(OR(AA1284="DEFENSIV",AA1284="PRUDENT",AA1284="MODERAT",AA1284="RIDICAT"),1,0)</x:f>
        <x:v>0</x:v>
      </x:c>
      <x:c r="AE1284" s="2" t="str">
        <x:f>IF(AD1284&lt;&gt;1,"NO",IF(W1284="PASS","YES",IF(W1284="OOS PENDING","CONDITIONAL","NO")))</x:f>
        <x:v>NO</x:v>
      </x:c>
      <x:c r="AF1284" s="2" t="n">
        <x:f>IF(AND(AD1284=1,AC1284=1,E1284="LIVE"),1,0)</x:f>
        <x:v>0</x:v>
      </x:c>
      <x:c r="AG1284" s="2" t="str">
        <x:f>IF(AF1284&lt;&gt;1,"",'Dashboard'!P117)</x:f>
      </x:c>
      <x:c r="AH1284" s="2" t="str">
        <x:f>IF(B1284="","",IF(J1284&lt;&gt;"PASS",'Motor_Meciuri'!J97,IF('Calibrare_Linii'!U10&lt;&gt;"VALID","Parametri linie invalizi",IF(L1284&gt;'Config_v6'!$B$13,"Dispersie peste limita",IF(W1284="WATCH","Failure peste limita",IF(AB1284&lt;'Config_v6'!$B$16,"P finala sub prag",IF(V1284&lt;'Config_v6'!$B$18,"Confidence sub prag",IF(E1284="REPLAY","Exemplu retrospectiv; exclus din Top LIVE",IF(Y1284="PASS","DEFENSIV validat",IF(W1284="OOS PENDING","Eligibil; calibrare linie in monitorizare","Eligibil"))))))))))</x:f>
      </x:c>
      <x:c r="AI1284" s="2" t="str">
        <x:f>IF(B1284="","",'Calibrare_Linii'!V10)</x:f>
      </x:c>
      <x:c r="AJ1284" s="2" t="str">
        <x:f>IF(B1284="","",IF(AND('Calibrare_Linii'!T10="VALIDATED",AND('Calibrare_Linii'!H10=C1284,ISNUMBER('Calibrare_Linii'!J10),'Calibrare_Linii'!J10&lt;='Input_Meci'!G97)),"DEFENSIVE VALIDATED",IF(AND('Calibrare_Linii'!S10="VALIDATED",AND('Calibrare_Linii'!H10=C1284,ISNUMBER('Calibrare_Linii'!J10),'Calibrare_Linii'!J10&lt;='Input_Meci'!G97)),"TAIL VALIDATED","OOS PENDING")))</x:f>
      </x:c>
      <x:c r="AK1284" s="2" t="n">
        <x:f>IF(J1284&lt;&gt;"PASS",0,'Motor_Meciuri'!BR97)</x:f>
        <x:v>0</x:v>
      </x:c>
      <x:c r="AL1284" s="2" t="n">
        <x:f>IF(J1284&lt;&gt;"PASS",0,'Motor_Meciuri'!BS97)</x:f>
        <x:v>0</x:v>
      </x:c>
      <x:c r="AM1284" s="2" t="n">
        <x:f>IF(J1284&lt;&gt;"PASS",0,'Motor_Meciuri'!BT97)</x:f>
        <x:v>0</x:v>
      </x:c>
      <x:c r="AN1284" s="2" t="str">
        <x:f>IF(M1284="","",MAX(0,'Motor_Meciuri'!BF97-IF(L1284&gt;'Config_v6'!$B$12,'Config_v6'!$B$37,IF(L1284&gt;'Config_v6'!$B$11,'Config_v6'!$B$36,0))))</x:f>
      </x:c>
    </x:row>
    <x:row r="1285" ht="21" customHeight="1">
      <x:c r="A1285" s="2" t="n">
        <x:v>92</x:v>
      </x:c>
      <x:c r="B1285" s="2" t="str">
        <x:f>IF('Motor_Meciuri'!A97="","",'Motor_Meciuri'!A97)</x:f>
      </x:c>
      <x:c r="C1285" s="2" t="str">
        <x:f>IF(B1285="","",'Motor_Meciuri'!B97)</x:f>
      </x:c>
      <x:c r="D1285" s="2" t="str">
        <x:f>IF(B1285="","",'Motor_Meciuri'!D97)</x:f>
      </x:c>
      <x:c r="E1285" s="2" t="str">
        <x:f>IF(B1285="","",'Motor_Meciuri'!E97)</x:f>
      </x:c>
      <x:c r="F1285" s="2" t="str">
        <x:v>O8,5</x:v>
      </x:c>
      <x:c r="G1285" s="2" t="str">
        <x:v>OVER</x:v>
      </x:c>
      <x:c r="H1285" s="2" t="n">
        <x:v>8</x:v>
      </x:c>
      <x:c r="I1285" s="2" t="str">
        <x:f>IF(B1285="","",'Motor_Meciuri'!H97)</x:f>
      </x:c>
      <x:c r="J1285" s="2" t="str">
        <x:f>IF(B1285="","",'Motor_Meciuri'!I97)</x:f>
      </x:c>
      <x:c r="K1285" s="11" t="str">
        <x:f>IF(J1285&lt;&gt;"PASS","",'Motor_Meciuri'!BD97)</x:f>
      </x:c>
      <x:c r="L1285" s="11" t="str">
        <x:f>IF(J1285&lt;&gt;"PASS","",'Motor_Meciuri'!AU97)</x:f>
      </x:c>
      <x:c r="M1285" s="10" t="str">
        <x:f>IF(NOT(AND(J1285="PASS",'Calibrare_Linii'!U11="VALID")),"",1-'Distributie'!AF97)</x:f>
      </x:c>
      <x:c r="N1285" s="10" t="str">
        <x:f>IF(M1285="","",MAX(0.01,MIN(0.99,0.5+(M1285-0.5)*'Motor_Meciuri'!BG97*'Calibrare_Linii'!D11)))</x:f>
      </x:c>
      <x:c r="O1285" s="10" t="str">
        <x:f>IF(M1285="","",1-M1285)</x:f>
      </x:c>
      <x:c r="P1285" s="10" t="str">
        <x:f>IF(OR(NOT(AND(J1285="PASS",'Calibrare_Linii'!U11="VALID")),AK1285=0),""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*('Istoric_Nativ'!$Q$6:$Q$405&lt;=H1285))/AK1285)</x:f>
      </x:c>
      <x:c r="Q1285" s="10" t="str">
        <x:f>IF(OR(NOT(AND(J1285="PASS",'Calibrare_Linii'!U11="VALID")),AL1285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M97)+((('Istoric_Nativ'!$E$6:$E$405='Input_Meci'!E97)+('Istoric_Nativ'!$F$6:$F$405='Input_Meci'!E97))&gt;0)*('Istoric_Nativ'!$D$6:$D$405&gt;='Motor_Meciuri'!BN97))&gt;0)*('Istoric_Nativ'!$Q$6:$Q$405&lt;=H1285))/AL1285)</x:f>
      </x:c>
      <x:c r="R1285" s="10" t="str">
        <x:f>IF(OR(NOT(AND(J1285="PASS",'Calibrare_Linii'!U11="VALID")),AM1285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O97)+((('Istoric_Nativ'!$E$6:$E$405='Input_Meci'!E97)+('Istoric_Nativ'!$F$6:$F$405='Input_Meci'!E97))&gt;0)*('Istoric_Nativ'!$D$6:$D$405&gt;='Motor_Meciuri'!BP97))&gt;0)*('Istoric_Nativ'!$Q$6:$Q$405&lt;=H1285))/AM1285)</x:f>
      </x:c>
      <x:c r="S1285" s="10" t="str">
        <x:f>IF(M1285="","",MAX(O1285,P1285,Q1285,R1285))</x:f>
      </x:c>
      <x:c r="T1285" s="11" t="str">
        <x:f>IF(M1285="","",MIN(100,S1285*100*'Config_v6'!$B$44+MIN(100,L1285/'Config_v6'!$B$13*100)*'Config_v6'!$B$45+(100-'Motor_Meciuri'!BF97)*'Config_v6'!$B$46+'Motor_Meciuri'!BH97*100*'Config_v6'!$B$47))</x:f>
      </x:c>
      <x:c r="U1285" s="2" t="str">
        <x:f>IF(T1285="","",IF(T1285&lt;=20,1,IF(T1285&lt;=40,2,IF(T1285&lt;=60,3,IF(T1285&lt;=80,4,5)))))</x:f>
      </x:c>
      <x:c r="V1285" s="2" t="str">
        <x:f>IF(M1285="","",MAX(0,'Motor_Meciuri'!BF97-IF(W1285="OOS PENDING",'Config_v6'!$B$35,0)-IF(L1285&gt;'Config_v6'!$B$12,'Config_v6'!$B$37,IF(L1285&gt;'Config_v6'!$B$11,'Config_v6'!$B$36,0))))</x:f>
      </x:c>
      <x:c r="W1285" s="2" t="str">
        <x:f>IF(B1285="","",IF(I1285&lt;&gt;"READY","NOT RELEASED",IF(NOT(AND(J1285="PASS",'Calibrare_Linii'!U11="VALID")),"INVALID",IF(NOT(AND('Calibrare_Linii'!S11="VALIDATED",AND('Calibrare_Linii'!H11=C1285,ISNUMBER('Calibrare_Linii'!J11),'Calibrare_Linii'!J11&lt;='Input_Meci'!G97))),"OOS PENDING",IF(S1285&lt;='Calibrare_Linii'!E11,"PASS",IF(S1285&lt;='Calibrare_Linii'!F11,"PENALTY","WATCH"))))))</x:f>
      </x:c>
      <x:c r="X1285" s="2" t="str">
        <x:f>IF(M1285="","",IF(AND(AND(J1285="PASS",'Calibrare_Linii'!U11="VALID"),'Motor_Meciuri'!K97=12,'Motor_Meciuri'!L97=12,'Motor_Meciuri'!M97="NO",'Motor_Meciuri'!BL97='Motor_Meciuri'!C97,AB1285&gt;='Config_v6'!$B$50,AN1285&gt;='Config_v6'!$B$51,T1285&lt;='Config_v6'!$B$52,L1285&lt;='Config_v6'!$B$53,ISNUMBER('Calibrare_Linii'!E11),S1285&lt;='Calibrare_Linii'!E11,SUM(AK1285:AM1285)&gt;0),"CANDIDATE","NO"))</x:f>
      </x:c>
      <x:c r="Y1285" s="2" t="str">
        <x:f>IF(B1285="","",IF(I1285&lt;&gt;"READY","NOT RELEASED",IF(AND(X1285="CANDIDATE",V1285&gt;='Config_v6'!$B$51,W1285="PASS",'Calibrare_Linii'!T11="VALIDATED",AND('Calibrare_Linii'!H11=C1285,ISNUMBER('Calibrare_Linii'!J11),'Calibrare_Linii'!J11&lt;='Input_Meci'!G97)),"PASS",IF(X1285="CANDIDATE","OOS PENDING","FAIL"))))</x:f>
      </x:c>
      <x:c r="Z1285" s="2" t="str">
        <x:f>IF(B1285="","",IF(I1285&lt;&gt;"READY","",IF(OR(NOT(AND(J1285="PASS",'Calibrare_Linii'!U11="VALID")),L1285&gt;'Config_v6'!$B$13,W1285="WATCH"),5,IF(Y1285="PASS",1,MIN(5,MAX('Config_v6'!$B$42,U1285)+IF(W1285="PENALTY",1,0))))))</x:f>
      </x:c>
      <x:c r="AA1285" s="2" t="str">
        <x:f>IF(B1285="","",IF(I1285&lt;&gt;"READY","NOT RELEASED",IF(Z1285=5,"NO BET",IF(OR(AB1285&lt;'Config_v6'!$B$16,V1285&lt;'Config_v6'!$B$18),"WATCH",IF(Z1285=1,"DEFENSIV",IF(Z1285=2,"PRUDENT",IF(Z1285=3,"MODERAT","RIDICAT")))))))</x:f>
      </x:c>
      <x:c r="AB1285" s="10" t="str">
        <x:f>IF(N1285="","",MIN(N1285,1-S1285))</x:f>
      </x:c>
      <x:c r="AC1285" s="2" t="str">
        <x:f>IF(AD1285&lt;&gt;1,"",COUNTIFS($Z$1280:$Z$1293,"&lt;"&amp;Z1285,$AD$1280:$AD$1293,1)+COUNTIFS($Z$1280:$Z$1293,Z1285,$AB$1280:$AB$1293,"&gt;"&amp;AB1285,$AD$1280:$AD$1293,1)+COUNTIFS($Z$1280:$Z$1293,Z1285,$AB$1280:$AB$1293,AB1285,$V$1280:$V$1293,"&gt;"&amp;V1285,$AD$1280:$AD$1293,1)+COUNTIFS($Z$1280:Z1285,Z1285,$AB$1280:AB1285,AB1285,$V$1280:V1285,V1285,$AD$1280:AD1285,1))</x:f>
      </x:c>
      <x:c r="AD1285" s="2" t="n">
        <x:f>IF(OR(AA1285="DEFENSIV",AA1285="PRUDENT",AA1285="MODERAT",AA1285="RIDICAT"),1,0)</x:f>
        <x:v>0</x:v>
      </x:c>
      <x:c r="AE1285" s="2" t="str">
        <x:f>IF(AD1285&lt;&gt;1,"NO",IF(W1285="PASS","YES",IF(W1285="OOS PENDING","CONDITIONAL","NO")))</x:f>
        <x:v>NO</x:v>
      </x:c>
      <x:c r="AF1285" s="2" t="n">
        <x:f>IF(AND(AD1285=1,AC1285=1,E1285="LIVE"),1,0)</x:f>
        <x:v>0</x:v>
      </x:c>
      <x:c r="AG1285" s="2" t="str">
        <x:f>IF(AF1285&lt;&gt;1,"",'Dashboard'!P117)</x:f>
      </x:c>
      <x:c r="AH1285" s="2" t="str">
        <x:f>IF(B1285="","",IF(J1285&lt;&gt;"PASS",'Motor_Meciuri'!J97,IF('Calibrare_Linii'!U11&lt;&gt;"VALID","Parametri linie invalizi",IF(L1285&gt;'Config_v6'!$B$13,"Dispersie peste limita",IF(W1285="WATCH","Failure peste limita",IF(AB1285&lt;'Config_v6'!$B$16,"P finala sub prag",IF(V1285&lt;'Config_v6'!$B$18,"Confidence sub prag",IF(E1285="REPLAY","Exemplu retrospectiv; exclus din Top LIVE",IF(Y1285="PASS","DEFENSIV validat",IF(W1285="OOS PENDING","Eligibil; calibrare linie in monitorizare","Eligibil"))))))))))</x:f>
      </x:c>
      <x:c r="AI1285" s="2" t="str">
        <x:f>IF(B1285="","",'Calibrare_Linii'!V11)</x:f>
      </x:c>
      <x:c r="AJ1285" s="2" t="str">
        <x:f>IF(B1285="","",IF(AND('Calibrare_Linii'!T11="VALIDATED",AND('Calibrare_Linii'!H11=C1285,ISNUMBER('Calibrare_Linii'!J11),'Calibrare_Linii'!J11&lt;='Input_Meci'!G97)),"DEFENSIVE VALIDATED",IF(AND('Calibrare_Linii'!S11="VALIDATED",AND('Calibrare_Linii'!H11=C1285,ISNUMBER('Calibrare_Linii'!J11),'Calibrare_Linii'!J11&lt;='Input_Meci'!G97)),"TAIL VALIDATED","OOS PENDING")))</x:f>
      </x:c>
      <x:c r="AK1285" s="2" t="n">
        <x:f>IF(J1285&lt;&gt;"PASS",0,'Motor_Meciuri'!BR97)</x:f>
        <x:v>0</x:v>
      </x:c>
      <x:c r="AL1285" s="2" t="n">
        <x:f>IF(J1285&lt;&gt;"PASS",0,'Motor_Meciuri'!BS97)</x:f>
        <x:v>0</x:v>
      </x:c>
      <x:c r="AM1285" s="2" t="n">
        <x:f>IF(J1285&lt;&gt;"PASS",0,'Motor_Meciuri'!BT97)</x:f>
        <x:v>0</x:v>
      </x:c>
      <x:c r="AN1285" s="2" t="str">
        <x:f>IF(M1285="","",MAX(0,'Motor_Meciuri'!BF97-IF(L1285&gt;'Config_v6'!$B$12,'Config_v6'!$B$37,IF(L1285&gt;'Config_v6'!$B$11,'Config_v6'!$B$36,0))))</x:f>
      </x:c>
    </x:row>
    <x:row r="1286" ht="21" customHeight="1">
      <x:c r="A1286" s="2" t="n">
        <x:v>92</x:v>
      </x:c>
      <x:c r="B1286" s="2" t="str">
        <x:f>IF('Motor_Meciuri'!A97="","",'Motor_Meciuri'!A97)</x:f>
      </x:c>
      <x:c r="C1286" s="2" t="str">
        <x:f>IF(B1286="","",'Motor_Meciuri'!B97)</x:f>
      </x:c>
      <x:c r="D1286" s="2" t="str">
        <x:f>IF(B1286="","",'Motor_Meciuri'!D97)</x:f>
      </x:c>
      <x:c r="E1286" s="2" t="str">
        <x:f>IF(B1286="","",'Motor_Meciuri'!E97)</x:f>
      </x:c>
      <x:c r="F1286" s="2" t="str">
        <x:v>U10,5</x:v>
      </x:c>
      <x:c r="G1286" s="2" t="str">
        <x:v>UNDER</x:v>
      </x:c>
      <x:c r="H1286" s="2" t="n">
        <x:v>10</x:v>
      </x:c>
      <x:c r="I1286" s="2" t="str">
        <x:f>IF(B1286="","",'Motor_Meciuri'!H97)</x:f>
      </x:c>
      <x:c r="J1286" s="2" t="str">
        <x:f>IF(B1286="","",'Motor_Meciuri'!I97)</x:f>
      </x:c>
      <x:c r="K1286" s="11" t="str">
        <x:f>IF(J1286&lt;&gt;"PASS","",'Motor_Meciuri'!BD97)</x:f>
      </x:c>
      <x:c r="L1286" s="11" t="str">
        <x:f>IF(J1286&lt;&gt;"PASS","",'Motor_Meciuri'!AU97)</x:f>
      </x:c>
      <x:c r="M1286" s="10" t="str">
        <x:f>IF(NOT(AND(J1286="PASS",'Calibrare_Linii'!U12="VALID")),"",'Distributie'!AH97)</x:f>
      </x:c>
      <x:c r="N1286" s="10" t="str">
        <x:f>IF(M1286="","",MAX(0.01,MIN(0.99,0.5+(M1286-0.5)*'Motor_Meciuri'!BG97*'Calibrare_Linii'!D12)))</x:f>
      </x:c>
      <x:c r="O1286" s="10" t="str">
        <x:f>IF(M1286="","",1-M1286)</x:f>
      </x:c>
      <x:c r="P1286" s="10" t="str">
        <x:f>IF(OR(NOT(AND(J1286="PASS",'Calibrare_Linii'!U12="VALID")),AK1286=0),""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*('Istoric_Nativ'!$Q$6:$Q$405&gt;H1286))/AK1286)</x:f>
      </x:c>
      <x:c r="Q1286" s="10" t="str">
        <x:f>IF(OR(NOT(AND(J1286="PASS",'Calibrare_Linii'!U12="VALID")),AL1286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M97)+((('Istoric_Nativ'!$E$6:$E$405='Input_Meci'!E97)+('Istoric_Nativ'!$F$6:$F$405='Input_Meci'!E97))&gt;0)*('Istoric_Nativ'!$D$6:$D$405&gt;='Motor_Meciuri'!BN97))&gt;0)*('Istoric_Nativ'!$Q$6:$Q$405&gt;H1286))/AL1286)</x:f>
      </x:c>
      <x:c r="R1286" s="10" t="str">
        <x:f>IF(OR(NOT(AND(J1286="PASS",'Calibrare_Linii'!U12="VALID")),AM1286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O97)+((('Istoric_Nativ'!$E$6:$E$405='Input_Meci'!E97)+('Istoric_Nativ'!$F$6:$F$405='Input_Meci'!E97))&gt;0)*('Istoric_Nativ'!$D$6:$D$405&gt;='Motor_Meciuri'!BP97))&gt;0)*('Istoric_Nativ'!$Q$6:$Q$405&gt;H1286))/AM1286)</x:f>
      </x:c>
      <x:c r="S1286" s="10" t="str">
        <x:f>IF(M1286="","",MAX(O1286,P1286,Q1286,R1286))</x:f>
      </x:c>
      <x:c r="T1286" s="11" t="str">
        <x:f>IF(M1286="","",MIN(100,S1286*100*'Config_v6'!$B$44+MIN(100,L1286/'Config_v6'!$B$13*100)*'Config_v6'!$B$45+(100-'Motor_Meciuri'!BF97)*'Config_v6'!$B$46+'Motor_Meciuri'!BH97*100*'Config_v6'!$B$47))</x:f>
      </x:c>
      <x:c r="U1286" s="2" t="str">
        <x:f>IF(T1286="","",IF(T1286&lt;=20,1,IF(T1286&lt;=40,2,IF(T1286&lt;=60,3,IF(T1286&lt;=80,4,5)))))</x:f>
      </x:c>
      <x:c r="V1286" s="2" t="str">
        <x:f>IF(M1286="","",MAX(0,'Motor_Meciuri'!BF97-IF(W1286="OOS PENDING",'Config_v6'!$B$35,0)-IF(L1286&gt;'Config_v6'!$B$12,'Config_v6'!$B$37,IF(L1286&gt;'Config_v6'!$B$11,'Config_v6'!$B$36,0))))</x:f>
      </x:c>
      <x:c r="W1286" s="2" t="str">
        <x:f>IF(B1286="","",IF(I1286&lt;&gt;"READY","NOT RELEASED",IF(NOT(AND(J1286="PASS",'Calibrare_Linii'!U12="VALID")),"INVALID",IF(NOT(AND('Calibrare_Linii'!S12="VALIDATED",AND('Calibrare_Linii'!H12=C1286,ISNUMBER('Calibrare_Linii'!J12),'Calibrare_Linii'!J12&lt;='Input_Meci'!G97))),"OOS PENDING",IF(S1286&lt;='Calibrare_Linii'!E12,"PASS",IF(S1286&lt;='Calibrare_Linii'!F12,"PENALTY","WATCH"))))))</x:f>
      </x:c>
      <x:c r="X1286" s="2" t="str">
        <x:f>IF(M1286="","",IF(AND(AND(J1286="PASS",'Calibrare_Linii'!U12="VALID"),'Motor_Meciuri'!K97=12,'Motor_Meciuri'!L97=12,'Motor_Meciuri'!M97="NO",'Motor_Meciuri'!BL97='Motor_Meciuri'!C97,AB1286&gt;='Config_v6'!$B$50,AN1286&gt;='Config_v6'!$B$51,T1286&lt;='Config_v6'!$B$52,L1286&lt;='Config_v6'!$B$53,ISNUMBER('Calibrare_Linii'!E12),S1286&lt;='Calibrare_Linii'!E12,SUM(AK1286:AM1286)&gt;0),"CANDIDATE","NO"))</x:f>
      </x:c>
      <x:c r="Y1286" s="2" t="str">
        <x:f>IF(B1286="","",IF(I1286&lt;&gt;"READY","NOT RELEASED",IF(AND(X1286="CANDIDATE",V1286&gt;='Config_v6'!$B$51,W1286="PASS",'Calibrare_Linii'!T12="VALIDATED",AND('Calibrare_Linii'!H12=C1286,ISNUMBER('Calibrare_Linii'!J12),'Calibrare_Linii'!J12&lt;='Input_Meci'!G97)),"PASS",IF(X1286="CANDIDATE","OOS PENDING","FAIL"))))</x:f>
      </x:c>
      <x:c r="Z1286" s="2" t="str">
        <x:f>IF(B1286="","",IF(I1286&lt;&gt;"READY","",IF(OR(NOT(AND(J1286="PASS",'Calibrare_Linii'!U12="VALID")),L1286&gt;'Config_v6'!$B$13,W1286="WATCH"),5,IF(Y1286="PASS",1,MIN(5,MAX('Config_v6'!$B$42,U1286)+IF(W1286="PENALTY",1,0))))))</x:f>
      </x:c>
      <x:c r="AA1286" s="2" t="str">
        <x:f>IF(B1286="","",IF(I1286&lt;&gt;"READY","NOT RELEASED",IF(Z1286=5,"NO BET",IF(OR(AB1286&lt;'Config_v6'!$B$16,V1286&lt;'Config_v6'!$B$18),"WATCH",IF(Z1286=1,"DEFENSIV",IF(Z1286=2,"PRUDENT",IF(Z1286=3,"MODERAT","RIDICAT")))))))</x:f>
      </x:c>
      <x:c r="AB1286" s="10" t="str">
        <x:f>IF(N1286="","",MIN(N1286,1-S1286))</x:f>
      </x:c>
      <x:c r="AC1286" s="2" t="str">
        <x:f>IF(AD1286&lt;&gt;1,"",COUNTIFS($Z$1280:$Z$1293,"&lt;"&amp;Z1286,$AD$1280:$AD$1293,1)+COUNTIFS($Z$1280:$Z$1293,Z1286,$AB$1280:$AB$1293,"&gt;"&amp;AB1286,$AD$1280:$AD$1293,1)+COUNTIFS($Z$1280:$Z$1293,Z1286,$AB$1280:$AB$1293,AB1286,$V$1280:$V$1293,"&gt;"&amp;V1286,$AD$1280:$AD$1293,1)+COUNTIFS($Z$1280:Z1286,Z1286,$AB$1280:AB1286,AB1286,$V$1280:V1286,V1286,$AD$1280:AD1286,1))</x:f>
      </x:c>
      <x:c r="AD1286" s="2" t="n">
        <x:f>IF(OR(AA1286="DEFENSIV",AA1286="PRUDENT",AA1286="MODERAT",AA1286="RIDICAT"),1,0)</x:f>
        <x:v>0</x:v>
      </x:c>
      <x:c r="AE1286" s="2" t="str">
        <x:f>IF(AD1286&lt;&gt;1,"NO",IF(W1286="PASS","YES",IF(W1286="OOS PENDING","CONDITIONAL","NO")))</x:f>
        <x:v>NO</x:v>
      </x:c>
      <x:c r="AF1286" s="2" t="n">
        <x:f>IF(AND(AD1286=1,AC1286=1,E1286="LIVE"),1,0)</x:f>
        <x:v>0</x:v>
      </x:c>
      <x:c r="AG1286" s="2" t="str">
        <x:f>IF(AF1286&lt;&gt;1,"",'Dashboard'!P117)</x:f>
      </x:c>
      <x:c r="AH1286" s="2" t="str">
        <x:f>IF(B1286="","",IF(J1286&lt;&gt;"PASS",'Motor_Meciuri'!J97,IF('Calibrare_Linii'!U12&lt;&gt;"VALID","Parametri linie invalizi",IF(L1286&gt;'Config_v6'!$B$13,"Dispersie peste limita",IF(W1286="WATCH","Failure peste limita",IF(AB1286&lt;'Config_v6'!$B$16,"P finala sub prag",IF(V1286&lt;'Config_v6'!$B$18,"Confidence sub prag",IF(E1286="REPLAY","Exemplu retrospectiv; exclus din Top LIVE",IF(Y1286="PASS","DEFENSIV validat",IF(W1286="OOS PENDING","Eligibil; calibrare linie in monitorizare","Eligibil"))))))))))</x:f>
      </x:c>
      <x:c r="AI1286" s="2" t="str">
        <x:f>IF(B1286="","",'Calibrare_Linii'!V12)</x:f>
      </x:c>
      <x:c r="AJ1286" s="2" t="str">
        <x:f>IF(B1286="","",IF(AND('Calibrare_Linii'!T12="VALIDATED",AND('Calibrare_Linii'!H12=C1286,ISNUMBER('Calibrare_Linii'!J12),'Calibrare_Linii'!J12&lt;='Input_Meci'!G97)),"DEFENSIVE VALIDATED",IF(AND('Calibrare_Linii'!S12="VALIDATED",AND('Calibrare_Linii'!H12=C1286,ISNUMBER('Calibrare_Linii'!J12),'Calibrare_Linii'!J12&lt;='Input_Meci'!G97)),"TAIL VALIDATED","OOS PENDING")))</x:f>
      </x:c>
      <x:c r="AK1286" s="2" t="n">
        <x:f>IF(J1286&lt;&gt;"PASS",0,'Motor_Meciuri'!BR97)</x:f>
        <x:v>0</x:v>
      </x:c>
      <x:c r="AL1286" s="2" t="n">
        <x:f>IF(J1286&lt;&gt;"PASS",0,'Motor_Meciuri'!BS97)</x:f>
        <x:v>0</x:v>
      </x:c>
      <x:c r="AM1286" s="2" t="n">
        <x:f>IF(J1286&lt;&gt;"PASS",0,'Motor_Meciuri'!BT97)</x:f>
        <x:v>0</x:v>
      </x:c>
      <x:c r="AN1286" s="2" t="str">
        <x:f>IF(M1286="","",MAX(0,'Motor_Meciuri'!BF97-IF(L1286&gt;'Config_v6'!$B$12,'Config_v6'!$B$37,IF(L1286&gt;'Config_v6'!$B$11,'Config_v6'!$B$36,0))))</x:f>
      </x:c>
    </x:row>
    <x:row r="1287" ht="21" customHeight="1">
      <x:c r="A1287" s="2" t="n">
        <x:v>92</x:v>
      </x:c>
      <x:c r="B1287" s="2" t="str">
        <x:f>IF('Motor_Meciuri'!A97="","",'Motor_Meciuri'!A97)</x:f>
      </x:c>
      <x:c r="C1287" s="2" t="str">
        <x:f>IF(B1287="","",'Motor_Meciuri'!B97)</x:f>
      </x:c>
      <x:c r="D1287" s="2" t="str">
        <x:f>IF(B1287="","",'Motor_Meciuri'!D97)</x:f>
      </x:c>
      <x:c r="E1287" s="2" t="str">
        <x:f>IF(B1287="","",'Motor_Meciuri'!E97)</x:f>
      </x:c>
      <x:c r="F1287" s="2" t="str">
        <x:v>U11,5</x:v>
      </x:c>
      <x:c r="G1287" s="2" t="str">
        <x:v>UNDER</x:v>
      </x:c>
      <x:c r="H1287" s="2" t="n">
        <x:v>11</x:v>
      </x:c>
      <x:c r="I1287" s="2" t="str">
        <x:f>IF(B1287="","",'Motor_Meciuri'!H97)</x:f>
      </x:c>
      <x:c r="J1287" s="2" t="str">
        <x:f>IF(B1287="","",'Motor_Meciuri'!I97)</x:f>
      </x:c>
      <x:c r="K1287" s="11" t="str">
        <x:f>IF(J1287&lt;&gt;"PASS","",'Motor_Meciuri'!BD97)</x:f>
      </x:c>
      <x:c r="L1287" s="11" t="str">
        <x:f>IF(J1287&lt;&gt;"PASS","",'Motor_Meciuri'!AU97)</x:f>
      </x:c>
      <x:c r="M1287" s="10" t="str">
        <x:f>IF(NOT(AND(J1287="PASS",'Calibrare_Linii'!U13="VALID")),"",'Distributie'!AI97)</x:f>
      </x:c>
      <x:c r="N1287" s="10" t="str">
        <x:f>IF(M1287="","",MAX(0.01,MIN(0.99,0.5+(M1287-0.5)*'Motor_Meciuri'!BG97*'Calibrare_Linii'!D13)))</x:f>
      </x:c>
      <x:c r="O1287" s="10" t="str">
        <x:f>IF(M1287="","",1-M1287)</x:f>
      </x:c>
      <x:c r="P1287" s="10" t="str">
        <x:f>IF(OR(NOT(AND(J1287="PASS",'Calibrare_Linii'!U13="VALID")),AK1287=0),""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*('Istoric_Nativ'!$Q$6:$Q$405&gt;H1287))/AK1287)</x:f>
      </x:c>
      <x:c r="Q1287" s="10" t="str">
        <x:f>IF(OR(NOT(AND(J1287="PASS",'Calibrare_Linii'!U13="VALID")),AL1287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M97)+((('Istoric_Nativ'!$E$6:$E$405='Input_Meci'!E97)+('Istoric_Nativ'!$F$6:$F$405='Input_Meci'!E97))&gt;0)*('Istoric_Nativ'!$D$6:$D$405&gt;='Motor_Meciuri'!BN97))&gt;0)*('Istoric_Nativ'!$Q$6:$Q$405&gt;H1287))/AL1287)</x:f>
      </x:c>
      <x:c r="R1287" s="10" t="str">
        <x:f>IF(OR(NOT(AND(J1287="PASS",'Calibrare_Linii'!U13="VALID")),AM1287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O97)+((('Istoric_Nativ'!$E$6:$E$405='Input_Meci'!E97)+('Istoric_Nativ'!$F$6:$F$405='Input_Meci'!E97))&gt;0)*('Istoric_Nativ'!$D$6:$D$405&gt;='Motor_Meciuri'!BP97))&gt;0)*('Istoric_Nativ'!$Q$6:$Q$405&gt;H1287))/AM1287)</x:f>
      </x:c>
      <x:c r="S1287" s="10" t="str">
        <x:f>IF(M1287="","",MAX(O1287,P1287,Q1287,R1287))</x:f>
      </x:c>
      <x:c r="T1287" s="11" t="str">
        <x:f>IF(M1287="","",MIN(100,S1287*100*'Config_v6'!$B$44+MIN(100,L1287/'Config_v6'!$B$13*100)*'Config_v6'!$B$45+(100-'Motor_Meciuri'!BF97)*'Config_v6'!$B$46+'Motor_Meciuri'!BH97*100*'Config_v6'!$B$47))</x:f>
      </x:c>
      <x:c r="U1287" s="2" t="str">
        <x:f>IF(T1287="","",IF(T1287&lt;=20,1,IF(T1287&lt;=40,2,IF(T1287&lt;=60,3,IF(T1287&lt;=80,4,5)))))</x:f>
      </x:c>
      <x:c r="V1287" s="2" t="str">
        <x:f>IF(M1287="","",MAX(0,'Motor_Meciuri'!BF97-IF(W1287="OOS PENDING",'Config_v6'!$B$35,0)-IF(L1287&gt;'Config_v6'!$B$12,'Config_v6'!$B$37,IF(L1287&gt;'Config_v6'!$B$11,'Config_v6'!$B$36,0))))</x:f>
      </x:c>
      <x:c r="W1287" s="2" t="str">
        <x:f>IF(B1287="","",IF(I1287&lt;&gt;"READY","NOT RELEASED",IF(NOT(AND(J1287="PASS",'Calibrare_Linii'!U13="VALID")),"INVALID",IF(NOT(AND('Calibrare_Linii'!S13="VALIDATED",AND('Calibrare_Linii'!H13=C1287,ISNUMBER('Calibrare_Linii'!J13),'Calibrare_Linii'!J13&lt;='Input_Meci'!G97))),"OOS PENDING",IF(S1287&lt;='Calibrare_Linii'!E13,"PASS",IF(S1287&lt;='Calibrare_Linii'!F13,"PENALTY","WATCH"))))))</x:f>
      </x:c>
      <x:c r="X1287" s="2" t="str">
        <x:f>IF(M1287="","",IF(AND(AND(J1287="PASS",'Calibrare_Linii'!U13="VALID"),'Motor_Meciuri'!K97=12,'Motor_Meciuri'!L97=12,'Motor_Meciuri'!M97="NO",'Motor_Meciuri'!BL97='Motor_Meciuri'!C97,AB1287&gt;='Config_v6'!$B$50,AN1287&gt;='Config_v6'!$B$51,T1287&lt;='Config_v6'!$B$52,L1287&lt;='Config_v6'!$B$53,ISNUMBER('Calibrare_Linii'!E13),S1287&lt;='Calibrare_Linii'!E13,SUM(AK1287:AM1287)&gt;0),"CANDIDATE","NO"))</x:f>
      </x:c>
      <x:c r="Y1287" s="2" t="str">
        <x:f>IF(B1287="","",IF(I1287&lt;&gt;"READY","NOT RELEASED",IF(AND(X1287="CANDIDATE",V1287&gt;='Config_v6'!$B$51,W1287="PASS",'Calibrare_Linii'!T13="VALIDATED",AND('Calibrare_Linii'!H13=C1287,ISNUMBER('Calibrare_Linii'!J13),'Calibrare_Linii'!J13&lt;='Input_Meci'!G97)),"PASS",IF(X1287="CANDIDATE","OOS PENDING","FAIL"))))</x:f>
      </x:c>
      <x:c r="Z1287" s="2" t="str">
        <x:f>IF(B1287="","",IF(I1287&lt;&gt;"READY","",IF(OR(NOT(AND(J1287="PASS",'Calibrare_Linii'!U13="VALID")),L1287&gt;'Config_v6'!$B$13,W1287="WATCH"),5,IF(Y1287="PASS",1,MIN(5,MAX('Config_v6'!$B$42,U1287)+IF(W1287="PENALTY",1,0))))))</x:f>
      </x:c>
      <x:c r="AA1287" s="2" t="str">
        <x:f>IF(B1287="","",IF(I1287&lt;&gt;"READY","NOT RELEASED",IF(Z1287=5,"NO BET",IF(OR(AB1287&lt;'Config_v6'!$B$16,V1287&lt;'Config_v6'!$B$18),"WATCH",IF(Z1287=1,"DEFENSIV",IF(Z1287=2,"PRUDENT",IF(Z1287=3,"MODERAT","RIDICAT")))))))</x:f>
      </x:c>
      <x:c r="AB1287" s="10" t="str">
        <x:f>IF(N1287="","",MIN(N1287,1-S1287))</x:f>
      </x:c>
      <x:c r="AC1287" s="2" t="str">
        <x:f>IF(AD1287&lt;&gt;1,"",COUNTIFS($Z$1280:$Z$1293,"&lt;"&amp;Z1287,$AD$1280:$AD$1293,1)+COUNTIFS($Z$1280:$Z$1293,Z1287,$AB$1280:$AB$1293,"&gt;"&amp;AB1287,$AD$1280:$AD$1293,1)+COUNTIFS($Z$1280:$Z$1293,Z1287,$AB$1280:$AB$1293,AB1287,$V$1280:$V$1293,"&gt;"&amp;V1287,$AD$1280:$AD$1293,1)+COUNTIFS($Z$1280:Z1287,Z1287,$AB$1280:AB1287,AB1287,$V$1280:V1287,V1287,$AD$1280:AD1287,1))</x:f>
      </x:c>
      <x:c r="AD1287" s="2" t="n">
        <x:f>IF(OR(AA1287="DEFENSIV",AA1287="PRUDENT",AA1287="MODERAT",AA1287="RIDICAT"),1,0)</x:f>
        <x:v>0</x:v>
      </x:c>
      <x:c r="AE1287" s="2" t="str">
        <x:f>IF(AD1287&lt;&gt;1,"NO",IF(W1287="PASS","YES",IF(W1287="OOS PENDING","CONDITIONAL","NO")))</x:f>
        <x:v>NO</x:v>
      </x:c>
      <x:c r="AF1287" s="2" t="n">
        <x:f>IF(AND(AD1287=1,AC1287=1,E1287="LIVE"),1,0)</x:f>
        <x:v>0</x:v>
      </x:c>
      <x:c r="AG1287" s="2" t="str">
        <x:f>IF(AF1287&lt;&gt;1,"",'Dashboard'!P117)</x:f>
      </x:c>
      <x:c r="AH1287" s="2" t="str">
        <x:f>IF(B1287="","",IF(J1287&lt;&gt;"PASS",'Motor_Meciuri'!J97,IF('Calibrare_Linii'!U13&lt;&gt;"VALID","Parametri linie invalizi",IF(L1287&gt;'Config_v6'!$B$13,"Dispersie peste limita",IF(W1287="WATCH","Failure peste limita",IF(AB1287&lt;'Config_v6'!$B$16,"P finala sub prag",IF(V1287&lt;'Config_v6'!$B$18,"Confidence sub prag",IF(E1287="REPLAY","Exemplu retrospectiv; exclus din Top LIVE",IF(Y1287="PASS","DEFENSIV validat",IF(W1287="OOS PENDING","Eligibil; calibrare linie in monitorizare","Eligibil"))))))))))</x:f>
      </x:c>
      <x:c r="AI1287" s="2" t="str">
        <x:f>IF(B1287="","",'Calibrare_Linii'!V13)</x:f>
      </x:c>
      <x:c r="AJ1287" s="2" t="str">
        <x:f>IF(B1287="","",IF(AND('Calibrare_Linii'!T13="VALIDATED",AND('Calibrare_Linii'!H13=C1287,ISNUMBER('Calibrare_Linii'!J13),'Calibrare_Linii'!J13&lt;='Input_Meci'!G97)),"DEFENSIVE VALIDATED",IF(AND('Calibrare_Linii'!S13="VALIDATED",AND('Calibrare_Linii'!H13=C1287,ISNUMBER('Calibrare_Linii'!J13),'Calibrare_Linii'!J13&lt;='Input_Meci'!G97)),"TAIL VALIDATED","OOS PENDING")))</x:f>
      </x:c>
      <x:c r="AK1287" s="2" t="n">
        <x:f>IF(J1287&lt;&gt;"PASS",0,'Motor_Meciuri'!BR97)</x:f>
        <x:v>0</x:v>
      </x:c>
      <x:c r="AL1287" s="2" t="n">
        <x:f>IF(J1287&lt;&gt;"PASS",0,'Motor_Meciuri'!BS97)</x:f>
        <x:v>0</x:v>
      </x:c>
      <x:c r="AM1287" s="2" t="n">
        <x:f>IF(J1287&lt;&gt;"PASS",0,'Motor_Meciuri'!BT97)</x:f>
        <x:v>0</x:v>
      </x:c>
      <x:c r="AN1287" s="2" t="str">
        <x:f>IF(M1287="","",MAX(0,'Motor_Meciuri'!BF97-IF(L1287&gt;'Config_v6'!$B$12,'Config_v6'!$B$37,IF(L1287&gt;'Config_v6'!$B$11,'Config_v6'!$B$36,0))))</x:f>
      </x:c>
    </x:row>
    <x:row r="1288" ht="21" customHeight="1">
      <x:c r="A1288" s="2" t="n">
        <x:v>92</x:v>
      </x:c>
      <x:c r="B1288" s="2" t="str">
        <x:f>IF('Motor_Meciuri'!A97="","",'Motor_Meciuri'!A97)</x:f>
      </x:c>
      <x:c r="C1288" s="2" t="str">
        <x:f>IF(B1288="","",'Motor_Meciuri'!B97)</x:f>
      </x:c>
      <x:c r="D1288" s="2" t="str">
        <x:f>IF(B1288="","",'Motor_Meciuri'!D97)</x:f>
      </x:c>
      <x:c r="E1288" s="2" t="str">
        <x:f>IF(B1288="","",'Motor_Meciuri'!E97)</x:f>
      </x:c>
      <x:c r="F1288" s="2" t="str">
        <x:v>U12,5</x:v>
      </x:c>
      <x:c r="G1288" s="2" t="str">
        <x:v>UNDER</x:v>
      </x:c>
      <x:c r="H1288" s="2" t="n">
        <x:v>12</x:v>
      </x:c>
      <x:c r="I1288" s="2" t="str">
        <x:f>IF(B1288="","",'Motor_Meciuri'!H97)</x:f>
      </x:c>
      <x:c r="J1288" s="2" t="str">
        <x:f>IF(B1288="","",'Motor_Meciuri'!I97)</x:f>
      </x:c>
      <x:c r="K1288" s="11" t="str">
        <x:f>IF(J1288&lt;&gt;"PASS","",'Motor_Meciuri'!BD97)</x:f>
      </x:c>
      <x:c r="L1288" s="11" t="str">
        <x:f>IF(J1288&lt;&gt;"PASS","",'Motor_Meciuri'!AU97)</x:f>
      </x:c>
      <x:c r="M1288" s="10" t="str">
        <x:f>IF(NOT(AND(J1288="PASS",'Calibrare_Linii'!U14="VALID")),"",'Distributie'!AJ97)</x:f>
      </x:c>
      <x:c r="N1288" s="10" t="str">
        <x:f>IF(M1288="","",MAX(0.01,MIN(0.99,0.5+(M1288-0.5)*'Motor_Meciuri'!BG97*'Calibrare_Linii'!D14)))</x:f>
      </x:c>
      <x:c r="O1288" s="10" t="str">
        <x:f>IF(M1288="","",1-M1288)</x:f>
      </x:c>
      <x:c r="P1288" s="10" t="str">
        <x:f>IF(OR(NOT(AND(J1288="PASS",'Calibrare_Linii'!U14="VALID")),AK1288=0),""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*('Istoric_Nativ'!$Q$6:$Q$405&gt;H1288))/AK1288)</x:f>
      </x:c>
      <x:c r="Q1288" s="10" t="str">
        <x:f>IF(OR(NOT(AND(J1288="PASS",'Calibrare_Linii'!U14="VALID")),AL1288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M97)+((('Istoric_Nativ'!$E$6:$E$405='Input_Meci'!E97)+('Istoric_Nativ'!$F$6:$F$405='Input_Meci'!E97))&gt;0)*('Istoric_Nativ'!$D$6:$D$405&gt;='Motor_Meciuri'!BN97))&gt;0)*('Istoric_Nativ'!$Q$6:$Q$405&gt;H1288))/AL1288)</x:f>
      </x:c>
      <x:c r="R1288" s="10" t="str">
        <x:f>IF(OR(NOT(AND(J1288="PASS",'Calibrare_Linii'!U14="VALID")),AM1288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O97)+((('Istoric_Nativ'!$E$6:$E$405='Input_Meci'!E97)+('Istoric_Nativ'!$F$6:$F$405='Input_Meci'!E97))&gt;0)*('Istoric_Nativ'!$D$6:$D$405&gt;='Motor_Meciuri'!BP97))&gt;0)*('Istoric_Nativ'!$Q$6:$Q$405&gt;H1288))/AM1288)</x:f>
      </x:c>
      <x:c r="S1288" s="10" t="str">
        <x:f>IF(M1288="","",MAX(O1288,P1288,Q1288,R1288))</x:f>
      </x:c>
      <x:c r="T1288" s="11" t="str">
        <x:f>IF(M1288="","",MIN(100,S1288*100*'Config_v6'!$B$44+MIN(100,L1288/'Config_v6'!$B$13*100)*'Config_v6'!$B$45+(100-'Motor_Meciuri'!BF97)*'Config_v6'!$B$46+'Motor_Meciuri'!BH97*100*'Config_v6'!$B$47))</x:f>
      </x:c>
      <x:c r="U1288" s="2" t="str">
        <x:f>IF(T1288="","",IF(T1288&lt;=20,1,IF(T1288&lt;=40,2,IF(T1288&lt;=60,3,IF(T1288&lt;=80,4,5)))))</x:f>
      </x:c>
      <x:c r="V1288" s="2" t="str">
        <x:f>IF(M1288="","",MAX(0,'Motor_Meciuri'!BF97-IF(W1288="OOS PENDING",'Config_v6'!$B$35,0)-IF(L1288&gt;'Config_v6'!$B$12,'Config_v6'!$B$37,IF(L1288&gt;'Config_v6'!$B$11,'Config_v6'!$B$36,0))))</x:f>
      </x:c>
      <x:c r="W1288" s="2" t="str">
        <x:f>IF(B1288="","",IF(I1288&lt;&gt;"READY","NOT RELEASED",IF(NOT(AND(J1288="PASS",'Calibrare_Linii'!U14="VALID")),"INVALID",IF(NOT(AND('Calibrare_Linii'!S14="VALIDATED",AND('Calibrare_Linii'!H14=C1288,ISNUMBER('Calibrare_Linii'!J14),'Calibrare_Linii'!J14&lt;='Input_Meci'!G97))),"OOS PENDING",IF(S1288&lt;='Calibrare_Linii'!E14,"PASS",IF(S1288&lt;='Calibrare_Linii'!F14,"PENALTY","WATCH"))))))</x:f>
      </x:c>
      <x:c r="X1288" s="2" t="str">
        <x:f>IF(M1288="","",IF(AND(AND(J1288="PASS",'Calibrare_Linii'!U14="VALID"),'Motor_Meciuri'!K97=12,'Motor_Meciuri'!L97=12,'Motor_Meciuri'!M97="NO",'Motor_Meciuri'!BL97='Motor_Meciuri'!C97,AB1288&gt;='Config_v6'!$B$50,AN1288&gt;='Config_v6'!$B$51,T1288&lt;='Config_v6'!$B$52,L1288&lt;='Config_v6'!$B$53,ISNUMBER('Calibrare_Linii'!E14),S1288&lt;='Calibrare_Linii'!E14,SUM(AK1288:AM1288)&gt;0),"CANDIDATE","NO"))</x:f>
      </x:c>
      <x:c r="Y1288" s="2" t="str">
        <x:f>IF(B1288="","",IF(I1288&lt;&gt;"READY","NOT RELEASED",IF(AND(X1288="CANDIDATE",V1288&gt;='Config_v6'!$B$51,W1288="PASS",'Calibrare_Linii'!T14="VALIDATED",AND('Calibrare_Linii'!H14=C1288,ISNUMBER('Calibrare_Linii'!J14),'Calibrare_Linii'!J14&lt;='Input_Meci'!G97)),"PASS",IF(X1288="CANDIDATE","OOS PENDING","FAIL"))))</x:f>
      </x:c>
      <x:c r="Z1288" s="2" t="str">
        <x:f>IF(B1288="","",IF(I1288&lt;&gt;"READY","",IF(OR(NOT(AND(J1288="PASS",'Calibrare_Linii'!U14="VALID")),L1288&gt;'Config_v6'!$B$13,W1288="WATCH"),5,IF(Y1288="PASS",1,MIN(5,MAX('Config_v6'!$B$42,U1288)+IF(W1288="PENALTY",1,0))))))</x:f>
      </x:c>
      <x:c r="AA1288" s="2" t="str">
        <x:f>IF(B1288="","",IF(I1288&lt;&gt;"READY","NOT RELEASED",IF(Z1288=5,"NO BET",IF(OR(AB1288&lt;'Config_v6'!$B$16,V1288&lt;'Config_v6'!$B$18),"WATCH",IF(Z1288=1,"DEFENSIV",IF(Z1288=2,"PRUDENT",IF(Z1288=3,"MODERAT","RIDICAT")))))))</x:f>
      </x:c>
      <x:c r="AB1288" s="10" t="str">
        <x:f>IF(N1288="","",MIN(N1288,1-S1288))</x:f>
      </x:c>
      <x:c r="AC1288" s="2" t="str">
        <x:f>IF(AD1288&lt;&gt;1,"",COUNTIFS($Z$1280:$Z$1293,"&lt;"&amp;Z1288,$AD$1280:$AD$1293,1)+COUNTIFS($Z$1280:$Z$1293,Z1288,$AB$1280:$AB$1293,"&gt;"&amp;AB1288,$AD$1280:$AD$1293,1)+COUNTIFS($Z$1280:$Z$1293,Z1288,$AB$1280:$AB$1293,AB1288,$V$1280:$V$1293,"&gt;"&amp;V1288,$AD$1280:$AD$1293,1)+COUNTIFS($Z$1280:Z1288,Z1288,$AB$1280:AB1288,AB1288,$V$1280:V1288,V1288,$AD$1280:AD1288,1))</x:f>
      </x:c>
      <x:c r="AD1288" s="2" t="n">
        <x:f>IF(OR(AA1288="DEFENSIV",AA1288="PRUDENT",AA1288="MODERAT",AA1288="RIDICAT"),1,0)</x:f>
        <x:v>0</x:v>
      </x:c>
      <x:c r="AE1288" s="2" t="str">
        <x:f>IF(AD1288&lt;&gt;1,"NO",IF(W1288="PASS","YES",IF(W1288="OOS PENDING","CONDITIONAL","NO")))</x:f>
        <x:v>NO</x:v>
      </x:c>
      <x:c r="AF1288" s="2" t="n">
        <x:f>IF(AND(AD1288=1,AC1288=1,E1288="LIVE"),1,0)</x:f>
        <x:v>0</x:v>
      </x:c>
      <x:c r="AG1288" s="2" t="str">
        <x:f>IF(AF1288&lt;&gt;1,"",'Dashboard'!P117)</x:f>
      </x:c>
      <x:c r="AH1288" s="2" t="str">
        <x:f>IF(B1288="","",IF(J1288&lt;&gt;"PASS",'Motor_Meciuri'!J97,IF('Calibrare_Linii'!U14&lt;&gt;"VALID","Parametri linie invalizi",IF(L1288&gt;'Config_v6'!$B$13,"Dispersie peste limita",IF(W1288="WATCH","Failure peste limita",IF(AB1288&lt;'Config_v6'!$B$16,"P finala sub prag",IF(V1288&lt;'Config_v6'!$B$18,"Confidence sub prag",IF(E1288="REPLAY","Exemplu retrospectiv; exclus din Top LIVE",IF(Y1288="PASS","DEFENSIV validat",IF(W1288="OOS PENDING","Eligibil; calibrare linie in monitorizare","Eligibil"))))))))))</x:f>
      </x:c>
      <x:c r="AI1288" s="2" t="str">
        <x:f>IF(B1288="","",'Calibrare_Linii'!V14)</x:f>
      </x:c>
      <x:c r="AJ1288" s="2" t="str">
        <x:f>IF(B1288="","",IF(AND('Calibrare_Linii'!T14="VALIDATED",AND('Calibrare_Linii'!H14=C1288,ISNUMBER('Calibrare_Linii'!J14),'Calibrare_Linii'!J14&lt;='Input_Meci'!G97)),"DEFENSIVE VALIDATED",IF(AND('Calibrare_Linii'!S14="VALIDATED",AND('Calibrare_Linii'!H14=C1288,ISNUMBER('Calibrare_Linii'!J14),'Calibrare_Linii'!J14&lt;='Input_Meci'!G97)),"TAIL VALIDATED","OOS PENDING")))</x:f>
      </x:c>
      <x:c r="AK1288" s="2" t="n">
        <x:f>IF(J1288&lt;&gt;"PASS",0,'Motor_Meciuri'!BR97)</x:f>
        <x:v>0</x:v>
      </x:c>
      <x:c r="AL1288" s="2" t="n">
        <x:f>IF(J1288&lt;&gt;"PASS",0,'Motor_Meciuri'!BS97)</x:f>
        <x:v>0</x:v>
      </x:c>
      <x:c r="AM1288" s="2" t="n">
        <x:f>IF(J1288&lt;&gt;"PASS",0,'Motor_Meciuri'!BT97)</x:f>
        <x:v>0</x:v>
      </x:c>
      <x:c r="AN1288" s="2" t="str">
        <x:f>IF(M1288="","",MAX(0,'Motor_Meciuri'!BF97-IF(L1288&gt;'Config_v6'!$B$12,'Config_v6'!$B$37,IF(L1288&gt;'Config_v6'!$B$11,'Config_v6'!$B$36,0))))</x:f>
      </x:c>
    </x:row>
    <x:row r="1289" ht="21" customHeight="1">
      <x:c r="A1289" s="2" t="n">
        <x:v>92</x:v>
      </x:c>
      <x:c r="B1289" s="2" t="str">
        <x:f>IF('Motor_Meciuri'!A97="","",'Motor_Meciuri'!A97)</x:f>
      </x:c>
      <x:c r="C1289" s="2" t="str">
        <x:f>IF(B1289="","",'Motor_Meciuri'!B97)</x:f>
      </x:c>
      <x:c r="D1289" s="2" t="str">
        <x:f>IF(B1289="","",'Motor_Meciuri'!D97)</x:f>
      </x:c>
      <x:c r="E1289" s="2" t="str">
        <x:f>IF(B1289="","",'Motor_Meciuri'!E97)</x:f>
      </x:c>
      <x:c r="F1289" s="2" t="str">
        <x:v>U13,5</x:v>
      </x:c>
      <x:c r="G1289" s="2" t="str">
        <x:v>UNDER</x:v>
      </x:c>
      <x:c r="H1289" s="2" t="n">
        <x:v>13</x:v>
      </x:c>
      <x:c r="I1289" s="2" t="str">
        <x:f>IF(B1289="","",'Motor_Meciuri'!H97)</x:f>
      </x:c>
      <x:c r="J1289" s="2" t="str">
        <x:f>IF(B1289="","",'Motor_Meciuri'!I97)</x:f>
      </x:c>
      <x:c r="K1289" s="11" t="str">
        <x:f>IF(J1289&lt;&gt;"PASS","",'Motor_Meciuri'!BD97)</x:f>
      </x:c>
      <x:c r="L1289" s="11" t="str">
        <x:f>IF(J1289&lt;&gt;"PASS","",'Motor_Meciuri'!AU97)</x:f>
      </x:c>
      <x:c r="M1289" s="10" t="str">
        <x:f>IF(NOT(AND(J1289="PASS",'Calibrare_Linii'!U15="VALID")),"",'Distributie'!AK97)</x:f>
      </x:c>
      <x:c r="N1289" s="10" t="str">
        <x:f>IF(M1289="","",MAX(0.01,MIN(0.99,0.5+(M1289-0.5)*'Motor_Meciuri'!BG97*'Calibrare_Linii'!D15)))</x:f>
      </x:c>
      <x:c r="O1289" s="10" t="str">
        <x:f>IF(M1289="","",1-M1289)</x:f>
      </x:c>
      <x:c r="P1289" s="10" t="str">
        <x:f>IF(OR(NOT(AND(J1289="PASS",'Calibrare_Linii'!U15="VALID")),AK1289=0),""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*('Istoric_Nativ'!$Q$6:$Q$405&gt;H1289))/AK1289)</x:f>
      </x:c>
      <x:c r="Q1289" s="10" t="str">
        <x:f>IF(OR(NOT(AND(J1289="PASS",'Calibrare_Linii'!U15="VALID")),AL1289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M97)+((('Istoric_Nativ'!$E$6:$E$405='Input_Meci'!E97)+('Istoric_Nativ'!$F$6:$F$405='Input_Meci'!E97))&gt;0)*('Istoric_Nativ'!$D$6:$D$405&gt;='Motor_Meciuri'!BN97))&gt;0)*('Istoric_Nativ'!$Q$6:$Q$405&gt;H1289))/AL1289)</x:f>
      </x:c>
      <x:c r="R1289" s="10" t="str">
        <x:f>IF(OR(NOT(AND(J1289="PASS",'Calibrare_Linii'!U15="VALID")),AM1289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O97)+((('Istoric_Nativ'!$E$6:$E$405='Input_Meci'!E97)+('Istoric_Nativ'!$F$6:$F$405='Input_Meci'!E97))&gt;0)*('Istoric_Nativ'!$D$6:$D$405&gt;='Motor_Meciuri'!BP97))&gt;0)*('Istoric_Nativ'!$Q$6:$Q$405&gt;H1289))/AM1289)</x:f>
      </x:c>
      <x:c r="S1289" s="10" t="str">
        <x:f>IF(M1289="","",MAX(O1289,P1289,Q1289,R1289))</x:f>
      </x:c>
      <x:c r="T1289" s="11" t="str">
        <x:f>IF(M1289="","",MIN(100,S1289*100*'Config_v6'!$B$44+MIN(100,L1289/'Config_v6'!$B$13*100)*'Config_v6'!$B$45+(100-'Motor_Meciuri'!BF97)*'Config_v6'!$B$46+'Motor_Meciuri'!BH97*100*'Config_v6'!$B$47))</x:f>
      </x:c>
      <x:c r="U1289" s="2" t="str">
        <x:f>IF(T1289="","",IF(T1289&lt;=20,1,IF(T1289&lt;=40,2,IF(T1289&lt;=60,3,IF(T1289&lt;=80,4,5)))))</x:f>
      </x:c>
      <x:c r="V1289" s="2" t="str">
        <x:f>IF(M1289="","",MAX(0,'Motor_Meciuri'!BF97-IF(W1289="OOS PENDING",'Config_v6'!$B$35,0)-IF(L1289&gt;'Config_v6'!$B$12,'Config_v6'!$B$37,IF(L1289&gt;'Config_v6'!$B$11,'Config_v6'!$B$36,0))))</x:f>
      </x:c>
      <x:c r="W1289" s="2" t="str">
        <x:f>IF(B1289="","",IF(I1289&lt;&gt;"READY","NOT RELEASED",IF(NOT(AND(J1289="PASS",'Calibrare_Linii'!U15="VALID")),"INVALID",IF(NOT(AND('Calibrare_Linii'!S15="VALIDATED",AND('Calibrare_Linii'!H15=C1289,ISNUMBER('Calibrare_Linii'!J15),'Calibrare_Linii'!J15&lt;='Input_Meci'!G97))),"OOS PENDING",IF(S1289&lt;='Calibrare_Linii'!E15,"PASS",IF(S1289&lt;='Calibrare_Linii'!F15,"PENALTY","WATCH"))))))</x:f>
      </x:c>
      <x:c r="X1289" s="2" t="str">
        <x:f>IF(M1289="","",IF(AND(AND(J1289="PASS",'Calibrare_Linii'!U15="VALID"),'Motor_Meciuri'!K97=12,'Motor_Meciuri'!L97=12,'Motor_Meciuri'!M97="NO",'Motor_Meciuri'!BL97='Motor_Meciuri'!C97,AB1289&gt;='Config_v6'!$B$50,AN1289&gt;='Config_v6'!$B$51,T1289&lt;='Config_v6'!$B$52,L1289&lt;='Config_v6'!$B$53,ISNUMBER('Calibrare_Linii'!E15),S1289&lt;='Calibrare_Linii'!E15,SUM(AK1289:AM1289)&gt;0),"CANDIDATE","NO"))</x:f>
      </x:c>
      <x:c r="Y1289" s="2" t="str">
        <x:f>IF(B1289="","",IF(I1289&lt;&gt;"READY","NOT RELEASED",IF(AND(X1289="CANDIDATE",V1289&gt;='Config_v6'!$B$51,W1289="PASS",'Calibrare_Linii'!T15="VALIDATED",AND('Calibrare_Linii'!H15=C1289,ISNUMBER('Calibrare_Linii'!J15),'Calibrare_Linii'!J15&lt;='Input_Meci'!G97)),"PASS",IF(X1289="CANDIDATE","OOS PENDING","FAIL"))))</x:f>
      </x:c>
      <x:c r="Z1289" s="2" t="str">
        <x:f>IF(B1289="","",IF(I1289&lt;&gt;"READY","",IF(OR(NOT(AND(J1289="PASS",'Calibrare_Linii'!U15="VALID")),L1289&gt;'Config_v6'!$B$13,W1289="WATCH"),5,IF(Y1289="PASS",1,MIN(5,MAX('Config_v6'!$B$42,U1289)+IF(W1289="PENALTY",1,0))))))</x:f>
      </x:c>
      <x:c r="AA1289" s="2" t="str">
        <x:f>IF(B1289="","",IF(I1289&lt;&gt;"READY","NOT RELEASED",IF(Z1289=5,"NO BET",IF(OR(AB1289&lt;'Config_v6'!$B$16,V1289&lt;'Config_v6'!$B$18),"WATCH",IF(Z1289=1,"DEFENSIV",IF(Z1289=2,"PRUDENT",IF(Z1289=3,"MODERAT","RIDICAT")))))))</x:f>
      </x:c>
      <x:c r="AB1289" s="10" t="str">
        <x:f>IF(N1289="","",MIN(N1289,1-S1289))</x:f>
      </x:c>
      <x:c r="AC1289" s="2" t="str">
        <x:f>IF(AD1289&lt;&gt;1,"",COUNTIFS($Z$1280:$Z$1293,"&lt;"&amp;Z1289,$AD$1280:$AD$1293,1)+COUNTIFS($Z$1280:$Z$1293,Z1289,$AB$1280:$AB$1293,"&gt;"&amp;AB1289,$AD$1280:$AD$1293,1)+COUNTIFS($Z$1280:$Z$1293,Z1289,$AB$1280:$AB$1293,AB1289,$V$1280:$V$1293,"&gt;"&amp;V1289,$AD$1280:$AD$1293,1)+COUNTIFS($Z$1280:Z1289,Z1289,$AB$1280:AB1289,AB1289,$V$1280:V1289,V1289,$AD$1280:AD1289,1))</x:f>
      </x:c>
      <x:c r="AD1289" s="2" t="n">
        <x:f>IF(OR(AA1289="DEFENSIV",AA1289="PRUDENT",AA1289="MODERAT",AA1289="RIDICAT"),1,0)</x:f>
        <x:v>0</x:v>
      </x:c>
      <x:c r="AE1289" s="2" t="str">
        <x:f>IF(AD1289&lt;&gt;1,"NO",IF(W1289="PASS","YES",IF(W1289="OOS PENDING","CONDITIONAL","NO")))</x:f>
        <x:v>NO</x:v>
      </x:c>
      <x:c r="AF1289" s="2" t="n">
        <x:f>IF(AND(AD1289=1,AC1289=1,E1289="LIVE"),1,0)</x:f>
        <x:v>0</x:v>
      </x:c>
      <x:c r="AG1289" s="2" t="str">
        <x:f>IF(AF1289&lt;&gt;1,"",'Dashboard'!P117)</x:f>
      </x:c>
      <x:c r="AH1289" s="2" t="str">
        <x:f>IF(B1289="","",IF(J1289&lt;&gt;"PASS",'Motor_Meciuri'!J97,IF('Calibrare_Linii'!U15&lt;&gt;"VALID","Parametri linie invalizi",IF(L1289&gt;'Config_v6'!$B$13,"Dispersie peste limita",IF(W1289="WATCH","Failure peste limita",IF(AB1289&lt;'Config_v6'!$B$16,"P finala sub prag",IF(V1289&lt;'Config_v6'!$B$18,"Confidence sub prag",IF(E1289="REPLAY","Exemplu retrospectiv; exclus din Top LIVE",IF(Y1289="PASS","DEFENSIV validat",IF(W1289="OOS PENDING","Eligibil; calibrare linie in monitorizare","Eligibil"))))))))))</x:f>
      </x:c>
      <x:c r="AI1289" s="2" t="str">
        <x:f>IF(B1289="","",'Calibrare_Linii'!V15)</x:f>
      </x:c>
      <x:c r="AJ1289" s="2" t="str">
        <x:f>IF(B1289="","",IF(AND('Calibrare_Linii'!T15="VALIDATED",AND('Calibrare_Linii'!H15=C1289,ISNUMBER('Calibrare_Linii'!J15),'Calibrare_Linii'!J15&lt;='Input_Meci'!G97)),"DEFENSIVE VALIDATED",IF(AND('Calibrare_Linii'!S15="VALIDATED",AND('Calibrare_Linii'!H15=C1289,ISNUMBER('Calibrare_Linii'!J15),'Calibrare_Linii'!J15&lt;='Input_Meci'!G97)),"TAIL VALIDATED","OOS PENDING")))</x:f>
      </x:c>
      <x:c r="AK1289" s="2" t="n">
        <x:f>IF(J1289&lt;&gt;"PASS",0,'Motor_Meciuri'!BR97)</x:f>
        <x:v>0</x:v>
      </x:c>
      <x:c r="AL1289" s="2" t="n">
        <x:f>IF(J1289&lt;&gt;"PASS",0,'Motor_Meciuri'!BS97)</x:f>
        <x:v>0</x:v>
      </x:c>
      <x:c r="AM1289" s="2" t="n">
        <x:f>IF(J1289&lt;&gt;"PASS",0,'Motor_Meciuri'!BT97)</x:f>
        <x:v>0</x:v>
      </x:c>
      <x:c r="AN1289" s="2" t="str">
        <x:f>IF(M1289="","",MAX(0,'Motor_Meciuri'!BF97-IF(L1289&gt;'Config_v6'!$B$12,'Config_v6'!$B$37,IF(L1289&gt;'Config_v6'!$B$11,'Config_v6'!$B$36,0))))</x:f>
      </x:c>
    </x:row>
    <x:row r="1290" ht="21" customHeight="1">
      <x:c r="A1290" s="2" t="n">
        <x:v>92</x:v>
      </x:c>
      <x:c r="B1290" s="2" t="str">
        <x:f>IF('Motor_Meciuri'!A97="","",'Motor_Meciuri'!A97)</x:f>
      </x:c>
      <x:c r="C1290" s="2" t="str">
        <x:f>IF(B1290="","",'Motor_Meciuri'!B97)</x:f>
      </x:c>
      <x:c r="D1290" s="2" t="str">
        <x:f>IF(B1290="","",'Motor_Meciuri'!D97)</x:f>
      </x:c>
      <x:c r="E1290" s="2" t="str">
        <x:f>IF(B1290="","",'Motor_Meciuri'!E97)</x:f>
      </x:c>
      <x:c r="F1290" s="2" t="str">
        <x:v>U14,5</x:v>
      </x:c>
      <x:c r="G1290" s="2" t="str">
        <x:v>UNDER</x:v>
      </x:c>
      <x:c r="H1290" s="2" t="n">
        <x:v>14</x:v>
      </x:c>
      <x:c r="I1290" s="2" t="str">
        <x:f>IF(B1290="","",'Motor_Meciuri'!H97)</x:f>
      </x:c>
      <x:c r="J1290" s="2" t="str">
        <x:f>IF(B1290="","",'Motor_Meciuri'!I97)</x:f>
      </x:c>
      <x:c r="K1290" s="11" t="str">
        <x:f>IF(J1290&lt;&gt;"PASS","",'Motor_Meciuri'!BD97)</x:f>
      </x:c>
      <x:c r="L1290" s="11" t="str">
        <x:f>IF(J1290&lt;&gt;"PASS","",'Motor_Meciuri'!AU97)</x:f>
      </x:c>
      <x:c r="M1290" s="10" t="str">
        <x:f>IF(NOT(AND(J1290="PASS",'Calibrare_Linii'!U16="VALID")),"",'Distributie'!AL97)</x:f>
      </x:c>
      <x:c r="N1290" s="10" t="str">
        <x:f>IF(M1290="","",MAX(0.01,MIN(0.99,0.5+(M1290-0.5)*'Motor_Meciuri'!BG97*'Calibrare_Linii'!D16)))</x:f>
      </x:c>
      <x:c r="O1290" s="10" t="str">
        <x:f>IF(M1290="","",1-M1290)</x:f>
      </x:c>
      <x:c r="P1290" s="10" t="str">
        <x:f>IF(OR(NOT(AND(J1290="PASS",'Calibrare_Linii'!U16="VALID")),AK1290=0),""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*('Istoric_Nativ'!$Q$6:$Q$405&gt;H1290))/AK1290)</x:f>
      </x:c>
      <x:c r="Q1290" s="10" t="str">
        <x:f>IF(OR(NOT(AND(J1290="PASS",'Calibrare_Linii'!U16="VALID")),AL1290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M97)+((('Istoric_Nativ'!$E$6:$E$405='Input_Meci'!E97)+('Istoric_Nativ'!$F$6:$F$405='Input_Meci'!E97))&gt;0)*('Istoric_Nativ'!$D$6:$D$405&gt;='Motor_Meciuri'!BN97))&gt;0)*('Istoric_Nativ'!$Q$6:$Q$405&gt;H1290))/AL1290)</x:f>
      </x:c>
      <x:c r="R1290" s="10" t="str">
        <x:f>IF(OR(NOT(AND(J1290="PASS",'Calibrare_Linii'!U16="VALID")),AM1290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O97)+((('Istoric_Nativ'!$E$6:$E$405='Input_Meci'!E97)+('Istoric_Nativ'!$F$6:$F$405='Input_Meci'!E97))&gt;0)*('Istoric_Nativ'!$D$6:$D$405&gt;='Motor_Meciuri'!BP97))&gt;0)*('Istoric_Nativ'!$Q$6:$Q$405&gt;H1290))/AM1290)</x:f>
      </x:c>
      <x:c r="S1290" s="10" t="str">
        <x:f>IF(M1290="","",MAX(O1290,P1290,Q1290,R1290))</x:f>
      </x:c>
      <x:c r="T1290" s="11" t="str">
        <x:f>IF(M1290="","",MIN(100,S1290*100*'Config_v6'!$B$44+MIN(100,L1290/'Config_v6'!$B$13*100)*'Config_v6'!$B$45+(100-'Motor_Meciuri'!BF97)*'Config_v6'!$B$46+'Motor_Meciuri'!BH97*100*'Config_v6'!$B$47))</x:f>
      </x:c>
      <x:c r="U1290" s="2" t="str">
        <x:f>IF(T1290="","",IF(T1290&lt;=20,1,IF(T1290&lt;=40,2,IF(T1290&lt;=60,3,IF(T1290&lt;=80,4,5)))))</x:f>
      </x:c>
      <x:c r="V1290" s="2" t="str">
        <x:f>IF(M1290="","",MAX(0,'Motor_Meciuri'!BF97-IF(W1290="OOS PENDING",'Config_v6'!$B$35,0)-IF(L1290&gt;'Config_v6'!$B$12,'Config_v6'!$B$37,IF(L1290&gt;'Config_v6'!$B$11,'Config_v6'!$B$36,0))))</x:f>
      </x:c>
      <x:c r="W1290" s="2" t="str">
        <x:f>IF(B1290="","",IF(I1290&lt;&gt;"READY","NOT RELEASED",IF(NOT(AND(J1290="PASS",'Calibrare_Linii'!U16="VALID")),"INVALID",IF(NOT(AND('Calibrare_Linii'!S16="VALIDATED",AND('Calibrare_Linii'!H16=C1290,ISNUMBER('Calibrare_Linii'!J16),'Calibrare_Linii'!J16&lt;='Input_Meci'!G97))),"OOS PENDING",IF(S1290&lt;='Calibrare_Linii'!E16,"PASS",IF(S1290&lt;='Calibrare_Linii'!F16,"PENALTY","WATCH"))))))</x:f>
      </x:c>
      <x:c r="X1290" s="2" t="str">
        <x:f>IF(M1290="","",IF(AND(AND(J1290="PASS",'Calibrare_Linii'!U16="VALID"),'Motor_Meciuri'!K97=12,'Motor_Meciuri'!L97=12,'Motor_Meciuri'!M97="NO",'Motor_Meciuri'!BL97='Motor_Meciuri'!C97,AB1290&gt;='Config_v6'!$B$50,AN1290&gt;='Config_v6'!$B$51,T1290&lt;='Config_v6'!$B$52,L1290&lt;='Config_v6'!$B$53,ISNUMBER('Calibrare_Linii'!E16),S1290&lt;='Calibrare_Linii'!E16,SUM(AK1290:AM1290)&gt;0),"CANDIDATE","NO"))</x:f>
      </x:c>
      <x:c r="Y1290" s="2" t="str">
        <x:f>IF(B1290="","",IF(I1290&lt;&gt;"READY","NOT RELEASED",IF(AND(X1290="CANDIDATE",V1290&gt;='Config_v6'!$B$51,W1290="PASS",'Calibrare_Linii'!T16="VALIDATED",AND('Calibrare_Linii'!H16=C1290,ISNUMBER('Calibrare_Linii'!J16),'Calibrare_Linii'!J16&lt;='Input_Meci'!G97)),"PASS",IF(X1290="CANDIDATE","OOS PENDING","FAIL"))))</x:f>
      </x:c>
      <x:c r="Z1290" s="2" t="str">
        <x:f>IF(B1290="","",IF(I1290&lt;&gt;"READY","",IF(OR(NOT(AND(J1290="PASS",'Calibrare_Linii'!U16="VALID")),L1290&gt;'Config_v6'!$B$13,W1290="WATCH"),5,IF(Y1290="PASS",1,MIN(5,MAX('Config_v6'!$B$42,U1290)+IF(W1290="PENALTY",1,0))))))</x:f>
      </x:c>
      <x:c r="AA1290" s="2" t="str">
        <x:f>IF(B1290="","",IF(I1290&lt;&gt;"READY","NOT RELEASED",IF(Z1290=5,"NO BET",IF(OR(AB1290&lt;'Config_v6'!$B$16,V1290&lt;'Config_v6'!$B$18),"WATCH",IF(Z1290=1,"DEFENSIV",IF(Z1290=2,"PRUDENT",IF(Z1290=3,"MODERAT","RIDICAT")))))))</x:f>
      </x:c>
      <x:c r="AB1290" s="10" t="str">
        <x:f>IF(N1290="","",MIN(N1290,1-S1290))</x:f>
      </x:c>
      <x:c r="AC1290" s="2" t="str">
        <x:f>IF(AD1290&lt;&gt;1,"",COUNTIFS($Z$1280:$Z$1293,"&lt;"&amp;Z1290,$AD$1280:$AD$1293,1)+COUNTIFS($Z$1280:$Z$1293,Z1290,$AB$1280:$AB$1293,"&gt;"&amp;AB1290,$AD$1280:$AD$1293,1)+COUNTIFS($Z$1280:$Z$1293,Z1290,$AB$1280:$AB$1293,AB1290,$V$1280:$V$1293,"&gt;"&amp;V1290,$AD$1280:$AD$1293,1)+COUNTIFS($Z$1280:Z1290,Z1290,$AB$1280:AB1290,AB1290,$V$1280:V1290,V1290,$AD$1280:AD1290,1))</x:f>
      </x:c>
      <x:c r="AD1290" s="2" t="n">
        <x:f>IF(OR(AA1290="DEFENSIV",AA1290="PRUDENT",AA1290="MODERAT",AA1290="RIDICAT"),1,0)</x:f>
        <x:v>0</x:v>
      </x:c>
      <x:c r="AE1290" s="2" t="str">
        <x:f>IF(AD1290&lt;&gt;1,"NO",IF(W1290="PASS","YES",IF(W1290="OOS PENDING","CONDITIONAL","NO")))</x:f>
        <x:v>NO</x:v>
      </x:c>
      <x:c r="AF1290" s="2" t="n">
        <x:f>IF(AND(AD1290=1,AC1290=1,E1290="LIVE"),1,0)</x:f>
        <x:v>0</x:v>
      </x:c>
      <x:c r="AG1290" s="2" t="str">
        <x:f>IF(AF1290&lt;&gt;1,"",'Dashboard'!P117)</x:f>
      </x:c>
      <x:c r="AH1290" s="2" t="str">
        <x:f>IF(B1290="","",IF(J1290&lt;&gt;"PASS",'Motor_Meciuri'!J97,IF('Calibrare_Linii'!U16&lt;&gt;"VALID","Parametri linie invalizi",IF(L1290&gt;'Config_v6'!$B$13,"Dispersie peste limita",IF(W1290="WATCH","Failure peste limita",IF(AB1290&lt;'Config_v6'!$B$16,"P finala sub prag",IF(V1290&lt;'Config_v6'!$B$18,"Confidence sub prag",IF(E1290="REPLAY","Exemplu retrospectiv; exclus din Top LIVE",IF(Y1290="PASS","DEFENSIV validat",IF(W1290="OOS PENDING","Eligibil; calibrare linie in monitorizare","Eligibil"))))))))))</x:f>
      </x:c>
      <x:c r="AI1290" s="2" t="str">
        <x:f>IF(B1290="","",'Calibrare_Linii'!V16)</x:f>
      </x:c>
      <x:c r="AJ1290" s="2" t="str">
        <x:f>IF(B1290="","",IF(AND('Calibrare_Linii'!T16="VALIDATED",AND('Calibrare_Linii'!H16=C1290,ISNUMBER('Calibrare_Linii'!J16),'Calibrare_Linii'!J16&lt;='Input_Meci'!G97)),"DEFENSIVE VALIDATED",IF(AND('Calibrare_Linii'!S16="VALIDATED",AND('Calibrare_Linii'!H16=C1290,ISNUMBER('Calibrare_Linii'!J16),'Calibrare_Linii'!J16&lt;='Input_Meci'!G97)),"TAIL VALIDATED","OOS PENDING")))</x:f>
      </x:c>
      <x:c r="AK1290" s="2" t="n">
        <x:f>IF(J1290&lt;&gt;"PASS",0,'Motor_Meciuri'!BR97)</x:f>
        <x:v>0</x:v>
      </x:c>
      <x:c r="AL1290" s="2" t="n">
        <x:f>IF(J1290&lt;&gt;"PASS",0,'Motor_Meciuri'!BS97)</x:f>
        <x:v>0</x:v>
      </x:c>
      <x:c r="AM1290" s="2" t="n">
        <x:f>IF(J1290&lt;&gt;"PASS",0,'Motor_Meciuri'!BT97)</x:f>
        <x:v>0</x:v>
      </x:c>
      <x:c r="AN1290" s="2" t="str">
        <x:f>IF(M1290="","",MAX(0,'Motor_Meciuri'!BF97-IF(L1290&gt;'Config_v6'!$B$12,'Config_v6'!$B$37,IF(L1290&gt;'Config_v6'!$B$11,'Config_v6'!$B$36,0))))</x:f>
      </x:c>
    </x:row>
    <x:row r="1291" ht="21" customHeight="1">
      <x:c r="A1291" s="2" t="n">
        <x:v>92</x:v>
      </x:c>
      <x:c r="B1291" s="2" t="str">
        <x:f>IF('Motor_Meciuri'!A97="","",'Motor_Meciuri'!A97)</x:f>
      </x:c>
      <x:c r="C1291" s="2" t="str">
        <x:f>IF(B1291="","",'Motor_Meciuri'!B97)</x:f>
      </x:c>
      <x:c r="D1291" s="2" t="str">
        <x:f>IF(B1291="","",'Motor_Meciuri'!D97)</x:f>
      </x:c>
      <x:c r="E1291" s="2" t="str">
        <x:f>IF(B1291="","",'Motor_Meciuri'!E97)</x:f>
      </x:c>
      <x:c r="F1291" s="2" t="str">
        <x:v>U15,5</x:v>
      </x:c>
      <x:c r="G1291" s="2" t="str">
        <x:v>UNDER</x:v>
      </x:c>
      <x:c r="H1291" s="2" t="n">
        <x:v>15</x:v>
      </x:c>
      <x:c r="I1291" s="2" t="str">
        <x:f>IF(B1291="","",'Motor_Meciuri'!H97)</x:f>
      </x:c>
      <x:c r="J1291" s="2" t="str">
        <x:f>IF(B1291="","",'Motor_Meciuri'!I97)</x:f>
      </x:c>
      <x:c r="K1291" s="11" t="str">
        <x:f>IF(J1291&lt;&gt;"PASS","",'Motor_Meciuri'!BD97)</x:f>
      </x:c>
      <x:c r="L1291" s="11" t="str">
        <x:f>IF(J1291&lt;&gt;"PASS","",'Motor_Meciuri'!AU97)</x:f>
      </x:c>
      <x:c r="M1291" s="10" t="str">
        <x:f>IF(NOT(AND(J1291="PASS",'Calibrare_Linii'!U17="VALID")),"",'Distributie'!AM97)</x:f>
      </x:c>
      <x:c r="N1291" s="10" t="str">
        <x:f>IF(M1291="","",MAX(0.01,MIN(0.99,0.5+(M1291-0.5)*'Motor_Meciuri'!BG97*'Calibrare_Linii'!D17)))</x:f>
      </x:c>
      <x:c r="O1291" s="10" t="str">
        <x:f>IF(M1291="","",1-M1291)</x:f>
      </x:c>
      <x:c r="P1291" s="10" t="str">
        <x:f>IF(OR(NOT(AND(J1291="PASS",'Calibrare_Linii'!U17="VALID")),AK1291=0),""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*('Istoric_Nativ'!$Q$6:$Q$405&gt;H1291))/AK1291)</x:f>
      </x:c>
      <x:c r="Q1291" s="10" t="str">
        <x:f>IF(OR(NOT(AND(J1291="PASS",'Calibrare_Linii'!U17="VALID")),AL1291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M97)+((('Istoric_Nativ'!$E$6:$E$405='Input_Meci'!E97)+('Istoric_Nativ'!$F$6:$F$405='Input_Meci'!E97))&gt;0)*('Istoric_Nativ'!$D$6:$D$405&gt;='Motor_Meciuri'!BN97))&gt;0)*('Istoric_Nativ'!$Q$6:$Q$405&gt;H1291))/AL1291)</x:f>
      </x:c>
      <x:c r="R1291" s="10" t="str">
        <x:f>IF(OR(NOT(AND(J1291="PASS",'Calibrare_Linii'!U17="VALID")),AM1291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O97)+((('Istoric_Nativ'!$E$6:$E$405='Input_Meci'!E97)+('Istoric_Nativ'!$F$6:$F$405='Input_Meci'!E97))&gt;0)*('Istoric_Nativ'!$D$6:$D$405&gt;='Motor_Meciuri'!BP97))&gt;0)*('Istoric_Nativ'!$Q$6:$Q$405&gt;H1291))/AM1291)</x:f>
      </x:c>
      <x:c r="S1291" s="10" t="str">
        <x:f>IF(M1291="","",MAX(O1291,P1291,Q1291,R1291))</x:f>
      </x:c>
      <x:c r="T1291" s="11" t="str">
        <x:f>IF(M1291="","",MIN(100,S1291*100*'Config_v6'!$B$44+MIN(100,L1291/'Config_v6'!$B$13*100)*'Config_v6'!$B$45+(100-'Motor_Meciuri'!BF97)*'Config_v6'!$B$46+'Motor_Meciuri'!BH97*100*'Config_v6'!$B$47))</x:f>
      </x:c>
      <x:c r="U1291" s="2" t="str">
        <x:f>IF(T1291="","",IF(T1291&lt;=20,1,IF(T1291&lt;=40,2,IF(T1291&lt;=60,3,IF(T1291&lt;=80,4,5)))))</x:f>
      </x:c>
      <x:c r="V1291" s="2" t="str">
        <x:f>IF(M1291="","",MAX(0,'Motor_Meciuri'!BF97-IF(W1291="OOS PENDING",'Config_v6'!$B$35,0)-IF(L1291&gt;'Config_v6'!$B$12,'Config_v6'!$B$37,IF(L1291&gt;'Config_v6'!$B$11,'Config_v6'!$B$36,0))))</x:f>
      </x:c>
      <x:c r="W1291" s="2" t="str">
        <x:f>IF(B1291="","",IF(I1291&lt;&gt;"READY","NOT RELEASED",IF(NOT(AND(J1291="PASS",'Calibrare_Linii'!U17="VALID")),"INVALID",IF(NOT(AND('Calibrare_Linii'!S17="VALIDATED",AND('Calibrare_Linii'!H17=C1291,ISNUMBER('Calibrare_Linii'!J17),'Calibrare_Linii'!J17&lt;='Input_Meci'!G97))),"OOS PENDING",IF(S1291&lt;='Calibrare_Linii'!E17,"PASS",IF(S1291&lt;='Calibrare_Linii'!F17,"PENALTY","WATCH"))))))</x:f>
      </x:c>
      <x:c r="X1291" s="2" t="str">
        <x:f>IF(M1291="","",IF(AND(AND(J1291="PASS",'Calibrare_Linii'!U17="VALID"),'Motor_Meciuri'!K97=12,'Motor_Meciuri'!L97=12,'Motor_Meciuri'!M97="NO",'Motor_Meciuri'!BL97='Motor_Meciuri'!C97,AB1291&gt;='Config_v6'!$B$50,AN1291&gt;='Config_v6'!$B$51,T1291&lt;='Config_v6'!$B$52,L1291&lt;='Config_v6'!$B$53,ISNUMBER('Calibrare_Linii'!E17),S1291&lt;='Calibrare_Linii'!E17,SUM(AK1291:AM1291)&gt;0),"CANDIDATE","NO"))</x:f>
      </x:c>
      <x:c r="Y1291" s="2" t="str">
        <x:f>IF(B1291="","",IF(I1291&lt;&gt;"READY","NOT RELEASED",IF(AND(X1291="CANDIDATE",V1291&gt;='Config_v6'!$B$51,W1291="PASS",'Calibrare_Linii'!T17="VALIDATED",AND('Calibrare_Linii'!H17=C1291,ISNUMBER('Calibrare_Linii'!J17),'Calibrare_Linii'!J17&lt;='Input_Meci'!G97)),"PASS",IF(X1291="CANDIDATE","OOS PENDING","FAIL"))))</x:f>
      </x:c>
      <x:c r="Z1291" s="2" t="str">
        <x:f>IF(B1291="","",IF(I1291&lt;&gt;"READY","",IF(OR(NOT(AND(J1291="PASS",'Calibrare_Linii'!U17="VALID")),L1291&gt;'Config_v6'!$B$13,W1291="WATCH"),5,IF(Y1291="PASS",1,MIN(5,MAX('Config_v6'!$B$42,U1291)+IF(W1291="PENALTY",1,0))))))</x:f>
      </x:c>
      <x:c r="AA1291" s="2" t="str">
        <x:f>IF(B1291="","",IF(I1291&lt;&gt;"READY","NOT RELEASED",IF(Z1291=5,"NO BET",IF(OR(AB1291&lt;'Config_v6'!$B$16,V1291&lt;'Config_v6'!$B$18),"WATCH",IF(Z1291=1,"DEFENSIV",IF(Z1291=2,"PRUDENT",IF(Z1291=3,"MODERAT","RIDICAT")))))))</x:f>
      </x:c>
      <x:c r="AB1291" s="10" t="str">
        <x:f>IF(N1291="","",MIN(N1291,1-S1291))</x:f>
      </x:c>
      <x:c r="AC1291" s="2" t="str">
        <x:f>IF(AD1291&lt;&gt;1,"",COUNTIFS($Z$1280:$Z$1293,"&lt;"&amp;Z1291,$AD$1280:$AD$1293,1)+COUNTIFS($Z$1280:$Z$1293,Z1291,$AB$1280:$AB$1293,"&gt;"&amp;AB1291,$AD$1280:$AD$1293,1)+COUNTIFS($Z$1280:$Z$1293,Z1291,$AB$1280:$AB$1293,AB1291,$V$1280:$V$1293,"&gt;"&amp;V1291,$AD$1280:$AD$1293,1)+COUNTIFS($Z$1280:Z1291,Z1291,$AB$1280:AB1291,AB1291,$V$1280:V1291,V1291,$AD$1280:AD1291,1))</x:f>
      </x:c>
      <x:c r="AD1291" s="2" t="n">
        <x:f>IF(OR(AA1291="DEFENSIV",AA1291="PRUDENT",AA1291="MODERAT",AA1291="RIDICAT"),1,0)</x:f>
        <x:v>0</x:v>
      </x:c>
      <x:c r="AE1291" s="2" t="str">
        <x:f>IF(AD1291&lt;&gt;1,"NO",IF(W1291="PASS","YES",IF(W1291="OOS PENDING","CONDITIONAL","NO")))</x:f>
        <x:v>NO</x:v>
      </x:c>
      <x:c r="AF1291" s="2" t="n">
        <x:f>IF(AND(AD1291=1,AC1291=1,E1291="LIVE"),1,0)</x:f>
        <x:v>0</x:v>
      </x:c>
      <x:c r="AG1291" s="2" t="str">
        <x:f>IF(AF1291&lt;&gt;1,"",'Dashboard'!P117)</x:f>
      </x:c>
      <x:c r="AH1291" s="2" t="str">
        <x:f>IF(B1291="","",IF(J1291&lt;&gt;"PASS",'Motor_Meciuri'!J97,IF('Calibrare_Linii'!U17&lt;&gt;"VALID","Parametri linie invalizi",IF(L1291&gt;'Config_v6'!$B$13,"Dispersie peste limita",IF(W1291="WATCH","Failure peste limita",IF(AB1291&lt;'Config_v6'!$B$16,"P finala sub prag",IF(V1291&lt;'Config_v6'!$B$18,"Confidence sub prag",IF(E1291="REPLAY","Exemplu retrospectiv; exclus din Top LIVE",IF(Y1291="PASS","DEFENSIV validat",IF(W1291="OOS PENDING","Eligibil; calibrare linie in monitorizare","Eligibil"))))))))))</x:f>
      </x:c>
      <x:c r="AI1291" s="2" t="str">
        <x:f>IF(B1291="","",'Calibrare_Linii'!V17)</x:f>
      </x:c>
      <x:c r="AJ1291" s="2" t="str">
        <x:f>IF(B1291="","",IF(AND('Calibrare_Linii'!T17="VALIDATED",AND('Calibrare_Linii'!H17=C1291,ISNUMBER('Calibrare_Linii'!J17),'Calibrare_Linii'!J17&lt;='Input_Meci'!G97)),"DEFENSIVE VALIDATED",IF(AND('Calibrare_Linii'!S17="VALIDATED",AND('Calibrare_Linii'!H17=C1291,ISNUMBER('Calibrare_Linii'!J17),'Calibrare_Linii'!J17&lt;='Input_Meci'!G97)),"TAIL VALIDATED","OOS PENDING")))</x:f>
      </x:c>
      <x:c r="AK1291" s="2" t="n">
        <x:f>IF(J1291&lt;&gt;"PASS",0,'Motor_Meciuri'!BR97)</x:f>
        <x:v>0</x:v>
      </x:c>
      <x:c r="AL1291" s="2" t="n">
        <x:f>IF(J1291&lt;&gt;"PASS",0,'Motor_Meciuri'!BS97)</x:f>
        <x:v>0</x:v>
      </x:c>
      <x:c r="AM1291" s="2" t="n">
        <x:f>IF(J1291&lt;&gt;"PASS",0,'Motor_Meciuri'!BT97)</x:f>
        <x:v>0</x:v>
      </x:c>
      <x:c r="AN1291" s="2" t="str">
        <x:f>IF(M1291="","",MAX(0,'Motor_Meciuri'!BF97-IF(L1291&gt;'Config_v6'!$B$12,'Config_v6'!$B$37,IF(L1291&gt;'Config_v6'!$B$11,'Config_v6'!$B$36,0))))</x:f>
      </x:c>
    </x:row>
    <x:row r="1292" ht="21" customHeight="1">
      <x:c r="A1292" s="2" t="n">
        <x:v>92</x:v>
      </x:c>
      <x:c r="B1292" s="2" t="str">
        <x:f>IF('Motor_Meciuri'!A97="","",'Motor_Meciuri'!A97)</x:f>
      </x:c>
      <x:c r="C1292" s="2" t="str">
        <x:f>IF(B1292="","",'Motor_Meciuri'!B97)</x:f>
      </x:c>
      <x:c r="D1292" s="2" t="str">
        <x:f>IF(B1292="","",'Motor_Meciuri'!D97)</x:f>
      </x:c>
      <x:c r="E1292" s="2" t="str">
        <x:f>IF(B1292="","",'Motor_Meciuri'!E97)</x:f>
      </x:c>
      <x:c r="F1292" s="2" t="str">
        <x:v>U16,5</x:v>
      </x:c>
      <x:c r="G1292" s="2" t="str">
        <x:v>UNDER</x:v>
      </x:c>
      <x:c r="H1292" s="2" t="n">
        <x:v>16</x:v>
      </x:c>
      <x:c r="I1292" s="2" t="str">
        <x:f>IF(B1292="","",'Motor_Meciuri'!H97)</x:f>
      </x:c>
      <x:c r="J1292" s="2" t="str">
        <x:f>IF(B1292="","",'Motor_Meciuri'!I97)</x:f>
      </x:c>
      <x:c r="K1292" s="11" t="str">
        <x:f>IF(J1292&lt;&gt;"PASS","",'Motor_Meciuri'!BD97)</x:f>
      </x:c>
      <x:c r="L1292" s="11" t="str">
        <x:f>IF(J1292&lt;&gt;"PASS","",'Motor_Meciuri'!AU97)</x:f>
      </x:c>
      <x:c r="M1292" s="10" t="str">
        <x:f>IF(NOT(AND(J1292="PASS",'Calibrare_Linii'!U18="VALID")),"",'Distributie'!AN97)</x:f>
      </x:c>
      <x:c r="N1292" s="10" t="str">
        <x:f>IF(M1292="","",MAX(0.01,MIN(0.99,0.5+(M1292-0.5)*'Motor_Meciuri'!BG97*'Calibrare_Linii'!D18)))</x:f>
      </x:c>
      <x:c r="O1292" s="10" t="str">
        <x:f>IF(M1292="","",1-M1292)</x:f>
      </x:c>
      <x:c r="P1292" s="10" t="str">
        <x:f>IF(OR(NOT(AND(J1292="PASS",'Calibrare_Linii'!U18="VALID")),AK1292=0),""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*('Istoric_Nativ'!$Q$6:$Q$405&gt;H1292))/AK1292)</x:f>
      </x:c>
      <x:c r="Q1292" s="10" t="str">
        <x:f>IF(OR(NOT(AND(J1292="PASS",'Calibrare_Linii'!U18="VALID")),AL1292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M97)+((('Istoric_Nativ'!$E$6:$E$405='Input_Meci'!E97)+('Istoric_Nativ'!$F$6:$F$405='Input_Meci'!E97))&gt;0)*('Istoric_Nativ'!$D$6:$D$405&gt;='Motor_Meciuri'!BN97))&gt;0)*('Istoric_Nativ'!$Q$6:$Q$405&gt;H1292))/AL1292)</x:f>
      </x:c>
      <x:c r="R1292" s="10" t="str">
        <x:f>IF(OR(NOT(AND(J1292="PASS",'Calibrare_Linii'!U18="VALID")),AM1292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O97)+((('Istoric_Nativ'!$E$6:$E$405='Input_Meci'!E97)+('Istoric_Nativ'!$F$6:$F$405='Input_Meci'!E97))&gt;0)*('Istoric_Nativ'!$D$6:$D$405&gt;='Motor_Meciuri'!BP97))&gt;0)*('Istoric_Nativ'!$Q$6:$Q$405&gt;H1292))/AM1292)</x:f>
      </x:c>
      <x:c r="S1292" s="10" t="str">
        <x:f>IF(M1292="","",MAX(O1292,P1292,Q1292,R1292))</x:f>
      </x:c>
      <x:c r="T1292" s="11" t="str">
        <x:f>IF(M1292="","",MIN(100,S1292*100*'Config_v6'!$B$44+MIN(100,L1292/'Config_v6'!$B$13*100)*'Config_v6'!$B$45+(100-'Motor_Meciuri'!BF97)*'Config_v6'!$B$46+'Motor_Meciuri'!BH97*100*'Config_v6'!$B$47))</x:f>
      </x:c>
      <x:c r="U1292" s="2" t="str">
        <x:f>IF(T1292="","",IF(T1292&lt;=20,1,IF(T1292&lt;=40,2,IF(T1292&lt;=60,3,IF(T1292&lt;=80,4,5)))))</x:f>
      </x:c>
      <x:c r="V1292" s="2" t="str">
        <x:f>IF(M1292="","",MAX(0,'Motor_Meciuri'!BF97-IF(W1292="OOS PENDING",'Config_v6'!$B$35,0)-IF(L1292&gt;'Config_v6'!$B$12,'Config_v6'!$B$37,IF(L1292&gt;'Config_v6'!$B$11,'Config_v6'!$B$36,0))))</x:f>
      </x:c>
      <x:c r="W1292" s="2" t="str">
        <x:f>IF(B1292="","",IF(I1292&lt;&gt;"READY","NOT RELEASED",IF(NOT(AND(J1292="PASS",'Calibrare_Linii'!U18="VALID")),"INVALID",IF(NOT(AND('Calibrare_Linii'!S18="VALIDATED",AND('Calibrare_Linii'!H18=C1292,ISNUMBER('Calibrare_Linii'!J18),'Calibrare_Linii'!J18&lt;='Input_Meci'!G97))),"OOS PENDING",IF(S1292&lt;='Calibrare_Linii'!E18,"PASS",IF(S1292&lt;='Calibrare_Linii'!F18,"PENALTY","WATCH"))))))</x:f>
      </x:c>
      <x:c r="X1292" s="2" t="str">
        <x:f>IF(M1292="","",IF(AND(AND(J1292="PASS",'Calibrare_Linii'!U18="VALID"),'Motor_Meciuri'!K97=12,'Motor_Meciuri'!L97=12,'Motor_Meciuri'!M97="NO",'Motor_Meciuri'!BL97='Motor_Meciuri'!C97,AB1292&gt;='Config_v6'!$B$50,AN1292&gt;='Config_v6'!$B$51,T1292&lt;='Config_v6'!$B$52,L1292&lt;='Config_v6'!$B$53,ISNUMBER('Calibrare_Linii'!E18),S1292&lt;='Calibrare_Linii'!E18,SUM(AK1292:AM1292)&gt;0),"CANDIDATE","NO"))</x:f>
      </x:c>
      <x:c r="Y1292" s="2" t="str">
        <x:f>IF(B1292="","",IF(I1292&lt;&gt;"READY","NOT RELEASED",IF(AND(X1292="CANDIDATE",V1292&gt;='Config_v6'!$B$51,W1292="PASS",'Calibrare_Linii'!T18="VALIDATED",AND('Calibrare_Linii'!H18=C1292,ISNUMBER('Calibrare_Linii'!J18),'Calibrare_Linii'!J18&lt;='Input_Meci'!G97)),"PASS",IF(X1292="CANDIDATE","OOS PENDING","FAIL"))))</x:f>
      </x:c>
      <x:c r="Z1292" s="2" t="str">
        <x:f>IF(B1292="","",IF(I1292&lt;&gt;"READY","",IF(OR(NOT(AND(J1292="PASS",'Calibrare_Linii'!U18="VALID")),L1292&gt;'Config_v6'!$B$13,W1292="WATCH"),5,IF(Y1292="PASS",1,MIN(5,MAX('Config_v6'!$B$42,U1292)+IF(W1292="PENALTY",1,0))))))</x:f>
      </x:c>
      <x:c r="AA1292" s="2" t="str">
        <x:f>IF(B1292="","",IF(I1292&lt;&gt;"READY","NOT RELEASED",IF(Z1292=5,"NO BET",IF(OR(AB1292&lt;'Config_v6'!$B$16,V1292&lt;'Config_v6'!$B$18),"WATCH",IF(Z1292=1,"DEFENSIV",IF(Z1292=2,"PRUDENT",IF(Z1292=3,"MODERAT","RIDICAT")))))))</x:f>
      </x:c>
      <x:c r="AB1292" s="10" t="str">
        <x:f>IF(N1292="","",MIN(N1292,1-S1292))</x:f>
      </x:c>
      <x:c r="AC1292" s="2" t="str">
        <x:f>IF(AD1292&lt;&gt;1,"",COUNTIFS($Z$1280:$Z$1293,"&lt;"&amp;Z1292,$AD$1280:$AD$1293,1)+COUNTIFS($Z$1280:$Z$1293,Z1292,$AB$1280:$AB$1293,"&gt;"&amp;AB1292,$AD$1280:$AD$1293,1)+COUNTIFS($Z$1280:$Z$1293,Z1292,$AB$1280:$AB$1293,AB1292,$V$1280:$V$1293,"&gt;"&amp;V1292,$AD$1280:$AD$1293,1)+COUNTIFS($Z$1280:Z1292,Z1292,$AB$1280:AB1292,AB1292,$V$1280:V1292,V1292,$AD$1280:AD1292,1))</x:f>
      </x:c>
      <x:c r="AD1292" s="2" t="n">
        <x:f>IF(OR(AA1292="DEFENSIV",AA1292="PRUDENT",AA1292="MODERAT",AA1292="RIDICAT"),1,0)</x:f>
        <x:v>0</x:v>
      </x:c>
      <x:c r="AE1292" s="2" t="str">
        <x:f>IF(AD1292&lt;&gt;1,"NO",IF(W1292="PASS","YES",IF(W1292="OOS PENDING","CONDITIONAL","NO")))</x:f>
        <x:v>NO</x:v>
      </x:c>
      <x:c r="AF1292" s="2" t="n">
        <x:f>IF(AND(AD1292=1,AC1292=1,E1292="LIVE"),1,0)</x:f>
        <x:v>0</x:v>
      </x:c>
      <x:c r="AG1292" s="2" t="str">
        <x:f>IF(AF1292&lt;&gt;1,"",'Dashboard'!P117)</x:f>
      </x:c>
      <x:c r="AH1292" s="2" t="str">
        <x:f>IF(B1292="","",IF(J1292&lt;&gt;"PASS",'Motor_Meciuri'!J97,IF('Calibrare_Linii'!U18&lt;&gt;"VALID","Parametri linie invalizi",IF(L1292&gt;'Config_v6'!$B$13,"Dispersie peste limita",IF(W1292="WATCH","Failure peste limita",IF(AB1292&lt;'Config_v6'!$B$16,"P finala sub prag",IF(V1292&lt;'Config_v6'!$B$18,"Confidence sub prag",IF(E1292="REPLAY","Exemplu retrospectiv; exclus din Top LIVE",IF(Y1292="PASS","DEFENSIV validat",IF(W1292="OOS PENDING","Eligibil; calibrare linie in monitorizare","Eligibil"))))))))))</x:f>
      </x:c>
      <x:c r="AI1292" s="2" t="str">
        <x:f>IF(B1292="","",'Calibrare_Linii'!V18)</x:f>
      </x:c>
      <x:c r="AJ1292" s="2" t="str">
        <x:f>IF(B1292="","",IF(AND('Calibrare_Linii'!T18="VALIDATED",AND('Calibrare_Linii'!H18=C1292,ISNUMBER('Calibrare_Linii'!J18),'Calibrare_Linii'!J18&lt;='Input_Meci'!G97)),"DEFENSIVE VALIDATED",IF(AND('Calibrare_Linii'!S18="VALIDATED",AND('Calibrare_Linii'!H18=C1292,ISNUMBER('Calibrare_Linii'!J18),'Calibrare_Linii'!J18&lt;='Input_Meci'!G97)),"TAIL VALIDATED","OOS PENDING")))</x:f>
      </x:c>
      <x:c r="AK1292" s="2" t="n">
        <x:f>IF(J1292&lt;&gt;"PASS",0,'Motor_Meciuri'!BR97)</x:f>
        <x:v>0</x:v>
      </x:c>
      <x:c r="AL1292" s="2" t="n">
        <x:f>IF(J1292&lt;&gt;"PASS",0,'Motor_Meciuri'!BS97)</x:f>
        <x:v>0</x:v>
      </x:c>
      <x:c r="AM1292" s="2" t="n">
        <x:f>IF(J1292&lt;&gt;"PASS",0,'Motor_Meciuri'!BT97)</x:f>
        <x:v>0</x:v>
      </x:c>
      <x:c r="AN1292" s="2" t="str">
        <x:f>IF(M1292="","",MAX(0,'Motor_Meciuri'!BF97-IF(L1292&gt;'Config_v6'!$B$12,'Config_v6'!$B$37,IF(L1292&gt;'Config_v6'!$B$11,'Config_v6'!$B$36,0))))</x:f>
      </x:c>
    </x:row>
    <x:row r="1293" ht="21" customHeight="1">
      <x:c r="A1293" s="2" t="n">
        <x:v>92</x:v>
      </x:c>
      <x:c r="B1293" s="2" t="str">
        <x:f>IF('Motor_Meciuri'!A97="","",'Motor_Meciuri'!A97)</x:f>
      </x:c>
      <x:c r="C1293" s="2" t="str">
        <x:f>IF(B1293="","",'Motor_Meciuri'!B97)</x:f>
      </x:c>
      <x:c r="D1293" s="2" t="str">
        <x:f>IF(B1293="","",'Motor_Meciuri'!D97)</x:f>
      </x:c>
      <x:c r="E1293" s="2" t="str">
        <x:f>IF(B1293="","",'Motor_Meciuri'!E97)</x:f>
      </x:c>
      <x:c r="F1293" s="2" t="str">
        <x:v>U17,5</x:v>
      </x:c>
      <x:c r="G1293" s="2" t="str">
        <x:v>UNDER</x:v>
      </x:c>
      <x:c r="H1293" s="2" t="n">
        <x:v>17</x:v>
      </x:c>
      <x:c r="I1293" s="2" t="str">
        <x:f>IF(B1293="","",'Motor_Meciuri'!H97)</x:f>
      </x:c>
      <x:c r="J1293" s="2" t="str">
        <x:f>IF(B1293="","",'Motor_Meciuri'!I97)</x:f>
      </x:c>
      <x:c r="K1293" s="11" t="str">
        <x:f>IF(J1293&lt;&gt;"PASS","",'Motor_Meciuri'!BD97)</x:f>
      </x:c>
      <x:c r="L1293" s="11" t="str">
        <x:f>IF(J1293&lt;&gt;"PASS","",'Motor_Meciuri'!AU97)</x:f>
      </x:c>
      <x:c r="M1293" s="10" t="str">
        <x:f>IF(NOT(AND(J1293="PASS",'Calibrare_Linii'!U19="VALID")),"",'Distributie'!AO97)</x:f>
      </x:c>
      <x:c r="N1293" s="10" t="str">
        <x:f>IF(M1293="","",MAX(0.01,MIN(0.99,0.5+(M1293-0.5)*'Motor_Meciuri'!BG97*'Calibrare_Linii'!D19)))</x:f>
      </x:c>
      <x:c r="O1293" s="10" t="str">
        <x:f>IF(M1293="","",1-M1293)</x:f>
      </x:c>
      <x:c r="P1293" s="10" t="str">
        <x:f>IF(OR(NOT(AND(J1293="PASS",'Calibrare_Linii'!U19="VALID")),AK1293=0),""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*('Istoric_Nativ'!$Q$6:$Q$405&gt;H1293))/AK1293)</x:f>
      </x:c>
      <x:c r="Q1293" s="10" t="str">
        <x:f>IF(OR(NOT(AND(J1293="PASS",'Calibrare_Linii'!U19="VALID")),AL1293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M97)+((('Istoric_Nativ'!$E$6:$E$405='Input_Meci'!E97)+('Istoric_Nativ'!$F$6:$F$405='Input_Meci'!E97))&gt;0)*('Istoric_Nativ'!$D$6:$D$405&gt;='Motor_Meciuri'!BN97))&gt;0)*('Istoric_Nativ'!$Q$6:$Q$405&gt;H1293))/AL1293)</x:f>
      </x:c>
      <x:c r="R1293" s="10" t="str">
        <x:f>IF(OR(NOT(AND(J1293="PASS",'Calibrare_Linii'!U19="VALID")),AM1293=0),""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'Motor_Meciuri'!BO97)+((('Istoric_Nativ'!$E$6:$E$405='Input_Meci'!E97)+('Istoric_Nativ'!$F$6:$F$405='Input_Meci'!E97))&gt;0)*('Istoric_Nativ'!$D$6:$D$405&gt;='Motor_Meciuri'!BP97))&gt;0)*('Istoric_Nativ'!$Q$6:$Q$405&gt;H1293))/AM1293)</x:f>
      </x:c>
      <x:c r="S1293" s="10" t="str">
        <x:f>IF(M1293="","",MAX(O1293,P1293,Q1293,R1293))</x:f>
      </x:c>
      <x:c r="T1293" s="11" t="str">
        <x:f>IF(M1293="","",MIN(100,S1293*100*'Config_v6'!$B$44+MIN(100,L1293/'Config_v6'!$B$13*100)*'Config_v6'!$B$45+(100-'Motor_Meciuri'!BF97)*'Config_v6'!$B$46+'Motor_Meciuri'!BH97*100*'Config_v6'!$B$47))</x:f>
      </x:c>
      <x:c r="U1293" s="2" t="str">
        <x:f>IF(T1293="","",IF(T1293&lt;=20,1,IF(T1293&lt;=40,2,IF(T1293&lt;=60,3,IF(T1293&lt;=80,4,5)))))</x:f>
      </x:c>
      <x:c r="V1293" s="2" t="str">
        <x:f>IF(M1293="","",MAX(0,'Motor_Meciuri'!BF97-IF(W1293="OOS PENDING",'Config_v6'!$B$35,0)-IF(L1293&gt;'Config_v6'!$B$12,'Config_v6'!$B$37,IF(L1293&gt;'Config_v6'!$B$11,'Config_v6'!$B$36,0))))</x:f>
      </x:c>
      <x:c r="W1293" s="2" t="str">
        <x:f>IF(B1293="","",IF(I1293&lt;&gt;"READY","NOT RELEASED",IF(NOT(AND(J1293="PASS",'Calibrare_Linii'!U19="VALID")),"INVALID",IF(NOT(AND('Calibrare_Linii'!S19="VALIDATED",AND('Calibrare_Linii'!H19=C1293,ISNUMBER('Calibrare_Linii'!J19),'Calibrare_Linii'!J19&lt;='Input_Meci'!G97))),"OOS PENDING",IF(S1293&lt;='Calibrare_Linii'!E19,"PASS",IF(S1293&lt;='Calibrare_Linii'!F19,"PENALTY","WATCH"))))))</x:f>
      </x:c>
      <x:c r="X1293" s="2" t="str">
        <x:f>IF(M1293="","",IF(AND(AND(J1293="PASS",'Calibrare_Linii'!U19="VALID"),'Motor_Meciuri'!K97=12,'Motor_Meciuri'!L97=12,'Motor_Meciuri'!M97="NO",'Motor_Meciuri'!BL97='Motor_Meciuri'!C97,AB1293&gt;='Config_v6'!$B$50,AN1293&gt;='Config_v6'!$B$51,T1293&lt;='Config_v6'!$B$52,L1293&lt;='Config_v6'!$B$53,ISNUMBER('Calibrare_Linii'!E19),S1293&lt;='Calibrare_Linii'!E19,SUM(AK1293:AM1293)&gt;0),"CANDIDATE","NO"))</x:f>
      </x:c>
      <x:c r="Y1293" s="2" t="str">
        <x:f>IF(B1293="","",IF(I1293&lt;&gt;"READY","NOT RELEASED",IF(AND(X1293="CANDIDATE",V1293&gt;='Config_v6'!$B$51,W1293="PASS",'Calibrare_Linii'!T19="VALIDATED",AND('Calibrare_Linii'!H19=C1293,ISNUMBER('Calibrare_Linii'!J19),'Calibrare_Linii'!J19&lt;='Input_Meci'!G97)),"PASS",IF(X1293="CANDIDATE","OOS PENDING","FAIL"))))</x:f>
      </x:c>
      <x:c r="Z1293" s="2" t="str">
        <x:f>IF(B1293="","",IF(I1293&lt;&gt;"READY","",IF(OR(NOT(AND(J1293="PASS",'Calibrare_Linii'!U19="VALID")),L1293&gt;'Config_v6'!$B$13,W1293="WATCH"),5,IF(Y1293="PASS",1,MIN(5,MAX('Config_v6'!$B$42,U1293)+IF(W1293="PENALTY",1,0))))))</x:f>
      </x:c>
      <x:c r="AA1293" s="2" t="str">
        <x:f>IF(B1293="","",IF(I1293&lt;&gt;"READY","NOT RELEASED",IF(Z1293=5,"NO BET",IF(OR(AB1293&lt;'Config_v6'!$B$16,V1293&lt;'Config_v6'!$B$18),"WATCH",IF(Z1293=1,"DEFENSIV",IF(Z1293=2,"PRUDENT",IF(Z1293=3,"MODERAT","RIDICAT")))))))</x:f>
      </x:c>
      <x:c r="AB1293" s="10" t="str">
        <x:f>IF(N1293="","",MIN(N1293,1-S1293))</x:f>
      </x:c>
      <x:c r="AC1293" s="2" t="str">
        <x:f>IF(AD1293&lt;&gt;1,"",COUNTIFS($Z$1280:$Z$1293,"&lt;"&amp;Z1293,$AD$1280:$AD$1293,1)+COUNTIFS($Z$1280:$Z$1293,Z1293,$AB$1280:$AB$1293,"&gt;"&amp;AB1293,$AD$1280:$AD$1293,1)+COUNTIFS($Z$1280:$Z$1293,Z1293,$AB$1280:$AB$1293,AB1293,$V$1280:$V$1293,"&gt;"&amp;V1293,$AD$1280:$AD$1293,1)+COUNTIFS($Z$1280:Z1293,Z1293,$AB$1280:AB1293,AB1293,$V$1280:V1293,V1293,$AD$1280:AD1293,1))</x:f>
      </x:c>
      <x:c r="AD1293" s="2" t="n">
        <x:f>IF(OR(AA1293="DEFENSIV",AA1293="PRUDENT",AA1293="MODERAT",AA1293="RIDICAT"),1,0)</x:f>
        <x:v>0</x:v>
      </x:c>
      <x:c r="AE1293" s="2" t="str">
        <x:f>IF(AD1293&lt;&gt;1,"NO",IF(W1293="PASS","YES",IF(W1293="OOS PENDING","CONDITIONAL","NO")))</x:f>
        <x:v>NO</x:v>
      </x:c>
      <x:c r="AF1293" s="2" t="n">
        <x:f>IF(AND(AD1293=1,AC1293=1,E1293="LIVE"),1,0)</x:f>
        <x:v>0</x:v>
      </x:c>
      <x:c r="AG1293" s="2" t="str">
        <x:f>IF(AF1293&lt;&gt;1,"",'Dashboard'!P117)</x:f>
      </x:c>
      <x:c r="AH1293" s="2" t="str">
        <x:f>IF(B1293="","",IF(J1293&lt;&gt;"PASS",'Motor_Meciuri'!J97,IF('Calibrare_Linii'!U19&lt;&gt;"VALID","Parametri linie invalizi",IF(L1293&gt;'Config_v6'!$B$13,"Dispersie peste limita",IF(W1293="WATCH","Failure peste limita",IF(AB1293&lt;'Config_v6'!$B$16,"P finala sub prag",IF(V1293&lt;'Config_v6'!$B$18,"Confidence sub prag",IF(E1293="REPLAY","Exemplu retrospectiv; exclus din Top LIVE",IF(Y1293="PASS","DEFENSIV validat",IF(W1293="OOS PENDING","Eligibil; calibrare linie in monitorizare","Eligibil"))))))))))</x:f>
      </x:c>
      <x:c r="AI1293" s="2" t="str">
        <x:f>IF(B1293="","",'Calibrare_Linii'!V19)</x:f>
      </x:c>
      <x:c r="AJ1293" s="2" t="str">
        <x:f>IF(B1293="","",IF(AND('Calibrare_Linii'!T19="VALIDATED",AND('Calibrare_Linii'!H19=C1293,ISNUMBER('Calibrare_Linii'!J19),'Calibrare_Linii'!J19&lt;='Input_Meci'!G97)),"DEFENSIVE VALIDATED",IF(AND('Calibrare_Linii'!S19="VALIDATED",AND('Calibrare_Linii'!H19=C1293,ISNUMBER('Calibrare_Linii'!J19),'Calibrare_Linii'!J19&lt;='Input_Meci'!G97)),"TAIL VALIDATED","OOS PENDING")))</x:f>
      </x:c>
      <x:c r="AK1293" s="2" t="n">
        <x:f>IF(J1293&lt;&gt;"PASS",0,'Motor_Meciuri'!BR97)</x:f>
        <x:v>0</x:v>
      </x:c>
      <x:c r="AL1293" s="2" t="n">
        <x:f>IF(J1293&lt;&gt;"PASS",0,'Motor_Meciuri'!BS97)</x:f>
        <x:v>0</x:v>
      </x:c>
      <x:c r="AM1293" s="2" t="n">
        <x:f>IF(J1293&lt;&gt;"PASS",0,'Motor_Meciuri'!BT97)</x:f>
        <x:v>0</x:v>
      </x:c>
      <x:c r="AN1293" s="2" t="str">
        <x:f>IF(M1293="","",MAX(0,'Motor_Meciuri'!BF97-IF(L1293&gt;'Config_v6'!$B$12,'Config_v6'!$B$37,IF(L1293&gt;'Config_v6'!$B$11,'Config_v6'!$B$36,0))))</x:f>
      </x:c>
    </x:row>
    <x:row r="1294" ht="21" customHeight="1">
      <x:c r="A1294" s="2" t="n">
        <x:v>93</x:v>
      </x:c>
      <x:c r="B1294" s="2" t="str">
        <x:f>IF('Motor_Meciuri'!A98="","",'Motor_Meciuri'!A98)</x:f>
      </x:c>
      <x:c r="C1294" s="2" t="str">
        <x:f>IF(B1294="","",'Motor_Meciuri'!B98)</x:f>
      </x:c>
      <x:c r="D1294" s="2" t="str">
        <x:f>IF(B1294="","",'Motor_Meciuri'!D98)</x:f>
      </x:c>
      <x:c r="E1294" s="2" t="str">
        <x:f>IF(B1294="","",'Motor_Meciuri'!E98)</x:f>
      </x:c>
      <x:c r="F1294" s="2" t="str">
        <x:v>O3,5</x:v>
      </x:c>
      <x:c r="G1294" s="2" t="str">
        <x:v>OVER</x:v>
      </x:c>
      <x:c r="H1294" s="2" t="n">
        <x:v>3</x:v>
      </x:c>
      <x:c r="I1294" s="2" t="str">
        <x:f>IF(B1294="","",'Motor_Meciuri'!H98)</x:f>
      </x:c>
      <x:c r="J1294" s="2" t="str">
        <x:f>IF(B1294="","",'Motor_Meciuri'!I98)</x:f>
      </x:c>
      <x:c r="K1294" s="11" t="str">
        <x:f>IF(J1294&lt;&gt;"PASS","",'Motor_Meciuri'!BD98)</x:f>
      </x:c>
      <x:c r="L1294" s="11" t="str">
        <x:f>IF(J1294&lt;&gt;"PASS","",'Motor_Meciuri'!AU98)</x:f>
      </x:c>
      <x:c r="M1294" s="10" t="str">
        <x:f>IF(NOT(AND(J1294="PASS",'Calibrare_Linii'!U6="VALID")),"",1-'Distributie'!AA98)</x:f>
      </x:c>
      <x:c r="N1294" s="10" t="str">
        <x:f>IF(M1294="","",MAX(0.01,MIN(0.99,0.5+(M1294-0.5)*'Motor_Meciuri'!BG98*'Calibrare_Linii'!D6)))</x:f>
      </x:c>
      <x:c r="O1294" s="10" t="str">
        <x:f>IF(M1294="","",1-M1294)</x:f>
      </x:c>
      <x:c r="P1294" s="10" t="str">
        <x:f>IF(OR(NOT(AND(J1294="PASS",'Calibrare_Linii'!U6="VALID")),AK1294=0),""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*('Istoric_Nativ'!$Q$6:$Q$405&lt;=H1294))/AK1294)</x:f>
      </x:c>
      <x:c r="Q1294" s="10" t="str">
        <x:f>IF(OR(NOT(AND(J1294="PASS",'Calibrare_Linii'!U6="VALID")),AL1294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M98)+((('Istoric_Nativ'!$E$6:$E$405='Input_Meci'!E98)+('Istoric_Nativ'!$F$6:$F$405='Input_Meci'!E98))&gt;0)*('Istoric_Nativ'!$D$6:$D$405&gt;='Motor_Meciuri'!BN98))&gt;0)*('Istoric_Nativ'!$Q$6:$Q$405&lt;=H1294))/AL1294)</x:f>
      </x:c>
      <x:c r="R1294" s="10" t="str">
        <x:f>IF(OR(NOT(AND(J1294="PASS",'Calibrare_Linii'!U6="VALID")),AM1294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O98)+((('Istoric_Nativ'!$E$6:$E$405='Input_Meci'!E98)+('Istoric_Nativ'!$F$6:$F$405='Input_Meci'!E98))&gt;0)*('Istoric_Nativ'!$D$6:$D$405&gt;='Motor_Meciuri'!BP98))&gt;0)*('Istoric_Nativ'!$Q$6:$Q$405&lt;=H1294))/AM1294)</x:f>
      </x:c>
      <x:c r="S1294" s="10" t="str">
        <x:f>IF(M1294="","",MAX(O1294,P1294,Q1294,R1294))</x:f>
      </x:c>
      <x:c r="T1294" s="11" t="str">
        <x:f>IF(M1294="","",MIN(100,S1294*100*'Config_v6'!$B$44+MIN(100,L1294/'Config_v6'!$B$13*100)*'Config_v6'!$B$45+(100-'Motor_Meciuri'!BF98)*'Config_v6'!$B$46+'Motor_Meciuri'!BH98*100*'Config_v6'!$B$47))</x:f>
      </x:c>
      <x:c r="U1294" s="2" t="str">
        <x:f>IF(T1294="","",IF(T1294&lt;=20,1,IF(T1294&lt;=40,2,IF(T1294&lt;=60,3,IF(T1294&lt;=80,4,5)))))</x:f>
      </x:c>
      <x:c r="V1294" s="2" t="str">
        <x:f>IF(M1294="","",MAX(0,'Motor_Meciuri'!BF98-IF(W1294="OOS PENDING",'Config_v6'!$B$35,0)-IF(L1294&gt;'Config_v6'!$B$12,'Config_v6'!$B$37,IF(L1294&gt;'Config_v6'!$B$11,'Config_v6'!$B$36,0))))</x:f>
      </x:c>
      <x:c r="W1294" s="2" t="str">
        <x:f>IF(B1294="","",IF(I1294&lt;&gt;"READY","NOT RELEASED",IF(NOT(AND(J1294="PASS",'Calibrare_Linii'!U6="VALID")),"INVALID",IF(NOT(TRUE),"OOS PENDING",IF(S1294&lt;=IF(AND('Calibrare_Linii'!S6="VALIDATED",AND('Calibrare_Linii'!H6=C1294,ISNUMBER('Calibrare_Linii'!J6),'Calibrare_Linii'!J6&lt;='Input_Meci'!G98)),'Calibrare_Linii'!E6,'Config_v6'!$B$26),"PASS",IF(S1294&lt;=IF(AND('Calibrare_Linii'!S6="VALIDATED",AND('Calibrare_Linii'!H6=C1294,ISNUMBER('Calibrare_Linii'!J6),'Calibrare_Linii'!J6&lt;='Input_Meci'!G98)),'Calibrare_Linii'!F6,'Config_v6'!$C$26),"PENALTY","WATCH"))))))</x:f>
      </x:c>
      <x:c r="X1294" s="2" t="str">
        <x:f>IF(M1294="","",IF(AND(AND(J1294="PASS",'Calibrare_Linii'!U6="VALID"),'Motor_Meciuri'!K98=12,'Motor_Meciuri'!L98=12,'Motor_Meciuri'!M98="NO",'Motor_Meciuri'!BL98='Motor_Meciuri'!C98,AB1294&gt;='Config_v6'!$B$50,AN1294&gt;='Config_v6'!$B$51,T1294&lt;='Config_v6'!$B$52,L1294&lt;='Config_v6'!$B$53,ISNUMBER('Calibrare_Linii'!E6),S1294&lt;='Calibrare_Linii'!E6,SUM(AK1294:AM1294)&gt;0),"CANDIDATE","NO"))</x:f>
      </x:c>
      <x:c r="Y1294" s="2" t="str">
        <x:f>IF(B1294="","",IF(I1294&lt;&gt;"READY","NOT RELEASED",IF(AND(X1294="CANDIDATE",V1294&gt;='Config_v6'!$B$51,W1294="PASS",'Calibrare_Linii'!T6="VALIDATED",AND('Calibrare_Linii'!H6=C1294,ISNUMBER('Calibrare_Linii'!J6),'Calibrare_Linii'!J6&lt;='Input_Meci'!G98)),"PASS",IF(X1294="CANDIDATE","OOS PENDING","FAIL"))))</x:f>
      </x:c>
      <x:c r="Z1294" s="2" t="str">
        <x:f>IF(B1294="","",IF(I1294&lt;&gt;"READY","",IF(OR(NOT(AND(J1294="PASS",'Calibrare_Linii'!U6="VALID")),L1294&gt;'Config_v6'!$B$13,W1294="WATCH"),5,IF(Y1294="PASS",1,MIN(5,MAX('Config_v6'!$B$42,U1294)+IF(W1294="PENALTY",1,0))))))</x:f>
      </x:c>
      <x:c r="AA1294" s="2" t="str">
        <x:f>IF(B1294="","",IF(I1294&lt;&gt;"READY","NOT RELEASED",IF(Z1294=5,"NO BET",IF(OR(AB1294&lt;'Config_v6'!$B$16,V1294&lt;'Config_v6'!$B$18),"WATCH",IF(Z1294=1,"DEFENSIV",IF(Z1294=2,"PRUDENT",IF(Z1294=3,"MODERAT","RIDICAT")))))))</x:f>
      </x:c>
      <x:c r="AB1294" s="10" t="str">
        <x:f>IF(N1294="","",MIN(N1294,1-S1294))</x:f>
      </x:c>
      <x:c r="AC1294" s="2" t="str">
        <x:f>IF(AD1294&lt;&gt;1,"",COUNTIFS($Z$1294:$Z$1307,"&lt;"&amp;Z1294,$AD$1294:$AD$1307,1)+COUNTIFS($Z$1294:$Z$1307,Z1294,$AB$1294:$AB$1307,"&gt;"&amp;AB1294,$AD$1294:$AD$1307,1)+COUNTIFS($Z$1294:$Z$1307,Z1294,$AB$1294:$AB$1307,AB1294,$V$1294:$V$1307,"&gt;"&amp;V1294,$AD$1294:$AD$1307,1)+COUNTIFS($Z$1294:Z1294,Z1294,$AB$1294:AB1294,AB1294,$V$1294:V1294,V1294,$AD$1294:AD1294,1))</x:f>
      </x:c>
      <x:c r="AD1294" s="2" t="n">
        <x:f>IF(OR(AA1294="DEFENSIV",AA1294="PRUDENT",AA1294="MODERAT",AA1294="RIDICAT"),1,0)</x:f>
        <x:v>0</x:v>
      </x:c>
      <x:c r="AE1294" s="2" t="str">
        <x:f>IF(AD1294&lt;&gt;1,"NO",IF(W1294="PASS","YES",IF(W1294="OOS PENDING","CONDITIONAL","NO")))</x:f>
        <x:v>NO</x:v>
      </x:c>
      <x:c r="AF1294" s="2" t="n">
        <x:f>IF(AND(AD1294=1,AC1294=1,E1294="LIVE"),1,0)</x:f>
        <x:v>0</x:v>
      </x:c>
      <x:c r="AG1294" s="2" t="str">
        <x:f>IF(AF1294&lt;&gt;1,"",'Dashboard'!P118)</x:f>
      </x:c>
      <x:c r="AH1294" s="2" t="str">
        <x:f>IF(B1294="","",IF(J1294&lt;&gt;"PASS",'Motor_Meciuri'!J98,IF('Calibrare_Linii'!U6&lt;&gt;"VALID","Parametri linie invalizi",IF(L1294&gt;'Config_v6'!$B$13,"Dispersie peste limita",IF(W1294="WATCH","Failure peste limita",IF(AB1294&lt;'Config_v6'!$B$16,"P finala sub prag",IF(V1294&lt;'Config_v6'!$B$18,"Confidence sub prag",IF(E1294="REPLAY","Exemplu retrospectiv; exclus din Top LIVE",IF(Y1294="PASS","DEFENSIV validat",IF(W1294="OOS PENDING","Eligibil; calibrare linie in monitorizare","Eligibil"))))))))))</x:f>
      </x:c>
      <x:c r="AI1294" s="2" t="str">
        <x:f>IF(B1294="","",'Calibrare_Linii'!V6)</x:f>
      </x:c>
      <x:c r="AJ1294" s="2" t="str">
        <x:f>IF(B1294="","",IF(AND('Calibrare_Linii'!T6="VALIDATED",AND('Calibrare_Linii'!H6=C1294,ISNUMBER('Calibrare_Linii'!J6),'Calibrare_Linii'!J6&lt;='Input_Meci'!G98)),"DEFENSIVE VALIDATED",IF(AND('Calibrare_Linii'!S6="VALIDATED",AND('Calibrare_Linii'!H6=C1294,ISNUMBER('Calibrare_Linii'!J6),'Calibrare_Linii'!J6&lt;='Input_Meci'!G98)),"TAIL VALIDATED","OOS PENDING")))</x:f>
      </x:c>
      <x:c r="AK1294" s="2" t="n">
        <x:f>IF(J1294&lt;&gt;"PASS",0,'Motor_Meciuri'!BR98)</x:f>
        <x:v>0</x:v>
      </x:c>
      <x:c r="AL1294" s="2" t="n">
        <x:f>IF(J1294&lt;&gt;"PASS",0,'Motor_Meciuri'!BS98)</x:f>
        <x:v>0</x:v>
      </x:c>
      <x:c r="AM1294" s="2" t="n">
        <x:f>IF(J1294&lt;&gt;"PASS",0,'Motor_Meciuri'!BT98)</x:f>
        <x:v>0</x:v>
      </x:c>
      <x:c r="AN1294" s="2" t="str">
        <x:f>IF(M1294="","",MAX(0,'Motor_Meciuri'!BF98-IF(L1294&gt;'Config_v6'!$B$12,'Config_v6'!$B$37,IF(L1294&gt;'Config_v6'!$B$11,'Config_v6'!$B$36,0))))</x:f>
      </x:c>
    </x:row>
    <x:row r="1295" ht="21" customHeight="1">
      <x:c r="A1295" s="2" t="n">
        <x:v>93</x:v>
      </x:c>
      <x:c r="B1295" s="2" t="str">
        <x:f>IF('Motor_Meciuri'!A98="","",'Motor_Meciuri'!A98)</x:f>
      </x:c>
      <x:c r="C1295" s="2" t="str">
        <x:f>IF(B1295="","",'Motor_Meciuri'!B98)</x:f>
      </x:c>
      <x:c r="D1295" s="2" t="str">
        <x:f>IF(B1295="","",'Motor_Meciuri'!D98)</x:f>
      </x:c>
      <x:c r="E1295" s="2" t="str">
        <x:f>IF(B1295="","",'Motor_Meciuri'!E98)</x:f>
      </x:c>
      <x:c r="F1295" s="2" t="str">
        <x:v>O4,5</x:v>
      </x:c>
      <x:c r="G1295" s="2" t="str">
        <x:v>OVER</x:v>
      </x:c>
      <x:c r="H1295" s="2" t="n">
        <x:v>4</x:v>
      </x:c>
      <x:c r="I1295" s="2" t="str">
        <x:f>IF(B1295="","",'Motor_Meciuri'!H98)</x:f>
      </x:c>
      <x:c r="J1295" s="2" t="str">
        <x:f>IF(B1295="","",'Motor_Meciuri'!I98)</x:f>
      </x:c>
      <x:c r="K1295" s="11" t="str">
        <x:f>IF(J1295&lt;&gt;"PASS","",'Motor_Meciuri'!BD98)</x:f>
      </x:c>
      <x:c r="L1295" s="11" t="str">
        <x:f>IF(J1295&lt;&gt;"PASS","",'Motor_Meciuri'!AU98)</x:f>
      </x:c>
      <x:c r="M1295" s="10" t="str">
        <x:f>IF(NOT(AND(J1295="PASS",'Calibrare_Linii'!U7="VALID")),"",1-'Distributie'!AB98)</x:f>
      </x:c>
      <x:c r="N1295" s="10" t="str">
        <x:f>IF(M1295="","",MAX(0.01,MIN(0.99,0.5+(M1295-0.5)*'Motor_Meciuri'!BG98*'Calibrare_Linii'!D7)))</x:f>
      </x:c>
      <x:c r="O1295" s="10" t="str">
        <x:f>IF(M1295="","",1-M1295)</x:f>
      </x:c>
      <x:c r="P1295" s="10" t="str">
        <x:f>IF(OR(NOT(AND(J1295="PASS",'Calibrare_Linii'!U7="VALID")),AK1295=0),""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*('Istoric_Nativ'!$Q$6:$Q$405&lt;=H1295))/AK1295)</x:f>
      </x:c>
      <x:c r="Q1295" s="10" t="str">
        <x:f>IF(OR(NOT(AND(J1295="PASS",'Calibrare_Linii'!U7="VALID")),AL1295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M98)+((('Istoric_Nativ'!$E$6:$E$405='Input_Meci'!E98)+('Istoric_Nativ'!$F$6:$F$405='Input_Meci'!E98))&gt;0)*('Istoric_Nativ'!$D$6:$D$405&gt;='Motor_Meciuri'!BN98))&gt;0)*('Istoric_Nativ'!$Q$6:$Q$405&lt;=H1295))/AL1295)</x:f>
      </x:c>
      <x:c r="R1295" s="10" t="str">
        <x:f>IF(OR(NOT(AND(J1295="PASS",'Calibrare_Linii'!U7="VALID")),AM1295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O98)+((('Istoric_Nativ'!$E$6:$E$405='Input_Meci'!E98)+('Istoric_Nativ'!$F$6:$F$405='Input_Meci'!E98))&gt;0)*('Istoric_Nativ'!$D$6:$D$405&gt;='Motor_Meciuri'!BP98))&gt;0)*('Istoric_Nativ'!$Q$6:$Q$405&lt;=H1295))/AM1295)</x:f>
      </x:c>
      <x:c r="S1295" s="10" t="str">
        <x:f>IF(M1295="","",MAX(O1295,P1295,Q1295,R1295))</x:f>
      </x:c>
      <x:c r="T1295" s="11" t="str">
        <x:f>IF(M1295="","",MIN(100,S1295*100*'Config_v6'!$B$44+MIN(100,L1295/'Config_v6'!$B$13*100)*'Config_v6'!$B$45+(100-'Motor_Meciuri'!BF98)*'Config_v6'!$B$46+'Motor_Meciuri'!BH98*100*'Config_v6'!$B$47))</x:f>
      </x:c>
      <x:c r="U1295" s="2" t="str">
        <x:f>IF(T1295="","",IF(T1295&lt;=20,1,IF(T1295&lt;=40,2,IF(T1295&lt;=60,3,IF(T1295&lt;=80,4,5)))))</x:f>
      </x:c>
      <x:c r="V1295" s="2" t="str">
        <x:f>IF(M1295="","",MAX(0,'Motor_Meciuri'!BF98-IF(W1295="OOS PENDING",'Config_v6'!$B$35,0)-IF(L1295&gt;'Config_v6'!$B$12,'Config_v6'!$B$37,IF(L1295&gt;'Config_v6'!$B$11,'Config_v6'!$B$36,0))))</x:f>
      </x:c>
      <x:c r="W1295" s="2" t="str">
        <x:f>IF(B1295="","",IF(I1295&lt;&gt;"READY","NOT RELEASED",IF(NOT(AND(J1295="PASS",'Calibrare_Linii'!U7="VALID")),"INVALID",IF(NOT(AND('Calibrare_Linii'!S7="VALIDATED",AND('Calibrare_Linii'!H7=C1295,ISNUMBER('Calibrare_Linii'!J7),'Calibrare_Linii'!J7&lt;='Input_Meci'!G98))),"OOS PENDING",IF(S1295&lt;='Calibrare_Linii'!E7,"PASS",IF(S1295&lt;='Calibrare_Linii'!F7,"PENALTY","WATCH"))))))</x:f>
      </x:c>
      <x:c r="X1295" s="2" t="str">
        <x:f>IF(M1295="","",IF(AND(AND(J1295="PASS",'Calibrare_Linii'!U7="VALID"),'Motor_Meciuri'!K98=12,'Motor_Meciuri'!L98=12,'Motor_Meciuri'!M98="NO",'Motor_Meciuri'!BL98='Motor_Meciuri'!C98,AB1295&gt;='Config_v6'!$B$50,AN1295&gt;='Config_v6'!$B$51,T1295&lt;='Config_v6'!$B$52,L1295&lt;='Config_v6'!$B$53,ISNUMBER('Calibrare_Linii'!E7),S1295&lt;='Calibrare_Linii'!E7,SUM(AK1295:AM1295)&gt;0),"CANDIDATE","NO"))</x:f>
      </x:c>
      <x:c r="Y1295" s="2" t="str">
        <x:f>IF(B1295="","",IF(I1295&lt;&gt;"READY","NOT RELEASED",IF(AND(X1295="CANDIDATE",V1295&gt;='Config_v6'!$B$51,W1295="PASS",'Calibrare_Linii'!T7="VALIDATED",AND('Calibrare_Linii'!H7=C1295,ISNUMBER('Calibrare_Linii'!J7),'Calibrare_Linii'!J7&lt;='Input_Meci'!G98)),"PASS",IF(X1295="CANDIDATE","OOS PENDING","FAIL"))))</x:f>
      </x:c>
      <x:c r="Z1295" s="2" t="str">
        <x:f>IF(B1295="","",IF(I1295&lt;&gt;"READY","",IF(OR(NOT(AND(J1295="PASS",'Calibrare_Linii'!U7="VALID")),L1295&gt;'Config_v6'!$B$13,W1295="WATCH"),5,IF(Y1295="PASS",1,MIN(5,MAX('Config_v6'!$B$42,U1295)+IF(W1295="PENALTY",1,0))))))</x:f>
      </x:c>
      <x:c r="AA1295" s="2" t="str">
        <x:f>IF(B1295="","",IF(I1295&lt;&gt;"READY","NOT RELEASED",IF(Z1295=5,"NO BET",IF(OR(AB1295&lt;'Config_v6'!$B$16,V1295&lt;'Config_v6'!$B$18),"WATCH",IF(Z1295=1,"DEFENSIV",IF(Z1295=2,"PRUDENT",IF(Z1295=3,"MODERAT","RIDICAT")))))))</x:f>
      </x:c>
      <x:c r="AB1295" s="10" t="str">
        <x:f>IF(N1295="","",MIN(N1295,1-S1295))</x:f>
      </x:c>
      <x:c r="AC1295" s="2" t="str">
        <x:f>IF(AD1295&lt;&gt;1,"",COUNTIFS($Z$1294:$Z$1307,"&lt;"&amp;Z1295,$AD$1294:$AD$1307,1)+COUNTIFS($Z$1294:$Z$1307,Z1295,$AB$1294:$AB$1307,"&gt;"&amp;AB1295,$AD$1294:$AD$1307,1)+COUNTIFS($Z$1294:$Z$1307,Z1295,$AB$1294:$AB$1307,AB1295,$V$1294:$V$1307,"&gt;"&amp;V1295,$AD$1294:$AD$1307,1)+COUNTIFS($Z$1294:Z1295,Z1295,$AB$1294:AB1295,AB1295,$V$1294:V1295,V1295,$AD$1294:AD1295,1))</x:f>
      </x:c>
      <x:c r="AD1295" s="2" t="n">
        <x:f>IF(OR(AA1295="DEFENSIV",AA1295="PRUDENT",AA1295="MODERAT",AA1295="RIDICAT"),1,0)</x:f>
        <x:v>0</x:v>
      </x:c>
      <x:c r="AE1295" s="2" t="str">
        <x:f>IF(AD1295&lt;&gt;1,"NO",IF(W1295="PASS","YES",IF(W1295="OOS PENDING","CONDITIONAL","NO")))</x:f>
        <x:v>NO</x:v>
      </x:c>
      <x:c r="AF1295" s="2" t="n">
        <x:f>IF(AND(AD1295=1,AC1295=1,E1295="LIVE"),1,0)</x:f>
        <x:v>0</x:v>
      </x:c>
      <x:c r="AG1295" s="2" t="str">
        <x:f>IF(AF1295&lt;&gt;1,"",'Dashboard'!P118)</x:f>
      </x:c>
      <x:c r="AH1295" s="2" t="str">
        <x:f>IF(B1295="","",IF(J1295&lt;&gt;"PASS",'Motor_Meciuri'!J98,IF('Calibrare_Linii'!U7&lt;&gt;"VALID","Parametri linie invalizi",IF(L1295&gt;'Config_v6'!$B$13,"Dispersie peste limita",IF(W1295="WATCH","Failure peste limita",IF(AB1295&lt;'Config_v6'!$B$16,"P finala sub prag",IF(V1295&lt;'Config_v6'!$B$18,"Confidence sub prag",IF(E1295="REPLAY","Exemplu retrospectiv; exclus din Top LIVE",IF(Y1295="PASS","DEFENSIV validat",IF(W1295="OOS PENDING","Eligibil; calibrare linie in monitorizare","Eligibil"))))))))))</x:f>
      </x:c>
      <x:c r="AI1295" s="2" t="str">
        <x:f>IF(B1295="","",'Calibrare_Linii'!V7)</x:f>
      </x:c>
      <x:c r="AJ1295" s="2" t="str">
        <x:f>IF(B1295="","",IF(AND('Calibrare_Linii'!T7="VALIDATED",AND('Calibrare_Linii'!H7=C1295,ISNUMBER('Calibrare_Linii'!J7),'Calibrare_Linii'!J7&lt;='Input_Meci'!G98)),"DEFENSIVE VALIDATED",IF(AND('Calibrare_Linii'!S7="VALIDATED",AND('Calibrare_Linii'!H7=C1295,ISNUMBER('Calibrare_Linii'!J7),'Calibrare_Linii'!J7&lt;='Input_Meci'!G98)),"TAIL VALIDATED","OOS PENDING")))</x:f>
      </x:c>
      <x:c r="AK1295" s="2" t="n">
        <x:f>IF(J1295&lt;&gt;"PASS",0,'Motor_Meciuri'!BR98)</x:f>
        <x:v>0</x:v>
      </x:c>
      <x:c r="AL1295" s="2" t="n">
        <x:f>IF(J1295&lt;&gt;"PASS",0,'Motor_Meciuri'!BS98)</x:f>
        <x:v>0</x:v>
      </x:c>
      <x:c r="AM1295" s="2" t="n">
        <x:f>IF(J1295&lt;&gt;"PASS",0,'Motor_Meciuri'!BT98)</x:f>
        <x:v>0</x:v>
      </x:c>
      <x:c r="AN1295" s="2" t="str">
        <x:f>IF(M1295="","",MAX(0,'Motor_Meciuri'!BF98-IF(L1295&gt;'Config_v6'!$B$12,'Config_v6'!$B$37,IF(L1295&gt;'Config_v6'!$B$11,'Config_v6'!$B$36,0))))</x:f>
      </x:c>
    </x:row>
    <x:row r="1296" ht="21" customHeight="1">
      <x:c r="A1296" s="2" t="n">
        <x:v>93</x:v>
      </x:c>
      <x:c r="B1296" s="2" t="str">
        <x:f>IF('Motor_Meciuri'!A98="","",'Motor_Meciuri'!A98)</x:f>
      </x:c>
      <x:c r="C1296" s="2" t="str">
        <x:f>IF(B1296="","",'Motor_Meciuri'!B98)</x:f>
      </x:c>
      <x:c r="D1296" s="2" t="str">
        <x:f>IF(B1296="","",'Motor_Meciuri'!D98)</x:f>
      </x:c>
      <x:c r="E1296" s="2" t="str">
        <x:f>IF(B1296="","",'Motor_Meciuri'!E98)</x:f>
      </x:c>
      <x:c r="F1296" s="2" t="str">
        <x:v>O5,5</x:v>
      </x:c>
      <x:c r="G1296" s="2" t="str">
        <x:v>OVER</x:v>
      </x:c>
      <x:c r="H1296" s="2" t="n">
        <x:v>5</x:v>
      </x:c>
      <x:c r="I1296" s="2" t="str">
        <x:f>IF(B1296="","",'Motor_Meciuri'!H98)</x:f>
      </x:c>
      <x:c r="J1296" s="2" t="str">
        <x:f>IF(B1296="","",'Motor_Meciuri'!I98)</x:f>
      </x:c>
      <x:c r="K1296" s="11" t="str">
        <x:f>IF(J1296&lt;&gt;"PASS","",'Motor_Meciuri'!BD98)</x:f>
      </x:c>
      <x:c r="L1296" s="11" t="str">
        <x:f>IF(J1296&lt;&gt;"PASS","",'Motor_Meciuri'!AU98)</x:f>
      </x:c>
      <x:c r="M1296" s="10" t="str">
        <x:f>IF(NOT(AND(J1296="PASS",'Calibrare_Linii'!U8="VALID")),"",1-'Distributie'!AC98)</x:f>
      </x:c>
      <x:c r="N1296" s="10" t="str">
        <x:f>IF(M1296="","",MAX(0.01,MIN(0.99,0.5+(M1296-0.5)*'Motor_Meciuri'!BG98*'Calibrare_Linii'!D8)))</x:f>
      </x:c>
      <x:c r="O1296" s="10" t="str">
        <x:f>IF(M1296="","",1-M1296)</x:f>
      </x:c>
      <x:c r="P1296" s="10" t="str">
        <x:f>IF(OR(NOT(AND(J1296="PASS",'Calibrare_Linii'!U8="VALID")),AK1296=0),""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*('Istoric_Nativ'!$Q$6:$Q$405&lt;=H1296))/AK1296)</x:f>
      </x:c>
      <x:c r="Q1296" s="10" t="str">
        <x:f>IF(OR(NOT(AND(J1296="PASS",'Calibrare_Linii'!U8="VALID")),AL1296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M98)+((('Istoric_Nativ'!$E$6:$E$405='Input_Meci'!E98)+('Istoric_Nativ'!$F$6:$F$405='Input_Meci'!E98))&gt;0)*('Istoric_Nativ'!$D$6:$D$405&gt;='Motor_Meciuri'!BN98))&gt;0)*('Istoric_Nativ'!$Q$6:$Q$405&lt;=H1296))/AL1296)</x:f>
      </x:c>
      <x:c r="R1296" s="10" t="str">
        <x:f>IF(OR(NOT(AND(J1296="PASS",'Calibrare_Linii'!U8="VALID")),AM1296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O98)+((('Istoric_Nativ'!$E$6:$E$405='Input_Meci'!E98)+('Istoric_Nativ'!$F$6:$F$405='Input_Meci'!E98))&gt;0)*('Istoric_Nativ'!$D$6:$D$405&gt;='Motor_Meciuri'!BP98))&gt;0)*('Istoric_Nativ'!$Q$6:$Q$405&lt;=H1296))/AM1296)</x:f>
      </x:c>
      <x:c r="S1296" s="10" t="str">
        <x:f>IF(M1296="","",MAX(O1296,P1296,Q1296,R1296))</x:f>
      </x:c>
      <x:c r="T1296" s="11" t="str">
        <x:f>IF(M1296="","",MIN(100,S1296*100*'Config_v6'!$B$44+MIN(100,L1296/'Config_v6'!$B$13*100)*'Config_v6'!$B$45+(100-'Motor_Meciuri'!BF98)*'Config_v6'!$B$46+'Motor_Meciuri'!BH98*100*'Config_v6'!$B$47))</x:f>
      </x:c>
      <x:c r="U1296" s="2" t="str">
        <x:f>IF(T1296="","",IF(T1296&lt;=20,1,IF(T1296&lt;=40,2,IF(T1296&lt;=60,3,IF(T1296&lt;=80,4,5)))))</x:f>
      </x:c>
      <x:c r="V1296" s="2" t="str">
        <x:f>IF(M1296="","",MAX(0,'Motor_Meciuri'!BF98-IF(W1296="OOS PENDING",'Config_v6'!$B$35,0)-IF(L1296&gt;'Config_v6'!$B$12,'Config_v6'!$B$37,IF(L1296&gt;'Config_v6'!$B$11,'Config_v6'!$B$36,0))))</x:f>
      </x:c>
      <x:c r="W1296" s="2" t="str">
        <x:f>IF(B1296="","",IF(I1296&lt;&gt;"READY","NOT RELEASED",IF(NOT(AND(J1296="PASS",'Calibrare_Linii'!U8="VALID")),"INVALID",IF(NOT(AND('Calibrare_Linii'!S8="VALIDATED",AND('Calibrare_Linii'!H8=C1296,ISNUMBER('Calibrare_Linii'!J8),'Calibrare_Linii'!J8&lt;='Input_Meci'!G98))),"OOS PENDING",IF(S1296&lt;='Calibrare_Linii'!E8,"PASS",IF(S1296&lt;='Calibrare_Linii'!F8,"PENALTY","WATCH"))))))</x:f>
      </x:c>
      <x:c r="X1296" s="2" t="str">
        <x:f>IF(M1296="","",IF(AND(AND(J1296="PASS",'Calibrare_Linii'!U8="VALID"),'Motor_Meciuri'!K98=12,'Motor_Meciuri'!L98=12,'Motor_Meciuri'!M98="NO",'Motor_Meciuri'!BL98='Motor_Meciuri'!C98,AB1296&gt;='Config_v6'!$B$50,AN1296&gt;='Config_v6'!$B$51,T1296&lt;='Config_v6'!$B$52,L1296&lt;='Config_v6'!$B$53,ISNUMBER('Calibrare_Linii'!E8),S1296&lt;='Calibrare_Linii'!E8,SUM(AK1296:AM1296)&gt;0),"CANDIDATE","NO"))</x:f>
      </x:c>
      <x:c r="Y1296" s="2" t="str">
        <x:f>IF(B1296="","",IF(I1296&lt;&gt;"READY","NOT RELEASED",IF(AND(X1296="CANDIDATE",V1296&gt;='Config_v6'!$B$51,W1296="PASS",'Calibrare_Linii'!T8="VALIDATED",AND('Calibrare_Linii'!H8=C1296,ISNUMBER('Calibrare_Linii'!J8),'Calibrare_Linii'!J8&lt;='Input_Meci'!G98)),"PASS",IF(X1296="CANDIDATE","OOS PENDING","FAIL"))))</x:f>
      </x:c>
      <x:c r="Z1296" s="2" t="str">
        <x:f>IF(B1296="","",IF(I1296&lt;&gt;"READY","",IF(OR(NOT(AND(J1296="PASS",'Calibrare_Linii'!U8="VALID")),L1296&gt;'Config_v6'!$B$13,W1296="WATCH"),5,IF(Y1296="PASS",1,MIN(5,MAX('Config_v6'!$B$42,U1296)+IF(W1296="PENALTY",1,0))))))</x:f>
      </x:c>
      <x:c r="AA1296" s="2" t="str">
        <x:f>IF(B1296="","",IF(I1296&lt;&gt;"READY","NOT RELEASED",IF(Z1296=5,"NO BET",IF(OR(AB1296&lt;'Config_v6'!$B$16,V1296&lt;'Config_v6'!$B$18),"WATCH",IF(Z1296=1,"DEFENSIV",IF(Z1296=2,"PRUDENT",IF(Z1296=3,"MODERAT","RIDICAT")))))))</x:f>
      </x:c>
      <x:c r="AB1296" s="10" t="str">
        <x:f>IF(N1296="","",MIN(N1296,1-S1296))</x:f>
      </x:c>
      <x:c r="AC1296" s="2" t="str">
        <x:f>IF(AD1296&lt;&gt;1,"",COUNTIFS($Z$1294:$Z$1307,"&lt;"&amp;Z1296,$AD$1294:$AD$1307,1)+COUNTIFS($Z$1294:$Z$1307,Z1296,$AB$1294:$AB$1307,"&gt;"&amp;AB1296,$AD$1294:$AD$1307,1)+COUNTIFS($Z$1294:$Z$1307,Z1296,$AB$1294:$AB$1307,AB1296,$V$1294:$V$1307,"&gt;"&amp;V1296,$AD$1294:$AD$1307,1)+COUNTIFS($Z$1294:Z1296,Z1296,$AB$1294:AB1296,AB1296,$V$1294:V1296,V1296,$AD$1294:AD1296,1))</x:f>
      </x:c>
      <x:c r="AD1296" s="2" t="n">
        <x:f>IF(OR(AA1296="DEFENSIV",AA1296="PRUDENT",AA1296="MODERAT",AA1296="RIDICAT"),1,0)</x:f>
        <x:v>0</x:v>
      </x:c>
      <x:c r="AE1296" s="2" t="str">
        <x:f>IF(AD1296&lt;&gt;1,"NO",IF(W1296="PASS","YES",IF(W1296="OOS PENDING","CONDITIONAL","NO")))</x:f>
        <x:v>NO</x:v>
      </x:c>
      <x:c r="AF1296" s="2" t="n">
        <x:f>IF(AND(AD1296=1,AC1296=1,E1296="LIVE"),1,0)</x:f>
        <x:v>0</x:v>
      </x:c>
      <x:c r="AG1296" s="2" t="str">
        <x:f>IF(AF1296&lt;&gt;1,"",'Dashboard'!P118)</x:f>
      </x:c>
      <x:c r="AH1296" s="2" t="str">
        <x:f>IF(B1296="","",IF(J1296&lt;&gt;"PASS",'Motor_Meciuri'!J98,IF('Calibrare_Linii'!U8&lt;&gt;"VALID","Parametri linie invalizi",IF(L1296&gt;'Config_v6'!$B$13,"Dispersie peste limita",IF(W1296="WATCH","Failure peste limita",IF(AB1296&lt;'Config_v6'!$B$16,"P finala sub prag",IF(V1296&lt;'Config_v6'!$B$18,"Confidence sub prag",IF(E1296="REPLAY","Exemplu retrospectiv; exclus din Top LIVE",IF(Y1296="PASS","DEFENSIV validat",IF(W1296="OOS PENDING","Eligibil; calibrare linie in monitorizare","Eligibil"))))))))))</x:f>
      </x:c>
      <x:c r="AI1296" s="2" t="str">
        <x:f>IF(B1296="","",'Calibrare_Linii'!V8)</x:f>
      </x:c>
      <x:c r="AJ1296" s="2" t="str">
        <x:f>IF(B1296="","",IF(AND('Calibrare_Linii'!T8="VALIDATED",AND('Calibrare_Linii'!H8=C1296,ISNUMBER('Calibrare_Linii'!J8),'Calibrare_Linii'!J8&lt;='Input_Meci'!G98)),"DEFENSIVE VALIDATED",IF(AND('Calibrare_Linii'!S8="VALIDATED",AND('Calibrare_Linii'!H8=C1296,ISNUMBER('Calibrare_Linii'!J8),'Calibrare_Linii'!J8&lt;='Input_Meci'!G98)),"TAIL VALIDATED","OOS PENDING")))</x:f>
      </x:c>
      <x:c r="AK1296" s="2" t="n">
        <x:f>IF(J1296&lt;&gt;"PASS",0,'Motor_Meciuri'!BR98)</x:f>
        <x:v>0</x:v>
      </x:c>
      <x:c r="AL1296" s="2" t="n">
        <x:f>IF(J1296&lt;&gt;"PASS",0,'Motor_Meciuri'!BS98)</x:f>
        <x:v>0</x:v>
      </x:c>
      <x:c r="AM1296" s="2" t="n">
        <x:f>IF(J1296&lt;&gt;"PASS",0,'Motor_Meciuri'!BT98)</x:f>
        <x:v>0</x:v>
      </x:c>
      <x:c r="AN1296" s="2" t="str">
        <x:f>IF(M1296="","",MAX(0,'Motor_Meciuri'!BF98-IF(L1296&gt;'Config_v6'!$B$12,'Config_v6'!$B$37,IF(L1296&gt;'Config_v6'!$B$11,'Config_v6'!$B$36,0))))</x:f>
      </x:c>
    </x:row>
    <x:row r="1297" ht="21" customHeight="1">
      <x:c r="A1297" s="2" t="n">
        <x:v>93</x:v>
      </x:c>
      <x:c r="B1297" s="2" t="str">
        <x:f>IF('Motor_Meciuri'!A98="","",'Motor_Meciuri'!A98)</x:f>
      </x:c>
      <x:c r="C1297" s="2" t="str">
        <x:f>IF(B1297="","",'Motor_Meciuri'!B98)</x:f>
      </x:c>
      <x:c r="D1297" s="2" t="str">
        <x:f>IF(B1297="","",'Motor_Meciuri'!D98)</x:f>
      </x:c>
      <x:c r="E1297" s="2" t="str">
        <x:f>IF(B1297="","",'Motor_Meciuri'!E98)</x:f>
      </x:c>
      <x:c r="F1297" s="2" t="str">
        <x:v>O6,5</x:v>
      </x:c>
      <x:c r="G1297" s="2" t="str">
        <x:v>OVER</x:v>
      </x:c>
      <x:c r="H1297" s="2" t="n">
        <x:v>6</x:v>
      </x:c>
      <x:c r="I1297" s="2" t="str">
        <x:f>IF(B1297="","",'Motor_Meciuri'!H98)</x:f>
      </x:c>
      <x:c r="J1297" s="2" t="str">
        <x:f>IF(B1297="","",'Motor_Meciuri'!I98)</x:f>
      </x:c>
      <x:c r="K1297" s="11" t="str">
        <x:f>IF(J1297&lt;&gt;"PASS","",'Motor_Meciuri'!BD98)</x:f>
      </x:c>
      <x:c r="L1297" s="11" t="str">
        <x:f>IF(J1297&lt;&gt;"PASS","",'Motor_Meciuri'!AU98)</x:f>
      </x:c>
      <x:c r="M1297" s="10" t="str">
        <x:f>IF(NOT(AND(J1297="PASS",'Calibrare_Linii'!U9="VALID")),"",1-'Distributie'!AD98)</x:f>
      </x:c>
      <x:c r="N1297" s="10" t="str">
        <x:f>IF(M1297="","",MAX(0.01,MIN(0.99,0.5+(M1297-0.5)*'Motor_Meciuri'!BG98*'Calibrare_Linii'!D9)))</x:f>
      </x:c>
      <x:c r="O1297" s="10" t="str">
        <x:f>IF(M1297="","",1-M1297)</x:f>
      </x:c>
      <x:c r="P1297" s="10" t="str">
        <x:f>IF(OR(NOT(AND(J1297="PASS",'Calibrare_Linii'!U9="VALID")),AK1297=0),""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*('Istoric_Nativ'!$Q$6:$Q$405&lt;=H1297))/AK1297)</x:f>
      </x:c>
      <x:c r="Q1297" s="10" t="str">
        <x:f>IF(OR(NOT(AND(J1297="PASS",'Calibrare_Linii'!U9="VALID")),AL1297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M98)+((('Istoric_Nativ'!$E$6:$E$405='Input_Meci'!E98)+('Istoric_Nativ'!$F$6:$F$405='Input_Meci'!E98))&gt;0)*('Istoric_Nativ'!$D$6:$D$405&gt;='Motor_Meciuri'!BN98))&gt;0)*('Istoric_Nativ'!$Q$6:$Q$405&lt;=H1297))/AL1297)</x:f>
      </x:c>
      <x:c r="R1297" s="10" t="str">
        <x:f>IF(OR(NOT(AND(J1297="PASS",'Calibrare_Linii'!U9="VALID")),AM1297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O98)+((('Istoric_Nativ'!$E$6:$E$405='Input_Meci'!E98)+('Istoric_Nativ'!$F$6:$F$405='Input_Meci'!E98))&gt;0)*('Istoric_Nativ'!$D$6:$D$405&gt;='Motor_Meciuri'!BP98))&gt;0)*('Istoric_Nativ'!$Q$6:$Q$405&lt;=H1297))/AM1297)</x:f>
      </x:c>
      <x:c r="S1297" s="10" t="str">
        <x:f>IF(M1297="","",MAX(O1297,P1297,Q1297,R1297))</x:f>
      </x:c>
      <x:c r="T1297" s="11" t="str">
        <x:f>IF(M1297="","",MIN(100,S1297*100*'Config_v6'!$B$44+MIN(100,L1297/'Config_v6'!$B$13*100)*'Config_v6'!$B$45+(100-'Motor_Meciuri'!BF98)*'Config_v6'!$B$46+'Motor_Meciuri'!BH98*100*'Config_v6'!$B$47))</x:f>
      </x:c>
      <x:c r="U1297" s="2" t="str">
        <x:f>IF(T1297="","",IF(T1297&lt;=20,1,IF(T1297&lt;=40,2,IF(T1297&lt;=60,3,IF(T1297&lt;=80,4,5)))))</x:f>
      </x:c>
      <x:c r="V1297" s="2" t="str">
        <x:f>IF(M1297="","",MAX(0,'Motor_Meciuri'!BF98-IF(W1297="OOS PENDING",'Config_v6'!$B$35,0)-IF(L1297&gt;'Config_v6'!$B$12,'Config_v6'!$B$37,IF(L1297&gt;'Config_v6'!$B$11,'Config_v6'!$B$36,0))))</x:f>
      </x:c>
      <x:c r="W1297" s="2" t="str">
        <x:f>IF(B1297="","",IF(I1297&lt;&gt;"READY","NOT RELEASED",IF(NOT(AND(J1297="PASS",'Calibrare_Linii'!U9="VALID")),"INVALID",IF(NOT(AND('Calibrare_Linii'!S9="VALIDATED",AND('Calibrare_Linii'!H9=C1297,ISNUMBER('Calibrare_Linii'!J9),'Calibrare_Linii'!J9&lt;='Input_Meci'!G98))),"OOS PENDING",IF(S1297&lt;='Calibrare_Linii'!E9,"PASS",IF(S1297&lt;='Calibrare_Linii'!F9,"PENALTY","WATCH"))))))</x:f>
      </x:c>
      <x:c r="X1297" s="2" t="str">
        <x:f>IF(M1297="","",IF(AND(AND(J1297="PASS",'Calibrare_Linii'!U9="VALID"),'Motor_Meciuri'!K98=12,'Motor_Meciuri'!L98=12,'Motor_Meciuri'!M98="NO",'Motor_Meciuri'!BL98='Motor_Meciuri'!C98,AB1297&gt;='Config_v6'!$B$50,AN1297&gt;='Config_v6'!$B$51,T1297&lt;='Config_v6'!$B$52,L1297&lt;='Config_v6'!$B$53,ISNUMBER('Calibrare_Linii'!E9),S1297&lt;='Calibrare_Linii'!E9,SUM(AK1297:AM1297)&gt;0),"CANDIDATE","NO"))</x:f>
      </x:c>
      <x:c r="Y1297" s="2" t="str">
        <x:f>IF(B1297="","",IF(I1297&lt;&gt;"READY","NOT RELEASED",IF(AND(X1297="CANDIDATE",V1297&gt;='Config_v6'!$B$51,W1297="PASS",'Calibrare_Linii'!T9="VALIDATED",AND('Calibrare_Linii'!H9=C1297,ISNUMBER('Calibrare_Linii'!J9),'Calibrare_Linii'!J9&lt;='Input_Meci'!G98)),"PASS",IF(X1297="CANDIDATE","OOS PENDING","FAIL"))))</x:f>
      </x:c>
      <x:c r="Z1297" s="2" t="str">
        <x:f>IF(B1297="","",IF(I1297&lt;&gt;"READY","",IF(OR(NOT(AND(J1297="PASS",'Calibrare_Linii'!U9="VALID")),L1297&gt;'Config_v6'!$B$13,W1297="WATCH"),5,IF(Y1297="PASS",1,MIN(5,MAX('Config_v6'!$B$42,U1297)+IF(W1297="PENALTY",1,0))))))</x:f>
      </x:c>
      <x:c r="AA1297" s="2" t="str">
        <x:f>IF(B1297="","",IF(I1297&lt;&gt;"READY","NOT RELEASED",IF(Z1297=5,"NO BET",IF(OR(AB1297&lt;'Config_v6'!$B$16,V1297&lt;'Config_v6'!$B$18),"WATCH",IF(Z1297=1,"DEFENSIV",IF(Z1297=2,"PRUDENT",IF(Z1297=3,"MODERAT","RIDICAT")))))))</x:f>
      </x:c>
      <x:c r="AB1297" s="10" t="str">
        <x:f>IF(N1297="","",MIN(N1297,1-S1297))</x:f>
      </x:c>
      <x:c r="AC1297" s="2" t="str">
        <x:f>IF(AD1297&lt;&gt;1,"",COUNTIFS($Z$1294:$Z$1307,"&lt;"&amp;Z1297,$AD$1294:$AD$1307,1)+COUNTIFS($Z$1294:$Z$1307,Z1297,$AB$1294:$AB$1307,"&gt;"&amp;AB1297,$AD$1294:$AD$1307,1)+COUNTIFS($Z$1294:$Z$1307,Z1297,$AB$1294:$AB$1307,AB1297,$V$1294:$V$1307,"&gt;"&amp;V1297,$AD$1294:$AD$1307,1)+COUNTIFS($Z$1294:Z1297,Z1297,$AB$1294:AB1297,AB1297,$V$1294:V1297,V1297,$AD$1294:AD1297,1))</x:f>
      </x:c>
      <x:c r="AD1297" s="2" t="n">
        <x:f>IF(OR(AA1297="DEFENSIV",AA1297="PRUDENT",AA1297="MODERAT",AA1297="RIDICAT"),1,0)</x:f>
        <x:v>0</x:v>
      </x:c>
      <x:c r="AE1297" s="2" t="str">
        <x:f>IF(AD1297&lt;&gt;1,"NO",IF(W1297="PASS","YES",IF(W1297="OOS PENDING","CONDITIONAL","NO")))</x:f>
        <x:v>NO</x:v>
      </x:c>
      <x:c r="AF1297" s="2" t="n">
        <x:f>IF(AND(AD1297=1,AC1297=1,E1297="LIVE"),1,0)</x:f>
        <x:v>0</x:v>
      </x:c>
      <x:c r="AG1297" s="2" t="str">
        <x:f>IF(AF1297&lt;&gt;1,"",'Dashboard'!P118)</x:f>
      </x:c>
      <x:c r="AH1297" s="2" t="str">
        <x:f>IF(B1297="","",IF(J1297&lt;&gt;"PASS",'Motor_Meciuri'!J98,IF('Calibrare_Linii'!U9&lt;&gt;"VALID","Parametri linie invalizi",IF(L1297&gt;'Config_v6'!$B$13,"Dispersie peste limita",IF(W1297="WATCH","Failure peste limita",IF(AB1297&lt;'Config_v6'!$B$16,"P finala sub prag",IF(V1297&lt;'Config_v6'!$B$18,"Confidence sub prag",IF(E1297="REPLAY","Exemplu retrospectiv; exclus din Top LIVE",IF(Y1297="PASS","DEFENSIV validat",IF(W1297="OOS PENDING","Eligibil; calibrare linie in monitorizare","Eligibil"))))))))))</x:f>
      </x:c>
      <x:c r="AI1297" s="2" t="str">
        <x:f>IF(B1297="","",'Calibrare_Linii'!V9)</x:f>
      </x:c>
      <x:c r="AJ1297" s="2" t="str">
        <x:f>IF(B1297="","",IF(AND('Calibrare_Linii'!T9="VALIDATED",AND('Calibrare_Linii'!H9=C1297,ISNUMBER('Calibrare_Linii'!J9),'Calibrare_Linii'!J9&lt;='Input_Meci'!G98)),"DEFENSIVE VALIDATED",IF(AND('Calibrare_Linii'!S9="VALIDATED",AND('Calibrare_Linii'!H9=C1297,ISNUMBER('Calibrare_Linii'!J9),'Calibrare_Linii'!J9&lt;='Input_Meci'!G98)),"TAIL VALIDATED","OOS PENDING")))</x:f>
      </x:c>
      <x:c r="AK1297" s="2" t="n">
        <x:f>IF(J1297&lt;&gt;"PASS",0,'Motor_Meciuri'!BR98)</x:f>
        <x:v>0</x:v>
      </x:c>
      <x:c r="AL1297" s="2" t="n">
        <x:f>IF(J1297&lt;&gt;"PASS",0,'Motor_Meciuri'!BS98)</x:f>
        <x:v>0</x:v>
      </x:c>
      <x:c r="AM1297" s="2" t="n">
        <x:f>IF(J1297&lt;&gt;"PASS",0,'Motor_Meciuri'!BT98)</x:f>
        <x:v>0</x:v>
      </x:c>
      <x:c r="AN1297" s="2" t="str">
        <x:f>IF(M1297="","",MAX(0,'Motor_Meciuri'!BF98-IF(L1297&gt;'Config_v6'!$B$12,'Config_v6'!$B$37,IF(L1297&gt;'Config_v6'!$B$11,'Config_v6'!$B$36,0))))</x:f>
      </x:c>
    </x:row>
    <x:row r="1298" ht="21" customHeight="1">
      <x:c r="A1298" s="2" t="n">
        <x:v>93</x:v>
      </x:c>
      <x:c r="B1298" s="2" t="str">
        <x:f>IF('Motor_Meciuri'!A98="","",'Motor_Meciuri'!A98)</x:f>
      </x:c>
      <x:c r="C1298" s="2" t="str">
        <x:f>IF(B1298="","",'Motor_Meciuri'!B98)</x:f>
      </x:c>
      <x:c r="D1298" s="2" t="str">
        <x:f>IF(B1298="","",'Motor_Meciuri'!D98)</x:f>
      </x:c>
      <x:c r="E1298" s="2" t="str">
        <x:f>IF(B1298="","",'Motor_Meciuri'!E98)</x:f>
      </x:c>
      <x:c r="F1298" s="2" t="str">
        <x:v>O7,5</x:v>
      </x:c>
      <x:c r="G1298" s="2" t="str">
        <x:v>OVER</x:v>
      </x:c>
      <x:c r="H1298" s="2" t="n">
        <x:v>7</x:v>
      </x:c>
      <x:c r="I1298" s="2" t="str">
        <x:f>IF(B1298="","",'Motor_Meciuri'!H98)</x:f>
      </x:c>
      <x:c r="J1298" s="2" t="str">
        <x:f>IF(B1298="","",'Motor_Meciuri'!I98)</x:f>
      </x:c>
      <x:c r="K1298" s="11" t="str">
        <x:f>IF(J1298&lt;&gt;"PASS","",'Motor_Meciuri'!BD98)</x:f>
      </x:c>
      <x:c r="L1298" s="11" t="str">
        <x:f>IF(J1298&lt;&gt;"PASS","",'Motor_Meciuri'!AU98)</x:f>
      </x:c>
      <x:c r="M1298" s="10" t="str">
        <x:f>IF(NOT(AND(J1298="PASS",'Calibrare_Linii'!U10="VALID")),"",1-'Distributie'!AE98)</x:f>
      </x:c>
      <x:c r="N1298" s="10" t="str">
        <x:f>IF(M1298="","",MAX(0.01,MIN(0.99,0.5+(M1298-0.5)*'Motor_Meciuri'!BG98*'Calibrare_Linii'!D10)))</x:f>
      </x:c>
      <x:c r="O1298" s="10" t="str">
        <x:f>IF(M1298="","",1-M1298)</x:f>
      </x:c>
      <x:c r="P1298" s="10" t="str">
        <x:f>IF(OR(NOT(AND(J1298="PASS",'Calibrare_Linii'!U10="VALID")),AK1298=0),""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*('Istoric_Nativ'!$Q$6:$Q$405&lt;=H1298))/AK1298)</x:f>
      </x:c>
      <x:c r="Q1298" s="10" t="str">
        <x:f>IF(OR(NOT(AND(J1298="PASS",'Calibrare_Linii'!U10="VALID")),AL1298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M98)+((('Istoric_Nativ'!$E$6:$E$405='Input_Meci'!E98)+('Istoric_Nativ'!$F$6:$F$405='Input_Meci'!E98))&gt;0)*('Istoric_Nativ'!$D$6:$D$405&gt;='Motor_Meciuri'!BN98))&gt;0)*('Istoric_Nativ'!$Q$6:$Q$405&lt;=H1298))/AL1298)</x:f>
      </x:c>
      <x:c r="R1298" s="10" t="str">
        <x:f>IF(OR(NOT(AND(J1298="PASS",'Calibrare_Linii'!U10="VALID")),AM1298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O98)+((('Istoric_Nativ'!$E$6:$E$405='Input_Meci'!E98)+('Istoric_Nativ'!$F$6:$F$405='Input_Meci'!E98))&gt;0)*('Istoric_Nativ'!$D$6:$D$405&gt;='Motor_Meciuri'!BP98))&gt;0)*('Istoric_Nativ'!$Q$6:$Q$405&lt;=H1298))/AM1298)</x:f>
      </x:c>
      <x:c r="S1298" s="10" t="str">
        <x:f>IF(M1298="","",MAX(O1298,P1298,Q1298,R1298))</x:f>
      </x:c>
      <x:c r="T1298" s="11" t="str">
        <x:f>IF(M1298="","",MIN(100,S1298*100*'Config_v6'!$B$44+MIN(100,L1298/'Config_v6'!$B$13*100)*'Config_v6'!$B$45+(100-'Motor_Meciuri'!BF98)*'Config_v6'!$B$46+'Motor_Meciuri'!BH98*100*'Config_v6'!$B$47))</x:f>
      </x:c>
      <x:c r="U1298" s="2" t="str">
        <x:f>IF(T1298="","",IF(T1298&lt;=20,1,IF(T1298&lt;=40,2,IF(T1298&lt;=60,3,IF(T1298&lt;=80,4,5)))))</x:f>
      </x:c>
      <x:c r="V1298" s="2" t="str">
        <x:f>IF(M1298="","",MAX(0,'Motor_Meciuri'!BF98-IF(W1298="OOS PENDING",'Config_v6'!$B$35,0)-IF(L1298&gt;'Config_v6'!$B$12,'Config_v6'!$B$37,IF(L1298&gt;'Config_v6'!$B$11,'Config_v6'!$B$36,0))))</x:f>
      </x:c>
      <x:c r="W1298" s="2" t="str">
        <x:f>IF(B1298="","",IF(I1298&lt;&gt;"READY","NOT RELEASED",IF(NOT(AND(J1298="PASS",'Calibrare_Linii'!U10="VALID")),"INVALID",IF(NOT(AND('Calibrare_Linii'!S10="VALIDATED",AND('Calibrare_Linii'!H10=C1298,ISNUMBER('Calibrare_Linii'!J10),'Calibrare_Linii'!J10&lt;='Input_Meci'!G98))),"OOS PENDING",IF(S1298&lt;='Calibrare_Linii'!E10,"PASS",IF(S1298&lt;='Calibrare_Linii'!F10,"PENALTY","WATCH"))))))</x:f>
      </x:c>
      <x:c r="X1298" s="2" t="str">
        <x:f>IF(M1298="","",IF(AND(AND(J1298="PASS",'Calibrare_Linii'!U10="VALID"),'Motor_Meciuri'!K98=12,'Motor_Meciuri'!L98=12,'Motor_Meciuri'!M98="NO",'Motor_Meciuri'!BL98='Motor_Meciuri'!C98,AB1298&gt;='Config_v6'!$B$50,AN1298&gt;='Config_v6'!$B$51,T1298&lt;='Config_v6'!$B$52,L1298&lt;='Config_v6'!$B$53,ISNUMBER('Calibrare_Linii'!E10),S1298&lt;='Calibrare_Linii'!E10,SUM(AK1298:AM1298)&gt;0),"CANDIDATE","NO"))</x:f>
      </x:c>
      <x:c r="Y1298" s="2" t="str">
        <x:f>IF(B1298="","",IF(I1298&lt;&gt;"READY","NOT RELEASED",IF(AND(X1298="CANDIDATE",V1298&gt;='Config_v6'!$B$51,W1298="PASS",'Calibrare_Linii'!T10="VALIDATED",AND('Calibrare_Linii'!H10=C1298,ISNUMBER('Calibrare_Linii'!J10),'Calibrare_Linii'!J10&lt;='Input_Meci'!G98)),"PASS",IF(X1298="CANDIDATE","OOS PENDING","FAIL"))))</x:f>
      </x:c>
      <x:c r="Z1298" s="2" t="str">
        <x:f>IF(B1298="","",IF(I1298&lt;&gt;"READY","",IF(OR(NOT(AND(J1298="PASS",'Calibrare_Linii'!U10="VALID")),L1298&gt;'Config_v6'!$B$13,W1298="WATCH"),5,IF(Y1298="PASS",1,MIN(5,MAX('Config_v6'!$B$42,U1298)+IF(W1298="PENALTY",1,0))))))</x:f>
      </x:c>
      <x:c r="AA1298" s="2" t="str">
        <x:f>IF(B1298="","",IF(I1298&lt;&gt;"READY","NOT RELEASED",IF(Z1298=5,"NO BET",IF(OR(AB1298&lt;'Config_v6'!$B$16,V1298&lt;'Config_v6'!$B$18),"WATCH",IF(Z1298=1,"DEFENSIV",IF(Z1298=2,"PRUDENT",IF(Z1298=3,"MODERAT","RIDICAT")))))))</x:f>
      </x:c>
      <x:c r="AB1298" s="10" t="str">
        <x:f>IF(N1298="","",MIN(N1298,1-S1298))</x:f>
      </x:c>
      <x:c r="AC1298" s="2" t="str">
        <x:f>IF(AD1298&lt;&gt;1,"",COUNTIFS($Z$1294:$Z$1307,"&lt;"&amp;Z1298,$AD$1294:$AD$1307,1)+COUNTIFS($Z$1294:$Z$1307,Z1298,$AB$1294:$AB$1307,"&gt;"&amp;AB1298,$AD$1294:$AD$1307,1)+COUNTIFS($Z$1294:$Z$1307,Z1298,$AB$1294:$AB$1307,AB1298,$V$1294:$V$1307,"&gt;"&amp;V1298,$AD$1294:$AD$1307,1)+COUNTIFS($Z$1294:Z1298,Z1298,$AB$1294:AB1298,AB1298,$V$1294:V1298,V1298,$AD$1294:AD1298,1))</x:f>
      </x:c>
      <x:c r="AD1298" s="2" t="n">
        <x:f>IF(OR(AA1298="DEFENSIV",AA1298="PRUDENT",AA1298="MODERAT",AA1298="RIDICAT"),1,0)</x:f>
        <x:v>0</x:v>
      </x:c>
      <x:c r="AE1298" s="2" t="str">
        <x:f>IF(AD1298&lt;&gt;1,"NO",IF(W1298="PASS","YES",IF(W1298="OOS PENDING","CONDITIONAL","NO")))</x:f>
        <x:v>NO</x:v>
      </x:c>
      <x:c r="AF1298" s="2" t="n">
        <x:f>IF(AND(AD1298=1,AC1298=1,E1298="LIVE"),1,0)</x:f>
        <x:v>0</x:v>
      </x:c>
      <x:c r="AG1298" s="2" t="str">
        <x:f>IF(AF1298&lt;&gt;1,"",'Dashboard'!P118)</x:f>
      </x:c>
      <x:c r="AH1298" s="2" t="str">
        <x:f>IF(B1298="","",IF(J1298&lt;&gt;"PASS",'Motor_Meciuri'!J98,IF('Calibrare_Linii'!U10&lt;&gt;"VALID","Parametri linie invalizi",IF(L1298&gt;'Config_v6'!$B$13,"Dispersie peste limita",IF(W1298="WATCH","Failure peste limita",IF(AB1298&lt;'Config_v6'!$B$16,"P finala sub prag",IF(V1298&lt;'Config_v6'!$B$18,"Confidence sub prag",IF(E1298="REPLAY","Exemplu retrospectiv; exclus din Top LIVE",IF(Y1298="PASS","DEFENSIV validat",IF(W1298="OOS PENDING","Eligibil; calibrare linie in monitorizare","Eligibil"))))))))))</x:f>
      </x:c>
      <x:c r="AI1298" s="2" t="str">
        <x:f>IF(B1298="","",'Calibrare_Linii'!V10)</x:f>
      </x:c>
      <x:c r="AJ1298" s="2" t="str">
        <x:f>IF(B1298="","",IF(AND('Calibrare_Linii'!T10="VALIDATED",AND('Calibrare_Linii'!H10=C1298,ISNUMBER('Calibrare_Linii'!J10),'Calibrare_Linii'!J10&lt;='Input_Meci'!G98)),"DEFENSIVE VALIDATED",IF(AND('Calibrare_Linii'!S10="VALIDATED",AND('Calibrare_Linii'!H10=C1298,ISNUMBER('Calibrare_Linii'!J10),'Calibrare_Linii'!J10&lt;='Input_Meci'!G98)),"TAIL VALIDATED","OOS PENDING")))</x:f>
      </x:c>
      <x:c r="AK1298" s="2" t="n">
        <x:f>IF(J1298&lt;&gt;"PASS",0,'Motor_Meciuri'!BR98)</x:f>
        <x:v>0</x:v>
      </x:c>
      <x:c r="AL1298" s="2" t="n">
        <x:f>IF(J1298&lt;&gt;"PASS",0,'Motor_Meciuri'!BS98)</x:f>
        <x:v>0</x:v>
      </x:c>
      <x:c r="AM1298" s="2" t="n">
        <x:f>IF(J1298&lt;&gt;"PASS",0,'Motor_Meciuri'!BT98)</x:f>
        <x:v>0</x:v>
      </x:c>
      <x:c r="AN1298" s="2" t="str">
        <x:f>IF(M1298="","",MAX(0,'Motor_Meciuri'!BF98-IF(L1298&gt;'Config_v6'!$B$12,'Config_v6'!$B$37,IF(L1298&gt;'Config_v6'!$B$11,'Config_v6'!$B$36,0))))</x:f>
      </x:c>
    </x:row>
    <x:row r="1299" ht="21" customHeight="1">
      <x:c r="A1299" s="2" t="n">
        <x:v>93</x:v>
      </x:c>
      <x:c r="B1299" s="2" t="str">
        <x:f>IF('Motor_Meciuri'!A98="","",'Motor_Meciuri'!A98)</x:f>
      </x:c>
      <x:c r="C1299" s="2" t="str">
        <x:f>IF(B1299="","",'Motor_Meciuri'!B98)</x:f>
      </x:c>
      <x:c r="D1299" s="2" t="str">
        <x:f>IF(B1299="","",'Motor_Meciuri'!D98)</x:f>
      </x:c>
      <x:c r="E1299" s="2" t="str">
        <x:f>IF(B1299="","",'Motor_Meciuri'!E98)</x:f>
      </x:c>
      <x:c r="F1299" s="2" t="str">
        <x:v>O8,5</x:v>
      </x:c>
      <x:c r="G1299" s="2" t="str">
        <x:v>OVER</x:v>
      </x:c>
      <x:c r="H1299" s="2" t="n">
        <x:v>8</x:v>
      </x:c>
      <x:c r="I1299" s="2" t="str">
        <x:f>IF(B1299="","",'Motor_Meciuri'!H98)</x:f>
      </x:c>
      <x:c r="J1299" s="2" t="str">
        <x:f>IF(B1299="","",'Motor_Meciuri'!I98)</x:f>
      </x:c>
      <x:c r="K1299" s="11" t="str">
        <x:f>IF(J1299&lt;&gt;"PASS","",'Motor_Meciuri'!BD98)</x:f>
      </x:c>
      <x:c r="L1299" s="11" t="str">
        <x:f>IF(J1299&lt;&gt;"PASS","",'Motor_Meciuri'!AU98)</x:f>
      </x:c>
      <x:c r="M1299" s="10" t="str">
        <x:f>IF(NOT(AND(J1299="PASS",'Calibrare_Linii'!U11="VALID")),"",1-'Distributie'!AF98)</x:f>
      </x:c>
      <x:c r="N1299" s="10" t="str">
        <x:f>IF(M1299="","",MAX(0.01,MIN(0.99,0.5+(M1299-0.5)*'Motor_Meciuri'!BG98*'Calibrare_Linii'!D11)))</x:f>
      </x:c>
      <x:c r="O1299" s="10" t="str">
        <x:f>IF(M1299="","",1-M1299)</x:f>
      </x:c>
      <x:c r="P1299" s="10" t="str">
        <x:f>IF(OR(NOT(AND(J1299="PASS",'Calibrare_Linii'!U11="VALID")),AK1299=0),""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*('Istoric_Nativ'!$Q$6:$Q$405&lt;=H1299))/AK1299)</x:f>
      </x:c>
      <x:c r="Q1299" s="10" t="str">
        <x:f>IF(OR(NOT(AND(J1299="PASS",'Calibrare_Linii'!U11="VALID")),AL1299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M98)+((('Istoric_Nativ'!$E$6:$E$405='Input_Meci'!E98)+('Istoric_Nativ'!$F$6:$F$405='Input_Meci'!E98))&gt;0)*('Istoric_Nativ'!$D$6:$D$405&gt;='Motor_Meciuri'!BN98))&gt;0)*('Istoric_Nativ'!$Q$6:$Q$405&lt;=H1299))/AL1299)</x:f>
      </x:c>
      <x:c r="R1299" s="10" t="str">
        <x:f>IF(OR(NOT(AND(J1299="PASS",'Calibrare_Linii'!U11="VALID")),AM1299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O98)+((('Istoric_Nativ'!$E$6:$E$405='Input_Meci'!E98)+('Istoric_Nativ'!$F$6:$F$405='Input_Meci'!E98))&gt;0)*('Istoric_Nativ'!$D$6:$D$405&gt;='Motor_Meciuri'!BP98))&gt;0)*('Istoric_Nativ'!$Q$6:$Q$405&lt;=H1299))/AM1299)</x:f>
      </x:c>
      <x:c r="S1299" s="10" t="str">
        <x:f>IF(M1299="","",MAX(O1299,P1299,Q1299,R1299))</x:f>
      </x:c>
      <x:c r="T1299" s="11" t="str">
        <x:f>IF(M1299="","",MIN(100,S1299*100*'Config_v6'!$B$44+MIN(100,L1299/'Config_v6'!$B$13*100)*'Config_v6'!$B$45+(100-'Motor_Meciuri'!BF98)*'Config_v6'!$B$46+'Motor_Meciuri'!BH98*100*'Config_v6'!$B$47))</x:f>
      </x:c>
      <x:c r="U1299" s="2" t="str">
        <x:f>IF(T1299="","",IF(T1299&lt;=20,1,IF(T1299&lt;=40,2,IF(T1299&lt;=60,3,IF(T1299&lt;=80,4,5)))))</x:f>
      </x:c>
      <x:c r="V1299" s="2" t="str">
        <x:f>IF(M1299="","",MAX(0,'Motor_Meciuri'!BF98-IF(W1299="OOS PENDING",'Config_v6'!$B$35,0)-IF(L1299&gt;'Config_v6'!$B$12,'Config_v6'!$B$37,IF(L1299&gt;'Config_v6'!$B$11,'Config_v6'!$B$36,0))))</x:f>
      </x:c>
      <x:c r="W1299" s="2" t="str">
        <x:f>IF(B1299="","",IF(I1299&lt;&gt;"READY","NOT RELEASED",IF(NOT(AND(J1299="PASS",'Calibrare_Linii'!U11="VALID")),"INVALID",IF(NOT(AND('Calibrare_Linii'!S11="VALIDATED",AND('Calibrare_Linii'!H11=C1299,ISNUMBER('Calibrare_Linii'!J11),'Calibrare_Linii'!J11&lt;='Input_Meci'!G98))),"OOS PENDING",IF(S1299&lt;='Calibrare_Linii'!E11,"PASS",IF(S1299&lt;='Calibrare_Linii'!F11,"PENALTY","WATCH"))))))</x:f>
      </x:c>
      <x:c r="X1299" s="2" t="str">
        <x:f>IF(M1299="","",IF(AND(AND(J1299="PASS",'Calibrare_Linii'!U11="VALID"),'Motor_Meciuri'!K98=12,'Motor_Meciuri'!L98=12,'Motor_Meciuri'!M98="NO",'Motor_Meciuri'!BL98='Motor_Meciuri'!C98,AB1299&gt;='Config_v6'!$B$50,AN1299&gt;='Config_v6'!$B$51,T1299&lt;='Config_v6'!$B$52,L1299&lt;='Config_v6'!$B$53,ISNUMBER('Calibrare_Linii'!E11),S1299&lt;='Calibrare_Linii'!E11,SUM(AK1299:AM1299)&gt;0),"CANDIDATE","NO"))</x:f>
      </x:c>
      <x:c r="Y1299" s="2" t="str">
        <x:f>IF(B1299="","",IF(I1299&lt;&gt;"READY","NOT RELEASED",IF(AND(X1299="CANDIDATE",V1299&gt;='Config_v6'!$B$51,W1299="PASS",'Calibrare_Linii'!T11="VALIDATED",AND('Calibrare_Linii'!H11=C1299,ISNUMBER('Calibrare_Linii'!J11),'Calibrare_Linii'!J11&lt;='Input_Meci'!G98)),"PASS",IF(X1299="CANDIDATE","OOS PENDING","FAIL"))))</x:f>
      </x:c>
      <x:c r="Z1299" s="2" t="str">
        <x:f>IF(B1299="","",IF(I1299&lt;&gt;"READY","",IF(OR(NOT(AND(J1299="PASS",'Calibrare_Linii'!U11="VALID")),L1299&gt;'Config_v6'!$B$13,W1299="WATCH"),5,IF(Y1299="PASS",1,MIN(5,MAX('Config_v6'!$B$42,U1299)+IF(W1299="PENALTY",1,0))))))</x:f>
      </x:c>
      <x:c r="AA1299" s="2" t="str">
        <x:f>IF(B1299="","",IF(I1299&lt;&gt;"READY","NOT RELEASED",IF(Z1299=5,"NO BET",IF(OR(AB1299&lt;'Config_v6'!$B$16,V1299&lt;'Config_v6'!$B$18),"WATCH",IF(Z1299=1,"DEFENSIV",IF(Z1299=2,"PRUDENT",IF(Z1299=3,"MODERAT","RIDICAT")))))))</x:f>
      </x:c>
      <x:c r="AB1299" s="10" t="str">
        <x:f>IF(N1299="","",MIN(N1299,1-S1299))</x:f>
      </x:c>
      <x:c r="AC1299" s="2" t="str">
        <x:f>IF(AD1299&lt;&gt;1,"",COUNTIFS($Z$1294:$Z$1307,"&lt;"&amp;Z1299,$AD$1294:$AD$1307,1)+COUNTIFS($Z$1294:$Z$1307,Z1299,$AB$1294:$AB$1307,"&gt;"&amp;AB1299,$AD$1294:$AD$1307,1)+COUNTIFS($Z$1294:$Z$1307,Z1299,$AB$1294:$AB$1307,AB1299,$V$1294:$V$1307,"&gt;"&amp;V1299,$AD$1294:$AD$1307,1)+COUNTIFS($Z$1294:Z1299,Z1299,$AB$1294:AB1299,AB1299,$V$1294:V1299,V1299,$AD$1294:AD1299,1))</x:f>
      </x:c>
      <x:c r="AD1299" s="2" t="n">
        <x:f>IF(OR(AA1299="DEFENSIV",AA1299="PRUDENT",AA1299="MODERAT",AA1299="RIDICAT"),1,0)</x:f>
        <x:v>0</x:v>
      </x:c>
      <x:c r="AE1299" s="2" t="str">
        <x:f>IF(AD1299&lt;&gt;1,"NO",IF(W1299="PASS","YES",IF(W1299="OOS PENDING","CONDITIONAL","NO")))</x:f>
        <x:v>NO</x:v>
      </x:c>
      <x:c r="AF1299" s="2" t="n">
        <x:f>IF(AND(AD1299=1,AC1299=1,E1299="LIVE"),1,0)</x:f>
        <x:v>0</x:v>
      </x:c>
      <x:c r="AG1299" s="2" t="str">
        <x:f>IF(AF1299&lt;&gt;1,"",'Dashboard'!P118)</x:f>
      </x:c>
      <x:c r="AH1299" s="2" t="str">
        <x:f>IF(B1299="","",IF(J1299&lt;&gt;"PASS",'Motor_Meciuri'!J98,IF('Calibrare_Linii'!U11&lt;&gt;"VALID","Parametri linie invalizi",IF(L1299&gt;'Config_v6'!$B$13,"Dispersie peste limita",IF(W1299="WATCH","Failure peste limita",IF(AB1299&lt;'Config_v6'!$B$16,"P finala sub prag",IF(V1299&lt;'Config_v6'!$B$18,"Confidence sub prag",IF(E1299="REPLAY","Exemplu retrospectiv; exclus din Top LIVE",IF(Y1299="PASS","DEFENSIV validat",IF(W1299="OOS PENDING","Eligibil; calibrare linie in monitorizare","Eligibil"))))))))))</x:f>
      </x:c>
      <x:c r="AI1299" s="2" t="str">
        <x:f>IF(B1299="","",'Calibrare_Linii'!V11)</x:f>
      </x:c>
      <x:c r="AJ1299" s="2" t="str">
        <x:f>IF(B1299="","",IF(AND('Calibrare_Linii'!T11="VALIDATED",AND('Calibrare_Linii'!H11=C1299,ISNUMBER('Calibrare_Linii'!J11),'Calibrare_Linii'!J11&lt;='Input_Meci'!G98)),"DEFENSIVE VALIDATED",IF(AND('Calibrare_Linii'!S11="VALIDATED",AND('Calibrare_Linii'!H11=C1299,ISNUMBER('Calibrare_Linii'!J11),'Calibrare_Linii'!J11&lt;='Input_Meci'!G98)),"TAIL VALIDATED","OOS PENDING")))</x:f>
      </x:c>
      <x:c r="AK1299" s="2" t="n">
        <x:f>IF(J1299&lt;&gt;"PASS",0,'Motor_Meciuri'!BR98)</x:f>
        <x:v>0</x:v>
      </x:c>
      <x:c r="AL1299" s="2" t="n">
        <x:f>IF(J1299&lt;&gt;"PASS",0,'Motor_Meciuri'!BS98)</x:f>
        <x:v>0</x:v>
      </x:c>
      <x:c r="AM1299" s="2" t="n">
        <x:f>IF(J1299&lt;&gt;"PASS",0,'Motor_Meciuri'!BT98)</x:f>
        <x:v>0</x:v>
      </x:c>
      <x:c r="AN1299" s="2" t="str">
        <x:f>IF(M1299="","",MAX(0,'Motor_Meciuri'!BF98-IF(L1299&gt;'Config_v6'!$B$12,'Config_v6'!$B$37,IF(L1299&gt;'Config_v6'!$B$11,'Config_v6'!$B$36,0))))</x:f>
      </x:c>
    </x:row>
    <x:row r="1300" ht="21" customHeight="1">
      <x:c r="A1300" s="2" t="n">
        <x:v>93</x:v>
      </x:c>
      <x:c r="B1300" s="2" t="str">
        <x:f>IF('Motor_Meciuri'!A98="","",'Motor_Meciuri'!A98)</x:f>
      </x:c>
      <x:c r="C1300" s="2" t="str">
        <x:f>IF(B1300="","",'Motor_Meciuri'!B98)</x:f>
      </x:c>
      <x:c r="D1300" s="2" t="str">
        <x:f>IF(B1300="","",'Motor_Meciuri'!D98)</x:f>
      </x:c>
      <x:c r="E1300" s="2" t="str">
        <x:f>IF(B1300="","",'Motor_Meciuri'!E98)</x:f>
      </x:c>
      <x:c r="F1300" s="2" t="str">
        <x:v>U10,5</x:v>
      </x:c>
      <x:c r="G1300" s="2" t="str">
        <x:v>UNDER</x:v>
      </x:c>
      <x:c r="H1300" s="2" t="n">
        <x:v>10</x:v>
      </x:c>
      <x:c r="I1300" s="2" t="str">
        <x:f>IF(B1300="","",'Motor_Meciuri'!H98)</x:f>
      </x:c>
      <x:c r="J1300" s="2" t="str">
        <x:f>IF(B1300="","",'Motor_Meciuri'!I98)</x:f>
      </x:c>
      <x:c r="K1300" s="11" t="str">
        <x:f>IF(J1300&lt;&gt;"PASS","",'Motor_Meciuri'!BD98)</x:f>
      </x:c>
      <x:c r="L1300" s="11" t="str">
        <x:f>IF(J1300&lt;&gt;"PASS","",'Motor_Meciuri'!AU98)</x:f>
      </x:c>
      <x:c r="M1300" s="10" t="str">
        <x:f>IF(NOT(AND(J1300="PASS",'Calibrare_Linii'!U12="VALID")),"",'Distributie'!AH98)</x:f>
      </x:c>
      <x:c r="N1300" s="10" t="str">
        <x:f>IF(M1300="","",MAX(0.01,MIN(0.99,0.5+(M1300-0.5)*'Motor_Meciuri'!BG98*'Calibrare_Linii'!D12)))</x:f>
      </x:c>
      <x:c r="O1300" s="10" t="str">
        <x:f>IF(M1300="","",1-M1300)</x:f>
      </x:c>
      <x:c r="P1300" s="10" t="str">
        <x:f>IF(OR(NOT(AND(J1300="PASS",'Calibrare_Linii'!U12="VALID")),AK1300=0),""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*('Istoric_Nativ'!$Q$6:$Q$405&gt;H1300))/AK1300)</x:f>
      </x:c>
      <x:c r="Q1300" s="10" t="str">
        <x:f>IF(OR(NOT(AND(J1300="PASS",'Calibrare_Linii'!U12="VALID")),AL1300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M98)+((('Istoric_Nativ'!$E$6:$E$405='Input_Meci'!E98)+('Istoric_Nativ'!$F$6:$F$405='Input_Meci'!E98))&gt;0)*('Istoric_Nativ'!$D$6:$D$405&gt;='Motor_Meciuri'!BN98))&gt;0)*('Istoric_Nativ'!$Q$6:$Q$405&gt;H1300))/AL1300)</x:f>
      </x:c>
      <x:c r="R1300" s="10" t="str">
        <x:f>IF(OR(NOT(AND(J1300="PASS",'Calibrare_Linii'!U12="VALID")),AM1300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O98)+((('Istoric_Nativ'!$E$6:$E$405='Input_Meci'!E98)+('Istoric_Nativ'!$F$6:$F$405='Input_Meci'!E98))&gt;0)*('Istoric_Nativ'!$D$6:$D$405&gt;='Motor_Meciuri'!BP98))&gt;0)*('Istoric_Nativ'!$Q$6:$Q$405&gt;H1300))/AM1300)</x:f>
      </x:c>
      <x:c r="S1300" s="10" t="str">
        <x:f>IF(M1300="","",MAX(O1300,P1300,Q1300,R1300))</x:f>
      </x:c>
      <x:c r="T1300" s="11" t="str">
        <x:f>IF(M1300="","",MIN(100,S1300*100*'Config_v6'!$B$44+MIN(100,L1300/'Config_v6'!$B$13*100)*'Config_v6'!$B$45+(100-'Motor_Meciuri'!BF98)*'Config_v6'!$B$46+'Motor_Meciuri'!BH98*100*'Config_v6'!$B$47))</x:f>
      </x:c>
      <x:c r="U1300" s="2" t="str">
        <x:f>IF(T1300="","",IF(T1300&lt;=20,1,IF(T1300&lt;=40,2,IF(T1300&lt;=60,3,IF(T1300&lt;=80,4,5)))))</x:f>
      </x:c>
      <x:c r="V1300" s="2" t="str">
        <x:f>IF(M1300="","",MAX(0,'Motor_Meciuri'!BF98-IF(W1300="OOS PENDING",'Config_v6'!$B$35,0)-IF(L1300&gt;'Config_v6'!$B$12,'Config_v6'!$B$37,IF(L1300&gt;'Config_v6'!$B$11,'Config_v6'!$B$36,0))))</x:f>
      </x:c>
      <x:c r="W1300" s="2" t="str">
        <x:f>IF(B1300="","",IF(I1300&lt;&gt;"READY","NOT RELEASED",IF(NOT(AND(J1300="PASS",'Calibrare_Linii'!U12="VALID")),"INVALID",IF(NOT(AND('Calibrare_Linii'!S12="VALIDATED",AND('Calibrare_Linii'!H12=C1300,ISNUMBER('Calibrare_Linii'!J12),'Calibrare_Linii'!J12&lt;='Input_Meci'!G98))),"OOS PENDING",IF(S1300&lt;='Calibrare_Linii'!E12,"PASS",IF(S1300&lt;='Calibrare_Linii'!F12,"PENALTY","WATCH"))))))</x:f>
      </x:c>
      <x:c r="X1300" s="2" t="str">
        <x:f>IF(M1300="","",IF(AND(AND(J1300="PASS",'Calibrare_Linii'!U12="VALID"),'Motor_Meciuri'!K98=12,'Motor_Meciuri'!L98=12,'Motor_Meciuri'!M98="NO",'Motor_Meciuri'!BL98='Motor_Meciuri'!C98,AB1300&gt;='Config_v6'!$B$50,AN1300&gt;='Config_v6'!$B$51,T1300&lt;='Config_v6'!$B$52,L1300&lt;='Config_v6'!$B$53,ISNUMBER('Calibrare_Linii'!E12),S1300&lt;='Calibrare_Linii'!E12,SUM(AK1300:AM1300)&gt;0),"CANDIDATE","NO"))</x:f>
      </x:c>
      <x:c r="Y1300" s="2" t="str">
        <x:f>IF(B1300="","",IF(I1300&lt;&gt;"READY","NOT RELEASED",IF(AND(X1300="CANDIDATE",V1300&gt;='Config_v6'!$B$51,W1300="PASS",'Calibrare_Linii'!T12="VALIDATED",AND('Calibrare_Linii'!H12=C1300,ISNUMBER('Calibrare_Linii'!J12),'Calibrare_Linii'!J12&lt;='Input_Meci'!G98)),"PASS",IF(X1300="CANDIDATE","OOS PENDING","FAIL"))))</x:f>
      </x:c>
      <x:c r="Z1300" s="2" t="str">
        <x:f>IF(B1300="","",IF(I1300&lt;&gt;"READY","",IF(OR(NOT(AND(J1300="PASS",'Calibrare_Linii'!U12="VALID")),L1300&gt;'Config_v6'!$B$13,W1300="WATCH"),5,IF(Y1300="PASS",1,MIN(5,MAX('Config_v6'!$B$42,U1300)+IF(W1300="PENALTY",1,0))))))</x:f>
      </x:c>
      <x:c r="AA1300" s="2" t="str">
        <x:f>IF(B1300="","",IF(I1300&lt;&gt;"READY","NOT RELEASED",IF(Z1300=5,"NO BET",IF(OR(AB1300&lt;'Config_v6'!$B$16,V1300&lt;'Config_v6'!$B$18),"WATCH",IF(Z1300=1,"DEFENSIV",IF(Z1300=2,"PRUDENT",IF(Z1300=3,"MODERAT","RIDICAT")))))))</x:f>
      </x:c>
      <x:c r="AB1300" s="10" t="str">
        <x:f>IF(N1300="","",MIN(N1300,1-S1300))</x:f>
      </x:c>
      <x:c r="AC1300" s="2" t="str">
        <x:f>IF(AD1300&lt;&gt;1,"",COUNTIFS($Z$1294:$Z$1307,"&lt;"&amp;Z1300,$AD$1294:$AD$1307,1)+COUNTIFS($Z$1294:$Z$1307,Z1300,$AB$1294:$AB$1307,"&gt;"&amp;AB1300,$AD$1294:$AD$1307,1)+COUNTIFS($Z$1294:$Z$1307,Z1300,$AB$1294:$AB$1307,AB1300,$V$1294:$V$1307,"&gt;"&amp;V1300,$AD$1294:$AD$1307,1)+COUNTIFS($Z$1294:Z1300,Z1300,$AB$1294:AB1300,AB1300,$V$1294:V1300,V1300,$AD$1294:AD1300,1))</x:f>
      </x:c>
      <x:c r="AD1300" s="2" t="n">
        <x:f>IF(OR(AA1300="DEFENSIV",AA1300="PRUDENT",AA1300="MODERAT",AA1300="RIDICAT"),1,0)</x:f>
        <x:v>0</x:v>
      </x:c>
      <x:c r="AE1300" s="2" t="str">
        <x:f>IF(AD1300&lt;&gt;1,"NO",IF(W1300="PASS","YES",IF(W1300="OOS PENDING","CONDITIONAL","NO")))</x:f>
        <x:v>NO</x:v>
      </x:c>
      <x:c r="AF1300" s="2" t="n">
        <x:f>IF(AND(AD1300=1,AC1300=1,E1300="LIVE"),1,0)</x:f>
        <x:v>0</x:v>
      </x:c>
      <x:c r="AG1300" s="2" t="str">
        <x:f>IF(AF1300&lt;&gt;1,"",'Dashboard'!P118)</x:f>
      </x:c>
      <x:c r="AH1300" s="2" t="str">
        <x:f>IF(B1300="","",IF(J1300&lt;&gt;"PASS",'Motor_Meciuri'!J98,IF('Calibrare_Linii'!U12&lt;&gt;"VALID","Parametri linie invalizi",IF(L1300&gt;'Config_v6'!$B$13,"Dispersie peste limita",IF(W1300="WATCH","Failure peste limita",IF(AB1300&lt;'Config_v6'!$B$16,"P finala sub prag",IF(V1300&lt;'Config_v6'!$B$18,"Confidence sub prag",IF(E1300="REPLAY","Exemplu retrospectiv; exclus din Top LIVE",IF(Y1300="PASS","DEFENSIV validat",IF(W1300="OOS PENDING","Eligibil; calibrare linie in monitorizare","Eligibil"))))))))))</x:f>
      </x:c>
      <x:c r="AI1300" s="2" t="str">
        <x:f>IF(B1300="","",'Calibrare_Linii'!V12)</x:f>
      </x:c>
      <x:c r="AJ1300" s="2" t="str">
        <x:f>IF(B1300="","",IF(AND('Calibrare_Linii'!T12="VALIDATED",AND('Calibrare_Linii'!H12=C1300,ISNUMBER('Calibrare_Linii'!J12),'Calibrare_Linii'!J12&lt;='Input_Meci'!G98)),"DEFENSIVE VALIDATED",IF(AND('Calibrare_Linii'!S12="VALIDATED",AND('Calibrare_Linii'!H12=C1300,ISNUMBER('Calibrare_Linii'!J12),'Calibrare_Linii'!J12&lt;='Input_Meci'!G98)),"TAIL VALIDATED","OOS PENDING")))</x:f>
      </x:c>
      <x:c r="AK1300" s="2" t="n">
        <x:f>IF(J1300&lt;&gt;"PASS",0,'Motor_Meciuri'!BR98)</x:f>
        <x:v>0</x:v>
      </x:c>
      <x:c r="AL1300" s="2" t="n">
        <x:f>IF(J1300&lt;&gt;"PASS",0,'Motor_Meciuri'!BS98)</x:f>
        <x:v>0</x:v>
      </x:c>
      <x:c r="AM1300" s="2" t="n">
        <x:f>IF(J1300&lt;&gt;"PASS",0,'Motor_Meciuri'!BT98)</x:f>
        <x:v>0</x:v>
      </x:c>
      <x:c r="AN1300" s="2" t="str">
        <x:f>IF(M1300="","",MAX(0,'Motor_Meciuri'!BF98-IF(L1300&gt;'Config_v6'!$B$12,'Config_v6'!$B$37,IF(L1300&gt;'Config_v6'!$B$11,'Config_v6'!$B$36,0))))</x:f>
      </x:c>
    </x:row>
    <x:row r="1301" ht="21" customHeight="1">
      <x:c r="A1301" s="2" t="n">
        <x:v>93</x:v>
      </x:c>
      <x:c r="B1301" s="2" t="str">
        <x:f>IF('Motor_Meciuri'!A98="","",'Motor_Meciuri'!A98)</x:f>
      </x:c>
      <x:c r="C1301" s="2" t="str">
        <x:f>IF(B1301="","",'Motor_Meciuri'!B98)</x:f>
      </x:c>
      <x:c r="D1301" s="2" t="str">
        <x:f>IF(B1301="","",'Motor_Meciuri'!D98)</x:f>
      </x:c>
      <x:c r="E1301" s="2" t="str">
        <x:f>IF(B1301="","",'Motor_Meciuri'!E98)</x:f>
      </x:c>
      <x:c r="F1301" s="2" t="str">
        <x:v>U11,5</x:v>
      </x:c>
      <x:c r="G1301" s="2" t="str">
        <x:v>UNDER</x:v>
      </x:c>
      <x:c r="H1301" s="2" t="n">
        <x:v>11</x:v>
      </x:c>
      <x:c r="I1301" s="2" t="str">
        <x:f>IF(B1301="","",'Motor_Meciuri'!H98)</x:f>
      </x:c>
      <x:c r="J1301" s="2" t="str">
        <x:f>IF(B1301="","",'Motor_Meciuri'!I98)</x:f>
      </x:c>
      <x:c r="K1301" s="11" t="str">
        <x:f>IF(J1301&lt;&gt;"PASS","",'Motor_Meciuri'!BD98)</x:f>
      </x:c>
      <x:c r="L1301" s="11" t="str">
        <x:f>IF(J1301&lt;&gt;"PASS","",'Motor_Meciuri'!AU98)</x:f>
      </x:c>
      <x:c r="M1301" s="10" t="str">
        <x:f>IF(NOT(AND(J1301="PASS",'Calibrare_Linii'!U13="VALID")),"",'Distributie'!AI98)</x:f>
      </x:c>
      <x:c r="N1301" s="10" t="str">
        <x:f>IF(M1301="","",MAX(0.01,MIN(0.99,0.5+(M1301-0.5)*'Motor_Meciuri'!BG98*'Calibrare_Linii'!D13)))</x:f>
      </x:c>
      <x:c r="O1301" s="10" t="str">
        <x:f>IF(M1301="","",1-M1301)</x:f>
      </x:c>
      <x:c r="P1301" s="10" t="str">
        <x:f>IF(OR(NOT(AND(J1301="PASS",'Calibrare_Linii'!U13="VALID")),AK1301=0),""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*('Istoric_Nativ'!$Q$6:$Q$405&gt;H1301))/AK1301)</x:f>
      </x:c>
      <x:c r="Q1301" s="10" t="str">
        <x:f>IF(OR(NOT(AND(J1301="PASS",'Calibrare_Linii'!U13="VALID")),AL1301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M98)+((('Istoric_Nativ'!$E$6:$E$405='Input_Meci'!E98)+('Istoric_Nativ'!$F$6:$F$405='Input_Meci'!E98))&gt;0)*('Istoric_Nativ'!$D$6:$D$405&gt;='Motor_Meciuri'!BN98))&gt;0)*('Istoric_Nativ'!$Q$6:$Q$405&gt;H1301))/AL1301)</x:f>
      </x:c>
      <x:c r="R1301" s="10" t="str">
        <x:f>IF(OR(NOT(AND(J1301="PASS",'Calibrare_Linii'!U13="VALID")),AM1301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O98)+((('Istoric_Nativ'!$E$6:$E$405='Input_Meci'!E98)+('Istoric_Nativ'!$F$6:$F$405='Input_Meci'!E98))&gt;0)*('Istoric_Nativ'!$D$6:$D$405&gt;='Motor_Meciuri'!BP98))&gt;0)*('Istoric_Nativ'!$Q$6:$Q$405&gt;H1301))/AM1301)</x:f>
      </x:c>
      <x:c r="S1301" s="10" t="str">
        <x:f>IF(M1301="","",MAX(O1301,P1301,Q1301,R1301))</x:f>
      </x:c>
      <x:c r="T1301" s="11" t="str">
        <x:f>IF(M1301="","",MIN(100,S1301*100*'Config_v6'!$B$44+MIN(100,L1301/'Config_v6'!$B$13*100)*'Config_v6'!$B$45+(100-'Motor_Meciuri'!BF98)*'Config_v6'!$B$46+'Motor_Meciuri'!BH98*100*'Config_v6'!$B$47))</x:f>
      </x:c>
      <x:c r="U1301" s="2" t="str">
        <x:f>IF(T1301="","",IF(T1301&lt;=20,1,IF(T1301&lt;=40,2,IF(T1301&lt;=60,3,IF(T1301&lt;=80,4,5)))))</x:f>
      </x:c>
      <x:c r="V1301" s="2" t="str">
        <x:f>IF(M1301="","",MAX(0,'Motor_Meciuri'!BF98-IF(W1301="OOS PENDING",'Config_v6'!$B$35,0)-IF(L1301&gt;'Config_v6'!$B$12,'Config_v6'!$B$37,IF(L1301&gt;'Config_v6'!$B$11,'Config_v6'!$B$36,0))))</x:f>
      </x:c>
      <x:c r="W1301" s="2" t="str">
        <x:f>IF(B1301="","",IF(I1301&lt;&gt;"READY","NOT RELEASED",IF(NOT(AND(J1301="PASS",'Calibrare_Linii'!U13="VALID")),"INVALID",IF(NOT(AND('Calibrare_Linii'!S13="VALIDATED",AND('Calibrare_Linii'!H13=C1301,ISNUMBER('Calibrare_Linii'!J13),'Calibrare_Linii'!J13&lt;='Input_Meci'!G98))),"OOS PENDING",IF(S1301&lt;='Calibrare_Linii'!E13,"PASS",IF(S1301&lt;='Calibrare_Linii'!F13,"PENALTY","WATCH"))))))</x:f>
      </x:c>
      <x:c r="X1301" s="2" t="str">
        <x:f>IF(M1301="","",IF(AND(AND(J1301="PASS",'Calibrare_Linii'!U13="VALID"),'Motor_Meciuri'!K98=12,'Motor_Meciuri'!L98=12,'Motor_Meciuri'!M98="NO",'Motor_Meciuri'!BL98='Motor_Meciuri'!C98,AB1301&gt;='Config_v6'!$B$50,AN1301&gt;='Config_v6'!$B$51,T1301&lt;='Config_v6'!$B$52,L1301&lt;='Config_v6'!$B$53,ISNUMBER('Calibrare_Linii'!E13),S1301&lt;='Calibrare_Linii'!E13,SUM(AK1301:AM1301)&gt;0),"CANDIDATE","NO"))</x:f>
      </x:c>
      <x:c r="Y1301" s="2" t="str">
        <x:f>IF(B1301="","",IF(I1301&lt;&gt;"READY","NOT RELEASED",IF(AND(X1301="CANDIDATE",V1301&gt;='Config_v6'!$B$51,W1301="PASS",'Calibrare_Linii'!T13="VALIDATED",AND('Calibrare_Linii'!H13=C1301,ISNUMBER('Calibrare_Linii'!J13),'Calibrare_Linii'!J13&lt;='Input_Meci'!G98)),"PASS",IF(X1301="CANDIDATE","OOS PENDING","FAIL"))))</x:f>
      </x:c>
      <x:c r="Z1301" s="2" t="str">
        <x:f>IF(B1301="","",IF(I1301&lt;&gt;"READY","",IF(OR(NOT(AND(J1301="PASS",'Calibrare_Linii'!U13="VALID")),L1301&gt;'Config_v6'!$B$13,W1301="WATCH"),5,IF(Y1301="PASS",1,MIN(5,MAX('Config_v6'!$B$42,U1301)+IF(W1301="PENALTY",1,0))))))</x:f>
      </x:c>
      <x:c r="AA1301" s="2" t="str">
        <x:f>IF(B1301="","",IF(I1301&lt;&gt;"READY","NOT RELEASED",IF(Z1301=5,"NO BET",IF(OR(AB1301&lt;'Config_v6'!$B$16,V1301&lt;'Config_v6'!$B$18),"WATCH",IF(Z1301=1,"DEFENSIV",IF(Z1301=2,"PRUDENT",IF(Z1301=3,"MODERAT","RIDICAT")))))))</x:f>
      </x:c>
      <x:c r="AB1301" s="10" t="str">
        <x:f>IF(N1301="","",MIN(N1301,1-S1301))</x:f>
      </x:c>
      <x:c r="AC1301" s="2" t="str">
        <x:f>IF(AD1301&lt;&gt;1,"",COUNTIFS($Z$1294:$Z$1307,"&lt;"&amp;Z1301,$AD$1294:$AD$1307,1)+COUNTIFS($Z$1294:$Z$1307,Z1301,$AB$1294:$AB$1307,"&gt;"&amp;AB1301,$AD$1294:$AD$1307,1)+COUNTIFS($Z$1294:$Z$1307,Z1301,$AB$1294:$AB$1307,AB1301,$V$1294:$V$1307,"&gt;"&amp;V1301,$AD$1294:$AD$1307,1)+COUNTIFS($Z$1294:Z1301,Z1301,$AB$1294:AB1301,AB1301,$V$1294:V1301,V1301,$AD$1294:AD1301,1))</x:f>
      </x:c>
      <x:c r="AD1301" s="2" t="n">
        <x:f>IF(OR(AA1301="DEFENSIV",AA1301="PRUDENT",AA1301="MODERAT",AA1301="RIDICAT"),1,0)</x:f>
        <x:v>0</x:v>
      </x:c>
      <x:c r="AE1301" s="2" t="str">
        <x:f>IF(AD1301&lt;&gt;1,"NO",IF(W1301="PASS","YES",IF(W1301="OOS PENDING","CONDITIONAL","NO")))</x:f>
        <x:v>NO</x:v>
      </x:c>
      <x:c r="AF1301" s="2" t="n">
        <x:f>IF(AND(AD1301=1,AC1301=1,E1301="LIVE"),1,0)</x:f>
        <x:v>0</x:v>
      </x:c>
      <x:c r="AG1301" s="2" t="str">
        <x:f>IF(AF1301&lt;&gt;1,"",'Dashboard'!P118)</x:f>
      </x:c>
      <x:c r="AH1301" s="2" t="str">
        <x:f>IF(B1301="","",IF(J1301&lt;&gt;"PASS",'Motor_Meciuri'!J98,IF('Calibrare_Linii'!U13&lt;&gt;"VALID","Parametri linie invalizi",IF(L1301&gt;'Config_v6'!$B$13,"Dispersie peste limita",IF(W1301="WATCH","Failure peste limita",IF(AB1301&lt;'Config_v6'!$B$16,"P finala sub prag",IF(V1301&lt;'Config_v6'!$B$18,"Confidence sub prag",IF(E1301="REPLAY","Exemplu retrospectiv; exclus din Top LIVE",IF(Y1301="PASS","DEFENSIV validat",IF(W1301="OOS PENDING","Eligibil; calibrare linie in monitorizare","Eligibil"))))))))))</x:f>
      </x:c>
      <x:c r="AI1301" s="2" t="str">
        <x:f>IF(B1301="","",'Calibrare_Linii'!V13)</x:f>
      </x:c>
      <x:c r="AJ1301" s="2" t="str">
        <x:f>IF(B1301="","",IF(AND('Calibrare_Linii'!T13="VALIDATED",AND('Calibrare_Linii'!H13=C1301,ISNUMBER('Calibrare_Linii'!J13),'Calibrare_Linii'!J13&lt;='Input_Meci'!G98)),"DEFENSIVE VALIDATED",IF(AND('Calibrare_Linii'!S13="VALIDATED",AND('Calibrare_Linii'!H13=C1301,ISNUMBER('Calibrare_Linii'!J13),'Calibrare_Linii'!J13&lt;='Input_Meci'!G98)),"TAIL VALIDATED","OOS PENDING")))</x:f>
      </x:c>
      <x:c r="AK1301" s="2" t="n">
        <x:f>IF(J1301&lt;&gt;"PASS",0,'Motor_Meciuri'!BR98)</x:f>
        <x:v>0</x:v>
      </x:c>
      <x:c r="AL1301" s="2" t="n">
        <x:f>IF(J1301&lt;&gt;"PASS",0,'Motor_Meciuri'!BS98)</x:f>
        <x:v>0</x:v>
      </x:c>
      <x:c r="AM1301" s="2" t="n">
        <x:f>IF(J1301&lt;&gt;"PASS",0,'Motor_Meciuri'!BT98)</x:f>
        <x:v>0</x:v>
      </x:c>
      <x:c r="AN1301" s="2" t="str">
        <x:f>IF(M1301="","",MAX(0,'Motor_Meciuri'!BF98-IF(L1301&gt;'Config_v6'!$B$12,'Config_v6'!$B$37,IF(L1301&gt;'Config_v6'!$B$11,'Config_v6'!$B$36,0))))</x:f>
      </x:c>
    </x:row>
    <x:row r="1302" ht="21" customHeight="1">
      <x:c r="A1302" s="2" t="n">
        <x:v>93</x:v>
      </x:c>
      <x:c r="B1302" s="2" t="str">
        <x:f>IF('Motor_Meciuri'!A98="","",'Motor_Meciuri'!A98)</x:f>
      </x:c>
      <x:c r="C1302" s="2" t="str">
        <x:f>IF(B1302="","",'Motor_Meciuri'!B98)</x:f>
      </x:c>
      <x:c r="D1302" s="2" t="str">
        <x:f>IF(B1302="","",'Motor_Meciuri'!D98)</x:f>
      </x:c>
      <x:c r="E1302" s="2" t="str">
        <x:f>IF(B1302="","",'Motor_Meciuri'!E98)</x:f>
      </x:c>
      <x:c r="F1302" s="2" t="str">
        <x:v>U12,5</x:v>
      </x:c>
      <x:c r="G1302" s="2" t="str">
        <x:v>UNDER</x:v>
      </x:c>
      <x:c r="H1302" s="2" t="n">
        <x:v>12</x:v>
      </x:c>
      <x:c r="I1302" s="2" t="str">
        <x:f>IF(B1302="","",'Motor_Meciuri'!H98)</x:f>
      </x:c>
      <x:c r="J1302" s="2" t="str">
        <x:f>IF(B1302="","",'Motor_Meciuri'!I98)</x:f>
      </x:c>
      <x:c r="K1302" s="11" t="str">
        <x:f>IF(J1302&lt;&gt;"PASS","",'Motor_Meciuri'!BD98)</x:f>
      </x:c>
      <x:c r="L1302" s="11" t="str">
        <x:f>IF(J1302&lt;&gt;"PASS","",'Motor_Meciuri'!AU98)</x:f>
      </x:c>
      <x:c r="M1302" s="10" t="str">
        <x:f>IF(NOT(AND(J1302="PASS",'Calibrare_Linii'!U14="VALID")),"",'Distributie'!AJ98)</x:f>
      </x:c>
      <x:c r="N1302" s="10" t="str">
        <x:f>IF(M1302="","",MAX(0.01,MIN(0.99,0.5+(M1302-0.5)*'Motor_Meciuri'!BG98*'Calibrare_Linii'!D14)))</x:f>
      </x:c>
      <x:c r="O1302" s="10" t="str">
        <x:f>IF(M1302="","",1-M1302)</x:f>
      </x:c>
      <x:c r="P1302" s="10" t="str">
        <x:f>IF(OR(NOT(AND(J1302="PASS",'Calibrare_Linii'!U14="VALID")),AK1302=0),""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*('Istoric_Nativ'!$Q$6:$Q$405&gt;H1302))/AK1302)</x:f>
      </x:c>
      <x:c r="Q1302" s="10" t="str">
        <x:f>IF(OR(NOT(AND(J1302="PASS",'Calibrare_Linii'!U14="VALID")),AL1302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M98)+((('Istoric_Nativ'!$E$6:$E$405='Input_Meci'!E98)+('Istoric_Nativ'!$F$6:$F$405='Input_Meci'!E98))&gt;0)*('Istoric_Nativ'!$D$6:$D$405&gt;='Motor_Meciuri'!BN98))&gt;0)*('Istoric_Nativ'!$Q$6:$Q$405&gt;H1302))/AL1302)</x:f>
      </x:c>
      <x:c r="R1302" s="10" t="str">
        <x:f>IF(OR(NOT(AND(J1302="PASS",'Calibrare_Linii'!U14="VALID")),AM1302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O98)+((('Istoric_Nativ'!$E$6:$E$405='Input_Meci'!E98)+('Istoric_Nativ'!$F$6:$F$405='Input_Meci'!E98))&gt;0)*('Istoric_Nativ'!$D$6:$D$405&gt;='Motor_Meciuri'!BP98))&gt;0)*('Istoric_Nativ'!$Q$6:$Q$405&gt;H1302))/AM1302)</x:f>
      </x:c>
      <x:c r="S1302" s="10" t="str">
        <x:f>IF(M1302="","",MAX(O1302,P1302,Q1302,R1302))</x:f>
      </x:c>
      <x:c r="T1302" s="11" t="str">
        <x:f>IF(M1302="","",MIN(100,S1302*100*'Config_v6'!$B$44+MIN(100,L1302/'Config_v6'!$B$13*100)*'Config_v6'!$B$45+(100-'Motor_Meciuri'!BF98)*'Config_v6'!$B$46+'Motor_Meciuri'!BH98*100*'Config_v6'!$B$47))</x:f>
      </x:c>
      <x:c r="U1302" s="2" t="str">
        <x:f>IF(T1302="","",IF(T1302&lt;=20,1,IF(T1302&lt;=40,2,IF(T1302&lt;=60,3,IF(T1302&lt;=80,4,5)))))</x:f>
      </x:c>
      <x:c r="V1302" s="2" t="str">
        <x:f>IF(M1302="","",MAX(0,'Motor_Meciuri'!BF98-IF(W1302="OOS PENDING",'Config_v6'!$B$35,0)-IF(L1302&gt;'Config_v6'!$B$12,'Config_v6'!$B$37,IF(L1302&gt;'Config_v6'!$B$11,'Config_v6'!$B$36,0))))</x:f>
      </x:c>
      <x:c r="W1302" s="2" t="str">
        <x:f>IF(B1302="","",IF(I1302&lt;&gt;"READY","NOT RELEASED",IF(NOT(AND(J1302="PASS",'Calibrare_Linii'!U14="VALID")),"INVALID",IF(NOT(AND('Calibrare_Linii'!S14="VALIDATED",AND('Calibrare_Linii'!H14=C1302,ISNUMBER('Calibrare_Linii'!J14),'Calibrare_Linii'!J14&lt;='Input_Meci'!G98))),"OOS PENDING",IF(S1302&lt;='Calibrare_Linii'!E14,"PASS",IF(S1302&lt;='Calibrare_Linii'!F14,"PENALTY","WATCH"))))))</x:f>
      </x:c>
      <x:c r="X1302" s="2" t="str">
        <x:f>IF(M1302="","",IF(AND(AND(J1302="PASS",'Calibrare_Linii'!U14="VALID"),'Motor_Meciuri'!K98=12,'Motor_Meciuri'!L98=12,'Motor_Meciuri'!M98="NO",'Motor_Meciuri'!BL98='Motor_Meciuri'!C98,AB1302&gt;='Config_v6'!$B$50,AN1302&gt;='Config_v6'!$B$51,T1302&lt;='Config_v6'!$B$52,L1302&lt;='Config_v6'!$B$53,ISNUMBER('Calibrare_Linii'!E14),S1302&lt;='Calibrare_Linii'!E14,SUM(AK1302:AM1302)&gt;0),"CANDIDATE","NO"))</x:f>
      </x:c>
      <x:c r="Y1302" s="2" t="str">
        <x:f>IF(B1302="","",IF(I1302&lt;&gt;"READY","NOT RELEASED",IF(AND(X1302="CANDIDATE",V1302&gt;='Config_v6'!$B$51,W1302="PASS",'Calibrare_Linii'!T14="VALIDATED",AND('Calibrare_Linii'!H14=C1302,ISNUMBER('Calibrare_Linii'!J14),'Calibrare_Linii'!J14&lt;='Input_Meci'!G98)),"PASS",IF(X1302="CANDIDATE","OOS PENDING","FAIL"))))</x:f>
      </x:c>
      <x:c r="Z1302" s="2" t="str">
        <x:f>IF(B1302="","",IF(I1302&lt;&gt;"READY","",IF(OR(NOT(AND(J1302="PASS",'Calibrare_Linii'!U14="VALID")),L1302&gt;'Config_v6'!$B$13,W1302="WATCH"),5,IF(Y1302="PASS",1,MIN(5,MAX('Config_v6'!$B$42,U1302)+IF(W1302="PENALTY",1,0))))))</x:f>
      </x:c>
      <x:c r="AA1302" s="2" t="str">
        <x:f>IF(B1302="","",IF(I1302&lt;&gt;"READY","NOT RELEASED",IF(Z1302=5,"NO BET",IF(OR(AB1302&lt;'Config_v6'!$B$16,V1302&lt;'Config_v6'!$B$18),"WATCH",IF(Z1302=1,"DEFENSIV",IF(Z1302=2,"PRUDENT",IF(Z1302=3,"MODERAT","RIDICAT")))))))</x:f>
      </x:c>
      <x:c r="AB1302" s="10" t="str">
        <x:f>IF(N1302="","",MIN(N1302,1-S1302))</x:f>
      </x:c>
      <x:c r="AC1302" s="2" t="str">
        <x:f>IF(AD1302&lt;&gt;1,"",COUNTIFS($Z$1294:$Z$1307,"&lt;"&amp;Z1302,$AD$1294:$AD$1307,1)+COUNTIFS($Z$1294:$Z$1307,Z1302,$AB$1294:$AB$1307,"&gt;"&amp;AB1302,$AD$1294:$AD$1307,1)+COUNTIFS($Z$1294:$Z$1307,Z1302,$AB$1294:$AB$1307,AB1302,$V$1294:$V$1307,"&gt;"&amp;V1302,$AD$1294:$AD$1307,1)+COUNTIFS($Z$1294:Z1302,Z1302,$AB$1294:AB1302,AB1302,$V$1294:V1302,V1302,$AD$1294:AD1302,1))</x:f>
      </x:c>
      <x:c r="AD1302" s="2" t="n">
        <x:f>IF(OR(AA1302="DEFENSIV",AA1302="PRUDENT",AA1302="MODERAT",AA1302="RIDICAT"),1,0)</x:f>
        <x:v>0</x:v>
      </x:c>
      <x:c r="AE1302" s="2" t="str">
        <x:f>IF(AD1302&lt;&gt;1,"NO",IF(W1302="PASS","YES",IF(W1302="OOS PENDING","CONDITIONAL","NO")))</x:f>
        <x:v>NO</x:v>
      </x:c>
      <x:c r="AF1302" s="2" t="n">
        <x:f>IF(AND(AD1302=1,AC1302=1,E1302="LIVE"),1,0)</x:f>
        <x:v>0</x:v>
      </x:c>
      <x:c r="AG1302" s="2" t="str">
        <x:f>IF(AF1302&lt;&gt;1,"",'Dashboard'!P118)</x:f>
      </x:c>
      <x:c r="AH1302" s="2" t="str">
        <x:f>IF(B1302="","",IF(J1302&lt;&gt;"PASS",'Motor_Meciuri'!J98,IF('Calibrare_Linii'!U14&lt;&gt;"VALID","Parametri linie invalizi",IF(L1302&gt;'Config_v6'!$B$13,"Dispersie peste limita",IF(W1302="WATCH","Failure peste limita",IF(AB1302&lt;'Config_v6'!$B$16,"P finala sub prag",IF(V1302&lt;'Config_v6'!$B$18,"Confidence sub prag",IF(E1302="REPLAY","Exemplu retrospectiv; exclus din Top LIVE",IF(Y1302="PASS","DEFENSIV validat",IF(W1302="OOS PENDING","Eligibil; calibrare linie in monitorizare","Eligibil"))))))))))</x:f>
      </x:c>
      <x:c r="AI1302" s="2" t="str">
        <x:f>IF(B1302="","",'Calibrare_Linii'!V14)</x:f>
      </x:c>
      <x:c r="AJ1302" s="2" t="str">
        <x:f>IF(B1302="","",IF(AND('Calibrare_Linii'!T14="VALIDATED",AND('Calibrare_Linii'!H14=C1302,ISNUMBER('Calibrare_Linii'!J14),'Calibrare_Linii'!J14&lt;='Input_Meci'!G98)),"DEFENSIVE VALIDATED",IF(AND('Calibrare_Linii'!S14="VALIDATED",AND('Calibrare_Linii'!H14=C1302,ISNUMBER('Calibrare_Linii'!J14),'Calibrare_Linii'!J14&lt;='Input_Meci'!G98)),"TAIL VALIDATED","OOS PENDING")))</x:f>
      </x:c>
      <x:c r="AK1302" s="2" t="n">
        <x:f>IF(J1302&lt;&gt;"PASS",0,'Motor_Meciuri'!BR98)</x:f>
        <x:v>0</x:v>
      </x:c>
      <x:c r="AL1302" s="2" t="n">
        <x:f>IF(J1302&lt;&gt;"PASS",0,'Motor_Meciuri'!BS98)</x:f>
        <x:v>0</x:v>
      </x:c>
      <x:c r="AM1302" s="2" t="n">
        <x:f>IF(J1302&lt;&gt;"PASS",0,'Motor_Meciuri'!BT98)</x:f>
        <x:v>0</x:v>
      </x:c>
      <x:c r="AN1302" s="2" t="str">
        <x:f>IF(M1302="","",MAX(0,'Motor_Meciuri'!BF98-IF(L1302&gt;'Config_v6'!$B$12,'Config_v6'!$B$37,IF(L1302&gt;'Config_v6'!$B$11,'Config_v6'!$B$36,0))))</x:f>
      </x:c>
    </x:row>
    <x:row r="1303" ht="21" customHeight="1">
      <x:c r="A1303" s="2" t="n">
        <x:v>93</x:v>
      </x:c>
      <x:c r="B1303" s="2" t="str">
        <x:f>IF('Motor_Meciuri'!A98="","",'Motor_Meciuri'!A98)</x:f>
      </x:c>
      <x:c r="C1303" s="2" t="str">
        <x:f>IF(B1303="","",'Motor_Meciuri'!B98)</x:f>
      </x:c>
      <x:c r="D1303" s="2" t="str">
        <x:f>IF(B1303="","",'Motor_Meciuri'!D98)</x:f>
      </x:c>
      <x:c r="E1303" s="2" t="str">
        <x:f>IF(B1303="","",'Motor_Meciuri'!E98)</x:f>
      </x:c>
      <x:c r="F1303" s="2" t="str">
        <x:v>U13,5</x:v>
      </x:c>
      <x:c r="G1303" s="2" t="str">
        <x:v>UNDER</x:v>
      </x:c>
      <x:c r="H1303" s="2" t="n">
        <x:v>13</x:v>
      </x:c>
      <x:c r="I1303" s="2" t="str">
        <x:f>IF(B1303="","",'Motor_Meciuri'!H98)</x:f>
      </x:c>
      <x:c r="J1303" s="2" t="str">
        <x:f>IF(B1303="","",'Motor_Meciuri'!I98)</x:f>
      </x:c>
      <x:c r="K1303" s="11" t="str">
        <x:f>IF(J1303&lt;&gt;"PASS","",'Motor_Meciuri'!BD98)</x:f>
      </x:c>
      <x:c r="L1303" s="11" t="str">
        <x:f>IF(J1303&lt;&gt;"PASS","",'Motor_Meciuri'!AU98)</x:f>
      </x:c>
      <x:c r="M1303" s="10" t="str">
        <x:f>IF(NOT(AND(J1303="PASS",'Calibrare_Linii'!U15="VALID")),"",'Distributie'!AK98)</x:f>
      </x:c>
      <x:c r="N1303" s="10" t="str">
        <x:f>IF(M1303="","",MAX(0.01,MIN(0.99,0.5+(M1303-0.5)*'Motor_Meciuri'!BG98*'Calibrare_Linii'!D15)))</x:f>
      </x:c>
      <x:c r="O1303" s="10" t="str">
        <x:f>IF(M1303="","",1-M1303)</x:f>
      </x:c>
      <x:c r="P1303" s="10" t="str">
        <x:f>IF(OR(NOT(AND(J1303="PASS",'Calibrare_Linii'!U15="VALID")),AK1303=0),""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*('Istoric_Nativ'!$Q$6:$Q$405&gt;H1303))/AK1303)</x:f>
      </x:c>
      <x:c r="Q1303" s="10" t="str">
        <x:f>IF(OR(NOT(AND(J1303="PASS",'Calibrare_Linii'!U15="VALID")),AL1303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M98)+((('Istoric_Nativ'!$E$6:$E$405='Input_Meci'!E98)+('Istoric_Nativ'!$F$6:$F$405='Input_Meci'!E98))&gt;0)*('Istoric_Nativ'!$D$6:$D$405&gt;='Motor_Meciuri'!BN98))&gt;0)*('Istoric_Nativ'!$Q$6:$Q$405&gt;H1303))/AL1303)</x:f>
      </x:c>
      <x:c r="R1303" s="10" t="str">
        <x:f>IF(OR(NOT(AND(J1303="PASS",'Calibrare_Linii'!U15="VALID")),AM1303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O98)+((('Istoric_Nativ'!$E$6:$E$405='Input_Meci'!E98)+('Istoric_Nativ'!$F$6:$F$405='Input_Meci'!E98))&gt;0)*('Istoric_Nativ'!$D$6:$D$405&gt;='Motor_Meciuri'!BP98))&gt;0)*('Istoric_Nativ'!$Q$6:$Q$405&gt;H1303))/AM1303)</x:f>
      </x:c>
      <x:c r="S1303" s="10" t="str">
        <x:f>IF(M1303="","",MAX(O1303,P1303,Q1303,R1303))</x:f>
      </x:c>
      <x:c r="T1303" s="11" t="str">
        <x:f>IF(M1303="","",MIN(100,S1303*100*'Config_v6'!$B$44+MIN(100,L1303/'Config_v6'!$B$13*100)*'Config_v6'!$B$45+(100-'Motor_Meciuri'!BF98)*'Config_v6'!$B$46+'Motor_Meciuri'!BH98*100*'Config_v6'!$B$47))</x:f>
      </x:c>
      <x:c r="U1303" s="2" t="str">
        <x:f>IF(T1303="","",IF(T1303&lt;=20,1,IF(T1303&lt;=40,2,IF(T1303&lt;=60,3,IF(T1303&lt;=80,4,5)))))</x:f>
      </x:c>
      <x:c r="V1303" s="2" t="str">
        <x:f>IF(M1303="","",MAX(0,'Motor_Meciuri'!BF98-IF(W1303="OOS PENDING",'Config_v6'!$B$35,0)-IF(L1303&gt;'Config_v6'!$B$12,'Config_v6'!$B$37,IF(L1303&gt;'Config_v6'!$B$11,'Config_v6'!$B$36,0))))</x:f>
      </x:c>
      <x:c r="W1303" s="2" t="str">
        <x:f>IF(B1303="","",IF(I1303&lt;&gt;"READY","NOT RELEASED",IF(NOT(AND(J1303="PASS",'Calibrare_Linii'!U15="VALID")),"INVALID",IF(NOT(AND('Calibrare_Linii'!S15="VALIDATED",AND('Calibrare_Linii'!H15=C1303,ISNUMBER('Calibrare_Linii'!J15),'Calibrare_Linii'!J15&lt;='Input_Meci'!G98))),"OOS PENDING",IF(S1303&lt;='Calibrare_Linii'!E15,"PASS",IF(S1303&lt;='Calibrare_Linii'!F15,"PENALTY","WATCH"))))))</x:f>
      </x:c>
      <x:c r="X1303" s="2" t="str">
        <x:f>IF(M1303="","",IF(AND(AND(J1303="PASS",'Calibrare_Linii'!U15="VALID"),'Motor_Meciuri'!K98=12,'Motor_Meciuri'!L98=12,'Motor_Meciuri'!M98="NO",'Motor_Meciuri'!BL98='Motor_Meciuri'!C98,AB1303&gt;='Config_v6'!$B$50,AN1303&gt;='Config_v6'!$B$51,T1303&lt;='Config_v6'!$B$52,L1303&lt;='Config_v6'!$B$53,ISNUMBER('Calibrare_Linii'!E15),S1303&lt;='Calibrare_Linii'!E15,SUM(AK1303:AM1303)&gt;0),"CANDIDATE","NO"))</x:f>
      </x:c>
      <x:c r="Y1303" s="2" t="str">
        <x:f>IF(B1303="","",IF(I1303&lt;&gt;"READY","NOT RELEASED",IF(AND(X1303="CANDIDATE",V1303&gt;='Config_v6'!$B$51,W1303="PASS",'Calibrare_Linii'!T15="VALIDATED",AND('Calibrare_Linii'!H15=C1303,ISNUMBER('Calibrare_Linii'!J15),'Calibrare_Linii'!J15&lt;='Input_Meci'!G98)),"PASS",IF(X1303="CANDIDATE","OOS PENDING","FAIL"))))</x:f>
      </x:c>
      <x:c r="Z1303" s="2" t="str">
        <x:f>IF(B1303="","",IF(I1303&lt;&gt;"READY","",IF(OR(NOT(AND(J1303="PASS",'Calibrare_Linii'!U15="VALID")),L1303&gt;'Config_v6'!$B$13,W1303="WATCH"),5,IF(Y1303="PASS",1,MIN(5,MAX('Config_v6'!$B$42,U1303)+IF(W1303="PENALTY",1,0))))))</x:f>
      </x:c>
      <x:c r="AA1303" s="2" t="str">
        <x:f>IF(B1303="","",IF(I1303&lt;&gt;"READY","NOT RELEASED",IF(Z1303=5,"NO BET",IF(OR(AB1303&lt;'Config_v6'!$B$16,V1303&lt;'Config_v6'!$B$18),"WATCH",IF(Z1303=1,"DEFENSIV",IF(Z1303=2,"PRUDENT",IF(Z1303=3,"MODERAT","RIDICAT")))))))</x:f>
      </x:c>
      <x:c r="AB1303" s="10" t="str">
        <x:f>IF(N1303="","",MIN(N1303,1-S1303))</x:f>
      </x:c>
      <x:c r="AC1303" s="2" t="str">
        <x:f>IF(AD1303&lt;&gt;1,"",COUNTIFS($Z$1294:$Z$1307,"&lt;"&amp;Z1303,$AD$1294:$AD$1307,1)+COUNTIFS($Z$1294:$Z$1307,Z1303,$AB$1294:$AB$1307,"&gt;"&amp;AB1303,$AD$1294:$AD$1307,1)+COUNTIFS($Z$1294:$Z$1307,Z1303,$AB$1294:$AB$1307,AB1303,$V$1294:$V$1307,"&gt;"&amp;V1303,$AD$1294:$AD$1307,1)+COUNTIFS($Z$1294:Z1303,Z1303,$AB$1294:AB1303,AB1303,$V$1294:V1303,V1303,$AD$1294:AD1303,1))</x:f>
      </x:c>
      <x:c r="AD1303" s="2" t="n">
        <x:f>IF(OR(AA1303="DEFENSIV",AA1303="PRUDENT",AA1303="MODERAT",AA1303="RIDICAT"),1,0)</x:f>
        <x:v>0</x:v>
      </x:c>
      <x:c r="AE1303" s="2" t="str">
        <x:f>IF(AD1303&lt;&gt;1,"NO",IF(W1303="PASS","YES",IF(W1303="OOS PENDING","CONDITIONAL","NO")))</x:f>
        <x:v>NO</x:v>
      </x:c>
      <x:c r="AF1303" s="2" t="n">
        <x:f>IF(AND(AD1303=1,AC1303=1,E1303="LIVE"),1,0)</x:f>
        <x:v>0</x:v>
      </x:c>
      <x:c r="AG1303" s="2" t="str">
        <x:f>IF(AF1303&lt;&gt;1,"",'Dashboard'!P118)</x:f>
      </x:c>
      <x:c r="AH1303" s="2" t="str">
        <x:f>IF(B1303="","",IF(J1303&lt;&gt;"PASS",'Motor_Meciuri'!J98,IF('Calibrare_Linii'!U15&lt;&gt;"VALID","Parametri linie invalizi",IF(L1303&gt;'Config_v6'!$B$13,"Dispersie peste limita",IF(W1303="WATCH","Failure peste limita",IF(AB1303&lt;'Config_v6'!$B$16,"P finala sub prag",IF(V1303&lt;'Config_v6'!$B$18,"Confidence sub prag",IF(E1303="REPLAY","Exemplu retrospectiv; exclus din Top LIVE",IF(Y1303="PASS","DEFENSIV validat",IF(W1303="OOS PENDING","Eligibil; calibrare linie in monitorizare","Eligibil"))))))))))</x:f>
      </x:c>
      <x:c r="AI1303" s="2" t="str">
        <x:f>IF(B1303="","",'Calibrare_Linii'!V15)</x:f>
      </x:c>
      <x:c r="AJ1303" s="2" t="str">
        <x:f>IF(B1303="","",IF(AND('Calibrare_Linii'!T15="VALIDATED",AND('Calibrare_Linii'!H15=C1303,ISNUMBER('Calibrare_Linii'!J15),'Calibrare_Linii'!J15&lt;='Input_Meci'!G98)),"DEFENSIVE VALIDATED",IF(AND('Calibrare_Linii'!S15="VALIDATED",AND('Calibrare_Linii'!H15=C1303,ISNUMBER('Calibrare_Linii'!J15),'Calibrare_Linii'!J15&lt;='Input_Meci'!G98)),"TAIL VALIDATED","OOS PENDING")))</x:f>
      </x:c>
      <x:c r="AK1303" s="2" t="n">
        <x:f>IF(J1303&lt;&gt;"PASS",0,'Motor_Meciuri'!BR98)</x:f>
        <x:v>0</x:v>
      </x:c>
      <x:c r="AL1303" s="2" t="n">
        <x:f>IF(J1303&lt;&gt;"PASS",0,'Motor_Meciuri'!BS98)</x:f>
        <x:v>0</x:v>
      </x:c>
      <x:c r="AM1303" s="2" t="n">
        <x:f>IF(J1303&lt;&gt;"PASS",0,'Motor_Meciuri'!BT98)</x:f>
        <x:v>0</x:v>
      </x:c>
      <x:c r="AN1303" s="2" t="str">
        <x:f>IF(M1303="","",MAX(0,'Motor_Meciuri'!BF98-IF(L1303&gt;'Config_v6'!$B$12,'Config_v6'!$B$37,IF(L1303&gt;'Config_v6'!$B$11,'Config_v6'!$B$36,0))))</x:f>
      </x:c>
    </x:row>
    <x:row r="1304" ht="21" customHeight="1">
      <x:c r="A1304" s="2" t="n">
        <x:v>93</x:v>
      </x:c>
      <x:c r="B1304" s="2" t="str">
        <x:f>IF('Motor_Meciuri'!A98="","",'Motor_Meciuri'!A98)</x:f>
      </x:c>
      <x:c r="C1304" s="2" t="str">
        <x:f>IF(B1304="","",'Motor_Meciuri'!B98)</x:f>
      </x:c>
      <x:c r="D1304" s="2" t="str">
        <x:f>IF(B1304="","",'Motor_Meciuri'!D98)</x:f>
      </x:c>
      <x:c r="E1304" s="2" t="str">
        <x:f>IF(B1304="","",'Motor_Meciuri'!E98)</x:f>
      </x:c>
      <x:c r="F1304" s="2" t="str">
        <x:v>U14,5</x:v>
      </x:c>
      <x:c r="G1304" s="2" t="str">
        <x:v>UNDER</x:v>
      </x:c>
      <x:c r="H1304" s="2" t="n">
        <x:v>14</x:v>
      </x:c>
      <x:c r="I1304" s="2" t="str">
        <x:f>IF(B1304="","",'Motor_Meciuri'!H98)</x:f>
      </x:c>
      <x:c r="J1304" s="2" t="str">
        <x:f>IF(B1304="","",'Motor_Meciuri'!I98)</x:f>
      </x:c>
      <x:c r="K1304" s="11" t="str">
        <x:f>IF(J1304&lt;&gt;"PASS","",'Motor_Meciuri'!BD98)</x:f>
      </x:c>
      <x:c r="L1304" s="11" t="str">
        <x:f>IF(J1304&lt;&gt;"PASS","",'Motor_Meciuri'!AU98)</x:f>
      </x:c>
      <x:c r="M1304" s="10" t="str">
        <x:f>IF(NOT(AND(J1304="PASS",'Calibrare_Linii'!U16="VALID")),"",'Distributie'!AL98)</x:f>
      </x:c>
      <x:c r="N1304" s="10" t="str">
        <x:f>IF(M1304="","",MAX(0.01,MIN(0.99,0.5+(M1304-0.5)*'Motor_Meciuri'!BG98*'Calibrare_Linii'!D16)))</x:f>
      </x:c>
      <x:c r="O1304" s="10" t="str">
        <x:f>IF(M1304="","",1-M1304)</x:f>
      </x:c>
      <x:c r="P1304" s="10" t="str">
        <x:f>IF(OR(NOT(AND(J1304="PASS",'Calibrare_Linii'!U16="VALID")),AK1304=0),""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*('Istoric_Nativ'!$Q$6:$Q$405&gt;H1304))/AK1304)</x:f>
      </x:c>
      <x:c r="Q1304" s="10" t="str">
        <x:f>IF(OR(NOT(AND(J1304="PASS",'Calibrare_Linii'!U16="VALID")),AL1304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M98)+((('Istoric_Nativ'!$E$6:$E$405='Input_Meci'!E98)+('Istoric_Nativ'!$F$6:$F$405='Input_Meci'!E98))&gt;0)*('Istoric_Nativ'!$D$6:$D$405&gt;='Motor_Meciuri'!BN98))&gt;0)*('Istoric_Nativ'!$Q$6:$Q$405&gt;H1304))/AL1304)</x:f>
      </x:c>
      <x:c r="R1304" s="10" t="str">
        <x:f>IF(OR(NOT(AND(J1304="PASS",'Calibrare_Linii'!U16="VALID")),AM1304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O98)+((('Istoric_Nativ'!$E$6:$E$405='Input_Meci'!E98)+('Istoric_Nativ'!$F$6:$F$405='Input_Meci'!E98))&gt;0)*('Istoric_Nativ'!$D$6:$D$405&gt;='Motor_Meciuri'!BP98))&gt;0)*('Istoric_Nativ'!$Q$6:$Q$405&gt;H1304))/AM1304)</x:f>
      </x:c>
      <x:c r="S1304" s="10" t="str">
        <x:f>IF(M1304="","",MAX(O1304,P1304,Q1304,R1304))</x:f>
      </x:c>
      <x:c r="T1304" s="11" t="str">
        <x:f>IF(M1304="","",MIN(100,S1304*100*'Config_v6'!$B$44+MIN(100,L1304/'Config_v6'!$B$13*100)*'Config_v6'!$B$45+(100-'Motor_Meciuri'!BF98)*'Config_v6'!$B$46+'Motor_Meciuri'!BH98*100*'Config_v6'!$B$47))</x:f>
      </x:c>
      <x:c r="U1304" s="2" t="str">
        <x:f>IF(T1304="","",IF(T1304&lt;=20,1,IF(T1304&lt;=40,2,IF(T1304&lt;=60,3,IF(T1304&lt;=80,4,5)))))</x:f>
      </x:c>
      <x:c r="V1304" s="2" t="str">
        <x:f>IF(M1304="","",MAX(0,'Motor_Meciuri'!BF98-IF(W1304="OOS PENDING",'Config_v6'!$B$35,0)-IF(L1304&gt;'Config_v6'!$B$12,'Config_v6'!$B$37,IF(L1304&gt;'Config_v6'!$B$11,'Config_v6'!$B$36,0))))</x:f>
      </x:c>
      <x:c r="W1304" s="2" t="str">
        <x:f>IF(B1304="","",IF(I1304&lt;&gt;"READY","NOT RELEASED",IF(NOT(AND(J1304="PASS",'Calibrare_Linii'!U16="VALID")),"INVALID",IF(NOT(AND('Calibrare_Linii'!S16="VALIDATED",AND('Calibrare_Linii'!H16=C1304,ISNUMBER('Calibrare_Linii'!J16),'Calibrare_Linii'!J16&lt;='Input_Meci'!G98))),"OOS PENDING",IF(S1304&lt;='Calibrare_Linii'!E16,"PASS",IF(S1304&lt;='Calibrare_Linii'!F16,"PENALTY","WATCH"))))))</x:f>
      </x:c>
      <x:c r="X1304" s="2" t="str">
        <x:f>IF(M1304="","",IF(AND(AND(J1304="PASS",'Calibrare_Linii'!U16="VALID"),'Motor_Meciuri'!K98=12,'Motor_Meciuri'!L98=12,'Motor_Meciuri'!M98="NO",'Motor_Meciuri'!BL98='Motor_Meciuri'!C98,AB1304&gt;='Config_v6'!$B$50,AN1304&gt;='Config_v6'!$B$51,T1304&lt;='Config_v6'!$B$52,L1304&lt;='Config_v6'!$B$53,ISNUMBER('Calibrare_Linii'!E16),S1304&lt;='Calibrare_Linii'!E16,SUM(AK1304:AM1304)&gt;0),"CANDIDATE","NO"))</x:f>
      </x:c>
      <x:c r="Y1304" s="2" t="str">
        <x:f>IF(B1304="","",IF(I1304&lt;&gt;"READY","NOT RELEASED",IF(AND(X1304="CANDIDATE",V1304&gt;='Config_v6'!$B$51,W1304="PASS",'Calibrare_Linii'!T16="VALIDATED",AND('Calibrare_Linii'!H16=C1304,ISNUMBER('Calibrare_Linii'!J16),'Calibrare_Linii'!J16&lt;='Input_Meci'!G98)),"PASS",IF(X1304="CANDIDATE","OOS PENDING","FAIL"))))</x:f>
      </x:c>
      <x:c r="Z1304" s="2" t="str">
        <x:f>IF(B1304="","",IF(I1304&lt;&gt;"READY","",IF(OR(NOT(AND(J1304="PASS",'Calibrare_Linii'!U16="VALID")),L1304&gt;'Config_v6'!$B$13,W1304="WATCH"),5,IF(Y1304="PASS",1,MIN(5,MAX('Config_v6'!$B$42,U1304)+IF(W1304="PENALTY",1,0))))))</x:f>
      </x:c>
      <x:c r="AA1304" s="2" t="str">
        <x:f>IF(B1304="","",IF(I1304&lt;&gt;"READY","NOT RELEASED",IF(Z1304=5,"NO BET",IF(OR(AB1304&lt;'Config_v6'!$B$16,V1304&lt;'Config_v6'!$B$18),"WATCH",IF(Z1304=1,"DEFENSIV",IF(Z1304=2,"PRUDENT",IF(Z1304=3,"MODERAT","RIDICAT")))))))</x:f>
      </x:c>
      <x:c r="AB1304" s="10" t="str">
        <x:f>IF(N1304="","",MIN(N1304,1-S1304))</x:f>
      </x:c>
      <x:c r="AC1304" s="2" t="str">
        <x:f>IF(AD1304&lt;&gt;1,"",COUNTIFS($Z$1294:$Z$1307,"&lt;"&amp;Z1304,$AD$1294:$AD$1307,1)+COUNTIFS($Z$1294:$Z$1307,Z1304,$AB$1294:$AB$1307,"&gt;"&amp;AB1304,$AD$1294:$AD$1307,1)+COUNTIFS($Z$1294:$Z$1307,Z1304,$AB$1294:$AB$1307,AB1304,$V$1294:$V$1307,"&gt;"&amp;V1304,$AD$1294:$AD$1307,1)+COUNTIFS($Z$1294:Z1304,Z1304,$AB$1294:AB1304,AB1304,$V$1294:V1304,V1304,$AD$1294:AD1304,1))</x:f>
      </x:c>
      <x:c r="AD1304" s="2" t="n">
        <x:f>IF(OR(AA1304="DEFENSIV",AA1304="PRUDENT",AA1304="MODERAT",AA1304="RIDICAT"),1,0)</x:f>
        <x:v>0</x:v>
      </x:c>
      <x:c r="AE1304" s="2" t="str">
        <x:f>IF(AD1304&lt;&gt;1,"NO",IF(W1304="PASS","YES",IF(W1304="OOS PENDING","CONDITIONAL","NO")))</x:f>
        <x:v>NO</x:v>
      </x:c>
      <x:c r="AF1304" s="2" t="n">
        <x:f>IF(AND(AD1304=1,AC1304=1,E1304="LIVE"),1,0)</x:f>
        <x:v>0</x:v>
      </x:c>
      <x:c r="AG1304" s="2" t="str">
        <x:f>IF(AF1304&lt;&gt;1,"",'Dashboard'!P118)</x:f>
      </x:c>
      <x:c r="AH1304" s="2" t="str">
        <x:f>IF(B1304="","",IF(J1304&lt;&gt;"PASS",'Motor_Meciuri'!J98,IF('Calibrare_Linii'!U16&lt;&gt;"VALID","Parametri linie invalizi",IF(L1304&gt;'Config_v6'!$B$13,"Dispersie peste limita",IF(W1304="WATCH","Failure peste limita",IF(AB1304&lt;'Config_v6'!$B$16,"P finala sub prag",IF(V1304&lt;'Config_v6'!$B$18,"Confidence sub prag",IF(E1304="REPLAY","Exemplu retrospectiv; exclus din Top LIVE",IF(Y1304="PASS","DEFENSIV validat",IF(W1304="OOS PENDING","Eligibil; calibrare linie in monitorizare","Eligibil"))))))))))</x:f>
      </x:c>
      <x:c r="AI1304" s="2" t="str">
        <x:f>IF(B1304="","",'Calibrare_Linii'!V16)</x:f>
      </x:c>
      <x:c r="AJ1304" s="2" t="str">
        <x:f>IF(B1304="","",IF(AND('Calibrare_Linii'!T16="VALIDATED",AND('Calibrare_Linii'!H16=C1304,ISNUMBER('Calibrare_Linii'!J16),'Calibrare_Linii'!J16&lt;='Input_Meci'!G98)),"DEFENSIVE VALIDATED",IF(AND('Calibrare_Linii'!S16="VALIDATED",AND('Calibrare_Linii'!H16=C1304,ISNUMBER('Calibrare_Linii'!J16),'Calibrare_Linii'!J16&lt;='Input_Meci'!G98)),"TAIL VALIDATED","OOS PENDING")))</x:f>
      </x:c>
      <x:c r="AK1304" s="2" t="n">
        <x:f>IF(J1304&lt;&gt;"PASS",0,'Motor_Meciuri'!BR98)</x:f>
        <x:v>0</x:v>
      </x:c>
      <x:c r="AL1304" s="2" t="n">
        <x:f>IF(J1304&lt;&gt;"PASS",0,'Motor_Meciuri'!BS98)</x:f>
        <x:v>0</x:v>
      </x:c>
      <x:c r="AM1304" s="2" t="n">
        <x:f>IF(J1304&lt;&gt;"PASS",0,'Motor_Meciuri'!BT98)</x:f>
        <x:v>0</x:v>
      </x:c>
      <x:c r="AN1304" s="2" t="str">
        <x:f>IF(M1304="","",MAX(0,'Motor_Meciuri'!BF98-IF(L1304&gt;'Config_v6'!$B$12,'Config_v6'!$B$37,IF(L1304&gt;'Config_v6'!$B$11,'Config_v6'!$B$36,0))))</x:f>
      </x:c>
    </x:row>
    <x:row r="1305" ht="21" customHeight="1">
      <x:c r="A1305" s="2" t="n">
        <x:v>93</x:v>
      </x:c>
      <x:c r="B1305" s="2" t="str">
        <x:f>IF('Motor_Meciuri'!A98="","",'Motor_Meciuri'!A98)</x:f>
      </x:c>
      <x:c r="C1305" s="2" t="str">
        <x:f>IF(B1305="","",'Motor_Meciuri'!B98)</x:f>
      </x:c>
      <x:c r="D1305" s="2" t="str">
        <x:f>IF(B1305="","",'Motor_Meciuri'!D98)</x:f>
      </x:c>
      <x:c r="E1305" s="2" t="str">
        <x:f>IF(B1305="","",'Motor_Meciuri'!E98)</x:f>
      </x:c>
      <x:c r="F1305" s="2" t="str">
        <x:v>U15,5</x:v>
      </x:c>
      <x:c r="G1305" s="2" t="str">
        <x:v>UNDER</x:v>
      </x:c>
      <x:c r="H1305" s="2" t="n">
        <x:v>15</x:v>
      </x:c>
      <x:c r="I1305" s="2" t="str">
        <x:f>IF(B1305="","",'Motor_Meciuri'!H98)</x:f>
      </x:c>
      <x:c r="J1305" s="2" t="str">
        <x:f>IF(B1305="","",'Motor_Meciuri'!I98)</x:f>
      </x:c>
      <x:c r="K1305" s="11" t="str">
        <x:f>IF(J1305&lt;&gt;"PASS","",'Motor_Meciuri'!BD98)</x:f>
      </x:c>
      <x:c r="L1305" s="11" t="str">
        <x:f>IF(J1305&lt;&gt;"PASS","",'Motor_Meciuri'!AU98)</x:f>
      </x:c>
      <x:c r="M1305" s="10" t="str">
        <x:f>IF(NOT(AND(J1305="PASS",'Calibrare_Linii'!U17="VALID")),"",'Distributie'!AM98)</x:f>
      </x:c>
      <x:c r="N1305" s="10" t="str">
        <x:f>IF(M1305="","",MAX(0.01,MIN(0.99,0.5+(M1305-0.5)*'Motor_Meciuri'!BG98*'Calibrare_Linii'!D17)))</x:f>
      </x:c>
      <x:c r="O1305" s="10" t="str">
        <x:f>IF(M1305="","",1-M1305)</x:f>
      </x:c>
      <x:c r="P1305" s="10" t="str">
        <x:f>IF(OR(NOT(AND(J1305="PASS",'Calibrare_Linii'!U17="VALID")),AK1305=0),""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*('Istoric_Nativ'!$Q$6:$Q$405&gt;H1305))/AK1305)</x:f>
      </x:c>
      <x:c r="Q1305" s="10" t="str">
        <x:f>IF(OR(NOT(AND(J1305="PASS",'Calibrare_Linii'!U17="VALID")),AL1305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M98)+((('Istoric_Nativ'!$E$6:$E$405='Input_Meci'!E98)+('Istoric_Nativ'!$F$6:$F$405='Input_Meci'!E98))&gt;0)*('Istoric_Nativ'!$D$6:$D$405&gt;='Motor_Meciuri'!BN98))&gt;0)*('Istoric_Nativ'!$Q$6:$Q$405&gt;H1305))/AL1305)</x:f>
      </x:c>
      <x:c r="R1305" s="10" t="str">
        <x:f>IF(OR(NOT(AND(J1305="PASS",'Calibrare_Linii'!U17="VALID")),AM1305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O98)+((('Istoric_Nativ'!$E$6:$E$405='Input_Meci'!E98)+('Istoric_Nativ'!$F$6:$F$405='Input_Meci'!E98))&gt;0)*('Istoric_Nativ'!$D$6:$D$405&gt;='Motor_Meciuri'!BP98))&gt;0)*('Istoric_Nativ'!$Q$6:$Q$405&gt;H1305))/AM1305)</x:f>
      </x:c>
      <x:c r="S1305" s="10" t="str">
        <x:f>IF(M1305="","",MAX(O1305,P1305,Q1305,R1305))</x:f>
      </x:c>
      <x:c r="T1305" s="11" t="str">
        <x:f>IF(M1305="","",MIN(100,S1305*100*'Config_v6'!$B$44+MIN(100,L1305/'Config_v6'!$B$13*100)*'Config_v6'!$B$45+(100-'Motor_Meciuri'!BF98)*'Config_v6'!$B$46+'Motor_Meciuri'!BH98*100*'Config_v6'!$B$47))</x:f>
      </x:c>
      <x:c r="U1305" s="2" t="str">
        <x:f>IF(T1305="","",IF(T1305&lt;=20,1,IF(T1305&lt;=40,2,IF(T1305&lt;=60,3,IF(T1305&lt;=80,4,5)))))</x:f>
      </x:c>
      <x:c r="V1305" s="2" t="str">
        <x:f>IF(M1305="","",MAX(0,'Motor_Meciuri'!BF98-IF(W1305="OOS PENDING",'Config_v6'!$B$35,0)-IF(L1305&gt;'Config_v6'!$B$12,'Config_v6'!$B$37,IF(L1305&gt;'Config_v6'!$B$11,'Config_v6'!$B$36,0))))</x:f>
      </x:c>
      <x:c r="W1305" s="2" t="str">
        <x:f>IF(B1305="","",IF(I1305&lt;&gt;"READY","NOT RELEASED",IF(NOT(AND(J1305="PASS",'Calibrare_Linii'!U17="VALID")),"INVALID",IF(NOT(AND('Calibrare_Linii'!S17="VALIDATED",AND('Calibrare_Linii'!H17=C1305,ISNUMBER('Calibrare_Linii'!J17),'Calibrare_Linii'!J17&lt;='Input_Meci'!G98))),"OOS PENDING",IF(S1305&lt;='Calibrare_Linii'!E17,"PASS",IF(S1305&lt;='Calibrare_Linii'!F17,"PENALTY","WATCH"))))))</x:f>
      </x:c>
      <x:c r="X1305" s="2" t="str">
        <x:f>IF(M1305="","",IF(AND(AND(J1305="PASS",'Calibrare_Linii'!U17="VALID"),'Motor_Meciuri'!K98=12,'Motor_Meciuri'!L98=12,'Motor_Meciuri'!M98="NO",'Motor_Meciuri'!BL98='Motor_Meciuri'!C98,AB1305&gt;='Config_v6'!$B$50,AN1305&gt;='Config_v6'!$B$51,T1305&lt;='Config_v6'!$B$52,L1305&lt;='Config_v6'!$B$53,ISNUMBER('Calibrare_Linii'!E17),S1305&lt;='Calibrare_Linii'!E17,SUM(AK1305:AM1305)&gt;0),"CANDIDATE","NO"))</x:f>
      </x:c>
      <x:c r="Y1305" s="2" t="str">
        <x:f>IF(B1305="","",IF(I1305&lt;&gt;"READY","NOT RELEASED",IF(AND(X1305="CANDIDATE",V1305&gt;='Config_v6'!$B$51,W1305="PASS",'Calibrare_Linii'!T17="VALIDATED",AND('Calibrare_Linii'!H17=C1305,ISNUMBER('Calibrare_Linii'!J17),'Calibrare_Linii'!J17&lt;='Input_Meci'!G98)),"PASS",IF(X1305="CANDIDATE","OOS PENDING","FAIL"))))</x:f>
      </x:c>
      <x:c r="Z1305" s="2" t="str">
        <x:f>IF(B1305="","",IF(I1305&lt;&gt;"READY","",IF(OR(NOT(AND(J1305="PASS",'Calibrare_Linii'!U17="VALID")),L1305&gt;'Config_v6'!$B$13,W1305="WATCH"),5,IF(Y1305="PASS",1,MIN(5,MAX('Config_v6'!$B$42,U1305)+IF(W1305="PENALTY",1,0))))))</x:f>
      </x:c>
      <x:c r="AA1305" s="2" t="str">
        <x:f>IF(B1305="","",IF(I1305&lt;&gt;"READY","NOT RELEASED",IF(Z1305=5,"NO BET",IF(OR(AB1305&lt;'Config_v6'!$B$16,V1305&lt;'Config_v6'!$B$18),"WATCH",IF(Z1305=1,"DEFENSIV",IF(Z1305=2,"PRUDENT",IF(Z1305=3,"MODERAT","RIDICAT")))))))</x:f>
      </x:c>
      <x:c r="AB1305" s="10" t="str">
        <x:f>IF(N1305="","",MIN(N1305,1-S1305))</x:f>
      </x:c>
      <x:c r="AC1305" s="2" t="str">
        <x:f>IF(AD1305&lt;&gt;1,"",COUNTIFS($Z$1294:$Z$1307,"&lt;"&amp;Z1305,$AD$1294:$AD$1307,1)+COUNTIFS($Z$1294:$Z$1307,Z1305,$AB$1294:$AB$1307,"&gt;"&amp;AB1305,$AD$1294:$AD$1307,1)+COUNTIFS($Z$1294:$Z$1307,Z1305,$AB$1294:$AB$1307,AB1305,$V$1294:$V$1307,"&gt;"&amp;V1305,$AD$1294:$AD$1307,1)+COUNTIFS($Z$1294:Z1305,Z1305,$AB$1294:AB1305,AB1305,$V$1294:V1305,V1305,$AD$1294:AD1305,1))</x:f>
      </x:c>
      <x:c r="AD1305" s="2" t="n">
        <x:f>IF(OR(AA1305="DEFENSIV",AA1305="PRUDENT",AA1305="MODERAT",AA1305="RIDICAT"),1,0)</x:f>
        <x:v>0</x:v>
      </x:c>
      <x:c r="AE1305" s="2" t="str">
        <x:f>IF(AD1305&lt;&gt;1,"NO",IF(W1305="PASS","YES",IF(W1305="OOS PENDING","CONDITIONAL","NO")))</x:f>
        <x:v>NO</x:v>
      </x:c>
      <x:c r="AF1305" s="2" t="n">
        <x:f>IF(AND(AD1305=1,AC1305=1,E1305="LIVE"),1,0)</x:f>
        <x:v>0</x:v>
      </x:c>
      <x:c r="AG1305" s="2" t="str">
        <x:f>IF(AF1305&lt;&gt;1,"",'Dashboard'!P118)</x:f>
      </x:c>
      <x:c r="AH1305" s="2" t="str">
        <x:f>IF(B1305="","",IF(J1305&lt;&gt;"PASS",'Motor_Meciuri'!J98,IF('Calibrare_Linii'!U17&lt;&gt;"VALID","Parametri linie invalizi",IF(L1305&gt;'Config_v6'!$B$13,"Dispersie peste limita",IF(W1305="WATCH","Failure peste limita",IF(AB1305&lt;'Config_v6'!$B$16,"P finala sub prag",IF(V1305&lt;'Config_v6'!$B$18,"Confidence sub prag",IF(E1305="REPLAY","Exemplu retrospectiv; exclus din Top LIVE",IF(Y1305="PASS","DEFENSIV validat",IF(W1305="OOS PENDING","Eligibil; calibrare linie in monitorizare","Eligibil"))))))))))</x:f>
      </x:c>
      <x:c r="AI1305" s="2" t="str">
        <x:f>IF(B1305="","",'Calibrare_Linii'!V17)</x:f>
      </x:c>
      <x:c r="AJ1305" s="2" t="str">
        <x:f>IF(B1305="","",IF(AND('Calibrare_Linii'!T17="VALIDATED",AND('Calibrare_Linii'!H17=C1305,ISNUMBER('Calibrare_Linii'!J17),'Calibrare_Linii'!J17&lt;='Input_Meci'!G98)),"DEFENSIVE VALIDATED",IF(AND('Calibrare_Linii'!S17="VALIDATED",AND('Calibrare_Linii'!H17=C1305,ISNUMBER('Calibrare_Linii'!J17),'Calibrare_Linii'!J17&lt;='Input_Meci'!G98)),"TAIL VALIDATED","OOS PENDING")))</x:f>
      </x:c>
      <x:c r="AK1305" s="2" t="n">
        <x:f>IF(J1305&lt;&gt;"PASS",0,'Motor_Meciuri'!BR98)</x:f>
        <x:v>0</x:v>
      </x:c>
      <x:c r="AL1305" s="2" t="n">
        <x:f>IF(J1305&lt;&gt;"PASS",0,'Motor_Meciuri'!BS98)</x:f>
        <x:v>0</x:v>
      </x:c>
      <x:c r="AM1305" s="2" t="n">
        <x:f>IF(J1305&lt;&gt;"PASS",0,'Motor_Meciuri'!BT98)</x:f>
        <x:v>0</x:v>
      </x:c>
      <x:c r="AN1305" s="2" t="str">
        <x:f>IF(M1305="","",MAX(0,'Motor_Meciuri'!BF98-IF(L1305&gt;'Config_v6'!$B$12,'Config_v6'!$B$37,IF(L1305&gt;'Config_v6'!$B$11,'Config_v6'!$B$36,0))))</x:f>
      </x:c>
    </x:row>
    <x:row r="1306" ht="21" customHeight="1">
      <x:c r="A1306" s="2" t="n">
        <x:v>93</x:v>
      </x:c>
      <x:c r="B1306" s="2" t="str">
        <x:f>IF('Motor_Meciuri'!A98="","",'Motor_Meciuri'!A98)</x:f>
      </x:c>
      <x:c r="C1306" s="2" t="str">
        <x:f>IF(B1306="","",'Motor_Meciuri'!B98)</x:f>
      </x:c>
      <x:c r="D1306" s="2" t="str">
        <x:f>IF(B1306="","",'Motor_Meciuri'!D98)</x:f>
      </x:c>
      <x:c r="E1306" s="2" t="str">
        <x:f>IF(B1306="","",'Motor_Meciuri'!E98)</x:f>
      </x:c>
      <x:c r="F1306" s="2" t="str">
        <x:v>U16,5</x:v>
      </x:c>
      <x:c r="G1306" s="2" t="str">
        <x:v>UNDER</x:v>
      </x:c>
      <x:c r="H1306" s="2" t="n">
        <x:v>16</x:v>
      </x:c>
      <x:c r="I1306" s="2" t="str">
        <x:f>IF(B1306="","",'Motor_Meciuri'!H98)</x:f>
      </x:c>
      <x:c r="J1306" s="2" t="str">
        <x:f>IF(B1306="","",'Motor_Meciuri'!I98)</x:f>
      </x:c>
      <x:c r="K1306" s="11" t="str">
        <x:f>IF(J1306&lt;&gt;"PASS","",'Motor_Meciuri'!BD98)</x:f>
      </x:c>
      <x:c r="L1306" s="11" t="str">
        <x:f>IF(J1306&lt;&gt;"PASS","",'Motor_Meciuri'!AU98)</x:f>
      </x:c>
      <x:c r="M1306" s="10" t="str">
        <x:f>IF(NOT(AND(J1306="PASS",'Calibrare_Linii'!U18="VALID")),"",'Distributie'!AN98)</x:f>
      </x:c>
      <x:c r="N1306" s="10" t="str">
        <x:f>IF(M1306="","",MAX(0.01,MIN(0.99,0.5+(M1306-0.5)*'Motor_Meciuri'!BG98*'Calibrare_Linii'!D18)))</x:f>
      </x:c>
      <x:c r="O1306" s="10" t="str">
        <x:f>IF(M1306="","",1-M1306)</x:f>
      </x:c>
      <x:c r="P1306" s="10" t="str">
        <x:f>IF(OR(NOT(AND(J1306="PASS",'Calibrare_Linii'!U18="VALID")),AK1306=0),""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*('Istoric_Nativ'!$Q$6:$Q$405&gt;H1306))/AK1306)</x:f>
      </x:c>
      <x:c r="Q1306" s="10" t="str">
        <x:f>IF(OR(NOT(AND(J1306="PASS",'Calibrare_Linii'!U18="VALID")),AL1306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M98)+((('Istoric_Nativ'!$E$6:$E$405='Input_Meci'!E98)+('Istoric_Nativ'!$F$6:$F$405='Input_Meci'!E98))&gt;0)*('Istoric_Nativ'!$D$6:$D$405&gt;='Motor_Meciuri'!BN98))&gt;0)*('Istoric_Nativ'!$Q$6:$Q$405&gt;H1306))/AL1306)</x:f>
      </x:c>
      <x:c r="R1306" s="10" t="str">
        <x:f>IF(OR(NOT(AND(J1306="PASS",'Calibrare_Linii'!U18="VALID")),AM1306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O98)+((('Istoric_Nativ'!$E$6:$E$405='Input_Meci'!E98)+('Istoric_Nativ'!$F$6:$F$405='Input_Meci'!E98))&gt;0)*('Istoric_Nativ'!$D$6:$D$405&gt;='Motor_Meciuri'!BP98))&gt;0)*('Istoric_Nativ'!$Q$6:$Q$405&gt;H1306))/AM1306)</x:f>
      </x:c>
      <x:c r="S1306" s="10" t="str">
        <x:f>IF(M1306="","",MAX(O1306,P1306,Q1306,R1306))</x:f>
      </x:c>
      <x:c r="T1306" s="11" t="str">
        <x:f>IF(M1306="","",MIN(100,S1306*100*'Config_v6'!$B$44+MIN(100,L1306/'Config_v6'!$B$13*100)*'Config_v6'!$B$45+(100-'Motor_Meciuri'!BF98)*'Config_v6'!$B$46+'Motor_Meciuri'!BH98*100*'Config_v6'!$B$47))</x:f>
      </x:c>
      <x:c r="U1306" s="2" t="str">
        <x:f>IF(T1306="","",IF(T1306&lt;=20,1,IF(T1306&lt;=40,2,IF(T1306&lt;=60,3,IF(T1306&lt;=80,4,5)))))</x:f>
      </x:c>
      <x:c r="V1306" s="2" t="str">
        <x:f>IF(M1306="","",MAX(0,'Motor_Meciuri'!BF98-IF(W1306="OOS PENDING",'Config_v6'!$B$35,0)-IF(L1306&gt;'Config_v6'!$B$12,'Config_v6'!$B$37,IF(L1306&gt;'Config_v6'!$B$11,'Config_v6'!$B$36,0))))</x:f>
      </x:c>
      <x:c r="W1306" s="2" t="str">
        <x:f>IF(B1306="","",IF(I1306&lt;&gt;"READY","NOT RELEASED",IF(NOT(AND(J1306="PASS",'Calibrare_Linii'!U18="VALID")),"INVALID",IF(NOT(AND('Calibrare_Linii'!S18="VALIDATED",AND('Calibrare_Linii'!H18=C1306,ISNUMBER('Calibrare_Linii'!J18),'Calibrare_Linii'!J18&lt;='Input_Meci'!G98))),"OOS PENDING",IF(S1306&lt;='Calibrare_Linii'!E18,"PASS",IF(S1306&lt;='Calibrare_Linii'!F18,"PENALTY","WATCH"))))))</x:f>
      </x:c>
      <x:c r="X1306" s="2" t="str">
        <x:f>IF(M1306="","",IF(AND(AND(J1306="PASS",'Calibrare_Linii'!U18="VALID"),'Motor_Meciuri'!K98=12,'Motor_Meciuri'!L98=12,'Motor_Meciuri'!M98="NO",'Motor_Meciuri'!BL98='Motor_Meciuri'!C98,AB1306&gt;='Config_v6'!$B$50,AN1306&gt;='Config_v6'!$B$51,T1306&lt;='Config_v6'!$B$52,L1306&lt;='Config_v6'!$B$53,ISNUMBER('Calibrare_Linii'!E18),S1306&lt;='Calibrare_Linii'!E18,SUM(AK1306:AM1306)&gt;0),"CANDIDATE","NO"))</x:f>
      </x:c>
      <x:c r="Y1306" s="2" t="str">
        <x:f>IF(B1306="","",IF(I1306&lt;&gt;"READY","NOT RELEASED",IF(AND(X1306="CANDIDATE",V1306&gt;='Config_v6'!$B$51,W1306="PASS",'Calibrare_Linii'!T18="VALIDATED",AND('Calibrare_Linii'!H18=C1306,ISNUMBER('Calibrare_Linii'!J18),'Calibrare_Linii'!J18&lt;='Input_Meci'!G98)),"PASS",IF(X1306="CANDIDATE","OOS PENDING","FAIL"))))</x:f>
      </x:c>
      <x:c r="Z1306" s="2" t="str">
        <x:f>IF(B1306="","",IF(I1306&lt;&gt;"READY","",IF(OR(NOT(AND(J1306="PASS",'Calibrare_Linii'!U18="VALID")),L1306&gt;'Config_v6'!$B$13,W1306="WATCH"),5,IF(Y1306="PASS",1,MIN(5,MAX('Config_v6'!$B$42,U1306)+IF(W1306="PENALTY",1,0))))))</x:f>
      </x:c>
      <x:c r="AA1306" s="2" t="str">
        <x:f>IF(B1306="","",IF(I1306&lt;&gt;"READY","NOT RELEASED",IF(Z1306=5,"NO BET",IF(OR(AB1306&lt;'Config_v6'!$B$16,V1306&lt;'Config_v6'!$B$18),"WATCH",IF(Z1306=1,"DEFENSIV",IF(Z1306=2,"PRUDENT",IF(Z1306=3,"MODERAT","RIDICAT")))))))</x:f>
      </x:c>
      <x:c r="AB1306" s="10" t="str">
        <x:f>IF(N1306="","",MIN(N1306,1-S1306))</x:f>
      </x:c>
      <x:c r="AC1306" s="2" t="str">
        <x:f>IF(AD1306&lt;&gt;1,"",COUNTIFS($Z$1294:$Z$1307,"&lt;"&amp;Z1306,$AD$1294:$AD$1307,1)+COUNTIFS($Z$1294:$Z$1307,Z1306,$AB$1294:$AB$1307,"&gt;"&amp;AB1306,$AD$1294:$AD$1307,1)+COUNTIFS($Z$1294:$Z$1307,Z1306,$AB$1294:$AB$1307,AB1306,$V$1294:$V$1307,"&gt;"&amp;V1306,$AD$1294:$AD$1307,1)+COUNTIFS($Z$1294:Z1306,Z1306,$AB$1294:AB1306,AB1306,$V$1294:V1306,V1306,$AD$1294:AD1306,1))</x:f>
      </x:c>
      <x:c r="AD1306" s="2" t="n">
        <x:f>IF(OR(AA1306="DEFENSIV",AA1306="PRUDENT",AA1306="MODERAT",AA1306="RIDICAT"),1,0)</x:f>
        <x:v>0</x:v>
      </x:c>
      <x:c r="AE1306" s="2" t="str">
        <x:f>IF(AD1306&lt;&gt;1,"NO",IF(W1306="PASS","YES",IF(W1306="OOS PENDING","CONDITIONAL","NO")))</x:f>
        <x:v>NO</x:v>
      </x:c>
      <x:c r="AF1306" s="2" t="n">
        <x:f>IF(AND(AD1306=1,AC1306=1,E1306="LIVE"),1,0)</x:f>
        <x:v>0</x:v>
      </x:c>
      <x:c r="AG1306" s="2" t="str">
        <x:f>IF(AF1306&lt;&gt;1,"",'Dashboard'!P118)</x:f>
      </x:c>
      <x:c r="AH1306" s="2" t="str">
        <x:f>IF(B1306="","",IF(J1306&lt;&gt;"PASS",'Motor_Meciuri'!J98,IF('Calibrare_Linii'!U18&lt;&gt;"VALID","Parametri linie invalizi",IF(L1306&gt;'Config_v6'!$B$13,"Dispersie peste limita",IF(W1306="WATCH","Failure peste limita",IF(AB1306&lt;'Config_v6'!$B$16,"P finala sub prag",IF(V1306&lt;'Config_v6'!$B$18,"Confidence sub prag",IF(E1306="REPLAY","Exemplu retrospectiv; exclus din Top LIVE",IF(Y1306="PASS","DEFENSIV validat",IF(W1306="OOS PENDING","Eligibil; calibrare linie in monitorizare","Eligibil"))))))))))</x:f>
      </x:c>
      <x:c r="AI1306" s="2" t="str">
        <x:f>IF(B1306="","",'Calibrare_Linii'!V18)</x:f>
      </x:c>
      <x:c r="AJ1306" s="2" t="str">
        <x:f>IF(B1306="","",IF(AND('Calibrare_Linii'!T18="VALIDATED",AND('Calibrare_Linii'!H18=C1306,ISNUMBER('Calibrare_Linii'!J18),'Calibrare_Linii'!J18&lt;='Input_Meci'!G98)),"DEFENSIVE VALIDATED",IF(AND('Calibrare_Linii'!S18="VALIDATED",AND('Calibrare_Linii'!H18=C1306,ISNUMBER('Calibrare_Linii'!J18),'Calibrare_Linii'!J18&lt;='Input_Meci'!G98)),"TAIL VALIDATED","OOS PENDING")))</x:f>
      </x:c>
      <x:c r="AK1306" s="2" t="n">
        <x:f>IF(J1306&lt;&gt;"PASS",0,'Motor_Meciuri'!BR98)</x:f>
        <x:v>0</x:v>
      </x:c>
      <x:c r="AL1306" s="2" t="n">
        <x:f>IF(J1306&lt;&gt;"PASS",0,'Motor_Meciuri'!BS98)</x:f>
        <x:v>0</x:v>
      </x:c>
      <x:c r="AM1306" s="2" t="n">
        <x:f>IF(J1306&lt;&gt;"PASS",0,'Motor_Meciuri'!BT98)</x:f>
        <x:v>0</x:v>
      </x:c>
      <x:c r="AN1306" s="2" t="str">
        <x:f>IF(M1306="","",MAX(0,'Motor_Meciuri'!BF98-IF(L1306&gt;'Config_v6'!$B$12,'Config_v6'!$B$37,IF(L1306&gt;'Config_v6'!$B$11,'Config_v6'!$B$36,0))))</x:f>
      </x:c>
    </x:row>
    <x:row r="1307" ht="21" customHeight="1">
      <x:c r="A1307" s="2" t="n">
        <x:v>93</x:v>
      </x:c>
      <x:c r="B1307" s="2" t="str">
        <x:f>IF('Motor_Meciuri'!A98="","",'Motor_Meciuri'!A98)</x:f>
      </x:c>
      <x:c r="C1307" s="2" t="str">
        <x:f>IF(B1307="","",'Motor_Meciuri'!B98)</x:f>
      </x:c>
      <x:c r="D1307" s="2" t="str">
        <x:f>IF(B1307="","",'Motor_Meciuri'!D98)</x:f>
      </x:c>
      <x:c r="E1307" s="2" t="str">
        <x:f>IF(B1307="","",'Motor_Meciuri'!E98)</x:f>
      </x:c>
      <x:c r="F1307" s="2" t="str">
        <x:v>U17,5</x:v>
      </x:c>
      <x:c r="G1307" s="2" t="str">
        <x:v>UNDER</x:v>
      </x:c>
      <x:c r="H1307" s="2" t="n">
        <x:v>17</x:v>
      </x:c>
      <x:c r="I1307" s="2" t="str">
        <x:f>IF(B1307="","",'Motor_Meciuri'!H98)</x:f>
      </x:c>
      <x:c r="J1307" s="2" t="str">
        <x:f>IF(B1307="","",'Motor_Meciuri'!I98)</x:f>
      </x:c>
      <x:c r="K1307" s="11" t="str">
        <x:f>IF(J1307&lt;&gt;"PASS","",'Motor_Meciuri'!BD98)</x:f>
      </x:c>
      <x:c r="L1307" s="11" t="str">
        <x:f>IF(J1307&lt;&gt;"PASS","",'Motor_Meciuri'!AU98)</x:f>
      </x:c>
      <x:c r="M1307" s="10" t="str">
        <x:f>IF(NOT(AND(J1307="PASS",'Calibrare_Linii'!U19="VALID")),"",'Distributie'!AO98)</x:f>
      </x:c>
      <x:c r="N1307" s="10" t="str">
        <x:f>IF(M1307="","",MAX(0.01,MIN(0.99,0.5+(M1307-0.5)*'Motor_Meciuri'!BG98*'Calibrare_Linii'!D19)))</x:f>
      </x:c>
      <x:c r="O1307" s="10" t="str">
        <x:f>IF(M1307="","",1-M1307)</x:f>
      </x:c>
      <x:c r="P1307" s="10" t="str">
        <x:f>IF(OR(NOT(AND(J1307="PASS",'Calibrare_Linii'!U19="VALID")),AK1307=0),""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*('Istoric_Nativ'!$Q$6:$Q$405&gt;H1307))/AK1307)</x:f>
      </x:c>
      <x:c r="Q1307" s="10" t="str">
        <x:f>IF(OR(NOT(AND(J1307="PASS",'Calibrare_Linii'!U19="VALID")),AL1307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M98)+((('Istoric_Nativ'!$E$6:$E$405='Input_Meci'!E98)+('Istoric_Nativ'!$F$6:$F$405='Input_Meci'!E98))&gt;0)*('Istoric_Nativ'!$D$6:$D$405&gt;='Motor_Meciuri'!BN98))&gt;0)*('Istoric_Nativ'!$Q$6:$Q$405&gt;H1307))/AL1307)</x:f>
      </x:c>
      <x:c r="R1307" s="10" t="str">
        <x:f>IF(OR(NOT(AND(J1307="PASS",'Calibrare_Linii'!U19="VALID")),AM1307=0),""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'Motor_Meciuri'!BO98)+((('Istoric_Nativ'!$E$6:$E$405='Input_Meci'!E98)+('Istoric_Nativ'!$F$6:$F$405='Input_Meci'!E98))&gt;0)*('Istoric_Nativ'!$D$6:$D$405&gt;='Motor_Meciuri'!BP98))&gt;0)*('Istoric_Nativ'!$Q$6:$Q$405&gt;H1307))/AM1307)</x:f>
      </x:c>
      <x:c r="S1307" s="10" t="str">
        <x:f>IF(M1307="","",MAX(O1307,P1307,Q1307,R1307))</x:f>
      </x:c>
      <x:c r="T1307" s="11" t="str">
        <x:f>IF(M1307="","",MIN(100,S1307*100*'Config_v6'!$B$44+MIN(100,L1307/'Config_v6'!$B$13*100)*'Config_v6'!$B$45+(100-'Motor_Meciuri'!BF98)*'Config_v6'!$B$46+'Motor_Meciuri'!BH98*100*'Config_v6'!$B$47))</x:f>
      </x:c>
      <x:c r="U1307" s="2" t="str">
        <x:f>IF(T1307="","",IF(T1307&lt;=20,1,IF(T1307&lt;=40,2,IF(T1307&lt;=60,3,IF(T1307&lt;=80,4,5)))))</x:f>
      </x:c>
      <x:c r="V1307" s="2" t="str">
        <x:f>IF(M1307="","",MAX(0,'Motor_Meciuri'!BF98-IF(W1307="OOS PENDING",'Config_v6'!$B$35,0)-IF(L1307&gt;'Config_v6'!$B$12,'Config_v6'!$B$37,IF(L1307&gt;'Config_v6'!$B$11,'Config_v6'!$B$36,0))))</x:f>
      </x:c>
      <x:c r="W1307" s="2" t="str">
        <x:f>IF(B1307="","",IF(I1307&lt;&gt;"READY","NOT RELEASED",IF(NOT(AND(J1307="PASS",'Calibrare_Linii'!U19="VALID")),"INVALID",IF(NOT(AND('Calibrare_Linii'!S19="VALIDATED",AND('Calibrare_Linii'!H19=C1307,ISNUMBER('Calibrare_Linii'!J19),'Calibrare_Linii'!J19&lt;='Input_Meci'!G98))),"OOS PENDING",IF(S1307&lt;='Calibrare_Linii'!E19,"PASS",IF(S1307&lt;='Calibrare_Linii'!F19,"PENALTY","WATCH"))))))</x:f>
      </x:c>
      <x:c r="X1307" s="2" t="str">
        <x:f>IF(M1307="","",IF(AND(AND(J1307="PASS",'Calibrare_Linii'!U19="VALID"),'Motor_Meciuri'!K98=12,'Motor_Meciuri'!L98=12,'Motor_Meciuri'!M98="NO",'Motor_Meciuri'!BL98='Motor_Meciuri'!C98,AB1307&gt;='Config_v6'!$B$50,AN1307&gt;='Config_v6'!$B$51,T1307&lt;='Config_v6'!$B$52,L1307&lt;='Config_v6'!$B$53,ISNUMBER('Calibrare_Linii'!E19),S1307&lt;='Calibrare_Linii'!E19,SUM(AK1307:AM1307)&gt;0),"CANDIDATE","NO"))</x:f>
      </x:c>
      <x:c r="Y1307" s="2" t="str">
        <x:f>IF(B1307="","",IF(I1307&lt;&gt;"READY","NOT RELEASED",IF(AND(X1307="CANDIDATE",V1307&gt;='Config_v6'!$B$51,W1307="PASS",'Calibrare_Linii'!T19="VALIDATED",AND('Calibrare_Linii'!H19=C1307,ISNUMBER('Calibrare_Linii'!J19),'Calibrare_Linii'!J19&lt;='Input_Meci'!G98)),"PASS",IF(X1307="CANDIDATE","OOS PENDING","FAIL"))))</x:f>
      </x:c>
      <x:c r="Z1307" s="2" t="str">
        <x:f>IF(B1307="","",IF(I1307&lt;&gt;"READY","",IF(OR(NOT(AND(J1307="PASS",'Calibrare_Linii'!U19="VALID")),L1307&gt;'Config_v6'!$B$13,W1307="WATCH"),5,IF(Y1307="PASS",1,MIN(5,MAX('Config_v6'!$B$42,U1307)+IF(W1307="PENALTY",1,0))))))</x:f>
      </x:c>
      <x:c r="AA1307" s="2" t="str">
        <x:f>IF(B1307="","",IF(I1307&lt;&gt;"READY","NOT RELEASED",IF(Z1307=5,"NO BET",IF(OR(AB1307&lt;'Config_v6'!$B$16,V1307&lt;'Config_v6'!$B$18),"WATCH",IF(Z1307=1,"DEFENSIV",IF(Z1307=2,"PRUDENT",IF(Z1307=3,"MODERAT","RIDICAT")))))))</x:f>
      </x:c>
      <x:c r="AB1307" s="10" t="str">
        <x:f>IF(N1307="","",MIN(N1307,1-S1307))</x:f>
      </x:c>
      <x:c r="AC1307" s="2" t="str">
        <x:f>IF(AD1307&lt;&gt;1,"",COUNTIFS($Z$1294:$Z$1307,"&lt;"&amp;Z1307,$AD$1294:$AD$1307,1)+COUNTIFS($Z$1294:$Z$1307,Z1307,$AB$1294:$AB$1307,"&gt;"&amp;AB1307,$AD$1294:$AD$1307,1)+COUNTIFS($Z$1294:$Z$1307,Z1307,$AB$1294:$AB$1307,AB1307,$V$1294:$V$1307,"&gt;"&amp;V1307,$AD$1294:$AD$1307,1)+COUNTIFS($Z$1294:Z1307,Z1307,$AB$1294:AB1307,AB1307,$V$1294:V1307,V1307,$AD$1294:AD1307,1))</x:f>
      </x:c>
      <x:c r="AD1307" s="2" t="n">
        <x:f>IF(OR(AA1307="DEFENSIV",AA1307="PRUDENT",AA1307="MODERAT",AA1307="RIDICAT"),1,0)</x:f>
        <x:v>0</x:v>
      </x:c>
      <x:c r="AE1307" s="2" t="str">
        <x:f>IF(AD1307&lt;&gt;1,"NO",IF(W1307="PASS","YES",IF(W1307="OOS PENDING","CONDITIONAL","NO")))</x:f>
        <x:v>NO</x:v>
      </x:c>
      <x:c r="AF1307" s="2" t="n">
        <x:f>IF(AND(AD1307=1,AC1307=1,E1307="LIVE"),1,0)</x:f>
        <x:v>0</x:v>
      </x:c>
      <x:c r="AG1307" s="2" t="str">
        <x:f>IF(AF1307&lt;&gt;1,"",'Dashboard'!P118)</x:f>
      </x:c>
      <x:c r="AH1307" s="2" t="str">
        <x:f>IF(B1307="","",IF(J1307&lt;&gt;"PASS",'Motor_Meciuri'!J98,IF('Calibrare_Linii'!U19&lt;&gt;"VALID","Parametri linie invalizi",IF(L1307&gt;'Config_v6'!$B$13,"Dispersie peste limita",IF(W1307="WATCH","Failure peste limita",IF(AB1307&lt;'Config_v6'!$B$16,"P finala sub prag",IF(V1307&lt;'Config_v6'!$B$18,"Confidence sub prag",IF(E1307="REPLAY","Exemplu retrospectiv; exclus din Top LIVE",IF(Y1307="PASS","DEFENSIV validat",IF(W1307="OOS PENDING","Eligibil; calibrare linie in monitorizare","Eligibil"))))))))))</x:f>
      </x:c>
      <x:c r="AI1307" s="2" t="str">
        <x:f>IF(B1307="","",'Calibrare_Linii'!V19)</x:f>
      </x:c>
      <x:c r="AJ1307" s="2" t="str">
        <x:f>IF(B1307="","",IF(AND('Calibrare_Linii'!T19="VALIDATED",AND('Calibrare_Linii'!H19=C1307,ISNUMBER('Calibrare_Linii'!J19),'Calibrare_Linii'!J19&lt;='Input_Meci'!G98)),"DEFENSIVE VALIDATED",IF(AND('Calibrare_Linii'!S19="VALIDATED",AND('Calibrare_Linii'!H19=C1307,ISNUMBER('Calibrare_Linii'!J19),'Calibrare_Linii'!J19&lt;='Input_Meci'!G98)),"TAIL VALIDATED","OOS PENDING")))</x:f>
      </x:c>
      <x:c r="AK1307" s="2" t="n">
        <x:f>IF(J1307&lt;&gt;"PASS",0,'Motor_Meciuri'!BR98)</x:f>
        <x:v>0</x:v>
      </x:c>
      <x:c r="AL1307" s="2" t="n">
        <x:f>IF(J1307&lt;&gt;"PASS",0,'Motor_Meciuri'!BS98)</x:f>
        <x:v>0</x:v>
      </x:c>
      <x:c r="AM1307" s="2" t="n">
        <x:f>IF(J1307&lt;&gt;"PASS",0,'Motor_Meciuri'!BT98)</x:f>
        <x:v>0</x:v>
      </x:c>
      <x:c r="AN1307" s="2" t="str">
        <x:f>IF(M1307="","",MAX(0,'Motor_Meciuri'!BF98-IF(L1307&gt;'Config_v6'!$B$12,'Config_v6'!$B$37,IF(L1307&gt;'Config_v6'!$B$11,'Config_v6'!$B$36,0))))</x:f>
      </x:c>
    </x:row>
    <x:row r="1308" ht="21" customHeight="1">
      <x:c r="A1308" s="2" t="n">
        <x:v>94</x:v>
      </x:c>
      <x:c r="B1308" s="2" t="str">
        <x:f>IF('Motor_Meciuri'!A99="","",'Motor_Meciuri'!A99)</x:f>
      </x:c>
      <x:c r="C1308" s="2" t="str">
        <x:f>IF(B1308="","",'Motor_Meciuri'!B99)</x:f>
      </x:c>
      <x:c r="D1308" s="2" t="str">
        <x:f>IF(B1308="","",'Motor_Meciuri'!D99)</x:f>
      </x:c>
      <x:c r="E1308" s="2" t="str">
        <x:f>IF(B1308="","",'Motor_Meciuri'!E99)</x:f>
      </x:c>
      <x:c r="F1308" s="2" t="str">
        <x:v>O3,5</x:v>
      </x:c>
      <x:c r="G1308" s="2" t="str">
        <x:v>OVER</x:v>
      </x:c>
      <x:c r="H1308" s="2" t="n">
        <x:v>3</x:v>
      </x:c>
      <x:c r="I1308" s="2" t="str">
        <x:f>IF(B1308="","",'Motor_Meciuri'!H99)</x:f>
      </x:c>
      <x:c r="J1308" s="2" t="str">
        <x:f>IF(B1308="","",'Motor_Meciuri'!I99)</x:f>
      </x:c>
      <x:c r="K1308" s="11" t="str">
        <x:f>IF(J1308&lt;&gt;"PASS","",'Motor_Meciuri'!BD99)</x:f>
      </x:c>
      <x:c r="L1308" s="11" t="str">
        <x:f>IF(J1308&lt;&gt;"PASS","",'Motor_Meciuri'!AU99)</x:f>
      </x:c>
      <x:c r="M1308" s="10" t="str">
        <x:f>IF(NOT(AND(J1308="PASS",'Calibrare_Linii'!U6="VALID")),"",1-'Distributie'!AA99)</x:f>
      </x:c>
      <x:c r="N1308" s="10" t="str">
        <x:f>IF(M1308="","",MAX(0.01,MIN(0.99,0.5+(M1308-0.5)*'Motor_Meciuri'!BG99*'Calibrare_Linii'!D6)))</x:f>
      </x:c>
      <x:c r="O1308" s="10" t="str">
        <x:f>IF(M1308="","",1-M1308)</x:f>
      </x:c>
      <x:c r="P1308" s="10" t="str">
        <x:f>IF(OR(NOT(AND(J1308="PASS",'Calibrare_Linii'!U6="VALID")),AK1308=0),""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*('Istoric_Nativ'!$Q$6:$Q$405&lt;=H1308))/AK1308)</x:f>
      </x:c>
      <x:c r="Q1308" s="10" t="str">
        <x:f>IF(OR(NOT(AND(J1308="PASS",'Calibrare_Linii'!U6="VALID")),AL1308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M99)+((('Istoric_Nativ'!$E$6:$E$405='Input_Meci'!E99)+('Istoric_Nativ'!$F$6:$F$405='Input_Meci'!E99))&gt;0)*('Istoric_Nativ'!$D$6:$D$405&gt;='Motor_Meciuri'!BN99))&gt;0)*('Istoric_Nativ'!$Q$6:$Q$405&lt;=H1308))/AL1308)</x:f>
      </x:c>
      <x:c r="R1308" s="10" t="str">
        <x:f>IF(OR(NOT(AND(J1308="PASS",'Calibrare_Linii'!U6="VALID")),AM1308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O99)+((('Istoric_Nativ'!$E$6:$E$405='Input_Meci'!E99)+('Istoric_Nativ'!$F$6:$F$405='Input_Meci'!E99))&gt;0)*('Istoric_Nativ'!$D$6:$D$405&gt;='Motor_Meciuri'!BP99))&gt;0)*('Istoric_Nativ'!$Q$6:$Q$405&lt;=H1308))/AM1308)</x:f>
      </x:c>
      <x:c r="S1308" s="10" t="str">
        <x:f>IF(M1308="","",MAX(O1308,P1308,Q1308,R1308))</x:f>
      </x:c>
      <x:c r="T1308" s="11" t="str">
        <x:f>IF(M1308="","",MIN(100,S1308*100*'Config_v6'!$B$44+MIN(100,L1308/'Config_v6'!$B$13*100)*'Config_v6'!$B$45+(100-'Motor_Meciuri'!BF99)*'Config_v6'!$B$46+'Motor_Meciuri'!BH99*100*'Config_v6'!$B$47))</x:f>
      </x:c>
      <x:c r="U1308" s="2" t="str">
        <x:f>IF(T1308="","",IF(T1308&lt;=20,1,IF(T1308&lt;=40,2,IF(T1308&lt;=60,3,IF(T1308&lt;=80,4,5)))))</x:f>
      </x:c>
      <x:c r="V1308" s="2" t="str">
        <x:f>IF(M1308="","",MAX(0,'Motor_Meciuri'!BF99-IF(W1308="OOS PENDING",'Config_v6'!$B$35,0)-IF(L1308&gt;'Config_v6'!$B$12,'Config_v6'!$B$37,IF(L1308&gt;'Config_v6'!$B$11,'Config_v6'!$B$36,0))))</x:f>
      </x:c>
      <x:c r="W1308" s="2" t="str">
        <x:f>IF(B1308="","",IF(I1308&lt;&gt;"READY","NOT RELEASED",IF(NOT(AND(J1308="PASS",'Calibrare_Linii'!U6="VALID")),"INVALID",IF(NOT(TRUE),"OOS PENDING",IF(S1308&lt;=IF(AND('Calibrare_Linii'!S6="VALIDATED",AND('Calibrare_Linii'!H6=C1308,ISNUMBER('Calibrare_Linii'!J6),'Calibrare_Linii'!J6&lt;='Input_Meci'!G99)),'Calibrare_Linii'!E6,'Config_v6'!$B$26),"PASS",IF(S1308&lt;=IF(AND('Calibrare_Linii'!S6="VALIDATED",AND('Calibrare_Linii'!H6=C1308,ISNUMBER('Calibrare_Linii'!J6),'Calibrare_Linii'!J6&lt;='Input_Meci'!G99)),'Calibrare_Linii'!F6,'Config_v6'!$C$26),"PENALTY","WATCH"))))))</x:f>
      </x:c>
      <x:c r="X1308" s="2" t="str">
        <x:f>IF(M1308="","",IF(AND(AND(J1308="PASS",'Calibrare_Linii'!U6="VALID"),'Motor_Meciuri'!K99=12,'Motor_Meciuri'!L99=12,'Motor_Meciuri'!M99="NO",'Motor_Meciuri'!BL99='Motor_Meciuri'!C99,AB1308&gt;='Config_v6'!$B$50,AN1308&gt;='Config_v6'!$B$51,T1308&lt;='Config_v6'!$B$52,L1308&lt;='Config_v6'!$B$53,ISNUMBER('Calibrare_Linii'!E6),S1308&lt;='Calibrare_Linii'!E6,SUM(AK1308:AM1308)&gt;0),"CANDIDATE","NO"))</x:f>
      </x:c>
      <x:c r="Y1308" s="2" t="str">
        <x:f>IF(B1308="","",IF(I1308&lt;&gt;"READY","NOT RELEASED",IF(AND(X1308="CANDIDATE",V1308&gt;='Config_v6'!$B$51,W1308="PASS",'Calibrare_Linii'!T6="VALIDATED",AND('Calibrare_Linii'!H6=C1308,ISNUMBER('Calibrare_Linii'!J6),'Calibrare_Linii'!J6&lt;='Input_Meci'!G99)),"PASS",IF(X1308="CANDIDATE","OOS PENDING","FAIL"))))</x:f>
      </x:c>
      <x:c r="Z1308" s="2" t="str">
        <x:f>IF(B1308="","",IF(I1308&lt;&gt;"READY","",IF(OR(NOT(AND(J1308="PASS",'Calibrare_Linii'!U6="VALID")),L1308&gt;'Config_v6'!$B$13,W1308="WATCH"),5,IF(Y1308="PASS",1,MIN(5,MAX('Config_v6'!$B$42,U1308)+IF(W1308="PENALTY",1,0))))))</x:f>
      </x:c>
      <x:c r="AA1308" s="2" t="str">
        <x:f>IF(B1308="","",IF(I1308&lt;&gt;"READY","NOT RELEASED",IF(Z1308=5,"NO BET",IF(OR(AB1308&lt;'Config_v6'!$B$16,V1308&lt;'Config_v6'!$B$18),"WATCH",IF(Z1308=1,"DEFENSIV",IF(Z1308=2,"PRUDENT",IF(Z1308=3,"MODERAT","RIDICAT")))))))</x:f>
      </x:c>
      <x:c r="AB1308" s="10" t="str">
        <x:f>IF(N1308="","",MIN(N1308,1-S1308))</x:f>
      </x:c>
      <x:c r="AC1308" s="2" t="str">
        <x:f>IF(AD1308&lt;&gt;1,"",COUNTIFS($Z$1308:$Z$1321,"&lt;"&amp;Z1308,$AD$1308:$AD$1321,1)+COUNTIFS($Z$1308:$Z$1321,Z1308,$AB$1308:$AB$1321,"&gt;"&amp;AB1308,$AD$1308:$AD$1321,1)+COUNTIFS($Z$1308:$Z$1321,Z1308,$AB$1308:$AB$1321,AB1308,$V$1308:$V$1321,"&gt;"&amp;V1308,$AD$1308:$AD$1321,1)+COUNTIFS($Z$1308:Z1308,Z1308,$AB$1308:AB1308,AB1308,$V$1308:V1308,V1308,$AD$1308:AD1308,1))</x:f>
      </x:c>
      <x:c r="AD1308" s="2" t="n">
        <x:f>IF(OR(AA1308="DEFENSIV",AA1308="PRUDENT",AA1308="MODERAT",AA1308="RIDICAT"),1,0)</x:f>
        <x:v>0</x:v>
      </x:c>
      <x:c r="AE1308" s="2" t="str">
        <x:f>IF(AD1308&lt;&gt;1,"NO",IF(W1308="PASS","YES",IF(W1308="OOS PENDING","CONDITIONAL","NO")))</x:f>
        <x:v>NO</x:v>
      </x:c>
      <x:c r="AF1308" s="2" t="n">
        <x:f>IF(AND(AD1308=1,AC1308=1,E1308="LIVE"),1,0)</x:f>
        <x:v>0</x:v>
      </x:c>
      <x:c r="AG1308" s="2" t="str">
        <x:f>IF(AF1308&lt;&gt;1,"",'Dashboard'!P119)</x:f>
      </x:c>
      <x:c r="AH1308" s="2" t="str">
        <x:f>IF(B1308="","",IF(J1308&lt;&gt;"PASS",'Motor_Meciuri'!J99,IF('Calibrare_Linii'!U6&lt;&gt;"VALID","Parametri linie invalizi",IF(L1308&gt;'Config_v6'!$B$13,"Dispersie peste limita",IF(W1308="WATCH","Failure peste limita",IF(AB1308&lt;'Config_v6'!$B$16,"P finala sub prag",IF(V1308&lt;'Config_v6'!$B$18,"Confidence sub prag",IF(E1308="REPLAY","Exemplu retrospectiv; exclus din Top LIVE",IF(Y1308="PASS","DEFENSIV validat",IF(W1308="OOS PENDING","Eligibil; calibrare linie in monitorizare","Eligibil"))))))))))</x:f>
      </x:c>
      <x:c r="AI1308" s="2" t="str">
        <x:f>IF(B1308="","",'Calibrare_Linii'!V6)</x:f>
      </x:c>
      <x:c r="AJ1308" s="2" t="str">
        <x:f>IF(B1308="","",IF(AND('Calibrare_Linii'!T6="VALIDATED",AND('Calibrare_Linii'!H6=C1308,ISNUMBER('Calibrare_Linii'!J6),'Calibrare_Linii'!J6&lt;='Input_Meci'!G99)),"DEFENSIVE VALIDATED",IF(AND('Calibrare_Linii'!S6="VALIDATED",AND('Calibrare_Linii'!H6=C1308,ISNUMBER('Calibrare_Linii'!J6),'Calibrare_Linii'!J6&lt;='Input_Meci'!G99)),"TAIL VALIDATED","OOS PENDING")))</x:f>
      </x:c>
      <x:c r="AK1308" s="2" t="n">
        <x:f>IF(J1308&lt;&gt;"PASS",0,'Motor_Meciuri'!BR99)</x:f>
        <x:v>0</x:v>
      </x:c>
      <x:c r="AL1308" s="2" t="n">
        <x:f>IF(J1308&lt;&gt;"PASS",0,'Motor_Meciuri'!BS99)</x:f>
        <x:v>0</x:v>
      </x:c>
      <x:c r="AM1308" s="2" t="n">
        <x:f>IF(J1308&lt;&gt;"PASS",0,'Motor_Meciuri'!BT99)</x:f>
        <x:v>0</x:v>
      </x:c>
      <x:c r="AN1308" s="2" t="str">
        <x:f>IF(M1308="","",MAX(0,'Motor_Meciuri'!BF99-IF(L1308&gt;'Config_v6'!$B$12,'Config_v6'!$B$37,IF(L1308&gt;'Config_v6'!$B$11,'Config_v6'!$B$36,0))))</x:f>
      </x:c>
    </x:row>
    <x:row r="1309" ht="21" customHeight="1">
      <x:c r="A1309" s="2" t="n">
        <x:v>94</x:v>
      </x:c>
      <x:c r="B1309" s="2" t="str">
        <x:f>IF('Motor_Meciuri'!A99="","",'Motor_Meciuri'!A99)</x:f>
      </x:c>
      <x:c r="C1309" s="2" t="str">
        <x:f>IF(B1309="","",'Motor_Meciuri'!B99)</x:f>
      </x:c>
      <x:c r="D1309" s="2" t="str">
        <x:f>IF(B1309="","",'Motor_Meciuri'!D99)</x:f>
      </x:c>
      <x:c r="E1309" s="2" t="str">
        <x:f>IF(B1309="","",'Motor_Meciuri'!E99)</x:f>
      </x:c>
      <x:c r="F1309" s="2" t="str">
        <x:v>O4,5</x:v>
      </x:c>
      <x:c r="G1309" s="2" t="str">
        <x:v>OVER</x:v>
      </x:c>
      <x:c r="H1309" s="2" t="n">
        <x:v>4</x:v>
      </x:c>
      <x:c r="I1309" s="2" t="str">
        <x:f>IF(B1309="","",'Motor_Meciuri'!H99)</x:f>
      </x:c>
      <x:c r="J1309" s="2" t="str">
        <x:f>IF(B1309="","",'Motor_Meciuri'!I99)</x:f>
      </x:c>
      <x:c r="K1309" s="11" t="str">
        <x:f>IF(J1309&lt;&gt;"PASS","",'Motor_Meciuri'!BD99)</x:f>
      </x:c>
      <x:c r="L1309" s="11" t="str">
        <x:f>IF(J1309&lt;&gt;"PASS","",'Motor_Meciuri'!AU99)</x:f>
      </x:c>
      <x:c r="M1309" s="10" t="str">
        <x:f>IF(NOT(AND(J1309="PASS",'Calibrare_Linii'!U7="VALID")),"",1-'Distributie'!AB99)</x:f>
      </x:c>
      <x:c r="N1309" s="10" t="str">
        <x:f>IF(M1309="","",MAX(0.01,MIN(0.99,0.5+(M1309-0.5)*'Motor_Meciuri'!BG99*'Calibrare_Linii'!D7)))</x:f>
      </x:c>
      <x:c r="O1309" s="10" t="str">
        <x:f>IF(M1309="","",1-M1309)</x:f>
      </x:c>
      <x:c r="P1309" s="10" t="str">
        <x:f>IF(OR(NOT(AND(J1309="PASS",'Calibrare_Linii'!U7="VALID")),AK1309=0),""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*('Istoric_Nativ'!$Q$6:$Q$405&lt;=H1309))/AK1309)</x:f>
      </x:c>
      <x:c r="Q1309" s="10" t="str">
        <x:f>IF(OR(NOT(AND(J1309="PASS",'Calibrare_Linii'!U7="VALID")),AL1309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M99)+((('Istoric_Nativ'!$E$6:$E$405='Input_Meci'!E99)+('Istoric_Nativ'!$F$6:$F$405='Input_Meci'!E99))&gt;0)*('Istoric_Nativ'!$D$6:$D$405&gt;='Motor_Meciuri'!BN99))&gt;0)*('Istoric_Nativ'!$Q$6:$Q$405&lt;=H1309))/AL1309)</x:f>
      </x:c>
      <x:c r="R1309" s="10" t="str">
        <x:f>IF(OR(NOT(AND(J1309="PASS",'Calibrare_Linii'!U7="VALID")),AM1309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O99)+((('Istoric_Nativ'!$E$6:$E$405='Input_Meci'!E99)+('Istoric_Nativ'!$F$6:$F$405='Input_Meci'!E99))&gt;0)*('Istoric_Nativ'!$D$6:$D$405&gt;='Motor_Meciuri'!BP99))&gt;0)*('Istoric_Nativ'!$Q$6:$Q$405&lt;=H1309))/AM1309)</x:f>
      </x:c>
      <x:c r="S1309" s="10" t="str">
        <x:f>IF(M1309="","",MAX(O1309,P1309,Q1309,R1309))</x:f>
      </x:c>
      <x:c r="T1309" s="11" t="str">
        <x:f>IF(M1309="","",MIN(100,S1309*100*'Config_v6'!$B$44+MIN(100,L1309/'Config_v6'!$B$13*100)*'Config_v6'!$B$45+(100-'Motor_Meciuri'!BF99)*'Config_v6'!$B$46+'Motor_Meciuri'!BH99*100*'Config_v6'!$B$47))</x:f>
      </x:c>
      <x:c r="U1309" s="2" t="str">
        <x:f>IF(T1309="","",IF(T1309&lt;=20,1,IF(T1309&lt;=40,2,IF(T1309&lt;=60,3,IF(T1309&lt;=80,4,5)))))</x:f>
      </x:c>
      <x:c r="V1309" s="2" t="str">
        <x:f>IF(M1309="","",MAX(0,'Motor_Meciuri'!BF99-IF(W1309="OOS PENDING",'Config_v6'!$B$35,0)-IF(L1309&gt;'Config_v6'!$B$12,'Config_v6'!$B$37,IF(L1309&gt;'Config_v6'!$B$11,'Config_v6'!$B$36,0))))</x:f>
      </x:c>
      <x:c r="W1309" s="2" t="str">
        <x:f>IF(B1309="","",IF(I1309&lt;&gt;"READY","NOT RELEASED",IF(NOT(AND(J1309="PASS",'Calibrare_Linii'!U7="VALID")),"INVALID",IF(NOT(AND('Calibrare_Linii'!S7="VALIDATED",AND('Calibrare_Linii'!H7=C1309,ISNUMBER('Calibrare_Linii'!J7),'Calibrare_Linii'!J7&lt;='Input_Meci'!G99))),"OOS PENDING",IF(S1309&lt;='Calibrare_Linii'!E7,"PASS",IF(S1309&lt;='Calibrare_Linii'!F7,"PENALTY","WATCH"))))))</x:f>
      </x:c>
      <x:c r="X1309" s="2" t="str">
        <x:f>IF(M1309="","",IF(AND(AND(J1309="PASS",'Calibrare_Linii'!U7="VALID"),'Motor_Meciuri'!K99=12,'Motor_Meciuri'!L99=12,'Motor_Meciuri'!M99="NO",'Motor_Meciuri'!BL99='Motor_Meciuri'!C99,AB1309&gt;='Config_v6'!$B$50,AN1309&gt;='Config_v6'!$B$51,T1309&lt;='Config_v6'!$B$52,L1309&lt;='Config_v6'!$B$53,ISNUMBER('Calibrare_Linii'!E7),S1309&lt;='Calibrare_Linii'!E7,SUM(AK1309:AM1309)&gt;0),"CANDIDATE","NO"))</x:f>
      </x:c>
      <x:c r="Y1309" s="2" t="str">
        <x:f>IF(B1309="","",IF(I1309&lt;&gt;"READY","NOT RELEASED",IF(AND(X1309="CANDIDATE",V1309&gt;='Config_v6'!$B$51,W1309="PASS",'Calibrare_Linii'!T7="VALIDATED",AND('Calibrare_Linii'!H7=C1309,ISNUMBER('Calibrare_Linii'!J7),'Calibrare_Linii'!J7&lt;='Input_Meci'!G99)),"PASS",IF(X1309="CANDIDATE","OOS PENDING","FAIL"))))</x:f>
      </x:c>
      <x:c r="Z1309" s="2" t="str">
        <x:f>IF(B1309="","",IF(I1309&lt;&gt;"READY","",IF(OR(NOT(AND(J1309="PASS",'Calibrare_Linii'!U7="VALID")),L1309&gt;'Config_v6'!$B$13,W1309="WATCH"),5,IF(Y1309="PASS",1,MIN(5,MAX('Config_v6'!$B$42,U1309)+IF(W1309="PENALTY",1,0))))))</x:f>
      </x:c>
      <x:c r="AA1309" s="2" t="str">
        <x:f>IF(B1309="","",IF(I1309&lt;&gt;"READY","NOT RELEASED",IF(Z1309=5,"NO BET",IF(OR(AB1309&lt;'Config_v6'!$B$16,V1309&lt;'Config_v6'!$B$18),"WATCH",IF(Z1309=1,"DEFENSIV",IF(Z1309=2,"PRUDENT",IF(Z1309=3,"MODERAT","RIDICAT")))))))</x:f>
      </x:c>
      <x:c r="AB1309" s="10" t="str">
        <x:f>IF(N1309="","",MIN(N1309,1-S1309))</x:f>
      </x:c>
      <x:c r="AC1309" s="2" t="str">
        <x:f>IF(AD1309&lt;&gt;1,"",COUNTIFS($Z$1308:$Z$1321,"&lt;"&amp;Z1309,$AD$1308:$AD$1321,1)+COUNTIFS($Z$1308:$Z$1321,Z1309,$AB$1308:$AB$1321,"&gt;"&amp;AB1309,$AD$1308:$AD$1321,1)+COUNTIFS($Z$1308:$Z$1321,Z1309,$AB$1308:$AB$1321,AB1309,$V$1308:$V$1321,"&gt;"&amp;V1309,$AD$1308:$AD$1321,1)+COUNTIFS($Z$1308:Z1309,Z1309,$AB$1308:AB1309,AB1309,$V$1308:V1309,V1309,$AD$1308:AD1309,1))</x:f>
      </x:c>
      <x:c r="AD1309" s="2" t="n">
        <x:f>IF(OR(AA1309="DEFENSIV",AA1309="PRUDENT",AA1309="MODERAT",AA1309="RIDICAT"),1,0)</x:f>
        <x:v>0</x:v>
      </x:c>
      <x:c r="AE1309" s="2" t="str">
        <x:f>IF(AD1309&lt;&gt;1,"NO",IF(W1309="PASS","YES",IF(W1309="OOS PENDING","CONDITIONAL","NO")))</x:f>
        <x:v>NO</x:v>
      </x:c>
      <x:c r="AF1309" s="2" t="n">
        <x:f>IF(AND(AD1309=1,AC1309=1,E1309="LIVE"),1,0)</x:f>
        <x:v>0</x:v>
      </x:c>
      <x:c r="AG1309" s="2" t="str">
        <x:f>IF(AF1309&lt;&gt;1,"",'Dashboard'!P119)</x:f>
      </x:c>
      <x:c r="AH1309" s="2" t="str">
        <x:f>IF(B1309="","",IF(J1309&lt;&gt;"PASS",'Motor_Meciuri'!J99,IF('Calibrare_Linii'!U7&lt;&gt;"VALID","Parametri linie invalizi",IF(L1309&gt;'Config_v6'!$B$13,"Dispersie peste limita",IF(W1309="WATCH","Failure peste limita",IF(AB1309&lt;'Config_v6'!$B$16,"P finala sub prag",IF(V1309&lt;'Config_v6'!$B$18,"Confidence sub prag",IF(E1309="REPLAY","Exemplu retrospectiv; exclus din Top LIVE",IF(Y1309="PASS","DEFENSIV validat",IF(W1309="OOS PENDING","Eligibil; calibrare linie in monitorizare","Eligibil"))))))))))</x:f>
      </x:c>
      <x:c r="AI1309" s="2" t="str">
        <x:f>IF(B1309="","",'Calibrare_Linii'!V7)</x:f>
      </x:c>
      <x:c r="AJ1309" s="2" t="str">
        <x:f>IF(B1309="","",IF(AND('Calibrare_Linii'!T7="VALIDATED",AND('Calibrare_Linii'!H7=C1309,ISNUMBER('Calibrare_Linii'!J7),'Calibrare_Linii'!J7&lt;='Input_Meci'!G99)),"DEFENSIVE VALIDATED",IF(AND('Calibrare_Linii'!S7="VALIDATED",AND('Calibrare_Linii'!H7=C1309,ISNUMBER('Calibrare_Linii'!J7),'Calibrare_Linii'!J7&lt;='Input_Meci'!G99)),"TAIL VALIDATED","OOS PENDING")))</x:f>
      </x:c>
      <x:c r="AK1309" s="2" t="n">
        <x:f>IF(J1309&lt;&gt;"PASS",0,'Motor_Meciuri'!BR99)</x:f>
        <x:v>0</x:v>
      </x:c>
      <x:c r="AL1309" s="2" t="n">
        <x:f>IF(J1309&lt;&gt;"PASS",0,'Motor_Meciuri'!BS99)</x:f>
        <x:v>0</x:v>
      </x:c>
      <x:c r="AM1309" s="2" t="n">
        <x:f>IF(J1309&lt;&gt;"PASS",0,'Motor_Meciuri'!BT99)</x:f>
        <x:v>0</x:v>
      </x:c>
      <x:c r="AN1309" s="2" t="str">
        <x:f>IF(M1309="","",MAX(0,'Motor_Meciuri'!BF99-IF(L1309&gt;'Config_v6'!$B$12,'Config_v6'!$B$37,IF(L1309&gt;'Config_v6'!$B$11,'Config_v6'!$B$36,0))))</x:f>
      </x:c>
    </x:row>
    <x:row r="1310" ht="21" customHeight="1">
      <x:c r="A1310" s="2" t="n">
        <x:v>94</x:v>
      </x:c>
      <x:c r="B1310" s="2" t="str">
        <x:f>IF('Motor_Meciuri'!A99="","",'Motor_Meciuri'!A99)</x:f>
      </x:c>
      <x:c r="C1310" s="2" t="str">
        <x:f>IF(B1310="","",'Motor_Meciuri'!B99)</x:f>
      </x:c>
      <x:c r="D1310" s="2" t="str">
        <x:f>IF(B1310="","",'Motor_Meciuri'!D99)</x:f>
      </x:c>
      <x:c r="E1310" s="2" t="str">
        <x:f>IF(B1310="","",'Motor_Meciuri'!E99)</x:f>
      </x:c>
      <x:c r="F1310" s="2" t="str">
        <x:v>O5,5</x:v>
      </x:c>
      <x:c r="G1310" s="2" t="str">
        <x:v>OVER</x:v>
      </x:c>
      <x:c r="H1310" s="2" t="n">
        <x:v>5</x:v>
      </x:c>
      <x:c r="I1310" s="2" t="str">
        <x:f>IF(B1310="","",'Motor_Meciuri'!H99)</x:f>
      </x:c>
      <x:c r="J1310" s="2" t="str">
        <x:f>IF(B1310="","",'Motor_Meciuri'!I99)</x:f>
      </x:c>
      <x:c r="K1310" s="11" t="str">
        <x:f>IF(J1310&lt;&gt;"PASS","",'Motor_Meciuri'!BD99)</x:f>
      </x:c>
      <x:c r="L1310" s="11" t="str">
        <x:f>IF(J1310&lt;&gt;"PASS","",'Motor_Meciuri'!AU99)</x:f>
      </x:c>
      <x:c r="M1310" s="10" t="str">
        <x:f>IF(NOT(AND(J1310="PASS",'Calibrare_Linii'!U8="VALID")),"",1-'Distributie'!AC99)</x:f>
      </x:c>
      <x:c r="N1310" s="10" t="str">
        <x:f>IF(M1310="","",MAX(0.01,MIN(0.99,0.5+(M1310-0.5)*'Motor_Meciuri'!BG99*'Calibrare_Linii'!D8)))</x:f>
      </x:c>
      <x:c r="O1310" s="10" t="str">
        <x:f>IF(M1310="","",1-M1310)</x:f>
      </x:c>
      <x:c r="P1310" s="10" t="str">
        <x:f>IF(OR(NOT(AND(J1310="PASS",'Calibrare_Linii'!U8="VALID")),AK1310=0),""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*('Istoric_Nativ'!$Q$6:$Q$405&lt;=H1310))/AK1310)</x:f>
      </x:c>
      <x:c r="Q1310" s="10" t="str">
        <x:f>IF(OR(NOT(AND(J1310="PASS",'Calibrare_Linii'!U8="VALID")),AL1310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M99)+((('Istoric_Nativ'!$E$6:$E$405='Input_Meci'!E99)+('Istoric_Nativ'!$F$6:$F$405='Input_Meci'!E99))&gt;0)*('Istoric_Nativ'!$D$6:$D$405&gt;='Motor_Meciuri'!BN99))&gt;0)*('Istoric_Nativ'!$Q$6:$Q$405&lt;=H1310))/AL1310)</x:f>
      </x:c>
      <x:c r="R1310" s="10" t="str">
        <x:f>IF(OR(NOT(AND(J1310="PASS",'Calibrare_Linii'!U8="VALID")),AM1310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O99)+((('Istoric_Nativ'!$E$6:$E$405='Input_Meci'!E99)+('Istoric_Nativ'!$F$6:$F$405='Input_Meci'!E99))&gt;0)*('Istoric_Nativ'!$D$6:$D$405&gt;='Motor_Meciuri'!BP99))&gt;0)*('Istoric_Nativ'!$Q$6:$Q$405&lt;=H1310))/AM1310)</x:f>
      </x:c>
      <x:c r="S1310" s="10" t="str">
        <x:f>IF(M1310="","",MAX(O1310,P1310,Q1310,R1310))</x:f>
      </x:c>
      <x:c r="T1310" s="11" t="str">
        <x:f>IF(M1310="","",MIN(100,S1310*100*'Config_v6'!$B$44+MIN(100,L1310/'Config_v6'!$B$13*100)*'Config_v6'!$B$45+(100-'Motor_Meciuri'!BF99)*'Config_v6'!$B$46+'Motor_Meciuri'!BH99*100*'Config_v6'!$B$47))</x:f>
      </x:c>
      <x:c r="U1310" s="2" t="str">
        <x:f>IF(T1310="","",IF(T1310&lt;=20,1,IF(T1310&lt;=40,2,IF(T1310&lt;=60,3,IF(T1310&lt;=80,4,5)))))</x:f>
      </x:c>
      <x:c r="V1310" s="2" t="str">
        <x:f>IF(M1310="","",MAX(0,'Motor_Meciuri'!BF99-IF(W1310="OOS PENDING",'Config_v6'!$B$35,0)-IF(L1310&gt;'Config_v6'!$B$12,'Config_v6'!$B$37,IF(L1310&gt;'Config_v6'!$B$11,'Config_v6'!$B$36,0))))</x:f>
      </x:c>
      <x:c r="W1310" s="2" t="str">
        <x:f>IF(B1310="","",IF(I1310&lt;&gt;"READY","NOT RELEASED",IF(NOT(AND(J1310="PASS",'Calibrare_Linii'!U8="VALID")),"INVALID",IF(NOT(AND('Calibrare_Linii'!S8="VALIDATED",AND('Calibrare_Linii'!H8=C1310,ISNUMBER('Calibrare_Linii'!J8),'Calibrare_Linii'!J8&lt;='Input_Meci'!G99))),"OOS PENDING",IF(S1310&lt;='Calibrare_Linii'!E8,"PASS",IF(S1310&lt;='Calibrare_Linii'!F8,"PENALTY","WATCH"))))))</x:f>
      </x:c>
      <x:c r="X1310" s="2" t="str">
        <x:f>IF(M1310="","",IF(AND(AND(J1310="PASS",'Calibrare_Linii'!U8="VALID"),'Motor_Meciuri'!K99=12,'Motor_Meciuri'!L99=12,'Motor_Meciuri'!M99="NO",'Motor_Meciuri'!BL99='Motor_Meciuri'!C99,AB1310&gt;='Config_v6'!$B$50,AN1310&gt;='Config_v6'!$B$51,T1310&lt;='Config_v6'!$B$52,L1310&lt;='Config_v6'!$B$53,ISNUMBER('Calibrare_Linii'!E8),S1310&lt;='Calibrare_Linii'!E8,SUM(AK1310:AM1310)&gt;0),"CANDIDATE","NO"))</x:f>
      </x:c>
      <x:c r="Y1310" s="2" t="str">
        <x:f>IF(B1310="","",IF(I1310&lt;&gt;"READY","NOT RELEASED",IF(AND(X1310="CANDIDATE",V1310&gt;='Config_v6'!$B$51,W1310="PASS",'Calibrare_Linii'!T8="VALIDATED",AND('Calibrare_Linii'!H8=C1310,ISNUMBER('Calibrare_Linii'!J8),'Calibrare_Linii'!J8&lt;='Input_Meci'!G99)),"PASS",IF(X1310="CANDIDATE","OOS PENDING","FAIL"))))</x:f>
      </x:c>
      <x:c r="Z1310" s="2" t="str">
        <x:f>IF(B1310="","",IF(I1310&lt;&gt;"READY","",IF(OR(NOT(AND(J1310="PASS",'Calibrare_Linii'!U8="VALID")),L1310&gt;'Config_v6'!$B$13,W1310="WATCH"),5,IF(Y1310="PASS",1,MIN(5,MAX('Config_v6'!$B$42,U1310)+IF(W1310="PENALTY",1,0))))))</x:f>
      </x:c>
      <x:c r="AA1310" s="2" t="str">
        <x:f>IF(B1310="","",IF(I1310&lt;&gt;"READY","NOT RELEASED",IF(Z1310=5,"NO BET",IF(OR(AB1310&lt;'Config_v6'!$B$16,V1310&lt;'Config_v6'!$B$18),"WATCH",IF(Z1310=1,"DEFENSIV",IF(Z1310=2,"PRUDENT",IF(Z1310=3,"MODERAT","RIDICAT")))))))</x:f>
      </x:c>
      <x:c r="AB1310" s="10" t="str">
        <x:f>IF(N1310="","",MIN(N1310,1-S1310))</x:f>
      </x:c>
      <x:c r="AC1310" s="2" t="str">
        <x:f>IF(AD1310&lt;&gt;1,"",COUNTIFS($Z$1308:$Z$1321,"&lt;"&amp;Z1310,$AD$1308:$AD$1321,1)+COUNTIFS($Z$1308:$Z$1321,Z1310,$AB$1308:$AB$1321,"&gt;"&amp;AB1310,$AD$1308:$AD$1321,1)+COUNTIFS($Z$1308:$Z$1321,Z1310,$AB$1308:$AB$1321,AB1310,$V$1308:$V$1321,"&gt;"&amp;V1310,$AD$1308:$AD$1321,1)+COUNTIFS($Z$1308:Z1310,Z1310,$AB$1308:AB1310,AB1310,$V$1308:V1310,V1310,$AD$1308:AD1310,1))</x:f>
      </x:c>
      <x:c r="AD1310" s="2" t="n">
        <x:f>IF(OR(AA1310="DEFENSIV",AA1310="PRUDENT",AA1310="MODERAT",AA1310="RIDICAT"),1,0)</x:f>
        <x:v>0</x:v>
      </x:c>
      <x:c r="AE1310" s="2" t="str">
        <x:f>IF(AD1310&lt;&gt;1,"NO",IF(W1310="PASS","YES",IF(W1310="OOS PENDING","CONDITIONAL","NO")))</x:f>
        <x:v>NO</x:v>
      </x:c>
      <x:c r="AF1310" s="2" t="n">
        <x:f>IF(AND(AD1310=1,AC1310=1,E1310="LIVE"),1,0)</x:f>
        <x:v>0</x:v>
      </x:c>
      <x:c r="AG1310" s="2" t="str">
        <x:f>IF(AF1310&lt;&gt;1,"",'Dashboard'!P119)</x:f>
      </x:c>
      <x:c r="AH1310" s="2" t="str">
        <x:f>IF(B1310="","",IF(J1310&lt;&gt;"PASS",'Motor_Meciuri'!J99,IF('Calibrare_Linii'!U8&lt;&gt;"VALID","Parametri linie invalizi",IF(L1310&gt;'Config_v6'!$B$13,"Dispersie peste limita",IF(W1310="WATCH","Failure peste limita",IF(AB1310&lt;'Config_v6'!$B$16,"P finala sub prag",IF(V1310&lt;'Config_v6'!$B$18,"Confidence sub prag",IF(E1310="REPLAY","Exemplu retrospectiv; exclus din Top LIVE",IF(Y1310="PASS","DEFENSIV validat",IF(W1310="OOS PENDING","Eligibil; calibrare linie in monitorizare","Eligibil"))))))))))</x:f>
      </x:c>
      <x:c r="AI1310" s="2" t="str">
        <x:f>IF(B1310="","",'Calibrare_Linii'!V8)</x:f>
      </x:c>
      <x:c r="AJ1310" s="2" t="str">
        <x:f>IF(B1310="","",IF(AND('Calibrare_Linii'!T8="VALIDATED",AND('Calibrare_Linii'!H8=C1310,ISNUMBER('Calibrare_Linii'!J8),'Calibrare_Linii'!J8&lt;='Input_Meci'!G99)),"DEFENSIVE VALIDATED",IF(AND('Calibrare_Linii'!S8="VALIDATED",AND('Calibrare_Linii'!H8=C1310,ISNUMBER('Calibrare_Linii'!J8),'Calibrare_Linii'!J8&lt;='Input_Meci'!G99)),"TAIL VALIDATED","OOS PENDING")))</x:f>
      </x:c>
      <x:c r="AK1310" s="2" t="n">
        <x:f>IF(J1310&lt;&gt;"PASS",0,'Motor_Meciuri'!BR99)</x:f>
        <x:v>0</x:v>
      </x:c>
      <x:c r="AL1310" s="2" t="n">
        <x:f>IF(J1310&lt;&gt;"PASS",0,'Motor_Meciuri'!BS99)</x:f>
        <x:v>0</x:v>
      </x:c>
      <x:c r="AM1310" s="2" t="n">
        <x:f>IF(J1310&lt;&gt;"PASS",0,'Motor_Meciuri'!BT99)</x:f>
        <x:v>0</x:v>
      </x:c>
      <x:c r="AN1310" s="2" t="str">
        <x:f>IF(M1310="","",MAX(0,'Motor_Meciuri'!BF99-IF(L1310&gt;'Config_v6'!$B$12,'Config_v6'!$B$37,IF(L1310&gt;'Config_v6'!$B$11,'Config_v6'!$B$36,0))))</x:f>
      </x:c>
    </x:row>
    <x:row r="1311" ht="21" customHeight="1">
      <x:c r="A1311" s="2" t="n">
        <x:v>94</x:v>
      </x:c>
      <x:c r="B1311" s="2" t="str">
        <x:f>IF('Motor_Meciuri'!A99="","",'Motor_Meciuri'!A99)</x:f>
      </x:c>
      <x:c r="C1311" s="2" t="str">
        <x:f>IF(B1311="","",'Motor_Meciuri'!B99)</x:f>
      </x:c>
      <x:c r="D1311" s="2" t="str">
        <x:f>IF(B1311="","",'Motor_Meciuri'!D99)</x:f>
      </x:c>
      <x:c r="E1311" s="2" t="str">
        <x:f>IF(B1311="","",'Motor_Meciuri'!E99)</x:f>
      </x:c>
      <x:c r="F1311" s="2" t="str">
        <x:v>O6,5</x:v>
      </x:c>
      <x:c r="G1311" s="2" t="str">
        <x:v>OVER</x:v>
      </x:c>
      <x:c r="H1311" s="2" t="n">
        <x:v>6</x:v>
      </x:c>
      <x:c r="I1311" s="2" t="str">
        <x:f>IF(B1311="","",'Motor_Meciuri'!H99)</x:f>
      </x:c>
      <x:c r="J1311" s="2" t="str">
        <x:f>IF(B1311="","",'Motor_Meciuri'!I99)</x:f>
      </x:c>
      <x:c r="K1311" s="11" t="str">
        <x:f>IF(J1311&lt;&gt;"PASS","",'Motor_Meciuri'!BD99)</x:f>
      </x:c>
      <x:c r="L1311" s="11" t="str">
        <x:f>IF(J1311&lt;&gt;"PASS","",'Motor_Meciuri'!AU99)</x:f>
      </x:c>
      <x:c r="M1311" s="10" t="str">
        <x:f>IF(NOT(AND(J1311="PASS",'Calibrare_Linii'!U9="VALID")),"",1-'Distributie'!AD99)</x:f>
      </x:c>
      <x:c r="N1311" s="10" t="str">
        <x:f>IF(M1311="","",MAX(0.01,MIN(0.99,0.5+(M1311-0.5)*'Motor_Meciuri'!BG99*'Calibrare_Linii'!D9)))</x:f>
      </x:c>
      <x:c r="O1311" s="10" t="str">
        <x:f>IF(M1311="","",1-M1311)</x:f>
      </x:c>
      <x:c r="P1311" s="10" t="str">
        <x:f>IF(OR(NOT(AND(J1311="PASS",'Calibrare_Linii'!U9="VALID")),AK1311=0),""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*('Istoric_Nativ'!$Q$6:$Q$405&lt;=H1311))/AK1311)</x:f>
      </x:c>
      <x:c r="Q1311" s="10" t="str">
        <x:f>IF(OR(NOT(AND(J1311="PASS",'Calibrare_Linii'!U9="VALID")),AL1311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M99)+((('Istoric_Nativ'!$E$6:$E$405='Input_Meci'!E99)+('Istoric_Nativ'!$F$6:$F$405='Input_Meci'!E99))&gt;0)*('Istoric_Nativ'!$D$6:$D$405&gt;='Motor_Meciuri'!BN99))&gt;0)*('Istoric_Nativ'!$Q$6:$Q$405&lt;=H1311))/AL1311)</x:f>
      </x:c>
      <x:c r="R1311" s="10" t="str">
        <x:f>IF(OR(NOT(AND(J1311="PASS",'Calibrare_Linii'!U9="VALID")),AM1311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O99)+((('Istoric_Nativ'!$E$6:$E$405='Input_Meci'!E99)+('Istoric_Nativ'!$F$6:$F$405='Input_Meci'!E99))&gt;0)*('Istoric_Nativ'!$D$6:$D$405&gt;='Motor_Meciuri'!BP99))&gt;0)*('Istoric_Nativ'!$Q$6:$Q$405&lt;=H1311))/AM1311)</x:f>
      </x:c>
      <x:c r="S1311" s="10" t="str">
        <x:f>IF(M1311="","",MAX(O1311,P1311,Q1311,R1311))</x:f>
      </x:c>
      <x:c r="T1311" s="11" t="str">
        <x:f>IF(M1311="","",MIN(100,S1311*100*'Config_v6'!$B$44+MIN(100,L1311/'Config_v6'!$B$13*100)*'Config_v6'!$B$45+(100-'Motor_Meciuri'!BF99)*'Config_v6'!$B$46+'Motor_Meciuri'!BH99*100*'Config_v6'!$B$47))</x:f>
      </x:c>
      <x:c r="U1311" s="2" t="str">
        <x:f>IF(T1311="","",IF(T1311&lt;=20,1,IF(T1311&lt;=40,2,IF(T1311&lt;=60,3,IF(T1311&lt;=80,4,5)))))</x:f>
      </x:c>
      <x:c r="V1311" s="2" t="str">
        <x:f>IF(M1311="","",MAX(0,'Motor_Meciuri'!BF99-IF(W1311="OOS PENDING",'Config_v6'!$B$35,0)-IF(L1311&gt;'Config_v6'!$B$12,'Config_v6'!$B$37,IF(L1311&gt;'Config_v6'!$B$11,'Config_v6'!$B$36,0))))</x:f>
      </x:c>
      <x:c r="W1311" s="2" t="str">
        <x:f>IF(B1311="","",IF(I1311&lt;&gt;"READY","NOT RELEASED",IF(NOT(AND(J1311="PASS",'Calibrare_Linii'!U9="VALID")),"INVALID",IF(NOT(AND('Calibrare_Linii'!S9="VALIDATED",AND('Calibrare_Linii'!H9=C1311,ISNUMBER('Calibrare_Linii'!J9),'Calibrare_Linii'!J9&lt;='Input_Meci'!G99))),"OOS PENDING",IF(S1311&lt;='Calibrare_Linii'!E9,"PASS",IF(S1311&lt;='Calibrare_Linii'!F9,"PENALTY","WATCH"))))))</x:f>
      </x:c>
      <x:c r="X1311" s="2" t="str">
        <x:f>IF(M1311="","",IF(AND(AND(J1311="PASS",'Calibrare_Linii'!U9="VALID"),'Motor_Meciuri'!K99=12,'Motor_Meciuri'!L99=12,'Motor_Meciuri'!M99="NO",'Motor_Meciuri'!BL99='Motor_Meciuri'!C99,AB1311&gt;='Config_v6'!$B$50,AN1311&gt;='Config_v6'!$B$51,T1311&lt;='Config_v6'!$B$52,L1311&lt;='Config_v6'!$B$53,ISNUMBER('Calibrare_Linii'!E9),S1311&lt;='Calibrare_Linii'!E9,SUM(AK1311:AM1311)&gt;0),"CANDIDATE","NO"))</x:f>
      </x:c>
      <x:c r="Y1311" s="2" t="str">
        <x:f>IF(B1311="","",IF(I1311&lt;&gt;"READY","NOT RELEASED",IF(AND(X1311="CANDIDATE",V1311&gt;='Config_v6'!$B$51,W1311="PASS",'Calibrare_Linii'!T9="VALIDATED",AND('Calibrare_Linii'!H9=C1311,ISNUMBER('Calibrare_Linii'!J9),'Calibrare_Linii'!J9&lt;='Input_Meci'!G99)),"PASS",IF(X1311="CANDIDATE","OOS PENDING","FAIL"))))</x:f>
      </x:c>
      <x:c r="Z1311" s="2" t="str">
        <x:f>IF(B1311="","",IF(I1311&lt;&gt;"READY","",IF(OR(NOT(AND(J1311="PASS",'Calibrare_Linii'!U9="VALID")),L1311&gt;'Config_v6'!$B$13,W1311="WATCH"),5,IF(Y1311="PASS",1,MIN(5,MAX('Config_v6'!$B$42,U1311)+IF(W1311="PENALTY",1,0))))))</x:f>
      </x:c>
      <x:c r="AA1311" s="2" t="str">
        <x:f>IF(B1311="","",IF(I1311&lt;&gt;"READY","NOT RELEASED",IF(Z1311=5,"NO BET",IF(OR(AB1311&lt;'Config_v6'!$B$16,V1311&lt;'Config_v6'!$B$18),"WATCH",IF(Z1311=1,"DEFENSIV",IF(Z1311=2,"PRUDENT",IF(Z1311=3,"MODERAT","RIDICAT")))))))</x:f>
      </x:c>
      <x:c r="AB1311" s="10" t="str">
        <x:f>IF(N1311="","",MIN(N1311,1-S1311))</x:f>
      </x:c>
      <x:c r="AC1311" s="2" t="str">
        <x:f>IF(AD1311&lt;&gt;1,"",COUNTIFS($Z$1308:$Z$1321,"&lt;"&amp;Z1311,$AD$1308:$AD$1321,1)+COUNTIFS($Z$1308:$Z$1321,Z1311,$AB$1308:$AB$1321,"&gt;"&amp;AB1311,$AD$1308:$AD$1321,1)+COUNTIFS($Z$1308:$Z$1321,Z1311,$AB$1308:$AB$1321,AB1311,$V$1308:$V$1321,"&gt;"&amp;V1311,$AD$1308:$AD$1321,1)+COUNTIFS($Z$1308:Z1311,Z1311,$AB$1308:AB1311,AB1311,$V$1308:V1311,V1311,$AD$1308:AD1311,1))</x:f>
      </x:c>
      <x:c r="AD1311" s="2" t="n">
        <x:f>IF(OR(AA1311="DEFENSIV",AA1311="PRUDENT",AA1311="MODERAT",AA1311="RIDICAT"),1,0)</x:f>
        <x:v>0</x:v>
      </x:c>
      <x:c r="AE1311" s="2" t="str">
        <x:f>IF(AD1311&lt;&gt;1,"NO",IF(W1311="PASS","YES",IF(W1311="OOS PENDING","CONDITIONAL","NO")))</x:f>
        <x:v>NO</x:v>
      </x:c>
      <x:c r="AF1311" s="2" t="n">
        <x:f>IF(AND(AD1311=1,AC1311=1,E1311="LIVE"),1,0)</x:f>
        <x:v>0</x:v>
      </x:c>
      <x:c r="AG1311" s="2" t="str">
        <x:f>IF(AF1311&lt;&gt;1,"",'Dashboard'!P119)</x:f>
      </x:c>
      <x:c r="AH1311" s="2" t="str">
        <x:f>IF(B1311="","",IF(J1311&lt;&gt;"PASS",'Motor_Meciuri'!J99,IF('Calibrare_Linii'!U9&lt;&gt;"VALID","Parametri linie invalizi",IF(L1311&gt;'Config_v6'!$B$13,"Dispersie peste limita",IF(W1311="WATCH","Failure peste limita",IF(AB1311&lt;'Config_v6'!$B$16,"P finala sub prag",IF(V1311&lt;'Config_v6'!$B$18,"Confidence sub prag",IF(E1311="REPLAY","Exemplu retrospectiv; exclus din Top LIVE",IF(Y1311="PASS","DEFENSIV validat",IF(W1311="OOS PENDING","Eligibil; calibrare linie in monitorizare","Eligibil"))))))))))</x:f>
      </x:c>
      <x:c r="AI1311" s="2" t="str">
        <x:f>IF(B1311="","",'Calibrare_Linii'!V9)</x:f>
      </x:c>
      <x:c r="AJ1311" s="2" t="str">
        <x:f>IF(B1311="","",IF(AND('Calibrare_Linii'!T9="VALIDATED",AND('Calibrare_Linii'!H9=C1311,ISNUMBER('Calibrare_Linii'!J9),'Calibrare_Linii'!J9&lt;='Input_Meci'!G99)),"DEFENSIVE VALIDATED",IF(AND('Calibrare_Linii'!S9="VALIDATED",AND('Calibrare_Linii'!H9=C1311,ISNUMBER('Calibrare_Linii'!J9),'Calibrare_Linii'!J9&lt;='Input_Meci'!G99)),"TAIL VALIDATED","OOS PENDING")))</x:f>
      </x:c>
      <x:c r="AK1311" s="2" t="n">
        <x:f>IF(J1311&lt;&gt;"PASS",0,'Motor_Meciuri'!BR99)</x:f>
        <x:v>0</x:v>
      </x:c>
      <x:c r="AL1311" s="2" t="n">
        <x:f>IF(J1311&lt;&gt;"PASS",0,'Motor_Meciuri'!BS99)</x:f>
        <x:v>0</x:v>
      </x:c>
      <x:c r="AM1311" s="2" t="n">
        <x:f>IF(J1311&lt;&gt;"PASS",0,'Motor_Meciuri'!BT99)</x:f>
        <x:v>0</x:v>
      </x:c>
      <x:c r="AN1311" s="2" t="str">
        <x:f>IF(M1311="","",MAX(0,'Motor_Meciuri'!BF99-IF(L1311&gt;'Config_v6'!$B$12,'Config_v6'!$B$37,IF(L1311&gt;'Config_v6'!$B$11,'Config_v6'!$B$36,0))))</x:f>
      </x:c>
    </x:row>
    <x:row r="1312" ht="21" customHeight="1">
      <x:c r="A1312" s="2" t="n">
        <x:v>94</x:v>
      </x:c>
      <x:c r="B1312" s="2" t="str">
        <x:f>IF('Motor_Meciuri'!A99="","",'Motor_Meciuri'!A99)</x:f>
      </x:c>
      <x:c r="C1312" s="2" t="str">
        <x:f>IF(B1312="","",'Motor_Meciuri'!B99)</x:f>
      </x:c>
      <x:c r="D1312" s="2" t="str">
        <x:f>IF(B1312="","",'Motor_Meciuri'!D99)</x:f>
      </x:c>
      <x:c r="E1312" s="2" t="str">
        <x:f>IF(B1312="","",'Motor_Meciuri'!E99)</x:f>
      </x:c>
      <x:c r="F1312" s="2" t="str">
        <x:v>O7,5</x:v>
      </x:c>
      <x:c r="G1312" s="2" t="str">
        <x:v>OVER</x:v>
      </x:c>
      <x:c r="H1312" s="2" t="n">
        <x:v>7</x:v>
      </x:c>
      <x:c r="I1312" s="2" t="str">
        <x:f>IF(B1312="","",'Motor_Meciuri'!H99)</x:f>
      </x:c>
      <x:c r="J1312" s="2" t="str">
        <x:f>IF(B1312="","",'Motor_Meciuri'!I99)</x:f>
      </x:c>
      <x:c r="K1312" s="11" t="str">
        <x:f>IF(J1312&lt;&gt;"PASS","",'Motor_Meciuri'!BD99)</x:f>
      </x:c>
      <x:c r="L1312" s="11" t="str">
        <x:f>IF(J1312&lt;&gt;"PASS","",'Motor_Meciuri'!AU99)</x:f>
      </x:c>
      <x:c r="M1312" s="10" t="str">
        <x:f>IF(NOT(AND(J1312="PASS",'Calibrare_Linii'!U10="VALID")),"",1-'Distributie'!AE99)</x:f>
      </x:c>
      <x:c r="N1312" s="10" t="str">
        <x:f>IF(M1312="","",MAX(0.01,MIN(0.99,0.5+(M1312-0.5)*'Motor_Meciuri'!BG99*'Calibrare_Linii'!D10)))</x:f>
      </x:c>
      <x:c r="O1312" s="10" t="str">
        <x:f>IF(M1312="","",1-M1312)</x:f>
      </x:c>
      <x:c r="P1312" s="10" t="str">
        <x:f>IF(OR(NOT(AND(J1312="PASS",'Calibrare_Linii'!U10="VALID")),AK1312=0),""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*('Istoric_Nativ'!$Q$6:$Q$405&lt;=H1312))/AK1312)</x:f>
      </x:c>
      <x:c r="Q1312" s="10" t="str">
        <x:f>IF(OR(NOT(AND(J1312="PASS",'Calibrare_Linii'!U10="VALID")),AL1312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M99)+((('Istoric_Nativ'!$E$6:$E$405='Input_Meci'!E99)+('Istoric_Nativ'!$F$6:$F$405='Input_Meci'!E99))&gt;0)*('Istoric_Nativ'!$D$6:$D$405&gt;='Motor_Meciuri'!BN99))&gt;0)*('Istoric_Nativ'!$Q$6:$Q$405&lt;=H1312))/AL1312)</x:f>
      </x:c>
      <x:c r="R1312" s="10" t="str">
        <x:f>IF(OR(NOT(AND(J1312="PASS",'Calibrare_Linii'!U10="VALID")),AM1312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O99)+((('Istoric_Nativ'!$E$6:$E$405='Input_Meci'!E99)+('Istoric_Nativ'!$F$6:$F$405='Input_Meci'!E99))&gt;0)*('Istoric_Nativ'!$D$6:$D$405&gt;='Motor_Meciuri'!BP99))&gt;0)*('Istoric_Nativ'!$Q$6:$Q$405&lt;=H1312))/AM1312)</x:f>
      </x:c>
      <x:c r="S1312" s="10" t="str">
        <x:f>IF(M1312="","",MAX(O1312,P1312,Q1312,R1312))</x:f>
      </x:c>
      <x:c r="T1312" s="11" t="str">
        <x:f>IF(M1312="","",MIN(100,S1312*100*'Config_v6'!$B$44+MIN(100,L1312/'Config_v6'!$B$13*100)*'Config_v6'!$B$45+(100-'Motor_Meciuri'!BF99)*'Config_v6'!$B$46+'Motor_Meciuri'!BH99*100*'Config_v6'!$B$47))</x:f>
      </x:c>
      <x:c r="U1312" s="2" t="str">
        <x:f>IF(T1312="","",IF(T1312&lt;=20,1,IF(T1312&lt;=40,2,IF(T1312&lt;=60,3,IF(T1312&lt;=80,4,5)))))</x:f>
      </x:c>
      <x:c r="V1312" s="2" t="str">
        <x:f>IF(M1312="","",MAX(0,'Motor_Meciuri'!BF99-IF(W1312="OOS PENDING",'Config_v6'!$B$35,0)-IF(L1312&gt;'Config_v6'!$B$12,'Config_v6'!$B$37,IF(L1312&gt;'Config_v6'!$B$11,'Config_v6'!$B$36,0))))</x:f>
      </x:c>
      <x:c r="W1312" s="2" t="str">
        <x:f>IF(B1312="","",IF(I1312&lt;&gt;"READY","NOT RELEASED",IF(NOT(AND(J1312="PASS",'Calibrare_Linii'!U10="VALID")),"INVALID",IF(NOT(AND('Calibrare_Linii'!S10="VALIDATED",AND('Calibrare_Linii'!H10=C1312,ISNUMBER('Calibrare_Linii'!J10),'Calibrare_Linii'!J10&lt;='Input_Meci'!G99))),"OOS PENDING",IF(S1312&lt;='Calibrare_Linii'!E10,"PASS",IF(S1312&lt;='Calibrare_Linii'!F10,"PENALTY","WATCH"))))))</x:f>
      </x:c>
      <x:c r="X1312" s="2" t="str">
        <x:f>IF(M1312="","",IF(AND(AND(J1312="PASS",'Calibrare_Linii'!U10="VALID"),'Motor_Meciuri'!K99=12,'Motor_Meciuri'!L99=12,'Motor_Meciuri'!M99="NO",'Motor_Meciuri'!BL99='Motor_Meciuri'!C99,AB1312&gt;='Config_v6'!$B$50,AN1312&gt;='Config_v6'!$B$51,T1312&lt;='Config_v6'!$B$52,L1312&lt;='Config_v6'!$B$53,ISNUMBER('Calibrare_Linii'!E10),S1312&lt;='Calibrare_Linii'!E10,SUM(AK1312:AM1312)&gt;0),"CANDIDATE","NO"))</x:f>
      </x:c>
      <x:c r="Y1312" s="2" t="str">
        <x:f>IF(B1312="","",IF(I1312&lt;&gt;"READY","NOT RELEASED",IF(AND(X1312="CANDIDATE",V1312&gt;='Config_v6'!$B$51,W1312="PASS",'Calibrare_Linii'!T10="VALIDATED",AND('Calibrare_Linii'!H10=C1312,ISNUMBER('Calibrare_Linii'!J10),'Calibrare_Linii'!J10&lt;='Input_Meci'!G99)),"PASS",IF(X1312="CANDIDATE","OOS PENDING","FAIL"))))</x:f>
      </x:c>
      <x:c r="Z1312" s="2" t="str">
        <x:f>IF(B1312="","",IF(I1312&lt;&gt;"READY","",IF(OR(NOT(AND(J1312="PASS",'Calibrare_Linii'!U10="VALID")),L1312&gt;'Config_v6'!$B$13,W1312="WATCH"),5,IF(Y1312="PASS",1,MIN(5,MAX('Config_v6'!$B$42,U1312)+IF(W1312="PENALTY",1,0))))))</x:f>
      </x:c>
      <x:c r="AA1312" s="2" t="str">
        <x:f>IF(B1312="","",IF(I1312&lt;&gt;"READY","NOT RELEASED",IF(Z1312=5,"NO BET",IF(OR(AB1312&lt;'Config_v6'!$B$16,V1312&lt;'Config_v6'!$B$18),"WATCH",IF(Z1312=1,"DEFENSIV",IF(Z1312=2,"PRUDENT",IF(Z1312=3,"MODERAT","RIDICAT")))))))</x:f>
      </x:c>
      <x:c r="AB1312" s="10" t="str">
        <x:f>IF(N1312="","",MIN(N1312,1-S1312))</x:f>
      </x:c>
      <x:c r="AC1312" s="2" t="str">
        <x:f>IF(AD1312&lt;&gt;1,"",COUNTIFS($Z$1308:$Z$1321,"&lt;"&amp;Z1312,$AD$1308:$AD$1321,1)+COUNTIFS($Z$1308:$Z$1321,Z1312,$AB$1308:$AB$1321,"&gt;"&amp;AB1312,$AD$1308:$AD$1321,1)+COUNTIFS($Z$1308:$Z$1321,Z1312,$AB$1308:$AB$1321,AB1312,$V$1308:$V$1321,"&gt;"&amp;V1312,$AD$1308:$AD$1321,1)+COUNTIFS($Z$1308:Z1312,Z1312,$AB$1308:AB1312,AB1312,$V$1308:V1312,V1312,$AD$1308:AD1312,1))</x:f>
      </x:c>
      <x:c r="AD1312" s="2" t="n">
        <x:f>IF(OR(AA1312="DEFENSIV",AA1312="PRUDENT",AA1312="MODERAT",AA1312="RIDICAT"),1,0)</x:f>
        <x:v>0</x:v>
      </x:c>
      <x:c r="AE1312" s="2" t="str">
        <x:f>IF(AD1312&lt;&gt;1,"NO",IF(W1312="PASS","YES",IF(W1312="OOS PENDING","CONDITIONAL","NO")))</x:f>
        <x:v>NO</x:v>
      </x:c>
      <x:c r="AF1312" s="2" t="n">
        <x:f>IF(AND(AD1312=1,AC1312=1,E1312="LIVE"),1,0)</x:f>
        <x:v>0</x:v>
      </x:c>
      <x:c r="AG1312" s="2" t="str">
        <x:f>IF(AF1312&lt;&gt;1,"",'Dashboard'!P119)</x:f>
      </x:c>
      <x:c r="AH1312" s="2" t="str">
        <x:f>IF(B1312="","",IF(J1312&lt;&gt;"PASS",'Motor_Meciuri'!J99,IF('Calibrare_Linii'!U10&lt;&gt;"VALID","Parametri linie invalizi",IF(L1312&gt;'Config_v6'!$B$13,"Dispersie peste limita",IF(W1312="WATCH","Failure peste limita",IF(AB1312&lt;'Config_v6'!$B$16,"P finala sub prag",IF(V1312&lt;'Config_v6'!$B$18,"Confidence sub prag",IF(E1312="REPLAY","Exemplu retrospectiv; exclus din Top LIVE",IF(Y1312="PASS","DEFENSIV validat",IF(W1312="OOS PENDING","Eligibil; calibrare linie in monitorizare","Eligibil"))))))))))</x:f>
      </x:c>
      <x:c r="AI1312" s="2" t="str">
        <x:f>IF(B1312="","",'Calibrare_Linii'!V10)</x:f>
      </x:c>
      <x:c r="AJ1312" s="2" t="str">
        <x:f>IF(B1312="","",IF(AND('Calibrare_Linii'!T10="VALIDATED",AND('Calibrare_Linii'!H10=C1312,ISNUMBER('Calibrare_Linii'!J10),'Calibrare_Linii'!J10&lt;='Input_Meci'!G99)),"DEFENSIVE VALIDATED",IF(AND('Calibrare_Linii'!S10="VALIDATED",AND('Calibrare_Linii'!H10=C1312,ISNUMBER('Calibrare_Linii'!J10),'Calibrare_Linii'!J10&lt;='Input_Meci'!G99)),"TAIL VALIDATED","OOS PENDING")))</x:f>
      </x:c>
      <x:c r="AK1312" s="2" t="n">
        <x:f>IF(J1312&lt;&gt;"PASS",0,'Motor_Meciuri'!BR99)</x:f>
        <x:v>0</x:v>
      </x:c>
      <x:c r="AL1312" s="2" t="n">
        <x:f>IF(J1312&lt;&gt;"PASS",0,'Motor_Meciuri'!BS99)</x:f>
        <x:v>0</x:v>
      </x:c>
      <x:c r="AM1312" s="2" t="n">
        <x:f>IF(J1312&lt;&gt;"PASS",0,'Motor_Meciuri'!BT99)</x:f>
        <x:v>0</x:v>
      </x:c>
      <x:c r="AN1312" s="2" t="str">
        <x:f>IF(M1312="","",MAX(0,'Motor_Meciuri'!BF99-IF(L1312&gt;'Config_v6'!$B$12,'Config_v6'!$B$37,IF(L1312&gt;'Config_v6'!$B$11,'Config_v6'!$B$36,0))))</x:f>
      </x:c>
    </x:row>
    <x:row r="1313" ht="21" customHeight="1">
      <x:c r="A1313" s="2" t="n">
        <x:v>94</x:v>
      </x:c>
      <x:c r="B1313" s="2" t="str">
        <x:f>IF('Motor_Meciuri'!A99="","",'Motor_Meciuri'!A99)</x:f>
      </x:c>
      <x:c r="C1313" s="2" t="str">
        <x:f>IF(B1313="","",'Motor_Meciuri'!B99)</x:f>
      </x:c>
      <x:c r="D1313" s="2" t="str">
        <x:f>IF(B1313="","",'Motor_Meciuri'!D99)</x:f>
      </x:c>
      <x:c r="E1313" s="2" t="str">
        <x:f>IF(B1313="","",'Motor_Meciuri'!E99)</x:f>
      </x:c>
      <x:c r="F1313" s="2" t="str">
        <x:v>O8,5</x:v>
      </x:c>
      <x:c r="G1313" s="2" t="str">
        <x:v>OVER</x:v>
      </x:c>
      <x:c r="H1313" s="2" t="n">
        <x:v>8</x:v>
      </x:c>
      <x:c r="I1313" s="2" t="str">
        <x:f>IF(B1313="","",'Motor_Meciuri'!H99)</x:f>
      </x:c>
      <x:c r="J1313" s="2" t="str">
        <x:f>IF(B1313="","",'Motor_Meciuri'!I99)</x:f>
      </x:c>
      <x:c r="K1313" s="11" t="str">
        <x:f>IF(J1313&lt;&gt;"PASS","",'Motor_Meciuri'!BD99)</x:f>
      </x:c>
      <x:c r="L1313" s="11" t="str">
        <x:f>IF(J1313&lt;&gt;"PASS","",'Motor_Meciuri'!AU99)</x:f>
      </x:c>
      <x:c r="M1313" s="10" t="str">
        <x:f>IF(NOT(AND(J1313="PASS",'Calibrare_Linii'!U11="VALID")),"",1-'Distributie'!AF99)</x:f>
      </x:c>
      <x:c r="N1313" s="10" t="str">
        <x:f>IF(M1313="","",MAX(0.01,MIN(0.99,0.5+(M1313-0.5)*'Motor_Meciuri'!BG99*'Calibrare_Linii'!D11)))</x:f>
      </x:c>
      <x:c r="O1313" s="10" t="str">
        <x:f>IF(M1313="","",1-M1313)</x:f>
      </x:c>
      <x:c r="P1313" s="10" t="str">
        <x:f>IF(OR(NOT(AND(J1313="PASS",'Calibrare_Linii'!U11="VALID")),AK1313=0),""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*('Istoric_Nativ'!$Q$6:$Q$405&lt;=H1313))/AK1313)</x:f>
      </x:c>
      <x:c r="Q1313" s="10" t="str">
        <x:f>IF(OR(NOT(AND(J1313="PASS",'Calibrare_Linii'!U11="VALID")),AL1313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M99)+((('Istoric_Nativ'!$E$6:$E$405='Input_Meci'!E99)+('Istoric_Nativ'!$F$6:$F$405='Input_Meci'!E99))&gt;0)*('Istoric_Nativ'!$D$6:$D$405&gt;='Motor_Meciuri'!BN99))&gt;0)*('Istoric_Nativ'!$Q$6:$Q$405&lt;=H1313))/AL1313)</x:f>
      </x:c>
      <x:c r="R1313" s="10" t="str">
        <x:f>IF(OR(NOT(AND(J1313="PASS",'Calibrare_Linii'!U11="VALID")),AM1313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O99)+((('Istoric_Nativ'!$E$6:$E$405='Input_Meci'!E99)+('Istoric_Nativ'!$F$6:$F$405='Input_Meci'!E99))&gt;0)*('Istoric_Nativ'!$D$6:$D$405&gt;='Motor_Meciuri'!BP99))&gt;0)*('Istoric_Nativ'!$Q$6:$Q$405&lt;=H1313))/AM1313)</x:f>
      </x:c>
      <x:c r="S1313" s="10" t="str">
        <x:f>IF(M1313="","",MAX(O1313,P1313,Q1313,R1313))</x:f>
      </x:c>
      <x:c r="T1313" s="11" t="str">
        <x:f>IF(M1313="","",MIN(100,S1313*100*'Config_v6'!$B$44+MIN(100,L1313/'Config_v6'!$B$13*100)*'Config_v6'!$B$45+(100-'Motor_Meciuri'!BF99)*'Config_v6'!$B$46+'Motor_Meciuri'!BH99*100*'Config_v6'!$B$47))</x:f>
      </x:c>
      <x:c r="U1313" s="2" t="str">
        <x:f>IF(T1313="","",IF(T1313&lt;=20,1,IF(T1313&lt;=40,2,IF(T1313&lt;=60,3,IF(T1313&lt;=80,4,5)))))</x:f>
      </x:c>
      <x:c r="V1313" s="2" t="str">
        <x:f>IF(M1313="","",MAX(0,'Motor_Meciuri'!BF99-IF(W1313="OOS PENDING",'Config_v6'!$B$35,0)-IF(L1313&gt;'Config_v6'!$B$12,'Config_v6'!$B$37,IF(L1313&gt;'Config_v6'!$B$11,'Config_v6'!$B$36,0))))</x:f>
      </x:c>
      <x:c r="W1313" s="2" t="str">
        <x:f>IF(B1313="","",IF(I1313&lt;&gt;"READY","NOT RELEASED",IF(NOT(AND(J1313="PASS",'Calibrare_Linii'!U11="VALID")),"INVALID",IF(NOT(AND('Calibrare_Linii'!S11="VALIDATED",AND('Calibrare_Linii'!H11=C1313,ISNUMBER('Calibrare_Linii'!J11),'Calibrare_Linii'!J11&lt;='Input_Meci'!G99))),"OOS PENDING",IF(S1313&lt;='Calibrare_Linii'!E11,"PASS",IF(S1313&lt;='Calibrare_Linii'!F11,"PENALTY","WATCH"))))))</x:f>
      </x:c>
      <x:c r="X1313" s="2" t="str">
        <x:f>IF(M1313="","",IF(AND(AND(J1313="PASS",'Calibrare_Linii'!U11="VALID"),'Motor_Meciuri'!K99=12,'Motor_Meciuri'!L99=12,'Motor_Meciuri'!M99="NO",'Motor_Meciuri'!BL99='Motor_Meciuri'!C99,AB1313&gt;='Config_v6'!$B$50,AN1313&gt;='Config_v6'!$B$51,T1313&lt;='Config_v6'!$B$52,L1313&lt;='Config_v6'!$B$53,ISNUMBER('Calibrare_Linii'!E11),S1313&lt;='Calibrare_Linii'!E11,SUM(AK1313:AM1313)&gt;0),"CANDIDATE","NO"))</x:f>
      </x:c>
      <x:c r="Y1313" s="2" t="str">
        <x:f>IF(B1313="","",IF(I1313&lt;&gt;"READY","NOT RELEASED",IF(AND(X1313="CANDIDATE",V1313&gt;='Config_v6'!$B$51,W1313="PASS",'Calibrare_Linii'!T11="VALIDATED",AND('Calibrare_Linii'!H11=C1313,ISNUMBER('Calibrare_Linii'!J11),'Calibrare_Linii'!J11&lt;='Input_Meci'!G99)),"PASS",IF(X1313="CANDIDATE","OOS PENDING","FAIL"))))</x:f>
      </x:c>
      <x:c r="Z1313" s="2" t="str">
        <x:f>IF(B1313="","",IF(I1313&lt;&gt;"READY","",IF(OR(NOT(AND(J1313="PASS",'Calibrare_Linii'!U11="VALID")),L1313&gt;'Config_v6'!$B$13,W1313="WATCH"),5,IF(Y1313="PASS",1,MIN(5,MAX('Config_v6'!$B$42,U1313)+IF(W1313="PENALTY",1,0))))))</x:f>
      </x:c>
      <x:c r="AA1313" s="2" t="str">
        <x:f>IF(B1313="","",IF(I1313&lt;&gt;"READY","NOT RELEASED",IF(Z1313=5,"NO BET",IF(OR(AB1313&lt;'Config_v6'!$B$16,V1313&lt;'Config_v6'!$B$18),"WATCH",IF(Z1313=1,"DEFENSIV",IF(Z1313=2,"PRUDENT",IF(Z1313=3,"MODERAT","RIDICAT")))))))</x:f>
      </x:c>
      <x:c r="AB1313" s="10" t="str">
        <x:f>IF(N1313="","",MIN(N1313,1-S1313))</x:f>
      </x:c>
      <x:c r="AC1313" s="2" t="str">
        <x:f>IF(AD1313&lt;&gt;1,"",COUNTIFS($Z$1308:$Z$1321,"&lt;"&amp;Z1313,$AD$1308:$AD$1321,1)+COUNTIFS($Z$1308:$Z$1321,Z1313,$AB$1308:$AB$1321,"&gt;"&amp;AB1313,$AD$1308:$AD$1321,1)+COUNTIFS($Z$1308:$Z$1321,Z1313,$AB$1308:$AB$1321,AB1313,$V$1308:$V$1321,"&gt;"&amp;V1313,$AD$1308:$AD$1321,1)+COUNTIFS($Z$1308:Z1313,Z1313,$AB$1308:AB1313,AB1313,$V$1308:V1313,V1313,$AD$1308:AD1313,1))</x:f>
      </x:c>
      <x:c r="AD1313" s="2" t="n">
        <x:f>IF(OR(AA1313="DEFENSIV",AA1313="PRUDENT",AA1313="MODERAT",AA1313="RIDICAT"),1,0)</x:f>
        <x:v>0</x:v>
      </x:c>
      <x:c r="AE1313" s="2" t="str">
        <x:f>IF(AD1313&lt;&gt;1,"NO",IF(W1313="PASS","YES",IF(W1313="OOS PENDING","CONDITIONAL","NO")))</x:f>
        <x:v>NO</x:v>
      </x:c>
      <x:c r="AF1313" s="2" t="n">
        <x:f>IF(AND(AD1313=1,AC1313=1,E1313="LIVE"),1,0)</x:f>
        <x:v>0</x:v>
      </x:c>
      <x:c r="AG1313" s="2" t="str">
        <x:f>IF(AF1313&lt;&gt;1,"",'Dashboard'!P119)</x:f>
      </x:c>
      <x:c r="AH1313" s="2" t="str">
        <x:f>IF(B1313="","",IF(J1313&lt;&gt;"PASS",'Motor_Meciuri'!J99,IF('Calibrare_Linii'!U11&lt;&gt;"VALID","Parametri linie invalizi",IF(L1313&gt;'Config_v6'!$B$13,"Dispersie peste limita",IF(W1313="WATCH","Failure peste limita",IF(AB1313&lt;'Config_v6'!$B$16,"P finala sub prag",IF(V1313&lt;'Config_v6'!$B$18,"Confidence sub prag",IF(E1313="REPLAY","Exemplu retrospectiv; exclus din Top LIVE",IF(Y1313="PASS","DEFENSIV validat",IF(W1313="OOS PENDING","Eligibil; calibrare linie in monitorizare","Eligibil"))))))))))</x:f>
      </x:c>
      <x:c r="AI1313" s="2" t="str">
        <x:f>IF(B1313="","",'Calibrare_Linii'!V11)</x:f>
      </x:c>
      <x:c r="AJ1313" s="2" t="str">
        <x:f>IF(B1313="","",IF(AND('Calibrare_Linii'!T11="VALIDATED",AND('Calibrare_Linii'!H11=C1313,ISNUMBER('Calibrare_Linii'!J11),'Calibrare_Linii'!J11&lt;='Input_Meci'!G99)),"DEFENSIVE VALIDATED",IF(AND('Calibrare_Linii'!S11="VALIDATED",AND('Calibrare_Linii'!H11=C1313,ISNUMBER('Calibrare_Linii'!J11),'Calibrare_Linii'!J11&lt;='Input_Meci'!G99)),"TAIL VALIDATED","OOS PENDING")))</x:f>
      </x:c>
      <x:c r="AK1313" s="2" t="n">
        <x:f>IF(J1313&lt;&gt;"PASS",0,'Motor_Meciuri'!BR99)</x:f>
        <x:v>0</x:v>
      </x:c>
      <x:c r="AL1313" s="2" t="n">
        <x:f>IF(J1313&lt;&gt;"PASS",0,'Motor_Meciuri'!BS99)</x:f>
        <x:v>0</x:v>
      </x:c>
      <x:c r="AM1313" s="2" t="n">
        <x:f>IF(J1313&lt;&gt;"PASS",0,'Motor_Meciuri'!BT99)</x:f>
        <x:v>0</x:v>
      </x:c>
      <x:c r="AN1313" s="2" t="str">
        <x:f>IF(M1313="","",MAX(0,'Motor_Meciuri'!BF99-IF(L1313&gt;'Config_v6'!$B$12,'Config_v6'!$B$37,IF(L1313&gt;'Config_v6'!$B$11,'Config_v6'!$B$36,0))))</x:f>
      </x:c>
    </x:row>
    <x:row r="1314" ht="21" customHeight="1">
      <x:c r="A1314" s="2" t="n">
        <x:v>94</x:v>
      </x:c>
      <x:c r="B1314" s="2" t="str">
        <x:f>IF('Motor_Meciuri'!A99="","",'Motor_Meciuri'!A99)</x:f>
      </x:c>
      <x:c r="C1314" s="2" t="str">
        <x:f>IF(B1314="","",'Motor_Meciuri'!B99)</x:f>
      </x:c>
      <x:c r="D1314" s="2" t="str">
        <x:f>IF(B1314="","",'Motor_Meciuri'!D99)</x:f>
      </x:c>
      <x:c r="E1314" s="2" t="str">
        <x:f>IF(B1314="","",'Motor_Meciuri'!E99)</x:f>
      </x:c>
      <x:c r="F1314" s="2" t="str">
        <x:v>U10,5</x:v>
      </x:c>
      <x:c r="G1314" s="2" t="str">
        <x:v>UNDER</x:v>
      </x:c>
      <x:c r="H1314" s="2" t="n">
        <x:v>10</x:v>
      </x:c>
      <x:c r="I1314" s="2" t="str">
        <x:f>IF(B1314="","",'Motor_Meciuri'!H99)</x:f>
      </x:c>
      <x:c r="J1314" s="2" t="str">
        <x:f>IF(B1314="","",'Motor_Meciuri'!I99)</x:f>
      </x:c>
      <x:c r="K1314" s="11" t="str">
        <x:f>IF(J1314&lt;&gt;"PASS","",'Motor_Meciuri'!BD99)</x:f>
      </x:c>
      <x:c r="L1314" s="11" t="str">
        <x:f>IF(J1314&lt;&gt;"PASS","",'Motor_Meciuri'!AU99)</x:f>
      </x:c>
      <x:c r="M1314" s="10" t="str">
        <x:f>IF(NOT(AND(J1314="PASS",'Calibrare_Linii'!U12="VALID")),"",'Distributie'!AH99)</x:f>
      </x:c>
      <x:c r="N1314" s="10" t="str">
        <x:f>IF(M1314="","",MAX(0.01,MIN(0.99,0.5+(M1314-0.5)*'Motor_Meciuri'!BG99*'Calibrare_Linii'!D12)))</x:f>
      </x:c>
      <x:c r="O1314" s="10" t="str">
        <x:f>IF(M1314="","",1-M1314)</x:f>
      </x:c>
      <x:c r="P1314" s="10" t="str">
        <x:f>IF(OR(NOT(AND(J1314="PASS",'Calibrare_Linii'!U12="VALID")),AK1314=0),""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*('Istoric_Nativ'!$Q$6:$Q$405&gt;H1314))/AK1314)</x:f>
      </x:c>
      <x:c r="Q1314" s="10" t="str">
        <x:f>IF(OR(NOT(AND(J1314="PASS",'Calibrare_Linii'!U12="VALID")),AL1314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M99)+((('Istoric_Nativ'!$E$6:$E$405='Input_Meci'!E99)+('Istoric_Nativ'!$F$6:$F$405='Input_Meci'!E99))&gt;0)*('Istoric_Nativ'!$D$6:$D$405&gt;='Motor_Meciuri'!BN99))&gt;0)*('Istoric_Nativ'!$Q$6:$Q$405&gt;H1314))/AL1314)</x:f>
      </x:c>
      <x:c r="R1314" s="10" t="str">
        <x:f>IF(OR(NOT(AND(J1314="PASS",'Calibrare_Linii'!U12="VALID")),AM1314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O99)+((('Istoric_Nativ'!$E$6:$E$405='Input_Meci'!E99)+('Istoric_Nativ'!$F$6:$F$405='Input_Meci'!E99))&gt;0)*('Istoric_Nativ'!$D$6:$D$405&gt;='Motor_Meciuri'!BP99))&gt;0)*('Istoric_Nativ'!$Q$6:$Q$405&gt;H1314))/AM1314)</x:f>
      </x:c>
      <x:c r="S1314" s="10" t="str">
        <x:f>IF(M1314="","",MAX(O1314,P1314,Q1314,R1314))</x:f>
      </x:c>
      <x:c r="T1314" s="11" t="str">
        <x:f>IF(M1314="","",MIN(100,S1314*100*'Config_v6'!$B$44+MIN(100,L1314/'Config_v6'!$B$13*100)*'Config_v6'!$B$45+(100-'Motor_Meciuri'!BF99)*'Config_v6'!$B$46+'Motor_Meciuri'!BH99*100*'Config_v6'!$B$47))</x:f>
      </x:c>
      <x:c r="U1314" s="2" t="str">
        <x:f>IF(T1314="","",IF(T1314&lt;=20,1,IF(T1314&lt;=40,2,IF(T1314&lt;=60,3,IF(T1314&lt;=80,4,5)))))</x:f>
      </x:c>
      <x:c r="V1314" s="2" t="str">
        <x:f>IF(M1314="","",MAX(0,'Motor_Meciuri'!BF99-IF(W1314="OOS PENDING",'Config_v6'!$B$35,0)-IF(L1314&gt;'Config_v6'!$B$12,'Config_v6'!$B$37,IF(L1314&gt;'Config_v6'!$B$11,'Config_v6'!$B$36,0))))</x:f>
      </x:c>
      <x:c r="W1314" s="2" t="str">
        <x:f>IF(B1314="","",IF(I1314&lt;&gt;"READY","NOT RELEASED",IF(NOT(AND(J1314="PASS",'Calibrare_Linii'!U12="VALID")),"INVALID",IF(NOT(AND('Calibrare_Linii'!S12="VALIDATED",AND('Calibrare_Linii'!H12=C1314,ISNUMBER('Calibrare_Linii'!J12),'Calibrare_Linii'!J12&lt;='Input_Meci'!G99))),"OOS PENDING",IF(S1314&lt;='Calibrare_Linii'!E12,"PASS",IF(S1314&lt;='Calibrare_Linii'!F12,"PENALTY","WATCH"))))))</x:f>
      </x:c>
      <x:c r="X1314" s="2" t="str">
        <x:f>IF(M1314="","",IF(AND(AND(J1314="PASS",'Calibrare_Linii'!U12="VALID"),'Motor_Meciuri'!K99=12,'Motor_Meciuri'!L99=12,'Motor_Meciuri'!M99="NO",'Motor_Meciuri'!BL99='Motor_Meciuri'!C99,AB1314&gt;='Config_v6'!$B$50,AN1314&gt;='Config_v6'!$B$51,T1314&lt;='Config_v6'!$B$52,L1314&lt;='Config_v6'!$B$53,ISNUMBER('Calibrare_Linii'!E12),S1314&lt;='Calibrare_Linii'!E12,SUM(AK1314:AM1314)&gt;0),"CANDIDATE","NO"))</x:f>
      </x:c>
      <x:c r="Y1314" s="2" t="str">
        <x:f>IF(B1314="","",IF(I1314&lt;&gt;"READY","NOT RELEASED",IF(AND(X1314="CANDIDATE",V1314&gt;='Config_v6'!$B$51,W1314="PASS",'Calibrare_Linii'!T12="VALIDATED",AND('Calibrare_Linii'!H12=C1314,ISNUMBER('Calibrare_Linii'!J12),'Calibrare_Linii'!J12&lt;='Input_Meci'!G99)),"PASS",IF(X1314="CANDIDATE","OOS PENDING","FAIL"))))</x:f>
      </x:c>
      <x:c r="Z1314" s="2" t="str">
        <x:f>IF(B1314="","",IF(I1314&lt;&gt;"READY","",IF(OR(NOT(AND(J1314="PASS",'Calibrare_Linii'!U12="VALID")),L1314&gt;'Config_v6'!$B$13,W1314="WATCH"),5,IF(Y1314="PASS",1,MIN(5,MAX('Config_v6'!$B$42,U1314)+IF(W1314="PENALTY",1,0))))))</x:f>
      </x:c>
      <x:c r="AA1314" s="2" t="str">
        <x:f>IF(B1314="","",IF(I1314&lt;&gt;"READY","NOT RELEASED",IF(Z1314=5,"NO BET",IF(OR(AB1314&lt;'Config_v6'!$B$16,V1314&lt;'Config_v6'!$B$18),"WATCH",IF(Z1314=1,"DEFENSIV",IF(Z1314=2,"PRUDENT",IF(Z1314=3,"MODERAT","RIDICAT")))))))</x:f>
      </x:c>
      <x:c r="AB1314" s="10" t="str">
        <x:f>IF(N1314="","",MIN(N1314,1-S1314))</x:f>
      </x:c>
      <x:c r="AC1314" s="2" t="str">
        <x:f>IF(AD1314&lt;&gt;1,"",COUNTIFS($Z$1308:$Z$1321,"&lt;"&amp;Z1314,$AD$1308:$AD$1321,1)+COUNTIFS($Z$1308:$Z$1321,Z1314,$AB$1308:$AB$1321,"&gt;"&amp;AB1314,$AD$1308:$AD$1321,1)+COUNTIFS($Z$1308:$Z$1321,Z1314,$AB$1308:$AB$1321,AB1314,$V$1308:$V$1321,"&gt;"&amp;V1314,$AD$1308:$AD$1321,1)+COUNTIFS($Z$1308:Z1314,Z1314,$AB$1308:AB1314,AB1314,$V$1308:V1314,V1314,$AD$1308:AD1314,1))</x:f>
      </x:c>
      <x:c r="AD1314" s="2" t="n">
        <x:f>IF(OR(AA1314="DEFENSIV",AA1314="PRUDENT",AA1314="MODERAT",AA1314="RIDICAT"),1,0)</x:f>
        <x:v>0</x:v>
      </x:c>
      <x:c r="AE1314" s="2" t="str">
        <x:f>IF(AD1314&lt;&gt;1,"NO",IF(W1314="PASS","YES",IF(W1314="OOS PENDING","CONDITIONAL","NO")))</x:f>
        <x:v>NO</x:v>
      </x:c>
      <x:c r="AF1314" s="2" t="n">
        <x:f>IF(AND(AD1314=1,AC1314=1,E1314="LIVE"),1,0)</x:f>
        <x:v>0</x:v>
      </x:c>
      <x:c r="AG1314" s="2" t="str">
        <x:f>IF(AF1314&lt;&gt;1,"",'Dashboard'!P119)</x:f>
      </x:c>
      <x:c r="AH1314" s="2" t="str">
        <x:f>IF(B1314="","",IF(J1314&lt;&gt;"PASS",'Motor_Meciuri'!J99,IF('Calibrare_Linii'!U12&lt;&gt;"VALID","Parametri linie invalizi",IF(L1314&gt;'Config_v6'!$B$13,"Dispersie peste limita",IF(W1314="WATCH","Failure peste limita",IF(AB1314&lt;'Config_v6'!$B$16,"P finala sub prag",IF(V1314&lt;'Config_v6'!$B$18,"Confidence sub prag",IF(E1314="REPLAY","Exemplu retrospectiv; exclus din Top LIVE",IF(Y1314="PASS","DEFENSIV validat",IF(W1314="OOS PENDING","Eligibil; calibrare linie in monitorizare","Eligibil"))))))))))</x:f>
      </x:c>
      <x:c r="AI1314" s="2" t="str">
        <x:f>IF(B1314="","",'Calibrare_Linii'!V12)</x:f>
      </x:c>
      <x:c r="AJ1314" s="2" t="str">
        <x:f>IF(B1314="","",IF(AND('Calibrare_Linii'!T12="VALIDATED",AND('Calibrare_Linii'!H12=C1314,ISNUMBER('Calibrare_Linii'!J12),'Calibrare_Linii'!J12&lt;='Input_Meci'!G99)),"DEFENSIVE VALIDATED",IF(AND('Calibrare_Linii'!S12="VALIDATED",AND('Calibrare_Linii'!H12=C1314,ISNUMBER('Calibrare_Linii'!J12),'Calibrare_Linii'!J12&lt;='Input_Meci'!G99)),"TAIL VALIDATED","OOS PENDING")))</x:f>
      </x:c>
      <x:c r="AK1314" s="2" t="n">
        <x:f>IF(J1314&lt;&gt;"PASS",0,'Motor_Meciuri'!BR99)</x:f>
        <x:v>0</x:v>
      </x:c>
      <x:c r="AL1314" s="2" t="n">
        <x:f>IF(J1314&lt;&gt;"PASS",0,'Motor_Meciuri'!BS99)</x:f>
        <x:v>0</x:v>
      </x:c>
      <x:c r="AM1314" s="2" t="n">
        <x:f>IF(J1314&lt;&gt;"PASS",0,'Motor_Meciuri'!BT99)</x:f>
        <x:v>0</x:v>
      </x:c>
      <x:c r="AN1314" s="2" t="str">
        <x:f>IF(M1314="","",MAX(0,'Motor_Meciuri'!BF99-IF(L1314&gt;'Config_v6'!$B$12,'Config_v6'!$B$37,IF(L1314&gt;'Config_v6'!$B$11,'Config_v6'!$B$36,0))))</x:f>
      </x:c>
    </x:row>
    <x:row r="1315" ht="21" customHeight="1">
      <x:c r="A1315" s="2" t="n">
        <x:v>94</x:v>
      </x:c>
      <x:c r="B1315" s="2" t="str">
        <x:f>IF('Motor_Meciuri'!A99="","",'Motor_Meciuri'!A99)</x:f>
      </x:c>
      <x:c r="C1315" s="2" t="str">
        <x:f>IF(B1315="","",'Motor_Meciuri'!B99)</x:f>
      </x:c>
      <x:c r="D1315" s="2" t="str">
        <x:f>IF(B1315="","",'Motor_Meciuri'!D99)</x:f>
      </x:c>
      <x:c r="E1315" s="2" t="str">
        <x:f>IF(B1315="","",'Motor_Meciuri'!E99)</x:f>
      </x:c>
      <x:c r="F1315" s="2" t="str">
        <x:v>U11,5</x:v>
      </x:c>
      <x:c r="G1315" s="2" t="str">
        <x:v>UNDER</x:v>
      </x:c>
      <x:c r="H1315" s="2" t="n">
        <x:v>11</x:v>
      </x:c>
      <x:c r="I1315" s="2" t="str">
        <x:f>IF(B1315="","",'Motor_Meciuri'!H99)</x:f>
      </x:c>
      <x:c r="J1315" s="2" t="str">
        <x:f>IF(B1315="","",'Motor_Meciuri'!I99)</x:f>
      </x:c>
      <x:c r="K1315" s="11" t="str">
        <x:f>IF(J1315&lt;&gt;"PASS","",'Motor_Meciuri'!BD99)</x:f>
      </x:c>
      <x:c r="L1315" s="11" t="str">
        <x:f>IF(J1315&lt;&gt;"PASS","",'Motor_Meciuri'!AU99)</x:f>
      </x:c>
      <x:c r="M1315" s="10" t="str">
        <x:f>IF(NOT(AND(J1315="PASS",'Calibrare_Linii'!U13="VALID")),"",'Distributie'!AI99)</x:f>
      </x:c>
      <x:c r="N1315" s="10" t="str">
        <x:f>IF(M1315="","",MAX(0.01,MIN(0.99,0.5+(M1315-0.5)*'Motor_Meciuri'!BG99*'Calibrare_Linii'!D13)))</x:f>
      </x:c>
      <x:c r="O1315" s="10" t="str">
        <x:f>IF(M1315="","",1-M1315)</x:f>
      </x:c>
      <x:c r="P1315" s="10" t="str">
        <x:f>IF(OR(NOT(AND(J1315="PASS",'Calibrare_Linii'!U13="VALID")),AK1315=0),""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*('Istoric_Nativ'!$Q$6:$Q$405&gt;H1315))/AK1315)</x:f>
      </x:c>
      <x:c r="Q1315" s="10" t="str">
        <x:f>IF(OR(NOT(AND(J1315="PASS",'Calibrare_Linii'!U13="VALID")),AL1315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M99)+((('Istoric_Nativ'!$E$6:$E$405='Input_Meci'!E99)+('Istoric_Nativ'!$F$6:$F$405='Input_Meci'!E99))&gt;0)*('Istoric_Nativ'!$D$6:$D$405&gt;='Motor_Meciuri'!BN99))&gt;0)*('Istoric_Nativ'!$Q$6:$Q$405&gt;H1315))/AL1315)</x:f>
      </x:c>
      <x:c r="R1315" s="10" t="str">
        <x:f>IF(OR(NOT(AND(J1315="PASS",'Calibrare_Linii'!U13="VALID")),AM1315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O99)+((('Istoric_Nativ'!$E$6:$E$405='Input_Meci'!E99)+('Istoric_Nativ'!$F$6:$F$405='Input_Meci'!E99))&gt;0)*('Istoric_Nativ'!$D$6:$D$405&gt;='Motor_Meciuri'!BP99))&gt;0)*('Istoric_Nativ'!$Q$6:$Q$405&gt;H1315))/AM1315)</x:f>
      </x:c>
      <x:c r="S1315" s="10" t="str">
        <x:f>IF(M1315="","",MAX(O1315,P1315,Q1315,R1315))</x:f>
      </x:c>
      <x:c r="T1315" s="11" t="str">
        <x:f>IF(M1315="","",MIN(100,S1315*100*'Config_v6'!$B$44+MIN(100,L1315/'Config_v6'!$B$13*100)*'Config_v6'!$B$45+(100-'Motor_Meciuri'!BF99)*'Config_v6'!$B$46+'Motor_Meciuri'!BH99*100*'Config_v6'!$B$47))</x:f>
      </x:c>
      <x:c r="U1315" s="2" t="str">
        <x:f>IF(T1315="","",IF(T1315&lt;=20,1,IF(T1315&lt;=40,2,IF(T1315&lt;=60,3,IF(T1315&lt;=80,4,5)))))</x:f>
      </x:c>
      <x:c r="V1315" s="2" t="str">
        <x:f>IF(M1315="","",MAX(0,'Motor_Meciuri'!BF99-IF(W1315="OOS PENDING",'Config_v6'!$B$35,0)-IF(L1315&gt;'Config_v6'!$B$12,'Config_v6'!$B$37,IF(L1315&gt;'Config_v6'!$B$11,'Config_v6'!$B$36,0))))</x:f>
      </x:c>
      <x:c r="W1315" s="2" t="str">
        <x:f>IF(B1315="","",IF(I1315&lt;&gt;"READY","NOT RELEASED",IF(NOT(AND(J1315="PASS",'Calibrare_Linii'!U13="VALID")),"INVALID",IF(NOT(AND('Calibrare_Linii'!S13="VALIDATED",AND('Calibrare_Linii'!H13=C1315,ISNUMBER('Calibrare_Linii'!J13),'Calibrare_Linii'!J13&lt;='Input_Meci'!G99))),"OOS PENDING",IF(S1315&lt;='Calibrare_Linii'!E13,"PASS",IF(S1315&lt;='Calibrare_Linii'!F13,"PENALTY","WATCH"))))))</x:f>
      </x:c>
      <x:c r="X1315" s="2" t="str">
        <x:f>IF(M1315="","",IF(AND(AND(J1315="PASS",'Calibrare_Linii'!U13="VALID"),'Motor_Meciuri'!K99=12,'Motor_Meciuri'!L99=12,'Motor_Meciuri'!M99="NO",'Motor_Meciuri'!BL99='Motor_Meciuri'!C99,AB1315&gt;='Config_v6'!$B$50,AN1315&gt;='Config_v6'!$B$51,T1315&lt;='Config_v6'!$B$52,L1315&lt;='Config_v6'!$B$53,ISNUMBER('Calibrare_Linii'!E13),S1315&lt;='Calibrare_Linii'!E13,SUM(AK1315:AM1315)&gt;0),"CANDIDATE","NO"))</x:f>
      </x:c>
      <x:c r="Y1315" s="2" t="str">
        <x:f>IF(B1315="","",IF(I1315&lt;&gt;"READY","NOT RELEASED",IF(AND(X1315="CANDIDATE",V1315&gt;='Config_v6'!$B$51,W1315="PASS",'Calibrare_Linii'!T13="VALIDATED",AND('Calibrare_Linii'!H13=C1315,ISNUMBER('Calibrare_Linii'!J13),'Calibrare_Linii'!J13&lt;='Input_Meci'!G99)),"PASS",IF(X1315="CANDIDATE","OOS PENDING","FAIL"))))</x:f>
      </x:c>
      <x:c r="Z1315" s="2" t="str">
        <x:f>IF(B1315="","",IF(I1315&lt;&gt;"READY","",IF(OR(NOT(AND(J1315="PASS",'Calibrare_Linii'!U13="VALID")),L1315&gt;'Config_v6'!$B$13,W1315="WATCH"),5,IF(Y1315="PASS",1,MIN(5,MAX('Config_v6'!$B$42,U1315)+IF(W1315="PENALTY",1,0))))))</x:f>
      </x:c>
      <x:c r="AA1315" s="2" t="str">
        <x:f>IF(B1315="","",IF(I1315&lt;&gt;"READY","NOT RELEASED",IF(Z1315=5,"NO BET",IF(OR(AB1315&lt;'Config_v6'!$B$16,V1315&lt;'Config_v6'!$B$18),"WATCH",IF(Z1315=1,"DEFENSIV",IF(Z1315=2,"PRUDENT",IF(Z1315=3,"MODERAT","RIDICAT")))))))</x:f>
      </x:c>
      <x:c r="AB1315" s="10" t="str">
        <x:f>IF(N1315="","",MIN(N1315,1-S1315))</x:f>
      </x:c>
      <x:c r="AC1315" s="2" t="str">
        <x:f>IF(AD1315&lt;&gt;1,"",COUNTIFS($Z$1308:$Z$1321,"&lt;"&amp;Z1315,$AD$1308:$AD$1321,1)+COUNTIFS($Z$1308:$Z$1321,Z1315,$AB$1308:$AB$1321,"&gt;"&amp;AB1315,$AD$1308:$AD$1321,1)+COUNTIFS($Z$1308:$Z$1321,Z1315,$AB$1308:$AB$1321,AB1315,$V$1308:$V$1321,"&gt;"&amp;V1315,$AD$1308:$AD$1321,1)+COUNTIFS($Z$1308:Z1315,Z1315,$AB$1308:AB1315,AB1315,$V$1308:V1315,V1315,$AD$1308:AD1315,1))</x:f>
      </x:c>
      <x:c r="AD1315" s="2" t="n">
        <x:f>IF(OR(AA1315="DEFENSIV",AA1315="PRUDENT",AA1315="MODERAT",AA1315="RIDICAT"),1,0)</x:f>
        <x:v>0</x:v>
      </x:c>
      <x:c r="AE1315" s="2" t="str">
        <x:f>IF(AD1315&lt;&gt;1,"NO",IF(W1315="PASS","YES",IF(W1315="OOS PENDING","CONDITIONAL","NO")))</x:f>
        <x:v>NO</x:v>
      </x:c>
      <x:c r="AF1315" s="2" t="n">
        <x:f>IF(AND(AD1315=1,AC1315=1,E1315="LIVE"),1,0)</x:f>
        <x:v>0</x:v>
      </x:c>
      <x:c r="AG1315" s="2" t="str">
        <x:f>IF(AF1315&lt;&gt;1,"",'Dashboard'!P119)</x:f>
      </x:c>
      <x:c r="AH1315" s="2" t="str">
        <x:f>IF(B1315="","",IF(J1315&lt;&gt;"PASS",'Motor_Meciuri'!J99,IF('Calibrare_Linii'!U13&lt;&gt;"VALID","Parametri linie invalizi",IF(L1315&gt;'Config_v6'!$B$13,"Dispersie peste limita",IF(W1315="WATCH","Failure peste limita",IF(AB1315&lt;'Config_v6'!$B$16,"P finala sub prag",IF(V1315&lt;'Config_v6'!$B$18,"Confidence sub prag",IF(E1315="REPLAY","Exemplu retrospectiv; exclus din Top LIVE",IF(Y1315="PASS","DEFENSIV validat",IF(W1315="OOS PENDING","Eligibil; calibrare linie in monitorizare","Eligibil"))))))))))</x:f>
      </x:c>
      <x:c r="AI1315" s="2" t="str">
        <x:f>IF(B1315="","",'Calibrare_Linii'!V13)</x:f>
      </x:c>
      <x:c r="AJ1315" s="2" t="str">
        <x:f>IF(B1315="","",IF(AND('Calibrare_Linii'!T13="VALIDATED",AND('Calibrare_Linii'!H13=C1315,ISNUMBER('Calibrare_Linii'!J13),'Calibrare_Linii'!J13&lt;='Input_Meci'!G99)),"DEFENSIVE VALIDATED",IF(AND('Calibrare_Linii'!S13="VALIDATED",AND('Calibrare_Linii'!H13=C1315,ISNUMBER('Calibrare_Linii'!J13),'Calibrare_Linii'!J13&lt;='Input_Meci'!G99)),"TAIL VALIDATED","OOS PENDING")))</x:f>
      </x:c>
      <x:c r="AK1315" s="2" t="n">
        <x:f>IF(J1315&lt;&gt;"PASS",0,'Motor_Meciuri'!BR99)</x:f>
        <x:v>0</x:v>
      </x:c>
      <x:c r="AL1315" s="2" t="n">
        <x:f>IF(J1315&lt;&gt;"PASS",0,'Motor_Meciuri'!BS99)</x:f>
        <x:v>0</x:v>
      </x:c>
      <x:c r="AM1315" s="2" t="n">
        <x:f>IF(J1315&lt;&gt;"PASS",0,'Motor_Meciuri'!BT99)</x:f>
        <x:v>0</x:v>
      </x:c>
      <x:c r="AN1315" s="2" t="str">
        <x:f>IF(M1315="","",MAX(0,'Motor_Meciuri'!BF99-IF(L1315&gt;'Config_v6'!$B$12,'Config_v6'!$B$37,IF(L1315&gt;'Config_v6'!$B$11,'Config_v6'!$B$36,0))))</x:f>
      </x:c>
    </x:row>
    <x:row r="1316" ht="21" customHeight="1">
      <x:c r="A1316" s="2" t="n">
        <x:v>94</x:v>
      </x:c>
      <x:c r="B1316" s="2" t="str">
        <x:f>IF('Motor_Meciuri'!A99="","",'Motor_Meciuri'!A99)</x:f>
      </x:c>
      <x:c r="C1316" s="2" t="str">
        <x:f>IF(B1316="","",'Motor_Meciuri'!B99)</x:f>
      </x:c>
      <x:c r="D1316" s="2" t="str">
        <x:f>IF(B1316="","",'Motor_Meciuri'!D99)</x:f>
      </x:c>
      <x:c r="E1316" s="2" t="str">
        <x:f>IF(B1316="","",'Motor_Meciuri'!E99)</x:f>
      </x:c>
      <x:c r="F1316" s="2" t="str">
        <x:v>U12,5</x:v>
      </x:c>
      <x:c r="G1316" s="2" t="str">
        <x:v>UNDER</x:v>
      </x:c>
      <x:c r="H1316" s="2" t="n">
        <x:v>12</x:v>
      </x:c>
      <x:c r="I1316" s="2" t="str">
        <x:f>IF(B1316="","",'Motor_Meciuri'!H99)</x:f>
      </x:c>
      <x:c r="J1316" s="2" t="str">
        <x:f>IF(B1316="","",'Motor_Meciuri'!I99)</x:f>
      </x:c>
      <x:c r="K1316" s="11" t="str">
        <x:f>IF(J1316&lt;&gt;"PASS","",'Motor_Meciuri'!BD99)</x:f>
      </x:c>
      <x:c r="L1316" s="11" t="str">
        <x:f>IF(J1316&lt;&gt;"PASS","",'Motor_Meciuri'!AU99)</x:f>
      </x:c>
      <x:c r="M1316" s="10" t="str">
        <x:f>IF(NOT(AND(J1316="PASS",'Calibrare_Linii'!U14="VALID")),"",'Distributie'!AJ99)</x:f>
      </x:c>
      <x:c r="N1316" s="10" t="str">
        <x:f>IF(M1316="","",MAX(0.01,MIN(0.99,0.5+(M1316-0.5)*'Motor_Meciuri'!BG99*'Calibrare_Linii'!D14)))</x:f>
      </x:c>
      <x:c r="O1316" s="10" t="str">
        <x:f>IF(M1316="","",1-M1316)</x:f>
      </x:c>
      <x:c r="P1316" s="10" t="str">
        <x:f>IF(OR(NOT(AND(J1316="PASS",'Calibrare_Linii'!U14="VALID")),AK1316=0),""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*('Istoric_Nativ'!$Q$6:$Q$405&gt;H1316))/AK1316)</x:f>
      </x:c>
      <x:c r="Q1316" s="10" t="str">
        <x:f>IF(OR(NOT(AND(J1316="PASS",'Calibrare_Linii'!U14="VALID")),AL1316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M99)+((('Istoric_Nativ'!$E$6:$E$405='Input_Meci'!E99)+('Istoric_Nativ'!$F$6:$F$405='Input_Meci'!E99))&gt;0)*('Istoric_Nativ'!$D$6:$D$405&gt;='Motor_Meciuri'!BN99))&gt;0)*('Istoric_Nativ'!$Q$6:$Q$405&gt;H1316))/AL1316)</x:f>
      </x:c>
      <x:c r="R1316" s="10" t="str">
        <x:f>IF(OR(NOT(AND(J1316="PASS",'Calibrare_Linii'!U14="VALID")),AM1316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O99)+((('Istoric_Nativ'!$E$6:$E$405='Input_Meci'!E99)+('Istoric_Nativ'!$F$6:$F$405='Input_Meci'!E99))&gt;0)*('Istoric_Nativ'!$D$6:$D$405&gt;='Motor_Meciuri'!BP99))&gt;0)*('Istoric_Nativ'!$Q$6:$Q$405&gt;H1316))/AM1316)</x:f>
      </x:c>
      <x:c r="S1316" s="10" t="str">
        <x:f>IF(M1316="","",MAX(O1316,P1316,Q1316,R1316))</x:f>
      </x:c>
      <x:c r="T1316" s="11" t="str">
        <x:f>IF(M1316="","",MIN(100,S1316*100*'Config_v6'!$B$44+MIN(100,L1316/'Config_v6'!$B$13*100)*'Config_v6'!$B$45+(100-'Motor_Meciuri'!BF99)*'Config_v6'!$B$46+'Motor_Meciuri'!BH99*100*'Config_v6'!$B$47))</x:f>
      </x:c>
      <x:c r="U1316" s="2" t="str">
        <x:f>IF(T1316="","",IF(T1316&lt;=20,1,IF(T1316&lt;=40,2,IF(T1316&lt;=60,3,IF(T1316&lt;=80,4,5)))))</x:f>
      </x:c>
      <x:c r="V1316" s="2" t="str">
        <x:f>IF(M1316="","",MAX(0,'Motor_Meciuri'!BF99-IF(W1316="OOS PENDING",'Config_v6'!$B$35,0)-IF(L1316&gt;'Config_v6'!$B$12,'Config_v6'!$B$37,IF(L1316&gt;'Config_v6'!$B$11,'Config_v6'!$B$36,0))))</x:f>
      </x:c>
      <x:c r="W1316" s="2" t="str">
        <x:f>IF(B1316="","",IF(I1316&lt;&gt;"READY","NOT RELEASED",IF(NOT(AND(J1316="PASS",'Calibrare_Linii'!U14="VALID")),"INVALID",IF(NOT(AND('Calibrare_Linii'!S14="VALIDATED",AND('Calibrare_Linii'!H14=C1316,ISNUMBER('Calibrare_Linii'!J14),'Calibrare_Linii'!J14&lt;='Input_Meci'!G99))),"OOS PENDING",IF(S1316&lt;='Calibrare_Linii'!E14,"PASS",IF(S1316&lt;='Calibrare_Linii'!F14,"PENALTY","WATCH"))))))</x:f>
      </x:c>
      <x:c r="X1316" s="2" t="str">
        <x:f>IF(M1316="","",IF(AND(AND(J1316="PASS",'Calibrare_Linii'!U14="VALID"),'Motor_Meciuri'!K99=12,'Motor_Meciuri'!L99=12,'Motor_Meciuri'!M99="NO",'Motor_Meciuri'!BL99='Motor_Meciuri'!C99,AB1316&gt;='Config_v6'!$B$50,AN1316&gt;='Config_v6'!$B$51,T1316&lt;='Config_v6'!$B$52,L1316&lt;='Config_v6'!$B$53,ISNUMBER('Calibrare_Linii'!E14),S1316&lt;='Calibrare_Linii'!E14,SUM(AK1316:AM1316)&gt;0),"CANDIDATE","NO"))</x:f>
      </x:c>
      <x:c r="Y1316" s="2" t="str">
        <x:f>IF(B1316="","",IF(I1316&lt;&gt;"READY","NOT RELEASED",IF(AND(X1316="CANDIDATE",V1316&gt;='Config_v6'!$B$51,W1316="PASS",'Calibrare_Linii'!T14="VALIDATED",AND('Calibrare_Linii'!H14=C1316,ISNUMBER('Calibrare_Linii'!J14),'Calibrare_Linii'!J14&lt;='Input_Meci'!G99)),"PASS",IF(X1316="CANDIDATE","OOS PENDING","FAIL"))))</x:f>
      </x:c>
      <x:c r="Z1316" s="2" t="str">
        <x:f>IF(B1316="","",IF(I1316&lt;&gt;"READY","",IF(OR(NOT(AND(J1316="PASS",'Calibrare_Linii'!U14="VALID")),L1316&gt;'Config_v6'!$B$13,W1316="WATCH"),5,IF(Y1316="PASS",1,MIN(5,MAX('Config_v6'!$B$42,U1316)+IF(W1316="PENALTY",1,0))))))</x:f>
      </x:c>
      <x:c r="AA1316" s="2" t="str">
        <x:f>IF(B1316="","",IF(I1316&lt;&gt;"READY","NOT RELEASED",IF(Z1316=5,"NO BET",IF(OR(AB1316&lt;'Config_v6'!$B$16,V1316&lt;'Config_v6'!$B$18),"WATCH",IF(Z1316=1,"DEFENSIV",IF(Z1316=2,"PRUDENT",IF(Z1316=3,"MODERAT","RIDICAT")))))))</x:f>
      </x:c>
      <x:c r="AB1316" s="10" t="str">
        <x:f>IF(N1316="","",MIN(N1316,1-S1316))</x:f>
      </x:c>
      <x:c r="AC1316" s="2" t="str">
        <x:f>IF(AD1316&lt;&gt;1,"",COUNTIFS($Z$1308:$Z$1321,"&lt;"&amp;Z1316,$AD$1308:$AD$1321,1)+COUNTIFS($Z$1308:$Z$1321,Z1316,$AB$1308:$AB$1321,"&gt;"&amp;AB1316,$AD$1308:$AD$1321,1)+COUNTIFS($Z$1308:$Z$1321,Z1316,$AB$1308:$AB$1321,AB1316,$V$1308:$V$1321,"&gt;"&amp;V1316,$AD$1308:$AD$1321,1)+COUNTIFS($Z$1308:Z1316,Z1316,$AB$1308:AB1316,AB1316,$V$1308:V1316,V1316,$AD$1308:AD1316,1))</x:f>
      </x:c>
      <x:c r="AD1316" s="2" t="n">
        <x:f>IF(OR(AA1316="DEFENSIV",AA1316="PRUDENT",AA1316="MODERAT",AA1316="RIDICAT"),1,0)</x:f>
        <x:v>0</x:v>
      </x:c>
      <x:c r="AE1316" s="2" t="str">
        <x:f>IF(AD1316&lt;&gt;1,"NO",IF(W1316="PASS","YES",IF(W1316="OOS PENDING","CONDITIONAL","NO")))</x:f>
        <x:v>NO</x:v>
      </x:c>
      <x:c r="AF1316" s="2" t="n">
        <x:f>IF(AND(AD1316=1,AC1316=1,E1316="LIVE"),1,0)</x:f>
        <x:v>0</x:v>
      </x:c>
      <x:c r="AG1316" s="2" t="str">
        <x:f>IF(AF1316&lt;&gt;1,"",'Dashboard'!P119)</x:f>
      </x:c>
      <x:c r="AH1316" s="2" t="str">
        <x:f>IF(B1316="","",IF(J1316&lt;&gt;"PASS",'Motor_Meciuri'!J99,IF('Calibrare_Linii'!U14&lt;&gt;"VALID","Parametri linie invalizi",IF(L1316&gt;'Config_v6'!$B$13,"Dispersie peste limita",IF(W1316="WATCH","Failure peste limita",IF(AB1316&lt;'Config_v6'!$B$16,"P finala sub prag",IF(V1316&lt;'Config_v6'!$B$18,"Confidence sub prag",IF(E1316="REPLAY","Exemplu retrospectiv; exclus din Top LIVE",IF(Y1316="PASS","DEFENSIV validat",IF(W1316="OOS PENDING","Eligibil; calibrare linie in monitorizare","Eligibil"))))))))))</x:f>
      </x:c>
      <x:c r="AI1316" s="2" t="str">
        <x:f>IF(B1316="","",'Calibrare_Linii'!V14)</x:f>
      </x:c>
      <x:c r="AJ1316" s="2" t="str">
        <x:f>IF(B1316="","",IF(AND('Calibrare_Linii'!T14="VALIDATED",AND('Calibrare_Linii'!H14=C1316,ISNUMBER('Calibrare_Linii'!J14),'Calibrare_Linii'!J14&lt;='Input_Meci'!G99)),"DEFENSIVE VALIDATED",IF(AND('Calibrare_Linii'!S14="VALIDATED",AND('Calibrare_Linii'!H14=C1316,ISNUMBER('Calibrare_Linii'!J14),'Calibrare_Linii'!J14&lt;='Input_Meci'!G99)),"TAIL VALIDATED","OOS PENDING")))</x:f>
      </x:c>
      <x:c r="AK1316" s="2" t="n">
        <x:f>IF(J1316&lt;&gt;"PASS",0,'Motor_Meciuri'!BR99)</x:f>
        <x:v>0</x:v>
      </x:c>
      <x:c r="AL1316" s="2" t="n">
        <x:f>IF(J1316&lt;&gt;"PASS",0,'Motor_Meciuri'!BS99)</x:f>
        <x:v>0</x:v>
      </x:c>
      <x:c r="AM1316" s="2" t="n">
        <x:f>IF(J1316&lt;&gt;"PASS",0,'Motor_Meciuri'!BT99)</x:f>
        <x:v>0</x:v>
      </x:c>
      <x:c r="AN1316" s="2" t="str">
        <x:f>IF(M1316="","",MAX(0,'Motor_Meciuri'!BF99-IF(L1316&gt;'Config_v6'!$B$12,'Config_v6'!$B$37,IF(L1316&gt;'Config_v6'!$B$11,'Config_v6'!$B$36,0))))</x:f>
      </x:c>
    </x:row>
    <x:row r="1317" ht="21" customHeight="1">
      <x:c r="A1317" s="2" t="n">
        <x:v>94</x:v>
      </x:c>
      <x:c r="B1317" s="2" t="str">
        <x:f>IF('Motor_Meciuri'!A99="","",'Motor_Meciuri'!A99)</x:f>
      </x:c>
      <x:c r="C1317" s="2" t="str">
        <x:f>IF(B1317="","",'Motor_Meciuri'!B99)</x:f>
      </x:c>
      <x:c r="D1317" s="2" t="str">
        <x:f>IF(B1317="","",'Motor_Meciuri'!D99)</x:f>
      </x:c>
      <x:c r="E1317" s="2" t="str">
        <x:f>IF(B1317="","",'Motor_Meciuri'!E99)</x:f>
      </x:c>
      <x:c r="F1317" s="2" t="str">
        <x:v>U13,5</x:v>
      </x:c>
      <x:c r="G1317" s="2" t="str">
        <x:v>UNDER</x:v>
      </x:c>
      <x:c r="H1317" s="2" t="n">
        <x:v>13</x:v>
      </x:c>
      <x:c r="I1317" s="2" t="str">
        <x:f>IF(B1317="","",'Motor_Meciuri'!H99)</x:f>
      </x:c>
      <x:c r="J1317" s="2" t="str">
        <x:f>IF(B1317="","",'Motor_Meciuri'!I99)</x:f>
      </x:c>
      <x:c r="K1317" s="11" t="str">
        <x:f>IF(J1317&lt;&gt;"PASS","",'Motor_Meciuri'!BD99)</x:f>
      </x:c>
      <x:c r="L1317" s="11" t="str">
        <x:f>IF(J1317&lt;&gt;"PASS","",'Motor_Meciuri'!AU99)</x:f>
      </x:c>
      <x:c r="M1317" s="10" t="str">
        <x:f>IF(NOT(AND(J1317="PASS",'Calibrare_Linii'!U15="VALID")),"",'Distributie'!AK99)</x:f>
      </x:c>
      <x:c r="N1317" s="10" t="str">
        <x:f>IF(M1317="","",MAX(0.01,MIN(0.99,0.5+(M1317-0.5)*'Motor_Meciuri'!BG99*'Calibrare_Linii'!D15)))</x:f>
      </x:c>
      <x:c r="O1317" s="10" t="str">
        <x:f>IF(M1317="","",1-M1317)</x:f>
      </x:c>
      <x:c r="P1317" s="10" t="str">
        <x:f>IF(OR(NOT(AND(J1317="PASS",'Calibrare_Linii'!U15="VALID")),AK1317=0),""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*('Istoric_Nativ'!$Q$6:$Q$405&gt;H1317))/AK1317)</x:f>
      </x:c>
      <x:c r="Q1317" s="10" t="str">
        <x:f>IF(OR(NOT(AND(J1317="PASS",'Calibrare_Linii'!U15="VALID")),AL1317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M99)+((('Istoric_Nativ'!$E$6:$E$405='Input_Meci'!E99)+('Istoric_Nativ'!$F$6:$F$405='Input_Meci'!E99))&gt;0)*('Istoric_Nativ'!$D$6:$D$405&gt;='Motor_Meciuri'!BN99))&gt;0)*('Istoric_Nativ'!$Q$6:$Q$405&gt;H1317))/AL1317)</x:f>
      </x:c>
      <x:c r="R1317" s="10" t="str">
        <x:f>IF(OR(NOT(AND(J1317="PASS",'Calibrare_Linii'!U15="VALID")),AM1317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O99)+((('Istoric_Nativ'!$E$6:$E$405='Input_Meci'!E99)+('Istoric_Nativ'!$F$6:$F$405='Input_Meci'!E99))&gt;0)*('Istoric_Nativ'!$D$6:$D$405&gt;='Motor_Meciuri'!BP99))&gt;0)*('Istoric_Nativ'!$Q$6:$Q$405&gt;H1317))/AM1317)</x:f>
      </x:c>
      <x:c r="S1317" s="10" t="str">
        <x:f>IF(M1317="","",MAX(O1317,P1317,Q1317,R1317))</x:f>
      </x:c>
      <x:c r="T1317" s="11" t="str">
        <x:f>IF(M1317="","",MIN(100,S1317*100*'Config_v6'!$B$44+MIN(100,L1317/'Config_v6'!$B$13*100)*'Config_v6'!$B$45+(100-'Motor_Meciuri'!BF99)*'Config_v6'!$B$46+'Motor_Meciuri'!BH99*100*'Config_v6'!$B$47))</x:f>
      </x:c>
      <x:c r="U1317" s="2" t="str">
        <x:f>IF(T1317="","",IF(T1317&lt;=20,1,IF(T1317&lt;=40,2,IF(T1317&lt;=60,3,IF(T1317&lt;=80,4,5)))))</x:f>
      </x:c>
      <x:c r="V1317" s="2" t="str">
        <x:f>IF(M1317="","",MAX(0,'Motor_Meciuri'!BF99-IF(W1317="OOS PENDING",'Config_v6'!$B$35,0)-IF(L1317&gt;'Config_v6'!$B$12,'Config_v6'!$B$37,IF(L1317&gt;'Config_v6'!$B$11,'Config_v6'!$B$36,0))))</x:f>
      </x:c>
      <x:c r="W1317" s="2" t="str">
        <x:f>IF(B1317="","",IF(I1317&lt;&gt;"READY","NOT RELEASED",IF(NOT(AND(J1317="PASS",'Calibrare_Linii'!U15="VALID")),"INVALID",IF(NOT(AND('Calibrare_Linii'!S15="VALIDATED",AND('Calibrare_Linii'!H15=C1317,ISNUMBER('Calibrare_Linii'!J15),'Calibrare_Linii'!J15&lt;='Input_Meci'!G99))),"OOS PENDING",IF(S1317&lt;='Calibrare_Linii'!E15,"PASS",IF(S1317&lt;='Calibrare_Linii'!F15,"PENALTY","WATCH"))))))</x:f>
      </x:c>
      <x:c r="X1317" s="2" t="str">
        <x:f>IF(M1317="","",IF(AND(AND(J1317="PASS",'Calibrare_Linii'!U15="VALID"),'Motor_Meciuri'!K99=12,'Motor_Meciuri'!L99=12,'Motor_Meciuri'!M99="NO",'Motor_Meciuri'!BL99='Motor_Meciuri'!C99,AB1317&gt;='Config_v6'!$B$50,AN1317&gt;='Config_v6'!$B$51,T1317&lt;='Config_v6'!$B$52,L1317&lt;='Config_v6'!$B$53,ISNUMBER('Calibrare_Linii'!E15),S1317&lt;='Calibrare_Linii'!E15,SUM(AK1317:AM1317)&gt;0),"CANDIDATE","NO"))</x:f>
      </x:c>
      <x:c r="Y1317" s="2" t="str">
        <x:f>IF(B1317="","",IF(I1317&lt;&gt;"READY","NOT RELEASED",IF(AND(X1317="CANDIDATE",V1317&gt;='Config_v6'!$B$51,W1317="PASS",'Calibrare_Linii'!T15="VALIDATED",AND('Calibrare_Linii'!H15=C1317,ISNUMBER('Calibrare_Linii'!J15),'Calibrare_Linii'!J15&lt;='Input_Meci'!G99)),"PASS",IF(X1317="CANDIDATE","OOS PENDING","FAIL"))))</x:f>
      </x:c>
      <x:c r="Z1317" s="2" t="str">
        <x:f>IF(B1317="","",IF(I1317&lt;&gt;"READY","",IF(OR(NOT(AND(J1317="PASS",'Calibrare_Linii'!U15="VALID")),L1317&gt;'Config_v6'!$B$13,W1317="WATCH"),5,IF(Y1317="PASS",1,MIN(5,MAX('Config_v6'!$B$42,U1317)+IF(W1317="PENALTY",1,0))))))</x:f>
      </x:c>
      <x:c r="AA1317" s="2" t="str">
        <x:f>IF(B1317="","",IF(I1317&lt;&gt;"READY","NOT RELEASED",IF(Z1317=5,"NO BET",IF(OR(AB1317&lt;'Config_v6'!$B$16,V1317&lt;'Config_v6'!$B$18),"WATCH",IF(Z1317=1,"DEFENSIV",IF(Z1317=2,"PRUDENT",IF(Z1317=3,"MODERAT","RIDICAT")))))))</x:f>
      </x:c>
      <x:c r="AB1317" s="10" t="str">
        <x:f>IF(N1317="","",MIN(N1317,1-S1317))</x:f>
      </x:c>
      <x:c r="AC1317" s="2" t="str">
        <x:f>IF(AD1317&lt;&gt;1,"",COUNTIFS($Z$1308:$Z$1321,"&lt;"&amp;Z1317,$AD$1308:$AD$1321,1)+COUNTIFS($Z$1308:$Z$1321,Z1317,$AB$1308:$AB$1321,"&gt;"&amp;AB1317,$AD$1308:$AD$1321,1)+COUNTIFS($Z$1308:$Z$1321,Z1317,$AB$1308:$AB$1321,AB1317,$V$1308:$V$1321,"&gt;"&amp;V1317,$AD$1308:$AD$1321,1)+COUNTIFS($Z$1308:Z1317,Z1317,$AB$1308:AB1317,AB1317,$V$1308:V1317,V1317,$AD$1308:AD1317,1))</x:f>
      </x:c>
      <x:c r="AD1317" s="2" t="n">
        <x:f>IF(OR(AA1317="DEFENSIV",AA1317="PRUDENT",AA1317="MODERAT",AA1317="RIDICAT"),1,0)</x:f>
        <x:v>0</x:v>
      </x:c>
      <x:c r="AE1317" s="2" t="str">
        <x:f>IF(AD1317&lt;&gt;1,"NO",IF(W1317="PASS","YES",IF(W1317="OOS PENDING","CONDITIONAL","NO")))</x:f>
        <x:v>NO</x:v>
      </x:c>
      <x:c r="AF1317" s="2" t="n">
        <x:f>IF(AND(AD1317=1,AC1317=1,E1317="LIVE"),1,0)</x:f>
        <x:v>0</x:v>
      </x:c>
      <x:c r="AG1317" s="2" t="str">
        <x:f>IF(AF1317&lt;&gt;1,"",'Dashboard'!P119)</x:f>
      </x:c>
      <x:c r="AH1317" s="2" t="str">
        <x:f>IF(B1317="","",IF(J1317&lt;&gt;"PASS",'Motor_Meciuri'!J99,IF('Calibrare_Linii'!U15&lt;&gt;"VALID","Parametri linie invalizi",IF(L1317&gt;'Config_v6'!$B$13,"Dispersie peste limita",IF(W1317="WATCH","Failure peste limita",IF(AB1317&lt;'Config_v6'!$B$16,"P finala sub prag",IF(V1317&lt;'Config_v6'!$B$18,"Confidence sub prag",IF(E1317="REPLAY","Exemplu retrospectiv; exclus din Top LIVE",IF(Y1317="PASS","DEFENSIV validat",IF(W1317="OOS PENDING","Eligibil; calibrare linie in monitorizare","Eligibil"))))))))))</x:f>
      </x:c>
      <x:c r="AI1317" s="2" t="str">
        <x:f>IF(B1317="","",'Calibrare_Linii'!V15)</x:f>
      </x:c>
      <x:c r="AJ1317" s="2" t="str">
        <x:f>IF(B1317="","",IF(AND('Calibrare_Linii'!T15="VALIDATED",AND('Calibrare_Linii'!H15=C1317,ISNUMBER('Calibrare_Linii'!J15),'Calibrare_Linii'!J15&lt;='Input_Meci'!G99)),"DEFENSIVE VALIDATED",IF(AND('Calibrare_Linii'!S15="VALIDATED",AND('Calibrare_Linii'!H15=C1317,ISNUMBER('Calibrare_Linii'!J15),'Calibrare_Linii'!J15&lt;='Input_Meci'!G99)),"TAIL VALIDATED","OOS PENDING")))</x:f>
      </x:c>
      <x:c r="AK1317" s="2" t="n">
        <x:f>IF(J1317&lt;&gt;"PASS",0,'Motor_Meciuri'!BR99)</x:f>
        <x:v>0</x:v>
      </x:c>
      <x:c r="AL1317" s="2" t="n">
        <x:f>IF(J1317&lt;&gt;"PASS",0,'Motor_Meciuri'!BS99)</x:f>
        <x:v>0</x:v>
      </x:c>
      <x:c r="AM1317" s="2" t="n">
        <x:f>IF(J1317&lt;&gt;"PASS",0,'Motor_Meciuri'!BT99)</x:f>
        <x:v>0</x:v>
      </x:c>
      <x:c r="AN1317" s="2" t="str">
        <x:f>IF(M1317="","",MAX(0,'Motor_Meciuri'!BF99-IF(L1317&gt;'Config_v6'!$B$12,'Config_v6'!$B$37,IF(L1317&gt;'Config_v6'!$B$11,'Config_v6'!$B$36,0))))</x:f>
      </x:c>
    </x:row>
    <x:row r="1318" ht="21" customHeight="1">
      <x:c r="A1318" s="2" t="n">
        <x:v>94</x:v>
      </x:c>
      <x:c r="B1318" s="2" t="str">
        <x:f>IF('Motor_Meciuri'!A99="","",'Motor_Meciuri'!A99)</x:f>
      </x:c>
      <x:c r="C1318" s="2" t="str">
        <x:f>IF(B1318="","",'Motor_Meciuri'!B99)</x:f>
      </x:c>
      <x:c r="D1318" s="2" t="str">
        <x:f>IF(B1318="","",'Motor_Meciuri'!D99)</x:f>
      </x:c>
      <x:c r="E1318" s="2" t="str">
        <x:f>IF(B1318="","",'Motor_Meciuri'!E99)</x:f>
      </x:c>
      <x:c r="F1318" s="2" t="str">
        <x:v>U14,5</x:v>
      </x:c>
      <x:c r="G1318" s="2" t="str">
        <x:v>UNDER</x:v>
      </x:c>
      <x:c r="H1318" s="2" t="n">
        <x:v>14</x:v>
      </x:c>
      <x:c r="I1318" s="2" t="str">
        <x:f>IF(B1318="","",'Motor_Meciuri'!H99)</x:f>
      </x:c>
      <x:c r="J1318" s="2" t="str">
        <x:f>IF(B1318="","",'Motor_Meciuri'!I99)</x:f>
      </x:c>
      <x:c r="K1318" s="11" t="str">
        <x:f>IF(J1318&lt;&gt;"PASS","",'Motor_Meciuri'!BD99)</x:f>
      </x:c>
      <x:c r="L1318" s="11" t="str">
        <x:f>IF(J1318&lt;&gt;"PASS","",'Motor_Meciuri'!AU99)</x:f>
      </x:c>
      <x:c r="M1318" s="10" t="str">
        <x:f>IF(NOT(AND(J1318="PASS",'Calibrare_Linii'!U16="VALID")),"",'Distributie'!AL99)</x:f>
      </x:c>
      <x:c r="N1318" s="10" t="str">
        <x:f>IF(M1318="","",MAX(0.01,MIN(0.99,0.5+(M1318-0.5)*'Motor_Meciuri'!BG99*'Calibrare_Linii'!D16)))</x:f>
      </x:c>
      <x:c r="O1318" s="10" t="str">
        <x:f>IF(M1318="","",1-M1318)</x:f>
      </x:c>
      <x:c r="P1318" s="10" t="str">
        <x:f>IF(OR(NOT(AND(J1318="PASS",'Calibrare_Linii'!U16="VALID")),AK1318=0),""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*('Istoric_Nativ'!$Q$6:$Q$405&gt;H1318))/AK1318)</x:f>
      </x:c>
      <x:c r="Q1318" s="10" t="str">
        <x:f>IF(OR(NOT(AND(J1318="PASS",'Calibrare_Linii'!U16="VALID")),AL1318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M99)+((('Istoric_Nativ'!$E$6:$E$405='Input_Meci'!E99)+('Istoric_Nativ'!$F$6:$F$405='Input_Meci'!E99))&gt;0)*('Istoric_Nativ'!$D$6:$D$405&gt;='Motor_Meciuri'!BN99))&gt;0)*('Istoric_Nativ'!$Q$6:$Q$405&gt;H1318))/AL1318)</x:f>
      </x:c>
      <x:c r="R1318" s="10" t="str">
        <x:f>IF(OR(NOT(AND(J1318="PASS",'Calibrare_Linii'!U16="VALID")),AM1318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O99)+((('Istoric_Nativ'!$E$6:$E$405='Input_Meci'!E99)+('Istoric_Nativ'!$F$6:$F$405='Input_Meci'!E99))&gt;0)*('Istoric_Nativ'!$D$6:$D$405&gt;='Motor_Meciuri'!BP99))&gt;0)*('Istoric_Nativ'!$Q$6:$Q$405&gt;H1318))/AM1318)</x:f>
      </x:c>
      <x:c r="S1318" s="10" t="str">
        <x:f>IF(M1318="","",MAX(O1318,P1318,Q1318,R1318))</x:f>
      </x:c>
      <x:c r="T1318" s="11" t="str">
        <x:f>IF(M1318="","",MIN(100,S1318*100*'Config_v6'!$B$44+MIN(100,L1318/'Config_v6'!$B$13*100)*'Config_v6'!$B$45+(100-'Motor_Meciuri'!BF99)*'Config_v6'!$B$46+'Motor_Meciuri'!BH99*100*'Config_v6'!$B$47))</x:f>
      </x:c>
      <x:c r="U1318" s="2" t="str">
        <x:f>IF(T1318="","",IF(T1318&lt;=20,1,IF(T1318&lt;=40,2,IF(T1318&lt;=60,3,IF(T1318&lt;=80,4,5)))))</x:f>
      </x:c>
      <x:c r="V1318" s="2" t="str">
        <x:f>IF(M1318="","",MAX(0,'Motor_Meciuri'!BF99-IF(W1318="OOS PENDING",'Config_v6'!$B$35,0)-IF(L1318&gt;'Config_v6'!$B$12,'Config_v6'!$B$37,IF(L1318&gt;'Config_v6'!$B$11,'Config_v6'!$B$36,0))))</x:f>
      </x:c>
      <x:c r="W1318" s="2" t="str">
        <x:f>IF(B1318="","",IF(I1318&lt;&gt;"READY","NOT RELEASED",IF(NOT(AND(J1318="PASS",'Calibrare_Linii'!U16="VALID")),"INVALID",IF(NOT(AND('Calibrare_Linii'!S16="VALIDATED",AND('Calibrare_Linii'!H16=C1318,ISNUMBER('Calibrare_Linii'!J16),'Calibrare_Linii'!J16&lt;='Input_Meci'!G99))),"OOS PENDING",IF(S1318&lt;='Calibrare_Linii'!E16,"PASS",IF(S1318&lt;='Calibrare_Linii'!F16,"PENALTY","WATCH"))))))</x:f>
      </x:c>
      <x:c r="X1318" s="2" t="str">
        <x:f>IF(M1318="","",IF(AND(AND(J1318="PASS",'Calibrare_Linii'!U16="VALID"),'Motor_Meciuri'!K99=12,'Motor_Meciuri'!L99=12,'Motor_Meciuri'!M99="NO",'Motor_Meciuri'!BL99='Motor_Meciuri'!C99,AB1318&gt;='Config_v6'!$B$50,AN1318&gt;='Config_v6'!$B$51,T1318&lt;='Config_v6'!$B$52,L1318&lt;='Config_v6'!$B$53,ISNUMBER('Calibrare_Linii'!E16),S1318&lt;='Calibrare_Linii'!E16,SUM(AK1318:AM1318)&gt;0),"CANDIDATE","NO"))</x:f>
      </x:c>
      <x:c r="Y1318" s="2" t="str">
        <x:f>IF(B1318="","",IF(I1318&lt;&gt;"READY","NOT RELEASED",IF(AND(X1318="CANDIDATE",V1318&gt;='Config_v6'!$B$51,W1318="PASS",'Calibrare_Linii'!T16="VALIDATED",AND('Calibrare_Linii'!H16=C1318,ISNUMBER('Calibrare_Linii'!J16),'Calibrare_Linii'!J16&lt;='Input_Meci'!G99)),"PASS",IF(X1318="CANDIDATE","OOS PENDING","FAIL"))))</x:f>
      </x:c>
      <x:c r="Z1318" s="2" t="str">
        <x:f>IF(B1318="","",IF(I1318&lt;&gt;"READY","",IF(OR(NOT(AND(J1318="PASS",'Calibrare_Linii'!U16="VALID")),L1318&gt;'Config_v6'!$B$13,W1318="WATCH"),5,IF(Y1318="PASS",1,MIN(5,MAX('Config_v6'!$B$42,U1318)+IF(W1318="PENALTY",1,0))))))</x:f>
      </x:c>
      <x:c r="AA1318" s="2" t="str">
        <x:f>IF(B1318="","",IF(I1318&lt;&gt;"READY","NOT RELEASED",IF(Z1318=5,"NO BET",IF(OR(AB1318&lt;'Config_v6'!$B$16,V1318&lt;'Config_v6'!$B$18),"WATCH",IF(Z1318=1,"DEFENSIV",IF(Z1318=2,"PRUDENT",IF(Z1318=3,"MODERAT","RIDICAT")))))))</x:f>
      </x:c>
      <x:c r="AB1318" s="10" t="str">
        <x:f>IF(N1318="","",MIN(N1318,1-S1318))</x:f>
      </x:c>
      <x:c r="AC1318" s="2" t="str">
        <x:f>IF(AD1318&lt;&gt;1,"",COUNTIFS($Z$1308:$Z$1321,"&lt;"&amp;Z1318,$AD$1308:$AD$1321,1)+COUNTIFS($Z$1308:$Z$1321,Z1318,$AB$1308:$AB$1321,"&gt;"&amp;AB1318,$AD$1308:$AD$1321,1)+COUNTIFS($Z$1308:$Z$1321,Z1318,$AB$1308:$AB$1321,AB1318,$V$1308:$V$1321,"&gt;"&amp;V1318,$AD$1308:$AD$1321,1)+COUNTIFS($Z$1308:Z1318,Z1318,$AB$1308:AB1318,AB1318,$V$1308:V1318,V1318,$AD$1308:AD1318,1))</x:f>
      </x:c>
      <x:c r="AD1318" s="2" t="n">
        <x:f>IF(OR(AA1318="DEFENSIV",AA1318="PRUDENT",AA1318="MODERAT",AA1318="RIDICAT"),1,0)</x:f>
        <x:v>0</x:v>
      </x:c>
      <x:c r="AE1318" s="2" t="str">
        <x:f>IF(AD1318&lt;&gt;1,"NO",IF(W1318="PASS","YES",IF(W1318="OOS PENDING","CONDITIONAL","NO")))</x:f>
        <x:v>NO</x:v>
      </x:c>
      <x:c r="AF1318" s="2" t="n">
        <x:f>IF(AND(AD1318=1,AC1318=1,E1318="LIVE"),1,0)</x:f>
        <x:v>0</x:v>
      </x:c>
      <x:c r="AG1318" s="2" t="str">
        <x:f>IF(AF1318&lt;&gt;1,"",'Dashboard'!P119)</x:f>
      </x:c>
      <x:c r="AH1318" s="2" t="str">
        <x:f>IF(B1318="","",IF(J1318&lt;&gt;"PASS",'Motor_Meciuri'!J99,IF('Calibrare_Linii'!U16&lt;&gt;"VALID","Parametri linie invalizi",IF(L1318&gt;'Config_v6'!$B$13,"Dispersie peste limita",IF(W1318="WATCH","Failure peste limita",IF(AB1318&lt;'Config_v6'!$B$16,"P finala sub prag",IF(V1318&lt;'Config_v6'!$B$18,"Confidence sub prag",IF(E1318="REPLAY","Exemplu retrospectiv; exclus din Top LIVE",IF(Y1318="PASS","DEFENSIV validat",IF(W1318="OOS PENDING","Eligibil; calibrare linie in monitorizare","Eligibil"))))))))))</x:f>
      </x:c>
      <x:c r="AI1318" s="2" t="str">
        <x:f>IF(B1318="","",'Calibrare_Linii'!V16)</x:f>
      </x:c>
      <x:c r="AJ1318" s="2" t="str">
        <x:f>IF(B1318="","",IF(AND('Calibrare_Linii'!T16="VALIDATED",AND('Calibrare_Linii'!H16=C1318,ISNUMBER('Calibrare_Linii'!J16),'Calibrare_Linii'!J16&lt;='Input_Meci'!G99)),"DEFENSIVE VALIDATED",IF(AND('Calibrare_Linii'!S16="VALIDATED",AND('Calibrare_Linii'!H16=C1318,ISNUMBER('Calibrare_Linii'!J16),'Calibrare_Linii'!J16&lt;='Input_Meci'!G99)),"TAIL VALIDATED","OOS PENDING")))</x:f>
      </x:c>
      <x:c r="AK1318" s="2" t="n">
        <x:f>IF(J1318&lt;&gt;"PASS",0,'Motor_Meciuri'!BR99)</x:f>
        <x:v>0</x:v>
      </x:c>
      <x:c r="AL1318" s="2" t="n">
        <x:f>IF(J1318&lt;&gt;"PASS",0,'Motor_Meciuri'!BS99)</x:f>
        <x:v>0</x:v>
      </x:c>
      <x:c r="AM1318" s="2" t="n">
        <x:f>IF(J1318&lt;&gt;"PASS",0,'Motor_Meciuri'!BT99)</x:f>
        <x:v>0</x:v>
      </x:c>
      <x:c r="AN1318" s="2" t="str">
        <x:f>IF(M1318="","",MAX(0,'Motor_Meciuri'!BF99-IF(L1318&gt;'Config_v6'!$B$12,'Config_v6'!$B$37,IF(L1318&gt;'Config_v6'!$B$11,'Config_v6'!$B$36,0))))</x:f>
      </x:c>
    </x:row>
    <x:row r="1319" ht="21" customHeight="1">
      <x:c r="A1319" s="2" t="n">
        <x:v>94</x:v>
      </x:c>
      <x:c r="B1319" s="2" t="str">
        <x:f>IF('Motor_Meciuri'!A99="","",'Motor_Meciuri'!A99)</x:f>
      </x:c>
      <x:c r="C1319" s="2" t="str">
        <x:f>IF(B1319="","",'Motor_Meciuri'!B99)</x:f>
      </x:c>
      <x:c r="D1319" s="2" t="str">
        <x:f>IF(B1319="","",'Motor_Meciuri'!D99)</x:f>
      </x:c>
      <x:c r="E1319" s="2" t="str">
        <x:f>IF(B1319="","",'Motor_Meciuri'!E99)</x:f>
      </x:c>
      <x:c r="F1319" s="2" t="str">
        <x:v>U15,5</x:v>
      </x:c>
      <x:c r="G1319" s="2" t="str">
        <x:v>UNDER</x:v>
      </x:c>
      <x:c r="H1319" s="2" t="n">
        <x:v>15</x:v>
      </x:c>
      <x:c r="I1319" s="2" t="str">
        <x:f>IF(B1319="","",'Motor_Meciuri'!H99)</x:f>
      </x:c>
      <x:c r="J1319" s="2" t="str">
        <x:f>IF(B1319="","",'Motor_Meciuri'!I99)</x:f>
      </x:c>
      <x:c r="K1319" s="11" t="str">
        <x:f>IF(J1319&lt;&gt;"PASS","",'Motor_Meciuri'!BD99)</x:f>
      </x:c>
      <x:c r="L1319" s="11" t="str">
        <x:f>IF(J1319&lt;&gt;"PASS","",'Motor_Meciuri'!AU99)</x:f>
      </x:c>
      <x:c r="M1319" s="10" t="str">
        <x:f>IF(NOT(AND(J1319="PASS",'Calibrare_Linii'!U17="VALID")),"",'Distributie'!AM99)</x:f>
      </x:c>
      <x:c r="N1319" s="10" t="str">
        <x:f>IF(M1319="","",MAX(0.01,MIN(0.99,0.5+(M1319-0.5)*'Motor_Meciuri'!BG99*'Calibrare_Linii'!D17)))</x:f>
      </x:c>
      <x:c r="O1319" s="10" t="str">
        <x:f>IF(M1319="","",1-M1319)</x:f>
      </x:c>
      <x:c r="P1319" s="10" t="str">
        <x:f>IF(OR(NOT(AND(J1319="PASS",'Calibrare_Linii'!U17="VALID")),AK1319=0),""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*('Istoric_Nativ'!$Q$6:$Q$405&gt;H1319))/AK1319)</x:f>
      </x:c>
      <x:c r="Q1319" s="10" t="str">
        <x:f>IF(OR(NOT(AND(J1319="PASS",'Calibrare_Linii'!U17="VALID")),AL1319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M99)+((('Istoric_Nativ'!$E$6:$E$405='Input_Meci'!E99)+('Istoric_Nativ'!$F$6:$F$405='Input_Meci'!E99))&gt;0)*('Istoric_Nativ'!$D$6:$D$405&gt;='Motor_Meciuri'!BN99))&gt;0)*('Istoric_Nativ'!$Q$6:$Q$405&gt;H1319))/AL1319)</x:f>
      </x:c>
      <x:c r="R1319" s="10" t="str">
        <x:f>IF(OR(NOT(AND(J1319="PASS",'Calibrare_Linii'!U17="VALID")),AM1319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O99)+((('Istoric_Nativ'!$E$6:$E$405='Input_Meci'!E99)+('Istoric_Nativ'!$F$6:$F$405='Input_Meci'!E99))&gt;0)*('Istoric_Nativ'!$D$6:$D$405&gt;='Motor_Meciuri'!BP99))&gt;0)*('Istoric_Nativ'!$Q$6:$Q$405&gt;H1319))/AM1319)</x:f>
      </x:c>
      <x:c r="S1319" s="10" t="str">
        <x:f>IF(M1319="","",MAX(O1319,P1319,Q1319,R1319))</x:f>
      </x:c>
      <x:c r="T1319" s="11" t="str">
        <x:f>IF(M1319="","",MIN(100,S1319*100*'Config_v6'!$B$44+MIN(100,L1319/'Config_v6'!$B$13*100)*'Config_v6'!$B$45+(100-'Motor_Meciuri'!BF99)*'Config_v6'!$B$46+'Motor_Meciuri'!BH99*100*'Config_v6'!$B$47))</x:f>
      </x:c>
      <x:c r="U1319" s="2" t="str">
        <x:f>IF(T1319="","",IF(T1319&lt;=20,1,IF(T1319&lt;=40,2,IF(T1319&lt;=60,3,IF(T1319&lt;=80,4,5)))))</x:f>
      </x:c>
      <x:c r="V1319" s="2" t="str">
        <x:f>IF(M1319="","",MAX(0,'Motor_Meciuri'!BF99-IF(W1319="OOS PENDING",'Config_v6'!$B$35,0)-IF(L1319&gt;'Config_v6'!$B$12,'Config_v6'!$B$37,IF(L1319&gt;'Config_v6'!$B$11,'Config_v6'!$B$36,0))))</x:f>
      </x:c>
      <x:c r="W1319" s="2" t="str">
        <x:f>IF(B1319="","",IF(I1319&lt;&gt;"READY","NOT RELEASED",IF(NOT(AND(J1319="PASS",'Calibrare_Linii'!U17="VALID")),"INVALID",IF(NOT(AND('Calibrare_Linii'!S17="VALIDATED",AND('Calibrare_Linii'!H17=C1319,ISNUMBER('Calibrare_Linii'!J17),'Calibrare_Linii'!J17&lt;='Input_Meci'!G99))),"OOS PENDING",IF(S1319&lt;='Calibrare_Linii'!E17,"PASS",IF(S1319&lt;='Calibrare_Linii'!F17,"PENALTY","WATCH"))))))</x:f>
      </x:c>
      <x:c r="X1319" s="2" t="str">
        <x:f>IF(M1319="","",IF(AND(AND(J1319="PASS",'Calibrare_Linii'!U17="VALID"),'Motor_Meciuri'!K99=12,'Motor_Meciuri'!L99=12,'Motor_Meciuri'!M99="NO",'Motor_Meciuri'!BL99='Motor_Meciuri'!C99,AB1319&gt;='Config_v6'!$B$50,AN1319&gt;='Config_v6'!$B$51,T1319&lt;='Config_v6'!$B$52,L1319&lt;='Config_v6'!$B$53,ISNUMBER('Calibrare_Linii'!E17),S1319&lt;='Calibrare_Linii'!E17,SUM(AK1319:AM1319)&gt;0),"CANDIDATE","NO"))</x:f>
      </x:c>
      <x:c r="Y1319" s="2" t="str">
        <x:f>IF(B1319="","",IF(I1319&lt;&gt;"READY","NOT RELEASED",IF(AND(X1319="CANDIDATE",V1319&gt;='Config_v6'!$B$51,W1319="PASS",'Calibrare_Linii'!T17="VALIDATED",AND('Calibrare_Linii'!H17=C1319,ISNUMBER('Calibrare_Linii'!J17),'Calibrare_Linii'!J17&lt;='Input_Meci'!G99)),"PASS",IF(X1319="CANDIDATE","OOS PENDING","FAIL"))))</x:f>
      </x:c>
      <x:c r="Z1319" s="2" t="str">
        <x:f>IF(B1319="","",IF(I1319&lt;&gt;"READY","",IF(OR(NOT(AND(J1319="PASS",'Calibrare_Linii'!U17="VALID")),L1319&gt;'Config_v6'!$B$13,W1319="WATCH"),5,IF(Y1319="PASS",1,MIN(5,MAX('Config_v6'!$B$42,U1319)+IF(W1319="PENALTY",1,0))))))</x:f>
      </x:c>
      <x:c r="AA1319" s="2" t="str">
        <x:f>IF(B1319="","",IF(I1319&lt;&gt;"READY","NOT RELEASED",IF(Z1319=5,"NO BET",IF(OR(AB1319&lt;'Config_v6'!$B$16,V1319&lt;'Config_v6'!$B$18),"WATCH",IF(Z1319=1,"DEFENSIV",IF(Z1319=2,"PRUDENT",IF(Z1319=3,"MODERAT","RIDICAT")))))))</x:f>
      </x:c>
      <x:c r="AB1319" s="10" t="str">
        <x:f>IF(N1319="","",MIN(N1319,1-S1319))</x:f>
      </x:c>
      <x:c r="AC1319" s="2" t="str">
        <x:f>IF(AD1319&lt;&gt;1,"",COUNTIFS($Z$1308:$Z$1321,"&lt;"&amp;Z1319,$AD$1308:$AD$1321,1)+COUNTIFS($Z$1308:$Z$1321,Z1319,$AB$1308:$AB$1321,"&gt;"&amp;AB1319,$AD$1308:$AD$1321,1)+COUNTIFS($Z$1308:$Z$1321,Z1319,$AB$1308:$AB$1321,AB1319,$V$1308:$V$1321,"&gt;"&amp;V1319,$AD$1308:$AD$1321,1)+COUNTIFS($Z$1308:Z1319,Z1319,$AB$1308:AB1319,AB1319,$V$1308:V1319,V1319,$AD$1308:AD1319,1))</x:f>
      </x:c>
      <x:c r="AD1319" s="2" t="n">
        <x:f>IF(OR(AA1319="DEFENSIV",AA1319="PRUDENT",AA1319="MODERAT",AA1319="RIDICAT"),1,0)</x:f>
        <x:v>0</x:v>
      </x:c>
      <x:c r="AE1319" s="2" t="str">
        <x:f>IF(AD1319&lt;&gt;1,"NO",IF(W1319="PASS","YES",IF(W1319="OOS PENDING","CONDITIONAL","NO")))</x:f>
        <x:v>NO</x:v>
      </x:c>
      <x:c r="AF1319" s="2" t="n">
        <x:f>IF(AND(AD1319=1,AC1319=1,E1319="LIVE"),1,0)</x:f>
        <x:v>0</x:v>
      </x:c>
      <x:c r="AG1319" s="2" t="str">
        <x:f>IF(AF1319&lt;&gt;1,"",'Dashboard'!P119)</x:f>
      </x:c>
      <x:c r="AH1319" s="2" t="str">
        <x:f>IF(B1319="","",IF(J1319&lt;&gt;"PASS",'Motor_Meciuri'!J99,IF('Calibrare_Linii'!U17&lt;&gt;"VALID","Parametri linie invalizi",IF(L1319&gt;'Config_v6'!$B$13,"Dispersie peste limita",IF(W1319="WATCH","Failure peste limita",IF(AB1319&lt;'Config_v6'!$B$16,"P finala sub prag",IF(V1319&lt;'Config_v6'!$B$18,"Confidence sub prag",IF(E1319="REPLAY","Exemplu retrospectiv; exclus din Top LIVE",IF(Y1319="PASS","DEFENSIV validat",IF(W1319="OOS PENDING","Eligibil; calibrare linie in monitorizare","Eligibil"))))))))))</x:f>
      </x:c>
      <x:c r="AI1319" s="2" t="str">
        <x:f>IF(B1319="","",'Calibrare_Linii'!V17)</x:f>
      </x:c>
      <x:c r="AJ1319" s="2" t="str">
        <x:f>IF(B1319="","",IF(AND('Calibrare_Linii'!T17="VALIDATED",AND('Calibrare_Linii'!H17=C1319,ISNUMBER('Calibrare_Linii'!J17),'Calibrare_Linii'!J17&lt;='Input_Meci'!G99)),"DEFENSIVE VALIDATED",IF(AND('Calibrare_Linii'!S17="VALIDATED",AND('Calibrare_Linii'!H17=C1319,ISNUMBER('Calibrare_Linii'!J17),'Calibrare_Linii'!J17&lt;='Input_Meci'!G99)),"TAIL VALIDATED","OOS PENDING")))</x:f>
      </x:c>
      <x:c r="AK1319" s="2" t="n">
        <x:f>IF(J1319&lt;&gt;"PASS",0,'Motor_Meciuri'!BR99)</x:f>
        <x:v>0</x:v>
      </x:c>
      <x:c r="AL1319" s="2" t="n">
        <x:f>IF(J1319&lt;&gt;"PASS",0,'Motor_Meciuri'!BS99)</x:f>
        <x:v>0</x:v>
      </x:c>
      <x:c r="AM1319" s="2" t="n">
        <x:f>IF(J1319&lt;&gt;"PASS",0,'Motor_Meciuri'!BT99)</x:f>
        <x:v>0</x:v>
      </x:c>
      <x:c r="AN1319" s="2" t="str">
        <x:f>IF(M1319="","",MAX(0,'Motor_Meciuri'!BF99-IF(L1319&gt;'Config_v6'!$B$12,'Config_v6'!$B$37,IF(L1319&gt;'Config_v6'!$B$11,'Config_v6'!$B$36,0))))</x:f>
      </x:c>
    </x:row>
    <x:row r="1320" ht="21" customHeight="1">
      <x:c r="A1320" s="2" t="n">
        <x:v>94</x:v>
      </x:c>
      <x:c r="B1320" s="2" t="str">
        <x:f>IF('Motor_Meciuri'!A99="","",'Motor_Meciuri'!A99)</x:f>
      </x:c>
      <x:c r="C1320" s="2" t="str">
        <x:f>IF(B1320="","",'Motor_Meciuri'!B99)</x:f>
      </x:c>
      <x:c r="D1320" s="2" t="str">
        <x:f>IF(B1320="","",'Motor_Meciuri'!D99)</x:f>
      </x:c>
      <x:c r="E1320" s="2" t="str">
        <x:f>IF(B1320="","",'Motor_Meciuri'!E99)</x:f>
      </x:c>
      <x:c r="F1320" s="2" t="str">
        <x:v>U16,5</x:v>
      </x:c>
      <x:c r="G1320" s="2" t="str">
        <x:v>UNDER</x:v>
      </x:c>
      <x:c r="H1320" s="2" t="n">
        <x:v>16</x:v>
      </x:c>
      <x:c r="I1320" s="2" t="str">
        <x:f>IF(B1320="","",'Motor_Meciuri'!H99)</x:f>
      </x:c>
      <x:c r="J1320" s="2" t="str">
        <x:f>IF(B1320="","",'Motor_Meciuri'!I99)</x:f>
      </x:c>
      <x:c r="K1320" s="11" t="str">
        <x:f>IF(J1320&lt;&gt;"PASS","",'Motor_Meciuri'!BD99)</x:f>
      </x:c>
      <x:c r="L1320" s="11" t="str">
        <x:f>IF(J1320&lt;&gt;"PASS","",'Motor_Meciuri'!AU99)</x:f>
      </x:c>
      <x:c r="M1320" s="10" t="str">
        <x:f>IF(NOT(AND(J1320="PASS",'Calibrare_Linii'!U18="VALID")),"",'Distributie'!AN99)</x:f>
      </x:c>
      <x:c r="N1320" s="10" t="str">
        <x:f>IF(M1320="","",MAX(0.01,MIN(0.99,0.5+(M1320-0.5)*'Motor_Meciuri'!BG99*'Calibrare_Linii'!D18)))</x:f>
      </x:c>
      <x:c r="O1320" s="10" t="str">
        <x:f>IF(M1320="","",1-M1320)</x:f>
      </x:c>
      <x:c r="P1320" s="10" t="str">
        <x:f>IF(OR(NOT(AND(J1320="PASS",'Calibrare_Linii'!U18="VALID")),AK1320=0),""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*('Istoric_Nativ'!$Q$6:$Q$405&gt;H1320))/AK1320)</x:f>
      </x:c>
      <x:c r="Q1320" s="10" t="str">
        <x:f>IF(OR(NOT(AND(J1320="PASS",'Calibrare_Linii'!U18="VALID")),AL1320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M99)+((('Istoric_Nativ'!$E$6:$E$405='Input_Meci'!E99)+('Istoric_Nativ'!$F$6:$F$405='Input_Meci'!E99))&gt;0)*('Istoric_Nativ'!$D$6:$D$405&gt;='Motor_Meciuri'!BN99))&gt;0)*('Istoric_Nativ'!$Q$6:$Q$405&gt;H1320))/AL1320)</x:f>
      </x:c>
      <x:c r="R1320" s="10" t="str">
        <x:f>IF(OR(NOT(AND(J1320="PASS",'Calibrare_Linii'!U18="VALID")),AM1320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O99)+((('Istoric_Nativ'!$E$6:$E$405='Input_Meci'!E99)+('Istoric_Nativ'!$F$6:$F$405='Input_Meci'!E99))&gt;0)*('Istoric_Nativ'!$D$6:$D$405&gt;='Motor_Meciuri'!BP99))&gt;0)*('Istoric_Nativ'!$Q$6:$Q$405&gt;H1320))/AM1320)</x:f>
      </x:c>
      <x:c r="S1320" s="10" t="str">
        <x:f>IF(M1320="","",MAX(O1320,P1320,Q1320,R1320))</x:f>
      </x:c>
      <x:c r="T1320" s="11" t="str">
        <x:f>IF(M1320="","",MIN(100,S1320*100*'Config_v6'!$B$44+MIN(100,L1320/'Config_v6'!$B$13*100)*'Config_v6'!$B$45+(100-'Motor_Meciuri'!BF99)*'Config_v6'!$B$46+'Motor_Meciuri'!BH99*100*'Config_v6'!$B$47))</x:f>
      </x:c>
      <x:c r="U1320" s="2" t="str">
        <x:f>IF(T1320="","",IF(T1320&lt;=20,1,IF(T1320&lt;=40,2,IF(T1320&lt;=60,3,IF(T1320&lt;=80,4,5)))))</x:f>
      </x:c>
      <x:c r="V1320" s="2" t="str">
        <x:f>IF(M1320="","",MAX(0,'Motor_Meciuri'!BF99-IF(W1320="OOS PENDING",'Config_v6'!$B$35,0)-IF(L1320&gt;'Config_v6'!$B$12,'Config_v6'!$B$37,IF(L1320&gt;'Config_v6'!$B$11,'Config_v6'!$B$36,0))))</x:f>
      </x:c>
      <x:c r="W1320" s="2" t="str">
        <x:f>IF(B1320="","",IF(I1320&lt;&gt;"READY","NOT RELEASED",IF(NOT(AND(J1320="PASS",'Calibrare_Linii'!U18="VALID")),"INVALID",IF(NOT(AND('Calibrare_Linii'!S18="VALIDATED",AND('Calibrare_Linii'!H18=C1320,ISNUMBER('Calibrare_Linii'!J18),'Calibrare_Linii'!J18&lt;='Input_Meci'!G99))),"OOS PENDING",IF(S1320&lt;='Calibrare_Linii'!E18,"PASS",IF(S1320&lt;='Calibrare_Linii'!F18,"PENALTY","WATCH"))))))</x:f>
      </x:c>
      <x:c r="X1320" s="2" t="str">
        <x:f>IF(M1320="","",IF(AND(AND(J1320="PASS",'Calibrare_Linii'!U18="VALID"),'Motor_Meciuri'!K99=12,'Motor_Meciuri'!L99=12,'Motor_Meciuri'!M99="NO",'Motor_Meciuri'!BL99='Motor_Meciuri'!C99,AB1320&gt;='Config_v6'!$B$50,AN1320&gt;='Config_v6'!$B$51,T1320&lt;='Config_v6'!$B$52,L1320&lt;='Config_v6'!$B$53,ISNUMBER('Calibrare_Linii'!E18),S1320&lt;='Calibrare_Linii'!E18,SUM(AK1320:AM1320)&gt;0),"CANDIDATE","NO"))</x:f>
      </x:c>
      <x:c r="Y1320" s="2" t="str">
        <x:f>IF(B1320="","",IF(I1320&lt;&gt;"READY","NOT RELEASED",IF(AND(X1320="CANDIDATE",V1320&gt;='Config_v6'!$B$51,W1320="PASS",'Calibrare_Linii'!T18="VALIDATED",AND('Calibrare_Linii'!H18=C1320,ISNUMBER('Calibrare_Linii'!J18),'Calibrare_Linii'!J18&lt;='Input_Meci'!G99)),"PASS",IF(X1320="CANDIDATE","OOS PENDING","FAIL"))))</x:f>
      </x:c>
      <x:c r="Z1320" s="2" t="str">
        <x:f>IF(B1320="","",IF(I1320&lt;&gt;"READY","",IF(OR(NOT(AND(J1320="PASS",'Calibrare_Linii'!U18="VALID")),L1320&gt;'Config_v6'!$B$13,W1320="WATCH"),5,IF(Y1320="PASS",1,MIN(5,MAX('Config_v6'!$B$42,U1320)+IF(W1320="PENALTY",1,0))))))</x:f>
      </x:c>
      <x:c r="AA1320" s="2" t="str">
        <x:f>IF(B1320="","",IF(I1320&lt;&gt;"READY","NOT RELEASED",IF(Z1320=5,"NO BET",IF(OR(AB1320&lt;'Config_v6'!$B$16,V1320&lt;'Config_v6'!$B$18),"WATCH",IF(Z1320=1,"DEFENSIV",IF(Z1320=2,"PRUDENT",IF(Z1320=3,"MODERAT","RIDICAT")))))))</x:f>
      </x:c>
      <x:c r="AB1320" s="10" t="str">
        <x:f>IF(N1320="","",MIN(N1320,1-S1320))</x:f>
      </x:c>
      <x:c r="AC1320" s="2" t="str">
        <x:f>IF(AD1320&lt;&gt;1,"",COUNTIFS($Z$1308:$Z$1321,"&lt;"&amp;Z1320,$AD$1308:$AD$1321,1)+COUNTIFS($Z$1308:$Z$1321,Z1320,$AB$1308:$AB$1321,"&gt;"&amp;AB1320,$AD$1308:$AD$1321,1)+COUNTIFS($Z$1308:$Z$1321,Z1320,$AB$1308:$AB$1321,AB1320,$V$1308:$V$1321,"&gt;"&amp;V1320,$AD$1308:$AD$1321,1)+COUNTIFS($Z$1308:Z1320,Z1320,$AB$1308:AB1320,AB1320,$V$1308:V1320,V1320,$AD$1308:AD1320,1))</x:f>
      </x:c>
      <x:c r="AD1320" s="2" t="n">
        <x:f>IF(OR(AA1320="DEFENSIV",AA1320="PRUDENT",AA1320="MODERAT",AA1320="RIDICAT"),1,0)</x:f>
        <x:v>0</x:v>
      </x:c>
      <x:c r="AE1320" s="2" t="str">
        <x:f>IF(AD1320&lt;&gt;1,"NO",IF(W1320="PASS","YES",IF(W1320="OOS PENDING","CONDITIONAL","NO")))</x:f>
        <x:v>NO</x:v>
      </x:c>
      <x:c r="AF1320" s="2" t="n">
        <x:f>IF(AND(AD1320=1,AC1320=1,E1320="LIVE"),1,0)</x:f>
        <x:v>0</x:v>
      </x:c>
      <x:c r="AG1320" s="2" t="str">
        <x:f>IF(AF1320&lt;&gt;1,"",'Dashboard'!P119)</x:f>
      </x:c>
      <x:c r="AH1320" s="2" t="str">
        <x:f>IF(B1320="","",IF(J1320&lt;&gt;"PASS",'Motor_Meciuri'!J99,IF('Calibrare_Linii'!U18&lt;&gt;"VALID","Parametri linie invalizi",IF(L1320&gt;'Config_v6'!$B$13,"Dispersie peste limita",IF(W1320="WATCH","Failure peste limita",IF(AB1320&lt;'Config_v6'!$B$16,"P finala sub prag",IF(V1320&lt;'Config_v6'!$B$18,"Confidence sub prag",IF(E1320="REPLAY","Exemplu retrospectiv; exclus din Top LIVE",IF(Y1320="PASS","DEFENSIV validat",IF(W1320="OOS PENDING","Eligibil; calibrare linie in monitorizare","Eligibil"))))))))))</x:f>
      </x:c>
      <x:c r="AI1320" s="2" t="str">
        <x:f>IF(B1320="","",'Calibrare_Linii'!V18)</x:f>
      </x:c>
      <x:c r="AJ1320" s="2" t="str">
        <x:f>IF(B1320="","",IF(AND('Calibrare_Linii'!T18="VALIDATED",AND('Calibrare_Linii'!H18=C1320,ISNUMBER('Calibrare_Linii'!J18),'Calibrare_Linii'!J18&lt;='Input_Meci'!G99)),"DEFENSIVE VALIDATED",IF(AND('Calibrare_Linii'!S18="VALIDATED",AND('Calibrare_Linii'!H18=C1320,ISNUMBER('Calibrare_Linii'!J18),'Calibrare_Linii'!J18&lt;='Input_Meci'!G99)),"TAIL VALIDATED","OOS PENDING")))</x:f>
      </x:c>
      <x:c r="AK1320" s="2" t="n">
        <x:f>IF(J1320&lt;&gt;"PASS",0,'Motor_Meciuri'!BR99)</x:f>
        <x:v>0</x:v>
      </x:c>
      <x:c r="AL1320" s="2" t="n">
        <x:f>IF(J1320&lt;&gt;"PASS",0,'Motor_Meciuri'!BS99)</x:f>
        <x:v>0</x:v>
      </x:c>
      <x:c r="AM1320" s="2" t="n">
        <x:f>IF(J1320&lt;&gt;"PASS",0,'Motor_Meciuri'!BT99)</x:f>
        <x:v>0</x:v>
      </x:c>
      <x:c r="AN1320" s="2" t="str">
        <x:f>IF(M1320="","",MAX(0,'Motor_Meciuri'!BF99-IF(L1320&gt;'Config_v6'!$B$12,'Config_v6'!$B$37,IF(L1320&gt;'Config_v6'!$B$11,'Config_v6'!$B$36,0))))</x:f>
      </x:c>
    </x:row>
    <x:row r="1321" ht="21" customHeight="1">
      <x:c r="A1321" s="2" t="n">
        <x:v>94</x:v>
      </x:c>
      <x:c r="B1321" s="2" t="str">
        <x:f>IF('Motor_Meciuri'!A99="","",'Motor_Meciuri'!A99)</x:f>
      </x:c>
      <x:c r="C1321" s="2" t="str">
        <x:f>IF(B1321="","",'Motor_Meciuri'!B99)</x:f>
      </x:c>
      <x:c r="D1321" s="2" t="str">
        <x:f>IF(B1321="","",'Motor_Meciuri'!D99)</x:f>
      </x:c>
      <x:c r="E1321" s="2" t="str">
        <x:f>IF(B1321="","",'Motor_Meciuri'!E99)</x:f>
      </x:c>
      <x:c r="F1321" s="2" t="str">
        <x:v>U17,5</x:v>
      </x:c>
      <x:c r="G1321" s="2" t="str">
        <x:v>UNDER</x:v>
      </x:c>
      <x:c r="H1321" s="2" t="n">
        <x:v>17</x:v>
      </x:c>
      <x:c r="I1321" s="2" t="str">
        <x:f>IF(B1321="","",'Motor_Meciuri'!H99)</x:f>
      </x:c>
      <x:c r="J1321" s="2" t="str">
        <x:f>IF(B1321="","",'Motor_Meciuri'!I99)</x:f>
      </x:c>
      <x:c r="K1321" s="11" t="str">
        <x:f>IF(J1321&lt;&gt;"PASS","",'Motor_Meciuri'!BD99)</x:f>
      </x:c>
      <x:c r="L1321" s="11" t="str">
        <x:f>IF(J1321&lt;&gt;"PASS","",'Motor_Meciuri'!AU99)</x:f>
      </x:c>
      <x:c r="M1321" s="10" t="str">
        <x:f>IF(NOT(AND(J1321="PASS",'Calibrare_Linii'!U19="VALID")),"",'Distributie'!AO99)</x:f>
      </x:c>
      <x:c r="N1321" s="10" t="str">
        <x:f>IF(M1321="","",MAX(0.01,MIN(0.99,0.5+(M1321-0.5)*'Motor_Meciuri'!BG99*'Calibrare_Linii'!D19)))</x:f>
      </x:c>
      <x:c r="O1321" s="10" t="str">
        <x:f>IF(M1321="","",1-M1321)</x:f>
      </x:c>
      <x:c r="P1321" s="10" t="str">
        <x:f>IF(OR(NOT(AND(J1321="PASS",'Calibrare_Linii'!U19="VALID")),AK1321=0),""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*('Istoric_Nativ'!$Q$6:$Q$405&gt;H1321))/AK1321)</x:f>
      </x:c>
      <x:c r="Q1321" s="10" t="str">
        <x:f>IF(OR(NOT(AND(J1321="PASS",'Calibrare_Linii'!U19="VALID")),AL1321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M99)+((('Istoric_Nativ'!$E$6:$E$405='Input_Meci'!E99)+('Istoric_Nativ'!$F$6:$F$405='Input_Meci'!E99))&gt;0)*('Istoric_Nativ'!$D$6:$D$405&gt;='Motor_Meciuri'!BN99))&gt;0)*('Istoric_Nativ'!$Q$6:$Q$405&gt;H1321))/AL1321)</x:f>
      </x:c>
      <x:c r="R1321" s="10" t="str">
        <x:f>IF(OR(NOT(AND(J1321="PASS",'Calibrare_Linii'!U19="VALID")),AM1321=0),""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'Motor_Meciuri'!BO99)+((('Istoric_Nativ'!$E$6:$E$405='Input_Meci'!E99)+('Istoric_Nativ'!$F$6:$F$405='Input_Meci'!E99))&gt;0)*('Istoric_Nativ'!$D$6:$D$405&gt;='Motor_Meciuri'!BP99))&gt;0)*('Istoric_Nativ'!$Q$6:$Q$405&gt;H1321))/AM1321)</x:f>
      </x:c>
      <x:c r="S1321" s="10" t="str">
        <x:f>IF(M1321="","",MAX(O1321,P1321,Q1321,R1321))</x:f>
      </x:c>
      <x:c r="T1321" s="11" t="str">
        <x:f>IF(M1321="","",MIN(100,S1321*100*'Config_v6'!$B$44+MIN(100,L1321/'Config_v6'!$B$13*100)*'Config_v6'!$B$45+(100-'Motor_Meciuri'!BF99)*'Config_v6'!$B$46+'Motor_Meciuri'!BH99*100*'Config_v6'!$B$47))</x:f>
      </x:c>
      <x:c r="U1321" s="2" t="str">
        <x:f>IF(T1321="","",IF(T1321&lt;=20,1,IF(T1321&lt;=40,2,IF(T1321&lt;=60,3,IF(T1321&lt;=80,4,5)))))</x:f>
      </x:c>
      <x:c r="V1321" s="2" t="str">
        <x:f>IF(M1321="","",MAX(0,'Motor_Meciuri'!BF99-IF(W1321="OOS PENDING",'Config_v6'!$B$35,0)-IF(L1321&gt;'Config_v6'!$B$12,'Config_v6'!$B$37,IF(L1321&gt;'Config_v6'!$B$11,'Config_v6'!$B$36,0))))</x:f>
      </x:c>
      <x:c r="W1321" s="2" t="str">
        <x:f>IF(B1321="","",IF(I1321&lt;&gt;"READY","NOT RELEASED",IF(NOT(AND(J1321="PASS",'Calibrare_Linii'!U19="VALID")),"INVALID",IF(NOT(AND('Calibrare_Linii'!S19="VALIDATED",AND('Calibrare_Linii'!H19=C1321,ISNUMBER('Calibrare_Linii'!J19),'Calibrare_Linii'!J19&lt;='Input_Meci'!G99))),"OOS PENDING",IF(S1321&lt;='Calibrare_Linii'!E19,"PASS",IF(S1321&lt;='Calibrare_Linii'!F19,"PENALTY","WATCH"))))))</x:f>
      </x:c>
      <x:c r="X1321" s="2" t="str">
        <x:f>IF(M1321="","",IF(AND(AND(J1321="PASS",'Calibrare_Linii'!U19="VALID"),'Motor_Meciuri'!K99=12,'Motor_Meciuri'!L99=12,'Motor_Meciuri'!M99="NO",'Motor_Meciuri'!BL99='Motor_Meciuri'!C99,AB1321&gt;='Config_v6'!$B$50,AN1321&gt;='Config_v6'!$B$51,T1321&lt;='Config_v6'!$B$52,L1321&lt;='Config_v6'!$B$53,ISNUMBER('Calibrare_Linii'!E19),S1321&lt;='Calibrare_Linii'!E19,SUM(AK1321:AM1321)&gt;0),"CANDIDATE","NO"))</x:f>
      </x:c>
      <x:c r="Y1321" s="2" t="str">
        <x:f>IF(B1321="","",IF(I1321&lt;&gt;"READY","NOT RELEASED",IF(AND(X1321="CANDIDATE",V1321&gt;='Config_v6'!$B$51,W1321="PASS",'Calibrare_Linii'!T19="VALIDATED",AND('Calibrare_Linii'!H19=C1321,ISNUMBER('Calibrare_Linii'!J19),'Calibrare_Linii'!J19&lt;='Input_Meci'!G99)),"PASS",IF(X1321="CANDIDATE","OOS PENDING","FAIL"))))</x:f>
      </x:c>
      <x:c r="Z1321" s="2" t="str">
        <x:f>IF(B1321="","",IF(I1321&lt;&gt;"READY","",IF(OR(NOT(AND(J1321="PASS",'Calibrare_Linii'!U19="VALID")),L1321&gt;'Config_v6'!$B$13,W1321="WATCH"),5,IF(Y1321="PASS",1,MIN(5,MAX('Config_v6'!$B$42,U1321)+IF(W1321="PENALTY",1,0))))))</x:f>
      </x:c>
      <x:c r="AA1321" s="2" t="str">
        <x:f>IF(B1321="","",IF(I1321&lt;&gt;"READY","NOT RELEASED",IF(Z1321=5,"NO BET",IF(OR(AB1321&lt;'Config_v6'!$B$16,V1321&lt;'Config_v6'!$B$18),"WATCH",IF(Z1321=1,"DEFENSIV",IF(Z1321=2,"PRUDENT",IF(Z1321=3,"MODERAT","RIDICAT")))))))</x:f>
      </x:c>
      <x:c r="AB1321" s="10" t="str">
        <x:f>IF(N1321="","",MIN(N1321,1-S1321))</x:f>
      </x:c>
      <x:c r="AC1321" s="2" t="str">
        <x:f>IF(AD1321&lt;&gt;1,"",COUNTIFS($Z$1308:$Z$1321,"&lt;"&amp;Z1321,$AD$1308:$AD$1321,1)+COUNTIFS($Z$1308:$Z$1321,Z1321,$AB$1308:$AB$1321,"&gt;"&amp;AB1321,$AD$1308:$AD$1321,1)+COUNTIFS($Z$1308:$Z$1321,Z1321,$AB$1308:$AB$1321,AB1321,$V$1308:$V$1321,"&gt;"&amp;V1321,$AD$1308:$AD$1321,1)+COUNTIFS($Z$1308:Z1321,Z1321,$AB$1308:AB1321,AB1321,$V$1308:V1321,V1321,$AD$1308:AD1321,1))</x:f>
      </x:c>
      <x:c r="AD1321" s="2" t="n">
        <x:f>IF(OR(AA1321="DEFENSIV",AA1321="PRUDENT",AA1321="MODERAT",AA1321="RIDICAT"),1,0)</x:f>
        <x:v>0</x:v>
      </x:c>
      <x:c r="AE1321" s="2" t="str">
        <x:f>IF(AD1321&lt;&gt;1,"NO",IF(W1321="PASS","YES",IF(W1321="OOS PENDING","CONDITIONAL","NO")))</x:f>
        <x:v>NO</x:v>
      </x:c>
      <x:c r="AF1321" s="2" t="n">
        <x:f>IF(AND(AD1321=1,AC1321=1,E1321="LIVE"),1,0)</x:f>
        <x:v>0</x:v>
      </x:c>
      <x:c r="AG1321" s="2" t="str">
        <x:f>IF(AF1321&lt;&gt;1,"",'Dashboard'!P119)</x:f>
      </x:c>
      <x:c r="AH1321" s="2" t="str">
        <x:f>IF(B1321="","",IF(J1321&lt;&gt;"PASS",'Motor_Meciuri'!J99,IF('Calibrare_Linii'!U19&lt;&gt;"VALID","Parametri linie invalizi",IF(L1321&gt;'Config_v6'!$B$13,"Dispersie peste limita",IF(W1321="WATCH","Failure peste limita",IF(AB1321&lt;'Config_v6'!$B$16,"P finala sub prag",IF(V1321&lt;'Config_v6'!$B$18,"Confidence sub prag",IF(E1321="REPLAY","Exemplu retrospectiv; exclus din Top LIVE",IF(Y1321="PASS","DEFENSIV validat",IF(W1321="OOS PENDING","Eligibil; calibrare linie in monitorizare","Eligibil"))))))))))</x:f>
      </x:c>
      <x:c r="AI1321" s="2" t="str">
        <x:f>IF(B1321="","",'Calibrare_Linii'!V19)</x:f>
      </x:c>
      <x:c r="AJ1321" s="2" t="str">
        <x:f>IF(B1321="","",IF(AND('Calibrare_Linii'!T19="VALIDATED",AND('Calibrare_Linii'!H19=C1321,ISNUMBER('Calibrare_Linii'!J19),'Calibrare_Linii'!J19&lt;='Input_Meci'!G99)),"DEFENSIVE VALIDATED",IF(AND('Calibrare_Linii'!S19="VALIDATED",AND('Calibrare_Linii'!H19=C1321,ISNUMBER('Calibrare_Linii'!J19),'Calibrare_Linii'!J19&lt;='Input_Meci'!G99)),"TAIL VALIDATED","OOS PENDING")))</x:f>
      </x:c>
      <x:c r="AK1321" s="2" t="n">
        <x:f>IF(J1321&lt;&gt;"PASS",0,'Motor_Meciuri'!BR99)</x:f>
        <x:v>0</x:v>
      </x:c>
      <x:c r="AL1321" s="2" t="n">
        <x:f>IF(J1321&lt;&gt;"PASS",0,'Motor_Meciuri'!BS99)</x:f>
        <x:v>0</x:v>
      </x:c>
      <x:c r="AM1321" s="2" t="n">
        <x:f>IF(J1321&lt;&gt;"PASS",0,'Motor_Meciuri'!BT99)</x:f>
        <x:v>0</x:v>
      </x:c>
      <x:c r="AN1321" s="2" t="str">
        <x:f>IF(M1321="","",MAX(0,'Motor_Meciuri'!BF99-IF(L1321&gt;'Config_v6'!$B$12,'Config_v6'!$B$37,IF(L1321&gt;'Config_v6'!$B$11,'Config_v6'!$B$36,0))))</x:f>
      </x:c>
    </x:row>
    <x:row r="1322" ht="21" customHeight="1">
      <x:c r="A1322" s="2" t="n">
        <x:v>95</x:v>
      </x:c>
      <x:c r="B1322" s="2" t="str">
        <x:f>IF('Motor_Meciuri'!A100="","",'Motor_Meciuri'!A100)</x:f>
      </x:c>
      <x:c r="C1322" s="2" t="str">
        <x:f>IF(B1322="","",'Motor_Meciuri'!B100)</x:f>
      </x:c>
      <x:c r="D1322" s="2" t="str">
        <x:f>IF(B1322="","",'Motor_Meciuri'!D100)</x:f>
      </x:c>
      <x:c r="E1322" s="2" t="str">
        <x:f>IF(B1322="","",'Motor_Meciuri'!E100)</x:f>
      </x:c>
      <x:c r="F1322" s="2" t="str">
        <x:v>O3,5</x:v>
      </x:c>
      <x:c r="G1322" s="2" t="str">
        <x:v>OVER</x:v>
      </x:c>
      <x:c r="H1322" s="2" t="n">
        <x:v>3</x:v>
      </x:c>
      <x:c r="I1322" s="2" t="str">
        <x:f>IF(B1322="","",'Motor_Meciuri'!H100)</x:f>
      </x:c>
      <x:c r="J1322" s="2" t="str">
        <x:f>IF(B1322="","",'Motor_Meciuri'!I100)</x:f>
      </x:c>
      <x:c r="K1322" s="11" t="str">
        <x:f>IF(J1322&lt;&gt;"PASS","",'Motor_Meciuri'!BD100)</x:f>
      </x:c>
      <x:c r="L1322" s="11" t="str">
        <x:f>IF(J1322&lt;&gt;"PASS","",'Motor_Meciuri'!AU100)</x:f>
      </x:c>
      <x:c r="M1322" s="10" t="str">
        <x:f>IF(NOT(AND(J1322="PASS",'Calibrare_Linii'!U6="VALID")),"",1-'Distributie'!AA100)</x:f>
      </x:c>
      <x:c r="N1322" s="10" t="str">
        <x:f>IF(M1322="","",MAX(0.01,MIN(0.99,0.5+(M1322-0.5)*'Motor_Meciuri'!BG100*'Calibrare_Linii'!D6)))</x:f>
      </x:c>
      <x:c r="O1322" s="10" t="str">
        <x:f>IF(M1322="","",1-M1322)</x:f>
      </x:c>
      <x:c r="P1322" s="10" t="str">
        <x:f>IF(OR(NOT(AND(J1322="PASS",'Calibrare_Linii'!U6="VALID")),AK1322=0),""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*('Istoric_Nativ'!$Q$6:$Q$405&lt;=H1322))/AK1322)</x:f>
      </x:c>
      <x:c r="Q1322" s="10" t="str">
        <x:f>IF(OR(NOT(AND(J1322="PASS",'Calibrare_Linii'!U6="VALID")),AL1322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M100)+((('Istoric_Nativ'!$E$6:$E$405='Input_Meci'!E100)+('Istoric_Nativ'!$F$6:$F$405='Input_Meci'!E100))&gt;0)*('Istoric_Nativ'!$D$6:$D$405&gt;='Motor_Meciuri'!BN100))&gt;0)*('Istoric_Nativ'!$Q$6:$Q$405&lt;=H1322))/AL1322)</x:f>
      </x:c>
      <x:c r="R1322" s="10" t="str">
        <x:f>IF(OR(NOT(AND(J1322="PASS",'Calibrare_Linii'!U6="VALID")),AM1322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O100)+((('Istoric_Nativ'!$E$6:$E$405='Input_Meci'!E100)+('Istoric_Nativ'!$F$6:$F$405='Input_Meci'!E100))&gt;0)*('Istoric_Nativ'!$D$6:$D$405&gt;='Motor_Meciuri'!BP100))&gt;0)*('Istoric_Nativ'!$Q$6:$Q$405&lt;=H1322))/AM1322)</x:f>
      </x:c>
      <x:c r="S1322" s="10" t="str">
        <x:f>IF(M1322="","",MAX(O1322,P1322,Q1322,R1322))</x:f>
      </x:c>
      <x:c r="T1322" s="11" t="str">
        <x:f>IF(M1322="","",MIN(100,S1322*100*'Config_v6'!$B$44+MIN(100,L1322/'Config_v6'!$B$13*100)*'Config_v6'!$B$45+(100-'Motor_Meciuri'!BF100)*'Config_v6'!$B$46+'Motor_Meciuri'!BH100*100*'Config_v6'!$B$47))</x:f>
      </x:c>
      <x:c r="U1322" s="2" t="str">
        <x:f>IF(T1322="","",IF(T1322&lt;=20,1,IF(T1322&lt;=40,2,IF(T1322&lt;=60,3,IF(T1322&lt;=80,4,5)))))</x:f>
      </x:c>
      <x:c r="V1322" s="2" t="str">
        <x:f>IF(M1322="","",MAX(0,'Motor_Meciuri'!BF100-IF(W1322="OOS PENDING",'Config_v6'!$B$35,0)-IF(L1322&gt;'Config_v6'!$B$12,'Config_v6'!$B$37,IF(L1322&gt;'Config_v6'!$B$11,'Config_v6'!$B$36,0))))</x:f>
      </x:c>
      <x:c r="W1322" s="2" t="str">
        <x:f>IF(B1322="","",IF(I1322&lt;&gt;"READY","NOT RELEASED",IF(NOT(AND(J1322="PASS",'Calibrare_Linii'!U6="VALID")),"INVALID",IF(NOT(TRUE),"OOS PENDING",IF(S1322&lt;=IF(AND('Calibrare_Linii'!S6="VALIDATED",AND('Calibrare_Linii'!H6=C1322,ISNUMBER('Calibrare_Linii'!J6),'Calibrare_Linii'!J6&lt;='Input_Meci'!G100)),'Calibrare_Linii'!E6,'Config_v6'!$B$26),"PASS",IF(S1322&lt;=IF(AND('Calibrare_Linii'!S6="VALIDATED",AND('Calibrare_Linii'!H6=C1322,ISNUMBER('Calibrare_Linii'!J6),'Calibrare_Linii'!J6&lt;='Input_Meci'!G100)),'Calibrare_Linii'!F6,'Config_v6'!$C$26),"PENALTY","WATCH"))))))</x:f>
      </x:c>
      <x:c r="X1322" s="2" t="str">
        <x:f>IF(M1322="","",IF(AND(AND(J1322="PASS",'Calibrare_Linii'!U6="VALID"),'Motor_Meciuri'!K100=12,'Motor_Meciuri'!L100=12,'Motor_Meciuri'!M100="NO",'Motor_Meciuri'!BL100='Motor_Meciuri'!C100,AB1322&gt;='Config_v6'!$B$50,AN1322&gt;='Config_v6'!$B$51,T1322&lt;='Config_v6'!$B$52,L1322&lt;='Config_v6'!$B$53,ISNUMBER('Calibrare_Linii'!E6),S1322&lt;='Calibrare_Linii'!E6,SUM(AK1322:AM1322)&gt;0),"CANDIDATE","NO"))</x:f>
      </x:c>
      <x:c r="Y1322" s="2" t="str">
        <x:f>IF(B1322="","",IF(I1322&lt;&gt;"READY","NOT RELEASED",IF(AND(X1322="CANDIDATE",V1322&gt;='Config_v6'!$B$51,W1322="PASS",'Calibrare_Linii'!T6="VALIDATED",AND('Calibrare_Linii'!H6=C1322,ISNUMBER('Calibrare_Linii'!J6),'Calibrare_Linii'!J6&lt;='Input_Meci'!G100)),"PASS",IF(X1322="CANDIDATE","OOS PENDING","FAIL"))))</x:f>
      </x:c>
      <x:c r="Z1322" s="2" t="str">
        <x:f>IF(B1322="","",IF(I1322&lt;&gt;"READY","",IF(OR(NOT(AND(J1322="PASS",'Calibrare_Linii'!U6="VALID")),L1322&gt;'Config_v6'!$B$13,W1322="WATCH"),5,IF(Y1322="PASS",1,MIN(5,MAX('Config_v6'!$B$42,U1322)+IF(W1322="PENALTY",1,0))))))</x:f>
      </x:c>
      <x:c r="AA1322" s="2" t="str">
        <x:f>IF(B1322="","",IF(I1322&lt;&gt;"READY","NOT RELEASED",IF(Z1322=5,"NO BET",IF(OR(AB1322&lt;'Config_v6'!$B$16,V1322&lt;'Config_v6'!$B$18),"WATCH",IF(Z1322=1,"DEFENSIV",IF(Z1322=2,"PRUDENT",IF(Z1322=3,"MODERAT","RIDICAT")))))))</x:f>
      </x:c>
      <x:c r="AB1322" s="10" t="str">
        <x:f>IF(N1322="","",MIN(N1322,1-S1322))</x:f>
      </x:c>
      <x:c r="AC1322" s="2" t="str">
        <x:f>IF(AD1322&lt;&gt;1,"",COUNTIFS($Z$1322:$Z$1335,"&lt;"&amp;Z1322,$AD$1322:$AD$1335,1)+COUNTIFS($Z$1322:$Z$1335,Z1322,$AB$1322:$AB$1335,"&gt;"&amp;AB1322,$AD$1322:$AD$1335,1)+COUNTIFS($Z$1322:$Z$1335,Z1322,$AB$1322:$AB$1335,AB1322,$V$1322:$V$1335,"&gt;"&amp;V1322,$AD$1322:$AD$1335,1)+COUNTIFS($Z$1322:Z1322,Z1322,$AB$1322:AB1322,AB1322,$V$1322:V1322,V1322,$AD$1322:AD1322,1))</x:f>
      </x:c>
      <x:c r="AD1322" s="2" t="n">
        <x:f>IF(OR(AA1322="DEFENSIV",AA1322="PRUDENT",AA1322="MODERAT",AA1322="RIDICAT"),1,0)</x:f>
        <x:v>0</x:v>
      </x:c>
      <x:c r="AE1322" s="2" t="str">
        <x:f>IF(AD1322&lt;&gt;1,"NO",IF(W1322="PASS","YES",IF(W1322="OOS PENDING","CONDITIONAL","NO")))</x:f>
        <x:v>NO</x:v>
      </x:c>
      <x:c r="AF1322" s="2" t="n">
        <x:f>IF(AND(AD1322=1,AC1322=1,E1322="LIVE"),1,0)</x:f>
        <x:v>0</x:v>
      </x:c>
      <x:c r="AG1322" s="2" t="str">
        <x:f>IF(AF1322&lt;&gt;1,"",'Dashboard'!P120)</x:f>
      </x:c>
      <x:c r="AH1322" s="2" t="str">
        <x:f>IF(B1322="","",IF(J1322&lt;&gt;"PASS",'Motor_Meciuri'!J100,IF('Calibrare_Linii'!U6&lt;&gt;"VALID","Parametri linie invalizi",IF(L1322&gt;'Config_v6'!$B$13,"Dispersie peste limita",IF(W1322="WATCH","Failure peste limita",IF(AB1322&lt;'Config_v6'!$B$16,"P finala sub prag",IF(V1322&lt;'Config_v6'!$B$18,"Confidence sub prag",IF(E1322="REPLAY","Exemplu retrospectiv; exclus din Top LIVE",IF(Y1322="PASS","DEFENSIV validat",IF(W1322="OOS PENDING","Eligibil; calibrare linie in monitorizare","Eligibil"))))))))))</x:f>
      </x:c>
      <x:c r="AI1322" s="2" t="str">
        <x:f>IF(B1322="","",'Calibrare_Linii'!V6)</x:f>
      </x:c>
      <x:c r="AJ1322" s="2" t="str">
        <x:f>IF(B1322="","",IF(AND('Calibrare_Linii'!T6="VALIDATED",AND('Calibrare_Linii'!H6=C1322,ISNUMBER('Calibrare_Linii'!J6),'Calibrare_Linii'!J6&lt;='Input_Meci'!G100)),"DEFENSIVE VALIDATED",IF(AND('Calibrare_Linii'!S6="VALIDATED",AND('Calibrare_Linii'!H6=C1322,ISNUMBER('Calibrare_Linii'!J6),'Calibrare_Linii'!J6&lt;='Input_Meci'!G100)),"TAIL VALIDATED","OOS PENDING")))</x:f>
      </x:c>
      <x:c r="AK1322" s="2" t="n">
        <x:f>IF(J1322&lt;&gt;"PASS",0,'Motor_Meciuri'!BR100)</x:f>
        <x:v>0</x:v>
      </x:c>
      <x:c r="AL1322" s="2" t="n">
        <x:f>IF(J1322&lt;&gt;"PASS",0,'Motor_Meciuri'!BS100)</x:f>
        <x:v>0</x:v>
      </x:c>
      <x:c r="AM1322" s="2" t="n">
        <x:f>IF(J1322&lt;&gt;"PASS",0,'Motor_Meciuri'!BT100)</x:f>
        <x:v>0</x:v>
      </x:c>
      <x:c r="AN1322" s="2" t="str">
        <x:f>IF(M1322="","",MAX(0,'Motor_Meciuri'!BF100-IF(L1322&gt;'Config_v6'!$B$12,'Config_v6'!$B$37,IF(L1322&gt;'Config_v6'!$B$11,'Config_v6'!$B$36,0))))</x:f>
      </x:c>
    </x:row>
    <x:row r="1323" ht="21" customHeight="1">
      <x:c r="A1323" s="2" t="n">
        <x:v>95</x:v>
      </x:c>
      <x:c r="B1323" s="2" t="str">
        <x:f>IF('Motor_Meciuri'!A100="","",'Motor_Meciuri'!A100)</x:f>
      </x:c>
      <x:c r="C1323" s="2" t="str">
        <x:f>IF(B1323="","",'Motor_Meciuri'!B100)</x:f>
      </x:c>
      <x:c r="D1323" s="2" t="str">
        <x:f>IF(B1323="","",'Motor_Meciuri'!D100)</x:f>
      </x:c>
      <x:c r="E1323" s="2" t="str">
        <x:f>IF(B1323="","",'Motor_Meciuri'!E100)</x:f>
      </x:c>
      <x:c r="F1323" s="2" t="str">
        <x:v>O4,5</x:v>
      </x:c>
      <x:c r="G1323" s="2" t="str">
        <x:v>OVER</x:v>
      </x:c>
      <x:c r="H1323" s="2" t="n">
        <x:v>4</x:v>
      </x:c>
      <x:c r="I1323" s="2" t="str">
        <x:f>IF(B1323="","",'Motor_Meciuri'!H100)</x:f>
      </x:c>
      <x:c r="J1323" s="2" t="str">
        <x:f>IF(B1323="","",'Motor_Meciuri'!I100)</x:f>
      </x:c>
      <x:c r="K1323" s="11" t="str">
        <x:f>IF(J1323&lt;&gt;"PASS","",'Motor_Meciuri'!BD100)</x:f>
      </x:c>
      <x:c r="L1323" s="11" t="str">
        <x:f>IF(J1323&lt;&gt;"PASS","",'Motor_Meciuri'!AU100)</x:f>
      </x:c>
      <x:c r="M1323" s="10" t="str">
        <x:f>IF(NOT(AND(J1323="PASS",'Calibrare_Linii'!U7="VALID")),"",1-'Distributie'!AB100)</x:f>
      </x:c>
      <x:c r="N1323" s="10" t="str">
        <x:f>IF(M1323="","",MAX(0.01,MIN(0.99,0.5+(M1323-0.5)*'Motor_Meciuri'!BG100*'Calibrare_Linii'!D7)))</x:f>
      </x:c>
      <x:c r="O1323" s="10" t="str">
        <x:f>IF(M1323="","",1-M1323)</x:f>
      </x:c>
      <x:c r="P1323" s="10" t="str">
        <x:f>IF(OR(NOT(AND(J1323="PASS",'Calibrare_Linii'!U7="VALID")),AK1323=0),""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*('Istoric_Nativ'!$Q$6:$Q$405&lt;=H1323))/AK1323)</x:f>
      </x:c>
      <x:c r="Q1323" s="10" t="str">
        <x:f>IF(OR(NOT(AND(J1323="PASS",'Calibrare_Linii'!U7="VALID")),AL1323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M100)+((('Istoric_Nativ'!$E$6:$E$405='Input_Meci'!E100)+('Istoric_Nativ'!$F$6:$F$405='Input_Meci'!E100))&gt;0)*('Istoric_Nativ'!$D$6:$D$405&gt;='Motor_Meciuri'!BN100))&gt;0)*('Istoric_Nativ'!$Q$6:$Q$405&lt;=H1323))/AL1323)</x:f>
      </x:c>
      <x:c r="R1323" s="10" t="str">
        <x:f>IF(OR(NOT(AND(J1323="PASS",'Calibrare_Linii'!U7="VALID")),AM1323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O100)+((('Istoric_Nativ'!$E$6:$E$405='Input_Meci'!E100)+('Istoric_Nativ'!$F$6:$F$405='Input_Meci'!E100))&gt;0)*('Istoric_Nativ'!$D$6:$D$405&gt;='Motor_Meciuri'!BP100))&gt;0)*('Istoric_Nativ'!$Q$6:$Q$405&lt;=H1323))/AM1323)</x:f>
      </x:c>
      <x:c r="S1323" s="10" t="str">
        <x:f>IF(M1323="","",MAX(O1323,P1323,Q1323,R1323))</x:f>
      </x:c>
      <x:c r="T1323" s="11" t="str">
        <x:f>IF(M1323="","",MIN(100,S1323*100*'Config_v6'!$B$44+MIN(100,L1323/'Config_v6'!$B$13*100)*'Config_v6'!$B$45+(100-'Motor_Meciuri'!BF100)*'Config_v6'!$B$46+'Motor_Meciuri'!BH100*100*'Config_v6'!$B$47))</x:f>
      </x:c>
      <x:c r="U1323" s="2" t="str">
        <x:f>IF(T1323="","",IF(T1323&lt;=20,1,IF(T1323&lt;=40,2,IF(T1323&lt;=60,3,IF(T1323&lt;=80,4,5)))))</x:f>
      </x:c>
      <x:c r="V1323" s="2" t="str">
        <x:f>IF(M1323="","",MAX(0,'Motor_Meciuri'!BF100-IF(W1323="OOS PENDING",'Config_v6'!$B$35,0)-IF(L1323&gt;'Config_v6'!$B$12,'Config_v6'!$B$37,IF(L1323&gt;'Config_v6'!$B$11,'Config_v6'!$B$36,0))))</x:f>
      </x:c>
      <x:c r="W1323" s="2" t="str">
        <x:f>IF(B1323="","",IF(I1323&lt;&gt;"READY","NOT RELEASED",IF(NOT(AND(J1323="PASS",'Calibrare_Linii'!U7="VALID")),"INVALID",IF(NOT(AND('Calibrare_Linii'!S7="VALIDATED",AND('Calibrare_Linii'!H7=C1323,ISNUMBER('Calibrare_Linii'!J7),'Calibrare_Linii'!J7&lt;='Input_Meci'!G100))),"OOS PENDING",IF(S1323&lt;='Calibrare_Linii'!E7,"PASS",IF(S1323&lt;='Calibrare_Linii'!F7,"PENALTY","WATCH"))))))</x:f>
      </x:c>
      <x:c r="X1323" s="2" t="str">
        <x:f>IF(M1323="","",IF(AND(AND(J1323="PASS",'Calibrare_Linii'!U7="VALID"),'Motor_Meciuri'!K100=12,'Motor_Meciuri'!L100=12,'Motor_Meciuri'!M100="NO",'Motor_Meciuri'!BL100='Motor_Meciuri'!C100,AB1323&gt;='Config_v6'!$B$50,AN1323&gt;='Config_v6'!$B$51,T1323&lt;='Config_v6'!$B$52,L1323&lt;='Config_v6'!$B$53,ISNUMBER('Calibrare_Linii'!E7),S1323&lt;='Calibrare_Linii'!E7,SUM(AK1323:AM1323)&gt;0),"CANDIDATE","NO"))</x:f>
      </x:c>
      <x:c r="Y1323" s="2" t="str">
        <x:f>IF(B1323="","",IF(I1323&lt;&gt;"READY","NOT RELEASED",IF(AND(X1323="CANDIDATE",V1323&gt;='Config_v6'!$B$51,W1323="PASS",'Calibrare_Linii'!T7="VALIDATED",AND('Calibrare_Linii'!H7=C1323,ISNUMBER('Calibrare_Linii'!J7),'Calibrare_Linii'!J7&lt;='Input_Meci'!G100)),"PASS",IF(X1323="CANDIDATE","OOS PENDING","FAIL"))))</x:f>
      </x:c>
      <x:c r="Z1323" s="2" t="str">
        <x:f>IF(B1323="","",IF(I1323&lt;&gt;"READY","",IF(OR(NOT(AND(J1323="PASS",'Calibrare_Linii'!U7="VALID")),L1323&gt;'Config_v6'!$B$13,W1323="WATCH"),5,IF(Y1323="PASS",1,MIN(5,MAX('Config_v6'!$B$42,U1323)+IF(W1323="PENALTY",1,0))))))</x:f>
      </x:c>
      <x:c r="AA1323" s="2" t="str">
        <x:f>IF(B1323="","",IF(I1323&lt;&gt;"READY","NOT RELEASED",IF(Z1323=5,"NO BET",IF(OR(AB1323&lt;'Config_v6'!$B$16,V1323&lt;'Config_v6'!$B$18),"WATCH",IF(Z1323=1,"DEFENSIV",IF(Z1323=2,"PRUDENT",IF(Z1323=3,"MODERAT","RIDICAT")))))))</x:f>
      </x:c>
      <x:c r="AB1323" s="10" t="str">
        <x:f>IF(N1323="","",MIN(N1323,1-S1323))</x:f>
      </x:c>
      <x:c r="AC1323" s="2" t="str">
        <x:f>IF(AD1323&lt;&gt;1,"",COUNTIFS($Z$1322:$Z$1335,"&lt;"&amp;Z1323,$AD$1322:$AD$1335,1)+COUNTIFS($Z$1322:$Z$1335,Z1323,$AB$1322:$AB$1335,"&gt;"&amp;AB1323,$AD$1322:$AD$1335,1)+COUNTIFS($Z$1322:$Z$1335,Z1323,$AB$1322:$AB$1335,AB1323,$V$1322:$V$1335,"&gt;"&amp;V1323,$AD$1322:$AD$1335,1)+COUNTIFS($Z$1322:Z1323,Z1323,$AB$1322:AB1323,AB1323,$V$1322:V1323,V1323,$AD$1322:AD1323,1))</x:f>
      </x:c>
      <x:c r="AD1323" s="2" t="n">
        <x:f>IF(OR(AA1323="DEFENSIV",AA1323="PRUDENT",AA1323="MODERAT",AA1323="RIDICAT"),1,0)</x:f>
        <x:v>0</x:v>
      </x:c>
      <x:c r="AE1323" s="2" t="str">
        <x:f>IF(AD1323&lt;&gt;1,"NO",IF(W1323="PASS","YES",IF(W1323="OOS PENDING","CONDITIONAL","NO")))</x:f>
        <x:v>NO</x:v>
      </x:c>
      <x:c r="AF1323" s="2" t="n">
        <x:f>IF(AND(AD1323=1,AC1323=1,E1323="LIVE"),1,0)</x:f>
        <x:v>0</x:v>
      </x:c>
      <x:c r="AG1323" s="2" t="str">
        <x:f>IF(AF1323&lt;&gt;1,"",'Dashboard'!P120)</x:f>
      </x:c>
      <x:c r="AH1323" s="2" t="str">
        <x:f>IF(B1323="","",IF(J1323&lt;&gt;"PASS",'Motor_Meciuri'!J100,IF('Calibrare_Linii'!U7&lt;&gt;"VALID","Parametri linie invalizi",IF(L1323&gt;'Config_v6'!$B$13,"Dispersie peste limita",IF(W1323="WATCH","Failure peste limita",IF(AB1323&lt;'Config_v6'!$B$16,"P finala sub prag",IF(V1323&lt;'Config_v6'!$B$18,"Confidence sub prag",IF(E1323="REPLAY","Exemplu retrospectiv; exclus din Top LIVE",IF(Y1323="PASS","DEFENSIV validat",IF(W1323="OOS PENDING","Eligibil; calibrare linie in monitorizare","Eligibil"))))))))))</x:f>
      </x:c>
      <x:c r="AI1323" s="2" t="str">
        <x:f>IF(B1323="","",'Calibrare_Linii'!V7)</x:f>
      </x:c>
      <x:c r="AJ1323" s="2" t="str">
        <x:f>IF(B1323="","",IF(AND('Calibrare_Linii'!T7="VALIDATED",AND('Calibrare_Linii'!H7=C1323,ISNUMBER('Calibrare_Linii'!J7),'Calibrare_Linii'!J7&lt;='Input_Meci'!G100)),"DEFENSIVE VALIDATED",IF(AND('Calibrare_Linii'!S7="VALIDATED",AND('Calibrare_Linii'!H7=C1323,ISNUMBER('Calibrare_Linii'!J7),'Calibrare_Linii'!J7&lt;='Input_Meci'!G100)),"TAIL VALIDATED","OOS PENDING")))</x:f>
      </x:c>
      <x:c r="AK1323" s="2" t="n">
        <x:f>IF(J1323&lt;&gt;"PASS",0,'Motor_Meciuri'!BR100)</x:f>
        <x:v>0</x:v>
      </x:c>
      <x:c r="AL1323" s="2" t="n">
        <x:f>IF(J1323&lt;&gt;"PASS",0,'Motor_Meciuri'!BS100)</x:f>
        <x:v>0</x:v>
      </x:c>
      <x:c r="AM1323" s="2" t="n">
        <x:f>IF(J1323&lt;&gt;"PASS",0,'Motor_Meciuri'!BT100)</x:f>
        <x:v>0</x:v>
      </x:c>
      <x:c r="AN1323" s="2" t="str">
        <x:f>IF(M1323="","",MAX(0,'Motor_Meciuri'!BF100-IF(L1323&gt;'Config_v6'!$B$12,'Config_v6'!$B$37,IF(L1323&gt;'Config_v6'!$B$11,'Config_v6'!$B$36,0))))</x:f>
      </x:c>
    </x:row>
    <x:row r="1324" ht="21" customHeight="1">
      <x:c r="A1324" s="2" t="n">
        <x:v>95</x:v>
      </x:c>
      <x:c r="B1324" s="2" t="str">
        <x:f>IF('Motor_Meciuri'!A100="","",'Motor_Meciuri'!A100)</x:f>
      </x:c>
      <x:c r="C1324" s="2" t="str">
        <x:f>IF(B1324="","",'Motor_Meciuri'!B100)</x:f>
      </x:c>
      <x:c r="D1324" s="2" t="str">
        <x:f>IF(B1324="","",'Motor_Meciuri'!D100)</x:f>
      </x:c>
      <x:c r="E1324" s="2" t="str">
        <x:f>IF(B1324="","",'Motor_Meciuri'!E100)</x:f>
      </x:c>
      <x:c r="F1324" s="2" t="str">
        <x:v>O5,5</x:v>
      </x:c>
      <x:c r="G1324" s="2" t="str">
        <x:v>OVER</x:v>
      </x:c>
      <x:c r="H1324" s="2" t="n">
        <x:v>5</x:v>
      </x:c>
      <x:c r="I1324" s="2" t="str">
        <x:f>IF(B1324="","",'Motor_Meciuri'!H100)</x:f>
      </x:c>
      <x:c r="J1324" s="2" t="str">
        <x:f>IF(B1324="","",'Motor_Meciuri'!I100)</x:f>
      </x:c>
      <x:c r="K1324" s="11" t="str">
        <x:f>IF(J1324&lt;&gt;"PASS","",'Motor_Meciuri'!BD100)</x:f>
      </x:c>
      <x:c r="L1324" s="11" t="str">
        <x:f>IF(J1324&lt;&gt;"PASS","",'Motor_Meciuri'!AU100)</x:f>
      </x:c>
      <x:c r="M1324" s="10" t="str">
        <x:f>IF(NOT(AND(J1324="PASS",'Calibrare_Linii'!U8="VALID")),"",1-'Distributie'!AC100)</x:f>
      </x:c>
      <x:c r="N1324" s="10" t="str">
        <x:f>IF(M1324="","",MAX(0.01,MIN(0.99,0.5+(M1324-0.5)*'Motor_Meciuri'!BG100*'Calibrare_Linii'!D8)))</x:f>
      </x:c>
      <x:c r="O1324" s="10" t="str">
        <x:f>IF(M1324="","",1-M1324)</x:f>
      </x:c>
      <x:c r="P1324" s="10" t="str">
        <x:f>IF(OR(NOT(AND(J1324="PASS",'Calibrare_Linii'!U8="VALID")),AK1324=0),""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*('Istoric_Nativ'!$Q$6:$Q$405&lt;=H1324))/AK1324)</x:f>
      </x:c>
      <x:c r="Q1324" s="10" t="str">
        <x:f>IF(OR(NOT(AND(J1324="PASS",'Calibrare_Linii'!U8="VALID")),AL1324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M100)+((('Istoric_Nativ'!$E$6:$E$405='Input_Meci'!E100)+('Istoric_Nativ'!$F$6:$F$405='Input_Meci'!E100))&gt;0)*('Istoric_Nativ'!$D$6:$D$405&gt;='Motor_Meciuri'!BN100))&gt;0)*('Istoric_Nativ'!$Q$6:$Q$405&lt;=H1324))/AL1324)</x:f>
      </x:c>
      <x:c r="R1324" s="10" t="str">
        <x:f>IF(OR(NOT(AND(J1324="PASS",'Calibrare_Linii'!U8="VALID")),AM1324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O100)+((('Istoric_Nativ'!$E$6:$E$405='Input_Meci'!E100)+('Istoric_Nativ'!$F$6:$F$405='Input_Meci'!E100))&gt;0)*('Istoric_Nativ'!$D$6:$D$405&gt;='Motor_Meciuri'!BP100))&gt;0)*('Istoric_Nativ'!$Q$6:$Q$405&lt;=H1324))/AM1324)</x:f>
      </x:c>
      <x:c r="S1324" s="10" t="str">
        <x:f>IF(M1324="","",MAX(O1324,P1324,Q1324,R1324))</x:f>
      </x:c>
      <x:c r="T1324" s="11" t="str">
        <x:f>IF(M1324="","",MIN(100,S1324*100*'Config_v6'!$B$44+MIN(100,L1324/'Config_v6'!$B$13*100)*'Config_v6'!$B$45+(100-'Motor_Meciuri'!BF100)*'Config_v6'!$B$46+'Motor_Meciuri'!BH100*100*'Config_v6'!$B$47))</x:f>
      </x:c>
      <x:c r="U1324" s="2" t="str">
        <x:f>IF(T1324="","",IF(T1324&lt;=20,1,IF(T1324&lt;=40,2,IF(T1324&lt;=60,3,IF(T1324&lt;=80,4,5)))))</x:f>
      </x:c>
      <x:c r="V1324" s="2" t="str">
        <x:f>IF(M1324="","",MAX(0,'Motor_Meciuri'!BF100-IF(W1324="OOS PENDING",'Config_v6'!$B$35,0)-IF(L1324&gt;'Config_v6'!$B$12,'Config_v6'!$B$37,IF(L1324&gt;'Config_v6'!$B$11,'Config_v6'!$B$36,0))))</x:f>
      </x:c>
      <x:c r="W1324" s="2" t="str">
        <x:f>IF(B1324="","",IF(I1324&lt;&gt;"READY","NOT RELEASED",IF(NOT(AND(J1324="PASS",'Calibrare_Linii'!U8="VALID")),"INVALID",IF(NOT(AND('Calibrare_Linii'!S8="VALIDATED",AND('Calibrare_Linii'!H8=C1324,ISNUMBER('Calibrare_Linii'!J8),'Calibrare_Linii'!J8&lt;='Input_Meci'!G100))),"OOS PENDING",IF(S1324&lt;='Calibrare_Linii'!E8,"PASS",IF(S1324&lt;='Calibrare_Linii'!F8,"PENALTY","WATCH"))))))</x:f>
      </x:c>
      <x:c r="X1324" s="2" t="str">
        <x:f>IF(M1324="","",IF(AND(AND(J1324="PASS",'Calibrare_Linii'!U8="VALID"),'Motor_Meciuri'!K100=12,'Motor_Meciuri'!L100=12,'Motor_Meciuri'!M100="NO",'Motor_Meciuri'!BL100='Motor_Meciuri'!C100,AB1324&gt;='Config_v6'!$B$50,AN1324&gt;='Config_v6'!$B$51,T1324&lt;='Config_v6'!$B$52,L1324&lt;='Config_v6'!$B$53,ISNUMBER('Calibrare_Linii'!E8),S1324&lt;='Calibrare_Linii'!E8,SUM(AK1324:AM1324)&gt;0),"CANDIDATE","NO"))</x:f>
      </x:c>
      <x:c r="Y1324" s="2" t="str">
        <x:f>IF(B1324="","",IF(I1324&lt;&gt;"READY","NOT RELEASED",IF(AND(X1324="CANDIDATE",V1324&gt;='Config_v6'!$B$51,W1324="PASS",'Calibrare_Linii'!T8="VALIDATED",AND('Calibrare_Linii'!H8=C1324,ISNUMBER('Calibrare_Linii'!J8),'Calibrare_Linii'!J8&lt;='Input_Meci'!G100)),"PASS",IF(X1324="CANDIDATE","OOS PENDING","FAIL"))))</x:f>
      </x:c>
      <x:c r="Z1324" s="2" t="str">
        <x:f>IF(B1324="","",IF(I1324&lt;&gt;"READY","",IF(OR(NOT(AND(J1324="PASS",'Calibrare_Linii'!U8="VALID")),L1324&gt;'Config_v6'!$B$13,W1324="WATCH"),5,IF(Y1324="PASS",1,MIN(5,MAX('Config_v6'!$B$42,U1324)+IF(W1324="PENALTY",1,0))))))</x:f>
      </x:c>
      <x:c r="AA1324" s="2" t="str">
        <x:f>IF(B1324="","",IF(I1324&lt;&gt;"READY","NOT RELEASED",IF(Z1324=5,"NO BET",IF(OR(AB1324&lt;'Config_v6'!$B$16,V1324&lt;'Config_v6'!$B$18),"WATCH",IF(Z1324=1,"DEFENSIV",IF(Z1324=2,"PRUDENT",IF(Z1324=3,"MODERAT","RIDICAT")))))))</x:f>
      </x:c>
      <x:c r="AB1324" s="10" t="str">
        <x:f>IF(N1324="","",MIN(N1324,1-S1324))</x:f>
      </x:c>
      <x:c r="AC1324" s="2" t="str">
        <x:f>IF(AD1324&lt;&gt;1,"",COUNTIFS($Z$1322:$Z$1335,"&lt;"&amp;Z1324,$AD$1322:$AD$1335,1)+COUNTIFS($Z$1322:$Z$1335,Z1324,$AB$1322:$AB$1335,"&gt;"&amp;AB1324,$AD$1322:$AD$1335,1)+COUNTIFS($Z$1322:$Z$1335,Z1324,$AB$1322:$AB$1335,AB1324,$V$1322:$V$1335,"&gt;"&amp;V1324,$AD$1322:$AD$1335,1)+COUNTIFS($Z$1322:Z1324,Z1324,$AB$1322:AB1324,AB1324,$V$1322:V1324,V1324,$AD$1322:AD1324,1))</x:f>
      </x:c>
      <x:c r="AD1324" s="2" t="n">
        <x:f>IF(OR(AA1324="DEFENSIV",AA1324="PRUDENT",AA1324="MODERAT",AA1324="RIDICAT"),1,0)</x:f>
        <x:v>0</x:v>
      </x:c>
      <x:c r="AE1324" s="2" t="str">
        <x:f>IF(AD1324&lt;&gt;1,"NO",IF(W1324="PASS","YES",IF(W1324="OOS PENDING","CONDITIONAL","NO")))</x:f>
        <x:v>NO</x:v>
      </x:c>
      <x:c r="AF1324" s="2" t="n">
        <x:f>IF(AND(AD1324=1,AC1324=1,E1324="LIVE"),1,0)</x:f>
        <x:v>0</x:v>
      </x:c>
      <x:c r="AG1324" s="2" t="str">
        <x:f>IF(AF1324&lt;&gt;1,"",'Dashboard'!P120)</x:f>
      </x:c>
      <x:c r="AH1324" s="2" t="str">
        <x:f>IF(B1324="","",IF(J1324&lt;&gt;"PASS",'Motor_Meciuri'!J100,IF('Calibrare_Linii'!U8&lt;&gt;"VALID","Parametri linie invalizi",IF(L1324&gt;'Config_v6'!$B$13,"Dispersie peste limita",IF(W1324="WATCH","Failure peste limita",IF(AB1324&lt;'Config_v6'!$B$16,"P finala sub prag",IF(V1324&lt;'Config_v6'!$B$18,"Confidence sub prag",IF(E1324="REPLAY","Exemplu retrospectiv; exclus din Top LIVE",IF(Y1324="PASS","DEFENSIV validat",IF(W1324="OOS PENDING","Eligibil; calibrare linie in monitorizare","Eligibil"))))))))))</x:f>
      </x:c>
      <x:c r="AI1324" s="2" t="str">
        <x:f>IF(B1324="","",'Calibrare_Linii'!V8)</x:f>
      </x:c>
      <x:c r="AJ1324" s="2" t="str">
        <x:f>IF(B1324="","",IF(AND('Calibrare_Linii'!T8="VALIDATED",AND('Calibrare_Linii'!H8=C1324,ISNUMBER('Calibrare_Linii'!J8),'Calibrare_Linii'!J8&lt;='Input_Meci'!G100)),"DEFENSIVE VALIDATED",IF(AND('Calibrare_Linii'!S8="VALIDATED",AND('Calibrare_Linii'!H8=C1324,ISNUMBER('Calibrare_Linii'!J8),'Calibrare_Linii'!J8&lt;='Input_Meci'!G100)),"TAIL VALIDATED","OOS PENDING")))</x:f>
      </x:c>
      <x:c r="AK1324" s="2" t="n">
        <x:f>IF(J1324&lt;&gt;"PASS",0,'Motor_Meciuri'!BR100)</x:f>
        <x:v>0</x:v>
      </x:c>
      <x:c r="AL1324" s="2" t="n">
        <x:f>IF(J1324&lt;&gt;"PASS",0,'Motor_Meciuri'!BS100)</x:f>
        <x:v>0</x:v>
      </x:c>
      <x:c r="AM1324" s="2" t="n">
        <x:f>IF(J1324&lt;&gt;"PASS",0,'Motor_Meciuri'!BT100)</x:f>
        <x:v>0</x:v>
      </x:c>
      <x:c r="AN1324" s="2" t="str">
        <x:f>IF(M1324="","",MAX(0,'Motor_Meciuri'!BF100-IF(L1324&gt;'Config_v6'!$B$12,'Config_v6'!$B$37,IF(L1324&gt;'Config_v6'!$B$11,'Config_v6'!$B$36,0))))</x:f>
      </x:c>
    </x:row>
    <x:row r="1325" ht="21" customHeight="1">
      <x:c r="A1325" s="2" t="n">
        <x:v>95</x:v>
      </x:c>
      <x:c r="B1325" s="2" t="str">
        <x:f>IF('Motor_Meciuri'!A100="","",'Motor_Meciuri'!A100)</x:f>
      </x:c>
      <x:c r="C1325" s="2" t="str">
        <x:f>IF(B1325="","",'Motor_Meciuri'!B100)</x:f>
      </x:c>
      <x:c r="D1325" s="2" t="str">
        <x:f>IF(B1325="","",'Motor_Meciuri'!D100)</x:f>
      </x:c>
      <x:c r="E1325" s="2" t="str">
        <x:f>IF(B1325="","",'Motor_Meciuri'!E100)</x:f>
      </x:c>
      <x:c r="F1325" s="2" t="str">
        <x:v>O6,5</x:v>
      </x:c>
      <x:c r="G1325" s="2" t="str">
        <x:v>OVER</x:v>
      </x:c>
      <x:c r="H1325" s="2" t="n">
        <x:v>6</x:v>
      </x:c>
      <x:c r="I1325" s="2" t="str">
        <x:f>IF(B1325="","",'Motor_Meciuri'!H100)</x:f>
      </x:c>
      <x:c r="J1325" s="2" t="str">
        <x:f>IF(B1325="","",'Motor_Meciuri'!I100)</x:f>
      </x:c>
      <x:c r="K1325" s="11" t="str">
        <x:f>IF(J1325&lt;&gt;"PASS","",'Motor_Meciuri'!BD100)</x:f>
      </x:c>
      <x:c r="L1325" s="11" t="str">
        <x:f>IF(J1325&lt;&gt;"PASS","",'Motor_Meciuri'!AU100)</x:f>
      </x:c>
      <x:c r="M1325" s="10" t="str">
        <x:f>IF(NOT(AND(J1325="PASS",'Calibrare_Linii'!U9="VALID")),"",1-'Distributie'!AD100)</x:f>
      </x:c>
      <x:c r="N1325" s="10" t="str">
        <x:f>IF(M1325="","",MAX(0.01,MIN(0.99,0.5+(M1325-0.5)*'Motor_Meciuri'!BG100*'Calibrare_Linii'!D9)))</x:f>
      </x:c>
      <x:c r="O1325" s="10" t="str">
        <x:f>IF(M1325="","",1-M1325)</x:f>
      </x:c>
      <x:c r="P1325" s="10" t="str">
        <x:f>IF(OR(NOT(AND(J1325="PASS",'Calibrare_Linii'!U9="VALID")),AK1325=0),""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*('Istoric_Nativ'!$Q$6:$Q$405&lt;=H1325))/AK1325)</x:f>
      </x:c>
      <x:c r="Q1325" s="10" t="str">
        <x:f>IF(OR(NOT(AND(J1325="PASS",'Calibrare_Linii'!U9="VALID")),AL1325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M100)+((('Istoric_Nativ'!$E$6:$E$405='Input_Meci'!E100)+('Istoric_Nativ'!$F$6:$F$405='Input_Meci'!E100))&gt;0)*('Istoric_Nativ'!$D$6:$D$405&gt;='Motor_Meciuri'!BN100))&gt;0)*('Istoric_Nativ'!$Q$6:$Q$405&lt;=H1325))/AL1325)</x:f>
      </x:c>
      <x:c r="R1325" s="10" t="str">
        <x:f>IF(OR(NOT(AND(J1325="PASS",'Calibrare_Linii'!U9="VALID")),AM1325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O100)+((('Istoric_Nativ'!$E$6:$E$405='Input_Meci'!E100)+('Istoric_Nativ'!$F$6:$F$405='Input_Meci'!E100))&gt;0)*('Istoric_Nativ'!$D$6:$D$405&gt;='Motor_Meciuri'!BP100))&gt;0)*('Istoric_Nativ'!$Q$6:$Q$405&lt;=H1325))/AM1325)</x:f>
      </x:c>
      <x:c r="S1325" s="10" t="str">
        <x:f>IF(M1325="","",MAX(O1325,P1325,Q1325,R1325))</x:f>
      </x:c>
      <x:c r="T1325" s="11" t="str">
        <x:f>IF(M1325="","",MIN(100,S1325*100*'Config_v6'!$B$44+MIN(100,L1325/'Config_v6'!$B$13*100)*'Config_v6'!$B$45+(100-'Motor_Meciuri'!BF100)*'Config_v6'!$B$46+'Motor_Meciuri'!BH100*100*'Config_v6'!$B$47))</x:f>
      </x:c>
      <x:c r="U1325" s="2" t="str">
        <x:f>IF(T1325="","",IF(T1325&lt;=20,1,IF(T1325&lt;=40,2,IF(T1325&lt;=60,3,IF(T1325&lt;=80,4,5)))))</x:f>
      </x:c>
      <x:c r="V1325" s="2" t="str">
        <x:f>IF(M1325="","",MAX(0,'Motor_Meciuri'!BF100-IF(W1325="OOS PENDING",'Config_v6'!$B$35,0)-IF(L1325&gt;'Config_v6'!$B$12,'Config_v6'!$B$37,IF(L1325&gt;'Config_v6'!$B$11,'Config_v6'!$B$36,0))))</x:f>
      </x:c>
      <x:c r="W1325" s="2" t="str">
        <x:f>IF(B1325="","",IF(I1325&lt;&gt;"READY","NOT RELEASED",IF(NOT(AND(J1325="PASS",'Calibrare_Linii'!U9="VALID")),"INVALID",IF(NOT(AND('Calibrare_Linii'!S9="VALIDATED",AND('Calibrare_Linii'!H9=C1325,ISNUMBER('Calibrare_Linii'!J9),'Calibrare_Linii'!J9&lt;='Input_Meci'!G100))),"OOS PENDING",IF(S1325&lt;='Calibrare_Linii'!E9,"PASS",IF(S1325&lt;='Calibrare_Linii'!F9,"PENALTY","WATCH"))))))</x:f>
      </x:c>
      <x:c r="X1325" s="2" t="str">
        <x:f>IF(M1325="","",IF(AND(AND(J1325="PASS",'Calibrare_Linii'!U9="VALID"),'Motor_Meciuri'!K100=12,'Motor_Meciuri'!L100=12,'Motor_Meciuri'!M100="NO",'Motor_Meciuri'!BL100='Motor_Meciuri'!C100,AB1325&gt;='Config_v6'!$B$50,AN1325&gt;='Config_v6'!$B$51,T1325&lt;='Config_v6'!$B$52,L1325&lt;='Config_v6'!$B$53,ISNUMBER('Calibrare_Linii'!E9),S1325&lt;='Calibrare_Linii'!E9,SUM(AK1325:AM1325)&gt;0),"CANDIDATE","NO"))</x:f>
      </x:c>
      <x:c r="Y1325" s="2" t="str">
        <x:f>IF(B1325="","",IF(I1325&lt;&gt;"READY","NOT RELEASED",IF(AND(X1325="CANDIDATE",V1325&gt;='Config_v6'!$B$51,W1325="PASS",'Calibrare_Linii'!T9="VALIDATED",AND('Calibrare_Linii'!H9=C1325,ISNUMBER('Calibrare_Linii'!J9),'Calibrare_Linii'!J9&lt;='Input_Meci'!G100)),"PASS",IF(X1325="CANDIDATE","OOS PENDING","FAIL"))))</x:f>
      </x:c>
      <x:c r="Z1325" s="2" t="str">
        <x:f>IF(B1325="","",IF(I1325&lt;&gt;"READY","",IF(OR(NOT(AND(J1325="PASS",'Calibrare_Linii'!U9="VALID")),L1325&gt;'Config_v6'!$B$13,W1325="WATCH"),5,IF(Y1325="PASS",1,MIN(5,MAX('Config_v6'!$B$42,U1325)+IF(W1325="PENALTY",1,0))))))</x:f>
      </x:c>
      <x:c r="AA1325" s="2" t="str">
        <x:f>IF(B1325="","",IF(I1325&lt;&gt;"READY","NOT RELEASED",IF(Z1325=5,"NO BET",IF(OR(AB1325&lt;'Config_v6'!$B$16,V1325&lt;'Config_v6'!$B$18),"WATCH",IF(Z1325=1,"DEFENSIV",IF(Z1325=2,"PRUDENT",IF(Z1325=3,"MODERAT","RIDICAT")))))))</x:f>
      </x:c>
      <x:c r="AB1325" s="10" t="str">
        <x:f>IF(N1325="","",MIN(N1325,1-S1325))</x:f>
      </x:c>
      <x:c r="AC1325" s="2" t="str">
        <x:f>IF(AD1325&lt;&gt;1,"",COUNTIFS($Z$1322:$Z$1335,"&lt;"&amp;Z1325,$AD$1322:$AD$1335,1)+COUNTIFS($Z$1322:$Z$1335,Z1325,$AB$1322:$AB$1335,"&gt;"&amp;AB1325,$AD$1322:$AD$1335,1)+COUNTIFS($Z$1322:$Z$1335,Z1325,$AB$1322:$AB$1335,AB1325,$V$1322:$V$1335,"&gt;"&amp;V1325,$AD$1322:$AD$1335,1)+COUNTIFS($Z$1322:Z1325,Z1325,$AB$1322:AB1325,AB1325,$V$1322:V1325,V1325,$AD$1322:AD1325,1))</x:f>
      </x:c>
      <x:c r="AD1325" s="2" t="n">
        <x:f>IF(OR(AA1325="DEFENSIV",AA1325="PRUDENT",AA1325="MODERAT",AA1325="RIDICAT"),1,0)</x:f>
        <x:v>0</x:v>
      </x:c>
      <x:c r="AE1325" s="2" t="str">
        <x:f>IF(AD1325&lt;&gt;1,"NO",IF(W1325="PASS","YES",IF(W1325="OOS PENDING","CONDITIONAL","NO")))</x:f>
        <x:v>NO</x:v>
      </x:c>
      <x:c r="AF1325" s="2" t="n">
        <x:f>IF(AND(AD1325=1,AC1325=1,E1325="LIVE"),1,0)</x:f>
        <x:v>0</x:v>
      </x:c>
      <x:c r="AG1325" s="2" t="str">
        <x:f>IF(AF1325&lt;&gt;1,"",'Dashboard'!P120)</x:f>
      </x:c>
      <x:c r="AH1325" s="2" t="str">
        <x:f>IF(B1325="","",IF(J1325&lt;&gt;"PASS",'Motor_Meciuri'!J100,IF('Calibrare_Linii'!U9&lt;&gt;"VALID","Parametri linie invalizi",IF(L1325&gt;'Config_v6'!$B$13,"Dispersie peste limita",IF(W1325="WATCH","Failure peste limita",IF(AB1325&lt;'Config_v6'!$B$16,"P finala sub prag",IF(V1325&lt;'Config_v6'!$B$18,"Confidence sub prag",IF(E1325="REPLAY","Exemplu retrospectiv; exclus din Top LIVE",IF(Y1325="PASS","DEFENSIV validat",IF(W1325="OOS PENDING","Eligibil; calibrare linie in monitorizare","Eligibil"))))))))))</x:f>
      </x:c>
      <x:c r="AI1325" s="2" t="str">
        <x:f>IF(B1325="","",'Calibrare_Linii'!V9)</x:f>
      </x:c>
      <x:c r="AJ1325" s="2" t="str">
        <x:f>IF(B1325="","",IF(AND('Calibrare_Linii'!T9="VALIDATED",AND('Calibrare_Linii'!H9=C1325,ISNUMBER('Calibrare_Linii'!J9),'Calibrare_Linii'!J9&lt;='Input_Meci'!G100)),"DEFENSIVE VALIDATED",IF(AND('Calibrare_Linii'!S9="VALIDATED",AND('Calibrare_Linii'!H9=C1325,ISNUMBER('Calibrare_Linii'!J9),'Calibrare_Linii'!J9&lt;='Input_Meci'!G100)),"TAIL VALIDATED","OOS PENDING")))</x:f>
      </x:c>
      <x:c r="AK1325" s="2" t="n">
        <x:f>IF(J1325&lt;&gt;"PASS",0,'Motor_Meciuri'!BR100)</x:f>
        <x:v>0</x:v>
      </x:c>
      <x:c r="AL1325" s="2" t="n">
        <x:f>IF(J1325&lt;&gt;"PASS",0,'Motor_Meciuri'!BS100)</x:f>
        <x:v>0</x:v>
      </x:c>
      <x:c r="AM1325" s="2" t="n">
        <x:f>IF(J1325&lt;&gt;"PASS",0,'Motor_Meciuri'!BT100)</x:f>
        <x:v>0</x:v>
      </x:c>
      <x:c r="AN1325" s="2" t="str">
        <x:f>IF(M1325="","",MAX(0,'Motor_Meciuri'!BF100-IF(L1325&gt;'Config_v6'!$B$12,'Config_v6'!$B$37,IF(L1325&gt;'Config_v6'!$B$11,'Config_v6'!$B$36,0))))</x:f>
      </x:c>
    </x:row>
    <x:row r="1326" ht="21" customHeight="1">
      <x:c r="A1326" s="2" t="n">
        <x:v>95</x:v>
      </x:c>
      <x:c r="B1326" s="2" t="str">
        <x:f>IF('Motor_Meciuri'!A100="","",'Motor_Meciuri'!A100)</x:f>
      </x:c>
      <x:c r="C1326" s="2" t="str">
        <x:f>IF(B1326="","",'Motor_Meciuri'!B100)</x:f>
      </x:c>
      <x:c r="D1326" s="2" t="str">
        <x:f>IF(B1326="","",'Motor_Meciuri'!D100)</x:f>
      </x:c>
      <x:c r="E1326" s="2" t="str">
        <x:f>IF(B1326="","",'Motor_Meciuri'!E100)</x:f>
      </x:c>
      <x:c r="F1326" s="2" t="str">
        <x:v>O7,5</x:v>
      </x:c>
      <x:c r="G1326" s="2" t="str">
        <x:v>OVER</x:v>
      </x:c>
      <x:c r="H1326" s="2" t="n">
        <x:v>7</x:v>
      </x:c>
      <x:c r="I1326" s="2" t="str">
        <x:f>IF(B1326="","",'Motor_Meciuri'!H100)</x:f>
      </x:c>
      <x:c r="J1326" s="2" t="str">
        <x:f>IF(B1326="","",'Motor_Meciuri'!I100)</x:f>
      </x:c>
      <x:c r="K1326" s="11" t="str">
        <x:f>IF(J1326&lt;&gt;"PASS","",'Motor_Meciuri'!BD100)</x:f>
      </x:c>
      <x:c r="L1326" s="11" t="str">
        <x:f>IF(J1326&lt;&gt;"PASS","",'Motor_Meciuri'!AU100)</x:f>
      </x:c>
      <x:c r="M1326" s="10" t="str">
        <x:f>IF(NOT(AND(J1326="PASS",'Calibrare_Linii'!U10="VALID")),"",1-'Distributie'!AE100)</x:f>
      </x:c>
      <x:c r="N1326" s="10" t="str">
        <x:f>IF(M1326="","",MAX(0.01,MIN(0.99,0.5+(M1326-0.5)*'Motor_Meciuri'!BG100*'Calibrare_Linii'!D10)))</x:f>
      </x:c>
      <x:c r="O1326" s="10" t="str">
        <x:f>IF(M1326="","",1-M1326)</x:f>
      </x:c>
      <x:c r="P1326" s="10" t="str">
        <x:f>IF(OR(NOT(AND(J1326="PASS",'Calibrare_Linii'!U10="VALID")),AK1326=0),""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*('Istoric_Nativ'!$Q$6:$Q$405&lt;=H1326))/AK1326)</x:f>
      </x:c>
      <x:c r="Q1326" s="10" t="str">
        <x:f>IF(OR(NOT(AND(J1326="PASS",'Calibrare_Linii'!U10="VALID")),AL1326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M100)+((('Istoric_Nativ'!$E$6:$E$405='Input_Meci'!E100)+('Istoric_Nativ'!$F$6:$F$405='Input_Meci'!E100))&gt;0)*('Istoric_Nativ'!$D$6:$D$405&gt;='Motor_Meciuri'!BN100))&gt;0)*('Istoric_Nativ'!$Q$6:$Q$405&lt;=H1326))/AL1326)</x:f>
      </x:c>
      <x:c r="R1326" s="10" t="str">
        <x:f>IF(OR(NOT(AND(J1326="PASS",'Calibrare_Linii'!U10="VALID")),AM1326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O100)+((('Istoric_Nativ'!$E$6:$E$405='Input_Meci'!E100)+('Istoric_Nativ'!$F$6:$F$405='Input_Meci'!E100))&gt;0)*('Istoric_Nativ'!$D$6:$D$405&gt;='Motor_Meciuri'!BP100))&gt;0)*('Istoric_Nativ'!$Q$6:$Q$405&lt;=H1326))/AM1326)</x:f>
      </x:c>
      <x:c r="S1326" s="10" t="str">
        <x:f>IF(M1326="","",MAX(O1326,P1326,Q1326,R1326))</x:f>
      </x:c>
      <x:c r="T1326" s="11" t="str">
        <x:f>IF(M1326="","",MIN(100,S1326*100*'Config_v6'!$B$44+MIN(100,L1326/'Config_v6'!$B$13*100)*'Config_v6'!$B$45+(100-'Motor_Meciuri'!BF100)*'Config_v6'!$B$46+'Motor_Meciuri'!BH100*100*'Config_v6'!$B$47))</x:f>
      </x:c>
      <x:c r="U1326" s="2" t="str">
        <x:f>IF(T1326="","",IF(T1326&lt;=20,1,IF(T1326&lt;=40,2,IF(T1326&lt;=60,3,IF(T1326&lt;=80,4,5)))))</x:f>
      </x:c>
      <x:c r="V1326" s="2" t="str">
        <x:f>IF(M1326="","",MAX(0,'Motor_Meciuri'!BF100-IF(W1326="OOS PENDING",'Config_v6'!$B$35,0)-IF(L1326&gt;'Config_v6'!$B$12,'Config_v6'!$B$37,IF(L1326&gt;'Config_v6'!$B$11,'Config_v6'!$B$36,0))))</x:f>
      </x:c>
      <x:c r="W1326" s="2" t="str">
        <x:f>IF(B1326="","",IF(I1326&lt;&gt;"READY","NOT RELEASED",IF(NOT(AND(J1326="PASS",'Calibrare_Linii'!U10="VALID")),"INVALID",IF(NOT(AND('Calibrare_Linii'!S10="VALIDATED",AND('Calibrare_Linii'!H10=C1326,ISNUMBER('Calibrare_Linii'!J10),'Calibrare_Linii'!J10&lt;='Input_Meci'!G100))),"OOS PENDING",IF(S1326&lt;='Calibrare_Linii'!E10,"PASS",IF(S1326&lt;='Calibrare_Linii'!F10,"PENALTY","WATCH"))))))</x:f>
      </x:c>
      <x:c r="X1326" s="2" t="str">
        <x:f>IF(M1326="","",IF(AND(AND(J1326="PASS",'Calibrare_Linii'!U10="VALID"),'Motor_Meciuri'!K100=12,'Motor_Meciuri'!L100=12,'Motor_Meciuri'!M100="NO",'Motor_Meciuri'!BL100='Motor_Meciuri'!C100,AB1326&gt;='Config_v6'!$B$50,AN1326&gt;='Config_v6'!$B$51,T1326&lt;='Config_v6'!$B$52,L1326&lt;='Config_v6'!$B$53,ISNUMBER('Calibrare_Linii'!E10),S1326&lt;='Calibrare_Linii'!E10,SUM(AK1326:AM1326)&gt;0),"CANDIDATE","NO"))</x:f>
      </x:c>
      <x:c r="Y1326" s="2" t="str">
        <x:f>IF(B1326="","",IF(I1326&lt;&gt;"READY","NOT RELEASED",IF(AND(X1326="CANDIDATE",V1326&gt;='Config_v6'!$B$51,W1326="PASS",'Calibrare_Linii'!T10="VALIDATED",AND('Calibrare_Linii'!H10=C1326,ISNUMBER('Calibrare_Linii'!J10),'Calibrare_Linii'!J10&lt;='Input_Meci'!G100)),"PASS",IF(X1326="CANDIDATE","OOS PENDING","FAIL"))))</x:f>
      </x:c>
      <x:c r="Z1326" s="2" t="str">
        <x:f>IF(B1326="","",IF(I1326&lt;&gt;"READY","",IF(OR(NOT(AND(J1326="PASS",'Calibrare_Linii'!U10="VALID")),L1326&gt;'Config_v6'!$B$13,W1326="WATCH"),5,IF(Y1326="PASS",1,MIN(5,MAX('Config_v6'!$B$42,U1326)+IF(W1326="PENALTY",1,0))))))</x:f>
      </x:c>
      <x:c r="AA1326" s="2" t="str">
        <x:f>IF(B1326="","",IF(I1326&lt;&gt;"READY","NOT RELEASED",IF(Z1326=5,"NO BET",IF(OR(AB1326&lt;'Config_v6'!$B$16,V1326&lt;'Config_v6'!$B$18),"WATCH",IF(Z1326=1,"DEFENSIV",IF(Z1326=2,"PRUDENT",IF(Z1326=3,"MODERAT","RIDICAT")))))))</x:f>
      </x:c>
      <x:c r="AB1326" s="10" t="str">
        <x:f>IF(N1326="","",MIN(N1326,1-S1326))</x:f>
      </x:c>
      <x:c r="AC1326" s="2" t="str">
        <x:f>IF(AD1326&lt;&gt;1,"",COUNTIFS($Z$1322:$Z$1335,"&lt;"&amp;Z1326,$AD$1322:$AD$1335,1)+COUNTIFS($Z$1322:$Z$1335,Z1326,$AB$1322:$AB$1335,"&gt;"&amp;AB1326,$AD$1322:$AD$1335,1)+COUNTIFS($Z$1322:$Z$1335,Z1326,$AB$1322:$AB$1335,AB1326,$V$1322:$V$1335,"&gt;"&amp;V1326,$AD$1322:$AD$1335,1)+COUNTIFS($Z$1322:Z1326,Z1326,$AB$1322:AB1326,AB1326,$V$1322:V1326,V1326,$AD$1322:AD1326,1))</x:f>
      </x:c>
      <x:c r="AD1326" s="2" t="n">
        <x:f>IF(OR(AA1326="DEFENSIV",AA1326="PRUDENT",AA1326="MODERAT",AA1326="RIDICAT"),1,0)</x:f>
        <x:v>0</x:v>
      </x:c>
      <x:c r="AE1326" s="2" t="str">
        <x:f>IF(AD1326&lt;&gt;1,"NO",IF(W1326="PASS","YES",IF(W1326="OOS PENDING","CONDITIONAL","NO")))</x:f>
        <x:v>NO</x:v>
      </x:c>
      <x:c r="AF1326" s="2" t="n">
        <x:f>IF(AND(AD1326=1,AC1326=1,E1326="LIVE"),1,0)</x:f>
        <x:v>0</x:v>
      </x:c>
      <x:c r="AG1326" s="2" t="str">
        <x:f>IF(AF1326&lt;&gt;1,"",'Dashboard'!P120)</x:f>
      </x:c>
      <x:c r="AH1326" s="2" t="str">
        <x:f>IF(B1326="","",IF(J1326&lt;&gt;"PASS",'Motor_Meciuri'!J100,IF('Calibrare_Linii'!U10&lt;&gt;"VALID","Parametri linie invalizi",IF(L1326&gt;'Config_v6'!$B$13,"Dispersie peste limita",IF(W1326="WATCH","Failure peste limita",IF(AB1326&lt;'Config_v6'!$B$16,"P finala sub prag",IF(V1326&lt;'Config_v6'!$B$18,"Confidence sub prag",IF(E1326="REPLAY","Exemplu retrospectiv; exclus din Top LIVE",IF(Y1326="PASS","DEFENSIV validat",IF(W1326="OOS PENDING","Eligibil; calibrare linie in monitorizare","Eligibil"))))))))))</x:f>
      </x:c>
      <x:c r="AI1326" s="2" t="str">
        <x:f>IF(B1326="","",'Calibrare_Linii'!V10)</x:f>
      </x:c>
      <x:c r="AJ1326" s="2" t="str">
        <x:f>IF(B1326="","",IF(AND('Calibrare_Linii'!T10="VALIDATED",AND('Calibrare_Linii'!H10=C1326,ISNUMBER('Calibrare_Linii'!J10),'Calibrare_Linii'!J10&lt;='Input_Meci'!G100)),"DEFENSIVE VALIDATED",IF(AND('Calibrare_Linii'!S10="VALIDATED",AND('Calibrare_Linii'!H10=C1326,ISNUMBER('Calibrare_Linii'!J10),'Calibrare_Linii'!J10&lt;='Input_Meci'!G100)),"TAIL VALIDATED","OOS PENDING")))</x:f>
      </x:c>
      <x:c r="AK1326" s="2" t="n">
        <x:f>IF(J1326&lt;&gt;"PASS",0,'Motor_Meciuri'!BR100)</x:f>
        <x:v>0</x:v>
      </x:c>
      <x:c r="AL1326" s="2" t="n">
        <x:f>IF(J1326&lt;&gt;"PASS",0,'Motor_Meciuri'!BS100)</x:f>
        <x:v>0</x:v>
      </x:c>
      <x:c r="AM1326" s="2" t="n">
        <x:f>IF(J1326&lt;&gt;"PASS",0,'Motor_Meciuri'!BT100)</x:f>
        <x:v>0</x:v>
      </x:c>
      <x:c r="AN1326" s="2" t="str">
        <x:f>IF(M1326="","",MAX(0,'Motor_Meciuri'!BF100-IF(L1326&gt;'Config_v6'!$B$12,'Config_v6'!$B$37,IF(L1326&gt;'Config_v6'!$B$11,'Config_v6'!$B$36,0))))</x:f>
      </x:c>
    </x:row>
    <x:row r="1327" ht="21" customHeight="1">
      <x:c r="A1327" s="2" t="n">
        <x:v>95</x:v>
      </x:c>
      <x:c r="B1327" s="2" t="str">
        <x:f>IF('Motor_Meciuri'!A100="","",'Motor_Meciuri'!A100)</x:f>
      </x:c>
      <x:c r="C1327" s="2" t="str">
        <x:f>IF(B1327="","",'Motor_Meciuri'!B100)</x:f>
      </x:c>
      <x:c r="D1327" s="2" t="str">
        <x:f>IF(B1327="","",'Motor_Meciuri'!D100)</x:f>
      </x:c>
      <x:c r="E1327" s="2" t="str">
        <x:f>IF(B1327="","",'Motor_Meciuri'!E100)</x:f>
      </x:c>
      <x:c r="F1327" s="2" t="str">
        <x:v>O8,5</x:v>
      </x:c>
      <x:c r="G1327" s="2" t="str">
        <x:v>OVER</x:v>
      </x:c>
      <x:c r="H1327" s="2" t="n">
        <x:v>8</x:v>
      </x:c>
      <x:c r="I1327" s="2" t="str">
        <x:f>IF(B1327="","",'Motor_Meciuri'!H100)</x:f>
      </x:c>
      <x:c r="J1327" s="2" t="str">
        <x:f>IF(B1327="","",'Motor_Meciuri'!I100)</x:f>
      </x:c>
      <x:c r="K1327" s="11" t="str">
        <x:f>IF(J1327&lt;&gt;"PASS","",'Motor_Meciuri'!BD100)</x:f>
      </x:c>
      <x:c r="L1327" s="11" t="str">
        <x:f>IF(J1327&lt;&gt;"PASS","",'Motor_Meciuri'!AU100)</x:f>
      </x:c>
      <x:c r="M1327" s="10" t="str">
        <x:f>IF(NOT(AND(J1327="PASS",'Calibrare_Linii'!U11="VALID")),"",1-'Distributie'!AF100)</x:f>
      </x:c>
      <x:c r="N1327" s="10" t="str">
        <x:f>IF(M1327="","",MAX(0.01,MIN(0.99,0.5+(M1327-0.5)*'Motor_Meciuri'!BG100*'Calibrare_Linii'!D11)))</x:f>
      </x:c>
      <x:c r="O1327" s="10" t="str">
        <x:f>IF(M1327="","",1-M1327)</x:f>
      </x:c>
      <x:c r="P1327" s="10" t="str">
        <x:f>IF(OR(NOT(AND(J1327="PASS",'Calibrare_Linii'!U11="VALID")),AK1327=0),""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*('Istoric_Nativ'!$Q$6:$Q$405&lt;=H1327))/AK1327)</x:f>
      </x:c>
      <x:c r="Q1327" s="10" t="str">
        <x:f>IF(OR(NOT(AND(J1327="PASS",'Calibrare_Linii'!U11="VALID")),AL1327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M100)+((('Istoric_Nativ'!$E$6:$E$405='Input_Meci'!E100)+('Istoric_Nativ'!$F$6:$F$405='Input_Meci'!E100))&gt;0)*('Istoric_Nativ'!$D$6:$D$405&gt;='Motor_Meciuri'!BN100))&gt;0)*('Istoric_Nativ'!$Q$6:$Q$405&lt;=H1327))/AL1327)</x:f>
      </x:c>
      <x:c r="R1327" s="10" t="str">
        <x:f>IF(OR(NOT(AND(J1327="PASS",'Calibrare_Linii'!U11="VALID")),AM1327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O100)+((('Istoric_Nativ'!$E$6:$E$405='Input_Meci'!E100)+('Istoric_Nativ'!$F$6:$F$405='Input_Meci'!E100))&gt;0)*('Istoric_Nativ'!$D$6:$D$405&gt;='Motor_Meciuri'!BP100))&gt;0)*('Istoric_Nativ'!$Q$6:$Q$405&lt;=H1327))/AM1327)</x:f>
      </x:c>
      <x:c r="S1327" s="10" t="str">
        <x:f>IF(M1327="","",MAX(O1327,P1327,Q1327,R1327))</x:f>
      </x:c>
      <x:c r="T1327" s="11" t="str">
        <x:f>IF(M1327="","",MIN(100,S1327*100*'Config_v6'!$B$44+MIN(100,L1327/'Config_v6'!$B$13*100)*'Config_v6'!$B$45+(100-'Motor_Meciuri'!BF100)*'Config_v6'!$B$46+'Motor_Meciuri'!BH100*100*'Config_v6'!$B$47))</x:f>
      </x:c>
      <x:c r="U1327" s="2" t="str">
        <x:f>IF(T1327="","",IF(T1327&lt;=20,1,IF(T1327&lt;=40,2,IF(T1327&lt;=60,3,IF(T1327&lt;=80,4,5)))))</x:f>
      </x:c>
      <x:c r="V1327" s="2" t="str">
        <x:f>IF(M1327="","",MAX(0,'Motor_Meciuri'!BF100-IF(W1327="OOS PENDING",'Config_v6'!$B$35,0)-IF(L1327&gt;'Config_v6'!$B$12,'Config_v6'!$B$37,IF(L1327&gt;'Config_v6'!$B$11,'Config_v6'!$B$36,0))))</x:f>
      </x:c>
      <x:c r="W1327" s="2" t="str">
        <x:f>IF(B1327="","",IF(I1327&lt;&gt;"READY","NOT RELEASED",IF(NOT(AND(J1327="PASS",'Calibrare_Linii'!U11="VALID")),"INVALID",IF(NOT(AND('Calibrare_Linii'!S11="VALIDATED",AND('Calibrare_Linii'!H11=C1327,ISNUMBER('Calibrare_Linii'!J11),'Calibrare_Linii'!J11&lt;='Input_Meci'!G100))),"OOS PENDING",IF(S1327&lt;='Calibrare_Linii'!E11,"PASS",IF(S1327&lt;='Calibrare_Linii'!F11,"PENALTY","WATCH"))))))</x:f>
      </x:c>
      <x:c r="X1327" s="2" t="str">
        <x:f>IF(M1327="","",IF(AND(AND(J1327="PASS",'Calibrare_Linii'!U11="VALID"),'Motor_Meciuri'!K100=12,'Motor_Meciuri'!L100=12,'Motor_Meciuri'!M100="NO",'Motor_Meciuri'!BL100='Motor_Meciuri'!C100,AB1327&gt;='Config_v6'!$B$50,AN1327&gt;='Config_v6'!$B$51,T1327&lt;='Config_v6'!$B$52,L1327&lt;='Config_v6'!$B$53,ISNUMBER('Calibrare_Linii'!E11),S1327&lt;='Calibrare_Linii'!E11,SUM(AK1327:AM1327)&gt;0),"CANDIDATE","NO"))</x:f>
      </x:c>
      <x:c r="Y1327" s="2" t="str">
        <x:f>IF(B1327="","",IF(I1327&lt;&gt;"READY","NOT RELEASED",IF(AND(X1327="CANDIDATE",V1327&gt;='Config_v6'!$B$51,W1327="PASS",'Calibrare_Linii'!T11="VALIDATED",AND('Calibrare_Linii'!H11=C1327,ISNUMBER('Calibrare_Linii'!J11),'Calibrare_Linii'!J11&lt;='Input_Meci'!G100)),"PASS",IF(X1327="CANDIDATE","OOS PENDING","FAIL"))))</x:f>
      </x:c>
      <x:c r="Z1327" s="2" t="str">
        <x:f>IF(B1327="","",IF(I1327&lt;&gt;"READY","",IF(OR(NOT(AND(J1327="PASS",'Calibrare_Linii'!U11="VALID")),L1327&gt;'Config_v6'!$B$13,W1327="WATCH"),5,IF(Y1327="PASS",1,MIN(5,MAX('Config_v6'!$B$42,U1327)+IF(W1327="PENALTY",1,0))))))</x:f>
      </x:c>
      <x:c r="AA1327" s="2" t="str">
        <x:f>IF(B1327="","",IF(I1327&lt;&gt;"READY","NOT RELEASED",IF(Z1327=5,"NO BET",IF(OR(AB1327&lt;'Config_v6'!$B$16,V1327&lt;'Config_v6'!$B$18),"WATCH",IF(Z1327=1,"DEFENSIV",IF(Z1327=2,"PRUDENT",IF(Z1327=3,"MODERAT","RIDICAT")))))))</x:f>
      </x:c>
      <x:c r="AB1327" s="10" t="str">
        <x:f>IF(N1327="","",MIN(N1327,1-S1327))</x:f>
      </x:c>
      <x:c r="AC1327" s="2" t="str">
        <x:f>IF(AD1327&lt;&gt;1,"",COUNTIFS($Z$1322:$Z$1335,"&lt;"&amp;Z1327,$AD$1322:$AD$1335,1)+COUNTIFS($Z$1322:$Z$1335,Z1327,$AB$1322:$AB$1335,"&gt;"&amp;AB1327,$AD$1322:$AD$1335,1)+COUNTIFS($Z$1322:$Z$1335,Z1327,$AB$1322:$AB$1335,AB1327,$V$1322:$V$1335,"&gt;"&amp;V1327,$AD$1322:$AD$1335,1)+COUNTIFS($Z$1322:Z1327,Z1327,$AB$1322:AB1327,AB1327,$V$1322:V1327,V1327,$AD$1322:AD1327,1))</x:f>
      </x:c>
      <x:c r="AD1327" s="2" t="n">
        <x:f>IF(OR(AA1327="DEFENSIV",AA1327="PRUDENT",AA1327="MODERAT",AA1327="RIDICAT"),1,0)</x:f>
        <x:v>0</x:v>
      </x:c>
      <x:c r="AE1327" s="2" t="str">
        <x:f>IF(AD1327&lt;&gt;1,"NO",IF(W1327="PASS","YES",IF(W1327="OOS PENDING","CONDITIONAL","NO")))</x:f>
        <x:v>NO</x:v>
      </x:c>
      <x:c r="AF1327" s="2" t="n">
        <x:f>IF(AND(AD1327=1,AC1327=1,E1327="LIVE"),1,0)</x:f>
        <x:v>0</x:v>
      </x:c>
      <x:c r="AG1327" s="2" t="str">
        <x:f>IF(AF1327&lt;&gt;1,"",'Dashboard'!P120)</x:f>
      </x:c>
      <x:c r="AH1327" s="2" t="str">
        <x:f>IF(B1327="","",IF(J1327&lt;&gt;"PASS",'Motor_Meciuri'!J100,IF('Calibrare_Linii'!U11&lt;&gt;"VALID","Parametri linie invalizi",IF(L1327&gt;'Config_v6'!$B$13,"Dispersie peste limita",IF(W1327="WATCH","Failure peste limita",IF(AB1327&lt;'Config_v6'!$B$16,"P finala sub prag",IF(V1327&lt;'Config_v6'!$B$18,"Confidence sub prag",IF(E1327="REPLAY","Exemplu retrospectiv; exclus din Top LIVE",IF(Y1327="PASS","DEFENSIV validat",IF(W1327="OOS PENDING","Eligibil; calibrare linie in monitorizare","Eligibil"))))))))))</x:f>
      </x:c>
      <x:c r="AI1327" s="2" t="str">
        <x:f>IF(B1327="","",'Calibrare_Linii'!V11)</x:f>
      </x:c>
      <x:c r="AJ1327" s="2" t="str">
        <x:f>IF(B1327="","",IF(AND('Calibrare_Linii'!T11="VALIDATED",AND('Calibrare_Linii'!H11=C1327,ISNUMBER('Calibrare_Linii'!J11),'Calibrare_Linii'!J11&lt;='Input_Meci'!G100)),"DEFENSIVE VALIDATED",IF(AND('Calibrare_Linii'!S11="VALIDATED",AND('Calibrare_Linii'!H11=C1327,ISNUMBER('Calibrare_Linii'!J11),'Calibrare_Linii'!J11&lt;='Input_Meci'!G100)),"TAIL VALIDATED","OOS PENDING")))</x:f>
      </x:c>
      <x:c r="AK1327" s="2" t="n">
        <x:f>IF(J1327&lt;&gt;"PASS",0,'Motor_Meciuri'!BR100)</x:f>
        <x:v>0</x:v>
      </x:c>
      <x:c r="AL1327" s="2" t="n">
        <x:f>IF(J1327&lt;&gt;"PASS",0,'Motor_Meciuri'!BS100)</x:f>
        <x:v>0</x:v>
      </x:c>
      <x:c r="AM1327" s="2" t="n">
        <x:f>IF(J1327&lt;&gt;"PASS",0,'Motor_Meciuri'!BT100)</x:f>
        <x:v>0</x:v>
      </x:c>
      <x:c r="AN1327" s="2" t="str">
        <x:f>IF(M1327="","",MAX(0,'Motor_Meciuri'!BF100-IF(L1327&gt;'Config_v6'!$B$12,'Config_v6'!$B$37,IF(L1327&gt;'Config_v6'!$B$11,'Config_v6'!$B$36,0))))</x:f>
      </x:c>
    </x:row>
    <x:row r="1328" ht="21" customHeight="1">
      <x:c r="A1328" s="2" t="n">
        <x:v>95</x:v>
      </x:c>
      <x:c r="B1328" s="2" t="str">
        <x:f>IF('Motor_Meciuri'!A100="","",'Motor_Meciuri'!A100)</x:f>
      </x:c>
      <x:c r="C1328" s="2" t="str">
        <x:f>IF(B1328="","",'Motor_Meciuri'!B100)</x:f>
      </x:c>
      <x:c r="D1328" s="2" t="str">
        <x:f>IF(B1328="","",'Motor_Meciuri'!D100)</x:f>
      </x:c>
      <x:c r="E1328" s="2" t="str">
        <x:f>IF(B1328="","",'Motor_Meciuri'!E100)</x:f>
      </x:c>
      <x:c r="F1328" s="2" t="str">
        <x:v>U10,5</x:v>
      </x:c>
      <x:c r="G1328" s="2" t="str">
        <x:v>UNDER</x:v>
      </x:c>
      <x:c r="H1328" s="2" t="n">
        <x:v>10</x:v>
      </x:c>
      <x:c r="I1328" s="2" t="str">
        <x:f>IF(B1328="","",'Motor_Meciuri'!H100)</x:f>
      </x:c>
      <x:c r="J1328" s="2" t="str">
        <x:f>IF(B1328="","",'Motor_Meciuri'!I100)</x:f>
      </x:c>
      <x:c r="K1328" s="11" t="str">
        <x:f>IF(J1328&lt;&gt;"PASS","",'Motor_Meciuri'!BD100)</x:f>
      </x:c>
      <x:c r="L1328" s="11" t="str">
        <x:f>IF(J1328&lt;&gt;"PASS","",'Motor_Meciuri'!AU100)</x:f>
      </x:c>
      <x:c r="M1328" s="10" t="str">
        <x:f>IF(NOT(AND(J1328="PASS",'Calibrare_Linii'!U12="VALID")),"",'Distributie'!AH100)</x:f>
      </x:c>
      <x:c r="N1328" s="10" t="str">
        <x:f>IF(M1328="","",MAX(0.01,MIN(0.99,0.5+(M1328-0.5)*'Motor_Meciuri'!BG100*'Calibrare_Linii'!D12)))</x:f>
      </x:c>
      <x:c r="O1328" s="10" t="str">
        <x:f>IF(M1328="","",1-M1328)</x:f>
      </x:c>
      <x:c r="P1328" s="10" t="str">
        <x:f>IF(OR(NOT(AND(J1328="PASS",'Calibrare_Linii'!U12="VALID")),AK1328=0),""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*('Istoric_Nativ'!$Q$6:$Q$405&gt;H1328))/AK1328)</x:f>
      </x:c>
      <x:c r="Q1328" s="10" t="str">
        <x:f>IF(OR(NOT(AND(J1328="PASS",'Calibrare_Linii'!U12="VALID")),AL1328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M100)+((('Istoric_Nativ'!$E$6:$E$405='Input_Meci'!E100)+('Istoric_Nativ'!$F$6:$F$405='Input_Meci'!E100))&gt;0)*('Istoric_Nativ'!$D$6:$D$405&gt;='Motor_Meciuri'!BN100))&gt;0)*('Istoric_Nativ'!$Q$6:$Q$405&gt;H1328))/AL1328)</x:f>
      </x:c>
      <x:c r="R1328" s="10" t="str">
        <x:f>IF(OR(NOT(AND(J1328="PASS",'Calibrare_Linii'!U12="VALID")),AM1328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O100)+((('Istoric_Nativ'!$E$6:$E$405='Input_Meci'!E100)+('Istoric_Nativ'!$F$6:$F$405='Input_Meci'!E100))&gt;0)*('Istoric_Nativ'!$D$6:$D$405&gt;='Motor_Meciuri'!BP100))&gt;0)*('Istoric_Nativ'!$Q$6:$Q$405&gt;H1328))/AM1328)</x:f>
      </x:c>
      <x:c r="S1328" s="10" t="str">
        <x:f>IF(M1328="","",MAX(O1328,P1328,Q1328,R1328))</x:f>
      </x:c>
      <x:c r="T1328" s="11" t="str">
        <x:f>IF(M1328="","",MIN(100,S1328*100*'Config_v6'!$B$44+MIN(100,L1328/'Config_v6'!$B$13*100)*'Config_v6'!$B$45+(100-'Motor_Meciuri'!BF100)*'Config_v6'!$B$46+'Motor_Meciuri'!BH100*100*'Config_v6'!$B$47))</x:f>
      </x:c>
      <x:c r="U1328" s="2" t="str">
        <x:f>IF(T1328="","",IF(T1328&lt;=20,1,IF(T1328&lt;=40,2,IF(T1328&lt;=60,3,IF(T1328&lt;=80,4,5)))))</x:f>
      </x:c>
      <x:c r="V1328" s="2" t="str">
        <x:f>IF(M1328="","",MAX(0,'Motor_Meciuri'!BF100-IF(W1328="OOS PENDING",'Config_v6'!$B$35,0)-IF(L1328&gt;'Config_v6'!$B$12,'Config_v6'!$B$37,IF(L1328&gt;'Config_v6'!$B$11,'Config_v6'!$B$36,0))))</x:f>
      </x:c>
      <x:c r="W1328" s="2" t="str">
        <x:f>IF(B1328="","",IF(I1328&lt;&gt;"READY","NOT RELEASED",IF(NOT(AND(J1328="PASS",'Calibrare_Linii'!U12="VALID")),"INVALID",IF(NOT(AND('Calibrare_Linii'!S12="VALIDATED",AND('Calibrare_Linii'!H12=C1328,ISNUMBER('Calibrare_Linii'!J12),'Calibrare_Linii'!J12&lt;='Input_Meci'!G100))),"OOS PENDING",IF(S1328&lt;='Calibrare_Linii'!E12,"PASS",IF(S1328&lt;='Calibrare_Linii'!F12,"PENALTY","WATCH"))))))</x:f>
      </x:c>
      <x:c r="X1328" s="2" t="str">
        <x:f>IF(M1328="","",IF(AND(AND(J1328="PASS",'Calibrare_Linii'!U12="VALID"),'Motor_Meciuri'!K100=12,'Motor_Meciuri'!L100=12,'Motor_Meciuri'!M100="NO",'Motor_Meciuri'!BL100='Motor_Meciuri'!C100,AB1328&gt;='Config_v6'!$B$50,AN1328&gt;='Config_v6'!$B$51,T1328&lt;='Config_v6'!$B$52,L1328&lt;='Config_v6'!$B$53,ISNUMBER('Calibrare_Linii'!E12),S1328&lt;='Calibrare_Linii'!E12,SUM(AK1328:AM1328)&gt;0),"CANDIDATE","NO"))</x:f>
      </x:c>
      <x:c r="Y1328" s="2" t="str">
        <x:f>IF(B1328="","",IF(I1328&lt;&gt;"READY","NOT RELEASED",IF(AND(X1328="CANDIDATE",V1328&gt;='Config_v6'!$B$51,W1328="PASS",'Calibrare_Linii'!T12="VALIDATED",AND('Calibrare_Linii'!H12=C1328,ISNUMBER('Calibrare_Linii'!J12),'Calibrare_Linii'!J12&lt;='Input_Meci'!G100)),"PASS",IF(X1328="CANDIDATE","OOS PENDING","FAIL"))))</x:f>
      </x:c>
      <x:c r="Z1328" s="2" t="str">
        <x:f>IF(B1328="","",IF(I1328&lt;&gt;"READY","",IF(OR(NOT(AND(J1328="PASS",'Calibrare_Linii'!U12="VALID")),L1328&gt;'Config_v6'!$B$13,W1328="WATCH"),5,IF(Y1328="PASS",1,MIN(5,MAX('Config_v6'!$B$42,U1328)+IF(W1328="PENALTY",1,0))))))</x:f>
      </x:c>
      <x:c r="AA1328" s="2" t="str">
        <x:f>IF(B1328="","",IF(I1328&lt;&gt;"READY","NOT RELEASED",IF(Z1328=5,"NO BET",IF(OR(AB1328&lt;'Config_v6'!$B$16,V1328&lt;'Config_v6'!$B$18),"WATCH",IF(Z1328=1,"DEFENSIV",IF(Z1328=2,"PRUDENT",IF(Z1328=3,"MODERAT","RIDICAT")))))))</x:f>
      </x:c>
      <x:c r="AB1328" s="10" t="str">
        <x:f>IF(N1328="","",MIN(N1328,1-S1328))</x:f>
      </x:c>
      <x:c r="AC1328" s="2" t="str">
        <x:f>IF(AD1328&lt;&gt;1,"",COUNTIFS($Z$1322:$Z$1335,"&lt;"&amp;Z1328,$AD$1322:$AD$1335,1)+COUNTIFS($Z$1322:$Z$1335,Z1328,$AB$1322:$AB$1335,"&gt;"&amp;AB1328,$AD$1322:$AD$1335,1)+COUNTIFS($Z$1322:$Z$1335,Z1328,$AB$1322:$AB$1335,AB1328,$V$1322:$V$1335,"&gt;"&amp;V1328,$AD$1322:$AD$1335,1)+COUNTIFS($Z$1322:Z1328,Z1328,$AB$1322:AB1328,AB1328,$V$1322:V1328,V1328,$AD$1322:AD1328,1))</x:f>
      </x:c>
      <x:c r="AD1328" s="2" t="n">
        <x:f>IF(OR(AA1328="DEFENSIV",AA1328="PRUDENT",AA1328="MODERAT",AA1328="RIDICAT"),1,0)</x:f>
        <x:v>0</x:v>
      </x:c>
      <x:c r="AE1328" s="2" t="str">
        <x:f>IF(AD1328&lt;&gt;1,"NO",IF(W1328="PASS","YES",IF(W1328="OOS PENDING","CONDITIONAL","NO")))</x:f>
        <x:v>NO</x:v>
      </x:c>
      <x:c r="AF1328" s="2" t="n">
        <x:f>IF(AND(AD1328=1,AC1328=1,E1328="LIVE"),1,0)</x:f>
        <x:v>0</x:v>
      </x:c>
      <x:c r="AG1328" s="2" t="str">
        <x:f>IF(AF1328&lt;&gt;1,"",'Dashboard'!P120)</x:f>
      </x:c>
      <x:c r="AH1328" s="2" t="str">
        <x:f>IF(B1328="","",IF(J1328&lt;&gt;"PASS",'Motor_Meciuri'!J100,IF('Calibrare_Linii'!U12&lt;&gt;"VALID","Parametri linie invalizi",IF(L1328&gt;'Config_v6'!$B$13,"Dispersie peste limita",IF(W1328="WATCH","Failure peste limita",IF(AB1328&lt;'Config_v6'!$B$16,"P finala sub prag",IF(V1328&lt;'Config_v6'!$B$18,"Confidence sub prag",IF(E1328="REPLAY","Exemplu retrospectiv; exclus din Top LIVE",IF(Y1328="PASS","DEFENSIV validat",IF(W1328="OOS PENDING","Eligibil; calibrare linie in monitorizare","Eligibil"))))))))))</x:f>
      </x:c>
      <x:c r="AI1328" s="2" t="str">
        <x:f>IF(B1328="","",'Calibrare_Linii'!V12)</x:f>
      </x:c>
      <x:c r="AJ1328" s="2" t="str">
        <x:f>IF(B1328="","",IF(AND('Calibrare_Linii'!T12="VALIDATED",AND('Calibrare_Linii'!H12=C1328,ISNUMBER('Calibrare_Linii'!J12),'Calibrare_Linii'!J12&lt;='Input_Meci'!G100)),"DEFENSIVE VALIDATED",IF(AND('Calibrare_Linii'!S12="VALIDATED",AND('Calibrare_Linii'!H12=C1328,ISNUMBER('Calibrare_Linii'!J12),'Calibrare_Linii'!J12&lt;='Input_Meci'!G100)),"TAIL VALIDATED","OOS PENDING")))</x:f>
      </x:c>
      <x:c r="AK1328" s="2" t="n">
        <x:f>IF(J1328&lt;&gt;"PASS",0,'Motor_Meciuri'!BR100)</x:f>
        <x:v>0</x:v>
      </x:c>
      <x:c r="AL1328" s="2" t="n">
        <x:f>IF(J1328&lt;&gt;"PASS",0,'Motor_Meciuri'!BS100)</x:f>
        <x:v>0</x:v>
      </x:c>
      <x:c r="AM1328" s="2" t="n">
        <x:f>IF(J1328&lt;&gt;"PASS",0,'Motor_Meciuri'!BT100)</x:f>
        <x:v>0</x:v>
      </x:c>
      <x:c r="AN1328" s="2" t="str">
        <x:f>IF(M1328="","",MAX(0,'Motor_Meciuri'!BF100-IF(L1328&gt;'Config_v6'!$B$12,'Config_v6'!$B$37,IF(L1328&gt;'Config_v6'!$B$11,'Config_v6'!$B$36,0))))</x:f>
      </x:c>
    </x:row>
    <x:row r="1329" ht="21" customHeight="1">
      <x:c r="A1329" s="2" t="n">
        <x:v>95</x:v>
      </x:c>
      <x:c r="B1329" s="2" t="str">
        <x:f>IF('Motor_Meciuri'!A100="","",'Motor_Meciuri'!A100)</x:f>
      </x:c>
      <x:c r="C1329" s="2" t="str">
        <x:f>IF(B1329="","",'Motor_Meciuri'!B100)</x:f>
      </x:c>
      <x:c r="D1329" s="2" t="str">
        <x:f>IF(B1329="","",'Motor_Meciuri'!D100)</x:f>
      </x:c>
      <x:c r="E1329" s="2" t="str">
        <x:f>IF(B1329="","",'Motor_Meciuri'!E100)</x:f>
      </x:c>
      <x:c r="F1329" s="2" t="str">
        <x:v>U11,5</x:v>
      </x:c>
      <x:c r="G1329" s="2" t="str">
        <x:v>UNDER</x:v>
      </x:c>
      <x:c r="H1329" s="2" t="n">
        <x:v>11</x:v>
      </x:c>
      <x:c r="I1329" s="2" t="str">
        <x:f>IF(B1329="","",'Motor_Meciuri'!H100)</x:f>
      </x:c>
      <x:c r="J1329" s="2" t="str">
        <x:f>IF(B1329="","",'Motor_Meciuri'!I100)</x:f>
      </x:c>
      <x:c r="K1329" s="11" t="str">
        <x:f>IF(J1329&lt;&gt;"PASS","",'Motor_Meciuri'!BD100)</x:f>
      </x:c>
      <x:c r="L1329" s="11" t="str">
        <x:f>IF(J1329&lt;&gt;"PASS","",'Motor_Meciuri'!AU100)</x:f>
      </x:c>
      <x:c r="M1329" s="10" t="str">
        <x:f>IF(NOT(AND(J1329="PASS",'Calibrare_Linii'!U13="VALID")),"",'Distributie'!AI100)</x:f>
      </x:c>
      <x:c r="N1329" s="10" t="str">
        <x:f>IF(M1329="","",MAX(0.01,MIN(0.99,0.5+(M1329-0.5)*'Motor_Meciuri'!BG100*'Calibrare_Linii'!D13)))</x:f>
      </x:c>
      <x:c r="O1329" s="10" t="str">
        <x:f>IF(M1329="","",1-M1329)</x:f>
      </x:c>
      <x:c r="P1329" s="10" t="str">
        <x:f>IF(OR(NOT(AND(J1329="PASS",'Calibrare_Linii'!U13="VALID")),AK1329=0),""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*('Istoric_Nativ'!$Q$6:$Q$405&gt;H1329))/AK1329)</x:f>
      </x:c>
      <x:c r="Q1329" s="10" t="str">
        <x:f>IF(OR(NOT(AND(J1329="PASS",'Calibrare_Linii'!U13="VALID")),AL1329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M100)+((('Istoric_Nativ'!$E$6:$E$405='Input_Meci'!E100)+('Istoric_Nativ'!$F$6:$F$405='Input_Meci'!E100))&gt;0)*('Istoric_Nativ'!$D$6:$D$405&gt;='Motor_Meciuri'!BN100))&gt;0)*('Istoric_Nativ'!$Q$6:$Q$405&gt;H1329))/AL1329)</x:f>
      </x:c>
      <x:c r="R1329" s="10" t="str">
        <x:f>IF(OR(NOT(AND(J1329="PASS",'Calibrare_Linii'!U13="VALID")),AM1329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O100)+((('Istoric_Nativ'!$E$6:$E$405='Input_Meci'!E100)+('Istoric_Nativ'!$F$6:$F$405='Input_Meci'!E100))&gt;0)*('Istoric_Nativ'!$D$6:$D$405&gt;='Motor_Meciuri'!BP100))&gt;0)*('Istoric_Nativ'!$Q$6:$Q$405&gt;H1329))/AM1329)</x:f>
      </x:c>
      <x:c r="S1329" s="10" t="str">
        <x:f>IF(M1329="","",MAX(O1329,P1329,Q1329,R1329))</x:f>
      </x:c>
      <x:c r="T1329" s="11" t="str">
        <x:f>IF(M1329="","",MIN(100,S1329*100*'Config_v6'!$B$44+MIN(100,L1329/'Config_v6'!$B$13*100)*'Config_v6'!$B$45+(100-'Motor_Meciuri'!BF100)*'Config_v6'!$B$46+'Motor_Meciuri'!BH100*100*'Config_v6'!$B$47))</x:f>
      </x:c>
      <x:c r="U1329" s="2" t="str">
        <x:f>IF(T1329="","",IF(T1329&lt;=20,1,IF(T1329&lt;=40,2,IF(T1329&lt;=60,3,IF(T1329&lt;=80,4,5)))))</x:f>
      </x:c>
      <x:c r="V1329" s="2" t="str">
        <x:f>IF(M1329="","",MAX(0,'Motor_Meciuri'!BF100-IF(W1329="OOS PENDING",'Config_v6'!$B$35,0)-IF(L1329&gt;'Config_v6'!$B$12,'Config_v6'!$B$37,IF(L1329&gt;'Config_v6'!$B$11,'Config_v6'!$B$36,0))))</x:f>
      </x:c>
      <x:c r="W1329" s="2" t="str">
        <x:f>IF(B1329="","",IF(I1329&lt;&gt;"READY","NOT RELEASED",IF(NOT(AND(J1329="PASS",'Calibrare_Linii'!U13="VALID")),"INVALID",IF(NOT(AND('Calibrare_Linii'!S13="VALIDATED",AND('Calibrare_Linii'!H13=C1329,ISNUMBER('Calibrare_Linii'!J13),'Calibrare_Linii'!J13&lt;='Input_Meci'!G100))),"OOS PENDING",IF(S1329&lt;='Calibrare_Linii'!E13,"PASS",IF(S1329&lt;='Calibrare_Linii'!F13,"PENALTY","WATCH"))))))</x:f>
      </x:c>
      <x:c r="X1329" s="2" t="str">
        <x:f>IF(M1329="","",IF(AND(AND(J1329="PASS",'Calibrare_Linii'!U13="VALID"),'Motor_Meciuri'!K100=12,'Motor_Meciuri'!L100=12,'Motor_Meciuri'!M100="NO",'Motor_Meciuri'!BL100='Motor_Meciuri'!C100,AB1329&gt;='Config_v6'!$B$50,AN1329&gt;='Config_v6'!$B$51,T1329&lt;='Config_v6'!$B$52,L1329&lt;='Config_v6'!$B$53,ISNUMBER('Calibrare_Linii'!E13),S1329&lt;='Calibrare_Linii'!E13,SUM(AK1329:AM1329)&gt;0),"CANDIDATE","NO"))</x:f>
      </x:c>
      <x:c r="Y1329" s="2" t="str">
        <x:f>IF(B1329="","",IF(I1329&lt;&gt;"READY","NOT RELEASED",IF(AND(X1329="CANDIDATE",V1329&gt;='Config_v6'!$B$51,W1329="PASS",'Calibrare_Linii'!T13="VALIDATED",AND('Calibrare_Linii'!H13=C1329,ISNUMBER('Calibrare_Linii'!J13),'Calibrare_Linii'!J13&lt;='Input_Meci'!G100)),"PASS",IF(X1329="CANDIDATE","OOS PENDING","FAIL"))))</x:f>
      </x:c>
      <x:c r="Z1329" s="2" t="str">
        <x:f>IF(B1329="","",IF(I1329&lt;&gt;"READY","",IF(OR(NOT(AND(J1329="PASS",'Calibrare_Linii'!U13="VALID")),L1329&gt;'Config_v6'!$B$13,W1329="WATCH"),5,IF(Y1329="PASS",1,MIN(5,MAX('Config_v6'!$B$42,U1329)+IF(W1329="PENALTY",1,0))))))</x:f>
      </x:c>
      <x:c r="AA1329" s="2" t="str">
        <x:f>IF(B1329="","",IF(I1329&lt;&gt;"READY","NOT RELEASED",IF(Z1329=5,"NO BET",IF(OR(AB1329&lt;'Config_v6'!$B$16,V1329&lt;'Config_v6'!$B$18),"WATCH",IF(Z1329=1,"DEFENSIV",IF(Z1329=2,"PRUDENT",IF(Z1329=3,"MODERAT","RIDICAT")))))))</x:f>
      </x:c>
      <x:c r="AB1329" s="10" t="str">
        <x:f>IF(N1329="","",MIN(N1329,1-S1329))</x:f>
      </x:c>
      <x:c r="AC1329" s="2" t="str">
        <x:f>IF(AD1329&lt;&gt;1,"",COUNTIFS($Z$1322:$Z$1335,"&lt;"&amp;Z1329,$AD$1322:$AD$1335,1)+COUNTIFS($Z$1322:$Z$1335,Z1329,$AB$1322:$AB$1335,"&gt;"&amp;AB1329,$AD$1322:$AD$1335,1)+COUNTIFS($Z$1322:$Z$1335,Z1329,$AB$1322:$AB$1335,AB1329,$V$1322:$V$1335,"&gt;"&amp;V1329,$AD$1322:$AD$1335,1)+COUNTIFS($Z$1322:Z1329,Z1329,$AB$1322:AB1329,AB1329,$V$1322:V1329,V1329,$AD$1322:AD1329,1))</x:f>
      </x:c>
      <x:c r="AD1329" s="2" t="n">
        <x:f>IF(OR(AA1329="DEFENSIV",AA1329="PRUDENT",AA1329="MODERAT",AA1329="RIDICAT"),1,0)</x:f>
        <x:v>0</x:v>
      </x:c>
      <x:c r="AE1329" s="2" t="str">
        <x:f>IF(AD1329&lt;&gt;1,"NO",IF(W1329="PASS","YES",IF(W1329="OOS PENDING","CONDITIONAL","NO")))</x:f>
        <x:v>NO</x:v>
      </x:c>
      <x:c r="AF1329" s="2" t="n">
        <x:f>IF(AND(AD1329=1,AC1329=1,E1329="LIVE"),1,0)</x:f>
        <x:v>0</x:v>
      </x:c>
      <x:c r="AG1329" s="2" t="str">
        <x:f>IF(AF1329&lt;&gt;1,"",'Dashboard'!P120)</x:f>
      </x:c>
      <x:c r="AH1329" s="2" t="str">
        <x:f>IF(B1329="","",IF(J1329&lt;&gt;"PASS",'Motor_Meciuri'!J100,IF('Calibrare_Linii'!U13&lt;&gt;"VALID","Parametri linie invalizi",IF(L1329&gt;'Config_v6'!$B$13,"Dispersie peste limita",IF(W1329="WATCH","Failure peste limita",IF(AB1329&lt;'Config_v6'!$B$16,"P finala sub prag",IF(V1329&lt;'Config_v6'!$B$18,"Confidence sub prag",IF(E1329="REPLAY","Exemplu retrospectiv; exclus din Top LIVE",IF(Y1329="PASS","DEFENSIV validat",IF(W1329="OOS PENDING","Eligibil; calibrare linie in monitorizare","Eligibil"))))))))))</x:f>
      </x:c>
      <x:c r="AI1329" s="2" t="str">
        <x:f>IF(B1329="","",'Calibrare_Linii'!V13)</x:f>
      </x:c>
      <x:c r="AJ1329" s="2" t="str">
        <x:f>IF(B1329="","",IF(AND('Calibrare_Linii'!T13="VALIDATED",AND('Calibrare_Linii'!H13=C1329,ISNUMBER('Calibrare_Linii'!J13),'Calibrare_Linii'!J13&lt;='Input_Meci'!G100)),"DEFENSIVE VALIDATED",IF(AND('Calibrare_Linii'!S13="VALIDATED",AND('Calibrare_Linii'!H13=C1329,ISNUMBER('Calibrare_Linii'!J13),'Calibrare_Linii'!J13&lt;='Input_Meci'!G100)),"TAIL VALIDATED","OOS PENDING")))</x:f>
      </x:c>
      <x:c r="AK1329" s="2" t="n">
        <x:f>IF(J1329&lt;&gt;"PASS",0,'Motor_Meciuri'!BR100)</x:f>
        <x:v>0</x:v>
      </x:c>
      <x:c r="AL1329" s="2" t="n">
        <x:f>IF(J1329&lt;&gt;"PASS",0,'Motor_Meciuri'!BS100)</x:f>
        <x:v>0</x:v>
      </x:c>
      <x:c r="AM1329" s="2" t="n">
        <x:f>IF(J1329&lt;&gt;"PASS",0,'Motor_Meciuri'!BT100)</x:f>
        <x:v>0</x:v>
      </x:c>
      <x:c r="AN1329" s="2" t="str">
        <x:f>IF(M1329="","",MAX(0,'Motor_Meciuri'!BF100-IF(L1329&gt;'Config_v6'!$B$12,'Config_v6'!$B$37,IF(L1329&gt;'Config_v6'!$B$11,'Config_v6'!$B$36,0))))</x:f>
      </x:c>
    </x:row>
    <x:row r="1330" ht="21" customHeight="1">
      <x:c r="A1330" s="2" t="n">
        <x:v>95</x:v>
      </x:c>
      <x:c r="B1330" s="2" t="str">
        <x:f>IF('Motor_Meciuri'!A100="","",'Motor_Meciuri'!A100)</x:f>
      </x:c>
      <x:c r="C1330" s="2" t="str">
        <x:f>IF(B1330="","",'Motor_Meciuri'!B100)</x:f>
      </x:c>
      <x:c r="D1330" s="2" t="str">
        <x:f>IF(B1330="","",'Motor_Meciuri'!D100)</x:f>
      </x:c>
      <x:c r="E1330" s="2" t="str">
        <x:f>IF(B1330="","",'Motor_Meciuri'!E100)</x:f>
      </x:c>
      <x:c r="F1330" s="2" t="str">
        <x:v>U12,5</x:v>
      </x:c>
      <x:c r="G1330" s="2" t="str">
        <x:v>UNDER</x:v>
      </x:c>
      <x:c r="H1330" s="2" t="n">
        <x:v>12</x:v>
      </x:c>
      <x:c r="I1330" s="2" t="str">
        <x:f>IF(B1330="","",'Motor_Meciuri'!H100)</x:f>
      </x:c>
      <x:c r="J1330" s="2" t="str">
        <x:f>IF(B1330="","",'Motor_Meciuri'!I100)</x:f>
      </x:c>
      <x:c r="K1330" s="11" t="str">
        <x:f>IF(J1330&lt;&gt;"PASS","",'Motor_Meciuri'!BD100)</x:f>
      </x:c>
      <x:c r="L1330" s="11" t="str">
        <x:f>IF(J1330&lt;&gt;"PASS","",'Motor_Meciuri'!AU100)</x:f>
      </x:c>
      <x:c r="M1330" s="10" t="str">
        <x:f>IF(NOT(AND(J1330="PASS",'Calibrare_Linii'!U14="VALID")),"",'Distributie'!AJ100)</x:f>
      </x:c>
      <x:c r="N1330" s="10" t="str">
        <x:f>IF(M1330="","",MAX(0.01,MIN(0.99,0.5+(M1330-0.5)*'Motor_Meciuri'!BG100*'Calibrare_Linii'!D14)))</x:f>
      </x:c>
      <x:c r="O1330" s="10" t="str">
        <x:f>IF(M1330="","",1-M1330)</x:f>
      </x:c>
      <x:c r="P1330" s="10" t="str">
        <x:f>IF(OR(NOT(AND(J1330="PASS",'Calibrare_Linii'!U14="VALID")),AK1330=0),""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*('Istoric_Nativ'!$Q$6:$Q$405&gt;H1330))/AK1330)</x:f>
      </x:c>
      <x:c r="Q1330" s="10" t="str">
        <x:f>IF(OR(NOT(AND(J1330="PASS",'Calibrare_Linii'!U14="VALID")),AL1330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M100)+((('Istoric_Nativ'!$E$6:$E$405='Input_Meci'!E100)+('Istoric_Nativ'!$F$6:$F$405='Input_Meci'!E100))&gt;0)*('Istoric_Nativ'!$D$6:$D$405&gt;='Motor_Meciuri'!BN100))&gt;0)*('Istoric_Nativ'!$Q$6:$Q$405&gt;H1330))/AL1330)</x:f>
      </x:c>
      <x:c r="R1330" s="10" t="str">
        <x:f>IF(OR(NOT(AND(J1330="PASS",'Calibrare_Linii'!U14="VALID")),AM1330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O100)+((('Istoric_Nativ'!$E$6:$E$405='Input_Meci'!E100)+('Istoric_Nativ'!$F$6:$F$405='Input_Meci'!E100))&gt;0)*('Istoric_Nativ'!$D$6:$D$405&gt;='Motor_Meciuri'!BP100))&gt;0)*('Istoric_Nativ'!$Q$6:$Q$405&gt;H1330))/AM1330)</x:f>
      </x:c>
      <x:c r="S1330" s="10" t="str">
        <x:f>IF(M1330="","",MAX(O1330,P1330,Q1330,R1330))</x:f>
      </x:c>
      <x:c r="T1330" s="11" t="str">
        <x:f>IF(M1330="","",MIN(100,S1330*100*'Config_v6'!$B$44+MIN(100,L1330/'Config_v6'!$B$13*100)*'Config_v6'!$B$45+(100-'Motor_Meciuri'!BF100)*'Config_v6'!$B$46+'Motor_Meciuri'!BH100*100*'Config_v6'!$B$47))</x:f>
      </x:c>
      <x:c r="U1330" s="2" t="str">
        <x:f>IF(T1330="","",IF(T1330&lt;=20,1,IF(T1330&lt;=40,2,IF(T1330&lt;=60,3,IF(T1330&lt;=80,4,5)))))</x:f>
      </x:c>
      <x:c r="V1330" s="2" t="str">
        <x:f>IF(M1330="","",MAX(0,'Motor_Meciuri'!BF100-IF(W1330="OOS PENDING",'Config_v6'!$B$35,0)-IF(L1330&gt;'Config_v6'!$B$12,'Config_v6'!$B$37,IF(L1330&gt;'Config_v6'!$B$11,'Config_v6'!$B$36,0))))</x:f>
      </x:c>
      <x:c r="W1330" s="2" t="str">
        <x:f>IF(B1330="","",IF(I1330&lt;&gt;"READY","NOT RELEASED",IF(NOT(AND(J1330="PASS",'Calibrare_Linii'!U14="VALID")),"INVALID",IF(NOT(AND('Calibrare_Linii'!S14="VALIDATED",AND('Calibrare_Linii'!H14=C1330,ISNUMBER('Calibrare_Linii'!J14),'Calibrare_Linii'!J14&lt;='Input_Meci'!G100))),"OOS PENDING",IF(S1330&lt;='Calibrare_Linii'!E14,"PASS",IF(S1330&lt;='Calibrare_Linii'!F14,"PENALTY","WATCH"))))))</x:f>
      </x:c>
      <x:c r="X1330" s="2" t="str">
        <x:f>IF(M1330="","",IF(AND(AND(J1330="PASS",'Calibrare_Linii'!U14="VALID"),'Motor_Meciuri'!K100=12,'Motor_Meciuri'!L100=12,'Motor_Meciuri'!M100="NO",'Motor_Meciuri'!BL100='Motor_Meciuri'!C100,AB1330&gt;='Config_v6'!$B$50,AN1330&gt;='Config_v6'!$B$51,T1330&lt;='Config_v6'!$B$52,L1330&lt;='Config_v6'!$B$53,ISNUMBER('Calibrare_Linii'!E14),S1330&lt;='Calibrare_Linii'!E14,SUM(AK1330:AM1330)&gt;0),"CANDIDATE","NO"))</x:f>
      </x:c>
      <x:c r="Y1330" s="2" t="str">
        <x:f>IF(B1330="","",IF(I1330&lt;&gt;"READY","NOT RELEASED",IF(AND(X1330="CANDIDATE",V1330&gt;='Config_v6'!$B$51,W1330="PASS",'Calibrare_Linii'!T14="VALIDATED",AND('Calibrare_Linii'!H14=C1330,ISNUMBER('Calibrare_Linii'!J14),'Calibrare_Linii'!J14&lt;='Input_Meci'!G100)),"PASS",IF(X1330="CANDIDATE","OOS PENDING","FAIL"))))</x:f>
      </x:c>
      <x:c r="Z1330" s="2" t="str">
        <x:f>IF(B1330="","",IF(I1330&lt;&gt;"READY","",IF(OR(NOT(AND(J1330="PASS",'Calibrare_Linii'!U14="VALID")),L1330&gt;'Config_v6'!$B$13,W1330="WATCH"),5,IF(Y1330="PASS",1,MIN(5,MAX('Config_v6'!$B$42,U1330)+IF(W1330="PENALTY",1,0))))))</x:f>
      </x:c>
      <x:c r="AA1330" s="2" t="str">
        <x:f>IF(B1330="","",IF(I1330&lt;&gt;"READY","NOT RELEASED",IF(Z1330=5,"NO BET",IF(OR(AB1330&lt;'Config_v6'!$B$16,V1330&lt;'Config_v6'!$B$18),"WATCH",IF(Z1330=1,"DEFENSIV",IF(Z1330=2,"PRUDENT",IF(Z1330=3,"MODERAT","RIDICAT")))))))</x:f>
      </x:c>
      <x:c r="AB1330" s="10" t="str">
        <x:f>IF(N1330="","",MIN(N1330,1-S1330))</x:f>
      </x:c>
      <x:c r="AC1330" s="2" t="str">
        <x:f>IF(AD1330&lt;&gt;1,"",COUNTIFS($Z$1322:$Z$1335,"&lt;"&amp;Z1330,$AD$1322:$AD$1335,1)+COUNTIFS($Z$1322:$Z$1335,Z1330,$AB$1322:$AB$1335,"&gt;"&amp;AB1330,$AD$1322:$AD$1335,1)+COUNTIFS($Z$1322:$Z$1335,Z1330,$AB$1322:$AB$1335,AB1330,$V$1322:$V$1335,"&gt;"&amp;V1330,$AD$1322:$AD$1335,1)+COUNTIFS($Z$1322:Z1330,Z1330,$AB$1322:AB1330,AB1330,$V$1322:V1330,V1330,$AD$1322:AD1330,1))</x:f>
      </x:c>
      <x:c r="AD1330" s="2" t="n">
        <x:f>IF(OR(AA1330="DEFENSIV",AA1330="PRUDENT",AA1330="MODERAT",AA1330="RIDICAT"),1,0)</x:f>
        <x:v>0</x:v>
      </x:c>
      <x:c r="AE1330" s="2" t="str">
        <x:f>IF(AD1330&lt;&gt;1,"NO",IF(W1330="PASS","YES",IF(W1330="OOS PENDING","CONDITIONAL","NO")))</x:f>
        <x:v>NO</x:v>
      </x:c>
      <x:c r="AF1330" s="2" t="n">
        <x:f>IF(AND(AD1330=1,AC1330=1,E1330="LIVE"),1,0)</x:f>
        <x:v>0</x:v>
      </x:c>
      <x:c r="AG1330" s="2" t="str">
        <x:f>IF(AF1330&lt;&gt;1,"",'Dashboard'!P120)</x:f>
      </x:c>
      <x:c r="AH1330" s="2" t="str">
        <x:f>IF(B1330="","",IF(J1330&lt;&gt;"PASS",'Motor_Meciuri'!J100,IF('Calibrare_Linii'!U14&lt;&gt;"VALID","Parametri linie invalizi",IF(L1330&gt;'Config_v6'!$B$13,"Dispersie peste limita",IF(W1330="WATCH","Failure peste limita",IF(AB1330&lt;'Config_v6'!$B$16,"P finala sub prag",IF(V1330&lt;'Config_v6'!$B$18,"Confidence sub prag",IF(E1330="REPLAY","Exemplu retrospectiv; exclus din Top LIVE",IF(Y1330="PASS","DEFENSIV validat",IF(W1330="OOS PENDING","Eligibil; calibrare linie in monitorizare","Eligibil"))))))))))</x:f>
      </x:c>
      <x:c r="AI1330" s="2" t="str">
        <x:f>IF(B1330="","",'Calibrare_Linii'!V14)</x:f>
      </x:c>
      <x:c r="AJ1330" s="2" t="str">
        <x:f>IF(B1330="","",IF(AND('Calibrare_Linii'!T14="VALIDATED",AND('Calibrare_Linii'!H14=C1330,ISNUMBER('Calibrare_Linii'!J14),'Calibrare_Linii'!J14&lt;='Input_Meci'!G100)),"DEFENSIVE VALIDATED",IF(AND('Calibrare_Linii'!S14="VALIDATED",AND('Calibrare_Linii'!H14=C1330,ISNUMBER('Calibrare_Linii'!J14),'Calibrare_Linii'!J14&lt;='Input_Meci'!G100)),"TAIL VALIDATED","OOS PENDING")))</x:f>
      </x:c>
      <x:c r="AK1330" s="2" t="n">
        <x:f>IF(J1330&lt;&gt;"PASS",0,'Motor_Meciuri'!BR100)</x:f>
        <x:v>0</x:v>
      </x:c>
      <x:c r="AL1330" s="2" t="n">
        <x:f>IF(J1330&lt;&gt;"PASS",0,'Motor_Meciuri'!BS100)</x:f>
        <x:v>0</x:v>
      </x:c>
      <x:c r="AM1330" s="2" t="n">
        <x:f>IF(J1330&lt;&gt;"PASS",0,'Motor_Meciuri'!BT100)</x:f>
        <x:v>0</x:v>
      </x:c>
      <x:c r="AN1330" s="2" t="str">
        <x:f>IF(M1330="","",MAX(0,'Motor_Meciuri'!BF100-IF(L1330&gt;'Config_v6'!$B$12,'Config_v6'!$B$37,IF(L1330&gt;'Config_v6'!$B$11,'Config_v6'!$B$36,0))))</x:f>
      </x:c>
    </x:row>
    <x:row r="1331" ht="21" customHeight="1">
      <x:c r="A1331" s="2" t="n">
        <x:v>95</x:v>
      </x:c>
      <x:c r="B1331" s="2" t="str">
        <x:f>IF('Motor_Meciuri'!A100="","",'Motor_Meciuri'!A100)</x:f>
      </x:c>
      <x:c r="C1331" s="2" t="str">
        <x:f>IF(B1331="","",'Motor_Meciuri'!B100)</x:f>
      </x:c>
      <x:c r="D1331" s="2" t="str">
        <x:f>IF(B1331="","",'Motor_Meciuri'!D100)</x:f>
      </x:c>
      <x:c r="E1331" s="2" t="str">
        <x:f>IF(B1331="","",'Motor_Meciuri'!E100)</x:f>
      </x:c>
      <x:c r="F1331" s="2" t="str">
        <x:v>U13,5</x:v>
      </x:c>
      <x:c r="G1331" s="2" t="str">
        <x:v>UNDER</x:v>
      </x:c>
      <x:c r="H1331" s="2" t="n">
        <x:v>13</x:v>
      </x:c>
      <x:c r="I1331" s="2" t="str">
        <x:f>IF(B1331="","",'Motor_Meciuri'!H100)</x:f>
      </x:c>
      <x:c r="J1331" s="2" t="str">
        <x:f>IF(B1331="","",'Motor_Meciuri'!I100)</x:f>
      </x:c>
      <x:c r="K1331" s="11" t="str">
        <x:f>IF(J1331&lt;&gt;"PASS","",'Motor_Meciuri'!BD100)</x:f>
      </x:c>
      <x:c r="L1331" s="11" t="str">
        <x:f>IF(J1331&lt;&gt;"PASS","",'Motor_Meciuri'!AU100)</x:f>
      </x:c>
      <x:c r="M1331" s="10" t="str">
        <x:f>IF(NOT(AND(J1331="PASS",'Calibrare_Linii'!U15="VALID")),"",'Distributie'!AK100)</x:f>
      </x:c>
      <x:c r="N1331" s="10" t="str">
        <x:f>IF(M1331="","",MAX(0.01,MIN(0.99,0.5+(M1331-0.5)*'Motor_Meciuri'!BG100*'Calibrare_Linii'!D15)))</x:f>
      </x:c>
      <x:c r="O1331" s="10" t="str">
        <x:f>IF(M1331="","",1-M1331)</x:f>
      </x:c>
      <x:c r="P1331" s="10" t="str">
        <x:f>IF(OR(NOT(AND(J1331="PASS",'Calibrare_Linii'!U15="VALID")),AK1331=0),""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*('Istoric_Nativ'!$Q$6:$Q$405&gt;H1331))/AK1331)</x:f>
      </x:c>
      <x:c r="Q1331" s="10" t="str">
        <x:f>IF(OR(NOT(AND(J1331="PASS",'Calibrare_Linii'!U15="VALID")),AL1331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M100)+((('Istoric_Nativ'!$E$6:$E$405='Input_Meci'!E100)+('Istoric_Nativ'!$F$6:$F$405='Input_Meci'!E100))&gt;0)*('Istoric_Nativ'!$D$6:$D$405&gt;='Motor_Meciuri'!BN100))&gt;0)*('Istoric_Nativ'!$Q$6:$Q$405&gt;H1331))/AL1331)</x:f>
      </x:c>
      <x:c r="R1331" s="10" t="str">
        <x:f>IF(OR(NOT(AND(J1331="PASS",'Calibrare_Linii'!U15="VALID")),AM1331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O100)+((('Istoric_Nativ'!$E$6:$E$405='Input_Meci'!E100)+('Istoric_Nativ'!$F$6:$F$405='Input_Meci'!E100))&gt;0)*('Istoric_Nativ'!$D$6:$D$405&gt;='Motor_Meciuri'!BP100))&gt;0)*('Istoric_Nativ'!$Q$6:$Q$405&gt;H1331))/AM1331)</x:f>
      </x:c>
      <x:c r="S1331" s="10" t="str">
        <x:f>IF(M1331="","",MAX(O1331,P1331,Q1331,R1331))</x:f>
      </x:c>
      <x:c r="T1331" s="11" t="str">
        <x:f>IF(M1331="","",MIN(100,S1331*100*'Config_v6'!$B$44+MIN(100,L1331/'Config_v6'!$B$13*100)*'Config_v6'!$B$45+(100-'Motor_Meciuri'!BF100)*'Config_v6'!$B$46+'Motor_Meciuri'!BH100*100*'Config_v6'!$B$47))</x:f>
      </x:c>
      <x:c r="U1331" s="2" t="str">
        <x:f>IF(T1331="","",IF(T1331&lt;=20,1,IF(T1331&lt;=40,2,IF(T1331&lt;=60,3,IF(T1331&lt;=80,4,5)))))</x:f>
      </x:c>
      <x:c r="V1331" s="2" t="str">
        <x:f>IF(M1331="","",MAX(0,'Motor_Meciuri'!BF100-IF(W1331="OOS PENDING",'Config_v6'!$B$35,0)-IF(L1331&gt;'Config_v6'!$B$12,'Config_v6'!$B$37,IF(L1331&gt;'Config_v6'!$B$11,'Config_v6'!$B$36,0))))</x:f>
      </x:c>
      <x:c r="W1331" s="2" t="str">
        <x:f>IF(B1331="","",IF(I1331&lt;&gt;"READY","NOT RELEASED",IF(NOT(AND(J1331="PASS",'Calibrare_Linii'!U15="VALID")),"INVALID",IF(NOT(AND('Calibrare_Linii'!S15="VALIDATED",AND('Calibrare_Linii'!H15=C1331,ISNUMBER('Calibrare_Linii'!J15),'Calibrare_Linii'!J15&lt;='Input_Meci'!G100))),"OOS PENDING",IF(S1331&lt;='Calibrare_Linii'!E15,"PASS",IF(S1331&lt;='Calibrare_Linii'!F15,"PENALTY","WATCH"))))))</x:f>
      </x:c>
      <x:c r="X1331" s="2" t="str">
        <x:f>IF(M1331="","",IF(AND(AND(J1331="PASS",'Calibrare_Linii'!U15="VALID"),'Motor_Meciuri'!K100=12,'Motor_Meciuri'!L100=12,'Motor_Meciuri'!M100="NO",'Motor_Meciuri'!BL100='Motor_Meciuri'!C100,AB1331&gt;='Config_v6'!$B$50,AN1331&gt;='Config_v6'!$B$51,T1331&lt;='Config_v6'!$B$52,L1331&lt;='Config_v6'!$B$53,ISNUMBER('Calibrare_Linii'!E15),S1331&lt;='Calibrare_Linii'!E15,SUM(AK1331:AM1331)&gt;0),"CANDIDATE","NO"))</x:f>
      </x:c>
      <x:c r="Y1331" s="2" t="str">
        <x:f>IF(B1331="","",IF(I1331&lt;&gt;"READY","NOT RELEASED",IF(AND(X1331="CANDIDATE",V1331&gt;='Config_v6'!$B$51,W1331="PASS",'Calibrare_Linii'!T15="VALIDATED",AND('Calibrare_Linii'!H15=C1331,ISNUMBER('Calibrare_Linii'!J15),'Calibrare_Linii'!J15&lt;='Input_Meci'!G100)),"PASS",IF(X1331="CANDIDATE","OOS PENDING","FAIL"))))</x:f>
      </x:c>
      <x:c r="Z1331" s="2" t="str">
        <x:f>IF(B1331="","",IF(I1331&lt;&gt;"READY","",IF(OR(NOT(AND(J1331="PASS",'Calibrare_Linii'!U15="VALID")),L1331&gt;'Config_v6'!$B$13,W1331="WATCH"),5,IF(Y1331="PASS",1,MIN(5,MAX('Config_v6'!$B$42,U1331)+IF(W1331="PENALTY",1,0))))))</x:f>
      </x:c>
      <x:c r="AA1331" s="2" t="str">
        <x:f>IF(B1331="","",IF(I1331&lt;&gt;"READY","NOT RELEASED",IF(Z1331=5,"NO BET",IF(OR(AB1331&lt;'Config_v6'!$B$16,V1331&lt;'Config_v6'!$B$18),"WATCH",IF(Z1331=1,"DEFENSIV",IF(Z1331=2,"PRUDENT",IF(Z1331=3,"MODERAT","RIDICAT")))))))</x:f>
      </x:c>
      <x:c r="AB1331" s="10" t="str">
        <x:f>IF(N1331="","",MIN(N1331,1-S1331))</x:f>
      </x:c>
      <x:c r="AC1331" s="2" t="str">
        <x:f>IF(AD1331&lt;&gt;1,"",COUNTIFS($Z$1322:$Z$1335,"&lt;"&amp;Z1331,$AD$1322:$AD$1335,1)+COUNTIFS($Z$1322:$Z$1335,Z1331,$AB$1322:$AB$1335,"&gt;"&amp;AB1331,$AD$1322:$AD$1335,1)+COUNTIFS($Z$1322:$Z$1335,Z1331,$AB$1322:$AB$1335,AB1331,$V$1322:$V$1335,"&gt;"&amp;V1331,$AD$1322:$AD$1335,1)+COUNTIFS($Z$1322:Z1331,Z1331,$AB$1322:AB1331,AB1331,$V$1322:V1331,V1331,$AD$1322:AD1331,1))</x:f>
      </x:c>
      <x:c r="AD1331" s="2" t="n">
        <x:f>IF(OR(AA1331="DEFENSIV",AA1331="PRUDENT",AA1331="MODERAT",AA1331="RIDICAT"),1,0)</x:f>
        <x:v>0</x:v>
      </x:c>
      <x:c r="AE1331" s="2" t="str">
        <x:f>IF(AD1331&lt;&gt;1,"NO",IF(W1331="PASS","YES",IF(W1331="OOS PENDING","CONDITIONAL","NO")))</x:f>
        <x:v>NO</x:v>
      </x:c>
      <x:c r="AF1331" s="2" t="n">
        <x:f>IF(AND(AD1331=1,AC1331=1,E1331="LIVE"),1,0)</x:f>
        <x:v>0</x:v>
      </x:c>
      <x:c r="AG1331" s="2" t="str">
        <x:f>IF(AF1331&lt;&gt;1,"",'Dashboard'!P120)</x:f>
      </x:c>
      <x:c r="AH1331" s="2" t="str">
        <x:f>IF(B1331="","",IF(J1331&lt;&gt;"PASS",'Motor_Meciuri'!J100,IF('Calibrare_Linii'!U15&lt;&gt;"VALID","Parametri linie invalizi",IF(L1331&gt;'Config_v6'!$B$13,"Dispersie peste limita",IF(W1331="WATCH","Failure peste limita",IF(AB1331&lt;'Config_v6'!$B$16,"P finala sub prag",IF(V1331&lt;'Config_v6'!$B$18,"Confidence sub prag",IF(E1331="REPLAY","Exemplu retrospectiv; exclus din Top LIVE",IF(Y1331="PASS","DEFENSIV validat",IF(W1331="OOS PENDING","Eligibil; calibrare linie in monitorizare","Eligibil"))))))))))</x:f>
      </x:c>
      <x:c r="AI1331" s="2" t="str">
        <x:f>IF(B1331="","",'Calibrare_Linii'!V15)</x:f>
      </x:c>
      <x:c r="AJ1331" s="2" t="str">
        <x:f>IF(B1331="","",IF(AND('Calibrare_Linii'!T15="VALIDATED",AND('Calibrare_Linii'!H15=C1331,ISNUMBER('Calibrare_Linii'!J15),'Calibrare_Linii'!J15&lt;='Input_Meci'!G100)),"DEFENSIVE VALIDATED",IF(AND('Calibrare_Linii'!S15="VALIDATED",AND('Calibrare_Linii'!H15=C1331,ISNUMBER('Calibrare_Linii'!J15),'Calibrare_Linii'!J15&lt;='Input_Meci'!G100)),"TAIL VALIDATED","OOS PENDING")))</x:f>
      </x:c>
      <x:c r="AK1331" s="2" t="n">
        <x:f>IF(J1331&lt;&gt;"PASS",0,'Motor_Meciuri'!BR100)</x:f>
        <x:v>0</x:v>
      </x:c>
      <x:c r="AL1331" s="2" t="n">
        <x:f>IF(J1331&lt;&gt;"PASS",0,'Motor_Meciuri'!BS100)</x:f>
        <x:v>0</x:v>
      </x:c>
      <x:c r="AM1331" s="2" t="n">
        <x:f>IF(J1331&lt;&gt;"PASS",0,'Motor_Meciuri'!BT100)</x:f>
        <x:v>0</x:v>
      </x:c>
      <x:c r="AN1331" s="2" t="str">
        <x:f>IF(M1331="","",MAX(0,'Motor_Meciuri'!BF100-IF(L1331&gt;'Config_v6'!$B$12,'Config_v6'!$B$37,IF(L1331&gt;'Config_v6'!$B$11,'Config_v6'!$B$36,0))))</x:f>
      </x:c>
    </x:row>
    <x:row r="1332" ht="21" customHeight="1">
      <x:c r="A1332" s="2" t="n">
        <x:v>95</x:v>
      </x:c>
      <x:c r="B1332" s="2" t="str">
        <x:f>IF('Motor_Meciuri'!A100="","",'Motor_Meciuri'!A100)</x:f>
      </x:c>
      <x:c r="C1332" s="2" t="str">
        <x:f>IF(B1332="","",'Motor_Meciuri'!B100)</x:f>
      </x:c>
      <x:c r="D1332" s="2" t="str">
        <x:f>IF(B1332="","",'Motor_Meciuri'!D100)</x:f>
      </x:c>
      <x:c r="E1332" s="2" t="str">
        <x:f>IF(B1332="","",'Motor_Meciuri'!E100)</x:f>
      </x:c>
      <x:c r="F1332" s="2" t="str">
        <x:v>U14,5</x:v>
      </x:c>
      <x:c r="G1332" s="2" t="str">
        <x:v>UNDER</x:v>
      </x:c>
      <x:c r="H1332" s="2" t="n">
        <x:v>14</x:v>
      </x:c>
      <x:c r="I1332" s="2" t="str">
        <x:f>IF(B1332="","",'Motor_Meciuri'!H100)</x:f>
      </x:c>
      <x:c r="J1332" s="2" t="str">
        <x:f>IF(B1332="","",'Motor_Meciuri'!I100)</x:f>
      </x:c>
      <x:c r="K1332" s="11" t="str">
        <x:f>IF(J1332&lt;&gt;"PASS","",'Motor_Meciuri'!BD100)</x:f>
      </x:c>
      <x:c r="L1332" s="11" t="str">
        <x:f>IF(J1332&lt;&gt;"PASS","",'Motor_Meciuri'!AU100)</x:f>
      </x:c>
      <x:c r="M1332" s="10" t="str">
        <x:f>IF(NOT(AND(J1332="PASS",'Calibrare_Linii'!U16="VALID")),"",'Distributie'!AL100)</x:f>
      </x:c>
      <x:c r="N1332" s="10" t="str">
        <x:f>IF(M1332="","",MAX(0.01,MIN(0.99,0.5+(M1332-0.5)*'Motor_Meciuri'!BG100*'Calibrare_Linii'!D16)))</x:f>
      </x:c>
      <x:c r="O1332" s="10" t="str">
        <x:f>IF(M1332="","",1-M1332)</x:f>
      </x:c>
      <x:c r="P1332" s="10" t="str">
        <x:f>IF(OR(NOT(AND(J1332="PASS",'Calibrare_Linii'!U16="VALID")),AK1332=0),""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*('Istoric_Nativ'!$Q$6:$Q$405&gt;H1332))/AK1332)</x:f>
      </x:c>
      <x:c r="Q1332" s="10" t="str">
        <x:f>IF(OR(NOT(AND(J1332="PASS",'Calibrare_Linii'!U16="VALID")),AL1332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M100)+((('Istoric_Nativ'!$E$6:$E$405='Input_Meci'!E100)+('Istoric_Nativ'!$F$6:$F$405='Input_Meci'!E100))&gt;0)*('Istoric_Nativ'!$D$6:$D$405&gt;='Motor_Meciuri'!BN100))&gt;0)*('Istoric_Nativ'!$Q$6:$Q$405&gt;H1332))/AL1332)</x:f>
      </x:c>
      <x:c r="R1332" s="10" t="str">
        <x:f>IF(OR(NOT(AND(J1332="PASS",'Calibrare_Linii'!U16="VALID")),AM1332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O100)+((('Istoric_Nativ'!$E$6:$E$405='Input_Meci'!E100)+('Istoric_Nativ'!$F$6:$F$405='Input_Meci'!E100))&gt;0)*('Istoric_Nativ'!$D$6:$D$405&gt;='Motor_Meciuri'!BP100))&gt;0)*('Istoric_Nativ'!$Q$6:$Q$405&gt;H1332))/AM1332)</x:f>
      </x:c>
      <x:c r="S1332" s="10" t="str">
        <x:f>IF(M1332="","",MAX(O1332,P1332,Q1332,R1332))</x:f>
      </x:c>
      <x:c r="T1332" s="11" t="str">
        <x:f>IF(M1332="","",MIN(100,S1332*100*'Config_v6'!$B$44+MIN(100,L1332/'Config_v6'!$B$13*100)*'Config_v6'!$B$45+(100-'Motor_Meciuri'!BF100)*'Config_v6'!$B$46+'Motor_Meciuri'!BH100*100*'Config_v6'!$B$47))</x:f>
      </x:c>
      <x:c r="U1332" s="2" t="str">
        <x:f>IF(T1332="","",IF(T1332&lt;=20,1,IF(T1332&lt;=40,2,IF(T1332&lt;=60,3,IF(T1332&lt;=80,4,5)))))</x:f>
      </x:c>
      <x:c r="V1332" s="2" t="str">
        <x:f>IF(M1332="","",MAX(0,'Motor_Meciuri'!BF100-IF(W1332="OOS PENDING",'Config_v6'!$B$35,0)-IF(L1332&gt;'Config_v6'!$B$12,'Config_v6'!$B$37,IF(L1332&gt;'Config_v6'!$B$11,'Config_v6'!$B$36,0))))</x:f>
      </x:c>
      <x:c r="W1332" s="2" t="str">
        <x:f>IF(B1332="","",IF(I1332&lt;&gt;"READY","NOT RELEASED",IF(NOT(AND(J1332="PASS",'Calibrare_Linii'!U16="VALID")),"INVALID",IF(NOT(AND('Calibrare_Linii'!S16="VALIDATED",AND('Calibrare_Linii'!H16=C1332,ISNUMBER('Calibrare_Linii'!J16),'Calibrare_Linii'!J16&lt;='Input_Meci'!G100))),"OOS PENDING",IF(S1332&lt;='Calibrare_Linii'!E16,"PASS",IF(S1332&lt;='Calibrare_Linii'!F16,"PENALTY","WATCH"))))))</x:f>
      </x:c>
      <x:c r="X1332" s="2" t="str">
        <x:f>IF(M1332="","",IF(AND(AND(J1332="PASS",'Calibrare_Linii'!U16="VALID"),'Motor_Meciuri'!K100=12,'Motor_Meciuri'!L100=12,'Motor_Meciuri'!M100="NO",'Motor_Meciuri'!BL100='Motor_Meciuri'!C100,AB1332&gt;='Config_v6'!$B$50,AN1332&gt;='Config_v6'!$B$51,T1332&lt;='Config_v6'!$B$52,L1332&lt;='Config_v6'!$B$53,ISNUMBER('Calibrare_Linii'!E16),S1332&lt;='Calibrare_Linii'!E16,SUM(AK1332:AM1332)&gt;0),"CANDIDATE","NO"))</x:f>
      </x:c>
      <x:c r="Y1332" s="2" t="str">
        <x:f>IF(B1332="","",IF(I1332&lt;&gt;"READY","NOT RELEASED",IF(AND(X1332="CANDIDATE",V1332&gt;='Config_v6'!$B$51,W1332="PASS",'Calibrare_Linii'!T16="VALIDATED",AND('Calibrare_Linii'!H16=C1332,ISNUMBER('Calibrare_Linii'!J16),'Calibrare_Linii'!J16&lt;='Input_Meci'!G100)),"PASS",IF(X1332="CANDIDATE","OOS PENDING","FAIL"))))</x:f>
      </x:c>
      <x:c r="Z1332" s="2" t="str">
        <x:f>IF(B1332="","",IF(I1332&lt;&gt;"READY","",IF(OR(NOT(AND(J1332="PASS",'Calibrare_Linii'!U16="VALID")),L1332&gt;'Config_v6'!$B$13,W1332="WATCH"),5,IF(Y1332="PASS",1,MIN(5,MAX('Config_v6'!$B$42,U1332)+IF(W1332="PENALTY",1,0))))))</x:f>
      </x:c>
      <x:c r="AA1332" s="2" t="str">
        <x:f>IF(B1332="","",IF(I1332&lt;&gt;"READY","NOT RELEASED",IF(Z1332=5,"NO BET",IF(OR(AB1332&lt;'Config_v6'!$B$16,V1332&lt;'Config_v6'!$B$18),"WATCH",IF(Z1332=1,"DEFENSIV",IF(Z1332=2,"PRUDENT",IF(Z1332=3,"MODERAT","RIDICAT")))))))</x:f>
      </x:c>
      <x:c r="AB1332" s="10" t="str">
        <x:f>IF(N1332="","",MIN(N1332,1-S1332))</x:f>
      </x:c>
      <x:c r="AC1332" s="2" t="str">
        <x:f>IF(AD1332&lt;&gt;1,"",COUNTIFS($Z$1322:$Z$1335,"&lt;"&amp;Z1332,$AD$1322:$AD$1335,1)+COUNTIFS($Z$1322:$Z$1335,Z1332,$AB$1322:$AB$1335,"&gt;"&amp;AB1332,$AD$1322:$AD$1335,1)+COUNTIFS($Z$1322:$Z$1335,Z1332,$AB$1322:$AB$1335,AB1332,$V$1322:$V$1335,"&gt;"&amp;V1332,$AD$1322:$AD$1335,1)+COUNTIFS($Z$1322:Z1332,Z1332,$AB$1322:AB1332,AB1332,$V$1322:V1332,V1332,$AD$1322:AD1332,1))</x:f>
      </x:c>
      <x:c r="AD1332" s="2" t="n">
        <x:f>IF(OR(AA1332="DEFENSIV",AA1332="PRUDENT",AA1332="MODERAT",AA1332="RIDICAT"),1,0)</x:f>
        <x:v>0</x:v>
      </x:c>
      <x:c r="AE1332" s="2" t="str">
        <x:f>IF(AD1332&lt;&gt;1,"NO",IF(W1332="PASS","YES",IF(W1332="OOS PENDING","CONDITIONAL","NO")))</x:f>
        <x:v>NO</x:v>
      </x:c>
      <x:c r="AF1332" s="2" t="n">
        <x:f>IF(AND(AD1332=1,AC1332=1,E1332="LIVE"),1,0)</x:f>
        <x:v>0</x:v>
      </x:c>
      <x:c r="AG1332" s="2" t="str">
        <x:f>IF(AF1332&lt;&gt;1,"",'Dashboard'!P120)</x:f>
      </x:c>
      <x:c r="AH1332" s="2" t="str">
        <x:f>IF(B1332="","",IF(J1332&lt;&gt;"PASS",'Motor_Meciuri'!J100,IF('Calibrare_Linii'!U16&lt;&gt;"VALID","Parametri linie invalizi",IF(L1332&gt;'Config_v6'!$B$13,"Dispersie peste limita",IF(W1332="WATCH","Failure peste limita",IF(AB1332&lt;'Config_v6'!$B$16,"P finala sub prag",IF(V1332&lt;'Config_v6'!$B$18,"Confidence sub prag",IF(E1332="REPLAY","Exemplu retrospectiv; exclus din Top LIVE",IF(Y1332="PASS","DEFENSIV validat",IF(W1332="OOS PENDING","Eligibil; calibrare linie in monitorizare","Eligibil"))))))))))</x:f>
      </x:c>
      <x:c r="AI1332" s="2" t="str">
        <x:f>IF(B1332="","",'Calibrare_Linii'!V16)</x:f>
      </x:c>
      <x:c r="AJ1332" s="2" t="str">
        <x:f>IF(B1332="","",IF(AND('Calibrare_Linii'!T16="VALIDATED",AND('Calibrare_Linii'!H16=C1332,ISNUMBER('Calibrare_Linii'!J16),'Calibrare_Linii'!J16&lt;='Input_Meci'!G100)),"DEFENSIVE VALIDATED",IF(AND('Calibrare_Linii'!S16="VALIDATED",AND('Calibrare_Linii'!H16=C1332,ISNUMBER('Calibrare_Linii'!J16),'Calibrare_Linii'!J16&lt;='Input_Meci'!G100)),"TAIL VALIDATED","OOS PENDING")))</x:f>
      </x:c>
      <x:c r="AK1332" s="2" t="n">
        <x:f>IF(J1332&lt;&gt;"PASS",0,'Motor_Meciuri'!BR100)</x:f>
        <x:v>0</x:v>
      </x:c>
      <x:c r="AL1332" s="2" t="n">
        <x:f>IF(J1332&lt;&gt;"PASS",0,'Motor_Meciuri'!BS100)</x:f>
        <x:v>0</x:v>
      </x:c>
      <x:c r="AM1332" s="2" t="n">
        <x:f>IF(J1332&lt;&gt;"PASS",0,'Motor_Meciuri'!BT100)</x:f>
        <x:v>0</x:v>
      </x:c>
      <x:c r="AN1332" s="2" t="str">
        <x:f>IF(M1332="","",MAX(0,'Motor_Meciuri'!BF100-IF(L1332&gt;'Config_v6'!$B$12,'Config_v6'!$B$37,IF(L1332&gt;'Config_v6'!$B$11,'Config_v6'!$B$36,0))))</x:f>
      </x:c>
    </x:row>
    <x:row r="1333" ht="21" customHeight="1">
      <x:c r="A1333" s="2" t="n">
        <x:v>95</x:v>
      </x:c>
      <x:c r="B1333" s="2" t="str">
        <x:f>IF('Motor_Meciuri'!A100="","",'Motor_Meciuri'!A100)</x:f>
      </x:c>
      <x:c r="C1333" s="2" t="str">
        <x:f>IF(B1333="","",'Motor_Meciuri'!B100)</x:f>
      </x:c>
      <x:c r="D1333" s="2" t="str">
        <x:f>IF(B1333="","",'Motor_Meciuri'!D100)</x:f>
      </x:c>
      <x:c r="E1333" s="2" t="str">
        <x:f>IF(B1333="","",'Motor_Meciuri'!E100)</x:f>
      </x:c>
      <x:c r="F1333" s="2" t="str">
        <x:v>U15,5</x:v>
      </x:c>
      <x:c r="G1333" s="2" t="str">
        <x:v>UNDER</x:v>
      </x:c>
      <x:c r="H1333" s="2" t="n">
        <x:v>15</x:v>
      </x:c>
      <x:c r="I1333" s="2" t="str">
        <x:f>IF(B1333="","",'Motor_Meciuri'!H100)</x:f>
      </x:c>
      <x:c r="J1333" s="2" t="str">
        <x:f>IF(B1333="","",'Motor_Meciuri'!I100)</x:f>
      </x:c>
      <x:c r="K1333" s="11" t="str">
        <x:f>IF(J1333&lt;&gt;"PASS","",'Motor_Meciuri'!BD100)</x:f>
      </x:c>
      <x:c r="L1333" s="11" t="str">
        <x:f>IF(J1333&lt;&gt;"PASS","",'Motor_Meciuri'!AU100)</x:f>
      </x:c>
      <x:c r="M1333" s="10" t="str">
        <x:f>IF(NOT(AND(J1333="PASS",'Calibrare_Linii'!U17="VALID")),"",'Distributie'!AM100)</x:f>
      </x:c>
      <x:c r="N1333" s="10" t="str">
        <x:f>IF(M1333="","",MAX(0.01,MIN(0.99,0.5+(M1333-0.5)*'Motor_Meciuri'!BG100*'Calibrare_Linii'!D17)))</x:f>
      </x:c>
      <x:c r="O1333" s="10" t="str">
        <x:f>IF(M1333="","",1-M1333)</x:f>
      </x:c>
      <x:c r="P1333" s="10" t="str">
        <x:f>IF(OR(NOT(AND(J1333="PASS",'Calibrare_Linii'!U17="VALID")),AK1333=0),""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*('Istoric_Nativ'!$Q$6:$Q$405&gt;H1333))/AK1333)</x:f>
      </x:c>
      <x:c r="Q1333" s="10" t="str">
        <x:f>IF(OR(NOT(AND(J1333="PASS",'Calibrare_Linii'!U17="VALID")),AL1333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M100)+((('Istoric_Nativ'!$E$6:$E$405='Input_Meci'!E100)+('Istoric_Nativ'!$F$6:$F$405='Input_Meci'!E100))&gt;0)*('Istoric_Nativ'!$D$6:$D$405&gt;='Motor_Meciuri'!BN100))&gt;0)*('Istoric_Nativ'!$Q$6:$Q$405&gt;H1333))/AL1333)</x:f>
      </x:c>
      <x:c r="R1333" s="10" t="str">
        <x:f>IF(OR(NOT(AND(J1333="PASS",'Calibrare_Linii'!U17="VALID")),AM1333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O100)+((('Istoric_Nativ'!$E$6:$E$405='Input_Meci'!E100)+('Istoric_Nativ'!$F$6:$F$405='Input_Meci'!E100))&gt;0)*('Istoric_Nativ'!$D$6:$D$405&gt;='Motor_Meciuri'!BP100))&gt;0)*('Istoric_Nativ'!$Q$6:$Q$405&gt;H1333))/AM1333)</x:f>
      </x:c>
      <x:c r="S1333" s="10" t="str">
        <x:f>IF(M1333="","",MAX(O1333,P1333,Q1333,R1333))</x:f>
      </x:c>
      <x:c r="T1333" s="11" t="str">
        <x:f>IF(M1333="","",MIN(100,S1333*100*'Config_v6'!$B$44+MIN(100,L1333/'Config_v6'!$B$13*100)*'Config_v6'!$B$45+(100-'Motor_Meciuri'!BF100)*'Config_v6'!$B$46+'Motor_Meciuri'!BH100*100*'Config_v6'!$B$47))</x:f>
      </x:c>
      <x:c r="U1333" s="2" t="str">
        <x:f>IF(T1333="","",IF(T1333&lt;=20,1,IF(T1333&lt;=40,2,IF(T1333&lt;=60,3,IF(T1333&lt;=80,4,5)))))</x:f>
      </x:c>
      <x:c r="V1333" s="2" t="str">
        <x:f>IF(M1333="","",MAX(0,'Motor_Meciuri'!BF100-IF(W1333="OOS PENDING",'Config_v6'!$B$35,0)-IF(L1333&gt;'Config_v6'!$B$12,'Config_v6'!$B$37,IF(L1333&gt;'Config_v6'!$B$11,'Config_v6'!$B$36,0))))</x:f>
      </x:c>
      <x:c r="W1333" s="2" t="str">
        <x:f>IF(B1333="","",IF(I1333&lt;&gt;"READY","NOT RELEASED",IF(NOT(AND(J1333="PASS",'Calibrare_Linii'!U17="VALID")),"INVALID",IF(NOT(AND('Calibrare_Linii'!S17="VALIDATED",AND('Calibrare_Linii'!H17=C1333,ISNUMBER('Calibrare_Linii'!J17),'Calibrare_Linii'!J17&lt;='Input_Meci'!G100))),"OOS PENDING",IF(S1333&lt;='Calibrare_Linii'!E17,"PASS",IF(S1333&lt;='Calibrare_Linii'!F17,"PENALTY","WATCH"))))))</x:f>
      </x:c>
      <x:c r="X1333" s="2" t="str">
        <x:f>IF(M1333="","",IF(AND(AND(J1333="PASS",'Calibrare_Linii'!U17="VALID"),'Motor_Meciuri'!K100=12,'Motor_Meciuri'!L100=12,'Motor_Meciuri'!M100="NO",'Motor_Meciuri'!BL100='Motor_Meciuri'!C100,AB1333&gt;='Config_v6'!$B$50,AN1333&gt;='Config_v6'!$B$51,T1333&lt;='Config_v6'!$B$52,L1333&lt;='Config_v6'!$B$53,ISNUMBER('Calibrare_Linii'!E17),S1333&lt;='Calibrare_Linii'!E17,SUM(AK1333:AM1333)&gt;0),"CANDIDATE","NO"))</x:f>
      </x:c>
      <x:c r="Y1333" s="2" t="str">
        <x:f>IF(B1333="","",IF(I1333&lt;&gt;"READY","NOT RELEASED",IF(AND(X1333="CANDIDATE",V1333&gt;='Config_v6'!$B$51,W1333="PASS",'Calibrare_Linii'!T17="VALIDATED",AND('Calibrare_Linii'!H17=C1333,ISNUMBER('Calibrare_Linii'!J17),'Calibrare_Linii'!J17&lt;='Input_Meci'!G100)),"PASS",IF(X1333="CANDIDATE","OOS PENDING","FAIL"))))</x:f>
      </x:c>
      <x:c r="Z1333" s="2" t="str">
        <x:f>IF(B1333="","",IF(I1333&lt;&gt;"READY","",IF(OR(NOT(AND(J1333="PASS",'Calibrare_Linii'!U17="VALID")),L1333&gt;'Config_v6'!$B$13,W1333="WATCH"),5,IF(Y1333="PASS",1,MIN(5,MAX('Config_v6'!$B$42,U1333)+IF(W1333="PENALTY",1,0))))))</x:f>
      </x:c>
      <x:c r="AA1333" s="2" t="str">
        <x:f>IF(B1333="","",IF(I1333&lt;&gt;"READY","NOT RELEASED",IF(Z1333=5,"NO BET",IF(OR(AB1333&lt;'Config_v6'!$B$16,V1333&lt;'Config_v6'!$B$18),"WATCH",IF(Z1333=1,"DEFENSIV",IF(Z1333=2,"PRUDENT",IF(Z1333=3,"MODERAT","RIDICAT")))))))</x:f>
      </x:c>
      <x:c r="AB1333" s="10" t="str">
        <x:f>IF(N1333="","",MIN(N1333,1-S1333))</x:f>
      </x:c>
      <x:c r="AC1333" s="2" t="str">
        <x:f>IF(AD1333&lt;&gt;1,"",COUNTIFS($Z$1322:$Z$1335,"&lt;"&amp;Z1333,$AD$1322:$AD$1335,1)+COUNTIFS($Z$1322:$Z$1335,Z1333,$AB$1322:$AB$1335,"&gt;"&amp;AB1333,$AD$1322:$AD$1335,1)+COUNTIFS($Z$1322:$Z$1335,Z1333,$AB$1322:$AB$1335,AB1333,$V$1322:$V$1335,"&gt;"&amp;V1333,$AD$1322:$AD$1335,1)+COUNTIFS($Z$1322:Z1333,Z1333,$AB$1322:AB1333,AB1333,$V$1322:V1333,V1333,$AD$1322:AD1333,1))</x:f>
      </x:c>
      <x:c r="AD1333" s="2" t="n">
        <x:f>IF(OR(AA1333="DEFENSIV",AA1333="PRUDENT",AA1333="MODERAT",AA1333="RIDICAT"),1,0)</x:f>
        <x:v>0</x:v>
      </x:c>
      <x:c r="AE1333" s="2" t="str">
        <x:f>IF(AD1333&lt;&gt;1,"NO",IF(W1333="PASS","YES",IF(W1333="OOS PENDING","CONDITIONAL","NO")))</x:f>
        <x:v>NO</x:v>
      </x:c>
      <x:c r="AF1333" s="2" t="n">
        <x:f>IF(AND(AD1333=1,AC1333=1,E1333="LIVE"),1,0)</x:f>
        <x:v>0</x:v>
      </x:c>
      <x:c r="AG1333" s="2" t="str">
        <x:f>IF(AF1333&lt;&gt;1,"",'Dashboard'!P120)</x:f>
      </x:c>
      <x:c r="AH1333" s="2" t="str">
        <x:f>IF(B1333="","",IF(J1333&lt;&gt;"PASS",'Motor_Meciuri'!J100,IF('Calibrare_Linii'!U17&lt;&gt;"VALID","Parametri linie invalizi",IF(L1333&gt;'Config_v6'!$B$13,"Dispersie peste limita",IF(W1333="WATCH","Failure peste limita",IF(AB1333&lt;'Config_v6'!$B$16,"P finala sub prag",IF(V1333&lt;'Config_v6'!$B$18,"Confidence sub prag",IF(E1333="REPLAY","Exemplu retrospectiv; exclus din Top LIVE",IF(Y1333="PASS","DEFENSIV validat",IF(W1333="OOS PENDING","Eligibil; calibrare linie in monitorizare","Eligibil"))))))))))</x:f>
      </x:c>
      <x:c r="AI1333" s="2" t="str">
        <x:f>IF(B1333="","",'Calibrare_Linii'!V17)</x:f>
      </x:c>
      <x:c r="AJ1333" s="2" t="str">
        <x:f>IF(B1333="","",IF(AND('Calibrare_Linii'!T17="VALIDATED",AND('Calibrare_Linii'!H17=C1333,ISNUMBER('Calibrare_Linii'!J17),'Calibrare_Linii'!J17&lt;='Input_Meci'!G100)),"DEFENSIVE VALIDATED",IF(AND('Calibrare_Linii'!S17="VALIDATED",AND('Calibrare_Linii'!H17=C1333,ISNUMBER('Calibrare_Linii'!J17),'Calibrare_Linii'!J17&lt;='Input_Meci'!G100)),"TAIL VALIDATED","OOS PENDING")))</x:f>
      </x:c>
      <x:c r="AK1333" s="2" t="n">
        <x:f>IF(J1333&lt;&gt;"PASS",0,'Motor_Meciuri'!BR100)</x:f>
        <x:v>0</x:v>
      </x:c>
      <x:c r="AL1333" s="2" t="n">
        <x:f>IF(J1333&lt;&gt;"PASS",0,'Motor_Meciuri'!BS100)</x:f>
        <x:v>0</x:v>
      </x:c>
      <x:c r="AM1333" s="2" t="n">
        <x:f>IF(J1333&lt;&gt;"PASS",0,'Motor_Meciuri'!BT100)</x:f>
        <x:v>0</x:v>
      </x:c>
      <x:c r="AN1333" s="2" t="str">
        <x:f>IF(M1333="","",MAX(0,'Motor_Meciuri'!BF100-IF(L1333&gt;'Config_v6'!$B$12,'Config_v6'!$B$37,IF(L1333&gt;'Config_v6'!$B$11,'Config_v6'!$B$36,0))))</x:f>
      </x:c>
    </x:row>
    <x:row r="1334" ht="21" customHeight="1">
      <x:c r="A1334" s="2" t="n">
        <x:v>95</x:v>
      </x:c>
      <x:c r="B1334" s="2" t="str">
        <x:f>IF('Motor_Meciuri'!A100="","",'Motor_Meciuri'!A100)</x:f>
      </x:c>
      <x:c r="C1334" s="2" t="str">
        <x:f>IF(B1334="","",'Motor_Meciuri'!B100)</x:f>
      </x:c>
      <x:c r="D1334" s="2" t="str">
        <x:f>IF(B1334="","",'Motor_Meciuri'!D100)</x:f>
      </x:c>
      <x:c r="E1334" s="2" t="str">
        <x:f>IF(B1334="","",'Motor_Meciuri'!E100)</x:f>
      </x:c>
      <x:c r="F1334" s="2" t="str">
        <x:v>U16,5</x:v>
      </x:c>
      <x:c r="G1334" s="2" t="str">
        <x:v>UNDER</x:v>
      </x:c>
      <x:c r="H1334" s="2" t="n">
        <x:v>16</x:v>
      </x:c>
      <x:c r="I1334" s="2" t="str">
        <x:f>IF(B1334="","",'Motor_Meciuri'!H100)</x:f>
      </x:c>
      <x:c r="J1334" s="2" t="str">
        <x:f>IF(B1334="","",'Motor_Meciuri'!I100)</x:f>
      </x:c>
      <x:c r="K1334" s="11" t="str">
        <x:f>IF(J1334&lt;&gt;"PASS","",'Motor_Meciuri'!BD100)</x:f>
      </x:c>
      <x:c r="L1334" s="11" t="str">
        <x:f>IF(J1334&lt;&gt;"PASS","",'Motor_Meciuri'!AU100)</x:f>
      </x:c>
      <x:c r="M1334" s="10" t="str">
        <x:f>IF(NOT(AND(J1334="PASS",'Calibrare_Linii'!U18="VALID")),"",'Distributie'!AN100)</x:f>
      </x:c>
      <x:c r="N1334" s="10" t="str">
        <x:f>IF(M1334="","",MAX(0.01,MIN(0.99,0.5+(M1334-0.5)*'Motor_Meciuri'!BG100*'Calibrare_Linii'!D18)))</x:f>
      </x:c>
      <x:c r="O1334" s="10" t="str">
        <x:f>IF(M1334="","",1-M1334)</x:f>
      </x:c>
      <x:c r="P1334" s="10" t="str">
        <x:f>IF(OR(NOT(AND(J1334="PASS",'Calibrare_Linii'!U18="VALID")),AK1334=0),""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*('Istoric_Nativ'!$Q$6:$Q$405&gt;H1334))/AK1334)</x:f>
      </x:c>
      <x:c r="Q1334" s="10" t="str">
        <x:f>IF(OR(NOT(AND(J1334="PASS",'Calibrare_Linii'!U18="VALID")),AL1334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M100)+((('Istoric_Nativ'!$E$6:$E$405='Input_Meci'!E100)+('Istoric_Nativ'!$F$6:$F$405='Input_Meci'!E100))&gt;0)*('Istoric_Nativ'!$D$6:$D$405&gt;='Motor_Meciuri'!BN100))&gt;0)*('Istoric_Nativ'!$Q$6:$Q$405&gt;H1334))/AL1334)</x:f>
      </x:c>
      <x:c r="R1334" s="10" t="str">
        <x:f>IF(OR(NOT(AND(J1334="PASS",'Calibrare_Linii'!U18="VALID")),AM1334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O100)+((('Istoric_Nativ'!$E$6:$E$405='Input_Meci'!E100)+('Istoric_Nativ'!$F$6:$F$405='Input_Meci'!E100))&gt;0)*('Istoric_Nativ'!$D$6:$D$405&gt;='Motor_Meciuri'!BP100))&gt;0)*('Istoric_Nativ'!$Q$6:$Q$405&gt;H1334))/AM1334)</x:f>
      </x:c>
      <x:c r="S1334" s="10" t="str">
        <x:f>IF(M1334="","",MAX(O1334,P1334,Q1334,R1334))</x:f>
      </x:c>
      <x:c r="T1334" s="11" t="str">
        <x:f>IF(M1334="","",MIN(100,S1334*100*'Config_v6'!$B$44+MIN(100,L1334/'Config_v6'!$B$13*100)*'Config_v6'!$B$45+(100-'Motor_Meciuri'!BF100)*'Config_v6'!$B$46+'Motor_Meciuri'!BH100*100*'Config_v6'!$B$47))</x:f>
      </x:c>
      <x:c r="U1334" s="2" t="str">
        <x:f>IF(T1334="","",IF(T1334&lt;=20,1,IF(T1334&lt;=40,2,IF(T1334&lt;=60,3,IF(T1334&lt;=80,4,5)))))</x:f>
      </x:c>
      <x:c r="V1334" s="2" t="str">
        <x:f>IF(M1334="","",MAX(0,'Motor_Meciuri'!BF100-IF(W1334="OOS PENDING",'Config_v6'!$B$35,0)-IF(L1334&gt;'Config_v6'!$B$12,'Config_v6'!$B$37,IF(L1334&gt;'Config_v6'!$B$11,'Config_v6'!$B$36,0))))</x:f>
      </x:c>
      <x:c r="W1334" s="2" t="str">
        <x:f>IF(B1334="","",IF(I1334&lt;&gt;"READY","NOT RELEASED",IF(NOT(AND(J1334="PASS",'Calibrare_Linii'!U18="VALID")),"INVALID",IF(NOT(AND('Calibrare_Linii'!S18="VALIDATED",AND('Calibrare_Linii'!H18=C1334,ISNUMBER('Calibrare_Linii'!J18),'Calibrare_Linii'!J18&lt;='Input_Meci'!G100))),"OOS PENDING",IF(S1334&lt;='Calibrare_Linii'!E18,"PASS",IF(S1334&lt;='Calibrare_Linii'!F18,"PENALTY","WATCH"))))))</x:f>
      </x:c>
      <x:c r="X1334" s="2" t="str">
        <x:f>IF(M1334="","",IF(AND(AND(J1334="PASS",'Calibrare_Linii'!U18="VALID"),'Motor_Meciuri'!K100=12,'Motor_Meciuri'!L100=12,'Motor_Meciuri'!M100="NO",'Motor_Meciuri'!BL100='Motor_Meciuri'!C100,AB1334&gt;='Config_v6'!$B$50,AN1334&gt;='Config_v6'!$B$51,T1334&lt;='Config_v6'!$B$52,L1334&lt;='Config_v6'!$B$53,ISNUMBER('Calibrare_Linii'!E18),S1334&lt;='Calibrare_Linii'!E18,SUM(AK1334:AM1334)&gt;0),"CANDIDATE","NO"))</x:f>
      </x:c>
      <x:c r="Y1334" s="2" t="str">
        <x:f>IF(B1334="","",IF(I1334&lt;&gt;"READY","NOT RELEASED",IF(AND(X1334="CANDIDATE",V1334&gt;='Config_v6'!$B$51,W1334="PASS",'Calibrare_Linii'!T18="VALIDATED",AND('Calibrare_Linii'!H18=C1334,ISNUMBER('Calibrare_Linii'!J18),'Calibrare_Linii'!J18&lt;='Input_Meci'!G100)),"PASS",IF(X1334="CANDIDATE","OOS PENDING","FAIL"))))</x:f>
      </x:c>
      <x:c r="Z1334" s="2" t="str">
        <x:f>IF(B1334="","",IF(I1334&lt;&gt;"READY","",IF(OR(NOT(AND(J1334="PASS",'Calibrare_Linii'!U18="VALID")),L1334&gt;'Config_v6'!$B$13,W1334="WATCH"),5,IF(Y1334="PASS",1,MIN(5,MAX('Config_v6'!$B$42,U1334)+IF(W1334="PENALTY",1,0))))))</x:f>
      </x:c>
      <x:c r="AA1334" s="2" t="str">
        <x:f>IF(B1334="","",IF(I1334&lt;&gt;"READY","NOT RELEASED",IF(Z1334=5,"NO BET",IF(OR(AB1334&lt;'Config_v6'!$B$16,V1334&lt;'Config_v6'!$B$18),"WATCH",IF(Z1334=1,"DEFENSIV",IF(Z1334=2,"PRUDENT",IF(Z1334=3,"MODERAT","RIDICAT")))))))</x:f>
      </x:c>
      <x:c r="AB1334" s="10" t="str">
        <x:f>IF(N1334="","",MIN(N1334,1-S1334))</x:f>
      </x:c>
      <x:c r="AC1334" s="2" t="str">
        <x:f>IF(AD1334&lt;&gt;1,"",COUNTIFS($Z$1322:$Z$1335,"&lt;"&amp;Z1334,$AD$1322:$AD$1335,1)+COUNTIFS($Z$1322:$Z$1335,Z1334,$AB$1322:$AB$1335,"&gt;"&amp;AB1334,$AD$1322:$AD$1335,1)+COUNTIFS($Z$1322:$Z$1335,Z1334,$AB$1322:$AB$1335,AB1334,$V$1322:$V$1335,"&gt;"&amp;V1334,$AD$1322:$AD$1335,1)+COUNTIFS($Z$1322:Z1334,Z1334,$AB$1322:AB1334,AB1334,$V$1322:V1334,V1334,$AD$1322:AD1334,1))</x:f>
      </x:c>
      <x:c r="AD1334" s="2" t="n">
        <x:f>IF(OR(AA1334="DEFENSIV",AA1334="PRUDENT",AA1334="MODERAT",AA1334="RIDICAT"),1,0)</x:f>
        <x:v>0</x:v>
      </x:c>
      <x:c r="AE1334" s="2" t="str">
        <x:f>IF(AD1334&lt;&gt;1,"NO",IF(W1334="PASS","YES",IF(W1334="OOS PENDING","CONDITIONAL","NO")))</x:f>
        <x:v>NO</x:v>
      </x:c>
      <x:c r="AF1334" s="2" t="n">
        <x:f>IF(AND(AD1334=1,AC1334=1,E1334="LIVE"),1,0)</x:f>
        <x:v>0</x:v>
      </x:c>
      <x:c r="AG1334" s="2" t="str">
        <x:f>IF(AF1334&lt;&gt;1,"",'Dashboard'!P120)</x:f>
      </x:c>
      <x:c r="AH1334" s="2" t="str">
        <x:f>IF(B1334="","",IF(J1334&lt;&gt;"PASS",'Motor_Meciuri'!J100,IF('Calibrare_Linii'!U18&lt;&gt;"VALID","Parametri linie invalizi",IF(L1334&gt;'Config_v6'!$B$13,"Dispersie peste limita",IF(W1334="WATCH","Failure peste limita",IF(AB1334&lt;'Config_v6'!$B$16,"P finala sub prag",IF(V1334&lt;'Config_v6'!$B$18,"Confidence sub prag",IF(E1334="REPLAY","Exemplu retrospectiv; exclus din Top LIVE",IF(Y1334="PASS","DEFENSIV validat",IF(W1334="OOS PENDING","Eligibil; calibrare linie in monitorizare","Eligibil"))))))))))</x:f>
      </x:c>
      <x:c r="AI1334" s="2" t="str">
        <x:f>IF(B1334="","",'Calibrare_Linii'!V18)</x:f>
      </x:c>
      <x:c r="AJ1334" s="2" t="str">
        <x:f>IF(B1334="","",IF(AND('Calibrare_Linii'!T18="VALIDATED",AND('Calibrare_Linii'!H18=C1334,ISNUMBER('Calibrare_Linii'!J18),'Calibrare_Linii'!J18&lt;='Input_Meci'!G100)),"DEFENSIVE VALIDATED",IF(AND('Calibrare_Linii'!S18="VALIDATED",AND('Calibrare_Linii'!H18=C1334,ISNUMBER('Calibrare_Linii'!J18),'Calibrare_Linii'!J18&lt;='Input_Meci'!G100)),"TAIL VALIDATED","OOS PENDING")))</x:f>
      </x:c>
      <x:c r="AK1334" s="2" t="n">
        <x:f>IF(J1334&lt;&gt;"PASS",0,'Motor_Meciuri'!BR100)</x:f>
        <x:v>0</x:v>
      </x:c>
      <x:c r="AL1334" s="2" t="n">
        <x:f>IF(J1334&lt;&gt;"PASS",0,'Motor_Meciuri'!BS100)</x:f>
        <x:v>0</x:v>
      </x:c>
      <x:c r="AM1334" s="2" t="n">
        <x:f>IF(J1334&lt;&gt;"PASS",0,'Motor_Meciuri'!BT100)</x:f>
        <x:v>0</x:v>
      </x:c>
      <x:c r="AN1334" s="2" t="str">
        <x:f>IF(M1334="","",MAX(0,'Motor_Meciuri'!BF100-IF(L1334&gt;'Config_v6'!$B$12,'Config_v6'!$B$37,IF(L1334&gt;'Config_v6'!$B$11,'Config_v6'!$B$36,0))))</x:f>
      </x:c>
    </x:row>
    <x:row r="1335" ht="21" customHeight="1">
      <x:c r="A1335" s="2" t="n">
        <x:v>95</x:v>
      </x:c>
      <x:c r="B1335" s="2" t="str">
        <x:f>IF('Motor_Meciuri'!A100="","",'Motor_Meciuri'!A100)</x:f>
      </x:c>
      <x:c r="C1335" s="2" t="str">
        <x:f>IF(B1335="","",'Motor_Meciuri'!B100)</x:f>
      </x:c>
      <x:c r="D1335" s="2" t="str">
        <x:f>IF(B1335="","",'Motor_Meciuri'!D100)</x:f>
      </x:c>
      <x:c r="E1335" s="2" t="str">
        <x:f>IF(B1335="","",'Motor_Meciuri'!E100)</x:f>
      </x:c>
      <x:c r="F1335" s="2" t="str">
        <x:v>U17,5</x:v>
      </x:c>
      <x:c r="G1335" s="2" t="str">
        <x:v>UNDER</x:v>
      </x:c>
      <x:c r="H1335" s="2" t="n">
        <x:v>17</x:v>
      </x:c>
      <x:c r="I1335" s="2" t="str">
        <x:f>IF(B1335="","",'Motor_Meciuri'!H100)</x:f>
      </x:c>
      <x:c r="J1335" s="2" t="str">
        <x:f>IF(B1335="","",'Motor_Meciuri'!I100)</x:f>
      </x:c>
      <x:c r="K1335" s="11" t="str">
        <x:f>IF(J1335&lt;&gt;"PASS","",'Motor_Meciuri'!BD100)</x:f>
      </x:c>
      <x:c r="L1335" s="11" t="str">
        <x:f>IF(J1335&lt;&gt;"PASS","",'Motor_Meciuri'!AU100)</x:f>
      </x:c>
      <x:c r="M1335" s="10" t="str">
        <x:f>IF(NOT(AND(J1335="PASS",'Calibrare_Linii'!U19="VALID")),"",'Distributie'!AO100)</x:f>
      </x:c>
      <x:c r="N1335" s="10" t="str">
        <x:f>IF(M1335="","",MAX(0.01,MIN(0.99,0.5+(M1335-0.5)*'Motor_Meciuri'!BG100*'Calibrare_Linii'!D19)))</x:f>
      </x:c>
      <x:c r="O1335" s="10" t="str">
        <x:f>IF(M1335="","",1-M1335)</x:f>
      </x:c>
      <x:c r="P1335" s="10" t="str">
        <x:f>IF(OR(NOT(AND(J1335="PASS",'Calibrare_Linii'!U19="VALID")),AK1335=0),""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*('Istoric_Nativ'!$Q$6:$Q$405&gt;H1335))/AK1335)</x:f>
      </x:c>
      <x:c r="Q1335" s="10" t="str">
        <x:f>IF(OR(NOT(AND(J1335="PASS",'Calibrare_Linii'!U19="VALID")),AL1335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M100)+((('Istoric_Nativ'!$E$6:$E$405='Input_Meci'!E100)+('Istoric_Nativ'!$F$6:$F$405='Input_Meci'!E100))&gt;0)*('Istoric_Nativ'!$D$6:$D$405&gt;='Motor_Meciuri'!BN100))&gt;0)*('Istoric_Nativ'!$Q$6:$Q$405&gt;H1335))/AL1335)</x:f>
      </x:c>
      <x:c r="R1335" s="10" t="str">
        <x:f>IF(OR(NOT(AND(J1335="PASS",'Calibrare_Linii'!U19="VALID")),AM1335=0),""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'Motor_Meciuri'!BO100)+((('Istoric_Nativ'!$E$6:$E$405='Input_Meci'!E100)+('Istoric_Nativ'!$F$6:$F$405='Input_Meci'!E100))&gt;0)*('Istoric_Nativ'!$D$6:$D$405&gt;='Motor_Meciuri'!BP100))&gt;0)*('Istoric_Nativ'!$Q$6:$Q$405&gt;H1335))/AM1335)</x:f>
      </x:c>
      <x:c r="S1335" s="10" t="str">
        <x:f>IF(M1335="","",MAX(O1335,P1335,Q1335,R1335))</x:f>
      </x:c>
      <x:c r="T1335" s="11" t="str">
        <x:f>IF(M1335="","",MIN(100,S1335*100*'Config_v6'!$B$44+MIN(100,L1335/'Config_v6'!$B$13*100)*'Config_v6'!$B$45+(100-'Motor_Meciuri'!BF100)*'Config_v6'!$B$46+'Motor_Meciuri'!BH100*100*'Config_v6'!$B$47))</x:f>
      </x:c>
      <x:c r="U1335" s="2" t="str">
        <x:f>IF(T1335="","",IF(T1335&lt;=20,1,IF(T1335&lt;=40,2,IF(T1335&lt;=60,3,IF(T1335&lt;=80,4,5)))))</x:f>
      </x:c>
      <x:c r="V1335" s="2" t="str">
        <x:f>IF(M1335="","",MAX(0,'Motor_Meciuri'!BF100-IF(W1335="OOS PENDING",'Config_v6'!$B$35,0)-IF(L1335&gt;'Config_v6'!$B$12,'Config_v6'!$B$37,IF(L1335&gt;'Config_v6'!$B$11,'Config_v6'!$B$36,0))))</x:f>
      </x:c>
      <x:c r="W1335" s="2" t="str">
        <x:f>IF(B1335="","",IF(I1335&lt;&gt;"READY","NOT RELEASED",IF(NOT(AND(J1335="PASS",'Calibrare_Linii'!U19="VALID")),"INVALID",IF(NOT(AND('Calibrare_Linii'!S19="VALIDATED",AND('Calibrare_Linii'!H19=C1335,ISNUMBER('Calibrare_Linii'!J19),'Calibrare_Linii'!J19&lt;='Input_Meci'!G100))),"OOS PENDING",IF(S1335&lt;='Calibrare_Linii'!E19,"PASS",IF(S1335&lt;='Calibrare_Linii'!F19,"PENALTY","WATCH"))))))</x:f>
      </x:c>
      <x:c r="X1335" s="2" t="str">
        <x:f>IF(M1335="","",IF(AND(AND(J1335="PASS",'Calibrare_Linii'!U19="VALID"),'Motor_Meciuri'!K100=12,'Motor_Meciuri'!L100=12,'Motor_Meciuri'!M100="NO",'Motor_Meciuri'!BL100='Motor_Meciuri'!C100,AB1335&gt;='Config_v6'!$B$50,AN1335&gt;='Config_v6'!$B$51,T1335&lt;='Config_v6'!$B$52,L1335&lt;='Config_v6'!$B$53,ISNUMBER('Calibrare_Linii'!E19),S1335&lt;='Calibrare_Linii'!E19,SUM(AK1335:AM1335)&gt;0),"CANDIDATE","NO"))</x:f>
      </x:c>
      <x:c r="Y1335" s="2" t="str">
        <x:f>IF(B1335="","",IF(I1335&lt;&gt;"READY","NOT RELEASED",IF(AND(X1335="CANDIDATE",V1335&gt;='Config_v6'!$B$51,W1335="PASS",'Calibrare_Linii'!T19="VALIDATED",AND('Calibrare_Linii'!H19=C1335,ISNUMBER('Calibrare_Linii'!J19),'Calibrare_Linii'!J19&lt;='Input_Meci'!G100)),"PASS",IF(X1335="CANDIDATE","OOS PENDING","FAIL"))))</x:f>
      </x:c>
      <x:c r="Z1335" s="2" t="str">
        <x:f>IF(B1335="","",IF(I1335&lt;&gt;"READY","",IF(OR(NOT(AND(J1335="PASS",'Calibrare_Linii'!U19="VALID")),L1335&gt;'Config_v6'!$B$13,W1335="WATCH"),5,IF(Y1335="PASS",1,MIN(5,MAX('Config_v6'!$B$42,U1335)+IF(W1335="PENALTY",1,0))))))</x:f>
      </x:c>
      <x:c r="AA1335" s="2" t="str">
        <x:f>IF(B1335="","",IF(I1335&lt;&gt;"READY","NOT RELEASED",IF(Z1335=5,"NO BET",IF(OR(AB1335&lt;'Config_v6'!$B$16,V1335&lt;'Config_v6'!$B$18),"WATCH",IF(Z1335=1,"DEFENSIV",IF(Z1335=2,"PRUDENT",IF(Z1335=3,"MODERAT","RIDICAT")))))))</x:f>
      </x:c>
      <x:c r="AB1335" s="10" t="str">
        <x:f>IF(N1335="","",MIN(N1335,1-S1335))</x:f>
      </x:c>
      <x:c r="AC1335" s="2" t="str">
        <x:f>IF(AD1335&lt;&gt;1,"",COUNTIFS($Z$1322:$Z$1335,"&lt;"&amp;Z1335,$AD$1322:$AD$1335,1)+COUNTIFS($Z$1322:$Z$1335,Z1335,$AB$1322:$AB$1335,"&gt;"&amp;AB1335,$AD$1322:$AD$1335,1)+COUNTIFS($Z$1322:$Z$1335,Z1335,$AB$1322:$AB$1335,AB1335,$V$1322:$V$1335,"&gt;"&amp;V1335,$AD$1322:$AD$1335,1)+COUNTIFS($Z$1322:Z1335,Z1335,$AB$1322:AB1335,AB1335,$V$1322:V1335,V1335,$AD$1322:AD1335,1))</x:f>
      </x:c>
      <x:c r="AD1335" s="2" t="n">
        <x:f>IF(OR(AA1335="DEFENSIV",AA1335="PRUDENT",AA1335="MODERAT",AA1335="RIDICAT"),1,0)</x:f>
        <x:v>0</x:v>
      </x:c>
      <x:c r="AE1335" s="2" t="str">
        <x:f>IF(AD1335&lt;&gt;1,"NO",IF(W1335="PASS","YES",IF(W1335="OOS PENDING","CONDITIONAL","NO")))</x:f>
        <x:v>NO</x:v>
      </x:c>
      <x:c r="AF1335" s="2" t="n">
        <x:f>IF(AND(AD1335=1,AC1335=1,E1335="LIVE"),1,0)</x:f>
        <x:v>0</x:v>
      </x:c>
      <x:c r="AG1335" s="2" t="str">
        <x:f>IF(AF1335&lt;&gt;1,"",'Dashboard'!P120)</x:f>
      </x:c>
      <x:c r="AH1335" s="2" t="str">
        <x:f>IF(B1335="","",IF(J1335&lt;&gt;"PASS",'Motor_Meciuri'!J100,IF('Calibrare_Linii'!U19&lt;&gt;"VALID","Parametri linie invalizi",IF(L1335&gt;'Config_v6'!$B$13,"Dispersie peste limita",IF(W1335="WATCH","Failure peste limita",IF(AB1335&lt;'Config_v6'!$B$16,"P finala sub prag",IF(V1335&lt;'Config_v6'!$B$18,"Confidence sub prag",IF(E1335="REPLAY","Exemplu retrospectiv; exclus din Top LIVE",IF(Y1335="PASS","DEFENSIV validat",IF(W1335="OOS PENDING","Eligibil; calibrare linie in monitorizare","Eligibil"))))))))))</x:f>
      </x:c>
      <x:c r="AI1335" s="2" t="str">
        <x:f>IF(B1335="","",'Calibrare_Linii'!V19)</x:f>
      </x:c>
      <x:c r="AJ1335" s="2" t="str">
        <x:f>IF(B1335="","",IF(AND('Calibrare_Linii'!T19="VALIDATED",AND('Calibrare_Linii'!H19=C1335,ISNUMBER('Calibrare_Linii'!J19),'Calibrare_Linii'!J19&lt;='Input_Meci'!G100)),"DEFENSIVE VALIDATED",IF(AND('Calibrare_Linii'!S19="VALIDATED",AND('Calibrare_Linii'!H19=C1335,ISNUMBER('Calibrare_Linii'!J19),'Calibrare_Linii'!J19&lt;='Input_Meci'!G100)),"TAIL VALIDATED","OOS PENDING")))</x:f>
      </x:c>
      <x:c r="AK1335" s="2" t="n">
        <x:f>IF(J1335&lt;&gt;"PASS",0,'Motor_Meciuri'!BR100)</x:f>
        <x:v>0</x:v>
      </x:c>
      <x:c r="AL1335" s="2" t="n">
        <x:f>IF(J1335&lt;&gt;"PASS",0,'Motor_Meciuri'!BS100)</x:f>
        <x:v>0</x:v>
      </x:c>
      <x:c r="AM1335" s="2" t="n">
        <x:f>IF(J1335&lt;&gt;"PASS",0,'Motor_Meciuri'!BT100)</x:f>
        <x:v>0</x:v>
      </x:c>
      <x:c r="AN1335" s="2" t="str">
        <x:f>IF(M1335="","",MAX(0,'Motor_Meciuri'!BF100-IF(L1335&gt;'Config_v6'!$B$12,'Config_v6'!$B$37,IF(L1335&gt;'Config_v6'!$B$11,'Config_v6'!$B$36,0))))</x:f>
      </x:c>
    </x:row>
    <x:row r="1336" ht="21" customHeight="1">
      <x:c r="A1336" s="2" t="n">
        <x:v>96</x:v>
      </x:c>
      <x:c r="B1336" s="2" t="str">
        <x:f>IF('Motor_Meciuri'!A101="","",'Motor_Meciuri'!A101)</x:f>
      </x:c>
      <x:c r="C1336" s="2" t="str">
        <x:f>IF(B1336="","",'Motor_Meciuri'!B101)</x:f>
      </x:c>
      <x:c r="D1336" s="2" t="str">
        <x:f>IF(B1336="","",'Motor_Meciuri'!D101)</x:f>
      </x:c>
      <x:c r="E1336" s="2" t="str">
        <x:f>IF(B1336="","",'Motor_Meciuri'!E101)</x:f>
      </x:c>
      <x:c r="F1336" s="2" t="str">
        <x:v>O3,5</x:v>
      </x:c>
      <x:c r="G1336" s="2" t="str">
        <x:v>OVER</x:v>
      </x:c>
      <x:c r="H1336" s="2" t="n">
        <x:v>3</x:v>
      </x:c>
      <x:c r="I1336" s="2" t="str">
        <x:f>IF(B1336="","",'Motor_Meciuri'!H101)</x:f>
      </x:c>
      <x:c r="J1336" s="2" t="str">
        <x:f>IF(B1336="","",'Motor_Meciuri'!I101)</x:f>
      </x:c>
      <x:c r="K1336" s="11" t="str">
        <x:f>IF(J1336&lt;&gt;"PASS","",'Motor_Meciuri'!BD101)</x:f>
      </x:c>
      <x:c r="L1336" s="11" t="str">
        <x:f>IF(J1336&lt;&gt;"PASS","",'Motor_Meciuri'!AU101)</x:f>
      </x:c>
      <x:c r="M1336" s="10" t="str">
        <x:f>IF(NOT(AND(J1336="PASS",'Calibrare_Linii'!U6="VALID")),"",1-'Distributie'!AA101)</x:f>
      </x:c>
      <x:c r="N1336" s="10" t="str">
        <x:f>IF(M1336="","",MAX(0.01,MIN(0.99,0.5+(M1336-0.5)*'Motor_Meciuri'!BG101*'Calibrare_Linii'!D6)))</x:f>
      </x:c>
      <x:c r="O1336" s="10" t="str">
        <x:f>IF(M1336="","",1-M1336)</x:f>
      </x:c>
      <x:c r="P1336" s="10" t="str">
        <x:f>IF(OR(NOT(AND(J1336="PASS",'Calibrare_Linii'!U6="VALID")),AK1336=0),""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*('Istoric_Nativ'!$Q$6:$Q$405&lt;=H1336))/AK1336)</x:f>
      </x:c>
      <x:c r="Q1336" s="10" t="str">
        <x:f>IF(OR(NOT(AND(J1336="PASS",'Calibrare_Linii'!U6="VALID")),AL1336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M101)+((('Istoric_Nativ'!$E$6:$E$405='Input_Meci'!E101)+('Istoric_Nativ'!$F$6:$F$405='Input_Meci'!E101))&gt;0)*('Istoric_Nativ'!$D$6:$D$405&gt;='Motor_Meciuri'!BN101))&gt;0)*('Istoric_Nativ'!$Q$6:$Q$405&lt;=H1336))/AL1336)</x:f>
      </x:c>
      <x:c r="R1336" s="10" t="str">
        <x:f>IF(OR(NOT(AND(J1336="PASS",'Calibrare_Linii'!U6="VALID")),AM1336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O101)+((('Istoric_Nativ'!$E$6:$E$405='Input_Meci'!E101)+('Istoric_Nativ'!$F$6:$F$405='Input_Meci'!E101))&gt;0)*('Istoric_Nativ'!$D$6:$D$405&gt;='Motor_Meciuri'!BP101))&gt;0)*('Istoric_Nativ'!$Q$6:$Q$405&lt;=H1336))/AM1336)</x:f>
      </x:c>
      <x:c r="S1336" s="10" t="str">
        <x:f>IF(M1336="","",MAX(O1336,P1336,Q1336,R1336))</x:f>
      </x:c>
      <x:c r="T1336" s="11" t="str">
        <x:f>IF(M1336="","",MIN(100,S1336*100*'Config_v6'!$B$44+MIN(100,L1336/'Config_v6'!$B$13*100)*'Config_v6'!$B$45+(100-'Motor_Meciuri'!BF101)*'Config_v6'!$B$46+'Motor_Meciuri'!BH101*100*'Config_v6'!$B$47))</x:f>
      </x:c>
      <x:c r="U1336" s="2" t="str">
        <x:f>IF(T1336="","",IF(T1336&lt;=20,1,IF(T1336&lt;=40,2,IF(T1336&lt;=60,3,IF(T1336&lt;=80,4,5)))))</x:f>
      </x:c>
      <x:c r="V1336" s="2" t="str">
        <x:f>IF(M1336="","",MAX(0,'Motor_Meciuri'!BF101-IF(W1336="OOS PENDING",'Config_v6'!$B$35,0)-IF(L1336&gt;'Config_v6'!$B$12,'Config_v6'!$B$37,IF(L1336&gt;'Config_v6'!$B$11,'Config_v6'!$B$36,0))))</x:f>
      </x:c>
      <x:c r="W1336" s="2" t="str">
        <x:f>IF(B1336="","",IF(I1336&lt;&gt;"READY","NOT RELEASED",IF(NOT(AND(J1336="PASS",'Calibrare_Linii'!U6="VALID")),"INVALID",IF(NOT(TRUE),"OOS PENDING",IF(S1336&lt;=IF(AND('Calibrare_Linii'!S6="VALIDATED",AND('Calibrare_Linii'!H6=C1336,ISNUMBER('Calibrare_Linii'!J6),'Calibrare_Linii'!J6&lt;='Input_Meci'!G101)),'Calibrare_Linii'!E6,'Config_v6'!$B$26),"PASS",IF(S1336&lt;=IF(AND('Calibrare_Linii'!S6="VALIDATED",AND('Calibrare_Linii'!H6=C1336,ISNUMBER('Calibrare_Linii'!J6),'Calibrare_Linii'!J6&lt;='Input_Meci'!G101)),'Calibrare_Linii'!F6,'Config_v6'!$C$26),"PENALTY","WATCH"))))))</x:f>
      </x:c>
      <x:c r="X1336" s="2" t="str">
        <x:f>IF(M1336="","",IF(AND(AND(J1336="PASS",'Calibrare_Linii'!U6="VALID"),'Motor_Meciuri'!K101=12,'Motor_Meciuri'!L101=12,'Motor_Meciuri'!M101="NO",'Motor_Meciuri'!BL101='Motor_Meciuri'!C101,AB1336&gt;='Config_v6'!$B$50,AN1336&gt;='Config_v6'!$B$51,T1336&lt;='Config_v6'!$B$52,L1336&lt;='Config_v6'!$B$53,ISNUMBER('Calibrare_Linii'!E6),S1336&lt;='Calibrare_Linii'!E6,SUM(AK1336:AM1336)&gt;0),"CANDIDATE","NO"))</x:f>
      </x:c>
      <x:c r="Y1336" s="2" t="str">
        <x:f>IF(B1336="","",IF(I1336&lt;&gt;"READY","NOT RELEASED",IF(AND(X1336="CANDIDATE",V1336&gt;='Config_v6'!$B$51,W1336="PASS",'Calibrare_Linii'!T6="VALIDATED",AND('Calibrare_Linii'!H6=C1336,ISNUMBER('Calibrare_Linii'!J6),'Calibrare_Linii'!J6&lt;='Input_Meci'!G101)),"PASS",IF(X1336="CANDIDATE","OOS PENDING","FAIL"))))</x:f>
      </x:c>
      <x:c r="Z1336" s="2" t="str">
        <x:f>IF(B1336="","",IF(I1336&lt;&gt;"READY","",IF(OR(NOT(AND(J1336="PASS",'Calibrare_Linii'!U6="VALID")),L1336&gt;'Config_v6'!$B$13,W1336="WATCH"),5,IF(Y1336="PASS",1,MIN(5,MAX('Config_v6'!$B$42,U1336)+IF(W1336="PENALTY",1,0))))))</x:f>
      </x:c>
      <x:c r="AA1336" s="2" t="str">
        <x:f>IF(B1336="","",IF(I1336&lt;&gt;"READY","NOT RELEASED",IF(Z1336=5,"NO BET",IF(OR(AB1336&lt;'Config_v6'!$B$16,V1336&lt;'Config_v6'!$B$18),"WATCH",IF(Z1336=1,"DEFENSIV",IF(Z1336=2,"PRUDENT",IF(Z1336=3,"MODERAT","RIDICAT")))))))</x:f>
      </x:c>
      <x:c r="AB1336" s="10" t="str">
        <x:f>IF(N1336="","",MIN(N1336,1-S1336))</x:f>
      </x:c>
      <x:c r="AC1336" s="2" t="str">
        <x:f>IF(AD1336&lt;&gt;1,"",COUNTIFS($Z$1336:$Z$1349,"&lt;"&amp;Z1336,$AD$1336:$AD$1349,1)+COUNTIFS($Z$1336:$Z$1349,Z1336,$AB$1336:$AB$1349,"&gt;"&amp;AB1336,$AD$1336:$AD$1349,1)+COUNTIFS($Z$1336:$Z$1349,Z1336,$AB$1336:$AB$1349,AB1336,$V$1336:$V$1349,"&gt;"&amp;V1336,$AD$1336:$AD$1349,1)+COUNTIFS($Z$1336:Z1336,Z1336,$AB$1336:AB1336,AB1336,$V$1336:V1336,V1336,$AD$1336:AD1336,1))</x:f>
      </x:c>
      <x:c r="AD1336" s="2" t="n">
        <x:f>IF(OR(AA1336="DEFENSIV",AA1336="PRUDENT",AA1336="MODERAT",AA1336="RIDICAT"),1,0)</x:f>
        <x:v>0</x:v>
      </x:c>
      <x:c r="AE1336" s="2" t="str">
        <x:f>IF(AD1336&lt;&gt;1,"NO",IF(W1336="PASS","YES",IF(W1336="OOS PENDING","CONDITIONAL","NO")))</x:f>
        <x:v>NO</x:v>
      </x:c>
      <x:c r="AF1336" s="2" t="n">
        <x:f>IF(AND(AD1336=1,AC1336=1,E1336="LIVE"),1,0)</x:f>
        <x:v>0</x:v>
      </x:c>
      <x:c r="AG1336" s="2" t="str">
        <x:f>IF(AF1336&lt;&gt;1,"",'Dashboard'!P121)</x:f>
      </x:c>
      <x:c r="AH1336" s="2" t="str">
        <x:f>IF(B1336="","",IF(J1336&lt;&gt;"PASS",'Motor_Meciuri'!J101,IF('Calibrare_Linii'!U6&lt;&gt;"VALID","Parametri linie invalizi",IF(L1336&gt;'Config_v6'!$B$13,"Dispersie peste limita",IF(W1336="WATCH","Failure peste limita",IF(AB1336&lt;'Config_v6'!$B$16,"P finala sub prag",IF(V1336&lt;'Config_v6'!$B$18,"Confidence sub prag",IF(E1336="REPLAY","Exemplu retrospectiv; exclus din Top LIVE",IF(Y1336="PASS","DEFENSIV validat",IF(W1336="OOS PENDING","Eligibil; calibrare linie in monitorizare","Eligibil"))))))))))</x:f>
      </x:c>
      <x:c r="AI1336" s="2" t="str">
        <x:f>IF(B1336="","",'Calibrare_Linii'!V6)</x:f>
      </x:c>
      <x:c r="AJ1336" s="2" t="str">
        <x:f>IF(B1336="","",IF(AND('Calibrare_Linii'!T6="VALIDATED",AND('Calibrare_Linii'!H6=C1336,ISNUMBER('Calibrare_Linii'!J6),'Calibrare_Linii'!J6&lt;='Input_Meci'!G101)),"DEFENSIVE VALIDATED",IF(AND('Calibrare_Linii'!S6="VALIDATED",AND('Calibrare_Linii'!H6=C1336,ISNUMBER('Calibrare_Linii'!J6),'Calibrare_Linii'!J6&lt;='Input_Meci'!G101)),"TAIL VALIDATED","OOS PENDING")))</x:f>
      </x:c>
      <x:c r="AK1336" s="2" t="n">
        <x:f>IF(J1336&lt;&gt;"PASS",0,'Motor_Meciuri'!BR101)</x:f>
        <x:v>0</x:v>
      </x:c>
      <x:c r="AL1336" s="2" t="n">
        <x:f>IF(J1336&lt;&gt;"PASS",0,'Motor_Meciuri'!BS101)</x:f>
        <x:v>0</x:v>
      </x:c>
      <x:c r="AM1336" s="2" t="n">
        <x:f>IF(J1336&lt;&gt;"PASS",0,'Motor_Meciuri'!BT101)</x:f>
        <x:v>0</x:v>
      </x:c>
      <x:c r="AN1336" s="2" t="str">
        <x:f>IF(M1336="","",MAX(0,'Motor_Meciuri'!BF101-IF(L1336&gt;'Config_v6'!$B$12,'Config_v6'!$B$37,IF(L1336&gt;'Config_v6'!$B$11,'Config_v6'!$B$36,0))))</x:f>
      </x:c>
    </x:row>
    <x:row r="1337" ht="21" customHeight="1">
      <x:c r="A1337" s="2" t="n">
        <x:v>96</x:v>
      </x:c>
      <x:c r="B1337" s="2" t="str">
        <x:f>IF('Motor_Meciuri'!A101="","",'Motor_Meciuri'!A101)</x:f>
      </x:c>
      <x:c r="C1337" s="2" t="str">
        <x:f>IF(B1337="","",'Motor_Meciuri'!B101)</x:f>
      </x:c>
      <x:c r="D1337" s="2" t="str">
        <x:f>IF(B1337="","",'Motor_Meciuri'!D101)</x:f>
      </x:c>
      <x:c r="E1337" s="2" t="str">
        <x:f>IF(B1337="","",'Motor_Meciuri'!E101)</x:f>
      </x:c>
      <x:c r="F1337" s="2" t="str">
        <x:v>O4,5</x:v>
      </x:c>
      <x:c r="G1337" s="2" t="str">
        <x:v>OVER</x:v>
      </x:c>
      <x:c r="H1337" s="2" t="n">
        <x:v>4</x:v>
      </x:c>
      <x:c r="I1337" s="2" t="str">
        <x:f>IF(B1337="","",'Motor_Meciuri'!H101)</x:f>
      </x:c>
      <x:c r="J1337" s="2" t="str">
        <x:f>IF(B1337="","",'Motor_Meciuri'!I101)</x:f>
      </x:c>
      <x:c r="K1337" s="11" t="str">
        <x:f>IF(J1337&lt;&gt;"PASS","",'Motor_Meciuri'!BD101)</x:f>
      </x:c>
      <x:c r="L1337" s="11" t="str">
        <x:f>IF(J1337&lt;&gt;"PASS","",'Motor_Meciuri'!AU101)</x:f>
      </x:c>
      <x:c r="M1337" s="10" t="str">
        <x:f>IF(NOT(AND(J1337="PASS",'Calibrare_Linii'!U7="VALID")),"",1-'Distributie'!AB101)</x:f>
      </x:c>
      <x:c r="N1337" s="10" t="str">
        <x:f>IF(M1337="","",MAX(0.01,MIN(0.99,0.5+(M1337-0.5)*'Motor_Meciuri'!BG101*'Calibrare_Linii'!D7)))</x:f>
      </x:c>
      <x:c r="O1337" s="10" t="str">
        <x:f>IF(M1337="","",1-M1337)</x:f>
      </x:c>
      <x:c r="P1337" s="10" t="str">
        <x:f>IF(OR(NOT(AND(J1337="PASS",'Calibrare_Linii'!U7="VALID")),AK1337=0),""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*('Istoric_Nativ'!$Q$6:$Q$405&lt;=H1337))/AK1337)</x:f>
      </x:c>
      <x:c r="Q1337" s="10" t="str">
        <x:f>IF(OR(NOT(AND(J1337="PASS",'Calibrare_Linii'!U7="VALID")),AL1337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M101)+((('Istoric_Nativ'!$E$6:$E$405='Input_Meci'!E101)+('Istoric_Nativ'!$F$6:$F$405='Input_Meci'!E101))&gt;0)*('Istoric_Nativ'!$D$6:$D$405&gt;='Motor_Meciuri'!BN101))&gt;0)*('Istoric_Nativ'!$Q$6:$Q$405&lt;=H1337))/AL1337)</x:f>
      </x:c>
      <x:c r="R1337" s="10" t="str">
        <x:f>IF(OR(NOT(AND(J1337="PASS",'Calibrare_Linii'!U7="VALID")),AM1337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O101)+((('Istoric_Nativ'!$E$6:$E$405='Input_Meci'!E101)+('Istoric_Nativ'!$F$6:$F$405='Input_Meci'!E101))&gt;0)*('Istoric_Nativ'!$D$6:$D$405&gt;='Motor_Meciuri'!BP101))&gt;0)*('Istoric_Nativ'!$Q$6:$Q$405&lt;=H1337))/AM1337)</x:f>
      </x:c>
      <x:c r="S1337" s="10" t="str">
        <x:f>IF(M1337="","",MAX(O1337,P1337,Q1337,R1337))</x:f>
      </x:c>
      <x:c r="T1337" s="11" t="str">
        <x:f>IF(M1337="","",MIN(100,S1337*100*'Config_v6'!$B$44+MIN(100,L1337/'Config_v6'!$B$13*100)*'Config_v6'!$B$45+(100-'Motor_Meciuri'!BF101)*'Config_v6'!$B$46+'Motor_Meciuri'!BH101*100*'Config_v6'!$B$47))</x:f>
      </x:c>
      <x:c r="U1337" s="2" t="str">
        <x:f>IF(T1337="","",IF(T1337&lt;=20,1,IF(T1337&lt;=40,2,IF(T1337&lt;=60,3,IF(T1337&lt;=80,4,5)))))</x:f>
      </x:c>
      <x:c r="V1337" s="2" t="str">
        <x:f>IF(M1337="","",MAX(0,'Motor_Meciuri'!BF101-IF(W1337="OOS PENDING",'Config_v6'!$B$35,0)-IF(L1337&gt;'Config_v6'!$B$12,'Config_v6'!$B$37,IF(L1337&gt;'Config_v6'!$B$11,'Config_v6'!$B$36,0))))</x:f>
      </x:c>
      <x:c r="W1337" s="2" t="str">
        <x:f>IF(B1337="","",IF(I1337&lt;&gt;"READY","NOT RELEASED",IF(NOT(AND(J1337="PASS",'Calibrare_Linii'!U7="VALID")),"INVALID",IF(NOT(AND('Calibrare_Linii'!S7="VALIDATED",AND('Calibrare_Linii'!H7=C1337,ISNUMBER('Calibrare_Linii'!J7),'Calibrare_Linii'!J7&lt;='Input_Meci'!G101))),"OOS PENDING",IF(S1337&lt;='Calibrare_Linii'!E7,"PASS",IF(S1337&lt;='Calibrare_Linii'!F7,"PENALTY","WATCH"))))))</x:f>
      </x:c>
      <x:c r="X1337" s="2" t="str">
        <x:f>IF(M1337="","",IF(AND(AND(J1337="PASS",'Calibrare_Linii'!U7="VALID"),'Motor_Meciuri'!K101=12,'Motor_Meciuri'!L101=12,'Motor_Meciuri'!M101="NO",'Motor_Meciuri'!BL101='Motor_Meciuri'!C101,AB1337&gt;='Config_v6'!$B$50,AN1337&gt;='Config_v6'!$B$51,T1337&lt;='Config_v6'!$B$52,L1337&lt;='Config_v6'!$B$53,ISNUMBER('Calibrare_Linii'!E7),S1337&lt;='Calibrare_Linii'!E7,SUM(AK1337:AM1337)&gt;0),"CANDIDATE","NO"))</x:f>
      </x:c>
      <x:c r="Y1337" s="2" t="str">
        <x:f>IF(B1337="","",IF(I1337&lt;&gt;"READY","NOT RELEASED",IF(AND(X1337="CANDIDATE",V1337&gt;='Config_v6'!$B$51,W1337="PASS",'Calibrare_Linii'!T7="VALIDATED",AND('Calibrare_Linii'!H7=C1337,ISNUMBER('Calibrare_Linii'!J7),'Calibrare_Linii'!J7&lt;='Input_Meci'!G101)),"PASS",IF(X1337="CANDIDATE","OOS PENDING","FAIL"))))</x:f>
      </x:c>
      <x:c r="Z1337" s="2" t="str">
        <x:f>IF(B1337="","",IF(I1337&lt;&gt;"READY","",IF(OR(NOT(AND(J1337="PASS",'Calibrare_Linii'!U7="VALID")),L1337&gt;'Config_v6'!$B$13,W1337="WATCH"),5,IF(Y1337="PASS",1,MIN(5,MAX('Config_v6'!$B$42,U1337)+IF(W1337="PENALTY",1,0))))))</x:f>
      </x:c>
      <x:c r="AA1337" s="2" t="str">
        <x:f>IF(B1337="","",IF(I1337&lt;&gt;"READY","NOT RELEASED",IF(Z1337=5,"NO BET",IF(OR(AB1337&lt;'Config_v6'!$B$16,V1337&lt;'Config_v6'!$B$18),"WATCH",IF(Z1337=1,"DEFENSIV",IF(Z1337=2,"PRUDENT",IF(Z1337=3,"MODERAT","RIDICAT")))))))</x:f>
      </x:c>
      <x:c r="AB1337" s="10" t="str">
        <x:f>IF(N1337="","",MIN(N1337,1-S1337))</x:f>
      </x:c>
      <x:c r="AC1337" s="2" t="str">
        <x:f>IF(AD1337&lt;&gt;1,"",COUNTIFS($Z$1336:$Z$1349,"&lt;"&amp;Z1337,$AD$1336:$AD$1349,1)+COUNTIFS($Z$1336:$Z$1349,Z1337,$AB$1336:$AB$1349,"&gt;"&amp;AB1337,$AD$1336:$AD$1349,1)+COUNTIFS($Z$1336:$Z$1349,Z1337,$AB$1336:$AB$1349,AB1337,$V$1336:$V$1349,"&gt;"&amp;V1337,$AD$1336:$AD$1349,1)+COUNTIFS($Z$1336:Z1337,Z1337,$AB$1336:AB1337,AB1337,$V$1336:V1337,V1337,$AD$1336:AD1337,1))</x:f>
      </x:c>
      <x:c r="AD1337" s="2" t="n">
        <x:f>IF(OR(AA1337="DEFENSIV",AA1337="PRUDENT",AA1337="MODERAT",AA1337="RIDICAT"),1,0)</x:f>
        <x:v>0</x:v>
      </x:c>
      <x:c r="AE1337" s="2" t="str">
        <x:f>IF(AD1337&lt;&gt;1,"NO",IF(W1337="PASS","YES",IF(W1337="OOS PENDING","CONDITIONAL","NO")))</x:f>
        <x:v>NO</x:v>
      </x:c>
      <x:c r="AF1337" s="2" t="n">
        <x:f>IF(AND(AD1337=1,AC1337=1,E1337="LIVE"),1,0)</x:f>
        <x:v>0</x:v>
      </x:c>
      <x:c r="AG1337" s="2" t="str">
        <x:f>IF(AF1337&lt;&gt;1,"",'Dashboard'!P121)</x:f>
      </x:c>
      <x:c r="AH1337" s="2" t="str">
        <x:f>IF(B1337="","",IF(J1337&lt;&gt;"PASS",'Motor_Meciuri'!J101,IF('Calibrare_Linii'!U7&lt;&gt;"VALID","Parametri linie invalizi",IF(L1337&gt;'Config_v6'!$B$13,"Dispersie peste limita",IF(W1337="WATCH","Failure peste limita",IF(AB1337&lt;'Config_v6'!$B$16,"P finala sub prag",IF(V1337&lt;'Config_v6'!$B$18,"Confidence sub prag",IF(E1337="REPLAY","Exemplu retrospectiv; exclus din Top LIVE",IF(Y1337="PASS","DEFENSIV validat",IF(W1337="OOS PENDING","Eligibil; calibrare linie in monitorizare","Eligibil"))))))))))</x:f>
      </x:c>
      <x:c r="AI1337" s="2" t="str">
        <x:f>IF(B1337="","",'Calibrare_Linii'!V7)</x:f>
      </x:c>
      <x:c r="AJ1337" s="2" t="str">
        <x:f>IF(B1337="","",IF(AND('Calibrare_Linii'!T7="VALIDATED",AND('Calibrare_Linii'!H7=C1337,ISNUMBER('Calibrare_Linii'!J7),'Calibrare_Linii'!J7&lt;='Input_Meci'!G101)),"DEFENSIVE VALIDATED",IF(AND('Calibrare_Linii'!S7="VALIDATED",AND('Calibrare_Linii'!H7=C1337,ISNUMBER('Calibrare_Linii'!J7),'Calibrare_Linii'!J7&lt;='Input_Meci'!G101)),"TAIL VALIDATED","OOS PENDING")))</x:f>
      </x:c>
      <x:c r="AK1337" s="2" t="n">
        <x:f>IF(J1337&lt;&gt;"PASS",0,'Motor_Meciuri'!BR101)</x:f>
        <x:v>0</x:v>
      </x:c>
      <x:c r="AL1337" s="2" t="n">
        <x:f>IF(J1337&lt;&gt;"PASS",0,'Motor_Meciuri'!BS101)</x:f>
        <x:v>0</x:v>
      </x:c>
      <x:c r="AM1337" s="2" t="n">
        <x:f>IF(J1337&lt;&gt;"PASS",0,'Motor_Meciuri'!BT101)</x:f>
        <x:v>0</x:v>
      </x:c>
      <x:c r="AN1337" s="2" t="str">
        <x:f>IF(M1337="","",MAX(0,'Motor_Meciuri'!BF101-IF(L1337&gt;'Config_v6'!$B$12,'Config_v6'!$B$37,IF(L1337&gt;'Config_v6'!$B$11,'Config_v6'!$B$36,0))))</x:f>
      </x:c>
    </x:row>
    <x:row r="1338" ht="21" customHeight="1">
      <x:c r="A1338" s="2" t="n">
        <x:v>96</x:v>
      </x:c>
      <x:c r="B1338" s="2" t="str">
        <x:f>IF('Motor_Meciuri'!A101="","",'Motor_Meciuri'!A101)</x:f>
      </x:c>
      <x:c r="C1338" s="2" t="str">
        <x:f>IF(B1338="","",'Motor_Meciuri'!B101)</x:f>
      </x:c>
      <x:c r="D1338" s="2" t="str">
        <x:f>IF(B1338="","",'Motor_Meciuri'!D101)</x:f>
      </x:c>
      <x:c r="E1338" s="2" t="str">
        <x:f>IF(B1338="","",'Motor_Meciuri'!E101)</x:f>
      </x:c>
      <x:c r="F1338" s="2" t="str">
        <x:v>O5,5</x:v>
      </x:c>
      <x:c r="G1338" s="2" t="str">
        <x:v>OVER</x:v>
      </x:c>
      <x:c r="H1338" s="2" t="n">
        <x:v>5</x:v>
      </x:c>
      <x:c r="I1338" s="2" t="str">
        <x:f>IF(B1338="","",'Motor_Meciuri'!H101)</x:f>
      </x:c>
      <x:c r="J1338" s="2" t="str">
        <x:f>IF(B1338="","",'Motor_Meciuri'!I101)</x:f>
      </x:c>
      <x:c r="K1338" s="11" t="str">
        <x:f>IF(J1338&lt;&gt;"PASS","",'Motor_Meciuri'!BD101)</x:f>
      </x:c>
      <x:c r="L1338" s="11" t="str">
        <x:f>IF(J1338&lt;&gt;"PASS","",'Motor_Meciuri'!AU101)</x:f>
      </x:c>
      <x:c r="M1338" s="10" t="str">
        <x:f>IF(NOT(AND(J1338="PASS",'Calibrare_Linii'!U8="VALID")),"",1-'Distributie'!AC101)</x:f>
      </x:c>
      <x:c r="N1338" s="10" t="str">
        <x:f>IF(M1338="","",MAX(0.01,MIN(0.99,0.5+(M1338-0.5)*'Motor_Meciuri'!BG101*'Calibrare_Linii'!D8)))</x:f>
      </x:c>
      <x:c r="O1338" s="10" t="str">
        <x:f>IF(M1338="","",1-M1338)</x:f>
      </x:c>
      <x:c r="P1338" s="10" t="str">
        <x:f>IF(OR(NOT(AND(J1338="PASS",'Calibrare_Linii'!U8="VALID")),AK1338=0),""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*('Istoric_Nativ'!$Q$6:$Q$405&lt;=H1338))/AK1338)</x:f>
      </x:c>
      <x:c r="Q1338" s="10" t="str">
        <x:f>IF(OR(NOT(AND(J1338="PASS",'Calibrare_Linii'!U8="VALID")),AL1338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M101)+((('Istoric_Nativ'!$E$6:$E$405='Input_Meci'!E101)+('Istoric_Nativ'!$F$6:$F$405='Input_Meci'!E101))&gt;0)*('Istoric_Nativ'!$D$6:$D$405&gt;='Motor_Meciuri'!BN101))&gt;0)*('Istoric_Nativ'!$Q$6:$Q$405&lt;=H1338))/AL1338)</x:f>
      </x:c>
      <x:c r="R1338" s="10" t="str">
        <x:f>IF(OR(NOT(AND(J1338="PASS",'Calibrare_Linii'!U8="VALID")),AM1338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O101)+((('Istoric_Nativ'!$E$6:$E$405='Input_Meci'!E101)+('Istoric_Nativ'!$F$6:$F$405='Input_Meci'!E101))&gt;0)*('Istoric_Nativ'!$D$6:$D$405&gt;='Motor_Meciuri'!BP101))&gt;0)*('Istoric_Nativ'!$Q$6:$Q$405&lt;=H1338))/AM1338)</x:f>
      </x:c>
      <x:c r="S1338" s="10" t="str">
        <x:f>IF(M1338="","",MAX(O1338,P1338,Q1338,R1338))</x:f>
      </x:c>
      <x:c r="T1338" s="11" t="str">
        <x:f>IF(M1338="","",MIN(100,S1338*100*'Config_v6'!$B$44+MIN(100,L1338/'Config_v6'!$B$13*100)*'Config_v6'!$B$45+(100-'Motor_Meciuri'!BF101)*'Config_v6'!$B$46+'Motor_Meciuri'!BH101*100*'Config_v6'!$B$47))</x:f>
      </x:c>
      <x:c r="U1338" s="2" t="str">
        <x:f>IF(T1338="","",IF(T1338&lt;=20,1,IF(T1338&lt;=40,2,IF(T1338&lt;=60,3,IF(T1338&lt;=80,4,5)))))</x:f>
      </x:c>
      <x:c r="V1338" s="2" t="str">
        <x:f>IF(M1338="","",MAX(0,'Motor_Meciuri'!BF101-IF(W1338="OOS PENDING",'Config_v6'!$B$35,0)-IF(L1338&gt;'Config_v6'!$B$12,'Config_v6'!$B$37,IF(L1338&gt;'Config_v6'!$B$11,'Config_v6'!$B$36,0))))</x:f>
      </x:c>
      <x:c r="W1338" s="2" t="str">
        <x:f>IF(B1338="","",IF(I1338&lt;&gt;"READY","NOT RELEASED",IF(NOT(AND(J1338="PASS",'Calibrare_Linii'!U8="VALID")),"INVALID",IF(NOT(AND('Calibrare_Linii'!S8="VALIDATED",AND('Calibrare_Linii'!H8=C1338,ISNUMBER('Calibrare_Linii'!J8),'Calibrare_Linii'!J8&lt;='Input_Meci'!G101))),"OOS PENDING",IF(S1338&lt;='Calibrare_Linii'!E8,"PASS",IF(S1338&lt;='Calibrare_Linii'!F8,"PENALTY","WATCH"))))))</x:f>
      </x:c>
      <x:c r="X1338" s="2" t="str">
        <x:f>IF(M1338="","",IF(AND(AND(J1338="PASS",'Calibrare_Linii'!U8="VALID"),'Motor_Meciuri'!K101=12,'Motor_Meciuri'!L101=12,'Motor_Meciuri'!M101="NO",'Motor_Meciuri'!BL101='Motor_Meciuri'!C101,AB1338&gt;='Config_v6'!$B$50,AN1338&gt;='Config_v6'!$B$51,T1338&lt;='Config_v6'!$B$52,L1338&lt;='Config_v6'!$B$53,ISNUMBER('Calibrare_Linii'!E8),S1338&lt;='Calibrare_Linii'!E8,SUM(AK1338:AM1338)&gt;0),"CANDIDATE","NO"))</x:f>
      </x:c>
      <x:c r="Y1338" s="2" t="str">
        <x:f>IF(B1338="","",IF(I1338&lt;&gt;"READY","NOT RELEASED",IF(AND(X1338="CANDIDATE",V1338&gt;='Config_v6'!$B$51,W1338="PASS",'Calibrare_Linii'!T8="VALIDATED",AND('Calibrare_Linii'!H8=C1338,ISNUMBER('Calibrare_Linii'!J8),'Calibrare_Linii'!J8&lt;='Input_Meci'!G101)),"PASS",IF(X1338="CANDIDATE","OOS PENDING","FAIL"))))</x:f>
      </x:c>
      <x:c r="Z1338" s="2" t="str">
        <x:f>IF(B1338="","",IF(I1338&lt;&gt;"READY","",IF(OR(NOT(AND(J1338="PASS",'Calibrare_Linii'!U8="VALID")),L1338&gt;'Config_v6'!$B$13,W1338="WATCH"),5,IF(Y1338="PASS",1,MIN(5,MAX('Config_v6'!$B$42,U1338)+IF(W1338="PENALTY",1,0))))))</x:f>
      </x:c>
      <x:c r="AA1338" s="2" t="str">
        <x:f>IF(B1338="","",IF(I1338&lt;&gt;"READY","NOT RELEASED",IF(Z1338=5,"NO BET",IF(OR(AB1338&lt;'Config_v6'!$B$16,V1338&lt;'Config_v6'!$B$18),"WATCH",IF(Z1338=1,"DEFENSIV",IF(Z1338=2,"PRUDENT",IF(Z1338=3,"MODERAT","RIDICAT")))))))</x:f>
      </x:c>
      <x:c r="AB1338" s="10" t="str">
        <x:f>IF(N1338="","",MIN(N1338,1-S1338))</x:f>
      </x:c>
      <x:c r="AC1338" s="2" t="str">
        <x:f>IF(AD1338&lt;&gt;1,"",COUNTIFS($Z$1336:$Z$1349,"&lt;"&amp;Z1338,$AD$1336:$AD$1349,1)+COUNTIFS($Z$1336:$Z$1349,Z1338,$AB$1336:$AB$1349,"&gt;"&amp;AB1338,$AD$1336:$AD$1349,1)+COUNTIFS($Z$1336:$Z$1349,Z1338,$AB$1336:$AB$1349,AB1338,$V$1336:$V$1349,"&gt;"&amp;V1338,$AD$1336:$AD$1349,1)+COUNTIFS($Z$1336:Z1338,Z1338,$AB$1336:AB1338,AB1338,$V$1336:V1338,V1338,$AD$1336:AD1338,1))</x:f>
      </x:c>
      <x:c r="AD1338" s="2" t="n">
        <x:f>IF(OR(AA1338="DEFENSIV",AA1338="PRUDENT",AA1338="MODERAT",AA1338="RIDICAT"),1,0)</x:f>
        <x:v>0</x:v>
      </x:c>
      <x:c r="AE1338" s="2" t="str">
        <x:f>IF(AD1338&lt;&gt;1,"NO",IF(W1338="PASS","YES",IF(W1338="OOS PENDING","CONDITIONAL","NO")))</x:f>
        <x:v>NO</x:v>
      </x:c>
      <x:c r="AF1338" s="2" t="n">
        <x:f>IF(AND(AD1338=1,AC1338=1,E1338="LIVE"),1,0)</x:f>
        <x:v>0</x:v>
      </x:c>
      <x:c r="AG1338" s="2" t="str">
        <x:f>IF(AF1338&lt;&gt;1,"",'Dashboard'!P121)</x:f>
      </x:c>
      <x:c r="AH1338" s="2" t="str">
        <x:f>IF(B1338="","",IF(J1338&lt;&gt;"PASS",'Motor_Meciuri'!J101,IF('Calibrare_Linii'!U8&lt;&gt;"VALID","Parametri linie invalizi",IF(L1338&gt;'Config_v6'!$B$13,"Dispersie peste limita",IF(W1338="WATCH","Failure peste limita",IF(AB1338&lt;'Config_v6'!$B$16,"P finala sub prag",IF(V1338&lt;'Config_v6'!$B$18,"Confidence sub prag",IF(E1338="REPLAY","Exemplu retrospectiv; exclus din Top LIVE",IF(Y1338="PASS","DEFENSIV validat",IF(W1338="OOS PENDING","Eligibil; calibrare linie in monitorizare","Eligibil"))))))))))</x:f>
      </x:c>
      <x:c r="AI1338" s="2" t="str">
        <x:f>IF(B1338="","",'Calibrare_Linii'!V8)</x:f>
      </x:c>
      <x:c r="AJ1338" s="2" t="str">
        <x:f>IF(B1338="","",IF(AND('Calibrare_Linii'!T8="VALIDATED",AND('Calibrare_Linii'!H8=C1338,ISNUMBER('Calibrare_Linii'!J8),'Calibrare_Linii'!J8&lt;='Input_Meci'!G101)),"DEFENSIVE VALIDATED",IF(AND('Calibrare_Linii'!S8="VALIDATED",AND('Calibrare_Linii'!H8=C1338,ISNUMBER('Calibrare_Linii'!J8),'Calibrare_Linii'!J8&lt;='Input_Meci'!G101)),"TAIL VALIDATED","OOS PENDING")))</x:f>
      </x:c>
      <x:c r="AK1338" s="2" t="n">
        <x:f>IF(J1338&lt;&gt;"PASS",0,'Motor_Meciuri'!BR101)</x:f>
        <x:v>0</x:v>
      </x:c>
      <x:c r="AL1338" s="2" t="n">
        <x:f>IF(J1338&lt;&gt;"PASS",0,'Motor_Meciuri'!BS101)</x:f>
        <x:v>0</x:v>
      </x:c>
      <x:c r="AM1338" s="2" t="n">
        <x:f>IF(J1338&lt;&gt;"PASS",0,'Motor_Meciuri'!BT101)</x:f>
        <x:v>0</x:v>
      </x:c>
      <x:c r="AN1338" s="2" t="str">
        <x:f>IF(M1338="","",MAX(0,'Motor_Meciuri'!BF101-IF(L1338&gt;'Config_v6'!$B$12,'Config_v6'!$B$37,IF(L1338&gt;'Config_v6'!$B$11,'Config_v6'!$B$36,0))))</x:f>
      </x:c>
    </x:row>
    <x:row r="1339" ht="21" customHeight="1">
      <x:c r="A1339" s="2" t="n">
        <x:v>96</x:v>
      </x:c>
      <x:c r="B1339" s="2" t="str">
        <x:f>IF('Motor_Meciuri'!A101="","",'Motor_Meciuri'!A101)</x:f>
      </x:c>
      <x:c r="C1339" s="2" t="str">
        <x:f>IF(B1339="","",'Motor_Meciuri'!B101)</x:f>
      </x:c>
      <x:c r="D1339" s="2" t="str">
        <x:f>IF(B1339="","",'Motor_Meciuri'!D101)</x:f>
      </x:c>
      <x:c r="E1339" s="2" t="str">
        <x:f>IF(B1339="","",'Motor_Meciuri'!E101)</x:f>
      </x:c>
      <x:c r="F1339" s="2" t="str">
        <x:v>O6,5</x:v>
      </x:c>
      <x:c r="G1339" s="2" t="str">
        <x:v>OVER</x:v>
      </x:c>
      <x:c r="H1339" s="2" t="n">
        <x:v>6</x:v>
      </x:c>
      <x:c r="I1339" s="2" t="str">
        <x:f>IF(B1339="","",'Motor_Meciuri'!H101)</x:f>
      </x:c>
      <x:c r="J1339" s="2" t="str">
        <x:f>IF(B1339="","",'Motor_Meciuri'!I101)</x:f>
      </x:c>
      <x:c r="K1339" s="11" t="str">
        <x:f>IF(J1339&lt;&gt;"PASS","",'Motor_Meciuri'!BD101)</x:f>
      </x:c>
      <x:c r="L1339" s="11" t="str">
        <x:f>IF(J1339&lt;&gt;"PASS","",'Motor_Meciuri'!AU101)</x:f>
      </x:c>
      <x:c r="M1339" s="10" t="str">
        <x:f>IF(NOT(AND(J1339="PASS",'Calibrare_Linii'!U9="VALID")),"",1-'Distributie'!AD101)</x:f>
      </x:c>
      <x:c r="N1339" s="10" t="str">
        <x:f>IF(M1339="","",MAX(0.01,MIN(0.99,0.5+(M1339-0.5)*'Motor_Meciuri'!BG101*'Calibrare_Linii'!D9)))</x:f>
      </x:c>
      <x:c r="O1339" s="10" t="str">
        <x:f>IF(M1339="","",1-M1339)</x:f>
      </x:c>
      <x:c r="P1339" s="10" t="str">
        <x:f>IF(OR(NOT(AND(J1339="PASS",'Calibrare_Linii'!U9="VALID")),AK1339=0),""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*('Istoric_Nativ'!$Q$6:$Q$405&lt;=H1339))/AK1339)</x:f>
      </x:c>
      <x:c r="Q1339" s="10" t="str">
        <x:f>IF(OR(NOT(AND(J1339="PASS",'Calibrare_Linii'!U9="VALID")),AL1339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M101)+((('Istoric_Nativ'!$E$6:$E$405='Input_Meci'!E101)+('Istoric_Nativ'!$F$6:$F$405='Input_Meci'!E101))&gt;0)*('Istoric_Nativ'!$D$6:$D$405&gt;='Motor_Meciuri'!BN101))&gt;0)*('Istoric_Nativ'!$Q$6:$Q$405&lt;=H1339))/AL1339)</x:f>
      </x:c>
      <x:c r="R1339" s="10" t="str">
        <x:f>IF(OR(NOT(AND(J1339="PASS",'Calibrare_Linii'!U9="VALID")),AM1339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O101)+((('Istoric_Nativ'!$E$6:$E$405='Input_Meci'!E101)+('Istoric_Nativ'!$F$6:$F$405='Input_Meci'!E101))&gt;0)*('Istoric_Nativ'!$D$6:$D$405&gt;='Motor_Meciuri'!BP101))&gt;0)*('Istoric_Nativ'!$Q$6:$Q$405&lt;=H1339))/AM1339)</x:f>
      </x:c>
      <x:c r="S1339" s="10" t="str">
        <x:f>IF(M1339="","",MAX(O1339,P1339,Q1339,R1339))</x:f>
      </x:c>
      <x:c r="T1339" s="11" t="str">
        <x:f>IF(M1339="","",MIN(100,S1339*100*'Config_v6'!$B$44+MIN(100,L1339/'Config_v6'!$B$13*100)*'Config_v6'!$B$45+(100-'Motor_Meciuri'!BF101)*'Config_v6'!$B$46+'Motor_Meciuri'!BH101*100*'Config_v6'!$B$47))</x:f>
      </x:c>
      <x:c r="U1339" s="2" t="str">
        <x:f>IF(T1339="","",IF(T1339&lt;=20,1,IF(T1339&lt;=40,2,IF(T1339&lt;=60,3,IF(T1339&lt;=80,4,5)))))</x:f>
      </x:c>
      <x:c r="V1339" s="2" t="str">
        <x:f>IF(M1339="","",MAX(0,'Motor_Meciuri'!BF101-IF(W1339="OOS PENDING",'Config_v6'!$B$35,0)-IF(L1339&gt;'Config_v6'!$B$12,'Config_v6'!$B$37,IF(L1339&gt;'Config_v6'!$B$11,'Config_v6'!$B$36,0))))</x:f>
      </x:c>
      <x:c r="W1339" s="2" t="str">
        <x:f>IF(B1339="","",IF(I1339&lt;&gt;"READY","NOT RELEASED",IF(NOT(AND(J1339="PASS",'Calibrare_Linii'!U9="VALID")),"INVALID",IF(NOT(AND('Calibrare_Linii'!S9="VALIDATED",AND('Calibrare_Linii'!H9=C1339,ISNUMBER('Calibrare_Linii'!J9),'Calibrare_Linii'!J9&lt;='Input_Meci'!G101))),"OOS PENDING",IF(S1339&lt;='Calibrare_Linii'!E9,"PASS",IF(S1339&lt;='Calibrare_Linii'!F9,"PENALTY","WATCH"))))))</x:f>
      </x:c>
      <x:c r="X1339" s="2" t="str">
        <x:f>IF(M1339="","",IF(AND(AND(J1339="PASS",'Calibrare_Linii'!U9="VALID"),'Motor_Meciuri'!K101=12,'Motor_Meciuri'!L101=12,'Motor_Meciuri'!M101="NO",'Motor_Meciuri'!BL101='Motor_Meciuri'!C101,AB1339&gt;='Config_v6'!$B$50,AN1339&gt;='Config_v6'!$B$51,T1339&lt;='Config_v6'!$B$52,L1339&lt;='Config_v6'!$B$53,ISNUMBER('Calibrare_Linii'!E9),S1339&lt;='Calibrare_Linii'!E9,SUM(AK1339:AM1339)&gt;0),"CANDIDATE","NO"))</x:f>
      </x:c>
      <x:c r="Y1339" s="2" t="str">
        <x:f>IF(B1339="","",IF(I1339&lt;&gt;"READY","NOT RELEASED",IF(AND(X1339="CANDIDATE",V1339&gt;='Config_v6'!$B$51,W1339="PASS",'Calibrare_Linii'!T9="VALIDATED",AND('Calibrare_Linii'!H9=C1339,ISNUMBER('Calibrare_Linii'!J9),'Calibrare_Linii'!J9&lt;='Input_Meci'!G101)),"PASS",IF(X1339="CANDIDATE","OOS PENDING","FAIL"))))</x:f>
      </x:c>
      <x:c r="Z1339" s="2" t="str">
        <x:f>IF(B1339="","",IF(I1339&lt;&gt;"READY","",IF(OR(NOT(AND(J1339="PASS",'Calibrare_Linii'!U9="VALID")),L1339&gt;'Config_v6'!$B$13,W1339="WATCH"),5,IF(Y1339="PASS",1,MIN(5,MAX('Config_v6'!$B$42,U1339)+IF(W1339="PENALTY",1,0))))))</x:f>
      </x:c>
      <x:c r="AA1339" s="2" t="str">
        <x:f>IF(B1339="","",IF(I1339&lt;&gt;"READY","NOT RELEASED",IF(Z1339=5,"NO BET",IF(OR(AB1339&lt;'Config_v6'!$B$16,V1339&lt;'Config_v6'!$B$18),"WATCH",IF(Z1339=1,"DEFENSIV",IF(Z1339=2,"PRUDENT",IF(Z1339=3,"MODERAT","RIDICAT")))))))</x:f>
      </x:c>
      <x:c r="AB1339" s="10" t="str">
        <x:f>IF(N1339="","",MIN(N1339,1-S1339))</x:f>
      </x:c>
      <x:c r="AC1339" s="2" t="str">
        <x:f>IF(AD1339&lt;&gt;1,"",COUNTIFS($Z$1336:$Z$1349,"&lt;"&amp;Z1339,$AD$1336:$AD$1349,1)+COUNTIFS($Z$1336:$Z$1349,Z1339,$AB$1336:$AB$1349,"&gt;"&amp;AB1339,$AD$1336:$AD$1349,1)+COUNTIFS($Z$1336:$Z$1349,Z1339,$AB$1336:$AB$1349,AB1339,$V$1336:$V$1349,"&gt;"&amp;V1339,$AD$1336:$AD$1349,1)+COUNTIFS($Z$1336:Z1339,Z1339,$AB$1336:AB1339,AB1339,$V$1336:V1339,V1339,$AD$1336:AD1339,1))</x:f>
      </x:c>
      <x:c r="AD1339" s="2" t="n">
        <x:f>IF(OR(AA1339="DEFENSIV",AA1339="PRUDENT",AA1339="MODERAT",AA1339="RIDICAT"),1,0)</x:f>
        <x:v>0</x:v>
      </x:c>
      <x:c r="AE1339" s="2" t="str">
        <x:f>IF(AD1339&lt;&gt;1,"NO",IF(W1339="PASS","YES",IF(W1339="OOS PENDING","CONDITIONAL","NO")))</x:f>
        <x:v>NO</x:v>
      </x:c>
      <x:c r="AF1339" s="2" t="n">
        <x:f>IF(AND(AD1339=1,AC1339=1,E1339="LIVE"),1,0)</x:f>
        <x:v>0</x:v>
      </x:c>
      <x:c r="AG1339" s="2" t="str">
        <x:f>IF(AF1339&lt;&gt;1,"",'Dashboard'!P121)</x:f>
      </x:c>
      <x:c r="AH1339" s="2" t="str">
        <x:f>IF(B1339="","",IF(J1339&lt;&gt;"PASS",'Motor_Meciuri'!J101,IF('Calibrare_Linii'!U9&lt;&gt;"VALID","Parametri linie invalizi",IF(L1339&gt;'Config_v6'!$B$13,"Dispersie peste limita",IF(W1339="WATCH","Failure peste limita",IF(AB1339&lt;'Config_v6'!$B$16,"P finala sub prag",IF(V1339&lt;'Config_v6'!$B$18,"Confidence sub prag",IF(E1339="REPLAY","Exemplu retrospectiv; exclus din Top LIVE",IF(Y1339="PASS","DEFENSIV validat",IF(W1339="OOS PENDING","Eligibil; calibrare linie in monitorizare","Eligibil"))))))))))</x:f>
      </x:c>
      <x:c r="AI1339" s="2" t="str">
        <x:f>IF(B1339="","",'Calibrare_Linii'!V9)</x:f>
      </x:c>
      <x:c r="AJ1339" s="2" t="str">
        <x:f>IF(B1339="","",IF(AND('Calibrare_Linii'!T9="VALIDATED",AND('Calibrare_Linii'!H9=C1339,ISNUMBER('Calibrare_Linii'!J9),'Calibrare_Linii'!J9&lt;='Input_Meci'!G101)),"DEFENSIVE VALIDATED",IF(AND('Calibrare_Linii'!S9="VALIDATED",AND('Calibrare_Linii'!H9=C1339,ISNUMBER('Calibrare_Linii'!J9),'Calibrare_Linii'!J9&lt;='Input_Meci'!G101)),"TAIL VALIDATED","OOS PENDING")))</x:f>
      </x:c>
      <x:c r="AK1339" s="2" t="n">
        <x:f>IF(J1339&lt;&gt;"PASS",0,'Motor_Meciuri'!BR101)</x:f>
        <x:v>0</x:v>
      </x:c>
      <x:c r="AL1339" s="2" t="n">
        <x:f>IF(J1339&lt;&gt;"PASS",0,'Motor_Meciuri'!BS101)</x:f>
        <x:v>0</x:v>
      </x:c>
      <x:c r="AM1339" s="2" t="n">
        <x:f>IF(J1339&lt;&gt;"PASS",0,'Motor_Meciuri'!BT101)</x:f>
        <x:v>0</x:v>
      </x:c>
      <x:c r="AN1339" s="2" t="str">
        <x:f>IF(M1339="","",MAX(0,'Motor_Meciuri'!BF101-IF(L1339&gt;'Config_v6'!$B$12,'Config_v6'!$B$37,IF(L1339&gt;'Config_v6'!$B$11,'Config_v6'!$B$36,0))))</x:f>
      </x:c>
    </x:row>
    <x:row r="1340" ht="21" customHeight="1">
      <x:c r="A1340" s="2" t="n">
        <x:v>96</x:v>
      </x:c>
      <x:c r="B1340" s="2" t="str">
        <x:f>IF('Motor_Meciuri'!A101="","",'Motor_Meciuri'!A101)</x:f>
      </x:c>
      <x:c r="C1340" s="2" t="str">
        <x:f>IF(B1340="","",'Motor_Meciuri'!B101)</x:f>
      </x:c>
      <x:c r="D1340" s="2" t="str">
        <x:f>IF(B1340="","",'Motor_Meciuri'!D101)</x:f>
      </x:c>
      <x:c r="E1340" s="2" t="str">
        <x:f>IF(B1340="","",'Motor_Meciuri'!E101)</x:f>
      </x:c>
      <x:c r="F1340" s="2" t="str">
        <x:v>O7,5</x:v>
      </x:c>
      <x:c r="G1340" s="2" t="str">
        <x:v>OVER</x:v>
      </x:c>
      <x:c r="H1340" s="2" t="n">
        <x:v>7</x:v>
      </x:c>
      <x:c r="I1340" s="2" t="str">
        <x:f>IF(B1340="","",'Motor_Meciuri'!H101)</x:f>
      </x:c>
      <x:c r="J1340" s="2" t="str">
        <x:f>IF(B1340="","",'Motor_Meciuri'!I101)</x:f>
      </x:c>
      <x:c r="K1340" s="11" t="str">
        <x:f>IF(J1340&lt;&gt;"PASS","",'Motor_Meciuri'!BD101)</x:f>
      </x:c>
      <x:c r="L1340" s="11" t="str">
        <x:f>IF(J1340&lt;&gt;"PASS","",'Motor_Meciuri'!AU101)</x:f>
      </x:c>
      <x:c r="M1340" s="10" t="str">
        <x:f>IF(NOT(AND(J1340="PASS",'Calibrare_Linii'!U10="VALID")),"",1-'Distributie'!AE101)</x:f>
      </x:c>
      <x:c r="N1340" s="10" t="str">
        <x:f>IF(M1340="","",MAX(0.01,MIN(0.99,0.5+(M1340-0.5)*'Motor_Meciuri'!BG101*'Calibrare_Linii'!D10)))</x:f>
      </x:c>
      <x:c r="O1340" s="10" t="str">
        <x:f>IF(M1340="","",1-M1340)</x:f>
      </x:c>
      <x:c r="P1340" s="10" t="str">
        <x:f>IF(OR(NOT(AND(J1340="PASS",'Calibrare_Linii'!U10="VALID")),AK1340=0),""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*('Istoric_Nativ'!$Q$6:$Q$405&lt;=H1340))/AK1340)</x:f>
      </x:c>
      <x:c r="Q1340" s="10" t="str">
        <x:f>IF(OR(NOT(AND(J1340="PASS",'Calibrare_Linii'!U10="VALID")),AL1340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M101)+((('Istoric_Nativ'!$E$6:$E$405='Input_Meci'!E101)+('Istoric_Nativ'!$F$6:$F$405='Input_Meci'!E101))&gt;0)*('Istoric_Nativ'!$D$6:$D$405&gt;='Motor_Meciuri'!BN101))&gt;0)*('Istoric_Nativ'!$Q$6:$Q$405&lt;=H1340))/AL1340)</x:f>
      </x:c>
      <x:c r="R1340" s="10" t="str">
        <x:f>IF(OR(NOT(AND(J1340="PASS",'Calibrare_Linii'!U10="VALID")),AM1340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O101)+((('Istoric_Nativ'!$E$6:$E$405='Input_Meci'!E101)+('Istoric_Nativ'!$F$6:$F$405='Input_Meci'!E101))&gt;0)*('Istoric_Nativ'!$D$6:$D$405&gt;='Motor_Meciuri'!BP101))&gt;0)*('Istoric_Nativ'!$Q$6:$Q$405&lt;=H1340))/AM1340)</x:f>
      </x:c>
      <x:c r="S1340" s="10" t="str">
        <x:f>IF(M1340="","",MAX(O1340,P1340,Q1340,R1340))</x:f>
      </x:c>
      <x:c r="T1340" s="11" t="str">
        <x:f>IF(M1340="","",MIN(100,S1340*100*'Config_v6'!$B$44+MIN(100,L1340/'Config_v6'!$B$13*100)*'Config_v6'!$B$45+(100-'Motor_Meciuri'!BF101)*'Config_v6'!$B$46+'Motor_Meciuri'!BH101*100*'Config_v6'!$B$47))</x:f>
      </x:c>
      <x:c r="U1340" s="2" t="str">
        <x:f>IF(T1340="","",IF(T1340&lt;=20,1,IF(T1340&lt;=40,2,IF(T1340&lt;=60,3,IF(T1340&lt;=80,4,5)))))</x:f>
      </x:c>
      <x:c r="V1340" s="2" t="str">
        <x:f>IF(M1340="","",MAX(0,'Motor_Meciuri'!BF101-IF(W1340="OOS PENDING",'Config_v6'!$B$35,0)-IF(L1340&gt;'Config_v6'!$B$12,'Config_v6'!$B$37,IF(L1340&gt;'Config_v6'!$B$11,'Config_v6'!$B$36,0))))</x:f>
      </x:c>
      <x:c r="W1340" s="2" t="str">
        <x:f>IF(B1340="","",IF(I1340&lt;&gt;"READY","NOT RELEASED",IF(NOT(AND(J1340="PASS",'Calibrare_Linii'!U10="VALID")),"INVALID",IF(NOT(AND('Calibrare_Linii'!S10="VALIDATED",AND('Calibrare_Linii'!H10=C1340,ISNUMBER('Calibrare_Linii'!J10),'Calibrare_Linii'!J10&lt;='Input_Meci'!G101))),"OOS PENDING",IF(S1340&lt;='Calibrare_Linii'!E10,"PASS",IF(S1340&lt;='Calibrare_Linii'!F10,"PENALTY","WATCH"))))))</x:f>
      </x:c>
      <x:c r="X1340" s="2" t="str">
        <x:f>IF(M1340="","",IF(AND(AND(J1340="PASS",'Calibrare_Linii'!U10="VALID"),'Motor_Meciuri'!K101=12,'Motor_Meciuri'!L101=12,'Motor_Meciuri'!M101="NO",'Motor_Meciuri'!BL101='Motor_Meciuri'!C101,AB1340&gt;='Config_v6'!$B$50,AN1340&gt;='Config_v6'!$B$51,T1340&lt;='Config_v6'!$B$52,L1340&lt;='Config_v6'!$B$53,ISNUMBER('Calibrare_Linii'!E10),S1340&lt;='Calibrare_Linii'!E10,SUM(AK1340:AM1340)&gt;0),"CANDIDATE","NO"))</x:f>
      </x:c>
      <x:c r="Y1340" s="2" t="str">
        <x:f>IF(B1340="","",IF(I1340&lt;&gt;"READY","NOT RELEASED",IF(AND(X1340="CANDIDATE",V1340&gt;='Config_v6'!$B$51,W1340="PASS",'Calibrare_Linii'!T10="VALIDATED",AND('Calibrare_Linii'!H10=C1340,ISNUMBER('Calibrare_Linii'!J10),'Calibrare_Linii'!J10&lt;='Input_Meci'!G101)),"PASS",IF(X1340="CANDIDATE","OOS PENDING","FAIL"))))</x:f>
      </x:c>
      <x:c r="Z1340" s="2" t="str">
        <x:f>IF(B1340="","",IF(I1340&lt;&gt;"READY","",IF(OR(NOT(AND(J1340="PASS",'Calibrare_Linii'!U10="VALID")),L1340&gt;'Config_v6'!$B$13,W1340="WATCH"),5,IF(Y1340="PASS",1,MIN(5,MAX('Config_v6'!$B$42,U1340)+IF(W1340="PENALTY",1,0))))))</x:f>
      </x:c>
      <x:c r="AA1340" s="2" t="str">
        <x:f>IF(B1340="","",IF(I1340&lt;&gt;"READY","NOT RELEASED",IF(Z1340=5,"NO BET",IF(OR(AB1340&lt;'Config_v6'!$B$16,V1340&lt;'Config_v6'!$B$18),"WATCH",IF(Z1340=1,"DEFENSIV",IF(Z1340=2,"PRUDENT",IF(Z1340=3,"MODERAT","RIDICAT")))))))</x:f>
      </x:c>
      <x:c r="AB1340" s="10" t="str">
        <x:f>IF(N1340="","",MIN(N1340,1-S1340))</x:f>
      </x:c>
      <x:c r="AC1340" s="2" t="str">
        <x:f>IF(AD1340&lt;&gt;1,"",COUNTIFS($Z$1336:$Z$1349,"&lt;"&amp;Z1340,$AD$1336:$AD$1349,1)+COUNTIFS($Z$1336:$Z$1349,Z1340,$AB$1336:$AB$1349,"&gt;"&amp;AB1340,$AD$1336:$AD$1349,1)+COUNTIFS($Z$1336:$Z$1349,Z1340,$AB$1336:$AB$1349,AB1340,$V$1336:$V$1349,"&gt;"&amp;V1340,$AD$1336:$AD$1349,1)+COUNTIFS($Z$1336:Z1340,Z1340,$AB$1336:AB1340,AB1340,$V$1336:V1340,V1340,$AD$1336:AD1340,1))</x:f>
      </x:c>
      <x:c r="AD1340" s="2" t="n">
        <x:f>IF(OR(AA1340="DEFENSIV",AA1340="PRUDENT",AA1340="MODERAT",AA1340="RIDICAT"),1,0)</x:f>
        <x:v>0</x:v>
      </x:c>
      <x:c r="AE1340" s="2" t="str">
        <x:f>IF(AD1340&lt;&gt;1,"NO",IF(W1340="PASS","YES",IF(W1340="OOS PENDING","CONDITIONAL","NO")))</x:f>
        <x:v>NO</x:v>
      </x:c>
      <x:c r="AF1340" s="2" t="n">
        <x:f>IF(AND(AD1340=1,AC1340=1,E1340="LIVE"),1,0)</x:f>
        <x:v>0</x:v>
      </x:c>
      <x:c r="AG1340" s="2" t="str">
        <x:f>IF(AF1340&lt;&gt;1,"",'Dashboard'!P121)</x:f>
      </x:c>
      <x:c r="AH1340" s="2" t="str">
        <x:f>IF(B1340="","",IF(J1340&lt;&gt;"PASS",'Motor_Meciuri'!J101,IF('Calibrare_Linii'!U10&lt;&gt;"VALID","Parametri linie invalizi",IF(L1340&gt;'Config_v6'!$B$13,"Dispersie peste limita",IF(W1340="WATCH","Failure peste limita",IF(AB1340&lt;'Config_v6'!$B$16,"P finala sub prag",IF(V1340&lt;'Config_v6'!$B$18,"Confidence sub prag",IF(E1340="REPLAY","Exemplu retrospectiv; exclus din Top LIVE",IF(Y1340="PASS","DEFENSIV validat",IF(W1340="OOS PENDING","Eligibil; calibrare linie in monitorizare","Eligibil"))))))))))</x:f>
      </x:c>
      <x:c r="AI1340" s="2" t="str">
        <x:f>IF(B1340="","",'Calibrare_Linii'!V10)</x:f>
      </x:c>
      <x:c r="AJ1340" s="2" t="str">
        <x:f>IF(B1340="","",IF(AND('Calibrare_Linii'!T10="VALIDATED",AND('Calibrare_Linii'!H10=C1340,ISNUMBER('Calibrare_Linii'!J10),'Calibrare_Linii'!J10&lt;='Input_Meci'!G101)),"DEFENSIVE VALIDATED",IF(AND('Calibrare_Linii'!S10="VALIDATED",AND('Calibrare_Linii'!H10=C1340,ISNUMBER('Calibrare_Linii'!J10),'Calibrare_Linii'!J10&lt;='Input_Meci'!G101)),"TAIL VALIDATED","OOS PENDING")))</x:f>
      </x:c>
      <x:c r="AK1340" s="2" t="n">
        <x:f>IF(J1340&lt;&gt;"PASS",0,'Motor_Meciuri'!BR101)</x:f>
        <x:v>0</x:v>
      </x:c>
      <x:c r="AL1340" s="2" t="n">
        <x:f>IF(J1340&lt;&gt;"PASS",0,'Motor_Meciuri'!BS101)</x:f>
        <x:v>0</x:v>
      </x:c>
      <x:c r="AM1340" s="2" t="n">
        <x:f>IF(J1340&lt;&gt;"PASS",0,'Motor_Meciuri'!BT101)</x:f>
        <x:v>0</x:v>
      </x:c>
      <x:c r="AN1340" s="2" t="str">
        <x:f>IF(M1340="","",MAX(0,'Motor_Meciuri'!BF101-IF(L1340&gt;'Config_v6'!$B$12,'Config_v6'!$B$37,IF(L1340&gt;'Config_v6'!$B$11,'Config_v6'!$B$36,0))))</x:f>
      </x:c>
    </x:row>
    <x:row r="1341" ht="21" customHeight="1">
      <x:c r="A1341" s="2" t="n">
        <x:v>96</x:v>
      </x:c>
      <x:c r="B1341" s="2" t="str">
        <x:f>IF('Motor_Meciuri'!A101="","",'Motor_Meciuri'!A101)</x:f>
      </x:c>
      <x:c r="C1341" s="2" t="str">
        <x:f>IF(B1341="","",'Motor_Meciuri'!B101)</x:f>
      </x:c>
      <x:c r="D1341" s="2" t="str">
        <x:f>IF(B1341="","",'Motor_Meciuri'!D101)</x:f>
      </x:c>
      <x:c r="E1341" s="2" t="str">
        <x:f>IF(B1341="","",'Motor_Meciuri'!E101)</x:f>
      </x:c>
      <x:c r="F1341" s="2" t="str">
        <x:v>O8,5</x:v>
      </x:c>
      <x:c r="G1341" s="2" t="str">
        <x:v>OVER</x:v>
      </x:c>
      <x:c r="H1341" s="2" t="n">
        <x:v>8</x:v>
      </x:c>
      <x:c r="I1341" s="2" t="str">
        <x:f>IF(B1341="","",'Motor_Meciuri'!H101)</x:f>
      </x:c>
      <x:c r="J1341" s="2" t="str">
        <x:f>IF(B1341="","",'Motor_Meciuri'!I101)</x:f>
      </x:c>
      <x:c r="K1341" s="11" t="str">
        <x:f>IF(J1341&lt;&gt;"PASS","",'Motor_Meciuri'!BD101)</x:f>
      </x:c>
      <x:c r="L1341" s="11" t="str">
        <x:f>IF(J1341&lt;&gt;"PASS","",'Motor_Meciuri'!AU101)</x:f>
      </x:c>
      <x:c r="M1341" s="10" t="str">
        <x:f>IF(NOT(AND(J1341="PASS",'Calibrare_Linii'!U11="VALID")),"",1-'Distributie'!AF101)</x:f>
      </x:c>
      <x:c r="N1341" s="10" t="str">
        <x:f>IF(M1341="","",MAX(0.01,MIN(0.99,0.5+(M1341-0.5)*'Motor_Meciuri'!BG101*'Calibrare_Linii'!D11)))</x:f>
      </x:c>
      <x:c r="O1341" s="10" t="str">
        <x:f>IF(M1341="","",1-M1341)</x:f>
      </x:c>
      <x:c r="P1341" s="10" t="str">
        <x:f>IF(OR(NOT(AND(J1341="PASS",'Calibrare_Linii'!U11="VALID")),AK1341=0),""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*('Istoric_Nativ'!$Q$6:$Q$405&lt;=H1341))/AK1341)</x:f>
      </x:c>
      <x:c r="Q1341" s="10" t="str">
        <x:f>IF(OR(NOT(AND(J1341="PASS",'Calibrare_Linii'!U11="VALID")),AL1341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M101)+((('Istoric_Nativ'!$E$6:$E$405='Input_Meci'!E101)+('Istoric_Nativ'!$F$6:$F$405='Input_Meci'!E101))&gt;0)*('Istoric_Nativ'!$D$6:$D$405&gt;='Motor_Meciuri'!BN101))&gt;0)*('Istoric_Nativ'!$Q$6:$Q$405&lt;=H1341))/AL1341)</x:f>
      </x:c>
      <x:c r="R1341" s="10" t="str">
        <x:f>IF(OR(NOT(AND(J1341="PASS",'Calibrare_Linii'!U11="VALID")),AM1341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O101)+((('Istoric_Nativ'!$E$6:$E$405='Input_Meci'!E101)+('Istoric_Nativ'!$F$6:$F$405='Input_Meci'!E101))&gt;0)*('Istoric_Nativ'!$D$6:$D$405&gt;='Motor_Meciuri'!BP101))&gt;0)*('Istoric_Nativ'!$Q$6:$Q$405&lt;=H1341))/AM1341)</x:f>
      </x:c>
      <x:c r="S1341" s="10" t="str">
        <x:f>IF(M1341="","",MAX(O1341,P1341,Q1341,R1341))</x:f>
      </x:c>
      <x:c r="T1341" s="11" t="str">
        <x:f>IF(M1341="","",MIN(100,S1341*100*'Config_v6'!$B$44+MIN(100,L1341/'Config_v6'!$B$13*100)*'Config_v6'!$B$45+(100-'Motor_Meciuri'!BF101)*'Config_v6'!$B$46+'Motor_Meciuri'!BH101*100*'Config_v6'!$B$47))</x:f>
      </x:c>
      <x:c r="U1341" s="2" t="str">
        <x:f>IF(T1341="","",IF(T1341&lt;=20,1,IF(T1341&lt;=40,2,IF(T1341&lt;=60,3,IF(T1341&lt;=80,4,5)))))</x:f>
      </x:c>
      <x:c r="V1341" s="2" t="str">
        <x:f>IF(M1341="","",MAX(0,'Motor_Meciuri'!BF101-IF(W1341="OOS PENDING",'Config_v6'!$B$35,0)-IF(L1341&gt;'Config_v6'!$B$12,'Config_v6'!$B$37,IF(L1341&gt;'Config_v6'!$B$11,'Config_v6'!$B$36,0))))</x:f>
      </x:c>
      <x:c r="W1341" s="2" t="str">
        <x:f>IF(B1341="","",IF(I1341&lt;&gt;"READY","NOT RELEASED",IF(NOT(AND(J1341="PASS",'Calibrare_Linii'!U11="VALID")),"INVALID",IF(NOT(AND('Calibrare_Linii'!S11="VALIDATED",AND('Calibrare_Linii'!H11=C1341,ISNUMBER('Calibrare_Linii'!J11),'Calibrare_Linii'!J11&lt;='Input_Meci'!G101))),"OOS PENDING",IF(S1341&lt;='Calibrare_Linii'!E11,"PASS",IF(S1341&lt;='Calibrare_Linii'!F11,"PENALTY","WATCH"))))))</x:f>
      </x:c>
      <x:c r="X1341" s="2" t="str">
        <x:f>IF(M1341="","",IF(AND(AND(J1341="PASS",'Calibrare_Linii'!U11="VALID"),'Motor_Meciuri'!K101=12,'Motor_Meciuri'!L101=12,'Motor_Meciuri'!M101="NO",'Motor_Meciuri'!BL101='Motor_Meciuri'!C101,AB1341&gt;='Config_v6'!$B$50,AN1341&gt;='Config_v6'!$B$51,T1341&lt;='Config_v6'!$B$52,L1341&lt;='Config_v6'!$B$53,ISNUMBER('Calibrare_Linii'!E11),S1341&lt;='Calibrare_Linii'!E11,SUM(AK1341:AM1341)&gt;0),"CANDIDATE","NO"))</x:f>
      </x:c>
      <x:c r="Y1341" s="2" t="str">
        <x:f>IF(B1341="","",IF(I1341&lt;&gt;"READY","NOT RELEASED",IF(AND(X1341="CANDIDATE",V1341&gt;='Config_v6'!$B$51,W1341="PASS",'Calibrare_Linii'!T11="VALIDATED",AND('Calibrare_Linii'!H11=C1341,ISNUMBER('Calibrare_Linii'!J11),'Calibrare_Linii'!J11&lt;='Input_Meci'!G101)),"PASS",IF(X1341="CANDIDATE","OOS PENDING","FAIL"))))</x:f>
      </x:c>
      <x:c r="Z1341" s="2" t="str">
        <x:f>IF(B1341="","",IF(I1341&lt;&gt;"READY","",IF(OR(NOT(AND(J1341="PASS",'Calibrare_Linii'!U11="VALID")),L1341&gt;'Config_v6'!$B$13,W1341="WATCH"),5,IF(Y1341="PASS",1,MIN(5,MAX('Config_v6'!$B$42,U1341)+IF(W1341="PENALTY",1,0))))))</x:f>
      </x:c>
      <x:c r="AA1341" s="2" t="str">
        <x:f>IF(B1341="","",IF(I1341&lt;&gt;"READY","NOT RELEASED",IF(Z1341=5,"NO BET",IF(OR(AB1341&lt;'Config_v6'!$B$16,V1341&lt;'Config_v6'!$B$18),"WATCH",IF(Z1341=1,"DEFENSIV",IF(Z1341=2,"PRUDENT",IF(Z1341=3,"MODERAT","RIDICAT")))))))</x:f>
      </x:c>
      <x:c r="AB1341" s="10" t="str">
        <x:f>IF(N1341="","",MIN(N1341,1-S1341))</x:f>
      </x:c>
      <x:c r="AC1341" s="2" t="str">
        <x:f>IF(AD1341&lt;&gt;1,"",COUNTIFS($Z$1336:$Z$1349,"&lt;"&amp;Z1341,$AD$1336:$AD$1349,1)+COUNTIFS($Z$1336:$Z$1349,Z1341,$AB$1336:$AB$1349,"&gt;"&amp;AB1341,$AD$1336:$AD$1349,1)+COUNTIFS($Z$1336:$Z$1349,Z1341,$AB$1336:$AB$1349,AB1341,$V$1336:$V$1349,"&gt;"&amp;V1341,$AD$1336:$AD$1349,1)+COUNTIFS($Z$1336:Z1341,Z1341,$AB$1336:AB1341,AB1341,$V$1336:V1341,V1341,$AD$1336:AD1341,1))</x:f>
      </x:c>
      <x:c r="AD1341" s="2" t="n">
        <x:f>IF(OR(AA1341="DEFENSIV",AA1341="PRUDENT",AA1341="MODERAT",AA1341="RIDICAT"),1,0)</x:f>
        <x:v>0</x:v>
      </x:c>
      <x:c r="AE1341" s="2" t="str">
        <x:f>IF(AD1341&lt;&gt;1,"NO",IF(W1341="PASS","YES",IF(W1341="OOS PENDING","CONDITIONAL","NO")))</x:f>
        <x:v>NO</x:v>
      </x:c>
      <x:c r="AF1341" s="2" t="n">
        <x:f>IF(AND(AD1341=1,AC1341=1,E1341="LIVE"),1,0)</x:f>
        <x:v>0</x:v>
      </x:c>
      <x:c r="AG1341" s="2" t="str">
        <x:f>IF(AF1341&lt;&gt;1,"",'Dashboard'!P121)</x:f>
      </x:c>
      <x:c r="AH1341" s="2" t="str">
        <x:f>IF(B1341="","",IF(J1341&lt;&gt;"PASS",'Motor_Meciuri'!J101,IF('Calibrare_Linii'!U11&lt;&gt;"VALID","Parametri linie invalizi",IF(L1341&gt;'Config_v6'!$B$13,"Dispersie peste limita",IF(W1341="WATCH","Failure peste limita",IF(AB1341&lt;'Config_v6'!$B$16,"P finala sub prag",IF(V1341&lt;'Config_v6'!$B$18,"Confidence sub prag",IF(E1341="REPLAY","Exemplu retrospectiv; exclus din Top LIVE",IF(Y1341="PASS","DEFENSIV validat",IF(W1341="OOS PENDING","Eligibil; calibrare linie in monitorizare","Eligibil"))))))))))</x:f>
      </x:c>
      <x:c r="AI1341" s="2" t="str">
        <x:f>IF(B1341="","",'Calibrare_Linii'!V11)</x:f>
      </x:c>
      <x:c r="AJ1341" s="2" t="str">
        <x:f>IF(B1341="","",IF(AND('Calibrare_Linii'!T11="VALIDATED",AND('Calibrare_Linii'!H11=C1341,ISNUMBER('Calibrare_Linii'!J11),'Calibrare_Linii'!J11&lt;='Input_Meci'!G101)),"DEFENSIVE VALIDATED",IF(AND('Calibrare_Linii'!S11="VALIDATED",AND('Calibrare_Linii'!H11=C1341,ISNUMBER('Calibrare_Linii'!J11),'Calibrare_Linii'!J11&lt;='Input_Meci'!G101)),"TAIL VALIDATED","OOS PENDING")))</x:f>
      </x:c>
      <x:c r="AK1341" s="2" t="n">
        <x:f>IF(J1341&lt;&gt;"PASS",0,'Motor_Meciuri'!BR101)</x:f>
        <x:v>0</x:v>
      </x:c>
      <x:c r="AL1341" s="2" t="n">
        <x:f>IF(J1341&lt;&gt;"PASS",0,'Motor_Meciuri'!BS101)</x:f>
        <x:v>0</x:v>
      </x:c>
      <x:c r="AM1341" s="2" t="n">
        <x:f>IF(J1341&lt;&gt;"PASS",0,'Motor_Meciuri'!BT101)</x:f>
        <x:v>0</x:v>
      </x:c>
      <x:c r="AN1341" s="2" t="str">
        <x:f>IF(M1341="","",MAX(0,'Motor_Meciuri'!BF101-IF(L1341&gt;'Config_v6'!$B$12,'Config_v6'!$B$37,IF(L1341&gt;'Config_v6'!$B$11,'Config_v6'!$B$36,0))))</x:f>
      </x:c>
    </x:row>
    <x:row r="1342" ht="21" customHeight="1">
      <x:c r="A1342" s="2" t="n">
        <x:v>96</x:v>
      </x:c>
      <x:c r="B1342" s="2" t="str">
        <x:f>IF('Motor_Meciuri'!A101="","",'Motor_Meciuri'!A101)</x:f>
      </x:c>
      <x:c r="C1342" s="2" t="str">
        <x:f>IF(B1342="","",'Motor_Meciuri'!B101)</x:f>
      </x:c>
      <x:c r="D1342" s="2" t="str">
        <x:f>IF(B1342="","",'Motor_Meciuri'!D101)</x:f>
      </x:c>
      <x:c r="E1342" s="2" t="str">
        <x:f>IF(B1342="","",'Motor_Meciuri'!E101)</x:f>
      </x:c>
      <x:c r="F1342" s="2" t="str">
        <x:v>U10,5</x:v>
      </x:c>
      <x:c r="G1342" s="2" t="str">
        <x:v>UNDER</x:v>
      </x:c>
      <x:c r="H1342" s="2" t="n">
        <x:v>10</x:v>
      </x:c>
      <x:c r="I1342" s="2" t="str">
        <x:f>IF(B1342="","",'Motor_Meciuri'!H101)</x:f>
      </x:c>
      <x:c r="J1342" s="2" t="str">
        <x:f>IF(B1342="","",'Motor_Meciuri'!I101)</x:f>
      </x:c>
      <x:c r="K1342" s="11" t="str">
        <x:f>IF(J1342&lt;&gt;"PASS","",'Motor_Meciuri'!BD101)</x:f>
      </x:c>
      <x:c r="L1342" s="11" t="str">
        <x:f>IF(J1342&lt;&gt;"PASS","",'Motor_Meciuri'!AU101)</x:f>
      </x:c>
      <x:c r="M1342" s="10" t="str">
        <x:f>IF(NOT(AND(J1342="PASS",'Calibrare_Linii'!U12="VALID")),"",'Distributie'!AH101)</x:f>
      </x:c>
      <x:c r="N1342" s="10" t="str">
        <x:f>IF(M1342="","",MAX(0.01,MIN(0.99,0.5+(M1342-0.5)*'Motor_Meciuri'!BG101*'Calibrare_Linii'!D12)))</x:f>
      </x:c>
      <x:c r="O1342" s="10" t="str">
        <x:f>IF(M1342="","",1-M1342)</x:f>
      </x:c>
      <x:c r="P1342" s="10" t="str">
        <x:f>IF(OR(NOT(AND(J1342="PASS",'Calibrare_Linii'!U12="VALID")),AK1342=0),""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*('Istoric_Nativ'!$Q$6:$Q$405&gt;H1342))/AK1342)</x:f>
      </x:c>
      <x:c r="Q1342" s="10" t="str">
        <x:f>IF(OR(NOT(AND(J1342="PASS",'Calibrare_Linii'!U12="VALID")),AL1342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M101)+((('Istoric_Nativ'!$E$6:$E$405='Input_Meci'!E101)+('Istoric_Nativ'!$F$6:$F$405='Input_Meci'!E101))&gt;0)*('Istoric_Nativ'!$D$6:$D$405&gt;='Motor_Meciuri'!BN101))&gt;0)*('Istoric_Nativ'!$Q$6:$Q$405&gt;H1342))/AL1342)</x:f>
      </x:c>
      <x:c r="R1342" s="10" t="str">
        <x:f>IF(OR(NOT(AND(J1342="PASS",'Calibrare_Linii'!U12="VALID")),AM1342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O101)+((('Istoric_Nativ'!$E$6:$E$405='Input_Meci'!E101)+('Istoric_Nativ'!$F$6:$F$405='Input_Meci'!E101))&gt;0)*('Istoric_Nativ'!$D$6:$D$405&gt;='Motor_Meciuri'!BP101))&gt;0)*('Istoric_Nativ'!$Q$6:$Q$405&gt;H1342))/AM1342)</x:f>
      </x:c>
      <x:c r="S1342" s="10" t="str">
        <x:f>IF(M1342="","",MAX(O1342,P1342,Q1342,R1342))</x:f>
      </x:c>
      <x:c r="T1342" s="11" t="str">
        <x:f>IF(M1342="","",MIN(100,S1342*100*'Config_v6'!$B$44+MIN(100,L1342/'Config_v6'!$B$13*100)*'Config_v6'!$B$45+(100-'Motor_Meciuri'!BF101)*'Config_v6'!$B$46+'Motor_Meciuri'!BH101*100*'Config_v6'!$B$47))</x:f>
      </x:c>
      <x:c r="U1342" s="2" t="str">
        <x:f>IF(T1342="","",IF(T1342&lt;=20,1,IF(T1342&lt;=40,2,IF(T1342&lt;=60,3,IF(T1342&lt;=80,4,5)))))</x:f>
      </x:c>
      <x:c r="V1342" s="2" t="str">
        <x:f>IF(M1342="","",MAX(0,'Motor_Meciuri'!BF101-IF(W1342="OOS PENDING",'Config_v6'!$B$35,0)-IF(L1342&gt;'Config_v6'!$B$12,'Config_v6'!$B$37,IF(L1342&gt;'Config_v6'!$B$11,'Config_v6'!$B$36,0))))</x:f>
      </x:c>
      <x:c r="W1342" s="2" t="str">
        <x:f>IF(B1342="","",IF(I1342&lt;&gt;"READY","NOT RELEASED",IF(NOT(AND(J1342="PASS",'Calibrare_Linii'!U12="VALID")),"INVALID",IF(NOT(AND('Calibrare_Linii'!S12="VALIDATED",AND('Calibrare_Linii'!H12=C1342,ISNUMBER('Calibrare_Linii'!J12),'Calibrare_Linii'!J12&lt;='Input_Meci'!G101))),"OOS PENDING",IF(S1342&lt;='Calibrare_Linii'!E12,"PASS",IF(S1342&lt;='Calibrare_Linii'!F12,"PENALTY","WATCH"))))))</x:f>
      </x:c>
      <x:c r="X1342" s="2" t="str">
        <x:f>IF(M1342="","",IF(AND(AND(J1342="PASS",'Calibrare_Linii'!U12="VALID"),'Motor_Meciuri'!K101=12,'Motor_Meciuri'!L101=12,'Motor_Meciuri'!M101="NO",'Motor_Meciuri'!BL101='Motor_Meciuri'!C101,AB1342&gt;='Config_v6'!$B$50,AN1342&gt;='Config_v6'!$B$51,T1342&lt;='Config_v6'!$B$52,L1342&lt;='Config_v6'!$B$53,ISNUMBER('Calibrare_Linii'!E12),S1342&lt;='Calibrare_Linii'!E12,SUM(AK1342:AM1342)&gt;0),"CANDIDATE","NO"))</x:f>
      </x:c>
      <x:c r="Y1342" s="2" t="str">
        <x:f>IF(B1342="","",IF(I1342&lt;&gt;"READY","NOT RELEASED",IF(AND(X1342="CANDIDATE",V1342&gt;='Config_v6'!$B$51,W1342="PASS",'Calibrare_Linii'!T12="VALIDATED",AND('Calibrare_Linii'!H12=C1342,ISNUMBER('Calibrare_Linii'!J12),'Calibrare_Linii'!J12&lt;='Input_Meci'!G101)),"PASS",IF(X1342="CANDIDATE","OOS PENDING","FAIL"))))</x:f>
      </x:c>
      <x:c r="Z1342" s="2" t="str">
        <x:f>IF(B1342="","",IF(I1342&lt;&gt;"READY","",IF(OR(NOT(AND(J1342="PASS",'Calibrare_Linii'!U12="VALID")),L1342&gt;'Config_v6'!$B$13,W1342="WATCH"),5,IF(Y1342="PASS",1,MIN(5,MAX('Config_v6'!$B$42,U1342)+IF(W1342="PENALTY",1,0))))))</x:f>
      </x:c>
      <x:c r="AA1342" s="2" t="str">
        <x:f>IF(B1342="","",IF(I1342&lt;&gt;"READY","NOT RELEASED",IF(Z1342=5,"NO BET",IF(OR(AB1342&lt;'Config_v6'!$B$16,V1342&lt;'Config_v6'!$B$18),"WATCH",IF(Z1342=1,"DEFENSIV",IF(Z1342=2,"PRUDENT",IF(Z1342=3,"MODERAT","RIDICAT")))))))</x:f>
      </x:c>
      <x:c r="AB1342" s="10" t="str">
        <x:f>IF(N1342="","",MIN(N1342,1-S1342))</x:f>
      </x:c>
      <x:c r="AC1342" s="2" t="str">
        <x:f>IF(AD1342&lt;&gt;1,"",COUNTIFS($Z$1336:$Z$1349,"&lt;"&amp;Z1342,$AD$1336:$AD$1349,1)+COUNTIFS($Z$1336:$Z$1349,Z1342,$AB$1336:$AB$1349,"&gt;"&amp;AB1342,$AD$1336:$AD$1349,1)+COUNTIFS($Z$1336:$Z$1349,Z1342,$AB$1336:$AB$1349,AB1342,$V$1336:$V$1349,"&gt;"&amp;V1342,$AD$1336:$AD$1349,1)+COUNTIFS($Z$1336:Z1342,Z1342,$AB$1336:AB1342,AB1342,$V$1336:V1342,V1342,$AD$1336:AD1342,1))</x:f>
      </x:c>
      <x:c r="AD1342" s="2" t="n">
        <x:f>IF(OR(AA1342="DEFENSIV",AA1342="PRUDENT",AA1342="MODERAT",AA1342="RIDICAT"),1,0)</x:f>
        <x:v>0</x:v>
      </x:c>
      <x:c r="AE1342" s="2" t="str">
        <x:f>IF(AD1342&lt;&gt;1,"NO",IF(W1342="PASS","YES",IF(W1342="OOS PENDING","CONDITIONAL","NO")))</x:f>
        <x:v>NO</x:v>
      </x:c>
      <x:c r="AF1342" s="2" t="n">
        <x:f>IF(AND(AD1342=1,AC1342=1,E1342="LIVE"),1,0)</x:f>
        <x:v>0</x:v>
      </x:c>
      <x:c r="AG1342" s="2" t="str">
        <x:f>IF(AF1342&lt;&gt;1,"",'Dashboard'!P121)</x:f>
      </x:c>
      <x:c r="AH1342" s="2" t="str">
        <x:f>IF(B1342="","",IF(J1342&lt;&gt;"PASS",'Motor_Meciuri'!J101,IF('Calibrare_Linii'!U12&lt;&gt;"VALID","Parametri linie invalizi",IF(L1342&gt;'Config_v6'!$B$13,"Dispersie peste limita",IF(W1342="WATCH","Failure peste limita",IF(AB1342&lt;'Config_v6'!$B$16,"P finala sub prag",IF(V1342&lt;'Config_v6'!$B$18,"Confidence sub prag",IF(E1342="REPLAY","Exemplu retrospectiv; exclus din Top LIVE",IF(Y1342="PASS","DEFENSIV validat",IF(W1342="OOS PENDING","Eligibil; calibrare linie in monitorizare","Eligibil"))))))))))</x:f>
      </x:c>
      <x:c r="AI1342" s="2" t="str">
        <x:f>IF(B1342="","",'Calibrare_Linii'!V12)</x:f>
      </x:c>
      <x:c r="AJ1342" s="2" t="str">
        <x:f>IF(B1342="","",IF(AND('Calibrare_Linii'!T12="VALIDATED",AND('Calibrare_Linii'!H12=C1342,ISNUMBER('Calibrare_Linii'!J12),'Calibrare_Linii'!J12&lt;='Input_Meci'!G101)),"DEFENSIVE VALIDATED",IF(AND('Calibrare_Linii'!S12="VALIDATED",AND('Calibrare_Linii'!H12=C1342,ISNUMBER('Calibrare_Linii'!J12),'Calibrare_Linii'!J12&lt;='Input_Meci'!G101)),"TAIL VALIDATED","OOS PENDING")))</x:f>
      </x:c>
      <x:c r="AK1342" s="2" t="n">
        <x:f>IF(J1342&lt;&gt;"PASS",0,'Motor_Meciuri'!BR101)</x:f>
        <x:v>0</x:v>
      </x:c>
      <x:c r="AL1342" s="2" t="n">
        <x:f>IF(J1342&lt;&gt;"PASS",0,'Motor_Meciuri'!BS101)</x:f>
        <x:v>0</x:v>
      </x:c>
      <x:c r="AM1342" s="2" t="n">
        <x:f>IF(J1342&lt;&gt;"PASS",0,'Motor_Meciuri'!BT101)</x:f>
        <x:v>0</x:v>
      </x:c>
      <x:c r="AN1342" s="2" t="str">
        <x:f>IF(M1342="","",MAX(0,'Motor_Meciuri'!BF101-IF(L1342&gt;'Config_v6'!$B$12,'Config_v6'!$B$37,IF(L1342&gt;'Config_v6'!$B$11,'Config_v6'!$B$36,0))))</x:f>
      </x:c>
    </x:row>
    <x:row r="1343" ht="21" customHeight="1">
      <x:c r="A1343" s="2" t="n">
        <x:v>96</x:v>
      </x:c>
      <x:c r="B1343" s="2" t="str">
        <x:f>IF('Motor_Meciuri'!A101="","",'Motor_Meciuri'!A101)</x:f>
      </x:c>
      <x:c r="C1343" s="2" t="str">
        <x:f>IF(B1343="","",'Motor_Meciuri'!B101)</x:f>
      </x:c>
      <x:c r="D1343" s="2" t="str">
        <x:f>IF(B1343="","",'Motor_Meciuri'!D101)</x:f>
      </x:c>
      <x:c r="E1343" s="2" t="str">
        <x:f>IF(B1343="","",'Motor_Meciuri'!E101)</x:f>
      </x:c>
      <x:c r="F1343" s="2" t="str">
        <x:v>U11,5</x:v>
      </x:c>
      <x:c r="G1343" s="2" t="str">
        <x:v>UNDER</x:v>
      </x:c>
      <x:c r="H1343" s="2" t="n">
        <x:v>11</x:v>
      </x:c>
      <x:c r="I1343" s="2" t="str">
        <x:f>IF(B1343="","",'Motor_Meciuri'!H101)</x:f>
      </x:c>
      <x:c r="J1343" s="2" t="str">
        <x:f>IF(B1343="","",'Motor_Meciuri'!I101)</x:f>
      </x:c>
      <x:c r="K1343" s="11" t="str">
        <x:f>IF(J1343&lt;&gt;"PASS","",'Motor_Meciuri'!BD101)</x:f>
      </x:c>
      <x:c r="L1343" s="11" t="str">
        <x:f>IF(J1343&lt;&gt;"PASS","",'Motor_Meciuri'!AU101)</x:f>
      </x:c>
      <x:c r="M1343" s="10" t="str">
        <x:f>IF(NOT(AND(J1343="PASS",'Calibrare_Linii'!U13="VALID")),"",'Distributie'!AI101)</x:f>
      </x:c>
      <x:c r="N1343" s="10" t="str">
        <x:f>IF(M1343="","",MAX(0.01,MIN(0.99,0.5+(M1343-0.5)*'Motor_Meciuri'!BG101*'Calibrare_Linii'!D13)))</x:f>
      </x:c>
      <x:c r="O1343" s="10" t="str">
        <x:f>IF(M1343="","",1-M1343)</x:f>
      </x:c>
      <x:c r="P1343" s="10" t="str">
        <x:f>IF(OR(NOT(AND(J1343="PASS",'Calibrare_Linii'!U13="VALID")),AK1343=0),""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*('Istoric_Nativ'!$Q$6:$Q$405&gt;H1343))/AK1343)</x:f>
      </x:c>
      <x:c r="Q1343" s="10" t="str">
        <x:f>IF(OR(NOT(AND(J1343="PASS",'Calibrare_Linii'!U13="VALID")),AL1343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M101)+((('Istoric_Nativ'!$E$6:$E$405='Input_Meci'!E101)+('Istoric_Nativ'!$F$6:$F$405='Input_Meci'!E101))&gt;0)*('Istoric_Nativ'!$D$6:$D$405&gt;='Motor_Meciuri'!BN101))&gt;0)*('Istoric_Nativ'!$Q$6:$Q$405&gt;H1343))/AL1343)</x:f>
      </x:c>
      <x:c r="R1343" s="10" t="str">
        <x:f>IF(OR(NOT(AND(J1343="PASS",'Calibrare_Linii'!U13="VALID")),AM1343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O101)+((('Istoric_Nativ'!$E$6:$E$405='Input_Meci'!E101)+('Istoric_Nativ'!$F$6:$F$405='Input_Meci'!E101))&gt;0)*('Istoric_Nativ'!$D$6:$D$405&gt;='Motor_Meciuri'!BP101))&gt;0)*('Istoric_Nativ'!$Q$6:$Q$405&gt;H1343))/AM1343)</x:f>
      </x:c>
      <x:c r="S1343" s="10" t="str">
        <x:f>IF(M1343="","",MAX(O1343,P1343,Q1343,R1343))</x:f>
      </x:c>
      <x:c r="T1343" s="11" t="str">
        <x:f>IF(M1343="","",MIN(100,S1343*100*'Config_v6'!$B$44+MIN(100,L1343/'Config_v6'!$B$13*100)*'Config_v6'!$B$45+(100-'Motor_Meciuri'!BF101)*'Config_v6'!$B$46+'Motor_Meciuri'!BH101*100*'Config_v6'!$B$47))</x:f>
      </x:c>
      <x:c r="U1343" s="2" t="str">
        <x:f>IF(T1343="","",IF(T1343&lt;=20,1,IF(T1343&lt;=40,2,IF(T1343&lt;=60,3,IF(T1343&lt;=80,4,5)))))</x:f>
      </x:c>
      <x:c r="V1343" s="2" t="str">
        <x:f>IF(M1343="","",MAX(0,'Motor_Meciuri'!BF101-IF(W1343="OOS PENDING",'Config_v6'!$B$35,0)-IF(L1343&gt;'Config_v6'!$B$12,'Config_v6'!$B$37,IF(L1343&gt;'Config_v6'!$B$11,'Config_v6'!$B$36,0))))</x:f>
      </x:c>
      <x:c r="W1343" s="2" t="str">
        <x:f>IF(B1343="","",IF(I1343&lt;&gt;"READY","NOT RELEASED",IF(NOT(AND(J1343="PASS",'Calibrare_Linii'!U13="VALID")),"INVALID",IF(NOT(AND('Calibrare_Linii'!S13="VALIDATED",AND('Calibrare_Linii'!H13=C1343,ISNUMBER('Calibrare_Linii'!J13),'Calibrare_Linii'!J13&lt;='Input_Meci'!G101))),"OOS PENDING",IF(S1343&lt;='Calibrare_Linii'!E13,"PASS",IF(S1343&lt;='Calibrare_Linii'!F13,"PENALTY","WATCH"))))))</x:f>
      </x:c>
      <x:c r="X1343" s="2" t="str">
        <x:f>IF(M1343="","",IF(AND(AND(J1343="PASS",'Calibrare_Linii'!U13="VALID"),'Motor_Meciuri'!K101=12,'Motor_Meciuri'!L101=12,'Motor_Meciuri'!M101="NO",'Motor_Meciuri'!BL101='Motor_Meciuri'!C101,AB1343&gt;='Config_v6'!$B$50,AN1343&gt;='Config_v6'!$B$51,T1343&lt;='Config_v6'!$B$52,L1343&lt;='Config_v6'!$B$53,ISNUMBER('Calibrare_Linii'!E13),S1343&lt;='Calibrare_Linii'!E13,SUM(AK1343:AM1343)&gt;0),"CANDIDATE","NO"))</x:f>
      </x:c>
      <x:c r="Y1343" s="2" t="str">
        <x:f>IF(B1343="","",IF(I1343&lt;&gt;"READY","NOT RELEASED",IF(AND(X1343="CANDIDATE",V1343&gt;='Config_v6'!$B$51,W1343="PASS",'Calibrare_Linii'!T13="VALIDATED",AND('Calibrare_Linii'!H13=C1343,ISNUMBER('Calibrare_Linii'!J13),'Calibrare_Linii'!J13&lt;='Input_Meci'!G101)),"PASS",IF(X1343="CANDIDATE","OOS PENDING","FAIL"))))</x:f>
      </x:c>
      <x:c r="Z1343" s="2" t="str">
        <x:f>IF(B1343="","",IF(I1343&lt;&gt;"READY","",IF(OR(NOT(AND(J1343="PASS",'Calibrare_Linii'!U13="VALID")),L1343&gt;'Config_v6'!$B$13,W1343="WATCH"),5,IF(Y1343="PASS",1,MIN(5,MAX('Config_v6'!$B$42,U1343)+IF(W1343="PENALTY",1,0))))))</x:f>
      </x:c>
      <x:c r="AA1343" s="2" t="str">
        <x:f>IF(B1343="","",IF(I1343&lt;&gt;"READY","NOT RELEASED",IF(Z1343=5,"NO BET",IF(OR(AB1343&lt;'Config_v6'!$B$16,V1343&lt;'Config_v6'!$B$18),"WATCH",IF(Z1343=1,"DEFENSIV",IF(Z1343=2,"PRUDENT",IF(Z1343=3,"MODERAT","RIDICAT")))))))</x:f>
      </x:c>
      <x:c r="AB1343" s="10" t="str">
        <x:f>IF(N1343="","",MIN(N1343,1-S1343))</x:f>
      </x:c>
      <x:c r="AC1343" s="2" t="str">
        <x:f>IF(AD1343&lt;&gt;1,"",COUNTIFS($Z$1336:$Z$1349,"&lt;"&amp;Z1343,$AD$1336:$AD$1349,1)+COUNTIFS($Z$1336:$Z$1349,Z1343,$AB$1336:$AB$1349,"&gt;"&amp;AB1343,$AD$1336:$AD$1349,1)+COUNTIFS($Z$1336:$Z$1349,Z1343,$AB$1336:$AB$1349,AB1343,$V$1336:$V$1349,"&gt;"&amp;V1343,$AD$1336:$AD$1349,1)+COUNTIFS($Z$1336:Z1343,Z1343,$AB$1336:AB1343,AB1343,$V$1336:V1343,V1343,$AD$1336:AD1343,1))</x:f>
      </x:c>
      <x:c r="AD1343" s="2" t="n">
        <x:f>IF(OR(AA1343="DEFENSIV",AA1343="PRUDENT",AA1343="MODERAT",AA1343="RIDICAT"),1,0)</x:f>
        <x:v>0</x:v>
      </x:c>
      <x:c r="AE1343" s="2" t="str">
        <x:f>IF(AD1343&lt;&gt;1,"NO",IF(W1343="PASS","YES",IF(W1343="OOS PENDING","CONDITIONAL","NO")))</x:f>
        <x:v>NO</x:v>
      </x:c>
      <x:c r="AF1343" s="2" t="n">
        <x:f>IF(AND(AD1343=1,AC1343=1,E1343="LIVE"),1,0)</x:f>
        <x:v>0</x:v>
      </x:c>
      <x:c r="AG1343" s="2" t="str">
        <x:f>IF(AF1343&lt;&gt;1,"",'Dashboard'!P121)</x:f>
      </x:c>
      <x:c r="AH1343" s="2" t="str">
        <x:f>IF(B1343="","",IF(J1343&lt;&gt;"PASS",'Motor_Meciuri'!J101,IF('Calibrare_Linii'!U13&lt;&gt;"VALID","Parametri linie invalizi",IF(L1343&gt;'Config_v6'!$B$13,"Dispersie peste limita",IF(W1343="WATCH","Failure peste limita",IF(AB1343&lt;'Config_v6'!$B$16,"P finala sub prag",IF(V1343&lt;'Config_v6'!$B$18,"Confidence sub prag",IF(E1343="REPLAY","Exemplu retrospectiv; exclus din Top LIVE",IF(Y1343="PASS","DEFENSIV validat",IF(W1343="OOS PENDING","Eligibil; calibrare linie in monitorizare","Eligibil"))))))))))</x:f>
      </x:c>
      <x:c r="AI1343" s="2" t="str">
        <x:f>IF(B1343="","",'Calibrare_Linii'!V13)</x:f>
      </x:c>
      <x:c r="AJ1343" s="2" t="str">
        <x:f>IF(B1343="","",IF(AND('Calibrare_Linii'!T13="VALIDATED",AND('Calibrare_Linii'!H13=C1343,ISNUMBER('Calibrare_Linii'!J13),'Calibrare_Linii'!J13&lt;='Input_Meci'!G101)),"DEFENSIVE VALIDATED",IF(AND('Calibrare_Linii'!S13="VALIDATED",AND('Calibrare_Linii'!H13=C1343,ISNUMBER('Calibrare_Linii'!J13),'Calibrare_Linii'!J13&lt;='Input_Meci'!G101)),"TAIL VALIDATED","OOS PENDING")))</x:f>
      </x:c>
      <x:c r="AK1343" s="2" t="n">
        <x:f>IF(J1343&lt;&gt;"PASS",0,'Motor_Meciuri'!BR101)</x:f>
        <x:v>0</x:v>
      </x:c>
      <x:c r="AL1343" s="2" t="n">
        <x:f>IF(J1343&lt;&gt;"PASS",0,'Motor_Meciuri'!BS101)</x:f>
        <x:v>0</x:v>
      </x:c>
      <x:c r="AM1343" s="2" t="n">
        <x:f>IF(J1343&lt;&gt;"PASS",0,'Motor_Meciuri'!BT101)</x:f>
        <x:v>0</x:v>
      </x:c>
      <x:c r="AN1343" s="2" t="str">
        <x:f>IF(M1343="","",MAX(0,'Motor_Meciuri'!BF101-IF(L1343&gt;'Config_v6'!$B$12,'Config_v6'!$B$37,IF(L1343&gt;'Config_v6'!$B$11,'Config_v6'!$B$36,0))))</x:f>
      </x:c>
    </x:row>
    <x:row r="1344" ht="21" customHeight="1">
      <x:c r="A1344" s="2" t="n">
        <x:v>96</x:v>
      </x:c>
      <x:c r="B1344" s="2" t="str">
        <x:f>IF('Motor_Meciuri'!A101="","",'Motor_Meciuri'!A101)</x:f>
      </x:c>
      <x:c r="C1344" s="2" t="str">
        <x:f>IF(B1344="","",'Motor_Meciuri'!B101)</x:f>
      </x:c>
      <x:c r="D1344" s="2" t="str">
        <x:f>IF(B1344="","",'Motor_Meciuri'!D101)</x:f>
      </x:c>
      <x:c r="E1344" s="2" t="str">
        <x:f>IF(B1344="","",'Motor_Meciuri'!E101)</x:f>
      </x:c>
      <x:c r="F1344" s="2" t="str">
        <x:v>U12,5</x:v>
      </x:c>
      <x:c r="G1344" s="2" t="str">
        <x:v>UNDER</x:v>
      </x:c>
      <x:c r="H1344" s="2" t="n">
        <x:v>12</x:v>
      </x:c>
      <x:c r="I1344" s="2" t="str">
        <x:f>IF(B1344="","",'Motor_Meciuri'!H101)</x:f>
      </x:c>
      <x:c r="J1344" s="2" t="str">
        <x:f>IF(B1344="","",'Motor_Meciuri'!I101)</x:f>
      </x:c>
      <x:c r="K1344" s="11" t="str">
        <x:f>IF(J1344&lt;&gt;"PASS","",'Motor_Meciuri'!BD101)</x:f>
      </x:c>
      <x:c r="L1344" s="11" t="str">
        <x:f>IF(J1344&lt;&gt;"PASS","",'Motor_Meciuri'!AU101)</x:f>
      </x:c>
      <x:c r="M1344" s="10" t="str">
        <x:f>IF(NOT(AND(J1344="PASS",'Calibrare_Linii'!U14="VALID")),"",'Distributie'!AJ101)</x:f>
      </x:c>
      <x:c r="N1344" s="10" t="str">
        <x:f>IF(M1344="","",MAX(0.01,MIN(0.99,0.5+(M1344-0.5)*'Motor_Meciuri'!BG101*'Calibrare_Linii'!D14)))</x:f>
      </x:c>
      <x:c r="O1344" s="10" t="str">
        <x:f>IF(M1344="","",1-M1344)</x:f>
      </x:c>
      <x:c r="P1344" s="10" t="str">
        <x:f>IF(OR(NOT(AND(J1344="PASS",'Calibrare_Linii'!U14="VALID")),AK1344=0),""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*('Istoric_Nativ'!$Q$6:$Q$405&gt;H1344))/AK1344)</x:f>
      </x:c>
      <x:c r="Q1344" s="10" t="str">
        <x:f>IF(OR(NOT(AND(J1344="PASS",'Calibrare_Linii'!U14="VALID")),AL1344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M101)+((('Istoric_Nativ'!$E$6:$E$405='Input_Meci'!E101)+('Istoric_Nativ'!$F$6:$F$405='Input_Meci'!E101))&gt;0)*('Istoric_Nativ'!$D$6:$D$405&gt;='Motor_Meciuri'!BN101))&gt;0)*('Istoric_Nativ'!$Q$6:$Q$405&gt;H1344))/AL1344)</x:f>
      </x:c>
      <x:c r="R1344" s="10" t="str">
        <x:f>IF(OR(NOT(AND(J1344="PASS",'Calibrare_Linii'!U14="VALID")),AM1344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O101)+((('Istoric_Nativ'!$E$6:$E$405='Input_Meci'!E101)+('Istoric_Nativ'!$F$6:$F$405='Input_Meci'!E101))&gt;0)*('Istoric_Nativ'!$D$6:$D$405&gt;='Motor_Meciuri'!BP101))&gt;0)*('Istoric_Nativ'!$Q$6:$Q$405&gt;H1344))/AM1344)</x:f>
      </x:c>
      <x:c r="S1344" s="10" t="str">
        <x:f>IF(M1344="","",MAX(O1344,P1344,Q1344,R1344))</x:f>
      </x:c>
      <x:c r="T1344" s="11" t="str">
        <x:f>IF(M1344="","",MIN(100,S1344*100*'Config_v6'!$B$44+MIN(100,L1344/'Config_v6'!$B$13*100)*'Config_v6'!$B$45+(100-'Motor_Meciuri'!BF101)*'Config_v6'!$B$46+'Motor_Meciuri'!BH101*100*'Config_v6'!$B$47))</x:f>
      </x:c>
      <x:c r="U1344" s="2" t="str">
        <x:f>IF(T1344="","",IF(T1344&lt;=20,1,IF(T1344&lt;=40,2,IF(T1344&lt;=60,3,IF(T1344&lt;=80,4,5)))))</x:f>
      </x:c>
      <x:c r="V1344" s="2" t="str">
        <x:f>IF(M1344="","",MAX(0,'Motor_Meciuri'!BF101-IF(W1344="OOS PENDING",'Config_v6'!$B$35,0)-IF(L1344&gt;'Config_v6'!$B$12,'Config_v6'!$B$37,IF(L1344&gt;'Config_v6'!$B$11,'Config_v6'!$B$36,0))))</x:f>
      </x:c>
      <x:c r="W1344" s="2" t="str">
        <x:f>IF(B1344="","",IF(I1344&lt;&gt;"READY","NOT RELEASED",IF(NOT(AND(J1344="PASS",'Calibrare_Linii'!U14="VALID")),"INVALID",IF(NOT(AND('Calibrare_Linii'!S14="VALIDATED",AND('Calibrare_Linii'!H14=C1344,ISNUMBER('Calibrare_Linii'!J14),'Calibrare_Linii'!J14&lt;='Input_Meci'!G101))),"OOS PENDING",IF(S1344&lt;='Calibrare_Linii'!E14,"PASS",IF(S1344&lt;='Calibrare_Linii'!F14,"PENALTY","WATCH"))))))</x:f>
      </x:c>
      <x:c r="X1344" s="2" t="str">
        <x:f>IF(M1344="","",IF(AND(AND(J1344="PASS",'Calibrare_Linii'!U14="VALID"),'Motor_Meciuri'!K101=12,'Motor_Meciuri'!L101=12,'Motor_Meciuri'!M101="NO",'Motor_Meciuri'!BL101='Motor_Meciuri'!C101,AB1344&gt;='Config_v6'!$B$50,AN1344&gt;='Config_v6'!$B$51,T1344&lt;='Config_v6'!$B$52,L1344&lt;='Config_v6'!$B$53,ISNUMBER('Calibrare_Linii'!E14),S1344&lt;='Calibrare_Linii'!E14,SUM(AK1344:AM1344)&gt;0),"CANDIDATE","NO"))</x:f>
      </x:c>
      <x:c r="Y1344" s="2" t="str">
        <x:f>IF(B1344="","",IF(I1344&lt;&gt;"READY","NOT RELEASED",IF(AND(X1344="CANDIDATE",V1344&gt;='Config_v6'!$B$51,W1344="PASS",'Calibrare_Linii'!T14="VALIDATED",AND('Calibrare_Linii'!H14=C1344,ISNUMBER('Calibrare_Linii'!J14),'Calibrare_Linii'!J14&lt;='Input_Meci'!G101)),"PASS",IF(X1344="CANDIDATE","OOS PENDING","FAIL"))))</x:f>
      </x:c>
      <x:c r="Z1344" s="2" t="str">
        <x:f>IF(B1344="","",IF(I1344&lt;&gt;"READY","",IF(OR(NOT(AND(J1344="PASS",'Calibrare_Linii'!U14="VALID")),L1344&gt;'Config_v6'!$B$13,W1344="WATCH"),5,IF(Y1344="PASS",1,MIN(5,MAX('Config_v6'!$B$42,U1344)+IF(W1344="PENALTY",1,0))))))</x:f>
      </x:c>
      <x:c r="AA1344" s="2" t="str">
        <x:f>IF(B1344="","",IF(I1344&lt;&gt;"READY","NOT RELEASED",IF(Z1344=5,"NO BET",IF(OR(AB1344&lt;'Config_v6'!$B$16,V1344&lt;'Config_v6'!$B$18),"WATCH",IF(Z1344=1,"DEFENSIV",IF(Z1344=2,"PRUDENT",IF(Z1344=3,"MODERAT","RIDICAT")))))))</x:f>
      </x:c>
      <x:c r="AB1344" s="10" t="str">
        <x:f>IF(N1344="","",MIN(N1344,1-S1344))</x:f>
      </x:c>
      <x:c r="AC1344" s="2" t="str">
        <x:f>IF(AD1344&lt;&gt;1,"",COUNTIFS($Z$1336:$Z$1349,"&lt;"&amp;Z1344,$AD$1336:$AD$1349,1)+COUNTIFS($Z$1336:$Z$1349,Z1344,$AB$1336:$AB$1349,"&gt;"&amp;AB1344,$AD$1336:$AD$1349,1)+COUNTIFS($Z$1336:$Z$1349,Z1344,$AB$1336:$AB$1349,AB1344,$V$1336:$V$1349,"&gt;"&amp;V1344,$AD$1336:$AD$1349,1)+COUNTIFS($Z$1336:Z1344,Z1344,$AB$1336:AB1344,AB1344,$V$1336:V1344,V1344,$AD$1336:AD1344,1))</x:f>
      </x:c>
      <x:c r="AD1344" s="2" t="n">
        <x:f>IF(OR(AA1344="DEFENSIV",AA1344="PRUDENT",AA1344="MODERAT",AA1344="RIDICAT"),1,0)</x:f>
        <x:v>0</x:v>
      </x:c>
      <x:c r="AE1344" s="2" t="str">
        <x:f>IF(AD1344&lt;&gt;1,"NO",IF(W1344="PASS","YES",IF(W1344="OOS PENDING","CONDITIONAL","NO")))</x:f>
        <x:v>NO</x:v>
      </x:c>
      <x:c r="AF1344" s="2" t="n">
        <x:f>IF(AND(AD1344=1,AC1344=1,E1344="LIVE"),1,0)</x:f>
        <x:v>0</x:v>
      </x:c>
      <x:c r="AG1344" s="2" t="str">
        <x:f>IF(AF1344&lt;&gt;1,"",'Dashboard'!P121)</x:f>
      </x:c>
      <x:c r="AH1344" s="2" t="str">
        <x:f>IF(B1344="","",IF(J1344&lt;&gt;"PASS",'Motor_Meciuri'!J101,IF('Calibrare_Linii'!U14&lt;&gt;"VALID","Parametri linie invalizi",IF(L1344&gt;'Config_v6'!$B$13,"Dispersie peste limita",IF(W1344="WATCH","Failure peste limita",IF(AB1344&lt;'Config_v6'!$B$16,"P finala sub prag",IF(V1344&lt;'Config_v6'!$B$18,"Confidence sub prag",IF(E1344="REPLAY","Exemplu retrospectiv; exclus din Top LIVE",IF(Y1344="PASS","DEFENSIV validat",IF(W1344="OOS PENDING","Eligibil; calibrare linie in monitorizare","Eligibil"))))))))))</x:f>
      </x:c>
      <x:c r="AI1344" s="2" t="str">
        <x:f>IF(B1344="","",'Calibrare_Linii'!V14)</x:f>
      </x:c>
      <x:c r="AJ1344" s="2" t="str">
        <x:f>IF(B1344="","",IF(AND('Calibrare_Linii'!T14="VALIDATED",AND('Calibrare_Linii'!H14=C1344,ISNUMBER('Calibrare_Linii'!J14),'Calibrare_Linii'!J14&lt;='Input_Meci'!G101)),"DEFENSIVE VALIDATED",IF(AND('Calibrare_Linii'!S14="VALIDATED",AND('Calibrare_Linii'!H14=C1344,ISNUMBER('Calibrare_Linii'!J14),'Calibrare_Linii'!J14&lt;='Input_Meci'!G101)),"TAIL VALIDATED","OOS PENDING")))</x:f>
      </x:c>
      <x:c r="AK1344" s="2" t="n">
        <x:f>IF(J1344&lt;&gt;"PASS",0,'Motor_Meciuri'!BR101)</x:f>
        <x:v>0</x:v>
      </x:c>
      <x:c r="AL1344" s="2" t="n">
        <x:f>IF(J1344&lt;&gt;"PASS",0,'Motor_Meciuri'!BS101)</x:f>
        <x:v>0</x:v>
      </x:c>
      <x:c r="AM1344" s="2" t="n">
        <x:f>IF(J1344&lt;&gt;"PASS",0,'Motor_Meciuri'!BT101)</x:f>
        <x:v>0</x:v>
      </x:c>
      <x:c r="AN1344" s="2" t="str">
        <x:f>IF(M1344="","",MAX(0,'Motor_Meciuri'!BF101-IF(L1344&gt;'Config_v6'!$B$12,'Config_v6'!$B$37,IF(L1344&gt;'Config_v6'!$B$11,'Config_v6'!$B$36,0))))</x:f>
      </x:c>
    </x:row>
    <x:row r="1345" ht="21" customHeight="1">
      <x:c r="A1345" s="2" t="n">
        <x:v>96</x:v>
      </x:c>
      <x:c r="B1345" s="2" t="str">
        <x:f>IF('Motor_Meciuri'!A101="","",'Motor_Meciuri'!A101)</x:f>
      </x:c>
      <x:c r="C1345" s="2" t="str">
        <x:f>IF(B1345="","",'Motor_Meciuri'!B101)</x:f>
      </x:c>
      <x:c r="D1345" s="2" t="str">
        <x:f>IF(B1345="","",'Motor_Meciuri'!D101)</x:f>
      </x:c>
      <x:c r="E1345" s="2" t="str">
        <x:f>IF(B1345="","",'Motor_Meciuri'!E101)</x:f>
      </x:c>
      <x:c r="F1345" s="2" t="str">
        <x:v>U13,5</x:v>
      </x:c>
      <x:c r="G1345" s="2" t="str">
        <x:v>UNDER</x:v>
      </x:c>
      <x:c r="H1345" s="2" t="n">
        <x:v>13</x:v>
      </x:c>
      <x:c r="I1345" s="2" t="str">
        <x:f>IF(B1345="","",'Motor_Meciuri'!H101)</x:f>
      </x:c>
      <x:c r="J1345" s="2" t="str">
        <x:f>IF(B1345="","",'Motor_Meciuri'!I101)</x:f>
      </x:c>
      <x:c r="K1345" s="11" t="str">
        <x:f>IF(J1345&lt;&gt;"PASS","",'Motor_Meciuri'!BD101)</x:f>
      </x:c>
      <x:c r="L1345" s="11" t="str">
        <x:f>IF(J1345&lt;&gt;"PASS","",'Motor_Meciuri'!AU101)</x:f>
      </x:c>
      <x:c r="M1345" s="10" t="str">
        <x:f>IF(NOT(AND(J1345="PASS",'Calibrare_Linii'!U15="VALID")),"",'Distributie'!AK101)</x:f>
      </x:c>
      <x:c r="N1345" s="10" t="str">
        <x:f>IF(M1345="","",MAX(0.01,MIN(0.99,0.5+(M1345-0.5)*'Motor_Meciuri'!BG101*'Calibrare_Linii'!D15)))</x:f>
      </x:c>
      <x:c r="O1345" s="10" t="str">
        <x:f>IF(M1345="","",1-M1345)</x:f>
      </x:c>
      <x:c r="P1345" s="10" t="str">
        <x:f>IF(OR(NOT(AND(J1345="PASS",'Calibrare_Linii'!U15="VALID")),AK1345=0),""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*('Istoric_Nativ'!$Q$6:$Q$405&gt;H1345))/AK1345)</x:f>
      </x:c>
      <x:c r="Q1345" s="10" t="str">
        <x:f>IF(OR(NOT(AND(J1345="PASS",'Calibrare_Linii'!U15="VALID")),AL1345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M101)+((('Istoric_Nativ'!$E$6:$E$405='Input_Meci'!E101)+('Istoric_Nativ'!$F$6:$F$405='Input_Meci'!E101))&gt;0)*('Istoric_Nativ'!$D$6:$D$405&gt;='Motor_Meciuri'!BN101))&gt;0)*('Istoric_Nativ'!$Q$6:$Q$405&gt;H1345))/AL1345)</x:f>
      </x:c>
      <x:c r="R1345" s="10" t="str">
        <x:f>IF(OR(NOT(AND(J1345="PASS",'Calibrare_Linii'!U15="VALID")),AM1345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O101)+((('Istoric_Nativ'!$E$6:$E$405='Input_Meci'!E101)+('Istoric_Nativ'!$F$6:$F$405='Input_Meci'!E101))&gt;0)*('Istoric_Nativ'!$D$6:$D$405&gt;='Motor_Meciuri'!BP101))&gt;0)*('Istoric_Nativ'!$Q$6:$Q$405&gt;H1345))/AM1345)</x:f>
      </x:c>
      <x:c r="S1345" s="10" t="str">
        <x:f>IF(M1345="","",MAX(O1345,P1345,Q1345,R1345))</x:f>
      </x:c>
      <x:c r="T1345" s="11" t="str">
        <x:f>IF(M1345="","",MIN(100,S1345*100*'Config_v6'!$B$44+MIN(100,L1345/'Config_v6'!$B$13*100)*'Config_v6'!$B$45+(100-'Motor_Meciuri'!BF101)*'Config_v6'!$B$46+'Motor_Meciuri'!BH101*100*'Config_v6'!$B$47))</x:f>
      </x:c>
      <x:c r="U1345" s="2" t="str">
        <x:f>IF(T1345="","",IF(T1345&lt;=20,1,IF(T1345&lt;=40,2,IF(T1345&lt;=60,3,IF(T1345&lt;=80,4,5)))))</x:f>
      </x:c>
      <x:c r="V1345" s="2" t="str">
        <x:f>IF(M1345="","",MAX(0,'Motor_Meciuri'!BF101-IF(W1345="OOS PENDING",'Config_v6'!$B$35,0)-IF(L1345&gt;'Config_v6'!$B$12,'Config_v6'!$B$37,IF(L1345&gt;'Config_v6'!$B$11,'Config_v6'!$B$36,0))))</x:f>
      </x:c>
      <x:c r="W1345" s="2" t="str">
        <x:f>IF(B1345="","",IF(I1345&lt;&gt;"READY","NOT RELEASED",IF(NOT(AND(J1345="PASS",'Calibrare_Linii'!U15="VALID")),"INVALID",IF(NOT(AND('Calibrare_Linii'!S15="VALIDATED",AND('Calibrare_Linii'!H15=C1345,ISNUMBER('Calibrare_Linii'!J15),'Calibrare_Linii'!J15&lt;='Input_Meci'!G101))),"OOS PENDING",IF(S1345&lt;='Calibrare_Linii'!E15,"PASS",IF(S1345&lt;='Calibrare_Linii'!F15,"PENALTY","WATCH"))))))</x:f>
      </x:c>
      <x:c r="X1345" s="2" t="str">
        <x:f>IF(M1345="","",IF(AND(AND(J1345="PASS",'Calibrare_Linii'!U15="VALID"),'Motor_Meciuri'!K101=12,'Motor_Meciuri'!L101=12,'Motor_Meciuri'!M101="NO",'Motor_Meciuri'!BL101='Motor_Meciuri'!C101,AB1345&gt;='Config_v6'!$B$50,AN1345&gt;='Config_v6'!$B$51,T1345&lt;='Config_v6'!$B$52,L1345&lt;='Config_v6'!$B$53,ISNUMBER('Calibrare_Linii'!E15),S1345&lt;='Calibrare_Linii'!E15,SUM(AK1345:AM1345)&gt;0),"CANDIDATE","NO"))</x:f>
      </x:c>
      <x:c r="Y1345" s="2" t="str">
        <x:f>IF(B1345="","",IF(I1345&lt;&gt;"READY","NOT RELEASED",IF(AND(X1345="CANDIDATE",V1345&gt;='Config_v6'!$B$51,W1345="PASS",'Calibrare_Linii'!T15="VALIDATED",AND('Calibrare_Linii'!H15=C1345,ISNUMBER('Calibrare_Linii'!J15),'Calibrare_Linii'!J15&lt;='Input_Meci'!G101)),"PASS",IF(X1345="CANDIDATE","OOS PENDING","FAIL"))))</x:f>
      </x:c>
      <x:c r="Z1345" s="2" t="str">
        <x:f>IF(B1345="","",IF(I1345&lt;&gt;"READY","",IF(OR(NOT(AND(J1345="PASS",'Calibrare_Linii'!U15="VALID")),L1345&gt;'Config_v6'!$B$13,W1345="WATCH"),5,IF(Y1345="PASS",1,MIN(5,MAX('Config_v6'!$B$42,U1345)+IF(W1345="PENALTY",1,0))))))</x:f>
      </x:c>
      <x:c r="AA1345" s="2" t="str">
        <x:f>IF(B1345="","",IF(I1345&lt;&gt;"READY","NOT RELEASED",IF(Z1345=5,"NO BET",IF(OR(AB1345&lt;'Config_v6'!$B$16,V1345&lt;'Config_v6'!$B$18),"WATCH",IF(Z1345=1,"DEFENSIV",IF(Z1345=2,"PRUDENT",IF(Z1345=3,"MODERAT","RIDICAT")))))))</x:f>
      </x:c>
      <x:c r="AB1345" s="10" t="str">
        <x:f>IF(N1345="","",MIN(N1345,1-S1345))</x:f>
      </x:c>
      <x:c r="AC1345" s="2" t="str">
        <x:f>IF(AD1345&lt;&gt;1,"",COUNTIFS($Z$1336:$Z$1349,"&lt;"&amp;Z1345,$AD$1336:$AD$1349,1)+COUNTIFS($Z$1336:$Z$1349,Z1345,$AB$1336:$AB$1349,"&gt;"&amp;AB1345,$AD$1336:$AD$1349,1)+COUNTIFS($Z$1336:$Z$1349,Z1345,$AB$1336:$AB$1349,AB1345,$V$1336:$V$1349,"&gt;"&amp;V1345,$AD$1336:$AD$1349,1)+COUNTIFS($Z$1336:Z1345,Z1345,$AB$1336:AB1345,AB1345,$V$1336:V1345,V1345,$AD$1336:AD1345,1))</x:f>
      </x:c>
      <x:c r="AD1345" s="2" t="n">
        <x:f>IF(OR(AA1345="DEFENSIV",AA1345="PRUDENT",AA1345="MODERAT",AA1345="RIDICAT"),1,0)</x:f>
        <x:v>0</x:v>
      </x:c>
      <x:c r="AE1345" s="2" t="str">
        <x:f>IF(AD1345&lt;&gt;1,"NO",IF(W1345="PASS","YES",IF(W1345="OOS PENDING","CONDITIONAL","NO")))</x:f>
        <x:v>NO</x:v>
      </x:c>
      <x:c r="AF1345" s="2" t="n">
        <x:f>IF(AND(AD1345=1,AC1345=1,E1345="LIVE"),1,0)</x:f>
        <x:v>0</x:v>
      </x:c>
      <x:c r="AG1345" s="2" t="str">
        <x:f>IF(AF1345&lt;&gt;1,"",'Dashboard'!P121)</x:f>
      </x:c>
      <x:c r="AH1345" s="2" t="str">
        <x:f>IF(B1345="","",IF(J1345&lt;&gt;"PASS",'Motor_Meciuri'!J101,IF('Calibrare_Linii'!U15&lt;&gt;"VALID","Parametri linie invalizi",IF(L1345&gt;'Config_v6'!$B$13,"Dispersie peste limita",IF(W1345="WATCH","Failure peste limita",IF(AB1345&lt;'Config_v6'!$B$16,"P finala sub prag",IF(V1345&lt;'Config_v6'!$B$18,"Confidence sub prag",IF(E1345="REPLAY","Exemplu retrospectiv; exclus din Top LIVE",IF(Y1345="PASS","DEFENSIV validat",IF(W1345="OOS PENDING","Eligibil; calibrare linie in monitorizare","Eligibil"))))))))))</x:f>
      </x:c>
      <x:c r="AI1345" s="2" t="str">
        <x:f>IF(B1345="","",'Calibrare_Linii'!V15)</x:f>
      </x:c>
      <x:c r="AJ1345" s="2" t="str">
        <x:f>IF(B1345="","",IF(AND('Calibrare_Linii'!T15="VALIDATED",AND('Calibrare_Linii'!H15=C1345,ISNUMBER('Calibrare_Linii'!J15),'Calibrare_Linii'!J15&lt;='Input_Meci'!G101)),"DEFENSIVE VALIDATED",IF(AND('Calibrare_Linii'!S15="VALIDATED",AND('Calibrare_Linii'!H15=C1345,ISNUMBER('Calibrare_Linii'!J15),'Calibrare_Linii'!J15&lt;='Input_Meci'!G101)),"TAIL VALIDATED","OOS PENDING")))</x:f>
      </x:c>
      <x:c r="AK1345" s="2" t="n">
        <x:f>IF(J1345&lt;&gt;"PASS",0,'Motor_Meciuri'!BR101)</x:f>
        <x:v>0</x:v>
      </x:c>
      <x:c r="AL1345" s="2" t="n">
        <x:f>IF(J1345&lt;&gt;"PASS",0,'Motor_Meciuri'!BS101)</x:f>
        <x:v>0</x:v>
      </x:c>
      <x:c r="AM1345" s="2" t="n">
        <x:f>IF(J1345&lt;&gt;"PASS",0,'Motor_Meciuri'!BT101)</x:f>
        <x:v>0</x:v>
      </x:c>
      <x:c r="AN1345" s="2" t="str">
        <x:f>IF(M1345="","",MAX(0,'Motor_Meciuri'!BF101-IF(L1345&gt;'Config_v6'!$B$12,'Config_v6'!$B$37,IF(L1345&gt;'Config_v6'!$B$11,'Config_v6'!$B$36,0))))</x:f>
      </x:c>
    </x:row>
    <x:row r="1346" ht="21" customHeight="1">
      <x:c r="A1346" s="2" t="n">
        <x:v>96</x:v>
      </x:c>
      <x:c r="B1346" s="2" t="str">
        <x:f>IF('Motor_Meciuri'!A101="","",'Motor_Meciuri'!A101)</x:f>
      </x:c>
      <x:c r="C1346" s="2" t="str">
        <x:f>IF(B1346="","",'Motor_Meciuri'!B101)</x:f>
      </x:c>
      <x:c r="D1346" s="2" t="str">
        <x:f>IF(B1346="","",'Motor_Meciuri'!D101)</x:f>
      </x:c>
      <x:c r="E1346" s="2" t="str">
        <x:f>IF(B1346="","",'Motor_Meciuri'!E101)</x:f>
      </x:c>
      <x:c r="F1346" s="2" t="str">
        <x:v>U14,5</x:v>
      </x:c>
      <x:c r="G1346" s="2" t="str">
        <x:v>UNDER</x:v>
      </x:c>
      <x:c r="H1346" s="2" t="n">
        <x:v>14</x:v>
      </x:c>
      <x:c r="I1346" s="2" t="str">
        <x:f>IF(B1346="","",'Motor_Meciuri'!H101)</x:f>
      </x:c>
      <x:c r="J1346" s="2" t="str">
        <x:f>IF(B1346="","",'Motor_Meciuri'!I101)</x:f>
      </x:c>
      <x:c r="K1346" s="11" t="str">
        <x:f>IF(J1346&lt;&gt;"PASS","",'Motor_Meciuri'!BD101)</x:f>
      </x:c>
      <x:c r="L1346" s="11" t="str">
        <x:f>IF(J1346&lt;&gt;"PASS","",'Motor_Meciuri'!AU101)</x:f>
      </x:c>
      <x:c r="M1346" s="10" t="str">
        <x:f>IF(NOT(AND(J1346="PASS",'Calibrare_Linii'!U16="VALID")),"",'Distributie'!AL101)</x:f>
      </x:c>
      <x:c r="N1346" s="10" t="str">
        <x:f>IF(M1346="","",MAX(0.01,MIN(0.99,0.5+(M1346-0.5)*'Motor_Meciuri'!BG101*'Calibrare_Linii'!D16)))</x:f>
      </x:c>
      <x:c r="O1346" s="10" t="str">
        <x:f>IF(M1346="","",1-M1346)</x:f>
      </x:c>
      <x:c r="P1346" s="10" t="str">
        <x:f>IF(OR(NOT(AND(J1346="PASS",'Calibrare_Linii'!U16="VALID")),AK1346=0),""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*('Istoric_Nativ'!$Q$6:$Q$405&gt;H1346))/AK1346)</x:f>
      </x:c>
      <x:c r="Q1346" s="10" t="str">
        <x:f>IF(OR(NOT(AND(J1346="PASS",'Calibrare_Linii'!U16="VALID")),AL1346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M101)+((('Istoric_Nativ'!$E$6:$E$405='Input_Meci'!E101)+('Istoric_Nativ'!$F$6:$F$405='Input_Meci'!E101))&gt;0)*('Istoric_Nativ'!$D$6:$D$405&gt;='Motor_Meciuri'!BN101))&gt;0)*('Istoric_Nativ'!$Q$6:$Q$405&gt;H1346))/AL1346)</x:f>
      </x:c>
      <x:c r="R1346" s="10" t="str">
        <x:f>IF(OR(NOT(AND(J1346="PASS",'Calibrare_Linii'!U16="VALID")),AM1346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O101)+((('Istoric_Nativ'!$E$6:$E$405='Input_Meci'!E101)+('Istoric_Nativ'!$F$6:$F$405='Input_Meci'!E101))&gt;0)*('Istoric_Nativ'!$D$6:$D$405&gt;='Motor_Meciuri'!BP101))&gt;0)*('Istoric_Nativ'!$Q$6:$Q$405&gt;H1346))/AM1346)</x:f>
      </x:c>
      <x:c r="S1346" s="10" t="str">
        <x:f>IF(M1346="","",MAX(O1346,P1346,Q1346,R1346))</x:f>
      </x:c>
      <x:c r="T1346" s="11" t="str">
        <x:f>IF(M1346="","",MIN(100,S1346*100*'Config_v6'!$B$44+MIN(100,L1346/'Config_v6'!$B$13*100)*'Config_v6'!$B$45+(100-'Motor_Meciuri'!BF101)*'Config_v6'!$B$46+'Motor_Meciuri'!BH101*100*'Config_v6'!$B$47))</x:f>
      </x:c>
      <x:c r="U1346" s="2" t="str">
        <x:f>IF(T1346="","",IF(T1346&lt;=20,1,IF(T1346&lt;=40,2,IF(T1346&lt;=60,3,IF(T1346&lt;=80,4,5)))))</x:f>
      </x:c>
      <x:c r="V1346" s="2" t="str">
        <x:f>IF(M1346="","",MAX(0,'Motor_Meciuri'!BF101-IF(W1346="OOS PENDING",'Config_v6'!$B$35,0)-IF(L1346&gt;'Config_v6'!$B$12,'Config_v6'!$B$37,IF(L1346&gt;'Config_v6'!$B$11,'Config_v6'!$B$36,0))))</x:f>
      </x:c>
      <x:c r="W1346" s="2" t="str">
        <x:f>IF(B1346="","",IF(I1346&lt;&gt;"READY","NOT RELEASED",IF(NOT(AND(J1346="PASS",'Calibrare_Linii'!U16="VALID")),"INVALID",IF(NOT(AND('Calibrare_Linii'!S16="VALIDATED",AND('Calibrare_Linii'!H16=C1346,ISNUMBER('Calibrare_Linii'!J16),'Calibrare_Linii'!J16&lt;='Input_Meci'!G101))),"OOS PENDING",IF(S1346&lt;='Calibrare_Linii'!E16,"PASS",IF(S1346&lt;='Calibrare_Linii'!F16,"PENALTY","WATCH"))))))</x:f>
      </x:c>
      <x:c r="X1346" s="2" t="str">
        <x:f>IF(M1346="","",IF(AND(AND(J1346="PASS",'Calibrare_Linii'!U16="VALID"),'Motor_Meciuri'!K101=12,'Motor_Meciuri'!L101=12,'Motor_Meciuri'!M101="NO",'Motor_Meciuri'!BL101='Motor_Meciuri'!C101,AB1346&gt;='Config_v6'!$B$50,AN1346&gt;='Config_v6'!$B$51,T1346&lt;='Config_v6'!$B$52,L1346&lt;='Config_v6'!$B$53,ISNUMBER('Calibrare_Linii'!E16),S1346&lt;='Calibrare_Linii'!E16,SUM(AK1346:AM1346)&gt;0),"CANDIDATE","NO"))</x:f>
      </x:c>
      <x:c r="Y1346" s="2" t="str">
        <x:f>IF(B1346="","",IF(I1346&lt;&gt;"READY","NOT RELEASED",IF(AND(X1346="CANDIDATE",V1346&gt;='Config_v6'!$B$51,W1346="PASS",'Calibrare_Linii'!T16="VALIDATED",AND('Calibrare_Linii'!H16=C1346,ISNUMBER('Calibrare_Linii'!J16),'Calibrare_Linii'!J16&lt;='Input_Meci'!G101)),"PASS",IF(X1346="CANDIDATE","OOS PENDING","FAIL"))))</x:f>
      </x:c>
      <x:c r="Z1346" s="2" t="str">
        <x:f>IF(B1346="","",IF(I1346&lt;&gt;"READY","",IF(OR(NOT(AND(J1346="PASS",'Calibrare_Linii'!U16="VALID")),L1346&gt;'Config_v6'!$B$13,W1346="WATCH"),5,IF(Y1346="PASS",1,MIN(5,MAX('Config_v6'!$B$42,U1346)+IF(W1346="PENALTY",1,0))))))</x:f>
      </x:c>
      <x:c r="AA1346" s="2" t="str">
        <x:f>IF(B1346="","",IF(I1346&lt;&gt;"READY","NOT RELEASED",IF(Z1346=5,"NO BET",IF(OR(AB1346&lt;'Config_v6'!$B$16,V1346&lt;'Config_v6'!$B$18),"WATCH",IF(Z1346=1,"DEFENSIV",IF(Z1346=2,"PRUDENT",IF(Z1346=3,"MODERAT","RIDICAT")))))))</x:f>
      </x:c>
      <x:c r="AB1346" s="10" t="str">
        <x:f>IF(N1346="","",MIN(N1346,1-S1346))</x:f>
      </x:c>
      <x:c r="AC1346" s="2" t="str">
        <x:f>IF(AD1346&lt;&gt;1,"",COUNTIFS($Z$1336:$Z$1349,"&lt;"&amp;Z1346,$AD$1336:$AD$1349,1)+COUNTIFS($Z$1336:$Z$1349,Z1346,$AB$1336:$AB$1349,"&gt;"&amp;AB1346,$AD$1336:$AD$1349,1)+COUNTIFS($Z$1336:$Z$1349,Z1346,$AB$1336:$AB$1349,AB1346,$V$1336:$V$1349,"&gt;"&amp;V1346,$AD$1336:$AD$1349,1)+COUNTIFS($Z$1336:Z1346,Z1346,$AB$1336:AB1346,AB1346,$V$1336:V1346,V1346,$AD$1336:AD1346,1))</x:f>
      </x:c>
      <x:c r="AD1346" s="2" t="n">
        <x:f>IF(OR(AA1346="DEFENSIV",AA1346="PRUDENT",AA1346="MODERAT",AA1346="RIDICAT"),1,0)</x:f>
        <x:v>0</x:v>
      </x:c>
      <x:c r="AE1346" s="2" t="str">
        <x:f>IF(AD1346&lt;&gt;1,"NO",IF(W1346="PASS","YES",IF(W1346="OOS PENDING","CONDITIONAL","NO")))</x:f>
        <x:v>NO</x:v>
      </x:c>
      <x:c r="AF1346" s="2" t="n">
        <x:f>IF(AND(AD1346=1,AC1346=1,E1346="LIVE"),1,0)</x:f>
        <x:v>0</x:v>
      </x:c>
      <x:c r="AG1346" s="2" t="str">
        <x:f>IF(AF1346&lt;&gt;1,"",'Dashboard'!P121)</x:f>
      </x:c>
      <x:c r="AH1346" s="2" t="str">
        <x:f>IF(B1346="","",IF(J1346&lt;&gt;"PASS",'Motor_Meciuri'!J101,IF('Calibrare_Linii'!U16&lt;&gt;"VALID","Parametri linie invalizi",IF(L1346&gt;'Config_v6'!$B$13,"Dispersie peste limita",IF(W1346="WATCH","Failure peste limita",IF(AB1346&lt;'Config_v6'!$B$16,"P finala sub prag",IF(V1346&lt;'Config_v6'!$B$18,"Confidence sub prag",IF(E1346="REPLAY","Exemplu retrospectiv; exclus din Top LIVE",IF(Y1346="PASS","DEFENSIV validat",IF(W1346="OOS PENDING","Eligibil; calibrare linie in monitorizare","Eligibil"))))))))))</x:f>
      </x:c>
      <x:c r="AI1346" s="2" t="str">
        <x:f>IF(B1346="","",'Calibrare_Linii'!V16)</x:f>
      </x:c>
      <x:c r="AJ1346" s="2" t="str">
        <x:f>IF(B1346="","",IF(AND('Calibrare_Linii'!T16="VALIDATED",AND('Calibrare_Linii'!H16=C1346,ISNUMBER('Calibrare_Linii'!J16),'Calibrare_Linii'!J16&lt;='Input_Meci'!G101)),"DEFENSIVE VALIDATED",IF(AND('Calibrare_Linii'!S16="VALIDATED",AND('Calibrare_Linii'!H16=C1346,ISNUMBER('Calibrare_Linii'!J16),'Calibrare_Linii'!J16&lt;='Input_Meci'!G101)),"TAIL VALIDATED","OOS PENDING")))</x:f>
      </x:c>
      <x:c r="AK1346" s="2" t="n">
        <x:f>IF(J1346&lt;&gt;"PASS",0,'Motor_Meciuri'!BR101)</x:f>
        <x:v>0</x:v>
      </x:c>
      <x:c r="AL1346" s="2" t="n">
        <x:f>IF(J1346&lt;&gt;"PASS",0,'Motor_Meciuri'!BS101)</x:f>
        <x:v>0</x:v>
      </x:c>
      <x:c r="AM1346" s="2" t="n">
        <x:f>IF(J1346&lt;&gt;"PASS",0,'Motor_Meciuri'!BT101)</x:f>
        <x:v>0</x:v>
      </x:c>
      <x:c r="AN1346" s="2" t="str">
        <x:f>IF(M1346="","",MAX(0,'Motor_Meciuri'!BF101-IF(L1346&gt;'Config_v6'!$B$12,'Config_v6'!$B$37,IF(L1346&gt;'Config_v6'!$B$11,'Config_v6'!$B$36,0))))</x:f>
      </x:c>
    </x:row>
    <x:row r="1347" ht="21" customHeight="1">
      <x:c r="A1347" s="2" t="n">
        <x:v>96</x:v>
      </x:c>
      <x:c r="B1347" s="2" t="str">
        <x:f>IF('Motor_Meciuri'!A101="","",'Motor_Meciuri'!A101)</x:f>
      </x:c>
      <x:c r="C1347" s="2" t="str">
        <x:f>IF(B1347="","",'Motor_Meciuri'!B101)</x:f>
      </x:c>
      <x:c r="D1347" s="2" t="str">
        <x:f>IF(B1347="","",'Motor_Meciuri'!D101)</x:f>
      </x:c>
      <x:c r="E1347" s="2" t="str">
        <x:f>IF(B1347="","",'Motor_Meciuri'!E101)</x:f>
      </x:c>
      <x:c r="F1347" s="2" t="str">
        <x:v>U15,5</x:v>
      </x:c>
      <x:c r="G1347" s="2" t="str">
        <x:v>UNDER</x:v>
      </x:c>
      <x:c r="H1347" s="2" t="n">
        <x:v>15</x:v>
      </x:c>
      <x:c r="I1347" s="2" t="str">
        <x:f>IF(B1347="","",'Motor_Meciuri'!H101)</x:f>
      </x:c>
      <x:c r="J1347" s="2" t="str">
        <x:f>IF(B1347="","",'Motor_Meciuri'!I101)</x:f>
      </x:c>
      <x:c r="K1347" s="11" t="str">
        <x:f>IF(J1347&lt;&gt;"PASS","",'Motor_Meciuri'!BD101)</x:f>
      </x:c>
      <x:c r="L1347" s="11" t="str">
        <x:f>IF(J1347&lt;&gt;"PASS","",'Motor_Meciuri'!AU101)</x:f>
      </x:c>
      <x:c r="M1347" s="10" t="str">
        <x:f>IF(NOT(AND(J1347="PASS",'Calibrare_Linii'!U17="VALID")),"",'Distributie'!AM101)</x:f>
      </x:c>
      <x:c r="N1347" s="10" t="str">
        <x:f>IF(M1347="","",MAX(0.01,MIN(0.99,0.5+(M1347-0.5)*'Motor_Meciuri'!BG101*'Calibrare_Linii'!D17)))</x:f>
      </x:c>
      <x:c r="O1347" s="10" t="str">
        <x:f>IF(M1347="","",1-M1347)</x:f>
      </x:c>
      <x:c r="P1347" s="10" t="str">
        <x:f>IF(OR(NOT(AND(J1347="PASS",'Calibrare_Linii'!U17="VALID")),AK1347=0),""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*('Istoric_Nativ'!$Q$6:$Q$405&gt;H1347))/AK1347)</x:f>
      </x:c>
      <x:c r="Q1347" s="10" t="str">
        <x:f>IF(OR(NOT(AND(J1347="PASS",'Calibrare_Linii'!U17="VALID")),AL1347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M101)+((('Istoric_Nativ'!$E$6:$E$405='Input_Meci'!E101)+('Istoric_Nativ'!$F$6:$F$405='Input_Meci'!E101))&gt;0)*('Istoric_Nativ'!$D$6:$D$405&gt;='Motor_Meciuri'!BN101))&gt;0)*('Istoric_Nativ'!$Q$6:$Q$405&gt;H1347))/AL1347)</x:f>
      </x:c>
      <x:c r="R1347" s="10" t="str">
        <x:f>IF(OR(NOT(AND(J1347="PASS",'Calibrare_Linii'!U17="VALID")),AM1347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O101)+((('Istoric_Nativ'!$E$6:$E$405='Input_Meci'!E101)+('Istoric_Nativ'!$F$6:$F$405='Input_Meci'!E101))&gt;0)*('Istoric_Nativ'!$D$6:$D$405&gt;='Motor_Meciuri'!BP101))&gt;0)*('Istoric_Nativ'!$Q$6:$Q$405&gt;H1347))/AM1347)</x:f>
      </x:c>
      <x:c r="S1347" s="10" t="str">
        <x:f>IF(M1347="","",MAX(O1347,P1347,Q1347,R1347))</x:f>
      </x:c>
      <x:c r="T1347" s="11" t="str">
        <x:f>IF(M1347="","",MIN(100,S1347*100*'Config_v6'!$B$44+MIN(100,L1347/'Config_v6'!$B$13*100)*'Config_v6'!$B$45+(100-'Motor_Meciuri'!BF101)*'Config_v6'!$B$46+'Motor_Meciuri'!BH101*100*'Config_v6'!$B$47))</x:f>
      </x:c>
      <x:c r="U1347" s="2" t="str">
        <x:f>IF(T1347="","",IF(T1347&lt;=20,1,IF(T1347&lt;=40,2,IF(T1347&lt;=60,3,IF(T1347&lt;=80,4,5)))))</x:f>
      </x:c>
      <x:c r="V1347" s="2" t="str">
        <x:f>IF(M1347="","",MAX(0,'Motor_Meciuri'!BF101-IF(W1347="OOS PENDING",'Config_v6'!$B$35,0)-IF(L1347&gt;'Config_v6'!$B$12,'Config_v6'!$B$37,IF(L1347&gt;'Config_v6'!$B$11,'Config_v6'!$B$36,0))))</x:f>
      </x:c>
      <x:c r="W1347" s="2" t="str">
        <x:f>IF(B1347="","",IF(I1347&lt;&gt;"READY","NOT RELEASED",IF(NOT(AND(J1347="PASS",'Calibrare_Linii'!U17="VALID")),"INVALID",IF(NOT(AND('Calibrare_Linii'!S17="VALIDATED",AND('Calibrare_Linii'!H17=C1347,ISNUMBER('Calibrare_Linii'!J17),'Calibrare_Linii'!J17&lt;='Input_Meci'!G101))),"OOS PENDING",IF(S1347&lt;='Calibrare_Linii'!E17,"PASS",IF(S1347&lt;='Calibrare_Linii'!F17,"PENALTY","WATCH"))))))</x:f>
      </x:c>
      <x:c r="X1347" s="2" t="str">
        <x:f>IF(M1347="","",IF(AND(AND(J1347="PASS",'Calibrare_Linii'!U17="VALID"),'Motor_Meciuri'!K101=12,'Motor_Meciuri'!L101=12,'Motor_Meciuri'!M101="NO",'Motor_Meciuri'!BL101='Motor_Meciuri'!C101,AB1347&gt;='Config_v6'!$B$50,AN1347&gt;='Config_v6'!$B$51,T1347&lt;='Config_v6'!$B$52,L1347&lt;='Config_v6'!$B$53,ISNUMBER('Calibrare_Linii'!E17),S1347&lt;='Calibrare_Linii'!E17,SUM(AK1347:AM1347)&gt;0),"CANDIDATE","NO"))</x:f>
      </x:c>
      <x:c r="Y1347" s="2" t="str">
        <x:f>IF(B1347="","",IF(I1347&lt;&gt;"READY","NOT RELEASED",IF(AND(X1347="CANDIDATE",V1347&gt;='Config_v6'!$B$51,W1347="PASS",'Calibrare_Linii'!T17="VALIDATED",AND('Calibrare_Linii'!H17=C1347,ISNUMBER('Calibrare_Linii'!J17),'Calibrare_Linii'!J17&lt;='Input_Meci'!G101)),"PASS",IF(X1347="CANDIDATE","OOS PENDING","FAIL"))))</x:f>
      </x:c>
      <x:c r="Z1347" s="2" t="str">
        <x:f>IF(B1347="","",IF(I1347&lt;&gt;"READY","",IF(OR(NOT(AND(J1347="PASS",'Calibrare_Linii'!U17="VALID")),L1347&gt;'Config_v6'!$B$13,W1347="WATCH"),5,IF(Y1347="PASS",1,MIN(5,MAX('Config_v6'!$B$42,U1347)+IF(W1347="PENALTY",1,0))))))</x:f>
      </x:c>
      <x:c r="AA1347" s="2" t="str">
        <x:f>IF(B1347="","",IF(I1347&lt;&gt;"READY","NOT RELEASED",IF(Z1347=5,"NO BET",IF(OR(AB1347&lt;'Config_v6'!$B$16,V1347&lt;'Config_v6'!$B$18),"WATCH",IF(Z1347=1,"DEFENSIV",IF(Z1347=2,"PRUDENT",IF(Z1347=3,"MODERAT","RIDICAT")))))))</x:f>
      </x:c>
      <x:c r="AB1347" s="10" t="str">
        <x:f>IF(N1347="","",MIN(N1347,1-S1347))</x:f>
      </x:c>
      <x:c r="AC1347" s="2" t="str">
        <x:f>IF(AD1347&lt;&gt;1,"",COUNTIFS($Z$1336:$Z$1349,"&lt;"&amp;Z1347,$AD$1336:$AD$1349,1)+COUNTIFS($Z$1336:$Z$1349,Z1347,$AB$1336:$AB$1349,"&gt;"&amp;AB1347,$AD$1336:$AD$1349,1)+COUNTIFS($Z$1336:$Z$1349,Z1347,$AB$1336:$AB$1349,AB1347,$V$1336:$V$1349,"&gt;"&amp;V1347,$AD$1336:$AD$1349,1)+COUNTIFS($Z$1336:Z1347,Z1347,$AB$1336:AB1347,AB1347,$V$1336:V1347,V1347,$AD$1336:AD1347,1))</x:f>
      </x:c>
      <x:c r="AD1347" s="2" t="n">
        <x:f>IF(OR(AA1347="DEFENSIV",AA1347="PRUDENT",AA1347="MODERAT",AA1347="RIDICAT"),1,0)</x:f>
        <x:v>0</x:v>
      </x:c>
      <x:c r="AE1347" s="2" t="str">
        <x:f>IF(AD1347&lt;&gt;1,"NO",IF(W1347="PASS","YES",IF(W1347="OOS PENDING","CONDITIONAL","NO")))</x:f>
        <x:v>NO</x:v>
      </x:c>
      <x:c r="AF1347" s="2" t="n">
        <x:f>IF(AND(AD1347=1,AC1347=1,E1347="LIVE"),1,0)</x:f>
        <x:v>0</x:v>
      </x:c>
      <x:c r="AG1347" s="2" t="str">
        <x:f>IF(AF1347&lt;&gt;1,"",'Dashboard'!P121)</x:f>
      </x:c>
      <x:c r="AH1347" s="2" t="str">
        <x:f>IF(B1347="","",IF(J1347&lt;&gt;"PASS",'Motor_Meciuri'!J101,IF('Calibrare_Linii'!U17&lt;&gt;"VALID","Parametri linie invalizi",IF(L1347&gt;'Config_v6'!$B$13,"Dispersie peste limita",IF(W1347="WATCH","Failure peste limita",IF(AB1347&lt;'Config_v6'!$B$16,"P finala sub prag",IF(V1347&lt;'Config_v6'!$B$18,"Confidence sub prag",IF(E1347="REPLAY","Exemplu retrospectiv; exclus din Top LIVE",IF(Y1347="PASS","DEFENSIV validat",IF(W1347="OOS PENDING","Eligibil; calibrare linie in monitorizare","Eligibil"))))))))))</x:f>
      </x:c>
      <x:c r="AI1347" s="2" t="str">
        <x:f>IF(B1347="","",'Calibrare_Linii'!V17)</x:f>
      </x:c>
      <x:c r="AJ1347" s="2" t="str">
        <x:f>IF(B1347="","",IF(AND('Calibrare_Linii'!T17="VALIDATED",AND('Calibrare_Linii'!H17=C1347,ISNUMBER('Calibrare_Linii'!J17),'Calibrare_Linii'!J17&lt;='Input_Meci'!G101)),"DEFENSIVE VALIDATED",IF(AND('Calibrare_Linii'!S17="VALIDATED",AND('Calibrare_Linii'!H17=C1347,ISNUMBER('Calibrare_Linii'!J17),'Calibrare_Linii'!J17&lt;='Input_Meci'!G101)),"TAIL VALIDATED","OOS PENDING")))</x:f>
      </x:c>
      <x:c r="AK1347" s="2" t="n">
        <x:f>IF(J1347&lt;&gt;"PASS",0,'Motor_Meciuri'!BR101)</x:f>
        <x:v>0</x:v>
      </x:c>
      <x:c r="AL1347" s="2" t="n">
        <x:f>IF(J1347&lt;&gt;"PASS",0,'Motor_Meciuri'!BS101)</x:f>
        <x:v>0</x:v>
      </x:c>
      <x:c r="AM1347" s="2" t="n">
        <x:f>IF(J1347&lt;&gt;"PASS",0,'Motor_Meciuri'!BT101)</x:f>
        <x:v>0</x:v>
      </x:c>
      <x:c r="AN1347" s="2" t="str">
        <x:f>IF(M1347="","",MAX(0,'Motor_Meciuri'!BF101-IF(L1347&gt;'Config_v6'!$B$12,'Config_v6'!$B$37,IF(L1347&gt;'Config_v6'!$B$11,'Config_v6'!$B$36,0))))</x:f>
      </x:c>
    </x:row>
    <x:row r="1348" ht="21" customHeight="1">
      <x:c r="A1348" s="2" t="n">
        <x:v>96</x:v>
      </x:c>
      <x:c r="B1348" s="2" t="str">
        <x:f>IF('Motor_Meciuri'!A101="","",'Motor_Meciuri'!A101)</x:f>
      </x:c>
      <x:c r="C1348" s="2" t="str">
        <x:f>IF(B1348="","",'Motor_Meciuri'!B101)</x:f>
      </x:c>
      <x:c r="D1348" s="2" t="str">
        <x:f>IF(B1348="","",'Motor_Meciuri'!D101)</x:f>
      </x:c>
      <x:c r="E1348" s="2" t="str">
        <x:f>IF(B1348="","",'Motor_Meciuri'!E101)</x:f>
      </x:c>
      <x:c r="F1348" s="2" t="str">
        <x:v>U16,5</x:v>
      </x:c>
      <x:c r="G1348" s="2" t="str">
        <x:v>UNDER</x:v>
      </x:c>
      <x:c r="H1348" s="2" t="n">
        <x:v>16</x:v>
      </x:c>
      <x:c r="I1348" s="2" t="str">
        <x:f>IF(B1348="","",'Motor_Meciuri'!H101)</x:f>
      </x:c>
      <x:c r="J1348" s="2" t="str">
        <x:f>IF(B1348="","",'Motor_Meciuri'!I101)</x:f>
      </x:c>
      <x:c r="K1348" s="11" t="str">
        <x:f>IF(J1348&lt;&gt;"PASS","",'Motor_Meciuri'!BD101)</x:f>
      </x:c>
      <x:c r="L1348" s="11" t="str">
        <x:f>IF(J1348&lt;&gt;"PASS","",'Motor_Meciuri'!AU101)</x:f>
      </x:c>
      <x:c r="M1348" s="10" t="str">
        <x:f>IF(NOT(AND(J1348="PASS",'Calibrare_Linii'!U18="VALID")),"",'Distributie'!AN101)</x:f>
      </x:c>
      <x:c r="N1348" s="10" t="str">
        <x:f>IF(M1348="","",MAX(0.01,MIN(0.99,0.5+(M1348-0.5)*'Motor_Meciuri'!BG101*'Calibrare_Linii'!D18)))</x:f>
      </x:c>
      <x:c r="O1348" s="10" t="str">
        <x:f>IF(M1348="","",1-M1348)</x:f>
      </x:c>
      <x:c r="P1348" s="10" t="str">
        <x:f>IF(OR(NOT(AND(J1348="PASS",'Calibrare_Linii'!U18="VALID")),AK1348=0),""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*('Istoric_Nativ'!$Q$6:$Q$405&gt;H1348))/AK1348)</x:f>
      </x:c>
      <x:c r="Q1348" s="10" t="str">
        <x:f>IF(OR(NOT(AND(J1348="PASS",'Calibrare_Linii'!U18="VALID")),AL1348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M101)+((('Istoric_Nativ'!$E$6:$E$405='Input_Meci'!E101)+('Istoric_Nativ'!$F$6:$F$405='Input_Meci'!E101))&gt;0)*('Istoric_Nativ'!$D$6:$D$405&gt;='Motor_Meciuri'!BN101))&gt;0)*('Istoric_Nativ'!$Q$6:$Q$405&gt;H1348))/AL1348)</x:f>
      </x:c>
      <x:c r="R1348" s="10" t="str">
        <x:f>IF(OR(NOT(AND(J1348="PASS",'Calibrare_Linii'!U18="VALID")),AM1348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O101)+((('Istoric_Nativ'!$E$6:$E$405='Input_Meci'!E101)+('Istoric_Nativ'!$F$6:$F$405='Input_Meci'!E101))&gt;0)*('Istoric_Nativ'!$D$6:$D$405&gt;='Motor_Meciuri'!BP101))&gt;0)*('Istoric_Nativ'!$Q$6:$Q$405&gt;H1348))/AM1348)</x:f>
      </x:c>
      <x:c r="S1348" s="10" t="str">
        <x:f>IF(M1348="","",MAX(O1348,P1348,Q1348,R1348))</x:f>
      </x:c>
      <x:c r="T1348" s="11" t="str">
        <x:f>IF(M1348="","",MIN(100,S1348*100*'Config_v6'!$B$44+MIN(100,L1348/'Config_v6'!$B$13*100)*'Config_v6'!$B$45+(100-'Motor_Meciuri'!BF101)*'Config_v6'!$B$46+'Motor_Meciuri'!BH101*100*'Config_v6'!$B$47))</x:f>
      </x:c>
      <x:c r="U1348" s="2" t="str">
        <x:f>IF(T1348="","",IF(T1348&lt;=20,1,IF(T1348&lt;=40,2,IF(T1348&lt;=60,3,IF(T1348&lt;=80,4,5)))))</x:f>
      </x:c>
      <x:c r="V1348" s="2" t="str">
        <x:f>IF(M1348="","",MAX(0,'Motor_Meciuri'!BF101-IF(W1348="OOS PENDING",'Config_v6'!$B$35,0)-IF(L1348&gt;'Config_v6'!$B$12,'Config_v6'!$B$37,IF(L1348&gt;'Config_v6'!$B$11,'Config_v6'!$B$36,0))))</x:f>
      </x:c>
      <x:c r="W1348" s="2" t="str">
        <x:f>IF(B1348="","",IF(I1348&lt;&gt;"READY","NOT RELEASED",IF(NOT(AND(J1348="PASS",'Calibrare_Linii'!U18="VALID")),"INVALID",IF(NOT(AND('Calibrare_Linii'!S18="VALIDATED",AND('Calibrare_Linii'!H18=C1348,ISNUMBER('Calibrare_Linii'!J18),'Calibrare_Linii'!J18&lt;='Input_Meci'!G101))),"OOS PENDING",IF(S1348&lt;='Calibrare_Linii'!E18,"PASS",IF(S1348&lt;='Calibrare_Linii'!F18,"PENALTY","WATCH"))))))</x:f>
      </x:c>
      <x:c r="X1348" s="2" t="str">
        <x:f>IF(M1348="","",IF(AND(AND(J1348="PASS",'Calibrare_Linii'!U18="VALID"),'Motor_Meciuri'!K101=12,'Motor_Meciuri'!L101=12,'Motor_Meciuri'!M101="NO",'Motor_Meciuri'!BL101='Motor_Meciuri'!C101,AB1348&gt;='Config_v6'!$B$50,AN1348&gt;='Config_v6'!$B$51,T1348&lt;='Config_v6'!$B$52,L1348&lt;='Config_v6'!$B$53,ISNUMBER('Calibrare_Linii'!E18),S1348&lt;='Calibrare_Linii'!E18,SUM(AK1348:AM1348)&gt;0),"CANDIDATE","NO"))</x:f>
      </x:c>
      <x:c r="Y1348" s="2" t="str">
        <x:f>IF(B1348="","",IF(I1348&lt;&gt;"READY","NOT RELEASED",IF(AND(X1348="CANDIDATE",V1348&gt;='Config_v6'!$B$51,W1348="PASS",'Calibrare_Linii'!T18="VALIDATED",AND('Calibrare_Linii'!H18=C1348,ISNUMBER('Calibrare_Linii'!J18),'Calibrare_Linii'!J18&lt;='Input_Meci'!G101)),"PASS",IF(X1348="CANDIDATE","OOS PENDING","FAIL"))))</x:f>
      </x:c>
      <x:c r="Z1348" s="2" t="str">
        <x:f>IF(B1348="","",IF(I1348&lt;&gt;"READY","",IF(OR(NOT(AND(J1348="PASS",'Calibrare_Linii'!U18="VALID")),L1348&gt;'Config_v6'!$B$13,W1348="WATCH"),5,IF(Y1348="PASS",1,MIN(5,MAX('Config_v6'!$B$42,U1348)+IF(W1348="PENALTY",1,0))))))</x:f>
      </x:c>
      <x:c r="AA1348" s="2" t="str">
        <x:f>IF(B1348="","",IF(I1348&lt;&gt;"READY","NOT RELEASED",IF(Z1348=5,"NO BET",IF(OR(AB1348&lt;'Config_v6'!$B$16,V1348&lt;'Config_v6'!$B$18),"WATCH",IF(Z1348=1,"DEFENSIV",IF(Z1348=2,"PRUDENT",IF(Z1348=3,"MODERAT","RIDICAT")))))))</x:f>
      </x:c>
      <x:c r="AB1348" s="10" t="str">
        <x:f>IF(N1348="","",MIN(N1348,1-S1348))</x:f>
      </x:c>
      <x:c r="AC1348" s="2" t="str">
        <x:f>IF(AD1348&lt;&gt;1,"",COUNTIFS($Z$1336:$Z$1349,"&lt;"&amp;Z1348,$AD$1336:$AD$1349,1)+COUNTIFS($Z$1336:$Z$1349,Z1348,$AB$1336:$AB$1349,"&gt;"&amp;AB1348,$AD$1336:$AD$1349,1)+COUNTIFS($Z$1336:$Z$1349,Z1348,$AB$1336:$AB$1349,AB1348,$V$1336:$V$1349,"&gt;"&amp;V1348,$AD$1336:$AD$1349,1)+COUNTIFS($Z$1336:Z1348,Z1348,$AB$1336:AB1348,AB1348,$V$1336:V1348,V1348,$AD$1336:AD1348,1))</x:f>
      </x:c>
      <x:c r="AD1348" s="2" t="n">
        <x:f>IF(OR(AA1348="DEFENSIV",AA1348="PRUDENT",AA1348="MODERAT",AA1348="RIDICAT"),1,0)</x:f>
        <x:v>0</x:v>
      </x:c>
      <x:c r="AE1348" s="2" t="str">
        <x:f>IF(AD1348&lt;&gt;1,"NO",IF(W1348="PASS","YES",IF(W1348="OOS PENDING","CONDITIONAL","NO")))</x:f>
        <x:v>NO</x:v>
      </x:c>
      <x:c r="AF1348" s="2" t="n">
        <x:f>IF(AND(AD1348=1,AC1348=1,E1348="LIVE"),1,0)</x:f>
        <x:v>0</x:v>
      </x:c>
      <x:c r="AG1348" s="2" t="str">
        <x:f>IF(AF1348&lt;&gt;1,"",'Dashboard'!P121)</x:f>
      </x:c>
      <x:c r="AH1348" s="2" t="str">
        <x:f>IF(B1348="","",IF(J1348&lt;&gt;"PASS",'Motor_Meciuri'!J101,IF('Calibrare_Linii'!U18&lt;&gt;"VALID","Parametri linie invalizi",IF(L1348&gt;'Config_v6'!$B$13,"Dispersie peste limita",IF(W1348="WATCH","Failure peste limita",IF(AB1348&lt;'Config_v6'!$B$16,"P finala sub prag",IF(V1348&lt;'Config_v6'!$B$18,"Confidence sub prag",IF(E1348="REPLAY","Exemplu retrospectiv; exclus din Top LIVE",IF(Y1348="PASS","DEFENSIV validat",IF(W1348="OOS PENDING","Eligibil; calibrare linie in monitorizare","Eligibil"))))))))))</x:f>
      </x:c>
      <x:c r="AI1348" s="2" t="str">
        <x:f>IF(B1348="","",'Calibrare_Linii'!V18)</x:f>
      </x:c>
      <x:c r="AJ1348" s="2" t="str">
        <x:f>IF(B1348="","",IF(AND('Calibrare_Linii'!T18="VALIDATED",AND('Calibrare_Linii'!H18=C1348,ISNUMBER('Calibrare_Linii'!J18),'Calibrare_Linii'!J18&lt;='Input_Meci'!G101)),"DEFENSIVE VALIDATED",IF(AND('Calibrare_Linii'!S18="VALIDATED",AND('Calibrare_Linii'!H18=C1348,ISNUMBER('Calibrare_Linii'!J18),'Calibrare_Linii'!J18&lt;='Input_Meci'!G101)),"TAIL VALIDATED","OOS PENDING")))</x:f>
      </x:c>
      <x:c r="AK1348" s="2" t="n">
        <x:f>IF(J1348&lt;&gt;"PASS",0,'Motor_Meciuri'!BR101)</x:f>
        <x:v>0</x:v>
      </x:c>
      <x:c r="AL1348" s="2" t="n">
        <x:f>IF(J1348&lt;&gt;"PASS",0,'Motor_Meciuri'!BS101)</x:f>
        <x:v>0</x:v>
      </x:c>
      <x:c r="AM1348" s="2" t="n">
        <x:f>IF(J1348&lt;&gt;"PASS",0,'Motor_Meciuri'!BT101)</x:f>
        <x:v>0</x:v>
      </x:c>
      <x:c r="AN1348" s="2" t="str">
        <x:f>IF(M1348="","",MAX(0,'Motor_Meciuri'!BF101-IF(L1348&gt;'Config_v6'!$B$12,'Config_v6'!$B$37,IF(L1348&gt;'Config_v6'!$B$11,'Config_v6'!$B$36,0))))</x:f>
      </x:c>
    </x:row>
    <x:row r="1349" ht="21" customHeight="1">
      <x:c r="A1349" s="2" t="n">
        <x:v>96</x:v>
      </x:c>
      <x:c r="B1349" s="2" t="str">
        <x:f>IF('Motor_Meciuri'!A101="","",'Motor_Meciuri'!A101)</x:f>
      </x:c>
      <x:c r="C1349" s="2" t="str">
        <x:f>IF(B1349="","",'Motor_Meciuri'!B101)</x:f>
      </x:c>
      <x:c r="D1349" s="2" t="str">
        <x:f>IF(B1349="","",'Motor_Meciuri'!D101)</x:f>
      </x:c>
      <x:c r="E1349" s="2" t="str">
        <x:f>IF(B1349="","",'Motor_Meciuri'!E101)</x:f>
      </x:c>
      <x:c r="F1349" s="2" t="str">
        <x:v>U17,5</x:v>
      </x:c>
      <x:c r="G1349" s="2" t="str">
        <x:v>UNDER</x:v>
      </x:c>
      <x:c r="H1349" s="2" t="n">
        <x:v>17</x:v>
      </x:c>
      <x:c r="I1349" s="2" t="str">
        <x:f>IF(B1349="","",'Motor_Meciuri'!H101)</x:f>
      </x:c>
      <x:c r="J1349" s="2" t="str">
        <x:f>IF(B1349="","",'Motor_Meciuri'!I101)</x:f>
      </x:c>
      <x:c r="K1349" s="11" t="str">
        <x:f>IF(J1349&lt;&gt;"PASS","",'Motor_Meciuri'!BD101)</x:f>
      </x:c>
      <x:c r="L1349" s="11" t="str">
        <x:f>IF(J1349&lt;&gt;"PASS","",'Motor_Meciuri'!AU101)</x:f>
      </x:c>
      <x:c r="M1349" s="10" t="str">
        <x:f>IF(NOT(AND(J1349="PASS",'Calibrare_Linii'!U19="VALID")),"",'Distributie'!AO101)</x:f>
      </x:c>
      <x:c r="N1349" s="10" t="str">
        <x:f>IF(M1349="","",MAX(0.01,MIN(0.99,0.5+(M1349-0.5)*'Motor_Meciuri'!BG101*'Calibrare_Linii'!D19)))</x:f>
      </x:c>
      <x:c r="O1349" s="10" t="str">
        <x:f>IF(M1349="","",1-M1349)</x:f>
      </x:c>
      <x:c r="P1349" s="10" t="str">
        <x:f>IF(OR(NOT(AND(J1349="PASS",'Calibrare_Linii'!U19="VALID")),AK1349=0),""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*('Istoric_Nativ'!$Q$6:$Q$405&gt;H1349))/AK1349)</x:f>
      </x:c>
      <x:c r="Q1349" s="10" t="str">
        <x:f>IF(OR(NOT(AND(J1349="PASS",'Calibrare_Linii'!U19="VALID")),AL1349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M101)+((('Istoric_Nativ'!$E$6:$E$405='Input_Meci'!E101)+('Istoric_Nativ'!$F$6:$F$405='Input_Meci'!E101))&gt;0)*('Istoric_Nativ'!$D$6:$D$405&gt;='Motor_Meciuri'!BN101))&gt;0)*('Istoric_Nativ'!$Q$6:$Q$405&gt;H1349))/AL1349)</x:f>
      </x:c>
      <x:c r="R1349" s="10" t="str">
        <x:f>IF(OR(NOT(AND(J1349="PASS",'Calibrare_Linii'!U19="VALID")),AM1349=0),""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'Motor_Meciuri'!BO101)+((('Istoric_Nativ'!$E$6:$E$405='Input_Meci'!E101)+('Istoric_Nativ'!$F$6:$F$405='Input_Meci'!E101))&gt;0)*('Istoric_Nativ'!$D$6:$D$405&gt;='Motor_Meciuri'!BP101))&gt;0)*('Istoric_Nativ'!$Q$6:$Q$405&gt;H1349))/AM1349)</x:f>
      </x:c>
      <x:c r="S1349" s="10" t="str">
        <x:f>IF(M1349="","",MAX(O1349,P1349,Q1349,R1349))</x:f>
      </x:c>
      <x:c r="T1349" s="11" t="str">
        <x:f>IF(M1349="","",MIN(100,S1349*100*'Config_v6'!$B$44+MIN(100,L1349/'Config_v6'!$B$13*100)*'Config_v6'!$B$45+(100-'Motor_Meciuri'!BF101)*'Config_v6'!$B$46+'Motor_Meciuri'!BH101*100*'Config_v6'!$B$47))</x:f>
      </x:c>
      <x:c r="U1349" s="2" t="str">
        <x:f>IF(T1349="","",IF(T1349&lt;=20,1,IF(T1349&lt;=40,2,IF(T1349&lt;=60,3,IF(T1349&lt;=80,4,5)))))</x:f>
      </x:c>
      <x:c r="V1349" s="2" t="str">
        <x:f>IF(M1349="","",MAX(0,'Motor_Meciuri'!BF101-IF(W1349="OOS PENDING",'Config_v6'!$B$35,0)-IF(L1349&gt;'Config_v6'!$B$12,'Config_v6'!$B$37,IF(L1349&gt;'Config_v6'!$B$11,'Config_v6'!$B$36,0))))</x:f>
      </x:c>
      <x:c r="W1349" s="2" t="str">
        <x:f>IF(B1349="","",IF(I1349&lt;&gt;"READY","NOT RELEASED",IF(NOT(AND(J1349="PASS",'Calibrare_Linii'!U19="VALID")),"INVALID",IF(NOT(AND('Calibrare_Linii'!S19="VALIDATED",AND('Calibrare_Linii'!H19=C1349,ISNUMBER('Calibrare_Linii'!J19),'Calibrare_Linii'!J19&lt;='Input_Meci'!G101))),"OOS PENDING",IF(S1349&lt;='Calibrare_Linii'!E19,"PASS",IF(S1349&lt;='Calibrare_Linii'!F19,"PENALTY","WATCH"))))))</x:f>
      </x:c>
      <x:c r="X1349" s="2" t="str">
        <x:f>IF(M1349="","",IF(AND(AND(J1349="PASS",'Calibrare_Linii'!U19="VALID"),'Motor_Meciuri'!K101=12,'Motor_Meciuri'!L101=12,'Motor_Meciuri'!M101="NO",'Motor_Meciuri'!BL101='Motor_Meciuri'!C101,AB1349&gt;='Config_v6'!$B$50,AN1349&gt;='Config_v6'!$B$51,T1349&lt;='Config_v6'!$B$52,L1349&lt;='Config_v6'!$B$53,ISNUMBER('Calibrare_Linii'!E19),S1349&lt;='Calibrare_Linii'!E19,SUM(AK1349:AM1349)&gt;0),"CANDIDATE","NO"))</x:f>
      </x:c>
      <x:c r="Y1349" s="2" t="str">
        <x:f>IF(B1349="","",IF(I1349&lt;&gt;"READY","NOT RELEASED",IF(AND(X1349="CANDIDATE",V1349&gt;='Config_v6'!$B$51,W1349="PASS",'Calibrare_Linii'!T19="VALIDATED",AND('Calibrare_Linii'!H19=C1349,ISNUMBER('Calibrare_Linii'!J19),'Calibrare_Linii'!J19&lt;='Input_Meci'!G101)),"PASS",IF(X1349="CANDIDATE","OOS PENDING","FAIL"))))</x:f>
      </x:c>
      <x:c r="Z1349" s="2" t="str">
        <x:f>IF(B1349="","",IF(I1349&lt;&gt;"READY","",IF(OR(NOT(AND(J1349="PASS",'Calibrare_Linii'!U19="VALID")),L1349&gt;'Config_v6'!$B$13,W1349="WATCH"),5,IF(Y1349="PASS",1,MIN(5,MAX('Config_v6'!$B$42,U1349)+IF(W1349="PENALTY",1,0))))))</x:f>
      </x:c>
      <x:c r="AA1349" s="2" t="str">
        <x:f>IF(B1349="","",IF(I1349&lt;&gt;"READY","NOT RELEASED",IF(Z1349=5,"NO BET",IF(OR(AB1349&lt;'Config_v6'!$B$16,V1349&lt;'Config_v6'!$B$18),"WATCH",IF(Z1349=1,"DEFENSIV",IF(Z1349=2,"PRUDENT",IF(Z1349=3,"MODERAT","RIDICAT")))))))</x:f>
      </x:c>
      <x:c r="AB1349" s="10" t="str">
        <x:f>IF(N1349="","",MIN(N1349,1-S1349))</x:f>
      </x:c>
      <x:c r="AC1349" s="2" t="str">
        <x:f>IF(AD1349&lt;&gt;1,"",COUNTIFS($Z$1336:$Z$1349,"&lt;"&amp;Z1349,$AD$1336:$AD$1349,1)+COUNTIFS($Z$1336:$Z$1349,Z1349,$AB$1336:$AB$1349,"&gt;"&amp;AB1349,$AD$1336:$AD$1349,1)+COUNTIFS($Z$1336:$Z$1349,Z1349,$AB$1336:$AB$1349,AB1349,$V$1336:$V$1349,"&gt;"&amp;V1349,$AD$1336:$AD$1349,1)+COUNTIFS($Z$1336:Z1349,Z1349,$AB$1336:AB1349,AB1349,$V$1336:V1349,V1349,$AD$1336:AD1349,1))</x:f>
      </x:c>
      <x:c r="AD1349" s="2" t="n">
        <x:f>IF(OR(AA1349="DEFENSIV",AA1349="PRUDENT",AA1349="MODERAT",AA1349="RIDICAT"),1,0)</x:f>
        <x:v>0</x:v>
      </x:c>
      <x:c r="AE1349" s="2" t="str">
        <x:f>IF(AD1349&lt;&gt;1,"NO",IF(W1349="PASS","YES",IF(W1349="OOS PENDING","CONDITIONAL","NO")))</x:f>
        <x:v>NO</x:v>
      </x:c>
      <x:c r="AF1349" s="2" t="n">
        <x:f>IF(AND(AD1349=1,AC1349=1,E1349="LIVE"),1,0)</x:f>
        <x:v>0</x:v>
      </x:c>
      <x:c r="AG1349" s="2" t="str">
        <x:f>IF(AF1349&lt;&gt;1,"",'Dashboard'!P121)</x:f>
      </x:c>
      <x:c r="AH1349" s="2" t="str">
        <x:f>IF(B1349="","",IF(J1349&lt;&gt;"PASS",'Motor_Meciuri'!J101,IF('Calibrare_Linii'!U19&lt;&gt;"VALID","Parametri linie invalizi",IF(L1349&gt;'Config_v6'!$B$13,"Dispersie peste limita",IF(W1349="WATCH","Failure peste limita",IF(AB1349&lt;'Config_v6'!$B$16,"P finala sub prag",IF(V1349&lt;'Config_v6'!$B$18,"Confidence sub prag",IF(E1349="REPLAY","Exemplu retrospectiv; exclus din Top LIVE",IF(Y1349="PASS","DEFENSIV validat",IF(W1349="OOS PENDING","Eligibil; calibrare linie in monitorizare","Eligibil"))))))))))</x:f>
      </x:c>
      <x:c r="AI1349" s="2" t="str">
        <x:f>IF(B1349="","",'Calibrare_Linii'!V19)</x:f>
      </x:c>
      <x:c r="AJ1349" s="2" t="str">
        <x:f>IF(B1349="","",IF(AND('Calibrare_Linii'!T19="VALIDATED",AND('Calibrare_Linii'!H19=C1349,ISNUMBER('Calibrare_Linii'!J19),'Calibrare_Linii'!J19&lt;='Input_Meci'!G101)),"DEFENSIVE VALIDATED",IF(AND('Calibrare_Linii'!S19="VALIDATED",AND('Calibrare_Linii'!H19=C1349,ISNUMBER('Calibrare_Linii'!J19),'Calibrare_Linii'!J19&lt;='Input_Meci'!G101)),"TAIL VALIDATED","OOS PENDING")))</x:f>
      </x:c>
      <x:c r="AK1349" s="2" t="n">
        <x:f>IF(J1349&lt;&gt;"PASS",0,'Motor_Meciuri'!BR101)</x:f>
        <x:v>0</x:v>
      </x:c>
      <x:c r="AL1349" s="2" t="n">
        <x:f>IF(J1349&lt;&gt;"PASS",0,'Motor_Meciuri'!BS101)</x:f>
        <x:v>0</x:v>
      </x:c>
      <x:c r="AM1349" s="2" t="n">
        <x:f>IF(J1349&lt;&gt;"PASS",0,'Motor_Meciuri'!BT101)</x:f>
        <x:v>0</x:v>
      </x:c>
      <x:c r="AN1349" s="2" t="str">
        <x:f>IF(M1349="","",MAX(0,'Motor_Meciuri'!BF101-IF(L1349&gt;'Config_v6'!$B$12,'Config_v6'!$B$37,IF(L1349&gt;'Config_v6'!$B$11,'Config_v6'!$B$36,0))))</x:f>
      </x:c>
    </x:row>
    <x:row r="1350" ht="21" customHeight="1">
      <x:c r="A1350" s="2" t="n">
        <x:v>97</x:v>
      </x:c>
      <x:c r="B1350" s="2" t="str">
        <x:f>IF('Motor_Meciuri'!A102="","",'Motor_Meciuri'!A102)</x:f>
      </x:c>
      <x:c r="C1350" s="2" t="str">
        <x:f>IF(B1350="","",'Motor_Meciuri'!B102)</x:f>
      </x:c>
      <x:c r="D1350" s="2" t="str">
        <x:f>IF(B1350="","",'Motor_Meciuri'!D102)</x:f>
      </x:c>
      <x:c r="E1350" s="2" t="str">
        <x:f>IF(B1350="","",'Motor_Meciuri'!E102)</x:f>
      </x:c>
      <x:c r="F1350" s="2" t="str">
        <x:v>O3,5</x:v>
      </x:c>
      <x:c r="G1350" s="2" t="str">
        <x:v>OVER</x:v>
      </x:c>
      <x:c r="H1350" s="2" t="n">
        <x:v>3</x:v>
      </x:c>
      <x:c r="I1350" s="2" t="str">
        <x:f>IF(B1350="","",'Motor_Meciuri'!H102)</x:f>
      </x:c>
      <x:c r="J1350" s="2" t="str">
        <x:f>IF(B1350="","",'Motor_Meciuri'!I102)</x:f>
      </x:c>
      <x:c r="K1350" s="11" t="str">
        <x:f>IF(J1350&lt;&gt;"PASS","",'Motor_Meciuri'!BD102)</x:f>
      </x:c>
      <x:c r="L1350" s="11" t="str">
        <x:f>IF(J1350&lt;&gt;"PASS","",'Motor_Meciuri'!AU102)</x:f>
      </x:c>
      <x:c r="M1350" s="10" t="str">
        <x:f>IF(NOT(AND(J1350="PASS",'Calibrare_Linii'!U6="VALID")),"",1-'Distributie'!AA102)</x:f>
      </x:c>
      <x:c r="N1350" s="10" t="str">
        <x:f>IF(M1350="","",MAX(0.01,MIN(0.99,0.5+(M1350-0.5)*'Motor_Meciuri'!BG102*'Calibrare_Linii'!D6)))</x:f>
      </x:c>
      <x:c r="O1350" s="10" t="str">
        <x:f>IF(M1350="","",1-M1350)</x:f>
      </x:c>
      <x:c r="P1350" s="10" t="str">
        <x:f>IF(OR(NOT(AND(J1350="PASS",'Calibrare_Linii'!U6="VALID")),AK1350=0),""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*('Istoric_Nativ'!$Q$6:$Q$405&lt;=H1350))/AK1350)</x:f>
      </x:c>
      <x:c r="Q1350" s="10" t="str">
        <x:f>IF(OR(NOT(AND(J1350="PASS",'Calibrare_Linii'!U6="VALID")),AL1350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M102)+((('Istoric_Nativ'!$E$6:$E$405='Input_Meci'!E102)+('Istoric_Nativ'!$F$6:$F$405='Input_Meci'!E102))&gt;0)*('Istoric_Nativ'!$D$6:$D$405&gt;='Motor_Meciuri'!BN102))&gt;0)*('Istoric_Nativ'!$Q$6:$Q$405&lt;=H1350))/AL1350)</x:f>
      </x:c>
      <x:c r="R1350" s="10" t="str">
        <x:f>IF(OR(NOT(AND(J1350="PASS",'Calibrare_Linii'!U6="VALID")),AM1350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O102)+((('Istoric_Nativ'!$E$6:$E$405='Input_Meci'!E102)+('Istoric_Nativ'!$F$6:$F$405='Input_Meci'!E102))&gt;0)*('Istoric_Nativ'!$D$6:$D$405&gt;='Motor_Meciuri'!BP102))&gt;0)*('Istoric_Nativ'!$Q$6:$Q$405&lt;=H1350))/AM1350)</x:f>
      </x:c>
      <x:c r="S1350" s="10" t="str">
        <x:f>IF(M1350="","",MAX(O1350,P1350,Q1350,R1350))</x:f>
      </x:c>
      <x:c r="T1350" s="11" t="str">
        <x:f>IF(M1350="","",MIN(100,S1350*100*'Config_v6'!$B$44+MIN(100,L1350/'Config_v6'!$B$13*100)*'Config_v6'!$B$45+(100-'Motor_Meciuri'!BF102)*'Config_v6'!$B$46+'Motor_Meciuri'!BH102*100*'Config_v6'!$B$47))</x:f>
      </x:c>
      <x:c r="U1350" s="2" t="str">
        <x:f>IF(T1350="","",IF(T1350&lt;=20,1,IF(T1350&lt;=40,2,IF(T1350&lt;=60,3,IF(T1350&lt;=80,4,5)))))</x:f>
      </x:c>
      <x:c r="V1350" s="2" t="str">
        <x:f>IF(M1350="","",MAX(0,'Motor_Meciuri'!BF102-IF(W1350="OOS PENDING",'Config_v6'!$B$35,0)-IF(L1350&gt;'Config_v6'!$B$12,'Config_v6'!$B$37,IF(L1350&gt;'Config_v6'!$B$11,'Config_v6'!$B$36,0))))</x:f>
      </x:c>
      <x:c r="W1350" s="2" t="str">
        <x:f>IF(B1350="","",IF(I1350&lt;&gt;"READY","NOT RELEASED",IF(NOT(AND(J1350="PASS",'Calibrare_Linii'!U6="VALID")),"INVALID",IF(NOT(TRUE),"OOS PENDING",IF(S1350&lt;=IF(AND('Calibrare_Linii'!S6="VALIDATED",AND('Calibrare_Linii'!H6=C1350,ISNUMBER('Calibrare_Linii'!J6),'Calibrare_Linii'!J6&lt;='Input_Meci'!G102)),'Calibrare_Linii'!E6,'Config_v6'!$B$26),"PASS",IF(S1350&lt;=IF(AND('Calibrare_Linii'!S6="VALIDATED",AND('Calibrare_Linii'!H6=C1350,ISNUMBER('Calibrare_Linii'!J6),'Calibrare_Linii'!J6&lt;='Input_Meci'!G102)),'Calibrare_Linii'!F6,'Config_v6'!$C$26),"PENALTY","WATCH"))))))</x:f>
      </x:c>
      <x:c r="X1350" s="2" t="str">
        <x:f>IF(M1350="","",IF(AND(AND(J1350="PASS",'Calibrare_Linii'!U6="VALID"),'Motor_Meciuri'!K102=12,'Motor_Meciuri'!L102=12,'Motor_Meciuri'!M102="NO",'Motor_Meciuri'!BL102='Motor_Meciuri'!C102,AB1350&gt;='Config_v6'!$B$50,AN1350&gt;='Config_v6'!$B$51,T1350&lt;='Config_v6'!$B$52,L1350&lt;='Config_v6'!$B$53,ISNUMBER('Calibrare_Linii'!E6),S1350&lt;='Calibrare_Linii'!E6,SUM(AK1350:AM1350)&gt;0),"CANDIDATE","NO"))</x:f>
      </x:c>
      <x:c r="Y1350" s="2" t="str">
        <x:f>IF(B1350="","",IF(I1350&lt;&gt;"READY","NOT RELEASED",IF(AND(X1350="CANDIDATE",V1350&gt;='Config_v6'!$B$51,W1350="PASS",'Calibrare_Linii'!T6="VALIDATED",AND('Calibrare_Linii'!H6=C1350,ISNUMBER('Calibrare_Linii'!J6),'Calibrare_Linii'!J6&lt;='Input_Meci'!G102)),"PASS",IF(X1350="CANDIDATE","OOS PENDING","FAIL"))))</x:f>
      </x:c>
      <x:c r="Z1350" s="2" t="str">
        <x:f>IF(B1350="","",IF(I1350&lt;&gt;"READY","",IF(OR(NOT(AND(J1350="PASS",'Calibrare_Linii'!U6="VALID")),L1350&gt;'Config_v6'!$B$13,W1350="WATCH"),5,IF(Y1350="PASS",1,MIN(5,MAX('Config_v6'!$B$42,U1350)+IF(W1350="PENALTY",1,0))))))</x:f>
      </x:c>
      <x:c r="AA1350" s="2" t="str">
        <x:f>IF(B1350="","",IF(I1350&lt;&gt;"READY","NOT RELEASED",IF(Z1350=5,"NO BET",IF(OR(AB1350&lt;'Config_v6'!$B$16,V1350&lt;'Config_v6'!$B$18),"WATCH",IF(Z1350=1,"DEFENSIV",IF(Z1350=2,"PRUDENT",IF(Z1350=3,"MODERAT","RIDICAT")))))))</x:f>
      </x:c>
      <x:c r="AB1350" s="10" t="str">
        <x:f>IF(N1350="","",MIN(N1350,1-S1350))</x:f>
      </x:c>
      <x:c r="AC1350" s="2" t="str">
        <x:f>IF(AD1350&lt;&gt;1,"",COUNTIFS($Z$1350:$Z$1363,"&lt;"&amp;Z1350,$AD$1350:$AD$1363,1)+COUNTIFS($Z$1350:$Z$1363,Z1350,$AB$1350:$AB$1363,"&gt;"&amp;AB1350,$AD$1350:$AD$1363,1)+COUNTIFS($Z$1350:$Z$1363,Z1350,$AB$1350:$AB$1363,AB1350,$V$1350:$V$1363,"&gt;"&amp;V1350,$AD$1350:$AD$1363,1)+COUNTIFS($Z$1350:Z1350,Z1350,$AB$1350:AB1350,AB1350,$V$1350:V1350,V1350,$AD$1350:AD1350,1))</x:f>
      </x:c>
      <x:c r="AD1350" s="2" t="n">
        <x:f>IF(OR(AA1350="DEFENSIV",AA1350="PRUDENT",AA1350="MODERAT",AA1350="RIDICAT"),1,0)</x:f>
        <x:v>0</x:v>
      </x:c>
      <x:c r="AE1350" s="2" t="str">
        <x:f>IF(AD1350&lt;&gt;1,"NO",IF(W1350="PASS","YES",IF(W1350="OOS PENDING","CONDITIONAL","NO")))</x:f>
        <x:v>NO</x:v>
      </x:c>
      <x:c r="AF1350" s="2" t="n">
        <x:f>IF(AND(AD1350=1,AC1350=1,E1350="LIVE"),1,0)</x:f>
        <x:v>0</x:v>
      </x:c>
      <x:c r="AG1350" s="2" t="str">
        <x:f>IF(AF1350&lt;&gt;1,"",'Dashboard'!P122)</x:f>
      </x:c>
      <x:c r="AH1350" s="2" t="str">
        <x:f>IF(B1350="","",IF(J1350&lt;&gt;"PASS",'Motor_Meciuri'!J102,IF('Calibrare_Linii'!U6&lt;&gt;"VALID","Parametri linie invalizi",IF(L1350&gt;'Config_v6'!$B$13,"Dispersie peste limita",IF(W1350="WATCH","Failure peste limita",IF(AB1350&lt;'Config_v6'!$B$16,"P finala sub prag",IF(V1350&lt;'Config_v6'!$B$18,"Confidence sub prag",IF(E1350="REPLAY","Exemplu retrospectiv; exclus din Top LIVE",IF(Y1350="PASS","DEFENSIV validat",IF(W1350="OOS PENDING","Eligibil; calibrare linie in monitorizare","Eligibil"))))))))))</x:f>
      </x:c>
      <x:c r="AI1350" s="2" t="str">
        <x:f>IF(B1350="","",'Calibrare_Linii'!V6)</x:f>
      </x:c>
      <x:c r="AJ1350" s="2" t="str">
        <x:f>IF(B1350="","",IF(AND('Calibrare_Linii'!T6="VALIDATED",AND('Calibrare_Linii'!H6=C1350,ISNUMBER('Calibrare_Linii'!J6),'Calibrare_Linii'!J6&lt;='Input_Meci'!G102)),"DEFENSIVE VALIDATED",IF(AND('Calibrare_Linii'!S6="VALIDATED",AND('Calibrare_Linii'!H6=C1350,ISNUMBER('Calibrare_Linii'!J6),'Calibrare_Linii'!J6&lt;='Input_Meci'!G102)),"TAIL VALIDATED","OOS PENDING")))</x:f>
      </x:c>
      <x:c r="AK1350" s="2" t="n">
        <x:f>IF(J1350&lt;&gt;"PASS",0,'Motor_Meciuri'!BR102)</x:f>
        <x:v>0</x:v>
      </x:c>
      <x:c r="AL1350" s="2" t="n">
        <x:f>IF(J1350&lt;&gt;"PASS",0,'Motor_Meciuri'!BS102)</x:f>
        <x:v>0</x:v>
      </x:c>
      <x:c r="AM1350" s="2" t="n">
        <x:f>IF(J1350&lt;&gt;"PASS",0,'Motor_Meciuri'!BT102)</x:f>
        <x:v>0</x:v>
      </x:c>
      <x:c r="AN1350" s="2" t="str">
        <x:f>IF(M1350="","",MAX(0,'Motor_Meciuri'!BF102-IF(L1350&gt;'Config_v6'!$B$12,'Config_v6'!$B$37,IF(L1350&gt;'Config_v6'!$B$11,'Config_v6'!$B$36,0))))</x:f>
      </x:c>
    </x:row>
    <x:row r="1351" ht="21" customHeight="1">
      <x:c r="A1351" s="2" t="n">
        <x:v>97</x:v>
      </x:c>
      <x:c r="B1351" s="2" t="str">
        <x:f>IF('Motor_Meciuri'!A102="","",'Motor_Meciuri'!A102)</x:f>
      </x:c>
      <x:c r="C1351" s="2" t="str">
        <x:f>IF(B1351="","",'Motor_Meciuri'!B102)</x:f>
      </x:c>
      <x:c r="D1351" s="2" t="str">
        <x:f>IF(B1351="","",'Motor_Meciuri'!D102)</x:f>
      </x:c>
      <x:c r="E1351" s="2" t="str">
        <x:f>IF(B1351="","",'Motor_Meciuri'!E102)</x:f>
      </x:c>
      <x:c r="F1351" s="2" t="str">
        <x:v>O4,5</x:v>
      </x:c>
      <x:c r="G1351" s="2" t="str">
        <x:v>OVER</x:v>
      </x:c>
      <x:c r="H1351" s="2" t="n">
        <x:v>4</x:v>
      </x:c>
      <x:c r="I1351" s="2" t="str">
        <x:f>IF(B1351="","",'Motor_Meciuri'!H102)</x:f>
      </x:c>
      <x:c r="J1351" s="2" t="str">
        <x:f>IF(B1351="","",'Motor_Meciuri'!I102)</x:f>
      </x:c>
      <x:c r="K1351" s="11" t="str">
        <x:f>IF(J1351&lt;&gt;"PASS","",'Motor_Meciuri'!BD102)</x:f>
      </x:c>
      <x:c r="L1351" s="11" t="str">
        <x:f>IF(J1351&lt;&gt;"PASS","",'Motor_Meciuri'!AU102)</x:f>
      </x:c>
      <x:c r="M1351" s="10" t="str">
        <x:f>IF(NOT(AND(J1351="PASS",'Calibrare_Linii'!U7="VALID")),"",1-'Distributie'!AB102)</x:f>
      </x:c>
      <x:c r="N1351" s="10" t="str">
        <x:f>IF(M1351="","",MAX(0.01,MIN(0.99,0.5+(M1351-0.5)*'Motor_Meciuri'!BG102*'Calibrare_Linii'!D7)))</x:f>
      </x:c>
      <x:c r="O1351" s="10" t="str">
        <x:f>IF(M1351="","",1-M1351)</x:f>
      </x:c>
      <x:c r="P1351" s="10" t="str">
        <x:f>IF(OR(NOT(AND(J1351="PASS",'Calibrare_Linii'!U7="VALID")),AK1351=0),""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*('Istoric_Nativ'!$Q$6:$Q$405&lt;=H1351))/AK1351)</x:f>
      </x:c>
      <x:c r="Q1351" s="10" t="str">
        <x:f>IF(OR(NOT(AND(J1351="PASS",'Calibrare_Linii'!U7="VALID")),AL1351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M102)+((('Istoric_Nativ'!$E$6:$E$405='Input_Meci'!E102)+('Istoric_Nativ'!$F$6:$F$405='Input_Meci'!E102))&gt;0)*('Istoric_Nativ'!$D$6:$D$405&gt;='Motor_Meciuri'!BN102))&gt;0)*('Istoric_Nativ'!$Q$6:$Q$405&lt;=H1351))/AL1351)</x:f>
      </x:c>
      <x:c r="R1351" s="10" t="str">
        <x:f>IF(OR(NOT(AND(J1351="PASS",'Calibrare_Linii'!U7="VALID")),AM1351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O102)+((('Istoric_Nativ'!$E$6:$E$405='Input_Meci'!E102)+('Istoric_Nativ'!$F$6:$F$405='Input_Meci'!E102))&gt;0)*('Istoric_Nativ'!$D$6:$D$405&gt;='Motor_Meciuri'!BP102))&gt;0)*('Istoric_Nativ'!$Q$6:$Q$405&lt;=H1351))/AM1351)</x:f>
      </x:c>
      <x:c r="S1351" s="10" t="str">
        <x:f>IF(M1351="","",MAX(O1351,P1351,Q1351,R1351))</x:f>
      </x:c>
      <x:c r="T1351" s="11" t="str">
        <x:f>IF(M1351="","",MIN(100,S1351*100*'Config_v6'!$B$44+MIN(100,L1351/'Config_v6'!$B$13*100)*'Config_v6'!$B$45+(100-'Motor_Meciuri'!BF102)*'Config_v6'!$B$46+'Motor_Meciuri'!BH102*100*'Config_v6'!$B$47))</x:f>
      </x:c>
      <x:c r="U1351" s="2" t="str">
        <x:f>IF(T1351="","",IF(T1351&lt;=20,1,IF(T1351&lt;=40,2,IF(T1351&lt;=60,3,IF(T1351&lt;=80,4,5)))))</x:f>
      </x:c>
      <x:c r="V1351" s="2" t="str">
        <x:f>IF(M1351="","",MAX(0,'Motor_Meciuri'!BF102-IF(W1351="OOS PENDING",'Config_v6'!$B$35,0)-IF(L1351&gt;'Config_v6'!$B$12,'Config_v6'!$B$37,IF(L1351&gt;'Config_v6'!$B$11,'Config_v6'!$B$36,0))))</x:f>
      </x:c>
      <x:c r="W1351" s="2" t="str">
        <x:f>IF(B1351="","",IF(I1351&lt;&gt;"READY","NOT RELEASED",IF(NOT(AND(J1351="PASS",'Calibrare_Linii'!U7="VALID")),"INVALID",IF(NOT(AND('Calibrare_Linii'!S7="VALIDATED",AND('Calibrare_Linii'!H7=C1351,ISNUMBER('Calibrare_Linii'!J7),'Calibrare_Linii'!J7&lt;='Input_Meci'!G102))),"OOS PENDING",IF(S1351&lt;='Calibrare_Linii'!E7,"PASS",IF(S1351&lt;='Calibrare_Linii'!F7,"PENALTY","WATCH"))))))</x:f>
      </x:c>
      <x:c r="X1351" s="2" t="str">
        <x:f>IF(M1351="","",IF(AND(AND(J1351="PASS",'Calibrare_Linii'!U7="VALID"),'Motor_Meciuri'!K102=12,'Motor_Meciuri'!L102=12,'Motor_Meciuri'!M102="NO",'Motor_Meciuri'!BL102='Motor_Meciuri'!C102,AB1351&gt;='Config_v6'!$B$50,AN1351&gt;='Config_v6'!$B$51,T1351&lt;='Config_v6'!$B$52,L1351&lt;='Config_v6'!$B$53,ISNUMBER('Calibrare_Linii'!E7),S1351&lt;='Calibrare_Linii'!E7,SUM(AK1351:AM1351)&gt;0),"CANDIDATE","NO"))</x:f>
      </x:c>
      <x:c r="Y1351" s="2" t="str">
        <x:f>IF(B1351="","",IF(I1351&lt;&gt;"READY","NOT RELEASED",IF(AND(X1351="CANDIDATE",V1351&gt;='Config_v6'!$B$51,W1351="PASS",'Calibrare_Linii'!T7="VALIDATED",AND('Calibrare_Linii'!H7=C1351,ISNUMBER('Calibrare_Linii'!J7),'Calibrare_Linii'!J7&lt;='Input_Meci'!G102)),"PASS",IF(X1351="CANDIDATE","OOS PENDING","FAIL"))))</x:f>
      </x:c>
      <x:c r="Z1351" s="2" t="str">
        <x:f>IF(B1351="","",IF(I1351&lt;&gt;"READY","",IF(OR(NOT(AND(J1351="PASS",'Calibrare_Linii'!U7="VALID")),L1351&gt;'Config_v6'!$B$13,W1351="WATCH"),5,IF(Y1351="PASS",1,MIN(5,MAX('Config_v6'!$B$42,U1351)+IF(W1351="PENALTY",1,0))))))</x:f>
      </x:c>
      <x:c r="AA1351" s="2" t="str">
        <x:f>IF(B1351="","",IF(I1351&lt;&gt;"READY","NOT RELEASED",IF(Z1351=5,"NO BET",IF(OR(AB1351&lt;'Config_v6'!$B$16,V1351&lt;'Config_v6'!$B$18),"WATCH",IF(Z1351=1,"DEFENSIV",IF(Z1351=2,"PRUDENT",IF(Z1351=3,"MODERAT","RIDICAT")))))))</x:f>
      </x:c>
      <x:c r="AB1351" s="10" t="str">
        <x:f>IF(N1351="","",MIN(N1351,1-S1351))</x:f>
      </x:c>
      <x:c r="AC1351" s="2" t="str">
        <x:f>IF(AD1351&lt;&gt;1,"",COUNTIFS($Z$1350:$Z$1363,"&lt;"&amp;Z1351,$AD$1350:$AD$1363,1)+COUNTIFS($Z$1350:$Z$1363,Z1351,$AB$1350:$AB$1363,"&gt;"&amp;AB1351,$AD$1350:$AD$1363,1)+COUNTIFS($Z$1350:$Z$1363,Z1351,$AB$1350:$AB$1363,AB1351,$V$1350:$V$1363,"&gt;"&amp;V1351,$AD$1350:$AD$1363,1)+COUNTIFS($Z$1350:Z1351,Z1351,$AB$1350:AB1351,AB1351,$V$1350:V1351,V1351,$AD$1350:AD1351,1))</x:f>
      </x:c>
      <x:c r="AD1351" s="2" t="n">
        <x:f>IF(OR(AA1351="DEFENSIV",AA1351="PRUDENT",AA1351="MODERAT",AA1351="RIDICAT"),1,0)</x:f>
        <x:v>0</x:v>
      </x:c>
      <x:c r="AE1351" s="2" t="str">
        <x:f>IF(AD1351&lt;&gt;1,"NO",IF(W1351="PASS","YES",IF(W1351="OOS PENDING","CONDITIONAL","NO")))</x:f>
        <x:v>NO</x:v>
      </x:c>
      <x:c r="AF1351" s="2" t="n">
        <x:f>IF(AND(AD1351=1,AC1351=1,E1351="LIVE"),1,0)</x:f>
        <x:v>0</x:v>
      </x:c>
      <x:c r="AG1351" s="2" t="str">
        <x:f>IF(AF1351&lt;&gt;1,"",'Dashboard'!P122)</x:f>
      </x:c>
      <x:c r="AH1351" s="2" t="str">
        <x:f>IF(B1351="","",IF(J1351&lt;&gt;"PASS",'Motor_Meciuri'!J102,IF('Calibrare_Linii'!U7&lt;&gt;"VALID","Parametri linie invalizi",IF(L1351&gt;'Config_v6'!$B$13,"Dispersie peste limita",IF(W1351="WATCH","Failure peste limita",IF(AB1351&lt;'Config_v6'!$B$16,"P finala sub prag",IF(V1351&lt;'Config_v6'!$B$18,"Confidence sub prag",IF(E1351="REPLAY","Exemplu retrospectiv; exclus din Top LIVE",IF(Y1351="PASS","DEFENSIV validat",IF(W1351="OOS PENDING","Eligibil; calibrare linie in monitorizare","Eligibil"))))))))))</x:f>
      </x:c>
      <x:c r="AI1351" s="2" t="str">
        <x:f>IF(B1351="","",'Calibrare_Linii'!V7)</x:f>
      </x:c>
      <x:c r="AJ1351" s="2" t="str">
        <x:f>IF(B1351="","",IF(AND('Calibrare_Linii'!T7="VALIDATED",AND('Calibrare_Linii'!H7=C1351,ISNUMBER('Calibrare_Linii'!J7),'Calibrare_Linii'!J7&lt;='Input_Meci'!G102)),"DEFENSIVE VALIDATED",IF(AND('Calibrare_Linii'!S7="VALIDATED",AND('Calibrare_Linii'!H7=C1351,ISNUMBER('Calibrare_Linii'!J7),'Calibrare_Linii'!J7&lt;='Input_Meci'!G102)),"TAIL VALIDATED","OOS PENDING")))</x:f>
      </x:c>
      <x:c r="AK1351" s="2" t="n">
        <x:f>IF(J1351&lt;&gt;"PASS",0,'Motor_Meciuri'!BR102)</x:f>
        <x:v>0</x:v>
      </x:c>
      <x:c r="AL1351" s="2" t="n">
        <x:f>IF(J1351&lt;&gt;"PASS",0,'Motor_Meciuri'!BS102)</x:f>
        <x:v>0</x:v>
      </x:c>
      <x:c r="AM1351" s="2" t="n">
        <x:f>IF(J1351&lt;&gt;"PASS",0,'Motor_Meciuri'!BT102)</x:f>
        <x:v>0</x:v>
      </x:c>
      <x:c r="AN1351" s="2" t="str">
        <x:f>IF(M1351="","",MAX(0,'Motor_Meciuri'!BF102-IF(L1351&gt;'Config_v6'!$B$12,'Config_v6'!$B$37,IF(L1351&gt;'Config_v6'!$B$11,'Config_v6'!$B$36,0))))</x:f>
      </x:c>
    </x:row>
    <x:row r="1352" ht="21" customHeight="1">
      <x:c r="A1352" s="2" t="n">
        <x:v>97</x:v>
      </x:c>
      <x:c r="B1352" s="2" t="str">
        <x:f>IF('Motor_Meciuri'!A102="","",'Motor_Meciuri'!A102)</x:f>
      </x:c>
      <x:c r="C1352" s="2" t="str">
        <x:f>IF(B1352="","",'Motor_Meciuri'!B102)</x:f>
      </x:c>
      <x:c r="D1352" s="2" t="str">
        <x:f>IF(B1352="","",'Motor_Meciuri'!D102)</x:f>
      </x:c>
      <x:c r="E1352" s="2" t="str">
        <x:f>IF(B1352="","",'Motor_Meciuri'!E102)</x:f>
      </x:c>
      <x:c r="F1352" s="2" t="str">
        <x:v>O5,5</x:v>
      </x:c>
      <x:c r="G1352" s="2" t="str">
        <x:v>OVER</x:v>
      </x:c>
      <x:c r="H1352" s="2" t="n">
        <x:v>5</x:v>
      </x:c>
      <x:c r="I1352" s="2" t="str">
        <x:f>IF(B1352="","",'Motor_Meciuri'!H102)</x:f>
      </x:c>
      <x:c r="J1352" s="2" t="str">
        <x:f>IF(B1352="","",'Motor_Meciuri'!I102)</x:f>
      </x:c>
      <x:c r="K1352" s="11" t="str">
        <x:f>IF(J1352&lt;&gt;"PASS","",'Motor_Meciuri'!BD102)</x:f>
      </x:c>
      <x:c r="L1352" s="11" t="str">
        <x:f>IF(J1352&lt;&gt;"PASS","",'Motor_Meciuri'!AU102)</x:f>
      </x:c>
      <x:c r="M1352" s="10" t="str">
        <x:f>IF(NOT(AND(J1352="PASS",'Calibrare_Linii'!U8="VALID")),"",1-'Distributie'!AC102)</x:f>
      </x:c>
      <x:c r="N1352" s="10" t="str">
        <x:f>IF(M1352="","",MAX(0.01,MIN(0.99,0.5+(M1352-0.5)*'Motor_Meciuri'!BG102*'Calibrare_Linii'!D8)))</x:f>
      </x:c>
      <x:c r="O1352" s="10" t="str">
        <x:f>IF(M1352="","",1-M1352)</x:f>
      </x:c>
      <x:c r="P1352" s="10" t="str">
        <x:f>IF(OR(NOT(AND(J1352="PASS",'Calibrare_Linii'!U8="VALID")),AK1352=0),""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*('Istoric_Nativ'!$Q$6:$Q$405&lt;=H1352))/AK1352)</x:f>
      </x:c>
      <x:c r="Q1352" s="10" t="str">
        <x:f>IF(OR(NOT(AND(J1352="PASS",'Calibrare_Linii'!U8="VALID")),AL1352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M102)+((('Istoric_Nativ'!$E$6:$E$405='Input_Meci'!E102)+('Istoric_Nativ'!$F$6:$F$405='Input_Meci'!E102))&gt;0)*('Istoric_Nativ'!$D$6:$D$405&gt;='Motor_Meciuri'!BN102))&gt;0)*('Istoric_Nativ'!$Q$6:$Q$405&lt;=H1352))/AL1352)</x:f>
      </x:c>
      <x:c r="R1352" s="10" t="str">
        <x:f>IF(OR(NOT(AND(J1352="PASS",'Calibrare_Linii'!U8="VALID")),AM1352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O102)+((('Istoric_Nativ'!$E$6:$E$405='Input_Meci'!E102)+('Istoric_Nativ'!$F$6:$F$405='Input_Meci'!E102))&gt;0)*('Istoric_Nativ'!$D$6:$D$405&gt;='Motor_Meciuri'!BP102))&gt;0)*('Istoric_Nativ'!$Q$6:$Q$405&lt;=H1352))/AM1352)</x:f>
      </x:c>
      <x:c r="S1352" s="10" t="str">
        <x:f>IF(M1352="","",MAX(O1352,P1352,Q1352,R1352))</x:f>
      </x:c>
      <x:c r="T1352" s="11" t="str">
        <x:f>IF(M1352="","",MIN(100,S1352*100*'Config_v6'!$B$44+MIN(100,L1352/'Config_v6'!$B$13*100)*'Config_v6'!$B$45+(100-'Motor_Meciuri'!BF102)*'Config_v6'!$B$46+'Motor_Meciuri'!BH102*100*'Config_v6'!$B$47))</x:f>
      </x:c>
      <x:c r="U1352" s="2" t="str">
        <x:f>IF(T1352="","",IF(T1352&lt;=20,1,IF(T1352&lt;=40,2,IF(T1352&lt;=60,3,IF(T1352&lt;=80,4,5)))))</x:f>
      </x:c>
      <x:c r="V1352" s="2" t="str">
        <x:f>IF(M1352="","",MAX(0,'Motor_Meciuri'!BF102-IF(W1352="OOS PENDING",'Config_v6'!$B$35,0)-IF(L1352&gt;'Config_v6'!$B$12,'Config_v6'!$B$37,IF(L1352&gt;'Config_v6'!$B$11,'Config_v6'!$B$36,0))))</x:f>
      </x:c>
      <x:c r="W1352" s="2" t="str">
        <x:f>IF(B1352="","",IF(I1352&lt;&gt;"READY","NOT RELEASED",IF(NOT(AND(J1352="PASS",'Calibrare_Linii'!U8="VALID")),"INVALID",IF(NOT(AND('Calibrare_Linii'!S8="VALIDATED",AND('Calibrare_Linii'!H8=C1352,ISNUMBER('Calibrare_Linii'!J8),'Calibrare_Linii'!J8&lt;='Input_Meci'!G102))),"OOS PENDING",IF(S1352&lt;='Calibrare_Linii'!E8,"PASS",IF(S1352&lt;='Calibrare_Linii'!F8,"PENALTY","WATCH"))))))</x:f>
      </x:c>
      <x:c r="X1352" s="2" t="str">
        <x:f>IF(M1352="","",IF(AND(AND(J1352="PASS",'Calibrare_Linii'!U8="VALID"),'Motor_Meciuri'!K102=12,'Motor_Meciuri'!L102=12,'Motor_Meciuri'!M102="NO",'Motor_Meciuri'!BL102='Motor_Meciuri'!C102,AB1352&gt;='Config_v6'!$B$50,AN1352&gt;='Config_v6'!$B$51,T1352&lt;='Config_v6'!$B$52,L1352&lt;='Config_v6'!$B$53,ISNUMBER('Calibrare_Linii'!E8),S1352&lt;='Calibrare_Linii'!E8,SUM(AK1352:AM1352)&gt;0),"CANDIDATE","NO"))</x:f>
      </x:c>
      <x:c r="Y1352" s="2" t="str">
        <x:f>IF(B1352="","",IF(I1352&lt;&gt;"READY","NOT RELEASED",IF(AND(X1352="CANDIDATE",V1352&gt;='Config_v6'!$B$51,W1352="PASS",'Calibrare_Linii'!T8="VALIDATED",AND('Calibrare_Linii'!H8=C1352,ISNUMBER('Calibrare_Linii'!J8),'Calibrare_Linii'!J8&lt;='Input_Meci'!G102)),"PASS",IF(X1352="CANDIDATE","OOS PENDING","FAIL"))))</x:f>
      </x:c>
      <x:c r="Z1352" s="2" t="str">
        <x:f>IF(B1352="","",IF(I1352&lt;&gt;"READY","",IF(OR(NOT(AND(J1352="PASS",'Calibrare_Linii'!U8="VALID")),L1352&gt;'Config_v6'!$B$13,W1352="WATCH"),5,IF(Y1352="PASS",1,MIN(5,MAX('Config_v6'!$B$42,U1352)+IF(W1352="PENALTY",1,0))))))</x:f>
      </x:c>
      <x:c r="AA1352" s="2" t="str">
        <x:f>IF(B1352="","",IF(I1352&lt;&gt;"READY","NOT RELEASED",IF(Z1352=5,"NO BET",IF(OR(AB1352&lt;'Config_v6'!$B$16,V1352&lt;'Config_v6'!$B$18),"WATCH",IF(Z1352=1,"DEFENSIV",IF(Z1352=2,"PRUDENT",IF(Z1352=3,"MODERAT","RIDICAT")))))))</x:f>
      </x:c>
      <x:c r="AB1352" s="10" t="str">
        <x:f>IF(N1352="","",MIN(N1352,1-S1352))</x:f>
      </x:c>
      <x:c r="AC1352" s="2" t="str">
        <x:f>IF(AD1352&lt;&gt;1,"",COUNTIFS($Z$1350:$Z$1363,"&lt;"&amp;Z1352,$AD$1350:$AD$1363,1)+COUNTIFS($Z$1350:$Z$1363,Z1352,$AB$1350:$AB$1363,"&gt;"&amp;AB1352,$AD$1350:$AD$1363,1)+COUNTIFS($Z$1350:$Z$1363,Z1352,$AB$1350:$AB$1363,AB1352,$V$1350:$V$1363,"&gt;"&amp;V1352,$AD$1350:$AD$1363,1)+COUNTIFS($Z$1350:Z1352,Z1352,$AB$1350:AB1352,AB1352,$V$1350:V1352,V1352,$AD$1350:AD1352,1))</x:f>
      </x:c>
      <x:c r="AD1352" s="2" t="n">
        <x:f>IF(OR(AA1352="DEFENSIV",AA1352="PRUDENT",AA1352="MODERAT",AA1352="RIDICAT"),1,0)</x:f>
        <x:v>0</x:v>
      </x:c>
      <x:c r="AE1352" s="2" t="str">
        <x:f>IF(AD1352&lt;&gt;1,"NO",IF(W1352="PASS","YES",IF(W1352="OOS PENDING","CONDITIONAL","NO")))</x:f>
        <x:v>NO</x:v>
      </x:c>
      <x:c r="AF1352" s="2" t="n">
        <x:f>IF(AND(AD1352=1,AC1352=1,E1352="LIVE"),1,0)</x:f>
        <x:v>0</x:v>
      </x:c>
      <x:c r="AG1352" s="2" t="str">
        <x:f>IF(AF1352&lt;&gt;1,"",'Dashboard'!P122)</x:f>
      </x:c>
      <x:c r="AH1352" s="2" t="str">
        <x:f>IF(B1352="","",IF(J1352&lt;&gt;"PASS",'Motor_Meciuri'!J102,IF('Calibrare_Linii'!U8&lt;&gt;"VALID","Parametri linie invalizi",IF(L1352&gt;'Config_v6'!$B$13,"Dispersie peste limita",IF(W1352="WATCH","Failure peste limita",IF(AB1352&lt;'Config_v6'!$B$16,"P finala sub prag",IF(V1352&lt;'Config_v6'!$B$18,"Confidence sub prag",IF(E1352="REPLAY","Exemplu retrospectiv; exclus din Top LIVE",IF(Y1352="PASS","DEFENSIV validat",IF(W1352="OOS PENDING","Eligibil; calibrare linie in monitorizare","Eligibil"))))))))))</x:f>
      </x:c>
      <x:c r="AI1352" s="2" t="str">
        <x:f>IF(B1352="","",'Calibrare_Linii'!V8)</x:f>
      </x:c>
      <x:c r="AJ1352" s="2" t="str">
        <x:f>IF(B1352="","",IF(AND('Calibrare_Linii'!T8="VALIDATED",AND('Calibrare_Linii'!H8=C1352,ISNUMBER('Calibrare_Linii'!J8),'Calibrare_Linii'!J8&lt;='Input_Meci'!G102)),"DEFENSIVE VALIDATED",IF(AND('Calibrare_Linii'!S8="VALIDATED",AND('Calibrare_Linii'!H8=C1352,ISNUMBER('Calibrare_Linii'!J8),'Calibrare_Linii'!J8&lt;='Input_Meci'!G102)),"TAIL VALIDATED","OOS PENDING")))</x:f>
      </x:c>
      <x:c r="AK1352" s="2" t="n">
        <x:f>IF(J1352&lt;&gt;"PASS",0,'Motor_Meciuri'!BR102)</x:f>
        <x:v>0</x:v>
      </x:c>
      <x:c r="AL1352" s="2" t="n">
        <x:f>IF(J1352&lt;&gt;"PASS",0,'Motor_Meciuri'!BS102)</x:f>
        <x:v>0</x:v>
      </x:c>
      <x:c r="AM1352" s="2" t="n">
        <x:f>IF(J1352&lt;&gt;"PASS",0,'Motor_Meciuri'!BT102)</x:f>
        <x:v>0</x:v>
      </x:c>
      <x:c r="AN1352" s="2" t="str">
        <x:f>IF(M1352="","",MAX(0,'Motor_Meciuri'!BF102-IF(L1352&gt;'Config_v6'!$B$12,'Config_v6'!$B$37,IF(L1352&gt;'Config_v6'!$B$11,'Config_v6'!$B$36,0))))</x:f>
      </x:c>
    </x:row>
    <x:row r="1353" ht="21" customHeight="1">
      <x:c r="A1353" s="2" t="n">
        <x:v>97</x:v>
      </x:c>
      <x:c r="B1353" s="2" t="str">
        <x:f>IF('Motor_Meciuri'!A102="","",'Motor_Meciuri'!A102)</x:f>
      </x:c>
      <x:c r="C1353" s="2" t="str">
        <x:f>IF(B1353="","",'Motor_Meciuri'!B102)</x:f>
      </x:c>
      <x:c r="D1353" s="2" t="str">
        <x:f>IF(B1353="","",'Motor_Meciuri'!D102)</x:f>
      </x:c>
      <x:c r="E1353" s="2" t="str">
        <x:f>IF(B1353="","",'Motor_Meciuri'!E102)</x:f>
      </x:c>
      <x:c r="F1353" s="2" t="str">
        <x:v>O6,5</x:v>
      </x:c>
      <x:c r="G1353" s="2" t="str">
        <x:v>OVER</x:v>
      </x:c>
      <x:c r="H1353" s="2" t="n">
        <x:v>6</x:v>
      </x:c>
      <x:c r="I1353" s="2" t="str">
        <x:f>IF(B1353="","",'Motor_Meciuri'!H102)</x:f>
      </x:c>
      <x:c r="J1353" s="2" t="str">
        <x:f>IF(B1353="","",'Motor_Meciuri'!I102)</x:f>
      </x:c>
      <x:c r="K1353" s="11" t="str">
        <x:f>IF(J1353&lt;&gt;"PASS","",'Motor_Meciuri'!BD102)</x:f>
      </x:c>
      <x:c r="L1353" s="11" t="str">
        <x:f>IF(J1353&lt;&gt;"PASS","",'Motor_Meciuri'!AU102)</x:f>
      </x:c>
      <x:c r="M1353" s="10" t="str">
        <x:f>IF(NOT(AND(J1353="PASS",'Calibrare_Linii'!U9="VALID")),"",1-'Distributie'!AD102)</x:f>
      </x:c>
      <x:c r="N1353" s="10" t="str">
        <x:f>IF(M1353="","",MAX(0.01,MIN(0.99,0.5+(M1353-0.5)*'Motor_Meciuri'!BG102*'Calibrare_Linii'!D9)))</x:f>
      </x:c>
      <x:c r="O1353" s="10" t="str">
        <x:f>IF(M1353="","",1-M1353)</x:f>
      </x:c>
      <x:c r="P1353" s="10" t="str">
        <x:f>IF(OR(NOT(AND(J1353="PASS",'Calibrare_Linii'!U9="VALID")),AK1353=0),""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*('Istoric_Nativ'!$Q$6:$Q$405&lt;=H1353))/AK1353)</x:f>
      </x:c>
      <x:c r="Q1353" s="10" t="str">
        <x:f>IF(OR(NOT(AND(J1353="PASS",'Calibrare_Linii'!U9="VALID")),AL1353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M102)+((('Istoric_Nativ'!$E$6:$E$405='Input_Meci'!E102)+('Istoric_Nativ'!$F$6:$F$405='Input_Meci'!E102))&gt;0)*('Istoric_Nativ'!$D$6:$D$405&gt;='Motor_Meciuri'!BN102))&gt;0)*('Istoric_Nativ'!$Q$6:$Q$405&lt;=H1353))/AL1353)</x:f>
      </x:c>
      <x:c r="R1353" s="10" t="str">
        <x:f>IF(OR(NOT(AND(J1353="PASS",'Calibrare_Linii'!U9="VALID")),AM1353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O102)+((('Istoric_Nativ'!$E$6:$E$405='Input_Meci'!E102)+('Istoric_Nativ'!$F$6:$F$405='Input_Meci'!E102))&gt;0)*('Istoric_Nativ'!$D$6:$D$405&gt;='Motor_Meciuri'!BP102))&gt;0)*('Istoric_Nativ'!$Q$6:$Q$405&lt;=H1353))/AM1353)</x:f>
      </x:c>
      <x:c r="S1353" s="10" t="str">
        <x:f>IF(M1353="","",MAX(O1353,P1353,Q1353,R1353))</x:f>
      </x:c>
      <x:c r="T1353" s="11" t="str">
        <x:f>IF(M1353="","",MIN(100,S1353*100*'Config_v6'!$B$44+MIN(100,L1353/'Config_v6'!$B$13*100)*'Config_v6'!$B$45+(100-'Motor_Meciuri'!BF102)*'Config_v6'!$B$46+'Motor_Meciuri'!BH102*100*'Config_v6'!$B$47))</x:f>
      </x:c>
      <x:c r="U1353" s="2" t="str">
        <x:f>IF(T1353="","",IF(T1353&lt;=20,1,IF(T1353&lt;=40,2,IF(T1353&lt;=60,3,IF(T1353&lt;=80,4,5)))))</x:f>
      </x:c>
      <x:c r="V1353" s="2" t="str">
        <x:f>IF(M1353="","",MAX(0,'Motor_Meciuri'!BF102-IF(W1353="OOS PENDING",'Config_v6'!$B$35,0)-IF(L1353&gt;'Config_v6'!$B$12,'Config_v6'!$B$37,IF(L1353&gt;'Config_v6'!$B$11,'Config_v6'!$B$36,0))))</x:f>
      </x:c>
      <x:c r="W1353" s="2" t="str">
        <x:f>IF(B1353="","",IF(I1353&lt;&gt;"READY","NOT RELEASED",IF(NOT(AND(J1353="PASS",'Calibrare_Linii'!U9="VALID")),"INVALID",IF(NOT(AND('Calibrare_Linii'!S9="VALIDATED",AND('Calibrare_Linii'!H9=C1353,ISNUMBER('Calibrare_Linii'!J9),'Calibrare_Linii'!J9&lt;='Input_Meci'!G102))),"OOS PENDING",IF(S1353&lt;='Calibrare_Linii'!E9,"PASS",IF(S1353&lt;='Calibrare_Linii'!F9,"PENALTY","WATCH"))))))</x:f>
      </x:c>
      <x:c r="X1353" s="2" t="str">
        <x:f>IF(M1353="","",IF(AND(AND(J1353="PASS",'Calibrare_Linii'!U9="VALID"),'Motor_Meciuri'!K102=12,'Motor_Meciuri'!L102=12,'Motor_Meciuri'!M102="NO",'Motor_Meciuri'!BL102='Motor_Meciuri'!C102,AB1353&gt;='Config_v6'!$B$50,AN1353&gt;='Config_v6'!$B$51,T1353&lt;='Config_v6'!$B$52,L1353&lt;='Config_v6'!$B$53,ISNUMBER('Calibrare_Linii'!E9),S1353&lt;='Calibrare_Linii'!E9,SUM(AK1353:AM1353)&gt;0),"CANDIDATE","NO"))</x:f>
      </x:c>
      <x:c r="Y1353" s="2" t="str">
        <x:f>IF(B1353="","",IF(I1353&lt;&gt;"READY","NOT RELEASED",IF(AND(X1353="CANDIDATE",V1353&gt;='Config_v6'!$B$51,W1353="PASS",'Calibrare_Linii'!T9="VALIDATED",AND('Calibrare_Linii'!H9=C1353,ISNUMBER('Calibrare_Linii'!J9),'Calibrare_Linii'!J9&lt;='Input_Meci'!G102)),"PASS",IF(X1353="CANDIDATE","OOS PENDING","FAIL"))))</x:f>
      </x:c>
      <x:c r="Z1353" s="2" t="str">
        <x:f>IF(B1353="","",IF(I1353&lt;&gt;"READY","",IF(OR(NOT(AND(J1353="PASS",'Calibrare_Linii'!U9="VALID")),L1353&gt;'Config_v6'!$B$13,W1353="WATCH"),5,IF(Y1353="PASS",1,MIN(5,MAX('Config_v6'!$B$42,U1353)+IF(W1353="PENALTY",1,0))))))</x:f>
      </x:c>
      <x:c r="AA1353" s="2" t="str">
        <x:f>IF(B1353="","",IF(I1353&lt;&gt;"READY","NOT RELEASED",IF(Z1353=5,"NO BET",IF(OR(AB1353&lt;'Config_v6'!$B$16,V1353&lt;'Config_v6'!$B$18),"WATCH",IF(Z1353=1,"DEFENSIV",IF(Z1353=2,"PRUDENT",IF(Z1353=3,"MODERAT","RIDICAT")))))))</x:f>
      </x:c>
      <x:c r="AB1353" s="10" t="str">
        <x:f>IF(N1353="","",MIN(N1353,1-S1353))</x:f>
      </x:c>
      <x:c r="AC1353" s="2" t="str">
        <x:f>IF(AD1353&lt;&gt;1,"",COUNTIFS($Z$1350:$Z$1363,"&lt;"&amp;Z1353,$AD$1350:$AD$1363,1)+COUNTIFS($Z$1350:$Z$1363,Z1353,$AB$1350:$AB$1363,"&gt;"&amp;AB1353,$AD$1350:$AD$1363,1)+COUNTIFS($Z$1350:$Z$1363,Z1353,$AB$1350:$AB$1363,AB1353,$V$1350:$V$1363,"&gt;"&amp;V1353,$AD$1350:$AD$1363,1)+COUNTIFS($Z$1350:Z1353,Z1353,$AB$1350:AB1353,AB1353,$V$1350:V1353,V1353,$AD$1350:AD1353,1))</x:f>
      </x:c>
      <x:c r="AD1353" s="2" t="n">
        <x:f>IF(OR(AA1353="DEFENSIV",AA1353="PRUDENT",AA1353="MODERAT",AA1353="RIDICAT"),1,0)</x:f>
        <x:v>0</x:v>
      </x:c>
      <x:c r="AE1353" s="2" t="str">
        <x:f>IF(AD1353&lt;&gt;1,"NO",IF(W1353="PASS","YES",IF(W1353="OOS PENDING","CONDITIONAL","NO")))</x:f>
        <x:v>NO</x:v>
      </x:c>
      <x:c r="AF1353" s="2" t="n">
        <x:f>IF(AND(AD1353=1,AC1353=1,E1353="LIVE"),1,0)</x:f>
        <x:v>0</x:v>
      </x:c>
      <x:c r="AG1353" s="2" t="str">
        <x:f>IF(AF1353&lt;&gt;1,"",'Dashboard'!P122)</x:f>
      </x:c>
      <x:c r="AH1353" s="2" t="str">
        <x:f>IF(B1353="","",IF(J1353&lt;&gt;"PASS",'Motor_Meciuri'!J102,IF('Calibrare_Linii'!U9&lt;&gt;"VALID","Parametri linie invalizi",IF(L1353&gt;'Config_v6'!$B$13,"Dispersie peste limita",IF(W1353="WATCH","Failure peste limita",IF(AB1353&lt;'Config_v6'!$B$16,"P finala sub prag",IF(V1353&lt;'Config_v6'!$B$18,"Confidence sub prag",IF(E1353="REPLAY","Exemplu retrospectiv; exclus din Top LIVE",IF(Y1353="PASS","DEFENSIV validat",IF(W1353="OOS PENDING","Eligibil; calibrare linie in monitorizare","Eligibil"))))))))))</x:f>
      </x:c>
      <x:c r="AI1353" s="2" t="str">
        <x:f>IF(B1353="","",'Calibrare_Linii'!V9)</x:f>
      </x:c>
      <x:c r="AJ1353" s="2" t="str">
        <x:f>IF(B1353="","",IF(AND('Calibrare_Linii'!T9="VALIDATED",AND('Calibrare_Linii'!H9=C1353,ISNUMBER('Calibrare_Linii'!J9),'Calibrare_Linii'!J9&lt;='Input_Meci'!G102)),"DEFENSIVE VALIDATED",IF(AND('Calibrare_Linii'!S9="VALIDATED",AND('Calibrare_Linii'!H9=C1353,ISNUMBER('Calibrare_Linii'!J9),'Calibrare_Linii'!J9&lt;='Input_Meci'!G102)),"TAIL VALIDATED","OOS PENDING")))</x:f>
      </x:c>
      <x:c r="AK1353" s="2" t="n">
        <x:f>IF(J1353&lt;&gt;"PASS",0,'Motor_Meciuri'!BR102)</x:f>
        <x:v>0</x:v>
      </x:c>
      <x:c r="AL1353" s="2" t="n">
        <x:f>IF(J1353&lt;&gt;"PASS",0,'Motor_Meciuri'!BS102)</x:f>
        <x:v>0</x:v>
      </x:c>
      <x:c r="AM1353" s="2" t="n">
        <x:f>IF(J1353&lt;&gt;"PASS",0,'Motor_Meciuri'!BT102)</x:f>
        <x:v>0</x:v>
      </x:c>
      <x:c r="AN1353" s="2" t="str">
        <x:f>IF(M1353="","",MAX(0,'Motor_Meciuri'!BF102-IF(L1353&gt;'Config_v6'!$B$12,'Config_v6'!$B$37,IF(L1353&gt;'Config_v6'!$B$11,'Config_v6'!$B$36,0))))</x:f>
      </x:c>
    </x:row>
    <x:row r="1354" ht="21" customHeight="1">
      <x:c r="A1354" s="2" t="n">
        <x:v>97</x:v>
      </x:c>
      <x:c r="B1354" s="2" t="str">
        <x:f>IF('Motor_Meciuri'!A102="","",'Motor_Meciuri'!A102)</x:f>
      </x:c>
      <x:c r="C1354" s="2" t="str">
        <x:f>IF(B1354="","",'Motor_Meciuri'!B102)</x:f>
      </x:c>
      <x:c r="D1354" s="2" t="str">
        <x:f>IF(B1354="","",'Motor_Meciuri'!D102)</x:f>
      </x:c>
      <x:c r="E1354" s="2" t="str">
        <x:f>IF(B1354="","",'Motor_Meciuri'!E102)</x:f>
      </x:c>
      <x:c r="F1354" s="2" t="str">
        <x:v>O7,5</x:v>
      </x:c>
      <x:c r="G1354" s="2" t="str">
        <x:v>OVER</x:v>
      </x:c>
      <x:c r="H1354" s="2" t="n">
        <x:v>7</x:v>
      </x:c>
      <x:c r="I1354" s="2" t="str">
        <x:f>IF(B1354="","",'Motor_Meciuri'!H102)</x:f>
      </x:c>
      <x:c r="J1354" s="2" t="str">
        <x:f>IF(B1354="","",'Motor_Meciuri'!I102)</x:f>
      </x:c>
      <x:c r="K1354" s="11" t="str">
        <x:f>IF(J1354&lt;&gt;"PASS","",'Motor_Meciuri'!BD102)</x:f>
      </x:c>
      <x:c r="L1354" s="11" t="str">
        <x:f>IF(J1354&lt;&gt;"PASS","",'Motor_Meciuri'!AU102)</x:f>
      </x:c>
      <x:c r="M1354" s="10" t="str">
        <x:f>IF(NOT(AND(J1354="PASS",'Calibrare_Linii'!U10="VALID")),"",1-'Distributie'!AE102)</x:f>
      </x:c>
      <x:c r="N1354" s="10" t="str">
        <x:f>IF(M1354="","",MAX(0.01,MIN(0.99,0.5+(M1354-0.5)*'Motor_Meciuri'!BG102*'Calibrare_Linii'!D10)))</x:f>
      </x:c>
      <x:c r="O1354" s="10" t="str">
        <x:f>IF(M1354="","",1-M1354)</x:f>
      </x:c>
      <x:c r="P1354" s="10" t="str">
        <x:f>IF(OR(NOT(AND(J1354="PASS",'Calibrare_Linii'!U10="VALID")),AK1354=0),""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*('Istoric_Nativ'!$Q$6:$Q$405&lt;=H1354))/AK1354)</x:f>
      </x:c>
      <x:c r="Q1354" s="10" t="str">
        <x:f>IF(OR(NOT(AND(J1354="PASS",'Calibrare_Linii'!U10="VALID")),AL1354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M102)+((('Istoric_Nativ'!$E$6:$E$405='Input_Meci'!E102)+('Istoric_Nativ'!$F$6:$F$405='Input_Meci'!E102))&gt;0)*('Istoric_Nativ'!$D$6:$D$405&gt;='Motor_Meciuri'!BN102))&gt;0)*('Istoric_Nativ'!$Q$6:$Q$405&lt;=H1354))/AL1354)</x:f>
      </x:c>
      <x:c r="R1354" s="10" t="str">
        <x:f>IF(OR(NOT(AND(J1354="PASS",'Calibrare_Linii'!U10="VALID")),AM1354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O102)+((('Istoric_Nativ'!$E$6:$E$405='Input_Meci'!E102)+('Istoric_Nativ'!$F$6:$F$405='Input_Meci'!E102))&gt;0)*('Istoric_Nativ'!$D$6:$D$405&gt;='Motor_Meciuri'!BP102))&gt;0)*('Istoric_Nativ'!$Q$6:$Q$405&lt;=H1354))/AM1354)</x:f>
      </x:c>
      <x:c r="S1354" s="10" t="str">
        <x:f>IF(M1354="","",MAX(O1354,P1354,Q1354,R1354))</x:f>
      </x:c>
      <x:c r="T1354" s="11" t="str">
        <x:f>IF(M1354="","",MIN(100,S1354*100*'Config_v6'!$B$44+MIN(100,L1354/'Config_v6'!$B$13*100)*'Config_v6'!$B$45+(100-'Motor_Meciuri'!BF102)*'Config_v6'!$B$46+'Motor_Meciuri'!BH102*100*'Config_v6'!$B$47))</x:f>
      </x:c>
      <x:c r="U1354" s="2" t="str">
        <x:f>IF(T1354="","",IF(T1354&lt;=20,1,IF(T1354&lt;=40,2,IF(T1354&lt;=60,3,IF(T1354&lt;=80,4,5)))))</x:f>
      </x:c>
      <x:c r="V1354" s="2" t="str">
        <x:f>IF(M1354="","",MAX(0,'Motor_Meciuri'!BF102-IF(W1354="OOS PENDING",'Config_v6'!$B$35,0)-IF(L1354&gt;'Config_v6'!$B$12,'Config_v6'!$B$37,IF(L1354&gt;'Config_v6'!$B$11,'Config_v6'!$B$36,0))))</x:f>
      </x:c>
      <x:c r="W1354" s="2" t="str">
        <x:f>IF(B1354="","",IF(I1354&lt;&gt;"READY","NOT RELEASED",IF(NOT(AND(J1354="PASS",'Calibrare_Linii'!U10="VALID")),"INVALID",IF(NOT(AND('Calibrare_Linii'!S10="VALIDATED",AND('Calibrare_Linii'!H10=C1354,ISNUMBER('Calibrare_Linii'!J10),'Calibrare_Linii'!J10&lt;='Input_Meci'!G102))),"OOS PENDING",IF(S1354&lt;='Calibrare_Linii'!E10,"PASS",IF(S1354&lt;='Calibrare_Linii'!F10,"PENALTY","WATCH"))))))</x:f>
      </x:c>
      <x:c r="X1354" s="2" t="str">
        <x:f>IF(M1354="","",IF(AND(AND(J1354="PASS",'Calibrare_Linii'!U10="VALID"),'Motor_Meciuri'!K102=12,'Motor_Meciuri'!L102=12,'Motor_Meciuri'!M102="NO",'Motor_Meciuri'!BL102='Motor_Meciuri'!C102,AB1354&gt;='Config_v6'!$B$50,AN1354&gt;='Config_v6'!$B$51,T1354&lt;='Config_v6'!$B$52,L1354&lt;='Config_v6'!$B$53,ISNUMBER('Calibrare_Linii'!E10),S1354&lt;='Calibrare_Linii'!E10,SUM(AK1354:AM1354)&gt;0),"CANDIDATE","NO"))</x:f>
      </x:c>
      <x:c r="Y1354" s="2" t="str">
        <x:f>IF(B1354="","",IF(I1354&lt;&gt;"READY","NOT RELEASED",IF(AND(X1354="CANDIDATE",V1354&gt;='Config_v6'!$B$51,W1354="PASS",'Calibrare_Linii'!T10="VALIDATED",AND('Calibrare_Linii'!H10=C1354,ISNUMBER('Calibrare_Linii'!J10),'Calibrare_Linii'!J10&lt;='Input_Meci'!G102)),"PASS",IF(X1354="CANDIDATE","OOS PENDING","FAIL"))))</x:f>
      </x:c>
      <x:c r="Z1354" s="2" t="str">
        <x:f>IF(B1354="","",IF(I1354&lt;&gt;"READY","",IF(OR(NOT(AND(J1354="PASS",'Calibrare_Linii'!U10="VALID")),L1354&gt;'Config_v6'!$B$13,W1354="WATCH"),5,IF(Y1354="PASS",1,MIN(5,MAX('Config_v6'!$B$42,U1354)+IF(W1354="PENALTY",1,0))))))</x:f>
      </x:c>
      <x:c r="AA1354" s="2" t="str">
        <x:f>IF(B1354="","",IF(I1354&lt;&gt;"READY","NOT RELEASED",IF(Z1354=5,"NO BET",IF(OR(AB1354&lt;'Config_v6'!$B$16,V1354&lt;'Config_v6'!$B$18),"WATCH",IF(Z1354=1,"DEFENSIV",IF(Z1354=2,"PRUDENT",IF(Z1354=3,"MODERAT","RIDICAT")))))))</x:f>
      </x:c>
      <x:c r="AB1354" s="10" t="str">
        <x:f>IF(N1354="","",MIN(N1354,1-S1354))</x:f>
      </x:c>
      <x:c r="AC1354" s="2" t="str">
        <x:f>IF(AD1354&lt;&gt;1,"",COUNTIFS($Z$1350:$Z$1363,"&lt;"&amp;Z1354,$AD$1350:$AD$1363,1)+COUNTIFS($Z$1350:$Z$1363,Z1354,$AB$1350:$AB$1363,"&gt;"&amp;AB1354,$AD$1350:$AD$1363,1)+COUNTIFS($Z$1350:$Z$1363,Z1354,$AB$1350:$AB$1363,AB1354,$V$1350:$V$1363,"&gt;"&amp;V1354,$AD$1350:$AD$1363,1)+COUNTIFS($Z$1350:Z1354,Z1354,$AB$1350:AB1354,AB1354,$V$1350:V1354,V1354,$AD$1350:AD1354,1))</x:f>
      </x:c>
      <x:c r="AD1354" s="2" t="n">
        <x:f>IF(OR(AA1354="DEFENSIV",AA1354="PRUDENT",AA1354="MODERAT",AA1354="RIDICAT"),1,0)</x:f>
        <x:v>0</x:v>
      </x:c>
      <x:c r="AE1354" s="2" t="str">
        <x:f>IF(AD1354&lt;&gt;1,"NO",IF(W1354="PASS","YES",IF(W1354="OOS PENDING","CONDITIONAL","NO")))</x:f>
        <x:v>NO</x:v>
      </x:c>
      <x:c r="AF1354" s="2" t="n">
        <x:f>IF(AND(AD1354=1,AC1354=1,E1354="LIVE"),1,0)</x:f>
        <x:v>0</x:v>
      </x:c>
      <x:c r="AG1354" s="2" t="str">
        <x:f>IF(AF1354&lt;&gt;1,"",'Dashboard'!P122)</x:f>
      </x:c>
      <x:c r="AH1354" s="2" t="str">
        <x:f>IF(B1354="","",IF(J1354&lt;&gt;"PASS",'Motor_Meciuri'!J102,IF('Calibrare_Linii'!U10&lt;&gt;"VALID","Parametri linie invalizi",IF(L1354&gt;'Config_v6'!$B$13,"Dispersie peste limita",IF(W1354="WATCH","Failure peste limita",IF(AB1354&lt;'Config_v6'!$B$16,"P finala sub prag",IF(V1354&lt;'Config_v6'!$B$18,"Confidence sub prag",IF(E1354="REPLAY","Exemplu retrospectiv; exclus din Top LIVE",IF(Y1354="PASS","DEFENSIV validat",IF(W1354="OOS PENDING","Eligibil; calibrare linie in monitorizare","Eligibil"))))))))))</x:f>
      </x:c>
      <x:c r="AI1354" s="2" t="str">
        <x:f>IF(B1354="","",'Calibrare_Linii'!V10)</x:f>
      </x:c>
      <x:c r="AJ1354" s="2" t="str">
        <x:f>IF(B1354="","",IF(AND('Calibrare_Linii'!T10="VALIDATED",AND('Calibrare_Linii'!H10=C1354,ISNUMBER('Calibrare_Linii'!J10),'Calibrare_Linii'!J10&lt;='Input_Meci'!G102)),"DEFENSIVE VALIDATED",IF(AND('Calibrare_Linii'!S10="VALIDATED",AND('Calibrare_Linii'!H10=C1354,ISNUMBER('Calibrare_Linii'!J10),'Calibrare_Linii'!J10&lt;='Input_Meci'!G102)),"TAIL VALIDATED","OOS PENDING")))</x:f>
      </x:c>
      <x:c r="AK1354" s="2" t="n">
        <x:f>IF(J1354&lt;&gt;"PASS",0,'Motor_Meciuri'!BR102)</x:f>
        <x:v>0</x:v>
      </x:c>
      <x:c r="AL1354" s="2" t="n">
        <x:f>IF(J1354&lt;&gt;"PASS",0,'Motor_Meciuri'!BS102)</x:f>
        <x:v>0</x:v>
      </x:c>
      <x:c r="AM1354" s="2" t="n">
        <x:f>IF(J1354&lt;&gt;"PASS",0,'Motor_Meciuri'!BT102)</x:f>
        <x:v>0</x:v>
      </x:c>
      <x:c r="AN1354" s="2" t="str">
        <x:f>IF(M1354="","",MAX(0,'Motor_Meciuri'!BF102-IF(L1354&gt;'Config_v6'!$B$12,'Config_v6'!$B$37,IF(L1354&gt;'Config_v6'!$B$11,'Config_v6'!$B$36,0))))</x:f>
      </x:c>
    </x:row>
    <x:row r="1355" ht="21" customHeight="1">
      <x:c r="A1355" s="2" t="n">
        <x:v>97</x:v>
      </x:c>
      <x:c r="B1355" s="2" t="str">
        <x:f>IF('Motor_Meciuri'!A102="","",'Motor_Meciuri'!A102)</x:f>
      </x:c>
      <x:c r="C1355" s="2" t="str">
        <x:f>IF(B1355="","",'Motor_Meciuri'!B102)</x:f>
      </x:c>
      <x:c r="D1355" s="2" t="str">
        <x:f>IF(B1355="","",'Motor_Meciuri'!D102)</x:f>
      </x:c>
      <x:c r="E1355" s="2" t="str">
        <x:f>IF(B1355="","",'Motor_Meciuri'!E102)</x:f>
      </x:c>
      <x:c r="F1355" s="2" t="str">
        <x:v>O8,5</x:v>
      </x:c>
      <x:c r="G1355" s="2" t="str">
        <x:v>OVER</x:v>
      </x:c>
      <x:c r="H1355" s="2" t="n">
        <x:v>8</x:v>
      </x:c>
      <x:c r="I1355" s="2" t="str">
        <x:f>IF(B1355="","",'Motor_Meciuri'!H102)</x:f>
      </x:c>
      <x:c r="J1355" s="2" t="str">
        <x:f>IF(B1355="","",'Motor_Meciuri'!I102)</x:f>
      </x:c>
      <x:c r="K1355" s="11" t="str">
        <x:f>IF(J1355&lt;&gt;"PASS","",'Motor_Meciuri'!BD102)</x:f>
      </x:c>
      <x:c r="L1355" s="11" t="str">
        <x:f>IF(J1355&lt;&gt;"PASS","",'Motor_Meciuri'!AU102)</x:f>
      </x:c>
      <x:c r="M1355" s="10" t="str">
        <x:f>IF(NOT(AND(J1355="PASS",'Calibrare_Linii'!U11="VALID")),"",1-'Distributie'!AF102)</x:f>
      </x:c>
      <x:c r="N1355" s="10" t="str">
        <x:f>IF(M1355="","",MAX(0.01,MIN(0.99,0.5+(M1355-0.5)*'Motor_Meciuri'!BG102*'Calibrare_Linii'!D11)))</x:f>
      </x:c>
      <x:c r="O1355" s="10" t="str">
        <x:f>IF(M1355="","",1-M1355)</x:f>
      </x:c>
      <x:c r="P1355" s="10" t="str">
        <x:f>IF(OR(NOT(AND(J1355="PASS",'Calibrare_Linii'!U11="VALID")),AK1355=0),""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*('Istoric_Nativ'!$Q$6:$Q$405&lt;=H1355))/AK1355)</x:f>
      </x:c>
      <x:c r="Q1355" s="10" t="str">
        <x:f>IF(OR(NOT(AND(J1355="PASS",'Calibrare_Linii'!U11="VALID")),AL1355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M102)+((('Istoric_Nativ'!$E$6:$E$405='Input_Meci'!E102)+('Istoric_Nativ'!$F$6:$F$405='Input_Meci'!E102))&gt;0)*('Istoric_Nativ'!$D$6:$D$405&gt;='Motor_Meciuri'!BN102))&gt;0)*('Istoric_Nativ'!$Q$6:$Q$405&lt;=H1355))/AL1355)</x:f>
      </x:c>
      <x:c r="R1355" s="10" t="str">
        <x:f>IF(OR(NOT(AND(J1355="PASS",'Calibrare_Linii'!U11="VALID")),AM1355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O102)+((('Istoric_Nativ'!$E$6:$E$405='Input_Meci'!E102)+('Istoric_Nativ'!$F$6:$F$405='Input_Meci'!E102))&gt;0)*('Istoric_Nativ'!$D$6:$D$405&gt;='Motor_Meciuri'!BP102))&gt;0)*('Istoric_Nativ'!$Q$6:$Q$405&lt;=H1355))/AM1355)</x:f>
      </x:c>
      <x:c r="S1355" s="10" t="str">
        <x:f>IF(M1355="","",MAX(O1355,P1355,Q1355,R1355))</x:f>
      </x:c>
      <x:c r="T1355" s="11" t="str">
        <x:f>IF(M1355="","",MIN(100,S1355*100*'Config_v6'!$B$44+MIN(100,L1355/'Config_v6'!$B$13*100)*'Config_v6'!$B$45+(100-'Motor_Meciuri'!BF102)*'Config_v6'!$B$46+'Motor_Meciuri'!BH102*100*'Config_v6'!$B$47))</x:f>
      </x:c>
      <x:c r="U1355" s="2" t="str">
        <x:f>IF(T1355="","",IF(T1355&lt;=20,1,IF(T1355&lt;=40,2,IF(T1355&lt;=60,3,IF(T1355&lt;=80,4,5)))))</x:f>
      </x:c>
      <x:c r="V1355" s="2" t="str">
        <x:f>IF(M1355="","",MAX(0,'Motor_Meciuri'!BF102-IF(W1355="OOS PENDING",'Config_v6'!$B$35,0)-IF(L1355&gt;'Config_v6'!$B$12,'Config_v6'!$B$37,IF(L1355&gt;'Config_v6'!$B$11,'Config_v6'!$B$36,0))))</x:f>
      </x:c>
      <x:c r="W1355" s="2" t="str">
        <x:f>IF(B1355="","",IF(I1355&lt;&gt;"READY","NOT RELEASED",IF(NOT(AND(J1355="PASS",'Calibrare_Linii'!U11="VALID")),"INVALID",IF(NOT(AND('Calibrare_Linii'!S11="VALIDATED",AND('Calibrare_Linii'!H11=C1355,ISNUMBER('Calibrare_Linii'!J11),'Calibrare_Linii'!J11&lt;='Input_Meci'!G102))),"OOS PENDING",IF(S1355&lt;='Calibrare_Linii'!E11,"PASS",IF(S1355&lt;='Calibrare_Linii'!F11,"PENALTY","WATCH"))))))</x:f>
      </x:c>
      <x:c r="X1355" s="2" t="str">
        <x:f>IF(M1355="","",IF(AND(AND(J1355="PASS",'Calibrare_Linii'!U11="VALID"),'Motor_Meciuri'!K102=12,'Motor_Meciuri'!L102=12,'Motor_Meciuri'!M102="NO",'Motor_Meciuri'!BL102='Motor_Meciuri'!C102,AB1355&gt;='Config_v6'!$B$50,AN1355&gt;='Config_v6'!$B$51,T1355&lt;='Config_v6'!$B$52,L1355&lt;='Config_v6'!$B$53,ISNUMBER('Calibrare_Linii'!E11),S1355&lt;='Calibrare_Linii'!E11,SUM(AK1355:AM1355)&gt;0),"CANDIDATE","NO"))</x:f>
      </x:c>
      <x:c r="Y1355" s="2" t="str">
        <x:f>IF(B1355="","",IF(I1355&lt;&gt;"READY","NOT RELEASED",IF(AND(X1355="CANDIDATE",V1355&gt;='Config_v6'!$B$51,W1355="PASS",'Calibrare_Linii'!T11="VALIDATED",AND('Calibrare_Linii'!H11=C1355,ISNUMBER('Calibrare_Linii'!J11),'Calibrare_Linii'!J11&lt;='Input_Meci'!G102)),"PASS",IF(X1355="CANDIDATE","OOS PENDING","FAIL"))))</x:f>
      </x:c>
      <x:c r="Z1355" s="2" t="str">
        <x:f>IF(B1355="","",IF(I1355&lt;&gt;"READY","",IF(OR(NOT(AND(J1355="PASS",'Calibrare_Linii'!U11="VALID")),L1355&gt;'Config_v6'!$B$13,W1355="WATCH"),5,IF(Y1355="PASS",1,MIN(5,MAX('Config_v6'!$B$42,U1355)+IF(W1355="PENALTY",1,0))))))</x:f>
      </x:c>
      <x:c r="AA1355" s="2" t="str">
        <x:f>IF(B1355="","",IF(I1355&lt;&gt;"READY","NOT RELEASED",IF(Z1355=5,"NO BET",IF(OR(AB1355&lt;'Config_v6'!$B$16,V1355&lt;'Config_v6'!$B$18),"WATCH",IF(Z1355=1,"DEFENSIV",IF(Z1355=2,"PRUDENT",IF(Z1355=3,"MODERAT","RIDICAT")))))))</x:f>
      </x:c>
      <x:c r="AB1355" s="10" t="str">
        <x:f>IF(N1355="","",MIN(N1355,1-S1355))</x:f>
      </x:c>
      <x:c r="AC1355" s="2" t="str">
        <x:f>IF(AD1355&lt;&gt;1,"",COUNTIFS($Z$1350:$Z$1363,"&lt;"&amp;Z1355,$AD$1350:$AD$1363,1)+COUNTIFS($Z$1350:$Z$1363,Z1355,$AB$1350:$AB$1363,"&gt;"&amp;AB1355,$AD$1350:$AD$1363,1)+COUNTIFS($Z$1350:$Z$1363,Z1355,$AB$1350:$AB$1363,AB1355,$V$1350:$V$1363,"&gt;"&amp;V1355,$AD$1350:$AD$1363,1)+COUNTIFS($Z$1350:Z1355,Z1355,$AB$1350:AB1355,AB1355,$V$1350:V1355,V1355,$AD$1350:AD1355,1))</x:f>
      </x:c>
      <x:c r="AD1355" s="2" t="n">
        <x:f>IF(OR(AA1355="DEFENSIV",AA1355="PRUDENT",AA1355="MODERAT",AA1355="RIDICAT"),1,0)</x:f>
        <x:v>0</x:v>
      </x:c>
      <x:c r="AE1355" s="2" t="str">
        <x:f>IF(AD1355&lt;&gt;1,"NO",IF(W1355="PASS","YES",IF(W1355="OOS PENDING","CONDITIONAL","NO")))</x:f>
        <x:v>NO</x:v>
      </x:c>
      <x:c r="AF1355" s="2" t="n">
        <x:f>IF(AND(AD1355=1,AC1355=1,E1355="LIVE"),1,0)</x:f>
        <x:v>0</x:v>
      </x:c>
      <x:c r="AG1355" s="2" t="str">
        <x:f>IF(AF1355&lt;&gt;1,"",'Dashboard'!P122)</x:f>
      </x:c>
      <x:c r="AH1355" s="2" t="str">
        <x:f>IF(B1355="","",IF(J1355&lt;&gt;"PASS",'Motor_Meciuri'!J102,IF('Calibrare_Linii'!U11&lt;&gt;"VALID","Parametri linie invalizi",IF(L1355&gt;'Config_v6'!$B$13,"Dispersie peste limita",IF(W1355="WATCH","Failure peste limita",IF(AB1355&lt;'Config_v6'!$B$16,"P finala sub prag",IF(V1355&lt;'Config_v6'!$B$18,"Confidence sub prag",IF(E1355="REPLAY","Exemplu retrospectiv; exclus din Top LIVE",IF(Y1355="PASS","DEFENSIV validat",IF(W1355="OOS PENDING","Eligibil; calibrare linie in monitorizare","Eligibil"))))))))))</x:f>
      </x:c>
      <x:c r="AI1355" s="2" t="str">
        <x:f>IF(B1355="","",'Calibrare_Linii'!V11)</x:f>
      </x:c>
      <x:c r="AJ1355" s="2" t="str">
        <x:f>IF(B1355="","",IF(AND('Calibrare_Linii'!T11="VALIDATED",AND('Calibrare_Linii'!H11=C1355,ISNUMBER('Calibrare_Linii'!J11),'Calibrare_Linii'!J11&lt;='Input_Meci'!G102)),"DEFENSIVE VALIDATED",IF(AND('Calibrare_Linii'!S11="VALIDATED",AND('Calibrare_Linii'!H11=C1355,ISNUMBER('Calibrare_Linii'!J11),'Calibrare_Linii'!J11&lt;='Input_Meci'!G102)),"TAIL VALIDATED","OOS PENDING")))</x:f>
      </x:c>
      <x:c r="AK1355" s="2" t="n">
        <x:f>IF(J1355&lt;&gt;"PASS",0,'Motor_Meciuri'!BR102)</x:f>
        <x:v>0</x:v>
      </x:c>
      <x:c r="AL1355" s="2" t="n">
        <x:f>IF(J1355&lt;&gt;"PASS",0,'Motor_Meciuri'!BS102)</x:f>
        <x:v>0</x:v>
      </x:c>
      <x:c r="AM1355" s="2" t="n">
        <x:f>IF(J1355&lt;&gt;"PASS",0,'Motor_Meciuri'!BT102)</x:f>
        <x:v>0</x:v>
      </x:c>
      <x:c r="AN1355" s="2" t="str">
        <x:f>IF(M1355="","",MAX(0,'Motor_Meciuri'!BF102-IF(L1355&gt;'Config_v6'!$B$12,'Config_v6'!$B$37,IF(L1355&gt;'Config_v6'!$B$11,'Config_v6'!$B$36,0))))</x:f>
      </x:c>
    </x:row>
    <x:row r="1356" ht="21" customHeight="1">
      <x:c r="A1356" s="2" t="n">
        <x:v>97</x:v>
      </x:c>
      <x:c r="B1356" s="2" t="str">
        <x:f>IF('Motor_Meciuri'!A102="","",'Motor_Meciuri'!A102)</x:f>
      </x:c>
      <x:c r="C1356" s="2" t="str">
        <x:f>IF(B1356="","",'Motor_Meciuri'!B102)</x:f>
      </x:c>
      <x:c r="D1356" s="2" t="str">
        <x:f>IF(B1356="","",'Motor_Meciuri'!D102)</x:f>
      </x:c>
      <x:c r="E1356" s="2" t="str">
        <x:f>IF(B1356="","",'Motor_Meciuri'!E102)</x:f>
      </x:c>
      <x:c r="F1356" s="2" t="str">
        <x:v>U10,5</x:v>
      </x:c>
      <x:c r="G1356" s="2" t="str">
        <x:v>UNDER</x:v>
      </x:c>
      <x:c r="H1356" s="2" t="n">
        <x:v>10</x:v>
      </x:c>
      <x:c r="I1356" s="2" t="str">
        <x:f>IF(B1356="","",'Motor_Meciuri'!H102)</x:f>
      </x:c>
      <x:c r="J1356" s="2" t="str">
        <x:f>IF(B1356="","",'Motor_Meciuri'!I102)</x:f>
      </x:c>
      <x:c r="K1356" s="11" t="str">
        <x:f>IF(J1356&lt;&gt;"PASS","",'Motor_Meciuri'!BD102)</x:f>
      </x:c>
      <x:c r="L1356" s="11" t="str">
        <x:f>IF(J1356&lt;&gt;"PASS","",'Motor_Meciuri'!AU102)</x:f>
      </x:c>
      <x:c r="M1356" s="10" t="str">
        <x:f>IF(NOT(AND(J1356="PASS",'Calibrare_Linii'!U12="VALID")),"",'Distributie'!AH102)</x:f>
      </x:c>
      <x:c r="N1356" s="10" t="str">
        <x:f>IF(M1356="","",MAX(0.01,MIN(0.99,0.5+(M1356-0.5)*'Motor_Meciuri'!BG102*'Calibrare_Linii'!D12)))</x:f>
      </x:c>
      <x:c r="O1356" s="10" t="str">
        <x:f>IF(M1356="","",1-M1356)</x:f>
      </x:c>
      <x:c r="P1356" s="10" t="str">
        <x:f>IF(OR(NOT(AND(J1356="PASS",'Calibrare_Linii'!U12="VALID")),AK1356=0),""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*('Istoric_Nativ'!$Q$6:$Q$405&gt;H1356))/AK1356)</x:f>
      </x:c>
      <x:c r="Q1356" s="10" t="str">
        <x:f>IF(OR(NOT(AND(J1356="PASS",'Calibrare_Linii'!U12="VALID")),AL1356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M102)+((('Istoric_Nativ'!$E$6:$E$405='Input_Meci'!E102)+('Istoric_Nativ'!$F$6:$F$405='Input_Meci'!E102))&gt;0)*('Istoric_Nativ'!$D$6:$D$405&gt;='Motor_Meciuri'!BN102))&gt;0)*('Istoric_Nativ'!$Q$6:$Q$405&gt;H1356))/AL1356)</x:f>
      </x:c>
      <x:c r="R1356" s="10" t="str">
        <x:f>IF(OR(NOT(AND(J1356="PASS",'Calibrare_Linii'!U12="VALID")),AM1356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O102)+((('Istoric_Nativ'!$E$6:$E$405='Input_Meci'!E102)+('Istoric_Nativ'!$F$6:$F$405='Input_Meci'!E102))&gt;0)*('Istoric_Nativ'!$D$6:$D$405&gt;='Motor_Meciuri'!BP102))&gt;0)*('Istoric_Nativ'!$Q$6:$Q$405&gt;H1356))/AM1356)</x:f>
      </x:c>
      <x:c r="S1356" s="10" t="str">
        <x:f>IF(M1356="","",MAX(O1356,P1356,Q1356,R1356))</x:f>
      </x:c>
      <x:c r="T1356" s="11" t="str">
        <x:f>IF(M1356="","",MIN(100,S1356*100*'Config_v6'!$B$44+MIN(100,L1356/'Config_v6'!$B$13*100)*'Config_v6'!$B$45+(100-'Motor_Meciuri'!BF102)*'Config_v6'!$B$46+'Motor_Meciuri'!BH102*100*'Config_v6'!$B$47))</x:f>
      </x:c>
      <x:c r="U1356" s="2" t="str">
        <x:f>IF(T1356="","",IF(T1356&lt;=20,1,IF(T1356&lt;=40,2,IF(T1356&lt;=60,3,IF(T1356&lt;=80,4,5)))))</x:f>
      </x:c>
      <x:c r="V1356" s="2" t="str">
        <x:f>IF(M1356="","",MAX(0,'Motor_Meciuri'!BF102-IF(W1356="OOS PENDING",'Config_v6'!$B$35,0)-IF(L1356&gt;'Config_v6'!$B$12,'Config_v6'!$B$37,IF(L1356&gt;'Config_v6'!$B$11,'Config_v6'!$B$36,0))))</x:f>
      </x:c>
      <x:c r="W1356" s="2" t="str">
        <x:f>IF(B1356="","",IF(I1356&lt;&gt;"READY","NOT RELEASED",IF(NOT(AND(J1356="PASS",'Calibrare_Linii'!U12="VALID")),"INVALID",IF(NOT(AND('Calibrare_Linii'!S12="VALIDATED",AND('Calibrare_Linii'!H12=C1356,ISNUMBER('Calibrare_Linii'!J12),'Calibrare_Linii'!J12&lt;='Input_Meci'!G102))),"OOS PENDING",IF(S1356&lt;='Calibrare_Linii'!E12,"PASS",IF(S1356&lt;='Calibrare_Linii'!F12,"PENALTY","WATCH"))))))</x:f>
      </x:c>
      <x:c r="X1356" s="2" t="str">
        <x:f>IF(M1356="","",IF(AND(AND(J1356="PASS",'Calibrare_Linii'!U12="VALID"),'Motor_Meciuri'!K102=12,'Motor_Meciuri'!L102=12,'Motor_Meciuri'!M102="NO",'Motor_Meciuri'!BL102='Motor_Meciuri'!C102,AB1356&gt;='Config_v6'!$B$50,AN1356&gt;='Config_v6'!$B$51,T1356&lt;='Config_v6'!$B$52,L1356&lt;='Config_v6'!$B$53,ISNUMBER('Calibrare_Linii'!E12),S1356&lt;='Calibrare_Linii'!E12,SUM(AK1356:AM1356)&gt;0),"CANDIDATE","NO"))</x:f>
      </x:c>
      <x:c r="Y1356" s="2" t="str">
        <x:f>IF(B1356="","",IF(I1356&lt;&gt;"READY","NOT RELEASED",IF(AND(X1356="CANDIDATE",V1356&gt;='Config_v6'!$B$51,W1356="PASS",'Calibrare_Linii'!T12="VALIDATED",AND('Calibrare_Linii'!H12=C1356,ISNUMBER('Calibrare_Linii'!J12),'Calibrare_Linii'!J12&lt;='Input_Meci'!G102)),"PASS",IF(X1356="CANDIDATE","OOS PENDING","FAIL"))))</x:f>
      </x:c>
      <x:c r="Z1356" s="2" t="str">
        <x:f>IF(B1356="","",IF(I1356&lt;&gt;"READY","",IF(OR(NOT(AND(J1356="PASS",'Calibrare_Linii'!U12="VALID")),L1356&gt;'Config_v6'!$B$13,W1356="WATCH"),5,IF(Y1356="PASS",1,MIN(5,MAX('Config_v6'!$B$42,U1356)+IF(W1356="PENALTY",1,0))))))</x:f>
      </x:c>
      <x:c r="AA1356" s="2" t="str">
        <x:f>IF(B1356="","",IF(I1356&lt;&gt;"READY","NOT RELEASED",IF(Z1356=5,"NO BET",IF(OR(AB1356&lt;'Config_v6'!$B$16,V1356&lt;'Config_v6'!$B$18),"WATCH",IF(Z1356=1,"DEFENSIV",IF(Z1356=2,"PRUDENT",IF(Z1356=3,"MODERAT","RIDICAT")))))))</x:f>
      </x:c>
      <x:c r="AB1356" s="10" t="str">
        <x:f>IF(N1356="","",MIN(N1356,1-S1356))</x:f>
      </x:c>
      <x:c r="AC1356" s="2" t="str">
        <x:f>IF(AD1356&lt;&gt;1,"",COUNTIFS($Z$1350:$Z$1363,"&lt;"&amp;Z1356,$AD$1350:$AD$1363,1)+COUNTIFS($Z$1350:$Z$1363,Z1356,$AB$1350:$AB$1363,"&gt;"&amp;AB1356,$AD$1350:$AD$1363,1)+COUNTIFS($Z$1350:$Z$1363,Z1356,$AB$1350:$AB$1363,AB1356,$V$1350:$V$1363,"&gt;"&amp;V1356,$AD$1350:$AD$1363,1)+COUNTIFS($Z$1350:Z1356,Z1356,$AB$1350:AB1356,AB1356,$V$1350:V1356,V1356,$AD$1350:AD1356,1))</x:f>
      </x:c>
      <x:c r="AD1356" s="2" t="n">
        <x:f>IF(OR(AA1356="DEFENSIV",AA1356="PRUDENT",AA1356="MODERAT",AA1356="RIDICAT"),1,0)</x:f>
        <x:v>0</x:v>
      </x:c>
      <x:c r="AE1356" s="2" t="str">
        <x:f>IF(AD1356&lt;&gt;1,"NO",IF(W1356="PASS","YES",IF(W1356="OOS PENDING","CONDITIONAL","NO")))</x:f>
        <x:v>NO</x:v>
      </x:c>
      <x:c r="AF1356" s="2" t="n">
        <x:f>IF(AND(AD1356=1,AC1356=1,E1356="LIVE"),1,0)</x:f>
        <x:v>0</x:v>
      </x:c>
      <x:c r="AG1356" s="2" t="str">
        <x:f>IF(AF1356&lt;&gt;1,"",'Dashboard'!P122)</x:f>
      </x:c>
      <x:c r="AH1356" s="2" t="str">
        <x:f>IF(B1356="","",IF(J1356&lt;&gt;"PASS",'Motor_Meciuri'!J102,IF('Calibrare_Linii'!U12&lt;&gt;"VALID","Parametri linie invalizi",IF(L1356&gt;'Config_v6'!$B$13,"Dispersie peste limita",IF(W1356="WATCH","Failure peste limita",IF(AB1356&lt;'Config_v6'!$B$16,"P finala sub prag",IF(V1356&lt;'Config_v6'!$B$18,"Confidence sub prag",IF(E1356="REPLAY","Exemplu retrospectiv; exclus din Top LIVE",IF(Y1356="PASS","DEFENSIV validat",IF(W1356="OOS PENDING","Eligibil; calibrare linie in monitorizare","Eligibil"))))))))))</x:f>
      </x:c>
      <x:c r="AI1356" s="2" t="str">
        <x:f>IF(B1356="","",'Calibrare_Linii'!V12)</x:f>
      </x:c>
      <x:c r="AJ1356" s="2" t="str">
        <x:f>IF(B1356="","",IF(AND('Calibrare_Linii'!T12="VALIDATED",AND('Calibrare_Linii'!H12=C1356,ISNUMBER('Calibrare_Linii'!J12),'Calibrare_Linii'!J12&lt;='Input_Meci'!G102)),"DEFENSIVE VALIDATED",IF(AND('Calibrare_Linii'!S12="VALIDATED",AND('Calibrare_Linii'!H12=C1356,ISNUMBER('Calibrare_Linii'!J12),'Calibrare_Linii'!J12&lt;='Input_Meci'!G102)),"TAIL VALIDATED","OOS PENDING")))</x:f>
      </x:c>
      <x:c r="AK1356" s="2" t="n">
        <x:f>IF(J1356&lt;&gt;"PASS",0,'Motor_Meciuri'!BR102)</x:f>
        <x:v>0</x:v>
      </x:c>
      <x:c r="AL1356" s="2" t="n">
        <x:f>IF(J1356&lt;&gt;"PASS",0,'Motor_Meciuri'!BS102)</x:f>
        <x:v>0</x:v>
      </x:c>
      <x:c r="AM1356" s="2" t="n">
        <x:f>IF(J1356&lt;&gt;"PASS",0,'Motor_Meciuri'!BT102)</x:f>
        <x:v>0</x:v>
      </x:c>
      <x:c r="AN1356" s="2" t="str">
        <x:f>IF(M1356="","",MAX(0,'Motor_Meciuri'!BF102-IF(L1356&gt;'Config_v6'!$B$12,'Config_v6'!$B$37,IF(L1356&gt;'Config_v6'!$B$11,'Config_v6'!$B$36,0))))</x:f>
      </x:c>
    </x:row>
    <x:row r="1357" ht="21" customHeight="1">
      <x:c r="A1357" s="2" t="n">
        <x:v>97</x:v>
      </x:c>
      <x:c r="B1357" s="2" t="str">
        <x:f>IF('Motor_Meciuri'!A102="","",'Motor_Meciuri'!A102)</x:f>
      </x:c>
      <x:c r="C1357" s="2" t="str">
        <x:f>IF(B1357="","",'Motor_Meciuri'!B102)</x:f>
      </x:c>
      <x:c r="D1357" s="2" t="str">
        <x:f>IF(B1357="","",'Motor_Meciuri'!D102)</x:f>
      </x:c>
      <x:c r="E1357" s="2" t="str">
        <x:f>IF(B1357="","",'Motor_Meciuri'!E102)</x:f>
      </x:c>
      <x:c r="F1357" s="2" t="str">
        <x:v>U11,5</x:v>
      </x:c>
      <x:c r="G1357" s="2" t="str">
        <x:v>UNDER</x:v>
      </x:c>
      <x:c r="H1357" s="2" t="n">
        <x:v>11</x:v>
      </x:c>
      <x:c r="I1357" s="2" t="str">
        <x:f>IF(B1357="","",'Motor_Meciuri'!H102)</x:f>
      </x:c>
      <x:c r="J1357" s="2" t="str">
        <x:f>IF(B1357="","",'Motor_Meciuri'!I102)</x:f>
      </x:c>
      <x:c r="K1357" s="11" t="str">
        <x:f>IF(J1357&lt;&gt;"PASS","",'Motor_Meciuri'!BD102)</x:f>
      </x:c>
      <x:c r="L1357" s="11" t="str">
        <x:f>IF(J1357&lt;&gt;"PASS","",'Motor_Meciuri'!AU102)</x:f>
      </x:c>
      <x:c r="M1357" s="10" t="str">
        <x:f>IF(NOT(AND(J1357="PASS",'Calibrare_Linii'!U13="VALID")),"",'Distributie'!AI102)</x:f>
      </x:c>
      <x:c r="N1357" s="10" t="str">
        <x:f>IF(M1357="","",MAX(0.01,MIN(0.99,0.5+(M1357-0.5)*'Motor_Meciuri'!BG102*'Calibrare_Linii'!D13)))</x:f>
      </x:c>
      <x:c r="O1357" s="10" t="str">
        <x:f>IF(M1357="","",1-M1357)</x:f>
      </x:c>
      <x:c r="P1357" s="10" t="str">
        <x:f>IF(OR(NOT(AND(J1357="PASS",'Calibrare_Linii'!U13="VALID")),AK1357=0),""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*('Istoric_Nativ'!$Q$6:$Q$405&gt;H1357))/AK1357)</x:f>
      </x:c>
      <x:c r="Q1357" s="10" t="str">
        <x:f>IF(OR(NOT(AND(J1357="PASS",'Calibrare_Linii'!U13="VALID")),AL1357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M102)+((('Istoric_Nativ'!$E$6:$E$405='Input_Meci'!E102)+('Istoric_Nativ'!$F$6:$F$405='Input_Meci'!E102))&gt;0)*('Istoric_Nativ'!$D$6:$D$405&gt;='Motor_Meciuri'!BN102))&gt;0)*('Istoric_Nativ'!$Q$6:$Q$405&gt;H1357))/AL1357)</x:f>
      </x:c>
      <x:c r="R1357" s="10" t="str">
        <x:f>IF(OR(NOT(AND(J1357="PASS",'Calibrare_Linii'!U13="VALID")),AM1357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O102)+((('Istoric_Nativ'!$E$6:$E$405='Input_Meci'!E102)+('Istoric_Nativ'!$F$6:$F$405='Input_Meci'!E102))&gt;0)*('Istoric_Nativ'!$D$6:$D$405&gt;='Motor_Meciuri'!BP102))&gt;0)*('Istoric_Nativ'!$Q$6:$Q$405&gt;H1357))/AM1357)</x:f>
      </x:c>
      <x:c r="S1357" s="10" t="str">
        <x:f>IF(M1357="","",MAX(O1357,P1357,Q1357,R1357))</x:f>
      </x:c>
      <x:c r="T1357" s="11" t="str">
        <x:f>IF(M1357="","",MIN(100,S1357*100*'Config_v6'!$B$44+MIN(100,L1357/'Config_v6'!$B$13*100)*'Config_v6'!$B$45+(100-'Motor_Meciuri'!BF102)*'Config_v6'!$B$46+'Motor_Meciuri'!BH102*100*'Config_v6'!$B$47))</x:f>
      </x:c>
      <x:c r="U1357" s="2" t="str">
        <x:f>IF(T1357="","",IF(T1357&lt;=20,1,IF(T1357&lt;=40,2,IF(T1357&lt;=60,3,IF(T1357&lt;=80,4,5)))))</x:f>
      </x:c>
      <x:c r="V1357" s="2" t="str">
        <x:f>IF(M1357="","",MAX(0,'Motor_Meciuri'!BF102-IF(W1357="OOS PENDING",'Config_v6'!$B$35,0)-IF(L1357&gt;'Config_v6'!$B$12,'Config_v6'!$B$37,IF(L1357&gt;'Config_v6'!$B$11,'Config_v6'!$B$36,0))))</x:f>
      </x:c>
      <x:c r="W1357" s="2" t="str">
        <x:f>IF(B1357="","",IF(I1357&lt;&gt;"READY","NOT RELEASED",IF(NOT(AND(J1357="PASS",'Calibrare_Linii'!U13="VALID")),"INVALID",IF(NOT(AND('Calibrare_Linii'!S13="VALIDATED",AND('Calibrare_Linii'!H13=C1357,ISNUMBER('Calibrare_Linii'!J13),'Calibrare_Linii'!J13&lt;='Input_Meci'!G102))),"OOS PENDING",IF(S1357&lt;='Calibrare_Linii'!E13,"PASS",IF(S1357&lt;='Calibrare_Linii'!F13,"PENALTY","WATCH"))))))</x:f>
      </x:c>
      <x:c r="X1357" s="2" t="str">
        <x:f>IF(M1357="","",IF(AND(AND(J1357="PASS",'Calibrare_Linii'!U13="VALID"),'Motor_Meciuri'!K102=12,'Motor_Meciuri'!L102=12,'Motor_Meciuri'!M102="NO",'Motor_Meciuri'!BL102='Motor_Meciuri'!C102,AB1357&gt;='Config_v6'!$B$50,AN1357&gt;='Config_v6'!$B$51,T1357&lt;='Config_v6'!$B$52,L1357&lt;='Config_v6'!$B$53,ISNUMBER('Calibrare_Linii'!E13),S1357&lt;='Calibrare_Linii'!E13,SUM(AK1357:AM1357)&gt;0),"CANDIDATE","NO"))</x:f>
      </x:c>
      <x:c r="Y1357" s="2" t="str">
        <x:f>IF(B1357="","",IF(I1357&lt;&gt;"READY","NOT RELEASED",IF(AND(X1357="CANDIDATE",V1357&gt;='Config_v6'!$B$51,W1357="PASS",'Calibrare_Linii'!T13="VALIDATED",AND('Calibrare_Linii'!H13=C1357,ISNUMBER('Calibrare_Linii'!J13),'Calibrare_Linii'!J13&lt;='Input_Meci'!G102)),"PASS",IF(X1357="CANDIDATE","OOS PENDING","FAIL"))))</x:f>
      </x:c>
      <x:c r="Z1357" s="2" t="str">
        <x:f>IF(B1357="","",IF(I1357&lt;&gt;"READY","",IF(OR(NOT(AND(J1357="PASS",'Calibrare_Linii'!U13="VALID")),L1357&gt;'Config_v6'!$B$13,W1357="WATCH"),5,IF(Y1357="PASS",1,MIN(5,MAX('Config_v6'!$B$42,U1357)+IF(W1357="PENALTY",1,0))))))</x:f>
      </x:c>
      <x:c r="AA1357" s="2" t="str">
        <x:f>IF(B1357="","",IF(I1357&lt;&gt;"READY","NOT RELEASED",IF(Z1357=5,"NO BET",IF(OR(AB1357&lt;'Config_v6'!$B$16,V1357&lt;'Config_v6'!$B$18),"WATCH",IF(Z1357=1,"DEFENSIV",IF(Z1357=2,"PRUDENT",IF(Z1357=3,"MODERAT","RIDICAT")))))))</x:f>
      </x:c>
      <x:c r="AB1357" s="10" t="str">
        <x:f>IF(N1357="","",MIN(N1357,1-S1357))</x:f>
      </x:c>
      <x:c r="AC1357" s="2" t="str">
        <x:f>IF(AD1357&lt;&gt;1,"",COUNTIFS($Z$1350:$Z$1363,"&lt;"&amp;Z1357,$AD$1350:$AD$1363,1)+COUNTIFS($Z$1350:$Z$1363,Z1357,$AB$1350:$AB$1363,"&gt;"&amp;AB1357,$AD$1350:$AD$1363,1)+COUNTIFS($Z$1350:$Z$1363,Z1357,$AB$1350:$AB$1363,AB1357,$V$1350:$V$1363,"&gt;"&amp;V1357,$AD$1350:$AD$1363,1)+COUNTIFS($Z$1350:Z1357,Z1357,$AB$1350:AB1357,AB1357,$V$1350:V1357,V1357,$AD$1350:AD1357,1))</x:f>
      </x:c>
      <x:c r="AD1357" s="2" t="n">
        <x:f>IF(OR(AA1357="DEFENSIV",AA1357="PRUDENT",AA1357="MODERAT",AA1357="RIDICAT"),1,0)</x:f>
        <x:v>0</x:v>
      </x:c>
      <x:c r="AE1357" s="2" t="str">
        <x:f>IF(AD1357&lt;&gt;1,"NO",IF(W1357="PASS","YES",IF(W1357="OOS PENDING","CONDITIONAL","NO")))</x:f>
        <x:v>NO</x:v>
      </x:c>
      <x:c r="AF1357" s="2" t="n">
        <x:f>IF(AND(AD1357=1,AC1357=1,E1357="LIVE"),1,0)</x:f>
        <x:v>0</x:v>
      </x:c>
      <x:c r="AG1357" s="2" t="str">
        <x:f>IF(AF1357&lt;&gt;1,"",'Dashboard'!P122)</x:f>
      </x:c>
      <x:c r="AH1357" s="2" t="str">
        <x:f>IF(B1357="","",IF(J1357&lt;&gt;"PASS",'Motor_Meciuri'!J102,IF('Calibrare_Linii'!U13&lt;&gt;"VALID","Parametri linie invalizi",IF(L1357&gt;'Config_v6'!$B$13,"Dispersie peste limita",IF(W1357="WATCH","Failure peste limita",IF(AB1357&lt;'Config_v6'!$B$16,"P finala sub prag",IF(V1357&lt;'Config_v6'!$B$18,"Confidence sub prag",IF(E1357="REPLAY","Exemplu retrospectiv; exclus din Top LIVE",IF(Y1357="PASS","DEFENSIV validat",IF(W1357="OOS PENDING","Eligibil; calibrare linie in monitorizare","Eligibil"))))))))))</x:f>
      </x:c>
      <x:c r="AI1357" s="2" t="str">
        <x:f>IF(B1357="","",'Calibrare_Linii'!V13)</x:f>
      </x:c>
      <x:c r="AJ1357" s="2" t="str">
        <x:f>IF(B1357="","",IF(AND('Calibrare_Linii'!T13="VALIDATED",AND('Calibrare_Linii'!H13=C1357,ISNUMBER('Calibrare_Linii'!J13),'Calibrare_Linii'!J13&lt;='Input_Meci'!G102)),"DEFENSIVE VALIDATED",IF(AND('Calibrare_Linii'!S13="VALIDATED",AND('Calibrare_Linii'!H13=C1357,ISNUMBER('Calibrare_Linii'!J13),'Calibrare_Linii'!J13&lt;='Input_Meci'!G102)),"TAIL VALIDATED","OOS PENDING")))</x:f>
      </x:c>
      <x:c r="AK1357" s="2" t="n">
        <x:f>IF(J1357&lt;&gt;"PASS",0,'Motor_Meciuri'!BR102)</x:f>
        <x:v>0</x:v>
      </x:c>
      <x:c r="AL1357" s="2" t="n">
        <x:f>IF(J1357&lt;&gt;"PASS",0,'Motor_Meciuri'!BS102)</x:f>
        <x:v>0</x:v>
      </x:c>
      <x:c r="AM1357" s="2" t="n">
        <x:f>IF(J1357&lt;&gt;"PASS",0,'Motor_Meciuri'!BT102)</x:f>
        <x:v>0</x:v>
      </x:c>
      <x:c r="AN1357" s="2" t="str">
        <x:f>IF(M1357="","",MAX(0,'Motor_Meciuri'!BF102-IF(L1357&gt;'Config_v6'!$B$12,'Config_v6'!$B$37,IF(L1357&gt;'Config_v6'!$B$11,'Config_v6'!$B$36,0))))</x:f>
      </x:c>
    </x:row>
    <x:row r="1358" ht="21" customHeight="1">
      <x:c r="A1358" s="2" t="n">
        <x:v>97</x:v>
      </x:c>
      <x:c r="B1358" s="2" t="str">
        <x:f>IF('Motor_Meciuri'!A102="","",'Motor_Meciuri'!A102)</x:f>
      </x:c>
      <x:c r="C1358" s="2" t="str">
        <x:f>IF(B1358="","",'Motor_Meciuri'!B102)</x:f>
      </x:c>
      <x:c r="D1358" s="2" t="str">
        <x:f>IF(B1358="","",'Motor_Meciuri'!D102)</x:f>
      </x:c>
      <x:c r="E1358" s="2" t="str">
        <x:f>IF(B1358="","",'Motor_Meciuri'!E102)</x:f>
      </x:c>
      <x:c r="F1358" s="2" t="str">
        <x:v>U12,5</x:v>
      </x:c>
      <x:c r="G1358" s="2" t="str">
        <x:v>UNDER</x:v>
      </x:c>
      <x:c r="H1358" s="2" t="n">
        <x:v>12</x:v>
      </x:c>
      <x:c r="I1358" s="2" t="str">
        <x:f>IF(B1358="","",'Motor_Meciuri'!H102)</x:f>
      </x:c>
      <x:c r="J1358" s="2" t="str">
        <x:f>IF(B1358="","",'Motor_Meciuri'!I102)</x:f>
      </x:c>
      <x:c r="K1358" s="11" t="str">
        <x:f>IF(J1358&lt;&gt;"PASS","",'Motor_Meciuri'!BD102)</x:f>
      </x:c>
      <x:c r="L1358" s="11" t="str">
        <x:f>IF(J1358&lt;&gt;"PASS","",'Motor_Meciuri'!AU102)</x:f>
      </x:c>
      <x:c r="M1358" s="10" t="str">
        <x:f>IF(NOT(AND(J1358="PASS",'Calibrare_Linii'!U14="VALID")),"",'Distributie'!AJ102)</x:f>
      </x:c>
      <x:c r="N1358" s="10" t="str">
        <x:f>IF(M1358="","",MAX(0.01,MIN(0.99,0.5+(M1358-0.5)*'Motor_Meciuri'!BG102*'Calibrare_Linii'!D14)))</x:f>
      </x:c>
      <x:c r="O1358" s="10" t="str">
        <x:f>IF(M1358="","",1-M1358)</x:f>
      </x:c>
      <x:c r="P1358" s="10" t="str">
        <x:f>IF(OR(NOT(AND(J1358="PASS",'Calibrare_Linii'!U14="VALID")),AK1358=0),""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*('Istoric_Nativ'!$Q$6:$Q$405&gt;H1358))/AK1358)</x:f>
      </x:c>
      <x:c r="Q1358" s="10" t="str">
        <x:f>IF(OR(NOT(AND(J1358="PASS",'Calibrare_Linii'!U14="VALID")),AL1358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M102)+((('Istoric_Nativ'!$E$6:$E$405='Input_Meci'!E102)+('Istoric_Nativ'!$F$6:$F$405='Input_Meci'!E102))&gt;0)*('Istoric_Nativ'!$D$6:$D$405&gt;='Motor_Meciuri'!BN102))&gt;0)*('Istoric_Nativ'!$Q$6:$Q$405&gt;H1358))/AL1358)</x:f>
      </x:c>
      <x:c r="R1358" s="10" t="str">
        <x:f>IF(OR(NOT(AND(J1358="PASS",'Calibrare_Linii'!U14="VALID")),AM1358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O102)+((('Istoric_Nativ'!$E$6:$E$405='Input_Meci'!E102)+('Istoric_Nativ'!$F$6:$F$405='Input_Meci'!E102))&gt;0)*('Istoric_Nativ'!$D$6:$D$405&gt;='Motor_Meciuri'!BP102))&gt;0)*('Istoric_Nativ'!$Q$6:$Q$405&gt;H1358))/AM1358)</x:f>
      </x:c>
      <x:c r="S1358" s="10" t="str">
        <x:f>IF(M1358="","",MAX(O1358,P1358,Q1358,R1358))</x:f>
      </x:c>
      <x:c r="T1358" s="11" t="str">
        <x:f>IF(M1358="","",MIN(100,S1358*100*'Config_v6'!$B$44+MIN(100,L1358/'Config_v6'!$B$13*100)*'Config_v6'!$B$45+(100-'Motor_Meciuri'!BF102)*'Config_v6'!$B$46+'Motor_Meciuri'!BH102*100*'Config_v6'!$B$47))</x:f>
      </x:c>
      <x:c r="U1358" s="2" t="str">
        <x:f>IF(T1358="","",IF(T1358&lt;=20,1,IF(T1358&lt;=40,2,IF(T1358&lt;=60,3,IF(T1358&lt;=80,4,5)))))</x:f>
      </x:c>
      <x:c r="V1358" s="2" t="str">
        <x:f>IF(M1358="","",MAX(0,'Motor_Meciuri'!BF102-IF(W1358="OOS PENDING",'Config_v6'!$B$35,0)-IF(L1358&gt;'Config_v6'!$B$12,'Config_v6'!$B$37,IF(L1358&gt;'Config_v6'!$B$11,'Config_v6'!$B$36,0))))</x:f>
      </x:c>
      <x:c r="W1358" s="2" t="str">
        <x:f>IF(B1358="","",IF(I1358&lt;&gt;"READY","NOT RELEASED",IF(NOT(AND(J1358="PASS",'Calibrare_Linii'!U14="VALID")),"INVALID",IF(NOT(AND('Calibrare_Linii'!S14="VALIDATED",AND('Calibrare_Linii'!H14=C1358,ISNUMBER('Calibrare_Linii'!J14),'Calibrare_Linii'!J14&lt;='Input_Meci'!G102))),"OOS PENDING",IF(S1358&lt;='Calibrare_Linii'!E14,"PASS",IF(S1358&lt;='Calibrare_Linii'!F14,"PENALTY","WATCH"))))))</x:f>
      </x:c>
      <x:c r="X1358" s="2" t="str">
        <x:f>IF(M1358="","",IF(AND(AND(J1358="PASS",'Calibrare_Linii'!U14="VALID"),'Motor_Meciuri'!K102=12,'Motor_Meciuri'!L102=12,'Motor_Meciuri'!M102="NO",'Motor_Meciuri'!BL102='Motor_Meciuri'!C102,AB1358&gt;='Config_v6'!$B$50,AN1358&gt;='Config_v6'!$B$51,T1358&lt;='Config_v6'!$B$52,L1358&lt;='Config_v6'!$B$53,ISNUMBER('Calibrare_Linii'!E14),S1358&lt;='Calibrare_Linii'!E14,SUM(AK1358:AM1358)&gt;0),"CANDIDATE","NO"))</x:f>
      </x:c>
      <x:c r="Y1358" s="2" t="str">
        <x:f>IF(B1358="","",IF(I1358&lt;&gt;"READY","NOT RELEASED",IF(AND(X1358="CANDIDATE",V1358&gt;='Config_v6'!$B$51,W1358="PASS",'Calibrare_Linii'!T14="VALIDATED",AND('Calibrare_Linii'!H14=C1358,ISNUMBER('Calibrare_Linii'!J14),'Calibrare_Linii'!J14&lt;='Input_Meci'!G102)),"PASS",IF(X1358="CANDIDATE","OOS PENDING","FAIL"))))</x:f>
      </x:c>
      <x:c r="Z1358" s="2" t="str">
        <x:f>IF(B1358="","",IF(I1358&lt;&gt;"READY","",IF(OR(NOT(AND(J1358="PASS",'Calibrare_Linii'!U14="VALID")),L1358&gt;'Config_v6'!$B$13,W1358="WATCH"),5,IF(Y1358="PASS",1,MIN(5,MAX('Config_v6'!$B$42,U1358)+IF(W1358="PENALTY",1,0))))))</x:f>
      </x:c>
      <x:c r="AA1358" s="2" t="str">
        <x:f>IF(B1358="","",IF(I1358&lt;&gt;"READY","NOT RELEASED",IF(Z1358=5,"NO BET",IF(OR(AB1358&lt;'Config_v6'!$B$16,V1358&lt;'Config_v6'!$B$18),"WATCH",IF(Z1358=1,"DEFENSIV",IF(Z1358=2,"PRUDENT",IF(Z1358=3,"MODERAT","RIDICAT")))))))</x:f>
      </x:c>
      <x:c r="AB1358" s="10" t="str">
        <x:f>IF(N1358="","",MIN(N1358,1-S1358))</x:f>
      </x:c>
      <x:c r="AC1358" s="2" t="str">
        <x:f>IF(AD1358&lt;&gt;1,"",COUNTIFS($Z$1350:$Z$1363,"&lt;"&amp;Z1358,$AD$1350:$AD$1363,1)+COUNTIFS($Z$1350:$Z$1363,Z1358,$AB$1350:$AB$1363,"&gt;"&amp;AB1358,$AD$1350:$AD$1363,1)+COUNTIFS($Z$1350:$Z$1363,Z1358,$AB$1350:$AB$1363,AB1358,$V$1350:$V$1363,"&gt;"&amp;V1358,$AD$1350:$AD$1363,1)+COUNTIFS($Z$1350:Z1358,Z1358,$AB$1350:AB1358,AB1358,$V$1350:V1358,V1358,$AD$1350:AD1358,1))</x:f>
      </x:c>
      <x:c r="AD1358" s="2" t="n">
        <x:f>IF(OR(AA1358="DEFENSIV",AA1358="PRUDENT",AA1358="MODERAT",AA1358="RIDICAT"),1,0)</x:f>
        <x:v>0</x:v>
      </x:c>
      <x:c r="AE1358" s="2" t="str">
        <x:f>IF(AD1358&lt;&gt;1,"NO",IF(W1358="PASS","YES",IF(W1358="OOS PENDING","CONDITIONAL","NO")))</x:f>
        <x:v>NO</x:v>
      </x:c>
      <x:c r="AF1358" s="2" t="n">
        <x:f>IF(AND(AD1358=1,AC1358=1,E1358="LIVE"),1,0)</x:f>
        <x:v>0</x:v>
      </x:c>
      <x:c r="AG1358" s="2" t="str">
        <x:f>IF(AF1358&lt;&gt;1,"",'Dashboard'!P122)</x:f>
      </x:c>
      <x:c r="AH1358" s="2" t="str">
        <x:f>IF(B1358="","",IF(J1358&lt;&gt;"PASS",'Motor_Meciuri'!J102,IF('Calibrare_Linii'!U14&lt;&gt;"VALID","Parametri linie invalizi",IF(L1358&gt;'Config_v6'!$B$13,"Dispersie peste limita",IF(W1358="WATCH","Failure peste limita",IF(AB1358&lt;'Config_v6'!$B$16,"P finala sub prag",IF(V1358&lt;'Config_v6'!$B$18,"Confidence sub prag",IF(E1358="REPLAY","Exemplu retrospectiv; exclus din Top LIVE",IF(Y1358="PASS","DEFENSIV validat",IF(W1358="OOS PENDING","Eligibil; calibrare linie in monitorizare","Eligibil"))))))))))</x:f>
      </x:c>
      <x:c r="AI1358" s="2" t="str">
        <x:f>IF(B1358="","",'Calibrare_Linii'!V14)</x:f>
      </x:c>
      <x:c r="AJ1358" s="2" t="str">
        <x:f>IF(B1358="","",IF(AND('Calibrare_Linii'!T14="VALIDATED",AND('Calibrare_Linii'!H14=C1358,ISNUMBER('Calibrare_Linii'!J14),'Calibrare_Linii'!J14&lt;='Input_Meci'!G102)),"DEFENSIVE VALIDATED",IF(AND('Calibrare_Linii'!S14="VALIDATED",AND('Calibrare_Linii'!H14=C1358,ISNUMBER('Calibrare_Linii'!J14),'Calibrare_Linii'!J14&lt;='Input_Meci'!G102)),"TAIL VALIDATED","OOS PENDING")))</x:f>
      </x:c>
      <x:c r="AK1358" s="2" t="n">
        <x:f>IF(J1358&lt;&gt;"PASS",0,'Motor_Meciuri'!BR102)</x:f>
        <x:v>0</x:v>
      </x:c>
      <x:c r="AL1358" s="2" t="n">
        <x:f>IF(J1358&lt;&gt;"PASS",0,'Motor_Meciuri'!BS102)</x:f>
        <x:v>0</x:v>
      </x:c>
      <x:c r="AM1358" s="2" t="n">
        <x:f>IF(J1358&lt;&gt;"PASS",0,'Motor_Meciuri'!BT102)</x:f>
        <x:v>0</x:v>
      </x:c>
      <x:c r="AN1358" s="2" t="str">
        <x:f>IF(M1358="","",MAX(0,'Motor_Meciuri'!BF102-IF(L1358&gt;'Config_v6'!$B$12,'Config_v6'!$B$37,IF(L1358&gt;'Config_v6'!$B$11,'Config_v6'!$B$36,0))))</x:f>
      </x:c>
    </x:row>
    <x:row r="1359" ht="21" customHeight="1">
      <x:c r="A1359" s="2" t="n">
        <x:v>97</x:v>
      </x:c>
      <x:c r="B1359" s="2" t="str">
        <x:f>IF('Motor_Meciuri'!A102="","",'Motor_Meciuri'!A102)</x:f>
      </x:c>
      <x:c r="C1359" s="2" t="str">
        <x:f>IF(B1359="","",'Motor_Meciuri'!B102)</x:f>
      </x:c>
      <x:c r="D1359" s="2" t="str">
        <x:f>IF(B1359="","",'Motor_Meciuri'!D102)</x:f>
      </x:c>
      <x:c r="E1359" s="2" t="str">
        <x:f>IF(B1359="","",'Motor_Meciuri'!E102)</x:f>
      </x:c>
      <x:c r="F1359" s="2" t="str">
        <x:v>U13,5</x:v>
      </x:c>
      <x:c r="G1359" s="2" t="str">
        <x:v>UNDER</x:v>
      </x:c>
      <x:c r="H1359" s="2" t="n">
        <x:v>13</x:v>
      </x:c>
      <x:c r="I1359" s="2" t="str">
        <x:f>IF(B1359="","",'Motor_Meciuri'!H102)</x:f>
      </x:c>
      <x:c r="J1359" s="2" t="str">
        <x:f>IF(B1359="","",'Motor_Meciuri'!I102)</x:f>
      </x:c>
      <x:c r="K1359" s="11" t="str">
        <x:f>IF(J1359&lt;&gt;"PASS","",'Motor_Meciuri'!BD102)</x:f>
      </x:c>
      <x:c r="L1359" s="11" t="str">
        <x:f>IF(J1359&lt;&gt;"PASS","",'Motor_Meciuri'!AU102)</x:f>
      </x:c>
      <x:c r="M1359" s="10" t="str">
        <x:f>IF(NOT(AND(J1359="PASS",'Calibrare_Linii'!U15="VALID")),"",'Distributie'!AK102)</x:f>
      </x:c>
      <x:c r="N1359" s="10" t="str">
        <x:f>IF(M1359="","",MAX(0.01,MIN(0.99,0.5+(M1359-0.5)*'Motor_Meciuri'!BG102*'Calibrare_Linii'!D15)))</x:f>
      </x:c>
      <x:c r="O1359" s="10" t="str">
        <x:f>IF(M1359="","",1-M1359)</x:f>
      </x:c>
      <x:c r="P1359" s="10" t="str">
        <x:f>IF(OR(NOT(AND(J1359="PASS",'Calibrare_Linii'!U15="VALID")),AK1359=0),""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*('Istoric_Nativ'!$Q$6:$Q$405&gt;H1359))/AK1359)</x:f>
      </x:c>
      <x:c r="Q1359" s="10" t="str">
        <x:f>IF(OR(NOT(AND(J1359="PASS",'Calibrare_Linii'!U15="VALID")),AL1359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M102)+((('Istoric_Nativ'!$E$6:$E$405='Input_Meci'!E102)+('Istoric_Nativ'!$F$6:$F$405='Input_Meci'!E102))&gt;0)*('Istoric_Nativ'!$D$6:$D$405&gt;='Motor_Meciuri'!BN102))&gt;0)*('Istoric_Nativ'!$Q$6:$Q$405&gt;H1359))/AL1359)</x:f>
      </x:c>
      <x:c r="R1359" s="10" t="str">
        <x:f>IF(OR(NOT(AND(J1359="PASS",'Calibrare_Linii'!U15="VALID")),AM1359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O102)+((('Istoric_Nativ'!$E$6:$E$405='Input_Meci'!E102)+('Istoric_Nativ'!$F$6:$F$405='Input_Meci'!E102))&gt;0)*('Istoric_Nativ'!$D$6:$D$405&gt;='Motor_Meciuri'!BP102))&gt;0)*('Istoric_Nativ'!$Q$6:$Q$405&gt;H1359))/AM1359)</x:f>
      </x:c>
      <x:c r="S1359" s="10" t="str">
        <x:f>IF(M1359="","",MAX(O1359,P1359,Q1359,R1359))</x:f>
      </x:c>
      <x:c r="T1359" s="11" t="str">
        <x:f>IF(M1359="","",MIN(100,S1359*100*'Config_v6'!$B$44+MIN(100,L1359/'Config_v6'!$B$13*100)*'Config_v6'!$B$45+(100-'Motor_Meciuri'!BF102)*'Config_v6'!$B$46+'Motor_Meciuri'!BH102*100*'Config_v6'!$B$47))</x:f>
      </x:c>
      <x:c r="U1359" s="2" t="str">
        <x:f>IF(T1359="","",IF(T1359&lt;=20,1,IF(T1359&lt;=40,2,IF(T1359&lt;=60,3,IF(T1359&lt;=80,4,5)))))</x:f>
      </x:c>
      <x:c r="V1359" s="2" t="str">
        <x:f>IF(M1359="","",MAX(0,'Motor_Meciuri'!BF102-IF(W1359="OOS PENDING",'Config_v6'!$B$35,0)-IF(L1359&gt;'Config_v6'!$B$12,'Config_v6'!$B$37,IF(L1359&gt;'Config_v6'!$B$11,'Config_v6'!$B$36,0))))</x:f>
      </x:c>
      <x:c r="W1359" s="2" t="str">
        <x:f>IF(B1359="","",IF(I1359&lt;&gt;"READY","NOT RELEASED",IF(NOT(AND(J1359="PASS",'Calibrare_Linii'!U15="VALID")),"INVALID",IF(NOT(AND('Calibrare_Linii'!S15="VALIDATED",AND('Calibrare_Linii'!H15=C1359,ISNUMBER('Calibrare_Linii'!J15),'Calibrare_Linii'!J15&lt;='Input_Meci'!G102))),"OOS PENDING",IF(S1359&lt;='Calibrare_Linii'!E15,"PASS",IF(S1359&lt;='Calibrare_Linii'!F15,"PENALTY","WATCH"))))))</x:f>
      </x:c>
      <x:c r="X1359" s="2" t="str">
        <x:f>IF(M1359="","",IF(AND(AND(J1359="PASS",'Calibrare_Linii'!U15="VALID"),'Motor_Meciuri'!K102=12,'Motor_Meciuri'!L102=12,'Motor_Meciuri'!M102="NO",'Motor_Meciuri'!BL102='Motor_Meciuri'!C102,AB1359&gt;='Config_v6'!$B$50,AN1359&gt;='Config_v6'!$B$51,T1359&lt;='Config_v6'!$B$52,L1359&lt;='Config_v6'!$B$53,ISNUMBER('Calibrare_Linii'!E15),S1359&lt;='Calibrare_Linii'!E15,SUM(AK1359:AM1359)&gt;0),"CANDIDATE","NO"))</x:f>
      </x:c>
      <x:c r="Y1359" s="2" t="str">
        <x:f>IF(B1359="","",IF(I1359&lt;&gt;"READY","NOT RELEASED",IF(AND(X1359="CANDIDATE",V1359&gt;='Config_v6'!$B$51,W1359="PASS",'Calibrare_Linii'!T15="VALIDATED",AND('Calibrare_Linii'!H15=C1359,ISNUMBER('Calibrare_Linii'!J15),'Calibrare_Linii'!J15&lt;='Input_Meci'!G102)),"PASS",IF(X1359="CANDIDATE","OOS PENDING","FAIL"))))</x:f>
      </x:c>
      <x:c r="Z1359" s="2" t="str">
        <x:f>IF(B1359="","",IF(I1359&lt;&gt;"READY","",IF(OR(NOT(AND(J1359="PASS",'Calibrare_Linii'!U15="VALID")),L1359&gt;'Config_v6'!$B$13,W1359="WATCH"),5,IF(Y1359="PASS",1,MIN(5,MAX('Config_v6'!$B$42,U1359)+IF(W1359="PENALTY",1,0))))))</x:f>
      </x:c>
      <x:c r="AA1359" s="2" t="str">
        <x:f>IF(B1359="","",IF(I1359&lt;&gt;"READY","NOT RELEASED",IF(Z1359=5,"NO BET",IF(OR(AB1359&lt;'Config_v6'!$B$16,V1359&lt;'Config_v6'!$B$18),"WATCH",IF(Z1359=1,"DEFENSIV",IF(Z1359=2,"PRUDENT",IF(Z1359=3,"MODERAT","RIDICAT")))))))</x:f>
      </x:c>
      <x:c r="AB1359" s="10" t="str">
        <x:f>IF(N1359="","",MIN(N1359,1-S1359))</x:f>
      </x:c>
      <x:c r="AC1359" s="2" t="str">
        <x:f>IF(AD1359&lt;&gt;1,"",COUNTIFS($Z$1350:$Z$1363,"&lt;"&amp;Z1359,$AD$1350:$AD$1363,1)+COUNTIFS($Z$1350:$Z$1363,Z1359,$AB$1350:$AB$1363,"&gt;"&amp;AB1359,$AD$1350:$AD$1363,1)+COUNTIFS($Z$1350:$Z$1363,Z1359,$AB$1350:$AB$1363,AB1359,$V$1350:$V$1363,"&gt;"&amp;V1359,$AD$1350:$AD$1363,1)+COUNTIFS($Z$1350:Z1359,Z1359,$AB$1350:AB1359,AB1359,$V$1350:V1359,V1359,$AD$1350:AD1359,1))</x:f>
      </x:c>
      <x:c r="AD1359" s="2" t="n">
        <x:f>IF(OR(AA1359="DEFENSIV",AA1359="PRUDENT",AA1359="MODERAT",AA1359="RIDICAT"),1,0)</x:f>
        <x:v>0</x:v>
      </x:c>
      <x:c r="AE1359" s="2" t="str">
        <x:f>IF(AD1359&lt;&gt;1,"NO",IF(W1359="PASS","YES",IF(W1359="OOS PENDING","CONDITIONAL","NO")))</x:f>
        <x:v>NO</x:v>
      </x:c>
      <x:c r="AF1359" s="2" t="n">
        <x:f>IF(AND(AD1359=1,AC1359=1,E1359="LIVE"),1,0)</x:f>
        <x:v>0</x:v>
      </x:c>
      <x:c r="AG1359" s="2" t="str">
        <x:f>IF(AF1359&lt;&gt;1,"",'Dashboard'!P122)</x:f>
      </x:c>
      <x:c r="AH1359" s="2" t="str">
        <x:f>IF(B1359="","",IF(J1359&lt;&gt;"PASS",'Motor_Meciuri'!J102,IF('Calibrare_Linii'!U15&lt;&gt;"VALID","Parametri linie invalizi",IF(L1359&gt;'Config_v6'!$B$13,"Dispersie peste limita",IF(W1359="WATCH","Failure peste limita",IF(AB1359&lt;'Config_v6'!$B$16,"P finala sub prag",IF(V1359&lt;'Config_v6'!$B$18,"Confidence sub prag",IF(E1359="REPLAY","Exemplu retrospectiv; exclus din Top LIVE",IF(Y1359="PASS","DEFENSIV validat",IF(W1359="OOS PENDING","Eligibil; calibrare linie in monitorizare","Eligibil"))))))))))</x:f>
      </x:c>
      <x:c r="AI1359" s="2" t="str">
        <x:f>IF(B1359="","",'Calibrare_Linii'!V15)</x:f>
      </x:c>
      <x:c r="AJ1359" s="2" t="str">
        <x:f>IF(B1359="","",IF(AND('Calibrare_Linii'!T15="VALIDATED",AND('Calibrare_Linii'!H15=C1359,ISNUMBER('Calibrare_Linii'!J15),'Calibrare_Linii'!J15&lt;='Input_Meci'!G102)),"DEFENSIVE VALIDATED",IF(AND('Calibrare_Linii'!S15="VALIDATED",AND('Calibrare_Linii'!H15=C1359,ISNUMBER('Calibrare_Linii'!J15),'Calibrare_Linii'!J15&lt;='Input_Meci'!G102)),"TAIL VALIDATED","OOS PENDING")))</x:f>
      </x:c>
      <x:c r="AK1359" s="2" t="n">
        <x:f>IF(J1359&lt;&gt;"PASS",0,'Motor_Meciuri'!BR102)</x:f>
        <x:v>0</x:v>
      </x:c>
      <x:c r="AL1359" s="2" t="n">
        <x:f>IF(J1359&lt;&gt;"PASS",0,'Motor_Meciuri'!BS102)</x:f>
        <x:v>0</x:v>
      </x:c>
      <x:c r="AM1359" s="2" t="n">
        <x:f>IF(J1359&lt;&gt;"PASS",0,'Motor_Meciuri'!BT102)</x:f>
        <x:v>0</x:v>
      </x:c>
      <x:c r="AN1359" s="2" t="str">
        <x:f>IF(M1359="","",MAX(0,'Motor_Meciuri'!BF102-IF(L1359&gt;'Config_v6'!$B$12,'Config_v6'!$B$37,IF(L1359&gt;'Config_v6'!$B$11,'Config_v6'!$B$36,0))))</x:f>
      </x:c>
    </x:row>
    <x:row r="1360" ht="21" customHeight="1">
      <x:c r="A1360" s="2" t="n">
        <x:v>97</x:v>
      </x:c>
      <x:c r="B1360" s="2" t="str">
        <x:f>IF('Motor_Meciuri'!A102="","",'Motor_Meciuri'!A102)</x:f>
      </x:c>
      <x:c r="C1360" s="2" t="str">
        <x:f>IF(B1360="","",'Motor_Meciuri'!B102)</x:f>
      </x:c>
      <x:c r="D1360" s="2" t="str">
        <x:f>IF(B1360="","",'Motor_Meciuri'!D102)</x:f>
      </x:c>
      <x:c r="E1360" s="2" t="str">
        <x:f>IF(B1360="","",'Motor_Meciuri'!E102)</x:f>
      </x:c>
      <x:c r="F1360" s="2" t="str">
        <x:v>U14,5</x:v>
      </x:c>
      <x:c r="G1360" s="2" t="str">
        <x:v>UNDER</x:v>
      </x:c>
      <x:c r="H1360" s="2" t="n">
        <x:v>14</x:v>
      </x:c>
      <x:c r="I1360" s="2" t="str">
        <x:f>IF(B1360="","",'Motor_Meciuri'!H102)</x:f>
      </x:c>
      <x:c r="J1360" s="2" t="str">
        <x:f>IF(B1360="","",'Motor_Meciuri'!I102)</x:f>
      </x:c>
      <x:c r="K1360" s="11" t="str">
        <x:f>IF(J1360&lt;&gt;"PASS","",'Motor_Meciuri'!BD102)</x:f>
      </x:c>
      <x:c r="L1360" s="11" t="str">
        <x:f>IF(J1360&lt;&gt;"PASS","",'Motor_Meciuri'!AU102)</x:f>
      </x:c>
      <x:c r="M1360" s="10" t="str">
        <x:f>IF(NOT(AND(J1360="PASS",'Calibrare_Linii'!U16="VALID")),"",'Distributie'!AL102)</x:f>
      </x:c>
      <x:c r="N1360" s="10" t="str">
        <x:f>IF(M1360="","",MAX(0.01,MIN(0.99,0.5+(M1360-0.5)*'Motor_Meciuri'!BG102*'Calibrare_Linii'!D16)))</x:f>
      </x:c>
      <x:c r="O1360" s="10" t="str">
        <x:f>IF(M1360="","",1-M1360)</x:f>
      </x:c>
      <x:c r="P1360" s="10" t="str">
        <x:f>IF(OR(NOT(AND(J1360="PASS",'Calibrare_Linii'!U16="VALID")),AK1360=0),""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*('Istoric_Nativ'!$Q$6:$Q$405&gt;H1360))/AK1360)</x:f>
      </x:c>
      <x:c r="Q1360" s="10" t="str">
        <x:f>IF(OR(NOT(AND(J1360="PASS",'Calibrare_Linii'!U16="VALID")),AL1360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M102)+((('Istoric_Nativ'!$E$6:$E$405='Input_Meci'!E102)+('Istoric_Nativ'!$F$6:$F$405='Input_Meci'!E102))&gt;0)*('Istoric_Nativ'!$D$6:$D$405&gt;='Motor_Meciuri'!BN102))&gt;0)*('Istoric_Nativ'!$Q$6:$Q$405&gt;H1360))/AL1360)</x:f>
      </x:c>
      <x:c r="R1360" s="10" t="str">
        <x:f>IF(OR(NOT(AND(J1360="PASS",'Calibrare_Linii'!U16="VALID")),AM1360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O102)+((('Istoric_Nativ'!$E$6:$E$405='Input_Meci'!E102)+('Istoric_Nativ'!$F$6:$F$405='Input_Meci'!E102))&gt;0)*('Istoric_Nativ'!$D$6:$D$405&gt;='Motor_Meciuri'!BP102))&gt;0)*('Istoric_Nativ'!$Q$6:$Q$405&gt;H1360))/AM1360)</x:f>
      </x:c>
      <x:c r="S1360" s="10" t="str">
        <x:f>IF(M1360="","",MAX(O1360,P1360,Q1360,R1360))</x:f>
      </x:c>
      <x:c r="T1360" s="11" t="str">
        <x:f>IF(M1360="","",MIN(100,S1360*100*'Config_v6'!$B$44+MIN(100,L1360/'Config_v6'!$B$13*100)*'Config_v6'!$B$45+(100-'Motor_Meciuri'!BF102)*'Config_v6'!$B$46+'Motor_Meciuri'!BH102*100*'Config_v6'!$B$47))</x:f>
      </x:c>
      <x:c r="U1360" s="2" t="str">
        <x:f>IF(T1360="","",IF(T1360&lt;=20,1,IF(T1360&lt;=40,2,IF(T1360&lt;=60,3,IF(T1360&lt;=80,4,5)))))</x:f>
      </x:c>
      <x:c r="V1360" s="2" t="str">
        <x:f>IF(M1360="","",MAX(0,'Motor_Meciuri'!BF102-IF(W1360="OOS PENDING",'Config_v6'!$B$35,0)-IF(L1360&gt;'Config_v6'!$B$12,'Config_v6'!$B$37,IF(L1360&gt;'Config_v6'!$B$11,'Config_v6'!$B$36,0))))</x:f>
      </x:c>
      <x:c r="W1360" s="2" t="str">
        <x:f>IF(B1360="","",IF(I1360&lt;&gt;"READY","NOT RELEASED",IF(NOT(AND(J1360="PASS",'Calibrare_Linii'!U16="VALID")),"INVALID",IF(NOT(AND('Calibrare_Linii'!S16="VALIDATED",AND('Calibrare_Linii'!H16=C1360,ISNUMBER('Calibrare_Linii'!J16),'Calibrare_Linii'!J16&lt;='Input_Meci'!G102))),"OOS PENDING",IF(S1360&lt;='Calibrare_Linii'!E16,"PASS",IF(S1360&lt;='Calibrare_Linii'!F16,"PENALTY","WATCH"))))))</x:f>
      </x:c>
      <x:c r="X1360" s="2" t="str">
        <x:f>IF(M1360="","",IF(AND(AND(J1360="PASS",'Calibrare_Linii'!U16="VALID"),'Motor_Meciuri'!K102=12,'Motor_Meciuri'!L102=12,'Motor_Meciuri'!M102="NO",'Motor_Meciuri'!BL102='Motor_Meciuri'!C102,AB1360&gt;='Config_v6'!$B$50,AN1360&gt;='Config_v6'!$B$51,T1360&lt;='Config_v6'!$B$52,L1360&lt;='Config_v6'!$B$53,ISNUMBER('Calibrare_Linii'!E16),S1360&lt;='Calibrare_Linii'!E16,SUM(AK1360:AM1360)&gt;0),"CANDIDATE","NO"))</x:f>
      </x:c>
      <x:c r="Y1360" s="2" t="str">
        <x:f>IF(B1360="","",IF(I1360&lt;&gt;"READY","NOT RELEASED",IF(AND(X1360="CANDIDATE",V1360&gt;='Config_v6'!$B$51,W1360="PASS",'Calibrare_Linii'!T16="VALIDATED",AND('Calibrare_Linii'!H16=C1360,ISNUMBER('Calibrare_Linii'!J16),'Calibrare_Linii'!J16&lt;='Input_Meci'!G102)),"PASS",IF(X1360="CANDIDATE","OOS PENDING","FAIL"))))</x:f>
      </x:c>
      <x:c r="Z1360" s="2" t="str">
        <x:f>IF(B1360="","",IF(I1360&lt;&gt;"READY","",IF(OR(NOT(AND(J1360="PASS",'Calibrare_Linii'!U16="VALID")),L1360&gt;'Config_v6'!$B$13,W1360="WATCH"),5,IF(Y1360="PASS",1,MIN(5,MAX('Config_v6'!$B$42,U1360)+IF(W1360="PENALTY",1,0))))))</x:f>
      </x:c>
      <x:c r="AA1360" s="2" t="str">
        <x:f>IF(B1360="","",IF(I1360&lt;&gt;"READY","NOT RELEASED",IF(Z1360=5,"NO BET",IF(OR(AB1360&lt;'Config_v6'!$B$16,V1360&lt;'Config_v6'!$B$18),"WATCH",IF(Z1360=1,"DEFENSIV",IF(Z1360=2,"PRUDENT",IF(Z1360=3,"MODERAT","RIDICAT")))))))</x:f>
      </x:c>
      <x:c r="AB1360" s="10" t="str">
        <x:f>IF(N1360="","",MIN(N1360,1-S1360))</x:f>
      </x:c>
      <x:c r="AC1360" s="2" t="str">
        <x:f>IF(AD1360&lt;&gt;1,"",COUNTIFS($Z$1350:$Z$1363,"&lt;"&amp;Z1360,$AD$1350:$AD$1363,1)+COUNTIFS($Z$1350:$Z$1363,Z1360,$AB$1350:$AB$1363,"&gt;"&amp;AB1360,$AD$1350:$AD$1363,1)+COUNTIFS($Z$1350:$Z$1363,Z1360,$AB$1350:$AB$1363,AB1360,$V$1350:$V$1363,"&gt;"&amp;V1360,$AD$1350:$AD$1363,1)+COUNTIFS($Z$1350:Z1360,Z1360,$AB$1350:AB1360,AB1360,$V$1350:V1360,V1360,$AD$1350:AD1360,1))</x:f>
      </x:c>
      <x:c r="AD1360" s="2" t="n">
        <x:f>IF(OR(AA1360="DEFENSIV",AA1360="PRUDENT",AA1360="MODERAT",AA1360="RIDICAT"),1,0)</x:f>
        <x:v>0</x:v>
      </x:c>
      <x:c r="AE1360" s="2" t="str">
        <x:f>IF(AD1360&lt;&gt;1,"NO",IF(W1360="PASS","YES",IF(W1360="OOS PENDING","CONDITIONAL","NO")))</x:f>
        <x:v>NO</x:v>
      </x:c>
      <x:c r="AF1360" s="2" t="n">
        <x:f>IF(AND(AD1360=1,AC1360=1,E1360="LIVE"),1,0)</x:f>
        <x:v>0</x:v>
      </x:c>
      <x:c r="AG1360" s="2" t="str">
        <x:f>IF(AF1360&lt;&gt;1,"",'Dashboard'!P122)</x:f>
      </x:c>
      <x:c r="AH1360" s="2" t="str">
        <x:f>IF(B1360="","",IF(J1360&lt;&gt;"PASS",'Motor_Meciuri'!J102,IF('Calibrare_Linii'!U16&lt;&gt;"VALID","Parametri linie invalizi",IF(L1360&gt;'Config_v6'!$B$13,"Dispersie peste limita",IF(W1360="WATCH","Failure peste limita",IF(AB1360&lt;'Config_v6'!$B$16,"P finala sub prag",IF(V1360&lt;'Config_v6'!$B$18,"Confidence sub prag",IF(E1360="REPLAY","Exemplu retrospectiv; exclus din Top LIVE",IF(Y1360="PASS","DEFENSIV validat",IF(W1360="OOS PENDING","Eligibil; calibrare linie in monitorizare","Eligibil"))))))))))</x:f>
      </x:c>
      <x:c r="AI1360" s="2" t="str">
        <x:f>IF(B1360="","",'Calibrare_Linii'!V16)</x:f>
      </x:c>
      <x:c r="AJ1360" s="2" t="str">
        <x:f>IF(B1360="","",IF(AND('Calibrare_Linii'!T16="VALIDATED",AND('Calibrare_Linii'!H16=C1360,ISNUMBER('Calibrare_Linii'!J16),'Calibrare_Linii'!J16&lt;='Input_Meci'!G102)),"DEFENSIVE VALIDATED",IF(AND('Calibrare_Linii'!S16="VALIDATED",AND('Calibrare_Linii'!H16=C1360,ISNUMBER('Calibrare_Linii'!J16),'Calibrare_Linii'!J16&lt;='Input_Meci'!G102)),"TAIL VALIDATED","OOS PENDING")))</x:f>
      </x:c>
      <x:c r="AK1360" s="2" t="n">
        <x:f>IF(J1360&lt;&gt;"PASS",0,'Motor_Meciuri'!BR102)</x:f>
        <x:v>0</x:v>
      </x:c>
      <x:c r="AL1360" s="2" t="n">
        <x:f>IF(J1360&lt;&gt;"PASS",0,'Motor_Meciuri'!BS102)</x:f>
        <x:v>0</x:v>
      </x:c>
      <x:c r="AM1360" s="2" t="n">
        <x:f>IF(J1360&lt;&gt;"PASS",0,'Motor_Meciuri'!BT102)</x:f>
        <x:v>0</x:v>
      </x:c>
      <x:c r="AN1360" s="2" t="str">
        <x:f>IF(M1360="","",MAX(0,'Motor_Meciuri'!BF102-IF(L1360&gt;'Config_v6'!$B$12,'Config_v6'!$B$37,IF(L1360&gt;'Config_v6'!$B$11,'Config_v6'!$B$36,0))))</x:f>
      </x:c>
    </x:row>
    <x:row r="1361" ht="21" customHeight="1">
      <x:c r="A1361" s="2" t="n">
        <x:v>97</x:v>
      </x:c>
      <x:c r="B1361" s="2" t="str">
        <x:f>IF('Motor_Meciuri'!A102="","",'Motor_Meciuri'!A102)</x:f>
      </x:c>
      <x:c r="C1361" s="2" t="str">
        <x:f>IF(B1361="","",'Motor_Meciuri'!B102)</x:f>
      </x:c>
      <x:c r="D1361" s="2" t="str">
        <x:f>IF(B1361="","",'Motor_Meciuri'!D102)</x:f>
      </x:c>
      <x:c r="E1361" s="2" t="str">
        <x:f>IF(B1361="","",'Motor_Meciuri'!E102)</x:f>
      </x:c>
      <x:c r="F1361" s="2" t="str">
        <x:v>U15,5</x:v>
      </x:c>
      <x:c r="G1361" s="2" t="str">
        <x:v>UNDER</x:v>
      </x:c>
      <x:c r="H1361" s="2" t="n">
        <x:v>15</x:v>
      </x:c>
      <x:c r="I1361" s="2" t="str">
        <x:f>IF(B1361="","",'Motor_Meciuri'!H102)</x:f>
      </x:c>
      <x:c r="J1361" s="2" t="str">
        <x:f>IF(B1361="","",'Motor_Meciuri'!I102)</x:f>
      </x:c>
      <x:c r="K1361" s="11" t="str">
        <x:f>IF(J1361&lt;&gt;"PASS","",'Motor_Meciuri'!BD102)</x:f>
      </x:c>
      <x:c r="L1361" s="11" t="str">
        <x:f>IF(J1361&lt;&gt;"PASS","",'Motor_Meciuri'!AU102)</x:f>
      </x:c>
      <x:c r="M1361" s="10" t="str">
        <x:f>IF(NOT(AND(J1361="PASS",'Calibrare_Linii'!U17="VALID")),"",'Distributie'!AM102)</x:f>
      </x:c>
      <x:c r="N1361" s="10" t="str">
        <x:f>IF(M1361="","",MAX(0.01,MIN(0.99,0.5+(M1361-0.5)*'Motor_Meciuri'!BG102*'Calibrare_Linii'!D17)))</x:f>
      </x:c>
      <x:c r="O1361" s="10" t="str">
        <x:f>IF(M1361="","",1-M1361)</x:f>
      </x:c>
      <x:c r="P1361" s="10" t="str">
        <x:f>IF(OR(NOT(AND(J1361="PASS",'Calibrare_Linii'!U17="VALID")),AK1361=0),""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*('Istoric_Nativ'!$Q$6:$Q$405&gt;H1361))/AK1361)</x:f>
      </x:c>
      <x:c r="Q1361" s="10" t="str">
        <x:f>IF(OR(NOT(AND(J1361="PASS",'Calibrare_Linii'!U17="VALID")),AL1361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M102)+((('Istoric_Nativ'!$E$6:$E$405='Input_Meci'!E102)+('Istoric_Nativ'!$F$6:$F$405='Input_Meci'!E102))&gt;0)*('Istoric_Nativ'!$D$6:$D$405&gt;='Motor_Meciuri'!BN102))&gt;0)*('Istoric_Nativ'!$Q$6:$Q$405&gt;H1361))/AL1361)</x:f>
      </x:c>
      <x:c r="R1361" s="10" t="str">
        <x:f>IF(OR(NOT(AND(J1361="PASS",'Calibrare_Linii'!U17="VALID")),AM1361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O102)+((('Istoric_Nativ'!$E$6:$E$405='Input_Meci'!E102)+('Istoric_Nativ'!$F$6:$F$405='Input_Meci'!E102))&gt;0)*('Istoric_Nativ'!$D$6:$D$405&gt;='Motor_Meciuri'!BP102))&gt;0)*('Istoric_Nativ'!$Q$6:$Q$405&gt;H1361))/AM1361)</x:f>
      </x:c>
      <x:c r="S1361" s="10" t="str">
        <x:f>IF(M1361="","",MAX(O1361,P1361,Q1361,R1361))</x:f>
      </x:c>
      <x:c r="T1361" s="11" t="str">
        <x:f>IF(M1361="","",MIN(100,S1361*100*'Config_v6'!$B$44+MIN(100,L1361/'Config_v6'!$B$13*100)*'Config_v6'!$B$45+(100-'Motor_Meciuri'!BF102)*'Config_v6'!$B$46+'Motor_Meciuri'!BH102*100*'Config_v6'!$B$47))</x:f>
      </x:c>
      <x:c r="U1361" s="2" t="str">
        <x:f>IF(T1361="","",IF(T1361&lt;=20,1,IF(T1361&lt;=40,2,IF(T1361&lt;=60,3,IF(T1361&lt;=80,4,5)))))</x:f>
      </x:c>
      <x:c r="V1361" s="2" t="str">
        <x:f>IF(M1361="","",MAX(0,'Motor_Meciuri'!BF102-IF(W1361="OOS PENDING",'Config_v6'!$B$35,0)-IF(L1361&gt;'Config_v6'!$B$12,'Config_v6'!$B$37,IF(L1361&gt;'Config_v6'!$B$11,'Config_v6'!$B$36,0))))</x:f>
      </x:c>
      <x:c r="W1361" s="2" t="str">
        <x:f>IF(B1361="","",IF(I1361&lt;&gt;"READY","NOT RELEASED",IF(NOT(AND(J1361="PASS",'Calibrare_Linii'!U17="VALID")),"INVALID",IF(NOT(AND('Calibrare_Linii'!S17="VALIDATED",AND('Calibrare_Linii'!H17=C1361,ISNUMBER('Calibrare_Linii'!J17),'Calibrare_Linii'!J17&lt;='Input_Meci'!G102))),"OOS PENDING",IF(S1361&lt;='Calibrare_Linii'!E17,"PASS",IF(S1361&lt;='Calibrare_Linii'!F17,"PENALTY","WATCH"))))))</x:f>
      </x:c>
      <x:c r="X1361" s="2" t="str">
        <x:f>IF(M1361="","",IF(AND(AND(J1361="PASS",'Calibrare_Linii'!U17="VALID"),'Motor_Meciuri'!K102=12,'Motor_Meciuri'!L102=12,'Motor_Meciuri'!M102="NO",'Motor_Meciuri'!BL102='Motor_Meciuri'!C102,AB1361&gt;='Config_v6'!$B$50,AN1361&gt;='Config_v6'!$B$51,T1361&lt;='Config_v6'!$B$52,L1361&lt;='Config_v6'!$B$53,ISNUMBER('Calibrare_Linii'!E17),S1361&lt;='Calibrare_Linii'!E17,SUM(AK1361:AM1361)&gt;0),"CANDIDATE","NO"))</x:f>
      </x:c>
      <x:c r="Y1361" s="2" t="str">
        <x:f>IF(B1361="","",IF(I1361&lt;&gt;"READY","NOT RELEASED",IF(AND(X1361="CANDIDATE",V1361&gt;='Config_v6'!$B$51,W1361="PASS",'Calibrare_Linii'!T17="VALIDATED",AND('Calibrare_Linii'!H17=C1361,ISNUMBER('Calibrare_Linii'!J17),'Calibrare_Linii'!J17&lt;='Input_Meci'!G102)),"PASS",IF(X1361="CANDIDATE","OOS PENDING","FAIL"))))</x:f>
      </x:c>
      <x:c r="Z1361" s="2" t="str">
        <x:f>IF(B1361="","",IF(I1361&lt;&gt;"READY","",IF(OR(NOT(AND(J1361="PASS",'Calibrare_Linii'!U17="VALID")),L1361&gt;'Config_v6'!$B$13,W1361="WATCH"),5,IF(Y1361="PASS",1,MIN(5,MAX('Config_v6'!$B$42,U1361)+IF(W1361="PENALTY",1,0))))))</x:f>
      </x:c>
      <x:c r="AA1361" s="2" t="str">
        <x:f>IF(B1361="","",IF(I1361&lt;&gt;"READY","NOT RELEASED",IF(Z1361=5,"NO BET",IF(OR(AB1361&lt;'Config_v6'!$B$16,V1361&lt;'Config_v6'!$B$18),"WATCH",IF(Z1361=1,"DEFENSIV",IF(Z1361=2,"PRUDENT",IF(Z1361=3,"MODERAT","RIDICAT")))))))</x:f>
      </x:c>
      <x:c r="AB1361" s="10" t="str">
        <x:f>IF(N1361="","",MIN(N1361,1-S1361))</x:f>
      </x:c>
      <x:c r="AC1361" s="2" t="str">
        <x:f>IF(AD1361&lt;&gt;1,"",COUNTIFS($Z$1350:$Z$1363,"&lt;"&amp;Z1361,$AD$1350:$AD$1363,1)+COUNTIFS($Z$1350:$Z$1363,Z1361,$AB$1350:$AB$1363,"&gt;"&amp;AB1361,$AD$1350:$AD$1363,1)+COUNTIFS($Z$1350:$Z$1363,Z1361,$AB$1350:$AB$1363,AB1361,$V$1350:$V$1363,"&gt;"&amp;V1361,$AD$1350:$AD$1363,1)+COUNTIFS($Z$1350:Z1361,Z1361,$AB$1350:AB1361,AB1361,$V$1350:V1361,V1361,$AD$1350:AD1361,1))</x:f>
      </x:c>
      <x:c r="AD1361" s="2" t="n">
        <x:f>IF(OR(AA1361="DEFENSIV",AA1361="PRUDENT",AA1361="MODERAT",AA1361="RIDICAT"),1,0)</x:f>
        <x:v>0</x:v>
      </x:c>
      <x:c r="AE1361" s="2" t="str">
        <x:f>IF(AD1361&lt;&gt;1,"NO",IF(W1361="PASS","YES",IF(W1361="OOS PENDING","CONDITIONAL","NO")))</x:f>
        <x:v>NO</x:v>
      </x:c>
      <x:c r="AF1361" s="2" t="n">
        <x:f>IF(AND(AD1361=1,AC1361=1,E1361="LIVE"),1,0)</x:f>
        <x:v>0</x:v>
      </x:c>
      <x:c r="AG1361" s="2" t="str">
        <x:f>IF(AF1361&lt;&gt;1,"",'Dashboard'!P122)</x:f>
      </x:c>
      <x:c r="AH1361" s="2" t="str">
        <x:f>IF(B1361="","",IF(J1361&lt;&gt;"PASS",'Motor_Meciuri'!J102,IF('Calibrare_Linii'!U17&lt;&gt;"VALID","Parametri linie invalizi",IF(L1361&gt;'Config_v6'!$B$13,"Dispersie peste limita",IF(W1361="WATCH","Failure peste limita",IF(AB1361&lt;'Config_v6'!$B$16,"P finala sub prag",IF(V1361&lt;'Config_v6'!$B$18,"Confidence sub prag",IF(E1361="REPLAY","Exemplu retrospectiv; exclus din Top LIVE",IF(Y1361="PASS","DEFENSIV validat",IF(W1361="OOS PENDING","Eligibil; calibrare linie in monitorizare","Eligibil"))))))))))</x:f>
      </x:c>
      <x:c r="AI1361" s="2" t="str">
        <x:f>IF(B1361="","",'Calibrare_Linii'!V17)</x:f>
      </x:c>
      <x:c r="AJ1361" s="2" t="str">
        <x:f>IF(B1361="","",IF(AND('Calibrare_Linii'!T17="VALIDATED",AND('Calibrare_Linii'!H17=C1361,ISNUMBER('Calibrare_Linii'!J17),'Calibrare_Linii'!J17&lt;='Input_Meci'!G102)),"DEFENSIVE VALIDATED",IF(AND('Calibrare_Linii'!S17="VALIDATED",AND('Calibrare_Linii'!H17=C1361,ISNUMBER('Calibrare_Linii'!J17),'Calibrare_Linii'!J17&lt;='Input_Meci'!G102)),"TAIL VALIDATED","OOS PENDING")))</x:f>
      </x:c>
      <x:c r="AK1361" s="2" t="n">
        <x:f>IF(J1361&lt;&gt;"PASS",0,'Motor_Meciuri'!BR102)</x:f>
        <x:v>0</x:v>
      </x:c>
      <x:c r="AL1361" s="2" t="n">
        <x:f>IF(J1361&lt;&gt;"PASS",0,'Motor_Meciuri'!BS102)</x:f>
        <x:v>0</x:v>
      </x:c>
      <x:c r="AM1361" s="2" t="n">
        <x:f>IF(J1361&lt;&gt;"PASS",0,'Motor_Meciuri'!BT102)</x:f>
        <x:v>0</x:v>
      </x:c>
      <x:c r="AN1361" s="2" t="str">
        <x:f>IF(M1361="","",MAX(0,'Motor_Meciuri'!BF102-IF(L1361&gt;'Config_v6'!$B$12,'Config_v6'!$B$37,IF(L1361&gt;'Config_v6'!$B$11,'Config_v6'!$B$36,0))))</x:f>
      </x:c>
    </x:row>
    <x:row r="1362" ht="21" customHeight="1">
      <x:c r="A1362" s="2" t="n">
        <x:v>97</x:v>
      </x:c>
      <x:c r="B1362" s="2" t="str">
        <x:f>IF('Motor_Meciuri'!A102="","",'Motor_Meciuri'!A102)</x:f>
      </x:c>
      <x:c r="C1362" s="2" t="str">
        <x:f>IF(B1362="","",'Motor_Meciuri'!B102)</x:f>
      </x:c>
      <x:c r="D1362" s="2" t="str">
        <x:f>IF(B1362="","",'Motor_Meciuri'!D102)</x:f>
      </x:c>
      <x:c r="E1362" s="2" t="str">
        <x:f>IF(B1362="","",'Motor_Meciuri'!E102)</x:f>
      </x:c>
      <x:c r="F1362" s="2" t="str">
        <x:v>U16,5</x:v>
      </x:c>
      <x:c r="G1362" s="2" t="str">
        <x:v>UNDER</x:v>
      </x:c>
      <x:c r="H1362" s="2" t="n">
        <x:v>16</x:v>
      </x:c>
      <x:c r="I1362" s="2" t="str">
        <x:f>IF(B1362="","",'Motor_Meciuri'!H102)</x:f>
      </x:c>
      <x:c r="J1362" s="2" t="str">
        <x:f>IF(B1362="","",'Motor_Meciuri'!I102)</x:f>
      </x:c>
      <x:c r="K1362" s="11" t="str">
        <x:f>IF(J1362&lt;&gt;"PASS","",'Motor_Meciuri'!BD102)</x:f>
      </x:c>
      <x:c r="L1362" s="11" t="str">
        <x:f>IF(J1362&lt;&gt;"PASS","",'Motor_Meciuri'!AU102)</x:f>
      </x:c>
      <x:c r="M1362" s="10" t="str">
        <x:f>IF(NOT(AND(J1362="PASS",'Calibrare_Linii'!U18="VALID")),"",'Distributie'!AN102)</x:f>
      </x:c>
      <x:c r="N1362" s="10" t="str">
        <x:f>IF(M1362="","",MAX(0.01,MIN(0.99,0.5+(M1362-0.5)*'Motor_Meciuri'!BG102*'Calibrare_Linii'!D18)))</x:f>
      </x:c>
      <x:c r="O1362" s="10" t="str">
        <x:f>IF(M1362="","",1-M1362)</x:f>
      </x:c>
      <x:c r="P1362" s="10" t="str">
        <x:f>IF(OR(NOT(AND(J1362="PASS",'Calibrare_Linii'!U18="VALID")),AK1362=0),""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*('Istoric_Nativ'!$Q$6:$Q$405&gt;H1362))/AK1362)</x:f>
      </x:c>
      <x:c r="Q1362" s="10" t="str">
        <x:f>IF(OR(NOT(AND(J1362="PASS",'Calibrare_Linii'!U18="VALID")),AL1362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M102)+((('Istoric_Nativ'!$E$6:$E$405='Input_Meci'!E102)+('Istoric_Nativ'!$F$6:$F$405='Input_Meci'!E102))&gt;0)*('Istoric_Nativ'!$D$6:$D$405&gt;='Motor_Meciuri'!BN102))&gt;0)*('Istoric_Nativ'!$Q$6:$Q$405&gt;H1362))/AL1362)</x:f>
      </x:c>
      <x:c r="R1362" s="10" t="str">
        <x:f>IF(OR(NOT(AND(J1362="PASS",'Calibrare_Linii'!U18="VALID")),AM1362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O102)+((('Istoric_Nativ'!$E$6:$E$405='Input_Meci'!E102)+('Istoric_Nativ'!$F$6:$F$405='Input_Meci'!E102))&gt;0)*('Istoric_Nativ'!$D$6:$D$405&gt;='Motor_Meciuri'!BP102))&gt;0)*('Istoric_Nativ'!$Q$6:$Q$405&gt;H1362))/AM1362)</x:f>
      </x:c>
      <x:c r="S1362" s="10" t="str">
        <x:f>IF(M1362="","",MAX(O1362,P1362,Q1362,R1362))</x:f>
      </x:c>
      <x:c r="T1362" s="11" t="str">
        <x:f>IF(M1362="","",MIN(100,S1362*100*'Config_v6'!$B$44+MIN(100,L1362/'Config_v6'!$B$13*100)*'Config_v6'!$B$45+(100-'Motor_Meciuri'!BF102)*'Config_v6'!$B$46+'Motor_Meciuri'!BH102*100*'Config_v6'!$B$47))</x:f>
      </x:c>
      <x:c r="U1362" s="2" t="str">
        <x:f>IF(T1362="","",IF(T1362&lt;=20,1,IF(T1362&lt;=40,2,IF(T1362&lt;=60,3,IF(T1362&lt;=80,4,5)))))</x:f>
      </x:c>
      <x:c r="V1362" s="2" t="str">
        <x:f>IF(M1362="","",MAX(0,'Motor_Meciuri'!BF102-IF(W1362="OOS PENDING",'Config_v6'!$B$35,0)-IF(L1362&gt;'Config_v6'!$B$12,'Config_v6'!$B$37,IF(L1362&gt;'Config_v6'!$B$11,'Config_v6'!$B$36,0))))</x:f>
      </x:c>
      <x:c r="W1362" s="2" t="str">
        <x:f>IF(B1362="","",IF(I1362&lt;&gt;"READY","NOT RELEASED",IF(NOT(AND(J1362="PASS",'Calibrare_Linii'!U18="VALID")),"INVALID",IF(NOT(AND('Calibrare_Linii'!S18="VALIDATED",AND('Calibrare_Linii'!H18=C1362,ISNUMBER('Calibrare_Linii'!J18),'Calibrare_Linii'!J18&lt;='Input_Meci'!G102))),"OOS PENDING",IF(S1362&lt;='Calibrare_Linii'!E18,"PASS",IF(S1362&lt;='Calibrare_Linii'!F18,"PENALTY","WATCH"))))))</x:f>
      </x:c>
      <x:c r="X1362" s="2" t="str">
        <x:f>IF(M1362="","",IF(AND(AND(J1362="PASS",'Calibrare_Linii'!U18="VALID"),'Motor_Meciuri'!K102=12,'Motor_Meciuri'!L102=12,'Motor_Meciuri'!M102="NO",'Motor_Meciuri'!BL102='Motor_Meciuri'!C102,AB1362&gt;='Config_v6'!$B$50,AN1362&gt;='Config_v6'!$B$51,T1362&lt;='Config_v6'!$B$52,L1362&lt;='Config_v6'!$B$53,ISNUMBER('Calibrare_Linii'!E18),S1362&lt;='Calibrare_Linii'!E18,SUM(AK1362:AM1362)&gt;0),"CANDIDATE","NO"))</x:f>
      </x:c>
      <x:c r="Y1362" s="2" t="str">
        <x:f>IF(B1362="","",IF(I1362&lt;&gt;"READY","NOT RELEASED",IF(AND(X1362="CANDIDATE",V1362&gt;='Config_v6'!$B$51,W1362="PASS",'Calibrare_Linii'!T18="VALIDATED",AND('Calibrare_Linii'!H18=C1362,ISNUMBER('Calibrare_Linii'!J18),'Calibrare_Linii'!J18&lt;='Input_Meci'!G102)),"PASS",IF(X1362="CANDIDATE","OOS PENDING","FAIL"))))</x:f>
      </x:c>
      <x:c r="Z1362" s="2" t="str">
        <x:f>IF(B1362="","",IF(I1362&lt;&gt;"READY","",IF(OR(NOT(AND(J1362="PASS",'Calibrare_Linii'!U18="VALID")),L1362&gt;'Config_v6'!$B$13,W1362="WATCH"),5,IF(Y1362="PASS",1,MIN(5,MAX('Config_v6'!$B$42,U1362)+IF(W1362="PENALTY",1,0))))))</x:f>
      </x:c>
      <x:c r="AA1362" s="2" t="str">
        <x:f>IF(B1362="","",IF(I1362&lt;&gt;"READY","NOT RELEASED",IF(Z1362=5,"NO BET",IF(OR(AB1362&lt;'Config_v6'!$B$16,V1362&lt;'Config_v6'!$B$18),"WATCH",IF(Z1362=1,"DEFENSIV",IF(Z1362=2,"PRUDENT",IF(Z1362=3,"MODERAT","RIDICAT")))))))</x:f>
      </x:c>
      <x:c r="AB1362" s="10" t="str">
        <x:f>IF(N1362="","",MIN(N1362,1-S1362))</x:f>
      </x:c>
      <x:c r="AC1362" s="2" t="str">
        <x:f>IF(AD1362&lt;&gt;1,"",COUNTIFS($Z$1350:$Z$1363,"&lt;"&amp;Z1362,$AD$1350:$AD$1363,1)+COUNTIFS($Z$1350:$Z$1363,Z1362,$AB$1350:$AB$1363,"&gt;"&amp;AB1362,$AD$1350:$AD$1363,1)+COUNTIFS($Z$1350:$Z$1363,Z1362,$AB$1350:$AB$1363,AB1362,$V$1350:$V$1363,"&gt;"&amp;V1362,$AD$1350:$AD$1363,1)+COUNTIFS($Z$1350:Z1362,Z1362,$AB$1350:AB1362,AB1362,$V$1350:V1362,V1362,$AD$1350:AD1362,1))</x:f>
      </x:c>
      <x:c r="AD1362" s="2" t="n">
        <x:f>IF(OR(AA1362="DEFENSIV",AA1362="PRUDENT",AA1362="MODERAT",AA1362="RIDICAT"),1,0)</x:f>
        <x:v>0</x:v>
      </x:c>
      <x:c r="AE1362" s="2" t="str">
        <x:f>IF(AD1362&lt;&gt;1,"NO",IF(W1362="PASS","YES",IF(W1362="OOS PENDING","CONDITIONAL","NO")))</x:f>
        <x:v>NO</x:v>
      </x:c>
      <x:c r="AF1362" s="2" t="n">
        <x:f>IF(AND(AD1362=1,AC1362=1,E1362="LIVE"),1,0)</x:f>
        <x:v>0</x:v>
      </x:c>
      <x:c r="AG1362" s="2" t="str">
        <x:f>IF(AF1362&lt;&gt;1,"",'Dashboard'!P122)</x:f>
      </x:c>
      <x:c r="AH1362" s="2" t="str">
        <x:f>IF(B1362="","",IF(J1362&lt;&gt;"PASS",'Motor_Meciuri'!J102,IF('Calibrare_Linii'!U18&lt;&gt;"VALID","Parametri linie invalizi",IF(L1362&gt;'Config_v6'!$B$13,"Dispersie peste limita",IF(W1362="WATCH","Failure peste limita",IF(AB1362&lt;'Config_v6'!$B$16,"P finala sub prag",IF(V1362&lt;'Config_v6'!$B$18,"Confidence sub prag",IF(E1362="REPLAY","Exemplu retrospectiv; exclus din Top LIVE",IF(Y1362="PASS","DEFENSIV validat",IF(W1362="OOS PENDING","Eligibil; calibrare linie in monitorizare","Eligibil"))))))))))</x:f>
      </x:c>
      <x:c r="AI1362" s="2" t="str">
        <x:f>IF(B1362="","",'Calibrare_Linii'!V18)</x:f>
      </x:c>
      <x:c r="AJ1362" s="2" t="str">
        <x:f>IF(B1362="","",IF(AND('Calibrare_Linii'!T18="VALIDATED",AND('Calibrare_Linii'!H18=C1362,ISNUMBER('Calibrare_Linii'!J18),'Calibrare_Linii'!J18&lt;='Input_Meci'!G102)),"DEFENSIVE VALIDATED",IF(AND('Calibrare_Linii'!S18="VALIDATED",AND('Calibrare_Linii'!H18=C1362,ISNUMBER('Calibrare_Linii'!J18),'Calibrare_Linii'!J18&lt;='Input_Meci'!G102)),"TAIL VALIDATED","OOS PENDING")))</x:f>
      </x:c>
      <x:c r="AK1362" s="2" t="n">
        <x:f>IF(J1362&lt;&gt;"PASS",0,'Motor_Meciuri'!BR102)</x:f>
        <x:v>0</x:v>
      </x:c>
      <x:c r="AL1362" s="2" t="n">
        <x:f>IF(J1362&lt;&gt;"PASS",0,'Motor_Meciuri'!BS102)</x:f>
        <x:v>0</x:v>
      </x:c>
      <x:c r="AM1362" s="2" t="n">
        <x:f>IF(J1362&lt;&gt;"PASS",0,'Motor_Meciuri'!BT102)</x:f>
        <x:v>0</x:v>
      </x:c>
      <x:c r="AN1362" s="2" t="str">
        <x:f>IF(M1362="","",MAX(0,'Motor_Meciuri'!BF102-IF(L1362&gt;'Config_v6'!$B$12,'Config_v6'!$B$37,IF(L1362&gt;'Config_v6'!$B$11,'Config_v6'!$B$36,0))))</x:f>
      </x:c>
    </x:row>
    <x:row r="1363" ht="21" customHeight="1">
      <x:c r="A1363" s="2" t="n">
        <x:v>97</x:v>
      </x:c>
      <x:c r="B1363" s="2" t="str">
        <x:f>IF('Motor_Meciuri'!A102="","",'Motor_Meciuri'!A102)</x:f>
      </x:c>
      <x:c r="C1363" s="2" t="str">
        <x:f>IF(B1363="","",'Motor_Meciuri'!B102)</x:f>
      </x:c>
      <x:c r="D1363" s="2" t="str">
        <x:f>IF(B1363="","",'Motor_Meciuri'!D102)</x:f>
      </x:c>
      <x:c r="E1363" s="2" t="str">
        <x:f>IF(B1363="","",'Motor_Meciuri'!E102)</x:f>
      </x:c>
      <x:c r="F1363" s="2" t="str">
        <x:v>U17,5</x:v>
      </x:c>
      <x:c r="G1363" s="2" t="str">
        <x:v>UNDER</x:v>
      </x:c>
      <x:c r="H1363" s="2" t="n">
        <x:v>17</x:v>
      </x:c>
      <x:c r="I1363" s="2" t="str">
        <x:f>IF(B1363="","",'Motor_Meciuri'!H102)</x:f>
      </x:c>
      <x:c r="J1363" s="2" t="str">
        <x:f>IF(B1363="","",'Motor_Meciuri'!I102)</x:f>
      </x:c>
      <x:c r="K1363" s="11" t="str">
        <x:f>IF(J1363&lt;&gt;"PASS","",'Motor_Meciuri'!BD102)</x:f>
      </x:c>
      <x:c r="L1363" s="11" t="str">
        <x:f>IF(J1363&lt;&gt;"PASS","",'Motor_Meciuri'!AU102)</x:f>
      </x:c>
      <x:c r="M1363" s="10" t="str">
        <x:f>IF(NOT(AND(J1363="PASS",'Calibrare_Linii'!U19="VALID")),"",'Distributie'!AO102)</x:f>
      </x:c>
      <x:c r="N1363" s="10" t="str">
        <x:f>IF(M1363="","",MAX(0.01,MIN(0.99,0.5+(M1363-0.5)*'Motor_Meciuri'!BG102*'Calibrare_Linii'!D19)))</x:f>
      </x:c>
      <x:c r="O1363" s="10" t="str">
        <x:f>IF(M1363="","",1-M1363)</x:f>
      </x:c>
      <x:c r="P1363" s="10" t="str">
        <x:f>IF(OR(NOT(AND(J1363="PASS",'Calibrare_Linii'!U19="VALID")),AK1363=0),""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*('Istoric_Nativ'!$Q$6:$Q$405&gt;H1363))/AK1363)</x:f>
      </x:c>
      <x:c r="Q1363" s="10" t="str">
        <x:f>IF(OR(NOT(AND(J1363="PASS",'Calibrare_Linii'!U19="VALID")),AL1363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M102)+((('Istoric_Nativ'!$E$6:$E$405='Input_Meci'!E102)+('Istoric_Nativ'!$F$6:$F$405='Input_Meci'!E102))&gt;0)*('Istoric_Nativ'!$D$6:$D$405&gt;='Motor_Meciuri'!BN102))&gt;0)*('Istoric_Nativ'!$Q$6:$Q$405&gt;H1363))/AL1363)</x:f>
      </x:c>
      <x:c r="R1363" s="10" t="str">
        <x:f>IF(OR(NOT(AND(J1363="PASS",'Calibrare_Linii'!U19="VALID")),AM1363=0),""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'Motor_Meciuri'!BO102)+((('Istoric_Nativ'!$E$6:$E$405='Input_Meci'!E102)+('Istoric_Nativ'!$F$6:$F$405='Input_Meci'!E102))&gt;0)*('Istoric_Nativ'!$D$6:$D$405&gt;='Motor_Meciuri'!BP102))&gt;0)*('Istoric_Nativ'!$Q$6:$Q$405&gt;H1363))/AM1363)</x:f>
      </x:c>
      <x:c r="S1363" s="10" t="str">
        <x:f>IF(M1363="","",MAX(O1363,P1363,Q1363,R1363))</x:f>
      </x:c>
      <x:c r="T1363" s="11" t="str">
        <x:f>IF(M1363="","",MIN(100,S1363*100*'Config_v6'!$B$44+MIN(100,L1363/'Config_v6'!$B$13*100)*'Config_v6'!$B$45+(100-'Motor_Meciuri'!BF102)*'Config_v6'!$B$46+'Motor_Meciuri'!BH102*100*'Config_v6'!$B$47))</x:f>
      </x:c>
      <x:c r="U1363" s="2" t="str">
        <x:f>IF(T1363="","",IF(T1363&lt;=20,1,IF(T1363&lt;=40,2,IF(T1363&lt;=60,3,IF(T1363&lt;=80,4,5)))))</x:f>
      </x:c>
      <x:c r="V1363" s="2" t="str">
        <x:f>IF(M1363="","",MAX(0,'Motor_Meciuri'!BF102-IF(W1363="OOS PENDING",'Config_v6'!$B$35,0)-IF(L1363&gt;'Config_v6'!$B$12,'Config_v6'!$B$37,IF(L1363&gt;'Config_v6'!$B$11,'Config_v6'!$B$36,0))))</x:f>
      </x:c>
      <x:c r="W1363" s="2" t="str">
        <x:f>IF(B1363="","",IF(I1363&lt;&gt;"READY","NOT RELEASED",IF(NOT(AND(J1363="PASS",'Calibrare_Linii'!U19="VALID")),"INVALID",IF(NOT(AND('Calibrare_Linii'!S19="VALIDATED",AND('Calibrare_Linii'!H19=C1363,ISNUMBER('Calibrare_Linii'!J19),'Calibrare_Linii'!J19&lt;='Input_Meci'!G102))),"OOS PENDING",IF(S1363&lt;='Calibrare_Linii'!E19,"PASS",IF(S1363&lt;='Calibrare_Linii'!F19,"PENALTY","WATCH"))))))</x:f>
      </x:c>
      <x:c r="X1363" s="2" t="str">
        <x:f>IF(M1363="","",IF(AND(AND(J1363="PASS",'Calibrare_Linii'!U19="VALID"),'Motor_Meciuri'!K102=12,'Motor_Meciuri'!L102=12,'Motor_Meciuri'!M102="NO",'Motor_Meciuri'!BL102='Motor_Meciuri'!C102,AB1363&gt;='Config_v6'!$B$50,AN1363&gt;='Config_v6'!$B$51,T1363&lt;='Config_v6'!$B$52,L1363&lt;='Config_v6'!$B$53,ISNUMBER('Calibrare_Linii'!E19),S1363&lt;='Calibrare_Linii'!E19,SUM(AK1363:AM1363)&gt;0),"CANDIDATE","NO"))</x:f>
      </x:c>
      <x:c r="Y1363" s="2" t="str">
        <x:f>IF(B1363="","",IF(I1363&lt;&gt;"READY","NOT RELEASED",IF(AND(X1363="CANDIDATE",V1363&gt;='Config_v6'!$B$51,W1363="PASS",'Calibrare_Linii'!T19="VALIDATED",AND('Calibrare_Linii'!H19=C1363,ISNUMBER('Calibrare_Linii'!J19),'Calibrare_Linii'!J19&lt;='Input_Meci'!G102)),"PASS",IF(X1363="CANDIDATE","OOS PENDING","FAIL"))))</x:f>
      </x:c>
      <x:c r="Z1363" s="2" t="str">
        <x:f>IF(B1363="","",IF(I1363&lt;&gt;"READY","",IF(OR(NOT(AND(J1363="PASS",'Calibrare_Linii'!U19="VALID")),L1363&gt;'Config_v6'!$B$13,W1363="WATCH"),5,IF(Y1363="PASS",1,MIN(5,MAX('Config_v6'!$B$42,U1363)+IF(W1363="PENALTY",1,0))))))</x:f>
      </x:c>
      <x:c r="AA1363" s="2" t="str">
        <x:f>IF(B1363="","",IF(I1363&lt;&gt;"READY","NOT RELEASED",IF(Z1363=5,"NO BET",IF(OR(AB1363&lt;'Config_v6'!$B$16,V1363&lt;'Config_v6'!$B$18),"WATCH",IF(Z1363=1,"DEFENSIV",IF(Z1363=2,"PRUDENT",IF(Z1363=3,"MODERAT","RIDICAT")))))))</x:f>
      </x:c>
      <x:c r="AB1363" s="10" t="str">
        <x:f>IF(N1363="","",MIN(N1363,1-S1363))</x:f>
      </x:c>
      <x:c r="AC1363" s="2" t="str">
        <x:f>IF(AD1363&lt;&gt;1,"",COUNTIFS($Z$1350:$Z$1363,"&lt;"&amp;Z1363,$AD$1350:$AD$1363,1)+COUNTIFS($Z$1350:$Z$1363,Z1363,$AB$1350:$AB$1363,"&gt;"&amp;AB1363,$AD$1350:$AD$1363,1)+COUNTIFS($Z$1350:$Z$1363,Z1363,$AB$1350:$AB$1363,AB1363,$V$1350:$V$1363,"&gt;"&amp;V1363,$AD$1350:$AD$1363,1)+COUNTIFS($Z$1350:Z1363,Z1363,$AB$1350:AB1363,AB1363,$V$1350:V1363,V1363,$AD$1350:AD1363,1))</x:f>
      </x:c>
      <x:c r="AD1363" s="2" t="n">
        <x:f>IF(OR(AA1363="DEFENSIV",AA1363="PRUDENT",AA1363="MODERAT",AA1363="RIDICAT"),1,0)</x:f>
        <x:v>0</x:v>
      </x:c>
      <x:c r="AE1363" s="2" t="str">
        <x:f>IF(AD1363&lt;&gt;1,"NO",IF(W1363="PASS","YES",IF(W1363="OOS PENDING","CONDITIONAL","NO")))</x:f>
        <x:v>NO</x:v>
      </x:c>
      <x:c r="AF1363" s="2" t="n">
        <x:f>IF(AND(AD1363=1,AC1363=1,E1363="LIVE"),1,0)</x:f>
        <x:v>0</x:v>
      </x:c>
      <x:c r="AG1363" s="2" t="str">
        <x:f>IF(AF1363&lt;&gt;1,"",'Dashboard'!P122)</x:f>
      </x:c>
      <x:c r="AH1363" s="2" t="str">
        <x:f>IF(B1363="","",IF(J1363&lt;&gt;"PASS",'Motor_Meciuri'!J102,IF('Calibrare_Linii'!U19&lt;&gt;"VALID","Parametri linie invalizi",IF(L1363&gt;'Config_v6'!$B$13,"Dispersie peste limita",IF(W1363="WATCH","Failure peste limita",IF(AB1363&lt;'Config_v6'!$B$16,"P finala sub prag",IF(V1363&lt;'Config_v6'!$B$18,"Confidence sub prag",IF(E1363="REPLAY","Exemplu retrospectiv; exclus din Top LIVE",IF(Y1363="PASS","DEFENSIV validat",IF(W1363="OOS PENDING","Eligibil; calibrare linie in monitorizare","Eligibil"))))))))))</x:f>
      </x:c>
      <x:c r="AI1363" s="2" t="str">
        <x:f>IF(B1363="","",'Calibrare_Linii'!V19)</x:f>
      </x:c>
      <x:c r="AJ1363" s="2" t="str">
        <x:f>IF(B1363="","",IF(AND('Calibrare_Linii'!T19="VALIDATED",AND('Calibrare_Linii'!H19=C1363,ISNUMBER('Calibrare_Linii'!J19),'Calibrare_Linii'!J19&lt;='Input_Meci'!G102)),"DEFENSIVE VALIDATED",IF(AND('Calibrare_Linii'!S19="VALIDATED",AND('Calibrare_Linii'!H19=C1363,ISNUMBER('Calibrare_Linii'!J19),'Calibrare_Linii'!J19&lt;='Input_Meci'!G102)),"TAIL VALIDATED","OOS PENDING")))</x:f>
      </x:c>
      <x:c r="AK1363" s="2" t="n">
        <x:f>IF(J1363&lt;&gt;"PASS",0,'Motor_Meciuri'!BR102)</x:f>
        <x:v>0</x:v>
      </x:c>
      <x:c r="AL1363" s="2" t="n">
        <x:f>IF(J1363&lt;&gt;"PASS",0,'Motor_Meciuri'!BS102)</x:f>
        <x:v>0</x:v>
      </x:c>
      <x:c r="AM1363" s="2" t="n">
        <x:f>IF(J1363&lt;&gt;"PASS",0,'Motor_Meciuri'!BT102)</x:f>
        <x:v>0</x:v>
      </x:c>
      <x:c r="AN1363" s="2" t="str">
        <x:f>IF(M1363="","",MAX(0,'Motor_Meciuri'!BF102-IF(L1363&gt;'Config_v6'!$B$12,'Config_v6'!$B$37,IF(L1363&gt;'Config_v6'!$B$11,'Config_v6'!$B$36,0))))</x:f>
      </x:c>
    </x:row>
    <x:row r="1364" ht="21" customHeight="1">
      <x:c r="A1364" s="2" t="n">
        <x:v>98</x:v>
      </x:c>
      <x:c r="B1364" s="2" t="str">
        <x:f>IF('Motor_Meciuri'!A103="","",'Motor_Meciuri'!A103)</x:f>
      </x:c>
      <x:c r="C1364" s="2" t="str">
        <x:f>IF(B1364="","",'Motor_Meciuri'!B103)</x:f>
      </x:c>
      <x:c r="D1364" s="2" t="str">
        <x:f>IF(B1364="","",'Motor_Meciuri'!D103)</x:f>
      </x:c>
      <x:c r="E1364" s="2" t="str">
        <x:f>IF(B1364="","",'Motor_Meciuri'!E103)</x:f>
      </x:c>
      <x:c r="F1364" s="2" t="str">
        <x:v>O3,5</x:v>
      </x:c>
      <x:c r="G1364" s="2" t="str">
        <x:v>OVER</x:v>
      </x:c>
      <x:c r="H1364" s="2" t="n">
        <x:v>3</x:v>
      </x:c>
      <x:c r="I1364" s="2" t="str">
        <x:f>IF(B1364="","",'Motor_Meciuri'!H103)</x:f>
      </x:c>
      <x:c r="J1364" s="2" t="str">
        <x:f>IF(B1364="","",'Motor_Meciuri'!I103)</x:f>
      </x:c>
      <x:c r="K1364" s="11" t="str">
        <x:f>IF(J1364&lt;&gt;"PASS","",'Motor_Meciuri'!BD103)</x:f>
      </x:c>
      <x:c r="L1364" s="11" t="str">
        <x:f>IF(J1364&lt;&gt;"PASS","",'Motor_Meciuri'!AU103)</x:f>
      </x:c>
      <x:c r="M1364" s="10" t="str">
        <x:f>IF(NOT(AND(J1364="PASS",'Calibrare_Linii'!U6="VALID")),"",1-'Distributie'!AA103)</x:f>
      </x:c>
      <x:c r="N1364" s="10" t="str">
        <x:f>IF(M1364="","",MAX(0.01,MIN(0.99,0.5+(M1364-0.5)*'Motor_Meciuri'!BG103*'Calibrare_Linii'!D6)))</x:f>
      </x:c>
      <x:c r="O1364" s="10" t="str">
        <x:f>IF(M1364="","",1-M1364)</x:f>
      </x:c>
      <x:c r="P1364" s="10" t="str">
        <x:f>IF(OR(NOT(AND(J1364="PASS",'Calibrare_Linii'!U6="VALID")),AK1364=0),""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*('Istoric_Nativ'!$Q$6:$Q$405&lt;=H1364))/AK1364)</x:f>
      </x:c>
      <x:c r="Q1364" s="10" t="str">
        <x:f>IF(OR(NOT(AND(J1364="PASS",'Calibrare_Linii'!U6="VALID")),AL1364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M103)+((('Istoric_Nativ'!$E$6:$E$405='Input_Meci'!E103)+('Istoric_Nativ'!$F$6:$F$405='Input_Meci'!E103))&gt;0)*('Istoric_Nativ'!$D$6:$D$405&gt;='Motor_Meciuri'!BN103))&gt;0)*('Istoric_Nativ'!$Q$6:$Q$405&lt;=H1364))/AL1364)</x:f>
      </x:c>
      <x:c r="R1364" s="10" t="str">
        <x:f>IF(OR(NOT(AND(J1364="PASS",'Calibrare_Linii'!U6="VALID")),AM1364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O103)+((('Istoric_Nativ'!$E$6:$E$405='Input_Meci'!E103)+('Istoric_Nativ'!$F$6:$F$405='Input_Meci'!E103))&gt;0)*('Istoric_Nativ'!$D$6:$D$405&gt;='Motor_Meciuri'!BP103))&gt;0)*('Istoric_Nativ'!$Q$6:$Q$405&lt;=H1364))/AM1364)</x:f>
      </x:c>
      <x:c r="S1364" s="10" t="str">
        <x:f>IF(M1364="","",MAX(O1364,P1364,Q1364,R1364))</x:f>
      </x:c>
      <x:c r="T1364" s="11" t="str">
        <x:f>IF(M1364="","",MIN(100,S1364*100*'Config_v6'!$B$44+MIN(100,L1364/'Config_v6'!$B$13*100)*'Config_v6'!$B$45+(100-'Motor_Meciuri'!BF103)*'Config_v6'!$B$46+'Motor_Meciuri'!BH103*100*'Config_v6'!$B$47))</x:f>
      </x:c>
      <x:c r="U1364" s="2" t="str">
        <x:f>IF(T1364="","",IF(T1364&lt;=20,1,IF(T1364&lt;=40,2,IF(T1364&lt;=60,3,IF(T1364&lt;=80,4,5)))))</x:f>
      </x:c>
      <x:c r="V1364" s="2" t="str">
        <x:f>IF(M1364="","",MAX(0,'Motor_Meciuri'!BF103-IF(W1364="OOS PENDING",'Config_v6'!$B$35,0)-IF(L1364&gt;'Config_v6'!$B$12,'Config_v6'!$B$37,IF(L1364&gt;'Config_v6'!$B$11,'Config_v6'!$B$36,0))))</x:f>
      </x:c>
      <x:c r="W1364" s="2" t="str">
        <x:f>IF(B1364="","",IF(I1364&lt;&gt;"READY","NOT RELEASED",IF(NOT(AND(J1364="PASS",'Calibrare_Linii'!U6="VALID")),"INVALID",IF(NOT(TRUE),"OOS PENDING",IF(S1364&lt;=IF(AND('Calibrare_Linii'!S6="VALIDATED",AND('Calibrare_Linii'!H6=C1364,ISNUMBER('Calibrare_Linii'!J6),'Calibrare_Linii'!J6&lt;='Input_Meci'!G103)),'Calibrare_Linii'!E6,'Config_v6'!$B$26),"PASS",IF(S1364&lt;=IF(AND('Calibrare_Linii'!S6="VALIDATED",AND('Calibrare_Linii'!H6=C1364,ISNUMBER('Calibrare_Linii'!J6),'Calibrare_Linii'!J6&lt;='Input_Meci'!G103)),'Calibrare_Linii'!F6,'Config_v6'!$C$26),"PENALTY","WATCH"))))))</x:f>
      </x:c>
      <x:c r="X1364" s="2" t="str">
        <x:f>IF(M1364="","",IF(AND(AND(J1364="PASS",'Calibrare_Linii'!U6="VALID"),'Motor_Meciuri'!K103=12,'Motor_Meciuri'!L103=12,'Motor_Meciuri'!M103="NO",'Motor_Meciuri'!BL103='Motor_Meciuri'!C103,AB1364&gt;='Config_v6'!$B$50,AN1364&gt;='Config_v6'!$B$51,T1364&lt;='Config_v6'!$B$52,L1364&lt;='Config_v6'!$B$53,ISNUMBER('Calibrare_Linii'!E6),S1364&lt;='Calibrare_Linii'!E6,SUM(AK1364:AM1364)&gt;0),"CANDIDATE","NO"))</x:f>
      </x:c>
      <x:c r="Y1364" s="2" t="str">
        <x:f>IF(B1364="","",IF(I1364&lt;&gt;"READY","NOT RELEASED",IF(AND(X1364="CANDIDATE",V1364&gt;='Config_v6'!$B$51,W1364="PASS",'Calibrare_Linii'!T6="VALIDATED",AND('Calibrare_Linii'!H6=C1364,ISNUMBER('Calibrare_Linii'!J6),'Calibrare_Linii'!J6&lt;='Input_Meci'!G103)),"PASS",IF(X1364="CANDIDATE","OOS PENDING","FAIL"))))</x:f>
      </x:c>
      <x:c r="Z1364" s="2" t="str">
        <x:f>IF(B1364="","",IF(I1364&lt;&gt;"READY","",IF(OR(NOT(AND(J1364="PASS",'Calibrare_Linii'!U6="VALID")),L1364&gt;'Config_v6'!$B$13,W1364="WATCH"),5,IF(Y1364="PASS",1,MIN(5,MAX('Config_v6'!$B$42,U1364)+IF(W1364="PENALTY",1,0))))))</x:f>
      </x:c>
      <x:c r="AA1364" s="2" t="str">
        <x:f>IF(B1364="","",IF(I1364&lt;&gt;"READY","NOT RELEASED",IF(Z1364=5,"NO BET",IF(OR(AB1364&lt;'Config_v6'!$B$16,V1364&lt;'Config_v6'!$B$18),"WATCH",IF(Z1364=1,"DEFENSIV",IF(Z1364=2,"PRUDENT",IF(Z1364=3,"MODERAT","RIDICAT")))))))</x:f>
      </x:c>
      <x:c r="AB1364" s="10" t="str">
        <x:f>IF(N1364="","",MIN(N1364,1-S1364))</x:f>
      </x:c>
      <x:c r="AC1364" s="2" t="str">
        <x:f>IF(AD1364&lt;&gt;1,"",COUNTIFS($Z$1364:$Z$1377,"&lt;"&amp;Z1364,$AD$1364:$AD$1377,1)+COUNTIFS($Z$1364:$Z$1377,Z1364,$AB$1364:$AB$1377,"&gt;"&amp;AB1364,$AD$1364:$AD$1377,1)+COUNTIFS($Z$1364:$Z$1377,Z1364,$AB$1364:$AB$1377,AB1364,$V$1364:$V$1377,"&gt;"&amp;V1364,$AD$1364:$AD$1377,1)+COUNTIFS($Z$1364:Z1364,Z1364,$AB$1364:AB1364,AB1364,$V$1364:V1364,V1364,$AD$1364:AD1364,1))</x:f>
      </x:c>
      <x:c r="AD1364" s="2" t="n">
        <x:f>IF(OR(AA1364="DEFENSIV",AA1364="PRUDENT",AA1364="MODERAT",AA1364="RIDICAT"),1,0)</x:f>
        <x:v>0</x:v>
      </x:c>
      <x:c r="AE1364" s="2" t="str">
        <x:f>IF(AD1364&lt;&gt;1,"NO",IF(W1364="PASS","YES",IF(W1364="OOS PENDING","CONDITIONAL","NO")))</x:f>
        <x:v>NO</x:v>
      </x:c>
      <x:c r="AF1364" s="2" t="n">
        <x:f>IF(AND(AD1364=1,AC1364=1,E1364="LIVE"),1,0)</x:f>
        <x:v>0</x:v>
      </x:c>
      <x:c r="AG1364" s="2" t="str">
        <x:f>IF(AF1364&lt;&gt;1,"",'Dashboard'!P123)</x:f>
      </x:c>
      <x:c r="AH1364" s="2" t="str">
        <x:f>IF(B1364="","",IF(J1364&lt;&gt;"PASS",'Motor_Meciuri'!J103,IF('Calibrare_Linii'!U6&lt;&gt;"VALID","Parametri linie invalizi",IF(L1364&gt;'Config_v6'!$B$13,"Dispersie peste limita",IF(W1364="WATCH","Failure peste limita",IF(AB1364&lt;'Config_v6'!$B$16,"P finala sub prag",IF(V1364&lt;'Config_v6'!$B$18,"Confidence sub prag",IF(E1364="REPLAY","Exemplu retrospectiv; exclus din Top LIVE",IF(Y1364="PASS","DEFENSIV validat",IF(W1364="OOS PENDING","Eligibil; calibrare linie in monitorizare","Eligibil"))))))))))</x:f>
      </x:c>
      <x:c r="AI1364" s="2" t="str">
        <x:f>IF(B1364="","",'Calibrare_Linii'!V6)</x:f>
      </x:c>
      <x:c r="AJ1364" s="2" t="str">
        <x:f>IF(B1364="","",IF(AND('Calibrare_Linii'!T6="VALIDATED",AND('Calibrare_Linii'!H6=C1364,ISNUMBER('Calibrare_Linii'!J6),'Calibrare_Linii'!J6&lt;='Input_Meci'!G103)),"DEFENSIVE VALIDATED",IF(AND('Calibrare_Linii'!S6="VALIDATED",AND('Calibrare_Linii'!H6=C1364,ISNUMBER('Calibrare_Linii'!J6),'Calibrare_Linii'!J6&lt;='Input_Meci'!G103)),"TAIL VALIDATED","OOS PENDING")))</x:f>
      </x:c>
      <x:c r="AK1364" s="2" t="n">
        <x:f>IF(J1364&lt;&gt;"PASS",0,'Motor_Meciuri'!BR103)</x:f>
        <x:v>0</x:v>
      </x:c>
      <x:c r="AL1364" s="2" t="n">
        <x:f>IF(J1364&lt;&gt;"PASS",0,'Motor_Meciuri'!BS103)</x:f>
        <x:v>0</x:v>
      </x:c>
      <x:c r="AM1364" s="2" t="n">
        <x:f>IF(J1364&lt;&gt;"PASS",0,'Motor_Meciuri'!BT103)</x:f>
        <x:v>0</x:v>
      </x:c>
      <x:c r="AN1364" s="2" t="str">
        <x:f>IF(M1364="","",MAX(0,'Motor_Meciuri'!BF103-IF(L1364&gt;'Config_v6'!$B$12,'Config_v6'!$B$37,IF(L1364&gt;'Config_v6'!$B$11,'Config_v6'!$B$36,0))))</x:f>
      </x:c>
    </x:row>
    <x:row r="1365" ht="21" customHeight="1">
      <x:c r="A1365" s="2" t="n">
        <x:v>98</x:v>
      </x:c>
      <x:c r="B1365" s="2" t="str">
        <x:f>IF('Motor_Meciuri'!A103="","",'Motor_Meciuri'!A103)</x:f>
      </x:c>
      <x:c r="C1365" s="2" t="str">
        <x:f>IF(B1365="","",'Motor_Meciuri'!B103)</x:f>
      </x:c>
      <x:c r="D1365" s="2" t="str">
        <x:f>IF(B1365="","",'Motor_Meciuri'!D103)</x:f>
      </x:c>
      <x:c r="E1365" s="2" t="str">
        <x:f>IF(B1365="","",'Motor_Meciuri'!E103)</x:f>
      </x:c>
      <x:c r="F1365" s="2" t="str">
        <x:v>O4,5</x:v>
      </x:c>
      <x:c r="G1365" s="2" t="str">
        <x:v>OVER</x:v>
      </x:c>
      <x:c r="H1365" s="2" t="n">
        <x:v>4</x:v>
      </x:c>
      <x:c r="I1365" s="2" t="str">
        <x:f>IF(B1365="","",'Motor_Meciuri'!H103)</x:f>
      </x:c>
      <x:c r="J1365" s="2" t="str">
        <x:f>IF(B1365="","",'Motor_Meciuri'!I103)</x:f>
      </x:c>
      <x:c r="K1365" s="11" t="str">
        <x:f>IF(J1365&lt;&gt;"PASS","",'Motor_Meciuri'!BD103)</x:f>
      </x:c>
      <x:c r="L1365" s="11" t="str">
        <x:f>IF(J1365&lt;&gt;"PASS","",'Motor_Meciuri'!AU103)</x:f>
      </x:c>
      <x:c r="M1365" s="10" t="str">
        <x:f>IF(NOT(AND(J1365="PASS",'Calibrare_Linii'!U7="VALID")),"",1-'Distributie'!AB103)</x:f>
      </x:c>
      <x:c r="N1365" s="10" t="str">
        <x:f>IF(M1365="","",MAX(0.01,MIN(0.99,0.5+(M1365-0.5)*'Motor_Meciuri'!BG103*'Calibrare_Linii'!D7)))</x:f>
      </x:c>
      <x:c r="O1365" s="10" t="str">
        <x:f>IF(M1365="","",1-M1365)</x:f>
      </x:c>
      <x:c r="P1365" s="10" t="str">
        <x:f>IF(OR(NOT(AND(J1365="PASS",'Calibrare_Linii'!U7="VALID")),AK1365=0),""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*('Istoric_Nativ'!$Q$6:$Q$405&lt;=H1365))/AK1365)</x:f>
      </x:c>
      <x:c r="Q1365" s="10" t="str">
        <x:f>IF(OR(NOT(AND(J1365="PASS",'Calibrare_Linii'!U7="VALID")),AL1365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M103)+((('Istoric_Nativ'!$E$6:$E$405='Input_Meci'!E103)+('Istoric_Nativ'!$F$6:$F$405='Input_Meci'!E103))&gt;0)*('Istoric_Nativ'!$D$6:$D$405&gt;='Motor_Meciuri'!BN103))&gt;0)*('Istoric_Nativ'!$Q$6:$Q$405&lt;=H1365))/AL1365)</x:f>
      </x:c>
      <x:c r="R1365" s="10" t="str">
        <x:f>IF(OR(NOT(AND(J1365="PASS",'Calibrare_Linii'!U7="VALID")),AM1365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O103)+((('Istoric_Nativ'!$E$6:$E$405='Input_Meci'!E103)+('Istoric_Nativ'!$F$6:$F$405='Input_Meci'!E103))&gt;0)*('Istoric_Nativ'!$D$6:$D$405&gt;='Motor_Meciuri'!BP103))&gt;0)*('Istoric_Nativ'!$Q$6:$Q$405&lt;=H1365))/AM1365)</x:f>
      </x:c>
      <x:c r="S1365" s="10" t="str">
        <x:f>IF(M1365="","",MAX(O1365,P1365,Q1365,R1365))</x:f>
      </x:c>
      <x:c r="T1365" s="11" t="str">
        <x:f>IF(M1365="","",MIN(100,S1365*100*'Config_v6'!$B$44+MIN(100,L1365/'Config_v6'!$B$13*100)*'Config_v6'!$B$45+(100-'Motor_Meciuri'!BF103)*'Config_v6'!$B$46+'Motor_Meciuri'!BH103*100*'Config_v6'!$B$47))</x:f>
      </x:c>
      <x:c r="U1365" s="2" t="str">
        <x:f>IF(T1365="","",IF(T1365&lt;=20,1,IF(T1365&lt;=40,2,IF(T1365&lt;=60,3,IF(T1365&lt;=80,4,5)))))</x:f>
      </x:c>
      <x:c r="V1365" s="2" t="str">
        <x:f>IF(M1365="","",MAX(0,'Motor_Meciuri'!BF103-IF(W1365="OOS PENDING",'Config_v6'!$B$35,0)-IF(L1365&gt;'Config_v6'!$B$12,'Config_v6'!$B$37,IF(L1365&gt;'Config_v6'!$B$11,'Config_v6'!$B$36,0))))</x:f>
      </x:c>
      <x:c r="W1365" s="2" t="str">
        <x:f>IF(B1365="","",IF(I1365&lt;&gt;"READY","NOT RELEASED",IF(NOT(AND(J1365="PASS",'Calibrare_Linii'!U7="VALID")),"INVALID",IF(NOT(AND('Calibrare_Linii'!S7="VALIDATED",AND('Calibrare_Linii'!H7=C1365,ISNUMBER('Calibrare_Linii'!J7),'Calibrare_Linii'!J7&lt;='Input_Meci'!G103))),"OOS PENDING",IF(S1365&lt;='Calibrare_Linii'!E7,"PASS",IF(S1365&lt;='Calibrare_Linii'!F7,"PENALTY","WATCH"))))))</x:f>
      </x:c>
      <x:c r="X1365" s="2" t="str">
        <x:f>IF(M1365="","",IF(AND(AND(J1365="PASS",'Calibrare_Linii'!U7="VALID"),'Motor_Meciuri'!K103=12,'Motor_Meciuri'!L103=12,'Motor_Meciuri'!M103="NO",'Motor_Meciuri'!BL103='Motor_Meciuri'!C103,AB1365&gt;='Config_v6'!$B$50,AN1365&gt;='Config_v6'!$B$51,T1365&lt;='Config_v6'!$B$52,L1365&lt;='Config_v6'!$B$53,ISNUMBER('Calibrare_Linii'!E7),S1365&lt;='Calibrare_Linii'!E7,SUM(AK1365:AM1365)&gt;0),"CANDIDATE","NO"))</x:f>
      </x:c>
      <x:c r="Y1365" s="2" t="str">
        <x:f>IF(B1365="","",IF(I1365&lt;&gt;"READY","NOT RELEASED",IF(AND(X1365="CANDIDATE",V1365&gt;='Config_v6'!$B$51,W1365="PASS",'Calibrare_Linii'!T7="VALIDATED",AND('Calibrare_Linii'!H7=C1365,ISNUMBER('Calibrare_Linii'!J7),'Calibrare_Linii'!J7&lt;='Input_Meci'!G103)),"PASS",IF(X1365="CANDIDATE","OOS PENDING","FAIL"))))</x:f>
      </x:c>
      <x:c r="Z1365" s="2" t="str">
        <x:f>IF(B1365="","",IF(I1365&lt;&gt;"READY","",IF(OR(NOT(AND(J1365="PASS",'Calibrare_Linii'!U7="VALID")),L1365&gt;'Config_v6'!$B$13,W1365="WATCH"),5,IF(Y1365="PASS",1,MIN(5,MAX('Config_v6'!$B$42,U1365)+IF(W1365="PENALTY",1,0))))))</x:f>
      </x:c>
      <x:c r="AA1365" s="2" t="str">
        <x:f>IF(B1365="","",IF(I1365&lt;&gt;"READY","NOT RELEASED",IF(Z1365=5,"NO BET",IF(OR(AB1365&lt;'Config_v6'!$B$16,V1365&lt;'Config_v6'!$B$18),"WATCH",IF(Z1365=1,"DEFENSIV",IF(Z1365=2,"PRUDENT",IF(Z1365=3,"MODERAT","RIDICAT")))))))</x:f>
      </x:c>
      <x:c r="AB1365" s="10" t="str">
        <x:f>IF(N1365="","",MIN(N1365,1-S1365))</x:f>
      </x:c>
      <x:c r="AC1365" s="2" t="str">
        <x:f>IF(AD1365&lt;&gt;1,"",COUNTIFS($Z$1364:$Z$1377,"&lt;"&amp;Z1365,$AD$1364:$AD$1377,1)+COUNTIFS($Z$1364:$Z$1377,Z1365,$AB$1364:$AB$1377,"&gt;"&amp;AB1365,$AD$1364:$AD$1377,1)+COUNTIFS($Z$1364:$Z$1377,Z1365,$AB$1364:$AB$1377,AB1365,$V$1364:$V$1377,"&gt;"&amp;V1365,$AD$1364:$AD$1377,1)+COUNTIFS($Z$1364:Z1365,Z1365,$AB$1364:AB1365,AB1365,$V$1364:V1365,V1365,$AD$1364:AD1365,1))</x:f>
      </x:c>
      <x:c r="AD1365" s="2" t="n">
        <x:f>IF(OR(AA1365="DEFENSIV",AA1365="PRUDENT",AA1365="MODERAT",AA1365="RIDICAT"),1,0)</x:f>
        <x:v>0</x:v>
      </x:c>
      <x:c r="AE1365" s="2" t="str">
        <x:f>IF(AD1365&lt;&gt;1,"NO",IF(W1365="PASS","YES",IF(W1365="OOS PENDING","CONDITIONAL","NO")))</x:f>
        <x:v>NO</x:v>
      </x:c>
      <x:c r="AF1365" s="2" t="n">
        <x:f>IF(AND(AD1365=1,AC1365=1,E1365="LIVE"),1,0)</x:f>
        <x:v>0</x:v>
      </x:c>
      <x:c r="AG1365" s="2" t="str">
        <x:f>IF(AF1365&lt;&gt;1,"",'Dashboard'!P123)</x:f>
      </x:c>
      <x:c r="AH1365" s="2" t="str">
        <x:f>IF(B1365="","",IF(J1365&lt;&gt;"PASS",'Motor_Meciuri'!J103,IF('Calibrare_Linii'!U7&lt;&gt;"VALID","Parametri linie invalizi",IF(L1365&gt;'Config_v6'!$B$13,"Dispersie peste limita",IF(W1365="WATCH","Failure peste limita",IF(AB1365&lt;'Config_v6'!$B$16,"P finala sub prag",IF(V1365&lt;'Config_v6'!$B$18,"Confidence sub prag",IF(E1365="REPLAY","Exemplu retrospectiv; exclus din Top LIVE",IF(Y1365="PASS","DEFENSIV validat",IF(W1365="OOS PENDING","Eligibil; calibrare linie in monitorizare","Eligibil"))))))))))</x:f>
      </x:c>
      <x:c r="AI1365" s="2" t="str">
        <x:f>IF(B1365="","",'Calibrare_Linii'!V7)</x:f>
      </x:c>
      <x:c r="AJ1365" s="2" t="str">
        <x:f>IF(B1365="","",IF(AND('Calibrare_Linii'!T7="VALIDATED",AND('Calibrare_Linii'!H7=C1365,ISNUMBER('Calibrare_Linii'!J7),'Calibrare_Linii'!J7&lt;='Input_Meci'!G103)),"DEFENSIVE VALIDATED",IF(AND('Calibrare_Linii'!S7="VALIDATED",AND('Calibrare_Linii'!H7=C1365,ISNUMBER('Calibrare_Linii'!J7),'Calibrare_Linii'!J7&lt;='Input_Meci'!G103)),"TAIL VALIDATED","OOS PENDING")))</x:f>
      </x:c>
      <x:c r="AK1365" s="2" t="n">
        <x:f>IF(J1365&lt;&gt;"PASS",0,'Motor_Meciuri'!BR103)</x:f>
        <x:v>0</x:v>
      </x:c>
      <x:c r="AL1365" s="2" t="n">
        <x:f>IF(J1365&lt;&gt;"PASS",0,'Motor_Meciuri'!BS103)</x:f>
        <x:v>0</x:v>
      </x:c>
      <x:c r="AM1365" s="2" t="n">
        <x:f>IF(J1365&lt;&gt;"PASS",0,'Motor_Meciuri'!BT103)</x:f>
        <x:v>0</x:v>
      </x:c>
      <x:c r="AN1365" s="2" t="str">
        <x:f>IF(M1365="","",MAX(0,'Motor_Meciuri'!BF103-IF(L1365&gt;'Config_v6'!$B$12,'Config_v6'!$B$37,IF(L1365&gt;'Config_v6'!$B$11,'Config_v6'!$B$36,0))))</x:f>
      </x:c>
    </x:row>
    <x:row r="1366" ht="21" customHeight="1">
      <x:c r="A1366" s="2" t="n">
        <x:v>98</x:v>
      </x:c>
      <x:c r="B1366" s="2" t="str">
        <x:f>IF('Motor_Meciuri'!A103="","",'Motor_Meciuri'!A103)</x:f>
      </x:c>
      <x:c r="C1366" s="2" t="str">
        <x:f>IF(B1366="","",'Motor_Meciuri'!B103)</x:f>
      </x:c>
      <x:c r="D1366" s="2" t="str">
        <x:f>IF(B1366="","",'Motor_Meciuri'!D103)</x:f>
      </x:c>
      <x:c r="E1366" s="2" t="str">
        <x:f>IF(B1366="","",'Motor_Meciuri'!E103)</x:f>
      </x:c>
      <x:c r="F1366" s="2" t="str">
        <x:v>O5,5</x:v>
      </x:c>
      <x:c r="G1366" s="2" t="str">
        <x:v>OVER</x:v>
      </x:c>
      <x:c r="H1366" s="2" t="n">
        <x:v>5</x:v>
      </x:c>
      <x:c r="I1366" s="2" t="str">
        <x:f>IF(B1366="","",'Motor_Meciuri'!H103)</x:f>
      </x:c>
      <x:c r="J1366" s="2" t="str">
        <x:f>IF(B1366="","",'Motor_Meciuri'!I103)</x:f>
      </x:c>
      <x:c r="K1366" s="11" t="str">
        <x:f>IF(J1366&lt;&gt;"PASS","",'Motor_Meciuri'!BD103)</x:f>
      </x:c>
      <x:c r="L1366" s="11" t="str">
        <x:f>IF(J1366&lt;&gt;"PASS","",'Motor_Meciuri'!AU103)</x:f>
      </x:c>
      <x:c r="M1366" s="10" t="str">
        <x:f>IF(NOT(AND(J1366="PASS",'Calibrare_Linii'!U8="VALID")),"",1-'Distributie'!AC103)</x:f>
      </x:c>
      <x:c r="N1366" s="10" t="str">
        <x:f>IF(M1366="","",MAX(0.01,MIN(0.99,0.5+(M1366-0.5)*'Motor_Meciuri'!BG103*'Calibrare_Linii'!D8)))</x:f>
      </x:c>
      <x:c r="O1366" s="10" t="str">
        <x:f>IF(M1366="","",1-M1366)</x:f>
      </x:c>
      <x:c r="P1366" s="10" t="str">
        <x:f>IF(OR(NOT(AND(J1366="PASS",'Calibrare_Linii'!U8="VALID")),AK1366=0),""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*('Istoric_Nativ'!$Q$6:$Q$405&lt;=H1366))/AK1366)</x:f>
      </x:c>
      <x:c r="Q1366" s="10" t="str">
        <x:f>IF(OR(NOT(AND(J1366="PASS",'Calibrare_Linii'!U8="VALID")),AL1366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M103)+((('Istoric_Nativ'!$E$6:$E$405='Input_Meci'!E103)+('Istoric_Nativ'!$F$6:$F$405='Input_Meci'!E103))&gt;0)*('Istoric_Nativ'!$D$6:$D$405&gt;='Motor_Meciuri'!BN103))&gt;0)*('Istoric_Nativ'!$Q$6:$Q$405&lt;=H1366))/AL1366)</x:f>
      </x:c>
      <x:c r="R1366" s="10" t="str">
        <x:f>IF(OR(NOT(AND(J1366="PASS",'Calibrare_Linii'!U8="VALID")),AM1366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O103)+((('Istoric_Nativ'!$E$6:$E$405='Input_Meci'!E103)+('Istoric_Nativ'!$F$6:$F$405='Input_Meci'!E103))&gt;0)*('Istoric_Nativ'!$D$6:$D$405&gt;='Motor_Meciuri'!BP103))&gt;0)*('Istoric_Nativ'!$Q$6:$Q$405&lt;=H1366))/AM1366)</x:f>
      </x:c>
      <x:c r="S1366" s="10" t="str">
        <x:f>IF(M1366="","",MAX(O1366,P1366,Q1366,R1366))</x:f>
      </x:c>
      <x:c r="T1366" s="11" t="str">
        <x:f>IF(M1366="","",MIN(100,S1366*100*'Config_v6'!$B$44+MIN(100,L1366/'Config_v6'!$B$13*100)*'Config_v6'!$B$45+(100-'Motor_Meciuri'!BF103)*'Config_v6'!$B$46+'Motor_Meciuri'!BH103*100*'Config_v6'!$B$47))</x:f>
      </x:c>
      <x:c r="U1366" s="2" t="str">
        <x:f>IF(T1366="","",IF(T1366&lt;=20,1,IF(T1366&lt;=40,2,IF(T1366&lt;=60,3,IF(T1366&lt;=80,4,5)))))</x:f>
      </x:c>
      <x:c r="V1366" s="2" t="str">
        <x:f>IF(M1366="","",MAX(0,'Motor_Meciuri'!BF103-IF(W1366="OOS PENDING",'Config_v6'!$B$35,0)-IF(L1366&gt;'Config_v6'!$B$12,'Config_v6'!$B$37,IF(L1366&gt;'Config_v6'!$B$11,'Config_v6'!$B$36,0))))</x:f>
      </x:c>
      <x:c r="W1366" s="2" t="str">
        <x:f>IF(B1366="","",IF(I1366&lt;&gt;"READY","NOT RELEASED",IF(NOT(AND(J1366="PASS",'Calibrare_Linii'!U8="VALID")),"INVALID",IF(NOT(AND('Calibrare_Linii'!S8="VALIDATED",AND('Calibrare_Linii'!H8=C1366,ISNUMBER('Calibrare_Linii'!J8),'Calibrare_Linii'!J8&lt;='Input_Meci'!G103))),"OOS PENDING",IF(S1366&lt;='Calibrare_Linii'!E8,"PASS",IF(S1366&lt;='Calibrare_Linii'!F8,"PENALTY","WATCH"))))))</x:f>
      </x:c>
      <x:c r="X1366" s="2" t="str">
        <x:f>IF(M1366="","",IF(AND(AND(J1366="PASS",'Calibrare_Linii'!U8="VALID"),'Motor_Meciuri'!K103=12,'Motor_Meciuri'!L103=12,'Motor_Meciuri'!M103="NO",'Motor_Meciuri'!BL103='Motor_Meciuri'!C103,AB1366&gt;='Config_v6'!$B$50,AN1366&gt;='Config_v6'!$B$51,T1366&lt;='Config_v6'!$B$52,L1366&lt;='Config_v6'!$B$53,ISNUMBER('Calibrare_Linii'!E8),S1366&lt;='Calibrare_Linii'!E8,SUM(AK1366:AM1366)&gt;0),"CANDIDATE","NO"))</x:f>
      </x:c>
      <x:c r="Y1366" s="2" t="str">
        <x:f>IF(B1366="","",IF(I1366&lt;&gt;"READY","NOT RELEASED",IF(AND(X1366="CANDIDATE",V1366&gt;='Config_v6'!$B$51,W1366="PASS",'Calibrare_Linii'!T8="VALIDATED",AND('Calibrare_Linii'!H8=C1366,ISNUMBER('Calibrare_Linii'!J8),'Calibrare_Linii'!J8&lt;='Input_Meci'!G103)),"PASS",IF(X1366="CANDIDATE","OOS PENDING","FAIL"))))</x:f>
      </x:c>
      <x:c r="Z1366" s="2" t="str">
        <x:f>IF(B1366="","",IF(I1366&lt;&gt;"READY","",IF(OR(NOT(AND(J1366="PASS",'Calibrare_Linii'!U8="VALID")),L1366&gt;'Config_v6'!$B$13,W1366="WATCH"),5,IF(Y1366="PASS",1,MIN(5,MAX('Config_v6'!$B$42,U1366)+IF(W1366="PENALTY",1,0))))))</x:f>
      </x:c>
      <x:c r="AA1366" s="2" t="str">
        <x:f>IF(B1366="","",IF(I1366&lt;&gt;"READY","NOT RELEASED",IF(Z1366=5,"NO BET",IF(OR(AB1366&lt;'Config_v6'!$B$16,V1366&lt;'Config_v6'!$B$18),"WATCH",IF(Z1366=1,"DEFENSIV",IF(Z1366=2,"PRUDENT",IF(Z1366=3,"MODERAT","RIDICAT")))))))</x:f>
      </x:c>
      <x:c r="AB1366" s="10" t="str">
        <x:f>IF(N1366="","",MIN(N1366,1-S1366))</x:f>
      </x:c>
      <x:c r="AC1366" s="2" t="str">
        <x:f>IF(AD1366&lt;&gt;1,"",COUNTIFS($Z$1364:$Z$1377,"&lt;"&amp;Z1366,$AD$1364:$AD$1377,1)+COUNTIFS($Z$1364:$Z$1377,Z1366,$AB$1364:$AB$1377,"&gt;"&amp;AB1366,$AD$1364:$AD$1377,1)+COUNTIFS($Z$1364:$Z$1377,Z1366,$AB$1364:$AB$1377,AB1366,$V$1364:$V$1377,"&gt;"&amp;V1366,$AD$1364:$AD$1377,1)+COUNTIFS($Z$1364:Z1366,Z1366,$AB$1364:AB1366,AB1366,$V$1364:V1366,V1366,$AD$1364:AD1366,1))</x:f>
      </x:c>
      <x:c r="AD1366" s="2" t="n">
        <x:f>IF(OR(AA1366="DEFENSIV",AA1366="PRUDENT",AA1366="MODERAT",AA1366="RIDICAT"),1,0)</x:f>
        <x:v>0</x:v>
      </x:c>
      <x:c r="AE1366" s="2" t="str">
        <x:f>IF(AD1366&lt;&gt;1,"NO",IF(W1366="PASS","YES",IF(W1366="OOS PENDING","CONDITIONAL","NO")))</x:f>
        <x:v>NO</x:v>
      </x:c>
      <x:c r="AF1366" s="2" t="n">
        <x:f>IF(AND(AD1366=1,AC1366=1,E1366="LIVE"),1,0)</x:f>
        <x:v>0</x:v>
      </x:c>
      <x:c r="AG1366" s="2" t="str">
        <x:f>IF(AF1366&lt;&gt;1,"",'Dashboard'!P123)</x:f>
      </x:c>
      <x:c r="AH1366" s="2" t="str">
        <x:f>IF(B1366="","",IF(J1366&lt;&gt;"PASS",'Motor_Meciuri'!J103,IF('Calibrare_Linii'!U8&lt;&gt;"VALID","Parametri linie invalizi",IF(L1366&gt;'Config_v6'!$B$13,"Dispersie peste limita",IF(W1366="WATCH","Failure peste limita",IF(AB1366&lt;'Config_v6'!$B$16,"P finala sub prag",IF(V1366&lt;'Config_v6'!$B$18,"Confidence sub prag",IF(E1366="REPLAY","Exemplu retrospectiv; exclus din Top LIVE",IF(Y1366="PASS","DEFENSIV validat",IF(W1366="OOS PENDING","Eligibil; calibrare linie in monitorizare","Eligibil"))))))))))</x:f>
      </x:c>
      <x:c r="AI1366" s="2" t="str">
        <x:f>IF(B1366="","",'Calibrare_Linii'!V8)</x:f>
      </x:c>
      <x:c r="AJ1366" s="2" t="str">
        <x:f>IF(B1366="","",IF(AND('Calibrare_Linii'!T8="VALIDATED",AND('Calibrare_Linii'!H8=C1366,ISNUMBER('Calibrare_Linii'!J8),'Calibrare_Linii'!J8&lt;='Input_Meci'!G103)),"DEFENSIVE VALIDATED",IF(AND('Calibrare_Linii'!S8="VALIDATED",AND('Calibrare_Linii'!H8=C1366,ISNUMBER('Calibrare_Linii'!J8),'Calibrare_Linii'!J8&lt;='Input_Meci'!G103)),"TAIL VALIDATED","OOS PENDING")))</x:f>
      </x:c>
      <x:c r="AK1366" s="2" t="n">
        <x:f>IF(J1366&lt;&gt;"PASS",0,'Motor_Meciuri'!BR103)</x:f>
        <x:v>0</x:v>
      </x:c>
      <x:c r="AL1366" s="2" t="n">
        <x:f>IF(J1366&lt;&gt;"PASS",0,'Motor_Meciuri'!BS103)</x:f>
        <x:v>0</x:v>
      </x:c>
      <x:c r="AM1366" s="2" t="n">
        <x:f>IF(J1366&lt;&gt;"PASS",0,'Motor_Meciuri'!BT103)</x:f>
        <x:v>0</x:v>
      </x:c>
      <x:c r="AN1366" s="2" t="str">
        <x:f>IF(M1366="","",MAX(0,'Motor_Meciuri'!BF103-IF(L1366&gt;'Config_v6'!$B$12,'Config_v6'!$B$37,IF(L1366&gt;'Config_v6'!$B$11,'Config_v6'!$B$36,0))))</x:f>
      </x:c>
    </x:row>
    <x:row r="1367" ht="21" customHeight="1">
      <x:c r="A1367" s="2" t="n">
        <x:v>98</x:v>
      </x:c>
      <x:c r="B1367" s="2" t="str">
        <x:f>IF('Motor_Meciuri'!A103="","",'Motor_Meciuri'!A103)</x:f>
      </x:c>
      <x:c r="C1367" s="2" t="str">
        <x:f>IF(B1367="","",'Motor_Meciuri'!B103)</x:f>
      </x:c>
      <x:c r="D1367" s="2" t="str">
        <x:f>IF(B1367="","",'Motor_Meciuri'!D103)</x:f>
      </x:c>
      <x:c r="E1367" s="2" t="str">
        <x:f>IF(B1367="","",'Motor_Meciuri'!E103)</x:f>
      </x:c>
      <x:c r="F1367" s="2" t="str">
        <x:v>O6,5</x:v>
      </x:c>
      <x:c r="G1367" s="2" t="str">
        <x:v>OVER</x:v>
      </x:c>
      <x:c r="H1367" s="2" t="n">
        <x:v>6</x:v>
      </x:c>
      <x:c r="I1367" s="2" t="str">
        <x:f>IF(B1367="","",'Motor_Meciuri'!H103)</x:f>
      </x:c>
      <x:c r="J1367" s="2" t="str">
        <x:f>IF(B1367="","",'Motor_Meciuri'!I103)</x:f>
      </x:c>
      <x:c r="K1367" s="11" t="str">
        <x:f>IF(J1367&lt;&gt;"PASS","",'Motor_Meciuri'!BD103)</x:f>
      </x:c>
      <x:c r="L1367" s="11" t="str">
        <x:f>IF(J1367&lt;&gt;"PASS","",'Motor_Meciuri'!AU103)</x:f>
      </x:c>
      <x:c r="M1367" s="10" t="str">
        <x:f>IF(NOT(AND(J1367="PASS",'Calibrare_Linii'!U9="VALID")),"",1-'Distributie'!AD103)</x:f>
      </x:c>
      <x:c r="N1367" s="10" t="str">
        <x:f>IF(M1367="","",MAX(0.01,MIN(0.99,0.5+(M1367-0.5)*'Motor_Meciuri'!BG103*'Calibrare_Linii'!D9)))</x:f>
      </x:c>
      <x:c r="O1367" s="10" t="str">
        <x:f>IF(M1367="","",1-M1367)</x:f>
      </x:c>
      <x:c r="P1367" s="10" t="str">
        <x:f>IF(OR(NOT(AND(J1367="PASS",'Calibrare_Linii'!U9="VALID")),AK1367=0),""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*('Istoric_Nativ'!$Q$6:$Q$405&lt;=H1367))/AK1367)</x:f>
      </x:c>
      <x:c r="Q1367" s="10" t="str">
        <x:f>IF(OR(NOT(AND(J1367="PASS",'Calibrare_Linii'!U9="VALID")),AL1367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M103)+((('Istoric_Nativ'!$E$6:$E$405='Input_Meci'!E103)+('Istoric_Nativ'!$F$6:$F$405='Input_Meci'!E103))&gt;0)*('Istoric_Nativ'!$D$6:$D$405&gt;='Motor_Meciuri'!BN103))&gt;0)*('Istoric_Nativ'!$Q$6:$Q$405&lt;=H1367))/AL1367)</x:f>
      </x:c>
      <x:c r="R1367" s="10" t="str">
        <x:f>IF(OR(NOT(AND(J1367="PASS",'Calibrare_Linii'!U9="VALID")),AM1367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O103)+((('Istoric_Nativ'!$E$6:$E$405='Input_Meci'!E103)+('Istoric_Nativ'!$F$6:$F$405='Input_Meci'!E103))&gt;0)*('Istoric_Nativ'!$D$6:$D$405&gt;='Motor_Meciuri'!BP103))&gt;0)*('Istoric_Nativ'!$Q$6:$Q$405&lt;=H1367))/AM1367)</x:f>
      </x:c>
      <x:c r="S1367" s="10" t="str">
        <x:f>IF(M1367="","",MAX(O1367,P1367,Q1367,R1367))</x:f>
      </x:c>
      <x:c r="T1367" s="11" t="str">
        <x:f>IF(M1367="","",MIN(100,S1367*100*'Config_v6'!$B$44+MIN(100,L1367/'Config_v6'!$B$13*100)*'Config_v6'!$B$45+(100-'Motor_Meciuri'!BF103)*'Config_v6'!$B$46+'Motor_Meciuri'!BH103*100*'Config_v6'!$B$47))</x:f>
      </x:c>
      <x:c r="U1367" s="2" t="str">
        <x:f>IF(T1367="","",IF(T1367&lt;=20,1,IF(T1367&lt;=40,2,IF(T1367&lt;=60,3,IF(T1367&lt;=80,4,5)))))</x:f>
      </x:c>
      <x:c r="V1367" s="2" t="str">
        <x:f>IF(M1367="","",MAX(0,'Motor_Meciuri'!BF103-IF(W1367="OOS PENDING",'Config_v6'!$B$35,0)-IF(L1367&gt;'Config_v6'!$B$12,'Config_v6'!$B$37,IF(L1367&gt;'Config_v6'!$B$11,'Config_v6'!$B$36,0))))</x:f>
      </x:c>
      <x:c r="W1367" s="2" t="str">
        <x:f>IF(B1367="","",IF(I1367&lt;&gt;"READY","NOT RELEASED",IF(NOT(AND(J1367="PASS",'Calibrare_Linii'!U9="VALID")),"INVALID",IF(NOT(AND('Calibrare_Linii'!S9="VALIDATED",AND('Calibrare_Linii'!H9=C1367,ISNUMBER('Calibrare_Linii'!J9),'Calibrare_Linii'!J9&lt;='Input_Meci'!G103))),"OOS PENDING",IF(S1367&lt;='Calibrare_Linii'!E9,"PASS",IF(S1367&lt;='Calibrare_Linii'!F9,"PENALTY","WATCH"))))))</x:f>
      </x:c>
      <x:c r="X1367" s="2" t="str">
        <x:f>IF(M1367="","",IF(AND(AND(J1367="PASS",'Calibrare_Linii'!U9="VALID"),'Motor_Meciuri'!K103=12,'Motor_Meciuri'!L103=12,'Motor_Meciuri'!M103="NO",'Motor_Meciuri'!BL103='Motor_Meciuri'!C103,AB1367&gt;='Config_v6'!$B$50,AN1367&gt;='Config_v6'!$B$51,T1367&lt;='Config_v6'!$B$52,L1367&lt;='Config_v6'!$B$53,ISNUMBER('Calibrare_Linii'!E9),S1367&lt;='Calibrare_Linii'!E9,SUM(AK1367:AM1367)&gt;0),"CANDIDATE","NO"))</x:f>
      </x:c>
      <x:c r="Y1367" s="2" t="str">
        <x:f>IF(B1367="","",IF(I1367&lt;&gt;"READY","NOT RELEASED",IF(AND(X1367="CANDIDATE",V1367&gt;='Config_v6'!$B$51,W1367="PASS",'Calibrare_Linii'!T9="VALIDATED",AND('Calibrare_Linii'!H9=C1367,ISNUMBER('Calibrare_Linii'!J9),'Calibrare_Linii'!J9&lt;='Input_Meci'!G103)),"PASS",IF(X1367="CANDIDATE","OOS PENDING","FAIL"))))</x:f>
      </x:c>
      <x:c r="Z1367" s="2" t="str">
        <x:f>IF(B1367="","",IF(I1367&lt;&gt;"READY","",IF(OR(NOT(AND(J1367="PASS",'Calibrare_Linii'!U9="VALID")),L1367&gt;'Config_v6'!$B$13,W1367="WATCH"),5,IF(Y1367="PASS",1,MIN(5,MAX('Config_v6'!$B$42,U1367)+IF(W1367="PENALTY",1,0))))))</x:f>
      </x:c>
      <x:c r="AA1367" s="2" t="str">
        <x:f>IF(B1367="","",IF(I1367&lt;&gt;"READY","NOT RELEASED",IF(Z1367=5,"NO BET",IF(OR(AB1367&lt;'Config_v6'!$B$16,V1367&lt;'Config_v6'!$B$18),"WATCH",IF(Z1367=1,"DEFENSIV",IF(Z1367=2,"PRUDENT",IF(Z1367=3,"MODERAT","RIDICAT")))))))</x:f>
      </x:c>
      <x:c r="AB1367" s="10" t="str">
        <x:f>IF(N1367="","",MIN(N1367,1-S1367))</x:f>
      </x:c>
      <x:c r="AC1367" s="2" t="str">
        <x:f>IF(AD1367&lt;&gt;1,"",COUNTIFS($Z$1364:$Z$1377,"&lt;"&amp;Z1367,$AD$1364:$AD$1377,1)+COUNTIFS($Z$1364:$Z$1377,Z1367,$AB$1364:$AB$1377,"&gt;"&amp;AB1367,$AD$1364:$AD$1377,1)+COUNTIFS($Z$1364:$Z$1377,Z1367,$AB$1364:$AB$1377,AB1367,$V$1364:$V$1377,"&gt;"&amp;V1367,$AD$1364:$AD$1377,1)+COUNTIFS($Z$1364:Z1367,Z1367,$AB$1364:AB1367,AB1367,$V$1364:V1367,V1367,$AD$1364:AD1367,1))</x:f>
      </x:c>
      <x:c r="AD1367" s="2" t="n">
        <x:f>IF(OR(AA1367="DEFENSIV",AA1367="PRUDENT",AA1367="MODERAT",AA1367="RIDICAT"),1,0)</x:f>
        <x:v>0</x:v>
      </x:c>
      <x:c r="AE1367" s="2" t="str">
        <x:f>IF(AD1367&lt;&gt;1,"NO",IF(W1367="PASS","YES",IF(W1367="OOS PENDING","CONDITIONAL","NO")))</x:f>
        <x:v>NO</x:v>
      </x:c>
      <x:c r="AF1367" s="2" t="n">
        <x:f>IF(AND(AD1367=1,AC1367=1,E1367="LIVE"),1,0)</x:f>
        <x:v>0</x:v>
      </x:c>
      <x:c r="AG1367" s="2" t="str">
        <x:f>IF(AF1367&lt;&gt;1,"",'Dashboard'!P123)</x:f>
      </x:c>
      <x:c r="AH1367" s="2" t="str">
        <x:f>IF(B1367="","",IF(J1367&lt;&gt;"PASS",'Motor_Meciuri'!J103,IF('Calibrare_Linii'!U9&lt;&gt;"VALID","Parametri linie invalizi",IF(L1367&gt;'Config_v6'!$B$13,"Dispersie peste limita",IF(W1367="WATCH","Failure peste limita",IF(AB1367&lt;'Config_v6'!$B$16,"P finala sub prag",IF(V1367&lt;'Config_v6'!$B$18,"Confidence sub prag",IF(E1367="REPLAY","Exemplu retrospectiv; exclus din Top LIVE",IF(Y1367="PASS","DEFENSIV validat",IF(W1367="OOS PENDING","Eligibil; calibrare linie in monitorizare","Eligibil"))))))))))</x:f>
      </x:c>
      <x:c r="AI1367" s="2" t="str">
        <x:f>IF(B1367="","",'Calibrare_Linii'!V9)</x:f>
      </x:c>
      <x:c r="AJ1367" s="2" t="str">
        <x:f>IF(B1367="","",IF(AND('Calibrare_Linii'!T9="VALIDATED",AND('Calibrare_Linii'!H9=C1367,ISNUMBER('Calibrare_Linii'!J9),'Calibrare_Linii'!J9&lt;='Input_Meci'!G103)),"DEFENSIVE VALIDATED",IF(AND('Calibrare_Linii'!S9="VALIDATED",AND('Calibrare_Linii'!H9=C1367,ISNUMBER('Calibrare_Linii'!J9),'Calibrare_Linii'!J9&lt;='Input_Meci'!G103)),"TAIL VALIDATED","OOS PENDING")))</x:f>
      </x:c>
      <x:c r="AK1367" s="2" t="n">
        <x:f>IF(J1367&lt;&gt;"PASS",0,'Motor_Meciuri'!BR103)</x:f>
        <x:v>0</x:v>
      </x:c>
      <x:c r="AL1367" s="2" t="n">
        <x:f>IF(J1367&lt;&gt;"PASS",0,'Motor_Meciuri'!BS103)</x:f>
        <x:v>0</x:v>
      </x:c>
      <x:c r="AM1367" s="2" t="n">
        <x:f>IF(J1367&lt;&gt;"PASS",0,'Motor_Meciuri'!BT103)</x:f>
        <x:v>0</x:v>
      </x:c>
      <x:c r="AN1367" s="2" t="str">
        <x:f>IF(M1367="","",MAX(0,'Motor_Meciuri'!BF103-IF(L1367&gt;'Config_v6'!$B$12,'Config_v6'!$B$37,IF(L1367&gt;'Config_v6'!$B$11,'Config_v6'!$B$36,0))))</x:f>
      </x:c>
    </x:row>
    <x:row r="1368" ht="21" customHeight="1">
      <x:c r="A1368" s="2" t="n">
        <x:v>98</x:v>
      </x:c>
      <x:c r="B1368" s="2" t="str">
        <x:f>IF('Motor_Meciuri'!A103="","",'Motor_Meciuri'!A103)</x:f>
      </x:c>
      <x:c r="C1368" s="2" t="str">
        <x:f>IF(B1368="","",'Motor_Meciuri'!B103)</x:f>
      </x:c>
      <x:c r="D1368" s="2" t="str">
        <x:f>IF(B1368="","",'Motor_Meciuri'!D103)</x:f>
      </x:c>
      <x:c r="E1368" s="2" t="str">
        <x:f>IF(B1368="","",'Motor_Meciuri'!E103)</x:f>
      </x:c>
      <x:c r="F1368" s="2" t="str">
        <x:v>O7,5</x:v>
      </x:c>
      <x:c r="G1368" s="2" t="str">
        <x:v>OVER</x:v>
      </x:c>
      <x:c r="H1368" s="2" t="n">
        <x:v>7</x:v>
      </x:c>
      <x:c r="I1368" s="2" t="str">
        <x:f>IF(B1368="","",'Motor_Meciuri'!H103)</x:f>
      </x:c>
      <x:c r="J1368" s="2" t="str">
        <x:f>IF(B1368="","",'Motor_Meciuri'!I103)</x:f>
      </x:c>
      <x:c r="K1368" s="11" t="str">
        <x:f>IF(J1368&lt;&gt;"PASS","",'Motor_Meciuri'!BD103)</x:f>
      </x:c>
      <x:c r="L1368" s="11" t="str">
        <x:f>IF(J1368&lt;&gt;"PASS","",'Motor_Meciuri'!AU103)</x:f>
      </x:c>
      <x:c r="M1368" s="10" t="str">
        <x:f>IF(NOT(AND(J1368="PASS",'Calibrare_Linii'!U10="VALID")),"",1-'Distributie'!AE103)</x:f>
      </x:c>
      <x:c r="N1368" s="10" t="str">
        <x:f>IF(M1368="","",MAX(0.01,MIN(0.99,0.5+(M1368-0.5)*'Motor_Meciuri'!BG103*'Calibrare_Linii'!D10)))</x:f>
      </x:c>
      <x:c r="O1368" s="10" t="str">
        <x:f>IF(M1368="","",1-M1368)</x:f>
      </x:c>
      <x:c r="P1368" s="10" t="str">
        <x:f>IF(OR(NOT(AND(J1368="PASS",'Calibrare_Linii'!U10="VALID")),AK1368=0),""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*('Istoric_Nativ'!$Q$6:$Q$405&lt;=H1368))/AK1368)</x:f>
      </x:c>
      <x:c r="Q1368" s="10" t="str">
        <x:f>IF(OR(NOT(AND(J1368="PASS",'Calibrare_Linii'!U10="VALID")),AL1368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M103)+((('Istoric_Nativ'!$E$6:$E$405='Input_Meci'!E103)+('Istoric_Nativ'!$F$6:$F$405='Input_Meci'!E103))&gt;0)*('Istoric_Nativ'!$D$6:$D$405&gt;='Motor_Meciuri'!BN103))&gt;0)*('Istoric_Nativ'!$Q$6:$Q$405&lt;=H1368))/AL1368)</x:f>
      </x:c>
      <x:c r="R1368" s="10" t="str">
        <x:f>IF(OR(NOT(AND(J1368="PASS",'Calibrare_Linii'!U10="VALID")),AM1368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O103)+((('Istoric_Nativ'!$E$6:$E$405='Input_Meci'!E103)+('Istoric_Nativ'!$F$6:$F$405='Input_Meci'!E103))&gt;0)*('Istoric_Nativ'!$D$6:$D$405&gt;='Motor_Meciuri'!BP103))&gt;0)*('Istoric_Nativ'!$Q$6:$Q$405&lt;=H1368))/AM1368)</x:f>
      </x:c>
      <x:c r="S1368" s="10" t="str">
        <x:f>IF(M1368="","",MAX(O1368,P1368,Q1368,R1368))</x:f>
      </x:c>
      <x:c r="T1368" s="11" t="str">
        <x:f>IF(M1368="","",MIN(100,S1368*100*'Config_v6'!$B$44+MIN(100,L1368/'Config_v6'!$B$13*100)*'Config_v6'!$B$45+(100-'Motor_Meciuri'!BF103)*'Config_v6'!$B$46+'Motor_Meciuri'!BH103*100*'Config_v6'!$B$47))</x:f>
      </x:c>
      <x:c r="U1368" s="2" t="str">
        <x:f>IF(T1368="","",IF(T1368&lt;=20,1,IF(T1368&lt;=40,2,IF(T1368&lt;=60,3,IF(T1368&lt;=80,4,5)))))</x:f>
      </x:c>
      <x:c r="V1368" s="2" t="str">
        <x:f>IF(M1368="","",MAX(0,'Motor_Meciuri'!BF103-IF(W1368="OOS PENDING",'Config_v6'!$B$35,0)-IF(L1368&gt;'Config_v6'!$B$12,'Config_v6'!$B$37,IF(L1368&gt;'Config_v6'!$B$11,'Config_v6'!$B$36,0))))</x:f>
      </x:c>
      <x:c r="W1368" s="2" t="str">
        <x:f>IF(B1368="","",IF(I1368&lt;&gt;"READY","NOT RELEASED",IF(NOT(AND(J1368="PASS",'Calibrare_Linii'!U10="VALID")),"INVALID",IF(NOT(AND('Calibrare_Linii'!S10="VALIDATED",AND('Calibrare_Linii'!H10=C1368,ISNUMBER('Calibrare_Linii'!J10),'Calibrare_Linii'!J10&lt;='Input_Meci'!G103))),"OOS PENDING",IF(S1368&lt;='Calibrare_Linii'!E10,"PASS",IF(S1368&lt;='Calibrare_Linii'!F10,"PENALTY","WATCH"))))))</x:f>
      </x:c>
      <x:c r="X1368" s="2" t="str">
        <x:f>IF(M1368="","",IF(AND(AND(J1368="PASS",'Calibrare_Linii'!U10="VALID"),'Motor_Meciuri'!K103=12,'Motor_Meciuri'!L103=12,'Motor_Meciuri'!M103="NO",'Motor_Meciuri'!BL103='Motor_Meciuri'!C103,AB1368&gt;='Config_v6'!$B$50,AN1368&gt;='Config_v6'!$B$51,T1368&lt;='Config_v6'!$B$52,L1368&lt;='Config_v6'!$B$53,ISNUMBER('Calibrare_Linii'!E10),S1368&lt;='Calibrare_Linii'!E10,SUM(AK1368:AM1368)&gt;0),"CANDIDATE","NO"))</x:f>
      </x:c>
      <x:c r="Y1368" s="2" t="str">
        <x:f>IF(B1368="","",IF(I1368&lt;&gt;"READY","NOT RELEASED",IF(AND(X1368="CANDIDATE",V1368&gt;='Config_v6'!$B$51,W1368="PASS",'Calibrare_Linii'!T10="VALIDATED",AND('Calibrare_Linii'!H10=C1368,ISNUMBER('Calibrare_Linii'!J10),'Calibrare_Linii'!J10&lt;='Input_Meci'!G103)),"PASS",IF(X1368="CANDIDATE","OOS PENDING","FAIL"))))</x:f>
      </x:c>
      <x:c r="Z1368" s="2" t="str">
        <x:f>IF(B1368="","",IF(I1368&lt;&gt;"READY","",IF(OR(NOT(AND(J1368="PASS",'Calibrare_Linii'!U10="VALID")),L1368&gt;'Config_v6'!$B$13,W1368="WATCH"),5,IF(Y1368="PASS",1,MIN(5,MAX('Config_v6'!$B$42,U1368)+IF(W1368="PENALTY",1,0))))))</x:f>
      </x:c>
      <x:c r="AA1368" s="2" t="str">
        <x:f>IF(B1368="","",IF(I1368&lt;&gt;"READY","NOT RELEASED",IF(Z1368=5,"NO BET",IF(OR(AB1368&lt;'Config_v6'!$B$16,V1368&lt;'Config_v6'!$B$18),"WATCH",IF(Z1368=1,"DEFENSIV",IF(Z1368=2,"PRUDENT",IF(Z1368=3,"MODERAT","RIDICAT")))))))</x:f>
      </x:c>
      <x:c r="AB1368" s="10" t="str">
        <x:f>IF(N1368="","",MIN(N1368,1-S1368))</x:f>
      </x:c>
      <x:c r="AC1368" s="2" t="str">
        <x:f>IF(AD1368&lt;&gt;1,"",COUNTIFS($Z$1364:$Z$1377,"&lt;"&amp;Z1368,$AD$1364:$AD$1377,1)+COUNTIFS($Z$1364:$Z$1377,Z1368,$AB$1364:$AB$1377,"&gt;"&amp;AB1368,$AD$1364:$AD$1377,1)+COUNTIFS($Z$1364:$Z$1377,Z1368,$AB$1364:$AB$1377,AB1368,$V$1364:$V$1377,"&gt;"&amp;V1368,$AD$1364:$AD$1377,1)+COUNTIFS($Z$1364:Z1368,Z1368,$AB$1364:AB1368,AB1368,$V$1364:V1368,V1368,$AD$1364:AD1368,1))</x:f>
      </x:c>
      <x:c r="AD1368" s="2" t="n">
        <x:f>IF(OR(AA1368="DEFENSIV",AA1368="PRUDENT",AA1368="MODERAT",AA1368="RIDICAT"),1,0)</x:f>
        <x:v>0</x:v>
      </x:c>
      <x:c r="AE1368" s="2" t="str">
        <x:f>IF(AD1368&lt;&gt;1,"NO",IF(W1368="PASS","YES",IF(W1368="OOS PENDING","CONDITIONAL","NO")))</x:f>
        <x:v>NO</x:v>
      </x:c>
      <x:c r="AF1368" s="2" t="n">
        <x:f>IF(AND(AD1368=1,AC1368=1,E1368="LIVE"),1,0)</x:f>
        <x:v>0</x:v>
      </x:c>
      <x:c r="AG1368" s="2" t="str">
        <x:f>IF(AF1368&lt;&gt;1,"",'Dashboard'!P123)</x:f>
      </x:c>
      <x:c r="AH1368" s="2" t="str">
        <x:f>IF(B1368="","",IF(J1368&lt;&gt;"PASS",'Motor_Meciuri'!J103,IF('Calibrare_Linii'!U10&lt;&gt;"VALID","Parametri linie invalizi",IF(L1368&gt;'Config_v6'!$B$13,"Dispersie peste limita",IF(W1368="WATCH","Failure peste limita",IF(AB1368&lt;'Config_v6'!$B$16,"P finala sub prag",IF(V1368&lt;'Config_v6'!$B$18,"Confidence sub prag",IF(E1368="REPLAY","Exemplu retrospectiv; exclus din Top LIVE",IF(Y1368="PASS","DEFENSIV validat",IF(W1368="OOS PENDING","Eligibil; calibrare linie in monitorizare","Eligibil"))))))))))</x:f>
      </x:c>
      <x:c r="AI1368" s="2" t="str">
        <x:f>IF(B1368="","",'Calibrare_Linii'!V10)</x:f>
      </x:c>
      <x:c r="AJ1368" s="2" t="str">
        <x:f>IF(B1368="","",IF(AND('Calibrare_Linii'!T10="VALIDATED",AND('Calibrare_Linii'!H10=C1368,ISNUMBER('Calibrare_Linii'!J10),'Calibrare_Linii'!J10&lt;='Input_Meci'!G103)),"DEFENSIVE VALIDATED",IF(AND('Calibrare_Linii'!S10="VALIDATED",AND('Calibrare_Linii'!H10=C1368,ISNUMBER('Calibrare_Linii'!J10),'Calibrare_Linii'!J10&lt;='Input_Meci'!G103)),"TAIL VALIDATED","OOS PENDING")))</x:f>
      </x:c>
      <x:c r="AK1368" s="2" t="n">
        <x:f>IF(J1368&lt;&gt;"PASS",0,'Motor_Meciuri'!BR103)</x:f>
        <x:v>0</x:v>
      </x:c>
      <x:c r="AL1368" s="2" t="n">
        <x:f>IF(J1368&lt;&gt;"PASS",0,'Motor_Meciuri'!BS103)</x:f>
        <x:v>0</x:v>
      </x:c>
      <x:c r="AM1368" s="2" t="n">
        <x:f>IF(J1368&lt;&gt;"PASS",0,'Motor_Meciuri'!BT103)</x:f>
        <x:v>0</x:v>
      </x:c>
      <x:c r="AN1368" s="2" t="str">
        <x:f>IF(M1368="","",MAX(0,'Motor_Meciuri'!BF103-IF(L1368&gt;'Config_v6'!$B$12,'Config_v6'!$B$37,IF(L1368&gt;'Config_v6'!$B$11,'Config_v6'!$B$36,0))))</x:f>
      </x:c>
    </x:row>
    <x:row r="1369" ht="21" customHeight="1">
      <x:c r="A1369" s="2" t="n">
        <x:v>98</x:v>
      </x:c>
      <x:c r="B1369" s="2" t="str">
        <x:f>IF('Motor_Meciuri'!A103="","",'Motor_Meciuri'!A103)</x:f>
      </x:c>
      <x:c r="C1369" s="2" t="str">
        <x:f>IF(B1369="","",'Motor_Meciuri'!B103)</x:f>
      </x:c>
      <x:c r="D1369" s="2" t="str">
        <x:f>IF(B1369="","",'Motor_Meciuri'!D103)</x:f>
      </x:c>
      <x:c r="E1369" s="2" t="str">
        <x:f>IF(B1369="","",'Motor_Meciuri'!E103)</x:f>
      </x:c>
      <x:c r="F1369" s="2" t="str">
        <x:v>O8,5</x:v>
      </x:c>
      <x:c r="G1369" s="2" t="str">
        <x:v>OVER</x:v>
      </x:c>
      <x:c r="H1369" s="2" t="n">
        <x:v>8</x:v>
      </x:c>
      <x:c r="I1369" s="2" t="str">
        <x:f>IF(B1369="","",'Motor_Meciuri'!H103)</x:f>
      </x:c>
      <x:c r="J1369" s="2" t="str">
        <x:f>IF(B1369="","",'Motor_Meciuri'!I103)</x:f>
      </x:c>
      <x:c r="K1369" s="11" t="str">
        <x:f>IF(J1369&lt;&gt;"PASS","",'Motor_Meciuri'!BD103)</x:f>
      </x:c>
      <x:c r="L1369" s="11" t="str">
        <x:f>IF(J1369&lt;&gt;"PASS","",'Motor_Meciuri'!AU103)</x:f>
      </x:c>
      <x:c r="M1369" s="10" t="str">
        <x:f>IF(NOT(AND(J1369="PASS",'Calibrare_Linii'!U11="VALID")),"",1-'Distributie'!AF103)</x:f>
      </x:c>
      <x:c r="N1369" s="10" t="str">
        <x:f>IF(M1369="","",MAX(0.01,MIN(0.99,0.5+(M1369-0.5)*'Motor_Meciuri'!BG103*'Calibrare_Linii'!D11)))</x:f>
      </x:c>
      <x:c r="O1369" s="10" t="str">
        <x:f>IF(M1369="","",1-M1369)</x:f>
      </x:c>
      <x:c r="P1369" s="10" t="str">
        <x:f>IF(OR(NOT(AND(J1369="PASS",'Calibrare_Linii'!U11="VALID")),AK1369=0),""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*('Istoric_Nativ'!$Q$6:$Q$405&lt;=H1369))/AK1369)</x:f>
      </x:c>
      <x:c r="Q1369" s="10" t="str">
        <x:f>IF(OR(NOT(AND(J1369="PASS",'Calibrare_Linii'!U11="VALID")),AL1369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M103)+((('Istoric_Nativ'!$E$6:$E$405='Input_Meci'!E103)+('Istoric_Nativ'!$F$6:$F$405='Input_Meci'!E103))&gt;0)*('Istoric_Nativ'!$D$6:$D$405&gt;='Motor_Meciuri'!BN103))&gt;0)*('Istoric_Nativ'!$Q$6:$Q$405&lt;=H1369))/AL1369)</x:f>
      </x:c>
      <x:c r="R1369" s="10" t="str">
        <x:f>IF(OR(NOT(AND(J1369="PASS",'Calibrare_Linii'!U11="VALID")),AM1369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O103)+((('Istoric_Nativ'!$E$6:$E$405='Input_Meci'!E103)+('Istoric_Nativ'!$F$6:$F$405='Input_Meci'!E103))&gt;0)*('Istoric_Nativ'!$D$6:$D$405&gt;='Motor_Meciuri'!BP103))&gt;0)*('Istoric_Nativ'!$Q$6:$Q$405&lt;=H1369))/AM1369)</x:f>
      </x:c>
      <x:c r="S1369" s="10" t="str">
        <x:f>IF(M1369="","",MAX(O1369,P1369,Q1369,R1369))</x:f>
      </x:c>
      <x:c r="T1369" s="11" t="str">
        <x:f>IF(M1369="","",MIN(100,S1369*100*'Config_v6'!$B$44+MIN(100,L1369/'Config_v6'!$B$13*100)*'Config_v6'!$B$45+(100-'Motor_Meciuri'!BF103)*'Config_v6'!$B$46+'Motor_Meciuri'!BH103*100*'Config_v6'!$B$47))</x:f>
      </x:c>
      <x:c r="U1369" s="2" t="str">
        <x:f>IF(T1369="","",IF(T1369&lt;=20,1,IF(T1369&lt;=40,2,IF(T1369&lt;=60,3,IF(T1369&lt;=80,4,5)))))</x:f>
      </x:c>
      <x:c r="V1369" s="2" t="str">
        <x:f>IF(M1369="","",MAX(0,'Motor_Meciuri'!BF103-IF(W1369="OOS PENDING",'Config_v6'!$B$35,0)-IF(L1369&gt;'Config_v6'!$B$12,'Config_v6'!$B$37,IF(L1369&gt;'Config_v6'!$B$11,'Config_v6'!$B$36,0))))</x:f>
      </x:c>
      <x:c r="W1369" s="2" t="str">
        <x:f>IF(B1369="","",IF(I1369&lt;&gt;"READY","NOT RELEASED",IF(NOT(AND(J1369="PASS",'Calibrare_Linii'!U11="VALID")),"INVALID",IF(NOT(AND('Calibrare_Linii'!S11="VALIDATED",AND('Calibrare_Linii'!H11=C1369,ISNUMBER('Calibrare_Linii'!J11),'Calibrare_Linii'!J11&lt;='Input_Meci'!G103))),"OOS PENDING",IF(S1369&lt;='Calibrare_Linii'!E11,"PASS",IF(S1369&lt;='Calibrare_Linii'!F11,"PENALTY","WATCH"))))))</x:f>
      </x:c>
      <x:c r="X1369" s="2" t="str">
        <x:f>IF(M1369="","",IF(AND(AND(J1369="PASS",'Calibrare_Linii'!U11="VALID"),'Motor_Meciuri'!K103=12,'Motor_Meciuri'!L103=12,'Motor_Meciuri'!M103="NO",'Motor_Meciuri'!BL103='Motor_Meciuri'!C103,AB1369&gt;='Config_v6'!$B$50,AN1369&gt;='Config_v6'!$B$51,T1369&lt;='Config_v6'!$B$52,L1369&lt;='Config_v6'!$B$53,ISNUMBER('Calibrare_Linii'!E11),S1369&lt;='Calibrare_Linii'!E11,SUM(AK1369:AM1369)&gt;0),"CANDIDATE","NO"))</x:f>
      </x:c>
      <x:c r="Y1369" s="2" t="str">
        <x:f>IF(B1369="","",IF(I1369&lt;&gt;"READY","NOT RELEASED",IF(AND(X1369="CANDIDATE",V1369&gt;='Config_v6'!$B$51,W1369="PASS",'Calibrare_Linii'!T11="VALIDATED",AND('Calibrare_Linii'!H11=C1369,ISNUMBER('Calibrare_Linii'!J11),'Calibrare_Linii'!J11&lt;='Input_Meci'!G103)),"PASS",IF(X1369="CANDIDATE","OOS PENDING","FAIL"))))</x:f>
      </x:c>
      <x:c r="Z1369" s="2" t="str">
        <x:f>IF(B1369="","",IF(I1369&lt;&gt;"READY","",IF(OR(NOT(AND(J1369="PASS",'Calibrare_Linii'!U11="VALID")),L1369&gt;'Config_v6'!$B$13,W1369="WATCH"),5,IF(Y1369="PASS",1,MIN(5,MAX('Config_v6'!$B$42,U1369)+IF(W1369="PENALTY",1,0))))))</x:f>
      </x:c>
      <x:c r="AA1369" s="2" t="str">
        <x:f>IF(B1369="","",IF(I1369&lt;&gt;"READY","NOT RELEASED",IF(Z1369=5,"NO BET",IF(OR(AB1369&lt;'Config_v6'!$B$16,V1369&lt;'Config_v6'!$B$18),"WATCH",IF(Z1369=1,"DEFENSIV",IF(Z1369=2,"PRUDENT",IF(Z1369=3,"MODERAT","RIDICAT")))))))</x:f>
      </x:c>
      <x:c r="AB1369" s="10" t="str">
        <x:f>IF(N1369="","",MIN(N1369,1-S1369))</x:f>
      </x:c>
      <x:c r="AC1369" s="2" t="str">
        <x:f>IF(AD1369&lt;&gt;1,"",COUNTIFS($Z$1364:$Z$1377,"&lt;"&amp;Z1369,$AD$1364:$AD$1377,1)+COUNTIFS($Z$1364:$Z$1377,Z1369,$AB$1364:$AB$1377,"&gt;"&amp;AB1369,$AD$1364:$AD$1377,1)+COUNTIFS($Z$1364:$Z$1377,Z1369,$AB$1364:$AB$1377,AB1369,$V$1364:$V$1377,"&gt;"&amp;V1369,$AD$1364:$AD$1377,1)+COUNTIFS($Z$1364:Z1369,Z1369,$AB$1364:AB1369,AB1369,$V$1364:V1369,V1369,$AD$1364:AD1369,1))</x:f>
      </x:c>
      <x:c r="AD1369" s="2" t="n">
        <x:f>IF(OR(AA1369="DEFENSIV",AA1369="PRUDENT",AA1369="MODERAT",AA1369="RIDICAT"),1,0)</x:f>
        <x:v>0</x:v>
      </x:c>
      <x:c r="AE1369" s="2" t="str">
        <x:f>IF(AD1369&lt;&gt;1,"NO",IF(W1369="PASS","YES",IF(W1369="OOS PENDING","CONDITIONAL","NO")))</x:f>
        <x:v>NO</x:v>
      </x:c>
      <x:c r="AF1369" s="2" t="n">
        <x:f>IF(AND(AD1369=1,AC1369=1,E1369="LIVE"),1,0)</x:f>
        <x:v>0</x:v>
      </x:c>
      <x:c r="AG1369" s="2" t="str">
        <x:f>IF(AF1369&lt;&gt;1,"",'Dashboard'!P123)</x:f>
      </x:c>
      <x:c r="AH1369" s="2" t="str">
        <x:f>IF(B1369="","",IF(J1369&lt;&gt;"PASS",'Motor_Meciuri'!J103,IF('Calibrare_Linii'!U11&lt;&gt;"VALID","Parametri linie invalizi",IF(L1369&gt;'Config_v6'!$B$13,"Dispersie peste limita",IF(W1369="WATCH","Failure peste limita",IF(AB1369&lt;'Config_v6'!$B$16,"P finala sub prag",IF(V1369&lt;'Config_v6'!$B$18,"Confidence sub prag",IF(E1369="REPLAY","Exemplu retrospectiv; exclus din Top LIVE",IF(Y1369="PASS","DEFENSIV validat",IF(W1369="OOS PENDING","Eligibil; calibrare linie in monitorizare","Eligibil"))))))))))</x:f>
      </x:c>
      <x:c r="AI1369" s="2" t="str">
        <x:f>IF(B1369="","",'Calibrare_Linii'!V11)</x:f>
      </x:c>
      <x:c r="AJ1369" s="2" t="str">
        <x:f>IF(B1369="","",IF(AND('Calibrare_Linii'!T11="VALIDATED",AND('Calibrare_Linii'!H11=C1369,ISNUMBER('Calibrare_Linii'!J11),'Calibrare_Linii'!J11&lt;='Input_Meci'!G103)),"DEFENSIVE VALIDATED",IF(AND('Calibrare_Linii'!S11="VALIDATED",AND('Calibrare_Linii'!H11=C1369,ISNUMBER('Calibrare_Linii'!J11),'Calibrare_Linii'!J11&lt;='Input_Meci'!G103)),"TAIL VALIDATED","OOS PENDING")))</x:f>
      </x:c>
      <x:c r="AK1369" s="2" t="n">
        <x:f>IF(J1369&lt;&gt;"PASS",0,'Motor_Meciuri'!BR103)</x:f>
        <x:v>0</x:v>
      </x:c>
      <x:c r="AL1369" s="2" t="n">
        <x:f>IF(J1369&lt;&gt;"PASS",0,'Motor_Meciuri'!BS103)</x:f>
        <x:v>0</x:v>
      </x:c>
      <x:c r="AM1369" s="2" t="n">
        <x:f>IF(J1369&lt;&gt;"PASS",0,'Motor_Meciuri'!BT103)</x:f>
        <x:v>0</x:v>
      </x:c>
      <x:c r="AN1369" s="2" t="str">
        <x:f>IF(M1369="","",MAX(0,'Motor_Meciuri'!BF103-IF(L1369&gt;'Config_v6'!$B$12,'Config_v6'!$B$37,IF(L1369&gt;'Config_v6'!$B$11,'Config_v6'!$B$36,0))))</x:f>
      </x:c>
    </x:row>
    <x:row r="1370" ht="21" customHeight="1">
      <x:c r="A1370" s="2" t="n">
        <x:v>98</x:v>
      </x:c>
      <x:c r="B1370" s="2" t="str">
        <x:f>IF('Motor_Meciuri'!A103="","",'Motor_Meciuri'!A103)</x:f>
      </x:c>
      <x:c r="C1370" s="2" t="str">
        <x:f>IF(B1370="","",'Motor_Meciuri'!B103)</x:f>
      </x:c>
      <x:c r="D1370" s="2" t="str">
        <x:f>IF(B1370="","",'Motor_Meciuri'!D103)</x:f>
      </x:c>
      <x:c r="E1370" s="2" t="str">
        <x:f>IF(B1370="","",'Motor_Meciuri'!E103)</x:f>
      </x:c>
      <x:c r="F1370" s="2" t="str">
        <x:v>U10,5</x:v>
      </x:c>
      <x:c r="G1370" s="2" t="str">
        <x:v>UNDER</x:v>
      </x:c>
      <x:c r="H1370" s="2" t="n">
        <x:v>10</x:v>
      </x:c>
      <x:c r="I1370" s="2" t="str">
        <x:f>IF(B1370="","",'Motor_Meciuri'!H103)</x:f>
      </x:c>
      <x:c r="J1370" s="2" t="str">
        <x:f>IF(B1370="","",'Motor_Meciuri'!I103)</x:f>
      </x:c>
      <x:c r="K1370" s="11" t="str">
        <x:f>IF(J1370&lt;&gt;"PASS","",'Motor_Meciuri'!BD103)</x:f>
      </x:c>
      <x:c r="L1370" s="11" t="str">
        <x:f>IF(J1370&lt;&gt;"PASS","",'Motor_Meciuri'!AU103)</x:f>
      </x:c>
      <x:c r="M1370" s="10" t="str">
        <x:f>IF(NOT(AND(J1370="PASS",'Calibrare_Linii'!U12="VALID")),"",'Distributie'!AH103)</x:f>
      </x:c>
      <x:c r="N1370" s="10" t="str">
        <x:f>IF(M1370="","",MAX(0.01,MIN(0.99,0.5+(M1370-0.5)*'Motor_Meciuri'!BG103*'Calibrare_Linii'!D12)))</x:f>
      </x:c>
      <x:c r="O1370" s="10" t="str">
        <x:f>IF(M1370="","",1-M1370)</x:f>
      </x:c>
      <x:c r="P1370" s="10" t="str">
        <x:f>IF(OR(NOT(AND(J1370="PASS",'Calibrare_Linii'!U12="VALID")),AK1370=0),""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*('Istoric_Nativ'!$Q$6:$Q$405&gt;H1370))/AK1370)</x:f>
      </x:c>
      <x:c r="Q1370" s="10" t="str">
        <x:f>IF(OR(NOT(AND(J1370="PASS",'Calibrare_Linii'!U12="VALID")),AL1370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M103)+((('Istoric_Nativ'!$E$6:$E$405='Input_Meci'!E103)+('Istoric_Nativ'!$F$6:$F$405='Input_Meci'!E103))&gt;0)*('Istoric_Nativ'!$D$6:$D$405&gt;='Motor_Meciuri'!BN103))&gt;0)*('Istoric_Nativ'!$Q$6:$Q$405&gt;H1370))/AL1370)</x:f>
      </x:c>
      <x:c r="R1370" s="10" t="str">
        <x:f>IF(OR(NOT(AND(J1370="PASS",'Calibrare_Linii'!U12="VALID")),AM1370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O103)+((('Istoric_Nativ'!$E$6:$E$405='Input_Meci'!E103)+('Istoric_Nativ'!$F$6:$F$405='Input_Meci'!E103))&gt;0)*('Istoric_Nativ'!$D$6:$D$405&gt;='Motor_Meciuri'!BP103))&gt;0)*('Istoric_Nativ'!$Q$6:$Q$405&gt;H1370))/AM1370)</x:f>
      </x:c>
      <x:c r="S1370" s="10" t="str">
        <x:f>IF(M1370="","",MAX(O1370,P1370,Q1370,R1370))</x:f>
      </x:c>
      <x:c r="T1370" s="11" t="str">
        <x:f>IF(M1370="","",MIN(100,S1370*100*'Config_v6'!$B$44+MIN(100,L1370/'Config_v6'!$B$13*100)*'Config_v6'!$B$45+(100-'Motor_Meciuri'!BF103)*'Config_v6'!$B$46+'Motor_Meciuri'!BH103*100*'Config_v6'!$B$47))</x:f>
      </x:c>
      <x:c r="U1370" s="2" t="str">
        <x:f>IF(T1370="","",IF(T1370&lt;=20,1,IF(T1370&lt;=40,2,IF(T1370&lt;=60,3,IF(T1370&lt;=80,4,5)))))</x:f>
      </x:c>
      <x:c r="V1370" s="2" t="str">
        <x:f>IF(M1370="","",MAX(0,'Motor_Meciuri'!BF103-IF(W1370="OOS PENDING",'Config_v6'!$B$35,0)-IF(L1370&gt;'Config_v6'!$B$12,'Config_v6'!$B$37,IF(L1370&gt;'Config_v6'!$B$11,'Config_v6'!$B$36,0))))</x:f>
      </x:c>
      <x:c r="W1370" s="2" t="str">
        <x:f>IF(B1370="","",IF(I1370&lt;&gt;"READY","NOT RELEASED",IF(NOT(AND(J1370="PASS",'Calibrare_Linii'!U12="VALID")),"INVALID",IF(NOT(AND('Calibrare_Linii'!S12="VALIDATED",AND('Calibrare_Linii'!H12=C1370,ISNUMBER('Calibrare_Linii'!J12),'Calibrare_Linii'!J12&lt;='Input_Meci'!G103))),"OOS PENDING",IF(S1370&lt;='Calibrare_Linii'!E12,"PASS",IF(S1370&lt;='Calibrare_Linii'!F12,"PENALTY","WATCH"))))))</x:f>
      </x:c>
      <x:c r="X1370" s="2" t="str">
        <x:f>IF(M1370="","",IF(AND(AND(J1370="PASS",'Calibrare_Linii'!U12="VALID"),'Motor_Meciuri'!K103=12,'Motor_Meciuri'!L103=12,'Motor_Meciuri'!M103="NO",'Motor_Meciuri'!BL103='Motor_Meciuri'!C103,AB1370&gt;='Config_v6'!$B$50,AN1370&gt;='Config_v6'!$B$51,T1370&lt;='Config_v6'!$B$52,L1370&lt;='Config_v6'!$B$53,ISNUMBER('Calibrare_Linii'!E12),S1370&lt;='Calibrare_Linii'!E12,SUM(AK1370:AM1370)&gt;0),"CANDIDATE","NO"))</x:f>
      </x:c>
      <x:c r="Y1370" s="2" t="str">
        <x:f>IF(B1370="","",IF(I1370&lt;&gt;"READY","NOT RELEASED",IF(AND(X1370="CANDIDATE",V1370&gt;='Config_v6'!$B$51,W1370="PASS",'Calibrare_Linii'!T12="VALIDATED",AND('Calibrare_Linii'!H12=C1370,ISNUMBER('Calibrare_Linii'!J12),'Calibrare_Linii'!J12&lt;='Input_Meci'!G103)),"PASS",IF(X1370="CANDIDATE","OOS PENDING","FAIL"))))</x:f>
      </x:c>
      <x:c r="Z1370" s="2" t="str">
        <x:f>IF(B1370="","",IF(I1370&lt;&gt;"READY","",IF(OR(NOT(AND(J1370="PASS",'Calibrare_Linii'!U12="VALID")),L1370&gt;'Config_v6'!$B$13,W1370="WATCH"),5,IF(Y1370="PASS",1,MIN(5,MAX('Config_v6'!$B$42,U1370)+IF(W1370="PENALTY",1,0))))))</x:f>
      </x:c>
      <x:c r="AA1370" s="2" t="str">
        <x:f>IF(B1370="","",IF(I1370&lt;&gt;"READY","NOT RELEASED",IF(Z1370=5,"NO BET",IF(OR(AB1370&lt;'Config_v6'!$B$16,V1370&lt;'Config_v6'!$B$18),"WATCH",IF(Z1370=1,"DEFENSIV",IF(Z1370=2,"PRUDENT",IF(Z1370=3,"MODERAT","RIDICAT")))))))</x:f>
      </x:c>
      <x:c r="AB1370" s="10" t="str">
        <x:f>IF(N1370="","",MIN(N1370,1-S1370))</x:f>
      </x:c>
      <x:c r="AC1370" s="2" t="str">
        <x:f>IF(AD1370&lt;&gt;1,"",COUNTIFS($Z$1364:$Z$1377,"&lt;"&amp;Z1370,$AD$1364:$AD$1377,1)+COUNTIFS($Z$1364:$Z$1377,Z1370,$AB$1364:$AB$1377,"&gt;"&amp;AB1370,$AD$1364:$AD$1377,1)+COUNTIFS($Z$1364:$Z$1377,Z1370,$AB$1364:$AB$1377,AB1370,$V$1364:$V$1377,"&gt;"&amp;V1370,$AD$1364:$AD$1377,1)+COUNTIFS($Z$1364:Z1370,Z1370,$AB$1364:AB1370,AB1370,$V$1364:V1370,V1370,$AD$1364:AD1370,1))</x:f>
      </x:c>
      <x:c r="AD1370" s="2" t="n">
        <x:f>IF(OR(AA1370="DEFENSIV",AA1370="PRUDENT",AA1370="MODERAT",AA1370="RIDICAT"),1,0)</x:f>
        <x:v>0</x:v>
      </x:c>
      <x:c r="AE1370" s="2" t="str">
        <x:f>IF(AD1370&lt;&gt;1,"NO",IF(W1370="PASS","YES",IF(W1370="OOS PENDING","CONDITIONAL","NO")))</x:f>
        <x:v>NO</x:v>
      </x:c>
      <x:c r="AF1370" s="2" t="n">
        <x:f>IF(AND(AD1370=1,AC1370=1,E1370="LIVE"),1,0)</x:f>
        <x:v>0</x:v>
      </x:c>
      <x:c r="AG1370" s="2" t="str">
        <x:f>IF(AF1370&lt;&gt;1,"",'Dashboard'!P123)</x:f>
      </x:c>
      <x:c r="AH1370" s="2" t="str">
        <x:f>IF(B1370="","",IF(J1370&lt;&gt;"PASS",'Motor_Meciuri'!J103,IF('Calibrare_Linii'!U12&lt;&gt;"VALID","Parametri linie invalizi",IF(L1370&gt;'Config_v6'!$B$13,"Dispersie peste limita",IF(W1370="WATCH","Failure peste limita",IF(AB1370&lt;'Config_v6'!$B$16,"P finala sub prag",IF(V1370&lt;'Config_v6'!$B$18,"Confidence sub prag",IF(E1370="REPLAY","Exemplu retrospectiv; exclus din Top LIVE",IF(Y1370="PASS","DEFENSIV validat",IF(W1370="OOS PENDING","Eligibil; calibrare linie in monitorizare","Eligibil"))))))))))</x:f>
      </x:c>
      <x:c r="AI1370" s="2" t="str">
        <x:f>IF(B1370="","",'Calibrare_Linii'!V12)</x:f>
      </x:c>
      <x:c r="AJ1370" s="2" t="str">
        <x:f>IF(B1370="","",IF(AND('Calibrare_Linii'!T12="VALIDATED",AND('Calibrare_Linii'!H12=C1370,ISNUMBER('Calibrare_Linii'!J12),'Calibrare_Linii'!J12&lt;='Input_Meci'!G103)),"DEFENSIVE VALIDATED",IF(AND('Calibrare_Linii'!S12="VALIDATED",AND('Calibrare_Linii'!H12=C1370,ISNUMBER('Calibrare_Linii'!J12),'Calibrare_Linii'!J12&lt;='Input_Meci'!G103)),"TAIL VALIDATED","OOS PENDING")))</x:f>
      </x:c>
      <x:c r="AK1370" s="2" t="n">
        <x:f>IF(J1370&lt;&gt;"PASS",0,'Motor_Meciuri'!BR103)</x:f>
        <x:v>0</x:v>
      </x:c>
      <x:c r="AL1370" s="2" t="n">
        <x:f>IF(J1370&lt;&gt;"PASS",0,'Motor_Meciuri'!BS103)</x:f>
        <x:v>0</x:v>
      </x:c>
      <x:c r="AM1370" s="2" t="n">
        <x:f>IF(J1370&lt;&gt;"PASS",0,'Motor_Meciuri'!BT103)</x:f>
        <x:v>0</x:v>
      </x:c>
      <x:c r="AN1370" s="2" t="str">
        <x:f>IF(M1370="","",MAX(0,'Motor_Meciuri'!BF103-IF(L1370&gt;'Config_v6'!$B$12,'Config_v6'!$B$37,IF(L1370&gt;'Config_v6'!$B$11,'Config_v6'!$B$36,0))))</x:f>
      </x:c>
    </x:row>
    <x:row r="1371" ht="21" customHeight="1">
      <x:c r="A1371" s="2" t="n">
        <x:v>98</x:v>
      </x:c>
      <x:c r="B1371" s="2" t="str">
        <x:f>IF('Motor_Meciuri'!A103="","",'Motor_Meciuri'!A103)</x:f>
      </x:c>
      <x:c r="C1371" s="2" t="str">
        <x:f>IF(B1371="","",'Motor_Meciuri'!B103)</x:f>
      </x:c>
      <x:c r="D1371" s="2" t="str">
        <x:f>IF(B1371="","",'Motor_Meciuri'!D103)</x:f>
      </x:c>
      <x:c r="E1371" s="2" t="str">
        <x:f>IF(B1371="","",'Motor_Meciuri'!E103)</x:f>
      </x:c>
      <x:c r="F1371" s="2" t="str">
        <x:v>U11,5</x:v>
      </x:c>
      <x:c r="G1371" s="2" t="str">
        <x:v>UNDER</x:v>
      </x:c>
      <x:c r="H1371" s="2" t="n">
        <x:v>11</x:v>
      </x:c>
      <x:c r="I1371" s="2" t="str">
        <x:f>IF(B1371="","",'Motor_Meciuri'!H103)</x:f>
      </x:c>
      <x:c r="J1371" s="2" t="str">
        <x:f>IF(B1371="","",'Motor_Meciuri'!I103)</x:f>
      </x:c>
      <x:c r="K1371" s="11" t="str">
        <x:f>IF(J1371&lt;&gt;"PASS","",'Motor_Meciuri'!BD103)</x:f>
      </x:c>
      <x:c r="L1371" s="11" t="str">
        <x:f>IF(J1371&lt;&gt;"PASS","",'Motor_Meciuri'!AU103)</x:f>
      </x:c>
      <x:c r="M1371" s="10" t="str">
        <x:f>IF(NOT(AND(J1371="PASS",'Calibrare_Linii'!U13="VALID")),"",'Distributie'!AI103)</x:f>
      </x:c>
      <x:c r="N1371" s="10" t="str">
        <x:f>IF(M1371="","",MAX(0.01,MIN(0.99,0.5+(M1371-0.5)*'Motor_Meciuri'!BG103*'Calibrare_Linii'!D13)))</x:f>
      </x:c>
      <x:c r="O1371" s="10" t="str">
        <x:f>IF(M1371="","",1-M1371)</x:f>
      </x:c>
      <x:c r="P1371" s="10" t="str">
        <x:f>IF(OR(NOT(AND(J1371="PASS",'Calibrare_Linii'!U13="VALID")),AK1371=0),""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*('Istoric_Nativ'!$Q$6:$Q$405&gt;H1371))/AK1371)</x:f>
      </x:c>
      <x:c r="Q1371" s="10" t="str">
        <x:f>IF(OR(NOT(AND(J1371="PASS",'Calibrare_Linii'!U13="VALID")),AL1371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M103)+((('Istoric_Nativ'!$E$6:$E$405='Input_Meci'!E103)+('Istoric_Nativ'!$F$6:$F$405='Input_Meci'!E103))&gt;0)*('Istoric_Nativ'!$D$6:$D$405&gt;='Motor_Meciuri'!BN103))&gt;0)*('Istoric_Nativ'!$Q$6:$Q$405&gt;H1371))/AL1371)</x:f>
      </x:c>
      <x:c r="R1371" s="10" t="str">
        <x:f>IF(OR(NOT(AND(J1371="PASS",'Calibrare_Linii'!U13="VALID")),AM1371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O103)+((('Istoric_Nativ'!$E$6:$E$405='Input_Meci'!E103)+('Istoric_Nativ'!$F$6:$F$405='Input_Meci'!E103))&gt;0)*('Istoric_Nativ'!$D$6:$D$405&gt;='Motor_Meciuri'!BP103))&gt;0)*('Istoric_Nativ'!$Q$6:$Q$405&gt;H1371))/AM1371)</x:f>
      </x:c>
      <x:c r="S1371" s="10" t="str">
        <x:f>IF(M1371="","",MAX(O1371,P1371,Q1371,R1371))</x:f>
      </x:c>
      <x:c r="T1371" s="11" t="str">
        <x:f>IF(M1371="","",MIN(100,S1371*100*'Config_v6'!$B$44+MIN(100,L1371/'Config_v6'!$B$13*100)*'Config_v6'!$B$45+(100-'Motor_Meciuri'!BF103)*'Config_v6'!$B$46+'Motor_Meciuri'!BH103*100*'Config_v6'!$B$47))</x:f>
      </x:c>
      <x:c r="U1371" s="2" t="str">
        <x:f>IF(T1371="","",IF(T1371&lt;=20,1,IF(T1371&lt;=40,2,IF(T1371&lt;=60,3,IF(T1371&lt;=80,4,5)))))</x:f>
      </x:c>
      <x:c r="V1371" s="2" t="str">
        <x:f>IF(M1371="","",MAX(0,'Motor_Meciuri'!BF103-IF(W1371="OOS PENDING",'Config_v6'!$B$35,0)-IF(L1371&gt;'Config_v6'!$B$12,'Config_v6'!$B$37,IF(L1371&gt;'Config_v6'!$B$11,'Config_v6'!$B$36,0))))</x:f>
      </x:c>
      <x:c r="W1371" s="2" t="str">
        <x:f>IF(B1371="","",IF(I1371&lt;&gt;"READY","NOT RELEASED",IF(NOT(AND(J1371="PASS",'Calibrare_Linii'!U13="VALID")),"INVALID",IF(NOT(AND('Calibrare_Linii'!S13="VALIDATED",AND('Calibrare_Linii'!H13=C1371,ISNUMBER('Calibrare_Linii'!J13),'Calibrare_Linii'!J13&lt;='Input_Meci'!G103))),"OOS PENDING",IF(S1371&lt;='Calibrare_Linii'!E13,"PASS",IF(S1371&lt;='Calibrare_Linii'!F13,"PENALTY","WATCH"))))))</x:f>
      </x:c>
      <x:c r="X1371" s="2" t="str">
        <x:f>IF(M1371="","",IF(AND(AND(J1371="PASS",'Calibrare_Linii'!U13="VALID"),'Motor_Meciuri'!K103=12,'Motor_Meciuri'!L103=12,'Motor_Meciuri'!M103="NO",'Motor_Meciuri'!BL103='Motor_Meciuri'!C103,AB1371&gt;='Config_v6'!$B$50,AN1371&gt;='Config_v6'!$B$51,T1371&lt;='Config_v6'!$B$52,L1371&lt;='Config_v6'!$B$53,ISNUMBER('Calibrare_Linii'!E13),S1371&lt;='Calibrare_Linii'!E13,SUM(AK1371:AM1371)&gt;0),"CANDIDATE","NO"))</x:f>
      </x:c>
      <x:c r="Y1371" s="2" t="str">
        <x:f>IF(B1371="","",IF(I1371&lt;&gt;"READY","NOT RELEASED",IF(AND(X1371="CANDIDATE",V1371&gt;='Config_v6'!$B$51,W1371="PASS",'Calibrare_Linii'!T13="VALIDATED",AND('Calibrare_Linii'!H13=C1371,ISNUMBER('Calibrare_Linii'!J13),'Calibrare_Linii'!J13&lt;='Input_Meci'!G103)),"PASS",IF(X1371="CANDIDATE","OOS PENDING","FAIL"))))</x:f>
      </x:c>
      <x:c r="Z1371" s="2" t="str">
        <x:f>IF(B1371="","",IF(I1371&lt;&gt;"READY","",IF(OR(NOT(AND(J1371="PASS",'Calibrare_Linii'!U13="VALID")),L1371&gt;'Config_v6'!$B$13,W1371="WATCH"),5,IF(Y1371="PASS",1,MIN(5,MAX('Config_v6'!$B$42,U1371)+IF(W1371="PENALTY",1,0))))))</x:f>
      </x:c>
      <x:c r="AA1371" s="2" t="str">
        <x:f>IF(B1371="","",IF(I1371&lt;&gt;"READY","NOT RELEASED",IF(Z1371=5,"NO BET",IF(OR(AB1371&lt;'Config_v6'!$B$16,V1371&lt;'Config_v6'!$B$18),"WATCH",IF(Z1371=1,"DEFENSIV",IF(Z1371=2,"PRUDENT",IF(Z1371=3,"MODERAT","RIDICAT")))))))</x:f>
      </x:c>
      <x:c r="AB1371" s="10" t="str">
        <x:f>IF(N1371="","",MIN(N1371,1-S1371))</x:f>
      </x:c>
      <x:c r="AC1371" s="2" t="str">
        <x:f>IF(AD1371&lt;&gt;1,"",COUNTIFS($Z$1364:$Z$1377,"&lt;"&amp;Z1371,$AD$1364:$AD$1377,1)+COUNTIFS($Z$1364:$Z$1377,Z1371,$AB$1364:$AB$1377,"&gt;"&amp;AB1371,$AD$1364:$AD$1377,1)+COUNTIFS($Z$1364:$Z$1377,Z1371,$AB$1364:$AB$1377,AB1371,$V$1364:$V$1377,"&gt;"&amp;V1371,$AD$1364:$AD$1377,1)+COUNTIFS($Z$1364:Z1371,Z1371,$AB$1364:AB1371,AB1371,$V$1364:V1371,V1371,$AD$1364:AD1371,1))</x:f>
      </x:c>
      <x:c r="AD1371" s="2" t="n">
        <x:f>IF(OR(AA1371="DEFENSIV",AA1371="PRUDENT",AA1371="MODERAT",AA1371="RIDICAT"),1,0)</x:f>
        <x:v>0</x:v>
      </x:c>
      <x:c r="AE1371" s="2" t="str">
        <x:f>IF(AD1371&lt;&gt;1,"NO",IF(W1371="PASS","YES",IF(W1371="OOS PENDING","CONDITIONAL","NO")))</x:f>
        <x:v>NO</x:v>
      </x:c>
      <x:c r="AF1371" s="2" t="n">
        <x:f>IF(AND(AD1371=1,AC1371=1,E1371="LIVE"),1,0)</x:f>
        <x:v>0</x:v>
      </x:c>
      <x:c r="AG1371" s="2" t="str">
        <x:f>IF(AF1371&lt;&gt;1,"",'Dashboard'!P123)</x:f>
      </x:c>
      <x:c r="AH1371" s="2" t="str">
        <x:f>IF(B1371="","",IF(J1371&lt;&gt;"PASS",'Motor_Meciuri'!J103,IF('Calibrare_Linii'!U13&lt;&gt;"VALID","Parametri linie invalizi",IF(L1371&gt;'Config_v6'!$B$13,"Dispersie peste limita",IF(W1371="WATCH","Failure peste limita",IF(AB1371&lt;'Config_v6'!$B$16,"P finala sub prag",IF(V1371&lt;'Config_v6'!$B$18,"Confidence sub prag",IF(E1371="REPLAY","Exemplu retrospectiv; exclus din Top LIVE",IF(Y1371="PASS","DEFENSIV validat",IF(W1371="OOS PENDING","Eligibil; calibrare linie in monitorizare","Eligibil"))))))))))</x:f>
      </x:c>
      <x:c r="AI1371" s="2" t="str">
        <x:f>IF(B1371="","",'Calibrare_Linii'!V13)</x:f>
      </x:c>
      <x:c r="AJ1371" s="2" t="str">
        <x:f>IF(B1371="","",IF(AND('Calibrare_Linii'!T13="VALIDATED",AND('Calibrare_Linii'!H13=C1371,ISNUMBER('Calibrare_Linii'!J13),'Calibrare_Linii'!J13&lt;='Input_Meci'!G103)),"DEFENSIVE VALIDATED",IF(AND('Calibrare_Linii'!S13="VALIDATED",AND('Calibrare_Linii'!H13=C1371,ISNUMBER('Calibrare_Linii'!J13),'Calibrare_Linii'!J13&lt;='Input_Meci'!G103)),"TAIL VALIDATED","OOS PENDING")))</x:f>
      </x:c>
      <x:c r="AK1371" s="2" t="n">
        <x:f>IF(J1371&lt;&gt;"PASS",0,'Motor_Meciuri'!BR103)</x:f>
        <x:v>0</x:v>
      </x:c>
      <x:c r="AL1371" s="2" t="n">
        <x:f>IF(J1371&lt;&gt;"PASS",0,'Motor_Meciuri'!BS103)</x:f>
        <x:v>0</x:v>
      </x:c>
      <x:c r="AM1371" s="2" t="n">
        <x:f>IF(J1371&lt;&gt;"PASS",0,'Motor_Meciuri'!BT103)</x:f>
        <x:v>0</x:v>
      </x:c>
      <x:c r="AN1371" s="2" t="str">
        <x:f>IF(M1371="","",MAX(0,'Motor_Meciuri'!BF103-IF(L1371&gt;'Config_v6'!$B$12,'Config_v6'!$B$37,IF(L1371&gt;'Config_v6'!$B$11,'Config_v6'!$B$36,0))))</x:f>
      </x:c>
    </x:row>
    <x:row r="1372" ht="21" customHeight="1">
      <x:c r="A1372" s="2" t="n">
        <x:v>98</x:v>
      </x:c>
      <x:c r="B1372" s="2" t="str">
        <x:f>IF('Motor_Meciuri'!A103="","",'Motor_Meciuri'!A103)</x:f>
      </x:c>
      <x:c r="C1372" s="2" t="str">
        <x:f>IF(B1372="","",'Motor_Meciuri'!B103)</x:f>
      </x:c>
      <x:c r="D1372" s="2" t="str">
        <x:f>IF(B1372="","",'Motor_Meciuri'!D103)</x:f>
      </x:c>
      <x:c r="E1372" s="2" t="str">
        <x:f>IF(B1372="","",'Motor_Meciuri'!E103)</x:f>
      </x:c>
      <x:c r="F1372" s="2" t="str">
        <x:v>U12,5</x:v>
      </x:c>
      <x:c r="G1372" s="2" t="str">
        <x:v>UNDER</x:v>
      </x:c>
      <x:c r="H1372" s="2" t="n">
        <x:v>12</x:v>
      </x:c>
      <x:c r="I1372" s="2" t="str">
        <x:f>IF(B1372="","",'Motor_Meciuri'!H103)</x:f>
      </x:c>
      <x:c r="J1372" s="2" t="str">
        <x:f>IF(B1372="","",'Motor_Meciuri'!I103)</x:f>
      </x:c>
      <x:c r="K1372" s="11" t="str">
        <x:f>IF(J1372&lt;&gt;"PASS","",'Motor_Meciuri'!BD103)</x:f>
      </x:c>
      <x:c r="L1372" s="11" t="str">
        <x:f>IF(J1372&lt;&gt;"PASS","",'Motor_Meciuri'!AU103)</x:f>
      </x:c>
      <x:c r="M1372" s="10" t="str">
        <x:f>IF(NOT(AND(J1372="PASS",'Calibrare_Linii'!U14="VALID")),"",'Distributie'!AJ103)</x:f>
      </x:c>
      <x:c r="N1372" s="10" t="str">
        <x:f>IF(M1372="","",MAX(0.01,MIN(0.99,0.5+(M1372-0.5)*'Motor_Meciuri'!BG103*'Calibrare_Linii'!D14)))</x:f>
      </x:c>
      <x:c r="O1372" s="10" t="str">
        <x:f>IF(M1372="","",1-M1372)</x:f>
      </x:c>
      <x:c r="P1372" s="10" t="str">
        <x:f>IF(OR(NOT(AND(J1372="PASS",'Calibrare_Linii'!U14="VALID")),AK1372=0),""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*('Istoric_Nativ'!$Q$6:$Q$405&gt;H1372))/AK1372)</x:f>
      </x:c>
      <x:c r="Q1372" s="10" t="str">
        <x:f>IF(OR(NOT(AND(J1372="PASS",'Calibrare_Linii'!U14="VALID")),AL1372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M103)+((('Istoric_Nativ'!$E$6:$E$405='Input_Meci'!E103)+('Istoric_Nativ'!$F$6:$F$405='Input_Meci'!E103))&gt;0)*('Istoric_Nativ'!$D$6:$D$405&gt;='Motor_Meciuri'!BN103))&gt;0)*('Istoric_Nativ'!$Q$6:$Q$405&gt;H1372))/AL1372)</x:f>
      </x:c>
      <x:c r="R1372" s="10" t="str">
        <x:f>IF(OR(NOT(AND(J1372="PASS",'Calibrare_Linii'!U14="VALID")),AM1372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O103)+((('Istoric_Nativ'!$E$6:$E$405='Input_Meci'!E103)+('Istoric_Nativ'!$F$6:$F$405='Input_Meci'!E103))&gt;0)*('Istoric_Nativ'!$D$6:$D$405&gt;='Motor_Meciuri'!BP103))&gt;0)*('Istoric_Nativ'!$Q$6:$Q$405&gt;H1372))/AM1372)</x:f>
      </x:c>
      <x:c r="S1372" s="10" t="str">
        <x:f>IF(M1372="","",MAX(O1372,P1372,Q1372,R1372))</x:f>
      </x:c>
      <x:c r="T1372" s="11" t="str">
        <x:f>IF(M1372="","",MIN(100,S1372*100*'Config_v6'!$B$44+MIN(100,L1372/'Config_v6'!$B$13*100)*'Config_v6'!$B$45+(100-'Motor_Meciuri'!BF103)*'Config_v6'!$B$46+'Motor_Meciuri'!BH103*100*'Config_v6'!$B$47))</x:f>
      </x:c>
      <x:c r="U1372" s="2" t="str">
        <x:f>IF(T1372="","",IF(T1372&lt;=20,1,IF(T1372&lt;=40,2,IF(T1372&lt;=60,3,IF(T1372&lt;=80,4,5)))))</x:f>
      </x:c>
      <x:c r="V1372" s="2" t="str">
        <x:f>IF(M1372="","",MAX(0,'Motor_Meciuri'!BF103-IF(W1372="OOS PENDING",'Config_v6'!$B$35,0)-IF(L1372&gt;'Config_v6'!$B$12,'Config_v6'!$B$37,IF(L1372&gt;'Config_v6'!$B$11,'Config_v6'!$B$36,0))))</x:f>
      </x:c>
      <x:c r="W1372" s="2" t="str">
        <x:f>IF(B1372="","",IF(I1372&lt;&gt;"READY","NOT RELEASED",IF(NOT(AND(J1372="PASS",'Calibrare_Linii'!U14="VALID")),"INVALID",IF(NOT(AND('Calibrare_Linii'!S14="VALIDATED",AND('Calibrare_Linii'!H14=C1372,ISNUMBER('Calibrare_Linii'!J14),'Calibrare_Linii'!J14&lt;='Input_Meci'!G103))),"OOS PENDING",IF(S1372&lt;='Calibrare_Linii'!E14,"PASS",IF(S1372&lt;='Calibrare_Linii'!F14,"PENALTY","WATCH"))))))</x:f>
      </x:c>
      <x:c r="X1372" s="2" t="str">
        <x:f>IF(M1372="","",IF(AND(AND(J1372="PASS",'Calibrare_Linii'!U14="VALID"),'Motor_Meciuri'!K103=12,'Motor_Meciuri'!L103=12,'Motor_Meciuri'!M103="NO",'Motor_Meciuri'!BL103='Motor_Meciuri'!C103,AB1372&gt;='Config_v6'!$B$50,AN1372&gt;='Config_v6'!$B$51,T1372&lt;='Config_v6'!$B$52,L1372&lt;='Config_v6'!$B$53,ISNUMBER('Calibrare_Linii'!E14),S1372&lt;='Calibrare_Linii'!E14,SUM(AK1372:AM1372)&gt;0),"CANDIDATE","NO"))</x:f>
      </x:c>
      <x:c r="Y1372" s="2" t="str">
        <x:f>IF(B1372="","",IF(I1372&lt;&gt;"READY","NOT RELEASED",IF(AND(X1372="CANDIDATE",V1372&gt;='Config_v6'!$B$51,W1372="PASS",'Calibrare_Linii'!T14="VALIDATED",AND('Calibrare_Linii'!H14=C1372,ISNUMBER('Calibrare_Linii'!J14),'Calibrare_Linii'!J14&lt;='Input_Meci'!G103)),"PASS",IF(X1372="CANDIDATE","OOS PENDING","FAIL"))))</x:f>
      </x:c>
      <x:c r="Z1372" s="2" t="str">
        <x:f>IF(B1372="","",IF(I1372&lt;&gt;"READY","",IF(OR(NOT(AND(J1372="PASS",'Calibrare_Linii'!U14="VALID")),L1372&gt;'Config_v6'!$B$13,W1372="WATCH"),5,IF(Y1372="PASS",1,MIN(5,MAX('Config_v6'!$B$42,U1372)+IF(W1372="PENALTY",1,0))))))</x:f>
      </x:c>
      <x:c r="AA1372" s="2" t="str">
        <x:f>IF(B1372="","",IF(I1372&lt;&gt;"READY","NOT RELEASED",IF(Z1372=5,"NO BET",IF(OR(AB1372&lt;'Config_v6'!$B$16,V1372&lt;'Config_v6'!$B$18),"WATCH",IF(Z1372=1,"DEFENSIV",IF(Z1372=2,"PRUDENT",IF(Z1372=3,"MODERAT","RIDICAT")))))))</x:f>
      </x:c>
      <x:c r="AB1372" s="10" t="str">
        <x:f>IF(N1372="","",MIN(N1372,1-S1372))</x:f>
      </x:c>
      <x:c r="AC1372" s="2" t="str">
        <x:f>IF(AD1372&lt;&gt;1,"",COUNTIFS($Z$1364:$Z$1377,"&lt;"&amp;Z1372,$AD$1364:$AD$1377,1)+COUNTIFS($Z$1364:$Z$1377,Z1372,$AB$1364:$AB$1377,"&gt;"&amp;AB1372,$AD$1364:$AD$1377,1)+COUNTIFS($Z$1364:$Z$1377,Z1372,$AB$1364:$AB$1377,AB1372,$V$1364:$V$1377,"&gt;"&amp;V1372,$AD$1364:$AD$1377,1)+COUNTIFS($Z$1364:Z1372,Z1372,$AB$1364:AB1372,AB1372,$V$1364:V1372,V1372,$AD$1364:AD1372,1))</x:f>
      </x:c>
      <x:c r="AD1372" s="2" t="n">
        <x:f>IF(OR(AA1372="DEFENSIV",AA1372="PRUDENT",AA1372="MODERAT",AA1372="RIDICAT"),1,0)</x:f>
        <x:v>0</x:v>
      </x:c>
      <x:c r="AE1372" s="2" t="str">
        <x:f>IF(AD1372&lt;&gt;1,"NO",IF(W1372="PASS","YES",IF(W1372="OOS PENDING","CONDITIONAL","NO")))</x:f>
        <x:v>NO</x:v>
      </x:c>
      <x:c r="AF1372" s="2" t="n">
        <x:f>IF(AND(AD1372=1,AC1372=1,E1372="LIVE"),1,0)</x:f>
        <x:v>0</x:v>
      </x:c>
      <x:c r="AG1372" s="2" t="str">
        <x:f>IF(AF1372&lt;&gt;1,"",'Dashboard'!P123)</x:f>
      </x:c>
      <x:c r="AH1372" s="2" t="str">
        <x:f>IF(B1372="","",IF(J1372&lt;&gt;"PASS",'Motor_Meciuri'!J103,IF('Calibrare_Linii'!U14&lt;&gt;"VALID","Parametri linie invalizi",IF(L1372&gt;'Config_v6'!$B$13,"Dispersie peste limita",IF(W1372="WATCH","Failure peste limita",IF(AB1372&lt;'Config_v6'!$B$16,"P finala sub prag",IF(V1372&lt;'Config_v6'!$B$18,"Confidence sub prag",IF(E1372="REPLAY","Exemplu retrospectiv; exclus din Top LIVE",IF(Y1372="PASS","DEFENSIV validat",IF(W1372="OOS PENDING","Eligibil; calibrare linie in monitorizare","Eligibil"))))))))))</x:f>
      </x:c>
      <x:c r="AI1372" s="2" t="str">
        <x:f>IF(B1372="","",'Calibrare_Linii'!V14)</x:f>
      </x:c>
      <x:c r="AJ1372" s="2" t="str">
        <x:f>IF(B1372="","",IF(AND('Calibrare_Linii'!T14="VALIDATED",AND('Calibrare_Linii'!H14=C1372,ISNUMBER('Calibrare_Linii'!J14),'Calibrare_Linii'!J14&lt;='Input_Meci'!G103)),"DEFENSIVE VALIDATED",IF(AND('Calibrare_Linii'!S14="VALIDATED",AND('Calibrare_Linii'!H14=C1372,ISNUMBER('Calibrare_Linii'!J14),'Calibrare_Linii'!J14&lt;='Input_Meci'!G103)),"TAIL VALIDATED","OOS PENDING")))</x:f>
      </x:c>
      <x:c r="AK1372" s="2" t="n">
        <x:f>IF(J1372&lt;&gt;"PASS",0,'Motor_Meciuri'!BR103)</x:f>
        <x:v>0</x:v>
      </x:c>
      <x:c r="AL1372" s="2" t="n">
        <x:f>IF(J1372&lt;&gt;"PASS",0,'Motor_Meciuri'!BS103)</x:f>
        <x:v>0</x:v>
      </x:c>
      <x:c r="AM1372" s="2" t="n">
        <x:f>IF(J1372&lt;&gt;"PASS",0,'Motor_Meciuri'!BT103)</x:f>
        <x:v>0</x:v>
      </x:c>
      <x:c r="AN1372" s="2" t="str">
        <x:f>IF(M1372="","",MAX(0,'Motor_Meciuri'!BF103-IF(L1372&gt;'Config_v6'!$B$12,'Config_v6'!$B$37,IF(L1372&gt;'Config_v6'!$B$11,'Config_v6'!$B$36,0))))</x:f>
      </x:c>
    </x:row>
    <x:row r="1373" ht="21" customHeight="1">
      <x:c r="A1373" s="2" t="n">
        <x:v>98</x:v>
      </x:c>
      <x:c r="B1373" s="2" t="str">
        <x:f>IF('Motor_Meciuri'!A103="","",'Motor_Meciuri'!A103)</x:f>
      </x:c>
      <x:c r="C1373" s="2" t="str">
        <x:f>IF(B1373="","",'Motor_Meciuri'!B103)</x:f>
      </x:c>
      <x:c r="D1373" s="2" t="str">
        <x:f>IF(B1373="","",'Motor_Meciuri'!D103)</x:f>
      </x:c>
      <x:c r="E1373" s="2" t="str">
        <x:f>IF(B1373="","",'Motor_Meciuri'!E103)</x:f>
      </x:c>
      <x:c r="F1373" s="2" t="str">
        <x:v>U13,5</x:v>
      </x:c>
      <x:c r="G1373" s="2" t="str">
        <x:v>UNDER</x:v>
      </x:c>
      <x:c r="H1373" s="2" t="n">
        <x:v>13</x:v>
      </x:c>
      <x:c r="I1373" s="2" t="str">
        <x:f>IF(B1373="","",'Motor_Meciuri'!H103)</x:f>
      </x:c>
      <x:c r="J1373" s="2" t="str">
        <x:f>IF(B1373="","",'Motor_Meciuri'!I103)</x:f>
      </x:c>
      <x:c r="K1373" s="11" t="str">
        <x:f>IF(J1373&lt;&gt;"PASS","",'Motor_Meciuri'!BD103)</x:f>
      </x:c>
      <x:c r="L1373" s="11" t="str">
        <x:f>IF(J1373&lt;&gt;"PASS","",'Motor_Meciuri'!AU103)</x:f>
      </x:c>
      <x:c r="M1373" s="10" t="str">
        <x:f>IF(NOT(AND(J1373="PASS",'Calibrare_Linii'!U15="VALID")),"",'Distributie'!AK103)</x:f>
      </x:c>
      <x:c r="N1373" s="10" t="str">
        <x:f>IF(M1373="","",MAX(0.01,MIN(0.99,0.5+(M1373-0.5)*'Motor_Meciuri'!BG103*'Calibrare_Linii'!D15)))</x:f>
      </x:c>
      <x:c r="O1373" s="10" t="str">
        <x:f>IF(M1373="","",1-M1373)</x:f>
      </x:c>
      <x:c r="P1373" s="10" t="str">
        <x:f>IF(OR(NOT(AND(J1373="PASS",'Calibrare_Linii'!U15="VALID")),AK1373=0),""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*('Istoric_Nativ'!$Q$6:$Q$405&gt;H1373))/AK1373)</x:f>
      </x:c>
      <x:c r="Q1373" s="10" t="str">
        <x:f>IF(OR(NOT(AND(J1373="PASS",'Calibrare_Linii'!U15="VALID")),AL1373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M103)+((('Istoric_Nativ'!$E$6:$E$405='Input_Meci'!E103)+('Istoric_Nativ'!$F$6:$F$405='Input_Meci'!E103))&gt;0)*('Istoric_Nativ'!$D$6:$D$405&gt;='Motor_Meciuri'!BN103))&gt;0)*('Istoric_Nativ'!$Q$6:$Q$405&gt;H1373))/AL1373)</x:f>
      </x:c>
      <x:c r="R1373" s="10" t="str">
        <x:f>IF(OR(NOT(AND(J1373="PASS",'Calibrare_Linii'!U15="VALID")),AM1373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O103)+((('Istoric_Nativ'!$E$6:$E$405='Input_Meci'!E103)+('Istoric_Nativ'!$F$6:$F$405='Input_Meci'!E103))&gt;0)*('Istoric_Nativ'!$D$6:$D$405&gt;='Motor_Meciuri'!BP103))&gt;0)*('Istoric_Nativ'!$Q$6:$Q$405&gt;H1373))/AM1373)</x:f>
      </x:c>
      <x:c r="S1373" s="10" t="str">
        <x:f>IF(M1373="","",MAX(O1373,P1373,Q1373,R1373))</x:f>
      </x:c>
      <x:c r="T1373" s="11" t="str">
        <x:f>IF(M1373="","",MIN(100,S1373*100*'Config_v6'!$B$44+MIN(100,L1373/'Config_v6'!$B$13*100)*'Config_v6'!$B$45+(100-'Motor_Meciuri'!BF103)*'Config_v6'!$B$46+'Motor_Meciuri'!BH103*100*'Config_v6'!$B$47))</x:f>
      </x:c>
      <x:c r="U1373" s="2" t="str">
        <x:f>IF(T1373="","",IF(T1373&lt;=20,1,IF(T1373&lt;=40,2,IF(T1373&lt;=60,3,IF(T1373&lt;=80,4,5)))))</x:f>
      </x:c>
      <x:c r="V1373" s="2" t="str">
        <x:f>IF(M1373="","",MAX(0,'Motor_Meciuri'!BF103-IF(W1373="OOS PENDING",'Config_v6'!$B$35,0)-IF(L1373&gt;'Config_v6'!$B$12,'Config_v6'!$B$37,IF(L1373&gt;'Config_v6'!$B$11,'Config_v6'!$B$36,0))))</x:f>
      </x:c>
      <x:c r="W1373" s="2" t="str">
        <x:f>IF(B1373="","",IF(I1373&lt;&gt;"READY","NOT RELEASED",IF(NOT(AND(J1373="PASS",'Calibrare_Linii'!U15="VALID")),"INVALID",IF(NOT(AND('Calibrare_Linii'!S15="VALIDATED",AND('Calibrare_Linii'!H15=C1373,ISNUMBER('Calibrare_Linii'!J15),'Calibrare_Linii'!J15&lt;='Input_Meci'!G103))),"OOS PENDING",IF(S1373&lt;='Calibrare_Linii'!E15,"PASS",IF(S1373&lt;='Calibrare_Linii'!F15,"PENALTY","WATCH"))))))</x:f>
      </x:c>
      <x:c r="X1373" s="2" t="str">
        <x:f>IF(M1373="","",IF(AND(AND(J1373="PASS",'Calibrare_Linii'!U15="VALID"),'Motor_Meciuri'!K103=12,'Motor_Meciuri'!L103=12,'Motor_Meciuri'!M103="NO",'Motor_Meciuri'!BL103='Motor_Meciuri'!C103,AB1373&gt;='Config_v6'!$B$50,AN1373&gt;='Config_v6'!$B$51,T1373&lt;='Config_v6'!$B$52,L1373&lt;='Config_v6'!$B$53,ISNUMBER('Calibrare_Linii'!E15),S1373&lt;='Calibrare_Linii'!E15,SUM(AK1373:AM1373)&gt;0),"CANDIDATE","NO"))</x:f>
      </x:c>
      <x:c r="Y1373" s="2" t="str">
        <x:f>IF(B1373="","",IF(I1373&lt;&gt;"READY","NOT RELEASED",IF(AND(X1373="CANDIDATE",V1373&gt;='Config_v6'!$B$51,W1373="PASS",'Calibrare_Linii'!T15="VALIDATED",AND('Calibrare_Linii'!H15=C1373,ISNUMBER('Calibrare_Linii'!J15),'Calibrare_Linii'!J15&lt;='Input_Meci'!G103)),"PASS",IF(X1373="CANDIDATE","OOS PENDING","FAIL"))))</x:f>
      </x:c>
      <x:c r="Z1373" s="2" t="str">
        <x:f>IF(B1373="","",IF(I1373&lt;&gt;"READY","",IF(OR(NOT(AND(J1373="PASS",'Calibrare_Linii'!U15="VALID")),L1373&gt;'Config_v6'!$B$13,W1373="WATCH"),5,IF(Y1373="PASS",1,MIN(5,MAX('Config_v6'!$B$42,U1373)+IF(W1373="PENALTY",1,0))))))</x:f>
      </x:c>
      <x:c r="AA1373" s="2" t="str">
        <x:f>IF(B1373="","",IF(I1373&lt;&gt;"READY","NOT RELEASED",IF(Z1373=5,"NO BET",IF(OR(AB1373&lt;'Config_v6'!$B$16,V1373&lt;'Config_v6'!$B$18),"WATCH",IF(Z1373=1,"DEFENSIV",IF(Z1373=2,"PRUDENT",IF(Z1373=3,"MODERAT","RIDICAT")))))))</x:f>
      </x:c>
      <x:c r="AB1373" s="10" t="str">
        <x:f>IF(N1373="","",MIN(N1373,1-S1373))</x:f>
      </x:c>
      <x:c r="AC1373" s="2" t="str">
        <x:f>IF(AD1373&lt;&gt;1,"",COUNTIFS($Z$1364:$Z$1377,"&lt;"&amp;Z1373,$AD$1364:$AD$1377,1)+COUNTIFS($Z$1364:$Z$1377,Z1373,$AB$1364:$AB$1377,"&gt;"&amp;AB1373,$AD$1364:$AD$1377,1)+COUNTIFS($Z$1364:$Z$1377,Z1373,$AB$1364:$AB$1377,AB1373,$V$1364:$V$1377,"&gt;"&amp;V1373,$AD$1364:$AD$1377,1)+COUNTIFS($Z$1364:Z1373,Z1373,$AB$1364:AB1373,AB1373,$V$1364:V1373,V1373,$AD$1364:AD1373,1))</x:f>
      </x:c>
      <x:c r="AD1373" s="2" t="n">
        <x:f>IF(OR(AA1373="DEFENSIV",AA1373="PRUDENT",AA1373="MODERAT",AA1373="RIDICAT"),1,0)</x:f>
        <x:v>0</x:v>
      </x:c>
      <x:c r="AE1373" s="2" t="str">
        <x:f>IF(AD1373&lt;&gt;1,"NO",IF(W1373="PASS","YES",IF(W1373="OOS PENDING","CONDITIONAL","NO")))</x:f>
        <x:v>NO</x:v>
      </x:c>
      <x:c r="AF1373" s="2" t="n">
        <x:f>IF(AND(AD1373=1,AC1373=1,E1373="LIVE"),1,0)</x:f>
        <x:v>0</x:v>
      </x:c>
      <x:c r="AG1373" s="2" t="str">
        <x:f>IF(AF1373&lt;&gt;1,"",'Dashboard'!P123)</x:f>
      </x:c>
      <x:c r="AH1373" s="2" t="str">
        <x:f>IF(B1373="","",IF(J1373&lt;&gt;"PASS",'Motor_Meciuri'!J103,IF('Calibrare_Linii'!U15&lt;&gt;"VALID","Parametri linie invalizi",IF(L1373&gt;'Config_v6'!$B$13,"Dispersie peste limita",IF(W1373="WATCH","Failure peste limita",IF(AB1373&lt;'Config_v6'!$B$16,"P finala sub prag",IF(V1373&lt;'Config_v6'!$B$18,"Confidence sub prag",IF(E1373="REPLAY","Exemplu retrospectiv; exclus din Top LIVE",IF(Y1373="PASS","DEFENSIV validat",IF(W1373="OOS PENDING","Eligibil; calibrare linie in monitorizare","Eligibil"))))))))))</x:f>
      </x:c>
      <x:c r="AI1373" s="2" t="str">
        <x:f>IF(B1373="","",'Calibrare_Linii'!V15)</x:f>
      </x:c>
      <x:c r="AJ1373" s="2" t="str">
        <x:f>IF(B1373="","",IF(AND('Calibrare_Linii'!T15="VALIDATED",AND('Calibrare_Linii'!H15=C1373,ISNUMBER('Calibrare_Linii'!J15),'Calibrare_Linii'!J15&lt;='Input_Meci'!G103)),"DEFENSIVE VALIDATED",IF(AND('Calibrare_Linii'!S15="VALIDATED",AND('Calibrare_Linii'!H15=C1373,ISNUMBER('Calibrare_Linii'!J15),'Calibrare_Linii'!J15&lt;='Input_Meci'!G103)),"TAIL VALIDATED","OOS PENDING")))</x:f>
      </x:c>
      <x:c r="AK1373" s="2" t="n">
        <x:f>IF(J1373&lt;&gt;"PASS",0,'Motor_Meciuri'!BR103)</x:f>
        <x:v>0</x:v>
      </x:c>
      <x:c r="AL1373" s="2" t="n">
        <x:f>IF(J1373&lt;&gt;"PASS",0,'Motor_Meciuri'!BS103)</x:f>
        <x:v>0</x:v>
      </x:c>
      <x:c r="AM1373" s="2" t="n">
        <x:f>IF(J1373&lt;&gt;"PASS",0,'Motor_Meciuri'!BT103)</x:f>
        <x:v>0</x:v>
      </x:c>
      <x:c r="AN1373" s="2" t="str">
        <x:f>IF(M1373="","",MAX(0,'Motor_Meciuri'!BF103-IF(L1373&gt;'Config_v6'!$B$12,'Config_v6'!$B$37,IF(L1373&gt;'Config_v6'!$B$11,'Config_v6'!$B$36,0))))</x:f>
      </x:c>
    </x:row>
    <x:row r="1374" ht="21" customHeight="1">
      <x:c r="A1374" s="2" t="n">
        <x:v>98</x:v>
      </x:c>
      <x:c r="B1374" s="2" t="str">
        <x:f>IF('Motor_Meciuri'!A103="","",'Motor_Meciuri'!A103)</x:f>
      </x:c>
      <x:c r="C1374" s="2" t="str">
        <x:f>IF(B1374="","",'Motor_Meciuri'!B103)</x:f>
      </x:c>
      <x:c r="D1374" s="2" t="str">
        <x:f>IF(B1374="","",'Motor_Meciuri'!D103)</x:f>
      </x:c>
      <x:c r="E1374" s="2" t="str">
        <x:f>IF(B1374="","",'Motor_Meciuri'!E103)</x:f>
      </x:c>
      <x:c r="F1374" s="2" t="str">
        <x:v>U14,5</x:v>
      </x:c>
      <x:c r="G1374" s="2" t="str">
        <x:v>UNDER</x:v>
      </x:c>
      <x:c r="H1374" s="2" t="n">
        <x:v>14</x:v>
      </x:c>
      <x:c r="I1374" s="2" t="str">
        <x:f>IF(B1374="","",'Motor_Meciuri'!H103)</x:f>
      </x:c>
      <x:c r="J1374" s="2" t="str">
        <x:f>IF(B1374="","",'Motor_Meciuri'!I103)</x:f>
      </x:c>
      <x:c r="K1374" s="11" t="str">
        <x:f>IF(J1374&lt;&gt;"PASS","",'Motor_Meciuri'!BD103)</x:f>
      </x:c>
      <x:c r="L1374" s="11" t="str">
        <x:f>IF(J1374&lt;&gt;"PASS","",'Motor_Meciuri'!AU103)</x:f>
      </x:c>
      <x:c r="M1374" s="10" t="str">
        <x:f>IF(NOT(AND(J1374="PASS",'Calibrare_Linii'!U16="VALID")),"",'Distributie'!AL103)</x:f>
      </x:c>
      <x:c r="N1374" s="10" t="str">
        <x:f>IF(M1374="","",MAX(0.01,MIN(0.99,0.5+(M1374-0.5)*'Motor_Meciuri'!BG103*'Calibrare_Linii'!D16)))</x:f>
      </x:c>
      <x:c r="O1374" s="10" t="str">
        <x:f>IF(M1374="","",1-M1374)</x:f>
      </x:c>
      <x:c r="P1374" s="10" t="str">
        <x:f>IF(OR(NOT(AND(J1374="PASS",'Calibrare_Linii'!U16="VALID")),AK1374=0),""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*('Istoric_Nativ'!$Q$6:$Q$405&gt;H1374))/AK1374)</x:f>
      </x:c>
      <x:c r="Q1374" s="10" t="str">
        <x:f>IF(OR(NOT(AND(J1374="PASS",'Calibrare_Linii'!U16="VALID")),AL1374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M103)+((('Istoric_Nativ'!$E$6:$E$405='Input_Meci'!E103)+('Istoric_Nativ'!$F$6:$F$405='Input_Meci'!E103))&gt;0)*('Istoric_Nativ'!$D$6:$D$405&gt;='Motor_Meciuri'!BN103))&gt;0)*('Istoric_Nativ'!$Q$6:$Q$405&gt;H1374))/AL1374)</x:f>
      </x:c>
      <x:c r="R1374" s="10" t="str">
        <x:f>IF(OR(NOT(AND(J1374="PASS",'Calibrare_Linii'!U16="VALID")),AM1374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O103)+((('Istoric_Nativ'!$E$6:$E$405='Input_Meci'!E103)+('Istoric_Nativ'!$F$6:$F$405='Input_Meci'!E103))&gt;0)*('Istoric_Nativ'!$D$6:$D$405&gt;='Motor_Meciuri'!BP103))&gt;0)*('Istoric_Nativ'!$Q$6:$Q$405&gt;H1374))/AM1374)</x:f>
      </x:c>
      <x:c r="S1374" s="10" t="str">
        <x:f>IF(M1374="","",MAX(O1374,P1374,Q1374,R1374))</x:f>
      </x:c>
      <x:c r="T1374" s="11" t="str">
        <x:f>IF(M1374="","",MIN(100,S1374*100*'Config_v6'!$B$44+MIN(100,L1374/'Config_v6'!$B$13*100)*'Config_v6'!$B$45+(100-'Motor_Meciuri'!BF103)*'Config_v6'!$B$46+'Motor_Meciuri'!BH103*100*'Config_v6'!$B$47))</x:f>
      </x:c>
      <x:c r="U1374" s="2" t="str">
        <x:f>IF(T1374="","",IF(T1374&lt;=20,1,IF(T1374&lt;=40,2,IF(T1374&lt;=60,3,IF(T1374&lt;=80,4,5)))))</x:f>
      </x:c>
      <x:c r="V1374" s="2" t="str">
        <x:f>IF(M1374="","",MAX(0,'Motor_Meciuri'!BF103-IF(W1374="OOS PENDING",'Config_v6'!$B$35,0)-IF(L1374&gt;'Config_v6'!$B$12,'Config_v6'!$B$37,IF(L1374&gt;'Config_v6'!$B$11,'Config_v6'!$B$36,0))))</x:f>
      </x:c>
      <x:c r="W1374" s="2" t="str">
        <x:f>IF(B1374="","",IF(I1374&lt;&gt;"READY","NOT RELEASED",IF(NOT(AND(J1374="PASS",'Calibrare_Linii'!U16="VALID")),"INVALID",IF(NOT(AND('Calibrare_Linii'!S16="VALIDATED",AND('Calibrare_Linii'!H16=C1374,ISNUMBER('Calibrare_Linii'!J16),'Calibrare_Linii'!J16&lt;='Input_Meci'!G103))),"OOS PENDING",IF(S1374&lt;='Calibrare_Linii'!E16,"PASS",IF(S1374&lt;='Calibrare_Linii'!F16,"PENALTY","WATCH"))))))</x:f>
      </x:c>
      <x:c r="X1374" s="2" t="str">
        <x:f>IF(M1374="","",IF(AND(AND(J1374="PASS",'Calibrare_Linii'!U16="VALID"),'Motor_Meciuri'!K103=12,'Motor_Meciuri'!L103=12,'Motor_Meciuri'!M103="NO",'Motor_Meciuri'!BL103='Motor_Meciuri'!C103,AB1374&gt;='Config_v6'!$B$50,AN1374&gt;='Config_v6'!$B$51,T1374&lt;='Config_v6'!$B$52,L1374&lt;='Config_v6'!$B$53,ISNUMBER('Calibrare_Linii'!E16),S1374&lt;='Calibrare_Linii'!E16,SUM(AK1374:AM1374)&gt;0),"CANDIDATE","NO"))</x:f>
      </x:c>
      <x:c r="Y1374" s="2" t="str">
        <x:f>IF(B1374="","",IF(I1374&lt;&gt;"READY","NOT RELEASED",IF(AND(X1374="CANDIDATE",V1374&gt;='Config_v6'!$B$51,W1374="PASS",'Calibrare_Linii'!T16="VALIDATED",AND('Calibrare_Linii'!H16=C1374,ISNUMBER('Calibrare_Linii'!J16),'Calibrare_Linii'!J16&lt;='Input_Meci'!G103)),"PASS",IF(X1374="CANDIDATE","OOS PENDING","FAIL"))))</x:f>
      </x:c>
      <x:c r="Z1374" s="2" t="str">
        <x:f>IF(B1374="","",IF(I1374&lt;&gt;"READY","",IF(OR(NOT(AND(J1374="PASS",'Calibrare_Linii'!U16="VALID")),L1374&gt;'Config_v6'!$B$13,W1374="WATCH"),5,IF(Y1374="PASS",1,MIN(5,MAX('Config_v6'!$B$42,U1374)+IF(W1374="PENALTY",1,0))))))</x:f>
      </x:c>
      <x:c r="AA1374" s="2" t="str">
        <x:f>IF(B1374="","",IF(I1374&lt;&gt;"READY","NOT RELEASED",IF(Z1374=5,"NO BET",IF(OR(AB1374&lt;'Config_v6'!$B$16,V1374&lt;'Config_v6'!$B$18),"WATCH",IF(Z1374=1,"DEFENSIV",IF(Z1374=2,"PRUDENT",IF(Z1374=3,"MODERAT","RIDICAT")))))))</x:f>
      </x:c>
      <x:c r="AB1374" s="10" t="str">
        <x:f>IF(N1374="","",MIN(N1374,1-S1374))</x:f>
      </x:c>
      <x:c r="AC1374" s="2" t="str">
        <x:f>IF(AD1374&lt;&gt;1,"",COUNTIFS($Z$1364:$Z$1377,"&lt;"&amp;Z1374,$AD$1364:$AD$1377,1)+COUNTIFS($Z$1364:$Z$1377,Z1374,$AB$1364:$AB$1377,"&gt;"&amp;AB1374,$AD$1364:$AD$1377,1)+COUNTIFS($Z$1364:$Z$1377,Z1374,$AB$1364:$AB$1377,AB1374,$V$1364:$V$1377,"&gt;"&amp;V1374,$AD$1364:$AD$1377,1)+COUNTIFS($Z$1364:Z1374,Z1374,$AB$1364:AB1374,AB1374,$V$1364:V1374,V1374,$AD$1364:AD1374,1))</x:f>
      </x:c>
      <x:c r="AD1374" s="2" t="n">
        <x:f>IF(OR(AA1374="DEFENSIV",AA1374="PRUDENT",AA1374="MODERAT",AA1374="RIDICAT"),1,0)</x:f>
        <x:v>0</x:v>
      </x:c>
      <x:c r="AE1374" s="2" t="str">
        <x:f>IF(AD1374&lt;&gt;1,"NO",IF(W1374="PASS","YES",IF(W1374="OOS PENDING","CONDITIONAL","NO")))</x:f>
        <x:v>NO</x:v>
      </x:c>
      <x:c r="AF1374" s="2" t="n">
        <x:f>IF(AND(AD1374=1,AC1374=1,E1374="LIVE"),1,0)</x:f>
        <x:v>0</x:v>
      </x:c>
      <x:c r="AG1374" s="2" t="str">
        <x:f>IF(AF1374&lt;&gt;1,"",'Dashboard'!P123)</x:f>
      </x:c>
      <x:c r="AH1374" s="2" t="str">
        <x:f>IF(B1374="","",IF(J1374&lt;&gt;"PASS",'Motor_Meciuri'!J103,IF('Calibrare_Linii'!U16&lt;&gt;"VALID","Parametri linie invalizi",IF(L1374&gt;'Config_v6'!$B$13,"Dispersie peste limita",IF(W1374="WATCH","Failure peste limita",IF(AB1374&lt;'Config_v6'!$B$16,"P finala sub prag",IF(V1374&lt;'Config_v6'!$B$18,"Confidence sub prag",IF(E1374="REPLAY","Exemplu retrospectiv; exclus din Top LIVE",IF(Y1374="PASS","DEFENSIV validat",IF(W1374="OOS PENDING","Eligibil; calibrare linie in monitorizare","Eligibil"))))))))))</x:f>
      </x:c>
      <x:c r="AI1374" s="2" t="str">
        <x:f>IF(B1374="","",'Calibrare_Linii'!V16)</x:f>
      </x:c>
      <x:c r="AJ1374" s="2" t="str">
        <x:f>IF(B1374="","",IF(AND('Calibrare_Linii'!T16="VALIDATED",AND('Calibrare_Linii'!H16=C1374,ISNUMBER('Calibrare_Linii'!J16),'Calibrare_Linii'!J16&lt;='Input_Meci'!G103)),"DEFENSIVE VALIDATED",IF(AND('Calibrare_Linii'!S16="VALIDATED",AND('Calibrare_Linii'!H16=C1374,ISNUMBER('Calibrare_Linii'!J16),'Calibrare_Linii'!J16&lt;='Input_Meci'!G103)),"TAIL VALIDATED","OOS PENDING")))</x:f>
      </x:c>
      <x:c r="AK1374" s="2" t="n">
        <x:f>IF(J1374&lt;&gt;"PASS",0,'Motor_Meciuri'!BR103)</x:f>
        <x:v>0</x:v>
      </x:c>
      <x:c r="AL1374" s="2" t="n">
        <x:f>IF(J1374&lt;&gt;"PASS",0,'Motor_Meciuri'!BS103)</x:f>
        <x:v>0</x:v>
      </x:c>
      <x:c r="AM1374" s="2" t="n">
        <x:f>IF(J1374&lt;&gt;"PASS",0,'Motor_Meciuri'!BT103)</x:f>
        <x:v>0</x:v>
      </x:c>
      <x:c r="AN1374" s="2" t="str">
        <x:f>IF(M1374="","",MAX(0,'Motor_Meciuri'!BF103-IF(L1374&gt;'Config_v6'!$B$12,'Config_v6'!$B$37,IF(L1374&gt;'Config_v6'!$B$11,'Config_v6'!$B$36,0))))</x:f>
      </x:c>
    </x:row>
    <x:row r="1375" ht="21" customHeight="1">
      <x:c r="A1375" s="2" t="n">
        <x:v>98</x:v>
      </x:c>
      <x:c r="B1375" s="2" t="str">
        <x:f>IF('Motor_Meciuri'!A103="","",'Motor_Meciuri'!A103)</x:f>
      </x:c>
      <x:c r="C1375" s="2" t="str">
        <x:f>IF(B1375="","",'Motor_Meciuri'!B103)</x:f>
      </x:c>
      <x:c r="D1375" s="2" t="str">
        <x:f>IF(B1375="","",'Motor_Meciuri'!D103)</x:f>
      </x:c>
      <x:c r="E1375" s="2" t="str">
        <x:f>IF(B1375="","",'Motor_Meciuri'!E103)</x:f>
      </x:c>
      <x:c r="F1375" s="2" t="str">
        <x:v>U15,5</x:v>
      </x:c>
      <x:c r="G1375" s="2" t="str">
        <x:v>UNDER</x:v>
      </x:c>
      <x:c r="H1375" s="2" t="n">
        <x:v>15</x:v>
      </x:c>
      <x:c r="I1375" s="2" t="str">
        <x:f>IF(B1375="","",'Motor_Meciuri'!H103)</x:f>
      </x:c>
      <x:c r="J1375" s="2" t="str">
        <x:f>IF(B1375="","",'Motor_Meciuri'!I103)</x:f>
      </x:c>
      <x:c r="K1375" s="11" t="str">
        <x:f>IF(J1375&lt;&gt;"PASS","",'Motor_Meciuri'!BD103)</x:f>
      </x:c>
      <x:c r="L1375" s="11" t="str">
        <x:f>IF(J1375&lt;&gt;"PASS","",'Motor_Meciuri'!AU103)</x:f>
      </x:c>
      <x:c r="M1375" s="10" t="str">
        <x:f>IF(NOT(AND(J1375="PASS",'Calibrare_Linii'!U17="VALID")),"",'Distributie'!AM103)</x:f>
      </x:c>
      <x:c r="N1375" s="10" t="str">
        <x:f>IF(M1375="","",MAX(0.01,MIN(0.99,0.5+(M1375-0.5)*'Motor_Meciuri'!BG103*'Calibrare_Linii'!D17)))</x:f>
      </x:c>
      <x:c r="O1375" s="10" t="str">
        <x:f>IF(M1375="","",1-M1375)</x:f>
      </x:c>
      <x:c r="P1375" s="10" t="str">
        <x:f>IF(OR(NOT(AND(J1375="PASS",'Calibrare_Linii'!U17="VALID")),AK1375=0),""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*('Istoric_Nativ'!$Q$6:$Q$405&gt;H1375))/AK1375)</x:f>
      </x:c>
      <x:c r="Q1375" s="10" t="str">
        <x:f>IF(OR(NOT(AND(J1375="PASS",'Calibrare_Linii'!U17="VALID")),AL1375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M103)+((('Istoric_Nativ'!$E$6:$E$405='Input_Meci'!E103)+('Istoric_Nativ'!$F$6:$F$405='Input_Meci'!E103))&gt;0)*('Istoric_Nativ'!$D$6:$D$405&gt;='Motor_Meciuri'!BN103))&gt;0)*('Istoric_Nativ'!$Q$6:$Q$405&gt;H1375))/AL1375)</x:f>
      </x:c>
      <x:c r="R1375" s="10" t="str">
        <x:f>IF(OR(NOT(AND(J1375="PASS",'Calibrare_Linii'!U17="VALID")),AM1375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O103)+((('Istoric_Nativ'!$E$6:$E$405='Input_Meci'!E103)+('Istoric_Nativ'!$F$6:$F$405='Input_Meci'!E103))&gt;0)*('Istoric_Nativ'!$D$6:$D$405&gt;='Motor_Meciuri'!BP103))&gt;0)*('Istoric_Nativ'!$Q$6:$Q$405&gt;H1375))/AM1375)</x:f>
      </x:c>
      <x:c r="S1375" s="10" t="str">
        <x:f>IF(M1375="","",MAX(O1375,P1375,Q1375,R1375))</x:f>
      </x:c>
      <x:c r="T1375" s="11" t="str">
        <x:f>IF(M1375="","",MIN(100,S1375*100*'Config_v6'!$B$44+MIN(100,L1375/'Config_v6'!$B$13*100)*'Config_v6'!$B$45+(100-'Motor_Meciuri'!BF103)*'Config_v6'!$B$46+'Motor_Meciuri'!BH103*100*'Config_v6'!$B$47))</x:f>
      </x:c>
      <x:c r="U1375" s="2" t="str">
        <x:f>IF(T1375="","",IF(T1375&lt;=20,1,IF(T1375&lt;=40,2,IF(T1375&lt;=60,3,IF(T1375&lt;=80,4,5)))))</x:f>
      </x:c>
      <x:c r="V1375" s="2" t="str">
        <x:f>IF(M1375="","",MAX(0,'Motor_Meciuri'!BF103-IF(W1375="OOS PENDING",'Config_v6'!$B$35,0)-IF(L1375&gt;'Config_v6'!$B$12,'Config_v6'!$B$37,IF(L1375&gt;'Config_v6'!$B$11,'Config_v6'!$B$36,0))))</x:f>
      </x:c>
      <x:c r="W1375" s="2" t="str">
        <x:f>IF(B1375="","",IF(I1375&lt;&gt;"READY","NOT RELEASED",IF(NOT(AND(J1375="PASS",'Calibrare_Linii'!U17="VALID")),"INVALID",IF(NOT(AND('Calibrare_Linii'!S17="VALIDATED",AND('Calibrare_Linii'!H17=C1375,ISNUMBER('Calibrare_Linii'!J17),'Calibrare_Linii'!J17&lt;='Input_Meci'!G103))),"OOS PENDING",IF(S1375&lt;='Calibrare_Linii'!E17,"PASS",IF(S1375&lt;='Calibrare_Linii'!F17,"PENALTY","WATCH"))))))</x:f>
      </x:c>
      <x:c r="X1375" s="2" t="str">
        <x:f>IF(M1375="","",IF(AND(AND(J1375="PASS",'Calibrare_Linii'!U17="VALID"),'Motor_Meciuri'!K103=12,'Motor_Meciuri'!L103=12,'Motor_Meciuri'!M103="NO",'Motor_Meciuri'!BL103='Motor_Meciuri'!C103,AB1375&gt;='Config_v6'!$B$50,AN1375&gt;='Config_v6'!$B$51,T1375&lt;='Config_v6'!$B$52,L1375&lt;='Config_v6'!$B$53,ISNUMBER('Calibrare_Linii'!E17),S1375&lt;='Calibrare_Linii'!E17,SUM(AK1375:AM1375)&gt;0),"CANDIDATE","NO"))</x:f>
      </x:c>
      <x:c r="Y1375" s="2" t="str">
        <x:f>IF(B1375="","",IF(I1375&lt;&gt;"READY","NOT RELEASED",IF(AND(X1375="CANDIDATE",V1375&gt;='Config_v6'!$B$51,W1375="PASS",'Calibrare_Linii'!T17="VALIDATED",AND('Calibrare_Linii'!H17=C1375,ISNUMBER('Calibrare_Linii'!J17),'Calibrare_Linii'!J17&lt;='Input_Meci'!G103)),"PASS",IF(X1375="CANDIDATE","OOS PENDING","FAIL"))))</x:f>
      </x:c>
      <x:c r="Z1375" s="2" t="str">
        <x:f>IF(B1375="","",IF(I1375&lt;&gt;"READY","",IF(OR(NOT(AND(J1375="PASS",'Calibrare_Linii'!U17="VALID")),L1375&gt;'Config_v6'!$B$13,W1375="WATCH"),5,IF(Y1375="PASS",1,MIN(5,MAX('Config_v6'!$B$42,U1375)+IF(W1375="PENALTY",1,0))))))</x:f>
      </x:c>
      <x:c r="AA1375" s="2" t="str">
        <x:f>IF(B1375="","",IF(I1375&lt;&gt;"READY","NOT RELEASED",IF(Z1375=5,"NO BET",IF(OR(AB1375&lt;'Config_v6'!$B$16,V1375&lt;'Config_v6'!$B$18),"WATCH",IF(Z1375=1,"DEFENSIV",IF(Z1375=2,"PRUDENT",IF(Z1375=3,"MODERAT","RIDICAT")))))))</x:f>
      </x:c>
      <x:c r="AB1375" s="10" t="str">
        <x:f>IF(N1375="","",MIN(N1375,1-S1375))</x:f>
      </x:c>
      <x:c r="AC1375" s="2" t="str">
        <x:f>IF(AD1375&lt;&gt;1,"",COUNTIFS($Z$1364:$Z$1377,"&lt;"&amp;Z1375,$AD$1364:$AD$1377,1)+COUNTIFS($Z$1364:$Z$1377,Z1375,$AB$1364:$AB$1377,"&gt;"&amp;AB1375,$AD$1364:$AD$1377,1)+COUNTIFS($Z$1364:$Z$1377,Z1375,$AB$1364:$AB$1377,AB1375,$V$1364:$V$1377,"&gt;"&amp;V1375,$AD$1364:$AD$1377,1)+COUNTIFS($Z$1364:Z1375,Z1375,$AB$1364:AB1375,AB1375,$V$1364:V1375,V1375,$AD$1364:AD1375,1))</x:f>
      </x:c>
      <x:c r="AD1375" s="2" t="n">
        <x:f>IF(OR(AA1375="DEFENSIV",AA1375="PRUDENT",AA1375="MODERAT",AA1375="RIDICAT"),1,0)</x:f>
        <x:v>0</x:v>
      </x:c>
      <x:c r="AE1375" s="2" t="str">
        <x:f>IF(AD1375&lt;&gt;1,"NO",IF(W1375="PASS","YES",IF(W1375="OOS PENDING","CONDITIONAL","NO")))</x:f>
        <x:v>NO</x:v>
      </x:c>
      <x:c r="AF1375" s="2" t="n">
        <x:f>IF(AND(AD1375=1,AC1375=1,E1375="LIVE"),1,0)</x:f>
        <x:v>0</x:v>
      </x:c>
      <x:c r="AG1375" s="2" t="str">
        <x:f>IF(AF1375&lt;&gt;1,"",'Dashboard'!P123)</x:f>
      </x:c>
      <x:c r="AH1375" s="2" t="str">
        <x:f>IF(B1375="","",IF(J1375&lt;&gt;"PASS",'Motor_Meciuri'!J103,IF('Calibrare_Linii'!U17&lt;&gt;"VALID","Parametri linie invalizi",IF(L1375&gt;'Config_v6'!$B$13,"Dispersie peste limita",IF(W1375="WATCH","Failure peste limita",IF(AB1375&lt;'Config_v6'!$B$16,"P finala sub prag",IF(V1375&lt;'Config_v6'!$B$18,"Confidence sub prag",IF(E1375="REPLAY","Exemplu retrospectiv; exclus din Top LIVE",IF(Y1375="PASS","DEFENSIV validat",IF(W1375="OOS PENDING","Eligibil; calibrare linie in monitorizare","Eligibil"))))))))))</x:f>
      </x:c>
      <x:c r="AI1375" s="2" t="str">
        <x:f>IF(B1375="","",'Calibrare_Linii'!V17)</x:f>
      </x:c>
      <x:c r="AJ1375" s="2" t="str">
        <x:f>IF(B1375="","",IF(AND('Calibrare_Linii'!T17="VALIDATED",AND('Calibrare_Linii'!H17=C1375,ISNUMBER('Calibrare_Linii'!J17),'Calibrare_Linii'!J17&lt;='Input_Meci'!G103)),"DEFENSIVE VALIDATED",IF(AND('Calibrare_Linii'!S17="VALIDATED",AND('Calibrare_Linii'!H17=C1375,ISNUMBER('Calibrare_Linii'!J17),'Calibrare_Linii'!J17&lt;='Input_Meci'!G103)),"TAIL VALIDATED","OOS PENDING")))</x:f>
      </x:c>
      <x:c r="AK1375" s="2" t="n">
        <x:f>IF(J1375&lt;&gt;"PASS",0,'Motor_Meciuri'!BR103)</x:f>
        <x:v>0</x:v>
      </x:c>
      <x:c r="AL1375" s="2" t="n">
        <x:f>IF(J1375&lt;&gt;"PASS",0,'Motor_Meciuri'!BS103)</x:f>
        <x:v>0</x:v>
      </x:c>
      <x:c r="AM1375" s="2" t="n">
        <x:f>IF(J1375&lt;&gt;"PASS",0,'Motor_Meciuri'!BT103)</x:f>
        <x:v>0</x:v>
      </x:c>
      <x:c r="AN1375" s="2" t="str">
        <x:f>IF(M1375="","",MAX(0,'Motor_Meciuri'!BF103-IF(L1375&gt;'Config_v6'!$B$12,'Config_v6'!$B$37,IF(L1375&gt;'Config_v6'!$B$11,'Config_v6'!$B$36,0))))</x:f>
      </x:c>
    </x:row>
    <x:row r="1376" ht="21" customHeight="1">
      <x:c r="A1376" s="2" t="n">
        <x:v>98</x:v>
      </x:c>
      <x:c r="B1376" s="2" t="str">
        <x:f>IF('Motor_Meciuri'!A103="","",'Motor_Meciuri'!A103)</x:f>
      </x:c>
      <x:c r="C1376" s="2" t="str">
        <x:f>IF(B1376="","",'Motor_Meciuri'!B103)</x:f>
      </x:c>
      <x:c r="D1376" s="2" t="str">
        <x:f>IF(B1376="","",'Motor_Meciuri'!D103)</x:f>
      </x:c>
      <x:c r="E1376" s="2" t="str">
        <x:f>IF(B1376="","",'Motor_Meciuri'!E103)</x:f>
      </x:c>
      <x:c r="F1376" s="2" t="str">
        <x:v>U16,5</x:v>
      </x:c>
      <x:c r="G1376" s="2" t="str">
        <x:v>UNDER</x:v>
      </x:c>
      <x:c r="H1376" s="2" t="n">
        <x:v>16</x:v>
      </x:c>
      <x:c r="I1376" s="2" t="str">
        <x:f>IF(B1376="","",'Motor_Meciuri'!H103)</x:f>
      </x:c>
      <x:c r="J1376" s="2" t="str">
        <x:f>IF(B1376="","",'Motor_Meciuri'!I103)</x:f>
      </x:c>
      <x:c r="K1376" s="11" t="str">
        <x:f>IF(J1376&lt;&gt;"PASS","",'Motor_Meciuri'!BD103)</x:f>
      </x:c>
      <x:c r="L1376" s="11" t="str">
        <x:f>IF(J1376&lt;&gt;"PASS","",'Motor_Meciuri'!AU103)</x:f>
      </x:c>
      <x:c r="M1376" s="10" t="str">
        <x:f>IF(NOT(AND(J1376="PASS",'Calibrare_Linii'!U18="VALID")),"",'Distributie'!AN103)</x:f>
      </x:c>
      <x:c r="N1376" s="10" t="str">
        <x:f>IF(M1376="","",MAX(0.01,MIN(0.99,0.5+(M1376-0.5)*'Motor_Meciuri'!BG103*'Calibrare_Linii'!D18)))</x:f>
      </x:c>
      <x:c r="O1376" s="10" t="str">
        <x:f>IF(M1376="","",1-M1376)</x:f>
      </x:c>
      <x:c r="P1376" s="10" t="str">
        <x:f>IF(OR(NOT(AND(J1376="PASS",'Calibrare_Linii'!U18="VALID")),AK1376=0),""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*('Istoric_Nativ'!$Q$6:$Q$405&gt;H1376))/AK1376)</x:f>
      </x:c>
      <x:c r="Q1376" s="10" t="str">
        <x:f>IF(OR(NOT(AND(J1376="PASS",'Calibrare_Linii'!U18="VALID")),AL1376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M103)+((('Istoric_Nativ'!$E$6:$E$405='Input_Meci'!E103)+('Istoric_Nativ'!$F$6:$F$405='Input_Meci'!E103))&gt;0)*('Istoric_Nativ'!$D$6:$D$405&gt;='Motor_Meciuri'!BN103))&gt;0)*('Istoric_Nativ'!$Q$6:$Q$405&gt;H1376))/AL1376)</x:f>
      </x:c>
      <x:c r="R1376" s="10" t="str">
        <x:f>IF(OR(NOT(AND(J1376="PASS",'Calibrare_Linii'!U18="VALID")),AM1376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O103)+((('Istoric_Nativ'!$E$6:$E$405='Input_Meci'!E103)+('Istoric_Nativ'!$F$6:$F$405='Input_Meci'!E103))&gt;0)*('Istoric_Nativ'!$D$6:$D$405&gt;='Motor_Meciuri'!BP103))&gt;0)*('Istoric_Nativ'!$Q$6:$Q$405&gt;H1376))/AM1376)</x:f>
      </x:c>
      <x:c r="S1376" s="10" t="str">
        <x:f>IF(M1376="","",MAX(O1376,P1376,Q1376,R1376))</x:f>
      </x:c>
      <x:c r="T1376" s="11" t="str">
        <x:f>IF(M1376="","",MIN(100,S1376*100*'Config_v6'!$B$44+MIN(100,L1376/'Config_v6'!$B$13*100)*'Config_v6'!$B$45+(100-'Motor_Meciuri'!BF103)*'Config_v6'!$B$46+'Motor_Meciuri'!BH103*100*'Config_v6'!$B$47))</x:f>
      </x:c>
      <x:c r="U1376" s="2" t="str">
        <x:f>IF(T1376="","",IF(T1376&lt;=20,1,IF(T1376&lt;=40,2,IF(T1376&lt;=60,3,IF(T1376&lt;=80,4,5)))))</x:f>
      </x:c>
      <x:c r="V1376" s="2" t="str">
        <x:f>IF(M1376="","",MAX(0,'Motor_Meciuri'!BF103-IF(W1376="OOS PENDING",'Config_v6'!$B$35,0)-IF(L1376&gt;'Config_v6'!$B$12,'Config_v6'!$B$37,IF(L1376&gt;'Config_v6'!$B$11,'Config_v6'!$B$36,0))))</x:f>
      </x:c>
      <x:c r="W1376" s="2" t="str">
        <x:f>IF(B1376="","",IF(I1376&lt;&gt;"READY","NOT RELEASED",IF(NOT(AND(J1376="PASS",'Calibrare_Linii'!U18="VALID")),"INVALID",IF(NOT(AND('Calibrare_Linii'!S18="VALIDATED",AND('Calibrare_Linii'!H18=C1376,ISNUMBER('Calibrare_Linii'!J18),'Calibrare_Linii'!J18&lt;='Input_Meci'!G103))),"OOS PENDING",IF(S1376&lt;='Calibrare_Linii'!E18,"PASS",IF(S1376&lt;='Calibrare_Linii'!F18,"PENALTY","WATCH"))))))</x:f>
      </x:c>
      <x:c r="X1376" s="2" t="str">
        <x:f>IF(M1376="","",IF(AND(AND(J1376="PASS",'Calibrare_Linii'!U18="VALID"),'Motor_Meciuri'!K103=12,'Motor_Meciuri'!L103=12,'Motor_Meciuri'!M103="NO",'Motor_Meciuri'!BL103='Motor_Meciuri'!C103,AB1376&gt;='Config_v6'!$B$50,AN1376&gt;='Config_v6'!$B$51,T1376&lt;='Config_v6'!$B$52,L1376&lt;='Config_v6'!$B$53,ISNUMBER('Calibrare_Linii'!E18),S1376&lt;='Calibrare_Linii'!E18,SUM(AK1376:AM1376)&gt;0),"CANDIDATE","NO"))</x:f>
      </x:c>
      <x:c r="Y1376" s="2" t="str">
        <x:f>IF(B1376="","",IF(I1376&lt;&gt;"READY","NOT RELEASED",IF(AND(X1376="CANDIDATE",V1376&gt;='Config_v6'!$B$51,W1376="PASS",'Calibrare_Linii'!T18="VALIDATED",AND('Calibrare_Linii'!H18=C1376,ISNUMBER('Calibrare_Linii'!J18),'Calibrare_Linii'!J18&lt;='Input_Meci'!G103)),"PASS",IF(X1376="CANDIDATE","OOS PENDING","FAIL"))))</x:f>
      </x:c>
      <x:c r="Z1376" s="2" t="str">
        <x:f>IF(B1376="","",IF(I1376&lt;&gt;"READY","",IF(OR(NOT(AND(J1376="PASS",'Calibrare_Linii'!U18="VALID")),L1376&gt;'Config_v6'!$B$13,W1376="WATCH"),5,IF(Y1376="PASS",1,MIN(5,MAX('Config_v6'!$B$42,U1376)+IF(W1376="PENALTY",1,0))))))</x:f>
      </x:c>
      <x:c r="AA1376" s="2" t="str">
        <x:f>IF(B1376="","",IF(I1376&lt;&gt;"READY","NOT RELEASED",IF(Z1376=5,"NO BET",IF(OR(AB1376&lt;'Config_v6'!$B$16,V1376&lt;'Config_v6'!$B$18),"WATCH",IF(Z1376=1,"DEFENSIV",IF(Z1376=2,"PRUDENT",IF(Z1376=3,"MODERAT","RIDICAT")))))))</x:f>
      </x:c>
      <x:c r="AB1376" s="10" t="str">
        <x:f>IF(N1376="","",MIN(N1376,1-S1376))</x:f>
      </x:c>
      <x:c r="AC1376" s="2" t="str">
        <x:f>IF(AD1376&lt;&gt;1,"",COUNTIFS($Z$1364:$Z$1377,"&lt;"&amp;Z1376,$AD$1364:$AD$1377,1)+COUNTIFS($Z$1364:$Z$1377,Z1376,$AB$1364:$AB$1377,"&gt;"&amp;AB1376,$AD$1364:$AD$1377,1)+COUNTIFS($Z$1364:$Z$1377,Z1376,$AB$1364:$AB$1377,AB1376,$V$1364:$V$1377,"&gt;"&amp;V1376,$AD$1364:$AD$1377,1)+COUNTIFS($Z$1364:Z1376,Z1376,$AB$1364:AB1376,AB1376,$V$1364:V1376,V1376,$AD$1364:AD1376,1))</x:f>
      </x:c>
      <x:c r="AD1376" s="2" t="n">
        <x:f>IF(OR(AA1376="DEFENSIV",AA1376="PRUDENT",AA1376="MODERAT",AA1376="RIDICAT"),1,0)</x:f>
        <x:v>0</x:v>
      </x:c>
      <x:c r="AE1376" s="2" t="str">
        <x:f>IF(AD1376&lt;&gt;1,"NO",IF(W1376="PASS","YES",IF(W1376="OOS PENDING","CONDITIONAL","NO")))</x:f>
        <x:v>NO</x:v>
      </x:c>
      <x:c r="AF1376" s="2" t="n">
        <x:f>IF(AND(AD1376=1,AC1376=1,E1376="LIVE"),1,0)</x:f>
        <x:v>0</x:v>
      </x:c>
      <x:c r="AG1376" s="2" t="str">
        <x:f>IF(AF1376&lt;&gt;1,"",'Dashboard'!P123)</x:f>
      </x:c>
      <x:c r="AH1376" s="2" t="str">
        <x:f>IF(B1376="","",IF(J1376&lt;&gt;"PASS",'Motor_Meciuri'!J103,IF('Calibrare_Linii'!U18&lt;&gt;"VALID","Parametri linie invalizi",IF(L1376&gt;'Config_v6'!$B$13,"Dispersie peste limita",IF(W1376="WATCH","Failure peste limita",IF(AB1376&lt;'Config_v6'!$B$16,"P finala sub prag",IF(V1376&lt;'Config_v6'!$B$18,"Confidence sub prag",IF(E1376="REPLAY","Exemplu retrospectiv; exclus din Top LIVE",IF(Y1376="PASS","DEFENSIV validat",IF(W1376="OOS PENDING","Eligibil; calibrare linie in monitorizare","Eligibil"))))))))))</x:f>
      </x:c>
      <x:c r="AI1376" s="2" t="str">
        <x:f>IF(B1376="","",'Calibrare_Linii'!V18)</x:f>
      </x:c>
      <x:c r="AJ1376" s="2" t="str">
        <x:f>IF(B1376="","",IF(AND('Calibrare_Linii'!T18="VALIDATED",AND('Calibrare_Linii'!H18=C1376,ISNUMBER('Calibrare_Linii'!J18),'Calibrare_Linii'!J18&lt;='Input_Meci'!G103)),"DEFENSIVE VALIDATED",IF(AND('Calibrare_Linii'!S18="VALIDATED",AND('Calibrare_Linii'!H18=C1376,ISNUMBER('Calibrare_Linii'!J18),'Calibrare_Linii'!J18&lt;='Input_Meci'!G103)),"TAIL VALIDATED","OOS PENDING")))</x:f>
      </x:c>
      <x:c r="AK1376" s="2" t="n">
        <x:f>IF(J1376&lt;&gt;"PASS",0,'Motor_Meciuri'!BR103)</x:f>
        <x:v>0</x:v>
      </x:c>
      <x:c r="AL1376" s="2" t="n">
        <x:f>IF(J1376&lt;&gt;"PASS",0,'Motor_Meciuri'!BS103)</x:f>
        <x:v>0</x:v>
      </x:c>
      <x:c r="AM1376" s="2" t="n">
        <x:f>IF(J1376&lt;&gt;"PASS",0,'Motor_Meciuri'!BT103)</x:f>
        <x:v>0</x:v>
      </x:c>
      <x:c r="AN1376" s="2" t="str">
        <x:f>IF(M1376="","",MAX(0,'Motor_Meciuri'!BF103-IF(L1376&gt;'Config_v6'!$B$12,'Config_v6'!$B$37,IF(L1376&gt;'Config_v6'!$B$11,'Config_v6'!$B$36,0))))</x:f>
      </x:c>
    </x:row>
    <x:row r="1377" ht="21" customHeight="1">
      <x:c r="A1377" s="2" t="n">
        <x:v>98</x:v>
      </x:c>
      <x:c r="B1377" s="2" t="str">
        <x:f>IF('Motor_Meciuri'!A103="","",'Motor_Meciuri'!A103)</x:f>
      </x:c>
      <x:c r="C1377" s="2" t="str">
        <x:f>IF(B1377="","",'Motor_Meciuri'!B103)</x:f>
      </x:c>
      <x:c r="D1377" s="2" t="str">
        <x:f>IF(B1377="","",'Motor_Meciuri'!D103)</x:f>
      </x:c>
      <x:c r="E1377" s="2" t="str">
        <x:f>IF(B1377="","",'Motor_Meciuri'!E103)</x:f>
      </x:c>
      <x:c r="F1377" s="2" t="str">
        <x:v>U17,5</x:v>
      </x:c>
      <x:c r="G1377" s="2" t="str">
        <x:v>UNDER</x:v>
      </x:c>
      <x:c r="H1377" s="2" t="n">
        <x:v>17</x:v>
      </x:c>
      <x:c r="I1377" s="2" t="str">
        <x:f>IF(B1377="","",'Motor_Meciuri'!H103)</x:f>
      </x:c>
      <x:c r="J1377" s="2" t="str">
        <x:f>IF(B1377="","",'Motor_Meciuri'!I103)</x:f>
      </x:c>
      <x:c r="K1377" s="11" t="str">
        <x:f>IF(J1377&lt;&gt;"PASS","",'Motor_Meciuri'!BD103)</x:f>
      </x:c>
      <x:c r="L1377" s="11" t="str">
        <x:f>IF(J1377&lt;&gt;"PASS","",'Motor_Meciuri'!AU103)</x:f>
      </x:c>
      <x:c r="M1377" s="10" t="str">
        <x:f>IF(NOT(AND(J1377="PASS",'Calibrare_Linii'!U19="VALID")),"",'Distributie'!AO103)</x:f>
      </x:c>
      <x:c r="N1377" s="10" t="str">
        <x:f>IF(M1377="","",MAX(0.01,MIN(0.99,0.5+(M1377-0.5)*'Motor_Meciuri'!BG103*'Calibrare_Linii'!D19)))</x:f>
      </x:c>
      <x:c r="O1377" s="10" t="str">
        <x:f>IF(M1377="","",1-M1377)</x:f>
      </x:c>
      <x:c r="P1377" s="10" t="str">
        <x:f>IF(OR(NOT(AND(J1377="PASS",'Calibrare_Linii'!U19="VALID")),AK1377=0),""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*('Istoric_Nativ'!$Q$6:$Q$405&gt;H1377))/AK1377)</x:f>
      </x:c>
      <x:c r="Q1377" s="10" t="str">
        <x:f>IF(OR(NOT(AND(J1377="PASS",'Calibrare_Linii'!U19="VALID")),AL1377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M103)+((('Istoric_Nativ'!$E$6:$E$405='Input_Meci'!E103)+('Istoric_Nativ'!$F$6:$F$405='Input_Meci'!E103))&gt;0)*('Istoric_Nativ'!$D$6:$D$405&gt;='Motor_Meciuri'!BN103))&gt;0)*('Istoric_Nativ'!$Q$6:$Q$405&gt;H1377))/AL1377)</x:f>
      </x:c>
      <x:c r="R1377" s="10" t="str">
        <x:f>IF(OR(NOT(AND(J1377="PASS",'Calibrare_Linii'!U19="VALID")),AM1377=0),""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'Motor_Meciuri'!BO103)+((('Istoric_Nativ'!$E$6:$E$405='Input_Meci'!E103)+('Istoric_Nativ'!$F$6:$F$405='Input_Meci'!E103))&gt;0)*('Istoric_Nativ'!$D$6:$D$405&gt;='Motor_Meciuri'!BP103))&gt;0)*('Istoric_Nativ'!$Q$6:$Q$405&gt;H1377))/AM1377)</x:f>
      </x:c>
      <x:c r="S1377" s="10" t="str">
        <x:f>IF(M1377="","",MAX(O1377,P1377,Q1377,R1377))</x:f>
      </x:c>
      <x:c r="T1377" s="11" t="str">
        <x:f>IF(M1377="","",MIN(100,S1377*100*'Config_v6'!$B$44+MIN(100,L1377/'Config_v6'!$B$13*100)*'Config_v6'!$B$45+(100-'Motor_Meciuri'!BF103)*'Config_v6'!$B$46+'Motor_Meciuri'!BH103*100*'Config_v6'!$B$47))</x:f>
      </x:c>
      <x:c r="U1377" s="2" t="str">
        <x:f>IF(T1377="","",IF(T1377&lt;=20,1,IF(T1377&lt;=40,2,IF(T1377&lt;=60,3,IF(T1377&lt;=80,4,5)))))</x:f>
      </x:c>
      <x:c r="V1377" s="2" t="str">
        <x:f>IF(M1377="","",MAX(0,'Motor_Meciuri'!BF103-IF(W1377="OOS PENDING",'Config_v6'!$B$35,0)-IF(L1377&gt;'Config_v6'!$B$12,'Config_v6'!$B$37,IF(L1377&gt;'Config_v6'!$B$11,'Config_v6'!$B$36,0))))</x:f>
      </x:c>
      <x:c r="W1377" s="2" t="str">
        <x:f>IF(B1377="","",IF(I1377&lt;&gt;"READY","NOT RELEASED",IF(NOT(AND(J1377="PASS",'Calibrare_Linii'!U19="VALID")),"INVALID",IF(NOT(AND('Calibrare_Linii'!S19="VALIDATED",AND('Calibrare_Linii'!H19=C1377,ISNUMBER('Calibrare_Linii'!J19),'Calibrare_Linii'!J19&lt;='Input_Meci'!G103))),"OOS PENDING",IF(S1377&lt;='Calibrare_Linii'!E19,"PASS",IF(S1377&lt;='Calibrare_Linii'!F19,"PENALTY","WATCH"))))))</x:f>
      </x:c>
      <x:c r="X1377" s="2" t="str">
        <x:f>IF(M1377="","",IF(AND(AND(J1377="PASS",'Calibrare_Linii'!U19="VALID"),'Motor_Meciuri'!K103=12,'Motor_Meciuri'!L103=12,'Motor_Meciuri'!M103="NO",'Motor_Meciuri'!BL103='Motor_Meciuri'!C103,AB1377&gt;='Config_v6'!$B$50,AN1377&gt;='Config_v6'!$B$51,T1377&lt;='Config_v6'!$B$52,L1377&lt;='Config_v6'!$B$53,ISNUMBER('Calibrare_Linii'!E19),S1377&lt;='Calibrare_Linii'!E19,SUM(AK1377:AM1377)&gt;0),"CANDIDATE","NO"))</x:f>
      </x:c>
      <x:c r="Y1377" s="2" t="str">
        <x:f>IF(B1377="","",IF(I1377&lt;&gt;"READY","NOT RELEASED",IF(AND(X1377="CANDIDATE",V1377&gt;='Config_v6'!$B$51,W1377="PASS",'Calibrare_Linii'!T19="VALIDATED",AND('Calibrare_Linii'!H19=C1377,ISNUMBER('Calibrare_Linii'!J19),'Calibrare_Linii'!J19&lt;='Input_Meci'!G103)),"PASS",IF(X1377="CANDIDATE","OOS PENDING","FAIL"))))</x:f>
      </x:c>
      <x:c r="Z1377" s="2" t="str">
        <x:f>IF(B1377="","",IF(I1377&lt;&gt;"READY","",IF(OR(NOT(AND(J1377="PASS",'Calibrare_Linii'!U19="VALID")),L1377&gt;'Config_v6'!$B$13,W1377="WATCH"),5,IF(Y1377="PASS",1,MIN(5,MAX('Config_v6'!$B$42,U1377)+IF(W1377="PENALTY",1,0))))))</x:f>
      </x:c>
      <x:c r="AA1377" s="2" t="str">
        <x:f>IF(B1377="","",IF(I1377&lt;&gt;"READY","NOT RELEASED",IF(Z1377=5,"NO BET",IF(OR(AB1377&lt;'Config_v6'!$B$16,V1377&lt;'Config_v6'!$B$18),"WATCH",IF(Z1377=1,"DEFENSIV",IF(Z1377=2,"PRUDENT",IF(Z1377=3,"MODERAT","RIDICAT")))))))</x:f>
      </x:c>
      <x:c r="AB1377" s="10" t="str">
        <x:f>IF(N1377="","",MIN(N1377,1-S1377))</x:f>
      </x:c>
      <x:c r="AC1377" s="2" t="str">
        <x:f>IF(AD1377&lt;&gt;1,"",COUNTIFS($Z$1364:$Z$1377,"&lt;"&amp;Z1377,$AD$1364:$AD$1377,1)+COUNTIFS($Z$1364:$Z$1377,Z1377,$AB$1364:$AB$1377,"&gt;"&amp;AB1377,$AD$1364:$AD$1377,1)+COUNTIFS($Z$1364:$Z$1377,Z1377,$AB$1364:$AB$1377,AB1377,$V$1364:$V$1377,"&gt;"&amp;V1377,$AD$1364:$AD$1377,1)+COUNTIFS($Z$1364:Z1377,Z1377,$AB$1364:AB1377,AB1377,$V$1364:V1377,V1377,$AD$1364:AD1377,1))</x:f>
      </x:c>
      <x:c r="AD1377" s="2" t="n">
        <x:f>IF(OR(AA1377="DEFENSIV",AA1377="PRUDENT",AA1377="MODERAT",AA1377="RIDICAT"),1,0)</x:f>
        <x:v>0</x:v>
      </x:c>
      <x:c r="AE1377" s="2" t="str">
        <x:f>IF(AD1377&lt;&gt;1,"NO",IF(W1377="PASS","YES",IF(W1377="OOS PENDING","CONDITIONAL","NO")))</x:f>
        <x:v>NO</x:v>
      </x:c>
      <x:c r="AF1377" s="2" t="n">
        <x:f>IF(AND(AD1377=1,AC1377=1,E1377="LIVE"),1,0)</x:f>
        <x:v>0</x:v>
      </x:c>
      <x:c r="AG1377" s="2" t="str">
        <x:f>IF(AF1377&lt;&gt;1,"",'Dashboard'!P123)</x:f>
      </x:c>
      <x:c r="AH1377" s="2" t="str">
        <x:f>IF(B1377="","",IF(J1377&lt;&gt;"PASS",'Motor_Meciuri'!J103,IF('Calibrare_Linii'!U19&lt;&gt;"VALID","Parametri linie invalizi",IF(L1377&gt;'Config_v6'!$B$13,"Dispersie peste limita",IF(W1377="WATCH","Failure peste limita",IF(AB1377&lt;'Config_v6'!$B$16,"P finala sub prag",IF(V1377&lt;'Config_v6'!$B$18,"Confidence sub prag",IF(E1377="REPLAY","Exemplu retrospectiv; exclus din Top LIVE",IF(Y1377="PASS","DEFENSIV validat",IF(W1377="OOS PENDING","Eligibil; calibrare linie in monitorizare","Eligibil"))))))))))</x:f>
      </x:c>
      <x:c r="AI1377" s="2" t="str">
        <x:f>IF(B1377="","",'Calibrare_Linii'!V19)</x:f>
      </x:c>
      <x:c r="AJ1377" s="2" t="str">
        <x:f>IF(B1377="","",IF(AND('Calibrare_Linii'!T19="VALIDATED",AND('Calibrare_Linii'!H19=C1377,ISNUMBER('Calibrare_Linii'!J19),'Calibrare_Linii'!J19&lt;='Input_Meci'!G103)),"DEFENSIVE VALIDATED",IF(AND('Calibrare_Linii'!S19="VALIDATED",AND('Calibrare_Linii'!H19=C1377,ISNUMBER('Calibrare_Linii'!J19),'Calibrare_Linii'!J19&lt;='Input_Meci'!G103)),"TAIL VALIDATED","OOS PENDING")))</x:f>
      </x:c>
      <x:c r="AK1377" s="2" t="n">
        <x:f>IF(J1377&lt;&gt;"PASS",0,'Motor_Meciuri'!BR103)</x:f>
        <x:v>0</x:v>
      </x:c>
      <x:c r="AL1377" s="2" t="n">
        <x:f>IF(J1377&lt;&gt;"PASS",0,'Motor_Meciuri'!BS103)</x:f>
        <x:v>0</x:v>
      </x:c>
      <x:c r="AM1377" s="2" t="n">
        <x:f>IF(J1377&lt;&gt;"PASS",0,'Motor_Meciuri'!BT103)</x:f>
        <x:v>0</x:v>
      </x:c>
      <x:c r="AN1377" s="2" t="str">
        <x:f>IF(M1377="","",MAX(0,'Motor_Meciuri'!BF103-IF(L1377&gt;'Config_v6'!$B$12,'Config_v6'!$B$37,IF(L1377&gt;'Config_v6'!$B$11,'Config_v6'!$B$36,0))))</x:f>
      </x:c>
    </x:row>
    <x:row r="1378" ht="21" customHeight="1">
      <x:c r="A1378" s="2" t="n">
        <x:v>99</x:v>
      </x:c>
      <x:c r="B1378" s="2" t="str">
        <x:f>IF('Motor_Meciuri'!A104="","",'Motor_Meciuri'!A104)</x:f>
      </x:c>
      <x:c r="C1378" s="2" t="str">
        <x:f>IF(B1378="","",'Motor_Meciuri'!B104)</x:f>
      </x:c>
      <x:c r="D1378" s="2" t="str">
        <x:f>IF(B1378="","",'Motor_Meciuri'!D104)</x:f>
      </x:c>
      <x:c r="E1378" s="2" t="str">
        <x:f>IF(B1378="","",'Motor_Meciuri'!E104)</x:f>
      </x:c>
      <x:c r="F1378" s="2" t="str">
        <x:v>O3,5</x:v>
      </x:c>
      <x:c r="G1378" s="2" t="str">
        <x:v>OVER</x:v>
      </x:c>
      <x:c r="H1378" s="2" t="n">
        <x:v>3</x:v>
      </x:c>
      <x:c r="I1378" s="2" t="str">
        <x:f>IF(B1378="","",'Motor_Meciuri'!H104)</x:f>
      </x:c>
      <x:c r="J1378" s="2" t="str">
        <x:f>IF(B1378="","",'Motor_Meciuri'!I104)</x:f>
      </x:c>
      <x:c r="K1378" s="11" t="str">
        <x:f>IF(J1378&lt;&gt;"PASS","",'Motor_Meciuri'!BD104)</x:f>
      </x:c>
      <x:c r="L1378" s="11" t="str">
        <x:f>IF(J1378&lt;&gt;"PASS","",'Motor_Meciuri'!AU104)</x:f>
      </x:c>
      <x:c r="M1378" s="10" t="str">
        <x:f>IF(NOT(AND(J1378="PASS",'Calibrare_Linii'!U6="VALID")),"",1-'Distributie'!AA104)</x:f>
      </x:c>
      <x:c r="N1378" s="10" t="str">
        <x:f>IF(M1378="","",MAX(0.01,MIN(0.99,0.5+(M1378-0.5)*'Motor_Meciuri'!BG104*'Calibrare_Linii'!D6)))</x:f>
      </x:c>
      <x:c r="O1378" s="10" t="str">
        <x:f>IF(M1378="","",1-M1378)</x:f>
      </x:c>
      <x:c r="P1378" s="10" t="str">
        <x:f>IF(OR(NOT(AND(J1378="PASS",'Calibrare_Linii'!U6="VALID")),AK1378=0),""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*('Istoric_Nativ'!$Q$6:$Q$405&lt;=H1378))/AK1378)</x:f>
      </x:c>
      <x:c r="Q1378" s="10" t="str">
        <x:f>IF(OR(NOT(AND(J1378="PASS",'Calibrare_Linii'!U6="VALID")),AL1378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M104)+((('Istoric_Nativ'!$E$6:$E$405='Input_Meci'!E104)+('Istoric_Nativ'!$F$6:$F$405='Input_Meci'!E104))&gt;0)*('Istoric_Nativ'!$D$6:$D$405&gt;='Motor_Meciuri'!BN104))&gt;0)*('Istoric_Nativ'!$Q$6:$Q$405&lt;=H1378))/AL1378)</x:f>
      </x:c>
      <x:c r="R1378" s="10" t="str">
        <x:f>IF(OR(NOT(AND(J1378="PASS",'Calibrare_Linii'!U6="VALID")),AM1378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O104)+((('Istoric_Nativ'!$E$6:$E$405='Input_Meci'!E104)+('Istoric_Nativ'!$F$6:$F$405='Input_Meci'!E104))&gt;0)*('Istoric_Nativ'!$D$6:$D$405&gt;='Motor_Meciuri'!BP104))&gt;0)*('Istoric_Nativ'!$Q$6:$Q$405&lt;=H1378))/AM1378)</x:f>
      </x:c>
      <x:c r="S1378" s="10" t="str">
        <x:f>IF(M1378="","",MAX(O1378,P1378,Q1378,R1378))</x:f>
      </x:c>
      <x:c r="T1378" s="11" t="str">
        <x:f>IF(M1378="","",MIN(100,S1378*100*'Config_v6'!$B$44+MIN(100,L1378/'Config_v6'!$B$13*100)*'Config_v6'!$B$45+(100-'Motor_Meciuri'!BF104)*'Config_v6'!$B$46+'Motor_Meciuri'!BH104*100*'Config_v6'!$B$47))</x:f>
      </x:c>
      <x:c r="U1378" s="2" t="str">
        <x:f>IF(T1378="","",IF(T1378&lt;=20,1,IF(T1378&lt;=40,2,IF(T1378&lt;=60,3,IF(T1378&lt;=80,4,5)))))</x:f>
      </x:c>
      <x:c r="V1378" s="2" t="str">
        <x:f>IF(M1378="","",MAX(0,'Motor_Meciuri'!BF104-IF(W1378="OOS PENDING",'Config_v6'!$B$35,0)-IF(L1378&gt;'Config_v6'!$B$12,'Config_v6'!$B$37,IF(L1378&gt;'Config_v6'!$B$11,'Config_v6'!$B$36,0))))</x:f>
      </x:c>
      <x:c r="W1378" s="2" t="str">
        <x:f>IF(B1378="","",IF(I1378&lt;&gt;"READY","NOT RELEASED",IF(NOT(AND(J1378="PASS",'Calibrare_Linii'!U6="VALID")),"INVALID",IF(NOT(TRUE),"OOS PENDING",IF(S1378&lt;=IF(AND('Calibrare_Linii'!S6="VALIDATED",AND('Calibrare_Linii'!H6=C1378,ISNUMBER('Calibrare_Linii'!J6),'Calibrare_Linii'!J6&lt;='Input_Meci'!G104)),'Calibrare_Linii'!E6,'Config_v6'!$B$26),"PASS",IF(S1378&lt;=IF(AND('Calibrare_Linii'!S6="VALIDATED",AND('Calibrare_Linii'!H6=C1378,ISNUMBER('Calibrare_Linii'!J6),'Calibrare_Linii'!J6&lt;='Input_Meci'!G104)),'Calibrare_Linii'!F6,'Config_v6'!$C$26),"PENALTY","WATCH"))))))</x:f>
      </x:c>
      <x:c r="X1378" s="2" t="str">
        <x:f>IF(M1378="","",IF(AND(AND(J1378="PASS",'Calibrare_Linii'!U6="VALID"),'Motor_Meciuri'!K104=12,'Motor_Meciuri'!L104=12,'Motor_Meciuri'!M104="NO",'Motor_Meciuri'!BL104='Motor_Meciuri'!C104,AB1378&gt;='Config_v6'!$B$50,AN1378&gt;='Config_v6'!$B$51,T1378&lt;='Config_v6'!$B$52,L1378&lt;='Config_v6'!$B$53,ISNUMBER('Calibrare_Linii'!E6),S1378&lt;='Calibrare_Linii'!E6,SUM(AK1378:AM1378)&gt;0),"CANDIDATE","NO"))</x:f>
      </x:c>
      <x:c r="Y1378" s="2" t="str">
        <x:f>IF(B1378="","",IF(I1378&lt;&gt;"READY","NOT RELEASED",IF(AND(X1378="CANDIDATE",V1378&gt;='Config_v6'!$B$51,W1378="PASS",'Calibrare_Linii'!T6="VALIDATED",AND('Calibrare_Linii'!H6=C1378,ISNUMBER('Calibrare_Linii'!J6),'Calibrare_Linii'!J6&lt;='Input_Meci'!G104)),"PASS",IF(X1378="CANDIDATE","OOS PENDING","FAIL"))))</x:f>
      </x:c>
      <x:c r="Z1378" s="2" t="str">
        <x:f>IF(B1378="","",IF(I1378&lt;&gt;"READY","",IF(OR(NOT(AND(J1378="PASS",'Calibrare_Linii'!U6="VALID")),L1378&gt;'Config_v6'!$B$13,W1378="WATCH"),5,IF(Y1378="PASS",1,MIN(5,MAX('Config_v6'!$B$42,U1378)+IF(W1378="PENALTY",1,0))))))</x:f>
      </x:c>
      <x:c r="AA1378" s="2" t="str">
        <x:f>IF(B1378="","",IF(I1378&lt;&gt;"READY","NOT RELEASED",IF(Z1378=5,"NO BET",IF(OR(AB1378&lt;'Config_v6'!$B$16,V1378&lt;'Config_v6'!$B$18),"WATCH",IF(Z1378=1,"DEFENSIV",IF(Z1378=2,"PRUDENT",IF(Z1378=3,"MODERAT","RIDICAT")))))))</x:f>
      </x:c>
      <x:c r="AB1378" s="10" t="str">
        <x:f>IF(N1378="","",MIN(N1378,1-S1378))</x:f>
      </x:c>
      <x:c r="AC1378" s="2" t="str">
        <x:f>IF(AD1378&lt;&gt;1,"",COUNTIFS($Z$1378:$Z$1391,"&lt;"&amp;Z1378,$AD$1378:$AD$1391,1)+COUNTIFS($Z$1378:$Z$1391,Z1378,$AB$1378:$AB$1391,"&gt;"&amp;AB1378,$AD$1378:$AD$1391,1)+COUNTIFS($Z$1378:$Z$1391,Z1378,$AB$1378:$AB$1391,AB1378,$V$1378:$V$1391,"&gt;"&amp;V1378,$AD$1378:$AD$1391,1)+COUNTIFS($Z$1378:Z1378,Z1378,$AB$1378:AB1378,AB1378,$V$1378:V1378,V1378,$AD$1378:AD1378,1))</x:f>
      </x:c>
      <x:c r="AD1378" s="2" t="n">
        <x:f>IF(OR(AA1378="DEFENSIV",AA1378="PRUDENT",AA1378="MODERAT",AA1378="RIDICAT"),1,0)</x:f>
        <x:v>0</x:v>
      </x:c>
      <x:c r="AE1378" s="2" t="str">
        <x:f>IF(AD1378&lt;&gt;1,"NO",IF(W1378="PASS","YES",IF(W1378="OOS PENDING","CONDITIONAL","NO")))</x:f>
        <x:v>NO</x:v>
      </x:c>
      <x:c r="AF1378" s="2" t="n">
        <x:f>IF(AND(AD1378=1,AC1378=1,E1378="LIVE"),1,0)</x:f>
        <x:v>0</x:v>
      </x:c>
      <x:c r="AG1378" s="2" t="str">
        <x:f>IF(AF1378&lt;&gt;1,"",'Dashboard'!P124)</x:f>
      </x:c>
      <x:c r="AH1378" s="2" t="str">
        <x:f>IF(B1378="","",IF(J1378&lt;&gt;"PASS",'Motor_Meciuri'!J104,IF('Calibrare_Linii'!U6&lt;&gt;"VALID","Parametri linie invalizi",IF(L1378&gt;'Config_v6'!$B$13,"Dispersie peste limita",IF(W1378="WATCH","Failure peste limita",IF(AB1378&lt;'Config_v6'!$B$16,"P finala sub prag",IF(V1378&lt;'Config_v6'!$B$18,"Confidence sub prag",IF(E1378="REPLAY","Exemplu retrospectiv; exclus din Top LIVE",IF(Y1378="PASS","DEFENSIV validat",IF(W1378="OOS PENDING","Eligibil; calibrare linie in monitorizare","Eligibil"))))))))))</x:f>
      </x:c>
      <x:c r="AI1378" s="2" t="str">
        <x:f>IF(B1378="","",'Calibrare_Linii'!V6)</x:f>
      </x:c>
      <x:c r="AJ1378" s="2" t="str">
        <x:f>IF(B1378="","",IF(AND('Calibrare_Linii'!T6="VALIDATED",AND('Calibrare_Linii'!H6=C1378,ISNUMBER('Calibrare_Linii'!J6),'Calibrare_Linii'!J6&lt;='Input_Meci'!G104)),"DEFENSIVE VALIDATED",IF(AND('Calibrare_Linii'!S6="VALIDATED",AND('Calibrare_Linii'!H6=C1378,ISNUMBER('Calibrare_Linii'!J6),'Calibrare_Linii'!J6&lt;='Input_Meci'!G104)),"TAIL VALIDATED","OOS PENDING")))</x:f>
      </x:c>
      <x:c r="AK1378" s="2" t="n">
        <x:f>IF(J1378&lt;&gt;"PASS",0,'Motor_Meciuri'!BR104)</x:f>
        <x:v>0</x:v>
      </x:c>
      <x:c r="AL1378" s="2" t="n">
        <x:f>IF(J1378&lt;&gt;"PASS",0,'Motor_Meciuri'!BS104)</x:f>
        <x:v>0</x:v>
      </x:c>
      <x:c r="AM1378" s="2" t="n">
        <x:f>IF(J1378&lt;&gt;"PASS",0,'Motor_Meciuri'!BT104)</x:f>
        <x:v>0</x:v>
      </x:c>
      <x:c r="AN1378" s="2" t="str">
        <x:f>IF(M1378="","",MAX(0,'Motor_Meciuri'!BF104-IF(L1378&gt;'Config_v6'!$B$12,'Config_v6'!$B$37,IF(L1378&gt;'Config_v6'!$B$11,'Config_v6'!$B$36,0))))</x:f>
      </x:c>
    </x:row>
    <x:row r="1379" ht="21" customHeight="1">
      <x:c r="A1379" s="2" t="n">
        <x:v>99</x:v>
      </x:c>
      <x:c r="B1379" s="2" t="str">
        <x:f>IF('Motor_Meciuri'!A104="","",'Motor_Meciuri'!A104)</x:f>
      </x:c>
      <x:c r="C1379" s="2" t="str">
        <x:f>IF(B1379="","",'Motor_Meciuri'!B104)</x:f>
      </x:c>
      <x:c r="D1379" s="2" t="str">
        <x:f>IF(B1379="","",'Motor_Meciuri'!D104)</x:f>
      </x:c>
      <x:c r="E1379" s="2" t="str">
        <x:f>IF(B1379="","",'Motor_Meciuri'!E104)</x:f>
      </x:c>
      <x:c r="F1379" s="2" t="str">
        <x:v>O4,5</x:v>
      </x:c>
      <x:c r="G1379" s="2" t="str">
        <x:v>OVER</x:v>
      </x:c>
      <x:c r="H1379" s="2" t="n">
        <x:v>4</x:v>
      </x:c>
      <x:c r="I1379" s="2" t="str">
        <x:f>IF(B1379="","",'Motor_Meciuri'!H104)</x:f>
      </x:c>
      <x:c r="J1379" s="2" t="str">
        <x:f>IF(B1379="","",'Motor_Meciuri'!I104)</x:f>
      </x:c>
      <x:c r="K1379" s="11" t="str">
        <x:f>IF(J1379&lt;&gt;"PASS","",'Motor_Meciuri'!BD104)</x:f>
      </x:c>
      <x:c r="L1379" s="11" t="str">
        <x:f>IF(J1379&lt;&gt;"PASS","",'Motor_Meciuri'!AU104)</x:f>
      </x:c>
      <x:c r="M1379" s="10" t="str">
        <x:f>IF(NOT(AND(J1379="PASS",'Calibrare_Linii'!U7="VALID")),"",1-'Distributie'!AB104)</x:f>
      </x:c>
      <x:c r="N1379" s="10" t="str">
        <x:f>IF(M1379="","",MAX(0.01,MIN(0.99,0.5+(M1379-0.5)*'Motor_Meciuri'!BG104*'Calibrare_Linii'!D7)))</x:f>
      </x:c>
      <x:c r="O1379" s="10" t="str">
        <x:f>IF(M1379="","",1-M1379)</x:f>
      </x:c>
      <x:c r="P1379" s="10" t="str">
        <x:f>IF(OR(NOT(AND(J1379="PASS",'Calibrare_Linii'!U7="VALID")),AK1379=0),""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*('Istoric_Nativ'!$Q$6:$Q$405&lt;=H1379))/AK1379)</x:f>
      </x:c>
      <x:c r="Q1379" s="10" t="str">
        <x:f>IF(OR(NOT(AND(J1379="PASS",'Calibrare_Linii'!U7="VALID")),AL1379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M104)+((('Istoric_Nativ'!$E$6:$E$405='Input_Meci'!E104)+('Istoric_Nativ'!$F$6:$F$405='Input_Meci'!E104))&gt;0)*('Istoric_Nativ'!$D$6:$D$405&gt;='Motor_Meciuri'!BN104))&gt;0)*('Istoric_Nativ'!$Q$6:$Q$405&lt;=H1379))/AL1379)</x:f>
      </x:c>
      <x:c r="R1379" s="10" t="str">
        <x:f>IF(OR(NOT(AND(J1379="PASS",'Calibrare_Linii'!U7="VALID")),AM1379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O104)+((('Istoric_Nativ'!$E$6:$E$405='Input_Meci'!E104)+('Istoric_Nativ'!$F$6:$F$405='Input_Meci'!E104))&gt;0)*('Istoric_Nativ'!$D$6:$D$405&gt;='Motor_Meciuri'!BP104))&gt;0)*('Istoric_Nativ'!$Q$6:$Q$405&lt;=H1379))/AM1379)</x:f>
      </x:c>
      <x:c r="S1379" s="10" t="str">
        <x:f>IF(M1379="","",MAX(O1379,P1379,Q1379,R1379))</x:f>
      </x:c>
      <x:c r="T1379" s="11" t="str">
        <x:f>IF(M1379="","",MIN(100,S1379*100*'Config_v6'!$B$44+MIN(100,L1379/'Config_v6'!$B$13*100)*'Config_v6'!$B$45+(100-'Motor_Meciuri'!BF104)*'Config_v6'!$B$46+'Motor_Meciuri'!BH104*100*'Config_v6'!$B$47))</x:f>
      </x:c>
      <x:c r="U1379" s="2" t="str">
        <x:f>IF(T1379="","",IF(T1379&lt;=20,1,IF(T1379&lt;=40,2,IF(T1379&lt;=60,3,IF(T1379&lt;=80,4,5)))))</x:f>
      </x:c>
      <x:c r="V1379" s="2" t="str">
        <x:f>IF(M1379="","",MAX(0,'Motor_Meciuri'!BF104-IF(W1379="OOS PENDING",'Config_v6'!$B$35,0)-IF(L1379&gt;'Config_v6'!$B$12,'Config_v6'!$B$37,IF(L1379&gt;'Config_v6'!$B$11,'Config_v6'!$B$36,0))))</x:f>
      </x:c>
      <x:c r="W1379" s="2" t="str">
        <x:f>IF(B1379="","",IF(I1379&lt;&gt;"READY","NOT RELEASED",IF(NOT(AND(J1379="PASS",'Calibrare_Linii'!U7="VALID")),"INVALID",IF(NOT(AND('Calibrare_Linii'!S7="VALIDATED",AND('Calibrare_Linii'!H7=C1379,ISNUMBER('Calibrare_Linii'!J7),'Calibrare_Linii'!J7&lt;='Input_Meci'!G104))),"OOS PENDING",IF(S1379&lt;='Calibrare_Linii'!E7,"PASS",IF(S1379&lt;='Calibrare_Linii'!F7,"PENALTY","WATCH"))))))</x:f>
      </x:c>
      <x:c r="X1379" s="2" t="str">
        <x:f>IF(M1379="","",IF(AND(AND(J1379="PASS",'Calibrare_Linii'!U7="VALID"),'Motor_Meciuri'!K104=12,'Motor_Meciuri'!L104=12,'Motor_Meciuri'!M104="NO",'Motor_Meciuri'!BL104='Motor_Meciuri'!C104,AB1379&gt;='Config_v6'!$B$50,AN1379&gt;='Config_v6'!$B$51,T1379&lt;='Config_v6'!$B$52,L1379&lt;='Config_v6'!$B$53,ISNUMBER('Calibrare_Linii'!E7),S1379&lt;='Calibrare_Linii'!E7,SUM(AK1379:AM1379)&gt;0),"CANDIDATE","NO"))</x:f>
      </x:c>
      <x:c r="Y1379" s="2" t="str">
        <x:f>IF(B1379="","",IF(I1379&lt;&gt;"READY","NOT RELEASED",IF(AND(X1379="CANDIDATE",V1379&gt;='Config_v6'!$B$51,W1379="PASS",'Calibrare_Linii'!T7="VALIDATED",AND('Calibrare_Linii'!H7=C1379,ISNUMBER('Calibrare_Linii'!J7),'Calibrare_Linii'!J7&lt;='Input_Meci'!G104)),"PASS",IF(X1379="CANDIDATE","OOS PENDING","FAIL"))))</x:f>
      </x:c>
      <x:c r="Z1379" s="2" t="str">
        <x:f>IF(B1379="","",IF(I1379&lt;&gt;"READY","",IF(OR(NOT(AND(J1379="PASS",'Calibrare_Linii'!U7="VALID")),L1379&gt;'Config_v6'!$B$13,W1379="WATCH"),5,IF(Y1379="PASS",1,MIN(5,MAX('Config_v6'!$B$42,U1379)+IF(W1379="PENALTY",1,0))))))</x:f>
      </x:c>
      <x:c r="AA1379" s="2" t="str">
        <x:f>IF(B1379="","",IF(I1379&lt;&gt;"READY","NOT RELEASED",IF(Z1379=5,"NO BET",IF(OR(AB1379&lt;'Config_v6'!$B$16,V1379&lt;'Config_v6'!$B$18),"WATCH",IF(Z1379=1,"DEFENSIV",IF(Z1379=2,"PRUDENT",IF(Z1379=3,"MODERAT","RIDICAT")))))))</x:f>
      </x:c>
      <x:c r="AB1379" s="10" t="str">
        <x:f>IF(N1379="","",MIN(N1379,1-S1379))</x:f>
      </x:c>
      <x:c r="AC1379" s="2" t="str">
        <x:f>IF(AD1379&lt;&gt;1,"",COUNTIFS($Z$1378:$Z$1391,"&lt;"&amp;Z1379,$AD$1378:$AD$1391,1)+COUNTIFS($Z$1378:$Z$1391,Z1379,$AB$1378:$AB$1391,"&gt;"&amp;AB1379,$AD$1378:$AD$1391,1)+COUNTIFS($Z$1378:$Z$1391,Z1379,$AB$1378:$AB$1391,AB1379,$V$1378:$V$1391,"&gt;"&amp;V1379,$AD$1378:$AD$1391,1)+COUNTIFS($Z$1378:Z1379,Z1379,$AB$1378:AB1379,AB1379,$V$1378:V1379,V1379,$AD$1378:AD1379,1))</x:f>
      </x:c>
      <x:c r="AD1379" s="2" t="n">
        <x:f>IF(OR(AA1379="DEFENSIV",AA1379="PRUDENT",AA1379="MODERAT",AA1379="RIDICAT"),1,0)</x:f>
        <x:v>0</x:v>
      </x:c>
      <x:c r="AE1379" s="2" t="str">
        <x:f>IF(AD1379&lt;&gt;1,"NO",IF(W1379="PASS","YES",IF(W1379="OOS PENDING","CONDITIONAL","NO")))</x:f>
        <x:v>NO</x:v>
      </x:c>
      <x:c r="AF1379" s="2" t="n">
        <x:f>IF(AND(AD1379=1,AC1379=1,E1379="LIVE"),1,0)</x:f>
        <x:v>0</x:v>
      </x:c>
      <x:c r="AG1379" s="2" t="str">
        <x:f>IF(AF1379&lt;&gt;1,"",'Dashboard'!P124)</x:f>
      </x:c>
      <x:c r="AH1379" s="2" t="str">
        <x:f>IF(B1379="","",IF(J1379&lt;&gt;"PASS",'Motor_Meciuri'!J104,IF('Calibrare_Linii'!U7&lt;&gt;"VALID","Parametri linie invalizi",IF(L1379&gt;'Config_v6'!$B$13,"Dispersie peste limita",IF(W1379="WATCH","Failure peste limita",IF(AB1379&lt;'Config_v6'!$B$16,"P finala sub prag",IF(V1379&lt;'Config_v6'!$B$18,"Confidence sub prag",IF(E1379="REPLAY","Exemplu retrospectiv; exclus din Top LIVE",IF(Y1379="PASS","DEFENSIV validat",IF(W1379="OOS PENDING","Eligibil; calibrare linie in monitorizare","Eligibil"))))))))))</x:f>
      </x:c>
      <x:c r="AI1379" s="2" t="str">
        <x:f>IF(B1379="","",'Calibrare_Linii'!V7)</x:f>
      </x:c>
      <x:c r="AJ1379" s="2" t="str">
        <x:f>IF(B1379="","",IF(AND('Calibrare_Linii'!T7="VALIDATED",AND('Calibrare_Linii'!H7=C1379,ISNUMBER('Calibrare_Linii'!J7),'Calibrare_Linii'!J7&lt;='Input_Meci'!G104)),"DEFENSIVE VALIDATED",IF(AND('Calibrare_Linii'!S7="VALIDATED",AND('Calibrare_Linii'!H7=C1379,ISNUMBER('Calibrare_Linii'!J7),'Calibrare_Linii'!J7&lt;='Input_Meci'!G104)),"TAIL VALIDATED","OOS PENDING")))</x:f>
      </x:c>
      <x:c r="AK1379" s="2" t="n">
        <x:f>IF(J1379&lt;&gt;"PASS",0,'Motor_Meciuri'!BR104)</x:f>
        <x:v>0</x:v>
      </x:c>
      <x:c r="AL1379" s="2" t="n">
        <x:f>IF(J1379&lt;&gt;"PASS",0,'Motor_Meciuri'!BS104)</x:f>
        <x:v>0</x:v>
      </x:c>
      <x:c r="AM1379" s="2" t="n">
        <x:f>IF(J1379&lt;&gt;"PASS",0,'Motor_Meciuri'!BT104)</x:f>
        <x:v>0</x:v>
      </x:c>
      <x:c r="AN1379" s="2" t="str">
        <x:f>IF(M1379="","",MAX(0,'Motor_Meciuri'!BF104-IF(L1379&gt;'Config_v6'!$B$12,'Config_v6'!$B$37,IF(L1379&gt;'Config_v6'!$B$11,'Config_v6'!$B$36,0))))</x:f>
      </x:c>
    </x:row>
    <x:row r="1380" ht="21" customHeight="1">
      <x:c r="A1380" s="2" t="n">
        <x:v>99</x:v>
      </x:c>
      <x:c r="B1380" s="2" t="str">
        <x:f>IF('Motor_Meciuri'!A104="","",'Motor_Meciuri'!A104)</x:f>
      </x:c>
      <x:c r="C1380" s="2" t="str">
        <x:f>IF(B1380="","",'Motor_Meciuri'!B104)</x:f>
      </x:c>
      <x:c r="D1380" s="2" t="str">
        <x:f>IF(B1380="","",'Motor_Meciuri'!D104)</x:f>
      </x:c>
      <x:c r="E1380" s="2" t="str">
        <x:f>IF(B1380="","",'Motor_Meciuri'!E104)</x:f>
      </x:c>
      <x:c r="F1380" s="2" t="str">
        <x:v>O5,5</x:v>
      </x:c>
      <x:c r="G1380" s="2" t="str">
        <x:v>OVER</x:v>
      </x:c>
      <x:c r="H1380" s="2" t="n">
        <x:v>5</x:v>
      </x:c>
      <x:c r="I1380" s="2" t="str">
        <x:f>IF(B1380="","",'Motor_Meciuri'!H104)</x:f>
      </x:c>
      <x:c r="J1380" s="2" t="str">
        <x:f>IF(B1380="","",'Motor_Meciuri'!I104)</x:f>
      </x:c>
      <x:c r="K1380" s="11" t="str">
        <x:f>IF(J1380&lt;&gt;"PASS","",'Motor_Meciuri'!BD104)</x:f>
      </x:c>
      <x:c r="L1380" s="11" t="str">
        <x:f>IF(J1380&lt;&gt;"PASS","",'Motor_Meciuri'!AU104)</x:f>
      </x:c>
      <x:c r="M1380" s="10" t="str">
        <x:f>IF(NOT(AND(J1380="PASS",'Calibrare_Linii'!U8="VALID")),"",1-'Distributie'!AC104)</x:f>
      </x:c>
      <x:c r="N1380" s="10" t="str">
        <x:f>IF(M1380="","",MAX(0.01,MIN(0.99,0.5+(M1380-0.5)*'Motor_Meciuri'!BG104*'Calibrare_Linii'!D8)))</x:f>
      </x:c>
      <x:c r="O1380" s="10" t="str">
        <x:f>IF(M1380="","",1-M1380)</x:f>
      </x:c>
      <x:c r="P1380" s="10" t="str">
        <x:f>IF(OR(NOT(AND(J1380="PASS",'Calibrare_Linii'!U8="VALID")),AK1380=0),""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*('Istoric_Nativ'!$Q$6:$Q$405&lt;=H1380))/AK1380)</x:f>
      </x:c>
      <x:c r="Q1380" s="10" t="str">
        <x:f>IF(OR(NOT(AND(J1380="PASS",'Calibrare_Linii'!U8="VALID")),AL1380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M104)+((('Istoric_Nativ'!$E$6:$E$405='Input_Meci'!E104)+('Istoric_Nativ'!$F$6:$F$405='Input_Meci'!E104))&gt;0)*('Istoric_Nativ'!$D$6:$D$405&gt;='Motor_Meciuri'!BN104))&gt;0)*('Istoric_Nativ'!$Q$6:$Q$405&lt;=H1380))/AL1380)</x:f>
      </x:c>
      <x:c r="R1380" s="10" t="str">
        <x:f>IF(OR(NOT(AND(J1380="PASS",'Calibrare_Linii'!U8="VALID")),AM1380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O104)+((('Istoric_Nativ'!$E$6:$E$405='Input_Meci'!E104)+('Istoric_Nativ'!$F$6:$F$405='Input_Meci'!E104))&gt;0)*('Istoric_Nativ'!$D$6:$D$405&gt;='Motor_Meciuri'!BP104))&gt;0)*('Istoric_Nativ'!$Q$6:$Q$405&lt;=H1380))/AM1380)</x:f>
      </x:c>
      <x:c r="S1380" s="10" t="str">
        <x:f>IF(M1380="","",MAX(O1380,P1380,Q1380,R1380))</x:f>
      </x:c>
      <x:c r="T1380" s="11" t="str">
        <x:f>IF(M1380="","",MIN(100,S1380*100*'Config_v6'!$B$44+MIN(100,L1380/'Config_v6'!$B$13*100)*'Config_v6'!$B$45+(100-'Motor_Meciuri'!BF104)*'Config_v6'!$B$46+'Motor_Meciuri'!BH104*100*'Config_v6'!$B$47))</x:f>
      </x:c>
      <x:c r="U1380" s="2" t="str">
        <x:f>IF(T1380="","",IF(T1380&lt;=20,1,IF(T1380&lt;=40,2,IF(T1380&lt;=60,3,IF(T1380&lt;=80,4,5)))))</x:f>
      </x:c>
      <x:c r="V1380" s="2" t="str">
        <x:f>IF(M1380="","",MAX(0,'Motor_Meciuri'!BF104-IF(W1380="OOS PENDING",'Config_v6'!$B$35,0)-IF(L1380&gt;'Config_v6'!$B$12,'Config_v6'!$B$37,IF(L1380&gt;'Config_v6'!$B$11,'Config_v6'!$B$36,0))))</x:f>
      </x:c>
      <x:c r="W1380" s="2" t="str">
        <x:f>IF(B1380="","",IF(I1380&lt;&gt;"READY","NOT RELEASED",IF(NOT(AND(J1380="PASS",'Calibrare_Linii'!U8="VALID")),"INVALID",IF(NOT(AND('Calibrare_Linii'!S8="VALIDATED",AND('Calibrare_Linii'!H8=C1380,ISNUMBER('Calibrare_Linii'!J8),'Calibrare_Linii'!J8&lt;='Input_Meci'!G104))),"OOS PENDING",IF(S1380&lt;='Calibrare_Linii'!E8,"PASS",IF(S1380&lt;='Calibrare_Linii'!F8,"PENALTY","WATCH"))))))</x:f>
      </x:c>
      <x:c r="X1380" s="2" t="str">
        <x:f>IF(M1380="","",IF(AND(AND(J1380="PASS",'Calibrare_Linii'!U8="VALID"),'Motor_Meciuri'!K104=12,'Motor_Meciuri'!L104=12,'Motor_Meciuri'!M104="NO",'Motor_Meciuri'!BL104='Motor_Meciuri'!C104,AB1380&gt;='Config_v6'!$B$50,AN1380&gt;='Config_v6'!$B$51,T1380&lt;='Config_v6'!$B$52,L1380&lt;='Config_v6'!$B$53,ISNUMBER('Calibrare_Linii'!E8),S1380&lt;='Calibrare_Linii'!E8,SUM(AK1380:AM1380)&gt;0),"CANDIDATE","NO"))</x:f>
      </x:c>
      <x:c r="Y1380" s="2" t="str">
        <x:f>IF(B1380="","",IF(I1380&lt;&gt;"READY","NOT RELEASED",IF(AND(X1380="CANDIDATE",V1380&gt;='Config_v6'!$B$51,W1380="PASS",'Calibrare_Linii'!T8="VALIDATED",AND('Calibrare_Linii'!H8=C1380,ISNUMBER('Calibrare_Linii'!J8),'Calibrare_Linii'!J8&lt;='Input_Meci'!G104)),"PASS",IF(X1380="CANDIDATE","OOS PENDING","FAIL"))))</x:f>
      </x:c>
      <x:c r="Z1380" s="2" t="str">
        <x:f>IF(B1380="","",IF(I1380&lt;&gt;"READY","",IF(OR(NOT(AND(J1380="PASS",'Calibrare_Linii'!U8="VALID")),L1380&gt;'Config_v6'!$B$13,W1380="WATCH"),5,IF(Y1380="PASS",1,MIN(5,MAX('Config_v6'!$B$42,U1380)+IF(W1380="PENALTY",1,0))))))</x:f>
      </x:c>
      <x:c r="AA1380" s="2" t="str">
        <x:f>IF(B1380="","",IF(I1380&lt;&gt;"READY","NOT RELEASED",IF(Z1380=5,"NO BET",IF(OR(AB1380&lt;'Config_v6'!$B$16,V1380&lt;'Config_v6'!$B$18),"WATCH",IF(Z1380=1,"DEFENSIV",IF(Z1380=2,"PRUDENT",IF(Z1380=3,"MODERAT","RIDICAT")))))))</x:f>
      </x:c>
      <x:c r="AB1380" s="10" t="str">
        <x:f>IF(N1380="","",MIN(N1380,1-S1380))</x:f>
      </x:c>
      <x:c r="AC1380" s="2" t="str">
        <x:f>IF(AD1380&lt;&gt;1,"",COUNTIFS($Z$1378:$Z$1391,"&lt;"&amp;Z1380,$AD$1378:$AD$1391,1)+COUNTIFS($Z$1378:$Z$1391,Z1380,$AB$1378:$AB$1391,"&gt;"&amp;AB1380,$AD$1378:$AD$1391,1)+COUNTIFS($Z$1378:$Z$1391,Z1380,$AB$1378:$AB$1391,AB1380,$V$1378:$V$1391,"&gt;"&amp;V1380,$AD$1378:$AD$1391,1)+COUNTIFS($Z$1378:Z1380,Z1380,$AB$1378:AB1380,AB1380,$V$1378:V1380,V1380,$AD$1378:AD1380,1))</x:f>
      </x:c>
      <x:c r="AD1380" s="2" t="n">
        <x:f>IF(OR(AA1380="DEFENSIV",AA1380="PRUDENT",AA1380="MODERAT",AA1380="RIDICAT"),1,0)</x:f>
        <x:v>0</x:v>
      </x:c>
      <x:c r="AE1380" s="2" t="str">
        <x:f>IF(AD1380&lt;&gt;1,"NO",IF(W1380="PASS","YES",IF(W1380="OOS PENDING","CONDITIONAL","NO")))</x:f>
        <x:v>NO</x:v>
      </x:c>
      <x:c r="AF1380" s="2" t="n">
        <x:f>IF(AND(AD1380=1,AC1380=1,E1380="LIVE"),1,0)</x:f>
        <x:v>0</x:v>
      </x:c>
      <x:c r="AG1380" s="2" t="str">
        <x:f>IF(AF1380&lt;&gt;1,"",'Dashboard'!P124)</x:f>
      </x:c>
      <x:c r="AH1380" s="2" t="str">
        <x:f>IF(B1380="","",IF(J1380&lt;&gt;"PASS",'Motor_Meciuri'!J104,IF('Calibrare_Linii'!U8&lt;&gt;"VALID","Parametri linie invalizi",IF(L1380&gt;'Config_v6'!$B$13,"Dispersie peste limita",IF(W1380="WATCH","Failure peste limita",IF(AB1380&lt;'Config_v6'!$B$16,"P finala sub prag",IF(V1380&lt;'Config_v6'!$B$18,"Confidence sub prag",IF(E1380="REPLAY","Exemplu retrospectiv; exclus din Top LIVE",IF(Y1380="PASS","DEFENSIV validat",IF(W1380="OOS PENDING","Eligibil; calibrare linie in monitorizare","Eligibil"))))))))))</x:f>
      </x:c>
      <x:c r="AI1380" s="2" t="str">
        <x:f>IF(B1380="","",'Calibrare_Linii'!V8)</x:f>
      </x:c>
      <x:c r="AJ1380" s="2" t="str">
        <x:f>IF(B1380="","",IF(AND('Calibrare_Linii'!T8="VALIDATED",AND('Calibrare_Linii'!H8=C1380,ISNUMBER('Calibrare_Linii'!J8),'Calibrare_Linii'!J8&lt;='Input_Meci'!G104)),"DEFENSIVE VALIDATED",IF(AND('Calibrare_Linii'!S8="VALIDATED",AND('Calibrare_Linii'!H8=C1380,ISNUMBER('Calibrare_Linii'!J8),'Calibrare_Linii'!J8&lt;='Input_Meci'!G104)),"TAIL VALIDATED","OOS PENDING")))</x:f>
      </x:c>
      <x:c r="AK1380" s="2" t="n">
        <x:f>IF(J1380&lt;&gt;"PASS",0,'Motor_Meciuri'!BR104)</x:f>
        <x:v>0</x:v>
      </x:c>
      <x:c r="AL1380" s="2" t="n">
        <x:f>IF(J1380&lt;&gt;"PASS",0,'Motor_Meciuri'!BS104)</x:f>
        <x:v>0</x:v>
      </x:c>
      <x:c r="AM1380" s="2" t="n">
        <x:f>IF(J1380&lt;&gt;"PASS",0,'Motor_Meciuri'!BT104)</x:f>
        <x:v>0</x:v>
      </x:c>
      <x:c r="AN1380" s="2" t="str">
        <x:f>IF(M1380="","",MAX(0,'Motor_Meciuri'!BF104-IF(L1380&gt;'Config_v6'!$B$12,'Config_v6'!$B$37,IF(L1380&gt;'Config_v6'!$B$11,'Config_v6'!$B$36,0))))</x:f>
      </x:c>
    </x:row>
    <x:row r="1381" ht="21" customHeight="1">
      <x:c r="A1381" s="2" t="n">
        <x:v>99</x:v>
      </x:c>
      <x:c r="B1381" s="2" t="str">
        <x:f>IF('Motor_Meciuri'!A104="","",'Motor_Meciuri'!A104)</x:f>
      </x:c>
      <x:c r="C1381" s="2" t="str">
        <x:f>IF(B1381="","",'Motor_Meciuri'!B104)</x:f>
      </x:c>
      <x:c r="D1381" s="2" t="str">
        <x:f>IF(B1381="","",'Motor_Meciuri'!D104)</x:f>
      </x:c>
      <x:c r="E1381" s="2" t="str">
        <x:f>IF(B1381="","",'Motor_Meciuri'!E104)</x:f>
      </x:c>
      <x:c r="F1381" s="2" t="str">
        <x:v>O6,5</x:v>
      </x:c>
      <x:c r="G1381" s="2" t="str">
        <x:v>OVER</x:v>
      </x:c>
      <x:c r="H1381" s="2" t="n">
        <x:v>6</x:v>
      </x:c>
      <x:c r="I1381" s="2" t="str">
        <x:f>IF(B1381="","",'Motor_Meciuri'!H104)</x:f>
      </x:c>
      <x:c r="J1381" s="2" t="str">
        <x:f>IF(B1381="","",'Motor_Meciuri'!I104)</x:f>
      </x:c>
      <x:c r="K1381" s="11" t="str">
        <x:f>IF(J1381&lt;&gt;"PASS","",'Motor_Meciuri'!BD104)</x:f>
      </x:c>
      <x:c r="L1381" s="11" t="str">
        <x:f>IF(J1381&lt;&gt;"PASS","",'Motor_Meciuri'!AU104)</x:f>
      </x:c>
      <x:c r="M1381" s="10" t="str">
        <x:f>IF(NOT(AND(J1381="PASS",'Calibrare_Linii'!U9="VALID")),"",1-'Distributie'!AD104)</x:f>
      </x:c>
      <x:c r="N1381" s="10" t="str">
        <x:f>IF(M1381="","",MAX(0.01,MIN(0.99,0.5+(M1381-0.5)*'Motor_Meciuri'!BG104*'Calibrare_Linii'!D9)))</x:f>
      </x:c>
      <x:c r="O1381" s="10" t="str">
        <x:f>IF(M1381="","",1-M1381)</x:f>
      </x:c>
      <x:c r="P1381" s="10" t="str">
        <x:f>IF(OR(NOT(AND(J1381="PASS",'Calibrare_Linii'!U9="VALID")),AK1381=0),""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*('Istoric_Nativ'!$Q$6:$Q$405&lt;=H1381))/AK1381)</x:f>
      </x:c>
      <x:c r="Q1381" s="10" t="str">
        <x:f>IF(OR(NOT(AND(J1381="PASS",'Calibrare_Linii'!U9="VALID")),AL1381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M104)+((('Istoric_Nativ'!$E$6:$E$405='Input_Meci'!E104)+('Istoric_Nativ'!$F$6:$F$405='Input_Meci'!E104))&gt;0)*('Istoric_Nativ'!$D$6:$D$405&gt;='Motor_Meciuri'!BN104))&gt;0)*('Istoric_Nativ'!$Q$6:$Q$405&lt;=H1381))/AL1381)</x:f>
      </x:c>
      <x:c r="R1381" s="10" t="str">
        <x:f>IF(OR(NOT(AND(J1381="PASS",'Calibrare_Linii'!U9="VALID")),AM1381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O104)+((('Istoric_Nativ'!$E$6:$E$405='Input_Meci'!E104)+('Istoric_Nativ'!$F$6:$F$405='Input_Meci'!E104))&gt;0)*('Istoric_Nativ'!$D$6:$D$405&gt;='Motor_Meciuri'!BP104))&gt;0)*('Istoric_Nativ'!$Q$6:$Q$405&lt;=H1381))/AM1381)</x:f>
      </x:c>
      <x:c r="S1381" s="10" t="str">
        <x:f>IF(M1381="","",MAX(O1381,P1381,Q1381,R1381))</x:f>
      </x:c>
      <x:c r="T1381" s="11" t="str">
        <x:f>IF(M1381="","",MIN(100,S1381*100*'Config_v6'!$B$44+MIN(100,L1381/'Config_v6'!$B$13*100)*'Config_v6'!$B$45+(100-'Motor_Meciuri'!BF104)*'Config_v6'!$B$46+'Motor_Meciuri'!BH104*100*'Config_v6'!$B$47))</x:f>
      </x:c>
      <x:c r="U1381" s="2" t="str">
        <x:f>IF(T1381="","",IF(T1381&lt;=20,1,IF(T1381&lt;=40,2,IF(T1381&lt;=60,3,IF(T1381&lt;=80,4,5)))))</x:f>
      </x:c>
      <x:c r="V1381" s="2" t="str">
        <x:f>IF(M1381="","",MAX(0,'Motor_Meciuri'!BF104-IF(W1381="OOS PENDING",'Config_v6'!$B$35,0)-IF(L1381&gt;'Config_v6'!$B$12,'Config_v6'!$B$37,IF(L1381&gt;'Config_v6'!$B$11,'Config_v6'!$B$36,0))))</x:f>
      </x:c>
      <x:c r="W1381" s="2" t="str">
        <x:f>IF(B1381="","",IF(I1381&lt;&gt;"READY","NOT RELEASED",IF(NOT(AND(J1381="PASS",'Calibrare_Linii'!U9="VALID")),"INVALID",IF(NOT(AND('Calibrare_Linii'!S9="VALIDATED",AND('Calibrare_Linii'!H9=C1381,ISNUMBER('Calibrare_Linii'!J9),'Calibrare_Linii'!J9&lt;='Input_Meci'!G104))),"OOS PENDING",IF(S1381&lt;='Calibrare_Linii'!E9,"PASS",IF(S1381&lt;='Calibrare_Linii'!F9,"PENALTY","WATCH"))))))</x:f>
      </x:c>
      <x:c r="X1381" s="2" t="str">
        <x:f>IF(M1381="","",IF(AND(AND(J1381="PASS",'Calibrare_Linii'!U9="VALID"),'Motor_Meciuri'!K104=12,'Motor_Meciuri'!L104=12,'Motor_Meciuri'!M104="NO",'Motor_Meciuri'!BL104='Motor_Meciuri'!C104,AB1381&gt;='Config_v6'!$B$50,AN1381&gt;='Config_v6'!$B$51,T1381&lt;='Config_v6'!$B$52,L1381&lt;='Config_v6'!$B$53,ISNUMBER('Calibrare_Linii'!E9),S1381&lt;='Calibrare_Linii'!E9,SUM(AK1381:AM1381)&gt;0),"CANDIDATE","NO"))</x:f>
      </x:c>
      <x:c r="Y1381" s="2" t="str">
        <x:f>IF(B1381="","",IF(I1381&lt;&gt;"READY","NOT RELEASED",IF(AND(X1381="CANDIDATE",V1381&gt;='Config_v6'!$B$51,W1381="PASS",'Calibrare_Linii'!T9="VALIDATED",AND('Calibrare_Linii'!H9=C1381,ISNUMBER('Calibrare_Linii'!J9),'Calibrare_Linii'!J9&lt;='Input_Meci'!G104)),"PASS",IF(X1381="CANDIDATE","OOS PENDING","FAIL"))))</x:f>
      </x:c>
      <x:c r="Z1381" s="2" t="str">
        <x:f>IF(B1381="","",IF(I1381&lt;&gt;"READY","",IF(OR(NOT(AND(J1381="PASS",'Calibrare_Linii'!U9="VALID")),L1381&gt;'Config_v6'!$B$13,W1381="WATCH"),5,IF(Y1381="PASS",1,MIN(5,MAX('Config_v6'!$B$42,U1381)+IF(W1381="PENALTY",1,0))))))</x:f>
      </x:c>
      <x:c r="AA1381" s="2" t="str">
        <x:f>IF(B1381="","",IF(I1381&lt;&gt;"READY","NOT RELEASED",IF(Z1381=5,"NO BET",IF(OR(AB1381&lt;'Config_v6'!$B$16,V1381&lt;'Config_v6'!$B$18),"WATCH",IF(Z1381=1,"DEFENSIV",IF(Z1381=2,"PRUDENT",IF(Z1381=3,"MODERAT","RIDICAT")))))))</x:f>
      </x:c>
      <x:c r="AB1381" s="10" t="str">
        <x:f>IF(N1381="","",MIN(N1381,1-S1381))</x:f>
      </x:c>
      <x:c r="AC1381" s="2" t="str">
        <x:f>IF(AD1381&lt;&gt;1,"",COUNTIFS($Z$1378:$Z$1391,"&lt;"&amp;Z1381,$AD$1378:$AD$1391,1)+COUNTIFS($Z$1378:$Z$1391,Z1381,$AB$1378:$AB$1391,"&gt;"&amp;AB1381,$AD$1378:$AD$1391,1)+COUNTIFS($Z$1378:$Z$1391,Z1381,$AB$1378:$AB$1391,AB1381,$V$1378:$V$1391,"&gt;"&amp;V1381,$AD$1378:$AD$1391,1)+COUNTIFS($Z$1378:Z1381,Z1381,$AB$1378:AB1381,AB1381,$V$1378:V1381,V1381,$AD$1378:AD1381,1))</x:f>
      </x:c>
      <x:c r="AD1381" s="2" t="n">
        <x:f>IF(OR(AA1381="DEFENSIV",AA1381="PRUDENT",AA1381="MODERAT",AA1381="RIDICAT"),1,0)</x:f>
        <x:v>0</x:v>
      </x:c>
      <x:c r="AE1381" s="2" t="str">
        <x:f>IF(AD1381&lt;&gt;1,"NO",IF(W1381="PASS","YES",IF(W1381="OOS PENDING","CONDITIONAL","NO")))</x:f>
        <x:v>NO</x:v>
      </x:c>
      <x:c r="AF1381" s="2" t="n">
        <x:f>IF(AND(AD1381=1,AC1381=1,E1381="LIVE"),1,0)</x:f>
        <x:v>0</x:v>
      </x:c>
      <x:c r="AG1381" s="2" t="str">
        <x:f>IF(AF1381&lt;&gt;1,"",'Dashboard'!P124)</x:f>
      </x:c>
      <x:c r="AH1381" s="2" t="str">
        <x:f>IF(B1381="","",IF(J1381&lt;&gt;"PASS",'Motor_Meciuri'!J104,IF('Calibrare_Linii'!U9&lt;&gt;"VALID","Parametri linie invalizi",IF(L1381&gt;'Config_v6'!$B$13,"Dispersie peste limita",IF(W1381="WATCH","Failure peste limita",IF(AB1381&lt;'Config_v6'!$B$16,"P finala sub prag",IF(V1381&lt;'Config_v6'!$B$18,"Confidence sub prag",IF(E1381="REPLAY","Exemplu retrospectiv; exclus din Top LIVE",IF(Y1381="PASS","DEFENSIV validat",IF(W1381="OOS PENDING","Eligibil; calibrare linie in monitorizare","Eligibil"))))))))))</x:f>
      </x:c>
      <x:c r="AI1381" s="2" t="str">
        <x:f>IF(B1381="","",'Calibrare_Linii'!V9)</x:f>
      </x:c>
      <x:c r="AJ1381" s="2" t="str">
        <x:f>IF(B1381="","",IF(AND('Calibrare_Linii'!T9="VALIDATED",AND('Calibrare_Linii'!H9=C1381,ISNUMBER('Calibrare_Linii'!J9),'Calibrare_Linii'!J9&lt;='Input_Meci'!G104)),"DEFENSIVE VALIDATED",IF(AND('Calibrare_Linii'!S9="VALIDATED",AND('Calibrare_Linii'!H9=C1381,ISNUMBER('Calibrare_Linii'!J9),'Calibrare_Linii'!J9&lt;='Input_Meci'!G104)),"TAIL VALIDATED","OOS PENDING")))</x:f>
      </x:c>
      <x:c r="AK1381" s="2" t="n">
        <x:f>IF(J1381&lt;&gt;"PASS",0,'Motor_Meciuri'!BR104)</x:f>
        <x:v>0</x:v>
      </x:c>
      <x:c r="AL1381" s="2" t="n">
        <x:f>IF(J1381&lt;&gt;"PASS",0,'Motor_Meciuri'!BS104)</x:f>
        <x:v>0</x:v>
      </x:c>
      <x:c r="AM1381" s="2" t="n">
        <x:f>IF(J1381&lt;&gt;"PASS",0,'Motor_Meciuri'!BT104)</x:f>
        <x:v>0</x:v>
      </x:c>
      <x:c r="AN1381" s="2" t="str">
        <x:f>IF(M1381="","",MAX(0,'Motor_Meciuri'!BF104-IF(L1381&gt;'Config_v6'!$B$12,'Config_v6'!$B$37,IF(L1381&gt;'Config_v6'!$B$11,'Config_v6'!$B$36,0))))</x:f>
      </x:c>
    </x:row>
    <x:row r="1382" ht="21" customHeight="1">
      <x:c r="A1382" s="2" t="n">
        <x:v>99</x:v>
      </x:c>
      <x:c r="B1382" s="2" t="str">
        <x:f>IF('Motor_Meciuri'!A104="","",'Motor_Meciuri'!A104)</x:f>
      </x:c>
      <x:c r="C1382" s="2" t="str">
        <x:f>IF(B1382="","",'Motor_Meciuri'!B104)</x:f>
      </x:c>
      <x:c r="D1382" s="2" t="str">
        <x:f>IF(B1382="","",'Motor_Meciuri'!D104)</x:f>
      </x:c>
      <x:c r="E1382" s="2" t="str">
        <x:f>IF(B1382="","",'Motor_Meciuri'!E104)</x:f>
      </x:c>
      <x:c r="F1382" s="2" t="str">
        <x:v>O7,5</x:v>
      </x:c>
      <x:c r="G1382" s="2" t="str">
        <x:v>OVER</x:v>
      </x:c>
      <x:c r="H1382" s="2" t="n">
        <x:v>7</x:v>
      </x:c>
      <x:c r="I1382" s="2" t="str">
        <x:f>IF(B1382="","",'Motor_Meciuri'!H104)</x:f>
      </x:c>
      <x:c r="J1382" s="2" t="str">
        <x:f>IF(B1382="","",'Motor_Meciuri'!I104)</x:f>
      </x:c>
      <x:c r="K1382" s="11" t="str">
        <x:f>IF(J1382&lt;&gt;"PASS","",'Motor_Meciuri'!BD104)</x:f>
      </x:c>
      <x:c r="L1382" s="11" t="str">
        <x:f>IF(J1382&lt;&gt;"PASS","",'Motor_Meciuri'!AU104)</x:f>
      </x:c>
      <x:c r="M1382" s="10" t="str">
        <x:f>IF(NOT(AND(J1382="PASS",'Calibrare_Linii'!U10="VALID")),"",1-'Distributie'!AE104)</x:f>
      </x:c>
      <x:c r="N1382" s="10" t="str">
        <x:f>IF(M1382="","",MAX(0.01,MIN(0.99,0.5+(M1382-0.5)*'Motor_Meciuri'!BG104*'Calibrare_Linii'!D10)))</x:f>
      </x:c>
      <x:c r="O1382" s="10" t="str">
        <x:f>IF(M1382="","",1-M1382)</x:f>
      </x:c>
      <x:c r="P1382" s="10" t="str">
        <x:f>IF(OR(NOT(AND(J1382="PASS",'Calibrare_Linii'!U10="VALID")),AK1382=0),""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*('Istoric_Nativ'!$Q$6:$Q$405&lt;=H1382))/AK1382)</x:f>
      </x:c>
      <x:c r="Q1382" s="10" t="str">
        <x:f>IF(OR(NOT(AND(J1382="PASS",'Calibrare_Linii'!U10="VALID")),AL1382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M104)+((('Istoric_Nativ'!$E$6:$E$405='Input_Meci'!E104)+('Istoric_Nativ'!$F$6:$F$405='Input_Meci'!E104))&gt;0)*('Istoric_Nativ'!$D$6:$D$405&gt;='Motor_Meciuri'!BN104))&gt;0)*('Istoric_Nativ'!$Q$6:$Q$405&lt;=H1382))/AL1382)</x:f>
      </x:c>
      <x:c r="R1382" s="10" t="str">
        <x:f>IF(OR(NOT(AND(J1382="PASS",'Calibrare_Linii'!U10="VALID")),AM1382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O104)+((('Istoric_Nativ'!$E$6:$E$405='Input_Meci'!E104)+('Istoric_Nativ'!$F$6:$F$405='Input_Meci'!E104))&gt;0)*('Istoric_Nativ'!$D$6:$D$405&gt;='Motor_Meciuri'!BP104))&gt;0)*('Istoric_Nativ'!$Q$6:$Q$405&lt;=H1382))/AM1382)</x:f>
      </x:c>
      <x:c r="S1382" s="10" t="str">
        <x:f>IF(M1382="","",MAX(O1382,P1382,Q1382,R1382))</x:f>
      </x:c>
      <x:c r="T1382" s="11" t="str">
        <x:f>IF(M1382="","",MIN(100,S1382*100*'Config_v6'!$B$44+MIN(100,L1382/'Config_v6'!$B$13*100)*'Config_v6'!$B$45+(100-'Motor_Meciuri'!BF104)*'Config_v6'!$B$46+'Motor_Meciuri'!BH104*100*'Config_v6'!$B$47))</x:f>
      </x:c>
      <x:c r="U1382" s="2" t="str">
        <x:f>IF(T1382="","",IF(T1382&lt;=20,1,IF(T1382&lt;=40,2,IF(T1382&lt;=60,3,IF(T1382&lt;=80,4,5)))))</x:f>
      </x:c>
      <x:c r="V1382" s="2" t="str">
        <x:f>IF(M1382="","",MAX(0,'Motor_Meciuri'!BF104-IF(W1382="OOS PENDING",'Config_v6'!$B$35,0)-IF(L1382&gt;'Config_v6'!$B$12,'Config_v6'!$B$37,IF(L1382&gt;'Config_v6'!$B$11,'Config_v6'!$B$36,0))))</x:f>
      </x:c>
      <x:c r="W1382" s="2" t="str">
        <x:f>IF(B1382="","",IF(I1382&lt;&gt;"READY","NOT RELEASED",IF(NOT(AND(J1382="PASS",'Calibrare_Linii'!U10="VALID")),"INVALID",IF(NOT(AND('Calibrare_Linii'!S10="VALIDATED",AND('Calibrare_Linii'!H10=C1382,ISNUMBER('Calibrare_Linii'!J10),'Calibrare_Linii'!J10&lt;='Input_Meci'!G104))),"OOS PENDING",IF(S1382&lt;='Calibrare_Linii'!E10,"PASS",IF(S1382&lt;='Calibrare_Linii'!F10,"PENALTY","WATCH"))))))</x:f>
      </x:c>
      <x:c r="X1382" s="2" t="str">
        <x:f>IF(M1382="","",IF(AND(AND(J1382="PASS",'Calibrare_Linii'!U10="VALID"),'Motor_Meciuri'!K104=12,'Motor_Meciuri'!L104=12,'Motor_Meciuri'!M104="NO",'Motor_Meciuri'!BL104='Motor_Meciuri'!C104,AB1382&gt;='Config_v6'!$B$50,AN1382&gt;='Config_v6'!$B$51,T1382&lt;='Config_v6'!$B$52,L1382&lt;='Config_v6'!$B$53,ISNUMBER('Calibrare_Linii'!E10),S1382&lt;='Calibrare_Linii'!E10,SUM(AK1382:AM1382)&gt;0),"CANDIDATE","NO"))</x:f>
      </x:c>
      <x:c r="Y1382" s="2" t="str">
        <x:f>IF(B1382="","",IF(I1382&lt;&gt;"READY","NOT RELEASED",IF(AND(X1382="CANDIDATE",V1382&gt;='Config_v6'!$B$51,W1382="PASS",'Calibrare_Linii'!T10="VALIDATED",AND('Calibrare_Linii'!H10=C1382,ISNUMBER('Calibrare_Linii'!J10),'Calibrare_Linii'!J10&lt;='Input_Meci'!G104)),"PASS",IF(X1382="CANDIDATE","OOS PENDING","FAIL"))))</x:f>
      </x:c>
      <x:c r="Z1382" s="2" t="str">
        <x:f>IF(B1382="","",IF(I1382&lt;&gt;"READY","",IF(OR(NOT(AND(J1382="PASS",'Calibrare_Linii'!U10="VALID")),L1382&gt;'Config_v6'!$B$13,W1382="WATCH"),5,IF(Y1382="PASS",1,MIN(5,MAX('Config_v6'!$B$42,U1382)+IF(W1382="PENALTY",1,0))))))</x:f>
      </x:c>
      <x:c r="AA1382" s="2" t="str">
        <x:f>IF(B1382="","",IF(I1382&lt;&gt;"READY","NOT RELEASED",IF(Z1382=5,"NO BET",IF(OR(AB1382&lt;'Config_v6'!$B$16,V1382&lt;'Config_v6'!$B$18),"WATCH",IF(Z1382=1,"DEFENSIV",IF(Z1382=2,"PRUDENT",IF(Z1382=3,"MODERAT","RIDICAT")))))))</x:f>
      </x:c>
      <x:c r="AB1382" s="10" t="str">
        <x:f>IF(N1382="","",MIN(N1382,1-S1382))</x:f>
      </x:c>
      <x:c r="AC1382" s="2" t="str">
        <x:f>IF(AD1382&lt;&gt;1,"",COUNTIFS($Z$1378:$Z$1391,"&lt;"&amp;Z1382,$AD$1378:$AD$1391,1)+COUNTIFS($Z$1378:$Z$1391,Z1382,$AB$1378:$AB$1391,"&gt;"&amp;AB1382,$AD$1378:$AD$1391,1)+COUNTIFS($Z$1378:$Z$1391,Z1382,$AB$1378:$AB$1391,AB1382,$V$1378:$V$1391,"&gt;"&amp;V1382,$AD$1378:$AD$1391,1)+COUNTIFS($Z$1378:Z1382,Z1382,$AB$1378:AB1382,AB1382,$V$1378:V1382,V1382,$AD$1378:AD1382,1))</x:f>
      </x:c>
      <x:c r="AD1382" s="2" t="n">
        <x:f>IF(OR(AA1382="DEFENSIV",AA1382="PRUDENT",AA1382="MODERAT",AA1382="RIDICAT"),1,0)</x:f>
        <x:v>0</x:v>
      </x:c>
      <x:c r="AE1382" s="2" t="str">
        <x:f>IF(AD1382&lt;&gt;1,"NO",IF(W1382="PASS","YES",IF(W1382="OOS PENDING","CONDITIONAL","NO")))</x:f>
        <x:v>NO</x:v>
      </x:c>
      <x:c r="AF1382" s="2" t="n">
        <x:f>IF(AND(AD1382=1,AC1382=1,E1382="LIVE"),1,0)</x:f>
        <x:v>0</x:v>
      </x:c>
      <x:c r="AG1382" s="2" t="str">
        <x:f>IF(AF1382&lt;&gt;1,"",'Dashboard'!P124)</x:f>
      </x:c>
      <x:c r="AH1382" s="2" t="str">
        <x:f>IF(B1382="","",IF(J1382&lt;&gt;"PASS",'Motor_Meciuri'!J104,IF('Calibrare_Linii'!U10&lt;&gt;"VALID","Parametri linie invalizi",IF(L1382&gt;'Config_v6'!$B$13,"Dispersie peste limita",IF(W1382="WATCH","Failure peste limita",IF(AB1382&lt;'Config_v6'!$B$16,"P finala sub prag",IF(V1382&lt;'Config_v6'!$B$18,"Confidence sub prag",IF(E1382="REPLAY","Exemplu retrospectiv; exclus din Top LIVE",IF(Y1382="PASS","DEFENSIV validat",IF(W1382="OOS PENDING","Eligibil; calibrare linie in monitorizare","Eligibil"))))))))))</x:f>
      </x:c>
      <x:c r="AI1382" s="2" t="str">
        <x:f>IF(B1382="","",'Calibrare_Linii'!V10)</x:f>
      </x:c>
      <x:c r="AJ1382" s="2" t="str">
        <x:f>IF(B1382="","",IF(AND('Calibrare_Linii'!T10="VALIDATED",AND('Calibrare_Linii'!H10=C1382,ISNUMBER('Calibrare_Linii'!J10),'Calibrare_Linii'!J10&lt;='Input_Meci'!G104)),"DEFENSIVE VALIDATED",IF(AND('Calibrare_Linii'!S10="VALIDATED",AND('Calibrare_Linii'!H10=C1382,ISNUMBER('Calibrare_Linii'!J10),'Calibrare_Linii'!J10&lt;='Input_Meci'!G104)),"TAIL VALIDATED","OOS PENDING")))</x:f>
      </x:c>
      <x:c r="AK1382" s="2" t="n">
        <x:f>IF(J1382&lt;&gt;"PASS",0,'Motor_Meciuri'!BR104)</x:f>
        <x:v>0</x:v>
      </x:c>
      <x:c r="AL1382" s="2" t="n">
        <x:f>IF(J1382&lt;&gt;"PASS",0,'Motor_Meciuri'!BS104)</x:f>
        <x:v>0</x:v>
      </x:c>
      <x:c r="AM1382" s="2" t="n">
        <x:f>IF(J1382&lt;&gt;"PASS",0,'Motor_Meciuri'!BT104)</x:f>
        <x:v>0</x:v>
      </x:c>
      <x:c r="AN1382" s="2" t="str">
        <x:f>IF(M1382="","",MAX(0,'Motor_Meciuri'!BF104-IF(L1382&gt;'Config_v6'!$B$12,'Config_v6'!$B$37,IF(L1382&gt;'Config_v6'!$B$11,'Config_v6'!$B$36,0))))</x:f>
      </x:c>
    </x:row>
    <x:row r="1383" ht="21" customHeight="1">
      <x:c r="A1383" s="2" t="n">
        <x:v>99</x:v>
      </x:c>
      <x:c r="B1383" s="2" t="str">
        <x:f>IF('Motor_Meciuri'!A104="","",'Motor_Meciuri'!A104)</x:f>
      </x:c>
      <x:c r="C1383" s="2" t="str">
        <x:f>IF(B1383="","",'Motor_Meciuri'!B104)</x:f>
      </x:c>
      <x:c r="D1383" s="2" t="str">
        <x:f>IF(B1383="","",'Motor_Meciuri'!D104)</x:f>
      </x:c>
      <x:c r="E1383" s="2" t="str">
        <x:f>IF(B1383="","",'Motor_Meciuri'!E104)</x:f>
      </x:c>
      <x:c r="F1383" s="2" t="str">
        <x:v>O8,5</x:v>
      </x:c>
      <x:c r="G1383" s="2" t="str">
        <x:v>OVER</x:v>
      </x:c>
      <x:c r="H1383" s="2" t="n">
        <x:v>8</x:v>
      </x:c>
      <x:c r="I1383" s="2" t="str">
        <x:f>IF(B1383="","",'Motor_Meciuri'!H104)</x:f>
      </x:c>
      <x:c r="J1383" s="2" t="str">
        <x:f>IF(B1383="","",'Motor_Meciuri'!I104)</x:f>
      </x:c>
      <x:c r="K1383" s="11" t="str">
        <x:f>IF(J1383&lt;&gt;"PASS","",'Motor_Meciuri'!BD104)</x:f>
      </x:c>
      <x:c r="L1383" s="11" t="str">
        <x:f>IF(J1383&lt;&gt;"PASS","",'Motor_Meciuri'!AU104)</x:f>
      </x:c>
      <x:c r="M1383" s="10" t="str">
        <x:f>IF(NOT(AND(J1383="PASS",'Calibrare_Linii'!U11="VALID")),"",1-'Distributie'!AF104)</x:f>
      </x:c>
      <x:c r="N1383" s="10" t="str">
        <x:f>IF(M1383="","",MAX(0.01,MIN(0.99,0.5+(M1383-0.5)*'Motor_Meciuri'!BG104*'Calibrare_Linii'!D11)))</x:f>
      </x:c>
      <x:c r="O1383" s="10" t="str">
        <x:f>IF(M1383="","",1-M1383)</x:f>
      </x:c>
      <x:c r="P1383" s="10" t="str">
        <x:f>IF(OR(NOT(AND(J1383="PASS",'Calibrare_Linii'!U11="VALID")),AK1383=0),""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*('Istoric_Nativ'!$Q$6:$Q$405&lt;=H1383))/AK1383)</x:f>
      </x:c>
      <x:c r="Q1383" s="10" t="str">
        <x:f>IF(OR(NOT(AND(J1383="PASS",'Calibrare_Linii'!U11="VALID")),AL1383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M104)+((('Istoric_Nativ'!$E$6:$E$405='Input_Meci'!E104)+('Istoric_Nativ'!$F$6:$F$405='Input_Meci'!E104))&gt;0)*('Istoric_Nativ'!$D$6:$D$405&gt;='Motor_Meciuri'!BN104))&gt;0)*('Istoric_Nativ'!$Q$6:$Q$405&lt;=H1383))/AL1383)</x:f>
      </x:c>
      <x:c r="R1383" s="10" t="str">
        <x:f>IF(OR(NOT(AND(J1383="PASS",'Calibrare_Linii'!U11="VALID")),AM1383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O104)+((('Istoric_Nativ'!$E$6:$E$405='Input_Meci'!E104)+('Istoric_Nativ'!$F$6:$F$405='Input_Meci'!E104))&gt;0)*('Istoric_Nativ'!$D$6:$D$405&gt;='Motor_Meciuri'!BP104))&gt;0)*('Istoric_Nativ'!$Q$6:$Q$405&lt;=H1383))/AM1383)</x:f>
      </x:c>
      <x:c r="S1383" s="10" t="str">
        <x:f>IF(M1383="","",MAX(O1383,P1383,Q1383,R1383))</x:f>
      </x:c>
      <x:c r="T1383" s="11" t="str">
        <x:f>IF(M1383="","",MIN(100,S1383*100*'Config_v6'!$B$44+MIN(100,L1383/'Config_v6'!$B$13*100)*'Config_v6'!$B$45+(100-'Motor_Meciuri'!BF104)*'Config_v6'!$B$46+'Motor_Meciuri'!BH104*100*'Config_v6'!$B$47))</x:f>
      </x:c>
      <x:c r="U1383" s="2" t="str">
        <x:f>IF(T1383="","",IF(T1383&lt;=20,1,IF(T1383&lt;=40,2,IF(T1383&lt;=60,3,IF(T1383&lt;=80,4,5)))))</x:f>
      </x:c>
      <x:c r="V1383" s="2" t="str">
        <x:f>IF(M1383="","",MAX(0,'Motor_Meciuri'!BF104-IF(W1383="OOS PENDING",'Config_v6'!$B$35,0)-IF(L1383&gt;'Config_v6'!$B$12,'Config_v6'!$B$37,IF(L1383&gt;'Config_v6'!$B$11,'Config_v6'!$B$36,0))))</x:f>
      </x:c>
      <x:c r="W1383" s="2" t="str">
        <x:f>IF(B1383="","",IF(I1383&lt;&gt;"READY","NOT RELEASED",IF(NOT(AND(J1383="PASS",'Calibrare_Linii'!U11="VALID")),"INVALID",IF(NOT(AND('Calibrare_Linii'!S11="VALIDATED",AND('Calibrare_Linii'!H11=C1383,ISNUMBER('Calibrare_Linii'!J11),'Calibrare_Linii'!J11&lt;='Input_Meci'!G104))),"OOS PENDING",IF(S1383&lt;='Calibrare_Linii'!E11,"PASS",IF(S1383&lt;='Calibrare_Linii'!F11,"PENALTY","WATCH"))))))</x:f>
      </x:c>
      <x:c r="X1383" s="2" t="str">
        <x:f>IF(M1383="","",IF(AND(AND(J1383="PASS",'Calibrare_Linii'!U11="VALID"),'Motor_Meciuri'!K104=12,'Motor_Meciuri'!L104=12,'Motor_Meciuri'!M104="NO",'Motor_Meciuri'!BL104='Motor_Meciuri'!C104,AB1383&gt;='Config_v6'!$B$50,AN1383&gt;='Config_v6'!$B$51,T1383&lt;='Config_v6'!$B$52,L1383&lt;='Config_v6'!$B$53,ISNUMBER('Calibrare_Linii'!E11),S1383&lt;='Calibrare_Linii'!E11,SUM(AK1383:AM1383)&gt;0),"CANDIDATE","NO"))</x:f>
      </x:c>
      <x:c r="Y1383" s="2" t="str">
        <x:f>IF(B1383="","",IF(I1383&lt;&gt;"READY","NOT RELEASED",IF(AND(X1383="CANDIDATE",V1383&gt;='Config_v6'!$B$51,W1383="PASS",'Calibrare_Linii'!T11="VALIDATED",AND('Calibrare_Linii'!H11=C1383,ISNUMBER('Calibrare_Linii'!J11),'Calibrare_Linii'!J11&lt;='Input_Meci'!G104)),"PASS",IF(X1383="CANDIDATE","OOS PENDING","FAIL"))))</x:f>
      </x:c>
      <x:c r="Z1383" s="2" t="str">
        <x:f>IF(B1383="","",IF(I1383&lt;&gt;"READY","",IF(OR(NOT(AND(J1383="PASS",'Calibrare_Linii'!U11="VALID")),L1383&gt;'Config_v6'!$B$13,W1383="WATCH"),5,IF(Y1383="PASS",1,MIN(5,MAX('Config_v6'!$B$42,U1383)+IF(W1383="PENALTY",1,0))))))</x:f>
      </x:c>
      <x:c r="AA1383" s="2" t="str">
        <x:f>IF(B1383="","",IF(I1383&lt;&gt;"READY","NOT RELEASED",IF(Z1383=5,"NO BET",IF(OR(AB1383&lt;'Config_v6'!$B$16,V1383&lt;'Config_v6'!$B$18),"WATCH",IF(Z1383=1,"DEFENSIV",IF(Z1383=2,"PRUDENT",IF(Z1383=3,"MODERAT","RIDICAT")))))))</x:f>
      </x:c>
      <x:c r="AB1383" s="10" t="str">
        <x:f>IF(N1383="","",MIN(N1383,1-S1383))</x:f>
      </x:c>
      <x:c r="AC1383" s="2" t="str">
        <x:f>IF(AD1383&lt;&gt;1,"",COUNTIFS($Z$1378:$Z$1391,"&lt;"&amp;Z1383,$AD$1378:$AD$1391,1)+COUNTIFS($Z$1378:$Z$1391,Z1383,$AB$1378:$AB$1391,"&gt;"&amp;AB1383,$AD$1378:$AD$1391,1)+COUNTIFS($Z$1378:$Z$1391,Z1383,$AB$1378:$AB$1391,AB1383,$V$1378:$V$1391,"&gt;"&amp;V1383,$AD$1378:$AD$1391,1)+COUNTIFS($Z$1378:Z1383,Z1383,$AB$1378:AB1383,AB1383,$V$1378:V1383,V1383,$AD$1378:AD1383,1))</x:f>
      </x:c>
      <x:c r="AD1383" s="2" t="n">
        <x:f>IF(OR(AA1383="DEFENSIV",AA1383="PRUDENT",AA1383="MODERAT",AA1383="RIDICAT"),1,0)</x:f>
        <x:v>0</x:v>
      </x:c>
      <x:c r="AE1383" s="2" t="str">
        <x:f>IF(AD1383&lt;&gt;1,"NO",IF(W1383="PASS","YES",IF(W1383="OOS PENDING","CONDITIONAL","NO")))</x:f>
        <x:v>NO</x:v>
      </x:c>
      <x:c r="AF1383" s="2" t="n">
        <x:f>IF(AND(AD1383=1,AC1383=1,E1383="LIVE"),1,0)</x:f>
        <x:v>0</x:v>
      </x:c>
      <x:c r="AG1383" s="2" t="str">
        <x:f>IF(AF1383&lt;&gt;1,"",'Dashboard'!P124)</x:f>
      </x:c>
      <x:c r="AH1383" s="2" t="str">
        <x:f>IF(B1383="","",IF(J1383&lt;&gt;"PASS",'Motor_Meciuri'!J104,IF('Calibrare_Linii'!U11&lt;&gt;"VALID","Parametri linie invalizi",IF(L1383&gt;'Config_v6'!$B$13,"Dispersie peste limita",IF(W1383="WATCH","Failure peste limita",IF(AB1383&lt;'Config_v6'!$B$16,"P finala sub prag",IF(V1383&lt;'Config_v6'!$B$18,"Confidence sub prag",IF(E1383="REPLAY","Exemplu retrospectiv; exclus din Top LIVE",IF(Y1383="PASS","DEFENSIV validat",IF(W1383="OOS PENDING","Eligibil; calibrare linie in monitorizare","Eligibil"))))))))))</x:f>
      </x:c>
      <x:c r="AI1383" s="2" t="str">
        <x:f>IF(B1383="","",'Calibrare_Linii'!V11)</x:f>
      </x:c>
      <x:c r="AJ1383" s="2" t="str">
        <x:f>IF(B1383="","",IF(AND('Calibrare_Linii'!T11="VALIDATED",AND('Calibrare_Linii'!H11=C1383,ISNUMBER('Calibrare_Linii'!J11),'Calibrare_Linii'!J11&lt;='Input_Meci'!G104)),"DEFENSIVE VALIDATED",IF(AND('Calibrare_Linii'!S11="VALIDATED",AND('Calibrare_Linii'!H11=C1383,ISNUMBER('Calibrare_Linii'!J11),'Calibrare_Linii'!J11&lt;='Input_Meci'!G104)),"TAIL VALIDATED","OOS PENDING")))</x:f>
      </x:c>
      <x:c r="AK1383" s="2" t="n">
        <x:f>IF(J1383&lt;&gt;"PASS",0,'Motor_Meciuri'!BR104)</x:f>
        <x:v>0</x:v>
      </x:c>
      <x:c r="AL1383" s="2" t="n">
        <x:f>IF(J1383&lt;&gt;"PASS",0,'Motor_Meciuri'!BS104)</x:f>
        <x:v>0</x:v>
      </x:c>
      <x:c r="AM1383" s="2" t="n">
        <x:f>IF(J1383&lt;&gt;"PASS",0,'Motor_Meciuri'!BT104)</x:f>
        <x:v>0</x:v>
      </x:c>
      <x:c r="AN1383" s="2" t="str">
        <x:f>IF(M1383="","",MAX(0,'Motor_Meciuri'!BF104-IF(L1383&gt;'Config_v6'!$B$12,'Config_v6'!$B$37,IF(L1383&gt;'Config_v6'!$B$11,'Config_v6'!$B$36,0))))</x:f>
      </x:c>
    </x:row>
    <x:row r="1384" ht="21" customHeight="1">
      <x:c r="A1384" s="2" t="n">
        <x:v>99</x:v>
      </x:c>
      <x:c r="B1384" s="2" t="str">
        <x:f>IF('Motor_Meciuri'!A104="","",'Motor_Meciuri'!A104)</x:f>
      </x:c>
      <x:c r="C1384" s="2" t="str">
        <x:f>IF(B1384="","",'Motor_Meciuri'!B104)</x:f>
      </x:c>
      <x:c r="D1384" s="2" t="str">
        <x:f>IF(B1384="","",'Motor_Meciuri'!D104)</x:f>
      </x:c>
      <x:c r="E1384" s="2" t="str">
        <x:f>IF(B1384="","",'Motor_Meciuri'!E104)</x:f>
      </x:c>
      <x:c r="F1384" s="2" t="str">
        <x:v>U10,5</x:v>
      </x:c>
      <x:c r="G1384" s="2" t="str">
        <x:v>UNDER</x:v>
      </x:c>
      <x:c r="H1384" s="2" t="n">
        <x:v>10</x:v>
      </x:c>
      <x:c r="I1384" s="2" t="str">
        <x:f>IF(B1384="","",'Motor_Meciuri'!H104)</x:f>
      </x:c>
      <x:c r="J1384" s="2" t="str">
        <x:f>IF(B1384="","",'Motor_Meciuri'!I104)</x:f>
      </x:c>
      <x:c r="K1384" s="11" t="str">
        <x:f>IF(J1384&lt;&gt;"PASS","",'Motor_Meciuri'!BD104)</x:f>
      </x:c>
      <x:c r="L1384" s="11" t="str">
        <x:f>IF(J1384&lt;&gt;"PASS","",'Motor_Meciuri'!AU104)</x:f>
      </x:c>
      <x:c r="M1384" s="10" t="str">
        <x:f>IF(NOT(AND(J1384="PASS",'Calibrare_Linii'!U12="VALID")),"",'Distributie'!AH104)</x:f>
      </x:c>
      <x:c r="N1384" s="10" t="str">
        <x:f>IF(M1384="","",MAX(0.01,MIN(0.99,0.5+(M1384-0.5)*'Motor_Meciuri'!BG104*'Calibrare_Linii'!D12)))</x:f>
      </x:c>
      <x:c r="O1384" s="10" t="str">
        <x:f>IF(M1384="","",1-M1384)</x:f>
      </x:c>
      <x:c r="P1384" s="10" t="str">
        <x:f>IF(OR(NOT(AND(J1384="PASS",'Calibrare_Linii'!U12="VALID")),AK1384=0),""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*('Istoric_Nativ'!$Q$6:$Q$405&gt;H1384))/AK1384)</x:f>
      </x:c>
      <x:c r="Q1384" s="10" t="str">
        <x:f>IF(OR(NOT(AND(J1384="PASS",'Calibrare_Linii'!U12="VALID")),AL1384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M104)+((('Istoric_Nativ'!$E$6:$E$405='Input_Meci'!E104)+('Istoric_Nativ'!$F$6:$F$405='Input_Meci'!E104))&gt;0)*('Istoric_Nativ'!$D$6:$D$405&gt;='Motor_Meciuri'!BN104))&gt;0)*('Istoric_Nativ'!$Q$6:$Q$405&gt;H1384))/AL1384)</x:f>
      </x:c>
      <x:c r="R1384" s="10" t="str">
        <x:f>IF(OR(NOT(AND(J1384="PASS",'Calibrare_Linii'!U12="VALID")),AM1384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O104)+((('Istoric_Nativ'!$E$6:$E$405='Input_Meci'!E104)+('Istoric_Nativ'!$F$6:$F$405='Input_Meci'!E104))&gt;0)*('Istoric_Nativ'!$D$6:$D$405&gt;='Motor_Meciuri'!BP104))&gt;0)*('Istoric_Nativ'!$Q$6:$Q$405&gt;H1384))/AM1384)</x:f>
      </x:c>
      <x:c r="S1384" s="10" t="str">
        <x:f>IF(M1384="","",MAX(O1384,P1384,Q1384,R1384))</x:f>
      </x:c>
      <x:c r="T1384" s="11" t="str">
        <x:f>IF(M1384="","",MIN(100,S1384*100*'Config_v6'!$B$44+MIN(100,L1384/'Config_v6'!$B$13*100)*'Config_v6'!$B$45+(100-'Motor_Meciuri'!BF104)*'Config_v6'!$B$46+'Motor_Meciuri'!BH104*100*'Config_v6'!$B$47))</x:f>
      </x:c>
      <x:c r="U1384" s="2" t="str">
        <x:f>IF(T1384="","",IF(T1384&lt;=20,1,IF(T1384&lt;=40,2,IF(T1384&lt;=60,3,IF(T1384&lt;=80,4,5)))))</x:f>
      </x:c>
      <x:c r="V1384" s="2" t="str">
        <x:f>IF(M1384="","",MAX(0,'Motor_Meciuri'!BF104-IF(W1384="OOS PENDING",'Config_v6'!$B$35,0)-IF(L1384&gt;'Config_v6'!$B$12,'Config_v6'!$B$37,IF(L1384&gt;'Config_v6'!$B$11,'Config_v6'!$B$36,0))))</x:f>
      </x:c>
      <x:c r="W1384" s="2" t="str">
        <x:f>IF(B1384="","",IF(I1384&lt;&gt;"READY","NOT RELEASED",IF(NOT(AND(J1384="PASS",'Calibrare_Linii'!U12="VALID")),"INVALID",IF(NOT(AND('Calibrare_Linii'!S12="VALIDATED",AND('Calibrare_Linii'!H12=C1384,ISNUMBER('Calibrare_Linii'!J12),'Calibrare_Linii'!J12&lt;='Input_Meci'!G104))),"OOS PENDING",IF(S1384&lt;='Calibrare_Linii'!E12,"PASS",IF(S1384&lt;='Calibrare_Linii'!F12,"PENALTY","WATCH"))))))</x:f>
      </x:c>
      <x:c r="X1384" s="2" t="str">
        <x:f>IF(M1384="","",IF(AND(AND(J1384="PASS",'Calibrare_Linii'!U12="VALID"),'Motor_Meciuri'!K104=12,'Motor_Meciuri'!L104=12,'Motor_Meciuri'!M104="NO",'Motor_Meciuri'!BL104='Motor_Meciuri'!C104,AB1384&gt;='Config_v6'!$B$50,AN1384&gt;='Config_v6'!$B$51,T1384&lt;='Config_v6'!$B$52,L1384&lt;='Config_v6'!$B$53,ISNUMBER('Calibrare_Linii'!E12),S1384&lt;='Calibrare_Linii'!E12,SUM(AK1384:AM1384)&gt;0),"CANDIDATE","NO"))</x:f>
      </x:c>
      <x:c r="Y1384" s="2" t="str">
        <x:f>IF(B1384="","",IF(I1384&lt;&gt;"READY","NOT RELEASED",IF(AND(X1384="CANDIDATE",V1384&gt;='Config_v6'!$B$51,W1384="PASS",'Calibrare_Linii'!T12="VALIDATED",AND('Calibrare_Linii'!H12=C1384,ISNUMBER('Calibrare_Linii'!J12),'Calibrare_Linii'!J12&lt;='Input_Meci'!G104)),"PASS",IF(X1384="CANDIDATE","OOS PENDING","FAIL"))))</x:f>
      </x:c>
      <x:c r="Z1384" s="2" t="str">
        <x:f>IF(B1384="","",IF(I1384&lt;&gt;"READY","",IF(OR(NOT(AND(J1384="PASS",'Calibrare_Linii'!U12="VALID")),L1384&gt;'Config_v6'!$B$13,W1384="WATCH"),5,IF(Y1384="PASS",1,MIN(5,MAX('Config_v6'!$B$42,U1384)+IF(W1384="PENALTY",1,0))))))</x:f>
      </x:c>
      <x:c r="AA1384" s="2" t="str">
        <x:f>IF(B1384="","",IF(I1384&lt;&gt;"READY","NOT RELEASED",IF(Z1384=5,"NO BET",IF(OR(AB1384&lt;'Config_v6'!$B$16,V1384&lt;'Config_v6'!$B$18),"WATCH",IF(Z1384=1,"DEFENSIV",IF(Z1384=2,"PRUDENT",IF(Z1384=3,"MODERAT","RIDICAT")))))))</x:f>
      </x:c>
      <x:c r="AB1384" s="10" t="str">
        <x:f>IF(N1384="","",MIN(N1384,1-S1384))</x:f>
      </x:c>
      <x:c r="AC1384" s="2" t="str">
        <x:f>IF(AD1384&lt;&gt;1,"",COUNTIFS($Z$1378:$Z$1391,"&lt;"&amp;Z1384,$AD$1378:$AD$1391,1)+COUNTIFS($Z$1378:$Z$1391,Z1384,$AB$1378:$AB$1391,"&gt;"&amp;AB1384,$AD$1378:$AD$1391,1)+COUNTIFS($Z$1378:$Z$1391,Z1384,$AB$1378:$AB$1391,AB1384,$V$1378:$V$1391,"&gt;"&amp;V1384,$AD$1378:$AD$1391,1)+COUNTIFS($Z$1378:Z1384,Z1384,$AB$1378:AB1384,AB1384,$V$1378:V1384,V1384,$AD$1378:AD1384,1))</x:f>
      </x:c>
      <x:c r="AD1384" s="2" t="n">
        <x:f>IF(OR(AA1384="DEFENSIV",AA1384="PRUDENT",AA1384="MODERAT",AA1384="RIDICAT"),1,0)</x:f>
        <x:v>0</x:v>
      </x:c>
      <x:c r="AE1384" s="2" t="str">
        <x:f>IF(AD1384&lt;&gt;1,"NO",IF(W1384="PASS","YES",IF(W1384="OOS PENDING","CONDITIONAL","NO")))</x:f>
        <x:v>NO</x:v>
      </x:c>
      <x:c r="AF1384" s="2" t="n">
        <x:f>IF(AND(AD1384=1,AC1384=1,E1384="LIVE"),1,0)</x:f>
        <x:v>0</x:v>
      </x:c>
      <x:c r="AG1384" s="2" t="str">
        <x:f>IF(AF1384&lt;&gt;1,"",'Dashboard'!P124)</x:f>
      </x:c>
      <x:c r="AH1384" s="2" t="str">
        <x:f>IF(B1384="","",IF(J1384&lt;&gt;"PASS",'Motor_Meciuri'!J104,IF('Calibrare_Linii'!U12&lt;&gt;"VALID","Parametri linie invalizi",IF(L1384&gt;'Config_v6'!$B$13,"Dispersie peste limita",IF(W1384="WATCH","Failure peste limita",IF(AB1384&lt;'Config_v6'!$B$16,"P finala sub prag",IF(V1384&lt;'Config_v6'!$B$18,"Confidence sub prag",IF(E1384="REPLAY","Exemplu retrospectiv; exclus din Top LIVE",IF(Y1384="PASS","DEFENSIV validat",IF(W1384="OOS PENDING","Eligibil; calibrare linie in monitorizare","Eligibil"))))))))))</x:f>
      </x:c>
      <x:c r="AI1384" s="2" t="str">
        <x:f>IF(B1384="","",'Calibrare_Linii'!V12)</x:f>
      </x:c>
      <x:c r="AJ1384" s="2" t="str">
        <x:f>IF(B1384="","",IF(AND('Calibrare_Linii'!T12="VALIDATED",AND('Calibrare_Linii'!H12=C1384,ISNUMBER('Calibrare_Linii'!J12),'Calibrare_Linii'!J12&lt;='Input_Meci'!G104)),"DEFENSIVE VALIDATED",IF(AND('Calibrare_Linii'!S12="VALIDATED",AND('Calibrare_Linii'!H12=C1384,ISNUMBER('Calibrare_Linii'!J12),'Calibrare_Linii'!J12&lt;='Input_Meci'!G104)),"TAIL VALIDATED","OOS PENDING")))</x:f>
      </x:c>
      <x:c r="AK1384" s="2" t="n">
        <x:f>IF(J1384&lt;&gt;"PASS",0,'Motor_Meciuri'!BR104)</x:f>
        <x:v>0</x:v>
      </x:c>
      <x:c r="AL1384" s="2" t="n">
        <x:f>IF(J1384&lt;&gt;"PASS",0,'Motor_Meciuri'!BS104)</x:f>
        <x:v>0</x:v>
      </x:c>
      <x:c r="AM1384" s="2" t="n">
        <x:f>IF(J1384&lt;&gt;"PASS",0,'Motor_Meciuri'!BT104)</x:f>
        <x:v>0</x:v>
      </x:c>
      <x:c r="AN1384" s="2" t="str">
        <x:f>IF(M1384="","",MAX(0,'Motor_Meciuri'!BF104-IF(L1384&gt;'Config_v6'!$B$12,'Config_v6'!$B$37,IF(L1384&gt;'Config_v6'!$B$11,'Config_v6'!$B$36,0))))</x:f>
      </x:c>
    </x:row>
    <x:row r="1385" ht="21" customHeight="1">
      <x:c r="A1385" s="2" t="n">
        <x:v>99</x:v>
      </x:c>
      <x:c r="B1385" s="2" t="str">
        <x:f>IF('Motor_Meciuri'!A104="","",'Motor_Meciuri'!A104)</x:f>
      </x:c>
      <x:c r="C1385" s="2" t="str">
        <x:f>IF(B1385="","",'Motor_Meciuri'!B104)</x:f>
      </x:c>
      <x:c r="D1385" s="2" t="str">
        <x:f>IF(B1385="","",'Motor_Meciuri'!D104)</x:f>
      </x:c>
      <x:c r="E1385" s="2" t="str">
        <x:f>IF(B1385="","",'Motor_Meciuri'!E104)</x:f>
      </x:c>
      <x:c r="F1385" s="2" t="str">
        <x:v>U11,5</x:v>
      </x:c>
      <x:c r="G1385" s="2" t="str">
        <x:v>UNDER</x:v>
      </x:c>
      <x:c r="H1385" s="2" t="n">
        <x:v>11</x:v>
      </x:c>
      <x:c r="I1385" s="2" t="str">
        <x:f>IF(B1385="","",'Motor_Meciuri'!H104)</x:f>
      </x:c>
      <x:c r="J1385" s="2" t="str">
        <x:f>IF(B1385="","",'Motor_Meciuri'!I104)</x:f>
      </x:c>
      <x:c r="K1385" s="11" t="str">
        <x:f>IF(J1385&lt;&gt;"PASS","",'Motor_Meciuri'!BD104)</x:f>
      </x:c>
      <x:c r="L1385" s="11" t="str">
        <x:f>IF(J1385&lt;&gt;"PASS","",'Motor_Meciuri'!AU104)</x:f>
      </x:c>
      <x:c r="M1385" s="10" t="str">
        <x:f>IF(NOT(AND(J1385="PASS",'Calibrare_Linii'!U13="VALID")),"",'Distributie'!AI104)</x:f>
      </x:c>
      <x:c r="N1385" s="10" t="str">
        <x:f>IF(M1385="","",MAX(0.01,MIN(0.99,0.5+(M1385-0.5)*'Motor_Meciuri'!BG104*'Calibrare_Linii'!D13)))</x:f>
      </x:c>
      <x:c r="O1385" s="10" t="str">
        <x:f>IF(M1385="","",1-M1385)</x:f>
      </x:c>
      <x:c r="P1385" s="10" t="str">
        <x:f>IF(OR(NOT(AND(J1385="PASS",'Calibrare_Linii'!U13="VALID")),AK1385=0),""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*('Istoric_Nativ'!$Q$6:$Q$405&gt;H1385))/AK1385)</x:f>
      </x:c>
      <x:c r="Q1385" s="10" t="str">
        <x:f>IF(OR(NOT(AND(J1385="PASS",'Calibrare_Linii'!U13="VALID")),AL1385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M104)+((('Istoric_Nativ'!$E$6:$E$405='Input_Meci'!E104)+('Istoric_Nativ'!$F$6:$F$405='Input_Meci'!E104))&gt;0)*('Istoric_Nativ'!$D$6:$D$405&gt;='Motor_Meciuri'!BN104))&gt;0)*('Istoric_Nativ'!$Q$6:$Q$405&gt;H1385))/AL1385)</x:f>
      </x:c>
      <x:c r="R1385" s="10" t="str">
        <x:f>IF(OR(NOT(AND(J1385="PASS",'Calibrare_Linii'!U13="VALID")),AM1385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O104)+((('Istoric_Nativ'!$E$6:$E$405='Input_Meci'!E104)+('Istoric_Nativ'!$F$6:$F$405='Input_Meci'!E104))&gt;0)*('Istoric_Nativ'!$D$6:$D$405&gt;='Motor_Meciuri'!BP104))&gt;0)*('Istoric_Nativ'!$Q$6:$Q$405&gt;H1385))/AM1385)</x:f>
      </x:c>
      <x:c r="S1385" s="10" t="str">
        <x:f>IF(M1385="","",MAX(O1385,P1385,Q1385,R1385))</x:f>
      </x:c>
      <x:c r="T1385" s="11" t="str">
        <x:f>IF(M1385="","",MIN(100,S1385*100*'Config_v6'!$B$44+MIN(100,L1385/'Config_v6'!$B$13*100)*'Config_v6'!$B$45+(100-'Motor_Meciuri'!BF104)*'Config_v6'!$B$46+'Motor_Meciuri'!BH104*100*'Config_v6'!$B$47))</x:f>
      </x:c>
      <x:c r="U1385" s="2" t="str">
        <x:f>IF(T1385="","",IF(T1385&lt;=20,1,IF(T1385&lt;=40,2,IF(T1385&lt;=60,3,IF(T1385&lt;=80,4,5)))))</x:f>
      </x:c>
      <x:c r="V1385" s="2" t="str">
        <x:f>IF(M1385="","",MAX(0,'Motor_Meciuri'!BF104-IF(W1385="OOS PENDING",'Config_v6'!$B$35,0)-IF(L1385&gt;'Config_v6'!$B$12,'Config_v6'!$B$37,IF(L1385&gt;'Config_v6'!$B$11,'Config_v6'!$B$36,0))))</x:f>
      </x:c>
      <x:c r="W1385" s="2" t="str">
        <x:f>IF(B1385="","",IF(I1385&lt;&gt;"READY","NOT RELEASED",IF(NOT(AND(J1385="PASS",'Calibrare_Linii'!U13="VALID")),"INVALID",IF(NOT(AND('Calibrare_Linii'!S13="VALIDATED",AND('Calibrare_Linii'!H13=C1385,ISNUMBER('Calibrare_Linii'!J13),'Calibrare_Linii'!J13&lt;='Input_Meci'!G104))),"OOS PENDING",IF(S1385&lt;='Calibrare_Linii'!E13,"PASS",IF(S1385&lt;='Calibrare_Linii'!F13,"PENALTY","WATCH"))))))</x:f>
      </x:c>
      <x:c r="X1385" s="2" t="str">
        <x:f>IF(M1385="","",IF(AND(AND(J1385="PASS",'Calibrare_Linii'!U13="VALID"),'Motor_Meciuri'!K104=12,'Motor_Meciuri'!L104=12,'Motor_Meciuri'!M104="NO",'Motor_Meciuri'!BL104='Motor_Meciuri'!C104,AB1385&gt;='Config_v6'!$B$50,AN1385&gt;='Config_v6'!$B$51,T1385&lt;='Config_v6'!$B$52,L1385&lt;='Config_v6'!$B$53,ISNUMBER('Calibrare_Linii'!E13),S1385&lt;='Calibrare_Linii'!E13,SUM(AK1385:AM1385)&gt;0),"CANDIDATE","NO"))</x:f>
      </x:c>
      <x:c r="Y1385" s="2" t="str">
        <x:f>IF(B1385="","",IF(I1385&lt;&gt;"READY","NOT RELEASED",IF(AND(X1385="CANDIDATE",V1385&gt;='Config_v6'!$B$51,W1385="PASS",'Calibrare_Linii'!T13="VALIDATED",AND('Calibrare_Linii'!H13=C1385,ISNUMBER('Calibrare_Linii'!J13),'Calibrare_Linii'!J13&lt;='Input_Meci'!G104)),"PASS",IF(X1385="CANDIDATE","OOS PENDING","FAIL"))))</x:f>
      </x:c>
      <x:c r="Z1385" s="2" t="str">
        <x:f>IF(B1385="","",IF(I1385&lt;&gt;"READY","",IF(OR(NOT(AND(J1385="PASS",'Calibrare_Linii'!U13="VALID")),L1385&gt;'Config_v6'!$B$13,W1385="WATCH"),5,IF(Y1385="PASS",1,MIN(5,MAX('Config_v6'!$B$42,U1385)+IF(W1385="PENALTY",1,0))))))</x:f>
      </x:c>
      <x:c r="AA1385" s="2" t="str">
        <x:f>IF(B1385="","",IF(I1385&lt;&gt;"READY","NOT RELEASED",IF(Z1385=5,"NO BET",IF(OR(AB1385&lt;'Config_v6'!$B$16,V1385&lt;'Config_v6'!$B$18),"WATCH",IF(Z1385=1,"DEFENSIV",IF(Z1385=2,"PRUDENT",IF(Z1385=3,"MODERAT","RIDICAT")))))))</x:f>
      </x:c>
      <x:c r="AB1385" s="10" t="str">
        <x:f>IF(N1385="","",MIN(N1385,1-S1385))</x:f>
      </x:c>
      <x:c r="AC1385" s="2" t="str">
        <x:f>IF(AD1385&lt;&gt;1,"",COUNTIFS($Z$1378:$Z$1391,"&lt;"&amp;Z1385,$AD$1378:$AD$1391,1)+COUNTIFS($Z$1378:$Z$1391,Z1385,$AB$1378:$AB$1391,"&gt;"&amp;AB1385,$AD$1378:$AD$1391,1)+COUNTIFS($Z$1378:$Z$1391,Z1385,$AB$1378:$AB$1391,AB1385,$V$1378:$V$1391,"&gt;"&amp;V1385,$AD$1378:$AD$1391,1)+COUNTIFS($Z$1378:Z1385,Z1385,$AB$1378:AB1385,AB1385,$V$1378:V1385,V1385,$AD$1378:AD1385,1))</x:f>
      </x:c>
      <x:c r="AD1385" s="2" t="n">
        <x:f>IF(OR(AA1385="DEFENSIV",AA1385="PRUDENT",AA1385="MODERAT",AA1385="RIDICAT"),1,0)</x:f>
        <x:v>0</x:v>
      </x:c>
      <x:c r="AE1385" s="2" t="str">
        <x:f>IF(AD1385&lt;&gt;1,"NO",IF(W1385="PASS","YES",IF(W1385="OOS PENDING","CONDITIONAL","NO")))</x:f>
        <x:v>NO</x:v>
      </x:c>
      <x:c r="AF1385" s="2" t="n">
        <x:f>IF(AND(AD1385=1,AC1385=1,E1385="LIVE"),1,0)</x:f>
        <x:v>0</x:v>
      </x:c>
      <x:c r="AG1385" s="2" t="str">
        <x:f>IF(AF1385&lt;&gt;1,"",'Dashboard'!P124)</x:f>
      </x:c>
      <x:c r="AH1385" s="2" t="str">
        <x:f>IF(B1385="","",IF(J1385&lt;&gt;"PASS",'Motor_Meciuri'!J104,IF('Calibrare_Linii'!U13&lt;&gt;"VALID","Parametri linie invalizi",IF(L1385&gt;'Config_v6'!$B$13,"Dispersie peste limita",IF(W1385="WATCH","Failure peste limita",IF(AB1385&lt;'Config_v6'!$B$16,"P finala sub prag",IF(V1385&lt;'Config_v6'!$B$18,"Confidence sub prag",IF(E1385="REPLAY","Exemplu retrospectiv; exclus din Top LIVE",IF(Y1385="PASS","DEFENSIV validat",IF(W1385="OOS PENDING","Eligibil; calibrare linie in monitorizare","Eligibil"))))))))))</x:f>
      </x:c>
      <x:c r="AI1385" s="2" t="str">
        <x:f>IF(B1385="","",'Calibrare_Linii'!V13)</x:f>
      </x:c>
      <x:c r="AJ1385" s="2" t="str">
        <x:f>IF(B1385="","",IF(AND('Calibrare_Linii'!T13="VALIDATED",AND('Calibrare_Linii'!H13=C1385,ISNUMBER('Calibrare_Linii'!J13),'Calibrare_Linii'!J13&lt;='Input_Meci'!G104)),"DEFENSIVE VALIDATED",IF(AND('Calibrare_Linii'!S13="VALIDATED",AND('Calibrare_Linii'!H13=C1385,ISNUMBER('Calibrare_Linii'!J13),'Calibrare_Linii'!J13&lt;='Input_Meci'!G104)),"TAIL VALIDATED","OOS PENDING")))</x:f>
      </x:c>
      <x:c r="AK1385" s="2" t="n">
        <x:f>IF(J1385&lt;&gt;"PASS",0,'Motor_Meciuri'!BR104)</x:f>
        <x:v>0</x:v>
      </x:c>
      <x:c r="AL1385" s="2" t="n">
        <x:f>IF(J1385&lt;&gt;"PASS",0,'Motor_Meciuri'!BS104)</x:f>
        <x:v>0</x:v>
      </x:c>
      <x:c r="AM1385" s="2" t="n">
        <x:f>IF(J1385&lt;&gt;"PASS",0,'Motor_Meciuri'!BT104)</x:f>
        <x:v>0</x:v>
      </x:c>
      <x:c r="AN1385" s="2" t="str">
        <x:f>IF(M1385="","",MAX(0,'Motor_Meciuri'!BF104-IF(L1385&gt;'Config_v6'!$B$12,'Config_v6'!$B$37,IF(L1385&gt;'Config_v6'!$B$11,'Config_v6'!$B$36,0))))</x:f>
      </x:c>
    </x:row>
    <x:row r="1386" ht="21" customHeight="1">
      <x:c r="A1386" s="2" t="n">
        <x:v>99</x:v>
      </x:c>
      <x:c r="B1386" s="2" t="str">
        <x:f>IF('Motor_Meciuri'!A104="","",'Motor_Meciuri'!A104)</x:f>
      </x:c>
      <x:c r="C1386" s="2" t="str">
        <x:f>IF(B1386="","",'Motor_Meciuri'!B104)</x:f>
      </x:c>
      <x:c r="D1386" s="2" t="str">
        <x:f>IF(B1386="","",'Motor_Meciuri'!D104)</x:f>
      </x:c>
      <x:c r="E1386" s="2" t="str">
        <x:f>IF(B1386="","",'Motor_Meciuri'!E104)</x:f>
      </x:c>
      <x:c r="F1386" s="2" t="str">
        <x:v>U12,5</x:v>
      </x:c>
      <x:c r="G1386" s="2" t="str">
        <x:v>UNDER</x:v>
      </x:c>
      <x:c r="H1386" s="2" t="n">
        <x:v>12</x:v>
      </x:c>
      <x:c r="I1386" s="2" t="str">
        <x:f>IF(B1386="","",'Motor_Meciuri'!H104)</x:f>
      </x:c>
      <x:c r="J1386" s="2" t="str">
        <x:f>IF(B1386="","",'Motor_Meciuri'!I104)</x:f>
      </x:c>
      <x:c r="K1386" s="11" t="str">
        <x:f>IF(J1386&lt;&gt;"PASS","",'Motor_Meciuri'!BD104)</x:f>
      </x:c>
      <x:c r="L1386" s="11" t="str">
        <x:f>IF(J1386&lt;&gt;"PASS","",'Motor_Meciuri'!AU104)</x:f>
      </x:c>
      <x:c r="M1386" s="10" t="str">
        <x:f>IF(NOT(AND(J1386="PASS",'Calibrare_Linii'!U14="VALID")),"",'Distributie'!AJ104)</x:f>
      </x:c>
      <x:c r="N1386" s="10" t="str">
        <x:f>IF(M1386="","",MAX(0.01,MIN(0.99,0.5+(M1386-0.5)*'Motor_Meciuri'!BG104*'Calibrare_Linii'!D14)))</x:f>
      </x:c>
      <x:c r="O1386" s="10" t="str">
        <x:f>IF(M1386="","",1-M1386)</x:f>
      </x:c>
      <x:c r="P1386" s="10" t="str">
        <x:f>IF(OR(NOT(AND(J1386="PASS",'Calibrare_Linii'!U14="VALID")),AK1386=0),""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*('Istoric_Nativ'!$Q$6:$Q$405&gt;H1386))/AK1386)</x:f>
      </x:c>
      <x:c r="Q1386" s="10" t="str">
        <x:f>IF(OR(NOT(AND(J1386="PASS",'Calibrare_Linii'!U14="VALID")),AL1386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M104)+((('Istoric_Nativ'!$E$6:$E$405='Input_Meci'!E104)+('Istoric_Nativ'!$F$6:$F$405='Input_Meci'!E104))&gt;0)*('Istoric_Nativ'!$D$6:$D$405&gt;='Motor_Meciuri'!BN104))&gt;0)*('Istoric_Nativ'!$Q$6:$Q$405&gt;H1386))/AL1386)</x:f>
      </x:c>
      <x:c r="R1386" s="10" t="str">
        <x:f>IF(OR(NOT(AND(J1386="PASS",'Calibrare_Linii'!U14="VALID")),AM1386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O104)+((('Istoric_Nativ'!$E$6:$E$405='Input_Meci'!E104)+('Istoric_Nativ'!$F$6:$F$405='Input_Meci'!E104))&gt;0)*('Istoric_Nativ'!$D$6:$D$405&gt;='Motor_Meciuri'!BP104))&gt;0)*('Istoric_Nativ'!$Q$6:$Q$405&gt;H1386))/AM1386)</x:f>
      </x:c>
      <x:c r="S1386" s="10" t="str">
        <x:f>IF(M1386="","",MAX(O1386,P1386,Q1386,R1386))</x:f>
      </x:c>
      <x:c r="T1386" s="11" t="str">
        <x:f>IF(M1386="","",MIN(100,S1386*100*'Config_v6'!$B$44+MIN(100,L1386/'Config_v6'!$B$13*100)*'Config_v6'!$B$45+(100-'Motor_Meciuri'!BF104)*'Config_v6'!$B$46+'Motor_Meciuri'!BH104*100*'Config_v6'!$B$47))</x:f>
      </x:c>
      <x:c r="U1386" s="2" t="str">
        <x:f>IF(T1386="","",IF(T1386&lt;=20,1,IF(T1386&lt;=40,2,IF(T1386&lt;=60,3,IF(T1386&lt;=80,4,5)))))</x:f>
      </x:c>
      <x:c r="V1386" s="2" t="str">
        <x:f>IF(M1386="","",MAX(0,'Motor_Meciuri'!BF104-IF(W1386="OOS PENDING",'Config_v6'!$B$35,0)-IF(L1386&gt;'Config_v6'!$B$12,'Config_v6'!$B$37,IF(L1386&gt;'Config_v6'!$B$11,'Config_v6'!$B$36,0))))</x:f>
      </x:c>
      <x:c r="W1386" s="2" t="str">
        <x:f>IF(B1386="","",IF(I1386&lt;&gt;"READY","NOT RELEASED",IF(NOT(AND(J1386="PASS",'Calibrare_Linii'!U14="VALID")),"INVALID",IF(NOT(AND('Calibrare_Linii'!S14="VALIDATED",AND('Calibrare_Linii'!H14=C1386,ISNUMBER('Calibrare_Linii'!J14),'Calibrare_Linii'!J14&lt;='Input_Meci'!G104))),"OOS PENDING",IF(S1386&lt;='Calibrare_Linii'!E14,"PASS",IF(S1386&lt;='Calibrare_Linii'!F14,"PENALTY","WATCH"))))))</x:f>
      </x:c>
      <x:c r="X1386" s="2" t="str">
        <x:f>IF(M1386="","",IF(AND(AND(J1386="PASS",'Calibrare_Linii'!U14="VALID"),'Motor_Meciuri'!K104=12,'Motor_Meciuri'!L104=12,'Motor_Meciuri'!M104="NO",'Motor_Meciuri'!BL104='Motor_Meciuri'!C104,AB1386&gt;='Config_v6'!$B$50,AN1386&gt;='Config_v6'!$B$51,T1386&lt;='Config_v6'!$B$52,L1386&lt;='Config_v6'!$B$53,ISNUMBER('Calibrare_Linii'!E14),S1386&lt;='Calibrare_Linii'!E14,SUM(AK1386:AM1386)&gt;0),"CANDIDATE","NO"))</x:f>
      </x:c>
      <x:c r="Y1386" s="2" t="str">
        <x:f>IF(B1386="","",IF(I1386&lt;&gt;"READY","NOT RELEASED",IF(AND(X1386="CANDIDATE",V1386&gt;='Config_v6'!$B$51,W1386="PASS",'Calibrare_Linii'!T14="VALIDATED",AND('Calibrare_Linii'!H14=C1386,ISNUMBER('Calibrare_Linii'!J14),'Calibrare_Linii'!J14&lt;='Input_Meci'!G104)),"PASS",IF(X1386="CANDIDATE","OOS PENDING","FAIL"))))</x:f>
      </x:c>
      <x:c r="Z1386" s="2" t="str">
        <x:f>IF(B1386="","",IF(I1386&lt;&gt;"READY","",IF(OR(NOT(AND(J1386="PASS",'Calibrare_Linii'!U14="VALID")),L1386&gt;'Config_v6'!$B$13,W1386="WATCH"),5,IF(Y1386="PASS",1,MIN(5,MAX('Config_v6'!$B$42,U1386)+IF(W1386="PENALTY",1,0))))))</x:f>
      </x:c>
      <x:c r="AA1386" s="2" t="str">
        <x:f>IF(B1386="","",IF(I1386&lt;&gt;"READY","NOT RELEASED",IF(Z1386=5,"NO BET",IF(OR(AB1386&lt;'Config_v6'!$B$16,V1386&lt;'Config_v6'!$B$18),"WATCH",IF(Z1386=1,"DEFENSIV",IF(Z1386=2,"PRUDENT",IF(Z1386=3,"MODERAT","RIDICAT")))))))</x:f>
      </x:c>
      <x:c r="AB1386" s="10" t="str">
        <x:f>IF(N1386="","",MIN(N1386,1-S1386))</x:f>
      </x:c>
      <x:c r="AC1386" s="2" t="str">
        <x:f>IF(AD1386&lt;&gt;1,"",COUNTIFS($Z$1378:$Z$1391,"&lt;"&amp;Z1386,$AD$1378:$AD$1391,1)+COUNTIFS($Z$1378:$Z$1391,Z1386,$AB$1378:$AB$1391,"&gt;"&amp;AB1386,$AD$1378:$AD$1391,1)+COUNTIFS($Z$1378:$Z$1391,Z1386,$AB$1378:$AB$1391,AB1386,$V$1378:$V$1391,"&gt;"&amp;V1386,$AD$1378:$AD$1391,1)+COUNTIFS($Z$1378:Z1386,Z1386,$AB$1378:AB1386,AB1386,$V$1378:V1386,V1386,$AD$1378:AD1386,1))</x:f>
      </x:c>
      <x:c r="AD1386" s="2" t="n">
        <x:f>IF(OR(AA1386="DEFENSIV",AA1386="PRUDENT",AA1386="MODERAT",AA1386="RIDICAT"),1,0)</x:f>
        <x:v>0</x:v>
      </x:c>
      <x:c r="AE1386" s="2" t="str">
        <x:f>IF(AD1386&lt;&gt;1,"NO",IF(W1386="PASS","YES",IF(W1386="OOS PENDING","CONDITIONAL","NO")))</x:f>
        <x:v>NO</x:v>
      </x:c>
      <x:c r="AF1386" s="2" t="n">
        <x:f>IF(AND(AD1386=1,AC1386=1,E1386="LIVE"),1,0)</x:f>
        <x:v>0</x:v>
      </x:c>
      <x:c r="AG1386" s="2" t="str">
        <x:f>IF(AF1386&lt;&gt;1,"",'Dashboard'!P124)</x:f>
      </x:c>
      <x:c r="AH1386" s="2" t="str">
        <x:f>IF(B1386="","",IF(J1386&lt;&gt;"PASS",'Motor_Meciuri'!J104,IF('Calibrare_Linii'!U14&lt;&gt;"VALID","Parametri linie invalizi",IF(L1386&gt;'Config_v6'!$B$13,"Dispersie peste limita",IF(W1386="WATCH","Failure peste limita",IF(AB1386&lt;'Config_v6'!$B$16,"P finala sub prag",IF(V1386&lt;'Config_v6'!$B$18,"Confidence sub prag",IF(E1386="REPLAY","Exemplu retrospectiv; exclus din Top LIVE",IF(Y1386="PASS","DEFENSIV validat",IF(W1386="OOS PENDING","Eligibil; calibrare linie in monitorizare","Eligibil"))))))))))</x:f>
      </x:c>
      <x:c r="AI1386" s="2" t="str">
        <x:f>IF(B1386="","",'Calibrare_Linii'!V14)</x:f>
      </x:c>
      <x:c r="AJ1386" s="2" t="str">
        <x:f>IF(B1386="","",IF(AND('Calibrare_Linii'!T14="VALIDATED",AND('Calibrare_Linii'!H14=C1386,ISNUMBER('Calibrare_Linii'!J14),'Calibrare_Linii'!J14&lt;='Input_Meci'!G104)),"DEFENSIVE VALIDATED",IF(AND('Calibrare_Linii'!S14="VALIDATED",AND('Calibrare_Linii'!H14=C1386,ISNUMBER('Calibrare_Linii'!J14),'Calibrare_Linii'!J14&lt;='Input_Meci'!G104)),"TAIL VALIDATED","OOS PENDING")))</x:f>
      </x:c>
      <x:c r="AK1386" s="2" t="n">
        <x:f>IF(J1386&lt;&gt;"PASS",0,'Motor_Meciuri'!BR104)</x:f>
        <x:v>0</x:v>
      </x:c>
      <x:c r="AL1386" s="2" t="n">
        <x:f>IF(J1386&lt;&gt;"PASS",0,'Motor_Meciuri'!BS104)</x:f>
        <x:v>0</x:v>
      </x:c>
      <x:c r="AM1386" s="2" t="n">
        <x:f>IF(J1386&lt;&gt;"PASS",0,'Motor_Meciuri'!BT104)</x:f>
        <x:v>0</x:v>
      </x:c>
      <x:c r="AN1386" s="2" t="str">
        <x:f>IF(M1386="","",MAX(0,'Motor_Meciuri'!BF104-IF(L1386&gt;'Config_v6'!$B$12,'Config_v6'!$B$37,IF(L1386&gt;'Config_v6'!$B$11,'Config_v6'!$B$36,0))))</x:f>
      </x:c>
    </x:row>
    <x:row r="1387" ht="21" customHeight="1">
      <x:c r="A1387" s="2" t="n">
        <x:v>99</x:v>
      </x:c>
      <x:c r="B1387" s="2" t="str">
        <x:f>IF('Motor_Meciuri'!A104="","",'Motor_Meciuri'!A104)</x:f>
      </x:c>
      <x:c r="C1387" s="2" t="str">
        <x:f>IF(B1387="","",'Motor_Meciuri'!B104)</x:f>
      </x:c>
      <x:c r="D1387" s="2" t="str">
        <x:f>IF(B1387="","",'Motor_Meciuri'!D104)</x:f>
      </x:c>
      <x:c r="E1387" s="2" t="str">
        <x:f>IF(B1387="","",'Motor_Meciuri'!E104)</x:f>
      </x:c>
      <x:c r="F1387" s="2" t="str">
        <x:v>U13,5</x:v>
      </x:c>
      <x:c r="G1387" s="2" t="str">
        <x:v>UNDER</x:v>
      </x:c>
      <x:c r="H1387" s="2" t="n">
        <x:v>13</x:v>
      </x:c>
      <x:c r="I1387" s="2" t="str">
        <x:f>IF(B1387="","",'Motor_Meciuri'!H104)</x:f>
      </x:c>
      <x:c r="J1387" s="2" t="str">
        <x:f>IF(B1387="","",'Motor_Meciuri'!I104)</x:f>
      </x:c>
      <x:c r="K1387" s="11" t="str">
        <x:f>IF(J1387&lt;&gt;"PASS","",'Motor_Meciuri'!BD104)</x:f>
      </x:c>
      <x:c r="L1387" s="11" t="str">
        <x:f>IF(J1387&lt;&gt;"PASS","",'Motor_Meciuri'!AU104)</x:f>
      </x:c>
      <x:c r="M1387" s="10" t="str">
        <x:f>IF(NOT(AND(J1387="PASS",'Calibrare_Linii'!U15="VALID")),"",'Distributie'!AK104)</x:f>
      </x:c>
      <x:c r="N1387" s="10" t="str">
        <x:f>IF(M1387="","",MAX(0.01,MIN(0.99,0.5+(M1387-0.5)*'Motor_Meciuri'!BG104*'Calibrare_Linii'!D15)))</x:f>
      </x:c>
      <x:c r="O1387" s="10" t="str">
        <x:f>IF(M1387="","",1-M1387)</x:f>
      </x:c>
      <x:c r="P1387" s="10" t="str">
        <x:f>IF(OR(NOT(AND(J1387="PASS",'Calibrare_Linii'!U15="VALID")),AK1387=0),""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*('Istoric_Nativ'!$Q$6:$Q$405&gt;H1387))/AK1387)</x:f>
      </x:c>
      <x:c r="Q1387" s="10" t="str">
        <x:f>IF(OR(NOT(AND(J1387="PASS",'Calibrare_Linii'!U15="VALID")),AL1387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M104)+((('Istoric_Nativ'!$E$6:$E$405='Input_Meci'!E104)+('Istoric_Nativ'!$F$6:$F$405='Input_Meci'!E104))&gt;0)*('Istoric_Nativ'!$D$6:$D$405&gt;='Motor_Meciuri'!BN104))&gt;0)*('Istoric_Nativ'!$Q$6:$Q$405&gt;H1387))/AL1387)</x:f>
      </x:c>
      <x:c r="R1387" s="10" t="str">
        <x:f>IF(OR(NOT(AND(J1387="PASS",'Calibrare_Linii'!U15="VALID")),AM1387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O104)+((('Istoric_Nativ'!$E$6:$E$405='Input_Meci'!E104)+('Istoric_Nativ'!$F$6:$F$405='Input_Meci'!E104))&gt;0)*('Istoric_Nativ'!$D$6:$D$405&gt;='Motor_Meciuri'!BP104))&gt;0)*('Istoric_Nativ'!$Q$6:$Q$405&gt;H1387))/AM1387)</x:f>
      </x:c>
      <x:c r="S1387" s="10" t="str">
        <x:f>IF(M1387="","",MAX(O1387,P1387,Q1387,R1387))</x:f>
      </x:c>
      <x:c r="T1387" s="11" t="str">
        <x:f>IF(M1387="","",MIN(100,S1387*100*'Config_v6'!$B$44+MIN(100,L1387/'Config_v6'!$B$13*100)*'Config_v6'!$B$45+(100-'Motor_Meciuri'!BF104)*'Config_v6'!$B$46+'Motor_Meciuri'!BH104*100*'Config_v6'!$B$47))</x:f>
      </x:c>
      <x:c r="U1387" s="2" t="str">
        <x:f>IF(T1387="","",IF(T1387&lt;=20,1,IF(T1387&lt;=40,2,IF(T1387&lt;=60,3,IF(T1387&lt;=80,4,5)))))</x:f>
      </x:c>
      <x:c r="V1387" s="2" t="str">
        <x:f>IF(M1387="","",MAX(0,'Motor_Meciuri'!BF104-IF(W1387="OOS PENDING",'Config_v6'!$B$35,0)-IF(L1387&gt;'Config_v6'!$B$12,'Config_v6'!$B$37,IF(L1387&gt;'Config_v6'!$B$11,'Config_v6'!$B$36,0))))</x:f>
      </x:c>
      <x:c r="W1387" s="2" t="str">
        <x:f>IF(B1387="","",IF(I1387&lt;&gt;"READY","NOT RELEASED",IF(NOT(AND(J1387="PASS",'Calibrare_Linii'!U15="VALID")),"INVALID",IF(NOT(AND('Calibrare_Linii'!S15="VALIDATED",AND('Calibrare_Linii'!H15=C1387,ISNUMBER('Calibrare_Linii'!J15),'Calibrare_Linii'!J15&lt;='Input_Meci'!G104))),"OOS PENDING",IF(S1387&lt;='Calibrare_Linii'!E15,"PASS",IF(S1387&lt;='Calibrare_Linii'!F15,"PENALTY","WATCH"))))))</x:f>
      </x:c>
      <x:c r="X1387" s="2" t="str">
        <x:f>IF(M1387="","",IF(AND(AND(J1387="PASS",'Calibrare_Linii'!U15="VALID"),'Motor_Meciuri'!K104=12,'Motor_Meciuri'!L104=12,'Motor_Meciuri'!M104="NO",'Motor_Meciuri'!BL104='Motor_Meciuri'!C104,AB1387&gt;='Config_v6'!$B$50,AN1387&gt;='Config_v6'!$B$51,T1387&lt;='Config_v6'!$B$52,L1387&lt;='Config_v6'!$B$53,ISNUMBER('Calibrare_Linii'!E15),S1387&lt;='Calibrare_Linii'!E15,SUM(AK1387:AM1387)&gt;0),"CANDIDATE","NO"))</x:f>
      </x:c>
      <x:c r="Y1387" s="2" t="str">
        <x:f>IF(B1387="","",IF(I1387&lt;&gt;"READY","NOT RELEASED",IF(AND(X1387="CANDIDATE",V1387&gt;='Config_v6'!$B$51,W1387="PASS",'Calibrare_Linii'!T15="VALIDATED",AND('Calibrare_Linii'!H15=C1387,ISNUMBER('Calibrare_Linii'!J15),'Calibrare_Linii'!J15&lt;='Input_Meci'!G104)),"PASS",IF(X1387="CANDIDATE","OOS PENDING","FAIL"))))</x:f>
      </x:c>
      <x:c r="Z1387" s="2" t="str">
        <x:f>IF(B1387="","",IF(I1387&lt;&gt;"READY","",IF(OR(NOT(AND(J1387="PASS",'Calibrare_Linii'!U15="VALID")),L1387&gt;'Config_v6'!$B$13,W1387="WATCH"),5,IF(Y1387="PASS",1,MIN(5,MAX('Config_v6'!$B$42,U1387)+IF(W1387="PENALTY",1,0))))))</x:f>
      </x:c>
      <x:c r="AA1387" s="2" t="str">
        <x:f>IF(B1387="","",IF(I1387&lt;&gt;"READY","NOT RELEASED",IF(Z1387=5,"NO BET",IF(OR(AB1387&lt;'Config_v6'!$B$16,V1387&lt;'Config_v6'!$B$18),"WATCH",IF(Z1387=1,"DEFENSIV",IF(Z1387=2,"PRUDENT",IF(Z1387=3,"MODERAT","RIDICAT")))))))</x:f>
      </x:c>
      <x:c r="AB1387" s="10" t="str">
        <x:f>IF(N1387="","",MIN(N1387,1-S1387))</x:f>
      </x:c>
      <x:c r="AC1387" s="2" t="str">
        <x:f>IF(AD1387&lt;&gt;1,"",COUNTIFS($Z$1378:$Z$1391,"&lt;"&amp;Z1387,$AD$1378:$AD$1391,1)+COUNTIFS($Z$1378:$Z$1391,Z1387,$AB$1378:$AB$1391,"&gt;"&amp;AB1387,$AD$1378:$AD$1391,1)+COUNTIFS($Z$1378:$Z$1391,Z1387,$AB$1378:$AB$1391,AB1387,$V$1378:$V$1391,"&gt;"&amp;V1387,$AD$1378:$AD$1391,1)+COUNTIFS($Z$1378:Z1387,Z1387,$AB$1378:AB1387,AB1387,$V$1378:V1387,V1387,$AD$1378:AD1387,1))</x:f>
      </x:c>
      <x:c r="AD1387" s="2" t="n">
        <x:f>IF(OR(AA1387="DEFENSIV",AA1387="PRUDENT",AA1387="MODERAT",AA1387="RIDICAT"),1,0)</x:f>
        <x:v>0</x:v>
      </x:c>
      <x:c r="AE1387" s="2" t="str">
        <x:f>IF(AD1387&lt;&gt;1,"NO",IF(W1387="PASS","YES",IF(W1387="OOS PENDING","CONDITIONAL","NO")))</x:f>
        <x:v>NO</x:v>
      </x:c>
      <x:c r="AF1387" s="2" t="n">
        <x:f>IF(AND(AD1387=1,AC1387=1,E1387="LIVE"),1,0)</x:f>
        <x:v>0</x:v>
      </x:c>
      <x:c r="AG1387" s="2" t="str">
        <x:f>IF(AF1387&lt;&gt;1,"",'Dashboard'!P124)</x:f>
      </x:c>
      <x:c r="AH1387" s="2" t="str">
        <x:f>IF(B1387="","",IF(J1387&lt;&gt;"PASS",'Motor_Meciuri'!J104,IF('Calibrare_Linii'!U15&lt;&gt;"VALID","Parametri linie invalizi",IF(L1387&gt;'Config_v6'!$B$13,"Dispersie peste limita",IF(W1387="WATCH","Failure peste limita",IF(AB1387&lt;'Config_v6'!$B$16,"P finala sub prag",IF(V1387&lt;'Config_v6'!$B$18,"Confidence sub prag",IF(E1387="REPLAY","Exemplu retrospectiv; exclus din Top LIVE",IF(Y1387="PASS","DEFENSIV validat",IF(W1387="OOS PENDING","Eligibil; calibrare linie in monitorizare","Eligibil"))))))))))</x:f>
      </x:c>
      <x:c r="AI1387" s="2" t="str">
        <x:f>IF(B1387="","",'Calibrare_Linii'!V15)</x:f>
      </x:c>
      <x:c r="AJ1387" s="2" t="str">
        <x:f>IF(B1387="","",IF(AND('Calibrare_Linii'!T15="VALIDATED",AND('Calibrare_Linii'!H15=C1387,ISNUMBER('Calibrare_Linii'!J15),'Calibrare_Linii'!J15&lt;='Input_Meci'!G104)),"DEFENSIVE VALIDATED",IF(AND('Calibrare_Linii'!S15="VALIDATED",AND('Calibrare_Linii'!H15=C1387,ISNUMBER('Calibrare_Linii'!J15),'Calibrare_Linii'!J15&lt;='Input_Meci'!G104)),"TAIL VALIDATED","OOS PENDING")))</x:f>
      </x:c>
      <x:c r="AK1387" s="2" t="n">
        <x:f>IF(J1387&lt;&gt;"PASS",0,'Motor_Meciuri'!BR104)</x:f>
        <x:v>0</x:v>
      </x:c>
      <x:c r="AL1387" s="2" t="n">
        <x:f>IF(J1387&lt;&gt;"PASS",0,'Motor_Meciuri'!BS104)</x:f>
        <x:v>0</x:v>
      </x:c>
      <x:c r="AM1387" s="2" t="n">
        <x:f>IF(J1387&lt;&gt;"PASS",0,'Motor_Meciuri'!BT104)</x:f>
        <x:v>0</x:v>
      </x:c>
      <x:c r="AN1387" s="2" t="str">
        <x:f>IF(M1387="","",MAX(0,'Motor_Meciuri'!BF104-IF(L1387&gt;'Config_v6'!$B$12,'Config_v6'!$B$37,IF(L1387&gt;'Config_v6'!$B$11,'Config_v6'!$B$36,0))))</x:f>
      </x:c>
    </x:row>
    <x:row r="1388" ht="21" customHeight="1">
      <x:c r="A1388" s="2" t="n">
        <x:v>99</x:v>
      </x:c>
      <x:c r="B1388" s="2" t="str">
        <x:f>IF('Motor_Meciuri'!A104="","",'Motor_Meciuri'!A104)</x:f>
      </x:c>
      <x:c r="C1388" s="2" t="str">
        <x:f>IF(B1388="","",'Motor_Meciuri'!B104)</x:f>
      </x:c>
      <x:c r="D1388" s="2" t="str">
        <x:f>IF(B1388="","",'Motor_Meciuri'!D104)</x:f>
      </x:c>
      <x:c r="E1388" s="2" t="str">
        <x:f>IF(B1388="","",'Motor_Meciuri'!E104)</x:f>
      </x:c>
      <x:c r="F1388" s="2" t="str">
        <x:v>U14,5</x:v>
      </x:c>
      <x:c r="G1388" s="2" t="str">
        <x:v>UNDER</x:v>
      </x:c>
      <x:c r="H1388" s="2" t="n">
        <x:v>14</x:v>
      </x:c>
      <x:c r="I1388" s="2" t="str">
        <x:f>IF(B1388="","",'Motor_Meciuri'!H104)</x:f>
      </x:c>
      <x:c r="J1388" s="2" t="str">
        <x:f>IF(B1388="","",'Motor_Meciuri'!I104)</x:f>
      </x:c>
      <x:c r="K1388" s="11" t="str">
        <x:f>IF(J1388&lt;&gt;"PASS","",'Motor_Meciuri'!BD104)</x:f>
      </x:c>
      <x:c r="L1388" s="11" t="str">
        <x:f>IF(J1388&lt;&gt;"PASS","",'Motor_Meciuri'!AU104)</x:f>
      </x:c>
      <x:c r="M1388" s="10" t="str">
        <x:f>IF(NOT(AND(J1388="PASS",'Calibrare_Linii'!U16="VALID")),"",'Distributie'!AL104)</x:f>
      </x:c>
      <x:c r="N1388" s="10" t="str">
        <x:f>IF(M1388="","",MAX(0.01,MIN(0.99,0.5+(M1388-0.5)*'Motor_Meciuri'!BG104*'Calibrare_Linii'!D16)))</x:f>
      </x:c>
      <x:c r="O1388" s="10" t="str">
        <x:f>IF(M1388="","",1-M1388)</x:f>
      </x:c>
      <x:c r="P1388" s="10" t="str">
        <x:f>IF(OR(NOT(AND(J1388="PASS",'Calibrare_Linii'!U16="VALID")),AK1388=0),""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*('Istoric_Nativ'!$Q$6:$Q$405&gt;H1388))/AK1388)</x:f>
      </x:c>
      <x:c r="Q1388" s="10" t="str">
        <x:f>IF(OR(NOT(AND(J1388="PASS",'Calibrare_Linii'!U16="VALID")),AL1388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M104)+((('Istoric_Nativ'!$E$6:$E$405='Input_Meci'!E104)+('Istoric_Nativ'!$F$6:$F$405='Input_Meci'!E104))&gt;0)*('Istoric_Nativ'!$D$6:$D$405&gt;='Motor_Meciuri'!BN104))&gt;0)*('Istoric_Nativ'!$Q$6:$Q$405&gt;H1388))/AL1388)</x:f>
      </x:c>
      <x:c r="R1388" s="10" t="str">
        <x:f>IF(OR(NOT(AND(J1388="PASS",'Calibrare_Linii'!U16="VALID")),AM1388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O104)+((('Istoric_Nativ'!$E$6:$E$405='Input_Meci'!E104)+('Istoric_Nativ'!$F$6:$F$405='Input_Meci'!E104))&gt;0)*('Istoric_Nativ'!$D$6:$D$405&gt;='Motor_Meciuri'!BP104))&gt;0)*('Istoric_Nativ'!$Q$6:$Q$405&gt;H1388))/AM1388)</x:f>
      </x:c>
      <x:c r="S1388" s="10" t="str">
        <x:f>IF(M1388="","",MAX(O1388,P1388,Q1388,R1388))</x:f>
      </x:c>
      <x:c r="T1388" s="11" t="str">
        <x:f>IF(M1388="","",MIN(100,S1388*100*'Config_v6'!$B$44+MIN(100,L1388/'Config_v6'!$B$13*100)*'Config_v6'!$B$45+(100-'Motor_Meciuri'!BF104)*'Config_v6'!$B$46+'Motor_Meciuri'!BH104*100*'Config_v6'!$B$47))</x:f>
      </x:c>
      <x:c r="U1388" s="2" t="str">
        <x:f>IF(T1388="","",IF(T1388&lt;=20,1,IF(T1388&lt;=40,2,IF(T1388&lt;=60,3,IF(T1388&lt;=80,4,5)))))</x:f>
      </x:c>
      <x:c r="V1388" s="2" t="str">
        <x:f>IF(M1388="","",MAX(0,'Motor_Meciuri'!BF104-IF(W1388="OOS PENDING",'Config_v6'!$B$35,0)-IF(L1388&gt;'Config_v6'!$B$12,'Config_v6'!$B$37,IF(L1388&gt;'Config_v6'!$B$11,'Config_v6'!$B$36,0))))</x:f>
      </x:c>
      <x:c r="W1388" s="2" t="str">
        <x:f>IF(B1388="","",IF(I1388&lt;&gt;"READY","NOT RELEASED",IF(NOT(AND(J1388="PASS",'Calibrare_Linii'!U16="VALID")),"INVALID",IF(NOT(AND('Calibrare_Linii'!S16="VALIDATED",AND('Calibrare_Linii'!H16=C1388,ISNUMBER('Calibrare_Linii'!J16),'Calibrare_Linii'!J16&lt;='Input_Meci'!G104))),"OOS PENDING",IF(S1388&lt;='Calibrare_Linii'!E16,"PASS",IF(S1388&lt;='Calibrare_Linii'!F16,"PENALTY","WATCH"))))))</x:f>
      </x:c>
      <x:c r="X1388" s="2" t="str">
        <x:f>IF(M1388="","",IF(AND(AND(J1388="PASS",'Calibrare_Linii'!U16="VALID"),'Motor_Meciuri'!K104=12,'Motor_Meciuri'!L104=12,'Motor_Meciuri'!M104="NO",'Motor_Meciuri'!BL104='Motor_Meciuri'!C104,AB1388&gt;='Config_v6'!$B$50,AN1388&gt;='Config_v6'!$B$51,T1388&lt;='Config_v6'!$B$52,L1388&lt;='Config_v6'!$B$53,ISNUMBER('Calibrare_Linii'!E16),S1388&lt;='Calibrare_Linii'!E16,SUM(AK1388:AM1388)&gt;0),"CANDIDATE","NO"))</x:f>
      </x:c>
      <x:c r="Y1388" s="2" t="str">
        <x:f>IF(B1388="","",IF(I1388&lt;&gt;"READY","NOT RELEASED",IF(AND(X1388="CANDIDATE",V1388&gt;='Config_v6'!$B$51,W1388="PASS",'Calibrare_Linii'!T16="VALIDATED",AND('Calibrare_Linii'!H16=C1388,ISNUMBER('Calibrare_Linii'!J16),'Calibrare_Linii'!J16&lt;='Input_Meci'!G104)),"PASS",IF(X1388="CANDIDATE","OOS PENDING","FAIL"))))</x:f>
      </x:c>
      <x:c r="Z1388" s="2" t="str">
        <x:f>IF(B1388="","",IF(I1388&lt;&gt;"READY","",IF(OR(NOT(AND(J1388="PASS",'Calibrare_Linii'!U16="VALID")),L1388&gt;'Config_v6'!$B$13,W1388="WATCH"),5,IF(Y1388="PASS",1,MIN(5,MAX('Config_v6'!$B$42,U1388)+IF(W1388="PENALTY",1,0))))))</x:f>
      </x:c>
      <x:c r="AA1388" s="2" t="str">
        <x:f>IF(B1388="","",IF(I1388&lt;&gt;"READY","NOT RELEASED",IF(Z1388=5,"NO BET",IF(OR(AB1388&lt;'Config_v6'!$B$16,V1388&lt;'Config_v6'!$B$18),"WATCH",IF(Z1388=1,"DEFENSIV",IF(Z1388=2,"PRUDENT",IF(Z1388=3,"MODERAT","RIDICAT")))))))</x:f>
      </x:c>
      <x:c r="AB1388" s="10" t="str">
        <x:f>IF(N1388="","",MIN(N1388,1-S1388))</x:f>
      </x:c>
      <x:c r="AC1388" s="2" t="str">
        <x:f>IF(AD1388&lt;&gt;1,"",COUNTIFS($Z$1378:$Z$1391,"&lt;"&amp;Z1388,$AD$1378:$AD$1391,1)+COUNTIFS($Z$1378:$Z$1391,Z1388,$AB$1378:$AB$1391,"&gt;"&amp;AB1388,$AD$1378:$AD$1391,1)+COUNTIFS($Z$1378:$Z$1391,Z1388,$AB$1378:$AB$1391,AB1388,$V$1378:$V$1391,"&gt;"&amp;V1388,$AD$1378:$AD$1391,1)+COUNTIFS($Z$1378:Z1388,Z1388,$AB$1378:AB1388,AB1388,$V$1378:V1388,V1388,$AD$1378:AD1388,1))</x:f>
      </x:c>
      <x:c r="AD1388" s="2" t="n">
        <x:f>IF(OR(AA1388="DEFENSIV",AA1388="PRUDENT",AA1388="MODERAT",AA1388="RIDICAT"),1,0)</x:f>
        <x:v>0</x:v>
      </x:c>
      <x:c r="AE1388" s="2" t="str">
        <x:f>IF(AD1388&lt;&gt;1,"NO",IF(W1388="PASS","YES",IF(W1388="OOS PENDING","CONDITIONAL","NO")))</x:f>
        <x:v>NO</x:v>
      </x:c>
      <x:c r="AF1388" s="2" t="n">
        <x:f>IF(AND(AD1388=1,AC1388=1,E1388="LIVE"),1,0)</x:f>
        <x:v>0</x:v>
      </x:c>
      <x:c r="AG1388" s="2" t="str">
        <x:f>IF(AF1388&lt;&gt;1,"",'Dashboard'!P124)</x:f>
      </x:c>
      <x:c r="AH1388" s="2" t="str">
        <x:f>IF(B1388="","",IF(J1388&lt;&gt;"PASS",'Motor_Meciuri'!J104,IF('Calibrare_Linii'!U16&lt;&gt;"VALID","Parametri linie invalizi",IF(L1388&gt;'Config_v6'!$B$13,"Dispersie peste limita",IF(W1388="WATCH","Failure peste limita",IF(AB1388&lt;'Config_v6'!$B$16,"P finala sub prag",IF(V1388&lt;'Config_v6'!$B$18,"Confidence sub prag",IF(E1388="REPLAY","Exemplu retrospectiv; exclus din Top LIVE",IF(Y1388="PASS","DEFENSIV validat",IF(W1388="OOS PENDING","Eligibil; calibrare linie in monitorizare","Eligibil"))))))))))</x:f>
      </x:c>
      <x:c r="AI1388" s="2" t="str">
        <x:f>IF(B1388="","",'Calibrare_Linii'!V16)</x:f>
      </x:c>
      <x:c r="AJ1388" s="2" t="str">
        <x:f>IF(B1388="","",IF(AND('Calibrare_Linii'!T16="VALIDATED",AND('Calibrare_Linii'!H16=C1388,ISNUMBER('Calibrare_Linii'!J16),'Calibrare_Linii'!J16&lt;='Input_Meci'!G104)),"DEFENSIVE VALIDATED",IF(AND('Calibrare_Linii'!S16="VALIDATED",AND('Calibrare_Linii'!H16=C1388,ISNUMBER('Calibrare_Linii'!J16),'Calibrare_Linii'!J16&lt;='Input_Meci'!G104)),"TAIL VALIDATED","OOS PENDING")))</x:f>
      </x:c>
      <x:c r="AK1388" s="2" t="n">
        <x:f>IF(J1388&lt;&gt;"PASS",0,'Motor_Meciuri'!BR104)</x:f>
        <x:v>0</x:v>
      </x:c>
      <x:c r="AL1388" s="2" t="n">
        <x:f>IF(J1388&lt;&gt;"PASS",0,'Motor_Meciuri'!BS104)</x:f>
        <x:v>0</x:v>
      </x:c>
      <x:c r="AM1388" s="2" t="n">
        <x:f>IF(J1388&lt;&gt;"PASS",0,'Motor_Meciuri'!BT104)</x:f>
        <x:v>0</x:v>
      </x:c>
      <x:c r="AN1388" s="2" t="str">
        <x:f>IF(M1388="","",MAX(0,'Motor_Meciuri'!BF104-IF(L1388&gt;'Config_v6'!$B$12,'Config_v6'!$B$37,IF(L1388&gt;'Config_v6'!$B$11,'Config_v6'!$B$36,0))))</x:f>
      </x:c>
    </x:row>
    <x:row r="1389" ht="21" customHeight="1">
      <x:c r="A1389" s="2" t="n">
        <x:v>99</x:v>
      </x:c>
      <x:c r="B1389" s="2" t="str">
        <x:f>IF('Motor_Meciuri'!A104="","",'Motor_Meciuri'!A104)</x:f>
      </x:c>
      <x:c r="C1389" s="2" t="str">
        <x:f>IF(B1389="","",'Motor_Meciuri'!B104)</x:f>
      </x:c>
      <x:c r="D1389" s="2" t="str">
        <x:f>IF(B1389="","",'Motor_Meciuri'!D104)</x:f>
      </x:c>
      <x:c r="E1389" s="2" t="str">
        <x:f>IF(B1389="","",'Motor_Meciuri'!E104)</x:f>
      </x:c>
      <x:c r="F1389" s="2" t="str">
        <x:v>U15,5</x:v>
      </x:c>
      <x:c r="G1389" s="2" t="str">
        <x:v>UNDER</x:v>
      </x:c>
      <x:c r="H1389" s="2" t="n">
        <x:v>15</x:v>
      </x:c>
      <x:c r="I1389" s="2" t="str">
        <x:f>IF(B1389="","",'Motor_Meciuri'!H104)</x:f>
      </x:c>
      <x:c r="J1389" s="2" t="str">
        <x:f>IF(B1389="","",'Motor_Meciuri'!I104)</x:f>
      </x:c>
      <x:c r="K1389" s="11" t="str">
        <x:f>IF(J1389&lt;&gt;"PASS","",'Motor_Meciuri'!BD104)</x:f>
      </x:c>
      <x:c r="L1389" s="11" t="str">
        <x:f>IF(J1389&lt;&gt;"PASS","",'Motor_Meciuri'!AU104)</x:f>
      </x:c>
      <x:c r="M1389" s="10" t="str">
        <x:f>IF(NOT(AND(J1389="PASS",'Calibrare_Linii'!U17="VALID")),"",'Distributie'!AM104)</x:f>
      </x:c>
      <x:c r="N1389" s="10" t="str">
        <x:f>IF(M1389="","",MAX(0.01,MIN(0.99,0.5+(M1389-0.5)*'Motor_Meciuri'!BG104*'Calibrare_Linii'!D17)))</x:f>
      </x:c>
      <x:c r="O1389" s="10" t="str">
        <x:f>IF(M1389="","",1-M1389)</x:f>
      </x:c>
      <x:c r="P1389" s="10" t="str">
        <x:f>IF(OR(NOT(AND(J1389="PASS",'Calibrare_Linii'!U17="VALID")),AK1389=0),""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*('Istoric_Nativ'!$Q$6:$Q$405&gt;H1389))/AK1389)</x:f>
      </x:c>
      <x:c r="Q1389" s="10" t="str">
        <x:f>IF(OR(NOT(AND(J1389="PASS",'Calibrare_Linii'!U17="VALID")),AL1389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M104)+((('Istoric_Nativ'!$E$6:$E$405='Input_Meci'!E104)+('Istoric_Nativ'!$F$6:$F$405='Input_Meci'!E104))&gt;0)*('Istoric_Nativ'!$D$6:$D$405&gt;='Motor_Meciuri'!BN104))&gt;0)*('Istoric_Nativ'!$Q$6:$Q$405&gt;H1389))/AL1389)</x:f>
      </x:c>
      <x:c r="R1389" s="10" t="str">
        <x:f>IF(OR(NOT(AND(J1389="PASS",'Calibrare_Linii'!U17="VALID")),AM1389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O104)+((('Istoric_Nativ'!$E$6:$E$405='Input_Meci'!E104)+('Istoric_Nativ'!$F$6:$F$405='Input_Meci'!E104))&gt;0)*('Istoric_Nativ'!$D$6:$D$405&gt;='Motor_Meciuri'!BP104))&gt;0)*('Istoric_Nativ'!$Q$6:$Q$405&gt;H1389))/AM1389)</x:f>
      </x:c>
      <x:c r="S1389" s="10" t="str">
        <x:f>IF(M1389="","",MAX(O1389,P1389,Q1389,R1389))</x:f>
      </x:c>
      <x:c r="T1389" s="11" t="str">
        <x:f>IF(M1389="","",MIN(100,S1389*100*'Config_v6'!$B$44+MIN(100,L1389/'Config_v6'!$B$13*100)*'Config_v6'!$B$45+(100-'Motor_Meciuri'!BF104)*'Config_v6'!$B$46+'Motor_Meciuri'!BH104*100*'Config_v6'!$B$47))</x:f>
      </x:c>
      <x:c r="U1389" s="2" t="str">
        <x:f>IF(T1389="","",IF(T1389&lt;=20,1,IF(T1389&lt;=40,2,IF(T1389&lt;=60,3,IF(T1389&lt;=80,4,5)))))</x:f>
      </x:c>
      <x:c r="V1389" s="2" t="str">
        <x:f>IF(M1389="","",MAX(0,'Motor_Meciuri'!BF104-IF(W1389="OOS PENDING",'Config_v6'!$B$35,0)-IF(L1389&gt;'Config_v6'!$B$12,'Config_v6'!$B$37,IF(L1389&gt;'Config_v6'!$B$11,'Config_v6'!$B$36,0))))</x:f>
      </x:c>
      <x:c r="W1389" s="2" t="str">
        <x:f>IF(B1389="","",IF(I1389&lt;&gt;"READY","NOT RELEASED",IF(NOT(AND(J1389="PASS",'Calibrare_Linii'!U17="VALID")),"INVALID",IF(NOT(AND('Calibrare_Linii'!S17="VALIDATED",AND('Calibrare_Linii'!H17=C1389,ISNUMBER('Calibrare_Linii'!J17),'Calibrare_Linii'!J17&lt;='Input_Meci'!G104))),"OOS PENDING",IF(S1389&lt;='Calibrare_Linii'!E17,"PASS",IF(S1389&lt;='Calibrare_Linii'!F17,"PENALTY","WATCH"))))))</x:f>
      </x:c>
      <x:c r="X1389" s="2" t="str">
        <x:f>IF(M1389="","",IF(AND(AND(J1389="PASS",'Calibrare_Linii'!U17="VALID"),'Motor_Meciuri'!K104=12,'Motor_Meciuri'!L104=12,'Motor_Meciuri'!M104="NO",'Motor_Meciuri'!BL104='Motor_Meciuri'!C104,AB1389&gt;='Config_v6'!$B$50,AN1389&gt;='Config_v6'!$B$51,T1389&lt;='Config_v6'!$B$52,L1389&lt;='Config_v6'!$B$53,ISNUMBER('Calibrare_Linii'!E17),S1389&lt;='Calibrare_Linii'!E17,SUM(AK1389:AM1389)&gt;0),"CANDIDATE","NO"))</x:f>
      </x:c>
      <x:c r="Y1389" s="2" t="str">
        <x:f>IF(B1389="","",IF(I1389&lt;&gt;"READY","NOT RELEASED",IF(AND(X1389="CANDIDATE",V1389&gt;='Config_v6'!$B$51,W1389="PASS",'Calibrare_Linii'!T17="VALIDATED",AND('Calibrare_Linii'!H17=C1389,ISNUMBER('Calibrare_Linii'!J17),'Calibrare_Linii'!J17&lt;='Input_Meci'!G104)),"PASS",IF(X1389="CANDIDATE","OOS PENDING","FAIL"))))</x:f>
      </x:c>
      <x:c r="Z1389" s="2" t="str">
        <x:f>IF(B1389="","",IF(I1389&lt;&gt;"READY","",IF(OR(NOT(AND(J1389="PASS",'Calibrare_Linii'!U17="VALID")),L1389&gt;'Config_v6'!$B$13,W1389="WATCH"),5,IF(Y1389="PASS",1,MIN(5,MAX('Config_v6'!$B$42,U1389)+IF(W1389="PENALTY",1,0))))))</x:f>
      </x:c>
      <x:c r="AA1389" s="2" t="str">
        <x:f>IF(B1389="","",IF(I1389&lt;&gt;"READY","NOT RELEASED",IF(Z1389=5,"NO BET",IF(OR(AB1389&lt;'Config_v6'!$B$16,V1389&lt;'Config_v6'!$B$18),"WATCH",IF(Z1389=1,"DEFENSIV",IF(Z1389=2,"PRUDENT",IF(Z1389=3,"MODERAT","RIDICAT")))))))</x:f>
      </x:c>
      <x:c r="AB1389" s="10" t="str">
        <x:f>IF(N1389="","",MIN(N1389,1-S1389))</x:f>
      </x:c>
      <x:c r="AC1389" s="2" t="str">
        <x:f>IF(AD1389&lt;&gt;1,"",COUNTIFS($Z$1378:$Z$1391,"&lt;"&amp;Z1389,$AD$1378:$AD$1391,1)+COUNTIFS($Z$1378:$Z$1391,Z1389,$AB$1378:$AB$1391,"&gt;"&amp;AB1389,$AD$1378:$AD$1391,1)+COUNTIFS($Z$1378:$Z$1391,Z1389,$AB$1378:$AB$1391,AB1389,$V$1378:$V$1391,"&gt;"&amp;V1389,$AD$1378:$AD$1391,1)+COUNTIFS($Z$1378:Z1389,Z1389,$AB$1378:AB1389,AB1389,$V$1378:V1389,V1389,$AD$1378:AD1389,1))</x:f>
      </x:c>
      <x:c r="AD1389" s="2" t="n">
        <x:f>IF(OR(AA1389="DEFENSIV",AA1389="PRUDENT",AA1389="MODERAT",AA1389="RIDICAT"),1,0)</x:f>
        <x:v>0</x:v>
      </x:c>
      <x:c r="AE1389" s="2" t="str">
        <x:f>IF(AD1389&lt;&gt;1,"NO",IF(W1389="PASS","YES",IF(W1389="OOS PENDING","CONDITIONAL","NO")))</x:f>
        <x:v>NO</x:v>
      </x:c>
      <x:c r="AF1389" s="2" t="n">
        <x:f>IF(AND(AD1389=1,AC1389=1,E1389="LIVE"),1,0)</x:f>
        <x:v>0</x:v>
      </x:c>
      <x:c r="AG1389" s="2" t="str">
        <x:f>IF(AF1389&lt;&gt;1,"",'Dashboard'!P124)</x:f>
      </x:c>
      <x:c r="AH1389" s="2" t="str">
        <x:f>IF(B1389="","",IF(J1389&lt;&gt;"PASS",'Motor_Meciuri'!J104,IF('Calibrare_Linii'!U17&lt;&gt;"VALID","Parametri linie invalizi",IF(L1389&gt;'Config_v6'!$B$13,"Dispersie peste limita",IF(W1389="WATCH","Failure peste limita",IF(AB1389&lt;'Config_v6'!$B$16,"P finala sub prag",IF(V1389&lt;'Config_v6'!$B$18,"Confidence sub prag",IF(E1389="REPLAY","Exemplu retrospectiv; exclus din Top LIVE",IF(Y1389="PASS","DEFENSIV validat",IF(W1389="OOS PENDING","Eligibil; calibrare linie in monitorizare","Eligibil"))))))))))</x:f>
      </x:c>
      <x:c r="AI1389" s="2" t="str">
        <x:f>IF(B1389="","",'Calibrare_Linii'!V17)</x:f>
      </x:c>
      <x:c r="AJ1389" s="2" t="str">
        <x:f>IF(B1389="","",IF(AND('Calibrare_Linii'!T17="VALIDATED",AND('Calibrare_Linii'!H17=C1389,ISNUMBER('Calibrare_Linii'!J17),'Calibrare_Linii'!J17&lt;='Input_Meci'!G104)),"DEFENSIVE VALIDATED",IF(AND('Calibrare_Linii'!S17="VALIDATED",AND('Calibrare_Linii'!H17=C1389,ISNUMBER('Calibrare_Linii'!J17),'Calibrare_Linii'!J17&lt;='Input_Meci'!G104)),"TAIL VALIDATED","OOS PENDING")))</x:f>
      </x:c>
      <x:c r="AK1389" s="2" t="n">
        <x:f>IF(J1389&lt;&gt;"PASS",0,'Motor_Meciuri'!BR104)</x:f>
        <x:v>0</x:v>
      </x:c>
      <x:c r="AL1389" s="2" t="n">
        <x:f>IF(J1389&lt;&gt;"PASS",0,'Motor_Meciuri'!BS104)</x:f>
        <x:v>0</x:v>
      </x:c>
      <x:c r="AM1389" s="2" t="n">
        <x:f>IF(J1389&lt;&gt;"PASS",0,'Motor_Meciuri'!BT104)</x:f>
        <x:v>0</x:v>
      </x:c>
      <x:c r="AN1389" s="2" t="str">
        <x:f>IF(M1389="","",MAX(0,'Motor_Meciuri'!BF104-IF(L1389&gt;'Config_v6'!$B$12,'Config_v6'!$B$37,IF(L1389&gt;'Config_v6'!$B$11,'Config_v6'!$B$36,0))))</x:f>
      </x:c>
    </x:row>
    <x:row r="1390" ht="21" customHeight="1">
      <x:c r="A1390" s="2" t="n">
        <x:v>99</x:v>
      </x:c>
      <x:c r="B1390" s="2" t="str">
        <x:f>IF('Motor_Meciuri'!A104="","",'Motor_Meciuri'!A104)</x:f>
      </x:c>
      <x:c r="C1390" s="2" t="str">
        <x:f>IF(B1390="","",'Motor_Meciuri'!B104)</x:f>
      </x:c>
      <x:c r="D1390" s="2" t="str">
        <x:f>IF(B1390="","",'Motor_Meciuri'!D104)</x:f>
      </x:c>
      <x:c r="E1390" s="2" t="str">
        <x:f>IF(B1390="","",'Motor_Meciuri'!E104)</x:f>
      </x:c>
      <x:c r="F1390" s="2" t="str">
        <x:v>U16,5</x:v>
      </x:c>
      <x:c r="G1390" s="2" t="str">
        <x:v>UNDER</x:v>
      </x:c>
      <x:c r="H1390" s="2" t="n">
        <x:v>16</x:v>
      </x:c>
      <x:c r="I1390" s="2" t="str">
        <x:f>IF(B1390="","",'Motor_Meciuri'!H104)</x:f>
      </x:c>
      <x:c r="J1390" s="2" t="str">
        <x:f>IF(B1390="","",'Motor_Meciuri'!I104)</x:f>
      </x:c>
      <x:c r="K1390" s="11" t="str">
        <x:f>IF(J1390&lt;&gt;"PASS","",'Motor_Meciuri'!BD104)</x:f>
      </x:c>
      <x:c r="L1390" s="11" t="str">
        <x:f>IF(J1390&lt;&gt;"PASS","",'Motor_Meciuri'!AU104)</x:f>
      </x:c>
      <x:c r="M1390" s="10" t="str">
        <x:f>IF(NOT(AND(J1390="PASS",'Calibrare_Linii'!U18="VALID")),"",'Distributie'!AN104)</x:f>
      </x:c>
      <x:c r="N1390" s="10" t="str">
        <x:f>IF(M1390="","",MAX(0.01,MIN(0.99,0.5+(M1390-0.5)*'Motor_Meciuri'!BG104*'Calibrare_Linii'!D18)))</x:f>
      </x:c>
      <x:c r="O1390" s="10" t="str">
        <x:f>IF(M1390="","",1-M1390)</x:f>
      </x:c>
      <x:c r="P1390" s="10" t="str">
        <x:f>IF(OR(NOT(AND(J1390="PASS",'Calibrare_Linii'!U18="VALID")),AK1390=0),""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*('Istoric_Nativ'!$Q$6:$Q$405&gt;H1390))/AK1390)</x:f>
      </x:c>
      <x:c r="Q1390" s="10" t="str">
        <x:f>IF(OR(NOT(AND(J1390="PASS",'Calibrare_Linii'!U18="VALID")),AL1390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M104)+((('Istoric_Nativ'!$E$6:$E$405='Input_Meci'!E104)+('Istoric_Nativ'!$F$6:$F$405='Input_Meci'!E104))&gt;0)*('Istoric_Nativ'!$D$6:$D$405&gt;='Motor_Meciuri'!BN104))&gt;0)*('Istoric_Nativ'!$Q$6:$Q$405&gt;H1390))/AL1390)</x:f>
      </x:c>
      <x:c r="R1390" s="10" t="str">
        <x:f>IF(OR(NOT(AND(J1390="PASS",'Calibrare_Linii'!U18="VALID")),AM1390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O104)+((('Istoric_Nativ'!$E$6:$E$405='Input_Meci'!E104)+('Istoric_Nativ'!$F$6:$F$405='Input_Meci'!E104))&gt;0)*('Istoric_Nativ'!$D$6:$D$405&gt;='Motor_Meciuri'!BP104))&gt;0)*('Istoric_Nativ'!$Q$6:$Q$405&gt;H1390))/AM1390)</x:f>
      </x:c>
      <x:c r="S1390" s="10" t="str">
        <x:f>IF(M1390="","",MAX(O1390,P1390,Q1390,R1390))</x:f>
      </x:c>
      <x:c r="T1390" s="11" t="str">
        <x:f>IF(M1390="","",MIN(100,S1390*100*'Config_v6'!$B$44+MIN(100,L1390/'Config_v6'!$B$13*100)*'Config_v6'!$B$45+(100-'Motor_Meciuri'!BF104)*'Config_v6'!$B$46+'Motor_Meciuri'!BH104*100*'Config_v6'!$B$47))</x:f>
      </x:c>
      <x:c r="U1390" s="2" t="str">
        <x:f>IF(T1390="","",IF(T1390&lt;=20,1,IF(T1390&lt;=40,2,IF(T1390&lt;=60,3,IF(T1390&lt;=80,4,5)))))</x:f>
      </x:c>
      <x:c r="V1390" s="2" t="str">
        <x:f>IF(M1390="","",MAX(0,'Motor_Meciuri'!BF104-IF(W1390="OOS PENDING",'Config_v6'!$B$35,0)-IF(L1390&gt;'Config_v6'!$B$12,'Config_v6'!$B$37,IF(L1390&gt;'Config_v6'!$B$11,'Config_v6'!$B$36,0))))</x:f>
      </x:c>
      <x:c r="W1390" s="2" t="str">
        <x:f>IF(B1390="","",IF(I1390&lt;&gt;"READY","NOT RELEASED",IF(NOT(AND(J1390="PASS",'Calibrare_Linii'!U18="VALID")),"INVALID",IF(NOT(AND('Calibrare_Linii'!S18="VALIDATED",AND('Calibrare_Linii'!H18=C1390,ISNUMBER('Calibrare_Linii'!J18),'Calibrare_Linii'!J18&lt;='Input_Meci'!G104))),"OOS PENDING",IF(S1390&lt;='Calibrare_Linii'!E18,"PASS",IF(S1390&lt;='Calibrare_Linii'!F18,"PENALTY","WATCH"))))))</x:f>
      </x:c>
      <x:c r="X1390" s="2" t="str">
        <x:f>IF(M1390="","",IF(AND(AND(J1390="PASS",'Calibrare_Linii'!U18="VALID"),'Motor_Meciuri'!K104=12,'Motor_Meciuri'!L104=12,'Motor_Meciuri'!M104="NO",'Motor_Meciuri'!BL104='Motor_Meciuri'!C104,AB1390&gt;='Config_v6'!$B$50,AN1390&gt;='Config_v6'!$B$51,T1390&lt;='Config_v6'!$B$52,L1390&lt;='Config_v6'!$B$53,ISNUMBER('Calibrare_Linii'!E18),S1390&lt;='Calibrare_Linii'!E18,SUM(AK1390:AM1390)&gt;0),"CANDIDATE","NO"))</x:f>
      </x:c>
      <x:c r="Y1390" s="2" t="str">
        <x:f>IF(B1390="","",IF(I1390&lt;&gt;"READY","NOT RELEASED",IF(AND(X1390="CANDIDATE",V1390&gt;='Config_v6'!$B$51,W1390="PASS",'Calibrare_Linii'!T18="VALIDATED",AND('Calibrare_Linii'!H18=C1390,ISNUMBER('Calibrare_Linii'!J18),'Calibrare_Linii'!J18&lt;='Input_Meci'!G104)),"PASS",IF(X1390="CANDIDATE","OOS PENDING","FAIL"))))</x:f>
      </x:c>
      <x:c r="Z1390" s="2" t="str">
        <x:f>IF(B1390="","",IF(I1390&lt;&gt;"READY","",IF(OR(NOT(AND(J1390="PASS",'Calibrare_Linii'!U18="VALID")),L1390&gt;'Config_v6'!$B$13,W1390="WATCH"),5,IF(Y1390="PASS",1,MIN(5,MAX('Config_v6'!$B$42,U1390)+IF(W1390="PENALTY",1,0))))))</x:f>
      </x:c>
      <x:c r="AA1390" s="2" t="str">
        <x:f>IF(B1390="","",IF(I1390&lt;&gt;"READY","NOT RELEASED",IF(Z1390=5,"NO BET",IF(OR(AB1390&lt;'Config_v6'!$B$16,V1390&lt;'Config_v6'!$B$18),"WATCH",IF(Z1390=1,"DEFENSIV",IF(Z1390=2,"PRUDENT",IF(Z1390=3,"MODERAT","RIDICAT")))))))</x:f>
      </x:c>
      <x:c r="AB1390" s="10" t="str">
        <x:f>IF(N1390="","",MIN(N1390,1-S1390))</x:f>
      </x:c>
      <x:c r="AC1390" s="2" t="str">
        <x:f>IF(AD1390&lt;&gt;1,"",COUNTIFS($Z$1378:$Z$1391,"&lt;"&amp;Z1390,$AD$1378:$AD$1391,1)+COUNTIFS($Z$1378:$Z$1391,Z1390,$AB$1378:$AB$1391,"&gt;"&amp;AB1390,$AD$1378:$AD$1391,1)+COUNTIFS($Z$1378:$Z$1391,Z1390,$AB$1378:$AB$1391,AB1390,$V$1378:$V$1391,"&gt;"&amp;V1390,$AD$1378:$AD$1391,1)+COUNTIFS($Z$1378:Z1390,Z1390,$AB$1378:AB1390,AB1390,$V$1378:V1390,V1390,$AD$1378:AD1390,1))</x:f>
      </x:c>
      <x:c r="AD1390" s="2" t="n">
        <x:f>IF(OR(AA1390="DEFENSIV",AA1390="PRUDENT",AA1390="MODERAT",AA1390="RIDICAT"),1,0)</x:f>
        <x:v>0</x:v>
      </x:c>
      <x:c r="AE1390" s="2" t="str">
        <x:f>IF(AD1390&lt;&gt;1,"NO",IF(W1390="PASS","YES",IF(W1390="OOS PENDING","CONDITIONAL","NO")))</x:f>
        <x:v>NO</x:v>
      </x:c>
      <x:c r="AF1390" s="2" t="n">
        <x:f>IF(AND(AD1390=1,AC1390=1,E1390="LIVE"),1,0)</x:f>
        <x:v>0</x:v>
      </x:c>
      <x:c r="AG1390" s="2" t="str">
        <x:f>IF(AF1390&lt;&gt;1,"",'Dashboard'!P124)</x:f>
      </x:c>
      <x:c r="AH1390" s="2" t="str">
        <x:f>IF(B1390="","",IF(J1390&lt;&gt;"PASS",'Motor_Meciuri'!J104,IF('Calibrare_Linii'!U18&lt;&gt;"VALID","Parametri linie invalizi",IF(L1390&gt;'Config_v6'!$B$13,"Dispersie peste limita",IF(W1390="WATCH","Failure peste limita",IF(AB1390&lt;'Config_v6'!$B$16,"P finala sub prag",IF(V1390&lt;'Config_v6'!$B$18,"Confidence sub prag",IF(E1390="REPLAY","Exemplu retrospectiv; exclus din Top LIVE",IF(Y1390="PASS","DEFENSIV validat",IF(W1390="OOS PENDING","Eligibil; calibrare linie in monitorizare","Eligibil"))))))))))</x:f>
      </x:c>
      <x:c r="AI1390" s="2" t="str">
        <x:f>IF(B1390="","",'Calibrare_Linii'!V18)</x:f>
      </x:c>
      <x:c r="AJ1390" s="2" t="str">
        <x:f>IF(B1390="","",IF(AND('Calibrare_Linii'!T18="VALIDATED",AND('Calibrare_Linii'!H18=C1390,ISNUMBER('Calibrare_Linii'!J18),'Calibrare_Linii'!J18&lt;='Input_Meci'!G104)),"DEFENSIVE VALIDATED",IF(AND('Calibrare_Linii'!S18="VALIDATED",AND('Calibrare_Linii'!H18=C1390,ISNUMBER('Calibrare_Linii'!J18),'Calibrare_Linii'!J18&lt;='Input_Meci'!G104)),"TAIL VALIDATED","OOS PENDING")))</x:f>
      </x:c>
      <x:c r="AK1390" s="2" t="n">
        <x:f>IF(J1390&lt;&gt;"PASS",0,'Motor_Meciuri'!BR104)</x:f>
        <x:v>0</x:v>
      </x:c>
      <x:c r="AL1390" s="2" t="n">
        <x:f>IF(J1390&lt;&gt;"PASS",0,'Motor_Meciuri'!BS104)</x:f>
        <x:v>0</x:v>
      </x:c>
      <x:c r="AM1390" s="2" t="n">
        <x:f>IF(J1390&lt;&gt;"PASS",0,'Motor_Meciuri'!BT104)</x:f>
        <x:v>0</x:v>
      </x:c>
      <x:c r="AN1390" s="2" t="str">
        <x:f>IF(M1390="","",MAX(0,'Motor_Meciuri'!BF104-IF(L1390&gt;'Config_v6'!$B$12,'Config_v6'!$B$37,IF(L1390&gt;'Config_v6'!$B$11,'Config_v6'!$B$36,0))))</x:f>
      </x:c>
    </x:row>
    <x:row r="1391" ht="21" customHeight="1">
      <x:c r="A1391" s="2" t="n">
        <x:v>99</x:v>
      </x:c>
      <x:c r="B1391" s="2" t="str">
        <x:f>IF('Motor_Meciuri'!A104="","",'Motor_Meciuri'!A104)</x:f>
      </x:c>
      <x:c r="C1391" s="2" t="str">
        <x:f>IF(B1391="","",'Motor_Meciuri'!B104)</x:f>
      </x:c>
      <x:c r="D1391" s="2" t="str">
        <x:f>IF(B1391="","",'Motor_Meciuri'!D104)</x:f>
      </x:c>
      <x:c r="E1391" s="2" t="str">
        <x:f>IF(B1391="","",'Motor_Meciuri'!E104)</x:f>
      </x:c>
      <x:c r="F1391" s="2" t="str">
        <x:v>U17,5</x:v>
      </x:c>
      <x:c r="G1391" s="2" t="str">
        <x:v>UNDER</x:v>
      </x:c>
      <x:c r="H1391" s="2" t="n">
        <x:v>17</x:v>
      </x:c>
      <x:c r="I1391" s="2" t="str">
        <x:f>IF(B1391="","",'Motor_Meciuri'!H104)</x:f>
      </x:c>
      <x:c r="J1391" s="2" t="str">
        <x:f>IF(B1391="","",'Motor_Meciuri'!I104)</x:f>
      </x:c>
      <x:c r="K1391" s="11" t="str">
        <x:f>IF(J1391&lt;&gt;"PASS","",'Motor_Meciuri'!BD104)</x:f>
      </x:c>
      <x:c r="L1391" s="11" t="str">
        <x:f>IF(J1391&lt;&gt;"PASS","",'Motor_Meciuri'!AU104)</x:f>
      </x:c>
      <x:c r="M1391" s="10" t="str">
        <x:f>IF(NOT(AND(J1391="PASS",'Calibrare_Linii'!U19="VALID")),"",'Distributie'!AO104)</x:f>
      </x:c>
      <x:c r="N1391" s="10" t="str">
        <x:f>IF(M1391="","",MAX(0.01,MIN(0.99,0.5+(M1391-0.5)*'Motor_Meciuri'!BG104*'Calibrare_Linii'!D19)))</x:f>
      </x:c>
      <x:c r="O1391" s="10" t="str">
        <x:f>IF(M1391="","",1-M1391)</x:f>
      </x:c>
      <x:c r="P1391" s="10" t="str">
        <x:f>IF(OR(NOT(AND(J1391="PASS",'Calibrare_Linii'!U19="VALID")),AK1391=0),""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*('Istoric_Nativ'!$Q$6:$Q$405&gt;H1391))/AK1391)</x:f>
      </x:c>
      <x:c r="Q1391" s="10" t="str">
        <x:f>IF(OR(NOT(AND(J1391="PASS",'Calibrare_Linii'!U19="VALID")),AL1391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M104)+((('Istoric_Nativ'!$E$6:$E$405='Input_Meci'!E104)+('Istoric_Nativ'!$F$6:$F$405='Input_Meci'!E104))&gt;0)*('Istoric_Nativ'!$D$6:$D$405&gt;='Motor_Meciuri'!BN104))&gt;0)*('Istoric_Nativ'!$Q$6:$Q$405&gt;H1391))/AL1391)</x:f>
      </x:c>
      <x:c r="R1391" s="10" t="str">
        <x:f>IF(OR(NOT(AND(J1391="PASS",'Calibrare_Linii'!U19="VALID")),AM1391=0),""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'Motor_Meciuri'!BO104)+((('Istoric_Nativ'!$E$6:$E$405='Input_Meci'!E104)+('Istoric_Nativ'!$F$6:$F$405='Input_Meci'!E104))&gt;0)*('Istoric_Nativ'!$D$6:$D$405&gt;='Motor_Meciuri'!BP104))&gt;0)*('Istoric_Nativ'!$Q$6:$Q$405&gt;H1391))/AM1391)</x:f>
      </x:c>
      <x:c r="S1391" s="10" t="str">
        <x:f>IF(M1391="","",MAX(O1391,P1391,Q1391,R1391))</x:f>
      </x:c>
      <x:c r="T1391" s="11" t="str">
        <x:f>IF(M1391="","",MIN(100,S1391*100*'Config_v6'!$B$44+MIN(100,L1391/'Config_v6'!$B$13*100)*'Config_v6'!$B$45+(100-'Motor_Meciuri'!BF104)*'Config_v6'!$B$46+'Motor_Meciuri'!BH104*100*'Config_v6'!$B$47))</x:f>
      </x:c>
      <x:c r="U1391" s="2" t="str">
        <x:f>IF(T1391="","",IF(T1391&lt;=20,1,IF(T1391&lt;=40,2,IF(T1391&lt;=60,3,IF(T1391&lt;=80,4,5)))))</x:f>
      </x:c>
      <x:c r="V1391" s="2" t="str">
        <x:f>IF(M1391="","",MAX(0,'Motor_Meciuri'!BF104-IF(W1391="OOS PENDING",'Config_v6'!$B$35,0)-IF(L1391&gt;'Config_v6'!$B$12,'Config_v6'!$B$37,IF(L1391&gt;'Config_v6'!$B$11,'Config_v6'!$B$36,0))))</x:f>
      </x:c>
      <x:c r="W1391" s="2" t="str">
        <x:f>IF(B1391="","",IF(I1391&lt;&gt;"READY","NOT RELEASED",IF(NOT(AND(J1391="PASS",'Calibrare_Linii'!U19="VALID")),"INVALID",IF(NOT(AND('Calibrare_Linii'!S19="VALIDATED",AND('Calibrare_Linii'!H19=C1391,ISNUMBER('Calibrare_Linii'!J19),'Calibrare_Linii'!J19&lt;='Input_Meci'!G104))),"OOS PENDING",IF(S1391&lt;='Calibrare_Linii'!E19,"PASS",IF(S1391&lt;='Calibrare_Linii'!F19,"PENALTY","WATCH"))))))</x:f>
      </x:c>
      <x:c r="X1391" s="2" t="str">
        <x:f>IF(M1391="","",IF(AND(AND(J1391="PASS",'Calibrare_Linii'!U19="VALID"),'Motor_Meciuri'!K104=12,'Motor_Meciuri'!L104=12,'Motor_Meciuri'!M104="NO",'Motor_Meciuri'!BL104='Motor_Meciuri'!C104,AB1391&gt;='Config_v6'!$B$50,AN1391&gt;='Config_v6'!$B$51,T1391&lt;='Config_v6'!$B$52,L1391&lt;='Config_v6'!$B$53,ISNUMBER('Calibrare_Linii'!E19),S1391&lt;='Calibrare_Linii'!E19,SUM(AK1391:AM1391)&gt;0),"CANDIDATE","NO"))</x:f>
      </x:c>
      <x:c r="Y1391" s="2" t="str">
        <x:f>IF(B1391="","",IF(I1391&lt;&gt;"READY","NOT RELEASED",IF(AND(X1391="CANDIDATE",V1391&gt;='Config_v6'!$B$51,W1391="PASS",'Calibrare_Linii'!T19="VALIDATED",AND('Calibrare_Linii'!H19=C1391,ISNUMBER('Calibrare_Linii'!J19),'Calibrare_Linii'!J19&lt;='Input_Meci'!G104)),"PASS",IF(X1391="CANDIDATE","OOS PENDING","FAIL"))))</x:f>
      </x:c>
      <x:c r="Z1391" s="2" t="str">
        <x:f>IF(B1391="","",IF(I1391&lt;&gt;"READY","",IF(OR(NOT(AND(J1391="PASS",'Calibrare_Linii'!U19="VALID")),L1391&gt;'Config_v6'!$B$13,W1391="WATCH"),5,IF(Y1391="PASS",1,MIN(5,MAX('Config_v6'!$B$42,U1391)+IF(W1391="PENALTY",1,0))))))</x:f>
      </x:c>
      <x:c r="AA1391" s="2" t="str">
        <x:f>IF(B1391="","",IF(I1391&lt;&gt;"READY","NOT RELEASED",IF(Z1391=5,"NO BET",IF(OR(AB1391&lt;'Config_v6'!$B$16,V1391&lt;'Config_v6'!$B$18),"WATCH",IF(Z1391=1,"DEFENSIV",IF(Z1391=2,"PRUDENT",IF(Z1391=3,"MODERAT","RIDICAT")))))))</x:f>
      </x:c>
      <x:c r="AB1391" s="10" t="str">
        <x:f>IF(N1391="","",MIN(N1391,1-S1391))</x:f>
      </x:c>
      <x:c r="AC1391" s="2" t="str">
        <x:f>IF(AD1391&lt;&gt;1,"",COUNTIFS($Z$1378:$Z$1391,"&lt;"&amp;Z1391,$AD$1378:$AD$1391,1)+COUNTIFS($Z$1378:$Z$1391,Z1391,$AB$1378:$AB$1391,"&gt;"&amp;AB1391,$AD$1378:$AD$1391,1)+COUNTIFS($Z$1378:$Z$1391,Z1391,$AB$1378:$AB$1391,AB1391,$V$1378:$V$1391,"&gt;"&amp;V1391,$AD$1378:$AD$1391,1)+COUNTIFS($Z$1378:Z1391,Z1391,$AB$1378:AB1391,AB1391,$V$1378:V1391,V1391,$AD$1378:AD1391,1))</x:f>
      </x:c>
      <x:c r="AD1391" s="2" t="n">
        <x:f>IF(OR(AA1391="DEFENSIV",AA1391="PRUDENT",AA1391="MODERAT",AA1391="RIDICAT"),1,0)</x:f>
        <x:v>0</x:v>
      </x:c>
      <x:c r="AE1391" s="2" t="str">
        <x:f>IF(AD1391&lt;&gt;1,"NO",IF(W1391="PASS","YES",IF(W1391="OOS PENDING","CONDITIONAL","NO")))</x:f>
        <x:v>NO</x:v>
      </x:c>
      <x:c r="AF1391" s="2" t="n">
        <x:f>IF(AND(AD1391=1,AC1391=1,E1391="LIVE"),1,0)</x:f>
        <x:v>0</x:v>
      </x:c>
      <x:c r="AG1391" s="2" t="str">
        <x:f>IF(AF1391&lt;&gt;1,"",'Dashboard'!P124)</x:f>
      </x:c>
      <x:c r="AH1391" s="2" t="str">
        <x:f>IF(B1391="","",IF(J1391&lt;&gt;"PASS",'Motor_Meciuri'!J104,IF('Calibrare_Linii'!U19&lt;&gt;"VALID","Parametri linie invalizi",IF(L1391&gt;'Config_v6'!$B$13,"Dispersie peste limita",IF(W1391="WATCH","Failure peste limita",IF(AB1391&lt;'Config_v6'!$B$16,"P finala sub prag",IF(V1391&lt;'Config_v6'!$B$18,"Confidence sub prag",IF(E1391="REPLAY","Exemplu retrospectiv; exclus din Top LIVE",IF(Y1391="PASS","DEFENSIV validat",IF(W1391="OOS PENDING","Eligibil; calibrare linie in monitorizare","Eligibil"))))))))))</x:f>
      </x:c>
      <x:c r="AI1391" s="2" t="str">
        <x:f>IF(B1391="","",'Calibrare_Linii'!V19)</x:f>
      </x:c>
      <x:c r="AJ1391" s="2" t="str">
        <x:f>IF(B1391="","",IF(AND('Calibrare_Linii'!T19="VALIDATED",AND('Calibrare_Linii'!H19=C1391,ISNUMBER('Calibrare_Linii'!J19),'Calibrare_Linii'!J19&lt;='Input_Meci'!G104)),"DEFENSIVE VALIDATED",IF(AND('Calibrare_Linii'!S19="VALIDATED",AND('Calibrare_Linii'!H19=C1391,ISNUMBER('Calibrare_Linii'!J19),'Calibrare_Linii'!J19&lt;='Input_Meci'!G104)),"TAIL VALIDATED","OOS PENDING")))</x:f>
      </x:c>
      <x:c r="AK1391" s="2" t="n">
        <x:f>IF(J1391&lt;&gt;"PASS",0,'Motor_Meciuri'!BR104)</x:f>
        <x:v>0</x:v>
      </x:c>
      <x:c r="AL1391" s="2" t="n">
        <x:f>IF(J1391&lt;&gt;"PASS",0,'Motor_Meciuri'!BS104)</x:f>
        <x:v>0</x:v>
      </x:c>
      <x:c r="AM1391" s="2" t="n">
        <x:f>IF(J1391&lt;&gt;"PASS",0,'Motor_Meciuri'!BT104)</x:f>
        <x:v>0</x:v>
      </x:c>
      <x:c r="AN1391" s="2" t="str">
        <x:f>IF(M1391="","",MAX(0,'Motor_Meciuri'!BF104-IF(L1391&gt;'Config_v6'!$B$12,'Config_v6'!$B$37,IF(L1391&gt;'Config_v6'!$B$11,'Config_v6'!$B$36,0))))</x:f>
      </x:c>
    </x:row>
    <x:row r="1392" ht="21" customHeight="1">
      <x:c r="A1392" s="2" t="n">
        <x:v>100</x:v>
      </x:c>
      <x:c r="B1392" s="2" t="str">
        <x:f>IF('Motor_Meciuri'!A105="","",'Motor_Meciuri'!A105)</x:f>
      </x:c>
      <x:c r="C1392" s="2" t="str">
        <x:f>IF(B1392="","",'Motor_Meciuri'!B105)</x:f>
      </x:c>
      <x:c r="D1392" s="2" t="str">
        <x:f>IF(B1392="","",'Motor_Meciuri'!D105)</x:f>
      </x:c>
      <x:c r="E1392" s="2" t="str">
        <x:f>IF(B1392="","",'Motor_Meciuri'!E105)</x:f>
      </x:c>
      <x:c r="F1392" s="2" t="str">
        <x:v>O3,5</x:v>
      </x:c>
      <x:c r="G1392" s="2" t="str">
        <x:v>OVER</x:v>
      </x:c>
      <x:c r="H1392" s="2" t="n">
        <x:v>3</x:v>
      </x:c>
      <x:c r="I1392" s="2" t="str">
        <x:f>IF(B1392="","",'Motor_Meciuri'!H105)</x:f>
      </x:c>
      <x:c r="J1392" s="2" t="str">
        <x:f>IF(B1392="","",'Motor_Meciuri'!I105)</x:f>
      </x:c>
      <x:c r="K1392" s="11" t="str">
        <x:f>IF(J1392&lt;&gt;"PASS","",'Motor_Meciuri'!BD105)</x:f>
      </x:c>
      <x:c r="L1392" s="11" t="str">
        <x:f>IF(J1392&lt;&gt;"PASS","",'Motor_Meciuri'!AU105)</x:f>
      </x:c>
      <x:c r="M1392" s="10" t="str">
        <x:f>IF(NOT(AND(J1392="PASS",'Calibrare_Linii'!U6="VALID")),"",1-'Distributie'!AA105)</x:f>
      </x:c>
      <x:c r="N1392" s="10" t="str">
        <x:f>IF(M1392="","",MAX(0.01,MIN(0.99,0.5+(M1392-0.5)*'Motor_Meciuri'!BG105*'Calibrare_Linii'!D6)))</x:f>
      </x:c>
      <x:c r="O1392" s="10" t="str">
        <x:f>IF(M1392="","",1-M1392)</x:f>
      </x:c>
      <x:c r="P1392" s="10" t="str">
        <x:f>IF(OR(NOT(AND(J1392="PASS",'Calibrare_Linii'!U6="VALID")),AK1392=0),""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*('Istoric_Nativ'!$Q$6:$Q$405&lt;=H1392))/AK1392)</x:f>
      </x:c>
      <x:c r="Q1392" s="10" t="str">
        <x:f>IF(OR(NOT(AND(J1392="PASS",'Calibrare_Linii'!U6="VALID")),AL1392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M105)+((('Istoric_Nativ'!$E$6:$E$405='Input_Meci'!E105)+('Istoric_Nativ'!$F$6:$F$405='Input_Meci'!E105))&gt;0)*('Istoric_Nativ'!$D$6:$D$405&gt;='Motor_Meciuri'!BN105))&gt;0)*('Istoric_Nativ'!$Q$6:$Q$405&lt;=H1392))/AL1392)</x:f>
      </x:c>
      <x:c r="R1392" s="10" t="str">
        <x:f>IF(OR(NOT(AND(J1392="PASS",'Calibrare_Linii'!U6="VALID")),AM1392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O105)+((('Istoric_Nativ'!$E$6:$E$405='Input_Meci'!E105)+('Istoric_Nativ'!$F$6:$F$405='Input_Meci'!E105))&gt;0)*('Istoric_Nativ'!$D$6:$D$405&gt;='Motor_Meciuri'!BP105))&gt;0)*('Istoric_Nativ'!$Q$6:$Q$405&lt;=H1392))/AM1392)</x:f>
      </x:c>
      <x:c r="S1392" s="10" t="str">
        <x:f>IF(M1392="","",MAX(O1392,P1392,Q1392,R1392))</x:f>
      </x:c>
      <x:c r="T1392" s="11" t="str">
        <x:f>IF(M1392="","",MIN(100,S1392*100*'Config_v6'!$B$44+MIN(100,L1392/'Config_v6'!$B$13*100)*'Config_v6'!$B$45+(100-'Motor_Meciuri'!BF105)*'Config_v6'!$B$46+'Motor_Meciuri'!BH105*100*'Config_v6'!$B$47))</x:f>
      </x:c>
      <x:c r="U1392" s="2" t="str">
        <x:f>IF(T1392="","",IF(T1392&lt;=20,1,IF(T1392&lt;=40,2,IF(T1392&lt;=60,3,IF(T1392&lt;=80,4,5)))))</x:f>
      </x:c>
      <x:c r="V1392" s="2" t="str">
        <x:f>IF(M1392="","",MAX(0,'Motor_Meciuri'!BF105-IF(W1392="OOS PENDING",'Config_v6'!$B$35,0)-IF(L1392&gt;'Config_v6'!$B$12,'Config_v6'!$B$37,IF(L1392&gt;'Config_v6'!$B$11,'Config_v6'!$B$36,0))))</x:f>
      </x:c>
      <x:c r="W1392" s="2" t="str">
        <x:f>IF(B1392="","",IF(I1392&lt;&gt;"READY","NOT RELEASED",IF(NOT(AND(J1392="PASS",'Calibrare_Linii'!U6="VALID")),"INVALID",IF(NOT(TRUE),"OOS PENDING",IF(S1392&lt;=IF(AND('Calibrare_Linii'!S6="VALIDATED",AND('Calibrare_Linii'!H6=C1392,ISNUMBER('Calibrare_Linii'!J6),'Calibrare_Linii'!J6&lt;='Input_Meci'!G105)),'Calibrare_Linii'!E6,'Config_v6'!$B$26),"PASS",IF(S1392&lt;=IF(AND('Calibrare_Linii'!S6="VALIDATED",AND('Calibrare_Linii'!H6=C1392,ISNUMBER('Calibrare_Linii'!J6),'Calibrare_Linii'!J6&lt;='Input_Meci'!G105)),'Calibrare_Linii'!F6,'Config_v6'!$C$26),"PENALTY","WATCH"))))))</x:f>
      </x:c>
      <x:c r="X1392" s="2" t="str">
        <x:f>IF(M1392="","",IF(AND(AND(J1392="PASS",'Calibrare_Linii'!U6="VALID"),'Motor_Meciuri'!K105=12,'Motor_Meciuri'!L105=12,'Motor_Meciuri'!M105="NO",'Motor_Meciuri'!BL105='Motor_Meciuri'!C105,AB1392&gt;='Config_v6'!$B$50,AN1392&gt;='Config_v6'!$B$51,T1392&lt;='Config_v6'!$B$52,L1392&lt;='Config_v6'!$B$53,ISNUMBER('Calibrare_Linii'!E6),S1392&lt;='Calibrare_Linii'!E6,SUM(AK1392:AM1392)&gt;0),"CANDIDATE","NO"))</x:f>
      </x:c>
      <x:c r="Y1392" s="2" t="str">
        <x:f>IF(B1392="","",IF(I1392&lt;&gt;"READY","NOT RELEASED",IF(AND(X1392="CANDIDATE",V1392&gt;='Config_v6'!$B$51,W1392="PASS",'Calibrare_Linii'!T6="VALIDATED",AND('Calibrare_Linii'!H6=C1392,ISNUMBER('Calibrare_Linii'!J6),'Calibrare_Linii'!J6&lt;='Input_Meci'!G105)),"PASS",IF(X1392="CANDIDATE","OOS PENDING","FAIL"))))</x:f>
      </x:c>
      <x:c r="Z1392" s="2" t="str">
        <x:f>IF(B1392="","",IF(I1392&lt;&gt;"READY","",IF(OR(NOT(AND(J1392="PASS",'Calibrare_Linii'!U6="VALID")),L1392&gt;'Config_v6'!$B$13,W1392="WATCH"),5,IF(Y1392="PASS",1,MIN(5,MAX('Config_v6'!$B$42,U1392)+IF(W1392="PENALTY",1,0))))))</x:f>
      </x:c>
      <x:c r="AA1392" s="2" t="str">
        <x:f>IF(B1392="","",IF(I1392&lt;&gt;"READY","NOT RELEASED",IF(Z1392=5,"NO BET",IF(OR(AB1392&lt;'Config_v6'!$B$16,V1392&lt;'Config_v6'!$B$18),"WATCH",IF(Z1392=1,"DEFENSIV",IF(Z1392=2,"PRUDENT",IF(Z1392=3,"MODERAT","RIDICAT")))))))</x:f>
      </x:c>
      <x:c r="AB1392" s="10" t="str">
        <x:f>IF(N1392="","",MIN(N1392,1-S1392))</x:f>
      </x:c>
      <x:c r="AC1392" s="2" t="str">
        <x:f>IF(AD1392&lt;&gt;1,"",COUNTIFS($Z$1392:$Z$1405,"&lt;"&amp;Z1392,$AD$1392:$AD$1405,1)+COUNTIFS($Z$1392:$Z$1405,Z1392,$AB$1392:$AB$1405,"&gt;"&amp;AB1392,$AD$1392:$AD$1405,1)+COUNTIFS($Z$1392:$Z$1405,Z1392,$AB$1392:$AB$1405,AB1392,$V$1392:$V$1405,"&gt;"&amp;V1392,$AD$1392:$AD$1405,1)+COUNTIFS($Z$1392:Z1392,Z1392,$AB$1392:AB1392,AB1392,$V$1392:V1392,V1392,$AD$1392:AD1392,1))</x:f>
      </x:c>
      <x:c r="AD1392" s="2" t="n">
        <x:f>IF(OR(AA1392="DEFENSIV",AA1392="PRUDENT",AA1392="MODERAT",AA1392="RIDICAT"),1,0)</x:f>
        <x:v>0</x:v>
      </x:c>
      <x:c r="AE1392" s="2" t="str">
        <x:f>IF(AD1392&lt;&gt;1,"NO",IF(W1392="PASS","YES",IF(W1392="OOS PENDING","CONDITIONAL","NO")))</x:f>
        <x:v>NO</x:v>
      </x:c>
      <x:c r="AF1392" s="2" t="n">
        <x:f>IF(AND(AD1392=1,AC1392=1,E1392="LIVE"),1,0)</x:f>
        <x:v>0</x:v>
      </x:c>
      <x:c r="AG1392" s="2" t="str">
        <x:f>IF(AF1392&lt;&gt;1,"",'Dashboard'!P125)</x:f>
      </x:c>
      <x:c r="AH1392" s="2" t="str">
        <x:f>IF(B1392="","",IF(J1392&lt;&gt;"PASS",'Motor_Meciuri'!J105,IF('Calibrare_Linii'!U6&lt;&gt;"VALID","Parametri linie invalizi",IF(L1392&gt;'Config_v6'!$B$13,"Dispersie peste limita",IF(W1392="WATCH","Failure peste limita",IF(AB1392&lt;'Config_v6'!$B$16,"P finala sub prag",IF(V1392&lt;'Config_v6'!$B$18,"Confidence sub prag",IF(E1392="REPLAY","Exemplu retrospectiv; exclus din Top LIVE",IF(Y1392="PASS","DEFENSIV validat",IF(W1392="OOS PENDING","Eligibil; calibrare linie in monitorizare","Eligibil"))))))))))</x:f>
      </x:c>
      <x:c r="AI1392" s="2" t="str">
        <x:f>IF(B1392="","",'Calibrare_Linii'!V6)</x:f>
      </x:c>
      <x:c r="AJ1392" s="2" t="str">
        <x:f>IF(B1392="","",IF(AND('Calibrare_Linii'!T6="VALIDATED",AND('Calibrare_Linii'!H6=C1392,ISNUMBER('Calibrare_Linii'!J6),'Calibrare_Linii'!J6&lt;='Input_Meci'!G105)),"DEFENSIVE VALIDATED",IF(AND('Calibrare_Linii'!S6="VALIDATED",AND('Calibrare_Linii'!H6=C1392,ISNUMBER('Calibrare_Linii'!J6),'Calibrare_Linii'!J6&lt;='Input_Meci'!G105)),"TAIL VALIDATED","OOS PENDING")))</x:f>
      </x:c>
      <x:c r="AK1392" s="2" t="n">
        <x:f>IF(J1392&lt;&gt;"PASS",0,'Motor_Meciuri'!BR105)</x:f>
        <x:v>0</x:v>
      </x:c>
      <x:c r="AL1392" s="2" t="n">
        <x:f>IF(J1392&lt;&gt;"PASS",0,'Motor_Meciuri'!BS105)</x:f>
        <x:v>0</x:v>
      </x:c>
      <x:c r="AM1392" s="2" t="n">
        <x:f>IF(J1392&lt;&gt;"PASS",0,'Motor_Meciuri'!BT105)</x:f>
        <x:v>0</x:v>
      </x:c>
      <x:c r="AN1392" s="2" t="str">
        <x:f>IF(M1392="","",MAX(0,'Motor_Meciuri'!BF105-IF(L1392&gt;'Config_v6'!$B$12,'Config_v6'!$B$37,IF(L1392&gt;'Config_v6'!$B$11,'Config_v6'!$B$36,0))))</x:f>
      </x:c>
    </x:row>
    <x:row r="1393" ht="21" customHeight="1">
      <x:c r="A1393" s="2" t="n">
        <x:v>100</x:v>
      </x:c>
      <x:c r="B1393" s="2" t="str">
        <x:f>IF('Motor_Meciuri'!A105="","",'Motor_Meciuri'!A105)</x:f>
      </x:c>
      <x:c r="C1393" s="2" t="str">
        <x:f>IF(B1393="","",'Motor_Meciuri'!B105)</x:f>
      </x:c>
      <x:c r="D1393" s="2" t="str">
        <x:f>IF(B1393="","",'Motor_Meciuri'!D105)</x:f>
      </x:c>
      <x:c r="E1393" s="2" t="str">
        <x:f>IF(B1393="","",'Motor_Meciuri'!E105)</x:f>
      </x:c>
      <x:c r="F1393" s="2" t="str">
        <x:v>O4,5</x:v>
      </x:c>
      <x:c r="G1393" s="2" t="str">
        <x:v>OVER</x:v>
      </x:c>
      <x:c r="H1393" s="2" t="n">
        <x:v>4</x:v>
      </x:c>
      <x:c r="I1393" s="2" t="str">
        <x:f>IF(B1393="","",'Motor_Meciuri'!H105)</x:f>
      </x:c>
      <x:c r="J1393" s="2" t="str">
        <x:f>IF(B1393="","",'Motor_Meciuri'!I105)</x:f>
      </x:c>
      <x:c r="K1393" s="11" t="str">
        <x:f>IF(J1393&lt;&gt;"PASS","",'Motor_Meciuri'!BD105)</x:f>
      </x:c>
      <x:c r="L1393" s="11" t="str">
        <x:f>IF(J1393&lt;&gt;"PASS","",'Motor_Meciuri'!AU105)</x:f>
      </x:c>
      <x:c r="M1393" s="10" t="str">
        <x:f>IF(NOT(AND(J1393="PASS",'Calibrare_Linii'!U7="VALID")),"",1-'Distributie'!AB105)</x:f>
      </x:c>
      <x:c r="N1393" s="10" t="str">
        <x:f>IF(M1393="","",MAX(0.01,MIN(0.99,0.5+(M1393-0.5)*'Motor_Meciuri'!BG105*'Calibrare_Linii'!D7)))</x:f>
      </x:c>
      <x:c r="O1393" s="10" t="str">
        <x:f>IF(M1393="","",1-M1393)</x:f>
      </x:c>
      <x:c r="P1393" s="10" t="str">
        <x:f>IF(OR(NOT(AND(J1393="PASS",'Calibrare_Linii'!U7="VALID")),AK1393=0),""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*('Istoric_Nativ'!$Q$6:$Q$405&lt;=H1393))/AK1393)</x:f>
      </x:c>
      <x:c r="Q1393" s="10" t="str">
        <x:f>IF(OR(NOT(AND(J1393="PASS",'Calibrare_Linii'!U7="VALID")),AL1393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M105)+((('Istoric_Nativ'!$E$6:$E$405='Input_Meci'!E105)+('Istoric_Nativ'!$F$6:$F$405='Input_Meci'!E105))&gt;0)*('Istoric_Nativ'!$D$6:$D$405&gt;='Motor_Meciuri'!BN105))&gt;0)*('Istoric_Nativ'!$Q$6:$Q$405&lt;=H1393))/AL1393)</x:f>
      </x:c>
      <x:c r="R1393" s="10" t="str">
        <x:f>IF(OR(NOT(AND(J1393="PASS",'Calibrare_Linii'!U7="VALID")),AM1393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O105)+((('Istoric_Nativ'!$E$6:$E$405='Input_Meci'!E105)+('Istoric_Nativ'!$F$6:$F$405='Input_Meci'!E105))&gt;0)*('Istoric_Nativ'!$D$6:$D$405&gt;='Motor_Meciuri'!BP105))&gt;0)*('Istoric_Nativ'!$Q$6:$Q$405&lt;=H1393))/AM1393)</x:f>
      </x:c>
      <x:c r="S1393" s="10" t="str">
        <x:f>IF(M1393="","",MAX(O1393,P1393,Q1393,R1393))</x:f>
      </x:c>
      <x:c r="T1393" s="11" t="str">
        <x:f>IF(M1393="","",MIN(100,S1393*100*'Config_v6'!$B$44+MIN(100,L1393/'Config_v6'!$B$13*100)*'Config_v6'!$B$45+(100-'Motor_Meciuri'!BF105)*'Config_v6'!$B$46+'Motor_Meciuri'!BH105*100*'Config_v6'!$B$47))</x:f>
      </x:c>
      <x:c r="U1393" s="2" t="str">
        <x:f>IF(T1393="","",IF(T1393&lt;=20,1,IF(T1393&lt;=40,2,IF(T1393&lt;=60,3,IF(T1393&lt;=80,4,5)))))</x:f>
      </x:c>
      <x:c r="V1393" s="2" t="str">
        <x:f>IF(M1393="","",MAX(0,'Motor_Meciuri'!BF105-IF(W1393="OOS PENDING",'Config_v6'!$B$35,0)-IF(L1393&gt;'Config_v6'!$B$12,'Config_v6'!$B$37,IF(L1393&gt;'Config_v6'!$B$11,'Config_v6'!$B$36,0))))</x:f>
      </x:c>
      <x:c r="W1393" s="2" t="str">
        <x:f>IF(B1393="","",IF(I1393&lt;&gt;"READY","NOT RELEASED",IF(NOT(AND(J1393="PASS",'Calibrare_Linii'!U7="VALID")),"INVALID",IF(NOT(AND('Calibrare_Linii'!S7="VALIDATED",AND('Calibrare_Linii'!H7=C1393,ISNUMBER('Calibrare_Linii'!J7),'Calibrare_Linii'!J7&lt;='Input_Meci'!G105))),"OOS PENDING",IF(S1393&lt;='Calibrare_Linii'!E7,"PASS",IF(S1393&lt;='Calibrare_Linii'!F7,"PENALTY","WATCH"))))))</x:f>
      </x:c>
      <x:c r="X1393" s="2" t="str">
        <x:f>IF(M1393="","",IF(AND(AND(J1393="PASS",'Calibrare_Linii'!U7="VALID"),'Motor_Meciuri'!K105=12,'Motor_Meciuri'!L105=12,'Motor_Meciuri'!M105="NO",'Motor_Meciuri'!BL105='Motor_Meciuri'!C105,AB1393&gt;='Config_v6'!$B$50,AN1393&gt;='Config_v6'!$B$51,T1393&lt;='Config_v6'!$B$52,L1393&lt;='Config_v6'!$B$53,ISNUMBER('Calibrare_Linii'!E7),S1393&lt;='Calibrare_Linii'!E7,SUM(AK1393:AM1393)&gt;0),"CANDIDATE","NO"))</x:f>
      </x:c>
      <x:c r="Y1393" s="2" t="str">
        <x:f>IF(B1393="","",IF(I1393&lt;&gt;"READY","NOT RELEASED",IF(AND(X1393="CANDIDATE",V1393&gt;='Config_v6'!$B$51,W1393="PASS",'Calibrare_Linii'!T7="VALIDATED",AND('Calibrare_Linii'!H7=C1393,ISNUMBER('Calibrare_Linii'!J7),'Calibrare_Linii'!J7&lt;='Input_Meci'!G105)),"PASS",IF(X1393="CANDIDATE","OOS PENDING","FAIL"))))</x:f>
      </x:c>
      <x:c r="Z1393" s="2" t="str">
        <x:f>IF(B1393="","",IF(I1393&lt;&gt;"READY","",IF(OR(NOT(AND(J1393="PASS",'Calibrare_Linii'!U7="VALID")),L1393&gt;'Config_v6'!$B$13,W1393="WATCH"),5,IF(Y1393="PASS",1,MIN(5,MAX('Config_v6'!$B$42,U1393)+IF(W1393="PENALTY",1,0))))))</x:f>
      </x:c>
      <x:c r="AA1393" s="2" t="str">
        <x:f>IF(B1393="","",IF(I1393&lt;&gt;"READY","NOT RELEASED",IF(Z1393=5,"NO BET",IF(OR(AB1393&lt;'Config_v6'!$B$16,V1393&lt;'Config_v6'!$B$18),"WATCH",IF(Z1393=1,"DEFENSIV",IF(Z1393=2,"PRUDENT",IF(Z1393=3,"MODERAT","RIDICAT")))))))</x:f>
      </x:c>
      <x:c r="AB1393" s="10" t="str">
        <x:f>IF(N1393="","",MIN(N1393,1-S1393))</x:f>
      </x:c>
      <x:c r="AC1393" s="2" t="str">
        <x:f>IF(AD1393&lt;&gt;1,"",COUNTIFS($Z$1392:$Z$1405,"&lt;"&amp;Z1393,$AD$1392:$AD$1405,1)+COUNTIFS($Z$1392:$Z$1405,Z1393,$AB$1392:$AB$1405,"&gt;"&amp;AB1393,$AD$1392:$AD$1405,1)+COUNTIFS($Z$1392:$Z$1405,Z1393,$AB$1392:$AB$1405,AB1393,$V$1392:$V$1405,"&gt;"&amp;V1393,$AD$1392:$AD$1405,1)+COUNTIFS($Z$1392:Z1393,Z1393,$AB$1392:AB1393,AB1393,$V$1392:V1393,V1393,$AD$1392:AD1393,1))</x:f>
      </x:c>
      <x:c r="AD1393" s="2" t="n">
        <x:f>IF(OR(AA1393="DEFENSIV",AA1393="PRUDENT",AA1393="MODERAT",AA1393="RIDICAT"),1,0)</x:f>
        <x:v>0</x:v>
      </x:c>
      <x:c r="AE1393" s="2" t="str">
        <x:f>IF(AD1393&lt;&gt;1,"NO",IF(W1393="PASS","YES",IF(W1393="OOS PENDING","CONDITIONAL","NO")))</x:f>
        <x:v>NO</x:v>
      </x:c>
      <x:c r="AF1393" s="2" t="n">
        <x:f>IF(AND(AD1393=1,AC1393=1,E1393="LIVE"),1,0)</x:f>
        <x:v>0</x:v>
      </x:c>
      <x:c r="AG1393" s="2" t="str">
        <x:f>IF(AF1393&lt;&gt;1,"",'Dashboard'!P125)</x:f>
      </x:c>
      <x:c r="AH1393" s="2" t="str">
        <x:f>IF(B1393="","",IF(J1393&lt;&gt;"PASS",'Motor_Meciuri'!J105,IF('Calibrare_Linii'!U7&lt;&gt;"VALID","Parametri linie invalizi",IF(L1393&gt;'Config_v6'!$B$13,"Dispersie peste limita",IF(W1393="WATCH","Failure peste limita",IF(AB1393&lt;'Config_v6'!$B$16,"P finala sub prag",IF(V1393&lt;'Config_v6'!$B$18,"Confidence sub prag",IF(E1393="REPLAY","Exemplu retrospectiv; exclus din Top LIVE",IF(Y1393="PASS","DEFENSIV validat",IF(W1393="OOS PENDING","Eligibil; calibrare linie in monitorizare","Eligibil"))))))))))</x:f>
      </x:c>
      <x:c r="AI1393" s="2" t="str">
        <x:f>IF(B1393="","",'Calibrare_Linii'!V7)</x:f>
      </x:c>
      <x:c r="AJ1393" s="2" t="str">
        <x:f>IF(B1393="","",IF(AND('Calibrare_Linii'!T7="VALIDATED",AND('Calibrare_Linii'!H7=C1393,ISNUMBER('Calibrare_Linii'!J7),'Calibrare_Linii'!J7&lt;='Input_Meci'!G105)),"DEFENSIVE VALIDATED",IF(AND('Calibrare_Linii'!S7="VALIDATED",AND('Calibrare_Linii'!H7=C1393,ISNUMBER('Calibrare_Linii'!J7),'Calibrare_Linii'!J7&lt;='Input_Meci'!G105)),"TAIL VALIDATED","OOS PENDING")))</x:f>
      </x:c>
      <x:c r="AK1393" s="2" t="n">
        <x:f>IF(J1393&lt;&gt;"PASS",0,'Motor_Meciuri'!BR105)</x:f>
        <x:v>0</x:v>
      </x:c>
      <x:c r="AL1393" s="2" t="n">
        <x:f>IF(J1393&lt;&gt;"PASS",0,'Motor_Meciuri'!BS105)</x:f>
        <x:v>0</x:v>
      </x:c>
      <x:c r="AM1393" s="2" t="n">
        <x:f>IF(J1393&lt;&gt;"PASS",0,'Motor_Meciuri'!BT105)</x:f>
        <x:v>0</x:v>
      </x:c>
      <x:c r="AN1393" s="2" t="str">
        <x:f>IF(M1393="","",MAX(0,'Motor_Meciuri'!BF105-IF(L1393&gt;'Config_v6'!$B$12,'Config_v6'!$B$37,IF(L1393&gt;'Config_v6'!$B$11,'Config_v6'!$B$36,0))))</x:f>
      </x:c>
    </x:row>
    <x:row r="1394" ht="21" customHeight="1">
      <x:c r="A1394" s="2" t="n">
        <x:v>100</x:v>
      </x:c>
      <x:c r="B1394" s="2" t="str">
        <x:f>IF('Motor_Meciuri'!A105="","",'Motor_Meciuri'!A105)</x:f>
      </x:c>
      <x:c r="C1394" s="2" t="str">
        <x:f>IF(B1394="","",'Motor_Meciuri'!B105)</x:f>
      </x:c>
      <x:c r="D1394" s="2" t="str">
        <x:f>IF(B1394="","",'Motor_Meciuri'!D105)</x:f>
      </x:c>
      <x:c r="E1394" s="2" t="str">
        <x:f>IF(B1394="","",'Motor_Meciuri'!E105)</x:f>
      </x:c>
      <x:c r="F1394" s="2" t="str">
        <x:v>O5,5</x:v>
      </x:c>
      <x:c r="G1394" s="2" t="str">
        <x:v>OVER</x:v>
      </x:c>
      <x:c r="H1394" s="2" t="n">
        <x:v>5</x:v>
      </x:c>
      <x:c r="I1394" s="2" t="str">
        <x:f>IF(B1394="","",'Motor_Meciuri'!H105)</x:f>
      </x:c>
      <x:c r="J1394" s="2" t="str">
        <x:f>IF(B1394="","",'Motor_Meciuri'!I105)</x:f>
      </x:c>
      <x:c r="K1394" s="11" t="str">
        <x:f>IF(J1394&lt;&gt;"PASS","",'Motor_Meciuri'!BD105)</x:f>
      </x:c>
      <x:c r="L1394" s="11" t="str">
        <x:f>IF(J1394&lt;&gt;"PASS","",'Motor_Meciuri'!AU105)</x:f>
      </x:c>
      <x:c r="M1394" s="10" t="str">
        <x:f>IF(NOT(AND(J1394="PASS",'Calibrare_Linii'!U8="VALID")),"",1-'Distributie'!AC105)</x:f>
      </x:c>
      <x:c r="N1394" s="10" t="str">
        <x:f>IF(M1394="","",MAX(0.01,MIN(0.99,0.5+(M1394-0.5)*'Motor_Meciuri'!BG105*'Calibrare_Linii'!D8)))</x:f>
      </x:c>
      <x:c r="O1394" s="10" t="str">
        <x:f>IF(M1394="","",1-M1394)</x:f>
      </x:c>
      <x:c r="P1394" s="10" t="str">
        <x:f>IF(OR(NOT(AND(J1394="PASS",'Calibrare_Linii'!U8="VALID")),AK1394=0),""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*('Istoric_Nativ'!$Q$6:$Q$405&lt;=H1394))/AK1394)</x:f>
      </x:c>
      <x:c r="Q1394" s="10" t="str">
        <x:f>IF(OR(NOT(AND(J1394="PASS",'Calibrare_Linii'!U8="VALID")),AL1394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M105)+((('Istoric_Nativ'!$E$6:$E$405='Input_Meci'!E105)+('Istoric_Nativ'!$F$6:$F$405='Input_Meci'!E105))&gt;0)*('Istoric_Nativ'!$D$6:$D$405&gt;='Motor_Meciuri'!BN105))&gt;0)*('Istoric_Nativ'!$Q$6:$Q$405&lt;=H1394))/AL1394)</x:f>
      </x:c>
      <x:c r="R1394" s="10" t="str">
        <x:f>IF(OR(NOT(AND(J1394="PASS",'Calibrare_Linii'!U8="VALID")),AM1394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O105)+((('Istoric_Nativ'!$E$6:$E$405='Input_Meci'!E105)+('Istoric_Nativ'!$F$6:$F$405='Input_Meci'!E105))&gt;0)*('Istoric_Nativ'!$D$6:$D$405&gt;='Motor_Meciuri'!BP105))&gt;0)*('Istoric_Nativ'!$Q$6:$Q$405&lt;=H1394))/AM1394)</x:f>
      </x:c>
      <x:c r="S1394" s="10" t="str">
        <x:f>IF(M1394="","",MAX(O1394,P1394,Q1394,R1394))</x:f>
      </x:c>
      <x:c r="T1394" s="11" t="str">
        <x:f>IF(M1394="","",MIN(100,S1394*100*'Config_v6'!$B$44+MIN(100,L1394/'Config_v6'!$B$13*100)*'Config_v6'!$B$45+(100-'Motor_Meciuri'!BF105)*'Config_v6'!$B$46+'Motor_Meciuri'!BH105*100*'Config_v6'!$B$47))</x:f>
      </x:c>
      <x:c r="U1394" s="2" t="str">
        <x:f>IF(T1394="","",IF(T1394&lt;=20,1,IF(T1394&lt;=40,2,IF(T1394&lt;=60,3,IF(T1394&lt;=80,4,5)))))</x:f>
      </x:c>
      <x:c r="V1394" s="2" t="str">
        <x:f>IF(M1394="","",MAX(0,'Motor_Meciuri'!BF105-IF(W1394="OOS PENDING",'Config_v6'!$B$35,0)-IF(L1394&gt;'Config_v6'!$B$12,'Config_v6'!$B$37,IF(L1394&gt;'Config_v6'!$B$11,'Config_v6'!$B$36,0))))</x:f>
      </x:c>
      <x:c r="W1394" s="2" t="str">
        <x:f>IF(B1394="","",IF(I1394&lt;&gt;"READY","NOT RELEASED",IF(NOT(AND(J1394="PASS",'Calibrare_Linii'!U8="VALID")),"INVALID",IF(NOT(AND('Calibrare_Linii'!S8="VALIDATED",AND('Calibrare_Linii'!H8=C1394,ISNUMBER('Calibrare_Linii'!J8),'Calibrare_Linii'!J8&lt;='Input_Meci'!G105))),"OOS PENDING",IF(S1394&lt;='Calibrare_Linii'!E8,"PASS",IF(S1394&lt;='Calibrare_Linii'!F8,"PENALTY","WATCH"))))))</x:f>
      </x:c>
      <x:c r="X1394" s="2" t="str">
        <x:f>IF(M1394="","",IF(AND(AND(J1394="PASS",'Calibrare_Linii'!U8="VALID"),'Motor_Meciuri'!K105=12,'Motor_Meciuri'!L105=12,'Motor_Meciuri'!M105="NO",'Motor_Meciuri'!BL105='Motor_Meciuri'!C105,AB1394&gt;='Config_v6'!$B$50,AN1394&gt;='Config_v6'!$B$51,T1394&lt;='Config_v6'!$B$52,L1394&lt;='Config_v6'!$B$53,ISNUMBER('Calibrare_Linii'!E8),S1394&lt;='Calibrare_Linii'!E8,SUM(AK1394:AM1394)&gt;0),"CANDIDATE","NO"))</x:f>
      </x:c>
      <x:c r="Y1394" s="2" t="str">
        <x:f>IF(B1394="","",IF(I1394&lt;&gt;"READY","NOT RELEASED",IF(AND(X1394="CANDIDATE",V1394&gt;='Config_v6'!$B$51,W1394="PASS",'Calibrare_Linii'!T8="VALIDATED",AND('Calibrare_Linii'!H8=C1394,ISNUMBER('Calibrare_Linii'!J8),'Calibrare_Linii'!J8&lt;='Input_Meci'!G105)),"PASS",IF(X1394="CANDIDATE","OOS PENDING","FAIL"))))</x:f>
      </x:c>
      <x:c r="Z1394" s="2" t="str">
        <x:f>IF(B1394="","",IF(I1394&lt;&gt;"READY","",IF(OR(NOT(AND(J1394="PASS",'Calibrare_Linii'!U8="VALID")),L1394&gt;'Config_v6'!$B$13,W1394="WATCH"),5,IF(Y1394="PASS",1,MIN(5,MAX('Config_v6'!$B$42,U1394)+IF(W1394="PENALTY",1,0))))))</x:f>
      </x:c>
      <x:c r="AA1394" s="2" t="str">
        <x:f>IF(B1394="","",IF(I1394&lt;&gt;"READY","NOT RELEASED",IF(Z1394=5,"NO BET",IF(OR(AB1394&lt;'Config_v6'!$B$16,V1394&lt;'Config_v6'!$B$18),"WATCH",IF(Z1394=1,"DEFENSIV",IF(Z1394=2,"PRUDENT",IF(Z1394=3,"MODERAT","RIDICAT")))))))</x:f>
      </x:c>
      <x:c r="AB1394" s="10" t="str">
        <x:f>IF(N1394="","",MIN(N1394,1-S1394))</x:f>
      </x:c>
      <x:c r="AC1394" s="2" t="str">
        <x:f>IF(AD1394&lt;&gt;1,"",COUNTIFS($Z$1392:$Z$1405,"&lt;"&amp;Z1394,$AD$1392:$AD$1405,1)+COUNTIFS($Z$1392:$Z$1405,Z1394,$AB$1392:$AB$1405,"&gt;"&amp;AB1394,$AD$1392:$AD$1405,1)+COUNTIFS($Z$1392:$Z$1405,Z1394,$AB$1392:$AB$1405,AB1394,$V$1392:$V$1405,"&gt;"&amp;V1394,$AD$1392:$AD$1405,1)+COUNTIFS($Z$1392:Z1394,Z1394,$AB$1392:AB1394,AB1394,$V$1392:V1394,V1394,$AD$1392:AD1394,1))</x:f>
      </x:c>
      <x:c r="AD1394" s="2" t="n">
        <x:f>IF(OR(AA1394="DEFENSIV",AA1394="PRUDENT",AA1394="MODERAT",AA1394="RIDICAT"),1,0)</x:f>
        <x:v>0</x:v>
      </x:c>
      <x:c r="AE1394" s="2" t="str">
        <x:f>IF(AD1394&lt;&gt;1,"NO",IF(W1394="PASS","YES",IF(W1394="OOS PENDING","CONDITIONAL","NO")))</x:f>
        <x:v>NO</x:v>
      </x:c>
      <x:c r="AF1394" s="2" t="n">
        <x:f>IF(AND(AD1394=1,AC1394=1,E1394="LIVE"),1,0)</x:f>
        <x:v>0</x:v>
      </x:c>
      <x:c r="AG1394" s="2" t="str">
        <x:f>IF(AF1394&lt;&gt;1,"",'Dashboard'!P125)</x:f>
      </x:c>
      <x:c r="AH1394" s="2" t="str">
        <x:f>IF(B1394="","",IF(J1394&lt;&gt;"PASS",'Motor_Meciuri'!J105,IF('Calibrare_Linii'!U8&lt;&gt;"VALID","Parametri linie invalizi",IF(L1394&gt;'Config_v6'!$B$13,"Dispersie peste limita",IF(W1394="WATCH","Failure peste limita",IF(AB1394&lt;'Config_v6'!$B$16,"P finala sub prag",IF(V1394&lt;'Config_v6'!$B$18,"Confidence sub prag",IF(E1394="REPLAY","Exemplu retrospectiv; exclus din Top LIVE",IF(Y1394="PASS","DEFENSIV validat",IF(W1394="OOS PENDING","Eligibil; calibrare linie in monitorizare","Eligibil"))))))))))</x:f>
      </x:c>
      <x:c r="AI1394" s="2" t="str">
        <x:f>IF(B1394="","",'Calibrare_Linii'!V8)</x:f>
      </x:c>
      <x:c r="AJ1394" s="2" t="str">
        <x:f>IF(B1394="","",IF(AND('Calibrare_Linii'!T8="VALIDATED",AND('Calibrare_Linii'!H8=C1394,ISNUMBER('Calibrare_Linii'!J8),'Calibrare_Linii'!J8&lt;='Input_Meci'!G105)),"DEFENSIVE VALIDATED",IF(AND('Calibrare_Linii'!S8="VALIDATED",AND('Calibrare_Linii'!H8=C1394,ISNUMBER('Calibrare_Linii'!J8),'Calibrare_Linii'!J8&lt;='Input_Meci'!G105)),"TAIL VALIDATED","OOS PENDING")))</x:f>
      </x:c>
      <x:c r="AK1394" s="2" t="n">
        <x:f>IF(J1394&lt;&gt;"PASS",0,'Motor_Meciuri'!BR105)</x:f>
        <x:v>0</x:v>
      </x:c>
      <x:c r="AL1394" s="2" t="n">
        <x:f>IF(J1394&lt;&gt;"PASS",0,'Motor_Meciuri'!BS105)</x:f>
        <x:v>0</x:v>
      </x:c>
      <x:c r="AM1394" s="2" t="n">
        <x:f>IF(J1394&lt;&gt;"PASS",0,'Motor_Meciuri'!BT105)</x:f>
        <x:v>0</x:v>
      </x:c>
      <x:c r="AN1394" s="2" t="str">
        <x:f>IF(M1394="","",MAX(0,'Motor_Meciuri'!BF105-IF(L1394&gt;'Config_v6'!$B$12,'Config_v6'!$B$37,IF(L1394&gt;'Config_v6'!$B$11,'Config_v6'!$B$36,0))))</x:f>
      </x:c>
    </x:row>
    <x:row r="1395" ht="21" customHeight="1">
      <x:c r="A1395" s="2" t="n">
        <x:v>100</x:v>
      </x:c>
      <x:c r="B1395" s="2" t="str">
        <x:f>IF('Motor_Meciuri'!A105="","",'Motor_Meciuri'!A105)</x:f>
      </x:c>
      <x:c r="C1395" s="2" t="str">
        <x:f>IF(B1395="","",'Motor_Meciuri'!B105)</x:f>
      </x:c>
      <x:c r="D1395" s="2" t="str">
        <x:f>IF(B1395="","",'Motor_Meciuri'!D105)</x:f>
      </x:c>
      <x:c r="E1395" s="2" t="str">
        <x:f>IF(B1395="","",'Motor_Meciuri'!E105)</x:f>
      </x:c>
      <x:c r="F1395" s="2" t="str">
        <x:v>O6,5</x:v>
      </x:c>
      <x:c r="G1395" s="2" t="str">
        <x:v>OVER</x:v>
      </x:c>
      <x:c r="H1395" s="2" t="n">
        <x:v>6</x:v>
      </x:c>
      <x:c r="I1395" s="2" t="str">
        <x:f>IF(B1395="","",'Motor_Meciuri'!H105)</x:f>
      </x:c>
      <x:c r="J1395" s="2" t="str">
        <x:f>IF(B1395="","",'Motor_Meciuri'!I105)</x:f>
      </x:c>
      <x:c r="K1395" s="11" t="str">
        <x:f>IF(J1395&lt;&gt;"PASS","",'Motor_Meciuri'!BD105)</x:f>
      </x:c>
      <x:c r="L1395" s="11" t="str">
        <x:f>IF(J1395&lt;&gt;"PASS","",'Motor_Meciuri'!AU105)</x:f>
      </x:c>
      <x:c r="M1395" s="10" t="str">
        <x:f>IF(NOT(AND(J1395="PASS",'Calibrare_Linii'!U9="VALID")),"",1-'Distributie'!AD105)</x:f>
      </x:c>
      <x:c r="N1395" s="10" t="str">
        <x:f>IF(M1395="","",MAX(0.01,MIN(0.99,0.5+(M1395-0.5)*'Motor_Meciuri'!BG105*'Calibrare_Linii'!D9)))</x:f>
      </x:c>
      <x:c r="O1395" s="10" t="str">
        <x:f>IF(M1395="","",1-M1395)</x:f>
      </x:c>
      <x:c r="P1395" s="10" t="str">
        <x:f>IF(OR(NOT(AND(J1395="PASS",'Calibrare_Linii'!U9="VALID")),AK1395=0),""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*('Istoric_Nativ'!$Q$6:$Q$405&lt;=H1395))/AK1395)</x:f>
      </x:c>
      <x:c r="Q1395" s="10" t="str">
        <x:f>IF(OR(NOT(AND(J1395="PASS",'Calibrare_Linii'!U9="VALID")),AL1395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M105)+((('Istoric_Nativ'!$E$6:$E$405='Input_Meci'!E105)+('Istoric_Nativ'!$F$6:$F$405='Input_Meci'!E105))&gt;0)*('Istoric_Nativ'!$D$6:$D$405&gt;='Motor_Meciuri'!BN105))&gt;0)*('Istoric_Nativ'!$Q$6:$Q$405&lt;=H1395))/AL1395)</x:f>
      </x:c>
      <x:c r="R1395" s="10" t="str">
        <x:f>IF(OR(NOT(AND(J1395="PASS",'Calibrare_Linii'!U9="VALID")),AM1395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O105)+((('Istoric_Nativ'!$E$6:$E$405='Input_Meci'!E105)+('Istoric_Nativ'!$F$6:$F$405='Input_Meci'!E105))&gt;0)*('Istoric_Nativ'!$D$6:$D$405&gt;='Motor_Meciuri'!BP105))&gt;0)*('Istoric_Nativ'!$Q$6:$Q$405&lt;=H1395))/AM1395)</x:f>
      </x:c>
      <x:c r="S1395" s="10" t="str">
        <x:f>IF(M1395="","",MAX(O1395,P1395,Q1395,R1395))</x:f>
      </x:c>
      <x:c r="T1395" s="11" t="str">
        <x:f>IF(M1395="","",MIN(100,S1395*100*'Config_v6'!$B$44+MIN(100,L1395/'Config_v6'!$B$13*100)*'Config_v6'!$B$45+(100-'Motor_Meciuri'!BF105)*'Config_v6'!$B$46+'Motor_Meciuri'!BH105*100*'Config_v6'!$B$47))</x:f>
      </x:c>
      <x:c r="U1395" s="2" t="str">
        <x:f>IF(T1395="","",IF(T1395&lt;=20,1,IF(T1395&lt;=40,2,IF(T1395&lt;=60,3,IF(T1395&lt;=80,4,5)))))</x:f>
      </x:c>
      <x:c r="V1395" s="2" t="str">
        <x:f>IF(M1395="","",MAX(0,'Motor_Meciuri'!BF105-IF(W1395="OOS PENDING",'Config_v6'!$B$35,0)-IF(L1395&gt;'Config_v6'!$B$12,'Config_v6'!$B$37,IF(L1395&gt;'Config_v6'!$B$11,'Config_v6'!$B$36,0))))</x:f>
      </x:c>
      <x:c r="W1395" s="2" t="str">
        <x:f>IF(B1395="","",IF(I1395&lt;&gt;"READY","NOT RELEASED",IF(NOT(AND(J1395="PASS",'Calibrare_Linii'!U9="VALID")),"INVALID",IF(NOT(AND('Calibrare_Linii'!S9="VALIDATED",AND('Calibrare_Linii'!H9=C1395,ISNUMBER('Calibrare_Linii'!J9),'Calibrare_Linii'!J9&lt;='Input_Meci'!G105))),"OOS PENDING",IF(S1395&lt;='Calibrare_Linii'!E9,"PASS",IF(S1395&lt;='Calibrare_Linii'!F9,"PENALTY","WATCH"))))))</x:f>
      </x:c>
      <x:c r="X1395" s="2" t="str">
        <x:f>IF(M1395="","",IF(AND(AND(J1395="PASS",'Calibrare_Linii'!U9="VALID"),'Motor_Meciuri'!K105=12,'Motor_Meciuri'!L105=12,'Motor_Meciuri'!M105="NO",'Motor_Meciuri'!BL105='Motor_Meciuri'!C105,AB1395&gt;='Config_v6'!$B$50,AN1395&gt;='Config_v6'!$B$51,T1395&lt;='Config_v6'!$B$52,L1395&lt;='Config_v6'!$B$53,ISNUMBER('Calibrare_Linii'!E9),S1395&lt;='Calibrare_Linii'!E9,SUM(AK1395:AM1395)&gt;0),"CANDIDATE","NO"))</x:f>
      </x:c>
      <x:c r="Y1395" s="2" t="str">
        <x:f>IF(B1395="","",IF(I1395&lt;&gt;"READY","NOT RELEASED",IF(AND(X1395="CANDIDATE",V1395&gt;='Config_v6'!$B$51,W1395="PASS",'Calibrare_Linii'!T9="VALIDATED",AND('Calibrare_Linii'!H9=C1395,ISNUMBER('Calibrare_Linii'!J9),'Calibrare_Linii'!J9&lt;='Input_Meci'!G105)),"PASS",IF(X1395="CANDIDATE","OOS PENDING","FAIL"))))</x:f>
      </x:c>
      <x:c r="Z1395" s="2" t="str">
        <x:f>IF(B1395="","",IF(I1395&lt;&gt;"READY","",IF(OR(NOT(AND(J1395="PASS",'Calibrare_Linii'!U9="VALID")),L1395&gt;'Config_v6'!$B$13,W1395="WATCH"),5,IF(Y1395="PASS",1,MIN(5,MAX('Config_v6'!$B$42,U1395)+IF(W1395="PENALTY",1,0))))))</x:f>
      </x:c>
      <x:c r="AA1395" s="2" t="str">
        <x:f>IF(B1395="","",IF(I1395&lt;&gt;"READY","NOT RELEASED",IF(Z1395=5,"NO BET",IF(OR(AB1395&lt;'Config_v6'!$B$16,V1395&lt;'Config_v6'!$B$18),"WATCH",IF(Z1395=1,"DEFENSIV",IF(Z1395=2,"PRUDENT",IF(Z1395=3,"MODERAT","RIDICAT")))))))</x:f>
      </x:c>
      <x:c r="AB1395" s="10" t="str">
        <x:f>IF(N1395="","",MIN(N1395,1-S1395))</x:f>
      </x:c>
      <x:c r="AC1395" s="2" t="str">
        <x:f>IF(AD1395&lt;&gt;1,"",COUNTIFS($Z$1392:$Z$1405,"&lt;"&amp;Z1395,$AD$1392:$AD$1405,1)+COUNTIFS($Z$1392:$Z$1405,Z1395,$AB$1392:$AB$1405,"&gt;"&amp;AB1395,$AD$1392:$AD$1405,1)+COUNTIFS($Z$1392:$Z$1405,Z1395,$AB$1392:$AB$1405,AB1395,$V$1392:$V$1405,"&gt;"&amp;V1395,$AD$1392:$AD$1405,1)+COUNTIFS($Z$1392:Z1395,Z1395,$AB$1392:AB1395,AB1395,$V$1392:V1395,V1395,$AD$1392:AD1395,1))</x:f>
      </x:c>
      <x:c r="AD1395" s="2" t="n">
        <x:f>IF(OR(AA1395="DEFENSIV",AA1395="PRUDENT",AA1395="MODERAT",AA1395="RIDICAT"),1,0)</x:f>
        <x:v>0</x:v>
      </x:c>
      <x:c r="AE1395" s="2" t="str">
        <x:f>IF(AD1395&lt;&gt;1,"NO",IF(W1395="PASS","YES",IF(W1395="OOS PENDING","CONDITIONAL","NO")))</x:f>
        <x:v>NO</x:v>
      </x:c>
      <x:c r="AF1395" s="2" t="n">
        <x:f>IF(AND(AD1395=1,AC1395=1,E1395="LIVE"),1,0)</x:f>
        <x:v>0</x:v>
      </x:c>
      <x:c r="AG1395" s="2" t="str">
        <x:f>IF(AF1395&lt;&gt;1,"",'Dashboard'!P125)</x:f>
      </x:c>
      <x:c r="AH1395" s="2" t="str">
        <x:f>IF(B1395="","",IF(J1395&lt;&gt;"PASS",'Motor_Meciuri'!J105,IF('Calibrare_Linii'!U9&lt;&gt;"VALID","Parametri linie invalizi",IF(L1395&gt;'Config_v6'!$B$13,"Dispersie peste limita",IF(W1395="WATCH","Failure peste limita",IF(AB1395&lt;'Config_v6'!$B$16,"P finala sub prag",IF(V1395&lt;'Config_v6'!$B$18,"Confidence sub prag",IF(E1395="REPLAY","Exemplu retrospectiv; exclus din Top LIVE",IF(Y1395="PASS","DEFENSIV validat",IF(W1395="OOS PENDING","Eligibil; calibrare linie in monitorizare","Eligibil"))))))))))</x:f>
      </x:c>
      <x:c r="AI1395" s="2" t="str">
        <x:f>IF(B1395="","",'Calibrare_Linii'!V9)</x:f>
      </x:c>
      <x:c r="AJ1395" s="2" t="str">
        <x:f>IF(B1395="","",IF(AND('Calibrare_Linii'!T9="VALIDATED",AND('Calibrare_Linii'!H9=C1395,ISNUMBER('Calibrare_Linii'!J9),'Calibrare_Linii'!J9&lt;='Input_Meci'!G105)),"DEFENSIVE VALIDATED",IF(AND('Calibrare_Linii'!S9="VALIDATED",AND('Calibrare_Linii'!H9=C1395,ISNUMBER('Calibrare_Linii'!J9),'Calibrare_Linii'!J9&lt;='Input_Meci'!G105)),"TAIL VALIDATED","OOS PENDING")))</x:f>
      </x:c>
      <x:c r="AK1395" s="2" t="n">
        <x:f>IF(J1395&lt;&gt;"PASS",0,'Motor_Meciuri'!BR105)</x:f>
        <x:v>0</x:v>
      </x:c>
      <x:c r="AL1395" s="2" t="n">
        <x:f>IF(J1395&lt;&gt;"PASS",0,'Motor_Meciuri'!BS105)</x:f>
        <x:v>0</x:v>
      </x:c>
      <x:c r="AM1395" s="2" t="n">
        <x:f>IF(J1395&lt;&gt;"PASS",0,'Motor_Meciuri'!BT105)</x:f>
        <x:v>0</x:v>
      </x:c>
      <x:c r="AN1395" s="2" t="str">
        <x:f>IF(M1395="","",MAX(0,'Motor_Meciuri'!BF105-IF(L1395&gt;'Config_v6'!$B$12,'Config_v6'!$B$37,IF(L1395&gt;'Config_v6'!$B$11,'Config_v6'!$B$36,0))))</x:f>
      </x:c>
    </x:row>
    <x:row r="1396" ht="21" customHeight="1">
      <x:c r="A1396" s="2" t="n">
        <x:v>100</x:v>
      </x:c>
      <x:c r="B1396" s="2" t="str">
        <x:f>IF('Motor_Meciuri'!A105="","",'Motor_Meciuri'!A105)</x:f>
      </x:c>
      <x:c r="C1396" s="2" t="str">
        <x:f>IF(B1396="","",'Motor_Meciuri'!B105)</x:f>
      </x:c>
      <x:c r="D1396" s="2" t="str">
        <x:f>IF(B1396="","",'Motor_Meciuri'!D105)</x:f>
      </x:c>
      <x:c r="E1396" s="2" t="str">
        <x:f>IF(B1396="","",'Motor_Meciuri'!E105)</x:f>
      </x:c>
      <x:c r="F1396" s="2" t="str">
        <x:v>O7,5</x:v>
      </x:c>
      <x:c r="G1396" s="2" t="str">
        <x:v>OVER</x:v>
      </x:c>
      <x:c r="H1396" s="2" t="n">
        <x:v>7</x:v>
      </x:c>
      <x:c r="I1396" s="2" t="str">
        <x:f>IF(B1396="","",'Motor_Meciuri'!H105)</x:f>
      </x:c>
      <x:c r="J1396" s="2" t="str">
        <x:f>IF(B1396="","",'Motor_Meciuri'!I105)</x:f>
      </x:c>
      <x:c r="K1396" s="11" t="str">
        <x:f>IF(J1396&lt;&gt;"PASS","",'Motor_Meciuri'!BD105)</x:f>
      </x:c>
      <x:c r="L1396" s="11" t="str">
        <x:f>IF(J1396&lt;&gt;"PASS","",'Motor_Meciuri'!AU105)</x:f>
      </x:c>
      <x:c r="M1396" s="10" t="str">
        <x:f>IF(NOT(AND(J1396="PASS",'Calibrare_Linii'!U10="VALID")),"",1-'Distributie'!AE105)</x:f>
      </x:c>
      <x:c r="N1396" s="10" t="str">
        <x:f>IF(M1396="","",MAX(0.01,MIN(0.99,0.5+(M1396-0.5)*'Motor_Meciuri'!BG105*'Calibrare_Linii'!D10)))</x:f>
      </x:c>
      <x:c r="O1396" s="10" t="str">
        <x:f>IF(M1396="","",1-M1396)</x:f>
      </x:c>
      <x:c r="P1396" s="10" t="str">
        <x:f>IF(OR(NOT(AND(J1396="PASS",'Calibrare_Linii'!U10="VALID")),AK1396=0),""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*('Istoric_Nativ'!$Q$6:$Q$405&lt;=H1396))/AK1396)</x:f>
      </x:c>
      <x:c r="Q1396" s="10" t="str">
        <x:f>IF(OR(NOT(AND(J1396="PASS",'Calibrare_Linii'!U10="VALID")),AL1396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M105)+((('Istoric_Nativ'!$E$6:$E$405='Input_Meci'!E105)+('Istoric_Nativ'!$F$6:$F$405='Input_Meci'!E105))&gt;0)*('Istoric_Nativ'!$D$6:$D$405&gt;='Motor_Meciuri'!BN105))&gt;0)*('Istoric_Nativ'!$Q$6:$Q$405&lt;=H1396))/AL1396)</x:f>
      </x:c>
      <x:c r="R1396" s="10" t="str">
        <x:f>IF(OR(NOT(AND(J1396="PASS",'Calibrare_Linii'!U10="VALID")),AM1396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O105)+((('Istoric_Nativ'!$E$6:$E$405='Input_Meci'!E105)+('Istoric_Nativ'!$F$6:$F$405='Input_Meci'!E105))&gt;0)*('Istoric_Nativ'!$D$6:$D$405&gt;='Motor_Meciuri'!BP105))&gt;0)*('Istoric_Nativ'!$Q$6:$Q$405&lt;=H1396))/AM1396)</x:f>
      </x:c>
      <x:c r="S1396" s="10" t="str">
        <x:f>IF(M1396="","",MAX(O1396,P1396,Q1396,R1396))</x:f>
      </x:c>
      <x:c r="T1396" s="11" t="str">
        <x:f>IF(M1396="","",MIN(100,S1396*100*'Config_v6'!$B$44+MIN(100,L1396/'Config_v6'!$B$13*100)*'Config_v6'!$B$45+(100-'Motor_Meciuri'!BF105)*'Config_v6'!$B$46+'Motor_Meciuri'!BH105*100*'Config_v6'!$B$47))</x:f>
      </x:c>
      <x:c r="U1396" s="2" t="str">
        <x:f>IF(T1396="","",IF(T1396&lt;=20,1,IF(T1396&lt;=40,2,IF(T1396&lt;=60,3,IF(T1396&lt;=80,4,5)))))</x:f>
      </x:c>
      <x:c r="V1396" s="2" t="str">
        <x:f>IF(M1396="","",MAX(0,'Motor_Meciuri'!BF105-IF(W1396="OOS PENDING",'Config_v6'!$B$35,0)-IF(L1396&gt;'Config_v6'!$B$12,'Config_v6'!$B$37,IF(L1396&gt;'Config_v6'!$B$11,'Config_v6'!$B$36,0))))</x:f>
      </x:c>
      <x:c r="W1396" s="2" t="str">
        <x:f>IF(B1396="","",IF(I1396&lt;&gt;"READY","NOT RELEASED",IF(NOT(AND(J1396="PASS",'Calibrare_Linii'!U10="VALID")),"INVALID",IF(NOT(AND('Calibrare_Linii'!S10="VALIDATED",AND('Calibrare_Linii'!H10=C1396,ISNUMBER('Calibrare_Linii'!J10),'Calibrare_Linii'!J10&lt;='Input_Meci'!G105))),"OOS PENDING",IF(S1396&lt;='Calibrare_Linii'!E10,"PASS",IF(S1396&lt;='Calibrare_Linii'!F10,"PENALTY","WATCH"))))))</x:f>
      </x:c>
      <x:c r="X1396" s="2" t="str">
        <x:f>IF(M1396="","",IF(AND(AND(J1396="PASS",'Calibrare_Linii'!U10="VALID"),'Motor_Meciuri'!K105=12,'Motor_Meciuri'!L105=12,'Motor_Meciuri'!M105="NO",'Motor_Meciuri'!BL105='Motor_Meciuri'!C105,AB1396&gt;='Config_v6'!$B$50,AN1396&gt;='Config_v6'!$B$51,T1396&lt;='Config_v6'!$B$52,L1396&lt;='Config_v6'!$B$53,ISNUMBER('Calibrare_Linii'!E10),S1396&lt;='Calibrare_Linii'!E10,SUM(AK1396:AM1396)&gt;0),"CANDIDATE","NO"))</x:f>
      </x:c>
      <x:c r="Y1396" s="2" t="str">
        <x:f>IF(B1396="","",IF(I1396&lt;&gt;"READY","NOT RELEASED",IF(AND(X1396="CANDIDATE",V1396&gt;='Config_v6'!$B$51,W1396="PASS",'Calibrare_Linii'!T10="VALIDATED",AND('Calibrare_Linii'!H10=C1396,ISNUMBER('Calibrare_Linii'!J10),'Calibrare_Linii'!J10&lt;='Input_Meci'!G105)),"PASS",IF(X1396="CANDIDATE","OOS PENDING","FAIL"))))</x:f>
      </x:c>
      <x:c r="Z1396" s="2" t="str">
        <x:f>IF(B1396="","",IF(I1396&lt;&gt;"READY","",IF(OR(NOT(AND(J1396="PASS",'Calibrare_Linii'!U10="VALID")),L1396&gt;'Config_v6'!$B$13,W1396="WATCH"),5,IF(Y1396="PASS",1,MIN(5,MAX('Config_v6'!$B$42,U1396)+IF(W1396="PENALTY",1,0))))))</x:f>
      </x:c>
      <x:c r="AA1396" s="2" t="str">
        <x:f>IF(B1396="","",IF(I1396&lt;&gt;"READY","NOT RELEASED",IF(Z1396=5,"NO BET",IF(OR(AB1396&lt;'Config_v6'!$B$16,V1396&lt;'Config_v6'!$B$18),"WATCH",IF(Z1396=1,"DEFENSIV",IF(Z1396=2,"PRUDENT",IF(Z1396=3,"MODERAT","RIDICAT")))))))</x:f>
      </x:c>
      <x:c r="AB1396" s="10" t="str">
        <x:f>IF(N1396="","",MIN(N1396,1-S1396))</x:f>
      </x:c>
      <x:c r="AC1396" s="2" t="str">
        <x:f>IF(AD1396&lt;&gt;1,"",COUNTIFS($Z$1392:$Z$1405,"&lt;"&amp;Z1396,$AD$1392:$AD$1405,1)+COUNTIFS($Z$1392:$Z$1405,Z1396,$AB$1392:$AB$1405,"&gt;"&amp;AB1396,$AD$1392:$AD$1405,1)+COUNTIFS($Z$1392:$Z$1405,Z1396,$AB$1392:$AB$1405,AB1396,$V$1392:$V$1405,"&gt;"&amp;V1396,$AD$1392:$AD$1405,1)+COUNTIFS($Z$1392:Z1396,Z1396,$AB$1392:AB1396,AB1396,$V$1392:V1396,V1396,$AD$1392:AD1396,1))</x:f>
      </x:c>
      <x:c r="AD1396" s="2" t="n">
        <x:f>IF(OR(AA1396="DEFENSIV",AA1396="PRUDENT",AA1396="MODERAT",AA1396="RIDICAT"),1,0)</x:f>
        <x:v>0</x:v>
      </x:c>
      <x:c r="AE1396" s="2" t="str">
        <x:f>IF(AD1396&lt;&gt;1,"NO",IF(W1396="PASS","YES",IF(W1396="OOS PENDING","CONDITIONAL","NO")))</x:f>
        <x:v>NO</x:v>
      </x:c>
      <x:c r="AF1396" s="2" t="n">
        <x:f>IF(AND(AD1396=1,AC1396=1,E1396="LIVE"),1,0)</x:f>
        <x:v>0</x:v>
      </x:c>
      <x:c r="AG1396" s="2" t="str">
        <x:f>IF(AF1396&lt;&gt;1,"",'Dashboard'!P125)</x:f>
      </x:c>
      <x:c r="AH1396" s="2" t="str">
        <x:f>IF(B1396="","",IF(J1396&lt;&gt;"PASS",'Motor_Meciuri'!J105,IF('Calibrare_Linii'!U10&lt;&gt;"VALID","Parametri linie invalizi",IF(L1396&gt;'Config_v6'!$B$13,"Dispersie peste limita",IF(W1396="WATCH","Failure peste limita",IF(AB1396&lt;'Config_v6'!$B$16,"P finala sub prag",IF(V1396&lt;'Config_v6'!$B$18,"Confidence sub prag",IF(E1396="REPLAY","Exemplu retrospectiv; exclus din Top LIVE",IF(Y1396="PASS","DEFENSIV validat",IF(W1396="OOS PENDING","Eligibil; calibrare linie in monitorizare","Eligibil"))))))))))</x:f>
      </x:c>
      <x:c r="AI1396" s="2" t="str">
        <x:f>IF(B1396="","",'Calibrare_Linii'!V10)</x:f>
      </x:c>
      <x:c r="AJ1396" s="2" t="str">
        <x:f>IF(B1396="","",IF(AND('Calibrare_Linii'!T10="VALIDATED",AND('Calibrare_Linii'!H10=C1396,ISNUMBER('Calibrare_Linii'!J10),'Calibrare_Linii'!J10&lt;='Input_Meci'!G105)),"DEFENSIVE VALIDATED",IF(AND('Calibrare_Linii'!S10="VALIDATED",AND('Calibrare_Linii'!H10=C1396,ISNUMBER('Calibrare_Linii'!J10),'Calibrare_Linii'!J10&lt;='Input_Meci'!G105)),"TAIL VALIDATED","OOS PENDING")))</x:f>
      </x:c>
      <x:c r="AK1396" s="2" t="n">
        <x:f>IF(J1396&lt;&gt;"PASS",0,'Motor_Meciuri'!BR105)</x:f>
        <x:v>0</x:v>
      </x:c>
      <x:c r="AL1396" s="2" t="n">
        <x:f>IF(J1396&lt;&gt;"PASS",0,'Motor_Meciuri'!BS105)</x:f>
        <x:v>0</x:v>
      </x:c>
      <x:c r="AM1396" s="2" t="n">
        <x:f>IF(J1396&lt;&gt;"PASS",0,'Motor_Meciuri'!BT105)</x:f>
        <x:v>0</x:v>
      </x:c>
      <x:c r="AN1396" s="2" t="str">
        <x:f>IF(M1396="","",MAX(0,'Motor_Meciuri'!BF105-IF(L1396&gt;'Config_v6'!$B$12,'Config_v6'!$B$37,IF(L1396&gt;'Config_v6'!$B$11,'Config_v6'!$B$36,0))))</x:f>
      </x:c>
    </x:row>
    <x:row r="1397" ht="21" customHeight="1">
      <x:c r="A1397" s="2" t="n">
        <x:v>100</x:v>
      </x:c>
      <x:c r="B1397" s="2" t="str">
        <x:f>IF('Motor_Meciuri'!A105="","",'Motor_Meciuri'!A105)</x:f>
      </x:c>
      <x:c r="C1397" s="2" t="str">
        <x:f>IF(B1397="","",'Motor_Meciuri'!B105)</x:f>
      </x:c>
      <x:c r="D1397" s="2" t="str">
        <x:f>IF(B1397="","",'Motor_Meciuri'!D105)</x:f>
      </x:c>
      <x:c r="E1397" s="2" t="str">
        <x:f>IF(B1397="","",'Motor_Meciuri'!E105)</x:f>
      </x:c>
      <x:c r="F1397" s="2" t="str">
        <x:v>O8,5</x:v>
      </x:c>
      <x:c r="G1397" s="2" t="str">
        <x:v>OVER</x:v>
      </x:c>
      <x:c r="H1397" s="2" t="n">
        <x:v>8</x:v>
      </x:c>
      <x:c r="I1397" s="2" t="str">
        <x:f>IF(B1397="","",'Motor_Meciuri'!H105)</x:f>
      </x:c>
      <x:c r="J1397" s="2" t="str">
        <x:f>IF(B1397="","",'Motor_Meciuri'!I105)</x:f>
      </x:c>
      <x:c r="K1397" s="11" t="str">
        <x:f>IF(J1397&lt;&gt;"PASS","",'Motor_Meciuri'!BD105)</x:f>
      </x:c>
      <x:c r="L1397" s="11" t="str">
        <x:f>IF(J1397&lt;&gt;"PASS","",'Motor_Meciuri'!AU105)</x:f>
      </x:c>
      <x:c r="M1397" s="10" t="str">
        <x:f>IF(NOT(AND(J1397="PASS",'Calibrare_Linii'!U11="VALID")),"",1-'Distributie'!AF105)</x:f>
      </x:c>
      <x:c r="N1397" s="10" t="str">
        <x:f>IF(M1397="","",MAX(0.01,MIN(0.99,0.5+(M1397-0.5)*'Motor_Meciuri'!BG105*'Calibrare_Linii'!D11)))</x:f>
      </x:c>
      <x:c r="O1397" s="10" t="str">
        <x:f>IF(M1397="","",1-M1397)</x:f>
      </x:c>
      <x:c r="P1397" s="10" t="str">
        <x:f>IF(OR(NOT(AND(J1397="PASS",'Calibrare_Linii'!U11="VALID")),AK1397=0),""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*('Istoric_Nativ'!$Q$6:$Q$405&lt;=H1397))/AK1397)</x:f>
      </x:c>
      <x:c r="Q1397" s="10" t="str">
        <x:f>IF(OR(NOT(AND(J1397="PASS",'Calibrare_Linii'!U11="VALID")),AL1397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M105)+((('Istoric_Nativ'!$E$6:$E$405='Input_Meci'!E105)+('Istoric_Nativ'!$F$6:$F$405='Input_Meci'!E105))&gt;0)*('Istoric_Nativ'!$D$6:$D$405&gt;='Motor_Meciuri'!BN105))&gt;0)*('Istoric_Nativ'!$Q$6:$Q$405&lt;=H1397))/AL1397)</x:f>
      </x:c>
      <x:c r="R1397" s="10" t="str">
        <x:f>IF(OR(NOT(AND(J1397="PASS",'Calibrare_Linii'!U11="VALID")),AM1397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O105)+((('Istoric_Nativ'!$E$6:$E$405='Input_Meci'!E105)+('Istoric_Nativ'!$F$6:$F$405='Input_Meci'!E105))&gt;0)*('Istoric_Nativ'!$D$6:$D$405&gt;='Motor_Meciuri'!BP105))&gt;0)*('Istoric_Nativ'!$Q$6:$Q$405&lt;=H1397))/AM1397)</x:f>
      </x:c>
      <x:c r="S1397" s="10" t="str">
        <x:f>IF(M1397="","",MAX(O1397,P1397,Q1397,R1397))</x:f>
      </x:c>
      <x:c r="T1397" s="11" t="str">
        <x:f>IF(M1397="","",MIN(100,S1397*100*'Config_v6'!$B$44+MIN(100,L1397/'Config_v6'!$B$13*100)*'Config_v6'!$B$45+(100-'Motor_Meciuri'!BF105)*'Config_v6'!$B$46+'Motor_Meciuri'!BH105*100*'Config_v6'!$B$47))</x:f>
      </x:c>
      <x:c r="U1397" s="2" t="str">
        <x:f>IF(T1397="","",IF(T1397&lt;=20,1,IF(T1397&lt;=40,2,IF(T1397&lt;=60,3,IF(T1397&lt;=80,4,5)))))</x:f>
      </x:c>
      <x:c r="V1397" s="2" t="str">
        <x:f>IF(M1397="","",MAX(0,'Motor_Meciuri'!BF105-IF(W1397="OOS PENDING",'Config_v6'!$B$35,0)-IF(L1397&gt;'Config_v6'!$B$12,'Config_v6'!$B$37,IF(L1397&gt;'Config_v6'!$B$11,'Config_v6'!$B$36,0))))</x:f>
      </x:c>
      <x:c r="W1397" s="2" t="str">
        <x:f>IF(B1397="","",IF(I1397&lt;&gt;"READY","NOT RELEASED",IF(NOT(AND(J1397="PASS",'Calibrare_Linii'!U11="VALID")),"INVALID",IF(NOT(AND('Calibrare_Linii'!S11="VALIDATED",AND('Calibrare_Linii'!H11=C1397,ISNUMBER('Calibrare_Linii'!J11),'Calibrare_Linii'!J11&lt;='Input_Meci'!G105))),"OOS PENDING",IF(S1397&lt;='Calibrare_Linii'!E11,"PASS",IF(S1397&lt;='Calibrare_Linii'!F11,"PENALTY","WATCH"))))))</x:f>
      </x:c>
      <x:c r="X1397" s="2" t="str">
        <x:f>IF(M1397="","",IF(AND(AND(J1397="PASS",'Calibrare_Linii'!U11="VALID"),'Motor_Meciuri'!K105=12,'Motor_Meciuri'!L105=12,'Motor_Meciuri'!M105="NO",'Motor_Meciuri'!BL105='Motor_Meciuri'!C105,AB1397&gt;='Config_v6'!$B$50,AN1397&gt;='Config_v6'!$B$51,T1397&lt;='Config_v6'!$B$52,L1397&lt;='Config_v6'!$B$53,ISNUMBER('Calibrare_Linii'!E11),S1397&lt;='Calibrare_Linii'!E11,SUM(AK1397:AM1397)&gt;0),"CANDIDATE","NO"))</x:f>
      </x:c>
      <x:c r="Y1397" s="2" t="str">
        <x:f>IF(B1397="","",IF(I1397&lt;&gt;"READY","NOT RELEASED",IF(AND(X1397="CANDIDATE",V1397&gt;='Config_v6'!$B$51,W1397="PASS",'Calibrare_Linii'!T11="VALIDATED",AND('Calibrare_Linii'!H11=C1397,ISNUMBER('Calibrare_Linii'!J11),'Calibrare_Linii'!J11&lt;='Input_Meci'!G105)),"PASS",IF(X1397="CANDIDATE","OOS PENDING","FAIL"))))</x:f>
      </x:c>
      <x:c r="Z1397" s="2" t="str">
        <x:f>IF(B1397="","",IF(I1397&lt;&gt;"READY","",IF(OR(NOT(AND(J1397="PASS",'Calibrare_Linii'!U11="VALID")),L1397&gt;'Config_v6'!$B$13,W1397="WATCH"),5,IF(Y1397="PASS",1,MIN(5,MAX('Config_v6'!$B$42,U1397)+IF(W1397="PENALTY",1,0))))))</x:f>
      </x:c>
      <x:c r="AA1397" s="2" t="str">
        <x:f>IF(B1397="","",IF(I1397&lt;&gt;"READY","NOT RELEASED",IF(Z1397=5,"NO BET",IF(OR(AB1397&lt;'Config_v6'!$B$16,V1397&lt;'Config_v6'!$B$18),"WATCH",IF(Z1397=1,"DEFENSIV",IF(Z1397=2,"PRUDENT",IF(Z1397=3,"MODERAT","RIDICAT")))))))</x:f>
      </x:c>
      <x:c r="AB1397" s="10" t="str">
        <x:f>IF(N1397="","",MIN(N1397,1-S1397))</x:f>
      </x:c>
      <x:c r="AC1397" s="2" t="str">
        <x:f>IF(AD1397&lt;&gt;1,"",COUNTIFS($Z$1392:$Z$1405,"&lt;"&amp;Z1397,$AD$1392:$AD$1405,1)+COUNTIFS($Z$1392:$Z$1405,Z1397,$AB$1392:$AB$1405,"&gt;"&amp;AB1397,$AD$1392:$AD$1405,1)+COUNTIFS($Z$1392:$Z$1405,Z1397,$AB$1392:$AB$1405,AB1397,$V$1392:$V$1405,"&gt;"&amp;V1397,$AD$1392:$AD$1405,1)+COUNTIFS($Z$1392:Z1397,Z1397,$AB$1392:AB1397,AB1397,$V$1392:V1397,V1397,$AD$1392:AD1397,1))</x:f>
      </x:c>
      <x:c r="AD1397" s="2" t="n">
        <x:f>IF(OR(AA1397="DEFENSIV",AA1397="PRUDENT",AA1397="MODERAT",AA1397="RIDICAT"),1,0)</x:f>
        <x:v>0</x:v>
      </x:c>
      <x:c r="AE1397" s="2" t="str">
        <x:f>IF(AD1397&lt;&gt;1,"NO",IF(W1397="PASS","YES",IF(W1397="OOS PENDING","CONDITIONAL","NO")))</x:f>
        <x:v>NO</x:v>
      </x:c>
      <x:c r="AF1397" s="2" t="n">
        <x:f>IF(AND(AD1397=1,AC1397=1,E1397="LIVE"),1,0)</x:f>
        <x:v>0</x:v>
      </x:c>
      <x:c r="AG1397" s="2" t="str">
        <x:f>IF(AF1397&lt;&gt;1,"",'Dashboard'!P125)</x:f>
      </x:c>
      <x:c r="AH1397" s="2" t="str">
        <x:f>IF(B1397="","",IF(J1397&lt;&gt;"PASS",'Motor_Meciuri'!J105,IF('Calibrare_Linii'!U11&lt;&gt;"VALID","Parametri linie invalizi",IF(L1397&gt;'Config_v6'!$B$13,"Dispersie peste limita",IF(W1397="WATCH","Failure peste limita",IF(AB1397&lt;'Config_v6'!$B$16,"P finala sub prag",IF(V1397&lt;'Config_v6'!$B$18,"Confidence sub prag",IF(E1397="REPLAY","Exemplu retrospectiv; exclus din Top LIVE",IF(Y1397="PASS","DEFENSIV validat",IF(W1397="OOS PENDING","Eligibil; calibrare linie in monitorizare","Eligibil"))))))))))</x:f>
      </x:c>
      <x:c r="AI1397" s="2" t="str">
        <x:f>IF(B1397="","",'Calibrare_Linii'!V11)</x:f>
      </x:c>
      <x:c r="AJ1397" s="2" t="str">
        <x:f>IF(B1397="","",IF(AND('Calibrare_Linii'!T11="VALIDATED",AND('Calibrare_Linii'!H11=C1397,ISNUMBER('Calibrare_Linii'!J11),'Calibrare_Linii'!J11&lt;='Input_Meci'!G105)),"DEFENSIVE VALIDATED",IF(AND('Calibrare_Linii'!S11="VALIDATED",AND('Calibrare_Linii'!H11=C1397,ISNUMBER('Calibrare_Linii'!J11),'Calibrare_Linii'!J11&lt;='Input_Meci'!G105)),"TAIL VALIDATED","OOS PENDING")))</x:f>
      </x:c>
      <x:c r="AK1397" s="2" t="n">
        <x:f>IF(J1397&lt;&gt;"PASS",0,'Motor_Meciuri'!BR105)</x:f>
        <x:v>0</x:v>
      </x:c>
      <x:c r="AL1397" s="2" t="n">
        <x:f>IF(J1397&lt;&gt;"PASS",0,'Motor_Meciuri'!BS105)</x:f>
        <x:v>0</x:v>
      </x:c>
      <x:c r="AM1397" s="2" t="n">
        <x:f>IF(J1397&lt;&gt;"PASS",0,'Motor_Meciuri'!BT105)</x:f>
        <x:v>0</x:v>
      </x:c>
      <x:c r="AN1397" s="2" t="str">
        <x:f>IF(M1397="","",MAX(0,'Motor_Meciuri'!BF105-IF(L1397&gt;'Config_v6'!$B$12,'Config_v6'!$B$37,IF(L1397&gt;'Config_v6'!$B$11,'Config_v6'!$B$36,0))))</x:f>
      </x:c>
    </x:row>
    <x:row r="1398" ht="21" customHeight="1">
      <x:c r="A1398" s="2" t="n">
        <x:v>100</x:v>
      </x:c>
      <x:c r="B1398" s="2" t="str">
        <x:f>IF('Motor_Meciuri'!A105="","",'Motor_Meciuri'!A105)</x:f>
      </x:c>
      <x:c r="C1398" s="2" t="str">
        <x:f>IF(B1398="","",'Motor_Meciuri'!B105)</x:f>
      </x:c>
      <x:c r="D1398" s="2" t="str">
        <x:f>IF(B1398="","",'Motor_Meciuri'!D105)</x:f>
      </x:c>
      <x:c r="E1398" s="2" t="str">
        <x:f>IF(B1398="","",'Motor_Meciuri'!E105)</x:f>
      </x:c>
      <x:c r="F1398" s="2" t="str">
        <x:v>U10,5</x:v>
      </x:c>
      <x:c r="G1398" s="2" t="str">
        <x:v>UNDER</x:v>
      </x:c>
      <x:c r="H1398" s="2" t="n">
        <x:v>10</x:v>
      </x:c>
      <x:c r="I1398" s="2" t="str">
        <x:f>IF(B1398="","",'Motor_Meciuri'!H105)</x:f>
      </x:c>
      <x:c r="J1398" s="2" t="str">
        <x:f>IF(B1398="","",'Motor_Meciuri'!I105)</x:f>
      </x:c>
      <x:c r="K1398" s="11" t="str">
        <x:f>IF(J1398&lt;&gt;"PASS","",'Motor_Meciuri'!BD105)</x:f>
      </x:c>
      <x:c r="L1398" s="11" t="str">
        <x:f>IF(J1398&lt;&gt;"PASS","",'Motor_Meciuri'!AU105)</x:f>
      </x:c>
      <x:c r="M1398" s="10" t="str">
        <x:f>IF(NOT(AND(J1398="PASS",'Calibrare_Linii'!U12="VALID")),"",'Distributie'!AH105)</x:f>
      </x:c>
      <x:c r="N1398" s="10" t="str">
        <x:f>IF(M1398="","",MAX(0.01,MIN(0.99,0.5+(M1398-0.5)*'Motor_Meciuri'!BG105*'Calibrare_Linii'!D12)))</x:f>
      </x:c>
      <x:c r="O1398" s="10" t="str">
        <x:f>IF(M1398="","",1-M1398)</x:f>
      </x:c>
      <x:c r="P1398" s="10" t="str">
        <x:f>IF(OR(NOT(AND(J1398="PASS",'Calibrare_Linii'!U12="VALID")),AK1398=0),""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*('Istoric_Nativ'!$Q$6:$Q$405&gt;H1398))/AK1398)</x:f>
      </x:c>
      <x:c r="Q1398" s="10" t="str">
        <x:f>IF(OR(NOT(AND(J1398="PASS",'Calibrare_Linii'!U12="VALID")),AL1398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M105)+((('Istoric_Nativ'!$E$6:$E$405='Input_Meci'!E105)+('Istoric_Nativ'!$F$6:$F$405='Input_Meci'!E105))&gt;0)*('Istoric_Nativ'!$D$6:$D$405&gt;='Motor_Meciuri'!BN105))&gt;0)*('Istoric_Nativ'!$Q$6:$Q$405&gt;H1398))/AL1398)</x:f>
      </x:c>
      <x:c r="R1398" s="10" t="str">
        <x:f>IF(OR(NOT(AND(J1398="PASS",'Calibrare_Linii'!U12="VALID")),AM1398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O105)+((('Istoric_Nativ'!$E$6:$E$405='Input_Meci'!E105)+('Istoric_Nativ'!$F$6:$F$405='Input_Meci'!E105))&gt;0)*('Istoric_Nativ'!$D$6:$D$405&gt;='Motor_Meciuri'!BP105))&gt;0)*('Istoric_Nativ'!$Q$6:$Q$405&gt;H1398))/AM1398)</x:f>
      </x:c>
      <x:c r="S1398" s="10" t="str">
        <x:f>IF(M1398="","",MAX(O1398,P1398,Q1398,R1398))</x:f>
      </x:c>
      <x:c r="T1398" s="11" t="str">
        <x:f>IF(M1398="","",MIN(100,S1398*100*'Config_v6'!$B$44+MIN(100,L1398/'Config_v6'!$B$13*100)*'Config_v6'!$B$45+(100-'Motor_Meciuri'!BF105)*'Config_v6'!$B$46+'Motor_Meciuri'!BH105*100*'Config_v6'!$B$47))</x:f>
      </x:c>
      <x:c r="U1398" s="2" t="str">
        <x:f>IF(T1398="","",IF(T1398&lt;=20,1,IF(T1398&lt;=40,2,IF(T1398&lt;=60,3,IF(T1398&lt;=80,4,5)))))</x:f>
      </x:c>
      <x:c r="V1398" s="2" t="str">
        <x:f>IF(M1398="","",MAX(0,'Motor_Meciuri'!BF105-IF(W1398="OOS PENDING",'Config_v6'!$B$35,0)-IF(L1398&gt;'Config_v6'!$B$12,'Config_v6'!$B$37,IF(L1398&gt;'Config_v6'!$B$11,'Config_v6'!$B$36,0))))</x:f>
      </x:c>
      <x:c r="W1398" s="2" t="str">
        <x:f>IF(B1398="","",IF(I1398&lt;&gt;"READY","NOT RELEASED",IF(NOT(AND(J1398="PASS",'Calibrare_Linii'!U12="VALID")),"INVALID",IF(NOT(AND('Calibrare_Linii'!S12="VALIDATED",AND('Calibrare_Linii'!H12=C1398,ISNUMBER('Calibrare_Linii'!J12),'Calibrare_Linii'!J12&lt;='Input_Meci'!G105))),"OOS PENDING",IF(S1398&lt;='Calibrare_Linii'!E12,"PASS",IF(S1398&lt;='Calibrare_Linii'!F12,"PENALTY","WATCH"))))))</x:f>
      </x:c>
      <x:c r="X1398" s="2" t="str">
        <x:f>IF(M1398="","",IF(AND(AND(J1398="PASS",'Calibrare_Linii'!U12="VALID"),'Motor_Meciuri'!K105=12,'Motor_Meciuri'!L105=12,'Motor_Meciuri'!M105="NO",'Motor_Meciuri'!BL105='Motor_Meciuri'!C105,AB1398&gt;='Config_v6'!$B$50,AN1398&gt;='Config_v6'!$B$51,T1398&lt;='Config_v6'!$B$52,L1398&lt;='Config_v6'!$B$53,ISNUMBER('Calibrare_Linii'!E12),S1398&lt;='Calibrare_Linii'!E12,SUM(AK1398:AM1398)&gt;0),"CANDIDATE","NO"))</x:f>
      </x:c>
      <x:c r="Y1398" s="2" t="str">
        <x:f>IF(B1398="","",IF(I1398&lt;&gt;"READY","NOT RELEASED",IF(AND(X1398="CANDIDATE",V1398&gt;='Config_v6'!$B$51,W1398="PASS",'Calibrare_Linii'!T12="VALIDATED",AND('Calibrare_Linii'!H12=C1398,ISNUMBER('Calibrare_Linii'!J12),'Calibrare_Linii'!J12&lt;='Input_Meci'!G105)),"PASS",IF(X1398="CANDIDATE","OOS PENDING","FAIL"))))</x:f>
      </x:c>
      <x:c r="Z1398" s="2" t="str">
        <x:f>IF(B1398="","",IF(I1398&lt;&gt;"READY","",IF(OR(NOT(AND(J1398="PASS",'Calibrare_Linii'!U12="VALID")),L1398&gt;'Config_v6'!$B$13,W1398="WATCH"),5,IF(Y1398="PASS",1,MIN(5,MAX('Config_v6'!$B$42,U1398)+IF(W1398="PENALTY",1,0))))))</x:f>
      </x:c>
      <x:c r="AA1398" s="2" t="str">
        <x:f>IF(B1398="","",IF(I1398&lt;&gt;"READY","NOT RELEASED",IF(Z1398=5,"NO BET",IF(OR(AB1398&lt;'Config_v6'!$B$16,V1398&lt;'Config_v6'!$B$18),"WATCH",IF(Z1398=1,"DEFENSIV",IF(Z1398=2,"PRUDENT",IF(Z1398=3,"MODERAT","RIDICAT")))))))</x:f>
      </x:c>
      <x:c r="AB1398" s="10" t="str">
        <x:f>IF(N1398="","",MIN(N1398,1-S1398))</x:f>
      </x:c>
      <x:c r="AC1398" s="2" t="str">
        <x:f>IF(AD1398&lt;&gt;1,"",COUNTIFS($Z$1392:$Z$1405,"&lt;"&amp;Z1398,$AD$1392:$AD$1405,1)+COUNTIFS($Z$1392:$Z$1405,Z1398,$AB$1392:$AB$1405,"&gt;"&amp;AB1398,$AD$1392:$AD$1405,1)+COUNTIFS($Z$1392:$Z$1405,Z1398,$AB$1392:$AB$1405,AB1398,$V$1392:$V$1405,"&gt;"&amp;V1398,$AD$1392:$AD$1405,1)+COUNTIFS($Z$1392:Z1398,Z1398,$AB$1392:AB1398,AB1398,$V$1392:V1398,V1398,$AD$1392:AD1398,1))</x:f>
      </x:c>
      <x:c r="AD1398" s="2" t="n">
        <x:f>IF(OR(AA1398="DEFENSIV",AA1398="PRUDENT",AA1398="MODERAT",AA1398="RIDICAT"),1,0)</x:f>
        <x:v>0</x:v>
      </x:c>
      <x:c r="AE1398" s="2" t="str">
        <x:f>IF(AD1398&lt;&gt;1,"NO",IF(W1398="PASS","YES",IF(W1398="OOS PENDING","CONDITIONAL","NO")))</x:f>
        <x:v>NO</x:v>
      </x:c>
      <x:c r="AF1398" s="2" t="n">
        <x:f>IF(AND(AD1398=1,AC1398=1,E1398="LIVE"),1,0)</x:f>
        <x:v>0</x:v>
      </x:c>
      <x:c r="AG1398" s="2" t="str">
        <x:f>IF(AF1398&lt;&gt;1,"",'Dashboard'!P125)</x:f>
      </x:c>
      <x:c r="AH1398" s="2" t="str">
        <x:f>IF(B1398="","",IF(J1398&lt;&gt;"PASS",'Motor_Meciuri'!J105,IF('Calibrare_Linii'!U12&lt;&gt;"VALID","Parametri linie invalizi",IF(L1398&gt;'Config_v6'!$B$13,"Dispersie peste limita",IF(W1398="WATCH","Failure peste limita",IF(AB1398&lt;'Config_v6'!$B$16,"P finala sub prag",IF(V1398&lt;'Config_v6'!$B$18,"Confidence sub prag",IF(E1398="REPLAY","Exemplu retrospectiv; exclus din Top LIVE",IF(Y1398="PASS","DEFENSIV validat",IF(W1398="OOS PENDING","Eligibil; calibrare linie in monitorizare","Eligibil"))))))))))</x:f>
      </x:c>
      <x:c r="AI1398" s="2" t="str">
        <x:f>IF(B1398="","",'Calibrare_Linii'!V12)</x:f>
      </x:c>
      <x:c r="AJ1398" s="2" t="str">
        <x:f>IF(B1398="","",IF(AND('Calibrare_Linii'!T12="VALIDATED",AND('Calibrare_Linii'!H12=C1398,ISNUMBER('Calibrare_Linii'!J12),'Calibrare_Linii'!J12&lt;='Input_Meci'!G105)),"DEFENSIVE VALIDATED",IF(AND('Calibrare_Linii'!S12="VALIDATED",AND('Calibrare_Linii'!H12=C1398,ISNUMBER('Calibrare_Linii'!J12),'Calibrare_Linii'!J12&lt;='Input_Meci'!G105)),"TAIL VALIDATED","OOS PENDING")))</x:f>
      </x:c>
      <x:c r="AK1398" s="2" t="n">
        <x:f>IF(J1398&lt;&gt;"PASS",0,'Motor_Meciuri'!BR105)</x:f>
        <x:v>0</x:v>
      </x:c>
      <x:c r="AL1398" s="2" t="n">
        <x:f>IF(J1398&lt;&gt;"PASS",0,'Motor_Meciuri'!BS105)</x:f>
        <x:v>0</x:v>
      </x:c>
      <x:c r="AM1398" s="2" t="n">
        <x:f>IF(J1398&lt;&gt;"PASS",0,'Motor_Meciuri'!BT105)</x:f>
        <x:v>0</x:v>
      </x:c>
      <x:c r="AN1398" s="2" t="str">
        <x:f>IF(M1398="","",MAX(0,'Motor_Meciuri'!BF105-IF(L1398&gt;'Config_v6'!$B$12,'Config_v6'!$B$37,IF(L1398&gt;'Config_v6'!$B$11,'Config_v6'!$B$36,0))))</x:f>
      </x:c>
    </x:row>
    <x:row r="1399" ht="21" customHeight="1">
      <x:c r="A1399" s="2" t="n">
        <x:v>100</x:v>
      </x:c>
      <x:c r="B1399" s="2" t="str">
        <x:f>IF('Motor_Meciuri'!A105="","",'Motor_Meciuri'!A105)</x:f>
      </x:c>
      <x:c r="C1399" s="2" t="str">
        <x:f>IF(B1399="","",'Motor_Meciuri'!B105)</x:f>
      </x:c>
      <x:c r="D1399" s="2" t="str">
        <x:f>IF(B1399="","",'Motor_Meciuri'!D105)</x:f>
      </x:c>
      <x:c r="E1399" s="2" t="str">
        <x:f>IF(B1399="","",'Motor_Meciuri'!E105)</x:f>
      </x:c>
      <x:c r="F1399" s="2" t="str">
        <x:v>U11,5</x:v>
      </x:c>
      <x:c r="G1399" s="2" t="str">
        <x:v>UNDER</x:v>
      </x:c>
      <x:c r="H1399" s="2" t="n">
        <x:v>11</x:v>
      </x:c>
      <x:c r="I1399" s="2" t="str">
        <x:f>IF(B1399="","",'Motor_Meciuri'!H105)</x:f>
      </x:c>
      <x:c r="J1399" s="2" t="str">
        <x:f>IF(B1399="","",'Motor_Meciuri'!I105)</x:f>
      </x:c>
      <x:c r="K1399" s="11" t="str">
        <x:f>IF(J1399&lt;&gt;"PASS","",'Motor_Meciuri'!BD105)</x:f>
      </x:c>
      <x:c r="L1399" s="11" t="str">
        <x:f>IF(J1399&lt;&gt;"PASS","",'Motor_Meciuri'!AU105)</x:f>
      </x:c>
      <x:c r="M1399" s="10" t="str">
        <x:f>IF(NOT(AND(J1399="PASS",'Calibrare_Linii'!U13="VALID")),"",'Distributie'!AI105)</x:f>
      </x:c>
      <x:c r="N1399" s="10" t="str">
        <x:f>IF(M1399="","",MAX(0.01,MIN(0.99,0.5+(M1399-0.5)*'Motor_Meciuri'!BG105*'Calibrare_Linii'!D13)))</x:f>
      </x:c>
      <x:c r="O1399" s="10" t="str">
        <x:f>IF(M1399="","",1-M1399)</x:f>
      </x:c>
      <x:c r="P1399" s="10" t="str">
        <x:f>IF(OR(NOT(AND(J1399="PASS",'Calibrare_Linii'!U13="VALID")),AK1399=0),""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*('Istoric_Nativ'!$Q$6:$Q$405&gt;H1399))/AK1399)</x:f>
      </x:c>
      <x:c r="Q1399" s="10" t="str">
        <x:f>IF(OR(NOT(AND(J1399="PASS",'Calibrare_Linii'!U13="VALID")),AL1399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M105)+((('Istoric_Nativ'!$E$6:$E$405='Input_Meci'!E105)+('Istoric_Nativ'!$F$6:$F$405='Input_Meci'!E105))&gt;0)*('Istoric_Nativ'!$D$6:$D$405&gt;='Motor_Meciuri'!BN105))&gt;0)*('Istoric_Nativ'!$Q$6:$Q$405&gt;H1399))/AL1399)</x:f>
      </x:c>
      <x:c r="R1399" s="10" t="str">
        <x:f>IF(OR(NOT(AND(J1399="PASS",'Calibrare_Linii'!U13="VALID")),AM1399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O105)+((('Istoric_Nativ'!$E$6:$E$405='Input_Meci'!E105)+('Istoric_Nativ'!$F$6:$F$405='Input_Meci'!E105))&gt;0)*('Istoric_Nativ'!$D$6:$D$405&gt;='Motor_Meciuri'!BP105))&gt;0)*('Istoric_Nativ'!$Q$6:$Q$405&gt;H1399))/AM1399)</x:f>
      </x:c>
      <x:c r="S1399" s="10" t="str">
        <x:f>IF(M1399="","",MAX(O1399,P1399,Q1399,R1399))</x:f>
      </x:c>
      <x:c r="T1399" s="11" t="str">
        <x:f>IF(M1399="","",MIN(100,S1399*100*'Config_v6'!$B$44+MIN(100,L1399/'Config_v6'!$B$13*100)*'Config_v6'!$B$45+(100-'Motor_Meciuri'!BF105)*'Config_v6'!$B$46+'Motor_Meciuri'!BH105*100*'Config_v6'!$B$47))</x:f>
      </x:c>
      <x:c r="U1399" s="2" t="str">
        <x:f>IF(T1399="","",IF(T1399&lt;=20,1,IF(T1399&lt;=40,2,IF(T1399&lt;=60,3,IF(T1399&lt;=80,4,5)))))</x:f>
      </x:c>
      <x:c r="V1399" s="2" t="str">
        <x:f>IF(M1399="","",MAX(0,'Motor_Meciuri'!BF105-IF(W1399="OOS PENDING",'Config_v6'!$B$35,0)-IF(L1399&gt;'Config_v6'!$B$12,'Config_v6'!$B$37,IF(L1399&gt;'Config_v6'!$B$11,'Config_v6'!$B$36,0))))</x:f>
      </x:c>
      <x:c r="W1399" s="2" t="str">
        <x:f>IF(B1399="","",IF(I1399&lt;&gt;"READY","NOT RELEASED",IF(NOT(AND(J1399="PASS",'Calibrare_Linii'!U13="VALID")),"INVALID",IF(NOT(AND('Calibrare_Linii'!S13="VALIDATED",AND('Calibrare_Linii'!H13=C1399,ISNUMBER('Calibrare_Linii'!J13),'Calibrare_Linii'!J13&lt;='Input_Meci'!G105))),"OOS PENDING",IF(S1399&lt;='Calibrare_Linii'!E13,"PASS",IF(S1399&lt;='Calibrare_Linii'!F13,"PENALTY","WATCH"))))))</x:f>
      </x:c>
      <x:c r="X1399" s="2" t="str">
        <x:f>IF(M1399="","",IF(AND(AND(J1399="PASS",'Calibrare_Linii'!U13="VALID"),'Motor_Meciuri'!K105=12,'Motor_Meciuri'!L105=12,'Motor_Meciuri'!M105="NO",'Motor_Meciuri'!BL105='Motor_Meciuri'!C105,AB1399&gt;='Config_v6'!$B$50,AN1399&gt;='Config_v6'!$B$51,T1399&lt;='Config_v6'!$B$52,L1399&lt;='Config_v6'!$B$53,ISNUMBER('Calibrare_Linii'!E13),S1399&lt;='Calibrare_Linii'!E13,SUM(AK1399:AM1399)&gt;0),"CANDIDATE","NO"))</x:f>
      </x:c>
      <x:c r="Y1399" s="2" t="str">
        <x:f>IF(B1399="","",IF(I1399&lt;&gt;"READY","NOT RELEASED",IF(AND(X1399="CANDIDATE",V1399&gt;='Config_v6'!$B$51,W1399="PASS",'Calibrare_Linii'!T13="VALIDATED",AND('Calibrare_Linii'!H13=C1399,ISNUMBER('Calibrare_Linii'!J13),'Calibrare_Linii'!J13&lt;='Input_Meci'!G105)),"PASS",IF(X1399="CANDIDATE","OOS PENDING","FAIL"))))</x:f>
      </x:c>
      <x:c r="Z1399" s="2" t="str">
        <x:f>IF(B1399="","",IF(I1399&lt;&gt;"READY","",IF(OR(NOT(AND(J1399="PASS",'Calibrare_Linii'!U13="VALID")),L1399&gt;'Config_v6'!$B$13,W1399="WATCH"),5,IF(Y1399="PASS",1,MIN(5,MAX('Config_v6'!$B$42,U1399)+IF(W1399="PENALTY",1,0))))))</x:f>
      </x:c>
      <x:c r="AA1399" s="2" t="str">
        <x:f>IF(B1399="","",IF(I1399&lt;&gt;"READY","NOT RELEASED",IF(Z1399=5,"NO BET",IF(OR(AB1399&lt;'Config_v6'!$B$16,V1399&lt;'Config_v6'!$B$18),"WATCH",IF(Z1399=1,"DEFENSIV",IF(Z1399=2,"PRUDENT",IF(Z1399=3,"MODERAT","RIDICAT")))))))</x:f>
      </x:c>
      <x:c r="AB1399" s="10" t="str">
        <x:f>IF(N1399="","",MIN(N1399,1-S1399))</x:f>
      </x:c>
      <x:c r="AC1399" s="2" t="str">
        <x:f>IF(AD1399&lt;&gt;1,"",COUNTIFS($Z$1392:$Z$1405,"&lt;"&amp;Z1399,$AD$1392:$AD$1405,1)+COUNTIFS($Z$1392:$Z$1405,Z1399,$AB$1392:$AB$1405,"&gt;"&amp;AB1399,$AD$1392:$AD$1405,1)+COUNTIFS($Z$1392:$Z$1405,Z1399,$AB$1392:$AB$1405,AB1399,$V$1392:$V$1405,"&gt;"&amp;V1399,$AD$1392:$AD$1405,1)+COUNTIFS($Z$1392:Z1399,Z1399,$AB$1392:AB1399,AB1399,$V$1392:V1399,V1399,$AD$1392:AD1399,1))</x:f>
      </x:c>
      <x:c r="AD1399" s="2" t="n">
        <x:f>IF(OR(AA1399="DEFENSIV",AA1399="PRUDENT",AA1399="MODERAT",AA1399="RIDICAT"),1,0)</x:f>
        <x:v>0</x:v>
      </x:c>
      <x:c r="AE1399" s="2" t="str">
        <x:f>IF(AD1399&lt;&gt;1,"NO",IF(W1399="PASS","YES",IF(W1399="OOS PENDING","CONDITIONAL","NO")))</x:f>
        <x:v>NO</x:v>
      </x:c>
      <x:c r="AF1399" s="2" t="n">
        <x:f>IF(AND(AD1399=1,AC1399=1,E1399="LIVE"),1,0)</x:f>
        <x:v>0</x:v>
      </x:c>
      <x:c r="AG1399" s="2" t="str">
        <x:f>IF(AF1399&lt;&gt;1,"",'Dashboard'!P125)</x:f>
      </x:c>
      <x:c r="AH1399" s="2" t="str">
        <x:f>IF(B1399="","",IF(J1399&lt;&gt;"PASS",'Motor_Meciuri'!J105,IF('Calibrare_Linii'!U13&lt;&gt;"VALID","Parametri linie invalizi",IF(L1399&gt;'Config_v6'!$B$13,"Dispersie peste limita",IF(W1399="WATCH","Failure peste limita",IF(AB1399&lt;'Config_v6'!$B$16,"P finala sub prag",IF(V1399&lt;'Config_v6'!$B$18,"Confidence sub prag",IF(E1399="REPLAY","Exemplu retrospectiv; exclus din Top LIVE",IF(Y1399="PASS","DEFENSIV validat",IF(W1399="OOS PENDING","Eligibil; calibrare linie in monitorizare","Eligibil"))))))))))</x:f>
      </x:c>
      <x:c r="AI1399" s="2" t="str">
        <x:f>IF(B1399="","",'Calibrare_Linii'!V13)</x:f>
      </x:c>
      <x:c r="AJ1399" s="2" t="str">
        <x:f>IF(B1399="","",IF(AND('Calibrare_Linii'!T13="VALIDATED",AND('Calibrare_Linii'!H13=C1399,ISNUMBER('Calibrare_Linii'!J13),'Calibrare_Linii'!J13&lt;='Input_Meci'!G105)),"DEFENSIVE VALIDATED",IF(AND('Calibrare_Linii'!S13="VALIDATED",AND('Calibrare_Linii'!H13=C1399,ISNUMBER('Calibrare_Linii'!J13),'Calibrare_Linii'!J13&lt;='Input_Meci'!G105)),"TAIL VALIDATED","OOS PENDING")))</x:f>
      </x:c>
      <x:c r="AK1399" s="2" t="n">
        <x:f>IF(J1399&lt;&gt;"PASS",0,'Motor_Meciuri'!BR105)</x:f>
        <x:v>0</x:v>
      </x:c>
      <x:c r="AL1399" s="2" t="n">
        <x:f>IF(J1399&lt;&gt;"PASS",0,'Motor_Meciuri'!BS105)</x:f>
        <x:v>0</x:v>
      </x:c>
      <x:c r="AM1399" s="2" t="n">
        <x:f>IF(J1399&lt;&gt;"PASS",0,'Motor_Meciuri'!BT105)</x:f>
        <x:v>0</x:v>
      </x:c>
      <x:c r="AN1399" s="2" t="str">
        <x:f>IF(M1399="","",MAX(0,'Motor_Meciuri'!BF105-IF(L1399&gt;'Config_v6'!$B$12,'Config_v6'!$B$37,IF(L1399&gt;'Config_v6'!$B$11,'Config_v6'!$B$36,0))))</x:f>
      </x:c>
    </x:row>
    <x:row r="1400" ht="21" customHeight="1">
      <x:c r="A1400" s="2" t="n">
        <x:v>100</x:v>
      </x:c>
      <x:c r="B1400" s="2" t="str">
        <x:f>IF('Motor_Meciuri'!A105="","",'Motor_Meciuri'!A105)</x:f>
      </x:c>
      <x:c r="C1400" s="2" t="str">
        <x:f>IF(B1400="","",'Motor_Meciuri'!B105)</x:f>
      </x:c>
      <x:c r="D1400" s="2" t="str">
        <x:f>IF(B1400="","",'Motor_Meciuri'!D105)</x:f>
      </x:c>
      <x:c r="E1400" s="2" t="str">
        <x:f>IF(B1400="","",'Motor_Meciuri'!E105)</x:f>
      </x:c>
      <x:c r="F1400" s="2" t="str">
        <x:v>U12,5</x:v>
      </x:c>
      <x:c r="G1400" s="2" t="str">
        <x:v>UNDER</x:v>
      </x:c>
      <x:c r="H1400" s="2" t="n">
        <x:v>12</x:v>
      </x:c>
      <x:c r="I1400" s="2" t="str">
        <x:f>IF(B1400="","",'Motor_Meciuri'!H105)</x:f>
      </x:c>
      <x:c r="J1400" s="2" t="str">
        <x:f>IF(B1400="","",'Motor_Meciuri'!I105)</x:f>
      </x:c>
      <x:c r="K1400" s="11" t="str">
        <x:f>IF(J1400&lt;&gt;"PASS","",'Motor_Meciuri'!BD105)</x:f>
      </x:c>
      <x:c r="L1400" s="11" t="str">
        <x:f>IF(J1400&lt;&gt;"PASS","",'Motor_Meciuri'!AU105)</x:f>
      </x:c>
      <x:c r="M1400" s="10" t="str">
        <x:f>IF(NOT(AND(J1400="PASS",'Calibrare_Linii'!U14="VALID")),"",'Distributie'!AJ105)</x:f>
      </x:c>
      <x:c r="N1400" s="10" t="str">
        <x:f>IF(M1400="","",MAX(0.01,MIN(0.99,0.5+(M1400-0.5)*'Motor_Meciuri'!BG105*'Calibrare_Linii'!D14)))</x:f>
      </x:c>
      <x:c r="O1400" s="10" t="str">
        <x:f>IF(M1400="","",1-M1400)</x:f>
      </x:c>
      <x:c r="P1400" s="10" t="str">
        <x:f>IF(OR(NOT(AND(J1400="PASS",'Calibrare_Linii'!U14="VALID")),AK1400=0),""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*('Istoric_Nativ'!$Q$6:$Q$405&gt;H1400))/AK1400)</x:f>
      </x:c>
      <x:c r="Q1400" s="10" t="str">
        <x:f>IF(OR(NOT(AND(J1400="PASS",'Calibrare_Linii'!U14="VALID")),AL1400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M105)+((('Istoric_Nativ'!$E$6:$E$405='Input_Meci'!E105)+('Istoric_Nativ'!$F$6:$F$405='Input_Meci'!E105))&gt;0)*('Istoric_Nativ'!$D$6:$D$405&gt;='Motor_Meciuri'!BN105))&gt;0)*('Istoric_Nativ'!$Q$6:$Q$405&gt;H1400))/AL1400)</x:f>
      </x:c>
      <x:c r="R1400" s="10" t="str">
        <x:f>IF(OR(NOT(AND(J1400="PASS",'Calibrare_Linii'!U14="VALID")),AM1400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O105)+((('Istoric_Nativ'!$E$6:$E$405='Input_Meci'!E105)+('Istoric_Nativ'!$F$6:$F$405='Input_Meci'!E105))&gt;0)*('Istoric_Nativ'!$D$6:$D$405&gt;='Motor_Meciuri'!BP105))&gt;0)*('Istoric_Nativ'!$Q$6:$Q$405&gt;H1400))/AM1400)</x:f>
      </x:c>
      <x:c r="S1400" s="10" t="str">
        <x:f>IF(M1400="","",MAX(O1400,P1400,Q1400,R1400))</x:f>
      </x:c>
      <x:c r="T1400" s="11" t="str">
        <x:f>IF(M1400="","",MIN(100,S1400*100*'Config_v6'!$B$44+MIN(100,L1400/'Config_v6'!$B$13*100)*'Config_v6'!$B$45+(100-'Motor_Meciuri'!BF105)*'Config_v6'!$B$46+'Motor_Meciuri'!BH105*100*'Config_v6'!$B$47))</x:f>
      </x:c>
      <x:c r="U1400" s="2" t="str">
        <x:f>IF(T1400="","",IF(T1400&lt;=20,1,IF(T1400&lt;=40,2,IF(T1400&lt;=60,3,IF(T1400&lt;=80,4,5)))))</x:f>
      </x:c>
      <x:c r="V1400" s="2" t="str">
        <x:f>IF(M1400="","",MAX(0,'Motor_Meciuri'!BF105-IF(W1400="OOS PENDING",'Config_v6'!$B$35,0)-IF(L1400&gt;'Config_v6'!$B$12,'Config_v6'!$B$37,IF(L1400&gt;'Config_v6'!$B$11,'Config_v6'!$B$36,0))))</x:f>
      </x:c>
      <x:c r="W1400" s="2" t="str">
        <x:f>IF(B1400="","",IF(I1400&lt;&gt;"READY","NOT RELEASED",IF(NOT(AND(J1400="PASS",'Calibrare_Linii'!U14="VALID")),"INVALID",IF(NOT(AND('Calibrare_Linii'!S14="VALIDATED",AND('Calibrare_Linii'!H14=C1400,ISNUMBER('Calibrare_Linii'!J14),'Calibrare_Linii'!J14&lt;='Input_Meci'!G105))),"OOS PENDING",IF(S1400&lt;='Calibrare_Linii'!E14,"PASS",IF(S1400&lt;='Calibrare_Linii'!F14,"PENALTY","WATCH"))))))</x:f>
      </x:c>
      <x:c r="X1400" s="2" t="str">
        <x:f>IF(M1400="","",IF(AND(AND(J1400="PASS",'Calibrare_Linii'!U14="VALID"),'Motor_Meciuri'!K105=12,'Motor_Meciuri'!L105=12,'Motor_Meciuri'!M105="NO",'Motor_Meciuri'!BL105='Motor_Meciuri'!C105,AB1400&gt;='Config_v6'!$B$50,AN1400&gt;='Config_v6'!$B$51,T1400&lt;='Config_v6'!$B$52,L1400&lt;='Config_v6'!$B$53,ISNUMBER('Calibrare_Linii'!E14),S1400&lt;='Calibrare_Linii'!E14,SUM(AK1400:AM1400)&gt;0),"CANDIDATE","NO"))</x:f>
      </x:c>
      <x:c r="Y1400" s="2" t="str">
        <x:f>IF(B1400="","",IF(I1400&lt;&gt;"READY","NOT RELEASED",IF(AND(X1400="CANDIDATE",V1400&gt;='Config_v6'!$B$51,W1400="PASS",'Calibrare_Linii'!T14="VALIDATED",AND('Calibrare_Linii'!H14=C1400,ISNUMBER('Calibrare_Linii'!J14),'Calibrare_Linii'!J14&lt;='Input_Meci'!G105)),"PASS",IF(X1400="CANDIDATE","OOS PENDING","FAIL"))))</x:f>
      </x:c>
      <x:c r="Z1400" s="2" t="str">
        <x:f>IF(B1400="","",IF(I1400&lt;&gt;"READY","",IF(OR(NOT(AND(J1400="PASS",'Calibrare_Linii'!U14="VALID")),L1400&gt;'Config_v6'!$B$13,W1400="WATCH"),5,IF(Y1400="PASS",1,MIN(5,MAX('Config_v6'!$B$42,U1400)+IF(W1400="PENALTY",1,0))))))</x:f>
      </x:c>
      <x:c r="AA1400" s="2" t="str">
        <x:f>IF(B1400="","",IF(I1400&lt;&gt;"READY","NOT RELEASED",IF(Z1400=5,"NO BET",IF(OR(AB1400&lt;'Config_v6'!$B$16,V1400&lt;'Config_v6'!$B$18),"WATCH",IF(Z1400=1,"DEFENSIV",IF(Z1400=2,"PRUDENT",IF(Z1400=3,"MODERAT","RIDICAT")))))))</x:f>
      </x:c>
      <x:c r="AB1400" s="10" t="str">
        <x:f>IF(N1400="","",MIN(N1400,1-S1400))</x:f>
      </x:c>
      <x:c r="AC1400" s="2" t="str">
        <x:f>IF(AD1400&lt;&gt;1,"",COUNTIFS($Z$1392:$Z$1405,"&lt;"&amp;Z1400,$AD$1392:$AD$1405,1)+COUNTIFS($Z$1392:$Z$1405,Z1400,$AB$1392:$AB$1405,"&gt;"&amp;AB1400,$AD$1392:$AD$1405,1)+COUNTIFS($Z$1392:$Z$1405,Z1400,$AB$1392:$AB$1405,AB1400,$V$1392:$V$1405,"&gt;"&amp;V1400,$AD$1392:$AD$1405,1)+COUNTIFS($Z$1392:Z1400,Z1400,$AB$1392:AB1400,AB1400,$V$1392:V1400,V1400,$AD$1392:AD1400,1))</x:f>
      </x:c>
      <x:c r="AD1400" s="2" t="n">
        <x:f>IF(OR(AA1400="DEFENSIV",AA1400="PRUDENT",AA1400="MODERAT",AA1400="RIDICAT"),1,0)</x:f>
        <x:v>0</x:v>
      </x:c>
      <x:c r="AE1400" s="2" t="str">
        <x:f>IF(AD1400&lt;&gt;1,"NO",IF(W1400="PASS","YES",IF(W1400="OOS PENDING","CONDITIONAL","NO")))</x:f>
        <x:v>NO</x:v>
      </x:c>
      <x:c r="AF1400" s="2" t="n">
        <x:f>IF(AND(AD1400=1,AC1400=1,E1400="LIVE"),1,0)</x:f>
        <x:v>0</x:v>
      </x:c>
      <x:c r="AG1400" s="2" t="str">
        <x:f>IF(AF1400&lt;&gt;1,"",'Dashboard'!P125)</x:f>
      </x:c>
      <x:c r="AH1400" s="2" t="str">
        <x:f>IF(B1400="","",IF(J1400&lt;&gt;"PASS",'Motor_Meciuri'!J105,IF('Calibrare_Linii'!U14&lt;&gt;"VALID","Parametri linie invalizi",IF(L1400&gt;'Config_v6'!$B$13,"Dispersie peste limita",IF(W1400="WATCH","Failure peste limita",IF(AB1400&lt;'Config_v6'!$B$16,"P finala sub prag",IF(V1400&lt;'Config_v6'!$B$18,"Confidence sub prag",IF(E1400="REPLAY","Exemplu retrospectiv; exclus din Top LIVE",IF(Y1400="PASS","DEFENSIV validat",IF(W1400="OOS PENDING","Eligibil; calibrare linie in monitorizare","Eligibil"))))))))))</x:f>
      </x:c>
      <x:c r="AI1400" s="2" t="str">
        <x:f>IF(B1400="","",'Calibrare_Linii'!V14)</x:f>
      </x:c>
      <x:c r="AJ1400" s="2" t="str">
        <x:f>IF(B1400="","",IF(AND('Calibrare_Linii'!T14="VALIDATED",AND('Calibrare_Linii'!H14=C1400,ISNUMBER('Calibrare_Linii'!J14),'Calibrare_Linii'!J14&lt;='Input_Meci'!G105)),"DEFENSIVE VALIDATED",IF(AND('Calibrare_Linii'!S14="VALIDATED",AND('Calibrare_Linii'!H14=C1400,ISNUMBER('Calibrare_Linii'!J14),'Calibrare_Linii'!J14&lt;='Input_Meci'!G105)),"TAIL VALIDATED","OOS PENDING")))</x:f>
      </x:c>
      <x:c r="AK1400" s="2" t="n">
        <x:f>IF(J1400&lt;&gt;"PASS",0,'Motor_Meciuri'!BR105)</x:f>
        <x:v>0</x:v>
      </x:c>
      <x:c r="AL1400" s="2" t="n">
        <x:f>IF(J1400&lt;&gt;"PASS",0,'Motor_Meciuri'!BS105)</x:f>
        <x:v>0</x:v>
      </x:c>
      <x:c r="AM1400" s="2" t="n">
        <x:f>IF(J1400&lt;&gt;"PASS",0,'Motor_Meciuri'!BT105)</x:f>
        <x:v>0</x:v>
      </x:c>
      <x:c r="AN1400" s="2" t="str">
        <x:f>IF(M1400="","",MAX(0,'Motor_Meciuri'!BF105-IF(L1400&gt;'Config_v6'!$B$12,'Config_v6'!$B$37,IF(L1400&gt;'Config_v6'!$B$11,'Config_v6'!$B$36,0))))</x:f>
      </x:c>
    </x:row>
    <x:row r="1401" ht="21" customHeight="1">
      <x:c r="A1401" s="2" t="n">
        <x:v>100</x:v>
      </x:c>
      <x:c r="B1401" s="2" t="str">
        <x:f>IF('Motor_Meciuri'!A105="","",'Motor_Meciuri'!A105)</x:f>
      </x:c>
      <x:c r="C1401" s="2" t="str">
        <x:f>IF(B1401="","",'Motor_Meciuri'!B105)</x:f>
      </x:c>
      <x:c r="D1401" s="2" t="str">
        <x:f>IF(B1401="","",'Motor_Meciuri'!D105)</x:f>
      </x:c>
      <x:c r="E1401" s="2" t="str">
        <x:f>IF(B1401="","",'Motor_Meciuri'!E105)</x:f>
      </x:c>
      <x:c r="F1401" s="2" t="str">
        <x:v>U13,5</x:v>
      </x:c>
      <x:c r="G1401" s="2" t="str">
        <x:v>UNDER</x:v>
      </x:c>
      <x:c r="H1401" s="2" t="n">
        <x:v>13</x:v>
      </x:c>
      <x:c r="I1401" s="2" t="str">
        <x:f>IF(B1401="","",'Motor_Meciuri'!H105)</x:f>
      </x:c>
      <x:c r="J1401" s="2" t="str">
        <x:f>IF(B1401="","",'Motor_Meciuri'!I105)</x:f>
      </x:c>
      <x:c r="K1401" s="11" t="str">
        <x:f>IF(J1401&lt;&gt;"PASS","",'Motor_Meciuri'!BD105)</x:f>
      </x:c>
      <x:c r="L1401" s="11" t="str">
        <x:f>IF(J1401&lt;&gt;"PASS","",'Motor_Meciuri'!AU105)</x:f>
      </x:c>
      <x:c r="M1401" s="10" t="str">
        <x:f>IF(NOT(AND(J1401="PASS",'Calibrare_Linii'!U15="VALID")),"",'Distributie'!AK105)</x:f>
      </x:c>
      <x:c r="N1401" s="10" t="str">
        <x:f>IF(M1401="","",MAX(0.01,MIN(0.99,0.5+(M1401-0.5)*'Motor_Meciuri'!BG105*'Calibrare_Linii'!D15)))</x:f>
      </x:c>
      <x:c r="O1401" s="10" t="str">
        <x:f>IF(M1401="","",1-M1401)</x:f>
      </x:c>
      <x:c r="P1401" s="10" t="str">
        <x:f>IF(OR(NOT(AND(J1401="PASS",'Calibrare_Linii'!U15="VALID")),AK1401=0),""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*('Istoric_Nativ'!$Q$6:$Q$405&gt;H1401))/AK1401)</x:f>
      </x:c>
      <x:c r="Q1401" s="10" t="str">
        <x:f>IF(OR(NOT(AND(J1401="PASS",'Calibrare_Linii'!U15="VALID")),AL1401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M105)+((('Istoric_Nativ'!$E$6:$E$405='Input_Meci'!E105)+('Istoric_Nativ'!$F$6:$F$405='Input_Meci'!E105))&gt;0)*('Istoric_Nativ'!$D$6:$D$405&gt;='Motor_Meciuri'!BN105))&gt;0)*('Istoric_Nativ'!$Q$6:$Q$405&gt;H1401))/AL1401)</x:f>
      </x:c>
      <x:c r="R1401" s="10" t="str">
        <x:f>IF(OR(NOT(AND(J1401="PASS",'Calibrare_Linii'!U15="VALID")),AM1401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O105)+((('Istoric_Nativ'!$E$6:$E$405='Input_Meci'!E105)+('Istoric_Nativ'!$F$6:$F$405='Input_Meci'!E105))&gt;0)*('Istoric_Nativ'!$D$6:$D$405&gt;='Motor_Meciuri'!BP105))&gt;0)*('Istoric_Nativ'!$Q$6:$Q$405&gt;H1401))/AM1401)</x:f>
      </x:c>
      <x:c r="S1401" s="10" t="str">
        <x:f>IF(M1401="","",MAX(O1401,P1401,Q1401,R1401))</x:f>
      </x:c>
      <x:c r="T1401" s="11" t="str">
        <x:f>IF(M1401="","",MIN(100,S1401*100*'Config_v6'!$B$44+MIN(100,L1401/'Config_v6'!$B$13*100)*'Config_v6'!$B$45+(100-'Motor_Meciuri'!BF105)*'Config_v6'!$B$46+'Motor_Meciuri'!BH105*100*'Config_v6'!$B$47))</x:f>
      </x:c>
      <x:c r="U1401" s="2" t="str">
        <x:f>IF(T1401="","",IF(T1401&lt;=20,1,IF(T1401&lt;=40,2,IF(T1401&lt;=60,3,IF(T1401&lt;=80,4,5)))))</x:f>
      </x:c>
      <x:c r="V1401" s="2" t="str">
        <x:f>IF(M1401="","",MAX(0,'Motor_Meciuri'!BF105-IF(W1401="OOS PENDING",'Config_v6'!$B$35,0)-IF(L1401&gt;'Config_v6'!$B$12,'Config_v6'!$B$37,IF(L1401&gt;'Config_v6'!$B$11,'Config_v6'!$B$36,0))))</x:f>
      </x:c>
      <x:c r="W1401" s="2" t="str">
        <x:f>IF(B1401="","",IF(I1401&lt;&gt;"READY","NOT RELEASED",IF(NOT(AND(J1401="PASS",'Calibrare_Linii'!U15="VALID")),"INVALID",IF(NOT(AND('Calibrare_Linii'!S15="VALIDATED",AND('Calibrare_Linii'!H15=C1401,ISNUMBER('Calibrare_Linii'!J15),'Calibrare_Linii'!J15&lt;='Input_Meci'!G105))),"OOS PENDING",IF(S1401&lt;='Calibrare_Linii'!E15,"PASS",IF(S1401&lt;='Calibrare_Linii'!F15,"PENALTY","WATCH"))))))</x:f>
      </x:c>
      <x:c r="X1401" s="2" t="str">
        <x:f>IF(M1401="","",IF(AND(AND(J1401="PASS",'Calibrare_Linii'!U15="VALID"),'Motor_Meciuri'!K105=12,'Motor_Meciuri'!L105=12,'Motor_Meciuri'!M105="NO",'Motor_Meciuri'!BL105='Motor_Meciuri'!C105,AB1401&gt;='Config_v6'!$B$50,AN1401&gt;='Config_v6'!$B$51,T1401&lt;='Config_v6'!$B$52,L1401&lt;='Config_v6'!$B$53,ISNUMBER('Calibrare_Linii'!E15),S1401&lt;='Calibrare_Linii'!E15,SUM(AK1401:AM1401)&gt;0),"CANDIDATE","NO"))</x:f>
      </x:c>
      <x:c r="Y1401" s="2" t="str">
        <x:f>IF(B1401="","",IF(I1401&lt;&gt;"READY","NOT RELEASED",IF(AND(X1401="CANDIDATE",V1401&gt;='Config_v6'!$B$51,W1401="PASS",'Calibrare_Linii'!T15="VALIDATED",AND('Calibrare_Linii'!H15=C1401,ISNUMBER('Calibrare_Linii'!J15),'Calibrare_Linii'!J15&lt;='Input_Meci'!G105)),"PASS",IF(X1401="CANDIDATE","OOS PENDING","FAIL"))))</x:f>
      </x:c>
      <x:c r="Z1401" s="2" t="str">
        <x:f>IF(B1401="","",IF(I1401&lt;&gt;"READY","",IF(OR(NOT(AND(J1401="PASS",'Calibrare_Linii'!U15="VALID")),L1401&gt;'Config_v6'!$B$13,W1401="WATCH"),5,IF(Y1401="PASS",1,MIN(5,MAX('Config_v6'!$B$42,U1401)+IF(W1401="PENALTY",1,0))))))</x:f>
      </x:c>
      <x:c r="AA1401" s="2" t="str">
        <x:f>IF(B1401="","",IF(I1401&lt;&gt;"READY","NOT RELEASED",IF(Z1401=5,"NO BET",IF(OR(AB1401&lt;'Config_v6'!$B$16,V1401&lt;'Config_v6'!$B$18),"WATCH",IF(Z1401=1,"DEFENSIV",IF(Z1401=2,"PRUDENT",IF(Z1401=3,"MODERAT","RIDICAT")))))))</x:f>
      </x:c>
      <x:c r="AB1401" s="10" t="str">
        <x:f>IF(N1401="","",MIN(N1401,1-S1401))</x:f>
      </x:c>
      <x:c r="AC1401" s="2" t="str">
        <x:f>IF(AD1401&lt;&gt;1,"",COUNTIFS($Z$1392:$Z$1405,"&lt;"&amp;Z1401,$AD$1392:$AD$1405,1)+COUNTIFS($Z$1392:$Z$1405,Z1401,$AB$1392:$AB$1405,"&gt;"&amp;AB1401,$AD$1392:$AD$1405,1)+COUNTIFS($Z$1392:$Z$1405,Z1401,$AB$1392:$AB$1405,AB1401,$V$1392:$V$1405,"&gt;"&amp;V1401,$AD$1392:$AD$1405,1)+COUNTIFS($Z$1392:Z1401,Z1401,$AB$1392:AB1401,AB1401,$V$1392:V1401,V1401,$AD$1392:AD1401,1))</x:f>
      </x:c>
      <x:c r="AD1401" s="2" t="n">
        <x:f>IF(OR(AA1401="DEFENSIV",AA1401="PRUDENT",AA1401="MODERAT",AA1401="RIDICAT"),1,0)</x:f>
        <x:v>0</x:v>
      </x:c>
      <x:c r="AE1401" s="2" t="str">
        <x:f>IF(AD1401&lt;&gt;1,"NO",IF(W1401="PASS","YES",IF(W1401="OOS PENDING","CONDITIONAL","NO")))</x:f>
        <x:v>NO</x:v>
      </x:c>
      <x:c r="AF1401" s="2" t="n">
        <x:f>IF(AND(AD1401=1,AC1401=1,E1401="LIVE"),1,0)</x:f>
        <x:v>0</x:v>
      </x:c>
      <x:c r="AG1401" s="2" t="str">
        <x:f>IF(AF1401&lt;&gt;1,"",'Dashboard'!P125)</x:f>
      </x:c>
      <x:c r="AH1401" s="2" t="str">
        <x:f>IF(B1401="","",IF(J1401&lt;&gt;"PASS",'Motor_Meciuri'!J105,IF('Calibrare_Linii'!U15&lt;&gt;"VALID","Parametri linie invalizi",IF(L1401&gt;'Config_v6'!$B$13,"Dispersie peste limita",IF(W1401="WATCH","Failure peste limita",IF(AB1401&lt;'Config_v6'!$B$16,"P finala sub prag",IF(V1401&lt;'Config_v6'!$B$18,"Confidence sub prag",IF(E1401="REPLAY","Exemplu retrospectiv; exclus din Top LIVE",IF(Y1401="PASS","DEFENSIV validat",IF(W1401="OOS PENDING","Eligibil; calibrare linie in monitorizare","Eligibil"))))))))))</x:f>
      </x:c>
      <x:c r="AI1401" s="2" t="str">
        <x:f>IF(B1401="","",'Calibrare_Linii'!V15)</x:f>
      </x:c>
      <x:c r="AJ1401" s="2" t="str">
        <x:f>IF(B1401="","",IF(AND('Calibrare_Linii'!T15="VALIDATED",AND('Calibrare_Linii'!H15=C1401,ISNUMBER('Calibrare_Linii'!J15),'Calibrare_Linii'!J15&lt;='Input_Meci'!G105)),"DEFENSIVE VALIDATED",IF(AND('Calibrare_Linii'!S15="VALIDATED",AND('Calibrare_Linii'!H15=C1401,ISNUMBER('Calibrare_Linii'!J15),'Calibrare_Linii'!J15&lt;='Input_Meci'!G105)),"TAIL VALIDATED","OOS PENDING")))</x:f>
      </x:c>
      <x:c r="AK1401" s="2" t="n">
        <x:f>IF(J1401&lt;&gt;"PASS",0,'Motor_Meciuri'!BR105)</x:f>
        <x:v>0</x:v>
      </x:c>
      <x:c r="AL1401" s="2" t="n">
        <x:f>IF(J1401&lt;&gt;"PASS",0,'Motor_Meciuri'!BS105)</x:f>
        <x:v>0</x:v>
      </x:c>
      <x:c r="AM1401" s="2" t="n">
        <x:f>IF(J1401&lt;&gt;"PASS",0,'Motor_Meciuri'!BT105)</x:f>
        <x:v>0</x:v>
      </x:c>
      <x:c r="AN1401" s="2" t="str">
        <x:f>IF(M1401="","",MAX(0,'Motor_Meciuri'!BF105-IF(L1401&gt;'Config_v6'!$B$12,'Config_v6'!$B$37,IF(L1401&gt;'Config_v6'!$B$11,'Config_v6'!$B$36,0))))</x:f>
      </x:c>
    </x:row>
    <x:row r="1402" ht="21" customHeight="1">
      <x:c r="A1402" s="2" t="n">
        <x:v>100</x:v>
      </x:c>
      <x:c r="B1402" s="2" t="str">
        <x:f>IF('Motor_Meciuri'!A105="","",'Motor_Meciuri'!A105)</x:f>
      </x:c>
      <x:c r="C1402" s="2" t="str">
        <x:f>IF(B1402="","",'Motor_Meciuri'!B105)</x:f>
      </x:c>
      <x:c r="D1402" s="2" t="str">
        <x:f>IF(B1402="","",'Motor_Meciuri'!D105)</x:f>
      </x:c>
      <x:c r="E1402" s="2" t="str">
        <x:f>IF(B1402="","",'Motor_Meciuri'!E105)</x:f>
      </x:c>
      <x:c r="F1402" s="2" t="str">
        <x:v>U14,5</x:v>
      </x:c>
      <x:c r="G1402" s="2" t="str">
        <x:v>UNDER</x:v>
      </x:c>
      <x:c r="H1402" s="2" t="n">
        <x:v>14</x:v>
      </x:c>
      <x:c r="I1402" s="2" t="str">
        <x:f>IF(B1402="","",'Motor_Meciuri'!H105)</x:f>
      </x:c>
      <x:c r="J1402" s="2" t="str">
        <x:f>IF(B1402="","",'Motor_Meciuri'!I105)</x:f>
      </x:c>
      <x:c r="K1402" s="11" t="str">
        <x:f>IF(J1402&lt;&gt;"PASS","",'Motor_Meciuri'!BD105)</x:f>
      </x:c>
      <x:c r="L1402" s="11" t="str">
        <x:f>IF(J1402&lt;&gt;"PASS","",'Motor_Meciuri'!AU105)</x:f>
      </x:c>
      <x:c r="M1402" s="10" t="str">
        <x:f>IF(NOT(AND(J1402="PASS",'Calibrare_Linii'!U16="VALID")),"",'Distributie'!AL105)</x:f>
      </x:c>
      <x:c r="N1402" s="10" t="str">
        <x:f>IF(M1402="","",MAX(0.01,MIN(0.99,0.5+(M1402-0.5)*'Motor_Meciuri'!BG105*'Calibrare_Linii'!D16)))</x:f>
      </x:c>
      <x:c r="O1402" s="10" t="str">
        <x:f>IF(M1402="","",1-M1402)</x:f>
      </x:c>
      <x:c r="P1402" s="10" t="str">
        <x:f>IF(OR(NOT(AND(J1402="PASS",'Calibrare_Linii'!U16="VALID")),AK1402=0),""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*('Istoric_Nativ'!$Q$6:$Q$405&gt;H1402))/AK1402)</x:f>
      </x:c>
      <x:c r="Q1402" s="10" t="str">
        <x:f>IF(OR(NOT(AND(J1402="PASS",'Calibrare_Linii'!U16="VALID")),AL1402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M105)+((('Istoric_Nativ'!$E$6:$E$405='Input_Meci'!E105)+('Istoric_Nativ'!$F$6:$F$405='Input_Meci'!E105))&gt;0)*('Istoric_Nativ'!$D$6:$D$405&gt;='Motor_Meciuri'!BN105))&gt;0)*('Istoric_Nativ'!$Q$6:$Q$405&gt;H1402))/AL1402)</x:f>
      </x:c>
      <x:c r="R1402" s="10" t="str">
        <x:f>IF(OR(NOT(AND(J1402="PASS",'Calibrare_Linii'!U16="VALID")),AM1402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O105)+((('Istoric_Nativ'!$E$6:$E$405='Input_Meci'!E105)+('Istoric_Nativ'!$F$6:$F$405='Input_Meci'!E105))&gt;0)*('Istoric_Nativ'!$D$6:$D$405&gt;='Motor_Meciuri'!BP105))&gt;0)*('Istoric_Nativ'!$Q$6:$Q$405&gt;H1402))/AM1402)</x:f>
      </x:c>
      <x:c r="S1402" s="10" t="str">
        <x:f>IF(M1402="","",MAX(O1402,P1402,Q1402,R1402))</x:f>
      </x:c>
      <x:c r="T1402" s="11" t="str">
        <x:f>IF(M1402="","",MIN(100,S1402*100*'Config_v6'!$B$44+MIN(100,L1402/'Config_v6'!$B$13*100)*'Config_v6'!$B$45+(100-'Motor_Meciuri'!BF105)*'Config_v6'!$B$46+'Motor_Meciuri'!BH105*100*'Config_v6'!$B$47))</x:f>
      </x:c>
      <x:c r="U1402" s="2" t="str">
        <x:f>IF(T1402="","",IF(T1402&lt;=20,1,IF(T1402&lt;=40,2,IF(T1402&lt;=60,3,IF(T1402&lt;=80,4,5)))))</x:f>
      </x:c>
      <x:c r="V1402" s="2" t="str">
        <x:f>IF(M1402="","",MAX(0,'Motor_Meciuri'!BF105-IF(W1402="OOS PENDING",'Config_v6'!$B$35,0)-IF(L1402&gt;'Config_v6'!$B$12,'Config_v6'!$B$37,IF(L1402&gt;'Config_v6'!$B$11,'Config_v6'!$B$36,0))))</x:f>
      </x:c>
      <x:c r="W1402" s="2" t="str">
        <x:f>IF(B1402="","",IF(I1402&lt;&gt;"READY","NOT RELEASED",IF(NOT(AND(J1402="PASS",'Calibrare_Linii'!U16="VALID")),"INVALID",IF(NOT(AND('Calibrare_Linii'!S16="VALIDATED",AND('Calibrare_Linii'!H16=C1402,ISNUMBER('Calibrare_Linii'!J16),'Calibrare_Linii'!J16&lt;='Input_Meci'!G105))),"OOS PENDING",IF(S1402&lt;='Calibrare_Linii'!E16,"PASS",IF(S1402&lt;='Calibrare_Linii'!F16,"PENALTY","WATCH"))))))</x:f>
      </x:c>
      <x:c r="X1402" s="2" t="str">
        <x:f>IF(M1402="","",IF(AND(AND(J1402="PASS",'Calibrare_Linii'!U16="VALID"),'Motor_Meciuri'!K105=12,'Motor_Meciuri'!L105=12,'Motor_Meciuri'!M105="NO",'Motor_Meciuri'!BL105='Motor_Meciuri'!C105,AB1402&gt;='Config_v6'!$B$50,AN1402&gt;='Config_v6'!$B$51,T1402&lt;='Config_v6'!$B$52,L1402&lt;='Config_v6'!$B$53,ISNUMBER('Calibrare_Linii'!E16),S1402&lt;='Calibrare_Linii'!E16,SUM(AK1402:AM1402)&gt;0),"CANDIDATE","NO"))</x:f>
      </x:c>
      <x:c r="Y1402" s="2" t="str">
        <x:f>IF(B1402="","",IF(I1402&lt;&gt;"READY","NOT RELEASED",IF(AND(X1402="CANDIDATE",V1402&gt;='Config_v6'!$B$51,W1402="PASS",'Calibrare_Linii'!T16="VALIDATED",AND('Calibrare_Linii'!H16=C1402,ISNUMBER('Calibrare_Linii'!J16),'Calibrare_Linii'!J16&lt;='Input_Meci'!G105)),"PASS",IF(X1402="CANDIDATE","OOS PENDING","FAIL"))))</x:f>
      </x:c>
      <x:c r="Z1402" s="2" t="str">
        <x:f>IF(B1402="","",IF(I1402&lt;&gt;"READY","",IF(OR(NOT(AND(J1402="PASS",'Calibrare_Linii'!U16="VALID")),L1402&gt;'Config_v6'!$B$13,W1402="WATCH"),5,IF(Y1402="PASS",1,MIN(5,MAX('Config_v6'!$B$42,U1402)+IF(W1402="PENALTY",1,0))))))</x:f>
      </x:c>
      <x:c r="AA1402" s="2" t="str">
        <x:f>IF(B1402="","",IF(I1402&lt;&gt;"READY","NOT RELEASED",IF(Z1402=5,"NO BET",IF(OR(AB1402&lt;'Config_v6'!$B$16,V1402&lt;'Config_v6'!$B$18),"WATCH",IF(Z1402=1,"DEFENSIV",IF(Z1402=2,"PRUDENT",IF(Z1402=3,"MODERAT","RIDICAT")))))))</x:f>
      </x:c>
      <x:c r="AB1402" s="10" t="str">
        <x:f>IF(N1402="","",MIN(N1402,1-S1402))</x:f>
      </x:c>
      <x:c r="AC1402" s="2" t="str">
        <x:f>IF(AD1402&lt;&gt;1,"",COUNTIFS($Z$1392:$Z$1405,"&lt;"&amp;Z1402,$AD$1392:$AD$1405,1)+COUNTIFS($Z$1392:$Z$1405,Z1402,$AB$1392:$AB$1405,"&gt;"&amp;AB1402,$AD$1392:$AD$1405,1)+COUNTIFS($Z$1392:$Z$1405,Z1402,$AB$1392:$AB$1405,AB1402,$V$1392:$V$1405,"&gt;"&amp;V1402,$AD$1392:$AD$1405,1)+COUNTIFS($Z$1392:Z1402,Z1402,$AB$1392:AB1402,AB1402,$V$1392:V1402,V1402,$AD$1392:AD1402,1))</x:f>
      </x:c>
      <x:c r="AD1402" s="2" t="n">
        <x:f>IF(OR(AA1402="DEFENSIV",AA1402="PRUDENT",AA1402="MODERAT",AA1402="RIDICAT"),1,0)</x:f>
        <x:v>0</x:v>
      </x:c>
      <x:c r="AE1402" s="2" t="str">
        <x:f>IF(AD1402&lt;&gt;1,"NO",IF(W1402="PASS","YES",IF(W1402="OOS PENDING","CONDITIONAL","NO")))</x:f>
        <x:v>NO</x:v>
      </x:c>
      <x:c r="AF1402" s="2" t="n">
        <x:f>IF(AND(AD1402=1,AC1402=1,E1402="LIVE"),1,0)</x:f>
        <x:v>0</x:v>
      </x:c>
      <x:c r="AG1402" s="2" t="str">
        <x:f>IF(AF1402&lt;&gt;1,"",'Dashboard'!P125)</x:f>
      </x:c>
      <x:c r="AH1402" s="2" t="str">
        <x:f>IF(B1402="","",IF(J1402&lt;&gt;"PASS",'Motor_Meciuri'!J105,IF('Calibrare_Linii'!U16&lt;&gt;"VALID","Parametri linie invalizi",IF(L1402&gt;'Config_v6'!$B$13,"Dispersie peste limita",IF(W1402="WATCH","Failure peste limita",IF(AB1402&lt;'Config_v6'!$B$16,"P finala sub prag",IF(V1402&lt;'Config_v6'!$B$18,"Confidence sub prag",IF(E1402="REPLAY","Exemplu retrospectiv; exclus din Top LIVE",IF(Y1402="PASS","DEFENSIV validat",IF(W1402="OOS PENDING","Eligibil; calibrare linie in monitorizare","Eligibil"))))))))))</x:f>
      </x:c>
      <x:c r="AI1402" s="2" t="str">
        <x:f>IF(B1402="","",'Calibrare_Linii'!V16)</x:f>
      </x:c>
      <x:c r="AJ1402" s="2" t="str">
        <x:f>IF(B1402="","",IF(AND('Calibrare_Linii'!T16="VALIDATED",AND('Calibrare_Linii'!H16=C1402,ISNUMBER('Calibrare_Linii'!J16),'Calibrare_Linii'!J16&lt;='Input_Meci'!G105)),"DEFENSIVE VALIDATED",IF(AND('Calibrare_Linii'!S16="VALIDATED",AND('Calibrare_Linii'!H16=C1402,ISNUMBER('Calibrare_Linii'!J16),'Calibrare_Linii'!J16&lt;='Input_Meci'!G105)),"TAIL VALIDATED","OOS PENDING")))</x:f>
      </x:c>
      <x:c r="AK1402" s="2" t="n">
        <x:f>IF(J1402&lt;&gt;"PASS",0,'Motor_Meciuri'!BR105)</x:f>
        <x:v>0</x:v>
      </x:c>
      <x:c r="AL1402" s="2" t="n">
        <x:f>IF(J1402&lt;&gt;"PASS",0,'Motor_Meciuri'!BS105)</x:f>
        <x:v>0</x:v>
      </x:c>
      <x:c r="AM1402" s="2" t="n">
        <x:f>IF(J1402&lt;&gt;"PASS",0,'Motor_Meciuri'!BT105)</x:f>
        <x:v>0</x:v>
      </x:c>
      <x:c r="AN1402" s="2" t="str">
        <x:f>IF(M1402="","",MAX(0,'Motor_Meciuri'!BF105-IF(L1402&gt;'Config_v6'!$B$12,'Config_v6'!$B$37,IF(L1402&gt;'Config_v6'!$B$11,'Config_v6'!$B$36,0))))</x:f>
      </x:c>
    </x:row>
    <x:row r="1403" ht="21" customHeight="1">
      <x:c r="A1403" s="2" t="n">
        <x:v>100</x:v>
      </x:c>
      <x:c r="B1403" s="2" t="str">
        <x:f>IF('Motor_Meciuri'!A105="","",'Motor_Meciuri'!A105)</x:f>
      </x:c>
      <x:c r="C1403" s="2" t="str">
        <x:f>IF(B1403="","",'Motor_Meciuri'!B105)</x:f>
      </x:c>
      <x:c r="D1403" s="2" t="str">
        <x:f>IF(B1403="","",'Motor_Meciuri'!D105)</x:f>
      </x:c>
      <x:c r="E1403" s="2" t="str">
        <x:f>IF(B1403="","",'Motor_Meciuri'!E105)</x:f>
      </x:c>
      <x:c r="F1403" s="2" t="str">
        <x:v>U15,5</x:v>
      </x:c>
      <x:c r="G1403" s="2" t="str">
        <x:v>UNDER</x:v>
      </x:c>
      <x:c r="H1403" s="2" t="n">
        <x:v>15</x:v>
      </x:c>
      <x:c r="I1403" s="2" t="str">
        <x:f>IF(B1403="","",'Motor_Meciuri'!H105)</x:f>
      </x:c>
      <x:c r="J1403" s="2" t="str">
        <x:f>IF(B1403="","",'Motor_Meciuri'!I105)</x:f>
      </x:c>
      <x:c r="K1403" s="11" t="str">
        <x:f>IF(J1403&lt;&gt;"PASS","",'Motor_Meciuri'!BD105)</x:f>
      </x:c>
      <x:c r="L1403" s="11" t="str">
        <x:f>IF(J1403&lt;&gt;"PASS","",'Motor_Meciuri'!AU105)</x:f>
      </x:c>
      <x:c r="M1403" s="10" t="str">
        <x:f>IF(NOT(AND(J1403="PASS",'Calibrare_Linii'!U17="VALID")),"",'Distributie'!AM105)</x:f>
      </x:c>
      <x:c r="N1403" s="10" t="str">
        <x:f>IF(M1403="","",MAX(0.01,MIN(0.99,0.5+(M1403-0.5)*'Motor_Meciuri'!BG105*'Calibrare_Linii'!D17)))</x:f>
      </x:c>
      <x:c r="O1403" s="10" t="str">
        <x:f>IF(M1403="","",1-M1403)</x:f>
      </x:c>
      <x:c r="P1403" s="10" t="str">
        <x:f>IF(OR(NOT(AND(J1403="PASS",'Calibrare_Linii'!U17="VALID")),AK1403=0),""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*('Istoric_Nativ'!$Q$6:$Q$405&gt;H1403))/AK1403)</x:f>
      </x:c>
      <x:c r="Q1403" s="10" t="str">
        <x:f>IF(OR(NOT(AND(J1403="PASS",'Calibrare_Linii'!U17="VALID")),AL1403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M105)+((('Istoric_Nativ'!$E$6:$E$405='Input_Meci'!E105)+('Istoric_Nativ'!$F$6:$F$405='Input_Meci'!E105))&gt;0)*('Istoric_Nativ'!$D$6:$D$405&gt;='Motor_Meciuri'!BN105))&gt;0)*('Istoric_Nativ'!$Q$6:$Q$405&gt;H1403))/AL1403)</x:f>
      </x:c>
      <x:c r="R1403" s="10" t="str">
        <x:f>IF(OR(NOT(AND(J1403="PASS",'Calibrare_Linii'!U17="VALID")),AM1403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O105)+((('Istoric_Nativ'!$E$6:$E$405='Input_Meci'!E105)+('Istoric_Nativ'!$F$6:$F$405='Input_Meci'!E105))&gt;0)*('Istoric_Nativ'!$D$6:$D$405&gt;='Motor_Meciuri'!BP105))&gt;0)*('Istoric_Nativ'!$Q$6:$Q$405&gt;H1403))/AM1403)</x:f>
      </x:c>
      <x:c r="S1403" s="10" t="str">
        <x:f>IF(M1403="","",MAX(O1403,P1403,Q1403,R1403))</x:f>
      </x:c>
      <x:c r="T1403" s="11" t="str">
        <x:f>IF(M1403="","",MIN(100,S1403*100*'Config_v6'!$B$44+MIN(100,L1403/'Config_v6'!$B$13*100)*'Config_v6'!$B$45+(100-'Motor_Meciuri'!BF105)*'Config_v6'!$B$46+'Motor_Meciuri'!BH105*100*'Config_v6'!$B$47))</x:f>
      </x:c>
      <x:c r="U1403" s="2" t="str">
        <x:f>IF(T1403="","",IF(T1403&lt;=20,1,IF(T1403&lt;=40,2,IF(T1403&lt;=60,3,IF(T1403&lt;=80,4,5)))))</x:f>
      </x:c>
      <x:c r="V1403" s="2" t="str">
        <x:f>IF(M1403="","",MAX(0,'Motor_Meciuri'!BF105-IF(W1403="OOS PENDING",'Config_v6'!$B$35,0)-IF(L1403&gt;'Config_v6'!$B$12,'Config_v6'!$B$37,IF(L1403&gt;'Config_v6'!$B$11,'Config_v6'!$B$36,0))))</x:f>
      </x:c>
      <x:c r="W1403" s="2" t="str">
        <x:f>IF(B1403="","",IF(I1403&lt;&gt;"READY","NOT RELEASED",IF(NOT(AND(J1403="PASS",'Calibrare_Linii'!U17="VALID")),"INVALID",IF(NOT(AND('Calibrare_Linii'!S17="VALIDATED",AND('Calibrare_Linii'!H17=C1403,ISNUMBER('Calibrare_Linii'!J17),'Calibrare_Linii'!J17&lt;='Input_Meci'!G105))),"OOS PENDING",IF(S1403&lt;='Calibrare_Linii'!E17,"PASS",IF(S1403&lt;='Calibrare_Linii'!F17,"PENALTY","WATCH"))))))</x:f>
      </x:c>
      <x:c r="X1403" s="2" t="str">
        <x:f>IF(M1403="","",IF(AND(AND(J1403="PASS",'Calibrare_Linii'!U17="VALID"),'Motor_Meciuri'!K105=12,'Motor_Meciuri'!L105=12,'Motor_Meciuri'!M105="NO",'Motor_Meciuri'!BL105='Motor_Meciuri'!C105,AB1403&gt;='Config_v6'!$B$50,AN1403&gt;='Config_v6'!$B$51,T1403&lt;='Config_v6'!$B$52,L1403&lt;='Config_v6'!$B$53,ISNUMBER('Calibrare_Linii'!E17),S1403&lt;='Calibrare_Linii'!E17,SUM(AK1403:AM1403)&gt;0),"CANDIDATE","NO"))</x:f>
      </x:c>
      <x:c r="Y1403" s="2" t="str">
        <x:f>IF(B1403="","",IF(I1403&lt;&gt;"READY","NOT RELEASED",IF(AND(X1403="CANDIDATE",V1403&gt;='Config_v6'!$B$51,W1403="PASS",'Calibrare_Linii'!T17="VALIDATED",AND('Calibrare_Linii'!H17=C1403,ISNUMBER('Calibrare_Linii'!J17),'Calibrare_Linii'!J17&lt;='Input_Meci'!G105)),"PASS",IF(X1403="CANDIDATE","OOS PENDING","FAIL"))))</x:f>
      </x:c>
      <x:c r="Z1403" s="2" t="str">
        <x:f>IF(B1403="","",IF(I1403&lt;&gt;"READY","",IF(OR(NOT(AND(J1403="PASS",'Calibrare_Linii'!U17="VALID")),L1403&gt;'Config_v6'!$B$13,W1403="WATCH"),5,IF(Y1403="PASS",1,MIN(5,MAX('Config_v6'!$B$42,U1403)+IF(W1403="PENALTY",1,0))))))</x:f>
      </x:c>
      <x:c r="AA1403" s="2" t="str">
        <x:f>IF(B1403="","",IF(I1403&lt;&gt;"READY","NOT RELEASED",IF(Z1403=5,"NO BET",IF(OR(AB1403&lt;'Config_v6'!$B$16,V1403&lt;'Config_v6'!$B$18),"WATCH",IF(Z1403=1,"DEFENSIV",IF(Z1403=2,"PRUDENT",IF(Z1403=3,"MODERAT","RIDICAT")))))))</x:f>
      </x:c>
      <x:c r="AB1403" s="10" t="str">
        <x:f>IF(N1403="","",MIN(N1403,1-S1403))</x:f>
      </x:c>
      <x:c r="AC1403" s="2" t="str">
        <x:f>IF(AD1403&lt;&gt;1,"",COUNTIFS($Z$1392:$Z$1405,"&lt;"&amp;Z1403,$AD$1392:$AD$1405,1)+COUNTIFS($Z$1392:$Z$1405,Z1403,$AB$1392:$AB$1405,"&gt;"&amp;AB1403,$AD$1392:$AD$1405,1)+COUNTIFS($Z$1392:$Z$1405,Z1403,$AB$1392:$AB$1405,AB1403,$V$1392:$V$1405,"&gt;"&amp;V1403,$AD$1392:$AD$1405,1)+COUNTIFS($Z$1392:Z1403,Z1403,$AB$1392:AB1403,AB1403,$V$1392:V1403,V1403,$AD$1392:AD1403,1))</x:f>
      </x:c>
      <x:c r="AD1403" s="2" t="n">
        <x:f>IF(OR(AA1403="DEFENSIV",AA1403="PRUDENT",AA1403="MODERAT",AA1403="RIDICAT"),1,0)</x:f>
        <x:v>0</x:v>
      </x:c>
      <x:c r="AE1403" s="2" t="str">
        <x:f>IF(AD1403&lt;&gt;1,"NO",IF(W1403="PASS","YES",IF(W1403="OOS PENDING","CONDITIONAL","NO")))</x:f>
        <x:v>NO</x:v>
      </x:c>
      <x:c r="AF1403" s="2" t="n">
        <x:f>IF(AND(AD1403=1,AC1403=1,E1403="LIVE"),1,0)</x:f>
        <x:v>0</x:v>
      </x:c>
      <x:c r="AG1403" s="2" t="str">
        <x:f>IF(AF1403&lt;&gt;1,"",'Dashboard'!P125)</x:f>
      </x:c>
      <x:c r="AH1403" s="2" t="str">
        <x:f>IF(B1403="","",IF(J1403&lt;&gt;"PASS",'Motor_Meciuri'!J105,IF('Calibrare_Linii'!U17&lt;&gt;"VALID","Parametri linie invalizi",IF(L1403&gt;'Config_v6'!$B$13,"Dispersie peste limita",IF(W1403="WATCH","Failure peste limita",IF(AB1403&lt;'Config_v6'!$B$16,"P finala sub prag",IF(V1403&lt;'Config_v6'!$B$18,"Confidence sub prag",IF(E1403="REPLAY","Exemplu retrospectiv; exclus din Top LIVE",IF(Y1403="PASS","DEFENSIV validat",IF(W1403="OOS PENDING","Eligibil; calibrare linie in monitorizare","Eligibil"))))))))))</x:f>
      </x:c>
      <x:c r="AI1403" s="2" t="str">
        <x:f>IF(B1403="","",'Calibrare_Linii'!V17)</x:f>
      </x:c>
      <x:c r="AJ1403" s="2" t="str">
        <x:f>IF(B1403="","",IF(AND('Calibrare_Linii'!T17="VALIDATED",AND('Calibrare_Linii'!H17=C1403,ISNUMBER('Calibrare_Linii'!J17),'Calibrare_Linii'!J17&lt;='Input_Meci'!G105)),"DEFENSIVE VALIDATED",IF(AND('Calibrare_Linii'!S17="VALIDATED",AND('Calibrare_Linii'!H17=C1403,ISNUMBER('Calibrare_Linii'!J17),'Calibrare_Linii'!J17&lt;='Input_Meci'!G105)),"TAIL VALIDATED","OOS PENDING")))</x:f>
      </x:c>
      <x:c r="AK1403" s="2" t="n">
        <x:f>IF(J1403&lt;&gt;"PASS",0,'Motor_Meciuri'!BR105)</x:f>
        <x:v>0</x:v>
      </x:c>
      <x:c r="AL1403" s="2" t="n">
        <x:f>IF(J1403&lt;&gt;"PASS",0,'Motor_Meciuri'!BS105)</x:f>
        <x:v>0</x:v>
      </x:c>
      <x:c r="AM1403" s="2" t="n">
        <x:f>IF(J1403&lt;&gt;"PASS",0,'Motor_Meciuri'!BT105)</x:f>
        <x:v>0</x:v>
      </x:c>
      <x:c r="AN1403" s="2" t="str">
        <x:f>IF(M1403="","",MAX(0,'Motor_Meciuri'!BF105-IF(L1403&gt;'Config_v6'!$B$12,'Config_v6'!$B$37,IF(L1403&gt;'Config_v6'!$B$11,'Config_v6'!$B$36,0))))</x:f>
      </x:c>
    </x:row>
    <x:row r="1404" ht="21" customHeight="1">
      <x:c r="A1404" s="2" t="n">
        <x:v>100</x:v>
      </x:c>
      <x:c r="B1404" s="2" t="str">
        <x:f>IF('Motor_Meciuri'!A105="","",'Motor_Meciuri'!A105)</x:f>
      </x:c>
      <x:c r="C1404" s="2" t="str">
        <x:f>IF(B1404="","",'Motor_Meciuri'!B105)</x:f>
      </x:c>
      <x:c r="D1404" s="2" t="str">
        <x:f>IF(B1404="","",'Motor_Meciuri'!D105)</x:f>
      </x:c>
      <x:c r="E1404" s="2" t="str">
        <x:f>IF(B1404="","",'Motor_Meciuri'!E105)</x:f>
      </x:c>
      <x:c r="F1404" s="2" t="str">
        <x:v>U16,5</x:v>
      </x:c>
      <x:c r="G1404" s="2" t="str">
        <x:v>UNDER</x:v>
      </x:c>
      <x:c r="H1404" s="2" t="n">
        <x:v>16</x:v>
      </x:c>
      <x:c r="I1404" s="2" t="str">
        <x:f>IF(B1404="","",'Motor_Meciuri'!H105)</x:f>
      </x:c>
      <x:c r="J1404" s="2" t="str">
        <x:f>IF(B1404="","",'Motor_Meciuri'!I105)</x:f>
      </x:c>
      <x:c r="K1404" s="11" t="str">
        <x:f>IF(J1404&lt;&gt;"PASS","",'Motor_Meciuri'!BD105)</x:f>
      </x:c>
      <x:c r="L1404" s="11" t="str">
        <x:f>IF(J1404&lt;&gt;"PASS","",'Motor_Meciuri'!AU105)</x:f>
      </x:c>
      <x:c r="M1404" s="10" t="str">
        <x:f>IF(NOT(AND(J1404="PASS",'Calibrare_Linii'!U18="VALID")),"",'Distributie'!AN105)</x:f>
      </x:c>
      <x:c r="N1404" s="10" t="str">
        <x:f>IF(M1404="","",MAX(0.01,MIN(0.99,0.5+(M1404-0.5)*'Motor_Meciuri'!BG105*'Calibrare_Linii'!D18)))</x:f>
      </x:c>
      <x:c r="O1404" s="10" t="str">
        <x:f>IF(M1404="","",1-M1404)</x:f>
      </x:c>
      <x:c r="P1404" s="10" t="str">
        <x:f>IF(OR(NOT(AND(J1404="PASS",'Calibrare_Linii'!U18="VALID")),AK1404=0),""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*('Istoric_Nativ'!$Q$6:$Q$405&gt;H1404))/AK1404)</x:f>
      </x:c>
      <x:c r="Q1404" s="10" t="str">
        <x:f>IF(OR(NOT(AND(J1404="PASS",'Calibrare_Linii'!U18="VALID")),AL1404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M105)+((('Istoric_Nativ'!$E$6:$E$405='Input_Meci'!E105)+('Istoric_Nativ'!$F$6:$F$405='Input_Meci'!E105))&gt;0)*('Istoric_Nativ'!$D$6:$D$405&gt;='Motor_Meciuri'!BN105))&gt;0)*('Istoric_Nativ'!$Q$6:$Q$405&gt;H1404))/AL1404)</x:f>
      </x:c>
      <x:c r="R1404" s="10" t="str">
        <x:f>IF(OR(NOT(AND(J1404="PASS",'Calibrare_Linii'!U18="VALID")),AM1404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O105)+((('Istoric_Nativ'!$E$6:$E$405='Input_Meci'!E105)+('Istoric_Nativ'!$F$6:$F$405='Input_Meci'!E105))&gt;0)*('Istoric_Nativ'!$D$6:$D$405&gt;='Motor_Meciuri'!BP105))&gt;0)*('Istoric_Nativ'!$Q$6:$Q$405&gt;H1404))/AM1404)</x:f>
      </x:c>
      <x:c r="S1404" s="10" t="str">
        <x:f>IF(M1404="","",MAX(O1404,P1404,Q1404,R1404))</x:f>
      </x:c>
      <x:c r="T1404" s="11" t="str">
        <x:f>IF(M1404="","",MIN(100,S1404*100*'Config_v6'!$B$44+MIN(100,L1404/'Config_v6'!$B$13*100)*'Config_v6'!$B$45+(100-'Motor_Meciuri'!BF105)*'Config_v6'!$B$46+'Motor_Meciuri'!BH105*100*'Config_v6'!$B$47))</x:f>
      </x:c>
      <x:c r="U1404" s="2" t="str">
        <x:f>IF(T1404="","",IF(T1404&lt;=20,1,IF(T1404&lt;=40,2,IF(T1404&lt;=60,3,IF(T1404&lt;=80,4,5)))))</x:f>
      </x:c>
      <x:c r="V1404" s="2" t="str">
        <x:f>IF(M1404="","",MAX(0,'Motor_Meciuri'!BF105-IF(W1404="OOS PENDING",'Config_v6'!$B$35,0)-IF(L1404&gt;'Config_v6'!$B$12,'Config_v6'!$B$37,IF(L1404&gt;'Config_v6'!$B$11,'Config_v6'!$B$36,0))))</x:f>
      </x:c>
      <x:c r="W1404" s="2" t="str">
        <x:f>IF(B1404="","",IF(I1404&lt;&gt;"READY","NOT RELEASED",IF(NOT(AND(J1404="PASS",'Calibrare_Linii'!U18="VALID")),"INVALID",IF(NOT(AND('Calibrare_Linii'!S18="VALIDATED",AND('Calibrare_Linii'!H18=C1404,ISNUMBER('Calibrare_Linii'!J18),'Calibrare_Linii'!J18&lt;='Input_Meci'!G105))),"OOS PENDING",IF(S1404&lt;='Calibrare_Linii'!E18,"PASS",IF(S1404&lt;='Calibrare_Linii'!F18,"PENALTY","WATCH"))))))</x:f>
      </x:c>
      <x:c r="X1404" s="2" t="str">
        <x:f>IF(M1404="","",IF(AND(AND(J1404="PASS",'Calibrare_Linii'!U18="VALID"),'Motor_Meciuri'!K105=12,'Motor_Meciuri'!L105=12,'Motor_Meciuri'!M105="NO",'Motor_Meciuri'!BL105='Motor_Meciuri'!C105,AB1404&gt;='Config_v6'!$B$50,AN1404&gt;='Config_v6'!$B$51,T1404&lt;='Config_v6'!$B$52,L1404&lt;='Config_v6'!$B$53,ISNUMBER('Calibrare_Linii'!E18),S1404&lt;='Calibrare_Linii'!E18,SUM(AK1404:AM1404)&gt;0),"CANDIDATE","NO"))</x:f>
      </x:c>
      <x:c r="Y1404" s="2" t="str">
        <x:f>IF(B1404="","",IF(I1404&lt;&gt;"READY","NOT RELEASED",IF(AND(X1404="CANDIDATE",V1404&gt;='Config_v6'!$B$51,W1404="PASS",'Calibrare_Linii'!T18="VALIDATED",AND('Calibrare_Linii'!H18=C1404,ISNUMBER('Calibrare_Linii'!J18),'Calibrare_Linii'!J18&lt;='Input_Meci'!G105)),"PASS",IF(X1404="CANDIDATE","OOS PENDING","FAIL"))))</x:f>
      </x:c>
      <x:c r="Z1404" s="2" t="str">
        <x:f>IF(B1404="","",IF(I1404&lt;&gt;"READY","",IF(OR(NOT(AND(J1404="PASS",'Calibrare_Linii'!U18="VALID")),L1404&gt;'Config_v6'!$B$13,W1404="WATCH"),5,IF(Y1404="PASS",1,MIN(5,MAX('Config_v6'!$B$42,U1404)+IF(W1404="PENALTY",1,0))))))</x:f>
      </x:c>
      <x:c r="AA1404" s="2" t="str">
        <x:f>IF(B1404="","",IF(I1404&lt;&gt;"READY","NOT RELEASED",IF(Z1404=5,"NO BET",IF(OR(AB1404&lt;'Config_v6'!$B$16,V1404&lt;'Config_v6'!$B$18),"WATCH",IF(Z1404=1,"DEFENSIV",IF(Z1404=2,"PRUDENT",IF(Z1404=3,"MODERAT","RIDICAT")))))))</x:f>
      </x:c>
      <x:c r="AB1404" s="10" t="str">
        <x:f>IF(N1404="","",MIN(N1404,1-S1404))</x:f>
      </x:c>
      <x:c r="AC1404" s="2" t="str">
        <x:f>IF(AD1404&lt;&gt;1,"",COUNTIFS($Z$1392:$Z$1405,"&lt;"&amp;Z1404,$AD$1392:$AD$1405,1)+COUNTIFS($Z$1392:$Z$1405,Z1404,$AB$1392:$AB$1405,"&gt;"&amp;AB1404,$AD$1392:$AD$1405,1)+COUNTIFS($Z$1392:$Z$1405,Z1404,$AB$1392:$AB$1405,AB1404,$V$1392:$V$1405,"&gt;"&amp;V1404,$AD$1392:$AD$1405,1)+COUNTIFS($Z$1392:Z1404,Z1404,$AB$1392:AB1404,AB1404,$V$1392:V1404,V1404,$AD$1392:AD1404,1))</x:f>
      </x:c>
      <x:c r="AD1404" s="2" t="n">
        <x:f>IF(OR(AA1404="DEFENSIV",AA1404="PRUDENT",AA1404="MODERAT",AA1404="RIDICAT"),1,0)</x:f>
        <x:v>0</x:v>
      </x:c>
      <x:c r="AE1404" s="2" t="str">
        <x:f>IF(AD1404&lt;&gt;1,"NO",IF(W1404="PASS","YES",IF(W1404="OOS PENDING","CONDITIONAL","NO")))</x:f>
        <x:v>NO</x:v>
      </x:c>
      <x:c r="AF1404" s="2" t="n">
        <x:f>IF(AND(AD1404=1,AC1404=1,E1404="LIVE"),1,0)</x:f>
        <x:v>0</x:v>
      </x:c>
      <x:c r="AG1404" s="2" t="str">
        <x:f>IF(AF1404&lt;&gt;1,"",'Dashboard'!P125)</x:f>
      </x:c>
      <x:c r="AH1404" s="2" t="str">
        <x:f>IF(B1404="","",IF(J1404&lt;&gt;"PASS",'Motor_Meciuri'!J105,IF('Calibrare_Linii'!U18&lt;&gt;"VALID","Parametri linie invalizi",IF(L1404&gt;'Config_v6'!$B$13,"Dispersie peste limita",IF(W1404="WATCH","Failure peste limita",IF(AB1404&lt;'Config_v6'!$B$16,"P finala sub prag",IF(V1404&lt;'Config_v6'!$B$18,"Confidence sub prag",IF(E1404="REPLAY","Exemplu retrospectiv; exclus din Top LIVE",IF(Y1404="PASS","DEFENSIV validat",IF(W1404="OOS PENDING","Eligibil; calibrare linie in monitorizare","Eligibil"))))))))))</x:f>
      </x:c>
      <x:c r="AI1404" s="2" t="str">
        <x:f>IF(B1404="","",'Calibrare_Linii'!V18)</x:f>
      </x:c>
      <x:c r="AJ1404" s="2" t="str">
        <x:f>IF(B1404="","",IF(AND('Calibrare_Linii'!T18="VALIDATED",AND('Calibrare_Linii'!H18=C1404,ISNUMBER('Calibrare_Linii'!J18),'Calibrare_Linii'!J18&lt;='Input_Meci'!G105)),"DEFENSIVE VALIDATED",IF(AND('Calibrare_Linii'!S18="VALIDATED",AND('Calibrare_Linii'!H18=C1404,ISNUMBER('Calibrare_Linii'!J18),'Calibrare_Linii'!J18&lt;='Input_Meci'!G105)),"TAIL VALIDATED","OOS PENDING")))</x:f>
      </x:c>
      <x:c r="AK1404" s="2" t="n">
        <x:f>IF(J1404&lt;&gt;"PASS",0,'Motor_Meciuri'!BR105)</x:f>
        <x:v>0</x:v>
      </x:c>
      <x:c r="AL1404" s="2" t="n">
        <x:f>IF(J1404&lt;&gt;"PASS",0,'Motor_Meciuri'!BS105)</x:f>
        <x:v>0</x:v>
      </x:c>
      <x:c r="AM1404" s="2" t="n">
        <x:f>IF(J1404&lt;&gt;"PASS",0,'Motor_Meciuri'!BT105)</x:f>
        <x:v>0</x:v>
      </x:c>
      <x:c r="AN1404" s="2" t="str">
        <x:f>IF(M1404="","",MAX(0,'Motor_Meciuri'!BF105-IF(L1404&gt;'Config_v6'!$B$12,'Config_v6'!$B$37,IF(L1404&gt;'Config_v6'!$B$11,'Config_v6'!$B$36,0))))</x:f>
      </x:c>
    </x:row>
    <x:row r="1405" ht="21" customHeight="1">
      <x:c r="A1405" s="2" t="n">
        <x:v>100</x:v>
      </x:c>
      <x:c r="B1405" s="2" t="str">
        <x:f>IF('Motor_Meciuri'!A105="","",'Motor_Meciuri'!A105)</x:f>
      </x:c>
      <x:c r="C1405" s="2" t="str">
        <x:f>IF(B1405="","",'Motor_Meciuri'!B105)</x:f>
      </x:c>
      <x:c r="D1405" s="2" t="str">
        <x:f>IF(B1405="","",'Motor_Meciuri'!D105)</x:f>
      </x:c>
      <x:c r="E1405" s="2" t="str">
        <x:f>IF(B1405="","",'Motor_Meciuri'!E105)</x:f>
      </x:c>
      <x:c r="F1405" s="2" t="str">
        <x:v>U17,5</x:v>
      </x:c>
      <x:c r="G1405" s="2" t="str">
        <x:v>UNDER</x:v>
      </x:c>
      <x:c r="H1405" s="2" t="n">
        <x:v>17</x:v>
      </x:c>
      <x:c r="I1405" s="2" t="str">
        <x:f>IF(B1405="","",'Motor_Meciuri'!H105)</x:f>
      </x:c>
      <x:c r="J1405" s="2" t="str">
        <x:f>IF(B1405="","",'Motor_Meciuri'!I105)</x:f>
      </x:c>
      <x:c r="K1405" s="11" t="str">
        <x:f>IF(J1405&lt;&gt;"PASS","",'Motor_Meciuri'!BD105)</x:f>
      </x:c>
      <x:c r="L1405" s="11" t="str">
        <x:f>IF(J1405&lt;&gt;"PASS","",'Motor_Meciuri'!AU105)</x:f>
      </x:c>
      <x:c r="M1405" s="10" t="str">
        <x:f>IF(NOT(AND(J1405="PASS",'Calibrare_Linii'!U19="VALID")),"",'Distributie'!AO105)</x:f>
      </x:c>
      <x:c r="N1405" s="10" t="str">
        <x:f>IF(M1405="","",MAX(0.01,MIN(0.99,0.5+(M1405-0.5)*'Motor_Meciuri'!BG105*'Calibrare_Linii'!D19)))</x:f>
      </x:c>
      <x:c r="O1405" s="10" t="str">
        <x:f>IF(M1405="","",1-M1405)</x:f>
      </x:c>
      <x:c r="P1405" s="10" t="str">
        <x:f>IF(OR(NOT(AND(J1405="PASS",'Calibrare_Linii'!U19="VALID")),AK1405=0),""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*('Istoric_Nativ'!$Q$6:$Q$405&gt;H1405))/AK1405)</x:f>
      </x:c>
      <x:c r="Q1405" s="10" t="str">
        <x:f>IF(OR(NOT(AND(J1405="PASS",'Calibrare_Linii'!U19="VALID")),AL1405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M105)+((('Istoric_Nativ'!$E$6:$E$405='Input_Meci'!E105)+('Istoric_Nativ'!$F$6:$F$405='Input_Meci'!E105))&gt;0)*('Istoric_Nativ'!$D$6:$D$405&gt;='Motor_Meciuri'!BN105))&gt;0)*('Istoric_Nativ'!$Q$6:$Q$405&gt;H1405))/AL1405)</x:f>
      </x:c>
      <x:c r="R1405" s="10" t="str">
        <x:f>IF(OR(NOT(AND(J1405="PASS",'Calibrare_Linii'!U19="VALID")),AM1405=0),""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'Motor_Meciuri'!BO105)+((('Istoric_Nativ'!$E$6:$E$405='Input_Meci'!E105)+('Istoric_Nativ'!$F$6:$F$405='Input_Meci'!E105))&gt;0)*('Istoric_Nativ'!$D$6:$D$405&gt;='Motor_Meciuri'!BP105))&gt;0)*('Istoric_Nativ'!$Q$6:$Q$405&gt;H1405))/AM1405)</x:f>
      </x:c>
      <x:c r="S1405" s="10" t="str">
        <x:f>IF(M1405="","",MAX(O1405,P1405,Q1405,R1405))</x:f>
      </x:c>
      <x:c r="T1405" s="11" t="str">
        <x:f>IF(M1405="","",MIN(100,S1405*100*'Config_v6'!$B$44+MIN(100,L1405/'Config_v6'!$B$13*100)*'Config_v6'!$B$45+(100-'Motor_Meciuri'!BF105)*'Config_v6'!$B$46+'Motor_Meciuri'!BH105*100*'Config_v6'!$B$47))</x:f>
      </x:c>
      <x:c r="U1405" s="2" t="str">
        <x:f>IF(T1405="","",IF(T1405&lt;=20,1,IF(T1405&lt;=40,2,IF(T1405&lt;=60,3,IF(T1405&lt;=80,4,5)))))</x:f>
      </x:c>
      <x:c r="V1405" s="2" t="str">
        <x:f>IF(M1405="","",MAX(0,'Motor_Meciuri'!BF105-IF(W1405="OOS PENDING",'Config_v6'!$B$35,0)-IF(L1405&gt;'Config_v6'!$B$12,'Config_v6'!$B$37,IF(L1405&gt;'Config_v6'!$B$11,'Config_v6'!$B$36,0))))</x:f>
      </x:c>
      <x:c r="W1405" s="2" t="str">
        <x:f>IF(B1405="","",IF(I1405&lt;&gt;"READY","NOT RELEASED",IF(NOT(AND(J1405="PASS",'Calibrare_Linii'!U19="VALID")),"INVALID",IF(NOT(AND('Calibrare_Linii'!S19="VALIDATED",AND('Calibrare_Linii'!H19=C1405,ISNUMBER('Calibrare_Linii'!J19),'Calibrare_Linii'!J19&lt;='Input_Meci'!G105))),"OOS PENDING",IF(S1405&lt;='Calibrare_Linii'!E19,"PASS",IF(S1405&lt;='Calibrare_Linii'!F19,"PENALTY","WATCH"))))))</x:f>
      </x:c>
      <x:c r="X1405" s="2" t="str">
        <x:f>IF(M1405="","",IF(AND(AND(J1405="PASS",'Calibrare_Linii'!U19="VALID"),'Motor_Meciuri'!K105=12,'Motor_Meciuri'!L105=12,'Motor_Meciuri'!M105="NO",'Motor_Meciuri'!BL105='Motor_Meciuri'!C105,AB1405&gt;='Config_v6'!$B$50,AN1405&gt;='Config_v6'!$B$51,T1405&lt;='Config_v6'!$B$52,L1405&lt;='Config_v6'!$B$53,ISNUMBER('Calibrare_Linii'!E19),S1405&lt;='Calibrare_Linii'!E19,SUM(AK1405:AM1405)&gt;0),"CANDIDATE","NO"))</x:f>
      </x:c>
      <x:c r="Y1405" s="2" t="str">
        <x:f>IF(B1405="","",IF(I1405&lt;&gt;"READY","NOT RELEASED",IF(AND(X1405="CANDIDATE",V1405&gt;='Config_v6'!$B$51,W1405="PASS",'Calibrare_Linii'!T19="VALIDATED",AND('Calibrare_Linii'!H19=C1405,ISNUMBER('Calibrare_Linii'!J19),'Calibrare_Linii'!J19&lt;='Input_Meci'!G105)),"PASS",IF(X1405="CANDIDATE","OOS PENDING","FAIL"))))</x:f>
      </x:c>
      <x:c r="Z1405" s="2" t="str">
        <x:f>IF(B1405="","",IF(I1405&lt;&gt;"READY","",IF(OR(NOT(AND(J1405="PASS",'Calibrare_Linii'!U19="VALID")),L1405&gt;'Config_v6'!$B$13,W1405="WATCH"),5,IF(Y1405="PASS",1,MIN(5,MAX('Config_v6'!$B$42,U1405)+IF(W1405="PENALTY",1,0))))))</x:f>
      </x:c>
      <x:c r="AA1405" s="2" t="str">
        <x:f>IF(B1405="","",IF(I1405&lt;&gt;"READY","NOT RELEASED",IF(Z1405=5,"NO BET",IF(OR(AB1405&lt;'Config_v6'!$B$16,V1405&lt;'Config_v6'!$B$18),"WATCH",IF(Z1405=1,"DEFENSIV",IF(Z1405=2,"PRUDENT",IF(Z1405=3,"MODERAT","RIDICAT")))))))</x:f>
      </x:c>
      <x:c r="AB1405" s="10" t="str">
        <x:f>IF(N1405="","",MIN(N1405,1-S1405))</x:f>
      </x:c>
      <x:c r="AC1405" s="2" t="str">
        <x:f>IF(AD1405&lt;&gt;1,"",COUNTIFS($Z$1392:$Z$1405,"&lt;"&amp;Z1405,$AD$1392:$AD$1405,1)+COUNTIFS($Z$1392:$Z$1405,Z1405,$AB$1392:$AB$1405,"&gt;"&amp;AB1405,$AD$1392:$AD$1405,1)+COUNTIFS($Z$1392:$Z$1405,Z1405,$AB$1392:$AB$1405,AB1405,$V$1392:$V$1405,"&gt;"&amp;V1405,$AD$1392:$AD$1405,1)+COUNTIFS($Z$1392:Z1405,Z1405,$AB$1392:AB1405,AB1405,$V$1392:V1405,V1405,$AD$1392:AD1405,1))</x:f>
      </x:c>
      <x:c r="AD1405" s="2" t="n">
        <x:f>IF(OR(AA1405="DEFENSIV",AA1405="PRUDENT",AA1405="MODERAT",AA1405="RIDICAT"),1,0)</x:f>
        <x:v>0</x:v>
      </x:c>
      <x:c r="AE1405" s="2" t="str">
        <x:f>IF(AD1405&lt;&gt;1,"NO",IF(W1405="PASS","YES",IF(W1405="OOS PENDING","CONDITIONAL","NO")))</x:f>
        <x:v>NO</x:v>
      </x:c>
      <x:c r="AF1405" s="2" t="n">
        <x:f>IF(AND(AD1405=1,AC1405=1,E1405="LIVE"),1,0)</x:f>
        <x:v>0</x:v>
      </x:c>
      <x:c r="AG1405" s="2" t="str">
        <x:f>IF(AF1405&lt;&gt;1,"",'Dashboard'!P125)</x:f>
      </x:c>
      <x:c r="AH1405" s="2" t="str">
        <x:f>IF(B1405="","",IF(J1405&lt;&gt;"PASS",'Motor_Meciuri'!J105,IF('Calibrare_Linii'!U19&lt;&gt;"VALID","Parametri linie invalizi",IF(L1405&gt;'Config_v6'!$B$13,"Dispersie peste limita",IF(W1405="WATCH","Failure peste limita",IF(AB1405&lt;'Config_v6'!$B$16,"P finala sub prag",IF(V1405&lt;'Config_v6'!$B$18,"Confidence sub prag",IF(E1405="REPLAY","Exemplu retrospectiv; exclus din Top LIVE",IF(Y1405="PASS","DEFENSIV validat",IF(W1405="OOS PENDING","Eligibil; calibrare linie in monitorizare","Eligibil"))))))))))</x:f>
      </x:c>
      <x:c r="AI1405" s="2" t="str">
        <x:f>IF(B1405="","",'Calibrare_Linii'!V19)</x:f>
      </x:c>
      <x:c r="AJ1405" s="2" t="str">
        <x:f>IF(B1405="","",IF(AND('Calibrare_Linii'!T19="VALIDATED",AND('Calibrare_Linii'!H19=C1405,ISNUMBER('Calibrare_Linii'!J19),'Calibrare_Linii'!J19&lt;='Input_Meci'!G105)),"DEFENSIVE VALIDATED",IF(AND('Calibrare_Linii'!S19="VALIDATED",AND('Calibrare_Linii'!H19=C1405,ISNUMBER('Calibrare_Linii'!J19),'Calibrare_Linii'!J19&lt;='Input_Meci'!G105)),"TAIL VALIDATED","OOS PENDING")))</x:f>
      </x:c>
      <x:c r="AK1405" s="2" t="n">
        <x:f>IF(J1405&lt;&gt;"PASS",0,'Motor_Meciuri'!BR105)</x:f>
        <x:v>0</x:v>
      </x:c>
      <x:c r="AL1405" s="2" t="n">
        <x:f>IF(J1405&lt;&gt;"PASS",0,'Motor_Meciuri'!BS105)</x:f>
        <x:v>0</x:v>
      </x:c>
      <x:c r="AM1405" s="2" t="n">
        <x:f>IF(J1405&lt;&gt;"PASS",0,'Motor_Meciuri'!BT105)</x:f>
        <x:v>0</x:v>
      </x:c>
      <x:c r="AN1405" s="2" t="str">
        <x:f>IF(M1405="","",MAX(0,'Motor_Meciuri'!BF105-IF(L1405&gt;'Config_v6'!$B$12,'Config_v6'!$B$37,IF(L1405&gt;'Config_v6'!$B$11,'Config_v6'!$B$36,0))))</x:f>
      </x:c>
    </x:row>
  </x:sheetData>
  <x:conditionalFormatting sqref="Y6:AA1405">
    <x:cfRule type="containsText" dxfId="10" priority="1" operator="containsText" text="NOT RELEASED"/>
    <x:cfRule type="containsText" dxfId="11" priority="2" operator="containsText" text="NO BET"/>
    <x:cfRule type="containsText" dxfId="12" priority="3" operator="containsText" text="INVALID"/>
    <x:cfRule type="containsText" dxfId="13" priority="4" operator="containsText" text="SOURCE CONFLICT"/>
    <x:cfRule type="containsText" dxfId="14" priority="5" operator="containsText" text="DEFENSIV"/>
  </x:conditionalFormatting>
  <x:pageMargins left="0.7" right="0.7" top="0.75" bottom="0.75" header="0.3" footer="0.3"/>
  <x:tableParts count="1">
    <x:tablePart xmlns:r="http://schemas.openxmlformats.org/officeDocument/2006/relationships" r:id="R663780c48183486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3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62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</x:row>
    <x:row r="2" ht="21" customHeight="1">
      <x:c r="A2" s="3" t="str">
        <x:v>MOTOR COMUN PE MECI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</x:row>
    <x:row r="5" ht="46" customHeight="1">
      <x:c r="A5" s="6" t="str">
        <x:v>Match_ID</x:v>
      </x:c>
      <x:c r="B5" s="6" t="str">
        <x:v>League</x:v>
      </x:c>
      <x:c r="C5" s="6" t="str">
        <x:v>Season</x:v>
      </x:c>
      <x:c r="D5" s="6" t="str">
        <x:v>Match</x:v>
      </x:c>
      <x:c r="E5" s="6" t="str">
        <x:v>Mode</x:v>
      </x:c>
      <x:c r="F5" s="6" t="str">
        <x:v>Kickoff_UTC</x:v>
      </x:c>
      <x:c r="G5" s="6" t="str">
        <x:v>Cutoff_UTC</x:v>
      </x:c>
      <x:c r="H5" s="6" t="str">
        <x:v>Release</x:v>
      </x:c>
      <x:c r="I5" s="6" t="str">
        <x:v>G0</x:v>
      </x:c>
      <x:c r="J5" s="6" t="str">
        <x:v>Reason</x:v>
      </x:c>
      <x:c r="K5" s="6" t="str">
        <x:v>Core_Native_Count</x:v>
      </x:c>
      <x:c r="L5" s="6" t="str">
        <x:v>Core_Effective_Count</x:v>
      </x:c>
      <x:c r="M5" s="6" t="str">
        <x:v>Prior_Active</x:v>
      </x:c>
      <x:c r="N5" s="6" t="str">
        <x:v>N_H_Season</x:v>
      </x:c>
      <x:c r="O5" s="6" t="str">
        <x:v>N_H_HA</x:v>
      </x:c>
      <x:c r="P5" s="6" t="str">
        <x:v>N_H_Recent</x:v>
      </x:c>
      <x:c r="Q5" s="6" t="str">
        <x:v>N_A_Season</x:v>
      </x:c>
      <x:c r="R5" s="6" t="str">
        <x:v>N_A_HA</x:v>
      </x:c>
      <x:c r="S5" s="6" t="str">
        <x:v>N_A_Recent</x:v>
      </x:c>
      <x:c r="T5" s="6" t="str">
        <x:v>Raw_H_S_For</x:v>
      </x:c>
      <x:c r="U5" s="6" t="str">
        <x:v>Raw_H_S_Against</x:v>
      </x:c>
      <x:c r="V5" s="6" t="str">
        <x:v>Raw_H_HA_For</x:v>
      </x:c>
      <x:c r="W5" s="6" t="str">
        <x:v>Raw_H_HA_Against</x:v>
      </x:c>
      <x:c r="X5" s="6" t="str">
        <x:v>Raw_H_R_For</x:v>
      </x:c>
      <x:c r="Y5" s="6" t="str">
        <x:v>Raw_H_R_Against</x:v>
      </x:c>
      <x:c r="Z5" s="6" t="str">
        <x:v>Raw_A_S_For</x:v>
      </x:c>
      <x:c r="AA5" s="6" t="str">
        <x:v>Raw_A_S_Against</x:v>
      </x:c>
      <x:c r="AB5" s="6" t="str">
        <x:v>Raw_A_HA_For</x:v>
      </x:c>
      <x:c r="AC5" s="6" t="str">
        <x:v>Raw_A_HA_Against</x:v>
      </x:c>
      <x:c r="AD5" s="6" t="str">
        <x:v>Raw_A_R_For</x:v>
      </x:c>
      <x:c r="AE5" s="6" t="str">
        <x:v>Raw_A_R_Against</x:v>
      </x:c>
      <x:c r="AF5" s="6" t="str">
        <x:v>Effective_H_S_For</x:v>
      </x:c>
      <x:c r="AG5" s="6" t="str">
        <x:v>Effective_H_S_Against</x:v>
      </x:c>
      <x:c r="AH5" s="6" t="str">
        <x:v>Effective_H_HA_For</x:v>
      </x:c>
      <x:c r="AI5" s="6" t="str">
        <x:v>Effective_H_HA_Against</x:v>
      </x:c>
      <x:c r="AJ5" s="6" t="str">
        <x:v>Effective_H_R_For</x:v>
      </x:c>
      <x:c r="AK5" s="6" t="str">
        <x:v>Effective_H_R_Against</x:v>
      </x:c>
      <x:c r="AL5" s="6" t="str">
        <x:v>Effective_A_S_For</x:v>
      </x:c>
      <x:c r="AM5" s="6" t="str">
        <x:v>Effective_A_S_Against</x:v>
      </x:c>
      <x:c r="AN5" s="6" t="str">
        <x:v>Effective_A_HA_For</x:v>
      </x:c>
      <x:c r="AO5" s="6" t="str">
        <x:v>Effective_A_HA_Against</x:v>
      </x:c>
      <x:c r="AP5" s="6" t="str">
        <x:v>Effective_A_R_For</x:v>
      </x:c>
      <x:c r="AQ5" s="6" t="str">
        <x:v>Effective_A_R_Against</x:v>
      </x:c>
      <x:c r="AR5" s="6" t="str">
        <x:v>N_Dispersion</x:v>
      </x:c>
      <x:c r="AS5" s="6" t="str">
        <x:v>Mean_Total_History</x:v>
      </x:c>
      <x:c r="AT5" s="6" t="str">
        <x:v>Variance_Total_History</x:v>
      </x:c>
      <x:c r="AU5" s="6" t="str">
        <x:v>D</x:v>
      </x:c>
      <x:c r="AV5" s="6" t="str">
        <x:v>Distribution</x:v>
      </x:c>
      <x:c r="AW5" s="6" t="str">
        <x:v>NB_Size</x:v>
      </x:c>
      <x:c r="AX5" s="6" t="str">
        <x:v>Soft_H</x:v>
      </x:c>
      <x:c r="AY5" s="6" t="str">
        <x:v>Soft_A</x:v>
      </x:c>
      <x:c r="AZ5" s="6" t="str">
        <x:v>Context_H</x:v>
      </x:c>
      <x:c r="BA5" s="6" t="str">
        <x:v>Context_A</x:v>
      </x:c>
      <x:c r="BB5" s="6" t="str">
        <x:v>Lambda_H</x:v>
      </x:c>
      <x:c r="BC5" s="6" t="str">
        <x:v>Lambda_A</x:v>
      </x:c>
      <x:c r="BD5" s="6" t="str">
        <x:v>Mu</x:v>
      </x:c>
      <x:c r="BE5" s="6" t="str">
        <x:v>Soft_Missing</x:v>
      </x:c>
      <x:c r="BF5" s="6" t="str">
        <x:v>Confidence_Base</x:v>
      </x:c>
      <x:c r="BG5" s="6" t="str">
        <x:v>Calibration_Strength</x:v>
      </x:c>
      <x:c r="BH5" s="6" t="str">
        <x:v>Sensitivity</x:v>
      </x:c>
      <x:c r="BI5" s="6" t="str">
        <x:v>Context_Valid</x:v>
      </x:c>
      <x:c r="BJ5" s="6" t="str">
        <x:v>Source_Problems</x:v>
      </x:c>
      <x:c r="BK5" s="6" t="str">
        <x:v>Config_Valid</x:v>
      </x:c>
      <x:c r="BL5" s="6" t="str">
        <x:v>Dispersion_Season</x:v>
      </x:c>
      <x:c r="BM5" s="6" t="str">
        <x:v>H_L10_From</x:v>
      </x:c>
      <x:c r="BN5" s="6" t="str">
        <x:v>A_L10_From</x:v>
      </x:c>
      <x:c r="BO5" s="6" t="str">
        <x:v>H_L20_From</x:v>
      </x:c>
      <x:c r="BP5" s="6" t="str">
        <x:v>A_L20_From</x:v>
      </x:c>
      <x:c r="BQ5" s="6" t="str">
        <x:v>Metadata_Valid</x:v>
      </x:c>
      <x:c r="BR5" s="6" t="str">
        <x:v>N_Emp_HA</x:v>
      </x:c>
      <x:c r="BS5" s="6" t="str">
        <x:v>N_Emp_L10</x:v>
      </x:c>
      <x:c r="BT5" s="6" t="str">
        <x:v>N_Emp_L20</x:v>
      </x:c>
    </x:row>
    <x:row r="6" ht="21" customHeight="1">
      <x:c r="A6" s="2" t="str">
        <x:f>IF('Input_Meci'!A6="","",'Input_Meci'!A6)</x:f>
        <x:v>REPLAY_1</x:v>
      </x:c>
      <x:c r="B6" s="2" t="str">
        <x:f>IF(A6="","",'Input_Meci'!B6)</x:f>
        <x:v>E0</x:v>
      </x:c>
      <x:c r="C6" s="2" t="str">
        <x:f>IF(A6="","",'Input_Meci'!C6)</x:f>
        <x:v>2025/26</x:v>
      </x:c>
      <x:c r="D6" s="2" t="str">
        <x:f>IF(A6="","",'Input_Meci'!D6&amp;" – "&amp;'Input_Meci'!E6)</x:f>
        <x:v>Brighton – Man United</x:v>
      </x:c>
      <x:c r="E6" s="2" t="str">
        <x:f>IF(A6="","",'Input_Meci'!H6)</x:f>
        <x:v>REPLAY</x:v>
      </x:c>
      <x:c r="F6" s="9" t="n">
        <x:f>IF(A6="","",'Input_Meci'!F6)</x:f>
        <x:v>46166</x:v>
      </x:c>
      <x:c r="G6" s="9" t="n">
        <x:f>IF(A6="","",'Input_Meci'!G6)</x:f>
        <x:v>46165.958333333336</x:v>
      </x:c>
      <x:c r="H6" s="2" t="str">
        <x:f>IF(A6="","",IF(BQ6&lt;&gt;"VALID","NOT RELEASED",IF(AND(OR('Input_Meci'!I6="NOT AVAILABLE",'Input_Meci'!I6="SOURCE CONFLICT"),'Input_Meci'!J6&lt;&gt;""),"READY",IF(OR(NOT(OR('Input_Meci'!I6="AUTO",'Input_Meci'!I6="")),COUNTIF('Core_Nativ'!R6:R11,"CLOSED")&lt;&gt;6,BJ6&gt;0),"NOT RELEASED","READY"))))</x:f>
        <x:v>READY</x:v>
      </x:c>
      <x:c r="I6" s="2" t="str">
        <x:f>IF(A6="","",IF(H6&lt;&gt;"READY","NOT RELEASED",IF(AND(NOT(OR('Input_Meci'!I6="NOT AVAILABLE",'Input_Meci'!I6="SOURCE CONFLICT")),L6=12,AR6&gt;=2,AS6&gt;0,ISNUMBER(AT6),BI6="VALID",BK6="VALID"),"PASS","FAIL")))</x:f>
        <x:v>PASS</x:v>
      </x:c>
      <x:c r="J6" s="2" t="str">
        <x:f>IF(A6="","",IF(BQ6&lt;&gt;"VALID","Verifica ID, echipe, mod si cutoff &lt; kickoff",IF(H6&lt;&gt;"READY",IF('Input_Meci'!I6="ACCESS BLOCKED","Acces blocat: reia sursele",IF(BJ6&gt;0,"Istoric invalid sau conflict: verifica randurile native","Surse neinchise / post-cutoff / dovezi incomplete")),IF(OR('Input_Meci'!I6="NOT AVAILABLE",'Input_Meci'!I6="SOURCE CONFLICT"),'Input_Meci'!I6,IF(BK6&lt;&gt;"VALID","Parametri invalizi",IF(L6&lt;&gt;12,"Core / sample / prior insuficient",IF(AR6&lt;2,"N insuficient pentru dispersie",IF(AS6&lt;=0,"Media istorica trebuie sa fie pozitiva",IF(BI6&lt;&gt;"VALID","Context invalid","READY")))))))))</x:f>
        <x:v>READY</x:v>
      </x:c>
      <x:c r="K6" s="2" t="n">
        <x:f>IF(A6="","",COUNT(T6:AE6))</x:f>
        <x:v>12</x:v>
      </x:c>
      <x:c r="L6" s="2" t="n">
        <x:f>IF(A6="","",COUNT(AF6:AQ6))</x:f>
        <x:v>12</x:v>
      </x:c>
      <x:c r="M6" s="2" t="str">
        <x:f>IF(A6="","",IF(OR('Core_Nativ'!M6&lt;'Core_Nativ'!P6,'Core_Nativ'!M7&lt;'Core_Nativ'!P7,'Core_Nativ'!M8&lt;'Core_Nativ'!P8,'Core_Nativ'!M9&lt;'Core_Nativ'!P9,'Core_Nativ'!M10&lt;'Core_Nativ'!P10,'Core_Nativ'!M11&lt;'Core_Nativ'!P11),"YES","NO"))</x:f>
        <x:v>NO</x:v>
      </x:c>
      <x:c r="N6" s="2" t="n">
        <x:f>IF(A6="","",'Core_Nativ'!M6)</x:f>
        <x:v>37</x:v>
      </x:c>
      <x:c r="O6" s="2" t="n">
        <x:f>IF(A6="","",'Core_Nativ'!M7)</x:f>
        <x:v>18</x:v>
      </x:c>
      <x:c r="P6" s="2" t="n">
        <x:f>IF(A6="","",'Core_Nativ'!M8)</x:f>
        <x:v>5</x:v>
      </x:c>
      <x:c r="Q6" s="2" t="n">
        <x:f>IF(A6="","",'Core_Nativ'!M9)</x:f>
        <x:v>37</x:v>
      </x:c>
      <x:c r="R6" s="2" t="n">
        <x:f>IF(A6="","",'Core_Nativ'!M10)</x:f>
        <x:v>18</x:v>
      </x:c>
      <x:c r="S6" s="2" t="n">
        <x:f>IF(A6="","",'Core_Nativ'!M11)</x:f>
        <x:v>5</x:v>
      </x:c>
      <x:c r="T6" s="11" t="n">
        <x:f>IF(OR(A6="",'Core_Nativ'!M6=0),"",'Core_Nativ'!N6)</x:f>
        <x:v>5</x:v>
      </x:c>
      <x:c r="U6" s="11" t="n">
        <x:f>IF(OR(A6="",'Core_Nativ'!M6=0),"",'Core_Nativ'!O6)</x:f>
        <x:v>4.864864864864865</x:v>
      </x:c>
      <x:c r="V6" s="11" t="n">
        <x:f>IF(OR(A6="",'Core_Nativ'!M7=0),"",'Core_Nativ'!N7)</x:f>
        <x:v>5.222222222222222</x:v>
      </x:c>
      <x:c r="W6" s="11" t="n">
        <x:f>IF(OR(A6="",'Core_Nativ'!M7=0),"",'Core_Nativ'!O7)</x:f>
        <x:v>4.611111111111111</x:v>
      </x:c>
      <x:c r="X6" s="11" t="n">
        <x:f>IF(OR(A6="",'Core_Nativ'!M8=0),"",'Core_Nativ'!N8)</x:f>
        <x:v>7.2</x:v>
      </x:c>
      <x:c r="Y6" s="11" t="n">
        <x:f>IF(OR(A6="",'Core_Nativ'!M8=0),"",'Core_Nativ'!O8)</x:f>
        <x:v>4.4</x:v>
      </x:c>
      <x:c r="Z6" s="11" t="n">
        <x:f>IF(OR(A6="",'Core_Nativ'!M9=0),"",'Core_Nativ'!N9)</x:f>
        <x:v>4.837837837837838</x:v>
      </x:c>
      <x:c r="AA6" s="11" t="n">
        <x:f>IF(OR(A6="",'Core_Nativ'!M9=0),"",'Core_Nativ'!O9)</x:f>
        <x:v>5.027027027027027</x:v>
      </x:c>
      <x:c r="AB6" s="11" t="n">
        <x:f>IF(OR(A6="",'Core_Nativ'!M10=0),"",'Core_Nativ'!N10)</x:f>
        <x:v>4.388888888888889</x:v>
      </x:c>
      <x:c r="AC6" s="11" t="n">
        <x:f>IF(OR(A6="",'Core_Nativ'!M10=0),"",'Core_Nativ'!O10)</x:f>
        <x:v>5.611111111111111</x:v>
      </x:c>
      <x:c r="AD6" s="11" t="n">
        <x:f>IF(OR(A6="",'Core_Nativ'!M11=0),"",'Core_Nativ'!N11)</x:f>
        <x:v>5.2</x:v>
      </x:c>
      <x:c r="AE6" s="11" t="n">
        <x:f>IF(OR(A6="",'Core_Nativ'!M11=0),"",'Core_Nativ'!O11)</x:f>
        <x:v>6</x:v>
      </x:c>
      <x:c r="AF6" s="11" t="n">
        <x:f>IF(A6="","",IF(AND('Core_Nativ'!R6="CLOSED",'Core_Nativ'!S6=0),IF('Core_Nativ'!M6&gt;='Core_Nativ'!P6,'Core_Nativ'!N6,IF(AND('Input_Meci'!L6="YES",'Input_Meci'!K6&lt;&gt;"",'Input_Meci'!K6&lt;C6,'Core_Nativ'!T12="DERIVED",'Core_Nativ'!M12&gt;='Core_Nativ'!P6),MIN(1,'Core_Nativ'!M6/'Core_Nativ'!P6)*IF('Core_Nativ'!M6=0,0,'Core_Nativ'!N6)+(1-MIN(1,'Core_Nativ'!M6/'Core_Nativ'!P6))*'Core_Nativ'!N12,"")),""))</x:f>
        <x:v>5</x:v>
      </x:c>
      <x:c r="AG6" s="11" t="n">
        <x:f>IF(A6="","",IF(AND('Core_Nativ'!R6="CLOSED",'Core_Nativ'!S6=0),IF('Core_Nativ'!M6&gt;='Core_Nativ'!P6,'Core_Nativ'!O6,IF(AND('Input_Meci'!L6="YES",'Input_Meci'!K6&lt;&gt;"",'Input_Meci'!K6&lt;C6,'Core_Nativ'!T12="DERIVED",'Core_Nativ'!M12&gt;='Core_Nativ'!P6),MIN(1,'Core_Nativ'!M6/'Core_Nativ'!P6)*IF('Core_Nativ'!M6=0,0,'Core_Nativ'!O6)+(1-MIN(1,'Core_Nativ'!M6/'Core_Nativ'!P6))*'Core_Nativ'!O12,"")),""))</x:f>
        <x:v>4.864864864864865</x:v>
      </x:c>
      <x:c r="AH6" s="11" t="n">
        <x:f>IF(A6="","",IF(AND('Core_Nativ'!R7="CLOSED",'Core_Nativ'!S7=0),IF('Core_Nativ'!M7&gt;='Core_Nativ'!P7,'Core_Nativ'!N7,IF(AND('Input_Meci'!L6="YES",'Input_Meci'!K6&lt;&gt;"",'Input_Meci'!K6&lt;C6,'Core_Nativ'!T13="DERIVED",'Core_Nativ'!M13&gt;='Core_Nativ'!P7),MIN(1,'Core_Nativ'!M7/'Core_Nativ'!P7)*IF('Core_Nativ'!M7=0,0,'Core_Nativ'!N7)+(1-MIN(1,'Core_Nativ'!M7/'Core_Nativ'!P7))*'Core_Nativ'!N13,"")),""))</x:f>
        <x:v>5.222222222222222</x:v>
      </x:c>
      <x:c r="AI6" s="11" t="n">
        <x:f>IF(A6="","",IF(AND('Core_Nativ'!R7="CLOSED",'Core_Nativ'!S7=0),IF('Core_Nativ'!M7&gt;='Core_Nativ'!P7,'Core_Nativ'!O7,IF(AND('Input_Meci'!L6="YES",'Input_Meci'!K6&lt;&gt;"",'Input_Meci'!K6&lt;C6,'Core_Nativ'!T13="DERIVED",'Core_Nativ'!M13&gt;='Core_Nativ'!P7),MIN(1,'Core_Nativ'!M7/'Core_Nativ'!P7)*IF('Core_Nativ'!M7=0,0,'Core_Nativ'!O7)+(1-MIN(1,'Core_Nativ'!M7/'Core_Nativ'!P7))*'Core_Nativ'!O13,"")),""))</x:f>
        <x:v>4.611111111111111</x:v>
      </x:c>
      <x:c r="AJ6" s="11" t="n">
        <x:f>IF(A6="","",IF(AND('Core_Nativ'!R8="CLOSED",'Core_Nativ'!S8=0),IF('Core_Nativ'!M8&gt;='Core_Nativ'!P8,'Core_Nativ'!N8,IF(AND('Input_Meci'!L6="YES",'Input_Meci'!K6&lt;&gt;"",'Input_Meci'!K6&lt;C6,'Core_Nativ'!T14="DERIVED",'Core_Nativ'!M14&gt;='Core_Nativ'!P8),MIN(1,'Core_Nativ'!M8/'Core_Nativ'!P8)*IF('Core_Nativ'!M8=0,0,'Core_Nativ'!N8)+(1-MIN(1,'Core_Nativ'!M8/'Core_Nativ'!P8))*'Core_Nativ'!N14,"")),""))</x:f>
        <x:v>7.2</x:v>
      </x:c>
      <x:c r="AK6" s="11" t="n">
        <x:f>IF(A6="","",IF(AND('Core_Nativ'!R8="CLOSED",'Core_Nativ'!S8=0),IF('Core_Nativ'!M8&gt;='Core_Nativ'!P8,'Core_Nativ'!O8,IF(AND('Input_Meci'!L6="YES",'Input_Meci'!K6&lt;&gt;"",'Input_Meci'!K6&lt;C6,'Core_Nativ'!T14="DERIVED",'Core_Nativ'!M14&gt;='Core_Nativ'!P8),MIN(1,'Core_Nativ'!M8/'Core_Nativ'!P8)*IF('Core_Nativ'!M8=0,0,'Core_Nativ'!O8)+(1-MIN(1,'Core_Nativ'!M8/'Core_Nativ'!P8))*'Core_Nativ'!O14,"")),""))</x:f>
        <x:v>4.4</x:v>
      </x:c>
      <x:c r="AL6" s="11" t="n">
        <x:f>IF(A6="","",IF(AND('Core_Nativ'!R9="CLOSED",'Core_Nativ'!S9=0),IF('Core_Nativ'!M9&gt;='Core_Nativ'!P9,'Core_Nativ'!N9,IF(AND('Input_Meci'!L6="YES",'Input_Meci'!K6&lt;&gt;"",'Input_Meci'!K6&lt;C6,'Core_Nativ'!T15="DERIVED",'Core_Nativ'!M15&gt;='Core_Nativ'!P9),MIN(1,'Core_Nativ'!M9/'Core_Nativ'!P9)*IF('Core_Nativ'!M9=0,0,'Core_Nativ'!N9)+(1-MIN(1,'Core_Nativ'!M9/'Core_Nativ'!P9))*'Core_Nativ'!N15,"")),""))</x:f>
        <x:v>4.837837837837838</x:v>
      </x:c>
      <x:c r="AM6" s="11" t="n">
        <x:f>IF(A6="","",IF(AND('Core_Nativ'!R9="CLOSED",'Core_Nativ'!S9=0),IF('Core_Nativ'!M9&gt;='Core_Nativ'!P9,'Core_Nativ'!O9,IF(AND('Input_Meci'!L6="YES",'Input_Meci'!K6&lt;&gt;"",'Input_Meci'!K6&lt;C6,'Core_Nativ'!T15="DERIVED",'Core_Nativ'!M15&gt;='Core_Nativ'!P9),MIN(1,'Core_Nativ'!M9/'Core_Nativ'!P9)*IF('Core_Nativ'!M9=0,0,'Core_Nativ'!O9)+(1-MIN(1,'Core_Nativ'!M9/'Core_Nativ'!P9))*'Core_Nativ'!O15,"")),""))</x:f>
        <x:v>5.027027027027027</x:v>
      </x:c>
      <x:c r="AN6" s="11" t="n">
        <x:f>IF(A6="","",IF(AND('Core_Nativ'!R10="CLOSED",'Core_Nativ'!S10=0),IF('Core_Nativ'!M10&gt;='Core_Nativ'!P10,'Core_Nativ'!N10,IF(AND('Input_Meci'!L6="YES",'Input_Meci'!K6&lt;&gt;"",'Input_Meci'!K6&lt;C6,'Core_Nativ'!T16="DERIVED",'Core_Nativ'!M16&gt;='Core_Nativ'!P10),MIN(1,'Core_Nativ'!M10/'Core_Nativ'!P10)*IF('Core_Nativ'!M10=0,0,'Core_Nativ'!N10)+(1-MIN(1,'Core_Nativ'!M10/'Core_Nativ'!P10))*'Core_Nativ'!N16,"")),""))</x:f>
        <x:v>4.388888888888889</x:v>
      </x:c>
      <x:c r="AO6" s="11" t="n">
        <x:f>IF(A6="","",IF(AND('Core_Nativ'!R10="CLOSED",'Core_Nativ'!S10=0),IF('Core_Nativ'!M10&gt;='Core_Nativ'!P10,'Core_Nativ'!O10,IF(AND('Input_Meci'!L6="YES",'Input_Meci'!K6&lt;&gt;"",'Input_Meci'!K6&lt;C6,'Core_Nativ'!T16="DERIVED",'Core_Nativ'!M16&gt;='Core_Nativ'!P10),MIN(1,'Core_Nativ'!M10/'Core_Nativ'!P10)*IF('Core_Nativ'!M10=0,0,'Core_Nativ'!O10)+(1-MIN(1,'Core_Nativ'!M10/'Core_Nativ'!P10))*'Core_Nativ'!O16,"")),""))</x:f>
        <x:v>5.611111111111111</x:v>
      </x:c>
      <x:c r="AP6" s="11" t="n">
        <x:f>IF(A6="","",IF(AND('Core_Nativ'!R11="CLOSED",'Core_Nativ'!S11=0),IF('Core_Nativ'!M11&gt;='Core_Nativ'!P11,'Core_Nativ'!N11,IF(AND('Input_Meci'!L6="YES",'Input_Meci'!K6&lt;&gt;"",'Input_Meci'!K6&lt;C6,'Core_Nativ'!T17="DERIVED",'Core_Nativ'!M17&gt;='Core_Nativ'!P11),MIN(1,'Core_Nativ'!M11/'Core_Nativ'!P11)*IF('Core_Nativ'!M11=0,0,'Core_Nativ'!N11)+(1-MIN(1,'Core_Nativ'!M11/'Core_Nativ'!P11))*'Core_Nativ'!N17,"")),""))</x:f>
        <x:v>5.2</x:v>
      </x:c>
      <x:c r="AQ6" s="11" t="n">
        <x:f>IF(A6="","",IF(AND('Core_Nativ'!R11="CLOSED",'Core_Nativ'!S11=0),IF('Core_Nativ'!M11&gt;='Core_Nativ'!P11,'Core_Nativ'!O11,IF(AND('Input_Meci'!L6="YES",'Input_Meci'!K6&lt;&gt;"",'Input_Meci'!K6&lt;C6,'Core_Nativ'!T17="DERIVED",'Core_Nativ'!M17&gt;='Core_Nativ'!P11),MIN(1,'Core_Nativ'!M11/'Core_Nativ'!P11)*IF('Core_Nativ'!M11=0,0,'Core_Nativ'!O11)+(1-MIN(1,'Core_Nativ'!M11/'Core_Nativ'!P11))*'Core_Nativ'!O17,"")),""))</x:f>
        <x:v>6</x:v>
      </x:c>
      <x:c r="AR6" s="11" t="n">
        <x:f>IF(A6="","",SUMPRODUCT(('Istoric_Nativ'!$B$6:$B$405=B6)*('Istoric_Nativ'!$C$6:$C$405=BL6)*('Istoric_Nativ'!$P$6:$P$405=1)*('Istoric_Nativ'!$D$6:$D$405&lt;INT(G6))*((('Istoric_Nativ'!$E$6:$E$405='Input_Meci'!D6)+('Istoric_Nativ'!$F$6:$F$405='Input_Meci'!D6)+('Istoric_Nativ'!$E$6:$E$405='Input_Meci'!E6)+('Istoric_Nativ'!$F$6:$F$405='Input_Meci'!E6))&gt;0)))</x:f>
        <x:v>73</x:v>
      </x:c>
      <x:c r="AS6" s="11" t="n">
        <x:f>IF(AR6=0,"",SUMPRODUCT(('Istoric_Nativ'!$B$6:$B$405=B6)*('Istoric_Nativ'!$C$6:$C$405=BL6)*('Istoric_Nativ'!$P$6:$P$405=1)*('Istoric_Nativ'!$D$6:$D$405&lt;INT(G6))*((('Istoric_Nativ'!$E$6:$E$405='Input_Meci'!D6)+('Istoric_Nativ'!$F$6:$F$405='Input_Meci'!D6)+('Istoric_Nativ'!$E$6:$E$405='Input_Meci'!E6)+('Istoric_Nativ'!$F$6:$F$405='Input_Meci'!E6))&gt;0)*'Istoric_Nativ'!$Q$6:$Q$405)/AR6)</x:f>
        <x:v>9.904109589041095</x:v>
      </x:c>
      <x:c r="AT6" s="11" t="n">
        <x:f>IF(AR6&lt;2,"",MAX(0,(SUMPRODUCT(('Istoric_Nativ'!$B$6:$B$405=B6)*('Istoric_Nativ'!$C$6:$C$405=BL6)*('Istoric_Nativ'!$P$6:$P$405=1)*('Istoric_Nativ'!$D$6:$D$405&lt;INT(G6))*((('Istoric_Nativ'!$E$6:$E$405='Input_Meci'!D6)+('Istoric_Nativ'!$F$6:$F$405='Input_Meci'!D6)+('Istoric_Nativ'!$E$6:$E$405='Input_Meci'!E6)+('Istoric_Nativ'!$F$6:$F$405='Input_Meci'!E6))&gt;0)*'Istoric_Nativ'!$R$6:$R$405)-AR6*AS6^2)/(AR6-1)))</x:f>
        <x:v>8.92123287671235</x:v>
      </x:c>
      <x:c r="AU6" s="11" t="n">
        <x:f>IF(I6&lt;&gt;"PASS","",AT6/AS6)</x:f>
        <x:v>0.9007607192254518</x:v>
      </x:c>
      <x:c r="AV6" s="11" t="str">
        <x:f>IF(I6&lt;&gt;"PASS","",IF(AU6&lt;='Config_v6'!$B$10,"POISSON","NEGATIVE BINOMIAL"))</x:f>
        <x:v>POISSON</x:v>
      </x:c>
      <x:c r="AW6" s="11" t="n">
        <x:f>IF(I6&lt;&gt;"PASS","",IF(AV6="POISSON",9999,AS6/(AU6-1)))</x:f>
        <x:v>9999</x:v>
      </x:c>
      <x:c r="AX6" s="11" t="n">
        <x:f>IF(A6="","",MAX(1-'Config_v6'!$B$20,MIN(1+'Config_v6'!$B$20,1+0.02*(IF(AND(ISNUMBER('Input_Meci'!N6),'Input_Meci'!N6&gt;=0,'Input_Meci'!N6&lt;=200),'Input_Meci'!N6,12)/12-1)+0.02*(IF(AND(ISNUMBER('Input_Meci'!P6),'Input_Meci'!P6&gt;=0,'Input_Meci'!P6&lt;=200),'Input_Meci'!P6,3.5)/3.5-1)+0.02*(IF(AND(ISNUMBER('Input_Meci'!R6),'Input_Meci'!R6&gt;=0,'Input_Meci'!R6&lt;=200),'Input_Meci'!R6,18)/18-1)+0.02*((IF(AND(ISNUMBER('Input_Meci'!V6),'Input_Meci'!V6&gt;=0,'Input_Meci'!V6&lt;=10),'Input_Meci'!V6,5)-5)/5))))</x:f>
        <x:v>1</x:v>
      </x:c>
      <x:c r="AY6" s="11" t="n">
        <x:f>IF(A6="","",MAX(1-'Config_v6'!$B$20,MIN(1+'Config_v6'!$B$20,1+0.02*(IF(AND(ISNUMBER('Input_Meci'!O6),'Input_Meci'!O6&gt;=0,'Input_Meci'!O6&lt;=200),'Input_Meci'!O6,12)/12-1)+0.02*(IF(AND(ISNUMBER('Input_Meci'!Q6),'Input_Meci'!Q6&gt;=0,'Input_Meci'!Q6&lt;=200),'Input_Meci'!Q6,3.5)/3.5-1)+0.02*(IF(AND(ISNUMBER('Input_Meci'!S6),'Input_Meci'!S6&gt;=0,'Input_Meci'!S6&lt;=200),'Input_Meci'!S6,18)/18-1)+0.02*((IF(AND(ISNUMBER('Input_Meci'!W6),'Input_Meci'!W6&gt;=0,'Input_Meci'!W6&lt;=10),'Input_Meci'!W6,5)-5)/5))))</x:f>
        <x:v>1</x:v>
      </x:c>
      <x:c r="AZ6" s="11" t="n">
        <x:f>IF(A6="","",MAX(1-'Config_v6'!$B$21,MIN(1+'Config_v6'!$B$21,1+0.012*(IF('Input_Meci'!X6="",5,IF(ISNUMBER('Input_Meci'!X6),'Input_Meci'!X6,5))-5)+0.018*(IF('Input_Meci'!Z6="",5,IF(ISNUMBER('Input_Meci'!Z6),'Input_Meci'!Z6,5))-5)+0.012*(IF('Input_Meci'!AB6="",5,IF(ISNUMBER('Input_Meci'!AB6),'Input_Meci'!AB6,5))-5)+0.015*IF('Input_Meci'!AD6="",0,IF(ISNUMBER('Input_Meci'!AD6),'Input_Meci'!AD6,0))+0.02*IF('Input_Meci'!AF6="",0,IF(ISNUMBER('Input_Meci'!AF6),'Input_Meci'!AF6,0)))))</x:f>
        <x:v>1</x:v>
      </x:c>
      <x:c r="BA6" s="11" t="n">
        <x:f>IF(A6="","",MAX(1-'Config_v6'!$B$21,MIN(1+'Config_v6'!$B$21,1+0.012*(IF('Input_Meci'!Y6="",5,IF(ISNUMBER('Input_Meci'!Y6),'Input_Meci'!Y6,5))-5)+0.018*(IF('Input_Meci'!AA6="",5,IF(ISNUMBER('Input_Meci'!AA6),'Input_Meci'!AA6,5))-5)+0.012*(IF('Input_Meci'!AC6="",5,IF(ISNUMBER('Input_Meci'!AC6),'Input_Meci'!AC6,5))-5)+0.015*IF('Input_Meci'!AE6="",0,IF(ISNUMBER('Input_Meci'!AE6),'Input_Meci'!AE6,0))+0.02*IF('Input_Meci'!AG6="",0,IF(ISNUMBER('Input_Meci'!AG6),'Input_Meci'!AG6,0)))))</x:f>
        <x:v>1</x:v>
      </x:c>
      <x:c r="BB6" s="11" t="n">
        <x:f>IF(I6&lt;&gt;"PASS","",(AVERAGE(AF6,AM6)*'Config_v6'!$B$4+AVERAGE(AH6,AO6)*'Config_v6'!$B$5+AVERAGE(AJ6,AQ6)*'Config_v6'!$B$6)*AX6*AZ6)</x:f>
        <x:v>5.591554054054054</x:v>
      </x:c>
      <x:c r="BC6" s="11" t="n">
        <x:f>IF(I6&lt;&gt;"PASS","",(AVERAGE(AL6,AG6)*'Config_v6'!$B$4+AVERAGE(AN6,AI6)*'Config_v6'!$B$5+AVERAGE(AP6,AK6)*'Config_v6'!$B$6)*AY6*BA6)</x:f>
        <x:v>4.680405405405406</x:v>
      </x:c>
      <x:c r="BD6" s="11" t="n">
        <x:f>IF(I6&lt;&gt;"PASS","",BB6+BC6)</x:f>
        <x:v>10.27195945945946</x:v>
      </x:c>
      <x:c r="BE6" s="11" t="n">
        <x:f>IF(A6="","",10-SUM(IF(AND(ISNUMBER('Input_Meci'!N6),'Input_Meci'!N6&gt;=0,'Input_Meci'!N6&lt;=200),1,0),IF(AND(ISNUMBER('Input_Meci'!O6),'Input_Meci'!O6&gt;=0,'Input_Meci'!O6&lt;=200),1,0),IF(AND(ISNUMBER('Input_Meci'!P6),'Input_Meci'!P6&gt;=0,'Input_Meci'!P6&lt;=200),1,0),IF(AND(ISNUMBER('Input_Meci'!Q6),'Input_Meci'!Q6&gt;=0,'Input_Meci'!Q6&lt;=200),1,0),IF(AND(ISNUMBER('Input_Meci'!R6),'Input_Meci'!R6&gt;=0,'Input_Meci'!R6&lt;=200),1,0),IF(AND(ISNUMBER('Input_Meci'!S6),'Input_Meci'!S6&gt;=0,'Input_Meci'!S6&lt;=200),1,0),IF(AND(ISNUMBER('Input_Meci'!T6),'Input_Meci'!T6&gt;=0,'Input_Meci'!T6&lt;=100),1,0),IF(AND(ISNUMBER('Input_Meci'!U6),'Input_Meci'!U6&gt;=0,'Input_Meci'!U6&lt;=100),1,0),IF(AND(ISNUMBER('Input_Meci'!V6),'Input_Meci'!V6&gt;=0,'Input_Meci'!V6&lt;=10),1,0),IF(AND(ISNUMBER('Input_Meci'!W6),'Input_Meci'!W6&gt;=0,'Input_Meci'!W6&lt;=10),1,0)))</x:f>
        <x:v>10</x:v>
      </x:c>
      <x:c r="BF6" s="11" t="n">
        <x:f>IF(I6&lt;&gt;"PASS","",MAX(0,MIN(IF(OR(M6="YES",BL6&lt;&gt;C6),'Config_v6'!$B$34,100),ROUND(40+25*MIN(1,MIN(N6,Q6)/'Config_v6'!$B$7)*MIN(1,MIN(O6,R6)/'Config_v6'!$B$8)*MIN(1,MIN(P6,S6)/'Config_v6'!$B$9)+MAX(0,15-2*ABS(AF6-AJ6)-2*ABS(AL6-AP6))+IF(AU6&lt;='Config_v6'!$B$10,15,IF(AU6&lt;='Config_v6'!$B$11,13,IF(AU6&lt;='Config_v6'!$B$12,10,IF(AU6&lt;='Config_v6'!$B$13,6,0))))+5-BE6/10*'Config_v6'!$B$38,0))))</x:f>
        <x:v>90</x:v>
      </x:c>
      <x:c r="BG6" s="11" t="n">
        <x:f>IF(I6&lt;&gt;"PASS","",MIN(1,'Config_v6'!$B$14*(0.7+0.3*MIN(1,AR6/'Config_v6'!$B$15))*IF(AU6&lt;='Config_v6'!$B$10,1,IF(AU6&lt;='Config_v6'!$B$11,0.95,IF(AU6&lt;='Config_v6'!$B$12,0.88,0.78)))*(0.75+0.25*BF6/100)))</x:f>
        <x:v>0.7995</x:v>
      </x:c>
      <x:c r="BH6" s="11" t="n">
        <x:f>IF(I6&lt;&gt;"PASS","",MIN(1,(ABS(AZ6-1)+ABS(BA6-1))*3))</x:f>
        <x:v>0</x:v>
      </x:c>
      <x:c r="BI6" s="2" t="str">
        <x:f>IF(A6="","",IF(AND(OR('Input_Meci'!X6="",AND(ISNUMBER('Input_Meci'!X6),'Input_Meci'!X6&gt;=0,'Input_Meci'!X6&lt;=10)),OR('Input_Meci'!Y6="",AND(ISNUMBER('Input_Meci'!Y6),'Input_Meci'!Y6&gt;=0,'Input_Meci'!Y6&lt;=10)),OR('Input_Meci'!Z6="",AND(ISNUMBER('Input_Meci'!Z6),'Input_Meci'!Z6&gt;=0,'Input_Meci'!Z6&lt;=10)),OR('Input_Meci'!AA6="",AND(ISNUMBER('Input_Meci'!AA6),'Input_Meci'!AA6&gt;=0,'Input_Meci'!AA6&lt;=10)),OR('Input_Meci'!AB6="",AND(ISNUMBER('Input_Meci'!AB6),'Input_Meci'!AB6&gt;=0,'Input_Meci'!AB6&lt;=10)),OR('Input_Meci'!AC6="",AND(ISNUMBER('Input_Meci'!AC6),'Input_Meci'!AC6&gt;=0,'Input_Meci'!AC6&lt;=10)),OR('Input_Meci'!AD6="",AND(ISNUMBER('Input_Meci'!AD6),'Input_Meci'!AD6&gt;=-2,'Input_Meci'!AD6&lt;=2)),OR('Input_Meci'!AE6="",AND(ISNUMBER('Input_Meci'!AE6),'Input_Meci'!AE6&gt;=-2,'Input_Meci'!AE6&lt;=2)),OR('Input_Meci'!AF6="",AND(ISNUMBER('Input_Meci'!AF6),'Input_Meci'!AF6&gt;=-2,'Input_Meci'!AF6&lt;=2)),OR('Input_Meci'!AG6="",AND(ISNUMBER('Input_Meci'!AG6),'Input_Meci'!AG6&gt;=-2,'Input_Meci'!AG6&lt;=2))),"VALID","INVALID"))</x:f>
        <x:v>VALID</x:v>
      </x:c>
      <x:c r="BJ6" s="2" t="n">
        <x:f>IF(A6="",0,SUM('Core_Nativ'!S6:S11))</x:f>
        <x:v>0</x:v>
      </x:c>
      <x:c r="BK6" s="2" t="str">
        <x:f>'Config_v6'!$B$40</x:f>
        <x:v>VALID</x:v>
      </x:c>
      <x:c r="BL6" s="2" t="str">
        <x:f>IF(A6="","",IF(SUMPRODUCT(('Istoric_Nativ'!$B$6:$B$405=B6)*('Istoric_Nativ'!$C$6:$C$405=C6)*('Istoric_Nativ'!$P$6:$P$405=1)*('Istoric_Nativ'!$D$6:$D$405&lt;INT(G6))*((('Istoric_Nativ'!$E$6:$E$405='Input_Meci'!D6)+('Istoric_Nativ'!$F$6:$F$405='Input_Meci'!D6)+('Istoric_Nativ'!$E$6:$E$405='Input_Meci'!E6)+('Istoric_Nativ'!$F$6:$F$405='Input_Meci'!E6))&gt;0))&gt;='Config_v6'!$B$41,C6,IF(AND('Input_Meci'!L6="YES",'Input_Meci'!K6&lt;&gt;"",'Input_Meci'!K6&lt;C6,COUNTIF('Core_Nativ'!R12:R17,"CLOSED")=6,SUM('Core_Nativ'!S12:S17)=0),'Input_Meci'!K6,C6)))</x:f>
        <x:v>2025/26</x:v>
      </x:c>
      <x:c r="BM6" s="9" t="n">
        <x:f>IF(OR(A6="",N6=0),0,LARGE(_xlfn._xlws.FILTER('Istoric_Nativ'!$D$6:$D$405,('Istoric_Nativ'!$B$6:$B$405=B6)*('Istoric_Nativ'!$C$6:$C$405=C6)*('Istoric_Nativ'!$P$6:$P$405=1)*('Istoric_Nativ'!$D$6:$D$405&lt;INT(G6))*((('Istoric_Nativ'!$E$6:$E$405='Input_Meci'!D6)+('Istoric_Nativ'!$F$6:$F$405='Input_Meci'!D6))&gt;0)),MIN(10,N6)))</x:f>
        <x:v>46082</x:v>
      </x:c>
      <x:c r="BN6" s="9" t="n">
        <x:f>IF(OR(A6="",Q6=0),0,LARGE(_xlfn._xlws.FILTER('Istoric_Nativ'!$D$6:$D$405,('Istoric_Nativ'!$B$6:$B$405=B6)*('Istoric_Nativ'!$C$6:$C$405=C6)*('Istoric_Nativ'!$P$6:$P$405=1)*('Istoric_Nativ'!$D$6:$D$405&lt;INT(G6))*((('Istoric_Nativ'!$E$6:$E$405='Input_Meci'!E6)+('Istoric_Nativ'!$F$6:$F$405='Input_Meci'!E6))&gt;0)),MIN(10,Q6)))</x:f>
        <x:v>46082</x:v>
      </x:c>
      <x:c r="BO6" s="9" t="n">
        <x:f>IF(OR(A6="",N6=0),0,LARGE(_xlfn._xlws.FILTER('Istoric_Nativ'!$D$6:$D$405,('Istoric_Nativ'!$B$6:$B$405=B6)*('Istoric_Nativ'!$C$6:$C$405=C6)*('Istoric_Nativ'!$P$6:$P$405=1)*('Istoric_Nativ'!$D$6:$D$405&lt;INT(G6))*((('Istoric_Nativ'!$E$6:$E$405='Input_Meci'!D6)+('Istoric_Nativ'!$F$6:$F$405='Input_Meci'!D6))&gt;0)),MIN(20,N6)))</x:f>
        <x:v>46018</x:v>
      </x:c>
      <x:c r="BP6" s="9" t="n">
        <x:f>IF(OR(A6="",Q6=0),0,LARGE(_xlfn._xlws.FILTER('Istoric_Nativ'!$D$6:$D$405,('Istoric_Nativ'!$B$6:$B$405=B6)*('Istoric_Nativ'!$C$6:$C$405=C6)*('Istoric_Nativ'!$P$6:$P$405=1)*('Istoric_Nativ'!$D$6:$D$405&lt;INT(G6))*((('Istoric_Nativ'!$E$6:$E$405='Input_Meci'!E6)+('Istoric_Nativ'!$F$6:$F$405='Input_Meci'!E6))&gt;0)),MIN(20,Q6)))</x:f>
        <x:v>46017</x:v>
      </x:c>
      <x:c r="BQ6" s="2" t="str">
        <x:f>IF(A6="","",IF(AND(COUNTIF(MatchesTable[Match_ID],A6)=1,COUNTIFS(MatchesTable[League],B6,MatchesTable[Season],C6,MatchesTable[Home],'Input_Meci'!D6,MatchesTable[Away],'Input_Meci'!E6,MatchesTable[Kickoff_UTC],F6)=1,B6&lt;&gt;"",C6&lt;&gt;"",'Input_Meci'!D6&lt;&gt;"",'Input_Meci'!E6&lt;&gt;"",'Input_Meci'!D6&lt;&gt;'Input_Meci'!E6,ISNUMBER(F6),ISNUMBER(G6),G6&lt;F6,OR(E6="LIVE",E6="REPLAY"),OR('Input_Meci'!L6="YES",'Input_Meci'!L6="NO",'Input_Meci'!L6="")),"VALID","INVALID"))</x:f>
        <x:v>VALID</x:v>
      </x:c>
      <x:c r="BR6" s="2" t="n">
        <x:f>IF(I6&lt;&gt;"PASS",0,SUMPRODUCT(('Istoric_Nativ'!$B$6:$B$405='Input_Meci'!B6)*('Istoric_Nativ'!$C$6:$C$405='Input_Meci'!C6)*('Istoric_Nativ'!$P$6:$P$405=1)*('Istoric_Nativ'!$D$6:$D$405&lt;INT('Input_Meci'!G6))*((('Istoric_Nativ'!$E$6:$E$405='Input_Meci'!D6)+('Istoric_Nativ'!$F$6:$F$405='Input_Meci'!E6))&gt;0)))</x:f>
        <x:v>36</x:v>
      </x:c>
      <x:c r="BS6" s="2" t="n">
        <x:f>IF(I6&lt;&gt;"PASS",0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BM6)+((('Istoric_Nativ'!$E$6:$E$405='Input_Meci'!E6)+('Istoric_Nativ'!$F$6:$F$405='Input_Meci'!E6))&gt;0)*('Istoric_Nativ'!$D$6:$D$405&gt;=BN6))&gt;0)))</x:f>
        <x:v>20</x:v>
      </x:c>
      <x:c r="BT6" s="2" t="n">
        <x:f>IF(I6&lt;&gt;"PASS",0,SUMPRODUCT(('Istoric_Nativ'!$B$6:$B$405='Input_Meci'!B6)*('Istoric_Nativ'!$C$6:$C$405='Input_Meci'!C6)*('Istoric_Nativ'!$P$6:$P$405=1)*('Istoric_Nativ'!$D$6:$D$405&lt;INT('Input_Meci'!G6))*((((('Istoric_Nativ'!$E$6:$E$405='Input_Meci'!D6)+('Istoric_Nativ'!$F$6:$F$405='Input_Meci'!D6))&gt;0)*('Istoric_Nativ'!$D$6:$D$405&gt;=BO6)+((('Istoric_Nativ'!$E$6:$E$405='Input_Meci'!E6)+('Istoric_Nativ'!$F$6:$F$405='Input_Meci'!E6))&gt;0)*('Istoric_Nativ'!$D$6:$D$405&gt;=BP6))&gt;0)))</x:f>
        <x:v>40</x:v>
      </x:c>
    </x:row>
    <x:row r="7" ht="21" customHeight="1">
      <x:c r="A7" s="2" t="str">
        <x:f>IF('Input_Meci'!A7="","",'Input_Meci'!A7)</x:f>
        <x:v>REPLAY_2</x:v>
      </x:c>
      <x:c r="B7" s="2" t="str">
        <x:f>IF(A7="","",'Input_Meci'!B7)</x:f>
        <x:v>E0</x:v>
      </x:c>
      <x:c r="C7" s="2" t="str">
        <x:f>IF(A7="","",'Input_Meci'!C7)</x:f>
        <x:v>2025/26</x:v>
      </x:c>
      <x:c r="D7" s="2" t="str">
        <x:f>IF(A7="","",'Input_Meci'!D7&amp;" – "&amp;'Input_Meci'!E7)</x:f>
        <x:v>Burnley – Wolves</x:v>
      </x:c>
      <x:c r="E7" s="2" t="str">
        <x:f>IF(A7="","",'Input_Meci'!H7)</x:f>
        <x:v>REPLAY</x:v>
      </x:c>
      <x:c r="F7" s="9" t="n">
        <x:f>IF(A7="","",'Input_Meci'!F7)</x:f>
        <x:v>46166</x:v>
      </x:c>
      <x:c r="G7" s="9" t="n">
        <x:f>IF(A7="","",'Input_Meci'!G7)</x:f>
        <x:v>46165.958333333336</x:v>
      </x:c>
      <x:c r="H7" s="2" t="str">
        <x:f>IF(A7="","",IF(BQ7&lt;&gt;"VALID","NOT RELEASED",IF(AND(OR('Input_Meci'!I7="NOT AVAILABLE",'Input_Meci'!I7="SOURCE CONFLICT"),'Input_Meci'!J7&lt;&gt;""),"READY",IF(OR(NOT(OR('Input_Meci'!I7="AUTO",'Input_Meci'!I7="")),COUNTIF('Core_Nativ'!R18:R23,"CLOSED")&lt;&gt;6,BJ7&gt;0),"NOT RELEASED","READY"))))</x:f>
        <x:v>READY</x:v>
      </x:c>
      <x:c r="I7" s="2" t="str">
        <x:f>IF(A7="","",IF(H7&lt;&gt;"READY","NOT RELEASED",IF(AND(NOT(OR('Input_Meci'!I7="NOT AVAILABLE",'Input_Meci'!I7="SOURCE CONFLICT")),L7=12,AR7&gt;=2,AS7&gt;0,ISNUMBER(AT7),BI7="VALID",BK7="VALID"),"PASS","FAIL")))</x:f>
        <x:v>PASS</x:v>
      </x:c>
      <x:c r="J7" s="2" t="str">
        <x:f>IF(A7="","",IF(BQ7&lt;&gt;"VALID","Verifica ID, echipe, mod si cutoff &lt; kickoff",IF(H7&lt;&gt;"READY",IF('Input_Meci'!I7="ACCESS BLOCKED","Acces blocat: reia sursele",IF(BJ7&gt;0,"Istoric invalid sau conflict: verifica randurile native","Surse neinchise / post-cutoff / dovezi incomplete")),IF(OR('Input_Meci'!I7="NOT AVAILABLE",'Input_Meci'!I7="SOURCE CONFLICT"),'Input_Meci'!I7,IF(BK7&lt;&gt;"VALID","Parametri invalizi",IF(L7&lt;&gt;12,"Core / sample / prior insuficient",IF(AR7&lt;2,"N insuficient pentru dispersie",IF(AS7&lt;=0,"Media istorica trebuie sa fie pozitiva",IF(BI7&lt;&gt;"VALID","Context invalid","READY")))))))))</x:f>
        <x:v>READY</x:v>
      </x:c>
      <x:c r="K7" s="2" t="n">
        <x:f>IF(A7="","",COUNT(T7:AE7))</x:f>
        <x:v>12</x:v>
      </x:c>
      <x:c r="L7" s="2" t="n">
        <x:f>IF(A7="","",COUNT(AF7:AQ7))</x:f>
        <x:v>12</x:v>
      </x:c>
      <x:c r="M7" s="2" t="str">
        <x:f>IF(A7="","",IF(OR('Core_Nativ'!M18&lt;'Core_Nativ'!P18,'Core_Nativ'!M19&lt;'Core_Nativ'!P19,'Core_Nativ'!M20&lt;'Core_Nativ'!P20,'Core_Nativ'!M21&lt;'Core_Nativ'!P21,'Core_Nativ'!M22&lt;'Core_Nativ'!P22,'Core_Nativ'!M23&lt;'Core_Nativ'!P23),"YES","NO"))</x:f>
        <x:v>NO</x:v>
      </x:c>
      <x:c r="N7" s="2" t="n">
        <x:f>IF(A7="","",'Core_Nativ'!M18)</x:f>
        <x:v>37</x:v>
      </x:c>
      <x:c r="O7" s="2" t="n">
        <x:f>IF(A7="","",'Core_Nativ'!M19)</x:f>
        <x:v>18</x:v>
      </x:c>
      <x:c r="P7" s="2" t="n">
        <x:f>IF(A7="","",'Core_Nativ'!M20)</x:f>
        <x:v>5</x:v>
      </x:c>
      <x:c r="Q7" s="2" t="n">
        <x:f>IF(A7="","",'Core_Nativ'!M21)</x:f>
        <x:v>37</x:v>
      </x:c>
      <x:c r="R7" s="2" t="n">
        <x:f>IF(A7="","",'Core_Nativ'!M22)</x:f>
        <x:v>18</x:v>
      </x:c>
      <x:c r="S7" s="2" t="n">
        <x:f>IF(A7="","",'Core_Nativ'!M23)</x:f>
        <x:v>5</x:v>
      </x:c>
      <x:c r="T7" s="11" t="n">
        <x:f>IF(OR(A7="",'Core_Nativ'!M18=0),"",'Core_Nativ'!N18)</x:f>
        <x:v>3.5405405405405403</x:v>
      </x:c>
      <x:c r="U7" s="11" t="n">
        <x:f>IF(OR(A7="",'Core_Nativ'!M18=0),"",'Core_Nativ'!O18)</x:f>
        <x:v>5.972972972972973</x:v>
      </x:c>
      <x:c r="V7" s="11" t="n">
        <x:f>IF(OR(A7="",'Core_Nativ'!M19=0),"",'Core_Nativ'!N19)</x:f>
        <x:v>3.5555555555555554</x:v>
      </x:c>
      <x:c r="W7" s="11" t="n">
        <x:f>IF(OR(A7="",'Core_Nativ'!M19=0),"",'Core_Nativ'!O19)</x:f>
        <x:v>5.888888888888889</x:v>
      </x:c>
      <x:c r="X7" s="11" t="n">
        <x:f>IF(OR(A7="",'Core_Nativ'!M20=0),"",'Core_Nativ'!N20)</x:f>
        <x:v>2.4</x:v>
      </x:c>
      <x:c r="Y7" s="11" t="n">
        <x:f>IF(OR(A7="",'Core_Nativ'!M20=0),"",'Core_Nativ'!O20)</x:f>
        <x:v>6.2</x:v>
      </x:c>
      <x:c r="Z7" s="11" t="n">
        <x:f>IF(OR(A7="",'Core_Nativ'!M21=0),"",'Core_Nativ'!N21)</x:f>
        <x:v>3.324324324324324</x:v>
      </x:c>
      <x:c r="AA7" s="11" t="n">
        <x:f>IF(OR(A7="",'Core_Nativ'!M21=0),"",'Core_Nativ'!O21)</x:f>
        <x:v>5.972972972972973</x:v>
      </x:c>
      <x:c r="AB7" s="11" t="n">
        <x:f>IF(OR(A7="",'Core_Nativ'!M22=0),"",'Core_Nativ'!N22)</x:f>
        <x:v>3.5</x:v>
      </x:c>
      <x:c r="AC7" s="11" t="n">
        <x:f>IF(OR(A7="",'Core_Nativ'!M22=0),"",'Core_Nativ'!O22)</x:f>
        <x:v>6.611111111111111</x:v>
      </x:c>
      <x:c r="AD7" s="11" t="n">
        <x:f>IF(OR(A7="",'Core_Nativ'!M23=0),"",'Core_Nativ'!N23)</x:f>
        <x:v>4.2</x:v>
      </x:c>
      <x:c r="AE7" s="11" t="n">
        <x:f>IF(OR(A7="",'Core_Nativ'!M23=0),"",'Core_Nativ'!O23)</x:f>
        <x:v>5.2</x:v>
      </x:c>
      <x:c r="AF7" s="11" t="n">
        <x:f>IF(A7="","",IF(AND('Core_Nativ'!R18="CLOSED",'Core_Nativ'!S18=0),IF('Core_Nativ'!M18&gt;='Core_Nativ'!P18,'Core_Nativ'!N18,IF(AND('Input_Meci'!L7="YES",'Input_Meci'!K7&lt;&gt;"",'Input_Meci'!K7&lt;C7,'Core_Nativ'!T24="DERIVED",'Core_Nativ'!M24&gt;='Core_Nativ'!P18),MIN(1,'Core_Nativ'!M18/'Core_Nativ'!P18)*IF('Core_Nativ'!M18=0,0,'Core_Nativ'!N18)+(1-MIN(1,'Core_Nativ'!M18/'Core_Nativ'!P18))*'Core_Nativ'!N24,"")),""))</x:f>
        <x:v>3.5405405405405403</x:v>
      </x:c>
      <x:c r="AG7" s="11" t="n">
        <x:f>IF(A7="","",IF(AND('Core_Nativ'!R18="CLOSED",'Core_Nativ'!S18=0),IF('Core_Nativ'!M18&gt;='Core_Nativ'!P18,'Core_Nativ'!O18,IF(AND('Input_Meci'!L7="YES",'Input_Meci'!K7&lt;&gt;"",'Input_Meci'!K7&lt;C7,'Core_Nativ'!T24="DERIVED",'Core_Nativ'!M24&gt;='Core_Nativ'!P18),MIN(1,'Core_Nativ'!M18/'Core_Nativ'!P18)*IF('Core_Nativ'!M18=0,0,'Core_Nativ'!O18)+(1-MIN(1,'Core_Nativ'!M18/'Core_Nativ'!P18))*'Core_Nativ'!O24,"")),""))</x:f>
        <x:v>5.972972972972973</x:v>
      </x:c>
      <x:c r="AH7" s="11" t="n">
        <x:f>IF(A7="","",IF(AND('Core_Nativ'!R19="CLOSED",'Core_Nativ'!S19=0),IF('Core_Nativ'!M19&gt;='Core_Nativ'!P19,'Core_Nativ'!N19,IF(AND('Input_Meci'!L7="YES",'Input_Meci'!K7&lt;&gt;"",'Input_Meci'!K7&lt;C7,'Core_Nativ'!T25="DERIVED",'Core_Nativ'!M25&gt;='Core_Nativ'!P19),MIN(1,'Core_Nativ'!M19/'Core_Nativ'!P19)*IF('Core_Nativ'!M19=0,0,'Core_Nativ'!N19)+(1-MIN(1,'Core_Nativ'!M19/'Core_Nativ'!P19))*'Core_Nativ'!N25,"")),""))</x:f>
        <x:v>3.5555555555555554</x:v>
      </x:c>
      <x:c r="AI7" s="11" t="n">
        <x:f>IF(A7="","",IF(AND('Core_Nativ'!R19="CLOSED",'Core_Nativ'!S19=0),IF('Core_Nativ'!M19&gt;='Core_Nativ'!P19,'Core_Nativ'!O19,IF(AND('Input_Meci'!L7="YES",'Input_Meci'!K7&lt;&gt;"",'Input_Meci'!K7&lt;C7,'Core_Nativ'!T25="DERIVED",'Core_Nativ'!M25&gt;='Core_Nativ'!P19),MIN(1,'Core_Nativ'!M19/'Core_Nativ'!P19)*IF('Core_Nativ'!M19=0,0,'Core_Nativ'!O19)+(1-MIN(1,'Core_Nativ'!M19/'Core_Nativ'!P19))*'Core_Nativ'!O25,"")),""))</x:f>
        <x:v>5.888888888888889</x:v>
      </x:c>
      <x:c r="AJ7" s="11" t="n">
        <x:f>IF(A7="","",IF(AND('Core_Nativ'!R20="CLOSED",'Core_Nativ'!S20=0),IF('Core_Nativ'!M20&gt;='Core_Nativ'!P20,'Core_Nativ'!N20,IF(AND('Input_Meci'!L7="YES",'Input_Meci'!K7&lt;&gt;"",'Input_Meci'!K7&lt;C7,'Core_Nativ'!T26="DERIVED",'Core_Nativ'!M26&gt;='Core_Nativ'!P20),MIN(1,'Core_Nativ'!M20/'Core_Nativ'!P20)*IF('Core_Nativ'!M20=0,0,'Core_Nativ'!N20)+(1-MIN(1,'Core_Nativ'!M20/'Core_Nativ'!P20))*'Core_Nativ'!N26,"")),""))</x:f>
        <x:v>2.4</x:v>
      </x:c>
      <x:c r="AK7" s="11" t="n">
        <x:f>IF(A7="","",IF(AND('Core_Nativ'!R20="CLOSED",'Core_Nativ'!S20=0),IF('Core_Nativ'!M20&gt;='Core_Nativ'!P20,'Core_Nativ'!O20,IF(AND('Input_Meci'!L7="YES",'Input_Meci'!K7&lt;&gt;"",'Input_Meci'!K7&lt;C7,'Core_Nativ'!T26="DERIVED",'Core_Nativ'!M26&gt;='Core_Nativ'!P20),MIN(1,'Core_Nativ'!M20/'Core_Nativ'!P20)*IF('Core_Nativ'!M20=0,0,'Core_Nativ'!O20)+(1-MIN(1,'Core_Nativ'!M20/'Core_Nativ'!P20))*'Core_Nativ'!O26,"")),""))</x:f>
        <x:v>6.2</x:v>
      </x:c>
      <x:c r="AL7" s="11" t="n">
        <x:f>IF(A7="","",IF(AND('Core_Nativ'!R21="CLOSED",'Core_Nativ'!S21=0),IF('Core_Nativ'!M21&gt;='Core_Nativ'!P21,'Core_Nativ'!N21,IF(AND('Input_Meci'!L7="YES",'Input_Meci'!K7&lt;&gt;"",'Input_Meci'!K7&lt;C7,'Core_Nativ'!T27="DERIVED",'Core_Nativ'!M27&gt;='Core_Nativ'!P21),MIN(1,'Core_Nativ'!M21/'Core_Nativ'!P21)*IF('Core_Nativ'!M21=0,0,'Core_Nativ'!N21)+(1-MIN(1,'Core_Nativ'!M21/'Core_Nativ'!P21))*'Core_Nativ'!N27,"")),""))</x:f>
        <x:v>3.324324324324324</x:v>
      </x:c>
      <x:c r="AM7" s="11" t="n">
        <x:f>IF(A7="","",IF(AND('Core_Nativ'!R21="CLOSED",'Core_Nativ'!S21=0),IF('Core_Nativ'!M21&gt;='Core_Nativ'!P21,'Core_Nativ'!O21,IF(AND('Input_Meci'!L7="YES",'Input_Meci'!K7&lt;&gt;"",'Input_Meci'!K7&lt;C7,'Core_Nativ'!T27="DERIVED",'Core_Nativ'!M27&gt;='Core_Nativ'!P21),MIN(1,'Core_Nativ'!M21/'Core_Nativ'!P21)*IF('Core_Nativ'!M21=0,0,'Core_Nativ'!O21)+(1-MIN(1,'Core_Nativ'!M21/'Core_Nativ'!P21))*'Core_Nativ'!O27,"")),""))</x:f>
        <x:v>5.972972972972973</x:v>
      </x:c>
      <x:c r="AN7" s="11" t="n">
        <x:f>IF(A7="","",IF(AND('Core_Nativ'!R22="CLOSED",'Core_Nativ'!S22=0),IF('Core_Nativ'!M22&gt;='Core_Nativ'!P22,'Core_Nativ'!N22,IF(AND('Input_Meci'!L7="YES",'Input_Meci'!K7&lt;&gt;"",'Input_Meci'!K7&lt;C7,'Core_Nativ'!T28="DERIVED",'Core_Nativ'!M28&gt;='Core_Nativ'!P22),MIN(1,'Core_Nativ'!M22/'Core_Nativ'!P22)*IF('Core_Nativ'!M22=0,0,'Core_Nativ'!N22)+(1-MIN(1,'Core_Nativ'!M22/'Core_Nativ'!P22))*'Core_Nativ'!N28,"")),""))</x:f>
        <x:v>3.5</x:v>
      </x:c>
      <x:c r="AO7" s="11" t="n">
        <x:f>IF(A7="","",IF(AND('Core_Nativ'!R22="CLOSED",'Core_Nativ'!S22=0),IF('Core_Nativ'!M22&gt;='Core_Nativ'!P22,'Core_Nativ'!O22,IF(AND('Input_Meci'!L7="YES",'Input_Meci'!K7&lt;&gt;"",'Input_Meci'!K7&lt;C7,'Core_Nativ'!T28="DERIVED",'Core_Nativ'!M28&gt;='Core_Nativ'!P22),MIN(1,'Core_Nativ'!M22/'Core_Nativ'!P22)*IF('Core_Nativ'!M22=0,0,'Core_Nativ'!O22)+(1-MIN(1,'Core_Nativ'!M22/'Core_Nativ'!P22))*'Core_Nativ'!O28,"")),""))</x:f>
        <x:v>6.611111111111111</x:v>
      </x:c>
      <x:c r="AP7" s="11" t="n">
        <x:f>IF(A7="","",IF(AND('Core_Nativ'!R23="CLOSED",'Core_Nativ'!S23=0),IF('Core_Nativ'!M23&gt;='Core_Nativ'!P23,'Core_Nativ'!N23,IF(AND('Input_Meci'!L7="YES",'Input_Meci'!K7&lt;&gt;"",'Input_Meci'!K7&lt;C7,'Core_Nativ'!T29="DERIVED",'Core_Nativ'!M29&gt;='Core_Nativ'!P23),MIN(1,'Core_Nativ'!M23/'Core_Nativ'!P23)*IF('Core_Nativ'!M23=0,0,'Core_Nativ'!N23)+(1-MIN(1,'Core_Nativ'!M23/'Core_Nativ'!P23))*'Core_Nativ'!N29,"")),""))</x:f>
        <x:v>4.2</x:v>
      </x:c>
      <x:c r="AQ7" s="11" t="n">
        <x:f>IF(A7="","",IF(AND('Core_Nativ'!R23="CLOSED",'Core_Nativ'!S23=0),IF('Core_Nativ'!M23&gt;='Core_Nativ'!P23,'Core_Nativ'!O23,IF(AND('Input_Meci'!L7="YES",'Input_Meci'!K7&lt;&gt;"",'Input_Meci'!K7&lt;C7,'Core_Nativ'!T29="DERIVED",'Core_Nativ'!M29&gt;='Core_Nativ'!P23),MIN(1,'Core_Nativ'!M23/'Core_Nativ'!P23)*IF('Core_Nativ'!M23=0,0,'Core_Nativ'!O23)+(1-MIN(1,'Core_Nativ'!M23/'Core_Nativ'!P23))*'Core_Nativ'!O29,"")),""))</x:f>
        <x:v>5.2</x:v>
      </x:c>
      <x:c r="AR7" s="11" t="n">
        <x:f>IF(A7="","",SUMPRODUCT(('Istoric_Nativ'!$B$6:$B$405=B7)*('Istoric_Nativ'!$C$6:$C$405=BL7)*('Istoric_Nativ'!$P$6:$P$405=1)*('Istoric_Nativ'!$D$6:$D$405&lt;INT(G7))*((('Istoric_Nativ'!$E$6:$E$405='Input_Meci'!D7)+('Istoric_Nativ'!$F$6:$F$405='Input_Meci'!D7)+('Istoric_Nativ'!$E$6:$E$405='Input_Meci'!E7)+('Istoric_Nativ'!$F$6:$F$405='Input_Meci'!E7))&gt;0)))</x:f>
        <x:v>73</x:v>
      </x:c>
      <x:c r="AS7" s="11" t="n">
        <x:f>IF(AR7=0,"",SUMPRODUCT(('Istoric_Nativ'!$B$6:$B$405=B7)*('Istoric_Nativ'!$C$6:$C$405=BL7)*('Istoric_Nativ'!$P$6:$P$405=1)*('Istoric_Nativ'!$D$6:$D$405&lt;INT(G7))*((('Istoric_Nativ'!$E$6:$E$405='Input_Meci'!D7)+('Istoric_Nativ'!$F$6:$F$405='Input_Meci'!D7)+('Istoric_Nativ'!$E$6:$E$405='Input_Meci'!E7)+('Istoric_Nativ'!$F$6:$F$405='Input_Meci'!E7))&gt;0)*'Istoric_Nativ'!$Q$6:$Q$405)/AR7)</x:f>
        <x:v>9.424657534246576</x:v>
      </x:c>
      <x:c r="AT7" s="11" t="n">
        <x:f>IF(AR7&lt;2,"",MAX(0,(SUMPRODUCT(('Istoric_Nativ'!$B$6:$B$405=B7)*('Istoric_Nativ'!$C$6:$C$405=BL7)*('Istoric_Nativ'!$P$6:$P$405=1)*('Istoric_Nativ'!$D$6:$D$405&lt;INT(G7))*((('Istoric_Nativ'!$E$6:$E$405='Input_Meci'!D7)+('Istoric_Nativ'!$F$6:$F$405='Input_Meci'!D7)+('Istoric_Nativ'!$E$6:$E$405='Input_Meci'!E7)+('Istoric_Nativ'!$F$6:$F$405='Input_Meci'!E7))&gt;0)*'Istoric_Nativ'!$R$6:$R$405)-AR7*AS7^2)/(AR7-1)))</x:f>
        <x:v>9.831050228310485</x:v>
      </x:c>
      <x:c r="AU7" s="11" t="n">
        <x:f>IF(I7&lt;&gt;"PASS","",AT7/AS7)</x:f>
        <x:v>1.0431201550387579</x:v>
      </x:c>
      <x:c r="AV7" s="11" t="str">
        <x:f>IF(I7&lt;&gt;"PASS","",IF(AU7&lt;='Config_v6'!$B$10,"POISSON","NEGATIVE BINOMIAL"))</x:f>
        <x:v>POISSON</x:v>
      </x:c>
      <x:c r="AW7" s="11" t="n">
        <x:f>IF(I7&lt;&gt;"PASS","",IF(AV7="POISSON",9999,AS7/(AU7-1)))</x:f>
        <x:v>9999</x:v>
      </x:c>
      <x:c r="AX7" s="11" t="n">
        <x:f>IF(A7="","",MAX(1-'Config_v6'!$B$20,MIN(1+'Config_v6'!$B$20,1+0.02*(IF(AND(ISNUMBER('Input_Meci'!N7),'Input_Meci'!N7&gt;=0,'Input_Meci'!N7&lt;=200),'Input_Meci'!N7,12)/12-1)+0.02*(IF(AND(ISNUMBER('Input_Meci'!P7),'Input_Meci'!P7&gt;=0,'Input_Meci'!P7&lt;=200),'Input_Meci'!P7,3.5)/3.5-1)+0.02*(IF(AND(ISNUMBER('Input_Meci'!R7),'Input_Meci'!R7&gt;=0,'Input_Meci'!R7&lt;=200),'Input_Meci'!R7,18)/18-1)+0.02*((IF(AND(ISNUMBER('Input_Meci'!V7),'Input_Meci'!V7&gt;=0,'Input_Meci'!V7&lt;=10),'Input_Meci'!V7,5)-5)/5))))</x:f>
        <x:v>1</x:v>
      </x:c>
      <x:c r="AY7" s="11" t="n">
        <x:f>IF(A7="","",MAX(1-'Config_v6'!$B$20,MIN(1+'Config_v6'!$B$20,1+0.02*(IF(AND(ISNUMBER('Input_Meci'!O7),'Input_Meci'!O7&gt;=0,'Input_Meci'!O7&lt;=200),'Input_Meci'!O7,12)/12-1)+0.02*(IF(AND(ISNUMBER('Input_Meci'!Q7),'Input_Meci'!Q7&gt;=0,'Input_Meci'!Q7&lt;=200),'Input_Meci'!Q7,3.5)/3.5-1)+0.02*(IF(AND(ISNUMBER('Input_Meci'!S7),'Input_Meci'!S7&gt;=0,'Input_Meci'!S7&lt;=200),'Input_Meci'!S7,18)/18-1)+0.02*((IF(AND(ISNUMBER('Input_Meci'!W7),'Input_Meci'!W7&gt;=0,'Input_Meci'!W7&lt;=10),'Input_Meci'!W7,5)-5)/5))))</x:f>
        <x:v>1</x:v>
      </x:c>
      <x:c r="AZ7" s="11" t="n">
        <x:f>IF(A7="","",MAX(1-'Config_v6'!$B$21,MIN(1+'Config_v6'!$B$21,1+0.012*(IF('Input_Meci'!X7="",5,IF(ISNUMBER('Input_Meci'!X7),'Input_Meci'!X7,5))-5)+0.018*(IF('Input_Meci'!Z7="",5,IF(ISNUMBER('Input_Meci'!Z7),'Input_Meci'!Z7,5))-5)+0.012*(IF('Input_Meci'!AB7="",5,IF(ISNUMBER('Input_Meci'!AB7),'Input_Meci'!AB7,5))-5)+0.015*IF('Input_Meci'!AD7="",0,IF(ISNUMBER('Input_Meci'!AD7),'Input_Meci'!AD7,0))+0.02*IF('Input_Meci'!AF7="",0,IF(ISNUMBER('Input_Meci'!AF7),'Input_Meci'!AF7,0)))))</x:f>
        <x:v>1</x:v>
      </x:c>
      <x:c r="BA7" s="11" t="n">
        <x:f>IF(A7="","",MAX(1-'Config_v6'!$B$21,MIN(1+'Config_v6'!$B$21,1+0.012*(IF('Input_Meci'!Y7="",5,IF(ISNUMBER('Input_Meci'!Y7),'Input_Meci'!Y7,5))-5)+0.018*(IF('Input_Meci'!AA7="",5,IF(ISNUMBER('Input_Meci'!AA7),'Input_Meci'!AA7,5))-5)+0.012*(IF('Input_Meci'!AC7="",5,IF(ISNUMBER('Input_Meci'!AC7),'Input_Meci'!AC7,5))-5)+0.015*IF('Input_Meci'!AE7="",0,IF(ISNUMBER('Input_Meci'!AE7),'Input_Meci'!AE7,0))+0.02*IF('Input_Meci'!AG7="",0,IF(ISNUMBER('Input_Meci'!AG7),'Input_Meci'!AG7,0)))))</x:f>
        <x:v>1</x:v>
      </x:c>
      <x:c r="BB7" s="11" t="n">
        <x:f>IF(I7&lt;&gt;"PASS","",(AVERAGE(AF7,AM7)*'Config_v6'!$B$4+AVERAGE(AH7,AO7)*'Config_v6'!$B$5+AVERAGE(AJ7,AQ7)*'Config_v6'!$B$6)*AX7*AZ7)</x:f>
        <x:v>4.664527027027027</x:v>
      </x:c>
      <x:c r="BC7" s="11" t="n">
        <x:f>IF(I7&lt;&gt;"PASS","",(AVERAGE(AL7,AG7)*'Config_v6'!$B$4+AVERAGE(AN7,AI7)*'Config_v6'!$B$5+AVERAGE(AP7,AK7)*'Config_v6'!$B$6)*AY7*BA7)</x:f>
        <x:v>4.807094594594594</x:v>
      </x:c>
      <x:c r="BD7" s="11" t="n">
        <x:f>IF(I7&lt;&gt;"PASS","",BB7+BC7)</x:f>
        <x:v>9.471621621621622</x:v>
      </x:c>
      <x:c r="BE7" s="11" t="n">
        <x:f>IF(A7="","",10-SUM(IF(AND(ISNUMBER('Input_Meci'!N7),'Input_Meci'!N7&gt;=0,'Input_Meci'!N7&lt;=200),1,0),IF(AND(ISNUMBER('Input_Meci'!O7),'Input_Meci'!O7&gt;=0,'Input_Meci'!O7&lt;=200),1,0),IF(AND(ISNUMBER('Input_Meci'!P7),'Input_Meci'!P7&gt;=0,'Input_Meci'!P7&lt;=200),1,0),IF(AND(ISNUMBER('Input_Meci'!Q7),'Input_Meci'!Q7&gt;=0,'Input_Meci'!Q7&lt;=200),1,0),IF(AND(ISNUMBER('Input_Meci'!R7),'Input_Meci'!R7&gt;=0,'Input_Meci'!R7&lt;=200),1,0),IF(AND(ISNUMBER('Input_Meci'!S7),'Input_Meci'!S7&gt;=0,'Input_Meci'!S7&lt;=200),1,0),IF(AND(ISNUMBER('Input_Meci'!T7),'Input_Meci'!T7&gt;=0,'Input_Meci'!T7&lt;=100),1,0),IF(AND(ISNUMBER('Input_Meci'!U7),'Input_Meci'!U7&gt;=0,'Input_Meci'!U7&lt;=100),1,0),IF(AND(ISNUMBER('Input_Meci'!V7),'Input_Meci'!V7&gt;=0,'Input_Meci'!V7&lt;=10),1,0),IF(AND(ISNUMBER('Input_Meci'!W7),'Input_Meci'!W7&gt;=0,'Input_Meci'!W7&lt;=10),1,0)))</x:f>
        <x:v>10</x:v>
      </x:c>
      <x:c r="BF7" s="11" t="n">
        <x:f>IF(I7&lt;&gt;"PASS","",MAX(0,MIN(IF(OR(M7="YES",BL7&lt;&gt;C7),'Config_v6'!$B$34,100),ROUND(40+25*MIN(1,MIN(N7,Q7)/'Config_v6'!$B$7)*MIN(1,MIN(O7,R7)/'Config_v6'!$B$8)*MIN(1,MIN(P7,S7)/'Config_v6'!$B$9)+MAX(0,15-2*ABS(AF7-AJ7)-2*ABS(AL7-AP7))+IF(AU7&lt;='Config_v6'!$B$10,15,IF(AU7&lt;='Config_v6'!$B$11,13,IF(AU7&lt;='Config_v6'!$B$12,10,IF(AU7&lt;='Config_v6'!$B$13,6,0))))+5-BE7/10*'Config_v6'!$B$38,0))))</x:f>
        <x:v>91</x:v>
      </x:c>
      <x:c r="BG7" s="11" t="n">
        <x:f>IF(I7&lt;&gt;"PASS","",MIN(1,'Config_v6'!$B$14*(0.7+0.3*MIN(1,AR7/'Config_v6'!$B$15))*IF(AU7&lt;='Config_v6'!$B$10,1,IF(AU7&lt;='Config_v6'!$B$11,0.95,IF(AU7&lt;='Config_v6'!$B$12,0.88,0.78)))*(0.75+0.25*BF7/100)))</x:f>
        <x:v>0.80155</x:v>
      </x:c>
      <x:c r="BH7" s="11" t="n">
        <x:f>IF(I7&lt;&gt;"PASS","",MIN(1,(ABS(AZ7-1)+ABS(BA7-1))*3))</x:f>
        <x:v>0</x:v>
      </x:c>
      <x:c r="BI7" s="2" t="str">
        <x:f>IF(A7="","",IF(AND(OR('Input_Meci'!X7="",AND(ISNUMBER('Input_Meci'!X7),'Input_Meci'!X7&gt;=0,'Input_Meci'!X7&lt;=10)),OR('Input_Meci'!Y7="",AND(ISNUMBER('Input_Meci'!Y7),'Input_Meci'!Y7&gt;=0,'Input_Meci'!Y7&lt;=10)),OR('Input_Meci'!Z7="",AND(ISNUMBER('Input_Meci'!Z7),'Input_Meci'!Z7&gt;=0,'Input_Meci'!Z7&lt;=10)),OR('Input_Meci'!AA7="",AND(ISNUMBER('Input_Meci'!AA7),'Input_Meci'!AA7&gt;=0,'Input_Meci'!AA7&lt;=10)),OR('Input_Meci'!AB7="",AND(ISNUMBER('Input_Meci'!AB7),'Input_Meci'!AB7&gt;=0,'Input_Meci'!AB7&lt;=10)),OR('Input_Meci'!AC7="",AND(ISNUMBER('Input_Meci'!AC7),'Input_Meci'!AC7&gt;=0,'Input_Meci'!AC7&lt;=10)),OR('Input_Meci'!AD7="",AND(ISNUMBER('Input_Meci'!AD7),'Input_Meci'!AD7&gt;=-2,'Input_Meci'!AD7&lt;=2)),OR('Input_Meci'!AE7="",AND(ISNUMBER('Input_Meci'!AE7),'Input_Meci'!AE7&gt;=-2,'Input_Meci'!AE7&lt;=2)),OR('Input_Meci'!AF7="",AND(ISNUMBER('Input_Meci'!AF7),'Input_Meci'!AF7&gt;=-2,'Input_Meci'!AF7&lt;=2)),OR('Input_Meci'!AG7="",AND(ISNUMBER('Input_Meci'!AG7),'Input_Meci'!AG7&gt;=-2,'Input_Meci'!AG7&lt;=2))),"VALID","INVALID"))</x:f>
        <x:v>VALID</x:v>
      </x:c>
      <x:c r="BJ7" s="2" t="n">
        <x:f>IF(A7="",0,SUM('Core_Nativ'!S18:S23))</x:f>
        <x:v>0</x:v>
      </x:c>
      <x:c r="BK7" s="2" t="str">
        <x:f>'Config_v6'!$B$40</x:f>
        <x:v>VALID</x:v>
      </x:c>
      <x:c r="BL7" s="2" t="str">
        <x:f>IF(A7="","",IF(SUMPRODUCT(('Istoric_Nativ'!$B$6:$B$405=B7)*('Istoric_Nativ'!$C$6:$C$405=C7)*('Istoric_Nativ'!$P$6:$P$405=1)*('Istoric_Nativ'!$D$6:$D$405&lt;INT(G7))*((('Istoric_Nativ'!$E$6:$E$405='Input_Meci'!D7)+('Istoric_Nativ'!$F$6:$F$405='Input_Meci'!D7)+('Istoric_Nativ'!$E$6:$E$405='Input_Meci'!E7)+('Istoric_Nativ'!$F$6:$F$405='Input_Meci'!E7))&gt;0))&gt;='Config_v6'!$B$41,C7,IF(AND('Input_Meci'!L7="YES",'Input_Meci'!K7&lt;&gt;"",'Input_Meci'!K7&lt;C7,COUNTIF('Core_Nativ'!R24:R29,"CLOSED")=6,SUM('Core_Nativ'!S24:S29)=0),'Input_Meci'!K7,C7)))</x:f>
        <x:v>2025/26</x:v>
      </x:c>
      <x:c r="BM7" s="9" t="n">
        <x:f>IF(OR(A7="",N7=0),0,LARGE(_xlfn._xlws.FILTER('Istoric_Nativ'!$D$6:$D$405,('Istoric_Nativ'!$B$6:$B$405=B7)*('Istoric_Nativ'!$C$6:$C$405=C7)*('Istoric_Nativ'!$P$6:$P$405=1)*('Istoric_Nativ'!$D$6:$D$405&lt;INT(G7))*((('Istoric_Nativ'!$E$6:$E$405='Input_Meci'!D7)+('Istoric_Nativ'!$F$6:$F$405='Input_Meci'!D7))&gt;0)),MIN(10,N7)))</x:f>
        <x:v>46081</x:v>
      </x:c>
      <x:c r="BN7" s="9" t="n">
        <x:f>IF(OR(A7="",Q7=0),0,LARGE(_xlfn._xlws.FILTER('Istoric_Nativ'!$D$6:$D$405,('Istoric_Nativ'!$B$6:$B$405=B7)*('Istoric_Nativ'!$C$6:$C$405=C7)*('Istoric_Nativ'!$P$6:$P$405=1)*('Istoric_Nativ'!$D$6:$D$405&lt;INT(G7))*((('Istoric_Nativ'!$E$6:$E$405='Input_Meci'!E7)+('Istoric_Nativ'!$F$6:$F$405='Input_Meci'!E7))&gt;0)),MIN(10,Q7)))</x:f>
        <x:v>46075</x:v>
      </x:c>
      <x:c r="BO7" s="9" t="n">
        <x:f>IF(OR(A7="",N7=0),0,LARGE(_xlfn._xlws.FILTER('Istoric_Nativ'!$D$6:$D$405,('Istoric_Nativ'!$B$6:$B$405=B7)*('Istoric_Nativ'!$C$6:$C$405=C7)*('Istoric_Nativ'!$P$6:$P$405=1)*('Istoric_Nativ'!$D$6:$D$405&lt;INT(G7))*((('Istoric_Nativ'!$E$6:$E$405='Input_Meci'!D7)+('Istoric_Nativ'!$F$6:$F$405='Input_Meci'!D7))&gt;0)),MIN(20,N7)))</x:f>
        <x:v>46018</x:v>
      </x:c>
      <x:c r="BP7" s="9" t="n">
        <x:f>IF(OR(A7="",Q7=0),0,LARGE(_xlfn._xlws.FILTER('Istoric_Nativ'!$D$6:$D$405,('Istoric_Nativ'!$B$6:$B$405=B7)*('Istoric_Nativ'!$C$6:$C$405=C7)*('Istoric_Nativ'!$P$6:$P$405=1)*('Istoric_Nativ'!$D$6:$D$405&lt;INT(G7))*((('Istoric_Nativ'!$E$6:$E$405='Input_Meci'!E7)+('Istoric_Nativ'!$F$6:$F$405='Input_Meci'!E7))&gt;0)),MIN(20,Q7)))</x:f>
        <x:v>46018</x:v>
      </x:c>
      <x:c r="BQ7" s="2" t="str">
        <x:f>IF(A7="","",IF(AND(COUNTIF(MatchesTable[Match_ID],A7)=1,COUNTIFS(MatchesTable[League],B7,MatchesTable[Season],C7,MatchesTable[Home],'Input_Meci'!D7,MatchesTable[Away],'Input_Meci'!E7,MatchesTable[Kickoff_UTC],F7)=1,B7&lt;&gt;"",C7&lt;&gt;"",'Input_Meci'!D7&lt;&gt;"",'Input_Meci'!E7&lt;&gt;"",'Input_Meci'!D7&lt;&gt;'Input_Meci'!E7,ISNUMBER(F7),ISNUMBER(G7),G7&lt;F7,OR(E7="LIVE",E7="REPLAY"),OR('Input_Meci'!L7="YES",'Input_Meci'!L7="NO",'Input_Meci'!L7="")),"VALID","INVALID"))</x:f>
        <x:v>VALID</x:v>
      </x:c>
      <x:c r="BR7" s="2" t="n">
        <x:f>IF(I7&lt;&gt;"PASS",0,SUMPRODUCT(('Istoric_Nativ'!$B$6:$B$405='Input_Meci'!B7)*('Istoric_Nativ'!$C$6:$C$405='Input_Meci'!C7)*('Istoric_Nativ'!$P$6:$P$405=1)*('Istoric_Nativ'!$D$6:$D$405&lt;INT('Input_Meci'!G7))*((('Istoric_Nativ'!$E$6:$E$405='Input_Meci'!D7)+('Istoric_Nativ'!$F$6:$F$405='Input_Meci'!E7))&gt;0)))</x:f>
        <x:v>36</x:v>
      </x:c>
      <x:c r="BS7" s="2" t="n">
        <x:f>IF(I7&lt;&gt;"PASS",0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BM7)+((('Istoric_Nativ'!$E$6:$E$405='Input_Meci'!E7)+('Istoric_Nativ'!$F$6:$F$405='Input_Meci'!E7))&gt;0)*('Istoric_Nativ'!$D$6:$D$405&gt;=BN7))&gt;0)))</x:f>
        <x:v>20</x:v>
      </x:c>
      <x:c r="BT7" s="2" t="n">
        <x:f>IF(I7&lt;&gt;"PASS",0,SUMPRODUCT(('Istoric_Nativ'!$B$6:$B$405='Input_Meci'!B7)*('Istoric_Nativ'!$C$6:$C$405='Input_Meci'!C7)*('Istoric_Nativ'!$P$6:$P$405=1)*('Istoric_Nativ'!$D$6:$D$405&lt;INT('Input_Meci'!G7))*((((('Istoric_Nativ'!$E$6:$E$405='Input_Meci'!D7)+('Istoric_Nativ'!$F$6:$F$405='Input_Meci'!D7))&gt;0)*('Istoric_Nativ'!$D$6:$D$405&gt;=BO7)+((('Istoric_Nativ'!$E$6:$E$405='Input_Meci'!E7)+('Istoric_Nativ'!$F$6:$F$405='Input_Meci'!E7))&gt;0)*('Istoric_Nativ'!$D$6:$D$405&gt;=BP7))&gt;0)))</x:f>
        <x:v>40</x:v>
      </x:c>
    </x:row>
    <x:row r="8" ht="21" customHeight="1">
      <x:c r="A8" s="2" t="str">
        <x:f>IF('Input_Meci'!A8="","",'Input_Meci'!A8)</x:f>
        <x:v>REPLAY_3</x:v>
      </x:c>
      <x:c r="B8" s="2" t="str">
        <x:f>IF(A8="","",'Input_Meci'!B8)</x:f>
        <x:v>E0</x:v>
      </x:c>
      <x:c r="C8" s="2" t="str">
        <x:f>IF(A8="","",'Input_Meci'!C8)</x:f>
        <x:v>2025/26</x:v>
      </x:c>
      <x:c r="D8" s="2" t="str">
        <x:f>IF(A8="","",'Input_Meci'!D8&amp;" – "&amp;'Input_Meci'!E8)</x:f>
        <x:v>Crystal Palace – Arsenal</x:v>
      </x:c>
      <x:c r="E8" s="2" t="str">
        <x:f>IF(A8="","",'Input_Meci'!H8)</x:f>
        <x:v>REPLAY</x:v>
      </x:c>
      <x:c r="F8" s="9" t="n">
        <x:f>IF(A8="","",'Input_Meci'!F8)</x:f>
        <x:v>46166</x:v>
      </x:c>
      <x:c r="G8" s="9" t="n">
        <x:f>IF(A8="","",'Input_Meci'!G8)</x:f>
        <x:v>46165.958333333336</x:v>
      </x:c>
      <x:c r="H8" s="2" t="str">
        <x:f>IF(A8="","",IF(BQ8&lt;&gt;"VALID","NOT RELEASED",IF(AND(OR('Input_Meci'!I8="NOT AVAILABLE",'Input_Meci'!I8="SOURCE CONFLICT"),'Input_Meci'!J8&lt;&gt;""),"READY",IF(OR(NOT(OR('Input_Meci'!I8="AUTO",'Input_Meci'!I8="")),COUNTIF('Core_Nativ'!R30:R35,"CLOSED")&lt;&gt;6,BJ8&gt;0),"NOT RELEASED","READY"))))</x:f>
        <x:v>READY</x:v>
      </x:c>
      <x:c r="I8" s="2" t="str">
        <x:f>IF(A8="","",IF(H8&lt;&gt;"READY","NOT RELEASED",IF(AND(NOT(OR('Input_Meci'!I8="NOT AVAILABLE",'Input_Meci'!I8="SOURCE CONFLICT")),L8=12,AR8&gt;=2,AS8&gt;0,ISNUMBER(AT8),BI8="VALID",BK8="VALID"),"PASS","FAIL")))</x:f>
        <x:v>PASS</x:v>
      </x:c>
      <x:c r="J8" s="2" t="str">
        <x:f>IF(A8="","",IF(BQ8&lt;&gt;"VALID","Verifica ID, echipe, mod si cutoff &lt; kickoff",IF(H8&lt;&gt;"READY",IF('Input_Meci'!I8="ACCESS BLOCKED","Acces blocat: reia sursele",IF(BJ8&gt;0,"Istoric invalid sau conflict: verifica randurile native","Surse neinchise / post-cutoff / dovezi incomplete")),IF(OR('Input_Meci'!I8="NOT AVAILABLE",'Input_Meci'!I8="SOURCE CONFLICT"),'Input_Meci'!I8,IF(BK8&lt;&gt;"VALID","Parametri invalizi",IF(L8&lt;&gt;12,"Core / sample / prior insuficient",IF(AR8&lt;2,"N insuficient pentru dispersie",IF(AS8&lt;=0,"Media istorica trebuie sa fie pozitiva",IF(BI8&lt;&gt;"VALID","Context invalid","READY")))))))))</x:f>
        <x:v>READY</x:v>
      </x:c>
      <x:c r="K8" s="2" t="n">
        <x:f>IF(A8="","",COUNT(T8:AE8))</x:f>
        <x:v>12</x:v>
      </x:c>
      <x:c r="L8" s="2" t="n">
        <x:f>IF(A8="","",COUNT(AF8:AQ8))</x:f>
        <x:v>12</x:v>
      </x:c>
      <x:c r="M8" s="2" t="str">
        <x:f>IF(A8="","",IF(OR('Core_Nativ'!M30&lt;'Core_Nativ'!P30,'Core_Nativ'!M31&lt;'Core_Nativ'!P31,'Core_Nativ'!M32&lt;'Core_Nativ'!P32,'Core_Nativ'!M33&lt;'Core_Nativ'!P33,'Core_Nativ'!M34&lt;'Core_Nativ'!P34,'Core_Nativ'!M35&lt;'Core_Nativ'!P35),"YES","NO"))</x:f>
        <x:v>NO</x:v>
      </x:c>
      <x:c r="N8" s="2" t="n">
        <x:f>IF(A8="","",'Core_Nativ'!M30)</x:f>
        <x:v>37</x:v>
      </x:c>
      <x:c r="O8" s="2" t="n">
        <x:f>IF(A8="","",'Core_Nativ'!M31)</x:f>
        <x:v>18</x:v>
      </x:c>
      <x:c r="P8" s="2" t="n">
        <x:f>IF(A8="","",'Core_Nativ'!M32)</x:f>
        <x:v>5</x:v>
      </x:c>
      <x:c r="Q8" s="2" t="n">
        <x:f>IF(A8="","",'Core_Nativ'!M33)</x:f>
        <x:v>37</x:v>
      </x:c>
      <x:c r="R8" s="2" t="n">
        <x:f>IF(A8="","",'Core_Nativ'!M34)</x:f>
        <x:v>18</x:v>
      </x:c>
      <x:c r="S8" s="2" t="n">
        <x:f>IF(A8="","",'Core_Nativ'!M35)</x:f>
        <x:v>5</x:v>
      </x:c>
      <x:c r="T8" s="11" t="n">
        <x:f>IF(OR(A8="",'Core_Nativ'!M30=0),"",'Core_Nativ'!N30)</x:f>
        <x:v>4.243243243243243</x:v>
      </x:c>
      <x:c r="U8" s="11" t="n">
        <x:f>IF(OR(A8="",'Core_Nativ'!M30=0),"",'Core_Nativ'!O30)</x:f>
        <x:v>5.27027027027027</x:v>
      </x:c>
      <x:c r="V8" s="11" t="n">
        <x:f>IF(OR(A8="",'Core_Nativ'!M31=0),"",'Core_Nativ'!N31)</x:f>
        <x:v>4.444444444444445</x:v>
      </x:c>
      <x:c r="W8" s="11" t="n">
        <x:f>IF(OR(A8="",'Core_Nativ'!M31=0),"",'Core_Nativ'!O31)</x:f>
        <x:v>4.388888888888889</x:v>
      </x:c>
      <x:c r="X8" s="11" t="n">
        <x:f>IF(OR(A8="",'Core_Nativ'!M32=0),"",'Core_Nativ'!N32)</x:f>
        <x:v>4.4</x:v>
      </x:c>
      <x:c r="Y8" s="11" t="n">
        <x:f>IF(OR(A8="",'Core_Nativ'!M32=0),"",'Core_Nativ'!O32)</x:f>
        <x:v>8</x:v>
      </x:c>
      <x:c r="Z8" s="11" t="n">
        <x:f>IF(OR(A8="",'Core_Nativ'!M33=0),"",'Core_Nativ'!N33)</x:f>
        <x:v>5.72972972972973</x:v>
      </x:c>
      <x:c r="AA8" s="11" t="n">
        <x:f>IF(OR(A8="",'Core_Nativ'!M33=0),"",'Core_Nativ'!O33)</x:f>
        <x:v>3.3783783783783785</x:v>
      </x:c>
      <x:c r="AB8" s="11" t="n">
        <x:f>IF(OR(A8="",'Core_Nativ'!M34=0),"",'Core_Nativ'!N34)</x:f>
        <x:v>5.555555555555555</x:v>
      </x:c>
      <x:c r="AC8" s="11" t="n">
        <x:f>IF(OR(A8="",'Core_Nativ'!M34=0),"",'Core_Nativ'!O34)</x:f>
        <x:v>3.888888888888889</x:v>
      </x:c>
      <x:c r="AD8" s="11" t="n">
        <x:f>IF(OR(A8="",'Core_Nativ'!M35=0),"",'Core_Nativ'!N35)</x:f>
        <x:v>4.2</x:v>
      </x:c>
      <x:c r="AE8" s="11" t="n">
        <x:f>IF(OR(A8="",'Core_Nativ'!M35=0),"",'Core_Nativ'!O35)</x:f>
        <x:v>4.2</x:v>
      </x:c>
      <x:c r="AF8" s="11" t="n">
        <x:f>IF(A8="","",IF(AND('Core_Nativ'!R30="CLOSED",'Core_Nativ'!S30=0),IF('Core_Nativ'!M30&gt;='Core_Nativ'!P30,'Core_Nativ'!N30,IF(AND('Input_Meci'!L8="YES",'Input_Meci'!K8&lt;&gt;"",'Input_Meci'!K8&lt;C8,'Core_Nativ'!T36="DERIVED",'Core_Nativ'!M36&gt;='Core_Nativ'!P30),MIN(1,'Core_Nativ'!M30/'Core_Nativ'!P30)*IF('Core_Nativ'!M30=0,0,'Core_Nativ'!N30)+(1-MIN(1,'Core_Nativ'!M30/'Core_Nativ'!P30))*'Core_Nativ'!N36,"")),""))</x:f>
        <x:v>4.243243243243243</x:v>
      </x:c>
      <x:c r="AG8" s="11" t="n">
        <x:f>IF(A8="","",IF(AND('Core_Nativ'!R30="CLOSED",'Core_Nativ'!S30=0),IF('Core_Nativ'!M30&gt;='Core_Nativ'!P30,'Core_Nativ'!O30,IF(AND('Input_Meci'!L8="YES",'Input_Meci'!K8&lt;&gt;"",'Input_Meci'!K8&lt;C8,'Core_Nativ'!T36="DERIVED",'Core_Nativ'!M36&gt;='Core_Nativ'!P30),MIN(1,'Core_Nativ'!M30/'Core_Nativ'!P30)*IF('Core_Nativ'!M30=0,0,'Core_Nativ'!O30)+(1-MIN(1,'Core_Nativ'!M30/'Core_Nativ'!P30))*'Core_Nativ'!O36,"")),""))</x:f>
        <x:v>5.27027027027027</x:v>
      </x:c>
      <x:c r="AH8" s="11" t="n">
        <x:f>IF(A8="","",IF(AND('Core_Nativ'!R31="CLOSED",'Core_Nativ'!S31=0),IF('Core_Nativ'!M31&gt;='Core_Nativ'!P31,'Core_Nativ'!N31,IF(AND('Input_Meci'!L8="YES",'Input_Meci'!K8&lt;&gt;"",'Input_Meci'!K8&lt;C8,'Core_Nativ'!T37="DERIVED",'Core_Nativ'!M37&gt;='Core_Nativ'!P31),MIN(1,'Core_Nativ'!M31/'Core_Nativ'!P31)*IF('Core_Nativ'!M31=0,0,'Core_Nativ'!N31)+(1-MIN(1,'Core_Nativ'!M31/'Core_Nativ'!P31))*'Core_Nativ'!N37,"")),""))</x:f>
        <x:v>4.444444444444445</x:v>
      </x:c>
      <x:c r="AI8" s="11" t="n">
        <x:f>IF(A8="","",IF(AND('Core_Nativ'!R31="CLOSED",'Core_Nativ'!S31=0),IF('Core_Nativ'!M31&gt;='Core_Nativ'!P31,'Core_Nativ'!O31,IF(AND('Input_Meci'!L8="YES",'Input_Meci'!K8&lt;&gt;"",'Input_Meci'!K8&lt;C8,'Core_Nativ'!T37="DERIVED",'Core_Nativ'!M37&gt;='Core_Nativ'!P31),MIN(1,'Core_Nativ'!M31/'Core_Nativ'!P31)*IF('Core_Nativ'!M31=0,0,'Core_Nativ'!O31)+(1-MIN(1,'Core_Nativ'!M31/'Core_Nativ'!P31))*'Core_Nativ'!O37,"")),""))</x:f>
        <x:v>4.388888888888889</x:v>
      </x:c>
      <x:c r="AJ8" s="11" t="n">
        <x:f>IF(A8="","",IF(AND('Core_Nativ'!R32="CLOSED",'Core_Nativ'!S32=0),IF('Core_Nativ'!M32&gt;='Core_Nativ'!P32,'Core_Nativ'!N32,IF(AND('Input_Meci'!L8="YES",'Input_Meci'!K8&lt;&gt;"",'Input_Meci'!K8&lt;C8,'Core_Nativ'!T38="DERIVED",'Core_Nativ'!M38&gt;='Core_Nativ'!P32),MIN(1,'Core_Nativ'!M32/'Core_Nativ'!P32)*IF('Core_Nativ'!M32=0,0,'Core_Nativ'!N32)+(1-MIN(1,'Core_Nativ'!M32/'Core_Nativ'!P32))*'Core_Nativ'!N38,"")),""))</x:f>
        <x:v>4.4</x:v>
      </x:c>
      <x:c r="AK8" s="11" t="n">
        <x:f>IF(A8="","",IF(AND('Core_Nativ'!R32="CLOSED",'Core_Nativ'!S32=0),IF('Core_Nativ'!M32&gt;='Core_Nativ'!P32,'Core_Nativ'!O32,IF(AND('Input_Meci'!L8="YES",'Input_Meci'!K8&lt;&gt;"",'Input_Meci'!K8&lt;C8,'Core_Nativ'!T38="DERIVED",'Core_Nativ'!M38&gt;='Core_Nativ'!P32),MIN(1,'Core_Nativ'!M32/'Core_Nativ'!P32)*IF('Core_Nativ'!M32=0,0,'Core_Nativ'!O32)+(1-MIN(1,'Core_Nativ'!M32/'Core_Nativ'!P32))*'Core_Nativ'!O38,"")),""))</x:f>
        <x:v>8</x:v>
      </x:c>
      <x:c r="AL8" s="11" t="n">
        <x:f>IF(A8="","",IF(AND('Core_Nativ'!R33="CLOSED",'Core_Nativ'!S33=0),IF('Core_Nativ'!M33&gt;='Core_Nativ'!P33,'Core_Nativ'!N33,IF(AND('Input_Meci'!L8="YES",'Input_Meci'!K8&lt;&gt;"",'Input_Meci'!K8&lt;C8,'Core_Nativ'!T39="DERIVED",'Core_Nativ'!M39&gt;='Core_Nativ'!P33),MIN(1,'Core_Nativ'!M33/'Core_Nativ'!P33)*IF('Core_Nativ'!M33=0,0,'Core_Nativ'!N33)+(1-MIN(1,'Core_Nativ'!M33/'Core_Nativ'!P33))*'Core_Nativ'!N39,"")),""))</x:f>
        <x:v>5.72972972972973</x:v>
      </x:c>
      <x:c r="AM8" s="11" t="n">
        <x:f>IF(A8="","",IF(AND('Core_Nativ'!R33="CLOSED",'Core_Nativ'!S33=0),IF('Core_Nativ'!M33&gt;='Core_Nativ'!P33,'Core_Nativ'!O33,IF(AND('Input_Meci'!L8="YES",'Input_Meci'!K8&lt;&gt;"",'Input_Meci'!K8&lt;C8,'Core_Nativ'!T39="DERIVED",'Core_Nativ'!M39&gt;='Core_Nativ'!P33),MIN(1,'Core_Nativ'!M33/'Core_Nativ'!P33)*IF('Core_Nativ'!M33=0,0,'Core_Nativ'!O33)+(1-MIN(1,'Core_Nativ'!M33/'Core_Nativ'!P33))*'Core_Nativ'!O39,"")),""))</x:f>
        <x:v>3.3783783783783785</x:v>
      </x:c>
      <x:c r="AN8" s="11" t="n">
        <x:f>IF(A8="","",IF(AND('Core_Nativ'!R34="CLOSED",'Core_Nativ'!S34=0),IF('Core_Nativ'!M34&gt;='Core_Nativ'!P34,'Core_Nativ'!N34,IF(AND('Input_Meci'!L8="YES",'Input_Meci'!K8&lt;&gt;"",'Input_Meci'!K8&lt;C8,'Core_Nativ'!T40="DERIVED",'Core_Nativ'!M40&gt;='Core_Nativ'!P34),MIN(1,'Core_Nativ'!M34/'Core_Nativ'!P34)*IF('Core_Nativ'!M34=0,0,'Core_Nativ'!N34)+(1-MIN(1,'Core_Nativ'!M34/'Core_Nativ'!P34))*'Core_Nativ'!N40,"")),""))</x:f>
        <x:v>5.555555555555555</x:v>
      </x:c>
      <x:c r="AO8" s="11" t="n">
        <x:f>IF(A8="","",IF(AND('Core_Nativ'!R34="CLOSED",'Core_Nativ'!S34=0),IF('Core_Nativ'!M34&gt;='Core_Nativ'!P34,'Core_Nativ'!O34,IF(AND('Input_Meci'!L8="YES",'Input_Meci'!K8&lt;&gt;"",'Input_Meci'!K8&lt;C8,'Core_Nativ'!T40="DERIVED",'Core_Nativ'!M40&gt;='Core_Nativ'!P34),MIN(1,'Core_Nativ'!M34/'Core_Nativ'!P34)*IF('Core_Nativ'!M34=0,0,'Core_Nativ'!O34)+(1-MIN(1,'Core_Nativ'!M34/'Core_Nativ'!P34))*'Core_Nativ'!O40,"")),""))</x:f>
        <x:v>3.888888888888889</x:v>
      </x:c>
      <x:c r="AP8" s="11" t="n">
        <x:f>IF(A8="","",IF(AND('Core_Nativ'!R35="CLOSED",'Core_Nativ'!S35=0),IF('Core_Nativ'!M35&gt;='Core_Nativ'!P35,'Core_Nativ'!N35,IF(AND('Input_Meci'!L8="YES",'Input_Meci'!K8&lt;&gt;"",'Input_Meci'!K8&lt;C8,'Core_Nativ'!T41="DERIVED",'Core_Nativ'!M41&gt;='Core_Nativ'!P35),MIN(1,'Core_Nativ'!M35/'Core_Nativ'!P35)*IF('Core_Nativ'!M35=0,0,'Core_Nativ'!N35)+(1-MIN(1,'Core_Nativ'!M35/'Core_Nativ'!P35))*'Core_Nativ'!N41,"")),""))</x:f>
        <x:v>4.2</x:v>
      </x:c>
      <x:c r="AQ8" s="11" t="n">
        <x:f>IF(A8="","",IF(AND('Core_Nativ'!R35="CLOSED",'Core_Nativ'!S35=0),IF('Core_Nativ'!M35&gt;='Core_Nativ'!P35,'Core_Nativ'!O35,IF(AND('Input_Meci'!L8="YES",'Input_Meci'!K8&lt;&gt;"",'Input_Meci'!K8&lt;C8,'Core_Nativ'!T41="DERIVED",'Core_Nativ'!M41&gt;='Core_Nativ'!P35),MIN(1,'Core_Nativ'!M35/'Core_Nativ'!P35)*IF('Core_Nativ'!M35=0,0,'Core_Nativ'!O35)+(1-MIN(1,'Core_Nativ'!M35/'Core_Nativ'!P35))*'Core_Nativ'!O41,"")),""))</x:f>
        <x:v>4.2</x:v>
      </x:c>
      <x:c r="AR8" s="11" t="n">
        <x:f>IF(A8="","",SUMPRODUCT(('Istoric_Nativ'!$B$6:$B$405=B8)*('Istoric_Nativ'!$C$6:$C$405=BL8)*('Istoric_Nativ'!$P$6:$P$405=1)*('Istoric_Nativ'!$D$6:$D$405&lt;INT(G8))*((('Istoric_Nativ'!$E$6:$E$405='Input_Meci'!D8)+('Istoric_Nativ'!$F$6:$F$405='Input_Meci'!D8)+('Istoric_Nativ'!$E$6:$E$405='Input_Meci'!E8)+('Istoric_Nativ'!$F$6:$F$405='Input_Meci'!E8))&gt;0)))</x:f>
        <x:v>73</x:v>
      </x:c>
      <x:c r="AS8" s="11" t="n">
        <x:f>IF(AR8=0,"",SUMPRODUCT(('Istoric_Nativ'!$B$6:$B$405=B8)*('Istoric_Nativ'!$C$6:$C$405=BL8)*('Istoric_Nativ'!$P$6:$P$405=1)*('Istoric_Nativ'!$D$6:$D$405&lt;INT(G8))*((('Istoric_Nativ'!$E$6:$E$405='Input_Meci'!D8)+('Istoric_Nativ'!$F$6:$F$405='Input_Meci'!D8)+('Istoric_Nativ'!$E$6:$E$405='Input_Meci'!E8)+('Istoric_Nativ'!$F$6:$F$405='Input_Meci'!E8))&gt;0)*'Istoric_Nativ'!$Q$6:$Q$405)/AR8)</x:f>
        <x:v>9.342465753424657</x:v>
      </x:c>
      <x:c r="AT8" s="11" t="n">
        <x:f>IF(AR8&lt;2,"",MAX(0,(SUMPRODUCT(('Istoric_Nativ'!$B$6:$B$405=B8)*('Istoric_Nativ'!$C$6:$C$405=BL8)*('Istoric_Nativ'!$P$6:$P$405=1)*('Istoric_Nativ'!$D$6:$D$405&lt;INT(G8))*((('Istoric_Nativ'!$E$6:$E$405='Input_Meci'!D8)+('Istoric_Nativ'!$F$6:$F$405='Input_Meci'!D8)+('Istoric_Nativ'!$E$6:$E$405='Input_Meci'!E8)+('Istoric_Nativ'!$F$6:$F$405='Input_Meci'!E8))&gt;0)*'Istoric_Nativ'!$R$6:$R$405)-AR8*AS8^2)/(AR8-1)))</x:f>
        <x:v>12.33942161339423</x:v>
      </x:c>
      <x:c r="AU8" s="11" t="n">
        <x:f>IF(I8&lt;&gt;"PASS","",AT8/AS8)</x:f>
        <x:v>1.3207885304659515</x:v>
      </x:c>
      <x:c r="AV8" s="11" t="str">
        <x:f>IF(I8&lt;&gt;"PASS","",IF(AU8&lt;='Config_v6'!$B$10,"POISSON","NEGATIVE BINOMIAL"))</x:f>
        <x:v>NEGATIVE BINOMIAL</x:v>
      </x:c>
      <x:c r="AW8" s="11" t="n">
        <x:f>IF(I8&lt;&gt;"PASS","",IF(AV8="POISSON",9999,AS8/(AU8-1)))</x:f>
        <x:v>29.12344072855269</x:v>
      </x:c>
      <x:c r="AX8" s="11" t="n">
        <x:f>IF(A8="","",MAX(1-'Config_v6'!$B$20,MIN(1+'Config_v6'!$B$20,1+0.02*(IF(AND(ISNUMBER('Input_Meci'!N8),'Input_Meci'!N8&gt;=0,'Input_Meci'!N8&lt;=200),'Input_Meci'!N8,12)/12-1)+0.02*(IF(AND(ISNUMBER('Input_Meci'!P8),'Input_Meci'!P8&gt;=0,'Input_Meci'!P8&lt;=200),'Input_Meci'!P8,3.5)/3.5-1)+0.02*(IF(AND(ISNUMBER('Input_Meci'!R8),'Input_Meci'!R8&gt;=0,'Input_Meci'!R8&lt;=200),'Input_Meci'!R8,18)/18-1)+0.02*((IF(AND(ISNUMBER('Input_Meci'!V8),'Input_Meci'!V8&gt;=0,'Input_Meci'!V8&lt;=10),'Input_Meci'!V8,5)-5)/5))))</x:f>
        <x:v>1</x:v>
      </x:c>
      <x:c r="AY8" s="11" t="n">
        <x:f>IF(A8="","",MAX(1-'Config_v6'!$B$20,MIN(1+'Config_v6'!$B$20,1+0.02*(IF(AND(ISNUMBER('Input_Meci'!O8),'Input_Meci'!O8&gt;=0,'Input_Meci'!O8&lt;=200),'Input_Meci'!O8,12)/12-1)+0.02*(IF(AND(ISNUMBER('Input_Meci'!Q8),'Input_Meci'!Q8&gt;=0,'Input_Meci'!Q8&lt;=200),'Input_Meci'!Q8,3.5)/3.5-1)+0.02*(IF(AND(ISNUMBER('Input_Meci'!S8),'Input_Meci'!S8&gt;=0,'Input_Meci'!S8&lt;=200),'Input_Meci'!S8,18)/18-1)+0.02*((IF(AND(ISNUMBER('Input_Meci'!W8),'Input_Meci'!W8&gt;=0,'Input_Meci'!W8&lt;=10),'Input_Meci'!W8,5)-5)/5))))</x:f>
        <x:v>1</x:v>
      </x:c>
      <x:c r="AZ8" s="11" t="n">
        <x:f>IF(A8="","",MAX(1-'Config_v6'!$B$21,MIN(1+'Config_v6'!$B$21,1+0.012*(IF('Input_Meci'!X8="",5,IF(ISNUMBER('Input_Meci'!X8),'Input_Meci'!X8,5))-5)+0.018*(IF('Input_Meci'!Z8="",5,IF(ISNUMBER('Input_Meci'!Z8),'Input_Meci'!Z8,5))-5)+0.012*(IF('Input_Meci'!AB8="",5,IF(ISNUMBER('Input_Meci'!AB8),'Input_Meci'!AB8,5))-5)+0.015*IF('Input_Meci'!AD8="",0,IF(ISNUMBER('Input_Meci'!AD8),'Input_Meci'!AD8,0))+0.02*IF('Input_Meci'!AF8="",0,IF(ISNUMBER('Input_Meci'!AF8),'Input_Meci'!AF8,0)))))</x:f>
        <x:v>1</x:v>
      </x:c>
      <x:c r="BA8" s="11" t="n">
        <x:f>IF(A8="","",MAX(1-'Config_v6'!$B$21,MIN(1+'Config_v6'!$B$21,1+0.012*(IF('Input_Meci'!Y8="",5,IF(ISNUMBER('Input_Meci'!Y8),'Input_Meci'!Y8,5))-5)+0.018*(IF('Input_Meci'!AA8="",5,IF(ISNUMBER('Input_Meci'!AA8),'Input_Meci'!AA8,5))-5)+0.012*(IF('Input_Meci'!AC8="",5,IF(ISNUMBER('Input_Meci'!AC8),'Input_Meci'!AC8,5))-5)+0.015*IF('Input_Meci'!AE8="",0,IF(ISNUMBER('Input_Meci'!AE8),'Input_Meci'!AE8,0))+0.02*IF('Input_Meci'!AG8="",0,IF(ISNUMBER('Input_Meci'!AG8),'Input_Meci'!AG8,0)))))</x:f>
        <x:v>1</x:v>
      </x:c>
      <x:c r="BB8" s="11" t="n">
        <x:f>IF(I8&lt;&gt;"PASS","",(AVERAGE(AF8,AM8)*'Config_v6'!$B$4+AVERAGE(AH8,AO8)*'Config_v6'!$B$5+AVERAGE(AJ8,AQ8)*'Config_v6'!$B$6)*AX8*AZ8)</x:f>
        <x:v>4.0932432432432435</x:v>
      </x:c>
      <x:c r="BC8" s="11" t="n">
        <x:f>IF(I8&lt;&gt;"PASS","",(AVERAGE(AL8,AG8)*'Config_v6'!$B$4+AVERAGE(AN8,AI8)*'Config_v6'!$B$5+AVERAGE(AP8,AK8)*'Config_v6'!$B$6)*AY8*BA8)</x:f>
        <x:v>5.4125</x:v>
      </x:c>
      <x:c r="BD8" s="11" t="n">
        <x:f>IF(I8&lt;&gt;"PASS","",BB8+BC8)</x:f>
        <x:v>9.505743243243243</x:v>
      </x:c>
      <x:c r="BE8" s="11" t="n">
        <x:f>IF(A8="","",10-SUM(IF(AND(ISNUMBER('Input_Meci'!N8),'Input_Meci'!N8&gt;=0,'Input_Meci'!N8&lt;=200),1,0),IF(AND(ISNUMBER('Input_Meci'!O8),'Input_Meci'!O8&gt;=0,'Input_Meci'!O8&lt;=200),1,0),IF(AND(ISNUMBER('Input_Meci'!P8),'Input_Meci'!P8&gt;=0,'Input_Meci'!P8&lt;=200),1,0),IF(AND(ISNUMBER('Input_Meci'!Q8),'Input_Meci'!Q8&gt;=0,'Input_Meci'!Q8&lt;=200),1,0),IF(AND(ISNUMBER('Input_Meci'!R8),'Input_Meci'!R8&gt;=0,'Input_Meci'!R8&lt;=200),1,0),IF(AND(ISNUMBER('Input_Meci'!S8),'Input_Meci'!S8&gt;=0,'Input_Meci'!S8&lt;=200),1,0),IF(AND(ISNUMBER('Input_Meci'!T8),'Input_Meci'!T8&gt;=0,'Input_Meci'!T8&lt;=100),1,0),IF(AND(ISNUMBER('Input_Meci'!U8),'Input_Meci'!U8&gt;=0,'Input_Meci'!U8&lt;=100),1,0),IF(AND(ISNUMBER('Input_Meci'!V8),'Input_Meci'!V8&gt;=0,'Input_Meci'!V8&lt;=10),1,0),IF(AND(ISNUMBER('Input_Meci'!W8),'Input_Meci'!W8&gt;=0,'Input_Meci'!W8&lt;=10),1,0)))</x:f>
        <x:v>10</x:v>
      </x:c>
      <x:c r="BF8" s="11" t="n">
        <x:f>IF(I8&lt;&gt;"PASS","",MAX(0,MIN(IF(OR(M8="YES",BL8&lt;&gt;C8),'Config_v6'!$B$34,100),ROUND(40+25*MIN(1,MIN(N8,Q8)/'Config_v6'!$B$7)*MIN(1,MIN(O8,R8)/'Config_v6'!$B$8)*MIN(1,MIN(P8,S8)/'Config_v6'!$B$9)+MAX(0,15-2*ABS(AF8-AJ8)-2*ABS(AL8-AP8))+IF(AU8&lt;='Config_v6'!$B$10,15,IF(AU8&lt;='Config_v6'!$B$11,13,IF(AU8&lt;='Config_v6'!$B$12,10,IF(AU8&lt;='Config_v6'!$B$13,6,0))))+5-BE8/10*'Config_v6'!$B$38,0))))</x:f>
        <x:v>90</x:v>
      </x:c>
      <x:c r="BG8" s="11" t="n">
        <x:f>IF(I8&lt;&gt;"PASS","",MIN(1,'Config_v6'!$B$14*(0.7+0.3*MIN(1,AR8/'Config_v6'!$B$15))*IF(AU8&lt;='Config_v6'!$B$10,1,IF(AU8&lt;='Config_v6'!$B$11,0.95,IF(AU8&lt;='Config_v6'!$B$12,0.88,0.78)))*(0.75+0.25*BF8/100)))</x:f>
        <x:v>0.7595249999999999</x:v>
      </x:c>
      <x:c r="BH8" s="11" t="n">
        <x:f>IF(I8&lt;&gt;"PASS","",MIN(1,(ABS(AZ8-1)+ABS(BA8-1))*3))</x:f>
        <x:v>0</x:v>
      </x:c>
      <x:c r="BI8" s="2" t="str">
        <x:f>IF(A8="","",IF(AND(OR('Input_Meci'!X8="",AND(ISNUMBER('Input_Meci'!X8),'Input_Meci'!X8&gt;=0,'Input_Meci'!X8&lt;=10)),OR('Input_Meci'!Y8="",AND(ISNUMBER('Input_Meci'!Y8),'Input_Meci'!Y8&gt;=0,'Input_Meci'!Y8&lt;=10)),OR('Input_Meci'!Z8="",AND(ISNUMBER('Input_Meci'!Z8),'Input_Meci'!Z8&gt;=0,'Input_Meci'!Z8&lt;=10)),OR('Input_Meci'!AA8="",AND(ISNUMBER('Input_Meci'!AA8),'Input_Meci'!AA8&gt;=0,'Input_Meci'!AA8&lt;=10)),OR('Input_Meci'!AB8="",AND(ISNUMBER('Input_Meci'!AB8),'Input_Meci'!AB8&gt;=0,'Input_Meci'!AB8&lt;=10)),OR('Input_Meci'!AC8="",AND(ISNUMBER('Input_Meci'!AC8),'Input_Meci'!AC8&gt;=0,'Input_Meci'!AC8&lt;=10)),OR('Input_Meci'!AD8="",AND(ISNUMBER('Input_Meci'!AD8),'Input_Meci'!AD8&gt;=-2,'Input_Meci'!AD8&lt;=2)),OR('Input_Meci'!AE8="",AND(ISNUMBER('Input_Meci'!AE8),'Input_Meci'!AE8&gt;=-2,'Input_Meci'!AE8&lt;=2)),OR('Input_Meci'!AF8="",AND(ISNUMBER('Input_Meci'!AF8),'Input_Meci'!AF8&gt;=-2,'Input_Meci'!AF8&lt;=2)),OR('Input_Meci'!AG8="",AND(ISNUMBER('Input_Meci'!AG8),'Input_Meci'!AG8&gt;=-2,'Input_Meci'!AG8&lt;=2))),"VALID","INVALID"))</x:f>
        <x:v>VALID</x:v>
      </x:c>
      <x:c r="BJ8" s="2" t="n">
        <x:f>IF(A8="",0,SUM('Core_Nativ'!S30:S35))</x:f>
        <x:v>0</x:v>
      </x:c>
      <x:c r="BK8" s="2" t="str">
        <x:f>'Config_v6'!$B$40</x:f>
        <x:v>VALID</x:v>
      </x:c>
      <x:c r="BL8" s="2" t="str">
        <x:f>IF(A8="","",IF(SUMPRODUCT(('Istoric_Nativ'!$B$6:$B$405=B8)*('Istoric_Nativ'!$C$6:$C$405=C8)*('Istoric_Nativ'!$P$6:$P$405=1)*('Istoric_Nativ'!$D$6:$D$405&lt;INT(G8))*((('Istoric_Nativ'!$E$6:$E$405='Input_Meci'!D8)+('Istoric_Nativ'!$F$6:$F$405='Input_Meci'!D8)+('Istoric_Nativ'!$E$6:$E$405='Input_Meci'!E8)+('Istoric_Nativ'!$F$6:$F$405='Input_Meci'!E8))&gt;0))&gt;='Config_v6'!$B$41,C8,IF(AND('Input_Meci'!L8="YES",'Input_Meci'!K8&lt;&gt;"",'Input_Meci'!K8&lt;C8,COUNTIF('Core_Nativ'!R36:R41,"CLOSED")=6,SUM('Core_Nativ'!S36:S41)=0),'Input_Meci'!K8,C8)))</x:f>
        <x:v>2025/26</x:v>
      </x:c>
      <x:c r="BM8" s="9" t="n">
        <x:f>IF(OR(A8="",N8=0),0,LARGE(_xlfn._xlws.FILTER('Istoric_Nativ'!$D$6:$D$405,('Istoric_Nativ'!$B$6:$B$405=B8)*('Istoric_Nativ'!$C$6:$C$405=C8)*('Istoric_Nativ'!$P$6:$P$405=1)*('Istoric_Nativ'!$D$6:$D$405&lt;INT(G8))*((('Istoric_Nativ'!$E$6:$E$405='Input_Meci'!D8)+('Istoric_Nativ'!$F$6:$F$405='Input_Meci'!D8))&gt;0)),MIN(10,N8)))</x:f>
        <x:v>46082</x:v>
      </x:c>
      <x:c r="BN8" s="9" t="n">
        <x:f>IF(OR(A8="",Q8=0),0,LARGE(_xlfn._xlws.FILTER('Istoric_Nativ'!$D$6:$D$405,('Istoric_Nativ'!$B$6:$B$405=B8)*('Istoric_Nativ'!$C$6:$C$405=C8)*('Istoric_Nativ'!$P$6:$P$405=1)*('Istoric_Nativ'!$D$6:$D$405&lt;INT(G8))*((('Istoric_Nativ'!$E$6:$E$405='Input_Meci'!E8)+('Istoric_Nativ'!$F$6:$F$405='Input_Meci'!E8))&gt;0)),MIN(10,Q8)))</x:f>
        <x:v>46075</x:v>
      </x:c>
      <x:c r="BO8" s="9" t="n">
        <x:f>IF(OR(A8="",N8=0),0,LARGE(_xlfn._xlws.FILTER('Istoric_Nativ'!$D$6:$D$405,('Istoric_Nativ'!$B$6:$B$405=B8)*('Istoric_Nativ'!$C$6:$C$405=C8)*('Istoric_Nativ'!$P$6:$P$405=1)*('Istoric_Nativ'!$D$6:$D$405&lt;INT(G8))*((('Istoric_Nativ'!$E$6:$E$405='Input_Meci'!D8)+('Istoric_Nativ'!$F$6:$F$405='Input_Meci'!D8))&gt;0)),MIN(20,N8)))</x:f>
        <x:v>46019</x:v>
      </x:c>
      <x:c r="BP8" s="9" t="n">
        <x:f>IF(OR(A8="",Q8=0),0,LARGE(_xlfn._xlws.FILTER('Istoric_Nativ'!$D$6:$D$405,('Istoric_Nativ'!$B$6:$B$405=B8)*('Istoric_Nativ'!$C$6:$C$405=C8)*('Istoric_Nativ'!$P$6:$P$405=1)*('Istoric_Nativ'!$D$6:$D$405&lt;INT(G8))*((('Istoric_Nativ'!$E$6:$E$405='Input_Meci'!E8)+('Istoric_Nativ'!$F$6:$F$405='Input_Meci'!E8))&gt;0)),MIN(20,Q8)))</x:f>
        <x:v>46018</x:v>
      </x:c>
      <x:c r="BQ8" s="2" t="str">
        <x:f>IF(A8="","",IF(AND(COUNTIF(MatchesTable[Match_ID],A8)=1,COUNTIFS(MatchesTable[League],B8,MatchesTable[Season],C8,MatchesTable[Home],'Input_Meci'!D8,MatchesTable[Away],'Input_Meci'!E8,MatchesTable[Kickoff_UTC],F8)=1,B8&lt;&gt;"",C8&lt;&gt;"",'Input_Meci'!D8&lt;&gt;"",'Input_Meci'!E8&lt;&gt;"",'Input_Meci'!D8&lt;&gt;'Input_Meci'!E8,ISNUMBER(F8),ISNUMBER(G8),G8&lt;F8,OR(E8="LIVE",E8="REPLAY"),OR('Input_Meci'!L8="YES",'Input_Meci'!L8="NO",'Input_Meci'!L8="")),"VALID","INVALID"))</x:f>
        <x:v>VALID</x:v>
      </x:c>
      <x:c r="BR8" s="2" t="n">
        <x:f>IF(I8&lt;&gt;"PASS",0,SUMPRODUCT(('Istoric_Nativ'!$B$6:$B$405='Input_Meci'!B8)*('Istoric_Nativ'!$C$6:$C$405='Input_Meci'!C8)*('Istoric_Nativ'!$P$6:$P$405=1)*('Istoric_Nativ'!$D$6:$D$405&lt;INT('Input_Meci'!G8))*((('Istoric_Nativ'!$E$6:$E$405='Input_Meci'!D8)+('Istoric_Nativ'!$F$6:$F$405='Input_Meci'!E8))&gt;0)))</x:f>
        <x:v>36</x:v>
      </x:c>
      <x:c r="BS8" s="2" t="n">
        <x:f>IF(I8&lt;&gt;"PASS",0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BM8)+((('Istoric_Nativ'!$E$6:$E$405='Input_Meci'!E8)+('Istoric_Nativ'!$F$6:$F$405='Input_Meci'!E8))&gt;0)*('Istoric_Nativ'!$D$6:$D$405&gt;=BN8))&gt;0)))</x:f>
        <x:v>20</x:v>
      </x:c>
      <x:c r="BT8" s="2" t="n">
        <x:f>IF(I8&lt;&gt;"PASS",0,SUMPRODUCT(('Istoric_Nativ'!$B$6:$B$405='Input_Meci'!B8)*('Istoric_Nativ'!$C$6:$C$405='Input_Meci'!C8)*('Istoric_Nativ'!$P$6:$P$405=1)*('Istoric_Nativ'!$D$6:$D$405&lt;INT('Input_Meci'!G8))*((((('Istoric_Nativ'!$E$6:$E$405='Input_Meci'!D8)+('Istoric_Nativ'!$F$6:$F$405='Input_Meci'!D8))&gt;0)*('Istoric_Nativ'!$D$6:$D$405&gt;=BO8)+((('Istoric_Nativ'!$E$6:$E$405='Input_Meci'!E8)+('Istoric_Nativ'!$F$6:$F$405='Input_Meci'!E8))&gt;0)*('Istoric_Nativ'!$D$6:$D$405&gt;=BP8))&gt;0)))</x:f>
        <x:v>40</x:v>
      </x:c>
    </x:row>
    <x:row r="9" ht="21" customHeight="1">
      <x:c r="A9" s="2" t="str">
        <x:f>IF('Input_Meci'!A9="","",'Input_Meci'!A9)</x:f>
      </x:c>
      <x:c r="B9" s="2" t="str">
        <x:f>IF(A9="","",'Input_Meci'!B9)</x:f>
      </x:c>
      <x:c r="C9" s="2" t="str">
        <x:f>IF(A9="","",'Input_Meci'!C9)</x:f>
      </x:c>
      <x:c r="D9" s="2" t="str">
        <x:f>IF(A9="","",'Input_Meci'!D9&amp;" – "&amp;'Input_Meci'!E9)</x:f>
      </x:c>
      <x:c r="E9" s="2" t="str">
        <x:f>IF(A9="","",'Input_Meci'!H9)</x:f>
      </x:c>
      <x:c r="F9" s="9" t="str">
        <x:f>IF(A9="","",'Input_Meci'!F9)</x:f>
      </x:c>
      <x:c r="G9" s="9" t="str">
        <x:f>IF(A9="","",'Input_Meci'!G9)</x:f>
      </x:c>
      <x:c r="H9" s="2" t="str">
        <x:f>IF(A9="","",IF(BQ9&lt;&gt;"VALID","NOT RELEASED",IF(AND(OR('Input_Meci'!I9="NOT AVAILABLE",'Input_Meci'!I9="SOURCE CONFLICT"),'Input_Meci'!J9&lt;&gt;""),"READY",IF(OR(NOT(OR('Input_Meci'!I9="AUTO",'Input_Meci'!I9="")),COUNTIF('Core_Nativ'!R42:R47,"CLOSED")&lt;&gt;6,BJ9&gt;0),"NOT RELEASED","READY"))))</x:f>
      </x:c>
      <x:c r="I9" s="2" t="str">
        <x:f>IF(A9="","",IF(H9&lt;&gt;"READY","NOT RELEASED",IF(AND(NOT(OR('Input_Meci'!I9="NOT AVAILABLE",'Input_Meci'!I9="SOURCE CONFLICT")),L9=12,AR9&gt;=2,AS9&gt;0,ISNUMBER(AT9),BI9="VALID",BK9="VALID"),"PASS","FAIL")))</x:f>
      </x:c>
      <x:c r="J9" s="2" t="str">
        <x:f>IF(A9="","",IF(BQ9&lt;&gt;"VALID","Verifica ID, echipe, mod si cutoff &lt; kickoff",IF(H9&lt;&gt;"READY",IF('Input_Meci'!I9="ACCESS BLOCKED","Acces blocat: reia sursele",IF(BJ9&gt;0,"Istoric invalid sau conflict: verifica randurile native","Surse neinchise / post-cutoff / dovezi incomplete")),IF(OR('Input_Meci'!I9="NOT AVAILABLE",'Input_Meci'!I9="SOURCE CONFLICT"),'Input_Meci'!I9,IF(BK9&lt;&gt;"VALID","Parametri invalizi",IF(L9&lt;&gt;12,"Core / sample / prior insuficient",IF(AR9&lt;2,"N insuficient pentru dispersie",IF(AS9&lt;=0,"Media istorica trebuie sa fie pozitiva",IF(BI9&lt;&gt;"VALID","Context invalid","READY")))))))))</x:f>
      </x:c>
      <x:c r="K9" s="2" t="str">
        <x:f>IF(A9="","",COUNT(T9:AE9))</x:f>
      </x:c>
      <x:c r="L9" s="2" t="str">
        <x:f>IF(A9="","",COUNT(AF9:AQ9))</x:f>
      </x:c>
      <x:c r="M9" s="2" t="str">
        <x:f>IF(A9="","",IF(OR('Core_Nativ'!M42&lt;'Core_Nativ'!P42,'Core_Nativ'!M43&lt;'Core_Nativ'!P43,'Core_Nativ'!M44&lt;'Core_Nativ'!P44,'Core_Nativ'!M45&lt;'Core_Nativ'!P45,'Core_Nativ'!M46&lt;'Core_Nativ'!P46,'Core_Nativ'!M47&lt;'Core_Nativ'!P47),"YES","NO"))</x:f>
      </x:c>
      <x:c r="N9" s="2" t="str">
        <x:f>IF(A9="","",'Core_Nativ'!M42)</x:f>
      </x:c>
      <x:c r="O9" s="2" t="str">
        <x:f>IF(A9="","",'Core_Nativ'!M43)</x:f>
      </x:c>
      <x:c r="P9" s="2" t="str">
        <x:f>IF(A9="","",'Core_Nativ'!M44)</x:f>
      </x:c>
      <x:c r="Q9" s="2" t="str">
        <x:f>IF(A9="","",'Core_Nativ'!M45)</x:f>
      </x:c>
      <x:c r="R9" s="2" t="str">
        <x:f>IF(A9="","",'Core_Nativ'!M46)</x:f>
      </x:c>
      <x:c r="S9" s="2" t="str">
        <x:f>IF(A9="","",'Core_Nativ'!M47)</x:f>
      </x:c>
      <x:c r="T9" s="11" t="str">
        <x:f>IF(OR(A9="",'Core_Nativ'!M42=0),"",'Core_Nativ'!N42)</x:f>
      </x:c>
      <x:c r="U9" s="11" t="str">
        <x:f>IF(OR(A9="",'Core_Nativ'!M42=0),"",'Core_Nativ'!O42)</x:f>
      </x:c>
      <x:c r="V9" s="11" t="str">
        <x:f>IF(OR(A9="",'Core_Nativ'!M43=0),"",'Core_Nativ'!N43)</x:f>
      </x:c>
      <x:c r="W9" s="11" t="str">
        <x:f>IF(OR(A9="",'Core_Nativ'!M43=0),"",'Core_Nativ'!O43)</x:f>
      </x:c>
      <x:c r="X9" s="11" t="str">
        <x:f>IF(OR(A9="",'Core_Nativ'!M44=0),"",'Core_Nativ'!N44)</x:f>
      </x:c>
      <x:c r="Y9" s="11" t="str">
        <x:f>IF(OR(A9="",'Core_Nativ'!M44=0),"",'Core_Nativ'!O44)</x:f>
      </x:c>
      <x:c r="Z9" s="11" t="str">
        <x:f>IF(OR(A9="",'Core_Nativ'!M45=0),"",'Core_Nativ'!N45)</x:f>
      </x:c>
      <x:c r="AA9" s="11" t="str">
        <x:f>IF(OR(A9="",'Core_Nativ'!M45=0),"",'Core_Nativ'!O45)</x:f>
      </x:c>
      <x:c r="AB9" s="11" t="str">
        <x:f>IF(OR(A9="",'Core_Nativ'!M46=0),"",'Core_Nativ'!N46)</x:f>
      </x:c>
      <x:c r="AC9" s="11" t="str">
        <x:f>IF(OR(A9="",'Core_Nativ'!M46=0),"",'Core_Nativ'!O46)</x:f>
      </x:c>
      <x:c r="AD9" s="11" t="str">
        <x:f>IF(OR(A9="",'Core_Nativ'!M47=0),"",'Core_Nativ'!N47)</x:f>
      </x:c>
      <x:c r="AE9" s="11" t="str">
        <x:f>IF(OR(A9="",'Core_Nativ'!M47=0),"",'Core_Nativ'!O47)</x:f>
      </x:c>
      <x:c r="AF9" s="11" t="str">
        <x:f>IF(A9="","",IF(AND('Core_Nativ'!R42="CLOSED",'Core_Nativ'!S42=0),IF('Core_Nativ'!M42&gt;='Core_Nativ'!P42,'Core_Nativ'!N42,IF(AND('Input_Meci'!L9="YES",'Input_Meci'!K9&lt;&gt;"",'Input_Meci'!K9&lt;C9,'Core_Nativ'!T48="DERIVED",'Core_Nativ'!M48&gt;='Core_Nativ'!P42),MIN(1,'Core_Nativ'!M42/'Core_Nativ'!P42)*IF('Core_Nativ'!M42=0,0,'Core_Nativ'!N42)+(1-MIN(1,'Core_Nativ'!M42/'Core_Nativ'!P42))*'Core_Nativ'!N48,"")),""))</x:f>
      </x:c>
      <x:c r="AG9" s="11" t="str">
        <x:f>IF(A9="","",IF(AND('Core_Nativ'!R42="CLOSED",'Core_Nativ'!S42=0),IF('Core_Nativ'!M42&gt;='Core_Nativ'!P42,'Core_Nativ'!O42,IF(AND('Input_Meci'!L9="YES",'Input_Meci'!K9&lt;&gt;"",'Input_Meci'!K9&lt;C9,'Core_Nativ'!T48="DERIVED",'Core_Nativ'!M48&gt;='Core_Nativ'!P42),MIN(1,'Core_Nativ'!M42/'Core_Nativ'!P42)*IF('Core_Nativ'!M42=0,0,'Core_Nativ'!O42)+(1-MIN(1,'Core_Nativ'!M42/'Core_Nativ'!P42))*'Core_Nativ'!O48,"")),""))</x:f>
      </x:c>
      <x:c r="AH9" s="11" t="str">
        <x:f>IF(A9="","",IF(AND('Core_Nativ'!R43="CLOSED",'Core_Nativ'!S43=0),IF('Core_Nativ'!M43&gt;='Core_Nativ'!P43,'Core_Nativ'!N43,IF(AND('Input_Meci'!L9="YES",'Input_Meci'!K9&lt;&gt;"",'Input_Meci'!K9&lt;C9,'Core_Nativ'!T49="DERIVED",'Core_Nativ'!M49&gt;='Core_Nativ'!P43),MIN(1,'Core_Nativ'!M43/'Core_Nativ'!P43)*IF('Core_Nativ'!M43=0,0,'Core_Nativ'!N43)+(1-MIN(1,'Core_Nativ'!M43/'Core_Nativ'!P43))*'Core_Nativ'!N49,"")),""))</x:f>
      </x:c>
      <x:c r="AI9" s="11" t="str">
        <x:f>IF(A9="","",IF(AND('Core_Nativ'!R43="CLOSED",'Core_Nativ'!S43=0),IF('Core_Nativ'!M43&gt;='Core_Nativ'!P43,'Core_Nativ'!O43,IF(AND('Input_Meci'!L9="YES",'Input_Meci'!K9&lt;&gt;"",'Input_Meci'!K9&lt;C9,'Core_Nativ'!T49="DERIVED",'Core_Nativ'!M49&gt;='Core_Nativ'!P43),MIN(1,'Core_Nativ'!M43/'Core_Nativ'!P43)*IF('Core_Nativ'!M43=0,0,'Core_Nativ'!O43)+(1-MIN(1,'Core_Nativ'!M43/'Core_Nativ'!P43))*'Core_Nativ'!O49,"")),""))</x:f>
      </x:c>
      <x:c r="AJ9" s="11" t="str">
        <x:f>IF(A9="","",IF(AND('Core_Nativ'!R44="CLOSED",'Core_Nativ'!S44=0),IF('Core_Nativ'!M44&gt;='Core_Nativ'!P44,'Core_Nativ'!N44,IF(AND('Input_Meci'!L9="YES",'Input_Meci'!K9&lt;&gt;"",'Input_Meci'!K9&lt;C9,'Core_Nativ'!T50="DERIVED",'Core_Nativ'!M50&gt;='Core_Nativ'!P44),MIN(1,'Core_Nativ'!M44/'Core_Nativ'!P44)*IF('Core_Nativ'!M44=0,0,'Core_Nativ'!N44)+(1-MIN(1,'Core_Nativ'!M44/'Core_Nativ'!P44))*'Core_Nativ'!N50,"")),""))</x:f>
      </x:c>
      <x:c r="AK9" s="11" t="str">
        <x:f>IF(A9="","",IF(AND('Core_Nativ'!R44="CLOSED",'Core_Nativ'!S44=0),IF('Core_Nativ'!M44&gt;='Core_Nativ'!P44,'Core_Nativ'!O44,IF(AND('Input_Meci'!L9="YES",'Input_Meci'!K9&lt;&gt;"",'Input_Meci'!K9&lt;C9,'Core_Nativ'!T50="DERIVED",'Core_Nativ'!M50&gt;='Core_Nativ'!P44),MIN(1,'Core_Nativ'!M44/'Core_Nativ'!P44)*IF('Core_Nativ'!M44=0,0,'Core_Nativ'!O44)+(1-MIN(1,'Core_Nativ'!M44/'Core_Nativ'!P44))*'Core_Nativ'!O50,"")),""))</x:f>
      </x:c>
      <x:c r="AL9" s="11" t="str">
        <x:f>IF(A9="","",IF(AND('Core_Nativ'!R45="CLOSED",'Core_Nativ'!S45=0),IF('Core_Nativ'!M45&gt;='Core_Nativ'!P45,'Core_Nativ'!N45,IF(AND('Input_Meci'!L9="YES",'Input_Meci'!K9&lt;&gt;"",'Input_Meci'!K9&lt;C9,'Core_Nativ'!T51="DERIVED",'Core_Nativ'!M51&gt;='Core_Nativ'!P45),MIN(1,'Core_Nativ'!M45/'Core_Nativ'!P45)*IF('Core_Nativ'!M45=0,0,'Core_Nativ'!N45)+(1-MIN(1,'Core_Nativ'!M45/'Core_Nativ'!P45))*'Core_Nativ'!N51,"")),""))</x:f>
      </x:c>
      <x:c r="AM9" s="11" t="str">
        <x:f>IF(A9="","",IF(AND('Core_Nativ'!R45="CLOSED",'Core_Nativ'!S45=0),IF('Core_Nativ'!M45&gt;='Core_Nativ'!P45,'Core_Nativ'!O45,IF(AND('Input_Meci'!L9="YES",'Input_Meci'!K9&lt;&gt;"",'Input_Meci'!K9&lt;C9,'Core_Nativ'!T51="DERIVED",'Core_Nativ'!M51&gt;='Core_Nativ'!P45),MIN(1,'Core_Nativ'!M45/'Core_Nativ'!P45)*IF('Core_Nativ'!M45=0,0,'Core_Nativ'!O45)+(1-MIN(1,'Core_Nativ'!M45/'Core_Nativ'!P45))*'Core_Nativ'!O51,"")),""))</x:f>
      </x:c>
      <x:c r="AN9" s="11" t="str">
        <x:f>IF(A9="","",IF(AND('Core_Nativ'!R46="CLOSED",'Core_Nativ'!S46=0),IF('Core_Nativ'!M46&gt;='Core_Nativ'!P46,'Core_Nativ'!N46,IF(AND('Input_Meci'!L9="YES",'Input_Meci'!K9&lt;&gt;"",'Input_Meci'!K9&lt;C9,'Core_Nativ'!T52="DERIVED",'Core_Nativ'!M52&gt;='Core_Nativ'!P46),MIN(1,'Core_Nativ'!M46/'Core_Nativ'!P46)*IF('Core_Nativ'!M46=0,0,'Core_Nativ'!N46)+(1-MIN(1,'Core_Nativ'!M46/'Core_Nativ'!P46))*'Core_Nativ'!N52,"")),""))</x:f>
      </x:c>
      <x:c r="AO9" s="11" t="str">
        <x:f>IF(A9="","",IF(AND('Core_Nativ'!R46="CLOSED",'Core_Nativ'!S46=0),IF('Core_Nativ'!M46&gt;='Core_Nativ'!P46,'Core_Nativ'!O46,IF(AND('Input_Meci'!L9="YES",'Input_Meci'!K9&lt;&gt;"",'Input_Meci'!K9&lt;C9,'Core_Nativ'!T52="DERIVED",'Core_Nativ'!M52&gt;='Core_Nativ'!P46),MIN(1,'Core_Nativ'!M46/'Core_Nativ'!P46)*IF('Core_Nativ'!M46=0,0,'Core_Nativ'!O46)+(1-MIN(1,'Core_Nativ'!M46/'Core_Nativ'!P46))*'Core_Nativ'!O52,"")),""))</x:f>
      </x:c>
      <x:c r="AP9" s="11" t="str">
        <x:f>IF(A9="","",IF(AND('Core_Nativ'!R47="CLOSED",'Core_Nativ'!S47=0),IF('Core_Nativ'!M47&gt;='Core_Nativ'!P47,'Core_Nativ'!N47,IF(AND('Input_Meci'!L9="YES",'Input_Meci'!K9&lt;&gt;"",'Input_Meci'!K9&lt;C9,'Core_Nativ'!T53="DERIVED",'Core_Nativ'!M53&gt;='Core_Nativ'!P47),MIN(1,'Core_Nativ'!M47/'Core_Nativ'!P47)*IF('Core_Nativ'!M47=0,0,'Core_Nativ'!N47)+(1-MIN(1,'Core_Nativ'!M47/'Core_Nativ'!P47))*'Core_Nativ'!N53,"")),""))</x:f>
      </x:c>
      <x:c r="AQ9" s="11" t="str">
        <x:f>IF(A9="","",IF(AND('Core_Nativ'!R47="CLOSED",'Core_Nativ'!S47=0),IF('Core_Nativ'!M47&gt;='Core_Nativ'!P47,'Core_Nativ'!O47,IF(AND('Input_Meci'!L9="YES",'Input_Meci'!K9&lt;&gt;"",'Input_Meci'!K9&lt;C9,'Core_Nativ'!T53="DERIVED",'Core_Nativ'!M53&gt;='Core_Nativ'!P47),MIN(1,'Core_Nativ'!M47/'Core_Nativ'!P47)*IF('Core_Nativ'!M47=0,0,'Core_Nativ'!O47)+(1-MIN(1,'Core_Nativ'!M47/'Core_Nativ'!P47))*'Core_Nativ'!O53,"")),""))</x:f>
      </x:c>
      <x:c r="AR9" s="11" t="str">
        <x:f>IF(A9="","",SUMPRODUCT(('Istoric_Nativ'!$B$6:$B$405=B9)*('Istoric_Nativ'!$C$6:$C$405=BL9)*('Istoric_Nativ'!$P$6:$P$405=1)*('Istoric_Nativ'!$D$6:$D$405&lt;INT(G9))*((('Istoric_Nativ'!$E$6:$E$405='Input_Meci'!D9)+('Istoric_Nativ'!$F$6:$F$405='Input_Meci'!D9)+('Istoric_Nativ'!$E$6:$E$405='Input_Meci'!E9)+('Istoric_Nativ'!$F$6:$F$405='Input_Meci'!E9))&gt;0)))</x:f>
      </x:c>
      <x:c r="AS9" s="11" t="str">
        <x:f>IF(AR9=0,"",SUMPRODUCT(('Istoric_Nativ'!$B$6:$B$405=B9)*('Istoric_Nativ'!$C$6:$C$405=BL9)*('Istoric_Nativ'!$P$6:$P$405=1)*('Istoric_Nativ'!$D$6:$D$405&lt;INT(G9))*((('Istoric_Nativ'!$E$6:$E$405='Input_Meci'!D9)+('Istoric_Nativ'!$F$6:$F$405='Input_Meci'!D9)+('Istoric_Nativ'!$E$6:$E$405='Input_Meci'!E9)+('Istoric_Nativ'!$F$6:$F$405='Input_Meci'!E9))&gt;0)*'Istoric_Nativ'!$Q$6:$Q$405)/AR9)</x:f>
      </x:c>
      <x:c r="AT9" s="11" t="str">
        <x:f>IF(AR9&lt;2,"",MAX(0,(SUMPRODUCT(('Istoric_Nativ'!$B$6:$B$405=B9)*('Istoric_Nativ'!$C$6:$C$405=BL9)*('Istoric_Nativ'!$P$6:$P$405=1)*('Istoric_Nativ'!$D$6:$D$405&lt;INT(G9))*((('Istoric_Nativ'!$E$6:$E$405='Input_Meci'!D9)+('Istoric_Nativ'!$F$6:$F$405='Input_Meci'!D9)+('Istoric_Nativ'!$E$6:$E$405='Input_Meci'!E9)+('Istoric_Nativ'!$F$6:$F$405='Input_Meci'!E9))&gt;0)*'Istoric_Nativ'!$R$6:$R$405)-AR9*AS9^2)/(AR9-1)))</x:f>
      </x:c>
      <x:c r="AU9" s="11" t="str">
        <x:f>IF(I9&lt;&gt;"PASS","",AT9/AS9)</x:f>
      </x:c>
      <x:c r="AV9" s="11" t="str">
        <x:f>IF(I9&lt;&gt;"PASS","",IF(AU9&lt;='Config_v6'!$B$10,"POISSON","NEGATIVE BINOMIAL"))</x:f>
      </x:c>
      <x:c r="AW9" s="11" t="str">
        <x:f>IF(I9&lt;&gt;"PASS","",IF(AV9="POISSON",9999,AS9/(AU9-1)))</x:f>
      </x:c>
      <x:c r="AX9" s="11" t="str">
        <x:f>IF(A9="","",MAX(1-'Config_v6'!$B$20,MIN(1+'Config_v6'!$B$20,1+0.02*(IF(AND(ISNUMBER('Input_Meci'!N9),'Input_Meci'!N9&gt;=0,'Input_Meci'!N9&lt;=200),'Input_Meci'!N9,12)/12-1)+0.02*(IF(AND(ISNUMBER('Input_Meci'!P9),'Input_Meci'!P9&gt;=0,'Input_Meci'!P9&lt;=200),'Input_Meci'!P9,3.5)/3.5-1)+0.02*(IF(AND(ISNUMBER('Input_Meci'!R9),'Input_Meci'!R9&gt;=0,'Input_Meci'!R9&lt;=200),'Input_Meci'!R9,18)/18-1)+0.02*((IF(AND(ISNUMBER('Input_Meci'!V9),'Input_Meci'!V9&gt;=0,'Input_Meci'!V9&lt;=10),'Input_Meci'!V9,5)-5)/5))))</x:f>
      </x:c>
      <x:c r="AY9" s="11" t="str">
        <x:f>IF(A9="","",MAX(1-'Config_v6'!$B$20,MIN(1+'Config_v6'!$B$20,1+0.02*(IF(AND(ISNUMBER('Input_Meci'!O9),'Input_Meci'!O9&gt;=0,'Input_Meci'!O9&lt;=200),'Input_Meci'!O9,12)/12-1)+0.02*(IF(AND(ISNUMBER('Input_Meci'!Q9),'Input_Meci'!Q9&gt;=0,'Input_Meci'!Q9&lt;=200),'Input_Meci'!Q9,3.5)/3.5-1)+0.02*(IF(AND(ISNUMBER('Input_Meci'!S9),'Input_Meci'!S9&gt;=0,'Input_Meci'!S9&lt;=200),'Input_Meci'!S9,18)/18-1)+0.02*((IF(AND(ISNUMBER('Input_Meci'!W9),'Input_Meci'!W9&gt;=0,'Input_Meci'!W9&lt;=10),'Input_Meci'!W9,5)-5)/5))))</x:f>
      </x:c>
      <x:c r="AZ9" s="11" t="str">
        <x:f>IF(A9="","",MAX(1-'Config_v6'!$B$21,MIN(1+'Config_v6'!$B$21,1+0.012*(IF('Input_Meci'!X9="",5,IF(ISNUMBER('Input_Meci'!X9),'Input_Meci'!X9,5))-5)+0.018*(IF('Input_Meci'!Z9="",5,IF(ISNUMBER('Input_Meci'!Z9),'Input_Meci'!Z9,5))-5)+0.012*(IF('Input_Meci'!AB9="",5,IF(ISNUMBER('Input_Meci'!AB9),'Input_Meci'!AB9,5))-5)+0.015*IF('Input_Meci'!AD9="",0,IF(ISNUMBER('Input_Meci'!AD9),'Input_Meci'!AD9,0))+0.02*IF('Input_Meci'!AF9="",0,IF(ISNUMBER('Input_Meci'!AF9),'Input_Meci'!AF9,0)))))</x:f>
      </x:c>
      <x:c r="BA9" s="11" t="str">
        <x:f>IF(A9="","",MAX(1-'Config_v6'!$B$21,MIN(1+'Config_v6'!$B$21,1+0.012*(IF('Input_Meci'!Y9="",5,IF(ISNUMBER('Input_Meci'!Y9),'Input_Meci'!Y9,5))-5)+0.018*(IF('Input_Meci'!AA9="",5,IF(ISNUMBER('Input_Meci'!AA9),'Input_Meci'!AA9,5))-5)+0.012*(IF('Input_Meci'!AC9="",5,IF(ISNUMBER('Input_Meci'!AC9),'Input_Meci'!AC9,5))-5)+0.015*IF('Input_Meci'!AE9="",0,IF(ISNUMBER('Input_Meci'!AE9),'Input_Meci'!AE9,0))+0.02*IF('Input_Meci'!AG9="",0,IF(ISNUMBER('Input_Meci'!AG9),'Input_Meci'!AG9,0)))))</x:f>
      </x:c>
      <x:c r="BB9" s="11" t="str">
        <x:f>IF(I9&lt;&gt;"PASS","",(AVERAGE(AF9,AM9)*'Config_v6'!$B$4+AVERAGE(AH9,AO9)*'Config_v6'!$B$5+AVERAGE(AJ9,AQ9)*'Config_v6'!$B$6)*AX9*AZ9)</x:f>
      </x:c>
      <x:c r="BC9" s="11" t="str">
        <x:f>IF(I9&lt;&gt;"PASS","",(AVERAGE(AL9,AG9)*'Config_v6'!$B$4+AVERAGE(AN9,AI9)*'Config_v6'!$B$5+AVERAGE(AP9,AK9)*'Config_v6'!$B$6)*AY9*BA9)</x:f>
      </x:c>
      <x:c r="BD9" s="11" t="str">
        <x:f>IF(I9&lt;&gt;"PASS","",BB9+BC9)</x:f>
      </x:c>
      <x:c r="BE9" s="11" t="str">
        <x:f>IF(A9="","",10-SUM(IF(AND(ISNUMBER('Input_Meci'!N9),'Input_Meci'!N9&gt;=0,'Input_Meci'!N9&lt;=200),1,0),IF(AND(ISNUMBER('Input_Meci'!O9),'Input_Meci'!O9&gt;=0,'Input_Meci'!O9&lt;=200),1,0),IF(AND(ISNUMBER('Input_Meci'!P9),'Input_Meci'!P9&gt;=0,'Input_Meci'!P9&lt;=200),1,0),IF(AND(ISNUMBER('Input_Meci'!Q9),'Input_Meci'!Q9&gt;=0,'Input_Meci'!Q9&lt;=200),1,0),IF(AND(ISNUMBER('Input_Meci'!R9),'Input_Meci'!R9&gt;=0,'Input_Meci'!R9&lt;=200),1,0),IF(AND(ISNUMBER('Input_Meci'!S9),'Input_Meci'!S9&gt;=0,'Input_Meci'!S9&lt;=200),1,0),IF(AND(ISNUMBER('Input_Meci'!T9),'Input_Meci'!T9&gt;=0,'Input_Meci'!T9&lt;=100),1,0),IF(AND(ISNUMBER('Input_Meci'!U9),'Input_Meci'!U9&gt;=0,'Input_Meci'!U9&lt;=100),1,0),IF(AND(ISNUMBER('Input_Meci'!V9),'Input_Meci'!V9&gt;=0,'Input_Meci'!V9&lt;=10),1,0),IF(AND(ISNUMBER('Input_Meci'!W9),'Input_Meci'!W9&gt;=0,'Input_Meci'!W9&lt;=10),1,0)))</x:f>
      </x:c>
      <x:c r="BF9" s="11" t="str">
        <x:f>IF(I9&lt;&gt;"PASS","",MAX(0,MIN(IF(OR(M9="YES",BL9&lt;&gt;C9),'Config_v6'!$B$34,100),ROUND(40+25*MIN(1,MIN(N9,Q9)/'Config_v6'!$B$7)*MIN(1,MIN(O9,R9)/'Config_v6'!$B$8)*MIN(1,MIN(P9,S9)/'Config_v6'!$B$9)+MAX(0,15-2*ABS(AF9-AJ9)-2*ABS(AL9-AP9))+IF(AU9&lt;='Config_v6'!$B$10,15,IF(AU9&lt;='Config_v6'!$B$11,13,IF(AU9&lt;='Config_v6'!$B$12,10,IF(AU9&lt;='Config_v6'!$B$13,6,0))))+5-BE9/10*'Config_v6'!$B$38,0))))</x:f>
      </x:c>
      <x:c r="BG9" s="11" t="str">
        <x:f>IF(I9&lt;&gt;"PASS","",MIN(1,'Config_v6'!$B$14*(0.7+0.3*MIN(1,AR9/'Config_v6'!$B$15))*IF(AU9&lt;='Config_v6'!$B$10,1,IF(AU9&lt;='Config_v6'!$B$11,0.95,IF(AU9&lt;='Config_v6'!$B$12,0.88,0.78)))*(0.75+0.25*BF9/100)))</x:f>
      </x:c>
      <x:c r="BH9" s="11" t="str">
        <x:f>IF(I9&lt;&gt;"PASS","",MIN(1,(ABS(AZ9-1)+ABS(BA9-1))*3))</x:f>
      </x:c>
      <x:c r="BI9" s="2" t="str">
        <x:f>IF(A9="","",IF(AND(OR('Input_Meci'!X9="",AND(ISNUMBER('Input_Meci'!X9),'Input_Meci'!X9&gt;=0,'Input_Meci'!X9&lt;=10)),OR('Input_Meci'!Y9="",AND(ISNUMBER('Input_Meci'!Y9),'Input_Meci'!Y9&gt;=0,'Input_Meci'!Y9&lt;=10)),OR('Input_Meci'!Z9="",AND(ISNUMBER('Input_Meci'!Z9),'Input_Meci'!Z9&gt;=0,'Input_Meci'!Z9&lt;=10)),OR('Input_Meci'!AA9="",AND(ISNUMBER('Input_Meci'!AA9),'Input_Meci'!AA9&gt;=0,'Input_Meci'!AA9&lt;=10)),OR('Input_Meci'!AB9="",AND(ISNUMBER('Input_Meci'!AB9),'Input_Meci'!AB9&gt;=0,'Input_Meci'!AB9&lt;=10)),OR('Input_Meci'!AC9="",AND(ISNUMBER('Input_Meci'!AC9),'Input_Meci'!AC9&gt;=0,'Input_Meci'!AC9&lt;=10)),OR('Input_Meci'!AD9="",AND(ISNUMBER('Input_Meci'!AD9),'Input_Meci'!AD9&gt;=-2,'Input_Meci'!AD9&lt;=2)),OR('Input_Meci'!AE9="",AND(ISNUMBER('Input_Meci'!AE9),'Input_Meci'!AE9&gt;=-2,'Input_Meci'!AE9&lt;=2)),OR('Input_Meci'!AF9="",AND(ISNUMBER('Input_Meci'!AF9),'Input_Meci'!AF9&gt;=-2,'Input_Meci'!AF9&lt;=2)),OR('Input_Meci'!AG9="",AND(ISNUMBER('Input_Meci'!AG9),'Input_Meci'!AG9&gt;=-2,'Input_Meci'!AG9&lt;=2))),"VALID","INVALID"))</x:f>
      </x:c>
      <x:c r="BJ9" s="2" t="n">
        <x:f>IF(A9="",0,SUM('Core_Nativ'!S42:S47))</x:f>
        <x:v>0</x:v>
      </x:c>
      <x:c r="BK9" s="2" t="str">
        <x:f>'Config_v6'!$B$40</x:f>
        <x:v>VALID</x:v>
      </x:c>
      <x:c r="BL9" s="2" t="str">
        <x:f>IF(A9="","",IF(SUMPRODUCT(('Istoric_Nativ'!$B$6:$B$405=B9)*('Istoric_Nativ'!$C$6:$C$405=C9)*('Istoric_Nativ'!$P$6:$P$405=1)*('Istoric_Nativ'!$D$6:$D$405&lt;INT(G9))*((('Istoric_Nativ'!$E$6:$E$405='Input_Meci'!D9)+('Istoric_Nativ'!$F$6:$F$405='Input_Meci'!D9)+('Istoric_Nativ'!$E$6:$E$405='Input_Meci'!E9)+('Istoric_Nativ'!$F$6:$F$405='Input_Meci'!E9))&gt;0))&gt;='Config_v6'!$B$41,C9,IF(AND('Input_Meci'!L9="YES",'Input_Meci'!K9&lt;&gt;"",'Input_Meci'!K9&lt;C9,COUNTIF('Core_Nativ'!R48:R53,"CLOSED")=6,SUM('Core_Nativ'!S48:S53)=0),'Input_Meci'!K9,C9)))</x:f>
      </x:c>
      <x:c r="BM9" s="9" t="n">
        <x:f>IF(OR(A9="",N9=0),0,LARGE(_xlfn._xlws.FILTER('Istoric_Nativ'!$D$6:$D$405,('Istoric_Nativ'!$B$6:$B$405=B9)*('Istoric_Nativ'!$C$6:$C$405=C9)*('Istoric_Nativ'!$P$6:$P$405=1)*('Istoric_Nativ'!$D$6:$D$405&lt;INT(G9))*((('Istoric_Nativ'!$E$6:$E$405='Input_Meci'!D9)+('Istoric_Nativ'!$F$6:$F$405='Input_Meci'!D9))&gt;0)),MIN(10,N9)))</x:f>
        <x:v>0</x:v>
      </x:c>
      <x:c r="BN9" s="9" t="n">
        <x:f>IF(OR(A9="",Q9=0),0,LARGE(_xlfn._xlws.FILTER('Istoric_Nativ'!$D$6:$D$405,('Istoric_Nativ'!$B$6:$B$405=B9)*('Istoric_Nativ'!$C$6:$C$405=C9)*('Istoric_Nativ'!$P$6:$P$405=1)*('Istoric_Nativ'!$D$6:$D$405&lt;INT(G9))*((('Istoric_Nativ'!$E$6:$E$405='Input_Meci'!E9)+('Istoric_Nativ'!$F$6:$F$405='Input_Meci'!E9))&gt;0)),MIN(10,Q9)))</x:f>
        <x:v>0</x:v>
      </x:c>
      <x:c r="BO9" s="9" t="n">
        <x:f>IF(OR(A9="",N9=0),0,LARGE(_xlfn._xlws.FILTER('Istoric_Nativ'!$D$6:$D$405,('Istoric_Nativ'!$B$6:$B$405=B9)*('Istoric_Nativ'!$C$6:$C$405=C9)*('Istoric_Nativ'!$P$6:$P$405=1)*('Istoric_Nativ'!$D$6:$D$405&lt;INT(G9))*((('Istoric_Nativ'!$E$6:$E$405='Input_Meci'!D9)+('Istoric_Nativ'!$F$6:$F$405='Input_Meci'!D9))&gt;0)),MIN(20,N9)))</x:f>
        <x:v>0</x:v>
      </x:c>
      <x:c r="BP9" s="9" t="n">
        <x:f>IF(OR(A9="",Q9=0),0,LARGE(_xlfn._xlws.FILTER('Istoric_Nativ'!$D$6:$D$405,('Istoric_Nativ'!$B$6:$B$405=B9)*('Istoric_Nativ'!$C$6:$C$405=C9)*('Istoric_Nativ'!$P$6:$P$405=1)*('Istoric_Nativ'!$D$6:$D$405&lt;INT(G9))*((('Istoric_Nativ'!$E$6:$E$405='Input_Meci'!E9)+('Istoric_Nativ'!$F$6:$F$405='Input_Meci'!E9))&gt;0)),MIN(20,Q9)))</x:f>
        <x:v>0</x:v>
      </x:c>
      <x:c r="BQ9" s="2" t="str">
        <x:f>IF(A9="","",IF(AND(COUNTIF(MatchesTable[Match_ID],A9)=1,COUNTIFS(MatchesTable[League],B9,MatchesTable[Season],C9,MatchesTable[Home],'Input_Meci'!D9,MatchesTable[Away],'Input_Meci'!E9,MatchesTable[Kickoff_UTC],F9)=1,B9&lt;&gt;"",C9&lt;&gt;"",'Input_Meci'!D9&lt;&gt;"",'Input_Meci'!E9&lt;&gt;"",'Input_Meci'!D9&lt;&gt;'Input_Meci'!E9,ISNUMBER(F9),ISNUMBER(G9),G9&lt;F9,OR(E9="LIVE",E9="REPLAY"),OR('Input_Meci'!L9="YES",'Input_Meci'!L9="NO",'Input_Meci'!L9="")),"VALID","INVALID"))</x:f>
      </x:c>
      <x:c r="BR9" s="2" t="n">
        <x:f>IF(I9&lt;&gt;"PASS",0,SUMPRODUCT(('Istoric_Nativ'!$B$6:$B$405='Input_Meci'!B9)*('Istoric_Nativ'!$C$6:$C$405='Input_Meci'!C9)*('Istoric_Nativ'!$P$6:$P$405=1)*('Istoric_Nativ'!$D$6:$D$405&lt;INT('Input_Meci'!G9))*((('Istoric_Nativ'!$E$6:$E$405='Input_Meci'!D9)+('Istoric_Nativ'!$F$6:$F$405='Input_Meci'!E9))&gt;0)))</x:f>
        <x:v>0</x:v>
      </x:c>
      <x:c r="BS9" s="2" t="n">
        <x:f>IF(I9&lt;&gt;"PASS",0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BM9)+((('Istoric_Nativ'!$E$6:$E$405='Input_Meci'!E9)+('Istoric_Nativ'!$F$6:$F$405='Input_Meci'!E9))&gt;0)*('Istoric_Nativ'!$D$6:$D$405&gt;=BN9))&gt;0)))</x:f>
        <x:v>0</x:v>
      </x:c>
      <x:c r="BT9" s="2" t="n">
        <x:f>IF(I9&lt;&gt;"PASS",0,SUMPRODUCT(('Istoric_Nativ'!$B$6:$B$405='Input_Meci'!B9)*('Istoric_Nativ'!$C$6:$C$405='Input_Meci'!C9)*('Istoric_Nativ'!$P$6:$P$405=1)*('Istoric_Nativ'!$D$6:$D$405&lt;INT('Input_Meci'!G9))*((((('Istoric_Nativ'!$E$6:$E$405='Input_Meci'!D9)+('Istoric_Nativ'!$F$6:$F$405='Input_Meci'!D9))&gt;0)*('Istoric_Nativ'!$D$6:$D$405&gt;=BO9)+((('Istoric_Nativ'!$E$6:$E$405='Input_Meci'!E9)+('Istoric_Nativ'!$F$6:$F$405='Input_Meci'!E9))&gt;0)*('Istoric_Nativ'!$D$6:$D$405&gt;=BP9))&gt;0)))</x:f>
        <x:v>0</x:v>
      </x:c>
    </x:row>
    <x:row r="10" ht="21" customHeight="1">
      <x:c r="A10" s="2" t="str">
        <x:f>IF('Input_Meci'!A10="","",'Input_Meci'!A10)</x:f>
      </x:c>
      <x:c r="B10" s="2" t="str">
        <x:f>IF(A10="","",'Input_Meci'!B10)</x:f>
      </x:c>
      <x:c r="C10" s="2" t="str">
        <x:f>IF(A10="","",'Input_Meci'!C10)</x:f>
      </x:c>
      <x:c r="D10" s="2" t="str">
        <x:f>IF(A10="","",'Input_Meci'!D10&amp;" – "&amp;'Input_Meci'!E10)</x:f>
      </x:c>
      <x:c r="E10" s="2" t="str">
        <x:f>IF(A10="","",'Input_Meci'!H10)</x:f>
      </x:c>
      <x:c r="F10" s="9" t="str">
        <x:f>IF(A10="","",'Input_Meci'!F10)</x:f>
      </x:c>
      <x:c r="G10" s="9" t="str">
        <x:f>IF(A10="","",'Input_Meci'!G10)</x:f>
      </x:c>
      <x:c r="H10" s="2" t="str">
        <x:f>IF(A10="","",IF(BQ10&lt;&gt;"VALID","NOT RELEASED",IF(AND(OR('Input_Meci'!I10="NOT AVAILABLE",'Input_Meci'!I10="SOURCE CONFLICT"),'Input_Meci'!J10&lt;&gt;""),"READY",IF(OR(NOT(OR('Input_Meci'!I10="AUTO",'Input_Meci'!I10="")),COUNTIF('Core_Nativ'!R54:R59,"CLOSED")&lt;&gt;6,BJ10&gt;0),"NOT RELEASED","READY"))))</x:f>
      </x:c>
      <x:c r="I10" s="2" t="str">
        <x:f>IF(A10="","",IF(H10&lt;&gt;"READY","NOT RELEASED",IF(AND(NOT(OR('Input_Meci'!I10="NOT AVAILABLE",'Input_Meci'!I10="SOURCE CONFLICT")),L10=12,AR10&gt;=2,AS10&gt;0,ISNUMBER(AT10),BI10="VALID",BK10="VALID"),"PASS","FAIL")))</x:f>
      </x:c>
      <x:c r="J10" s="2" t="str">
        <x:f>IF(A10="","",IF(BQ10&lt;&gt;"VALID","Verifica ID, echipe, mod si cutoff &lt; kickoff",IF(H10&lt;&gt;"READY",IF('Input_Meci'!I10="ACCESS BLOCKED","Acces blocat: reia sursele",IF(BJ10&gt;0,"Istoric invalid sau conflict: verifica randurile native","Surse neinchise / post-cutoff / dovezi incomplete")),IF(OR('Input_Meci'!I10="NOT AVAILABLE",'Input_Meci'!I10="SOURCE CONFLICT"),'Input_Meci'!I10,IF(BK10&lt;&gt;"VALID","Parametri invalizi",IF(L10&lt;&gt;12,"Core / sample / prior insuficient",IF(AR10&lt;2,"N insuficient pentru dispersie",IF(AS10&lt;=0,"Media istorica trebuie sa fie pozitiva",IF(BI10&lt;&gt;"VALID","Context invalid","READY")))))))))</x:f>
      </x:c>
      <x:c r="K10" s="2" t="str">
        <x:f>IF(A10="","",COUNT(T10:AE10))</x:f>
      </x:c>
      <x:c r="L10" s="2" t="str">
        <x:f>IF(A10="","",COUNT(AF10:AQ10))</x:f>
      </x:c>
      <x:c r="M10" s="2" t="str">
        <x:f>IF(A10="","",IF(OR('Core_Nativ'!M54&lt;'Core_Nativ'!P54,'Core_Nativ'!M55&lt;'Core_Nativ'!P55,'Core_Nativ'!M56&lt;'Core_Nativ'!P56,'Core_Nativ'!M57&lt;'Core_Nativ'!P57,'Core_Nativ'!M58&lt;'Core_Nativ'!P58,'Core_Nativ'!M59&lt;'Core_Nativ'!P59),"YES","NO"))</x:f>
      </x:c>
      <x:c r="N10" s="2" t="str">
        <x:f>IF(A10="","",'Core_Nativ'!M54)</x:f>
      </x:c>
      <x:c r="O10" s="2" t="str">
        <x:f>IF(A10="","",'Core_Nativ'!M55)</x:f>
      </x:c>
      <x:c r="P10" s="2" t="str">
        <x:f>IF(A10="","",'Core_Nativ'!M56)</x:f>
      </x:c>
      <x:c r="Q10" s="2" t="str">
        <x:f>IF(A10="","",'Core_Nativ'!M57)</x:f>
      </x:c>
      <x:c r="R10" s="2" t="str">
        <x:f>IF(A10="","",'Core_Nativ'!M58)</x:f>
      </x:c>
      <x:c r="S10" s="2" t="str">
        <x:f>IF(A10="","",'Core_Nativ'!M59)</x:f>
      </x:c>
      <x:c r="T10" s="11" t="str">
        <x:f>IF(OR(A10="",'Core_Nativ'!M54=0),"",'Core_Nativ'!N54)</x:f>
      </x:c>
      <x:c r="U10" s="11" t="str">
        <x:f>IF(OR(A10="",'Core_Nativ'!M54=0),"",'Core_Nativ'!O54)</x:f>
      </x:c>
      <x:c r="V10" s="11" t="str">
        <x:f>IF(OR(A10="",'Core_Nativ'!M55=0),"",'Core_Nativ'!N55)</x:f>
      </x:c>
      <x:c r="W10" s="11" t="str">
        <x:f>IF(OR(A10="",'Core_Nativ'!M55=0),"",'Core_Nativ'!O55)</x:f>
      </x:c>
      <x:c r="X10" s="11" t="str">
        <x:f>IF(OR(A10="",'Core_Nativ'!M56=0),"",'Core_Nativ'!N56)</x:f>
      </x:c>
      <x:c r="Y10" s="11" t="str">
        <x:f>IF(OR(A10="",'Core_Nativ'!M56=0),"",'Core_Nativ'!O56)</x:f>
      </x:c>
      <x:c r="Z10" s="11" t="str">
        <x:f>IF(OR(A10="",'Core_Nativ'!M57=0),"",'Core_Nativ'!N57)</x:f>
      </x:c>
      <x:c r="AA10" s="11" t="str">
        <x:f>IF(OR(A10="",'Core_Nativ'!M57=0),"",'Core_Nativ'!O57)</x:f>
      </x:c>
      <x:c r="AB10" s="11" t="str">
        <x:f>IF(OR(A10="",'Core_Nativ'!M58=0),"",'Core_Nativ'!N58)</x:f>
      </x:c>
      <x:c r="AC10" s="11" t="str">
        <x:f>IF(OR(A10="",'Core_Nativ'!M58=0),"",'Core_Nativ'!O58)</x:f>
      </x:c>
      <x:c r="AD10" s="11" t="str">
        <x:f>IF(OR(A10="",'Core_Nativ'!M59=0),"",'Core_Nativ'!N59)</x:f>
      </x:c>
      <x:c r="AE10" s="11" t="str">
        <x:f>IF(OR(A10="",'Core_Nativ'!M59=0),"",'Core_Nativ'!O59)</x:f>
      </x:c>
      <x:c r="AF10" s="11" t="str">
        <x:f>IF(A10="","",IF(AND('Core_Nativ'!R54="CLOSED",'Core_Nativ'!S54=0),IF('Core_Nativ'!M54&gt;='Core_Nativ'!P54,'Core_Nativ'!N54,IF(AND('Input_Meci'!L10="YES",'Input_Meci'!K10&lt;&gt;"",'Input_Meci'!K10&lt;C10,'Core_Nativ'!T60="DERIVED",'Core_Nativ'!M60&gt;='Core_Nativ'!P54),MIN(1,'Core_Nativ'!M54/'Core_Nativ'!P54)*IF('Core_Nativ'!M54=0,0,'Core_Nativ'!N54)+(1-MIN(1,'Core_Nativ'!M54/'Core_Nativ'!P54))*'Core_Nativ'!N60,"")),""))</x:f>
      </x:c>
      <x:c r="AG10" s="11" t="str">
        <x:f>IF(A10="","",IF(AND('Core_Nativ'!R54="CLOSED",'Core_Nativ'!S54=0),IF('Core_Nativ'!M54&gt;='Core_Nativ'!P54,'Core_Nativ'!O54,IF(AND('Input_Meci'!L10="YES",'Input_Meci'!K10&lt;&gt;"",'Input_Meci'!K10&lt;C10,'Core_Nativ'!T60="DERIVED",'Core_Nativ'!M60&gt;='Core_Nativ'!P54),MIN(1,'Core_Nativ'!M54/'Core_Nativ'!P54)*IF('Core_Nativ'!M54=0,0,'Core_Nativ'!O54)+(1-MIN(1,'Core_Nativ'!M54/'Core_Nativ'!P54))*'Core_Nativ'!O60,"")),""))</x:f>
      </x:c>
      <x:c r="AH10" s="11" t="str">
        <x:f>IF(A10="","",IF(AND('Core_Nativ'!R55="CLOSED",'Core_Nativ'!S55=0),IF('Core_Nativ'!M55&gt;='Core_Nativ'!P55,'Core_Nativ'!N55,IF(AND('Input_Meci'!L10="YES",'Input_Meci'!K10&lt;&gt;"",'Input_Meci'!K10&lt;C10,'Core_Nativ'!T61="DERIVED",'Core_Nativ'!M61&gt;='Core_Nativ'!P55),MIN(1,'Core_Nativ'!M55/'Core_Nativ'!P55)*IF('Core_Nativ'!M55=0,0,'Core_Nativ'!N55)+(1-MIN(1,'Core_Nativ'!M55/'Core_Nativ'!P55))*'Core_Nativ'!N61,"")),""))</x:f>
      </x:c>
      <x:c r="AI10" s="11" t="str">
        <x:f>IF(A10="","",IF(AND('Core_Nativ'!R55="CLOSED",'Core_Nativ'!S55=0),IF('Core_Nativ'!M55&gt;='Core_Nativ'!P55,'Core_Nativ'!O55,IF(AND('Input_Meci'!L10="YES",'Input_Meci'!K10&lt;&gt;"",'Input_Meci'!K10&lt;C10,'Core_Nativ'!T61="DERIVED",'Core_Nativ'!M61&gt;='Core_Nativ'!P55),MIN(1,'Core_Nativ'!M55/'Core_Nativ'!P55)*IF('Core_Nativ'!M55=0,0,'Core_Nativ'!O55)+(1-MIN(1,'Core_Nativ'!M55/'Core_Nativ'!P55))*'Core_Nativ'!O61,"")),""))</x:f>
      </x:c>
      <x:c r="AJ10" s="11" t="str">
        <x:f>IF(A10="","",IF(AND('Core_Nativ'!R56="CLOSED",'Core_Nativ'!S56=0),IF('Core_Nativ'!M56&gt;='Core_Nativ'!P56,'Core_Nativ'!N56,IF(AND('Input_Meci'!L10="YES",'Input_Meci'!K10&lt;&gt;"",'Input_Meci'!K10&lt;C10,'Core_Nativ'!T62="DERIVED",'Core_Nativ'!M62&gt;='Core_Nativ'!P56),MIN(1,'Core_Nativ'!M56/'Core_Nativ'!P56)*IF('Core_Nativ'!M56=0,0,'Core_Nativ'!N56)+(1-MIN(1,'Core_Nativ'!M56/'Core_Nativ'!P56))*'Core_Nativ'!N62,"")),""))</x:f>
      </x:c>
      <x:c r="AK10" s="11" t="str">
        <x:f>IF(A10="","",IF(AND('Core_Nativ'!R56="CLOSED",'Core_Nativ'!S56=0),IF('Core_Nativ'!M56&gt;='Core_Nativ'!P56,'Core_Nativ'!O56,IF(AND('Input_Meci'!L10="YES",'Input_Meci'!K10&lt;&gt;"",'Input_Meci'!K10&lt;C10,'Core_Nativ'!T62="DERIVED",'Core_Nativ'!M62&gt;='Core_Nativ'!P56),MIN(1,'Core_Nativ'!M56/'Core_Nativ'!P56)*IF('Core_Nativ'!M56=0,0,'Core_Nativ'!O56)+(1-MIN(1,'Core_Nativ'!M56/'Core_Nativ'!P56))*'Core_Nativ'!O62,"")),""))</x:f>
      </x:c>
      <x:c r="AL10" s="11" t="str">
        <x:f>IF(A10="","",IF(AND('Core_Nativ'!R57="CLOSED",'Core_Nativ'!S57=0),IF('Core_Nativ'!M57&gt;='Core_Nativ'!P57,'Core_Nativ'!N57,IF(AND('Input_Meci'!L10="YES",'Input_Meci'!K10&lt;&gt;"",'Input_Meci'!K10&lt;C10,'Core_Nativ'!T63="DERIVED",'Core_Nativ'!M63&gt;='Core_Nativ'!P57),MIN(1,'Core_Nativ'!M57/'Core_Nativ'!P57)*IF('Core_Nativ'!M57=0,0,'Core_Nativ'!N57)+(1-MIN(1,'Core_Nativ'!M57/'Core_Nativ'!P57))*'Core_Nativ'!N63,"")),""))</x:f>
      </x:c>
      <x:c r="AM10" s="11" t="str">
        <x:f>IF(A10="","",IF(AND('Core_Nativ'!R57="CLOSED",'Core_Nativ'!S57=0),IF('Core_Nativ'!M57&gt;='Core_Nativ'!P57,'Core_Nativ'!O57,IF(AND('Input_Meci'!L10="YES",'Input_Meci'!K10&lt;&gt;"",'Input_Meci'!K10&lt;C10,'Core_Nativ'!T63="DERIVED",'Core_Nativ'!M63&gt;='Core_Nativ'!P57),MIN(1,'Core_Nativ'!M57/'Core_Nativ'!P57)*IF('Core_Nativ'!M57=0,0,'Core_Nativ'!O57)+(1-MIN(1,'Core_Nativ'!M57/'Core_Nativ'!P57))*'Core_Nativ'!O63,"")),""))</x:f>
      </x:c>
      <x:c r="AN10" s="11" t="str">
        <x:f>IF(A10="","",IF(AND('Core_Nativ'!R58="CLOSED",'Core_Nativ'!S58=0),IF('Core_Nativ'!M58&gt;='Core_Nativ'!P58,'Core_Nativ'!N58,IF(AND('Input_Meci'!L10="YES",'Input_Meci'!K10&lt;&gt;"",'Input_Meci'!K10&lt;C10,'Core_Nativ'!T64="DERIVED",'Core_Nativ'!M64&gt;='Core_Nativ'!P58),MIN(1,'Core_Nativ'!M58/'Core_Nativ'!P58)*IF('Core_Nativ'!M58=0,0,'Core_Nativ'!N58)+(1-MIN(1,'Core_Nativ'!M58/'Core_Nativ'!P58))*'Core_Nativ'!N64,"")),""))</x:f>
      </x:c>
      <x:c r="AO10" s="11" t="str">
        <x:f>IF(A10="","",IF(AND('Core_Nativ'!R58="CLOSED",'Core_Nativ'!S58=0),IF('Core_Nativ'!M58&gt;='Core_Nativ'!P58,'Core_Nativ'!O58,IF(AND('Input_Meci'!L10="YES",'Input_Meci'!K10&lt;&gt;"",'Input_Meci'!K10&lt;C10,'Core_Nativ'!T64="DERIVED",'Core_Nativ'!M64&gt;='Core_Nativ'!P58),MIN(1,'Core_Nativ'!M58/'Core_Nativ'!P58)*IF('Core_Nativ'!M58=0,0,'Core_Nativ'!O58)+(1-MIN(1,'Core_Nativ'!M58/'Core_Nativ'!P58))*'Core_Nativ'!O64,"")),""))</x:f>
      </x:c>
      <x:c r="AP10" s="11" t="str">
        <x:f>IF(A10="","",IF(AND('Core_Nativ'!R59="CLOSED",'Core_Nativ'!S59=0),IF('Core_Nativ'!M59&gt;='Core_Nativ'!P59,'Core_Nativ'!N59,IF(AND('Input_Meci'!L10="YES",'Input_Meci'!K10&lt;&gt;"",'Input_Meci'!K10&lt;C10,'Core_Nativ'!T65="DERIVED",'Core_Nativ'!M65&gt;='Core_Nativ'!P59),MIN(1,'Core_Nativ'!M59/'Core_Nativ'!P59)*IF('Core_Nativ'!M59=0,0,'Core_Nativ'!N59)+(1-MIN(1,'Core_Nativ'!M59/'Core_Nativ'!P59))*'Core_Nativ'!N65,"")),""))</x:f>
      </x:c>
      <x:c r="AQ10" s="11" t="str">
        <x:f>IF(A10="","",IF(AND('Core_Nativ'!R59="CLOSED",'Core_Nativ'!S59=0),IF('Core_Nativ'!M59&gt;='Core_Nativ'!P59,'Core_Nativ'!O59,IF(AND('Input_Meci'!L10="YES",'Input_Meci'!K10&lt;&gt;"",'Input_Meci'!K10&lt;C10,'Core_Nativ'!T65="DERIVED",'Core_Nativ'!M65&gt;='Core_Nativ'!P59),MIN(1,'Core_Nativ'!M59/'Core_Nativ'!P59)*IF('Core_Nativ'!M59=0,0,'Core_Nativ'!O59)+(1-MIN(1,'Core_Nativ'!M59/'Core_Nativ'!P59))*'Core_Nativ'!O65,"")),""))</x:f>
      </x:c>
      <x:c r="AR10" s="11" t="str">
        <x:f>IF(A10="","",SUMPRODUCT(('Istoric_Nativ'!$B$6:$B$405=B10)*('Istoric_Nativ'!$C$6:$C$405=BL10)*('Istoric_Nativ'!$P$6:$P$405=1)*('Istoric_Nativ'!$D$6:$D$405&lt;INT(G10))*((('Istoric_Nativ'!$E$6:$E$405='Input_Meci'!D10)+('Istoric_Nativ'!$F$6:$F$405='Input_Meci'!D10)+('Istoric_Nativ'!$E$6:$E$405='Input_Meci'!E10)+('Istoric_Nativ'!$F$6:$F$405='Input_Meci'!E10))&gt;0)))</x:f>
      </x:c>
      <x:c r="AS10" s="11" t="str">
        <x:f>IF(AR10=0,"",SUMPRODUCT(('Istoric_Nativ'!$B$6:$B$405=B10)*('Istoric_Nativ'!$C$6:$C$405=BL10)*('Istoric_Nativ'!$P$6:$P$405=1)*('Istoric_Nativ'!$D$6:$D$405&lt;INT(G10))*((('Istoric_Nativ'!$E$6:$E$405='Input_Meci'!D10)+('Istoric_Nativ'!$F$6:$F$405='Input_Meci'!D10)+('Istoric_Nativ'!$E$6:$E$405='Input_Meci'!E10)+('Istoric_Nativ'!$F$6:$F$405='Input_Meci'!E10))&gt;0)*'Istoric_Nativ'!$Q$6:$Q$405)/AR10)</x:f>
      </x:c>
      <x:c r="AT10" s="11" t="str">
        <x:f>IF(AR10&lt;2,"",MAX(0,(SUMPRODUCT(('Istoric_Nativ'!$B$6:$B$405=B10)*('Istoric_Nativ'!$C$6:$C$405=BL10)*('Istoric_Nativ'!$P$6:$P$405=1)*('Istoric_Nativ'!$D$6:$D$405&lt;INT(G10))*((('Istoric_Nativ'!$E$6:$E$405='Input_Meci'!D10)+('Istoric_Nativ'!$F$6:$F$405='Input_Meci'!D10)+('Istoric_Nativ'!$E$6:$E$405='Input_Meci'!E10)+('Istoric_Nativ'!$F$6:$F$405='Input_Meci'!E10))&gt;0)*'Istoric_Nativ'!$R$6:$R$405)-AR10*AS10^2)/(AR10-1)))</x:f>
      </x:c>
      <x:c r="AU10" s="11" t="str">
        <x:f>IF(I10&lt;&gt;"PASS","",AT10/AS10)</x:f>
      </x:c>
      <x:c r="AV10" s="11" t="str">
        <x:f>IF(I10&lt;&gt;"PASS","",IF(AU10&lt;='Config_v6'!$B$10,"POISSON","NEGATIVE BINOMIAL"))</x:f>
      </x:c>
      <x:c r="AW10" s="11" t="str">
        <x:f>IF(I10&lt;&gt;"PASS","",IF(AV10="POISSON",9999,AS10/(AU10-1)))</x:f>
      </x:c>
      <x:c r="AX10" s="11" t="str">
        <x:f>IF(A10="","",MAX(1-'Config_v6'!$B$20,MIN(1+'Config_v6'!$B$20,1+0.02*(IF(AND(ISNUMBER('Input_Meci'!N10),'Input_Meci'!N10&gt;=0,'Input_Meci'!N10&lt;=200),'Input_Meci'!N10,12)/12-1)+0.02*(IF(AND(ISNUMBER('Input_Meci'!P10),'Input_Meci'!P10&gt;=0,'Input_Meci'!P10&lt;=200),'Input_Meci'!P10,3.5)/3.5-1)+0.02*(IF(AND(ISNUMBER('Input_Meci'!R10),'Input_Meci'!R10&gt;=0,'Input_Meci'!R10&lt;=200),'Input_Meci'!R10,18)/18-1)+0.02*((IF(AND(ISNUMBER('Input_Meci'!V10),'Input_Meci'!V10&gt;=0,'Input_Meci'!V10&lt;=10),'Input_Meci'!V10,5)-5)/5))))</x:f>
      </x:c>
      <x:c r="AY10" s="11" t="str">
        <x:f>IF(A10="","",MAX(1-'Config_v6'!$B$20,MIN(1+'Config_v6'!$B$20,1+0.02*(IF(AND(ISNUMBER('Input_Meci'!O10),'Input_Meci'!O10&gt;=0,'Input_Meci'!O10&lt;=200),'Input_Meci'!O10,12)/12-1)+0.02*(IF(AND(ISNUMBER('Input_Meci'!Q10),'Input_Meci'!Q10&gt;=0,'Input_Meci'!Q10&lt;=200),'Input_Meci'!Q10,3.5)/3.5-1)+0.02*(IF(AND(ISNUMBER('Input_Meci'!S10),'Input_Meci'!S10&gt;=0,'Input_Meci'!S10&lt;=200),'Input_Meci'!S10,18)/18-1)+0.02*((IF(AND(ISNUMBER('Input_Meci'!W10),'Input_Meci'!W10&gt;=0,'Input_Meci'!W10&lt;=10),'Input_Meci'!W10,5)-5)/5))))</x:f>
      </x:c>
      <x:c r="AZ10" s="11" t="str">
        <x:f>IF(A10="","",MAX(1-'Config_v6'!$B$21,MIN(1+'Config_v6'!$B$21,1+0.012*(IF('Input_Meci'!X10="",5,IF(ISNUMBER('Input_Meci'!X10),'Input_Meci'!X10,5))-5)+0.018*(IF('Input_Meci'!Z10="",5,IF(ISNUMBER('Input_Meci'!Z10),'Input_Meci'!Z10,5))-5)+0.012*(IF('Input_Meci'!AB10="",5,IF(ISNUMBER('Input_Meci'!AB10),'Input_Meci'!AB10,5))-5)+0.015*IF('Input_Meci'!AD10="",0,IF(ISNUMBER('Input_Meci'!AD10),'Input_Meci'!AD10,0))+0.02*IF('Input_Meci'!AF10="",0,IF(ISNUMBER('Input_Meci'!AF10),'Input_Meci'!AF10,0)))))</x:f>
      </x:c>
      <x:c r="BA10" s="11" t="str">
        <x:f>IF(A10="","",MAX(1-'Config_v6'!$B$21,MIN(1+'Config_v6'!$B$21,1+0.012*(IF('Input_Meci'!Y10="",5,IF(ISNUMBER('Input_Meci'!Y10),'Input_Meci'!Y10,5))-5)+0.018*(IF('Input_Meci'!AA10="",5,IF(ISNUMBER('Input_Meci'!AA10),'Input_Meci'!AA10,5))-5)+0.012*(IF('Input_Meci'!AC10="",5,IF(ISNUMBER('Input_Meci'!AC10),'Input_Meci'!AC10,5))-5)+0.015*IF('Input_Meci'!AE10="",0,IF(ISNUMBER('Input_Meci'!AE10),'Input_Meci'!AE10,0))+0.02*IF('Input_Meci'!AG10="",0,IF(ISNUMBER('Input_Meci'!AG10),'Input_Meci'!AG10,0)))))</x:f>
      </x:c>
      <x:c r="BB10" s="11" t="str">
        <x:f>IF(I10&lt;&gt;"PASS","",(AVERAGE(AF10,AM10)*'Config_v6'!$B$4+AVERAGE(AH10,AO10)*'Config_v6'!$B$5+AVERAGE(AJ10,AQ10)*'Config_v6'!$B$6)*AX10*AZ10)</x:f>
      </x:c>
      <x:c r="BC10" s="11" t="str">
        <x:f>IF(I10&lt;&gt;"PASS","",(AVERAGE(AL10,AG10)*'Config_v6'!$B$4+AVERAGE(AN10,AI10)*'Config_v6'!$B$5+AVERAGE(AP10,AK10)*'Config_v6'!$B$6)*AY10*BA10)</x:f>
      </x:c>
      <x:c r="BD10" s="11" t="str">
        <x:f>IF(I10&lt;&gt;"PASS","",BB10+BC10)</x:f>
      </x:c>
      <x:c r="BE10" s="11" t="str">
        <x:f>IF(A10="","",10-SUM(IF(AND(ISNUMBER('Input_Meci'!N10),'Input_Meci'!N10&gt;=0,'Input_Meci'!N10&lt;=200),1,0),IF(AND(ISNUMBER('Input_Meci'!O10),'Input_Meci'!O10&gt;=0,'Input_Meci'!O10&lt;=200),1,0),IF(AND(ISNUMBER('Input_Meci'!P10),'Input_Meci'!P10&gt;=0,'Input_Meci'!P10&lt;=200),1,0),IF(AND(ISNUMBER('Input_Meci'!Q10),'Input_Meci'!Q10&gt;=0,'Input_Meci'!Q10&lt;=200),1,0),IF(AND(ISNUMBER('Input_Meci'!R10),'Input_Meci'!R10&gt;=0,'Input_Meci'!R10&lt;=200),1,0),IF(AND(ISNUMBER('Input_Meci'!S10),'Input_Meci'!S10&gt;=0,'Input_Meci'!S10&lt;=200),1,0),IF(AND(ISNUMBER('Input_Meci'!T10),'Input_Meci'!T10&gt;=0,'Input_Meci'!T10&lt;=100),1,0),IF(AND(ISNUMBER('Input_Meci'!U10),'Input_Meci'!U10&gt;=0,'Input_Meci'!U10&lt;=100),1,0),IF(AND(ISNUMBER('Input_Meci'!V10),'Input_Meci'!V10&gt;=0,'Input_Meci'!V10&lt;=10),1,0),IF(AND(ISNUMBER('Input_Meci'!W10),'Input_Meci'!W10&gt;=0,'Input_Meci'!W10&lt;=10),1,0)))</x:f>
      </x:c>
      <x:c r="BF10" s="11" t="str">
        <x:f>IF(I10&lt;&gt;"PASS","",MAX(0,MIN(IF(OR(M10="YES",BL10&lt;&gt;C10),'Config_v6'!$B$34,100),ROUND(40+25*MIN(1,MIN(N10,Q10)/'Config_v6'!$B$7)*MIN(1,MIN(O10,R10)/'Config_v6'!$B$8)*MIN(1,MIN(P10,S10)/'Config_v6'!$B$9)+MAX(0,15-2*ABS(AF10-AJ10)-2*ABS(AL10-AP10))+IF(AU10&lt;='Config_v6'!$B$10,15,IF(AU10&lt;='Config_v6'!$B$11,13,IF(AU10&lt;='Config_v6'!$B$12,10,IF(AU10&lt;='Config_v6'!$B$13,6,0))))+5-BE10/10*'Config_v6'!$B$38,0))))</x:f>
      </x:c>
      <x:c r="BG10" s="11" t="str">
        <x:f>IF(I10&lt;&gt;"PASS","",MIN(1,'Config_v6'!$B$14*(0.7+0.3*MIN(1,AR10/'Config_v6'!$B$15))*IF(AU10&lt;='Config_v6'!$B$10,1,IF(AU10&lt;='Config_v6'!$B$11,0.95,IF(AU10&lt;='Config_v6'!$B$12,0.88,0.78)))*(0.75+0.25*BF10/100)))</x:f>
      </x:c>
      <x:c r="BH10" s="11" t="str">
        <x:f>IF(I10&lt;&gt;"PASS","",MIN(1,(ABS(AZ10-1)+ABS(BA10-1))*3))</x:f>
      </x:c>
      <x:c r="BI10" s="2" t="str">
        <x:f>IF(A10="","",IF(AND(OR('Input_Meci'!X10="",AND(ISNUMBER('Input_Meci'!X10),'Input_Meci'!X10&gt;=0,'Input_Meci'!X10&lt;=10)),OR('Input_Meci'!Y10="",AND(ISNUMBER('Input_Meci'!Y10),'Input_Meci'!Y10&gt;=0,'Input_Meci'!Y10&lt;=10)),OR('Input_Meci'!Z10="",AND(ISNUMBER('Input_Meci'!Z10),'Input_Meci'!Z10&gt;=0,'Input_Meci'!Z10&lt;=10)),OR('Input_Meci'!AA10="",AND(ISNUMBER('Input_Meci'!AA10),'Input_Meci'!AA10&gt;=0,'Input_Meci'!AA10&lt;=10)),OR('Input_Meci'!AB10="",AND(ISNUMBER('Input_Meci'!AB10),'Input_Meci'!AB10&gt;=0,'Input_Meci'!AB10&lt;=10)),OR('Input_Meci'!AC10="",AND(ISNUMBER('Input_Meci'!AC10),'Input_Meci'!AC10&gt;=0,'Input_Meci'!AC10&lt;=10)),OR('Input_Meci'!AD10="",AND(ISNUMBER('Input_Meci'!AD10),'Input_Meci'!AD10&gt;=-2,'Input_Meci'!AD10&lt;=2)),OR('Input_Meci'!AE10="",AND(ISNUMBER('Input_Meci'!AE10),'Input_Meci'!AE10&gt;=-2,'Input_Meci'!AE10&lt;=2)),OR('Input_Meci'!AF10="",AND(ISNUMBER('Input_Meci'!AF10),'Input_Meci'!AF10&gt;=-2,'Input_Meci'!AF10&lt;=2)),OR('Input_Meci'!AG10="",AND(ISNUMBER('Input_Meci'!AG10),'Input_Meci'!AG10&gt;=-2,'Input_Meci'!AG10&lt;=2))),"VALID","INVALID"))</x:f>
      </x:c>
      <x:c r="BJ10" s="2" t="n">
        <x:f>IF(A10="",0,SUM('Core_Nativ'!S54:S59))</x:f>
        <x:v>0</x:v>
      </x:c>
      <x:c r="BK10" s="2" t="str">
        <x:f>'Config_v6'!$B$40</x:f>
        <x:v>VALID</x:v>
      </x:c>
      <x:c r="BL10" s="2" t="str">
        <x:f>IF(A10="","",IF(SUMPRODUCT(('Istoric_Nativ'!$B$6:$B$405=B10)*('Istoric_Nativ'!$C$6:$C$405=C10)*('Istoric_Nativ'!$P$6:$P$405=1)*('Istoric_Nativ'!$D$6:$D$405&lt;INT(G10))*((('Istoric_Nativ'!$E$6:$E$405='Input_Meci'!D10)+('Istoric_Nativ'!$F$6:$F$405='Input_Meci'!D10)+('Istoric_Nativ'!$E$6:$E$405='Input_Meci'!E10)+('Istoric_Nativ'!$F$6:$F$405='Input_Meci'!E10))&gt;0))&gt;='Config_v6'!$B$41,C10,IF(AND('Input_Meci'!L10="YES",'Input_Meci'!K10&lt;&gt;"",'Input_Meci'!K10&lt;C10,COUNTIF('Core_Nativ'!R60:R65,"CLOSED")=6,SUM('Core_Nativ'!S60:S65)=0),'Input_Meci'!K10,C10)))</x:f>
      </x:c>
      <x:c r="BM10" s="9" t="n">
        <x:f>IF(OR(A10="",N10=0),0,LARGE(_xlfn._xlws.FILTER('Istoric_Nativ'!$D$6:$D$405,('Istoric_Nativ'!$B$6:$B$405=B10)*('Istoric_Nativ'!$C$6:$C$405=C10)*('Istoric_Nativ'!$P$6:$P$405=1)*('Istoric_Nativ'!$D$6:$D$405&lt;INT(G10))*((('Istoric_Nativ'!$E$6:$E$405='Input_Meci'!D10)+('Istoric_Nativ'!$F$6:$F$405='Input_Meci'!D10))&gt;0)),MIN(10,N10)))</x:f>
        <x:v>0</x:v>
      </x:c>
      <x:c r="BN10" s="9" t="n">
        <x:f>IF(OR(A10="",Q10=0),0,LARGE(_xlfn._xlws.FILTER('Istoric_Nativ'!$D$6:$D$405,('Istoric_Nativ'!$B$6:$B$405=B10)*('Istoric_Nativ'!$C$6:$C$405=C10)*('Istoric_Nativ'!$P$6:$P$405=1)*('Istoric_Nativ'!$D$6:$D$405&lt;INT(G10))*((('Istoric_Nativ'!$E$6:$E$405='Input_Meci'!E10)+('Istoric_Nativ'!$F$6:$F$405='Input_Meci'!E10))&gt;0)),MIN(10,Q10)))</x:f>
        <x:v>0</x:v>
      </x:c>
      <x:c r="BO10" s="9" t="n">
        <x:f>IF(OR(A10="",N10=0),0,LARGE(_xlfn._xlws.FILTER('Istoric_Nativ'!$D$6:$D$405,('Istoric_Nativ'!$B$6:$B$405=B10)*('Istoric_Nativ'!$C$6:$C$405=C10)*('Istoric_Nativ'!$P$6:$P$405=1)*('Istoric_Nativ'!$D$6:$D$405&lt;INT(G10))*((('Istoric_Nativ'!$E$6:$E$405='Input_Meci'!D10)+('Istoric_Nativ'!$F$6:$F$405='Input_Meci'!D10))&gt;0)),MIN(20,N10)))</x:f>
        <x:v>0</x:v>
      </x:c>
      <x:c r="BP10" s="9" t="n">
        <x:f>IF(OR(A10="",Q10=0),0,LARGE(_xlfn._xlws.FILTER('Istoric_Nativ'!$D$6:$D$405,('Istoric_Nativ'!$B$6:$B$405=B10)*('Istoric_Nativ'!$C$6:$C$405=C10)*('Istoric_Nativ'!$P$6:$P$405=1)*('Istoric_Nativ'!$D$6:$D$405&lt;INT(G10))*((('Istoric_Nativ'!$E$6:$E$405='Input_Meci'!E10)+('Istoric_Nativ'!$F$6:$F$405='Input_Meci'!E10))&gt;0)),MIN(20,Q10)))</x:f>
        <x:v>0</x:v>
      </x:c>
      <x:c r="BQ10" s="2" t="str">
        <x:f>IF(A10="","",IF(AND(COUNTIF(MatchesTable[Match_ID],A10)=1,COUNTIFS(MatchesTable[League],B10,MatchesTable[Season],C10,MatchesTable[Home],'Input_Meci'!D10,MatchesTable[Away],'Input_Meci'!E10,MatchesTable[Kickoff_UTC],F10)=1,B10&lt;&gt;"",C10&lt;&gt;"",'Input_Meci'!D10&lt;&gt;"",'Input_Meci'!E10&lt;&gt;"",'Input_Meci'!D10&lt;&gt;'Input_Meci'!E10,ISNUMBER(F10),ISNUMBER(G10),G10&lt;F10,OR(E10="LIVE",E10="REPLAY"),OR('Input_Meci'!L10="YES",'Input_Meci'!L10="NO",'Input_Meci'!L10="")),"VALID","INVALID"))</x:f>
      </x:c>
      <x:c r="BR10" s="2" t="n">
        <x:f>IF(I10&lt;&gt;"PASS",0,SUMPRODUCT(('Istoric_Nativ'!$B$6:$B$405='Input_Meci'!B10)*('Istoric_Nativ'!$C$6:$C$405='Input_Meci'!C10)*('Istoric_Nativ'!$P$6:$P$405=1)*('Istoric_Nativ'!$D$6:$D$405&lt;INT('Input_Meci'!G10))*((('Istoric_Nativ'!$E$6:$E$405='Input_Meci'!D10)+('Istoric_Nativ'!$F$6:$F$405='Input_Meci'!E10))&gt;0)))</x:f>
        <x:v>0</x:v>
      </x:c>
      <x:c r="BS10" s="2" t="n">
        <x:f>IF(I10&lt;&gt;"PASS",0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BM10)+((('Istoric_Nativ'!$E$6:$E$405='Input_Meci'!E10)+('Istoric_Nativ'!$F$6:$F$405='Input_Meci'!E10))&gt;0)*('Istoric_Nativ'!$D$6:$D$405&gt;=BN10))&gt;0)))</x:f>
        <x:v>0</x:v>
      </x:c>
      <x:c r="BT10" s="2" t="n">
        <x:f>IF(I10&lt;&gt;"PASS",0,SUMPRODUCT(('Istoric_Nativ'!$B$6:$B$405='Input_Meci'!B10)*('Istoric_Nativ'!$C$6:$C$405='Input_Meci'!C10)*('Istoric_Nativ'!$P$6:$P$405=1)*('Istoric_Nativ'!$D$6:$D$405&lt;INT('Input_Meci'!G10))*((((('Istoric_Nativ'!$E$6:$E$405='Input_Meci'!D10)+('Istoric_Nativ'!$F$6:$F$405='Input_Meci'!D10))&gt;0)*('Istoric_Nativ'!$D$6:$D$405&gt;=BO10)+((('Istoric_Nativ'!$E$6:$E$405='Input_Meci'!E10)+('Istoric_Nativ'!$F$6:$F$405='Input_Meci'!E10))&gt;0)*('Istoric_Nativ'!$D$6:$D$405&gt;=BP10))&gt;0)))</x:f>
        <x:v>0</x:v>
      </x:c>
    </x:row>
    <x:row r="11" ht="21" customHeight="1">
      <x:c r="A11" s="2" t="str">
        <x:f>IF('Input_Meci'!A11="","",'Input_Meci'!A11)</x:f>
      </x:c>
      <x:c r="B11" s="2" t="str">
        <x:f>IF(A11="","",'Input_Meci'!B11)</x:f>
      </x:c>
      <x:c r="C11" s="2" t="str">
        <x:f>IF(A11="","",'Input_Meci'!C11)</x:f>
      </x:c>
      <x:c r="D11" s="2" t="str">
        <x:f>IF(A11="","",'Input_Meci'!D11&amp;" – "&amp;'Input_Meci'!E11)</x:f>
      </x:c>
      <x:c r="E11" s="2" t="str">
        <x:f>IF(A11="","",'Input_Meci'!H11)</x:f>
      </x:c>
      <x:c r="F11" s="9" t="str">
        <x:f>IF(A11="","",'Input_Meci'!F11)</x:f>
      </x:c>
      <x:c r="G11" s="9" t="str">
        <x:f>IF(A11="","",'Input_Meci'!G11)</x:f>
      </x:c>
      <x:c r="H11" s="2" t="str">
        <x:f>IF(A11="","",IF(BQ11&lt;&gt;"VALID","NOT RELEASED",IF(AND(OR('Input_Meci'!I11="NOT AVAILABLE",'Input_Meci'!I11="SOURCE CONFLICT"),'Input_Meci'!J11&lt;&gt;""),"READY",IF(OR(NOT(OR('Input_Meci'!I11="AUTO",'Input_Meci'!I11="")),COUNTIF('Core_Nativ'!R66:R71,"CLOSED")&lt;&gt;6,BJ11&gt;0),"NOT RELEASED","READY"))))</x:f>
      </x:c>
      <x:c r="I11" s="2" t="str">
        <x:f>IF(A11="","",IF(H11&lt;&gt;"READY","NOT RELEASED",IF(AND(NOT(OR('Input_Meci'!I11="NOT AVAILABLE",'Input_Meci'!I11="SOURCE CONFLICT")),L11=12,AR11&gt;=2,AS11&gt;0,ISNUMBER(AT11),BI11="VALID",BK11="VALID"),"PASS","FAIL")))</x:f>
      </x:c>
      <x:c r="J11" s="2" t="str">
        <x:f>IF(A11="","",IF(BQ11&lt;&gt;"VALID","Verifica ID, echipe, mod si cutoff &lt; kickoff",IF(H11&lt;&gt;"READY",IF('Input_Meci'!I11="ACCESS BLOCKED","Acces blocat: reia sursele",IF(BJ11&gt;0,"Istoric invalid sau conflict: verifica randurile native","Surse neinchise / post-cutoff / dovezi incomplete")),IF(OR('Input_Meci'!I11="NOT AVAILABLE",'Input_Meci'!I11="SOURCE CONFLICT"),'Input_Meci'!I11,IF(BK11&lt;&gt;"VALID","Parametri invalizi",IF(L11&lt;&gt;12,"Core / sample / prior insuficient",IF(AR11&lt;2,"N insuficient pentru dispersie",IF(AS11&lt;=0,"Media istorica trebuie sa fie pozitiva",IF(BI11&lt;&gt;"VALID","Context invalid","READY")))))))))</x:f>
      </x:c>
      <x:c r="K11" s="2" t="str">
        <x:f>IF(A11="","",COUNT(T11:AE11))</x:f>
      </x:c>
      <x:c r="L11" s="2" t="str">
        <x:f>IF(A11="","",COUNT(AF11:AQ11))</x:f>
      </x:c>
      <x:c r="M11" s="2" t="str">
        <x:f>IF(A11="","",IF(OR('Core_Nativ'!M66&lt;'Core_Nativ'!P66,'Core_Nativ'!M67&lt;'Core_Nativ'!P67,'Core_Nativ'!M68&lt;'Core_Nativ'!P68,'Core_Nativ'!M69&lt;'Core_Nativ'!P69,'Core_Nativ'!M70&lt;'Core_Nativ'!P70,'Core_Nativ'!M71&lt;'Core_Nativ'!P71),"YES","NO"))</x:f>
      </x:c>
      <x:c r="N11" s="2" t="str">
        <x:f>IF(A11="","",'Core_Nativ'!M66)</x:f>
      </x:c>
      <x:c r="O11" s="2" t="str">
        <x:f>IF(A11="","",'Core_Nativ'!M67)</x:f>
      </x:c>
      <x:c r="P11" s="2" t="str">
        <x:f>IF(A11="","",'Core_Nativ'!M68)</x:f>
      </x:c>
      <x:c r="Q11" s="2" t="str">
        <x:f>IF(A11="","",'Core_Nativ'!M69)</x:f>
      </x:c>
      <x:c r="R11" s="2" t="str">
        <x:f>IF(A11="","",'Core_Nativ'!M70)</x:f>
      </x:c>
      <x:c r="S11" s="2" t="str">
        <x:f>IF(A11="","",'Core_Nativ'!M71)</x:f>
      </x:c>
      <x:c r="T11" s="11" t="str">
        <x:f>IF(OR(A11="",'Core_Nativ'!M66=0),"",'Core_Nativ'!N66)</x:f>
      </x:c>
      <x:c r="U11" s="11" t="str">
        <x:f>IF(OR(A11="",'Core_Nativ'!M66=0),"",'Core_Nativ'!O66)</x:f>
      </x:c>
      <x:c r="V11" s="11" t="str">
        <x:f>IF(OR(A11="",'Core_Nativ'!M67=0),"",'Core_Nativ'!N67)</x:f>
      </x:c>
      <x:c r="W11" s="11" t="str">
        <x:f>IF(OR(A11="",'Core_Nativ'!M67=0),"",'Core_Nativ'!O67)</x:f>
      </x:c>
      <x:c r="X11" s="11" t="str">
        <x:f>IF(OR(A11="",'Core_Nativ'!M68=0),"",'Core_Nativ'!N68)</x:f>
      </x:c>
      <x:c r="Y11" s="11" t="str">
        <x:f>IF(OR(A11="",'Core_Nativ'!M68=0),"",'Core_Nativ'!O68)</x:f>
      </x:c>
      <x:c r="Z11" s="11" t="str">
        <x:f>IF(OR(A11="",'Core_Nativ'!M69=0),"",'Core_Nativ'!N69)</x:f>
      </x:c>
      <x:c r="AA11" s="11" t="str">
        <x:f>IF(OR(A11="",'Core_Nativ'!M69=0),"",'Core_Nativ'!O69)</x:f>
      </x:c>
      <x:c r="AB11" s="11" t="str">
        <x:f>IF(OR(A11="",'Core_Nativ'!M70=0),"",'Core_Nativ'!N70)</x:f>
      </x:c>
      <x:c r="AC11" s="11" t="str">
        <x:f>IF(OR(A11="",'Core_Nativ'!M70=0),"",'Core_Nativ'!O70)</x:f>
      </x:c>
      <x:c r="AD11" s="11" t="str">
        <x:f>IF(OR(A11="",'Core_Nativ'!M71=0),"",'Core_Nativ'!N71)</x:f>
      </x:c>
      <x:c r="AE11" s="11" t="str">
        <x:f>IF(OR(A11="",'Core_Nativ'!M71=0),"",'Core_Nativ'!O71)</x:f>
      </x:c>
      <x:c r="AF11" s="11" t="str">
        <x:f>IF(A11="","",IF(AND('Core_Nativ'!R66="CLOSED",'Core_Nativ'!S66=0),IF('Core_Nativ'!M66&gt;='Core_Nativ'!P66,'Core_Nativ'!N66,IF(AND('Input_Meci'!L11="YES",'Input_Meci'!K11&lt;&gt;"",'Input_Meci'!K11&lt;C11,'Core_Nativ'!T72="DERIVED",'Core_Nativ'!M72&gt;='Core_Nativ'!P66),MIN(1,'Core_Nativ'!M66/'Core_Nativ'!P66)*IF('Core_Nativ'!M66=0,0,'Core_Nativ'!N66)+(1-MIN(1,'Core_Nativ'!M66/'Core_Nativ'!P66))*'Core_Nativ'!N72,"")),""))</x:f>
      </x:c>
      <x:c r="AG11" s="11" t="str">
        <x:f>IF(A11="","",IF(AND('Core_Nativ'!R66="CLOSED",'Core_Nativ'!S66=0),IF('Core_Nativ'!M66&gt;='Core_Nativ'!P66,'Core_Nativ'!O66,IF(AND('Input_Meci'!L11="YES",'Input_Meci'!K11&lt;&gt;"",'Input_Meci'!K11&lt;C11,'Core_Nativ'!T72="DERIVED",'Core_Nativ'!M72&gt;='Core_Nativ'!P66),MIN(1,'Core_Nativ'!M66/'Core_Nativ'!P66)*IF('Core_Nativ'!M66=0,0,'Core_Nativ'!O66)+(1-MIN(1,'Core_Nativ'!M66/'Core_Nativ'!P66))*'Core_Nativ'!O72,"")),""))</x:f>
      </x:c>
      <x:c r="AH11" s="11" t="str">
        <x:f>IF(A11="","",IF(AND('Core_Nativ'!R67="CLOSED",'Core_Nativ'!S67=0),IF('Core_Nativ'!M67&gt;='Core_Nativ'!P67,'Core_Nativ'!N67,IF(AND('Input_Meci'!L11="YES",'Input_Meci'!K11&lt;&gt;"",'Input_Meci'!K11&lt;C11,'Core_Nativ'!T73="DERIVED",'Core_Nativ'!M73&gt;='Core_Nativ'!P67),MIN(1,'Core_Nativ'!M67/'Core_Nativ'!P67)*IF('Core_Nativ'!M67=0,0,'Core_Nativ'!N67)+(1-MIN(1,'Core_Nativ'!M67/'Core_Nativ'!P67))*'Core_Nativ'!N73,"")),""))</x:f>
      </x:c>
      <x:c r="AI11" s="11" t="str">
        <x:f>IF(A11="","",IF(AND('Core_Nativ'!R67="CLOSED",'Core_Nativ'!S67=0),IF('Core_Nativ'!M67&gt;='Core_Nativ'!P67,'Core_Nativ'!O67,IF(AND('Input_Meci'!L11="YES",'Input_Meci'!K11&lt;&gt;"",'Input_Meci'!K11&lt;C11,'Core_Nativ'!T73="DERIVED",'Core_Nativ'!M73&gt;='Core_Nativ'!P67),MIN(1,'Core_Nativ'!M67/'Core_Nativ'!P67)*IF('Core_Nativ'!M67=0,0,'Core_Nativ'!O67)+(1-MIN(1,'Core_Nativ'!M67/'Core_Nativ'!P67))*'Core_Nativ'!O73,"")),""))</x:f>
      </x:c>
      <x:c r="AJ11" s="11" t="str">
        <x:f>IF(A11="","",IF(AND('Core_Nativ'!R68="CLOSED",'Core_Nativ'!S68=0),IF('Core_Nativ'!M68&gt;='Core_Nativ'!P68,'Core_Nativ'!N68,IF(AND('Input_Meci'!L11="YES",'Input_Meci'!K11&lt;&gt;"",'Input_Meci'!K11&lt;C11,'Core_Nativ'!T74="DERIVED",'Core_Nativ'!M74&gt;='Core_Nativ'!P68),MIN(1,'Core_Nativ'!M68/'Core_Nativ'!P68)*IF('Core_Nativ'!M68=0,0,'Core_Nativ'!N68)+(1-MIN(1,'Core_Nativ'!M68/'Core_Nativ'!P68))*'Core_Nativ'!N74,"")),""))</x:f>
      </x:c>
      <x:c r="AK11" s="11" t="str">
        <x:f>IF(A11="","",IF(AND('Core_Nativ'!R68="CLOSED",'Core_Nativ'!S68=0),IF('Core_Nativ'!M68&gt;='Core_Nativ'!P68,'Core_Nativ'!O68,IF(AND('Input_Meci'!L11="YES",'Input_Meci'!K11&lt;&gt;"",'Input_Meci'!K11&lt;C11,'Core_Nativ'!T74="DERIVED",'Core_Nativ'!M74&gt;='Core_Nativ'!P68),MIN(1,'Core_Nativ'!M68/'Core_Nativ'!P68)*IF('Core_Nativ'!M68=0,0,'Core_Nativ'!O68)+(1-MIN(1,'Core_Nativ'!M68/'Core_Nativ'!P68))*'Core_Nativ'!O74,"")),""))</x:f>
      </x:c>
      <x:c r="AL11" s="11" t="str">
        <x:f>IF(A11="","",IF(AND('Core_Nativ'!R69="CLOSED",'Core_Nativ'!S69=0),IF('Core_Nativ'!M69&gt;='Core_Nativ'!P69,'Core_Nativ'!N69,IF(AND('Input_Meci'!L11="YES",'Input_Meci'!K11&lt;&gt;"",'Input_Meci'!K11&lt;C11,'Core_Nativ'!T75="DERIVED",'Core_Nativ'!M75&gt;='Core_Nativ'!P69),MIN(1,'Core_Nativ'!M69/'Core_Nativ'!P69)*IF('Core_Nativ'!M69=0,0,'Core_Nativ'!N69)+(1-MIN(1,'Core_Nativ'!M69/'Core_Nativ'!P69))*'Core_Nativ'!N75,"")),""))</x:f>
      </x:c>
      <x:c r="AM11" s="11" t="str">
        <x:f>IF(A11="","",IF(AND('Core_Nativ'!R69="CLOSED",'Core_Nativ'!S69=0),IF('Core_Nativ'!M69&gt;='Core_Nativ'!P69,'Core_Nativ'!O69,IF(AND('Input_Meci'!L11="YES",'Input_Meci'!K11&lt;&gt;"",'Input_Meci'!K11&lt;C11,'Core_Nativ'!T75="DERIVED",'Core_Nativ'!M75&gt;='Core_Nativ'!P69),MIN(1,'Core_Nativ'!M69/'Core_Nativ'!P69)*IF('Core_Nativ'!M69=0,0,'Core_Nativ'!O69)+(1-MIN(1,'Core_Nativ'!M69/'Core_Nativ'!P69))*'Core_Nativ'!O75,"")),""))</x:f>
      </x:c>
      <x:c r="AN11" s="11" t="str">
        <x:f>IF(A11="","",IF(AND('Core_Nativ'!R70="CLOSED",'Core_Nativ'!S70=0),IF('Core_Nativ'!M70&gt;='Core_Nativ'!P70,'Core_Nativ'!N70,IF(AND('Input_Meci'!L11="YES",'Input_Meci'!K11&lt;&gt;"",'Input_Meci'!K11&lt;C11,'Core_Nativ'!T76="DERIVED",'Core_Nativ'!M76&gt;='Core_Nativ'!P70),MIN(1,'Core_Nativ'!M70/'Core_Nativ'!P70)*IF('Core_Nativ'!M70=0,0,'Core_Nativ'!N70)+(1-MIN(1,'Core_Nativ'!M70/'Core_Nativ'!P70))*'Core_Nativ'!N76,"")),""))</x:f>
      </x:c>
      <x:c r="AO11" s="11" t="str">
        <x:f>IF(A11="","",IF(AND('Core_Nativ'!R70="CLOSED",'Core_Nativ'!S70=0),IF('Core_Nativ'!M70&gt;='Core_Nativ'!P70,'Core_Nativ'!O70,IF(AND('Input_Meci'!L11="YES",'Input_Meci'!K11&lt;&gt;"",'Input_Meci'!K11&lt;C11,'Core_Nativ'!T76="DERIVED",'Core_Nativ'!M76&gt;='Core_Nativ'!P70),MIN(1,'Core_Nativ'!M70/'Core_Nativ'!P70)*IF('Core_Nativ'!M70=0,0,'Core_Nativ'!O70)+(1-MIN(1,'Core_Nativ'!M70/'Core_Nativ'!P70))*'Core_Nativ'!O76,"")),""))</x:f>
      </x:c>
      <x:c r="AP11" s="11" t="str">
        <x:f>IF(A11="","",IF(AND('Core_Nativ'!R71="CLOSED",'Core_Nativ'!S71=0),IF('Core_Nativ'!M71&gt;='Core_Nativ'!P71,'Core_Nativ'!N71,IF(AND('Input_Meci'!L11="YES",'Input_Meci'!K11&lt;&gt;"",'Input_Meci'!K11&lt;C11,'Core_Nativ'!T77="DERIVED",'Core_Nativ'!M77&gt;='Core_Nativ'!P71),MIN(1,'Core_Nativ'!M71/'Core_Nativ'!P71)*IF('Core_Nativ'!M71=0,0,'Core_Nativ'!N71)+(1-MIN(1,'Core_Nativ'!M71/'Core_Nativ'!P71))*'Core_Nativ'!N77,"")),""))</x:f>
      </x:c>
      <x:c r="AQ11" s="11" t="str">
        <x:f>IF(A11="","",IF(AND('Core_Nativ'!R71="CLOSED",'Core_Nativ'!S71=0),IF('Core_Nativ'!M71&gt;='Core_Nativ'!P71,'Core_Nativ'!O71,IF(AND('Input_Meci'!L11="YES",'Input_Meci'!K11&lt;&gt;"",'Input_Meci'!K11&lt;C11,'Core_Nativ'!T77="DERIVED",'Core_Nativ'!M77&gt;='Core_Nativ'!P71),MIN(1,'Core_Nativ'!M71/'Core_Nativ'!P71)*IF('Core_Nativ'!M71=0,0,'Core_Nativ'!O71)+(1-MIN(1,'Core_Nativ'!M71/'Core_Nativ'!P71))*'Core_Nativ'!O77,"")),""))</x:f>
      </x:c>
      <x:c r="AR11" s="11" t="str">
        <x:f>IF(A11="","",SUMPRODUCT(('Istoric_Nativ'!$B$6:$B$405=B11)*('Istoric_Nativ'!$C$6:$C$405=BL11)*('Istoric_Nativ'!$P$6:$P$405=1)*('Istoric_Nativ'!$D$6:$D$405&lt;INT(G11))*((('Istoric_Nativ'!$E$6:$E$405='Input_Meci'!D11)+('Istoric_Nativ'!$F$6:$F$405='Input_Meci'!D11)+('Istoric_Nativ'!$E$6:$E$405='Input_Meci'!E11)+('Istoric_Nativ'!$F$6:$F$405='Input_Meci'!E11))&gt;0)))</x:f>
      </x:c>
      <x:c r="AS11" s="11" t="str">
        <x:f>IF(AR11=0,"",SUMPRODUCT(('Istoric_Nativ'!$B$6:$B$405=B11)*('Istoric_Nativ'!$C$6:$C$405=BL11)*('Istoric_Nativ'!$P$6:$P$405=1)*('Istoric_Nativ'!$D$6:$D$405&lt;INT(G11))*((('Istoric_Nativ'!$E$6:$E$405='Input_Meci'!D11)+('Istoric_Nativ'!$F$6:$F$405='Input_Meci'!D11)+('Istoric_Nativ'!$E$6:$E$405='Input_Meci'!E11)+('Istoric_Nativ'!$F$6:$F$405='Input_Meci'!E11))&gt;0)*'Istoric_Nativ'!$Q$6:$Q$405)/AR11)</x:f>
      </x:c>
      <x:c r="AT11" s="11" t="str">
        <x:f>IF(AR11&lt;2,"",MAX(0,(SUMPRODUCT(('Istoric_Nativ'!$B$6:$B$405=B11)*('Istoric_Nativ'!$C$6:$C$405=BL11)*('Istoric_Nativ'!$P$6:$P$405=1)*('Istoric_Nativ'!$D$6:$D$405&lt;INT(G11))*((('Istoric_Nativ'!$E$6:$E$405='Input_Meci'!D11)+('Istoric_Nativ'!$F$6:$F$405='Input_Meci'!D11)+('Istoric_Nativ'!$E$6:$E$405='Input_Meci'!E11)+('Istoric_Nativ'!$F$6:$F$405='Input_Meci'!E11))&gt;0)*'Istoric_Nativ'!$R$6:$R$405)-AR11*AS11^2)/(AR11-1)))</x:f>
      </x:c>
      <x:c r="AU11" s="11" t="str">
        <x:f>IF(I11&lt;&gt;"PASS","",AT11/AS11)</x:f>
      </x:c>
      <x:c r="AV11" s="11" t="str">
        <x:f>IF(I11&lt;&gt;"PASS","",IF(AU11&lt;='Config_v6'!$B$10,"POISSON","NEGATIVE BINOMIAL"))</x:f>
      </x:c>
      <x:c r="AW11" s="11" t="str">
        <x:f>IF(I11&lt;&gt;"PASS","",IF(AV11="POISSON",9999,AS11/(AU11-1)))</x:f>
      </x:c>
      <x:c r="AX11" s="11" t="str">
        <x:f>IF(A11="","",MAX(1-'Config_v6'!$B$20,MIN(1+'Config_v6'!$B$20,1+0.02*(IF(AND(ISNUMBER('Input_Meci'!N11),'Input_Meci'!N11&gt;=0,'Input_Meci'!N11&lt;=200),'Input_Meci'!N11,12)/12-1)+0.02*(IF(AND(ISNUMBER('Input_Meci'!P11),'Input_Meci'!P11&gt;=0,'Input_Meci'!P11&lt;=200),'Input_Meci'!P11,3.5)/3.5-1)+0.02*(IF(AND(ISNUMBER('Input_Meci'!R11),'Input_Meci'!R11&gt;=0,'Input_Meci'!R11&lt;=200),'Input_Meci'!R11,18)/18-1)+0.02*((IF(AND(ISNUMBER('Input_Meci'!V11),'Input_Meci'!V11&gt;=0,'Input_Meci'!V11&lt;=10),'Input_Meci'!V11,5)-5)/5))))</x:f>
      </x:c>
      <x:c r="AY11" s="11" t="str">
        <x:f>IF(A11="","",MAX(1-'Config_v6'!$B$20,MIN(1+'Config_v6'!$B$20,1+0.02*(IF(AND(ISNUMBER('Input_Meci'!O11),'Input_Meci'!O11&gt;=0,'Input_Meci'!O11&lt;=200),'Input_Meci'!O11,12)/12-1)+0.02*(IF(AND(ISNUMBER('Input_Meci'!Q11),'Input_Meci'!Q11&gt;=0,'Input_Meci'!Q11&lt;=200),'Input_Meci'!Q11,3.5)/3.5-1)+0.02*(IF(AND(ISNUMBER('Input_Meci'!S11),'Input_Meci'!S11&gt;=0,'Input_Meci'!S11&lt;=200),'Input_Meci'!S11,18)/18-1)+0.02*((IF(AND(ISNUMBER('Input_Meci'!W11),'Input_Meci'!W11&gt;=0,'Input_Meci'!W11&lt;=10),'Input_Meci'!W11,5)-5)/5))))</x:f>
      </x:c>
      <x:c r="AZ11" s="11" t="str">
        <x:f>IF(A11="","",MAX(1-'Config_v6'!$B$21,MIN(1+'Config_v6'!$B$21,1+0.012*(IF('Input_Meci'!X11="",5,IF(ISNUMBER('Input_Meci'!X11),'Input_Meci'!X11,5))-5)+0.018*(IF('Input_Meci'!Z11="",5,IF(ISNUMBER('Input_Meci'!Z11),'Input_Meci'!Z11,5))-5)+0.012*(IF('Input_Meci'!AB11="",5,IF(ISNUMBER('Input_Meci'!AB11),'Input_Meci'!AB11,5))-5)+0.015*IF('Input_Meci'!AD11="",0,IF(ISNUMBER('Input_Meci'!AD11),'Input_Meci'!AD11,0))+0.02*IF('Input_Meci'!AF11="",0,IF(ISNUMBER('Input_Meci'!AF11),'Input_Meci'!AF11,0)))))</x:f>
      </x:c>
      <x:c r="BA11" s="11" t="str">
        <x:f>IF(A11="","",MAX(1-'Config_v6'!$B$21,MIN(1+'Config_v6'!$B$21,1+0.012*(IF('Input_Meci'!Y11="",5,IF(ISNUMBER('Input_Meci'!Y11),'Input_Meci'!Y11,5))-5)+0.018*(IF('Input_Meci'!AA11="",5,IF(ISNUMBER('Input_Meci'!AA11),'Input_Meci'!AA11,5))-5)+0.012*(IF('Input_Meci'!AC11="",5,IF(ISNUMBER('Input_Meci'!AC11),'Input_Meci'!AC11,5))-5)+0.015*IF('Input_Meci'!AE11="",0,IF(ISNUMBER('Input_Meci'!AE11),'Input_Meci'!AE11,0))+0.02*IF('Input_Meci'!AG11="",0,IF(ISNUMBER('Input_Meci'!AG11),'Input_Meci'!AG11,0)))))</x:f>
      </x:c>
      <x:c r="BB11" s="11" t="str">
        <x:f>IF(I11&lt;&gt;"PASS","",(AVERAGE(AF11,AM11)*'Config_v6'!$B$4+AVERAGE(AH11,AO11)*'Config_v6'!$B$5+AVERAGE(AJ11,AQ11)*'Config_v6'!$B$6)*AX11*AZ11)</x:f>
      </x:c>
      <x:c r="BC11" s="11" t="str">
        <x:f>IF(I11&lt;&gt;"PASS","",(AVERAGE(AL11,AG11)*'Config_v6'!$B$4+AVERAGE(AN11,AI11)*'Config_v6'!$B$5+AVERAGE(AP11,AK11)*'Config_v6'!$B$6)*AY11*BA11)</x:f>
      </x:c>
      <x:c r="BD11" s="11" t="str">
        <x:f>IF(I11&lt;&gt;"PASS","",BB11+BC11)</x:f>
      </x:c>
      <x:c r="BE11" s="11" t="str">
        <x:f>IF(A11="","",10-SUM(IF(AND(ISNUMBER('Input_Meci'!N11),'Input_Meci'!N11&gt;=0,'Input_Meci'!N11&lt;=200),1,0),IF(AND(ISNUMBER('Input_Meci'!O11),'Input_Meci'!O11&gt;=0,'Input_Meci'!O11&lt;=200),1,0),IF(AND(ISNUMBER('Input_Meci'!P11),'Input_Meci'!P11&gt;=0,'Input_Meci'!P11&lt;=200),1,0),IF(AND(ISNUMBER('Input_Meci'!Q11),'Input_Meci'!Q11&gt;=0,'Input_Meci'!Q11&lt;=200),1,0),IF(AND(ISNUMBER('Input_Meci'!R11),'Input_Meci'!R11&gt;=0,'Input_Meci'!R11&lt;=200),1,0),IF(AND(ISNUMBER('Input_Meci'!S11),'Input_Meci'!S11&gt;=0,'Input_Meci'!S11&lt;=200),1,0),IF(AND(ISNUMBER('Input_Meci'!T11),'Input_Meci'!T11&gt;=0,'Input_Meci'!T11&lt;=100),1,0),IF(AND(ISNUMBER('Input_Meci'!U11),'Input_Meci'!U11&gt;=0,'Input_Meci'!U11&lt;=100),1,0),IF(AND(ISNUMBER('Input_Meci'!V11),'Input_Meci'!V11&gt;=0,'Input_Meci'!V11&lt;=10),1,0),IF(AND(ISNUMBER('Input_Meci'!W11),'Input_Meci'!W11&gt;=0,'Input_Meci'!W11&lt;=10),1,0)))</x:f>
      </x:c>
      <x:c r="BF11" s="11" t="str">
        <x:f>IF(I11&lt;&gt;"PASS","",MAX(0,MIN(IF(OR(M11="YES",BL11&lt;&gt;C11),'Config_v6'!$B$34,100),ROUND(40+25*MIN(1,MIN(N11,Q11)/'Config_v6'!$B$7)*MIN(1,MIN(O11,R11)/'Config_v6'!$B$8)*MIN(1,MIN(P11,S11)/'Config_v6'!$B$9)+MAX(0,15-2*ABS(AF11-AJ11)-2*ABS(AL11-AP11))+IF(AU11&lt;='Config_v6'!$B$10,15,IF(AU11&lt;='Config_v6'!$B$11,13,IF(AU11&lt;='Config_v6'!$B$12,10,IF(AU11&lt;='Config_v6'!$B$13,6,0))))+5-BE11/10*'Config_v6'!$B$38,0))))</x:f>
      </x:c>
      <x:c r="BG11" s="11" t="str">
        <x:f>IF(I11&lt;&gt;"PASS","",MIN(1,'Config_v6'!$B$14*(0.7+0.3*MIN(1,AR11/'Config_v6'!$B$15))*IF(AU11&lt;='Config_v6'!$B$10,1,IF(AU11&lt;='Config_v6'!$B$11,0.95,IF(AU11&lt;='Config_v6'!$B$12,0.88,0.78)))*(0.75+0.25*BF11/100)))</x:f>
      </x:c>
      <x:c r="BH11" s="11" t="str">
        <x:f>IF(I11&lt;&gt;"PASS","",MIN(1,(ABS(AZ11-1)+ABS(BA11-1))*3))</x:f>
      </x:c>
      <x:c r="BI11" s="2" t="str">
        <x:f>IF(A11="","",IF(AND(OR('Input_Meci'!X11="",AND(ISNUMBER('Input_Meci'!X11),'Input_Meci'!X11&gt;=0,'Input_Meci'!X11&lt;=10)),OR('Input_Meci'!Y11="",AND(ISNUMBER('Input_Meci'!Y11),'Input_Meci'!Y11&gt;=0,'Input_Meci'!Y11&lt;=10)),OR('Input_Meci'!Z11="",AND(ISNUMBER('Input_Meci'!Z11),'Input_Meci'!Z11&gt;=0,'Input_Meci'!Z11&lt;=10)),OR('Input_Meci'!AA11="",AND(ISNUMBER('Input_Meci'!AA11),'Input_Meci'!AA11&gt;=0,'Input_Meci'!AA11&lt;=10)),OR('Input_Meci'!AB11="",AND(ISNUMBER('Input_Meci'!AB11),'Input_Meci'!AB11&gt;=0,'Input_Meci'!AB11&lt;=10)),OR('Input_Meci'!AC11="",AND(ISNUMBER('Input_Meci'!AC11),'Input_Meci'!AC11&gt;=0,'Input_Meci'!AC11&lt;=10)),OR('Input_Meci'!AD11="",AND(ISNUMBER('Input_Meci'!AD11),'Input_Meci'!AD11&gt;=-2,'Input_Meci'!AD11&lt;=2)),OR('Input_Meci'!AE11="",AND(ISNUMBER('Input_Meci'!AE11),'Input_Meci'!AE11&gt;=-2,'Input_Meci'!AE11&lt;=2)),OR('Input_Meci'!AF11="",AND(ISNUMBER('Input_Meci'!AF11),'Input_Meci'!AF11&gt;=-2,'Input_Meci'!AF11&lt;=2)),OR('Input_Meci'!AG11="",AND(ISNUMBER('Input_Meci'!AG11),'Input_Meci'!AG11&gt;=-2,'Input_Meci'!AG11&lt;=2))),"VALID","INVALID"))</x:f>
      </x:c>
      <x:c r="BJ11" s="2" t="n">
        <x:f>IF(A11="",0,SUM('Core_Nativ'!S66:S71))</x:f>
        <x:v>0</x:v>
      </x:c>
      <x:c r="BK11" s="2" t="str">
        <x:f>'Config_v6'!$B$40</x:f>
        <x:v>VALID</x:v>
      </x:c>
      <x:c r="BL11" s="2" t="str">
        <x:f>IF(A11="","",IF(SUMPRODUCT(('Istoric_Nativ'!$B$6:$B$405=B11)*('Istoric_Nativ'!$C$6:$C$405=C11)*('Istoric_Nativ'!$P$6:$P$405=1)*('Istoric_Nativ'!$D$6:$D$405&lt;INT(G11))*((('Istoric_Nativ'!$E$6:$E$405='Input_Meci'!D11)+('Istoric_Nativ'!$F$6:$F$405='Input_Meci'!D11)+('Istoric_Nativ'!$E$6:$E$405='Input_Meci'!E11)+('Istoric_Nativ'!$F$6:$F$405='Input_Meci'!E11))&gt;0))&gt;='Config_v6'!$B$41,C11,IF(AND('Input_Meci'!L11="YES",'Input_Meci'!K11&lt;&gt;"",'Input_Meci'!K11&lt;C11,COUNTIF('Core_Nativ'!R72:R77,"CLOSED")=6,SUM('Core_Nativ'!S72:S77)=0),'Input_Meci'!K11,C11)))</x:f>
      </x:c>
      <x:c r="BM11" s="9" t="n">
        <x:f>IF(OR(A11="",N11=0),0,LARGE(_xlfn._xlws.FILTER('Istoric_Nativ'!$D$6:$D$405,('Istoric_Nativ'!$B$6:$B$405=B11)*('Istoric_Nativ'!$C$6:$C$405=C11)*('Istoric_Nativ'!$P$6:$P$405=1)*('Istoric_Nativ'!$D$6:$D$405&lt;INT(G11))*((('Istoric_Nativ'!$E$6:$E$405='Input_Meci'!D11)+('Istoric_Nativ'!$F$6:$F$405='Input_Meci'!D11))&gt;0)),MIN(10,N11)))</x:f>
        <x:v>0</x:v>
      </x:c>
      <x:c r="BN11" s="9" t="n">
        <x:f>IF(OR(A11="",Q11=0),0,LARGE(_xlfn._xlws.FILTER('Istoric_Nativ'!$D$6:$D$405,('Istoric_Nativ'!$B$6:$B$405=B11)*('Istoric_Nativ'!$C$6:$C$405=C11)*('Istoric_Nativ'!$P$6:$P$405=1)*('Istoric_Nativ'!$D$6:$D$405&lt;INT(G11))*((('Istoric_Nativ'!$E$6:$E$405='Input_Meci'!E11)+('Istoric_Nativ'!$F$6:$F$405='Input_Meci'!E11))&gt;0)),MIN(10,Q11)))</x:f>
        <x:v>0</x:v>
      </x:c>
      <x:c r="BO11" s="9" t="n">
        <x:f>IF(OR(A11="",N11=0),0,LARGE(_xlfn._xlws.FILTER('Istoric_Nativ'!$D$6:$D$405,('Istoric_Nativ'!$B$6:$B$405=B11)*('Istoric_Nativ'!$C$6:$C$405=C11)*('Istoric_Nativ'!$P$6:$P$405=1)*('Istoric_Nativ'!$D$6:$D$405&lt;INT(G11))*((('Istoric_Nativ'!$E$6:$E$405='Input_Meci'!D11)+('Istoric_Nativ'!$F$6:$F$405='Input_Meci'!D11))&gt;0)),MIN(20,N11)))</x:f>
        <x:v>0</x:v>
      </x:c>
      <x:c r="BP11" s="9" t="n">
        <x:f>IF(OR(A11="",Q11=0),0,LARGE(_xlfn._xlws.FILTER('Istoric_Nativ'!$D$6:$D$405,('Istoric_Nativ'!$B$6:$B$405=B11)*('Istoric_Nativ'!$C$6:$C$405=C11)*('Istoric_Nativ'!$P$6:$P$405=1)*('Istoric_Nativ'!$D$6:$D$405&lt;INT(G11))*((('Istoric_Nativ'!$E$6:$E$405='Input_Meci'!E11)+('Istoric_Nativ'!$F$6:$F$405='Input_Meci'!E11))&gt;0)),MIN(20,Q11)))</x:f>
        <x:v>0</x:v>
      </x:c>
      <x:c r="BQ11" s="2" t="str">
        <x:f>IF(A11="","",IF(AND(COUNTIF(MatchesTable[Match_ID],A11)=1,COUNTIFS(MatchesTable[League],B11,MatchesTable[Season],C11,MatchesTable[Home],'Input_Meci'!D11,MatchesTable[Away],'Input_Meci'!E11,MatchesTable[Kickoff_UTC],F11)=1,B11&lt;&gt;"",C11&lt;&gt;"",'Input_Meci'!D11&lt;&gt;"",'Input_Meci'!E11&lt;&gt;"",'Input_Meci'!D11&lt;&gt;'Input_Meci'!E11,ISNUMBER(F11),ISNUMBER(G11),G11&lt;F11,OR(E11="LIVE",E11="REPLAY"),OR('Input_Meci'!L11="YES",'Input_Meci'!L11="NO",'Input_Meci'!L11="")),"VALID","INVALID"))</x:f>
      </x:c>
      <x:c r="BR11" s="2" t="n">
        <x:f>IF(I11&lt;&gt;"PASS",0,SUMPRODUCT(('Istoric_Nativ'!$B$6:$B$405='Input_Meci'!B11)*('Istoric_Nativ'!$C$6:$C$405='Input_Meci'!C11)*('Istoric_Nativ'!$P$6:$P$405=1)*('Istoric_Nativ'!$D$6:$D$405&lt;INT('Input_Meci'!G11))*((('Istoric_Nativ'!$E$6:$E$405='Input_Meci'!D11)+('Istoric_Nativ'!$F$6:$F$405='Input_Meci'!E11))&gt;0)))</x:f>
        <x:v>0</x:v>
      </x:c>
      <x:c r="BS11" s="2" t="n">
        <x:f>IF(I11&lt;&gt;"PASS",0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BM11)+((('Istoric_Nativ'!$E$6:$E$405='Input_Meci'!E11)+('Istoric_Nativ'!$F$6:$F$405='Input_Meci'!E11))&gt;0)*('Istoric_Nativ'!$D$6:$D$405&gt;=BN11))&gt;0)))</x:f>
        <x:v>0</x:v>
      </x:c>
      <x:c r="BT11" s="2" t="n">
        <x:f>IF(I11&lt;&gt;"PASS",0,SUMPRODUCT(('Istoric_Nativ'!$B$6:$B$405='Input_Meci'!B11)*('Istoric_Nativ'!$C$6:$C$405='Input_Meci'!C11)*('Istoric_Nativ'!$P$6:$P$405=1)*('Istoric_Nativ'!$D$6:$D$405&lt;INT('Input_Meci'!G11))*((((('Istoric_Nativ'!$E$6:$E$405='Input_Meci'!D11)+('Istoric_Nativ'!$F$6:$F$405='Input_Meci'!D11))&gt;0)*('Istoric_Nativ'!$D$6:$D$405&gt;=BO11)+((('Istoric_Nativ'!$E$6:$E$405='Input_Meci'!E11)+('Istoric_Nativ'!$F$6:$F$405='Input_Meci'!E11))&gt;0)*('Istoric_Nativ'!$D$6:$D$405&gt;=BP11))&gt;0)))</x:f>
        <x:v>0</x:v>
      </x:c>
    </x:row>
    <x:row r="12" ht="21" customHeight="1">
      <x:c r="A12" s="2" t="str">
        <x:f>IF('Input_Meci'!A12="","",'Input_Meci'!A12)</x:f>
      </x:c>
      <x:c r="B12" s="2" t="str">
        <x:f>IF(A12="","",'Input_Meci'!B12)</x:f>
      </x:c>
      <x:c r="C12" s="2" t="str">
        <x:f>IF(A12="","",'Input_Meci'!C12)</x:f>
      </x:c>
      <x:c r="D12" s="2" t="str">
        <x:f>IF(A12="","",'Input_Meci'!D12&amp;" – "&amp;'Input_Meci'!E12)</x:f>
      </x:c>
      <x:c r="E12" s="2" t="str">
        <x:f>IF(A12="","",'Input_Meci'!H12)</x:f>
      </x:c>
      <x:c r="F12" s="9" t="str">
        <x:f>IF(A12="","",'Input_Meci'!F12)</x:f>
      </x:c>
      <x:c r="G12" s="9" t="str">
        <x:f>IF(A12="","",'Input_Meci'!G12)</x:f>
      </x:c>
      <x:c r="H12" s="2" t="str">
        <x:f>IF(A12="","",IF(BQ12&lt;&gt;"VALID","NOT RELEASED",IF(AND(OR('Input_Meci'!I12="NOT AVAILABLE",'Input_Meci'!I12="SOURCE CONFLICT"),'Input_Meci'!J12&lt;&gt;""),"READY",IF(OR(NOT(OR('Input_Meci'!I12="AUTO",'Input_Meci'!I12="")),COUNTIF('Core_Nativ'!R78:R83,"CLOSED")&lt;&gt;6,BJ12&gt;0),"NOT RELEASED","READY"))))</x:f>
      </x:c>
      <x:c r="I12" s="2" t="str">
        <x:f>IF(A12="","",IF(H12&lt;&gt;"READY","NOT RELEASED",IF(AND(NOT(OR('Input_Meci'!I12="NOT AVAILABLE",'Input_Meci'!I12="SOURCE CONFLICT")),L12=12,AR12&gt;=2,AS12&gt;0,ISNUMBER(AT12),BI12="VALID",BK12="VALID"),"PASS","FAIL")))</x:f>
      </x:c>
      <x:c r="J12" s="2" t="str">
        <x:f>IF(A12="","",IF(BQ12&lt;&gt;"VALID","Verifica ID, echipe, mod si cutoff &lt; kickoff",IF(H12&lt;&gt;"READY",IF('Input_Meci'!I12="ACCESS BLOCKED","Acces blocat: reia sursele",IF(BJ12&gt;0,"Istoric invalid sau conflict: verifica randurile native","Surse neinchise / post-cutoff / dovezi incomplete")),IF(OR('Input_Meci'!I12="NOT AVAILABLE",'Input_Meci'!I12="SOURCE CONFLICT"),'Input_Meci'!I12,IF(BK12&lt;&gt;"VALID","Parametri invalizi",IF(L12&lt;&gt;12,"Core / sample / prior insuficient",IF(AR12&lt;2,"N insuficient pentru dispersie",IF(AS12&lt;=0,"Media istorica trebuie sa fie pozitiva",IF(BI12&lt;&gt;"VALID","Context invalid","READY")))))))))</x:f>
      </x:c>
      <x:c r="K12" s="2" t="str">
        <x:f>IF(A12="","",COUNT(T12:AE12))</x:f>
      </x:c>
      <x:c r="L12" s="2" t="str">
        <x:f>IF(A12="","",COUNT(AF12:AQ12))</x:f>
      </x:c>
      <x:c r="M12" s="2" t="str">
        <x:f>IF(A12="","",IF(OR('Core_Nativ'!M78&lt;'Core_Nativ'!P78,'Core_Nativ'!M79&lt;'Core_Nativ'!P79,'Core_Nativ'!M80&lt;'Core_Nativ'!P80,'Core_Nativ'!M81&lt;'Core_Nativ'!P81,'Core_Nativ'!M82&lt;'Core_Nativ'!P82,'Core_Nativ'!M83&lt;'Core_Nativ'!P83),"YES","NO"))</x:f>
      </x:c>
      <x:c r="N12" s="2" t="str">
        <x:f>IF(A12="","",'Core_Nativ'!M78)</x:f>
      </x:c>
      <x:c r="O12" s="2" t="str">
        <x:f>IF(A12="","",'Core_Nativ'!M79)</x:f>
      </x:c>
      <x:c r="P12" s="2" t="str">
        <x:f>IF(A12="","",'Core_Nativ'!M80)</x:f>
      </x:c>
      <x:c r="Q12" s="2" t="str">
        <x:f>IF(A12="","",'Core_Nativ'!M81)</x:f>
      </x:c>
      <x:c r="R12" s="2" t="str">
        <x:f>IF(A12="","",'Core_Nativ'!M82)</x:f>
      </x:c>
      <x:c r="S12" s="2" t="str">
        <x:f>IF(A12="","",'Core_Nativ'!M83)</x:f>
      </x:c>
      <x:c r="T12" s="11" t="str">
        <x:f>IF(OR(A12="",'Core_Nativ'!M78=0),"",'Core_Nativ'!N78)</x:f>
      </x:c>
      <x:c r="U12" s="11" t="str">
        <x:f>IF(OR(A12="",'Core_Nativ'!M78=0),"",'Core_Nativ'!O78)</x:f>
      </x:c>
      <x:c r="V12" s="11" t="str">
        <x:f>IF(OR(A12="",'Core_Nativ'!M79=0),"",'Core_Nativ'!N79)</x:f>
      </x:c>
      <x:c r="W12" s="11" t="str">
        <x:f>IF(OR(A12="",'Core_Nativ'!M79=0),"",'Core_Nativ'!O79)</x:f>
      </x:c>
      <x:c r="X12" s="11" t="str">
        <x:f>IF(OR(A12="",'Core_Nativ'!M80=0),"",'Core_Nativ'!N80)</x:f>
      </x:c>
      <x:c r="Y12" s="11" t="str">
        <x:f>IF(OR(A12="",'Core_Nativ'!M80=0),"",'Core_Nativ'!O80)</x:f>
      </x:c>
      <x:c r="Z12" s="11" t="str">
        <x:f>IF(OR(A12="",'Core_Nativ'!M81=0),"",'Core_Nativ'!N81)</x:f>
      </x:c>
      <x:c r="AA12" s="11" t="str">
        <x:f>IF(OR(A12="",'Core_Nativ'!M81=0),"",'Core_Nativ'!O81)</x:f>
      </x:c>
      <x:c r="AB12" s="11" t="str">
        <x:f>IF(OR(A12="",'Core_Nativ'!M82=0),"",'Core_Nativ'!N82)</x:f>
      </x:c>
      <x:c r="AC12" s="11" t="str">
        <x:f>IF(OR(A12="",'Core_Nativ'!M82=0),"",'Core_Nativ'!O82)</x:f>
      </x:c>
      <x:c r="AD12" s="11" t="str">
        <x:f>IF(OR(A12="",'Core_Nativ'!M83=0),"",'Core_Nativ'!N83)</x:f>
      </x:c>
      <x:c r="AE12" s="11" t="str">
        <x:f>IF(OR(A12="",'Core_Nativ'!M83=0),"",'Core_Nativ'!O83)</x:f>
      </x:c>
      <x:c r="AF12" s="11" t="str">
        <x:f>IF(A12="","",IF(AND('Core_Nativ'!R78="CLOSED",'Core_Nativ'!S78=0),IF('Core_Nativ'!M78&gt;='Core_Nativ'!P78,'Core_Nativ'!N78,IF(AND('Input_Meci'!L12="YES",'Input_Meci'!K12&lt;&gt;"",'Input_Meci'!K12&lt;C12,'Core_Nativ'!T84="DERIVED",'Core_Nativ'!M84&gt;='Core_Nativ'!P78),MIN(1,'Core_Nativ'!M78/'Core_Nativ'!P78)*IF('Core_Nativ'!M78=0,0,'Core_Nativ'!N78)+(1-MIN(1,'Core_Nativ'!M78/'Core_Nativ'!P78))*'Core_Nativ'!N84,"")),""))</x:f>
      </x:c>
      <x:c r="AG12" s="11" t="str">
        <x:f>IF(A12="","",IF(AND('Core_Nativ'!R78="CLOSED",'Core_Nativ'!S78=0),IF('Core_Nativ'!M78&gt;='Core_Nativ'!P78,'Core_Nativ'!O78,IF(AND('Input_Meci'!L12="YES",'Input_Meci'!K12&lt;&gt;"",'Input_Meci'!K12&lt;C12,'Core_Nativ'!T84="DERIVED",'Core_Nativ'!M84&gt;='Core_Nativ'!P78),MIN(1,'Core_Nativ'!M78/'Core_Nativ'!P78)*IF('Core_Nativ'!M78=0,0,'Core_Nativ'!O78)+(1-MIN(1,'Core_Nativ'!M78/'Core_Nativ'!P78))*'Core_Nativ'!O84,"")),""))</x:f>
      </x:c>
      <x:c r="AH12" s="11" t="str">
        <x:f>IF(A12="","",IF(AND('Core_Nativ'!R79="CLOSED",'Core_Nativ'!S79=0),IF('Core_Nativ'!M79&gt;='Core_Nativ'!P79,'Core_Nativ'!N79,IF(AND('Input_Meci'!L12="YES",'Input_Meci'!K12&lt;&gt;"",'Input_Meci'!K12&lt;C12,'Core_Nativ'!T85="DERIVED",'Core_Nativ'!M85&gt;='Core_Nativ'!P79),MIN(1,'Core_Nativ'!M79/'Core_Nativ'!P79)*IF('Core_Nativ'!M79=0,0,'Core_Nativ'!N79)+(1-MIN(1,'Core_Nativ'!M79/'Core_Nativ'!P79))*'Core_Nativ'!N85,"")),""))</x:f>
      </x:c>
      <x:c r="AI12" s="11" t="str">
        <x:f>IF(A12="","",IF(AND('Core_Nativ'!R79="CLOSED",'Core_Nativ'!S79=0),IF('Core_Nativ'!M79&gt;='Core_Nativ'!P79,'Core_Nativ'!O79,IF(AND('Input_Meci'!L12="YES",'Input_Meci'!K12&lt;&gt;"",'Input_Meci'!K12&lt;C12,'Core_Nativ'!T85="DERIVED",'Core_Nativ'!M85&gt;='Core_Nativ'!P79),MIN(1,'Core_Nativ'!M79/'Core_Nativ'!P79)*IF('Core_Nativ'!M79=0,0,'Core_Nativ'!O79)+(1-MIN(1,'Core_Nativ'!M79/'Core_Nativ'!P79))*'Core_Nativ'!O85,"")),""))</x:f>
      </x:c>
      <x:c r="AJ12" s="11" t="str">
        <x:f>IF(A12="","",IF(AND('Core_Nativ'!R80="CLOSED",'Core_Nativ'!S80=0),IF('Core_Nativ'!M80&gt;='Core_Nativ'!P80,'Core_Nativ'!N80,IF(AND('Input_Meci'!L12="YES",'Input_Meci'!K12&lt;&gt;"",'Input_Meci'!K12&lt;C12,'Core_Nativ'!T86="DERIVED",'Core_Nativ'!M86&gt;='Core_Nativ'!P80),MIN(1,'Core_Nativ'!M80/'Core_Nativ'!P80)*IF('Core_Nativ'!M80=0,0,'Core_Nativ'!N80)+(1-MIN(1,'Core_Nativ'!M80/'Core_Nativ'!P80))*'Core_Nativ'!N86,"")),""))</x:f>
      </x:c>
      <x:c r="AK12" s="11" t="str">
        <x:f>IF(A12="","",IF(AND('Core_Nativ'!R80="CLOSED",'Core_Nativ'!S80=0),IF('Core_Nativ'!M80&gt;='Core_Nativ'!P80,'Core_Nativ'!O80,IF(AND('Input_Meci'!L12="YES",'Input_Meci'!K12&lt;&gt;"",'Input_Meci'!K12&lt;C12,'Core_Nativ'!T86="DERIVED",'Core_Nativ'!M86&gt;='Core_Nativ'!P80),MIN(1,'Core_Nativ'!M80/'Core_Nativ'!P80)*IF('Core_Nativ'!M80=0,0,'Core_Nativ'!O80)+(1-MIN(1,'Core_Nativ'!M80/'Core_Nativ'!P80))*'Core_Nativ'!O86,"")),""))</x:f>
      </x:c>
      <x:c r="AL12" s="11" t="str">
        <x:f>IF(A12="","",IF(AND('Core_Nativ'!R81="CLOSED",'Core_Nativ'!S81=0),IF('Core_Nativ'!M81&gt;='Core_Nativ'!P81,'Core_Nativ'!N81,IF(AND('Input_Meci'!L12="YES",'Input_Meci'!K12&lt;&gt;"",'Input_Meci'!K12&lt;C12,'Core_Nativ'!T87="DERIVED",'Core_Nativ'!M87&gt;='Core_Nativ'!P81),MIN(1,'Core_Nativ'!M81/'Core_Nativ'!P81)*IF('Core_Nativ'!M81=0,0,'Core_Nativ'!N81)+(1-MIN(1,'Core_Nativ'!M81/'Core_Nativ'!P81))*'Core_Nativ'!N87,"")),""))</x:f>
      </x:c>
      <x:c r="AM12" s="11" t="str">
        <x:f>IF(A12="","",IF(AND('Core_Nativ'!R81="CLOSED",'Core_Nativ'!S81=0),IF('Core_Nativ'!M81&gt;='Core_Nativ'!P81,'Core_Nativ'!O81,IF(AND('Input_Meci'!L12="YES",'Input_Meci'!K12&lt;&gt;"",'Input_Meci'!K12&lt;C12,'Core_Nativ'!T87="DERIVED",'Core_Nativ'!M87&gt;='Core_Nativ'!P81),MIN(1,'Core_Nativ'!M81/'Core_Nativ'!P81)*IF('Core_Nativ'!M81=0,0,'Core_Nativ'!O81)+(1-MIN(1,'Core_Nativ'!M81/'Core_Nativ'!P81))*'Core_Nativ'!O87,"")),""))</x:f>
      </x:c>
      <x:c r="AN12" s="11" t="str">
        <x:f>IF(A12="","",IF(AND('Core_Nativ'!R82="CLOSED",'Core_Nativ'!S82=0),IF('Core_Nativ'!M82&gt;='Core_Nativ'!P82,'Core_Nativ'!N82,IF(AND('Input_Meci'!L12="YES",'Input_Meci'!K12&lt;&gt;"",'Input_Meci'!K12&lt;C12,'Core_Nativ'!T88="DERIVED",'Core_Nativ'!M88&gt;='Core_Nativ'!P82),MIN(1,'Core_Nativ'!M82/'Core_Nativ'!P82)*IF('Core_Nativ'!M82=0,0,'Core_Nativ'!N82)+(1-MIN(1,'Core_Nativ'!M82/'Core_Nativ'!P82))*'Core_Nativ'!N88,"")),""))</x:f>
      </x:c>
      <x:c r="AO12" s="11" t="str">
        <x:f>IF(A12="","",IF(AND('Core_Nativ'!R82="CLOSED",'Core_Nativ'!S82=0),IF('Core_Nativ'!M82&gt;='Core_Nativ'!P82,'Core_Nativ'!O82,IF(AND('Input_Meci'!L12="YES",'Input_Meci'!K12&lt;&gt;"",'Input_Meci'!K12&lt;C12,'Core_Nativ'!T88="DERIVED",'Core_Nativ'!M88&gt;='Core_Nativ'!P82),MIN(1,'Core_Nativ'!M82/'Core_Nativ'!P82)*IF('Core_Nativ'!M82=0,0,'Core_Nativ'!O82)+(1-MIN(1,'Core_Nativ'!M82/'Core_Nativ'!P82))*'Core_Nativ'!O88,"")),""))</x:f>
      </x:c>
      <x:c r="AP12" s="11" t="str">
        <x:f>IF(A12="","",IF(AND('Core_Nativ'!R83="CLOSED",'Core_Nativ'!S83=0),IF('Core_Nativ'!M83&gt;='Core_Nativ'!P83,'Core_Nativ'!N83,IF(AND('Input_Meci'!L12="YES",'Input_Meci'!K12&lt;&gt;"",'Input_Meci'!K12&lt;C12,'Core_Nativ'!T89="DERIVED",'Core_Nativ'!M89&gt;='Core_Nativ'!P83),MIN(1,'Core_Nativ'!M83/'Core_Nativ'!P83)*IF('Core_Nativ'!M83=0,0,'Core_Nativ'!N83)+(1-MIN(1,'Core_Nativ'!M83/'Core_Nativ'!P83))*'Core_Nativ'!N89,"")),""))</x:f>
      </x:c>
      <x:c r="AQ12" s="11" t="str">
        <x:f>IF(A12="","",IF(AND('Core_Nativ'!R83="CLOSED",'Core_Nativ'!S83=0),IF('Core_Nativ'!M83&gt;='Core_Nativ'!P83,'Core_Nativ'!O83,IF(AND('Input_Meci'!L12="YES",'Input_Meci'!K12&lt;&gt;"",'Input_Meci'!K12&lt;C12,'Core_Nativ'!T89="DERIVED",'Core_Nativ'!M89&gt;='Core_Nativ'!P83),MIN(1,'Core_Nativ'!M83/'Core_Nativ'!P83)*IF('Core_Nativ'!M83=0,0,'Core_Nativ'!O83)+(1-MIN(1,'Core_Nativ'!M83/'Core_Nativ'!P83))*'Core_Nativ'!O89,"")),""))</x:f>
      </x:c>
      <x:c r="AR12" s="11" t="str">
        <x:f>IF(A12="","",SUMPRODUCT(('Istoric_Nativ'!$B$6:$B$405=B12)*('Istoric_Nativ'!$C$6:$C$405=BL12)*('Istoric_Nativ'!$P$6:$P$405=1)*('Istoric_Nativ'!$D$6:$D$405&lt;INT(G12))*((('Istoric_Nativ'!$E$6:$E$405='Input_Meci'!D12)+('Istoric_Nativ'!$F$6:$F$405='Input_Meci'!D12)+('Istoric_Nativ'!$E$6:$E$405='Input_Meci'!E12)+('Istoric_Nativ'!$F$6:$F$405='Input_Meci'!E12))&gt;0)))</x:f>
      </x:c>
      <x:c r="AS12" s="11" t="str">
        <x:f>IF(AR12=0,"",SUMPRODUCT(('Istoric_Nativ'!$B$6:$B$405=B12)*('Istoric_Nativ'!$C$6:$C$405=BL12)*('Istoric_Nativ'!$P$6:$P$405=1)*('Istoric_Nativ'!$D$6:$D$405&lt;INT(G12))*((('Istoric_Nativ'!$E$6:$E$405='Input_Meci'!D12)+('Istoric_Nativ'!$F$6:$F$405='Input_Meci'!D12)+('Istoric_Nativ'!$E$6:$E$405='Input_Meci'!E12)+('Istoric_Nativ'!$F$6:$F$405='Input_Meci'!E12))&gt;0)*'Istoric_Nativ'!$Q$6:$Q$405)/AR12)</x:f>
      </x:c>
      <x:c r="AT12" s="11" t="str">
        <x:f>IF(AR12&lt;2,"",MAX(0,(SUMPRODUCT(('Istoric_Nativ'!$B$6:$B$405=B12)*('Istoric_Nativ'!$C$6:$C$405=BL12)*('Istoric_Nativ'!$P$6:$P$405=1)*('Istoric_Nativ'!$D$6:$D$405&lt;INT(G12))*((('Istoric_Nativ'!$E$6:$E$405='Input_Meci'!D12)+('Istoric_Nativ'!$F$6:$F$405='Input_Meci'!D12)+('Istoric_Nativ'!$E$6:$E$405='Input_Meci'!E12)+('Istoric_Nativ'!$F$6:$F$405='Input_Meci'!E12))&gt;0)*'Istoric_Nativ'!$R$6:$R$405)-AR12*AS12^2)/(AR12-1)))</x:f>
      </x:c>
      <x:c r="AU12" s="11" t="str">
        <x:f>IF(I12&lt;&gt;"PASS","",AT12/AS12)</x:f>
      </x:c>
      <x:c r="AV12" s="11" t="str">
        <x:f>IF(I12&lt;&gt;"PASS","",IF(AU12&lt;='Config_v6'!$B$10,"POISSON","NEGATIVE BINOMIAL"))</x:f>
      </x:c>
      <x:c r="AW12" s="11" t="str">
        <x:f>IF(I12&lt;&gt;"PASS","",IF(AV12="POISSON",9999,AS12/(AU12-1)))</x:f>
      </x:c>
      <x:c r="AX12" s="11" t="str">
        <x:f>IF(A12="","",MAX(1-'Config_v6'!$B$20,MIN(1+'Config_v6'!$B$20,1+0.02*(IF(AND(ISNUMBER('Input_Meci'!N12),'Input_Meci'!N12&gt;=0,'Input_Meci'!N12&lt;=200),'Input_Meci'!N12,12)/12-1)+0.02*(IF(AND(ISNUMBER('Input_Meci'!P12),'Input_Meci'!P12&gt;=0,'Input_Meci'!P12&lt;=200),'Input_Meci'!P12,3.5)/3.5-1)+0.02*(IF(AND(ISNUMBER('Input_Meci'!R12),'Input_Meci'!R12&gt;=0,'Input_Meci'!R12&lt;=200),'Input_Meci'!R12,18)/18-1)+0.02*((IF(AND(ISNUMBER('Input_Meci'!V12),'Input_Meci'!V12&gt;=0,'Input_Meci'!V12&lt;=10),'Input_Meci'!V12,5)-5)/5))))</x:f>
      </x:c>
      <x:c r="AY12" s="11" t="str">
        <x:f>IF(A12="","",MAX(1-'Config_v6'!$B$20,MIN(1+'Config_v6'!$B$20,1+0.02*(IF(AND(ISNUMBER('Input_Meci'!O12),'Input_Meci'!O12&gt;=0,'Input_Meci'!O12&lt;=200),'Input_Meci'!O12,12)/12-1)+0.02*(IF(AND(ISNUMBER('Input_Meci'!Q12),'Input_Meci'!Q12&gt;=0,'Input_Meci'!Q12&lt;=200),'Input_Meci'!Q12,3.5)/3.5-1)+0.02*(IF(AND(ISNUMBER('Input_Meci'!S12),'Input_Meci'!S12&gt;=0,'Input_Meci'!S12&lt;=200),'Input_Meci'!S12,18)/18-1)+0.02*((IF(AND(ISNUMBER('Input_Meci'!W12),'Input_Meci'!W12&gt;=0,'Input_Meci'!W12&lt;=10),'Input_Meci'!W12,5)-5)/5))))</x:f>
      </x:c>
      <x:c r="AZ12" s="11" t="str">
        <x:f>IF(A12="","",MAX(1-'Config_v6'!$B$21,MIN(1+'Config_v6'!$B$21,1+0.012*(IF('Input_Meci'!X12="",5,IF(ISNUMBER('Input_Meci'!X12),'Input_Meci'!X12,5))-5)+0.018*(IF('Input_Meci'!Z12="",5,IF(ISNUMBER('Input_Meci'!Z12),'Input_Meci'!Z12,5))-5)+0.012*(IF('Input_Meci'!AB12="",5,IF(ISNUMBER('Input_Meci'!AB12),'Input_Meci'!AB12,5))-5)+0.015*IF('Input_Meci'!AD12="",0,IF(ISNUMBER('Input_Meci'!AD12),'Input_Meci'!AD12,0))+0.02*IF('Input_Meci'!AF12="",0,IF(ISNUMBER('Input_Meci'!AF12),'Input_Meci'!AF12,0)))))</x:f>
      </x:c>
      <x:c r="BA12" s="11" t="str">
        <x:f>IF(A12="","",MAX(1-'Config_v6'!$B$21,MIN(1+'Config_v6'!$B$21,1+0.012*(IF('Input_Meci'!Y12="",5,IF(ISNUMBER('Input_Meci'!Y12),'Input_Meci'!Y12,5))-5)+0.018*(IF('Input_Meci'!AA12="",5,IF(ISNUMBER('Input_Meci'!AA12),'Input_Meci'!AA12,5))-5)+0.012*(IF('Input_Meci'!AC12="",5,IF(ISNUMBER('Input_Meci'!AC12),'Input_Meci'!AC12,5))-5)+0.015*IF('Input_Meci'!AE12="",0,IF(ISNUMBER('Input_Meci'!AE12),'Input_Meci'!AE12,0))+0.02*IF('Input_Meci'!AG12="",0,IF(ISNUMBER('Input_Meci'!AG12),'Input_Meci'!AG12,0)))))</x:f>
      </x:c>
      <x:c r="BB12" s="11" t="str">
        <x:f>IF(I12&lt;&gt;"PASS","",(AVERAGE(AF12,AM12)*'Config_v6'!$B$4+AVERAGE(AH12,AO12)*'Config_v6'!$B$5+AVERAGE(AJ12,AQ12)*'Config_v6'!$B$6)*AX12*AZ12)</x:f>
      </x:c>
      <x:c r="BC12" s="11" t="str">
        <x:f>IF(I12&lt;&gt;"PASS","",(AVERAGE(AL12,AG12)*'Config_v6'!$B$4+AVERAGE(AN12,AI12)*'Config_v6'!$B$5+AVERAGE(AP12,AK12)*'Config_v6'!$B$6)*AY12*BA12)</x:f>
      </x:c>
      <x:c r="BD12" s="11" t="str">
        <x:f>IF(I12&lt;&gt;"PASS","",BB12+BC12)</x:f>
      </x:c>
      <x:c r="BE12" s="11" t="str">
        <x:f>IF(A12="","",10-SUM(IF(AND(ISNUMBER('Input_Meci'!N12),'Input_Meci'!N12&gt;=0,'Input_Meci'!N12&lt;=200),1,0),IF(AND(ISNUMBER('Input_Meci'!O12),'Input_Meci'!O12&gt;=0,'Input_Meci'!O12&lt;=200),1,0),IF(AND(ISNUMBER('Input_Meci'!P12),'Input_Meci'!P12&gt;=0,'Input_Meci'!P12&lt;=200),1,0),IF(AND(ISNUMBER('Input_Meci'!Q12),'Input_Meci'!Q12&gt;=0,'Input_Meci'!Q12&lt;=200),1,0),IF(AND(ISNUMBER('Input_Meci'!R12),'Input_Meci'!R12&gt;=0,'Input_Meci'!R12&lt;=200),1,0),IF(AND(ISNUMBER('Input_Meci'!S12),'Input_Meci'!S12&gt;=0,'Input_Meci'!S12&lt;=200),1,0),IF(AND(ISNUMBER('Input_Meci'!T12),'Input_Meci'!T12&gt;=0,'Input_Meci'!T12&lt;=100),1,0),IF(AND(ISNUMBER('Input_Meci'!U12),'Input_Meci'!U12&gt;=0,'Input_Meci'!U12&lt;=100),1,0),IF(AND(ISNUMBER('Input_Meci'!V12),'Input_Meci'!V12&gt;=0,'Input_Meci'!V12&lt;=10),1,0),IF(AND(ISNUMBER('Input_Meci'!W12),'Input_Meci'!W12&gt;=0,'Input_Meci'!W12&lt;=10),1,0)))</x:f>
      </x:c>
      <x:c r="BF12" s="11" t="str">
        <x:f>IF(I12&lt;&gt;"PASS","",MAX(0,MIN(IF(OR(M12="YES",BL12&lt;&gt;C12),'Config_v6'!$B$34,100),ROUND(40+25*MIN(1,MIN(N12,Q12)/'Config_v6'!$B$7)*MIN(1,MIN(O12,R12)/'Config_v6'!$B$8)*MIN(1,MIN(P12,S12)/'Config_v6'!$B$9)+MAX(0,15-2*ABS(AF12-AJ12)-2*ABS(AL12-AP12))+IF(AU12&lt;='Config_v6'!$B$10,15,IF(AU12&lt;='Config_v6'!$B$11,13,IF(AU12&lt;='Config_v6'!$B$12,10,IF(AU12&lt;='Config_v6'!$B$13,6,0))))+5-BE12/10*'Config_v6'!$B$38,0))))</x:f>
      </x:c>
      <x:c r="BG12" s="11" t="str">
        <x:f>IF(I12&lt;&gt;"PASS","",MIN(1,'Config_v6'!$B$14*(0.7+0.3*MIN(1,AR12/'Config_v6'!$B$15))*IF(AU12&lt;='Config_v6'!$B$10,1,IF(AU12&lt;='Config_v6'!$B$11,0.95,IF(AU12&lt;='Config_v6'!$B$12,0.88,0.78)))*(0.75+0.25*BF12/100)))</x:f>
      </x:c>
      <x:c r="BH12" s="11" t="str">
        <x:f>IF(I12&lt;&gt;"PASS","",MIN(1,(ABS(AZ12-1)+ABS(BA12-1))*3))</x:f>
      </x:c>
      <x:c r="BI12" s="2" t="str">
        <x:f>IF(A12="","",IF(AND(OR('Input_Meci'!X12="",AND(ISNUMBER('Input_Meci'!X12),'Input_Meci'!X12&gt;=0,'Input_Meci'!X12&lt;=10)),OR('Input_Meci'!Y12="",AND(ISNUMBER('Input_Meci'!Y12),'Input_Meci'!Y12&gt;=0,'Input_Meci'!Y12&lt;=10)),OR('Input_Meci'!Z12="",AND(ISNUMBER('Input_Meci'!Z12),'Input_Meci'!Z12&gt;=0,'Input_Meci'!Z12&lt;=10)),OR('Input_Meci'!AA12="",AND(ISNUMBER('Input_Meci'!AA12),'Input_Meci'!AA12&gt;=0,'Input_Meci'!AA12&lt;=10)),OR('Input_Meci'!AB12="",AND(ISNUMBER('Input_Meci'!AB12),'Input_Meci'!AB12&gt;=0,'Input_Meci'!AB12&lt;=10)),OR('Input_Meci'!AC12="",AND(ISNUMBER('Input_Meci'!AC12),'Input_Meci'!AC12&gt;=0,'Input_Meci'!AC12&lt;=10)),OR('Input_Meci'!AD12="",AND(ISNUMBER('Input_Meci'!AD12),'Input_Meci'!AD12&gt;=-2,'Input_Meci'!AD12&lt;=2)),OR('Input_Meci'!AE12="",AND(ISNUMBER('Input_Meci'!AE12),'Input_Meci'!AE12&gt;=-2,'Input_Meci'!AE12&lt;=2)),OR('Input_Meci'!AF12="",AND(ISNUMBER('Input_Meci'!AF12),'Input_Meci'!AF12&gt;=-2,'Input_Meci'!AF12&lt;=2)),OR('Input_Meci'!AG12="",AND(ISNUMBER('Input_Meci'!AG12),'Input_Meci'!AG12&gt;=-2,'Input_Meci'!AG12&lt;=2))),"VALID","INVALID"))</x:f>
      </x:c>
      <x:c r="BJ12" s="2" t="n">
        <x:f>IF(A12="",0,SUM('Core_Nativ'!S78:S83))</x:f>
        <x:v>0</x:v>
      </x:c>
      <x:c r="BK12" s="2" t="str">
        <x:f>'Config_v6'!$B$40</x:f>
        <x:v>VALID</x:v>
      </x:c>
      <x:c r="BL12" s="2" t="str">
        <x:f>IF(A12="","",IF(SUMPRODUCT(('Istoric_Nativ'!$B$6:$B$405=B12)*('Istoric_Nativ'!$C$6:$C$405=C12)*('Istoric_Nativ'!$P$6:$P$405=1)*('Istoric_Nativ'!$D$6:$D$405&lt;INT(G12))*((('Istoric_Nativ'!$E$6:$E$405='Input_Meci'!D12)+('Istoric_Nativ'!$F$6:$F$405='Input_Meci'!D12)+('Istoric_Nativ'!$E$6:$E$405='Input_Meci'!E12)+('Istoric_Nativ'!$F$6:$F$405='Input_Meci'!E12))&gt;0))&gt;='Config_v6'!$B$41,C12,IF(AND('Input_Meci'!L12="YES",'Input_Meci'!K12&lt;&gt;"",'Input_Meci'!K12&lt;C12,COUNTIF('Core_Nativ'!R84:R89,"CLOSED")=6,SUM('Core_Nativ'!S84:S89)=0),'Input_Meci'!K12,C12)))</x:f>
      </x:c>
      <x:c r="BM12" s="9" t="n">
        <x:f>IF(OR(A12="",N12=0),0,LARGE(_xlfn._xlws.FILTER('Istoric_Nativ'!$D$6:$D$405,('Istoric_Nativ'!$B$6:$B$405=B12)*('Istoric_Nativ'!$C$6:$C$405=C12)*('Istoric_Nativ'!$P$6:$P$405=1)*('Istoric_Nativ'!$D$6:$D$405&lt;INT(G12))*((('Istoric_Nativ'!$E$6:$E$405='Input_Meci'!D12)+('Istoric_Nativ'!$F$6:$F$405='Input_Meci'!D12))&gt;0)),MIN(10,N12)))</x:f>
        <x:v>0</x:v>
      </x:c>
      <x:c r="BN12" s="9" t="n">
        <x:f>IF(OR(A12="",Q12=0),0,LARGE(_xlfn._xlws.FILTER('Istoric_Nativ'!$D$6:$D$405,('Istoric_Nativ'!$B$6:$B$405=B12)*('Istoric_Nativ'!$C$6:$C$405=C12)*('Istoric_Nativ'!$P$6:$P$405=1)*('Istoric_Nativ'!$D$6:$D$405&lt;INT(G12))*((('Istoric_Nativ'!$E$6:$E$405='Input_Meci'!E12)+('Istoric_Nativ'!$F$6:$F$405='Input_Meci'!E12))&gt;0)),MIN(10,Q12)))</x:f>
        <x:v>0</x:v>
      </x:c>
      <x:c r="BO12" s="9" t="n">
        <x:f>IF(OR(A12="",N12=0),0,LARGE(_xlfn._xlws.FILTER('Istoric_Nativ'!$D$6:$D$405,('Istoric_Nativ'!$B$6:$B$405=B12)*('Istoric_Nativ'!$C$6:$C$405=C12)*('Istoric_Nativ'!$P$6:$P$405=1)*('Istoric_Nativ'!$D$6:$D$405&lt;INT(G12))*((('Istoric_Nativ'!$E$6:$E$405='Input_Meci'!D12)+('Istoric_Nativ'!$F$6:$F$405='Input_Meci'!D12))&gt;0)),MIN(20,N12)))</x:f>
        <x:v>0</x:v>
      </x:c>
      <x:c r="BP12" s="9" t="n">
        <x:f>IF(OR(A12="",Q12=0),0,LARGE(_xlfn._xlws.FILTER('Istoric_Nativ'!$D$6:$D$405,('Istoric_Nativ'!$B$6:$B$405=B12)*('Istoric_Nativ'!$C$6:$C$405=C12)*('Istoric_Nativ'!$P$6:$P$405=1)*('Istoric_Nativ'!$D$6:$D$405&lt;INT(G12))*((('Istoric_Nativ'!$E$6:$E$405='Input_Meci'!E12)+('Istoric_Nativ'!$F$6:$F$405='Input_Meci'!E12))&gt;0)),MIN(20,Q12)))</x:f>
        <x:v>0</x:v>
      </x:c>
      <x:c r="BQ12" s="2" t="str">
        <x:f>IF(A12="","",IF(AND(COUNTIF(MatchesTable[Match_ID],A12)=1,COUNTIFS(MatchesTable[League],B12,MatchesTable[Season],C12,MatchesTable[Home],'Input_Meci'!D12,MatchesTable[Away],'Input_Meci'!E12,MatchesTable[Kickoff_UTC],F12)=1,B12&lt;&gt;"",C12&lt;&gt;"",'Input_Meci'!D12&lt;&gt;"",'Input_Meci'!E12&lt;&gt;"",'Input_Meci'!D12&lt;&gt;'Input_Meci'!E12,ISNUMBER(F12),ISNUMBER(G12),G12&lt;F12,OR(E12="LIVE",E12="REPLAY"),OR('Input_Meci'!L12="YES",'Input_Meci'!L12="NO",'Input_Meci'!L12="")),"VALID","INVALID"))</x:f>
      </x:c>
      <x:c r="BR12" s="2" t="n">
        <x:f>IF(I12&lt;&gt;"PASS",0,SUMPRODUCT(('Istoric_Nativ'!$B$6:$B$405='Input_Meci'!B12)*('Istoric_Nativ'!$C$6:$C$405='Input_Meci'!C12)*('Istoric_Nativ'!$P$6:$P$405=1)*('Istoric_Nativ'!$D$6:$D$405&lt;INT('Input_Meci'!G12))*((('Istoric_Nativ'!$E$6:$E$405='Input_Meci'!D12)+('Istoric_Nativ'!$F$6:$F$405='Input_Meci'!E12))&gt;0)))</x:f>
        <x:v>0</x:v>
      </x:c>
      <x:c r="BS12" s="2" t="n">
        <x:f>IF(I12&lt;&gt;"PASS",0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BM12)+((('Istoric_Nativ'!$E$6:$E$405='Input_Meci'!E12)+('Istoric_Nativ'!$F$6:$F$405='Input_Meci'!E12))&gt;0)*('Istoric_Nativ'!$D$6:$D$405&gt;=BN12))&gt;0)))</x:f>
        <x:v>0</x:v>
      </x:c>
      <x:c r="BT12" s="2" t="n">
        <x:f>IF(I12&lt;&gt;"PASS",0,SUMPRODUCT(('Istoric_Nativ'!$B$6:$B$405='Input_Meci'!B12)*('Istoric_Nativ'!$C$6:$C$405='Input_Meci'!C12)*('Istoric_Nativ'!$P$6:$P$405=1)*('Istoric_Nativ'!$D$6:$D$405&lt;INT('Input_Meci'!G12))*((((('Istoric_Nativ'!$E$6:$E$405='Input_Meci'!D12)+('Istoric_Nativ'!$F$6:$F$405='Input_Meci'!D12))&gt;0)*('Istoric_Nativ'!$D$6:$D$405&gt;=BO12)+((('Istoric_Nativ'!$E$6:$E$405='Input_Meci'!E12)+('Istoric_Nativ'!$F$6:$F$405='Input_Meci'!E12))&gt;0)*('Istoric_Nativ'!$D$6:$D$405&gt;=BP12))&gt;0)))</x:f>
        <x:v>0</x:v>
      </x:c>
    </x:row>
    <x:row r="13" ht="21" customHeight="1">
      <x:c r="A13" s="2" t="str">
        <x:f>IF('Input_Meci'!A13="","",'Input_Meci'!A13)</x:f>
      </x:c>
      <x:c r="B13" s="2" t="str">
        <x:f>IF(A13="","",'Input_Meci'!B13)</x:f>
      </x:c>
      <x:c r="C13" s="2" t="str">
        <x:f>IF(A13="","",'Input_Meci'!C13)</x:f>
      </x:c>
      <x:c r="D13" s="2" t="str">
        <x:f>IF(A13="","",'Input_Meci'!D13&amp;" – "&amp;'Input_Meci'!E13)</x:f>
      </x:c>
      <x:c r="E13" s="2" t="str">
        <x:f>IF(A13="","",'Input_Meci'!H13)</x:f>
      </x:c>
      <x:c r="F13" s="9" t="str">
        <x:f>IF(A13="","",'Input_Meci'!F13)</x:f>
      </x:c>
      <x:c r="G13" s="9" t="str">
        <x:f>IF(A13="","",'Input_Meci'!G13)</x:f>
      </x:c>
      <x:c r="H13" s="2" t="str">
        <x:f>IF(A13="","",IF(BQ13&lt;&gt;"VALID","NOT RELEASED",IF(AND(OR('Input_Meci'!I13="NOT AVAILABLE",'Input_Meci'!I13="SOURCE CONFLICT"),'Input_Meci'!J13&lt;&gt;""),"READY",IF(OR(NOT(OR('Input_Meci'!I13="AUTO",'Input_Meci'!I13="")),COUNTIF('Core_Nativ'!R90:R95,"CLOSED")&lt;&gt;6,BJ13&gt;0),"NOT RELEASED","READY"))))</x:f>
      </x:c>
      <x:c r="I13" s="2" t="str">
        <x:f>IF(A13="","",IF(H13&lt;&gt;"READY","NOT RELEASED",IF(AND(NOT(OR('Input_Meci'!I13="NOT AVAILABLE",'Input_Meci'!I13="SOURCE CONFLICT")),L13=12,AR13&gt;=2,AS13&gt;0,ISNUMBER(AT13),BI13="VALID",BK13="VALID"),"PASS","FAIL")))</x:f>
      </x:c>
      <x:c r="J13" s="2" t="str">
        <x:f>IF(A13="","",IF(BQ13&lt;&gt;"VALID","Verifica ID, echipe, mod si cutoff &lt; kickoff",IF(H13&lt;&gt;"READY",IF('Input_Meci'!I13="ACCESS BLOCKED","Acces blocat: reia sursele",IF(BJ13&gt;0,"Istoric invalid sau conflict: verifica randurile native","Surse neinchise / post-cutoff / dovezi incomplete")),IF(OR('Input_Meci'!I13="NOT AVAILABLE",'Input_Meci'!I13="SOURCE CONFLICT"),'Input_Meci'!I13,IF(BK13&lt;&gt;"VALID","Parametri invalizi",IF(L13&lt;&gt;12,"Core / sample / prior insuficient",IF(AR13&lt;2,"N insuficient pentru dispersie",IF(AS13&lt;=0,"Media istorica trebuie sa fie pozitiva",IF(BI13&lt;&gt;"VALID","Context invalid","READY")))))))))</x:f>
      </x:c>
      <x:c r="K13" s="2" t="str">
        <x:f>IF(A13="","",COUNT(T13:AE13))</x:f>
      </x:c>
      <x:c r="L13" s="2" t="str">
        <x:f>IF(A13="","",COUNT(AF13:AQ13))</x:f>
      </x:c>
      <x:c r="M13" s="2" t="str">
        <x:f>IF(A13="","",IF(OR('Core_Nativ'!M90&lt;'Core_Nativ'!P90,'Core_Nativ'!M91&lt;'Core_Nativ'!P91,'Core_Nativ'!M92&lt;'Core_Nativ'!P92,'Core_Nativ'!M93&lt;'Core_Nativ'!P93,'Core_Nativ'!M94&lt;'Core_Nativ'!P94,'Core_Nativ'!M95&lt;'Core_Nativ'!P95),"YES","NO"))</x:f>
      </x:c>
      <x:c r="N13" s="2" t="str">
        <x:f>IF(A13="","",'Core_Nativ'!M90)</x:f>
      </x:c>
      <x:c r="O13" s="2" t="str">
        <x:f>IF(A13="","",'Core_Nativ'!M91)</x:f>
      </x:c>
      <x:c r="P13" s="2" t="str">
        <x:f>IF(A13="","",'Core_Nativ'!M92)</x:f>
      </x:c>
      <x:c r="Q13" s="2" t="str">
        <x:f>IF(A13="","",'Core_Nativ'!M93)</x:f>
      </x:c>
      <x:c r="R13" s="2" t="str">
        <x:f>IF(A13="","",'Core_Nativ'!M94)</x:f>
      </x:c>
      <x:c r="S13" s="2" t="str">
        <x:f>IF(A13="","",'Core_Nativ'!M95)</x:f>
      </x:c>
      <x:c r="T13" s="11" t="str">
        <x:f>IF(OR(A13="",'Core_Nativ'!M90=0),"",'Core_Nativ'!N90)</x:f>
      </x:c>
      <x:c r="U13" s="11" t="str">
        <x:f>IF(OR(A13="",'Core_Nativ'!M90=0),"",'Core_Nativ'!O90)</x:f>
      </x:c>
      <x:c r="V13" s="11" t="str">
        <x:f>IF(OR(A13="",'Core_Nativ'!M91=0),"",'Core_Nativ'!N91)</x:f>
      </x:c>
      <x:c r="W13" s="11" t="str">
        <x:f>IF(OR(A13="",'Core_Nativ'!M91=0),"",'Core_Nativ'!O91)</x:f>
      </x:c>
      <x:c r="X13" s="11" t="str">
        <x:f>IF(OR(A13="",'Core_Nativ'!M92=0),"",'Core_Nativ'!N92)</x:f>
      </x:c>
      <x:c r="Y13" s="11" t="str">
        <x:f>IF(OR(A13="",'Core_Nativ'!M92=0),"",'Core_Nativ'!O92)</x:f>
      </x:c>
      <x:c r="Z13" s="11" t="str">
        <x:f>IF(OR(A13="",'Core_Nativ'!M93=0),"",'Core_Nativ'!N93)</x:f>
      </x:c>
      <x:c r="AA13" s="11" t="str">
        <x:f>IF(OR(A13="",'Core_Nativ'!M93=0),"",'Core_Nativ'!O93)</x:f>
      </x:c>
      <x:c r="AB13" s="11" t="str">
        <x:f>IF(OR(A13="",'Core_Nativ'!M94=0),"",'Core_Nativ'!N94)</x:f>
      </x:c>
      <x:c r="AC13" s="11" t="str">
        <x:f>IF(OR(A13="",'Core_Nativ'!M94=0),"",'Core_Nativ'!O94)</x:f>
      </x:c>
      <x:c r="AD13" s="11" t="str">
        <x:f>IF(OR(A13="",'Core_Nativ'!M95=0),"",'Core_Nativ'!N95)</x:f>
      </x:c>
      <x:c r="AE13" s="11" t="str">
        <x:f>IF(OR(A13="",'Core_Nativ'!M95=0),"",'Core_Nativ'!O95)</x:f>
      </x:c>
      <x:c r="AF13" s="11" t="str">
        <x:f>IF(A13="","",IF(AND('Core_Nativ'!R90="CLOSED",'Core_Nativ'!S90=0),IF('Core_Nativ'!M90&gt;='Core_Nativ'!P90,'Core_Nativ'!N90,IF(AND('Input_Meci'!L13="YES",'Input_Meci'!K13&lt;&gt;"",'Input_Meci'!K13&lt;C13,'Core_Nativ'!T96="DERIVED",'Core_Nativ'!M96&gt;='Core_Nativ'!P90),MIN(1,'Core_Nativ'!M90/'Core_Nativ'!P90)*IF('Core_Nativ'!M90=0,0,'Core_Nativ'!N90)+(1-MIN(1,'Core_Nativ'!M90/'Core_Nativ'!P90))*'Core_Nativ'!N96,"")),""))</x:f>
      </x:c>
      <x:c r="AG13" s="11" t="str">
        <x:f>IF(A13="","",IF(AND('Core_Nativ'!R90="CLOSED",'Core_Nativ'!S90=0),IF('Core_Nativ'!M90&gt;='Core_Nativ'!P90,'Core_Nativ'!O90,IF(AND('Input_Meci'!L13="YES",'Input_Meci'!K13&lt;&gt;"",'Input_Meci'!K13&lt;C13,'Core_Nativ'!T96="DERIVED",'Core_Nativ'!M96&gt;='Core_Nativ'!P90),MIN(1,'Core_Nativ'!M90/'Core_Nativ'!P90)*IF('Core_Nativ'!M90=0,0,'Core_Nativ'!O90)+(1-MIN(1,'Core_Nativ'!M90/'Core_Nativ'!P90))*'Core_Nativ'!O96,"")),""))</x:f>
      </x:c>
      <x:c r="AH13" s="11" t="str">
        <x:f>IF(A13="","",IF(AND('Core_Nativ'!R91="CLOSED",'Core_Nativ'!S91=0),IF('Core_Nativ'!M91&gt;='Core_Nativ'!P91,'Core_Nativ'!N91,IF(AND('Input_Meci'!L13="YES",'Input_Meci'!K13&lt;&gt;"",'Input_Meci'!K13&lt;C13,'Core_Nativ'!T97="DERIVED",'Core_Nativ'!M97&gt;='Core_Nativ'!P91),MIN(1,'Core_Nativ'!M91/'Core_Nativ'!P91)*IF('Core_Nativ'!M91=0,0,'Core_Nativ'!N91)+(1-MIN(1,'Core_Nativ'!M91/'Core_Nativ'!P91))*'Core_Nativ'!N97,"")),""))</x:f>
      </x:c>
      <x:c r="AI13" s="11" t="str">
        <x:f>IF(A13="","",IF(AND('Core_Nativ'!R91="CLOSED",'Core_Nativ'!S91=0),IF('Core_Nativ'!M91&gt;='Core_Nativ'!P91,'Core_Nativ'!O91,IF(AND('Input_Meci'!L13="YES",'Input_Meci'!K13&lt;&gt;"",'Input_Meci'!K13&lt;C13,'Core_Nativ'!T97="DERIVED",'Core_Nativ'!M97&gt;='Core_Nativ'!P91),MIN(1,'Core_Nativ'!M91/'Core_Nativ'!P91)*IF('Core_Nativ'!M91=0,0,'Core_Nativ'!O91)+(1-MIN(1,'Core_Nativ'!M91/'Core_Nativ'!P91))*'Core_Nativ'!O97,"")),""))</x:f>
      </x:c>
      <x:c r="AJ13" s="11" t="str">
        <x:f>IF(A13="","",IF(AND('Core_Nativ'!R92="CLOSED",'Core_Nativ'!S92=0),IF('Core_Nativ'!M92&gt;='Core_Nativ'!P92,'Core_Nativ'!N92,IF(AND('Input_Meci'!L13="YES",'Input_Meci'!K13&lt;&gt;"",'Input_Meci'!K13&lt;C13,'Core_Nativ'!T98="DERIVED",'Core_Nativ'!M98&gt;='Core_Nativ'!P92),MIN(1,'Core_Nativ'!M92/'Core_Nativ'!P92)*IF('Core_Nativ'!M92=0,0,'Core_Nativ'!N92)+(1-MIN(1,'Core_Nativ'!M92/'Core_Nativ'!P92))*'Core_Nativ'!N98,"")),""))</x:f>
      </x:c>
      <x:c r="AK13" s="11" t="str">
        <x:f>IF(A13="","",IF(AND('Core_Nativ'!R92="CLOSED",'Core_Nativ'!S92=0),IF('Core_Nativ'!M92&gt;='Core_Nativ'!P92,'Core_Nativ'!O92,IF(AND('Input_Meci'!L13="YES",'Input_Meci'!K13&lt;&gt;"",'Input_Meci'!K13&lt;C13,'Core_Nativ'!T98="DERIVED",'Core_Nativ'!M98&gt;='Core_Nativ'!P92),MIN(1,'Core_Nativ'!M92/'Core_Nativ'!P92)*IF('Core_Nativ'!M92=0,0,'Core_Nativ'!O92)+(1-MIN(1,'Core_Nativ'!M92/'Core_Nativ'!P92))*'Core_Nativ'!O98,"")),""))</x:f>
      </x:c>
      <x:c r="AL13" s="11" t="str">
        <x:f>IF(A13="","",IF(AND('Core_Nativ'!R93="CLOSED",'Core_Nativ'!S93=0),IF('Core_Nativ'!M93&gt;='Core_Nativ'!P93,'Core_Nativ'!N93,IF(AND('Input_Meci'!L13="YES",'Input_Meci'!K13&lt;&gt;"",'Input_Meci'!K13&lt;C13,'Core_Nativ'!T99="DERIVED",'Core_Nativ'!M99&gt;='Core_Nativ'!P93),MIN(1,'Core_Nativ'!M93/'Core_Nativ'!P93)*IF('Core_Nativ'!M93=0,0,'Core_Nativ'!N93)+(1-MIN(1,'Core_Nativ'!M93/'Core_Nativ'!P93))*'Core_Nativ'!N99,"")),""))</x:f>
      </x:c>
      <x:c r="AM13" s="11" t="str">
        <x:f>IF(A13="","",IF(AND('Core_Nativ'!R93="CLOSED",'Core_Nativ'!S93=0),IF('Core_Nativ'!M93&gt;='Core_Nativ'!P93,'Core_Nativ'!O93,IF(AND('Input_Meci'!L13="YES",'Input_Meci'!K13&lt;&gt;"",'Input_Meci'!K13&lt;C13,'Core_Nativ'!T99="DERIVED",'Core_Nativ'!M99&gt;='Core_Nativ'!P93),MIN(1,'Core_Nativ'!M93/'Core_Nativ'!P93)*IF('Core_Nativ'!M93=0,0,'Core_Nativ'!O93)+(1-MIN(1,'Core_Nativ'!M93/'Core_Nativ'!P93))*'Core_Nativ'!O99,"")),""))</x:f>
      </x:c>
      <x:c r="AN13" s="11" t="str">
        <x:f>IF(A13="","",IF(AND('Core_Nativ'!R94="CLOSED",'Core_Nativ'!S94=0),IF('Core_Nativ'!M94&gt;='Core_Nativ'!P94,'Core_Nativ'!N94,IF(AND('Input_Meci'!L13="YES",'Input_Meci'!K13&lt;&gt;"",'Input_Meci'!K13&lt;C13,'Core_Nativ'!T100="DERIVED",'Core_Nativ'!M100&gt;='Core_Nativ'!P94),MIN(1,'Core_Nativ'!M94/'Core_Nativ'!P94)*IF('Core_Nativ'!M94=0,0,'Core_Nativ'!N94)+(1-MIN(1,'Core_Nativ'!M94/'Core_Nativ'!P94))*'Core_Nativ'!N100,"")),""))</x:f>
      </x:c>
      <x:c r="AO13" s="11" t="str">
        <x:f>IF(A13="","",IF(AND('Core_Nativ'!R94="CLOSED",'Core_Nativ'!S94=0),IF('Core_Nativ'!M94&gt;='Core_Nativ'!P94,'Core_Nativ'!O94,IF(AND('Input_Meci'!L13="YES",'Input_Meci'!K13&lt;&gt;"",'Input_Meci'!K13&lt;C13,'Core_Nativ'!T100="DERIVED",'Core_Nativ'!M100&gt;='Core_Nativ'!P94),MIN(1,'Core_Nativ'!M94/'Core_Nativ'!P94)*IF('Core_Nativ'!M94=0,0,'Core_Nativ'!O94)+(1-MIN(1,'Core_Nativ'!M94/'Core_Nativ'!P94))*'Core_Nativ'!O100,"")),""))</x:f>
      </x:c>
      <x:c r="AP13" s="11" t="str">
        <x:f>IF(A13="","",IF(AND('Core_Nativ'!R95="CLOSED",'Core_Nativ'!S95=0),IF('Core_Nativ'!M95&gt;='Core_Nativ'!P95,'Core_Nativ'!N95,IF(AND('Input_Meci'!L13="YES",'Input_Meci'!K13&lt;&gt;"",'Input_Meci'!K13&lt;C13,'Core_Nativ'!T101="DERIVED",'Core_Nativ'!M101&gt;='Core_Nativ'!P95),MIN(1,'Core_Nativ'!M95/'Core_Nativ'!P95)*IF('Core_Nativ'!M95=0,0,'Core_Nativ'!N95)+(1-MIN(1,'Core_Nativ'!M95/'Core_Nativ'!P95))*'Core_Nativ'!N101,"")),""))</x:f>
      </x:c>
      <x:c r="AQ13" s="11" t="str">
        <x:f>IF(A13="","",IF(AND('Core_Nativ'!R95="CLOSED",'Core_Nativ'!S95=0),IF('Core_Nativ'!M95&gt;='Core_Nativ'!P95,'Core_Nativ'!O95,IF(AND('Input_Meci'!L13="YES",'Input_Meci'!K13&lt;&gt;"",'Input_Meci'!K13&lt;C13,'Core_Nativ'!T101="DERIVED",'Core_Nativ'!M101&gt;='Core_Nativ'!P95),MIN(1,'Core_Nativ'!M95/'Core_Nativ'!P95)*IF('Core_Nativ'!M95=0,0,'Core_Nativ'!O95)+(1-MIN(1,'Core_Nativ'!M95/'Core_Nativ'!P95))*'Core_Nativ'!O101,"")),""))</x:f>
      </x:c>
      <x:c r="AR13" s="11" t="str">
        <x:f>IF(A13="","",SUMPRODUCT(('Istoric_Nativ'!$B$6:$B$405=B13)*('Istoric_Nativ'!$C$6:$C$405=BL13)*('Istoric_Nativ'!$P$6:$P$405=1)*('Istoric_Nativ'!$D$6:$D$405&lt;INT(G13))*((('Istoric_Nativ'!$E$6:$E$405='Input_Meci'!D13)+('Istoric_Nativ'!$F$6:$F$405='Input_Meci'!D13)+('Istoric_Nativ'!$E$6:$E$405='Input_Meci'!E13)+('Istoric_Nativ'!$F$6:$F$405='Input_Meci'!E13))&gt;0)))</x:f>
      </x:c>
      <x:c r="AS13" s="11" t="str">
        <x:f>IF(AR13=0,"",SUMPRODUCT(('Istoric_Nativ'!$B$6:$B$405=B13)*('Istoric_Nativ'!$C$6:$C$405=BL13)*('Istoric_Nativ'!$P$6:$P$405=1)*('Istoric_Nativ'!$D$6:$D$405&lt;INT(G13))*((('Istoric_Nativ'!$E$6:$E$405='Input_Meci'!D13)+('Istoric_Nativ'!$F$6:$F$405='Input_Meci'!D13)+('Istoric_Nativ'!$E$6:$E$405='Input_Meci'!E13)+('Istoric_Nativ'!$F$6:$F$405='Input_Meci'!E13))&gt;0)*'Istoric_Nativ'!$Q$6:$Q$405)/AR13)</x:f>
      </x:c>
      <x:c r="AT13" s="11" t="str">
        <x:f>IF(AR13&lt;2,"",MAX(0,(SUMPRODUCT(('Istoric_Nativ'!$B$6:$B$405=B13)*('Istoric_Nativ'!$C$6:$C$405=BL13)*('Istoric_Nativ'!$P$6:$P$405=1)*('Istoric_Nativ'!$D$6:$D$405&lt;INT(G13))*((('Istoric_Nativ'!$E$6:$E$405='Input_Meci'!D13)+('Istoric_Nativ'!$F$6:$F$405='Input_Meci'!D13)+('Istoric_Nativ'!$E$6:$E$405='Input_Meci'!E13)+('Istoric_Nativ'!$F$6:$F$405='Input_Meci'!E13))&gt;0)*'Istoric_Nativ'!$R$6:$R$405)-AR13*AS13^2)/(AR13-1)))</x:f>
      </x:c>
      <x:c r="AU13" s="11" t="str">
        <x:f>IF(I13&lt;&gt;"PASS","",AT13/AS13)</x:f>
      </x:c>
      <x:c r="AV13" s="11" t="str">
        <x:f>IF(I13&lt;&gt;"PASS","",IF(AU13&lt;='Config_v6'!$B$10,"POISSON","NEGATIVE BINOMIAL"))</x:f>
      </x:c>
      <x:c r="AW13" s="11" t="str">
        <x:f>IF(I13&lt;&gt;"PASS","",IF(AV13="POISSON",9999,AS13/(AU13-1)))</x:f>
      </x:c>
      <x:c r="AX13" s="11" t="str">
        <x:f>IF(A13="","",MAX(1-'Config_v6'!$B$20,MIN(1+'Config_v6'!$B$20,1+0.02*(IF(AND(ISNUMBER('Input_Meci'!N13),'Input_Meci'!N13&gt;=0,'Input_Meci'!N13&lt;=200),'Input_Meci'!N13,12)/12-1)+0.02*(IF(AND(ISNUMBER('Input_Meci'!P13),'Input_Meci'!P13&gt;=0,'Input_Meci'!P13&lt;=200),'Input_Meci'!P13,3.5)/3.5-1)+0.02*(IF(AND(ISNUMBER('Input_Meci'!R13),'Input_Meci'!R13&gt;=0,'Input_Meci'!R13&lt;=200),'Input_Meci'!R13,18)/18-1)+0.02*((IF(AND(ISNUMBER('Input_Meci'!V13),'Input_Meci'!V13&gt;=0,'Input_Meci'!V13&lt;=10),'Input_Meci'!V13,5)-5)/5))))</x:f>
      </x:c>
      <x:c r="AY13" s="11" t="str">
        <x:f>IF(A13="","",MAX(1-'Config_v6'!$B$20,MIN(1+'Config_v6'!$B$20,1+0.02*(IF(AND(ISNUMBER('Input_Meci'!O13),'Input_Meci'!O13&gt;=0,'Input_Meci'!O13&lt;=200),'Input_Meci'!O13,12)/12-1)+0.02*(IF(AND(ISNUMBER('Input_Meci'!Q13),'Input_Meci'!Q13&gt;=0,'Input_Meci'!Q13&lt;=200),'Input_Meci'!Q13,3.5)/3.5-1)+0.02*(IF(AND(ISNUMBER('Input_Meci'!S13),'Input_Meci'!S13&gt;=0,'Input_Meci'!S13&lt;=200),'Input_Meci'!S13,18)/18-1)+0.02*((IF(AND(ISNUMBER('Input_Meci'!W13),'Input_Meci'!W13&gt;=0,'Input_Meci'!W13&lt;=10),'Input_Meci'!W13,5)-5)/5))))</x:f>
      </x:c>
      <x:c r="AZ13" s="11" t="str">
        <x:f>IF(A13="","",MAX(1-'Config_v6'!$B$21,MIN(1+'Config_v6'!$B$21,1+0.012*(IF('Input_Meci'!X13="",5,IF(ISNUMBER('Input_Meci'!X13),'Input_Meci'!X13,5))-5)+0.018*(IF('Input_Meci'!Z13="",5,IF(ISNUMBER('Input_Meci'!Z13),'Input_Meci'!Z13,5))-5)+0.012*(IF('Input_Meci'!AB13="",5,IF(ISNUMBER('Input_Meci'!AB13),'Input_Meci'!AB13,5))-5)+0.015*IF('Input_Meci'!AD13="",0,IF(ISNUMBER('Input_Meci'!AD13),'Input_Meci'!AD13,0))+0.02*IF('Input_Meci'!AF13="",0,IF(ISNUMBER('Input_Meci'!AF13),'Input_Meci'!AF13,0)))))</x:f>
      </x:c>
      <x:c r="BA13" s="11" t="str">
        <x:f>IF(A13="","",MAX(1-'Config_v6'!$B$21,MIN(1+'Config_v6'!$B$21,1+0.012*(IF('Input_Meci'!Y13="",5,IF(ISNUMBER('Input_Meci'!Y13),'Input_Meci'!Y13,5))-5)+0.018*(IF('Input_Meci'!AA13="",5,IF(ISNUMBER('Input_Meci'!AA13),'Input_Meci'!AA13,5))-5)+0.012*(IF('Input_Meci'!AC13="",5,IF(ISNUMBER('Input_Meci'!AC13),'Input_Meci'!AC13,5))-5)+0.015*IF('Input_Meci'!AE13="",0,IF(ISNUMBER('Input_Meci'!AE13),'Input_Meci'!AE13,0))+0.02*IF('Input_Meci'!AG13="",0,IF(ISNUMBER('Input_Meci'!AG13),'Input_Meci'!AG13,0)))))</x:f>
      </x:c>
      <x:c r="BB13" s="11" t="str">
        <x:f>IF(I13&lt;&gt;"PASS","",(AVERAGE(AF13,AM13)*'Config_v6'!$B$4+AVERAGE(AH13,AO13)*'Config_v6'!$B$5+AVERAGE(AJ13,AQ13)*'Config_v6'!$B$6)*AX13*AZ13)</x:f>
      </x:c>
      <x:c r="BC13" s="11" t="str">
        <x:f>IF(I13&lt;&gt;"PASS","",(AVERAGE(AL13,AG13)*'Config_v6'!$B$4+AVERAGE(AN13,AI13)*'Config_v6'!$B$5+AVERAGE(AP13,AK13)*'Config_v6'!$B$6)*AY13*BA13)</x:f>
      </x:c>
      <x:c r="BD13" s="11" t="str">
        <x:f>IF(I13&lt;&gt;"PASS","",BB13+BC13)</x:f>
      </x:c>
      <x:c r="BE13" s="11" t="str">
        <x:f>IF(A13="","",10-SUM(IF(AND(ISNUMBER('Input_Meci'!N13),'Input_Meci'!N13&gt;=0,'Input_Meci'!N13&lt;=200),1,0),IF(AND(ISNUMBER('Input_Meci'!O13),'Input_Meci'!O13&gt;=0,'Input_Meci'!O13&lt;=200),1,0),IF(AND(ISNUMBER('Input_Meci'!P13),'Input_Meci'!P13&gt;=0,'Input_Meci'!P13&lt;=200),1,0),IF(AND(ISNUMBER('Input_Meci'!Q13),'Input_Meci'!Q13&gt;=0,'Input_Meci'!Q13&lt;=200),1,0),IF(AND(ISNUMBER('Input_Meci'!R13),'Input_Meci'!R13&gt;=0,'Input_Meci'!R13&lt;=200),1,0),IF(AND(ISNUMBER('Input_Meci'!S13),'Input_Meci'!S13&gt;=0,'Input_Meci'!S13&lt;=200),1,0),IF(AND(ISNUMBER('Input_Meci'!T13),'Input_Meci'!T13&gt;=0,'Input_Meci'!T13&lt;=100),1,0),IF(AND(ISNUMBER('Input_Meci'!U13),'Input_Meci'!U13&gt;=0,'Input_Meci'!U13&lt;=100),1,0),IF(AND(ISNUMBER('Input_Meci'!V13),'Input_Meci'!V13&gt;=0,'Input_Meci'!V13&lt;=10),1,0),IF(AND(ISNUMBER('Input_Meci'!W13),'Input_Meci'!W13&gt;=0,'Input_Meci'!W13&lt;=10),1,0)))</x:f>
      </x:c>
      <x:c r="BF13" s="11" t="str">
        <x:f>IF(I13&lt;&gt;"PASS","",MAX(0,MIN(IF(OR(M13="YES",BL13&lt;&gt;C13),'Config_v6'!$B$34,100),ROUND(40+25*MIN(1,MIN(N13,Q13)/'Config_v6'!$B$7)*MIN(1,MIN(O13,R13)/'Config_v6'!$B$8)*MIN(1,MIN(P13,S13)/'Config_v6'!$B$9)+MAX(0,15-2*ABS(AF13-AJ13)-2*ABS(AL13-AP13))+IF(AU13&lt;='Config_v6'!$B$10,15,IF(AU13&lt;='Config_v6'!$B$11,13,IF(AU13&lt;='Config_v6'!$B$12,10,IF(AU13&lt;='Config_v6'!$B$13,6,0))))+5-BE13/10*'Config_v6'!$B$38,0))))</x:f>
      </x:c>
      <x:c r="BG13" s="11" t="str">
        <x:f>IF(I13&lt;&gt;"PASS","",MIN(1,'Config_v6'!$B$14*(0.7+0.3*MIN(1,AR13/'Config_v6'!$B$15))*IF(AU13&lt;='Config_v6'!$B$10,1,IF(AU13&lt;='Config_v6'!$B$11,0.95,IF(AU13&lt;='Config_v6'!$B$12,0.88,0.78)))*(0.75+0.25*BF13/100)))</x:f>
      </x:c>
      <x:c r="BH13" s="11" t="str">
        <x:f>IF(I13&lt;&gt;"PASS","",MIN(1,(ABS(AZ13-1)+ABS(BA13-1))*3))</x:f>
      </x:c>
      <x:c r="BI13" s="2" t="str">
        <x:f>IF(A13="","",IF(AND(OR('Input_Meci'!X13="",AND(ISNUMBER('Input_Meci'!X13),'Input_Meci'!X13&gt;=0,'Input_Meci'!X13&lt;=10)),OR('Input_Meci'!Y13="",AND(ISNUMBER('Input_Meci'!Y13),'Input_Meci'!Y13&gt;=0,'Input_Meci'!Y13&lt;=10)),OR('Input_Meci'!Z13="",AND(ISNUMBER('Input_Meci'!Z13),'Input_Meci'!Z13&gt;=0,'Input_Meci'!Z13&lt;=10)),OR('Input_Meci'!AA13="",AND(ISNUMBER('Input_Meci'!AA13),'Input_Meci'!AA13&gt;=0,'Input_Meci'!AA13&lt;=10)),OR('Input_Meci'!AB13="",AND(ISNUMBER('Input_Meci'!AB13),'Input_Meci'!AB13&gt;=0,'Input_Meci'!AB13&lt;=10)),OR('Input_Meci'!AC13="",AND(ISNUMBER('Input_Meci'!AC13),'Input_Meci'!AC13&gt;=0,'Input_Meci'!AC13&lt;=10)),OR('Input_Meci'!AD13="",AND(ISNUMBER('Input_Meci'!AD13),'Input_Meci'!AD13&gt;=-2,'Input_Meci'!AD13&lt;=2)),OR('Input_Meci'!AE13="",AND(ISNUMBER('Input_Meci'!AE13),'Input_Meci'!AE13&gt;=-2,'Input_Meci'!AE13&lt;=2)),OR('Input_Meci'!AF13="",AND(ISNUMBER('Input_Meci'!AF13),'Input_Meci'!AF13&gt;=-2,'Input_Meci'!AF13&lt;=2)),OR('Input_Meci'!AG13="",AND(ISNUMBER('Input_Meci'!AG13),'Input_Meci'!AG13&gt;=-2,'Input_Meci'!AG13&lt;=2))),"VALID","INVALID"))</x:f>
      </x:c>
      <x:c r="BJ13" s="2" t="n">
        <x:f>IF(A13="",0,SUM('Core_Nativ'!S90:S95))</x:f>
        <x:v>0</x:v>
      </x:c>
      <x:c r="BK13" s="2" t="str">
        <x:f>'Config_v6'!$B$40</x:f>
        <x:v>VALID</x:v>
      </x:c>
      <x:c r="BL13" s="2" t="str">
        <x:f>IF(A13="","",IF(SUMPRODUCT(('Istoric_Nativ'!$B$6:$B$405=B13)*('Istoric_Nativ'!$C$6:$C$405=C13)*('Istoric_Nativ'!$P$6:$P$405=1)*('Istoric_Nativ'!$D$6:$D$405&lt;INT(G13))*((('Istoric_Nativ'!$E$6:$E$405='Input_Meci'!D13)+('Istoric_Nativ'!$F$6:$F$405='Input_Meci'!D13)+('Istoric_Nativ'!$E$6:$E$405='Input_Meci'!E13)+('Istoric_Nativ'!$F$6:$F$405='Input_Meci'!E13))&gt;0))&gt;='Config_v6'!$B$41,C13,IF(AND('Input_Meci'!L13="YES",'Input_Meci'!K13&lt;&gt;"",'Input_Meci'!K13&lt;C13,COUNTIF('Core_Nativ'!R96:R101,"CLOSED")=6,SUM('Core_Nativ'!S96:S101)=0),'Input_Meci'!K13,C13)))</x:f>
      </x:c>
      <x:c r="BM13" s="9" t="n">
        <x:f>IF(OR(A13="",N13=0),0,LARGE(_xlfn._xlws.FILTER('Istoric_Nativ'!$D$6:$D$405,('Istoric_Nativ'!$B$6:$B$405=B13)*('Istoric_Nativ'!$C$6:$C$405=C13)*('Istoric_Nativ'!$P$6:$P$405=1)*('Istoric_Nativ'!$D$6:$D$405&lt;INT(G13))*((('Istoric_Nativ'!$E$6:$E$405='Input_Meci'!D13)+('Istoric_Nativ'!$F$6:$F$405='Input_Meci'!D13))&gt;0)),MIN(10,N13)))</x:f>
        <x:v>0</x:v>
      </x:c>
      <x:c r="BN13" s="9" t="n">
        <x:f>IF(OR(A13="",Q13=0),0,LARGE(_xlfn._xlws.FILTER('Istoric_Nativ'!$D$6:$D$405,('Istoric_Nativ'!$B$6:$B$405=B13)*('Istoric_Nativ'!$C$6:$C$405=C13)*('Istoric_Nativ'!$P$6:$P$405=1)*('Istoric_Nativ'!$D$6:$D$405&lt;INT(G13))*((('Istoric_Nativ'!$E$6:$E$405='Input_Meci'!E13)+('Istoric_Nativ'!$F$6:$F$405='Input_Meci'!E13))&gt;0)),MIN(10,Q13)))</x:f>
        <x:v>0</x:v>
      </x:c>
      <x:c r="BO13" s="9" t="n">
        <x:f>IF(OR(A13="",N13=0),0,LARGE(_xlfn._xlws.FILTER('Istoric_Nativ'!$D$6:$D$405,('Istoric_Nativ'!$B$6:$B$405=B13)*('Istoric_Nativ'!$C$6:$C$405=C13)*('Istoric_Nativ'!$P$6:$P$405=1)*('Istoric_Nativ'!$D$6:$D$405&lt;INT(G13))*((('Istoric_Nativ'!$E$6:$E$405='Input_Meci'!D13)+('Istoric_Nativ'!$F$6:$F$405='Input_Meci'!D13))&gt;0)),MIN(20,N13)))</x:f>
        <x:v>0</x:v>
      </x:c>
      <x:c r="BP13" s="9" t="n">
        <x:f>IF(OR(A13="",Q13=0),0,LARGE(_xlfn._xlws.FILTER('Istoric_Nativ'!$D$6:$D$405,('Istoric_Nativ'!$B$6:$B$405=B13)*('Istoric_Nativ'!$C$6:$C$405=C13)*('Istoric_Nativ'!$P$6:$P$405=1)*('Istoric_Nativ'!$D$6:$D$405&lt;INT(G13))*((('Istoric_Nativ'!$E$6:$E$405='Input_Meci'!E13)+('Istoric_Nativ'!$F$6:$F$405='Input_Meci'!E13))&gt;0)),MIN(20,Q13)))</x:f>
        <x:v>0</x:v>
      </x:c>
      <x:c r="BQ13" s="2" t="str">
        <x:f>IF(A13="","",IF(AND(COUNTIF(MatchesTable[Match_ID],A13)=1,COUNTIFS(MatchesTable[League],B13,MatchesTable[Season],C13,MatchesTable[Home],'Input_Meci'!D13,MatchesTable[Away],'Input_Meci'!E13,MatchesTable[Kickoff_UTC],F13)=1,B13&lt;&gt;"",C13&lt;&gt;"",'Input_Meci'!D13&lt;&gt;"",'Input_Meci'!E13&lt;&gt;"",'Input_Meci'!D13&lt;&gt;'Input_Meci'!E13,ISNUMBER(F13),ISNUMBER(G13),G13&lt;F13,OR(E13="LIVE",E13="REPLAY"),OR('Input_Meci'!L13="YES",'Input_Meci'!L13="NO",'Input_Meci'!L13="")),"VALID","INVALID"))</x:f>
      </x:c>
      <x:c r="BR13" s="2" t="n">
        <x:f>IF(I13&lt;&gt;"PASS",0,SUMPRODUCT(('Istoric_Nativ'!$B$6:$B$405='Input_Meci'!B13)*('Istoric_Nativ'!$C$6:$C$405='Input_Meci'!C13)*('Istoric_Nativ'!$P$6:$P$405=1)*('Istoric_Nativ'!$D$6:$D$405&lt;INT('Input_Meci'!G13))*((('Istoric_Nativ'!$E$6:$E$405='Input_Meci'!D13)+('Istoric_Nativ'!$F$6:$F$405='Input_Meci'!E13))&gt;0)))</x:f>
        <x:v>0</x:v>
      </x:c>
      <x:c r="BS13" s="2" t="n">
        <x:f>IF(I13&lt;&gt;"PASS",0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BM13)+((('Istoric_Nativ'!$E$6:$E$405='Input_Meci'!E13)+('Istoric_Nativ'!$F$6:$F$405='Input_Meci'!E13))&gt;0)*('Istoric_Nativ'!$D$6:$D$405&gt;=BN13))&gt;0)))</x:f>
        <x:v>0</x:v>
      </x:c>
      <x:c r="BT13" s="2" t="n">
        <x:f>IF(I13&lt;&gt;"PASS",0,SUMPRODUCT(('Istoric_Nativ'!$B$6:$B$405='Input_Meci'!B13)*('Istoric_Nativ'!$C$6:$C$405='Input_Meci'!C13)*('Istoric_Nativ'!$P$6:$P$405=1)*('Istoric_Nativ'!$D$6:$D$405&lt;INT('Input_Meci'!G13))*((((('Istoric_Nativ'!$E$6:$E$405='Input_Meci'!D13)+('Istoric_Nativ'!$F$6:$F$405='Input_Meci'!D13))&gt;0)*('Istoric_Nativ'!$D$6:$D$405&gt;=BO13)+((('Istoric_Nativ'!$E$6:$E$405='Input_Meci'!E13)+('Istoric_Nativ'!$F$6:$F$405='Input_Meci'!E13))&gt;0)*('Istoric_Nativ'!$D$6:$D$405&gt;=BP13))&gt;0)))</x:f>
        <x:v>0</x:v>
      </x:c>
    </x:row>
    <x:row r="14" ht="21" customHeight="1">
      <x:c r="A14" s="2" t="str">
        <x:f>IF('Input_Meci'!A14="","",'Input_Meci'!A14)</x:f>
      </x:c>
      <x:c r="B14" s="2" t="str">
        <x:f>IF(A14="","",'Input_Meci'!B14)</x:f>
      </x:c>
      <x:c r="C14" s="2" t="str">
        <x:f>IF(A14="","",'Input_Meci'!C14)</x:f>
      </x:c>
      <x:c r="D14" s="2" t="str">
        <x:f>IF(A14="","",'Input_Meci'!D14&amp;" – "&amp;'Input_Meci'!E14)</x:f>
      </x:c>
      <x:c r="E14" s="2" t="str">
        <x:f>IF(A14="","",'Input_Meci'!H14)</x:f>
      </x:c>
      <x:c r="F14" s="9" t="str">
        <x:f>IF(A14="","",'Input_Meci'!F14)</x:f>
      </x:c>
      <x:c r="G14" s="9" t="str">
        <x:f>IF(A14="","",'Input_Meci'!G14)</x:f>
      </x:c>
      <x:c r="H14" s="2" t="str">
        <x:f>IF(A14="","",IF(BQ14&lt;&gt;"VALID","NOT RELEASED",IF(AND(OR('Input_Meci'!I14="NOT AVAILABLE",'Input_Meci'!I14="SOURCE CONFLICT"),'Input_Meci'!J14&lt;&gt;""),"READY",IF(OR(NOT(OR('Input_Meci'!I14="AUTO",'Input_Meci'!I14="")),COUNTIF('Core_Nativ'!R102:R107,"CLOSED")&lt;&gt;6,BJ14&gt;0),"NOT RELEASED","READY"))))</x:f>
      </x:c>
      <x:c r="I14" s="2" t="str">
        <x:f>IF(A14="","",IF(H14&lt;&gt;"READY","NOT RELEASED",IF(AND(NOT(OR('Input_Meci'!I14="NOT AVAILABLE",'Input_Meci'!I14="SOURCE CONFLICT")),L14=12,AR14&gt;=2,AS14&gt;0,ISNUMBER(AT14),BI14="VALID",BK14="VALID"),"PASS","FAIL")))</x:f>
      </x:c>
      <x:c r="J14" s="2" t="str">
        <x:f>IF(A14="","",IF(BQ14&lt;&gt;"VALID","Verifica ID, echipe, mod si cutoff &lt; kickoff",IF(H14&lt;&gt;"READY",IF('Input_Meci'!I14="ACCESS BLOCKED","Acces blocat: reia sursele",IF(BJ14&gt;0,"Istoric invalid sau conflict: verifica randurile native","Surse neinchise / post-cutoff / dovezi incomplete")),IF(OR('Input_Meci'!I14="NOT AVAILABLE",'Input_Meci'!I14="SOURCE CONFLICT"),'Input_Meci'!I14,IF(BK14&lt;&gt;"VALID","Parametri invalizi",IF(L14&lt;&gt;12,"Core / sample / prior insuficient",IF(AR14&lt;2,"N insuficient pentru dispersie",IF(AS14&lt;=0,"Media istorica trebuie sa fie pozitiva",IF(BI14&lt;&gt;"VALID","Context invalid","READY")))))))))</x:f>
      </x:c>
      <x:c r="K14" s="2" t="str">
        <x:f>IF(A14="","",COUNT(T14:AE14))</x:f>
      </x:c>
      <x:c r="L14" s="2" t="str">
        <x:f>IF(A14="","",COUNT(AF14:AQ14))</x:f>
      </x:c>
      <x:c r="M14" s="2" t="str">
        <x:f>IF(A14="","",IF(OR('Core_Nativ'!M102&lt;'Core_Nativ'!P102,'Core_Nativ'!M103&lt;'Core_Nativ'!P103,'Core_Nativ'!M104&lt;'Core_Nativ'!P104,'Core_Nativ'!M105&lt;'Core_Nativ'!P105,'Core_Nativ'!M106&lt;'Core_Nativ'!P106,'Core_Nativ'!M107&lt;'Core_Nativ'!P107),"YES","NO"))</x:f>
      </x:c>
      <x:c r="N14" s="2" t="str">
        <x:f>IF(A14="","",'Core_Nativ'!M102)</x:f>
      </x:c>
      <x:c r="O14" s="2" t="str">
        <x:f>IF(A14="","",'Core_Nativ'!M103)</x:f>
      </x:c>
      <x:c r="P14" s="2" t="str">
        <x:f>IF(A14="","",'Core_Nativ'!M104)</x:f>
      </x:c>
      <x:c r="Q14" s="2" t="str">
        <x:f>IF(A14="","",'Core_Nativ'!M105)</x:f>
      </x:c>
      <x:c r="R14" s="2" t="str">
        <x:f>IF(A14="","",'Core_Nativ'!M106)</x:f>
      </x:c>
      <x:c r="S14" s="2" t="str">
        <x:f>IF(A14="","",'Core_Nativ'!M107)</x:f>
      </x:c>
      <x:c r="T14" s="11" t="str">
        <x:f>IF(OR(A14="",'Core_Nativ'!M102=0),"",'Core_Nativ'!N102)</x:f>
      </x:c>
      <x:c r="U14" s="11" t="str">
        <x:f>IF(OR(A14="",'Core_Nativ'!M102=0),"",'Core_Nativ'!O102)</x:f>
      </x:c>
      <x:c r="V14" s="11" t="str">
        <x:f>IF(OR(A14="",'Core_Nativ'!M103=0),"",'Core_Nativ'!N103)</x:f>
      </x:c>
      <x:c r="W14" s="11" t="str">
        <x:f>IF(OR(A14="",'Core_Nativ'!M103=0),"",'Core_Nativ'!O103)</x:f>
      </x:c>
      <x:c r="X14" s="11" t="str">
        <x:f>IF(OR(A14="",'Core_Nativ'!M104=0),"",'Core_Nativ'!N104)</x:f>
      </x:c>
      <x:c r="Y14" s="11" t="str">
        <x:f>IF(OR(A14="",'Core_Nativ'!M104=0),"",'Core_Nativ'!O104)</x:f>
      </x:c>
      <x:c r="Z14" s="11" t="str">
        <x:f>IF(OR(A14="",'Core_Nativ'!M105=0),"",'Core_Nativ'!N105)</x:f>
      </x:c>
      <x:c r="AA14" s="11" t="str">
        <x:f>IF(OR(A14="",'Core_Nativ'!M105=0),"",'Core_Nativ'!O105)</x:f>
      </x:c>
      <x:c r="AB14" s="11" t="str">
        <x:f>IF(OR(A14="",'Core_Nativ'!M106=0),"",'Core_Nativ'!N106)</x:f>
      </x:c>
      <x:c r="AC14" s="11" t="str">
        <x:f>IF(OR(A14="",'Core_Nativ'!M106=0),"",'Core_Nativ'!O106)</x:f>
      </x:c>
      <x:c r="AD14" s="11" t="str">
        <x:f>IF(OR(A14="",'Core_Nativ'!M107=0),"",'Core_Nativ'!N107)</x:f>
      </x:c>
      <x:c r="AE14" s="11" t="str">
        <x:f>IF(OR(A14="",'Core_Nativ'!M107=0),"",'Core_Nativ'!O107)</x:f>
      </x:c>
      <x:c r="AF14" s="11" t="str">
        <x:f>IF(A14="","",IF(AND('Core_Nativ'!R102="CLOSED",'Core_Nativ'!S102=0),IF('Core_Nativ'!M102&gt;='Core_Nativ'!P102,'Core_Nativ'!N102,IF(AND('Input_Meci'!L14="YES",'Input_Meci'!K14&lt;&gt;"",'Input_Meci'!K14&lt;C14,'Core_Nativ'!T108="DERIVED",'Core_Nativ'!M108&gt;='Core_Nativ'!P102),MIN(1,'Core_Nativ'!M102/'Core_Nativ'!P102)*IF('Core_Nativ'!M102=0,0,'Core_Nativ'!N102)+(1-MIN(1,'Core_Nativ'!M102/'Core_Nativ'!P102))*'Core_Nativ'!N108,"")),""))</x:f>
      </x:c>
      <x:c r="AG14" s="11" t="str">
        <x:f>IF(A14="","",IF(AND('Core_Nativ'!R102="CLOSED",'Core_Nativ'!S102=0),IF('Core_Nativ'!M102&gt;='Core_Nativ'!P102,'Core_Nativ'!O102,IF(AND('Input_Meci'!L14="YES",'Input_Meci'!K14&lt;&gt;"",'Input_Meci'!K14&lt;C14,'Core_Nativ'!T108="DERIVED",'Core_Nativ'!M108&gt;='Core_Nativ'!P102),MIN(1,'Core_Nativ'!M102/'Core_Nativ'!P102)*IF('Core_Nativ'!M102=0,0,'Core_Nativ'!O102)+(1-MIN(1,'Core_Nativ'!M102/'Core_Nativ'!P102))*'Core_Nativ'!O108,"")),""))</x:f>
      </x:c>
      <x:c r="AH14" s="11" t="str">
        <x:f>IF(A14="","",IF(AND('Core_Nativ'!R103="CLOSED",'Core_Nativ'!S103=0),IF('Core_Nativ'!M103&gt;='Core_Nativ'!P103,'Core_Nativ'!N103,IF(AND('Input_Meci'!L14="YES",'Input_Meci'!K14&lt;&gt;"",'Input_Meci'!K14&lt;C14,'Core_Nativ'!T109="DERIVED",'Core_Nativ'!M109&gt;='Core_Nativ'!P103),MIN(1,'Core_Nativ'!M103/'Core_Nativ'!P103)*IF('Core_Nativ'!M103=0,0,'Core_Nativ'!N103)+(1-MIN(1,'Core_Nativ'!M103/'Core_Nativ'!P103))*'Core_Nativ'!N109,"")),""))</x:f>
      </x:c>
      <x:c r="AI14" s="11" t="str">
        <x:f>IF(A14="","",IF(AND('Core_Nativ'!R103="CLOSED",'Core_Nativ'!S103=0),IF('Core_Nativ'!M103&gt;='Core_Nativ'!P103,'Core_Nativ'!O103,IF(AND('Input_Meci'!L14="YES",'Input_Meci'!K14&lt;&gt;"",'Input_Meci'!K14&lt;C14,'Core_Nativ'!T109="DERIVED",'Core_Nativ'!M109&gt;='Core_Nativ'!P103),MIN(1,'Core_Nativ'!M103/'Core_Nativ'!P103)*IF('Core_Nativ'!M103=0,0,'Core_Nativ'!O103)+(1-MIN(1,'Core_Nativ'!M103/'Core_Nativ'!P103))*'Core_Nativ'!O109,"")),""))</x:f>
      </x:c>
      <x:c r="AJ14" s="11" t="str">
        <x:f>IF(A14="","",IF(AND('Core_Nativ'!R104="CLOSED",'Core_Nativ'!S104=0),IF('Core_Nativ'!M104&gt;='Core_Nativ'!P104,'Core_Nativ'!N104,IF(AND('Input_Meci'!L14="YES",'Input_Meci'!K14&lt;&gt;"",'Input_Meci'!K14&lt;C14,'Core_Nativ'!T110="DERIVED",'Core_Nativ'!M110&gt;='Core_Nativ'!P104),MIN(1,'Core_Nativ'!M104/'Core_Nativ'!P104)*IF('Core_Nativ'!M104=0,0,'Core_Nativ'!N104)+(1-MIN(1,'Core_Nativ'!M104/'Core_Nativ'!P104))*'Core_Nativ'!N110,"")),""))</x:f>
      </x:c>
      <x:c r="AK14" s="11" t="str">
        <x:f>IF(A14="","",IF(AND('Core_Nativ'!R104="CLOSED",'Core_Nativ'!S104=0),IF('Core_Nativ'!M104&gt;='Core_Nativ'!P104,'Core_Nativ'!O104,IF(AND('Input_Meci'!L14="YES",'Input_Meci'!K14&lt;&gt;"",'Input_Meci'!K14&lt;C14,'Core_Nativ'!T110="DERIVED",'Core_Nativ'!M110&gt;='Core_Nativ'!P104),MIN(1,'Core_Nativ'!M104/'Core_Nativ'!P104)*IF('Core_Nativ'!M104=0,0,'Core_Nativ'!O104)+(1-MIN(1,'Core_Nativ'!M104/'Core_Nativ'!P104))*'Core_Nativ'!O110,"")),""))</x:f>
      </x:c>
      <x:c r="AL14" s="11" t="str">
        <x:f>IF(A14="","",IF(AND('Core_Nativ'!R105="CLOSED",'Core_Nativ'!S105=0),IF('Core_Nativ'!M105&gt;='Core_Nativ'!P105,'Core_Nativ'!N105,IF(AND('Input_Meci'!L14="YES",'Input_Meci'!K14&lt;&gt;"",'Input_Meci'!K14&lt;C14,'Core_Nativ'!T111="DERIVED",'Core_Nativ'!M111&gt;='Core_Nativ'!P105),MIN(1,'Core_Nativ'!M105/'Core_Nativ'!P105)*IF('Core_Nativ'!M105=0,0,'Core_Nativ'!N105)+(1-MIN(1,'Core_Nativ'!M105/'Core_Nativ'!P105))*'Core_Nativ'!N111,"")),""))</x:f>
      </x:c>
      <x:c r="AM14" s="11" t="str">
        <x:f>IF(A14="","",IF(AND('Core_Nativ'!R105="CLOSED",'Core_Nativ'!S105=0),IF('Core_Nativ'!M105&gt;='Core_Nativ'!P105,'Core_Nativ'!O105,IF(AND('Input_Meci'!L14="YES",'Input_Meci'!K14&lt;&gt;"",'Input_Meci'!K14&lt;C14,'Core_Nativ'!T111="DERIVED",'Core_Nativ'!M111&gt;='Core_Nativ'!P105),MIN(1,'Core_Nativ'!M105/'Core_Nativ'!P105)*IF('Core_Nativ'!M105=0,0,'Core_Nativ'!O105)+(1-MIN(1,'Core_Nativ'!M105/'Core_Nativ'!P105))*'Core_Nativ'!O111,"")),""))</x:f>
      </x:c>
      <x:c r="AN14" s="11" t="str">
        <x:f>IF(A14="","",IF(AND('Core_Nativ'!R106="CLOSED",'Core_Nativ'!S106=0),IF('Core_Nativ'!M106&gt;='Core_Nativ'!P106,'Core_Nativ'!N106,IF(AND('Input_Meci'!L14="YES",'Input_Meci'!K14&lt;&gt;"",'Input_Meci'!K14&lt;C14,'Core_Nativ'!T112="DERIVED",'Core_Nativ'!M112&gt;='Core_Nativ'!P106),MIN(1,'Core_Nativ'!M106/'Core_Nativ'!P106)*IF('Core_Nativ'!M106=0,0,'Core_Nativ'!N106)+(1-MIN(1,'Core_Nativ'!M106/'Core_Nativ'!P106))*'Core_Nativ'!N112,"")),""))</x:f>
      </x:c>
      <x:c r="AO14" s="11" t="str">
        <x:f>IF(A14="","",IF(AND('Core_Nativ'!R106="CLOSED",'Core_Nativ'!S106=0),IF('Core_Nativ'!M106&gt;='Core_Nativ'!P106,'Core_Nativ'!O106,IF(AND('Input_Meci'!L14="YES",'Input_Meci'!K14&lt;&gt;"",'Input_Meci'!K14&lt;C14,'Core_Nativ'!T112="DERIVED",'Core_Nativ'!M112&gt;='Core_Nativ'!P106),MIN(1,'Core_Nativ'!M106/'Core_Nativ'!P106)*IF('Core_Nativ'!M106=0,0,'Core_Nativ'!O106)+(1-MIN(1,'Core_Nativ'!M106/'Core_Nativ'!P106))*'Core_Nativ'!O112,"")),""))</x:f>
      </x:c>
      <x:c r="AP14" s="11" t="str">
        <x:f>IF(A14="","",IF(AND('Core_Nativ'!R107="CLOSED",'Core_Nativ'!S107=0),IF('Core_Nativ'!M107&gt;='Core_Nativ'!P107,'Core_Nativ'!N107,IF(AND('Input_Meci'!L14="YES",'Input_Meci'!K14&lt;&gt;"",'Input_Meci'!K14&lt;C14,'Core_Nativ'!T113="DERIVED",'Core_Nativ'!M113&gt;='Core_Nativ'!P107),MIN(1,'Core_Nativ'!M107/'Core_Nativ'!P107)*IF('Core_Nativ'!M107=0,0,'Core_Nativ'!N107)+(1-MIN(1,'Core_Nativ'!M107/'Core_Nativ'!P107))*'Core_Nativ'!N113,"")),""))</x:f>
      </x:c>
      <x:c r="AQ14" s="11" t="str">
        <x:f>IF(A14="","",IF(AND('Core_Nativ'!R107="CLOSED",'Core_Nativ'!S107=0),IF('Core_Nativ'!M107&gt;='Core_Nativ'!P107,'Core_Nativ'!O107,IF(AND('Input_Meci'!L14="YES",'Input_Meci'!K14&lt;&gt;"",'Input_Meci'!K14&lt;C14,'Core_Nativ'!T113="DERIVED",'Core_Nativ'!M113&gt;='Core_Nativ'!P107),MIN(1,'Core_Nativ'!M107/'Core_Nativ'!P107)*IF('Core_Nativ'!M107=0,0,'Core_Nativ'!O107)+(1-MIN(1,'Core_Nativ'!M107/'Core_Nativ'!P107))*'Core_Nativ'!O113,"")),""))</x:f>
      </x:c>
      <x:c r="AR14" s="11" t="str">
        <x:f>IF(A14="","",SUMPRODUCT(('Istoric_Nativ'!$B$6:$B$405=B14)*('Istoric_Nativ'!$C$6:$C$405=BL14)*('Istoric_Nativ'!$P$6:$P$405=1)*('Istoric_Nativ'!$D$6:$D$405&lt;INT(G14))*((('Istoric_Nativ'!$E$6:$E$405='Input_Meci'!D14)+('Istoric_Nativ'!$F$6:$F$405='Input_Meci'!D14)+('Istoric_Nativ'!$E$6:$E$405='Input_Meci'!E14)+('Istoric_Nativ'!$F$6:$F$405='Input_Meci'!E14))&gt;0)))</x:f>
      </x:c>
      <x:c r="AS14" s="11" t="str">
        <x:f>IF(AR14=0,"",SUMPRODUCT(('Istoric_Nativ'!$B$6:$B$405=B14)*('Istoric_Nativ'!$C$6:$C$405=BL14)*('Istoric_Nativ'!$P$6:$P$405=1)*('Istoric_Nativ'!$D$6:$D$405&lt;INT(G14))*((('Istoric_Nativ'!$E$6:$E$405='Input_Meci'!D14)+('Istoric_Nativ'!$F$6:$F$405='Input_Meci'!D14)+('Istoric_Nativ'!$E$6:$E$405='Input_Meci'!E14)+('Istoric_Nativ'!$F$6:$F$405='Input_Meci'!E14))&gt;0)*'Istoric_Nativ'!$Q$6:$Q$405)/AR14)</x:f>
      </x:c>
      <x:c r="AT14" s="11" t="str">
        <x:f>IF(AR14&lt;2,"",MAX(0,(SUMPRODUCT(('Istoric_Nativ'!$B$6:$B$405=B14)*('Istoric_Nativ'!$C$6:$C$405=BL14)*('Istoric_Nativ'!$P$6:$P$405=1)*('Istoric_Nativ'!$D$6:$D$405&lt;INT(G14))*((('Istoric_Nativ'!$E$6:$E$405='Input_Meci'!D14)+('Istoric_Nativ'!$F$6:$F$405='Input_Meci'!D14)+('Istoric_Nativ'!$E$6:$E$405='Input_Meci'!E14)+('Istoric_Nativ'!$F$6:$F$405='Input_Meci'!E14))&gt;0)*'Istoric_Nativ'!$R$6:$R$405)-AR14*AS14^2)/(AR14-1)))</x:f>
      </x:c>
      <x:c r="AU14" s="11" t="str">
        <x:f>IF(I14&lt;&gt;"PASS","",AT14/AS14)</x:f>
      </x:c>
      <x:c r="AV14" s="11" t="str">
        <x:f>IF(I14&lt;&gt;"PASS","",IF(AU14&lt;='Config_v6'!$B$10,"POISSON","NEGATIVE BINOMIAL"))</x:f>
      </x:c>
      <x:c r="AW14" s="11" t="str">
        <x:f>IF(I14&lt;&gt;"PASS","",IF(AV14="POISSON",9999,AS14/(AU14-1)))</x:f>
      </x:c>
      <x:c r="AX14" s="11" t="str">
        <x:f>IF(A14="","",MAX(1-'Config_v6'!$B$20,MIN(1+'Config_v6'!$B$20,1+0.02*(IF(AND(ISNUMBER('Input_Meci'!N14),'Input_Meci'!N14&gt;=0,'Input_Meci'!N14&lt;=200),'Input_Meci'!N14,12)/12-1)+0.02*(IF(AND(ISNUMBER('Input_Meci'!P14),'Input_Meci'!P14&gt;=0,'Input_Meci'!P14&lt;=200),'Input_Meci'!P14,3.5)/3.5-1)+0.02*(IF(AND(ISNUMBER('Input_Meci'!R14),'Input_Meci'!R14&gt;=0,'Input_Meci'!R14&lt;=200),'Input_Meci'!R14,18)/18-1)+0.02*((IF(AND(ISNUMBER('Input_Meci'!V14),'Input_Meci'!V14&gt;=0,'Input_Meci'!V14&lt;=10),'Input_Meci'!V14,5)-5)/5))))</x:f>
      </x:c>
      <x:c r="AY14" s="11" t="str">
        <x:f>IF(A14="","",MAX(1-'Config_v6'!$B$20,MIN(1+'Config_v6'!$B$20,1+0.02*(IF(AND(ISNUMBER('Input_Meci'!O14),'Input_Meci'!O14&gt;=0,'Input_Meci'!O14&lt;=200),'Input_Meci'!O14,12)/12-1)+0.02*(IF(AND(ISNUMBER('Input_Meci'!Q14),'Input_Meci'!Q14&gt;=0,'Input_Meci'!Q14&lt;=200),'Input_Meci'!Q14,3.5)/3.5-1)+0.02*(IF(AND(ISNUMBER('Input_Meci'!S14),'Input_Meci'!S14&gt;=0,'Input_Meci'!S14&lt;=200),'Input_Meci'!S14,18)/18-1)+0.02*((IF(AND(ISNUMBER('Input_Meci'!W14),'Input_Meci'!W14&gt;=0,'Input_Meci'!W14&lt;=10),'Input_Meci'!W14,5)-5)/5))))</x:f>
      </x:c>
      <x:c r="AZ14" s="11" t="str">
        <x:f>IF(A14="","",MAX(1-'Config_v6'!$B$21,MIN(1+'Config_v6'!$B$21,1+0.012*(IF('Input_Meci'!X14="",5,IF(ISNUMBER('Input_Meci'!X14),'Input_Meci'!X14,5))-5)+0.018*(IF('Input_Meci'!Z14="",5,IF(ISNUMBER('Input_Meci'!Z14),'Input_Meci'!Z14,5))-5)+0.012*(IF('Input_Meci'!AB14="",5,IF(ISNUMBER('Input_Meci'!AB14),'Input_Meci'!AB14,5))-5)+0.015*IF('Input_Meci'!AD14="",0,IF(ISNUMBER('Input_Meci'!AD14),'Input_Meci'!AD14,0))+0.02*IF('Input_Meci'!AF14="",0,IF(ISNUMBER('Input_Meci'!AF14),'Input_Meci'!AF14,0)))))</x:f>
      </x:c>
      <x:c r="BA14" s="11" t="str">
        <x:f>IF(A14="","",MAX(1-'Config_v6'!$B$21,MIN(1+'Config_v6'!$B$21,1+0.012*(IF('Input_Meci'!Y14="",5,IF(ISNUMBER('Input_Meci'!Y14),'Input_Meci'!Y14,5))-5)+0.018*(IF('Input_Meci'!AA14="",5,IF(ISNUMBER('Input_Meci'!AA14),'Input_Meci'!AA14,5))-5)+0.012*(IF('Input_Meci'!AC14="",5,IF(ISNUMBER('Input_Meci'!AC14),'Input_Meci'!AC14,5))-5)+0.015*IF('Input_Meci'!AE14="",0,IF(ISNUMBER('Input_Meci'!AE14),'Input_Meci'!AE14,0))+0.02*IF('Input_Meci'!AG14="",0,IF(ISNUMBER('Input_Meci'!AG14),'Input_Meci'!AG14,0)))))</x:f>
      </x:c>
      <x:c r="BB14" s="11" t="str">
        <x:f>IF(I14&lt;&gt;"PASS","",(AVERAGE(AF14,AM14)*'Config_v6'!$B$4+AVERAGE(AH14,AO14)*'Config_v6'!$B$5+AVERAGE(AJ14,AQ14)*'Config_v6'!$B$6)*AX14*AZ14)</x:f>
      </x:c>
      <x:c r="BC14" s="11" t="str">
        <x:f>IF(I14&lt;&gt;"PASS","",(AVERAGE(AL14,AG14)*'Config_v6'!$B$4+AVERAGE(AN14,AI14)*'Config_v6'!$B$5+AVERAGE(AP14,AK14)*'Config_v6'!$B$6)*AY14*BA14)</x:f>
      </x:c>
      <x:c r="BD14" s="11" t="str">
        <x:f>IF(I14&lt;&gt;"PASS","",BB14+BC14)</x:f>
      </x:c>
      <x:c r="BE14" s="11" t="str">
        <x:f>IF(A14="","",10-SUM(IF(AND(ISNUMBER('Input_Meci'!N14),'Input_Meci'!N14&gt;=0,'Input_Meci'!N14&lt;=200),1,0),IF(AND(ISNUMBER('Input_Meci'!O14),'Input_Meci'!O14&gt;=0,'Input_Meci'!O14&lt;=200),1,0),IF(AND(ISNUMBER('Input_Meci'!P14),'Input_Meci'!P14&gt;=0,'Input_Meci'!P14&lt;=200),1,0),IF(AND(ISNUMBER('Input_Meci'!Q14),'Input_Meci'!Q14&gt;=0,'Input_Meci'!Q14&lt;=200),1,0),IF(AND(ISNUMBER('Input_Meci'!R14),'Input_Meci'!R14&gt;=0,'Input_Meci'!R14&lt;=200),1,0),IF(AND(ISNUMBER('Input_Meci'!S14),'Input_Meci'!S14&gt;=0,'Input_Meci'!S14&lt;=200),1,0),IF(AND(ISNUMBER('Input_Meci'!T14),'Input_Meci'!T14&gt;=0,'Input_Meci'!T14&lt;=100),1,0),IF(AND(ISNUMBER('Input_Meci'!U14),'Input_Meci'!U14&gt;=0,'Input_Meci'!U14&lt;=100),1,0),IF(AND(ISNUMBER('Input_Meci'!V14),'Input_Meci'!V14&gt;=0,'Input_Meci'!V14&lt;=10),1,0),IF(AND(ISNUMBER('Input_Meci'!W14),'Input_Meci'!W14&gt;=0,'Input_Meci'!W14&lt;=10),1,0)))</x:f>
      </x:c>
      <x:c r="BF14" s="11" t="str">
        <x:f>IF(I14&lt;&gt;"PASS","",MAX(0,MIN(IF(OR(M14="YES",BL14&lt;&gt;C14),'Config_v6'!$B$34,100),ROUND(40+25*MIN(1,MIN(N14,Q14)/'Config_v6'!$B$7)*MIN(1,MIN(O14,R14)/'Config_v6'!$B$8)*MIN(1,MIN(P14,S14)/'Config_v6'!$B$9)+MAX(0,15-2*ABS(AF14-AJ14)-2*ABS(AL14-AP14))+IF(AU14&lt;='Config_v6'!$B$10,15,IF(AU14&lt;='Config_v6'!$B$11,13,IF(AU14&lt;='Config_v6'!$B$12,10,IF(AU14&lt;='Config_v6'!$B$13,6,0))))+5-BE14/10*'Config_v6'!$B$38,0))))</x:f>
      </x:c>
      <x:c r="BG14" s="11" t="str">
        <x:f>IF(I14&lt;&gt;"PASS","",MIN(1,'Config_v6'!$B$14*(0.7+0.3*MIN(1,AR14/'Config_v6'!$B$15))*IF(AU14&lt;='Config_v6'!$B$10,1,IF(AU14&lt;='Config_v6'!$B$11,0.95,IF(AU14&lt;='Config_v6'!$B$12,0.88,0.78)))*(0.75+0.25*BF14/100)))</x:f>
      </x:c>
      <x:c r="BH14" s="11" t="str">
        <x:f>IF(I14&lt;&gt;"PASS","",MIN(1,(ABS(AZ14-1)+ABS(BA14-1))*3))</x:f>
      </x:c>
      <x:c r="BI14" s="2" t="str">
        <x:f>IF(A14="","",IF(AND(OR('Input_Meci'!X14="",AND(ISNUMBER('Input_Meci'!X14),'Input_Meci'!X14&gt;=0,'Input_Meci'!X14&lt;=10)),OR('Input_Meci'!Y14="",AND(ISNUMBER('Input_Meci'!Y14),'Input_Meci'!Y14&gt;=0,'Input_Meci'!Y14&lt;=10)),OR('Input_Meci'!Z14="",AND(ISNUMBER('Input_Meci'!Z14),'Input_Meci'!Z14&gt;=0,'Input_Meci'!Z14&lt;=10)),OR('Input_Meci'!AA14="",AND(ISNUMBER('Input_Meci'!AA14),'Input_Meci'!AA14&gt;=0,'Input_Meci'!AA14&lt;=10)),OR('Input_Meci'!AB14="",AND(ISNUMBER('Input_Meci'!AB14),'Input_Meci'!AB14&gt;=0,'Input_Meci'!AB14&lt;=10)),OR('Input_Meci'!AC14="",AND(ISNUMBER('Input_Meci'!AC14),'Input_Meci'!AC14&gt;=0,'Input_Meci'!AC14&lt;=10)),OR('Input_Meci'!AD14="",AND(ISNUMBER('Input_Meci'!AD14),'Input_Meci'!AD14&gt;=-2,'Input_Meci'!AD14&lt;=2)),OR('Input_Meci'!AE14="",AND(ISNUMBER('Input_Meci'!AE14),'Input_Meci'!AE14&gt;=-2,'Input_Meci'!AE14&lt;=2)),OR('Input_Meci'!AF14="",AND(ISNUMBER('Input_Meci'!AF14),'Input_Meci'!AF14&gt;=-2,'Input_Meci'!AF14&lt;=2)),OR('Input_Meci'!AG14="",AND(ISNUMBER('Input_Meci'!AG14),'Input_Meci'!AG14&gt;=-2,'Input_Meci'!AG14&lt;=2))),"VALID","INVALID"))</x:f>
      </x:c>
      <x:c r="BJ14" s="2" t="n">
        <x:f>IF(A14="",0,SUM('Core_Nativ'!S102:S107))</x:f>
        <x:v>0</x:v>
      </x:c>
      <x:c r="BK14" s="2" t="str">
        <x:f>'Config_v6'!$B$40</x:f>
        <x:v>VALID</x:v>
      </x:c>
      <x:c r="BL14" s="2" t="str">
        <x:f>IF(A14="","",IF(SUMPRODUCT(('Istoric_Nativ'!$B$6:$B$405=B14)*('Istoric_Nativ'!$C$6:$C$405=C14)*('Istoric_Nativ'!$P$6:$P$405=1)*('Istoric_Nativ'!$D$6:$D$405&lt;INT(G14))*((('Istoric_Nativ'!$E$6:$E$405='Input_Meci'!D14)+('Istoric_Nativ'!$F$6:$F$405='Input_Meci'!D14)+('Istoric_Nativ'!$E$6:$E$405='Input_Meci'!E14)+('Istoric_Nativ'!$F$6:$F$405='Input_Meci'!E14))&gt;0))&gt;='Config_v6'!$B$41,C14,IF(AND('Input_Meci'!L14="YES",'Input_Meci'!K14&lt;&gt;"",'Input_Meci'!K14&lt;C14,COUNTIF('Core_Nativ'!R108:R113,"CLOSED")=6,SUM('Core_Nativ'!S108:S113)=0),'Input_Meci'!K14,C14)))</x:f>
      </x:c>
      <x:c r="BM14" s="9" t="n">
        <x:f>IF(OR(A14="",N14=0),0,LARGE(_xlfn._xlws.FILTER('Istoric_Nativ'!$D$6:$D$405,('Istoric_Nativ'!$B$6:$B$405=B14)*('Istoric_Nativ'!$C$6:$C$405=C14)*('Istoric_Nativ'!$P$6:$P$405=1)*('Istoric_Nativ'!$D$6:$D$405&lt;INT(G14))*((('Istoric_Nativ'!$E$6:$E$405='Input_Meci'!D14)+('Istoric_Nativ'!$F$6:$F$405='Input_Meci'!D14))&gt;0)),MIN(10,N14)))</x:f>
        <x:v>0</x:v>
      </x:c>
      <x:c r="BN14" s="9" t="n">
        <x:f>IF(OR(A14="",Q14=0),0,LARGE(_xlfn._xlws.FILTER('Istoric_Nativ'!$D$6:$D$405,('Istoric_Nativ'!$B$6:$B$405=B14)*('Istoric_Nativ'!$C$6:$C$405=C14)*('Istoric_Nativ'!$P$6:$P$405=1)*('Istoric_Nativ'!$D$6:$D$405&lt;INT(G14))*((('Istoric_Nativ'!$E$6:$E$405='Input_Meci'!E14)+('Istoric_Nativ'!$F$6:$F$405='Input_Meci'!E14))&gt;0)),MIN(10,Q14)))</x:f>
        <x:v>0</x:v>
      </x:c>
      <x:c r="BO14" s="9" t="n">
        <x:f>IF(OR(A14="",N14=0),0,LARGE(_xlfn._xlws.FILTER('Istoric_Nativ'!$D$6:$D$405,('Istoric_Nativ'!$B$6:$B$405=B14)*('Istoric_Nativ'!$C$6:$C$405=C14)*('Istoric_Nativ'!$P$6:$P$405=1)*('Istoric_Nativ'!$D$6:$D$405&lt;INT(G14))*((('Istoric_Nativ'!$E$6:$E$405='Input_Meci'!D14)+('Istoric_Nativ'!$F$6:$F$405='Input_Meci'!D14))&gt;0)),MIN(20,N14)))</x:f>
        <x:v>0</x:v>
      </x:c>
      <x:c r="BP14" s="9" t="n">
        <x:f>IF(OR(A14="",Q14=0),0,LARGE(_xlfn._xlws.FILTER('Istoric_Nativ'!$D$6:$D$405,('Istoric_Nativ'!$B$6:$B$405=B14)*('Istoric_Nativ'!$C$6:$C$405=C14)*('Istoric_Nativ'!$P$6:$P$405=1)*('Istoric_Nativ'!$D$6:$D$405&lt;INT(G14))*((('Istoric_Nativ'!$E$6:$E$405='Input_Meci'!E14)+('Istoric_Nativ'!$F$6:$F$405='Input_Meci'!E14))&gt;0)),MIN(20,Q14)))</x:f>
        <x:v>0</x:v>
      </x:c>
      <x:c r="BQ14" s="2" t="str">
        <x:f>IF(A14="","",IF(AND(COUNTIF(MatchesTable[Match_ID],A14)=1,COUNTIFS(MatchesTable[League],B14,MatchesTable[Season],C14,MatchesTable[Home],'Input_Meci'!D14,MatchesTable[Away],'Input_Meci'!E14,MatchesTable[Kickoff_UTC],F14)=1,B14&lt;&gt;"",C14&lt;&gt;"",'Input_Meci'!D14&lt;&gt;"",'Input_Meci'!E14&lt;&gt;"",'Input_Meci'!D14&lt;&gt;'Input_Meci'!E14,ISNUMBER(F14),ISNUMBER(G14),G14&lt;F14,OR(E14="LIVE",E14="REPLAY"),OR('Input_Meci'!L14="YES",'Input_Meci'!L14="NO",'Input_Meci'!L14="")),"VALID","INVALID"))</x:f>
      </x:c>
      <x:c r="BR14" s="2" t="n">
        <x:f>IF(I14&lt;&gt;"PASS",0,SUMPRODUCT(('Istoric_Nativ'!$B$6:$B$405='Input_Meci'!B14)*('Istoric_Nativ'!$C$6:$C$405='Input_Meci'!C14)*('Istoric_Nativ'!$P$6:$P$405=1)*('Istoric_Nativ'!$D$6:$D$405&lt;INT('Input_Meci'!G14))*((('Istoric_Nativ'!$E$6:$E$405='Input_Meci'!D14)+('Istoric_Nativ'!$F$6:$F$405='Input_Meci'!E14))&gt;0)))</x:f>
        <x:v>0</x:v>
      </x:c>
      <x:c r="BS14" s="2" t="n">
        <x:f>IF(I14&lt;&gt;"PASS",0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BM14)+((('Istoric_Nativ'!$E$6:$E$405='Input_Meci'!E14)+('Istoric_Nativ'!$F$6:$F$405='Input_Meci'!E14))&gt;0)*('Istoric_Nativ'!$D$6:$D$405&gt;=BN14))&gt;0)))</x:f>
        <x:v>0</x:v>
      </x:c>
      <x:c r="BT14" s="2" t="n">
        <x:f>IF(I14&lt;&gt;"PASS",0,SUMPRODUCT(('Istoric_Nativ'!$B$6:$B$405='Input_Meci'!B14)*('Istoric_Nativ'!$C$6:$C$405='Input_Meci'!C14)*('Istoric_Nativ'!$P$6:$P$405=1)*('Istoric_Nativ'!$D$6:$D$405&lt;INT('Input_Meci'!G14))*((((('Istoric_Nativ'!$E$6:$E$405='Input_Meci'!D14)+('Istoric_Nativ'!$F$6:$F$405='Input_Meci'!D14))&gt;0)*('Istoric_Nativ'!$D$6:$D$405&gt;=BO14)+((('Istoric_Nativ'!$E$6:$E$405='Input_Meci'!E14)+('Istoric_Nativ'!$F$6:$F$405='Input_Meci'!E14))&gt;0)*('Istoric_Nativ'!$D$6:$D$405&gt;=BP14))&gt;0)))</x:f>
        <x:v>0</x:v>
      </x:c>
    </x:row>
    <x:row r="15" ht="21" customHeight="1">
      <x:c r="A15" s="2" t="str">
        <x:f>IF('Input_Meci'!A15="","",'Input_Meci'!A15)</x:f>
      </x:c>
      <x:c r="B15" s="2" t="str">
        <x:f>IF(A15="","",'Input_Meci'!B15)</x:f>
      </x:c>
      <x:c r="C15" s="2" t="str">
        <x:f>IF(A15="","",'Input_Meci'!C15)</x:f>
      </x:c>
      <x:c r="D15" s="2" t="str">
        <x:f>IF(A15="","",'Input_Meci'!D15&amp;" – "&amp;'Input_Meci'!E15)</x:f>
      </x:c>
      <x:c r="E15" s="2" t="str">
        <x:f>IF(A15="","",'Input_Meci'!H15)</x:f>
      </x:c>
      <x:c r="F15" s="9" t="str">
        <x:f>IF(A15="","",'Input_Meci'!F15)</x:f>
      </x:c>
      <x:c r="G15" s="9" t="str">
        <x:f>IF(A15="","",'Input_Meci'!G15)</x:f>
      </x:c>
      <x:c r="H15" s="2" t="str">
        <x:f>IF(A15="","",IF(BQ15&lt;&gt;"VALID","NOT RELEASED",IF(AND(OR('Input_Meci'!I15="NOT AVAILABLE",'Input_Meci'!I15="SOURCE CONFLICT"),'Input_Meci'!J15&lt;&gt;""),"READY",IF(OR(NOT(OR('Input_Meci'!I15="AUTO",'Input_Meci'!I15="")),COUNTIF('Core_Nativ'!R114:R119,"CLOSED")&lt;&gt;6,BJ15&gt;0),"NOT RELEASED","READY"))))</x:f>
      </x:c>
      <x:c r="I15" s="2" t="str">
        <x:f>IF(A15="","",IF(H15&lt;&gt;"READY","NOT RELEASED",IF(AND(NOT(OR('Input_Meci'!I15="NOT AVAILABLE",'Input_Meci'!I15="SOURCE CONFLICT")),L15=12,AR15&gt;=2,AS15&gt;0,ISNUMBER(AT15),BI15="VALID",BK15="VALID"),"PASS","FAIL")))</x:f>
      </x:c>
      <x:c r="J15" s="2" t="str">
        <x:f>IF(A15="","",IF(BQ15&lt;&gt;"VALID","Verifica ID, echipe, mod si cutoff &lt; kickoff",IF(H15&lt;&gt;"READY",IF('Input_Meci'!I15="ACCESS BLOCKED","Acces blocat: reia sursele",IF(BJ15&gt;0,"Istoric invalid sau conflict: verifica randurile native","Surse neinchise / post-cutoff / dovezi incomplete")),IF(OR('Input_Meci'!I15="NOT AVAILABLE",'Input_Meci'!I15="SOURCE CONFLICT"),'Input_Meci'!I15,IF(BK15&lt;&gt;"VALID","Parametri invalizi",IF(L15&lt;&gt;12,"Core / sample / prior insuficient",IF(AR15&lt;2,"N insuficient pentru dispersie",IF(AS15&lt;=0,"Media istorica trebuie sa fie pozitiva",IF(BI15&lt;&gt;"VALID","Context invalid","READY")))))))))</x:f>
      </x:c>
      <x:c r="K15" s="2" t="str">
        <x:f>IF(A15="","",COUNT(T15:AE15))</x:f>
      </x:c>
      <x:c r="L15" s="2" t="str">
        <x:f>IF(A15="","",COUNT(AF15:AQ15))</x:f>
      </x:c>
      <x:c r="M15" s="2" t="str">
        <x:f>IF(A15="","",IF(OR('Core_Nativ'!M114&lt;'Core_Nativ'!P114,'Core_Nativ'!M115&lt;'Core_Nativ'!P115,'Core_Nativ'!M116&lt;'Core_Nativ'!P116,'Core_Nativ'!M117&lt;'Core_Nativ'!P117,'Core_Nativ'!M118&lt;'Core_Nativ'!P118,'Core_Nativ'!M119&lt;'Core_Nativ'!P119),"YES","NO"))</x:f>
      </x:c>
      <x:c r="N15" s="2" t="str">
        <x:f>IF(A15="","",'Core_Nativ'!M114)</x:f>
      </x:c>
      <x:c r="O15" s="2" t="str">
        <x:f>IF(A15="","",'Core_Nativ'!M115)</x:f>
      </x:c>
      <x:c r="P15" s="2" t="str">
        <x:f>IF(A15="","",'Core_Nativ'!M116)</x:f>
      </x:c>
      <x:c r="Q15" s="2" t="str">
        <x:f>IF(A15="","",'Core_Nativ'!M117)</x:f>
      </x:c>
      <x:c r="R15" s="2" t="str">
        <x:f>IF(A15="","",'Core_Nativ'!M118)</x:f>
      </x:c>
      <x:c r="S15" s="2" t="str">
        <x:f>IF(A15="","",'Core_Nativ'!M119)</x:f>
      </x:c>
      <x:c r="T15" s="11" t="str">
        <x:f>IF(OR(A15="",'Core_Nativ'!M114=0),"",'Core_Nativ'!N114)</x:f>
      </x:c>
      <x:c r="U15" s="11" t="str">
        <x:f>IF(OR(A15="",'Core_Nativ'!M114=0),"",'Core_Nativ'!O114)</x:f>
      </x:c>
      <x:c r="V15" s="11" t="str">
        <x:f>IF(OR(A15="",'Core_Nativ'!M115=0),"",'Core_Nativ'!N115)</x:f>
      </x:c>
      <x:c r="W15" s="11" t="str">
        <x:f>IF(OR(A15="",'Core_Nativ'!M115=0),"",'Core_Nativ'!O115)</x:f>
      </x:c>
      <x:c r="X15" s="11" t="str">
        <x:f>IF(OR(A15="",'Core_Nativ'!M116=0),"",'Core_Nativ'!N116)</x:f>
      </x:c>
      <x:c r="Y15" s="11" t="str">
        <x:f>IF(OR(A15="",'Core_Nativ'!M116=0),"",'Core_Nativ'!O116)</x:f>
      </x:c>
      <x:c r="Z15" s="11" t="str">
        <x:f>IF(OR(A15="",'Core_Nativ'!M117=0),"",'Core_Nativ'!N117)</x:f>
      </x:c>
      <x:c r="AA15" s="11" t="str">
        <x:f>IF(OR(A15="",'Core_Nativ'!M117=0),"",'Core_Nativ'!O117)</x:f>
      </x:c>
      <x:c r="AB15" s="11" t="str">
        <x:f>IF(OR(A15="",'Core_Nativ'!M118=0),"",'Core_Nativ'!N118)</x:f>
      </x:c>
      <x:c r="AC15" s="11" t="str">
        <x:f>IF(OR(A15="",'Core_Nativ'!M118=0),"",'Core_Nativ'!O118)</x:f>
      </x:c>
      <x:c r="AD15" s="11" t="str">
        <x:f>IF(OR(A15="",'Core_Nativ'!M119=0),"",'Core_Nativ'!N119)</x:f>
      </x:c>
      <x:c r="AE15" s="11" t="str">
        <x:f>IF(OR(A15="",'Core_Nativ'!M119=0),"",'Core_Nativ'!O119)</x:f>
      </x:c>
      <x:c r="AF15" s="11" t="str">
        <x:f>IF(A15="","",IF(AND('Core_Nativ'!R114="CLOSED",'Core_Nativ'!S114=0),IF('Core_Nativ'!M114&gt;='Core_Nativ'!P114,'Core_Nativ'!N114,IF(AND('Input_Meci'!L15="YES",'Input_Meci'!K15&lt;&gt;"",'Input_Meci'!K15&lt;C15,'Core_Nativ'!T120="DERIVED",'Core_Nativ'!M120&gt;='Core_Nativ'!P114),MIN(1,'Core_Nativ'!M114/'Core_Nativ'!P114)*IF('Core_Nativ'!M114=0,0,'Core_Nativ'!N114)+(1-MIN(1,'Core_Nativ'!M114/'Core_Nativ'!P114))*'Core_Nativ'!N120,"")),""))</x:f>
      </x:c>
      <x:c r="AG15" s="11" t="str">
        <x:f>IF(A15="","",IF(AND('Core_Nativ'!R114="CLOSED",'Core_Nativ'!S114=0),IF('Core_Nativ'!M114&gt;='Core_Nativ'!P114,'Core_Nativ'!O114,IF(AND('Input_Meci'!L15="YES",'Input_Meci'!K15&lt;&gt;"",'Input_Meci'!K15&lt;C15,'Core_Nativ'!T120="DERIVED",'Core_Nativ'!M120&gt;='Core_Nativ'!P114),MIN(1,'Core_Nativ'!M114/'Core_Nativ'!P114)*IF('Core_Nativ'!M114=0,0,'Core_Nativ'!O114)+(1-MIN(1,'Core_Nativ'!M114/'Core_Nativ'!P114))*'Core_Nativ'!O120,"")),""))</x:f>
      </x:c>
      <x:c r="AH15" s="11" t="str">
        <x:f>IF(A15="","",IF(AND('Core_Nativ'!R115="CLOSED",'Core_Nativ'!S115=0),IF('Core_Nativ'!M115&gt;='Core_Nativ'!P115,'Core_Nativ'!N115,IF(AND('Input_Meci'!L15="YES",'Input_Meci'!K15&lt;&gt;"",'Input_Meci'!K15&lt;C15,'Core_Nativ'!T121="DERIVED",'Core_Nativ'!M121&gt;='Core_Nativ'!P115),MIN(1,'Core_Nativ'!M115/'Core_Nativ'!P115)*IF('Core_Nativ'!M115=0,0,'Core_Nativ'!N115)+(1-MIN(1,'Core_Nativ'!M115/'Core_Nativ'!P115))*'Core_Nativ'!N121,"")),""))</x:f>
      </x:c>
      <x:c r="AI15" s="11" t="str">
        <x:f>IF(A15="","",IF(AND('Core_Nativ'!R115="CLOSED",'Core_Nativ'!S115=0),IF('Core_Nativ'!M115&gt;='Core_Nativ'!P115,'Core_Nativ'!O115,IF(AND('Input_Meci'!L15="YES",'Input_Meci'!K15&lt;&gt;"",'Input_Meci'!K15&lt;C15,'Core_Nativ'!T121="DERIVED",'Core_Nativ'!M121&gt;='Core_Nativ'!P115),MIN(1,'Core_Nativ'!M115/'Core_Nativ'!P115)*IF('Core_Nativ'!M115=0,0,'Core_Nativ'!O115)+(1-MIN(1,'Core_Nativ'!M115/'Core_Nativ'!P115))*'Core_Nativ'!O121,"")),""))</x:f>
      </x:c>
      <x:c r="AJ15" s="11" t="str">
        <x:f>IF(A15="","",IF(AND('Core_Nativ'!R116="CLOSED",'Core_Nativ'!S116=0),IF('Core_Nativ'!M116&gt;='Core_Nativ'!P116,'Core_Nativ'!N116,IF(AND('Input_Meci'!L15="YES",'Input_Meci'!K15&lt;&gt;"",'Input_Meci'!K15&lt;C15,'Core_Nativ'!T122="DERIVED",'Core_Nativ'!M122&gt;='Core_Nativ'!P116),MIN(1,'Core_Nativ'!M116/'Core_Nativ'!P116)*IF('Core_Nativ'!M116=0,0,'Core_Nativ'!N116)+(1-MIN(1,'Core_Nativ'!M116/'Core_Nativ'!P116))*'Core_Nativ'!N122,"")),""))</x:f>
      </x:c>
      <x:c r="AK15" s="11" t="str">
        <x:f>IF(A15="","",IF(AND('Core_Nativ'!R116="CLOSED",'Core_Nativ'!S116=0),IF('Core_Nativ'!M116&gt;='Core_Nativ'!P116,'Core_Nativ'!O116,IF(AND('Input_Meci'!L15="YES",'Input_Meci'!K15&lt;&gt;"",'Input_Meci'!K15&lt;C15,'Core_Nativ'!T122="DERIVED",'Core_Nativ'!M122&gt;='Core_Nativ'!P116),MIN(1,'Core_Nativ'!M116/'Core_Nativ'!P116)*IF('Core_Nativ'!M116=0,0,'Core_Nativ'!O116)+(1-MIN(1,'Core_Nativ'!M116/'Core_Nativ'!P116))*'Core_Nativ'!O122,"")),""))</x:f>
      </x:c>
      <x:c r="AL15" s="11" t="str">
        <x:f>IF(A15="","",IF(AND('Core_Nativ'!R117="CLOSED",'Core_Nativ'!S117=0),IF('Core_Nativ'!M117&gt;='Core_Nativ'!P117,'Core_Nativ'!N117,IF(AND('Input_Meci'!L15="YES",'Input_Meci'!K15&lt;&gt;"",'Input_Meci'!K15&lt;C15,'Core_Nativ'!T123="DERIVED",'Core_Nativ'!M123&gt;='Core_Nativ'!P117),MIN(1,'Core_Nativ'!M117/'Core_Nativ'!P117)*IF('Core_Nativ'!M117=0,0,'Core_Nativ'!N117)+(1-MIN(1,'Core_Nativ'!M117/'Core_Nativ'!P117))*'Core_Nativ'!N123,"")),""))</x:f>
      </x:c>
      <x:c r="AM15" s="11" t="str">
        <x:f>IF(A15="","",IF(AND('Core_Nativ'!R117="CLOSED",'Core_Nativ'!S117=0),IF('Core_Nativ'!M117&gt;='Core_Nativ'!P117,'Core_Nativ'!O117,IF(AND('Input_Meci'!L15="YES",'Input_Meci'!K15&lt;&gt;"",'Input_Meci'!K15&lt;C15,'Core_Nativ'!T123="DERIVED",'Core_Nativ'!M123&gt;='Core_Nativ'!P117),MIN(1,'Core_Nativ'!M117/'Core_Nativ'!P117)*IF('Core_Nativ'!M117=0,0,'Core_Nativ'!O117)+(1-MIN(1,'Core_Nativ'!M117/'Core_Nativ'!P117))*'Core_Nativ'!O123,"")),""))</x:f>
      </x:c>
      <x:c r="AN15" s="11" t="str">
        <x:f>IF(A15="","",IF(AND('Core_Nativ'!R118="CLOSED",'Core_Nativ'!S118=0),IF('Core_Nativ'!M118&gt;='Core_Nativ'!P118,'Core_Nativ'!N118,IF(AND('Input_Meci'!L15="YES",'Input_Meci'!K15&lt;&gt;"",'Input_Meci'!K15&lt;C15,'Core_Nativ'!T124="DERIVED",'Core_Nativ'!M124&gt;='Core_Nativ'!P118),MIN(1,'Core_Nativ'!M118/'Core_Nativ'!P118)*IF('Core_Nativ'!M118=0,0,'Core_Nativ'!N118)+(1-MIN(1,'Core_Nativ'!M118/'Core_Nativ'!P118))*'Core_Nativ'!N124,"")),""))</x:f>
      </x:c>
      <x:c r="AO15" s="11" t="str">
        <x:f>IF(A15="","",IF(AND('Core_Nativ'!R118="CLOSED",'Core_Nativ'!S118=0),IF('Core_Nativ'!M118&gt;='Core_Nativ'!P118,'Core_Nativ'!O118,IF(AND('Input_Meci'!L15="YES",'Input_Meci'!K15&lt;&gt;"",'Input_Meci'!K15&lt;C15,'Core_Nativ'!T124="DERIVED",'Core_Nativ'!M124&gt;='Core_Nativ'!P118),MIN(1,'Core_Nativ'!M118/'Core_Nativ'!P118)*IF('Core_Nativ'!M118=0,0,'Core_Nativ'!O118)+(1-MIN(1,'Core_Nativ'!M118/'Core_Nativ'!P118))*'Core_Nativ'!O124,"")),""))</x:f>
      </x:c>
      <x:c r="AP15" s="11" t="str">
        <x:f>IF(A15="","",IF(AND('Core_Nativ'!R119="CLOSED",'Core_Nativ'!S119=0),IF('Core_Nativ'!M119&gt;='Core_Nativ'!P119,'Core_Nativ'!N119,IF(AND('Input_Meci'!L15="YES",'Input_Meci'!K15&lt;&gt;"",'Input_Meci'!K15&lt;C15,'Core_Nativ'!T125="DERIVED",'Core_Nativ'!M125&gt;='Core_Nativ'!P119),MIN(1,'Core_Nativ'!M119/'Core_Nativ'!P119)*IF('Core_Nativ'!M119=0,0,'Core_Nativ'!N119)+(1-MIN(1,'Core_Nativ'!M119/'Core_Nativ'!P119))*'Core_Nativ'!N125,"")),""))</x:f>
      </x:c>
      <x:c r="AQ15" s="11" t="str">
        <x:f>IF(A15="","",IF(AND('Core_Nativ'!R119="CLOSED",'Core_Nativ'!S119=0),IF('Core_Nativ'!M119&gt;='Core_Nativ'!P119,'Core_Nativ'!O119,IF(AND('Input_Meci'!L15="YES",'Input_Meci'!K15&lt;&gt;"",'Input_Meci'!K15&lt;C15,'Core_Nativ'!T125="DERIVED",'Core_Nativ'!M125&gt;='Core_Nativ'!P119),MIN(1,'Core_Nativ'!M119/'Core_Nativ'!P119)*IF('Core_Nativ'!M119=0,0,'Core_Nativ'!O119)+(1-MIN(1,'Core_Nativ'!M119/'Core_Nativ'!P119))*'Core_Nativ'!O125,"")),""))</x:f>
      </x:c>
      <x:c r="AR15" s="11" t="str">
        <x:f>IF(A15="","",SUMPRODUCT(('Istoric_Nativ'!$B$6:$B$405=B15)*('Istoric_Nativ'!$C$6:$C$405=BL15)*('Istoric_Nativ'!$P$6:$P$405=1)*('Istoric_Nativ'!$D$6:$D$405&lt;INT(G15))*((('Istoric_Nativ'!$E$6:$E$405='Input_Meci'!D15)+('Istoric_Nativ'!$F$6:$F$405='Input_Meci'!D15)+('Istoric_Nativ'!$E$6:$E$405='Input_Meci'!E15)+('Istoric_Nativ'!$F$6:$F$405='Input_Meci'!E15))&gt;0)))</x:f>
      </x:c>
      <x:c r="AS15" s="11" t="str">
        <x:f>IF(AR15=0,"",SUMPRODUCT(('Istoric_Nativ'!$B$6:$B$405=B15)*('Istoric_Nativ'!$C$6:$C$405=BL15)*('Istoric_Nativ'!$P$6:$P$405=1)*('Istoric_Nativ'!$D$6:$D$405&lt;INT(G15))*((('Istoric_Nativ'!$E$6:$E$405='Input_Meci'!D15)+('Istoric_Nativ'!$F$6:$F$405='Input_Meci'!D15)+('Istoric_Nativ'!$E$6:$E$405='Input_Meci'!E15)+('Istoric_Nativ'!$F$6:$F$405='Input_Meci'!E15))&gt;0)*'Istoric_Nativ'!$Q$6:$Q$405)/AR15)</x:f>
      </x:c>
      <x:c r="AT15" s="11" t="str">
        <x:f>IF(AR15&lt;2,"",MAX(0,(SUMPRODUCT(('Istoric_Nativ'!$B$6:$B$405=B15)*('Istoric_Nativ'!$C$6:$C$405=BL15)*('Istoric_Nativ'!$P$6:$P$405=1)*('Istoric_Nativ'!$D$6:$D$405&lt;INT(G15))*((('Istoric_Nativ'!$E$6:$E$405='Input_Meci'!D15)+('Istoric_Nativ'!$F$6:$F$405='Input_Meci'!D15)+('Istoric_Nativ'!$E$6:$E$405='Input_Meci'!E15)+('Istoric_Nativ'!$F$6:$F$405='Input_Meci'!E15))&gt;0)*'Istoric_Nativ'!$R$6:$R$405)-AR15*AS15^2)/(AR15-1)))</x:f>
      </x:c>
      <x:c r="AU15" s="11" t="str">
        <x:f>IF(I15&lt;&gt;"PASS","",AT15/AS15)</x:f>
      </x:c>
      <x:c r="AV15" s="11" t="str">
        <x:f>IF(I15&lt;&gt;"PASS","",IF(AU15&lt;='Config_v6'!$B$10,"POISSON","NEGATIVE BINOMIAL"))</x:f>
      </x:c>
      <x:c r="AW15" s="11" t="str">
        <x:f>IF(I15&lt;&gt;"PASS","",IF(AV15="POISSON",9999,AS15/(AU15-1)))</x:f>
      </x:c>
      <x:c r="AX15" s="11" t="str">
        <x:f>IF(A15="","",MAX(1-'Config_v6'!$B$20,MIN(1+'Config_v6'!$B$20,1+0.02*(IF(AND(ISNUMBER('Input_Meci'!N15),'Input_Meci'!N15&gt;=0,'Input_Meci'!N15&lt;=200),'Input_Meci'!N15,12)/12-1)+0.02*(IF(AND(ISNUMBER('Input_Meci'!P15),'Input_Meci'!P15&gt;=0,'Input_Meci'!P15&lt;=200),'Input_Meci'!P15,3.5)/3.5-1)+0.02*(IF(AND(ISNUMBER('Input_Meci'!R15),'Input_Meci'!R15&gt;=0,'Input_Meci'!R15&lt;=200),'Input_Meci'!R15,18)/18-1)+0.02*((IF(AND(ISNUMBER('Input_Meci'!V15),'Input_Meci'!V15&gt;=0,'Input_Meci'!V15&lt;=10),'Input_Meci'!V15,5)-5)/5))))</x:f>
      </x:c>
      <x:c r="AY15" s="11" t="str">
        <x:f>IF(A15="","",MAX(1-'Config_v6'!$B$20,MIN(1+'Config_v6'!$B$20,1+0.02*(IF(AND(ISNUMBER('Input_Meci'!O15),'Input_Meci'!O15&gt;=0,'Input_Meci'!O15&lt;=200),'Input_Meci'!O15,12)/12-1)+0.02*(IF(AND(ISNUMBER('Input_Meci'!Q15),'Input_Meci'!Q15&gt;=0,'Input_Meci'!Q15&lt;=200),'Input_Meci'!Q15,3.5)/3.5-1)+0.02*(IF(AND(ISNUMBER('Input_Meci'!S15),'Input_Meci'!S15&gt;=0,'Input_Meci'!S15&lt;=200),'Input_Meci'!S15,18)/18-1)+0.02*((IF(AND(ISNUMBER('Input_Meci'!W15),'Input_Meci'!W15&gt;=0,'Input_Meci'!W15&lt;=10),'Input_Meci'!W15,5)-5)/5))))</x:f>
      </x:c>
      <x:c r="AZ15" s="11" t="str">
        <x:f>IF(A15="","",MAX(1-'Config_v6'!$B$21,MIN(1+'Config_v6'!$B$21,1+0.012*(IF('Input_Meci'!X15="",5,IF(ISNUMBER('Input_Meci'!X15),'Input_Meci'!X15,5))-5)+0.018*(IF('Input_Meci'!Z15="",5,IF(ISNUMBER('Input_Meci'!Z15),'Input_Meci'!Z15,5))-5)+0.012*(IF('Input_Meci'!AB15="",5,IF(ISNUMBER('Input_Meci'!AB15),'Input_Meci'!AB15,5))-5)+0.015*IF('Input_Meci'!AD15="",0,IF(ISNUMBER('Input_Meci'!AD15),'Input_Meci'!AD15,0))+0.02*IF('Input_Meci'!AF15="",0,IF(ISNUMBER('Input_Meci'!AF15),'Input_Meci'!AF15,0)))))</x:f>
      </x:c>
      <x:c r="BA15" s="11" t="str">
        <x:f>IF(A15="","",MAX(1-'Config_v6'!$B$21,MIN(1+'Config_v6'!$B$21,1+0.012*(IF('Input_Meci'!Y15="",5,IF(ISNUMBER('Input_Meci'!Y15),'Input_Meci'!Y15,5))-5)+0.018*(IF('Input_Meci'!AA15="",5,IF(ISNUMBER('Input_Meci'!AA15),'Input_Meci'!AA15,5))-5)+0.012*(IF('Input_Meci'!AC15="",5,IF(ISNUMBER('Input_Meci'!AC15),'Input_Meci'!AC15,5))-5)+0.015*IF('Input_Meci'!AE15="",0,IF(ISNUMBER('Input_Meci'!AE15),'Input_Meci'!AE15,0))+0.02*IF('Input_Meci'!AG15="",0,IF(ISNUMBER('Input_Meci'!AG15),'Input_Meci'!AG15,0)))))</x:f>
      </x:c>
      <x:c r="BB15" s="11" t="str">
        <x:f>IF(I15&lt;&gt;"PASS","",(AVERAGE(AF15,AM15)*'Config_v6'!$B$4+AVERAGE(AH15,AO15)*'Config_v6'!$B$5+AVERAGE(AJ15,AQ15)*'Config_v6'!$B$6)*AX15*AZ15)</x:f>
      </x:c>
      <x:c r="BC15" s="11" t="str">
        <x:f>IF(I15&lt;&gt;"PASS","",(AVERAGE(AL15,AG15)*'Config_v6'!$B$4+AVERAGE(AN15,AI15)*'Config_v6'!$B$5+AVERAGE(AP15,AK15)*'Config_v6'!$B$6)*AY15*BA15)</x:f>
      </x:c>
      <x:c r="BD15" s="11" t="str">
        <x:f>IF(I15&lt;&gt;"PASS","",BB15+BC15)</x:f>
      </x:c>
      <x:c r="BE15" s="11" t="str">
        <x:f>IF(A15="","",10-SUM(IF(AND(ISNUMBER('Input_Meci'!N15),'Input_Meci'!N15&gt;=0,'Input_Meci'!N15&lt;=200),1,0),IF(AND(ISNUMBER('Input_Meci'!O15),'Input_Meci'!O15&gt;=0,'Input_Meci'!O15&lt;=200),1,0),IF(AND(ISNUMBER('Input_Meci'!P15),'Input_Meci'!P15&gt;=0,'Input_Meci'!P15&lt;=200),1,0),IF(AND(ISNUMBER('Input_Meci'!Q15),'Input_Meci'!Q15&gt;=0,'Input_Meci'!Q15&lt;=200),1,0),IF(AND(ISNUMBER('Input_Meci'!R15),'Input_Meci'!R15&gt;=0,'Input_Meci'!R15&lt;=200),1,0),IF(AND(ISNUMBER('Input_Meci'!S15),'Input_Meci'!S15&gt;=0,'Input_Meci'!S15&lt;=200),1,0),IF(AND(ISNUMBER('Input_Meci'!T15),'Input_Meci'!T15&gt;=0,'Input_Meci'!T15&lt;=100),1,0),IF(AND(ISNUMBER('Input_Meci'!U15),'Input_Meci'!U15&gt;=0,'Input_Meci'!U15&lt;=100),1,0),IF(AND(ISNUMBER('Input_Meci'!V15),'Input_Meci'!V15&gt;=0,'Input_Meci'!V15&lt;=10),1,0),IF(AND(ISNUMBER('Input_Meci'!W15),'Input_Meci'!W15&gt;=0,'Input_Meci'!W15&lt;=10),1,0)))</x:f>
      </x:c>
      <x:c r="BF15" s="11" t="str">
        <x:f>IF(I15&lt;&gt;"PASS","",MAX(0,MIN(IF(OR(M15="YES",BL15&lt;&gt;C15),'Config_v6'!$B$34,100),ROUND(40+25*MIN(1,MIN(N15,Q15)/'Config_v6'!$B$7)*MIN(1,MIN(O15,R15)/'Config_v6'!$B$8)*MIN(1,MIN(P15,S15)/'Config_v6'!$B$9)+MAX(0,15-2*ABS(AF15-AJ15)-2*ABS(AL15-AP15))+IF(AU15&lt;='Config_v6'!$B$10,15,IF(AU15&lt;='Config_v6'!$B$11,13,IF(AU15&lt;='Config_v6'!$B$12,10,IF(AU15&lt;='Config_v6'!$B$13,6,0))))+5-BE15/10*'Config_v6'!$B$38,0))))</x:f>
      </x:c>
      <x:c r="BG15" s="11" t="str">
        <x:f>IF(I15&lt;&gt;"PASS","",MIN(1,'Config_v6'!$B$14*(0.7+0.3*MIN(1,AR15/'Config_v6'!$B$15))*IF(AU15&lt;='Config_v6'!$B$10,1,IF(AU15&lt;='Config_v6'!$B$11,0.95,IF(AU15&lt;='Config_v6'!$B$12,0.88,0.78)))*(0.75+0.25*BF15/100)))</x:f>
      </x:c>
      <x:c r="BH15" s="11" t="str">
        <x:f>IF(I15&lt;&gt;"PASS","",MIN(1,(ABS(AZ15-1)+ABS(BA15-1))*3))</x:f>
      </x:c>
      <x:c r="BI15" s="2" t="str">
        <x:f>IF(A15="","",IF(AND(OR('Input_Meci'!X15="",AND(ISNUMBER('Input_Meci'!X15),'Input_Meci'!X15&gt;=0,'Input_Meci'!X15&lt;=10)),OR('Input_Meci'!Y15="",AND(ISNUMBER('Input_Meci'!Y15),'Input_Meci'!Y15&gt;=0,'Input_Meci'!Y15&lt;=10)),OR('Input_Meci'!Z15="",AND(ISNUMBER('Input_Meci'!Z15),'Input_Meci'!Z15&gt;=0,'Input_Meci'!Z15&lt;=10)),OR('Input_Meci'!AA15="",AND(ISNUMBER('Input_Meci'!AA15),'Input_Meci'!AA15&gt;=0,'Input_Meci'!AA15&lt;=10)),OR('Input_Meci'!AB15="",AND(ISNUMBER('Input_Meci'!AB15),'Input_Meci'!AB15&gt;=0,'Input_Meci'!AB15&lt;=10)),OR('Input_Meci'!AC15="",AND(ISNUMBER('Input_Meci'!AC15),'Input_Meci'!AC15&gt;=0,'Input_Meci'!AC15&lt;=10)),OR('Input_Meci'!AD15="",AND(ISNUMBER('Input_Meci'!AD15),'Input_Meci'!AD15&gt;=-2,'Input_Meci'!AD15&lt;=2)),OR('Input_Meci'!AE15="",AND(ISNUMBER('Input_Meci'!AE15),'Input_Meci'!AE15&gt;=-2,'Input_Meci'!AE15&lt;=2)),OR('Input_Meci'!AF15="",AND(ISNUMBER('Input_Meci'!AF15),'Input_Meci'!AF15&gt;=-2,'Input_Meci'!AF15&lt;=2)),OR('Input_Meci'!AG15="",AND(ISNUMBER('Input_Meci'!AG15),'Input_Meci'!AG15&gt;=-2,'Input_Meci'!AG15&lt;=2))),"VALID","INVALID"))</x:f>
      </x:c>
      <x:c r="BJ15" s="2" t="n">
        <x:f>IF(A15="",0,SUM('Core_Nativ'!S114:S119))</x:f>
        <x:v>0</x:v>
      </x:c>
      <x:c r="BK15" s="2" t="str">
        <x:f>'Config_v6'!$B$40</x:f>
        <x:v>VALID</x:v>
      </x:c>
      <x:c r="BL15" s="2" t="str">
        <x:f>IF(A15="","",IF(SUMPRODUCT(('Istoric_Nativ'!$B$6:$B$405=B15)*('Istoric_Nativ'!$C$6:$C$405=C15)*('Istoric_Nativ'!$P$6:$P$405=1)*('Istoric_Nativ'!$D$6:$D$405&lt;INT(G15))*((('Istoric_Nativ'!$E$6:$E$405='Input_Meci'!D15)+('Istoric_Nativ'!$F$6:$F$405='Input_Meci'!D15)+('Istoric_Nativ'!$E$6:$E$405='Input_Meci'!E15)+('Istoric_Nativ'!$F$6:$F$405='Input_Meci'!E15))&gt;0))&gt;='Config_v6'!$B$41,C15,IF(AND('Input_Meci'!L15="YES",'Input_Meci'!K15&lt;&gt;"",'Input_Meci'!K15&lt;C15,COUNTIF('Core_Nativ'!R120:R125,"CLOSED")=6,SUM('Core_Nativ'!S120:S125)=0),'Input_Meci'!K15,C15)))</x:f>
      </x:c>
      <x:c r="BM15" s="9" t="n">
        <x:f>IF(OR(A15="",N15=0),0,LARGE(_xlfn._xlws.FILTER('Istoric_Nativ'!$D$6:$D$405,('Istoric_Nativ'!$B$6:$B$405=B15)*('Istoric_Nativ'!$C$6:$C$405=C15)*('Istoric_Nativ'!$P$6:$P$405=1)*('Istoric_Nativ'!$D$6:$D$405&lt;INT(G15))*((('Istoric_Nativ'!$E$6:$E$405='Input_Meci'!D15)+('Istoric_Nativ'!$F$6:$F$405='Input_Meci'!D15))&gt;0)),MIN(10,N15)))</x:f>
        <x:v>0</x:v>
      </x:c>
      <x:c r="BN15" s="9" t="n">
        <x:f>IF(OR(A15="",Q15=0),0,LARGE(_xlfn._xlws.FILTER('Istoric_Nativ'!$D$6:$D$405,('Istoric_Nativ'!$B$6:$B$405=B15)*('Istoric_Nativ'!$C$6:$C$405=C15)*('Istoric_Nativ'!$P$6:$P$405=1)*('Istoric_Nativ'!$D$6:$D$405&lt;INT(G15))*((('Istoric_Nativ'!$E$6:$E$405='Input_Meci'!E15)+('Istoric_Nativ'!$F$6:$F$405='Input_Meci'!E15))&gt;0)),MIN(10,Q15)))</x:f>
        <x:v>0</x:v>
      </x:c>
      <x:c r="BO15" s="9" t="n">
        <x:f>IF(OR(A15="",N15=0),0,LARGE(_xlfn._xlws.FILTER('Istoric_Nativ'!$D$6:$D$405,('Istoric_Nativ'!$B$6:$B$405=B15)*('Istoric_Nativ'!$C$6:$C$405=C15)*('Istoric_Nativ'!$P$6:$P$405=1)*('Istoric_Nativ'!$D$6:$D$405&lt;INT(G15))*((('Istoric_Nativ'!$E$6:$E$405='Input_Meci'!D15)+('Istoric_Nativ'!$F$6:$F$405='Input_Meci'!D15))&gt;0)),MIN(20,N15)))</x:f>
        <x:v>0</x:v>
      </x:c>
      <x:c r="BP15" s="9" t="n">
        <x:f>IF(OR(A15="",Q15=0),0,LARGE(_xlfn._xlws.FILTER('Istoric_Nativ'!$D$6:$D$405,('Istoric_Nativ'!$B$6:$B$405=B15)*('Istoric_Nativ'!$C$6:$C$405=C15)*('Istoric_Nativ'!$P$6:$P$405=1)*('Istoric_Nativ'!$D$6:$D$405&lt;INT(G15))*((('Istoric_Nativ'!$E$6:$E$405='Input_Meci'!E15)+('Istoric_Nativ'!$F$6:$F$405='Input_Meci'!E15))&gt;0)),MIN(20,Q15)))</x:f>
        <x:v>0</x:v>
      </x:c>
      <x:c r="BQ15" s="2" t="str">
        <x:f>IF(A15="","",IF(AND(COUNTIF(MatchesTable[Match_ID],A15)=1,COUNTIFS(MatchesTable[League],B15,MatchesTable[Season],C15,MatchesTable[Home],'Input_Meci'!D15,MatchesTable[Away],'Input_Meci'!E15,MatchesTable[Kickoff_UTC],F15)=1,B15&lt;&gt;"",C15&lt;&gt;"",'Input_Meci'!D15&lt;&gt;"",'Input_Meci'!E15&lt;&gt;"",'Input_Meci'!D15&lt;&gt;'Input_Meci'!E15,ISNUMBER(F15),ISNUMBER(G15),G15&lt;F15,OR(E15="LIVE",E15="REPLAY"),OR('Input_Meci'!L15="YES",'Input_Meci'!L15="NO",'Input_Meci'!L15="")),"VALID","INVALID"))</x:f>
      </x:c>
      <x:c r="BR15" s="2" t="n">
        <x:f>IF(I15&lt;&gt;"PASS",0,SUMPRODUCT(('Istoric_Nativ'!$B$6:$B$405='Input_Meci'!B15)*('Istoric_Nativ'!$C$6:$C$405='Input_Meci'!C15)*('Istoric_Nativ'!$P$6:$P$405=1)*('Istoric_Nativ'!$D$6:$D$405&lt;INT('Input_Meci'!G15))*((('Istoric_Nativ'!$E$6:$E$405='Input_Meci'!D15)+('Istoric_Nativ'!$F$6:$F$405='Input_Meci'!E15))&gt;0)))</x:f>
        <x:v>0</x:v>
      </x:c>
      <x:c r="BS15" s="2" t="n">
        <x:f>IF(I15&lt;&gt;"PASS",0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BM15)+((('Istoric_Nativ'!$E$6:$E$405='Input_Meci'!E15)+('Istoric_Nativ'!$F$6:$F$405='Input_Meci'!E15))&gt;0)*('Istoric_Nativ'!$D$6:$D$405&gt;=BN15))&gt;0)))</x:f>
        <x:v>0</x:v>
      </x:c>
      <x:c r="BT15" s="2" t="n">
        <x:f>IF(I15&lt;&gt;"PASS",0,SUMPRODUCT(('Istoric_Nativ'!$B$6:$B$405='Input_Meci'!B15)*('Istoric_Nativ'!$C$6:$C$405='Input_Meci'!C15)*('Istoric_Nativ'!$P$6:$P$405=1)*('Istoric_Nativ'!$D$6:$D$405&lt;INT('Input_Meci'!G15))*((((('Istoric_Nativ'!$E$6:$E$405='Input_Meci'!D15)+('Istoric_Nativ'!$F$6:$F$405='Input_Meci'!D15))&gt;0)*('Istoric_Nativ'!$D$6:$D$405&gt;=BO15)+((('Istoric_Nativ'!$E$6:$E$405='Input_Meci'!E15)+('Istoric_Nativ'!$F$6:$F$405='Input_Meci'!E15))&gt;0)*('Istoric_Nativ'!$D$6:$D$405&gt;=BP15))&gt;0)))</x:f>
        <x:v>0</x:v>
      </x:c>
    </x:row>
    <x:row r="16" ht="21" customHeight="1">
      <x:c r="A16" s="2" t="str">
        <x:f>IF('Input_Meci'!A16="","",'Input_Meci'!A16)</x:f>
      </x:c>
      <x:c r="B16" s="2" t="str">
        <x:f>IF(A16="","",'Input_Meci'!B16)</x:f>
      </x:c>
      <x:c r="C16" s="2" t="str">
        <x:f>IF(A16="","",'Input_Meci'!C16)</x:f>
      </x:c>
      <x:c r="D16" s="2" t="str">
        <x:f>IF(A16="","",'Input_Meci'!D16&amp;" – "&amp;'Input_Meci'!E16)</x:f>
      </x:c>
      <x:c r="E16" s="2" t="str">
        <x:f>IF(A16="","",'Input_Meci'!H16)</x:f>
      </x:c>
      <x:c r="F16" s="9" t="str">
        <x:f>IF(A16="","",'Input_Meci'!F16)</x:f>
      </x:c>
      <x:c r="G16" s="9" t="str">
        <x:f>IF(A16="","",'Input_Meci'!G16)</x:f>
      </x:c>
      <x:c r="H16" s="2" t="str">
        <x:f>IF(A16="","",IF(BQ16&lt;&gt;"VALID","NOT RELEASED",IF(AND(OR('Input_Meci'!I16="NOT AVAILABLE",'Input_Meci'!I16="SOURCE CONFLICT"),'Input_Meci'!J16&lt;&gt;""),"READY",IF(OR(NOT(OR('Input_Meci'!I16="AUTO",'Input_Meci'!I16="")),COUNTIF('Core_Nativ'!R126:R131,"CLOSED")&lt;&gt;6,BJ16&gt;0),"NOT RELEASED","READY"))))</x:f>
      </x:c>
      <x:c r="I16" s="2" t="str">
        <x:f>IF(A16="","",IF(H16&lt;&gt;"READY","NOT RELEASED",IF(AND(NOT(OR('Input_Meci'!I16="NOT AVAILABLE",'Input_Meci'!I16="SOURCE CONFLICT")),L16=12,AR16&gt;=2,AS16&gt;0,ISNUMBER(AT16),BI16="VALID",BK16="VALID"),"PASS","FAIL")))</x:f>
      </x:c>
      <x:c r="J16" s="2" t="str">
        <x:f>IF(A16="","",IF(BQ16&lt;&gt;"VALID","Verifica ID, echipe, mod si cutoff &lt; kickoff",IF(H16&lt;&gt;"READY",IF('Input_Meci'!I16="ACCESS BLOCKED","Acces blocat: reia sursele",IF(BJ16&gt;0,"Istoric invalid sau conflict: verifica randurile native","Surse neinchise / post-cutoff / dovezi incomplete")),IF(OR('Input_Meci'!I16="NOT AVAILABLE",'Input_Meci'!I16="SOURCE CONFLICT"),'Input_Meci'!I16,IF(BK16&lt;&gt;"VALID","Parametri invalizi",IF(L16&lt;&gt;12,"Core / sample / prior insuficient",IF(AR16&lt;2,"N insuficient pentru dispersie",IF(AS16&lt;=0,"Media istorica trebuie sa fie pozitiva",IF(BI16&lt;&gt;"VALID","Context invalid","READY")))))))))</x:f>
      </x:c>
      <x:c r="K16" s="2" t="str">
        <x:f>IF(A16="","",COUNT(T16:AE16))</x:f>
      </x:c>
      <x:c r="L16" s="2" t="str">
        <x:f>IF(A16="","",COUNT(AF16:AQ16))</x:f>
      </x:c>
      <x:c r="M16" s="2" t="str">
        <x:f>IF(A16="","",IF(OR('Core_Nativ'!M126&lt;'Core_Nativ'!P126,'Core_Nativ'!M127&lt;'Core_Nativ'!P127,'Core_Nativ'!M128&lt;'Core_Nativ'!P128,'Core_Nativ'!M129&lt;'Core_Nativ'!P129,'Core_Nativ'!M130&lt;'Core_Nativ'!P130,'Core_Nativ'!M131&lt;'Core_Nativ'!P131),"YES","NO"))</x:f>
      </x:c>
      <x:c r="N16" s="2" t="str">
        <x:f>IF(A16="","",'Core_Nativ'!M126)</x:f>
      </x:c>
      <x:c r="O16" s="2" t="str">
        <x:f>IF(A16="","",'Core_Nativ'!M127)</x:f>
      </x:c>
      <x:c r="P16" s="2" t="str">
        <x:f>IF(A16="","",'Core_Nativ'!M128)</x:f>
      </x:c>
      <x:c r="Q16" s="2" t="str">
        <x:f>IF(A16="","",'Core_Nativ'!M129)</x:f>
      </x:c>
      <x:c r="R16" s="2" t="str">
        <x:f>IF(A16="","",'Core_Nativ'!M130)</x:f>
      </x:c>
      <x:c r="S16" s="2" t="str">
        <x:f>IF(A16="","",'Core_Nativ'!M131)</x:f>
      </x:c>
      <x:c r="T16" s="11" t="str">
        <x:f>IF(OR(A16="",'Core_Nativ'!M126=0),"",'Core_Nativ'!N126)</x:f>
      </x:c>
      <x:c r="U16" s="11" t="str">
        <x:f>IF(OR(A16="",'Core_Nativ'!M126=0),"",'Core_Nativ'!O126)</x:f>
      </x:c>
      <x:c r="V16" s="11" t="str">
        <x:f>IF(OR(A16="",'Core_Nativ'!M127=0),"",'Core_Nativ'!N127)</x:f>
      </x:c>
      <x:c r="W16" s="11" t="str">
        <x:f>IF(OR(A16="",'Core_Nativ'!M127=0),"",'Core_Nativ'!O127)</x:f>
      </x:c>
      <x:c r="X16" s="11" t="str">
        <x:f>IF(OR(A16="",'Core_Nativ'!M128=0),"",'Core_Nativ'!N128)</x:f>
      </x:c>
      <x:c r="Y16" s="11" t="str">
        <x:f>IF(OR(A16="",'Core_Nativ'!M128=0),"",'Core_Nativ'!O128)</x:f>
      </x:c>
      <x:c r="Z16" s="11" t="str">
        <x:f>IF(OR(A16="",'Core_Nativ'!M129=0),"",'Core_Nativ'!N129)</x:f>
      </x:c>
      <x:c r="AA16" s="11" t="str">
        <x:f>IF(OR(A16="",'Core_Nativ'!M129=0),"",'Core_Nativ'!O129)</x:f>
      </x:c>
      <x:c r="AB16" s="11" t="str">
        <x:f>IF(OR(A16="",'Core_Nativ'!M130=0),"",'Core_Nativ'!N130)</x:f>
      </x:c>
      <x:c r="AC16" s="11" t="str">
        <x:f>IF(OR(A16="",'Core_Nativ'!M130=0),"",'Core_Nativ'!O130)</x:f>
      </x:c>
      <x:c r="AD16" s="11" t="str">
        <x:f>IF(OR(A16="",'Core_Nativ'!M131=0),"",'Core_Nativ'!N131)</x:f>
      </x:c>
      <x:c r="AE16" s="11" t="str">
        <x:f>IF(OR(A16="",'Core_Nativ'!M131=0),"",'Core_Nativ'!O131)</x:f>
      </x:c>
      <x:c r="AF16" s="11" t="str">
        <x:f>IF(A16="","",IF(AND('Core_Nativ'!R126="CLOSED",'Core_Nativ'!S126=0),IF('Core_Nativ'!M126&gt;='Core_Nativ'!P126,'Core_Nativ'!N126,IF(AND('Input_Meci'!L16="YES",'Input_Meci'!K16&lt;&gt;"",'Input_Meci'!K16&lt;C16,'Core_Nativ'!T132="DERIVED",'Core_Nativ'!M132&gt;='Core_Nativ'!P126),MIN(1,'Core_Nativ'!M126/'Core_Nativ'!P126)*IF('Core_Nativ'!M126=0,0,'Core_Nativ'!N126)+(1-MIN(1,'Core_Nativ'!M126/'Core_Nativ'!P126))*'Core_Nativ'!N132,"")),""))</x:f>
      </x:c>
      <x:c r="AG16" s="11" t="str">
        <x:f>IF(A16="","",IF(AND('Core_Nativ'!R126="CLOSED",'Core_Nativ'!S126=0),IF('Core_Nativ'!M126&gt;='Core_Nativ'!P126,'Core_Nativ'!O126,IF(AND('Input_Meci'!L16="YES",'Input_Meci'!K16&lt;&gt;"",'Input_Meci'!K16&lt;C16,'Core_Nativ'!T132="DERIVED",'Core_Nativ'!M132&gt;='Core_Nativ'!P126),MIN(1,'Core_Nativ'!M126/'Core_Nativ'!P126)*IF('Core_Nativ'!M126=0,0,'Core_Nativ'!O126)+(1-MIN(1,'Core_Nativ'!M126/'Core_Nativ'!P126))*'Core_Nativ'!O132,"")),""))</x:f>
      </x:c>
      <x:c r="AH16" s="11" t="str">
        <x:f>IF(A16="","",IF(AND('Core_Nativ'!R127="CLOSED",'Core_Nativ'!S127=0),IF('Core_Nativ'!M127&gt;='Core_Nativ'!P127,'Core_Nativ'!N127,IF(AND('Input_Meci'!L16="YES",'Input_Meci'!K16&lt;&gt;"",'Input_Meci'!K16&lt;C16,'Core_Nativ'!T133="DERIVED",'Core_Nativ'!M133&gt;='Core_Nativ'!P127),MIN(1,'Core_Nativ'!M127/'Core_Nativ'!P127)*IF('Core_Nativ'!M127=0,0,'Core_Nativ'!N127)+(1-MIN(1,'Core_Nativ'!M127/'Core_Nativ'!P127))*'Core_Nativ'!N133,"")),""))</x:f>
      </x:c>
      <x:c r="AI16" s="11" t="str">
        <x:f>IF(A16="","",IF(AND('Core_Nativ'!R127="CLOSED",'Core_Nativ'!S127=0),IF('Core_Nativ'!M127&gt;='Core_Nativ'!P127,'Core_Nativ'!O127,IF(AND('Input_Meci'!L16="YES",'Input_Meci'!K16&lt;&gt;"",'Input_Meci'!K16&lt;C16,'Core_Nativ'!T133="DERIVED",'Core_Nativ'!M133&gt;='Core_Nativ'!P127),MIN(1,'Core_Nativ'!M127/'Core_Nativ'!P127)*IF('Core_Nativ'!M127=0,0,'Core_Nativ'!O127)+(1-MIN(1,'Core_Nativ'!M127/'Core_Nativ'!P127))*'Core_Nativ'!O133,"")),""))</x:f>
      </x:c>
      <x:c r="AJ16" s="11" t="str">
        <x:f>IF(A16="","",IF(AND('Core_Nativ'!R128="CLOSED",'Core_Nativ'!S128=0),IF('Core_Nativ'!M128&gt;='Core_Nativ'!P128,'Core_Nativ'!N128,IF(AND('Input_Meci'!L16="YES",'Input_Meci'!K16&lt;&gt;"",'Input_Meci'!K16&lt;C16,'Core_Nativ'!T134="DERIVED",'Core_Nativ'!M134&gt;='Core_Nativ'!P128),MIN(1,'Core_Nativ'!M128/'Core_Nativ'!P128)*IF('Core_Nativ'!M128=0,0,'Core_Nativ'!N128)+(1-MIN(1,'Core_Nativ'!M128/'Core_Nativ'!P128))*'Core_Nativ'!N134,"")),""))</x:f>
      </x:c>
      <x:c r="AK16" s="11" t="str">
        <x:f>IF(A16="","",IF(AND('Core_Nativ'!R128="CLOSED",'Core_Nativ'!S128=0),IF('Core_Nativ'!M128&gt;='Core_Nativ'!P128,'Core_Nativ'!O128,IF(AND('Input_Meci'!L16="YES",'Input_Meci'!K16&lt;&gt;"",'Input_Meci'!K16&lt;C16,'Core_Nativ'!T134="DERIVED",'Core_Nativ'!M134&gt;='Core_Nativ'!P128),MIN(1,'Core_Nativ'!M128/'Core_Nativ'!P128)*IF('Core_Nativ'!M128=0,0,'Core_Nativ'!O128)+(1-MIN(1,'Core_Nativ'!M128/'Core_Nativ'!P128))*'Core_Nativ'!O134,"")),""))</x:f>
      </x:c>
      <x:c r="AL16" s="11" t="str">
        <x:f>IF(A16="","",IF(AND('Core_Nativ'!R129="CLOSED",'Core_Nativ'!S129=0),IF('Core_Nativ'!M129&gt;='Core_Nativ'!P129,'Core_Nativ'!N129,IF(AND('Input_Meci'!L16="YES",'Input_Meci'!K16&lt;&gt;"",'Input_Meci'!K16&lt;C16,'Core_Nativ'!T135="DERIVED",'Core_Nativ'!M135&gt;='Core_Nativ'!P129),MIN(1,'Core_Nativ'!M129/'Core_Nativ'!P129)*IF('Core_Nativ'!M129=0,0,'Core_Nativ'!N129)+(1-MIN(1,'Core_Nativ'!M129/'Core_Nativ'!P129))*'Core_Nativ'!N135,"")),""))</x:f>
      </x:c>
      <x:c r="AM16" s="11" t="str">
        <x:f>IF(A16="","",IF(AND('Core_Nativ'!R129="CLOSED",'Core_Nativ'!S129=0),IF('Core_Nativ'!M129&gt;='Core_Nativ'!P129,'Core_Nativ'!O129,IF(AND('Input_Meci'!L16="YES",'Input_Meci'!K16&lt;&gt;"",'Input_Meci'!K16&lt;C16,'Core_Nativ'!T135="DERIVED",'Core_Nativ'!M135&gt;='Core_Nativ'!P129),MIN(1,'Core_Nativ'!M129/'Core_Nativ'!P129)*IF('Core_Nativ'!M129=0,0,'Core_Nativ'!O129)+(1-MIN(1,'Core_Nativ'!M129/'Core_Nativ'!P129))*'Core_Nativ'!O135,"")),""))</x:f>
      </x:c>
      <x:c r="AN16" s="11" t="str">
        <x:f>IF(A16="","",IF(AND('Core_Nativ'!R130="CLOSED",'Core_Nativ'!S130=0),IF('Core_Nativ'!M130&gt;='Core_Nativ'!P130,'Core_Nativ'!N130,IF(AND('Input_Meci'!L16="YES",'Input_Meci'!K16&lt;&gt;"",'Input_Meci'!K16&lt;C16,'Core_Nativ'!T136="DERIVED",'Core_Nativ'!M136&gt;='Core_Nativ'!P130),MIN(1,'Core_Nativ'!M130/'Core_Nativ'!P130)*IF('Core_Nativ'!M130=0,0,'Core_Nativ'!N130)+(1-MIN(1,'Core_Nativ'!M130/'Core_Nativ'!P130))*'Core_Nativ'!N136,"")),""))</x:f>
      </x:c>
      <x:c r="AO16" s="11" t="str">
        <x:f>IF(A16="","",IF(AND('Core_Nativ'!R130="CLOSED",'Core_Nativ'!S130=0),IF('Core_Nativ'!M130&gt;='Core_Nativ'!P130,'Core_Nativ'!O130,IF(AND('Input_Meci'!L16="YES",'Input_Meci'!K16&lt;&gt;"",'Input_Meci'!K16&lt;C16,'Core_Nativ'!T136="DERIVED",'Core_Nativ'!M136&gt;='Core_Nativ'!P130),MIN(1,'Core_Nativ'!M130/'Core_Nativ'!P130)*IF('Core_Nativ'!M130=0,0,'Core_Nativ'!O130)+(1-MIN(1,'Core_Nativ'!M130/'Core_Nativ'!P130))*'Core_Nativ'!O136,"")),""))</x:f>
      </x:c>
      <x:c r="AP16" s="11" t="str">
        <x:f>IF(A16="","",IF(AND('Core_Nativ'!R131="CLOSED",'Core_Nativ'!S131=0),IF('Core_Nativ'!M131&gt;='Core_Nativ'!P131,'Core_Nativ'!N131,IF(AND('Input_Meci'!L16="YES",'Input_Meci'!K16&lt;&gt;"",'Input_Meci'!K16&lt;C16,'Core_Nativ'!T137="DERIVED",'Core_Nativ'!M137&gt;='Core_Nativ'!P131),MIN(1,'Core_Nativ'!M131/'Core_Nativ'!P131)*IF('Core_Nativ'!M131=0,0,'Core_Nativ'!N131)+(1-MIN(1,'Core_Nativ'!M131/'Core_Nativ'!P131))*'Core_Nativ'!N137,"")),""))</x:f>
      </x:c>
      <x:c r="AQ16" s="11" t="str">
        <x:f>IF(A16="","",IF(AND('Core_Nativ'!R131="CLOSED",'Core_Nativ'!S131=0),IF('Core_Nativ'!M131&gt;='Core_Nativ'!P131,'Core_Nativ'!O131,IF(AND('Input_Meci'!L16="YES",'Input_Meci'!K16&lt;&gt;"",'Input_Meci'!K16&lt;C16,'Core_Nativ'!T137="DERIVED",'Core_Nativ'!M137&gt;='Core_Nativ'!P131),MIN(1,'Core_Nativ'!M131/'Core_Nativ'!P131)*IF('Core_Nativ'!M131=0,0,'Core_Nativ'!O131)+(1-MIN(1,'Core_Nativ'!M131/'Core_Nativ'!P131))*'Core_Nativ'!O137,"")),""))</x:f>
      </x:c>
      <x:c r="AR16" s="11" t="str">
        <x:f>IF(A16="","",SUMPRODUCT(('Istoric_Nativ'!$B$6:$B$405=B16)*('Istoric_Nativ'!$C$6:$C$405=BL16)*('Istoric_Nativ'!$P$6:$P$405=1)*('Istoric_Nativ'!$D$6:$D$405&lt;INT(G16))*((('Istoric_Nativ'!$E$6:$E$405='Input_Meci'!D16)+('Istoric_Nativ'!$F$6:$F$405='Input_Meci'!D16)+('Istoric_Nativ'!$E$6:$E$405='Input_Meci'!E16)+('Istoric_Nativ'!$F$6:$F$405='Input_Meci'!E16))&gt;0)))</x:f>
      </x:c>
      <x:c r="AS16" s="11" t="str">
        <x:f>IF(AR16=0,"",SUMPRODUCT(('Istoric_Nativ'!$B$6:$B$405=B16)*('Istoric_Nativ'!$C$6:$C$405=BL16)*('Istoric_Nativ'!$P$6:$P$405=1)*('Istoric_Nativ'!$D$6:$D$405&lt;INT(G16))*((('Istoric_Nativ'!$E$6:$E$405='Input_Meci'!D16)+('Istoric_Nativ'!$F$6:$F$405='Input_Meci'!D16)+('Istoric_Nativ'!$E$6:$E$405='Input_Meci'!E16)+('Istoric_Nativ'!$F$6:$F$405='Input_Meci'!E16))&gt;0)*'Istoric_Nativ'!$Q$6:$Q$405)/AR16)</x:f>
      </x:c>
      <x:c r="AT16" s="11" t="str">
        <x:f>IF(AR16&lt;2,"",MAX(0,(SUMPRODUCT(('Istoric_Nativ'!$B$6:$B$405=B16)*('Istoric_Nativ'!$C$6:$C$405=BL16)*('Istoric_Nativ'!$P$6:$P$405=1)*('Istoric_Nativ'!$D$6:$D$405&lt;INT(G16))*((('Istoric_Nativ'!$E$6:$E$405='Input_Meci'!D16)+('Istoric_Nativ'!$F$6:$F$405='Input_Meci'!D16)+('Istoric_Nativ'!$E$6:$E$405='Input_Meci'!E16)+('Istoric_Nativ'!$F$6:$F$405='Input_Meci'!E16))&gt;0)*'Istoric_Nativ'!$R$6:$R$405)-AR16*AS16^2)/(AR16-1)))</x:f>
      </x:c>
      <x:c r="AU16" s="11" t="str">
        <x:f>IF(I16&lt;&gt;"PASS","",AT16/AS16)</x:f>
      </x:c>
      <x:c r="AV16" s="11" t="str">
        <x:f>IF(I16&lt;&gt;"PASS","",IF(AU16&lt;='Config_v6'!$B$10,"POISSON","NEGATIVE BINOMIAL"))</x:f>
      </x:c>
      <x:c r="AW16" s="11" t="str">
        <x:f>IF(I16&lt;&gt;"PASS","",IF(AV16="POISSON",9999,AS16/(AU16-1)))</x:f>
      </x:c>
      <x:c r="AX16" s="11" t="str">
        <x:f>IF(A16="","",MAX(1-'Config_v6'!$B$20,MIN(1+'Config_v6'!$B$20,1+0.02*(IF(AND(ISNUMBER('Input_Meci'!N16),'Input_Meci'!N16&gt;=0,'Input_Meci'!N16&lt;=200),'Input_Meci'!N16,12)/12-1)+0.02*(IF(AND(ISNUMBER('Input_Meci'!P16),'Input_Meci'!P16&gt;=0,'Input_Meci'!P16&lt;=200),'Input_Meci'!P16,3.5)/3.5-1)+0.02*(IF(AND(ISNUMBER('Input_Meci'!R16),'Input_Meci'!R16&gt;=0,'Input_Meci'!R16&lt;=200),'Input_Meci'!R16,18)/18-1)+0.02*((IF(AND(ISNUMBER('Input_Meci'!V16),'Input_Meci'!V16&gt;=0,'Input_Meci'!V16&lt;=10),'Input_Meci'!V16,5)-5)/5))))</x:f>
      </x:c>
      <x:c r="AY16" s="11" t="str">
        <x:f>IF(A16="","",MAX(1-'Config_v6'!$B$20,MIN(1+'Config_v6'!$B$20,1+0.02*(IF(AND(ISNUMBER('Input_Meci'!O16),'Input_Meci'!O16&gt;=0,'Input_Meci'!O16&lt;=200),'Input_Meci'!O16,12)/12-1)+0.02*(IF(AND(ISNUMBER('Input_Meci'!Q16),'Input_Meci'!Q16&gt;=0,'Input_Meci'!Q16&lt;=200),'Input_Meci'!Q16,3.5)/3.5-1)+0.02*(IF(AND(ISNUMBER('Input_Meci'!S16),'Input_Meci'!S16&gt;=0,'Input_Meci'!S16&lt;=200),'Input_Meci'!S16,18)/18-1)+0.02*((IF(AND(ISNUMBER('Input_Meci'!W16),'Input_Meci'!W16&gt;=0,'Input_Meci'!W16&lt;=10),'Input_Meci'!W16,5)-5)/5))))</x:f>
      </x:c>
      <x:c r="AZ16" s="11" t="str">
        <x:f>IF(A16="","",MAX(1-'Config_v6'!$B$21,MIN(1+'Config_v6'!$B$21,1+0.012*(IF('Input_Meci'!X16="",5,IF(ISNUMBER('Input_Meci'!X16),'Input_Meci'!X16,5))-5)+0.018*(IF('Input_Meci'!Z16="",5,IF(ISNUMBER('Input_Meci'!Z16),'Input_Meci'!Z16,5))-5)+0.012*(IF('Input_Meci'!AB16="",5,IF(ISNUMBER('Input_Meci'!AB16),'Input_Meci'!AB16,5))-5)+0.015*IF('Input_Meci'!AD16="",0,IF(ISNUMBER('Input_Meci'!AD16),'Input_Meci'!AD16,0))+0.02*IF('Input_Meci'!AF16="",0,IF(ISNUMBER('Input_Meci'!AF16),'Input_Meci'!AF16,0)))))</x:f>
      </x:c>
      <x:c r="BA16" s="11" t="str">
        <x:f>IF(A16="","",MAX(1-'Config_v6'!$B$21,MIN(1+'Config_v6'!$B$21,1+0.012*(IF('Input_Meci'!Y16="",5,IF(ISNUMBER('Input_Meci'!Y16),'Input_Meci'!Y16,5))-5)+0.018*(IF('Input_Meci'!AA16="",5,IF(ISNUMBER('Input_Meci'!AA16),'Input_Meci'!AA16,5))-5)+0.012*(IF('Input_Meci'!AC16="",5,IF(ISNUMBER('Input_Meci'!AC16),'Input_Meci'!AC16,5))-5)+0.015*IF('Input_Meci'!AE16="",0,IF(ISNUMBER('Input_Meci'!AE16),'Input_Meci'!AE16,0))+0.02*IF('Input_Meci'!AG16="",0,IF(ISNUMBER('Input_Meci'!AG16),'Input_Meci'!AG16,0)))))</x:f>
      </x:c>
      <x:c r="BB16" s="11" t="str">
        <x:f>IF(I16&lt;&gt;"PASS","",(AVERAGE(AF16,AM16)*'Config_v6'!$B$4+AVERAGE(AH16,AO16)*'Config_v6'!$B$5+AVERAGE(AJ16,AQ16)*'Config_v6'!$B$6)*AX16*AZ16)</x:f>
      </x:c>
      <x:c r="BC16" s="11" t="str">
        <x:f>IF(I16&lt;&gt;"PASS","",(AVERAGE(AL16,AG16)*'Config_v6'!$B$4+AVERAGE(AN16,AI16)*'Config_v6'!$B$5+AVERAGE(AP16,AK16)*'Config_v6'!$B$6)*AY16*BA16)</x:f>
      </x:c>
      <x:c r="BD16" s="11" t="str">
        <x:f>IF(I16&lt;&gt;"PASS","",BB16+BC16)</x:f>
      </x:c>
      <x:c r="BE16" s="11" t="str">
        <x:f>IF(A16="","",10-SUM(IF(AND(ISNUMBER('Input_Meci'!N16),'Input_Meci'!N16&gt;=0,'Input_Meci'!N16&lt;=200),1,0),IF(AND(ISNUMBER('Input_Meci'!O16),'Input_Meci'!O16&gt;=0,'Input_Meci'!O16&lt;=200),1,0),IF(AND(ISNUMBER('Input_Meci'!P16),'Input_Meci'!P16&gt;=0,'Input_Meci'!P16&lt;=200),1,0),IF(AND(ISNUMBER('Input_Meci'!Q16),'Input_Meci'!Q16&gt;=0,'Input_Meci'!Q16&lt;=200),1,0),IF(AND(ISNUMBER('Input_Meci'!R16),'Input_Meci'!R16&gt;=0,'Input_Meci'!R16&lt;=200),1,0),IF(AND(ISNUMBER('Input_Meci'!S16),'Input_Meci'!S16&gt;=0,'Input_Meci'!S16&lt;=200),1,0),IF(AND(ISNUMBER('Input_Meci'!T16),'Input_Meci'!T16&gt;=0,'Input_Meci'!T16&lt;=100),1,0),IF(AND(ISNUMBER('Input_Meci'!U16),'Input_Meci'!U16&gt;=0,'Input_Meci'!U16&lt;=100),1,0),IF(AND(ISNUMBER('Input_Meci'!V16),'Input_Meci'!V16&gt;=0,'Input_Meci'!V16&lt;=10),1,0),IF(AND(ISNUMBER('Input_Meci'!W16),'Input_Meci'!W16&gt;=0,'Input_Meci'!W16&lt;=10),1,0)))</x:f>
      </x:c>
      <x:c r="BF16" s="11" t="str">
        <x:f>IF(I16&lt;&gt;"PASS","",MAX(0,MIN(IF(OR(M16="YES",BL16&lt;&gt;C16),'Config_v6'!$B$34,100),ROUND(40+25*MIN(1,MIN(N16,Q16)/'Config_v6'!$B$7)*MIN(1,MIN(O16,R16)/'Config_v6'!$B$8)*MIN(1,MIN(P16,S16)/'Config_v6'!$B$9)+MAX(0,15-2*ABS(AF16-AJ16)-2*ABS(AL16-AP16))+IF(AU16&lt;='Config_v6'!$B$10,15,IF(AU16&lt;='Config_v6'!$B$11,13,IF(AU16&lt;='Config_v6'!$B$12,10,IF(AU16&lt;='Config_v6'!$B$13,6,0))))+5-BE16/10*'Config_v6'!$B$38,0))))</x:f>
      </x:c>
      <x:c r="BG16" s="11" t="str">
        <x:f>IF(I16&lt;&gt;"PASS","",MIN(1,'Config_v6'!$B$14*(0.7+0.3*MIN(1,AR16/'Config_v6'!$B$15))*IF(AU16&lt;='Config_v6'!$B$10,1,IF(AU16&lt;='Config_v6'!$B$11,0.95,IF(AU16&lt;='Config_v6'!$B$12,0.88,0.78)))*(0.75+0.25*BF16/100)))</x:f>
      </x:c>
      <x:c r="BH16" s="11" t="str">
        <x:f>IF(I16&lt;&gt;"PASS","",MIN(1,(ABS(AZ16-1)+ABS(BA16-1))*3))</x:f>
      </x:c>
      <x:c r="BI16" s="2" t="str">
        <x:f>IF(A16="","",IF(AND(OR('Input_Meci'!X16="",AND(ISNUMBER('Input_Meci'!X16),'Input_Meci'!X16&gt;=0,'Input_Meci'!X16&lt;=10)),OR('Input_Meci'!Y16="",AND(ISNUMBER('Input_Meci'!Y16),'Input_Meci'!Y16&gt;=0,'Input_Meci'!Y16&lt;=10)),OR('Input_Meci'!Z16="",AND(ISNUMBER('Input_Meci'!Z16),'Input_Meci'!Z16&gt;=0,'Input_Meci'!Z16&lt;=10)),OR('Input_Meci'!AA16="",AND(ISNUMBER('Input_Meci'!AA16),'Input_Meci'!AA16&gt;=0,'Input_Meci'!AA16&lt;=10)),OR('Input_Meci'!AB16="",AND(ISNUMBER('Input_Meci'!AB16),'Input_Meci'!AB16&gt;=0,'Input_Meci'!AB16&lt;=10)),OR('Input_Meci'!AC16="",AND(ISNUMBER('Input_Meci'!AC16),'Input_Meci'!AC16&gt;=0,'Input_Meci'!AC16&lt;=10)),OR('Input_Meci'!AD16="",AND(ISNUMBER('Input_Meci'!AD16),'Input_Meci'!AD16&gt;=-2,'Input_Meci'!AD16&lt;=2)),OR('Input_Meci'!AE16="",AND(ISNUMBER('Input_Meci'!AE16),'Input_Meci'!AE16&gt;=-2,'Input_Meci'!AE16&lt;=2)),OR('Input_Meci'!AF16="",AND(ISNUMBER('Input_Meci'!AF16),'Input_Meci'!AF16&gt;=-2,'Input_Meci'!AF16&lt;=2)),OR('Input_Meci'!AG16="",AND(ISNUMBER('Input_Meci'!AG16),'Input_Meci'!AG16&gt;=-2,'Input_Meci'!AG16&lt;=2))),"VALID","INVALID"))</x:f>
      </x:c>
      <x:c r="BJ16" s="2" t="n">
        <x:f>IF(A16="",0,SUM('Core_Nativ'!S126:S131))</x:f>
        <x:v>0</x:v>
      </x:c>
      <x:c r="BK16" s="2" t="str">
        <x:f>'Config_v6'!$B$40</x:f>
        <x:v>VALID</x:v>
      </x:c>
      <x:c r="BL16" s="2" t="str">
        <x:f>IF(A16="","",IF(SUMPRODUCT(('Istoric_Nativ'!$B$6:$B$405=B16)*('Istoric_Nativ'!$C$6:$C$405=C16)*('Istoric_Nativ'!$P$6:$P$405=1)*('Istoric_Nativ'!$D$6:$D$405&lt;INT(G16))*((('Istoric_Nativ'!$E$6:$E$405='Input_Meci'!D16)+('Istoric_Nativ'!$F$6:$F$405='Input_Meci'!D16)+('Istoric_Nativ'!$E$6:$E$405='Input_Meci'!E16)+('Istoric_Nativ'!$F$6:$F$405='Input_Meci'!E16))&gt;0))&gt;='Config_v6'!$B$41,C16,IF(AND('Input_Meci'!L16="YES",'Input_Meci'!K16&lt;&gt;"",'Input_Meci'!K16&lt;C16,COUNTIF('Core_Nativ'!R132:R137,"CLOSED")=6,SUM('Core_Nativ'!S132:S137)=0),'Input_Meci'!K16,C16)))</x:f>
      </x:c>
      <x:c r="BM16" s="9" t="n">
        <x:f>IF(OR(A16="",N16=0),0,LARGE(_xlfn._xlws.FILTER('Istoric_Nativ'!$D$6:$D$405,('Istoric_Nativ'!$B$6:$B$405=B16)*('Istoric_Nativ'!$C$6:$C$405=C16)*('Istoric_Nativ'!$P$6:$P$405=1)*('Istoric_Nativ'!$D$6:$D$405&lt;INT(G16))*((('Istoric_Nativ'!$E$6:$E$405='Input_Meci'!D16)+('Istoric_Nativ'!$F$6:$F$405='Input_Meci'!D16))&gt;0)),MIN(10,N16)))</x:f>
        <x:v>0</x:v>
      </x:c>
      <x:c r="BN16" s="9" t="n">
        <x:f>IF(OR(A16="",Q16=0),0,LARGE(_xlfn._xlws.FILTER('Istoric_Nativ'!$D$6:$D$405,('Istoric_Nativ'!$B$6:$B$405=B16)*('Istoric_Nativ'!$C$6:$C$405=C16)*('Istoric_Nativ'!$P$6:$P$405=1)*('Istoric_Nativ'!$D$6:$D$405&lt;INT(G16))*((('Istoric_Nativ'!$E$6:$E$405='Input_Meci'!E16)+('Istoric_Nativ'!$F$6:$F$405='Input_Meci'!E16))&gt;0)),MIN(10,Q16)))</x:f>
        <x:v>0</x:v>
      </x:c>
      <x:c r="BO16" s="9" t="n">
        <x:f>IF(OR(A16="",N16=0),0,LARGE(_xlfn._xlws.FILTER('Istoric_Nativ'!$D$6:$D$405,('Istoric_Nativ'!$B$6:$B$405=B16)*('Istoric_Nativ'!$C$6:$C$405=C16)*('Istoric_Nativ'!$P$6:$P$405=1)*('Istoric_Nativ'!$D$6:$D$405&lt;INT(G16))*((('Istoric_Nativ'!$E$6:$E$405='Input_Meci'!D16)+('Istoric_Nativ'!$F$6:$F$405='Input_Meci'!D16))&gt;0)),MIN(20,N16)))</x:f>
        <x:v>0</x:v>
      </x:c>
      <x:c r="BP16" s="9" t="n">
        <x:f>IF(OR(A16="",Q16=0),0,LARGE(_xlfn._xlws.FILTER('Istoric_Nativ'!$D$6:$D$405,('Istoric_Nativ'!$B$6:$B$405=B16)*('Istoric_Nativ'!$C$6:$C$405=C16)*('Istoric_Nativ'!$P$6:$P$405=1)*('Istoric_Nativ'!$D$6:$D$405&lt;INT(G16))*((('Istoric_Nativ'!$E$6:$E$405='Input_Meci'!E16)+('Istoric_Nativ'!$F$6:$F$405='Input_Meci'!E16))&gt;0)),MIN(20,Q16)))</x:f>
        <x:v>0</x:v>
      </x:c>
      <x:c r="BQ16" s="2" t="str">
        <x:f>IF(A16="","",IF(AND(COUNTIF(MatchesTable[Match_ID],A16)=1,COUNTIFS(MatchesTable[League],B16,MatchesTable[Season],C16,MatchesTable[Home],'Input_Meci'!D16,MatchesTable[Away],'Input_Meci'!E16,MatchesTable[Kickoff_UTC],F16)=1,B16&lt;&gt;"",C16&lt;&gt;"",'Input_Meci'!D16&lt;&gt;"",'Input_Meci'!E16&lt;&gt;"",'Input_Meci'!D16&lt;&gt;'Input_Meci'!E16,ISNUMBER(F16),ISNUMBER(G16),G16&lt;F16,OR(E16="LIVE",E16="REPLAY"),OR('Input_Meci'!L16="YES",'Input_Meci'!L16="NO",'Input_Meci'!L16="")),"VALID","INVALID"))</x:f>
      </x:c>
      <x:c r="BR16" s="2" t="n">
        <x:f>IF(I16&lt;&gt;"PASS",0,SUMPRODUCT(('Istoric_Nativ'!$B$6:$B$405='Input_Meci'!B16)*('Istoric_Nativ'!$C$6:$C$405='Input_Meci'!C16)*('Istoric_Nativ'!$P$6:$P$405=1)*('Istoric_Nativ'!$D$6:$D$405&lt;INT('Input_Meci'!G16))*((('Istoric_Nativ'!$E$6:$E$405='Input_Meci'!D16)+('Istoric_Nativ'!$F$6:$F$405='Input_Meci'!E16))&gt;0)))</x:f>
        <x:v>0</x:v>
      </x:c>
      <x:c r="BS16" s="2" t="n">
        <x:f>IF(I16&lt;&gt;"PASS",0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BM16)+((('Istoric_Nativ'!$E$6:$E$405='Input_Meci'!E16)+('Istoric_Nativ'!$F$6:$F$405='Input_Meci'!E16))&gt;0)*('Istoric_Nativ'!$D$6:$D$405&gt;=BN16))&gt;0)))</x:f>
        <x:v>0</x:v>
      </x:c>
      <x:c r="BT16" s="2" t="n">
        <x:f>IF(I16&lt;&gt;"PASS",0,SUMPRODUCT(('Istoric_Nativ'!$B$6:$B$405='Input_Meci'!B16)*('Istoric_Nativ'!$C$6:$C$405='Input_Meci'!C16)*('Istoric_Nativ'!$P$6:$P$405=1)*('Istoric_Nativ'!$D$6:$D$405&lt;INT('Input_Meci'!G16))*((((('Istoric_Nativ'!$E$6:$E$405='Input_Meci'!D16)+('Istoric_Nativ'!$F$6:$F$405='Input_Meci'!D16))&gt;0)*('Istoric_Nativ'!$D$6:$D$405&gt;=BO16)+((('Istoric_Nativ'!$E$6:$E$405='Input_Meci'!E16)+('Istoric_Nativ'!$F$6:$F$405='Input_Meci'!E16))&gt;0)*('Istoric_Nativ'!$D$6:$D$405&gt;=BP16))&gt;0)))</x:f>
        <x:v>0</x:v>
      </x:c>
    </x:row>
    <x:row r="17" ht="21" customHeight="1">
      <x:c r="A17" s="2" t="str">
        <x:f>IF('Input_Meci'!A17="","",'Input_Meci'!A17)</x:f>
      </x:c>
      <x:c r="B17" s="2" t="str">
        <x:f>IF(A17="","",'Input_Meci'!B17)</x:f>
      </x:c>
      <x:c r="C17" s="2" t="str">
        <x:f>IF(A17="","",'Input_Meci'!C17)</x:f>
      </x:c>
      <x:c r="D17" s="2" t="str">
        <x:f>IF(A17="","",'Input_Meci'!D17&amp;" – "&amp;'Input_Meci'!E17)</x:f>
      </x:c>
      <x:c r="E17" s="2" t="str">
        <x:f>IF(A17="","",'Input_Meci'!H17)</x:f>
      </x:c>
      <x:c r="F17" s="9" t="str">
        <x:f>IF(A17="","",'Input_Meci'!F17)</x:f>
      </x:c>
      <x:c r="G17" s="9" t="str">
        <x:f>IF(A17="","",'Input_Meci'!G17)</x:f>
      </x:c>
      <x:c r="H17" s="2" t="str">
        <x:f>IF(A17="","",IF(BQ17&lt;&gt;"VALID","NOT RELEASED",IF(AND(OR('Input_Meci'!I17="NOT AVAILABLE",'Input_Meci'!I17="SOURCE CONFLICT"),'Input_Meci'!J17&lt;&gt;""),"READY",IF(OR(NOT(OR('Input_Meci'!I17="AUTO",'Input_Meci'!I17="")),COUNTIF('Core_Nativ'!R138:R143,"CLOSED")&lt;&gt;6,BJ17&gt;0),"NOT RELEASED","READY"))))</x:f>
      </x:c>
      <x:c r="I17" s="2" t="str">
        <x:f>IF(A17="","",IF(H17&lt;&gt;"READY","NOT RELEASED",IF(AND(NOT(OR('Input_Meci'!I17="NOT AVAILABLE",'Input_Meci'!I17="SOURCE CONFLICT")),L17=12,AR17&gt;=2,AS17&gt;0,ISNUMBER(AT17),BI17="VALID",BK17="VALID"),"PASS","FAIL")))</x:f>
      </x:c>
      <x:c r="J17" s="2" t="str">
        <x:f>IF(A17="","",IF(BQ17&lt;&gt;"VALID","Verifica ID, echipe, mod si cutoff &lt; kickoff",IF(H17&lt;&gt;"READY",IF('Input_Meci'!I17="ACCESS BLOCKED","Acces blocat: reia sursele",IF(BJ17&gt;0,"Istoric invalid sau conflict: verifica randurile native","Surse neinchise / post-cutoff / dovezi incomplete")),IF(OR('Input_Meci'!I17="NOT AVAILABLE",'Input_Meci'!I17="SOURCE CONFLICT"),'Input_Meci'!I17,IF(BK17&lt;&gt;"VALID","Parametri invalizi",IF(L17&lt;&gt;12,"Core / sample / prior insuficient",IF(AR17&lt;2,"N insuficient pentru dispersie",IF(AS17&lt;=0,"Media istorica trebuie sa fie pozitiva",IF(BI17&lt;&gt;"VALID","Context invalid","READY")))))))))</x:f>
      </x:c>
      <x:c r="K17" s="2" t="str">
        <x:f>IF(A17="","",COUNT(T17:AE17))</x:f>
      </x:c>
      <x:c r="L17" s="2" t="str">
        <x:f>IF(A17="","",COUNT(AF17:AQ17))</x:f>
      </x:c>
      <x:c r="M17" s="2" t="str">
        <x:f>IF(A17="","",IF(OR('Core_Nativ'!M138&lt;'Core_Nativ'!P138,'Core_Nativ'!M139&lt;'Core_Nativ'!P139,'Core_Nativ'!M140&lt;'Core_Nativ'!P140,'Core_Nativ'!M141&lt;'Core_Nativ'!P141,'Core_Nativ'!M142&lt;'Core_Nativ'!P142,'Core_Nativ'!M143&lt;'Core_Nativ'!P143),"YES","NO"))</x:f>
      </x:c>
      <x:c r="N17" s="2" t="str">
        <x:f>IF(A17="","",'Core_Nativ'!M138)</x:f>
      </x:c>
      <x:c r="O17" s="2" t="str">
        <x:f>IF(A17="","",'Core_Nativ'!M139)</x:f>
      </x:c>
      <x:c r="P17" s="2" t="str">
        <x:f>IF(A17="","",'Core_Nativ'!M140)</x:f>
      </x:c>
      <x:c r="Q17" s="2" t="str">
        <x:f>IF(A17="","",'Core_Nativ'!M141)</x:f>
      </x:c>
      <x:c r="R17" s="2" t="str">
        <x:f>IF(A17="","",'Core_Nativ'!M142)</x:f>
      </x:c>
      <x:c r="S17" s="2" t="str">
        <x:f>IF(A17="","",'Core_Nativ'!M143)</x:f>
      </x:c>
      <x:c r="T17" s="11" t="str">
        <x:f>IF(OR(A17="",'Core_Nativ'!M138=0),"",'Core_Nativ'!N138)</x:f>
      </x:c>
      <x:c r="U17" s="11" t="str">
        <x:f>IF(OR(A17="",'Core_Nativ'!M138=0),"",'Core_Nativ'!O138)</x:f>
      </x:c>
      <x:c r="V17" s="11" t="str">
        <x:f>IF(OR(A17="",'Core_Nativ'!M139=0),"",'Core_Nativ'!N139)</x:f>
      </x:c>
      <x:c r="W17" s="11" t="str">
        <x:f>IF(OR(A17="",'Core_Nativ'!M139=0),"",'Core_Nativ'!O139)</x:f>
      </x:c>
      <x:c r="X17" s="11" t="str">
        <x:f>IF(OR(A17="",'Core_Nativ'!M140=0),"",'Core_Nativ'!N140)</x:f>
      </x:c>
      <x:c r="Y17" s="11" t="str">
        <x:f>IF(OR(A17="",'Core_Nativ'!M140=0),"",'Core_Nativ'!O140)</x:f>
      </x:c>
      <x:c r="Z17" s="11" t="str">
        <x:f>IF(OR(A17="",'Core_Nativ'!M141=0),"",'Core_Nativ'!N141)</x:f>
      </x:c>
      <x:c r="AA17" s="11" t="str">
        <x:f>IF(OR(A17="",'Core_Nativ'!M141=0),"",'Core_Nativ'!O141)</x:f>
      </x:c>
      <x:c r="AB17" s="11" t="str">
        <x:f>IF(OR(A17="",'Core_Nativ'!M142=0),"",'Core_Nativ'!N142)</x:f>
      </x:c>
      <x:c r="AC17" s="11" t="str">
        <x:f>IF(OR(A17="",'Core_Nativ'!M142=0),"",'Core_Nativ'!O142)</x:f>
      </x:c>
      <x:c r="AD17" s="11" t="str">
        <x:f>IF(OR(A17="",'Core_Nativ'!M143=0),"",'Core_Nativ'!N143)</x:f>
      </x:c>
      <x:c r="AE17" s="11" t="str">
        <x:f>IF(OR(A17="",'Core_Nativ'!M143=0),"",'Core_Nativ'!O143)</x:f>
      </x:c>
      <x:c r="AF17" s="11" t="str">
        <x:f>IF(A17="","",IF(AND('Core_Nativ'!R138="CLOSED",'Core_Nativ'!S138=0),IF('Core_Nativ'!M138&gt;='Core_Nativ'!P138,'Core_Nativ'!N138,IF(AND('Input_Meci'!L17="YES",'Input_Meci'!K17&lt;&gt;"",'Input_Meci'!K17&lt;C17,'Core_Nativ'!T144="DERIVED",'Core_Nativ'!M144&gt;='Core_Nativ'!P138),MIN(1,'Core_Nativ'!M138/'Core_Nativ'!P138)*IF('Core_Nativ'!M138=0,0,'Core_Nativ'!N138)+(1-MIN(1,'Core_Nativ'!M138/'Core_Nativ'!P138))*'Core_Nativ'!N144,"")),""))</x:f>
      </x:c>
      <x:c r="AG17" s="11" t="str">
        <x:f>IF(A17="","",IF(AND('Core_Nativ'!R138="CLOSED",'Core_Nativ'!S138=0),IF('Core_Nativ'!M138&gt;='Core_Nativ'!P138,'Core_Nativ'!O138,IF(AND('Input_Meci'!L17="YES",'Input_Meci'!K17&lt;&gt;"",'Input_Meci'!K17&lt;C17,'Core_Nativ'!T144="DERIVED",'Core_Nativ'!M144&gt;='Core_Nativ'!P138),MIN(1,'Core_Nativ'!M138/'Core_Nativ'!P138)*IF('Core_Nativ'!M138=0,0,'Core_Nativ'!O138)+(1-MIN(1,'Core_Nativ'!M138/'Core_Nativ'!P138))*'Core_Nativ'!O144,"")),""))</x:f>
      </x:c>
      <x:c r="AH17" s="11" t="str">
        <x:f>IF(A17="","",IF(AND('Core_Nativ'!R139="CLOSED",'Core_Nativ'!S139=0),IF('Core_Nativ'!M139&gt;='Core_Nativ'!P139,'Core_Nativ'!N139,IF(AND('Input_Meci'!L17="YES",'Input_Meci'!K17&lt;&gt;"",'Input_Meci'!K17&lt;C17,'Core_Nativ'!T145="DERIVED",'Core_Nativ'!M145&gt;='Core_Nativ'!P139),MIN(1,'Core_Nativ'!M139/'Core_Nativ'!P139)*IF('Core_Nativ'!M139=0,0,'Core_Nativ'!N139)+(1-MIN(1,'Core_Nativ'!M139/'Core_Nativ'!P139))*'Core_Nativ'!N145,"")),""))</x:f>
      </x:c>
      <x:c r="AI17" s="11" t="str">
        <x:f>IF(A17="","",IF(AND('Core_Nativ'!R139="CLOSED",'Core_Nativ'!S139=0),IF('Core_Nativ'!M139&gt;='Core_Nativ'!P139,'Core_Nativ'!O139,IF(AND('Input_Meci'!L17="YES",'Input_Meci'!K17&lt;&gt;"",'Input_Meci'!K17&lt;C17,'Core_Nativ'!T145="DERIVED",'Core_Nativ'!M145&gt;='Core_Nativ'!P139),MIN(1,'Core_Nativ'!M139/'Core_Nativ'!P139)*IF('Core_Nativ'!M139=0,0,'Core_Nativ'!O139)+(1-MIN(1,'Core_Nativ'!M139/'Core_Nativ'!P139))*'Core_Nativ'!O145,"")),""))</x:f>
      </x:c>
      <x:c r="AJ17" s="11" t="str">
        <x:f>IF(A17="","",IF(AND('Core_Nativ'!R140="CLOSED",'Core_Nativ'!S140=0),IF('Core_Nativ'!M140&gt;='Core_Nativ'!P140,'Core_Nativ'!N140,IF(AND('Input_Meci'!L17="YES",'Input_Meci'!K17&lt;&gt;"",'Input_Meci'!K17&lt;C17,'Core_Nativ'!T146="DERIVED",'Core_Nativ'!M146&gt;='Core_Nativ'!P140),MIN(1,'Core_Nativ'!M140/'Core_Nativ'!P140)*IF('Core_Nativ'!M140=0,0,'Core_Nativ'!N140)+(1-MIN(1,'Core_Nativ'!M140/'Core_Nativ'!P140))*'Core_Nativ'!N146,"")),""))</x:f>
      </x:c>
      <x:c r="AK17" s="11" t="str">
        <x:f>IF(A17="","",IF(AND('Core_Nativ'!R140="CLOSED",'Core_Nativ'!S140=0),IF('Core_Nativ'!M140&gt;='Core_Nativ'!P140,'Core_Nativ'!O140,IF(AND('Input_Meci'!L17="YES",'Input_Meci'!K17&lt;&gt;"",'Input_Meci'!K17&lt;C17,'Core_Nativ'!T146="DERIVED",'Core_Nativ'!M146&gt;='Core_Nativ'!P140),MIN(1,'Core_Nativ'!M140/'Core_Nativ'!P140)*IF('Core_Nativ'!M140=0,0,'Core_Nativ'!O140)+(1-MIN(1,'Core_Nativ'!M140/'Core_Nativ'!P140))*'Core_Nativ'!O146,"")),""))</x:f>
      </x:c>
      <x:c r="AL17" s="11" t="str">
        <x:f>IF(A17="","",IF(AND('Core_Nativ'!R141="CLOSED",'Core_Nativ'!S141=0),IF('Core_Nativ'!M141&gt;='Core_Nativ'!P141,'Core_Nativ'!N141,IF(AND('Input_Meci'!L17="YES",'Input_Meci'!K17&lt;&gt;"",'Input_Meci'!K17&lt;C17,'Core_Nativ'!T147="DERIVED",'Core_Nativ'!M147&gt;='Core_Nativ'!P141),MIN(1,'Core_Nativ'!M141/'Core_Nativ'!P141)*IF('Core_Nativ'!M141=0,0,'Core_Nativ'!N141)+(1-MIN(1,'Core_Nativ'!M141/'Core_Nativ'!P141))*'Core_Nativ'!N147,"")),""))</x:f>
      </x:c>
      <x:c r="AM17" s="11" t="str">
        <x:f>IF(A17="","",IF(AND('Core_Nativ'!R141="CLOSED",'Core_Nativ'!S141=0),IF('Core_Nativ'!M141&gt;='Core_Nativ'!P141,'Core_Nativ'!O141,IF(AND('Input_Meci'!L17="YES",'Input_Meci'!K17&lt;&gt;"",'Input_Meci'!K17&lt;C17,'Core_Nativ'!T147="DERIVED",'Core_Nativ'!M147&gt;='Core_Nativ'!P141),MIN(1,'Core_Nativ'!M141/'Core_Nativ'!P141)*IF('Core_Nativ'!M141=0,0,'Core_Nativ'!O141)+(1-MIN(1,'Core_Nativ'!M141/'Core_Nativ'!P141))*'Core_Nativ'!O147,"")),""))</x:f>
      </x:c>
      <x:c r="AN17" s="11" t="str">
        <x:f>IF(A17="","",IF(AND('Core_Nativ'!R142="CLOSED",'Core_Nativ'!S142=0),IF('Core_Nativ'!M142&gt;='Core_Nativ'!P142,'Core_Nativ'!N142,IF(AND('Input_Meci'!L17="YES",'Input_Meci'!K17&lt;&gt;"",'Input_Meci'!K17&lt;C17,'Core_Nativ'!T148="DERIVED",'Core_Nativ'!M148&gt;='Core_Nativ'!P142),MIN(1,'Core_Nativ'!M142/'Core_Nativ'!P142)*IF('Core_Nativ'!M142=0,0,'Core_Nativ'!N142)+(1-MIN(1,'Core_Nativ'!M142/'Core_Nativ'!P142))*'Core_Nativ'!N148,"")),""))</x:f>
      </x:c>
      <x:c r="AO17" s="11" t="str">
        <x:f>IF(A17="","",IF(AND('Core_Nativ'!R142="CLOSED",'Core_Nativ'!S142=0),IF('Core_Nativ'!M142&gt;='Core_Nativ'!P142,'Core_Nativ'!O142,IF(AND('Input_Meci'!L17="YES",'Input_Meci'!K17&lt;&gt;"",'Input_Meci'!K17&lt;C17,'Core_Nativ'!T148="DERIVED",'Core_Nativ'!M148&gt;='Core_Nativ'!P142),MIN(1,'Core_Nativ'!M142/'Core_Nativ'!P142)*IF('Core_Nativ'!M142=0,0,'Core_Nativ'!O142)+(1-MIN(1,'Core_Nativ'!M142/'Core_Nativ'!P142))*'Core_Nativ'!O148,"")),""))</x:f>
      </x:c>
      <x:c r="AP17" s="11" t="str">
        <x:f>IF(A17="","",IF(AND('Core_Nativ'!R143="CLOSED",'Core_Nativ'!S143=0),IF('Core_Nativ'!M143&gt;='Core_Nativ'!P143,'Core_Nativ'!N143,IF(AND('Input_Meci'!L17="YES",'Input_Meci'!K17&lt;&gt;"",'Input_Meci'!K17&lt;C17,'Core_Nativ'!T149="DERIVED",'Core_Nativ'!M149&gt;='Core_Nativ'!P143),MIN(1,'Core_Nativ'!M143/'Core_Nativ'!P143)*IF('Core_Nativ'!M143=0,0,'Core_Nativ'!N143)+(1-MIN(1,'Core_Nativ'!M143/'Core_Nativ'!P143))*'Core_Nativ'!N149,"")),""))</x:f>
      </x:c>
      <x:c r="AQ17" s="11" t="str">
        <x:f>IF(A17="","",IF(AND('Core_Nativ'!R143="CLOSED",'Core_Nativ'!S143=0),IF('Core_Nativ'!M143&gt;='Core_Nativ'!P143,'Core_Nativ'!O143,IF(AND('Input_Meci'!L17="YES",'Input_Meci'!K17&lt;&gt;"",'Input_Meci'!K17&lt;C17,'Core_Nativ'!T149="DERIVED",'Core_Nativ'!M149&gt;='Core_Nativ'!P143),MIN(1,'Core_Nativ'!M143/'Core_Nativ'!P143)*IF('Core_Nativ'!M143=0,0,'Core_Nativ'!O143)+(1-MIN(1,'Core_Nativ'!M143/'Core_Nativ'!P143))*'Core_Nativ'!O149,"")),""))</x:f>
      </x:c>
      <x:c r="AR17" s="11" t="str">
        <x:f>IF(A17="","",SUMPRODUCT(('Istoric_Nativ'!$B$6:$B$405=B17)*('Istoric_Nativ'!$C$6:$C$405=BL17)*('Istoric_Nativ'!$P$6:$P$405=1)*('Istoric_Nativ'!$D$6:$D$405&lt;INT(G17))*((('Istoric_Nativ'!$E$6:$E$405='Input_Meci'!D17)+('Istoric_Nativ'!$F$6:$F$405='Input_Meci'!D17)+('Istoric_Nativ'!$E$6:$E$405='Input_Meci'!E17)+('Istoric_Nativ'!$F$6:$F$405='Input_Meci'!E17))&gt;0)))</x:f>
      </x:c>
      <x:c r="AS17" s="11" t="str">
        <x:f>IF(AR17=0,"",SUMPRODUCT(('Istoric_Nativ'!$B$6:$B$405=B17)*('Istoric_Nativ'!$C$6:$C$405=BL17)*('Istoric_Nativ'!$P$6:$P$405=1)*('Istoric_Nativ'!$D$6:$D$405&lt;INT(G17))*((('Istoric_Nativ'!$E$6:$E$405='Input_Meci'!D17)+('Istoric_Nativ'!$F$6:$F$405='Input_Meci'!D17)+('Istoric_Nativ'!$E$6:$E$405='Input_Meci'!E17)+('Istoric_Nativ'!$F$6:$F$405='Input_Meci'!E17))&gt;0)*'Istoric_Nativ'!$Q$6:$Q$405)/AR17)</x:f>
      </x:c>
      <x:c r="AT17" s="11" t="str">
        <x:f>IF(AR17&lt;2,"",MAX(0,(SUMPRODUCT(('Istoric_Nativ'!$B$6:$B$405=B17)*('Istoric_Nativ'!$C$6:$C$405=BL17)*('Istoric_Nativ'!$P$6:$P$405=1)*('Istoric_Nativ'!$D$6:$D$405&lt;INT(G17))*((('Istoric_Nativ'!$E$6:$E$405='Input_Meci'!D17)+('Istoric_Nativ'!$F$6:$F$405='Input_Meci'!D17)+('Istoric_Nativ'!$E$6:$E$405='Input_Meci'!E17)+('Istoric_Nativ'!$F$6:$F$405='Input_Meci'!E17))&gt;0)*'Istoric_Nativ'!$R$6:$R$405)-AR17*AS17^2)/(AR17-1)))</x:f>
      </x:c>
      <x:c r="AU17" s="11" t="str">
        <x:f>IF(I17&lt;&gt;"PASS","",AT17/AS17)</x:f>
      </x:c>
      <x:c r="AV17" s="11" t="str">
        <x:f>IF(I17&lt;&gt;"PASS","",IF(AU17&lt;='Config_v6'!$B$10,"POISSON","NEGATIVE BINOMIAL"))</x:f>
      </x:c>
      <x:c r="AW17" s="11" t="str">
        <x:f>IF(I17&lt;&gt;"PASS","",IF(AV17="POISSON",9999,AS17/(AU17-1)))</x:f>
      </x:c>
      <x:c r="AX17" s="11" t="str">
        <x:f>IF(A17="","",MAX(1-'Config_v6'!$B$20,MIN(1+'Config_v6'!$B$20,1+0.02*(IF(AND(ISNUMBER('Input_Meci'!N17),'Input_Meci'!N17&gt;=0,'Input_Meci'!N17&lt;=200),'Input_Meci'!N17,12)/12-1)+0.02*(IF(AND(ISNUMBER('Input_Meci'!P17),'Input_Meci'!P17&gt;=0,'Input_Meci'!P17&lt;=200),'Input_Meci'!P17,3.5)/3.5-1)+0.02*(IF(AND(ISNUMBER('Input_Meci'!R17),'Input_Meci'!R17&gt;=0,'Input_Meci'!R17&lt;=200),'Input_Meci'!R17,18)/18-1)+0.02*((IF(AND(ISNUMBER('Input_Meci'!V17),'Input_Meci'!V17&gt;=0,'Input_Meci'!V17&lt;=10),'Input_Meci'!V17,5)-5)/5))))</x:f>
      </x:c>
      <x:c r="AY17" s="11" t="str">
        <x:f>IF(A17="","",MAX(1-'Config_v6'!$B$20,MIN(1+'Config_v6'!$B$20,1+0.02*(IF(AND(ISNUMBER('Input_Meci'!O17),'Input_Meci'!O17&gt;=0,'Input_Meci'!O17&lt;=200),'Input_Meci'!O17,12)/12-1)+0.02*(IF(AND(ISNUMBER('Input_Meci'!Q17),'Input_Meci'!Q17&gt;=0,'Input_Meci'!Q17&lt;=200),'Input_Meci'!Q17,3.5)/3.5-1)+0.02*(IF(AND(ISNUMBER('Input_Meci'!S17),'Input_Meci'!S17&gt;=0,'Input_Meci'!S17&lt;=200),'Input_Meci'!S17,18)/18-1)+0.02*((IF(AND(ISNUMBER('Input_Meci'!W17),'Input_Meci'!W17&gt;=0,'Input_Meci'!W17&lt;=10),'Input_Meci'!W17,5)-5)/5))))</x:f>
      </x:c>
      <x:c r="AZ17" s="11" t="str">
        <x:f>IF(A17="","",MAX(1-'Config_v6'!$B$21,MIN(1+'Config_v6'!$B$21,1+0.012*(IF('Input_Meci'!X17="",5,IF(ISNUMBER('Input_Meci'!X17),'Input_Meci'!X17,5))-5)+0.018*(IF('Input_Meci'!Z17="",5,IF(ISNUMBER('Input_Meci'!Z17),'Input_Meci'!Z17,5))-5)+0.012*(IF('Input_Meci'!AB17="",5,IF(ISNUMBER('Input_Meci'!AB17),'Input_Meci'!AB17,5))-5)+0.015*IF('Input_Meci'!AD17="",0,IF(ISNUMBER('Input_Meci'!AD17),'Input_Meci'!AD17,0))+0.02*IF('Input_Meci'!AF17="",0,IF(ISNUMBER('Input_Meci'!AF17),'Input_Meci'!AF17,0)))))</x:f>
      </x:c>
      <x:c r="BA17" s="11" t="str">
        <x:f>IF(A17="","",MAX(1-'Config_v6'!$B$21,MIN(1+'Config_v6'!$B$21,1+0.012*(IF('Input_Meci'!Y17="",5,IF(ISNUMBER('Input_Meci'!Y17),'Input_Meci'!Y17,5))-5)+0.018*(IF('Input_Meci'!AA17="",5,IF(ISNUMBER('Input_Meci'!AA17),'Input_Meci'!AA17,5))-5)+0.012*(IF('Input_Meci'!AC17="",5,IF(ISNUMBER('Input_Meci'!AC17),'Input_Meci'!AC17,5))-5)+0.015*IF('Input_Meci'!AE17="",0,IF(ISNUMBER('Input_Meci'!AE17),'Input_Meci'!AE17,0))+0.02*IF('Input_Meci'!AG17="",0,IF(ISNUMBER('Input_Meci'!AG17),'Input_Meci'!AG17,0)))))</x:f>
      </x:c>
      <x:c r="BB17" s="11" t="str">
        <x:f>IF(I17&lt;&gt;"PASS","",(AVERAGE(AF17,AM17)*'Config_v6'!$B$4+AVERAGE(AH17,AO17)*'Config_v6'!$B$5+AVERAGE(AJ17,AQ17)*'Config_v6'!$B$6)*AX17*AZ17)</x:f>
      </x:c>
      <x:c r="BC17" s="11" t="str">
        <x:f>IF(I17&lt;&gt;"PASS","",(AVERAGE(AL17,AG17)*'Config_v6'!$B$4+AVERAGE(AN17,AI17)*'Config_v6'!$B$5+AVERAGE(AP17,AK17)*'Config_v6'!$B$6)*AY17*BA17)</x:f>
      </x:c>
      <x:c r="BD17" s="11" t="str">
        <x:f>IF(I17&lt;&gt;"PASS","",BB17+BC17)</x:f>
      </x:c>
      <x:c r="BE17" s="11" t="str">
        <x:f>IF(A17="","",10-SUM(IF(AND(ISNUMBER('Input_Meci'!N17),'Input_Meci'!N17&gt;=0,'Input_Meci'!N17&lt;=200),1,0),IF(AND(ISNUMBER('Input_Meci'!O17),'Input_Meci'!O17&gt;=0,'Input_Meci'!O17&lt;=200),1,0),IF(AND(ISNUMBER('Input_Meci'!P17),'Input_Meci'!P17&gt;=0,'Input_Meci'!P17&lt;=200),1,0),IF(AND(ISNUMBER('Input_Meci'!Q17),'Input_Meci'!Q17&gt;=0,'Input_Meci'!Q17&lt;=200),1,0),IF(AND(ISNUMBER('Input_Meci'!R17),'Input_Meci'!R17&gt;=0,'Input_Meci'!R17&lt;=200),1,0),IF(AND(ISNUMBER('Input_Meci'!S17),'Input_Meci'!S17&gt;=0,'Input_Meci'!S17&lt;=200),1,0),IF(AND(ISNUMBER('Input_Meci'!T17),'Input_Meci'!T17&gt;=0,'Input_Meci'!T17&lt;=100),1,0),IF(AND(ISNUMBER('Input_Meci'!U17),'Input_Meci'!U17&gt;=0,'Input_Meci'!U17&lt;=100),1,0),IF(AND(ISNUMBER('Input_Meci'!V17),'Input_Meci'!V17&gt;=0,'Input_Meci'!V17&lt;=10),1,0),IF(AND(ISNUMBER('Input_Meci'!W17),'Input_Meci'!W17&gt;=0,'Input_Meci'!W17&lt;=10),1,0)))</x:f>
      </x:c>
      <x:c r="BF17" s="11" t="str">
        <x:f>IF(I17&lt;&gt;"PASS","",MAX(0,MIN(IF(OR(M17="YES",BL17&lt;&gt;C17),'Config_v6'!$B$34,100),ROUND(40+25*MIN(1,MIN(N17,Q17)/'Config_v6'!$B$7)*MIN(1,MIN(O17,R17)/'Config_v6'!$B$8)*MIN(1,MIN(P17,S17)/'Config_v6'!$B$9)+MAX(0,15-2*ABS(AF17-AJ17)-2*ABS(AL17-AP17))+IF(AU17&lt;='Config_v6'!$B$10,15,IF(AU17&lt;='Config_v6'!$B$11,13,IF(AU17&lt;='Config_v6'!$B$12,10,IF(AU17&lt;='Config_v6'!$B$13,6,0))))+5-BE17/10*'Config_v6'!$B$38,0))))</x:f>
      </x:c>
      <x:c r="BG17" s="11" t="str">
        <x:f>IF(I17&lt;&gt;"PASS","",MIN(1,'Config_v6'!$B$14*(0.7+0.3*MIN(1,AR17/'Config_v6'!$B$15))*IF(AU17&lt;='Config_v6'!$B$10,1,IF(AU17&lt;='Config_v6'!$B$11,0.95,IF(AU17&lt;='Config_v6'!$B$12,0.88,0.78)))*(0.75+0.25*BF17/100)))</x:f>
      </x:c>
      <x:c r="BH17" s="11" t="str">
        <x:f>IF(I17&lt;&gt;"PASS","",MIN(1,(ABS(AZ17-1)+ABS(BA17-1))*3))</x:f>
      </x:c>
      <x:c r="BI17" s="2" t="str">
        <x:f>IF(A17="","",IF(AND(OR('Input_Meci'!X17="",AND(ISNUMBER('Input_Meci'!X17),'Input_Meci'!X17&gt;=0,'Input_Meci'!X17&lt;=10)),OR('Input_Meci'!Y17="",AND(ISNUMBER('Input_Meci'!Y17),'Input_Meci'!Y17&gt;=0,'Input_Meci'!Y17&lt;=10)),OR('Input_Meci'!Z17="",AND(ISNUMBER('Input_Meci'!Z17),'Input_Meci'!Z17&gt;=0,'Input_Meci'!Z17&lt;=10)),OR('Input_Meci'!AA17="",AND(ISNUMBER('Input_Meci'!AA17),'Input_Meci'!AA17&gt;=0,'Input_Meci'!AA17&lt;=10)),OR('Input_Meci'!AB17="",AND(ISNUMBER('Input_Meci'!AB17),'Input_Meci'!AB17&gt;=0,'Input_Meci'!AB17&lt;=10)),OR('Input_Meci'!AC17="",AND(ISNUMBER('Input_Meci'!AC17),'Input_Meci'!AC17&gt;=0,'Input_Meci'!AC17&lt;=10)),OR('Input_Meci'!AD17="",AND(ISNUMBER('Input_Meci'!AD17),'Input_Meci'!AD17&gt;=-2,'Input_Meci'!AD17&lt;=2)),OR('Input_Meci'!AE17="",AND(ISNUMBER('Input_Meci'!AE17),'Input_Meci'!AE17&gt;=-2,'Input_Meci'!AE17&lt;=2)),OR('Input_Meci'!AF17="",AND(ISNUMBER('Input_Meci'!AF17),'Input_Meci'!AF17&gt;=-2,'Input_Meci'!AF17&lt;=2)),OR('Input_Meci'!AG17="",AND(ISNUMBER('Input_Meci'!AG17),'Input_Meci'!AG17&gt;=-2,'Input_Meci'!AG17&lt;=2))),"VALID","INVALID"))</x:f>
      </x:c>
      <x:c r="BJ17" s="2" t="n">
        <x:f>IF(A17="",0,SUM('Core_Nativ'!S138:S143))</x:f>
        <x:v>0</x:v>
      </x:c>
      <x:c r="BK17" s="2" t="str">
        <x:f>'Config_v6'!$B$40</x:f>
        <x:v>VALID</x:v>
      </x:c>
      <x:c r="BL17" s="2" t="str">
        <x:f>IF(A17="","",IF(SUMPRODUCT(('Istoric_Nativ'!$B$6:$B$405=B17)*('Istoric_Nativ'!$C$6:$C$405=C17)*('Istoric_Nativ'!$P$6:$P$405=1)*('Istoric_Nativ'!$D$6:$D$405&lt;INT(G17))*((('Istoric_Nativ'!$E$6:$E$405='Input_Meci'!D17)+('Istoric_Nativ'!$F$6:$F$405='Input_Meci'!D17)+('Istoric_Nativ'!$E$6:$E$405='Input_Meci'!E17)+('Istoric_Nativ'!$F$6:$F$405='Input_Meci'!E17))&gt;0))&gt;='Config_v6'!$B$41,C17,IF(AND('Input_Meci'!L17="YES",'Input_Meci'!K17&lt;&gt;"",'Input_Meci'!K17&lt;C17,COUNTIF('Core_Nativ'!R144:R149,"CLOSED")=6,SUM('Core_Nativ'!S144:S149)=0),'Input_Meci'!K17,C17)))</x:f>
      </x:c>
      <x:c r="BM17" s="9" t="n">
        <x:f>IF(OR(A17="",N17=0),0,LARGE(_xlfn._xlws.FILTER('Istoric_Nativ'!$D$6:$D$405,('Istoric_Nativ'!$B$6:$B$405=B17)*('Istoric_Nativ'!$C$6:$C$405=C17)*('Istoric_Nativ'!$P$6:$P$405=1)*('Istoric_Nativ'!$D$6:$D$405&lt;INT(G17))*((('Istoric_Nativ'!$E$6:$E$405='Input_Meci'!D17)+('Istoric_Nativ'!$F$6:$F$405='Input_Meci'!D17))&gt;0)),MIN(10,N17)))</x:f>
        <x:v>0</x:v>
      </x:c>
      <x:c r="BN17" s="9" t="n">
        <x:f>IF(OR(A17="",Q17=0),0,LARGE(_xlfn._xlws.FILTER('Istoric_Nativ'!$D$6:$D$405,('Istoric_Nativ'!$B$6:$B$405=B17)*('Istoric_Nativ'!$C$6:$C$405=C17)*('Istoric_Nativ'!$P$6:$P$405=1)*('Istoric_Nativ'!$D$6:$D$405&lt;INT(G17))*((('Istoric_Nativ'!$E$6:$E$405='Input_Meci'!E17)+('Istoric_Nativ'!$F$6:$F$405='Input_Meci'!E17))&gt;0)),MIN(10,Q17)))</x:f>
        <x:v>0</x:v>
      </x:c>
      <x:c r="BO17" s="9" t="n">
        <x:f>IF(OR(A17="",N17=0),0,LARGE(_xlfn._xlws.FILTER('Istoric_Nativ'!$D$6:$D$405,('Istoric_Nativ'!$B$6:$B$405=B17)*('Istoric_Nativ'!$C$6:$C$405=C17)*('Istoric_Nativ'!$P$6:$P$405=1)*('Istoric_Nativ'!$D$6:$D$405&lt;INT(G17))*((('Istoric_Nativ'!$E$6:$E$405='Input_Meci'!D17)+('Istoric_Nativ'!$F$6:$F$405='Input_Meci'!D17))&gt;0)),MIN(20,N17)))</x:f>
        <x:v>0</x:v>
      </x:c>
      <x:c r="BP17" s="9" t="n">
        <x:f>IF(OR(A17="",Q17=0),0,LARGE(_xlfn._xlws.FILTER('Istoric_Nativ'!$D$6:$D$405,('Istoric_Nativ'!$B$6:$B$405=B17)*('Istoric_Nativ'!$C$6:$C$405=C17)*('Istoric_Nativ'!$P$6:$P$405=1)*('Istoric_Nativ'!$D$6:$D$405&lt;INT(G17))*((('Istoric_Nativ'!$E$6:$E$405='Input_Meci'!E17)+('Istoric_Nativ'!$F$6:$F$405='Input_Meci'!E17))&gt;0)),MIN(20,Q17)))</x:f>
        <x:v>0</x:v>
      </x:c>
      <x:c r="BQ17" s="2" t="str">
        <x:f>IF(A17="","",IF(AND(COUNTIF(MatchesTable[Match_ID],A17)=1,COUNTIFS(MatchesTable[League],B17,MatchesTable[Season],C17,MatchesTable[Home],'Input_Meci'!D17,MatchesTable[Away],'Input_Meci'!E17,MatchesTable[Kickoff_UTC],F17)=1,B17&lt;&gt;"",C17&lt;&gt;"",'Input_Meci'!D17&lt;&gt;"",'Input_Meci'!E17&lt;&gt;"",'Input_Meci'!D17&lt;&gt;'Input_Meci'!E17,ISNUMBER(F17),ISNUMBER(G17),G17&lt;F17,OR(E17="LIVE",E17="REPLAY"),OR('Input_Meci'!L17="YES",'Input_Meci'!L17="NO",'Input_Meci'!L17="")),"VALID","INVALID"))</x:f>
      </x:c>
      <x:c r="BR17" s="2" t="n">
        <x:f>IF(I17&lt;&gt;"PASS",0,SUMPRODUCT(('Istoric_Nativ'!$B$6:$B$405='Input_Meci'!B17)*('Istoric_Nativ'!$C$6:$C$405='Input_Meci'!C17)*('Istoric_Nativ'!$P$6:$P$405=1)*('Istoric_Nativ'!$D$6:$D$405&lt;INT('Input_Meci'!G17))*((('Istoric_Nativ'!$E$6:$E$405='Input_Meci'!D17)+('Istoric_Nativ'!$F$6:$F$405='Input_Meci'!E17))&gt;0)))</x:f>
        <x:v>0</x:v>
      </x:c>
      <x:c r="BS17" s="2" t="n">
        <x:f>IF(I17&lt;&gt;"PASS",0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BM17)+((('Istoric_Nativ'!$E$6:$E$405='Input_Meci'!E17)+('Istoric_Nativ'!$F$6:$F$405='Input_Meci'!E17))&gt;0)*('Istoric_Nativ'!$D$6:$D$405&gt;=BN17))&gt;0)))</x:f>
        <x:v>0</x:v>
      </x:c>
      <x:c r="BT17" s="2" t="n">
        <x:f>IF(I17&lt;&gt;"PASS",0,SUMPRODUCT(('Istoric_Nativ'!$B$6:$B$405='Input_Meci'!B17)*('Istoric_Nativ'!$C$6:$C$405='Input_Meci'!C17)*('Istoric_Nativ'!$P$6:$P$405=1)*('Istoric_Nativ'!$D$6:$D$405&lt;INT('Input_Meci'!G17))*((((('Istoric_Nativ'!$E$6:$E$405='Input_Meci'!D17)+('Istoric_Nativ'!$F$6:$F$405='Input_Meci'!D17))&gt;0)*('Istoric_Nativ'!$D$6:$D$405&gt;=BO17)+((('Istoric_Nativ'!$E$6:$E$405='Input_Meci'!E17)+('Istoric_Nativ'!$F$6:$F$405='Input_Meci'!E17))&gt;0)*('Istoric_Nativ'!$D$6:$D$405&gt;=BP17))&gt;0)))</x:f>
        <x:v>0</x:v>
      </x:c>
    </x:row>
    <x:row r="18" ht="21" customHeight="1">
      <x:c r="A18" s="2" t="str">
        <x:f>IF('Input_Meci'!A18="","",'Input_Meci'!A18)</x:f>
      </x:c>
      <x:c r="B18" s="2" t="str">
        <x:f>IF(A18="","",'Input_Meci'!B18)</x:f>
      </x:c>
      <x:c r="C18" s="2" t="str">
        <x:f>IF(A18="","",'Input_Meci'!C18)</x:f>
      </x:c>
      <x:c r="D18" s="2" t="str">
        <x:f>IF(A18="","",'Input_Meci'!D18&amp;" – "&amp;'Input_Meci'!E18)</x:f>
      </x:c>
      <x:c r="E18" s="2" t="str">
        <x:f>IF(A18="","",'Input_Meci'!H18)</x:f>
      </x:c>
      <x:c r="F18" s="9" t="str">
        <x:f>IF(A18="","",'Input_Meci'!F18)</x:f>
      </x:c>
      <x:c r="G18" s="9" t="str">
        <x:f>IF(A18="","",'Input_Meci'!G18)</x:f>
      </x:c>
      <x:c r="H18" s="2" t="str">
        <x:f>IF(A18="","",IF(BQ18&lt;&gt;"VALID","NOT RELEASED",IF(AND(OR('Input_Meci'!I18="NOT AVAILABLE",'Input_Meci'!I18="SOURCE CONFLICT"),'Input_Meci'!J18&lt;&gt;""),"READY",IF(OR(NOT(OR('Input_Meci'!I18="AUTO",'Input_Meci'!I18="")),COUNTIF('Core_Nativ'!R150:R155,"CLOSED")&lt;&gt;6,BJ18&gt;0),"NOT RELEASED","READY"))))</x:f>
      </x:c>
      <x:c r="I18" s="2" t="str">
        <x:f>IF(A18="","",IF(H18&lt;&gt;"READY","NOT RELEASED",IF(AND(NOT(OR('Input_Meci'!I18="NOT AVAILABLE",'Input_Meci'!I18="SOURCE CONFLICT")),L18=12,AR18&gt;=2,AS18&gt;0,ISNUMBER(AT18),BI18="VALID",BK18="VALID"),"PASS","FAIL")))</x:f>
      </x:c>
      <x:c r="J18" s="2" t="str">
        <x:f>IF(A18="","",IF(BQ18&lt;&gt;"VALID","Verifica ID, echipe, mod si cutoff &lt; kickoff",IF(H18&lt;&gt;"READY",IF('Input_Meci'!I18="ACCESS BLOCKED","Acces blocat: reia sursele",IF(BJ18&gt;0,"Istoric invalid sau conflict: verifica randurile native","Surse neinchise / post-cutoff / dovezi incomplete")),IF(OR('Input_Meci'!I18="NOT AVAILABLE",'Input_Meci'!I18="SOURCE CONFLICT"),'Input_Meci'!I18,IF(BK18&lt;&gt;"VALID","Parametri invalizi",IF(L18&lt;&gt;12,"Core / sample / prior insuficient",IF(AR18&lt;2,"N insuficient pentru dispersie",IF(AS18&lt;=0,"Media istorica trebuie sa fie pozitiva",IF(BI18&lt;&gt;"VALID","Context invalid","READY")))))))))</x:f>
      </x:c>
      <x:c r="K18" s="2" t="str">
        <x:f>IF(A18="","",COUNT(T18:AE18))</x:f>
      </x:c>
      <x:c r="L18" s="2" t="str">
        <x:f>IF(A18="","",COUNT(AF18:AQ18))</x:f>
      </x:c>
      <x:c r="M18" s="2" t="str">
        <x:f>IF(A18="","",IF(OR('Core_Nativ'!M150&lt;'Core_Nativ'!P150,'Core_Nativ'!M151&lt;'Core_Nativ'!P151,'Core_Nativ'!M152&lt;'Core_Nativ'!P152,'Core_Nativ'!M153&lt;'Core_Nativ'!P153,'Core_Nativ'!M154&lt;'Core_Nativ'!P154,'Core_Nativ'!M155&lt;'Core_Nativ'!P155),"YES","NO"))</x:f>
      </x:c>
      <x:c r="N18" s="2" t="str">
        <x:f>IF(A18="","",'Core_Nativ'!M150)</x:f>
      </x:c>
      <x:c r="O18" s="2" t="str">
        <x:f>IF(A18="","",'Core_Nativ'!M151)</x:f>
      </x:c>
      <x:c r="P18" s="2" t="str">
        <x:f>IF(A18="","",'Core_Nativ'!M152)</x:f>
      </x:c>
      <x:c r="Q18" s="2" t="str">
        <x:f>IF(A18="","",'Core_Nativ'!M153)</x:f>
      </x:c>
      <x:c r="R18" s="2" t="str">
        <x:f>IF(A18="","",'Core_Nativ'!M154)</x:f>
      </x:c>
      <x:c r="S18" s="2" t="str">
        <x:f>IF(A18="","",'Core_Nativ'!M155)</x:f>
      </x:c>
      <x:c r="T18" s="11" t="str">
        <x:f>IF(OR(A18="",'Core_Nativ'!M150=0),"",'Core_Nativ'!N150)</x:f>
      </x:c>
      <x:c r="U18" s="11" t="str">
        <x:f>IF(OR(A18="",'Core_Nativ'!M150=0),"",'Core_Nativ'!O150)</x:f>
      </x:c>
      <x:c r="V18" s="11" t="str">
        <x:f>IF(OR(A18="",'Core_Nativ'!M151=0),"",'Core_Nativ'!N151)</x:f>
      </x:c>
      <x:c r="W18" s="11" t="str">
        <x:f>IF(OR(A18="",'Core_Nativ'!M151=0),"",'Core_Nativ'!O151)</x:f>
      </x:c>
      <x:c r="X18" s="11" t="str">
        <x:f>IF(OR(A18="",'Core_Nativ'!M152=0),"",'Core_Nativ'!N152)</x:f>
      </x:c>
      <x:c r="Y18" s="11" t="str">
        <x:f>IF(OR(A18="",'Core_Nativ'!M152=0),"",'Core_Nativ'!O152)</x:f>
      </x:c>
      <x:c r="Z18" s="11" t="str">
        <x:f>IF(OR(A18="",'Core_Nativ'!M153=0),"",'Core_Nativ'!N153)</x:f>
      </x:c>
      <x:c r="AA18" s="11" t="str">
        <x:f>IF(OR(A18="",'Core_Nativ'!M153=0),"",'Core_Nativ'!O153)</x:f>
      </x:c>
      <x:c r="AB18" s="11" t="str">
        <x:f>IF(OR(A18="",'Core_Nativ'!M154=0),"",'Core_Nativ'!N154)</x:f>
      </x:c>
      <x:c r="AC18" s="11" t="str">
        <x:f>IF(OR(A18="",'Core_Nativ'!M154=0),"",'Core_Nativ'!O154)</x:f>
      </x:c>
      <x:c r="AD18" s="11" t="str">
        <x:f>IF(OR(A18="",'Core_Nativ'!M155=0),"",'Core_Nativ'!N155)</x:f>
      </x:c>
      <x:c r="AE18" s="11" t="str">
        <x:f>IF(OR(A18="",'Core_Nativ'!M155=0),"",'Core_Nativ'!O155)</x:f>
      </x:c>
      <x:c r="AF18" s="11" t="str">
        <x:f>IF(A18="","",IF(AND('Core_Nativ'!R150="CLOSED",'Core_Nativ'!S150=0),IF('Core_Nativ'!M150&gt;='Core_Nativ'!P150,'Core_Nativ'!N150,IF(AND('Input_Meci'!L18="YES",'Input_Meci'!K18&lt;&gt;"",'Input_Meci'!K18&lt;C18,'Core_Nativ'!T156="DERIVED",'Core_Nativ'!M156&gt;='Core_Nativ'!P150),MIN(1,'Core_Nativ'!M150/'Core_Nativ'!P150)*IF('Core_Nativ'!M150=0,0,'Core_Nativ'!N150)+(1-MIN(1,'Core_Nativ'!M150/'Core_Nativ'!P150))*'Core_Nativ'!N156,"")),""))</x:f>
      </x:c>
      <x:c r="AG18" s="11" t="str">
        <x:f>IF(A18="","",IF(AND('Core_Nativ'!R150="CLOSED",'Core_Nativ'!S150=0),IF('Core_Nativ'!M150&gt;='Core_Nativ'!P150,'Core_Nativ'!O150,IF(AND('Input_Meci'!L18="YES",'Input_Meci'!K18&lt;&gt;"",'Input_Meci'!K18&lt;C18,'Core_Nativ'!T156="DERIVED",'Core_Nativ'!M156&gt;='Core_Nativ'!P150),MIN(1,'Core_Nativ'!M150/'Core_Nativ'!P150)*IF('Core_Nativ'!M150=0,0,'Core_Nativ'!O150)+(1-MIN(1,'Core_Nativ'!M150/'Core_Nativ'!P150))*'Core_Nativ'!O156,"")),""))</x:f>
      </x:c>
      <x:c r="AH18" s="11" t="str">
        <x:f>IF(A18="","",IF(AND('Core_Nativ'!R151="CLOSED",'Core_Nativ'!S151=0),IF('Core_Nativ'!M151&gt;='Core_Nativ'!P151,'Core_Nativ'!N151,IF(AND('Input_Meci'!L18="YES",'Input_Meci'!K18&lt;&gt;"",'Input_Meci'!K18&lt;C18,'Core_Nativ'!T157="DERIVED",'Core_Nativ'!M157&gt;='Core_Nativ'!P151),MIN(1,'Core_Nativ'!M151/'Core_Nativ'!P151)*IF('Core_Nativ'!M151=0,0,'Core_Nativ'!N151)+(1-MIN(1,'Core_Nativ'!M151/'Core_Nativ'!P151))*'Core_Nativ'!N157,"")),""))</x:f>
      </x:c>
      <x:c r="AI18" s="11" t="str">
        <x:f>IF(A18="","",IF(AND('Core_Nativ'!R151="CLOSED",'Core_Nativ'!S151=0),IF('Core_Nativ'!M151&gt;='Core_Nativ'!P151,'Core_Nativ'!O151,IF(AND('Input_Meci'!L18="YES",'Input_Meci'!K18&lt;&gt;"",'Input_Meci'!K18&lt;C18,'Core_Nativ'!T157="DERIVED",'Core_Nativ'!M157&gt;='Core_Nativ'!P151),MIN(1,'Core_Nativ'!M151/'Core_Nativ'!P151)*IF('Core_Nativ'!M151=0,0,'Core_Nativ'!O151)+(1-MIN(1,'Core_Nativ'!M151/'Core_Nativ'!P151))*'Core_Nativ'!O157,"")),""))</x:f>
      </x:c>
      <x:c r="AJ18" s="11" t="str">
        <x:f>IF(A18="","",IF(AND('Core_Nativ'!R152="CLOSED",'Core_Nativ'!S152=0),IF('Core_Nativ'!M152&gt;='Core_Nativ'!P152,'Core_Nativ'!N152,IF(AND('Input_Meci'!L18="YES",'Input_Meci'!K18&lt;&gt;"",'Input_Meci'!K18&lt;C18,'Core_Nativ'!T158="DERIVED",'Core_Nativ'!M158&gt;='Core_Nativ'!P152),MIN(1,'Core_Nativ'!M152/'Core_Nativ'!P152)*IF('Core_Nativ'!M152=0,0,'Core_Nativ'!N152)+(1-MIN(1,'Core_Nativ'!M152/'Core_Nativ'!P152))*'Core_Nativ'!N158,"")),""))</x:f>
      </x:c>
      <x:c r="AK18" s="11" t="str">
        <x:f>IF(A18="","",IF(AND('Core_Nativ'!R152="CLOSED",'Core_Nativ'!S152=0),IF('Core_Nativ'!M152&gt;='Core_Nativ'!P152,'Core_Nativ'!O152,IF(AND('Input_Meci'!L18="YES",'Input_Meci'!K18&lt;&gt;"",'Input_Meci'!K18&lt;C18,'Core_Nativ'!T158="DERIVED",'Core_Nativ'!M158&gt;='Core_Nativ'!P152),MIN(1,'Core_Nativ'!M152/'Core_Nativ'!P152)*IF('Core_Nativ'!M152=0,0,'Core_Nativ'!O152)+(1-MIN(1,'Core_Nativ'!M152/'Core_Nativ'!P152))*'Core_Nativ'!O158,"")),""))</x:f>
      </x:c>
      <x:c r="AL18" s="11" t="str">
        <x:f>IF(A18="","",IF(AND('Core_Nativ'!R153="CLOSED",'Core_Nativ'!S153=0),IF('Core_Nativ'!M153&gt;='Core_Nativ'!P153,'Core_Nativ'!N153,IF(AND('Input_Meci'!L18="YES",'Input_Meci'!K18&lt;&gt;"",'Input_Meci'!K18&lt;C18,'Core_Nativ'!T159="DERIVED",'Core_Nativ'!M159&gt;='Core_Nativ'!P153),MIN(1,'Core_Nativ'!M153/'Core_Nativ'!P153)*IF('Core_Nativ'!M153=0,0,'Core_Nativ'!N153)+(1-MIN(1,'Core_Nativ'!M153/'Core_Nativ'!P153))*'Core_Nativ'!N159,"")),""))</x:f>
      </x:c>
      <x:c r="AM18" s="11" t="str">
        <x:f>IF(A18="","",IF(AND('Core_Nativ'!R153="CLOSED",'Core_Nativ'!S153=0),IF('Core_Nativ'!M153&gt;='Core_Nativ'!P153,'Core_Nativ'!O153,IF(AND('Input_Meci'!L18="YES",'Input_Meci'!K18&lt;&gt;"",'Input_Meci'!K18&lt;C18,'Core_Nativ'!T159="DERIVED",'Core_Nativ'!M159&gt;='Core_Nativ'!P153),MIN(1,'Core_Nativ'!M153/'Core_Nativ'!P153)*IF('Core_Nativ'!M153=0,0,'Core_Nativ'!O153)+(1-MIN(1,'Core_Nativ'!M153/'Core_Nativ'!P153))*'Core_Nativ'!O159,"")),""))</x:f>
      </x:c>
      <x:c r="AN18" s="11" t="str">
        <x:f>IF(A18="","",IF(AND('Core_Nativ'!R154="CLOSED",'Core_Nativ'!S154=0),IF('Core_Nativ'!M154&gt;='Core_Nativ'!P154,'Core_Nativ'!N154,IF(AND('Input_Meci'!L18="YES",'Input_Meci'!K18&lt;&gt;"",'Input_Meci'!K18&lt;C18,'Core_Nativ'!T160="DERIVED",'Core_Nativ'!M160&gt;='Core_Nativ'!P154),MIN(1,'Core_Nativ'!M154/'Core_Nativ'!P154)*IF('Core_Nativ'!M154=0,0,'Core_Nativ'!N154)+(1-MIN(1,'Core_Nativ'!M154/'Core_Nativ'!P154))*'Core_Nativ'!N160,"")),""))</x:f>
      </x:c>
      <x:c r="AO18" s="11" t="str">
        <x:f>IF(A18="","",IF(AND('Core_Nativ'!R154="CLOSED",'Core_Nativ'!S154=0),IF('Core_Nativ'!M154&gt;='Core_Nativ'!P154,'Core_Nativ'!O154,IF(AND('Input_Meci'!L18="YES",'Input_Meci'!K18&lt;&gt;"",'Input_Meci'!K18&lt;C18,'Core_Nativ'!T160="DERIVED",'Core_Nativ'!M160&gt;='Core_Nativ'!P154),MIN(1,'Core_Nativ'!M154/'Core_Nativ'!P154)*IF('Core_Nativ'!M154=0,0,'Core_Nativ'!O154)+(1-MIN(1,'Core_Nativ'!M154/'Core_Nativ'!P154))*'Core_Nativ'!O160,"")),""))</x:f>
      </x:c>
      <x:c r="AP18" s="11" t="str">
        <x:f>IF(A18="","",IF(AND('Core_Nativ'!R155="CLOSED",'Core_Nativ'!S155=0),IF('Core_Nativ'!M155&gt;='Core_Nativ'!P155,'Core_Nativ'!N155,IF(AND('Input_Meci'!L18="YES",'Input_Meci'!K18&lt;&gt;"",'Input_Meci'!K18&lt;C18,'Core_Nativ'!T161="DERIVED",'Core_Nativ'!M161&gt;='Core_Nativ'!P155),MIN(1,'Core_Nativ'!M155/'Core_Nativ'!P155)*IF('Core_Nativ'!M155=0,0,'Core_Nativ'!N155)+(1-MIN(1,'Core_Nativ'!M155/'Core_Nativ'!P155))*'Core_Nativ'!N161,"")),""))</x:f>
      </x:c>
      <x:c r="AQ18" s="11" t="str">
        <x:f>IF(A18="","",IF(AND('Core_Nativ'!R155="CLOSED",'Core_Nativ'!S155=0),IF('Core_Nativ'!M155&gt;='Core_Nativ'!P155,'Core_Nativ'!O155,IF(AND('Input_Meci'!L18="YES",'Input_Meci'!K18&lt;&gt;"",'Input_Meci'!K18&lt;C18,'Core_Nativ'!T161="DERIVED",'Core_Nativ'!M161&gt;='Core_Nativ'!P155),MIN(1,'Core_Nativ'!M155/'Core_Nativ'!P155)*IF('Core_Nativ'!M155=0,0,'Core_Nativ'!O155)+(1-MIN(1,'Core_Nativ'!M155/'Core_Nativ'!P155))*'Core_Nativ'!O161,"")),""))</x:f>
      </x:c>
      <x:c r="AR18" s="11" t="str">
        <x:f>IF(A18="","",SUMPRODUCT(('Istoric_Nativ'!$B$6:$B$405=B18)*('Istoric_Nativ'!$C$6:$C$405=BL18)*('Istoric_Nativ'!$P$6:$P$405=1)*('Istoric_Nativ'!$D$6:$D$405&lt;INT(G18))*((('Istoric_Nativ'!$E$6:$E$405='Input_Meci'!D18)+('Istoric_Nativ'!$F$6:$F$405='Input_Meci'!D18)+('Istoric_Nativ'!$E$6:$E$405='Input_Meci'!E18)+('Istoric_Nativ'!$F$6:$F$405='Input_Meci'!E18))&gt;0)))</x:f>
      </x:c>
      <x:c r="AS18" s="11" t="str">
        <x:f>IF(AR18=0,"",SUMPRODUCT(('Istoric_Nativ'!$B$6:$B$405=B18)*('Istoric_Nativ'!$C$6:$C$405=BL18)*('Istoric_Nativ'!$P$6:$P$405=1)*('Istoric_Nativ'!$D$6:$D$405&lt;INT(G18))*((('Istoric_Nativ'!$E$6:$E$405='Input_Meci'!D18)+('Istoric_Nativ'!$F$6:$F$405='Input_Meci'!D18)+('Istoric_Nativ'!$E$6:$E$405='Input_Meci'!E18)+('Istoric_Nativ'!$F$6:$F$405='Input_Meci'!E18))&gt;0)*'Istoric_Nativ'!$Q$6:$Q$405)/AR18)</x:f>
      </x:c>
      <x:c r="AT18" s="11" t="str">
        <x:f>IF(AR18&lt;2,"",MAX(0,(SUMPRODUCT(('Istoric_Nativ'!$B$6:$B$405=B18)*('Istoric_Nativ'!$C$6:$C$405=BL18)*('Istoric_Nativ'!$P$6:$P$405=1)*('Istoric_Nativ'!$D$6:$D$405&lt;INT(G18))*((('Istoric_Nativ'!$E$6:$E$405='Input_Meci'!D18)+('Istoric_Nativ'!$F$6:$F$405='Input_Meci'!D18)+('Istoric_Nativ'!$E$6:$E$405='Input_Meci'!E18)+('Istoric_Nativ'!$F$6:$F$405='Input_Meci'!E18))&gt;0)*'Istoric_Nativ'!$R$6:$R$405)-AR18*AS18^2)/(AR18-1)))</x:f>
      </x:c>
      <x:c r="AU18" s="11" t="str">
        <x:f>IF(I18&lt;&gt;"PASS","",AT18/AS18)</x:f>
      </x:c>
      <x:c r="AV18" s="11" t="str">
        <x:f>IF(I18&lt;&gt;"PASS","",IF(AU18&lt;='Config_v6'!$B$10,"POISSON","NEGATIVE BINOMIAL"))</x:f>
      </x:c>
      <x:c r="AW18" s="11" t="str">
        <x:f>IF(I18&lt;&gt;"PASS","",IF(AV18="POISSON",9999,AS18/(AU18-1)))</x:f>
      </x:c>
      <x:c r="AX18" s="11" t="str">
        <x:f>IF(A18="","",MAX(1-'Config_v6'!$B$20,MIN(1+'Config_v6'!$B$20,1+0.02*(IF(AND(ISNUMBER('Input_Meci'!N18),'Input_Meci'!N18&gt;=0,'Input_Meci'!N18&lt;=200),'Input_Meci'!N18,12)/12-1)+0.02*(IF(AND(ISNUMBER('Input_Meci'!P18),'Input_Meci'!P18&gt;=0,'Input_Meci'!P18&lt;=200),'Input_Meci'!P18,3.5)/3.5-1)+0.02*(IF(AND(ISNUMBER('Input_Meci'!R18),'Input_Meci'!R18&gt;=0,'Input_Meci'!R18&lt;=200),'Input_Meci'!R18,18)/18-1)+0.02*((IF(AND(ISNUMBER('Input_Meci'!V18),'Input_Meci'!V18&gt;=0,'Input_Meci'!V18&lt;=10),'Input_Meci'!V18,5)-5)/5))))</x:f>
      </x:c>
      <x:c r="AY18" s="11" t="str">
        <x:f>IF(A18="","",MAX(1-'Config_v6'!$B$20,MIN(1+'Config_v6'!$B$20,1+0.02*(IF(AND(ISNUMBER('Input_Meci'!O18),'Input_Meci'!O18&gt;=0,'Input_Meci'!O18&lt;=200),'Input_Meci'!O18,12)/12-1)+0.02*(IF(AND(ISNUMBER('Input_Meci'!Q18),'Input_Meci'!Q18&gt;=0,'Input_Meci'!Q18&lt;=200),'Input_Meci'!Q18,3.5)/3.5-1)+0.02*(IF(AND(ISNUMBER('Input_Meci'!S18),'Input_Meci'!S18&gt;=0,'Input_Meci'!S18&lt;=200),'Input_Meci'!S18,18)/18-1)+0.02*((IF(AND(ISNUMBER('Input_Meci'!W18),'Input_Meci'!W18&gt;=0,'Input_Meci'!W18&lt;=10),'Input_Meci'!W18,5)-5)/5))))</x:f>
      </x:c>
      <x:c r="AZ18" s="11" t="str">
        <x:f>IF(A18="","",MAX(1-'Config_v6'!$B$21,MIN(1+'Config_v6'!$B$21,1+0.012*(IF('Input_Meci'!X18="",5,IF(ISNUMBER('Input_Meci'!X18),'Input_Meci'!X18,5))-5)+0.018*(IF('Input_Meci'!Z18="",5,IF(ISNUMBER('Input_Meci'!Z18),'Input_Meci'!Z18,5))-5)+0.012*(IF('Input_Meci'!AB18="",5,IF(ISNUMBER('Input_Meci'!AB18),'Input_Meci'!AB18,5))-5)+0.015*IF('Input_Meci'!AD18="",0,IF(ISNUMBER('Input_Meci'!AD18),'Input_Meci'!AD18,0))+0.02*IF('Input_Meci'!AF18="",0,IF(ISNUMBER('Input_Meci'!AF18),'Input_Meci'!AF18,0)))))</x:f>
      </x:c>
      <x:c r="BA18" s="11" t="str">
        <x:f>IF(A18="","",MAX(1-'Config_v6'!$B$21,MIN(1+'Config_v6'!$B$21,1+0.012*(IF('Input_Meci'!Y18="",5,IF(ISNUMBER('Input_Meci'!Y18),'Input_Meci'!Y18,5))-5)+0.018*(IF('Input_Meci'!AA18="",5,IF(ISNUMBER('Input_Meci'!AA18),'Input_Meci'!AA18,5))-5)+0.012*(IF('Input_Meci'!AC18="",5,IF(ISNUMBER('Input_Meci'!AC18),'Input_Meci'!AC18,5))-5)+0.015*IF('Input_Meci'!AE18="",0,IF(ISNUMBER('Input_Meci'!AE18),'Input_Meci'!AE18,0))+0.02*IF('Input_Meci'!AG18="",0,IF(ISNUMBER('Input_Meci'!AG18),'Input_Meci'!AG18,0)))))</x:f>
      </x:c>
      <x:c r="BB18" s="11" t="str">
        <x:f>IF(I18&lt;&gt;"PASS","",(AVERAGE(AF18,AM18)*'Config_v6'!$B$4+AVERAGE(AH18,AO18)*'Config_v6'!$B$5+AVERAGE(AJ18,AQ18)*'Config_v6'!$B$6)*AX18*AZ18)</x:f>
      </x:c>
      <x:c r="BC18" s="11" t="str">
        <x:f>IF(I18&lt;&gt;"PASS","",(AVERAGE(AL18,AG18)*'Config_v6'!$B$4+AVERAGE(AN18,AI18)*'Config_v6'!$B$5+AVERAGE(AP18,AK18)*'Config_v6'!$B$6)*AY18*BA18)</x:f>
      </x:c>
      <x:c r="BD18" s="11" t="str">
        <x:f>IF(I18&lt;&gt;"PASS","",BB18+BC18)</x:f>
      </x:c>
      <x:c r="BE18" s="11" t="str">
        <x:f>IF(A18="","",10-SUM(IF(AND(ISNUMBER('Input_Meci'!N18),'Input_Meci'!N18&gt;=0,'Input_Meci'!N18&lt;=200),1,0),IF(AND(ISNUMBER('Input_Meci'!O18),'Input_Meci'!O18&gt;=0,'Input_Meci'!O18&lt;=200),1,0),IF(AND(ISNUMBER('Input_Meci'!P18),'Input_Meci'!P18&gt;=0,'Input_Meci'!P18&lt;=200),1,0),IF(AND(ISNUMBER('Input_Meci'!Q18),'Input_Meci'!Q18&gt;=0,'Input_Meci'!Q18&lt;=200),1,0),IF(AND(ISNUMBER('Input_Meci'!R18),'Input_Meci'!R18&gt;=0,'Input_Meci'!R18&lt;=200),1,0),IF(AND(ISNUMBER('Input_Meci'!S18),'Input_Meci'!S18&gt;=0,'Input_Meci'!S18&lt;=200),1,0),IF(AND(ISNUMBER('Input_Meci'!T18),'Input_Meci'!T18&gt;=0,'Input_Meci'!T18&lt;=100),1,0),IF(AND(ISNUMBER('Input_Meci'!U18),'Input_Meci'!U18&gt;=0,'Input_Meci'!U18&lt;=100),1,0),IF(AND(ISNUMBER('Input_Meci'!V18),'Input_Meci'!V18&gt;=0,'Input_Meci'!V18&lt;=10),1,0),IF(AND(ISNUMBER('Input_Meci'!W18),'Input_Meci'!W18&gt;=0,'Input_Meci'!W18&lt;=10),1,0)))</x:f>
      </x:c>
      <x:c r="BF18" s="11" t="str">
        <x:f>IF(I18&lt;&gt;"PASS","",MAX(0,MIN(IF(OR(M18="YES",BL18&lt;&gt;C18),'Config_v6'!$B$34,100),ROUND(40+25*MIN(1,MIN(N18,Q18)/'Config_v6'!$B$7)*MIN(1,MIN(O18,R18)/'Config_v6'!$B$8)*MIN(1,MIN(P18,S18)/'Config_v6'!$B$9)+MAX(0,15-2*ABS(AF18-AJ18)-2*ABS(AL18-AP18))+IF(AU18&lt;='Config_v6'!$B$10,15,IF(AU18&lt;='Config_v6'!$B$11,13,IF(AU18&lt;='Config_v6'!$B$12,10,IF(AU18&lt;='Config_v6'!$B$13,6,0))))+5-BE18/10*'Config_v6'!$B$38,0))))</x:f>
      </x:c>
      <x:c r="BG18" s="11" t="str">
        <x:f>IF(I18&lt;&gt;"PASS","",MIN(1,'Config_v6'!$B$14*(0.7+0.3*MIN(1,AR18/'Config_v6'!$B$15))*IF(AU18&lt;='Config_v6'!$B$10,1,IF(AU18&lt;='Config_v6'!$B$11,0.95,IF(AU18&lt;='Config_v6'!$B$12,0.88,0.78)))*(0.75+0.25*BF18/100)))</x:f>
      </x:c>
      <x:c r="BH18" s="11" t="str">
        <x:f>IF(I18&lt;&gt;"PASS","",MIN(1,(ABS(AZ18-1)+ABS(BA18-1))*3))</x:f>
      </x:c>
      <x:c r="BI18" s="2" t="str">
        <x:f>IF(A18="","",IF(AND(OR('Input_Meci'!X18="",AND(ISNUMBER('Input_Meci'!X18),'Input_Meci'!X18&gt;=0,'Input_Meci'!X18&lt;=10)),OR('Input_Meci'!Y18="",AND(ISNUMBER('Input_Meci'!Y18),'Input_Meci'!Y18&gt;=0,'Input_Meci'!Y18&lt;=10)),OR('Input_Meci'!Z18="",AND(ISNUMBER('Input_Meci'!Z18),'Input_Meci'!Z18&gt;=0,'Input_Meci'!Z18&lt;=10)),OR('Input_Meci'!AA18="",AND(ISNUMBER('Input_Meci'!AA18),'Input_Meci'!AA18&gt;=0,'Input_Meci'!AA18&lt;=10)),OR('Input_Meci'!AB18="",AND(ISNUMBER('Input_Meci'!AB18),'Input_Meci'!AB18&gt;=0,'Input_Meci'!AB18&lt;=10)),OR('Input_Meci'!AC18="",AND(ISNUMBER('Input_Meci'!AC18),'Input_Meci'!AC18&gt;=0,'Input_Meci'!AC18&lt;=10)),OR('Input_Meci'!AD18="",AND(ISNUMBER('Input_Meci'!AD18),'Input_Meci'!AD18&gt;=-2,'Input_Meci'!AD18&lt;=2)),OR('Input_Meci'!AE18="",AND(ISNUMBER('Input_Meci'!AE18),'Input_Meci'!AE18&gt;=-2,'Input_Meci'!AE18&lt;=2)),OR('Input_Meci'!AF18="",AND(ISNUMBER('Input_Meci'!AF18),'Input_Meci'!AF18&gt;=-2,'Input_Meci'!AF18&lt;=2)),OR('Input_Meci'!AG18="",AND(ISNUMBER('Input_Meci'!AG18),'Input_Meci'!AG18&gt;=-2,'Input_Meci'!AG18&lt;=2))),"VALID","INVALID"))</x:f>
      </x:c>
      <x:c r="BJ18" s="2" t="n">
        <x:f>IF(A18="",0,SUM('Core_Nativ'!S150:S155))</x:f>
        <x:v>0</x:v>
      </x:c>
      <x:c r="BK18" s="2" t="str">
        <x:f>'Config_v6'!$B$40</x:f>
        <x:v>VALID</x:v>
      </x:c>
      <x:c r="BL18" s="2" t="str">
        <x:f>IF(A18="","",IF(SUMPRODUCT(('Istoric_Nativ'!$B$6:$B$405=B18)*('Istoric_Nativ'!$C$6:$C$405=C18)*('Istoric_Nativ'!$P$6:$P$405=1)*('Istoric_Nativ'!$D$6:$D$405&lt;INT(G18))*((('Istoric_Nativ'!$E$6:$E$405='Input_Meci'!D18)+('Istoric_Nativ'!$F$6:$F$405='Input_Meci'!D18)+('Istoric_Nativ'!$E$6:$E$405='Input_Meci'!E18)+('Istoric_Nativ'!$F$6:$F$405='Input_Meci'!E18))&gt;0))&gt;='Config_v6'!$B$41,C18,IF(AND('Input_Meci'!L18="YES",'Input_Meci'!K18&lt;&gt;"",'Input_Meci'!K18&lt;C18,COUNTIF('Core_Nativ'!R156:R161,"CLOSED")=6,SUM('Core_Nativ'!S156:S161)=0),'Input_Meci'!K18,C18)))</x:f>
      </x:c>
      <x:c r="BM18" s="9" t="n">
        <x:f>IF(OR(A18="",N18=0),0,LARGE(_xlfn._xlws.FILTER('Istoric_Nativ'!$D$6:$D$405,('Istoric_Nativ'!$B$6:$B$405=B18)*('Istoric_Nativ'!$C$6:$C$405=C18)*('Istoric_Nativ'!$P$6:$P$405=1)*('Istoric_Nativ'!$D$6:$D$405&lt;INT(G18))*((('Istoric_Nativ'!$E$6:$E$405='Input_Meci'!D18)+('Istoric_Nativ'!$F$6:$F$405='Input_Meci'!D18))&gt;0)),MIN(10,N18)))</x:f>
        <x:v>0</x:v>
      </x:c>
      <x:c r="BN18" s="9" t="n">
        <x:f>IF(OR(A18="",Q18=0),0,LARGE(_xlfn._xlws.FILTER('Istoric_Nativ'!$D$6:$D$405,('Istoric_Nativ'!$B$6:$B$405=B18)*('Istoric_Nativ'!$C$6:$C$405=C18)*('Istoric_Nativ'!$P$6:$P$405=1)*('Istoric_Nativ'!$D$6:$D$405&lt;INT(G18))*((('Istoric_Nativ'!$E$6:$E$405='Input_Meci'!E18)+('Istoric_Nativ'!$F$6:$F$405='Input_Meci'!E18))&gt;0)),MIN(10,Q18)))</x:f>
        <x:v>0</x:v>
      </x:c>
      <x:c r="BO18" s="9" t="n">
        <x:f>IF(OR(A18="",N18=0),0,LARGE(_xlfn._xlws.FILTER('Istoric_Nativ'!$D$6:$D$405,('Istoric_Nativ'!$B$6:$B$405=B18)*('Istoric_Nativ'!$C$6:$C$405=C18)*('Istoric_Nativ'!$P$6:$P$405=1)*('Istoric_Nativ'!$D$6:$D$405&lt;INT(G18))*((('Istoric_Nativ'!$E$6:$E$405='Input_Meci'!D18)+('Istoric_Nativ'!$F$6:$F$405='Input_Meci'!D18))&gt;0)),MIN(20,N18)))</x:f>
        <x:v>0</x:v>
      </x:c>
      <x:c r="BP18" s="9" t="n">
        <x:f>IF(OR(A18="",Q18=0),0,LARGE(_xlfn._xlws.FILTER('Istoric_Nativ'!$D$6:$D$405,('Istoric_Nativ'!$B$6:$B$405=B18)*('Istoric_Nativ'!$C$6:$C$405=C18)*('Istoric_Nativ'!$P$6:$P$405=1)*('Istoric_Nativ'!$D$6:$D$405&lt;INT(G18))*((('Istoric_Nativ'!$E$6:$E$405='Input_Meci'!E18)+('Istoric_Nativ'!$F$6:$F$405='Input_Meci'!E18))&gt;0)),MIN(20,Q18)))</x:f>
        <x:v>0</x:v>
      </x:c>
      <x:c r="BQ18" s="2" t="str">
        <x:f>IF(A18="","",IF(AND(COUNTIF(MatchesTable[Match_ID],A18)=1,COUNTIFS(MatchesTable[League],B18,MatchesTable[Season],C18,MatchesTable[Home],'Input_Meci'!D18,MatchesTable[Away],'Input_Meci'!E18,MatchesTable[Kickoff_UTC],F18)=1,B18&lt;&gt;"",C18&lt;&gt;"",'Input_Meci'!D18&lt;&gt;"",'Input_Meci'!E18&lt;&gt;"",'Input_Meci'!D18&lt;&gt;'Input_Meci'!E18,ISNUMBER(F18),ISNUMBER(G18),G18&lt;F18,OR(E18="LIVE",E18="REPLAY"),OR('Input_Meci'!L18="YES",'Input_Meci'!L18="NO",'Input_Meci'!L18="")),"VALID","INVALID"))</x:f>
      </x:c>
      <x:c r="BR18" s="2" t="n">
        <x:f>IF(I18&lt;&gt;"PASS",0,SUMPRODUCT(('Istoric_Nativ'!$B$6:$B$405='Input_Meci'!B18)*('Istoric_Nativ'!$C$6:$C$405='Input_Meci'!C18)*('Istoric_Nativ'!$P$6:$P$405=1)*('Istoric_Nativ'!$D$6:$D$405&lt;INT('Input_Meci'!G18))*((('Istoric_Nativ'!$E$6:$E$405='Input_Meci'!D18)+('Istoric_Nativ'!$F$6:$F$405='Input_Meci'!E18))&gt;0)))</x:f>
        <x:v>0</x:v>
      </x:c>
      <x:c r="BS18" s="2" t="n">
        <x:f>IF(I18&lt;&gt;"PASS",0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BM18)+((('Istoric_Nativ'!$E$6:$E$405='Input_Meci'!E18)+('Istoric_Nativ'!$F$6:$F$405='Input_Meci'!E18))&gt;0)*('Istoric_Nativ'!$D$6:$D$405&gt;=BN18))&gt;0)))</x:f>
        <x:v>0</x:v>
      </x:c>
      <x:c r="BT18" s="2" t="n">
        <x:f>IF(I18&lt;&gt;"PASS",0,SUMPRODUCT(('Istoric_Nativ'!$B$6:$B$405='Input_Meci'!B18)*('Istoric_Nativ'!$C$6:$C$405='Input_Meci'!C18)*('Istoric_Nativ'!$P$6:$P$405=1)*('Istoric_Nativ'!$D$6:$D$405&lt;INT('Input_Meci'!G18))*((((('Istoric_Nativ'!$E$6:$E$405='Input_Meci'!D18)+('Istoric_Nativ'!$F$6:$F$405='Input_Meci'!D18))&gt;0)*('Istoric_Nativ'!$D$6:$D$405&gt;=BO18)+((('Istoric_Nativ'!$E$6:$E$405='Input_Meci'!E18)+('Istoric_Nativ'!$F$6:$F$405='Input_Meci'!E18))&gt;0)*('Istoric_Nativ'!$D$6:$D$405&gt;=BP18))&gt;0)))</x:f>
        <x:v>0</x:v>
      </x:c>
    </x:row>
    <x:row r="19" ht="21" customHeight="1">
      <x:c r="A19" s="2" t="str">
        <x:f>IF('Input_Meci'!A19="","",'Input_Meci'!A19)</x:f>
      </x:c>
      <x:c r="B19" s="2" t="str">
        <x:f>IF(A19="","",'Input_Meci'!B19)</x:f>
      </x:c>
      <x:c r="C19" s="2" t="str">
        <x:f>IF(A19="","",'Input_Meci'!C19)</x:f>
      </x:c>
      <x:c r="D19" s="2" t="str">
        <x:f>IF(A19="","",'Input_Meci'!D19&amp;" – "&amp;'Input_Meci'!E19)</x:f>
      </x:c>
      <x:c r="E19" s="2" t="str">
        <x:f>IF(A19="","",'Input_Meci'!H19)</x:f>
      </x:c>
      <x:c r="F19" s="9" t="str">
        <x:f>IF(A19="","",'Input_Meci'!F19)</x:f>
      </x:c>
      <x:c r="G19" s="9" t="str">
        <x:f>IF(A19="","",'Input_Meci'!G19)</x:f>
      </x:c>
      <x:c r="H19" s="2" t="str">
        <x:f>IF(A19="","",IF(BQ19&lt;&gt;"VALID","NOT RELEASED",IF(AND(OR('Input_Meci'!I19="NOT AVAILABLE",'Input_Meci'!I19="SOURCE CONFLICT"),'Input_Meci'!J19&lt;&gt;""),"READY",IF(OR(NOT(OR('Input_Meci'!I19="AUTO",'Input_Meci'!I19="")),COUNTIF('Core_Nativ'!R162:R167,"CLOSED")&lt;&gt;6,BJ19&gt;0),"NOT RELEASED","READY"))))</x:f>
      </x:c>
      <x:c r="I19" s="2" t="str">
        <x:f>IF(A19="","",IF(H19&lt;&gt;"READY","NOT RELEASED",IF(AND(NOT(OR('Input_Meci'!I19="NOT AVAILABLE",'Input_Meci'!I19="SOURCE CONFLICT")),L19=12,AR19&gt;=2,AS19&gt;0,ISNUMBER(AT19),BI19="VALID",BK19="VALID"),"PASS","FAIL")))</x:f>
      </x:c>
      <x:c r="J19" s="2" t="str">
        <x:f>IF(A19="","",IF(BQ19&lt;&gt;"VALID","Verifica ID, echipe, mod si cutoff &lt; kickoff",IF(H19&lt;&gt;"READY",IF('Input_Meci'!I19="ACCESS BLOCKED","Acces blocat: reia sursele",IF(BJ19&gt;0,"Istoric invalid sau conflict: verifica randurile native","Surse neinchise / post-cutoff / dovezi incomplete")),IF(OR('Input_Meci'!I19="NOT AVAILABLE",'Input_Meci'!I19="SOURCE CONFLICT"),'Input_Meci'!I19,IF(BK19&lt;&gt;"VALID","Parametri invalizi",IF(L19&lt;&gt;12,"Core / sample / prior insuficient",IF(AR19&lt;2,"N insuficient pentru dispersie",IF(AS19&lt;=0,"Media istorica trebuie sa fie pozitiva",IF(BI19&lt;&gt;"VALID","Context invalid","READY")))))))))</x:f>
      </x:c>
      <x:c r="K19" s="2" t="str">
        <x:f>IF(A19="","",COUNT(T19:AE19))</x:f>
      </x:c>
      <x:c r="L19" s="2" t="str">
        <x:f>IF(A19="","",COUNT(AF19:AQ19))</x:f>
      </x:c>
      <x:c r="M19" s="2" t="str">
        <x:f>IF(A19="","",IF(OR('Core_Nativ'!M162&lt;'Core_Nativ'!P162,'Core_Nativ'!M163&lt;'Core_Nativ'!P163,'Core_Nativ'!M164&lt;'Core_Nativ'!P164,'Core_Nativ'!M165&lt;'Core_Nativ'!P165,'Core_Nativ'!M166&lt;'Core_Nativ'!P166,'Core_Nativ'!M167&lt;'Core_Nativ'!P167),"YES","NO"))</x:f>
      </x:c>
      <x:c r="N19" s="2" t="str">
        <x:f>IF(A19="","",'Core_Nativ'!M162)</x:f>
      </x:c>
      <x:c r="O19" s="2" t="str">
        <x:f>IF(A19="","",'Core_Nativ'!M163)</x:f>
      </x:c>
      <x:c r="P19" s="2" t="str">
        <x:f>IF(A19="","",'Core_Nativ'!M164)</x:f>
      </x:c>
      <x:c r="Q19" s="2" t="str">
        <x:f>IF(A19="","",'Core_Nativ'!M165)</x:f>
      </x:c>
      <x:c r="R19" s="2" t="str">
        <x:f>IF(A19="","",'Core_Nativ'!M166)</x:f>
      </x:c>
      <x:c r="S19" s="2" t="str">
        <x:f>IF(A19="","",'Core_Nativ'!M167)</x:f>
      </x:c>
      <x:c r="T19" s="11" t="str">
        <x:f>IF(OR(A19="",'Core_Nativ'!M162=0),"",'Core_Nativ'!N162)</x:f>
      </x:c>
      <x:c r="U19" s="11" t="str">
        <x:f>IF(OR(A19="",'Core_Nativ'!M162=0),"",'Core_Nativ'!O162)</x:f>
      </x:c>
      <x:c r="V19" s="11" t="str">
        <x:f>IF(OR(A19="",'Core_Nativ'!M163=0),"",'Core_Nativ'!N163)</x:f>
      </x:c>
      <x:c r="W19" s="11" t="str">
        <x:f>IF(OR(A19="",'Core_Nativ'!M163=0),"",'Core_Nativ'!O163)</x:f>
      </x:c>
      <x:c r="X19" s="11" t="str">
        <x:f>IF(OR(A19="",'Core_Nativ'!M164=0),"",'Core_Nativ'!N164)</x:f>
      </x:c>
      <x:c r="Y19" s="11" t="str">
        <x:f>IF(OR(A19="",'Core_Nativ'!M164=0),"",'Core_Nativ'!O164)</x:f>
      </x:c>
      <x:c r="Z19" s="11" t="str">
        <x:f>IF(OR(A19="",'Core_Nativ'!M165=0),"",'Core_Nativ'!N165)</x:f>
      </x:c>
      <x:c r="AA19" s="11" t="str">
        <x:f>IF(OR(A19="",'Core_Nativ'!M165=0),"",'Core_Nativ'!O165)</x:f>
      </x:c>
      <x:c r="AB19" s="11" t="str">
        <x:f>IF(OR(A19="",'Core_Nativ'!M166=0),"",'Core_Nativ'!N166)</x:f>
      </x:c>
      <x:c r="AC19" s="11" t="str">
        <x:f>IF(OR(A19="",'Core_Nativ'!M166=0),"",'Core_Nativ'!O166)</x:f>
      </x:c>
      <x:c r="AD19" s="11" t="str">
        <x:f>IF(OR(A19="",'Core_Nativ'!M167=0),"",'Core_Nativ'!N167)</x:f>
      </x:c>
      <x:c r="AE19" s="11" t="str">
        <x:f>IF(OR(A19="",'Core_Nativ'!M167=0),"",'Core_Nativ'!O167)</x:f>
      </x:c>
      <x:c r="AF19" s="11" t="str">
        <x:f>IF(A19="","",IF(AND('Core_Nativ'!R162="CLOSED",'Core_Nativ'!S162=0),IF('Core_Nativ'!M162&gt;='Core_Nativ'!P162,'Core_Nativ'!N162,IF(AND('Input_Meci'!L19="YES",'Input_Meci'!K19&lt;&gt;"",'Input_Meci'!K19&lt;C19,'Core_Nativ'!T168="DERIVED",'Core_Nativ'!M168&gt;='Core_Nativ'!P162),MIN(1,'Core_Nativ'!M162/'Core_Nativ'!P162)*IF('Core_Nativ'!M162=0,0,'Core_Nativ'!N162)+(1-MIN(1,'Core_Nativ'!M162/'Core_Nativ'!P162))*'Core_Nativ'!N168,"")),""))</x:f>
      </x:c>
      <x:c r="AG19" s="11" t="str">
        <x:f>IF(A19="","",IF(AND('Core_Nativ'!R162="CLOSED",'Core_Nativ'!S162=0),IF('Core_Nativ'!M162&gt;='Core_Nativ'!P162,'Core_Nativ'!O162,IF(AND('Input_Meci'!L19="YES",'Input_Meci'!K19&lt;&gt;"",'Input_Meci'!K19&lt;C19,'Core_Nativ'!T168="DERIVED",'Core_Nativ'!M168&gt;='Core_Nativ'!P162),MIN(1,'Core_Nativ'!M162/'Core_Nativ'!P162)*IF('Core_Nativ'!M162=0,0,'Core_Nativ'!O162)+(1-MIN(1,'Core_Nativ'!M162/'Core_Nativ'!P162))*'Core_Nativ'!O168,"")),""))</x:f>
      </x:c>
      <x:c r="AH19" s="11" t="str">
        <x:f>IF(A19="","",IF(AND('Core_Nativ'!R163="CLOSED",'Core_Nativ'!S163=0),IF('Core_Nativ'!M163&gt;='Core_Nativ'!P163,'Core_Nativ'!N163,IF(AND('Input_Meci'!L19="YES",'Input_Meci'!K19&lt;&gt;"",'Input_Meci'!K19&lt;C19,'Core_Nativ'!T169="DERIVED",'Core_Nativ'!M169&gt;='Core_Nativ'!P163),MIN(1,'Core_Nativ'!M163/'Core_Nativ'!P163)*IF('Core_Nativ'!M163=0,0,'Core_Nativ'!N163)+(1-MIN(1,'Core_Nativ'!M163/'Core_Nativ'!P163))*'Core_Nativ'!N169,"")),""))</x:f>
      </x:c>
      <x:c r="AI19" s="11" t="str">
        <x:f>IF(A19="","",IF(AND('Core_Nativ'!R163="CLOSED",'Core_Nativ'!S163=0),IF('Core_Nativ'!M163&gt;='Core_Nativ'!P163,'Core_Nativ'!O163,IF(AND('Input_Meci'!L19="YES",'Input_Meci'!K19&lt;&gt;"",'Input_Meci'!K19&lt;C19,'Core_Nativ'!T169="DERIVED",'Core_Nativ'!M169&gt;='Core_Nativ'!P163),MIN(1,'Core_Nativ'!M163/'Core_Nativ'!P163)*IF('Core_Nativ'!M163=0,0,'Core_Nativ'!O163)+(1-MIN(1,'Core_Nativ'!M163/'Core_Nativ'!P163))*'Core_Nativ'!O169,"")),""))</x:f>
      </x:c>
      <x:c r="AJ19" s="11" t="str">
        <x:f>IF(A19="","",IF(AND('Core_Nativ'!R164="CLOSED",'Core_Nativ'!S164=0),IF('Core_Nativ'!M164&gt;='Core_Nativ'!P164,'Core_Nativ'!N164,IF(AND('Input_Meci'!L19="YES",'Input_Meci'!K19&lt;&gt;"",'Input_Meci'!K19&lt;C19,'Core_Nativ'!T170="DERIVED",'Core_Nativ'!M170&gt;='Core_Nativ'!P164),MIN(1,'Core_Nativ'!M164/'Core_Nativ'!P164)*IF('Core_Nativ'!M164=0,0,'Core_Nativ'!N164)+(1-MIN(1,'Core_Nativ'!M164/'Core_Nativ'!P164))*'Core_Nativ'!N170,"")),""))</x:f>
      </x:c>
      <x:c r="AK19" s="11" t="str">
        <x:f>IF(A19="","",IF(AND('Core_Nativ'!R164="CLOSED",'Core_Nativ'!S164=0),IF('Core_Nativ'!M164&gt;='Core_Nativ'!P164,'Core_Nativ'!O164,IF(AND('Input_Meci'!L19="YES",'Input_Meci'!K19&lt;&gt;"",'Input_Meci'!K19&lt;C19,'Core_Nativ'!T170="DERIVED",'Core_Nativ'!M170&gt;='Core_Nativ'!P164),MIN(1,'Core_Nativ'!M164/'Core_Nativ'!P164)*IF('Core_Nativ'!M164=0,0,'Core_Nativ'!O164)+(1-MIN(1,'Core_Nativ'!M164/'Core_Nativ'!P164))*'Core_Nativ'!O170,"")),""))</x:f>
      </x:c>
      <x:c r="AL19" s="11" t="str">
        <x:f>IF(A19="","",IF(AND('Core_Nativ'!R165="CLOSED",'Core_Nativ'!S165=0),IF('Core_Nativ'!M165&gt;='Core_Nativ'!P165,'Core_Nativ'!N165,IF(AND('Input_Meci'!L19="YES",'Input_Meci'!K19&lt;&gt;"",'Input_Meci'!K19&lt;C19,'Core_Nativ'!T171="DERIVED",'Core_Nativ'!M171&gt;='Core_Nativ'!P165),MIN(1,'Core_Nativ'!M165/'Core_Nativ'!P165)*IF('Core_Nativ'!M165=0,0,'Core_Nativ'!N165)+(1-MIN(1,'Core_Nativ'!M165/'Core_Nativ'!P165))*'Core_Nativ'!N171,"")),""))</x:f>
      </x:c>
      <x:c r="AM19" s="11" t="str">
        <x:f>IF(A19="","",IF(AND('Core_Nativ'!R165="CLOSED",'Core_Nativ'!S165=0),IF('Core_Nativ'!M165&gt;='Core_Nativ'!P165,'Core_Nativ'!O165,IF(AND('Input_Meci'!L19="YES",'Input_Meci'!K19&lt;&gt;"",'Input_Meci'!K19&lt;C19,'Core_Nativ'!T171="DERIVED",'Core_Nativ'!M171&gt;='Core_Nativ'!P165),MIN(1,'Core_Nativ'!M165/'Core_Nativ'!P165)*IF('Core_Nativ'!M165=0,0,'Core_Nativ'!O165)+(1-MIN(1,'Core_Nativ'!M165/'Core_Nativ'!P165))*'Core_Nativ'!O171,"")),""))</x:f>
      </x:c>
      <x:c r="AN19" s="11" t="str">
        <x:f>IF(A19="","",IF(AND('Core_Nativ'!R166="CLOSED",'Core_Nativ'!S166=0),IF('Core_Nativ'!M166&gt;='Core_Nativ'!P166,'Core_Nativ'!N166,IF(AND('Input_Meci'!L19="YES",'Input_Meci'!K19&lt;&gt;"",'Input_Meci'!K19&lt;C19,'Core_Nativ'!T172="DERIVED",'Core_Nativ'!M172&gt;='Core_Nativ'!P166),MIN(1,'Core_Nativ'!M166/'Core_Nativ'!P166)*IF('Core_Nativ'!M166=0,0,'Core_Nativ'!N166)+(1-MIN(1,'Core_Nativ'!M166/'Core_Nativ'!P166))*'Core_Nativ'!N172,"")),""))</x:f>
      </x:c>
      <x:c r="AO19" s="11" t="str">
        <x:f>IF(A19="","",IF(AND('Core_Nativ'!R166="CLOSED",'Core_Nativ'!S166=0),IF('Core_Nativ'!M166&gt;='Core_Nativ'!P166,'Core_Nativ'!O166,IF(AND('Input_Meci'!L19="YES",'Input_Meci'!K19&lt;&gt;"",'Input_Meci'!K19&lt;C19,'Core_Nativ'!T172="DERIVED",'Core_Nativ'!M172&gt;='Core_Nativ'!P166),MIN(1,'Core_Nativ'!M166/'Core_Nativ'!P166)*IF('Core_Nativ'!M166=0,0,'Core_Nativ'!O166)+(1-MIN(1,'Core_Nativ'!M166/'Core_Nativ'!P166))*'Core_Nativ'!O172,"")),""))</x:f>
      </x:c>
      <x:c r="AP19" s="11" t="str">
        <x:f>IF(A19="","",IF(AND('Core_Nativ'!R167="CLOSED",'Core_Nativ'!S167=0),IF('Core_Nativ'!M167&gt;='Core_Nativ'!P167,'Core_Nativ'!N167,IF(AND('Input_Meci'!L19="YES",'Input_Meci'!K19&lt;&gt;"",'Input_Meci'!K19&lt;C19,'Core_Nativ'!T173="DERIVED",'Core_Nativ'!M173&gt;='Core_Nativ'!P167),MIN(1,'Core_Nativ'!M167/'Core_Nativ'!P167)*IF('Core_Nativ'!M167=0,0,'Core_Nativ'!N167)+(1-MIN(1,'Core_Nativ'!M167/'Core_Nativ'!P167))*'Core_Nativ'!N173,"")),""))</x:f>
      </x:c>
      <x:c r="AQ19" s="11" t="str">
        <x:f>IF(A19="","",IF(AND('Core_Nativ'!R167="CLOSED",'Core_Nativ'!S167=0),IF('Core_Nativ'!M167&gt;='Core_Nativ'!P167,'Core_Nativ'!O167,IF(AND('Input_Meci'!L19="YES",'Input_Meci'!K19&lt;&gt;"",'Input_Meci'!K19&lt;C19,'Core_Nativ'!T173="DERIVED",'Core_Nativ'!M173&gt;='Core_Nativ'!P167),MIN(1,'Core_Nativ'!M167/'Core_Nativ'!P167)*IF('Core_Nativ'!M167=0,0,'Core_Nativ'!O167)+(1-MIN(1,'Core_Nativ'!M167/'Core_Nativ'!P167))*'Core_Nativ'!O173,"")),""))</x:f>
      </x:c>
      <x:c r="AR19" s="11" t="str">
        <x:f>IF(A19="","",SUMPRODUCT(('Istoric_Nativ'!$B$6:$B$405=B19)*('Istoric_Nativ'!$C$6:$C$405=BL19)*('Istoric_Nativ'!$P$6:$P$405=1)*('Istoric_Nativ'!$D$6:$D$405&lt;INT(G19))*((('Istoric_Nativ'!$E$6:$E$405='Input_Meci'!D19)+('Istoric_Nativ'!$F$6:$F$405='Input_Meci'!D19)+('Istoric_Nativ'!$E$6:$E$405='Input_Meci'!E19)+('Istoric_Nativ'!$F$6:$F$405='Input_Meci'!E19))&gt;0)))</x:f>
      </x:c>
      <x:c r="AS19" s="11" t="str">
        <x:f>IF(AR19=0,"",SUMPRODUCT(('Istoric_Nativ'!$B$6:$B$405=B19)*('Istoric_Nativ'!$C$6:$C$405=BL19)*('Istoric_Nativ'!$P$6:$P$405=1)*('Istoric_Nativ'!$D$6:$D$405&lt;INT(G19))*((('Istoric_Nativ'!$E$6:$E$405='Input_Meci'!D19)+('Istoric_Nativ'!$F$6:$F$405='Input_Meci'!D19)+('Istoric_Nativ'!$E$6:$E$405='Input_Meci'!E19)+('Istoric_Nativ'!$F$6:$F$405='Input_Meci'!E19))&gt;0)*'Istoric_Nativ'!$Q$6:$Q$405)/AR19)</x:f>
      </x:c>
      <x:c r="AT19" s="11" t="str">
        <x:f>IF(AR19&lt;2,"",MAX(0,(SUMPRODUCT(('Istoric_Nativ'!$B$6:$B$405=B19)*('Istoric_Nativ'!$C$6:$C$405=BL19)*('Istoric_Nativ'!$P$6:$P$405=1)*('Istoric_Nativ'!$D$6:$D$405&lt;INT(G19))*((('Istoric_Nativ'!$E$6:$E$405='Input_Meci'!D19)+('Istoric_Nativ'!$F$6:$F$405='Input_Meci'!D19)+('Istoric_Nativ'!$E$6:$E$405='Input_Meci'!E19)+('Istoric_Nativ'!$F$6:$F$405='Input_Meci'!E19))&gt;0)*'Istoric_Nativ'!$R$6:$R$405)-AR19*AS19^2)/(AR19-1)))</x:f>
      </x:c>
      <x:c r="AU19" s="11" t="str">
        <x:f>IF(I19&lt;&gt;"PASS","",AT19/AS19)</x:f>
      </x:c>
      <x:c r="AV19" s="11" t="str">
        <x:f>IF(I19&lt;&gt;"PASS","",IF(AU19&lt;='Config_v6'!$B$10,"POISSON","NEGATIVE BINOMIAL"))</x:f>
      </x:c>
      <x:c r="AW19" s="11" t="str">
        <x:f>IF(I19&lt;&gt;"PASS","",IF(AV19="POISSON",9999,AS19/(AU19-1)))</x:f>
      </x:c>
      <x:c r="AX19" s="11" t="str">
        <x:f>IF(A19="","",MAX(1-'Config_v6'!$B$20,MIN(1+'Config_v6'!$B$20,1+0.02*(IF(AND(ISNUMBER('Input_Meci'!N19),'Input_Meci'!N19&gt;=0,'Input_Meci'!N19&lt;=200),'Input_Meci'!N19,12)/12-1)+0.02*(IF(AND(ISNUMBER('Input_Meci'!P19),'Input_Meci'!P19&gt;=0,'Input_Meci'!P19&lt;=200),'Input_Meci'!P19,3.5)/3.5-1)+0.02*(IF(AND(ISNUMBER('Input_Meci'!R19),'Input_Meci'!R19&gt;=0,'Input_Meci'!R19&lt;=200),'Input_Meci'!R19,18)/18-1)+0.02*((IF(AND(ISNUMBER('Input_Meci'!V19),'Input_Meci'!V19&gt;=0,'Input_Meci'!V19&lt;=10),'Input_Meci'!V19,5)-5)/5))))</x:f>
      </x:c>
      <x:c r="AY19" s="11" t="str">
        <x:f>IF(A19="","",MAX(1-'Config_v6'!$B$20,MIN(1+'Config_v6'!$B$20,1+0.02*(IF(AND(ISNUMBER('Input_Meci'!O19),'Input_Meci'!O19&gt;=0,'Input_Meci'!O19&lt;=200),'Input_Meci'!O19,12)/12-1)+0.02*(IF(AND(ISNUMBER('Input_Meci'!Q19),'Input_Meci'!Q19&gt;=0,'Input_Meci'!Q19&lt;=200),'Input_Meci'!Q19,3.5)/3.5-1)+0.02*(IF(AND(ISNUMBER('Input_Meci'!S19),'Input_Meci'!S19&gt;=0,'Input_Meci'!S19&lt;=200),'Input_Meci'!S19,18)/18-1)+0.02*((IF(AND(ISNUMBER('Input_Meci'!W19),'Input_Meci'!W19&gt;=0,'Input_Meci'!W19&lt;=10),'Input_Meci'!W19,5)-5)/5))))</x:f>
      </x:c>
      <x:c r="AZ19" s="11" t="str">
        <x:f>IF(A19="","",MAX(1-'Config_v6'!$B$21,MIN(1+'Config_v6'!$B$21,1+0.012*(IF('Input_Meci'!X19="",5,IF(ISNUMBER('Input_Meci'!X19),'Input_Meci'!X19,5))-5)+0.018*(IF('Input_Meci'!Z19="",5,IF(ISNUMBER('Input_Meci'!Z19),'Input_Meci'!Z19,5))-5)+0.012*(IF('Input_Meci'!AB19="",5,IF(ISNUMBER('Input_Meci'!AB19),'Input_Meci'!AB19,5))-5)+0.015*IF('Input_Meci'!AD19="",0,IF(ISNUMBER('Input_Meci'!AD19),'Input_Meci'!AD19,0))+0.02*IF('Input_Meci'!AF19="",0,IF(ISNUMBER('Input_Meci'!AF19),'Input_Meci'!AF19,0)))))</x:f>
      </x:c>
      <x:c r="BA19" s="11" t="str">
        <x:f>IF(A19="","",MAX(1-'Config_v6'!$B$21,MIN(1+'Config_v6'!$B$21,1+0.012*(IF('Input_Meci'!Y19="",5,IF(ISNUMBER('Input_Meci'!Y19),'Input_Meci'!Y19,5))-5)+0.018*(IF('Input_Meci'!AA19="",5,IF(ISNUMBER('Input_Meci'!AA19),'Input_Meci'!AA19,5))-5)+0.012*(IF('Input_Meci'!AC19="",5,IF(ISNUMBER('Input_Meci'!AC19),'Input_Meci'!AC19,5))-5)+0.015*IF('Input_Meci'!AE19="",0,IF(ISNUMBER('Input_Meci'!AE19),'Input_Meci'!AE19,0))+0.02*IF('Input_Meci'!AG19="",0,IF(ISNUMBER('Input_Meci'!AG19),'Input_Meci'!AG19,0)))))</x:f>
      </x:c>
      <x:c r="BB19" s="11" t="str">
        <x:f>IF(I19&lt;&gt;"PASS","",(AVERAGE(AF19,AM19)*'Config_v6'!$B$4+AVERAGE(AH19,AO19)*'Config_v6'!$B$5+AVERAGE(AJ19,AQ19)*'Config_v6'!$B$6)*AX19*AZ19)</x:f>
      </x:c>
      <x:c r="BC19" s="11" t="str">
        <x:f>IF(I19&lt;&gt;"PASS","",(AVERAGE(AL19,AG19)*'Config_v6'!$B$4+AVERAGE(AN19,AI19)*'Config_v6'!$B$5+AVERAGE(AP19,AK19)*'Config_v6'!$B$6)*AY19*BA19)</x:f>
      </x:c>
      <x:c r="BD19" s="11" t="str">
        <x:f>IF(I19&lt;&gt;"PASS","",BB19+BC19)</x:f>
      </x:c>
      <x:c r="BE19" s="11" t="str">
        <x:f>IF(A19="","",10-SUM(IF(AND(ISNUMBER('Input_Meci'!N19),'Input_Meci'!N19&gt;=0,'Input_Meci'!N19&lt;=200),1,0),IF(AND(ISNUMBER('Input_Meci'!O19),'Input_Meci'!O19&gt;=0,'Input_Meci'!O19&lt;=200),1,0),IF(AND(ISNUMBER('Input_Meci'!P19),'Input_Meci'!P19&gt;=0,'Input_Meci'!P19&lt;=200),1,0),IF(AND(ISNUMBER('Input_Meci'!Q19),'Input_Meci'!Q19&gt;=0,'Input_Meci'!Q19&lt;=200),1,0),IF(AND(ISNUMBER('Input_Meci'!R19),'Input_Meci'!R19&gt;=0,'Input_Meci'!R19&lt;=200),1,0),IF(AND(ISNUMBER('Input_Meci'!S19),'Input_Meci'!S19&gt;=0,'Input_Meci'!S19&lt;=200),1,0),IF(AND(ISNUMBER('Input_Meci'!T19),'Input_Meci'!T19&gt;=0,'Input_Meci'!T19&lt;=100),1,0),IF(AND(ISNUMBER('Input_Meci'!U19),'Input_Meci'!U19&gt;=0,'Input_Meci'!U19&lt;=100),1,0),IF(AND(ISNUMBER('Input_Meci'!V19),'Input_Meci'!V19&gt;=0,'Input_Meci'!V19&lt;=10),1,0),IF(AND(ISNUMBER('Input_Meci'!W19),'Input_Meci'!W19&gt;=0,'Input_Meci'!W19&lt;=10),1,0)))</x:f>
      </x:c>
      <x:c r="BF19" s="11" t="str">
        <x:f>IF(I19&lt;&gt;"PASS","",MAX(0,MIN(IF(OR(M19="YES",BL19&lt;&gt;C19),'Config_v6'!$B$34,100),ROUND(40+25*MIN(1,MIN(N19,Q19)/'Config_v6'!$B$7)*MIN(1,MIN(O19,R19)/'Config_v6'!$B$8)*MIN(1,MIN(P19,S19)/'Config_v6'!$B$9)+MAX(0,15-2*ABS(AF19-AJ19)-2*ABS(AL19-AP19))+IF(AU19&lt;='Config_v6'!$B$10,15,IF(AU19&lt;='Config_v6'!$B$11,13,IF(AU19&lt;='Config_v6'!$B$12,10,IF(AU19&lt;='Config_v6'!$B$13,6,0))))+5-BE19/10*'Config_v6'!$B$38,0))))</x:f>
      </x:c>
      <x:c r="BG19" s="11" t="str">
        <x:f>IF(I19&lt;&gt;"PASS","",MIN(1,'Config_v6'!$B$14*(0.7+0.3*MIN(1,AR19/'Config_v6'!$B$15))*IF(AU19&lt;='Config_v6'!$B$10,1,IF(AU19&lt;='Config_v6'!$B$11,0.95,IF(AU19&lt;='Config_v6'!$B$12,0.88,0.78)))*(0.75+0.25*BF19/100)))</x:f>
      </x:c>
      <x:c r="BH19" s="11" t="str">
        <x:f>IF(I19&lt;&gt;"PASS","",MIN(1,(ABS(AZ19-1)+ABS(BA19-1))*3))</x:f>
      </x:c>
      <x:c r="BI19" s="2" t="str">
        <x:f>IF(A19="","",IF(AND(OR('Input_Meci'!X19="",AND(ISNUMBER('Input_Meci'!X19),'Input_Meci'!X19&gt;=0,'Input_Meci'!X19&lt;=10)),OR('Input_Meci'!Y19="",AND(ISNUMBER('Input_Meci'!Y19),'Input_Meci'!Y19&gt;=0,'Input_Meci'!Y19&lt;=10)),OR('Input_Meci'!Z19="",AND(ISNUMBER('Input_Meci'!Z19),'Input_Meci'!Z19&gt;=0,'Input_Meci'!Z19&lt;=10)),OR('Input_Meci'!AA19="",AND(ISNUMBER('Input_Meci'!AA19),'Input_Meci'!AA19&gt;=0,'Input_Meci'!AA19&lt;=10)),OR('Input_Meci'!AB19="",AND(ISNUMBER('Input_Meci'!AB19),'Input_Meci'!AB19&gt;=0,'Input_Meci'!AB19&lt;=10)),OR('Input_Meci'!AC19="",AND(ISNUMBER('Input_Meci'!AC19),'Input_Meci'!AC19&gt;=0,'Input_Meci'!AC19&lt;=10)),OR('Input_Meci'!AD19="",AND(ISNUMBER('Input_Meci'!AD19),'Input_Meci'!AD19&gt;=-2,'Input_Meci'!AD19&lt;=2)),OR('Input_Meci'!AE19="",AND(ISNUMBER('Input_Meci'!AE19),'Input_Meci'!AE19&gt;=-2,'Input_Meci'!AE19&lt;=2)),OR('Input_Meci'!AF19="",AND(ISNUMBER('Input_Meci'!AF19),'Input_Meci'!AF19&gt;=-2,'Input_Meci'!AF19&lt;=2)),OR('Input_Meci'!AG19="",AND(ISNUMBER('Input_Meci'!AG19),'Input_Meci'!AG19&gt;=-2,'Input_Meci'!AG19&lt;=2))),"VALID","INVALID"))</x:f>
      </x:c>
      <x:c r="BJ19" s="2" t="n">
        <x:f>IF(A19="",0,SUM('Core_Nativ'!S162:S167))</x:f>
        <x:v>0</x:v>
      </x:c>
      <x:c r="BK19" s="2" t="str">
        <x:f>'Config_v6'!$B$40</x:f>
        <x:v>VALID</x:v>
      </x:c>
      <x:c r="BL19" s="2" t="str">
        <x:f>IF(A19="","",IF(SUMPRODUCT(('Istoric_Nativ'!$B$6:$B$405=B19)*('Istoric_Nativ'!$C$6:$C$405=C19)*('Istoric_Nativ'!$P$6:$P$405=1)*('Istoric_Nativ'!$D$6:$D$405&lt;INT(G19))*((('Istoric_Nativ'!$E$6:$E$405='Input_Meci'!D19)+('Istoric_Nativ'!$F$6:$F$405='Input_Meci'!D19)+('Istoric_Nativ'!$E$6:$E$405='Input_Meci'!E19)+('Istoric_Nativ'!$F$6:$F$405='Input_Meci'!E19))&gt;0))&gt;='Config_v6'!$B$41,C19,IF(AND('Input_Meci'!L19="YES",'Input_Meci'!K19&lt;&gt;"",'Input_Meci'!K19&lt;C19,COUNTIF('Core_Nativ'!R168:R173,"CLOSED")=6,SUM('Core_Nativ'!S168:S173)=0),'Input_Meci'!K19,C19)))</x:f>
      </x:c>
      <x:c r="BM19" s="9" t="n">
        <x:f>IF(OR(A19="",N19=0),0,LARGE(_xlfn._xlws.FILTER('Istoric_Nativ'!$D$6:$D$405,('Istoric_Nativ'!$B$6:$B$405=B19)*('Istoric_Nativ'!$C$6:$C$405=C19)*('Istoric_Nativ'!$P$6:$P$405=1)*('Istoric_Nativ'!$D$6:$D$405&lt;INT(G19))*((('Istoric_Nativ'!$E$6:$E$405='Input_Meci'!D19)+('Istoric_Nativ'!$F$6:$F$405='Input_Meci'!D19))&gt;0)),MIN(10,N19)))</x:f>
        <x:v>0</x:v>
      </x:c>
      <x:c r="BN19" s="9" t="n">
        <x:f>IF(OR(A19="",Q19=0),0,LARGE(_xlfn._xlws.FILTER('Istoric_Nativ'!$D$6:$D$405,('Istoric_Nativ'!$B$6:$B$405=B19)*('Istoric_Nativ'!$C$6:$C$405=C19)*('Istoric_Nativ'!$P$6:$P$405=1)*('Istoric_Nativ'!$D$6:$D$405&lt;INT(G19))*((('Istoric_Nativ'!$E$6:$E$405='Input_Meci'!E19)+('Istoric_Nativ'!$F$6:$F$405='Input_Meci'!E19))&gt;0)),MIN(10,Q19)))</x:f>
        <x:v>0</x:v>
      </x:c>
      <x:c r="BO19" s="9" t="n">
        <x:f>IF(OR(A19="",N19=0),0,LARGE(_xlfn._xlws.FILTER('Istoric_Nativ'!$D$6:$D$405,('Istoric_Nativ'!$B$6:$B$405=B19)*('Istoric_Nativ'!$C$6:$C$405=C19)*('Istoric_Nativ'!$P$6:$P$405=1)*('Istoric_Nativ'!$D$6:$D$405&lt;INT(G19))*((('Istoric_Nativ'!$E$6:$E$405='Input_Meci'!D19)+('Istoric_Nativ'!$F$6:$F$405='Input_Meci'!D19))&gt;0)),MIN(20,N19)))</x:f>
        <x:v>0</x:v>
      </x:c>
      <x:c r="BP19" s="9" t="n">
        <x:f>IF(OR(A19="",Q19=0),0,LARGE(_xlfn._xlws.FILTER('Istoric_Nativ'!$D$6:$D$405,('Istoric_Nativ'!$B$6:$B$405=B19)*('Istoric_Nativ'!$C$6:$C$405=C19)*('Istoric_Nativ'!$P$6:$P$405=1)*('Istoric_Nativ'!$D$6:$D$405&lt;INT(G19))*((('Istoric_Nativ'!$E$6:$E$405='Input_Meci'!E19)+('Istoric_Nativ'!$F$6:$F$405='Input_Meci'!E19))&gt;0)),MIN(20,Q19)))</x:f>
        <x:v>0</x:v>
      </x:c>
      <x:c r="BQ19" s="2" t="str">
        <x:f>IF(A19="","",IF(AND(COUNTIF(MatchesTable[Match_ID],A19)=1,COUNTIFS(MatchesTable[League],B19,MatchesTable[Season],C19,MatchesTable[Home],'Input_Meci'!D19,MatchesTable[Away],'Input_Meci'!E19,MatchesTable[Kickoff_UTC],F19)=1,B19&lt;&gt;"",C19&lt;&gt;"",'Input_Meci'!D19&lt;&gt;"",'Input_Meci'!E19&lt;&gt;"",'Input_Meci'!D19&lt;&gt;'Input_Meci'!E19,ISNUMBER(F19),ISNUMBER(G19),G19&lt;F19,OR(E19="LIVE",E19="REPLAY"),OR('Input_Meci'!L19="YES",'Input_Meci'!L19="NO",'Input_Meci'!L19="")),"VALID","INVALID"))</x:f>
      </x:c>
      <x:c r="BR19" s="2" t="n">
        <x:f>IF(I19&lt;&gt;"PASS",0,SUMPRODUCT(('Istoric_Nativ'!$B$6:$B$405='Input_Meci'!B19)*('Istoric_Nativ'!$C$6:$C$405='Input_Meci'!C19)*('Istoric_Nativ'!$P$6:$P$405=1)*('Istoric_Nativ'!$D$6:$D$405&lt;INT('Input_Meci'!G19))*((('Istoric_Nativ'!$E$6:$E$405='Input_Meci'!D19)+('Istoric_Nativ'!$F$6:$F$405='Input_Meci'!E19))&gt;0)))</x:f>
        <x:v>0</x:v>
      </x:c>
      <x:c r="BS19" s="2" t="n">
        <x:f>IF(I19&lt;&gt;"PASS",0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BM19)+((('Istoric_Nativ'!$E$6:$E$405='Input_Meci'!E19)+('Istoric_Nativ'!$F$6:$F$405='Input_Meci'!E19))&gt;0)*('Istoric_Nativ'!$D$6:$D$405&gt;=BN19))&gt;0)))</x:f>
        <x:v>0</x:v>
      </x:c>
      <x:c r="BT19" s="2" t="n">
        <x:f>IF(I19&lt;&gt;"PASS",0,SUMPRODUCT(('Istoric_Nativ'!$B$6:$B$405='Input_Meci'!B19)*('Istoric_Nativ'!$C$6:$C$405='Input_Meci'!C19)*('Istoric_Nativ'!$P$6:$P$405=1)*('Istoric_Nativ'!$D$6:$D$405&lt;INT('Input_Meci'!G19))*((((('Istoric_Nativ'!$E$6:$E$405='Input_Meci'!D19)+('Istoric_Nativ'!$F$6:$F$405='Input_Meci'!D19))&gt;0)*('Istoric_Nativ'!$D$6:$D$405&gt;=BO19)+((('Istoric_Nativ'!$E$6:$E$405='Input_Meci'!E19)+('Istoric_Nativ'!$F$6:$F$405='Input_Meci'!E19))&gt;0)*('Istoric_Nativ'!$D$6:$D$405&gt;=BP19))&gt;0)))</x:f>
        <x:v>0</x:v>
      </x:c>
    </x:row>
    <x:row r="20" ht="21" customHeight="1">
      <x:c r="A20" s="2" t="str">
        <x:f>IF('Input_Meci'!A20="","",'Input_Meci'!A20)</x:f>
      </x:c>
      <x:c r="B20" s="2" t="str">
        <x:f>IF(A20="","",'Input_Meci'!B20)</x:f>
      </x:c>
      <x:c r="C20" s="2" t="str">
        <x:f>IF(A20="","",'Input_Meci'!C20)</x:f>
      </x:c>
      <x:c r="D20" s="2" t="str">
        <x:f>IF(A20="","",'Input_Meci'!D20&amp;" – "&amp;'Input_Meci'!E20)</x:f>
      </x:c>
      <x:c r="E20" s="2" t="str">
        <x:f>IF(A20="","",'Input_Meci'!H20)</x:f>
      </x:c>
      <x:c r="F20" s="9" t="str">
        <x:f>IF(A20="","",'Input_Meci'!F20)</x:f>
      </x:c>
      <x:c r="G20" s="9" t="str">
        <x:f>IF(A20="","",'Input_Meci'!G20)</x:f>
      </x:c>
      <x:c r="H20" s="2" t="str">
        <x:f>IF(A20="","",IF(BQ20&lt;&gt;"VALID","NOT RELEASED",IF(AND(OR('Input_Meci'!I20="NOT AVAILABLE",'Input_Meci'!I20="SOURCE CONFLICT"),'Input_Meci'!J20&lt;&gt;""),"READY",IF(OR(NOT(OR('Input_Meci'!I20="AUTO",'Input_Meci'!I20="")),COUNTIF('Core_Nativ'!R174:R179,"CLOSED")&lt;&gt;6,BJ20&gt;0),"NOT RELEASED","READY"))))</x:f>
      </x:c>
      <x:c r="I20" s="2" t="str">
        <x:f>IF(A20="","",IF(H20&lt;&gt;"READY","NOT RELEASED",IF(AND(NOT(OR('Input_Meci'!I20="NOT AVAILABLE",'Input_Meci'!I20="SOURCE CONFLICT")),L20=12,AR20&gt;=2,AS20&gt;0,ISNUMBER(AT20),BI20="VALID",BK20="VALID"),"PASS","FAIL")))</x:f>
      </x:c>
      <x:c r="J20" s="2" t="str">
        <x:f>IF(A20="","",IF(BQ20&lt;&gt;"VALID","Verifica ID, echipe, mod si cutoff &lt; kickoff",IF(H20&lt;&gt;"READY",IF('Input_Meci'!I20="ACCESS BLOCKED","Acces blocat: reia sursele",IF(BJ20&gt;0,"Istoric invalid sau conflict: verifica randurile native","Surse neinchise / post-cutoff / dovezi incomplete")),IF(OR('Input_Meci'!I20="NOT AVAILABLE",'Input_Meci'!I20="SOURCE CONFLICT"),'Input_Meci'!I20,IF(BK20&lt;&gt;"VALID","Parametri invalizi",IF(L20&lt;&gt;12,"Core / sample / prior insuficient",IF(AR20&lt;2,"N insuficient pentru dispersie",IF(AS20&lt;=0,"Media istorica trebuie sa fie pozitiva",IF(BI20&lt;&gt;"VALID","Context invalid","READY")))))))))</x:f>
      </x:c>
      <x:c r="K20" s="2" t="str">
        <x:f>IF(A20="","",COUNT(T20:AE20))</x:f>
      </x:c>
      <x:c r="L20" s="2" t="str">
        <x:f>IF(A20="","",COUNT(AF20:AQ20))</x:f>
      </x:c>
      <x:c r="M20" s="2" t="str">
        <x:f>IF(A20="","",IF(OR('Core_Nativ'!M174&lt;'Core_Nativ'!P174,'Core_Nativ'!M175&lt;'Core_Nativ'!P175,'Core_Nativ'!M176&lt;'Core_Nativ'!P176,'Core_Nativ'!M177&lt;'Core_Nativ'!P177,'Core_Nativ'!M178&lt;'Core_Nativ'!P178,'Core_Nativ'!M179&lt;'Core_Nativ'!P179),"YES","NO"))</x:f>
      </x:c>
      <x:c r="N20" s="2" t="str">
        <x:f>IF(A20="","",'Core_Nativ'!M174)</x:f>
      </x:c>
      <x:c r="O20" s="2" t="str">
        <x:f>IF(A20="","",'Core_Nativ'!M175)</x:f>
      </x:c>
      <x:c r="P20" s="2" t="str">
        <x:f>IF(A20="","",'Core_Nativ'!M176)</x:f>
      </x:c>
      <x:c r="Q20" s="2" t="str">
        <x:f>IF(A20="","",'Core_Nativ'!M177)</x:f>
      </x:c>
      <x:c r="R20" s="2" t="str">
        <x:f>IF(A20="","",'Core_Nativ'!M178)</x:f>
      </x:c>
      <x:c r="S20" s="2" t="str">
        <x:f>IF(A20="","",'Core_Nativ'!M179)</x:f>
      </x:c>
      <x:c r="T20" s="11" t="str">
        <x:f>IF(OR(A20="",'Core_Nativ'!M174=0),"",'Core_Nativ'!N174)</x:f>
      </x:c>
      <x:c r="U20" s="11" t="str">
        <x:f>IF(OR(A20="",'Core_Nativ'!M174=0),"",'Core_Nativ'!O174)</x:f>
      </x:c>
      <x:c r="V20" s="11" t="str">
        <x:f>IF(OR(A20="",'Core_Nativ'!M175=0),"",'Core_Nativ'!N175)</x:f>
      </x:c>
      <x:c r="W20" s="11" t="str">
        <x:f>IF(OR(A20="",'Core_Nativ'!M175=0),"",'Core_Nativ'!O175)</x:f>
      </x:c>
      <x:c r="X20" s="11" t="str">
        <x:f>IF(OR(A20="",'Core_Nativ'!M176=0),"",'Core_Nativ'!N176)</x:f>
      </x:c>
      <x:c r="Y20" s="11" t="str">
        <x:f>IF(OR(A20="",'Core_Nativ'!M176=0),"",'Core_Nativ'!O176)</x:f>
      </x:c>
      <x:c r="Z20" s="11" t="str">
        <x:f>IF(OR(A20="",'Core_Nativ'!M177=0),"",'Core_Nativ'!N177)</x:f>
      </x:c>
      <x:c r="AA20" s="11" t="str">
        <x:f>IF(OR(A20="",'Core_Nativ'!M177=0),"",'Core_Nativ'!O177)</x:f>
      </x:c>
      <x:c r="AB20" s="11" t="str">
        <x:f>IF(OR(A20="",'Core_Nativ'!M178=0),"",'Core_Nativ'!N178)</x:f>
      </x:c>
      <x:c r="AC20" s="11" t="str">
        <x:f>IF(OR(A20="",'Core_Nativ'!M178=0),"",'Core_Nativ'!O178)</x:f>
      </x:c>
      <x:c r="AD20" s="11" t="str">
        <x:f>IF(OR(A20="",'Core_Nativ'!M179=0),"",'Core_Nativ'!N179)</x:f>
      </x:c>
      <x:c r="AE20" s="11" t="str">
        <x:f>IF(OR(A20="",'Core_Nativ'!M179=0),"",'Core_Nativ'!O179)</x:f>
      </x:c>
      <x:c r="AF20" s="11" t="str">
        <x:f>IF(A20="","",IF(AND('Core_Nativ'!R174="CLOSED",'Core_Nativ'!S174=0),IF('Core_Nativ'!M174&gt;='Core_Nativ'!P174,'Core_Nativ'!N174,IF(AND('Input_Meci'!L20="YES",'Input_Meci'!K20&lt;&gt;"",'Input_Meci'!K20&lt;C20,'Core_Nativ'!T180="DERIVED",'Core_Nativ'!M180&gt;='Core_Nativ'!P174),MIN(1,'Core_Nativ'!M174/'Core_Nativ'!P174)*IF('Core_Nativ'!M174=0,0,'Core_Nativ'!N174)+(1-MIN(1,'Core_Nativ'!M174/'Core_Nativ'!P174))*'Core_Nativ'!N180,"")),""))</x:f>
      </x:c>
      <x:c r="AG20" s="11" t="str">
        <x:f>IF(A20="","",IF(AND('Core_Nativ'!R174="CLOSED",'Core_Nativ'!S174=0),IF('Core_Nativ'!M174&gt;='Core_Nativ'!P174,'Core_Nativ'!O174,IF(AND('Input_Meci'!L20="YES",'Input_Meci'!K20&lt;&gt;"",'Input_Meci'!K20&lt;C20,'Core_Nativ'!T180="DERIVED",'Core_Nativ'!M180&gt;='Core_Nativ'!P174),MIN(1,'Core_Nativ'!M174/'Core_Nativ'!P174)*IF('Core_Nativ'!M174=0,0,'Core_Nativ'!O174)+(1-MIN(1,'Core_Nativ'!M174/'Core_Nativ'!P174))*'Core_Nativ'!O180,"")),""))</x:f>
      </x:c>
      <x:c r="AH20" s="11" t="str">
        <x:f>IF(A20="","",IF(AND('Core_Nativ'!R175="CLOSED",'Core_Nativ'!S175=0),IF('Core_Nativ'!M175&gt;='Core_Nativ'!P175,'Core_Nativ'!N175,IF(AND('Input_Meci'!L20="YES",'Input_Meci'!K20&lt;&gt;"",'Input_Meci'!K20&lt;C20,'Core_Nativ'!T181="DERIVED",'Core_Nativ'!M181&gt;='Core_Nativ'!P175),MIN(1,'Core_Nativ'!M175/'Core_Nativ'!P175)*IF('Core_Nativ'!M175=0,0,'Core_Nativ'!N175)+(1-MIN(1,'Core_Nativ'!M175/'Core_Nativ'!P175))*'Core_Nativ'!N181,"")),""))</x:f>
      </x:c>
      <x:c r="AI20" s="11" t="str">
        <x:f>IF(A20="","",IF(AND('Core_Nativ'!R175="CLOSED",'Core_Nativ'!S175=0),IF('Core_Nativ'!M175&gt;='Core_Nativ'!P175,'Core_Nativ'!O175,IF(AND('Input_Meci'!L20="YES",'Input_Meci'!K20&lt;&gt;"",'Input_Meci'!K20&lt;C20,'Core_Nativ'!T181="DERIVED",'Core_Nativ'!M181&gt;='Core_Nativ'!P175),MIN(1,'Core_Nativ'!M175/'Core_Nativ'!P175)*IF('Core_Nativ'!M175=0,0,'Core_Nativ'!O175)+(1-MIN(1,'Core_Nativ'!M175/'Core_Nativ'!P175))*'Core_Nativ'!O181,"")),""))</x:f>
      </x:c>
      <x:c r="AJ20" s="11" t="str">
        <x:f>IF(A20="","",IF(AND('Core_Nativ'!R176="CLOSED",'Core_Nativ'!S176=0),IF('Core_Nativ'!M176&gt;='Core_Nativ'!P176,'Core_Nativ'!N176,IF(AND('Input_Meci'!L20="YES",'Input_Meci'!K20&lt;&gt;"",'Input_Meci'!K20&lt;C20,'Core_Nativ'!T182="DERIVED",'Core_Nativ'!M182&gt;='Core_Nativ'!P176),MIN(1,'Core_Nativ'!M176/'Core_Nativ'!P176)*IF('Core_Nativ'!M176=0,0,'Core_Nativ'!N176)+(1-MIN(1,'Core_Nativ'!M176/'Core_Nativ'!P176))*'Core_Nativ'!N182,"")),""))</x:f>
      </x:c>
      <x:c r="AK20" s="11" t="str">
        <x:f>IF(A20="","",IF(AND('Core_Nativ'!R176="CLOSED",'Core_Nativ'!S176=0),IF('Core_Nativ'!M176&gt;='Core_Nativ'!P176,'Core_Nativ'!O176,IF(AND('Input_Meci'!L20="YES",'Input_Meci'!K20&lt;&gt;"",'Input_Meci'!K20&lt;C20,'Core_Nativ'!T182="DERIVED",'Core_Nativ'!M182&gt;='Core_Nativ'!P176),MIN(1,'Core_Nativ'!M176/'Core_Nativ'!P176)*IF('Core_Nativ'!M176=0,0,'Core_Nativ'!O176)+(1-MIN(1,'Core_Nativ'!M176/'Core_Nativ'!P176))*'Core_Nativ'!O182,"")),""))</x:f>
      </x:c>
      <x:c r="AL20" s="11" t="str">
        <x:f>IF(A20="","",IF(AND('Core_Nativ'!R177="CLOSED",'Core_Nativ'!S177=0),IF('Core_Nativ'!M177&gt;='Core_Nativ'!P177,'Core_Nativ'!N177,IF(AND('Input_Meci'!L20="YES",'Input_Meci'!K20&lt;&gt;"",'Input_Meci'!K20&lt;C20,'Core_Nativ'!T183="DERIVED",'Core_Nativ'!M183&gt;='Core_Nativ'!P177),MIN(1,'Core_Nativ'!M177/'Core_Nativ'!P177)*IF('Core_Nativ'!M177=0,0,'Core_Nativ'!N177)+(1-MIN(1,'Core_Nativ'!M177/'Core_Nativ'!P177))*'Core_Nativ'!N183,"")),""))</x:f>
      </x:c>
      <x:c r="AM20" s="11" t="str">
        <x:f>IF(A20="","",IF(AND('Core_Nativ'!R177="CLOSED",'Core_Nativ'!S177=0),IF('Core_Nativ'!M177&gt;='Core_Nativ'!P177,'Core_Nativ'!O177,IF(AND('Input_Meci'!L20="YES",'Input_Meci'!K20&lt;&gt;"",'Input_Meci'!K20&lt;C20,'Core_Nativ'!T183="DERIVED",'Core_Nativ'!M183&gt;='Core_Nativ'!P177),MIN(1,'Core_Nativ'!M177/'Core_Nativ'!P177)*IF('Core_Nativ'!M177=0,0,'Core_Nativ'!O177)+(1-MIN(1,'Core_Nativ'!M177/'Core_Nativ'!P177))*'Core_Nativ'!O183,"")),""))</x:f>
      </x:c>
      <x:c r="AN20" s="11" t="str">
        <x:f>IF(A20="","",IF(AND('Core_Nativ'!R178="CLOSED",'Core_Nativ'!S178=0),IF('Core_Nativ'!M178&gt;='Core_Nativ'!P178,'Core_Nativ'!N178,IF(AND('Input_Meci'!L20="YES",'Input_Meci'!K20&lt;&gt;"",'Input_Meci'!K20&lt;C20,'Core_Nativ'!T184="DERIVED",'Core_Nativ'!M184&gt;='Core_Nativ'!P178),MIN(1,'Core_Nativ'!M178/'Core_Nativ'!P178)*IF('Core_Nativ'!M178=0,0,'Core_Nativ'!N178)+(1-MIN(1,'Core_Nativ'!M178/'Core_Nativ'!P178))*'Core_Nativ'!N184,"")),""))</x:f>
      </x:c>
      <x:c r="AO20" s="11" t="str">
        <x:f>IF(A20="","",IF(AND('Core_Nativ'!R178="CLOSED",'Core_Nativ'!S178=0),IF('Core_Nativ'!M178&gt;='Core_Nativ'!P178,'Core_Nativ'!O178,IF(AND('Input_Meci'!L20="YES",'Input_Meci'!K20&lt;&gt;"",'Input_Meci'!K20&lt;C20,'Core_Nativ'!T184="DERIVED",'Core_Nativ'!M184&gt;='Core_Nativ'!P178),MIN(1,'Core_Nativ'!M178/'Core_Nativ'!P178)*IF('Core_Nativ'!M178=0,0,'Core_Nativ'!O178)+(1-MIN(1,'Core_Nativ'!M178/'Core_Nativ'!P178))*'Core_Nativ'!O184,"")),""))</x:f>
      </x:c>
      <x:c r="AP20" s="11" t="str">
        <x:f>IF(A20="","",IF(AND('Core_Nativ'!R179="CLOSED",'Core_Nativ'!S179=0),IF('Core_Nativ'!M179&gt;='Core_Nativ'!P179,'Core_Nativ'!N179,IF(AND('Input_Meci'!L20="YES",'Input_Meci'!K20&lt;&gt;"",'Input_Meci'!K20&lt;C20,'Core_Nativ'!T185="DERIVED",'Core_Nativ'!M185&gt;='Core_Nativ'!P179),MIN(1,'Core_Nativ'!M179/'Core_Nativ'!P179)*IF('Core_Nativ'!M179=0,0,'Core_Nativ'!N179)+(1-MIN(1,'Core_Nativ'!M179/'Core_Nativ'!P179))*'Core_Nativ'!N185,"")),""))</x:f>
      </x:c>
      <x:c r="AQ20" s="11" t="str">
        <x:f>IF(A20="","",IF(AND('Core_Nativ'!R179="CLOSED",'Core_Nativ'!S179=0),IF('Core_Nativ'!M179&gt;='Core_Nativ'!P179,'Core_Nativ'!O179,IF(AND('Input_Meci'!L20="YES",'Input_Meci'!K20&lt;&gt;"",'Input_Meci'!K20&lt;C20,'Core_Nativ'!T185="DERIVED",'Core_Nativ'!M185&gt;='Core_Nativ'!P179),MIN(1,'Core_Nativ'!M179/'Core_Nativ'!P179)*IF('Core_Nativ'!M179=0,0,'Core_Nativ'!O179)+(1-MIN(1,'Core_Nativ'!M179/'Core_Nativ'!P179))*'Core_Nativ'!O185,"")),""))</x:f>
      </x:c>
      <x:c r="AR20" s="11" t="str">
        <x:f>IF(A20="","",SUMPRODUCT(('Istoric_Nativ'!$B$6:$B$405=B20)*('Istoric_Nativ'!$C$6:$C$405=BL20)*('Istoric_Nativ'!$P$6:$P$405=1)*('Istoric_Nativ'!$D$6:$D$405&lt;INT(G20))*((('Istoric_Nativ'!$E$6:$E$405='Input_Meci'!D20)+('Istoric_Nativ'!$F$6:$F$405='Input_Meci'!D20)+('Istoric_Nativ'!$E$6:$E$405='Input_Meci'!E20)+('Istoric_Nativ'!$F$6:$F$405='Input_Meci'!E20))&gt;0)))</x:f>
      </x:c>
      <x:c r="AS20" s="11" t="str">
        <x:f>IF(AR20=0,"",SUMPRODUCT(('Istoric_Nativ'!$B$6:$B$405=B20)*('Istoric_Nativ'!$C$6:$C$405=BL20)*('Istoric_Nativ'!$P$6:$P$405=1)*('Istoric_Nativ'!$D$6:$D$405&lt;INT(G20))*((('Istoric_Nativ'!$E$6:$E$405='Input_Meci'!D20)+('Istoric_Nativ'!$F$6:$F$405='Input_Meci'!D20)+('Istoric_Nativ'!$E$6:$E$405='Input_Meci'!E20)+('Istoric_Nativ'!$F$6:$F$405='Input_Meci'!E20))&gt;0)*'Istoric_Nativ'!$Q$6:$Q$405)/AR20)</x:f>
      </x:c>
      <x:c r="AT20" s="11" t="str">
        <x:f>IF(AR20&lt;2,"",MAX(0,(SUMPRODUCT(('Istoric_Nativ'!$B$6:$B$405=B20)*('Istoric_Nativ'!$C$6:$C$405=BL20)*('Istoric_Nativ'!$P$6:$P$405=1)*('Istoric_Nativ'!$D$6:$D$405&lt;INT(G20))*((('Istoric_Nativ'!$E$6:$E$405='Input_Meci'!D20)+('Istoric_Nativ'!$F$6:$F$405='Input_Meci'!D20)+('Istoric_Nativ'!$E$6:$E$405='Input_Meci'!E20)+('Istoric_Nativ'!$F$6:$F$405='Input_Meci'!E20))&gt;0)*'Istoric_Nativ'!$R$6:$R$405)-AR20*AS20^2)/(AR20-1)))</x:f>
      </x:c>
      <x:c r="AU20" s="11" t="str">
        <x:f>IF(I20&lt;&gt;"PASS","",AT20/AS20)</x:f>
      </x:c>
      <x:c r="AV20" s="11" t="str">
        <x:f>IF(I20&lt;&gt;"PASS","",IF(AU20&lt;='Config_v6'!$B$10,"POISSON","NEGATIVE BINOMIAL"))</x:f>
      </x:c>
      <x:c r="AW20" s="11" t="str">
        <x:f>IF(I20&lt;&gt;"PASS","",IF(AV20="POISSON",9999,AS20/(AU20-1)))</x:f>
      </x:c>
      <x:c r="AX20" s="11" t="str">
        <x:f>IF(A20="","",MAX(1-'Config_v6'!$B$20,MIN(1+'Config_v6'!$B$20,1+0.02*(IF(AND(ISNUMBER('Input_Meci'!N20),'Input_Meci'!N20&gt;=0,'Input_Meci'!N20&lt;=200),'Input_Meci'!N20,12)/12-1)+0.02*(IF(AND(ISNUMBER('Input_Meci'!P20),'Input_Meci'!P20&gt;=0,'Input_Meci'!P20&lt;=200),'Input_Meci'!P20,3.5)/3.5-1)+0.02*(IF(AND(ISNUMBER('Input_Meci'!R20),'Input_Meci'!R20&gt;=0,'Input_Meci'!R20&lt;=200),'Input_Meci'!R20,18)/18-1)+0.02*((IF(AND(ISNUMBER('Input_Meci'!V20),'Input_Meci'!V20&gt;=0,'Input_Meci'!V20&lt;=10),'Input_Meci'!V20,5)-5)/5))))</x:f>
      </x:c>
      <x:c r="AY20" s="11" t="str">
        <x:f>IF(A20="","",MAX(1-'Config_v6'!$B$20,MIN(1+'Config_v6'!$B$20,1+0.02*(IF(AND(ISNUMBER('Input_Meci'!O20),'Input_Meci'!O20&gt;=0,'Input_Meci'!O20&lt;=200),'Input_Meci'!O20,12)/12-1)+0.02*(IF(AND(ISNUMBER('Input_Meci'!Q20),'Input_Meci'!Q20&gt;=0,'Input_Meci'!Q20&lt;=200),'Input_Meci'!Q20,3.5)/3.5-1)+0.02*(IF(AND(ISNUMBER('Input_Meci'!S20),'Input_Meci'!S20&gt;=0,'Input_Meci'!S20&lt;=200),'Input_Meci'!S20,18)/18-1)+0.02*((IF(AND(ISNUMBER('Input_Meci'!W20),'Input_Meci'!W20&gt;=0,'Input_Meci'!W20&lt;=10),'Input_Meci'!W20,5)-5)/5))))</x:f>
      </x:c>
      <x:c r="AZ20" s="11" t="str">
        <x:f>IF(A20="","",MAX(1-'Config_v6'!$B$21,MIN(1+'Config_v6'!$B$21,1+0.012*(IF('Input_Meci'!X20="",5,IF(ISNUMBER('Input_Meci'!X20),'Input_Meci'!X20,5))-5)+0.018*(IF('Input_Meci'!Z20="",5,IF(ISNUMBER('Input_Meci'!Z20),'Input_Meci'!Z20,5))-5)+0.012*(IF('Input_Meci'!AB20="",5,IF(ISNUMBER('Input_Meci'!AB20),'Input_Meci'!AB20,5))-5)+0.015*IF('Input_Meci'!AD20="",0,IF(ISNUMBER('Input_Meci'!AD20),'Input_Meci'!AD20,0))+0.02*IF('Input_Meci'!AF20="",0,IF(ISNUMBER('Input_Meci'!AF20),'Input_Meci'!AF20,0)))))</x:f>
      </x:c>
      <x:c r="BA20" s="11" t="str">
        <x:f>IF(A20="","",MAX(1-'Config_v6'!$B$21,MIN(1+'Config_v6'!$B$21,1+0.012*(IF('Input_Meci'!Y20="",5,IF(ISNUMBER('Input_Meci'!Y20),'Input_Meci'!Y20,5))-5)+0.018*(IF('Input_Meci'!AA20="",5,IF(ISNUMBER('Input_Meci'!AA20),'Input_Meci'!AA20,5))-5)+0.012*(IF('Input_Meci'!AC20="",5,IF(ISNUMBER('Input_Meci'!AC20),'Input_Meci'!AC20,5))-5)+0.015*IF('Input_Meci'!AE20="",0,IF(ISNUMBER('Input_Meci'!AE20),'Input_Meci'!AE20,0))+0.02*IF('Input_Meci'!AG20="",0,IF(ISNUMBER('Input_Meci'!AG20),'Input_Meci'!AG20,0)))))</x:f>
      </x:c>
      <x:c r="BB20" s="11" t="str">
        <x:f>IF(I20&lt;&gt;"PASS","",(AVERAGE(AF20,AM20)*'Config_v6'!$B$4+AVERAGE(AH20,AO20)*'Config_v6'!$B$5+AVERAGE(AJ20,AQ20)*'Config_v6'!$B$6)*AX20*AZ20)</x:f>
      </x:c>
      <x:c r="BC20" s="11" t="str">
        <x:f>IF(I20&lt;&gt;"PASS","",(AVERAGE(AL20,AG20)*'Config_v6'!$B$4+AVERAGE(AN20,AI20)*'Config_v6'!$B$5+AVERAGE(AP20,AK20)*'Config_v6'!$B$6)*AY20*BA20)</x:f>
      </x:c>
      <x:c r="BD20" s="11" t="str">
        <x:f>IF(I20&lt;&gt;"PASS","",BB20+BC20)</x:f>
      </x:c>
      <x:c r="BE20" s="11" t="str">
        <x:f>IF(A20="","",10-SUM(IF(AND(ISNUMBER('Input_Meci'!N20),'Input_Meci'!N20&gt;=0,'Input_Meci'!N20&lt;=200),1,0),IF(AND(ISNUMBER('Input_Meci'!O20),'Input_Meci'!O20&gt;=0,'Input_Meci'!O20&lt;=200),1,0),IF(AND(ISNUMBER('Input_Meci'!P20),'Input_Meci'!P20&gt;=0,'Input_Meci'!P20&lt;=200),1,0),IF(AND(ISNUMBER('Input_Meci'!Q20),'Input_Meci'!Q20&gt;=0,'Input_Meci'!Q20&lt;=200),1,0),IF(AND(ISNUMBER('Input_Meci'!R20),'Input_Meci'!R20&gt;=0,'Input_Meci'!R20&lt;=200),1,0),IF(AND(ISNUMBER('Input_Meci'!S20),'Input_Meci'!S20&gt;=0,'Input_Meci'!S20&lt;=200),1,0),IF(AND(ISNUMBER('Input_Meci'!T20),'Input_Meci'!T20&gt;=0,'Input_Meci'!T20&lt;=100),1,0),IF(AND(ISNUMBER('Input_Meci'!U20),'Input_Meci'!U20&gt;=0,'Input_Meci'!U20&lt;=100),1,0),IF(AND(ISNUMBER('Input_Meci'!V20),'Input_Meci'!V20&gt;=0,'Input_Meci'!V20&lt;=10),1,0),IF(AND(ISNUMBER('Input_Meci'!W20),'Input_Meci'!W20&gt;=0,'Input_Meci'!W20&lt;=10),1,0)))</x:f>
      </x:c>
      <x:c r="BF20" s="11" t="str">
        <x:f>IF(I20&lt;&gt;"PASS","",MAX(0,MIN(IF(OR(M20="YES",BL20&lt;&gt;C20),'Config_v6'!$B$34,100),ROUND(40+25*MIN(1,MIN(N20,Q20)/'Config_v6'!$B$7)*MIN(1,MIN(O20,R20)/'Config_v6'!$B$8)*MIN(1,MIN(P20,S20)/'Config_v6'!$B$9)+MAX(0,15-2*ABS(AF20-AJ20)-2*ABS(AL20-AP20))+IF(AU20&lt;='Config_v6'!$B$10,15,IF(AU20&lt;='Config_v6'!$B$11,13,IF(AU20&lt;='Config_v6'!$B$12,10,IF(AU20&lt;='Config_v6'!$B$13,6,0))))+5-BE20/10*'Config_v6'!$B$38,0))))</x:f>
      </x:c>
      <x:c r="BG20" s="11" t="str">
        <x:f>IF(I20&lt;&gt;"PASS","",MIN(1,'Config_v6'!$B$14*(0.7+0.3*MIN(1,AR20/'Config_v6'!$B$15))*IF(AU20&lt;='Config_v6'!$B$10,1,IF(AU20&lt;='Config_v6'!$B$11,0.95,IF(AU20&lt;='Config_v6'!$B$12,0.88,0.78)))*(0.75+0.25*BF20/100)))</x:f>
      </x:c>
      <x:c r="BH20" s="11" t="str">
        <x:f>IF(I20&lt;&gt;"PASS","",MIN(1,(ABS(AZ20-1)+ABS(BA20-1))*3))</x:f>
      </x:c>
      <x:c r="BI20" s="2" t="str">
        <x:f>IF(A20="","",IF(AND(OR('Input_Meci'!X20="",AND(ISNUMBER('Input_Meci'!X20),'Input_Meci'!X20&gt;=0,'Input_Meci'!X20&lt;=10)),OR('Input_Meci'!Y20="",AND(ISNUMBER('Input_Meci'!Y20),'Input_Meci'!Y20&gt;=0,'Input_Meci'!Y20&lt;=10)),OR('Input_Meci'!Z20="",AND(ISNUMBER('Input_Meci'!Z20),'Input_Meci'!Z20&gt;=0,'Input_Meci'!Z20&lt;=10)),OR('Input_Meci'!AA20="",AND(ISNUMBER('Input_Meci'!AA20),'Input_Meci'!AA20&gt;=0,'Input_Meci'!AA20&lt;=10)),OR('Input_Meci'!AB20="",AND(ISNUMBER('Input_Meci'!AB20),'Input_Meci'!AB20&gt;=0,'Input_Meci'!AB20&lt;=10)),OR('Input_Meci'!AC20="",AND(ISNUMBER('Input_Meci'!AC20),'Input_Meci'!AC20&gt;=0,'Input_Meci'!AC20&lt;=10)),OR('Input_Meci'!AD20="",AND(ISNUMBER('Input_Meci'!AD20),'Input_Meci'!AD20&gt;=-2,'Input_Meci'!AD20&lt;=2)),OR('Input_Meci'!AE20="",AND(ISNUMBER('Input_Meci'!AE20),'Input_Meci'!AE20&gt;=-2,'Input_Meci'!AE20&lt;=2)),OR('Input_Meci'!AF20="",AND(ISNUMBER('Input_Meci'!AF20),'Input_Meci'!AF20&gt;=-2,'Input_Meci'!AF20&lt;=2)),OR('Input_Meci'!AG20="",AND(ISNUMBER('Input_Meci'!AG20),'Input_Meci'!AG20&gt;=-2,'Input_Meci'!AG20&lt;=2))),"VALID","INVALID"))</x:f>
      </x:c>
      <x:c r="BJ20" s="2" t="n">
        <x:f>IF(A20="",0,SUM('Core_Nativ'!S174:S179))</x:f>
        <x:v>0</x:v>
      </x:c>
      <x:c r="BK20" s="2" t="str">
        <x:f>'Config_v6'!$B$40</x:f>
        <x:v>VALID</x:v>
      </x:c>
      <x:c r="BL20" s="2" t="str">
        <x:f>IF(A20="","",IF(SUMPRODUCT(('Istoric_Nativ'!$B$6:$B$405=B20)*('Istoric_Nativ'!$C$6:$C$405=C20)*('Istoric_Nativ'!$P$6:$P$405=1)*('Istoric_Nativ'!$D$6:$D$405&lt;INT(G20))*((('Istoric_Nativ'!$E$6:$E$405='Input_Meci'!D20)+('Istoric_Nativ'!$F$6:$F$405='Input_Meci'!D20)+('Istoric_Nativ'!$E$6:$E$405='Input_Meci'!E20)+('Istoric_Nativ'!$F$6:$F$405='Input_Meci'!E20))&gt;0))&gt;='Config_v6'!$B$41,C20,IF(AND('Input_Meci'!L20="YES",'Input_Meci'!K20&lt;&gt;"",'Input_Meci'!K20&lt;C20,COUNTIF('Core_Nativ'!R180:R185,"CLOSED")=6,SUM('Core_Nativ'!S180:S185)=0),'Input_Meci'!K20,C20)))</x:f>
      </x:c>
      <x:c r="BM20" s="9" t="n">
        <x:f>IF(OR(A20="",N20=0),0,LARGE(_xlfn._xlws.FILTER('Istoric_Nativ'!$D$6:$D$405,('Istoric_Nativ'!$B$6:$B$405=B20)*('Istoric_Nativ'!$C$6:$C$405=C20)*('Istoric_Nativ'!$P$6:$P$405=1)*('Istoric_Nativ'!$D$6:$D$405&lt;INT(G20))*((('Istoric_Nativ'!$E$6:$E$405='Input_Meci'!D20)+('Istoric_Nativ'!$F$6:$F$405='Input_Meci'!D20))&gt;0)),MIN(10,N20)))</x:f>
        <x:v>0</x:v>
      </x:c>
      <x:c r="BN20" s="9" t="n">
        <x:f>IF(OR(A20="",Q20=0),0,LARGE(_xlfn._xlws.FILTER('Istoric_Nativ'!$D$6:$D$405,('Istoric_Nativ'!$B$6:$B$405=B20)*('Istoric_Nativ'!$C$6:$C$405=C20)*('Istoric_Nativ'!$P$6:$P$405=1)*('Istoric_Nativ'!$D$6:$D$405&lt;INT(G20))*((('Istoric_Nativ'!$E$6:$E$405='Input_Meci'!E20)+('Istoric_Nativ'!$F$6:$F$405='Input_Meci'!E20))&gt;0)),MIN(10,Q20)))</x:f>
        <x:v>0</x:v>
      </x:c>
      <x:c r="BO20" s="9" t="n">
        <x:f>IF(OR(A20="",N20=0),0,LARGE(_xlfn._xlws.FILTER('Istoric_Nativ'!$D$6:$D$405,('Istoric_Nativ'!$B$6:$B$405=B20)*('Istoric_Nativ'!$C$6:$C$405=C20)*('Istoric_Nativ'!$P$6:$P$405=1)*('Istoric_Nativ'!$D$6:$D$405&lt;INT(G20))*((('Istoric_Nativ'!$E$6:$E$405='Input_Meci'!D20)+('Istoric_Nativ'!$F$6:$F$405='Input_Meci'!D20))&gt;0)),MIN(20,N20)))</x:f>
        <x:v>0</x:v>
      </x:c>
      <x:c r="BP20" s="9" t="n">
        <x:f>IF(OR(A20="",Q20=0),0,LARGE(_xlfn._xlws.FILTER('Istoric_Nativ'!$D$6:$D$405,('Istoric_Nativ'!$B$6:$B$405=B20)*('Istoric_Nativ'!$C$6:$C$405=C20)*('Istoric_Nativ'!$P$6:$P$405=1)*('Istoric_Nativ'!$D$6:$D$405&lt;INT(G20))*((('Istoric_Nativ'!$E$6:$E$405='Input_Meci'!E20)+('Istoric_Nativ'!$F$6:$F$405='Input_Meci'!E20))&gt;0)),MIN(20,Q20)))</x:f>
        <x:v>0</x:v>
      </x:c>
      <x:c r="BQ20" s="2" t="str">
        <x:f>IF(A20="","",IF(AND(COUNTIF(MatchesTable[Match_ID],A20)=1,COUNTIFS(MatchesTable[League],B20,MatchesTable[Season],C20,MatchesTable[Home],'Input_Meci'!D20,MatchesTable[Away],'Input_Meci'!E20,MatchesTable[Kickoff_UTC],F20)=1,B20&lt;&gt;"",C20&lt;&gt;"",'Input_Meci'!D20&lt;&gt;"",'Input_Meci'!E20&lt;&gt;"",'Input_Meci'!D20&lt;&gt;'Input_Meci'!E20,ISNUMBER(F20),ISNUMBER(G20),G20&lt;F20,OR(E20="LIVE",E20="REPLAY"),OR('Input_Meci'!L20="YES",'Input_Meci'!L20="NO",'Input_Meci'!L20="")),"VALID","INVALID"))</x:f>
      </x:c>
      <x:c r="BR20" s="2" t="n">
        <x:f>IF(I20&lt;&gt;"PASS",0,SUMPRODUCT(('Istoric_Nativ'!$B$6:$B$405='Input_Meci'!B20)*('Istoric_Nativ'!$C$6:$C$405='Input_Meci'!C20)*('Istoric_Nativ'!$P$6:$P$405=1)*('Istoric_Nativ'!$D$6:$D$405&lt;INT('Input_Meci'!G20))*((('Istoric_Nativ'!$E$6:$E$405='Input_Meci'!D20)+('Istoric_Nativ'!$F$6:$F$405='Input_Meci'!E20))&gt;0)))</x:f>
        <x:v>0</x:v>
      </x:c>
      <x:c r="BS20" s="2" t="n">
        <x:f>IF(I20&lt;&gt;"PASS",0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BM20)+((('Istoric_Nativ'!$E$6:$E$405='Input_Meci'!E20)+('Istoric_Nativ'!$F$6:$F$405='Input_Meci'!E20))&gt;0)*('Istoric_Nativ'!$D$6:$D$405&gt;=BN20))&gt;0)))</x:f>
        <x:v>0</x:v>
      </x:c>
      <x:c r="BT20" s="2" t="n">
        <x:f>IF(I20&lt;&gt;"PASS",0,SUMPRODUCT(('Istoric_Nativ'!$B$6:$B$405='Input_Meci'!B20)*('Istoric_Nativ'!$C$6:$C$405='Input_Meci'!C20)*('Istoric_Nativ'!$P$6:$P$405=1)*('Istoric_Nativ'!$D$6:$D$405&lt;INT('Input_Meci'!G20))*((((('Istoric_Nativ'!$E$6:$E$405='Input_Meci'!D20)+('Istoric_Nativ'!$F$6:$F$405='Input_Meci'!D20))&gt;0)*('Istoric_Nativ'!$D$6:$D$405&gt;=BO20)+((('Istoric_Nativ'!$E$6:$E$405='Input_Meci'!E20)+('Istoric_Nativ'!$F$6:$F$405='Input_Meci'!E20))&gt;0)*('Istoric_Nativ'!$D$6:$D$405&gt;=BP20))&gt;0)))</x:f>
        <x:v>0</x:v>
      </x:c>
    </x:row>
    <x:row r="21" ht="21" customHeight="1">
      <x:c r="A21" s="2" t="str">
        <x:f>IF('Input_Meci'!A21="","",'Input_Meci'!A21)</x:f>
      </x:c>
      <x:c r="B21" s="2" t="str">
        <x:f>IF(A21="","",'Input_Meci'!B21)</x:f>
      </x:c>
      <x:c r="C21" s="2" t="str">
        <x:f>IF(A21="","",'Input_Meci'!C21)</x:f>
      </x:c>
      <x:c r="D21" s="2" t="str">
        <x:f>IF(A21="","",'Input_Meci'!D21&amp;" – "&amp;'Input_Meci'!E21)</x:f>
      </x:c>
      <x:c r="E21" s="2" t="str">
        <x:f>IF(A21="","",'Input_Meci'!H21)</x:f>
      </x:c>
      <x:c r="F21" s="9" t="str">
        <x:f>IF(A21="","",'Input_Meci'!F21)</x:f>
      </x:c>
      <x:c r="G21" s="9" t="str">
        <x:f>IF(A21="","",'Input_Meci'!G21)</x:f>
      </x:c>
      <x:c r="H21" s="2" t="str">
        <x:f>IF(A21="","",IF(BQ21&lt;&gt;"VALID","NOT RELEASED",IF(AND(OR('Input_Meci'!I21="NOT AVAILABLE",'Input_Meci'!I21="SOURCE CONFLICT"),'Input_Meci'!J21&lt;&gt;""),"READY",IF(OR(NOT(OR('Input_Meci'!I21="AUTO",'Input_Meci'!I21="")),COUNTIF('Core_Nativ'!R186:R191,"CLOSED")&lt;&gt;6,BJ21&gt;0),"NOT RELEASED","READY"))))</x:f>
      </x:c>
      <x:c r="I21" s="2" t="str">
        <x:f>IF(A21="","",IF(H21&lt;&gt;"READY","NOT RELEASED",IF(AND(NOT(OR('Input_Meci'!I21="NOT AVAILABLE",'Input_Meci'!I21="SOURCE CONFLICT")),L21=12,AR21&gt;=2,AS21&gt;0,ISNUMBER(AT21),BI21="VALID",BK21="VALID"),"PASS","FAIL")))</x:f>
      </x:c>
      <x:c r="J21" s="2" t="str">
        <x:f>IF(A21="","",IF(BQ21&lt;&gt;"VALID","Verifica ID, echipe, mod si cutoff &lt; kickoff",IF(H21&lt;&gt;"READY",IF('Input_Meci'!I21="ACCESS BLOCKED","Acces blocat: reia sursele",IF(BJ21&gt;0,"Istoric invalid sau conflict: verifica randurile native","Surse neinchise / post-cutoff / dovezi incomplete")),IF(OR('Input_Meci'!I21="NOT AVAILABLE",'Input_Meci'!I21="SOURCE CONFLICT"),'Input_Meci'!I21,IF(BK21&lt;&gt;"VALID","Parametri invalizi",IF(L21&lt;&gt;12,"Core / sample / prior insuficient",IF(AR21&lt;2,"N insuficient pentru dispersie",IF(AS21&lt;=0,"Media istorica trebuie sa fie pozitiva",IF(BI21&lt;&gt;"VALID","Context invalid","READY")))))))))</x:f>
      </x:c>
      <x:c r="K21" s="2" t="str">
        <x:f>IF(A21="","",COUNT(T21:AE21))</x:f>
      </x:c>
      <x:c r="L21" s="2" t="str">
        <x:f>IF(A21="","",COUNT(AF21:AQ21))</x:f>
      </x:c>
      <x:c r="M21" s="2" t="str">
        <x:f>IF(A21="","",IF(OR('Core_Nativ'!M186&lt;'Core_Nativ'!P186,'Core_Nativ'!M187&lt;'Core_Nativ'!P187,'Core_Nativ'!M188&lt;'Core_Nativ'!P188,'Core_Nativ'!M189&lt;'Core_Nativ'!P189,'Core_Nativ'!M190&lt;'Core_Nativ'!P190,'Core_Nativ'!M191&lt;'Core_Nativ'!P191),"YES","NO"))</x:f>
      </x:c>
      <x:c r="N21" s="2" t="str">
        <x:f>IF(A21="","",'Core_Nativ'!M186)</x:f>
      </x:c>
      <x:c r="O21" s="2" t="str">
        <x:f>IF(A21="","",'Core_Nativ'!M187)</x:f>
      </x:c>
      <x:c r="P21" s="2" t="str">
        <x:f>IF(A21="","",'Core_Nativ'!M188)</x:f>
      </x:c>
      <x:c r="Q21" s="2" t="str">
        <x:f>IF(A21="","",'Core_Nativ'!M189)</x:f>
      </x:c>
      <x:c r="R21" s="2" t="str">
        <x:f>IF(A21="","",'Core_Nativ'!M190)</x:f>
      </x:c>
      <x:c r="S21" s="2" t="str">
        <x:f>IF(A21="","",'Core_Nativ'!M191)</x:f>
      </x:c>
      <x:c r="T21" s="11" t="str">
        <x:f>IF(OR(A21="",'Core_Nativ'!M186=0),"",'Core_Nativ'!N186)</x:f>
      </x:c>
      <x:c r="U21" s="11" t="str">
        <x:f>IF(OR(A21="",'Core_Nativ'!M186=0),"",'Core_Nativ'!O186)</x:f>
      </x:c>
      <x:c r="V21" s="11" t="str">
        <x:f>IF(OR(A21="",'Core_Nativ'!M187=0),"",'Core_Nativ'!N187)</x:f>
      </x:c>
      <x:c r="W21" s="11" t="str">
        <x:f>IF(OR(A21="",'Core_Nativ'!M187=0),"",'Core_Nativ'!O187)</x:f>
      </x:c>
      <x:c r="X21" s="11" t="str">
        <x:f>IF(OR(A21="",'Core_Nativ'!M188=0),"",'Core_Nativ'!N188)</x:f>
      </x:c>
      <x:c r="Y21" s="11" t="str">
        <x:f>IF(OR(A21="",'Core_Nativ'!M188=0),"",'Core_Nativ'!O188)</x:f>
      </x:c>
      <x:c r="Z21" s="11" t="str">
        <x:f>IF(OR(A21="",'Core_Nativ'!M189=0),"",'Core_Nativ'!N189)</x:f>
      </x:c>
      <x:c r="AA21" s="11" t="str">
        <x:f>IF(OR(A21="",'Core_Nativ'!M189=0),"",'Core_Nativ'!O189)</x:f>
      </x:c>
      <x:c r="AB21" s="11" t="str">
        <x:f>IF(OR(A21="",'Core_Nativ'!M190=0),"",'Core_Nativ'!N190)</x:f>
      </x:c>
      <x:c r="AC21" s="11" t="str">
        <x:f>IF(OR(A21="",'Core_Nativ'!M190=0),"",'Core_Nativ'!O190)</x:f>
      </x:c>
      <x:c r="AD21" s="11" t="str">
        <x:f>IF(OR(A21="",'Core_Nativ'!M191=0),"",'Core_Nativ'!N191)</x:f>
      </x:c>
      <x:c r="AE21" s="11" t="str">
        <x:f>IF(OR(A21="",'Core_Nativ'!M191=0),"",'Core_Nativ'!O191)</x:f>
      </x:c>
      <x:c r="AF21" s="11" t="str">
        <x:f>IF(A21="","",IF(AND('Core_Nativ'!R186="CLOSED",'Core_Nativ'!S186=0),IF('Core_Nativ'!M186&gt;='Core_Nativ'!P186,'Core_Nativ'!N186,IF(AND('Input_Meci'!L21="YES",'Input_Meci'!K21&lt;&gt;"",'Input_Meci'!K21&lt;C21,'Core_Nativ'!T192="DERIVED",'Core_Nativ'!M192&gt;='Core_Nativ'!P186),MIN(1,'Core_Nativ'!M186/'Core_Nativ'!P186)*IF('Core_Nativ'!M186=0,0,'Core_Nativ'!N186)+(1-MIN(1,'Core_Nativ'!M186/'Core_Nativ'!P186))*'Core_Nativ'!N192,"")),""))</x:f>
      </x:c>
      <x:c r="AG21" s="11" t="str">
        <x:f>IF(A21="","",IF(AND('Core_Nativ'!R186="CLOSED",'Core_Nativ'!S186=0),IF('Core_Nativ'!M186&gt;='Core_Nativ'!P186,'Core_Nativ'!O186,IF(AND('Input_Meci'!L21="YES",'Input_Meci'!K21&lt;&gt;"",'Input_Meci'!K21&lt;C21,'Core_Nativ'!T192="DERIVED",'Core_Nativ'!M192&gt;='Core_Nativ'!P186),MIN(1,'Core_Nativ'!M186/'Core_Nativ'!P186)*IF('Core_Nativ'!M186=0,0,'Core_Nativ'!O186)+(1-MIN(1,'Core_Nativ'!M186/'Core_Nativ'!P186))*'Core_Nativ'!O192,"")),""))</x:f>
      </x:c>
      <x:c r="AH21" s="11" t="str">
        <x:f>IF(A21="","",IF(AND('Core_Nativ'!R187="CLOSED",'Core_Nativ'!S187=0),IF('Core_Nativ'!M187&gt;='Core_Nativ'!P187,'Core_Nativ'!N187,IF(AND('Input_Meci'!L21="YES",'Input_Meci'!K21&lt;&gt;"",'Input_Meci'!K21&lt;C21,'Core_Nativ'!T193="DERIVED",'Core_Nativ'!M193&gt;='Core_Nativ'!P187),MIN(1,'Core_Nativ'!M187/'Core_Nativ'!P187)*IF('Core_Nativ'!M187=0,0,'Core_Nativ'!N187)+(1-MIN(1,'Core_Nativ'!M187/'Core_Nativ'!P187))*'Core_Nativ'!N193,"")),""))</x:f>
      </x:c>
      <x:c r="AI21" s="11" t="str">
        <x:f>IF(A21="","",IF(AND('Core_Nativ'!R187="CLOSED",'Core_Nativ'!S187=0),IF('Core_Nativ'!M187&gt;='Core_Nativ'!P187,'Core_Nativ'!O187,IF(AND('Input_Meci'!L21="YES",'Input_Meci'!K21&lt;&gt;"",'Input_Meci'!K21&lt;C21,'Core_Nativ'!T193="DERIVED",'Core_Nativ'!M193&gt;='Core_Nativ'!P187),MIN(1,'Core_Nativ'!M187/'Core_Nativ'!P187)*IF('Core_Nativ'!M187=0,0,'Core_Nativ'!O187)+(1-MIN(1,'Core_Nativ'!M187/'Core_Nativ'!P187))*'Core_Nativ'!O193,"")),""))</x:f>
      </x:c>
      <x:c r="AJ21" s="11" t="str">
        <x:f>IF(A21="","",IF(AND('Core_Nativ'!R188="CLOSED",'Core_Nativ'!S188=0),IF('Core_Nativ'!M188&gt;='Core_Nativ'!P188,'Core_Nativ'!N188,IF(AND('Input_Meci'!L21="YES",'Input_Meci'!K21&lt;&gt;"",'Input_Meci'!K21&lt;C21,'Core_Nativ'!T194="DERIVED",'Core_Nativ'!M194&gt;='Core_Nativ'!P188),MIN(1,'Core_Nativ'!M188/'Core_Nativ'!P188)*IF('Core_Nativ'!M188=0,0,'Core_Nativ'!N188)+(1-MIN(1,'Core_Nativ'!M188/'Core_Nativ'!P188))*'Core_Nativ'!N194,"")),""))</x:f>
      </x:c>
      <x:c r="AK21" s="11" t="str">
        <x:f>IF(A21="","",IF(AND('Core_Nativ'!R188="CLOSED",'Core_Nativ'!S188=0),IF('Core_Nativ'!M188&gt;='Core_Nativ'!P188,'Core_Nativ'!O188,IF(AND('Input_Meci'!L21="YES",'Input_Meci'!K21&lt;&gt;"",'Input_Meci'!K21&lt;C21,'Core_Nativ'!T194="DERIVED",'Core_Nativ'!M194&gt;='Core_Nativ'!P188),MIN(1,'Core_Nativ'!M188/'Core_Nativ'!P188)*IF('Core_Nativ'!M188=0,0,'Core_Nativ'!O188)+(1-MIN(1,'Core_Nativ'!M188/'Core_Nativ'!P188))*'Core_Nativ'!O194,"")),""))</x:f>
      </x:c>
      <x:c r="AL21" s="11" t="str">
        <x:f>IF(A21="","",IF(AND('Core_Nativ'!R189="CLOSED",'Core_Nativ'!S189=0),IF('Core_Nativ'!M189&gt;='Core_Nativ'!P189,'Core_Nativ'!N189,IF(AND('Input_Meci'!L21="YES",'Input_Meci'!K21&lt;&gt;"",'Input_Meci'!K21&lt;C21,'Core_Nativ'!T195="DERIVED",'Core_Nativ'!M195&gt;='Core_Nativ'!P189),MIN(1,'Core_Nativ'!M189/'Core_Nativ'!P189)*IF('Core_Nativ'!M189=0,0,'Core_Nativ'!N189)+(1-MIN(1,'Core_Nativ'!M189/'Core_Nativ'!P189))*'Core_Nativ'!N195,"")),""))</x:f>
      </x:c>
      <x:c r="AM21" s="11" t="str">
        <x:f>IF(A21="","",IF(AND('Core_Nativ'!R189="CLOSED",'Core_Nativ'!S189=0),IF('Core_Nativ'!M189&gt;='Core_Nativ'!P189,'Core_Nativ'!O189,IF(AND('Input_Meci'!L21="YES",'Input_Meci'!K21&lt;&gt;"",'Input_Meci'!K21&lt;C21,'Core_Nativ'!T195="DERIVED",'Core_Nativ'!M195&gt;='Core_Nativ'!P189),MIN(1,'Core_Nativ'!M189/'Core_Nativ'!P189)*IF('Core_Nativ'!M189=0,0,'Core_Nativ'!O189)+(1-MIN(1,'Core_Nativ'!M189/'Core_Nativ'!P189))*'Core_Nativ'!O195,"")),""))</x:f>
      </x:c>
      <x:c r="AN21" s="11" t="str">
        <x:f>IF(A21="","",IF(AND('Core_Nativ'!R190="CLOSED",'Core_Nativ'!S190=0),IF('Core_Nativ'!M190&gt;='Core_Nativ'!P190,'Core_Nativ'!N190,IF(AND('Input_Meci'!L21="YES",'Input_Meci'!K21&lt;&gt;"",'Input_Meci'!K21&lt;C21,'Core_Nativ'!T196="DERIVED",'Core_Nativ'!M196&gt;='Core_Nativ'!P190),MIN(1,'Core_Nativ'!M190/'Core_Nativ'!P190)*IF('Core_Nativ'!M190=0,0,'Core_Nativ'!N190)+(1-MIN(1,'Core_Nativ'!M190/'Core_Nativ'!P190))*'Core_Nativ'!N196,"")),""))</x:f>
      </x:c>
      <x:c r="AO21" s="11" t="str">
        <x:f>IF(A21="","",IF(AND('Core_Nativ'!R190="CLOSED",'Core_Nativ'!S190=0),IF('Core_Nativ'!M190&gt;='Core_Nativ'!P190,'Core_Nativ'!O190,IF(AND('Input_Meci'!L21="YES",'Input_Meci'!K21&lt;&gt;"",'Input_Meci'!K21&lt;C21,'Core_Nativ'!T196="DERIVED",'Core_Nativ'!M196&gt;='Core_Nativ'!P190),MIN(1,'Core_Nativ'!M190/'Core_Nativ'!P190)*IF('Core_Nativ'!M190=0,0,'Core_Nativ'!O190)+(1-MIN(1,'Core_Nativ'!M190/'Core_Nativ'!P190))*'Core_Nativ'!O196,"")),""))</x:f>
      </x:c>
      <x:c r="AP21" s="11" t="str">
        <x:f>IF(A21="","",IF(AND('Core_Nativ'!R191="CLOSED",'Core_Nativ'!S191=0),IF('Core_Nativ'!M191&gt;='Core_Nativ'!P191,'Core_Nativ'!N191,IF(AND('Input_Meci'!L21="YES",'Input_Meci'!K21&lt;&gt;"",'Input_Meci'!K21&lt;C21,'Core_Nativ'!T197="DERIVED",'Core_Nativ'!M197&gt;='Core_Nativ'!P191),MIN(1,'Core_Nativ'!M191/'Core_Nativ'!P191)*IF('Core_Nativ'!M191=0,0,'Core_Nativ'!N191)+(1-MIN(1,'Core_Nativ'!M191/'Core_Nativ'!P191))*'Core_Nativ'!N197,"")),""))</x:f>
      </x:c>
      <x:c r="AQ21" s="11" t="str">
        <x:f>IF(A21="","",IF(AND('Core_Nativ'!R191="CLOSED",'Core_Nativ'!S191=0),IF('Core_Nativ'!M191&gt;='Core_Nativ'!P191,'Core_Nativ'!O191,IF(AND('Input_Meci'!L21="YES",'Input_Meci'!K21&lt;&gt;"",'Input_Meci'!K21&lt;C21,'Core_Nativ'!T197="DERIVED",'Core_Nativ'!M197&gt;='Core_Nativ'!P191),MIN(1,'Core_Nativ'!M191/'Core_Nativ'!P191)*IF('Core_Nativ'!M191=0,0,'Core_Nativ'!O191)+(1-MIN(1,'Core_Nativ'!M191/'Core_Nativ'!P191))*'Core_Nativ'!O197,"")),""))</x:f>
      </x:c>
      <x:c r="AR21" s="11" t="str">
        <x:f>IF(A21="","",SUMPRODUCT(('Istoric_Nativ'!$B$6:$B$405=B21)*('Istoric_Nativ'!$C$6:$C$405=BL21)*('Istoric_Nativ'!$P$6:$P$405=1)*('Istoric_Nativ'!$D$6:$D$405&lt;INT(G21))*((('Istoric_Nativ'!$E$6:$E$405='Input_Meci'!D21)+('Istoric_Nativ'!$F$6:$F$405='Input_Meci'!D21)+('Istoric_Nativ'!$E$6:$E$405='Input_Meci'!E21)+('Istoric_Nativ'!$F$6:$F$405='Input_Meci'!E21))&gt;0)))</x:f>
      </x:c>
      <x:c r="AS21" s="11" t="str">
        <x:f>IF(AR21=0,"",SUMPRODUCT(('Istoric_Nativ'!$B$6:$B$405=B21)*('Istoric_Nativ'!$C$6:$C$405=BL21)*('Istoric_Nativ'!$P$6:$P$405=1)*('Istoric_Nativ'!$D$6:$D$405&lt;INT(G21))*((('Istoric_Nativ'!$E$6:$E$405='Input_Meci'!D21)+('Istoric_Nativ'!$F$6:$F$405='Input_Meci'!D21)+('Istoric_Nativ'!$E$6:$E$405='Input_Meci'!E21)+('Istoric_Nativ'!$F$6:$F$405='Input_Meci'!E21))&gt;0)*'Istoric_Nativ'!$Q$6:$Q$405)/AR21)</x:f>
      </x:c>
      <x:c r="AT21" s="11" t="str">
        <x:f>IF(AR21&lt;2,"",MAX(0,(SUMPRODUCT(('Istoric_Nativ'!$B$6:$B$405=B21)*('Istoric_Nativ'!$C$6:$C$405=BL21)*('Istoric_Nativ'!$P$6:$P$405=1)*('Istoric_Nativ'!$D$6:$D$405&lt;INT(G21))*((('Istoric_Nativ'!$E$6:$E$405='Input_Meci'!D21)+('Istoric_Nativ'!$F$6:$F$405='Input_Meci'!D21)+('Istoric_Nativ'!$E$6:$E$405='Input_Meci'!E21)+('Istoric_Nativ'!$F$6:$F$405='Input_Meci'!E21))&gt;0)*'Istoric_Nativ'!$R$6:$R$405)-AR21*AS21^2)/(AR21-1)))</x:f>
      </x:c>
      <x:c r="AU21" s="11" t="str">
        <x:f>IF(I21&lt;&gt;"PASS","",AT21/AS21)</x:f>
      </x:c>
      <x:c r="AV21" s="11" t="str">
        <x:f>IF(I21&lt;&gt;"PASS","",IF(AU21&lt;='Config_v6'!$B$10,"POISSON","NEGATIVE BINOMIAL"))</x:f>
      </x:c>
      <x:c r="AW21" s="11" t="str">
        <x:f>IF(I21&lt;&gt;"PASS","",IF(AV21="POISSON",9999,AS21/(AU21-1)))</x:f>
      </x:c>
      <x:c r="AX21" s="11" t="str">
        <x:f>IF(A21="","",MAX(1-'Config_v6'!$B$20,MIN(1+'Config_v6'!$B$20,1+0.02*(IF(AND(ISNUMBER('Input_Meci'!N21),'Input_Meci'!N21&gt;=0,'Input_Meci'!N21&lt;=200),'Input_Meci'!N21,12)/12-1)+0.02*(IF(AND(ISNUMBER('Input_Meci'!P21),'Input_Meci'!P21&gt;=0,'Input_Meci'!P21&lt;=200),'Input_Meci'!P21,3.5)/3.5-1)+0.02*(IF(AND(ISNUMBER('Input_Meci'!R21),'Input_Meci'!R21&gt;=0,'Input_Meci'!R21&lt;=200),'Input_Meci'!R21,18)/18-1)+0.02*((IF(AND(ISNUMBER('Input_Meci'!V21),'Input_Meci'!V21&gt;=0,'Input_Meci'!V21&lt;=10),'Input_Meci'!V21,5)-5)/5))))</x:f>
      </x:c>
      <x:c r="AY21" s="11" t="str">
        <x:f>IF(A21="","",MAX(1-'Config_v6'!$B$20,MIN(1+'Config_v6'!$B$20,1+0.02*(IF(AND(ISNUMBER('Input_Meci'!O21),'Input_Meci'!O21&gt;=0,'Input_Meci'!O21&lt;=200),'Input_Meci'!O21,12)/12-1)+0.02*(IF(AND(ISNUMBER('Input_Meci'!Q21),'Input_Meci'!Q21&gt;=0,'Input_Meci'!Q21&lt;=200),'Input_Meci'!Q21,3.5)/3.5-1)+0.02*(IF(AND(ISNUMBER('Input_Meci'!S21),'Input_Meci'!S21&gt;=0,'Input_Meci'!S21&lt;=200),'Input_Meci'!S21,18)/18-1)+0.02*((IF(AND(ISNUMBER('Input_Meci'!W21),'Input_Meci'!W21&gt;=0,'Input_Meci'!W21&lt;=10),'Input_Meci'!W21,5)-5)/5))))</x:f>
      </x:c>
      <x:c r="AZ21" s="11" t="str">
        <x:f>IF(A21="","",MAX(1-'Config_v6'!$B$21,MIN(1+'Config_v6'!$B$21,1+0.012*(IF('Input_Meci'!X21="",5,IF(ISNUMBER('Input_Meci'!X21),'Input_Meci'!X21,5))-5)+0.018*(IF('Input_Meci'!Z21="",5,IF(ISNUMBER('Input_Meci'!Z21),'Input_Meci'!Z21,5))-5)+0.012*(IF('Input_Meci'!AB21="",5,IF(ISNUMBER('Input_Meci'!AB21),'Input_Meci'!AB21,5))-5)+0.015*IF('Input_Meci'!AD21="",0,IF(ISNUMBER('Input_Meci'!AD21),'Input_Meci'!AD21,0))+0.02*IF('Input_Meci'!AF21="",0,IF(ISNUMBER('Input_Meci'!AF21),'Input_Meci'!AF21,0)))))</x:f>
      </x:c>
      <x:c r="BA21" s="11" t="str">
        <x:f>IF(A21="","",MAX(1-'Config_v6'!$B$21,MIN(1+'Config_v6'!$B$21,1+0.012*(IF('Input_Meci'!Y21="",5,IF(ISNUMBER('Input_Meci'!Y21),'Input_Meci'!Y21,5))-5)+0.018*(IF('Input_Meci'!AA21="",5,IF(ISNUMBER('Input_Meci'!AA21),'Input_Meci'!AA21,5))-5)+0.012*(IF('Input_Meci'!AC21="",5,IF(ISNUMBER('Input_Meci'!AC21),'Input_Meci'!AC21,5))-5)+0.015*IF('Input_Meci'!AE21="",0,IF(ISNUMBER('Input_Meci'!AE21),'Input_Meci'!AE21,0))+0.02*IF('Input_Meci'!AG21="",0,IF(ISNUMBER('Input_Meci'!AG21),'Input_Meci'!AG21,0)))))</x:f>
      </x:c>
      <x:c r="BB21" s="11" t="str">
        <x:f>IF(I21&lt;&gt;"PASS","",(AVERAGE(AF21,AM21)*'Config_v6'!$B$4+AVERAGE(AH21,AO21)*'Config_v6'!$B$5+AVERAGE(AJ21,AQ21)*'Config_v6'!$B$6)*AX21*AZ21)</x:f>
      </x:c>
      <x:c r="BC21" s="11" t="str">
        <x:f>IF(I21&lt;&gt;"PASS","",(AVERAGE(AL21,AG21)*'Config_v6'!$B$4+AVERAGE(AN21,AI21)*'Config_v6'!$B$5+AVERAGE(AP21,AK21)*'Config_v6'!$B$6)*AY21*BA21)</x:f>
      </x:c>
      <x:c r="BD21" s="11" t="str">
        <x:f>IF(I21&lt;&gt;"PASS","",BB21+BC21)</x:f>
      </x:c>
      <x:c r="BE21" s="11" t="str">
        <x:f>IF(A21="","",10-SUM(IF(AND(ISNUMBER('Input_Meci'!N21),'Input_Meci'!N21&gt;=0,'Input_Meci'!N21&lt;=200),1,0),IF(AND(ISNUMBER('Input_Meci'!O21),'Input_Meci'!O21&gt;=0,'Input_Meci'!O21&lt;=200),1,0),IF(AND(ISNUMBER('Input_Meci'!P21),'Input_Meci'!P21&gt;=0,'Input_Meci'!P21&lt;=200),1,0),IF(AND(ISNUMBER('Input_Meci'!Q21),'Input_Meci'!Q21&gt;=0,'Input_Meci'!Q21&lt;=200),1,0),IF(AND(ISNUMBER('Input_Meci'!R21),'Input_Meci'!R21&gt;=0,'Input_Meci'!R21&lt;=200),1,0),IF(AND(ISNUMBER('Input_Meci'!S21),'Input_Meci'!S21&gt;=0,'Input_Meci'!S21&lt;=200),1,0),IF(AND(ISNUMBER('Input_Meci'!T21),'Input_Meci'!T21&gt;=0,'Input_Meci'!T21&lt;=100),1,0),IF(AND(ISNUMBER('Input_Meci'!U21),'Input_Meci'!U21&gt;=0,'Input_Meci'!U21&lt;=100),1,0),IF(AND(ISNUMBER('Input_Meci'!V21),'Input_Meci'!V21&gt;=0,'Input_Meci'!V21&lt;=10),1,0),IF(AND(ISNUMBER('Input_Meci'!W21),'Input_Meci'!W21&gt;=0,'Input_Meci'!W21&lt;=10),1,0)))</x:f>
      </x:c>
      <x:c r="BF21" s="11" t="str">
        <x:f>IF(I21&lt;&gt;"PASS","",MAX(0,MIN(IF(OR(M21="YES",BL21&lt;&gt;C21),'Config_v6'!$B$34,100),ROUND(40+25*MIN(1,MIN(N21,Q21)/'Config_v6'!$B$7)*MIN(1,MIN(O21,R21)/'Config_v6'!$B$8)*MIN(1,MIN(P21,S21)/'Config_v6'!$B$9)+MAX(0,15-2*ABS(AF21-AJ21)-2*ABS(AL21-AP21))+IF(AU21&lt;='Config_v6'!$B$10,15,IF(AU21&lt;='Config_v6'!$B$11,13,IF(AU21&lt;='Config_v6'!$B$12,10,IF(AU21&lt;='Config_v6'!$B$13,6,0))))+5-BE21/10*'Config_v6'!$B$38,0))))</x:f>
      </x:c>
      <x:c r="BG21" s="11" t="str">
        <x:f>IF(I21&lt;&gt;"PASS","",MIN(1,'Config_v6'!$B$14*(0.7+0.3*MIN(1,AR21/'Config_v6'!$B$15))*IF(AU21&lt;='Config_v6'!$B$10,1,IF(AU21&lt;='Config_v6'!$B$11,0.95,IF(AU21&lt;='Config_v6'!$B$12,0.88,0.78)))*(0.75+0.25*BF21/100)))</x:f>
      </x:c>
      <x:c r="BH21" s="11" t="str">
        <x:f>IF(I21&lt;&gt;"PASS","",MIN(1,(ABS(AZ21-1)+ABS(BA21-1))*3))</x:f>
      </x:c>
      <x:c r="BI21" s="2" t="str">
        <x:f>IF(A21="","",IF(AND(OR('Input_Meci'!X21="",AND(ISNUMBER('Input_Meci'!X21),'Input_Meci'!X21&gt;=0,'Input_Meci'!X21&lt;=10)),OR('Input_Meci'!Y21="",AND(ISNUMBER('Input_Meci'!Y21),'Input_Meci'!Y21&gt;=0,'Input_Meci'!Y21&lt;=10)),OR('Input_Meci'!Z21="",AND(ISNUMBER('Input_Meci'!Z21),'Input_Meci'!Z21&gt;=0,'Input_Meci'!Z21&lt;=10)),OR('Input_Meci'!AA21="",AND(ISNUMBER('Input_Meci'!AA21),'Input_Meci'!AA21&gt;=0,'Input_Meci'!AA21&lt;=10)),OR('Input_Meci'!AB21="",AND(ISNUMBER('Input_Meci'!AB21),'Input_Meci'!AB21&gt;=0,'Input_Meci'!AB21&lt;=10)),OR('Input_Meci'!AC21="",AND(ISNUMBER('Input_Meci'!AC21),'Input_Meci'!AC21&gt;=0,'Input_Meci'!AC21&lt;=10)),OR('Input_Meci'!AD21="",AND(ISNUMBER('Input_Meci'!AD21),'Input_Meci'!AD21&gt;=-2,'Input_Meci'!AD21&lt;=2)),OR('Input_Meci'!AE21="",AND(ISNUMBER('Input_Meci'!AE21),'Input_Meci'!AE21&gt;=-2,'Input_Meci'!AE21&lt;=2)),OR('Input_Meci'!AF21="",AND(ISNUMBER('Input_Meci'!AF21),'Input_Meci'!AF21&gt;=-2,'Input_Meci'!AF21&lt;=2)),OR('Input_Meci'!AG21="",AND(ISNUMBER('Input_Meci'!AG21),'Input_Meci'!AG21&gt;=-2,'Input_Meci'!AG21&lt;=2))),"VALID","INVALID"))</x:f>
      </x:c>
      <x:c r="BJ21" s="2" t="n">
        <x:f>IF(A21="",0,SUM('Core_Nativ'!S186:S191))</x:f>
        <x:v>0</x:v>
      </x:c>
      <x:c r="BK21" s="2" t="str">
        <x:f>'Config_v6'!$B$40</x:f>
        <x:v>VALID</x:v>
      </x:c>
      <x:c r="BL21" s="2" t="str">
        <x:f>IF(A21="","",IF(SUMPRODUCT(('Istoric_Nativ'!$B$6:$B$405=B21)*('Istoric_Nativ'!$C$6:$C$405=C21)*('Istoric_Nativ'!$P$6:$P$405=1)*('Istoric_Nativ'!$D$6:$D$405&lt;INT(G21))*((('Istoric_Nativ'!$E$6:$E$405='Input_Meci'!D21)+('Istoric_Nativ'!$F$6:$F$405='Input_Meci'!D21)+('Istoric_Nativ'!$E$6:$E$405='Input_Meci'!E21)+('Istoric_Nativ'!$F$6:$F$405='Input_Meci'!E21))&gt;0))&gt;='Config_v6'!$B$41,C21,IF(AND('Input_Meci'!L21="YES",'Input_Meci'!K21&lt;&gt;"",'Input_Meci'!K21&lt;C21,COUNTIF('Core_Nativ'!R192:R197,"CLOSED")=6,SUM('Core_Nativ'!S192:S197)=0),'Input_Meci'!K21,C21)))</x:f>
      </x:c>
      <x:c r="BM21" s="9" t="n">
        <x:f>IF(OR(A21="",N21=0),0,LARGE(_xlfn._xlws.FILTER('Istoric_Nativ'!$D$6:$D$405,('Istoric_Nativ'!$B$6:$B$405=B21)*('Istoric_Nativ'!$C$6:$C$405=C21)*('Istoric_Nativ'!$P$6:$P$405=1)*('Istoric_Nativ'!$D$6:$D$405&lt;INT(G21))*((('Istoric_Nativ'!$E$6:$E$405='Input_Meci'!D21)+('Istoric_Nativ'!$F$6:$F$405='Input_Meci'!D21))&gt;0)),MIN(10,N21)))</x:f>
        <x:v>0</x:v>
      </x:c>
      <x:c r="BN21" s="9" t="n">
        <x:f>IF(OR(A21="",Q21=0),0,LARGE(_xlfn._xlws.FILTER('Istoric_Nativ'!$D$6:$D$405,('Istoric_Nativ'!$B$6:$B$405=B21)*('Istoric_Nativ'!$C$6:$C$405=C21)*('Istoric_Nativ'!$P$6:$P$405=1)*('Istoric_Nativ'!$D$6:$D$405&lt;INT(G21))*((('Istoric_Nativ'!$E$6:$E$405='Input_Meci'!E21)+('Istoric_Nativ'!$F$6:$F$405='Input_Meci'!E21))&gt;0)),MIN(10,Q21)))</x:f>
        <x:v>0</x:v>
      </x:c>
      <x:c r="BO21" s="9" t="n">
        <x:f>IF(OR(A21="",N21=0),0,LARGE(_xlfn._xlws.FILTER('Istoric_Nativ'!$D$6:$D$405,('Istoric_Nativ'!$B$6:$B$405=B21)*('Istoric_Nativ'!$C$6:$C$405=C21)*('Istoric_Nativ'!$P$6:$P$405=1)*('Istoric_Nativ'!$D$6:$D$405&lt;INT(G21))*((('Istoric_Nativ'!$E$6:$E$405='Input_Meci'!D21)+('Istoric_Nativ'!$F$6:$F$405='Input_Meci'!D21))&gt;0)),MIN(20,N21)))</x:f>
        <x:v>0</x:v>
      </x:c>
      <x:c r="BP21" s="9" t="n">
        <x:f>IF(OR(A21="",Q21=0),0,LARGE(_xlfn._xlws.FILTER('Istoric_Nativ'!$D$6:$D$405,('Istoric_Nativ'!$B$6:$B$405=B21)*('Istoric_Nativ'!$C$6:$C$405=C21)*('Istoric_Nativ'!$P$6:$P$405=1)*('Istoric_Nativ'!$D$6:$D$405&lt;INT(G21))*((('Istoric_Nativ'!$E$6:$E$405='Input_Meci'!E21)+('Istoric_Nativ'!$F$6:$F$405='Input_Meci'!E21))&gt;0)),MIN(20,Q21)))</x:f>
        <x:v>0</x:v>
      </x:c>
      <x:c r="BQ21" s="2" t="str">
        <x:f>IF(A21="","",IF(AND(COUNTIF(MatchesTable[Match_ID],A21)=1,COUNTIFS(MatchesTable[League],B21,MatchesTable[Season],C21,MatchesTable[Home],'Input_Meci'!D21,MatchesTable[Away],'Input_Meci'!E21,MatchesTable[Kickoff_UTC],F21)=1,B21&lt;&gt;"",C21&lt;&gt;"",'Input_Meci'!D21&lt;&gt;"",'Input_Meci'!E21&lt;&gt;"",'Input_Meci'!D21&lt;&gt;'Input_Meci'!E21,ISNUMBER(F21),ISNUMBER(G21),G21&lt;F21,OR(E21="LIVE",E21="REPLAY"),OR('Input_Meci'!L21="YES",'Input_Meci'!L21="NO",'Input_Meci'!L21="")),"VALID","INVALID"))</x:f>
      </x:c>
      <x:c r="BR21" s="2" t="n">
        <x:f>IF(I21&lt;&gt;"PASS",0,SUMPRODUCT(('Istoric_Nativ'!$B$6:$B$405='Input_Meci'!B21)*('Istoric_Nativ'!$C$6:$C$405='Input_Meci'!C21)*('Istoric_Nativ'!$P$6:$P$405=1)*('Istoric_Nativ'!$D$6:$D$405&lt;INT('Input_Meci'!G21))*((('Istoric_Nativ'!$E$6:$E$405='Input_Meci'!D21)+('Istoric_Nativ'!$F$6:$F$405='Input_Meci'!E21))&gt;0)))</x:f>
        <x:v>0</x:v>
      </x:c>
      <x:c r="BS21" s="2" t="n">
        <x:f>IF(I21&lt;&gt;"PASS",0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BM21)+((('Istoric_Nativ'!$E$6:$E$405='Input_Meci'!E21)+('Istoric_Nativ'!$F$6:$F$405='Input_Meci'!E21))&gt;0)*('Istoric_Nativ'!$D$6:$D$405&gt;=BN21))&gt;0)))</x:f>
        <x:v>0</x:v>
      </x:c>
      <x:c r="BT21" s="2" t="n">
        <x:f>IF(I21&lt;&gt;"PASS",0,SUMPRODUCT(('Istoric_Nativ'!$B$6:$B$405='Input_Meci'!B21)*('Istoric_Nativ'!$C$6:$C$405='Input_Meci'!C21)*('Istoric_Nativ'!$P$6:$P$405=1)*('Istoric_Nativ'!$D$6:$D$405&lt;INT('Input_Meci'!G21))*((((('Istoric_Nativ'!$E$6:$E$405='Input_Meci'!D21)+('Istoric_Nativ'!$F$6:$F$405='Input_Meci'!D21))&gt;0)*('Istoric_Nativ'!$D$6:$D$405&gt;=BO21)+((('Istoric_Nativ'!$E$6:$E$405='Input_Meci'!E21)+('Istoric_Nativ'!$F$6:$F$405='Input_Meci'!E21))&gt;0)*('Istoric_Nativ'!$D$6:$D$405&gt;=BP21))&gt;0)))</x:f>
        <x:v>0</x:v>
      </x:c>
    </x:row>
    <x:row r="22" ht="21" customHeight="1">
      <x:c r="A22" s="2" t="str">
        <x:f>IF('Input_Meci'!A22="","",'Input_Meci'!A22)</x:f>
      </x:c>
      <x:c r="B22" s="2" t="str">
        <x:f>IF(A22="","",'Input_Meci'!B22)</x:f>
      </x:c>
      <x:c r="C22" s="2" t="str">
        <x:f>IF(A22="","",'Input_Meci'!C22)</x:f>
      </x:c>
      <x:c r="D22" s="2" t="str">
        <x:f>IF(A22="","",'Input_Meci'!D22&amp;" – "&amp;'Input_Meci'!E22)</x:f>
      </x:c>
      <x:c r="E22" s="2" t="str">
        <x:f>IF(A22="","",'Input_Meci'!H22)</x:f>
      </x:c>
      <x:c r="F22" s="9" t="str">
        <x:f>IF(A22="","",'Input_Meci'!F22)</x:f>
      </x:c>
      <x:c r="G22" s="9" t="str">
        <x:f>IF(A22="","",'Input_Meci'!G22)</x:f>
      </x:c>
      <x:c r="H22" s="2" t="str">
        <x:f>IF(A22="","",IF(BQ22&lt;&gt;"VALID","NOT RELEASED",IF(AND(OR('Input_Meci'!I22="NOT AVAILABLE",'Input_Meci'!I22="SOURCE CONFLICT"),'Input_Meci'!J22&lt;&gt;""),"READY",IF(OR(NOT(OR('Input_Meci'!I22="AUTO",'Input_Meci'!I22="")),COUNTIF('Core_Nativ'!R198:R203,"CLOSED")&lt;&gt;6,BJ22&gt;0),"NOT RELEASED","READY"))))</x:f>
      </x:c>
      <x:c r="I22" s="2" t="str">
        <x:f>IF(A22="","",IF(H22&lt;&gt;"READY","NOT RELEASED",IF(AND(NOT(OR('Input_Meci'!I22="NOT AVAILABLE",'Input_Meci'!I22="SOURCE CONFLICT")),L22=12,AR22&gt;=2,AS22&gt;0,ISNUMBER(AT22),BI22="VALID",BK22="VALID"),"PASS","FAIL")))</x:f>
      </x:c>
      <x:c r="J22" s="2" t="str">
        <x:f>IF(A22="","",IF(BQ22&lt;&gt;"VALID","Verifica ID, echipe, mod si cutoff &lt; kickoff",IF(H22&lt;&gt;"READY",IF('Input_Meci'!I22="ACCESS BLOCKED","Acces blocat: reia sursele",IF(BJ22&gt;0,"Istoric invalid sau conflict: verifica randurile native","Surse neinchise / post-cutoff / dovezi incomplete")),IF(OR('Input_Meci'!I22="NOT AVAILABLE",'Input_Meci'!I22="SOURCE CONFLICT"),'Input_Meci'!I22,IF(BK22&lt;&gt;"VALID","Parametri invalizi",IF(L22&lt;&gt;12,"Core / sample / prior insuficient",IF(AR22&lt;2,"N insuficient pentru dispersie",IF(AS22&lt;=0,"Media istorica trebuie sa fie pozitiva",IF(BI22&lt;&gt;"VALID","Context invalid","READY")))))))))</x:f>
      </x:c>
      <x:c r="K22" s="2" t="str">
        <x:f>IF(A22="","",COUNT(T22:AE22))</x:f>
      </x:c>
      <x:c r="L22" s="2" t="str">
        <x:f>IF(A22="","",COUNT(AF22:AQ22))</x:f>
      </x:c>
      <x:c r="M22" s="2" t="str">
        <x:f>IF(A22="","",IF(OR('Core_Nativ'!M198&lt;'Core_Nativ'!P198,'Core_Nativ'!M199&lt;'Core_Nativ'!P199,'Core_Nativ'!M200&lt;'Core_Nativ'!P200,'Core_Nativ'!M201&lt;'Core_Nativ'!P201,'Core_Nativ'!M202&lt;'Core_Nativ'!P202,'Core_Nativ'!M203&lt;'Core_Nativ'!P203),"YES","NO"))</x:f>
      </x:c>
      <x:c r="N22" s="2" t="str">
        <x:f>IF(A22="","",'Core_Nativ'!M198)</x:f>
      </x:c>
      <x:c r="O22" s="2" t="str">
        <x:f>IF(A22="","",'Core_Nativ'!M199)</x:f>
      </x:c>
      <x:c r="P22" s="2" t="str">
        <x:f>IF(A22="","",'Core_Nativ'!M200)</x:f>
      </x:c>
      <x:c r="Q22" s="2" t="str">
        <x:f>IF(A22="","",'Core_Nativ'!M201)</x:f>
      </x:c>
      <x:c r="R22" s="2" t="str">
        <x:f>IF(A22="","",'Core_Nativ'!M202)</x:f>
      </x:c>
      <x:c r="S22" s="2" t="str">
        <x:f>IF(A22="","",'Core_Nativ'!M203)</x:f>
      </x:c>
      <x:c r="T22" s="11" t="str">
        <x:f>IF(OR(A22="",'Core_Nativ'!M198=0),"",'Core_Nativ'!N198)</x:f>
      </x:c>
      <x:c r="U22" s="11" t="str">
        <x:f>IF(OR(A22="",'Core_Nativ'!M198=0),"",'Core_Nativ'!O198)</x:f>
      </x:c>
      <x:c r="V22" s="11" t="str">
        <x:f>IF(OR(A22="",'Core_Nativ'!M199=0),"",'Core_Nativ'!N199)</x:f>
      </x:c>
      <x:c r="W22" s="11" t="str">
        <x:f>IF(OR(A22="",'Core_Nativ'!M199=0),"",'Core_Nativ'!O199)</x:f>
      </x:c>
      <x:c r="X22" s="11" t="str">
        <x:f>IF(OR(A22="",'Core_Nativ'!M200=0),"",'Core_Nativ'!N200)</x:f>
      </x:c>
      <x:c r="Y22" s="11" t="str">
        <x:f>IF(OR(A22="",'Core_Nativ'!M200=0),"",'Core_Nativ'!O200)</x:f>
      </x:c>
      <x:c r="Z22" s="11" t="str">
        <x:f>IF(OR(A22="",'Core_Nativ'!M201=0),"",'Core_Nativ'!N201)</x:f>
      </x:c>
      <x:c r="AA22" s="11" t="str">
        <x:f>IF(OR(A22="",'Core_Nativ'!M201=0),"",'Core_Nativ'!O201)</x:f>
      </x:c>
      <x:c r="AB22" s="11" t="str">
        <x:f>IF(OR(A22="",'Core_Nativ'!M202=0),"",'Core_Nativ'!N202)</x:f>
      </x:c>
      <x:c r="AC22" s="11" t="str">
        <x:f>IF(OR(A22="",'Core_Nativ'!M202=0),"",'Core_Nativ'!O202)</x:f>
      </x:c>
      <x:c r="AD22" s="11" t="str">
        <x:f>IF(OR(A22="",'Core_Nativ'!M203=0),"",'Core_Nativ'!N203)</x:f>
      </x:c>
      <x:c r="AE22" s="11" t="str">
        <x:f>IF(OR(A22="",'Core_Nativ'!M203=0),"",'Core_Nativ'!O203)</x:f>
      </x:c>
      <x:c r="AF22" s="11" t="str">
        <x:f>IF(A22="","",IF(AND('Core_Nativ'!R198="CLOSED",'Core_Nativ'!S198=0),IF('Core_Nativ'!M198&gt;='Core_Nativ'!P198,'Core_Nativ'!N198,IF(AND('Input_Meci'!L22="YES",'Input_Meci'!K22&lt;&gt;"",'Input_Meci'!K22&lt;C22,'Core_Nativ'!T204="DERIVED",'Core_Nativ'!M204&gt;='Core_Nativ'!P198),MIN(1,'Core_Nativ'!M198/'Core_Nativ'!P198)*IF('Core_Nativ'!M198=0,0,'Core_Nativ'!N198)+(1-MIN(1,'Core_Nativ'!M198/'Core_Nativ'!P198))*'Core_Nativ'!N204,"")),""))</x:f>
      </x:c>
      <x:c r="AG22" s="11" t="str">
        <x:f>IF(A22="","",IF(AND('Core_Nativ'!R198="CLOSED",'Core_Nativ'!S198=0),IF('Core_Nativ'!M198&gt;='Core_Nativ'!P198,'Core_Nativ'!O198,IF(AND('Input_Meci'!L22="YES",'Input_Meci'!K22&lt;&gt;"",'Input_Meci'!K22&lt;C22,'Core_Nativ'!T204="DERIVED",'Core_Nativ'!M204&gt;='Core_Nativ'!P198),MIN(1,'Core_Nativ'!M198/'Core_Nativ'!P198)*IF('Core_Nativ'!M198=0,0,'Core_Nativ'!O198)+(1-MIN(1,'Core_Nativ'!M198/'Core_Nativ'!P198))*'Core_Nativ'!O204,"")),""))</x:f>
      </x:c>
      <x:c r="AH22" s="11" t="str">
        <x:f>IF(A22="","",IF(AND('Core_Nativ'!R199="CLOSED",'Core_Nativ'!S199=0),IF('Core_Nativ'!M199&gt;='Core_Nativ'!P199,'Core_Nativ'!N199,IF(AND('Input_Meci'!L22="YES",'Input_Meci'!K22&lt;&gt;"",'Input_Meci'!K22&lt;C22,'Core_Nativ'!T205="DERIVED",'Core_Nativ'!M205&gt;='Core_Nativ'!P199),MIN(1,'Core_Nativ'!M199/'Core_Nativ'!P199)*IF('Core_Nativ'!M199=0,0,'Core_Nativ'!N199)+(1-MIN(1,'Core_Nativ'!M199/'Core_Nativ'!P199))*'Core_Nativ'!N205,"")),""))</x:f>
      </x:c>
      <x:c r="AI22" s="11" t="str">
        <x:f>IF(A22="","",IF(AND('Core_Nativ'!R199="CLOSED",'Core_Nativ'!S199=0),IF('Core_Nativ'!M199&gt;='Core_Nativ'!P199,'Core_Nativ'!O199,IF(AND('Input_Meci'!L22="YES",'Input_Meci'!K22&lt;&gt;"",'Input_Meci'!K22&lt;C22,'Core_Nativ'!T205="DERIVED",'Core_Nativ'!M205&gt;='Core_Nativ'!P199),MIN(1,'Core_Nativ'!M199/'Core_Nativ'!P199)*IF('Core_Nativ'!M199=0,0,'Core_Nativ'!O199)+(1-MIN(1,'Core_Nativ'!M199/'Core_Nativ'!P199))*'Core_Nativ'!O205,"")),""))</x:f>
      </x:c>
      <x:c r="AJ22" s="11" t="str">
        <x:f>IF(A22="","",IF(AND('Core_Nativ'!R200="CLOSED",'Core_Nativ'!S200=0),IF('Core_Nativ'!M200&gt;='Core_Nativ'!P200,'Core_Nativ'!N200,IF(AND('Input_Meci'!L22="YES",'Input_Meci'!K22&lt;&gt;"",'Input_Meci'!K22&lt;C22,'Core_Nativ'!T206="DERIVED",'Core_Nativ'!M206&gt;='Core_Nativ'!P200),MIN(1,'Core_Nativ'!M200/'Core_Nativ'!P200)*IF('Core_Nativ'!M200=0,0,'Core_Nativ'!N200)+(1-MIN(1,'Core_Nativ'!M200/'Core_Nativ'!P200))*'Core_Nativ'!N206,"")),""))</x:f>
      </x:c>
      <x:c r="AK22" s="11" t="str">
        <x:f>IF(A22="","",IF(AND('Core_Nativ'!R200="CLOSED",'Core_Nativ'!S200=0),IF('Core_Nativ'!M200&gt;='Core_Nativ'!P200,'Core_Nativ'!O200,IF(AND('Input_Meci'!L22="YES",'Input_Meci'!K22&lt;&gt;"",'Input_Meci'!K22&lt;C22,'Core_Nativ'!T206="DERIVED",'Core_Nativ'!M206&gt;='Core_Nativ'!P200),MIN(1,'Core_Nativ'!M200/'Core_Nativ'!P200)*IF('Core_Nativ'!M200=0,0,'Core_Nativ'!O200)+(1-MIN(1,'Core_Nativ'!M200/'Core_Nativ'!P200))*'Core_Nativ'!O206,"")),""))</x:f>
      </x:c>
      <x:c r="AL22" s="11" t="str">
        <x:f>IF(A22="","",IF(AND('Core_Nativ'!R201="CLOSED",'Core_Nativ'!S201=0),IF('Core_Nativ'!M201&gt;='Core_Nativ'!P201,'Core_Nativ'!N201,IF(AND('Input_Meci'!L22="YES",'Input_Meci'!K22&lt;&gt;"",'Input_Meci'!K22&lt;C22,'Core_Nativ'!T207="DERIVED",'Core_Nativ'!M207&gt;='Core_Nativ'!P201),MIN(1,'Core_Nativ'!M201/'Core_Nativ'!P201)*IF('Core_Nativ'!M201=0,0,'Core_Nativ'!N201)+(1-MIN(1,'Core_Nativ'!M201/'Core_Nativ'!P201))*'Core_Nativ'!N207,"")),""))</x:f>
      </x:c>
      <x:c r="AM22" s="11" t="str">
        <x:f>IF(A22="","",IF(AND('Core_Nativ'!R201="CLOSED",'Core_Nativ'!S201=0),IF('Core_Nativ'!M201&gt;='Core_Nativ'!P201,'Core_Nativ'!O201,IF(AND('Input_Meci'!L22="YES",'Input_Meci'!K22&lt;&gt;"",'Input_Meci'!K22&lt;C22,'Core_Nativ'!T207="DERIVED",'Core_Nativ'!M207&gt;='Core_Nativ'!P201),MIN(1,'Core_Nativ'!M201/'Core_Nativ'!P201)*IF('Core_Nativ'!M201=0,0,'Core_Nativ'!O201)+(1-MIN(1,'Core_Nativ'!M201/'Core_Nativ'!P201))*'Core_Nativ'!O207,"")),""))</x:f>
      </x:c>
      <x:c r="AN22" s="11" t="str">
        <x:f>IF(A22="","",IF(AND('Core_Nativ'!R202="CLOSED",'Core_Nativ'!S202=0),IF('Core_Nativ'!M202&gt;='Core_Nativ'!P202,'Core_Nativ'!N202,IF(AND('Input_Meci'!L22="YES",'Input_Meci'!K22&lt;&gt;"",'Input_Meci'!K22&lt;C22,'Core_Nativ'!T208="DERIVED",'Core_Nativ'!M208&gt;='Core_Nativ'!P202),MIN(1,'Core_Nativ'!M202/'Core_Nativ'!P202)*IF('Core_Nativ'!M202=0,0,'Core_Nativ'!N202)+(1-MIN(1,'Core_Nativ'!M202/'Core_Nativ'!P202))*'Core_Nativ'!N208,"")),""))</x:f>
      </x:c>
      <x:c r="AO22" s="11" t="str">
        <x:f>IF(A22="","",IF(AND('Core_Nativ'!R202="CLOSED",'Core_Nativ'!S202=0),IF('Core_Nativ'!M202&gt;='Core_Nativ'!P202,'Core_Nativ'!O202,IF(AND('Input_Meci'!L22="YES",'Input_Meci'!K22&lt;&gt;"",'Input_Meci'!K22&lt;C22,'Core_Nativ'!T208="DERIVED",'Core_Nativ'!M208&gt;='Core_Nativ'!P202),MIN(1,'Core_Nativ'!M202/'Core_Nativ'!P202)*IF('Core_Nativ'!M202=0,0,'Core_Nativ'!O202)+(1-MIN(1,'Core_Nativ'!M202/'Core_Nativ'!P202))*'Core_Nativ'!O208,"")),""))</x:f>
      </x:c>
      <x:c r="AP22" s="11" t="str">
        <x:f>IF(A22="","",IF(AND('Core_Nativ'!R203="CLOSED",'Core_Nativ'!S203=0),IF('Core_Nativ'!M203&gt;='Core_Nativ'!P203,'Core_Nativ'!N203,IF(AND('Input_Meci'!L22="YES",'Input_Meci'!K22&lt;&gt;"",'Input_Meci'!K22&lt;C22,'Core_Nativ'!T209="DERIVED",'Core_Nativ'!M209&gt;='Core_Nativ'!P203),MIN(1,'Core_Nativ'!M203/'Core_Nativ'!P203)*IF('Core_Nativ'!M203=0,0,'Core_Nativ'!N203)+(1-MIN(1,'Core_Nativ'!M203/'Core_Nativ'!P203))*'Core_Nativ'!N209,"")),""))</x:f>
      </x:c>
      <x:c r="AQ22" s="11" t="str">
        <x:f>IF(A22="","",IF(AND('Core_Nativ'!R203="CLOSED",'Core_Nativ'!S203=0),IF('Core_Nativ'!M203&gt;='Core_Nativ'!P203,'Core_Nativ'!O203,IF(AND('Input_Meci'!L22="YES",'Input_Meci'!K22&lt;&gt;"",'Input_Meci'!K22&lt;C22,'Core_Nativ'!T209="DERIVED",'Core_Nativ'!M209&gt;='Core_Nativ'!P203),MIN(1,'Core_Nativ'!M203/'Core_Nativ'!P203)*IF('Core_Nativ'!M203=0,0,'Core_Nativ'!O203)+(1-MIN(1,'Core_Nativ'!M203/'Core_Nativ'!P203))*'Core_Nativ'!O209,"")),""))</x:f>
      </x:c>
      <x:c r="AR22" s="11" t="str">
        <x:f>IF(A22="","",SUMPRODUCT(('Istoric_Nativ'!$B$6:$B$405=B22)*('Istoric_Nativ'!$C$6:$C$405=BL22)*('Istoric_Nativ'!$P$6:$P$405=1)*('Istoric_Nativ'!$D$6:$D$405&lt;INT(G22))*((('Istoric_Nativ'!$E$6:$E$405='Input_Meci'!D22)+('Istoric_Nativ'!$F$6:$F$405='Input_Meci'!D22)+('Istoric_Nativ'!$E$6:$E$405='Input_Meci'!E22)+('Istoric_Nativ'!$F$6:$F$405='Input_Meci'!E22))&gt;0)))</x:f>
      </x:c>
      <x:c r="AS22" s="11" t="str">
        <x:f>IF(AR22=0,"",SUMPRODUCT(('Istoric_Nativ'!$B$6:$B$405=B22)*('Istoric_Nativ'!$C$6:$C$405=BL22)*('Istoric_Nativ'!$P$6:$P$405=1)*('Istoric_Nativ'!$D$6:$D$405&lt;INT(G22))*((('Istoric_Nativ'!$E$6:$E$405='Input_Meci'!D22)+('Istoric_Nativ'!$F$6:$F$405='Input_Meci'!D22)+('Istoric_Nativ'!$E$6:$E$405='Input_Meci'!E22)+('Istoric_Nativ'!$F$6:$F$405='Input_Meci'!E22))&gt;0)*'Istoric_Nativ'!$Q$6:$Q$405)/AR22)</x:f>
      </x:c>
      <x:c r="AT22" s="11" t="str">
        <x:f>IF(AR22&lt;2,"",MAX(0,(SUMPRODUCT(('Istoric_Nativ'!$B$6:$B$405=B22)*('Istoric_Nativ'!$C$6:$C$405=BL22)*('Istoric_Nativ'!$P$6:$P$405=1)*('Istoric_Nativ'!$D$6:$D$405&lt;INT(G22))*((('Istoric_Nativ'!$E$6:$E$405='Input_Meci'!D22)+('Istoric_Nativ'!$F$6:$F$405='Input_Meci'!D22)+('Istoric_Nativ'!$E$6:$E$405='Input_Meci'!E22)+('Istoric_Nativ'!$F$6:$F$405='Input_Meci'!E22))&gt;0)*'Istoric_Nativ'!$R$6:$R$405)-AR22*AS22^2)/(AR22-1)))</x:f>
      </x:c>
      <x:c r="AU22" s="11" t="str">
        <x:f>IF(I22&lt;&gt;"PASS","",AT22/AS22)</x:f>
      </x:c>
      <x:c r="AV22" s="11" t="str">
        <x:f>IF(I22&lt;&gt;"PASS","",IF(AU22&lt;='Config_v6'!$B$10,"POISSON","NEGATIVE BINOMIAL"))</x:f>
      </x:c>
      <x:c r="AW22" s="11" t="str">
        <x:f>IF(I22&lt;&gt;"PASS","",IF(AV22="POISSON",9999,AS22/(AU22-1)))</x:f>
      </x:c>
      <x:c r="AX22" s="11" t="str">
        <x:f>IF(A22="","",MAX(1-'Config_v6'!$B$20,MIN(1+'Config_v6'!$B$20,1+0.02*(IF(AND(ISNUMBER('Input_Meci'!N22),'Input_Meci'!N22&gt;=0,'Input_Meci'!N22&lt;=200),'Input_Meci'!N22,12)/12-1)+0.02*(IF(AND(ISNUMBER('Input_Meci'!P22),'Input_Meci'!P22&gt;=0,'Input_Meci'!P22&lt;=200),'Input_Meci'!P22,3.5)/3.5-1)+0.02*(IF(AND(ISNUMBER('Input_Meci'!R22),'Input_Meci'!R22&gt;=0,'Input_Meci'!R22&lt;=200),'Input_Meci'!R22,18)/18-1)+0.02*((IF(AND(ISNUMBER('Input_Meci'!V22),'Input_Meci'!V22&gt;=0,'Input_Meci'!V22&lt;=10),'Input_Meci'!V22,5)-5)/5))))</x:f>
      </x:c>
      <x:c r="AY22" s="11" t="str">
        <x:f>IF(A22="","",MAX(1-'Config_v6'!$B$20,MIN(1+'Config_v6'!$B$20,1+0.02*(IF(AND(ISNUMBER('Input_Meci'!O22),'Input_Meci'!O22&gt;=0,'Input_Meci'!O22&lt;=200),'Input_Meci'!O22,12)/12-1)+0.02*(IF(AND(ISNUMBER('Input_Meci'!Q22),'Input_Meci'!Q22&gt;=0,'Input_Meci'!Q22&lt;=200),'Input_Meci'!Q22,3.5)/3.5-1)+0.02*(IF(AND(ISNUMBER('Input_Meci'!S22),'Input_Meci'!S22&gt;=0,'Input_Meci'!S22&lt;=200),'Input_Meci'!S22,18)/18-1)+0.02*((IF(AND(ISNUMBER('Input_Meci'!W22),'Input_Meci'!W22&gt;=0,'Input_Meci'!W22&lt;=10),'Input_Meci'!W22,5)-5)/5))))</x:f>
      </x:c>
      <x:c r="AZ22" s="11" t="str">
        <x:f>IF(A22="","",MAX(1-'Config_v6'!$B$21,MIN(1+'Config_v6'!$B$21,1+0.012*(IF('Input_Meci'!X22="",5,IF(ISNUMBER('Input_Meci'!X22),'Input_Meci'!X22,5))-5)+0.018*(IF('Input_Meci'!Z22="",5,IF(ISNUMBER('Input_Meci'!Z22),'Input_Meci'!Z22,5))-5)+0.012*(IF('Input_Meci'!AB22="",5,IF(ISNUMBER('Input_Meci'!AB22),'Input_Meci'!AB22,5))-5)+0.015*IF('Input_Meci'!AD22="",0,IF(ISNUMBER('Input_Meci'!AD22),'Input_Meci'!AD22,0))+0.02*IF('Input_Meci'!AF22="",0,IF(ISNUMBER('Input_Meci'!AF22),'Input_Meci'!AF22,0)))))</x:f>
      </x:c>
      <x:c r="BA22" s="11" t="str">
        <x:f>IF(A22="","",MAX(1-'Config_v6'!$B$21,MIN(1+'Config_v6'!$B$21,1+0.012*(IF('Input_Meci'!Y22="",5,IF(ISNUMBER('Input_Meci'!Y22),'Input_Meci'!Y22,5))-5)+0.018*(IF('Input_Meci'!AA22="",5,IF(ISNUMBER('Input_Meci'!AA22),'Input_Meci'!AA22,5))-5)+0.012*(IF('Input_Meci'!AC22="",5,IF(ISNUMBER('Input_Meci'!AC22),'Input_Meci'!AC22,5))-5)+0.015*IF('Input_Meci'!AE22="",0,IF(ISNUMBER('Input_Meci'!AE22),'Input_Meci'!AE22,0))+0.02*IF('Input_Meci'!AG22="",0,IF(ISNUMBER('Input_Meci'!AG22),'Input_Meci'!AG22,0)))))</x:f>
      </x:c>
      <x:c r="BB22" s="11" t="str">
        <x:f>IF(I22&lt;&gt;"PASS","",(AVERAGE(AF22,AM22)*'Config_v6'!$B$4+AVERAGE(AH22,AO22)*'Config_v6'!$B$5+AVERAGE(AJ22,AQ22)*'Config_v6'!$B$6)*AX22*AZ22)</x:f>
      </x:c>
      <x:c r="BC22" s="11" t="str">
        <x:f>IF(I22&lt;&gt;"PASS","",(AVERAGE(AL22,AG22)*'Config_v6'!$B$4+AVERAGE(AN22,AI22)*'Config_v6'!$B$5+AVERAGE(AP22,AK22)*'Config_v6'!$B$6)*AY22*BA22)</x:f>
      </x:c>
      <x:c r="BD22" s="11" t="str">
        <x:f>IF(I22&lt;&gt;"PASS","",BB22+BC22)</x:f>
      </x:c>
      <x:c r="BE22" s="11" t="str">
        <x:f>IF(A22="","",10-SUM(IF(AND(ISNUMBER('Input_Meci'!N22),'Input_Meci'!N22&gt;=0,'Input_Meci'!N22&lt;=200),1,0),IF(AND(ISNUMBER('Input_Meci'!O22),'Input_Meci'!O22&gt;=0,'Input_Meci'!O22&lt;=200),1,0),IF(AND(ISNUMBER('Input_Meci'!P22),'Input_Meci'!P22&gt;=0,'Input_Meci'!P22&lt;=200),1,0),IF(AND(ISNUMBER('Input_Meci'!Q22),'Input_Meci'!Q22&gt;=0,'Input_Meci'!Q22&lt;=200),1,0),IF(AND(ISNUMBER('Input_Meci'!R22),'Input_Meci'!R22&gt;=0,'Input_Meci'!R22&lt;=200),1,0),IF(AND(ISNUMBER('Input_Meci'!S22),'Input_Meci'!S22&gt;=0,'Input_Meci'!S22&lt;=200),1,0),IF(AND(ISNUMBER('Input_Meci'!T22),'Input_Meci'!T22&gt;=0,'Input_Meci'!T22&lt;=100),1,0),IF(AND(ISNUMBER('Input_Meci'!U22),'Input_Meci'!U22&gt;=0,'Input_Meci'!U22&lt;=100),1,0),IF(AND(ISNUMBER('Input_Meci'!V22),'Input_Meci'!V22&gt;=0,'Input_Meci'!V22&lt;=10),1,0),IF(AND(ISNUMBER('Input_Meci'!W22),'Input_Meci'!W22&gt;=0,'Input_Meci'!W22&lt;=10),1,0)))</x:f>
      </x:c>
      <x:c r="BF22" s="11" t="str">
        <x:f>IF(I22&lt;&gt;"PASS","",MAX(0,MIN(IF(OR(M22="YES",BL22&lt;&gt;C22),'Config_v6'!$B$34,100),ROUND(40+25*MIN(1,MIN(N22,Q22)/'Config_v6'!$B$7)*MIN(1,MIN(O22,R22)/'Config_v6'!$B$8)*MIN(1,MIN(P22,S22)/'Config_v6'!$B$9)+MAX(0,15-2*ABS(AF22-AJ22)-2*ABS(AL22-AP22))+IF(AU22&lt;='Config_v6'!$B$10,15,IF(AU22&lt;='Config_v6'!$B$11,13,IF(AU22&lt;='Config_v6'!$B$12,10,IF(AU22&lt;='Config_v6'!$B$13,6,0))))+5-BE22/10*'Config_v6'!$B$38,0))))</x:f>
      </x:c>
      <x:c r="BG22" s="11" t="str">
        <x:f>IF(I22&lt;&gt;"PASS","",MIN(1,'Config_v6'!$B$14*(0.7+0.3*MIN(1,AR22/'Config_v6'!$B$15))*IF(AU22&lt;='Config_v6'!$B$10,1,IF(AU22&lt;='Config_v6'!$B$11,0.95,IF(AU22&lt;='Config_v6'!$B$12,0.88,0.78)))*(0.75+0.25*BF22/100)))</x:f>
      </x:c>
      <x:c r="BH22" s="11" t="str">
        <x:f>IF(I22&lt;&gt;"PASS","",MIN(1,(ABS(AZ22-1)+ABS(BA22-1))*3))</x:f>
      </x:c>
      <x:c r="BI22" s="2" t="str">
        <x:f>IF(A22="","",IF(AND(OR('Input_Meci'!X22="",AND(ISNUMBER('Input_Meci'!X22),'Input_Meci'!X22&gt;=0,'Input_Meci'!X22&lt;=10)),OR('Input_Meci'!Y22="",AND(ISNUMBER('Input_Meci'!Y22),'Input_Meci'!Y22&gt;=0,'Input_Meci'!Y22&lt;=10)),OR('Input_Meci'!Z22="",AND(ISNUMBER('Input_Meci'!Z22),'Input_Meci'!Z22&gt;=0,'Input_Meci'!Z22&lt;=10)),OR('Input_Meci'!AA22="",AND(ISNUMBER('Input_Meci'!AA22),'Input_Meci'!AA22&gt;=0,'Input_Meci'!AA22&lt;=10)),OR('Input_Meci'!AB22="",AND(ISNUMBER('Input_Meci'!AB22),'Input_Meci'!AB22&gt;=0,'Input_Meci'!AB22&lt;=10)),OR('Input_Meci'!AC22="",AND(ISNUMBER('Input_Meci'!AC22),'Input_Meci'!AC22&gt;=0,'Input_Meci'!AC22&lt;=10)),OR('Input_Meci'!AD22="",AND(ISNUMBER('Input_Meci'!AD22),'Input_Meci'!AD22&gt;=-2,'Input_Meci'!AD22&lt;=2)),OR('Input_Meci'!AE22="",AND(ISNUMBER('Input_Meci'!AE22),'Input_Meci'!AE22&gt;=-2,'Input_Meci'!AE22&lt;=2)),OR('Input_Meci'!AF22="",AND(ISNUMBER('Input_Meci'!AF22),'Input_Meci'!AF22&gt;=-2,'Input_Meci'!AF22&lt;=2)),OR('Input_Meci'!AG22="",AND(ISNUMBER('Input_Meci'!AG22),'Input_Meci'!AG22&gt;=-2,'Input_Meci'!AG22&lt;=2))),"VALID","INVALID"))</x:f>
      </x:c>
      <x:c r="BJ22" s="2" t="n">
        <x:f>IF(A22="",0,SUM('Core_Nativ'!S198:S203))</x:f>
        <x:v>0</x:v>
      </x:c>
      <x:c r="BK22" s="2" t="str">
        <x:f>'Config_v6'!$B$40</x:f>
        <x:v>VALID</x:v>
      </x:c>
      <x:c r="BL22" s="2" t="str">
        <x:f>IF(A22="","",IF(SUMPRODUCT(('Istoric_Nativ'!$B$6:$B$405=B22)*('Istoric_Nativ'!$C$6:$C$405=C22)*('Istoric_Nativ'!$P$6:$P$405=1)*('Istoric_Nativ'!$D$6:$D$405&lt;INT(G22))*((('Istoric_Nativ'!$E$6:$E$405='Input_Meci'!D22)+('Istoric_Nativ'!$F$6:$F$405='Input_Meci'!D22)+('Istoric_Nativ'!$E$6:$E$405='Input_Meci'!E22)+('Istoric_Nativ'!$F$6:$F$405='Input_Meci'!E22))&gt;0))&gt;='Config_v6'!$B$41,C22,IF(AND('Input_Meci'!L22="YES",'Input_Meci'!K22&lt;&gt;"",'Input_Meci'!K22&lt;C22,COUNTIF('Core_Nativ'!R204:R209,"CLOSED")=6,SUM('Core_Nativ'!S204:S209)=0),'Input_Meci'!K22,C22)))</x:f>
      </x:c>
      <x:c r="BM22" s="9" t="n">
        <x:f>IF(OR(A22="",N22=0),0,LARGE(_xlfn._xlws.FILTER('Istoric_Nativ'!$D$6:$D$405,('Istoric_Nativ'!$B$6:$B$405=B22)*('Istoric_Nativ'!$C$6:$C$405=C22)*('Istoric_Nativ'!$P$6:$P$405=1)*('Istoric_Nativ'!$D$6:$D$405&lt;INT(G22))*((('Istoric_Nativ'!$E$6:$E$405='Input_Meci'!D22)+('Istoric_Nativ'!$F$6:$F$405='Input_Meci'!D22))&gt;0)),MIN(10,N22)))</x:f>
        <x:v>0</x:v>
      </x:c>
      <x:c r="BN22" s="9" t="n">
        <x:f>IF(OR(A22="",Q22=0),0,LARGE(_xlfn._xlws.FILTER('Istoric_Nativ'!$D$6:$D$405,('Istoric_Nativ'!$B$6:$B$405=B22)*('Istoric_Nativ'!$C$6:$C$405=C22)*('Istoric_Nativ'!$P$6:$P$405=1)*('Istoric_Nativ'!$D$6:$D$405&lt;INT(G22))*((('Istoric_Nativ'!$E$6:$E$405='Input_Meci'!E22)+('Istoric_Nativ'!$F$6:$F$405='Input_Meci'!E22))&gt;0)),MIN(10,Q22)))</x:f>
        <x:v>0</x:v>
      </x:c>
      <x:c r="BO22" s="9" t="n">
        <x:f>IF(OR(A22="",N22=0),0,LARGE(_xlfn._xlws.FILTER('Istoric_Nativ'!$D$6:$D$405,('Istoric_Nativ'!$B$6:$B$405=B22)*('Istoric_Nativ'!$C$6:$C$405=C22)*('Istoric_Nativ'!$P$6:$P$405=1)*('Istoric_Nativ'!$D$6:$D$405&lt;INT(G22))*((('Istoric_Nativ'!$E$6:$E$405='Input_Meci'!D22)+('Istoric_Nativ'!$F$6:$F$405='Input_Meci'!D22))&gt;0)),MIN(20,N22)))</x:f>
        <x:v>0</x:v>
      </x:c>
      <x:c r="BP22" s="9" t="n">
        <x:f>IF(OR(A22="",Q22=0),0,LARGE(_xlfn._xlws.FILTER('Istoric_Nativ'!$D$6:$D$405,('Istoric_Nativ'!$B$6:$B$405=B22)*('Istoric_Nativ'!$C$6:$C$405=C22)*('Istoric_Nativ'!$P$6:$P$405=1)*('Istoric_Nativ'!$D$6:$D$405&lt;INT(G22))*((('Istoric_Nativ'!$E$6:$E$405='Input_Meci'!E22)+('Istoric_Nativ'!$F$6:$F$405='Input_Meci'!E22))&gt;0)),MIN(20,Q22)))</x:f>
        <x:v>0</x:v>
      </x:c>
      <x:c r="BQ22" s="2" t="str">
        <x:f>IF(A22="","",IF(AND(COUNTIF(MatchesTable[Match_ID],A22)=1,COUNTIFS(MatchesTable[League],B22,MatchesTable[Season],C22,MatchesTable[Home],'Input_Meci'!D22,MatchesTable[Away],'Input_Meci'!E22,MatchesTable[Kickoff_UTC],F22)=1,B22&lt;&gt;"",C22&lt;&gt;"",'Input_Meci'!D22&lt;&gt;"",'Input_Meci'!E22&lt;&gt;"",'Input_Meci'!D22&lt;&gt;'Input_Meci'!E22,ISNUMBER(F22),ISNUMBER(G22),G22&lt;F22,OR(E22="LIVE",E22="REPLAY"),OR('Input_Meci'!L22="YES",'Input_Meci'!L22="NO",'Input_Meci'!L22="")),"VALID","INVALID"))</x:f>
      </x:c>
      <x:c r="BR22" s="2" t="n">
        <x:f>IF(I22&lt;&gt;"PASS",0,SUMPRODUCT(('Istoric_Nativ'!$B$6:$B$405='Input_Meci'!B22)*('Istoric_Nativ'!$C$6:$C$405='Input_Meci'!C22)*('Istoric_Nativ'!$P$6:$P$405=1)*('Istoric_Nativ'!$D$6:$D$405&lt;INT('Input_Meci'!G22))*((('Istoric_Nativ'!$E$6:$E$405='Input_Meci'!D22)+('Istoric_Nativ'!$F$6:$F$405='Input_Meci'!E22))&gt;0)))</x:f>
        <x:v>0</x:v>
      </x:c>
      <x:c r="BS22" s="2" t="n">
        <x:f>IF(I22&lt;&gt;"PASS",0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BM22)+((('Istoric_Nativ'!$E$6:$E$405='Input_Meci'!E22)+('Istoric_Nativ'!$F$6:$F$405='Input_Meci'!E22))&gt;0)*('Istoric_Nativ'!$D$6:$D$405&gt;=BN22))&gt;0)))</x:f>
        <x:v>0</x:v>
      </x:c>
      <x:c r="BT22" s="2" t="n">
        <x:f>IF(I22&lt;&gt;"PASS",0,SUMPRODUCT(('Istoric_Nativ'!$B$6:$B$405='Input_Meci'!B22)*('Istoric_Nativ'!$C$6:$C$405='Input_Meci'!C22)*('Istoric_Nativ'!$P$6:$P$405=1)*('Istoric_Nativ'!$D$6:$D$405&lt;INT('Input_Meci'!G22))*((((('Istoric_Nativ'!$E$6:$E$405='Input_Meci'!D22)+('Istoric_Nativ'!$F$6:$F$405='Input_Meci'!D22))&gt;0)*('Istoric_Nativ'!$D$6:$D$405&gt;=BO22)+((('Istoric_Nativ'!$E$6:$E$405='Input_Meci'!E22)+('Istoric_Nativ'!$F$6:$F$405='Input_Meci'!E22))&gt;0)*('Istoric_Nativ'!$D$6:$D$405&gt;=BP22))&gt;0)))</x:f>
        <x:v>0</x:v>
      </x:c>
    </x:row>
    <x:row r="23" ht="21" customHeight="1">
      <x:c r="A23" s="2" t="str">
        <x:f>IF('Input_Meci'!A23="","",'Input_Meci'!A23)</x:f>
      </x:c>
      <x:c r="B23" s="2" t="str">
        <x:f>IF(A23="","",'Input_Meci'!B23)</x:f>
      </x:c>
      <x:c r="C23" s="2" t="str">
        <x:f>IF(A23="","",'Input_Meci'!C23)</x:f>
      </x:c>
      <x:c r="D23" s="2" t="str">
        <x:f>IF(A23="","",'Input_Meci'!D23&amp;" – "&amp;'Input_Meci'!E23)</x:f>
      </x:c>
      <x:c r="E23" s="2" t="str">
        <x:f>IF(A23="","",'Input_Meci'!H23)</x:f>
      </x:c>
      <x:c r="F23" s="9" t="str">
        <x:f>IF(A23="","",'Input_Meci'!F23)</x:f>
      </x:c>
      <x:c r="G23" s="9" t="str">
        <x:f>IF(A23="","",'Input_Meci'!G23)</x:f>
      </x:c>
      <x:c r="H23" s="2" t="str">
        <x:f>IF(A23="","",IF(BQ23&lt;&gt;"VALID","NOT RELEASED",IF(AND(OR('Input_Meci'!I23="NOT AVAILABLE",'Input_Meci'!I23="SOURCE CONFLICT"),'Input_Meci'!J23&lt;&gt;""),"READY",IF(OR(NOT(OR('Input_Meci'!I23="AUTO",'Input_Meci'!I23="")),COUNTIF('Core_Nativ'!R210:R215,"CLOSED")&lt;&gt;6,BJ23&gt;0),"NOT RELEASED","READY"))))</x:f>
      </x:c>
      <x:c r="I23" s="2" t="str">
        <x:f>IF(A23="","",IF(H23&lt;&gt;"READY","NOT RELEASED",IF(AND(NOT(OR('Input_Meci'!I23="NOT AVAILABLE",'Input_Meci'!I23="SOURCE CONFLICT")),L23=12,AR23&gt;=2,AS23&gt;0,ISNUMBER(AT23),BI23="VALID",BK23="VALID"),"PASS","FAIL")))</x:f>
      </x:c>
      <x:c r="J23" s="2" t="str">
        <x:f>IF(A23="","",IF(BQ23&lt;&gt;"VALID","Verifica ID, echipe, mod si cutoff &lt; kickoff",IF(H23&lt;&gt;"READY",IF('Input_Meci'!I23="ACCESS BLOCKED","Acces blocat: reia sursele",IF(BJ23&gt;0,"Istoric invalid sau conflict: verifica randurile native","Surse neinchise / post-cutoff / dovezi incomplete")),IF(OR('Input_Meci'!I23="NOT AVAILABLE",'Input_Meci'!I23="SOURCE CONFLICT"),'Input_Meci'!I23,IF(BK23&lt;&gt;"VALID","Parametri invalizi",IF(L23&lt;&gt;12,"Core / sample / prior insuficient",IF(AR23&lt;2,"N insuficient pentru dispersie",IF(AS23&lt;=0,"Media istorica trebuie sa fie pozitiva",IF(BI23&lt;&gt;"VALID","Context invalid","READY")))))))))</x:f>
      </x:c>
      <x:c r="K23" s="2" t="str">
        <x:f>IF(A23="","",COUNT(T23:AE23))</x:f>
      </x:c>
      <x:c r="L23" s="2" t="str">
        <x:f>IF(A23="","",COUNT(AF23:AQ23))</x:f>
      </x:c>
      <x:c r="M23" s="2" t="str">
        <x:f>IF(A23="","",IF(OR('Core_Nativ'!M210&lt;'Core_Nativ'!P210,'Core_Nativ'!M211&lt;'Core_Nativ'!P211,'Core_Nativ'!M212&lt;'Core_Nativ'!P212,'Core_Nativ'!M213&lt;'Core_Nativ'!P213,'Core_Nativ'!M214&lt;'Core_Nativ'!P214,'Core_Nativ'!M215&lt;'Core_Nativ'!P215),"YES","NO"))</x:f>
      </x:c>
      <x:c r="N23" s="2" t="str">
        <x:f>IF(A23="","",'Core_Nativ'!M210)</x:f>
      </x:c>
      <x:c r="O23" s="2" t="str">
        <x:f>IF(A23="","",'Core_Nativ'!M211)</x:f>
      </x:c>
      <x:c r="P23" s="2" t="str">
        <x:f>IF(A23="","",'Core_Nativ'!M212)</x:f>
      </x:c>
      <x:c r="Q23" s="2" t="str">
        <x:f>IF(A23="","",'Core_Nativ'!M213)</x:f>
      </x:c>
      <x:c r="R23" s="2" t="str">
        <x:f>IF(A23="","",'Core_Nativ'!M214)</x:f>
      </x:c>
      <x:c r="S23" s="2" t="str">
        <x:f>IF(A23="","",'Core_Nativ'!M215)</x:f>
      </x:c>
      <x:c r="T23" s="11" t="str">
        <x:f>IF(OR(A23="",'Core_Nativ'!M210=0),"",'Core_Nativ'!N210)</x:f>
      </x:c>
      <x:c r="U23" s="11" t="str">
        <x:f>IF(OR(A23="",'Core_Nativ'!M210=0),"",'Core_Nativ'!O210)</x:f>
      </x:c>
      <x:c r="V23" s="11" t="str">
        <x:f>IF(OR(A23="",'Core_Nativ'!M211=0),"",'Core_Nativ'!N211)</x:f>
      </x:c>
      <x:c r="W23" s="11" t="str">
        <x:f>IF(OR(A23="",'Core_Nativ'!M211=0),"",'Core_Nativ'!O211)</x:f>
      </x:c>
      <x:c r="X23" s="11" t="str">
        <x:f>IF(OR(A23="",'Core_Nativ'!M212=0),"",'Core_Nativ'!N212)</x:f>
      </x:c>
      <x:c r="Y23" s="11" t="str">
        <x:f>IF(OR(A23="",'Core_Nativ'!M212=0),"",'Core_Nativ'!O212)</x:f>
      </x:c>
      <x:c r="Z23" s="11" t="str">
        <x:f>IF(OR(A23="",'Core_Nativ'!M213=0),"",'Core_Nativ'!N213)</x:f>
      </x:c>
      <x:c r="AA23" s="11" t="str">
        <x:f>IF(OR(A23="",'Core_Nativ'!M213=0),"",'Core_Nativ'!O213)</x:f>
      </x:c>
      <x:c r="AB23" s="11" t="str">
        <x:f>IF(OR(A23="",'Core_Nativ'!M214=0),"",'Core_Nativ'!N214)</x:f>
      </x:c>
      <x:c r="AC23" s="11" t="str">
        <x:f>IF(OR(A23="",'Core_Nativ'!M214=0),"",'Core_Nativ'!O214)</x:f>
      </x:c>
      <x:c r="AD23" s="11" t="str">
        <x:f>IF(OR(A23="",'Core_Nativ'!M215=0),"",'Core_Nativ'!N215)</x:f>
      </x:c>
      <x:c r="AE23" s="11" t="str">
        <x:f>IF(OR(A23="",'Core_Nativ'!M215=0),"",'Core_Nativ'!O215)</x:f>
      </x:c>
      <x:c r="AF23" s="11" t="str">
        <x:f>IF(A23="","",IF(AND('Core_Nativ'!R210="CLOSED",'Core_Nativ'!S210=0),IF('Core_Nativ'!M210&gt;='Core_Nativ'!P210,'Core_Nativ'!N210,IF(AND('Input_Meci'!L23="YES",'Input_Meci'!K23&lt;&gt;"",'Input_Meci'!K23&lt;C23,'Core_Nativ'!T216="DERIVED",'Core_Nativ'!M216&gt;='Core_Nativ'!P210),MIN(1,'Core_Nativ'!M210/'Core_Nativ'!P210)*IF('Core_Nativ'!M210=0,0,'Core_Nativ'!N210)+(1-MIN(1,'Core_Nativ'!M210/'Core_Nativ'!P210))*'Core_Nativ'!N216,"")),""))</x:f>
      </x:c>
      <x:c r="AG23" s="11" t="str">
        <x:f>IF(A23="","",IF(AND('Core_Nativ'!R210="CLOSED",'Core_Nativ'!S210=0),IF('Core_Nativ'!M210&gt;='Core_Nativ'!P210,'Core_Nativ'!O210,IF(AND('Input_Meci'!L23="YES",'Input_Meci'!K23&lt;&gt;"",'Input_Meci'!K23&lt;C23,'Core_Nativ'!T216="DERIVED",'Core_Nativ'!M216&gt;='Core_Nativ'!P210),MIN(1,'Core_Nativ'!M210/'Core_Nativ'!P210)*IF('Core_Nativ'!M210=0,0,'Core_Nativ'!O210)+(1-MIN(1,'Core_Nativ'!M210/'Core_Nativ'!P210))*'Core_Nativ'!O216,"")),""))</x:f>
      </x:c>
      <x:c r="AH23" s="11" t="str">
        <x:f>IF(A23="","",IF(AND('Core_Nativ'!R211="CLOSED",'Core_Nativ'!S211=0),IF('Core_Nativ'!M211&gt;='Core_Nativ'!P211,'Core_Nativ'!N211,IF(AND('Input_Meci'!L23="YES",'Input_Meci'!K23&lt;&gt;"",'Input_Meci'!K23&lt;C23,'Core_Nativ'!T217="DERIVED",'Core_Nativ'!M217&gt;='Core_Nativ'!P211),MIN(1,'Core_Nativ'!M211/'Core_Nativ'!P211)*IF('Core_Nativ'!M211=0,0,'Core_Nativ'!N211)+(1-MIN(1,'Core_Nativ'!M211/'Core_Nativ'!P211))*'Core_Nativ'!N217,"")),""))</x:f>
      </x:c>
      <x:c r="AI23" s="11" t="str">
        <x:f>IF(A23="","",IF(AND('Core_Nativ'!R211="CLOSED",'Core_Nativ'!S211=0),IF('Core_Nativ'!M211&gt;='Core_Nativ'!P211,'Core_Nativ'!O211,IF(AND('Input_Meci'!L23="YES",'Input_Meci'!K23&lt;&gt;"",'Input_Meci'!K23&lt;C23,'Core_Nativ'!T217="DERIVED",'Core_Nativ'!M217&gt;='Core_Nativ'!P211),MIN(1,'Core_Nativ'!M211/'Core_Nativ'!P211)*IF('Core_Nativ'!M211=0,0,'Core_Nativ'!O211)+(1-MIN(1,'Core_Nativ'!M211/'Core_Nativ'!P211))*'Core_Nativ'!O217,"")),""))</x:f>
      </x:c>
      <x:c r="AJ23" s="11" t="str">
        <x:f>IF(A23="","",IF(AND('Core_Nativ'!R212="CLOSED",'Core_Nativ'!S212=0),IF('Core_Nativ'!M212&gt;='Core_Nativ'!P212,'Core_Nativ'!N212,IF(AND('Input_Meci'!L23="YES",'Input_Meci'!K23&lt;&gt;"",'Input_Meci'!K23&lt;C23,'Core_Nativ'!T218="DERIVED",'Core_Nativ'!M218&gt;='Core_Nativ'!P212),MIN(1,'Core_Nativ'!M212/'Core_Nativ'!P212)*IF('Core_Nativ'!M212=0,0,'Core_Nativ'!N212)+(1-MIN(1,'Core_Nativ'!M212/'Core_Nativ'!P212))*'Core_Nativ'!N218,"")),""))</x:f>
      </x:c>
      <x:c r="AK23" s="11" t="str">
        <x:f>IF(A23="","",IF(AND('Core_Nativ'!R212="CLOSED",'Core_Nativ'!S212=0),IF('Core_Nativ'!M212&gt;='Core_Nativ'!P212,'Core_Nativ'!O212,IF(AND('Input_Meci'!L23="YES",'Input_Meci'!K23&lt;&gt;"",'Input_Meci'!K23&lt;C23,'Core_Nativ'!T218="DERIVED",'Core_Nativ'!M218&gt;='Core_Nativ'!P212),MIN(1,'Core_Nativ'!M212/'Core_Nativ'!P212)*IF('Core_Nativ'!M212=0,0,'Core_Nativ'!O212)+(1-MIN(1,'Core_Nativ'!M212/'Core_Nativ'!P212))*'Core_Nativ'!O218,"")),""))</x:f>
      </x:c>
      <x:c r="AL23" s="11" t="str">
        <x:f>IF(A23="","",IF(AND('Core_Nativ'!R213="CLOSED",'Core_Nativ'!S213=0),IF('Core_Nativ'!M213&gt;='Core_Nativ'!P213,'Core_Nativ'!N213,IF(AND('Input_Meci'!L23="YES",'Input_Meci'!K23&lt;&gt;"",'Input_Meci'!K23&lt;C23,'Core_Nativ'!T219="DERIVED",'Core_Nativ'!M219&gt;='Core_Nativ'!P213),MIN(1,'Core_Nativ'!M213/'Core_Nativ'!P213)*IF('Core_Nativ'!M213=0,0,'Core_Nativ'!N213)+(1-MIN(1,'Core_Nativ'!M213/'Core_Nativ'!P213))*'Core_Nativ'!N219,"")),""))</x:f>
      </x:c>
      <x:c r="AM23" s="11" t="str">
        <x:f>IF(A23="","",IF(AND('Core_Nativ'!R213="CLOSED",'Core_Nativ'!S213=0),IF('Core_Nativ'!M213&gt;='Core_Nativ'!P213,'Core_Nativ'!O213,IF(AND('Input_Meci'!L23="YES",'Input_Meci'!K23&lt;&gt;"",'Input_Meci'!K23&lt;C23,'Core_Nativ'!T219="DERIVED",'Core_Nativ'!M219&gt;='Core_Nativ'!P213),MIN(1,'Core_Nativ'!M213/'Core_Nativ'!P213)*IF('Core_Nativ'!M213=0,0,'Core_Nativ'!O213)+(1-MIN(1,'Core_Nativ'!M213/'Core_Nativ'!P213))*'Core_Nativ'!O219,"")),""))</x:f>
      </x:c>
      <x:c r="AN23" s="11" t="str">
        <x:f>IF(A23="","",IF(AND('Core_Nativ'!R214="CLOSED",'Core_Nativ'!S214=0),IF('Core_Nativ'!M214&gt;='Core_Nativ'!P214,'Core_Nativ'!N214,IF(AND('Input_Meci'!L23="YES",'Input_Meci'!K23&lt;&gt;"",'Input_Meci'!K23&lt;C23,'Core_Nativ'!T220="DERIVED",'Core_Nativ'!M220&gt;='Core_Nativ'!P214),MIN(1,'Core_Nativ'!M214/'Core_Nativ'!P214)*IF('Core_Nativ'!M214=0,0,'Core_Nativ'!N214)+(1-MIN(1,'Core_Nativ'!M214/'Core_Nativ'!P214))*'Core_Nativ'!N220,"")),""))</x:f>
      </x:c>
      <x:c r="AO23" s="11" t="str">
        <x:f>IF(A23="","",IF(AND('Core_Nativ'!R214="CLOSED",'Core_Nativ'!S214=0),IF('Core_Nativ'!M214&gt;='Core_Nativ'!P214,'Core_Nativ'!O214,IF(AND('Input_Meci'!L23="YES",'Input_Meci'!K23&lt;&gt;"",'Input_Meci'!K23&lt;C23,'Core_Nativ'!T220="DERIVED",'Core_Nativ'!M220&gt;='Core_Nativ'!P214),MIN(1,'Core_Nativ'!M214/'Core_Nativ'!P214)*IF('Core_Nativ'!M214=0,0,'Core_Nativ'!O214)+(1-MIN(1,'Core_Nativ'!M214/'Core_Nativ'!P214))*'Core_Nativ'!O220,"")),""))</x:f>
      </x:c>
      <x:c r="AP23" s="11" t="str">
        <x:f>IF(A23="","",IF(AND('Core_Nativ'!R215="CLOSED",'Core_Nativ'!S215=0),IF('Core_Nativ'!M215&gt;='Core_Nativ'!P215,'Core_Nativ'!N215,IF(AND('Input_Meci'!L23="YES",'Input_Meci'!K23&lt;&gt;"",'Input_Meci'!K23&lt;C23,'Core_Nativ'!T221="DERIVED",'Core_Nativ'!M221&gt;='Core_Nativ'!P215),MIN(1,'Core_Nativ'!M215/'Core_Nativ'!P215)*IF('Core_Nativ'!M215=0,0,'Core_Nativ'!N215)+(1-MIN(1,'Core_Nativ'!M215/'Core_Nativ'!P215))*'Core_Nativ'!N221,"")),""))</x:f>
      </x:c>
      <x:c r="AQ23" s="11" t="str">
        <x:f>IF(A23="","",IF(AND('Core_Nativ'!R215="CLOSED",'Core_Nativ'!S215=0),IF('Core_Nativ'!M215&gt;='Core_Nativ'!P215,'Core_Nativ'!O215,IF(AND('Input_Meci'!L23="YES",'Input_Meci'!K23&lt;&gt;"",'Input_Meci'!K23&lt;C23,'Core_Nativ'!T221="DERIVED",'Core_Nativ'!M221&gt;='Core_Nativ'!P215),MIN(1,'Core_Nativ'!M215/'Core_Nativ'!P215)*IF('Core_Nativ'!M215=0,0,'Core_Nativ'!O215)+(1-MIN(1,'Core_Nativ'!M215/'Core_Nativ'!P215))*'Core_Nativ'!O221,"")),""))</x:f>
      </x:c>
      <x:c r="AR23" s="11" t="str">
        <x:f>IF(A23="","",SUMPRODUCT(('Istoric_Nativ'!$B$6:$B$405=B23)*('Istoric_Nativ'!$C$6:$C$405=BL23)*('Istoric_Nativ'!$P$6:$P$405=1)*('Istoric_Nativ'!$D$6:$D$405&lt;INT(G23))*((('Istoric_Nativ'!$E$6:$E$405='Input_Meci'!D23)+('Istoric_Nativ'!$F$6:$F$405='Input_Meci'!D23)+('Istoric_Nativ'!$E$6:$E$405='Input_Meci'!E23)+('Istoric_Nativ'!$F$6:$F$405='Input_Meci'!E23))&gt;0)))</x:f>
      </x:c>
      <x:c r="AS23" s="11" t="str">
        <x:f>IF(AR23=0,"",SUMPRODUCT(('Istoric_Nativ'!$B$6:$B$405=B23)*('Istoric_Nativ'!$C$6:$C$405=BL23)*('Istoric_Nativ'!$P$6:$P$405=1)*('Istoric_Nativ'!$D$6:$D$405&lt;INT(G23))*((('Istoric_Nativ'!$E$6:$E$405='Input_Meci'!D23)+('Istoric_Nativ'!$F$6:$F$405='Input_Meci'!D23)+('Istoric_Nativ'!$E$6:$E$405='Input_Meci'!E23)+('Istoric_Nativ'!$F$6:$F$405='Input_Meci'!E23))&gt;0)*'Istoric_Nativ'!$Q$6:$Q$405)/AR23)</x:f>
      </x:c>
      <x:c r="AT23" s="11" t="str">
        <x:f>IF(AR23&lt;2,"",MAX(0,(SUMPRODUCT(('Istoric_Nativ'!$B$6:$B$405=B23)*('Istoric_Nativ'!$C$6:$C$405=BL23)*('Istoric_Nativ'!$P$6:$P$405=1)*('Istoric_Nativ'!$D$6:$D$405&lt;INT(G23))*((('Istoric_Nativ'!$E$6:$E$405='Input_Meci'!D23)+('Istoric_Nativ'!$F$6:$F$405='Input_Meci'!D23)+('Istoric_Nativ'!$E$6:$E$405='Input_Meci'!E23)+('Istoric_Nativ'!$F$6:$F$405='Input_Meci'!E23))&gt;0)*'Istoric_Nativ'!$R$6:$R$405)-AR23*AS23^2)/(AR23-1)))</x:f>
      </x:c>
      <x:c r="AU23" s="11" t="str">
        <x:f>IF(I23&lt;&gt;"PASS","",AT23/AS23)</x:f>
      </x:c>
      <x:c r="AV23" s="11" t="str">
        <x:f>IF(I23&lt;&gt;"PASS","",IF(AU23&lt;='Config_v6'!$B$10,"POISSON","NEGATIVE BINOMIAL"))</x:f>
      </x:c>
      <x:c r="AW23" s="11" t="str">
        <x:f>IF(I23&lt;&gt;"PASS","",IF(AV23="POISSON",9999,AS23/(AU23-1)))</x:f>
      </x:c>
      <x:c r="AX23" s="11" t="str">
        <x:f>IF(A23="","",MAX(1-'Config_v6'!$B$20,MIN(1+'Config_v6'!$B$20,1+0.02*(IF(AND(ISNUMBER('Input_Meci'!N23),'Input_Meci'!N23&gt;=0,'Input_Meci'!N23&lt;=200),'Input_Meci'!N23,12)/12-1)+0.02*(IF(AND(ISNUMBER('Input_Meci'!P23),'Input_Meci'!P23&gt;=0,'Input_Meci'!P23&lt;=200),'Input_Meci'!P23,3.5)/3.5-1)+0.02*(IF(AND(ISNUMBER('Input_Meci'!R23),'Input_Meci'!R23&gt;=0,'Input_Meci'!R23&lt;=200),'Input_Meci'!R23,18)/18-1)+0.02*((IF(AND(ISNUMBER('Input_Meci'!V23),'Input_Meci'!V23&gt;=0,'Input_Meci'!V23&lt;=10),'Input_Meci'!V23,5)-5)/5))))</x:f>
      </x:c>
      <x:c r="AY23" s="11" t="str">
        <x:f>IF(A23="","",MAX(1-'Config_v6'!$B$20,MIN(1+'Config_v6'!$B$20,1+0.02*(IF(AND(ISNUMBER('Input_Meci'!O23),'Input_Meci'!O23&gt;=0,'Input_Meci'!O23&lt;=200),'Input_Meci'!O23,12)/12-1)+0.02*(IF(AND(ISNUMBER('Input_Meci'!Q23),'Input_Meci'!Q23&gt;=0,'Input_Meci'!Q23&lt;=200),'Input_Meci'!Q23,3.5)/3.5-1)+0.02*(IF(AND(ISNUMBER('Input_Meci'!S23),'Input_Meci'!S23&gt;=0,'Input_Meci'!S23&lt;=200),'Input_Meci'!S23,18)/18-1)+0.02*((IF(AND(ISNUMBER('Input_Meci'!W23),'Input_Meci'!W23&gt;=0,'Input_Meci'!W23&lt;=10),'Input_Meci'!W23,5)-5)/5))))</x:f>
      </x:c>
      <x:c r="AZ23" s="11" t="str">
        <x:f>IF(A23="","",MAX(1-'Config_v6'!$B$21,MIN(1+'Config_v6'!$B$21,1+0.012*(IF('Input_Meci'!X23="",5,IF(ISNUMBER('Input_Meci'!X23),'Input_Meci'!X23,5))-5)+0.018*(IF('Input_Meci'!Z23="",5,IF(ISNUMBER('Input_Meci'!Z23),'Input_Meci'!Z23,5))-5)+0.012*(IF('Input_Meci'!AB23="",5,IF(ISNUMBER('Input_Meci'!AB23),'Input_Meci'!AB23,5))-5)+0.015*IF('Input_Meci'!AD23="",0,IF(ISNUMBER('Input_Meci'!AD23),'Input_Meci'!AD23,0))+0.02*IF('Input_Meci'!AF23="",0,IF(ISNUMBER('Input_Meci'!AF23),'Input_Meci'!AF23,0)))))</x:f>
      </x:c>
      <x:c r="BA23" s="11" t="str">
        <x:f>IF(A23="","",MAX(1-'Config_v6'!$B$21,MIN(1+'Config_v6'!$B$21,1+0.012*(IF('Input_Meci'!Y23="",5,IF(ISNUMBER('Input_Meci'!Y23),'Input_Meci'!Y23,5))-5)+0.018*(IF('Input_Meci'!AA23="",5,IF(ISNUMBER('Input_Meci'!AA23),'Input_Meci'!AA23,5))-5)+0.012*(IF('Input_Meci'!AC23="",5,IF(ISNUMBER('Input_Meci'!AC23),'Input_Meci'!AC23,5))-5)+0.015*IF('Input_Meci'!AE23="",0,IF(ISNUMBER('Input_Meci'!AE23),'Input_Meci'!AE23,0))+0.02*IF('Input_Meci'!AG23="",0,IF(ISNUMBER('Input_Meci'!AG23),'Input_Meci'!AG23,0)))))</x:f>
      </x:c>
      <x:c r="BB23" s="11" t="str">
        <x:f>IF(I23&lt;&gt;"PASS","",(AVERAGE(AF23,AM23)*'Config_v6'!$B$4+AVERAGE(AH23,AO23)*'Config_v6'!$B$5+AVERAGE(AJ23,AQ23)*'Config_v6'!$B$6)*AX23*AZ23)</x:f>
      </x:c>
      <x:c r="BC23" s="11" t="str">
        <x:f>IF(I23&lt;&gt;"PASS","",(AVERAGE(AL23,AG23)*'Config_v6'!$B$4+AVERAGE(AN23,AI23)*'Config_v6'!$B$5+AVERAGE(AP23,AK23)*'Config_v6'!$B$6)*AY23*BA23)</x:f>
      </x:c>
      <x:c r="BD23" s="11" t="str">
        <x:f>IF(I23&lt;&gt;"PASS","",BB23+BC23)</x:f>
      </x:c>
      <x:c r="BE23" s="11" t="str">
        <x:f>IF(A23="","",10-SUM(IF(AND(ISNUMBER('Input_Meci'!N23),'Input_Meci'!N23&gt;=0,'Input_Meci'!N23&lt;=200),1,0),IF(AND(ISNUMBER('Input_Meci'!O23),'Input_Meci'!O23&gt;=0,'Input_Meci'!O23&lt;=200),1,0),IF(AND(ISNUMBER('Input_Meci'!P23),'Input_Meci'!P23&gt;=0,'Input_Meci'!P23&lt;=200),1,0),IF(AND(ISNUMBER('Input_Meci'!Q23),'Input_Meci'!Q23&gt;=0,'Input_Meci'!Q23&lt;=200),1,0),IF(AND(ISNUMBER('Input_Meci'!R23),'Input_Meci'!R23&gt;=0,'Input_Meci'!R23&lt;=200),1,0),IF(AND(ISNUMBER('Input_Meci'!S23),'Input_Meci'!S23&gt;=0,'Input_Meci'!S23&lt;=200),1,0),IF(AND(ISNUMBER('Input_Meci'!T23),'Input_Meci'!T23&gt;=0,'Input_Meci'!T23&lt;=100),1,0),IF(AND(ISNUMBER('Input_Meci'!U23),'Input_Meci'!U23&gt;=0,'Input_Meci'!U23&lt;=100),1,0),IF(AND(ISNUMBER('Input_Meci'!V23),'Input_Meci'!V23&gt;=0,'Input_Meci'!V23&lt;=10),1,0),IF(AND(ISNUMBER('Input_Meci'!W23),'Input_Meci'!W23&gt;=0,'Input_Meci'!W23&lt;=10),1,0)))</x:f>
      </x:c>
      <x:c r="BF23" s="11" t="str">
        <x:f>IF(I23&lt;&gt;"PASS","",MAX(0,MIN(IF(OR(M23="YES",BL23&lt;&gt;C23),'Config_v6'!$B$34,100),ROUND(40+25*MIN(1,MIN(N23,Q23)/'Config_v6'!$B$7)*MIN(1,MIN(O23,R23)/'Config_v6'!$B$8)*MIN(1,MIN(P23,S23)/'Config_v6'!$B$9)+MAX(0,15-2*ABS(AF23-AJ23)-2*ABS(AL23-AP23))+IF(AU23&lt;='Config_v6'!$B$10,15,IF(AU23&lt;='Config_v6'!$B$11,13,IF(AU23&lt;='Config_v6'!$B$12,10,IF(AU23&lt;='Config_v6'!$B$13,6,0))))+5-BE23/10*'Config_v6'!$B$38,0))))</x:f>
      </x:c>
      <x:c r="BG23" s="11" t="str">
        <x:f>IF(I23&lt;&gt;"PASS","",MIN(1,'Config_v6'!$B$14*(0.7+0.3*MIN(1,AR23/'Config_v6'!$B$15))*IF(AU23&lt;='Config_v6'!$B$10,1,IF(AU23&lt;='Config_v6'!$B$11,0.95,IF(AU23&lt;='Config_v6'!$B$12,0.88,0.78)))*(0.75+0.25*BF23/100)))</x:f>
      </x:c>
      <x:c r="BH23" s="11" t="str">
        <x:f>IF(I23&lt;&gt;"PASS","",MIN(1,(ABS(AZ23-1)+ABS(BA23-1))*3))</x:f>
      </x:c>
      <x:c r="BI23" s="2" t="str">
        <x:f>IF(A23="","",IF(AND(OR('Input_Meci'!X23="",AND(ISNUMBER('Input_Meci'!X23),'Input_Meci'!X23&gt;=0,'Input_Meci'!X23&lt;=10)),OR('Input_Meci'!Y23="",AND(ISNUMBER('Input_Meci'!Y23),'Input_Meci'!Y23&gt;=0,'Input_Meci'!Y23&lt;=10)),OR('Input_Meci'!Z23="",AND(ISNUMBER('Input_Meci'!Z23),'Input_Meci'!Z23&gt;=0,'Input_Meci'!Z23&lt;=10)),OR('Input_Meci'!AA23="",AND(ISNUMBER('Input_Meci'!AA23),'Input_Meci'!AA23&gt;=0,'Input_Meci'!AA23&lt;=10)),OR('Input_Meci'!AB23="",AND(ISNUMBER('Input_Meci'!AB23),'Input_Meci'!AB23&gt;=0,'Input_Meci'!AB23&lt;=10)),OR('Input_Meci'!AC23="",AND(ISNUMBER('Input_Meci'!AC23),'Input_Meci'!AC23&gt;=0,'Input_Meci'!AC23&lt;=10)),OR('Input_Meci'!AD23="",AND(ISNUMBER('Input_Meci'!AD23),'Input_Meci'!AD23&gt;=-2,'Input_Meci'!AD23&lt;=2)),OR('Input_Meci'!AE23="",AND(ISNUMBER('Input_Meci'!AE23),'Input_Meci'!AE23&gt;=-2,'Input_Meci'!AE23&lt;=2)),OR('Input_Meci'!AF23="",AND(ISNUMBER('Input_Meci'!AF23),'Input_Meci'!AF23&gt;=-2,'Input_Meci'!AF23&lt;=2)),OR('Input_Meci'!AG23="",AND(ISNUMBER('Input_Meci'!AG23),'Input_Meci'!AG23&gt;=-2,'Input_Meci'!AG23&lt;=2))),"VALID","INVALID"))</x:f>
      </x:c>
      <x:c r="BJ23" s="2" t="n">
        <x:f>IF(A23="",0,SUM('Core_Nativ'!S210:S215))</x:f>
        <x:v>0</x:v>
      </x:c>
      <x:c r="BK23" s="2" t="str">
        <x:f>'Config_v6'!$B$40</x:f>
        <x:v>VALID</x:v>
      </x:c>
      <x:c r="BL23" s="2" t="str">
        <x:f>IF(A23="","",IF(SUMPRODUCT(('Istoric_Nativ'!$B$6:$B$405=B23)*('Istoric_Nativ'!$C$6:$C$405=C23)*('Istoric_Nativ'!$P$6:$P$405=1)*('Istoric_Nativ'!$D$6:$D$405&lt;INT(G23))*((('Istoric_Nativ'!$E$6:$E$405='Input_Meci'!D23)+('Istoric_Nativ'!$F$6:$F$405='Input_Meci'!D23)+('Istoric_Nativ'!$E$6:$E$405='Input_Meci'!E23)+('Istoric_Nativ'!$F$6:$F$405='Input_Meci'!E23))&gt;0))&gt;='Config_v6'!$B$41,C23,IF(AND('Input_Meci'!L23="YES",'Input_Meci'!K23&lt;&gt;"",'Input_Meci'!K23&lt;C23,COUNTIF('Core_Nativ'!R216:R221,"CLOSED")=6,SUM('Core_Nativ'!S216:S221)=0),'Input_Meci'!K23,C23)))</x:f>
      </x:c>
      <x:c r="BM23" s="9" t="n">
        <x:f>IF(OR(A23="",N23=0),0,LARGE(_xlfn._xlws.FILTER('Istoric_Nativ'!$D$6:$D$405,('Istoric_Nativ'!$B$6:$B$405=B23)*('Istoric_Nativ'!$C$6:$C$405=C23)*('Istoric_Nativ'!$P$6:$P$405=1)*('Istoric_Nativ'!$D$6:$D$405&lt;INT(G23))*((('Istoric_Nativ'!$E$6:$E$405='Input_Meci'!D23)+('Istoric_Nativ'!$F$6:$F$405='Input_Meci'!D23))&gt;0)),MIN(10,N23)))</x:f>
        <x:v>0</x:v>
      </x:c>
      <x:c r="BN23" s="9" t="n">
        <x:f>IF(OR(A23="",Q23=0),0,LARGE(_xlfn._xlws.FILTER('Istoric_Nativ'!$D$6:$D$405,('Istoric_Nativ'!$B$6:$B$405=B23)*('Istoric_Nativ'!$C$6:$C$405=C23)*('Istoric_Nativ'!$P$6:$P$405=1)*('Istoric_Nativ'!$D$6:$D$405&lt;INT(G23))*((('Istoric_Nativ'!$E$6:$E$405='Input_Meci'!E23)+('Istoric_Nativ'!$F$6:$F$405='Input_Meci'!E23))&gt;0)),MIN(10,Q23)))</x:f>
        <x:v>0</x:v>
      </x:c>
      <x:c r="BO23" s="9" t="n">
        <x:f>IF(OR(A23="",N23=0),0,LARGE(_xlfn._xlws.FILTER('Istoric_Nativ'!$D$6:$D$405,('Istoric_Nativ'!$B$6:$B$405=B23)*('Istoric_Nativ'!$C$6:$C$405=C23)*('Istoric_Nativ'!$P$6:$P$405=1)*('Istoric_Nativ'!$D$6:$D$405&lt;INT(G23))*((('Istoric_Nativ'!$E$6:$E$405='Input_Meci'!D23)+('Istoric_Nativ'!$F$6:$F$405='Input_Meci'!D23))&gt;0)),MIN(20,N23)))</x:f>
        <x:v>0</x:v>
      </x:c>
      <x:c r="BP23" s="9" t="n">
        <x:f>IF(OR(A23="",Q23=0),0,LARGE(_xlfn._xlws.FILTER('Istoric_Nativ'!$D$6:$D$405,('Istoric_Nativ'!$B$6:$B$405=B23)*('Istoric_Nativ'!$C$6:$C$405=C23)*('Istoric_Nativ'!$P$6:$P$405=1)*('Istoric_Nativ'!$D$6:$D$405&lt;INT(G23))*((('Istoric_Nativ'!$E$6:$E$405='Input_Meci'!E23)+('Istoric_Nativ'!$F$6:$F$405='Input_Meci'!E23))&gt;0)),MIN(20,Q23)))</x:f>
        <x:v>0</x:v>
      </x:c>
      <x:c r="BQ23" s="2" t="str">
        <x:f>IF(A23="","",IF(AND(COUNTIF(MatchesTable[Match_ID],A23)=1,COUNTIFS(MatchesTable[League],B23,MatchesTable[Season],C23,MatchesTable[Home],'Input_Meci'!D23,MatchesTable[Away],'Input_Meci'!E23,MatchesTable[Kickoff_UTC],F23)=1,B23&lt;&gt;"",C23&lt;&gt;"",'Input_Meci'!D23&lt;&gt;"",'Input_Meci'!E23&lt;&gt;"",'Input_Meci'!D23&lt;&gt;'Input_Meci'!E23,ISNUMBER(F23),ISNUMBER(G23),G23&lt;F23,OR(E23="LIVE",E23="REPLAY"),OR('Input_Meci'!L23="YES",'Input_Meci'!L23="NO",'Input_Meci'!L23="")),"VALID","INVALID"))</x:f>
      </x:c>
      <x:c r="BR23" s="2" t="n">
        <x:f>IF(I23&lt;&gt;"PASS",0,SUMPRODUCT(('Istoric_Nativ'!$B$6:$B$405='Input_Meci'!B23)*('Istoric_Nativ'!$C$6:$C$405='Input_Meci'!C23)*('Istoric_Nativ'!$P$6:$P$405=1)*('Istoric_Nativ'!$D$6:$D$405&lt;INT('Input_Meci'!G23))*((('Istoric_Nativ'!$E$6:$E$405='Input_Meci'!D23)+('Istoric_Nativ'!$F$6:$F$405='Input_Meci'!E23))&gt;0)))</x:f>
        <x:v>0</x:v>
      </x:c>
      <x:c r="BS23" s="2" t="n">
        <x:f>IF(I23&lt;&gt;"PASS",0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BM23)+((('Istoric_Nativ'!$E$6:$E$405='Input_Meci'!E23)+('Istoric_Nativ'!$F$6:$F$405='Input_Meci'!E23))&gt;0)*('Istoric_Nativ'!$D$6:$D$405&gt;=BN23))&gt;0)))</x:f>
        <x:v>0</x:v>
      </x:c>
      <x:c r="BT23" s="2" t="n">
        <x:f>IF(I23&lt;&gt;"PASS",0,SUMPRODUCT(('Istoric_Nativ'!$B$6:$B$405='Input_Meci'!B23)*('Istoric_Nativ'!$C$6:$C$405='Input_Meci'!C23)*('Istoric_Nativ'!$P$6:$P$405=1)*('Istoric_Nativ'!$D$6:$D$405&lt;INT('Input_Meci'!G23))*((((('Istoric_Nativ'!$E$6:$E$405='Input_Meci'!D23)+('Istoric_Nativ'!$F$6:$F$405='Input_Meci'!D23))&gt;0)*('Istoric_Nativ'!$D$6:$D$405&gt;=BO23)+((('Istoric_Nativ'!$E$6:$E$405='Input_Meci'!E23)+('Istoric_Nativ'!$F$6:$F$405='Input_Meci'!E23))&gt;0)*('Istoric_Nativ'!$D$6:$D$405&gt;=BP23))&gt;0)))</x:f>
        <x:v>0</x:v>
      </x:c>
    </x:row>
    <x:row r="24" ht="21" customHeight="1">
      <x:c r="A24" s="2" t="str">
        <x:f>IF('Input_Meci'!A24="","",'Input_Meci'!A24)</x:f>
      </x:c>
      <x:c r="B24" s="2" t="str">
        <x:f>IF(A24="","",'Input_Meci'!B24)</x:f>
      </x:c>
      <x:c r="C24" s="2" t="str">
        <x:f>IF(A24="","",'Input_Meci'!C24)</x:f>
      </x:c>
      <x:c r="D24" s="2" t="str">
        <x:f>IF(A24="","",'Input_Meci'!D24&amp;" – "&amp;'Input_Meci'!E24)</x:f>
      </x:c>
      <x:c r="E24" s="2" t="str">
        <x:f>IF(A24="","",'Input_Meci'!H24)</x:f>
      </x:c>
      <x:c r="F24" s="9" t="str">
        <x:f>IF(A24="","",'Input_Meci'!F24)</x:f>
      </x:c>
      <x:c r="G24" s="9" t="str">
        <x:f>IF(A24="","",'Input_Meci'!G24)</x:f>
      </x:c>
      <x:c r="H24" s="2" t="str">
        <x:f>IF(A24="","",IF(BQ24&lt;&gt;"VALID","NOT RELEASED",IF(AND(OR('Input_Meci'!I24="NOT AVAILABLE",'Input_Meci'!I24="SOURCE CONFLICT"),'Input_Meci'!J24&lt;&gt;""),"READY",IF(OR(NOT(OR('Input_Meci'!I24="AUTO",'Input_Meci'!I24="")),COUNTIF('Core_Nativ'!R222:R227,"CLOSED")&lt;&gt;6,BJ24&gt;0),"NOT RELEASED","READY"))))</x:f>
      </x:c>
      <x:c r="I24" s="2" t="str">
        <x:f>IF(A24="","",IF(H24&lt;&gt;"READY","NOT RELEASED",IF(AND(NOT(OR('Input_Meci'!I24="NOT AVAILABLE",'Input_Meci'!I24="SOURCE CONFLICT")),L24=12,AR24&gt;=2,AS24&gt;0,ISNUMBER(AT24),BI24="VALID",BK24="VALID"),"PASS","FAIL")))</x:f>
      </x:c>
      <x:c r="J24" s="2" t="str">
        <x:f>IF(A24="","",IF(BQ24&lt;&gt;"VALID","Verifica ID, echipe, mod si cutoff &lt; kickoff",IF(H24&lt;&gt;"READY",IF('Input_Meci'!I24="ACCESS BLOCKED","Acces blocat: reia sursele",IF(BJ24&gt;0,"Istoric invalid sau conflict: verifica randurile native","Surse neinchise / post-cutoff / dovezi incomplete")),IF(OR('Input_Meci'!I24="NOT AVAILABLE",'Input_Meci'!I24="SOURCE CONFLICT"),'Input_Meci'!I24,IF(BK24&lt;&gt;"VALID","Parametri invalizi",IF(L24&lt;&gt;12,"Core / sample / prior insuficient",IF(AR24&lt;2,"N insuficient pentru dispersie",IF(AS24&lt;=0,"Media istorica trebuie sa fie pozitiva",IF(BI24&lt;&gt;"VALID","Context invalid","READY")))))))))</x:f>
      </x:c>
      <x:c r="K24" s="2" t="str">
        <x:f>IF(A24="","",COUNT(T24:AE24))</x:f>
      </x:c>
      <x:c r="L24" s="2" t="str">
        <x:f>IF(A24="","",COUNT(AF24:AQ24))</x:f>
      </x:c>
      <x:c r="M24" s="2" t="str">
        <x:f>IF(A24="","",IF(OR('Core_Nativ'!M222&lt;'Core_Nativ'!P222,'Core_Nativ'!M223&lt;'Core_Nativ'!P223,'Core_Nativ'!M224&lt;'Core_Nativ'!P224,'Core_Nativ'!M225&lt;'Core_Nativ'!P225,'Core_Nativ'!M226&lt;'Core_Nativ'!P226,'Core_Nativ'!M227&lt;'Core_Nativ'!P227),"YES","NO"))</x:f>
      </x:c>
      <x:c r="N24" s="2" t="str">
        <x:f>IF(A24="","",'Core_Nativ'!M222)</x:f>
      </x:c>
      <x:c r="O24" s="2" t="str">
        <x:f>IF(A24="","",'Core_Nativ'!M223)</x:f>
      </x:c>
      <x:c r="P24" s="2" t="str">
        <x:f>IF(A24="","",'Core_Nativ'!M224)</x:f>
      </x:c>
      <x:c r="Q24" s="2" t="str">
        <x:f>IF(A24="","",'Core_Nativ'!M225)</x:f>
      </x:c>
      <x:c r="R24" s="2" t="str">
        <x:f>IF(A24="","",'Core_Nativ'!M226)</x:f>
      </x:c>
      <x:c r="S24" s="2" t="str">
        <x:f>IF(A24="","",'Core_Nativ'!M227)</x:f>
      </x:c>
      <x:c r="T24" s="11" t="str">
        <x:f>IF(OR(A24="",'Core_Nativ'!M222=0),"",'Core_Nativ'!N222)</x:f>
      </x:c>
      <x:c r="U24" s="11" t="str">
        <x:f>IF(OR(A24="",'Core_Nativ'!M222=0),"",'Core_Nativ'!O222)</x:f>
      </x:c>
      <x:c r="V24" s="11" t="str">
        <x:f>IF(OR(A24="",'Core_Nativ'!M223=0),"",'Core_Nativ'!N223)</x:f>
      </x:c>
      <x:c r="W24" s="11" t="str">
        <x:f>IF(OR(A24="",'Core_Nativ'!M223=0),"",'Core_Nativ'!O223)</x:f>
      </x:c>
      <x:c r="X24" s="11" t="str">
        <x:f>IF(OR(A24="",'Core_Nativ'!M224=0),"",'Core_Nativ'!N224)</x:f>
      </x:c>
      <x:c r="Y24" s="11" t="str">
        <x:f>IF(OR(A24="",'Core_Nativ'!M224=0),"",'Core_Nativ'!O224)</x:f>
      </x:c>
      <x:c r="Z24" s="11" t="str">
        <x:f>IF(OR(A24="",'Core_Nativ'!M225=0),"",'Core_Nativ'!N225)</x:f>
      </x:c>
      <x:c r="AA24" s="11" t="str">
        <x:f>IF(OR(A24="",'Core_Nativ'!M225=0),"",'Core_Nativ'!O225)</x:f>
      </x:c>
      <x:c r="AB24" s="11" t="str">
        <x:f>IF(OR(A24="",'Core_Nativ'!M226=0),"",'Core_Nativ'!N226)</x:f>
      </x:c>
      <x:c r="AC24" s="11" t="str">
        <x:f>IF(OR(A24="",'Core_Nativ'!M226=0),"",'Core_Nativ'!O226)</x:f>
      </x:c>
      <x:c r="AD24" s="11" t="str">
        <x:f>IF(OR(A24="",'Core_Nativ'!M227=0),"",'Core_Nativ'!N227)</x:f>
      </x:c>
      <x:c r="AE24" s="11" t="str">
        <x:f>IF(OR(A24="",'Core_Nativ'!M227=0),"",'Core_Nativ'!O227)</x:f>
      </x:c>
      <x:c r="AF24" s="11" t="str">
        <x:f>IF(A24="","",IF(AND('Core_Nativ'!R222="CLOSED",'Core_Nativ'!S222=0),IF('Core_Nativ'!M222&gt;='Core_Nativ'!P222,'Core_Nativ'!N222,IF(AND('Input_Meci'!L24="YES",'Input_Meci'!K24&lt;&gt;"",'Input_Meci'!K24&lt;C24,'Core_Nativ'!T228="DERIVED",'Core_Nativ'!M228&gt;='Core_Nativ'!P222),MIN(1,'Core_Nativ'!M222/'Core_Nativ'!P222)*IF('Core_Nativ'!M222=0,0,'Core_Nativ'!N222)+(1-MIN(1,'Core_Nativ'!M222/'Core_Nativ'!P222))*'Core_Nativ'!N228,"")),""))</x:f>
      </x:c>
      <x:c r="AG24" s="11" t="str">
        <x:f>IF(A24="","",IF(AND('Core_Nativ'!R222="CLOSED",'Core_Nativ'!S222=0),IF('Core_Nativ'!M222&gt;='Core_Nativ'!P222,'Core_Nativ'!O222,IF(AND('Input_Meci'!L24="YES",'Input_Meci'!K24&lt;&gt;"",'Input_Meci'!K24&lt;C24,'Core_Nativ'!T228="DERIVED",'Core_Nativ'!M228&gt;='Core_Nativ'!P222),MIN(1,'Core_Nativ'!M222/'Core_Nativ'!P222)*IF('Core_Nativ'!M222=0,0,'Core_Nativ'!O222)+(1-MIN(1,'Core_Nativ'!M222/'Core_Nativ'!P222))*'Core_Nativ'!O228,"")),""))</x:f>
      </x:c>
      <x:c r="AH24" s="11" t="str">
        <x:f>IF(A24="","",IF(AND('Core_Nativ'!R223="CLOSED",'Core_Nativ'!S223=0),IF('Core_Nativ'!M223&gt;='Core_Nativ'!P223,'Core_Nativ'!N223,IF(AND('Input_Meci'!L24="YES",'Input_Meci'!K24&lt;&gt;"",'Input_Meci'!K24&lt;C24,'Core_Nativ'!T229="DERIVED",'Core_Nativ'!M229&gt;='Core_Nativ'!P223),MIN(1,'Core_Nativ'!M223/'Core_Nativ'!P223)*IF('Core_Nativ'!M223=0,0,'Core_Nativ'!N223)+(1-MIN(1,'Core_Nativ'!M223/'Core_Nativ'!P223))*'Core_Nativ'!N229,"")),""))</x:f>
      </x:c>
      <x:c r="AI24" s="11" t="str">
        <x:f>IF(A24="","",IF(AND('Core_Nativ'!R223="CLOSED",'Core_Nativ'!S223=0),IF('Core_Nativ'!M223&gt;='Core_Nativ'!P223,'Core_Nativ'!O223,IF(AND('Input_Meci'!L24="YES",'Input_Meci'!K24&lt;&gt;"",'Input_Meci'!K24&lt;C24,'Core_Nativ'!T229="DERIVED",'Core_Nativ'!M229&gt;='Core_Nativ'!P223),MIN(1,'Core_Nativ'!M223/'Core_Nativ'!P223)*IF('Core_Nativ'!M223=0,0,'Core_Nativ'!O223)+(1-MIN(1,'Core_Nativ'!M223/'Core_Nativ'!P223))*'Core_Nativ'!O229,"")),""))</x:f>
      </x:c>
      <x:c r="AJ24" s="11" t="str">
        <x:f>IF(A24="","",IF(AND('Core_Nativ'!R224="CLOSED",'Core_Nativ'!S224=0),IF('Core_Nativ'!M224&gt;='Core_Nativ'!P224,'Core_Nativ'!N224,IF(AND('Input_Meci'!L24="YES",'Input_Meci'!K24&lt;&gt;"",'Input_Meci'!K24&lt;C24,'Core_Nativ'!T230="DERIVED",'Core_Nativ'!M230&gt;='Core_Nativ'!P224),MIN(1,'Core_Nativ'!M224/'Core_Nativ'!P224)*IF('Core_Nativ'!M224=0,0,'Core_Nativ'!N224)+(1-MIN(1,'Core_Nativ'!M224/'Core_Nativ'!P224))*'Core_Nativ'!N230,"")),""))</x:f>
      </x:c>
      <x:c r="AK24" s="11" t="str">
        <x:f>IF(A24="","",IF(AND('Core_Nativ'!R224="CLOSED",'Core_Nativ'!S224=0),IF('Core_Nativ'!M224&gt;='Core_Nativ'!P224,'Core_Nativ'!O224,IF(AND('Input_Meci'!L24="YES",'Input_Meci'!K24&lt;&gt;"",'Input_Meci'!K24&lt;C24,'Core_Nativ'!T230="DERIVED",'Core_Nativ'!M230&gt;='Core_Nativ'!P224),MIN(1,'Core_Nativ'!M224/'Core_Nativ'!P224)*IF('Core_Nativ'!M224=0,0,'Core_Nativ'!O224)+(1-MIN(1,'Core_Nativ'!M224/'Core_Nativ'!P224))*'Core_Nativ'!O230,"")),""))</x:f>
      </x:c>
      <x:c r="AL24" s="11" t="str">
        <x:f>IF(A24="","",IF(AND('Core_Nativ'!R225="CLOSED",'Core_Nativ'!S225=0),IF('Core_Nativ'!M225&gt;='Core_Nativ'!P225,'Core_Nativ'!N225,IF(AND('Input_Meci'!L24="YES",'Input_Meci'!K24&lt;&gt;"",'Input_Meci'!K24&lt;C24,'Core_Nativ'!T231="DERIVED",'Core_Nativ'!M231&gt;='Core_Nativ'!P225),MIN(1,'Core_Nativ'!M225/'Core_Nativ'!P225)*IF('Core_Nativ'!M225=0,0,'Core_Nativ'!N225)+(1-MIN(1,'Core_Nativ'!M225/'Core_Nativ'!P225))*'Core_Nativ'!N231,"")),""))</x:f>
      </x:c>
      <x:c r="AM24" s="11" t="str">
        <x:f>IF(A24="","",IF(AND('Core_Nativ'!R225="CLOSED",'Core_Nativ'!S225=0),IF('Core_Nativ'!M225&gt;='Core_Nativ'!P225,'Core_Nativ'!O225,IF(AND('Input_Meci'!L24="YES",'Input_Meci'!K24&lt;&gt;"",'Input_Meci'!K24&lt;C24,'Core_Nativ'!T231="DERIVED",'Core_Nativ'!M231&gt;='Core_Nativ'!P225),MIN(1,'Core_Nativ'!M225/'Core_Nativ'!P225)*IF('Core_Nativ'!M225=0,0,'Core_Nativ'!O225)+(1-MIN(1,'Core_Nativ'!M225/'Core_Nativ'!P225))*'Core_Nativ'!O231,"")),""))</x:f>
      </x:c>
      <x:c r="AN24" s="11" t="str">
        <x:f>IF(A24="","",IF(AND('Core_Nativ'!R226="CLOSED",'Core_Nativ'!S226=0),IF('Core_Nativ'!M226&gt;='Core_Nativ'!P226,'Core_Nativ'!N226,IF(AND('Input_Meci'!L24="YES",'Input_Meci'!K24&lt;&gt;"",'Input_Meci'!K24&lt;C24,'Core_Nativ'!T232="DERIVED",'Core_Nativ'!M232&gt;='Core_Nativ'!P226),MIN(1,'Core_Nativ'!M226/'Core_Nativ'!P226)*IF('Core_Nativ'!M226=0,0,'Core_Nativ'!N226)+(1-MIN(1,'Core_Nativ'!M226/'Core_Nativ'!P226))*'Core_Nativ'!N232,"")),""))</x:f>
      </x:c>
      <x:c r="AO24" s="11" t="str">
        <x:f>IF(A24="","",IF(AND('Core_Nativ'!R226="CLOSED",'Core_Nativ'!S226=0),IF('Core_Nativ'!M226&gt;='Core_Nativ'!P226,'Core_Nativ'!O226,IF(AND('Input_Meci'!L24="YES",'Input_Meci'!K24&lt;&gt;"",'Input_Meci'!K24&lt;C24,'Core_Nativ'!T232="DERIVED",'Core_Nativ'!M232&gt;='Core_Nativ'!P226),MIN(1,'Core_Nativ'!M226/'Core_Nativ'!P226)*IF('Core_Nativ'!M226=0,0,'Core_Nativ'!O226)+(1-MIN(1,'Core_Nativ'!M226/'Core_Nativ'!P226))*'Core_Nativ'!O232,"")),""))</x:f>
      </x:c>
      <x:c r="AP24" s="11" t="str">
        <x:f>IF(A24="","",IF(AND('Core_Nativ'!R227="CLOSED",'Core_Nativ'!S227=0),IF('Core_Nativ'!M227&gt;='Core_Nativ'!P227,'Core_Nativ'!N227,IF(AND('Input_Meci'!L24="YES",'Input_Meci'!K24&lt;&gt;"",'Input_Meci'!K24&lt;C24,'Core_Nativ'!T233="DERIVED",'Core_Nativ'!M233&gt;='Core_Nativ'!P227),MIN(1,'Core_Nativ'!M227/'Core_Nativ'!P227)*IF('Core_Nativ'!M227=0,0,'Core_Nativ'!N227)+(1-MIN(1,'Core_Nativ'!M227/'Core_Nativ'!P227))*'Core_Nativ'!N233,"")),""))</x:f>
      </x:c>
      <x:c r="AQ24" s="11" t="str">
        <x:f>IF(A24="","",IF(AND('Core_Nativ'!R227="CLOSED",'Core_Nativ'!S227=0),IF('Core_Nativ'!M227&gt;='Core_Nativ'!P227,'Core_Nativ'!O227,IF(AND('Input_Meci'!L24="YES",'Input_Meci'!K24&lt;&gt;"",'Input_Meci'!K24&lt;C24,'Core_Nativ'!T233="DERIVED",'Core_Nativ'!M233&gt;='Core_Nativ'!P227),MIN(1,'Core_Nativ'!M227/'Core_Nativ'!P227)*IF('Core_Nativ'!M227=0,0,'Core_Nativ'!O227)+(1-MIN(1,'Core_Nativ'!M227/'Core_Nativ'!P227))*'Core_Nativ'!O233,"")),""))</x:f>
      </x:c>
      <x:c r="AR24" s="11" t="str">
        <x:f>IF(A24="","",SUMPRODUCT(('Istoric_Nativ'!$B$6:$B$405=B24)*('Istoric_Nativ'!$C$6:$C$405=BL24)*('Istoric_Nativ'!$P$6:$P$405=1)*('Istoric_Nativ'!$D$6:$D$405&lt;INT(G24))*((('Istoric_Nativ'!$E$6:$E$405='Input_Meci'!D24)+('Istoric_Nativ'!$F$6:$F$405='Input_Meci'!D24)+('Istoric_Nativ'!$E$6:$E$405='Input_Meci'!E24)+('Istoric_Nativ'!$F$6:$F$405='Input_Meci'!E24))&gt;0)))</x:f>
      </x:c>
      <x:c r="AS24" s="11" t="str">
        <x:f>IF(AR24=0,"",SUMPRODUCT(('Istoric_Nativ'!$B$6:$B$405=B24)*('Istoric_Nativ'!$C$6:$C$405=BL24)*('Istoric_Nativ'!$P$6:$P$405=1)*('Istoric_Nativ'!$D$6:$D$405&lt;INT(G24))*((('Istoric_Nativ'!$E$6:$E$405='Input_Meci'!D24)+('Istoric_Nativ'!$F$6:$F$405='Input_Meci'!D24)+('Istoric_Nativ'!$E$6:$E$405='Input_Meci'!E24)+('Istoric_Nativ'!$F$6:$F$405='Input_Meci'!E24))&gt;0)*'Istoric_Nativ'!$Q$6:$Q$405)/AR24)</x:f>
      </x:c>
      <x:c r="AT24" s="11" t="str">
        <x:f>IF(AR24&lt;2,"",MAX(0,(SUMPRODUCT(('Istoric_Nativ'!$B$6:$B$405=B24)*('Istoric_Nativ'!$C$6:$C$405=BL24)*('Istoric_Nativ'!$P$6:$P$405=1)*('Istoric_Nativ'!$D$6:$D$405&lt;INT(G24))*((('Istoric_Nativ'!$E$6:$E$405='Input_Meci'!D24)+('Istoric_Nativ'!$F$6:$F$405='Input_Meci'!D24)+('Istoric_Nativ'!$E$6:$E$405='Input_Meci'!E24)+('Istoric_Nativ'!$F$6:$F$405='Input_Meci'!E24))&gt;0)*'Istoric_Nativ'!$R$6:$R$405)-AR24*AS24^2)/(AR24-1)))</x:f>
      </x:c>
      <x:c r="AU24" s="11" t="str">
        <x:f>IF(I24&lt;&gt;"PASS","",AT24/AS24)</x:f>
      </x:c>
      <x:c r="AV24" s="11" t="str">
        <x:f>IF(I24&lt;&gt;"PASS","",IF(AU24&lt;='Config_v6'!$B$10,"POISSON","NEGATIVE BINOMIAL"))</x:f>
      </x:c>
      <x:c r="AW24" s="11" t="str">
        <x:f>IF(I24&lt;&gt;"PASS","",IF(AV24="POISSON",9999,AS24/(AU24-1)))</x:f>
      </x:c>
      <x:c r="AX24" s="11" t="str">
        <x:f>IF(A24="","",MAX(1-'Config_v6'!$B$20,MIN(1+'Config_v6'!$B$20,1+0.02*(IF(AND(ISNUMBER('Input_Meci'!N24),'Input_Meci'!N24&gt;=0,'Input_Meci'!N24&lt;=200),'Input_Meci'!N24,12)/12-1)+0.02*(IF(AND(ISNUMBER('Input_Meci'!P24),'Input_Meci'!P24&gt;=0,'Input_Meci'!P24&lt;=200),'Input_Meci'!P24,3.5)/3.5-1)+0.02*(IF(AND(ISNUMBER('Input_Meci'!R24),'Input_Meci'!R24&gt;=0,'Input_Meci'!R24&lt;=200),'Input_Meci'!R24,18)/18-1)+0.02*((IF(AND(ISNUMBER('Input_Meci'!V24),'Input_Meci'!V24&gt;=0,'Input_Meci'!V24&lt;=10),'Input_Meci'!V24,5)-5)/5))))</x:f>
      </x:c>
      <x:c r="AY24" s="11" t="str">
        <x:f>IF(A24="","",MAX(1-'Config_v6'!$B$20,MIN(1+'Config_v6'!$B$20,1+0.02*(IF(AND(ISNUMBER('Input_Meci'!O24),'Input_Meci'!O24&gt;=0,'Input_Meci'!O24&lt;=200),'Input_Meci'!O24,12)/12-1)+0.02*(IF(AND(ISNUMBER('Input_Meci'!Q24),'Input_Meci'!Q24&gt;=0,'Input_Meci'!Q24&lt;=200),'Input_Meci'!Q24,3.5)/3.5-1)+0.02*(IF(AND(ISNUMBER('Input_Meci'!S24),'Input_Meci'!S24&gt;=0,'Input_Meci'!S24&lt;=200),'Input_Meci'!S24,18)/18-1)+0.02*((IF(AND(ISNUMBER('Input_Meci'!W24),'Input_Meci'!W24&gt;=0,'Input_Meci'!W24&lt;=10),'Input_Meci'!W24,5)-5)/5))))</x:f>
      </x:c>
      <x:c r="AZ24" s="11" t="str">
        <x:f>IF(A24="","",MAX(1-'Config_v6'!$B$21,MIN(1+'Config_v6'!$B$21,1+0.012*(IF('Input_Meci'!X24="",5,IF(ISNUMBER('Input_Meci'!X24),'Input_Meci'!X24,5))-5)+0.018*(IF('Input_Meci'!Z24="",5,IF(ISNUMBER('Input_Meci'!Z24),'Input_Meci'!Z24,5))-5)+0.012*(IF('Input_Meci'!AB24="",5,IF(ISNUMBER('Input_Meci'!AB24),'Input_Meci'!AB24,5))-5)+0.015*IF('Input_Meci'!AD24="",0,IF(ISNUMBER('Input_Meci'!AD24),'Input_Meci'!AD24,0))+0.02*IF('Input_Meci'!AF24="",0,IF(ISNUMBER('Input_Meci'!AF24),'Input_Meci'!AF24,0)))))</x:f>
      </x:c>
      <x:c r="BA24" s="11" t="str">
        <x:f>IF(A24="","",MAX(1-'Config_v6'!$B$21,MIN(1+'Config_v6'!$B$21,1+0.012*(IF('Input_Meci'!Y24="",5,IF(ISNUMBER('Input_Meci'!Y24),'Input_Meci'!Y24,5))-5)+0.018*(IF('Input_Meci'!AA24="",5,IF(ISNUMBER('Input_Meci'!AA24),'Input_Meci'!AA24,5))-5)+0.012*(IF('Input_Meci'!AC24="",5,IF(ISNUMBER('Input_Meci'!AC24),'Input_Meci'!AC24,5))-5)+0.015*IF('Input_Meci'!AE24="",0,IF(ISNUMBER('Input_Meci'!AE24),'Input_Meci'!AE24,0))+0.02*IF('Input_Meci'!AG24="",0,IF(ISNUMBER('Input_Meci'!AG24),'Input_Meci'!AG24,0)))))</x:f>
      </x:c>
      <x:c r="BB24" s="11" t="str">
        <x:f>IF(I24&lt;&gt;"PASS","",(AVERAGE(AF24,AM24)*'Config_v6'!$B$4+AVERAGE(AH24,AO24)*'Config_v6'!$B$5+AVERAGE(AJ24,AQ24)*'Config_v6'!$B$6)*AX24*AZ24)</x:f>
      </x:c>
      <x:c r="BC24" s="11" t="str">
        <x:f>IF(I24&lt;&gt;"PASS","",(AVERAGE(AL24,AG24)*'Config_v6'!$B$4+AVERAGE(AN24,AI24)*'Config_v6'!$B$5+AVERAGE(AP24,AK24)*'Config_v6'!$B$6)*AY24*BA24)</x:f>
      </x:c>
      <x:c r="BD24" s="11" t="str">
        <x:f>IF(I24&lt;&gt;"PASS","",BB24+BC24)</x:f>
      </x:c>
      <x:c r="BE24" s="11" t="str">
        <x:f>IF(A24="","",10-SUM(IF(AND(ISNUMBER('Input_Meci'!N24),'Input_Meci'!N24&gt;=0,'Input_Meci'!N24&lt;=200),1,0),IF(AND(ISNUMBER('Input_Meci'!O24),'Input_Meci'!O24&gt;=0,'Input_Meci'!O24&lt;=200),1,0),IF(AND(ISNUMBER('Input_Meci'!P24),'Input_Meci'!P24&gt;=0,'Input_Meci'!P24&lt;=200),1,0),IF(AND(ISNUMBER('Input_Meci'!Q24),'Input_Meci'!Q24&gt;=0,'Input_Meci'!Q24&lt;=200),1,0),IF(AND(ISNUMBER('Input_Meci'!R24),'Input_Meci'!R24&gt;=0,'Input_Meci'!R24&lt;=200),1,0),IF(AND(ISNUMBER('Input_Meci'!S24),'Input_Meci'!S24&gt;=0,'Input_Meci'!S24&lt;=200),1,0),IF(AND(ISNUMBER('Input_Meci'!T24),'Input_Meci'!T24&gt;=0,'Input_Meci'!T24&lt;=100),1,0),IF(AND(ISNUMBER('Input_Meci'!U24),'Input_Meci'!U24&gt;=0,'Input_Meci'!U24&lt;=100),1,0),IF(AND(ISNUMBER('Input_Meci'!V24),'Input_Meci'!V24&gt;=0,'Input_Meci'!V24&lt;=10),1,0),IF(AND(ISNUMBER('Input_Meci'!W24),'Input_Meci'!W24&gt;=0,'Input_Meci'!W24&lt;=10),1,0)))</x:f>
      </x:c>
      <x:c r="BF24" s="11" t="str">
        <x:f>IF(I24&lt;&gt;"PASS","",MAX(0,MIN(IF(OR(M24="YES",BL24&lt;&gt;C24),'Config_v6'!$B$34,100),ROUND(40+25*MIN(1,MIN(N24,Q24)/'Config_v6'!$B$7)*MIN(1,MIN(O24,R24)/'Config_v6'!$B$8)*MIN(1,MIN(P24,S24)/'Config_v6'!$B$9)+MAX(0,15-2*ABS(AF24-AJ24)-2*ABS(AL24-AP24))+IF(AU24&lt;='Config_v6'!$B$10,15,IF(AU24&lt;='Config_v6'!$B$11,13,IF(AU24&lt;='Config_v6'!$B$12,10,IF(AU24&lt;='Config_v6'!$B$13,6,0))))+5-BE24/10*'Config_v6'!$B$38,0))))</x:f>
      </x:c>
      <x:c r="BG24" s="11" t="str">
        <x:f>IF(I24&lt;&gt;"PASS","",MIN(1,'Config_v6'!$B$14*(0.7+0.3*MIN(1,AR24/'Config_v6'!$B$15))*IF(AU24&lt;='Config_v6'!$B$10,1,IF(AU24&lt;='Config_v6'!$B$11,0.95,IF(AU24&lt;='Config_v6'!$B$12,0.88,0.78)))*(0.75+0.25*BF24/100)))</x:f>
      </x:c>
      <x:c r="BH24" s="11" t="str">
        <x:f>IF(I24&lt;&gt;"PASS","",MIN(1,(ABS(AZ24-1)+ABS(BA24-1))*3))</x:f>
      </x:c>
      <x:c r="BI24" s="2" t="str">
        <x:f>IF(A24="","",IF(AND(OR('Input_Meci'!X24="",AND(ISNUMBER('Input_Meci'!X24),'Input_Meci'!X24&gt;=0,'Input_Meci'!X24&lt;=10)),OR('Input_Meci'!Y24="",AND(ISNUMBER('Input_Meci'!Y24),'Input_Meci'!Y24&gt;=0,'Input_Meci'!Y24&lt;=10)),OR('Input_Meci'!Z24="",AND(ISNUMBER('Input_Meci'!Z24),'Input_Meci'!Z24&gt;=0,'Input_Meci'!Z24&lt;=10)),OR('Input_Meci'!AA24="",AND(ISNUMBER('Input_Meci'!AA24),'Input_Meci'!AA24&gt;=0,'Input_Meci'!AA24&lt;=10)),OR('Input_Meci'!AB24="",AND(ISNUMBER('Input_Meci'!AB24),'Input_Meci'!AB24&gt;=0,'Input_Meci'!AB24&lt;=10)),OR('Input_Meci'!AC24="",AND(ISNUMBER('Input_Meci'!AC24),'Input_Meci'!AC24&gt;=0,'Input_Meci'!AC24&lt;=10)),OR('Input_Meci'!AD24="",AND(ISNUMBER('Input_Meci'!AD24),'Input_Meci'!AD24&gt;=-2,'Input_Meci'!AD24&lt;=2)),OR('Input_Meci'!AE24="",AND(ISNUMBER('Input_Meci'!AE24),'Input_Meci'!AE24&gt;=-2,'Input_Meci'!AE24&lt;=2)),OR('Input_Meci'!AF24="",AND(ISNUMBER('Input_Meci'!AF24),'Input_Meci'!AF24&gt;=-2,'Input_Meci'!AF24&lt;=2)),OR('Input_Meci'!AG24="",AND(ISNUMBER('Input_Meci'!AG24),'Input_Meci'!AG24&gt;=-2,'Input_Meci'!AG24&lt;=2))),"VALID","INVALID"))</x:f>
      </x:c>
      <x:c r="BJ24" s="2" t="n">
        <x:f>IF(A24="",0,SUM('Core_Nativ'!S222:S227))</x:f>
        <x:v>0</x:v>
      </x:c>
      <x:c r="BK24" s="2" t="str">
        <x:f>'Config_v6'!$B$40</x:f>
        <x:v>VALID</x:v>
      </x:c>
      <x:c r="BL24" s="2" t="str">
        <x:f>IF(A24="","",IF(SUMPRODUCT(('Istoric_Nativ'!$B$6:$B$405=B24)*('Istoric_Nativ'!$C$6:$C$405=C24)*('Istoric_Nativ'!$P$6:$P$405=1)*('Istoric_Nativ'!$D$6:$D$405&lt;INT(G24))*((('Istoric_Nativ'!$E$6:$E$405='Input_Meci'!D24)+('Istoric_Nativ'!$F$6:$F$405='Input_Meci'!D24)+('Istoric_Nativ'!$E$6:$E$405='Input_Meci'!E24)+('Istoric_Nativ'!$F$6:$F$405='Input_Meci'!E24))&gt;0))&gt;='Config_v6'!$B$41,C24,IF(AND('Input_Meci'!L24="YES",'Input_Meci'!K24&lt;&gt;"",'Input_Meci'!K24&lt;C24,COUNTIF('Core_Nativ'!R228:R233,"CLOSED")=6,SUM('Core_Nativ'!S228:S233)=0),'Input_Meci'!K24,C24)))</x:f>
      </x:c>
      <x:c r="BM24" s="9" t="n">
        <x:f>IF(OR(A24="",N24=0),0,LARGE(_xlfn._xlws.FILTER('Istoric_Nativ'!$D$6:$D$405,('Istoric_Nativ'!$B$6:$B$405=B24)*('Istoric_Nativ'!$C$6:$C$405=C24)*('Istoric_Nativ'!$P$6:$P$405=1)*('Istoric_Nativ'!$D$6:$D$405&lt;INT(G24))*((('Istoric_Nativ'!$E$6:$E$405='Input_Meci'!D24)+('Istoric_Nativ'!$F$6:$F$405='Input_Meci'!D24))&gt;0)),MIN(10,N24)))</x:f>
        <x:v>0</x:v>
      </x:c>
      <x:c r="BN24" s="9" t="n">
        <x:f>IF(OR(A24="",Q24=0),0,LARGE(_xlfn._xlws.FILTER('Istoric_Nativ'!$D$6:$D$405,('Istoric_Nativ'!$B$6:$B$405=B24)*('Istoric_Nativ'!$C$6:$C$405=C24)*('Istoric_Nativ'!$P$6:$P$405=1)*('Istoric_Nativ'!$D$6:$D$405&lt;INT(G24))*((('Istoric_Nativ'!$E$6:$E$405='Input_Meci'!E24)+('Istoric_Nativ'!$F$6:$F$405='Input_Meci'!E24))&gt;0)),MIN(10,Q24)))</x:f>
        <x:v>0</x:v>
      </x:c>
      <x:c r="BO24" s="9" t="n">
        <x:f>IF(OR(A24="",N24=0),0,LARGE(_xlfn._xlws.FILTER('Istoric_Nativ'!$D$6:$D$405,('Istoric_Nativ'!$B$6:$B$405=B24)*('Istoric_Nativ'!$C$6:$C$405=C24)*('Istoric_Nativ'!$P$6:$P$405=1)*('Istoric_Nativ'!$D$6:$D$405&lt;INT(G24))*((('Istoric_Nativ'!$E$6:$E$405='Input_Meci'!D24)+('Istoric_Nativ'!$F$6:$F$405='Input_Meci'!D24))&gt;0)),MIN(20,N24)))</x:f>
        <x:v>0</x:v>
      </x:c>
      <x:c r="BP24" s="9" t="n">
        <x:f>IF(OR(A24="",Q24=0),0,LARGE(_xlfn._xlws.FILTER('Istoric_Nativ'!$D$6:$D$405,('Istoric_Nativ'!$B$6:$B$405=B24)*('Istoric_Nativ'!$C$6:$C$405=C24)*('Istoric_Nativ'!$P$6:$P$405=1)*('Istoric_Nativ'!$D$6:$D$405&lt;INT(G24))*((('Istoric_Nativ'!$E$6:$E$405='Input_Meci'!E24)+('Istoric_Nativ'!$F$6:$F$405='Input_Meci'!E24))&gt;0)),MIN(20,Q24)))</x:f>
        <x:v>0</x:v>
      </x:c>
      <x:c r="BQ24" s="2" t="str">
        <x:f>IF(A24="","",IF(AND(COUNTIF(MatchesTable[Match_ID],A24)=1,COUNTIFS(MatchesTable[League],B24,MatchesTable[Season],C24,MatchesTable[Home],'Input_Meci'!D24,MatchesTable[Away],'Input_Meci'!E24,MatchesTable[Kickoff_UTC],F24)=1,B24&lt;&gt;"",C24&lt;&gt;"",'Input_Meci'!D24&lt;&gt;"",'Input_Meci'!E24&lt;&gt;"",'Input_Meci'!D24&lt;&gt;'Input_Meci'!E24,ISNUMBER(F24),ISNUMBER(G24),G24&lt;F24,OR(E24="LIVE",E24="REPLAY"),OR('Input_Meci'!L24="YES",'Input_Meci'!L24="NO",'Input_Meci'!L24="")),"VALID","INVALID"))</x:f>
      </x:c>
      <x:c r="BR24" s="2" t="n">
        <x:f>IF(I24&lt;&gt;"PASS",0,SUMPRODUCT(('Istoric_Nativ'!$B$6:$B$405='Input_Meci'!B24)*('Istoric_Nativ'!$C$6:$C$405='Input_Meci'!C24)*('Istoric_Nativ'!$P$6:$P$405=1)*('Istoric_Nativ'!$D$6:$D$405&lt;INT('Input_Meci'!G24))*((('Istoric_Nativ'!$E$6:$E$405='Input_Meci'!D24)+('Istoric_Nativ'!$F$6:$F$405='Input_Meci'!E24))&gt;0)))</x:f>
        <x:v>0</x:v>
      </x:c>
      <x:c r="BS24" s="2" t="n">
        <x:f>IF(I24&lt;&gt;"PASS",0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BM24)+((('Istoric_Nativ'!$E$6:$E$405='Input_Meci'!E24)+('Istoric_Nativ'!$F$6:$F$405='Input_Meci'!E24))&gt;0)*('Istoric_Nativ'!$D$6:$D$405&gt;=BN24))&gt;0)))</x:f>
        <x:v>0</x:v>
      </x:c>
      <x:c r="BT24" s="2" t="n">
        <x:f>IF(I24&lt;&gt;"PASS",0,SUMPRODUCT(('Istoric_Nativ'!$B$6:$B$405='Input_Meci'!B24)*('Istoric_Nativ'!$C$6:$C$405='Input_Meci'!C24)*('Istoric_Nativ'!$P$6:$P$405=1)*('Istoric_Nativ'!$D$6:$D$405&lt;INT('Input_Meci'!G24))*((((('Istoric_Nativ'!$E$6:$E$405='Input_Meci'!D24)+('Istoric_Nativ'!$F$6:$F$405='Input_Meci'!D24))&gt;0)*('Istoric_Nativ'!$D$6:$D$405&gt;=BO24)+((('Istoric_Nativ'!$E$6:$E$405='Input_Meci'!E24)+('Istoric_Nativ'!$F$6:$F$405='Input_Meci'!E24))&gt;0)*('Istoric_Nativ'!$D$6:$D$405&gt;=BP24))&gt;0)))</x:f>
        <x:v>0</x:v>
      </x:c>
    </x:row>
    <x:row r="25" ht="21" customHeight="1">
      <x:c r="A25" s="2" t="str">
        <x:f>IF('Input_Meci'!A25="","",'Input_Meci'!A25)</x:f>
      </x:c>
      <x:c r="B25" s="2" t="str">
        <x:f>IF(A25="","",'Input_Meci'!B25)</x:f>
      </x:c>
      <x:c r="C25" s="2" t="str">
        <x:f>IF(A25="","",'Input_Meci'!C25)</x:f>
      </x:c>
      <x:c r="D25" s="2" t="str">
        <x:f>IF(A25="","",'Input_Meci'!D25&amp;" – "&amp;'Input_Meci'!E25)</x:f>
      </x:c>
      <x:c r="E25" s="2" t="str">
        <x:f>IF(A25="","",'Input_Meci'!H25)</x:f>
      </x:c>
      <x:c r="F25" s="9" t="str">
        <x:f>IF(A25="","",'Input_Meci'!F25)</x:f>
      </x:c>
      <x:c r="G25" s="9" t="str">
        <x:f>IF(A25="","",'Input_Meci'!G25)</x:f>
      </x:c>
      <x:c r="H25" s="2" t="str">
        <x:f>IF(A25="","",IF(BQ25&lt;&gt;"VALID","NOT RELEASED",IF(AND(OR('Input_Meci'!I25="NOT AVAILABLE",'Input_Meci'!I25="SOURCE CONFLICT"),'Input_Meci'!J25&lt;&gt;""),"READY",IF(OR(NOT(OR('Input_Meci'!I25="AUTO",'Input_Meci'!I25="")),COUNTIF('Core_Nativ'!R234:R239,"CLOSED")&lt;&gt;6,BJ25&gt;0),"NOT RELEASED","READY"))))</x:f>
      </x:c>
      <x:c r="I25" s="2" t="str">
        <x:f>IF(A25="","",IF(H25&lt;&gt;"READY","NOT RELEASED",IF(AND(NOT(OR('Input_Meci'!I25="NOT AVAILABLE",'Input_Meci'!I25="SOURCE CONFLICT")),L25=12,AR25&gt;=2,AS25&gt;0,ISNUMBER(AT25),BI25="VALID",BK25="VALID"),"PASS","FAIL")))</x:f>
      </x:c>
      <x:c r="J25" s="2" t="str">
        <x:f>IF(A25="","",IF(BQ25&lt;&gt;"VALID","Verifica ID, echipe, mod si cutoff &lt; kickoff",IF(H25&lt;&gt;"READY",IF('Input_Meci'!I25="ACCESS BLOCKED","Acces blocat: reia sursele",IF(BJ25&gt;0,"Istoric invalid sau conflict: verifica randurile native","Surse neinchise / post-cutoff / dovezi incomplete")),IF(OR('Input_Meci'!I25="NOT AVAILABLE",'Input_Meci'!I25="SOURCE CONFLICT"),'Input_Meci'!I25,IF(BK25&lt;&gt;"VALID","Parametri invalizi",IF(L25&lt;&gt;12,"Core / sample / prior insuficient",IF(AR25&lt;2,"N insuficient pentru dispersie",IF(AS25&lt;=0,"Media istorica trebuie sa fie pozitiva",IF(BI25&lt;&gt;"VALID","Context invalid","READY")))))))))</x:f>
      </x:c>
      <x:c r="K25" s="2" t="str">
        <x:f>IF(A25="","",COUNT(T25:AE25))</x:f>
      </x:c>
      <x:c r="L25" s="2" t="str">
        <x:f>IF(A25="","",COUNT(AF25:AQ25))</x:f>
      </x:c>
      <x:c r="M25" s="2" t="str">
        <x:f>IF(A25="","",IF(OR('Core_Nativ'!M234&lt;'Core_Nativ'!P234,'Core_Nativ'!M235&lt;'Core_Nativ'!P235,'Core_Nativ'!M236&lt;'Core_Nativ'!P236,'Core_Nativ'!M237&lt;'Core_Nativ'!P237,'Core_Nativ'!M238&lt;'Core_Nativ'!P238,'Core_Nativ'!M239&lt;'Core_Nativ'!P239),"YES","NO"))</x:f>
      </x:c>
      <x:c r="N25" s="2" t="str">
        <x:f>IF(A25="","",'Core_Nativ'!M234)</x:f>
      </x:c>
      <x:c r="O25" s="2" t="str">
        <x:f>IF(A25="","",'Core_Nativ'!M235)</x:f>
      </x:c>
      <x:c r="P25" s="2" t="str">
        <x:f>IF(A25="","",'Core_Nativ'!M236)</x:f>
      </x:c>
      <x:c r="Q25" s="2" t="str">
        <x:f>IF(A25="","",'Core_Nativ'!M237)</x:f>
      </x:c>
      <x:c r="R25" s="2" t="str">
        <x:f>IF(A25="","",'Core_Nativ'!M238)</x:f>
      </x:c>
      <x:c r="S25" s="2" t="str">
        <x:f>IF(A25="","",'Core_Nativ'!M239)</x:f>
      </x:c>
      <x:c r="T25" s="11" t="str">
        <x:f>IF(OR(A25="",'Core_Nativ'!M234=0),"",'Core_Nativ'!N234)</x:f>
      </x:c>
      <x:c r="U25" s="11" t="str">
        <x:f>IF(OR(A25="",'Core_Nativ'!M234=0),"",'Core_Nativ'!O234)</x:f>
      </x:c>
      <x:c r="V25" s="11" t="str">
        <x:f>IF(OR(A25="",'Core_Nativ'!M235=0),"",'Core_Nativ'!N235)</x:f>
      </x:c>
      <x:c r="W25" s="11" t="str">
        <x:f>IF(OR(A25="",'Core_Nativ'!M235=0),"",'Core_Nativ'!O235)</x:f>
      </x:c>
      <x:c r="X25" s="11" t="str">
        <x:f>IF(OR(A25="",'Core_Nativ'!M236=0),"",'Core_Nativ'!N236)</x:f>
      </x:c>
      <x:c r="Y25" s="11" t="str">
        <x:f>IF(OR(A25="",'Core_Nativ'!M236=0),"",'Core_Nativ'!O236)</x:f>
      </x:c>
      <x:c r="Z25" s="11" t="str">
        <x:f>IF(OR(A25="",'Core_Nativ'!M237=0),"",'Core_Nativ'!N237)</x:f>
      </x:c>
      <x:c r="AA25" s="11" t="str">
        <x:f>IF(OR(A25="",'Core_Nativ'!M237=0),"",'Core_Nativ'!O237)</x:f>
      </x:c>
      <x:c r="AB25" s="11" t="str">
        <x:f>IF(OR(A25="",'Core_Nativ'!M238=0),"",'Core_Nativ'!N238)</x:f>
      </x:c>
      <x:c r="AC25" s="11" t="str">
        <x:f>IF(OR(A25="",'Core_Nativ'!M238=0),"",'Core_Nativ'!O238)</x:f>
      </x:c>
      <x:c r="AD25" s="11" t="str">
        <x:f>IF(OR(A25="",'Core_Nativ'!M239=0),"",'Core_Nativ'!N239)</x:f>
      </x:c>
      <x:c r="AE25" s="11" t="str">
        <x:f>IF(OR(A25="",'Core_Nativ'!M239=0),"",'Core_Nativ'!O239)</x:f>
      </x:c>
      <x:c r="AF25" s="11" t="str">
        <x:f>IF(A25="","",IF(AND('Core_Nativ'!R234="CLOSED",'Core_Nativ'!S234=0),IF('Core_Nativ'!M234&gt;='Core_Nativ'!P234,'Core_Nativ'!N234,IF(AND('Input_Meci'!L25="YES",'Input_Meci'!K25&lt;&gt;"",'Input_Meci'!K25&lt;C25,'Core_Nativ'!T240="DERIVED",'Core_Nativ'!M240&gt;='Core_Nativ'!P234),MIN(1,'Core_Nativ'!M234/'Core_Nativ'!P234)*IF('Core_Nativ'!M234=0,0,'Core_Nativ'!N234)+(1-MIN(1,'Core_Nativ'!M234/'Core_Nativ'!P234))*'Core_Nativ'!N240,"")),""))</x:f>
      </x:c>
      <x:c r="AG25" s="11" t="str">
        <x:f>IF(A25="","",IF(AND('Core_Nativ'!R234="CLOSED",'Core_Nativ'!S234=0),IF('Core_Nativ'!M234&gt;='Core_Nativ'!P234,'Core_Nativ'!O234,IF(AND('Input_Meci'!L25="YES",'Input_Meci'!K25&lt;&gt;"",'Input_Meci'!K25&lt;C25,'Core_Nativ'!T240="DERIVED",'Core_Nativ'!M240&gt;='Core_Nativ'!P234),MIN(1,'Core_Nativ'!M234/'Core_Nativ'!P234)*IF('Core_Nativ'!M234=0,0,'Core_Nativ'!O234)+(1-MIN(1,'Core_Nativ'!M234/'Core_Nativ'!P234))*'Core_Nativ'!O240,"")),""))</x:f>
      </x:c>
      <x:c r="AH25" s="11" t="str">
        <x:f>IF(A25="","",IF(AND('Core_Nativ'!R235="CLOSED",'Core_Nativ'!S235=0),IF('Core_Nativ'!M235&gt;='Core_Nativ'!P235,'Core_Nativ'!N235,IF(AND('Input_Meci'!L25="YES",'Input_Meci'!K25&lt;&gt;"",'Input_Meci'!K25&lt;C25,'Core_Nativ'!T241="DERIVED",'Core_Nativ'!M241&gt;='Core_Nativ'!P235),MIN(1,'Core_Nativ'!M235/'Core_Nativ'!P235)*IF('Core_Nativ'!M235=0,0,'Core_Nativ'!N235)+(1-MIN(1,'Core_Nativ'!M235/'Core_Nativ'!P235))*'Core_Nativ'!N241,"")),""))</x:f>
      </x:c>
      <x:c r="AI25" s="11" t="str">
        <x:f>IF(A25="","",IF(AND('Core_Nativ'!R235="CLOSED",'Core_Nativ'!S235=0),IF('Core_Nativ'!M235&gt;='Core_Nativ'!P235,'Core_Nativ'!O235,IF(AND('Input_Meci'!L25="YES",'Input_Meci'!K25&lt;&gt;"",'Input_Meci'!K25&lt;C25,'Core_Nativ'!T241="DERIVED",'Core_Nativ'!M241&gt;='Core_Nativ'!P235),MIN(1,'Core_Nativ'!M235/'Core_Nativ'!P235)*IF('Core_Nativ'!M235=0,0,'Core_Nativ'!O235)+(1-MIN(1,'Core_Nativ'!M235/'Core_Nativ'!P235))*'Core_Nativ'!O241,"")),""))</x:f>
      </x:c>
      <x:c r="AJ25" s="11" t="str">
        <x:f>IF(A25="","",IF(AND('Core_Nativ'!R236="CLOSED",'Core_Nativ'!S236=0),IF('Core_Nativ'!M236&gt;='Core_Nativ'!P236,'Core_Nativ'!N236,IF(AND('Input_Meci'!L25="YES",'Input_Meci'!K25&lt;&gt;"",'Input_Meci'!K25&lt;C25,'Core_Nativ'!T242="DERIVED",'Core_Nativ'!M242&gt;='Core_Nativ'!P236),MIN(1,'Core_Nativ'!M236/'Core_Nativ'!P236)*IF('Core_Nativ'!M236=0,0,'Core_Nativ'!N236)+(1-MIN(1,'Core_Nativ'!M236/'Core_Nativ'!P236))*'Core_Nativ'!N242,"")),""))</x:f>
      </x:c>
      <x:c r="AK25" s="11" t="str">
        <x:f>IF(A25="","",IF(AND('Core_Nativ'!R236="CLOSED",'Core_Nativ'!S236=0),IF('Core_Nativ'!M236&gt;='Core_Nativ'!P236,'Core_Nativ'!O236,IF(AND('Input_Meci'!L25="YES",'Input_Meci'!K25&lt;&gt;"",'Input_Meci'!K25&lt;C25,'Core_Nativ'!T242="DERIVED",'Core_Nativ'!M242&gt;='Core_Nativ'!P236),MIN(1,'Core_Nativ'!M236/'Core_Nativ'!P236)*IF('Core_Nativ'!M236=0,0,'Core_Nativ'!O236)+(1-MIN(1,'Core_Nativ'!M236/'Core_Nativ'!P236))*'Core_Nativ'!O242,"")),""))</x:f>
      </x:c>
      <x:c r="AL25" s="11" t="str">
        <x:f>IF(A25="","",IF(AND('Core_Nativ'!R237="CLOSED",'Core_Nativ'!S237=0),IF('Core_Nativ'!M237&gt;='Core_Nativ'!P237,'Core_Nativ'!N237,IF(AND('Input_Meci'!L25="YES",'Input_Meci'!K25&lt;&gt;"",'Input_Meci'!K25&lt;C25,'Core_Nativ'!T243="DERIVED",'Core_Nativ'!M243&gt;='Core_Nativ'!P237),MIN(1,'Core_Nativ'!M237/'Core_Nativ'!P237)*IF('Core_Nativ'!M237=0,0,'Core_Nativ'!N237)+(1-MIN(1,'Core_Nativ'!M237/'Core_Nativ'!P237))*'Core_Nativ'!N243,"")),""))</x:f>
      </x:c>
      <x:c r="AM25" s="11" t="str">
        <x:f>IF(A25="","",IF(AND('Core_Nativ'!R237="CLOSED",'Core_Nativ'!S237=0),IF('Core_Nativ'!M237&gt;='Core_Nativ'!P237,'Core_Nativ'!O237,IF(AND('Input_Meci'!L25="YES",'Input_Meci'!K25&lt;&gt;"",'Input_Meci'!K25&lt;C25,'Core_Nativ'!T243="DERIVED",'Core_Nativ'!M243&gt;='Core_Nativ'!P237),MIN(1,'Core_Nativ'!M237/'Core_Nativ'!P237)*IF('Core_Nativ'!M237=0,0,'Core_Nativ'!O237)+(1-MIN(1,'Core_Nativ'!M237/'Core_Nativ'!P237))*'Core_Nativ'!O243,"")),""))</x:f>
      </x:c>
      <x:c r="AN25" s="11" t="str">
        <x:f>IF(A25="","",IF(AND('Core_Nativ'!R238="CLOSED",'Core_Nativ'!S238=0),IF('Core_Nativ'!M238&gt;='Core_Nativ'!P238,'Core_Nativ'!N238,IF(AND('Input_Meci'!L25="YES",'Input_Meci'!K25&lt;&gt;"",'Input_Meci'!K25&lt;C25,'Core_Nativ'!T244="DERIVED",'Core_Nativ'!M244&gt;='Core_Nativ'!P238),MIN(1,'Core_Nativ'!M238/'Core_Nativ'!P238)*IF('Core_Nativ'!M238=0,0,'Core_Nativ'!N238)+(1-MIN(1,'Core_Nativ'!M238/'Core_Nativ'!P238))*'Core_Nativ'!N244,"")),""))</x:f>
      </x:c>
      <x:c r="AO25" s="11" t="str">
        <x:f>IF(A25="","",IF(AND('Core_Nativ'!R238="CLOSED",'Core_Nativ'!S238=0),IF('Core_Nativ'!M238&gt;='Core_Nativ'!P238,'Core_Nativ'!O238,IF(AND('Input_Meci'!L25="YES",'Input_Meci'!K25&lt;&gt;"",'Input_Meci'!K25&lt;C25,'Core_Nativ'!T244="DERIVED",'Core_Nativ'!M244&gt;='Core_Nativ'!P238),MIN(1,'Core_Nativ'!M238/'Core_Nativ'!P238)*IF('Core_Nativ'!M238=0,0,'Core_Nativ'!O238)+(1-MIN(1,'Core_Nativ'!M238/'Core_Nativ'!P238))*'Core_Nativ'!O244,"")),""))</x:f>
      </x:c>
      <x:c r="AP25" s="11" t="str">
        <x:f>IF(A25="","",IF(AND('Core_Nativ'!R239="CLOSED",'Core_Nativ'!S239=0),IF('Core_Nativ'!M239&gt;='Core_Nativ'!P239,'Core_Nativ'!N239,IF(AND('Input_Meci'!L25="YES",'Input_Meci'!K25&lt;&gt;"",'Input_Meci'!K25&lt;C25,'Core_Nativ'!T245="DERIVED",'Core_Nativ'!M245&gt;='Core_Nativ'!P239),MIN(1,'Core_Nativ'!M239/'Core_Nativ'!P239)*IF('Core_Nativ'!M239=0,0,'Core_Nativ'!N239)+(1-MIN(1,'Core_Nativ'!M239/'Core_Nativ'!P239))*'Core_Nativ'!N245,"")),""))</x:f>
      </x:c>
      <x:c r="AQ25" s="11" t="str">
        <x:f>IF(A25="","",IF(AND('Core_Nativ'!R239="CLOSED",'Core_Nativ'!S239=0),IF('Core_Nativ'!M239&gt;='Core_Nativ'!P239,'Core_Nativ'!O239,IF(AND('Input_Meci'!L25="YES",'Input_Meci'!K25&lt;&gt;"",'Input_Meci'!K25&lt;C25,'Core_Nativ'!T245="DERIVED",'Core_Nativ'!M245&gt;='Core_Nativ'!P239),MIN(1,'Core_Nativ'!M239/'Core_Nativ'!P239)*IF('Core_Nativ'!M239=0,0,'Core_Nativ'!O239)+(1-MIN(1,'Core_Nativ'!M239/'Core_Nativ'!P239))*'Core_Nativ'!O245,"")),""))</x:f>
      </x:c>
      <x:c r="AR25" s="11" t="str">
        <x:f>IF(A25="","",SUMPRODUCT(('Istoric_Nativ'!$B$6:$B$405=B25)*('Istoric_Nativ'!$C$6:$C$405=BL25)*('Istoric_Nativ'!$P$6:$P$405=1)*('Istoric_Nativ'!$D$6:$D$405&lt;INT(G25))*((('Istoric_Nativ'!$E$6:$E$405='Input_Meci'!D25)+('Istoric_Nativ'!$F$6:$F$405='Input_Meci'!D25)+('Istoric_Nativ'!$E$6:$E$405='Input_Meci'!E25)+('Istoric_Nativ'!$F$6:$F$405='Input_Meci'!E25))&gt;0)))</x:f>
      </x:c>
      <x:c r="AS25" s="11" t="str">
        <x:f>IF(AR25=0,"",SUMPRODUCT(('Istoric_Nativ'!$B$6:$B$405=B25)*('Istoric_Nativ'!$C$6:$C$405=BL25)*('Istoric_Nativ'!$P$6:$P$405=1)*('Istoric_Nativ'!$D$6:$D$405&lt;INT(G25))*((('Istoric_Nativ'!$E$6:$E$405='Input_Meci'!D25)+('Istoric_Nativ'!$F$6:$F$405='Input_Meci'!D25)+('Istoric_Nativ'!$E$6:$E$405='Input_Meci'!E25)+('Istoric_Nativ'!$F$6:$F$405='Input_Meci'!E25))&gt;0)*'Istoric_Nativ'!$Q$6:$Q$405)/AR25)</x:f>
      </x:c>
      <x:c r="AT25" s="11" t="str">
        <x:f>IF(AR25&lt;2,"",MAX(0,(SUMPRODUCT(('Istoric_Nativ'!$B$6:$B$405=B25)*('Istoric_Nativ'!$C$6:$C$405=BL25)*('Istoric_Nativ'!$P$6:$P$405=1)*('Istoric_Nativ'!$D$6:$D$405&lt;INT(G25))*((('Istoric_Nativ'!$E$6:$E$405='Input_Meci'!D25)+('Istoric_Nativ'!$F$6:$F$405='Input_Meci'!D25)+('Istoric_Nativ'!$E$6:$E$405='Input_Meci'!E25)+('Istoric_Nativ'!$F$6:$F$405='Input_Meci'!E25))&gt;0)*'Istoric_Nativ'!$R$6:$R$405)-AR25*AS25^2)/(AR25-1)))</x:f>
      </x:c>
      <x:c r="AU25" s="11" t="str">
        <x:f>IF(I25&lt;&gt;"PASS","",AT25/AS25)</x:f>
      </x:c>
      <x:c r="AV25" s="11" t="str">
        <x:f>IF(I25&lt;&gt;"PASS","",IF(AU25&lt;='Config_v6'!$B$10,"POISSON","NEGATIVE BINOMIAL"))</x:f>
      </x:c>
      <x:c r="AW25" s="11" t="str">
        <x:f>IF(I25&lt;&gt;"PASS","",IF(AV25="POISSON",9999,AS25/(AU25-1)))</x:f>
      </x:c>
      <x:c r="AX25" s="11" t="str">
        <x:f>IF(A25="","",MAX(1-'Config_v6'!$B$20,MIN(1+'Config_v6'!$B$20,1+0.02*(IF(AND(ISNUMBER('Input_Meci'!N25),'Input_Meci'!N25&gt;=0,'Input_Meci'!N25&lt;=200),'Input_Meci'!N25,12)/12-1)+0.02*(IF(AND(ISNUMBER('Input_Meci'!P25),'Input_Meci'!P25&gt;=0,'Input_Meci'!P25&lt;=200),'Input_Meci'!P25,3.5)/3.5-1)+0.02*(IF(AND(ISNUMBER('Input_Meci'!R25),'Input_Meci'!R25&gt;=0,'Input_Meci'!R25&lt;=200),'Input_Meci'!R25,18)/18-1)+0.02*((IF(AND(ISNUMBER('Input_Meci'!V25),'Input_Meci'!V25&gt;=0,'Input_Meci'!V25&lt;=10),'Input_Meci'!V25,5)-5)/5))))</x:f>
      </x:c>
      <x:c r="AY25" s="11" t="str">
        <x:f>IF(A25="","",MAX(1-'Config_v6'!$B$20,MIN(1+'Config_v6'!$B$20,1+0.02*(IF(AND(ISNUMBER('Input_Meci'!O25),'Input_Meci'!O25&gt;=0,'Input_Meci'!O25&lt;=200),'Input_Meci'!O25,12)/12-1)+0.02*(IF(AND(ISNUMBER('Input_Meci'!Q25),'Input_Meci'!Q25&gt;=0,'Input_Meci'!Q25&lt;=200),'Input_Meci'!Q25,3.5)/3.5-1)+0.02*(IF(AND(ISNUMBER('Input_Meci'!S25),'Input_Meci'!S25&gt;=0,'Input_Meci'!S25&lt;=200),'Input_Meci'!S25,18)/18-1)+0.02*((IF(AND(ISNUMBER('Input_Meci'!W25),'Input_Meci'!W25&gt;=0,'Input_Meci'!W25&lt;=10),'Input_Meci'!W25,5)-5)/5))))</x:f>
      </x:c>
      <x:c r="AZ25" s="11" t="str">
        <x:f>IF(A25="","",MAX(1-'Config_v6'!$B$21,MIN(1+'Config_v6'!$B$21,1+0.012*(IF('Input_Meci'!X25="",5,IF(ISNUMBER('Input_Meci'!X25),'Input_Meci'!X25,5))-5)+0.018*(IF('Input_Meci'!Z25="",5,IF(ISNUMBER('Input_Meci'!Z25),'Input_Meci'!Z25,5))-5)+0.012*(IF('Input_Meci'!AB25="",5,IF(ISNUMBER('Input_Meci'!AB25),'Input_Meci'!AB25,5))-5)+0.015*IF('Input_Meci'!AD25="",0,IF(ISNUMBER('Input_Meci'!AD25),'Input_Meci'!AD25,0))+0.02*IF('Input_Meci'!AF25="",0,IF(ISNUMBER('Input_Meci'!AF25),'Input_Meci'!AF25,0)))))</x:f>
      </x:c>
      <x:c r="BA25" s="11" t="str">
        <x:f>IF(A25="","",MAX(1-'Config_v6'!$B$21,MIN(1+'Config_v6'!$B$21,1+0.012*(IF('Input_Meci'!Y25="",5,IF(ISNUMBER('Input_Meci'!Y25),'Input_Meci'!Y25,5))-5)+0.018*(IF('Input_Meci'!AA25="",5,IF(ISNUMBER('Input_Meci'!AA25),'Input_Meci'!AA25,5))-5)+0.012*(IF('Input_Meci'!AC25="",5,IF(ISNUMBER('Input_Meci'!AC25),'Input_Meci'!AC25,5))-5)+0.015*IF('Input_Meci'!AE25="",0,IF(ISNUMBER('Input_Meci'!AE25),'Input_Meci'!AE25,0))+0.02*IF('Input_Meci'!AG25="",0,IF(ISNUMBER('Input_Meci'!AG25),'Input_Meci'!AG25,0)))))</x:f>
      </x:c>
      <x:c r="BB25" s="11" t="str">
        <x:f>IF(I25&lt;&gt;"PASS","",(AVERAGE(AF25,AM25)*'Config_v6'!$B$4+AVERAGE(AH25,AO25)*'Config_v6'!$B$5+AVERAGE(AJ25,AQ25)*'Config_v6'!$B$6)*AX25*AZ25)</x:f>
      </x:c>
      <x:c r="BC25" s="11" t="str">
        <x:f>IF(I25&lt;&gt;"PASS","",(AVERAGE(AL25,AG25)*'Config_v6'!$B$4+AVERAGE(AN25,AI25)*'Config_v6'!$B$5+AVERAGE(AP25,AK25)*'Config_v6'!$B$6)*AY25*BA25)</x:f>
      </x:c>
      <x:c r="BD25" s="11" t="str">
        <x:f>IF(I25&lt;&gt;"PASS","",BB25+BC25)</x:f>
      </x:c>
      <x:c r="BE25" s="11" t="str">
        <x:f>IF(A25="","",10-SUM(IF(AND(ISNUMBER('Input_Meci'!N25),'Input_Meci'!N25&gt;=0,'Input_Meci'!N25&lt;=200),1,0),IF(AND(ISNUMBER('Input_Meci'!O25),'Input_Meci'!O25&gt;=0,'Input_Meci'!O25&lt;=200),1,0),IF(AND(ISNUMBER('Input_Meci'!P25),'Input_Meci'!P25&gt;=0,'Input_Meci'!P25&lt;=200),1,0),IF(AND(ISNUMBER('Input_Meci'!Q25),'Input_Meci'!Q25&gt;=0,'Input_Meci'!Q25&lt;=200),1,0),IF(AND(ISNUMBER('Input_Meci'!R25),'Input_Meci'!R25&gt;=0,'Input_Meci'!R25&lt;=200),1,0),IF(AND(ISNUMBER('Input_Meci'!S25),'Input_Meci'!S25&gt;=0,'Input_Meci'!S25&lt;=200),1,0),IF(AND(ISNUMBER('Input_Meci'!T25),'Input_Meci'!T25&gt;=0,'Input_Meci'!T25&lt;=100),1,0),IF(AND(ISNUMBER('Input_Meci'!U25),'Input_Meci'!U25&gt;=0,'Input_Meci'!U25&lt;=100),1,0),IF(AND(ISNUMBER('Input_Meci'!V25),'Input_Meci'!V25&gt;=0,'Input_Meci'!V25&lt;=10),1,0),IF(AND(ISNUMBER('Input_Meci'!W25),'Input_Meci'!W25&gt;=0,'Input_Meci'!W25&lt;=10),1,0)))</x:f>
      </x:c>
      <x:c r="BF25" s="11" t="str">
        <x:f>IF(I25&lt;&gt;"PASS","",MAX(0,MIN(IF(OR(M25="YES",BL25&lt;&gt;C25),'Config_v6'!$B$34,100),ROUND(40+25*MIN(1,MIN(N25,Q25)/'Config_v6'!$B$7)*MIN(1,MIN(O25,R25)/'Config_v6'!$B$8)*MIN(1,MIN(P25,S25)/'Config_v6'!$B$9)+MAX(0,15-2*ABS(AF25-AJ25)-2*ABS(AL25-AP25))+IF(AU25&lt;='Config_v6'!$B$10,15,IF(AU25&lt;='Config_v6'!$B$11,13,IF(AU25&lt;='Config_v6'!$B$12,10,IF(AU25&lt;='Config_v6'!$B$13,6,0))))+5-BE25/10*'Config_v6'!$B$38,0))))</x:f>
      </x:c>
      <x:c r="BG25" s="11" t="str">
        <x:f>IF(I25&lt;&gt;"PASS","",MIN(1,'Config_v6'!$B$14*(0.7+0.3*MIN(1,AR25/'Config_v6'!$B$15))*IF(AU25&lt;='Config_v6'!$B$10,1,IF(AU25&lt;='Config_v6'!$B$11,0.95,IF(AU25&lt;='Config_v6'!$B$12,0.88,0.78)))*(0.75+0.25*BF25/100)))</x:f>
      </x:c>
      <x:c r="BH25" s="11" t="str">
        <x:f>IF(I25&lt;&gt;"PASS","",MIN(1,(ABS(AZ25-1)+ABS(BA25-1))*3))</x:f>
      </x:c>
      <x:c r="BI25" s="2" t="str">
        <x:f>IF(A25="","",IF(AND(OR('Input_Meci'!X25="",AND(ISNUMBER('Input_Meci'!X25),'Input_Meci'!X25&gt;=0,'Input_Meci'!X25&lt;=10)),OR('Input_Meci'!Y25="",AND(ISNUMBER('Input_Meci'!Y25),'Input_Meci'!Y25&gt;=0,'Input_Meci'!Y25&lt;=10)),OR('Input_Meci'!Z25="",AND(ISNUMBER('Input_Meci'!Z25),'Input_Meci'!Z25&gt;=0,'Input_Meci'!Z25&lt;=10)),OR('Input_Meci'!AA25="",AND(ISNUMBER('Input_Meci'!AA25),'Input_Meci'!AA25&gt;=0,'Input_Meci'!AA25&lt;=10)),OR('Input_Meci'!AB25="",AND(ISNUMBER('Input_Meci'!AB25),'Input_Meci'!AB25&gt;=0,'Input_Meci'!AB25&lt;=10)),OR('Input_Meci'!AC25="",AND(ISNUMBER('Input_Meci'!AC25),'Input_Meci'!AC25&gt;=0,'Input_Meci'!AC25&lt;=10)),OR('Input_Meci'!AD25="",AND(ISNUMBER('Input_Meci'!AD25),'Input_Meci'!AD25&gt;=-2,'Input_Meci'!AD25&lt;=2)),OR('Input_Meci'!AE25="",AND(ISNUMBER('Input_Meci'!AE25),'Input_Meci'!AE25&gt;=-2,'Input_Meci'!AE25&lt;=2)),OR('Input_Meci'!AF25="",AND(ISNUMBER('Input_Meci'!AF25),'Input_Meci'!AF25&gt;=-2,'Input_Meci'!AF25&lt;=2)),OR('Input_Meci'!AG25="",AND(ISNUMBER('Input_Meci'!AG25),'Input_Meci'!AG25&gt;=-2,'Input_Meci'!AG25&lt;=2))),"VALID","INVALID"))</x:f>
      </x:c>
      <x:c r="BJ25" s="2" t="n">
        <x:f>IF(A25="",0,SUM('Core_Nativ'!S234:S239))</x:f>
        <x:v>0</x:v>
      </x:c>
      <x:c r="BK25" s="2" t="str">
        <x:f>'Config_v6'!$B$40</x:f>
        <x:v>VALID</x:v>
      </x:c>
      <x:c r="BL25" s="2" t="str">
        <x:f>IF(A25="","",IF(SUMPRODUCT(('Istoric_Nativ'!$B$6:$B$405=B25)*('Istoric_Nativ'!$C$6:$C$405=C25)*('Istoric_Nativ'!$P$6:$P$405=1)*('Istoric_Nativ'!$D$6:$D$405&lt;INT(G25))*((('Istoric_Nativ'!$E$6:$E$405='Input_Meci'!D25)+('Istoric_Nativ'!$F$6:$F$405='Input_Meci'!D25)+('Istoric_Nativ'!$E$6:$E$405='Input_Meci'!E25)+('Istoric_Nativ'!$F$6:$F$405='Input_Meci'!E25))&gt;0))&gt;='Config_v6'!$B$41,C25,IF(AND('Input_Meci'!L25="YES",'Input_Meci'!K25&lt;&gt;"",'Input_Meci'!K25&lt;C25,COUNTIF('Core_Nativ'!R240:R245,"CLOSED")=6,SUM('Core_Nativ'!S240:S245)=0),'Input_Meci'!K25,C25)))</x:f>
      </x:c>
      <x:c r="BM25" s="9" t="n">
        <x:f>IF(OR(A25="",N25=0),0,LARGE(_xlfn._xlws.FILTER('Istoric_Nativ'!$D$6:$D$405,('Istoric_Nativ'!$B$6:$B$405=B25)*('Istoric_Nativ'!$C$6:$C$405=C25)*('Istoric_Nativ'!$P$6:$P$405=1)*('Istoric_Nativ'!$D$6:$D$405&lt;INT(G25))*((('Istoric_Nativ'!$E$6:$E$405='Input_Meci'!D25)+('Istoric_Nativ'!$F$6:$F$405='Input_Meci'!D25))&gt;0)),MIN(10,N25)))</x:f>
        <x:v>0</x:v>
      </x:c>
      <x:c r="BN25" s="9" t="n">
        <x:f>IF(OR(A25="",Q25=0),0,LARGE(_xlfn._xlws.FILTER('Istoric_Nativ'!$D$6:$D$405,('Istoric_Nativ'!$B$6:$B$405=B25)*('Istoric_Nativ'!$C$6:$C$405=C25)*('Istoric_Nativ'!$P$6:$P$405=1)*('Istoric_Nativ'!$D$6:$D$405&lt;INT(G25))*((('Istoric_Nativ'!$E$6:$E$405='Input_Meci'!E25)+('Istoric_Nativ'!$F$6:$F$405='Input_Meci'!E25))&gt;0)),MIN(10,Q25)))</x:f>
        <x:v>0</x:v>
      </x:c>
      <x:c r="BO25" s="9" t="n">
        <x:f>IF(OR(A25="",N25=0),0,LARGE(_xlfn._xlws.FILTER('Istoric_Nativ'!$D$6:$D$405,('Istoric_Nativ'!$B$6:$B$405=B25)*('Istoric_Nativ'!$C$6:$C$405=C25)*('Istoric_Nativ'!$P$6:$P$405=1)*('Istoric_Nativ'!$D$6:$D$405&lt;INT(G25))*((('Istoric_Nativ'!$E$6:$E$405='Input_Meci'!D25)+('Istoric_Nativ'!$F$6:$F$405='Input_Meci'!D25))&gt;0)),MIN(20,N25)))</x:f>
        <x:v>0</x:v>
      </x:c>
      <x:c r="BP25" s="9" t="n">
        <x:f>IF(OR(A25="",Q25=0),0,LARGE(_xlfn._xlws.FILTER('Istoric_Nativ'!$D$6:$D$405,('Istoric_Nativ'!$B$6:$B$405=B25)*('Istoric_Nativ'!$C$6:$C$405=C25)*('Istoric_Nativ'!$P$6:$P$405=1)*('Istoric_Nativ'!$D$6:$D$405&lt;INT(G25))*((('Istoric_Nativ'!$E$6:$E$405='Input_Meci'!E25)+('Istoric_Nativ'!$F$6:$F$405='Input_Meci'!E25))&gt;0)),MIN(20,Q25)))</x:f>
        <x:v>0</x:v>
      </x:c>
      <x:c r="BQ25" s="2" t="str">
        <x:f>IF(A25="","",IF(AND(COUNTIF(MatchesTable[Match_ID],A25)=1,COUNTIFS(MatchesTable[League],B25,MatchesTable[Season],C25,MatchesTable[Home],'Input_Meci'!D25,MatchesTable[Away],'Input_Meci'!E25,MatchesTable[Kickoff_UTC],F25)=1,B25&lt;&gt;"",C25&lt;&gt;"",'Input_Meci'!D25&lt;&gt;"",'Input_Meci'!E25&lt;&gt;"",'Input_Meci'!D25&lt;&gt;'Input_Meci'!E25,ISNUMBER(F25),ISNUMBER(G25),G25&lt;F25,OR(E25="LIVE",E25="REPLAY"),OR('Input_Meci'!L25="YES",'Input_Meci'!L25="NO",'Input_Meci'!L25="")),"VALID","INVALID"))</x:f>
      </x:c>
      <x:c r="BR25" s="2" t="n">
        <x:f>IF(I25&lt;&gt;"PASS",0,SUMPRODUCT(('Istoric_Nativ'!$B$6:$B$405='Input_Meci'!B25)*('Istoric_Nativ'!$C$6:$C$405='Input_Meci'!C25)*('Istoric_Nativ'!$P$6:$P$405=1)*('Istoric_Nativ'!$D$6:$D$405&lt;INT('Input_Meci'!G25))*((('Istoric_Nativ'!$E$6:$E$405='Input_Meci'!D25)+('Istoric_Nativ'!$F$6:$F$405='Input_Meci'!E25))&gt;0)))</x:f>
        <x:v>0</x:v>
      </x:c>
      <x:c r="BS25" s="2" t="n">
        <x:f>IF(I25&lt;&gt;"PASS",0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BM25)+((('Istoric_Nativ'!$E$6:$E$405='Input_Meci'!E25)+('Istoric_Nativ'!$F$6:$F$405='Input_Meci'!E25))&gt;0)*('Istoric_Nativ'!$D$6:$D$405&gt;=BN25))&gt;0)))</x:f>
        <x:v>0</x:v>
      </x:c>
      <x:c r="BT25" s="2" t="n">
        <x:f>IF(I25&lt;&gt;"PASS",0,SUMPRODUCT(('Istoric_Nativ'!$B$6:$B$405='Input_Meci'!B25)*('Istoric_Nativ'!$C$6:$C$405='Input_Meci'!C25)*('Istoric_Nativ'!$P$6:$P$405=1)*('Istoric_Nativ'!$D$6:$D$405&lt;INT('Input_Meci'!G25))*((((('Istoric_Nativ'!$E$6:$E$405='Input_Meci'!D25)+('Istoric_Nativ'!$F$6:$F$405='Input_Meci'!D25))&gt;0)*('Istoric_Nativ'!$D$6:$D$405&gt;=BO25)+((('Istoric_Nativ'!$E$6:$E$405='Input_Meci'!E25)+('Istoric_Nativ'!$F$6:$F$405='Input_Meci'!E25))&gt;0)*('Istoric_Nativ'!$D$6:$D$405&gt;=BP25))&gt;0)))</x:f>
        <x:v>0</x:v>
      </x:c>
    </x:row>
    <x:row r="26" ht="21" customHeight="1">
      <x:c r="A26" s="2" t="str">
        <x:f>IF('Input_Meci'!A26="","",'Input_Meci'!A26)</x:f>
      </x:c>
      <x:c r="B26" s="2" t="str">
        <x:f>IF(A26="","",'Input_Meci'!B26)</x:f>
      </x:c>
      <x:c r="C26" s="2" t="str">
        <x:f>IF(A26="","",'Input_Meci'!C26)</x:f>
      </x:c>
      <x:c r="D26" s="2" t="str">
        <x:f>IF(A26="","",'Input_Meci'!D26&amp;" – "&amp;'Input_Meci'!E26)</x:f>
      </x:c>
      <x:c r="E26" s="2" t="str">
        <x:f>IF(A26="","",'Input_Meci'!H26)</x:f>
      </x:c>
      <x:c r="F26" s="9" t="str">
        <x:f>IF(A26="","",'Input_Meci'!F26)</x:f>
      </x:c>
      <x:c r="G26" s="9" t="str">
        <x:f>IF(A26="","",'Input_Meci'!G26)</x:f>
      </x:c>
      <x:c r="H26" s="2" t="str">
        <x:f>IF(A26="","",IF(BQ26&lt;&gt;"VALID","NOT RELEASED",IF(AND(OR('Input_Meci'!I26="NOT AVAILABLE",'Input_Meci'!I26="SOURCE CONFLICT"),'Input_Meci'!J26&lt;&gt;""),"READY",IF(OR(NOT(OR('Input_Meci'!I26="AUTO",'Input_Meci'!I26="")),COUNTIF('Core_Nativ'!R246:R251,"CLOSED")&lt;&gt;6,BJ26&gt;0),"NOT RELEASED","READY"))))</x:f>
      </x:c>
      <x:c r="I26" s="2" t="str">
        <x:f>IF(A26="","",IF(H26&lt;&gt;"READY","NOT RELEASED",IF(AND(NOT(OR('Input_Meci'!I26="NOT AVAILABLE",'Input_Meci'!I26="SOURCE CONFLICT")),L26=12,AR26&gt;=2,AS26&gt;0,ISNUMBER(AT26),BI26="VALID",BK26="VALID"),"PASS","FAIL")))</x:f>
      </x:c>
      <x:c r="J26" s="2" t="str">
        <x:f>IF(A26="","",IF(BQ26&lt;&gt;"VALID","Verifica ID, echipe, mod si cutoff &lt; kickoff",IF(H26&lt;&gt;"READY",IF('Input_Meci'!I26="ACCESS BLOCKED","Acces blocat: reia sursele",IF(BJ26&gt;0,"Istoric invalid sau conflict: verifica randurile native","Surse neinchise / post-cutoff / dovezi incomplete")),IF(OR('Input_Meci'!I26="NOT AVAILABLE",'Input_Meci'!I26="SOURCE CONFLICT"),'Input_Meci'!I26,IF(BK26&lt;&gt;"VALID","Parametri invalizi",IF(L26&lt;&gt;12,"Core / sample / prior insuficient",IF(AR26&lt;2,"N insuficient pentru dispersie",IF(AS26&lt;=0,"Media istorica trebuie sa fie pozitiva",IF(BI26&lt;&gt;"VALID","Context invalid","READY")))))))))</x:f>
      </x:c>
      <x:c r="K26" s="2" t="str">
        <x:f>IF(A26="","",COUNT(T26:AE26))</x:f>
      </x:c>
      <x:c r="L26" s="2" t="str">
        <x:f>IF(A26="","",COUNT(AF26:AQ26))</x:f>
      </x:c>
      <x:c r="M26" s="2" t="str">
        <x:f>IF(A26="","",IF(OR('Core_Nativ'!M246&lt;'Core_Nativ'!P246,'Core_Nativ'!M247&lt;'Core_Nativ'!P247,'Core_Nativ'!M248&lt;'Core_Nativ'!P248,'Core_Nativ'!M249&lt;'Core_Nativ'!P249,'Core_Nativ'!M250&lt;'Core_Nativ'!P250,'Core_Nativ'!M251&lt;'Core_Nativ'!P251),"YES","NO"))</x:f>
      </x:c>
      <x:c r="N26" s="2" t="str">
        <x:f>IF(A26="","",'Core_Nativ'!M246)</x:f>
      </x:c>
      <x:c r="O26" s="2" t="str">
        <x:f>IF(A26="","",'Core_Nativ'!M247)</x:f>
      </x:c>
      <x:c r="P26" s="2" t="str">
        <x:f>IF(A26="","",'Core_Nativ'!M248)</x:f>
      </x:c>
      <x:c r="Q26" s="2" t="str">
        <x:f>IF(A26="","",'Core_Nativ'!M249)</x:f>
      </x:c>
      <x:c r="R26" s="2" t="str">
        <x:f>IF(A26="","",'Core_Nativ'!M250)</x:f>
      </x:c>
      <x:c r="S26" s="2" t="str">
        <x:f>IF(A26="","",'Core_Nativ'!M251)</x:f>
      </x:c>
      <x:c r="T26" s="11" t="str">
        <x:f>IF(OR(A26="",'Core_Nativ'!M246=0),"",'Core_Nativ'!N246)</x:f>
      </x:c>
      <x:c r="U26" s="11" t="str">
        <x:f>IF(OR(A26="",'Core_Nativ'!M246=0),"",'Core_Nativ'!O246)</x:f>
      </x:c>
      <x:c r="V26" s="11" t="str">
        <x:f>IF(OR(A26="",'Core_Nativ'!M247=0),"",'Core_Nativ'!N247)</x:f>
      </x:c>
      <x:c r="W26" s="11" t="str">
        <x:f>IF(OR(A26="",'Core_Nativ'!M247=0),"",'Core_Nativ'!O247)</x:f>
      </x:c>
      <x:c r="X26" s="11" t="str">
        <x:f>IF(OR(A26="",'Core_Nativ'!M248=0),"",'Core_Nativ'!N248)</x:f>
      </x:c>
      <x:c r="Y26" s="11" t="str">
        <x:f>IF(OR(A26="",'Core_Nativ'!M248=0),"",'Core_Nativ'!O248)</x:f>
      </x:c>
      <x:c r="Z26" s="11" t="str">
        <x:f>IF(OR(A26="",'Core_Nativ'!M249=0),"",'Core_Nativ'!N249)</x:f>
      </x:c>
      <x:c r="AA26" s="11" t="str">
        <x:f>IF(OR(A26="",'Core_Nativ'!M249=0),"",'Core_Nativ'!O249)</x:f>
      </x:c>
      <x:c r="AB26" s="11" t="str">
        <x:f>IF(OR(A26="",'Core_Nativ'!M250=0),"",'Core_Nativ'!N250)</x:f>
      </x:c>
      <x:c r="AC26" s="11" t="str">
        <x:f>IF(OR(A26="",'Core_Nativ'!M250=0),"",'Core_Nativ'!O250)</x:f>
      </x:c>
      <x:c r="AD26" s="11" t="str">
        <x:f>IF(OR(A26="",'Core_Nativ'!M251=0),"",'Core_Nativ'!N251)</x:f>
      </x:c>
      <x:c r="AE26" s="11" t="str">
        <x:f>IF(OR(A26="",'Core_Nativ'!M251=0),"",'Core_Nativ'!O251)</x:f>
      </x:c>
      <x:c r="AF26" s="11" t="str">
        <x:f>IF(A26="","",IF(AND('Core_Nativ'!R246="CLOSED",'Core_Nativ'!S246=0),IF('Core_Nativ'!M246&gt;='Core_Nativ'!P246,'Core_Nativ'!N246,IF(AND('Input_Meci'!L26="YES",'Input_Meci'!K26&lt;&gt;"",'Input_Meci'!K26&lt;C26,'Core_Nativ'!T252="DERIVED",'Core_Nativ'!M252&gt;='Core_Nativ'!P246),MIN(1,'Core_Nativ'!M246/'Core_Nativ'!P246)*IF('Core_Nativ'!M246=0,0,'Core_Nativ'!N246)+(1-MIN(1,'Core_Nativ'!M246/'Core_Nativ'!P246))*'Core_Nativ'!N252,"")),""))</x:f>
      </x:c>
      <x:c r="AG26" s="11" t="str">
        <x:f>IF(A26="","",IF(AND('Core_Nativ'!R246="CLOSED",'Core_Nativ'!S246=0),IF('Core_Nativ'!M246&gt;='Core_Nativ'!P246,'Core_Nativ'!O246,IF(AND('Input_Meci'!L26="YES",'Input_Meci'!K26&lt;&gt;"",'Input_Meci'!K26&lt;C26,'Core_Nativ'!T252="DERIVED",'Core_Nativ'!M252&gt;='Core_Nativ'!P246),MIN(1,'Core_Nativ'!M246/'Core_Nativ'!P246)*IF('Core_Nativ'!M246=0,0,'Core_Nativ'!O246)+(1-MIN(1,'Core_Nativ'!M246/'Core_Nativ'!P246))*'Core_Nativ'!O252,"")),""))</x:f>
      </x:c>
      <x:c r="AH26" s="11" t="str">
        <x:f>IF(A26="","",IF(AND('Core_Nativ'!R247="CLOSED",'Core_Nativ'!S247=0),IF('Core_Nativ'!M247&gt;='Core_Nativ'!P247,'Core_Nativ'!N247,IF(AND('Input_Meci'!L26="YES",'Input_Meci'!K26&lt;&gt;"",'Input_Meci'!K26&lt;C26,'Core_Nativ'!T253="DERIVED",'Core_Nativ'!M253&gt;='Core_Nativ'!P247),MIN(1,'Core_Nativ'!M247/'Core_Nativ'!P247)*IF('Core_Nativ'!M247=0,0,'Core_Nativ'!N247)+(1-MIN(1,'Core_Nativ'!M247/'Core_Nativ'!P247))*'Core_Nativ'!N253,"")),""))</x:f>
      </x:c>
      <x:c r="AI26" s="11" t="str">
        <x:f>IF(A26="","",IF(AND('Core_Nativ'!R247="CLOSED",'Core_Nativ'!S247=0),IF('Core_Nativ'!M247&gt;='Core_Nativ'!P247,'Core_Nativ'!O247,IF(AND('Input_Meci'!L26="YES",'Input_Meci'!K26&lt;&gt;"",'Input_Meci'!K26&lt;C26,'Core_Nativ'!T253="DERIVED",'Core_Nativ'!M253&gt;='Core_Nativ'!P247),MIN(1,'Core_Nativ'!M247/'Core_Nativ'!P247)*IF('Core_Nativ'!M247=0,0,'Core_Nativ'!O247)+(1-MIN(1,'Core_Nativ'!M247/'Core_Nativ'!P247))*'Core_Nativ'!O253,"")),""))</x:f>
      </x:c>
      <x:c r="AJ26" s="11" t="str">
        <x:f>IF(A26="","",IF(AND('Core_Nativ'!R248="CLOSED",'Core_Nativ'!S248=0),IF('Core_Nativ'!M248&gt;='Core_Nativ'!P248,'Core_Nativ'!N248,IF(AND('Input_Meci'!L26="YES",'Input_Meci'!K26&lt;&gt;"",'Input_Meci'!K26&lt;C26,'Core_Nativ'!T254="DERIVED",'Core_Nativ'!M254&gt;='Core_Nativ'!P248),MIN(1,'Core_Nativ'!M248/'Core_Nativ'!P248)*IF('Core_Nativ'!M248=0,0,'Core_Nativ'!N248)+(1-MIN(1,'Core_Nativ'!M248/'Core_Nativ'!P248))*'Core_Nativ'!N254,"")),""))</x:f>
      </x:c>
      <x:c r="AK26" s="11" t="str">
        <x:f>IF(A26="","",IF(AND('Core_Nativ'!R248="CLOSED",'Core_Nativ'!S248=0),IF('Core_Nativ'!M248&gt;='Core_Nativ'!P248,'Core_Nativ'!O248,IF(AND('Input_Meci'!L26="YES",'Input_Meci'!K26&lt;&gt;"",'Input_Meci'!K26&lt;C26,'Core_Nativ'!T254="DERIVED",'Core_Nativ'!M254&gt;='Core_Nativ'!P248),MIN(1,'Core_Nativ'!M248/'Core_Nativ'!P248)*IF('Core_Nativ'!M248=0,0,'Core_Nativ'!O248)+(1-MIN(1,'Core_Nativ'!M248/'Core_Nativ'!P248))*'Core_Nativ'!O254,"")),""))</x:f>
      </x:c>
      <x:c r="AL26" s="11" t="str">
        <x:f>IF(A26="","",IF(AND('Core_Nativ'!R249="CLOSED",'Core_Nativ'!S249=0),IF('Core_Nativ'!M249&gt;='Core_Nativ'!P249,'Core_Nativ'!N249,IF(AND('Input_Meci'!L26="YES",'Input_Meci'!K26&lt;&gt;"",'Input_Meci'!K26&lt;C26,'Core_Nativ'!T255="DERIVED",'Core_Nativ'!M255&gt;='Core_Nativ'!P249),MIN(1,'Core_Nativ'!M249/'Core_Nativ'!P249)*IF('Core_Nativ'!M249=0,0,'Core_Nativ'!N249)+(1-MIN(1,'Core_Nativ'!M249/'Core_Nativ'!P249))*'Core_Nativ'!N255,"")),""))</x:f>
      </x:c>
      <x:c r="AM26" s="11" t="str">
        <x:f>IF(A26="","",IF(AND('Core_Nativ'!R249="CLOSED",'Core_Nativ'!S249=0),IF('Core_Nativ'!M249&gt;='Core_Nativ'!P249,'Core_Nativ'!O249,IF(AND('Input_Meci'!L26="YES",'Input_Meci'!K26&lt;&gt;"",'Input_Meci'!K26&lt;C26,'Core_Nativ'!T255="DERIVED",'Core_Nativ'!M255&gt;='Core_Nativ'!P249),MIN(1,'Core_Nativ'!M249/'Core_Nativ'!P249)*IF('Core_Nativ'!M249=0,0,'Core_Nativ'!O249)+(1-MIN(1,'Core_Nativ'!M249/'Core_Nativ'!P249))*'Core_Nativ'!O255,"")),""))</x:f>
      </x:c>
      <x:c r="AN26" s="11" t="str">
        <x:f>IF(A26="","",IF(AND('Core_Nativ'!R250="CLOSED",'Core_Nativ'!S250=0),IF('Core_Nativ'!M250&gt;='Core_Nativ'!P250,'Core_Nativ'!N250,IF(AND('Input_Meci'!L26="YES",'Input_Meci'!K26&lt;&gt;"",'Input_Meci'!K26&lt;C26,'Core_Nativ'!T256="DERIVED",'Core_Nativ'!M256&gt;='Core_Nativ'!P250),MIN(1,'Core_Nativ'!M250/'Core_Nativ'!P250)*IF('Core_Nativ'!M250=0,0,'Core_Nativ'!N250)+(1-MIN(1,'Core_Nativ'!M250/'Core_Nativ'!P250))*'Core_Nativ'!N256,"")),""))</x:f>
      </x:c>
      <x:c r="AO26" s="11" t="str">
        <x:f>IF(A26="","",IF(AND('Core_Nativ'!R250="CLOSED",'Core_Nativ'!S250=0),IF('Core_Nativ'!M250&gt;='Core_Nativ'!P250,'Core_Nativ'!O250,IF(AND('Input_Meci'!L26="YES",'Input_Meci'!K26&lt;&gt;"",'Input_Meci'!K26&lt;C26,'Core_Nativ'!T256="DERIVED",'Core_Nativ'!M256&gt;='Core_Nativ'!P250),MIN(1,'Core_Nativ'!M250/'Core_Nativ'!P250)*IF('Core_Nativ'!M250=0,0,'Core_Nativ'!O250)+(1-MIN(1,'Core_Nativ'!M250/'Core_Nativ'!P250))*'Core_Nativ'!O256,"")),""))</x:f>
      </x:c>
      <x:c r="AP26" s="11" t="str">
        <x:f>IF(A26="","",IF(AND('Core_Nativ'!R251="CLOSED",'Core_Nativ'!S251=0),IF('Core_Nativ'!M251&gt;='Core_Nativ'!P251,'Core_Nativ'!N251,IF(AND('Input_Meci'!L26="YES",'Input_Meci'!K26&lt;&gt;"",'Input_Meci'!K26&lt;C26,'Core_Nativ'!T257="DERIVED",'Core_Nativ'!M257&gt;='Core_Nativ'!P251),MIN(1,'Core_Nativ'!M251/'Core_Nativ'!P251)*IF('Core_Nativ'!M251=0,0,'Core_Nativ'!N251)+(1-MIN(1,'Core_Nativ'!M251/'Core_Nativ'!P251))*'Core_Nativ'!N257,"")),""))</x:f>
      </x:c>
      <x:c r="AQ26" s="11" t="str">
        <x:f>IF(A26="","",IF(AND('Core_Nativ'!R251="CLOSED",'Core_Nativ'!S251=0),IF('Core_Nativ'!M251&gt;='Core_Nativ'!P251,'Core_Nativ'!O251,IF(AND('Input_Meci'!L26="YES",'Input_Meci'!K26&lt;&gt;"",'Input_Meci'!K26&lt;C26,'Core_Nativ'!T257="DERIVED",'Core_Nativ'!M257&gt;='Core_Nativ'!P251),MIN(1,'Core_Nativ'!M251/'Core_Nativ'!P251)*IF('Core_Nativ'!M251=0,0,'Core_Nativ'!O251)+(1-MIN(1,'Core_Nativ'!M251/'Core_Nativ'!P251))*'Core_Nativ'!O257,"")),""))</x:f>
      </x:c>
      <x:c r="AR26" s="11" t="str">
        <x:f>IF(A26="","",SUMPRODUCT(('Istoric_Nativ'!$B$6:$B$405=B26)*('Istoric_Nativ'!$C$6:$C$405=BL26)*('Istoric_Nativ'!$P$6:$P$405=1)*('Istoric_Nativ'!$D$6:$D$405&lt;INT(G26))*((('Istoric_Nativ'!$E$6:$E$405='Input_Meci'!D26)+('Istoric_Nativ'!$F$6:$F$405='Input_Meci'!D26)+('Istoric_Nativ'!$E$6:$E$405='Input_Meci'!E26)+('Istoric_Nativ'!$F$6:$F$405='Input_Meci'!E26))&gt;0)))</x:f>
      </x:c>
      <x:c r="AS26" s="11" t="str">
        <x:f>IF(AR26=0,"",SUMPRODUCT(('Istoric_Nativ'!$B$6:$B$405=B26)*('Istoric_Nativ'!$C$6:$C$405=BL26)*('Istoric_Nativ'!$P$6:$P$405=1)*('Istoric_Nativ'!$D$6:$D$405&lt;INT(G26))*((('Istoric_Nativ'!$E$6:$E$405='Input_Meci'!D26)+('Istoric_Nativ'!$F$6:$F$405='Input_Meci'!D26)+('Istoric_Nativ'!$E$6:$E$405='Input_Meci'!E26)+('Istoric_Nativ'!$F$6:$F$405='Input_Meci'!E26))&gt;0)*'Istoric_Nativ'!$Q$6:$Q$405)/AR26)</x:f>
      </x:c>
      <x:c r="AT26" s="11" t="str">
        <x:f>IF(AR26&lt;2,"",MAX(0,(SUMPRODUCT(('Istoric_Nativ'!$B$6:$B$405=B26)*('Istoric_Nativ'!$C$6:$C$405=BL26)*('Istoric_Nativ'!$P$6:$P$405=1)*('Istoric_Nativ'!$D$6:$D$405&lt;INT(G26))*((('Istoric_Nativ'!$E$6:$E$405='Input_Meci'!D26)+('Istoric_Nativ'!$F$6:$F$405='Input_Meci'!D26)+('Istoric_Nativ'!$E$6:$E$405='Input_Meci'!E26)+('Istoric_Nativ'!$F$6:$F$405='Input_Meci'!E26))&gt;0)*'Istoric_Nativ'!$R$6:$R$405)-AR26*AS26^2)/(AR26-1)))</x:f>
      </x:c>
      <x:c r="AU26" s="11" t="str">
        <x:f>IF(I26&lt;&gt;"PASS","",AT26/AS26)</x:f>
      </x:c>
      <x:c r="AV26" s="11" t="str">
        <x:f>IF(I26&lt;&gt;"PASS","",IF(AU26&lt;='Config_v6'!$B$10,"POISSON","NEGATIVE BINOMIAL"))</x:f>
      </x:c>
      <x:c r="AW26" s="11" t="str">
        <x:f>IF(I26&lt;&gt;"PASS","",IF(AV26="POISSON",9999,AS26/(AU26-1)))</x:f>
      </x:c>
      <x:c r="AX26" s="11" t="str">
        <x:f>IF(A26="","",MAX(1-'Config_v6'!$B$20,MIN(1+'Config_v6'!$B$20,1+0.02*(IF(AND(ISNUMBER('Input_Meci'!N26),'Input_Meci'!N26&gt;=0,'Input_Meci'!N26&lt;=200),'Input_Meci'!N26,12)/12-1)+0.02*(IF(AND(ISNUMBER('Input_Meci'!P26),'Input_Meci'!P26&gt;=0,'Input_Meci'!P26&lt;=200),'Input_Meci'!P26,3.5)/3.5-1)+0.02*(IF(AND(ISNUMBER('Input_Meci'!R26),'Input_Meci'!R26&gt;=0,'Input_Meci'!R26&lt;=200),'Input_Meci'!R26,18)/18-1)+0.02*((IF(AND(ISNUMBER('Input_Meci'!V26),'Input_Meci'!V26&gt;=0,'Input_Meci'!V26&lt;=10),'Input_Meci'!V26,5)-5)/5))))</x:f>
      </x:c>
      <x:c r="AY26" s="11" t="str">
        <x:f>IF(A26="","",MAX(1-'Config_v6'!$B$20,MIN(1+'Config_v6'!$B$20,1+0.02*(IF(AND(ISNUMBER('Input_Meci'!O26),'Input_Meci'!O26&gt;=0,'Input_Meci'!O26&lt;=200),'Input_Meci'!O26,12)/12-1)+0.02*(IF(AND(ISNUMBER('Input_Meci'!Q26),'Input_Meci'!Q26&gt;=0,'Input_Meci'!Q26&lt;=200),'Input_Meci'!Q26,3.5)/3.5-1)+0.02*(IF(AND(ISNUMBER('Input_Meci'!S26),'Input_Meci'!S26&gt;=0,'Input_Meci'!S26&lt;=200),'Input_Meci'!S26,18)/18-1)+0.02*((IF(AND(ISNUMBER('Input_Meci'!W26),'Input_Meci'!W26&gt;=0,'Input_Meci'!W26&lt;=10),'Input_Meci'!W26,5)-5)/5))))</x:f>
      </x:c>
      <x:c r="AZ26" s="11" t="str">
        <x:f>IF(A26="","",MAX(1-'Config_v6'!$B$21,MIN(1+'Config_v6'!$B$21,1+0.012*(IF('Input_Meci'!X26="",5,IF(ISNUMBER('Input_Meci'!X26),'Input_Meci'!X26,5))-5)+0.018*(IF('Input_Meci'!Z26="",5,IF(ISNUMBER('Input_Meci'!Z26),'Input_Meci'!Z26,5))-5)+0.012*(IF('Input_Meci'!AB26="",5,IF(ISNUMBER('Input_Meci'!AB26),'Input_Meci'!AB26,5))-5)+0.015*IF('Input_Meci'!AD26="",0,IF(ISNUMBER('Input_Meci'!AD26),'Input_Meci'!AD26,0))+0.02*IF('Input_Meci'!AF26="",0,IF(ISNUMBER('Input_Meci'!AF26),'Input_Meci'!AF26,0)))))</x:f>
      </x:c>
      <x:c r="BA26" s="11" t="str">
        <x:f>IF(A26="","",MAX(1-'Config_v6'!$B$21,MIN(1+'Config_v6'!$B$21,1+0.012*(IF('Input_Meci'!Y26="",5,IF(ISNUMBER('Input_Meci'!Y26),'Input_Meci'!Y26,5))-5)+0.018*(IF('Input_Meci'!AA26="",5,IF(ISNUMBER('Input_Meci'!AA26),'Input_Meci'!AA26,5))-5)+0.012*(IF('Input_Meci'!AC26="",5,IF(ISNUMBER('Input_Meci'!AC26),'Input_Meci'!AC26,5))-5)+0.015*IF('Input_Meci'!AE26="",0,IF(ISNUMBER('Input_Meci'!AE26),'Input_Meci'!AE26,0))+0.02*IF('Input_Meci'!AG26="",0,IF(ISNUMBER('Input_Meci'!AG26),'Input_Meci'!AG26,0)))))</x:f>
      </x:c>
      <x:c r="BB26" s="11" t="str">
        <x:f>IF(I26&lt;&gt;"PASS","",(AVERAGE(AF26,AM26)*'Config_v6'!$B$4+AVERAGE(AH26,AO26)*'Config_v6'!$B$5+AVERAGE(AJ26,AQ26)*'Config_v6'!$B$6)*AX26*AZ26)</x:f>
      </x:c>
      <x:c r="BC26" s="11" t="str">
        <x:f>IF(I26&lt;&gt;"PASS","",(AVERAGE(AL26,AG26)*'Config_v6'!$B$4+AVERAGE(AN26,AI26)*'Config_v6'!$B$5+AVERAGE(AP26,AK26)*'Config_v6'!$B$6)*AY26*BA26)</x:f>
      </x:c>
      <x:c r="BD26" s="11" t="str">
        <x:f>IF(I26&lt;&gt;"PASS","",BB26+BC26)</x:f>
      </x:c>
      <x:c r="BE26" s="11" t="str">
        <x:f>IF(A26="","",10-SUM(IF(AND(ISNUMBER('Input_Meci'!N26),'Input_Meci'!N26&gt;=0,'Input_Meci'!N26&lt;=200),1,0),IF(AND(ISNUMBER('Input_Meci'!O26),'Input_Meci'!O26&gt;=0,'Input_Meci'!O26&lt;=200),1,0),IF(AND(ISNUMBER('Input_Meci'!P26),'Input_Meci'!P26&gt;=0,'Input_Meci'!P26&lt;=200),1,0),IF(AND(ISNUMBER('Input_Meci'!Q26),'Input_Meci'!Q26&gt;=0,'Input_Meci'!Q26&lt;=200),1,0),IF(AND(ISNUMBER('Input_Meci'!R26),'Input_Meci'!R26&gt;=0,'Input_Meci'!R26&lt;=200),1,0),IF(AND(ISNUMBER('Input_Meci'!S26),'Input_Meci'!S26&gt;=0,'Input_Meci'!S26&lt;=200),1,0),IF(AND(ISNUMBER('Input_Meci'!T26),'Input_Meci'!T26&gt;=0,'Input_Meci'!T26&lt;=100),1,0),IF(AND(ISNUMBER('Input_Meci'!U26),'Input_Meci'!U26&gt;=0,'Input_Meci'!U26&lt;=100),1,0),IF(AND(ISNUMBER('Input_Meci'!V26),'Input_Meci'!V26&gt;=0,'Input_Meci'!V26&lt;=10),1,0),IF(AND(ISNUMBER('Input_Meci'!W26),'Input_Meci'!W26&gt;=0,'Input_Meci'!W26&lt;=10),1,0)))</x:f>
      </x:c>
      <x:c r="BF26" s="11" t="str">
        <x:f>IF(I26&lt;&gt;"PASS","",MAX(0,MIN(IF(OR(M26="YES",BL26&lt;&gt;C26),'Config_v6'!$B$34,100),ROUND(40+25*MIN(1,MIN(N26,Q26)/'Config_v6'!$B$7)*MIN(1,MIN(O26,R26)/'Config_v6'!$B$8)*MIN(1,MIN(P26,S26)/'Config_v6'!$B$9)+MAX(0,15-2*ABS(AF26-AJ26)-2*ABS(AL26-AP26))+IF(AU26&lt;='Config_v6'!$B$10,15,IF(AU26&lt;='Config_v6'!$B$11,13,IF(AU26&lt;='Config_v6'!$B$12,10,IF(AU26&lt;='Config_v6'!$B$13,6,0))))+5-BE26/10*'Config_v6'!$B$38,0))))</x:f>
      </x:c>
      <x:c r="BG26" s="11" t="str">
        <x:f>IF(I26&lt;&gt;"PASS","",MIN(1,'Config_v6'!$B$14*(0.7+0.3*MIN(1,AR26/'Config_v6'!$B$15))*IF(AU26&lt;='Config_v6'!$B$10,1,IF(AU26&lt;='Config_v6'!$B$11,0.95,IF(AU26&lt;='Config_v6'!$B$12,0.88,0.78)))*(0.75+0.25*BF26/100)))</x:f>
      </x:c>
      <x:c r="BH26" s="11" t="str">
        <x:f>IF(I26&lt;&gt;"PASS","",MIN(1,(ABS(AZ26-1)+ABS(BA26-1))*3))</x:f>
      </x:c>
      <x:c r="BI26" s="2" t="str">
        <x:f>IF(A26="","",IF(AND(OR('Input_Meci'!X26="",AND(ISNUMBER('Input_Meci'!X26),'Input_Meci'!X26&gt;=0,'Input_Meci'!X26&lt;=10)),OR('Input_Meci'!Y26="",AND(ISNUMBER('Input_Meci'!Y26),'Input_Meci'!Y26&gt;=0,'Input_Meci'!Y26&lt;=10)),OR('Input_Meci'!Z26="",AND(ISNUMBER('Input_Meci'!Z26),'Input_Meci'!Z26&gt;=0,'Input_Meci'!Z26&lt;=10)),OR('Input_Meci'!AA26="",AND(ISNUMBER('Input_Meci'!AA26),'Input_Meci'!AA26&gt;=0,'Input_Meci'!AA26&lt;=10)),OR('Input_Meci'!AB26="",AND(ISNUMBER('Input_Meci'!AB26),'Input_Meci'!AB26&gt;=0,'Input_Meci'!AB26&lt;=10)),OR('Input_Meci'!AC26="",AND(ISNUMBER('Input_Meci'!AC26),'Input_Meci'!AC26&gt;=0,'Input_Meci'!AC26&lt;=10)),OR('Input_Meci'!AD26="",AND(ISNUMBER('Input_Meci'!AD26),'Input_Meci'!AD26&gt;=-2,'Input_Meci'!AD26&lt;=2)),OR('Input_Meci'!AE26="",AND(ISNUMBER('Input_Meci'!AE26),'Input_Meci'!AE26&gt;=-2,'Input_Meci'!AE26&lt;=2)),OR('Input_Meci'!AF26="",AND(ISNUMBER('Input_Meci'!AF26),'Input_Meci'!AF26&gt;=-2,'Input_Meci'!AF26&lt;=2)),OR('Input_Meci'!AG26="",AND(ISNUMBER('Input_Meci'!AG26),'Input_Meci'!AG26&gt;=-2,'Input_Meci'!AG26&lt;=2))),"VALID","INVALID"))</x:f>
      </x:c>
      <x:c r="BJ26" s="2" t="n">
        <x:f>IF(A26="",0,SUM('Core_Nativ'!S246:S251))</x:f>
        <x:v>0</x:v>
      </x:c>
      <x:c r="BK26" s="2" t="str">
        <x:f>'Config_v6'!$B$40</x:f>
        <x:v>VALID</x:v>
      </x:c>
      <x:c r="BL26" s="2" t="str">
        <x:f>IF(A26="","",IF(SUMPRODUCT(('Istoric_Nativ'!$B$6:$B$405=B26)*('Istoric_Nativ'!$C$6:$C$405=C26)*('Istoric_Nativ'!$P$6:$P$405=1)*('Istoric_Nativ'!$D$6:$D$405&lt;INT(G26))*((('Istoric_Nativ'!$E$6:$E$405='Input_Meci'!D26)+('Istoric_Nativ'!$F$6:$F$405='Input_Meci'!D26)+('Istoric_Nativ'!$E$6:$E$405='Input_Meci'!E26)+('Istoric_Nativ'!$F$6:$F$405='Input_Meci'!E26))&gt;0))&gt;='Config_v6'!$B$41,C26,IF(AND('Input_Meci'!L26="YES",'Input_Meci'!K26&lt;&gt;"",'Input_Meci'!K26&lt;C26,COUNTIF('Core_Nativ'!R252:R257,"CLOSED")=6,SUM('Core_Nativ'!S252:S257)=0),'Input_Meci'!K26,C26)))</x:f>
      </x:c>
      <x:c r="BM26" s="9" t="n">
        <x:f>IF(OR(A26="",N26=0),0,LARGE(_xlfn._xlws.FILTER('Istoric_Nativ'!$D$6:$D$405,('Istoric_Nativ'!$B$6:$B$405=B26)*('Istoric_Nativ'!$C$6:$C$405=C26)*('Istoric_Nativ'!$P$6:$P$405=1)*('Istoric_Nativ'!$D$6:$D$405&lt;INT(G26))*((('Istoric_Nativ'!$E$6:$E$405='Input_Meci'!D26)+('Istoric_Nativ'!$F$6:$F$405='Input_Meci'!D26))&gt;0)),MIN(10,N26)))</x:f>
        <x:v>0</x:v>
      </x:c>
      <x:c r="BN26" s="9" t="n">
        <x:f>IF(OR(A26="",Q26=0),0,LARGE(_xlfn._xlws.FILTER('Istoric_Nativ'!$D$6:$D$405,('Istoric_Nativ'!$B$6:$B$405=B26)*('Istoric_Nativ'!$C$6:$C$405=C26)*('Istoric_Nativ'!$P$6:$P$405=1)*('Istoric_Nativ'!$D$6:$D$405&lt;INT(G26))*((('Istoric_Nativ'!$E$6:$E$405='Input_Meci'!E26)+('Istoric_Nativ'!$F$6:$F$405='Input_Meci'!E26))&gt;0)),MIN(10,Q26)))</x:f>
        <x:v>0</x:v>
      </x:c>
      <x:c r="BO26" s="9" t="n">
        <x:f>IF(OR(A26="",N26=0),0,LARGE(_xlfn._xlws.FILTER('Istoric_Nativ'!$D$6:$D$405,('Istoric_Nativ'!$B$6:$B$405=B26)*('Istoric_Nativ'!$C$6:$C$405=C26)*('Istoric_Nativ'!$P$6:$P$405=1)*('Istoric_Nativ'!$D$6:$D$405&lt;INT(G26))*((('Istoric_Nativ'!$E$6:$E$405='Input_Meci'!D26)+('Istoric_Nativ'!$F$6:$F$405='Input_Meci'!D26))&gt;0)),MIN(20,N26)))</x:f>
        <x:v>0</x:v>
      </x:c>
      <x:c r="BP26" s="9" t="n">
        <x:f>IF(OR(A26="",Q26=0),0,LARGE(_xlfn._xlws.FILTER('Istoric_Nativ'!$D$6:$D$405,('Istoric_Nativ'!$B$6:$B$405=B26)*('Istoric_Nativ'!$C$6:$C$405=C26)*('Istoric_Nativ'!$P$6:$P$405=1)*('Istoric_Nativ'!$D$6:$D$405&lt;INT(G26))*((('Istoric_Nativ'!$E$6:$E$405='Input_Meci'!E26)+('Istoric_Nativ'!$F$6:$F$405='Input_Meci'!E26))&gt;0)),MIN(20,Q26)))</x:f>
        <x:v>0</x:v>
      </x:c>
      <x:c r="BQ26" s="2" t="str">
        <x:f>IF(A26="","",IF(AND(COUNTIF(MatchesTable[Match_ID],A26)=1,COUNTIFS(MatchesTable[League],B26,MatchesTable[Season],C26,MatchesTable[Home],'Input_Meci'!D26,MatchesTable[Away],'Input_Meci'!E26,MatchesTable[Kickoff_UTC],F26)=1,B26&lt;&gt;"",C26&lt;&gt;"",'Input_Meci'!D26&lt;&gt;"",'Input_Meci'!E26&lt;&gt;"",'Input_Meci'!D26&lt;&gt;'Input_Meci'!E26,ISNUMBER(F26),ISNUMBER(G26),G26&lt;F26,OR(E26="LIVE",E26="REPLAY"),OR('Input_Meci'!L26="YES",'Input_Meci'!L26="NO",'Input_Meci'!L26="")),"VALID","INVALID"))</x:f>
      </x:c>
      <x:c r="BR26" s="2" t="n">
        <x:f>IF(I26&lt;&gt;"PASS",0,SUMPRODUCT(('Istoric_Nativ'!$B$6:$B$405='Input_Meci'!B26)*('Istoric_Nativ'!$C$6:$C$405='Input_Meci'!C26)*('Istoric_Nativ'!$P$6:$P$405=1)*('Istoric_Nativ'!$D$6:$D$405&lt;INT('Input_Meci'!G26))*((('Istoric_Nativ'!$E$6:$E$405='Input_Meci'!D26)+('Istoric_Nativ'!$F$6:$F$405='Input_Meci'!E26))&gt;0)))</x:f>
        <x:v>0</x:v>
      </x:c>
      <x:c r="BS26" s="2" t="n">
        <x:f>IF(I26&lt;&gt;"PASS",0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BM26)+((('Istoric_Nativ'!$E$6:$E$405='Input_Meci'!E26)+('Istoric_Nativ'!$F$6:$F$405='Input_Meci'!E26))&gt;0)*('Istoric_Nativ'!$D$6:$D$405&gt;=BN26))&gt;0)))</x:f>
        <x:v>0</x:v>
      </x:c>
      <x:c r="BT26" s="2" t="n">
        <x:f>IF(I26&lt;&gt;"PASS",0,SUMPRODUCT(('Istoric_Nativ'!$B$6:$B$405='Input_Meci'!B26)*('Istoric_Nativ'!$C$6:$C$405='Input_Meci'!C26)*('Istoric_Nativ'!$P$6:$P$405=1)*('Istoric_Nativ'!$D$6:$D$405&lt;INT('Input_Meci'!G26))*((((('Istoric_Nativ'!$E$6:$E$405='Input_Meci'!D26)+('Istoric_Nativ'!$F$6:$F$405='Input_Meci'!D26))&gt;0)*('Istoric_Nativ'!$D$6:$D$405&gt;=BO26)+((('Istoric_Nativ'!$E$6:$E$405='Input_Meci'!E26)+('Istoric_Nativ'!$F$6:$F$405='Input_Meci'!E26))&gt;0)*('Istoric_Nativ'!$D$6:$D$405&gt;=BP26))&gt;0)))</x:f>
        <x:v>0</x:v>
      </x:c>
    </x:row>
    <x:row r="27" ht="21" customHeight="1">
      <x:c r="A27" s="2" t="str">
        <x:f>IF('Input_Meci'!A27="","",'Input_Meci'!A27)</x:f>
      </x:c>
      <x:c r="B27" s="2" t="str">
        <x:f>IF(A27="","",'Input_Meci'!B27)</x:f>
      </x:c>
      <x:c r="C27" s="2" t="str">
        <x:f>IF(A27="","",'Input_Meci'!C27)</x:f>
      </x:c>
      <x:c r="D27" s="2" t="str">
        <x:f>IF(A27="","",'Input_Meci'!D27&amp;" – "&amp;'Input_Meci'!E27)</x:f>
      </x:c>
      <x:c r="E27" s="2" t="str">
        <x:f>IF(A27="","",'Input_Meci'!H27)</x:f>
      </x:c>
      <x:c r="F27" s="9" t="str">
        <x:f>IF(A27="","",'Input_Meci'!F27)</x:f>
      </x:c>
      <x:c r="G27" s="9" t="str">
        <x:f>IF(A27="","",'Input_Meci'!G27)</x:f>
      </x:c>
      <x:c r="H27" s="2" t="str">
        <x:f>IF(A27="","",IF(BQ27&lt;&gt;"VALID","NOT RELEASED",IF(AND(OR('Input_Meci'!I27="NOT AVAILABLE",'Input_Meci'!I27="SOURCE CONFLICT"),'Input_Meci'!J27&lt;&gt;""),"READY",IF(OR(NOT(OR('Input_Meci'!I27="AUTO",'Input_Meci'!I27="")),COUNTIF('Core_Nativ'!R258:R263,"CLOSED")&lt;&gt;6,BJ27&gt;0),"NOT RELEASED","READY"))))</x:f>
      </x:c>
      <x:c r="I27" s="2" t="str">
        <x:f>IF(A27="","",IF(H27&lt;&gt;"READY","NOT RELEASED",IF(AND(NOT(OR('Input_Meci'!I27="NOT AVAILABLE",'Input_Meci'!I27="SOURCE CONFLICT")),L27=12,AR27&gt;=2,AS27&gt;0,ISNUMBER(AT27),BI27="VALID",BK27="VALID"),"PASS","FAIL")))</x:f>
      </x:c>
      <x:c r="J27" s="2" t="str">
        <x:f>IF(A27="","",IF(BQ27&lt;&gt;"VALID","Verifica ID, echipe, mod si cutoff &lt; kickoff",IF(H27&lt;&gt;"READY",IF('Input_Meci'!I27="ACCESS BLOCKED","Acces blocat: reia sursele",IF(BJ27&gt;0,"Istoric invalid sau conflict: verifica randurile native","Surse neinchise / post-cutoff / dovezi incomplete")),IF(OR('Input_Meci'!I27="NOT AVAILABLE",'Input_Meci'!I27="SOURCE CONFLICT"),'Input_Meci'!I27,IF(BK27&lt;&gt;"VALID","Parametri invalizi",IF(L27&lt;&gt;12,"Core / sample / prior insuficient",IF(AR27&lt;2,"N insuficient pentru dispersie",IF(AS27&lt;=0,"Media istorica trebuie sa fie pozitiva",IF(BI27&lt;&gt;"VALID","Context invalid","READY")))))))))</x:f>
      </x:c>
      <x:c r="K27" s="2" t="str">
        <x:f>IF(A27="","",COUNT(T27:AE27))</x:f>
      </x:c>
      <x:c r="L27" s="2" t="str">
        <x:f>IF(A27="","",COUNT(AF27:AQ27))</x:f>
      </x:c>
      <x:c r="M27" s="2" t="str">
        <x:f>IF(A27="","",IF(OR('Core_Nativ'!M258&lt;'Core_Nativ'!P258,'Core_Nativ'!M259&lt;'Core_Nativ'!P259,'Core_Nativ'!M260&lt;'Core_Nativ'!P260,'Core_Nativ'!M261&lt;'Core_Nativ'!P261,'Core_Nativ'!M262&lt;'Core_Nativ'!P262,'Core_Nativ'!M263&lt;'Core_Nativ'!P263),"YES","NO"))</x:f>
      </x:c>
      <x:c r="N27" s="2" t="str">
        <x:f>IF(A27="","",'Core_Nativ'!M258)</x:f>
      </x:c>
      <x:c r="O27" s="2" t="str">
        <x:f>IF(A27="","",'Core_Nativ'!M259)</x:f>
      </x:c>
      <x:c r="P27" s="2" t="str">
        <x:f>IF(A27="","",'Core_Nativ'!M260)</x:f>
      </x:c>
      <x:c r="Q27" s="2" t="str">
        <x:f>IF(A27="","",'Core_Nativ'!M261)</x:f>
      </x:c>
      <x:c r="R27" s="2" t="str">
        <x:f>IF(A27="","",'Core_Nativ'!M262)</x:f>
      </x:c>
      <x:c r="S27" s="2" t="str">
        <x:f>IF(A27="","",'Core_Nativ'!M263)</x:f>
      </x:c>
      <x:c r="T27" s="11" t="str">
        <x:f>IF(OR(A27="",'Core_Nativ'!M258=0),"",'Core_Nativ'!N258)</x:f>
      </x:c>
      <x:c r="U27" s="11" t="str">
        <x:f>IF(OR(A27="",'Core_Nativ'!M258=0),"",'Core_Nativ'!O258)</x:f>
      </x:c>
      <x:c r="V27" s="11" t="str">
        <x:f>IF(OR(A27="",'Core_Nativ'!M259=0),"",'Core_Nativ'!N259)</x:f>
      </x:c>
      <x:c r="W27" s="11" t="str">
        <x:f>IF(OR(A27="",'Core_Nativ'!M259=0),"",'Core_Nativ'!O259)</x:f>
      </x:c>
      <x:c r="X27" s="11" t="str">
        <x:f>IF(OR(A27="",'Core_Nativ'!M260=0),"",'Core_Nativ'!N260)</x:f>
      </x:c>
      <x:c r="Y27" s="11" t="str">
        <x:f>IF(OR(A27="",'Core_Nativ'!M260=0),"",'Core_Nativ'!O260)</x:f>
      </x:c>
      <x:c r="Z27" s="11" t="str">
        <x:f>IF(OR(A27="",'Core_Nativ'!M261=0),"",'Core_Nativ'!N261)</x:f>
      </x:c>
      <x:c r="AA27" s="11" t="str">
        <x:f>IF(OR(A27="",'Core_Nativ'!M261=0),"",'Core_Nativ'!O261)</x:f>
      </x:c>
      <x:c r="AB27" s="11" t="str">
        <x:f>IF(OR(A27="",'Core_Nativ'!M262=0),"",'Core_Nativ'!N262)</x:f>
      </x:c>
      <x:c r="AC27" s="11" t="str">
        <x:f>IF(OR(A27="",'Core_Nativ'!M262=0),"",'Core_Nativ'!O262)</x:f>
      </x:c>
      <x:c r="AD27" s="11" t="str">
        <x:f>IF(OR(A27="",'Core_Nativ'!M263=0),"",'Core_Nativ'!N263)</x:f>
      </x:c>
      <x:c r="AE27" s="11" t="str">
        <x:f>IF(OR(A27="",'Core_Nativ'!M263=0),"",'Core_Nativ'!O263)</x:f>
      </x:c>
      <x:c r="AF27" s="11" t="str">
        <x:f>IF(A27="","",IF(AND('Core_Nativ'!R258="CLOSED",'Core_Nativ'!S258=0),IF('Core_Nativ'!M258&gt;='Core_Nativ'!P258,'Core_Nativ'!N258,IF(AND('Input_Meci'!L27="YES",'Input_Meci'!K27&lt;&gt;"",'Input_Meci'!K27&lt;C27,'Core_Nativ'!T264="DERIVED",'Core_Nativ'!M264&gt;='Core_Nativ'!P258),MIN(1,'Core_Nativ'!M258/'Core_Nativ'!P258)*IF('Core_Nativ'!M258=0,0,'Core_Nativ'!N258)+(1-MIN(1,'Core_Nativ'!M258/'Core_Nativ'!P258))*'Core_Nativ'!N264,"")),""))</x:f>
      </x:c>
      <x:c r="AG27" s="11" t="str">
        <x:f>IF(A27="","",IF(AND('Core_Nativ'!R258="CLOSED",'Core_Nativ'!S258=0),IF('Core_Nativ'!M258&gt;='Core_Nativ'!P258,'Core_Nativ'!O258,IF(AND('Input_Meci'!L27="YES",'Input_Meci'!K27&lt;&gt;"",'Input_Meci'!K27&lt;C27,'Core_Nativ'!T264="DERIVED",'Core_Nativ'!M264&gt;='Core_Nativ'!P258),MIN(1,'Core_Nativ'!M258/'Core_Nativ'!P258)*IF('Core_Nativ'!M258=0,0,'Core_Nativ'!O258)+(1-MIN(1,'Core_Nativ'!M258/'Core_Nativ'!P258))*'Core_Nativ'!O264,"")),""))</x:f>
      </x:c>
      <x:c r="AH27" s="11" t="str">
        <x:f>IF(A27="","",IF(AND('Core_Nativ'!R259="CLOSED",'Core_Nativ'!S259=0),IF('Core_Nativ'!M259&gt;='Core_Nativ'!P259,'Core_Nativ'!N259,IF(AND('Input_Meci'!L27="YES",'Input_Meci'!K27&lt;&gt;"",'Input_Meci'!K27&lt;C27,'Core_Nativ'!T265="DERIVED",'Core_Nativ'!M265&gt;='Core_Nativ'!P259),MIN(1,'Core_Nativ'!M259/'Core_Nativ'!P259)*IF('Core_Nativ'!M259=0,0,'Core_Nativ'!N259)+(1-MIN(1,'Core_Nativ'!M259/'Core_Nativ'!P259))*'Core_Nativ'!N265,"")),""))</x:f>
      </x:c>
      <x:c r="AI27" s="11" t="str">
        <x:f>IF(A27="","",IF(AND('Core_Nativ'!R259="CLOSED",'Core_Nativ'!S259=0),IF('Core_Nativ'!M259&gt;='Core_Nativ'!P259,'Core_Nativ'!O259,IF(AND('Input_Meci'!L27="YES",'Input_Meci'!K27&lt;&gt;"",'Input_Meci'!K27&lt;C27,'Core_Nativ'!T265="DERIVED",'Core_Nativ'!M265&gt;='Core_Nativ'!P259),MIN(1,'Core_Nativ'!M259/'Core_Nativ'!P259)*IF('Core_Nativ'!M259=0,0,'Core_Nativ'!O259)+(1-MIN(1,'Core_Nativ'!M259/'Core_Nativ'!P259))*'Core_Nativ'!O265,"")),""))</x:f>
      </x:c>
      <x:c r="AJ27" s="11" t="str">
        <x:f>IF(A27="","",IF(AND('Core_Nativ'!R260="CLOSED",'Core_Nativ'!S260=0),IF('Core_Nativ'!M260&gt;='Core_Nativ'!P260,'Core_Nativ'!N260,IF(AND('Input_Meci'!L27="YES",'Input_Meci'!K27&lt;&gt;"",'Input_Meci'!K27&lt;C27,'Core_Nativ'!T266="DERIVED",'Core_Nativ'!M266&gt;='Core_Nativ'!P260),MIN(1,'Core_Nativ'!M260/'Core_Nativ'!P260)*IF('Core_Nativ'!M260=0,0,'Core_Nativ'!N260)+(1-MIN(1,'Core_Nativ'!M260/'Core_Nativ'!P260))*'Core_Nativ'!N266,"")),""))</x:f>
      </x:c>
      <x:c r="AK27" s="11" t="str">
        <x:f>IF(A27="","",IF(AND('Core_Nativ'!R260="CLOSED",'Core_Nativ'!S260=0),IF('Core_Nativ'!M260&gt;='Core_Nativ'!P260,'Core_Nativ'!O260,IF(AND('Input_Meci'!L27="YES",'Input_Meci'!K27&lt;&gt;"",'Input_Meci'!K27&lt;C27,'Core_Nativ'!T266="DERIVED",'Core_Nativ'!M266&gt;='Core_Nativ'!P260),MIN(1,'Core_Nativ'!M260/'Core_Nativ'!P260)*IF('Core_Nativ'!M260=0,0,'Core_Nativ'!O260)+(1-MIN(1,'Core_Nativ'!M260/'Core_Nativ'!P260))*'Core_Nativ'!O266,"")),""))</x:f>
      </x:c>
      <x:c r="AL27" s="11" t="str">
        <x:f>IF(A27="","",IF(AND('Core_Nativ'!R261="CLOSED",'Core_Nativ'!S261=0),IF('Core_Nativ'!M261&gt;='Core_Nativ'!P261,'Core_Nativ'!N261,IF(AND('Input_Meci'!L27="YES",'Input_Meci'!K27&lt;&gt;"",'Input_Meci'!K27&lt;C27,'Core_Nativ'!T267="DERIVED",'Core_Nativ'!M267&gt;='Core_Nativ'!P261),MIN(1,'Core_Nativ'!M261/'Core_Nativ'!P261)*IF('Core_Nativ'!M261=0,0,'Core_Nativ'!N261)+(1-MIN(1,'Core_Nativ'!M261/'Core_Nativ'!P261))*'Core_Nativ'!N267,"")),""))</x:f>
      </x:c>
      <x:c r="AM27" s="11" t="str">
        <x:f>IF(A27="","",IF(AND('Core_Nativ'!R261="CLOSED",'Core_Nativ'!S261=0),IF('Core_Nativ'!M261&gt;='Core_Nativ'!P261,'Core_Nativ'!O261,IF(AND('Input_Meci'!L27="YES",'Input_Meci'!K27&lt;&gt;"",'Input_Meci'!K27&lt;C27,'Core_Nativ'!T267="DERIVED",'Core_Nativ'!M267&gt;='Core_Nativ'!P261),MIN(1,'Core_Nativ'!M261/'Core_Nativ'!P261)*IF('Core_Nativ'!M261=0,0,'Core_Nativ'!O261)+(1-MIN(1,'Core_Nativ'!M261/'Core_Nativ'!P261))*'Core_Nativ'!O267,"")),""))</x:f>
      </x:c>
      <x:c r="AN27" s="11" t="str">
        <x:f>IF(A27="","",IF(AND('Core_Nativ'!R262="CLOSED",'Core_Nativ'!S262=0),IF('Core_Nativ'!M262&gt;='Core_Nativ'!P262,'Core_Nativ'!N262,IF(AND('Input_Meci'!L27="YES",'Input_Meci'!K27&lt;&gt;"",'Input_Meci'!K27&lt;C27,'Core_Nativ'!T268="DERIVED",'Core_Nativ'!M268&gt;='Core_Nativ'!P262),MIN(1,'Core_Nativ'!M262/'Core_Nativ'!P262)*IF('Core_Nativ'!M262=0,0,'Core_Nativ'!N262)+(1-MIN(1,'Core_Nativ'!M262/'Core_Nativ'!P262))*'Core_Nativ'!N268,"")),""))</x:f>
      </x:c>
      <x:c r="AO27" s="11" t="str">
        <x:f>IF(A27="","",IF(AND('Core_Nativ'!R262="CLOSED",'Core_Nativ'!S262=0),IF('Core_Nativ'!M262&gt;='Core_Nativ'!P262,'Core_Nativ'!O262,IF(AND('Input_Meci'!L27="YES",'Input_Meci'!K27&lt;&gt;"",'Input_Meci'!K27&lt;C27,'Core_Nativ'!T268="DERIVED",'Core_Nativ'!M268&gt;='Core_Nativ'!P262),MIN(1,'Core_Nativ'!M262/'Core_Nativ'!P262)*IF('Core_Nativ'!M262=0,0,'Core_Nativ'!O262)+(1-MIN(1,'Core_Nativ'!M262/'Core_Nativ'!P262))*'Core_Nativ'!O268,"")),""))</x:f>
      </x:c>
      <x:c r="AP27" s="11" t="str">
        <x:f>IF(A27="","",IF(AND('Core_Nativ'!R263="CLOSED",'Core_Nativ'!S263=0),IF('Core_Nativ'!M263&gt;='Core_Nativ'!P263,'Core_Nativ'!N263,IF(AND('Input_Meci'!L27="YES",'Input_Meci'!K27&lt;&gt;"",'Input_Meci'!K27&lt;C27,'Core_Nativ'!T269="DERIVED",'Core_Nativ'!M269&gt;='Core_Nativ'!P263),MIN(1,'Core_Nativ'!M263/'Core_Nativ'!P263)*IF('Core_Nativ'!M263=0,0,'Core_Nativ'!N263)+(1-MIN(1,'Core_Nativ'!M263/'Core_Nativ'!P263))*'Core_Nativ'!N269,"")),""))</x:f>
      </x:c>
      <x:c r="AQ27" s="11" t="str">
        <x:f>IF(A27="","",IF(AND('Core_Nativ'!R263="CLOSED",'Core_Nativ'!S263=0),IF('Core_Nativ'!M263&gt;='Core_Nativ'!P263,'Core_Nativ'!O263,IF(AND('Input_Meci'!L27="YES",'Input_Meci'!K27&lt;&gt;"",'Input_Meci'!K27&lt;C27,'Core_Nativ'!T269="DERIVED",'Core_Nativ'!M269&gt;='Core_Nativ'!P263),MIN(1,'Core_Nativ'!M263/'Core_Nativ'!P263)*IF('Core_Nativ'!M263=0,0,'Core_Nativ'!O263)+(1-MIN(1,'Core_Nativ'!M263/'Core_Nativ'!P263))*'Core_Nativ'!O269,"")),""))</x:f>
      </x:c>
      <x:c r="AR27" s="11" t="str">
        <x:f>IF(A27="","",SUMPRODUCT(('Istoric_Nativ'!$B$6:$B$405=B27)*('Istoric_Nativ'!$C$6:$C$405=BL27)*('Istoric_Nativ'!$P$6:$P$405=1)*('Istoric_Nativ'!$D$6:$D$405&lt;INT(G27))*((('Istoric_Nativ'!$E$6:$E$405='Input_Meci'!D27)+('Istoric_Nativ'!$F$6:$F$405='Input_Meci'!D27)+('Istoric_Nativ'!$E$6:$E$405='Input_Meci'!E27)+('Istoric_Nativ'!$F$6:$F$405='Input_Meci'!E27))&gt;0)))</x:f>
      </x:c>
      <x:c r="AS27" s="11" t="str">
        <x:f>IF(AR27=0,"",SUMPRODUCT(('Istoric_Nativ'!$B$6:$B$405=B27)*('Istoric_Nativ'!$C$6:$C$405=BL27)*('Istoric_Nativ'!$P$6:$P$405=1)*('Istoric_Nativ'!$D$6:$D$405&lt;INT(G27))*((('Istoric_Nativ'!$E$6:$E$405='Input_Meci'!D27)+('Istoric_Nativ'!$F$6:$F$405='Input_Meci'!D27)+('Istoric_Nativ'!$E$6:$E$405='Input_Meci'!E27)+('Istoric_Nativ'!$F$6:$F$405='Input_Meci'!E27))&gt;0)*'Istoric_Nativ'!$Q$6:$Q$405)/AR27)</x:f>
      </x:c>
      <x:c r="AT27" s="11" t="str">
        <x:f>IF(AR27&lt;2,"",MAX(0,(SUMPRODUCT(('Istoric_Nativ'!$B$6:$B$405=B27)*('Istoric_Nativ'!$C$6:$C$405=BL27)*('Istoric_Nativ'!$P$6:$P$405=1)*('Istoric_Nativ'!$D$6:$D$405&lt;INT(G27))*((('Istoric_Nativ'!$E$6:$E$405='Input_Meci'!D27)+('Istoric_Nativ'!$F$6:$F$405='Input_Meci'!D27)+('Istoric_Nativ'!$E$6:$E$405='Input_Meci'!E27)+('Istoric_Nativ'!$F$6:$F$405='Input_Meci'!E27))&gt;0)*'Istoric_Nativ'!$R$6:$R$405)-AR27*AS27^2)/(AR27-1)))</x:f>
      </x:c>
      <x:c r="AU27" s="11" t="str">
        <x:f>IF(I27&lt;&gt;"PASS","",AT27/AS27)</x:f>
      </x:c>
      <x:c r="AV27" s="11" t="str">
        <x:f>IF(I27&lt;&gt;"PASS","",IF(AU27&lt;='Config_v6'!$B$10,"POISSON","NEGATIVE BINOMIAL"))</x:f>
      </x:c>
      <x:c r="AW27" s="11" t="str">
        <x:f>IF(I27&lt;&gt;"PASS","",IF(AV27="POISSON",9999,AS27/(AU27-1)))</x:f>
      </x:c>
      <x:c r="AX27" s="11" t="str">
        <x:f>IF(A27="","",MAX(1-'Config_v6'!$B$20,MIN(1+'Config_v6'!$B$20,1+0.02*(IF(AND(ISNUMBER('Input_Meci'!N27),'Input_Meci'!N27&gt;=0,'Input_Meci'!N27&lt;=200),'Input_Meci'!N27,12)/12-1)+0.02*(IF(AND(ISNUMBER('Input_Meci'!P27),'Input_Meci'!P27&gt;=0,'Input_Meci'!P27&lt;=200),'Input_Meci'!P27,3.5)/3.5-1)+0.02*(IF(AND(ISNUMBER('Input_Meci'!R27),'Input_Meci'!R27&gt;=0,'Input_Meci'!R27&lt;=200),'Input_Meci'!R27,18)/18-1)+0.02*((IF(AND(ISNUMBER('Input_Meci'!V27),'Input_Meci'!V27&gt;=0,'Input_Meci'!V27&lt;=10),'Input_Meci'!V27,5)-5)/5))))</x:f>
      </x:c>
      <x:c r="AY27" s="11" t="str">
        <x:f>IF(A27="","",MAX(1-'Config_v6'!$B$20,MIN(1+'Config_v6'!$B$20,1+0.02*(IF(AND(ISNUMBER('Input_Meci'!O27),'Input_Meci'!O27&gt;=0,'Input_Meci'!O27&lt;=200),'Input_Meci'!O27,12)/12-1)+0.02*(IF(AND(ISNUMBER('Input_Meci'!Q27),'Input_Meci'!Q27&gt;=0,'Input_Meci'!Q27&lt;=200),'Input_Meci'!Q27,3.5)/3.5-1)+0.02*(IF(AND(ISNUMBER('Input_Meci'!S27),'Input_Meci'!S27&gt;=0,'Input_Meci'!S27&lt;=200),'Input_Meci'!S27,18)/18-1)+0.02*((IF(AND(ISNUMBER('Input_Meci'!W27),'Input_Meci'!W27&gt;=0,'Input_Meci'!W27&lt;=10),'Input_Meci'!W27,5)-5)/5))))</x:f>
      </x:c>
      <x:c r="AZ27" s="11" t="str">
        <x:f>IF(A27="","",MAX(1-'Config_v6'!$B$21,MIN(1+'Config_v6'!$B$21,1+0.012*(IF('Input_Meci'!X27="",5,IF(ISNUMBER('Input_Meci'!X27),'Input_Meci'!X27,5))-5)+0.018*(IF('Input_Meci'!Z27="",5,IF(ISNUMBER('Input_Meci'!Z27),'Input_Meci'!Z27,5))-5)+0.012*(IF('Input_Meci'!AB27="",5,IF(ISNUMBER('Input_Meci'!AB27),'Input_Meci'!AB27,5))-5)+0.015*IF('Input_Meci'!AD27="",0,IF(ISNUMBER('Input_Meci'!AD27),'Input_Meci'!AD27,0))+0.02*IF('Input_Meci'!AF27="",0,IF(ISNUMBER('Input_Meci'!AF27),'Input_Meci'!AF27,0)))))</x:f>
      </x:c>
      <x:c r="BA27" s="11" t="str">
        <x:f>IF(A27="","",MAX(1-'Config_v6'!$B$21,MIN(1+'Config_v6'!$B$21,1+0.012*(IF('Input_Meci'!Y27="",5,IF(ISNUMBER('Input_Meci'!Y27),'Input_Meci'!Y27,5))-5)+0.018*(IF('Input_Meci'!AA27="",5,IF(ISNUMBER('Input_Meci'!AA27),'Input_Meci'!AA27,5))-5)+0.012*(IF('Input_Meci'!AC27="",5,IF(ISNUMBER('Input_Meci'!AC27),'Input_Meci'!AC27,5))-5)+0.015*IF('Input_Meci'!AE27="",0,IF(ISNUMBER('Input_Meci'!AE27),'Input_Meci'!AE27,0))+0.02*IF('Input_Meci'!AG27="",0,IF(ISNUMBER('Input_Meci'!AG27),'Input_Meci'!AG27,0)))))</x:f>
      </x:c>
      <x:c r="BB27" s="11" t="str">
        <x:f>IF(I27&lt;&gt;"PASS","",(AVERAGE(AF27,AM27)*'Config_v6'!$B$4+AVERAGE(AH27,AO27)*'Config_v6'!$B$5+AVERAGE(AJ27,AQ27)*'Config_v6'!$B$6)*AX27*AZ27)</x:f>
      </x:c>
      <x:c r="BC27" s="11" t="str">
        <x:f>IF(I27&lt;&gt;"PASS","",(AVERAGE(AL27,AG27)*'Config_v6'!$B$4+AVERAGE(AN27,AI27)*'Config_v6'!$B$5+AVERAGE(AP27,AK27)*'Config_v6'!$B$6)*AY27*BA27)</x:f>
      </x:c>
      <x:c r="BD27" s="11" t="str">
        <x:f>IF(I27&lt;&gt;"PASS","",BB27+BC27)</x:f>
      </x:c>
      <x:c r="BE27" s="11" t="str">
        <x:f>IF(A27="","",10-SUM(IF(AND(ISNUMBER('Input_Meci'!N27),'Input_Meci'!N27&gt;=0,'Input_Meci'!N27&lt;=200),1,0),IF(AND(ISNUMBER('Input_Meci'!O27),'Input_Meci'!O27&gt;=0,'Input_Meci'!O27&lt;=200),1,0),IF(AND(ISNUMBER('Input_Meci'!P27),'Input_Meci'!P27&gt;=0,'Input_Meci'!P27&lt;=200),1,0),IF(AND(ISNUMBER('Input_Meci'!Q27),'Input_Meci'!Q27&gt;=0,'Input_Meci'!Q27&lt;=200),1,0),IF(AND(ISNUMBER('Input_Meci'!R27),'Input_Meci'!R27&gt;=0,'Input_Meci'!R27&lt;=200),1,0),IF(AND(ISNUMBER('Input_Meci'!S27),'Input_Meci'!S27&gt;=0,'Input_Meci'!S27&lt;=200),1,0),IF(AND(ISNUMBER('Input_Meci'!T27),'Input_Meci'!T27&gt;=0,'Input_Meci'!T27&lt;=100),1,0),IF(AND(ISNUMBER('Input_Meci'!U27),'Input_Meci'!U27&gt;=0,'Input_Meci'!U27&lt;=100),1,0),IF(AND(ISNUMBER('Input_Meci'!V27),'Input_Meci'!V27&gt;=0,'Input_Meci'!V27&lt;=10),1,0),IF(AND(ISNUMBER('Input_Meci'!W27),'Input_Meci'!W27&gt;=0,'Input_Meci'!W27&lt;=10),1,0)))</x:f>
      </x:c>
      <x:c r="BF27" s="11" t="str">
        <x:f>IF(I27&lt;&gt;"PASS","",MAX(0,MIN(IF(OR(M27="YES",BL27&lt;&gt;C27),'Config_v6'!$B$34,100),ROUND(40+25*MIN(1,MIN(N27,Q27)/'Config_v6'!$B$7)*MIN(1,MIN(O27,R27)/'Config_v6'!$B$8)*MIN(1,MIN(P27,S27)/'Config_v6'!$B$9)+MAX(0,15-2*ABS(AF27-AJ27)-2*ABS(AL27-AP27))+IF(AU27&lt;='Config_v6'!$B$10,15,IF(AU27&lt;='Config_v6'!$B$11,13,IF(AU27&lt;='Config_v6'!$B$12,10,IF(AU27&lt;='Config_v6'!$B$13,6,0))))+5-BE27/10*'Config_v6'!$B$38,0))))</x:f>
      </x:c>
      <x:c r="BG27" s="11" t="str">
        <x:f>IF(I27&lt;&gt;"PASS","",MIN(1,'Config_v6'!$B$14*(0.7+0.3*MIN(1,AR27/'Config_v6'!$B$15))*IF(AU27&lt;='Config_v6'!$B$10,1,IF(AU27&lt;='Config_v6'!$B$11,0.95,IF(AU27&lt;='Config_v6'!$B$12,0.88,0.78)))*(0.75+0.25*BF27/100)))</x:f>
      </x:c>
      <x:c r="BH27" s="11" t="str">
        <x:f>IF(I27&lt;&gt;"PASS","",MIN(1,(ABS(AZ27-1)+ABS(BA27-1))*3))</x:f>
      </x:c>
      <x:c r="BI27" s="2" t="str">
        <x:f>IF(A27="","",IF(AND(OR('Input_Meci'!X27="",AND(ISNUMBER('Input_Meci'!X27),'Input_Meci'!X27&gt;=0,'Input_Meci'!X27&lt;=10)),OR('Input_Meci'!Y27="",AND(ISNUMBER('Input_Meci'!Y27),'Input_Meci'!Y27&gt;=0,'Input_Meci'!Y27&lt;=10)),OR('Input_Meci'!Z27="",AND(ISNUMBER('Input_Meci'!Z27),'Input_Meci'!Z27&gt;=0,'Input_Meci'!Z27&lt;=10)),OR('Input_Meci'!AA27="",AND(ISNUMBER('Input_Meci'!AA27),'Input_Meci'!AA27&gt;=0,'Input_Meci'!AA27&lt;=10)),OR('Input_Meci'!AB27="",AND(ISNUMBER('Input_Meci'!AB27),'Input_Meci'!AB27&gt;=0,'Input_Meci'!AB27&lt;=10)),OR('Input_Meci'!AC27="",AND(ISNUMBER('Input_Meci'!AC27),'Input_Meci'!AC27&gt;=0,'Input_Meci'!AC27&lt;=10)),OR('Input_Meci'!AD27="",AND(ISNUMBER('Input_Meci'!AD27),'Input_Meci'!AD27&gt;=-2,'Input_Meci'!AD27&lt;=2)),OR('Input_Meci'!AE27="",AND(ISNUMBER('Input_Meci'!AE27),'Input_Meci'!AE27&gt;=-2,'Input_Meci'!AE27&lt;=2)),OR('Input_Meci'!AF27="",AND(ISNUMBER('Input_Meci'!AF27),'Input_Meci'!AF27&gt;=-2,'Input_Meci'!AF27&lt;=2)),OR('Input_Meci'!AG27="",AND(ISNUMBER('Input_Meci'!AG27),'Input_Meci'!AG27&gt;=-2,'Input_Meci'!AG27&lt;=2))),"VALID","INVALID"))</x:f>
      </x:c>
      <x:c r="BJ27" s="2" t="n">
        <x:f>IF(A27="",0,SUM('Core_Nativ'!S258:S263))</x:f>
        <x:v>0</x:v>
      </x:c>
      <x:c r="BK27" s="2" t="str">
        <x:f>'Config_v6'!$B$40</x:f>
        <x:v>VALID</x:v>
      </x:c>
      <x:c r="BL27" s="2" t="str">
        <x:f>IF(A27="","",IF(SUMPRODUCT(('Istoric_Nativ'!$B$6:$B$405=B27)*('Istoric_Nativ'!$C$6:$C$405=C27)*('Istoric_Nativ'!$P$6:$P$405=1)*('Istoric_Nativ'!$D$6:$D$405&lt;INT(G27))*((('Istoric_Nativ'!$E$6:$E$405='Input_Meci'!D27)+('Istoric_Nativ'!$F$6:$F$405='Input_Meci'!D27)+('Istoric_Nativ'!$E$6:$E$405='Input_Meci'!E27)+('Istoric_Nativ'!$F$6:$F$405='Input_Meci'!E27))&gt;0))&gt;='Config_v6'!$B$41,C27,IF(AND('Input_Meci'!L27="YES",'Input_Meci'!K27&lt;&gt;"",'Input_Meci'!K27&lt;C27,COUNTIF('Core_Nativ'!R264:R269,"CLOSED")=6,SUM('Core_Nativ'!S264:S269)=0),'Input_Meci'!K27,C27)))</x:f>
      </x:c>
      <x:c r="BM27" s="9" t="n">
        <x:f>IF(OR(A27="",N27=0),0,LARGE(_xlfn._xlws.FILTER('Istoric_Nativ'!$D$6:$D$405,('Istoric_Nativ'!$B$6:$B$405=B27)*('Istoric_Nativ'!$C$6:$C$405=C27)*('Istoric_Nativ'!$P$6:$P$405=1)*('Istoric_Nativ'!$D$6:$D$405&lt;INT(G27))*((('Istoric_Nativ'!$E$6:$E$405='Input_Meci'!D27)+('Istoric_Nativ'!$F$6:$F$405='Input_Meci'!D27))&gt;0)),MIN(10,N27)))</x:f>
        <x:v>0</x:v>
      </x:c>
      <x:c r="BN27" s="9" t="n">
        <x:f>IF(OR(A27="",Q27=0),0,LARGE(_xlfn._xlws.FILTER('Istoric_Nativ'!$D$6:$D$405,('Istoric_Nativ'!$B$6:$B$405=B27)*('Istoric_Nativ'!$C$6:$C$405=C27)*('Istoric_Nativ'!$P$6:$P$405=1)*('Istoric_Nativ'!$D$6:$D$405&lt;INT(G27))*((('Istoric_Nativ'!$E$6:$E$405='Input_Meci'!E27)+('Istoric_Nativ'!$F$6:$F$405='Input_Meci'!E27))&gt;0)),MIN(10,Q27)))</x:f>
        <x:v>0</x:v>
      </x:c>
      <x:c r="BO27" s="9" t="n">
        <x:f>IF(OR(A27="",N27=0),0,LARGE(_xlfn._xlws.FILTER('Istoric_Nativ'!$D$6:$D$405,('Istoric_Nativ'!$B$6:$B$405=B27)*('Istoric_Nativ'!$C$6:$C$405=C27)*('Istoric_Nativ'!$P$6:$P$405=1)*('Istoric_Nativ'!$D$6:$D$405&lt;INT(G27))*((('Istoric_Nativ'!$E$6:$E$405='Input_Meci'!D27)+('Istoric_Nativ'!$F$6:$F$405='Input_Meci'!D27))&gt;0)),MIN(20,N27)))</x:f>
        <x:v>0</x:v>
      </x:c>
      <x:c r="BP27" s="9" t="n">
        <x:f>IF(OR(A27="",Q27=0),0,LARGE(_xlfn._xlws.FILTER('Istoric_Nativ'!$D$6:$D$405,('Istoric_Nativ'!$B$6:$B$405=B27)*('Istoric_Nativ'!$C$6:$C$405=C27)*('Istoric_Nativ'!$P$6:$P$405=1)*('Istoric_Nativ'!$D$6:$D$405&lt;INT(G27))*((('Istoric_Nativ'!$E$6:$E$405='Input_Meci'!E27)+('Istoric_Nativ'!$F$6:$F$405='Input_Meci'!E27))&gt;0)),MIN(20,Q27)))</x:f>
        <x:v>0</x:v>
      </x:c>
      <x:c r="BQ27" s="2" t="str">
        <x:f>IF(A27="","",IF(AND(COUNTIF(MatchesTable[Match_ID],A27)=1,COUNTIFS(MatchesTable[League],B27,MatchesTable[Season],C27,MatchesTable[Home],'Input_Meci'!D27,MatchesTable[Away],'Input_Meci'!E27,MatchesTable[Kickoff_UTC],F27)=1,B27&lt;&gt;"",C27&lt;&gt;"",'Input_Meci'!D27&lt;&gt;"",'Input_Meci'!E27&lt;&gt;"",'Input_Meci'!D27&lt;&gt;'Input_Meci'!E27,ISNUMBER(F27),ISNUMBER(G27),G27&lt;F27,OR(E27="LIVE",E27="REPLAY"),OR('Input_Meci'!L27="YES",'Input_Meci'!L27="NO",'Input_Meci'!L27="")),"VALID","INVALID"))</x:f>
      </x:c>
      <x:c r="BR27" s="2" t="n">
        <x:f>IF(I27&lt;&gt;"PASS",0,SUMPRODUCT(('Istoric_Nativ'!$B$6:$B$405='Input_Meci'!B27)*('Istoric_Nativ'!$C$6:$C$405='Input_Meci'!C27)*('Istoric_Nativ'!$P$6:$P$405=1)*('Istoric_Nativ'!$D$6:$D$405&lt;INT('Input_Meci'!G27))*((('Istoric_Nativ'!$E$6:$E$405='Input_Meci'!D27)+('Istoric_Nativ'!$F$6:$F$405='Input_Meci'!E27))&gt;0)))</x:f>
        <x:v>0</x:v>
      </x:c>
      <x:c r="BS27" s="2" t="n">
        <x:f>IF(I27&lt;&gt;"PASS",0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BM27)+((('Istoric_Nativ'!$E$6:$E$405='Input_Meci'!E27)+('Istoric_Nativ'!$F$6:$F$405='Input_Meci'!E27))&gt;0)*('Istoric_Nativ'!$D$6:$D$405&gt;=BN27))&gt;0)))</x:f>
        <x:v>0</x:v>
      </x:c>
      <x:c r="BT27" s="2" t="n">
        <x:f>IF(I27&lt;&gt;"PASS",0,SUMPRODUCT(('Istoric_Nativ'!$B$6:$B$405='Input_Meci'!B27)*('Istoric_Nativ'!$C$6:$C$405='Input_Meci'!C27)*('Istoric_Nativ'!$P$6:$P$405=1)*('Istoric_Nativ'!$D$6:$D$405&lt;INT('Input_Meci'!G27))*((((('Istoric_Nativ'!$E$6:$E$405='Input_Meci'!D27)+('Istoric_Nativ'!$F$6:$F$405='Input_Meci'!D27))&gt;0)*('Istoric_Nativ'!$D$6:$D$405&gt;=BO27)+((('Istoric_Nativ'!$E$6:$E$405='Input_Meci'!E27)+('Istoric_Nativ'!$F$6:$F$405='Input_Meci'!E27))&gt;0)*('Istoric_Nativ'!$D$6:$D$405&gt;=BP27))&gt;0)))</x:f>
        <x:v>0</x:v>
      </x:c>
    </x:row>
    <x:row r="28" ht="21" customHeight="1">
      <x:c r="A28" s="2" t="str">
        <x:f>IF('Input_Meci'!A28="","",'Input_Meci'!A28)</x:f>
      </x:c>
      <x:c r="B28" s="2" t="str">
        <x:f>IF(A28="","",'Input_Meci'!B28)</x:f>
      </x:c>
      <x:c r="C28" s="2" t="str">
        <x:f>IF(A28="","",'Input_Meci'!C28)</x:f>
      </x:c>
      <x:c r="D28" s="2" t="str">
        <x:f>IF(A28="","",'Input_Meci'!D28&amp;" – "&amp;'Input_Meci'!E28)</x:f>
      </x:c>
      <x:c r="E28" s="2" t="str">
        <x:f>IF(A28="","",'Input_Meci'!H28)</x:f>
      </x:c>
      <x:c r="F28" s="9" t="str">
        <x:f>IF(A28="","",'Input_Meci'!F28)</x:f>
      </x:c>
      <x:c r="G28" s="9" t="str">
        <x:f>IF(A28="","",'Input_Meci'!G28)</x:f>
      </x:c>
      <x:c r="H28" s="2" t="str">
        <x:f>IF(A28="","",IF(BQ28&lt;&gt;"VALID","NOT RELEASED",IF(AND(OR('Input_Meci'!I28="NOT AVAILABLE",'Input_Meci'!I28="SOURCE CONFLICT"),'Input_Meci'!J28&lt;&gt;""),"READY",IF(OR(NOT(OR('Input_Meci'!I28="AUTO",'Input_Meci'!I28="")),COUNTIF('Core_Nativ'!R270:R275,"CLOSED")&lt;&gt;6,BJ28&gt;0),"NOT RELEASED","READY"))))</x:f>
      </x:c>
      <x:c r="I28" s="2" t="str">
        <x:f>IF(A28="","",IF(H28&lt;&gt;"READY","NOT RELEASED",IF(AND(NOT(OR('Input_Meci'!I28="NOT AVAILABLE",'Input_Meci'!I28="SOURCE CONFLICT")),L28=12,AR28&gt;=2,AS28&gt;0,ISNUMBER(AT28),BI28="VALID",BK28="VALID"),"PASS","FAIL")))</x:f>
      </x:c>
      <x:c r="J28" s="2" t="str">
        <x:f>IF(A28="","",IF(BQ28&lt;&gt;"VALID","Verifica ID, echipe, mod si cutoff &lt; kickoff",IF(H28&lt;&gt;"READY",IF('Input_Meci'!I28="ACCESS BLOCKED","Acces blocat: reia sursele",IF(BJ28&gt;0,"Istoric invalid sau conflict: verifica randurile native","Surse neinchise / post-cutoff / dovezi incomplete")),IF(OR('Input_Meci'!I28="NOT AVAILABLE",'Input_Meci'!I28="SOURCE CONFLICT"),'Input_Meci'!I28,IF(BK28&lt;&gt;"VALID","Parametri invalizi",IF(L28&lt;&gt;12,"Core / sample / prior insuficient",IF(AR28&lt;2,"N insuficient pentru dispersie",IF(AS28&lt;=0,"Media istorica trebuie sa fie pozitiva",IF(BI28&lt;&gt;"VALID","Context invalid","READY")))))))))</x:f>
      </x:c>
      <x:c r="K28" s="2" t="str">
        <x:f>IF(A28="","",COUNT(T28:AE28))</x:f>
      </x:c>
      <x:c r="L28" s="2" t="str">
        <x:f>IF(A28="","",COUNT(AF28:AQ28))</x:f>
      </x:c>
      <x:c r="M28" s="2" t="str">
        <x:f>IF(A28="","",IF(OR('Core_Nativ'!M270&lt;'Core_Nativ'!P270,'Core_Nativ'!M271&lt;'Core_Nativ'!P271,'Core_Nativ'!M272&lt;'Core_Nativ'!P272,'Core_Nativ'!M273&lt;'Core_Nativ'!P273,'Core_Nativ'!M274&lt;'Core_Nativ'!P274,'Core_Nativ'!M275&lt;'Core_Nativ'!P275),"YES","NO"))</x:f>
      </x:c>
      <x:c r="N28" s="2" t="str">
        <x:f>IF(A28="","",'Core_Nativ'!M270)</x:f>
      </x:c>
      <x:c r="O28" s="2" t="str">
        <x:f>IF(A28="","",'Core_Nativ'!M271)</x:f>
      </x:c>
      <x:c r="P28" s="2" t="str">
        <x:f>IF(A28="","",'Core_Nativ'!M272)</x:f>
      </x:c>
      <x:c r="Q28" s="2" t="str">
        <x:f>IF(A28="","",'Core_Nativ'!M273)</x:f>
      </x:c>
      <x:c r="R28" s="2" t="str">
        <x:f>IF(A28="","",'Core_Nativ'!M274)</x:f>
      </x:c>
      <x:c r="S28" s="2" t="str">
        <x:f>IF(A28="","",'Core_Nativ'!M275)</x:f>
      </x:c>
      <x:c r="T28" s="11" t="str">
        <x:f>IF(OR(A28="",'Core_Nativ'!M270=0),"",'Core_Nativ'!N270)</x:f>
      </x:c>
      <x:c r="U28" s="11" t="str">
        <x:f>IF(OR(A28="",'Core_Nativ'!M270=0),"",'Core_Nativ'!O270)</x:f>
      </x:c>
      <x:c r="V28" s="11" t="str">
        <x:f>IF(OR(A28="",'Core_Nativ'!M271=0),"",'Core_Nativ'!N271)</x:f>
      </x:c>
      <x:c r="W28" s="11" t="str">
        <x:f>IF(OR(A28="",'Core_Nativ'!M271=0),"",'Core_Nativ'!O271)</x:f>
      </x:c>
      <x:c r="X28" s="11" t="str">
        <x:f>IF(OR(A28="",'Core_Nativ'!M272=0),"",'Core_Nativ'!N272)</x:f>
      </x:c>
      <x:c r="Y28" s="11" t="str">
        <x:f>IF(OR(A28="",'Core_Nativ'!M272=0),"",'Core_Nativ'!O272)</x:f>
      </x:c>
      <x:c r="Z28" s="11" t="str">
        <x:f>IF(OR(A28="",'Core_Nativ'!M273=0),"",'Core_Nativ'!N273)</x:f>
      </x:c>
      <x:c r="AA28" s="11" t="str">
        <x:f>IF(OR(A28="",'Core_Nativ'!M273=0),"",'Core_Nativ'!O273)</x:f>
      </x:c>
      <x:c r="AB28" s="11" t="str">
        <x:f>IF(OR(A28="",'Core_Nativ'!M274=0),"",'Core_Nativ'!N274)</x:f>
      </x:c>
      <x:c r="AC28" s="11" t="str">
        <x:f>IF(OR(A28="",'Core_Nativ'!M274=0),"",'Core_Nativ'!O274)</x:f>
      </x:c>
      <x:c r="AD28" s="11" t="str">
        <x:f>IF(OR(A28="",'Core_Nativ'!M275=0),"",'Core_Nativ'!N275)</x:f>
      </x:c>
      <x:c r="AE28" s="11" t="str">
        <x:f>IF(OR(A28="",'Core_Nativ'!M275=0),"",'Core_Nativ'!O275)</x:f>
      </x:c>
      <x:c r="AF28" s="11" t="str">
        <x:f>IF(A28="","",IF(AND('Core_Nativ'!R270="CLOSED",'Core_Nativ'!S270=0),IF('Core_Nativ'!M270&gt;='Core_Nativ'!P270,'Core_Nativ'!N270,IF(AND('Input_Meci'!L28="YES",'Input_Meci'!K28&lt;&gt;"",'Input_Meci'!K28&lt;C28,'Core_Nativ'!T276="DERIVED",'Core_Nativ'!M276&gt;='Core_Nativ'!P270),MIN(1,'Core_Nativ'!M270/'Core_Nativ'!P270)*IF('Core_Nativ'!M270=0,0,'Core_Nativ'!N270)+(1-MIN(1,'Core_Nativ'!M270/'Core_Nativ'!P270))*'Core_Nativ'!N276,"")),""))</x:f>
      </x:c>
      <x:c r="AG28" s="11" t="str">
        <x:f>IF(A28="","",IF(AND('Core_Nativ'!R270="CLOSED",'Core_Nativ'!S270=0),IF('Core_Nativ'!M270&gt;='Core_Nativ'!P270,'Core_Nativ'!O270,IF(AND('Input_Meci'!L28="YES",'Input_Meci'!K28&lt;&gt;"",'Input_Meci'!K28&lt;C28,'Core_Nativ'!T276="DERIVED",'Core_Nativ'!M276&gt;='Core_Nativ'!P270),MIN(1,'Core_Nativ'!M270/'Core_Nativ'!P270)*IF('Core_Nativ'!M270=0,0,'Core_Nativ'!O270)+(1-MIN(1,'Core_Nativ'!M270/'Core_Nativ'!P270))*'Core_Nativ'!O276,"")),""))</x:f>
      </x:c>
      <x:c r="AH28" s="11" t="str">
        <x:f>IF(A28="","",IF(AND('Core_Nativ'!R271="CLOSED",'Core_Nativ'!S271=0),IF('Core_Nativ'!M271&gt;='Core_Nativ'!P271,'Core_Nativ'!N271,IF(AND('Input_Meci'!L28="YES",'Input_Meci'!K28&lt;&gt;"",'Input_Meci'!K28&lt;C28,'Core_Nativ'!T277="DERIVED",'Core_Nativ'!M277&gt;='Core_Nativ'!P271),MIN(1,'Core_Nativ'!M271/'Core_Nativ'!P271)*IF('Core_Nativ'!M271=0,0,'Core_Nativ'!N271)+(1-MIN(1,'Core_Nativ'!M271/'Core_Nativ'!P271))*'Core_Nativ'!N277,"")),""))</x:f>
      </x:c>
      <x:c r="AI28" s="11" t="str">
        <x:f>IF(A28="","",IF(AND('Core_Nativ'!R271="CLOSED",'Core_Nativ'!S271=0),IF('Core_Nativ'!M271&gt;='Core_Nativ'!P271,'Core_Nativ'!O271,IF(AND('Input_Meci'!L28="YES",'Input_Meci'!K28&lt;&gt;"",'Input_Meci'!K28&lt;C28,'Core_Nativ'!T277="DERIVED",'Core_Nativ'!M277&gt;='Core_Nativ'!P271),MIN(1,'Core_Nativ'!M271/'Core_Nativ'!P271)*IF('Core_Nativ'!M271=0,0,'Core_Nativ'!O271)+(1-MIN(1,'Core_Nativ'!M271/'Core_Nativ'!P271))*'Core_Nativ'!O277,"")),""))</x:f>
      </x:c>
      <x:c r="AJ28" s="11" t="str">
        <x:f>IF(A28="","",IF(AND('Core_Nativ'!R272="CLOSED",'Core_Nativ'!S272=0),IF('Core_Nativ'!M272&gt;='Core_Nativ'!P272,'Core_Nativ'!N272,IF(AND('Input_Meci'!L28="YES",'Input_Meci'!K28&lt;&gt;"",'Input_Meci'!K28&lt;C28,'Core_Nativ'!T278="DERIVED",'Core_Nativ'!M278&gt;='Core_Nativ'!P272),MIN(1,'Core_Nativ'!M272/'Core_Nativ'!P272)*IF('Core_Nativ'!M272=0,0,'Core_Nativ'!N272)+(1-MIN(1,'Core_Nativ'!M272/'Core_Nativ'!P272))*'Core_Nativ'!N278,"")),""))</x:f>
      </x:c>
      <x:c r="AK28" s="11" t="str">
        <x:f>IF(A28="","",IF(AND('Core_Nativ'!R272="CLOSED",'Core_Nativ'!S272=0),IF('Core_Nativ'!M272&gt;='Core_Nativ'!P272,'Core_Nativ'!O272,IF(AND('Input_Meci'!L28="YES",'Input_Meci'!K28&lt;&gt;"",'Input_Meci'!K28&lt;C28,'Core_Nativ'!T278="DERIVED",'Core_Nativ'!M278&gt;='Core_Nativ'!P272),MIN(1,'Core_Nativ'!M272/'Core_Nativ'!P272)*IF('Core_Nativ'!M272=0,0,'Core_Nativ'!O272)+(1-MIN(1,'Core_Nativ'!M272/'Core_Nativ'!P272))*'Core_Nativ'!O278,"")),""))</x:f>
      </x:c>
      <x:c r="AL28" s="11" t="str">
        <x:f>IF(A28="","",IF(AND('Core_Nativ'!R273="CLOSED",'Core_Nativ'!S273=0),IF('Core_Nativ'!M273&gt;='Core_Nativ'!P273,'Core_Nativ'!N273,IF(AND('Input_Meci'!L28="YES",'Input_Meci'!K28&lt;&gt;"",'Input_Meci'!K28&lt;C28,'Core_Nativ'!T279="DERIVED",'Core_Nativ'!M279&gt;='Core_Nativ'!P273),MIN(1,'Core_Nativ'!M273/'Core_Nativ'!P273)*IF('Core_Nativ'!M273=0,0,'Core_Nativ'!N273)+(1-MIN(1,'Core_Nativ'!M273/'Core_Nativ'!P273))*'Core_Nativ'!N279,"")),""))</x:f>
      </x:c>
      <x:c r="AM28" s="11" t="str">
        <x:f>IF(A28="","",IF(AND('Core_Nativ'!R273="CLOSED",'Core_Nativ'!S273=0),IF('Core_Nativ'!M273&gt;='Core_Nativ'!P273,'Core_Nativ'!O273,IF(AND('Input_Meci'!L28="YES",'Input_Meci'!K28&lt;&gt;"",'Input_Meci'!K28&lt;C28,'Core_Nativ'!T279="DERIVED",'Core_Nativ'!M279&gt;='Core_Nativ'!P273),MIN(1,'Core_Nativ'!M273/'Core_Nativ'!P273)*IF('Core_Nativ'!M273=0,0,'Core_Nativ'!O273)+(1-MIN(1,'Core_Nativ'!M273/'Core_Nativ'!P273))*'Core_Nativ'!O279,"")),""))</x:f>
      </x:c>
      <x:c r="AN28" s="11" t="str">
        <x:f>IF(A28="","",IF(AND('Core_Nativ'!R274="CLOSED",'Core_Nativ'!S274=0),IF('Core_Nativ'!M274&gt;='Core_Nativ'!P274,'Core_Nativ'!N274,IF(AND('Input_Meci'!L28="YES",'Input_Meci'!K28&lt;&gt;"",'Input_Meci'!K28&lt;C28,'Core_Nativ'!T280="DERIVED",'Core_Nativ'!M280&gt;='Core_Nativ'!P274),MIN(1,'Core_Nativ'!M274/'Core_Nativ'!P274)*IF('Core_Nativ'!M274=0,0,'Core_Nativ'!N274)+(1-MIN(1,'Core_Nativ'!M274/'Core_Nativ'!P274))*'Core_Nativ'!N280,"")),""))</x:f>
      </x:c>
      <x:c r="AO28" s="11" t="str">
        <x:f>IF(A28="","",IF(AND('Core_Nativ'!R274="CLOSED",'Core_Nativ'!S274=0),IF('Core_Nativ'!M274&gt;='Core_Nativ'!P274,'Core_Nativ'!O274,IF(AND('Input_Meci'!L28="YES",'Input_Meci'!K28&lt;&gt;"",'Input_Meci'!K28&lt;C28,'Core_Nativ'!T280="DERIVED",'Core_Nativ'!M280&gt;='Core_Nativ'!P274),MIN(1,'Core_Nativ'!M274/'Core_Nativ'!P274)*IF('Core_Nativ'!M274=0,0,'Core_Nativ'!O274)+(1-MIN(1,'Core_Nativ'!M274/'Core_Nativ'!P274))*'Core_Nativ'!O280,"")),""))</x:f>
      </x:c>
      <x:c r="AP28" s="11" t="str">
        <x:f>IF(A28="","",IF(AND('Core_Nativ'!R275="CLOSED",'Core_Nativ'!S275=0),IF('Core_Nativ'!M275&gt;='Core_Nativ'!P275,'Core_Nativ'!N275,IF(AND('Input_Meci'!L28="YES",'Input_Meci'!K28&lt;&gt;"",'Input_Meci'!K28&lt;C28,'Core_Nativ'!T281="DERIVED",'Core_Nativ'!M281&gt;='Core_Nativ'!P275),MIN(1,'Core_Nativ'!M275/'Core_Nativ'!P275)*IF('Core_Nativ'!M275=0,0,'Core_Nativ'!N275)+(1-MIN(1,'Core_Nativ'!M275/'Core_Nativ'!P275))*'Core_Nativ'!N281,"")),""))</x:f>
      </x:c>
      <x:c r="AQ28" s="11" t="str">
        <x:f>IF(A28="","",IF(AND('Core_Nativ'!R275="CLOSED",'Core_Nativ'!S275=0),IF('Core_Nativ'!M275&gt;='Core_Nativ'!P275,'Core_Nativ'!O275,IF(AND('Input_Meci'!L28="YES",'Input_Meci'!K28&lt;&gt;"",'Input_Meci'!K28&lt;C28,'Core_Nativ'!T281="DERIVED",'Core_Nativ'!M281&gt;='Core_Nativ'!P275),MIN(1,'Core_Nativ'!M275/'Core_Nativ'!P275)*IF('Core_Nativ'!M275=0,0,'Core_Nativ'!O275)+(1-MIN(1,'Core_Nativ'!M275/'Core_Nativ'!P275))*'Core_Nativ'!O281,"")),""))</x:f>
      </x:c>
      <x:c r="AR28" s="11" t="str">
        <x:f>IF(A28="","",SUMPRODUCT(('Istoric_Nativ'!$B$6:$B$405=B28)*('Istoric_Nativ'!$C$6:$C$405=BL28)*('Istoric_Nativ'!$P$6:$P$405=1)*('Istoric_Nativ'!$D$6:$D$405&lt;INT(G28))*((('Istoric_Nativ'!$E$6:$E$405='Input_Meci'!D28)+('Istoric_Nativ'!$F$6:$F$405='Input_Meci'!D28)+('Istoric_Nativ'!$E$6:$E$405='Input_Meci'!E28)+('Istoric_Nativ'!$F$6:$F$405='Input_Meci'!E28))&gt;0)))</x:f>
      </x:c>
      <x:c r="AS28" s="11" t="str">
        <x:f>IF(AR28=0,"",SUMPRODUCT(('Istoric_Nativ'!$B$6:$B$405=B28)*('Istoric_Nativ'!$C$6:$C$405=BL28)*('Istoric_Nativ'!$P$6:$P$405=1)*('Istoric_Nativ'!$D$6:$D$405&lt;INT(G28))*((('Istoric_Nativ'!$E$6:$E$405='Input_Meci'!D28)+('Istoric_Nativ'!$F$6:$F$405='Input_Meci'!D28)+('Istoric_Nativ'!$E$6:$E$405='Input_Meci'!E28)+('Istoric_Nativ'!$F$6:$F$405='Input_Meci'!E28))&gt;0)*'Istoric_Nativ'!$Q$6:$Q$405)/AR28)</x:f>
      </x:c>
      <x:c r="AT28" s="11" t="str">
        <x:f>IF(AR28&lt;2,"",MAX(0,(SUMPRODUCT(('Istoric_Nativ'!$B$6:$B$405=B28)*('Istoric_Nativ'!$C$6:$C$405=BL28)*('Istoric_Nativ'!$P$6:$P$405=1)*('Istoric_Nativ'!$D$6:$D$405&lt;INT(G28))*((('Istoric_Nativ'!$E$6:$E$405='Input_Meci'!D28)+('Istoric_Nativ'!$F$6:$F$405='Input_Meci'!D28)+('Istoric_Nativ'!$E$6:$E$405='Input_Meci'!E28)+('Istoric_Nativ'!$F$6:$F$405='Input_Meci'!E28))&gt;0)*'Istoric_Nativ'!$R$6:$R$405)-AR28*AS28^2)/(AR28-1)))</x:f>
      </x:c>
      <x:c r="AU28" s="11" t="str">
        <x:f>IF(I28&lt;&gt;"PASS","",AT28/AS28)</x:f>
      </x:c>
      <x:c r="AV28" s="11" t="str">
        <x:f>IF(I28&lt;&gt;"PASS","",IF(AU28&lt;='Config_v6'!$B$10,"POISSON","NEGATIVE BINOMIAL"))</x:f>
      </x:c>
      <x:c r="AW28" s="11" t="str">
        <x:f>IF(I28&lt;&gt;"PASS","",IF(AV28="POISSON",9999,AS28/(AU28-1)))</x:f>
      </x:c>
      <x:c r="AX28" s="11" t="str">
        <x:f>IF(A28="","",MAX(1-'Config_v6'!$B$20,MIN(1+'Config_v6'!$B$20,1+0.02*(IF(AND(ISNUMBER('Input_Meci'!N28),'Input_Meci'!N28&gt;=0,'Input_Meci'!N28&lt;=200),'Input_Meci'!N28,12)/12-1)+0.02*(IF(AND(ISNUMBER('Input_Meci'!P28),'Input_Meci'!P28&gt;=0,'Input_Meci'!P28&lt;=200),'Input_Meci'!P28,3.5)/3.5-1)+0.02*(IF(AND(ISNUMBER('Input_Meci'!R28),'Input_Meci'!R28&gt;=0,'Input_Meci'!R28&lt;=200),'Input_Meci'!R28,18)/18-1)+0.02*((IF(AND(ISNUMBER('Input_Meci'!V28),'Input_Meci'!V28&gt;=0,'Input_Meci'!V28&lt;=10),'Input_Meci'!V28,5)-5)/5))))</x:f>
      </x:c>
      <x:c r="AY28" s="11" t="str">
        <x:f>IF(A28="","",MAX(1-'Config_v6'!$B$20,MIN(1+'Config_v6'!$B$20,1+0.02*(IF(AND(ISNUMBER('Input_Meci'!O28),'Input_Meci'!O28&gt;=0,'Input_Meci'!O28&lt;=200),'Input_Meci'!O28,12)/12-1)+0.02*(IF(AND(ISNUMBER('Input_Meci'!Q28),'Input_Meci'!Q28&gt;=0,'Input_Meci'!Q28&lt;=200),'Input_Meci'!Q28,3.5)/3.5-1)+0.02*(IF(AND(ISNUMBER('Input_Meci'!S28),'Input_Meci'!S28&gt;=0,'Input_Meci'!S28&lt;=200),'Input_Meci'!S28,18)/18-1)+0.02*((IF(AND(ISNUMBER('Input_Meci'!W28),'Input_Meci'!W28&gt;=0,'Input_Meci'!W28&lt;=10),'Input_Meci'!W28,5)-5)/5))))</x:f>
      </x:c>
      <x:c r="AZ28" s="11" t="str">
        <x:f>IF(A28="","",MAX(1-'Config_v6'!$B$21,MIN(1+'Config_v6'!$B$21,1+0.012*(IF('Input_Meci'!X28="",5,IF(ISNUMBER('Input_Meci'!X28),'Input_Meci'!X28,5))-5)+0.018*(IF('Input_Meci'!Z28="",5,IF(ISNUMBER('Input_Meci'!Z28),'Input_Meci'!Z28,5))-5)+0.012*(IF('Input_Meci'!AB28="",5,IF(ISNUMBER('Input_Meci'!AB28),'Input_Meci'!AB28,5))-5)+0.015*IF('Input_Meci'!AD28="",0,IF(ISNUMBER('Input_Meci'!AD28),'Input_Meci'!AD28,0))+0.02*IF('Input_Meci'!AF28="",0,IF(ISNUMBER('Input_Meci'!AF28),'Input_Meci'!AF28,0)))))</x:f>
      </x:c>
      <x:c r="BA28" s="11" t="str">
        <x:f>IF(A28="","",MAX(1-'Config_v6'!$B$21,MIN(1+'Config_v6'!$B$21,1+0.012*(IF('Input_Meci'!Y28="",5,IF(ISNUMBER('Input_Meci'!Y28),'Input_Meci'!Y28,5))-5)+0.018*(IF('Input_Meci'!AA28="",5,IF(ISNUMBER('Input_Meci'!AA28),'Input_Meci'!AA28,5))-5)+0.012*(IF('Input_Meci'!AC28="",5,IF(ISNUMBER('Input_Meci'!AC28),'Input_Meci'!AC28,5))-5)+0.015*IF('Input_Meci'!AE28="",0,IF(ISNUMBER('Input_Meci'!AE28),'Input_Meci'!AE28,0))+0.02*IF('Input_Meci'!AG28="",0,IF(ISNUMBER('Input_Meci'!AG28),'Input_Meci'!AG28,0)))))</x:f>
      </x:c>
      <x:c r="BB28" s="11" t="str">
        <x:f>IF(I28&lt;&gt;"PASS","",(AVERAGE(AF28,AM28)*'Config_v6'!$B$4+AVERAGE(AH28,AO28)*'Config_v6'!$B$5+AVERAGE(AJ28,AQ28)*'Config_v6'!$B$6)*AX28*AZ28)</x:f>
      </x:c>
      <x:c r="BC28" s="11" t="str">
        <x:f>IF(I28&lt;&gt;"PASS","",(AVERAGE(AL28,AG28)*'Config_v6'!$B$4+AVERAGE(AN28,AI28)*'Config_v6'!$B$5+AVERAGE(AP28,AK28)*'Config_v6'!$B$6)*AY28*BA28)</x:f>
      </x:c>
      <x:c r="BD28" s="11" t="str">
        <x:f>IF(I28&lt;&gt;"PASS","",BB28+BC28)</x:f>
      </x:c>
      <x:c r="BE28" s="11" t="str">
        <x:f>IF(A28="","",10-SUM(IF(AND(ISNUMBER('Input_Meci'!N28),'Input_Meci'!N28&gt;=0,'Input_Meci'!N28&lt;=200),1,0),IF(AND(ISNUMBER('Input_Meci'!O28),'Input_Meci'!O28&gt;=0,'Input_Meci'!O28&lt;=200),1,0),IF(AND(ISNUMBER('Input_Meci'!P28),'Input_Meci'!P28&gt;=0,'Input_Meci'!P28&lt;=200),1,0),IF(AND(ISNUMBER('Input_Meci'!Q28),'Input_Meci'!Q28&gt;=0,'Input_Meci'!Q28&lt;=200),1,0),IF(AND(ISNUMBER('Input_Meci'!R28),'Input_Meci'!R28&gt;=0,'Input_Meci'!R28&lt;=200),1,0),IF(AND(ISNUMBER('Input_Meci'!S28),'Input_Meci'!S28&gt;=0,'Input_Meci'!S28&lt;=200),1,0),IF(AND(ISNUMBER('Input_Meci'!T28),'Input_Meci'!T28&gt;=0,'Input_Meci'!T28&lt;=100),1,0),IF(AND(ISNUMBER('Input_Meci'!U28),'Input_Meci'!U28&gt;=0,'Input_Meci'!U28&lt;=100),1,0),IF(AND(ISNUMBER('Input_Meci'!V28),'Input_Meci'!V28&gt;=0,'Input_Meci'!V28&lt;=10),1,0),IF(AND(ISNUMBER('Input_Meci'!W28),'Input_Meci'!W28&gt;=0,'Input_Meci'!W28&lt;=10),1,0)))</x:f>
      </x:c>
      <x:c r="BF28" s="11" t="str">
        <x:f>IF(I28&lt;&gt;"PASS","",MAX(0,MIN(IF(OR(M28="YES",BL28&lt;&gt;C28),'Config_v6'!$B$34,100),ROUND(40+25*MIN(1,MIN(N28,Q28)/'Config_v6'!$B$7)*MIN(1,MIN(O28,R28)/'Config_v6'!$B$8)*MIN(1,MIN(P28,S28)/'Config_v6'!$B$9)+MAX(0,15-2*ABS(AF28-AJ28)-2*ABS(AL28-AP28))+IF(AU28&lt;='Config_v6'!$B$10,15,IF(AU28&lt;='Config_v6'!$B$11,13,IF(AU28&lt;='Config_v6'!$B$12,10,IF(AU28&lt;='Config_v6'!$B$13,6,0))))+5-BE28/10*'Config_v6'!$B$38,0))))</x:f>
      </x:c>
      <x:c r="BG28" s="11" t="str">
        <x:f>IF(I28&lt;&gt;"PASS","",MIN(1,'Config_v6'!$B$14*(0.7+0.3*MIN(1,AR28/'Config_v6'!$B$15))*IF(AU28&lt;='Config_v6'!$B$10,1,IF(AU28&lt;='Config_v6'!$B$11,0.95,IF(AU28&lt;='Config_v6'!$B$12,0.88,0.78)))*(0.75+0.25*BF28/100)))</x:f>
      </x:c>
      <x:c r="BH28" s="11" t="str">
        <x:f>IF(I28&lt;&gt;"PASS","",MIN(1,(ABS(AZ28-1)+ABS(BA28-1))*3))</x:f>
      </x:c>
      <x:c r="BI28" s="2" t="str">
        <x:f>IF(A28="","",IF(AND(OR('Input_Meci'!X28="",AND(ISNUMBER('Input_Meci'!X28),'Input_Meci'!X28&gt;=0,'Input_Meci'!X28&lt;=10)),OR('Input_Meci'!Y28="",AND(ISNUMBER('Input_Meci'!Y28),'Input_Meci'!Y28&gt;=0,'Input_Meci'!Y28&lt;=10)),OR('Input_Meci'!Z28="",AND(ISNUMBER('Input_Meci'!Z28),'Input_Meci'!Z28&gt;=0,'Input_Meci'!Z28&lt;=10)),OR('Input_Meci'!AA28="",AND(ISNUMBER('Input_Meci'!AA28),'Input_Meci'!AA28&gt;=0,'Input_Meci'!AA28&lt;=10)),OR('Input_Meci'!AB28="",AND(ISNUMBER('Input_Meci'!AB28),'Input_Meci'!AB28&gt;=0,'Input_Meci'!AB28&lt;=10)),OR('Input_Meci'!AC28="",AND(ISNUMBER('Input_Meci'!AC28),'Input_Meci'!AC28&gt;=0,'Input_Meci'!AC28&lt;=10)),OR('Input_Meci'!AD28="",AND(ISNUMBER('Input_Meci'!AD28),'Input_Meci'!AD28&gt;=-2,'Input_Meci'!AD28&lt;=2)),OR('Input_Meci'!AE28="",AND(ISNUMBER('Input_Meci'!AE28),'Input_Meci'!AE28&gt;=-2,'Input_Meci'!AE28&lt;=2)),OR('Input_Meci'!AF28="",AND(ISNUMBER('Input_Meci'!AF28),'Input_Meci'!AF28&gt;=-2,'Input_Meci'!AF28&lt;=2)),OR('Input_Meci'!AG28="",AND(ISNUMBER('Input_Meci'!AG28),'Input_Meci'!AG28&gt;=-2,'Input_Meci'!AG28&lt;=2))),"VALID","INVALID"))</x:f>
      </x:c>
      <x:c r="BJ28" s="2" t="n">
        <x:f>IF(A28="",0,SUM('Core_Nativ'!S270:S275))</x:f>
        <x:v>0</x:v>
      </x:c>
      <x:c r="BK28" s="2" t="str">
        <x:f>'Config_v6'!$B$40</x:f>
        <x:v>VALID</x:v>
      </x:c>
      <x:c r="BL28" s="2" t="str">
        <x:f>IF(A28="","",IF(SUMPRODUCT(('Istoric_Nativ'!$B$6:$B$405=B28)*('Istoric_Nativ'!$C$6:$C$405=C28)*('Istoric_Nativ'!$P$6:$P$405=1)*('Istoric_Nativ'!$D$6:$D$405&lt;INT(G28))*((('Istoric_Nativ'!$E$6:$E$405='Input_Meci'!D28)+('Istoric_Nativ'!$F$6:$F$405='Input_Meci'!D28)+('Istoric_Nativ'!$E$6:$E$405='Input_Meci'!E28)+('Istoric_Nativ'!$F$6:$F$405='Input_Meci'!E28))&gt;0))&gt;='Config_v6'!$B$41,C28,IF(AND('Input_Meci'!L28="YES",'Input_Meci'!K28&lt;&gt;"",'Input_Meci'!K28&lt;C28,COUNTIF('Core_Nativ'!R276:R281,"CLOSED")=6,SUM('Core_Nativ'!S276:S281)=0),'Input_Meci'!K28,C28)))</x:f>
      </x:c>
      <x:c r="BM28" s="9" t="n">
        <x:f>IF(OR(A28="",N28=0),0,LARGE(_xlfn._xlws.FILTER('Istoric_Nativ'!$D$6:$D$405,('Istoric_Nativ'!$B$6:$B$405=B28)*('Istoric_Nativ'!$C$6:$C$405=C28)*('Istoric_Nativ'!$P$6:$P$405=1)*('Istoric_Nativ'!$D$6:$D$405&lt;INT(G28))*((('Istoric_Nativ'!$E$6:$E$405='Input_Meci'!D28)+('Istoric_Nativ'!$F$6:$F$405='Input_Meci'!D28))&gt;0)),MIN(10,N28)))</x:f>
        <x:v>0</x:v>
      </x:c>
      <x:c r="BN28" s="9" t="n">
        <x:f>IF(OR(A28="",Q28=0),0,LARGE(_xlfn._xlws.FILTER('Istoric_Nativ'!$D$6:$D$405,('Istoric_Nativ'!$B$6:$B$405=B28)*('Istoric_Nativ'!$C$6:$C$405=C28)*('Istoric_Nativ'!$P$6:$P$405=1)*('Istoric_Nativ'!$D$6:$D$405&lt;INT(G28))*((('Istoric_Nativ'!$E$6:$E$405='Input_Meci'!E28)+('Istoric_Nativ'!$F$6:$F$405='Input_Meci'!E28))&gt;0)),MIN(10,Q28)))</x:f>
        <x:v>0</x:v>
      </x:c>
      <x:c r="BO28" s="9" t="n">
        <x:f>IF(OR(A28="",N28=0),0,LARGE(_xlfn._xlws.FILTER('Istoric_Nativ'!$D$6:$D$405,('Istoric_Nativ'!$B$6:$B$405=B28)*('Istoric_Nativ'!$C$6:$C$405=C28)*('Istoric_Nativ'!$P$6:$P$405=1)*('Istoric_Nativ'!$D$6:$D$405&lt;INT(G28))*((('Istoric_Nativ'!$E$6:$E$405='Input_Meci'!D28)+('Istoric_Nativ'!$F$6:$F$405='Input_Meci'!D28))&gt;0)),MIN(20,N28)))</x:f>
        <x:v>0</x:v>
      </x:c>
      <x:c r="BP28" s="9" t="n">
        <x:f>IF(OR(A28="",Q28=0),0,LARGE(_xlfn._xlws.FILTER('Istoric_Nativ'!$D$6:$D$405,('Istoric_Nativ'!$B$6:$B$405=B28)*('Istoric_Nativ'!$C$6:$C$405=C28)*('Istoric_Nativ'!$P$6:$P$405=1)*('Istoric_Nativ'!$D$6:$D$405&lt;INT(G28))*((('Istoric_Nativ'!$E$6:$E$405='Input_Meci'!E28)+('Istoric_Nativ'!$F$6:$F$405='Input_Meci'!E28))&gt;0)),MIN(20,Q28)))</x:f>
        <x:v>0</x:v>
      </x:c>
      <x:c r="BQ28" s="2" t="str">
        <x:f>IF(A28="","",IF(AND(COUNTIF(MatchesTable[Match_ID],A28)=1,COUNTIFS(MatchesTable[League],B28,MatchesTable[Season],C28,MatchesTable[Home],'Input_Meci'!D28,MatchesTable[Away],'Input_Meci'!E28,MatchesTable[Kickoff_UTC],F28)=1,B28&lt;&gt;"",C28&lt;&gt;"",'Input_Meci'!D28&lt;&gt;"",'Input_Meci'!E28&lt;&gt;"",'Input_Meci'!D28&lt;&gt;'Input_Meci'!E28,ISNUMBER(F28),ISNUMBER(G28),G28&lt;F28,OR(E28="LIVE",E28="REPLAY"),OR('Input_Meci'!L28="YES",'Input_Meci'!L28="NO",'Input_Meci'!L28="")),"VALID","INVALID"))</x:f>
      </x:c>
      <x:c r="BR28" s="2" t="n">
        <x:f>IF(I28&lt;&gt;"PASS",0,SUMPRODUCT(('Istoric_Nativ'!$B$6:$B$405='Input_Meci'!B28)*('Istoric_Nativ'!$C$6:$C$405='Input_Meci'!C28)*('Istoric_Nativ'!$P$6:$P$405=1)*('Istoric_Nativ'!$D$6:$D$405&lt;INT('Input_Meci'!G28))*((('Istoric_Nativ'!$E$6:$E$405='Input_Meci'!D28)+('Istoric_Nativ'!$F$6:$F$405='Input_Meci'!E28))&gt;0)))</x:f>
        <x:v>0</x:v>
      </x:c>
      <x:c r="BS28" s="2" t="n">
        <x:f>IF(I28&lt;&gt;"PASS",0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BM28)+((('Istoric_Nativ'!$E$6:$E$405='Input_Meci'!E28)+('Istoric_Nativ'!$F$6:$F$405='Input_Meci'!E28))&gt;0)*('Istoric_Nativ'!$D$6:$D$405&gt;=BN28))&gt;0)))</x:f>
        <x:v>0</x:v>
      </x:c>
      <x:c r="BT28" s="2" t="n">
        <x:f>IF(I28&lt;&gt;"PASS",0,SUMPRODUCT(('Istoric_Nativ'!$B$6:$B$405='Input_Meci'!B28)*('Istoric_Nativ'!$C$6:$C$405='Input_Meci'!C28)*('Istoric_Nativ'!$P$6:$P$405=1)*('Istoric_Nativ'!$D$6:$D$405&lt;INT('Input_Meci'!G28))*((((('Istoric_Nativ'!$E$6:$E$405='Input_Meci'!D28)+('Istoric_Nativ'!$F$6:$F$405='Input_Meci'!D28))&gt;0)*('Istoric_Nativ'!$D$6:$D$405&gt;=BO28)+((('Istoric_Nativ'!$E$6:$E$405='Input_Meci'!E28)+('Istoric_Nativ'!$F$6:$F$405='Input_Meci'!E28))&gt;0)*('Istoric_Nativ'!$D$6:$D$405&gt;=BP28))&gt;0)))</x:f>
        <x:v>0</x:v>
      </x:c>
    </x:row>
    <x:row r="29" ht="21" customHeight="1">
      <x:c r="A29" s="2" t="str">
        <x:f>IF('Input_Meci'!A29="","",'Input_Meci'!A29)</x:f>
      </x:c>
      <x:c r="B29" s="2" t="str">
        <x:f>IF(A29="","",'Input_Meci'!B29)</x:f>
      </x:c>
      <x:c r="C29" s="2" t="str">
        <x:f>IF(A29="","",'Input_Meci'!C29)</x:f>
      </x:c>
      <x:c r="D29" s="2" t="str">
        <x:f>IF(A29="","",'Input_Meci'!D29&amp;" – "&amp;'Input_Meci'!E29)</x:f>
      </x:c>
      <x:c r="E29" s="2" t="str">
        <x:f>IF(A29="","",'Input_Meci'!H29)</x:f>
      </x:c>
      <x:c r="F29" s="9" t="str">
        <x:f>IF(A29="","",'Input_Meci'!F29)</x:f>
      </x:c>
      <x:c r="G29" s="9" t="str">
        <x:f>IF(A29="","",'Input_Meci'!G29)</x:f>
      </x:c>
      <x:c r="H29" s="2" t="str">
        <x:f>IF(A29="","",IF(BQ29&lt;&gt;"VALID","NOT RELEASED",IF(AND(OR('Input_Meci'!I29="NOT AVAILABLE",'Input_Meci'!I29="SOURCE CONFLICT"),'Input_Meci'!J29&lt;&gt;""),"READY",IF(OR(NOT(OR('Input_Meci'!I29="AUTO",'Input_Meci'!I29="")),COUNTIF('Core_Nativ'!R282:R287,"CLOSED")&lt;&gt;6,BJ29&gt;0),"NOT RELEASED","READY"))))</x:f>
      </x:c>
      <x:c r="I29" s="2" t="str">
        <x:f>IF(A29="","",IF(H29&lt;&gt;"READY","NOT RELEASED",IF(AND(NOT(OR('Input_Meci'!I29="NOT AVAILABLE",'Input_Meci'!I29="SOURCE CONFLICT")),L29=12,AR29&gt;=2,AS29&gt;0,ISNUMBER(AT29),BI29="VALID",BK29="VALID"),"PASS","FAIL")))</x:f>
      </x:c>
      <x:c r="J29" s="2" t="str">
        <x:f>IF(A29="","",IF(BQ29&lt;&gt;"VALID","Verifica ID, echipe, mod si cutoff &lt; kickoff",IF(H29&lt;&gt;"READY",IF('Input_Meci'!I29="ACCESS BLOCKED","Acces blocat: reia sursele",IF(BJ29&gt;0,"Istoric invalid sau conflict: verifica randurile native","Surse neinchise / post-cutoff / dovezi incomplete")),IF(OR('Input_Meci'!I29="NOT AVAILABLE",'Input_Meci'!I29="SOURCE CONFLICT"),'Input_Meci'!I29,IF(BK29&lt;&gt;"VALID","Parametri invalizi",IF(L29&lt;&gt;12,"Core / sample / prior insuficient",IF(AR29&lt;2,"N insuficient pentru dispersie",IF(AS29&lt;=0,"Media istorica trebuie sa fie pozitiva",IF(BI29&lt;&gt;"VALID","Context invalid","READY")))))))))</x:f>
      </x:c>
      <x:c r="K29" s="2" t="str">
        <x:f>IF(A29="","",COUNT(T29:AE29))</x:f>
      </x:c>
      <x:c r="L29" s="2" t="str">
        <x:f>IF(A29="","",COUNT(AF29:AQ29))</x:f>
      </x:c>
      <x:c r="M29" s="2" t="str">
        <x:f>IF(A29="","",IF(OR('Core_Nativ'!M282&lt;'Core_Nativ'!P282,'Core_Nativ'!M283&lt;'Core_Nativ'!P283,'Core_Nativ'!M284&lt;'Core_Nativ'!P284,'Core_Nativ'!M285&lt;'Core_Nativ'!P285,'Core_Nativ'!M286&lt;'Core_Nativ'!P286,'Core_Nativ'!M287&lt;'Core_Nativ'!P287),"YES","NO"))</x:f>
      </x:c>
      <x:c r="N29" s="2" t="str">
        <x:f>IF(A29="","",'Core_Nativ'!M282)</x:f>
      </x:c>
      <x:c r="O29" s="2" t="str">
        <x:f>IF(A29="","",'Core_Nativ'!M283)</x:f>
      </x:c>
      <x:c r="P29" s="2" t="str">
        <x:f>IF(A29="","",'Core_Nativ'!M284)</x:f>
      </x:c>
      <x:c r="Q29" s="2" t="str">
        <x:f>IF(A29="","",'Core_Nativ'!M285)</x:f>
      </x:c>
      <x:c r="R29" s="2" t="str">
        <x:f>IF(A29="","",'Core_Nativ'!M286)</x:f>
      </x:c>
      <x:c r="S29" s="2" t="str">
        <x:f>IF(A29="","",'Core_Nativ'!M287)</x:f>
      </x:c>
      <x:c r="T29" s="11" t="str">
        <x:f>IF(OR(A29="",'Core_Nativ'!M282=0),"",'Core_Nativ'!N282)</x:f>
      </x:c>
      <x:c r="U29" s="11" t="str">
        <x:f>IF(OR(A29="",'Core_Nativ'!M282=0),"",'Core_Nativ'!O282)</x:f>
      </x:c>
      <x:c r="V29" s="11" t="str">
        <x:f>IF(OR(A29="",'Core_Nativ'!M283=0),"",'Core_Nativ'!N283)</x:f>
      </x:c>
      <x:c r="W29" s="11" t="str">
        <x:f>IF(OR(A29="",'Core_Nativ'!M283=0),"",'Core_Nativ'!O283)</x:f>
      </x:c>
      <x:c r="X29" s="11" t="str">
        <x:f>IF(OR(A29="",'Core_Nativ'!M284=0),"",'Core_Nativ'!N284)</x:f>
      </x:c>
      <x:c r="Y29" s="11" t="str">
        <x:f>IF(OR(A29="",'Core_Nativ'!M284=0),"",'Core_Nativ'!O284)</x:f>
      </x:c>
      <x:c r="Z29" s="11" t="str">
        <x:f>IF(OR(A29="",'Core_Nativ'!M285=0),"",'Core_Nativ'!N285)</x:f>
      </x:c>
      <x:c r="AA29" s="11" t="str">
        <x:f>IF(OR(A29="",'Core_Nativ'!M285=0),"",'Core_Nativ'!O285)</x:f>
      </x:c>
      <x:c r="AB29" s="11" t="str">
        <x:f>IF(OR(A29="",'Core_Nativ'!M286=0),"",'Core_Nativ'!N286)</x:f>
      </x:c>
      <x:c r="AC29" s="11" t="str">
        <x:f>IF(OR(A29="",'Core_Nativ'!M286=0),"",'Core_Nativ'!O286)</x:f>
      </x:c>
      <x:c r="AD29" s="11" t="str">
        <x:f>IF(OR(A29="",'Core_Nativ'!M287=0),"",'Core_Nativ'!N287)</x:f>
      </x:c>
      <x:c r="AE29" s="11" t="str">
        <x:f>IF(OR(A29="",'Core_Nativ'!M287=0),"",'Core_Nativ'!O287)</x:f>
      </x:c>
      <x:c r="AF29" s="11" t="str">
        <x:f>IF(A29="","",IF(AND('Core_Nativ'!R282="CLOSED",'Core_Nativ'!S282=0),IF('Core_Nativ'!M282&gt;='Core_Nativ'!P282,'Core_Nativ'!N282,IF(AND('Input_Meci'!L29="YES",'Input_Meci'!K29&lt;&gt;"",'Input_Meci'!K29&lt;C29,'Core_Nativ'!T288="DERIVED",'Core_Nativ'!M288&gt;='Core_Nativ'!P282),MIN(1,'Core_Nativ'!M282/'Core_Nativ'!P282)*IF('Core_Nativ'!M282=0,0,'Core_Nativ'!N282)+(1-MIN(1,'Core_Nativ'!M282/'Core_Nativ'!P282))*'Core_Nativ'!N288,"")),""))</x:f>
      </x:c>
      <x:c r="AG29" s="11" t="str">
        <x:f>IF(A29="","",IF(AND('Core_Nativ'!R282="CLOSED",'Core_Nativ'!S282=0),IF('Core_Nativ'!M282&gt;='Core_Nativ'!P282,'Core_Nativ'!O282,IF(AND('Input_Meci'!L29="YES",'Input_Meci'!K29&lt;&gt;"",'Input_Meci'!K29&lt;C29,'Core_Nativ'!T288="DERIVED",'Core_Nativ'!M288&gt;='Core_Nativ'!P282),MIN(1,'Core_Nativ'!M282/'Core_Nativ'!P282)*IF('Core_Nativ'!M282=0,0,'Core_Nativ'!O282)+(1-MIN(1,'Core_Nativ'!M282/'Core_Nativ'!P282))*'Core_Nativ'!O288,"")),""))</x:f>
      </x:c>
      <x:c r="AH29" s="11" t="str">
        <x:f>IF(A29="","",IF(AND('Core_Nativ'!R283="CLOSED",'Core_Nativ'!S283=0),IF('Core_Nativ'!M283&gt;='Core_Nativ'!P283,'Core_Nativ'!N283,IF(AND('Input_Meci'!L29="YES",'Input_Meci'!K29&lt;&gt;"",'Input_Meci'!K29&lt;C29,'Core_Nativ'!T289="DERIVED",'Core_Nativ'!M289&gt;='Core_Nativ'!P283),MIN(1,'Core_Nativ'!M283/'Core_Nativ'!P283)*IF('Core_Nativ'!M283=0,0,'Core_Nativ'!N283)+(1-MIN(1,'Core_Nativ'!M283/'Core_Nativ'!P283))*'Core_Nativ'!N289,"")),""))</x:f>
      </x:c>
      <x:c r="AI29" s="11" t="str">
        <x:f>IF(A29="","",IF(AND('Core_Nativ'!R283="CLOSED",'Core_Nativ'!S283=0),IF('Core_Nativ'!M283&gt;='Core_Nativ'!P283,'Core_Nativ'!O283,IF(AND('Input_Meci'!L29="YES",'Input_Meci'!K29&lt;&gt;"",'Input_Meci'!K29&lt;C29,'Core_Nativ'!T289="DERIVED",'Core_Nativ'!M289&gt;='Core_Nativ'!P283),MIN(1,'Core_Nativ'!M283/'Core_Nativ'!P283)*IF('Core_Nativ'!M283=0,0,'Core_Nativ'!O283)+(1-MIN(1,'Core_Nativ'!M283/'Core_Nativ'!P283))*'Core_Nativ'!O289,"")),""))</x:f>
      </x:c>
      <x:c r="AJ29" s="11" t="str">
        <x:f>IF(A29="","",IF(AND('Core_Nativ'!R284="CLOSED",'Core_Nativ'!S284=0),IF('Core_Nativ'!M284&gt;='Core_Nativ'!P284,'Core_Nativ'!N284,IF(AND('Input_Meci'!L29="YES",'Input_Meci'!K29&lt;&gt;"",'Input_Meci'!K29&lt;C29,'Core_Nativ'!T290="DERIVED",'Core_Nativ'!M290&gt;='Core_Nativ'!P284),MIN(1,'Core_Nativ'!M284/'Core_Nativ'!P284)*IF('Core_Nativ'!M284=0,0,'Core_Nativ'!N284)+(1-MIN(1,'Core_Nativ'!M284/'Core_Nativ'!P284))*'Core_Nativ'!N290,"")),""))</x:f>
      </x:c>
      <x:c r="AK29" s="11" t="str">
        <x:f>IF(A29="","",IF(AND('Core_Nativ'!R284="CLOSED",'Core_Nativ'!S284=0),IF('Core_Nativ'!M284&gt;='Core_Nativ'!P284,'Core_Nativ'!O284,IF(AND('Input_Meci'!L29="YES",'Input_Meci'!K29&lt;&gt;"",'Input_Meci'!K29&lt;C29,'Core_Nativ'!T290="DERIVED",'Core_Nativ'!M290&gt;='Core_Nativ'!P284),MIN(1,'Core_Nativ'!M284/'Core_Nativ'!P284)*IF('Core_Nativ'!M284=0,0,'Core_Nativ'!O284)+(1-MIN(1,'Core_Nativ'!M284/'Core_Nativ'!P284))*'Core_Nativ'!O290,"")),""))</x:f>
      </x:c>
      <x:c r="AL29" s="11" t="str">
        <x:f>IF(A29="","",IF(AND('Core_Nativ'!R285="CLOSED",'Core_Nativ'!S285=0),IF('Core_Nativ'!M285&gt;='Core_Nativ'!P285,'Core_Nativ'!N285,IF(AND('Input_Meci'!L29="YES",'Input_Meci'!K29&lt;&gt;"",'Input_Meci'!K29&lt;C29,'Core_Nativ'!T291="DERIVED",'Core_Nativ'!M291&gt;='Core_Nativ'!P285),MIN(1,'Core_Nativ'!M285/'Core_Nativ'!P285)*IF('Core_Nativ'!M285=0,0,'Core_Nativ'!N285)+(1-MIN(1,'Core_Nativ'!M285/'Core_Nativ'!P285))*'Core_Nativ'!N291,"")),""))</x:f>
      </x:c>
      <x:c r="AM29" s="11" t="str">
        <x:f>IF(A29="","",IF(AND('Core_Nativ'!R285="CLOSED",'Core_Nativ'!S285=0),IF('Core_Nativ'!M285&gt;='Core_Nativ'!P285,'Core_Nativ'!O285,IF(AND('Input_Meci'!L29="YES",'Input_Meci'!K29&lt;&gt;"",'Input_Meci'!K29&lt;C29,'Core_Nativ'!T291="DERIVED",'Core_Nativ'!M291&gt;='Core_Nativ'!P285),MIN(1,'Core_Nativ'!M285/'Core_Nativ'!P285)*IF('Core_Nativ'!M285=0,0,'Core_Nativ'!O285)+(1-MIN(1,'Core_Nativ'!M285/'Core_Nativ'!P285))*'Core_Nativ'!O291,"")),""))</x:f>
      </x:c>
      <x:c r="AN29" s="11" t="str">
        <x:f>IF(A29="","",IF(AND('Core_Nativ'!R286="CLOSED",'Core_Nativ'!S286=0),IF('Core_Nativ'!M286&gt;='Core_Nativ'!P286,'Core_Nativ'!N286,IF(AND('Input_Meci'!L29="YES",'Input_Meci'!K29&lt;&gt;"",'Input_Meci'!K29&lt;C29,'Core_Nativ'!T292="DERIVED",'Core_Nativ'!M292&gt;='Core_Nativ'!P286),MIN(1,'Core_Nativ'!M286/'Core_Nativ'!P286)*IF('Core_Nativ'!M286=0,0,'Core_Nativ'!N286)+(1-MIN(1,'Core_Nativ'!M286/'Core_Nativ'!P286))*'Core_Nativ'!N292,"")),""))</x:f>
      </x:c>
      <x:c r="AO29" s="11" t="str">
        <x:f>IF(A29="","",IF(AND('Core_Nativ'!R286="CLOSED",'Core_Nativ'!S286=0),IF('Core_Nativ'!M286&gt;='Core_Nativ'!P286,'Core_Nativ'!O286,IF(AND('Input_Meci'!L29="YES",'Input_Meci'!K29&lt;&gt;"",'Input_Meci'!K29&lt;C29,'Core_Nativ'!T292="DERIVED",'Core_Nativ'!M292&gt;='Core_Nativ'!P286),MIN(1,'Core_Nativ'!M286/'Core_Nativ'!P286)*IF('Core_Nativ'!M286=0,0,'Core_Nativ'!O286)+(1-MIN(1,'Core_Nativ'!M286/'Core_Nativ'!P286))*'Core_Nativ'!O292,"")),""))</x:f>
      </x:c>
      <x:c r="AP29" s="11" t="str">
        <x:f>IF(A29="","",IF(AND('Core_Nativ'!R287="CLOSED",'Core_Nativ'!S287=0),IF('Core_Nativ'!M287&gt;='Core_Nativ'!P287,'Core_Nativ'!N287,IF(AND('Input_Meci'!L29="YES",'Input_Meci'!K29&lt;&gt;"",'Input_Meci'!K29&lt;C29,'Core_Nativ'!T293="DERIVED",'Core_Nativ'!M293&gt;='Core_Nativ'!P287),MIN(1,'Core_Nativ'!M287/'Core_Nativ'!P287)*IF('Core_Nativ'!M287=0,0,'Core_Nativ'!N287)+(1-MIN(1,'Core_Nativ'!M287/'Core_Nativ'!P287))*'Core_Nativ'!N293,"")),""))</x:f>
      </x:c>
      <x:c r="AQ29" s="11" t="str">
        <x:f>IF(A29="","",IF(AND('Core_Nativ'!R287="CLOSED",'Core_Nativ'!S287=0),IF('Core_Nativ'!M287&gt;='Core_Nativ'!P287,'Core_Nativ'!O287,IF(AND('Input_Meci'!L29="YES",'Input_Meci'!K29&lt;&gt;"",'Input_Meci'!K29&lt;C29,'Core_Nativ'!T293="DERIVED",'Core_Nativ'!M293&gt;='Core_Nativ'!P287),MIN(1,'Core_Nativ'!M287/'Core_Nativ'!P287)*IF('Core_Nativ'!M287=0,0,'Core_Nativ'!O287)+(1-MIN(1,'Core_Nativ'!M287/'Core_Nativ'!P287))*'Core_Nativ'!O293,"")),""))</x:f>
      </x:c>
      <x:c r="AR29" s="11" t="str">
        <x:f>IF(A29="","",SUMPRODUCT(('Istoric_Nativ'!$B$6:$B$405=B29)*('Istoric_Nativ'!$C$6:$C$405=BL29)*('Istoric_Nativ'!$P$6:$P$405=1)*('Istoric_Nativ'!$D$6:$D$405&lt;INT(G29))*((('Istoric_Nativ'!$E$6:$E$405='Input_Meci'!D29)+('Istoric_Nativ'!$F$6:$F$405='Input_Meci'!D29)+('Istoric_Nativ'!$E$6:$E$405='Input_Meci'!E29)+('Istoric_Nativ'!$F$6:$F$405='Input_Meci'!E29))&gt;0)))</x:f>
      </x:c>
      <x:c r="AS29" s="11" t="str">
        <x:f>IF(AR29=0,"",SUMPRODUCT(('Istoric_Nativ'!$B$6:$B$405=B29)*('Istoric_Nativ'!$C$6:$C$405=BL29)*('Istoric_Nativ'!$P$6:$P$405=1)*('Istoric_Nativ'!$D$6:$D$405&lt;INT(G29))*((('Istoric_Nativ'!$E$6:$E$405='Input_Meci'!D29)+('Istoric_Nativ'!$F$6:$F$405='Input_Meci'!D29)+('Istoric_Nativ'!$E$6:$E$405='Input_Meci'!E29)+('Istoric_Nativ'!$F$6:$F$405='Input_Meci'!E29))&gt;0)*'Istoric_Nativ'!$Q$6:$Q$405)/AR29)</x:f>
      </x:c>
      <x:c r="AT29" s="11" t="str">
        <x:f>IF(AR29&lt;2,"",MAX(0,(SUMPRODUCT(('Istoric_Nativ'!$B$6:$B$405=B29)*('Istoric_Nativ'!$C$6:$C$405=BL29)*('Istoric_Nativ'!$P$6:$P$405=1)*('Istoric_Nativ'!$D$6:$D$405&lt;INT(G29))*((('Istoric_Nativ'!$E$6:$E$405='Input_Meci'!D29)+('Istoric_Nativ'!$F$6:$F$405='Input_Meci'!D29)+('Istoric_Nativ'!$E$6:$E$405='Input_Meci'!E29)+('Istoric_Nativ'!$F$6:$F$405='Input_Meci'!E29))&gt;0)*'Istoric_Nativ'!$R$6:$R$405)-AR29*AS29^2)/(AR29-1)))</x:f>
      </x:c>
      <x:c r="AU29" s="11" t="str">
        <x:f>IF(I29&lt;&gt;"PASS","",AT29/AS29)</x:f>
      </x:c>
      <x:c r="AV29" s="11" t="str">
        <x:f>IF(I29&lt;&gt;"PASS","",IF(AU29&lt;='Config_v6'!$B$10,"POISSON","NEGATIVE BINOMIAL"))</x:f>
      </x:c>
      <x:c r="AW29" s="11" t="str">
        <x:f>IF(I29&lt;&gt;"PASS","",IF(AV29="POISSON",9999,AS29/(AU29-1)))</x:f>
      </x:c>
      <x:c r="AX29" s="11" t="str">
        <x:f>IF(A29="","",MAX(1-'Config_v6'!$B$20,MIN(1+'Config_v6'!$B$20,1+0.02*(IF(AND(ISNUMBER('Input_Meci'!N29),'Input_Meci'!N29&gt;=0,'Input_Meci'!N29&lt;=200),'Input_Meci'!N29,12)/12-1)+0.02*(IF(AND(ISNUMBER('Input_Meci'!P29),'Input_Meci'!P29&gt;=0,'Input_Meci'!P29&lt;=200),'Input_Meci'!P29,3.5)/3.5-1)+0.02*(IF(AND(ISNUMBER('Input_Meci'!R29),'Input_Meci'!R29&gt;=0,'Input_Meci'!R29&lt;=200),'Input_Meci'!R29,18)/18-1)+0.02*((IF(AND(ISNUMBER('Input_Meci'!V29),'Input_Meci'!V29&gt;=0,'Input_Meci'!V29&lt;=10),'Input_Meci'!V29,5)-5)/5))))</x:f>
      </x:c>
      <x:c r="AY29" s="11" t="str">
        <x:f>IF(A29="","",MAX(1-'Config_v6'!$B$20,MIN(1+'Config_v6'!$B$20,1+0.02*(IF(AND(ISNUMBER('Input_Meci'!O29),'Input_Meci'!O29&gt;=0,'Input_Meci'!O29&lt;=200),'Input_Meci'!O29,12)/12-1)+0.02*(IF(AND(ISNUMBER('Input_Meci'!Q29),'Input_Meci'!Q29&gt;=0,'Input_Meci'!Q29&lt;=200),'Input_Meci'!Q29,3.5)/3.5-1)+0.02*(IF(AND(ISNUMBER('Input_Meci'!S29),'Input_Meci'!S29&gt;=0,'Input_Meci'!S29&lt;=200),'Input_Meci'!S29,18)/18-1)+0.02*((IF(AND(ISNUMBER('Input_Meci'!W29),'Input_Meci'!W29&gt;=0,'Input_Meci'!W29&lt;=10),'Input_Meci'!W29,5)-5)/5))))</x:f>
      </x:c>
      <x:c r="AZ29" s="11" t="str">
        <x:f>IF(A29="","",MAX(1-'Config_v6'!$B$21,MIN(1+'Config_v6'!$B$21,1+0.012*(IF('Input_Meci'!X29="",5,IF(ISNUMBER('Input_Meci'!X29),'Input_Meci'!X29,5))-5)+0.018*(IF('Input_Meci'!Z29="",5,IF(ISNUMBER('Input_Meci'!Z29),'Input_Meci'!Z29,5))-5)+0.012*(IF('Input_Meci'!AB29="",5,IF(ISNUMBER('Input_Meci'!AB29),'Input_Meci'!AB29,5))-5)+0.015*IF('Input_Meci'!AD29="",0,IF(ISNUMBER('Input_Meci'!AD29),'Input_Meci'!AD29,0))+0.02*IF('Input_Meci'!AF29="",0,IF(ISNUMBER('Input_Meci'!AF29),'Input_Meci'!AF29,0)))))</x:f>
      </x:c>
      <x:c r="BA29" s="11" t="str">
        <x:f>IF(A29="","",MAX(1-'Config_v6'!$B$21,MIN(1+'Config_v6'!$B$21,1+0.012*(IF('Input_Meci'!Y29="",5,IF(ISNUMBER('Input_Meci'!Y29),'Input_Meci'!Y29,5))-5)+0.018*(IF('Input_Meci'!AA29="",5,IF(ISNUMBER('Input_Meci'!AA29),'Input_Meci'!AA29,5))-5)+0.012*(IF('Input_Meci'!AC29="",5,IF(ISNUMBER('Input_Meci'!AC29),'Input_Meci'!AC29,5))-5)+0.015*IF('Input_Meci'!AE29="",0,IF(ISNUMBER('Input_Meci'!AE29),'Input_Meci'!AE29,0))+0.02*IF('Input_Meci'!AG29="",0,IF(ISNUMBER('Input_Meci'!AG29),'Input_Meci'!AG29,0)))))</x:f>
      </x:c>
      <x:c r="BB29" s="11" t="str">
        <x:f>IF(I29&lt;&gt;"PASS","",(AVERAGE(AF29,AM29)*'Config_v6'!$B$4+AVERAGE(AH29,AO29)*'Config_v6'!$B$5+AVERAGE(AJ29,AQ29)*'Config_v6'!$B$6)*AX29*AZ29)</x:f>
      </x:c>
      <x:c r="BC29" s="11" t="str">
        <x:f>IF(I29&lt;&gt;"PASS","",(AVERAGE(AL29,AG29)*'Config_v6'!$B$4+AVERAGE(AN29,AI29)*'Config_v6'!$B$5+AVERAGE(AP29,AK29)*'Config_v6'!$B$6)*AY29*BA29)</x:f>
      </x:c>
      <x:c r="BD29" s="11" t="str">
        <x:f>IF(I29&lt;&gt;"PASS","",BB29+BC29)</x:f>
      </x:c>
      <x:c r="BE29" s="11" t="str">
        <x:f>IF(A29="","",10-SUM(IF(AND(ISNUMBER('Input_Meci'!N29),'Input_Meci'!N29&gt;=0,'Input_Meci'!N29&lt;=200),1,0),IF(AND(ISNUMBER('Input_Meci'!O29),'Input_Meci'!O29&gt;=0,'Input_Meci'!O29&lt;=200),1,0),IF(AND(ISNUMBER('Input_Meci'!P29),'Input_Meci'!P29&gt;=0,'Input_Meci'!P29&lt;=200),1,0),IF(AND(ISNUMBER('Input_Meci'!Q29),'Input_Meci'!Q29&gt;=0,'Input_Meci'!Q29&lt;=200),1,0),IF(AND(ISNUMBER('Input_Meci'!R29),'Input_Meci'!R29&gt;=0,'Input_Meci'!R29&lt;=200),1,0),IF(AND(ISNUMBER('Input_Meci'!S29),'Input_Meci'!S29&gt;=0,'Input_Meci'!S29&lt;=200),1,0),IF(AND(ISNUMBER('Input_Meci'!T29),'Input_Meci'!T29&gt;=0,'Input_Meci'!T29&lt;=100),1,0),IF(AND(ISNUMBER('Input_Meci'!U29),'Input_Meci'!U29&gt;=0,'Input_Meci'!U29&lt;=100),1,0),IF(AND(ISNUMBER('Input_Meci'!V29),'Input_Meci'!V29&gt;=0,'Input_Meci'!V29&lt;=10),1,0),IF(AND(ISNUMBER('Input_Meci'!W29),'Input_Meci'!W29&gt;=0,'Input_Meci'!W29&lt;=10),1,0)))</x:f>
      </x:c>
      <x:c r="BF29" s="11" t="str">
        <x:f>IF(I29&lt;&gt;"PASS","",MAX(0,MIN(IF(OR(M29="YES",BL29&lt;&gt;C29),'Config_v6'!$B$34,100),ROUND(40+25*MIN(1,MIN(N29,Q29)/'Config_v6'!$B$7)*MIN(1,MIN(O29,R29)/'Config_v6'!$B$8)*MIN(1,MIN(P29,S29)/'Config_v6'!$B$9)+MAX(0,15-2*ABS(AF29-AJ29)-2*ABS(AL29-AP29))+IF(AU29&lt;='Config_v6'!$B$10,15,IF(AU29&lt;='Config_v6'!$B$11,13,IF(AU29&lt;='Config_v6'!$B$12,10,IF(AU29&lt;='Config_v6'!$B$13,6,0))))+5-BE29/10*'Config_v6'!$B$38,0))))</x:f>
      </x:c>
      <x:c r="BG29" s="11" t="str">
        <x:f>IF(I29&lt;&gt;"PASS","",MIN(1,'Config_v6'!$B$14*(0.7+0.3*MIN(1,AR29/'Config_v6'!$B$15))*IF(AU29&lt;='Config_v6'!$B$10,1,IF(AU29&lt;='Config_v6'!$B$11,0.95,IF(AU29&lt;='Config_v6'!$B$12,0.88,0.78)))*(0.75+0.25*BF29/100)))</x:f>
      </x:c>
      <x:c r="BH29" s="11" t="str">
        <x:f>IF(I29&lt;&gt;"PASS","",MIN(1,(ABS(AZ29-1)+ABS(BA29-1))*3))</x:f>
      </x:c>
      <x:c r="BI29" s="2" t="str">
        <x:f>IF(A29="","",IF(AND(OR('Input_Meci'!X29="",AND(ISNUMBER('Input_Meci'!X29),'Input_Meci'!X29&gt;=0,'Input_Meci'!X29&lt;=10)),OR('Input_Meci'!Y29="",AND(ISNUMBER('Input_Meci'!Y29),'Input_Meci'!Y29&gt;=0,'Input_Meci'!Y29&lt;=10)),OR('Input_Meci'!Z29="",AND(ISNUMBER('Input_Meci'!Z29),'Input_Meci'!Z29&gt;=0,'Input_Meci'!Z29&lt;=10)),OR('Input_Meci'!AA29="",AND(ISNUMBER('Input_Meci'!AA29),'Input_Meci'!AA29&gt;=0,'Input_Meci'!AA29&lt;=10)),OR('Input_Meci'!AB29="",AND(ISNUMBER('Input_Meci'!AB29),'Input_Meci'!AB29&gt;=0,'Input_Meci'!AB29&lt;=10)),OR('Input_Meci'!AC29="",AND(ISNUMBER('Input_Meci'!AC29),'Input_Meci'!AC29&gt;=0,'Input_Meci'!AC29&lt;=10)),OR('Input_Meci'!AD29="",AND(ISNUMBER('Input_Meci'!AD29),'Input_Meci'!AD29&gt;=-2,'Input_Meci'!AD29&lt;=2)),OR('Input_Meci'!AE29="",AND(ISNUMBER('Input_Meci'!AE29),'Input_Meci'!AE29&gt;=-2,'Input_Meci'!AE29&lt;=2)),OR('Input_Meci'!AF29="",AND(ISNUMBER('Input_Meci'!AF29),'Input_Meci'!AF29&gt;=-2,'Input_Meci'!AF29&lt;=2)),OR('Input_Meci'!AG29="",AND(ISNUMBER('Input_Meci'!AG29),'Input_Meci'!AG29&gt;=-2,'Input_Meci'!AG29&lt;=2))),"VALID","INVALID"))</x:f>
      </x:c>
      <x:c r="BJ29" s="2" t="n">
        <x:f>IF(A29="",0,SUM('Core_Nativ'!S282:S287))</x:f>
        <x:v>0</x:v>
      </x:c>
      <x:c r="BK29" s="2" t="str">
        <x:f>'Config_v6'!$B$40</x:f>
        <x:v>VALID</x:v>
      </x:c>
      <x:c r="BL29" s="2" t="str">
        <x:f>IF(A29="","",IF(SUMPRODUCT(('Istoric_Nativ'!$B$6:$B$405=B29)*('Istoric_Nativ'!$C$6:$C$405=C29)*('Istoric_Nativ'!$P$6:$P$405=1)*('Istoric_Nativ'!$D$6:$D$405&lt;INT(G29))*((('Istoric_Nativ'!$E$6:$E$405='Input_Meci'!D29)+('Istoric_Nativ'!$F$6:$F$405='Input_Meci'!D29)+('Istoric_Nativ'!$E$6:$E$405='Input_Meci'!E29)+('Istoric_Nativ'!$F$6:$F$405='Input_Meci'!E29))&gt;0))&gt;='Config_v6'!$B$41,C29,IF(AND('Input_Meci'!L29="YES",'Input_Meci'!K29&lt;&gt;"",'Input_Meci'!K29&lt;C29,COUNTIF('Core_Nativ'!R288:R293,"CLOSED")=6,SUM('Core_Nativ'!S288:S293)=0),'Input_Meci'!K29,C29)))</x:f>
      </x:c>
      <x:c r="BM29" s="9" t="n">
        <x:f>IF(OR(A29="",N29=0),0,LARGE(_xlfn._xlws.FILTER('Istoric_Nativ'!$D$6:$D$405,('Istoric_Nativ'!$B$6:$B$405=B29)*('Istoric_Nativ'!$C$6:$C$405=C29)*('Istoric_Nativ'!$P$6:$P$405=1)*('Istoric_Nativ'!$D$6:$D$405&lt;INT(G29))*((('Istoric_Nativ'!$E$6:$E$405='Input_Meci'!D29)+('Istoric_Nativ'!$F$6:$F$405='Input_Meci'!D29))&gt;0)),MIN(10,N29)))</x:f>
        <x:v>0</x:v>
      </x:c>
      <x:c r="BN29" s="9" t="n">
        <x:f>IF(OR(A29="",Q29=0),0,LARGE(_xlfn._xlws.FILTER('Istoric_Nativ'!$D$6:$D$405,('Istoric_Nativ'!$B$6:$B$405=B29)*('Istoric_Nativ'!$C$6:$C$405=C29)*('Istoric_Nativ'!$P$6:$P$405=1)*('Istoric_Nativ'!$D$6:$D$405&lt;INT(G29))*((('Istoric_Nativ'!$E$6:$E$405='Input_Meci'!E29)+('Istoric_Nativ'!$F$6:$F$405='Input_Meci'!E29))&gt;0)),MIN(10,Q29)))</x:f>
        <x:v>0</x:v>
      </x:c>
      <x:c r="BO29" s="9" t="n">
        <x:f>IF(OR(A29="",N29=0),0,LARGE(_xlfn._xlws.FILTER('Istoric_Nativ'!$D$6:$D$405,('Istoric_Nativ'!$B$6:$B$405=B29)*('Istoric_Nativ'!$C$6:$C$405=C29)*('Istoric_Nativ'!$P$6:$P$405=1)*('Istoric_Nativ'!$D$6:$D$405&lt;INT(G29))*((('Istoric_Nativ'!$E$6:$E$405='Input_Meci'!D29)+('Istoric_Nativ'!$F$6:$F$405='Input_Meci'!D29))&gt;0)),MIN(20,N29)))</x:f>
        <x:v>0</x:v>
      </x:c>
      <x:c r="BP29" s="9" t="n">
        <x:f>IF(OR(A29="",Q29=0),0,LARGE(_xlfn._xlws.FILTER('Istoric_Nativ'!$D$6:$D$405,('Istoric_Nativ'!$B$6:$B$405=B29)*('Istoric_Nativ'!$C$6:$C$405=C29)*('Istoric_Nativ'!$P$6:$P$405=1)*('Istoric_Nativ'!$D$6:$D$405&lt;INT(G29))*((('Istoric_Nativ'!$E$6:$E$405='Input_Meci'!E29)+('Istoric_Nativ'!$F$6:$F$405='Input_Meci'!E29))&gt;0)),MIN(20,Q29)))</x:f>
        <x:v>0</x:v>
      </x:c>
      <x:c r="BQ29" s="2" t="str">
        <x:f>IF(A29="","",IF(AND(COUNTIF(MatchesTable[Match_ID],A29)=1,COUNTIFS(MatchesTable[League],B29,MatchesTable[Season],C29,MatchesTable[Home],'Input_Meci'!D29,MatchesTable[Away],'Input_Meci'!E29,MatchesTable[Kickoff_UTC],F29)=1,B29&lt;&gt;"",C29&lt;&gt;"",'Input_Meci'!D29&lt;&gt;"",'Input_Meci'!E29&lt;&gt;"",'Input_Meci'!D29&lt;&gt;'Input_Meci'!E29,ISNUMBER(F29),ISNUMBER(G29),G29&lt;F29,OR(E29="LIVE",E29="REPLAY"),OR('Input_Meci'!L29="YES",'Input_Meci'!L29="NO",'Input_Meci'!L29="")),"VALID","INVALID"))</x:f>
      </x:c>
      <x:c r="BR29" s="2" t="n">
        <x:f>IF(I29&lt;&gt;"PASS",0,SUMPRODUCT(('Istoric_Nativ'!$B$6:$B$405='Input_Meci'!B29)*('Istoric_Nativ'!$C$6:$C$405='Input_Meci'!C29)*('Istoric_Nativ'!$P$6:$P$405=1)*('Istoric_Nativ'!$D$6:$D$405&lt;INT('Input_Meci'!G29))*((('Istoric_Nativ'!$E$6:$E$405='Input_Meci'!D29)+('Istoric_Nativ'!$F$6:$F$405='Input_Meci'!E29))&gt;0)))</x:f>
        <x:v>0</x:v>
      </x:c>
      <x:c r="BS29" s="2" t="n">
        <x:f>IF(I29&lt;&gt;"PASS",0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BM29)+((('Istoric_Nativ'!$E$6:$E$405='Input_Meci'!E29)+('Istoric_Nativ'!$F$6:$F$405='Input_Meci'!E29))&gt;0)*('Istoric_Nativ'!$D$6:$D$405&gt;=BN29))&gt;0)))</x:f>
        <x:v>0</x:v>
      </x:c>
      <x:c r="BT29" s="2" t="n">
        <x:f>IF(I29&lt;&gt;"PASS",0,SUMPRODUCT(('Istoric_Nativ'!$B$6:$B$405='Input_Meci'!B29)*('Istoric_Nativ'!$C$6:$C$405='Input_Meci'!C29)*('Istoric_Nativ'!$P$6:$P$405=1)*('Istoric_Nativ'!$D$6:$D$405&lt;INT('Input_Meci'!G29))*((((('Istoric_Nativ'!$E$6:$E$405='Input_Meci'!D29)+('Istoric_Nativ'!$F$6:$F$405='Input_Meci'!D29))&gt;0)*('Istoric_Nativ'!$D$6:$D$405&gt;=BO29)+((('Istoric_Nativ'!$E$6:$E$405='Input_Meci'!E29)+('Istoric_Nativ'!$F$6:$F$405='Input_Meci'!E29))&gt;0)*('Istoric_Nativ'!$D$6:$D$405&gt;=BP29))&gt;0)))</x:f>
        <x:v>0</x:v>
      </x:c>
    </x:row>
    <x:row r="30" ht="21" customHeight="1">
      <x:c r="A30" s="2" t="str">
        <x:f>IF('Input_Meci'!A30="","",'Input_Meci'!A30)</x:f>
      </x:c>
      <x:c r="B30" s="2" t="str">
        <x:f>IF(A30="","",'Input_Meci'!B30)</x:f>
      </x:c>
      <x:c r="C30" s="2" t="str">
        <x:f>IF(A30="","",'Input_Meci'!C30)</x:f>
      </x:c>
      <x:c r="D30" s="2" t="str">
        <x:f>IF(A30="","",'Input_Meci'!D30&amp;" – "&amp;'Input_Meci'!E30)</x:f>
      </x:c>
      <x:c r="E30" s="2" t="str">
        <x:f>IF(A30="","",'Input_Meci'!H30)</x:f>
      </x:c>
      <x:c r="F30" s="9" t="str">
        <x:f>IF(A30="","",'Input_Meci'!F30)</x:f>
      </x:c>
      <x:c r="G30" s="9" t="str">
        <x:f>IF(A30="","",'Input_Meci'!G30)</x:f>
      </x:c>
      <x:c r="H30" s="2" t="str">
        <x:f>IF(A30="","",IF(BQ30&lt;&gt;"VALID","NOT RELEASED",IF(AND(OR('Input_Meci'!I30="NOT AVAILABLE",'Input_Meci'!I30="SOURCE CONFLICT"),'Input_Meci'!J30&lt;&gt;""),"READY",IF(OR(NOT(OR('Input_Meci'!I30="AUTO",'Input_Meci'!I30="")),COUNTIF('Core_Nativ'!R294:R299,"CLOSED")&lt;&gt;6,BJ30&gt;0),"NOT RELEASED","READY"))))</x:f>
      </x:c>
      <x:c r="I30" s="2" t="str">
        <x:f>IF(A30="","",IF(H30&lt;&gt;"READY","NOT RELEASED",IF(AND(NOT(OR('Input_Meci'!I30="NOT AVAILABLE",'Input_Meci'!I30="SOURCE CONFLICT")),L30=12,AR30&gt;=2,AS30&gt;0,ISNUMBER(AT30),BI30="VALID",BK30="VALID"),"PASS","FAIL")))</x:f>
      </x:c>
      <x:c r="J30" s="2" t="str">
        <x:f>IF(A30="","",IF(BQ30&lt;&gt;"VALID","Verifica ID, echipe, mod si cutoff &lt; kickoff",IF(H30&lt;&gt;"READY",IF('Input_Meci'!I30="ACCESS BLOCKED","Acces blocat: reia sursele",IF(BJ30&gt;0,"Istoric invalid sau conflict: verifica randurile native","Surse neinchise / post-cutoff / dovezi incomplete")),IF(OR('Input_Meci'!I30="NOT AVAILABLE",'Input_Meci'!I30="SOURCE CONFLICT"),'Input_Meci'!I30,IF(BK30&lt;&gt;"VALID","Parametri invalizi",IF(L30&lt;&gt;12,"Core / sample / prior insuficient",IF(AR30&lt;2,"N insuficient pentru dispersie",IF(AS30&lt;=0,"Media istorica trebuie sa fie pozitiva",IF(BI30&lt;&gt;"VALID","Context invalid","READY")))))))))</x:f>
      </x:c>
      <x:c r="K30" s="2" t="str">
        <x:f>IF(A30="","",COUNT(T30:AE30))</x:f>
      </x:c>
      <x:c r="L30" s="2" t="str">
        <x:f>IF(A30="","",COUNT(AF30:AQ30))</x:f>
      </x:c>
      <x:c r="M30" s="2" t="str">
        <x:f>IF(A30="","",IF(OR('Core_Nativ'!M294&lt;'Core_Nativ'!P294,'Core_Nativ'!M295&lt;'Core_Nativ'!P295,'Core_Nativ'!M296&lt;'Core_Nativ'!P296,'Core_Nativ'!M297&lt;'Core_Nativ'!P297,'Core_Nativ'!M298&lt;'Core_Nativ'!P298,'Core_Nativ'!M299&lt;'Core_Nativ'!P299),"YES","NO"))</x:f>
      </x:c>
      <x:c r="N30" s="2" t="str">
        <x:f>IF(A30="","",'Core_Nativ'!M294)</x:f>
      </x:c>
      <x:c r="O30" s="2" t="str">
        <x:f>IF(A30="","",'Core_Nativ'!M295)</x:f>
      </x:c>
      <x:c r="P30" s="2" t="str">
        <x:f>IF(A30="","",'Core_Nativ'!M296)</x:f>
      </x:c>
      <x:c r="Q30" s="2" t="str">
        <x:f>IF(A30="","",'Core_Nativ'!M297)</x:f>
      </x:c>
      <x:c r="R30" s="2" t="str">
        <x:f>IF(A30="","",'Core_Nativ'!M298)</x:f>
      </x:c>
      <x:c r="S30" s="2" t="str">
        <x:f>IF(A30="","",'Core_Nativ'!M299)</x:f>
      </x:c>
      <x:c r="T30" s="11" t="str">
        <x:f>IF(OR(A30="",'Core_Nativ'!M294=0),"",'Core_Nativ'!N294)</x:f>
      </x:c>
      <x:c r="U30" s="11" t="str">
        <x:f>IF(OR(A30="",'Core_Nativ'!M294=0),"",'Core_Nativ'!O294)</x:f>
      </x:c>
      <x:c r="V30" s="11" t="str">
        <x:f>IF(OR(A30="",'Core_Nativ'!M295=0),"",'Core_Nativ'!N295)</x:f>
      </x:c>
      <x:c r="W30" s="11" t="str">
        <x:f>IF(OR(A30="",'Core_Nativ'!M295=0),"",'Core_Nativ'!O295)</x:f>
      </x:c>
      <x:c r="X30" s="11" t="str">
        <x:f>IF(OR(A30="",'Core_Nativ'!M296=0),"",'Core_Nativ'!N296)</x:f>
      </x:c>
      <x:c r="Y30" s="11" t="str">
        <x:f>IF(OR(A30="",'Core_Nativ'!M296=0),"",'Core_Nativ'!O296)</x:f>
      </x:c>
      <x:c r="Z30" s="11" t="str">
        <x:f>IF(OR(A30="",'Core_Nativ'!M297=0),"",'Core_Nativ'!N297)</x:f>
      </x:c>
      <x:c r="AA30" s="11" t="str">
        <x:f>IF(OR(A30="",'Core_Nativ'!M297=0),"",'Core_Nativ'!O297)</x:f>
      </x:c>
      <x:c r="AB30" s="11" t="str">
        <x:f>IF(OR(A30="",'Core_Nativ'!M298=0),"",'Core_Nativ'!N298)</x:f>
      </x:c>
      <x:c r="AC30" s="11" t="str">
        <x:f>IF(OR(A30="",'Core_Nativ'!M298=0),"",'Core_Nativ'!O298)</x:f>
      </x:c>
      <x:c r="AD30" s="11" t="str">
        <x:f>IF(OR(A30="",'Core_Nativ'!M299=0),"",'Core_Nativ'!N299)</x:f>
      </x:c>
      <x:c r="AE30" s="11" t="str">
        <x:f>IF(OR(A30="",'Core_Nativ'!M299=0),"",'Core_Nativ'!O299)</x:f>
      </x:c>
      <x:c r="AF30" s="11" t="str">
        <x:f>IF(A30="","",IF(AND('Core_Nativ'!R294="CLOSED",'Core_Nativ'!S294=0),IF('Core_Nativ'!M294&gt;='Core_Nativ'!P294,'Core_Nativ'!N294,IF(AND('Input_Meci'!L30="YES",'Input_Meci'!K30&lt;&gt;"",'Input_Meci'!K30&lt;C30,'Core_Nativ'!T300="DERIVED",'Core_Nativ'!M300&gt;='Core_Nativ'!P294),MIN(1,'Core_Nativ'!M294/'Core_Nativ'!P294)*IF('Core_Nativ'!M294=0,0,'Core_Nativ'!N294)+(1-MIN(1,'Core_Nativ'!M294/'Core_Nativ'!P294))*'Core_Nativ'!N300,"")),""))</x:f>
      </x:c>
      <x:c r="AG30" s="11" t="str">
        <x:f>IF(A30="","",IF(AND('Core_Nativ'!R294="CLOSED",'Core_Nativ'!S294=0),IF('Core_Nativ'!M294&gt;='Core_Nativ'!P294,'Core_Nativ'!O294,IF(AND('Input_Meci'!L30="YES",'Input_Meci'!K30&lt;&gt;"",'Input_Meci'!K30&lt;C30,'Core_Nativ'!T300="DERIVED",'Core_Nativ'!M300&gt;='Core_Nativ'!P294),MIN(1,'Core_Nativ'!M294/'Core_Nativ'!P294)*IF('Core_Nativ'!M294=0,0,'Core_Nativ'!O294)+(1-MIN(1,'Core_Nativ'!M294/'Core_Nativ'!P294))*'Core_Nativ'!O300,"")),""))</x:f>
      </x:c>
      <x:c r="AH30" s="11" t="str">
        <x:f>IF(A30="","",IF(AND('Core_Nativ'!R295="CLOSED",'Core_Nativ'!S295=0),IF('Core_Nativ'!M295&gt;='Core_Nativ'!P295,'Core_Nativ'!N295,IF(AND('Input_Meci'!L30="YES",'Input_Meci'!K30&lt;&gt;"",'Input_Meci'!K30&lt;C30,'Core_Nativ'!T301="DERIVED",'Core_Nativ'!M301&gt;='Core_Nativ'!P295),MIN(1,'Core_Nativ'!M295/'Core_Nativ'!P295)*IF('Core_Nativ'!M295=0,0,'Core_Nativ'!N295)+(1-MIN(1,'Core_Nativ'!M295/'Core_Nativ'!P295))*'Core_Nativ'!N301,"")),""))</x:f>
      </x:c>
      <x:c r="AI30" s="11" t="str">
        <x:f>IF(A30="","",IF(AND('Core_Nativ'!R295="CLOSED",'Core_Nativ'!S295=0),IF('Core_Nativ'!M295&gt;='Core_Nativ'!P295,'Core_Nativ'!O295,IF(AND('Input_Meci'!L30="YES",'Input_Meci'!K30&lt;&gt;"",'Input_Meci'!K30&lt;C30,'Core_Nativ'!T301="DERIVED",'Core_Nativ'!M301&gt;='Core_Nativ'!P295),MIN(1,'Core_Nativ'!M295/'Core_Nativ'!P295)*IF('Core_Nativ'!M295=0,0,'Core_Nativ'!O295)+(1-MIN(1,'Core_Nativ'!M295/'Core_Nativ'!P295))*'Core_Nativ'!O301,"")),""))</x:f>
      </x:c>
      <x:c r="AJ30" s="11" t="str">
        <x:f>IF(A30="","",IF(AND('Core_Nativ'!R296="CLOSED",'Core_Nativ'!S296=0),IF('Core_Nativ'!M296&gt;='Core_Nativ'!P296,'Core_Nativ'!N296,IF(AND('Input_Meci'!L30="YES",'Input_Meci'!K30&lt;&gt;"",'Input_Meci'!K30&lt;C30,'Core_Nativ'!T302="DERIVED",'Core_Nativ'!M302&gt;='Core_Nativ'!P296),MIN(1,'Core_Nativ'!M296/'Core_Nativ'!P296)*IF('Core_Nativ'!M296=0,0,'Core_Nativ'!N296)+(1-MIN(1,'Core_Nativ'!M296/'Core_Nativ'!P296))*'Core_Nativ'!N302,"")),""))</x:f>
      </x:c>
      <x:c r="AK30" s="11" t="str">
        <x:f>IF(A30="","",IF(AND('Core_Nativ'!R296="CLOSED",'Core_Nativ'!S296=0),IF('Core_Nativ'!M296&gt;='Core_Nativ'!P296,'Core_Nativ'!O296,IF(AND('Input_Meci'!L30="YES",'Input_Meci'!K30&lt;&gt;"",'Input_Meci'!K30&lt;C30,'Core_Nativ'!T302="DERIVED",'Core_Nativ'!M302&gt;='Core_Nativ'!P296),MIN(1,'Core_Nativ'!M296/'Core_Nativ'!P296)*IF('Core_Nativ'!M296=0,0,'Core_Nativ'!O296)+(1-MIN(1,'Core_Nativ'!M296/'Core_Nativ'!P296))*'Core_Nativ'!O302,"")),""))</x:f>
      </x:c>
      <x:c r="AL30" s="11" t="str">
        <x:f>IF(A30="","",IF(AND('Core_Nativ'!R297="CLOSED",'Core_Nativ'!S297=0),IF('Core_Nativ'!M297&gt;='Core_Nativ'!P297,'Core_Nativ'!N297,IF(AND('Input_Meci'!L30="YES",'Input_Meci'!K30&lt;&gt;"",'Input_Meci'!K30&lt;C30,'Core_Nativ'!T303="DERIVED",'Core_Nativ'!M303&gt;='Core_Nativ'!P297),MIN(1,'Core_Nativ'!M297/'Core_Nativ'!P297)*IF('Core_Nativ'!M297=0,0,'Core_Nativ'!N297)+(1-MIN(1,'Core_Nativ'!M297/'Core_Nativ'!P297))*'Core_Nativ'!N303,"")),""))</x:f>
      </x:c>
      <x:c r="AM30" s="11" t="str">
        <x:f>IF(A30="","",IF(AND('Core_Nativ'!R297="CLOSED",'Core_Nativ'!S297=0),IF('Core_Nativ'!M297&gt;='Core_Nativ'!P297,'Core_Nativ'!O297,IF(AND('Input_Meci'!L30="YES",'Input_Meci'!K30&lt;&gt;"",'Input_Meci'!K30&lt;C30,'Core_Nativ'!T303="DERIVED",'Core_Nativ'!M303&gt;='Core_Nativ'!P297),MIN(1,'Core_Nativ'!M297/'Core_Nativ'!P297)*IF('Core_Nativ'!M297=0,0,'Core_Nativ'!O297)+(1-MIN(1,'Core_Nativ'!M297/'Core_Nativ'!P297))*'Core_Nativ'!O303,"")),""))</x:f>
      </x:c>
      <x:c r="AN30" s="11" t="str">
        <x:f>IF(A30="","",IF(AND('Core_Nativ'!R298="CLOSED",'Core_Nativ'!S298=0),IF('Core_Nativ'!M298&gt;='Core_Nativ'!P298,'Core_Nativ'!N298,IF(AND('Input_Meci'!L30="YES",'Input_Meci'!K30&lt;&gt;"",'Input_Meci'!K30&lt;C30,'Core_Nativ'!T304="DERIVED",'Core_Nativ'!M304&gt;='Core_Nativ'!P298),MIN(1,'Core_Nativ'!M298/'Core_Nativ'!P298)*IF('Core_Nativ'!M298=0,0,'Core_Nativ'!N298)+(1-MIN(1,'Core_Nativ'!M298/'Core_Nativ'!P298))*'Core_Nativ'!N304,"")),""))</x:f>
      </x:c>
      <x:c r="AO30" s="11" t="str">
        <x:f>IF(A30="","",IF(AND('Core_Nativ'!R298="CLOSED",'Core_Nativ'!S298=0),IF('Core_Nativ'!M298&gt;='Core_Nativ'!P298,'Core_Nativ'!O298,IF(AND('Input_Meci'!L30="YES",'Input_Meci'!K30&lt;&gt;"",'Input_Meci'!K30&lt;C30,'Core_Nativ'!T304="DERIVED",'Core_Nativ'!M304&gt;='Core_Nativ'!P298),MIN(1,'Core_Nativ'!M298/'Core_Nativ'!P298)*IF('Core_Nativ'!M298=0,0,'Core_Nativ'!O298)+(1-MIN(1,'Core_Nativ'!M298/'Core_Nativ'!P298))*'Core_Nativ'!O304,"")),""))</x:f>
      </x:c>
      <x:c r="AP30" s="11" t="str">
        <x:f>IF(A30="","",IF(AND('Core_Nativ'!R299="CLOSED",'Core_Nativ'!S299=0),IF('Core_Nativ'!M299&gt;='Core_Nativ'!P299,'Core_Nativ'!N299,IF(AND('Input_Meci'!L30="YES",'Input_Meci'!K30&lt;&gt;"",'Input_Meci'!K30&lt;C30,'Core_Nativ'!T305="DERIVED",'Core_Nativ'!M305&gt;='Core_Nativ'!P299),MIN(1,'Core_Nativ'!M299/'Core_Nativ'!P299)*IF('Core_Nativ'!M299=0,0,'Core_Nativ'!N299)+(1-MIN(1,'Core_Nativ'!M299/'Core_Nativ'!P299))*'Core_Nativ'!N305,"")),""))</x:f>
      </x:c>
      <x:c r="AQ30" s="11" t="str">
        <x:f>IF(A30="","",IF(AND('Core_Nativ'!R299="CLOSED",'Core_Nativ'!S299=0),IF('Core_Nativ'!M299&gt;='Core_Nativ'!P299,'Core_Nativ'!O299,IF(AND('Input_Meci'!L30="YES",'Input_Meci'!K30&lt;&gt;"",'Input_Meci'!K30&lt;C30,'Core_Nativ'!T305="DERIVED",'Core_Nativ'!M305&gt;='Core_Nativ'!P299),MIN(1,'Core_Nativ'!M299/'Core_Nativ'!P299)*IF('Core_Nativ'!M299=0,0,'Core_Nativ'!O299)+(1-MIN(1,'Core_Nativ'!M299/'Core_Nativ'!P299))*'Core_Nativ'!O305,"")),""))</x:f>
      </x:c>
      <x:c r="AR30" s="11" t="str">
        <x:f>IF(A30="","",SUMPRODUCT(('Istoric_Nativ'!$B$6:$B$405=B30)*('Istoric_Nativ'!$C$6:$C$405=BL30)*('Istoric_Nativ'!$P$6:$P$405=1)*('Istoric_Nativ'!$D$6:$D$405&lt;INT(G30))*((('Istoric_Nativ'!$E$6:$E$405='Input_Meci'!D30)+('Istoric_Nativ'!$F$6:$F$405='Input_Meci'!D30)+('Istoric_Nativ'!$E$6:$E$405='Input_Meci'!E30)+('Istoric_Nativ'!$F$6:$F$405='Input_Meci'!E30))&gt;0)))</x:f>
      </x:c>
      <x:c r="AS30" s="11" t="str">
        <x:f>IF(AR30=0,"",SUMPRODUCT(('Istoric_Nativ'!$B$6:$B$405=B30)*('Istoric_Nativ'!$C$6:$C$405=BL30)*('Istoric_Nativ'!$P$6:$P$405=1)*('Istoric_Nativ'!$D$6:$D$405&lt;INT(G30))*((('Istoric_Nativ'!$E$6:$E$405='Input_Meci'!D30)+('Istoric_Nativ'!$F$6:$F$405='Input_Meci'!D30)+('Istoric_Nativ'!$E$6:$E$405='Input_Meci'!E30)+('Istoric_Nativ'!$F$6:$F$405='Input_Meci'!E30))&gt;0)*'Istoric_Nativ'!$Q$6:$Q$405)/AR30)</x:f>
      </x:c>
      <x:c r="AT30" s="11" t="str">
        <x:f>IF(AR30&lt;2,"",MAX(0,(SUMPRODUCT(('Istoric_Nativ'!$B$6:$B$405=B30)*('Istoric_Nativ'!$C$6:$C$405=BL30)*('Istoric_Nativ'!$P$6:$P$405=1)*('Istoric_Nativ'!$D$6:$D$405&lt;INT(G30))*((('Istoric_Nativ'!$E$6:$E$405='Input_Meci'!D30)+('Istoric_Nativ'!$F$6:$F$405='Input_Meci'!D30)+('Istoric_Nativ'!$E$6:$E$405='Input_Meci'!E30)+('Istoric_Nativ'!$F$6:$F$405='Input_Meci'!E30))&gt;0)*'Istoric_Nativ'!$R$6:$R$405)-AR30*AS30^2)/(AR30-1)))</x:f>
      </x:c>
      <x:c r="AU30" s="11" t="str">
        <x:f>IF(I30&lt;&gt;"PASS","",AT30/AS30)</x:f>
      </x:c>
      <x:c r="AV30" s="11" t="str">
        <x:f>IF(I30&lt;&gt;"PASS","",IF(AU30&lt;='Config_v6'!$B$10,"POISSON","NEGATIVE BINOMIAL"))</x:f>
      </x:c>
      <x:c r="AW30" s="11" t="str">
        <x:f>IF(I30&lt;&gt;"PASS","",IF(AV30="POISSON",9999,AS30/(AU30-1)))</x:f>
      </x:c>
      <x:c r="AX30" s="11" t="str">
        <x:f>IF(A30="","",MAX(1-'Config_v6'!$B$20,MIN(1+'Config_v6'!$B$20,1+0.02*(IF(AND(ISNUMBER('Input_Meci'!N30),'Input_Meci'!N30&gt;=0,'Input_Meci'!N30&lt;=200),'Input_Meci'!N30,12)/12-1)+0.02*(IF(AND(ISNUMBER('Input_Meci'!P30),'Input_Meci'!P30&gt;=0,'Input_Meci'!P30&lt;=200),'Input_Meci'!P30,3.5)/3.5-1)+0.02*(IF(AND(ISNUMBER('Input_Meci'!R30),'Input_Meci'!R30&gt;=0,'Input_Meci'!R30&lt;=200),'Input_Meci'!R30,18)/18-1)+0.02*((IF(AND(ISNUMBER('Input_Meci'!V30),'Input_Meci'!V30&gt;=0,'Input_Meci'!V30&lt;=10),'Input_Meci'!V30,5)-5)/5))))</x:f>
      </x:c>
      <x:c r="AY30" s="11" t="str">
        <x:f>IF(A30="","",MAX(1-'Config_v6'!$B$20,MIN(1+'Config_v6'!$B$20,1+0.02*(IF(AND(ISNUMBER('Input_Meci'!O30),'Input_Meci'!O30&gt;=0,'Input_Meci'!O30&lt;=200),'Input_Meci'!O30,12)/12-1)+0.02*(IF(AND(ISNUMBER('Input_Meci'!Q30),'Input_Meci'!Q30&gt;=0,'Input_Meci'!Q30&lt;=200),'Input_Meci'!Q30,3.5)/3.5-1)+0.02*(IF(AND(ISNUMBER('Input_Meci'!S30),'Input_Meci'!S30&gt;=0,'Input_Meci'!S30&lt;=200),'Input_Meci'!S30,18)/18-1)+0.02*((IF(AND(ISNUMBER('Input_Meci'!W30),'Input_Meci'!W30&gt;=0,'Input_Meci'!W30&lt;=10),'Input_Meci'!W30,5)-5)/5))))</x:f>
      </x:c>
      <x:c r="AZ30" s="11" t="str">
        <x:f>IF(A30="","",MAX(1-'Config_v6'!$B$21,MIN(1+'Config_v6'!$B$21,1+0.012*(IF('Input_Meci'!X30="",5,IF(ISNUMBER('Input_Meci'!X30),'Input_Meci'!X30,5))-5)+0.018*(IF('Input_Meci'!Z30="",5,IF(ISNUMBER('Input_Meci'!Z30),'Input_Meci'!Z30,5))-5)+0.012*(IF('Input_Meci'!AB30="",5,IF(ISNUMBER('Input_Meci'!AB30),'Input_Meci'!AB30,5))-5)+0.015*IF('Input_Meci'!AD30="",0,IF(ISNUMBER('Input_Meci'!AD30),'Input_Meci'!AD30,0))+0.02*IF('Input_Meci'!AF30="",0,IF(ISNUMBER('Input_Meci'!AF30),'Input_Meci'!AF30,0)))))</x:f>
      </x:c>
      <x:c r="BA30" s="11" t="str">
        <x:f>IF(A30="","",MAX(1-'Config_v6'!$B$21,MIN(1+'Config_v6'!$B$21,1+0.012*(IF('Input_Meci'!Y30="",5,IF(ISNUMBER('Input_Meci'!Y30),'Input_Meci'!Y30,5))-5)+0.018*(IF('Input_Meci'!AA30="",5,IF(ISNUMBER('Input_Meci'!AA30),'Input_Meci'!AA30,5))-5)+0.012*(IF('Input_Meci'!AC30="",5,IF(ISNUMBER('Input_Meci'!AC30),'Input_Meci'!AC30,5))-5)+0.015*IF('Input_Meci'!AE30="",0,IF(ISNUMBER('Input_Meci'!AE30),'Input_Meci'!AE30,0))+0.02*IF('Input_Meci'!AG30="",0,IF(ISNUMBER('Input_Meci'!AG30),'Input_Meci'!AG30,0)))))</x:f>
      </x:c>
      <x:c r="BB30" s="11" t="str">
        <x:f>IF(I30&lt;&gt;"PASS","",(AVERAGE(AF30,AM30)*'Config_v6'!$B$4+AVERAGE(AH30,AO30)*'Config_v6'!$B$5+AVERAGE(AJ30,AQ30)*'Config_v6'!$B$6)*AX30*AZ30)</x:f>
      </x:c>
      <x:c r="BC30" s="11" t="str">
        <x:f>IF(I30&lt;&gt;"PASS","",(AVERAGE(AL30,AG30)*'Config_v6'!$B$4+AVERAGE(AN30,AI30)*'Config_v6'!$B$5+AVERAGE(AP30,AK30)*'Config_v6'!$B$6)*AY30*BA30)</x:f>
      </x:c>
      <x:c r="BD30" s="11" t="str">
        <x:f>IF(I30&lt;&gt;"PASS","",BB30+BC30)</x:f>
      </x:c>
      <x:c r="BE30" s="11" t="str">
        <x:f>IF(A30="","",10-SUM(IF(AND(ISNUMBER('Input_Meci'!N30),'Input_Meci'!N30&gt;=0,'Input_Meci'!N30&lt;=200),1,0),IF(AND(ISNUMBER('Input_Meci'!O30),'Input_Meci'!O30&gt;=0,'Input_Meci'!O30&lt;=200),1,0),IF(AND(ISNUMBER('Input_Meci'!P30),'Input_Meci'!P30&gt;=0,'Input_Meci'!P30&lt;=200),1,0),IF(AND(ISNUMBER('Input_Meci'!Q30),'Input_Meci'!Q30&gt;=0,'Input_Meci'!Q30&lt;=200),1,0),IF(AND(ISNUMBER('Input_Meci'!R30),'Input_Meci'!R30&gt;=0,'Input_Meci'!R30&lt;=200),1,0),IF(AND(ISNUMBER('Input_Meci'!S30),'Input_Meci'!S30&gt;=0,'Input_Meci'!S30&lt;=200),1,0),IF(AND(ISNUMBER('Input_Meci'!T30),'Input_Meci'!T30&gt;=0,'Input_Meci'!T30&lt;=100),1,0),IF(AND(ISNUMBER('Input_Meci'!U30),'Input_Meci'!U30&gt;=0,'Input_Meci'!U30&lt;=100),1,0),IF(AND(ISNUMBER('Input_Meci'!V30),'Input_Meci'!V30&gt;=0,'Input_Meci'!V30&lt;=10),1,0),IF(AND(ISNUMBER('Input_Meci'!W30),'Input_Meci'!W30&gt;=0,'Input_Meci'!W30&lt;=10),1,0)))</x:f>
      </x:c>
      <x:c r="BF30" s="11" t="str">
        <x:f>IF(I30&lt;&gt;"PASS","",MAX(0,MIN(IF(OR(M30="YES",BL30&lt;&gt;C30),'Config_v6'!$B$34,100),ROUND(40+25*MIN(1,MIN(N30,Q30)/'Config_v6'!$B$7)*MIN(1,MIN(O30,R30)/'Config_v6'!$B$8)*MIN(1,MIN(P30,S30)/'Config_v6'!$B$9)+MAX(0,15-2*ABS(AF30-AJ30)-2*ABS(AL30-AP30))+IF(AU30&lt;='Config_v6'!$B$10,15,IF(AU30&lt;='Config_v6'!$B$11,13,IF(AU30&lt;='Config_v6'!$B$12,10,IF(AU30&lt;='Config_v6'!$B$13,6,0))))+5-BE30/10*'Config_v6'!$B$38,0))))</x:f>
      </x:c>
      <x:c r="BG30" s="11" t="str">
        <x:f>IF(I30&lt;&gt;"PASS","",MIN(1,'Config_v6'!$B$14*(0.7+0.3*MIN(1,AR30/'Config_v6'!$B$15))*IF(AU30&lt;='Config_v6'!$B$10,1,IF(AU30&lt;='Config_v6'!$B$11,0.95,IF(AU30&lt;='Config_v6'!$B$12,0.88,0.78)))*(0.75+0.25*BF30/100)))</x:f>
      </x:c>
      <x:c r="BH30" s="11" t="str">
        <x:f>IF(I30&lt;&gt;"PASS","",MIN(1,(ABS(AZ30-1)+ABS(BA30-1))*3))</x:f>
      </x:c>
      <x:c r="BI30" s="2" t="str">
        <x:f>IF(A30="","",IF(AND(OR('Input_Meci'!X30="",AND(ISNUMBER('Input_Meci'!X30),'Input_Meci'!X30&gt;=0,'Input_Meci'!X30&lt;=10)),OR('Input_Meci'!Y30="",AND(ISNUMBER('Input_Meci'!Y30),'Input_Meci'!Y30&gt;=0,'Input_Meci'!Y30&lt;=10)),OR('Input_Meci'!Z30="",AND(ISNUMBER('Input_Meci'!Z30),'Input_Meci'!Z30&gt;=0,'Input_Meci'!Z30&lt;=10)),OR('Input_Meci'!AA30="",AND(ISNUMBER('Input_Meci'!AA30),'Input_Meci'!AA30&gt;=0,'Input_Meci'!AA30&lt;=10)),OR('Input_Meci'!AB30="",AND(ISNUMBER('Input_Meci'!AB30),'Input_Meci'!AB30&gt;=0,'Input_Meci'!AB30&lt;=10)),OR('Input_Meci'!AC30="",AND(ISNUMBER('Input_Meci'!AC30),'Input_Meci'!AC30&gt;=0,'Input_Meci'!AC30&lt;=10)),OR('Input_Meci'!AD30="",AND(ISNUMBER('Input_Meci'!AD30),'Input_Meci'!AD30&gt;=-2,'Input_Meci'!AD30&lt;=2)),OR('Input_Meci'!AE30="",AND(ISNUMBER('Input_Meci'!AE30),'Input_Meci'!AE30&gt;=-2,'Input_Meci'!AE30&lt;=2)),OR('Input_Meci'!AF30="",AND(ISNUMBER('Input_Meci'!AF30),'Input_Meci'!AF30&gt;=-2,'Input_Meci'!AF30&lt;=2)),OR('Input_Meci'!AG30="",AND(ISNUMBER('Input_Meci'!AG30),'Input_Meci'!AG30&gt;=-2,'Input_Meci'!AG30&lt;=2))),"VALID","INVALID"))</x:f>
      </x:c>
      <x:c r="BJ30" s="2" t="n">
        <x:f>IF(A30="",0,SUM('Core_Nativ'!S294:S299))</x:f>
        <x:v>0</x:v>
      </x:c>
      <x:c r="BK30" s="2" t="str">
        <x:f>'Config_v6'!$B$40</x:f>
        <x:v>VALID</x:v>
      </x:c>
      <x:c r="BL30" s="2" t="str">
        <x:f>IF(A30="","",IF(SUMPRODUCT(('Istoric_Nativ'!$B$6:$B$405=B30)*('Istoric_Nativ'!$C$6:$C$405=C30)*('Istoric_Nativ'!$P$6:$P$405=1)*('Istoric_Nativ'!$D$6:$D$405&lt;INT(G30))*((('Istoric_Nativ'!$E$6:$E$405='Input_Meci'!D30)+('Istoric_Nativ'!$F$6:$F$405='Input_Meci'!D30)+('Istoric_Nativ'!$E$6:$E$405='Input_Meci'!E30)+('Istoric_Nativ'!$F$6:$F$405='Input_Meci'!E30))&gt;0))&gt;='Config_v6'!$B$41,C30,IF(AND('Input_Meci'!L30="YES",'Input_Meci'!K30&lt;&gt;"",'Input_Meci'!K30&lt;C30,COUNTIF('Core_Nativ'!R300:R305,"CLOSED")=6,SUM('Core_Nativ'!S300:S305)=0),'Input_Meci'!K30,C30)))</x:f>
      </x:c>
      <x:c r="BM30" s="9" t="n">
        <x:f>IF(OR(A30="",N30=0),0,LARGE(_xlfn._xlws.FILTER('Istoric_Nativ'!$D$6:$D$405,('Istoric_Nativ'!$B$6:$B$405=B30)*('Istoric_Nativ'!$C$6:$C$405=C30)*('Istoric_Nativ'!$P$6:$P$405=1)*('Istoric_Nativ'!$D$6:$D$405&lt;INT(G30))*((('Istoric_Nativ'!$E$6:$E$405='Input_Meci'!D30)+('Istoric_Nativ'!$F$6:$F$405='Input_Meci'!D30))&gt;0)),MIN(10,N30)))</x:f>
        <x:v>0</x:v>
      </x:c>
      <x:c r="BN30" s="9" t="n">
        <x:f>IF(OR(A30="",Q30=0),0,LARGE(_xlfn._xlws.FILTER('Istoric_Nativ'!$D$6:$D$405,('Istoric_Nativ'!$B$6:$B$405=B30)*('Istoric_Nativ'!$C$6:$C$405=C30)*('Istoric_Nativ'!$P$6:$P$405=1)*('Istoric_Nativ'!$D$6:$D$405&lt;INT(G30))*((('Istoric_Nativ'!$E$6:$E$405='Input_Meci'!E30)+('Istoric_Nativ'!$F$6:$F$405='Input_Meci'!E30))&gt;0)),MIN(10,Q30)))</x:f>
        <x:v>0</x:v>
      </x:c>
      <x:c r="BO30" s="9" t="n">
        <x:f>IF(OR(A30="",N30=0),0,LARGE(_xlfn._xlws.FILTER('Istoric_Nativ'!$D$6:$D$405,('Istoric_Nativ'!$B$6:$B$405=B30)*('Istoric_Nativ'!$C$6:$C$405=C30)*('Istoric_Nativ'!$P$6:$P$405=1)*('Istoric_Nativ'!$D$6:$D$405&lt;INT(G30))*((('Istoric_Nativ'!$E$6:$E$405='Input_Meci'!D30)+('Istoric_Nativ'!$F$6:$F$405='Input_Meci'!D30))&gt;0)),MIN(20,N30)))</x:f>
        <x:v>0</x:v>
      </x:c>
      <x:c r="BP30" s="9" t="n">
        <x:f>IF(OR(A30="",Q30=0),0,LARGE(_xlfn._xlws.FILTER('Istoric_Nativ'!$D$6:$D$405,('Istoric_Nativ'!$B$6:$B$405=B30)*('Istoric_Nativ'!$C$6:$C$405=C30)*('Istoric_Nativ'!$P$6:$P$405=1)*('Istoric_Nativ'!$D$6:$D$405&lt;INT(G30))*((('Istoric_Nativ'!$E$6:$E$405='Input_Meci'!E30)+('Istoric_Nativ'!$F$6:$F$405='Input_Meci'!E30))&gt;0)),MIN(20,Q30)))</x:f>
        <x:v>0</x:v>
      </x:c>
      <x:c r="BQ30" s="2" t="str">
        <x:f>IF(A30="","",IF(AND(COUNTIF(MatchesTable[Match_ID],A30)=1,COUNTIFS(MatchesTable[League],B30,MatchesTable[Season],C30,MatchesTable[Home],'Input_Meci'!D30,MatchesTable[Away],'Input_Meci'!E30,MatchesTable[Kickoff_UTC],F30)=1,B30&lt;&gt;"",C30&lt;&gt;"",'Input_Meci'!D30&lt;&gt;"",'Input_Meci'!E30&lt;&gt;"",'Input_Meci'!D30&lt;&gt;'Input_Meci'!E30,ISNUMBER(F30),ISNUMBER(G30),G30&lt;F30,OR(E30="LIVE",E30="REPLAY"),OR('Input_Meci'!L30="YES",'Input_Meci'!L30="NO",'Input_Meci'!L30="")),"VALID","INVALID"))</x:f>
      </x:c>
      <x:c r="BR30" s="2" t="n">
        <x:f>IF(I30&lt;&gt;"PASS",0,SUMPRODUCT(('Istoric_Nativ'!$B$6:$B$405='Input_Meci'!B30)*('Istoric_Nativ'!$C$6:$C$405='Input_Meci'!C30)*('Istoric_Nativ'!$P$6:$P$405=1)*('Istoric_Nativ'!$D$6:$D$405&lt;INT('Input_Meci'!G30))*((('Istoric_Nativ'!$E$6:$E$405='Input_Meci'!D30)+('Istoric_Nativ'!$F$6:$F$405='Input_Meci'!E30))&gt;0)))</x:f>
        <x:v>0</x:v>
      </x:c>
      <x:c r="BS30" s="2" t="n">
        <x:f>IF(I30&lt;&gt;"PASS",0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BM30)+((('Istoric_Nativ'!$E$6:$E$405='Input_Meci'!E30)+('Istoric_Nativ'!$F$6:$F$405='Input_Meci'!E30))&gt;0)*('Istoric_Nativ'!$D$6:$D$405&gt;=BN30))&gt;0)))</x:f>
        <x:v>0</x:v>
      </x:c>
      <x:c r="BT30" s="2" t="n">
        <x:f>IF(I30&lt;&gt;"PASS",0,SUMPRODUCT(('Istoric_Nativ'!$B$6:$B$405='Input_Meci'!B30)*('Istoric_Nativ'!$C$6:$C$405='Input_Meci'!C30)*('Istoric_Nativ'!$P$6:$P$405=1)*('Istoric_Nativ'!$D$6:$D$405&lt;INT('Input_Meci'!G30))*((((('Istoric_Nativ'!$E$6:$E$405='Input_Meci'!D30)+('Istoric_Nativ'!$F$6:$F$405='Input_Meci'!D30))&gt;0)*('Istoric_Nativ'!$D$6:$D$405&gt;=BO30)+((('Istoric_Nativ'!$E$6:$E$405='Input_Meci'!E30)+('Istoric_Nativ'!$F$6:$F$405='Input_Meci'!E30))&gt;0)*('Istoric_Nativ'!$D$6:$D$405&gt;=BP30))&gt;0)))</x:f>
        <x:v>0</x:v>
      </x:c>
    </x:row>
    <x:row r="31" ht="21" customHeight="1">
      <x:c r="A31" s="2" t="str">
        <x:f>IF('Input_Meci'!A31="","",'Input_Meci'!A31)</x:f>
      </x:c>
      <x:c r="B31" s="2" t="str">
        <x:f>IF(A31="","",'Input_Meci'!B31)</x:f>
      </x:c>
      <x:c r="C31" s="2" t="str">
        <x:f>IF(A31="","",'Input_Meci'!C31)</x:f>
      </x:c>
      <x:c r="D31" s="2" t="str">
        <x:f>IF(A31="","",'Input_Meci'!D31&amp;" – "&amp;'Input_Meci'!E31)</x:f>
      </x:c>
      <x:c r="E31" s="2" t="str">
        <x:f>IF(A31="","",'Input_Meci'!H31)</x:f>
      </x:c>
      <x:c r="F31" s="9" t="str">
        <x:f>IF(A31="","",'Input_Meci'!F31)</x:f>
      </x:c>
      <x:c r="G31" s="9" t="str">
        <x:f>IF(A31="","",'Input_Meci'!G31)</x:f>
      </x:c>
      <x:c r="H31" s="2" t="str">
        <x:f>IF(A31="","",IF(BQ31&lt;&gt;"VALID","NOT RELEASED",IF(AND(OR('Input_Meci'!I31="NOT AVAILABLE",'Input_Meci'!I31="SOURCE CONFLICT"),'Input_Meci'!J31&lt;&gt;""),"READY",IF(OR(NOT(OR('Input_Meci'!I31="AUTO",'Input_Meci'!I31="")),COUNTIF('Core_Nativ'!R306:R311,"CLOSED")&lt;&gt;6,BJ31&gt;0),"NOT RELEASED","READY"))))</x:f>
      </x:c>
      <x:c r="I31" s="2" t="str">
        <x:f>IF(A31="","",IF(H31&lt;&gt;"READY","NOT RELEASED",IF(AND(NOT(OR('Input_Meci'!I31="NOT AVAILABLE",'Input_Meci'!I31="SOURCE CONFLICT")),L31=12,AR31&gt;=2,AS31&gt;0,ISNUMBER(AT31),BI31="VALID",BK31="VALID"),"PASS","FAIL")))</x:f>
      </x:c>
      <x:c r="J31" s="2" t="str">
        <x:f>IF(A31="","",IF(BQ31&lt;&gt;"VALID","Verifica ID, echipe, mod si cutoff &lt; kickoff",IF(H31&lt;&gt;"READY",IF('Input_Meci'!I31="ACCESS BLOCKED","Acces blocat: reia sursele",IF(BJ31&gt;0,"Istoric invalid sau conflict: verifica randurile native","Surse neinchise / post-cutoff / dovezi incomplete")),IF(OR('Input_Meci'!I31="NOT AVAILABLE",'Input_Meci'!I31="SOURCE CONFLICT"),'Input_Meci'!I31,IF(BK31&lt;&gt;"VALID","Parametri invalizi",IF(L31&lt;&gt;12,"Core / sample / prior insuficient",IF(AR31&lt;2,"N insuficient pentru dispersie",IF(AS31&lt;=0,"Media istorica trebuie sa fie pozitiva",IF(BI31&lt;&gt;"VALID","Context invalid","READY")))))))))</x:f>
      </x:c>
      <x:c r="K31" s="2" t="str">
        <x:f>IF(A31="","",COUNT(T31:AE31))</x:f>
      </x:c>
      <x:c r="L31" s="2" t="str">
        <x:f>IF(A31="","",COUNT(AF31:AQ31))</x:f>
      </x:c>
      <x:c r="M31" s="2" t="str">
        <x:f>IF(A31="","",IF(OR('Core_Nativ'!M306&lt;'Core_Nativ'!P306,'Core_Nativ'!M307&lt;'Core_Nativ'!P307,'Core_Nativ'!M308&lt;'Core_Nativ'!P308,'Core_Nativ'!M309&lt;'Core_Nativ'!P309,'Core_Nativ'!M310&lt;'Core_Nativ'!P310,'Core_Nativ'!M311&lt;'Core_Nativ'!P311),"YES","NO"))</x:f>
      </x:c>
      <x:c r="N31" s="2" t="str">
        <x:f>IF(A31="","",'Core_Nativ'!M306)</x:f>
      </x:c>
      <x:c r="O31" s="2" t="str">
        <x:f>IF(A31="","",'Core_Nativ'!M307)</x:f>
      </x:c>
      <x:c r="P31" s="2" t="str">
        <x:f>IF(A31="","",'Core_Nativ'!M308)</x:f>
      </x:c>
      <x:c r="Q31" s="2" t="str">
        <x:f>IF(A31="","",'Core_Nativ'!M309)</x:f>
      </x:c>
      <x:c r="R31" s="2" t="str">
        <x:f>IF(A31="","",'Core_Nativ'!M310)</x:f>
      </x:c>
      <x:c r="S31" s="2" t="str">
        <x:f>IF(A31="","",'Core_Nativ'!M311)</x:f>
      </x:c>
      <x:c r="T31" s="11" t="str">
        <x:f>IF(OR(A31="",'Core_Nativ'!M306=0),"",'Core_Nativ'!N306)</x:f>
      </x:c>
      <x:c r="U31" s="11" t="str">
        <x:f>IF(OR(A31="",'Core_Nativ'!M306=0),"",'Core_Nativ'!O306)</x:f>
      </x:c>
      <x:c r="V31" s="11" t="str">
        <x:f>IF(OR(A31="",'Core_Nativ'!M307=0),"",'Core_Nativ'!N307)</x:f>
      </x:c>
      <x:c r="W31" s="11" t="str">
        <x:f>IF(OR(A31="",'Core_Nativ'!M307=0),"",'Core_Nativ'!O307)</x:f>
      </x:c>
      <x:c r="X31" s="11" t="str">
        <x:f>IF(OR(A31="",'Core_Nativ'!M308=0),"",'Core_Nativ'!N308)</x:f>
      </x:c>
      <x:c r="Y31" s="11" t="str">
        <x:f>IF(OR(A31="",'Core_Nativ'!M308=0),"",'Core_Nativ'!O308)</x:f>
      </x:c>
      <x:c r="Z31" s="11" t="str">
        <x:f>IF(OR(A31="",'Core_Nativ'!M309=0),"",'Core_Nativ'!N309)</x:f>
      </x:c>
      <x:c r="AA31" s="11" t="str">
        <x:f>IF(OR(A31="",'Core_Nativ'!M309=0),"",'Core_Nativ'!O309)</x:f>
      </x:c>
      <x:c r="AB31" s="11" t="str">
        <x:f>IF(OR(A31="",'Core_Nativ'!M310=0),"",'Core_Nativ'!N310)</x:f>
      </x:c>
      <x:c r="AC31" s="11" t="str">
        <x:f>IF(OR(A31="",'Core_Nativ'!M310=0),"",'Core_Nativ'!O310)</x:f>
      </x:c>
      <x:c r="AD31" s="11" t="str">
        <x:f>IF(OR(A31="",'Core_Nativ'!M311=0),"",'Core_Nativ'!N311)</x:f>
      </x:c>
      <x:c r="AE31" s="11" t="str">
        <x:f>IF(OR(A31="",'Core_Nativ'!M311=0),"",'Core_Nativ'!O311)</x:f>
      </x:c>
      <x:c r="AF31" s="11" t="str">
        <x:f>IF(A31="","",IF(AND('Core_Nativ'!R306="CLOSED",'Core_Nativ'!S306=0),IF('Core_Nativ'!M306&gt;='Core_Nativ'!P306,'Core_Nativ'!N306,IF(AND('Input_Meci'!L31="YES",'Input_Meci'!K31&lt;&gt;"",'Input_Meci'!K31&lt;C31,'Core_Nativ'!T312="DERIVED",'Core_Nativ'!M312&gt;='Core_Nativ'!P306),MIN(1,'Core_Nativ'!M306/'Core_Nativ'!P306)*IF('Core_Nativ'!M306=0,0,'Core_Nativ'!N306)+(1-MIN(1,'Core_Nativ'!M306/'Core_Nativ'!P306))*'Core_Nativ'!N312,"")),""))</x:f>
      </x:c>
      <x:c r="AG31" s="11" t="str">
        <x:f>IF(A31="","",IF(AND('Core_Nativ'!R306="CLOSED",'Core_Nativ'!S306=0),IF('Core_Nativ'!M306&gt;='Core_Nativ'!P306,'Core_Nativ'!O306,IF(AND('Input_Meci'!L31="YES",'Input_Meci'!K31&lt;&gt;"",'Input_Meci'!K31&lt;C31,'Core_Nativ'!T312="DERIVED",'Core_Nativ'!M312&gt;='Core_Nativ'!P306),MIN(1,'Core_Nativ'!M306/'Core_Nativ'!P306)*IF('Core_Nativ'!M306=0,0,'Core_Nativ'!O306)+(1-MIN(1,'Core_Nativ'!M306/'Core_Nativ'!P306))*'Core_Nativ'!O312,"")),""))</x:f>
      </x:c>
      <x:c r="AH31" s="11" t="str">
        <x:f>IF(A31="","",IF(AND('Core_Nativ'!R307="CLOSED",'Core_Nativ'!S307=0),IF('Core_Nativ'!M307&gt;='Core_Nativ'!P307,'Core_Nativ'!N307,IF(AND('Input_Meci'!L31="YES",'Input_Meci'!K31&lt;&gt;"",'Input_Meci'!K31&lt;C31,'Core_Nativ'!T313="DERIVED",'Core_Nativ'!M313&gt;='Core_Nativ'!P307),MIN(1,'Core_Nativ'!M307/'Core_Nativ'!P307)*IF('Core_Nativ'!M307=0,0,'Core_Nativ'!N307)+(1-MIN(1,'Core_Nativ'!M307/'Core_Nativ'!P307))*'Core_Nativ'!N313,"")),""))</x:f>
      </x:c>
      <x:c r="AI31" s="11" t="str">
        <x:f>IF(A31="","",IF(AND('Core_Nativ'!R307="CLOSED",'Core_Nativ'!S307=0),IF('Core_Nativ'!M307&gt;='Core_Nativ'!P307,'Core_Nativ'!O307,IF(AND('Input_Meci'!L31="YES",'Input_Meci'!K31&lt;&gt;"",'Input_Meci'!K31&lt;C31,'Core_Nativ'!T313="DERIVED",'Core_Nativ'!M313&gt;='Core_Nativ'!P307),MIN(1,'Core_Nativ'!M307/'Core_Nativ'!P307)*IF('Core_Nativ'!M307=0,0,'Core_Nativ'!O307)+(1-MIN(1,'Core_Nativ'!M307/'Core_Nativ'!P307))*'Core_Nativ'!O313,"")),""))</x:f>
      </x:c>
      <x:c r="AJ31" s="11" t="str">
        <x:f>IF(A31="","",IF(AND('Core_Nativ'!R308="CLOSED",'Core_Nativ'!S308=0),IF('Core_Nativ'!M308&gt;='Core_Nativ'!P308,'Core_Nativ'!N308,IF(AND('Input_Meci'!L31="YES",'Input_Meci'!K31&lt;&gt;"",'Input_Meci'!K31&lt;C31,'Core_Nativ'!T314="DERIVED",'Core_Nativ'!M314&gt;='Core_Nativ'!P308),MIN(1,'Core_Nativ'!M308/'Core_Nativ'!P308)*IF('Core_Nativ'!M308=0,0,'Core_Nativ'!N308)+(1-MIN(1,'Core_Nativ'!M308/'Core_Nativ'!P308))*'Core_Nativ'!N314,"")),""))</x:f>
      </x:c>
      <x:c r="AK31" s="11" t="str">
        <x:f>IF(A31="","",IF(AND('Core_Nativ'!R308="CLOSED",'Core_Nativ'!S308=0),IF('Core_Nativ'!M308&gt;='Core_Nativ'!P308,'Core_Nativ'!O308,IF(AND('Input_Meci'!L31="YES",'Input_Meci'!K31&lt;&gt;"",'Input_Meci'!K31&lt;C31,'Core_Nativ'!T314="DERIVED",'Core_Nativ'!M314&gt;='Core_Nativ'!P308),MIN(1,'Core_Nativ'!M308/'Core_Nativ'!P308)*IF('Core_Nativ'!M308=0,0,'Core_Nativ'!O308)+(1-MIN(1,'Core_Nativ'!M308/'Core_Nativ'!P308))*'Core_Nativ'!O314,"")),""))</x:f>
      </x:c>
      <x:c r="AL31" s="11" t="str">
        <x:f>IF(A31="","",IF(AND('Core_Nativ'!R309="CLOSED",'Core_Nativ'!S309=0),IF('Core_Nativ'!M309&gt;='Core_Nativ'!P309,'Core_Nativ'!N309,IF(AND('Input_Meci'!L31="YES",'Input_Meci'!K31&lt;&gt;"",'Input_Meci'!K31&lt;C31,'Core_Nativ'!T315="DERIVED",'Core_Nativ'!M315&gt;='Core_Nativ'!P309),MIN(1,'Core_Nativ'!M309/'Core_Nativ'!P309)*IF('Core_Nativ'!M309=0,0,'Core_Nativ'!N309)+(1-MIN(1,'Core_Nativ'!M309/'Core_Nativ'!P309))*'Core_Nativ'!N315,"")),""))</x:f>
      </x:c>
      <x:c r="AM31" s="11" t="str">
        <x:f>IF(A31="","",IF(AND('Core_Nativ'!R309="CLOSED",'Core_Nativ'!S309=0),IF('Core_Nativ'!M309&gt;='Core_Nativ'!P309,'Core_Nativ'!O309,IF(AND('Input_Meci'!L31="YES",'Input_Meci'!K31&lt;&gt;"",'Input_Meci'!K31&lt;C31,'Core_Nativ'!T315="DERIVED",'Core_Nativ'!M315&gt;='Core_Nativ'!P309),MIN(1,'Core_Nativ'!M309/'Core_Nativ'!P309)*IF('Core_Nativ'!M309=0,0,'Core_Nativ'!O309)+(1-MIN(1,'Core_Nativ'!M309/'Core_Nativ'!P309))*'Core_Nativ'!O315,"")),""))</x:f>
      </x:c>
      <x:c r="AN31" s="11" t="str">
        <x:f>IF(A31="","",IF(AND('Core_Nativ'!R310="CLOSED",'Core_Nativ'!S310=0),IF('Core_Nativ'!M310&gt;='Core_Nativ'!P310,'Core_Nativ'!N310,IF(AND('Input_Meci'!L31="YES",'Input_Meci'!K31&lt;&gt;"",'Input_Meci'!K31&lt;C31,'Core_Nativ'!T316="DERIVED",'Core_Nativ'!M316&gt;='Core_Nativ'!P310),MIN(1,'Core_Nativ'!M310/'Core_Nativ'!P310)*IF('Core_Nativ'!M310=0,0,'Core_Nativ'!N310)+(1-MIN(1,'Core_Nativ'!M310/'Core_Nativ'!P310))*'Core_Nativ'!N316,"")),""))</x:f>
      </x:c>
      <x:c r="AO31" s="11" t="str">
        <x:f>IF(A31="","",IF(AND('Core_Nativ'!R310="CLOSED",'Core_Nativ'!S310=0),IF('Core_Nativ'!M310&gt;='Core_Nativ'!P310,'Core_Nativ'!O310,IF(AND('Input_Meci'!L31="YES",'Input_Meci'!K31&lt;&gt;"",'Input_Meci'!K31&lt;C31,'Core_Nativ'!T316="DERIVED",'Core_Nativ'!M316&gt;='Core_Nativ'!P310),MIN(1,'Core_Nativ'!M310/'Core_Nativ'!P310)*IF('Core_Nativ'!M310=0,0,'Core_Nativ'!O310)+(1-MIN(1,'Core_Nativ'!M310/'Core_Nativ'!P310))*'Core_Nativ'!O316,"")),""))</x:f>
      </x:c>
      <x:c r="AP31" s="11" t="str">
        <x:f>IF(A31="","",IF(AND('Core_Nativ'!R311="CLOSED",'Core_Nativ'!S311=0),IF('Core_Nativ'!M311&gt;='Core_Nativ'!P311,'Core_Nativ'!N311,IF(AND('Input_Meci'!L31="YES",'Input_Meci'!K31&lt;&gt;"",'Input_Meci'!K31&lt;C31,'Core_Nativ'!T317="DERIVED",'Core_Nativ'!M317&gt;='Core_Nativ'!P311),MIN(1,'Core_Nativ'!M311/'Core_Nativ'!P311)*IF('Core_Nativ'!M311=0,0,'Core_Nativ'!N311)+(1-MIN(1,'Core_Nativ'!M311/'Core_Nativ'!P311))*'Core_Nativ'!N317,"")),""))</x:f>
      </x:c>
      <x:c r="AQ31" s="11" t="str">
        <x:f>IF(A31="","",IF(AND('Core_Nativ'!R311="CLOSED",'Core_Nativ'!S311=0),IF('Core_Nativ'!M311&gt;='Core_Nativ'!P311,'Core_Nativ'!O311,IF(AND('Input_Meci'!L31="YES",'Input_Meci'!K31&lt;&gt;"",'Input_Meci'!K31&lt;C31,'Core_Nativ'!T317="DERIVED",'Core_Nativ'!M317&gt;='Core_Nativ'!P311),MIN(1,'Core_Nativ'!M311/'Core_Nativ'!P311)*IF('Core_Nativ'!M311=0,0,'Core_Nativ'!O311)+(1-MIN(1,'Core_Nativ'!M311/'Core_Nativ'!P311))*'Core_Nativ'!O317,"")),""))</x:f>
      </x:c>
      <x:c r="AR31" s="11" t="str">
        <x:f>IF(A31="","",SUMPRODUCT(('Istoric_Nativ'!$B$6:$B$405=B31)*('Istoric_Nativ'!$C$6:$C$405=BL31)*('Istoric_Nativ'!$P$6:$P$405=1)*('Istoric_Nativ'!$D$6:$D$405&lt;INT(G31))*((('Istoric_Nativ'!$E$6:$E$405='Input_Meci'!D31)+('Istoric_Nativ'!$F$6:$F$405='Input_Meci'!D31)+('Istoric_Nativ'!$E$6:$E$405='Input_Meci'!E31)+('Istoric_Nativ'!$F$6:$F$405='Input_Meci'!E31))&gt;0)))</x:f>
      </x:c>
      <x:c r="AS31" s="11" t="str">
        <x:f>IF(AR31=0,"",SUMPRODUCT(('Istoric_Nativ'!$B$6:$B$405=B31)*('Istoric_Nativ'!$C$6:$C$405=BL31)*('Istoric_Nativ'!$P$6:$P$405=1)*('Istoric_Nativ'!$D$6:$D$405&lt;INT(G31))*((('Istoric_Nativ'!$E$6:$E$405='Input_Meci'!D31)+('Istoric_Nativ'!$F$6:$F$405='Input_Meci'!D31)+('Istoric_Nativ'!$E$6:$E$405='Input_Meci'!E31)+('Istoric_Nativ'!$F$6:$F$405='Input_Meci'!E31))&gt;0)*'Istoric_Nativ'!$Q$6:$Q$405)/AR31)</x:f>
      </x:c>
      <x:c r="AT31" s="11" t="str">
        <x:f>IF(AR31&lt;2,"",MAX(0,(SUMPRODUCT(('Istoric_Nativ'!$B$6:$B$405=B31)*('Istoric_Nativ'!$C$6:$C$405=BL31)*('Istoric_Nativ'!$P$6:$P$405=1)*('Istoric_Nativ'!$D$6:$D$405&lt;INT(G31))*((('Istoric_Nativ'!$E$6:$E$405='Input_Meci'!D31)+('Istoric_Nativ'!$F$6:$F$405='Input_Meci'!D31)+('Istoric_Nativ'!$E$6:$E$405='Input_Meci'!E31)+('Istoric_Nativ'!$F$6:$F$405='Input_Meci'!E31))&gt;0)*'Istoric_Nativ'!$R$6:$R$405)-AR31*AS31^2)/(AR31-1)))</x:f>
      </x:c>
      <x:c r="AU31" s="11" t="str">
        <x:f>IF(I31&lt;&gt;"PASS","",AT31/AS31)</x:f>
      </x:c>
      <x:c r="AV31" s="11" t="str">
        <x:f>IF(I31&lt;&gt;"PASS","",IF(AU31&lt;='Config_v6'!$B$10,"POISSON","NEGATIVE BINOMIAL"))</x:f>
      </x:c>
      <x:c r="AW31" s="11" t="str">
        <x:f>IF(I31&lt;&gt;"PASS","",IF(AV31="POISSON",9999,AS31/(AU31-1)))</x:f>
      </x:c>
      <x:c r="AX31" s="11" t="str">
        <x:f>IF(A31="","",MAX(1-'Config_v6'!$B$20,MIN(1+'Config_v6'!$B$20,1+0.02*(IF(AND(ISNUMBER('Input_Meci'!N31),'Input_Meci'!N31&gt;=0,'Input_Meci'!N31&lt;=200),'Input_Meci'!N31,12)/12-1)+0.02*(IF(AND(ISNUMBER('Input_Meci'!P31),'Input_Meci'!P31&gt;=0,'Input_Meci'!P31&lt;=200),'Input_Meci'!P31,3.5)/3.5-1)+0.02*(IF(AND(ISNUMBER('Input_Meci'!R31),'Input_Meci'!R31&gt;=0,'Input_Meci'!R31&lt;=200),'Input_Meci'!R31,18)/18-1)+0.02*((IF(AND(ISNUMBER('Input_Meci'!V31),'Input_Meci'!V31&gt;=0,'Input_Meci'!V31&lt;=10),'Input_Meci'!V31,5)-5)/5))))</x:f>
      </x:c>
      <x:c r="AY31" s="11" t="str">
        <x:f>IF(A31="","",MAX(1-'Config_v6'!$B$20,MIN(1+'Config_v6'!$B$20,1+0.02*(IF(AND(ISNUMBER('Input_Meci'!O31),'Input_Meci'!O31&gt;=0,'Input_Meci'!O31&lt;=200),'Input_Meci'!O31,12)/12-1)+0.02*(IF(AND(ISNUMBER('Input_Meci'!Q31),'Input_Meci'!Q31&gt;=0,'Input_Meci'!Q31&lt;=200),'Input_Meci'!Q31,3.5)/3.5-1)+0.02*(IF(AND(ISNUMBER('Input_Meci'!S31),'Input_Meci'!S31&gt;=0,'Input_Meci'!S31&lt;=200),'Input_Meci'!S31,18)/18-1)+0.02*((IF(AND(ISNUMBER('Input_Meci'!W31),'Input_Meci'!W31&gt;=0,'Input_Meci'!W31&lt;=10),'Input_Meci'!W31,5)-5)/5))))</x:f>
      </x:c>
      <x:c r="AZ31" s="11" t="str">
        <x:f>IF(A31="","",MAX(1-'Config_v6'!$B$21,MIN(1+'Config_v6'!$B$21,1+0.012*(IF('Input_Meci'!X31="",5,IF(ISNUMBER('Input_Meci'!X31),'Input_Meci'!X31,5))-5)+0.018*(IF('Input_Meci'!Z31="",5,IF(ISNUMBER('Input_Meci'!Z31),'Input_Meci'!Z31,5))-5)+0.012*(IF('Input_Meci'!AB31="",5,IF(ISNUMBER('Input_Meci'!AB31),'Input_Meci'!AB31,5))-5)+0.015*IF('Input_Meci'!AD31="",0,IF(ISNUMBER('Input_Meci'!AD31),'Input_Meci'!AD31,0))+0.02*IF('Input_Meci'!AF31="",0,IF(ISNUMBER('Input_Meci'!AF31),'Input_Meci'!AF31,0)))))</x:f>
      </x:c>
      <x:c r="BA31" s="11" t="str">
        <x:f>IF(A31="","",MAX(1-'Config_v6'!$B$21,MIN(1+'Config_v6'!$B$21,1+0.012*(IF('Input_Meci'!Y31="",5,IF(ISNUMBER('Input_Meci'!Y31),'Input_Meci'!Y31,5))-5)+0.018*(IF('Input_Meci'!AA31="",5,IF(ISNUMBER('Input_Meci'!AA31),'Input_Meci'!AA31,5))-5)+0.012*(IF('Input_Meci'!AC31="",5,IF(ISNUMBER('Input_Meci'!AC31),'Input_Meci'!AC31,5))-5)+0.015*IF('Input_Meci'!AE31="",0,IF(ISNUMBER('Input_Meci'!AE31),'Input_Meci'!AE31,0))+0.02*IF('Input_Meci'!AG31="",0,IF(ISNUMBER('Input_Meci'!AG31),'Input_Meci'!AG31,0)))))</x:f>
      </x:c>
      <x:c r="BB31" s="11" t="str">
        <x:f>IF(I31&lt;&gt;"PASS","",(AVERAGE(AF31,AM31)*'Config_v6'!$B$4+AVERAGE(AH31,AO31)*'Config_v6'!$B$5+AVERAGE(AJ31,AQ31)*'Config_v6'!$B$6)*AX31*AZ31)</x:f>
      </x:c>
      <x:c r="BC31" s="11" t="str">
        <x:f>IF(I31&lt;&gt;"PASS","",(AVERAGE(AL31,AG31)*'Config_v6'!$B$4+AVERAGE(AN31,AI31)*'Config_v6'!$B$5+AVERAGE(AP31,AK31)*'Config_v6'!$B$6)*AY31*BA31)</x:f>
      </x:c>
      <x:c r="BD31" s="11" t="str">
        <x:f>IF(I31&lt;&gt;"PASS","",BB31+BC31)</x:f>
      </x:c>
      <x:c r="BE31" s="11" t="str">
        <x:f>IF(A31="","",10-SUM(IF(AND(ISNUMBER('Input_Meci'!N31),'Input_Meci'!N31&gt;=0,'Input_Meci'!N31&lt;=200),1,0),IF(AND(ISNUMBER('Input_Meci'!O31),'Input_Meci'!O31&gt;=0,'Input_Meci'!O31&lt;=200),1,0),IF(AND(ISNUMBER('Input_Meci'!P31),'Input_Meci'!P31&gt;=0,'Input_Meci'!P31&lt;=200),1,0),IF(AND(ISNUMBER('Input_Meci'!Q31),'Input_Meci'!Q31&gt;=0,'Input_Meci'!Q31&lt;=200),1,0),IF(AND(ISNUMBER('Input_Meci'!R31),'Input_Meci'!R31&gt;=0,'Input_Meci'!R31&lt;=200),1,0),IF(AND(ISNUMBER('Input_Meci'!S31),'Input_Meci'!S31&gt;=0,'Input_Meci'!S31&lt;=200),1,0),IF(AND(ISNUMBER('Input_Meci'!T31),'Input_Meci'!T31&gt;=0,'Input_Meci'!T31&lt;=100),1,0),IF(AND(ISNUMBER('Input_Meci'!U31),'Input_Meci'!U31&gt;=0,'Input_Meci'!U31&lt;=100),1,0),IF(AND(ISNUMBER('Input_Meci'!V31),'Input_Meci'!V31&gt;=0,'Input_Meci'!V31&lt;=10),1,0),IF(AND(ISNUMBER('Input_Meci'!W31),'Input_Meci'!W31&gt;=0,'Input_Meci'!W31&lt;=10),1,0)))</x:f>
      </x:c>
      <x:c r="BF31" s="11" t="str">
        <x:f>IF(I31&lt;&gt;"PASS","",MAX(0,MIN(IF(OR(M31="YES",BL31&lt;&gt;C31),'Config_v6'!$B$34,100),ROUND(40+25*MIN(1,MIN(N31,Q31)/'Config_v6'!$B$7)*MIN(1,MIN(O31,R31)/'Config_v6'!$B$8)*MIN(1,MIN(P31,S31)/'Config_v6'!$B$9)+MAX(0,15-2*ABS(AF31-AJ31)-2*ABS(AL31-AP31))+IF(AU31&lt;='Config_v6'!$B$10,15,IF(AU31&lt;='Config_v6'!$B$11,13,IF(AU31&lt;='Config_v6'!$B$12,10,IF(AU31&lt;='Config_v6'!$B$13,6,0))))+5-BE31/10*'Config_v6'!$B$38,0))))</x:f>
      </x:c>
      <x:c r="BG31" s="11" t="str">
        <x:f>IF(I31&lt;&gt;"PASS","",MIN(1,'Config_v6'!$B$14*(0.7+0.3*MIN(1,AR31/'Config_v6'!$B$15))*IF(AU31&lt;='Config_v6'!$B$10,1,IF(AU31&lt;='Config_v6'!$B$11,0.95,IF(AU31&lt;='Config_v6'!$B$12,0.88,0.78)))*(0.75+0.25*BF31/100)))</x:f>
      </x:c>
      <x:c r="BH31" s="11" t="str">
        <x:f>IF(I31&lt;&gt;"PASS","",MIN(1,(ABS(AZ31-1)+ABS(BA31-1))*3))</x:f>
      </x:c>
      <x:c r="BI31" s="2" t="str">
        <x:f>IF(A31="","",IF(AND(OR('Input_Meci'!X31="",AND(ISNUMBER('Input_Meci'!X31),'Input_Meci'!X31&gt;=0,'Input_Meci'!X31&lt;=10)),OR('Input_Meci'!Y31="",AND(ISNUMBER('Input_Meci'!Y31),'Input_Meci'!Y31&gt;=0,'Input_Meci'!Y31&lt;=10)),OR('Input_Meci'!Z31="",AND(ISNUMBER('Input_Meci'!Z31),'Input_Meci'!Z31&gt;=0,'Input_Meci'!Z31&lt;=10)),OR('Input_Meci'!AA31="",AND(ISNUMBER('Input_Meci'!AA31),'Input_Meci'!AA31&gt;=0,'Input_Meci'!AA31&lt;=10)),OR('Input_Meci'!AB31="",AND(ISNUMBER('Input_Meci'!AB31),'Input_Meci'!AB31&gt;=0,'Input_Meci'!AB31&lt;=10)),OR('Input_Meci'!AC31="",AND(ISNUMBER('Input_Meci'!AC31),'Input_Meci'!AC31&gt;=0,'Input_Meci'!AC31&lt;=10)),OR('Input_Meci'!AD31="",AND(ISNUMBER('Input_Meci'!AD31),'Input_Meci'!AD31&gt;=-2,'Input_Meci'!AD31&lt;=2)),OR('Input_Meci'!AE31="",AND(ISNUMBER('Input_Meci'!AE31),'Input_Meci'!AE31&gt;=-2,'Input_Meci'!AE31&lt;=2)),OR('Input_Meci'!AF31="",AND(ISNUMBER('Input_Meci'!AF31),'Input_Meci'!AF31&gt;=-2,'Input_Meci'!AF31&lt;=2)),OR('Input_Meci'!AG31="",AND(ISNUMBER('Input_Meci'!AG31),'Input_Meci'!AG31&gt;=-2,'Input_Meci'!AG31&lt;=2))),"VALID","INVALID"))</x:f>
      </x:c>
      <x:c r="BJ31" s="2" t="n">
        <x:f>IF(A31="",0,SUM('Core_Nativ'!S306:S311))</x:f>
        <x:v>0</x:v>
      </x:c>
      <x:c r="BK31" s="2" t="str">
        <x:f>'Config_v6'!$B$40</x:f>
        <x:v>VALID</x:v>
      </x:c>
      <x:c r="BL31" s="2" t="str">
        <x:f>IF(A31="","",IF(SUMPRODUCT(('Istoric_Nativ'!$B$6:$B$405=B31)*('Istoric_Nativ'!$C$6:$C$405=C31)*('Istoric_Nativ'!$P$6:$P$405=1)*('Istoric_Nativ'!$D$6:$D$405&lt;INT(G31))*((('Istoric_Nativ'!$E$6:$E$405='Input_Meci'!D31)+('Istoric_Nativ'!$F$6:$F$405='Input_Meci'!D31)+('Istoric_Nativ'!$E$6:$E$405='Input_Meci'!E31)+('Istoric_Nativ'!$F$6:$F$405='Input_Meci'!E31))&gt;0))&gt;='Config_v6'!$B$41,C31,IF(AND('Input_Meci'!L31="YES",'Input_Meci'!K31&lt;&gt;"",'Input_Meci'!K31&lt;C31,COUNTIF('Core_Nativ'!R312:R317,"CLOSED")=6,SUM('Core_Nativ'!S312:S317)=0),'Input_Meci'!K31,C31)))</x:f>
      </x:c>
      <x:c r="BM31" s="9" t="n">
        <x:f>IF(OR(A31="",N31=0),0,LARGE(_xlfn._xlws.FILTER('Istoric_Nativ'!$D$6:$D$405,('Istoric_Nativ'!$B$6:$B$405=B31)*('Istoric_Nativ'!$C$6:$C$405=C31)*('Istoric_Nativ'!$P$6:$P$405=1)*('Istoric_Nativ'!$D$6:$D$405&lt;INT(G31))*((('Istoric_Nativ'!$E$6:$E$405='Input_Meci'!D31)+('Istoric_Nativ'!$F$6:$F$405='Input_Meci'!D31))&gt;0)),MIN(10,N31)))</x:f>
        <x:v>0</x:v>
      </x:c>
      <x:c r="BN31" s="9" t="n">
        <x:f>IF(OR(A31="",Q31=0),0,LARGE(_xlfn._xlws.FILTER('Istoric_Nativ'!$D$6:$D$405,('Istoric_Nativ'!$B$6:$B$405=B31)*('Istoric_Nativ'!$C$6:$C$405=C31)*('Istoric_Nativ'!$P$6:$P$405=1)*('Istoric_Nativ'!$D$6:$D$405&lt;INT(G31))*((('Istoric_Nativ'!$E$6:$E$405='Input_Meci'!E31)+('Istoric_Nativ'!$F$6:$F$405='Input_Meci'!E31))&gt;0)),MIN(10,Q31)))</x:f>
        <x:v>0</x:v>
      </x:c>
      <x:c r="BO31" s="9" t="n">
        <x:f>IF(OR(A31="",N31=0),0,LARGE(_xlfn._xlws.FILTER('Istoric_Nativ'!$D$6:$D$405,('Istoric_Nativ'!$B$6:$B$405=B31)*('Istoric_Nativ'!$C$6:$C$405=C31)*('Istoric_Nativ'!$P$6:$P$405=1)*('Istoric_Nativ'!$D$6:$D$405&lt;INT(G31))*((('Istoric_Nativ'!$E$6:$E$405='Input_Meci'!D31)+('Istoric_Nativ'!$F$6:$F$405='Input_Meci'!D31))&gt;0)),MIN(20,N31)))</x:f>
        <x:v>0</x:v>
      </x:c>
      <x:c r="BP31" s="9" t="n">
        <x:f>IF(OR(A31="",Q31=0),0,LARGE(_xlfn._xlws.FILTER('Istoric_Nativ'!$D$6:$D$405,('Istoric_Nativ'!$B$6:$B$405=B31)*('Istoric_Nativ'!$C$6:$C$405=C31)*('Istoric_Nativ'!$P$6:$P$405=1)*('Istoric_Nativ'!$D$6:$D$405&lt;INT(G31))*((('Istoric_Nativ'!$E$6:$E$405='Input_Meci'!E31)+('Istoric_Nativ'!$F$6:$F$405='Input_Meci'!E31))&gt;0)),MIN(20,Q31)))</x:f>
        <x:v>0</x:v>
      </x:c>
      <x:c r="BQ31" s="2" t="str">
        <x:f>IF(A31="","",IF(AND(COUNTIF(MatchesTable[Match_ID],A31)=1,COUNTIFS(MatchesTable[League],B31,MatchesTable[Season],C31,MatchesTable[Home],'Input_Meci'!D31,MatchesTable[Away],'Input_Meci'!E31,MatchesTable[Kickoff_UTC],F31)=1,B31&lt;&gt;"",C31&lt;&gt;"",'Input_Meci'!D31&lt;&gt;"",'Input_Meci'!E31&lt;&gt;"",'Input_Meci'!D31&lt;&gt;'Input_Meci'!E31,ISNUMBER(F31),ISNUMBER(G31),G31&lt;F31,OR(E31="LIVE",E31="REPLAY"),OR('Input_Meci'!L31="YES",'Input_Meci'!L31="NO",'Input_Meci'!L31="")),"VALID","INVALID"))</x:f>
      </x:c>
      <x:c r="BR31" s="2" t="n">
        <x:f>IF(I31&lt;&gt;"PASS",0,SUMPRODUCT(('Istoric_Nativ'!$B$6:$B$405='Input_Meci'!B31)*('Istoric_Nativ'!$C$6:$C$405='Input_Meci'!C31)*('Istoric_Nativ'!$P$6:$P$405=1)*('Istoric_Nativ'!$D$6:$D$405&lt;INT('Input_Meci'!G31))*((('Istoric_Nativ'!$E$6:$E$405='Input_Meci'!D31)+('Istoric_Nativ'!$F$6:$F$405='Input_Meci'!E31))&gt;0)))</x:f>
        <x:v>0</x:v>
      </x:c>
      <x:c r="BS31" s="2" t="n">
        <x:f>IF(I31&lt;&gt;"PASS",0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BM31)+((('Istoric_Nativ'!$E$6:$E$405='Input_Meci'!E31)+('Istoric_Nativ'!$F$6:$F$405='Input_Meci'!E31))&gt;0)*('Istoric_Nativ'!$D$6:$D$405&gt;=BN31))&gt;0)))</x:f>
        <x:v>0</x:v>
      </x:c>
      <x:c r="BT31" s="2" t="n">
        <x:f>IF(I31&lt;&gt;"PASS",0,SUMPRODUCT(('Istoric_Nativ'!$B$6:$B$405='Input_Meci'!B31)*('Istoric_Nativ'!$C$6:$C$405='Input_Meci'!C31)*('Istoric_Nativ'!$P$6:$P$405=1)*('Istoric_Nativ'!$D$6:$D$405&lt;INT('Input_Meci'!G31))*((((('Istoric_Nativ'!$E$6:$E$405='Input_Meci'!D31)+('Istoric_Nativ'!$F$6:$F$405='Input_Meci'!D31))&gt;0)*('Istoric_Nativ'!$D$6:$D$405&gt;=BO31)+((('Istoric_Nativ'!$E$6:$E$405='Input_Meci'!E31)+('Istoric_Nativ'!$F$6:$F$405='Input_Meci'!E31))&gt;0)*('Istoric_Nativ'!$D$6:$D$405&gt;=BP31))&gt;0)))</x:f>
        <x:v>0</x:v>
      </x:c>
    </x:row>
    <x:row r="32" ht="21" customHeight="1">
      <x:c r="A32" s="2" t="str">
        <x:f>IF('Input_Meci'!A32="","",'Input_Meci'!A32)</x:f>
      </x:c>
      <x:c r="B32" s="2" t="str">
        <x:f>IF(A32="","",'Input_Meci'!B32)</x:f>
      </x:c>
      <x:c r="C32" s="2" t="str">
        <x:f>IF(A32="","",'Input_Meci'!C32)</x:f>
      </x:c>
      <x:c r="D32" s="2" t="str">
        <x:f>IF(A32="","",'Input_Meci'!D32&amp;" – "&amp;'Input_Meci'!E32)</x:f>
      </x:c>
      <x:c r="E32" s="2" t="str">
        <x:f>IF(A32="","",'Input_Meci'!H32)</x:f>
      </x:c>
      <x:c r="F32" s="9" t="str">
        <x:f>IF(A32="","",'Input_Meci'!F32)</x:f>
      </x:c>
      <x:c r="G32" s="9" t="str">
        <x:f>IF(A32="","",'Input_Meci'!G32)</x:f>
      </x:c>
      <x:c r="H32" s="2" t="str">
        <x:f>IF(A32="","",IF(BQ32&lt;&gt;"VALID","NOT RELEASED",IF(AND(OR('Input_Meci'!I32="NOT AVAILABLE",'Input_Meci'!I32="SOURCE CONFLICT"),'Input_Meci'!J32&lt;&gt;""),"READY",IF(OR(NOT(OR('Input_Meci'!I32="AUTO",'Input_Meci'!I32="")),COUNTIF('Core_Nativ'!R318:R323,"CLOSED")&lt;&gt;6,BJ32&gt;0),"NOT RELEASED","READY"))))</x:f>
      </x:c>
      <x:c r="I32" s="2" t="str">
        <x:f>IF(A32="","",IF(H32&lt;&gt;"READY","NOT RELEASED",IF(AND(NOT(OR('Input_Meci'!I32="NOT AVAILABLE",'Input_Meci'!I32="SOURCE CONFLICT")),L32=12,AR32&gt;=2,AS32&gt;0,ISNUMBER(AT32),BI32="VALID",BK32="VALID"),"PASS","FAIL")))</x:f>
      </x:c>
      <x:c r="J32" s="2" t="str">
        <x:f>IF(A32="","",IF(BQ32&lt;&gt;"VALID","Verifica ID, echipe, mod si cutoff &lt; kickoff",IF(H32&lt;&gt;"READY",IF('Input_Meci'!I32="ACCESS BLOCKED","Acces blocat: reia sursele",IF(BJ32&gt;0,"Istoric invalid sau conflict: verifica randurile native","Surse neinchise / post-cutoff / dovezi incomplete")),IF(OR('Input_Meci'!I32="NOT AVAILABLE",'Input_Meci'!I32="SOURCE CONFLICT"),'Input_Meci'!I32,IF(BK32&lt;&gt;"VALID","Parametri invalizi",IF(L32&lt;&gt;12,"Core / sample / prior insuficient",IF(AR32&lt;2,"N insuficient pentru dispersie",IF(AS32&lt;=0,"Media istorica trebuie sa fie pozitiva",IF(BI32&lt;&gt;"VALID","Context invalid","READY")))))))))</x:f>
      </x:c>
      <x:c r="K32" s="2" t="str">
        <x:f>IF(A32="","",COUNT(T32:AE32))</x:f>
      </x:c>
      <x:c r="L32" s="2" t="str">
        <x:f>IF(A32="","",COUNT(AF32:AQ32))</x:f>
      </x:c>
      <x:c r="M32" s="2" t="str">
        <x:f>IF(A32="","",IF(OR('Core_Nativ'!M318&lt;'Core_Nativ'!P318,'Core_Nativ'!M319&lt;'Core_Nativ'!P319,'Core_Nativ'!M320&lt;'Core_Nativ'!P320,'Core_Nativ'!M321&lt;'Core_Nativ'!P321,'Core_Nativ'!M322&lt;'Core_Nativ'!P322,'Core_Nativ'!M323&lt;'Core_Nativ'!P323),"YES","NO"))</x:f>
      </x:c>
      <x:c r="N32" s="2" t="str">
        <x:f>IF(A32="","",'Core_Nativ'!M318)</x:f>
      </x:c>
      <x:c r="O32" s="2" t="str">
        <x:f>IF(A32="","",'Core_Nativ'!M319)</x:f>
      </x:c>
      <x:c r="P32" s="2" t="str">
        <x:f>IF(A32="","",'Core_Nativ'!M320)</x:f>
      </x:c>
      <x:c r="Q32" s="2" t="str">
        <x:f>IF(A32="","",'Core_Nativ'!M321)</x:f>
      </x:c>
      <x:c r="R32" s="2" t="str">
        <x:f>IF(A32="","",'Core_Nativ'!M322)</x:f>
      </x:c>
      <x:c r="S32" s="2" t="str">
        <x:f>IF(A32="","",'Core_Nativ'!M323)</x:f>
      </x:c>
      <x:c r="T32" s="11" t="str">
        <x:f>IF(OR(A32="",'Core_Nativ'!M318=0),"",'Core_Nativ'!N318)</x:f>
      </x:c>
      <x:c r="U32" s="11" t="str">
        <x:f>IF(OR(A32="",'Core_Nativ'!M318=0),"",'Core_Nativ'!O318)</x:f>
      </x:c>
      <x:c r="V32" s="11" t="str">
        <x:f>IF(OR(A32="",'Core_Nativ'!M319=0),"",'Core_Nativ'!N319)</x:f>
      </x:c>
      <x:c r="W32" s="11" t="str">
        <x:f>IF(OR(A32="",'Core_Nativ'!M319=0),"",'Core_Nativ'!O319)</x:f>
      </x:c>
      <x:c r="X32" s="11" t="str">
        <x:f>IF(OR(A32="",'Core_Nativ'!M320=0),"",'Core_Nativ'!N320)</x:f>
      </x:c>
      <x:c r="Y32" s="11" t="str">
        <x:f>IF(OR(A32="",'Core_Nativ'!M320=0),"",'Core_Nativ'!O320)</x:f>
      </x:c>
      <x:c r="Z32" s="11" t="str">
        <x:f>IF(OR(A32="",'Core_Nativ'!M321=0),"",'Core_Nativ'!N321)</x:f>
      </x:c>
      <x:c r="AA32" s="11" t="str">
        <x:f>IF(OR(A32="",'Core_Nativ'!M321=0),"",'Core_Nativ'!O321)</x:f>
      </x:c>
      <x:c r="AB32" s="11" t="str">
        <x:f>IF(OR(A32="",'Core_Nativ'!M322=0),"",'Core_Nativ'!N322)</x:f>
      </x:c>
      <x:c r="AC32" s="11" t="str">
        <x:f>IF(OR(A32="",'Core_Nativ'!M322=0),"",'Core_Nativ'!O322)</x:f>
      </x:c>
      <x:c r="AD32" s="11" t="str">
        <x:f>IF(OR(A32="",'Core_Nativ'!M323=0),"",'Core_Nativ'!N323)</x:f>
      </x:c>
      <x:c r="AE32" s="11" t="str">
        <x:f>IF(OR(A32="",'Core_Nativ'!M323=0),"",'Core_Nativ'!O323)</x:f>
      </x:c>
      <x:c r="AF32" s="11" t="str">
        <x:f>IF(A32="","",IF(AND('Core_Nativ'!R318="CLOSED",'Core_Nativ'!S318=0),IF('Core_Nativ'!M318&gt;='Core_Nativ'!P318,'Core_Nativ'!N318,IF(AND('Input_Meci'!L32="YES",'Input_Meci'!K32&lt;&gt;"",'Input_Meci'!K32&lt;C32,'Core_Nativ'!T324="DERIVED",'Core_Nativ'!M324&gt;='Core_Nativ'!P318),MIN(1,'Core_Nativ'!M318/'Core_Nativ'!P318)*IF('Core_Nativ'!M318=0,0,'Core_Nativ'!N318)+(1-MIN(1,'Core_Nativ'!M318/'Core_Nativ'!P318))*'Core_Nativ'!N324,"")),""))</x:f>
      </x:c>
      <x:c r="AG32" s="11" t="str">
        <x:f>IF(A32="","",IF(AND('Core_Nativ'!R318="CLOSED",'Core_Nativ'!S318=0),IF('Core_Nativ'!M318&gt;='Core_Nativ'!P318,'Core_Nativ'!O318,IF(AND('Input_Meci'!L32="YES",'Input_Meci'!K32&lt;&gt;"",'Input_Meci'!K32&lt;C32,'Core_Nativ'!T324="DERIVED",'Core_Nativ'!M324&gt;='Core_Nativ'!P318),MIN(1,'Core_Nativ'!M318/'Core_Nativ'!P318)*IF('Core_Nativ'!M318=0,0,'Core_Nativ'!O318)+(1-MIN(1,'Core_Nativ'!M318/'Core_Nativ'!P318))*'Core_Nativ'!O324,"")),""))</x:f>
      </x:c>
      <x:c r="AH32" s="11" t="str">
        <x:f>IF(A32="","",IF(AND('Core_Nativ'!R319="CLOSED",'Core_Nativ'!S319=0),IF('Core_Nativ'!M319&gt;='Core_Nativ'!P319,'Core_Nativ'!N319,IF(AND('Input_Meci'!L32="YES",'Input_Meci'!K32&lt;&gt;"",'Input_Meci'!K32&lt;C32,'Core_Nativ'!T325="DERIVED",'Core_Nativ'!M325&gt;='Core_Nativ'!P319),MIN(1,'Core_Nativ'!M319/'Core_Nativ'!P319)*IF('Core_Nativ'!M319=0,0,'Core_Nativ'!N319)+(1-MIN(1,'Core_Nativ'!M319/'Core_Nativ'!P319))*'Core_Nativ'!N325,"")),""))</x:f>
      </x:c>
      <x:c r="AI32" s="11" t="str">
        <x:f>IF(A32="","",IF(AND('Core_Nativ'!R319="CLOSED",'Core_Nativ'!S319=0),IF('Core_Nativ'!M319&gt;='Core_Nativ'!P319,'Core_Nativ'!O319,IF(AND('Input_Meci'!L32="YES",'Input_Meci'!K32&lt;&gt;"",'Input_Meci'!K32&lt;C32,'Core_Nativ'!T325="DERIVED",'Core_Nativ'!M325&gt;='Core_Nativ'!P319),MIN(1,'Core_Nativ'!M319/'Core_Nativ'!P319)*IF('Core_Nativ'!M319=0,0,'Core_Nativ'!O319)+(1-MIN(1,'Core_Nativ'!M319/'Core_Nativ'!P319))*'Core_Nativ'!O325,"")),""))</x:f>
      </x:c>
      <x:c r="AJ32" s="11" t="str">
        <x:f>IF(A32="","",IF(AND('Core_Nativ'!R320="CLOSED",'Core_Nativ'!S320=0),IF('Core_Nativ'!M320&gt;='Core_Nativ'!P320,'Core_Nativ'!N320,IF(AND('Input_Meci'!L32="YES",'Input_Meci'!K32&lt;&gt;"",'Input_Meci'!K32&lt;C32,'Core_Nativ'!T326="DERIVED",'Core_Nativ'!M326&gt;='Core_Nativ'!P320),MIN(1,'Core_Nativ'!M320/'Core_Nativ'!P320)*IF('Core_Nativ'!M320=0,0,'Core_Nativ'!N320)+(1-MIN(1,'Core_Nativ'!M320/'Core_Nativ'!P320))*'Core_Nativ'!N326,"")),""))</x:f>
      </x:c>
      <x:c r="AK32" s="11" t="str">
        <x:f>IF(A32="","",IF(AND('Core_Nativ'!R320="CLOSED",'Core_Nativ'!S320=0),IF('Core_Nativ'!M320&gt;='Core_Nativ'!P320,'Core_Nativ'!O320,IF(AND('Input_Meci'!L32="YES",'Input_Meci'!K32&lt;&gt;"",'Input_Meci'!K32&lt;C32,'Core_Nativ'!T326="DERIVED",'Core_Nativ'!M326&gt;='Core_Nativ'!P320),MIN(1,'Core_Nativ'!M320/'Core_Nativ'!P320)*IF('Core_Nativ'!M320=0,0,'Core_Nativ'!O320)+(1-MIN(1,'Core_Nativ'!M320/'Core_Nativ'!P320))*'Core_Nativ'!O326,"")),""))</x:f>
      </x:c>
      <x:c r="AL32" s="11" t="str">
        <x:f>IF(A32="","",IF(AND('Core_Nativ'!R321="CLOSED",'Core_Nativ'!S321=0),IF('Core_Nativ'!M321&gt;='Core_Nativ'!P321,'Core_Nativ'!N321,IF(AND('Input_Meci'!L32="YES",'Input_Meci'!K32&lt;&gt;"",'Input_Meci'!K32&lt;C32,'Core_Nativ'!T327="DERIVED",'Core_Nativ'!M327&gt;='Core_Nativ'!P321),MIN(1,'Core_Nativ'!M321/'Core_Nativ'!P321)*IF('Core_Nativ'!M321=0,0,'Core_Nativ'!N321)+(1-MIN(1,'Core_Nativ'!M321/'Core_Nativ'!P321))*'Core_Nativ'!N327,"")),""))</x:f>
      </x:c>
      <x:c r="AM32" s="11" t="str">
        <x:f>IF(A32="","",IF(AND('Core_Nativ'!R321="CLOSED",'Core_Nativ'!S321=0),IF('Core_Nativ'!M321&gt;='Core_Nativ'!P321,'Core_Nativ'!O321,IF(AND('Input_Meci'!L32="YES",'Input_Meci'!K32&lt;&gt;"",'Input_Meci'!K32&lt;C32,'Core_Nativ'!T327="DERIVED",'Core_Nativ'!M327&gt;='Core_Nativ'!P321),MIN(1,'Core_Nativ'!M321/'Core_Nativ'!P321)*IF('Core_Nativ'!M321=0,0,'Core_Nativ'!O321)+(1-MIN(1,'Core_Nativ'!M321/'Core_Nativ'!P321))*'Core_Nativ'!O327,"")),""))</x:f>
      </x:c>
      <x:c r="AN32" s="11" t="str">
        <x:f>IF(A32="","",IF(AND('Core_Nativ'!R322="CLOSED",'Core_Nativ'!S322=0),IF('Core_Nativ'!M322&gt;='Core_Nativ'!P322,'Core_Nativ'!N322,IF(AND('Input_Meci'!L32="YES",'Input_Meci'!K32&lt;&gt;"",'Input_Meci'!K32&lt;C32,'Core_Nativ'!T328="DERIVED",'Core_Nativ'!M328&gt;='Core_Nativ'!P322),MIN(1,'Core_Nativ'!M322/'Core_Nativ'!P322)*IF('Core_Nativ'!M322=0,0,'Core_Nativ'!N322)+(1-MIN(1,'Core_Nativ'!M322/'Core_Nativ'!P322))*'Core_Nativ'!N328,"")),""))</x:f>
      </x:c>
      <x:c r="AO32" s="11" t="str">
        <x:f>IF(A32="","",IF(AND('Core_Nativ'!R322="CLOSED",'Core_Nativ'!S322=0),IF('Core_Nativ'!M322&gt;='Core_Nativ'!P322,'Core_Nativ'!O322,IF(AND('Input_Meci'!L32="YES",'Input_Meci'!K32&lt;&gt;"",'Input_Meci'!K32&lt;C32,'Core_Nativ'!T328="DERIVED",'Core_Nativ'!M328&gt;='Core_Nativ'!P322),MIN(1,'Core_Nativ'!M322/'Core_Nativ'!P322)*IF('Core_Nativ'!M322=0,0,'Core_Nativ'!O322)+(1-MIN(1,'Core_Nativ'!M322/'Core_Nativ'!P322))*'Core_Nativ'!O328,"")),""))</x:f>
      </x:c>
      <x:c r="AP32" s="11" t="str">
        <x:f>IF(A32="","",IF(AND('Core_Nativ'!R323="CLOSED",'Core_Nativ'!S323=0),IF('Core_Nativ'!M323&gt;='Core_Nativ'!P323,'Core_Nativ'!N323,IF(AND('Input_Meci'!L32="YES",'Input_Meci'!K32&lt;&gt;"",'Input_Meci'!K32&lt;C32,'Core_Nativ'!T329="DERIVED",'Core_Nativ'!M329&gt;='Core_Nativ'!P323),MIN(1,'Core_Nativ'!M323/'Core_Nativ'!P323)*IF('Core_Nativ'!M323=0,0,'Core_Nativ'!N323)+(1-MIN(1,'Core_Nativ'!M323/'Core_Nativ'!P323))*'Core_Nativ'!N329,"")),""))</x:f>
      </x:c>
      <x:c r="AQ32" s="11" t="str">
        <x:f>IF(A32="","",IF(AND('Core_Nativ'!R323="CLOSED",'Core_Nativ'!S323=0),IF('Core_Nativ'!M323&gt;='Core_Nativ'!P323,'Core_Nativ'!O323,IF(AND('Input_Meci'!L32="YES",'Input_Meci'!K32&lt;&gt;"",'Input_Meci'!K32&lt;C32,'Core_Nativ'!T329="DERIVED",'Core_Nativ'!M329&gt;='Core_Nativ'!P323),MIN(1,'Core_Nativ'!M323/'Core_Nativ'!P323)*IF('Core_Nativ'!M323=0,0,'Core_Nativ'!O323)+(1-MIN(1,'Core_Nativ'!M323/'Core_Nativ'!P323))*'Core_Nativ'!O329,"")),""))</x:f>
      </x:c>
      <x:c r="AR32" s="11" t="str">
        <x:f>IF(A32="","",SUMPRODUCT(('Istoric_Nativ'!$B$6:$B$405=B32)*('Istoric_Nativ'!$C$6:$C$405=BL32)*('Istoric_Nativ'!$P$6:$P$405=1)*('Istoric_Nativ'!$D$6:$D$405&lt;INT(G32))*((('Istoric_Nativ'!$E$6:$E$405='Input_Meci'!D32)+('Istoric_Nativ'!$F$6:$F$405='Input_Meci'!D32)+('Istoric_Nativ'!$E$6:$E$405='Input_Meci'!E32)+('Istoric_Nativ'!$F$6:$F$405='Input_Meci'!E32))&gt;0)))</x:f>
      </x:c>
      <x:c r="AS32" s="11" t="str">
        <x:f>IF(AR32=0,"",SUMPRODUCT(('Istoric_Nativ'!$B$6:$B$405=B32)*('Istoric_Nativ'!$C$6:$C$405=BL32)*('Istoric_Nativ'!$P$6:$P$405=1)*('Istoric_Nativ'!$D$6:$D$405&lt;INT(G32))*((('Istoric_Nativ'!$E$6:$E$405='Input_Meci'!D32)+('Istoric_Nativ'!$F$6:$F$405='Input_Meci'!D32)+('Istoric_Nativ'!$E$6:$E$405='Input_Meci'!E32)+('Istoric_Nativ'!$F$6:$F$405='Input_Meci'!E32))&gt;0)*'Istoric_Nativ'!$Q$6:$Q$405)/AR32)</x:f>
      </x:c>
      <x:c r="AT32" s="11" t="str">
        <x:f>IF(AR32&lt;2,"",MAX(0,(SUMPRODUCT(('Istoric_Nativ'!$B$6:$B$405=B32)*('Istoric_Nativ'!$C$6:$C$405=BL32)*('Istoric_Nativ'!$P$6:$P$405=1)*('Istoric_Nativ'!$D$6:$D$405&lt;INT(G32))*((('Istoric_Nativ'!$E$6:$E$405='Input_Meci'!D32)+('Istoric_Nativ'!$F$6:$F$405='Input_Meci'!D32)+('Istoric_Nativ'!$E$6:$E$405='Input_Meci'!E32)+('Istoric_Nativ'!$F$6:$F$405='Input_Meci'!E32))&gt;0)*'Istoric_Nativ'!$R$6:$R$405)-AR32*AS32^2)/(AR32-1)))</x:f>
      </x:c>
      <x:c r="AU32" s="11" t="str">
        <x:f>IF(I32&lt;&gt;"PASS","",AT32/AS32)</x:f>
      </x:c>
      <x:c r="AV32" s="11" t="str">
        <x:f>IF(I32&lt;&gt;"PASS","",IF(AU32&lt;='Config_v6'!$B$10,"POISSON","NEGATIVE BINOMIAL"))</x:f>
      </x:c>
      <x:c r="AW32" s="11" t="str">
        <x:f>IF(I32&lt;&gt;"PASS","",IF(AV32="POISSON",9999,AS32/(AU32-1)))</x:f>
      </x:c>
      <x:c r="AX32" s="11" t="str">
        <x:f>IF(A32="","",MAX(1-'Config_v6'!$B$20,MIN(1+'Config_v6'!$B$20,1+0.02*(IF(AND(ISNUMBER('Input_Meci'!N32),'Input_Meci'!N32&gt;=0,'Input_Meci'!N32&lt;=200),'Input_Meci'!N32,12)/12-1)+0.02*(IF(AND(ISNUMBER('Input_Meci'!P32),'Input_Meci'!P32&gt;=0,'Input_Meci'!P32&lt;=200),'Input_Meci'!P32,3.5)/3.5-1)+0.02*(IF(AND(ISNUMBER('Input_Meci'!R32),'Input_Meci'!R32&gt;=0,'Input_Meci'!R32&lt;=200),'Input_Meci'!R32,18)/18-1)+0.02*((IF(AND(ISNUMBER('Input_Meci'!V32),'Input_Meci'!V32&gt;=0,'Input_Meci'!V32&lt;=10),'Input_Meci'!V32,5)-5)/5))))</x:f>
      </x:c>
      <x:c r="AY32" s="11" t="str">
        <x:f>IF(A32="","",MAX(1-'Config_v6'!$B$20,MIN(1+'Config_v6'!$B$20,1+0.02*(IF(AND(ISNUMBER('Input_Meci'!O32),'Input_Meci'!O32&gt;=0,'Input_Meci'!O32&lt;=200),'Input_Meci'!O32,12)/12-1)+0.02*(IF(AND(ISNUMBER('Input_Meci'!Q32),'Input_Meci'!Q32&gt;=0,'Input_Meci'!Q32&lt;=200),'Input_Meci'!Q32,3.5)/3.5-1)+0.02*(IF(AND(ISNUMBER('Input_Meci'!S32),'Input_Meci'!S32&gt;=0,'Input_Meci'!S32&lt;=200),'Input_Meci'!S32,18)/18-1)+0.02*((IF(AND(ISNUMBER('Input_Meci'!W32),'Input_Meci'!W32&gt;=0,'Input_Meci'!W32&lt;=10),'Input_Meci'!W32,5)-5)/5))))</x:f>
      </x:c>
      <x:c r="AZ32" s="11" t="str">
        <x:f>IF(A32="","",MAX(1-'Config_v6'!$B$21,MIN(1+'Config_v6'!$B$21,1+0.012*(IF('Input_Meci'!X32="",5,IF(ISNUMBER('Input_Meci'!X32),'Input_Meci'!X32,5))-5)+0.018*(IF('Input_Meci'!Z32="",5,IF(ISNUMBER('Input_Meci'!Z32),'Input_Meci'!Z32,5))-5)+0.012*(IF('Input_Meci'!AB32="",5,IF(ISNUMBER('Input_Meci'!AB32),'Input_Meci'!AB32,5))-5)+0.015*IF('Input_Meci'!AD32="",0,IF(ISNUMBER('Input_Meci'!AD32),'Input_Meci'!AD32,0))+0.02*IF('Input_Meci'!AF32="",0,IF(ISNUMBER('Input_Meci'!AF32),'Input_Meci'!AF32,0)))))</x:f>
      </x:c>
      <x:c r="BA32" s="11" t="str">
        <x:f>IF(A32="","",MAX(1-'Config_v6'!$B$21,MIN(1+'Config_v6'!$B$21,1+0.012*(IF('Input_Meci'!Y32="",5,IF(ISNUMBER('Input_Meci'!Y32),'Input_Meci'!Y32,5))-5)+0.018*(IF('Input_Meci'!AA32="",5,IF(ISNUMBER('Input_Meci'!AA32),'Input_Meci'!AA32,5))-5)+0.012*(IF('Input_Meci'!AC32="",5,IF(ISNUMBER('Input_Meci'!AC32),'Input_Meci'!AC32,5))-5)+0.015*IF('Input_Meci'!AE32="",0,IF(ISNUMBER('Input_Meci'!AE32),'Input_Meci'!AE32,0))+0.02*IF('Input_Meci'!AG32="",0,IF(ISNUMBER('Input_Meci'!AG32),'Input_Meci'!AG32,0)))))</x:f>
      </x:c>
      <x:c r="BB32" s="11" t="str">
        <x:f>IF(I32&lt;&gt;"PASS","",(AVERAGE(AF32,AM32)*'Config_v6'!$B$4+AVERAGE(AH32,AO32)*'Config_v6'!$B$5+AVERAGE(AJ32,AQ32)*'Config_v6'!$B$6)*AX32*AZ32)</x:f>
      </x:c>
      <x:c r="BC32" s="11" t="str">
        <x:f>IF(I32&lt;&gt;"PASS","",(AVERAGE(AL32,AG32)*'Config_v6'!$B$4+AVERAGE(AN32,AI32)*'Config_v6'!$B$5+AVERAGE(AP32,AK32)*'Config_v6'!$B$6)*AY32*BA32)</x:f>
      </x:c>
      <x:c r="BD32" s="11" t="str">
        <x:f>IF(I32&lt;&gt;"PASS","",BB32+BC32)</x:f>
      </x:c>
      <x:c r="BE32" s="11" t="str">
        <x:f>IF(A32="","",10-SUM(IF(AND(ISNUMBER('Input_Meci'!N32),'Input_Meci'!N32&gt;=0,'Input_Meci'!N32&lt;=200),1,0),IF(AND(ISNUMBER('Input_Meci'!O32),'Input_Meci'!O32&gt;=0,'Input_Meci'!O32&lt;=200),1,0),IF(AND(ISNUMBER('Input_Meci'!P32),'Input_Meci'!P32&gt;=0,'Input_Meci'!P32&lt;=200),1,0),IF(AND(ISNUMBER('Input_Meci'!Q32),'Input_Meci'!Q32&gt;=0,'Input_Meci'!Q32&lt;=200),1,0),IF(AND(ISNUMBER('Input_Meci'!R32),'Input_Meci'!R32&gt;=0,'Input_Meci'!R32&lt;=200),1,0),IF(AND(ISNUMBER('Input_Meci'!S32),'Input_Meci'!S32&gt;=0,'Input_Meci'!S32&lt;=200),1,0),IF(AND(ISNUMBER('Input_Meci'!T32),'Input_Meci'!T32&gt;=0,'Input_Meci'!T32&lt;=100),1,0),IF(AND(ISNUMBER('Input_Meci'!U32),'Input_Meci'!U32&gt;=0,'Input_Meci'!U32&lt;=100),1,0),IF(AND(ISNUMBER('Input_Meci'!V32),'Input_Meci'!V32&gt;=0,'Input_Meci'!V32&lt;=10),1,0),IF(AND(ISNUMBER('Input_Meci'!W32),'Input_Meci'!W32&gt;=0,'Input_Meci'!W32&lt;=10),1,0)))</x:f>
      </x:c>
      <x:c r="BF32" s="11" t="str">
        <x:f>IF(I32&lt;&gt;"PASS","",MAX(0,MIN(IF(OR(M32="YES",BL32&lt;&gt;C32),'Config_v6'!$B$34,100),ROUND(40+25*MIN(1,MIN(N32,Q32)/'Config_v6'!$B$7)*MIN(1,MIN(O32,R32)/'Config_v6'!$B$8)*MIN(1,MIN(P32,S32)/'Config_v6'!$B$9)+MAX(0,15-2*ABS(AF32-AJ32)-2*ABS(AL32-AP32))+IF(AU32&lt;='Config_v6'!$B$10,15,IF(AU32&lt;='Config_v6'!$B$11,13,IF(AU32&lt;='Config_v6'!$B$12,10,IF(AU32&lt;='Config_v6'!$B$13,6,0))))+5-BE32/10*'Config_v6'!$B$38,0))))</x:f>
      </x:c>
      <x:c r="BG32" s="11" t="str">
        <x:f>IF(I32&lt;&gt;"PASS","",MIN(1,'Config_v6'!$B$14*(0.7+0.3*MIN(1,AR32/'Config_v6'!$B$15))*IF(AU32&lt;='Config_v6'!$B$10,1,IF(AU32&lt;='Config_v6'!$B$11,0.95,IF(AU32&lt;='Config_v6'!$B$12,0.88,0.78)))*(0.75+0.25*BF32/100)))</x:f>
      </x:c>
      <x:c r="BH32" s="11" t="str">
        <x:f>IF(I32&lt;&gt;"PASS","",MIN(1,(ABS(AZ32-1)+ABS(BA32-1))*3))</x:f>
      </x:c>
      <x:c r="BI32" s="2" t="str">
        <x:f>IF(A32="","",IF(AND(OR('Input_Meci'!X32="",AND(ISNUMBER('Input_Meci'!X32),'Input_Meci'!X32&gt;=0,'Input_Meci'!X32&lt;=10)),OR('Input_Meci'!Y32="",AND(ISNUMBER('Input_Meci'!Y32),'Input_Meci'!Y32&gt;=0,'Input_Meci'!Y32&lt;=10)),OR('Input_Meci'!Z32="",AND(ISNUMBER('Input_Meci'!Z32),'Input_Meci'!Z32&gt;=0,'Input_Meci'!Z32&lt;=10)),OR('Input_Meci'!AA32="",AND(ISNUMBER('Input_Meci'!AA32),'Input_Meci'!AA32&gt;=0,'Input_Meci'!AA32&lt;=10)),OR('Input_Meci'!AB32="",AND(ISNUMBER('Input_Meci'!AB32),'Input_Meci'!AB32&gt;=0,'Input_Meci'!AB32&lt;=10)),OR('Input_Meci'!AC32="",AND(ISNUMBER('Input_Meci'!AC32),'Input_Meci'!AC32&gt;=0,'Input_Meci'!AC32&lt;=10)),OR('Input_Meci'!AD32="",AND(ISNUMBER('Input_Meci'!AD32),'Input_Meci'!AD32&gt;=-2,'Input_Meci'!AD32&lt;=2)),OR('Input_Meci'!AE32="",AND(ISNUMBER('Input_Meci'!AE32),'Input_Meci'!AE32&gt;=-2,'Input_Meci'!AE32&lt;=2)),OR('Input_Meci'!AF32="",AND(ISNUMBER('Input_Meci'!AF32),'Input_Meci'!AF32&gt;=-2,'Input_Meci'!AF32&lt;=2)),OR('Input_Meci'!AG32="",AND(ISNUMBER('Input_Meci'!AG32),'Input_Meci'!AG32&gt;=-2,'Input_Meci'!AG32&lt;=2))),"VALID","INVALID"))</x:f>
      </x:c>
      <x:c r="BJ32" s="2" t="n">
        <x:f>IF(A32="",0,SUM('Core_Nativ'!S318:S323))</x:f>
        <x:v>0</x:v>
      </x:c>
      <x:c r="BK32" s="2" t="str">
        <x:f>'Config_v6'!$B$40</x:f>
        <x:v>VALID</x:v>
      </x:c>
      <x:c r="BL32" s="2" t="str">
        <x:f>IF(A32="","",IF(SUMPRODUCT(('Istoric_Nativ'!$B$6:$B$405=B32)*('Istoric_Nativ'!$C$6:$C$405=C32)*('Istoric_Nativ'!$P$6:$P$405=1)*('Istoric_Nativ'!$D$6:$D$405&lt;INT(G32))*((('Istoric_Nativ'!$E$6:$E$405='Input_Meci'!D32)+('Istoric_Nativ'!$F$6:$F$405='Input_Meci'!D32)+('Istoric_Nativ'!$E$6:$E$405='Input_Meci'!E32)+('Istoric_Nativ'!$F$6:$F$405='Input_Meci'!E32))&gt;0))&gt;='Config_v6'!$B$41,C32,IF(AND('Input_Meci'!L32="YES",'Input_Meci'!K32&lt;&gt;"",'Input_Meci'!K32&lt;C32,COUNTIF('Core_Nativ'!R324:R329,"CLOSED")=6,SUM('Core_Nativ'!S324:S329)=0),'Input_Meci'!K32,C32)))</x:f>
      </x:c>
      <x:c r="BM32" s="9" t="n">
        <x:f>IF(OR(A32="",N32=0),0,LARGE(_xlfn._xlws.FILTER('Istoric_Nativ'!$D$6:$D$405,('Istoric_Nativ'!$B$6:$B$405=B32)*('Istoric_Nativ'!$C$6:$C$405=C32)*('Istoric_Nativ'!$P$6:$P$405=1)*('Istoric_Nativ'!$D$6:$D$405&lt;INT(G32))*((('Istoric_Nativ'!$E$6:$E$405='Input_Meci'!D32)+('Istoric_Nativ'!$F$6:$F$405='Input_Meci'!D32))&gt;0)),MIN(10,N32)))</x:f>
        <x:v>0</x:v>
      </x:c>
      <x:c r="BN32" s="9" t="n">
        <x:f>IF(OR(A32="",Q32=0),0,LARGE(_xlfn._xlws.FILTER('Istoric_Nativ'!$D$6:$D$405,('Istoric_Nativ'!$B$6:$B$405=B32)*('Istoric_Nativ'!$C$6:$C$405=C32)*('Istoric_Nativ'!$P$6:$P$405=1)*('Istoric_Nativ'!$D$6:$D$405&lt;INT(G32))*((('Istoric_Nativ'!$E$6:$E$405='Input_Meci'!E32)+('Istoric_Nativ'!$F$6:$F$405='Input_Meci'!E32))&gt;0)),MIN(10,Q32)))</x:f>
        <x:v>0</x:v>
      </x:c>
      <x:c r="BO32" s="9" t="n">
        <x:f>IF(OR(A32="",N32=0),0,LARGE(_xlfn._xlws.FILTER('Istoric_Nativ'!$D$6:$D$405,('Istoric_Nativ'!$B$6:$B$405=B32)*('Istoric_Nativ'!$C$6:$C$405=C32)*('Istoric_Nativ'!$P$6:$P$405=1)*('Istoric_Nativ'!$D$6:$D$405&lt;INT(G32))*((('Istoric_Nativ'!$E$6:$E$405='Input_Meci'!D32)+('Istoric_Nativ'!$F$6:$F$405='Input_Meci'!D32))&gt;0)),MIN(20,N32)))</x:f>
        <x:v>0</x:v>
      </x:c>
      <x:c r="BP32" s="9" t="n">
        <x:f>IF(OR(A32="",Q32=0),0,LARGE(_xlfn._xlws.FILTER('Istoric_Nativ'!$D$6:$D$405,('Istoric_Nativ'!$B$6:$B$405=B32)*('Istoric_Nativ'!$C$6:$C$405=C32)*('Istoric_Nativ'!$P$6:$P$405=1)*('Istoric_Nativ'!$D$6:$D$405&lt;INT(G32))*((('Istoric_Nativ'!$E$6:$E$405='Input_Meci'!E32)+('Istoric_Nativ'!$F$6:$F$405='Input_Meci'!E32))&gt;0)),MIN(20,Q32)))</x:f>
        <x:v>0</x:v>
      </x:c>
      <x:c r="BQ32" s="2" t="str">
        <x:f>IF(A32="","",IF(AND(COUNTIF(MatchesTable[Match_ID],A32)=1,COUNTIFS(MatchesTable[League],B32,MatchesTable[Season],C32,MatchesTable[Home],'Input_Meci'!D32,MatchesTable[Away],'Input_Meci'!E32,MatchesTable[Kickoff_UTC],F32)=1,B32&lt;&gt;"",C32&lt;&gt;"",'Input_Meci'!D32&lt;&gt;"",'Input_Meci'!E32&lt;&gt;"",'Input_Meci'!D32&lt;&gt;'Input_Meci'!E32,ISNUMBER(F32),ISNUMBER(G32),G32&lt;F32,OR(E32="LIVE",E32="REPLAY"),OR('Input_Meci'!L32="YES",'Input_Meci'!L32="NO",'Input_Meci'!L32="")),"VALID","INVALID"))</x:f>
      </x:c>
      <x:c r="BR32" s="2" t="n">
        <x:f>IF(I32&lt;&gt;"PASS",0,SUMPRODUCT(('Istoric_Nativ'!$B$6:$B$405='Input_Meci'!B32)*('Istoric_Nativ'!$C$6:$C$405='Input_Meci'!C32)*('Istoric_Nativ'!$P$6:$P$405=1)*('Istoric_Nativ'!$D$6:$D$405&lt;INT('Input_Meci'!G32))*((('Istoric_Nativ'!$E$6:$E$405='Input_Meci'!D32)+('Istoric_Nativ'!$F$6:$F$405='Input_Meci'!E32))&gt;0)))</x:f>
        <x:v>0</x:v>
      </x:c>
      <x:c r="BS32" s="2" t="n">
        <x:f>IF(I32&lt;&gt;"PASS",0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BM32)+((('Istoric_Nativ'!$E$6:$E$405='Input_Meci'!E32)+('Istoric_Nativ'!$F$6:$F$405='Input_Meci'!E32))&gt;0)*('Istoric_Nativ'!$D$6:$D$405&gt;=BN32))&gt;0)))</x:f>
        <x:v>0</x:v>
      </x:c>
      <x:c r="BT32" s="2" t="n">
        <x:f>IF(I32&lt;&gt;"PASS",0,SUMPRODUCT(('Istoric_Nativ'!$B$6:$B$405='Input_Meci'!B32)*('Istoric_Nativ'!$C$6:$C$405='Input_Meci'!C32)*('Istoric_Nativ'!$P$6:$P$405=1)*('Istoric_Nativ'!$D$6:$D$405&lt;INT('Input_Meci'!G32))*((((('Istoric_Nativ'!$E$6:$E$405='Input_Meci'!D32)+('Istoric_Nativ'!$F$6:$F$405='Input_Meci'!D32))&gt;0)*('Istoric_Nativ'!$D$6:$D$405&gt;=BO32)+((('Istoric_Nativ'!$E$6:$E$405='Input_Meci'!E32)+('Istoric_Nativ'!$F$6:$F$405='Input_Meci'!E32))&gt;0)*('Istoric_Nativ'!$D$6:$D$405&gt;=BP32))&gt;0)))</x:f>
        <x:v>0</x:v>
      </x:c>
    </x:row>
    <x:row r="33" ht="21" customHeight="1">
      <x:c r="A33" s="2" t="str">
        <x:f>IF('Input_Meci'!A33="","",'Input_Meci'!A33)</x:f>
      </x:c>
      <x:c r="B33" s="2" t="str">
        <x:f>IF(A33="","",'Input_Meci'!B33)</x:f>
      </x:c>
      <x:c r="C33" s="2" t="str">
        <x:f>IF(A33="","",'Input_Meci'!C33)</x:f>
      </x:c>
      <x:c r="D33" s="2" t="str">
        <x:f>IF(A33="","",'Input_Meci'!D33&amp;" – "&amp;'Input_Meci'!E33)</x:f>
      </x:c>
      <x:c r="E33" s="2" t="str">
        <x:f>IF(A33="","",'Input_Meci'!H33)</x:f>
      </x:c>
      <x:c r="F33" s="9" t="str">
        <x:f>IF(A33="","",'Input_Meci'!F33)</x:f>
      </x:c>
      <x:c r="G33" s="9" t="str">
        <x:f>IF(A33="","",'Input_Meci'!G33)</x:f>
      </x:c>
      <x:c r="H33" s="2" t="str">
        <x:f>IF(A33="","",IF(BQ33&lt;&gt;"VALID","NOT RELEASED",IF(AND(OR('Input_Meci'!I33="NOT AVAILABLE",'Input_Meci'!I33="SOURCE CONFLICT"),'Input_Meci'!J33&lt;&gt;""),"READY",IF(OR(NOT(OR('Input_Meci'!I33="AUTO",'Input_Meci'!I33="")),COUNTIF('Core_Nativ'!R330:R335,"CLOSED")&lt;&gt;6,BJ33&gt;0),"NOT RELEASED","READY"))))</x:f>
      </x:c>
      <x:c r="I33" s="2" t="str">
        <x:f>IF(A33="","",IF(H33&lt;&gt;"READY","NOT RELEASED",IF(AND(NOT(OR('Input_Meci'!I33="NOT AVAILABLE",'Input_Meci'!I33="SOURCE CONFLICT")),L33=12,AR33&gt;=2,AS33&gt;0,ISNUMBER(AT33),BI33="VALID",BK33="VALID"),"PASS","FAIL")))</x:f>
      </x:c>
      <x:c r="J33" s="2" t="str">
        <x:f>IF(A33="","",IF(BQ33&lt;&gt;"VALID","Verifica ID, echipe, mod si cutoff &lt; kickoff",IF(H33&lt;&gt;"READY",IF('Input_Meci'!I33="ACCESS BLOCKED","Acces blocat: reia sursele",IF(BJ33&gt;0,"Istoric invalid sau conflict: verifica randurile native","Surse neinchise / post-cutoff / dovezi incomplete")),IF(OR('Input_Meci'!I33="NOT AVAILABLE",'Input_Meci'!I33="SOURCE CONFLICT"),'Input_Meci'!I33,IF(BK33&lt;&gt;"VALID","Parametri invalizi",IF(L33&lt;&gt;12,"Core / sample / prior insuficient",IF(AR33&lt;2,"N insuficient pentru dispersie",IF(AS33&lt;=0,"Media istorica trebuie sa fie pozitiva",IF(BI33&lt;&gt;"VALID","Context invalid","READY")))))))))</x:f>
      </x:c>
      <x:c r="K33" s="2" t="str">
        <x:f>IF(A33="","",COUNT(T33:AE33))</x:f>
      </x:c>
      <x:c r="L33" s="2" t="str">
        <x:f>IF(A33="","",COUNT(AF33:AQ33))</x:f>
      </x:c>
      <x:c r="M33" s="2" t="str">
        <x:f>IF(A33="","",IF(OR('Core_Nativ'!M330&lt;'Core_Nativ'!P330,'Core_Nativ'!M331&lt;'Core_Nativ'!P331,'Core_Nativ'!M332&lt;'Core_Nativ'!P332,'Core_Nativ'!M333&lt;'Core_Nativ'!P333,'Core_Nativ'!M334&lt;'Core_Nativ'!P334,'Core_Nativ'!M335&lt;'Core_Nativ'!P335),"YES","NO"))</x:f>
      </x:c>
      <x:c r="N33" s="2" t="str">
        <x:f>IF(A33="","",'Core_Nativ'!M330)</x:f>
      </x:c>
      <x:c r="O33" s="2" t="str">
        <x:f>IF(A33="","",'Core_Nativ'!M331)</x:f>
      </x:c>
      <x:c r="P33" s="2" t="str">
        <x:f>IF(A33="","",'Core_Nativ'!M332)</x:f>
      </x:c>
      <x:c r="Q33" s="2" t="str">
        <x:f>IF(A33="","",'Core_Nativ'!M333)</x:f>
      </x:c>
      <x:c r="R33" s="2" t="str">
        <x:f>IF(A33="","",'Core_Nativ'!M334)</x:f>
      </x:c>
      <x:c r="S33" s="2" t="str">
        <x:f>IF(A33="","",'Core_Nativ'!M335)</x:f>
      </x:c>
      <x:c r="T33" s="11" t="str">
        <x:f>IF(OR(A33="",'Core_Nativ'!M330=0),"",'Core_Nativ'!N330)</x:f>
      </x:c>
      <x:c r="U33" s="11" t="str">
        <x:f>IF(OR(A33="",'Core_Nativ'!M330=0),"",'Core_Nativ'!O330)</x:f>
      </x:c>
      <x:c r="V33" s="11" t="str">
        <x:f>IF(OR(A33="",'Core_Nativ'!M331=0),"",'Core_Nativ'!N331)</x:f>
      </x:c>
      <x:c r="W33" s="11" t="str">
        <x:f>IF(OR(A33="",'Core_Nativ'!M331=0),"",'Core_Nativ'!O331)</x:f>
      </x:c>
      <x:c r="X33" s="11" t="str">
        <x:f>IF(OR(A33="",'Core_Nativ'!M332=0),"",'Core_Nativ'!N332)</x:f>
      </x:c>
      <x:c r="Y33" s="11" t="str">
        <x:f>IF(OR(A33="",'Core_Nativ'!M332=0),"",'Core_Nativ'!O332)</x:f>
      </x:c>
      <x:c r="Z33" s="11" t="str">
        <x:f>IF(OR(A33="",'Core_Nativ'!M333=0),"",'Core_Nativ'!N333)</x:f>
      </x:c>
      <x:c r="AA33" s="11" t="str">
        <x:f>IF(OR(A33="",'Core_Nativ'!M333=0),"",'Core_Nativ'!O333)</x:f>
      </x:c>
      <x:c r="AB33" s="11" t="str">
        <x:f>IF(OR(A33="",'Core_Nativ'!M334=0),"",'Core_Nativ'!N334)</x:f>
      </x:c>
      <x:c r="AC33" s="11" t="str">
        <x:f>IF(OR(A33="",'Core_Nativ'!M334=0),"",'Core_Nativ'!O334)</x:f>
      </x:c>
      <x:c r="AD33" s="11" t="str">
        <x:f>IF(OR(A33="",'Core_Nativ'!M335=0),"",'Core_Nativ'!N335)</x:f>
      </x:c>
      <x:c r="AE33" s="11" t="str">
        <x:f>IF(OR(A33="",'Core_Nativ'!M335=0),"",'Core_Nativ'!O335)</x:f>
      </x:c>
      <x:c r="AF33" s="11" t="str">
        <x:f>IF(A33="","",IF(AND('Core_Nativ'!R330="CLOSED",'Core_Nativ'!S330=0),IF('Core_Nativ'!M330&gt;='Core_Nativ'!P330,'Core_Nativ'!N330,IF(AND('Input_Meci'!L33="YES",'Input_Meci'!K33&lt;&gt;"",'Input_Meci'!K33&lt;C33,'Core_Nativ'!T336="DERIVED",'Core_Nativ'!M336&gt;='Core_Nativ'!P330),MIN(1,'Core_Nativ'!M330/'Core_Nativ'!P330)*IF('Core_Nativ'!M330=0,0,'Core_Nativ'!N330)+(1-MIN(1,'Core_Nativ'!M330/'Core_Nativ'!P330))*'Core_Nativ'!N336,"")),""))</x:f>
      </x:c>
      <x:c r="AG33" s="11" t="str">
        <x:f>IF(A33="","",IF(AND('Core_Nativ'!R330="CLOSED",'Core_Nativ'!S330=0),IF('Core_Nativ'!M330&gt;='Core_Nativ'!P330,'Core_Nativ'!O330,IF(AND('Input_Meci'!L33="YES",'Input_Meci'!K33&lt;&gt;"",'Input_Meci'!K33&lt;C33,'Core_Nativ'!T336="DERIVED",'Core_Nativ'!M336&gt;='Core_Nativ'!P330),MIN(1,'Core_Nativ'!M330/'Core_Nativ'!P330)*IF('Core_Nativ'!M330=0,0,'Core_Nativ'!O330)+(1-MIN(1,'Core_Nativ'!M330/'Core_Nativ'!P330))*'Core_Nativ'!O336,"")),""))</x:f>
      </x:c>
      <x:c r="AH33" s="11" t="str">
        <x:f>IF(A33="","",IF(AND('Core_Nativ'!R331="CLOSED",'Core_Nativ'!S331=0),IF('Core_Nativ'!M331&gt;='Core_Nativ'!P331,'Core_Nativ'!N331,IF(AND('Input_Meci'!L33="YES",'Input_Meci'!K33&lt;&gt;"",'Input_Meci'!K33&lt;C33,'Core_Nativ'!T337="DERIVED",'Core_Nativ'!M337&gt;='Core_Nativ'!P331),MIN(1,'Core_Nativ'!M331/'Core_Nativ'!P331)*IF('Core_Nativ'!M331=0,0,'Core_Nativ'!N331)+(1-MIN(1,'Core_Nativ'!M331/'Core_Nativ'!P331))*'Core_Nativ'!N337,"")),""))</x:f>
      </x:c>
      <x:c r="AI33" s="11" t="str">
        <x:f>IF(A33="","",IF(AND('Core_Nativ'!R331="CLOSED",'Core_Nativ'!S331=0),IF('Core_Nativ'!M331&gt;='Core_Nativ'!P331,'Core_Nativ'!O331,IF(AND('Input_Meci'!L33="YES",'Input_Meci'!K33&lt;&gt;"",'Input_Meci'!K33&lt;C33,'Core_Nativ'!T337="DERIVED",'Core_Nativ'!M337&gt;='Core_Nativ'!P331),MIN(1,'Core_Nativ'!M331/'Core_Nativ'!P331)*IF('Core_Nativ'!M331=0,0,'Core_Nativ'!O331)+(1-MIN(1,'Core_Nativ'!M331/'Core_Nativ'!P331))*'Core_Nativ'!O337,"")),""))</x:f>
      </x:c>
      <x:c r="AJ33" s="11" t="str">
        <x:f>IF(A33="","",IF(AND('Core_Nativ'!R332="CLOSED",'Core_Nativ'!S332=0),IF('Core_Nativ'!M332&gt;='Core_Nativ'!P332,'Core_Nativ'!N332,IF(AND('Input_Meci'!L33="YES",'Input_Meci'!K33&lt;&gt;"",'Input_Meci'!K33&lt;C33,'Core_Nativ'!T338="DERIVED",'Core_Nativ'!M338&gt;='Core_Nativ'!P332),MIN(1,'Core_Nativ'!M332/'Core_Nativ'!P332)*IF('Core_Nativ'!M332=0,0,'Core_Nativ'!N332)+(1-MIN(1,'Core_Nativ'!M332/'Core_Nativ'!P332))*'Core_Nativ'!N338,"")),""))</x:f>
      </x:c>
      <x:c r="AK33" s="11" t="str">
        <x:f>IF(A33="","",IF(AND('Core_Nativ'!R332="CLOSED",'Core_Nativ'!S332=0),IF('Core_Nativ'!M332&gt;='Core_Nativ'!P332,'Core_Nativ'!O332,IF(AND('Input_Meci'!L33="YES",'Input_Meci'!K33&lt;&gt;"",'Input_Meci'!K33&lt;C33,'Core_Nativ'!T338="DERIVED",'Core_Nativ'!M338&gt;='Core_Nativ'!P332),MIN(1,'Core_Nativ'!M332/'Core_Nativ'!P332)*IF('Core_Nativ'!M332=0,0,'Core_Nativ'!O332)+(1-MIN(1,'Core_Nativ'!M332/'Core_Nativ'!P332))*'Core_Nativ'!O338,"")),""))</x:f>
      </x:c>
      <x:c r="AL33" s="11" t="str">
        <x:f>IF(A33="","",IF(AND('Core_Nativ'!R333="CLOSED",'Core_Nativ'!S333=0),IF('Core_Nativ'!M333&gt;='Core_Nativ'!P333,'Core_Nativ'!N333,IF(AND('Input_Meci'!L33="YES",'Input_Meci'!K33&lt;&gt;"",'Input_Meci'!K33&lt;C33,'Core_Nativ'!T339="DERIVED",'Core_Nativ'!M339&gt;='Core_Nativ'!P333),MIN(1,'Core_Nativ'!M333/'Core_Nativ'!P333)*IF('Core_Nativ'!M333=0,0,'Core_Nativ'!N333)+(1-MIN(1,'Core_Nativ'!M333/'Core_Nativ'!P333))*'Core_Nativ'!N339,"")),""))</x:f>
      </x:c>
      <x:c r="AM33" s="11" t="str">
        <x:f>IF(A33="","",IF(AND('Core_Nativ'!R333="CLOSED",'Core_Nativ'!S333=0),IF('Core_Nativ'!M333&gt;='Core_Nativ'!P333,'Core_Nativ'!O333,IF(AND('Input_Meci'!L33="YES",'Input_Meci'!K33&lt;&gt;"",'Input_Meci'!K33&lt;C33,'Core_Nativ'!T339="DERIVED",'Core_Nativ'!M339&gt;='Core_Nativ'!P333),MIN(1,'Core_Nativ'!M333/'Core_Nativ'!P333)*IF('Core_Nativ'!M333=0,0,'Core_Nativ'!O333)+(1-MIN(1,'Core_Nativ'!M333/'Core_Nativ'!P333))*'Core_Nativ'!O339,"")),""))</x:f>
      </x:c>
      <x:c r="AN33" s="11" t="str">
        <x:f>IF(A33="","",IF(AND('Core_Nativ'!R334="CLOSED",'Core_Nativ'!S334=0),IF('Core_Nativ'!M334&gt;='Core_Nativ'!P334,'Core_Nativ'!N334,IF(AND('Input_Meci'!L33="YES",'Input_Meci'!K33&lt;&gt;"",'Input_Meci'!K33&lt;C33,'Core_Nativ'!T340="DERIVED",'Core_Nativ'!M340&gt;='Core_Nativ'!P334),MIN(1,'Core_Nativ'!M334/'Core_Nativ'!P334)*IF('Core_Nativ'!M334=0,0,'Core_Nativ'!N334)+(1-MIN(1,'Core_Nativ'!M334/'Core_Nativ'!P334))*'Core_Nativ'!N340,"")),""))</x:f>
      </x:c>
      <x:c r="AO33" s="11" t="str">
        <x:f>IF(A33="","",IF(AND('Core_Nativ'!R334="CLOSED",'Core_Nativ'!S334=0),IF('Core_Nativ'!M334&gt;='Core_Nativ'!P334,'Core_Nativ'!O334,IF(AND('Input_Meci'!L33="YES",'Input_Meci'!K33&lt;&gt;"",'Input_Meci'!K33&lt;C33,'Core_Nativ'!T340="DERIVED",'Core_Nativ'!M340&gt;='Core_Nativ'!P334),MIN(1,'Core_Nativ'!M334/'Core_Nativ'!P334)*IF('Core_Nativ'!M334=0,0,'Core_Nativ'!O334)+(1-MIN(1,'Core_Nativ'!M334/'Core_Nativ'!P334))*'Core_Nativ'!O340,"")),""))</x:f>
      </x:c>
      <x:c r="AP33" s="11" t="str">
        <x:f>IF(A33="","",IF(AND('Core_Nativ'!R335="CLOSED",'Core_Nativ'!S335=0),IF('Core_Nativ'!M335&gt;='Core_Nativ'!P335,'Core_Nativ'!N335,IF(AND('Input_Meci'!L33="YES",'Input_Meci'!K33&lt;&gt;"",'Input_Meci'!K33&lt;C33,'Core_Nativ'!T341="DERIVED",'Core_Nativ'!M341&gt;='Core_Nativ'!P335),MIN(1,'Core_Nativ'!M335/'Core_Nativ'!P335)*IF('Core_Nativ'!M335=0,0,'Core_Nativ'!N335)+(1-MIN(1,'Core_Nativ'!M335/'Core_Nativ'!P335))*'Core_Nativ'!N341,"")),""))</x:f>
      </x:c>
      <x:c r="AQ33" s="11" t="str">
        <x:f>IF(A33="","",IF(AND('Core_Nativ'!R335="CLOSED",'Core_Nativ'!S335=0),IF('Core_Nativ'!M335&gt;='Core_Nativ'!P335,'Core_Nativ'!O335,IF(AND('Input_Meci'!L33="YES",'Input_Meci'!K33&lt;&gt;"",'Input_Meci'!K33&lt;C33,'Core_Nativ'!T341="DERIVED",'Core_Nativ'!M341&gt;='Core_Nativ'!P335),MIN(1,'Core_Nativ'!M335/'Core_Nativ'!P335)*IF('Core_Nativ'!M335=0,0,'Core_Nativ'!O335)+(1-MIN(1,'Core_Nativ'!M335/'Core_Nativ'!P335))*'Core_Nativ'!O341,"")),""))</x:f>
      </x:c>
      <x:c r="AR33" s="11" t="str">
        <x:f>IF(A33="","",SUMPRODUCT(('Istoric_Nativ'!$B$6:$B$405=B33)*('Istoric_Nativ'!$C$6:$C$405=BL33)*('Istoric_Nativ'!$P$6:$P$405=1)*('Istoric_Nativ'!$D$6:$D$405&lt;INT(G33))*((('Istoric_Nativ'!$E$6:$E$405='Input_Meci'!D33)+('Istoric_Nativ'!$F$6:$F$405='Input_Meci'!D33)+('Istoric_Nativ'!$E$6:$E$405='Input_Meci'!E33)+('Istoric_Nativ'!$F$6:$F$405='Input_Meci'!E33))&gt;0)))</x:f>
      </x:c>
      <x:c r="AS33" s="11" t="str">
        <x:f>IF(AR33=0,"",SUMPRODUCT(('Istoric_Nativ'!$B$6:$B$405=B33)*('Istoric_Nativ'!$C$6:$C$405=BL33)*('Istoric_Nativ'!$P$6:$P$405=1)*('Istoric_Nativ'!$D$6:$D$405&lt;INT(G33))*((('Istoric_Nativ'!$E$6:$E$405='Input_Meci'!D33)+('Istoric_Nativ'!$F$6:$F$405='Input_Meci'!D33)+('Istoric_Nativ'!$E$6:$E$405='Input_Meci'!E33)+('Istoric_Nativ'!$F$6:$F$405='Input_Meci'!E33))&gt;0)*'Istoric_Nativ'!$Q$6:$Q$405)/AR33)</x:f>
      </x:c>
      <x:c r="AT33" s="11" t="str">
        <x:f>IF(AR33&lt;2,"",MAX(0,(SUMPRODUCT(('Istoric_Nativ'!$B$6:$B$405=B33)*('Istoric_Nativ'!$C$6:$C$405=BL33)*('Istoric_Nativ'!$P$6:$P$405=1)*('Istoric_Nativ'!$D$6:$D$405&lt;INT(G33))*((('Istoric_Nativ'!$E$6:$E$405='Input_Meci'!D33)+('Istoric_Nativ'!$F$6:$F$405='Input_Meci'!D33)+('Istoric_Nativ'!$E$6:$E$405='Input_Meci'!E33)+('Istoric_Nativ'!$F$6:$F$405='Input_Meci'!E33))&gt;0)*'Istoric_Nativ'!$R$6:$R$405)-AR33*AS33^2)/(AR33-1)))</x:f>
      </x:c>
      <x:c r="AU33" s="11" t="str">
        <x:f>IF(I33&lt;&gt;"PASS","",AT33/AS33)</x:f>
      </x:c>
      <x:c r="AV33" s="11" t="str">
        <x:f>IF(I33&lt;&gt;"PASS","",IF(AU33&lt;='Config_v6'!$B$10,"POISSON","NEGATIVE BINOMIAL"))</x:f>
      </x:c>
      <x:c r="AW33" s="11" t="str">
        <x:f>IF(I33&lt;&gt;"PASS","",IF(AV33="POISSON",9999,AS33/(AU33-1)))</x:f>
      </x:c>
      <x:c r="AX33" s="11" t="str">
        <x:f>IF(A33="","",MAX(1-'Config_v6'!$B$20,MIN(1+'Config_v6'!$B$20,1+0.02*(IF(AND(ISNUMBER('Input_Meci'!N33),'Input_Meci'!N33&gt;=0,'Input_Meci'!N33&lt;=200),'Input_Meci'!N33,12)/12-1)+0.02*(IF(AND(ISNUMBER('Input_Meci'!P33),'Input_Meci'!P33&gt;=0,'Input_Meci'!P33&lt;=200),'Input_Meci'!P33,3.5)/3.5-1)+0.02*(IF(AND(ISNUMBER('Input_Meci'!R33),'Input_Meci'!R33&gt;=0,'Input_Meci'!R33&lt;=200),'Input_Meci'!R33,18)/18-1)+0.02*((IF(AND(ISNUMBER('Input_Meci'!V33),'Input_Meci'!V33&gt;=0,'Input_Meci'!V33&lt;=10),'Input_Meci'!V33,5)-5)/5))))</x:f>
      </x:c>
      <x:c r="AY33" s="11" t="str">
        <x:f>IF(A33="","",MAX(1-'Config_v6'!$B$20,MIN(1+'Config_v6'!$B$20,1+0.02*(IF(AND(ISNUMBER('Input_Meci'!O33),'Input_Meci'!O33&gt;=0,'Input_Meci'!O33&lt;=200),'Input_Meci'!O33,12)/12-1)+0.02*(IF(AND(ISNUMBER('Input_Meci'!Q33),'Input_Meci'!Q33&gt;=0,'Input_Meci'!Q33&lt;=200),'Input_Meci'!Q33,3.5)/3.5-1)+0.02*(IF(AND(ISNUMBER('Input_Meci'!S33),'Input_Meci'!S33&gt;=0,'Input_Meci'!S33&lt;=200),'Input_Meci'!S33,18)/18-1)+0.02*((IF(AND(ISNUMBER('Input_Meci'!W33),'Input_Meci'!W33&gt;=0,'Input_Meci'!W33&lt;=10),'Input_Meci'!W33,5)-5)/5))))</x:f>
      </x:c>
      <x:c r="AZ33" s="11" t="str">
        <x:f>IF(A33="","",MAX(1-'Config_v6'!$B$21,MIN(1+'Config_v6'!$B$21,1+0.012*(IF('Input_Meci'!X33="",5,IF(ISNUMBER('Input_Meci'!X33),'Input_Meci'!X33,5))-5)+0.018*(IF('Input_Meci'!Z33="",5,IF(ISNUMBER('Input_Meci'!Z33),'Input_Meci'!Z33,5))-5)+0.012*(IF('Input_Meci'!AB33="",5,IF(ISNUMBER('Input_Meci'!AB33),'Input_Meci'!AB33,5))-5)+0.015*IF('Input_Meci'!AD33="",0,IF(ISNUMBER('Input_Meci'!AD33),'Input_Meci'!AD33,0))+0.02*IF('Input_Meci'!AF33="",0,IF(ISNUMBER('Input_Meci'!AF33),'Input_Meci'!AF33,0)))))</x:f>
      </x:c>
      <x:c r="BA33" s="11" t="str">
        <x:f>IF(A33="","",MAX(1-'Config_v6'!$B$21,MIN(1+'Config_v6'!$B$21,1+0.012*(IF('Input_Meci'!Y33="",5,IF(ISNUMBER('Input_Meci'!Y33),'Input_Meci'!Y33,5))-5)+0.018*(IF('Input_Meci'!AA33="",5,IF(ISNUMBER('Input_Meci'!AA33),'Input_Meci'!AA33,5))-5)+0.012*(IF('Input_Meci'!AC33="",5,IF(ISNUMBER('Input_Meci'!AC33),'Input_Meci'!AC33,5))-5)+0.015*IF('Input_Meci'!AE33="",0,IF(ISNUMBER('Input_Meci'!AE33),'Input_Meci'!AE33,0))+0.02*IF('Input_Meci'!AG33="",0,IF(ISNUMBER('Input_Meci'!AG33),'Input_Meci'!AG33,0)))))</x:f>
      </x:c>
      <x:c r="BB33" s="11" t="str">
        <x:f>IF(I33&lt;&gt;"PASS","",(AVERAGE(AF33,AM33)*'Config_v6'!$B$4+AVERAGE(AH33,AO33)*'Config_v6'!$B$5+AVERAGE(AJ33,AQ33)*'Config_v6'!$B$6)*AX33*AZ33)</x:f>
      </x:c>
      <x:c r="BC33" s="11" t="str">
        <x:f>IF(I33&lt;&gt;"PASS","",(AVERAGE(AL33,AG33)*'Config_v6'!$B$4+AVERAGE(AN33,AI33)*'Config_v6'!$B$5+AVERAGE(AP33,AK33)*'Config_v6'!$B$6)*AY33*BA33)</x:f>
      </x:c>
      <x:c r="BD33" s="11" t="str">
        <x:f>IF(I33&lt;&gt;"PASS","",BB33+BC33)</x:f>
      </x:c>
      <x:c r="BE33" s="11" t="str">
        <x:f>IF(A33="","",10-SUM(IF(AND(ISNUMBER('Input_Meci'!N33),'Input_Meci'!N33&gt;=0,'Input_Meci'!N33&lt;=200),1,0),IF(AND(ISNUMBER('Input_Meci'!O33),'Input_Meci'!O33&gt;=0,'Input_Meci'!O33&lt;=200),1,0),IF(AND(ISNUMBER('Input_Meci'!P33),'Input_Meci'!P33&gt;=0,'Input_Meci'!P33&lt;=200),1,0),IF(AND(ISNUMBER('Input_Meci'!Q33),'Input_Meci'!Q33&gt;=0,'Input_Meci'!Q33&lt;=200),1,0),IF(AND(ISNUMBER('Input_Meci'!R33),'Input_Meci'!R33&gt;=0,'Input_Meci'!R33&lt;=200),1,0),IF(AND(ISNUMBER('Input_Meci'!S33),'Input_Meci'!S33&gt;=0,'Input_Meci'!S33&lt;=200),1,0),IF(AND(ISNUMBER('Input_Meci'!T33),'Input_Meci'!T33&gt;=0,'Input_Meci'!T33&lt;=100),1,0),IF(AND(ISNUMBER('Input_Meci'!U33),'Input_Meci'!U33&gt;=0,'Input_Meci'!U33&lt;=100),1,0),IF(AND(ISNUMBER('Input_Meci'!V33),'Input_Meci'!V33&gt;=0,'Input_Meci'!V33&lt;=10),1,0),IF(AND(ISNUMBER('Input_Meci'!W33),'Input_Meci'!W33&gt;=0,'Input_Meci'!W33&lt;=10),1,0)))</x:f>
      </x:c>
      <x:c r="BF33" s="11" t="str">
        <x:f>IF(I33&lt;&gt;"PASS","",MAX(0,MIN(IF(OR(M33="YES",BL33&lt;&gt;C33),'Config_v6'!$B$34,100),ROUND(40+25*MIN(1,MIN(N33,Q33)/'Config_v6'!$B$7)*MIN(1,MIN(O33,R33)/'Config_v6'!$B$8)*MIN(1,MIN(P33,S33)/'Config_v6'!$B$9)+MAX(0,15-2*ABS(AF33-AJ33)-2*ABS(AL33-AP33))+IF(AU33&lt;='Config_v6'!$B$10,15,IF(AU33&lt;='Config_v6'!$B$11,13,IF(AU33&lt;='Config_v6'!$B$12,10,IF(AU33&lt;='Config_v6'!$B$13,6,0))))+5-BE33/10*'Config_v6'!$B$38,0))))</x:f>
      </x:c>
      <x:c r="BG33" s="11" t="str">
        <x:f>IF(I33&lt;&gt;"PASS","",MIN(1,'Config_v6'!$B$14*(0.7+0.3*MIN(1,AR33/'Config_v6'!$B$15))*IF(AU33&lt;='Config_v6'!$B$10,1,IF(AU33&lt;='Config_v6'!$B$11,0.95,IF(AU33&lt;='Config_v6'!$B$12,0.88,0.78)))*(0.75+0.25*BF33/100)))</x:f>
      </x:c>
      <x:c r="BH33" s="11" t="str">
        <x:f>IF(I33&lt;&gt;"PASS","",MIN(1,(ABS(AZ33-1)+ABS(BA33-1))*3))</x:f>
      </x:c>
      <x:c r="BI33" s="2" t="str">
        <x:f>IF(A33="","",IF(AND(OR('Input_Meci'!X33="",AND(ISNUMBER('Input_Meci'!X33),'Input_Meci'!X33&gt;=0,'Input_Meci'!X33&lt;=10)),OR('Input_Meci'!Y33="",AND(ISNUMBER('Input_Meci'!Y33),'Input_Meci'!Y33&gt;=0,'Input_Meci'!Y33&lt;=10)),OR('Input_Meci'!Z33="",AND(ISNUMBER('Input_Meci'!Z33),'Input_Meci'!Z33&gt;=0,'Input_Meci'!Z33&lt;=10)),OR('Input_Meci'!AA33="",AND(ISNUMBER('Input_Meci'!AA33),'Input_Meci'!AA33&gt;=0,'Input_Meci'!AA33&lt;=10)),OR('Input_Meci'!AB33="",AND(ISNUMBER('Input_Meci'!AB33),'Input_Meci'!AB33&gt;=0,'Input_Meci'!AB33&lt;=10)),OR('Input_Meci'!AC33="",AND(ISNUMBER('Input_Meci'!AC33),'Input_Meci'!AC33&gt;=0,'Input_Meci'!AC33&lt;=10)),OR('Input_Meci'!AD33="",AND(ISNUMBER('Input_Meci'!AD33),'Input_Meci'!AD33&gt;=-2,'Input_Meci'!AD33&lt;=2)),OR('Input_Meci'!AE33="",AND(ISNUMBER('Input_Meci'!AE33),'Input_Meci'!AE33&gt;=-2,'Input_Meci'!AE33&lt;=2)),OR('Input_Meci'!AF33="",AND(ISNUMBER('Input_Meci'!AF33),'Input_Meci'!AF33&gt;=-2,'Input_Meci'!AF33&lt;=2)),OR('Input_Meci'!AG33="",AND(ISNUMBER('Input_Meci'!AG33),'Input_Meci'!AG33&gt;=-2,'Input_Meci'!AG33&lt;=2))),"VALID","INVALID"))</x:f>
      </x:c>
      <x:c r="BJ33" s="2" t="n">
        <x:f>IF(A33="",0,SUM('Core_Nativ'!S330:S335))</x:f>
        <x:v>0</x:v>
      </x:c>
      <x:c r="BK33" s="2" t="str">
        <x:f>'Config_v6'!$B$40</x:f>
        <x:v>VALID</x:v>
      </x:c>
      <x:c r="BL33" s="2" t="str">
        <x:f>IF(A33="","",IF(SUMPRODUCT(('Istoric_Nativ'!$B$6:$B$405=B33)*('Istoric_Nativ'!$C$6:$C$405=C33)*('Istoric_Nativ'!$P$6:$P$405=1)*('Istoric_Nativ'!$D$6:$D$405&lt;INT(G33))*((('Istoric_Nativ'!$E$6:$E$405='Input_Meci'!D33)+('Istoric_Nativ'!$F$6:$F$405='Input_Meci'!D33)+('Istoric_Nativ'!$E$6:$E$405='Input_Meci'!E33)+('Istoric_Nativ'!$F$6:$F$405='Input_Meci'!E33))&gt;0))&gt;='Config_v6'!$B$41,C33,IF(AND('Input_Meci'!L33="YES",'Input_Meci'!K33&lt;&gt;"",'Input_Meci'!K33&lt;C33,COUNTIF('Core_Nativ'!R336:R341,"CLOSED")=6,SUM('Core_Nativ'!S336:S341)=0),'Input_Meci'!K33,C33)))</x:f>
      </x:c>
      <x:c r="BM33" s="9" t="n">
        <x:f>IF(OR(A33="",N33=0),0,LARGE(_xlfn._xlws.FILTER('Istoric_Nativ'!$D$6:$D$405,('Istoric_Nativ'!$B$6:$B$405=B33)*('Istoric_Nativ'!$C$6:$C$405=C33)*('Istoric_Nativ'!$P$6:$P$405=1)*('Istoric_Nativ'!$D$6:$D$405&lt;INT(G33))*((('Istoric_Nativ'!$E$6:$E$405='Input_Meci'!D33)+('Istoric_Nativ'!$F$6:$F$405='Input_Meci'!D33))&gt;0)),MIN(10,N33)))</x:f>
        <x:v>0</x:v>
      </x:c>
      <x:c r="BN33" s="9" t="n">
        <x:f>IF(OR(A33="",Q33=0),0,LARGE(_xlfn._xlws.FILTER('Istoric_Nativ'!$D$6:$D$405,('Istoric_Nativ'!$B$6:$B$405=B33)*('Istoric_Nativ'!$C$6:$C$405=C33)*('Istoric_Nativ'!$P$6:$P$405=1)*('Istoric_Nativ'!$D$6:$D$405&lt;INT(G33))*((('Istoric_Nativ'!$E$6:$E$405='Input_Meci'!E33)+('Istoric_Nativ'!$F$6:$F$405='Input_Meci'!E33))&gt;0)),MIN(10,Q33)))</x:f>
        <x:v>0</x:v>
      </x:c>
      <x:c r="BO33" s="9" t="n">
        <x:f>IF(OR(A33="",N33=0),0,LARGE(_xlfn._xlws.FILTER('Istoric_Nativ'!$D$6:$D$405,('Istoric_Nativ'!$B$6:$B$405=B33)*('Istoric_Nativ'!$C$6:$C$405=C33)*('Istoric_Nativ'!$P$6:$P$405=1)*('Istoric_Nativ'!$D$6:$D$405&lt;INT(G33))*((('Istoric_Nativ'!$E$6:$E$405='Input_Meci'!D33)+('Istoric_Nativ'!$F$6:$F$405='Input_Meci'!D33))&gt;0)),MIN(20,N33)))</x:f>
        <x:v>0</x:v>
      </x:c>
      <x:c r="BP33" s="9" t="n">
        <x:f>IF(OR(A33="",Q33=0),0,LARGE(_xlfn._xlws.FILTER('Istoric_Nativ'!$D$6:$D$405,('Istoric_Nativ'!$B$6:$B$405=B33)*('Istoric_Nativ'!$C$6:$C$405=C33)*('Istoric_Nativ'!$P$6:$P$405=1)*('Istoric_Nativ'!$D$6:$D$405&lt;INT(G33))*((('Istoric_Nativ'!$E$6:$E$405='Input_Meci'!E33)+('Istoric_Nativ'!$F$6:$F$405='Input_Meci'!E33))&gt;0)),MIN(20,Q33)))</x:f>
        <x:v>0</x:v>
      </x:c>
      <x:c r="BQ33" s="2" t="str">
        <x:f>IF(A33="","",IF(AND(COUNTIF(MatchesTable[Match_ID],A33)=1,COUNTIFS(MatchesTable[League],B33,MatchesTable[Season],C33,MatchesTable[Home],'Input_Meci'!D33,MatchesTable[Away],'Input_Meci'!E33,MatchesTable[Kickoff_UTC],F33)=1,B33&lt;&gt;"",C33&lt;&gt;"",'Input_Meci'!D33&lt;&gt;"",'Input_Meci'!E33&lt;&gt;"",'Input_Meci'!D33&lt;&gt;'Input_Meci'!E33,ISNUMBER(F33),ISNUMBER(G33),G33&lt;F33,OR(E33="LIVE",E33="REPLAY"),OR('Input_Meci'!L33="YES",'Input_Meci'!L33="NO",'Input_Meci'!L33="")),"VALID","INVALID"))</x:f>
      </x:c>
      <x:c r="BR33" s="2" t="n">
        <x:f>IF(I33&lt;&gt;"PASS",0,SUMPRODUCT(('Istoric_Nativ'!$B$6:$B$405='Input_Meci'!B33)*('Istoric_Nativ'!$C$6:$C$405='Input_Meci'!C33)*('Istoric_Nativ'!$P$6:$P$405=1)*('Istoric_Nativ'!$D$6:$D$405&lt;INT('Input_Meci'!G33))*((('Istoric_Nativ'!$E$6:$E$405='Input_Meci'!D33)+('Istoric_Nativ'!$F$6:$F$405='Input_Meci'!E33))&gt;0)))</x:f>
        <x:v>0</x:v>
      </x:c>
      <x:c r="BS33" s="2" t="n">
        <x:f>IF(I33&lt;&gt;"PASS",0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BM33)+((('Istoric_Nativ'!$E$6:$E$405='Input_Meci'!E33)+('Istoric_Nativ'!$F$6:$F$405='Input_Meci'!E33))&gt;0)*('Istoric_Nativ'!$D$6:$D$405&gt;=BN33))&gt;0)))</x:f>
        <x:v>0</x:v>
      </x:c>
      <x:c r="BT33" s="2" t="n">
        <x:f>IF(I33&lt;&gt;"PASS",0,SUMPRODUCT(('Istoric_Nativ'!$B$6:$B$405='Input_Meci'!B33)*('Istoric_Nativ'!$C$6:$C$405='Input_Meci'!C33)*('Istoric_Nativ'!$P$6:$P$405=1)*('Istoric_Nativ'!$D$6:$D$405&lt;INT('Input_Meci'!G33))*((((('Istoric_Nativ'!$E$6:$E$405='Input_Meci'!D33)+('Istoric_Nativ'!$F$6:$F$405='Input_Meci'!D33))&gt;0)*('Istoric_Nativ'!$D$6:$D$405&gt;=BO33)+((('Istoric_Nativ'!$E$6:$E$405='Input_Meci'!E33)+('Istoric_Nativ'!$F$6:$F$405='Input_Meci'!E33))&gt;0)*('Istoric_Nativ'!$D$6:$D$405&gt;=BP33))&gt;0)))</x:f>
        <x:v>0</x:v>
      </x:c>
    </x:row>
    <x:row r="34" ht="21" customHeight="1">
      <x:c r="A34" s="2" t="str">
        <x:f>IF('Input_Meci'!A34="","",'Input_Meci'!A34)</x:f>
      </x:c>
      <x:c r="B34" s="2" t="str">
        <x:f>IF(A34="","",'Input_Meci'!B34)</x:f>
      </x:c>
      <x:c r="C34" s="2" t="str">
        <x:f>IF(A34="","",'Input_Meci'!C34)</x:f>
      </x:c>
      <x:c r="D34" s="2" t="str">
        <x:f>IF(A34="","",'Input_Meci'!D34&amp;" – "&amp;'Input_Meci'!E34)</x:f>
      </x:c>
      <x:c r="E34" s="2" t="str">
        <x:f>IF(A34="","",'Input_Meci'!H34)</x:f>
      </x:c>
      <x:c r="F34" s="9" t="str">
        <x:f>IF(A34="","",'Input_Meci'!F34)</x:f>
      </x:c>
      <x:c r="G34" s="9" t="str">
        <x:f>IF(A34="","",'Input_Meci'!G34)</x:f>
      </x:c>
      <x:c r="H34" s="2" t="str">
        <x:f>IF(A34="","",IF(BQ34&lt;&gt;"VALID","NOT RELEASED",IF(AND(OR('Input_Meci'!I34="NOT AVAILABLE",'Input_Meci'!I34="SOURCE CONFLICT"),'Input_Meci'!J34&lt;&gt;""),"READY",IF(OR(NOT(OR('Input_Meci'!I34="AUTO",'Input_Meci'!I34="")),COUNTIF('Core_Nativ'!R342:R347,"CLOSED")&lt;&gt;6,BJ34&gt;0),"NOT RELEASED","READY"))))</x:f>
      </x:c>
      <x:c r="I34" s="2" t="str">
        <x:f>IF(A34="","",IF(H34&lt;&gt;"READY","NOT RELEASED",IF(AND(NOT(OR('Input_Meci'!I34="NOT AVAILABLE",'Input_Meci'!I34="SOURCE CONFLICT")),L34=12,AR34&gt;=2,AS34&gt;0,ISNUMBER(AT34),BI34="VALID",BK34="VALID"),"PASS","FAIL")))</x:f>
      </x:c>
      <x:c r="J34" s="2" t="str">
        <x:f>IF(A34="","",IF(BQ34&lt;&gt;"VALID","Verifica ID, echipe, mod si cutoff &lt; kickoff",IF(H34&lt;&gt;"READY",IF('Input_Meci'!I34="ACCESS BLOCKED","Acces blocat: reia sursele",IF(BJ34&gt;0,"Istoric invalid sau conflict: verifica randurile native","Surse neinchise / post-cutoff / dovezi incomplete")),IF(OR('Input_Meci'!I34="NOT AVAILABLE",'Input_Meci'!I34="SOURCE CONFLICT"),'Input_Meci'!I34,IF(BK34&lt;&gt;"VALID","Parametri invalizi",IF(L34&lt;&gt;12,"Core / sample / prior insuficient",IF(AR34&lt;2,"N insuficient pentru dispersie",IF(AS34&lt;=0,"Media istorica trebuie sa fie pozitiva",IF(BI34&lt;&gt;"VALID","Context invalid","READY")))))))))</x:f>
      </x:c>
      <x:c r="K34" s="2" t="str">
        <x:f>IF(A34="","",COUNT(T34:AE34))</x:f>
      </x:c>
      <x:c r="L34" s="2" t="str">
        <x:f>IF(A34="","",COUNT(AF34:AQ34))</x:f>
      </x:c>
      <x:c r="M34" s="2" t="str">
        <x:f>IF(A34="","",IF(OR('Core_Nativ'!M342&lt;'Core_Nativ'!P342,'Core_Nativ'!M343&lt;'Core_Nativ'!P343,'Core_Nativ'!M344&lt;'Core_Nativ'!P344,'Core_Nativ'!M345&lt;'Core_Nativ'!P345,'Core_Nativ'!M346&lt;'Core_Nativ'!P346,'Core_Nativ'!M347&lt;'Core_Nativ'!P347),"YES","NO"))</x:f>
      </x:c>
      <x:c r="N34" s="2" t="str">
        <x:f>IF(A34="","",'Core_Nativ'!M342)</x:f>
      </x:c>
      <x:c r="O34" s="2" t="str">
        <x:f>IF(A34="","",'Core_Nativ'!M343)</x:f>
      </x:c>
      <x:c r="P34" s="2" t="str">
        <x:f>IF(A34="","",'Core_Nativ'!M344)</x:f>
      </x:c>
      <x:c r="Q34" s="2" t="str">
        <x:f>IF(A34="","",'Core_Nativ'!M345)</x:f>
      </x:c>
      <x:c r="R34" s="2" t="str">
        <x:f>IF(A34="","",'Core_Nativ'!M346)</x:f>
      </x:c>
      <x:c r="S34" s="2" t="str">
        <x:f>IF(A34="","",'Core_Nativ'!M347)</x:f>
      </x:c>
      <x:c r="T34" s="11" t="str">
        <x:f>IF(OR(A34="",'Core_Nativ'!M342=0),"",'Core_Nativ'!N342)</x:f>
      </x:c>
      <x:c r="U34" s="11" t="str">
        <x:f>IF(OR(A34="",'Core_Nativ'!M342=0),"",'Core_Nativ'!O342)</x:f>
      </x:c>
      <x:c r="V34" s="11" t="str">
        <x:f>IF(OR(A34="",'Core_Nativ'!M343=0),"",'Core_Nativ'!N343)</x:f>
      </x:c>
      <x:c r="W34" s="11" t="str">
        <x:f>IF(OR(A34="",'Core_Nativ'!M343=0),"",'Core_Nativ'!O343)</x:f>
      </x:c>
      <x:c r="X34" s="11" t="str">
        <x:f>IF(OR(A34="",'Core_Nativ'!M344=0),"",'Core_Nativ'!N344)</x:f>
      </x:c>
      <x:c r="Y34" s="11" t="str">
        <x:f>IF(OR(A34="",'Core_Nativ'!M344=0),"",'Core_Nativ'!O344)</x:f>
      </x:c>
      <x:c r="Z34" s="11" t="str">
        <x:f>IF(OR(A34="",'Core_Nativ'!M345=0),"",'Core_Nativ'!N345)</x:f>
      </x:c>
      <x:c r="AA34" s="11" t="str">
        <x:f>IF(OR(A34="",'Core_Nativ'!M345=0),"",'Core_Nativ'!O345)</x:f>
      </x:c>
      <x:c r="AB34" s="11" t="str">
        <x:f>IF(OR(A34="",'Core_Nativ'!M346=0),"",'Core_Nativ'!N346)</x:f>
      </x:c>
      <x:c r="AC34" s="11" t="str">
        <x:f>IF(OR(A34="",'Core_Nativ'!M346=0),"",'Core_Nativ'!O346)</x:f>
      </x:c>
      <x:c r="AD34" s="11" t="str">
        <x:f>IF(OR(A34="",'Core_Nativ'!M347=0),"",'Core_Nativ'!N347)</x:f>
      </x:c>
      <x:c r="AE34" s="11" t="str">
        <x:f>IF(OR(A34="",'Core_Nativ'!M347=0),"",'Core_Nativ'!O347)</x:f>
      </x:c>
      <x:c r="AF34" s="11" t="str">
        <x:f>IF(A34="","",IF(AND('Core_Nativ'!R342="CLOSED",'Core_Nativ'!S342=0),IF('Core_Nativ'!M342&gt;='Core_Nativ'!P342,'Core_Nativ'!N342,IF(AND('Input_Meci'!L34="YES",'Input_Meci'!K34&lt;&gt;"",'Input_Meci'!K34&lt;C34,'Core_Nativ'!T348="DERIVED",'Core_Nativ'!M348&gt;='Core_Nativ'!P342),MIN(1,'Core_Nativ'!M342/'Core_Nativ'!P342)*IF('Core_Nativ'!M342=0,0,'Core_Nativ'!N342)+(1-MIN(1,'Core_Nativ'!M342/'Core_Nativ'!P342))*'Core_Nativ'!N348,"")),""))</x:f>
      </x:c>
      <x:c r="AG34" s="11" t="str">
        <x:f>IF(A34="","",IF(AND('Core_Nativ'!R342="CLOSED",'Core_Nativ'!S342=0),IF('Core_Nativ'!M342&gt;='Core_Nativ'!P342,'Core_Nativ'!O342,IF(AND('Input_Meci'!L34="YES",'Input_Meci'!K34&lt;&gt;"",'Input_Meci'!K34&lt;C34,'Core_Nativ'!T348="DERIVED",'Core_Nativ'!M348&gt;='Core_Nativ'!P342),MIN(1,'Core_Nativ'!M342/'Core_Nativ'!P342)*IF('Core_Nativ'!M342=0,0,'Core_Nativ'!O342)+(1-MIN(1,'Core_Nativ'!M342/'Core_Nativ'!P342))*'Core_Nativ'!O348,"")),""))</x:f>
      </x:c>
      <x:c r="AH34" s="11" t="str">
        <x:f>IF(A34="","",IF(AND('Core_Nativ'!R343="CLOSED",'Core_Nativ'!S343=0),IF('Core_Nativ'!M343&gt;='Core_Nativ'!P343,'Core_Nativ'!N343,IF(AND('Input_Meci'!L34="YES",'Input_Meci'!K34&lt;&gt;"",'Input_Meci'!K34&lt;C34,'Core_Nativ'!T349="DERIVED",'Core_Nativ'!M349&gt;='Core_Nativ'!P343),MIN(1,'Core_Nativ'!M343/'Core_Nativ'!P343)*IF('Core_Nativ'!M343=0,0,'Core_Nativ'!N343)+(1-MIN(1,'Core_Nativ'!M343/'Core_Nativ'!P343))*'Core_Nativ'!N349,"")),""))</x:f>
      </x:c>
      <x:c r="AI34" s="11" t="str">
        <x:f>IF(A34="","",IF(AND('Core_Nativ'!R343="CLOSED",'Core_Nativ'!S343=0),IF('Core_Nativ'!M343&gt;='Core_Nativ'!P343,'Core_Nativ'!O343,IF(AND('Input_Meci'!L34="YES",'Input_Meci'!K34&lt;&gt;"",'Input_Meci'!K34&lt;C34,'Core_Nativ'!T349="DERIVED",'Core_Nativ'!M349&gt;='Core_Nativ'!P343),MIN(1,'Core_Nativ'!M343/'Core_Nativ'!P343)*IF('Core_Nativ'!M343=0,0,'Core_Nativ'!O343)+(1-MIN(1,'Core_Nativ'!M343/'Core_Nativ'!P343))*'Core_Nativ'!O349,"")),""))</x:f>
      </x:c>
      <x:c r="AJ34" s="11" t="str">
        <x:f>IF(A34="","",IF(AND('Core_Nativ'!R344="CLOSED",'Core_Nativ'!S344=0),IF('Core_Nativ'!M344&gt;='Core_Nativ'!P344,'Core_Nativ'!N344,IF(AND('Input_Meci'!L34="YES",'Input_Meci'!K34&lt;&gt;"",'Input_Meci'!K34&lt;C34,'Core_Nativ'!T350="DERIVED",'Core_Nativ'!M350&gt;='Core_Nativ'!P344),MIN(1,'Core_Nativ'!M344/'Core_Nativ'!P344)*IF('Core_Nativ'!M344=0,0,'Core_Nativ'!N344)+(1-MIN(1,'Core_Nativ'!M344/'Core_Nativ'!P344))*'Core_Nativ'!N350,"")),""))</x:f>
      </x:c>
      <x:c r="AK34" s="11" t="str">
        <x:f>IF(A34="","",IF(AND('Core_Nativ'!R344="CLOSED",'Core_Nativ'!S344=0),IF('Core_Nativ'!M344&gt;='Core_Nativ'!P344,'Core_Nativ'!O344,IF(AND('Input_Meci'!L34="YES",'Input_Meci'!K34&lt;&gt;"",'Input_Meci'!K34&lt;C34,'Core_Nativ'!T350="DERIVED",'Core_Nativ'!M350&gt;='Core_Nativ'!P344),MIN(1,'Core_Nativ'!M344/'Core_Nativ'!P344)*IF('Core_Nativ'!M344=0,0,'Core_Nativ'!O344)+(1-MIN(1,'Core_Nativ'!M344/'Core_Nativ'!P344))*'Core_Nativ'!O350,"")),""))</x:f>
      </x:c>
      <x:c r="AL34" s="11" t="str">
        <x:f>IF(A34="","",IF(AND('Core_Nativ'!R345="CLOSED",'Core_Nativ'!S345=0),IF('Core_Nativ'!M345&gt;='Core_Nativ'!P345,'Core_Nativ'!N345,IF(AND('Input_Meci'!L34="YES",'Input_Meci'!K34&lt;&gt;"",'Input_Meci'!K34&lt;C34,'Core_Nativ'!T351="DERIVED",'Core_Nativ'!M351&gt;='Core_Nativ'!P345),MIN(1,'Core_Nativ'!M345/'Core_Nativ'!P345)*IF('Core_Nativ'!M345=0,0,'Core_Nativ'!N345)+(1-MIN(1,'Core_Nativ'!M345/'Core_Nativ'!P345))*'Core_Nativ'!N351,"")),""))</x:f>
      </x:c>
      <x:c r="AM34" s="11" t="str">
        <x:f>IF(A34="","",IF(AND('Core_Nativ'!R345="CLOSED",'Core_Nativ'!S345=0),IF('Core_Nativ'!M345&gt;='Core_Nativ'!P345,'Core_Nativ'!O345,IF(AND('Input_Meci'!L34="YES",'Input_Meci'!K34&lt;&gt;"",'Input_Meci'!K34&lt;C34,'Core_Nativ'!T351="DERIVED",'Core_Nativ'!M351&gt;='Core_Nativ'!P345),MIN(1,'Core_Nativ'!M345/'Core_Nativ'!P345)*IF('Core_Nativ'!M345=0,0,'Core_Nativ'!O345)+(1-MIN(1,'Core_Nativ'!M345/'Core_Nativ'!P345))*'Core_Nativ'!O351,"")),""))</x:f>
      </x:c>
      <x:c r="AN34" s="11" t="str">
        <x:f>IF(A34="","",IF(AND('Core_Nativ'!R346="CLOSED",'Core_Nativ'!S346=0),IF('Core_Nativ'!M346&gt;='Core_Nativ'!P346,'Core_Nativ'!N346,IF(AND('Input_Meci'!L34="YES",'Input_Meci'!K34&lt;&gt;"",'Input_Meci'!K34&lt;C34,'Core_Nativ'!T352="DERIVED",'Core_Nativ'!M352&gt;='Core_Nativ'!P346),MIN(1,'Core_Nativ'!M346/'Core_Nativ'!P346)*IF('Core_Nativ'!M346=0,0,'Core_Nativ'!N346)+(1-MIN(1,'Core_Nativ'!M346/'Core_Nativ'!P346))*'Core_Nativ'!N352,"")),""))</x:f>
      </x:c>
      <x:c r="AO34" s="11" t="str">
        <x:f>IF(A34="","",IF(AND('Core_Nativ'!R346="CLOSED",'Core_Nativ'!S346=0),IF('Core_Nativ'!M346&gt;='Core_Nativ'!P346,'Core_Nativ'!O346,IF(AND('Input_Meci'!L34="YES",'Input_Meci'!K34&lt;&gt;"",'Input_Meci'!K34&lt;C34,'Core_Nativ'!T352="DERIVED",'Core_Nativ'!M352&gt;='Core_Nativ'!P346),MIN(1,'Core_Nativ'!M346/'Core_Nativ'!P346)*IF('Core_Nativ'!M346=0,0,'Core_Nativ'!O346)+(1-MIN(1,'Core_Nativ'!M346/'Core_Nativ'!P346))*'Core_Nativ'!O352,"")),""))</x:f>
      </x:c>
      <x:c r="AP34" s="11" t="str">
        <x:f>IF(A34="","",IF(AND('Core_Nativ'!R347="CLOSED",'Core_Nativ'!S347=0),IF('Core_Nativ'!M347&gt;='Core_Nativ'!P347,'Core_Nativ'!N347,IF(AND('Input_Meci'!L34="YES",'Input_Meci'!K34&lt;&gt;"",'Input_Meci'!K34&lt;C34,'Core_Nativ'!T353="DERIVED",'Core_Nativ'!M353&gt;='Core_Nativ'!P347),MIN(1,'Core_Nativ'!M347/'Core_Nativ'!P347)*IF('Core_Nativ'!M347=0,0,'Core_Nativ'!N347)+(1-MIN(1,'Core_Nativ'!M347/'Core_Nativ'!P347))*'Core_Nativ'!N353,"")),""))</x:f>
      </x:c>
      <x:c r="AQ34" s="11" t="str">
        <x:f>IF(A34="","",IF(AND('Core_Nativ'!R347="CLOSED",'Core_Nativ'!S347=0),IF('Core_Nativ'!M347&gt;='Core_Nativ'!P347,'Core_Nativ'!O347,IF(AND('Input_Meci'!L34="YES",'Input_Meci'!K34&lt;&gt;"",'Input_Meci'!K34&lt;C34,'Core_Nativ'!T353="DERIVED",'Core_Nativ'!M353&gt;='Core_Nativ'!P347),MIN(1,'Core_Nativ'!M347/'Core_Nativ'!P347)*IF('Core_Nativ'!M347=0,0,'Core_Nativ'!O347)+(1-MIN(1,'Core_Nativ'!M347/'Core_Nativ'!P347))*'Core_Nativ'!O353,"")),""))</x:f>
      </x:c>
      <x:c r="AR34" s="11" t="str">
        <x:f>IF(A34="","",SUMPRODUCT(('Istoric_Nativ'!$B$6:$B$405=B34)*('Istoric_Nativ'!$C$6:$C$405=BL34)*('Istoric_Nativ'!$P$6:$P$405=1)*('Istoric_Nativ'!$D$6:$D$405&lt;INT(G34))*((('Istoric_Nativ'!$E$6:$E$405='Input_Meci'!D34)+('Istoric_Nativ'!$F$6:$F$405='Input_Meci'!D34)+('Istoric_Nativ'!$E$6:$E$405='Input_Meci'!E34)+('Istoric_Nativ'!$F$6:$F$405='Input_Meci'!E34))&gt;0)))</x:f>
      </x:c>
      <x:c r="AS34" s="11" t="str">
        <x:f>IF(AR34=0,"",SUMPRODUCT(('Istoric_Nativ'!$B$6:$B$405=B34)*('Istoric_Nativ'!$C$6:$C$405=BL34)*('Istoric_Nativ'!$P$6:$P$405=1)*('Istoric_Nativ'!$D$6:$D$405&lt;INT(G34))*((('Istoric_Nativ'!$E$6:$E$405='Input_Meci'!D34)+('Istoric_Nativ'!$F$6:$F$405='Input_Meci'!D34)+('Istoric_Nativ'!$E$6:$E$405='Input_Meci'!E34)+('Istoric_Nativ'!$F$6:$F$405='Input_Meci'!E34))&gt;0)*'Istoric_Nativ'!$Q$6:$Q$405)/AR34)</x:f>
      </x:c>
      <x:c r="AT34" s="11" t="str">
        <x:f>IF(AR34&lt;2,"",MAX(0,(SUMPRODUCT(('Istoric_Nativ'!$B$6:$B$405=B34)*('Istoric_Nativ'!$C$6:$C$405=BL34)*('Istoric_Nativ'!$P$6:$P$405=1)*('Istoric_Nativ'!$D$6:$D$405&lt;INT(G34))*((('Istoric_Nativ'!$E$6:$E$405='Input_Meci'!D34)+('Istoric_Nativ'!$F$6:$F$405='Input_Meci'!D34)+('Istoric_Nativ'!$E$6:$E$405='Input_Meci'!E34)+('Istoric_Nativ'!$F$6:$F$405='Input_Meci'!E34))&gt;0)*'Istoric_Nativ'!$R$6:$R$405)-AR34*AS34^2)/(AR34-1)))</x:f>
      </x:c>
      <x:c r="AU34" s="11" t="str">
        <x:f>IF(I34&lt;&gt;"PASS","",AT34/AS34)</x:f>
      </x:c>
      <x:c r="AV34" s="11" t="str">
        <x:f>IF(I34&lt;&gt;"PASS","",IF(AU34&lt;='Config_v6'!$B$10,"POISSON","NEGATIVE BINOMIAL"))</x:f>
      </x:c>
      <x:c r="AW34" s="11" t="str">
        <x:f>IF(I34&lt;&gt;"PASS","",IF(AV34="POISSON",9999,AS34/(AU34-1)))</x:f>
      </x:c>
      <x:c r="AX34" s="11" t="str">
        <x:f>IF(A34="","",MAX(1-'Config_v6'!$B$20,MIN(1+'Config_v6'!$B$20,1+0.02*(IF(AND(ISNUMBER('Input_Meci'!N34),'Input_Meci'!N34&gt;=0,'Input_Meci'!N34&lt;=200),'Input_Meci'!N34,12)/12-1)+0.02*(IF(AND(ISNUMBER('Input_Meci'!P34),'Input_Meci'!P34&gt;=0,'Input_Meci'!P34&lt;=200),'Input_Meci'!P34,3.5)/3.5-1)+0.02*(IF(AND(ISNUMBER('Input_Meci'!R34),'Input_Meci'!R34&gt;=0,'Input_Meci'!R34&lt;=200),'Input_Meci'!R34,18)/18-1)+0.02*((IF(AND(ISNUMBER('Input_Meci'!V34),'Input_Meci'!V34&gt;=0,'Input_Meci'!V34&lt;=10),'Input_Meci'!V34,5)-5)/5))))</x:f>
      </x:c>
      <x:c r="AY34" s="11" t="str">
        <x:f>IF(A34="","",MAX(1-'Config_v6'!$B$20,MIN(1+'Config_v6'!$B$20,1+0.02*(IF(AND(ISNUMBER('Input_Meci'!O34),'Input_Meci'!O34&gt;=0,'Input_Meci'!O34&lt;=200),'Input_Meci'!O34,12)/12-1)+0.02*(IF(AND(ISNUMBER('Input_Meci'!Q34),'Input_Meci'!Q34&gt;=0,'Input_Meci'!Q34&lt;=200),'Input_Meci'!Q34,3.5)/3.5-1)+0.02*(IF(AND(ISNUMBER('Input_Meci'!S34),'Input_Meci'!S34&gt;=0,'Input_Meci'!S34&lt;=200),'Input_Meci'!S34,18)/18-1)+0.02*((IF(AND(ISNUMBER('Input_Meci'!W34),'Input_Meci'!W34&gt;=0,'Input_Meci'!W34&lt;=10),'Input_Meci'!W34,5)-5)/5))))</x:f>
      </x:c>
      <x:c r="AZ34" s="11" t="str">
        <x:f>IF(A34="","",MAX(1-'Config_v6'!$B$21,MIN(1+'Config_v6'!$B$21,1+0.012*(IF('Input_Meci'!X34="",5,IF(ISNUMBER('Input_Meci'!X34),'Input_Meci'!X34,5))-5)+0.018*(IF('Input_Meci'!Z34="",5,IF(ISNUMBER('Input_Meci'!Z34),'Input_Meci'!Z34,5))-5)+0.012*(IF('Input_Meci'!AB34="",5,IF(ISNUMBER('Input_Meci'!AB34),'Input_Meci'!AB34,5))-5)+0.015*IF('Input_Meci'!AD34="",0,IF(ISNUMBER('Input_Meci'!AD34),'Input_Meci'!AD34,0))+0.02*IF('Input_Meci'!AF34="",0,IF(ISNUMBER('Input_Meci'!AF34),'Input_Meci'!AF34,0)))))</x:f>
      </x:c>
      <x:c r="BA34" s="11" t="str">
        <x:f>IF(A34="","",MAX(1-'Config_v6'!$B$21,MIN(1+'Config_v6'!$B$21,1+0.012*(IF('Input_Meci'!Y34="",5,IF(ISNUMBER('Input_Meci'!Y34),'Input_Meci'!Y34,5))-5)+0.018*(IF('Input_Meci'!AA34="",5,IF(ISNUMBER('Input_Meci'!AA34),'Input_Meci'!AA34,5))-5)+0.012*(IF('Input_Meci'!AC34="",5,IF(ISNUMBER('Input_Meci'!AC34),'Input_Meci'!AC34,5))-5)+0.015*IF('Input_Meci'!AE34="",0,IF(ISNUMBER('Input_Meci'!AE34),'Input_Meci'!AE34,0))+0.02*IF('Input_Meci'!AG34="",0,IF(ISNUMBER('Input_Meci'!AG34),'Input_Meci'!AG34,0)))))</x:f>
      </x:c>
      <x:c r="BB34" s="11" t="str">
        <x:f>IF(I34&lt;&gt;"PASS","",(AVERAGE(AF34,AM34)*'Config_v6'!$B$4+AVERAGE(AH34,AO34)*'Config_v6'!$B$5+AVERAGE(AJ34,AQ34)*'Config_v6'!$B$6)*AX34*AZ34)</x:f>
      </x:c>
      <x:c r="BC34" s="11" t="str">
        <x:f>IF(I34&lt;&gt;"PASS","",(AVERAGE(AL34,AG34)*'Config_v6'!$B$4+AVERAGE(AN34,AI34)*'Config_v6'!$B$5+AVERAGE(AP34,AK34)*'Config_v6'!$B$6)*AY34*BA34)</x:f>
      </x:c>
      <x:c r="BD34" s="11" t="str">
        <x:f>IF(I34&lt;&gt;"PASS","",BB34+BC34)</x:f>
      </x:c>
      <x:c r="BE34" s="11" t="str">
        <x:f>IF(A34="","",10-SUM(IF(AND(ISNUMBER('Input_Meci'!N34),'Input_Meci'!N34&gt;=0,'Input_Meci'!N34&lt;=200),1,0),IF(AND(ISNUMBER('Input_Meci'!O34),'Input_Meci'!O34&gt;=0,'Input_Meci'!O34&lt;=200),1,0),IF(AND(ISNUMBER('Input_Meci'!P34),'Input_Meci'!P34&gt;=0,'Input_Meci'!P34&lt;=200),1,0),IF(AND(ISNUMBER('Input_Meci'!Q34),'Input_Meci'!Q34&gt;=0,'Input_Meci'!Q34&lt;=200),1,0),IF(AND(ISNUMBER('Input_Meci'!R34),'Input_Meci'!R34&gt;=0,'Input_Meci'!R34&lt;=200),1,0),IF(AND(ISNUMBER('Input_Meci'!S34),'Input_Meci'!S34&gt;=0,'Input_Meci'!S34&lt;=200),1,0),IF(AND(ISNUMBER('Input_Meci'!T34),'Input_Meci'!T34&gt;=0,'Input_Meci'!T34&lt;=100),1,0),IF(AND(ISNUMBER('Input_Meci'!U34),'Input_Meci'!U34&gt;=0,'Input_Meci'!U34&lt;=100),1,0),IF(AND(ISNUMBER('Input_Meci'!V34),'Input_Meci'!V34&gt;=0,'Input_Meci'!V34&lt;=10),1,0),IF(AND(ISNUMBER('Input_Meci'!W34),'Input_Meci'!W34&gt;=0,'Input_Meci'!W34&lt;=10),1,0)))</x:f>
      </x:c>
      <x:c r="BF34" s="11" t="str">
        <x:f>IF(I34&lt;&gt;"PASS","",MAX(0,MIN(IF(OR(M34="YES",BL34&lt;&gt;C34),'Config_v6'!$B$34,100),ROUND(40+25*MIN(1,MIN(N34,Q34)/'Config_v6'!$B$7)*MIN(1,MIN(O34,R34)/'Config_v6'!$B$8)*MIN(1,MIN(P34,S34)/'Config_v6'!$B$9)+MAX(0,15-2*ABS(AF34-AJ34)-2*ABS(AL34-AP34))+IF(AU34&lt;='Config_v6'!$B$10,15,IF(AU34&lt;='Config_v6'!$B$11,13,IF(AU34&lt;='Config_v6'!$B$12,10,IF(AU34&lt;='Config_v6'!$B$13,6,0))))+5-BE34/10*'Config_v6'!$B$38,0))))</x:f>
      </x:c>
      <x:c r="BG34" s="11" t="str">
        <x:f>IF(I34&lt;&gt;"PASS","",MIN(1,'Config_v6'!$B$14*(0.7+0.3*MIN(1,AR34/'Config_v6'!$B$15))*IF(AU34&lt;='Config_v6'!$B$10,1,IF(AU34&lt;='Config_v6'!$B$11,0.95,IF(AU34&lt;='Config_v6'!$B$12,0.88,0.78)))*(0.75+0.25*BF34/100)))</x:f>
      </x:c>
      <x:c r="BH34" s="11" t="str">
        <x:f>IF(I34&lt;&gt;"PASS","",MIN(1,(ABS(AZ34-1)+ABS(BA34-1))*3))</x:f>
      </x:c>
      <x:c r="BI34" s="2" t="str">
        <x:f>IF(A34="","",IF(AND(OR('Input_Meci'!X34="",AND(ISNUMBER('Input_Meci'!X34),'Input_Meci'!X34&gt;=0,'Input_Meci'!X34&lt;=10)),OR('Input_Meci'!Y34="",AND(ISNUMBER('Input_Meci'!Y34),'Input_Meci'!Y34&gt;=0,'Input_Meci'!Y34&lt;=10)),OR('Input_Meci'!Z34="",AND(ISNUMBER('Input_Meci'!Z34),'Input_Meci'!Z34&gt;=0,'Input_Meci'!Z34&lt;=10)),OR('Input_Meci'!AA34="",AND(ISNUMBER('Input_Meci'!AA34),'Input_Meci'!AA34&gt;=0,'Input_Meci'!AA34&lt;=10)),OR('Input_Meci'!AB34="",AND(ISNUMBER('Input_Meci'!AB34),'Input_Meci'!AB34&gt;=0,'Input_Meci'!AB34&lt;=10)),OR('Input_Meci'!AC34="",AND(ISNUMBER('Input_Meci'!AC34),'Input_Meci'!AC34&gt;=0,'Input_Meci'!AC34&lt;=10)),OR('Input_Meci'!AD34="",AND(ISNUMBER('Input_Meci'!AD34),'Input_Meci'!AD34&gt;=-2,'Input_Meci'!AD34&lt;=2)),OR('Input_Meci'!AE34="",AND(ISNUMBER('Input_Meci'!AE34),'Input_Meci'!AE34&gt;=-2,'Input_Meci'!AE34&lt;=2)),OR('Input_Meci'!AF34="",AND(ISNUMBER('Input_Meci'!AF34),'Input_Meci'!AF34&gt;=-2,'Input_Meci'!AF34&lt;=2)),OR('Input_Meci'!AG34="",AND(ISNUMBER('Input_Meci'!AG34),'Input_Meci'!AG34&gt;=-2,'Input_Meci'!AG34&lt;=2))),"VALID","INVALID"))</x:f>
      </x:c>
      <x:c r="BJ34" s="2" t="n">
        <x:f>IF(A34="",0,SUM('Core_Nativ'!S342:S347))</x:f>
        <x:v>0</x:v>
      </x:c>
      <x:c r="BK34" s="2" t="str">
        <x:f>'Config_v6'!$B$40</x:f>
        <x:v>VALID</x:v>
      </x:c>
      <x:c r="BL34" s="2" t="str">
        <x:f>IF(A34="","",IF(SUMPRODUCT(('Istoric_Nativ'!$B$6:$B$405=B34)*('Istoric_Nativ'!$C$6:$C$405=C34)*('Istoric_Nativ'!$P$6:$P$405=1)*('Istoric_Nativ'!$D$6:$D$405&lt;INT(G34))*((('Istoric_Nativ'!$E$6:$E$405='Input_Meci'!D34)+('Istoric_Nativ'!$F$6:$F$405='Input_Meci'!D34)+('Istoric_Nativ'!$E$6:$E$405='Input_Meci'!E34)+('Istoric_Nativ'!$F$6:$F$405='Input_Meci'!E34))&gt;0))&gt;='Config_v6'!$B$41,C34,IF(AND('Input_Meci'!L34="YES",'Input_Meci'!K34&lt;&gt;"",'Input_Meci'!K34&lt;C34,COUNTIF('Core_Nativ'!R348:R353,"CLOSED")=6,SUM('Core_Nativ'!S348:S353)=0),'Input_Meci'!K34,C34)))</x:f>
      </x:c>
      <x:c r="BM34" s="9" t="n">
        <x:f>IF(OR(A34="",N34=0),0,LARGE(_xlfn._xlws.FILTER('Istoric_Nativ'!$D$6:$D$405,('Istoric_Nativ'!$B$6:$B$405=B34)*('Istoric_Nativ'!$C$6:$C$405=C34)*('Istoric_Nativ'!$P$6:$P$405=1)*('Istoric_Nativ'!$D$6:$D$405&lt;INT(G34))*((('Istoric_Nativ'!$E$6:$E$405='Input_Meci'!D34)+('Istoric_Nativ'!$F$6:$F$405='Input_Meci'!D34))&gt;0)),MIN(10,N34)))</x:f>
        <x:v>0</x:v>
      </x:c>
      <x:c r="BN34" s="9" t="n">
        <x:f>IF(OR(A34="",Q34=0),0,LARGE(_xlfn._xlws.FILTER('Istoric_Nativ'!$D$6:$D$405,('Istoric_Nativ'!$B$6:$B$405=B34)*('Istoric_Nativ'!$C$6:$C$405=C34)*('Istoric_Nativ'!$P$6:$P$405=1)*('Istoric_Nativ'!$D$6:$D$405&lt;INT(G34))*((('Istoric_Nativ'!$E$6:$E$405='Input_Meci'!E34)+('Istoric_Nativ'!$F$6:$F$405='Input_Meci'!E34))&gt;0)),MIN(10,Q34)))</x:f>
        <x:v>0</x:v>
      </x:c>
      <x:c r="BO34" s="9" t="n">
        <x:f>IF(OR(A34="",N34=0),0,LARGE(_xlfn._xlws.FILTER('Istoric_Nativ'!$D$6:$D$405,('Istoric_Nativ'!$B$6:$B$405=B34)*('Istoric_Nativ'!$C$6:$C$405=C34)*('Istoric_Nativ'!$P$6:$P$405=1)*('Istoric_Nativ'!$D$6:$D$405&lt;INT(G34))*((('Istoric_Nativ'!$E$6:$E$405='Input_Meci'!D34)+('Istoric_Nativ'!$F$6:$F$405='Input_Meci'!D34))&gt;0)),MIN(20,N34)))</x:f>
        <x:v>0</x:v>
      </x:c>
      <x:c r="BP34" s="9" t="n">
        <x:f>IF(OR(A34="",Q34=0),0,LARGE(_xlfn._xlws.FILTER('Istoric_Nativ'!$D$6:$D$405,('Istoric_Nativ'!$B$6:$B$405=B34)*('Istoric_Nativ'!$C$6:$C$405=C34)*('Istoric_Nativ'!$P$6:$P$405=1)*('Istoric_Nativ'!$D$6:$D$405&lt;INT(G34))*((('Istoric_Nativ'!$E$6:$E$405='Input_Meci'!E34)+('Istoric_Nativ'!$F$6:$F$405='Input_Meci'!E34))&gt;0)),MIN(20,Q34)))</x:f>
        <x:v>0</x:v>
      </x:c>
      <x:c r="BQ34" s="2" t="str">
        <x:f>IF(A34="","",IF(AND(COUNTIF(MatchesTable[Match_ID],A34)=1,COUNTIFS(MatchesTable[League],B34,MatchesTable[Season],C34,MatchesTable[Home],'Input_Meci'!D34,MatchesTable[Away],'Input_Meci'!E34,MatchesTable[Kickoff_UTC],F34)=1,B34&lt;&gt;"",C34&lt;&gt;"",'Input_Meci'!D34&lt;&gt;"",'Input_Meci'!E34&lt;&gt;"",'Input_Meci'!D34&lt;&gt;'Input_Meci'!E34,ISNUMBER(F34),ISNUMBER(G34),G34&lt;F34,OR(E34="LIVE",E34="REPLAY"),OR('Input_Meci'!L34="YES",'Input_Meci'!L34="NO",'Input_Meci'!L34="")),"VALID","INVALID"))</x:f>
      </x:c>
      <x:c r="BR34" s="2" t="n">
        <x:f>IF(I34&lt;&gt;"PASS",0,SUMPRODUCT(('Istoric_Nativ'!$B$6:$B$405='Input_Meci'!B34)*('Istoric_Nativ'!$C$6:$C$405='Input_Meci'!C34)*('Istoric_Nativ'!$P$6:$P$405=1)*('Istoric_Nativ'!$D$6:$D$405&lt;INT('Input_Meci'!G34))*((('Istoric_Nativ'!$E$6:$E$405='Input_Meci'!D34)+('Istoric_Nativ'!$F$6:$F$405='Input_Meci'!E34))&gt;0)))</x:f>
        <x:v>0</x:v>
      </x:c>
      <x:c r="BS34" s="2" t="n">
        <x:f>IF(I34&lt;&gt;"PASS",0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BM34)+((('Istoric_Nativ'!$E$6:$E$405='Input_Meci'!E34)+('Istoric_Nativ'!$F$6:$F$405='Input_Meci'!E34))&gt;0)*('Istoric_Nativ'!$D$6:$D$405&gt;=BN34))&gt;0)))</x:f>
        <x:v>0</x:v>
      </x:c>
      <x:c r="BT34" s="2" t="n">
        <x:f>IF(I34&lt;&gt;"PASS",0,SUMPRODUCT(('Istoric_Nativ'!$B$6:$B$405='Input_Meci'!B34)*('Istoric_Nativ'!$C$6:$C$405='Input_Meci'!C34)*('Istoric_Nativ'!$P$6:$P$405=1)*('Istoric_Nativ'!$D$6:$D$405&lt;INT('Input_Meci'!G34))*((((('Istoric_Nativ'!$E$6:$E$405='Input_Meci'!D34)+('Istoric_Nativ'!$F$6:$F$405='Input_Meci'!D34))&gt;0)*('Istoric_Nativ'!$D$6:$D$405&gt;=BO34)+((('Istoric_Nativ'!$E$6:$E$405='Input_Meci'!E34)+('Istoric_Nativ'!$F$6:$F$405='Input_Meci'!E34))&gt;0)*('Istoric_Nativ'!$D$6:$D$405&gt;=BP34))&gt;0)))</x:f>
        <x:v>0</x:v>
      </x:c>
    </x:row>
    <x:row r="35" ht="21" customHeight="1">
      <x:c r="A35" s="2" t="str">
        <x:f>IF('Input_Meci'!A35="","",'Input_Meci'!A35)</x:f>
      </x:c>
      <x:c r="B35" s="2" t="str">
        <x:f>IF(A35="","",'Input_Meci'!B35)</x:f>
      </x:c>
      <x:c r="C35" s="2" t="str">
        <x:f>IF(A35="","",'Input_Meci'!C35)</x:f>
      </x:c>
      <x:c r="D35" s="2" t="str">
        <x:f>IF(A35="","",'Input_Meci'!D35&amp;" – "&amp;'Input_Meci'!E35)</x:f>
      </x:c>
      <x:c r="E35" s="2" t="str">
        <x:f>IF(A35="","",'Input_Meci'!H35)</x:f>
      </x:c>
      <x:c r="F35" s="9" t="str">
        <x:f>IF(A35="","",'Input_Meci'!F35)</x:f>
      </x:c>
      <x:c r="G35" s="9" t="str">
        <x:f>IF(A35="","",'Input_Meci'!G35)</x:f>
      </x:c>
      <x:c r="H35" s="2" t="str">
        <x:f>IF(A35="","",IF(BQ35&lt;&gt;"VALID","NOT RELEASED",IF(AND(OR('Input_Meci'!I35="NOT AVAILABLE",'Input_Meci'!I35="SOURCE CONFLICT"),'Input_Meci'!J35&lt;&gt;""),"READY",IF(OR(NOT(OR('Input_Meci'!I35="AUTO",'Input_Meci'!I35="")),COUNTIF('Core_Nativ'!R354:R359,"CLOSED")&lt;&gt;6,BJ35&gt;0),"NOT RELEASED","READY"))))</x:f>
      </x:c>
      <x:c r="I35" s="2" t="str">
        <x:f>IF(A35="","",IF(H35&lt;&gt;"READY","NOT RELEASED",IF(AND(NOT(OR('Input_Meci'!I35="NOT AVAILABLE",'Input_Meci'!I35="SOURCE CONFLICT")),L35=12,AR35&gt;=2,AS35&gt;0,ISNUMBER(AT35),BI35="VALID",BK35="VALID"),"PASS","FAIL")))</x:f>
      </x:c>
      <x:c r="J35" s="2" t="str">
        <x:f>IF(A35="","",IF(BQ35&lt;&gt;"VALID","Verifica ID, echipe, mod si cutoff &lt; kickoff",IF(H35&lt;&gt;"READY",IF('Input_Meci'!I35="ACCESS BLOCKED","Acces blocat: reia sursele",IF(BJ35&gt;0,"Istoric invalid sau conflict: verifica randurile native","Surse neinchise / post-cutoff / dovezi incomplete")),IF(OR('Input_Meci'!I35="NOT AVAILABLE",'Input_Meci'!I35="SOURCE CONFLICT"),'Input_Meci'!I35,IF(BK35&lt;&gt;"VALID","Parametri invalizi",IF(L35&lt;&gt;12,"Core / sample / prior insuficient",IF(AR35&lt;2,"N insuficient pentru dispersie",IF(AS35&lt;=0,"Media istorica trebuie sa fie pozitiva",IF(BI35&lt;&gt;"VALID","Context invalid","READY")))))))))</x:f>
      </x:c>
      <x:c r="K35" s="2" t="str">
        <x:f>IF(A35="","",COUNT(T35:AE35))</x:f>
      </x:c>
      <x:c r="L35" s="2" t="str">
        <x:f>IF(A35="","",COUNT(AF35:AQ35))</x:f>
      </x:c>
      <x:c r="M35" s="2" t="str">
        <x:f>IF(A35="","",IF(OR('Core_Nativ'!M354&lt;'Core_Nativ'!P354,'Core_Nativ'!M355&lt;'Core_Nativ'!P355,'Core_Nativ'!M356&lt;'Core_Nativ'!P356,'Core_Nativ'!M357&lt;'Core_Nativ'!P357,'Core_Nativ'!M358&lt;'Core_Nativ'!P358,'Core_Nativ'!M359&lt;'Core_Nativ'!P359),"YES","NO"))</x:f>
      </x:c>
      <x:c r="N35" s="2" t="str">
        <x:f>IF(A35="","",'Core_Nativ'!M354)</x:f>
      </x:c>
      <x:c r="O35" s="2" t="str">
        <x:f>IF(A35="","",'Core_Nativ'!M355)</x:f>
      </x:c>
      <x:c r="P35" s="2" t="str">
        <x:f>IF(A35="","",'Core_Nativ'!M356)</x:f>
      </x:c>
      <x:c r="Q35" s="2" t="str">
        <x:f>IF(A35="","",'Core_Nativ'!M357)</x:f>
      </x:c>
      <x:c r="R35" s="2" t="str">
        <x:f>IF(A35="","",'Core_Nativ'!M358)</x:f>
      </x:c>
      <x:c r="S35" s="2" t="str">
        <x:f>IF(A35="","",'Core_Nativ'!M359)</x:f>
      </x:c>
      <x:c r="T35" s="11" t="str">
        <x:f>IF(OR(A35="",'Core_Nativ'!M354=0),"",'Core_Nativ'!N354)</x:f>
      </x:c>
      <x:c r="U35" s="11" t="str">
        <x:f>IF(OR(A35="",'Core_Nativ'!M354=0),"",'Core_Nativ'!O354)</x:f>
      </x:c>
      <x:c r="V35" s="11" t="str">
        <x:f>IF(OR(A35="",'Core_Nativ'!M355=0),"",'Core_Nativ'!N355)</x:f>
      </x:c>
      <x:c r="W35" s="11" t="str">
        <x:f>IF(OR(A35="",'Core_Nativ'!M355=0),"",'Core_Nativ'!O355)</x:f>
      </x:c>
      <x:c r="X35" s="11" t="str">
        <x:f>IF(OR(A35="",'Core_Nativ'!M356=0),"",'Core_Nativ'!N356)</x:f>
      </x:c>
      <x:c r="Y35" s="11" t="str">
        <x:f>IF(OR(A35="",'Core_Nativ'!M356=0),"",'Core_Nativ'!O356)</x:f>
      </x:c>
      <x:c r="Z35" s="11" t="str">
        <x:f>IF(OR(A35="",'Core_Nativ'!M357=0),"",'Core_Nativ'!N357)</x:f>
      </x:c>
      <x:c r="AA35" s="11" t="str">
        <x:f>IF(OR(A35="",'Core_Nativ'!M357=0),"",'Core_Nativ'!O357)</x:f>
      </x:c>
      <x:c r="AB35" s="11" t="str">
        <x:f>IF(OR(A35="",'Core_Nativ'!M358=0),"",'Core_Nativ'!N358)</x:f>
      </x:c>
      <x:c r="AC35" s="11" t="str">
        <x:f>IF(OR(A35="",'Core_Nativ'!M358=0),"",'Core_Nativ'!O358)</x:f>
      </x:c>
      <x:c r="AD35" s="11" t="str">
        <x:f>IF(OR(A35="",'Core_Nativ'!M359=0),"",'Core_Nativ'!N359)</x:f>
      </x:c>
      <x:c r="AE35" s="11" t="str">
        <x:f>IF(OR(A35="",'Core_Nativ'!M359=0),"",'Core_Nativ'!O359)</x:f>
      </x:c>
      <x:c r="AF35" s="11" t="str">
        <x:f>IF(A35="","",IF(AND('Core_Nativ'!R354="CLOSED",'Core_Nativ'!S354=0),IF('Core_Nativ'!M354&gt;='Core_Nativ'!P354,'Core_Nativ'!N354,IF(AND('Input_Meci'!L35="YES",'Input_Meci'!K35&lt;&gt;"",'Input_Meci'!K35&lt;C35,'Core_Nativ'!T360="DERIVED",'Core_Nativ'!M360&gt;='Core_Nativ'!P354),MIN(1,'Core_Nativ'!M354/'Core_Nativ'!P354)*IF('Core_Nativ'!M354=0,0,'Core_Nativ'!N354)+(1-MIN(1,'Core_Nativ'!M354/'Core_Nativ'!P354))*'Core_Nativ'!N360,"")),""))</x:f>
      </x:c>
      <x:c r="AG35" s="11" t="str">
        <x:f>IF(A35="","",IF(AND('Core_Nativ'!R354="CLOSED",'Core_Nativ'!S354=0),IF('Core_Nativ'!M354&gt;='Core_Nativ'!P354,'Core_Nativ'!O354,IF(AND('Input_Meci'!L35="YES",'Input_Meci'!K35&lt;&gt;"",'Input_Meci'!K35&lt;C35,'Core_Nativ'!T360="DERIVED",'Core_Nativ'!M360&gt;='Core_Nativ'!P354),MIN(1,'Core_Nativ'!M354/'Core_Nativ'!P354)*IF('Core_Nativ'!M354=0,0,'Core_Nativ'!O354)+(1-MIN(1,'Core_Nativ'!M354/'Core_Nativ'!P354))*'Core_Nativ'!O360,"")),""))</x:f>
      </x:c>
      <x:c r="AH35" s="11" t="str">
        <x:f>IF(A35="","",IF(AND('Core_Nativ'!R355="CLOSED",'Core_Nativ'!S355=0),IF('Core_Nativ'!M355&gt;='Core_Nativ'!P355,'Core_Nativ'!N355,IF(AND('Input_Meci'!L35="YES",'Input_Meci'!K35&lt;&gt;"",'Input_Meci'!K35&lt;C35,'Core_Nativ'!T361="DERIVED",'Core_Nativ'!M361&gt;='Core_Nativ'!P355),MIN(1,'Core_Nativ'!M355/'Core_Nativ'!P355)*IF('Core_Nativ'!M355=0,0,'Core_Nativ'!N355)+(1-MIN(1,'Core_Nativ'!M355/'Core_Nativ'!P355))*'Core_Nativ'!N361,"")),""))</x:f>
      </x:c>
      <x:c r="AI35" s="11" t="str">
        <x:f>IF(A35="","",IF(AND('Core_Nativ'!R355="CLOSED",'Core_Nativ'!S355=0),IF('Core_Nativ'!M355&gt;='Core_Nativ'!P355,'Core_Nativ'!O355,IF(AND('Input_Meci'!L35="YES",'Input_Meci'!K35&lt;&gt;"",'Input_Meci'!K35&lt;C35,'Core_Nativ'!T361="DERIVED",'Core_Nativ'!M361&gt;='Core_Nativ'!P355),MIN(1,'Core_Nativ'!M355/'Core_Nativ'!P355)*IF('Core_Nativ'!M355=0,0,'Core_Nativ'!O355)+(1-MIN(1,'Core_Nativ'!M355/'Core_Nativ'!P355))*'Core_Nativ'!O361,"")),""))</x:f>
      </x:c>
      <x:c r="AJ35" s="11" t="str">
        <x:f>IF(A35="","",IF(AND('Core_Nativ'!R356="CLOSED",'Core_Nativ'!S356=0),IF('Core_Nativ'!M356&gt;='Core_Nativ'!P356,'Core_Nativ'!N356,IF(AND('Input_Meci'!L35="YES",'Input_Meci'!K35&lt;&gt;"",'Input_Meci'!K35&lt;C35,'Core_Nativ'!T362="DERIVED",'Core_Nativ'!M362&gt;='Core_Nativ'!P356),MIN(1,'Core_Nativ'!M356/'Core_Nativ'!P356)*IF('Core_Nativ'!M356=0,0,'Core_Nativ'!N356)+(1-MIN(1,'Core_Nativ'!M356/'Core_Nativ'!P356))*'Core_Nativ'!N362,"")),""))</x:f>
      </x:c>
      <x:c r="AK35" s="11" t="str">
        <x:f>IF(A35="","",IF(AND('Core_Nativ'!R356="CLOSED",'Core_Nativ'!S356=0),IF('Core_Nativ'!M356&gt;='Core_Nativ'!P356,'Core_Nativ'!O356,IF(AND('Input_Meci'!L35="YES",'Input_Meci'!K35&lt;&gt;"",'Input_Meci'!K35&lt;C35,'Core_Nativ'!T362="DERIVED",'Core_Nativ'!M362&gt;='Core_Nativ'!P356),MIN(1,'Core_Nativ'!M356/'Core_Nativ'!P356)*IF('Core_Nativ'!M356=0,0,'Core_Nativ'!O356)+(1-MIN(1,'Core_Nativ'!M356/'Core_Nativ'!P356))*'Core_Nativ'!O362,"")),""))</x:f>
      </x:c>
      <x:c r="AL35" s="11" t="str">
        <x:f>IF(A35="","",IF(AND('Core_Nativ'!R357="CLOSED",'Core_Nativ'!S357=0),IF('Core_Nativ'!M357&gt;='Core_Nativ'!P357,'Core_Nativ'!N357,IF(AND('Input_Meci'!L35="YES",'Input_Meci'!K35&lt;&gt;"",'Input_Meci'!K35&lt;C35,'Core_Nativ'!T363="DERIVED",'Core_Nativ'!M363&gt;='Core_Nativ'!P357),MIN(1,'Core_Nativ'!M357/'Core_Nativ'!P357)*IF('Core_Nativ'!M357=0,0,'Core_Nativ'!N357)+(1-MIN(1,'Core_Nativ'!M357/'Core_Nativ'!P357))*'Core_Nativ'!N363,"")),""))</x:f>
      </x:c>
      <x:c r="AM35" s="11" t="str">
        <x:f>IF(A35="","",IF(AND('Core_Nativ'!R357="CLOSED",'Core_Nativ'!S357=0),IF('Core_Nativ'!M357&gt;='Core_Nativ'!P357,'Core_Nativ'!O357,IF(AND('Input_Meci'!L35="YES",'Input_Meci'!K35&lt;&gt;"",'Input_Meci'!K35&lt;C35,'Core_Nativ'!T363="DERIVED",'Core_Nativ'!M363&gt;='Core_Nativ'!P357),MIN(1,'Core_Nativ'!M357/'Core_Nativ'!P357)*IF('Core_Nativ'!M357=0,0,'Core_Nativ'!O357)+(1-MIN(1,'Core_Nativ'!M357/'Core_Nativ'!P357))*'Core_Nativ'!O363,"")),""))</x:f>
      </x:c>
      <x:c r="AN35" s="11" t="str">
        <x:f>IF(A35="","",IF(AND('Core_Nativ'!R358="CLOSED",'Core_Nativ'!S358=0),IF('Core_Nativ'!M358&gt;='Core_Nativ'!P358,'Core_Nativ'!N358,IF(AND('Input_Meci'!L35="YES",'Input_Meci'!K35&lt;&gt;"",'Input_Meci'!K35&lt;C35,'Core_Nativ'!T364="DERIVED",'Core_Nativ'!M364&gt;='Core_Nativ'!P358),MIN(1,'Core_Nativ'!M358/'Core_Nativ'!P358)*IF('Core_Nativ'!M358=0,0,'Core_Nativ'!N358)+(1-MIN(1,'Core_Nativ'!M358/'Core_Nativ'!P358))*'Core_Nativ'!N364,"")),""))</x:f>
      </x:c>
      <x:c r="AO35" s="11" t="str">
        <x:f>IF(A35="","",IF(AND('Core_Nativ'!R358="CLOSED",'Core_Nativ'!S358=0),IF('Core_Nativ'!M358&gt;='Core_Nativ'!P358,'Core_Nativ'!O358,IF(AND('Input_Meci'!L35="YES",'Input_Meci'!K35&lt;&gt;"",'Input_Meci'!K35&lt;C35,'Core_Nativ'!T364="DERIVED",'Core_Nativ'!M364&gt;='Core_Nativ'!P358),MIN(1,'Core_Nativ'!M358/'Core_Nativ'!P358)*IF('Core_Nativ'!M358=0,0,'Core_Nativ'!O358)+(1-MIN(1,'Core_Nativ'!M358/'Core_Nativ'!P358))*'Core_Nativ'!O364,"")),""))</x:f>
      </x:c>
      <x:c r="AP35" s="11" t="str">
        <x:f>IF(A35="","",IF(AND('Core_Nativ'!R359="CLOSED",'Core_Nativ'!S359=0),IF('Core_Nativ'!M359&gt;='Core_Nativ'!P359,'Core_Nativ'!N359,IF(AND('Input_Meci'!L35="YES",'Input_Meci'!K35&lt;&gt;"",'Input_Meci'!K35&lt;C35,'Core_Nativ'!T365="DERIVED",'Core_Nativ'!M365&gt;='Core_Nativ'!P359),MIN(1,'Core_Nativ'!M359/'Core_Nativ'!P359)*IF('Core_Nativ'!M359=0,0,'Core_Nativ'!N359)+(1-MIN(1,'Core_Nativ'!M359/'Core_Nativ'!P359))*'Core_Nativ'!N365,"")),""))</x:f>
      </x:c>
      <x:c r="AQ35" s="11" t="str">
        <x:f>IF(A35="","",IF(AND('Core_Nativ'!R359="CLOSED",'Core_Nativ'!S359=0),IF('Core_Nativ'!M359&gt;='Core_Nativ'!P359,'Core_Nativ'!O359,IF(AND('Input_Meci'!L35="YES",'Input_Meci'!K35&lt;&gt;"",'Input_Meci'!K35&lt;C35,'Core_Nativ'!T365="DERIVED",'Core_Nativ'!M365&gt;='Core_Nativ'!P359),MIN(1,'Core_Nativ'!M359/'Core_Nativ'!P359)*IF('Core_Nativ'!M359=0,0,'Core_Nativ'!O359)+(1-MIN(1,'Core_Nativ'!M359/'Core_Nativ'!P359))*'Core_Nativ'!O365,"")),""))</x:f>
      </x:c>
      <x:c r="AR35" s="11" t="str">
        <x:f>IF(A35="","",SUMPRODUCT(('Istoric_Nativ'!$B$6:$B$405=B35)*('Istoric_Nativ'!$C$6:$C$405=BL35)*('Istoric_Nativ'!$P$6:$P$405=1)*('Istoric_Nativ'!$D$6:$D$405&lt;INT(G35))*((('Istoric_Nativ'!$E$6:$E$405='Input_Meci'!D35)+('Istoric_Nativ'!$F$6:$F$405='Input_Meci'!D35)+('Istoric_Nativ'!$E$6:$E$405='Input_Meci'!E35)+('Istoric_Nativ'!$F$6:$F$405='Input_Meci'!E35))&gt;0)))</x:f>
      </x:c>
      <x:c r="AS35" s="11" t="str">
        <x:f>IF(AR35=0,"",SUMPRODUCT(('Istoric_Nativ'!$B$6:$B$405=B35)*('Istoric_Nativ'!$C$6:$C$405=BL35)*('Istoric_Nativ'!$P$6:$P$405=1)*('Istoric_Nativ'!$D$6:$D$405&lt;INT(G35))*((('Istoric_Nativ'!$E$6:$E$405='Input_Meci'!D35)+('Istoric_Nativ'!$F$6:$F$405='Input_Meci'!D35)+('Istoric_Nativ'!$E$6:$E$405='Input_Meci'!E35)+('Istoric_Nativ'!$F$6:$F$405='Input_Meci'!E35))&gt;0)*'Istoric_Nativ'!$Q$6:$Q$405)/AR35)</x:f>
      </x:c>
      <x:c r="AT35" s="11" t="str">
        <x:f>IF(AR35&lt;2,"",MAX(0,(SUMPRODUCT(('Istoric_Nativ'!$B$6:$B$405=B35)*('Istoric_Nativ'!$C$6:$C$405=BL35)*('Istoric_Nativ'!$P$6:$P$405=1)*('Istoric_Nativ'!$D$6:$D$405&lt;INT(G35))*((('Istoric_Nativ'!$E$6:$E$405='Input_Meci'!D35)+('Istoric_Nativ'!$F$6:$F$405='Input_Meci'!D35)+('Istoric_Nativ'!$E$6:$E$405='Input_Meci'!E35)+('Istoric_Nativ'!$F$6:$F$405='Input_Meci'!E35))&gt;0)*'Istoric_Nativ'!$R$6:$R$405)-AR35*AS35^2)/(AR35-1)))</x:f>
      </x:c>
      <x:c r="AU35" s="11" t="str">
        <x:f>IF(I35&lt;&gt;"PASS","",AT35/AS35)</x:f>
      </x:c>
      <x:c r="AV35" s="11" t="str">
        <x:f>IF(I35&lt;&gt;"PASS","",IF(AU35&lt;='Config_v6'!$B$10,"POISSON","NEGATIVE BINOMIAL"))</x:f>
      </x:c>
      <x:c r="AW35" s="11" t="str">
        <x:f>IF(I35&lt;&gt;"PASS","",IF(AV35="POISSON",9999,AS35/(AU35-1)))</x:f>
      </x:c>
      <x:c r="AX35" s="11" t="str">
        <x:f>IF(A35="","",MAX(1-'Config_v6'!$B$20,MIN(1+'Config_v6'!$B$20,1+0.02*(IF(AND(ISNUMBER('Input_Meci'!N35),'Input_Meci'!N35&gt;=0,'Input_Meci'!N35&lt;=200),'Input_Meci'!N35,12)/12-1)+0.02*(IF(AND(ISNUMBER('Input_Meci'!P35),'Input_Meci'!P35&gt;=0,'Input_Meci'!P35&lt;=200),'Input_Meci'!P35,3.5)/3.5-1)+0.02*(IF(AND(ISNUMBER('Input_Meci'!R35),'Input_Meci'!R35&gt;=0,'Input_Meci'!R35&lt;=200),'Input_Meci'!R35,18)/18-1)+0.02*((IF(AND(ISNUMBER('Input_Meci'!V35),'Input_Meci'!V35&gt;=0,'Input_Meci'!V35&lt;=10),'Input_Meci'!V35,5)-5)/5))))</x:f>
      </x:c>
      <x:c r="AY35" s="11" t="str">
        <x:f>IF(A35="","",MAX(1-'Config_v6'!$B$20,MIN(1+'Config_v6'!$B$20,1+0.02*(IF(AND(ISNUMBER('Input_Meci'!O35),'Input_Meci'!O35&gt;=0,'Input_Meci'!O35&lt;=200),'Input_Meci'!O35,12)/12-1)+0.02*(IF(AND(ISNUMBER('Input_Meci'!Q35),'Input_Meci'!Q35&gt;=0,'Input_Meci'!Q35&lt;=200),'Input_Meci'!Q35,3.5)/3.5-1)+0.02*(IF(AND(ISNUMBER('Input_Meci'!S35),'Input_Meci'!S35&gt;=0,'Input_Meci'!S35&lt;=200),'Input_Meci'!S35,18)/18-1)+0.02*((IF(AND(ISNUMBER('Input_Meci'!W35),'Input_Meci'!W35&gt;=0,'Input_Meci'!W35&lt;=10),'Input_Meci'!W35,5)-5)/5))))</x:f>
      </x:c>
      <x:c r="AZ35" s="11" t="str">
        <x:f>IF(A35="","",MAX(1-'Config_v6'!$B$21,MIN(1+'Config_v6'!$B$21,1+0.012*(IF('Input_Meci'!X35="",5,IF(ISNUMBER('Input_Meci'!X35),'Input_Meci'!X35,5))-5)+0.018*(IF('Input_Meci'!Z35="",5,IF(ISNUMBER('Input_Meci'!Z35),'Input_Meci'!Z35,5))-5)+0.012*(IF('Input_Meci'!AB35="",5,IF(ISNUMBER('Input_Meci'!AB35),'Input_Meci'!AB35,5))-5)+0.015*IF('Input_Meci'!AD35="",0,IF(ISNUMBER('Input_Meci'!AD35),'Input_Meci'!AD35,0))+0.02*IF('Input_Meci'!AF35="",0,IF(ISNUMBER('Input_Meci'!AF35),'Input_Meci'!AF35,0)))))</x:f>
      </x:c>
      <x:c r="BA35" s="11" t="str">
        <x:f>IF(A35="","",MAX(1-'Config_v6'!$B$21,MIN(1+'Config_v6'!$B$21,1+0.012*(IF('Input_Meci'!Y35="",5,IF(ISNUMBER('Input_Meci'!Y35),'Input_Meci'!Y35,5))-5)+0.018*(IF('Input_Meci'!AA35="",5,IF(ISNUMBER('Input_Meci'!AA35),'Input_Meci'!AA35,5))-5)+0.012*(IF('Input_Meci'!AC35="",5,IF(ISNUMBER('Input_Meci'!AC35),'Input_Meci'!AC35,5))-5)+0.015*IF('Input_Meci'!AE35="",0,IF(ISNUMBER('Input_Meci'!AE35),'Input_Meci'!AE35,0))+0.02*IF('Input_Meci'!AG35="",0,IF(ISNUMBER('Input_Meci'!AG35),'Input_Meci'!AG35,0)))))</x:f>
      </x:c>
      <x:c r="BB35" s="11" t="str">
        <x:f>IF(I35&lt;&gt;"PASS","",(AVERAGE(AF35,AM35)*'Config_v6'!$B$4+AVERAGE(AH35,AO35)*'Config_v6'!$B$5+AVERAGE(AJ35,AQ35)*'Config_v6'!$B$6)*AX35*AZ35)</x:f>
      </x:c>
      <x:c r="BC35" s="11" t="str">
        <x:f>IF(I35&lt;&gt;"PASS","",(AVERAGE(AL35,AG35)*'Config_v6'!$B$4+AVERAGE(AN35,AI35)*'Config_v6'!$B$5+AVERAGE(AP35,AK35)*'Config_v6'!$B$6)*AY35*BA35)</x:f>
      </x:c>
      <x:c r="BD35" s="11" t="str">
        <x:f>IF(I35&lt;&gt;"PASS","",BB35+BC35)</x:f>
      </x:c>
      <x:c r="BE35" s="11" t="str">
        <x:f>IF(A35="","",10-SUM(IF(AND(ISNUMBER('Input_Meci'!N35),'Input_Meci'!N35&gt;=0,'Input_Meci'!N35&lt;=200),1,0),IF(AND(ISNUMBER('Input_Meci'!O35),'Input_Meci'!O35&gt;=0,'Input_Meci'!O35&lt;=200),1,0),IF(AND(ISNUMBER('Input_Meci'!P35),'Input_Meci'!P35&gt;=0,'Input_Meci'!P35&lt;=200),1,0),IF(AND(ISNUMBER('Input_Meci'!Q35),'Input_Meci'!Q35&gt;=0,'Input_Meci'!Q35&lt;=200),1,0),IF(AND(ISNUMBER('Input_Meci'!R35),'Input_Meci'!R35&gt;=0,'Input_Meci'!R35&lt;=200),1,0),IF(AND(ISNUMBER('Input_Meci'!S35),'Input_Meci'!S35&gt;=0,'Input_Meci'!S35&lt;=200),1,0),IF(AND(ISNUMBER('Input_Meci'!T35),'Input_Meci'!T35&gt;=0,'Input_Meci'!T35&lt;=100),1,0),IF(AND(ISNUMBER('Input_Meci'!U35),'Input_Meci'!U35&gt;=0,'Input_Meci'!U35&lt;=100),1,0),IF(AND(ISNUMBER('Input_Meci'!V35),'Input_Meci'!V35&gt;=0,'Input_Meci'!V35&lt;=10),1,0),IF(AND(ISNUMBER('Input_Meci'!W35),'Input_Meci'!W35&gt;=0,'Input_Meci'!W35&lt;=10),1,0)))</x:f>
      </x:c>
      <x:c r="BF35" s="11" t="str">
        <x:f>IF(I35&lt;&gt;"PASS","",MAX(0,MIN(IF(OR(M35="YES",BL35&lt;&gt;C35),'Config_v6'!$B$34,100),ROUND(40+25*MIN(1,MIN(N35,Q35)/'Config_v6'!$B$7)*MIN(1,MIN(O35,R35)/'Config_v6'!$B$8)*MIN(1,MIN(P35,S35)/'Config_v6'!$B$9)+MAX(0,15-2*ABS(AF35-AJ35)-2*ABS(AL35-AP35))+IF(AU35&lt;='Config_v6'!$B$10,15,IF(AU35&lt;='Config_v6'!$B$11,13,IF(AU35&lt;='Config_v6'!$B$12,10,IF(AU35&lt;='Config_v6'!$B$13,6,0))))+5-BE35/10*'Config_v6'!$B$38,0))))</x:f>
      </x:c>
      <x:c r="BG35" s="11" t="str">
        <x:f>IF(I35&lt;&gt;"PASS","",MIN(1,'Config_v6'!$B$14*(0.7+0.3*MIN(1,AR35/'Config_v6'!$B$15))*IF(AU35&lt;='Config_v6'!$B$10,1,IF(AU35&lt;='Config_v6'!$B$11,0.95,IF(AU35&lt;='Config_v6'!$B$12,0.88,0.78)))*(0.75+0.25*BF35/100)))</x:f>
      </x:c>
      <x:c r="BH35" s="11" t="str">
        <x:f>IF(I35&lt;&gt;"PASS","",MIN(1,(ABS(AZ35-1)+ABS(BA35-1))*3))</x:f>
      </x:c>
      <x:c r="BI35" s="2" t="str">
        <x:f>IF(A35="","",IF(AND(OR('Input_Meci'!X35="",AND(ISNUMBER('Input_Meci'!X35),'Input_Meci'!X35&gt;=0,'Input_Meci'!X35&lt;=10)),OR('Input_Meci'!Y35="",AND(ISNUMBER('Input_Meci'!Y35),'Input_Meci'!Y35&gt;=0,'Input_Meci'!Y35&lt;=10)),OR('Input_Meci'!Z35="",AND(ISNUMBER('Input_Meci'!Z35),'Input_Meci'!Z35&gt;=0,'Input_Meci'!Z35&lt;=10)),OR('Input_Meci'!AA35="",AND(ISNUMBER('Input_Meci'!AA35),'Input_Meci'!AA35&gt;=0,'Input_Meci'!AA35&lt;=10)),OR('Input_Meci'!AB35="",AND(ISNUMBER('Input_Meci'!AB35),'Input_Meci'!AB35&gt;=0,'Input_Meci'!AB35&lt;=10)),OR('Input_Meci'!AC35="",AND(ISNUMBER('Input_Meci'!AC35),'Input_Meci'!AC35&gt;=0,'Input_Meci'!AC35&lt;=10)),OR('Input_Meci'!AD35="",AND(ISNUMBER('Input_Meci'!AD35),'Input_Meci'!AD35&gt;=-2,'Input_Meci'!AD35&lt;=2)),OR('Input_Meci'!AE35="",AND(ISNUMBER('Input_Meci'!AE35),'Input_Meci'!AE35&gt;=-2,'Input_Meci'!AE35&lt;=2)),OR('Input_Meci'!AF35="",AND(ISNUMBER('Input_Meci'!AF35),'Input_Meci'!AF35&gt;=-2,'Input_Meci'!AF35&lt;=2)),OR('Input_Meci'!AG35="",AND(ISNUMBER('Input_Meci'!AG35),'Input_Meci'!AG35&gt;=-2,'Input_Meci'!AG35&lt;=2))),"VALID","INVALID"))</x:f>
      </x:c>
      <x:c r="BJ35" s="2" t="n">
        <x:f>IF(A35="",0,SUM('Core_Nativ'!S354:S359))</x:f>
        <x:v>0</x:v>
      </x:c>
      <x:c r="BK35" s="2" t="str">
        <x:f>'Config_v6'!$B$40</x:f>
        <x:v>VALID</x:v>
      </x:c>
      <x:c r="BL35" s="2" t="str">
        <x:f>IF(A35="","",IF(SUMPRODUCT(('Istoric_Nativ'!$B$6:$B$405=B35)*('Istoric_Nativ'!$C$6:$C$405=C35)*('Istoric_Nativ'!$P$6:$P$405=1)*('Istoric_Nativ'!$D$6:$D$405&lt;INT(G35))*((('Istoric_Nativ'!$E$6:$E$405='Input_Meci'!D35)+('Istoric_Nativ'!$F$6:$F$405='Input_Meci'!D35)+('Istoric_Nativ'!$E$6:$E$405='Input_Meci'!E35)+('Istoric_Nativ'!$F$6:$F$405='Input_Meci'!E35))&gt;0))&gt;='Config_v6'!$B$41,C35,IF(AND('Input_Meci'!L35="YES",'Input_Meci'!K35&lt;&gt;"",'Input_Meci'!K35&lt;C35,COUNTIF('Core_Nativ'!R360:R365,"CLOSED")=6,SUM('Core_Nativ'!S360:S365)=0),'Input_Meci'!K35,C35)))</x:f>
      </x:c>
      <x:c r="BM35" s="9" t="n">
        <x:f>IF(OR(A35="",N35=0),0,LARGE(_xlfn._xlws.FILTER('Istoric_Nativ'!$D$6:$D$405,('Istoric_Nativ'!$B$6:$B$405=B35)*('Istoric_Nativ'!$C$6:$C$405=C35)*('Istoric_Nativ'!$P$6:$P$405=1)*('Istoric_Nativ'!$D$6:$D$405&lt;INT(G35))*((('Istoric_Nativ'!$E$6:$E$405='Input_Meci'!D35)+('Istoric_Nativ'!$F$6:$F$405='Input_Meci'!D35))&gt;0)),MIN(10,N35)))</x:f>
        <x:v>0</x:v>
      </x:c>
      <x:c r="BN35" s="9" t="n">
        <x:f>IF(OR(A35="",Q35=0),0,LARGE(_xlfn._xlws.FILTER('Istoric_Nativ'!$D$6:$D$405,('Istoric_Nativ'!$B$6:$B$405=B35)*('Istoric_Nativ'!$C$6:$C$405=C35)*('Istoric_Nativ'!$P$6:$P$405=1)*('Istoric_Nativ'!$D$6:$D$405&lt;INT(G35))*((('Istoric_Nativ'!$E$6:$E$405='Input_Meci'!E35)+('Istoric_Nativ'!$F$6:$F$405='Input_Meci'!E35))&gt;0)),MIN(10,Q35)))</x:f>
        <x:v>0</x:v>
      </x:c>
      <x:c r="BO35" s="9" t="n">
        <x:f>IF(OR(A35="",N35=0),0,LARGE(_xlfn._xlws.FILTER('Istoric_Nativ'!$D$6:$D$405,('Istoric_Nativ'!$B$6:$B$405=B35)*('Istoric_Nativ'!$C$6:$C$405=C35)*('Istoric_Nativ'!$P$6:$P$405=1)*('Istoric_Nativ'!$D$6:$D$405&lt;INT(G35))*((('Istoric_Nativ'!$E$6:$E$405='Input_Meci'!D35)+('Istoric_Nativ'!$F$6:$F$405='Input_Meci'!D35))&gt;0)),MIN(20,N35)))</x:f>
        <x:v>0</x:v>
      </x:c>
      <x:c r="BP35" s="9" t="n">
        <x:f>IF(OR(A35="",Q35=0),0,LARGE(_xlfn._xlws.FILTER('Istoric_Nativ'!$D$6:$D$405,('Istoric_Nativ'!$B$6:$B$405=B35)*('Istoric_Nativ'!$C$6:$C$405=C35)*('Istoric_Nativ'!$P$6:$P$405=1)*('Istoric_Nativ'!$D$6:$D$405&lt;INT(G35))*((('Istoric_Nativ'!$E$6:$E$405='Input_Meci'!E35)+('Istoric_Nativ'!$F$6:$F$405='Input_Meci'!E35))&gt;0)),MIN(20,Q35)))</x:f>
        <x:v>0</x:v>
      </x:c>
      <x:c r="BQ35" s="2" t="str">
        <x:f>IF(A35="","",IF(AND(COUNTIF(MatchesTable[Match_ID],A35)=1,COUNTIFS(MatchesTable[League],B35,MatchesTable[Season],C35,MatchesTable[Home],'Input_Meci'!D35,MatchesTable[Away],'Input_Meci'!E35,MatchesTable[Kickoff_UTC],F35)=1,B35&lt;&gt;"",C35&lt;&gt;"",'Input_Meci'!D35&lt;&gt;"",'Input_Meci'!E35&lt;&gt;"",'Input_Meci'!D35&lt;&gt;'Input_Meci'!E35,ISNUMBER(F35),ISNUMBER(G35),G35&lt;F35,OR(E35="LIVE",E35="REPLAY"),OR('Input_Meci'!L35="YES",'Input_Meci'!L35="NO",'Input_Meci'!L35="")),"VALID","INVALID"))</x:f>
      </x:c>
      <x:c r="BR35" s="2" t="n">
        <x:f>IF(I35&lt;&gt;"PASS",0,SUMPRODUCT(('Istoric_Nativ'!$B$6:$B$405='Input_Meci'!B35)*('Istoric_Nativ'!$C$6:$C$405='Input_Meci'!C35)*('Istoric_Nativ'!$P$6:$P$405=1)*('Istoric_Nativ'!$D$6:$D$405&lt;INT('Input_Meci'!G35))*((('Istoric_Nativ'!$E$6:$E$405='Input_Meci'!D35)+('Istoric_Nativ'!$F$6:$F$405='Input_Meci'!E35))&gt;0)))</x:f>
        <x:v>0</x:v>
      </x:c>
      <x:c r="BS35" s="2" t="n">
        <x:f>IF(I35&lt;&gt;"PASS",0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BM35)+((('Istoric_Nativ'!$E$6:$E$405='Input_Meci'!E35)+('Istoric_Nativ'!$F$6:$F$405='Input_Meci'!E35))&gt;0)*('Istoric_Nativ'!$D$6:$D$405&gt;=BN35))&gt;0)))</x:f>
        <x:v>0</x:v>
      </x:c>
      <x:c r="BT35" s="2" t="n">
        <x:f>IF(I35&lt;&gt;"PASS",0,SUMPRODUCT(('Istoric_Nativ'!$B$6:$B$405='Input_Meci'!B35)*('Istoric_Nativ'!$C$6:$C$405='Input_Meci'!C35)*('Istoric_Nativ'!$P$6:$P$405=1)*('Istoric_Nativ'!$D$6:$D$405&lt;INT('Input_Meci'!G35))*((((('Istoric_Nativ'!$E$6:$E$405='Input_Meci'!D35)+('Istoric_Nativ'!$F$6:$F$405='Input_Meci'!D35))&gt;0)*('Istoric_Nativ'!$D$6:$D$405&gt;=BO35)+((('Istoric_Nativ'!$E$6:$E$405='Input_Meci'!E35)+('Istoric_Nativ'!$F$6:$F$405='Input_Meci'!E35))&gt;0)*('Istoric_Nativ'!$D$6:$D$405&gt;=BP35))&gt;0)))</x:f>
        <x:v>0</x:v>
      </x:c>
    </x:row>
    <x:row r="36" ht="21" customHeight="1">
      <x:c r="A36" s="2" t="str">
        <x:f>IF('Input_Meci'!A36="","",'Input_Meci'!A36)</x:f>
      </x:c>
      <x:c r="B36" s="2" t="str">
        <x:f>IF(A36="","",'Input_Meci'!B36)</x:f>
      </x:c>
      <x:c r="C36" s="2" t="str">
        <x:f>IF(A36="","",'Input_Meci'!C36)</x:f>
      </x:c>
      <x:c r="D36" s="2" t="str">
        <x:f>IF(A36="","",'Input_Meci'!D36&amp;" – "&amp;'Input_Meci'!E36)</x:f>
      </x:c>
      <x:c r="E36" s="2" t="str">
        <x:f>IF(A36="","",'Input_Meci'!H36)</x:f>
      </x:c>
      <x:c r="F36" s="9" t="str">
        <x:f>IF(A36="","",'Input_Meci'!F36)</x:f>
      </x:c>
      <x:c r="G36" s="9" t="str">
        <x:f>IF(A36="","",'Input_Meci'!G36)</x:f>
      </x:c>
      <x:c r="H36" s="2" t="str">
        <x:f>IF(A36="","",IF(BQ36&lt;&gt;"VALID","NOT RELEASED",IF(AND(OR('Input_Meci'!I36="NOT AVAILABLE",'Input_Meci'!I36="SOURCE CONFLICT"),'Input_Meci'!J36&lt;&gt;""),"READY",IF(OR(NOT(OR('Input_Meci'!I36="AUTO",'Input_Meci'!I36="")),COUNTIF('Core_Nativ'!R366:R371,"CLOSED")&lt;&gt;6,BJ36&gt;0),"NOT RELEASED","READY"))))</x:f>
      </x:c>
      <x:c r="I36" s="2" t="str">
        <x:f>IF(A36="","",IF(H36&lt;&gt;"READY","NOT RELEASED",IF(AND(NOT(OR('Input_Meci'!I36="NOT AVAILABLE",'Input_Meci'!I36="SOURCE CONFLICT")),L36=12,AR36&gt;=2,AS36&gt;0,ISNUMBER(AT36),BI36="VALID",BK36="VALID"),"PASS","FAIL")))</x:f>
      </x:c>
      <x:c r="J36" s="2" t="str">
        <x:f>IF(A36="","",IF(BQ36&lt;&gt;"VALID","Verifica ID, echipe, mod si cutoff &lt; kickoff",IF(H36&lt;&gt;"READY",IF('Input_Meci'!I36="ACCESS BLOCKED","Acces blocat: reia sursele",IF(BJ36&gt;0,"Istoric invalid sau conflict: verifica randurile native","Surse neinchise / post-cutoff / dovezi incomplete")),IF(OR('Input_Meci'!I36="NOT AVAILABLE",'Input_Meci'!I36="SOURCE CONFLICT"),'Input_Meci'!I36,IF(BK36&lt;&gt;"VALID","Parametri invalizi",IF(L36&lt;&gt;12,"Core / sample / prior insuficient",IF(AR36&lt;2,"N insuficient pentru dispersie",IF(AS36&lt;=0,"Media istorica trebuie sa fie pozitiva",IF(BI36&lt;&gt;"VALID","Context invalid","READY")))))))))</x:f>
      </x:c>
      <x:c r="K36" s="2" t="str">
        <x:f>IF(A36="","",COUNT(T36:AE36))</x:f>
      </x:c>
      <x:c r="L36" s="2" t="str">
        <x:f>IF(A36="","",COUNT(AF36:AQ36))</x:f>
      </x:c>
      <x:c r="M36" s="2" t="str">
        <x:f>IF(A36="","",IF(OR('Core_Nativ'!M366&lt;'Core_Nativ'!P366,'Core_Nativ'!M367&lt;'Core_Nativ'!P367,'Core_Nativ'!M368&lt;'Core_Nativ'!P368,'Core_Nativ'!M369&lt;'Core_Nativ'!P369,'Core_Nativ'!M370&lt;'Core_Nativ'!P370,'Core_Nativ'!M371&lt;'Core_Nativ'!P371),"YES","NO"))</x:f>
      </x:c>
      <x:c r="N36" s="2" t="str">
        <x:f>IF(A36="","",'Core_Nativ'!M366)</x:f>
      </x:c>
      <x:c r="O36" s="2" t="str">
        <x:f>IF(A36="","",'Core_Nativ'!M367)</x:f>
      </x:c>
      <x:c r="P36" s="2" t="str">
        <x:f>IF(A36="","",'Core_Nativ'!M368)</x:f>
      </x:c>
      <x:c r="Q36" s="2" t="str">
        <x:f>IF(A36="","",'Core_Nativ'!M369)</x:f>
      </x:c>
      <x:c r="R36" s="2" t="str">
        <x:f>IF(A36="","",'Core_Nativ'!M370)</x:f>
      </x:c>
      <x:c r="S36" s="2" t="str">
        <x:f>IF(A36="","",'Core_Nativ'!M371)</x:f>
      </x:c>
      <x:c r="T36" s="11" t="str">
        <x:f>IF(OR(A36="",'Core_Nativ'!M366=0),"",'Core_Nativ'!N366)</x:f>
      </x:c>
      <x:c r="U36" s="11" t="str">
        <x:f>IF(OR(A36="",'Core_Nativ'!M366=0),"",'Core_Nativ'!O366)</x:f>
      </x:c>
      <x:c r="V36" s="11" t="str">
        <x:f>IF(OR(A36="",'Core_Nativ'!M367=0),"",'Core_Nativ'!N367)</x:f>
      </x:c>
      <x:c r="W36" s="11" t="str">
        <x:f>IF(OR(A36="",'Core_Nativ'!M367=0),"",'Core_Nativ'!O367)</x:f>
      </x:c>
      <x:c r="X36" s="11" t="str">
        <x:f>IF(OR(A36="",'Core_Nativ'!M368=0),"",'Core_Nativ'!N368)</x:f>
      </x:c>
      <x:c r="Y36" s="11" t="str">
        <x:f>IF(OR(A36="",'Core_Nativ'!M368=0),"",'Core_Nativ'!O368)</x:f>
      </x:c>
      <x:c r="Z36" s="11" t="str">
        <x:f>IF(OR(A36="",'Core_Nativ'!M369=0),"",'Core_Nativ'!N369)</x:f>
      </x:c>
      <x:c r="AA36" s="11" t="str">
        <x:f>IF(OR(A36="",'Core_Nativ'!M369=0),"",'Core_Nativ'!O369)</x:f>
      </x:c>
      <x:c r="AB36" s="11" t="str">
        <x:f>IF(OR(A36="",'Core_Nativ'!M370=0),"",'Core_Nativ'!N370)</x:f>
      </x:c>
      <x:c r="AC36" s="11" t="str">
        <x:f>IF(OR(A36="",'Core_Nativ'!M370=0),"",'Core_Nativ'!O370)</x:f>
      </x:c>
      <x:c r="AD36" s="11" t="str">
        <x:f>IF(OR(A36="",'Core_Nativ'!M371=0),"",'Core_Nativ'!N371)</x:f>
      </x:c>
      <x:c r="AE36" s="11" t="str">
        <x:f>IF(OR(A36="",'Core_Nativ'!M371=0),"",'Core_Nativ'!O371)</x:f>
      </x:c>
      <x:c r="AF36" s="11" t="str">
        <x:f>IF(A36="","",IF(AND('Core_Nativ'!R366="CLOSED",'Core_Nativ'!S366=0),IF('Core_Nativ'!M366&gt;='Core_Nativ'!P366,'Core_Nativ'!N366,IF(AND('Input_Meci'!L36="YES",'Input_Meci'!K36&lt;&gt;"",'Input_Meci'!K36&lt;C36,'Core_Nativ'!T372="DERIVED",'Core_Nativ'!M372&gt;='Core_Nativ'!P366),MIN(1,'Core_Nativ'!M366/'Core_Nativ'!P366)*IF('Core_Nativ'!M366=0,0,'Core_Nativ'!N366)+(1-MIN(1,'Core_Nativ'!M366/'Core_Nativ'!P366))*'Core_Nativ'!N372,"")),""))</x:f>
      </x:c>
      <x:c r="AG36" s="11" t="str">
        <x:f>IF(A36="","",IF(AND('Core_Nativ'!R366="CLOSED",'Core_Nativ'!S366=0),IF('Core_Nativ'!M366&gt;='Core_Nativ'!P366,'Core_Nativ'!O366,IF(AND('Input_Meci'!L36="YES",'Input_Meci'!K36&lt;&gt;"",'Input_Meci'!K36&lt;C36,'Core_Nativ'!T372="DERIVED",'Core_Nativ'!M372&gt;='Core_Nativ'!P366),MIN(1,'Core_Nativ'!M366/'Core_Nativ'!P366)*IF('Core_Nativ'!M366=0,0,'Core_Nativ'!O366)+(1-MIN(1,'Core_Nativ'!M366/'Core_Nativ'!P366))*'Core_Nativ'!O372,"")),""))</x:f>
      </x:c>
      <x:c r="AH36" s="11" t="str">
        <x:f>IF(A36="","",IF(AND('Core_Nativ'!R367="CLOSED",'Core_Nativ'!S367=0),IF('Core_Nativ'!M367&gt;='Core_Nativ'!P367,'Core_Nativ'!N367,IF(AND('Input_Meci'!L36="YES",'Input_Meci'!K36&lt;&gt;"",'Input_Meci'!K36&lt;C36,'Core_Nativ'!T373="DERIVED",'Core_Nativ'!M373&gt;='Core_Nativ'!P367),MIN(1,'Core_Nativ'!M367/'Core_Nativ'!P367)*IF('Core_Nativ'!M367=0,0,'Core_Nativ'!N367)+(1-MIN(1,'Core_Nativ'!M367/'Core_Nativ'!P367))*'Core_Nativ'!N373,"")),""))</x:f>
      </x:c>
      <x:c r="AI36" s="11" t="str">
        <x:f>IF(A36="","",IF(AND('Core_Nativ'!R367="CLOSED",'Core_Nativ'!S367=0),IF('Core_Nativ'!M367&gt;='Core_Nativ'!P367,'Core_Nativ'!O367,IF(AND('Input_Meci'!L36="YES",'Input_Meci'!K36&lt;&gt;"",'Input_Meci'!K36&lt;C36,'Core_Nativ'!T373="DERIVED",'Core_Nativ'!M373&gt;='Core_Nativ'!P367),MIN(1,'Core_Nativ'!M367/'Core_Nativ'!P367)*IF('Core_Nativ'!M367=0,0,'Core_Nativ'!O367)+(1-MIN(1,'Core_Nativ'!M367/'Core_Nativ'!P367))*'Core_Nativ'!O373,"")),""))</x:f>
      </x:c>
      <x:c r="AJ36" s="11" t="str">
        <x:f>IF(A36="","",IF(AND('Core_Nativ'!R368="CLOSED",'Core_Nativ'!S368=0),IF('Core_Nativ'!M368&gt;='Core_Nativ'!P368,'Core_Nativ'!N368,IF(AND('Input_Meci'!L36="YES",'Input_Meci'!K36&lt;&gt;"",'Input_Meci'!K36&lt;C36,'Core_Nativ'!T374="DERIVED",'Core_Nativ'!M374&gt;='Core_Nativ'!P368),MIN(1,'Core_Nativ'!M368/'Core_Nativ'!P368)*IF('Core_Nativ'!M368=0,0,'Core_Nativ'!N368)+(1-MIN(1,'Core_Nativ'!M368/'Core_Nativ'!P368))*'Core_Nativ'!N374,"")),""))</x:f>
      </x:c>
      <x:c r="AK36" s="11" t="str">
        <x:f>IF(A36="","",IF(AND('Core_Nativ'!R368="CLOSED",'Core_Nativ'!S368=0),IF('Core_Nativ'!M368&gt;='Core_Nativ'!P368,'Core_Nativ'!O368,IF(AND('Input_Meci'!L36="YES",'Input_Meci'!K36&lt;&gt;"",'Input_Meci'!K36&lt;C36,'Core_Nativ'!T374="DERIVED",'Core_Nativ'!M374&gt;='Core_Nativ'!P368),MIN(1,'Core_Nativ'!M368/'Core_Nativ'!P368)*IF('Core_Nativ'!M368=0,0,'Core_Nativ'!O368)+(1-MIN(1,'Core_Nativ'!M368/'Core_Nativ'!P368))*'Core_Nativ'!O374,"")),""))</x:f>
      </x:c>
      <x:c r="AL36" s="11" t="str">
        <x:f>IF(A36="","",IF(AND('Core_Nativ'!R369="CLOSED",'Core_Nativ'!S369=0),IF('Core_Nativ'!M369&gt;='Core_Nativ'!P369,'Core_Nativ'!N369,IF(AND('Input_Meci'!L36="YES",'Input_Meci'!K36&lt;&gt;"",'Input_Meci'!K36&lt;C36,'Core_Nativ'!T375="DERIVED",'Core_Nativ'!M375&gt;='Core_Nativ'!P369),MIN(1,'Core_Nativ'!M369/'Core_Nativ'!P369)*IF('Core_Nativ'!M369=0,0,'Core_Nativ'!N369)+(1-MIN(1,'Core_Nativ'!M369/'Core_Nativ'!P369))*'Core_Nativ'!N375,"")),""))</x:f>
      </x:c>
      <x:c r="AM36" s="11" t="str">
        <x:f>IF(A36="","",IF(AND('Core_Nativ'!R369="CLOSED",'Core_Nativ'!S369=0),IF('Core_Nativ'!M369&gt;='Core_Nativ'!P369,'Core_Nativ'!O369,IF(AND('Input_Meci'!L36="YES",'Input_Meci'!K36&lt;&gt;"",'Input_Meci'!K36&lt;C36,'Core_Nativ'!T375="DERIVED",'Core_Nativ'!M375&gt;='Core_Nativ'!P369),MIN(1,'Core_Nativ'!M369/'Core_Nativ'!P369)*IF('Core_Nativ'!M369=0,0,'Core_Nativ'!O369)+(1-MIN(1,'Core_Nativ'!M369/'Core_Nativ'!P369))*'Core_Nativ'!O375,"")),""))</x:f>
      </x:c>
      <x:c r="AN36" s="11" t="str">
        <x:f>IF(A36="","",IF(AND('Core_Nativ'!R370="CLOSED",'Core_Nativ'!S370=0),IF('Core_Nativ'!M370&gt;='Core_Nativ'!P370,'Core_Nativ'!N370,IF(AND('Input_Meci'!L36="YES",'Input_Meci'!K36&lt;&gt;"",'Input_Meci'!K36&lt;C36,'Core_Nativ'!T376="DERIVED",'Core_Nativ'!M376&gt;='Core_Nativ'!P370),MIN(1,'Core_Nativ'!M370/'Core_Nativ'!P370)*IF('Core_Nativ'!M370=0,0,'Core_Nativ'!N370)+(1-MIN(1,'Core_Nativ'!M370/'Core_Nativ'!P370))*'Core_Nativ'!N376,"")),""))</x:f>
      </x:c>
      <x:c r="AO36" s="11" t="str">
        <x:f>IF(A36="","",IF(AND('Core_Nativ'!R370="CLOSED",'Core_Nativ'!S370=0),IF('Core_Nativ'!M370&gt;='Core_Nativ'!P370,'Core_Nativ'!O370,IF(AND('Input_Meci'!L36="YES",'Input_Meci'!K36&lt;&gt;"",'Input_Meci'!K36&lt;C36,'Core_Nativ'!T376="DERIVED",'Core_Nativ'!M376&gt;='Core_Nativ'!P370),MIN(1,'Core_Nativ'!M370/'Core_Nativ'!P370)*IF('Core_Nativ'!M370=0,0,'Core_Nativ'!O370)+(1-MIN(1,'Core_Nativ'!M370/'Core_Nativ'!P370))*'Core_Nativ'!O376,"")),""))</x:f>
      </x:c>
      <x:c r="AP36" s="11" t="str">
        <x:f>IF(A36="","",IF(AND('Core_Nativ'!R371="CLOSED",'Core_Nativ'!S371=0),IF('Core_Nativ'!M371&gt;='Core_Nativ'!P371,'Core_Nativ'!N371,IF(AND('Input_Meci'!L36="YES",'Input_Meci'!K36&lt;&gt;"",'Input_Meci'!K36&lt;C36,'Core_Nativ'!T377="DERIVED",'Core_Nativ'!M377&gt;='Core_Nativ'!P371),MIN(1,'Core_Nativ'!M371/'Core_Nativ'!P371)*IF('Core_Nativ'!M371=0,0,'Core_Nativ'!N371)+(1-MIN(1,'Core_Nativ'!M371/'Core_Nativ'!P371))*'Core_Nativ'!N377,"")),""))</x:f>
      </x:c>
      <x:c r="AQ36" s="11" t="str">
        <x:f>IF(A36="","",IF(AND('Core_Nativ'!R371="CLOSED",'Core_Nativ'!S371=0),IF('Core_Nativ'!M371&gt;='Core_Nativ'!P371,'Core_Nativ'!O371,IF(AND('Input_Meci'!L36="YES",'Input_Meci'!K36&lt;&gt;"",'Input_Meci'!K36&lt;C36,'Core_Nativ'!T377="DERIVED",'Core_Nativ'!M377&gt;='Core_Nativ'!P371),MIN(1,'Core_Nativ'!M371/'Core_Nativ'!P371)*IF('Core_Nativ'!M371=0,0,'Core_Nativ'!O371)+(1-MIN(1,'Core_Nativ'!M371/'Core_Nativ'!P371))*'Core_Nativ'!O377,"")),""))</x:f>
      </x:c>
      <x:c r="AR36" s="11" t="str">
        <x:f>IF(A36="","",SUMPRODUCT(('Istoric_Nativ'!$B$6:$B$405=B36)*('Istoric_Nativ'!$C$6:$C$405=BL36)*('Istoric_Nativ'!$P$6:$P$405=1)*('Istoric_Nativ'!$D$6:$D$405&lt;INT(G36))*((('Istoric_Nativ'!$E$6:$E$405='Input_Meci'!D36)+('Istoric_Nativ'!$F$6:$F$405='Input_Meci'!D36)+('Istoric_Nativ'!$E$6:$E$405='Input_Meci'!E36)+('Istoric_Nativ'!$F$6:$F$405='Input_Meci'!E36))&gt;0)))</x:f>
      </x:c>
      <x:c r="AS36" s="11" t="str">
        <x:f>IF(AR36=0,"",SUMPRODUCT(('Istoric_Nativ'!$B$6:$B$405=B36)*('Istoric_Nativ'!$C$6:$C$405=BL36)*('Istoric_Nativ'!$P$6:$P$405=1)*('Istoric_Nativ'!$D$6:$D$405&lt;INT(G36))*((('Istoric_Nativ'!$E$6:$E$405='Input_Meci'!D36)+('Istoric_Nativ'!$F$6:$F$405='Input_Meci'!D36)+('Istoric_Nativ'!$E$6:$E$405='Input_Meci'!E36)+('Istoric_Nativ'!$F$6:$F$405='Input_Meci'!E36))&gt;0)*'Istoric_Nativ'!$Q$6:$Q$405)/AR36)</x:f>
      </x:c>
      <x:c r="AT36" s="11" t="str">
        <x:f>IF(AR36&lt;2,"",MAX(0,(SUMPRODUCT(('Istoric_Nativ'!$B$6:$B$405=B36)*('Istoric_Nativ'!$C$6:$C$405=BL36)*('Istoric_Nativ'!$P$6:$P$405=1)*('Istoric_Nativ'!$D$6:$D$405&lt;INT(G36))*((('Istoric_Nativ'!$E$6:$E$405='Input_Meci'!D36)+('Istoric_Nativ'!$F$6:$F$405='Input_Meci'!D36)+('Istoric_Nativ'!$E$6:$E$405='Input_Meci'!E36)+('Istoric_Nativ'!$F$6:$F$405='Input_Meci'!E36))&gt;0)*'Istoric_Nativ'!$R$6:$R$405)-AR36*AS36^2)/(AR36-1)))</x:f>
      </x:c>
      <x:c r="AU36" s="11" t="str">
        <x:f>IF(I36&lt;&gt;"PASS","",AT36/AS36)</x:f>
      </x:c>
      <x:c r="AV36" s="11" t="str">
        <x:f>IF(I36&lt;&gt;"PASS","",IF(AU36&lt;='Config_v6'!$B$10,"POISSON","NEGATIVE BINOMIAL"))</x:f>
      </x:c>
      <x:c r="AW36" s="11" t="str">
        <x:f>IF(I36&lt;&gt;"PASS","",IF(AV36="POISSON",9999,AS36/(AU36-1)))</x:f>
      </x:c>
      <x:c r="AX36" s="11" t="str">
        <x:f>IF(A36="","",MAX(1-'Config_v6'!$B$20,MIN(1+'Config_v6'!$B$20,1+0.02*(IF(AND(ISNUMBER('Input_Meci'!N36),'Input_Meci'!N36&gt;=0,'Input_Meci'!N36&lt;=200),'Input_Meci'!N36,12)/12-1)+0.02*(IF(AND(ISNUMBER('Input_Meci'!P36),'Input_Meci'!P36&gt;=0,'Input_Meci'!P36&lt;=200),'Input_Meci'!P36,3.5)/3.5-1)+0.02*(IF(AND(ISNUMBER('Input_Meci'!R36),'Input_Meci'!R36&gt;=0,'Input_Meci'!R36&lt;=200),'Input_Meci'!R36,18)/18-1)+0.02*((IF(AND(ISNUMBER('Input_Meci'!V36),'Input_Meci'!V36&gt;=0,'Input_Meci'!V36&lt;=10),'Input_Meci'!V36,5)-5)/5))))</x:f>
      </x:c>
      <x:c r="AY36" s="11" t="str">
        <x:f>IF(A36="","",MAX(1-'Config_v6'!$B$20,MIN(1+'Config_v6'!$B$20,1+0.02*(IF(AND(ISNUMBER('Input_Meci'!O36),'Input_Meci'!O36&gt;=0,'Input_Meci'!O36&lt;=200),'Input_Meci'!O36,12)/12-1)+0.02*(IF(AND(ISNUMBER('Input_Meci'!Q36),'Input_Meci'!Q36&gt;=0,'Input_Meci'!Q36&lt;=200),'Input_Meci'!Q36,3.5)/3.5-1)+0.02*(IF(AND(ISNUMBER('Input_Meci'!S36),'Input_Meci'!S36&gt;=0,'Input_Meci'!S36&lt;=200),'Input_Meci'!S36,18)/18-1)+0.02*((IF(AND(ISNUMBER('Input_Meci'!W36),'Input_Meci'!W36&gt;=0,'Input_Meci'!W36&lt;=10),'Input_Meci'!W36,5)-5)/5))))</x:f>
      </x:c>
      <x:c r="AZ36" s="11" t="str">
        <x:f>IF(A36="","",MAX(1-'Config_v6'!$B$21,MIN(1+'Config_v6'!$B$21,1+0.012*(IF('Input_Meci'!X36="",5,IF(ISNUMBER('Input_Meci'!X36),'Input_Meci'!X36,5))-5)+0.018*(IF('Input_Meci'!Z36="",5,IF(ISNUMBER('Input_Meci'!Z36),'Input_Meci'!Z36,5))-5)+0.012*(IF('Input_Meci'!AB36="",5,IF(ISNUMBER('Input_Meci'!AB36),'Input_Meci'!AB36,5))-5)+0.015*IF('Input_Meci'!AD36="",0,IF(ISNUMBER('Input_Meci'!AD36),'Input_Meci'!AD36,0))+0.02*IF('Input_Meci'!AF36="",0,IF(ISNUMBER('Input_Meci'!AF36),'Input_Meci'!AF36,0)))))</x:f>
      </x:c>
      <x:c r="BA36" s="11" t="str">
        <x:f>IF(A36="","",MAX(1-'Config_v6'!$B$21,MIN(1+'Config_v6'!$B$21,1+0.012*(IF('Input_Meci'!Y36="",5,IF(ISNUMBER('Input_Meci'!Y36),'Input_Meci'!Y36,5))-5)+0.018*(IF('Input_Meci'!AA36="",5,IF(ISNUMBER('Input_Meci'!AA36),'Input_Meci'!AA36,5))-5)+0.012*(IF('Input_Meci'!AC36="",5,IF(ISNUMBER('Input_Meci'!AC36),'Input_Meci'!AC36,5))-5)+0.015*IF('Input_Meci'!AE36="",0,IF(ISNUMBER('Input_Meci'!AE36),'Input_Meci'!AE36,0))+0.02*IF('Input_Meci'!AG36="",0,IF(ISNUMBER('Input_Meci'!AG36),'Input_Meci'!AG36,0)))))</x:f>
      </x:c>
      <x:c r="BB36" s="11" t="str">
        <x:f>IF(I36&lt;&gt;"PASS","",(AVERAGE(AF36,AM36)*'Config_v6'!$B$4+AVERAGE(AH36,AO36)*'Config_v6'!$B$5+AVERAGE(AJ36,AQ36)*'Config_v6'!$B$6)*AX36*AZ36)</x:f>
      </x:c>
      <x:c r="BC36" s="11" t="str">
        <x:f>IF(I36&lt;&gt;"PASS","",(AVERAGE(AL36,AG36)*'Config_v6'!$B$4+AVERAGE(AN36,AI36)*'Config_v6'!$B$5+AVERAGE(AP36,AK36)*'Config_v6'!$B$6)*AY36*BA36)</x:f>
      </x:c>
      <x:c r="BD36" s="11" t="str">
        <x:f>IF(I36&lt;&gt;"PASS","",BB36+BC36)</x:f>
      </x:c>
      <x:c r="BE36" s="11" t="str">
        <x:f>IF(A36="","",10-SUM(IF(AND(ISNUMBER('Input_Meci'!N36),'Input_Meci'!N36&gt;=0,'Input_Meci'!N36&lt;=200),1,0),IF(AND(ISNUMBER('Input_Meci'!O36),'Input_Meci'!O36&gt;=0,'Input_Meci'!O36&lt;=200),1,0),IF(AND(ISNUMBER('Input_Meci'!P36),'Input_Meci'!P36&gt;=0,'Input_Meci'!P36&lt;=200),1,0),IF(AND(ISNUMBER('Input_Meci'!Q36),'Input_Meci'!Q36&gt;=0,'Input_Meci'!Q36&lt;=200),1,0),IF(AND(ISNUMBER('Input_Meci'!R36),'Input_Meci'!R36&gt;=0,'Input_Meci'!R36&lt;=200),1,0),IF(AND(ISNUMBER('Input_Meci'!S36),'Input_Meci'!S36&gt;=0,'Input_Meci'!S36&lt;=200),1,0),IF(AND(ISNUMBER('Input_Meci'!T36),'Input_Meci'!T36&gt;=0,'Input_Meci'!T36&lt;=100),1,0),IF(AND(ISNUMBER('Input_Meci'!U36),'Input_Meci'!U36&gt;=0,'Input_Meci'!U36&lt;=100),1,0),IF(AND(ISNUMBER('Input_Meci'!V36),'Input_Meci'!V36&gt;=0,'Input_Meci'!V36&lt;=10),1,0),IF(AND(ISNUMBER('Input_Meci'!W36),'Input_Meci'!W36&gt;=0,'Input_Meci'!W36&lt;=10),1,0)))</x:f>
      </x:c>
      <x:c r="BF36" s="11" t="str">
        <x:f>IF(I36&lt;&gt;"PASS","",MAX(0,MIN(IF(OR(M36="YES",BL36&lt;&gt;C36),'Config_v6'!$B$34,100),ROUND(40+25*MIN(1,MIN(N36,Q36)/'Config_v6'!$B$7)*MIN(1,MIN(O36,R36)/'Config_v6'!$B$8)*MIN(1,MIN(P36,S36)/'Config_v6'!$B$9)+MAX(0,15-2*ABS(AF36-AJ36)-2*ABS(AL36-AP36))+IF(AU36&lt;='Config_v6'!$B$10,15,IF(AU36&lt;='Config_v6'!$B$11,13,IF(AU36&lt;='Config_v6'!$B$12,10,IF(AU36&lt;='Config_v6'!$B$13,6,0))))+5-BE36/10*'Config_v6'!$B$38,0))))</x:f>
      </x:c>
      <x:c r="BG36" s="11" t="str">
        <x:f>IF(I36&lt;&gt;"PASS","",MIN(1,'Config_v6'!$B$14*(0.7+0.3*MIN(1,AR36/'Config_v6'!$B$15))*IF(AU36&lt;='Config_v6'!$B$10,1,IF(AU36&lt;='Config_v6'!$B$11,0.95,IF(AU36&lt;='Config_v6'!$B$12,0.88,0.78)))*(0.75+0.25*BF36/100)))</x:f>
      </x:c>
      <x:c r="BH36" s="11" t="str">
        <x:f>IF(I36&lt;&gt;"PASS","",MIN(1,(ABS(AZ36-1)+ABS(BA36-1))*3))</x:f>
      </x:c>
      <x:c r="BI36" s="2" t="str">
        <x:f>IF(A36="","",IF(AND(OR('Input_Meci'!X36="",AND(ISNUMBER('Input_Meci'!X36),'Input_Meci'!X36&gt;=0,'Input_Meci'!X36&lt;=10)),OR('Input_Meci'!Y36="",AND(ISNUMBER('Input_Meci'!Y36),'Input_Meci'!Y36&gt;=0,'Input_Meci'!Y36&lt;=10)),OR('Input_Meci'!Z36="",AND(ISNUMBER('Input_Meci'!Z36),'Input_Meci'!Z36&gt;=0,'Input_Meci'!Z36&lt;=10)),OR('Input_Meci'!AA36="",AND(ISNUMBER('Input_Meci'!AA36),'Input_Meci'!AA36&gt;=0,'Input_Meci'!AA36&lt;=10)),OR('Input_Meci'!AB36="",AND(ISNUMBER('Input_Meci'!AB36),'Input_Meci'!AB36&gt;=0,'Input_Meci'!AB36&lt;=10)),OR('Input_Meci'!AC36="",AND(ISNUMBER('Input_Meci'!AC36),'Input_Meci'!AC36&gt;=0,'Input_Meci'!AC36&lt;=10)),OR('Input_Meci'!AD36="",AND(ISNUMBER('Input_Meci'!AD36),'Input_Meci'!AD36&gt;=-2,'Input_Meci'!AD36&lt;=2)),OR('Input_Meci'!AE36="",AND(ISNUMBER('Input_Meci'!AE36),'Input_Meci'!AE36&gt;=-2,'Input_Meci'!AE36&lt;=2)),OR('Input_Meci'!AF36="",AND(ISNUMBER('Input_Meci'!AF36),'Input_Meci'!AF36&gt;=-2,'Input_Meci'!AF36&lt;=2)),OR('Input_Meci'!AG36="",AND(ISNUMBER('Input_Meci'!AG36),'Input_Meci'!AG36&gt;=-2,'Input_Meci'!AG36&lt;=2))),"VALID","INVALID"))</x:f>
      </x:c>
      <x:c r="BJ36" s="2" t="n">
        <x:f>IF(A36="",0,SUM('Core_Nativ'!S366:S371))</x:f>
        <x:v>0</x:v>
      </x:c>
      <x:c r="BK36" s="2" t="str">
        <x:f>'Config_v6'!$B$40</x:f>
        <x:v>VALID</x:v>
      </x:c>
      <x:c r="BL36" s="2" t="str">
        <x:f>IF(A36="","",IF(SUMPRODUCT(('Istoric_Nativ'!$B$6:$B$405=B36)*('Istoric_Nativ'!$C$6:$C$405=C36)*('Istoric_Nativ'!$P$6:$P$405=1)*('Istoric_Nativ'!$D$6:$D$405&lt;INT(G36))*((('Istoric_Nativ'!$E$6:$E$405='Input_Meci'!D36)+('Istoric_Nativ'!$F$6:$F$405='Input_Meci'!D36)+('Istoric_Nativ'!$E$6:$E$405='Input_Meci'!E36)+('Istoric_Nativ'!$F$6:$F$405='Input_Meci'!E36))&gt;0))&gt;='Config_v6'!$B$41,C36,IF(AND('Input_Meci'!L36="YES",'Input_Meci'!K36&lt;&gt;"",'Input_Meci'!K36&lt;C36,COUNTIF('Core_Nativ'!R372:R377,"CLOSED")=6,SUM('Core_Nativ'!S372:S377)=0),'Input_Meci'!K36,C36)))</x:f>
      </x:c>
      <x:c r="BM36" s="9" t="n">
        <x:f>IF(OR(A36="",N36=0),0,LARGE(_xlfn._xlws.FILTER('Istoric_Nativ'!$D$6:$D$405,('Istoric_Nativ'!$B$6:$B$405=B36)*('Istoric_Nativ'!$C$6:$C$405=C36)*('Istoric_Nativ'!$P$6:$P$405=1)*('Istoric_Nativ'!$D$6:$D$405&lt;INT(G36))*((('Istoric_Nativ'!$E$6:$E$405='Input_Meci'!D36)+('Istoric_Nativ'!$F$6:$F$405='Input_Meci'!D36))&gt;0)),MIN(10,N36)))</x:f>
        <x:v>0</x:v>
      </x:c>
      <x:c r="BN36" s="9" t="n">
        <x:f>IF(OR(A36="",Q36=0),0,LARGE(_xlfn._xlws.FILTER('Istoric_Nativ'!$D$6:$D$405,('Istoric_Nativ'!$B$6:$B$405=B36)*('Istoric_Nativ'!$C$6:$C$405=C36)*('Istoric_Nativ'!$P$6:$P$405=1)*('Istoric_Nativ'!$D$6:$D$405&lt;INT(G36))*((('Istoric_Nativ'!$E$6:$E$405='Input_Meci'!E36)+('Istoric_Nativ'!$F$6:$F$405='Input_Meci'!E36))&gt;0)),MIN(10,Q36)))</x:f>
        <x:v>0</x:v>
      </x:c>
      <x:c r="BO36" s="9" t="n">
        <x:f>IF(OR(A36="",N36=0),0,LARGE(_xlfn._xlws.FILTER('Istoric_Nativ'!$D$6:$D$405,('Istoric_Nativ'!$B$6:$B$405=B36)*('Istoric_Nativ'!$C$6:$C$405=C36)*('Istoric_Nativ'!$P$6:$P$405=1)*('Istoric_Nativ'!$D$6:$D$405&lt;INT(G36))*((('Istoric_Nativ'!$E$6:$E$405='Input_Meci'!D36)+('Istoric_Nativ'!$F$6:$F$405='Input_Meci'!D36))&gt;0)),MIN(20,N36)))</x:f>
        <x:v>0</x:v>
      </x:c>
      <x:c r="BP36" s="9" t="n">
        <x:f>IF(OR(A36="",Q36=0),0,LARGE(_xlfn._xlws.FILTER('Istoric_Nativ'!$D$6:$D$405,('Istoric_Nativ'!$B$6:$B$405=B36)*('Istoric_Nativ'!$C$6:$C$405=C36)*('Istoric_Nativ'!$P$6:$P$405=1)*('Istoric_Nativ'!$D$6:$D$405&lt;INT(G36))*((('Istoric_Nativ'!$E$6:$E$405='Input_Meci'!E36)+('Istoric_Nativ'!$F$6:$F$405='Input_Meci'!E36))&gt;0)),MIN(20,Q36)))</x:f>
        <x:v>0</x:v>
      </x:c>
      <x:c r="BQ36" s="2" t="str">
        <x:f>IF(A36="","",IF(AND(COUNTIF(MatchesTable[Match_ID],A36)=1,COUNTIFS(MatchesTable[League],B36,MatchesTable[Season],C36,MatchesTable[Home],'Input_Meci'!D36,MatchesTable[Away],'Input_Meci'!E36,MatchesTable[Kickoff_UTC],F36)=1,B36&lt;&gt;"",C36&lt;&gt;"",'Input_Meci'!D36&lt;&gt;"",'Input_Meci'!E36&lt;&gt;"",'Input_Meci'!D36&lt;&gt;'Input_Meci'!E36,ISNUMBER(F36),ISNUMBER(G36),G36&lt;F36,OR(E36="LIVE",E36="REPLAY"),OR('Input_Meci'!L36="YES",'Input_Meci'!L36="NO",'Input_Meci'!L36="")),"VALID","INVALID"))</x:f>
      </x:c>
      <x:c r="BR36" s="2" t="n">
        <x:f>IF(I36&lt;&gt;"PASS",0,SUMPRODUCT(('Istoric_Nativ'!$B$6:$B$405='Input_Meci'!B36)*('Istoric_Nativ'!$C$6:$C$405='Input_Meci'!C36)*('Istoric_Nativ'!$P$6:$P$405=1)*('Istoric_Nativ'!$D$6:$D$405&lt;INT('Input_Meci'!G36))*((('Istoric_Nativ'!$E$6:$E$405='Input_Meci'!D36)+('Istoric_Nativ'!$F$6:$F$405='Input_Meci'!E36))&gt;0)))</x:f>
        <x:v>0</x:v>
      </x:c>
      <x:c r="BS36" s="2" t="n">
        <x:f>IF(I36&lt;&gt;"PASS",0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BM36)+((('Istoric_Nativ'!$E$6:$E$405='Input_Meci'!E36)+('Istoric_Nativ'!$F$6:$F$405='Input_Meci'!E36))&gt;0)*('Istoric_Nativ'!$D$6:$D$405&gt;=BN36))&gt;0)))</x:f>
        <x:v>0</x:v>
      </x:c>
      <x:c r="BT36" s="2" t="n">
        <x:f>IF(I36&lt;&gt;"PASS",0,SUMPRODUCT(('Istoric_Nativ'!$B$6:$B$405='Input_Meci'!B36)*('Istoric_Nativ'!$C$6:$C$405='Input_Meci'!C36)*('Istoric_Nativ'!$P$6:$P$405=1)*('Istoric_Nativ'!$D$6:$D$405&lt;INT('Input_Meci'!G36))*((((('Istoric_Nativ'!$E$6:$E$405='Input_Meci'!D36)+('Istoric_Nativ'!$F$6:$F$405='Input_Meci'!D36))&gt;0)*('Istoric_Nativ'!$D$6:$D$405&gt;=BO36)+((('Istoric_Nativ'!$E$6:$E$405='Input_Meci'!E36)+('Istoric_Nativ'!$F$6:$F$405='Input_Meci'!E36))&gt;0)*('Istoric_Nativ'!$D$6:$D$405&gt;=BP36))&gt;0)))</x:f>
        <x:v>0</x:v>
      </x:c>
    </x:row>
    <x:row r="37" ht="21" customHeight="1">
      <x:c r="A37" s="2" t="str">
        <x:f>IF('Input_Meci'!A37="","",'Input_Meci'!A37)</x:f>
      </x:c>
      <x:c r="B37" s="2" t="str">
        <x:f>IF(A37="","",'Input_Meci'!B37)</x:f>
      </x:c>
      <x:c r="C37" s="2" t="str">
        <x:f>IF(A37="","",'Input_Meci'!C37)</x:f>
      </x:c>
      <x:c r="D37" s="2" t="str">
        <x:f>IF(A37="","",'Input_Meci'!D37&amp;" – "&amp;'Input_Meci'!E37)</x:f>
      </x:c>
      <x:c r="E37" s="2" t="str">
        <x:f>IF(A37="","",'Input_Meci'!H37)</x:f>
      </x:c>
      <x:c r="F37" s="9" t="str">
        <x:f>IF(A37="","",'Input_Meci'!F37)</x:f>
      </x:c>
      <x:c r="G37" s="9" t="str">
        <x:f>IF(A37="","",'Input_Meci'!G37)</x:f>
      </x:c>
      <x:c r="H37" s="2" t="str">
        <x:f>IF(A37="","",IF(BQ37&lt;&gt;"VALID","NOT RELEASED",IF(AND(OR('Input_Meci'!I37="NOT AVAILABLE",'Input_Meci'!I37="SOURCE CONFLICT"),'Input_Meci'!J37&lt;&gt;""),"READY",IF(OR(NOT(OR('Input_Meci'!I37="AUTO",'Input_Meci'!I37="")),COUNTIF('Core_Nativ'!R378:R383,"CLOSED")&lt;&gt;6,BJ37&gt;0),"NOT RELEASED","READY"))))</x:f>
      </x:c>
      <x:c r="I37" s="2" t="str">
        <x:f>IF(A37="","",IF(H37&lt;&gt;"READY","NOT RELEASED",IF(AND(NOT(OR('Input_Meci'!I37="NOT AVAILABLE",'Input_Meci'!I37="SOURCE CONFLICT")),L37=12,AR37&gt;=2,AS37&gt;0,ISNUMBER(AT37),BI37="VALID",BK37="VALID"),"PASS","FAIL")))</x:f>
      </x:c>
      <x:c r="J37" s="2" t="str">
        <x:f>IF(A37="","",IF(BQ37&lt;&gt;"VALID","Verifica ID, echipe, mod si cutoff &lt; kickoff",IF(H37&lt;&gt;"READY",IF('Input_Meci'!I37="ACCESS BLOCKED","Acces blocat: reia sursele",IF(BJ37&gt;0,"Istoric invalid sau conflict: verifica randurile native","Surse neinchise / post-cutoff / dovezi incomplete")),IF(OR('Input_Meci'!I37="NOT AVAILABLE",'Input_Meci'!I37="SOURCE CONFLICT"),'Input_Meci'!I37,IF(BK37&lt;&gt;"VALID","Parametri invalizi",IF(L37&lt;&gt;12,"Core / sample / prior insuficient",IF(AR37&lt;2,"N insuficient pentru dispersie",IF(AS37&lt;=0,"Media istorica trebuie sa fie pozitiva",IF(BI37&lt;&gt;"VALID","Context invalid","READY")))))))))</x:f>
      </x:c>
      <x:c r="K37" s="2" t="str">
        <x:f>IF(A37="","",COUNT(T37:AE37))</x:f>
      </x:c>
      <x:c r="L37" s="2" t="str">
        <x:f>IF(A37="","",COUNT(AF37:AQ37))</x:f>
      </x:c>
      <x:c r="M37" s="2" t="str">
        <x:f>IF(A37="","",IF(OR('Core_Nativ'!M378&lt;'Core_Nativ'!P378,'Core_Nativ'!M379&lt;'Core_Nativ'!P379,'Core_Nativ'!M380&lt;'Core_Nativ'!P380,'Core_Nativ'!M381&lt;'Core_Nativ'!P381,'Core_Nativ'!M382&lt;'Core_Nativ'!P382,'Core_Nativ'!M383&lt;'Core_Nativ'!P383),"YES","NO"))</x:f>
      </x:c>
      <x:c r="N37" s="2" t="str">
        <x:f>IF(A37="","",'Core_Nativ'!M378)</x:f>
      </x:c>
      <x:c r="O37" s="2" t="str">
        <x:f>IF(A37="","",'Core_Nativ'!M379)</x:f>
      </x:c>
      <x:c r="P37" s="2" t="str">
        <x:f>IF(A37="","",'Core_Nativ'!M380)</x:f>
      </x:c>
      <x:c r="Q37" s="2" t="str">
        <x:f>IF(A37="","",'Core_Nativ'!M381)</x:f>
      </x:c>
      <x:c r="R37" s="2" t="str">
        <x:f>IF(A37="","",'Core_Nativ'!M382)</x:f>
      </x:c>
      <x:c r="S37" s="2" t="str">
        <x:f>IF(A37="","",'Core_Nativ'!M383)</x:f>
      </x:c>
      <x:c r="T37" s="11" t="str">
        <x:f>IF(OR(A37="",'Core_Nativ'!M378=0),"",'Core_Nativ'!N378)</x:f>
      </x:c>
      <x:c r="U37" s="11" t="str">
        <x:f>IF(OR(A37="",'Core_Nativ'!M378=0),"",'Core_Nativ'!O378)</x:f>
      </x:c>
      <x:c r="V37" s="11" t="str">
        <x:f>IF(OR(A37="",'Core_Nativ'!M379=0),"",'Core_Nativ'!N379)</x:f>
      </x:c>
      <x:c r="W37" s="11" t="str">
        <x:f>IF(OR(A37="",'Core_Nativ'!M379=0),"",'Core_Nativ'!O379)</x:f>
      </x:c>
      <x:c r="X37" s="11" t="str">
        <x:f>IF(OR(A37="",'Core_Nativ'!M380=0),"",'Core_Nativ'!N380)</x:f>
      </x:c>
      <x:c r="Y37" s="11" t="str">
        <x:f>IF(OR(A37="",'Core_Nativ'!M380=0),"",'Core_Nativ'!O380)</x:f>
      </x:c>
      <x:c r="Z37" s="11" t="str">
        <x:f>IF(OR(A37="",'Core_Nativ'!M381=0),"",'Core_Nativ'!N381)</x:f>
      </x:c>
      <x:c r="AA37" s="11" t="str">
        <x:f>IF(OR(A37="",'Core_Nativ'!M381=0),"",'Core_Nativ'!O381)</x:f>
      </x:c>
      <x:c r="AB37" s="11" t="str">
        <x:f>IF(OR(A37="",'Core_Nativ'!M382=0),"",'Core_Nativ'!N382)</x:f>
      </x:c>
      <x:c r="AC37" s="11" t="str">
        <x:f>IF(OR(A37="",'Core_Nativ'!M382=0),"",'Core_Nativ'!O382)</x:f>
      </x:c>
      <x:c r="AD37" s="11" t="str">
        <x:f>IF(OR(A37="",'Core_Nativ'!M383=0),"",'Core_Nativ'!N383)</x:f>
      </x:c>
      <x:c r="AE37" s="11" t="str">
        <x:f>IF(OR(A37="",'Core_Nativ'!M383=0),"",'Core_Nativ'!O383)</x:f>
      </x:c>
      <x:c r="AF37" s="11" t="str">
        <x:f>IF(A37="","",IF(AND('Core_Nativ'!R378="CLOSED",'Core_Nativ'!S378=0),IF('Core_Nativ'!M378&gt;='Core_Nativ'!P378,'Core_Nativ'!N378,IF(AND('Input_Meci'!L37="YES",'Input_Meci'!K37&lt;&gt;"",'Input_Meci'!K37&lt;C37,'Core_Nativ'!T384="DERIVED",'Core_Nativ'!M384&gt;='Core_Nativ'!P378),MIN(1,'Core_Nativ'!M378/'Core_Nativ'!P378)*IF('Core_Nativ'!M378=0,0,'Core_Nativ'!N378)+(1-MIN(1,'Core_Nativ'!M378/'Core_Nativ'!P378))*'Core_Nativ'!N384,"")),""))</x:f>
      </x:c>
      <x:c r="AG37" s="11" t="str">
        <x:f>IF(A37="","",IF(AND('Core_Nativ'!R378="CLOSED",'Core_Nativ'!S378=0),IF('Core_Nativ'!M378&gt;='Core_Nativ'!P378,'Core_Nativ'!O378,IF(AND('Input_Meci'!L37="YES",'Input_Meci'!K37&lt;&gt;"",'Input_Meci'!K37&lt;C37,'Core_Nativ'!T384="DERIVED",'Core_Nativ'!M384&gt;='Core_Nativ'!P378),MIN(1,'Core_Nativ'!M378/'Core_Nativ'!P378)*IF('Core_Nativ'!M378=0,0,'Core_Nativ'!O378)+(1-MIN(1,'Core_Nativ'!M378/'Core_Nativ'!P378))*'Core_Nativ'!O384,"")),""))</x:f>
      </x:c>
      <x:c r="AH37" s="11" t="str">
        <x:f>IF(A37="","",IF(AND('Core_Nativ'!R379="CLOSED",'Core_Nativ'!S379=0),IF('Core_Nativ'!M379&gt;='Core_Nativ'!P379,'Core_Nativ'!N379,IF(AND('Input_Meci'!L37="YES",'Input_Meci'!K37&lt;&gt;"",'Input_Meci'!K37&lt;C37,'Core_Nativ'!T385="DERIVED",'Core_Nativ'!M385&gt;='Core_Nativ'!P379),MIN(1,'Core_Nativ'!M379/'Core_Nativ'!P379)*IF('Core_Nativ'!M379=0,0,'Core_Nativ'!N379)+(1-MIN(1,'Core_Nativ'!M379/'Core_Nativ'!P379))*'Core_Nativ'!N385,"")),""))</x:f>
      </x:c>
      <x:c r="AI37" s="11" t="str">
        <x:f>IF(A37="","",IF(AND('Core_Nativ'!R379="CLOSED",'Core_Nativ'!S379=0),IF('Core_Nativ'!M379&gt;='Core_Nativ'!P379,'Core_Nativ'!O379,IF(AND('Input_Meci'!L37="YES",'Input_Meci'!K37&lt;&gt;"",'Input_Meci'!K37&lt;C37,'Core_Nativ'!T385="DERIVED",'Core_Nativ'!M385&gt;='Core_Nativ'!P379),MIN(1,'Core_Nativ'!M379/'Core_Nativ'!P379)*IF('Core_Nativ'!M379=0,0,'Core_Nativ'!O379)+(1-MIN(1,'Core_Nativ'!M379/'Core_Nativ'!P379))*'Core_Nativ'!O385,"")),""))</x:f>
      </x:c>
      <x:c r="AJ37" s="11" t="str">
        <x:f>IF(A37="","",IF(AND('Core_Nativ'!R380="CLOSED",'Core_Nativ'!S380=0),IF('Core_Nativ'!M380&gt;='Core_Nativ'!P380,'Core_Nativ'!N380,IF(AND('Input_Meci'!L37="YES",'Input_Meci'!K37&lt;&gt;"",'Input_Meci'!K37&lt;C37,'Core_Nativ'!T386="DERIVED",'Core_Nativ'!M386&gt;='Core_Nativ'!P380),MIN(1,'Core_Nativ'!M380/'Core_Nativ'!P380)*IF('Core_Nativ'!M380=0,0,'Core_Nativ'!N380)+(1-MIN(1,'Core_Nativ'!M380/'Core_Nativ'!P380))*'Core_Nativ'!N386,"")),""))</x:f>
      </x:c>
      <x:c r="AK37" s="11" t="str">
        <x:f>IF(A37="","",IF(AND('Core_Nativ'!R380="CLOSED",'Core_Nativ'!S380=0),IF('Core_Nativ'!M380&gt;='Core_Nativ'!P380,'Core_Nativ'!O380,IF(AND('Input_Meci'!L37="YES",'Input_Meci'!K37&lt;&gt;"",'Input_Meci'!K37&lt;C37,'Core_Nativ'!T386="DERIVED",'Core_Nativ'!M386&gt;='Core_Nativ'!P380),MIN(1,'Core_Nativ'!M380/'Core_Nativ'!P380)*IF('Core_Nativ'!M380=0,0,'Core_Nativ'!O380)+(1-MIN(1,'Core_Nativ'!M380/'Core_Nativ'!P380))*'Core_Nativ'!O386,"")),""))</x:f>
      </x:c>
      <x:c r="AL37" s="11" t="str">
        <x:f>IF(A37="","",IF(AND('Core_Nativ'!R381="CLOSED",'Core_Nativ'!S381=0),IF('Core_Nativ'!M381&gt;='Core_Nativ'!P381,'Core_Nativ'!N381,IF(AND('Input_Meci'!L37="YES",'Input_Meci'!K37&lt;&gt;"",'Input_Meci'!K37&lt;C37,'Core_Nativ'!T387="DERIVED",'Core_Nativ'!M387&gt;='Core_Nativ'!P381),MIN(1,'Core_Nativ'!M381/'Core_Nativ'!P381)*IF('Core_Nativ'!M381=0,0,'Core_Nativ'!N381)+(1-MIN(1,'Core_Nativ'!M381/'Core_Nativ'!P381))*'Core_Nativ'!N387,"")),""))</x:f>
      </x:c>
      <x:c r="AM37" s="11" t="str">
        <x:f>IF(A37="","",IF(AND('Core_Nativ'!R381="CLOSED",'Core_Nativ'!S381=0),IF('Core_Nativ'!M381&gt;='Core_Nativ'!P381,'Core_Nativ'!O381,IF(AND('Input_Meci'!L37="YES",'Input_Meci'!K37&lt;&gt;"",'Input_Meci'!K37&lt;C37,'Core_Nativ'!T387="DERIVED",'Core_Nativ'!M387&gt;='Core_Nativ'!P381),MIN(1,'Core_Nativ'!M381/'Core_Nativ'!P381)*IF('Core_Nativ'!M381=0,0,'Core_Nativ'!O381)+(1-MIN(1,'Core_Nativ'!M381/'Core_Nativ'!P381))*'Core_Nativ'!O387,"")),""))</x:f>
      </x:c>
      <x:c r="AN37" s="11" t="str">
        <x:f>IF(A37="","",IF(AND('Core_Nativ'!R382="CLOSED",'Core_Nativ'!S382=0),IF('Core_Nativ'!M382&gt;='Core_Nativ'!P382,'Core_Nativ'!N382,IF(AND('Input_Meci'!L37="YES",'Input_Meci'!K37&lt;&gt;"",'Input_Meci'!K37&lt;C37,'Core_Nativ'!T388="DERIVED",'Core_Nativ'!M388&gt;='Core_Nativ'!P382),MIN(1,'Core_Nativ'!M382/'Core_Nativ'!P382)*IF('Core_Nativ'!M382=0,0,'Core_Nativ'!N382)+(1-MIN(1,'Core_Nativ'!M382/'Core_Nativ'!P382))*'Core_Nativ'!N388,"")),""))</x:f>
      </x:c>
      <x:c r="AO37" s="11" t="str">
        <x:f>IF(A37="","",IF(AND('Core_Nativ'!R382="CLOSED",'Core_Nativ'!S382=0),IF('Core_Nativ'!M382&gt;='Core_Nativ'!P382,'Core_Nativ'!O382,IF(AND('Input_Meci'!L37="YES",'Input_Meci'!K37&lt;&gt;"",'Input_Meci'!K37&lt;C37,'Core_Nativ'!T388="DERIVED",'Core_Nativ'!M388&gt;='Core_Nativ'!P382),MIN(1,'Core_Nativ'!M382/'Core_Nativ'!P382)*IF('Core_Nativ'!M382=0,0,'Core_Nativ'!O382)+(1-MIN(1,'Core_Nativ'!M382/'Core_Nativ'!P382))*'Core_Nativ'!O388,"")),""))</x:f>
      </x:c>
      <x:c r="AP37" s="11" t="str">
        <x:f>IF(A37="","",IF(AND('Core_Nativ'!R383="CLOSED",'Core_Nativ'!S383=0),IF('Core_Nativ'!M383&gt;='Core_Nativ'!P383,'Core_Nativ'!N383,IF(AND('Input_Meci'!L37="YES",'Input_Meci'!K37&lt;&gt;"",'Input_Meci'!K37&lt;C37,'Core_Nativ'!T389="DERIVED",'Core_Nativ'!M389&gt;='Core_Nativ'!P383),MIN(1,'Core_Nativ'!M383/'Core_Nativ'!P383)*IF('Core_Nativ'!M383=0,0,'Core_Nativ'!N383)+(1-MIN(1,'Core_Nativ'!M383/'Core_Nativ'!P383))*'Core_Nativ'!N389,"")),""))</x:f>
      </x:c>
      <x:c r="AQ37" s="11" t="str">
        <x:f>IF(A37="","",IF(AND('Core_Nativ'!R383="CLOSED",'Core_Nativ'!S383=0),IF('Core_Nativ'!M383&gt;='Core_Nativ'!P383,'Core_Nativ'!O383,IF(AND('Input_Meci'!L37="YES",'Input_Meci'!K37&lt;&gt;"",'Input_Meci'!K37&lt;C37,'Core_Nativ'!T389="DERIVED",'Core_Nativ'!M389&gt;='Core_Nativ'!P383),MIN(1,'Core_Nativ'!M383/'Core_Nativ'!P383)*IF('Core_Nativ'!M383=0,0,'Core_Nativ'!O383)+(1-MIN(1,'Core_Nativ'!M383/'Core_Nativ'!P383))*'Core_Nativ'!O389,"")),""))</x:f>
      </x:c>
      <x:c r="AR37" s="11" t="str">
        <x:f>IF(A37="","",SUMPRODUCT(('Istoric_Nativ'!$B$6:$B$405=B37)*('Istoric_Nativ'!$C$6:$C$405=BL37)*('Istoric_Nativ'!$P$6:$P$405=1)*('Istoric_Nativ'!$D$6:$D$405&lt;INT(G37))*((('Istoric_Nativ'!$E$6:$E$405='Input_Meci'!D37)+('Istoric_Nativ'!$F$6:$F$405='Input_Meci'!D37)+('Istoric_Nativ'!$E$6:$E$405='Input_Meci'!E37)+('Istoric_Nativ'!$F$6:$F$405='Input_Meci'!E37))&gt;0)))</x:f>
      </x:c>
      <x:c r="AS37" s="11" t="str">
        <x:f>IF(AR37=0,"",SUMPRODUCT(('Istoric_Nativ'!$B$6:$B$405=B37)*('Istoric_Nativ'!$C$6:$C$405=BL37)*('Istoric_Nativ'!$P$6:$P$405=1)*('Istoric_Nativ'!$D$6:$D$405&lt;INT(G37))*((('Istoric_Nativ'!$E$6:$E$405='Input_Meci'!D37)+('Istoric_Nativ'!$F$6:$F$405='Input_Meci'!D37)+('Istoric_Nativ'!$E$6:$E$405='Input_Meci'!E37)+('Istoric_Nativ'!$F$6:$F$405='Input_Meci'!E37))&gt;0)*'Istoric_Nativ'!$Q$6:$Q$405)/AR37)</x:f>
      </x:c>
      <x:c r="AT37" s="11" t="str">
        <x:f>IF(AR37&lt;2,"",MAX(0,(SUMPRODUCT(('Istoric_Nativ'!$B$6:$B$405=B37)*('Istoric_Nativ'!$C$6:$C$405=BL37)*('Istoric_Nativ'!$P$6:$P$405=1)*('Istoric_Nativ'!$D$6:$D$405&lt;INT(G37))*((('Istoric_Nativ'!$E$6:$E$405='Input_Meci'!D37)+('Istoric_Nativ'!$F$6:$F$405='Input_Meci'!D37)+('Istoric_Nativ'!$E$6:$E$405='Input_Meci'!E37)+('Istoric_Nativ'!$F$6:$F$405='Input_Meci'!E37))&gt;0)*'Istoric_Nativ'!$R$6:$R$405)-AR37*AS37^2)/(AR37-1)))</x:f>
      </x:c>
      <x:c r="AU37" s="11" t="str">
        <x:f>IF(I37&lt;&gt;"PASS","",AT37/AS37)</x:f>
      </x:c>
      <x:c r="AV37" s="11" t="str">
        <x:f>IF(I37&lt;&gt;"PASS","",IF(AU37&lt;='Config_v6'!$B$10,"POISSON","NEGATIVE BINOMIAL"))</x:f>
      </x:c>
      <x:c r="AW37" s="11" t="str">
        <x:f>IF(I37&lt;&gt;"PASS","",IF(AV37="POISSON",9999,AS37/(AU37-1)))</x:f>
      </x:c>
      <x:c r="AX37" s="11" t="str">
        <x:f>IF(A37="","",MAX(1-'Config_v6'!$B$20,MIN(1+'Config_v6'!$B$20,1+0.02*(IF(AND(ISNUMBER('Input_Meci'!N37),'Input_Meci'!N37&gt;=0,'Input_Meci'!N37&lt;=200),'Input_Meci'!N37,12)/12-1)+0.02*(IF(AND(ISNUMBER('Input_Meci'!P37),'Input_Meci'!P37&gt;=0,'Input_Meci'!P37&lt;=200),'Input_Meci'!P37,3.5)/3.5-1)+0.02*(IF(AND(ISNUMBER('Input_Meci'!R37),'Input_Meci'!R37&gt;=0,'Input_Meci'!R37&lt;=200),'Input_Meci'!R37,18)/18-1)+0.02*((IF(AND(ISNUMBER('Input_Meci'!V37),'Input_Meci'!V37&gt;=0,'Input_Meci'!V37&lt;=10),'Input_Meci'!V37,5)-5)/5))))</x:f>
      </x:c>
      <x:c r="AY37" s="11" t="str">
        <x:f>IF(A37="","",MAX(1-'Config_v6'!$B$20,MIN(1+'Config_v6'!$B$20,1+0.02*(IF(AND(ISNUMBER('Input_Meci'!O37),'Input_Meci'!O37&gt;=0,'Input_Meci'!O37&lt;=200),'Input_Meci'!O37,12)/12-1)+0.02*(IF(AND(ISNUMBER('Input_Meci'!Q37),'Input_Meci'!Q37&gt;=0,'Input_Meci'!Q37&lt;=200),'Input_Meci'!Q37,3.5)/3.5-1)+0.02*(IF(AND(ISNUMBER('Input_Meci'!S37),'Input_Meci'!S37&gt;=0,'Input_Meci'!S37&lt;=200),'Input_Meci'!S37,18)/18-1)+0.02*((IF(AND(ISNUMBER('Input_Meci'!W37),'Input_Meci'!W37&gt;=0,'Input_Meci'!W37&lt;=10),'Input_Meci'!W37,5)-5)/5))))</x:f>
      </x:c>
      <x:c r="AZ37" s="11" t="str">
        <x:f>IF(A37="","",MAX(1-'Config_v6'!$B$21,MIN(1+'Config_v6'!$B$21,1+0.012*(IF('Input_Meci'!X37="",5,IF(ISNUMBER('Input_Meci'!X37),'Input_Meci'!X37,5))-5)+0.018*(IF('Input_Meci'!Z37="",5,IF(ISNUMBER('Input_Meci'!Z37),'Input_Meci'!Z37,5))-5)+0.012*(IF('Input_Meci'!AB37="",5,IF(ISNUMBER('Input_Meci'!AB37),'Input_Meci'!AB37,5))-5)+0.015*IF('Input_Meci'!AD37="",0,IF(ISNUMBER('Input_Meci'!AD37),'Input_Meci'!AD37,0))+0.02*IF('Input_Meci'!AF37="",0,IF(ISNUMBER('Input_Meci'!AF37),'Input_Meci'!AF37,0)))))</x:f>
      </x:c>
      <x:c r="BA37" s="11" t="str">
        <x:f>IF(A37="","",MAX(1-'Config_v6'!$B$21,MIN(1+'Config_v6'!$B$21,1+0.012*(IF('Input_Meci'!Y37="",5,IF(ISNUMBER('Input_Meci'!Y37),'Input_Meci'!Y37,5))-5)+0.018*(IF('Input_Meci'!AA37="",5,IF(ISNUMBER('Input_Meci'!AA37),'Input_Meci'!AA37,5))-5)+0.012*(IF('Input_Meci'!AC37="",5,IF(ISNUMBER('Input_Meci'!AC37),'Input_Meci'!AC37,5))-5)+0.015*IF('Input_Meci'!AE37="",0,IF(ISNUMBER('Input_Meci'!AE37),'Input_Meci'!AE37,0))+0.02*IF('Input_Meci'!AG37="",0,IF(ISNUMBER('Input_Meci'!AG37),'Input_Meci'!AG37,0)))))</x:f>
      </x:c>
      <x:c r="BB37" s="11" t="str">
        <x:f>IF(I37&lt;&gt;"PASS","",(AVERAGE(AF37,AM37)*'Config_v6'!$B$4+AVERAGE(AH37,AO37)*'Config_v6'!$B$5+AVERAGE(AJ37,AQ37)*'Config_v6'!$B$6)*AX37*AZ37)</x:f>
      </x:c>
      <x:c r="BC37" s="11" t="str">
        <x:f>IF(I37&lt;&gt;"PASS","",(AVERAGE(AL37,AG37)*'Config_v6'!$B$4+AVERAGE(AN37,AI37)*'Config_v6'!$B$5+AVERAGE(AP37,AK37)*'Config_v6'!$B$6)*AY37*BA37)</x:f>
      </x:c>
      <x:c r="BD37" s="11" t="str">
        <x:f>IF(I37&lt;&gt;"PASS","",BB37+BC37)</x:f>
      </x:c>
      <x:c r="BE37" s="11" t="str">
        <x:f>IF(A37="","",10-SUM(IF(AND(ISNUMBER('Input_Meci'!N37),'Input_Meci'!N37&gt;=0,'Input_Meci'!N37&lt;=200),1,0),IF(AND(ISNUMBER('Input_Meci'!O37),'Input_Meci'!O37&gt;=0,'Input_Meci'!O37&lt;=200),1,0),IF(AND(ISNUMBER('Input_Meci'!P37),'Input_Meci'!P37&gt;=0,'Input_Meci'!P37&lt;=200),1,0),IF(AND(ISNUMBER('Input_Meci'!Q37),'Input_Meci'!Q37&gt;=0,'Input_Meci'!Q37&lt;=200),1,0),IF(AND(ISNUMBER('Input_Meci'!R37),'Input_Meci'!R37&gt;=0,'Input_Meci'!R37&lt;=200),1,0),IF(AND(ISNUMBER('Input_Meci'!S37),'Input_Meci'!S37&gt;=0,'Input_Meci'!S37&lt;=200),1,0),IF(AND(ISNUMBER('Input_Meci'!T37),'Input_Meci'!T37&gt;=0,'Input_Meci'!T37&lt;=100),1,0),IF(AND(ISNUMBER('Input_Meci'!U37),'Input_Meci'!U37&gt;=0,'Input_Meci'!U37&lt;=100),1,0),IF(AND(ISNUMBER('Input_Meci'!V37),'Input_Meci'!V37&gt;=0,'Input_Meci'!V37&lt;=10),1,0),IF(AND(ISNUMBER('Input_Meci'!W37),'Input_Meci'!W37&gt;=0,'Input_Meci'!W37&lt;=10),1,0)))</x:f>
      </x:c>
      <x:c r="BF37" s="11" t="str">
        <x:f>IF(I37&lt;&gt;"PASS","",MAX(0,MIN(IF(OR(M37="YES",BL37&lt;&gt;C37),'Config_v6'!$B$34,100),ROUND(40+25*MIN(1,MIN(N37,Q37)/'Config_v6'!$B$7)*MIN(1,MIN(O37,R37)/'Config_v6'!$B$8)*MIN(1,MIN(P37,S37)/'Config_v6'!$B$9)+MAX(0,15-2*ABS(AF37-AJ37)-2*ABS(AL37-AP37))+IF(AU37&lt;='Config_v6'!$B$10,15,IF(AU37&lt;='Config_v6'!$B$11,13,IF(AU37&lt;='Config_v6'!$B$12,10,IF(AU37&lt;='Config_v6'!$B$13,6,0))))+5-BE37/10*'Config_v6'!$B$38,0))))</x:f>
      </x:c>
      <x:c r="BG37" s="11" t="str">
        <x:f>IF(I37&lt;&gt;"PASS","",MIN(1,'Config_v6'!$B$14*(0.7+0.3*MIN(1,AR37/'Config_v6'!$B$15))*IF(AU37&lt;='Config_v6'!$B$10,1,IF(AU37&lt;='Config_v6'!$B$11,0.95,IF(AU37&lt;='Config_v6'!$B$12,0.88,0.78)))*(0.75+0.25*BF37/100)))</x:f>
      </x:c>
      <x:c r="BH37" s="11" t="str">
        <x:f>IF(I37&lt;&gt;"PASS","",MIN(1,(ABS(AZ37-1)+ABS(BA37-1))*3))</x:f>
      </x:c>
      <x:c r="BI37" s="2" t="str">
        <x:f>IF(A37="","",IF(AND(OR('Input_Meci'!X37="",AND(ISNUMBER('Input_Meci'!X37),'Input_Meci'!X37&gt;=0,'Input_Meci'!X37&lt;=10)),OR('Input_Meci'!Y37="",AND(ISNUMBER('Input_Meci'!Y37),'Input_Meci'!Y37&gt;=0,'Input_Meci'!Y37&lt;=10)),OR('Input_Meci'!Z37="",AND(ISNUMBER('Input_Meci'!Z37),'Input_Meci'!Z37&gt;=0,'Input_Meci'!Z37&lt;=10)),OR('Input_Meci'!AA37="",AND(ISNUMBER('Input_Meci'!AA37),'Input_Meci'!AA37&gt;=0,'Input_Meci'!AA37&lt;=10)),OR('Input_Meci'!AB37="",AND(ISNUMBER('Input_Meci'!AB37),'Input_Meci'!AB37&gt;=0,'Input_Meci'!AB37&lt;=10)),OR('Input_Meci'!AC37="",AND(ISNUMBER('Input_Meci'!AC37),'Input_Meci'!AC37&gt;=0,'Input_Meci'!AC37&lt;=10)),OR('Input_Meci'!AD37="",AND(ISNUMBER('Input_Meci'!AD37),'Input_Meci'!AD37&gt;=-2,'Input_Meci'!AD37&lt;=2)),OR('Input_Meci'!AE37="",AND(ISNUMBER('Input_Meci'!AE37),'Input_Meci'!AE37&gt;=-2,'Input_Meci'!AE37&lt;=2)),OR('Input_Meci'!AF37="",AND(ISNUMBER('Input_Meci'!AF37),'Input_Meci'!AF37&gt;=-2,'Input_Meci'!AF37&lt;=2)),OR('Input_Meci'!AG37="",AND(ISNUMBER('Input_Meci'!AG37),'Input_Meci'!AG37&gt;=-2,'Input_Meci'!AG37&lt;=2))),"VALID","INVALID"))</x:f>
      </x:c>
      <x:c r="BJ37" s="2" t="n">
        <x:f>IF(A37="",0,SUM('Core_Nativ'!S378:S383))</x:f>
        <x:v>0</x:v>
      </x:c>
      <x:c r="BK37" s="2" t="str">
        <x:f>'Config_v6'!$B$40</x:f>
        <x:v>VALID</x:v>
      </x:c>
      <x:c r="BL37" s="2" t="str">
        <x:f>IF(A37="","",IF(SUMPRODUCT(('Istoric_Nativ'!$B$6:$B$405=B37)*('Istoric_Nativ'!$C$6:$C$405=C37)*('Istoric_Nativ'!$P$6:$P$405=1)*('Istoric_Nativ'!$D$6:$D$405&lt;INT(G37))*((('Istoric_Nativ'!$E$6:$E$405='Input_Meci'!D37)+('Istoric_Nativ'!$F$6:$F$405='Input_Meci'!D37)+('Istoric_Nativ'!$E$6:$E$405='Input_Meci'!E37)+('Istoric_Nativ'!$F$6:$F$405='Input_Meci'!E37))&gt;0))&gt;='Config_v6'!$B$41,C37,IF(AND('Input_Meci'!L37="YES",'Input_Meci'!K37&lt;&gt;"",'Input_Meci'!K37&lt;C37,COUNTIF('Core_Nativ'!R384:R389,"CLOSED")=6,SUM('Core_Nativ'!S384:S389)=0),'Input_Meci'!K37,C37)))</x:f>
      </x:c>
      <x:c r="BM37" s="9" t="n">
        <x:f>IF(OR(A37="",N37=0),0,LARGE(_xlfn._xlws.FILTER('Istoric_Nativ'!$D$6:$D$405,('Istoric_Nativ'!$B$6:$B$405=B37)*('Istoric_Nativ'!$C$6:$C$405=C37)*('Istoric_Nativ'!$P$6:$P$405=1)*('Istoric_Nativ'!$D$6:$D$405&lt;INT(G37))*((('Istoric_Nativ'!$E$6:$E$405='Input_Meci'!D37)+('Istoric_Nativ'!$F$6:$F$405='Input_Meci'!D37))&gt;0)),MIN(10,N37)))</x:f>
        <x:v>0</x:v>
      </x:c>
      <x:c r="BN37" s="9" t="n">
        <x:f>IF(OR(A37="",Q37=0),0,LARGE(_xlfn._xlws.FILTER('Istoric_Nativ'!$D$6:$D$405,('Istoric_Nativ'!$B$6:$B$405=B37)*('Istoric_Nativ'!$C$6:$C$405=C37)*('Istoric_Nativ'!$P$6:$P$405=1)*('Istoric_Nativ'!$D$6:$D$405&lt;INT(G37))*((('Istoric_Nativ'!$E$6:$E$405='Input_Meci'!E37)+('Istoric_Nativ'!$F$6:$F$405='Input_Meci'!E37))&gt;0)),MIN(10,Q37)))</x:f>
        <x:v>0</x:v>
      </x:c>
      <x:c r="BO37" s="9" t="n">
        <x:f>IF(OR(A37="",N37=0),0,LARGE(_xlfn._xlws.FILTER('Istoric_Nativ'!$D$6:$D$405,('Istoric_Nativ'!$B$6:$B$405=B37)*('Istoric_Nativ'!$C$6:$C$405=C37)*('Istoric_Nativ'!$P$6:$P$405=1)*('Istoric_Nativ'!$D$6:$D$405&lt;INT(G37))*((('Istoric_Nativ'!$E$6:$E$405='Input_Meci'!D37)+('Istoric_Nativ'!$F$6:$F$405='Input_Meci'!D37))&gt;0)),MIN(20,N37)))</x:f>
        <x:v>0</x:v>
      </x:c>
      <x:c r="BP37" s="9" t="n">
        <x:f>IF(OR(A37="",Q37=0),0,LARGE(_xlfn._xlws.FILTER('Istoric_Nativ'!$D$6:$D$405,('Istoric_Nativ'!$B$6:$B$405=B37)*('Istoric_Nativ'!$C$6:$C$405=C37)*('Istoric_Nativ'!$P$6:$P$405=1)*('Istoric_Nativ'!$D$6:$D$405&lt;INT(G37))*((('Istoric_Nativ'!$E$6:$E$405='Input_Meci'!E37)+('Istoric_Nativ'!$F$6:$F$405='Input_Meci'!E37))&gt;0)),MIN(20,Q37)))</x:f>
        <x:v>0</x:v>
      </x:c>
      <x:c r="BQ37" s="2" t="str">
        <x:f>IF(A37="","",IF(AND(COUNTIF(MatchesTable[Match_ID],A37)=1,COUNTIFS(MatchesTable[League],B37,MatchesTable[Season],C37,MatchesTable[Home],'Input_Meci'!D37,MatchesTable[Away],'Input_Meci'!E37,MatchesTable[Kickoff_UTC],F37)=1,B37&lt;&gt;"",C37&lt;&gt;"",'Input_Meci'!D37&lt;&gt;"",'Input_Meci'!E37&lt;&gt;"",'Input_Meci'!D37&lt;&gt;'Input_Meci'!E37,ISNUMBER(F37),ISNUMBER(G37),G37&lt;F37,OR(E37="LIVE",E37="REPLAY"),OR('Input_Meci'!L37="YES",'Input_Meci'!L37="NO",'Input_Meci'!L37="")),"VALID","INVALID"))</x:f>
      </x:c>
      <x:c r="BR37" s="2" t="n">
        <x:f>IF(I37&lt;&gt;"PASS",0,SUMPRODUCT(('Istoric_Nativ'!$B$6:$B$405='Input_Meci'!B37)*('Istoric_Nativ'!$C$6:$C$405='Input_Meci'!C37)*('Istoric_Nativ'!$P$6:$P$405=1)*('Istoric_Nativ'!$D$6:$D$405&lt;INT('Input_Meci'!G37))*((('Istoric_Nativ'!$E$6:$E$405='Input_Meci'!D37)+('Istoric_Nativ'!$F$6:$F$405='Input_Meci'!E37))&gt;0)))</x:f>
        <x:v>0</x:v>
      </x:c>
      <x:c r="BS37" s="2" t="n">
        <x:f>IF(I37&lt;&gt;"PASS",0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BM37)+((('Istoric_Nativ'!$E$6:$E$405='Input_Meci'!E37)+('Istoric_Nativ'!$F$6:$F$405='Input_Meci'!E37))&gt;0)*('Istoric_Nativ'!$D$6:$D$405&gt;=BN37))&gt;0)))</x:f>
        <x:v>0</x:v>
      </x:c>
      <x:c r="BT37" s="2" t="n">
        <x:f>IF(I37&lt;&gt;"PASS",0,SUMPRODUCT(('Istoric_Nativ'!$B$6:$B$405='Input_Meci'!B37)*('Istoric_Nativ'!$C$6:$C$405='Input_Meci'!C37)*('Istoric_Nativ'!$P$6:$P$405=1)*('Istoric_Nativ'!$D$6:$D$405&lt;INT('Input_Meci'!G37))*((((('Istoric_Nativ'!$E$6:$E$405='Input_Meci'!D37)+('Istoric_Nativ'!$F$6:$F$405='Input_Meci'!D37))&gt;0)*('Istoric_Nativ'!$D$6:$D$405&gt;=BO37)+((('Istoric_Nativ'!$E$6:$E$405='Input_Meci'!E37)+('Istoric_Nativ'!$F$6:$F$405='Input_Meci'!E37))&gt;0)*('Istoric_Nativ'!$D$6:$D$405&gt;=BP37))&gt;0)))</x:f>
        <x:v>0</x:v>
      </x:c>
    </x:row>
    <x:row r="38" ht="21" customHeight="1">
      <x:c r="A38" s="2" t="str">
        <x:f>IF('Input_Meci'!A38="","",'Input_Meci'!A38)</x:f>
      </x:c>
      <x:c r="B38" s="2" t="str">
        <x:f>IF(A38="","",'Input_Meci'!B38)</x:f>
      </x:c>
      <x:c r="C38" s="2" t="str">
        <x:f>IF(A38="","",'Input_Meci'!C38)</x:f>
      </x:c>
      <x:c r="D38" s="2" t="str">
        <x:f>IF(A38="","",'Input_Meci'!D38&amp;" – "&amp;'Input_Meci'!E38)</x:f>
      </x:c>
      <x:c r="E38" s="2" t="str">
        <x:f>IF(A38="","",'Input_Meci'!H38)</x:f>
      </x:c>
      <x:c r="F38" s="9" t="str">
        <x:f>IF(A38="","",'Input_Meci'!F38)</x:f>
      </x:c>
      <x:c r="G38" s="9" t="str">
        <x:f>IF(A38="","",'Input_Meci'!G38)</x:f>
      </x:c>
      <x:c r="H38" s="2" t="str">
        <x:f>IF(A38="","",IF(BQ38&lt;&gt;"VALID","NOT RELEASED",IF(AND(OR('Input_Meci'!I38="NOT AVAILABLE",'Input_Meci'!I38="SOURCE CONFLICT"),'Input_Meci'!J38&lt;&gt;""),"READY",IF(OR(NOT(OR('Input_Meci'!I38="AUTO",'Input_Meci'!I38="")),COUNTIF('Core_Nativ'!R390:R395,"CLOSED")&lt;&gt;6,BJ38&gt;0),"NOT RELEASED","READY"))))</x:f>
      </x:c>
      <x:c r="I38" s="2" t="str">
        <x:f>IF(A38="","",IF(H38&lt;&gt;"READY","NOT RELEASED",IF(AND(NOT(OR('Input_Meci'!I38="NOT AVAILABLE",'Input_Meci'!I38="SOURCE CONFLICT")),L38=12,AR38&gt;=2,AS38&gt;0,ISNUMBER(AT38),BI38="VALID",BK38="VALID"),"PASS","FAIL")))</x:f>
      </x:c>
      <x:c r="J38" s="2" t="str">
        <x:f>IF(A38="","",IF(BQ38&lt;&gt;"VALID","Verifica ID, echipe, mod si cutoff &lt; kickoff",IF(H38&lt;&gt;"READY",IF('Input_Meci'!I38="ACCESS BLOCKED","Acces blocat: reia sursele",IF(BJ38&gt;0,"Istoric invalid sau conflict: verifica randurile native","Surse neinchise / post-cutoff / dovezi incomplete")),IF(OR('Input_Meci'!I38="NOT AVAILABLE",'Input_Meci'!I38="SOURCE CONFLICT"),'Input_Meci'!I38,IF(BK38&lt;&gt;"VALID","Parametri invalizi",IF(L38&lt;&gt;12,"Core / sample / prior insuficient",IF(AR38&lt;2,"N insuficient pentru dispersie",IF(AS38&lt;=0,"Media istorica trebuie sa fie pozitiva",IF(BI38&lt;&gt;"VALID","Context invalid","READY")))))))))</x:f>
      </x:c>
      <x:c r="K38" s="2" t="str">
        <x:f>IF(A38="","",COUNT(T38:AE38))</x:f>
      </x:c>
      <x:c r="L38" s="2" t="str">
        <x:f>IF(A38="","",COUNT(AF38:AQ38))</x:f>
      </x:c>
      <x:c r="M38" s="2" t="str">
        <x:f>IF(A38="","",IF(OR('Core_Nativ'!M390&lt;'Core_Nativ'!P390,'Core_Nativ'!M391&lt;'Core_Nativ'!P391,'Core_Nativ'!M392&lt;'Core_Nativ'!P392,'Core_Nativ'!M393&lt;'Core_Nativ'!P393,'Core_Nativ'!M394&lt;'Core_Nativ'!P394,'Core_Nativ'!M395&lt;'Core_Nativ'!P395),"YES","NO"))</x:f>
      </x:c>
      <x:c r="N38" s="2" t="str">
        <x:f>IF(A38="","",'Core_Nativ'!M390)</x:f>
      </x:c>
      <x:c r="O38" s="2" t="str">
        <x:f>IF(A38="","",'Core_Nativ'!M391)</x:f>
      </x:c>
      <x:c r="P38" s="2" t="str">
        <x:f>IF(A38="","",'Core_Nativ'!M392)</x:f>
      </x:c>
      <x:c r="Q38" s="2" t="str">
        <x:f>IF(A38="","",'Core_Nativ'!M393)</x:f>
      </x:c>
      <x:c r="R38" s="2" t="str">
        <x:f>IF(A38="","",'Core_Nativ'!M394)</x:f>
      </x:c>
      <x:c r="S38" s="2" t="str">
        <x:f>IF(A38="","",'Core_Nativ'!M395)</x:f>
      </x:c>
      <x:c r="T38" s="11" t="str">
        <x:f>IF(OR(A38="",'Core_Nativ'!M390=0),"",'Core_Nativ'!N390)</x:f>
      </x:c>
      <x:c r="U38" s="11" t="str">
        <x:f>IF(OR(A38="",'Core_Nativ'!M390=0),"",'Core_Nativ'!O390)</x:f>
      </x:c>
      <x:c r="V38" s="11" t="str">
        <x:f>IF(OR(A38="",'Core_Nativ'!M391=0),"",'Core_Nativ'!N391)</x:f>
      </x:c>
      <x:c r="W38" s="11" t="str">
        <x:f>IF(OR(A38="",'Core_Nativ'!M391=0),"",'Core_Nativ'!O391)</x:f>
      </x:c>
      <x:c r="X38" s="11" t="str">
        <x:f>IF(OR(A38="",'Core_Nativ'!M392=0),"",'Core_Nativ'!N392)</x:f>
      </x:c>
      <x:c r="Y38" s="11" t="str">
        <x:f>IF(OR(A38="",'Core_Nativ'!M392=0),"",'Core_Nativ'!O392)</x:f>
      </x:c>
      <x:c r="Z38" s="11" t="str">
        <x:f>IF(OR(A38="",'Core_Nativ'!M393=0),"",'Core_Nativ'!N393)</x:f>
      </x:c>
      <x:c r="AA38" s="11" t="str">
        <x:f>IF(OR(A38="",'Core_Nativ'!M393=0),"",'Core_Nativ'!O393)</x:f>
      </x:c>
      <x:c r="AB38" s="11" t="str">
        <x:f>IF(OR(A38="",'Core_Nativ'!M394=0),"",'Core_Nativ'!N394)</x:f>
      </x:c>
      <x:c r="AC38" s="11" t="str">
        <x:f>IF(OR(A38="",'Core_Nativ'!M394=0),"",'Core_Nativ'!O394)</x:f>
      </x:c>
      <x:c r="AD38" s="11" t="str">
        <x:f>IF(OR(A38="",'Core_Nativ'!M395=0),"",'Core_Nativ'!N395)</x:f>
      </x:c>
      <x:c r="AE38" s="11" t="str">
        <x:f>IF(OR(A38="",'Core_Nativ'!M395=0),"",'Core_Nativ'!O395)</x:f>
      </x:c>
      <x:c r="AF38" s="11" t="str">
        <x:f>IF(A38="","",IF(AND('Core_Nativ'!R390="CLOSED",'Core_Nativ'!S390=0),IF('Core_Nativ'!M390&gt;='Core_Nativ'!P390,'Core_Nativ'!N390,IF(AND('Input_Meci'!L38="YES",'Input_Meci'!K38&lt;&gt;"",'Input_Meci'!K38&lt;C38,'Core_Nativ'!T396="DERIVED",'Core_Nativ'!M396&gt;='Core_Nativ'!P390),MIN(1,'Core_Nativ'!M390/'Core_Nativ'!P390)*IF('Core_Nativ'!M390=0,0,'Core_Nativ'!N390)+(1-MIN(1,'Core_Nativ'!M390/'Core_Nativ'!P390))*'Core_Nativ'!N396,"")),""))</x:f>
      </x:c>
      <x:c r="AG38" s="11" t="str">
        <x:f>IF(A38="","",IF(AND('Core_Nativ'!R390="CLOSED",'Core_Nativ'!S390=0),IF('Core_Nativ'!M390&gt;='Core_Nativ'!P390,'Core_Nativ'!O390,IF(AND('Input_Meci'!L38="YES",'Input_Meci'!K38&lt;&gt;"",'Input_Meci'!K38&lt;C38,'Core_Nativ'!T396="DERIVED",'Core_Nativ'!M396&gt;='Core_Nativ'!P390),MIN(1,'Core_Nativ'!M390/'Core_Nativ'!P390)*IF('Core_Nativ'!M390=0,0,'Core_Nativ'!O390)+(1-MIN(1,'Core_Nativ'!M390/'Core_Nativ'!P390))*'Core_Nativ'!O396,"")),""))</x:f>
      </x:c>
      <x:c r="AH38" s="11" t="str">
        <x:f>IF(A38="","",IF(AND('Core_Nativ'!R391="CLOSED",'Core_Nativ'!S391=0),IF('Core_Nativ'!M391&gt;='Core_Nativ'!P391,'Core_Nativ'!N391,IF(AND('Input_Meci'!L38="YES",'Input_Meci'!K38&lt;&gt;"",'Input_Meci'!K38&lt;C38,'Core_Nativ'!T397="DERIVED",'Core_Nativ'!M397&gt;='Core_Nativ'!P391),MIN(1,'Core_Nativ'!M391/'Core_Nativ'!P391)*IF('Core_Nativ'!M391=0,0,'Core_Nativ'!N391)+(1-MIN(1,'Core_Nativ'!M391/'Core_Nativ'!P391))*'Core_Nativ'!N397,"")),""))</x:f>
      </x:c>
      <x:c r="AI38" s="11" t="str">
        <x:f>IF(A38="","",IF(AND('Core_Nativ'!R391="CLOSED",'Core_Nativ'!S391=0),IF('Core_Nativ'!M391&gt;='Core_Nativ'!P391,'Core_Nativ'!O391,IF(AND('Input_Meci'!L38="YES",'Input_Meci'!K38&lt;&gt;"",'Input_Meci'!K38&lt;C38,'Core_Nativ'!T397="DERIVED",'Core_Nativ'!M397&gt;='Core_Nativ'!P391),MIN(1,'Core_Nativ'!M391/'Core_Nativ'!P391)*IF('Core_Nativ'!M391=0,0,'Core_Nativ'!O391)+(1-MIN(1,'Core_Nativ'!M391/'Core_Nativ'!P391))*'Core_Nativ'!O397,"")),""))</x:f>
      </x:c>
      <x:c r="AJ38" s="11" t="str">
        <x:f>IF(A38="","",IF(AND('Core_Nativ'!R392="CLOSED",'Core_Nativ'!S392=0),IF('Core_Nativ'!M392&gt;='Core_Nativ'!P392,'Core_Nativ'!N392,IF(AND('Input_Meci'!L38="YES",'Input_Meci'!K38&lt;&gt;"",'Input_Meci'!K38&lt;C38,'Core_Nativ'!T398="DERIVED",'Core_Nativ'!M398&gt;='Core_Nativ'!P392),MIN(1,'Core_Nativ'!M392/'Core_Nativ'!P392)*IF('Core_Nativ'!M392=0,0,'Core_Nativ'!N392)+(1-MIN(1,'Core_Nativ'!M392/'Core_Nativ'!P392))*'Core_Nativ'!N398,"")),""))</x:f>
      </x:c>
      <x:c r="AK38" s="11" t="str">
        <x:f>IF(A38="","",IF(AND('Core_Nativ'!R392="CLOSED",'Core_Nativ'!S392=0),IF('Core_Nativ'!M392&gt;='Core_Nativ'!P392,'Core_Nativ'!O392,IF(AND('Input_Meci'!L38="YES",'Input_Meci'!K38&lt;&gt;"",'Input_Meci'!K38&lt;C38,'Core_Nativ'!T398="DERIVED",'Core_Nativ'!M398&gt;='Core_Nativ'!P392),MIN(1,'Core_Nativ'!M392/'Core_Nativ'!P392)*IF('Core_Nativ'!M392=0,0,'Core_Nativ'!O392)+(1-MIN(1,'Core_Nativ'!M392/'Core_Nativ'!P392))*'Core_Nativ'!O398,"")),""))</x:f>
      </x:c>
      <x:c r="AL38" s="11" t="str">
        <x:f>IF(A38="","",IF(AND('Core_Nativ'!R393="CLOSED",'Core_Nativ'!S393=0),IF('Core_Nativ'!M393&gt;='Core_Nativ'!P393,'Core_Nativ'!N393,IF(AND('Input_Meci'!L38="YES",'Input_Meci'!K38&lt;&gt;"",'Input_Meci'!K38&lt;C38,'Core_Nativ'!T399="DERIVED",'Core_Nativ'!M399&gt;='Core_Nativ'!P393),MIN(1,'Core_Nativ'!M393/'Core_Nativ'!P393)*IF('Core_Nativ'!M393=0,0,'Core_Nativ'!N393)+(1-MIN(1,'Core_Nativ'!M393/'Core_Nativ'!P393))*'Core_Nativ'!N399,"")),""))</x:f>
      </x:c>
      <x:c r="AM38" s="11" t="str">
        <x:f>IF(A38="","",IF(AND('Core_Nativ'!R393="CLOSED",'Core_Nativ'!S393=0),IF('Core_Nativ'!M393&gt;='Core_Nativ'!P393,'Core_Nativ'!O393,IF(AND('Input_Meci'!L38="YES",'Input_Meci'!K38&lt;&gt;"",'Input_Meci'!K38&lt;C38,'Core_Nativ'!T399="DERIVED",'Core_Nativ'!M399&gt;='Core_Nativ'!P393),MIN(1,'Core_Nativ'!M393/'Core_Nativ'!P393)*IF('Core_Nativ'!M393=0,0,'Core_Nativ'!O393)+(1-MIN(1,'Core_Nativ'!M393/'Core_Nativ'!P393))*'Core_Nativ'!O399,"")),""))</x:f>
      </x:c>
      <x:c r="AN38" s="11" t="str">
        <x:f>IF(A38="","",IF(AND('Core_Nativ'!R394="CLOSED",'Core_Nativ'!S394=0),IF('Core_Nativ'!M394&gt;='Core_Nativ'!P394,'Core_Nativ'!N394,IF(AND('Input_Meci'!L38="YES",'Input_Meci'!K38&lt;&gt;"",'Input_Meci'!K38&lt;C38,'Core_Nativ'!T400="DERIVED",'Core_Nativ'!M400&gt;='Core_Nativ'!P394),MIN(1,'Core_Nativ'!M394/'Core_Nativ'!P394)*IF('Core_Nativ'!M394=0,0,'Core_Nativ'!N394)+(1-MIN(1,'Core_Nativ'!M394/'Core_Nativ'!P394))*'Core_Nativ'!N400,"")),""))</x:f>
      </x:c>
      <x:c r="AO38" s="11" t="str">
        <x:f>IF(A38="","",IF(AND('Core_Nativ'!R394="CLOSED",'Core_Nativ'!S394=0),IF('Core_Nativ'!M394&gt;='Core_Nativ'!P394,'Core_Nativ'!O394,IF(AND('Input_Meci'!L38="YES",'Input_Meci'!K38&lt;&gt;"",'Input_Meci'!K38&lt;C38,'Core_Nativ'!T400="DERIVED",'Core_Nativ'!M400&gt;='Core_Nativ'!P394),MIN(1,'Core_Nativ'!M394/'Core_Nativ'!P394)*IF('Core_Nativ'!M394=0,0,'Core_Nativ'!O394)+(1-MIN(1,'Core_Nativ'!M394/'Core_Nativ'!P394))*'Core_Nativ'!O400,"")),""))</x:f>
      </x:c>
      <x:c r="AP38" s="11" t="str">
        <x:f>IF(A38="","",IF(AND('Core_Nativ'!R395="CLOSED",'Core_Nativ'!S395=0),IF('Core_Nativ'!M395&gt;='Core_Nativ'!P395,'Core_Nativ'!N395,IF(AND('Input_Meci'!L38="YES",'Input_Meci'!K38&lt;&gt;"",'Input_Meci'!K38&lt;C38,'Core_Nativ'!T401="DERIVED",'Core_Nativ'!M401&gt;='Core_Nativ'!P395),MIN(1,'Core_Nativ'!M395/'Core_Nativ'!P395)*IF('Core_Nativ'!M395=0,0,'Core_Nativ'!N395)+(1-MIN(1,'Core_Nativ'!M395/'Core_Nativ'!P395))*'Core_Nativ'!N401,"")),""))</x:f>
      </x:c>
      <x:c r="AQ38" s="11" t="str">
        <x:f>IF(A38="","",IF(AND('Core_Nativ'!R395="CLOSED",'Core_Nativ'!S395=0),IF('Core_Nativ'!M395&gt;='Core_Nativ'!P395,'Core_Nativ'!O395,IF(AND('Input_Meci'!L38="YES",'Input_Meci'!K38&lt;&gt;"",'Input_Meci'!K38&lt;C38,'Core_Nativ'!T401="DERIVED",'Core_Nativ'!M401&gt;='Core_Nativ'!P395),MIN(1,'Core_Nativ'!M395/'Core_Nativ'!P395)*IF('Core_Nativ'!M395=0,0,'Core_Nativ'!O395)+(1-MIN(1,'Core_Nativ'!M395/'Core_Nativ'!P395))*'Core_Nativ'!O401,"")),""))</x:f>
      </x:c>
      <x:c r="AR38" s="11" t="str">
        <x:f>IF(A38="","",SUMPRODUCT(('Istoric_Nativ'!$B$6:$B$405=B38)*('Istoric_Nativ'!$C$6:$C$405=BL38)*('Istoric_Nativ'!$P$6:$P$405=1)*('Istoric_Nativ'!$D$6:$D$405&lt;INT(G38))*((('Istoric_Nativ'!$E$6:$E$405='Input_Meci'!D38)+('Istoric_Nativ'!$F$6:$F$405='Input_Meci'!D38)+('Istoric_Nativ'!$E$6:$E$405='Input_Meci'!E38)+('Istoric_Nativ'!$F$6:$F$405='Input_Meci'!E38))&gt;0)))</x:f>
      </x:c>
      <x:c r="AS38" s="11" t="str">
        <x:f>IF(AR38=0,"",SUMPRODUCT(('Istoric_Nativ'!$B$6:$B$405=B38)*('Istoric_Nativ'!$C$6:$C$405=BL38)*('Istoric_Nativ'!$P$6:$P$405=1)*('Istoric_Nativ'!$D$6:$D$405&lt;INT(G38))*((('Istoric_Nativ'!$E$6:$E$405='Input_Meci'!D38)+('Istoric_Nativ'!$F$6:$F$405='Input_Meci'!D38)+('Istoric_Nativ'!$E$6:$E$405='Input_Meci'!E38)+('Istoric_Nativ'!$F$6:$F$405='Input_Meci'!E38))&gt;0)*'Istoric_Nativ'!$Q$6:$Q$405)/AR38)</x:f>
      </x:c>
      <x:c r="AT38" s="11" t="str">
        <x:f>IF(AR38&lt;2,"",MAX(0,(SUMPRODUCT(('Istoric_Nativ'!$B$6:$B$405=B38)*('Istoric_Nativ'!$C$6:$C$405=BL38)*('Istoric_Nativ'!$P$6:$P$405=1)*('Istoric_Nativ'!$D$6:$D$405&lt;INT(G38))*((('Istoric_Nativ'!$E$6:$E$405='Input_Meci'!D38)+('Istoric_Nativ'!$F$6:$F$405='Input_Meci'!D38)+('Istoric_Nativ'!$E$6:$E$405='Input_Meci'!E38)+('Istoric_Nativ'!$F$6:$F$405='Input_Meci'!E38))&gt;0)*'Istoric_Nativ'!$R$6:$R$405)-AR38*AS38^2)/(AR38-1)))</x:f>
      </x:c>
      <x:c r="AU38" s="11" t="str">
        <x:f>IF(I38&lt;&gt;"PASS","",AT38/AS38)</x:f>
      </x:c>
      <x:c r="AV38" s="11" t="str">
        <x:f>IF(I38&lt;&gt;"PASS","",IF(AU38&lt;='Config_v6'!$B$10,"POISSON","NEGATIVE BINOMIAL"))</x:f>
      </x:c>
      <x:c r="AW38" s="11" t="str">
        <x:f>IF(I38&lt;&gt;"PASS","",IF(AV38="POISSON",9999,AS38/(AU38-1)))</x:f>
      </x:c>
      <x:c r="AX38" s="11" t="str">
        <x:f>IF(A38="","",MAX(1-'Config_v6'!$B$20,MIN(1+'Config_v6'!$B$20,1+0.02*(IF(AND(ISNUMBER('Input_Meci'!N38),'Input_Meci'!N38&gt;=0,'Input_Meci'!N38&lt;=200),'Input_Meci'!N38,12)/12-1)+0.02*(IF(AND(ISNUMBER('Input_Meci'!P38),'Input_Meci'!P38&gt;=0,'Input_Meci'!P38&lt;=200),'Input_Meci'!P38,3.5)/3.5-1)+0.02*(IF(AND(ISNUMBER('Input_Meci'!R38),'Input_Meci'!R38&gt;=0,'Input_Meci'!R38&lt;=200),'Input_Meci'!R38,18)/18-1)+0.02*((IF(AND(ISNUMBER('Input_Meci'!V38),'Input_Meci'!V38&gt;=0,'Input_Meci'!V38&lt;=10),'Input_Meci'!V38,5)-5)/5))))</x:f>
      </x:c>
      <x:c r="AY38" s="11" t="str">
        <x:f>IF(A38="","",MAX(1-'Config_v6'!$B$20,MIN(1+'Config_v6'!$B$20,1+0.02*(IF(AND(ISNUMBER('Input_Meci'!O38),'Input_Meci'!O38&gt;=0,'Input_Meci'!O38&lt;=200),'Input_Meci'!O38,12)/12-1)+0.02*(IF(AND(ISNUMBER('Input_Meci'!Q38),'Input_Meci'!Q38&gt;=0,'Input_Meci'!Q38&lt;=200),'Input_Meci'!Q38,3.5)/3.5-1)+0.02*(IF(AND(ISNUMBER('Input_Meci'!S38),'Input_Meci'!S38&gt;=0,'Input_Meci'!S38&lt;=200),'Input_Meci'!S38,18)/18-1)+0.02*((IF(AND(ISNUMBER('Input_Meci'!W38),'Input_Meci'!W38&gt;=0,'Input_Meci'!W38&lt;=10),'Input_Meci'!W38,5)-5)/5))))</x:f>
      </x:c>
      <x:c r="AZ38" s="11" t="str">
        <x:f>IF(A38="","",MAX(1-'Config_v6'!$B$21,MIN(1+'Config_v6'!$B$21,1+0.012*(IF('Input_Meci'!X38="",5,IF(ISNUMBER('Input_Meci'!X38),'Input_Meci'!X38,5))-5)+0.018*(IF('Input_Meci'!Z38="",5,IF(ISNUMBER('Input_Meci'!Z38),'Input_Meci'!Z38,5))-5)+0.012*(IF('Input_Meci'!AB38="",5,IF(ISNUMBER('Input_Meci'!AB38),'Input_Meci'!AB38,5))-5)+0.015*IF('Input_Meci'!AD38="",0,IF(ISNUMBER('Input_Meci'!AD38),'Input_Meci'!AD38,0))+0.02*IF('Input_Meci'!AF38="",0,IF(ISNUMBER('Input_Meci'!AF38),'Input_Meci'!AF38,0)))))</x:f>
      </x:c>
      <x:c r="BA38" s="11" t="str">
        <x:f>IF(A38="","",MAX(1-'Config_v6'!$B$21,MIN(1+'Config_v6'!$B$21,1+0.012*(IF('Input_Meci'!Y38="",5,IF(ISNUMBER('Input_Meci'!Y38),'Input_Meci'!Y38,5))-5)+0.018*(IF('Input_Meci'!AA38="",5,IF(ISNUMBER('Input_Meci'!AA38),'Input_Meci'!AA38,5))-5)+0.012*(IF('Input_Meci'!AC38="",5,IF(ISNUMBER('Input_Meci'!AC38),'Input_Meci'!AC38,5))-5)+0.015*IF('Input_Meci'!AE38="",0,IF(ISNUMBER('Input_Meci'!AE38),'Input_Meci'!AE38,0))+0.02*IF('Input_Meci'!AG38="",0,IF(ISNUMBER('Input_Meci'!AG38),'Input_Meci'!AG38,0)))))</x:f>
      </x:c>
      <x:c r="BB38" s="11" t="str">
        <x:f>IF(I38&lt;&gt;"PASS","",(AVERAGE(AF38,AM38)*'Config_v6'!$B$4+AVERAGE(AH38,AO38)*'Config_v6'!$B$5+AVERAGE(AJ38,AQ38)*'Config_v6'!$B$6)*AX38*AZ38)</x:f>
      </x:c>
      <x:c r="BC38" s="11" t="str">
        <x:f>IF(I38&lt;&gt;"PASS","",(AVERAGE(AL38,AG38)*'Config_v6'!$B$4+AVERAGE(AN38,AI38)*'Config_v6'!$B$5+AVERAGE(AP38,AK38)*'Config_v6'!$B$6)*AY38*BA38)</x:f>
      </x:c>
      <x:c r="BD38" s="11" t="str">
        <x:f>IF(I38&lt;&gt;"PASS","",BB38+BC38)</x:f>
      </x:c>
      <x:c r="BE38" s="11" t="str">
        <x:f>IF(A38="","",10-SUM(IF(AND(ISNUMBER('Input_Meci'!N38),'Input_Meci'!N38&gt;=0,'Input_Meci'!N38&lt;=200),1,0),IF(AND(ISNUMBER('Input_Meci'!O38),'Input_Meci'!O38&gt;=0,'Input_Meci'!O38&lt;=200),1,0),IF(AND(ISNUMBER('Input_Meci'!P38),'Input_Meci'!P38&gt;=0,'Input_Meci'!P38&lt;=200),1,0),IF(AND(ISNUMBER('Input_Meci'!Q38),'Input_Meci'!Q38&gt;=0,'Input_Meci'!Q38&lt;=200),1,0),IF(AND(ISNUMBER('Input_Meci'!R38),'Input_Meci'!R38&gt;=0,'Input_Meci'!R38&lt;=200),1,0),IF(AND(ISNUMBER('Input_Meci'!S38),'Input_Meci'!S38&gt;=0,'Input_Meci'!S38&lt;=200),1,0),IF(AND(ISNUMBER('Input_Meci'!T38),'Input_Meci'!T38&gt;=0,'Input_Meci'!T38&lt;=100),1,0),IF(AND(ISNUMBER('Input_Meci'!U38),'Input_Meci'!U38&gt;=0,'Input_Meci'!U38&lt;=100),1,0),IF(AND(ISNUMBER('Input_Meci'!V38),'Input_Meci'!V38&gt;=0,'Input_Meci'!V38&lt;=10),1,0),IF(AND(ISNUMBER('Input_Meci'!W38),'Input_Meci'!W38&gt;=0,'Input_Meci'!W38&lt;=10),1,0)))</x:f>
      </x:c>
      <x:c r="BF38" s="11" t="str">
        <x:f>IF(I38&lt;&gt;"PASS","",MAX(0,MIN(IF(OR(M38="YES",BL38&lt;&gt;C38),'Config_v6'!$B$34,100),ROUND(40+25*MIN(1,MIN(N38,Q38)/'Config_v6'!$B$7)*MIN(1,MIN(O38,R38)/'Config_v6'!$B$8)*MIN(1,MIN(P38,S38)/'Config_v6'!$B$9)+MAX(0,15-2*ABS(AF38-AJ38)-2*ABS(AL38-AP38))+IF(AU38&lt;='Config_v6'!$B$10,15,IF(AU38&lt;='Config_v6'!$B$11,13,IF(AU38&lt;='Config_v6'!$B$12,10,IF(AU38&lt;='Config_v6'!$B$13,6,0))))+5-BE38/10*'Config_v6'!$B$38,0))))</x:f>
      </x:c>
      <x:c r="BG38" s="11" t="str">
        <x:f>IF(I38&lt;&gt;"PASS","",MIN(1,'Config_v6'!$B$14*(0.7+0.3*MIN(1,AR38/'Config_v6'!$B$15))*IF(AU38&lt;='Config_v6'!$B$10,1,IF(AU38&lt;='Config_v6'!$B$11,0.95,IF(AU38&lt;='Config_v6'!$B$12,0.88,0.78)))*(0.75+0.25*BF38/100)))</x:f>
      </x:c>
      <x:c r="BH38" s="11" t="str">
        <x:f>IF(I38&lt;&gt;"PASS","",MIN(1,(ABS(AZ38-1)+ABS(BA38-1))*3))</x:f>
      </x:c>
      <x:c r="BI38" s="2" t="str">
        <x:f>IF(A38="","",IF(AND(OR('Input_Meci'!X38="",AND(ISNUMBER('Input_Meci'!X38),'Input_Meci'!X38&gt;=0,'Input_Meci'!X38&lt;=10)),OR('Input_Meci'!Y38="",AND(ISNUMBER('Input_Meci'!Y38),'Input_Meci'!Y38&gt;=0,'Input_Meci'!Y38&lt;=10)),OR('Input_Meci'!Z38="",AND(ISNUMBER('Input_Meci'!Z38),'Input_Meci'!Z38&gt;=0,'Input_Meci'!Z38&lt;=10)),OR('Input_Meci'!AA38="",AND(ISNUMBER('Input_Meci'!AA38),'Input_Meci'!AA38&gt;=0,'Input_Meci'!AA38&lt;=10)),OR('Input_Meci'!AB38="",AND(ISNUMBER('Input_Meci'!AB38),'Input_Meci'!AB38&gt;=0,'Input_Meci'!AB38&lt;=10)),OR('Input_Meci'!AC38="",AND(ISNUMBER('Input_Meci'!AC38),'Input_Meci'!AC38&gt;=0,'Input_Meci'!AC38&lt;=10)),OR('Input_Meci'!AD38="",AND(ISNUMBER('Input_Meci'!AD38),'Input_Meci'!AD38&gt;=-2,'Input_Meci'!AD38&lt;=2)),OR('Input_Meci'!AE38="",AND(ISNUMBER('Input_Meci'!AE38),'Input_Meci'!AE38&gt;=-2,'Input_Meci'!AE38&lt;=2)),OR('Input_Meci'!AF38="",AND(ISNUMBER('Input_Meci'!AF38),'Input_Meci'!AF38&gt;=-2,'Input_Meci'!AF38&lt;=2)),OR('Input_Meci'!AG38="",AND(ISNUMBER('Input_Meci'!AG38),'Input_Meci'!AG38&gt;=-2,'Input_Meci'!AG38&lt;=2))),"VALID","INVALID"))</x:f>
      </x:c>
      <x:c r="BJ38" s="2" t="n">
        <x:f>IF(A38="",0,SUM('Core_Nativ'!S390:S395))</x:f>
        <x:v>0</x:v>
      </x:c>
      <x:c r="BK38" s="2" t="str">
        <x:f>'Config_v6'!$B$40</x:f>
        <x:v>VALID</x:v>
      </x:c>
      <x:c r="BL38" s="2" t="str">
        <x:f>IF(A38="","",IF(SUMPRODUCT(('Istoric_Nativ'!$B$6:$B$405=B38)*('Istoric_Nativ'!$C$6:$C$405=C38)*('Istoric_Nativ'!$P$6:$P$405=1)*('Istoric_Nativ'!$D$6:$D$405&lt;INT(G38))*((('Istoric_Nativ'!$E$6:$E$405='Input_Meci'!D38)+('Istoric_Nativ'!$F$6:$F$405='Input_Meci'!D38)+('Istoric_Nativ'!$E$6:$E$405='Input_Meci'!E38)+('Istoric_Nativ'!$F$6:$F$405='Input_Meci'!E38))&gt;0))&gt;='Config_v6'!$B$41,C38,IF(AND('Input_Meci'!L38="YES",'Input_Meci'!K38&lt;&gt;"",'Input_Meci'!K38&lt;C38,COUNTIF('Core_Nativ'!R396:R401,"CLOSED")=6,SUM('Core_Nativ'!S396:S401)=0),'Input_Meci'!K38,C38)))</x:f>
      </x:c>
      <x:c r="BM38" s="9" t="n">
        <x:f>IF(OR(A38="",N38=0),0,LARGE(_xlfn._xlws.FILTER('Istoric_Nativ'!$D$6:$D$405,('Istoric_Nativ'!$B$6:$B$405=B38)*('Istoric_Nativ'!$C$6:$C$405=C38)*('Istoric_Nativ'!$P$6:$P$405=1)*('Istoric_Nativ'!$D$6:$D$405&lt;INT(G38))*((('Istoric_Nativ'!$E$6:$E$405='Input_Meci'!D38)+('Istoric_Nativ'!$F$6:$F$405='Input_Meci'!D38))&gt;0)),MIN(10,N38)))</x:f>
        <x:v>0</x:v>
      </x:c>
      <x:c r="BN38" s="9" t="n">
        <x:f>IF(OR(A38="",Q38=0),0,LARGE(_xlfn._xlws.FILTER('Istoric_Nativ'!$D$6:$D$405,('Istoric_Nativ'!$B$6:$B$405=B38)*('Istoric_Nativ'!$C$6:$C$405=C38)*('Istoric_Nativ'!$P$6:$P$405=1)*('Istoric_Nativ'!$D$6:$D$405&lt;INT(G38))*((('Istoric_Nativ'!$E$6:$E$405='Input_Meci'!E38)+('Istoric_Nativ'!$F$6:$F$405='Input_Meci'!E38))&gt;0)),MIN(10,Q38)))</x:f>
        <x:v>0</x:v>
      </x:c>
      <x:c r="BO38" s="9" t="n">
        <x:f>IF(OR(A38="",N38=0),0,LARGE(_xlfn._xlws.FILTER('Istoric_Nativ'!$D$6:$D$405,('Istoric_Nativ'!$B$6:$B$405=B38)*('Istoric_Nativ'!$C$6:$C$405=C38)*('Istoric_Nativ'!$P$6:$P$405=1)*('Istoric_Nativ'!$D$6:$D$405&lt;INT(G38))*((('Istoric_Nativ'!$E$6:$E$405='Input_Meci'!D38)+('Istoric_Nativ'!$F$6:$F$405='Input_Meci'!D38))&gt;0)),MIN(20,N38)))</x:f>
        <x:v>0</x:v>
      </x:c>
      <x:c r="BP38" s="9" t="n">
        <x:f>IF(OR(A38="",Q38=0),0,LARGE(_xlfn._xlws.FILTER('Istoric_Nativ'!$D$6:$D$405,('Istoric_Nativ'!$B$6:$B$405=B38)*('Istoric_Nativ'!$C$6:$C$405=C38)*('Istoric_Nativ'!$P$6:$P$405=1)*('Istoric_Nativ'!$D$6:$D$405&lt;INT(G38))*((('Istoric_Nativ'!$E$6:$E$405='Input_Meci'!E38)+('Istoric_Nativ'!$F$6:$F$405='Input_Meci'!E38))&gt;0)),MIN(20,Q38)))</x:f>
        <x:v>0</x:v>
      </x:c>
      <x:c r="BQ38" s="2" t="str">
        <x:f>IF(A38="","",IF(AND(COUNTIF(MatchesTable[Match_ID],A38)=1,COUNTIFS(MatchesTable[League],B38,MatchesTable[Season],C38,MatchesTable[Home],'Input_Meci'!D38,MatchesTable[Away],'Input_Meci'!E38,MatchesTable[Kickoff_UTC],F38)=1,B38&lt;&gt;"",C38&lt;&gt;"",'Input_Meci'!D38&lt;&gt;"",'Input_Meci'!E38&lt;&gt;"",'Input_Meci'!D38&lt;&gt;'Input_Meci'!E38,ISNUMBER(F38),ISNUMBER(G38),G38&lt;F38,OR(E38="LIVE",E38="REPLAY"),OR('Input_Meci'!L38="YES",'Input_Meci'!L38="NO",'Input_Meci'!L38="")),"VALID","INVALID"))</x:f>
      </x:c>
      <x:c r="BR38" s="2" t="n">
        <x:f>IF(I38&lt;&gt;"PASS",0,SUMPRODUCT(('Istoric_Nativ'!$B$6:$B$405='Input_Meci'!B38)*('Istoric_Nativ'!$C$6:$C$405='Input_Meci'!C38)*('Istoric_Nativ'!$P$6:$P$405=1)*('Istoric_Nativ'!$D$6:$D$405&lt;INT('Input_Meci'!G38))*((('Istoric_Nativ'!$E$6:$E$405='Input_Meci'!D38)+('Istoric_Nativ'!$F$6:$F$405='Input_Meci'!E38))&gt;0)))</x:f>
        <x:v>0</x:v>
      </x:c>
      <x:c r="BS38" s="2" t="n">
        <x:f>IF(I38&lt;&gt;"PASS",0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BM38)+((('Istoric_Nativ'!$E$6:$E$405='Input_Meci'!E38)+('Istoric_Nativ'!$F$6:$F$405='Input_Meci'!E38))&gt;0)*('Istoric_Nativ'!$D$6:$D$405&gt;=BN38))&gt;0)))</x:f>
        <x:v>0</x:v>
      </x:c>
      <x:c r="BT38" s="2" t="n">
        <x:f>IF(I38&lt;&gt;"PASS",0,SUMPRODUCT(('Istoric_Nativ'!$B$6:$B$405='Input_Meci'!B38)*('Istoric_Nativ'!$C$6:$C$405='Input_Meci'!C38)*('Istoric_Nativ'!$P$6:$P$405=1)*('Istoric_Nativ'!$D$6:$D$405&lt;INT('Input_Meci'!G38))*((((('Istoric_Nativ'!$E$6:$E$405='Input_Meci'!D38)+('Istoric_Nativ'!$F$6:$F$405='Input_Meci'!D38))&gt;0)*('Istoric_Nativ'!$D$6:$D$405&gt;=BO38)+((('Istoric_Nativ'!$E$6:$E$405='Input_Meci'!E38)+('Istoric_Nativ'!$F$6:$F$405='Input_Meci'!E38))&gt;0)*('Istoric_Nativ'!$D$6:$D$405&gt;=BP38))&gt;0)))</x:f>
        <x:v>0</x:v>
      </x:c>
    </x:row>
    <x:row r="39" ht="21" customHeight="1">
      <x:c r="A39" s="2" t="str">
        <x:f>IF('Input_Meci'!A39="","",'Input_Meci'!A39)</x:f>
      </x:c>
      <x:c r="B39" s="2" t="str">
        <x:f>IF(A39="","",'Input_Meci'!B39)</x:f>
      </x:c>
      <x:c r="C39" s="2" t="str">
        <x:f>IF(A39="","",'Input_Meci'!C39)</x:f>
      </x:c>
      <x:c r="D39" s="2" t="str">
        <x:f>IF(A39="","",'Input_Meci'!D39&amp;" – "&amp;'Input_Meci'!E39)</x:f>
      </x:c>
      <x:c r="E39" s="2" t="str">
        <x:f>IF(A39="","",'Input_Meci'!H39)</x:f>
      </x:c>
      <x:c r="F39" s="9" t="str">
        <x:f>IF(A39="","",'Input_Meci'!F39)</x:f>
      </x:c>
      <x:c r="G39" s="9" t="str">
        <x:f>IF(A39="","",'Input_Meci'!G39)</x:f>
      </x:c>
      <x:c r="H39" s="2" t="str">
        <x:f>IF(A39="","",IF(BQ39&lt;&gt;"VALID","NOT RELEASED",IF(AND(OR('Input_Meci'!I39="NOT AVAILABLE",'Input_Meci'!I39="SOURCE CONFLICT"),'Input_Meci'!J39&lt;&gt;""),"READY",IF(OR(NOT(OR('Input_Meci'!I39="AUTO",'Input_Meci'!I39="")),COUNTIF('Core_Nativ'!R402:R407,"CLOSED")&lt;&gt;6,BJ39&gt;0),"NOT RELEASED","READY"))))</x:f>
      </x:c>
      <x:c r="I39" s="2" t="str">
        <x:f>IF(A39="","",IF(H39&lt;&gt;"READY","NOT RELEASED",IF(AND(NOT(OR('Input_Meci'!I39="NOT AVAILABLE",'Input_Meci'!I39="SOURCE CONFLICT")),L39=12,AR39&gt;=2,AS39&gt;0,ISNUMBER(AT39),BI39="VALID",BK39="VALID"),"PASS","FAIL")))</x:f>
      </x:c>
      <x:c r="J39" s="2" t="str">
        <x:f>IF(A39="","",IF(BQ39&lt;&gt;"VALID","Verifica ID, echipe, mod si cutoff &lt; kickoff",IF(H39&lt;&gt;"READY",IF('Input_Meci'!I39="ACCESS BLOCKED","Acces blocat: reia sursele",IF(BJ39&gt;0,"Istoric invalid sau conflict: verifica randurile native","Surse neinchise / post-cutoff / dovezi incomplete")),IF(OR('Input_Meci'!I39="NOT AVAILABLE",'Input_Meci'!I39="SOURCE CONFLICT"),'Input_Meci'!I39,IF(BK39&lt;&gt;"VALID","Parametri invalizi",IF(L39&lt;&gt;12,"Core / sample / prior insuficient",IF(AR39&lt;2,"N insuficient pentru dispersie",IF(AS39&lt;=0,"Media istorica trebuie sa fie pozitiva",IF(BI39&lt;&gt;"VALID","Context invalid","READY")))))))))</x:f>
      </x:c>
      <x:c r="K39" s="2" t="str">
        <x:f>IF(A39="","",COUNT(T39:AE39))</x:f>
      </x:c>
      <x:c r="L39" s="2" t="str">
        <x:f>IF(A39="","",COUNT(AF39:AQ39))</x:f>
      </x:c>
      <x:c r="M39" s="2" t="str">
        <x:f>IF(A39="","",IF(OR('Core_Nativ'!M402&lt;'Core_Nativ'!P402,'Core_Nativ'!M403&lt;'Core_Nativ'!P403,'Core_Nativ'!M404&lt;'Core_Nativ'!P404,'Core_Nativ'!M405&lt;'Core_Nativ'!P405,'Core_Nativ'!M406&lt;'Core_Nativ'!P406,'Core_Nativ'!M407&lt;'Core_Nativ'!P407),"YES","NO"))</x:f>
      </x:c>
      <x:c r="N39" s="2" t="str">
        <x:f>IF(A39="","",'Core_Nativ'!M402)</x:f>
      </x:c>
      <x:c r="O39" s="2" t="str">
        <x:f>IF(A39="","",'Core_Nativ'!M403)</x:f>
      </x:c>
      <x:c r="P39" s="2" t="str">
        <x:f>IF(A39="","",'Core_Nativ'!M404)</x:f>
      </x:c>
      <x:c r="Q39" s="2" t="str">
        <x:f>IF(A39="","",'Core_Nativ'!M405)</x:f>
      </x:c>
      <x:c r="R39" s="2" t="str">
        <x:f>IF(A39="","",'Core_Nativ'!M406)</x:f>
      </x:c>
      <x:c r="S39" s="2" t="str">
        <x:f>IF(A39="","",'Core_Nativ'!M407)</x:f>
      </x:c>
      <x:c r="T39" s="11" t="str">
        <x:f>IF(OR(A39="",'Core_Nativ'!M402=0),"",'Core_Nativ'!N402)</x:f>
      </x:c>
      <x:c r="U39" s="11" t="str">
        <x:f>IF(OR(A39="",'Core_Nativ'!M402=0),"",'Core_Nativ'!O402)</x:f>
      </x:c>
      <x:c r="V39" s="11" t="str">
        <x:f>IF(OR(A39="",'Core_Nativ'!M403=0),"",'Core_Nativ'!N403)</x:f>
      </x:c>
      <x:c r="W39" s="11" t="str">
        <x:f>IF(OR(A39="",'Core_Nativ'!M403=0),"",'Core_Nativ'!O403)</x:f>
      </x:c>
      <x:c r="X39" s="11" t="str">
        <x:f>IF(OR(A39="",'Core_Nativ'!M404=0),"",'Core_Nativ'!N404)</x:f>
      </x:c>
      <x:c r="Y39" s="11" t="str">
        <x:f>IF(OR(A39="",'Core_Nativ'!M404=0),"",'Core_Nativ'!O404)</x:f>
      </x:c>
      <x:c r="Z39" s="11" t="str">
        <x:f>IF(OR(A39="",'Core_Nativ'!M405=0),"",'Core_Nativ'!N405)</x:f>
      </x:c>
      <x:c r="AA39" s="11" t="str">
        <x:f>IF(OR(A39="",'Core_Nativ'!M405=0),"",'Core_Nativ'!O405)</x:f>
      </x:c>
      <x:c r="AB39" s="11" t="str">
        <x:f>IF(OR(A39="",'Core_Nativ'!M406=0),"",'Core_Nativ'!N406)</x:f>
      </x:c>
      <x:c r="AC39" s="11" t="str">
        <x:f>IF(OR(A39="",'Core_Nativ'!M406=0),"",'Core_Nativ'!O406)</x:f>
      </x:c>
      <x:c r="AD39" s="11" t="str">
        <x:f>IF(OR(A39="",'Core_Nativ'!M407=0),"",'Core_Nativ'!N407)</x:f>
      </x:c>
      <x:c r="AE39" s="11" t="str">
        <x:f>IF(OR(A39="",'Core_Nativ'!M407=0),"",'Core_Nativ'!O407)</x:f>
      </x:c>
      <x:c r="AF39" s="11" t="str">
        <x:f>IF(A39="","",IF(AND('Core_Nativ'!R402="CLOSED",'Core_Nativ'!S402=0),IF('Core_Nativ'!M402&gt;='Core_Nativ'!P402,'Core_Nativ'!N402,IF(AND('Input_Meci'!L39="YES",'Input_Meci'!K39&lt;&gt;"",'Input_Meci'!K39&lt;C39,'Core_Nativ'!T408="DERIVED",'Core_Nativ'!M408&gt;='Core_Nativ'!P402),MIN(1,'Core_Nativ'!M402/'Core_Nativ'!P402)*IF('Core_Nativ'!M402=0,0,'Core_Nativ'!N402)+(1-MIN(1,'Core_Nativ'!M402/'Core_Nativ'!P402))*'Core_Nativ'!N408,"")),""))</x:f>
      </x:c>
      <x:c r="AG39" s="11" t="str">
        <x:f>IF(A39="","",IF(AND('Core_Nativ'!R402="CLOSED",'Core_Nativ'!S402=0),IF('Core_Nativ'!M402&gt;='Core_Nativ'!P402,'Core_Nativ'!O402,IF(AND('Input_Meci'!L39="YES",'Input_Meci'!K39&lt;&gt;"",'Input_Meci'!K39&lt;C39,'Core_Nativ'!T408="DERIVED",'Core_Nativ'!M408&gt;='Core_Nativ'!P402),MIN(1,'Core_Nativ'!M402/'Core_Nativ'!P402)*IF('Core_Nativ'!M402=0,0,'Core_Nativ'!O402)+(1-MIN(1,'Core_Nativ'!M402/'Core_Nativ'!P402))*'Core_Nativ'!O408,"")),""))</x:f>
      </x:c>
      <x:c r="AH39" s="11" t="str">
        <x:f>IF(A39="","",IF(AND('Core_Nativ'!R403="CLOSED",'Core_Nativ'!S403=0),IF('Core_Nativ'!M403&gt;='Core_Nativ'!P403,'Core_Nativ'!N403,IF(AND('Input_Meci'!L39="YES",'Input_Meci'!K39&lt;&gt;"",'Input_Meci'!K39&lt;C39,'Core_Nativ'!T409="DERIVED",'Core_Nativ'!M409&gt;='Core_Nativ'!P403),MIN(1,'Core_Nativ'!M403/'Core_Nativ'!P403)*IF('Core_Nativ'!M403=0,0,'Core_Nativ'!N403)+(1-MIN(1,'Core_Nativ'!M403/'Core_Nativ'!P403))*'Core_Nativ'!N409,"")),""))</x:f>
      </x:c>
      <x:c r="AI39" s="11" t="str">
        <x:f>IF(A39="","",IF(AND('Core_Nativ'!R403="CLOSED",'Core_Nativ'!S403=0),IF('Core_Nativ'!M403&gt;='Core_Nativ'!P403,'Core_Nativ'!O403,IF(AND('Input_Meci'!L39="YES",'Input_Meci'!K39&lt;&gt;"",'Input_Meci'!K39&lt;C39,'Core_Nativ'!T409="DERIVED",'Core_Nativ'!M409&gt;='Core_Nativ'!P403),MIN(1,'Core_Nativ'!M403/'Core_Nativ'!P403)*IF('Core_Nativ'!M403=0,0,'Core_Nativ'!O403)+(1-MIN(1,'Core_Nativ'!M403/'Core_Nativ'!P403))*'Core_Nativ'!O409,"")),""))</x:f>
      </x:c>
      <x:c r="AJ39" s="11" t="str">
        <x:f>IF(A39="","",IF(AND('Core_Nativ'!R404="CLOSED",'Core_Nativ'!S404=0),IF('Core_Nativ'!M404&gt;='Core_Nativ'!P404,'Core_Nativ'!N404,IF(AND('Input_Meci'!L39="YES",'Input_Meci'!K39&lt;&gt;"",'Input_Meci'!K39&lt;C39,'Core_Nativ'!T410="DERIVED",'Core_Nativ'!M410&gt;='Core_Nativ'!P404),MIN(1,'Core_Nativ'!M404/'Core_Nativ'!P404)*IF('Core_Nativ'!M404=0,0,'Core_Nativ'!N404)+(1-MIN(1,'Core_Nativ'!M404/'Core_Nativ'!P404))*'Core_Nativ'!N410,"")),""))</x:f>
      </x:c>
      <x:c r="AK39" s="11" t="str">
        <x:f>IF(A39="","",IF(AND('Core_Nativ'!R404="CLOSED",'Core_Nativ'!S404=0),IF('Core_Nativ'!M404&gt;='Core_Nativ'!P404,'Core_Nativ'!O404,IF(AND('Input_Meci'!L39="YES",'Input_Meci'!K39&lt;&gt;"",'Input_Meci'!K39&lt;C39,'Core_Nativ'!T410="DERIVED",'Core_Nativ'!M410&gt;='Core_Nativ'!P404),MIN(1,'Core_Nativ'!M404/'Core_Nativ'!P404)*IF('Core_Nativ'!M404=0,0,'Core_Nativ'!O404)+(1-MIN(1,'Core_Nativ'!M404/'Core_Nativ'!P404))*'Core_Nativ'!O410,"")),""))</x:f>
      </x:c>
      <x:c r="AL39" s="11" t="str">
        <x:f>IF(A39="","",IF(AND('Core_Nativ'!R405="CLOSED",'Core_Nativ'!S405=0),IF('Core_Nativ'!M405&gt;='Core_Nativ'!P405,'Core_Nativ'!N405,IF(AND('Input_Meci'!L39="YES",'Input_Meci'!K39&lt;&gt;"",'Input_Meci'!K39&lt;C39,'Core_Nativ'!T411="DERIVED",'Core_Nativ'!M411&gt;='Core_Nativ'!P405),MIN(1,'Core_Nativ'!M405/'Core_Nativ'!P405)*IF('Core_Nativ'!M405=0,0,'Core_Nativ'!N405)+(1-MIN(1,'Core_Nativ'!M405/'Core_Nativ'!P405))*'Core_Nativ'!N411,"")),""))</x:f>
      </x:c>
      <x:c r="AM39" s="11" t="str">
        <x:f>IF(A39="","",IF(AND('Core_Nativ'!R405="CLOSED",'Core_Nativ'!S405=0),IF('Core_Nativ'!M405&gt;='Core_Nativ'!P405,'Core_Nativ'!O405,IF(AND('Input_Meci'!L39="YES",'Input_Meci'!K39&lt;&gt;"",'Input_Meci'!K39&lt;C39,'Core_Nativ'!T411="DERIVED",'Core_Nativ'!M411&gt;='Core_Nativ'!P405),MIN(1,'Core_Nativ'!M405/'Core_Nativ'!P405)*IF('Core_Nativ'!M405=0,0,'Core_Nativ'!O405)+(1-MIN(1,'Core_Nativ'!M405/'Core_Nativ'!P405))*'Core_Nativ'!O411,"")),""))</x:f>
      </x:c>
      <x:c r="AN39" s="11" t="str">
        <x:f>IF(A39="","",IF(AND('Core_Nativ'!R406="CLOSED",'Core_Nativ'!S406=0),IF('Core_Nativ'!M406&gt;='Core_Nativ'!P406,'Core_Nativ'!N406,IF(AND('Input_Meci'!L39="YES",'Input_Meci'!K39&lt;&gt;"",'Input_Meci'!K39&lt;C39,'Core_Nativ'!T412="DERIVED",'Core_Nativ'!M412&gt;='Core_Nativ'!P406),MIN(1,'Core_Nativ'!M406/'Core_Nativ'!P406)*IF('Core_Nativ'!M406=0,0,'Core_Nativ'!N406)+(1-MIN(1,'Core_Nativ'!M406/'Core_Nativ'!P406))*'Core_Nativ'!N412,"")),""))</x:f>
      </x:c>
      <x:c r="AO39" s="11" t="str">
        <x:f>IF(A39="","",IF(AND('Core_Nativ'!R406="CLOSED",'Core_Nativ'!S406=0),IF('Core_Nativ'!M406&gt;='Core_Nativ'!P406,'Core_Nativ'!O406,IF(AND('Input_Meci'!L39="YES",'Input_Meci'!K39&lt;&gt;"",'Input_Meci'!K39&lt;C39,'Core_Nativ'!T412="DERIVED",'Core_Nativ'!M412&gt;='Core_Nativ'!P406),MIN(1,'Core_Nativ'!M406/'Core_Nativ'!P406)*IF('Core_Nativ'!M406=0,0,'Core_Nativ'!O406)+(1-MIN(1,'Core_Nativ'!M406/'Core_Nativ'!P406))*'Core_Nativ'!O412,"")),""))</x:f>
      </x:c>
      <x:c r="AP39" s="11" t="str">
        <x:f>IF(A39="","",IF(AND('Core_Nativ'!R407="CLOSED",'Core_Nativ'!S407=0),IF('Core_Nativ'!M407&gt;='Core_Nativ'!P407,'Core_Nativ'!N407,IF(AND('Input_Meci'!L39="YES",'Input_Meci'!K39&lt;&gt;"",'Input_Meci'!K39&lt;C39,'Core_Nativ'!T413="DERIVED",'Core_Nativ'!M413&gt;='Core_Nativ'!P407),MIN(1,'Core_Nativ'!M407/'Core_Nativ'!P407)*IF('Core_Nativ'!M407=0,0,'Core_Nativ'!N407)+(1-MIN(1,'Core_Nativ'!M407/'Core_Nativ'!P407))*'Core_Nativ'!N413,"")),""))</x:f>
      </x:c>
      <x:c r="AQ39" s="11" t="str">
        <x:f>IF(A39="","",IF(AND('Core_Nativ'!R407="CLOSED",'Core_Nativ'!S407=0),IF('Core_Nativ'!M407&gt;='Core_Nativ'!P407,'Core_Nativ'!O407,IF(AND('Input_Meci'!L39="YES",'Input_Meci'!K39&lt;&gt;"",'Input_Meci'!K39&lt;C39,'Core_Nativ'!T413="DERIVED",'Core_Nativ'!M413&gt;='Core_Nativ'!P407),MIN(1,'Core_Nativ'!M407/'Core_Nativ'!P407)*IF('Core_Nativ'!M407=0,0,'Core_Nativ'!O407)+(1-MIN(1,'Core_Nativ'!M407/'Core_Nativ'!P407))*'Core_Nativ'!O413,"")),""))</x:f>
      </x:c>
      <x:c r="AR39" s="11" t="str">
        <x:f>IF(A39="","",SUMPRODUCT(('Istoric_Nativ'!$B$6:$B$405=B39)*('Istoric_Nativ'!$C$6:$C$405=BL39)*('Istoric_Nativ'!$P$6:$P$405=1)*('Istoric_Nativ'!$D$6:$D$405&lt;INT(G39))*((('Istoric_Nativ'!$E$6:$E$405='Input_Meci'!D39)+('Istoric_Nativ'!$F$6:$F$405='Input_Meci'!D39)+('Istoric_Nativ'!$E$6:$E$405='Input_Meci'!E39)+('Istoric_Nativ'!$F$6:$F$405='Input_Meci'!E39))&gt;0)))</x:f>
      </x:c>
      <x:c r="AS39" s="11" t="str">
        <x:f>IF(AR39=0,"",SUMPRODUCT(('Istoric_Nativ'!$B$6:$B$405=B39)*('Istoric_Nativ'!$C$6:$C$405=BL39)*('Istoric_Nativ'!$P$6:$P$405=1)*('Istoric_Nativ'!$D$6:$D$405&lt;INT(G39))*((('Istoric_Nativ'!$E$6:$E$405='Input_Meci'!D39)+('Istoric_Nativ'!$F$6:$F$405='Input_Meci'!D39)+('Istoric_Nativ'!$E$6:$E$405='Input_Meci'!E39)+('Istoric_Nativ'!$F$6:$F$405='Input_Meci'!E39))&gt;0)*'Istoric_Nativ'!$Q$6:$Q$405)/AR39)</x:f>
      </x:c>
      <x:c r="AT39" s="11" t="str">
        <x:f>IF(AR39&lt;2,"",MAX(0,(SUMPRODUCT(('Istoric_Nativ'!$B$6:$B$405=B39)*('Istoric_Nativ'!$C$6:$C$405=BL39)*('Istoric_Nativ'!$P$6:$P$405=1)*('Istoric_Nativ'!$D$6:$D$405&lt;INT(G39))*((('Istoric_Nativ'!$E$6:$E$405='Input_Meci'!D39)+('Istoric_Nativ'!$F$6:$F$405='Input_Meci'!D39)+('Istoric_Nativ'!$E$6:$E$405='Input_Meci'!E39)+('Istoric_Nativ'!$F$6:$F$405='Input_Meci'!E39))&gt;0)*'Istoric_Nativ'!$R$6:$R$405)-AR39*AS39^2)/(AR39-1)))</x:f>
      </x:c>
      <x:c r="AU39" s="11" t="str">
        <x:f>IF(I39&lt;&gt;"PASS","",AT39/AS39)</x:f>
      </x:c>
      <x:c r="AV39" s="11" t="str">
        <x:f>IF(I39&lt;&gt;"PASS","",IF(AU39&lt;='Config_v6'!$B$10,"POISSON","NEGATIVE BINOMIAL"))</x:f>
      </x:c>
      <x:c r="AW39" s="11" t="str">
        <x:f>IF(I39&lt;&gt;"PASS","",IF(AV39="POISSON",9999,AS39/(AU39-1)))</x:f>
      </x:c>
      <x:c r="AX39" s="11" t="str">
        <x:f>IF(A39="","",MAX(1-'Config_v6'!$B$20,MIN(1+'Config_v6'!$B$20,1+0.02*(IF(AND(ISNUMBER('Input_Meci'!N39),'Input_Meci'!N39&gt;=0,'Input_Meci'!N39&lt;=200),'Input_Meci'!N39,12)/12-1)+0.02*(IF(AND(ISNUMBER('Input_Meci'!P39),'Input_Meci'!P39&gt;=0,'Input_Meci'!P39&lt;=200),'Input_Meci'!P39,3.5)/3.5-1)+0.02*(IF(AND(ISNUMBER('Input_Meci'!R39),'Input_Meci'!R39&gt;=0,'Input_Meci'!R39&lt;=200),'Input_Meci'!R39,18)/18-1)+0.02*((IF(AND(ISNUMBER('Input_Meci'!V39),'Input_Meci'!V39&gt;=0,'Input_Meci'!V39&lt;=10),'Input_Meci'!V39,5)-5)/5))))</x:f>
      </x:c>
      <x:c r="AY39" s="11" t="str">
        <x:f>IF(A39="","",MAX(1-'Config_v6'!$B$20,MIN(1+'Config_v6'!$B$20,1+0.02*(IF(AND(ISNUMBER('Input_Meci'!O39),'Input_Meci'!O39&gt;=0,'Input_Meci'!O39&lt;=200),'Input_Meci'!O39,12)/12-1)+0.02*(IF(AND(ISNUMBER('Input_Meci'!Q39),'Input_Meci'!Q39&gt;=0,'Input_Meci'!Q39&lt;=200),'Input_Meci'!Q39,3.5)/3.5-1)+0.02*(IF(AND(ISNUMBER('Input_Meci'!S39),'Input_Meci'!S39&gt;=0,'Input_Meci'!S39&lt;=200),'Input_Meci'!S39,18)/18-1)+0.02*((IF(AND(ISNUMBER('Input_Meci'!W39),'Input_Meci'!W39&gt;=0,'Input_Meci'!W39&lt;=10),'Input_Meci'!W39,5)-5)/5))))</x:f>
      </x:c>
      <x:c r="AZ39" s="11" t="str">
        <x:f>IF(A39="","",MAX(1-'Config_v6'!$B$21,MIN(1+'Config_v6'!$B$21,1+0.012*(IF('Input_Meci'!X39="",5,IF(ISNUMBER('Input_Meci'!X39),'Input_Meci'!X39,5))-5)+0.018*(IF('Input_Meci'!Z39="",5,IF(ISNUMBER('Input_Meci'!Z39),'Input_Meci'!Z39,5))-5)+0.012*(IF('Input_Meci'!AB39="",5,IF(ISNUMBER('Input_Meci'!AB39),'Input_Meci'!AB39,5))-5)+0.015*IF('Input_Meci'!AD39="",0,IF(ISNUMBER('Input_Meci'!AD39),'Input_Meci'!AD39,0))+0.02*IF('Input_Meci'!AF39="",0,IF(ISNUMBER('Input_Meci'!AF39),'Input_Meci'!AF39,0)))))</x:f>
      </x:c>
      <x:c r="BA39" s="11" t="str">
        <x:f>IF(A39="","",MAX(1-'Config_v6'!$B$21,MIN(1+'Config_v6'!$B$21,1+0.012*(IF('Input_Meci'!Y39="",5,IF(ISNUMBER('Input_Meci'!Y39),'Input_Meci'!Y39,5))-5)+0.018*(IF('Input_Meci'!AA39="",5,IF(ISNUMBER('Input_Meci'!AA39),'Input_Meci'!AA39,5))-5)+0.012*(IF('Input_Meci'!AC39="",5,IF(ISNUMBER('Input_Meci'!AC39),'Input_Meci'!AC39,5))-5)+0.015*IF('Input_Meci'!AE39="",0,IF(ISNUMBER('Input_Meci'!AE39),'Input_Meci'!AE39,0))+0.02*IF('Input_Meci'!AG39="",0,IF(ISNUMBER('Input_Meci'!AG39),'Input_Meci'!AG39,0)))))</x:f>
      </x:c>
      <x:c r="BB39" s="11" t="str">
        <x:f>IF(I39&lt;&gt;"PASS","",(AVERAGE(AF39,AM39)*'Config_v6'!$B$4+AVERAGE(AH39,AO39)*'Config_v6'!$B$5+AVERAGE(AJ39,AQ39)*'Config_v6'!$B$6)*AX39*AZ39)</x:f>
      </x:c>
      <x:c r="BC39" s="11" t="str">
        <x:f>IF(I39&lt;&gt;"PASS","",(AVERAGE(AL39,AG39)*'Config_v6'!$B$4+AVERAGE(AN39,AI39)*'Config_v6'!$B$5+AVERAGE(AP39,AK39)*'Config_v6'!$B$6)*AY39*BA39)</x:f>
      </x:c>
      <x:c r="BD39" s="11" t="str">
        <x:f>IF(I39&lt;&gt;"PASS","",BB39+BC39)</x:f>
      </x:c>
      <x:c r="BE39" s="11" t="str">
        <x:f>IF(A39="","",10-SUM(IF(AND(ISNUMBER('Input_Meci'!N39),'Input_Meci'!N39&gt;=0,'Input_Meci'!N39&lt;=200),1,0),IF(AND(ISNUMBER('Input_Meci'!O39),'Input_Meci'!O39&gt;=0,'Input_Meci'!O39&lt;=200),1,0),IF(AND(ISNUMBER('Input_Meci'!P39),'Input_Meci'!P39&gt;=0,'Input_Meci'!P39&lt;=200),1,0),IF(AND(ISNUMBER('Input_Meci'!Q39),'Input_Meci'!Q39&gt;=0,'Input_Meci'!Q39&lt;=200),1,0),IF(AND(ISNUMBER('Input_Meci'!R39),'Input_Meci'!R39&gt;=0,'Input_Meci'!R39&lt;=200),1,0),IF(AND(ISNUMBER('Input_Meci'!S39),'Input_Meci'!S39&gt;=0,'Input_Meci'!S39&lt;=200),1,0),IF(AND(ISNUMBER('Input_Meci'!T39),'Input_Meci'!T39&gt;=0,'Input_Meci'!T39&lt;=100),1,0),IF(AND(ISNUMBER('Input_Meci'!U39),'Input_Meci'!U39&gt;=0,'Input_Meci'!U39&lt;=100),1,0),IF(AND(ISNUMBER('Input_Meci'!V39),'Input_Meci'!V39&gt;=0,'Input_Meci'!V39&lt;=10),1,0),IF(AND(ISNUMBER('Input_Meci'!W39),'Input_Meci'!W39&gt;=0,'Input_Meci'!W39&lt;=10),1,0)))</x:f>
      </x:c>
      <x:c r="BF39" s="11" t="str">
        <x:f>IF(I39&lt;&gt;"PASS","",MAX(0,MIN(IF(OR(M39="YES",BL39&lt;&gt;C39),'Config_v6'!$B$34,100),ROUND(40+25*MIN(1,MIN(N39,Q39)/'Config_v6'!$B$7)*MIN(1,MIN(O39,R39)/'Config_v6'!$B$8)*MIN(1,MIN(P39,S39)/'Config_v6'!$B$9)+MAX(0,15-2*ABS(AF39-AJ39)-2*ABS(AL39-AP39))+IF(AU39&lt;='Config_v6'!$B$10,15,IF(AU39&lt;='Config_v6'!$B$11,13,IF(AU39&lt;='Config_v6'!$B$12,10,IF(AU39&lt;='Config_v6'!$B$13,6,0))))+5-BE39/10*'Config_v6'!$B$38,0))))</x:f>
      </x:c>
      <x:c r="BG39" s="11" t="str">
        <x:f>IF(I39&lt;&gt;"PASS","",MIN(1,'Config_v6'!$B$14*(0.7+0.3*MIN(1,AR39/'Config_v6'!$B$15))*IF(AU39&lt;='Config_v6'!$B$10,1,IF(AU39&lt;='Config_v6'!$B$11,0.95,IF(AU39&lt;='Config_v6'!$B$12,0.88,0.78)))*(0.75+0.25*BF39/100)))</x:f>
      </x:c>
      <x:c r="BH39" s="11" t="str">
        <x:f>IF(I39&lt;&gt;"PASS","",MIN(1,(ABS(AZ39-1)+ABS(BA39-1))*3))</x:f>
      </x:c>
      <x:c r="BI39" s="2" t="str">
        <x:f>IF(A39="","",IF(AND(OR('Input_Meci'!X39="",AND(ISNUMBER('Input_Meci'!X39),'Input_Meci'!X39&gt;=0,'Input_Meci'!X39&lt;=10)),OR('Input_Meci'!Y39="",AND(ISNUMBER('Input_Meci'!Y39),'Input_Meci'!Y39&gt;=0,'Input_Meci'!Y39&lt;=10)),OR('Input_Meci'!Z39="",AND(ISNUMBER('Input_Meci'!Z39),'Input_Meci'!Z39&gt;=0,'Input_Meci'!Z39&lt;=10)),OR('Input_Meci'!AA39="",AND(ISNUMBER('Input_Meci'!AA39),'Input_Meci'!AA39&gt;=0,'Input_Meci'!AA39&lt;=10)),OR('Input_Meci'!AB39="",AND(ISNUMBER('Input_Meci'!AB39),'Input_Meci'!AB39&gt;=0,'Input_Meci'!AB39&lt;=10)),OR('Input_Meci'!AC39="",AND(ISNUMBER('Input_Meci'!AC39),'Input_Meci'!AC39&gt;=0,'Input_Meci'!AC39&lt;=10)),OR('Input_Meci'!AD39="",AND(ISNUMBER('Input_Meci'!AD39),'Input_Meci'!AD39&gt;=-2,'Input_Meci'!AD39&lt;=2)),OR('Input_Meci'!AE39="",AND(ISNUMBER('Input_Meci'!AE39),'Input_Meci'!AE39&gt;=-2,'Input_Meci'!AE39&lt;=2)),OR('Input_Meci'!AF39="",AND(ISNUMBER('Input_Meci'!AF39),'Input_Meci'!AF39&gt;=-2,'Input_Meci'!AF39&lt;=2)),OR('Input_Meci'!AG39="",AND(ISNUMBER('Input_Meci'!AG39),'Input_Meci'!AG39&gt;=-2,'Input_Meci'!AG39&lt;=2))),"VALID","INVALID"))</x:f>
      </x:c>
      <x:c r="BJ39" s="2" t="n">
        <x:f>IF(A39="",0,SUM('Core_Nativ'!S402:S407))</x:f>
        <x:v>0</x:v>
      </x:c>
      <x:c r="BK39" s="2" t="str">
        <x:f>'Config_v6'!$B$40</x:f>
        <x:v>VALID</x:v>
      </x:c>
      <x:c r="BL39" s="2" t="str">
        <x:f>IF(A39="","",IF(SUMPRODUCT(('Istoric_Nativ'!$B$6:$B$405=B39)*('Istoric_Nativ'!$C$6:$C$405=C39)*('Istoric_Nativ'!$P$6:$P$405=1)*('Istoric_Nativ'!$D$6:$D$405&lt;INT(G39))*((('Istoric_Nativ'!$E$6:$E$405='Input_Meci'!D39)+('Istoric_Nativ'!$F$6:$F$405='Input_Meci'!D39)+('Istoric_Nativ'!$E$6:$E$405='Input_Meci'!E39)+('Istoric_Nativ'!$F$6:$F$405='Input_Meci'!E39))&gt;0))&gt;='Config_v6'!$B$41,C39,IF(AND('Input_Meci'!L39="YES",'Input_Meci'!K39&lt;&gt;"",'Input_Meci'!K39&lt;C39,COUNTIF('Core_Nativ'!R408:R413,"CLOSED")=6,SUM('Core_Nativ'!S408:S413)=0),'Input_Meci'!K39,C39)))</x:f>
      </x:c>
      <x:c r="BM39" s="9" t="n">
        <x:f>IF(OR(A39="",N39=0),0,LARGE(_xlfn._xlws.FILTER('Istoric_Nativ'!$D$6:$D$405,('Istoric_Nativ'!$B$6:$B$405=B39)*('Istoric_Nativ'!$C$6:$C$405=C39)*('Istoric_Nativ'!$P$6:$P$405=1)*('Istoric_Nativ'!$D$6:$D$405&lt;INT(G39))*((('Istoric_Nativ'!$E$6:$E$405='Input_Meci'!D39)+('Istoric_Nativ'!$F$6:$F$405='Input_Meci'!D39))&gt;0)),MIN(10,N39)))</x:f>
        <x:v>0</x:v>
      </x:c>
      <x:c r="BN39" s="9" t="n">
        <x:f>IF(OR(A39="",Q39=0),0,LARGE(_xlfn._xlws.FILTER('Istoric_Nativ'!$D$6:$D$405,('Istoric_Nativ'!$B$6:$B$405=B39)*('Istoric_Nativ'!$C$6:$C$405=C39)*('Istoric_Nativ'!$P$6:$P$405=1)*('Istoric_Nativ'!$D$6:$D$405&lt;INT(G39))*((('Istoric_Nativ'!$E$6:$E$405='Input_Meci'!E39)+('Istoric_Nativ'!$F$6:$F$405='Input_Meci'!E39))&gt;0)),MIN(10,Q39)))</x:f>
        <x:v>0</x:v>
      </x:c>
      <x:c r="BO39" s="9" t="n">
        <x:f>IF(OR(A39="",N39=0),0,LARGE(_xlfn._xlws.FILTER('Istoric_Nativ'!$D$6:$D$405,('Istoric_Nativ'!$B$6:$B$405=B39)*('Istoric_Nativ'!$C$6:$C$405=C39)*('Istoric_Nativ'!$P$6:$P$405=1)*('Istoric_Nativ'!$D$6:$D$405&lt;INT(G39))*((('Istoric_Nativ'!$E$6:$E$405='Input_Meci'!D39)+('Istoric_Nativ'!$F$6:$F$405='Input_Meci'!D39))&gt;0)),MIN(20,N39)))</x:f>
        <x:v>0</x:v>
      </x:c>
      <x:c r="BP39" s="9" t="n">
        <x:f>IF(OR(A39="",Q39=0),0,LARGE(_xlfn._xlws.FILTER('Istoric_Nativ'!$D$6:$D$405,('Istoric_Nativ'!$B$6:$B$405=B39)*('Istoric_Nativ'!$C$6:$C$405=C39)*('Istoric_Nativ'!$P$6:$P$405=1)*('Istoric_Nativ'!$D$6:$D$405&lt;INT(G39))*((('Istoric_Nativ'!$E$6:$E$405='Input_Meci'!E39)+('Istoric_Nativ'!$F$6:$F$405='Input_Meci'!E39))&gt;0)),MIN(20,Q39)))</x:f>
        <x:v>0</x:v>
      </x:c>
      <x:c r="BQ39" s="2" t="str">
        <x:f>IF(A39="","",IF(AND(COUNTIF(MatchesTable[Match_ID],A39)=1,COUNTIFS(MatchesTable[League],B39,MatchesTable[Season],C39,MatchesTable[Home],'Input_Meci'!D39,MatchesTable[Away],'Input_Meci'!E39,MatchesTable[Kickoff_UTC],F39)=1,B39&lt;&gt;"",C39&lt;&gt;"",'Input_Meci'!D39&lt;&gt;"",'Input_Meci'!E39&lt;&gt;"",'Input_Meci'!D39&lt;&gt;'Input_Meci'!E39,ISNUMBER(F39),ISNUMBER(G39),G39&lt;F39,OR(E39="LIVE",E39="REPLAY"),OR('Input_Meci'!L39="YES",'Input_Meci'!L39="NO",'Input_Meci'!L39="")),"VALID","INVALID"))</x:f>
      </x:c>
      <x:c r="BR39" s="2" t="n">
        <x:f>IF(I39&lt;&gt;"PASS",0,SUMPRODUCT(('Istoric_Nativ'!$B$6:$B$405='Input_Meci'!B39)*('Istoric_Nativ'!$C$6:$C$405='Input_Meci'!C39)*('Istoric_Nativ'!$P$6:$P$405=1)*('Istoric_Nativ'!$D$6:$D$405&lt;INT('Input_Meci'!G39))*((('Istoric_Nativ'!$E$6:$E$405='Input_Meci'!D39)+('Istoric_Nativ'!$F$6:$F$405='Input_Meci'!E39))&gt;0)))</x:f>
        <x:v>0</x:v>
      </x:c>
      <x:c r="BS39" s="2" t="n">
        <x:f>IF(I39&lt;&gt;"PASS",0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BM39)+((('Istoric_Nativ'!$E$6:$E$405='Input_Meci'!E39)+('Istoric_Nativ'!$F$6:$F$405='Input_Meci'!E39))&gt;0)*('Istoric_Nativ'!$D$6:$D$405&gt;=BN39))&gt;0)))</x:f>
        <x:v>0</x:v>
      </x:c>
      <x:c r="BT39" s="2" t="n">
        <x:f>IF(I39&lt;&gt;"PASS",0,SUMPRODUCT(('Istoric_Nativ'!$B$6:$B$405='Input_Meci'!B39)*('Istoric_Nativ'!$C$6:$C$405='Input_Meci'!C39)*('Istoric_Nativ'!$P$6:$P$405=1)*('Istoric_Nativ'!$D$6:$D$405&lt;INT('Input_Meci'!G39))*((((('Istoric_Nativ'!$E$6:$E$405='Input_Meci'!D39)+('Istoric_Nativ'!$F$6:$F$405='Input_Meci'!D39))&gt;0)*('Istoric_Nativ'!$D$6:$D$405&gt;=BO39)+((('Istoric_Nativ'!$E$6:$E$405='Input_Meci'!E39)+('Istoric_Nativ'!$F$6:$F$405='Input_Meci'!E39))&gt;0)*('Istoric_Nativ'!$D$6:$D$405&gt;=BP39))&gt;0)))</x:f>
        <x:v>0</x:v>
      </x:c>
    </x:row>
    <x:row r="40" ht="21" customHeight="1">
      <x:c r="A40" s="2" t="str">
        <x:f>IF('Input_Meci'!A40="","",'Input_Meci'!A40)</x:f>
      </x:c>
      <x:c r="B40" s="2" t="str">
        <x:f>IF(A40="","",'Input_Meci'!B40)</x:f>
      </x:c>
      <x:c r="C40" s="2" t="str">
        <x:f>IF(A40="","",'Input_Meci'!C40)</x:f>
      </x:c>
      <x:c r="D40" s="2" t="str">
        <x:f>IF(A40="","",'Input_Meci'!D40&amp;" – "&amp;'Input_Meci'!E40)</x:f>
      </x:c>
      <x:c r="E40" s="2" t="str">
        <x:f>IF(A40="","",'Input_Meci'!H40)</x:f>
      </x:c>
      <x:c r="F40" s="9" t="str">
        <x:f>IF(A40="","",'Input_Meci'!F40)</x:f>
      </x:c>
      <x:c r="G40" s="9" t="str">
        <x:f>IF(A40="","",'Input_Meci'!G40)</x:f>
      </x:c>
      <x:c r="H40" s="2" t="str">
        <x:f>IF(A40="","",IF(BQ40&lt;&gt;"VALID","NOT RELEASED",IF(AND(OR('Input_Meci'!I40="NOT AVAILABLE",'Input_Meci'!I40="SOURCE CONFLICT"),'Input_Meci'!J40&lt;&gt;""),"READY",IF(OR(NOT(OR('Input_Meci'!I40="AUTO",'Input_Meci'!I40="")),COUNTIF('Core_Nativ'!R414:R419,"CLOSED")&lt;&gt;6,BJ40&gt;0),"NOT RELEASED","READY"))))</x:f>
      </x:c>
      <x:c r="I40" s="2" t="str">
        <x:f>IF(A40="","",IF(H40&lt;&gt;"READY","NOT RELEASED",IF(AND(NOT(OR('Input_Meci'!I40="NOT AVAILABLE",'Input_Meci'!I40="SOURCE CONFLICT")),L40=12,AR40&gt;=2,AS40&gt;0,ISNUMBER(AT40),BI40="VALID",BK40="VALID"),"PASS","FAIL")))</x:f>
      </x:c>
      <x:c r="J40" s="2" t="str">
        <x:f>IF(A40="","",IF(BQ40&lt;&gt;"VALID","Verifica ID, echipe, mod si cutoff &lt; kickoff",IF(H40&lt;&gt;"READY",IF('Input_Meci'!I40="ACCESS BLOCKED","Acces blocat: reia sursele",IF(BJ40&gt;0,"Istoric invalid sau conflict: verifica randurile native","Surse neinchise / post-cutoff / dovezi incomplete")),IF(OR('Input_Meci'!I40="NOT AVAILABLE",'Input_Meci'!I40="SOURCE CONFLICT"),'Input_Meci'!I40,IF(BK40&lt;&gt;"VALID","Parametri invalizi",IF(L40&lt;&gt;12,"Core / sample / prior insuficient",IF(AR40&lt;2,"N insuficient pentru dispersie",IF(AS40&lt;=0,"Media istorica trebuie sa fie pozitiva",IF(BI40&lt;&gt;"VALID","Context invalid","READY")))))))))</x:f>
      </x:c>
      <x:c r="K40" s="2" t="str">
        <x:f>IF(A40="","",COUNT(T40:AE40))</x:f>
      </x:c>
      <x:c r="L40" s="2" t="str">
        <x:f>IF(A40="","",COUNT(AF40:AQ40))</x:f>
      </x:c>
      <x:c r="M40" s="2" t="str">
        <x:f>IF(A40="","",IF(OR('Core_Nativ'!M414&lt;'Core_Nativ'!P414,'Core_Nativ'!M415&lt;'Core_Nativ'!P415,'Core_Nativ'!M416&lt;'Core_Nativ'!P416,'Core_Nativ'!M417&lt;'Core_Nativ'!P417,'Core_Nativ'!M418&lt;'Core_Nativ'!P418,'Core_Nativ'!M419&lt;'Core_Nativ'!P419),"YES","NO"))</x:f>
      </x:c>
      <x:c r="N40" s="2" t="str">
        <x:f>IF(A40="","",'Core_Nativ'!M414)</x:f>
      </x:c>
      <x:c r="O40" s="2" t="str">
        <x:f>IF(A40="","",'Core_Nativ'!M415)</x:f>
      </x:c>
      <x:c r="P40" s="2" t="str">
        <x:f>IF(A40="","",'Core_Nativ'!M416)</x:f>
      </x:c>
      <x:c r="Q40" s="2" t="str">
        <x:f>IF(A40="","",'Core_Nativ'!M417)</x:f>
      </x:c>
      <x:c r="R40" s="2" t="str">
        <x:f>IF(A40="","",'Core_Nativ'!M418)</x:f>
      </x:c>
      <x:c r="S40" s="2" t="str">
        <x:f>IF(A40="","",'Core_Nativ'!M419)</x:f>
      </x:c>
      <x:c r="T40" s="11" t="str">
        <x:f>IF(OR(A40="",'Core_Nativ'!M414=0),"",'Core_Nativ'!N414)</x:f>
      </x:c>
      <x:c r="U40" s="11" t="str">
        <x:f>IF(OR(A40="",'Core_Nativ'!M414=0),"",'Core_Nativ'!O414)</x:f>
      </x:c>
      <x:c r="V40" s="11" t="str">
        <x:f>IF(OR(A40="",'Core_Nativ'!M415=0),"",'Core_Nativ'!N415)</x:f>
      </x:c>
      <x:c r="W40" s="11" t="str">
        <x:f>IF(OR(A40="",'Core_Nativ'!M415=0),"",'Core_Nativ'!O415)</x:f>
      </x:c>
      <x:c r="X40" s="11" t="str">
        <x:f>IF(OR(A40="",'Core_Nativ'!M416=0),"",'Core_Nativ'!N416)</x:f>
      </x:c>
      <x:c r="Y40" s="11" t="str">
        <x:f>IF(OR(A40="",'Core_Nativ'!M416=0),"",'Core_Nativ'!O416)</x:f>
      </x:c>
      <x:c r="Z40" s="11" t="str">
        <x:f>IF(OR(A40="",'Core_Nativ'!M417=0),"",'Core_Nativ'!N417)</x:f>
      </x:c>
      <x:c r="AA40" s="11" t="str">
        <x:f>IF(OR(A40="",'Core_Nativ'!M417=0),"",'Core_Nativ'!O417)</x:f>
      </x:c>
      <x:c r="AB40" s="11" t="str">
        <x:f>IF(OR(A40="",'Core_Nativ'!M418=0),"",'Core_Nativ'!N418)</x:f>
      </x:c>
      <x:c r="AC40" s="11" t="str">
        <x:f>IF(OR(A40="",'Core_Nativ'!M418=0),"",'Core_Nativ'!O418)</x:f>
      </x:c>
      <x:c r="AD40" s="11" t="str">
        <x:f>IF(OR(A40="",'Core_Nativ'!M419=0),"",'Core_Nativ'!N419)</x:f>
      </x:c>
      <x:c r="AE40" s="11" t="str">
        <x:f>IF(OR(A40="",'Core_Nativ'!M419=0),"",'Core_Nativ'!O419)</x:f>
      </x:c>
      <x:c r="AF40" s="11" t="str">
        <x:f>IF(A40="","",IF(AND('Core_Nativ'!R414="CLOSED",'Core_Nativ'!S414=0),IF('Core_Nativ'!M414&gt;='Core_Nativ'!P414,'Core_Nativ'!N414,IF(AND('Input_Meci'!L40="YES",'Input_Meci'!K40&lt;&gt;"",'Input_Meci'!K40&lt;C40,'Core_Nativ'!T420="DERIVED",'Core_Nativ'!M420&gt;='Core_Nativ'!P414),MIN(1,'Core_Nativ'!M414/'Core_Nativ'!P414)*IF('Core_Nativ'!M414=0,0,'Core_Nativ'!N414)+(1-MIN(1,'Core_Nativ'!M414/'Core_Nativ'!P414))*'Core_Nativ'!N420,"")),""))</x:f>
      </x:c>
      <x:c r="AG40" s="11" t="str">
        <x:f>IF(A40="","",IF(AND('Core_Nativ'!R414="CLOSED",'Core_Nativ'!S414=0),IF('Core_Nativ'!M414&gt;='Core_Nativ'!P414,'Core_Nativ'!O414,IF(AND('Input_Meci'!L40="YES",'Input_Meci'!K40&lt;&gt;"",'Input_Meci'!K40&lt;C40,'Core_Nativ'!T420="DERIVED",'Core_Nativ'!M420&gt;='Core_Nativ'!P414),MIN(1,'Core_Nativ'!M414/'Core_Nativ'!P414)*IF('Core_Nativ'!M414=0,0,'Core_Nativ'!O414)+(1-MIN(1,'Core_Nativ'!M414/'Core_Nativ'!P414))*'Core_Nativ'!O420,"")),""))</x:f>
      </x:c>
      <x:c r="AH40" s="11" t="str">
        <x:f>IF(A40="","",IF(AND('Core_Nativ'!R415="CLOSED",'Core_Nativ'!S415=0),IF('Core_Nativ'!M415&gt;='Core_Nativ'!P415,'Core_Nativ'!N415,IF(AND('Input_Meci'!L40="YES",'Input_Meci'!K40&lt;&gt;"",'Input_Meci'!K40&lt;C40,'Core_Nativ'!T421="DERIVED",'Core_Nativ'!M421&gt;='Core_Nativ'!P415),MIN(1,'Core_Nativ'!M415/'Core_Nativ'!P415)*IF('Core_Nativ'!M415=0,0,'Core_Nativ'!N415)+(1-MIN(1,'Core_Nativ'!M415/'Core_Nativ'!P415))*'Core_Nativ'!N421,"")),""))</x:f>
      </x:c>
      <x:c r="AI40" s="11" t="str">
        <x:f>IF(A40="","",IF(AND('Core_Nativ'!R415="CLOSED",'Core_Nativ'!S415=0),IF('Core_Nativ'!M415&gt;='Core_Nativ'!P415,'Core_Nativ'!O415,IF(AND('Input_Meci'!L40="YES",'Input_Meci'!K40&lt;&gt;"",'Input_Meci'!K40&lt;C40,'Core_Nativ'!T421="DERIVED",'Core_Nativ'!M421&gt;='Core_Nativ'!P415),MIN(1,'Core_Nativ'!M415/'Core_Nativ'!P415)*IF('Core_Nativ'!M415=0,0,'Core_Nativ'!O415)+(1-MIN(1,'Core_Nativ'!M415/'Core_Nativ'!P415))*'Core_Nativ'!O421,"")),""))</x:f>
      </x:c>
      <x:c r="AJ40" s="11" t="str">
        <x:f>IF(A40="","",IF(AND('Core_Nativ'!R416="CLOSED",'Core_Nativ'!S416=0),IF('Core_Nativ'!M416&gt;='Core_Nativ'!P416,'Core_Nativ'!N416,IF(AND('Input_Meci'!L40="YES",'Input_Meci'!K40&lt;&gt;"",'Input_Meci'!K40&lt;C40,'Core_Nativ'!T422="DERIVED",'Core_Nativ'!M422&gt;='Core_Nativ'!P416),MIN(1,'Core_Nativ'!M416/'Core_Nativ'!P416)*IF('Core_Nativ'!M416=0,0,'Core_Nativ'!N416)+(1-MIN(1,'Core_Nativ'!M416/'Core_Nativ'!P416))*'Core_Nativ'!N422,"")),""))</x:f>
      </x:c>
      <x:c r="AK40" s="11" t="str">
        <x:f>IF(A40="","",IF(AND('Core_Nativ'!R416="CLOSED",'Core_Nativ'!S416=0),IF('Core_Nativ'!M416&gt;='Core_Nativ'!P416,'Core_Nativ'!O416,IF(AND('Input_Meci'!L40="YES",'Input_Meci'!K40&lt;&gt;"",'Input_Meci'!K40&lt;C40,'Core_Nativ'!T422="DERIVED",'Core_Nativ'!M422&gt;='Core_Nativ'!P416),MIN(1,'Core_Nativ'!M416/'Core_Nativ'!P416)*IF('Core_Nativ'!M416=0,0,'Core_Nativ'!O416)+(1-MIN(1,'Core_Nativ'!M416/'Core_Nativ'!P416))*'Core_Nativ'!O422,"")),""))</x:f>
      </x:c>
      <x:c r="AL40" s="11" t="str">
        <x:f>IF(A40="","",IF(AND('Core_Nativ'!R417="CLOSED",'Core_Nativ'!S417=0),IF('Core_Nativ'!M417&gt;='Core_Nativ'!P417,'Core_Nativ'!N417,IF(AND('Input_Meci'!L40="YES",'Input_Meci'!K40&lt;&gt;"",'Input_Meci'!K40&lt;C40,'Core_Nativ'!T423="DERIVED",'Core_Nativ'!M423&gt;='Core_Nativ'!P417),MIN(1,'Core_Nativ'!M417/'Core_Nativ'!P417)*IF('Core_Nativ'!M417=0,0,'Core_Nativ'!N417)+(1-MIN(1,'Core_Nativ'!M417/'Core_Nativ'!P417))*'Core_Nativ'!N423,"")),""))</x:f>
      </x:c>
      <x:c r="AM40" s="11" t="str">
        <x:f>IF(A40="","",IF(AND('Core_Nativ'!R417="CLOSED",'Core_Nativ'!S417=0),IF('Core_Nativ'!M417&gt;='Core_Nativ'!P417,'Core_Nativ'!O417,IF(AND('Input_Meci'!L40="YES",'Input_Meci'!K40&lt;&gt;"",'Input_Meci'!K40&lt;C40,'Core_Nativ'!T423="DERIVED",'Core_Nativ'!M423&gt;='Core_Nativ'!P417),MIN(1,'Core_Nativ'!M417/'Core_Nativ'!P417)*IF('Core_Nativ'!M417=0,0,'Core_Nativ'!O417)+(1-MIN(1,'Core_Nativ'!M417/'Core_Nativ'!P417))*'Core_Nativ'!O423,"")),""))</x:f>
      </x:c>
      <x:c r="AN40" s="11" t="str">
        <x:f>IF(A40="","",IF(AND('Core_Nativ'!R418="CLOSED",'Core_Nativ'!S418=0),IF('Core_Nativ'!M418&gt;='Core_Nativ'!P418,'Core_Nativ'!N418,IF(AND('Input_Meci'!L40="YES",'Input_Meci'!K40&lt;&gt;"",'Input_Meci'!K40&lt;C40,'Core_Nativ'!T424="DERIVED",'Core_Nativ'!M424&gt;='Core_Nativ'!P418),MIN(1,'Core_Nativ'!M418/'Core_Nativ'!P418)*IF('Core_Nativ'!M418=0,0,'Core_Nativ'!N418)+(1-MIN(1,'Core_Nativ'!M418/'Core_Nativ'!P418))*'Core_Nativ'!N424,"")),""))</x:f>
      </x:c>
      <x:c r="AO40" s="11" t="str">
        <x:f>IF(A40="","",IF(AND('Core_Nativ'!R418="CLOSED",'Core_Nativ'!S418=0),IF('Core_Nativ'!M418&gt;='Core_Nativ'!P418,'Core_Nativ'!O418,IF(AND('Input_Meci'!L40="YES",'Input_Meci'!K40&lt;&gt;"",'Input_Meci'!K40&lt;C40,'Core_Nativ'!T424="DERIVED",'Core_Nativ'!M424&gt;='Core_Nativ'!P418),MIN(1,'Core_Nativ'!M418/'Core_Nativ'!P418)*IF('Core_Nativ'!M418=0,0,'Core_Nativ'!O418)+(1-MIN(1,'Core_Nativ'!M418/'Core_Nativ'!P418))*'Core_Nativ'!O424,"")),""))</x:f>
      </x:c>
      <x:c r="AP40" s="11" t="str">
        <x:f>IF(A40="","",IF(AND('Core_Nativ'!R419="CLOSED",'Core_Nativ'!S419=0),IF('Core_Nativ'!M419&gt;='Core_Nativ'!P419,'Core_Nativ'!N419,IF(AND('Input_Meci'!L40="YES",'Input_Meci'!K40&lt;&gt;"",'Input_Meci'!K40&lt;C40,'Core_Nativ'!T425="DERIVED",'Core_Nativ'!M425&gt;='Core_Nativ'!P419),MIN(1,'Core_Nativ'!M419/'Core_Nativ'!P419)*IF('Core_Nativ'!M419=0,0,'Core_Nativ'!N419)+(1-MIN(1,'Core_Nativ'!M419/'Core_Nativ'!P419))*'Core_Nativ'!N425,"")),""))</x:f>
      </x:c>
      <x:c r="AQ40" s="11" t="str">
        <x:f>IF(A40="","",IF(AND('Core_Nativ'!R419="CLOSED",'Core_Nativ'!S419=0),IF('Core_Nativ'!M419&gt;='Core_Nativ'!P419,'Core_Nativ'!O419,IF(AND('Input_Meci'!L40="YES",'Input_Meci'!K40&lt;&gt;"",'Input_Meci'!K40&lt;C40,'Core_Nativ'!T425="DERIVED",'Core_Nativ'!M425&gt;='Core_Nativ'!P419),MIN(1,'Core_Nativ'!M419/'Core_Nativ'!P419)*IF('Core_Nativ'!M419=0,0,'Core_Nativ'!O419)+(1-MIN(1,'Core_Nativ'!M419/'Core_Nativ'!P419))*'Core_Nativ'!O425,"")),""))</x:f>
      </x:c>
      <x:c r="AR40" s="11" t="str">
        <x:f>IF(A40="","",SUMPRODUCT(('Istoric_Nativ'!$B$6:$B$405=B40)*('Istoric_Nativ'!$C$6:$C$405=BL40)*('Istoric_Nativ'!$P$6:$P$405=1)*('Istoric_Nativ'!$D$6:$D$405&lt;INT(G40))*((('Istoric_Nativ'!$E$6:$E$405='Input_Meci'!D40)+('Istoric_Nativ'!$F$6:$F$405='Input_Meci'!D40)+('Istoric_Nativ'!$E$6:$E$405='Input_Meci'!E40)+('Istoric_Nativ'!$F$6:$F$405='Input_Meci'!E40))&gt;0)))</x:f>
      </x:c>
      <x:c r="AS40" s="11" t="str">
        <x:f>IF(AR40=0,"",SUMPRODUCT(('Istoric_Nativ'!$B$6:$B$405=B40)*('Istoric_Nativ'!$C$6:$C$405=BL40)*('Istoric_Nativ'!$P$6:$P$405=1)*('Istoric_Nativ'!$D$6:$D$405&lt;INT(G40))*((('Istoric_Nativ'!$E$6:$E$405='Input_Meci'!D40)+('Istoric_Nativ'!$F$6:$F$405='Input_Meci'!D40)+('Istoric_Nativ'!$E$6:$E$405='Input_Meci'!E40)+('Istoric_Nativ'!$F$6:$F$405='Input_Meci'!E40))&gt;0)*'Istoric_Nativ'!$Q$6:$Q$405)/AR40)</x:f>
      </x:c>
      <x:c r="AT40" s="11" t="str">
        <x:f>IF(AR40&lt;2,"",MAX(0,(SUMPRODUCT(('Istoric_Nativ'!$B$6:$B$405=B40)*('Istoric_Nativ'!$C$6:$C$405=BL40)*('Istoric_Nativ'!$P$6:$P$405=1)*('Istoric_Nativ'!$D$6:$D$405&lt;INT(G40))*((('Istoric_Nativ'!$E$6:$E$405='Input_Meci'!D40)+('Istoric_Nativ'!$F$6:$F$405='Input_Meci'!D40)+('Istoric_Nativ'!$E$6:$E$405='Input_Meci'!E40)+('Istoric_Nativ'!$F$6:$F$405='Input_Meci'!E40))&gt;0)*'Istoric_Nativ'!$R$6:$R$405)-AR40*AS40^2)/(AR40-1)))</x:f>
      </x:c>
      <x:c r="AU40" s="11" t="str">
        <x:f>IF(I40&lt;&gt;"PASS","",AT40/AS40)</x:f>
      </x:c>
      <x:c r="AV40" s="11" t="str">
        <x:f>IF(I40&lt;&gt;"PASS","",IF(AU40&lt;='Config_v6'!$B$10,"POISSON","NEGATIVE BINOMIAL"))</x:f>
      </x:c>
      <x:c r="AW40" s="11" t="str">
        <x:f>IF(I40&lt;&gt;"PASS","",IF(AV40="POISSON",9999,AS40/(AU40-1)))</x:f>
      </x:c>
      <x:c r="AX40" s="11" t="str">
        <x:f>IF(A40="","",MAX(1-'Config_v6'!$B$20,MIN(1+'Config_v6'!$B$20,1+0.02*(IF(AND(ISNUMBER('Input_Meci'!N40),'Input_Meci'!N40&gt;=0,'Input_Meci'!N40&lt;=200),'Input_Meci'!N40,12)/12-1)+0.02*(IF(AND(ISNUMBER('Input_Meci'!P40),'Input_Meci'!P40&gt;=0,'Input_Meci'!P40&lt;=200),'Input_Meci'!P40,3.5)/3.5-1)+0.02*(IF(AND(ISNUMBER('Input_Meci'!R40),'Input_Meci'!R40&gt;=0,'Input_Meci'!R40&lt;=200),'Input_Meci'!R40,18)/18-1)+0.02*((IF(AND(ISNUMBER('Input_Meci'!V40),'Input_Meci'!V40&gt;=0,'Input_Meci'!V40&lt;=10),'Input_Meci'!V40,5)-5)/5))))</x:f>
      </x:c>
      <x:c r="AY40" s="11" t="str">
        <x:f>IF(A40="","",MAX(1-'Config_v6'!$B$20,MIN(1+'Config_v6'!$B$20,1+0.02*(IF(AND(ISNUMBER('Input_Meci'!O40),'Input_Meci'!O40&gt;=0,'Input_Meci'!O40&lt;=200),'Input_Meci'!O40,12)/12-1)+0.02*(IF(AND(ISNUMBER('Input_Meci'!Q40),'Input_Meci'!Q40&gt;=0,'Input_Meci'!Q40&lt;=200),'Input_Meci'!Q40,3.5)/3.5-1)+0.02*(IF(AND(ISNUMBER('Input_Meci'!S40),'Input_Meci'!S40&gt;=0,'Input_Meci'!S40&lt;=200),'Input_Meci'!S40,18)/18-1)+0.02*((IF(AND(ISNUMBER('Input_Meci'!W40),'Input_Meci'!W40&gt;=0,'Input_Meci'!W40&lt;=10),'Input_Meci'!W40,5)-5)/5))))</x:f>
      </x:c>
      <x:c r="AZ40" s="11" t="str">
        <x:f>IF(A40="","",MAX(1-'Config_v6'!$B$21,MIN(1+'Config_v6'!$B$21,1+0.012*(IF('Input_Meci'!X40="",5,IF(ISNUMBER('Input_Meci'!X40),'Input_Meci'!X40,5))-5)+0.018*(IF('Input_Meci'!Z40="",5,IF(ISNUMBER('Input_Meci'!Z40),'Input_Meci'!Z40,5))-5)+0.012*(IF('Input_Meci'!AB40="",5,IF(ISNUMBER('Input_Meci'!AB40),'Input_Meci'!AB40,5))-5)+0.015*IF('Input_Meci'!AD40="",0,IF(ISNUMBER('Input_Meci'!AD40),'Input_Meci'!AD40,0))+0.02*IF('Input_Meci'!AF40="",0,IF(ISNUMBER('Input_Meci'!AF40),'Input_Meci'!AF40,0)))))</x:f>
      </x:c>
      <x:c r="BA40" s="11" t="str">
        <x:f>IF(A40="","",MAX(1-'Config_v6'!$B$21,MIN(1+'Config_v6'!$B$21,1+0.012*(IF('Input_Meci'!Y40="",5,IF(ISNUMBER('Input_Meci'!Y40),'Input_Meci'!Y40,5))-5)+0.018*(IF('Input_Meci'!AA40="",5,IF(ISNUMBER('Input_Meci'!AA40),'Input_Meci'!AA40,5))-5)+0.012*(IF('Input_Meci'!AC40="",5,IF(ISNUMBER('Input_Meci'!AC40),'Input_Meci'!AC40,5))-5)+0.015*IF('Input_Meci'!AE40="",0,IF(ISNUMBER('Input_Meci'!AE40),'Input_Meci'!AE40,0))+0.02*IF('Input_Meci'!AG40="",0,IF(ISNUMBER('Input_Meci'!AG40),'Input_Meci'!AG40,0)))))</x:f>
      </x:c>
      <x:c r="BB40" s="11" t="str">
        <x:f>IF(I40&lt;&gt;"PASS","",(AVERAGE(AF40,AM40)*'Config_v6'!$B$4+AVERAGE(AH40,AO40)*'Config_v6'!$B$5+AVERAGE(AJ40,AQ40)*'Config_v6'!$B$6)*AX40*AZ40)</x:f>
      </x:c>
      <x:c r="BC40" s="11" t="str">
        <x:f>IF(I40&lt;&gt;"PASS","",(AVERAGE(AL40,AG40)*'Config_v6'!$B$4+AVERAGE(AN40,AI40)*'Config_v6'!$B$5+AVERAGE(AP40,AK40)*'Config_v6'!$B$6)*AY40*BA40)</x:f>
      </x:c>
      <x:c r="BD40" s="11" t="str">
        <x:f>IF(I40&lt;&gt;"PASS","",BB40+BC40)</x:f>
      </x:c>
      <x:c r="BE40" s="11" t="str">
        <x:f>IF(A40="","",10-SUM(IF(AND(ISNUMBER('Input_Meci'!N40),'Input_Meci'!N40&gt;=0,'Input_Meci'!N40&lt;=200),1,0),IF(AND(ISNUMBER('Input_Meci'!O40),'Input_Meci'!O40&gt;=0,'Input_Meci'!O40&lt;=200),1,0),IF(AND(ISNUMBER('Input_Meci'!P40),'Input_Meci'!P40&gt;=0,'Input_Meci'!P40&lt;=200),1,0),IF(AND(ISNUMBER('Input_Meci'!Q40),'Input_Meci'!Q40&gt;=0,'Input_Meci'!Q40&lt;=200),1,0),IF(AND(ISNUMBER('Input_Meci'!R40),'Input_Meci'!R40&gt;=0,'Input_Meci'!R40&lt;=200),1,0),IF(AND(ISNUMBER('Input_Meci'!S40),'Input_Meci'!S40&gt;=0,'Input_Meci'!S40&lt;=200),1,0),IF(AND(ISNUMBER('Input_Meci'!T40),'Input_Meci'!T40&gt;=0,'Input_Meci'!T40&lt;=100),1,0),IF(AND(ISNUMBER('Input_Meci'!U40),'Input_Meci'!U40&gt;=0,'Input_Meci'!U40&lt;=100),1,0),IF(AND(ISNUMBER('Input_Meci'!V40),'Input_Meci'!V40&gt;=0,'Input_Meci'!V40&lt;=10),1,0),IF(AND(ISNUMBER('Input_Meci'!W40),'Input_Meci'!W40&gt;=0,'Input_Meci'!W40&lt;=10),1,0)))</x:f>
      </x:c>
      <x:c r="BF40" s="11" t="str">
        <x:f>IF(I40&lt;&gt;"PASS","",MAX(0,MIN(IF(OR(M40="YES",BL40&lt;&gt;C40),'Config_v6'!$B$34,100),ROUND(40+25*MIN(1,MIN(N40,Q40)/'Config_v6'!$B$7)*MIN(1,MIN(O40,R40)/'Config_v6'!$B$8)*MIN(1,MIN(P40,S40)/'Config_v6'!$B$9)+MAX(0,15-2*ABS(AF40-AJ40)-2*ABS(AL40-AP40))+IF(AU40&lt;='Config_v6'!$B$10,15,IF(AU40&lt;='Config_v6'!$B$11,13,IF(AU40&lt;='Config_v6'!$B$12,10,IF(AU40&lt;='Config_v6'!$B$13,6,0))))+5-BE40/10*'Config_v6'!$B$38,0))))</x:f>
      </x:c>
      <x:c r="BG40" s="11" t="str">
        <x:f>IF(I40&lt;&gt;"PASS","",MIN(1,'Config_v6'!$B$14*(0.7+0.3*MIN(1,AR40/'Config_v6'!$B$15))*IF(AU40&lt;='Config_v6'!$B$10,1,IF(AU40&lt;='Config_v6'!$B$11,0.95,IF(AU40&lt;='Config_v6'!$B$12,0.88,0.78)))*(0.75+0.25*BF40/100)))</x:f>
      </x:c>
      <x:c r="BH40" s="11" t="str">
        <x:f>IF(I40&lt;&gt;"PASS","",MIN(1,(ABS(AZ40-1)+ABS(BA40-1))*3))</x:f>
      </x:c>
      <x:c r="BI40" s="2" t="str">
        <x:f>IF(A40="","",IF(AND(OR('Input_Meci'!X40="",AND(ISNUMBER('Input_Meci'!X40),'Input_Meci'!X40&gt;=0,'Input_Meci'!X40&lt;=10)),OR('Input_Meci'!Y40="",AND(ISNUMBER('Input_Meci'!Y40),'Input_Meci'!Y40&gt;=0,'Input_Meci'!Y40&lt;=10)),OR('Input_Meci'!Z40="",AND(ISNUMBER('Input_Meci'!Z40),'Input_Meci'!Z40&gt;=0,'Input_Meci'!Z40&lt;=10)),OR('Input_Meci'!AA40="",AND(ISNUMBER('Input_Meci'!AA40),'Input_Meci'!AA40&gt;=0,'Input_Meci'!AA40&lt;=10)),OR('Input_Meci'!AB40="",AND(ISNUMBER('Input_Meci'!AB40),'Input_Meci'!AB40&gt;=0,'Input_Meci'!AB40&lt;=10)),OR('Input_Meci'!AC40="",AND(ISNUMBER('Input_Meci'!AC40),'Input_Meci'!AC40&gt;=0,'Input_Meci'!AC40&lt;=10)),OR('Input_Meci'!AD40="",AND(ISNUMBER('Input_Meci'!AD40),'Input_Meci'!AD40&gt;=-2,'Input_Meci'!AD40&lt;=2)),OR('Input_Meci'!AE40="",AND(ISNUMBER('Input_Meci'!AE40),'Input_Meci'!AE40&gt;=-2,'Input_Meci'!AE40&lt;=2)),OR('Input_Meci'!AF40="",AND(ISNUMBER('Input_Meci'!AF40),'Input_Meci'!AF40&gt;=-2,'Input_Meci'!AF40&lt;=2)),OR('Input_Meci'!AG40="",AND(ISNUMBER('Input_Meci'!AG40),'Input_Meci'!AG40&gt;=-2,'Input_Meci'!AG40&lt;=2))),"VALID","INVALID"))</x:f>
      </x:c>
      <x:c r="BJ40" s="2" t="n">
        <x:f>IF(A40="",0,SUM('Core_Nativ'!S414:S419))</x:f>
        <x:v>0</x:v>
      </x:c>
      <x:c r="BK40" s="2" t="str">
        <x:f>'Config_v6'!$B$40</x:f>
        <x:v>VALID</x:v>
      </x:c>
      <x:c r="BL40" s="2" t="str">
        <x:f>IF(A40="","",IF(SUMPRODUCT(('Istoric_Nativ'!$B$6:$B$405=B40)*('Istoric_Nativ'!$C$6:$C$405=C40)*('Istoric_Nativ'!$P$6:$P$405=1)*('Istoric_Nativ'!$D$6:$D$405&lt;INT(G40))*((('Istoric_Nativ'!$E$6:$E$405='Input_Meci'!D40)+('Istoric_Nativ'!$F$6:$F$405='Input_Meci'!D40)+('Istoric_Nativ'!$E$6:$E$405='Input_Meci'!E40)+('Istoric_Nativ'!$F$6:$F$405='Input_Meci'!E40))&gt;0))&gt;='Config_v6'!$B$41,C40,IF(AND('Input_Meci'!L40="YES",'Input_Meci'!K40&lt;&gt;"",'Input_Meci'!K40&lt;C40,COUNTIF('Core_Nativ'!R420:R425,"CLOSED")=6,SUM('Core_Nativ'!S420:S425)=0),'Input_Meci'!K40,C40)))</x:f>
      </x:c>
      <x:c r="BM40" s="9" t="n">
        <x:f>IF(OR(A40="",N40=0),0,LARGE(_xlfn._xlws.FILTER('Istoric_Nativ'!$D$6:$D$405,('Istoric_Nativ'!$B$6:$B$405=B40)*('Istoric_Nativ'!$C$6:$C$405=C40)*('Istoric_Nativ'!$P$6:$P$405=1)*('Istoric_Nativ'!$D$6:$D$405&lt;INT(G40))*((('Istoric_Nativ'!$E$6:$E$405='Input_Meci'!D40)+('Istoric_Nativ'!$F$6:$F$405='Input_Meci'!D40))&gt;0)),MIN(10,N40)))</x:f>
        <x:v>0</x:v>
      </x:c>
      <x:c r="BN40" s="9" t="n">
        <x:f>IF(OR(A40="",Q40=0),0,LARGE(_xlfn._xlws.FILTER('Istoric_Nativ'!$D$6:$D$405,('Istoric_Nativ'!$B$6:$B$405=B40)*('Istoric_Nativ'!$C$6:$C$405=C40)*('Istoric_Nativ'!$P$6:$P$405=1)*('Istoric_Nativ'!$D$6:$D$405&lt;INT(G40))*((('Istoric_Nativ'!$E$6:$E$405='Input_Meci'!E40)+('Istoric_Nativ'!$F$6:$F$405='Input_Meci'!E40))&gt;0)),MIN(10,Q40)))</x:f>
        <x:v>0</x:v>
      </x:c>
      <x:c r="BO40" s="9" t="n">
        <x:f>IF(OR(A40="",N40=0),0,LARGE(_xlfn._xlws.FILTER('Istoric_Nativ'!$D$6:$D$405,('Istoric_Nativ'!$B$6:$B$405=B40)*('Istoric_Nativ'!$C$6:$C$405=C40)*('Istoric_Nativ'!$P$6:$P$405=1)*('Istoric_Nativ'!$D$6:$D$405&lt;INT(G40))*((('Istoric_Nativ'!$E$6:$E$405='Input_Meci'!D40)+('Istoric_Nativ'!$F$6:$F$405='Input_Meci'!D40))&gt;0)),MIN(20,N40)))</x:f>
        <x:v>0</x:v>
      </x:c>
      <x:c r="BP40" s="9" t="n">
        <x:f>IF(OR(A40="",Q40=0),0,LARGE(_xlfn._xlws.FILTER('Istoric_Nativ'!$D$6:$D$405,('Istoric_Nativ'!$B$6:$B$405=B40)*('Istoric_Nativ'!$C$6:$C$405=C40)*('Istoric_Nativ'!$P$6:$P$405=1)*('Istoric_Nativ'!$D$6:$D$405&lt;INT(G40))*((('Istoric_Nativ'!$E$6:$E$405='Input_Meci'!E40)+('Istoric_Nativ'!$F$6:$F$405='Input_Meci'!E40))&gt;0)),MIN(20,Q40)))</x:f>
        <x:v>0</x:v>
      </x:c>
      <x:c r="BQ40" s="2" t="str">
        <x:f>IF(A40="","",IF(AND(COUNTIF(MatchesTable[Match_ID],A40)=1,COUNTIFS(MatchesTable[League],B40,MatchesTable[Season],C40,MatchesTable[Home],'Input_Meci'!D40,MatchesTable[Away],'Input_Meci'!E40,MatchesTable[Kickoff_UTC],F40)=1,B40&lt;&gt;"",C40&lt;&gt;"",'Input_Meci'!D40&lt;&gt;"",'Input_Meci'!E40&lt;&gt;"",'Input_Meci'!D40&lt;&gt;'Input_Meci'!E40,ISNUMBER(F40),ISNUMBER(G40),G40&lt;F40,OR(E40="LIVE",E40="REPLAY"),OR('Input_Meci'!L40="YES",'Input_Meci'!L40="NO",'Input_Meci'!L40="")),"VALID","INVALID"))</x:f>
      </x:c>
      <x:c r="BR40" s="2" t="n">
        <x:f>IF(I40&lt;&gt;"PASS",0,SUMPRODUCT(('Istoric_Nativ'!$B$6:$B$405='Input_Meci'!B40)*('Istoric_Nativ'!$C$6:$C$405='Input_Meci'!C40)*('Istoric_Nativ'!$P$6:$P$405=1)*('Istoric_Nativ'!$D$6:$D$405&lt;INT('Input_Meci'!G40))*((('Istoric_Nativ'!$E$6:$E$405='Input_Meci'!D40)+('Istoric_Nativ'!$F$6:$F$405='Input_Meci'!E40))&gt;0)))</x:f>
        <x:v>0</x:v>
      </x:c>
      <x:c r="BS40" s="2" t="n">
        <x:f>IF(I40&lt;&gt;"PASS",0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BM40)+((('Istoric_Nativ'!$E$6:$E$405='Input_Meci'!E40)+('Istoric_Nativ'!$F$6:$F$405='Input_Meci'!E40))&gt;0)*('Istoric_Nativ'!$D$6:$D$405&gt;=BN40))&gt;0)))</x:f>
        <x:v>0</x:v>
      </x:c>
      <x:c r="BT40" s="2" t="n">
        <x:f>IF(I40&lt;&gt;"PASS",0,SUMPRODUCT(('Istoric_Nativ'!$B$6:$B$405='Input_Meci'!B40)*('Istoric_Nativ'!$C$6:$C$405='Input_Meci'!C40)*('Istoric_Nativ'!$P$6:$P$405=1)*('Istoric_Nativ'!$D$6:$D$405&lt;INT('Input_Meci'!G40))*((((('Istoric_Nativ'!$E$6:$E$405='Input_Meci'!D40)+('Istoric_Nativ'!$F$6:$F$405='Input_Meci'!D40))&gt;0)*('Istoric_Nativ'!$D$6:$D$405&gt;=BO40)+((('Istoric_Nativ'!$E$6:$E$405='Input_Meci'!E40)+('Istoric_Nativ'!$F$6:$F$405='Input_Meci'!E40))&gt;0)*('Istoric_Nativ'!$D$6:$D$405&gt;=BP40))&gt;0)))</x:f>
        <x:v>0</x:v>
      </x:c>
    </x:row>
    <x:row r="41" ht="21" customHeight="1">
      <x:c r="A41" s="2" t="str">
        <x:f>IF('Input_Meci'!A41="","",'Input_Meci'!A41)</x:f>
      </x:c>
      <x:c r="B41" s="2" t="str">
        <x:f>IF(A41="","",'Input_Meci'!B41)</x:f>
      </x:c>
      <x:c r="C41" s="2" t="str">
        <x:f>IF(A41="","",'Input_Meci'!C41)</x:f>
      </x:c>
      <x:c r="D41" s="2" t="str">
        <x:f>IF(A41="","",'Input_Meci'!D41&amp;" – "&amp;'Input_Meci'!E41)</x:f>
      </x:c>
      <x:c r="E41" s="2" t="str">
        <x:f>IF(A41="","",'Input_Meci'!H41)</x:f>
      </x:c>
      <x:c r="F41" s="9" t="str">
        <x:f>IF(A41="","",'Input_Meci'!F41)</x:f>
      </x:c>
      <x:c r="G41" s="9" t="str">
        <x:f>IF(A41="","",'Input_Meci'!G41)</x:f>
      </x:c>
      <x:c r="H41" s="2" t="str">
        <x:f>IF(A41="","",IF(BQ41&lt;&gt;"VALID","NOT RELEASED",IF(AND(OR('Input_Meci'!I41="NOT AVAILABLE",'Input_Meci'!I41="SOURCE CONFLICT"),'Input_Meci'!J41&lt;&gt;""),"READY",IF(OR(NOT(OR('Input_Meci'!I41="AUTO",'Input_Meci'!I41="")),COUNTIF('Core_Nativ'!R426:R431,"CLOSED")&lt;&gt;6,BJ41&gt;0),"NOT RELEASED","READY"))))</x:f>
      </x:c>
      <x:c r="I41" s="2" t="str">
        <x:f>IF(A41="","",IF(H41&lt;&gt;"READY","NOT RELEASED",IF(AND(NOT(OR('Input_Meci'!I41="NOT AVAILABLE",'Input_Meci'!I41="SOURCE CONFLICT")),L41=12,AR41&gt;=2,AS41&gt;0,ISNUMBER(AT41),BI41="VALID",BK41="VALID"),"PASS","FAIL")))</x:f>
      </x:c>
      <x:c r="J41" s="2" t="str">
        <x:f>IF(A41="","",IF(BQ41&lt;&gt;"VALID","Verifica ID, echipe, mod si cutoff &lt; kickoff",IF(H41&lt;&gt;"READY",IF('Input_Meci'!I41="ACCESS BLOCKED","Acces blocat: reia sursele",IF(BJ41&gt;0,"Istoric invalid sau conflict: verifica randurile native","Surse neinchise / post-cutoff / dovezi incomplete")),IF(OR('Input_Meci'!I41="NOT AVAILABLE",'Input_Meci'!I41="SOURCE CONFLICT"),'Input_Meci'!I41,IF(BK41&lt;&gt;"VALID","Parametri invalizi",IF(L41&lt;&gt;12,"Core / sample / prior insuficient",IF(AR41&lt;2,"N insuficient pentru dispersie",IF(AS41&lt;=0,"Media istorica trebuie sa fie pozitiva",IF(BI41&lt;&gt;"VALID","Context invalid","READY")))))))))</x:f>
      </x:c>
      <x:c r="K41" s="2" t="str">
        <x:f>IF(A41="","",COUNT(T41:AE41))</x:f>
      </x:c>
      <x:c r="L41" s="2" t="str">
        <x:f>IF(A41="","",COUNT(AF41:AQ41))</x:f>
      </x:c>
      <x:c r="M41" s="2" t="str">
        <x:f>IF(A41="","",IF(OR('Core_Nativ'!M426&lt;'Core_Nativ'!P426,'Core_Nativ'!M427&lt;'Core_Nativ'!P427,'Core_Nativ'!M428&lt;'Core_Nativ'!P428,'Core_Nativ'!M429&lt;'Core_Nativ'!P429,'Core_Nativ'!M430&lt;'Core_Nativ'!P430,'Core_Nativ'!M431&lt;'Core_Nativ'!P431),"YES","NO"))</x:f>
      </x:c>
      <x:c r="N41" s="2" t="str">
        <x:f>IF(A41="","",'Core_Nativ'!M426)</x:f>
      </x:c>
      <x:c r="O41" s="2" t="str">
        <x:f>IF(A41="","",'Core_Nativ'!M427)</x:f>
      </x:c>
      <x:c r="P41" s="2" t="str">
        <x:f>IF(A41="","",'Core_Nativ'!M428)</x:f>
      </x:c>
      <x:c r="Q41" s="2" t="str">
        <x:f>IF(A41="","",'Core_Nativ'!M429)</x:f>
      </x:c>
      <x:c r="R41" s="2" t="str">
        <x:f>IF(A41="","",'Core_Nativ'!M430)</x:f>
      </x:c>
      <x:c r="S41" s="2" t="str">
        <x:f>IF(A41="","",'Core_Nativ'!M431)</x:f>
      </x:c>
      <x:c r="T41" s="11" t="str">
        <x:f>IF(OR(A41="",'Core_Nativ'!M426=0),"",'Core_Nativ'!N426)</x:f>
      </x:c>
      <x:c r="U41" s="11" t="str">
        <x:f>IF(OR(A41="",'Core_Nativ'!M426=0),"",'Core_Nativ'!O426)</x:f>
      </x:c>
      <x:c r="V41" s="11" t="str">
        <x:f>IF(OR(A41="",'Core_Nativ'!M427=0),"",'Core_Nativ'!N427)</x:f>
      </x:c>
      <x:c r="W41" s="11" t="str">
        <x:f>IF(OR(A41="",'Core_Nativ'!M427=0),"",'Core_Nativ'!O427)</x:f>
      </x:c>
      <x:c r="X41" s="11" t="str">
        <x:f>IF(OR(A41="",'Core_Nativ'!M428=0),"",'Core_Nativ'!N428)</x:f>
      </x:c>
      <x:c r="Y41" s="11" t="str">
        <x:f>IF(OR(A41="",'Core_Nativ'!M428=0),"",'Core_Nativ'!O428)</x:f>
      </x:c>
      <x:c r="Z41" s="11" t="str">
        <x:f>IF(OR(A41="",'Core_Nativ'!M429=0),"",'Core_Nativ'!N429)</x:f>
      </x:c>
      <x:c r="AA41" s="11" t="str">
        <x:f>IF(OR(A41="",'Core_Nativ'!M429=0),"",'Core_Nativ'!O429)</x:f>
      </x:c>
      <x:c r="AB41" s="11" t="str">
        <x:f>IF(OR(A41="",'Core_Nativ'!M430=0),"",'Core_Nativ'!N430)</x:f>
      </x:c>
      <x:c r="AC41" s="11" t="str">
        <x:f>IF(OR(A41="",'Core_Nativ'!M430=0),"",'Core_Nativ'!O430)</x:f>
      </x:c>
      <x:c r="AD41" s="11" t="str">
        <x:f>IF(OR(A41="",'Core_Nativ'!M431=0),"",'Core_Nativ'!N431)</x:f>
      </x:c>
      <x:c r="AE41" s="11" t="str">
        <x:f>IF(OR(A41="",'Core_Nativ'!M431=0),"",'Core_Nativ'!O431)</x:f>
      </x:c>
      <x:c r="AF41" s="11" t="str">
        <x:f>IF(A41="","",IF(AND('Core_Nativ'!R426="CLOSED",'Core_Nativ'!S426=0),IF('Core_Nativ'!M426&gt;='Core_Nativ'!P426,'Core_Nativ'!N426,IF(AND('Input_Meci'!L41="YES",'Input_Meci'!K41&lt;&gt;"",'Input_Meci'!K41&lt;C41,'Core_Nativ'!T432="DERIVED",'Core_Nativ'!M432&gt;='Core_Nativ'!P426),MIN(1,'Core_Nativ'!M426/'Core_Nativ'!P426)*IF('Core_Nativ'!M426=0,0,'Core_Nativ'!N426)+(1-MIN(1,'Core_Nativ'!M426/'Core_Nativ'!P426))*'Core_Nativ'!N432,"")),""))</x:f>
      </x:c>
      <x:c r="AG41" s="11" t="str">
        <x:f>IF(A41="","",IF(AND('Core_Nativ'!R426="CLOSED",'Core_Nativ'!S426=0),IF('Core_Nativ'!M426&gt;='Core_Nativ'!P426,'Core_Nativ'!O426,IF(AND('Input_Meci'!L41="YES",'Input_Meci'!K41&lt;&gt;"",'Input_Meci'!K41&lt;C41,'Core_Nativ'!T432="DERIVED",'Core_Nativ'!M432&gt;='Core_Nativ'!P426),MIN(1,'Core_Nativ'!M426/'Core_Nativ'!P426)*IF('Core_Nativ'!M426=0,0,'Core_Nativ'!O426)+(1-MIN(1,'Core_Nativ'!M426/'Core_Nativ'!P426))*'Core_Nativ'!O432,"")),""))</x:f>
      </x:c>
      <x:c r="AH41" s="11" t="str">
        <x:f>IF(A41="","",IF(AND('Core_Nativ'!R427="CLOSED",'Core_Nativ'!S427=0),IF('Core_Nativ'!M427&gt;='Core_Nativ'!P427,'Core_Nativ'!N427,IF(AND('Input_Meci'!L41="YES",'Input_Meci'!K41&lt;&gt;"",'Input_Meci'!K41&lt;C41,'Core_Nativ'!T433="DERIVED",'Core_Nativ'!M433&gt;='Core_Nativ'!P427),MIN(1,'Core_Nativ'!M427/'Core_Nativ'!P427)*IF('Core_Nativ'!M427=0,0,'Core_Nativ'!N427)+(1-MIN(1,'Core_Nativ'!M427/'Core_Nativ'!P427))*'Core_Nativ'!N433,"")),""))</x:f>
      </x:c>
      <x:c r="AI41" s="11" t="str">
        <x:f>IF(A41="","",IF(AND('Core_Nativ'!R427="CLOSED",'Core_Nativ'!S427=0),IF('Core_Nativ'!M427&gt;='Core_Nativ'!P427,'Core_Nativ'!O427,IF(AND('Input_Meci'!L41="YES",'Input_Meci'!K41&lt;&gt;"",'Input_Meci'!K41&lt;C41,'Core_Nativ'!T433="DERIVED",'Core_Nativ'!M433&gt;='Core_Nativ'!P427),MIN(1,'Core_Nativ'!M427/'Core_Nativ'!P427)*IF('Core_Nativ'!M427=0,0,'Core_Nativ'!O427)+(1-MIN(1,'Core_Nativ'!M427/'Core_Nativ'!P427))*'Core_Nativ'!O433,"")),""))</x:f>
      </x:c>
      <x:c r="AJ41" s="11" t="str">
        <x:f>IF(A41="","",IF(AND('Core_Nativ'!R428="CLOSED",'Core_Nativ'!S428=0),IF('Core_Nativ'!M428&gt;='Core_Nativ'!P428,'Core_Nativ'!N428,IF(AND('Input_Meci'!L41="YES",'Input_Meci'!K41&lt;&gt;"",'Input_Meci'!K41&lt;C41,'Core_Nativ'!T434="DERIVED",'Core_Nativ'!M434&gt;='Core_Nativ'!P428),MIN(1,'Core_Nativ'!M428/'Core_Nativ'!P428)*IF('Core_Nativ'!M428=0,0,'Core_Nativ'!N428)+(1-MIN(1,'Core_Nativ'!M428/'Core_Nativ'!P428))*'Core_Nativ'!N434,"")),""))</x:f>
      </x:c>
      <x:c r="AK41" s="11" t="str">
        <x:f>IF(A41="","",IF(AND('Core_Nativ'!R428="CLOSED",'Core_Nativ'!S428=0),IF('Core_Nativ'!M428&gt;='Core_Nativ'!P428,'Core_Nativ'!O428,IF(AND('Input_Meci'!L41="YES",'Input_Meci'!K41&lt;&gt;"",'Input_Meci'!K41&lt;C41,'Core_Nativ'!T434="DERIVED",'Core_Nativ'!M434&gt;='Core_Nativ'!P428),MIN(1,'Core_Nativ'!M428/'Core_Nativ'!P428)*IF('Core_Nativ'!M428=0,0,'Core_Nativ'!O428)+(1-MIN(1,'Core_Nativ'!M428/'Core_Nativ'!P428))*'Core_Nativ'!O434,"")),""))</x:f>
      </x:c>
      <x:c r="AL41" s="11" t="str">
        <x:f>IF(A41="","",IF(AND('Core_Nativ'!R429="CLOSED",'Core_Nativ'!S429=0),IF('Core_Nativ'!M429&gt;='Core_Nativ'!P429,'Core_Nativ'!N429,IF(AND('Input_Meci'!L41="YES",'Input_Meci'!K41&lt;&gt;"",'Input_Meci'!K41&lt;C41,'Core_Nativ'!T435="DERIVED",'Core_Nativ'!M435&gt;='Core_Nativ'!P429),MIN(1,'Core_Nativ'!M429/'Core_Nativ'!P429)*IF('Core_Nativ'!M429=0,0,'Core_Nativ'!N429)+(1-MIN(1,'Core_Nativ'!M429/'Core_Nativ'!P429))*'Core_Nativ'!N435,"")),""))</x:f>
      </x:c>
      <x:c r="AM41" s="11" t="str">
        <x:f>IF(A41="","",IF(AND('Core_Nativ'!R429="CLOSED",'Core_Nativ'!S429=0),IF('Core_Nativ'!M429&gt;='Core_Nativ'!P429,'Core_Nativ'!O429,IF(AND('Input_Meci'!L41="YES",'Input_Meci'!K41&lt;&gt;"",'Input_Meci'!K41&lt;C41,'Core_Nativ'!T435="DERIVED",'Core_Nativ'!M435&gt;='Core_Nativ'!P429),MIN(1,'Core_Nativ'!M429/'Core_Nativ'!P429)*IF('Core_Nativ'!M429=0,0,'Core_Nativ'!O429)+(1-MIN(1,'Core_Nativ'!M429/'Core_Nativ'!P429))*'Core_Nativ'!O435,"")),""))</x:f>
      </x:c>
      <x:c r="AN41" s="11" t="str">
        <x:f>IF(A41="","",IF(AND('Core_Nativ'!R430="CLOSED",'Core_Nativ'!S430=0),IF('Core_Nativ'!M430&gt;='Core_Nativ'!P430,'Core_Nativ'!N430,IF(AND('Input_Meci'!L41="YES",'Input_Meci'!K41&lt;&gt;"",'Input_Meci'!K41&lt;C41,'Core_Nativ'!T436="DERIVED",'Core_Nativ'!M436&gt;='Core_Nativ'!P430),MIN(1,'Core_Nativ'!M430/'Core_Nativ'!P430)*IF('Core_Nativ'!M430=0,0,'Core_Nativ'!N430)+(1-MIN(1,'Core_Nativ'!M430/'Core_Nativ'!P430))*'Core_Nativ'!N436,"")),""))</x:f>
      </x:c>
      <x:c r="AO41" s="11" t="str">
        <x:f>IF(A41="","",IF(AND('Core_Nativ'!R430="CLOSED",'Core_Nativ'!S430=0),IF('Core_Nativ'!M430&gt;='Core_Nativ'!P430,'Core_Nativ'!O430,IF(AND('Input_Meci'!L41="YES",'Input_Meci'!K41&lt;&gt;"",'Input_Meci'!K41&lt;C41,'Core_Nativ'!T436="DERIVED",'Core_Nativ'!M436&gt;='Core_Nativ'!P430),MIN(1,'Core_Nativ'!M430/'Core_Nativ'!P430)*IF('Core_Nativ'!M430=0,0,'Core_Nativ'!O430)+(1-MIN(1,'Core_Nativ'!M430/'Core_Nativ'!P430))*'Core_Nativ'!O436,"")),""))</x:f>
      </x:c>
      <x:c r="AP41" s="11" t="str">
        <x:f>IF(A41="","",IF(AND('Core_Nativ'!R431="CLOSED",'Core_Nativ'!S431=0),IF('Core_Nativ'!M431&gt;='Core_Nativ'!P431,'Core_Nativ'!N431,IF(AND('Input_Meci'!L41="YES",'Input_Meci'!K41&lt;&gt;"",'Input_Meci'!K41&lt;C41,'Core_Nativ'!T437="DERIVED",'Core_Nativ'!M437&gt;='Core_Nativ'!P431),MIN(1,'Core_Nativ'!M431/'Core_Nativ'!P431)*IF('Core_Nativ'!M431=0,0,'Core_Nativ'!N431)+(1-MIN(1,'Core_Nativ'!M431/'Core_Nativ'!P431))*'Core_Nativ'!N437,"")),""))</x:f>
      </x:c>
      <x:c r="AQ41" s="11" t="str">
        <x:f>IF(A41="","",IF(AND('Core_Nativ'!R431="CLOSED",'Core_Nativ'!S431=0),IF('Core_Nativ'!M431&gt;='Core_Nativ'!P431,'Core_Nativ'!O431,IF(AND('Input_Meci'!L41="YES",'Input_Meci'!K41&lt;&gt;"",'Input_Meci'!K41&lt;C41,'Core_Nativ'!T437="DERIVED",'Core_Nativ'!M437&gt;='Core_Nativ'!P431),MIN(1,'Core_Nativ'!M431/'Core_Nativ'!P431)*IF('Core_Nativ'!M431=0,0,'Core_Nativ'!O431)+(1-MIN(1,'Core_Nativ'!M431/'Core_Nativ'!P431))*'Core_Nativ'!O437,"")),""))</x:f>
      </x:c>
      <x:c r="AR41" s="11" t="str">
        <x:f>IF(A41="","",SUMPRODUCT(('Istoric_Nativ'!$B$6:$B$405=B41)*('Istoric_Nativ'!$C$6:$C$405=BL41)*('Istoric_Nativ'!$P$6:$P$405=1)*('Istoric_Nativ'!$D$6:$D$405&lt;INT(G41))*((('Istoric_Nativ'!$E$6:$E$405='Input_Meci'!D41)+('Istoric_Nativ'!$F$6:$F$405='Input_Meci'!D41)+('Istoric_Nativ'!$E$6:$E$405='Input_Meci'!E41)+('Istoric_Nativ'!$F$6:$F$405='Input_Meci'!E41))&gt;0)))</x:f>
      </x:c>
      <x:c r="AS41" s="11" t="str">
        <x:f>IF(AR41=0,"",SUMPRODUCT(('Istoric_Nativ'!$B$6:$B$405=B41)*('Istoric_Nativ'!$C$6:$C$405=BL41)*('Istoric_Nativ'!$P$6:$P$405=1)*('Istoric_Nativ'!$D$6:$D$405&lt;INT(G41))*((('Istoric_Nativ'!$E$6:$E$405='Input_Meci'!D41)+('Istoric_Nativ'!$F$6:$F$405='Input_Meci'!D41)+('Istoric_Nativ'!$E$6:$E$405='Input_Meci'!E41)+('Istoric_Nativ'!$F$6:$F$405='Input_Meci'!E41))&gt;0)*'Istoric_Nativ'!$Q$6:$Q$405)/AR41)</x:f>
      </x:c>
      <x:c r="AT41" s="11" t="str">
        <x:f>IF(AR41&lt;2,"",MAX(0,(SUMPRODUCT(('Istoric_Nativ'!$B$6:$B$405=B41)*('Istoric_Nativ'!$C$6:$C$405=BL41)*('Istoric_Nativ'!$P$6:$P$405=1)*('Istoric_Nativ'!$D$6:$D$405&lt;INT(G41))*((('Istoric_Nativ'!$E$6:$E$405='Input_Meci'!D41)+('Istoric_Nativ'!$F$6:$F$405='Input_Meci'!D41)+('Istoric_Nativ'!$E$6:$E$405='Input_Meci'!E41)+('Istoric_Nativ'!$F$6:$F$405='Input_Meci'!E41))&gt;0)*'Istoric_Nativ'!$R$6:$R$405)-AR41*AS41^2)/(AR41-1)))</x:f>
      </x:c>
      <x:c r="AU41" s="11" t="str">
        <x:f>IF(I41&lt;&gt;"PASS","",AT41/AS41)</x:f>
      </x:c>
      <x:c r="AV41" s="11" t="str">
        <x:f>IF(I41&lt;&gt;"PASS","",IF(AU41&lt;='Config_v6'!$B$10,"POISSON","NEGATIVE BINOMIAL"))</x:f>
      </x:c>
      <x:c r="AW41" s="11" t="str">
        <x:f>IF(I41&lt;&gt;"PASS","",IF(AV41="POISSON",9999,AS41/(AU41-1)))</x:f>
      </x:c>
      <x:c r="AX41" s="11" t="str">
        <x:f>IF(A41="","",MAX(1-'Config_v6'!$B$20,MIN(1+'Config_v6'!$B$20,1+0.02*(IF(AND(ISNUMBER('Input_Meci'!N41),'Input_Meci'!N41&gt;=0,'Input_Meci'!N41&lt;=200),'Input_Meci'!N41,12)/12-1)+0.02*(IF(AND(ISNUMBER('Input_Meci'!P41),'Input_Meci'!P41&gt;=0,'Input_Meci'!P41&lt;=200),'Input_Meci'!P41,3.5)/3.5-1)+0.02*(IF(AND(ISNUMBER('Input_Meci'!R41),'Input_Meci'!R41&gt;=0,'Input_Meci'!R41&lt;=200),'Input_Meci'!R41,18)/18-1)+0.02*((IF(AND(ISNUMBER('Input_Meci'!V41),'Input_Meci'!V41&gt;=0,'Input_Meci'!V41&lt;=10),'Input_Meci'!V41,5)-5)/5))))</x:f>
      </x:c>
      <x:c r="AY41" s="11" t="str">
        <x:f>IF(A41="","",MAX(1-'Config_v6'!$B$20,MIN(1+'Config_v6'!$B$20,1+0.02*(IF(AND(ISNUMBER('Input_Meci'!O41),'Input_Meci'!O41&gt;=0,'Input_Meci'!O41&lt;=200),'Input_Meci'!O41,12)/12-1)+0.02*(IF(AND(ISNUMBER('Input_Meci'!Q41),'Input_Meci'!Q41&gt;=0,'Input_Meci'!Q41&lt;=200),'Input_Meci'!Q41,3.5)/3.5-1)+0.02*(IF(AND(ISNUMBER('Input_Meci'!S41),'Input_Meci'!S41&gt;=0,'Input_Meci'!S41&lt;=200),'Input_Meci'!S41,18)/18-1)+0.02*((IF(AND(ISNUMBER('Input_Meci'!W41),'Input_Meci'!W41&gt;=0,'Input_Meci'!W41&lt;=10),'Input_Meci'!W41,5)-5)/5))))</x:f>
      </x:c>
      <x:c r="AZ41" s="11" t="str">
        <x:f>IF(A41="","",MAX(1-'Config_v6'!$B$21,MIN(1+'Config_v6'!$B$21,1+0.012*(IF('Input_Meci'!X41="",5,IF(ISNUMBER('Input_Meci'!X41),'Input_Meci'!X41,5))-5)+0.018*(IF('Input_Meci'!Z41="",5,IF(ISNUMBER('Input_Meci'!Z41),'Input_Meci'!Z41,5))-5)+0.012*(IF('Input_Meci'!AB41="",5,IF(ISNUMBER('Input_Meci'!AB41),'Input_Meci'!AB41,5))-5)+0.015*IF('Input_Meci'!AD41="",0,IF(ISNUMBER('Input_Meci'!AD41),'Input_Meci'!AD41,0))+0.02*IF('Input_Meci'!AF41="",0,IF(ISNUMBER('Input_Meci'!AF41),'Input_Meci'!AF41,0)))))</x:f>
      </x:c>
      <x:c r="BA41" s="11" t="str">
        <x:f>IF(A41="","",MAX(1-'Config_v6'!$B$21,MIN(1+'Config_v6'!$B$21,1+0.012*(IF('Input_Meci'!Y41="",5,IF(ISNUMBER('Input_Meci'!Y41),'Input_Meci'!Y41,5))-5)+0.018*(IF('Input_Meci'!AA41="",5,IF(ISNUMBER('Input_Meci'!AA41),'Input_Meci'!AA41,5))-5)+0.012*(IF('Input_Meci'!AC41="",5,IF(ISNUMBER('Input_Meci'!AC41),'Input_Meci'!AC41,5))-5)+0.015*IF('Input_Meci'!AE41="",0,IF(ISNUMBER('Input_Meci'!AE41),'Input_Meci'!AE41,0))+0.02*IF('Input_Meci'!AG41="",0,IF(ISNUMBER('Input_Meci'!AG41),'Input_Meci'!AG41,0)))))</x:f>
      </x:c>
      <x:c r="BB41" s="11" t="str">
        <x:f>IF(I41&lt;&gt;"PASS","",(AVERAGE(AF41,AM41)*'Config_v6'!$B$4+AVERAGE(AH41,AO41)*'Config_v6'!$B$5+AVERAGE(AJ41,AQ41)*'Config_v6'!$B$6)*AX41*AZ41)</x:f>
      </x:c>
      <x:c r="BC41" s="11" t="str">
        <x:f>IF(I41&lt;&gt;"PASS","",(AVERAGE(AL41,AG41)*'Config_v6'!$B$4+AVERAGE(AN41,AI41)*'Config_v6'!$B$5+AVERAGE(AP41,AK41)*'Config_v6'!$B$6)*AY41*BA41)</x:f>
      </x:c>
      <x:c r="BD41" s="11" t="str">
        <x:f>IF(I41&lt;&gt;"PASS","",BB41+BC41)</x:f>
      </x:c>
      <x:c r="BE41" s="11" t="str">
        <x:f>IF(A41="","",10-SUM(IF(AND(ISNUMBER('Input_Meci'!N41),'Input_Meci'!N41&gt;=0,'Input_Meci'!N41&lt;=200),1,0),IF(AND(ISNUMBER('Input_Meci'!O41),'Input_Meci'!O41&gt;=0,'Input_Meci'!O41&lt;=200),1,0),IF(AND(ISNUMBER('Input_Meci'!P41),'Input_Meci'!P41&gt;=0,'Input_Meci'!P41&lt;=200),1,0),IF(AND(ISNUMBER('Input_Meci'!Q41),'Input_Meci'!Q41&gt;=0,'Input_Meci'!Q41&lt;=200),1,0),IF(AND(ISNUMBER('Input_Meci'!R41),'Input_Meci'!R41&gt;=0,'Input_Meci'!R41&lt;=200),1,0),IF(AND(ISNUMBER('Input_Meci'!S41),'Input_Meci'!S41&gt;=0,'Input_Meci'!S41&lt;=200),1,0),IF(AND(ISNUMBER('Input_Meci'!T41),'Input_Meci'!T41&gt;=0,'Input_Meci'!T41&lt;=100),1,0),IF(AND(ISNUMBER('Input_Meci'!U41),'Input_Meci'!U41&gt;=0,'Input_Meci'!U41&lt;=100),1,0),IF(AND(ISNUMBER('Input_Meci'!V41),'Input_Meci'!V41&gt;=0,'Input_Meci'!V41&lt;=10),1,0),IF(AND(ISNUMBER('Input_Meci'!W41),'Input_Meci'!W41&gt;=0,'Input_Meci'!W41&lt;=10),1,0)))</x:f>
      </x:c>
      <x:c r="BF41" s="11" t="str">
        <x:f>IF(I41&lt;&gt;"PASS","",MAX(0,MIN(IF(OR(M41="YES",BL41&lt;&gt;C41),'Config_v6'!$B$34,100),ROUND(40+25*MIN(1,MIN(N41,Q41)/'Config_v6'!$B$7)*MIN(1,MIN(O41,R41)/'Config_v6'!$B$8)*MIN(1,MIN(P41,S41)/'Config_v6'!$B$9)+MAX(0,15-2*ABS(AF41-AJ41)-2*ABS(AL41-AP41))+IF(AU41&lt;='Config_v6'!$B$10,15,IF(AU41&lt;='Config_v6'!$B$11,13,IF(AU41&lt;='Config_v6'!$B$12,10,IF(AU41&lt;='Config_v6'!$B$13,6,0))))+5-BE41/10*'Config_v6'!$B$38,0))))</x:f>
      </x:c>
      <x:c r="BG41" s="11" t="str">
        <x:f>IF(I41&lt;&gt;"PASS","",MIN(1,'Config_v6'!$B$14*(0.7+0.3*MIN(1,AR41/'Config_v6'!$B$15))*IF(AU41&lt;='Config_v6'!$B$10,1,IF(AU41&lt;='Config_v6'!$B$11,0.95,IF(AU41&lt;='Config_v6'!$B$12,0.88,0.78)))*(0.75+0.25*BF41/100)))</x:f>
      </x:c>
      <x:c r="BH41" s="11" t="str">
        <x:f>IF(I41&lt;&gt;"PASS","",MIN(1,(ABS(AZ41-1)+ABS(BA41-1))*3))</x:f>
      </x:c>
      <x:c r="BI41" s="2" t="str">
        <x:f>IF(A41="","",IF(AND(OR('Input_Meci'!X41="",AND(ISNUMBER('Input_Meci'!X41),'Input_Meci'!X41&gt;=0,'Input_Meci'!X41&lt;=10)),OR('Input_Meci'!Y41="",AND(ISNUMBER('Input_Meci'!Y41),'Input_Meci'!Y41&gt;=0,'Input_Meci'!Y41&lt;=10)),OR('Input_Meci'!Z41="",AND(ISNUMBER('Input_Meci'!Z41),'Input_Meci'!Z41&gt;=0,'Input_Meci'!Z41&lt;=10)),OR('Input_Meci'!AA41="",AND(ISNUMBER('Input_Meci'!AA41),'Input_Meci'!AA41&gt;=0,'Input_Meci'!AA41&lt;=10)),OR('Input_Meci'!AB41="",AND(ISNUMBER('Input_Meci'!AB41),'Input_Meci'!AB41&gt;=0,'Input_Meci'!AB41&lt;=10)),OR('Input_Meci'!AC41="",AND(ISNUMBER('Input_Meci'!AC41),'Input_Meci'!AC41&gt;=0,'Input_Meci'!AC41&lt;=10)),OR('Input_Meci'!AD41="",AND(ISNUMBER('Input_Meci'!AD41),'Input_Meci'!AD41&gt;=-2,'Input_Meci'!AD41&lt;=2)),OR('Input_Meci'!AE41="",AND(ISNUMBER('Input_Meci'!AE41),'Input_Meci'!AE41&gt;=-2,'Input_Meci'!AE41&lt;=2)),OR('Input_Meci'!AF41="",AND(ISNUMBER('Input_Meci'!AF41),'Input_Meci'!AF41&gt;=-2,'Input_Meci'!AF41&lt;=2)),OR('Input_Meci'!AG41="",AND(ISNUMBER('Input_Meci'!AG41),'Input_Meci'!AG41&gt;=-2,'Input_Meci'!AG41&lt;=2))),"VALID","INVALID"))</x:f>
      </x:c>
      <x:c r="BJ41" s="2" t="n">
        <x:f>IF(A41="",0,SUM('Core_Nativ'!S426:S431))</x:f>
        <x:v>0</x:v>
      </x:c>
      <x:c r="BK41" s="2" t="str">
        <x:f>'Config_v6'!$B$40</x:f>
        <x:v>VALID</x:v>
      </x:c>
      <x:c r="BL41" s="2" t="str">
        <x:f>IF(A41="","",IF(SUMPRODUCT(('Istoric_Nativ'!$B$6:$B$405=B41)*('Istoric_Nativ'!$C$6:$C$405=C41)*('Istoric_Nativ'!$P$6:$P$405=1)*('Istoric_Nativ'!$D$6:$D$405&lt;INT(G41))*((('Istoric_Nativ'!$E$6:$E$405='Input_Meci'!D41)+('Istoric_Nativ'!$F$6:$F$405='Input_Meci'!D41)+('Istoric_Nativ'!$E$6:$E$405='Input_Meci'!E41)+('Istoric_Nativ'!$F$6:$F$405='Input_Meci'!E41))&gt;0))&gt;='Config_v6'!$B$41,C41,IF(AND('Input_Meci'!L41="YES",'Input_Meci'!K41&lt;&gt;"",'Input_Meci'!K41&lt;C41,COUNTIF('Core_Nativ'!R432:R437,"CLOSED")=6,SUM('Core_Nativ'!S432:S437)=0),'Input_Meci'!K41,C41)))</x:f>
      </x:c>
      <x:c r="BM41" s="9" t="n">
        <x:f>IF(OR(A41="",N41=0),0,LARGE(_xlfn._xlws.FILTER('Istoric_Nativ'!$D$6:$D$405,('Istoric_Nativ'!$B$6:$B$405=B41)*('Istoric_Nativ'!$C$6:$C$405=C41)*('Istoric_Nativ'!$P$6:$P$405=1)*('Istoric_Nativ'!$D$6:$D$405&lt;INT(G41))*((('Istoric_Nativ'!$E$6:$E$405='Input_Meci'!D41)+('Istoric_Nativ'!$F$6:$F$405='Input_Meci'!D41))&gt;0)),MIN(10,N41)))</x:f>
        <x:v>0</x:v>
      </x:c>
      <x:c r="BN41" s="9" t="n">
        <x:f>IF(OR(A41="",Q41=0),0,LARGE(_xlfn._xlws.FILTER('Istoric_Nativ'!$D$6:$D$405,('Istoric_Nativ'!$B$6:$B$405=B41)*('Istoric_Nativ'!$C$6:$C$405=C41)*('Istoric_Nativ'!$P$6:$P$405=1)*('Istoric_Nativ'!$D$6:$D$405&lt;INT(G41))*((('Istoric_Nativ'!$E$6:$E$405='Input_Meci'!E41)+('Istoric_Nativ'!$F$6:$F$405='Input_Meci'!E41))&gt;0)),MIN(10,Q41)))</x:f>
        <x:v>0</x:v>
      </x:c>
      <x:c r="BO41" s="9" t="n">
        <x:f>IF(OR(A41="",N41=0),0,LARGE(_xlfn._xlws.FILTER('Istoric_Nativ'!$D$6:$D$405,('Istoric_Nativ'!$B$6:$B$405=B41)*('Istoric_Nativ'!$C$6:$C$405=C41)*('Istoric_Nativ'!$P$6:$P$405=1)*('Istoric_Nativ'!$D$6:$D$405&lt;INT(G41))*((('Istoric_Nativ'!$E$6:$E$405='Input_Meci'!D41)+('Istoric_Nativ'!$F$6:$F$405='Input_Meci'!D41))&gt;0)),MIN(20,N41)))</x:f>
        <x:v>0</x:v>
      </x:c>
      <x:c r="BP41" s="9" t="n">
        <x:f>IF(OR(A41="",Q41=0),0,LARGE(_xlfn._xlws.FILTER('Istoric_Nativ'!$D$6:$D$405,('Istoric_Nativ'!$B$6:$B$405=B41)*('Istoric_Nativ'!$C$6:$C$405=C41)*('Istoric_Nativ'!$P$6:$P$405=1)*('Istoric_Nativ'!$D$6:$D$405&lt;INT(G41))*((('Istoric_Nativ'!$E$6:$E$405='Input_Meci'!E41)+('Istoric_Nativ'!$F$6:$F$405='Input_Meci'!E41))&gt;0)),MIN(20,Q41)))</x:f>
        <x:v>0</x:v>
      </x:c>
      <x:c r="BQ41" s="2" t="str">
        <x:f>IF(A41="","",IF(AND(COUNTIF(MatchesTable[Match_ID],A41)=1,COUNTIFS(MatchesTable[League],B41,MatchesTable[Season],C41,MatchesTable[Home],'Input_Meci'!D41,MatchesTable[Away],'Input_Meci'!E41,MatchesTable[Kickoff_UTC],F41)=1,B41&lt;&gt;"",C41&lt;&gt;"",'Input_Meci'!D41&lt;&gt;"",'Input_Meci'!E41&lt;&gt;"",'Input_Meci'!D41&lt;&gt;'Input_Meci'!E41,ISNUMBER(F41),ISNUMBER(G41),G41&lt;F41,OR(E41="LIVE",E41="REPLAY"),OR('Input_Meci'!L41="YES",'Input_Meci'!L41="NO",'Input_Meci'!L41="")),"VALID","INVALID"))</x:f>
      </x:c>
      <x:c r="BR41" s="2" t="n">
        <x:f>IF(I41&lt;&gt;"PASS",0,SUMPRODUCT(('Istoric_Nativ'!$B$6:$B$405='Input_Meci'!B41)*('Istoric_Nativ'!$C$6:$C$405='Input_Meci'!C41)*('Istoric_Nativ'!$P$6:$P$405=1)*('Istoric_Nativ'!$D$6:$D$405&lt;INT('Input_Meci'!G41))*((('Istoric_Nativ'!$E$6:$E$405='Input_Meci'!D41)+('Istoric_Nativ'!$F$6:$F$405='Input_Meci'!E41))&gt;0)))</x:f>
        <x:v>0</x:v>
      </x:c>
      <x:c r="BS41" s="2" t="n">
        <x:f>IF(I41&lt;&gt;"PASS",0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BM41)+((('Istoric_Nativ'!$E$6:$E$405='Input_Meci'!E41)+('Istoric_Nativ'!$F$6:$F$405='Input_Meci'!E41))&gt;0)*('Istoric_Nativ'!$D$6:$D$405&gt;=BN41))&gt;0)))</x:f>
        <x:v>0</x:v>
      </x:c>
      <x:c r="BT41" s="2" t="n">
        <x:f>IF(I41&lt;&gt;"PASS",0,SUMPRODUCT(('Istoric_Nativ'!$B$6:$B$405='Input_Meci'!B41)*('Istoric_Nativ'!$C$6:$C$405='Input_Meci'!C41)*('Istoric_Nativ'!$P$6:$P$405=1)*('Istoric_Nativ'!$D$6:$D$405&lt;INT('Input_Meci'!G41))*((((('Istoric_Nativ'!$E$6:$E$405='Input_Meci'!D41)+('Istoric_Nativ'!$F$6:$F$405='Input_Meci'!D41))&gt;0)*('Istoric_Nativ'!$D$6:$D$405&gt;=BO41)+((('Istoric_Nativ'!$E$6:$E$405='Input_Meci'!E41)+('Istoric_Nativ'!$F$6:$F$405='Input_Meci'!E41))&gt;0)*('Istoric_Nativ'!$D$6:$D$405&gt;=BP41))&gt;0)))</x:f>
        <x:v>0</x:v>
      </x:c>
    </x:row>
    <x:row r="42" ht="21" customHeight="1">
      <x:c r="A42" s="2" t="str">
        <x:f>IF('Input_Meci'!A42="","",'Input_Meci'!A42)</x:f>
      </x:c>
      <x:c r="B42" s="2" t="str">
        <x:f>IF(A42="","",'Input_Meci'!B42)</x:f>
      </x:c>
      <x:c r="C42" s="2" t="str">
        <x:f>IF(A42="","",'Input_Meci'!C42)</x:f>
      </x:c>
      <x:c r="D42" s="2" t="str">
        <x:f>IF(A42="","",'Input_Meci'!D42&amp;" – "&amp;'Input_Meci'!E42)</x:f>
      </x:c>
      <x:c r="E42" s="2" t="str">
        <x:f>IF(A42="","",'Input_Meci'!H42)</x:f>
      </x:c>
      <x:c r="F42" s="9" t="str">
        <x:f>IF(A42="","",'Input_Meci'!F42)</x:f>
      </x:c>
      <x:c r="G42" s="9" t="str">
        <x:f>IF(A42="","",'Input_Meci'!G42)</x:f>
      </x:c>
      <x:c r="H42" s="2" t="str">
        <x:f>IF(A42="","",IF(BQ42&lt;&gt;"VALID","NOT RELEASED",IF(AND(OR('Input_Meci'!I42="NOT AVAILABLE",'Input_Meci'!I42="SOURCE CONFLICT"),'Input_Meci'!J42&lt;&gt;""),"READY",IF(OR(NOT(OR('Input_Meci'!I42="AUTO",'Input_Meci'!I42="")),COUNTIF('Core_Nativ'!R438:R443,"CLOSED")&lt;&gt;6,BJ42&gt;0),"NOT RELEASED","READY"))))</x:f>
      </x:c>
      <x:c r="I42" s="2" t="str">
        <x:f>IF(A42="","",IF(H42&lt;&gt;"READY","NOT RELEASED",IF(AND(NOT(OR('Input_Meci'!I42="NOT AVAILABLE",'Input_Meci'!I42="SOURCE CONFLICT")),L42=12,AR42&gt;=2,AS42&gt;0,ISNUMBER(AT42),BI42="VALID",BK42="VALID"),"PASS","FAIL")))</x:f>
      </x:c>
      <x:c r="J42" s="2" t="str">
        <x:f>IF(A42="","",IF(BQ42&lt;&gt;"VALID","Verifica ID, echipe, mod si cutoff &lt; kickoff",IF(H42&lt;&gt;"READY",IF('Input_Meci'!I42="ACCESS BLOCKED","Acces blocat: reia sursele",IF(BJ42&gt;0,"Istoric invalid sau conflict: verifica randurile native","Surse neinchise / post-cutoff / dovezi incomplete")),IF(OR('Input_Meci'!I42="NOT AVAILABLE",'Input_Meci'!I42="SOURCE CONFLICT"),'Input_Meci'!I42,IF(BK42&lt;&gt;"VALID","Parametri invalizi",IF(L42&lt;&gt;12,"Core / sample / prior insuficient",IF(AR42&lt;2,"N insuficient pentru dispersie",IF(AS42&lt;=0,"Media istorica trebuie sa fie pozitiva",IF(BI42&lt;&gt;"VALID","Context invalid","READY")))))))))</x:f>
      </x:c>
      <x:c r="K42" s="2" t="str">
        <x:f>IF(A42="","",COUNT(T42:AE42))</x:f>
      </x:c>
      <x:c r="L42" s="2" t="str">
        <x:f>IF(A42="","",COUNT(AF42:AQ42))</x:f>
      </x:c>
      <x:c r="M42" s="2" t="str">
        <x:f>IF(A42="","",IF(OR('Core_Nativ'!M438&lt;'Core_Nativ'!P438,'Core_Nativ'!M439&lt;'Core_Nativ'!P439,'Core_Nativ'!M440&lt;'Core_Nativ'!P440,'Core_Nativ'!M441&lt;'Core_Nativ'!P441,'Core_Nativ'!M442&lt;'Core_Nativ'!P442,'Core_Nativ'!M443&lt;'Core_Nativ'!P443),"YES","NO"))</x:f>
      </x:c>
      <x:c r="N42" s="2" t="str">
        <x:f>IF(A42="","",'Core_Nativ'!M438)</x:f>
      </x:c>
      <x:c r="O42" s="2" t="str">
        <x:f>IF(A42="","",'Core_Nativ'!M439)</x:f>
      </x:c>
      <x:c r="P42" s="2" t="str">
        <x:f>IF(A42="","",'Core_Nativ'!M440)</x:f>
      </x:c>
      <x:c r="Q42" s="2" t="str">
        <x:f>IF(A42="","",'Core_Nativ'!M441)</x:f>
      </x:c>
      <x:c r="R42" s="2" t="str">
        <x:f>IF(A42="","",'Core_Nativ'!M442)</x:f>
      </x:c>
      <x:c r="S42" s="2" t="str">
        <x:f>IF(A42="","",'Core_Nativ'!M443)</x:f>
      </x:c>
      <x:c r="T42" s="11" t="str">
        <x:f>IF(OR(A42="",'Core_Nativ'!M438=0),"",'Core_Nativ'!N438)</x:f>
      </x:c>
      <x:c r="U42" s="11" t="str">
        <x:f>IF(OR(A42="",'Core_Nativ'!M438=0),"",'Core_Nativ'!O438)</x:f>
      </x:c>
      <x:c r="V42" s="11" t="str">
        <x:f>IF(OR(A42="",'Core_Nativ'!M439=0),"",'Core_Nativ'!N439)</x:f>
      </x:c>
      <x:c r="W42" s="11" t="str">
        <x:f>IF(OR(A42="",'Core_Nativ'!M439=0),"",'Core_Nativ'!O439)</x:f>
      </x:c>
      <x:c r="X42" s="11" t="str">
        <x:f>IF(OR(A42="",'Core_Nativ'!M440=0),"",'Core_Nativ'!N440)</x:f>
      </x:c>
      <x:c r="Y42" s="11" t="str">
        <x:f>IF(OR(A42="",'Core_Nativ'!M440=0),"",'Core_Nativ'!O440)</x:f>
      </x:c>
      <x:c r="Z42" s="11" t="str">
        <x:f>IF(OR(A42="",'Core_Nativ'!M441=0),"",'Core_Nativ'!N441)</x:f>
      </x:c>
      <x:c r="AA42" s="11" t="str">
        <x:f>IF(OR(A42="",'Core_Nativ'!M441=0),"",'Core_Nativ'!O441)</x:f>
      </x:c>
      <x:c r="AB42" s="11" t="str">
        <x:f>IF(OR(A42="",'Core_Nativ'!M442=0),"",'Core_Nativ'!N442)</x:f>
      </x:c>
      <x:c r="AC42" s="11" t="str">
        <x:f>IF(OR(A42="",'Core_Nativ'!M442=0),"",'Core_Nativ'!O442)</x:f>
      </x:c>
      <x:c r="AD42" s="11" t="str">
        <x:f>IF(OR(A42="",'Core_Nativ'!M443=0),"",'Core_Nativ'!N443)</x:f>
      </x:c>
      <x:c r="AE42" s="11" t="str">
        <x:f>IF(OR(A42="",'Core_Nativ'!M443=0),"",'Core_Nativ'!O443)</x:f>
      </x:c>
      <x:c r="AF42" s="11" t="str">
        <x:f>IF(A42="","",IF(AND('Core_Nativ'!R438="CLOSED",'Core_Nativ'!S438=0),IF('Core_Nativ'!M438&gt;='Core_Nativ'!P438,'Core_Nativ'!N438,IF(AND('Input_Meci'!L42="YES",'Input_Meci'!K42&lt;&gt;"",'Input_Meci'!K42&lt;C42,'Core_Nativ'!T444="DERIVED",'Core_Nativ'!M444&gt;='Core_Nativ'!P438),MIN(1,'Core_Nativ'!M438/'Core_Nativ'!P438)*IF('Core_Nativ'!M438=0,0,'Core_Nativ'!N438)+(1-MIN(1,'Core_Nativ'!M438/'Core_Nativ'!P438))*'Core_Nativ'!N444,"")),""))</x:f>
      </x:c>
      <x:c r="AG42" s="11" t="str">
        <x:f>IF(A42="","",IF(AND('Core_Nativ'!R438="CLOSED",'Core_Nativ'!S438=0),IF('Core_Nativ'!M438&gt;='Core_Nativ'!P438,'Core_Nativ'!O438,IF(AND('Input_Meci'!L42="YES",'Input_Meci'!K42&lt;&gt;"",'Input_Meci'!K42&lt;C42,'Core_Nativ'!T444="DERIVED",'Core_Nativ'!M444&gt;='Core_Nativ'!P438),MIN(1,'Core_Nativ'!M438/'Core_Nativ'!P438)*IF('Core_Nativ'!M438=0,0,'Core_Nativ'!O438)+(1-MIN(1,'Core_Nativ'!M438/'Core_Nativ'!P438))*'Core_Nativ'!O444,"")),""))</x:f>
      </x:c>
      <x:c r="AH42" s="11" t="str">
        <x:f>IF(A42="","",IF(AND('Core_Nativ'!R439="CLOSED",'Core_Nativ'!S439=0),IF('Core_Nativ'!M439&gt;='Core_Nativ'!P439,'Core_Nativ'!N439,IF(AND('Input_Meci'!L42="YES",'Input_Meci'!K42&lt;&gt;"",'Input_Meci'!K42&lt;C42,'Core_Nativ'!T445="DERIVED",'Core_Nativ'!M445&gt;='Core_Nativ'!P439),MIN(1,'Core_Nativ'!M439/'Core_Nativ'!P439)*IF('Core_Nativ'!M439=0,0,'Core_Nativ'!N439)+(1-MIN(1,'Core_Nativ'!M439/'Core_Nativ'!P439))*'Core_Nativ'!N445,"")),""))</x:f>
      </x:c>
      <x:c r="AI42" s="11" t="str">
        <x:f>IF(A42="","",IF(AND('Core_Nativ'!R439="CLOSED",'Core_Nativ'!S439=0),IF('Core_Nativ'!M439&gt;='Core_Nativ'!P439,'Core_Nativ'!O439,IF(AND('Input_Meci'!L42="YES",'Input_Meci'!K42&lt;&gt;"",'Input_Meci'!K42&lt;C42,'Core_Nativ'!T445="DERIVED",'Core_Nativ'!M445&gt;='Core_Nativ'!P439),MIN(1,'Core_Nativ'!M439/'Core_Nativ'!P439)*IF('Core_Nativ'!M439=0,0,'Core_Nativ'!O439)+(1-MIN(1,'Core_Nativ'!M439/'Core_Nativ'!P439))*'Core_Nativ'!O445,"")),""))</x:f>
      </x:c>
      <x:c r="AJ42" s="11" t="str">
        <x:f>IF(A42="","",IF(AND('Core_Nativ'!R440="CLOSED",'Core_Nativ'!S440=0),IF('Core_Nativ'!M440&gt;='Core_Nativ'!P440,'Core_Nativ'!N440,IF(AND('Input_Meci'!L42="YES",'Input_Meci'!K42&lt;&gt;"",'Input_Meci'!K42&lt;C42,'Core_Nativ'!T446="DERIVED",'Core_Nativ'!M446&gt;='Core_Nativ'!P440),MIN(1,'Core_Nativ'!M440/'Core_Nativ'!P440)*IF('Core_Nativ'!M440=0,0,'Core_Nativ'!N440)+(1-MIN(1,'Core_Nativ'!M440/'Core_Nativ'!P440))*'Core_Nativ'!N446,"")),""))</x:f>
      </x:c>
      <x:c r="AK42" s="11" t="str">
        <x:f>IF(A42="","",IF(AND('Core_Nativ'!R440="CLOSED",'Core_Nativ'!S440=0),IF('Core_Nativ'!M440&gt;='Core_Nativ'!P440,'Core_Nativ'!O440,IF(AND('Input_Meci'!L42="YES",'Input_Meci'!K42&lt;&gt;"",'Input_Meci'!K42&lt;C42,'Core_Nativ'!T446="DERIVED",'Core_Nativ'!M446&gt;='Core_Nativ'!P440),MIN(1,'Core_Nativ'!M440/'Core_Nativ'!P440)*IF('Core_Nativ'!M440=0,0,'Core_Nativ'!O440)+(1-MIN(1,'Core_Nativ'!M440/'Core_Nativ'!P440))*'Core_Nativ'!O446,"")),""))</x:f>
      </x:c>
      <x:c r="AL42" s="11" t="str">
        <x:f>IF(A42="","",IF(AND('Core_Nativ'!R441="CLOSED",'Core_Nativ'!S441=0),IF('Core_Nativ'!M441&gt;='Core_Nativ'!P441,'Core_Nativ'!N441,IF(AND('Input_Meci'!L42="YES",'Input_Meci'!K42&lt;&gt;"",'Input_Meci'!K42&lt;C42,'Core_Nativ'!T447="DERIVED",'Core_Nativ'!M447&gt;='Core_Nativ'!P441),MIN(1,'Core_Nativ'!M441/'Core_Nativ'!P441)*IF('Core_Nativ'!M441=0,0,'Core_Nativ'!N441)+(1-MIN(1,'Core_Nativ'!M441/'Core_Nativ'!P441))*'Core_Nativ'!N447,"")),""))</x:f>
      </x:c>
      <x:c r="AM42" s="11" t="str">
        <x:f>IF(A42="","",IF(AND('Core_Nativ'!R441="CLOSED",'Core_Nativ'!S441=0),IF('Core_Nativ'!M441&gt;='Core_Nativ'!P441,'Core_Nativ'!O441,IF(AND('Input_Meci'!L42="YES",'Input_Meci'!K42&lt;&gt;"",'Input_Meci'!K42&lt;C42,'Core_Nativ'!T447="DERIVED",'Core_Nativ'!M447&gt;='Core_Nativ'!P441),MIN(1,'Core_Nativ'!M441/'Core_Nativ'!P441)*IF('Core_Nativ'!M441=0,0,'Core_Nativ'!O441)+(1-MIN(1,'Core_Nativ'!M441/'Core_Nativ'!P441))*'Core_Nativ'!O447,"")),""))</x:f>
      </x:c>
      <x:c r="AN42" s="11" t="str">
        <x:f>IF(A42="","",IF(AND('Core_Nativ'!R442="CLOSED",'Core_Nativ'!S442=0),IF('Core_Nativ'!M442&gt;='Core_Nativ'!P442,'Core_Nativ'!N442,IF(AND('Input_Meci'!L42="YES",'Input_Meci'!K42&lt;&gt;"",'Input_Meci'!K42&lt;C42,'Core_Nativ'!T448="DERIVED",'Core_Nativ'!M448&gt;='Core_Nativ'!P442),MIN(1,'Core_Nativ'!M442/'Core_Nativ'!P442)*IF('Core_Nativ'!M442=0,0,'Core_Nativ'!N442)+(1-MIN(1,'Core_Nativ'!M442/'Core_Nativ'!P442))*'Core_Nativ'!N448,"")),""))</x:f>
      </x:c>
      <x:c r="AO42" s="11" t="str">
        <x:f>IF(A42="","",IF(AND('Core_Nativ'!R442="CLOSED",'Core_Nativ'!S442=0),IF('Core_Nativ'!M442&gt;='Core_Nativ'!P442,'Core_Nativ'!O442,IF(AND('Input_Meci'!L42="YES",'Input_Meci'!K42&lt;&gt;"",'Input_Meci'!K42&lt;C42,'Core_Nativ'!T448="DERIVED",'Core_Nativ'!M448&gt;='Core_Nativ'!P442),MIN(1,'Core_Nativ'!M442/'Core_Nativ'!P442)*IF('Core_Nativ'!M442=0,0,'Core_Nativ'!O442)+(1-MIN(1,'Core_Nativ'!M442/'Core_Nativ'!P442))*'Core_Nativ'!O448,"")),""))</x:f>
      </x:c>
      <x:c r="AP42" s="11" t="str">
        <x:f>IF(A42="","",IF(AND('Core_Nativ'!R443="CLOSED",'Core_Nativ'!S443=0),IF('Core_Nativ'!M443&gt;='Core_Nativ'!P443,'Core_Nativ'!N443,IF(AND('Input_Meci'!L42="YES",'Input_Meci'!K42&lt;&gt;"",'Input_Meci'!K42&lt;C42,'Core_Nativ'!T449="DERIVED",'Core_Nativ'!M449&gt;='Core_Nativ'!P443),MIN(1,'Core_Nativ'!M443/'Core_Nativ'!P443)*IF('Core_Nativ'!M443=0,0,'Core_Nativ'!N443)+(1-MIN(1,'Core_Nativ'!M443/'Core_Nativ'!P443))*'Core_Nativ'!N449,"")),""))</x:f>
      </x:c>
      <x:c r="AQ42" s="11" t="str">
        <x:f>IF(A42="","",IF(AND('Core_Nativ'!R443="CLOSED",'Core_Nativ'!S443=0),IF('Core_Nativ'!M443&gt;='Core_Nativ'!P443,'Core_Nativ'!O443,IF(AND('Input_Meci'!L42="YES",'Input_Meci'!K42&lt;&gt;"",'Input_Meci'!K42&lt;C42,'Core_Nativ'!T449="DERIVED",'Core_Nativ'!M449&gt;='Core_Nativ'!P443),MIN(1,'Core_Nativ'!M443/'Core_Nativ'!P443)*IF('Core_Nativ'!M443=0,0,'Core_Nativ'!O443)+(1-MIN(1,'Core_Nativ'!M443/'Core_Nativ'!P443))*'Core_Nativ'!O449,"")),""))</x:f>
      </x:c>
      <x:c r="AR42" s="11" t="str">
        <x:f>IF(A42="","",SUMPRODUCT(('Istoric_Nativ'!$B$6:$B$405=B42)*('Istoric_Nativ'!$C$6:$C$405=BL42)*('Istoric_Nativ'!$P$6:$P$405=1)*('Istoric_Nativ'!$D$6:$D$405&lt;INT(G42))*((('Istoric_Nativ'!$E$6:$E$405='Input_Meci'!D42)+('Istoric_Nativ'!$F$6:$F$405='Input_Meci'!D42)+('Istoric_Nativ'!$E$6:$E$405='Input_Meci'!E42)+('Istoric_Nativ'!$F$6:$F$405='Input_Meci'!E42))&gt;0)))</x:f>
      </x:c>
      <x:c r="AS42" s="11" t="str">
        <x:f>IF(AR42=0,"",SUMPRODUCT(('Istoric_Nativ'!$B$6:$B$405=B42)*('Istoric_Nativ'!$C$6:$C$405=BL42)*('Istoric_Nativ'!$P$6:$P$405=1)*('Istoric_Nativ'!$D$6:$D$405&lt;INT(G42))*((('Istoric_Nativ'!$E$6:$E$405='Input_Meci'!D42)+('Istoric_Nativ'!$F$6:$F$405='Input_Meci'!D42)+('Istoric_Nativ'!$E$6:$E$405='Input_Meci'!E42)+('Istoric_Nativ'!$F$6:$F$405='Input_Meci'!E42))&gt;0)*'Istoric_Nativ'!$Q$6:$Q$405)/AR42)</x:f>
      </x:c>
      <x:c r="AT42" s="11" t="str">
        <x:f>IF(AR42&lt;2,"",MAX(0,(SUMPRODUCT(('Istoric_Nativ'!$B$6:$B$405=B42)*('Istoric_Nativ'!$C$6:$C$405=BL42)*('Istoric_Nativ'!$P$6:$P$405=1)*('Istoric_Nativ'!$D$6:$D$405&lt;INT(G42))*((('Istoric_Nativ'!$E$6:$E$405='Input_Meci'!D42)+('Istoric_Nativ'!$F$6:$F$405='Input_Meci'!D42)+('Istoric_Nativ'!$E$6:$E$405='Input_Meci'!E42)+('Istoric_Nativ'!$F$6:$F$405='Input_Meci'!E42))&gt;0)*'Istoric_Nativ'!$R$6:$R$405)-AR42*AS42^2)/(AR42-1)))</x:f>
      </x:c>
      <x:c r="AU42" s="11" t="str">
        <x:f>IF(I42&lt;&gt;"PASS","",AT42/AS42)</x:f>
      </x:c>
      <x:c r="AV42" s="11" t="str">
        <x:f>IF(I42&lt;&gt;"PASS","",IF(AU42&lt;='Config_v6'!$B$10,"POISSON","NEGATIVE BINOMIAL"))</x:f>
      </x:c>
      <x:c r="AW42" s="11" t="str">
        <x:f>IF(I42&lt;&gt;"PASS","",IF(AV42="POISSON",9999,AS42/(AU42-1)))</x:f>
      </x:c>
      <x:c r="AX42" s="11" t="str">
        <x:f>IF(A42="","",MAX(1-'Config_v6'!$B$20,MIN(1+'Config_v6'!$B$20,1+0.02*(IF(AND(ISNUMBER('Input_Meci'!N42),'Input_Meci'!N42&gt;=0,'Input_Meci'!N42&lt;=200),'Input_Meci'!N42,12)/12-1)+0.02*(IF(AND(ISNUMBER('Input_Meci'!P42),'Input_Meci'!P42&gt;=0,'Input_Meci'!P42&lt;=200),'Input_Meci'!P42,3.5)/3.5-1)+0.02*(IF(AND(ISNUMBER('Input_Meci'!R42),'Input_Meci'!R42&gt;=0,'Input_Meci'!R42&lt;=200),'Input_Meci'!R42,18)/18-1)+0.02*((IF(AND(ISNUMBER('Input_Meci'!V42),'Input_Meci'!V42&gt;=0,'Input_Meci'!V42&lt;=10),'Input_Meci'!V42,5)-5)/5))))</x:f>
      </x:c>
      <x:c r="AY42" s="11" t="str">
        <x:f>IF(A42="","",MAX(1-'Config_v6'!$B$20,MIN(1+'Config_v6'!$B$20,1+0.02*(IF(AND(ISNUMBER('Input_Meci'!O42),'Input_Meci'!O42&gt;=0,'Input_Meci'!O42&lt;=200),'Input_Meci'!O42,12)/12-1)+0.02*(IF(AND(ISNUMBER('Input_Meci'!Q42),'Input_Meci'!Q42&gt;=0,'Input_Meci'!Q42&lt;=200),'Input_Meci'!Q42,3.5)/3.5-1)+0.02*(IF(AND(ISNUMBER('Input_Meci'!S42),'Input_Meci'!S42&gt;=0,'Input_Meci'!S42&lt;=200),'Input_Meci'!S42,18)/18-1)+0.02*((IF(AND(ISNUMBER('Input_Meci'!W42),'Input_Meci'!W42&gt;=0,'Input_Meci'!W42&lt;=10),'Input_Meci'!W42,5)-5)/5))))</x:f>
      </x:c>
      <x:c r="AZ42" s="11" t="str">
        <x:f>IF(A42="","",MAX(1-'Config_v6'!$B$21,MIN(1+'Config_v6'!$B$21,1+0.012*(IF('Input_Meci'!X42="",5,IF(ISNUMBER('Input_Meci'!X42),'Input_Meci'!X42,5))-5)+0.018*(IF('Input_Meci'!Z42="",5,IF(ISNUMBER('Input_Meci'!Z42),'Input_Meci'!Z42,5))-5)+0.012*(IF('Input_Meci'!AB42="",5,IF(ISNUMBER('Input_Meci'!AB42),'Input_Meci'!AB42,5))-5)+0.015*IF('Input_Meci'!AD42="",0,IF(ISNUMBER('Input_Meci'!AD42),'Input_Meci'!AD42,0))+0.02*IF('Input_Meci'!AF42="",0,IF(ISNUMBER('Input_Meci'!AF42),'Input_Meci'!AF42,0)))))</x:f>
      </x:c>
      <x:c r="BA42" s="11" t="str">
        <x:f>IF(A42="","",MAX(1-'Config_v6'!$B$21,MIN(1+'Config_v6'!$B$21,1+0.012*(IF('Input_Meci'!Y42="",5,IF(ISNUMBER('Input_Meci'!Y42),'Input_Meci'!Y42,5))-5)+0.018*(IF('Input_Meci'!AA42="",5,IF(ISNUMBER('Input_Meci'!AA42),'Input_Meci'!AA42,5))-5)+0.012*(IF('Input_Meci'!AC42="",5,IF(ISNUMBER('Input_Meci'!AC42),'Input_Meci'!AC42,5))-5)+0.015*IF('Input_Meci'!AE42="",0,IF(ISNUMBER('Input_Meci'!AE42),'Input_Meci'!AE42,0))+0.02*IF('Input_Meci'!AG42="",0,IF(ISNUMBER('Input_Meci'!AG42),'Input_Meci'!AG42,0)))))</x:f>
      </x:c>
      <x:c r="BB42" s="11" t="str">
        <x:f>IF(I42&lt;&gt;"PASS","",(AVERAGE(AF42,AM42)*'Config_v6'!$B$4+AVERAGE(AH42,AO42)*'Config_v6'!$B$5+AVERAGE(AJ42,AQ42)*'Config_v6'!$B$6)*AX42*AZ42)</x:f>
      </x:c>
      <x:c r="BC42" s="11" t="str">
        <x:f>IF(I42&lt;&gt;"PASS","",(AVERAGE(AL42,AG42)*'Config_v6'!$B$4+AVERAGE(AN42,AI42)*'Config_v6'!$B$5+AVERAGE(AP42,AK42)*'Config_v6'!$B$6)*AY42*BA42)</x:f>
      </x:c>
      <x:c r="BD42" s="11" t="str">
        <x:f>IF(I42&lt;&gt;"PASS","",BB42+BC42)</x:f>
      </x:c>
      <x:c r="BE42" s="11" t="str">
        <x:f>IF(A42="","",10-SUM(IF(AND(ISNUMBER('Input_Meci'!N42),'Input_Meci'!N42&gt;=0,'Input_Meci'!N42&lt;=200),1,0),IF(AND(ISNUMBER('Input_Meci'!O42),'Input_Meci'!O42&gt;=0,'Input_Meci'!O42&lt;=200),1,0),IF(AND(ISNUMBER('Input_Meci'!P42),'Input_Meci'!P42&gt;=0,'Input_Meci'!P42&lt;=200),1,0),IF(AND(ISNUMBER('Input_Meci'!Q42),'Input_Meci'!Q42&gt;=0,'Input_Meci'!Q42&lt;=200),1,0),IF(AND(ISNUMBER('Input_Meci'!R42),'Input_Meci'!R42&gt;=0,'Input_Meci'!R42&lt;=200),1,0),IF(AND(ISNUMBER('Input_Meci'!S42),'Input_Meci'!S42&gt;=0,'Input_Meci'!S42&lt;=200),1,0),IF(AND(ISNUMBER('Input_Meci'!T42),'Input_Meci'!T42&gt;=0,'Input_Meci'!T42&lt;=100),1,0),IF(AND(ISNUMBER('Input_Meci'!U42),'Input_Meci'!U42&gt;=0,'Input_Meci'!U42&lt;=100),1,0),IF(AND(ISNUMBER('Input_Meci'!V42),'Input_Meci'!V42&gt;=0,'Input_Meci'!V42&lt;=10),1,0),IF(AND(ISNUMBER('Input_Meci'!W42),'Input_Meci'!W42&gt;=0,'Input_Meci'!W42&lt;=10),1,0)))</x:f>
      </x:c>
      <x:c r="BF42" s="11" t="str">
        <x:f>IF(I42&lt;&gt;"PASS","",MAX(0,MIN(IF(OR(M42="YES",BL42&lt;&gt;C42),'Config_v6'!$B$34,100),ROUND(40+25*MIN(1,MIN(N42,Q42)/'Config_v6'!$B$7)*MIN(1,MIN(O42,R42)/'Config_v6'!$B$8)*MIN(1,MIN(P42,S42)/'Config_v6'!$B$9)+MAX(0,15-2*ABS(AF42-AJ42)-2*ABS(AL42-AP42))+IF(AU42&lt;='Config_v6'!$B$10,15,IF(AU42&lt;='Config_v6'!$B$11,13,IF(AU42&lt;='Config_v6'!$B$12,10,IF(AU42&lt;='Config_v6'!$B$13,6,0))))+5-BE42/10*'Config_v6'!$B$38,0))))</x:f>
      </x:c>
      <x:c r="BG42" s="11" t="str">
        <x:f>IF(I42&lt;&gt;"PASS","",MIN(1,'Config_v6'!$B$14*(0.7+0.3*MIN(1,AR42/'Config_v6'!$B$15))*IF(AU42&lt;='Config_v6'!$B$10,1,IF(AU42&lt;='Config_v6'!$B$11,0.95,IF(AU42&lt;='Config_v6'!$B$12,0.88,0.78)))*(0.75+0.25*BF42/100)))</x:f>
      </x:c>
      <x:c r="BH42" s="11" t="str">
        <x:f>IF(I42&lt;&gt;"PASS","",MIN(1,(ABS(AZ42-1)+ABS(BA42-1))*3))</x:f>
      </x:c>
      <x:c r="BI42" s="2" t="str">
        <x:f>IF(A42="","",IF(AND(OR('Input_Meci'!X42="",AND(ISNUMBER('Input_Meci'!X42),'Input_Meci'!X42&gt;=0,'Input_Meci'!X42&lt;=10)),OR('Input_Meci'!Y42="",AND(ISNUMBER('Input_Meci'!Y42),'Input_Meci'!Y42&gt;=0,'Input_Meci'!Y42&lt;=10)),OR('Input_Meci'!Z42="",AND(ISNUMBER('Input_Meci'!Z42),'Input_Meci'!Z42&gt;=0,'Input_Meci'!Z42&lt;=10)),OR('Input_Meci'!AA42="",AND(ISNUMBER('Input_Meci'!AA42),'Input_Meci'!AA42&gt;=0,'Input_Meci'!AA42&lt;=10)),OR('Input_Meci'!AB42="",AND(ISNUMBER('Input_Meci'!AB42),'Input_Meci'!AB42&gt;=0,'Input_Meci'!AB42&lt;=10)),OR('Input_Meci'!AC42="",AND(ISNUMBER('Input_Meci'!AC42),'Input_Meci'!AC42&gt;=0,'Input_Meci'!AC42&lt;=10)),OR('Input_Meci'!AD42="",AND(ISNUMBER('Input_Meci'!AD42),'Input_Meci'!AD42&gt;=-2,'Input_Meci'!AD42&lt;=2)),OR('Input_Meci'!AE42="",AND(ISNUMBER('Input_Meci'!AE42),'Input_Meci'!AE42&gt;=-2,'Input_Meci'!AE42&lt;=2)),OR('Input_Meci'!AF42="",AND(ISNUMBER('Input_Meci'!AF42),'Input_Meci'!AF42&gt;=-2,'Input_Meci'!AF42&lt;=2)),OR('Input_Meci'!AG42="",AND(ISNUMBER('Input_Meci'!AG42),'Input_Meci'!AG42&gt;=-2,'Input_Meci'!AG42&lt;=2))),"VALID","INVALID"))</x:f>
      </x:c>
      <x:c r="BJ42" s="2" t="n">
        <x:f>IF(A42="",0,SUM('Core_Nativ'!S438:S443))</x:f>
        <x:v>0</x:v>
      </x:c>
      <x:c r="BK42" s="2" t="str">
        <x:f>'Config_v6'!$B$40</x:f>
        <x:v>VALID</x:v>
      </x:c>
      <x:c r="BL42" s="2" t="str">
        <x:f>IF(A42="","",IF(SUMPRODUCT(('Istoric_Nativ'!$B$6:$B$405=B42)*('Istoric_Nativ'!$C$6:$C$405=C42)*('Istoric_Nativ'!$P$6:$P$405=1)*('Istoric_Nativ'!$D$6:$D$405&lt;INT(G42))*((('Istoric_Nativ'!$E$6:$E$405='Input_Meci'!D42)+('Istoric_Nativ'!$F$6:$F$405='Input_Meci'!D42)+('Istoric_Nativ'!$E$6:$E$405='Input_Meci'!E42)+('Istoric_Nativ'!$F$6:$F$405='Input_Meci'!E42))&gt;0))&gt;='Config_v6'!$B$41,C42,IF(AND('Input_Meci'!L42="YES",'Input_Meci'!K42&lt;&gt;"",'Input_Meci'!K42&lt;C42,COUNTIF('Core_Nativ'!R444:R449,"CLOSED")=6,SUM('Core_Nativ'!S444:S449)=0),'Input_Meci'!K42,C42)))</x:f>
      </x:c>
      <x:c r="BM42" s="9" t="n">
        <x:f>IF(OR(A42="",N42=0),0,LARGE(_xlfn._xlws.FILTER('Istoric_Nativ'!$D$6:$D$405,('Istoric_Nativ'!$B$6:$B$405=B42)*('Istoric_Nativ'!$C$6:$C$405=C42)*('Istoric_Nativ'!$P$6:$P$405=1)*('Istoric_Nativ'!$D$6:$D$405&lt;INT(G42))*((('Istoric_Nativ'!$E$6:$E$405='Input_Meci'!D42)+('Istoric_Nativ'!$F$6:$F$405='Input_Meci'!D42))&gt;0)),MIN(10,N42)))</x:f>
        <x:v>0</x:v>
      </x:c>
      <x:c r="BN42" s="9" t="n">
        <x:f>IF(OR(A42="",Q42=0),0,LARGE(_xlfn._xlws.FILTER('Istoric_Nativ'!$D$6:$D$405,('Istoric_Nativ'!$B$6:$B$405=B42)*('Istoric_Nativ'!$C$6:$C$405=C42)*('Istoric_Nativ'!$P$6:$P$405=1)*('Istoric_Nativ'!$D$6:$D$405&lt;INT(G42))*((('Istoric_Nativ'!$E$6:$E$405='Input_Meci'!E42)+('Istoric_Nativ'!$F$6:$F$405='Input_Meci'!E42))&gt;0)),MIN(10,Q42)))</x:f>
        <x:v>0</x:v>
      </x:c>
      <x:c r="BO42" s="9" t="n">
        <x:f>IF(OR(A42="",N42=0),0,LARGE(_xlfn._xlws.FILTER('Istoric_Nativ'!$D$6:$D$405,('Istoric_Nativ'!$B$6:$B$405=B42)*('Istoric_Nativ'!$C$6:$C$405=C42)*('Istoric_Nativ'!$P$6:$P$405=1)*('Istoric_Nativ'!$D$6:$D$405&lt;INT(G42))*((('Istoric_Nativ'!$E$6:$E$405='Input_Meci'!D42)+('Istoric_Nativ'!$F$6:$F$405='Input_Meci'!D42))&gt;0)),MIN(20,N42)))</x:f>
        <x:v>0</x:v>
      </x:c>
      <x:c r="BP42" s="9" t="n">
        <x:f>IF(OR(A42="",Q42=0),0,LARGE(_xlfn._xlws.FILTER('Istoric_Nativ'!$D$6:$D$405,('Istoric_Nativ'!$B$6:$B$405=B42)*('Istoric_Nativ'!$C$6:$C$405=C42)*('Istoric_Nativ'!$P$6:$P$405=1)*('Istoric_Nativ'!$D$6:$D$405&lt;INT(G42))*((('Istoric_Nativ'!$E$6:$E$405='Input_Meci'!E42)+('Istoric_Nativ'!$F$6:$F$405='Input_Meci'!E42))&gt;0)),MIN(20,Q42)))</x:f>
        <x:v>0</x:v>
      </x:c>
      <x:c r="BQ42" s="2" t="str">
        <x:f>IF(A42="","",IF(AND(COUNTIF(MatchesTable[Match_ID],A42)=1,COUNTIFS(MatchesTable[League],B42,MatchesTable[Season],C42,MatchesTable[Home],'Input_Meci'!D42,MatchesTable[Away],'Input_Meci'!E42,MatchesTable[Kickoff_UTC],F42)=1,B42&lt;&gt;"",C42&lt;&gt;"",'Input_Meci'!D42&lt;&gt;"",'Input_Meci'!E42&lt;&gt;"",'Input_Meci'!D42&lt;&gt;'Input_Meci'!E42,ISNUMBER(F42),ISNUMBER(G42),G42&lt;F42,OR(E42="LIVE",E42="REPLAY"),OR('Input_Meci'!L42="YES",'Input_Meci'!L42="NO",'Input_Meci'!L42="")),"VALID","INVALID"))</x:f>
      </x:c>
      <x:c r="BR42" s="2" t="n">
        <x:f>IF(I42&lt;&gt;"PASS",0,SUMPRODUCT(('Istoric_Nativ'!$B$6:$B$405='Input_Meci'!B42)*('Istoric_Nativ'!$C$6:$C$405='Input_Meci'!C42)*('Istoric_Nativ'!$P$6:$P$405=1)*('Istoric_Nativ'!$D$6:$D$405&lt;INT('Input_Meci'!G42))*((('Istoric_Nativ'!$E$6:$E$405='Input_Meci'!D42)+('Istoric_Nativ'!$F$6:$F$405='Input_Meci'!E42))&gt;0)))</x:f>
        <x:v>0</x:v>
      </x:c>
      <x:c r="BS42" s="2" t="n">
        <x:f>IF(I42&lt;&gt;"PASS",0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BM42)+((('Istoric_Nativ'!$E$6:$E$405='Input_Meci'!E42)+('Istoric_Nativ'!$F$6:$F$405='Input_Meci'!E42))&gt;0)*('Istoric_Nativ'!$D$6:$D$405&gt;=BN42))&gt;0)))</x:f>
        <x:v>0</x:v>
      </x:c>
      <x:c r="BT42" s="2" t="n">
        <x:f>IF(I42&lt;&gt;"PASS",0,SUMPRODUCT(('Istoric_Nativ'!$B$6:$B$405='Input_Meci'!B42)*('Istoric_Nativ'!$C$6:$C$405='Input_Meci'!C42)*('Istoric_Nativ'!$P$6:$P$405=1)*('Istoric_Nativ'!$D$6:$D$405&lt;INT('Input_Meci'!G42))*((((('Istoric_Nativ'!$E$6:$E$405='Input_Meci'!D42)+('Istoric_Nativ'!$F$6:$F$405='Input_Meci'!D42))&gt;0)*('Istoric_Nativ'!$D$6:$D$405&gt;=BO42)+((('Istoric_Nativ'!$E$6:$E$405='Input_Meci'!E42)+('Istoric_Nativ'!$F$6:$F$405='Input_Meci'!E42))&gt;0)*('Istoric_Nativ'!$D$6:$D$405&gt;=BP42))&gt;0)))</x:f>
        <x:v>0</x:v>
      </x:c>
    </x:row>
    <x:row r="43" ht="21" customHeight="1">
      <x:c r="A43" s="2" t="str">
        <x:f>IF('Input_Meci'!A43="","",'Input_Meci'!A43)</x:f>
      </x:c>
      <x:c r="B43" s="2" t="str">
        <x:f>IF(A43="","",'Input_Meci'!B43)</x:f>
      </x:c>
      <x:c r="C43" s="2" t="str">
        <x:f>IF(A43="","",'Input_Meci'!C43)</x:f>
      </x:c>
      <x:c r="D43" s="2" t="str">
        <x:f>IF(A43="","",'Input_Meci'!D43&amp;" – "&amp;'Input_Meci'!E43)</x:f>
      </x:c>
      <x:c r="E43" s="2" t="str">
        <x:f>IF(A43="","",'Input_Meci'!H43)</x:f>
      </x:c>
      <x:c r="F43" s="9" t="str">
        <x:f>IF(A43="","",'Input_Meci'!F43)</x:f>
      </x:c>
      <x:c r="G43" s="9" t="str">
        <x:f>IF(A43="","",'Input_Meci'!G43)</x:f>
      </x:c>
      <x:c r="H43" s="2" t="str">
        <x:f>IF(A43="","",IF(BQ43&lt;&gt;"VALID","NOT RELEASED",IF(AND(OR('Input_Meci'!I43="NOT AVAILABLE",'Input_Meci'!I43="SOURCE CONFLICT"),'Input_Meci'!J43&lt;&gt;""),"READY",IF(OR(NOT(OR('Input_Meci'!I43="AUTO",'Input_Meci'!I43="")),COUNTIF('Core_Nativ'!R450:R455,"CLOSED")&lt;&gt;6,BJ43&gt;0),"NOT RELEASED","READY"))))</x:f>
      </x:c>
      <x:c r="I43" s="2" t="str">
        <x:f>IF(A43="","",IF(H43&lt;&gt;"READY","NOT RELEASED",IF(AND(NOT(OR('Input_Meci'!I43="NOT AVAILABLE",'Input_Meci'!I43="SOURCE CONFLICT")),L43=12,AR43&gt;=2,AS43&gt;0,ISNUMBER(AT43),BI43="VALID",BK43="VALID"),"PASS","FAIL")))</x:f>
      </x:c>
      <x:c r="J43" s="2" t="str">
        <x:f>IF(A43="","",IF(BQ43&lt;&gt;"VALID","Verifica ID, echipe, mod si cutoff &lt; kickoff",IF(H43&lt;&gt;"READY",IF('Input_Meci'!I43="ACCESS BLOCKED","Acces blocat: reia sursele",IF(BJ43&gt;0,"Istoric invalid sau conflict: verifica randurile native","Surse neinchise / post-cutoff / dovezi incomplete")),IF(OR('Input_Meci'!I43="NOT AVAILABLE",'Input_Meci'!I43="SOURCE CONFLICT"),'Input_Meci'!I43,IF(BK43&lt;&gt;"VALID","Parametri invalizi",IF(L43&lt;&gt;12,"Core / sample / prior insuficient",IF(AR43&lt;2,"N insuficient pentru dispersie",IF(AS43&lt;=0,"Media istorica trebuie sa fie pozitiva",IF(BI43&lt;&gt;"VALID","Context invalid","READY")))))))))</x:f>
      </x:c>
      <x:c r="K43" s="2" t="str">
        <x:f>IF(A43="","",COUNT(T43:AE43))</x:f>
      </x:c>
      <x:c r="L43" s="2" t="str">
        <x:f>IF(A43="","",COUNT(AF43:AQ43))</x:f>
      </x:c>
      <x:c r="M43" s="2" t="str">
        <x:f>IF(A43="","",IF(OR('Core_Nativ'!M450&lt;'Core_Nativ'!P450,'Core_Nativ'!M451&lt;'Core_Nativ'!P451,'Core_Nativ'!M452&lt;'Core_Nativ'!P452,'Core_Nativ'!M453&lt;'Core_Nativ'!P453,'Core_Nativ'!M454&lt;'Core_Nativ'!P454,'Core_Nativ'!M455&lt;'Core_Nativ'!P455),"YES","NO"))</x:f>
      </x:c>
      <x:c r="N43" s="2" t="str">
        <x:f>IF(A43="","",'Core_Nativ'!M450)</x:f>
      </x:c>
      <x:c r="O43" s="2" t="str">
        <x:f>IF(A43="","",'Core_Nativ'!M451)</x:f>
      </x:c>
      <x:c r="P43" s="2" t="str">
        <x:f>IF(A43="","",'Core_Nativ'!M452)</x:f>
      </x:c>
      <x:c r="Q43" s="2" t="str">
        <x:f>IF(A43="","",'Core_Nativ'!M453)</x:f>
      </x:c>
      <x:c r="R43" s="2" t="str">
        <x:f>IF(A43="","",'Core_Nativ'!M454)</x:f>
      </x:c>
      <x:c r="S43" s="2" t="str">
        <x:f>IF(A43="","",'Core_Nativ'!M455)</x:f>
      </x:c>
      <x:c r="T43" s="11" t="str">
        <x:f>IF(OR(A43="",'Core_Nativ'!M450=0),"",'Core_Nativ'!N450)</x:f>
      </x:c>
      <x:c r="U43" s="11" t="str">
        <x:f>IF(OR(A43="",'Core_Nativ'!M450=0),"",'Core_Nativ'!O450)</x:f>
      </x:c>
      <x:c r="V43" s="11" t="str">
        <x:f>IF(OR(A43="",'Core_Nativ'!M451=0),"",'Core_Nativ'!N451)</x:f>
      </x:c>
      <x:c r="W43" s="11" t="str">
        <x:f>IF(OR(A43="",'Core_Nativ'!M451=0),"",'Core_Nativ'!O451)</x:f>
      </x:c>
      <x:c r="X43" s="11" t="str">
        <x:f>IF(OR(A43="",'Core_Nativ'!M452=0),"",'Core_Nativ'!N452)</x:f>
      </x:c>
      <x:c r="Y43" s="11" t="str">
        <x:f>IF(OR(A43="",'Core_Nativ'!M452=0),"",'Core_Nativ'!O452)</x:f>
      </x:c>
      <x:c r="Z43" s="11" t="str">
        <x:f>IF(OR(A43="",'Core_Nativ'!M453=0),"",'Core_Nativ'!N453)</x:f>
      </x:c>
      <x:c r="AA43" s="11" t="str">
        <x:f>IF(OR(A43="",'Core_Nativ'!M453=0),"",'Core_Nativ'!O453)</x:f>
      </x:c>
      <x:c r="AB43" s="11" t="str">
        <x:f>IF(OR(A43="",'Core_Nativ'!M454=0),"",'Core_Nativ'!N454)</x:f>
      </x:c>
      <x:c r="AC43" s="11" t="str">
        <x:f>IF(OR(A43="",'Core_Nativ'!M454=0),"",'Core_Nativ'!O454)</x:f>
      </x:c>
      <x:c r="AD43" s="11" t="str">
        <x:f>IF(OR(A43="",'Core_Nativ'!M455=0),"",'Core_Nativ'!N455)</x:f>
      </x:c>
      <x:c r="AE43" s="11" t="str">
        <x:f>IF(OR(A43="",'Core_Nativ'!M455=0),"",'Core_Nativ'!O455)</x:f>
      </x:c>
      <x:c r="AF43" s="11" t="str">
        <x:f>IF(A43="","",IF(AND('Core_Nativ'!R450="CLOSED",'Core_Nativ'!S450=0),IF('Core_Nativ'!M450&gt;='Core_Nativ'!P450,'Core_Nativ'!N450,IF(AND('Input_Meci'!L43="YES",'Input_Meci'!K43&lt;&gt;"",'Input_Meci'!K43&lt;C43,'Core_Nativ'!T456="DERIVED",'Core_Nativ'!M456&gt;='Core_Nativ'!P450),MIN(1,'Core_Nativ'!M450/'Core_Nativ'!P450)*IF('Core_Nativ'!M450=0,0,'Core_Nativ'!N450)+(1-MIN(1,'Core_Nativ'!M450/'Core_Nativ'!P450))*'Core_Nativ'!N456,"")),""))</x:f>
      </x:c>
      <x:c r="AG43" s="11" t="str">
        <x:f>IF(A43="","",IF(AND('Core_Nativ'!R450="CLOSED",'Core_Nativ'!S450=0),IF('Core_Nativ'!M450&gt;='Core_Nativ'!P450,'Core_Nativ'!O450,IF(AND('Input_Meci'!L43="YES",'Input_Meci'!K43&lt;&gt;"",'Input_Meci'!K43&lt;C43,'Core_Nativ'!T456="DERIVED",'Core_Nativ'!M456&gt;='Core_Nativ'!P450),MIN(1,'Core_Nativ'!M450/'Core_Nativ'!P450)*IF('Core_Nativ'!M450=0,0,'Core_Nativ'!O450)+(1-MIN(1,'Core_Nativ'!M450/'Core_Nativ'!P450))*'Core_Nativ'!O456,"")),""))</x:f>
      </x:c>
      <x:c r="AH43" s="11" t="str">
        <x:f>IF(A43="","",IF(AND('Core_Nativ'!R451="CLOSED",'Core_Nativ'!S451=0),IF('Core_Nativ'!M451&gt;='Core_Nativ'!P451,'Core_Nativ'!N451,IF(AND('Input_Meci'!L43="YES",'Input_Meci'!K43&lt;&gt;"",'Input_Meci'!K43&lt;C43,'Core_Nativ'!T457="DERIVED",'Core_Nativ'!M457&gt;='Core_Nativ'!P451),MIN(1,'Core_Nativ'!M451/'Core_Nativ'!P451)*IF('Core_Nativ'!M451=0,0,'Core_Nativ'!N451)+(1-MIN(1,'Core_Nativ'!M451/'Core_Nativ'!P451))*'Core_Nativ'!N457,"")),""))</x:f>
      </x:c>
      <x:c r="AI43" s="11" t="str">
        <x:f>IF(A43="","",IF(AND('Core_Nativ'!R451="CLOSED",'Core_Nativ'!S451=0),IF('Core_Nativ'!M451&gt;='Core_Nativ'!P451,'Core_Nativ'!O451,IF(AND('Input_Meci'!L43="YES",'Input_Meci'!K43&lt;&gt;"",'Input_Meci'!K43&lt;C43,'Core_Nativ'!T457="DERIVED",'Core_Nativ'!M457&gt;='Core_Nativ'!P451),MIN(1,'Core_Nativ'!M451/'Core_Nativ'!P451)*IF('Core_Nativ'!M451=0,0,'Core_Nativ'!O451)+(1-MIN(1,'Core_Nativ'!M451/'Core_Nativ'!P451))*'Core_Nativ'!O457,"")),""))</x:f>
      </x:c>
      <x:c r="AJ43" s="11" t="str">
        <x:f>IF(A43="","",IF(AND('Core_Nativ'!R452="CLOSED",'Core_Nativ'!S452=0),IF('Core_Nativ'!M452&gt;='Core_Nativ'!P452,'Core_Nativ'!N452,IF(AND('Input_Meci'!L43="YES",'Input_Meci'!K43&lt;&gt;"",'Input_Meci'!K43&lt;C43,'Core_Nativ'!T458="DERIVED",'Core_Nativ'!M458&gt;='Core_Nativ'!P452),MIN(1,'Core_Nativ'!M452/'Core_Nativ'!P452)*IF('Core_Nativ'!M452=0,0,'Core_Nativ'!N452)+(1-MIN(1,'Core_Nativ'!M452/'Core_Nativ'!P452))*'Core_Nativ'!N458,"")),""))</x:f>
      </x:c>
      <x:c r="AK43" s="11" t="str">
        <x:f>IF(A43="","",IF(AND('Core_Nativ'!R452="CLOSED",'Core_Nativ'!S452=0),IF('Core_Nativ'!M452&gt;='Core_Nativ'!P452,'Core_Nativ'!O452,IF(AND('Input_Meci'!L43="YES",'Input_Meci'!K43&lt;&gt;"",'Input_Meci'!K43&lt;C43,'Core_Nativ'!T458="DERIVED",'Core_Nativ'!M458&gt;='Core_Nativ'!P452),MIN(1,'Core_Nativ'!M452/'Core_Nativ'!P452)*IF('Core_Nativ'!M452=0,0,'Core_Nativ'!O452)+(1-MIN(1,'Core_Nativ'!M452/'Core_Nativ'!P452))*'Core_Nativ'!O458,"")),""))</x:f>
      </x:c>
      <x:c r="AL43" s="11" t="str">
        <x:f>IF(A43="","",IF(AND('Core_Nativ'!R453="CLOSED",'Core_Nativ'!S453=0),IF('Core_Nativ'!M453&gt;='Core_Nativ'!P453,'Core_Nativ'!N453,IF(AND('Input_Meci'!L43="YES",'Input_Meci'!K43&lt;&gt;"",'Input_Meci'!K43&lt;C43,'Core_Nativ'!T459="DERIVED",'Core_Nativ'!M459&gt;='Core_Nativ'!P453),MIN(1,'Core_Nativ'!M453/'Core_Nativ'!P453)*IF('Core_Nativ'!M453=0,0,'Core_Nativ'!N453)+(1-MIN(1,'Core_Nativ'!M453/'Core_Nativ'!P453))*'Core_Nativ'!N459,"")),""))</x:f>
      </x:c>
      <x:c r="AM43" s="11" t="str">
        <x:f>IF(A43="","",IF(AND('Core_Nativ'!R453="CLOSED",'Core_Nativ'!S453=0),IF('Core_Nativ'!M453&gt;='Core_Nativ'!P453,'Core_Nativ'!O453,IF(AND('Input_Meci'!L43="YES",'Input_Meci'!K43&lt;&gt;"",'Input_Meci'!K43&lt;C43,'Core_Nativ'!T459="DERIVED",'Core_Nativ'!M459&gt;='Core_Nativ'!P453),MIN(1,'Core_Nativ'!M453/'Core_Nativ'!P453)*IF('Core_Nativ'!M453=0,0,'Core_Nativ'!O453)+(1-MIN(1,'Core_Nativ'!M453/'Core_Nativ'!P453))*'Core_Nativ'!O459,"")),""))</x:f>
      </x:c>
      <x:c r="AN43" s="11" t="str">
        <x:f>IF(A43="","",IF(AND('Core_Nativ'!R454="CLOSED",'Core_Nativ'!S454=0),IF('Core_Nativ'!M454&gt;='Core_Nativ'!P454,'Core_Nativ'!N454,IF(AND('Input_Meci'!L43="YES",'Input_Meci'!K43&lt;&gt;"",'Input_Meci'!K43&lt;C43,'Core_Nativ'!T460="DERIVED",'Core_Nativ'!M460&gt;='Core_Nativ'!P454),MIN(1,'Core_Nativ'!M454/'Core_Nativ'!P454)*IF('Core_Nativ'!M454=0,0,'Core_Nativ'!N454)+(1-MIN(1,'Core_Nativ'!M454/'Core_Nativ'!P454))*'Core_Nativ'!N460,"")),""))</x:f>
      </x:c>
      <x:c r="AO43" s="11" t="str">
        <x:f>IF(A43="","",IF(AND('Core_Nativ'!R454="CLOSED",'Core_Nativ'!S454=0),IF('Core_Nativ'!M454&gt;='Core_Nativ'!P454,'Core_Nativ'!O454,IF(AND('Input_Meci'!L43="YES",'Input_Meci'!K43&lt;&gt;"",'Input_Meci'!K43&lt;C43,'Core_Nativ'!T460="DERIVED",'Core_Nativ'!M460&gt;='Core_Nativ'!P454),MIN(1,'Core_Nativ'!M454/'Core_Nativ'!P454)*IF('Core_Nativ'!M454=0,0,'Core_Nativ'!O454)+(1-MIN(1,'Core_Nativ'!M454/'Core_Nativ'!P454))*'Core_Nativ'!O460,"")),""))</x:f>
      </x:c>
      <x:c r="AP43" s="11" t="str">
        <x:f>IF(A43="","",IF(AND('Core_Nativ'!R455="CLOSED",'Core_Nativ'!S455=0),IF('Core_Nativ'!M455&gt;='Core_Nativ'!P455,'Core_Nativ'!N455,IF(AND('Input_Meci'!L43="YES",'Input_Meci'!K43&lt;&gt;"",'Input_Meci'!K43&lt;C43,'Core_Nativ'!T461="DERIVED",'Core_Nativ'!M461&gt;='Core_Nativ'!P455),MIN(1,'Core_Nativ'!M455/'Core_Nativ'!P455)*IF('Core_Nativ'!M455=0,0,'Core_Nativ'!N455)+(1-MIN(1,'Core_Nativ'!M455/'Core_Nativ'!P455))*'Core_Nativ'!N461,"")),""))</x:f>
      </x:c>
      <x:c r="AQ43" s="11" t="str">
        <x:f>IF(A43="","",IF(AND('Core_Nativ'!R455="CLOSED",'Core_Nativ'!S455=0),IF('Core_Nativ'!M455&gt;='Core_Nativ'!P455,'Core_Nativ'!O455,IF(AND('Input_Meci'!L43="YES",'Input_Meci'!K43&lt;&gt;"",'Input_Meci'!K43&lt;C43,'Core_Nativ'!T461="DERIVED",'Core_Nativ'!M461&gt;='Core_Nativ'!P455),MIN(1,'Core_Nativ'!M455/'Core_Nativ'!P455)*IF('Core_Nativ'!M455=0,0,'Core_Nativ'!O455)+(1-MIN(1,'Core_Nativ'!M455/'Core_Nativ'!P455))*'Core_Nativ'!O461,"")),""))</x:f>
      </x:c>
      <x:c r="AR43" s="11" t="str">
        <x:f>IF(A43="","",SUMPRODUCT(('Istoric_Nativ'!$B$6:$B$405=B43)*('Istoric_Nativ'!$C$6:$C$405=BL43)*('Istoric_Nativ'!$P$6:$P$405=1)*('Istoric_Nativ'!$D$6:$D$405&lt;INT(G43))*((('Istoric_Nativ'!$E$6:$E$405='Input_Meci'!D43)+('Istoric_Nativ'!$F$6:$F$405='Input_Meci'!D43)+('Istoric_Nativ'!$E$6:$E$405='Input_Meci'!E43)+('Istoric_Nativ'!$F$6:$F$405='Input_Meci'!E43))&gt;0)))</x:f>
      </x:c>
      <x:c r="AS43" s="11" t="str">
        <x:f>IF(AR43=0,"",SUMPRODUCT(('Istoric_Nativ'!$B$6:$B$405=B43)*('Istoric_Nativ'!$C$6:$C$405=BL43)*('Istoric_Nativ'!$P$6:$P$405=1)*('Istoric_Nativ'!$D$6:$D$405&lt;INT(G43))*((('Istoric_Nativ'!$E$6:$E$405='Input_Meci'!D43)+('Istoric_Nativ'!$F$6:$F$405='Input_Meci'!D43)+('Istoric_Nativ'!$E$6:$E$405='Input_Meci'!E43)+('Istoric_Nativ'!$F$6:$F$405='Input_Meci'!E43))&gt;0)*'Istoric_Nativ'!$Q$6:$Q$405)/AR43)</x:f>
      </x:c>
      <x:c r="AT43" s="11" t="str">
        <x:f>IF(AR43&lt;2,"",MAX(0,(SUMPRODUCT(('Istoric_Nativ'!$B$6:$B$405=B43)*('Istoric_Nativ'!$C$6:$C$405=BL43)*('Istoric_Nativ'!$P$6:$P$405=1)*('Istoric_Nativ'!$D$6:$D$405&lt;INT(G43))*((('Istoric_Nativ'!$E$6:$E$405='Input_Meci'!D43)+('Istoric_Nativ'!$F$6:$F$405='Input_Meci'!D43)+('Istoric_Nativ'!$E$6:$E$405='Input_Meci'!E43)+('Istoric_Nativ'!$F$6:$F$405='Input_Meci'!E43))&gt;0)*'Istoric_Nativ'!$R$6:$R$405)-AR43*AS43^2)/(AR43-1)))</x:f>
      </x:c>
      <x:c r="AU43" s="11" t="str">
        <x:f>IF(I43&lt;&gt;"PASS","",AT43/AS43)</x:f>
      </x:c>
      <x:c r="AV43" s="11" t="str">
        <x:f>IF(I43&lt;&gt;"PASS","",IF(AU43&lt;='Config_v6'!$B$10,"POISSON","NEGATIVE BINOMIAL"))</x:f>
      </x:c>
      <x:c r="AW43" s="11" t="str">
        <x:f>IF(I43&lt;&gt;"PASS","",IF(AV43="POISSON",9999,AS43/(AU43-1)))</x:f>
      </x:c>
      <x:c r="AX43" s="11" t="str">
        <x:f>IF(A43="","",MAX(1-'Config_v6'!$B$20,MIN(1+'Config_v6'!$B$20,1+0.02*(IF(AND(ISNUMBER('Input_Meci'!N43),'Input_Meci'!N43&gt;=0,'Input_Meci'!N43&lt;=200),'Input_Meci'!N43,12)/12-1)+0.02*(IF(AND(ISNUMBER('Input_Meci'!P43),'Input_Meci'!P43&gt;=0,'Input_Meci'!P43&lt;=200),'Input_Meci'!P43,3.5)/3.5-1)+0.02*(IF(AND(ISNUMBER('Input_Meci'!R43),'Input_Meci'!R43&gt;=0,'Input_Meci'!R43&lt;=200),'Input_Meci'!R43,18)/18-1)+0.02*((IF(AND(ISNUMBER('Input_Meci'!V43),'Input_Meci'!V43&gt;=0,'Input_Meci'!V43&lt;=10),'Input_Meci'!V43,5)-5)/5))))</x:f>
      </x:c>
      <x:c r="AY43" s="11" t="str">
        <x:f>IF(A43="","",MAX(1-'Config_v6'!$B$20,MIN(1+'Config_v6'!$B$20,1+0.02*(IF(AND(ISNUMBER('Input_Meci'!O43),'Input_Meci'!O43&gt;=0,'Input_Meci'!O43&lt;=200),'Input_Meci'!O43,12)/12-1)+0.02*(IF(AND(ISNUMBER('Input_Meci'!Q43),'Input_Meci'!Q43&gt;=0,'Input_Meci'!Q43&lt;=200),'Input_Meci'!Q43,3.5)/3.5-1)+0.02*(IF(AND(ISNUMBER('Input_Meci'!S43),'Input_Meci'!S43&gt;=0,'Input_Meci'!S43&lt;=200),'Input_Meci'!S43,18)/18-1)+0.02*((IF(AND(ISNUMBER('Input_Meci'!W43),'Input_Meci'!W43&gt;=0,'Input_Meci'!W43&lt;=10),'Input_Meci'!W43,5)-5)/5))))</x:f>
      </x:c>
      <x:c r="AZ43" s="11" t="str">
        <x:f>IF(A43="","",MAX(1-'Config_v6'!$B$21,MIN(1+'Config_v6'!$B$21,1+0.012*(IF('Input_Meci'!X43="",5,IF(ISNUMBER('Input_Meci'!X43),'Input_Meci'!X43,5))-5)+0.018*(IF('Input_Meci'!Z43="",5,IF(ISNUMBER('Input_Meci'!Z43),'Input_Meci'!Z43,5))-5)+0.012*(IF('Input_Meci'!AB43="",5,IF(ISNUMBER('Input_Meci'!AB43),'Input_Meci'!AB43,5))-5)+0.015*IF('Input_Meci'!AD43="",0,IF(ISNUMBER('Input_Meci'!AD43),'Input_Meci'!AD43,0))+0.02*IF('Input_Meci'!AF43="",0,IF(ISNUMBER('Input_Meci'!AF43),'Input_Meci'!AF43,0)))))</x:f>
      </x:c>
      <x:c r="BA43" s="11" t="str">
        <x:f>IF(A43="","",MAX(1-'Config_v6'!$B$21,MIN(1+'Config_v6'!$B$21,1+0.012*(IF('Input_Meci'!Y43="",5,IF(ISNUMBER('Input_Meci'!Y43),'Input_Meci'!Y43,5))-5)+0.018*(IF('Input_Meci'!AA43="",5,IF(ISNUMBER('Input_Meci'!AA43),'Input_Meci'!AA43,5))-5)+0.012*(IF('Input_Meci'!AC43="",5,IF(ISNUMBER('Input_Meci'!AC43),'Input_Meci'!AC43,5))-5)+0.015*IF('Input_Meci'!AE43="",0,IF(ISNUMBER('Input_Meci'!AE43),'Input_Meci'!AE43,0))+0.02*IF('Input_Meci'!AG43="",0,IF(ISNUMBER('Input_Meci'!AG43),'Input_Meci'!AG43,0)))))</x:f>
      </x:c>
      <x:c r="BB43" s="11" t="str">
        <x:f>IF(I43&lt;&gt;"PASS","",(AVERAGE(AF43,AM43)*'Config_v6'!$B$4+AVERAGE(AH43,AO43)*'Config_v6'!$B$5+AVERAGE(AJ43,AQ43)*'Config_v6'!$B$6)*AX43*AZ43)</x:f>
      </x:c>
      <x:c r="BC43" s="11" t="str">
        <x:f>IF(I43&lt;&gt;"PASS","",(AVERAGE(AL43,AG43)*'Config_v6'!$B$4+AVERAGE(AN43,AI43)*'Config_v6'!$B$5+AVERAGE(AP43,AK43)*'Config_v6'!$B$6)*AY43*BA43)</x:f>
      </x:c>
      <x:c r="BD43" s="11" t="str">
        <x:f>IF(I43&lt;&gt;"PASS","",BB43+BC43)</x:f>
      </x:c>
      <x:c r="BE43" s="11" t="str">
        <x:f>IF(A43="","",10-SUM(IF(AND(ISNUMBER('Input_Meci'!N43),'Input_Meci'!N43&gt;=0,'Input_Meci'!N43&lt;=200),1,0),IF(AND(ISNUMBER('Input_Meci'!O43),'Input_Meci'!O43&gt;=0,'Input_Meci'!O43&lt;=200),1,0),IF(AND(ISNUMBER('Input_Meci'!P43),'Input_Meci'!P43&gt;=0,'Input_Meci'!P43&lt;=200),1,0),IF(AND(ISNUMBER('Input_Meci'!Q43),'Input_Meci'!Q43&gt;=0,'Input_Meci'!Q43&lt;=200),1,0),IF(AND(ISNUMBER('Input_Meci'!R43),'Input_Meci'!R43&gt;=0,'Input_Meci'!R43&lt;=200),1,0),IF(AND(ISNUMBER('Input_Meci'!S43),'Input_Meci'!S43&gt;=0,'Input_Meci'!S43&lt;=200),1,0),IF(AND(ISNUMBER('Input_Meci'!T43),'Input_Meci'!T43&gt;=0,'Input_Meci'!T43&lt;=100),1,0),IF(AND(ISNUMBER('Input_Meci'!U43),'Input_Meci'!U43&gt;=0,'Input_Meci'!U43&lt;=100),1,0),IF(AND(ISNUMBER('Input_Meci'!V43),'Input_Meci'!V43&gt;=0,'Input_Meci'!V43&lt;=10),1,0),IF(AND(ISNUMBER('Input_Meci'!W43),'Input_Meci'!W43&gt;=0,'Input_Meci'!W43&lt;=10),1,0)))</x:f>
      </x:c>
      <x:c r="BF43" s="11" t="str">
        <x:f>IF(I43&lt;&gt;"PASS","",MAX(0,MIN(IF(OR(M43="YES",BL43&lt;&gt;C43),'Config_v6'!$B$34,100),ROUND(40+25*MIN(1,MIN(N43,Q43)/'Config_v6'!$B$7)*MIN(1,MIN(O43,R43)/'Config_v6'!$B$8)*MIN(1,MIN(P43,S43)/'Config_v6'!$B$9)+MAX(0,15-2*ABS(AF43-AJ43)-2*ABS(AL43-AP43))+IF(AU43&lt;='Config_v6'!$B$10,15,IF(AU43&lt;='Config_v6'!$B$11,13,IF(AU43&lt;='Config_v6'!$B$12,10,IF(AU43&lt;='Config_v6'!$B$13,6,0))))+5-BE43/10*'Config_v6'!$B$38,0))))</x:f>
      </x:c>
      <x:c r="BG43" s="11" t="str">
        <x:f>IF(I43&lt;&gt;"PASS","",MIN(1,'Config_v6'!$B$14*(0.7+0.3*MIN(1,AR43/'Config_v6'!$B$15))*IF(AU43&lt;='Config_v6'!$B$10,1,IF(AU43&lt;='Config_v6'!$B$11,0.95,IF(AU43&lt;='Config_v6'!$B$12,0.88,0.78)))*(0.75+0.25*BF43/100)))</x:f>
      </x:c>
      <x:c r="BH43" s="11" t="str">
        <x:f>IF(I43&lt;&gt;"PASS","",MIN(1,(ABS(AZ43-1)+ABS(BA43-1))*3))</x:f>
      </x:c>
      <x:c r="BI43" s="2" t="str">
        <x:f>IF(A43="","",IF(AND(OR('Input_Meci'!X43="",AND(ISNUMBER('Input_Meci'!X43),'Input_Meci'!X43&gt;=0,'Input_Meci'!X43&lt;=10)),OR('Input_Meci'!Y43="",AND(ISNUMBER('Input_Meci'!Y43),'Input_Meci'!Y43&gt;=0,'Input_Meci'!Y43&lt;=10)),OR('Input_Meci'!Z43="",AND(ISNUMBER('Input_Meci'!Z43),'Input_Meci'!Z43&gt;=0,'Input_Meci'!Z43&lt;=10)),OR('Input_Meci'!AA43="",AND(ISNUMBER('Input_Meci'!AA43),'Input_Meci'!AA43&gt;=0,'Input_Meci'!AA43&lt;=10)),OR('Input_Meci'!AB43="",AND(ISNUMBER('Input_Meci'!AB43),'Input_Meci'!AB43&gt;=0,'Input_Meci'!AB43&lt;=10)),OR('Input_Meci'!AC43="",AND(ISNUMBER('Input_Meci'!AC43),'Input_Meci'!AC43&gt;=0,'Input_Meci'!AC43&lt;=10)),OR('Input_Meci'!AD43="",AND(ISNUMBER('Input_Meci'!AD43),'Input_Meci'!AD43&gt;=-2,'Input_Meci'!AD43&lt;=2)),OR('Input_Meci'!AE43="",AND(ISNUMBER('Input_Meci'!AE43),'Input_Meci'!AE43&gt;=-2,'Input_Meci'!AE43&lt;=2)),OR('Input_Meci'!AF43="",AND(ISNUMBER('Input_Meci'!AF43),'Input_Meci'!AF43&gt;=-2,'Input_Meci'!AF43&lt;=2)),OR('Input_Meci'!AG43="",AND(ISNUMBER('Input_Meci'!AG43),'Input_Meci'!AG43&gt;=-2,'Input_Meci'!AG43&lt;=2))),"VALID","INVALID"))</x:f>
      </x:c>
      <x:c r="BJ43" s="2" t="n">
        <x:f>IF(A43="",0,SUM('Core_Nativ'!S450:S455))</x:f>
        <x:v>0</x:v>
      </x:c>
      <x:c r="BK43" s="2" t="str">
        <x:f>'Config_v6'!$B$40</x:f>
        <x:v>VALID</x:v>
      </x:c>
      <x:c r="BL43" s="2" t="str">
        <x:f>IF(A43="","",IF(SUMPRODUCT(('Istoric_Nativ'!$B$6:$B$405=B43)*('Istoric_Nativ'!$C$6:$C$405=C43)*('Istoric_Nativ'!$P$6:$P$405=1)*('Istoric_Nativ'!$D$6:$D$405&lt;INT(G43))*((('Istoric_Nativ'!$E$6:$E$405='Input_Meci'!D43)+('Istoric_Nativ'!$F$6:$F$405='Input_Meci'!D43)+('Istoric_Nativ'!$E$6:$E$405='Input_Meci'!E43)+('Istoric_Nativ'!$F$6:$F$405='Input_Meci'!E43))&gt;0))&gt;='Config_v6'!$B$41,C43,IF(AND('Input_Meci'!L43="YES",'Input_Meci'!K43&lt;&gt;"",'Input_Meci'!K43&lt;C43,COUNTIF('Core_Nativ'!R456:R461,"CLOSED")=6,SUM('Core_Nativ'!S456:S461)=0),'Input_Meci'!K43,C43)))</x:f>
      </x:c>
      <x:c r="BM43" s="9" t="n">
        <x:f>IF(OR(A43="",N43=0),0,LARGE(_xlfn._xlws.FILTER('Istoric_Nativ'!$D$6:$D$405,('Istoric_Nativ'!$B$6:$B$405=B43)*('Istoric_Nativ'!$C$6:$C$405=C43)*('Istoric_Nativ'!$P$6:$P$405=1)*('Istoric_Nativ'!$D$6:$D$405&lt;INT(G43))*((('Istoric_Nativ'!$E$6:$E$405='Input_Meci'!D43)+('Istoric_Nativ'!$F$6:$F$405='Input_Meci'!D43))&gt;0)),MIN(10,N43)))</x:f>
        <x:v>0</x:v>
      </x:c>
      <x:c r="BN43" s="9" t="n">
        <x:f>IF(OR(A43="",Q43=0),0,LARGE(_xlfn._xlws.FILTER('Istoric_Nativ'!$D$6:$D$405,('Istoric_Nativ'!$B$6:$B$405=B43)*('Istoric_Nativ'!$C$6:$C$405=C43)*('Istoric_Nativ'!$P$6:$P$405=1)*('Istoric_Nativ'!$D$6:$D$405&lt;INT(G43))*((('Istoric_Nativ'!$E$6:$E$405='Input_Meci'!E43)+('Istoric_Nativ'!$F$6:$F$405='Input_Meci'!E43))&gt;0)),MIN(10,Q43)))</x:f>
        <x:v>0</x:v>
      </x:c>
      <x:c r="BO43" s="9" t="n">
        <x:f>IF(OR(A43="",N43=0),0,LARGE(_xlfn._xlws.FILTER('Istoric_Nativ'!$D$6:$D$405,('Istoric_Nativ'!$B$6:$B$405=B43)*('Istoric_Nativ'!$C$6:$C$405=C43)*('Istoric_Nativ'!$P$6:$P$405=1)*('Istoric_Nativ'!$D$6:$D$405&lt;INT(G43))*((('Istoric_Nativ'!$E$6:$E$405='Input_Meci'!D43)+('Istoric_Nativ'!$F$6:$F$405='Input_Meci'!D43))&gt;0)),MIN(20,N43)))</x:f>
        <x:v>0</x:v>
      </x:c>
      <x:c r="BP43" s="9" t="n">
        <x:f>IF(OR(A43="",Q43=0),0,LARGE(_xlfn._xlws.FILTER('Istoric_Nativ'!$D$6:$D$405,('Istoric_Nativ'!$B$6:$B$405=B43)*('Istoric_Nativ'!$C$6:$C$405=C43)*('Istoric_Nativ'!$P$6:$P$405=1)*('Istoric_Nativ'!$D$6:$D$405&lt;INT(G43))*((('Istoric_Nativ'!$E$6:$E$405='Input_Meci'!E43)+('Istoric_Nativ'!$F$6:$F$405='Input_Meci'!E43))&gt;0)),MIN(20,Q43)))</x:f>
        <x:v>0</x:v>
      </x:c>
      <x:c r="BQ43" s="2" t="str">
        <x:f>IF(A43="","",IF(AND(COUNTIF(MatchesTable[Match_ID],A43)=1,COUNTIFS(MatchesTable[League],B43,MatchesTable[Season],C43,MatchesTable[Home],'Input_Meci'!D43,MatchesTable[Away],'Input_Meci'!E43,MatchesTable[Kickoff_UTC],F43)=1,B43&lt;&gt;"",C43&lt;&gt;"",'Input_Meci'!D43&lt;&gt;"",'Input_Meci'!E43&lt;&gt;"",'Input_Meci'!D43&lt;&gt;'Input_Meci'!E43,ISNUMBER(F43),ISNUMBER(G43),G43&lt;F43,OR(E43="LIVE",E43="REPLAY"),OR('Input_Meci'!L43="YES",'Input_Meci'!L43="NO",'Input_Meci'!L43="")),"VALID","INVALID"))</x:f>
      </x:c>
      <x:c r="BR43" s="2" t="n">
        <x:f>IF(I43&lt;&gt;"PASS",0,SUMPRODUCT(('Istoric_Nativ'!$B$6:$B$405='Input_Meci'!B43)*('Istoric_Nativ'!$C$6:$C$405='Input_Meci'!C43)*('Istoric_Nativ'!$P$6:$P$405=1)*('Istoric_Nativ'!$D$6:$D$405&lt;INT('Input_Meci'!G43))*((('Istoric_Nativ'!$E$6:$E$405='Input_Meci'!D43)+('Istoric_Nativ'!$F$6:$F$405='Input_Meci'!E43))&gt;0)))</x:f>
        <x:v>0</x:v>
      </x:c>
      <x:c r="BS43" s="2" t="n">
        <x:f>IF(I43&lt;&gt;"PASS",0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BM43)+((('Istoric_Nativ'!$E$6:$E$405='Input_Meci'!E43)+('Istoric_Nativ'!$F$6:$F$405='Input_Meci'!E43))&gt;0)*('Istoric_Nativ'!$D$6:$D$405&gt;=BN43))&gt;0)))</x:f>
        <x:v>0</x:v>
      </x:c>
      <x:c r="BT43" s="2" t="n">
        <x:f>IF(I43&lt;&gt;"PASS",0,SUMPRODUCT(('Istoric_Nativ'!$B$6:$B$405='Input_Meci'!B43)*('Istoric_Nativ'!$C$6:$C$405='Input_Meci'!C43)*('Istoric_Nativ'!$P$6:$P$405=1)*('Istoric_Nativ'!$D$6:$D$405&lt;INT('Input_Meci'!G43))*((((('Istoric_Nativ'!$E$6:$E$405='Input_Meci'!D43)+('Istoric_Nativ'!$F$6:$F$405='Input_Meci'!D43))&gt;0)*('Istoric_Nativ'!$D$6:$D$405&gt;=BO43)+((('Istoric_Nativ'!$E$6:$E$405='Input_Meci'!E43)+('Istoric_Nativ'!$F$6:$F$405='Input_Meci'!E43))&gt;0)*('Istoric_Nativ'!$D$6:$D$405&gt;=BP43))&gt;0)))</x:f>
        <x:v>0</x:v>
      </x:c>
    </x:row>
    <x:row r="44" ht="21" customHeight="1">
      <x:c r="A44" s="2" t="str">
        <x:f>IF('Input_Meci'!A44="","",'Input_Meci'!A44)</x:f>
      </x:c>
      <x:c r="B44" s="2" t="str">
        <x:f>IF(A44="","",'Input_Meci'!B44)</x:f>
      </x:c>
      <x:c r="C44" s="2" t="str">
        <x:f>IF(A44="","",'Input_Meci'!C44)</x:f>
      </x:c>
      <x:c r="D44" s="2" t="str">
        <x:f>IF(A44="","",'Input_Meci'!D44&amp;" – "&amp;'Input_Meci'!E44)</x:f>
      </x:c>
      <x:c r="E44" s="2" t="str">
        <x:f>IF(A44="","",'Input_Meci'!H44)</x:f>
      </x:c>
      <x:c r="F44" s="9" t="str">
        <x:f>IF(A44="","",'Input_Meci'!F44)</x:f>
      </x:c>
      <x:c r="G44" s="9" t="str">
        <x:f>IF(A44="","",'Input_Meci'!G44)</x:f>
      </x:c>
      <x:c r="H44" s="2" t="str">
        <x:f>IF(A44="","",IF(BQ44&lt;&gt;"VALID","NOT RELEASED",IF(AND(OR('Input_Meci'!I44="NOT AVAILABLE",'Input_Meci'!I44="SOURCE CONFLICT"),'Input_Meci'!J44&lt;&gt;""),"READY",IF(OR(NOT(OR('Input_Meci'!I44="AUTO",'Input_Meci'!I44="")),COUNTIF('Core_Nativ'!R462:R467,"CLOSED")&lt;&gt;6,BJ44&gt;0),"NOT RELEASED","READY"))))</x:f>
      </x:c>
      <x:c r="I44" s="2" t="str">
        <x:f>IF(A44="","",IF(H44&lt;&gt;"READY","NOT RELEASED",IF(AND(NOT(OR('Input_Meci'!I44="NOT AVAILABLE",'Input_Meci'!I44="SOURCE CONFLICT")),L44=12,AR44&gt;=2,AS44&gt;0,ISNUMBER(AT44),BI44="VALID",BK44="VALID"),"PASS","FAIL")))</x:f>
      </x:c>
      <x:c r="J44" s="2" t="str">
        <x:f>IF(A44="","",IF(BQ44&lt;&gt;"VALID","Verifica ID, echipe, mod si cutoff &lt; kickoff",IF(H44&lt;&gt;"READY",IF('Input_Meci'!I44="ACCESS BLOCKED","Acces blocat: reia sursele",IF(BJ44&gt;0,"Istoric invalid sau conflict: verifica randurile native","Surse neinchise / post-cutoff / dovezi incomplete")),IF(OR('Input_Meci'!I44="NOT AVAILABLE",'Input_Meci'!I44="SOURCE CONFLICT"),'Input_Meci'!I44,IF(BK44&lt;&gt;"VALID","Parametri invalizi",IF(L44&lt;&gt;12,"Core / sample / prior insuficient",IF(AR44&lt;2,"N insuficient pentru dispersie",IF(AS44&lt;=0,"Media istorica trebuie sa fie pozitiva",IF(BI44&lt;&gt;"VALID","Context invalid","READY")))))))))</x:f>
      </x:c>
      <x:c r="K44" s="2" t="str">
        <x:f>IF(A44="","",COUNT(T44:AE44))</x:f>
      </x:c>
      <x:c r="L44" s="2" t="str">
        <x:f>IF(A44="","",COUNT(AF44:AQ44))</x:f>
      </x:c>
      <x:c r="M44" s="2" t="str">
        <x:f>IF(A44="","",IF(OR('Core_Nativ'!M462&lt;'Core_Nativ'!P462,'Core_Nativ'!M463&lt;'Core_Nativ'!P463,'Core_Nativ'!M464&lt;'Core_Nativ'!P464,'Core_Nativ'!M465&lt;'Core_Nativ'!P465,'Core_Nativ'!M466&lt;'Core_Nativ'!P466,'Core_Nativ'!M467&lt;'Core_Nativ'!P467),"YES","NO"))</x:f>
      </x:c>
      <x:c r="N44" s="2" t="str">
        <x:f>IF(A44="","",'Core_Nativ'!M462)</x:f>
      </x:c>
      <x:c r="O44" s="2" t="str">
        <x:f>IF(A44="","",'Core_Nativ'!M463)</x:f>
      </x:c>
      <x:c r="P44" s="2" t="str">
        <x:f>IF(A44="","",'Core_Nativ'!M464)</x:f>
      </x:c>
      <x:c r="Q44" s="2" t="str">
        <x:f>IF(A44="","",'Core_Nativ'!M465)</x:f>
      </x:c>
      <x:c r="R44" s="2" t="str">
        <x:f>IF(A44="","",'Core_Nativ'!M466)</x:f>
      </x:c>
      <x:c r="S44" s="2" t="str">
        <x:f>IF(A44="","",'Core_Nativ'!M467)</x:f>
      </x:c>
      <x:c r="T44" s="11" t="str">
        <x:f>IF(OR(A44="",'Core_Nativ'!M462=0),"",'Core_Nativ'!N462)</x:f>
      </x:c>
      <x:c r="U44" s="11" t="str">
        <x:f>IF(OR(A44="",'Core_Nativ'!M462=0),"",'Core_Nativ'!O462)</x:f>
      </x:c>
      <x:c r="V44" s="11" t="str">
        <x:f>IF(OR(A44="",'Core_Nativ'!M463=0),"",'Core_Nativ'!N463)</x:f>
      </x:c>
      <x:c r="W44" s="11" t="str">
        <x:f>IF(OR(A44="",'Core_Nativ'!M463=0),"",'Core_Nativ'!O463)</x:f>
      </x:c>
      <x:c r="X44" s="11" t="str">
        <x:f>IF(OR(A44="",'Core_Nativ'!M464=0),"",'Core_Nativ'!N464)</x:f>
      </x:c>
      <x:c r="Y44" s="11" t="str">
        <x:f>IF(OR(A44="",'Core_Nativ'!M464=0),"",'Core_Nativ'!O464)</x:f>
      </x:c>
      <x:c r="Z44" s="11" t="str">
        <x:f>IF(OR(A44="",'Core_Nativ'!M465=0),"",'Core_Nativ'!N465)</x:f>
      </x:c>
      <x:c r="AA44" s="11" t="str">
        <x:f>IF(OR(A44="",'Core_Nativ'!M465=0),"",'Core_Nativ'!O465)</x:f>
      </x:c>
      <x:c r="AB44" s="11" t="str">
        <x:f>IF(OR(A44="",'Core_Nativ'!M466=0),"",'Core_Nativ'!N466)</x:f>
      </x:c>
      <x:c r="AC44" s="11" t="str">
        <x:f>IF(OR(A44="",'Core_Nativ'!M466=0),"",'Core_Nativ'!O466)</x:f>
      </x:c>
      <x:c r="AD44" s="11" t="str">
        <x:f>IF(OR(A44="",'Core_Nativ'!M467=0),"",'Core_Nativ'!N467)</x:f>
      </x:c>
      <x:c r="AE44" s="11" t="str">
        <x:f>IF(OR(A44="",'Core_Nativ'!M467=0),"",'Core_Nativ'!O467)</x:f>
      </x:c>
      <x:c r="AF44" s="11" t="str">
        <x:f>IF(A44="","",IF(AND('Core_Nativ'!R462="CLOSED",'Core_Nativ'!S462=0),IF('Core_Nativ'!M462&gt;='Core_Nativ'!P462,'Core_Nativ'!N462,IF(AND('Input_Meci'!L44="YES",'Input_Meci'!K44&lt;&gt;"",'Input_Meci'!K44&lt;C44,'Core_Nativ'!T468="DERIVED",'Core_Nativ'!M468&gt;='Core_Nativ'!P462),MIN(1,'Core_Nativ'!M462/'Core_Nativ'!P462)*IF('Core_Nativ'!M462=0,0,'Core_Nativ'!N462)+(1-MIN(1,'Core_Nativ'!M462/'Core_Nativ'!P462))*'Core_Nativ'!N468,"")),""))</x:f>
      </x:c>
      <x:c r="AG44" s="11" t="str">
        <x:f>IF(A44="","",IF(AND('Core_Nativ'!R462="CLOSED",'Core_Nativ'!S462=0),IF('Core_Nativ'!M462&gt;='Core_Nativ'!P462,'Core_Nativ'!O462,IF(AND('Input_Meci'!L44="YES",'Input_Meci'!K44&lt;&gt;"",'Input_Meci'!K44&lt;C44,'Core_Nativ'!T468="DERIVED",'Core_Nativ'!M468&gt;='Core_Nativ'!P462),MIN(1,'Core_Nativ'!M462/'Core_Nativ'!P462)*IF('Core_Nativ'!M462=0,0,'Core_Nativ'!O462)+(1-MIN(1,'Core_Nativ'!M462/'Core_Nativ'!P462))*'Core_Nativ'!O468,"")),""))</x:f>
      </x:c>
      <x:c r="AH44" s="11" t="str">
        <x:f>IF(A44="","",IF(AND('Core_Nativ'!R463="CLOSED",'Core_Nativ'!S463=0),IF('Core_Nativ'!M463&gt;='Core_Nativ'!P463,'Core_Nativ'!N463,IF(AND('Input_Meci'!L44="YES",'Input_Meci'!K44&lt;&gt;"",'Input_Meci'!K44&lt;C44,'Core_Nativ'!T469="DERIVED",'Core_Nativ'!M469&gt;='Core_Nativ'!P463),MIN(1,'Core_Nativ'!M463/'Core_Nativ'!P463)*IF('Core_Nativ'!M463=0,0,'Core_Nativ'!N463)+(1-MIN(1,'Core_Nativ'!M463/'Core_Nativ'!P463))*'Core_Nativ'!N469,"")),""))</x:f>
      </x:c>
      <x:c r="AI44" s="11" t="str">
        <x:f>IF(A44="","",IF(AND('Core_Nativ'!R463="CLOSED",'Core_Nativ'!S463=0),IF('Core_Nativ'!M463&gt;='Core_Nativ'!P463,'Core_Nativ'!O463,IF(AND('Input_Meci'!L44="YES",'Input_Meci'!K44&lt;&gt;"",'Input_Meci'!K44&lt;C44,'Core_Nativ'!T469="DERIVED",'Core_Nativ'!M469&gt;='Core_Nativ'!P463),MIN(1,'Core_Nativ'!M463/'Core_Nativ'!P463)*IF('Core_Nativ'!M463=0,0,'Core_Nativ'!O463)+(1-MIN(1,'Core_Nativ'!M463/'Core_Nativ'!P463))*'Core_Nativ'!O469,"")),""))</x:f>
      </x:c>
      <x:c r="AJ44" s="11" t="str">
        <x:f>IF(A44="","",IF(AND('Core_Nativ'!R464="CLOSED",'Core_Nativ'!S464=0),IF('Core_Nativ'!M464&gt;='Core_Nativ'!P464,'Core_Nativ'!N464,IF(AND('Input_Meci'!L44="YES",'Input_Meci'!K44&lt;&gt;"",'Input_Meci'!K44&lt;C44,'Core_Nativ'!T470="DERIVED",'Core_Nativ'!M470&gt;='Core_Nativ'!P464),MIN(1,'Core_Nativ'!M464/'Core_Nativ'!P464)*IF('Core_Nativ'!M464=0,0,'Core_Nativ'!N464)+(1-MIN(1,'Core_Nativ'!M464/'Core_Nativ'!P464))*'Core_Nativ'!N470,"")),""))</x:f>
      </x:c>
      <x:c r="AK44" s="11" t="str">
        <x:f>IF(A44="","",IF(AND('Core_Nativ'!R464="CLOSED",'Core_Nativ'!S464=0),IF('Core_Nativ'!M464&gt;='Core_Nativ'!P464,'Core_Nativ'!O464,IF(AND('Input_Meci'!L44="YES",'Input_Meci'!K44&lt;&gt;"",'Input_Meci'!K44&lt;C44,'Core_Nativ'!T470="DERIVED",'Core_Nativ'!M470&gt;='Core_Nativ'!P464),MIN(1,'Core_Nativ'!M464/'Core_Nativ'!P464)*IF('Core_Nativ'!M464=0,0,'Core_Nativ'!O464)+(1-MIN(1,'Core_Nativ'!M464/'Core_Nativ'!P464))*'Core_Nativ'!O470,"")),""))</x:f>
      </x:c>
      <x:c r="AL44" s="11" t="str">
        <x:f>IF(A44="","",IF(AND('Core_Nativ'!R465="CLOSED",'Core_Nativ'!S465=0),IF('Core_Nativ'!M465&gt;='Core_Nativ'!P465,'Core_Nativ'!N465,IF(AND('Input_Meci'!L44="YES",'Input_Meci'!K44&lt;&gt;"",'Input_Meci'!K44&lt;C44,'Core_Nativ'!T471="DERIVED",'Core_Nativ'!M471&gt;='Core_Nativ'!P465),MIN(1,'Core_Nativ'!M465/'Core_Nativ'!P465)*IF('Core_Nativ'!M465=0,0,'Core_Nativ'!N465)+(1-MIN(1,'Core_Nativ'!M465/'Core_Nativ'!P465))*'Core_Nativ'!N471,"")),""))</x:f>
      </x:c>
      <x:c r="AM44" s="11" t="str">
        <x:f>IF(A44="","",IF(AND('Core_Nativ'!R465="CLOSED",'Core_Nativ'!S465=0),IF('Core_Nativ'!M465&gt;='Core_Nativ'!P465,'Core_Nativ'!O465,IF(AND('Input_Meci'!L44="YES",'Input_Meci'!K44&lt;&gt;"",'Input_Meci'!K44&lt;C44,'Core_Nativ'!T471="DERIVED",'Core_Nativ'!M471&gt;='Core_Nativ'!P465),MIN(1,'Core_Nativ'!M465/'Core_Nativ'!P465)*IF('Core_Nativ'!M465=0,0,'Core_Nativ'!O465)+(1-MIN(1,'Core_Nativ'!M465/'Core_Nativ'!P465))*'Core_Nativ'!O471,"")),""))</x:f>
      </x:c>
      <x:c r="AN44" s="11" t="str">
        <x:f>IF(A44="","",IF(AND('Core_Nativ'!R466="CLOSED",'Core_Nativ'!S466=0),IF('Core_Nativ'!M466&gt;='Core_Nativ'!P466,'Core_Nativ'!N466,IF(AND('Input_Meci'!L44="YES",'Input_Meci'!K44&lt;&gt;"",'Input_Meci'!K44&lt;C44,'Core_Nativ'!T472="DERIVED",'Core_Nativ'!M472&gt;='Core_Nativ'!P466),MIN(1,'Core_Nativ'!M466/'Core_Nativ'!P466)*IF('Core_Nativ'!M466=0,0,'Core_Nativ'!N466)+(1-MIN(1,'Core_Nativ'!M466/'Core_Nativ'!P466))*'Core_Nativ'!N472,"")),""))</x:f>
      </x:c>
      <x:c r="AO44" s="11" t="str">
        <x:f>IF(A44="","",IF(AND('Core_Nativ'!R466="CLOSED",'Core_Nativ'!S466=0),IF('Core_Nativ'!M466&gt;='Core_Nativ'!P466,'Core_Nativ'!O466,IF(AND('Input_Meci'!L44="YES",'Input_Meci'!K44&lt;&gt;"",'Input_Meci'!K44&lt;C44,'Core_Nativ'!T472="DERIVED",'Core_Nativ'!M472&gt;='Core_Nativ'!P466),MIN(1,'Core_Nativ'!M466/'Core_Nativ'!P466)*IF('Core_Nativ'!M466=0,0,'Core_Nativ'!O466)+(1-MIN(1,'Core_Nativ'!M466/'Core_Nativ'!P466))*'Core_Nativ'!O472,"")),""))</x:f>
      </x:c>
      <x:c r="AP44" s="11" t="str">
        <x:f>IF(A44="","",IF(AND('Core_Nativ'!R467="CLOSED",'Core_Nativ'!S467=0),IF('Core_Nativ'!M467&gt;='Core_Nativ'!P467,'Core_Nativ'!N467,IF(AND('Input_Meci'!L44="YES",'Input_Meci'!K44&lt;&gt;"",'Input_Meci'!K44&lt;C44,'Core_Nativ'!T473="DERIVED",'Core_Nativ'!M473&gt;='Core_Nativ'!P467),MIN(1,'Core_Nativ'!M467/'Core_Nativ'!P467)*IF('Core_Nativ'!M467=0,0,'Core_Nativ'!N467)+(1-MIN(1,'Core_Nativ'!M467/'Core_Nativ'!P467))*'Core_Nativ'!N473,"")),""))</x:f>
      </x:c>
      <x:c r="AQ44" s="11" t="str">
        <x:f>IF(A44="","",IF(AND('Core_Nativ'!R467="CLOSED",'Core_Nativ'!S467=0),IF('Core_Nativ'!M467&gt;='Core_Nativ'!P467,'Core_Nativ'!O467,IF(AND('Input_Meci'!L44="YES",'Input_Meci'!K44&lt;&gt;"",'Input_Meci'!K44&lt;C44,'Core_Nativ'!T473="DERIVED",'Core_Nativ'!M473&gt;='Core_Nativ'!P467),MIN(1,'Core_Nativ'!M467/'Core_Nativ'!P467)*IF('Core_Nativ'!M467=0,0,'Core_Nativ'!O467)+(1-MIN(1,'Core_Nativ'!M467/'Core_Nativ'!P467))*'Core_Nativ'!O473,"")),""))</x:f>
      </x:c>
      <x:c r="AR44" s="11" t="str">
        <x:f>IF(A44="","",SUMPRODUCT(('Istoric_Nativ'!$B$6:$B$405=B44)*('Istoric_Nativ'!$C$6:$C$405=BL44)*('Istoric_Nativ'!$P$6:$P$405=1)*('Istoric_Nativ'!$D$6:$D$405&lt;INT(G44))*((('Istoric_Nativ'!$E$6:$E$405='Input_Meci'!D44)+('Istoric_Nativ'!$F$6:$F$405='Input_Meci'!D44)+('Istoric_Nativ'!$E$6:$E$405='Input_Meci'!E44)+('Istoric_Nativ'!$F$6:$F$405='Input_Meci'!E44))&gt;0)))</x:f>
      </x:c>
      <x:c r="AS44" s="11" t="str">
        <x:f>IF(AR44=0,"",SUMPRODUCT(('Istoric_Nativ'!$B$6:$B$405=B44)*('Istoric_Nativ'!$C$6:$C$405=BL44)*('Istoric_Nativ'!$P$6:$P$405=1)*('Istoric_Nativ'!$D$6:$D$405&lt;INT(G44))*((('Istoric_Nativ'!$E$6:$E$405='Input_Meci'!D44)+('Istoric_Nativ'!$F$6:$F$405='Input_Meci'!D44)+('Istoric_Nativ'!$E$6:$E$405='Input_Meci'!E44)+('Istoric_Nativ'!$F$6:$F$405='Input_Meci'!E44))&gt;0)*'Istoric_Nativ'!$Q$6:$Q$405)/AR44)</x:f>
      </x:c>
      <x:c r="AT44" s="11" t="str">
        <x:f>IF(AR44&lt;2,"",MAX(0,(SUMPRODUCT(('Istoric_Nativ'!$B$6:$B$405=B44)*('Istoric_Nativ'!$C$6:$C$405=BL44)*('Istoric_Nativ'!$P$6:$P$405=1)*('Istoric_Nativ'!$D$6:$D$405&lt;INT(G44))*((('Istoric_Nativ'!$E$6:$E$405='Input_Meci'!D44)+('Istoric_Nativ'!$F$6:$F$405='Input_Meci'!D44)+('Istoric_Nativ'!$E$6:$E$405='Input_Meci'!E44)+('Istoric_Nativ'!$F$6:$F$405='Input_Meci'!E44))&gt;0)*'Istoric_Nativ'!$R$6:$R$405)-AR44*AS44^2)/(AR44-1)))</x:f>
      </x:c>
      <x:c r="AU44" s="11" t="str">
        <x:f>IF(I44&lt;&gt;"PASS","",AT44/AS44)</x:f>
      </x:c>
      <x:c r="AV44" s="11" t="str">
        <x:f>IF(I44&lt;&gt;"PASS","",IF(AU44&lt;='Config_v6'!$B$10,"POISSON","NEGATIVE BINOMIAL"))</x:f>
      </x:c>
      <x:c r="AW44" s="11" t="str">
        <x:f>IF(I44&lt;&gt;"PASS","",IF(AV44="POISSON",9999,AS44/(AU44-1)))</x:f>
      </x:c>
      <x:c r="AX44" s="11" t="str">
        <x:f>IF(A44="","",MAX(1-'Config_v6'!$B$20,MIN(1+'Config_v6'!$B$20,1+0.02*(IF(AND(ISNUMBER('Input_Meci'!N44),'Input_Meci'!N44&gt;=0,'Input_Meci'!N44&lt;=200),'Input_Meci'!N44,12)/12-1)+0.02*(IF(AND(ISNUMBER('Input_Meci'!P44),'Input_Meci'!P44&gt;=0,'Input_Meci'!P44&lt;=200),'Input_Meci'!P44,3.5)/3.5-1)+0.02*(IF(AND(ISNUMBER('Input_Meci'!R44),'Input_Meci'!R44&gt;=0,'Input_Meci'!R44&lt;=200),'Input_Meci'!R44,18)/18-1)+0.02*((IF(AND(ISNUMBER('Input_Meci'!V44),'Input_Meci'!V44&gt;=0,'Input_Meci'!V44&lt;=10),'Input_Meci'!V44,5)-5)/5))))</x:f>
      </x:c>
      <x:c r="AY44" s="11" t="str">
        <x:f>IF(A44="","",MAX(1-'Config_v6'!$B$20,MIN(1+'Config_v6'!$B$20,1+0.02*(IF(AND(ISNUMBER('Input_Meci'!O44),'Input_Meci'!O44&gt;=0,'Input_Meci'!O44&lt;=200),'Input_Meci'!O44,12)/12-1)+0.02*(IF(AND(ISNUMBER('Input_Meci'!Q44),'Input_Meci'!Q44&gt;=0,'Input_Meci'!Q44&lt;=200),'Input_Meci'!Q44,3.5)/3.5-1)+0.02*(IF(AND(ISNUMBER('Input_Meci'!S44),'Input_Meci'!S44&gt;=0,'Input_Meci'!S44&lt;=200),'Input_Meci'!S44,18)/18-1)+0.02*((IF(AND(ISNUMBER('Input_Meci'!W44),'Input_Meci'!W44&gt;=0,'Input_Meci'!W44&lt;=10),'Input_Meci'!W44,5)-5)/5))))</x:f>
      </x:c>
      <x:c r="AZ44" s="11" t="str">
        <x:f>IF(A44="","",MAX(1-'Config_v6'!$B$21,MIN(1+'Config_v6'!$B$21,1+0.012*(IF('Input_Meci'!X44="",5,IF(ISNUMBER('Input_Meci'!X44),'Input_Meci'!X44,5))-5)+0.018*(IF('Input_Meci'!Z44="",5,IF(ISNUMBER('Input_Meci'!Z44),'Input_Meci'!Z44,5))-5)+0.012*(IF('Input_Meci'!AB44="",5,IF(ISNUMBER('Input_Meci'!AB44),'Input_Meci'!AB44,5))-5)+0.015*IF('Input_Meci'!AD44="",0,IF(ISNUMBER('Input_Meci'!AD44),'Input_Meci'!AD44,0))+0.02*IF('Input_Meci'!AF44="",0,IF(ISNUMBER('Input_Meci'!AF44),'Input_Meci'!AF44,0)))))</x:f>
      </x:c>
      <x:c r="BA44" s="11" t="str">
        <x:f>IF(A44="","",MAX(1-'Config_v6'!$B$21,MIN(1+'Config_v6'!$B$21,1+0.012*(IF('Input_Meci'!Y44="",5,IF(ISNUMBER('Input_Meci'!Y44),'Input_Meci'!Y44,5))-5)+0.018*(IF('Input_Meci'!AA44="",5,IF(ISNUMBER('Input_Meci'!AA44),'Input_Meci'!AA44,5))-5)+0.012*(IF('Input_Meci'!AC44="",5,IF(ISNUMBER('Input_Meci'!AC44),'Input_Meci'!AC44,5))-5)+0.015*IF('Input_Meci'!AE44="",0,IF(ISNUMBER('Input_Meci'!AE44),'Input_Meci'!AE44,0))+0.02*IF('Input_Meci'!AG44="",0,IF(ISNUMBER('Input_Meci'!AG44),'Input_Meci'!AG44,0)))))</x:f>
      </x:c>
      <x:c r="BB44" s="11" t="str">
        <x:f>IF(I44&lt;&gt;"PASS","",(AVERAGE(AF44,AM44)*'Config_v6'!$B$4+AVERAGE(AH44,AO44)*'Config_v6'!$B$5+AVERAGE(AJ44,AQ44)*'Config_v6'!$B$6)*AX44*AZ44)</x:f>
      </x:c>
      <x:c r="BC44" s="11" t="str">
        <x:f>IF(I44&lt;&gt;"PASS","",(AVERAGE(AL44,AG44)*'Config_v6'!$B$4+AVERAGE(AN44,AI44)*'Config_v6'!$B$5+AVERAGE(AP44,AK44)*'Config_v6'!$B$6)*AY44*BA44)</x:f>
      </x:c>
      <x:c r="BD44" s="11" t="str">
        <x:f>IF(I44&lt;&gt;"PASS","",BB44+BC44)</x:f>
      </x:c>
      <x:c r="BE44" s="11" t="str">
        <x:f>IF(A44="","",10-SUM(IF(AND(ISNUMBER('Input_Meci'!N44),'Input_Meci'!N44&gt;=0,'Input_Meci'!N44&lt;=200),1,0),IF(AND(ISNUMBER('Input_Meci'!O44),'Input_Meci'!O44&gt;=0,'Input_Meci'!O44&lt;=200),1,0),IF(AND(ISNUMBER('Input_Meci'!P44),'Input_Meci'!P44&gt;=0,'Input_Meci'!P44&lt;=200),1,0),IF(AND(ISNUMBER('Input_Meci'!Q44),'Input_Meci'!Q44&gt;=0,'Input_Meci'!Q44&lt;=200),1,0),IF(AND(ISNUMBER('Input_Meci'!R44),'Input_Meci'!R44&gt;=0,'Input_Meci'!R44&lt;=200),1,0),IF(AND(ISNUMBER('Input_Meci'!S44),'Input_Meci'!S44&gt;=0,'Input_Meci'!S44&lt;=200),1,0),IF(AND(ISNUMBER('Input_Meci'!T44),'Input_Meci'!T44&gt;=0,'Input_Meci'!T44&lt;=100),1,0),IF(AND(ISNUMBER('Input_Meci'!U44),'Input_Meci'!U44&gt;=0,'Input_Meci'!U44&lt;=100),1,0),IF(AND(ISNUMBER('Input_Meci'!V44),'Input_Meci'!V44&gt;=0,'Input_Meci'!V44&lt;=10),1,0),IF(AND(ISNUMBER('Input_Meci'!W44),'Input_Meci'!W44&gt;=0,'Input_Meci'!W44&lt;=10),1,0)))</x:f>
      </x:c>
      <x:c r="BF44" s="11" t="str">
        <x:f>IF(I44&lt;&gt;"PASS","",MAX(0,MIN(IF(OR(M44="YES",BL44&lt;&gt;C44),'Config_v6'!$B$34,100),ROUND(40+25*MIN(1,MIN(N44,Q44)/'Config_v6'!$B$7)*MIN(1,MIN(O44,R44)/'Config_v6'!$B$8)*MIN(1,MIN(P44,S44)/'Config_v6'!$B$9)+MAX(0,15-2*ABS(AF44-AJ44)-2*ABS(AL44-AP44))+IF(AU44&lt;='Config_v6'!$B$10,15,IF(AU44&lt;='Config_v6'!$B$11,13,IF(AU44&lt;='Config_v6'!$B$12,10,IF(AU44&lt;='Config_v6'!$B$13,6,0))))+5-BE44/10*'Config_v6'!$B$38,0))))</x:f>
      </x:c>
      <x:c r="BG44" s="11" t="str">
        <x:f>IF(I44&lt;&gt;"PASS","",MIN(1,'Config_v6'!$B$14*(0.7+0.3*MIN(1,AR44/'Config_v6'!$B$15))*IF(AU44&lt;='Config_v6'!$B$10,1,IF(AU44&lt;='Config_v6'!$B$11,0.95,IF(AU44&lt;='Config_v6'!$B$12,0.88,0.78)))*(0.75+0.25*BF44/100)))</x:f>
      </x:c>
      <x:c r="BH44" s="11" t="str">
        <x:f>IF(I44&lt;&gt;"PASS","",MIN(1,(ABS(AZ44-1)+ABS(BA44-1))*3))</x:f>
      </x:c>
      <x:c r="BI44" s="2" t="str">
        <x:f>IF(A44="","",IF(AND(OR('Input_Meci'!X44="",AND(ISNUMBER('Input_Meci'!X44),'Input_Meci'!X44&gt;=0,'Input_Meci'!X44&lt;=10)),OR('Input_Meci'!Y44="",AND(ISNUMBER('Input_Meci'!Y44),'Input_Meci'!Y44&gt;=0,'Input_Meci'!Y44&lt;=10)),OR('Input_Meci'!Z44="",AND(ISNUMBER('Input_Meci'!Z44),'Input_Meci'!Z44&gt;=0,'Input_Meci'!Z44&lt;=10)),OR('Input_Meci'!AA44="",AND(ISNUMBER('Input_Meci'!AA44),'Input_Meci'!AA44&gt;=0,'Input_Meci'!AA44&lt;=10)),OR('Input_Meci'!AB44="",AND(ISNUMBER('Input_Meci'!AB44),'Input_Meci'!AB44&gt;=0,'Input_Meci'!AB44&lt;=10)),OR('Input_Meci'!AC44="",AND(ISNUMBER('Input_Meci'!AC44),'Input_Meci'!AC44&gt;=0,'Input_Meci'!AC44&lt;=10)),OR('Input_Meci'!AD44="",AND(ISNUMBER('Input_Meci'!AD44),'Input_Meci'!AD44&gt;=-2,'Input_Meci'!AD44&lt;=2)),OR('Input_Meci'!AE44="",AND(ISNUMBER('Input_Meci'!AE44),'Input_Meci'!AE44&gt;=-2,'Input_Meci'!AE44&lt;=2)),OR('Input_Meci'!AF44="",AND(ISNUMBER('Input_Meci'!AF44),'Input_Meci'!AF44&gt;=-2,'Input_Meci'!AF44&lt;=2)),OR('Input_Meci'!AG44="",AND(ISNUMBER('Input_Meci'!AG44),'Input_Meci'!AG44&gt;=-2,'Input_Meci'!AG44&lt;=2))),"VALID","INVALID"))</x:f>
      </x:c>
      <x:c r="BJ44" s="2" t="n">
        <x:f>IF(A44="",0,SUM('Core_Nativ'!S462:S467))</x:f>
        <x:v>0</x:v>
      </x:c>
      <x:c r="BK44" s="2" t="str">
        <x:f>'Config_v6'!$B$40</x:f>
        <x:v>VALID</x:v>
      </x:c>
      <x:c r="BL44" s="2" t="str">
        <x:f>IF(A44="","",IF(SUMPRODUCT(('Istoric_Nativ'!$B$6:$B$405=B44)*('Istoric_Nativ'!$C$6:$C$405=C44)*('Istoric_Nativ'!$P$6:$P$405=1)*('Istoric_Nativ'!$D$6:$D$405&lt;INT(G44))*((('Istoric_Nativ'!$E$6:$E$405='Input_Meci'!D44)+('Istoric_Nativ'!$F$6:$F$405='Input_Meci'!D44)+('Istoric_Nativ'!$E$6:$E$405='Input_Meci'!E44)+('Istoric_Nativ'!$F$6:$F$405='Input_Meci'!E44))&gt;0))&gt;='Config_v6'!$B$41,C44,IF(AND('Input_Meci'!L44="YES",'Input_Meci'!K44&lt;&gt;"",'Input_Meci'!K44&lt;C44,COUNTIF('Core_Nativ'!R468:R473,"CLOSED")=6,SUM('Core_Nativ'!S468:S473)=0),'Input_Meci'!K44,C44)))</x:f>
      </x:c>
      <x:c r="BM44" s="9" t="n">
        <x:f>IF(OR(A44="",N44=0),0,LARGE(_xlfn._xlws.FILTER('Istoric_Nativ'!$D$6:$D$405,('Istoric_Nativ'!$B$6:$B$405=B44)*('Istoric_Nativ'!$C$6:$C$405=C44)*('Istoric_Nativ'!$P$6:$P$405=1)*('Istoric_Nativ'!$D$6:$D$405&lt;INT(G44))*((('Istoric_Nativ'!$E$6:$E$405='Input_Meci'!D44)+('Istoric_Nativ'!$F$6:$F$405='Input_Meci'!D44))&gt;0)),MIN(10,N44)))</x:f>
        <x:v>0</x:v>
      </x:c>
      <x:c r="BN44" s="9" t="n">
        <x:f>IF(OR(A44="",Q44=0),0,LARGE(_xlfn._xlws.FILTER('Istoric_Nativ'!$D$6:$D$405,('Istoric_Nativ'!$B$6:$B$405=B44)*('Istoric_Nativ'!$C$6:$C$405=C44)*('Istoric_Nativ'!$P$6:$P$405=1)*('Istoric_Nativ'!$D$6:$D$405&lt;INT(G44))*((('Istoric_Nativ'!$E$6:$E$405='Input_Meci'!E44)+('Istoric_Nativ'!$F$6:$F$405='Input_Meci'!E44))&gt;0)),MIN(10,Q44)))</x:f>
        <x:v>0</x:v>
      </x:c>
      <x:c r="BO44" s="9" t="n">
        <x:f>IF(OR(A44="",N44=0),0,LARGE(_xlfn._xlws.FILTER('Istoric_Nativ'!$D$6:$D$405,('Istoric_Nativ'!$B$6:$B$405=B44)*('Istoric_Nativ'!$C$6:$C$405=C44)*('Istoric_Nativ'!$P$6:$P$405=1)*('Istoric_Nativ'!$D$6:$D$405&lt;INT(G44))*((('Istoric_Nativ'!$E$6:$E$405='Input_Meci'!D44)+('Istoric_Nativ'!$F$6:$F$405='Input_Meci'!D44))&gt;0)),MIN(20,N44)))</x:f>
        <x:v>0</x:v>
      </x:c>
      <x:c r="BP44" s="9" t="n">
        <x:f>IF(OR(A44="",Q44=0),0,LARGE(_xlfn._xlws.FILTER('Istoric_Nativ'!$D$6:$D$405,('Istoric_Nativ'!$B$6:$B$405=B44)*('Istoric_Nativ'!$C$6:$C$405=C44)*('Istoric_Nativ'!$P$6:$P$405=1)*('Istoric_Nativ'!$D$6:$D$405&lt;INT(G44))*((('Istoric_Nativ'!$E$6:$E$405='Input_Meci'!E44)+('Istoric_Nativ'!$F$6:$F$405='Input_Meci'!E44))&gt;0)),MIN(20,Q44)))</x:f>
        <x:v>0</x:v>
      </x:c>
      <x:c r="BQ44" s="2" t="str">
        <x:f>IF(A44="","",IF(AND(COUNTIF(MatchesTable[Match_ID],A44)=1,COUNTIFS(MatchesTable[League],B44,MatchesTable[Season],C44,MatchesTable[Home],'Input_Meci'!D44,MatchesTable[Away],'Input_Meci'!E44,MatchesTable[Kickoff_UTC],F44)=1,B44&lt;&gt;"",C44&lt;&gt;"",'Input_Meci'!D44&lt;&gt;"",'Input_Meci'!E44&lt;&gt;"",'Input_Meci'!D44&lt;&gt;'Input_Meci'!E44,ISNUMBER(F44),ISNUMBER(G44),G44&lt;F44,OR(E44="LIVE",E44="REPLAY"),OR('Input_Meci'!L44="YES",'Input_Meci'!L44="NO",'Input_Meci'!L44="")),"VALID","INVALID"))</x:f>
      </x:c>
      <x:c r="BR44" s="2" t="n">
        <x:f>IF(I44&lt;&gt;"PASS",0,SUMPRODUCT(('Istoric_Nativ'!$B$6:$B$405='Input_Meci'!B44)*('Istoric_Nativ'!$C$6:$C$405='Input_Meci'!C44)*('Istoric_Nativ'!$P$6:$P$405=1)*('Istoric_Nativ'!$D$6:$D$405&lt;INT('Input_Meci'!G44))*((('Istoric_Nativ'!$E$6:$E$405='Input_Meci'!D44)+('Istoric_Nativ'!$F$6:$F$405='Input_Meci'!E44))&gt;0)))</x:f>
        <x:v>0</x:v>
      </x:c>
      <x:c r="BS44" s="2" t="n">
        <x:f>IF(I44&lt;&gt;"PASS",0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BM44)+((('Istoric_Nativ'!$E$6:$E$405='Input_Meci'!E44)+('Istoric_Nativ'!$F$6:$F$405='Input_Meci'!E44))&gt;0)*('Istoric_Nativ'!$D$6:$D$405&gt;=BN44))&gt;0)))</x:f>
        <x:v>0</x:v>
      </x:c>
      <x:c r="BT44" s="2" t="n">
        <x:f>IF(I44&lt;&gt;"PASS",0,SUMPRODUCT(('Istoric_Nativ'!$B$6:$B$405='Input_Meci'!B44)*('Istoric_Nativ'!$C$6:$C$405='Input_Meci'!C44)*('Istoric_Nativ'!$P$6:$P$405=1)*('Istoric_Nativ'!$D$6:$D$405&lt;INT('Input_Meci'!G44))*((((('Istoric_Nativ'!$E$6:$E$405='Input_Meci'!D44)+('Istoric_Nativ'!$F$6:$F$405='Input_Meci'!D44))&gt;0)*('Istoric_Nativ'!$D$6:$D$405&gt;=BO44)+((('Istoric_Nativ'!$E$6:$E$405='Input_Meci'!E44)+('Istoric_Nativ'!$F$6:$F$405='Input_Meci'!E44))&gt;0)*('Istoric_Nativ'!$D$6:$D$405&gt;=BP44))&gt;0)))</x:f>
        <x:v>0</x:v>
      </x:c>
    </x:row>
    <x:row r="45" ht="21" customHeight="1">
      <x:c r="A45" s="2" t="str">
        <x:f>IF('Input_Meci'!A45="","",'Input_Meci'!A45)</x:f>
      </x:c>
      <x:c r="B45" s="2" t="str">
        <x:f>IF(A45="","",'Input_Meci'!B45)</x:f>
      </x:c>
      <x:c r="C45" s="2" t="str">
        <x:f>IF(A45="","",'Input_Meci'!C45)</x:f>
      </x:c>
      <x:c r="D45" s="2" t="str">
        <x:f>IF(A45="","",'Input_Meci'!D45&amp;" – "&amp;'Input_Meci'!E45)</x:f>
      </x:c>
      <x:c r="E45" s="2" t="str">
        <x:f>IF(A45="","",'Input_Meci'!H45)</x:f>
      </x:c>
      <x:c r="F45" s="9" t="str">
        <x:f>IF(A45="","",'Input_Meci'!F45)</x:f>
      </x:c>
      <x:c r="G45" s="9" t="str">
        <x:f>IF(A45="","",'Input_Meci'!G45)</x:f>
      </x:c>
      <x:c r="H45" s="2" t="str">
        <x:f>IF(A45="","",IF(BQ45&lt;&gt;"VALID","NOT RELEASED",IF(AND(OR('Input_Meci'!I45="NOT AVAILABLE",'Input_Meci'!I45="SOURCE CONFLICT"),'Input_Meci'!J45&lt;&gt;""),"READY",IF(OR(NOT(OR('Input_Meci'!I45="AUTO",'Input_Meci'!I45="")),COUNTIF('Core_Nativ'!R474:R479,"CLOSED")&lt;&gt;6,BJ45&gt;0),"NOT RELEASED","READY"))))</x:f>
      </x:c>
      <x:c r="I45" s="2" t="str">
        <x:f>IF(A45="","",IF(H45&lt;&gt;"READY","NOT RELEASED",IF(AND(NOT(OR('Input_Meci'!I45="NOT AVAILABLE",'Input_Meci'!I45="SOURCE CONFLICT")),L45=12,AR45&gt;=2,AS45&gt;0,ISNUMBER(AT45),BI45="VALID",BK45="VALID"),"PASS","FAIL")))</x:f>
      </x:c>
      <x:c r="J45" s="2" t="str">
        <x:f>IF(A45="","",IF(BQ45&lt;&gt;"VALID","Verifica ID, echipe, mod si cutoff &lt; kickoff",IF(H45&lt;&gt;"READY",IF('Input_Meci'!I45="ACCESS BLOCKED","Acces blocat: reia sursele",IF(BJ45&gt;0,"Istoric invalid sau conflict: verifica randurile native","Surse neinchise / post-cutoff / dovezi incomplete")),IF(OR('Input_Meci'!I45="NOT AVAILABLE",'Input_Meci'!I45="SOURCE CONFLICT"),'Input_Meci'!I45,IF(BK45&lt;&gt;"VALID","Parametri invalizi",IF(L45&lt;&gt;12,"Core / sample / prior insuficient",IF(AR45&lt;2,"N insuficient pentru dispersie",IF(AS45&lt;=0,"Media istorica trebuie sa fie pozitiva",IF(BI45&lt;&gt;"VALID","Context invalid","READY")))))))))</x:f>
      </x:c>
      <x:c r="K45" s="2" t="str">
        <x:f>IF(A45="","",COUNT(T45:AE45))</x:f>
      </x:c>
      <x:c r="L45" s="2" t="str">
        <x:f>IF(A45="","",COUNT(AF45:AQ45))</x:f>
      </x:c>
      <x:c r="M45" s="2" t="str">
        <x:f>IF(A45="","",IF(OR('Core_Nativ'!M474&lt;'Core_Nativ'!P474,'Core_Nativ'!M475&lt;'Core_Nativ'!P475,'Core_Nativ'!M476&lt;'Core_Nativ'!P476,'Core_Nativ'!M477&lt;'Core_Nativ'!P477,'Core_Nativ'!M478&lt;'Core_Nativ'!P478,'Core_Nativ'!M479&lt;'Core_Nativ'!P479),"YES","NO"))</x:f>
      </x:c>
      <x:c r="N45" s="2" t="str">
        <x:f>IF(A45="","",'Core_Nativ'!M474)</x:f>
      </x:c>
      <x:c r="O45" s="2" t="str">
        <x:f>IF(A45="","",'Core_Nativ'!M475)</x:f>
      </x:c>
      <x:c r="P45" s="2" t="str">
        <x:f>IF(A45="","",'Core_Nativ'!M476)</x:f>
      </x:c>
      <x:c r="Q45" s="2" t="str">
        <x:f>IF(A45="","",'Core_Nativ'!M477)</x:f>
      </x:c>
      <x:c r="R45" s="2" t="str">
        <x:f>IF(A45="","",'Core_Nativ'!M478)</x:f>
      </x:c>
      <x:c r="S45" s="2" t="str">
        <x:f>IF(A45="","",'Core_Nativ'!M479)</x:f>
      </x:c>
      <x:c r="T45" s="11" t="str">
        <x:f>IF(OR(A45="",'Core_Nativ'!M474=0),"",'Core_Nativ'!N474)</x:f>
      </x:c>
      <x:c r="U45" s="11" t="str">
        <x:f>IF(OR(A45="",'Core_Nativ'!M474=0),"",'Core_Nativ'!O474)</x:f>
      </x:c>
      <x:c r="V45" s="11" t="str">
        <x:f>IF(OR(A45="",'Core_Nativ'!M475=0),"",'Core_Nativ'!N475)</x:f>
      </x:c>
      <x:c r="W45" s="11" t="str">
        <x:f>IF(OR(A45="",'Core_Nativ'!M475=0),"",'Core_Nativ'!O475)</x:f>
      </x:c>
      <x:c r="X45" s="11" t="str">
        <x:f>IF(OR(A45="",'Core_Nativ'!M476=0),"",'Core_Nativ'!N476)</x:f>
      </x:c>
      <x:c r="Y45" s="11" t="str">
        <x:f>IF(OR(A45="",'Core_Nativ'!M476=0),"",'Core_Nativ'!O476)</x:f>
      </x:c>
      <x:c r="Z45" s="11" t="str">
        <x:f>IF(OR(A45="",'Core_Nativ'!M477=0),"",'Core_Nativ'!N477)</x:f>
      </x:c>
      <x:c r="AA45" s="11" t="str">
        <x:f>IF(OR(A45="",'Core_Nativ'!M477=0),"",'Core_Nativ'!O477)</x:f>
      </x:c>
      <x:c r="AB45" s="11" t="str">
        <x:f>IF(OR(A45="",'Core_Nativ'!M478=0),"",'Core_Nativ'!N478)</x:f>
      </x:c>
      <x:c r="AC45" s="11" t="str">
        <x:f>IF(OR(A45="",'Core_Nativ'!M478=0),"",'Core_Nativ'!O478)</x:f>
      </x:c>
      <x:c r="AD45" s="11" t="str">
        <x:f>IF(OR(A45="",'Core_Nativ'!M479=0),"",'Core_Nativ'!N479)</x:f>
      </x:c>
      <x:c r="AE45" s="11" t="str">
        <x:f>IF(OR(A45="",'Core_Nativ'!M479=0),"",'Core_Nativ'!O479)</x:f>
      </x:c>
      <x:c r="AF45" s="11" t="str">
        <x:f>IF(A45="","",IF(AND('Core_Nativ'!R474="CLOSED",'Core_Nativ'!S474=0),IF('Core_Nativ'!M474&gt;='Core_Nativ'!P474,'Core_Nativ'!N474,IF(AND('Input_Meci'!L45="YES",'Input_Meci'!K45&lt;&gt;"",'Input_Meci'!K45&lt;C45,'Core_Nativ'!T480="DERIVED",'Core_Nativ'!M480&gt;='Core_Nativ'!P474),MIN(1,'Core_Nativ'!M474/'Core_Nativ'!P474)*IF('Core_Nativ'!M474=0,0,'Core_Nativ'!N474)+(1-MIN(1,'Core_Nativ'!M474/'Core_Nativ'!P474))*'Core_Nativ'!N480,"")),""))</x:f>
      </x:c>
      <x:c r="AG45" s="11" t="str">
        <x:f>IF(A45="","",IF(AND('Core_Nativ'!R474="CLOSED",'Core_Nativ'!S474=0),IF('Core_Nativ'!M474&gt;='Core_Nativ'!P474,'Core_Nativ'!O474,IF(AND('Input_Meci'!L45="YES",'Input_Meci'!K45&lt;&gt;"",'Input_Meci'!K45&lt;C45,'Core_Nativ'!T480="DERIVED",'Core_Nativ'!M480&gt;='Core_Nativ'!P474),MIN(1,'Core_Nativ'!M474/'Core_Nativ'!P474)*IF('Core_Nativ'!M474=0,0,'Core_Nativ'!O474)+(1-MIN(1,'Core_Nativ'!M474/'Core_Nativ'!P474))*'Core_Nativ'!O480,"")),""))</x:f>
      </x:c>
      <x:c r="AH45" s="11" t="str">
        <x:f>IF(A45="","",IF(AND('Core_Nativ'!R475="CLOSED",'Core_Nativ'!S475=0),IF('Core_Nativ'!M475&gt;='Core_Nativ'!P475,'Core_Nativ'!N475,IF(AND('Input_Meci'!L45="YES",'Input_Meci'!K45&lt;&gt;"",'Input_Meci'!K45&lt;C45,'Core_Nativ'!T481="DERIVED",'Core_Nativ'!M481&gt;='Core_Nativ'!P475),MIN(1,'Core_Nativ'!M475/'Core_Nativ'!P475)*IF('Core_Nativ'!M475=0,0,'Core_Nativ'!N475)+(1-MIN(1,'Core_Nativ'!M475/'Core_Nativ'!P475))*'Core_Nativ'!N481,"")),""))</x:f>
      </x:c>
      <x:c r="AI45" s="11" t="str">
        <x:f>IF(A45="","",IF(AND('Core_Nativ'!R475="CLOSED",'Core_Nativ'!S475=0),IF('Core_Nativ'!M475&gt;='Core_Nativ'!P475,'Core_Nativ'!O475,IF(AND('Input_Meci'!L45="YES",'Input_Meci'!K45&lt;&gt;"",'Input_Meci'!K45&lt;C45,'Core_Nativ'!T481="DERIVED",'Core_Nativ'!M481&gt;='Core_Nativ'!P475),MIN(1,'Core_Nativ'!M475/'Core_Nativ'!P475)*IF('Core_Nativ'!M475=0,0,'Core_Nativ'!O475)+(1-MIN(1,'Core_Nativ'!M475/'Core_Nativ'!P475))*'Core_Nativ'!O481,"")),""))</x:f>
      </x:c>
      <x:c r="AJ45" s="11" t="str">
        <x:f>IF(A45="","",IF(AND('Core_Nativ'!R476="CLOSED",'Core_Nativ'!S476=0),IF('Core_Nativ'!M476&gt;='Core_Nativ'!P476,'Core_Nativ'!N476,IF(AND('Input_Meci'!L45="YES",'Input_Meci'!K45&lt;&gt;"",'Input_Meci'!K45&lt;C45,'Core_Nativ'!T482="DERIVED",'Core_Nativ'!M482&gt;='Core_Nativ'!P476),MIN(1,'Core_Nativ'!M476/'Core_Nativ'!P476)*IF('Core_Nativ'!M476=0,0,'Core_Nativ'!N476)+(1-MIN(1,'Core_Nativ'!M476/'Core_Nativ'!P476))*'Core_Nativ'!N482,"")),""))</x:f>
      </x:c>
      <x:c r="AK45" s="11" t="str">
        <x:f>IF(A45="","",IF(AND('Core_Nativ'!R476="CLOSED",'Core_Nativ'!S476=0),IF('Core_Nativ'!M476&gt;='Core_Nativ'!P476,'Core_Nativ'!O476,IF(AND('Input_Meci'!L45="YES",'Input_Meci'!K45&lt;&gt;"",'Input_Meci'!K45&lt;C45,'Core_Nativ'!T482="DERIVED",'Core_Nativ'!M482&gt;='Core_Nativ'!P476),MIN(1,'Core_Nativ'!M476/'Core_Nativ'!P476)*IF('Core_Nativ'!M476=0,0,'Core_Nativ'!O476)+(1-MIN(1,'Core_Nativ'!M476/'Core_Nativ'!P476))*'Core_Nativ'!O482,"")),""))</x:f>
      </x:c>
      <x:c r="AL45" s="11" t="str">
        <x:f>IF(A45="","",IF(AND('Core_Nativ'!R477="CLOSED",'Core_Nativ'!S477=0),IF('Core_Nativ'!M477&gt;='Core_Nativ'!P477,'Core_Nativ'!N477,IF(AND('Input_Meci'!L45="YES",'Input_Meci'!K45&lt;&gt;"",'Input_Meci'!K45&lt;C45,'Core_Nativ'!T483="DERIVED",'Core_Nativ'!M483&gt;='Core_Nativ'!P477),MIN(1,'Core_Nativ'!M477/'Core_Nativ'!P477)*IF('Core_Nativ'!M477=0,0,'Core_Nativ'!N477)+(1-MIN(1,'Core_Nativ'!M477/'Core_Nativ'!P477))*'Core_Nativ'!N483,"")),""))</x:f>
      </x:c>
      <x:c r="AM45" s="11" t="str">
        <x:f>IF(A45="","",IF(AND('Core_Nativ'!R477="CLOSED",'Core_Nativ'!S477=0),IF('Core_Nativ'!M477&gt;='Core_Nativ'!P477,'Core_Nativ'!O477,IF(AND('Input_Meci'!L45="YES",'Input_Meci'!K45&lt;&gt;"",'Input_Meci'!K45&lt;C45,'Core_Nativ'!T483="DERIVED",'Core_Nativ'!M483&gt;='Core_Nativ'!P477),MIN(1,'Core_Nativ'!M477/'Core_Nativ'!P477)*IF('Core_Nativ'!M477=0,0,'Core_Nativ'!O477)+(1-MIN(1,'Core_Nativ'!M477/'Core_Nativ'!P477))*'Core_Nativ'!O483,"")),""))</x:f>
      </x:c>
      <x:c r="AN45" s="11" t="str">
        <x:f>IF(A45="","",IF(AND('Core_Nativ'!R478="CLOSED",'Core_Nativ'!S478=0),IF('Core_Nativ'!M478&gt;='Core_Nativ'!P478,'Core_Nativ'!N478,IF(AND('Input_Meci'!L45="YES",'Input_Meci'!K45&lt;&gt;"",'Input_Meci'!K45&lt;C45,'Core_Nativ'!T484="DERIVED",'Core_Nativ'!M484&gt;='Core_Nativ'!P478),MIN(1,'Core_Nativ'!M478/'Core_Nativ'!P478)*IF('Core_Nativ'!M478=0,0,'Core_Nativ'!N478)+(1-MIN(1,'Core_Nativ'!M478/'Core_Nativ'!P478))*'Core_Nativ'!N484,"")),""))</x:f>
      </x:c>
      <x:c r="AO45" s="11" t="str">
        <x:f>IF(A45="","",IF(AND('Core_Nativ'!R478="CLOSED",'Core_Nativ'!S478=0),IF('Core_Nativ'!M478&gt;='Core_Nativ'!P478,'Core_Nativ'!O478,IF(AND('Input_Meci'!L45="YES",'Input_Meci'!K45&lt;&gt;"",'Input_Meci'!K45&lt;C45,'Core_Nativ'!T484="DERIVED",'Core_Nativ'!M484&gt;='Core_Nativ'!P478),MIN(1,'Core_Nativ'!M478/'Core_Nativ'!P478)*IF('Core_Nativ'!M478=0,0,'Core_Nativ'!O478)+(1-MIN(1,'Core_Nativ'!M478/'Core_Nativ'!P478))*'Core_Nativ'!O484,"")),""))</x:f>
      </x:c>
      <x:c r="AP45" s="11" t="str">
        <x:f>IF(A45="","",IF(AND('Core_Nativ'!R479="CLOSED",'Core_Nativ'!S479=0),IF('Core_Nativ'!M479&gt;='Core_Nativ'!P479,'Core_Nativ'!N479,IF(AND('Input_Meci'!L45="YES",'Input_Meci'!K45&lt;&gt;"",'Input_Meci'!K45&lt;C45,'Core_Nativ'!T485="DERIVED",'Core_Nativ'!M485&gt;='Core_Nativ'!P479),MIN(1,'Core_Nativ'!M479/'Core_Nativ'!P479)*IF('Core_Nativ'!M479=0,0,'Core_Nativ'!N479)+(1-MIN(1,'Core_Nativ'!M479/'Core_Nativ'!P479))*'Core_Nativ'!N485,"")),""))</x:f>
      </x:c>
      <x:c r="AQ45" s="11" t="str">
        <x:f>IF(A45="","",IF(AND('Core_Nativ'!R479="CLOSED",'Core_Nativ'!S479=0),IF('Core_Nativ'!M479&gt;='Core_Nativ'!P479,'Core_Nativ'!O479,IF(AND('Input_Meci'!L45="YES",'Input_Meci'!K45&lt;&gt;"",'Input_Meci'!K45&lt;C45,'Core_Nativ'!T485="DERIVED",'Core_Nativ'!M485&gt;='Core_Nativ'!P479),MIN(1,'Core_Nativ'!M479/'Core_Nativ'!P479)*IF('Core_Nativ'!M479=0,0,'Core_Nativ'!O479)+(1-MIN(1,'Core_Nativ'!M479/'Core_Nativ'!P479))*'Core_Nativ'!O485,"")),""))</x:f>
      </x:c>
      <x:c r="AR45" s="11" t="str">
        <x:f>IF(A45="","",SUMPRODUCT(('Istoric_Nativ'!$B$6:$B$405=B45)*('Istoric_Nativ'!$C$6:$C$405=BL45)*('Istoric_Nativ'!$P$6:$P$405=1)*('Istoric_Nativ'!$D$6:$D$405&lt;INT(G45))*((('Istoric_Nativ'!$E$6:$E$405='Input_Meci'!D45)+('Istoric_Nativ'!$F$6:$F$405='Input_Meci'!D45)+('Istoric_Nativ'!$E$6:$E$405='Input_Meci'!E45)+('Istoric_Nativ'!$F$6:$F$405='Input_Meci'!E45))&gt;0)))</x:f>
      </x:c>
      <x:c r="AS45" s="11" t="str">
        <x:f>IF(AR45=0,"",SUMPRODUCT(('Istoric_Nativ'!$B$6:$B$405=B45)*('Istoric_Nativ'!$C$6:$C$405=BL45)*('Istoric_Nativ'!$P$6:$P$405=1)*('Istoric_Nativ'!$D$6:$D$405&lt;INT(G45))*((('Istoric_Nativ'!$E$6:$E$405='Input_Meci'!D45)+('Istoric_Nativ'!$F$6:$F$405='Input_Meci'!D45)+('Istoric_Nativ'!$E$6:$E$405='Input_Meci'!E45)+('Istoric_Nativ'!$F$6:$F$405='Input_Meci'!E45))&gt;0)*'Istoric_Nativ'!$Q$6:$Q$405)/AR45)</x:f>
      </x:c>
      <x:c r="AT45" s="11" t="str">
        <x:f>IF(AR45&lt;2,"",MAX(0,(SUMPRODUCT(('Istoric_Nativ'!$B$6:$B$405=B45)*('Istoric_Nativ'!$C$6:$C$405=BL45)*('Istoric_Nativ'!$P$6:$P$405=1)*('Istoric_Nativ'!$D$6:$D$405&lt;INT(G45))*((('Istoric_Nativ'!$E$6:$E$405='Input_Meci'!D45)+('Istoric_Nativ'!$F$6:$F$405='Input_Meci'!D45)+('Istoric_Nativ'!$E$6:$E$405='Input_Meci'!E45)+('Istoric_Nativ'!$F$6:$F$405='Input_Meci'!E45))&gt;0)*'Istoric_Nativ'!$R$6:$R$405)-AR45*AS45^2)/(AR45-1)))</x:f>
      </x:c>
      <x:c r="AU45" s="11" t="str">
        <x:f>IF(I45&lt;&gt;"PASS","",AT45/AS45)</x:f>
      </x:c>
      <x:c r="AV45" s="11" t="str">
        <x:f>IF(I45&lt;&gt;"PASS","",IF(AU45&lt;='Config_v6'!$B$10,"POISSON","NEGATIVE BINOMIAL"))</x:f>
      </x:c>
      <x:c r="AW45" s="11" t="str">
        <x:f>IF(I45&lt;&gt;"PASS","",IF(AV45="POISSON",9999,AS45/(AU45-1)))</x:f>
      </x:c>
      <x:c r="AX45" s="11" t="str">
        <x:f>IF(A45="","",MAX(1-'Config_v6'!$B$20,MIN(1+'Config_v6'!$B$20,1+0.02*(IF(AND(ISNUMBER('Input_Meci'!N45),'Input_Meci'!N45&gt;=0,'Input_Meci'!N45&lt;=200),'Input_Meci'!N45,12)/12-1)+0.02*(IF(AND(ISNUMBER('Input_Meci'!P45),'Input_Meci'!P45&gt;=0,'Input_Meci'!P45&lt;=200),'Input_Meci'!P45,3.5)/3.5-1)+0.02*(IF(AND(ISNUMBER('Input_Meci'!R45),'Input_Meci'!R45&gt;=0,'Input_Meci'!R45&lt;=200),'Input_Meci'!R45,18)/18-1)+0.02*((IF(AND(ISNUMBER('Input_Meci'!V45),'Input_Meci'!V45&gt;=0,'Input_Meci'!V45&lt;=10),'Input_Meci'!V45,5)-5)/5))))</x:f>
      </x:c>
      <x:c r="AY45" s="11" t="str">
        <x:f>IF(A45="","",MAX(1-'Config_v6'!$B$20,MIN(1+'Config_v6'!$B$20,1+0.02*(IF(AND(ISNUMBER('Input_Meci'!O45),'Input_Meci'!O45&gt;=0,'Input_Meci'!O45&lt;=200),'Input_Meci'!O45,12)/12-1)+0.02*(IF(AND(ISNUMBER('Input_Meci'!Q45),'Input_Meci'!Q45&gt;=0,'Input_Meci'!Q45&lt;=200),'Input_Meci'!Q45,3.5)/3.5-1)+0.02*(IF(AND(ISNUMBER('Input_Meci'!S45),'Input_Meci'!S45&gt;=0,'Input_Meci'!S45&lt;=200),'Input_Meci'!S45,18)/18-1)+0.02*((IF(AND(ISNUMBER('Input_Meci'!W45),'Input_Meci'!W45&gt;=0,'Input_Meci'!W45&lt;=10),'Input_Meci'!W45,5)-5)/5))))</x:f>
      </x:c>
      <x:c r="AZ45" s="11" t="str">
        <x:f>IF(A45="","",MAX(1-'Config_v6'!$B$21,MIN(1+'Config_v6'!$B$21,1+0.012*(IF('Input_Meci'!X45="",5,IF(ISNUMBER('Input_Meci'!X45),'Input_Meci'!X45,5))-5)+0.018*(IF('Input_Meci'!Z45="",5,IF(ISNUMBER('Input_Meci'!Z45),'Input_Meci'!Z45,5))-5)+0.012*(IF('Input_Meci'!AB45="",5,IF(ISNUMBER('Input_Meci'!AB45),'Input_Meci'!AB45,5))-5)+0.015*IF('Input_Meci'!AD45="",0,IF(ISNUMBER('Input_Meci'!AD45),'Input_Meci'!AD45,0))+0.02*IF('Input_Meci'!AF45="",0,IF(ISNUMBER('Input_Meci'!AF45),'Input_Meci'!AF45,0)))))</x:f>
      </x:c>
      <x:c r="BA45" s="11" t="str">
        <x:f>IF(A45="","",MAX(1-'Config_v6'!$B$21,MIN(1+'Config_v6'!$B$21,1+0.012*(IF('Input_Meci'!Y45="",5,IF(ISNUMBER('Input_Meci'!Y45),'Input_Meci'!Y45,5))-5)+0.018*(IF('Input_Meci'!AA45="",5,IF(ISNUMBER('Input_Meci'!AA45),'Input_Meci'!AA45,5))-5)+0.012*(IF('Input_Meci'!AC45="",5,IF(ISNUMBER('Input_Meci'!AC45),'Input_Meci'!AC45,5))-5)+0.015*IF('Input_Meci'!AE45="",0,IF(ISNUMBER('Input_Meci'!AE45),'Input_Meci'!AE45,0))+0.02*IF('Input_Meci'!AG45="",0,IF(ISNUMBER('Input_Meci'!AG45),'Input_Meci'!AG45,0)))))</x:f>
      </x:c>
      <x:c r="BB45" s="11" t="str">
        <x:f>IF(I45&lt;&gt;"PASS","",(AVERAGE(AF45,AM45)*'Config_v6'!$B$4+AVERAGE(AH45,AO45)*'Config_v6'!$B$5+AVERAGE(AJ45,AQ45)*'Config_v6'!$B$6)*AX45*AZ45)</x:f>
      </x:c>
      <x:c r="BC45" s="11" t="str">
        <x:f>IF(I45&lt;&gt;"PASS","",(AVERAGE(AL45,AG45)*'Config_v6'!$B$4+AVERAGE(AN45,AI45)*'Config_v6'!$B$5+AVERAGE(AP45,AK45)*'Config_v6'!$B$6)*AY45*BA45)</x:f>
      </x:c>
      <x:c r="BD45" s="11" t="str">
        <x:f>IF(I45&lt;&gt;"PASS","",BB45+BC45)</x:f>
      </x:c>
      <x:c r="BE45" s="11" t="str">
        <x:f>IF(A45="","",10-SUM(IF(AND(ISNUMBER('Input_Meci'!N45),'Input_Meci'!N45&gt;=0,'Input_Meci'!N45&lt;=200),1,0),IF(AND(ISNUMBER('Input_Meci'!O45),'Input_Meci'!O45&gt;=0,'Input_Meci'!O45&lt;=200),1,0),IF(AND(ISNUMBER('Input_Meci'!P45),'Input_Meci'!P45&gt;=0,'Input_Meci'!P45&lt;=200),1,0),IF(AND(ISNUMBER('Input_Meci'!Q45),'Input_Meci'!Q45&gt;=0,'Input_Meci'!Q45&lt;=200),1,0),IF(AND(ISNUMBER('Input_Meci'!R45),'Input_Meci'!R45&gt;=0,'Input_Meci'!R45&lt;=200),1,0),IF(AND(ISNUMBER('Input_Meci'!S45),'Input_Meci'!S45&gt;=0,'Input_Meci'!S45&lt;=200),1,0),IF(AND(ISNUMBER('Input_Meci'!T45),'Input_Meci'!T45&gt;=0,'Input_Meci'!T45&lt;=100),1,0),IF(AND(ISNUMBER('Input_Meci'!U45),'Input_Meci'!U45&gt;=0,'Input_Meci'!U45&lt;=100),1,0),IF(AND(ISNUMBER('Input_Meci'!V45),'Input_Meci'!V45&gt;=0,'Input_Meci'!V45&lt;=10),1,0),IF(AND(ISNUMBER('Input_Meci'!W45),'Input_Meci'!W45&gt;=0,'Input_Meci'!W45&lt;=10),1,0)))</x:f>
      </x:c>
      <x:c r="BF45" s="11" t="str">
        <x:f>IF(I45&lt;&gt;"PASS","",MAX(0,MIN(IF(OR(M45="YES",BL45&lt;&gt;C45),'Config_v6'!$B$34,100),ROUND(40+25*MIN(1,MIN(N45,Q45)/'Config_v6'!$B$7)*MIN(1,MIN(O45,R45)/'Config_v6'!$B$8)*MIN(1,MIN(P45,S45)/'Config_v6'!$B$9)+MAX(0,15-2*ABS(AF45-AJ45)-2*ABS(AL45-AP45))+IF(AU45&lt;='Config_v6'!$B$10,15,IF(AU45&lt;='Config_v6'!$B$11,13,IF(AU45&lt;='Config_v6'!$B$12,10,IF(AU45&lt;='Config_v6'!$B$13,6,0))))+5-BE45/10*'Config_v6'!$B$38,0))))</x:f>
      </x:c>
      <x:c r="BG45" s="11" t="str">
        <x:f>IF(I45&lt;&gt;"PASS","",MIN(1,'Config_v6'!$B$14*(0.7+0.3*MIN(1,AR45/'Config_v6'!$B$15))*IF(AU45&lt;='Config_v6'!$B$10,1,IF(AU45&lt;='Config_v6'!$B$11,0.95,IF(AU45&lt;='Config_v6'!$B$12,0.88,0.78)))*(0.75+0.25*BF45/100)))</x:f>
      </x:c>
      <x:c r="BH45" s="11" t="str">
        <x:f>IF(I45&lt;&gt;"PASS","",MIN(1,(ABS(AZ45-1)+ABS(BA45-1))*3))</x:f>
      </x:c>
      <x:c r="BI45" s="2" t="str">
        <x:f>IF(A45="","",IF(AND(OR('Input_Meci'!X45="",AND(ISNUMBER('Input_Meci'!X45),'Input_Meci'!X45&gt;=0,'Input_Meci'!X45&lt;=10)),OR('Input_Meci'!Y45="",AND(ISNUMBER('Input_Meci'!Y45),'Input_Meci'!Y45&gt;=0,'Input_Meci'!Y45&lt;=10)),OR('Input_Meci'!Z45="",AND(ISNUMBER('Input_Meci'!Z45),'Input_Meci'!Z45&gt;=0,'Input_Meci'!Z45&lt;=10)),OR('Input_Meci'!AA45="",AND(ISNUMBER('Input_Meci'!AA45),'Input_Meci'!AA45&gt;=0,'Input_Meci'!AA45&lt;=10)),OR('Input_Meci'!AB45="",AND(ISNUMBER('Input_Meci'!AB45),'Input_Meci'!AB45&gt;=0,'Input_Meci'!AB45&lt;=10)),OR('Input_Meci'!AC45="",AND(ISNUMBER('Input_Meci'!AC45),'Input_Meci'!AC45&gt;=0,'Input_Meci'!AC45&lt;=10)),OR('Input_Meci'!AD45="",AND(ISNUMBER('Input_Meci'!AD45),'Input_Meci'!AD45&gt;=-2,'Input_Meci'!AD45&lt;=2)),OR('Input_Meci'!AE45="",AND(ISNUMBER('Input_Meci'!AE45),'Input_Meci'!AE45&gt;=-2,'Input_Meci'!AE45&lt;=2)),OR('Input_Meci'!AF45="",AND(ISNUMBER('Input_Meci'!AF45),'Input_Meci'!AF45&gt;=-2,'Input_Meci'!AF45&lt;=2)),OR('Input_Meci'!AG45="",AND(ISNUMBER('Input_Meci'!AG45),'Input_Meci'!AG45&gt;=-2,'Input_Meci'!AG45&lt;=2))),"VALID","INVALID"))</x:f>
      </x:c>
      <x:c r="BJ45" s="2" t="n">
        <x:f>IF(A45="",0,SUM('Core_Nativ'!S474:S479))</x:f>
        <x:v>0</x:v>
      </x:c>
      <x:c r="BK45" s="2" t="str">
        <x:f>'Config_v6'!$B$40</x:f>
        <x:v>VALID</x:v>
      </x:c>
      <x:c r="BL45" s="2" t="str">
        <x:f>IF(A45="","",IF(SUMPRODUCT(('Istoric_Nativ'!$B$6:$B$405=B45)*('Istoric_Nativ'!$C$6:$C$405=C45)*('Istoric_Nativ'!$P$6:$P$405=1)*('Istoric_Nativ'!$D$6:$D$405&lt;INT(G45))*((('Istoric_Nativ'!$E$6:$E$405='Input_Meci'!D45)+('Istoric_Nativ'!$F$6:$F$405='Input_Meci'!D45)+('Istoric_Nativ'!$E$6:$E$405='Input_Meci'!E45)+('Istoric_Nativ'!$F$6:$F$405='Input_Meci'!E45))&gt;0))&gt;='Config_v6'!$B$41,C45,IF(AND('Input_Meci'!L45="YES",'Input_Meci'!K45&lt;&gt;"",'Input_Meci'!K45&lt;C45,COUNTIF('Core_Nativ'!R480:R485,"CLOSED")=6,SUM('Core_Nativ'!S480:S485)=0),'Input_Meci'!K45,C45)))</x:f>
      </x:c>
      <x:c r="BM45" s="9" t="n">
        <x:f>IF(OR(A45="",N45=0),0,LARGE(_xlfn._xlws.FILTER('Istoric_Nativ'!$D$6:$D$405,('Istoric_Nativ'!$B$6:$B$405=B45)*('Istoric_Nativ'!$C$6:$C$405=C45)*('Istoric_Nativ'!$P$6:$P$405=1)*('Istoric_Nativ'!$D$6:$D$405&lt;INT(G45))*((('Istoric_Nativ'!$E$6:$E$405='Input_Meci'!D45)+('Istoric_Nativ'!$F$6:$F$405='Input_Meci'!D45))&gt;0)),MIN(10,N45)))</x:f>
        <x:v>0</x:v>
      </x:c>
      <x:c r="BN45" s="9" t="n">
        <x:f>IF(OR(A45="",Q45=0),0,LARGE(_xlfn._xlws.FILTER('Istoric_Nativ'!$D$6:$D$405,('Istoric_Nativ'!$B$6:$B$405=B45)*('Istoric_Nativ'!$C$6:$C$405=C45)*('Istoric_Nativ'!$P$6:$P$405=1)*('Istoric_Nativ'!$D$6:$D$405&lt;INT(G45))*((('Istoric_Nativ'!$E$6:$E$405='Input_Meci'!E45)+('Istoric_Nativ'!$F$6:$F$405='Input_Meci'!E45))&gt;0)),MIN(10,Q45)))</x:f>
        <x:v>0</x:v>
      </x:c>
      <x:c r="BO45" s="9" t="n">
        <x:f>IF(OR(A45="",N45=0),0,LARGE(_xlfn._xlws.FILTER('Istoric_Nativ'!$D$6:$D$405,('Istoric_Nativ'!$B$6:$B$405=B45)*('Istoric_Nativ'!$C$6:$C$405=C45)*('Istoric_Nativ'!$P$6:$P$405=1)*('Istoric_Nativ'!$D$6:$D$405&lt;INT(G45))*((('Istoric_Nativ'!$E$6:$E$405='Input_Meci'!D45)+('Istoric_Nativ'!$F$6:$F$405='Input_Meci'!D45))&gt;0)),MIN(20,N45)))</x:f>
        <x:v>0</x:v>
      </x:c>
      <x:c r="BP45" s="9" t="n">
        <x:f>IF(OR(A45="",Q45=0),0,LARGE(_xlfn._xlws.FILTER('Istoric_Nativ'!$D$6:$D$405,('Istoric_Nativ'!$B$6:$B$405=B45)*('Istoric_Nativ'!$C$6:$C$405=C45)*('Istoric_Nativ'!$P$6:$P$405=1)*('Istoric_Nativ'!$D$6:$D$405&lt;INT(G45))*((('Istoric_Nativ'!$E$6:$E$405='Input_Meci'!E45)+('Istoric_Nativ'!$F$6:$F$405='Input_Meci'!E45))&gt;0)),MIN(20,Q45)))</x:f>
        <x:v>0</x:v>
      </x:c>
      <x:c r="BQ45" s="2" t="str">
        <x:f>IF(A45="","",IF(AND(COUNTIF(MatchesTable[Match_ID],A45)=1,COUNTIFS(MatchesTable[League],B45,MatchesTable[Season],C45,MatchesTable[Home],'Input_Meci'!D45,MatchesTable[Away],'Input_Meci'!E45,MatchesTable[Kickoff_UTC],F45)=1,B45&lt;&gt;"",C45&lt;&gt;"",'Input_Meci'!D45&lt;&gt;"",'Input_Meci'!E45&lt;&gt;"",'Input_Meci'!D45&lt;&gt;'Input_Meci'!E45,ISNUMBER(F45),ISNUMBER(G45),G45&lt;F45,OR(E45="LIVE",E45="REPLAY"),OR('Input_Meci'!L45="YES",'Input_Meci'!L45="NO",'Input_Meci'!L45="")),"VALID","INVALID"))</x:f>
      </x:c>
      <x:c r="BR45" s="2" t="n">
        <x:f>IF(I45&lt;&gt;"PASS",0,SUMPRODUCT(('Istoric_Nativ'!$B$6:$B$405='Input_Meci'!B45)*('Istoric_Nativ'!$C$6:$C$405='Input_Meci'!C45)*('Istoric_Nativ'!$P$6:$P$405=1)*('Istoric_Nativ'!$D$6:$D$405&lt;INT('Input_Meci'!G45))*((('Istoric_Nativ'!$E$6:$E$405='Input_Meci'!D45)+('Istoric_Nativ'!$F$6:$F$405='Input_Meci'!E45))&gt;0)))</x:f>
        <x:v>0</x:v>
      </x:c>
      <x:c r="BS45" s="2" t="n">
        <x:f>IF(I45&lt;&gt;"PASS",0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BM45)+((('Istoric_Nativ'!$E$6:$E$405='Input_Meci'!E45)+('Istoric_Nativ'!$F$6:$F$405='Input_Meci'!E45))&gt;0)*('Istoric_Nativ'!$D$6:$D$405&gt;=BN45))&gt;0)))</x:f>
        <x:v>0</x:v>
      </x:c>
      <x:c r="BT45" s="2" t="n">
        <x:f>IF(I45&lt;&gt;"PASS",0,SUMPRODUCT(('Istoric_Nativ'!$B$6:$B$405='Input_Meci'!B45)*('Istoric_Nativ'!$C$6:$C$405='Input_Meci'!C45)*('Istoric_Nativ'!$P$6:$P$405=1)*('Istoric_Nativ'!$D$6:$D$405&lt;INT('Input_Meci'!G45))*((((('Istoric_Nativ'!$E$6:$E$405='Input_Meci'!D45)+('Istoric_Nativ'!$F$6:$F$405='Input_Meci'!D45))&gt;0)*('Istoric_Nativ'!$D$6:$D$405&gt;=BO45)+((('Istoric_Nativ'!$E$6:$E$405='Input_Meci'!E45)+('Istoric_Nativ'!$F$6:$F$405='Input_Meci'!E45))&gt;0)*('Istoric_Nativ'!$D$6:$D$405&gt;=BP45))&gt;0)))</x:f>
        <x:v>0</x:v>
      </x:c>
    </x:row>
    <x:row r="46" ht="21" customHeight="1">
      <x:c r="A46" s="2" t="str">
        <x:f>IF('Input_Meci'!A46="","",'Input_Meci'!A46)</x:f>
      </x:c>
      <x:c r="B46" s="2" t="str">
        <x:f>IF(A46="","",'Input_Meci'!B46)</x:f>
      </x:c>
      <x:c r="C46" s="2" t="str">
        <x:f>IF(A46="","",'Input_Meci'!C46)</x:f>
      </x:c>
      <x:c r="D46" s="2" t="str">
        <x:f>IF(A46="","",'Input_Meci'!D46&amp;" – "&amp;'Input_Meci'!E46)</x:f>
      </x:c>
      <x:c r="E46" s="2" t="str">
        <x:f>IF(A46="","",'Input_Meci'!H46)</x:f>
      </x:c>
      <x:c r="F46" s="9" t="str">
        <x:f>IF(A46="","",'Input_Meci'!F46)</x:f>
      </x:c>
      <x:c r="G46" s="9" t="str">
        <x:f>IF(A46="","",'Input_Meci'!G46)</x:f>
      </x:c>
      <x:c r="H46" s="2" t="str">
        <x:f>IF(A46="","",IF(BQ46&lt;&gt;"VALID","NOT RELEASED",IF(AND(OR('Input_Meci'!I46="NOT AVAILABLE",'Input_Meci'!I46="SOURCE CONFLICT"),'Input_Meci'!J46&lt;&gt;""),"READY",IF(OR(NOT(OR('Input_Meci'!I46="AUTO",'Input_Meci'!I46="")),COUNTIF('Core_Nativ'!R486:R491,"CLOSED")&lt;&gt;6,BJ46&gt;0),"NOT RELEASED","READY"))))</x:f>
      </x:c>
      <x:c r="I46" s="2" t="str">
        <x:f>IF(A46="","",IF(H46&lt;&gt;"READY","NOT RELEASED",IF(AND(NOT(OR('Input_Meci'!I46="NOT AVAILABLE",'Input_Meci'!I46="SOURCE CONFLICT")),L46=12,AR46&gt;=2,AS46&gt;0,ISNUMBER(AT46),BI46="VALID",BK46="VALID"),"PASS","FAIL")))</x:f>
      </x:c>
      <x:c r="J46" s="2" t="str">
        <x:f>IF(A46="","",IF(BQ46&lt;&gt;"VALID","Verifica ID, echipe, mod si cutoff &lt; kickoff",IF(H46&lt;&gt;"READY",IF('Input_Meci'!I46="ACCESS BLOCKED","Acces blocat: reia sursele",IF(BJ46&gt;0,"Istoric invalid sau conflict: verifica randurile native","Surse neinchise / post-cutoff / dovezi incomplete")),IF(OR('Input_Meci'!I46="NOT AVAILABLE",'Input_Meci'!I46="SOURCE CONFLICT"),'Input_Meci'!I46,IF(BK46&lt;&gt;"VALID","Parametri invalizi",IF(L46&lt;&gt;12,"Core / sample / prior insuficient",IF(AR46&lt;2,"N insuficient pentru dispersie",IF(AS46&lt;=0,"Media istorica trebuie sa fie pozitiva",IF(BI46&lt;&gt;"VALID","Context invalid","READY")))))))))</x:f>
      </x:c>
      <x:c r="K46" s="2" t="str">
        <x:f>IF(A46="","",COUNT(T46:AE46))</x:f>
      </x:c>
      <x:c r="L46" s="2" t="str">
        <x:f>IF(A46="","",COUNT(AF46:AQ46))</x:f>
      </x:c>
      <x:c r="M46" s="2" t="str">
        <x:f>IF(A46="","",IF(OR('Core_Nativ'!M486&lt;'Core_Nativ'!P486,'Core_Nativ'!M487&lt;'Core_Nativ'!P487,'Core_Nativ'!M488&lt;'Core_Nativ'!P488,'Core_Nativ'!M489&lt;'Core_Nativ'!P489,'Core_Nativ'!M490&lt;'Core_Nativ'!P490,'Core_Nativ'!M491&lt;'Core_Nativ'!P491),"YES","NO"))</x:f>
      </x:c>
      <x:c r="N46" s="2" t="str">
        <x:f>IF(A46="","",'Core_Nativ'!M486)</x:f>
      </x:c>
      <x:c r="O46" s="2" t="str">
        <x:f>IF(A46="","",'Core_Nativ'!M487)</x:f>
      </x:c>
      <x:c r="P46" s="2" t="str">
        <x:f>IF(A46="","",'Core_Nativ'!M488)</x:f>
      </x:c>
      <x:c r="Q46" s="2" t="str">
        <x:f>IF(A46="","",'Core_Nativ'!M489)</x:f>
      </x:c>
      <x:c r="R46" s="2" t="str">
        <x:f>IF(A46="","",'Core_Nativ'!M490)</x:f>
      </x:c>
      <x:c r="S46" s="2" t="str">
        <x:f>IF(A46="","",'Core_Nativ'!M491)</x:f>
      </x:c>
      <x:c r="T46" s="11" t="str">
        <x:f>IF(OR(A46="",'Core_Nativ'!M486=0),"",'Core_Nativ'!N486)</x:f>
      </x:c>
      <x:c r="U46" s="11" t="str">
        <x:f>IF(OR(A46="",'Core_Nativ'!M486=0),"",'Core_Nativ'!O486)</x:f>
      </x:c>
      <x:c r="V46" s="11" t="str">
        <x:f>IF(OR(A46="",'Core_Nativ'!M487=0),"",'Core_Nativ'!N487)</x:f>
      </x:c>
      <x:c r="W46" s="11" t="str">
        <x:f>IF(OR(A46="",'Core_Nativ'!M487=0),"",'Core_Nativ'!O487)</x:f>
      </x:c>
      <x:c r="X46" s="11" t="str">
        <x:f>IF(OR(A46="",'Core_Nativ'!M488=0),"",'Core_Nativ'!N488)</x:f>
      </x:c>
      <x:c r="Y46" s="11" t="str">
        <x:f>IF(OR(A46="",'Core_Nativ'!M488=0),"",'Core_Nativ'!O488)</x:f>
      </x:c>
      <x:c r="Z46" s="11" t="str">
        <x:f>IF(OR(A46="",'Core_Nativ'!M489=0),"",'Core_Nativ'!N489)</x:f>
      </x:c>
      <x:c r="AA46" s="11" t="str">
        <x:f>IF(OR(A46="",'Core_Nativ'!M489=0),"",'Core_Nativ'!O489)</x:f>
      </x:c>
      <x:c r="AB46" s="11" t="str">
        <x:f>IF(OR(A46="",'Core_Nativ'!M490=0),"",'Core_Nativ'!N490)</x:f>
      </x:c>
      <x:c r="AC46" s="11" t="str">
        <x:f>IF(OR(A46="",'Core_Nativ'!M490=0),"",'Core_Nativ'!O490)</x:f>
      </x:c>
      <x:c r="AD46" s="11" t="str">
        <x:f>IF(OR(A46="",'Core_Nativ'!M491=0),"",'Core_Nativ'!N491)</x:f>
      </x:c>
      <x:c r="AE46" s="11" t="str">
        <x:f>IF(OR(A46="",'Core_Nativ'!M491=0),"",'Core_Nativ'!O491)</x:f>
      </x:c>
      <x:c r="AF46" s="11" t="str">
        <x:f>IF(A46="","",IF(AND('Core_Nativ'!R486="CLOSED",'Core_Nativ'!S486=0),IF('Core_Nativ'!M486&gt;='Core_Nativ'!P486,'Core_Nativ'!N486,IF(AND('Input_Meci'!L46="YES",'Input_Meci'!K46&lt;&gt;"",'Input_Meci'!K46&lt;C46,'Core_Nativ'!T492="DERIVED",'Core_Nativ'!M492&gt;='Core_Nativ'!P486),MIN(1,'Core_Nativ'!M486/'Core_Nativ'!P486)*IF('Core_Nativ'!M486=0,0,'Core_Nativ'!N486)+(1-MIN(1,'Core_Nativ'!M486/'Core_Nativ'!P486))*'Core_Nativ'!N492,"")),""))</x:f>
      </x:c>
      <x:c r="AG46" s="11" t="str">
        <x:f>IF(A46="","",IF(AND('Core_Nativ'!R486="CLOSED",'Core_Nativ'!S486=0),IF('Core_Nativ'!M486&gt;='Core_Nativ'!P486,'Core_Nativ'!O486,IF(AND('Input_Meci'!L46="YES",'Input_Meci'!K46&lt;&gt;"",'Input_Meci'!K46&lt;C46,'Core_Nativ'!T492="DERIVED",'Core_Nativ'!M492&gt;='Core_Nativ'!P486),MIN(1,'Core_Nativ'!M486/'Core_Nativ'!P486)*IF('Core_Nativ'!M486=0,0,'Core_Nativ'!O486)+(1-MIN(1,'Core_Nativ'!M486/'Core_Nativ'!P486))*'Core_Nativ'!O492,"")),""))</x:f>
      </x:c>
      <x:c r="AH46" s="11" t="str">
        <x:f>IF(A46="","",IF(AND('Core_Nativ'!R487="CLOSED",'Core_Nativ'!S487=0),IF('Core_Nativ'!M487&gt;='Core_Nativ'!P487,'Core_Nativ'!N487,IF(AND('Input_Meci'!L46="YES",'Input_Meci'!K46&lt;&gt;"",'Input_Meci'!K46&lt;C46,'Core_Nativ'!T493="DERIVED",'Core_Nativ'!M493&gt;='Core_Nativ'!P487),MIN(1,'Core_Nativ'!M487/'Core_Nativ'!P487)*IF('Core_Nativ'!M487=0,0,'Core_Nativ'!N487)+(1-MIN(1,'Core_Nativ'!M487/'Core_Nativ'!P487))*'Core_Nativ'!N493,"")),""))</x:f>
      </x:c>
      <x:c r="AI46" s="11" t="str">
        <x:f>IF(A46="","",IF(AND('Core_Nativ'!R487="CLOSED",'Core_Nativ'!S487=0),IF('Core_Nativ'!M487&gt;='Core_Nativ'!P487,'Core_Nativ'!O487,IF(AND('Input_Meci'!L46="YES",'Input_Meci'!K46&lt;&gt;"",'Input_Meci'!K46&lt;C46,'Core_Nativ'!T493="DERIVED",'Core_Nativ'!M493&gt;='Core_Nativ'!P487),MIN(1,'Core_Nativ'!M487/'Core_Nativ'!P487)*IF('Core_Nativ'!M487=0,0,'Core_Nativ'!O487)+(1-MIN(1,'Core_Nativ'!M487/'Core_Nativ'!P487))*'Core_Nativ'!O493,"")),""))</x:f>
      </x:c>
      <x:c r="AJ46" s="11" t="str">
        <x:f>IF(A46="","",IF(AND('Core_Nativ'!R488="CLOSED",'Core_Nativ'!S488=0),IF('Core_Nativ'!M488&gt;='Core_Nativ'!P488,'Core_Nativ'!N488,IF(AND('Input_Meci'!L46="YES",'Input_Meci'!K46&lt;&gt;"",'Input_Meci'!K46&lt;C46,'Core_Nativ'!T494="DERIVED",'Core_Nativ'!M494&gt;='Core_Nativ'!P488),MIN(1,'Core_Nativ'!M488/'Core_Nativ'!P488)*IF('Core_Nativ'!M488=0,0,'Core_Nativ'!N488)+(1-MIN(1,'Core_Nativ'!M488/'Core_Nativ'!P488))*'Core_Nativ'!N494,"")),""))</x:f>
      </x:c>
      <x:c r="AK46" s="11" t="str">
        <x:f>IF(A46="","",IF(AND('Core_Nativ'!R488="CLOSED",'Core_Nativ'!S488=0),IF('Core_Nativ'!M488&gt;='Core_Nativ'!P488,'Core_Nativ'!O488,IF(AND('Input_Meci'!L46="YES",'Input_Meci'!K46&lt;&gt;"",'Input_Meci'!K46&lt;C46,'Core_Nativ'!T494="DERIVED",'Core_Nativ'!M494&gt;='Core_Nativ'!P488),MIN(1,'Core_Nativ'!M488/'Core_Nativ'!P488)*IF('Core_Nativ'!M488=0,0,'Core_Nativ'!O488)+(1-MIN(1,'Core_Nativ'!M488/'Core_Nativ'!P488))*'Core_Nativ'!O494,"")),""))</x:f>
      </x:c>
      <x:c r="AL46" s="11" t="str">
        <x:f>IF(A46="","",IF(AND('Core_Nativ'!R489="CLOSED",'Core_Nativ'!S489=0),IF('Core_Nativ'!M489&gt;='Core_Nativ'!P489,'Core_Nativ'!N489,IF(AND('Input_Meci'!L46="YES",'Input_Meci'!K46&lt;&gt;"",'Input_Meci'!K46&lt;C46,'Core_Nativ'!T495="DERIVED",'Core_Nativ'!M495&gt;='Core_Nativ'!P489),MIN(1,'Core_Nativ'!M489/'Core_Nativ'!P489)*IF('Core_Nativ'!M489=0,0,'Core_Nativ'!N489)+(1-MIN(1,'Core_Nativ'!M489/'Core_Nativ'!P489))*'Core_Nativ'!N495,"")),""))</x:f>
      </x:c>
      <x:c r="AM46" s="11" t="str">
        <x:f>IF(A46="","",IF(AND('Core_Nativ'!R489="CLOSED",'Core_Nativ'!S489=0),IF('Core_Nativ'!M489&gt;='Core_Nativ'!P489,'Core_Nativ'!O489,IF(AND('Input_Meci'!L46="YES",'Input_Meci'!K46&lt;&gt;"",'Input_Meci'!K46&lt;C46,'Core_Nativ'!T495="DERIVED",'Core_Nativ'!M495&gt;='Core_Nativ'!P489),MIN(1,'Core_Nativ'!M489/'Core_Nativ'!P489)*IF('Core_Nativ'!M489=0,0,'Core_Nativ'!O489)+(1-MIN(1,'Core_Nativ'!M489/'Core_Nativ'!P489))*'Core_Nativ'!O495,"")),""))</x:f>
      </x:c>
      <x:c r="AN46" s="11" t="str">
        <x:f>IF(A46="","",IF(AND('Core_Nativ'!R490="CLOSED",'Core_Nativ'!S490=0),IF('Core_Nativ'!M490&gt;='Core_Nativ'!P490,'Core_Nativ'!N490,IF(AND('Input_Meci'!L46="YES",'Input_Meci'!K46&lt;&gt;"",'Input_Meci'!K46&lt;C46,'Core_Nativ'!T496="DERIVED",'Core_Nativ'!M496&gt;='Core_Nativ'!P490),MIN(1,'Core_Nativ'!M490/'Core_Nativ'!P490)*IF('Core_Nativ'!M490=0,0,'Core_Nativ'!N490)+(1-MIN(1,'Core_Nativ'!M490/'Core_Nativ'!P490))*'Core_Nativ'!N496,"")),""))</x:f>
      </x:c>
      <x:c r="AO46" s="11" t="str">
        <x:f>IF(A46="","",IF(AND('Core_Nativ'!R490="CLOSED",'Core_Nativ'!S490=0),IF('Core_Nativ'!M490&gt;='Core_Nativ'!P490,'Core_Nativ'!O490,IF(AND('Input_Meci'!L46="YES",'Input_Meci'!K46&lt;&gt;"",'Input_Meci'!K46&lt;C46,'Core_Nativ'!T496="DERIVED",'Core_Nativ'!M496&gt;='Core_Nativ'!P490),MIN(1,'Core_Nativ'!M490/'Core_Nativ'!P490)*IF('Core_Nativ'!M490=0,0,'Core_Nativ'!O490)+(1-MIN(1,'Core_Nativ'!M490/'Core_Nativ'!P490))*'Core_Nativ'!O496,"")),""))</x:f>
      </x:c>
      <x:c r="AP46" s="11" t="str">
        <x:f>IF(A46="","",IF(AND('Core_Nativ'!R491="CLOSED",'Core_Nativ'!S491=0),IF('Core_Nativ'!M491&gt;='Core_Nativ'!P491,'Core_Nativ'!N491,IF(AND('Input_Meci'!L46="YES",'Input_Meci'!K46&lt;&gt;"",'Input_Meci'!K46&lt;C46,'Core_Nativ'!T497="DERIVED",'Core_Nativ'!M497&gt;='Core_Nativ'!P491),MIN(1,'Core_Nativ'!M491/'Core_Nativ'!P491)*IF('Core_Nativ'!M491=0,0,'Core_Nativ'!N491)+(1-MIN(1,'Core_Nativ'!M491/'Core_Nativ'!P491))*'Core_Nativ'!N497,"")),""))</x:f>
      </x:c>
      <x:c r="AQ46" s="11" t="str">
        <x:f>IF(A46="","",IF(AND('Core_Nativ'!R491="CLOSED",'Core_Nativ'!S491=0),IF('Core_Nativ'!M491&gt;='Core_Nativ'!P491,'Core_Nativ'!O491,IF(AND('Input_Meci'!L46="YES",'Input_Meci'!K46&lt;&gt;"",'Input_Meci'!K46&lt;C46,'Core_Nativ'!T497="DERIVED",'Core_Nativ'!M497&gt;='Core_Nativ'!P491),MIN(1,'Core_Nativ'!M491/'Core_Nativ'!P491)*IF('Core_Nativ'!M491=0,0,'Core_Nativ'!O491)+(1-MIN(1,'Core_Nativ'!M491/'Core_Nativ'!P491))*'Core_Nativ'!O497,"")),""))</x:f>
      </x:c>
      <x:c r="AR46" s="11" t="str">
        <x:f>IF(A46="","",SUMPRODUCT(('Istoric_Nativ'!$B$6:$B$405=B46)*('Istoric_Nativ'!$C$6:$C$405=BL46)*('Istoric_Nativ'!$P$6:$P$405=1)*('Istoric_Nativ'!$D$6:$D$405&lt;INT(G46))*((('Istoric_Nativ'!$E$6:$E$405='Input_Meci'!D46)+('Istoric_Nativ'!$F$6:$F$405='Input_Meci'!D46)+('Istoric_Nativ'!$E$6:$E$405='Input_Meci'!E46)+('Istoric_Nativ'!$F$6:$F$405='Input_Meci'!E46))&gt;0)))</x:f>
      </x:c>
      <x:c r="AS46" s="11" t="str">
        <x:f>IF(AR46=0,"",SUMPRODUCT(('Istoric_Nativ'!$B$6:$B$405=B46)*('Istoric_Nativ'!$C$6:$C$405=BL46)*('Istoric_Nativ'!$P$6:$P$405=1)*('Istoric_Nativ'!$D$6:$D$405&lt;INT(G46))*((('Istoric_Nativ'!$E$6:$E$405='Input_Meci'!D46)+('Istoric_Nativ'!$F$6:$F$405='Input_Meci'!D46)+('Istoric_Nativ'!$E$6:$E$405='Input_Meci'!E46)+('Istoric_Nativ'!$F$6:$F$405='Input_Meci'!E46))&gt;0)*'Istoric_Nativ'!$Q$6:$Q$405)/AR46)</x:f>
      </x:c>
      <x:c r="AT46" s="11" t="str">
        <x:f>IF(AR46&lt;2,"",MAX(0,(SUMPRODUCT(('Istoric_Nativ'!$B$6:$B$405=B46)*('Istoric_Nativ'!$C$6:$C$405=BL46)*('Istoric_Nativ'!$P$6:$P$405=1)*('Istoric_Nativ'!$D$6:$D$405&lt;INT(G46))*((('Istoric_Nativ'!$E$6:$E$405='Input_Meci'!D46)+('Istoric_Nativ'!$F$6:$F$405='Input_Meci'!D46)+('Istoric_Nativ'!$E$6:$E$405='Input_Meci'!E46)+('Istoric_Nativ'!$F$6:$F$405='Input_Meci'!E46))&gt;0)*'Istoric_Nativ'!$R$6:$R$405)-AR46*AS46^2)/(AR46-1)))</x:f>
      </x:c>
      <x:c r="AU46" s="11" t="str">
        <x:f>IF(I46&lt;&gt;"PASS","",AT46/AS46)</x:f>
      </x:c>
      <x:c r="AV46" s="11" t="str">
        <x:f>IF(I46&lt;&gt;"PASS","",IF(AU46&lt;='Config_v6'!$B$10,"POISSON","NEGATIVE BINOMIAL"))</x:f>
      </x:c>
      <x:c r="AW46" s="11" t="str">
        <x:f>IF(I46&lt;&gt;"PASS","",IF(AV46="POISSON",9999,AS46/(AU46-1)))</x:f>
      </x:c>
      <x:c r="AX46" s="11" t="str">
        <x:f>IF(A46="","",MAX(1-'Config_v6'!$B$20,MIN(1+'Config_v6'!$B$20,1+0.02*(IF(AND(ISNUMBER('Input_Meci'!N46),'Input_Meci'!N46&gt;=0,'Input_Meci'!N46&lt;=200),'Input_Meci'!N46,12)/12-1)+0.02*(IF(AND(ISNUMBER('Input_Meci'!P46),'Input_Meci'!P46&gt;=0,'Input_Meci'!P46&lt;=200),'Input_Meci'!P46,3.5)/3.5-1)+0.02*(IF(AND(ISNUMBER('Input_Meci'!R46),'Input_Meci'!R46&gt;=0,'Input_Meci'!R46&lt;=200),'Input_Meci'!R46,18)/18-1)+0.02*((IF(AND(ISNUMBER('Input_Meci'!V46),'Input_Meci'!V46&gt;=0,'Input_Meci'!V46&lt;=10),'Input_Meci'!V46,5)-5)/5))))</x:f>
      </x:c>
      <x:c r="AY46" s="11" t="str">
        <x:f>IF(A46="","",MAX(1-'Config_v6'!$B$20,MIN(1+'Config_v6'!$B$20,1+0.02*(IF(AND(ISNUMBER('Input_Meci'!O46),'Input_Meci'!O46&gt;=0,'Input_Meci'!O46&lt;=200),'Input_Meci'!O46,12)/12-1)+0.02*(IF(AND(ISNUMBER('Input_Meci'!Q46),'Input_Meci'!Q46&gt;=0,'Input_Meci'!Q46&lt;=200),'Input_Meci'!Q46,3.5)/3.5-1)+0.02*(IF(AND(ISNUMBER('Input_Meci'!S46),'Input_Meci'!S46&gt;=0,'Input_Meci'!S46&lt;=200),'Input_Meci'!S46,18)/18-1)+0.02*((IF(AND(ISNUMBER('Input_Meci'!W46),'Input_Meci'!W46&gt;=0,'Input_Meci'!W46&lt;=10),'Input_Meci'!W46,5)-5)/5))))</x:f>
      </x:c>
      <x:c r="AZ46" s="11" t="str">
        <x:f>IF(A46="","",MAX(1-'Config_v6'!$B$21,MIN(1+'Config_v6'!$B$21,1+0.012*(IF('Input_Meci'!X46="",5,IF(ISNUMBER('Input_Meci'!X46),'Input_Meci'!X46,5))-5)+0.018*(IF('Input_Meci'!Z46="",5,IF(ISNUMBER('Input_Meci'!Z46),'Input_Meci'!Z46,5))-5)+0.012*(IF('Input_Meci'!AB46="",5,IF(ISNUMBER('Input_Meci'!AB46),'Input_Meci'!AB46,5))-5)+0.015*IF('Input_Meci'!AD46="",0,IF(ISNUMBER('Input_Meci'!AD46),'Input_Meci'!AD46,0))+0.02*IF('Input_Meci'!AF46="",0,IF(ISNUMBER('Input_Meci'!AF46),'Input_Meci'!AF46,0)))))</x:f>
      </x:c>
      <x:c r="BA46" s="11" t="str">
        <x:f>IF(A46="","",MAX(1-'Config_v6'!$B$21,MIN(1+'Config_v6'!$B$21,1+0.012*(IF('Input_Meci'!Y46="",5,IF(ISNUMBER('Input_Meci'!Y46),'Input_Meci'!Y46,5))-5)+0.018*(IF('Input_Meci'!AA46="",5,IF(ISNUMBER('Input_Meci'!AA46),'Input_Meci'!AA46,5))-5)+0.012*(IF('Input_Meci'!AC46="",5,IF(ISNUMBER('Input_Meci'!AC46),'Input_Meci'!AC46,5))-5)+0.015*IF('Input_Meci'!AE46="",0,IF(ISNUMBER('Input_Meci'!AE46),'Input_Meci'!AE46,0))+0.02*IF('Input_Meci'!AG46="",0,IF(ISNUMBER('Input_Meci'!AG46),'Input_Meci'!AG46,0)))))</x:f>
      </x:c>
      <x:c r="BB46" s="11" t="str">
        <x:f>IF(I46&lt;&gt;"PASS","",(AVERAGE(AF46,AM46)*'Config_v6'!$B$4+AVERAGE(AH46,AO46)*'Config_v6'!$B$5+AVERAGE(AJ46,AQ46)*'Config_v6'!$B$6)*AX46*AZ46)</x:f>
      </x:c>
      <x:c r="BC46" s="11" t="str">
        <x:f>IF(I46&lt;&gt;"PASS","",(AVERAGE(AL46,AG46)*'Config_v6'!$B$4+AVERAGE(AN46,AI46)*'Config_v6'!$B$5+AVERAGE(AP46,AK46)*'Config_v6'!$B$6)*AY46*BA46)</x:f>
      </x:c>
      <x:c r="BD46" s="11" t="str">
        <x:f>IF(I46&lt;&gt;"PASS","",BB46+BC46)</x:f>
      </x:c>
      <x:c r="BE46" s="11" t="str">
        <x:f>IF(A46="","",10-SUM(IF(AND(ISNUMBER('Input_Meci'!N46),'Input_Meci'!N46&gt;=0,'Input_Meci'!N46&lt;=200),1,0),IF(AND(ISNUMBER('Input_Meci'!O46),'Input_Meci'!O46&gt;=0,'Input_Meci'!O46&lt;=200),1,0),IF(AND(ISNUMBER('Input_Meci'!P46),'Input_Meci'!P46&gt;=0,'Input_Meci'!P46&lt;=200),1,0),IF(AND(ISNUMBER('Input_Meci'!Q46),'Input_Meci'!Q46&gt;=0,'Input_Meci'!Q46&lt;=200),1,0),IF(AND(ISNUMBER('Input_Meci'!R46),'Input_Meci'!R46&gt;=0,'Input_Meci'!R46&lt;=200),1,0),IF(AND(ISNUMBER('Input_Meci'!S46),'Input_Meci'!S46&gt;=0,'Input_Meci'!S46&lt;=200),1,0),IF(AND(ISNUMBER('Input_Meci'!T46),'Input_Meci'!T46&gt;=0,'Input_Meci'!T46&lt;=100),1,0),IF(AND(ISNUMBER('Input_Meci'!U46),'Input_Meci'!U46&gt;=0,'Input_Meci'!U46&lt;=100),1,0),IF(AND(ISNUMBER('Input_Meci'!V46),'Input_Meci'!V46&gt;=0,'Input_Meci'!V46&lt;=10),1,0),IF(AND(ISNUMBER('Input_Meci'!W46),'Input_Meci'!W46&gt;=0,'Input_Meci'!W46&lt;=10),1,0)))</x:f>
      </x:c>
      <x:c r="BF46" s="11" t="str">
        <x:f>IF(I46&lt;&gt;"PASS","",MAX(0,MIN(IF(OR(M46="YES",BL46&lt;&gt;C46),'Config_v6'!$B$34,100),ROUND(40+25*MIN(1,MIN(N46,Q46)/'Config_v6'!$B$7)*MIN(1,MIN(O46,R46)/'Config_v6'!$B$8)*MIN(1,MIN(P46,S46)/'Config_v6'!$B$9)+MAX(0,15-2*ABS(AF46-AJ46)-2*ABS(AL46-AP46))+IF(AU46&lt;='Config_v6'!$B$10,15,IF(AU46&lt;='Config_v6'!$B$11,13,IF(AU46&lt;='Config_v6'!$B$12,10,IF(AU46&lt;='Config_v6'!$B$13,6,0))))+5-BE46/10*'Config_v6'!$B$38,0))))</x:f>
      </x:c>
      <x:c r="BG46" s="11" t="str">
        <x:f>IF(I46&lt;&gt;"PASS","",MIN(1,'Config_v6'!$B$14*(0.7+0.3*MIN(1,AR46/'Config_v6'!$B$15))*IF(AU46&lt;='Config_v6'!$B$10,1,IF(AU46&lt;='Config_v6'!$B$11,0.95,IF(AU46&lt;='Config_v6'!$B$12,0.88,0.78)))*(0.75+0.25*BF46/100)))</x:f>
      </x:c>
      <x:c r="BH46" s="11" t="str">
        <x:f>IF(I46&lt;&gt;"PASS","",MIN(1,(ABS(AZ46-1)+ABS(BA46-1))*3))</x:f>
      </x:c>
      <x:c r="BI46" s="2" t="str">
        <x:f>IF(A46="","",IF(AND(OR('Input_Meci'!X46="",AND(ISNUMBER('Input_Meci'!X46),'Input_Meci'!X46&gt;=0,'Input_Meci'!X46&lt;=10)),OR('Input_Meci'!Y46="",AND(ISNUMBER('Input_Meci'!Y46),'Input_Meci'!Y46&gt;=0,'Input_Meci'!Y46&lt;=10)),OR('Input_Meci'!Z46="",AND(ISNUMBER('Input_Meci'!Z46),'Input_Meci'!Z46&gt;=0,'Input_Meci'!Z46&lt;=10)),OR('Input_Meci'!AA46="",AND(ISNUMBER('Input_Meci'!AA46),'Input_Meci'!AA46&gt;=0,'Input_Meci'!AA46&lt;=10)),OR('Input_Meci'!AB46="",AND(ISNUMBER('Input_Meci'!AB46),'Input_Meci'!AB46&gt;=0,'Input_Meci'!AB46&lt;=10)),OR('Input_Meci'!AC46="",AND(ISNUMBER('Input_Meci'!AC46),'Input_Meci'!AC46&gt;=0,'Input_Meci'!AC46&lt;=10)),OR('Input_Meci'!AD46="",AND(ISNUMBER('Input_Meci'!AD46),'Input_Meci'!AD46&gt;=-2,'Input_Meci'!AD46&lt;=2)),OR('Input_Meci'!AE46="",AND(ISNUMBER('Input_Meci'!AE46),'Input_Meci'!AE46&gt;=-2,'Input_Meci'!AE46&lt;=2)),OR('Input_Meci'!AF46="",AND(ISNUMBER('Input_Meci'!AF46),'Input_Meci'!AF46&gt;=-2,'Input_Meci'!AF46&lt;=2)),OR('Input_Meci'!AG46="",AND(ISNUMBER('Input_Meci'!AG46),'Input_Meci'!AG46&gt;=-2,'Input_Meci'!AG46&lt;=2))),"VALID","INVALID"))</x:f>
      </x:c>
      <x:c r="BJ46" s="2" t="n">
        <x:f>IF(A46="",0,SUM('Core_Nativ'!S486:S491))</x:f>
        <x:v>0</x:v>
      </x:c>
      <x:c r="BK46" s="2" t="str">
        <x:f>'Config_v6'!$B$40</x:f>
        <x:v>VALID</x:v>
      </x:c>
      <x:c r="BL46" s="2" t="str">
        <x:f>IF(A46="","",IF(SUMPRODUCT(('Istoric_Nativ'!$B$6:$B$405=B46)*('Istoric_Nativ'!$C$6:$C$405=C46)*('Istoric_Nativ'!$P$6:$P$405=1)*('Istoric_Nativ'!$D$6:$D$405&lt;INT(G46))*((('Istoric_Nativ'!$E$6:$E$405='Input_Meci'!D46)+('Istoric_Nativ'!$F$6:$F$405='Input_Meci'!D46)+('Istoric_Nativ'!$E$6:$E$405='Input_Meci'!E46)+('Istoric_Nativ'!$F$6:$F$405='Input_Meci'!E46))&gt;0))&gt;='Config_v6'!$B$41,C46,IF(AND('Input_Meci'!L46="YES",'Input_Meci'!K46&lt;&gt;"",'Input_Meci'!K46&lt;C46,COUNTIF('Core_Nativ'!R492:R497,"CLOSED")=6,SUM('Core_Nativ'!S492:S497)=0),'Input_Meci'!K46,C46)))</x:f>
      </x:c>
      <x:c r="BM46" s="9" t="n">
        <x:f>IF(OR(A46="",N46=0),0,LARGE(_xlfn._xlws.FILTER('Istoric_Nativ'!$D$6:$D$405,('Istoric_Nativ'!$B$6:$B$405=B46)*('Istoric_Nativ'!$C$6:$C$405=C46)*('Istoric_Nativ'!$P$6:$P$405=1)*('Istoric_Nativ'!$D$6:$D$405&lt;INT(G46))*((('Istoric_Nativ'!$E$6:$E$405='Input_Meci'!D46)+('Istoric_Nativ'!$F$6:$F$405='Input_Meci'!D46))&gt;0)),MIN(10,N46)))</x:f>
        <x:v>0</x:v>
      </x:c>
      <x:c r="BN46" s="9" t="n">
        <x:f>IF(OR(A46="",Q46=0),0,LARGE(_xlfn._xlws.FILTER('Istoric_Nativ'!$D$6:$D$405,('Istoric_Nativ'!$B$6:$B$405=B46)*('Istoric_Nativ'!$C$6:$C$405=C46)*('Istoric_Nativ'!$P$6:$P$405=1)*('Istoric_Nativ'!$D$6:$D$405&lt;INT(G46))*((('Istoric_Nativ'!$E$6:$E$405='Input_Meci'!E46)+('Istoric_Nativ'!$F$6:$F$405='Input_Meci'!E46))&gt;0)),MIN(10,Q46)))</x:f>
        <x:v>0</x:v>
      </x:c>
      <x:c r="BO46" s="9" t="n">
        <x:f>IF(OR(A46="",N46=0),0,LARGE(_xlfn._xlws.FILTER('Istoric_Nativ'!$D$6:$D$405,('Istoric_Nativ'!$B$6:$B$405=B46)*('Istoric_Nativ'!$C$6:$C$405=C46)*('Istoric_Nativ'!$P$6:$P$405=1)*('Istoric_Nativ'!$D$6:$D$405&lt;INT(G46))*((('Istoric_Nativ'!$E$6:$E$405='Input_Meci'!D46)+('Istoric_Nativ'!$F$6:$F$405='Input_Meci'!D46))&gt;0)),MIN(20,N46)))</x:f>
        <x:v>0</x:v>
      </x:c>
      <x:c r="BP46" s="9" t="n">
        <x:f>IF(OR(A46="",Q46=0),0,LARGE(_xlfn._xlws.FILTER('Istoric_Nativ'!$D$6:$D$405,('Istoric_Nativ'!$B$6:$B$405=B46)*('Istoric_Nativ'!$C$6:$C$405=C46)*('Istoric_Nativ'!$P$6:$P$405=1)*('Istoric_Nativ'!$D$6:$D$405&lt;INT(G46))*((('Istoric_Nativ'!$E$6:$E$405='Input_Meci'!E46)+('Istoric_Nativ'!$F$6:$F$405='Input_Meci'!E46))&gt;0)),MIN(20,Q46)))</x:f>
        <x:v>0</x:v>
      </x:c>
      <x:c r="BQ46" s="2" t="str">
        <x:f>IF(A46="","",IF(AND(COUNTIF(MatchesTable[Match_ID],A46)=1,COUNTIFS(MatchesTable[League],B46,MatchesTable[Season],C46,MatchesTable[Home],'Input_Meci'!D46,MatchesTable[Away],'Input_Meci'!E46,MatchesTable[Kickoff_UTC],F46)=1,B46&lt;&gt;"",C46&lt;&gt;"",'Input_Meci'!D46&lt;&gt;"",'Input_Meci'!E46&lt;&gt;"",'Input_Meci'!D46&lt;&gt;'Input_Meci'!E46,ISNUMBER(F46),ISNUMBER(G46),G46&lt;F46,OR(E46="LIVE",E46="REPLAY"),OR('Input_Meci'!L46="YES",'Input_Meci'!L46="NO",'Input_Meci'!L46="")),"VALID","INVALID"))</x:f>
      </x:c>
      <x:c r="BR46" s="2" t="n">
        <x:f>IF(I46&lt;&gt;"PASS",0,SUMPRODUCT(('Istoric_Nativ'!$B$6:$B$405='Input_Meci'!B46)*('Istoric_Nativ'!$C$6:$C$405='Input_Meci'!C46)*('Istoric_Nativ'!$P$6:$P$405=1)*('Istoric_Nativ'!$D$6:$D$405&lt;INT('Input_Meci'!G46))*((('Istoric_Nativ'!$E$6:$E$405='Input_Meci'!D46)+('Istoric_Nativ'!$F$6:$F$405='Input_Meci'!E46))&gt;0)))</x:f>
        <x:v>0</x:v>
      </x:c>
      <x:c r="BS46" s="2" t="n">
        <x:f>IF(I46&lt;&gt;"PASS",0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BM46)+((('Istoric_Nativ'!$E$6:$E$405='Input_Meci'!E46)+('Istoric_Nativ'!$F$6:$F$405='Input_Meci'!E46))&gt;0)*('Istoric_Nativ'!$D$6:$D$405&gt;=BN46))&gt;0)))</x:f>
        <x:v>0</x:v>
      </x:c>
      <x:c r="BT46" s="2" t="n">
        <x:f>IF(I46&lt;&gt;"PASS",0,SUMPRODUCT(('Istoric_Nativ'!$B$6:$B$405='Input_Meci'!B46)*('Istoric_Nativ'!$C$6:$C$405='Input_Meci'!C46)*('Istoric_Nativ'!$P$6:$P$405=1)*('Istoric_Nativ'!$D$6:$D$405&lt;INT('Input_Meci'!G46))*((((('Istoric_Nativ'!$E$6:$E$405='Input_Meci'!D46)+('Istoric_Nativ'!$F$6:$F$405='Input_Meci'!D46))&gt;0)*('Istoric_Nativ'!$D$6:$D$405&gt;=BO46)+((('Istoric_Nativ'!$E$6:$E$405='Input_Meci'!E46)+('Istoric_Nativ'!$F$6:$F$405='Input_Meci'!E46))&gt;0)*('Istoric_Nativ'!$D$6:$D$405&gt;=BP46))&gt;0)))</x:f>
        <x:v>0</x:v>
      </x:c>
    </x:row>
    <x:row r="47" ht="21" customHeight="1">
      <x:c r="A47" s="2" t="str">
        <x:f>IF('Input_Meci'!A47="","",'Input_Meci'!A47)</x:f>
      </x:c>
      <x:c r="B47" s="2" t="str">
        <x:f>IF(A47="","",'Input_Meci'!B47)</x:f>
      </x:c>
      <x:c r="C47" s="2" t="str">
        <x:f>IF(A47="","",'Input_Meci'!C47)</x:f>
      </x:c>
      <x:c r="D47" s="2" t="str">
        <x:f>IF(A47="","",'Input_Meci'!D47&amp;" – "&amp;'Input_Meci'!E47)</x:f>
      </x:c>
      <x:c r="E47" s="2" t="str">
        <x:f>IF(A47="","",'Input_Meci'!H47)</x:f>
      </x:c>
      <x:c r="F47" s="9" t="str">
        <x:f>IF(A47="","",'Input_Meci'!F47)</x:f>
      </x:c>
      <x:c r="G47" s="9" t="str">
        <x:f>IF(A47="","",'Input_Meci'!G47)</x:f>
      </x:c>
      <x:c r="H47" s="2" t="str">
        <x:f>IF(A47="","",IF(BQ47&lt;&gt;"VALID","NOT RELEASED",IF(AND(OR('Input_Meci'!I47="NOT AVAILABLE",'Input_Meci'!I47="SOURCE CONFLICT"),'Input_Meci'!J47&lt;&gt;""),"READY",IF(OR(NOT(OR('Input_Meci'!I47="AUTO",'Input_Meci'!I47="")),COUNTIF('Core_Nativ'!R498:R503,"CLOSED")&lt;&gt;6,BJ47&gt;0),"NOT RELEASED","READY"))))</x:f>
      </x:c>
      <x:c r="I47" s="2" t="str">
        <x:f>IF(A47="","",IF(H47&lt;&gt;"READY","NOT RELEASED",IF(AND(NOT(OR('Input_Meci'!I47="NOT AVAILABLE",'Input_Meci'!I47="SOURCE CONFLICT")),L47=12,AR47&gt;=2,AS47&gt;0,ISNUMBER(AT47),BI47="VALID",BK47="VALID"),"PASS","FAIL")))</x:f>
      </x:c>
      <x:c r="J47" s="2" t="str">
        <x:f>IF(A47="","",IF(BQ47&lt;&gt;"VALID","Verifica ID, echipe, mod si cutoff &lt; kickoff",IF(H47&lt;&gt;"READY",IF('Input_Meci'!I47="ACCESS BLOCKED","Acces blocat: reia sursele",IF(BJ47&gt;0,"Istoric invalid sau conflict: verifica randurile native","Surse neinchise / post-cutoff / dovezi incomplete")),IF(OR('Input_Meci'!I47="NOT AVAILABLE",'Input_Meci'!I47="SOURCE CONFLICT"),'Input_Meci'!I47,IF(BK47&lt;&gt;"VALID","Parametri invalizi",IF(L47&lt;&gt;12,"Core / sample / prior insuficient",IF(AR47&lt;2,"N insuficient pentru dispersie",IF(AS47&lt;=0,"Media istorica trebuie sa fie pozitiva",IF(BI47&lt;&gt;"VALID","Context invalid","READY")))))))))</x:f>
      </x:c>
      <x:c r="K47" s="2" t="str">
        <x:f>IF(A47="","",COUNT(T47:AE47))</x:f>
      </x:c>
      <x:c r="L47" s="2" t="str">
        <x:f>IF(A47="","",COUNT(AF47:AQ47))</x:f>
      </x:c>
      <x:c r="M47" s="2" t="str">
        <x:f>IF(A47="","",IF(OR('Core_Nativ'!M498&lt;'Core_Nativ'!P498,'Core_Nativ'!M499&lt;'Core_Nativ'!P499,'Core_Nativ'!M500&lt;'Core_Nativ'!P500,'Core_Nativ'!M501&lt;'Core_Nativ'!P501,'Core_Nativ'!M502&lt;'Core_Nativ'!P502,'Core_Nativ'!M503&lt;'Core_Nativ'!P503),"YES","NO"))</x:f>
      </x:c>
      <x:c r="N47" s="2" t="str">
        <x:f>IF(A47="","",'Core_Nativ'!M498)</x:f>
      </x:c>
      <x:c r="O47" s="2" t="str">
        <x:f>IF(A47="","",'Core_Nativ'!M499)</x:f>
      </x:c>
      <x:c r="P47" s="2" t="str">
        <x:f>IF(A47="","",'Core_Nativ'!M500)</x:f>
      </x:c>
      <x:c r="Q47" s="2" t="str">
        <x:f>IF(A47="","",'Core_Nativ'!M501)</x:f>
      </x:c>
      <x:c r="R47" s="2" t="str">
        <x:f>IF(A47="","",'Core_Nativ'!M502)</x:f>
      </x:c>
      <x:c r="S47" s="2" t="str">
        <x:f>IF(A47="","",'Core_Nativ'!M503)</x:f>
      </x:c>
      <x:c r="T47" s="11" t="str">
        <x:f>IF(OR(A47="",'Core_Nativ'!M498=0),"",'Core_Nativ'!N498)</x:f>
      </x:c>
      <x:c r="U47" s="11" t="str">
        <x:f>IF(OR(A47="",'Core_Nativ'!M498=0),"",'Core_Nativ'!O498)</x:f>
      </x:c>
      <x:c r="V47" s="11" t="str">
        <x:f>IF(OR(A47="",'Core_Nativ'!M499=0),"",'Core_Nativ'!N499)</x:f>
      </x:c>
      <x:c r="W47" s="11" t="str">
        <x:f>IF(OR(A47="",'Core_Nativ'!M499=0),"",'Core_Nativ'!O499)</x:f>
      </x:c>
      <x:c r="X47" s="11" t="str">
        <x:f>IF(OR(A47="",'Core_Nativ'!M500=0),"",'Core_Nativ'!N500)</x:f>
      </x:c>
      <x:c r="Y47" s="11" t="str">
        <x:f>IF(OR(A47="",'Core_Nativ'!M500=0),"",'Core_Nativ'!O500)</x:f>
      </x:c>
      <x:c r="Z47" s="11" t="str">
        <x:f>IF(OR(A47="",'Core_Nativ'!M501=0),"",'Core_Nativ'!N501)</x:f>
      </x:c>
      <x:c r="AA47" s="11" t="str">
        <x:f>IF(OR(A47="",'Core_Nativ'!M501=0),"",'Core_Nativ'!O501)</x:f>
      </x:c>
      <x:c r="AB47" s="11" t="str">
        <x:f>IF(OR(A47="",'Core_Nativ'!M502=0),"",'Core_Nativ'!N502)</x:f>
      </x:c>
      <x:c r="AC47" s="11" t="str">
        <x:f>IF(OR(A47="",'Core_Nativ'!M502=0),"",'Core_Nativ'!O502)</x:f>
      </x:c>
      <x:c r="AD47" s="11" t="str">
        <x:f>IF(OR(A47="",'Core_Nativ'!M503=0),"",'Core_Nativ'!N503)</x:f>
      </x:c>
      <x:c r="AE47" s="11" t="str">
        <x:f>IF(OR(A47="",'Core_Nativ'!M503=0),"",'Core_Nativ'!O503)</x:f>
      </x:c>
      <x:c r="AF47" s="11" t="str">
        <x:f>IF(A47="","",IF(AND('Core_Nativ'!R498="CLOSED",'Core_Nativ'!S498=0),IF('Core_Nativ'!M498&gt;='Core_Nativ'!P498,'Core_Nativ'!N498,IF(AND('Input_Meci'!L47="YES",'Input_Meci'!K47&lt;&gt;"",'Input_Meci'!K47&lt;C47,'Core_Nativ'!T504="DERIVED",'Core_Nativ'!M504&gt;='Core_Nativ'!P498),MIN(1,'Core_Nativ'!M498/'Core_Nativ'!P498)*IF('Core_Nativ'!M498=0,0,'Core_Nativ'!N498)+(1-MIN(1,'Core_Nativ'!M498/'Core_Nativ'!P498))*'Core_Nativ'!N504,"")),""))</x:f>
      </x:c>
      <x:c r="AG47" s="11" t="str">
        <x:f>IF(A47="","",IF(AND('Core_Nativ'!R498="CLOSED",'Core_Nativ'!S498=0),IF('Core_Nativ'!M498&gt;='Core_Nativ'!P498,'Core_Nativ'!O498,IF(AND('Input_Meci'!L47="YES",'Input_Meci'!K47&lt;&gt;"",'Input_Meci'!K47&lt;C47,'Core_Nativ'!T504="DERIVED",'Core_Nativ'!M504&gt;='Core_Nativ'!P498),MIN(1,'Core_Nativ'!M498/'Core_Nativ'!P498)*IF('Core_Nativ'!M498=0,0,'Core_Nativ'!O498)+(1-MIN(1,'Core_Nativ'!M498/'Core_Nativ'!P498))*'Core_Nativ'!O504,"")),""))</x:f>
      </x:c>
      <x:c r="AH47" s="11" t="str">
        <x:f>IF(A47="","",IF(AND('Core_Nativ'!R499="CLOSED",'Core_Nativ'!S499=0),IF('Core_Nativ'!M499&gt;='Core_Nativ'!P499,'Core_Nativ'!N499,IF(AND('Input_Meci'!L47="YES",'Input_Meci'!K47&lt;&gt;"",'Input_Meci'!K47&lt;C47,'Core_Nativ'!T505="DERIVED",'Core_Nativ'!M505&gt;='Core_Nativ'!P499),MIN(1,'Core_Nativ'!M499/'Core_Nativ'!P499)*IF('Core_Nativ'!M499=0,0,'Core_Nativ'!N499)+(1-MIN(1,'Core_Nativ'!M499/'Core_Nativ'!P499))*'Core_Nativ'!N505,"")),""))</x:f>
      </x:c>
      <x:c r="AI47" s="11" t="str">
        <x:f>IF(A47="","",IF(AND('Core_Nativ'!R499="CLOSED",'Core_Nativ'!S499=0),IF('Core_Nativ'!M499&gt;='Core_Nativ'!P499,'Core_Nativ'!O499,IF(AND('Input_Meci'!L47="YES",'Input_Meci'!K47&lt;&gt;"",'Input_Meci'!K47&lt;C47,'Core_Nativ'!T505="DERIVED",'Core_Nativ'!M505&gt;='Core_Nativ'!P499),MIN(1,'Core_Nativ'!M499/'Core_Nativ'!P499)*IF('Core_Nativ'!M499=0,0,'Core_Nativ'!O499)+(1-MIN(1,'Core_Nativ'!M499/'Core_Nativ'!P499))*'Core_Nativ'!O505,"")),""))</x:f>
      </x:c>
      <x:c r="AJ47" s="11" t="str">
        <x:f>IF(A47="","",IF(AND('Core_Nativ'!R500="CLOSED",'Core_Nativ'!S500=0),IF('Core_Nativ'!M500&gt;='Core_Nativ'!P500,'Core_Nativ'!N500,IF(AND('Input_Meci'!L47="YES",'Input_Meci'!K47&lt;&gt;"",'Input_Meci'!K47&lt;C47,'Core_Nativ'!T506="DERIVED",'Core_Nativ'!M506&gt;='Core_Nativ'!P500),MIN(1,'Core_Nativ'!M500/'Core_Nativ'!P500)*IF('Core_Nativ'!M500=0,0,'Core_Nativ'!N500)+(1-MIN(1,'Core_Nativ'!M500/'Core_Nativ'!P500))*'Core_Nativ'!N506,"")),""))</x:f>
      </x:c>
      <x:c r="AK47" s="11" t="str">
        <x:f>IF(A47="","",IF(AND('Core_Nativ'!R500="CLOSED",'Core_Nativ'!S500=0),IF('Core_Nativ'!M500&gt;='Core_Nativ'!P500,'Core_Nativ'!O500,IF(AND('Input_Meci'!L47="YES",'Input_Meci'!K47&lt;&gt;"",'Input_Meci'!K47&lt;C47,'Core_Nativ'!T506="DERIVED",'Core_Nativ'!M506&gt;='Core_Nativ'!P500),MIN(1,'Core_Nativ'!M500/'Core_Nativ'!P500)*IF('Core_Nativ'!M500=0,0,'Core_Nativ'!O500)+(1-MIN(1,'Core_Nativ'!M500/'Core_Nativ'!P500))*'Core_Nativ'!O506,"")),""))</x:f>
      </x:c>
      <x:c r="AL47" s="11" t="str">
        <x:f>IF(A47="","",IF(AND('Core_Nativ'!R501="CLOSED",'Core_Nativ'!S501=0),IF('Core_Nativ'!M501&gt;='Core_Nativ'!P501,'Core_Nativ'!N501,IF(AND('Input_Meci'!L47="YES",'Input_Meci'!K47&lt;&gt;"",'Input_Meci'!K47&lt;C47,'Core_Nativ'!T507="DERIVED",'Core_Nativ'!M507&gt;='Core_Nativ'!P501),MIN(1,'Core_Nativ'!M501/'Core_Nativ'!P501)*IF('Core_Nativ'!M501=0,0,'Core_Nativ'!N501)+(1-MIN(1,'Core_Nativ'!M501/'Core_Nativ'!P501))*'Core_Nativ'!N507,"")),""))</x:f>
      </x:c>
      <x:c r="AM47" s="11" t="str">
        <x:f>IF(A47="","",IF(AND('Core_Nativ'!R501="CLOSED",'Core_Nativ'!S501=0),IF('Core_Nativ'!M501&gt;='Core_Nativ'!P501,'Core_Nativ'!O501,IF(AND('Input_Meci'!L47="YES",'Input_Meci'!K47&lt;&gt;"",'Input_Meci'!K47&lt;C47,'Core_Nativ'!T507="DERIVED",'Core_Nativ'!M507&gt;='Core_Nativ'!P501),MIN(1,'Core_Nativ'!M501/'Core_Nativ'!P501)*IF('Core_Nativ'!M501=0,0,'Core_Nativ'!O501)+(1-MIN(1,'Core_Nativ'!M501/'Core_Nativ'!P501))*'Core_Nativ'!O507,"")),""))</x:f>
      </x:c>
      <x:c r="AN47" s="11" t="str">
        <x:f>IF(A47="","",IF(AND('Core_Nativ'!R502="CLOSED",'Core_Nativ'!S502=0),IF('Core_Nativ'!M502&gt;='Core_Nativ'!P502,'Core_Nativ'!N502,IF(AND('Input_Meci'!L47="YES",'Input_Meci'!K47&lt;&gt;"",'Input_Meci'!K47&lt;C47,'Core_Nativ'!T508="DERIVED",'Core_Nativ'!M508&gt;='Core_Nativ'!P502),MIN(1,'Core_Nativ'!M502/'Core_Nativ'!P502)*IF('Core_Nativ'!M502=0,0,'Core_Nativ'!N502)+(1-MIN(1,'Core_Nativ'!M502/'Core_Nativ'!P502))*'Core_Nativ'!N508,"")),""))</x:f>
      </x:c>
      <x:c r="AO47" s="11" t="str">
        <x:f>IF(A47="","",IF(AND('Core_Nativ'!R502="CLOSED",'Core_Nativ'!S502=0),IF('Core_Nativ'!M502&gt;='Core_Nativ'!P502,'Core_Nativ'!O502,IF(AND('Input_Meci'!L47="YES",'Input_Meci'!K47&lt;&gt;"",'Input_Meci'!K47&lt;C47,'Core_Nativ'!T508="DERIVED",'Core_Nativ'!M508&gt;='Core_Nativ'!P502),MIN(1,'Core_Nativ'!M502/'Core_Nativ'!P502)*IF('Core_Nativ'!M502=0,0,'Core_Nativ'!O502)+(1-MIN(1,'Core_Nativ'!M502/'Core_Nativ'!P502))*'Core_Nativ'!O508,"")),""))</x:f>
      </x:c>
      <x:c r="AP47" s="11" t="str">
        <x:f>IF(A47="","",IF(AND('Core_Nativ'!R503="CLOSED",'Core_Nativ'!S503=0),IF('Core_Nativ'!M503&gt;='Core_Nativ'!P503,'Core_Nativ'!N503,IF(AND('Input_Meci'!L47="YES",'Input_Meci'!K47&lt;&gt;"",'Input_Meci'!K47&lt;C47,'Core_Nativ'!T509="DERIVED",'Core_Nativ'!M509&gt;='Core_Nativ'!P503),MIN(1,'Core_Nativ'!M503/'Core_Nativ'!P503)*IF('Core_Nativ'!M503=0,0,'Core_Nativ'!N503)+(1-MIN(1,'Core_Nativ'!M503/'Core_Nativ'!P503))*'Core_Nativ'!N509,"")),""))</x:f>
      </x:c>
      <x:c r="AQ47" s="11" t="str">
        <x:f>IF(A47="","",IF(AND('Core_Nativ'!R503="CLOSED",'Core_Nativ'!S503=0),IF('Core_Nativ'!M503&gt;='Core_Nativ'!P503,'Core_Nativ'!O503,IF(AND('Input_Meci'!L47="YES",'Input_Meci'!K47&lt;&gt;"",'Input_Meci'!K47&lt;C47,'Core_Nativ'!T509="DERIVED",'Core_Nativ'!M509&gt;='Core_Nativ'!P503),MIN(1,'Core_Nativ'!M503/'Core_Nativ'!P503)*IF('Core_Nativ'!M503=0,0,'Core_Nativ'!O503)+(1-MIN(1,'Core_Nativ'!M503/'Core_Nativ'!P503))*'Core_Nativ'!O509,"")),""))</x:f>
      </x:c>
      <x:c r="AR47" s="11" t="str">
        <x:f>IF(A47="","",SUMPRODUCT(('Istoric_Nativ'!$B$6:$B$405=B47)*('Istoric_Nativ'!$C$6:$C$405=BL47)*('Istoric_Nativ'!$P$6:$P$405=1)*('Istoric_Nativ'!$D$6:$D$405&lt;INT(G47))*((('Istoric_Nativ'!$E$6:$E$405='Input_Meci'!D47)+('Istoric_Nativ'!$F$6:$F$405='Input_Meci'!D47)+('Istoric_Nativ'!$E$6:$E$405='Input_Meci'!E47)+('Istoric_Nativ'!$F$6:$F$405='Input_Meci'!E47))&gt;0)))</x:f>
      </x:c>
      <x:c r="AS47" s="11" t="str">
        <x:f>IF(AR47=0,"",SUMPRODUCT(('Istoric_Nativ'!$B$6:$B$405=B47)*('Istoric_Nativ'!$C$6:$C$405=BL47)*('Istoric_Nativ'!$P$6:$P$405=1)*('Istoric_Nativ'!$D$6:$D$405&lt;INT(G47))*((('Istoric_Nativ'!$E$6:$E$405='Input_Meci'!D47)+('Istoric_Nativ'!$F$6:$F$405='Input_Meci'!D47)+('Istoric_Nativ'!$E$6:$E$405='Input_Meci'!E47)+('Istoric_Nativ'!$F$6:$F$405='Input_Meci'!E47))&gt;0)*'Istoric_Nativ'!$Q$6:$Q$405)/AR47)</x:f>
      </x:c>
      <x:c r="AT47" s="11" t="str">
        <x:f>IF(AR47&lt;2,"",MAX(0,(SUMPRODUCT(('Istoric_Nativ'!$B$6:$B$405=B47)*('Istoric_Nativ'!$C$6:$C$405=BL47)*('Istoric_Nativ'!$P$6:$P$405=1)*('Istoric_Nativ'!$D$6:$D$405&lt;INT(G47))*((('Istoric_Nativ'!$E$6:$E$405='Input_Meci'!D47)+('Istoric_Nativ'!$F$6:$F$405='Input_Meci'!D47)+('Istoric_Nativ'!$E$6:$E$405='Input_Meci'!E47)+('Istoric_Nativ'!$F$6:$F$405='Input_Meci'!E47))&gt;0)*'Istoric_Nativ'!$R$6:$R$405)-AR47*AS47^2)/(AR47-1)))</x:f>
      </x:c>
      <x:c r="AU47" s="11" t="str">
        <x:f>IF(I47&lt;&gt;"PASS","",AT47/AS47)</x:f>
      </x:c>
      <x:c r="AV47" s="11" t="str">
        <x:f>IF(I47&lt;&gt;"PASS","",IF(AU47&lt;='Config_v6'!$B$10,"POISSON","NEGATIVE BINOMIAL"))</x:f>
      </x:c>
      <x:c r="AW47" s="11" t="str">
        <x:f>IF(I47&lt;&gt;"PASS","",IF(AV47="POISSON",9999,AS47/(AU47-1)))</x:f>
      </x:c>
      <x:c r="AX47" s="11" t="str">
        <x:f>IF(A47="","",MAX(1-'Config_v6'!$B$20,MIN(1+'Config_v6'!$B$20,1+0.02*(IF(AND(ISNUMBER('Input_Meci'!N47),'Input_Meci'!N47&gt;=0,'Input_Meci'!N47&lt;=200),'Input_Meci'!N47,12)/12-1)+0.02*(IF(AND(ISNUMBER('Input_Meci'!P47),'Input_Meci'!P47&gt;=0,'Input_Meci'!P47&lt;=200),'Input_Meci'!P47,3.5)/3.5-1)+0.02*(IF(AND(ISNUMBER('Input_Meci'!R47),'Input_Meci'!R47&gt;=0,'Input_Meci'!R47&lt;=200),'Input_Meci'!R47,18)/18-1)+0.02*((IF(AND(ISNUMBER('Input_Meci'!V47),'Input_Meci'!V47&gt;=0,'Input_Meci'!V47&lt;=10),'Input_Meci'!V47,5)-5)/5))))</x:f>
      </x:c>
      <x:c r="AY47" s="11" t="str">
        <x:f>IF(A47="","",MAX(1-'Config_v6'!$B$20,MIN(1+'Config_v6'!$B$20,1+0.02*(IF(AND(ISNUMBER('Input_Meci'!O47),'Input_Meci'!O47&gt;=0,'Input_Meci'!O47&lt;=200),'Input_Meci'!O47,12)/12-1)+0.02*(IF(AND(ISNUMBER('Input_Meci'!Q47),'Input_Meci'!Q47&gt;=0,'Input_Meci'!Q47&lt;=200),'Input_Meci'!Q47,3.5)/3.5-1)+0.02*(IF(AND(ISNUMBER('Input_Meci'!S47),'Input_Meci'!S47&gt;=0,'Input_Meci'!S47&lt;=200),'Input_Meci'!S47,18)/18-1)+0.02*((IF(AND(ISNUMBER('Input_Meci'!W47),'Input_Meci'!W47&gt;=0,'Input_Meci'!W47&lt;=10),'Input_Meci'!W47,5)-5)/5))))</x:f>
      </x:c>
      <x:c r="AZ47" s="11" t="str">
        <x:f>IF(A47="","",MAX(1-'Config_v6'!$B$21,MIN(1+'Config_v6'!$B$21,1+0.012*(IF('Input_Meci'!X47="",5,IF(ISNUMBER('Input_Meci'!X47),'Input_Meci'!X47,5))-5)+0.018*(IF('Input_Meci'!Z47="",5,IF(ISNUMBER('Input_Meci'!Z47),'Input_Meci'!Z47,5))-5)+0.012*(IF('Input_Meci'!AB47="",5,IF(ISNUMBER('Input_Meci'!AB47),'Input_Meci'!AB47,5))-5)+0.015*IF('Input_Meci'!AD47="",0,IF(ISNUMBER('Input_Meci'!AD47),'Input_Meci'!AD47,0))+0.02*IF('Input_Meci'!AF47="",0,IF(ISNUMBER('Input_Meci'!AF47),'Input_Meci'!AF47,0)))))</x:f>
      </x:c>
      <x:c r="BA47" s="11" t="str">
        <x:f>IF(A47="","",MAX(1-'Config_v6'!$B$21,MIN(1+'Config_v6'!$B$21,1+0.012*(IF('Input_Meci'!Y47="",5,IF(ISNUMBER('Input_Meci'!Y47),'Input_Meci'!Y47,5))-5)+0.018*(IF('Input_Meci'!AA47="",5,IF(ISNUMBER('Input_Meci'!AA47),'Input_Meci'!AA47,5))-5)+0.012*(IF('Input_Meci'!AC47="",5,IF(ISNUMBER('Input_Meci'!AC47),'Input_Meci'!AC47,5))-5)+0.015*IF('Input_Meci'!AE47="",0,IF(ISNUMBER('Input_Meci'!AE47),'Input_Meci'!AE47,0))+0.02*IF('Input_Meci'!AG47="",0,IF(ISNUMBER('Input_Meci'!AG47),'Input_Meci'!AG47,0)))))</x:f>
      </x:c>
      <x:c r="BB47" s="11" t="str">
        <x:f>IF(I47&lt;&gt;"PASS","",(AVERAGE(AF47,AM47)*'Config_v6'!$B$4+AVERAGE(AH47,AO47)*'Config_v6'!$B$5+AVERAGE(AJ47,AQ47)*'Config_v6'!$B$6)*AX47*AZ47)</x:f>
      </x:c>
      <x:c r="BC47" s="11" t="str">
        <x:f>IF(I47&lt;&gt;"PASS","",(AVERAGE(AL47,AG47)*'Config_v6'!$B$4+AVERAGE(AN47,AI47)*'Config_v6'!$B$5+AVERAGE(AP47,AK47)*'Config_v6'!$B$6)*AY47*BA47)</x:f>
      </x:c>
      <x:c r="BD47" s="11" t="str">
        <x:f>IF(I47&lt;&gt;"PASS","",BB47+BC47)</x:f>
      </x:c>
      <x:c r="BE47" s="11" t="str">
        <x:f>IF(A47="","",10-SUM(IF(AND(ISNUMBER('Input_Meci'!N47),'Input_Meci'!N47&gt;=0,'Input_Meci'!N47&lt;=200),1,0),IF(AND(ISNUMBER('Input_Meci'!O47),'Input_Meci'!O47&gt;=0,'Input_Meci'!O47&lt;=200),1,0),IF(AND(ISNUMBER('Input_Meci'!P47),'Input_Meci'!P47&gt;=0,'Input_Meci'!P47&lt;=200),1,0),IF(AND(ISNUMBER('Input_Meci'!Q47),'Input_Meci'!Q47&gt;=0,'Input_Meci'!Q47&lt;=200),1,0),IF(AND(ISNUMBER('Input_Meci'!R47),'Input_Meci'!R47&gt;=0,'Input_Meci'!R47&lt;=200),1,0),IF(AND(ISNUMBER('Input_Meci'!S47),'Input_Meci'!S47&gt;=0,'Input_Meci'!S47&lt;=200),1,0),IF(AND(ISNUMBER('Input_Meci'!T47),'Input_Meci'!T47&gt;=0,'Input_Meci'!T47&lt;=100),1,0),IF(AND(ISNUMBER('Input_Meci'!U47),'Input_Meci'!U47&gt;=0,'Input_Meci'!U47&lt;=100),1,0),IF(AND(ISNUMBER('Input_Meci'!V47),'Input_Meci'!V47&gt;=0,'Input_Meci'!V47&lt;=10),1,0),IF(AND(ISNUMBER('Input_Meci'!W47),'Input_Meci'!W47&gt;=0,'Input_Meci'!W47&lt;=10),1,0)))</x:f>
      </x:c>
      <x:c r="BF47" s="11" t="str">
        <x:f>IF(I47&lt;&gt;"PASS","",MAX(0,MIN(IF(OR(M47="YES",BL47&lt;&gt;C47),'Config_v6'!$B$34,100),ROUND(40+25*MIN(1,MIN(N47,Q47)/'Config_v6'!$B$7)*MIN(1,MIN(O47,R47)/'Config_v6'!$B$8)*MIN(1,MIN(P47,S47)/'Config_v6'!$B$9)+MAX(0,15-2*ABS(AF47-AJ47)-2*ABS(AL47-AP47))+IF(AU47&lt;='Config_v6'!$B$10,15,IF(AU47&lt;='Config_v6'!$B$11,13,IF(AU47&lt;='Config_v6'!$B$12,10,IF(AU47&lt;='Config_v6'!$B$13,6,0))))+5-BE47/10*'Config_v6'!$B$38,0))))</x:f>
      </x:c>
      <x:c r="BG47" s="11" t="str">
        <x:f>IF(I47&lt;&gt;"PASS","",MIN(1,'Config_v6'!$B$14*(0.7+0.3*MIN(1,AR47/'Config_v6'!$B$15))*IF(AU47&lt;='Config_v6'!$B$10,1,IF(AU47&lt;='Config_v6'!$B$11,0.95,IF(AU47&lt;='Config_v6'!$B$12,0.88,0.78)))*(0.75+0.25*BF47/100)))</x:f>
      </x:c>
      <x:c r="BH47" s="11" t="str">
        <x:f>IF(I47&lt;&gt;"PASS","",MIN(1,(ABS(AZ47-1)+ABS(BA47-1))*3))</x:f>
      </x:c>
      <x:c r="BI47" s="2" t="str">
        <x:f>IF(A47="","",IF(AND(OR('Input_Meci'!X47="",AND(ISNUMBER('Input_Meci'!X47),'Input_Meci'!X47&gt;=0,'Input_Meci'!X47&lt;=10)),OR('Input_Meci'!Y47="",AND(ISNUMBER('Input_Meci'!Y47),'Input_Meci'!Y47&gt;=0,'Input_Meci'!Y47&lt;=10)),OR('Input_Meci'!Z47="",AND(ISNUMBER('Input_Meci'!Z47),'Input_Meci'!Z47&gt;=0,'Input_Meci'!Z47&lt;=10)),OR('Input_Meci'!AA47="",AND(ISNUMBER('Input_Meci'!AA47),'Input_Meci'!AA47&gt;=0,'Input_Meci'!AA47&lt;=10)),OR('Input_Meci'!AB47="",AND(ISNUMBER('Input_Meci'!AB47),'Input_Meci'!AB47&gt;=0,'Input_Meci'!AB47&lt;=10)),OR('Input_Meci'!AC47="",AND(ISNUMBER('Input_Meci'!AC47),'Input_Meci'!AC47&gt;=0,'Input_Meci'!AC47&lt;=10)),OR('Input_Meci'!AD47="",AND(ISNUMBER('Input_Meci'!AD47),'Input_Meci'!AD47&gt;=-2,'Input_Meci'!AD47&lt;=2)),OR('Input_Meci'!AE47="",AND(ISNUMBER('Input_Meci'!AE47),'Input_Meci'!AE47&gt;=-2,'Input_Meci'!AE47&lt;=2)),OR('Input_Meci'!AF47="",AND(ISNUMBER('Input_Meci'!AF47),'Input_Meci'!AF47&gt;=-2,'Input_Meci'!AF47&lt;=2)),OR('Input_Meci'!AG47="",AND(ISNUMBER('Input_Meci'!AG47),'Input_Meci'!AG47&gt;=-2,'Input_Meci'!AG47&lt;=2))),"VALID","INVALID"))</x:f>
      </x:c>
      <x:c r="BJ47" s="2" t="n">
        <x:f>IF(A47="",0,SUM('Core_Nativ'!S498:S503))</x:f>
        <x:v>0</x:v>
      </x:c>
      <x:c r="BK47" s="2" t="str">
        <x:f>'Config_v6'!$B$40</x:f>
        <x:v>VALID</x:v>
      </x:c>
      <x:c r="BL47" s="2" t="str">
        <x:f>IF(A47="","",IF(SUMPRODUCT(('Istoric_Nativ'!$B$6:$B$405=B47)*('Istoric_Nativ'!$C$6:$C$405=C47)*('Istoric_Nativ'!$P$6:$P$405=1)*('Istoric_Nativ'!$D$6:$D$405&lt;INT(G47))*((('Istoric_Nativ'!$E$6:$E$405='Input_Meci'!D47)+('Istoric_Nativ'!$F$6:$F$405='Input_Meci'!D47)+('Istoric_Nativ'!$E$6:$E$405='Input_Meci'!E47)+('Istoric_Nativ'!$F$6:$F$405='Input_Meci'!E47))&gt;0))&gt;='Config_v6'!$B$41,C47,IF(AND('Input_Meci'!L47="YES",'Input_Meci'!K47&lt;&gt;"",'Input_Meci'!K47&lt;C47,COUNTIF('Core_Nativ'!R504:R509,"CLOSED")=6,SUM('Core_Nativ'!S504:S509)=0),'Input_Meci'!K47,C47)))</x:f>
      </x:c>
      <x:c r="BM47" s="9" t="n">
        <x:f>IF(OR(A47="",N47=0),0,LARGE(_xlfn._xlws.FILTER('Istoric_Nativ'!$D$6:$D$405,('Istoric_Nativ'!$B$6:$B$405=B47)*('Istoric_Nativ'!$C$6:$C$405=C47)*('Istoric_Nativ'!$P$6:$P$405=1)*('Istoric_Nativ'!$D$6:$D$405&lt;INT(G47))*((('Istoric_Nativ'!$E$6:$E$405='Input_Meci'!D47)+('Istoric_Nativ'!$F$6:$F$405='Input_Meci'!D47))&gt;0)),MIN(10,N47)))</x:f>
        <x:v>0</x:v>
      </x:c>
      <x:c r="BN47" s="9" t="n">
        <x:f>IF(OR(A47="",Q47=0),0,LARGE(_xlfn._xlws.FILTER('Istoric_Nativ'!$D$6:$D$405,('Istoric_Nativ'!$B$6:$B$405=B47)*('Istoric_Nativ'!$C$6:$C$405=C47)*('Istoric_Nativ'!$P$6:$P$405=1)*('Istoric_Nativ'!$D$6:$D$405&lt;INT(G47))*((('Istoric_Nativ'!$E$6:$E$405='Input_Meci'!E47)+('Istoric_Nativ'!$F$6:$F$405='Input_Meci'!E47))&gt;0)),MIN(10,Q47)))</x:f>
        <x:v>0</x:v>
      </x:c>
      <x:c r="BO47" s="9" t="n">
        <x:f>IF(OR(A47="",N47=0),0,LARGE(_xlfn._xlws.FILTER('Istoric_Nativ'!$D$6:$D$405,('Istoric_Nativ'!$B$6:$B$405=B47)*('Istoric_Nativ'!$C$6:$C$405=C47)*('Istoric_Nativ'!$P$6:$P$405=1)*('Istoric_Nativ'!$D$6:$D$405&lt;INT(G47))*((('Istoric_Nativ'!$E$6:$E$405='Input_Meci'!D47)+('Istoric_Nativ'!$F$6:$F$405='Input_Meci'!D47))&gt;0)),MIN(20,N47)))</x:f>
        <x:v>0</x:v>
      </x:c>
      <x:c r="BP47" s="9" t="n">
        <x:f>IF(OR(A47="",Q47=0),0,LARGE(_xlfn._xlws.FILTER('Istoric_Nativ'!$D$6:$D$405,('Istoric_Nativ'!$B$6:$B$405=B47)*('Istoric_Nativ'!$C$6:$C$405=C47)*('Istoric_Nativ'!$P$6:$P$405=1)*('Istoric_Nativ'!$D$6:$D$405&lt;INT(G47))*((('Istoric_Nativ'!$E$6:$E$405='Input_Meci'!E47)+('Istoric_Nativ'!$F$6:$F$405='Input_Meci'!E47))&gt;0)),MIN(20,Q47)))</x:f>
        <x:v>0</x:v>
      </x:c>
      <x:c r="BQ47" s="2" t="str">
        <x:f>IF(A47="","",IF(AND(COUNTIF(MatchesTable[Match_ID],A47)=1,COUNTIFS(MatchesTable[League],B47,MatchesTable[Season],C47,MatchesTable[Home],'Input_Meci'!D47,MatchesTable[Away],'Input_Meci'!E47,MatchesTable[Kickoff_UTC],F47)=1,B47&lt;&gt;"",C47&lt;&gt;"",'Input_Meci'!D47&lt;&gt;"",'Input_Meci'!E47&lt;&gt;"",'Input_Meci'!D47&lt;&gt;'Input_Meci'!E47,ISNUMBER(F47),ISNUMBER(G47),G47&lt;F47,OR(E47="LIVE",E47="REPLAY"),OR('Input_Meci'!L47="YES",'Input_Meci'!L47="NO",'Input_Meci'!L47="")),"VALID","INVALID"))</x:f>
      </x:c>
      <x:c r="BR47" s="2" t="n">
        <x:f>IF(I47&lt;&gt;"PASS",0,SUMPRODUCT(('Istoric_Nativ'!$B$6:$B$405='Input_Meci'!B47)*('Istoric_Nativ'!$C$6:$C$405='Input_Meci'!C47)*('Istoric_Nativ'!$P$6:$P$405=1)*('Istoric_Nativ'!$D$6:$D$405&lt;INT('Input_Meci'!G47))*((('Istoric_Nativ'!$E$6:$E$405='Input_Meci'!D47)+('Istoric_Nativ'!$F$6:$F$405='Input_Meci'!E47))&gt;0)))</x:f>
        <x:v>0</x:v>
      </x:c>
      <x:c r="BS47" s="2" t="n">
        <x:f>IF(I47&lt;&gt;"PASS",0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BM47)+((('Istoric_Nativ'!$E$6:$E$405='Input_Meci'!E47)+('Istoric_Nativ'!$F$6:$F$405='Input_Meci'!E47))&gt;0)*('Istoric_Nativ'!$D$6:$D$405&gt;=BN47))&gt;0)))</x:f>
        <x:v>0</x:v>
      </x:c>
      <x:c r="BT47" s="2" t="n">
        <x:f>IF(I47&lt;&gt;"PASS",0,SUMPRODUCT(('Istoric_Nativ'!$B$6:$B$405='Input_Meci'!B47)*('Istoric_Nativ'!$C$6:$C$405='Input_Meci'!C47)*('Istoric_Nativ'!$P$6:$P$405=1)*('Istoric_Nativ'!$D$6:$D$405&lt;INT('Input_Meci'!G47))*((((('Istoric_Nativ'!$E$6:$E$405='Input_Meci'!D47)+('Istoric_Nativ'!$F$6:$F$405='Input_Meci'!D47))&gt;0)*('Istoric_Nativ'!$D$6:$D$405&gt;=BO47)+((('Istoric_Nativ'!$E$6:$E$405='Input_Meci'!E47)+('Istoric_Nativ'!$F$6:$F$405='Input_Meci'!E47))&gt;0)*('Istoric_Nativ'!$D$6:$D$405&gt;=BP47))&gt;0)))</x:f>
        <x:v>0</x:v>
      </x:c>
    </x:row>
    <x:row r="48" ht="21" customHeight="1">
      <x:c r="A48" s="2" t="str">
        <x:f>IF('Input_Meci'!A48="","",'Input_Meci'!A48)</x:f>
      </x:c>
      <x:c r="B48" s="2" t="str">
        <x:f>IF(A48="","",'Input_Meci'!B48)</x:f>
      </x:c>
      <x:c r="C48" s="2" t="str">
        <x:f>IF(A48="","",'Input_Meci'!C48)</x:f>
      </x:c>
      <x:c r="D48" s="2" t="str">
        <x:f>IF(A48="","",'Input_Meci'!D48&amp;" – "&amp;'Input_Meci'!E48)</x:f>
      </x:c>
      <x:c r="E48" s="2" t="str">
        <x:f>IF(A48="","",'Input_Meci'!H48)</x:f>
      </x:c>
      <x:c r="F48" s="9" t="str">
        <x:f>IF(A48="","",'Input_Meci'!F48)</x:f>
      </x:c>
      <x:c r="G48" s="9" t="str">
        <x:f>IF(A48="","",'Input_Meci'!G48)</x:f>
      </x:c>
      <x:c r="H48" s="2" t="str">
        <x:f>IF(A48="","",IF(BQ48&lt;&gt;"VALID","NOT RELEASED",IF(AND(OR('Input_Meci'!I48="NOT AVAILABLE",'Input_Meci'!I48="SOURCE CONFLICT"),'Input_Meci'!J48&lt;&gt;""),"READY",IF(OR(NOT(OR('Input_Meci'!I48="AUTO",'Input_Meci'!I48="")),COUNTIF('Core_Nativ'!R510:R515,"CLOSED")&lt;&gt;6,BJ48&gt;0),"NOT RELEASED","READY"))))</x:f>
      </x:c>
      <x:c r="I48" s="2" t="str">
        <x:f>IF(A48="","",IF(H48&lt;&gt;"READY","NOT RELEASED",IF(AND(NOT(OR('Input_Meci'!I48="NOT AVAILABLE",'Input_Meci'!I48="SOURCE CONFLICT")),L48=12,AR48&gt;=2,AS48&gt;0,ISNUMBER(AT48),BI48="VALID",BK48="VALID"),"PASS","FAIL")))</x:f>
      </x:c>
      <x:c r="J48" s="2" t="str">
        <x:f>IF(A48="","",IF(BQ48&lt;&gt;"VALID","Verifica ID, echipe, mod si cutoff &lt; kickoff",IF(H48&lt;&gt;"READY",IF('Input_Meci'!I48="ACCESS BLOCKED","Acces blocat: reia sursele",IF(BJ48&gt;0,"Istoric invalid sau conflict: verifica randurile native","Surse neinchise / post-cutoff / dovezi incomplete")),IF(OR('Input_Meci'!I48="NOT AVAILABLE",'Input_Meci'!I48="SOURCE CONFLICT"),'Input_Meci'!I48,IF(BK48&lt;&gt;"VALID","Parametri invalizi",IF(L48&lt;&gt;12,"Core / sample / prior insuficient",IF(AR48&lt;2,"N insuficient pentru dispersie",IF(AS48&lt;=0,"Media istorica trebuie sa fie pozitiva",IF(BI48&lt;&gt;"VALID","Context invalid","READY")))))))))</x:f>
      </x:c>
      <x:c r="K48" s="2" t="str">
        <x:f>IF(A48="","",COUNT(T48:AE48))</x:f>
      </x:c>
      <x:c r="L48" s="2" t="str">
        <x:f>IF(A48="","",COUNT(AF48:AQ48))</x:f>
      </x:c>
      <x:c r="M48" s="2" t="str">
        <x:f>IF(A48="","",IF(OR('Core_Nativ'!M510&lt;'Core_Nativ'!P510,'Core_Nativ'!M511&lt;'Core_Nativ'!P511,'Core_Nativ'!M512&lt;'Core_Nativ'!P512,'Core_Nativ'!M513&lt;'Core_Nativ'!P513,'Core_Nativ'!M514&lt;'Core_Nativ'!P514,'Core_Nativ'!M515&lt;'Core_Nativ'!P515),"YES","NO"))</x:f>
      </x:c>
      <x:c r="N48" s="2" t="str">
        <x:f>IF(A48="","",'Core_Nativ'!M510)</x:f>
      </x:c>
      <x:c r="O48" s="2" t="str">
        <x:f>IF(A48="","",'Core_Nativ'!M511)</x:f>
      </x:c>
      <x:c r="P48" s="2" t="str">
        <x:f>IF(A48="","",'Core_Nativ'!M512)</x:f>
      </x:c>
      <x:c r="Q48" s="2" t="str">
        <x:f>IF(A48="","",'Core_Nativ'!M513)</x:f>
      </x:c>
      <x:c r="R48" s="2" t="str">
        <x:f>IF(A48="","",'Core_Nativ'!M514)</x:f>
      </x:c>
      <x:c r="S48" s="2" t="str">
        <x:f>IF(A48="","",'Core_Nativ'!M515)</x:f>
      </x:c>
      <x:c r="T48" s="11" t="str">
        <x:f>IF(OR(A48="",'Core_Nativ'!M510=0),"",'Core_Nativ'!N510)</x:f>
      </x:c>
      <x:c r="U48" s="11" t="str">
        <x:f>IF(OR(A48="",'Core_Nativ'!M510=0),"",'Core_Nativ'!O510)</x:f>
      </x:c>
      <x:c r="V48" s="11" t="str">
        <x:f>IF(OR(A48="",'Core_Nativ'!M511=0),"",'Core_Nativ'!N511)</x:f>
      </x:c>
      <x:c r="W48" s="11" t="str">
        <x:f>IF(OR(A48="",'Core_Nativ'!M511=0),"",'Core_Nativ'!O511)</x:f>
      </x:c>
      <x:c r="X48" s="11" t="str">
        <x:f>IF(OR(A48="",'Core_Nativ'!M512=0),"",'Core_Nativ'!N512)</x:f>
      </x:c>
      <x:c r="Y48" s="11" t="str">
        <x:f>IF(OR(A48="",'Core_Nativ'!M512=0),"",'Core_Nativ'!O512)</x:f>
      </x:c>
      <x:c r="Z48" s="11" t="str">
        <x:f>IF(OR(A48="",'Core_Nativ'!M513=0),"",'Core_Nativ'!N513)</x:f>
      </x:c>
      <x:c r="AA48" s="11" t="str">
        <x:f>IF(OR(A48="",'Core_Nativ'!M513=0),"",'Core_Nativ'!O513)</x:f>
      </x:c>
      <x:c r="AB48" s="11" t="str">
        <x:f>IF(OR(A48="",'Core_Nativ'!M514=0),"",'Core_Nativ'!N514)</x:f>
      </x:c>
      <x:c r="AC48" s="11" t="str">
        <x:f>IF(OR(A48="",'Core_Nativ'!M514=0),"",'Core_Nativ'!O514)</x:f>
      </x:c>
      <x:c r="AD48" s="11" t="str">
        <x:f>IF(OR(A48="",'Core_Nativ'!M515=0),"",'Core_Nativ'!N515)</x:f>
      </x:c>
      <x:c r="AE48" s="11" t="str">
        <x:f>IF(OR(A48="",'Core_Nativ'!M515=0),"",'Core_Nativ'!O515)</x:f>
      </x:c>
      <x:c r="AF48" s="11" t="str">
        <x:f>IF(A48="","",IF(AND('Core_Nativ'!R510="CLOSED",'Core_Nativ'!S510=0),IF('Core_Nativ'!M510&gt;='Core_Nativ'!P510,'Core_Nativ'!N510,IF(AND('Input_Meci'!L48="YES",'Input_Meci'!K48&lt;&gt;"",'Input_Meci'!K48&lt;C48,'Core_Nativ'!T516="DERIVED",'Core_Nativ'!M516&gt;='Core_Nativ'!P510),MIN(1,'Core_Nativ'!M510/'Core_Nativ'!P510)*IF('Core_Nativ'!M510=0,0,'Core_Nativ'!N510)+(1-MIN(1,'Core_Nativ'!M510/'Core_Nativ'!P510))*'Core_Nativ'!N516,"")),""))</x:f>
      </x:c>
      <x:c r="AG48" s="11" t="str">
        <x:f>IF(A48="","",IF(AND('Core_Nativ'!R510="CLOSED",'Core_Nativ'!S510=0),IF('Core_Nativ'!M510&gt;='Core_Nativ'!P510,'Core_Nativ'!O510,IF(AND('Input_Meci'!L48="YES",'Input_Meci'!K48&lt;&gt;"",'Input_Meci'!K48&lt;C48,'Core_Nativ'!T516="DERIVED",'Core_Nativ'!M516&gt;='Core_Nativ'!P510),MIN(1,'Core_Nativ'!M510/'Core_Nativ'!P510)*IF('Core_Nativ'!M510=0,0,'Core_Nativ'!O510)+(1-MIN(1,'Core_Nativ'!M510/'Core_Nativ'!P510))*'Core_Nativ'!O516,"")),""))</x:f>
      </x:c>
      <x:c r="AH48" s="11" t="str">
        <x:f>IF(A48="","",IF(AND('Core_Nativ'!R511="CLOSED",'Core_Nativ'!S511=0),IF('Core_Nativ'!M511&gt;='Core_Nativ'!P511,'Core_Nativ'!N511,IF(AND('Input_Meci'!L48="YES",'Input_Meci'!K48&lt;&gt;"",'Input_Meci'!K48&lt;C48,'Core_Nativ'!T517="DERIVED",'Core_Nativ'!M517&gt;='Core_Nativ'!P511),MIN(1,'Core_Nativ'!M511/'Core_Nativ'!P511)*IF('Core_Nativ'!M511=0,0,'Core_Nativ'!N511)+(1-MIN(1,'Core_Nativ'!M511/'Core_Nativ'!P511))*'Core_Nativ'!N517,"")),""))</x:f>
      </x:c>
      <x:c r="AI48" s="11" t="str">
        <x:f>IF(A48="","",IF(AND('Core_Nativ'!R511="CLOSED",'Core_Nativ'!S511=0),IF('Core_Nativ'!M511&gt;='Core_Nativ'!P511,'Core_Nativ'!O511,IF(AND('Input_Meci'!L48="YES",'Input_Meci'!K48&lt;&gt;"",'Input_Meci'!K48&lt;C48,'Core_Nativ'!T517="DERIVED",'Core_Nativ'!M517&gt;='Core_Nativ'!P511),MIN(1,'Core_Nativ'!M511/'Core_Nativ'!P511)*IF('Core_Nativ'!M511=0,0,'Core_Nativ'!O511)+(1-MIN(1,'Core_Nativ'!M511/'Core_Nativ'!P511))*'Core_Nativ'!O517,"")),""))</x:f>
      </x:c>
      <x:c r="AJ48" s="11" t="str">
        <x:f>IF(A48="","",IF(AND('Core_Nativ'!R512="CLOSED",'Core_Nativ'!S512=0),IF('Core_Nativ'!M512&gt;='Core_Nativ'!P512,'Core_Nativ'!N512,IF(AND('Input_Meci'!L48="YES",'Input_Meci'!K48&lt;&gt;"",'Input_Meci'!K48&lt;C48,'Core_Nativ'!T518="DERIVED",'Core_Nativ'!M518&gt;='Core_Nativ'!P512),MIN(1,'Core_Nativ'!M512/'Core_Nativ'!P512)*IF('Core_Nativ'!M512=0,0,'Core_Nativ'!N512)+(1-MIN(1,'Core_Nativ'!M512/'Core_Nativ'!P512))*'Core_Nativ'!N518,"")),""))</x:f>
      </x:c>
      <x:c r="AK48" s="11" t="str">
        <x:f>IF(A48="","",IF(AND('Core_Nativ'!R512="CLOSED",'Core_Nativ'!S512=0),IF('Core_Nativ'!M512&gt;='Core_Nativ'!P512,'Core_Nativ'!O512,IF(AND('Input_Meci'!L48="YES",'Input_Meci'!K48&lt;&gt;"",'Input_Meci'!K48&lt;C48,'Core_Nativ'!T518="DERIVED",'Core_Nativ'!M518&gt;='Core_Nativ'!P512),MIN(1,'Core_Nativ'!M512/'Core_Nativ'!P512)*IF('Core_Nativ'!M512=0,0,'Core_Nativ'!O512)+(1-MIN(1,'Core_Nativ'!M512/'Core_Nativ'!P512))*'Core_Nativ'!O518,"")),""))</x:f>
      </x:c>
      <x:c r="AL48" s="11" t="str">
        <x:f>IF(A48="","",IF(AND('Core_Nativ'!R513="CLOSED",'Core_Nativ'!S513=0),IF('Core_Nativ'!M513&gt;='Core_Nativ'!P513,'Core_Nativ'!N513,IF(AND('Input_Meci'!L48="YES",'Input_Meci'!K48&lt;&gt;"",'Input_Meci'!K48&lt;C48,'Core_Nativ'!T519="DERIVED",'Core_Nativ'!M519&gt;='Core_Nativ'!P513),MIN(1,'Core_Nativ'!M513/'Core_Nativ'!P513)*IF('Core_Nativ'!M513=0,0,'Core_Nativ'!N513)+(1-MIN(1,'Core_Nativ'!M513/'Core_Nativ'!P513))*'Core_Nativ'!N519,"")),""))</x:f>
      </x:c>
      <x:c r="AM48" s="11" t="str">
        <x:f>IF(A48="","",IF(AND('Core_Nativ'!R513="CLOSED",'Core_Nativ'!S513=0),IF('Core_Nativ'!M513&gt;='Core_Nativ'!P513,'Core_Nativ'!O513,IF(AND('Input_Meci'!L48="YES",'Input_Meci'!K48&lt;&gt;"",'Input_Meci'!K48&lt;C48,'Core_Nativ'!T519="DERIVED",'Core_Nativ'!M519&gt;='Core_Nativ'!P513),MIN(1,'Core_Nativ'!M513/'Core_Nativ'!P513)*IF('Core_Nativ'!M513=0,0,'Core_Nativ'!O513)+(1-MIN(1,'Core_Nativ'!M513/'Core_Nativ'!P513))*'Core_Nativ'!O519,"")),""))</x:f>
      </x:c>
      <x:c r="AN48" s="11" t="str">
        <x:f>IF(A48="","",IF(AND('Core_Nativ'!R514="CLOSED",'Core_Nativ'!S514=0),IF('Core_Nativ'!M514&gt;='Core_Nativ'!P514,'Core_Nativ'!N514,IF(AND('Input_Meci'!L48="YES",'Input_Meci'!K48&lt;&gt;"",'Input_Meci'!K48&lt;C48,'Core_Nativ'!T520="DERIVED",'Core_Nativ'!M520&gt;='Core_Nativ'!P514),MIN(1,'Core_Nativ'!M514/'Core_Nativ'!P514)*IF('Core_Nativ'!M514=0,0,'Core_Nativ'!N514)+(1-MIN(1,'Core_Nativ'!M514/'Core_Nativ'!P514))*'Core_Nativ'!N520,"")),""))</x:f>
      </x:c>
      <x:c r="AO48" s="11" t="str">
        <x:f>IF(A48="","",IF(AND('Core_Nativ'!R514="CLOSED",'Core_Nativ'!S514=0),IF('Core_Nativ'!M514&gt;='Core_Nativ'!P514,'Core_Nativ'!O514,IF(AND('Input_Meci'!L48="YES",'Input_Meci'!K48&lt;&gt;"",'Input_Meci'!K48&lt;C48,'Core_Nativ'!T520="DERIVED",'Core_Nativ'!M520&gt;='Core_Nativ'!P514),MIN(1,'Core_Nativ'!M514/'Core_Nativ'!P514)*IF('Core_Nativ'!M514=0,0,'Core_Nativ'!O514)+(1-MIN(1,'Core_Nativ'!M514/'Core_Nativ'!P514))*'Core_Nativ'!O520,"")),""))</x:f>
      </x:c>
      <x:c r="AP48" s="11" t="str">
        <x:f>IF(A48="","",IF(AND('Core_Nativ'!R515="CLOSED",'Core_Nativ'!S515=0),IF('Core_Nativ'!M515&gt;='Core_Nativ'!P515,'Core_Nativ'!N515,IF(AND('Input_Meci'!L48="YES",'Input_Meci'!K48&lt;&gt;"",'Input_Meci'!K48&lt;C48,'Core_Nativ'!T521="DERIVED",'Core_Nativ'!M521&gt;='Core_Nativ'!P515),MIN(1,'Core_Nativ'!M515/'Core_Nativ'!P515)*IF('Core_Nativ'!M515=0,0,'Core_Nativ'!N515)+(1-MIN(1,'Core_Nativ'!M515/'Core_Nativ'!P515))*'Core_Nativ'!N521,"")),""))</x:f>
      </x:c>
      <x:c r="AQ48" s="11" t="str">
        <x:f>IF(A48="","",IF(AND('Core_Nativ'!R515="CLOSED",'Core_Nativ'!S515=0),IF('Core_Nativ'!M515&gt;='Core_Nativ'!P515,'Core_Nativ'!O515,IF(AND('Input_Meci'!L48="YES",'Input_Meci'!K48&lt;&gt;"",'Input_Meci'!K48&lt;C48,'Core_Nativ'!T521="DERIVED",'Core_Nativ'!M521&gt;='Core_Nativ'!P515),MIN(1,'Core_Nativ'!M515/'Core_Nativ'!P515)*IF('Core_Nativ'!M515=0,0,'Core_Nativ'!O515)+(1-MIN(1,'Core_Nativ'!M515/'Core_Nativ'!P515))*'Core_Nativ'!O521,"")),""))</x:f>
      </x:c>
      <x:c r="AR48" s="11" t="str">
        <x:f>IF(A48="","",SUMPRODUCT(('Istoric_Nativ'!$B$6:$B$405=B48)*('Istoric_Nativ'!$C$6:$C$405=BL48)*('Istoric_Nativ'!$P$6:$P$405=1)*('Istoric_Nativ'!$D$6:$D$405&lt;INT(G48))*((('Istoric_Nativ'!$E$6:$E$405='Input_Meci'!D48)+('Istoric_Nativ'!$F$6:$F$405='Input_Meci'!D48)+('Istoric_Nativ'!$E$6:$E$405='Input_Meci'!E48)+('Istoric_Nativ'!$F$6:$F$405='Input_Meci'!E48))&gt;0)))</x:f>
      </x:c>
      <x:c r="AS48" s="11" t="str">
        <x:f>IF(AR48=0,"",SUMPRODUCT(('Istoric_Nativ'!$B$6:$B$405=B48)*('Istoric_Nativ'!$C$6:$C$405=BL48)*('Istoric_Nativ'!$P$6:$P$405=1)*('Istoric_Nativ'!$D$6:$D$405&lt;INT(G48))*((('Istoric_Nativ'!$E$6:$E$405='Input_Meci'!D48)+('Istoric_Nativ'!$F$6:$F$405='Input_Meci'!D48)+('Istoric_Nativ'!$E$6:$E$405='Input_Meci'!E48)+('Istoric_Nativ'!$F$6:$F$405='Input_Meci'!E48))&gt;0)*'Istoric_Nativ'!$Q$6:$Q$405)/AR48)</x:f>
      </x:c>
      <x:c r="AT48" s="11" t="str">
        <x:f>IF(AR48&lt;2,"",MAX(0,(SUMPRODUCT(('Istoric_Nativ'!$B$6:$B$405=B48)*('Istoric_Nativ'!$C$6:$C$405=BL48)*('Istoric_Nativ'!$P$6:$P$405=1)*('Istoric_Nativ'!$D$6:$D$405&lt;INT(G48))*((('Istoric_Nativ'!$E$6:$E$405='Input_Meci'!D48)+('Istoric_Nativ'!$F$6:$F$405='Input_Meci'!D48)+('Istoric_Nativ'!$E$6:$E$405='Input_Meci'!E48)+('Istoric_Nativ'!$F$6:$F$405='Input_Meci'!E48))&gt;0)*'Istoric_Nativ'!$R$6:$R$405)-AR48*AS48^2)/(AR48-1)))</x:f>
      </x:c>
      <x:c r="AU48" s="11" t="str">
        <x:f>IF(I48&lt;&gt;"PASS","",AT48/AS48)</x:f>
      </x:c>
      <x:c r="AV48" s="11" t="str">
        <x:f>IF(I48&lt;&gt;"PASS","",IF(AU48&lt;='Config_v6'!$B$10,"POISSON","NEGATIVE BINOMIAL"))</x:f>
      </x:c>
      <x:c r="AW48" s="11" t="str">
        <x:f>IF(I48&lt;&gt;"PASS","",IF(AV48="POISSON",9999,AS48/(AU48-1)))</x:f>
      </x:c>
      <x:c r="AX48" s="11" t="str">
        <x:f>IF(A48="","",MAX(1-'Config_v6'!$B$20,MIN(1+'Config_v6'!$B$20,1+0.02*(IF(AND(ISNUMBER('Input_Meci'!N48),'Input_Meci'!N48&gt;=0,'Input_Meci'!N48&lt;=200),'Input_Meci'!N48,12)/12-1)+0.02*(IF(AND(ISNUMBER('Input_Meci'!P48),'Input_Meci'!P48&gt;=0,'Input_Meci'!P48&lt;=200),'Input_Meci'!P48,3.5)/3.5-1)+0.02*(IF(AND(ISNUMBER('Input_Meci'!R48),'Input_Meci'!R48&gt;=0,'Input_Meci'!R48&lt;=200),'Input_Meci'!R48,18)/18-1)+0.02*((IF(AND(ISNUMBER('Input_Meci'!V48),'Input_Meci'!V48&gt;=0,'Input_Meci'!V48&lt;=10),'Input_Meci'!V48,5)-5)/5))))</x:f>
      </x:c>
      <x:c r="AY48" s="11" t="str">
        <x:f>IF(A48="","",MAX(1-'Config_v6'!$B$20,MIN(1+'Config_v6'!$B$20,1+0.02*(IF(AND(ISNUMBER('Input_Meci'!O48),'Input_Meci'!O48&gt;=0,'Input_Meci'!O48&lt;=200),'Input_Meci'!O48,12)/12-1)+0.02*(IF(AND(ISNUMBER('Input_Meci'!Q48),'Input_Meci'!Q48&gt;=0,'Input_Meci'!Q48&lt;=200),'Input_Meci'!Q48,3.5)/3.5-1)+0.02*(IF(AND(ISNUMBER('Input_Meci'!S48),'Input_Meci'!S48&gt;=0,'Input_Meci'!S48&lt;=200),'Input_Meci'!S48,18)/18-1)+0.02*((IF(AND(ISNUMBER('Input_Meci'!W48),'Input_Meci'!W48&gt;=0,'Input_Meci'!W48&lt;=10),'Input_Meci'!W48,5)-5)/5))))</x:f>
      </x:c>
      <x:c r="AZ48" s="11" t="str">
        <x:f>IF(A48="","",MAX(1-'Config_v6'!$B$21,MIN(1+'Config_v6'!$B$21,1+0.012*(IF('Input_Meci'!X48="",5,IF(ISNUMBER('Input_Meci'!X48),'Input_Meci'!X48,5))-5)+0.018*(IF('Input_Meci'!Z48="",5,IF(ISNUMBER('Input_Meci'!Z48),'Input_Meci'!Z48,5))-5)+0.012*(IF('Input_Meci'!AB48="",5,IF(ISNUMBER('Input_Meci'!AB48),'Input_Meci'!AB48,5))-5)+0.015*IF('Input_Meci'!AD48="",0,IF(ISNUMBER('Input_Meci'!AD48),'Input_Meci'!AD48,0))+0.02*IF('Input_Meci'!AF48="",0,IF(ISNUMBER('Input_Meci'!AF48),'Input_Meci'!AF48,0)))))</x:f>
      </x:c>
      <x:c r="BA48" s="11" t="str">
        <x:f>IF(A48="","",MAX(1-'Config_v6'!$B$21,MIN(1+'Config_v6'!$B$21,1+0.012*(IF('Input_Meci'!Y48="",5,IF(ISNUMBER('Input_Meci'!Y48),'Input_Meci'!Y48,5))-5)+0.018*(IF('Input_Meci'!AA48="",5,IF(ISNUMBER('Input_Meci'!AA48),'Input_Meci'!AA48,5))-5)+0.012*(IF('Input_Meci'!AC48="",5,IF(ISNUMBER('Input_Meci'!AC48),'Input_Meci'!AC48,5))-5)+0.015*IF('Input_Meci'!AE48="",0,IF(ISNUMBER('Input_Meci'!AE48),'Input_Meci'!AE48,0))+0.02*IF('Input_Meci'!AG48="",0,IF(ISNUMBER('Input_Meci'!AG48),'Input_Meci'!AG48,0)))))</x:f>
      </x:c>
      <x:c r="BB48" s="11" t="str">
        <x:f>IF(I48&lt;&gt;"PASS","",(AVERAGE(AF48,AM48)*'Config_v6'!$B$4+AVERAGE(AH48,AO48)*'Config_v6'!$B$5+AVERAGE(AJ48,AQ48)*'Config_v6'!$B$6)*AX48*AZ48)</x:f>
      </x:c>
      <x:c r="BC48" s="11" t="str">
        <x:f>IF(I48&lt;&gt;"PASS","",(AVERAGE(AL48,AG48)*'Config_v6'!$B$4+AVERAGE(AN48,AI48)*'Config_v6'!$B$5+AVERAGE(AP48,AK48)*'Config_v6'!$B$6)*AY48*BA48)</x:f>
      </x:c>
      <x:c r="BD48" s="11" t="str">
        <x:f>IF(I48&lt;&gt;"PASS","",BB48+BC48)</x:f>
      </x:c>
      <x:c r="BE48" s="11" t="str">
        <x:f>IF(A48="","",10-SUM(IF(AND(ISNUMBER('Input_Meci'!N48),'Input_Meci'!N48&gt;=0,'Input_Meci'!N48&lt;=200),1,0),IF(AND(ISNUMBER('Input_Meci'!O48),'Input_Meci'!O48&gt;=0,'Input_Meci'!O48&lt;=200),1,0),IF(AND(ISNUMBER('Input_Meci'!P48),'Input_Meci'!P48&gt;=0,'Input_Meci'!P48&lt;=200),1,0),IF(AND(ISNUMBER('Input_Meci'!Q48),'Input_Meci'!Q48&gt;=0,'Input_Meci'!Q48&lt;=200),1,0),IF(AND(ISNUMBER('Input_Meci'!R48),'Input_Meci'!R48&gt;=0,'Input_Meci'!R48&lt;=200),1,0),IF(AND(ISNUMBER('Input_Meci'!S48),'Input_Meci'!S48&gt;=0,'Input_Meci'!S48&lt;=200),1,0),IF(AND(ISNUMBER('Input_Meci'!T48),'Input_Meci'!T48&gt;=0,'Input_Meci'!T48&lt;=100),1,0),IF(AND(ISNUMBER('Input_Meci'!U48),'Input_Meci'!U48&gt;=0,'Input_Meci'!U48&lt;=100),1,0),IF(AND(ISNUMBER('Input_Meci'!V48),'Input_Meci'!V48&gt;=0,'Input_Meci'!V48&lt;=10),1,0),IF(AND(ISNUMBER('Input_Meci'!W48),'Input_Meci'!W48&gt;=0,'Input_Meci'!W48&lt;=10),1,0)))</x:f>
      </x:c>
      <x:c r="BF48" s="11" t="str">
        <x:f>IF(I48&lt;&gt;"PASS","",MAX(0,MIN(IF(OR(M48="YES",BL48&lt;&gt;C48),'Config_v6'!$B$34,100),ROUND(40+25*MIN(1,MIN(N48,Q48)/'Config_v6'!$B$7)*MIN(1,MIN(O48,R48)/'Config_v6'!$B$8)*MIN(1,MIN(P48,S48)/'Config_v6'!$B$9)+MAX(0,15-2*ABS(AF48-AJ48)-2*ABS(AL48-AP48))+IF(AU48&lt;='Config_v6'!$B$10,15,IF(AU48&lt;='Config_v6'!$B$11,13,IF(AU48&lt;='Config_v6'!$B$12,10,IF(AU48&lt;='Config_v6'!$B$13,6,0))))+5-BE48/10*'Config_v6'!$B$38,0))))</x:f>
      </x:c>
      <x:c r="BG48" s="11" t="str">
        <x:f>IF(I48&lt;&gt;"PASS","",MIN(1,'Config_v6'!$B$14*(0.7+0.3*MIN(1,AR48/'Config_v6'!$B$15))*IF(AU48&lt;='Config_v6'!$B$10,1,IF(AU48&lt;='Config_v6'!$B$11,0.95,IF(AU48&lt;='Config_v6'!$B$12,0.88,0.78)))*(0.75+0.25*BF48/100)))</x:f>
      </x:c>
      <x:c r="BH48" s="11" t="str">
        <x:f>IF(I48&lt;&gt;"PASS","",MIN(1,(ABS(AZ48-1)+ABS(BA48-1))*3))</x:f>
      </x:c>
      <x:c r="BI48" s="2" t="str">
        <x:f>IF(A48="","",IF(AND(OR('Input_Meci'!X48="",AND(ISNUMBER('Input_Meci'!X48),'Input_Meci'!X48&gt;=0,'Input_Meci'!X48&lt;=10)),OR('Input_Meci'!Y48="",AND(ISNUMBER('Input_Meci'!Y48),'Input_Meci'!Y48&gt;=0,'Input_Meci'!Y48&lt;=10)),OR('Input_Meci'!Z48="",AND(ISNUMBER('Input_Meci'!Z48),'Input_Meci'!Z48&gt;=0,'Input_Meci'!Z48&lt;=10)),OR('Input_Meci'!AA48="",AND(ISNUMBER('Input_Meci'!AA48),'Input_Meci'!AA48&gt;=0,'Input_Meci'!AA48&lt;=10)),OR('Input_Meci'!AB48="",AND(ISNUMBER('Input_Meci'!AB48),'Input_Meci'!AB48&gt;=0,'Input_Meci'!AB48&lt;=10)),OR('Input_Meci'!AC48="",AND(ISNUMBER('Input_Meci'!AC48),'Input_Meci'!AC48&gt;=0,'Input_Meci'!AC48&lt;=10)),OR('Input_Meci'!AD48="",AND(ISNUMBER('Input_Meci'!AD48),'Input_Meci'!AD48&gt;=-2,'Input_Meci'!AD48&lt;=2)),OR('Input_Meci'!AE48="",AND(ISNUMBER('Input_Meci'!AE48),'Input_Meci'!AE48&gt;=-2,'Input_Meci'!AE48&lt;=2)),OR('Input_Meci'!AF48="",AND(ISNUMBER('Input_Meci'!AF48),'Input_Meci'!AF48&gt;=-2,'Input_Meci'!AF48&lt;=2)),OR('Input_Meci'!AG48="",AND(ISNUMBER('Input_Meci'!AG48),'Input_Meci'!AG48&gt;=-2,'Input_Meci'!AG48&lt;=2))),"VALID","INVALID"))</x:f>
      </x:c>
      <x:c r="BJ48" s="2" t="n">
        <x:f>IF(A48="",0,SUM('Core_Nativ'!S510:S515))</x:f>
        <x:v>0</x:v>
      </x:c>
      <x:c r="BK48" s="2" t="str">
        <x:f>'Config_v6'!$B$40</x:f>
        <x:v>VALID</x:v>
      </x:c>
      <x:c r="BL48" s="2" t="str">
        <x:f>IF(A48="","",IF(SUMPRODUCT(('Istoric_Nativ'!$B$6:$B$405=B48)*('Istoric_Nativ'!$C$6:$C$405=C48)*('Istoric_Nativ'!$P$6:$P$405=1)*('Istoric_Nativ'!$D$6:$D$405&lt;INT(G48))*((('Istoric_Nativ'!$E$6:$E$405='Input_Meci'!D48)+('Istoric_Nativ'!$F$6:$F$405='Input_Meci'!D48)+('Istoric_Nativ'!$E$6:$E$405='Input_Meci'!E48)+('Istoric_Nativ'!$F$6:$F$405='Input_Meci'!E48))&gt;0))&gt;='Config_v6'!$B$41,C48,IF(AND('Input_Meci'!L48="YES",'Input_Meci'!K48&lt;&gt;"",'Input_Meci'!K48&lt;C48,COUNTIF('Core_Nativ'!R516:R521,"CLOSED")=6,SUM('Core_Nativ'!S516:S521)=0),'Input_Meci'!K48,C48)))</x:f>
      </x:c>
      <x:c r="BM48" s="9" t="n">
        <x:f>IF(OR(A48="",N48=0),0,LARGE(_xlfn._xlws.FILTER('Istoric_Nativ'!$D$6:$D$405,('Istoric_Nativ'!$B$6:$B$405=B48)*('Istoric_Nativ'!$C$6:$C$405=C48)*('Istoric_Nativ'!$P$6:$P$405=1)*('Istoric_Nativ'!$D$6:$D$405&lt;INT(G48))*((('Istoric_Nativ'!$E$6:$E$405='Input_Meci'!D48)+('Istoric_Nativ'!$F$6:$F$405='Input_Meci'!D48))&gt;0)),MIN(10,N48)))</x:f>
        <x:v>0</x:v>
      </x:c>
      <x:c r="BN48" s="9" t="n">
        <x:f>IF(OR(A48="",Q48=0),0,LARGE(_xlfn._xlws.FILTER('Istoric_Nativ'!$D$6:$D$405,('Istoric_Nativ'!$B$6:$B$405=B48)*('Istoric_Nativ'!$C$6:$C$405=C48)*('Istoric_Nativ'!$P$6:$P$405=1)*('Istoric_Nativ'!$D$6:$D$405&lt;INT(G48))*((('Istoric_Nativ'!$E$6:$E$405='Input_Meci'!E48)+('Istoric_Nativ'!$F$6:$F$405='Input_Meci'!E48))&gt;0)),MIN(10,Q48)))</x:f>
        <x:v>0</x:v>
      </x:c>
      <x:c r="BO48" s="9" t="n">
        <x:f>IF(OR(A48="",N48=0),0,LARGE(_xlfn._xlws.FILTER('Istoric_Nativ'!$D$6:$D$405,('Istoric_Nativ'!$B$6:$B$405=B48)*('Istoric_Nativ'!$C$6:$C$405=C48)*('Istoric_Nativ'!$P$6:$P$405=1)*('Istoric_Nativ'!$D$6:$D$405&lt;INT(G48))*((('Istoric_Nativ'!$E$6:$E$405='Input_Meci'!D48)+('Istoric_Nativ'!$F$6:$F$405='Input_Meci'!D48))&gt;0)),MIN(20,N48)))</x:f>
        <x:v>0</x:v>
      </x:c>
      <x:c r="BP48" s="9" t="n">
        <x:f>IF(OR(A48="",Q48=0),0,LARGE(_xlfn._xlws.FILTER('Istoric_Nativ'!$D$6:$D$405,('Istoric_Nativ'!$B$6:$B$405=B48)*('Istoric_Nativ'!$C$6:$C$405=C48)*('Istoric_Nativ'!$P$6:$P$405=1)*('Istoric_Nativ'!$D$6:$D$405&lt;INT(G48))*((('Istoric_Nativ'!$E$6:$E$405='Input_Meci'!E48)+('Istoric_Nativ'!$F$6:$F$405='Input_Meci'!E48))&gt;0)),MIN(20,Q48)))</x:f>
        <x:v>0</x:v>
      </x:c>
      <x:c r="BQ48" s="2" t="str">
        <x:f>IF(A48="","",IF(AND(COUNTIF(MatchesTable[Match_ID],A48)=1,COUNTIFS(MatchesTable[League],B48,MatchesTable[Season],C48,MatchesTable[Home],'Input_Meci'!D48,MatchesTable[Away],'Input_Meci'!E48,MatchesTable[Kickoff_UTC],F48)=1,B48&lt;&gt;"",C48&lt;&gt;"",'Input_Meci'!D48&lt;&gt;"",'Input_Meci'!E48&lt;&gt;"",'Input_Meci'!D48&lt;&gt;'Input_Meci'!E48,ISNUMBER(F48),ISNUMBER(G48),G48&lt;F48,OR(E48="LIVE",E48="REPLAY"),OR('Input_Meci'!L48="YES",'Input_Meci'!L48="NO",'Input_Meci'!L48="")),"VALID","INVALID"))</x:f>
      </x:c>
      <x:c r="BR48" s="2" t="n">
        <x:f>IF(I48&lt;&gt;"PASS",0,SUMPRODUCT(('Istoric_Nativ'!$B$6:$B$405='Input_Meci'!B48)*('Istoric_Nativ'!$C$6:$C$405='Input_Meci'!C48)*('Istoric_Nativ'!$P$6:$P$405=1)*('Istoric_Nativ'!$D$6:$D$405&lt;INT('Input_Meci'!G48))*((('Istoric_Nativ'!$E$6:$E$405='Input_Meci'!D48)+('Istoric_Nativ'!$F$6:$F$405='Input_Meci'!E48))&gt;0)))</x:f>
        <x:v>0</x:v>
      </x:c>
      <x:c r="BS48" s="2" t="n">
        <x:f>IF(I48&lt;&gt;"PASS",0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BM48)+((('Istoric_Nativ'!$E$6:$E$405='Input_Meci'!E48)+('Istoric_Nativ'!$F$6:$F$405='Input_Meci'!E48))&gt;0)*('Istoric_Nativ'!$D$6:$D$405&gt;=BN48))&gt;0)))</x:f>
        <x:v>0</x:v>
      </x:c>
      <x:c r="BT48" s="2" t="n">
        <x:f>IF(I48&lt;&gt;"PASS",0,SUMPRODUCT(('Istoric_Nativ'!$B$6:$B$405='Input_Meci'!B48)*('Istoric_Nativ'!$C$6:$C$405='Input_Meci'!C48)*('Istoric_Nativ'!$P$6:$P$405=1)*('Istoric_Nativ'!$D$6:$D$405&lt;INT('Input_Meci'!G48))*((((('Istoric_Nativ'!$E$6:$E$405='Input_Meci'!D48)+('Istoric_Nativ'!$F$6:$F$405='Input_Meci'!D48))&gt;0)*('Istoric_Nativ'!$D$6:$D$405&gt;=BO48)+((('Istoric_Nativ'!$E$6:$E$405='Input_Meci'!E48)+('Istoric_Nativ'!$F$6:$F$405='Input_Meci'!E48))&gt;0)*('Istoric_Nativ'!$D$6:$D$405&gt;=BP48))&gt;0)))</x:f>
        <x:v>0</x:v>
      </x:c>
    </x:row>
    <x:row r="49" ht="21" customHeight="1">
      <x:c r="A49" s="2" t="str">
        <x:f>IF('Input_Meci'!A49="","",'Input_Meci'!A49)</x:f>
      </x:c>
      <x:c r="B49" s="2" t="str">
        <x:f>IF(A49="","",'Input_Meci'!B49)</x:f>
      </x:c>
      <x:c r="C49" s="2" t="str">
        <x:f>IF(A49="","",'Input_Meci'!C49)</x:f>
      </x:c>
      <x:c r="D49" s="2" t="str">
        <x:f>IF(A49="","",'Input_Meci'!D49&amp;" – "&amp;'Input_Meci'!E49)</x:f>
      </x:c>
      <x:c r="E49" s="2" t="str">
        <x:f>IF(A49="","",'Input_Meci'!H49)</x:f>
      </x:c>
      <x:c r="F49" s="9" t="str">
        <x:f>IF(A49="","",'Input_Meci'!F49)</x:f>
      </x:c>
      <x:c r="G49" s="9" t="str">
        <x:f>IF(A49="","",'Input_Meci'!G49)</x:f>
      </x:c>
      <x:c r="H49" s="2" t="str">
        <x:f>IF(A49="","",IF(BQ49&lt;&gt;"VALID","NOT RELEASED",IF(AND(OR('Input_Meci'!I49="NOT AVAILABLE",'Input_Meci'!I49="SOURCE CONFLICT"),'Input_Meci'!J49&lt;&gt;""),"READY",IF(OR(NOT(OR('Input_Meci'!I49="AUTO",'Input_Meci'!I49="")),COUNTIF('Core_Nativ'!R522:R527,"CLOSED")&lt;&gt;6,BJ49&gt;0),"NOT RELEASED","READY"))))</x:f>
      </x:c>
      <x:c r="I49" s="2" t="str">
        <x:f>IF(A49="","",IF(H49&lt;&gt;"READY","NOT RELEASED",IF(AND(NOT(OR('Input_Meci'!I49="NOT AVAILABLE",'Input_Meci'!I49="SOURCE CONFLICT")),L49=12,AR49&gt;=2,AS49&gt;0,ISNUMBER(AT49),BI49="VALID",BK49="VALID"),"PASS","FAIL")))</x:f>
      </x:c>
      <x:c r="J49" s="2" t="str">
        <x:f>IF(A49="","",IF(BQ49&lt;&gt;"VALID","Verifica ID, echipe, mod si cutoff &lt; kickoff",IF(H49&lt;&gt;"READY",IF('Input_Meci'!I49="ACCESS BLOCKED","Acces blocat: reia sursele",IF(BJ49&gt;0,"Istoric invalid sau conflict: verifica randurile native","Surse neinchise / post-cutoff / dovezi incomplete")),IF(OR('Input_Meci'!I49="NOT AVAILABLE",'Input_Meci'!I49="SOURCE CONFLICT"),'Input_Meci'!I49,IF(BK49&lt;&gt;"VALID","Parametri invalizi",IF(L49&lt;&gt;12,"Core / sample / prior insuficient",IF(AR49&lt;2,"N insuficient pentru dispersie",IF(AS49&lt;=0,"Media istorica trebuie sa fie pozitiva",IF(BI49&lt;&gt;"VALID","Context invalid","READY")))))))))</x:f>
      </x:c>
      <x:c r="K49" s="2" t="str">
        <x:f>IF(A49="","",COUNT(T49:AE49))</x:f>
      </x:c>
      <x:c r="L49" s="2" t="str">
        <x:f>IF(A49="","",COUNT(AF49:AQ49))</x:f>
      </x:c>
      <x:c r="M49" s="2" t="str">
        <x:f>IF(A49="","",IF(OR('Core_Nativ'!M522&lt;'Core_Nativ'!P522,'Core_Nativ'!M523&lt;'Core_Nativ'!P523,'Core_Nativ'!M524&lt;'Core_Nativ'!P524,'Core_Nativ'!M525&lt;'Core_Nativ'!P525,'Core_Nativ'!M526&lt;'Core_Nativ'!P526,'Core_Nativ'!M527&lt;'Core_Nativ'!P527),"YES","NO"))</x:f>
      </x:c>
      <x:c r="N49" s="2" t="str">
        <x:f>IF(A49="","",'Core_Nativ'!M522)</x:f>
      </x:c>
      <x:c r="O49" s="2" t="str">
        <x:f>IF(A49="","",'Core_Nativ'!M523)</x:f>
      </x:c>
      <x:c r="P49" s="2" t="str">
        <x:f>IF(A49="","",'Core_Nativ'!M524)</x:f>
      </x:c>
      <x:c r="Q49" s="2" t="str">
        <x:f>IF(A49="","",'Core_Nativ'!M525)</x:f>
      </x:c>
      <x:c r="R49" s="2" t="str">
        <x:f>IF(A49="","",'Core_Nativ'!M526)</x:f>
      </x:c>
      <x:c r="S49" s="2" t="str">
        <x:f>IF(A49="","",'Core_Nativ'!M527)</x:f>
      </x:c>
      <x:c r="T49" s="11" t="str">
        <x:f>IF(OR(A49="",'Core_Nativ'!M522=0),"",'Core_Nativ'!N522)</x:f>
      </x:c>
      <x:c r="U49" s="11" t="str">
        <x:f>IF(OR(A49="",'Core_Nativ'!M522=0),"",'Core_Nativ'!O522)</x:f>
      </x:c>
      <x:c r="V49" s="11" t="str">
        <x:f>IF(OR(A49="",'Core_Nativ'!M523=0),"",'Core_Nativ'!N523)</x:f>
      </x:c>
      <x:c r="W49" s="11" t="str">
        <x:f>IF(OR(A49="",'Core_Nativ'!M523=0),"",'Core_Nativ'!O523)</x:f>
      </x:c>
      <x:c r="X49" s="11" t="str">
        <x:f>IF(OR(A49="",'Core_Nativ'!M524=0),"",'Core_Nativ'!N524)</x:f>
      </x:c>
      <x:c r="Y49" s="11" t="str">
        <x:f>IF(OR(A49="",'Core_Nativ'!M524=0),"",'Core_Nativ'!O524)</x:f>
      </x:c>
      <x:c r="Z49" s="11" t="str">
        <x:f>IF(OR(A49="",'Core_Nativ'!M525=0),"",'Core_Nativ'!N525)</x:f>
      </x:c>
      <x:c r="AA49" s="11" t="str">
        <x:f>IF(OR(A49="",'Core_Nativ'!M525=0),"",'Core_Nativ'!O525)</x:f>
      </x:c>
      <x:c r="AB49" s="11" t="str">
        <x:f>IF(OR(A49="",'Core_Nativ'!M526=0),"",'Core_Nativ'!N526)</x:f>
      </x:c>
      <x:c r="AC49" s="11" t="str">
        <x:f>IF(OR(A49="",'Core_Nativ'!M526=0),"",'Core_Nativ'!O526)</x:f>
      </x:c>
      <x:c r="AD49" s="11" t="str">
        <x:f>IF(OR(A49="",'Core_Nativ'!M527=0),"",'Core_Nativ'!N527)</x:f>
      </x:c>
      <x:c r="AE49" s="11" t="str">
        <x:f>IF(OR(A49="",'Core_Nativ'!M527=0),"",'Core_Nativ'!O527)</x:f>
      </x:c>
      <x:c r="AF49" s="11" t="str">
        <x:f>IF(A49="","",IF(AND('Core_Nativ'!R522="CLOSED",'Core_Nativ'!S522=0),IF('Core_Nativ'!M522&gt;='Core_Nativ'!P522,'Core_Nativ'!N522,IF(AND('Input_Meci'!L49="YES",'Input_Meci'!K49&lt;&gt;"",'Input_Meci'!K49&lt;C49,'Core_Nativ'!T528="DERIVED",'Core_Nativ'!M528&gt;='Core_Nativ'!P522),MIN(1,'Core_Nativ'!M522/'Core_Nativ'!P522)*IF('Core_Nativ'!M522=0,0,'Core_Nativ'!N522)+(1-MIN(1,'Core_Nativ'!M522/'Core_Nativ'!P522))*'Core_Nativ'!N528,"")),""))</x:f>
      </x:c>
      <x:c r="AG49" s="11" t="str">
        <x:f>IF(A49="","",IF(AND('Core_Nativ'!R522="CLOSED",'Core_Nativ'!S522=0),IF('Core_Nativ'!M522&gt;='Core_Nativ'!P522,'Core_Nativ'!O522,IF(AND('Input_Meci'!L49="YES",'Input_Meci'!K49&lt;&gt;"",'Input_Meci'!K49&lt;C49,'Core_Nativ'!T528="DERIVED",'Core_Nativ'!M528&gt;='Core_Nativ'!P522),MIN(1,'Core_Nativ'!M522/'Core_Nativ'!P522)*IF('Core_Nativ'!M522=0,0,'Core_Nativ'!O522)+(1-MIN(1,'Core_Nativ'!M522/'Core_Nativ'!P522))*'Core_Nativ'!O528,"")),""))</x:f>
      </x:c>
      <x:c r="AH49" s="11" t="str">
        <x:f>IF(A49="","",IF(AND('Core_Nativ'!R523="CLOSED",'Core_Nativ'!S523=0),IF('Core_Nativ'!M523&gt;='Core_Nativ'!P523,'Core_Nativ'!N523,IF(AND('Input_Meci'!L49="YES",'Input_Meci'!K49&lt;&gt;"",'Input_Meci'!K49&lt;C49,'Core_Nativ'!T529="DERIVED",'Core_Nativ'!M529&gt;='Core_Nativ'!P523),MIN(1,'Core_Nativ'!M523/'Core_Nativ'!P523)*IF('Core_Nativ'!M523=0,0,'Core_Nativ'!N523)+(1-MIN(1,'Core_Nativ'!M523/'Core_Nativ'!P523))*'Core_Nativ'!N529,"")),""))</x:f>
      </x:c>
      <x:c r="AI49" s="11" t="str">
        <x:f>IF(A49="","",IF(AND('Core_Nativ'!R523="CLOSED",'Core_Nativ'!S523=0),IF('Core_Nativ'!M523&gt;='Core_Nativ'!P523,'Core_Nativ'!O523,IF(AND('Input_Meci'!L49="YES",'Input_Meci'!K49&lt;&gt;"",'Input_Meci'!K49&lt;C49,'Core_Nativ'!T529="DERIVED",'Core_Nativ'!M529&gt;='Core_Nativ'!P523),MIN(1,'Core_Nativ'!M523/'Core_Nativ'!P523)*IF('Core_Nativ'!M523=0,0,'Core_Nativ'!O523)+(1-MIN(1,'Core_Nativ'!M523/'Core_Nativ'!P523))*'Core_Nativ'!O529,"")),""))</x:f>
      </x:c>
      <x:c r="AJ49" s="11" t="str">
        <x:f>IF(A49="","",IF(AND('Core_Nativ'!R524="CLOSED",'Core_Nativ'!S524=0),IF('Core_Nativ'!M524&gt;='Core_Nativ'!P524,'Core_Nativ'!N524,IF(AND('Input_Meci'!L49="YES",'Input_Meci'!K49&lt;&gt;"",'Input_Meci'!K49&lt;C49,'Core_Nativ'!T530="DERIVED",'Core_Nativ'!M530&gt;='Core_Nativ'!P524),MIN(1,'Core_Nativ'!M524/'Core_Nativ'!P524)*IF('Core_Nativ'!M524=0,0,'Core_Nativ'!N524)+(1-MIN(1,'Core_Nativ'!M524/'Core_Nativ'!P524))*'Core_Nativ'!N530,"")),""))</x:f>
      </x:c>
      <x:c r="AK49" s="11" t="str">
        <x:f>IF(A49="","",IF(AND('Core_Nativ'!R524="CLOSED",'Core_Nativ'!S524=0),IF('Core_Nativ'!M524&gt;='Core_Nativ'!P524,'Core_Nativ'!O524,IF(AND('Input_Meci'!L49="YES",'Input_Meci'!K49&lt;&gt;"",'Input_Meci'!K49&lt;C49,'Core_Nativ'!T530="DERIVED",'Core_Nativ'!M530&gt;='Core_Nativ'!P524),MIN(1,'Core_Nativ'!M524/'Core_Nativ'!P524)*IF('Core_Nativ'!M524=0,0,'Core_Nativ'!O524)+(1-MIN(1,'Core_Nativ'!M524/'Core_Nativ'!P524))*'Core_Nativ'!O530,"")),""))</x:f>
      </x:c>
      <x:c r="AL49" s="11" t="str">
        <x:f>IF(A49="","",IF(AND('Core_Nativ'!R525="CLOSED",'Core_Nativ'!S525=0),IF('Core_Nativ'!M525&gt;='Core_Nativ'!P525,'Core_Nativ'!N525,IF(AND('Input_Meci'!L49="YES",'Input_Meci'!K49&lt;&gt;"",'Input_Meci'!K49&lt;C49,'Core_Nativ'!T531="DERIVED",'Core_Nativ'!M531&gt;='Core_Nativ'!P525),MIN(1,'Core_Nativ'!M525/'Core_Nativ'!P525)*IF('Core_Nativ'!M525=0,0,'Core_Nativ'!N525)+(1-MIN(1,'Core_Nativ'!M525/'Core_Nativ'!P525))*'Core_Nativ'!N531,"")),""))</x:f>
      </x:c>
      <x:c r="AM49" s="11" t="str">
        <x:f>IF(A49="","",IF(AND('Core_Nativ'!R525="CLOSED",'Core_Nativ'!S525=0),IF('Core_Nativ'!M525&gt;='Core_Nativ'!P525,'Core_Nativ'!O525,IF(AND('Input_Meci'!L49="YES",'Input_Meci'!K49&lt;&gt;"",'Input_Meci'!K49&lt;C49,'Core_Nativ'!T531="DERIVED",'Core_Nativ'!M531&gt;='Core_Nativ'!P525),MIN(1,'Core_Nativ'!M525/'Core_Nativ'!P525)*IF('Core_Nativ'!M525=0,0,'Core_Nativ'!O525)+(1-MIN(1,'Core_Nativ'!M525/'Core_Nativ'!P525))*'Core_Nativ'!O531,"")),""))</x:f>
      </x:c>
      <x:c r="AN49" s="11" t="str">
        <x:f>IF(A49="","",IF(AND('Core_Nativ'!R526="CLOSED",'Core_Nativ'!S526=0),IF('Core_Nativ'!M526&gt;='Core_Nativ'!P526,'Core_Nativ'!N526,IF(AND('Input_Meci'!L49="YES",'Input_Meci'!K49&lt;&gt;"",'Input_Meci'!K49&lt;C49,'Core_Nativ'!T532="DERIVED",'Core_Nativ'!M532&gt;='Core_Nativ'!P526),MIN(1,'Core_Nativ'!M526/'Core_Nativ'!P526)*IF('Core_Nativ'!M526=0,0,'Core_Nativ'!N526)+(1-MIN(1,'Core_Nativ'!M526/'Core_Nativ'!P526))*'Core_Nativ'!N532,"")),""))</x:f>
      </x:c>
      <x:c r="AO49" s="11" t="str">
        <x:f>IF(A49="","",IF(AND('Core_Nativ'!R526="CLOSED",'Core_Nativ'!S526=0),IF('Core_Nativ'!M526&gt;='Core_Nativ'!P526,'Core_Nativ'!O526,IF(AND('Input_Meci'!L49="YES",'Input_Meci'!K49&lt;&gt;"",'Input_Meci'!K49&lt;C49,'Core_Nativ'!T532="DERIVED",'Core_Nativ'!M532&gt;='Core_Nativ'!P526),MIN(1,'Core_Nativ'!M526/'Core_Nativ'!P526)*IF('Core_Nativ'!M526=0,0,'Core_Nativ'!O526)+(1-MIN(1,'Core_Nativ'!M526/'Core_Nativ'!P526))*'Core_Nativ'!O532,"")),""))</x:f>
      </x:c>
      <x:c r="AP49" s="11" t="str">
        <x:f>IF(A49="","",IF(AND('Core_Nativ'!R527="CLOSED",'Core_Nativ'!S527=0),IF('Core_Nativ'!M527&gt;='Core_Nativ'!P527,'Core_Nativ'!N527,IF(AND('Input_Meci'!L49="YES",'Input_Meci'!K49&lt;&gt;"",'Input_Meci'!K49&lt;C49,'Core_Nativ'!T533="DERIVED",'Core_Nativ'!M533&gt;='Core_Nativ'!P527),MIN(1,'Core_Nativ'!M527/'Core_Nativ'!P527)*IF('Core_Nativ'!M527=0,0,'Core_Nativ'!N527)+(1-MIN(1,'Core_Nativ'!M527/'Core_Nativ'!P527))*'Core_Nativ'!N533,"")),""))</x:f>
      </x:c>
      <x:c r="AQ49" s="11" t="str">
        <x:f>IF(A49="","",IF(AND('Core_Nativ'!R527="CLOSED",'Core_Nativ'!S527=0),IF('Core_Nativ'!M527&gt;='Core_Nativ'!P527,'Core_Nativ'!O527,IF(AND('Input_Meci'!L49="YES",'Input_Meci'!K49&lt;&gt;"",'Input_Meci'!K49&lt;C49,'Core_Nativ'!T533="DERIVED",'Core_Nativ'!M533&gt;='Core_Nativ'!P527),MIN(1,'Core_Nativ'!M527/'Core_Nativ'!P527)*IF('Core_Nativ'!M527=0,0,'Core_Nativ'!O527)+(1-MIN(1,'Core_Nativ'!M527/'Core_Nativ'!P527))*'Core_Nativ'!O533,"")),""))</x:f>
      </x:c>
      <x:c r="AR49" s="11" t="str">
        <x:f>IF(A49="","",SUMPRODUCT(('Istoric_Nativ'!$B$6:$B$405=B49)*('Istoric_Nativ'!$C$6:$C$405=BL49)*('Istoric_Nativ'!$P$6:$P$405=1)*('Istoric_Nativ'!$D$6:$D$405&lt;INT(G49))*((('Istoric_Nativ'!$E$6:$E$405='Input_Meci'!D49)+('Istoric_Nativ'!$F$6:$F$405='Input_Meci'!D49)+('Istoric_Nativ'!$E$6:$E$405='Input_Meci'!E49)+('Istoric_Nativ'!$F$6:$F$405='Input_Meci'!E49))&gt;0)))</x:f>
      </x:c>
      <x:c r="AS49" s="11" t="str">
        <x:f>IF(AR49=0,"",SUMPRODUCT(('Istoric_Nativ'!$B$6:$B$405=B49)*('Istoric_Nativ'!$C$6:$C$405=BL49)*('Istoric_Nativ'!$P$6:$P$405=1)*('Istoric_Nativ'!$D$6:$D$405&lt;INT(G49))*((('Istoric_Nativ'!$E$6:$E$405='Input_Meci'!D49)+('Istoric_Nativ'!$F$6:$F$405='Input_Meci'!D49)+('Istoric_Nativ'!$E$6:$E$405='Input_Meci'!E49)+('Istoric_Nativ'!$F$6:$F$405='Input_Meci'!E49))&gt;0)*'Istoric_Nativ'!$Q$6:$Q$405)/AR49)</x:f>
      </x:c>
      <x:c r="AT49" s="11" t="str">
        <x:f>IF(AR49&lt;2,"",MAX(0,(SUMPRODUCT(('Istoric_Nativ'!$B$6:$B$405=B49)*('Istoric_Nativ'!$C$6:$C$405=BL49)*('Istoric_Nativ'!$P$6:$P$405=1)*('Istoric_Nativ'!$D$6:$D$405&lt;INT(G49))*((('Istoric_Nativ'!$E$6:$E$405='Input_Meci'!D49)+('Istoric_Nativ'!$F$6:$F$405='Input_Meci'!D49)+('Istoric_Nativ'!$E$6:$E$405='Input_Meci'!E49)+('Istoric_Nativ'!$F$6:$F$405='Input_Meci'!E49))&gt;0)*'Istoric_Nativ'!$R$6:$R$405)-AR49*AS49^2)/(AR49-1)))</x:f>
      </x:c>
      <x:c r="AU49" s="11" t="str">
        <x:f>IF(I49&lt;&gt;"PASS","",AT49/AS49)</x:f>
      </x:c>
      <x:c r="AV49" s="11" t="str">
        <x:f>IF(I49&lt;&gt;"PASS","",IF(AU49&lt;='Config_v6'!$B$10,"POISSON","NEGATIVE BINOMIAL"))</x:f>
      </x:c>
      <x:c r="AW49" s="11" t="str">
        <x:f>IF(I49&lt;&gt;"PASS","",IF(AV49="POISSON",9999,AS49/(AU49-1)))</x:f>
      </x:c>
      <x:c r="AX49" s="11" t="str">
        <x:f>IF(A49="","",MAX(1-'Config_v6'!$B$20,MIN(1+'Config_v6'!$B$20,1+0.02*(IF(AND(ISNUMBER('Input_Meci'!N49),'Input_Meci'!N49&gt;=0,'Input_Meci'!N49&lt;=200),'Input_Meci'!N49,12)/12-1)+0.02*(IF(AND(ISNUMBER('Input_Meci'!P49),'Input_Meci'!P49&gt;=0,'Input_Meci'!P49&lt;=200),'Input_Meci'!P49,3.5)/3.5-1)+0.02*(IF(AND(ISNUMBER('Input_Meci'!R49),'Input_Meci'!R49&gt;=0,'Input_Meci'!R49&lt;=200),'Input_Meci'!R49,18)/18-1)+0.02*((IF(AND(ISNUMBER('Input_Meci'!V49),'Input_Meci'!V49&gt;=0,'Input_Meci'!V49&lt;=10),'Input_Meci'!V49,5)-5)/5))))</x:f>
      </x:c>
      <x:c r="AY49" s="11" t="str">
        <x:f>IF(A49="","",MAX(1-'Config_v6'!$B$20,MIN(1+'Config_v6'!$B$20,1+0.02*(IF(AND(ISNUMBER('Input_Meci'!O49),'Input_Meci'!O49&gt;=0,'Input_Meci'!O49&lt;=200),'Input_Meci'!O49,12)/12-1)+0.02*(IF(AND(ISNUMBER('Input_Meci'!Q49),'Input_Meci'!Q49&gt;=0,'Input_Meci'!Q49&lt;=200),'Input_Meci'!Q49,3.5)/3.5-1)+0.02*(IF(AND(ISNUMBER('Input_Meci'!S49),'Input_Meci'!S49&gt;=0,'Input_Meci'!S49&lt;=200),'Input_Meci'!S49,18)/18-1)+0.02*((IF(AND(ISNUMBER('Input_Meci'!W49),'Input_Meci'!W49&gt;=0,'Input_Meci'!W49&lt;=10),'Input_Meci'!W49,5)-5)/5))))</x:f>
      </x:c>
      <x:c r="AZ49" s="11" t="str">
        <x:f>IF(A49="","",MAX(1-'Config_v6'!$B$21,MIN(1+'Config_v6'!$B$21,1+0.012*(IF('Input_Meci'!X49="",5,IF(ISNUMBER('Input_Meci'!X49),'Input_Meci'!X49,5))-5)+0.018*(IF('Input_Meci'!Z49="",5,IF(ISNUMBER('Input_Meci'!Z49),'Input_Meci'!Z49,5))-5)+0.012*(IF('Input_Meci'!AB49="",5,IF(ISNUMBER('Input_Meci'!AB49),'Input_Meci'!AB49,5))-5)+0.015*IF('Input_Meci'!AD49="",0,IF(ISNUMBER('Input_Meci'!AD49),'Input_Meci'!AD49,0))+0.02*IF('Input_Meci'!AF49="",0,IF(ISNUMBER('Input_Meci'!AF49),'Input_Meci'!AF49,0)))))</x:f>
      </x:c>
      <x:c r="BA49" s="11" t="str">
        <x:f>IF(A49="","",MAX(1-'Config_v6'!$B$21,MIN(1+'Config_v6'!$B$21,1+0.012*(IF('Input_Meci'!Y49="",5,IF(ISNUMBER('Input_Meci'!Y49),'Input_Meci'!Y49,5))-5)+0.018*(IF('Input_Meci'!AA49="",5,IF(ISNUMBER('Input_Meci'!AA49),'Input_Meci'!AA49,5))-5)+0.012*(IF('Input_Meci'!AC49="",5,IF(ISNUMBER('Input_Meci'!AC49),'Input_Meci'!AC49,5))-5)+0.015*IF('Input_Meci'!AE49="",0,IF(ISNUMBER('Input_Meci'!AE49),'Input_Meci'!AE49,0))+0.02*IF('Input_Meci'!AG49="",0,IF(ISNUMBER('Input_Meci'!AG49),'Input_Meci'!AG49,0)))))</x:f>
      </x:c>
      <x:c r="BB49" s="11" t="str">
        <x:f>IF(I49&lt;&gt;"PASS","",(AVERAGE(AF49,AM49)*'Config_v6'!$B$4+AVERAGE(AH49,AO49)*'Config_v6'!$B$5+AVERAGE(AJ49,AQ49)*'Config_v6'!$B$6)*AX49*AZ49)</x:f>
      </x:c>
      <x:c r="BC49" s="11" t="str">
        <x:f>IF(I49&lt;&gt;"PASS","",(AVERAGE(AL49,AG49)*'Config_v6'!$B$4+AVERAGE(AN49,AI49)*'Config_v6'!$B$5+AVERAGE(AP49,AK49)*'Config_v6'!$B$6)*AY49*BA49)</x:f>
      </x:c>
      <x:c r="BD49" s="11" t="str">
        <x:f>IF(I49&lt;&gt;"PASS","",BB49+BC49)</x:f>
      </x:c>
      <x:c r="BE49" s="11" t="str">
        <x:f>IF(A49="","",10-SUM(IF(AND(ISNUMBER('Input_Meci'!N49),'Input_Meci'!N49&gt;=0,'Input_Meci'!N49&lt;=200),1,0),IF(AND(ISNUMBER('Input_Meci'!O49),'Input_Meci'!O49&gt;=0,'Input_Meci'!O49&lt;=200),1,0),IF(AND(ISNUMBER('Input_Meci'!P49),'Input_Meci'!P49&gt;=0,'Input_Meci'!P49&lt;=200),1,0),IF(AND(ISNUMBER('Input_Meci'!Q49),'Input_Meci'!Q49&gt;=0,'Input_Meci'!Q49&lt;=200),1,0),IF(AND(ISNUMBER('Input_Meci'!R49),'Input_Meci'!R49&gt;=0,'Input_Meci'!R49&lt;=200),1,0),IF(AND(ISNUMBER('Input_Meci'!S49),'Input_Meci'!S49&gt;=0,'Input_Meci'!S49&lt;=200),1,0),IF(AND(ISNUMBER('Input_Meci'!T49),'Input_Meci'!T49&gt;=0,'Input_Meci'!T49&lt;=100),1,0),IF(AND(ISNUMBER('Input_Meci'!U49),'Input_Meci'!U49&gt;=0,'Input_Meci'!U49&lt;=100),1,0),IF(AND(ISNUMBER('Input_Meci'!V49),'Input_Meci'!V49&gt;=0,'Input_Meci'!V49&lt;=10),1,0),IF(AND(ISNUMBER('Input_Meci'!W49),'Input_Meci'!W49&gt;=0,'Input_Meci'!W49&lt;=10),1,0)))</x:f>
      </x:c>
      <x:c r="BF49" s="11" t="str">
        <x:f>IF(I49&lt;&gt;"PASS","",MAX(0,MIN(IF(OR(M49="YES",BL49&lt;&gt;C49),'Config_v6'!$B$34,100),ROUND(40+25*MIN(1,MIN(N49,Q49)/'Config_v6'!$B$7)*MIN(1,MIN(O49,R49)/'Config_v6'!$B$8)*MIN(1,MIN(P49,S49)/'Config_v6'!$B$9)+MAX(0,15-2*ABS(AF49-AJ49)-2*ABS(AL49-AP49))+IF(AU49&lt;='Config_v6'!$B$10,15,IF(AU49&lt;='Config_v6'!$B$11,13,IF(AU49&lt;='Config_v6'!$B$12,10,IF(AU49&lt;='Config_v6'!$B$13,6,0))))+5-BE49/10*'Config_v6'!$B$38,0))))</x:f>
      </x:c>
      <x:c r="BG49" s="11" t="str">
        <x:f>IF(I49&lt;&gt;"PASS","",MIN(1,'Config_v6'!$B$14*(0.7+0.3*MIN(1,AR49/'Config_v6'!$B$15))*IF(AU49&lt;='Config_v6'!$B$10,1,IF(AU49&lt;='Config_v6'!$B$11,0.95,IF(AU49&lt;='Config_v6'!$B$12,0.88,0.78)))*(0.75+0.25*BF49/100)))</x:f>
      </x:c>
      <x:c r="BH49" s="11" t="str">
        <x:f>IF(I49&lt;&gt;"PASS","",MIN(1,(ABS(AZ49-1)+ABS(BA49-1))*3))</x:f>
      </x:c>
      <x:c r="BI49" s="2" t="str">
        <x:f>IF(A49="","",IF(AND(OR('Input_Meci'!X49="",AND(ISNUMBER('Input_Meci'!X49),'Input_Meci'!X49&gt;=0,'Input_Meci'!X49&lt;=10)),OR('Input_Meci'!Y49="",AND(ISNUMBER('Input_Meci'!Y49),'Input_Meci'!Y49&gt;=0,'Input_Meci'!Y49&lt;=10)),OR('Input_Meci'!Z49="",AND(ISNUMBER('Input_Meci'!Z49),'Input_Meci'!Z49&gt;=0,'Input_Meci'!Z49&lt;=10)),OR('Input_Meci'!AA49="",AND(ISNUMBER('Input_Meci'!AA49),'Input_Meci'!AA49&gt;=0,'Input_Meci'!AA49&lt;=10)),OR('Input_Meci'!AB49="",AND(ISNUMBER('Input_Meci'!AB49),'Input_Meci'!AB49&gt;=0,'Input_Meci'!AB49&lt;=10)),OR('Input_Meci'!AC49="",AND(ISNUMBER('Input_Meci'!AC49),'Input_Meci'!AC49&gt;=0,'Input_Meci'!AC49&lt;=10)),OR('Input_Meci'!AD49="",AND(ISNUMBER('Input_Meci'!AD49),'Input_Meci'!AD49&gt;=-2,'Input_Meci'!AD49&lt;=2)),OR('Input_Meci'!AE49="",AND(ISNUMBER('Input_Meci'!AE49),'Input_Meci'!AE49&gt;=-2,'Input_Meci'!AE49&lt;=2)),OR('Input_Meci'!AF49="",AND(ISNUMBER('Input_Meci'!AF49),'Input_Meci'!AF49&gt;=-2,'Input_Meci'!AF49&lt;=2)),OR('Input_Meci'!AG49="",AND(ISNUMBER('Input_Meci'!AG49),'Input_Meci'!AG49&gt;=-2,'Input_Meci'!AG49&lt;=2))),"VALID","INVALID"))</x:f>
      </x:c>
      <x:c r="BJ49" s="2" t="n">
        <x:f>IF(A49="",0,SUM('Core_Nativ'!S522:S527))</x:f>
        <x:v>0</x:v>
      </x:c>
      <x:c r="BK49" s="2" t="str">
        <x:f>'Config_v6'!$B$40</x:f>
        <x:v>VALID</x:v>
      </x:c>
      <x:c r="BL49" s="2" t="str">
        <x:f>IF(A49="","",IF(SUMPRODUCT(('Istoric_Nativ'!$B$6:$B$405=B49)*('Istoric_Nativ'!$C$6:$C$405=C49)*('Istoric_Nativ'!$P$6:$P$405=1)*('Istoric_Nativ'!$D$6:$D$405&lt;INT(G49))*((('Istoric_Nativ'!$E$6:$E$405='Input_Meci'!D49)+('Istoric_Nativ'!$F$6:$F$405='Input_Meci'!D49)+('Istoric_Nativ'!$E$6:$E$405='Input_Meci'!E49)+('Istoric_Nativ'!$F$6:$F$405='Input_Meci'!E49))&gt;0))&gt;='Config_v6'!$B$41,C49,IF(AND('Input_Meci'!L49="YES",'Input_Meci'!K49&lt;&gt;"",'Input_Meci'!K49&lt;C49,COUNTIF('Core_Nativ'!R528:R533,"CLOSED")=6,SUM('Core_Nativ'!S528:S533)=0),'Input_Meci'!K49,C49)))</x:f>
      </x:c>
      <x:c r="BM49" s="9" t="n">
        <x:f>IF(OR(A49="",N49=0),0,LARGE(_xlfn._xlws.FILTER('Istoric_Nativ'!$D$6:$D$405,('Istoric_Nativ'!$B$6:$B$405=B49)*('Istoric_Nativ'!$C$6:$C$405=C49)*('Istoric_Nativ'!$P$6:$P$405=1)*('Istoric_Nativ'!$D$6:$D$405&lt;INT(G49))*((('Istoric_Nativ'!$E$6:$E$405='Input_Meci'!D49)+('Istoric_Nativ'!$F$6:$F$405='Input_Meci'!D49))&gt;0)),MIN(10,N49)))</x:f>
        <x:v>0</x:v>
      </x:c>
      <x:c r="BN49" s="9" t="n">
        <x:f>IF(OR(A49="",Q49=0),0,LARGE(_xlfn._xlws.FILTER('Istoric_Nativ'!$D$6:$D$405,('Istoric_Nativ'!$B$6:$B$405=B49)*('Istoric_Nativ'!$C$6:$C$405=C49)*('Istoric_Nativ'!$P$6:$P$405=1)*('Istoric_Nativ'!$D$6:$D$405&lt;INT(G49))*((('Istoric_Nativ'!$E$6:$E$405='Input_Meci'!E49)+('Istoric_Nativ'!$F$6:$F$405='Input_Meci'!E49))&gt;0)),MIN(10,Q49)))</x:f>
        <x:v>0</x:v>
      </x:c>
      <x:c r="BO49" s="9" t="n">
        <x:f>IF(OR(A49="",N49=0),0,LARGE(_xlfn._xlws.FILTER('Istoric_Nativ'!$D$6:$D$405,('Istoric_Nativ'!$B$6:$B$405=B49)*('Istoric_Nativ'!$C$6:$C$405=C49)*('Istoric_Nativ'!$P$6:$P$405=1)*('Istoric_Nativ'!$D$6:$D$405&lt;INT(G49))*((('Istoric_Nativ'!$E$6:$E$405='Input_Meci'!D49)+('Istoric_Nativ'!$F$6:$F$405='Input_Meci'!D49))&gt;0)),MIN(20,N49)))</x:f>
        <x:v>0</x:v>
      </x:c>
      <x:c r="BP49" s="9" t="n">
        <x:f>IF(OR(A49="",Q49=0),0,LARGE(_xlfn._xlws.FILTER('Istoric_Nativ'!$D$6:$D$405,('Istoric_Nativ'!$B$6:$B$405=B49)*('Istoric_Nativ'!$C$6:$C$405=C49)*('Istoric_Nativ'!$P$6:$P$405=1)*('Istoric_Nativ'!$D$6:$D$405&lt;INT(G49))*((('Istoric_Nativ'!$E$6:$E$405='Input_Meci'!E49)+('Istoric_Nativ'!$F$6:$F$405='Input_Meci'!E49))&gt;0)),MIN(20,Q49)))</x:f>
        <x:v>0</x:v>
      </x:c>
      <x:c r="BQ49" s="2" t="str">
        <x:f>IF(A49="","",IF(AND(COUNTIF(MatchesTable[Match_ID],A49)=1,COUNTIFS(MatchesTable[League],B49,MatchesTable[Season],C49,MatchesTable[Home],'Input_Meci'!D49,MatchesTable[Away],'Input_Meci'!E49,MatchesTable[Kickoff_UTC],F49)=1,B49&lt;&gt;"",C49&lt;&gt;"",'Input_Meci'!D49&lt;&gt;"",'Input_Meci'!E49&lt;&gt;"",'Input_Meci'!D49&lt;&gt;'Input_Meci'!E49,ISNUMBER(F49),ISNUMBER(G49),G49&lt;F49,OR(E49="LIVE",E49="REPLAY"),OR('Input_Meci'!L49="YES",'Input_Meci'!L49="NO",'Input_Meci'!L49="")),"VALID","INVALID"))</x:f>
      </x:c>
      <x:c r="BR49" s="2" t="n">
        <x:f>IF(I49&lt;&gt;"PASS",0,SUMPRODUCT(('Istoric_Nativ'!$B$6:$B$405='Input_Meci'!B49)*('Istoric_Nativ'!$C$6:$C$405='Input_Meci'!C49)*('Istoric_Nativ'!$P$6:$P$405=1)*('Istoric_Nativ'!$D$6:$D$405&lt;INT('Input_Meci'!G49))*((('Istoric_Nativ'!$E$6:$E$405='Input_Meci'!D49)+('Istoric_Nativ'!$F$6:$F$405='Input_Meci'!E49))&gt;0)))</x:f>
        <x:v>0</x:v>
      </x:c>
      <x:c r="BS49" s="2" t="n">
        <x:f>IF(I49&lt;&gt;"PASS",0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BM49)+((('Istoric_Nativ'!$E$6:$E$405='Input_Meci'!E49)+('Istoric_Nativ'!$F$6:$F$405='Input_Meci'!E49))&gt;0)*('Istoric_Nativ'!$D$6:$D$405&gt;=BN49))&gt;0)))</x:f>
        <x:v>0</x:v>
      </x:c>
      <x:c r="BT49" s="2" t="n">
        <x:f>IF(I49&lt;&gt;"PASS",0,SUMPRODUCT(('Istoric_Nativ'!$B$6:$B$405='Input_Meci'!B49)*('Istoric_Nativ'!$C$6:$C$405='Input_Meci'!C49)*('Istoric_Nativ'!$P$6:$P$405=1)*('Istoric_Nativ'!$D$6:$D$405&lt;INT('Input_Meci'!G49))*((((('Istoric_Nativ'!$E$6:$E$405='Input_Meci'!D49)+('Istoric_Nativ'!$F$6:$F$405='Input_Meci'!D49))&gt;0)*('Istoric_Nativ'!$D$6:$D$405&gt;=BO49)+((('Istoric_Nativ'!$E$6:$E$405='Input_Meci'!E49)+('Istoric_Nativ'!$F$6:$F$405='Input_Meci'!E49))&gt;0)*('Istoric_Nativ'!$D$6:$D$405&gt;=BP49))&gt;0)))</x:f>
        <x:v>0</x:v>
      </x:c>
    </x:row>
    <x:row r="50" ht="21" customHeight="1">
      <x:c r="A50" s="2" t="str">
        <x:f>IF('Input_Meci'!A50="","",'Input_Meci'!A50)</x:f>
      </x:c>
      <x:c r="B50" s="2" t="str">
        <x:f>IF(A50="","",'Input_Meci'!B50)</x:f>
      </x:c>
      <x:c r="C50" s="2" t="str">
        <x:f>IF(A50="","",'Input_Meci'!C50)</x:f>
      </x:c>
      <x:c r="D50" s="2" t="str">
        <x:f>IF(A50="","",'Input_Meci'!D50&amp;" – "&amp;'Input_Meci'!E50)</x:f>
      </x:c>
      <x:c r="E50" s="2" t="str">
        <x:f>IF(A50="","",'Input_Meci'!H50)</x:f>
      </x:c>
      <x:c r="F50" s="9" t="str">
        <x:f>IF(A50="","",'Input_Meci'!F50)</x:f>
      </x:c>
      <x:c r="G50" s="9" t="str">
        <x:f>IF(A50="","",'Input_Meci'!G50)</x:f>
      </x:c>
      <x:c r="H50" s="2" t="str">
        <x:f>IF(A50="","",IF(BQ50&lt;&gt;"VALID","NOT RELEASED",IF(AND(OR('Input_Meci'!I50="NOT AVAILABLE",'Input_Meci'!I50="SOURCE CONFLICT"),'Input_Meci'!J50&lt;&gt;""),"READY",IF(OR(NOT(OR('Input_Meci'!I50="AUTO",'Input_Meci'!I50="")),COUNTIF('Core_Nativ'!R534:R539,"CLOSED")&lt;&gt;6,BJ50&gt;0),"NOT RELEASED","READY"))))</x:f>
      </x:c>
      <x:c r="I50" s="2" t="str">
        <x:f>IF(A50="","",IF(H50&lt;&gt;"READY","NOT RELEASED",IF(AND(NOT(OR('Input_Meci'!I50="NOT AVAILABLE",'Input_Meci'!I50="SOURCE CONFLICT")),L50=12,AR50&gt;=2,AS50&gt;0,ISNUMBER(AT50),BI50="VALID",BK50="VALID"),"PASS","FAIL")))</x:f>
      </x:c>
      <x:c r="J50" s="2" t="str">
        <x:f>IF(A50="","",IF(BQ50&lt;&gt;"VALID","Verifica ID, echipe, mod si cutoff &lt; kickoff",IF(H50&lt;&gt;"READY",IF('Input_Meci'!I50="ACCESS BLOCKED","Acces blocat: reia sursele",IF(BJ50&gt;0,"Istoric invalid sau conflict: verifica randurile native","Surse neinchise / post-cutoff / dovezi incomplete")),IF(OR('Input_Meci'!I50="NOT AVAILABLE",'Input_Meci'!I50="SOURCE CONFLICT"),'Input_Meci'!I50,IF(BK50&lt;&gt;"VALID","Parametri invalizi",IF(L50&lt;&gt;12,"Core / sample / prior insuficient",IF(AR50&lt;2,"N insuficient pentru dispersie",IF(AS50&lt;=0,"Media istorica trebuie sa fie pozitiva",IF(BI50&lt;&gt;"VALID","Context invalid","READY")))))))))</x:f>
      </x:c>
      <x:c r="K50" s="2" t="str">
        <x:f>IF(A50="","",COUNT(T50:AE50))</x:f>
      </x:c>
      <x:c r="L50" s="2" t="str">
        <x:f>IF(A50="","",COUNT(AF50:AQ50))</x:f>
      </x:c>
      <x:c r="M50" s="2" t="str">
        <x:f>IF(A50="","",IF(OR('Core_Nativ'!M534&lt;'Core_Nativ'!P534,'Core_Nativ'!M535&lt;'Core_Nativ'!P535,'Core_Nativ'!M536&lt;'Core_Nativ'!P536,'Core_Nativ'!M537&lt;'Core_Nativ'!P537,'Core_Nativ'!M538&lt;'Core_Nativ'!P538,'Core_Nativ'!M539&lt;'Core_Nativ'!P539),"YES","NO"))</x:f>
      </x:c>
      <x:c r="N50" s="2" t="str">
        <x:f>IF(A50="","",'Core_Nativ'!M534)</x:f>
      </x:c>
      <x:c r="O50" s="2" t="str">
        <x:f>IF(A50="","",'Core_Nativ'!M535)</x:f>
      </x:c>
      <x:c r="P50" s="2" t="str">
        <x:f>IF(A50="","",'Core_Nativ'!M536)</x:f>
      </x:c>
      <x:c r="Q50" s="2" t="str">
        <x:f>IF(A50="","",'Core_Nativ'!M537)</x:f>
      </x:c>
      <x:c r="R50" s="2" t="str">
        <x:f>IF(A50="","",'Core_Nativ'!M538)</x:f>
      </x:c>
      <x:c r="S50" s="2" t="str">
        <x:f>IF(A50="","",'Core_Nativ'!M539)</x:f>
      </x:c>
      <x:c r="T50" s="11" t="str">
        <x:f>IF(OR(A50="",'Core_Nativ'!M534=0),"",'Core_Nativ'!N534)</x:f>
      </x:c>
      <x:c r="U50" s="11" t="str">
        <x:f>IF(OR(A50="",'Core_Nativ'!M534=0),"",'Core_Nativ'!O534)</x:f>
      </x:c>
      <x:c r="V50" s="11" t="str">
        <x:f>IF(OR(A50="",'Core_Nativ'!M535=0),"",'Core_Nativ'!N535)</x:f>
      </x:c>
      <x:c r="W50" s="11" t="str">
        <x:f>IF(OR(A50="",'Core_Nativ'!M535=0),"",'Core_Nativ'!O535)</x:f>
      </x:c>
      <x:c r="X50" s="11" t="str">
        <x:f>IF(OR(A50="",'Core_Nativ'!M536=0),"",'Core_Nativ'!N536)</x:f>
      </x:c>
      <x:c r="Y50" s="11" t="str">
        <x:f>IF(OR(A50="",'Core_Nativ'!M536=0),"",'Core_Nativ'!O536)</x:f>
      </x:c>
      <x:c r="Z50" s="11" t="str">
        <x:f>IF(OR(A50="",'Core_Nativ'!M537=0),"",'Core_Nativ'!N537)</x:f>
      </x:c>
      <x:c r="AA50" s="11" t="str">
        <x:f>IF(OR(A50="",'Core_Nativ'!M537=0),"",'Core_Nativ'!O537)</x:f>
      </x:c>
      <x:c r="AB50" s="11" t="str">
        <x:f>IF(OR(A50="",'Core_Nativ'!M538=0),"",'Core_Nativ'!N538)</x:f>
      </x:c>
      <x:c r="AC50" s="11" t="str">
        <x:f>IF(OR(A50="",'Core_Nativ'!M538=0),"",'Core_Nativ'!O538)</x:f>
      </x:c>
      <x:c r="AD50" s="11" t="str">
        <x:f>IF(OR(A50="",'Core_Nativ'!M539=0),"",'Core_Nativ'!N539)</x:f>
      </x:c>
      <x:c r="AE50" s="11" t="str">
        <x:f>IF(OR(A50="",'Core_Nativ'!M539=0),"",'Core_Nativ'!O539)</x:f>
      </x:c>
      <x:c r="AF50" s="11" t="str">
        <x:f>IF(A50="","",IF(AND('Core_Nativ'!R534="CLOSED",'Core_Nativ'!S534=0),IF('Core_Nativ'!M534&gt;='Core_Nativ'!P534,'Core_Nativ'!N534,IF(AND('Input_Meci'!L50="YES",'Input_Meci'!K50&lt;&gt;"",'Input_Meci'!K50&lt;C50,'Core_Nativ'!T540="DERIVED",'Core_Nativ'!M540&gt;='Core_Nativ'!P534),MIN(1,'Core_Nativ'!M534/'Core_Nativ'!P534)*IF('Core_Nativ'!M534=0,0,'Core_Nativ'!N534)+(1-MIN(1,'Core_Nativ'!M534/'Core_Nativ'!P534))*'Core_Nativ'!N540,"")),""))</x:f>
      </x:c>
      <x:c r="AG50" s="11" t="str">
        <x:f>IF(A50="","",IF(AND('Core_Nativ'!R534="CLOSED",'Core_Nativ'!S534=0),IF('Core_Nativ'!M534&gt;='Core_Nativ'!P534,'Core_Nativ'!O534,IF(AND('Input_Meci'!L50="YES",'Input_Meci'!K50&lt;&gt;"",'Input_Meci'!K50&lt;C50,'Core_Nativ'!T540="DERIVED",'Core_Nativ'!M540&gt;='Core_Nativ'!P534),MIN(1,'Core_Nativ'!M534/'Core_Nativ'!P534)*IF('Core_Nativ'!M534=0,0,'Core_Nativ'!O534)+(1-MIN(1,'Core_Nativ'!M534/'Core_Nativ'!P534))*'Core_Nativ'!O540,"")),""))</x:f>
      </x:c>
      <x:c r="AH50" s="11" t="str">
        <x:f>IF(A50="","",IF(AND('Core_Nativ'!R535="CLOSED",'Core_Nativ'!S535=0),IF('Core_Nativ'!M535&gt;='Core_Nativ'!P535,'Core_Nativ'!N535,IF(AND('Input_Meci'!L50="YES",'Input_Meci'!K50&lt;&gt;"",'Input_Meci'!K50&lt;C50,'Core_Nativ'!T541="DERIVED",'Core_Nativ'!M541&gt;='Core_Nativ'!P535),MIN(1,'Core_Nativ'!M535/'Core_Nativ'!P535)*IF('Core_Nativ'!M535=0,0,'Core_Nativ'!N535)+(1-MIN(1,'Core_Nativ'!M535/'Core_Nativ'!P535))*'Core_Nativ'!N541,"")),""))</x:f>
      </x:c>
      <x:c r="AI50" s="11" t="str">
        <x:f>IF(A50="","",IF(AND('Core_Nativ'!R535="CLOSED",'Core_Nativ'!S535=0),IF('Core_Nativ'!M535&gt;='Core_Nativ'!P535,'Core_Nativ'!O535,IF(AND('Input_Meci'!L50="YES",'Input_Meci'!K50&lt;&gt;"",'Input_Meci'!K50&lt;C50,'Core_Nativ'!T541="DERIVED",'Core_Nativ'!M541&gt;='Core_Nativ'!P535),MIN(1,'Core_Nativ'!M535/'Core_Nativ'!P535)*IF('Core_Nativ'!M535=0,0,'Core_Nativ'!O535)+(1-MIN(1,'Core_Nativ'!M535/'Core_Nativ'!P535))*'Core_Nativ'!O541,"")),""))</x:f>
      </x:c>
      <x:c r="AJ50" s="11" t="str">
        <x:f>IF(A50="","",IF(AND('Core_Nativ'!R536="CLOSED",'Core_Nativ'!S536=0),IF('Core_Nativ'!M536&gt;='Core_Nativ'!P536,'Core_Nativ'!N536,IF(AND('Input_Meci'!L50="YES",'Input_Meci'!K50&lt;&gt;"",'Input_Meci'!K50&lt;C50,'Core_Nativ'!T542="DERIVED",'Core_Nativ'!M542&gt;='Core_Nativ'!P536),MIN(1,'Core_Nativ'!M536/'Core_Nativ'!P536)*IF('Core_Nativ'!M536=0,0,'Core_Nativ'!N536)+(1-MIN(1,'Core_Nativ'!M536/'Core_Nativ'!P536))*'Core_Nativ'!N542,"")),""))</x:f>
      </x:c>
      <x:c r="AK50" s="11" t="str">
        <x:f>IF(A50="","",IF(AND('Core_Nativ'!R536="CLOSED",'Core_Nativ'!S536=0),IF('Core_Nativ'!M536&gt;='Core_Nativ'!P536,'Core_Nativ'!O536,IF(AND('Input_Meci'!L50="YES",'Input_Meci'!K50&lt;&gt;"",'Input_Meci'!K50&lt;C50,'Core_Nativ'!T542="DERIVED",'Core_Nativ'!M542&gt;='Core_Nativ'!P536),MIN(1,'Core_Nativ'!M536/'Core_Nativ'!P536)*IF('Core_Nativ'!M536=0,0,'Core_Nativ'!O536)+(1-MIN(1,'Core_Nativ'!M536/'Core_Nativ'!P536))*'Core_Nativ'!O542,"")),""))</x:f>
      </x:c>
      <x:c r="AL50" s="11" t="str">
        <x:f>IF(A50="","",IF(AND('Core_Nativ'!R537="CLOSED",'Core_Nativ'!S537=0),IF('Core_Nativ'!M537&gt;='Core_Nativ'!P537,'Core_Nativ'!N537,IF(AND('Input_Meci'!L50="YES",'Input_Meci'!K50&lt;&gt;"",'Input_Meci'!K50&lt;C50,'Core_Nativ'!T543="DERIVED",'Core_Nativ'!M543&gt;='Core_Nativ'!P537),MIN(1,'Core_Nativ'!M537/'Core_Nativ'!P537)*IF('Core_Nativ'!M537=0,0,'Core_Nativ'!N537)+(1-MIN(1,'Core_Nativ'!M537/'Core_Nativ'!P537))*'Core_Nativ'!N543,"")),""))</x:f>
      </x:c>
      <x:c r="AM50" s="11" t="str">
        <x:f>IF(A50="","",IF(AND('Core_Nativ'!R537="CLOSED",'Core_Nativ'!S537=0),IF('Core_Nativ'!M537&gt;='Core_Nativ'!P537,'Core_Nativ'!O537,IF(AND('Input_Meci'!L50="YES",'Input_Meci'!K50&lt;&gt;"",'Input_Meci'!K50&lt;C50,'Core_Nativ'!T543="DERIVED",'Core_Nativ'!M543&gt;='Core_Nativ'!P537),MIN(1,'Core_Nativ'!M537/'Core_Nativ'!P537)*IF('Core_Nativ'!M537=0,0,'Core_Nativ'!O537)+(1-MIN(1,'Core_Nativ'!M537/'Core_Nativ'!P537))*'Core_Nativ'!O543,"")),""))</x:f>
      </x:c>
      <x:c r="AN50" s="11" t="str">
        <x:f>IF(A50="","",IF(AND('Core_Nativ'!R538="CLOSED",'Core_Nativ'!S538=0),IF('Core_Nativ'!M538&gt;='Core_Nativ'!P538,'Core_Nativ'!N538,IF(AND('Input_Meci'!L50="YES",'Input_Meci'!K50&lt;&gt;"",'Input_Meci'!K50&lt;C50,'Core_Nativ'!T544="DERIVED",'Core_Nativ'!M544&gt;='Core_Nativ'!P538),MIN(1,'Core_Nativ'!M538/'Core_Nativ'!P538)*IF('Core_Nativ'!M538=0,0,'Core_Nativ'!N538)+(1-MIN(1,'Core_Nativ'!M538/'Core_Nativ'!P538))*'Core_Nativ'!N544,"")),""))</x:f>
      </x:c>
      <x:c r="AO50" s="11" t="str">
        <x:f>IF(A50="","",IF(AND('Core_Nativ'!R538="CLOSED",'Core_Nativ'!S538=0),IF('Core_Nativ'!M538&gt;='Core_Nativ'!P538,'Core_Nativ'!O538,IF(AND('Input_Meci'!L50="YES",'Input_Meci'!K50&lt;&gt;"",'Input_Meci'!K50&lt;C50,'Core_Nativ'!T544="DERIVED",'Core_Nativ'!M544&gt;='Core_Nativ'!P538),MIN(1,'Core_Nativ'!M538/'Core_Nativ'!P538)*IF('Core_Nativ'!M538=0,0,'Core_Nativ'!O538)+(1-MIN(1,'Core_Nativ'!M538/'Core_Nativ'!P538))*'Core_Nativ'!O544,"")),""))</x:f>
      </x:c>
      <x:c r="AP50" s="11" t="str">
        <x:f>IF(A50="","",IF(AND('Core_Nativ'!R539="CLOSED",'Core_Nativ'!S539=0),IF('Core_Nativ'!M539&gt;='Core_Nativ'!P539,'Core_Nativ'!N539,IF(AND('Input_Meci'!L50="YES",'Input_Meci'!K50&lt;&gt;"",'Input_Meci'!K50&lt;C50,'Core_Nativ'!T545="DERIVED",'Core_Nativ'!M545&gt;='Core_Nativ'!P539),MIN(1,'Core_Nativ'!M539/'Core_Nativ'!P539)*IF('Core_Nativ'!M539=0,0,'Core_Nativ'!N539)+(1-MIN(1,'Core_Nativ'!M539/'Core_Nativ'!P539))*'Core_Nativ'!N545,"")),""))</x:f>
      </x:c>
      <x:c r="AQ50" s="11" t="str">
        <x:f>IF(A50="","",IF(AND('Core_Nativ'!R539="CLOSED",'Core_Nativ'!S539=0),IF('Core_Nativ'!M539&gt;='Core_Nativ'!P539,'Core_Nativ'!O539,IF(AND('Input_Meci'!L50="YES",'Input_Meci'!K50&lt;&gt;"",'Input_Meci'!K50&lt;C50,'Core_Nativ'!T545="DERIVED",'Core_Nativ'!M545&gt;='Core_Nativ'!P539),MIN(1,'Core_Nativ'!M539/'Core_Nativ'!P539)*IF('Core_Nativ'!M539=0,0,'Core_Nativ'!O539)+(1-MIN(1,'Core_Nativ'!M539/'Core_Nativ'!P539))*'Core_Nativ'!O545,"")),""))</x:f>
      </x:c>
      <x:c r="AR50" s="11" t="str">
        <x:f>IF(A50="","",SUMPRODUCT(('Istoric_Nativ'!$B$6:$B$405=B50)*('Istoric_Nativ'!$C$6:$C$405=BL50)*('Istoric_Nativ'!$P$6:$P$405=1)*('Istoric_Nativ'!$D$6:$D$405&lt;INT(G50))*((('Istoric_Nativ'!$E$6:$E$405='Input_Meci'!D50)+('Istoric_Nativ'!$F$6:$F$405='Input_Meci'!D50)+('Istoric_Nativ'!$E$6:$E$405='Input_Meci'!E50)+('Istoric_Nativ'!$F$6:$F$405='Input_Meci'!E50))&gt;0)))</x:f>
      </x:c>
      <x:c r="AS50" s="11" t="str">
        <x:f>IF(AR50=0,"",SUMPRODUCT(('Istoric_Nativ'!$B$6:$B$405=B50)*('Istoric_Nativ'!$C$6:$C$405=BL50)*('Istoric_Nativ'!$P$6:$P$405=1)*('Istoric_Nativ'!$D$6:$D$405&lt;INT(G50))*((('Istoric_Nativ'!$E$6:$E$405='Input_Meci'!D50)+('Istoric_Nativ'!$F$6:$F$405='Input_Meci'!D50)+('Istoric_Nativ'!$E$6:$E$405='Input_Meci'!E50)+('Istoric_Nativ'!$F$6:$F$405='Input_Meci'!E50))&gt;0)*'Istoric_Nativ'!$Q$6:$Q$405)/AR50)</x:f>
      </x:c>
      <x:c r="AT50" s="11" t="str">
        <x:f>IF(AR50&lt;2,"",MAX(0,(SUMPRODUCT(('Istoric_Nativ'!$B$6:$B$405=B50)*('Istoric_Nativ'!$C$6:$C$405=BL50)*('Istoric_Nativ'!$P$6:$P$405=1)*('Istoric_Nativ'!$D$6:$D$405&lt;INT(G50))*((('Istoric_Nativ'!$E$6:$E$405='Input_Meci'!D50)+('Istoric_Nativ'!$F$6:$F$405='Input_Meci'!D50)+('Istoric_Nativ'!$E$6:$E$405='Input_Meci'!E50)+('Istoric_Nativ'!$F$6:$F$405='Input_Meci'!E50))&gt;0)*'Istoric_Nativ'!$R$6:$R$405)-AR50*AS50^2)/(AR50-1)))</x:f>
      </x:c>
      <x:c r="AU50" s="11" t="str">
        <x:f>IF(I50&lt;&gt;"PASS","",AT50/AS50)</x:f>
      </x:c>
      <x:c r="AV50" s="11" t="str">
        <x:f>IF(I50&lt;&gt;"PASS","",IF(AU50&lt;='Config_v6'!$B$10,"POISSON","NEGATIVE BINOMIAL"))</x:f>
      </x:c>
      <x:c r="AW50" s="11" t="str">
        <x:f>IF(I50&lt;&gt;"PASS","",IF(AV50="POISSON",9999,AS50/(AU50-1)))</x:f>
      </x:c>
      <x:c r="AX50" s="11" t="str">
        <x:f>IF(A50="","",MAX(1-'Config_v6'!$B$20,MIN(1+'Config_v6'!$B$20,1+0.02*(IF(AND(ISNUMBER('Input_Meci'!N50),'Input_Meci'!N50&gt;=0,'Input_Meci'!N50&lt;=200),'Input_Meci'!N50,12)/12-1)+0.02*(IF(AND(ISNUMBER('Input_Meci'!P50),'Input_Meci'!P50&gt;=0,'Input_Meci'!P50&lt;=200),'Input_Meci'!P50,3.5)/3.5-1)+0.02*(IF(AND(ISNUMBER('Input_Meci'!R50),'Input_Meci'!R50&gt;=0,'Input_Meci'!R50&lt;=200),'Input_Meci'!R50,18)/18-1)+0.02*((IF(AND(ISNUMBER('Input_Meci'!V50),'Input_Meci'!V50&gt;=0,'Input_Meci'!V50&lt;=10),'Input_Meci'!V50,5)-5)/5))))</x:f>
      </x:c>
      <x:c r="AY50" s="11" t="str">
        <x:f>IF(A50="","",MAX(1-'Config_v6'!$B$20,MIN(1+'Config_v6'!$B$20,1+0.02*(IF(AND(ISNUMBER('Input_Meci'!O50),'Input_Meci'!O50&gt;=0,'Input_Meci'!O50&lt;=200),'Input_Meci'!O50,12)/12-1)+0.02*(IF(AND(ISNUMBER('Input_Meci'!Q50),'Input_Meci'!Q50&gt;=0,'Input_Meci'!Q50&lt;=200),'Input_Meci'!Q50,3.5)/3.5-1)+0.02*(IF(AND(ISNUMBER('Input_Meci'!S50),'Input_Meci'!S50&gt;=0,'Input_Meci'!S50&lt;=200),'Input_Meci'!S50,18)/18-1)+0.02*((IF(AND(ISNUMBER('Input_Meci'!W50),'Input_Meci'!W50&gt;=0,'Input_Meci'!W50&lt;=10),'Input_Meci'!W50,5)-5)/5))))</x:f>
      </x:c>
      <x:c r="AZ50" s="11" t="str">
        <x:f>IF(A50="","",MAX(1-'Config_v6'!$B$21,MIN(1+'Config_v6'!$B$21,1+0.012*(IF('Input_Meci'!X50="",5,IF(ISNUMBER('Input_Meci'!X50),'Input_Meci'!X50,5))-5)+0.018*(IF('Input_Meci'!Z50="",5,IF(ISNUMBER('Input_Meci'!Z50),'Input_Meci'!Z50,5))-5)+0.012*(IF('Input_Meci'!AB50="",5,IF(ISNUMBER('Input_Meci'!AB50),'Input_Meci'!AB50,5))-5)+0.015*IF('Input_Meci'!AD50="",0,IF(ISNUMBER('Input_Meci'!AD50),'Input_Meci'!AD50,0))+0.02*IF('Input_Meci'!AF50="",0,IF(ISNUMBER('Input_Meci'!AF50),'Input_Meci'!AF50,0)))))</x:f>
      </x:c>
      <x:c r="BA50" s="11" t="str">
        <x:f>IF(A50="","",MAX(1-'Config_v6'!$B$21,MIN(1+'Config_v6'!$B$21,1+0.012*(IF('Input_Meci'!Y50="",5,IF(ISNUMBER('Input_Meci'!Y50),'Input_Meci'!Y50,5))-5)+0.018*(IF('Input_Meci'!AA50="",5,IF(ISNUMBER('Input_Meci'!AA50),'Input_Meci'!AA50,5))-5)+0.012*(IF('Input_Meci'!AC50="",5,IF(ISNUMBER('Input_Meci'!AC50),'Input_Meci'!AC50,5))-5)+0.015*IF('Input_Meci'!AE50="",0,IF(ISNUMBER('Input_Meci'!AE50),'Input_Meci'!AE50,0))+0.02*IF('Input_Meci'!AG50="",0,IF(ISNUMBER('Input_Meci'!AG50),'Input_Meci'!AG50,0)))))</x:f>
      </x:c>
      <x:c r="BB50" s="11" t="str">
        <x:f>IF(I50&lt;&gt;"PASS","",(AVERAGE(AF50,AM50)*'Config_v6'!$B$4+AVERAGE(AH50,AO50)*'Config_v6'!$B$5+AVERAGE(AJ50,AQ50)*'Config_v6'!$B$6)*AX50*AZ50)</x:f>
      </x:c>
      <x:c r="BC50" s="11" t="str">
        <x:f>IF(I50&lt;&gt;"PASS","",(AVERAGE(AL50,AG50)*'Config_v6'!$B$4+AVERAGE(AN50,AI50)*'Config_v6'!$B$5+AVERAGE(AP50,AK50)*'Config_v6'!$B$6)*AY50*BA50)</x:f>
      </x:c>
      <x:c r="BD50" s="11" t="str">
        <x:f>IF(I50&lt;&gt;"PASS","",BB50+BC50)</x:f>
      </x:c>
      <x:c r="BE50" s="11" t="str">
        <x:f>IF(A50="","",10-SUM(IF(AND(ISNUMBER('Input_Meci'!N50),'Input_Meci'!N50&gt;=0,'Input_Meci'!N50&lt;=200),1,0),IF(AND(ISNUMBER('Input_Meci'!O50),'Input_Meci'!O50&gt;=0,'Input_Meci'!O50&lt;=200),1,0),IF(AND(ISNUMBER('Input_Meci'!P50),'Input_Meci'!P50&gt;=0,'Input_Meci'!P50&lt;=200),1,0),IF(AND(ISNUMBER('Input_Meci'!Q50),'Input_Meci'!Q50&gt;=0,'Input_Meci'!Q50&lt;=200),1,0),IF(AND(ISNUMBER('Input_Meci'!R50),'Input_Meci'!R50&gt;=0,'Input_Meci'!R50&lt;=200),1,0),IF(AND(ISNUMBER('Input_Meci'!S50),'Input_Meci'!S50&gt;=0,'Input_Meci'!S50&lt;=200),1,0),IF(AND(ISNUMBER('Input_Meci'!T50),'Input_Meci'!T50&gt;=0,'Input_Meci'!T50&lt;=100),1,0),IF(AND(ISNUMBER('Input_Meci'!U50),'Input_Meci'!U50&gt;=0,'Input_Meci'!U50&lt;=100),1,0),IF(AND(ISNUMBER('Input_Meci'!V50),'Input_Meci'!V50&gt;=0,'Input_Meci'!V50&lt;=10),1,0),IF(AND(ISNUMBER('Input_Meci'!W50),'Input_Meci'!W50&gt;=0,'Input_Meci'!W50&lt;=10),1,0)))</x:f>
      </x:c>
      <x:c r="BF50" s="11" t="str">
        <x:f>IF(I50&lt;&gt;"PASS","",MAX(0,MIN(IF(OR(M50="YES",BL50&lt;&gt;C50),'Config_v6'!$B$34,100),ROUND(40+25*MIN(1,MIN(N50,Q50)/'Config_v6'!$B$7)*MIN(1,MIN(O50,R50)/'Config_v6'!$B$8)*MIN(1,MIN(P50,S50)/'Config_v6'!$B$9)+MAX(0,15-2*ABS(AF50-AJ50)-2*ABS(AL50-AP50))+IF(AU50&lt;='Config_v6'!$B$10,15,IF(AU50&lt;='Config_v6'!$B$11,13,IF(AU50&lt;='Config_v6'!$B$12,10,IF(AU50&lt;='Config_v6'!$B$13,6,0))))+5-BE50/10*'Config_v6'!$B$38,0))))</x:f>
      </x:c>
      <x:c r="BG50" s="11" t="str">
        <x:f>IF(I50&lt;&gt;"PASS","",MIN(1,'Config_v6'!$B$14*(0.7+0.3*MIN(1,AR50/'Config_v6'!$B$15))*IF(AU50&lt;='Config_v6'!$B$10,1,IF(AU50&lt;='Config_v6'!$B$11,0.95,IF(AU50&lt;='Config_v6'!$B$12,0.88,0.78)))*(0.75+0.25*BF50/100)))</x:f>
      </x:c>
      <x:c r="BH50" s="11" t="str">
        <x:f>IF(I50&lt;&gt;"PASS","",MIN(1,(ABS(AZ50-1)+ABS(BA50-1))*3))</x:f>
      </x:c>
      <x:c r="BI50" s="2" t="str">
        <x:f>IF(A50="","",IF(AND(OR('Input_Meci'!X50="",AND(ISNUMBER('Input_Meci'!X50),'Input_Meci'!X50&gt;=0,'Input_Meci'!X50&lt;=10)),OR('Input_Meci'!Y50="",AND(ISNUMBER('Input_Meci'!Y50),'Input_Meci'!Y50&gt;=0,'Input_Meci'!Y50&lt;=10)),OR('Input_Meci'!Z50="",AND(ISNUMBER('Input_Meci'!Z50),'Input_Meci'!Z50&gt;=0,'Input_Meci'!Z50&lt;=10)),OR('Input_Meci'!AA50="",AND(ISNUMBER('Input_Meci'!AA50),'Input_Meci'!AA50&gt;=0,'Input_Meci'!AA50&lt;=10)),OR('Input_Meci'!AB50="",AND(ISNUMBER('Input_Meci'!AB50),'Input_Meci'!AB50&gt;=0,'Input_Meci'!AB50&lt;=10)),OR('Input_Meci'!AC50="",AND(ISNUMBER('Input_Meci'!AC50),'Input_Meci'!AC50&gt;=0,'Input_Meci'!AC50&lt;=10)),OR('Input_Meci'!AD50="",AND(ISNUMBER('Input_Meci'!AD50),'Input_Meci'!AD50&gt;=-2,'Input_Meci'!AD50&lt;=2)),OR('Input_Meci'!AE50="",AND(ISNUMBER('Input_Meci'!AE50),'Input_Meci'!AE50&gt;=-2,'Input_Meci'!AE50&lt;=2)),OR('Input_Meci'!AF50="",AND(ISNUMBER('Input_Meci'!AF50),'Input_Meci'!AF50&gt;=-2,'Input_Meci'!AF50&lt;=2)),OR('Input_Meci'!AG50="",AND(ISNUMBER('Input_Meci'!AG50),'Input_Meci'!AG50&gt;=-2,'Input_Meci'!AG50&lt;=2))),"VALID","INVALID"))</x:f>
      </x:c>
      <x:c r="BJ50" s="2" t="n">
        <x:f>IF(A50="",0,SUM('Core_Nativ'!S534:S539))</x:f>
        <x:v>0</x:v>
      </x:c>
      <x:c r="BK50" s="2" t="str">
        <x:f>'Config_v6'!$B$40</x:f>
        <x:v>VALID</x:v>
      </x:c>
      <x:c r="BL50" s="2" t="str">
        <x:f>IF(A50="","",IF(SUMPRODUCT(('Istoric_Nativ'!$B$6:$B$405=B50)*('Istoric_Nativ'!$C$6:$C$405=C50)*('Istoric_Nativ'!$P$6:$P$405=1)*('Istoric_Nativ'!$D$6:$D$405&lt;INT(G50))*((('Istoric_Nativ'!$E$6:$E$405='Input_Meci'!D50)+('Istoric_Nativ'!$F$6:$F$405='Input_Meci'!D50)+('Istoric_Nativ'!$E$6:$E$405='Input_Meci'!E50)+('Istoric_Nativ'!$F$6:$F$405='Input_Meci'!E50))&gt;0))&gt;='Config_v6'!$B$41,C50,IF(AND('Input_Meci'!L50="YES",'Input_Meci'!K50&lt;&gt;"",'Input_Meci'!K50&lt;C50,COUNTIF('Core_Nativ'!R540:R545,"CLOSED")=6,SUM('Core_Nativ'!S540:S545)=0),'Input_Meci'!K50,C50)))</x:f>
      </x:c>
      <x:c r="BM50" s="9" t="n">
        <x:f>IF(OR(A50="",N50=0),0,LARGE(_xlfn._xlws.FILTER('Istoric_Nativ'!$D$6:$D$405,('Istoric_Nativ'!$B$6:$B$405=B50)*('Istoric_Nativ'!$C$6:$C$405=C50)*('Istoric_Nativ'!$P$6:$P$405=1)*('Istoric_Nativ'!$D$6:$D$405&lt;INT(G50))*((('Istoric_Nativ'!$E$6:$E$405='Input_Meci'!D50)+('Istoric_Nativ'!$F$6:$F$405='Input_Meci'!D50))&gt;0)),MIN(10,N50)))</x:f>
        <x:v>0</x:v>
      </x:c>
      <x:c r="BN50" s="9" t="n">
        <x:f>IF(OR(A50="",Q50=0),0,LARGE(_xlfn._xlws.FILTER('Istoric_Nativ'!$D$6:$D$405,('Istoric_Nativ'!$B$6:$B$405=B50)*('Istoric_Nativ'!$C$6:$C$405=C50)*('Istoric_Nativ'!$P$6:$P$405=1)*('Istoric_Nativ'!$D$6:$D$405&lt;INT(G50))*((('Istoric_Nativ'!$E$6:$E$405='Input_Meci'!E50)+('Istoric_Nativ'!$F$6:$F$405='Input_Meci'!E50))&gt;0)),MIN(10,Q50)))</x:f>
        <x:v>0</x:v>
      </x:c>
      <x:c r="BO50" s="9" t="n">
        <x:f>IF(OR(A50="",N50=0),0,LARGE(_xlfn._xlws.FILTER('Istoric_Nativ'!$D$6:$D$405,('Istoric_Nativ'!$B$6:$B$405=B50)*('Istoric_Nativ'!$C$6:$C$405=C50)*('Istoric_Nativ'!$P$6:$P$405=1)*('Istoric_Nativ'!$D$6:$D$405&lt;INT(G50))*((('Istoric_Nativ'!$E$6:$E$405='Input_Meci'!D50)+('Istoric_Nativ'!$F$6:$F$405='Input_Meci'!D50))&gt;0)),MIN(20,N50)))</x:f>
        <x:v>0</x:v>
      </x:c>
      <x:c r="BP50" s="9" t="n">
        <x:f>IF(OR(A50="",Q50=0),0,LARGE(_xlfn._xlws.FILTER('Istoric_Nativ'!$D$6:$D$405,('Istoric_Nativ'!$B$6:$B$405=B50)*('Istoric_Nativ'!$C$6:$C$405=C50)*('Istoric_Nativ'!$P$6:$P$405=1)*('Istoric_Nativ'!$D$6:$D$405&lt;INT(G50))*((('Istoric_Nativ'!$E$6:$E$405='Input_Meci'!E50)+('Istoric_Nativ'!$F$6:$F$405='Input_Meci'!E50))&gt;0)),MIN(20,Q50)))</x:f>
        <x:v>0</x:v>
      </x:c>
      <x:c r="BQ50" s="2" t="str">
        <x:f>IF(A50="","",IF(AND(COUNTIF(MatchesTable[Match_ID],A50)=1,COUNTIFS(MatchesTable[League],B50,MatchesTable[Season],C50,MatchesTable[Home],'Input_Meci'!D50,MatchesTable[Away],'Input_Meci'!E50,MatchesTable[Kickoff_UTC],F50)=1,B50&lt;&gt;"",C50&lt;&gt;"",'Input_Meci'!D50&lt;&gt;"",'Input_Meci'!E50&lt;&gt;"",'Input_Meci'!D50&lt;&gt;'Input_Meci'!E50,ISNUMBER(F50),ISNUMBER(G50),G50&lt;F50,OR(E50="LIVE",E50="REPLAY"),OR('Input_Meci'!L50="YES",'Input_Meci'!L50="NO",'Input_Meci'!L50="")),"VALID","INVALID"))</x:f>
      </x:c>
      <x:c r="BR50" s="2" t="n">
        <x:f>IF(I50&lt;&gt;"PASS",0,SUMPRODUCT(('Istoric_Nativ'!$B$6:$B$405='Input_Meci'!B50)*('Istoric_Nativ'!$C$6:$C$405='Input_Meci'!C50)*('Istoric_Nativ'!$P$6:$P$405=1)*('Istoric_Nativ'!$D$6:$D$405&lt;INT('Input_Meci'!G50))*((('Istoric_Nativ'!$E$6:$E$405='Input_Meci'!D50)+('Istoric_Nativ'!$F$6:$F$405='Input_Meci'!E50))&gt;0)))</x:f>
        <x:v>0</x:v>
      </x:c>
      <x:c r="BS50" s="2" t="n">
        <x:f>IF(I50&lt;&gt;"PASS",0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BM50)+((('Istoric_Nativ'!$E$6:$E$405='Input_Meci'!E50)+('Istoric_Nativ'!$F$6:$F$405='Input_Meci'!E50))&gt;0)*('Istoric_Nativ'!$D$6:$D$405&gt;=BN50))&gt;0)))</x:f>
        <x:v>0</x:v>
      </x:c>
      <x:c r="BT50" s="2" t="n">
        <x:f>IF(I50&lt;&gt;"PASS",0,SUMPRODUCT(('Istoric_Nativ'!$B$6:$B$405='Input_Meci'!B50)*('Istoric_Nativ'!$C$6:$C$405='Input_Meci'!C50)*('Istoric_Nativ'!$P$6:$P$405=1)*('Istoric_Nativ'!$D$6:$D$405&lt;INT('Input_Meci'!G50))*((((('Istoric_Nativ'!$E$6:$E$405='Input_Meci'!D50)+('Istoric_Nativ'!$F$6:$F$405='Input_Meci'!D50))&gt;0)*('Istoric_Nativ'!$D$6:$D$405&gt;=BO50)+((('Istoric_Nativ'!$E$6:$E$405='Input_Meci'!E50)+('Istoric_Nativ'!$F$6:$F$405='Input_Meci'!E50))&gt;0)*('Istoric_Nativ'!$D$6:$D$405&gt;=BP50))&gt;0)))</x:f>
        <x:v>0</x:v>
      </x:c>
    </x:row>
    <x:row r="51" ht="21" customHeight="1">
      <x:c r="A51" s="2" t="str">
        <x:f>IF('Input_Meci'!A51="","",'Input_Meci'!A51)</x:f>
      </x:c>
      <x:c r="B51" s="2" t="str">
        <x:f>IF(A51="","",'Input_Meci'!B51)</x:f>
      </x:c>
      <x:c r="C51" s="2" t="str">
        <x:f>IF(A51="","",'Input_Meci'!C51)</x:f>
      </x:c>
      <x:c r="D51" s="2" t="str">
        <x:f>IF(A51="","",'Input_Meci'!D51&amp;" – "&amp;'Input_Meci'!E51)</x:f>
      </x:c>
      <x:c r="E51" s="2" t="str">
        <x:f>IF(A51="","",'Input_Meci'!H51)</x:f>
      </x:c>
      <x:c r="F51" s="9" t="str">
        <x:f>IF(A51="","",'Input_Meci'!F51)</x:f>
      </x:c>
      <x:c r="G51" s="9" t="str">
        <x:f>IF(A51="","",'Input_Meci'!G51)</x:f>
      </x:c>
      <x:c r="H51" s="2" t="str">
        <x:f>IF(A51="","",IF(BQ51&lt;&gt;"VALID","NOT RELEASED",IF(AND(OR('Input_Meci'!I51="NOT AVAILABLE",'Input_Meci'!I51="SOURCE CONFLICT"),'Input_Meci'!J51&lt;&gt;""),"READY",IF(OR(NOT(OR('Input_Meci'!I51="AUTO",'Input_Meci'!I51="")),COUNTIF('Core_Nativ'!R546:R551,"CLOSED")&lt;&gt;6,BJ51&gt;0),"NOT RELEASED","READY"))))</x:f>
      </x:c>
      <x:c r="I51" s="2" t="str">
        <x:f>IF(A51="","",IF(H51&lt;&gt;"READY","NOT RELEASED",IF(AND(NOT(OR('Input_Meci'!I51="NOT AVAILABLE",'Input_Meci'!I51="SOURCE CONFLICT")),L51=12,AR51&gt;=2,AS51&gt;0,ISNUMBER(AT51),BI51="VALID",BK51="VALID"),"PASS","FAIL")))</x:f>
      </x:c>
      <x:c r="J51" s="2" t="str">
        <x:f>IF(A51="","",IF(BQ51&lt;&gt;"VALID","Verifica ID, echipe, mod si cutoff &lt; kickoff",IF(H51&lt;&gt;"READY",IF('Input_Meci'!I51="ACCESS BLOCKED","Acces blocat: reia sursele",IF(BJ51&gt;0,"Istoric invalid sau conflict: verifica randurile native","Surse neinchise / post-cutoff / dovezi incomplete")),IF(OR('Input_Meci'!I51="NOT AVAILABLE",'Input_Meci'!I51="SOURCE CONFLICT"),'Input_Meci'!I51,IF(BK51&lt;&gt;"VALID","Parametri invalizi",IF(L51&lt;&gt;12,"Core / sample / prior insuficient",IF(AR51&lt;2,"N insuficient pentru dispersie",IF(AS51&lt;=0,"Media istorica trebuie sa fie pozitiva",IF(BI51&lt;&gt;"VALID","Context invalid","READY")))))))))</x:f>
      </x:c>
      <x:c r="K51" s="2" t="str">
        <x:f>IF(A51="","",COUNT(T51:AE51))</x:f>
      </x:c>
      <x:c r="L51" s="2" t="str">
        <x:f>IF(A51="","",COUNT(AF51:AQ51))</x:f>
      </x:c>
      <x:c r="M51" s="2" t="str">
        <x:f>IF(A51="","",IF(OR('Core_Nativ'!M546&lt;'Core_Nativ'!P546,'Core_Nativ'!M547&lt;'Core_Nativ'!P547,'Core_Nativ'!M548&lt;'Core_Nativ'!P548,'Core_Nativ'!M549&lt;'Core_Nativ'!P549,'Core_Nativ'!M550&lt;'Core_Nativ'!P550,'Core_Nativ'!M551&lt;'Core_Nativ'!P551),"YES","NO"))</x:f>
      </x:c>
      <x:c r="N51" s="2" t="str">
        <x:f>IF(A51="","",'Core_Nativ'!M546)</x:f>
      </x:c>
      <x:c r="O51" s="2" t="str">
        <x:f>IF(A51="","",'Core_Nativ'!M547)</x:f>
      </x:c>
      <x:c r="P51" s="2" t="str">
        <x:f>IF(A51="","",'Core_Nativ'!M548)</x:f>
      </x:c>
      <x:c r="Q51" s="2" t="str">
        <x:f>IF(A51="","",'Core_Nativ'!M549)</x:f>
      </x:c>
      <x:c r="R51" s="2" t="str">
        <x:f>IF(A51="","",'Core_Nativ'!M550)</x:f>
      </x:c>
      <x:c r="S51" s="2" t="str">
        <x:f>IF(A51="","",'Core_Nativ'!M551)</x:f>
      </x:c>
      <x:c r="T51" s="11" t="str">
        <x:f>IF(OR(A51="",'Core_Nativ'!M546=0),"",'Core_Nativ'!N546)</x:f>
      </x:c>
      <x:c r="U51" s="11" t="str">
        <x:f>IF(OR(A51="",'Core_Nativ'!M546=0),"",'Core_Nativ'!O546)</x:f>
      </x:c>
      <x:c r="V51" s="11" t="str">
        <x:f>IF(OR(A51="",'Core_Nativ'!M547=0),"",'Core_Nativ'!N547)</x:f>
      </x:c>
      <x:c r="W51" s="11" t="str">
        <x:f>IF(OR(A51="",'Core_Nativ'!M547=0),"",'Core_Nativ'!O547)</x:f>
      </x:c>
      <x:c r="X51" s="11" t="str">
        <x:f>IF(OR(A51="",'Core_Nativ'!M548=0),"",'Core_Nativ'!N548)</x:f>
      </x:c>
      <x:c r="Y51" s="11" t="str">
        <x:f>IF(OR(A51="",'Core_Nativ'!M548=0),"",'Core_Nativ'!O548)</x:f>
      </x:c>
      <x:c r="Z51" s="11" t="str">
        <x:f>IF(OR(A51="",'Core_Nativ'!M549=0),"",'Core_Nativ'!N549)</x:f>
      </x:c>
      <x:c r="AA51" s="11" t="str">
        <x:f>IF(OR(A51="",'Core_Nativ'!M549=0),"",'Core_Nativ'!O549)</x:f>
      </x:c>
      <x:c r="AB51" s="11" t="str">
        <x:f>IF(OR(A51="",'Core_Nativ'!M550=0),"",'Core_Nativ'!N550)</x:f>
      </x:c>
      <x:c r="AC51" s="11" t="str">
        <x:f>IF(OR(A51="",'Core_Nativ'!M550=0),"",'Core_Nativ'!O550)</x:f>
      </x:c>
      <x:c r="AD51" s="11" t="str">
        <x:f>IF(OR(A51="",'Core_Nativ'!M551=0),"",'Core_Nativ'!N551)</x:f>
      </x:c>
      <x:c r="AE51" s="11" t="str">
        <x:f>IF(OR(A51="",'Core_Nativ'!M551=0),"",'Core_Nativ'!O551)</x:f>
      </x:c>
      <x:c r="AF51" s="11" t="str">
        <x:f>IF(A51="","",IF(AND('Core_Nativ'!R546="CLOSED",'Core_Nativ'!S546=0),IF('Core_Nativ'!M546&gt;='Core_Nativ'!P546,'Core_Nativ'!N546,IF(AND('Input_Meci'!L51="YES",'Input_Meci'!K51&lt;&gt;"",'Input_Meci'!K51&lt;C51,'Core_Nativ'!T552="DERIVED",'Core_Nativ'!M552&gt;='Core_Nativ'!P546),MIN(1,'Core_Nativ'!M546/'Core_Nativ'!P546)*IF('Core_Nativ'!M546=0,0,'Core_Nativ'!N546)+(1-MIN(1,'Core_Nativ'!M546/'Core_Nativ'!P546))*'Core_Nativ'!N552,"")),""))</x:f>
      </x:c>
      <x:c r="AG51" s="11" t="str">
        <x:f>IF(A51="","",IF(AND('Core_Nativ'!R546="CLOSED",'Core_Nativ'!S546=0),IF('Core_Nativ'!M546&gt;='Core_Nativ'!P546,'Core_Nativ'!O546,IF(AND('Input_Meci'!L51="YES",'Input_Meci'!K51&lt;&gt;"",'Input_Meci'!K51&lt;C51,'Core_Nativ'!T552="DERIVED",'Core_Nativ'!M552&gt;='Core_Nativ'!P546),MIN(1,'Core_Nativ'!M546/'Core_Nativ'!P546)*IF('Core_Nativ'!M546=0,0,'Core_Nativ'!O546)+(1-MIN(1,'Core_Nativ'!M546/'Core_Nativ'!P546))*'Core_Nativ'!O552,"")),""))</x:f>
      </x:c>
      <x:c r="AH51" s="11" t="str">
        <x:f>IF(A51="","",IF(AND('Core_Nativ'!R547="CLOSED",'Core_Nativ'!S547=0),IF('Core_Nativ'!M547&gt;='Core_Nativ'!P547,'Core_Nativ'!N547,IF(AND('Input_Meci'!L51="YES",'Input_Meci'!K51&lt;&gt;"",'Input_Meci'!K51&lt;C51,'Core_Nativ'!T553="DERIVED",'Core_Nativ'!M553&gt;='Core_Nativ'!P547),MIN(1,'Core_Nativ'!M547/'Core_Nativ'!P547)*IF('Core_Nativ'!M547=0,0,'Core_Nativ'!N547)+(1-MIN(1,'Core_Nativ'!M547/'Core_Nativ'!P547))*'Core_Nativ'!N553,"")),""))</x:f>
      </x:c>
      <x:c r="AI51" s="11" t="str">
        <x:f>IF(A51="","",IF(AND('Core_Nativ'!R547="CLOSED",'Core_Nativ'!S547=0),IF('Core_Nativ'!M547&gt;='Core_Nativ'!P547,'Core_Nativ'!O547,IF(AND('Input_Meci'!L51="YES",'Input_Meci'!K51&lt;&gt;"",'Input_Meci'!K51&lt;C51,'Core_Nativ'!T553="DERIVED",'Core_Nativ'!M553&gt;='Core_Nativ'!P547),MIN(1,'Core_Nativ'!M547/'Core_Nativ'!P547)*IF('Core_Nativ'!M547=0,0,'Core_Nativ'!O547)+(1-MIN(1,'Core_Nativ'!M547/'Core_Nativ'!P547))*'Core_Nativ'!O553,"")),""))</x:f>
      </x:c>
      <x:c r="AJ51" s="11" t="str">
        <x:f>IF(A51="","",IF(AND('Core_Nativ'!R548="CLOSED",'Core_Nativ'!S548=0),IF('Core_Nativ'!M548&gt;='Core_Nativ'!P548,'Core_Nativ'!N548,IF(AND('Input_Meci'!L51="YES",'Input_Meci'!K51&lt;&gt;"",'Input_Meci'!K51&lt;C51,'Core_Nativ'!T554="DERIVED",'Core_Nativ'!M554&gt;='Core_Nativ'!P548),MIN(1,'Core_Nativ'!M548/'Core_Nativ'!P548)*IF('Core_Nativ'!M548=0,0,'Core_Nativ'!N548)+(1-MIN(1,'Core_Nativ'!M548/'Core_Nativ'!P548))*'Core_Nativ'!N554,"")),""))</x:f>
      </x:c>
      <x:c r="AK51" s="11" t="str">
        <x:f>IF(A51="","",IF(AND('Core_Nativ'!R548="CLOSED",'Core_Nativ'!S548=0),IF('Core_Nativ'!M548&gt;='Core_Nativ'!P548,'Core_Nativ'!O548,IF(AND('Input_Meci'!L51="YES",'Input_Meci'!K51&lt;&gt;"",'Input_Meci'!K51&lt;C51,'Core_Nativ'!T554="DERIVED",'Core_Nativ'!M554&gt;='Core_Nativ'!P548),MIN(1,'Core_Nativ'!M548/'Core_Nativ'!P548)*IF('Core_Nativ'!M548=0,0,'Core_Nativ'!O548)+(1-MIN(1,'Core_Nativ'!M548/'Core_Nativ'!P548))*'Core_Nativ'!O554,"")),""))</x:f>
      </x:c>
      <x:c r="AL51" s="11" t="str">
        <x:f>IF(A51="","",IF(AND('Core_Nativ'!R549="CLOSED",'Core_Nativ'!S549=0),IF('Core_Nativ'!M549&gt;='Core_Nativ'!P549,'Core_Nativ'!N549,IF(AND('Input_Meci'!L51="YES",'Input_Meci'!K51&lt;&gt;"",'Input_Meci'!K51&lt;C51,'Core_Nativ'!T555="DERIVED",'Core_Nativ'!M555&gt;='Core_Nativ'!P549),MIN(1,'Core_Nativ'!M549/'Core_Nativ'!P549)*IF('Core_Nativ'!M549=0,0,'Core_Nativ'!N549)+(1-MIN(1,'Core_Nativ'!M549/'Core_Nativ'!P549))*'Core_Nativ'!N555,"")),""))</x:f>
      </x:c>
      <x:c r="AM51" s="11" t="str">
        <x:f>IF(A51="","",IF(AND('Core_Nativ'!R549="CLOSED",'Core_Nativ'!S549=0),IF('Core_Nativ'!M549&gt;='Core_Nativ'!P549,'Core_Nativ'!O549,IF(AND('Input_Meci'!L51="YES",'Input_Meci'!K51&lt;&gt;"",'Input_Meci'!K51&lt;C51,'Core_Nativ'!T555="DERIVED",'Core_Nativ'!M555&gt;='Core_Nativ'!P549),MIN(1,'Core_Nativ'!M549/'Core_Nativ'!P549)*IF('Core_Nativ'!M549=0,0,'Core_Nativ'!O549)+(1-MIN(1,'Core_Nativ'!M549/'Core_Nativ'!P549))*'Core_Nativ'!O555,"")),""))</x:f>
      </x:c>
      <x:c r="AN51" s="11" t="str">
        <x:f>IF(A51="","",IF(AND('Core_Nativ'!R550="CLOSED",'Core_Nativ'!S550=0),IF('Core_Nativ'!M550&gt;='Core_Nativ'!P550,'Core_Nativ'!N550,IF(AND('Input_Meci'!L51="YES",'Input_Meci'!K51&lt;&gt;"",'Input_Meci'!K51&lt;C51,'Core_Nativ'!T556="DERIVED",'Core_Nativ'!M556&gt;='Core_Nativ'!P550),MIN(1,'Core_Nativ'!M550/'Core_Nativ'!P550)*IF('Core_Nativ'!M550=0,0,'Core_Nativ'!N550)+(1-MIN(1,'Core_Nativ'!M550/'Core_Nativ'!P550))*'Core_Nativ'!N556,"")),""))</x:f>
      </x:c>
      <x:c r="AO51" s="11" t="str">
        <x:f>IF(A51="","",IF(AND('Core_Nativ'!R550="CLOSED",'Core_Nativ'!S550=0),IF('Core_Nativ'!M550&gt;='Core_Nativ'!P550,'Core_Nativ'!O550,IF(AND('Input_Meci'!L51="YES",'Input_Meci'!K51&lt;&gt;"",'Input_Meci'!K51&lt;C51,'Core_Nativ'!T556="DERIVED",'Core_Nativ'!M556&gt;='Core_Nativ'!P550),MIN(1,'Core_Nativ'!M550/'Core_Nativ'!P550)*IF('Core_Nativ'!M550=0,0,'Core_Nativ'!O550)+(1-MIN(1,'Core_Nativ'!M550/'Core_Nativ'!P550))*'Core_Nativ'!O556,"")),""))</x:f>
      </x:c>
      <x:c r="AP51" s="11" t="str">
        <x:f>IF(A51="","",IF(AND('Core_Nativ'!R551="CLOSED",'Core_Nativ'!S551=0),IF('Core_Nativ'!M551&gt;='Core_Nativ'!P551,'Core_Nativ'!N551,IF(AND('Input_Meci'!L51="YES",'Input_Meci'!K51&lt;&gt;"",'Input_Meci'!K51&lt;C51,'Core_Nativ'!T557="DERIVED",'Core_Nativ'!M557&gt;='Core_Nativ'!P551),MIN(1,'Core_Nativ'!M551/'Core_Nativ'!P551)*IF('Core_Nativ'!M551=0,0,'Core_Nativ'!N551)+(1-MIN(1,'Core_Nativ'!M551/'Core_Nativ'!P551))*'Core_Nativ'!N557,"")),""))</x:f>
      </x:c>
      <x:c r="AQ51" s="11" t="str">
        <x:f>IF(A51="","",IF(AND('Core_Nativ'!R551="CLOSED",'Core_Nativ'!S551=0),IF('Core_Nativ'!M551&gt;='Core_Nativ'!P551,'Core_Nativ'!O551,IF(AND('Input_Meci'!L51="YES",'Input_Meci'!K51&lt;&gt;"",'Input_Meci'!K51&lt;C51,'Core_Nativ'!T557="DERIVED",'Core_Nativ'!M557&gt;='Core_Nativ'!P551),MIN(1,'Core_Nativ'!M551/'Core_Nativ'!P551)*IF('Core_Nativ'!M551=0,0,'Core_Nativ'!O551)+(1-MIN(1,'Core_Nativ'!M551/'Core_Nativ'!P551))*'Core_Nativ'!O557,"")),""))</x:f>
      </x:c>
      <x:c r="AR51" s="11" t="str">
        <x:f>IF(A51="","",SUMPRODUCT(('Istoric_Nativ'!$B$6:$B$405=B51)*('Istoric_Nativ'!$C$6:$C$405=BL51)*('Istoric_Nativ'!$P$6:$P$405=1)*('Istoric_Nativ'!$D$6:$D$405&lt;INT(G51))*((('Istoric_Nativ'!$E$6:$E$405='Input_Meci'!D51)+('Istoric_Nativ'!$F$6:$F$405='Input_Meci'!D51)+('Istoric_Nativ'!$E$6:$E$405='Input_Meci'!E51)+('Istoric_Nativ'!$F$6:$F$405='Input_Meci'!E51))&gt;0)))</x:f>
      </x:c>
      <x:c r="AS51" s="11" t="str">
        <x:f>IF(AR51=0,"",SUMPRODUCT(('Istoric_Nativ'!$B$6:$B$405=B51)*('Istoric_Nativ'!$C$6:$C$405=BL51)*('Istoric_Nativ'!$P$6:$P$405=1)*('Istoric_Nativ'!$D$6:$D$405&lt;INT(G51))*((('Istoric_Nativ'!$E$6:$E$405='Input_Meci'!D51)+('Istoric_Nativ'!$F$6:$F$405='Input_Meci'!D51)+('Istoric_Nativ'!$E$6:$E$405='Input_Meci'!E51)+('Istoric_Nativ'!$F$6:$F$405='Input_Meci'!E51))&gt;0)*'Istoric_Nativ'!$Q$6:$Q$405)/AR51)</x:f>
      </x:c>
      <x:c r="AT51" s="11" t="str">
        <x:f>IF(AR51&lt;2,"",MAX(0,(SUMPRODUCT(('Istoric_Nativ'!$B$6:$B$405=B51)*('Istoric_Nativ'!$C$6:$C$405=BL51)*('Istoric_Nativ'!$P$6:$P$405=1)*('Istoric_Nativ'!$D$6:$D$405&lt;INT(G51))*((('Istoric_Nativ'!$E$6:$E$405='Input_Meci'!D51)+('Istoric_Nativ'!$F$6:$F$405='Input_Meci'!D51)+('Istoric_Nativ'!$E$6:$E$405='Input_Meci'!E51)+('Istoric_Nativ'!$F$6:$F$405='Input_Meci'!E51))&gt;0)*'Istoric_Nativ'!$R$6:$R$405)-AR51*AS51^2)/(AR51-1)))</x:f>
      </x:c>
      <x:c r="AU51" s="11" t="str">
        <x:f>IF(I51&lt;&gt;"PASS","",AT51/AS51)</x:f>
      </x:c>
      <x:c r="AV51" s="11" t="str">
        <x:f>IF(I51&lt;&gt;"PASS","",IF(AU51&lt;='Config_v6'!$B$10,"POISSON","NEGATIVE BINOMIAL"))</x:f>
      </x:c>
      <x:c r="AW51" s="11" t="str">
        <x:f>IF(I51&lt;&gt;"PASS","",IF(AV51="POISSON",9999,AS51/(AU51-1)))</x:f>
      </x:c>
      <x:c r="AX51" s="11" t="str">
        <x:f>IF(A51="","",MAX(1-'Config_v6'!$B$20,MIN(1+'Config_v6'!$B$20,1+0.02*(IF(AND(ISNUMBER('Input_Meci'!N51),'Input_Meci'!N51&gt;=0,'Input_Meci'!N51&lt;=200),'Input_Meci'!N51,12)/12-1)+0.02*(IF(AND(ISNUMBER('Input_Meci'!P51),'Input_Meci'!P51&gt;=0,'Input_Meci'!P51&lt;=200),'Input_Meci'!P51,3.5)/3.5-1)+0.02*(IF(AND(ISNUMBER('Input_Meci'!R51),'Input_Meci'!R51&gt;=0,'Input_Meci'!R51&lt;=200),'Input_Meci'!R51,18)/18-1)+0.02*((IF(AND(ISNUMBER('Input_Meci'!V51),'Input_Meci'!V51&gt;=0,'Input_Meci'!V51&lt;=10),'Input_Meci'!V51,5)-5)/5))))</x:f>
      </x:c>
      <x:c r="AY51" s="11" t="str">
        <x:f>IF(A51="","",MAX(1-'Config_v6'!$B$20,MIN(1+'Config_v6'!$B$20,1+0.02*(IF(AND(ISNUMBER('Input_Meci'!O51),'Input_Meci'!O51&gt;=0,'Input_Meci'!O51&lt;=200),'Input_Meci'!O51,12)/12-1)+0.02*(IF(AND(ISNUMBER('Input_Meci'!Q51),'Input_Meci'!Q51&gt;=0,'Input_Meci'!Q51&lt;=200),'Input_Meci'!Q51,3.5)/3.5-1)+0.02*(IF(AND(ISNUMBER('Input_Meci'!S51),'Input_Meci'!S51&gt;=0,'Input_Meci'!S51&lt;=200),'Input_Meci'!S51,18)/18-1)+0.02*((IF(AND(ISNUMBER('Input_Meci'!W51),'Input_Meci'!W51&gt;=0,'Input_Meci'!W51&lt;=10),'Input_Meci'!W51,5)-5)/5))))</x:f>
      </x:c>
      <x:c r="AZ51" s="11" t="str">
        <x:f>IF(A51="","",MAX(1-'Config_v6'!$B$21,MIN(1+'Config_v6'!$B$21,1+0.012*(IF('Input_Meci'!X51="",5,IF(ISNUMBER('Input_Meci'!X51),'Input_Meci'!X51,5))-5)+0.018*(IF('Input_Meci'!Z51="",5,IF(ISNUMBER('Input_Meci'!Z51),'Input_Meci'!Z51,5))-5)+0.012*(IF('Input_Meci'!AB51="",5,IF(ISNUMBER('Input_Meci'!AB51),'Input_Meci'!AB51,5))-5)+0.015*IF('Input_Meci'!AD51="",0,IF(ISNUMBER('Input_Meci'!AD51),'Input_Meci'!AD51,0))+0.02*IF('Input_Meci'!AF51="",0,IF(ISNUMBER('Input_Meci'!AF51),'Input_Meci'!AF51,0)))))</x:f>
      </x:c>
      <x:c r="BA51" s="11" t="str">
        <x:f>IF(A51="","",MAX(1-'Config_v6'!$B$21,MIN(1+'Config_v6'!$B$21,1+0.012*(IF('Input_Meci'!Y51="",5,IF(ISNUMBER('Input_Meci'!Y51),'Input_Meci'!Y51,5))-5)+0.018*(IF('Input_Meci'!AA51="",5,IF(ISNUMBER('Input_Meci'!AA51),'Input_Meci'!AA51,5))-5)+0.012*(IF('Input_Meci'!AC51="",5,IF(ISNUMBER('Input_Meci'!AC51),'Input_Meci'!AC51,5))-5)+0.015*IF('Input_Meci'!AE51="",0,IF(ISNUMBER('Input_Meci'!AE51),'Input_Meci'!AE51,0))+0.02*IF('Input_Meci'!AG51="",0,IF(ISNUMBER('Input_Meci'!AG51),'Input_Meci'!AG51,0)))))</x:f>
      </x:c>
      <x:c r="BB51" s="11" t="str">
        <x:f>IF(I51&lt;&gt;"PASS","",(AVERAGE(AF51,AM51)*'Config_v6'!$B$4+AVERAGE(AH51,AO51)*'Config_v6'!$B$5+AVERAGE(AJ51,AQ51)*'Config_v6'!$B$6)*AX51*AZ51)</x:f>
      </x:c>
      <x:c r="BC51" s="11" t="str">
        <x:f>IF(I51&lt;&gt;"PASS","",(AVERAGE(AL51,AG51)*'Config_v6'!$B$4+AVERAGE(AN51,AI51)*'Config_v6'!$B$5+AVERAGE(AP51,AK51)*'Config_v6'!$B$6)*AY51*BA51)</x:f>
      </x:c>
      <x:c r="BD51" s="11" t="str">
        <x:f>IF(I51&lt;&gt;"PASS","",BB51+BC51)</x:f>
      </x:c>
      <x:c r="BE51" s="11" t="str">
        <x:f>IF(A51="","",10-SUM(IF(AND(ISNUMBER('Input_Meci'!N51),'Input_Meci'!N51&gt;=0,'Input_Meci'!N51&lt;=200),1,0),IF(AND(ISNUMBER('Input_Meci'!O51),'Input_Meci'!O51&gt;=0,'Input_Meci'!O51&lt;=200),1,0),IF(AND(ISNUMBER('Input_Meci'!P51),'Input_Meci'!P51&gt;=0,'Input_Meci'!P51&lt;=200),1,0),IF(AND(ISNUMBER('Input_Meci'!Q51),'Input_Meci'!Q51&gt;=0,'Input_Meci'!Q51&lt;=200),1,0),IF(AND(ISNUMBER('Input_Meci'!R51),'Input_Meci'!R51&gt;=0,'Input_Meci'!R51&lt;=200),1,0),IF(AND(ISNUMBER('Input_Meci'!S51),'Input_Meci'!S51&gt;=0,'Input_Meci'!S51&lt;=200),1,0),IF(AND(ISNUMBER('Input_Meci'!T51),'Input_Meci'!T51&gt;=0,'Input_Meci'!T51&lt;=100),1,0),IF(AND(ISNUMBER('Input_Meci'!U51),'Input_Meci'!U51&gt;=0,'Input_Meci'!U51&lt;=100),1,0),IF(AND(ISNUMBER('Input_Meci'!V51),'Input_Meci'!V51&gt;=0,'Input_Meci'!V51&lt;=10),1,0),IF(AND(ISNUMBER('Input_Meci'!W51),'Input_Meci'!W51&gt;=0,'Input_Meci'!W51&lt;=10),1,0)))</x:f>
      </x:c>
      <x:c r="BF51" s="11" t="str">
        <x:f>IF(I51&lt;&gt;"PASS","",MAX(0,MIN(IF(OR(M51="YES",BL51&lt;&gt;C51),'Config_v6'!$B$34,100),ROUND(40+25*MIN(1,MIN(N51,Q51)/'Config_v6'!$B$7)*MIN(1,MIN(O51,R51)/'Config_v6'!$B$8)*MIN(1,MIN(P51,S51)/'Config_v6'!$B$9)+MAX(0,15-2*ABS(AF51-AJ51)-2*ABS(AL51-AP51))+IF(AU51&lt;='Config_v6'!$B$10,15,IF(AU51&lt;='Config_v6'!$B$11,13,IF(AU51&lt;='Config_v6'!$B$12,10,IF(AU51&lt;='Config_v6'!$B$13,6,0))))+5-BE51/10*'Config_v6'!$B$38,0))))</x:f>
      </x:c>
      <x:c r="BG51" s="11" t="str">
        <x:f>IF(I51&lt;&gt;"PASS","",MIN(1,'Config_v6'!$B$14*(0.7+0.3*MIN(1,AR51/'Config_v6'!$B$15))*IF(AU51&lt;='Config_v6'!$B$10,1,IF(AU51&lt;='Config_v6'!$B$11,0.95,IF(AU51&lt;='Config_v6'!$B$12,0.88,0.78)))*(0.75+0.25*BF51/100)))</x:f>
      </x:c>
      <x:c r="BH51" s="11" t="str">
        <x:f>IF(I51&lt;&gt;"PASS","",MIN(1,(ABS(AZ51-1)+ABS(BA51-1))*3))</x:f>
      </x:c>
      <x:c r="BI51" s="2" t="str">
        <x:f>IF(A51="","",IF(AND(OR('Input_Meci'!X51="",AND(ISNUMBER('Input_Meci'!X51),'Input_Meci'!X51&gt;=0,'Input_Meci'!X51&lt;=10)),OR('Input_Meci'!Y51="",AND(ISNUMBER('Input_Meci'!Y51),'Input_Meci'!Y51&gt;=0,'Input_Meci'!Y51&lt;=10)),OR('Input_Meci'!Z51="",AND(ISNUMBER('Input_Meci'!Z51),'Input_Meci'!Z51&gt;=0,'Input_Meci'!Z51&lt;=10)),OR('Input_Meci'!AA51="",AND(ISNUMBER('Input_Meci'!AA51),'Input_Meci'!AA51&gt;=0,'Input_Meci'!AA51&lt;=10)),OR('Input_Meci'!AB51="",AND(ISNUMBER('Input_Meci'!AB51),'Input_Meci'!AB51&gt;=0,'Input_Meci'!AB51&lt;=10)),OR('Input_Meci'!AC51="",AND(ISNUMBER('Input_Meci'!AC51),'Input_Meci'!AC51&gt;=0,'Input_Meci'!AC51&lt;=10)),OR('Input_Meci'!AD51="",AND(ISNUMBER('Input_Meci'!AD51),'Input_Meci'!AD51&gt;=-2,'Input_Meci'!AD51&lt;=2)),OR('Input_Meci'!AE51="",AND(ISNUMBER('Input_Meci'!AE51),'Input_Meci'!AE51&gt;=-2,'Input_Meci'!AE51&lt;=2)),OR('Input_Meci'!AF51="",AND(ISNUMBER('Input_Meci'!AF51),'Input_Meci'!AF51&gt;=-2,'Input_Meci'!AF51&lt;=2)),OR('Input_Meci'!AG51="",AND(ISNUMBER('Input_Meci'!AG51),'Input_Meci'!AG51&gt;=-2,'Input_Meci'!AG51&lt;=2))),"VALID","INVALID"))</x:f>
      </x:c>
      <x:c r="BJ51" s="2" t="n">
        <x:f>IF(A51="",0,SUM('Core_Nativ'!S546:S551))</x:f>
        <x:v>0</x:v>
      </x:c>
      <x:c r="BK51" s="2" t="str">
        <x:f>'Config_v6'!$B$40</x:f>
        <x:v>VALID</x:v>
      </x:c>
      <x:c r="BL51" s="2" t="str">
        <x:f>IF(A51="","",IF(SUMPRODUCT(('Istoric_Nativ'!$B$6:$B$405=B51)*('Istoric_Nativ'!$C$6:$C$405=C51)*('Istoric_Nativ'!$P$6:$P$405=1)*('Istoric_Nativ'!$D$6:$D$405&lt;INT(G51))*((('Istoric_Nativ'!$E$6:$E$405='Input_Meci'!D51)+('Istoric_Nativ'!$F$6:$F$405='Input_Meci'!D51)+('Istoric_Nativ'!$E$6:$E$405='Input_Meci'!E51)+('Istoric_Nativ'!$F$6:$F$405='Input_Meci'!E51))&gt;0))&gt;='Config_v6'!$B$41,C51,IF(AND('Input_Meci'!L51="YES",'Input_Meci'!K51&lt;&gt;"",'Input_Meci'!K51&lt;C51,COUNTIF('Core_Nativ'!R552:R557,"CLOSED")=6,SUM('Core_Nativ'!S552:S557)=0),'Input_Meci'!K51,C51)))</x:f>
      </x:c>
      <x:c r="BM51" s="9" t="n">
        <x:f>IF(OR(A51="",N51=0),0,LARGE(_xlfn._xlws.FILTER('Istoric_Nativ'!$D$6:$D$405,('Istoric_Nativ'!$B$6:$B$405=B51)*('Istoric_Nativ'!$C$6:$C$405=C51)*('Istoric_Nativ'!$P$6:$P$405=1)*('Istoric_Nativ'!$D$6:$D$405&lt;INT(G51))*((('Istoric_Nativ'!$E$6:$E$405='Input_Meci'!D51)+('Istoric_Nativ'!$F$6:$F$405='Input_Meci'!D51))&gt;0)),MIN(10,N51)))</x:f>
        <x:v>0</x:v>
      </x:c>
      <x:c r="BN51" s="9" t="n">
        <x:f>IF(OR(A51="",Q51=0),0,LARGE(_xlfn._xlws.FILTER('Istoric_Nativ'!$D$6:$D$405,('Istoric_Nativ'!$B$6:$B$405=B51)*('Istoric_Nativ'!$C$6:$C$405=C51)*('Istoric_Nativ'!$P$6:$P$405=1)*('Istoric_Nativ'!$D$6:$D$405&lt;INT(G51))*((('Istoric_Nativ'!$E$6:$E$405='Input_Meci'!E51)+('Istoric_Nativ'!$F$6:$F$405='Input_Meci'!E51))&gt;0)),MIN(10,Q51)))</x:f>
        <x:v>0</x:v>
      </x:c>
      <x:c r="BO51" s="9" t="n">
        <x:f>IF(OR(A51="",N51=0),0,LARGE(_xlfn._xlws.FILTER('Istoric_Nativ'!$D$6:$D$405,('Istoric_Nativ'!$B$6:$B$405=B51)*('Istoric_Nativ'!$C$6:$C$405=C51)*('Istoric_Nativ'!$P$6:$P$405=1)*('Istoric_Nativ'!$D$6:$D$405&lt;INT(G51))*((('Istoric_Nativ'!$E$6:$E$405='Input_Meci'!D51)+('Istoric_Nativ'!$F$6:$F$405='Input_Meci'!D51))&gt;0)),MIN(20,N51)))</x:f>
        <x:v>0</x:v>
      </x:c>
      <x:c r="BP51" s="9" t="n">
        <x:f>IF(OR(A51="",Q51=0),0,LARGE(_xlfn._xlws.FILTER('Istoric_Nativ'!$D$6:$D$405,('Istoric_Nativ'!$B$6:$B$405=B51)*('Istoric_Nativ'!$C$6:$C$405=C51)*('Istoric_Nativ'!$P$6:$P$405=1)*('Istoric_Nativ'!$D$6:$D$405&lt;INT(G51))*((('Istoric_Nativ'!$E$6:$E$405='Input_Meci'!E51)+('Istoric_Nativ'!$F$6:$F$405='Input_Meci'!E51))&gt;0)),MIN(20,Q51)))</x:f>
        <x:v>0</x:v>
      </x:c>
      <x:c r="BQ51" s="2" t="str">
        <x:f>IF(A51="","",IF(AND(COUNTIF(MatchesTable[Match_ID],A51)=1,COUNTIFS(MatchesTable[League],B51,MatchesTable[Season],C51,MatchesTable[Home],'Input_Meci'!D51,MatchesTable[Away],'Input_Meci'!E51,MatchesTable[Kickoff_UTC],F51)=1,B51&lt;&gt;"",C51&lt;&gt;"",'Input_Meci'!D51&lt;&gt;"",'Input_Meci'!E51&lt;&gt;"",'Input_Meci'!D51&lt;&gt;'Input_Meci'!E51,ISNUMBER(F51),ISNUMBER(G51),G51&lt;F51,OR(E51="LIVE",E51="REPLAY"),OR('Input_Meci'!L51="YES",'Input_Meci'!L51="NO",'Input_Meci'!L51="")),"VALID","INVALID"))</x:f>
      </x:c>
      <x:c r="BR51" s="2" t="n">
        <x:f>IF(I51&lt;&gt;"PASS",0,SUMPRODUCT(('Istoric_Nativ'!$B$6:$B$405='Input_Meci'!B51)*('Istoric_Nativ'!$C$6:$C$405='Input_Meci'!C51)*('Istoric_Nativ'!$P$6:$P$405=1)*('Istoric_Nativ'!$D$6:$D$405&lt;INT('Input_Meci'!G51))*((('Istoric_Nativ'!$E$6:$E$405='Input_Meci'!D51)+('Istoric_Nativ'!$F$6:$F$405='Input_Meci'!E51))&gt;0)))</x:f>
        <x:v>0</x:v>
      </x:c>
      <x:c r="BS51" s="2" t="n">
        <x:f>IF(I51&lt;&gt;"PASS",0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BM51)+((('Istoric_Nativ'!$E$6:$E$405='Input_Meci'!E51)+('Istoric_Nativ'!$F$6:$F$405='Input_Meci'!E51))&gt;0)*('Istoric_Nativ'!$D$6:$D$405&gt;=BN51))&gt;0)))</x:f>
        <x:v>0</x:v>
      </x:c>
      <x:c r="BT51" s="2" t="n">
        <x:f>IF(I51&lt;&gt;"PASS",0,SUMPRODUCT(('Istoric_Nativ'!$B$6:$B$405='Input_Meci'!B51)*('Istoric_Nativ'!$C$6:$C$405='Input_Meci'!C51)*('Istoric_Nativ'!$P$6:$P$405=1)*('Istoric_Nativ'!$D$6:$D$405&lt;INT('Input_Meci'!G51))*((((('Istoric_Nativ'!$E$6:$E$405='Input_Meci'!D51)+('Istoric_Nativ'!$F$6:$F$405='Input_Meci'!D51))&gt;0)*('Istoric_Nativ'!$D$6:$D$405&gt;=BO51)+((('Istoric_Nativ'!$E$6:$E$405='Input_Meci'!E51)+('Istoric_Nativ'!$F$6:$F$405='Input_Meci'!E51))&gt;0)*('Istoric_Nativ'!$D$6:$D$405&gt;=BP51))&gt;0)))</x:f>
        <x:v>0</x:v>
      </x:c>
    </x:row>
    <x:row r="52" ht="21" customHeight="1">
      <x:c r="A52" s="2" t="str">
        <x:f>IF('Input_Meci'!A52="","",'Input_Meci'!A52)</x:f>
      </x:c>
      <x:c r="B52" s="2" t="str">
        <x:f>IF(A52="","",'Input_Meci'!B52)</x:f>
      </x:c>
      <x:c r="C52" s="2" t="str">
        <x:f>IF(A52="","",'Input_Meci'!C52)</x:f>
      </x:c>
      <x:c r="D52" s="2" t="str">
        <x:f>IF(A52="","",'Input_Meci'!D52&amp;" – "&amp;'Input_Meci'!E52)</x:f>
      </x:c>
      <x:c r="E52" s="2" t="str">
        <x:f>IF(A52="","",'Input_Meci'!H52)</x:f>
      </x:c>
      <x:c r="F52" s="9" t="str">
        <x:f>IF(A52="","",'Input_Meci'!F52)</x:f>
      </x:c>
      <x:c r="G52" s="9" t="str">
        <x:f>IF(A52="","",'Input_Meci'!G52)</x:f>
      </x:c>
      <x:c r="H52" s="2" t="str">
        <x:f>IF(A52="","",IF(BQ52&lt;&gt;"VALID","NOT RELEASED",IF(AND(OR('Input_Meci'!I52="NOT AVAILABLE",'Input_Meci'!I52="SOURCE CONFLICT"),'Input_Meci'!J52&lt;&gt;""),"READY",IF(OR(NOT(OR('Input_Meci'!I52="AUTO",'Input_Meci'!I52="")),COUNTIF('Core_Nativ'!R558:R563,"CLOSED")&lt;&gt;6,BJ52&gt;0),"NOT RELEASED","READY"))))</x:f>
      </x:c>
      <x:c r="I52" s="2" t="str">
        <x:f>IF(A52="","",IF(H52&lt;&gt;"READY","NOT RELEASED",IF(AND(NOT(OR('Input_Meci'!I52="NOT AVAILABLE",'Input_Meci'!I52="SOURCE CONFLICT")),L52=12,AR52&gt;=2,AS52&gt;0,ISNUMBER(AT52),BI52="VALID",BK52="VALID"),"PASS","FAIL")))</x:f>
      </x:c>
      <x:c r="J52" s="2" t="str">
        <x:f>IF(A52="","",IF(BQ52&lt;&gt;"VALID","Verifica ID, echipe, mod si cutoff &lt; kickoff",IF(H52&lt;&gt;"READY",IF('Input_Meci'!I52="ACCESS BLOCKED","Acces blocat: reia sursele",IF(BJ52&gt;0,"Istoric invalid sau conflict: verifica randurile native","Surse neinchise / post-cutoff / dovezi incomplete")),IF(OR('Input_Meci'!I52="NOT AVAILABLE",'Input_Meci'!I52="SOURCE CONFLICT"),'Input_Meci'!I52,IF(BK52&lt;&gt;"VALID","Parametri invalizi",IF(L52&lt;&gt;12,"Core / sample / prior insuficient",IF(AR52&lt;2,"N insuficient pentru dispersie",IF(AS52&lt;=0,"Media istorica trebuie sa fie pozitiva",IF(BI52&lt;&gt;"VALID","Context invalid","READY")))))))))</x:f>
      </x:c>
      <x:c r="K52" s="2" t="str">
        <x:f>IF(A52="","",COUNT(T52:AE52))</x:f>
      </x:c>
      <x:c r="L52" s="2" t="str">
        <x:f>IF(A52="","",COUNT(AF52:AQ52))</x:f>
      </x:c>
      <x:c r="M52" s="2" t="str">
        <x:f>IF(A52="","",IF(OR('Core_Nativ'!M558&lt;'Core_Nativ'!P558,'Core_Nativ'!M559&lt;'Core_Nativ'!P559,'Core_Nativ'!M560&lt;'Core_Nativ'!P560,'Core_Nativ'!M561&lt;'Core_Nativ'!P561,'Core_Nativ'!M562&lt;'Core_Nativ'!P562,'Core_Nativ'!M563&lt;'Core_Nativ'!P563),"YES","NO"))</x:f>
      </x:c>
      <x:c r="N52" s="2" t="str">
        <x:f>IF(A52="","",'Core_Nativ'!M558)</x:f>
      </x:c>
      <x:c r="O52" s="2" t="str">
        <x:f>IF(A52="","",'Core_Nativ'!M559)</x:f>
      </x:c>
      <x:c r="P52" s="2" t="str">
        <x:f>IF(A52="","",'Core_Nativ'!M560)</x:f>
      </x:c>
      <x:c r="Q52" s="2" t="str">
        <x:f>IF(A52="","",'Core_Nativ'!M561)</x:f>
      </x:c>
      <x:c r="R52" s="2" t="str">
        <x:f>IF(A52="","",'Core_Nativ'!M562)</x:f>
      </x:c>
      <x:c r="S52" s="2" t="str">
        <x:f>IF(A52="","",'Core_Nativ'!M563)</x:f>
      </x:c>
      <x:c r="T52" s="11" t="str">
        <x:f>IF(OR(A52="",'Core_Nativ'!M558=0),"",'Core_Nativ'!N558)</x:f>
      </x:c>
      <x:c r="U52" s="11" t="str">
        <x:f>IF(OR(A52="",'Core_Nativ'!M558=0),"",'Core_Nativ'!O558)</x:f>
      </x:c>
      <x:c r="V52" s="11" t="str">
        <x:f>IF(OR(A52="",'Core_Nativ'!M559=0),"",'Core_Nativ'!N559)</x:f>
      </x:c>
      <x:c r="W52" s="11" t="str">
        <x:f>IF(OR(A52="",'Core_Nativ'!M559=0),"",'Core_Nativ'!O559)</x:f>
      </x:c>
      <x:c r="X52" s="11" t="str">
        <x:f>IF(OR(A52="",'Core_Nativ'!M560=0),"",'Core_Nativ'!N560)</x:f>
      </x:c>
      <x:c r="Y52" s="11" t="str">
        <x:f>IF(OR(A52="",'Core_Nativ'!M560=0),"",'Core_Nativ'!O560)</x:f>
      </x:c>
      <x:c r="Z52" s="11" t="str">
        <x:f>IF(OR(A52="",'Core_Nativ'!M561=0),"",'Core_Nativ'!N561)</x:f>
      </x:c>
      <x:c r="AA52" s="11" t="str">
        <x:f>IF(OR(A52="",'Core_Nativ'!M561=0),"",'Core_Nativ'!O561)</x:f>
      </x:c>
      <x:c r="AB52" s="11" t="str">
        <x:f>IF(OR(A52="",'Core_Nativ'!M562=0),"",'Core_Nativ'!N562)</x:f>
      </x:c>
      <x:c r="AC52" s="11" t="str">
        <x:f>IF(OR(A52="",'Core_Nativ'!M562=0),"",'Core_Nativ'!O562)</x:f>
      </x:c>
      <x:c r="AD52" s="11" t="str">
        <x:f>IF(OR(A52="",'Core_Nativ'!M563=0),"",'Core_Nativ'!N563)</x:f>
      </x:c>
      <x:c r="AE52" s="11" t="str">
        <x:f>IF(OR(A52="",'Core_Nativ'!M563=0),"",'Core_Nativ'!O563)</x:f>
      </x:c>
      <x:c r="AF52" s="11" t="str">
        <x:f>IF(A52="","",IF(AND('Core_Nativ'!R558="CLOSED",'Core_Nativ'!S558=0),IF('Core_Nativ'!M558&gt;='Core_Nativ'!P558,'Core_Nativ'!N558,IF(AND('Input_Meci'!L52="YES",'Input_Meci'!K52&lt;&gt;"",'Input_Meci'!K52&lt;C52,'Core_Nativ'!T564="DERIVED",'Core_Nativ'!M564&gt;='Core_Nativ'!P558),MIN(1,'Core_Nativ'!M558/'Core_Nativ'!P558)*IF('Core_Nativ'!M558=0,0,'Core_Nativ'!N558)+(1-MIN(1,'Core_Nativ'!M558/'Core_Nativ'!P558))*'Core_Nativ'!N564,"")),""))</x:f>
      </x:c>
      <x:c r="AG52" s="11" t="str">
        <x:f>IF(A52="","",IF(AND('Core_Nativ'!R558="CLOSED",'Core_Nativ'!S558=0),IF('Core_Nativ'!M558&gt;='Core_Nativ'!P558,'Core_Nativ'!O558,IF(AND('Input_Meci'!L52="YES",'Input_Meci'!K52&lt;&gt;"",'Input_Meci'!K52&lt;C52,'Core_Nativ'!T564="DERIVED",'Core_Nativ'!M564&gt;='Core_Nativ'!P558),MIN(1,'Core_Nativ'!M558/'Core_Nativ'!P558)*IF('Core_Nativ'!M558=0,0,'Core_Nativ'!O558)+(1-MIN(1,'Core_Nativ'!M558/'Core_Nativ'!P558))*'Core_Nativ'!O564,"")),""))</x:f>
      </x:c>
      <x:c r="AH52" s="11" t="str">
        <x:f>IF(A52="","",IF(AND('Core_Nativ'!R559="CLOSED",'Core_Nativ'!S559=0),IF('Core_Nativ'!M559&gt;='Core_Nativ'!P559,'Core_Nativ'!N559,IF(AND('Input_Meci'!L52="YES",'Input_Meci'!K52&lt;&gt;"",'Input_Meci'!K52&lt;C52,'Core_Nativ'!T565="DERIVED",'Core_Nativ'!M565&gt;='Core_Nativ'!P559),MIN(1,'Core_Nativ'!M559/'Core_Nativ'!P559)*IF('Core_Nativ'!M559=0,0,'Core_Nativ'!N559)+(1-MIN(1,'Core_Nativ'!M559/'Core_Nativ'!P559))*'Core_Nativ'!N565,"")),""))</x:f>
      </x:c>
      <x:c r="AI52" s="11" t="str">
        <x:f>IF(A52="","",IF(AND('Core_Nativ'!R559="CLOSED",'Core_Nativ'!S559=0),IF('Core_Nativ'!M559&gt;='Core_Nativ'!P559,'Core_Nativ'!O559,IF(AND('Input_Meci'!L52="YES",'Input_Meci'!K52&lt;&gt;"",'Input_Meci'!K52&lt;C52,'Core_Nativ'!T565="DERIVED",'Core_Nativ'!M565&gt;='Core_Nativ'!P559),MIN(1,'Core_Nativ'!M559/'Core_Nativ'!P559)*IF('Core_Nativ'!M559=0,0,'Core_Nativ'!O559)+(1-MIN(1,'Core_Nativ'!M559/'Core_Nativ'!P559))*'Core_Nativ'!O565,"")),""))</x:f>
      </x:c>
      <x:c r="AJ52" s="11" t="str">
        <x:f>IF(A52="","",IF(AND('Core_Nativ'!R560="CLOSED",'Core_Nativ'!S560=0),IF('Core_Nativ'!M560&gt;='Core_Nativ'!P560,'Core_Nativ'!N560,IF(AND('Input_Meci'!L52="YES",'Input_Meci'!K52&lt;&gt;"",'Input_Meci'!K52&lt;C52,'Core_Nativ'!T566="DERIVED",'Core_Nativ'!M566&gt;='Core_Nativ'!P560),MIN(1,'Core_Nativ'!M560/'Core_Nativ'!P560)*IF('Core_Nativ'!M560=0,0,'Core_Nativ'!N560)+(1-MIN(1,'Core_Nativ'!M560/'Core_Nativ'!P560))*'Core_Nativ'!N566,"")),""))</x:f>
      </x:c>
      <x:c r="AK52" s="11" t="str">
        <x:f>IF(A52="","",IF(AND('Core_Nativ'!R560="CLOSED",'Core_Nativ'!S560=0),IF('Core_Nativ'!M560&gt;='Core_Nativ'!P560,'Core_Nativ'!O560,IF(AND('Input_Meci'!L52="YES",'Input_Meci'!K52&lt;&gt;"",'Input_Meci'!K52&lt;C52,'Core_Nativ'!T566="DERIVED",'Core_Nativ'!M566&gt;='Core_Nativ'!P560),MIN(1,'Core_Nativ'!M560/'Core_Nativ'!P560)*IF('Core_Nativ'!M560=0,0,'Core_Nativ'!O560)+(1-MIN(1,'Core_Nativ'!M560/'Core_Nativ'!P560))*'Core_Nativ'!O566,"")),""))</x:f>
      </x:c>
      <x:c r="AL52" s="11" t="str">
        <x:f>IF(A52="","",IF(AND('Core_Nativ'!R561="CLOSED",'Core_Nativ'!S561=0),IF('Core_Nativ'!M561&gt;='Core_Nativ'!P561,'Core_Nativ'!N561,IF(AND('Input_Meci'!L52="YES",'Input_Meci'!K52&lt;&gt;"",'Input_Meci'!K52&lt;C52,'Core_Nativ'!T567="DERIVED",'Core_Nativ'!M567&gt;='Core_Nativ'!P561),MIN(1,'Core_Nativ'!M561/'Core_Nativ'!P561)*IF('Core_Nativ'!M561=0,0,'Core_Nativ'!N561)+(1-MIN(1,'Core_Nativ'!M561/'Core_Nativ'!P561))*'Core_Nativ'!N567,"")),""))</x:f>
      </x:c>
      <x:c r="AM52" s="11" t="str">
        <x:f>IF(A52="","",IF(AND('Core_Nativ'!R561="CLOSED",'Core_Nativ'!S561=0),IF('Core_Nativ'!M561&gt;='Core_Nativ'!P561,'Core_Nativ'!O561,IF(AND('Input_Meci'!L52="YES",'Input_Meci'!K52&lt;&gt;"",'Input_Meci'!K52&lt;C52,'Core_Nativ'!T567="DERIVED",'Core_Nativ'!M567&gt;='Core_Nativ'!P561),MIN(1,'Core_Nativ'!M561/'Core_Nativ'!P561)*IF('Core_Nativ'!M561=0,0,'Core_Nativ'!O561)+(1-MIN(1,'Core_Nativ'!M561/'Core_Nativ'!P561))*'Core_Nativ'!O567,"")),""))</x:f>
      </x:c>
      <x:c r="AN52" s="11" t="str">
        <x:f>IF(A52="","",IF(AND('Core_Nativ'!R562="CLOSED",'Core_Nativ'!S562=0),IF('Core_Nativ'!M562&gt;='Core_Nativ'!P562,'Core_Nativ'!N562,IF(AND('Input_Meci'!L52="YES",'Input_Meci'!K52&lt;&gt;"",'Input_Meci'!K52&lt;C52,'Core_Nativ'!T568="DERIVED",'Core_Nativ'!M568&gt;='Core_Nativ'!P562),MIN(1,'Core_Nativ'!M562/'Core_Nativ'!P562)*IF('Core_Nativ'!M562=0,0,'Core_Nativ'!N562)+(1-MIN(1,'Core_Nativ'!M562/'Core_Nativ'!P562))*'Core_Nativ'!N568,"")),""))</x:f>
      </x:c>
      <x:c r="AO52" s="11" t="str">
        <x:f>IF(A52="","",IF(AND('Core_Nativ'!R562="CLOSED",'Core_Nativ'!S562=0),IF('Core_Nativ'!M562&gt;='Core_Nativ'!P562,'Core_Nativ'!O562,IF(AND('Input_Meci'!L52="YES",'Input_Meci'!K52&lt;&gt;"",'Input_Meci'!K52&lt;C52,'Core_Nativ'!T568="DERIVED",'Core_Nativ'!M568&gt;='Core_Nativ'!P562),MIN(1,'Core_Nativ'!M562/'Core_Nativ'!P562)*IF('Core_Nativ'!M562=0,0,'Core_Nativ'!O562)+(1-MIN(1,'Core_Nativ'!M562/'Core_Nativ'!P562))*'Core_Nativ'!O568,"")),""))</x:f>
      </x:c>
      <x:c r="AP52" s="11" t="str">
        <x:f>IF(A52="","",IF(AND('Core_Nativ'!R563="CLOSED",'Core_Nativ'!S563=0),IF('Core_Nativ'!M563&gt;='Core_Nativ'!P563,'Core_Nativ'!N563,IF(AND('Input_Meci'!L52="YES",'Input_Meci'!K52&lt;&gt;"",'Input_Meci'!K52&lt;C52,'Core_Nativ'!T569="DERIVED",'Core_Nativ'!M569&gt;='Core_Nativ'!P563),MIN(1,'Core_Nativ'!M563/'Core_Nativ'!P563)*IF('Core_Nativ'!M563=0,0,'Core_Nativ'!N563)+(1-MIN(1,'Core_Nativ'!M563/'Core_Nativ'!P563))*'Core_Nativ'!N569,"")),""))</x:f>
      </x:c>
      <x:c r="AQ52" s="11" t="str">
        <x:f>IF(A52="","",IF(AND('Core_Nativ'!R563="CLOSED",'Core_Nativ'!S563=0),IF('Core_Nativ'!M563&gt;='Core_Nativ'!P563,'Core_Nativ'!O563,IF(AND('Input_Meci'!L52="YES",'Input_Meci'!K52&lt;&gt;"",'Input_Meci'!K52&lt;C52,'Core_Nativ'!T569="DERIVED",'Core_Nativ'!M569&gt;='Core_Nativ'!P563),MIN(1,'Core_Nativ'!M563/'Core_Nativ'!P563)*IF('Core_Nativ'!M563=0,0,'Core_Nativ'!O563)+(1-MIN(1,'Core_Nativ'!M563/'Core_Nativ'!P563))*'Core_Nativ'!O569,"")),""))</x:f>
      </x:c>
      <x:c r="AR52" s="11" t="str">
        <x:f>IF(A52="","",SUMPRODUCT(('Istoric_Nativ'!$B$6:$B$405=B52)*('Istoric_Nativ'!$C$6:$C$405=BL52)*('Istoric_Nativ'!$P$6:$P$405=1)*('Istoric_Nativ'!$D$6:$D$405&lt;INT(G52))*((('Istoric_Nativ'!$E$6:$E$405='Input_Meci'!D52)+('Istoric_Nativ'!$F$6:$F$405='Input_Meci'!D52)+('Istoric_Nativ'!$E$6:$E$405='Input_Meci'!E52)+('Istoric_Nativ'!$F$6:$F$405='Input_Meci'!E52))&gt;0)))</x:f>
      </x:c>
      <x:c r="AS52" s="11" t="str">
        <x:f>IF(AR52=0,"",SUMPRODUCT(('Istoric_Nativ'!$B$6:$B$405=B52)*('Istoric_Nativ'!$C$6:$C$405=BL52)*('Istoric_Nativ'!$P$6:$P$405=1)*('Istoric_Nativ'!$D$6:$D$405&lt;INT(G52))*((('Istoric_Nativ'!$E$6:$E$405='Input_Meci'!D52)+('Istoric_Nativ'!$F$6:$F$405='Input_Meci'!D52)+('Istoric_Nativ'!$E$6:$E$405='Input_Meci'!E52)+('Istoric_Nativ'!$F$6:$F$405='Input_Meci'!E52))&gt;0)*'Istoric_Nativ'!$Q$6:$Q$405)/AR52)</x:f>
      </x:c>
      <x:c r="AT52" s="11" t="str">
        <x:f>IF(AR52&lt;2,"",MAX(0,(SUMPRODUCT(('Istoric_Nativ'!$B$6:$B$405=B52)*('Istoric_Nativ'!$C$6:$C$405=BL52)*('Istoric_Nativ'!$P$6:$P$405=1)*('Istoric_Nativ'!$D$6:$D$405&lt;INT(G52))*((('Istoric_Nativ'!$E$6:$E$405='Input_Meci'!D52)+('Istoric_Nativ'!$F$6:$F$405='Input_Meci'!D52)+('Istoric_Nativ'!$E$6:$E$405='Input_Meci'!E52)+('Istoric_Nativ'!$F$6:$F$405='Input_Meci'!E52))&gt;0)*'Istoric_Nativ'!$R$6:$R$405)-AR52*AS52^2)/(AR52-1)))</x:f>
      </x:c>
      <x:c r="AU52" s="11" t="str">
        <x:f>IF(I52&lt;&gt;"PASS","",AT52/AS52)</x:f>
      </x:c>
      <x:c r="AV52" s="11" t="str">
        <x:f>IF(I52&lt;&gt;"PASS","",IF(AU52&lt;='Config_v6'!$B$10,"POISSON","NEGATIVE BINOMIAL"))</x:f>
      </x:c>
      <x:c r="AW52" s="11" t="str">
        <x:f>IF(I52&lt;&gt;"PASS","",IF(AV52="POISSON",9999,AS52/(AU52-1)))</x:f>
      </x:c>
      <x:c r="AX52" s="11" t="str">
        <x:f>IF(A52="","",MAX(1-'Config_v6'!$B$20,MIN(1+'Config_v6'!$B$20,1+0.02*(IF(AND(ISNUMBER('Input_Meci'!N52),'Input_Meci'!N52&gt;=0,'Input_Meci'!N52&lt;=200),'Input_Meci'!N52,12)/12-1)+0.02*(IF(AND(ISNUMBER('Input_Meci'!P52),'Input_Meci'!P52&gt;=0,'Input_Meci'!P52&lt;=200),'Input_Meci'!P52,3.5)/3.5-1)+0.02*(IF(AND(ISNUMBER('Input_Meci'!R52),'Input_Meci'!R52&gt;=0,'Input_Meci'!R52&lt;=200),'Input_Meci'!R52,18)/18-1)+0.02*((IF(AND(ISNUMBER('Input_Meci'!V52),'Input_Meci'!V52&gt;=0,'Input_Meci'!V52&lt;=10),'Input_Meci'!V52,5)-5)/5))))</x:f>
      </x:c>
      <x:c r="AY52" s="11" t="str">
        <x:f>IF(A52="","",MAX(1-'Config_v6'!$B$20,MIN(1+'Config_v6'!$B$20,1+0.02*(IF(AND(ISNUMBER('Input_Meci'!O52),'Input_Meci'!O52&gt;=0,'Input_Meci'!O52&lt;=200),'Input_Meci'!O52,12)/12-1)+0.02*(IF(AND(ISNUMBER('Input_Meci'!Q52),'Input_Meci'!Q52&gt;=0,'Input_Meci'!Q52&lt;=200),'Input_Meci'!Q52,3.5)/3.5-1)+0.02*(IF(AND(ISNUMBER('Input_Meci'!S52),'Input_Meci'!S52&gt;=0,'Input_Meci'!S52&lt;=200),'Input_Meci'!S52,18)/18-1)+0.02*((IF(AND(ISNUMBER('Input_Meci'!W52),'Input_Meci'!W52&gt;=0,'Input_Meci'!W52&lt;=10),'Input_Meci'!W52,5)-5)/5))))</x:f>
      </x:c>
      <x:c r="AZ52" s="11" t="str">
        <x:f>IF(A52="","",MAX(1-'Config_v6'!$B$21,MIN(1+'Config_v6'!$B$21,1+0.012*(IF('Input_Meci'!X52="",5,IF(ISNUMBER('Input_Meci'!X52),'Input_Meci'!X52,5))-5)+0.018*(IF('Input_Meci'!Z52="",5,IF(ISNUMBER('Input_Meci'!Z52),'Input_Meci'!Z52,5))-5)+0.012*(IF('Input_Meci'!AB52="",5,IF(ISNUMBER('Input_Meci'!AB52),'Input_Meci'!AB52,5))-5)+0.015*IF('Input_Meci'!AD52="",0,IF(ISNUMBER('Input_Meci'!AD52),'Input_Meci'!AD52,0))+0.02*IF('Input_Meci'!AF52="",0,IF(ISNUMBER('Input_Meci'!AF52),'Input_Meci'!AF52,0)))))</x:f>
      </x:c>
      <x:c r="BA52" s="11" t="str">
        <x:f>IF(A52="","",MAX(1-'Config_v6'!$B$21,MIN(1+'Config_v6'!$B$21,1+0.012*(IF('Input_Meci'!Y52="",5,IF(ISNUMBER('Input_Meci'!Y52),'Input_Meci'!Y52,5))-5)+0.018*(IF('Input_Meci'!AA52="",5,IF(ISNUMBER('Input_Meci'!AA52),'Input_Meci'!AA52,5))-5)+0.012*(IF('Input_Meci'!AC52="",5,IF(ISNUMBER('Input_Meci'!AC52),'Input_Meci'!AC52,5))-5)+0.015*IF('Input_Meci'!AE52="",0,IF(ISNUMBER('Input_Meci'!AE52),'Input_Meci'!AE52,0))+0.02*IF('Input_Meci'!AG52="",0,IF(ISNUMBER('Input_Meci'!AG52),'Input_Meci'!AG52,0)))))</x:f>
      </x:c>
      <x:c r="BB52" s="11" t="str">
        <x:f>IF(I52&lt;&gt;"PASS","",(AVERAGE(AF52,AM52)*'Config_v6'!$B$4+AVERAGE(AH52,AO52)*'Config_v6'!$B$5+AVERAGE(AJ52,AQ52)*'Config_v6'!$B$6)*AX52*AZ52)</x:f>
      </x:c>
      <x:c r="BC52" s="11" t="str">
        <x:f>IF(I52&lt;&gt;"PASS","",(AVERAGE(AL52,AG52)*'Config_v6'!$B$4+AVERAGE(AN52,AI52)*'Config_v6'!$B$5+AVERAGE(AP52,AK52)*'Config_v6'!$B$6)*AY52*BA52)</x:f>
      </x:c>
      <x:c r="BD52" s="11" t="str">
        <x:f>IF(I52&lt;&gt;"PASS","",BB52+BC52)</x:f>
      </x:c>
      <x:c r="BE52" s="11" t="str">
        <x:f>IF(A52="","",10-SUM(IF(AND(ISNUMBER('Input_Meci'!N52),'Input_Meci'!N52&gt;=0,'Input_Meci'!N52&lt;=200),1,0),IF(AND(ISNUMBER('Input_Meci'!O52),'Input_Meci'!O52&gt;=0,'Input_Meci'!O52&lt;=200),1,0),IF(AND(ISNUMBER('Input_Meci'!P52),'Input_Meci'!P52&gt;=0,'Input_Meci'!P52&lt;=200),1,0),IF(AND(ISNUMBER('Input_Meci'!Q52),'Input_Meci'!Q52&gt;=0,'Input_Meci'!Q52&lt;=200),1,0),IF(AND(ISNUMBER('Input_Meci'!R52),'Input_Meci'!R52&gt;=0,'Input_Meci'!R52&lt;=200),1,0),IF(AND(ISNUMBER('Input_Meci'!S52),'Input_Meci'!S52&gt;=0,'Input_Meci'!S52&lt;=200),1,0),IF(AND(ISNUMBER('Input_Meci'!T52),'Input_Meci'!T52&gt;=0,'Input_Meci'!T52&lt;=100),1,0),IF(AND(ISNUMBER('Input_Meci'!U52),'Input_Meci'!U52&gt;=0,'Input_Meci'!U52&lt;=100),1,0),IF(AND(ISNUMBER('Input_Meci'!V52),'Input_Meci'!V52&gt;=0,'Input_Meci'!V52&lt;=10),1,0),IF(AND(ISNUMBER('Input_Meci'!W52),'Input_Meci'!W52&gt;=0,'Input_Meci'!W52&lt;=10),1,0)))</x:f>
      </x:c>
      <x:c r="BF52" s="11" t="str">
        <x:f>IF(I52&lt;&gt;"PASS","",MAX(0,MIN(IF(OR(M52="YES",BL52&lt;&gt;C52),'Config_v6'!$B$34,100),ROUND(40+25*MIN(1,MIN(N52,Q52)/'Config_v6'!$B$7)*MIN(1,MIN(O52,R52)/'Config_v6'!$B$8)*MIN(1,MIN(P52,S52)/'Config_v6'!$B$9)+MAX(0,15-2*ABS(AF52-AJ52)-2*ABS(AL52-AP52))+IF(AU52&lt;='Config_v6'!$B$10,15,IF(AU52&lt;='Config_v6'!$B$11,13,IF(AU52&lt;='Config_v6'!$B$12,10,IF(AU52&lt;='Config_v6'!$B$13,6,0))))+5-BE52/10*'Config_v6'!$B$38,0))))</x:f>
      </x:c>
      <x:c r="BG52" s="11" t="str">
        <x:f>IF(I52&lt;&gt;"PASS","",MIN(1,'Config_v6'!$B$14*(0.7+0.3*MIN(1,AR52/'Config_v6'!$B$15))*IF(AU52&lt;='Config_v6'!$B$10,1,IF(AU52&lt;='Config_v6'!$B$11,0.95,IF(AU52&lt;='Config_v6'!$B$12,0.88,0.78)))*(0.75+0.25*BF52/100)))</x:f>
      </x:c>
      <x:c r="BH52" s="11" t="str">
        <x:f>IF(I52&lt;&gt;"PASS","",MIN(1,(ABS(AZ52-1)+ABS(BA52-1))*3))</x:f>
      </x:c>
      <x:c r="BI52" s="2" t="str">
        <x:f>IF(A52="","",IF(AND(OR('Input_Meci'!X52="",AND(ISNUMBER('Input_Meci'!X52),'Input_Meci'!X52&gt;=0,'Input_Meci'!X52&lt;=10)),OR('Input_Meci'!Y52="",AND(ISNUMBER('Input_Meci'!Y52),'Input_Meci'!Y52&gt;=0,'Input_Meci'!Y52&lt;=10)),OR('Input_Meci'!Z52="",AND(ISNUMBER('Input_Meci'!Z52),'Input_Meci'!Z52&gt;=0,'Input_Meci'!Z52&lt;=10)),OR('Input_Meci'!AA52="",AND(ISNUMBER('Input_Meci'!AA52),'Input_Meci'!AA52&gt;=0,'Input_Meci'!AA52&lt;=10)),OR('Input_Meci'!AB52="",AND(ISNUMBER('Input_Meci'!AB52),'Input_Meci'!AB52&gt;=0,'Input_Meci'!AB52&lt;=10)),OR('Input_Meci'!AC52="",AND(ISNUMBER('Input_Meci'!AC52),'Input_Meci'!AC52&gt;=0,'Input_Meci'!AC52&lt;=10)),OR('Input_Meci'!AD52="",AND(ISNUMBER('Input_Meci'!AD52),'Input_Meci'!AD52&gt;=-2,'Input_Meci'!AD52&lt;=2)),OR('Input_Meci'!AE52="",AND(ISNUMBER('Input_Meci'!AE52),'Input_Meci'!AE52&gt;=-2,'Input_Meci'!AE52&lt;=2)),OR('Input_Meci'!AF52="",AND(ISNUMBER('Input_Meci'!AF52),'Input_Meci'!AF52&gt;=-2,'Input_Meci'!AF52&lt;=2)),OR('Input_Meci'!AG52="",AND(ISNUMBER('Input_Meci'!AG52),'Input_Meci'!AG52&gt;=-2,'Input_Meci'!AG52&lt;=2))),"VALID","INVALID"))</x:f>
      </x:c>
      <x:c r="BJ52" s="2" t="n">
        <x:f>IF(A52="",0,SUM('Core_Nativ'!S558:S563))</x:f>
        <x:v>0</x:v>
      </x:c>
      <x:c r="BK52" s="2" t="str">
        <x:f>'Config_v6'!$B$40</x:f>
        <x:v>VALID</x:v>
      </x:c>
      <x:c r="BL52" s="2" t="str">
        <x:f>IF(A52="","",IF(SUMPRODUCT(('Istoric_Nativ'!$B$6:$B$405=B52)*('Istoric_Nativ'!$C$6:$C$405=C52)*('Istoric_Nativ'!$P$6:$P$405=1)*('Istoric_Nativ'!$D$6:$D$405&lt;INT(G52))*((('Istoric_Nativ'!$E$6:$E$405='Input_Meci'!D52)+('Istoric_Nativ'!$F$6:$F$405='Input_Meci'!D52)+('Istoric_Nativ'!$E$6:$E$405='Input_Meci'!E52)+('Istoric_Nativ'!$F$6:$F$405='Input_Meci'!E52))&gt;0))&gt;='Config_v6'!$B$41,C52,IF(AND('Input_Meci'!L52="YES",'Input_Meci'!K52&lt;&gt;"",'Input_Meci'!K52&lt;C52,COUNTIF('Core_Nativ'!R564:R569,"CLOSED")=6,SUM('Core_Nativ'!S564:S569)=0),'Input_Meci'!K52,C52)))</x:f>
      </x:c>
      <x:c r="BM52" s="9" t="n">
        <x:f>IF(OR(A52="",N52=0),0,LARGE(_xlfn._xlws.FILTER('Istoric_Nativ'!$D$6:$D$405,('Istoric_Nativ'!$B$6:$B$405=B52)*('Istoric_Nativ'!$C$6:$C$405=C52)*('Istoric_Nativ'!$P$6:$P$405=1)*('Istoric_Nativ'!$D$6:$D$405&lt;INT(G52))*((('Istoric_Nativ'!$E$6:$E$405='Input_Meci'!D52)+('Istoric_Nativ'!$F$6:$F$405='Input_Meci'!D52))&gt;0)),MIN(10,N52)))</x:f>
        <x:v>0</x:v>
      </x:c>
      <x:c r="BN52" s="9" t="n">
        <x:f>IF(OR(A52="",Q52=0),0,LARGE(_xlfn._xlws.FILTER('Istoric_Nativ'!$D$6:$D$405,('Istoric_Nativ'!$B$6:$B$405=B52)*('Istoric_Nativ'!$C$6:$C$405=C52)*('Istoric_Nativ'!$P$6:$P$405=1)*('Istoric_Nativ'!$D$6:$D$405&lt;INT(G52))*((('Istoric_Nativ'!$E$6:$E$405='Input_Meci'!E52)+('Istoric_Nativ'!$F$6:$F$405='Input_Meci'!E52))&gt;0)),MIN(10,Q52)))</x:f>
        <x:v>0</x:v>
      </x:c>
      <x:c r="BO52" s="9" t="n">
        <x:f>IF(OR(A52="",N52=0),0,LARGE(_xlfn._xlws.FILTER('Istoric_Nativ'!$D$6:$D$405,('Istoric_Nativ'!$B$6:$B$405=B52)*('Istoric_Nativ'!$C$6:$C$405=C52)*('Istoric_Nativ'!$P$6:$P$405=1)*('Istoric_Nativ'!$D$6:$D$405&lt;INT(G52))*((('Istoric_Nativ'!$E$6:$E$405='Input_Meci'!D52)+('Istoric_Nativ'!$F$6:$F$405='Input_Meci'!D52))&gt;0)),MIN(20,N52)))</x:f>
        <x:v>0</x:v>
      </x:c>
      <x:c r="BP52" s="9" t="n">
        <x:f>IF(OR(A52="",Q52=0),0,LARGE(_xlfn._xlws.FILTER('Istoric_Nativ'!$D$6:$D$405,('Istoric_Nativ'!$B$6:$B$405=B52)*('Istoric_Nativ'!$C$6:$C$405=C52)*('Istoric_Nativ'!$P$6:$P$405=1)*('Istoric_Nativ'!$D$6:$D$405&lt;INT(G52))*((('Istoric_Nativ'!$E$6:$E$405='Input_Meci'!E52)+('Istoric_Nativ'!$F$6:$F$405='Input_Meci'!E52))&gt;0)),MIN(20,Q52)))</x:f>
        <x:v>0</x:v>
      </x:c>
      <x:c r="BQ52" s="2" t="str">
        <x:f>IF(A52="","",IF(AND(COUNTIF(MatchesTable[Match_ID],A52)=1,COUNTIFS(MatchesTable[League],B52,MatchesTable[Season],C52,MatchesTable[Home],'Input_Meci'!D52,MatchesTable[Away],'Input_Meci'!E52,MatchesTable[Kickoff_UTC],F52)=1,B52&lt;&gt;"",C52&lt;&gt;"",'Input_Meci'!D52&lt;&gt;"",'Input_Meci'!E52&lt;&gt;"",'Input_Meci'!D52&lt;&gt;'Input_Meci'!E52,ISNUMBER(F52),ISNUMBER(G52),G52&lt;F52,OR(E52="LIVE",E52="REPLAY"),OR('Input_Meci'!L52="YES",'Input_Meci'!L52="NO",'Input_Meci'!L52="")),"VALID","INVALID"))</x:f>
      </x:c>
      <x:c r="BR52" s="2" t="n">
        <x:f>IF(I52&lt;&gt;"PASS",0,SUMPRODUCT(('Istoric_Nativ'!$B$6:$B$405='Input_Meci'!B52)*('Istoric_Nativ'!$C$6:$C$405='Input_Meci'!C52)*('Istoric_Nativ'!$P$6:$P$405=1)*('Istoric_Nativ'!$D$6:$D$405&lt;INT('Input_Meci'!G52))*((('Istoric_Nativ'!$E$6:$E$405='Input_Meci'!D52)+('Istoric_Nativ'!$F$6:$F$405='Input_Meci'!E52))&gt;0)))</x:f>
        <x:v>0</x:v>
      </x:c>
      <x:c r="BS52" s="2" t="n">
        <x:f>IF(I52&lt;&gt;"PASS",0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BM52)+((('Istoric_Nativ'!$E$6:$E$405='Input_Meci'!E52)+('Istoric_Nativ'!$F$6:$F$405='Input_Meci'!E52))&gt;0)*('Istoric_Nativ'!$D$6:$D$405&gt;=BN52))&gt;0)))</x:f>
        <x:v>0</x:v>
      </x:c>
      <x:c r="BT52" s="2" t="n">
        <x:f>IF(I52&lt;&gt;"PASS",0,SUMPRODUCT(('Istoric_Nativ'!$B$6:$B$405='Input_Meci'!B52)*('Istoric_Nativ'!$C$6:$C$405='Input_Meci'!C52)*('Istoric_Nativ'!$P$6:$P$405=1)*('Istoric_Nativ'!$D$6:$D$405&lt;INT('Input_Meci'!G52))*((((('Istoric_Nativ'!$E$6:$E$405='Input_Meci'!D52)+('Istoric_Nativ'!$F$6:$F$405='Input_Meci'!D52))&gt;0)*('Istoric_Nativ'!$D$6:$D$405&gt;=BO52)+((('Istoric_Nativ'!$E$6:$E$405='Input_Meci'!E52)+('Istoric_Nativ'!$F$6:$F$405='Input_Meci'!E52))&gt;0)*('Istoric_Nativ'!$D$6:$D$405&gt;=BP52))&gt;0)))</x:f>
        <x:v>0</x:v>
      </x:c>
    </x:row>
    <x:row r="53" ht="21" customHeight="1">
      <x:c r="A53" s="2" t="str">
        <x:f>IF('Input_Meci'!A53="","",'Input_Meci'!A53)</x:f>
      </x:c>
      <x:c r="B53" s="2" t="str">
        <x:f>IF(A53="","",'Input_Meci'!B53)</x:f>
      </x:c>
      <x:c r="C53" s="2" t="str">
        <x:f>IF(A53="","",'Input_Meci'!C53)</x:f>
      </x:c>
      <x:c r="D53" s="2" t="str">
        <x:f>IF(A53="","",'Input_Meci'!D53&amp;" – "&amp;'Input_Meci'!E53)</x:f>
      </x:c>
      <x:c r="E53" s="2" t="str">
        <x:f>IF(A53="","",'Input_Meci'!H53)</x:f>
      </x:c>
      <x:c r="F53" s="9" t="str">
        <x:f>IF(A53="","",'Input_Meci'!F53)</x:f>
      </x:c>
      <x:c r="G53" s="9" t="str">
        <x:f>IF(A53="","",'Input_Meci'!G53)</x:f>
      </x:c>
      <x:c r="H53" s="2" t="str">
        <x:f>IF(A53="","",IF(BQ53&lt;&gt;"VALID","NOT RELEASED",IF(AND(OR('Input_Meci'!I53="NOT AVAILABLE",'Input_Meci'!I53="SOURCE CONFLICT"),'Input_Meci'!J53&lt;&gt;""),"READY",IF(OR(NOT(OR('Input_Meci'!I53="AUTO",'Input_Meci'!I53="")),COUNTIF('Core_Nativ'!R570:R575,"CLOSED")&lt;&gt;6,BJ53&gt;0),"NOT RELEASED","READY"))))</x:f>
      </x:c>
      <x:c r="I53" s="2" t="str">
        <x:f>IF(A53="","",IF(H53&lt;&gt;"READY","NOT RELEASED",IF(AND(NOT(OR('Input_Meci'!I53="NOT AVAILABLE",'Input_Meci'!I53="SOURCE CONFLICT")),L53=12,AR53&gt;=2,AS53&gt;0,ISNUMBER(AT53),BI53="VALID",BK53="VALID"),"PASS","FAIL")))</x:f>
      </x:c>
      <x:c r="J53" s="2" t="str">
        <x:f>IF(A53="","",IF(BQ53&lt;&gt;"VALID","Verifica ID, echipe, mod si cutoff &lt; kickoff",IF(H53&lt;&gt;"READY",IF('Input_Meci'!I53="ACCESS BLOCKED","Acces blocat: reia sursele",IF(BJ53&gt;0,"Istoric invalid sau conflict: verifica randurile native","Surse neinchise / post-cutoff / dovezi incomplete")),IF(OR('Input_Meci'!I53="NOT AVAILABLE",'Input_Meci'!I53="SOURCE CONFLICT"),'Input_Meci'!I53,IF(BK53&lt;&gt;"VALID","Parametri invalizi",IF(L53&lt;&gt;12,"Core / sample / prior insuficient",IF(AR53&lt;2,"N insuficient pentru dispersie",IF(AS53&lt;=0,"Media istorica trebuie sa fie pozitiva",IF(BI53&lt;&gt;"VALID","Context invalid","READY")))))))))</x:f>
      </x:c>
      <x:c r="K53" s="2" t="str">
        <x:f>IF(A53="","",COUNT(T53:AE53))</x:f>
      </x:c>
      <x:c r="L53" s="2" t="str">
        <x:f>IF(A53="","",COUNT(AF53:AQ53))</x:f>
      </x:c>
      <x:c r="M53" s="2" t="str">
        <x:f>IF(A53="","",IF(OR('Core_Nativ'!M570&lt;'Core_Nativ'!P570,'Core_Nativ'!M571&lt;'Core_Nativ'!P571,'Core_Nativ'!M572&lt;'Core_Nativ'!P572,'Core_Nativ'!M573&lt;'Core_Nativ'!P573,'Core_Nativ'!M574&lt;'Core_Nativ'!P574,'Core_Nativ'!M575&lt;'Core_Nativ'!P575),"YES","NO"))</x:f>
      </x:c>
      <x:c r="N53" s="2" t="str">
        <x:f>IF(A53="","",'Core_Nativ'!M570)</x:f>
      </x:c>
      <x:c r="O53" s="2" t="str">
        <x:f>IF(A53="","",'Core_Nativ'!M571)</x:f>
      </x:c>
      <x:c r="P53" s="2" t="str">
        <x:f>IF(A53="","",'Core_Nativ'!M572)</x:f>
      </x:c>
      <x:c r="Q53" s="2" t="str">
        <x:f>IF(A53="","",'Core_Nativ'!M573)</x:f>
      </x:c>
      <x:c r="R53" s="2" t="str">
        <x:f>IF(A53="","",'Core_Nativ'!M574)</x:f>
      </x:c>
      <x:c r="S53" s="2" t="str">
        <x:f>IF(A53="","",'Core_Nativ'!M575)</x:f>
      </x:c>
      <x:c r="T53" s="11" t="str">
        <x:f>IF(OR(A53="",'Core_Nativ'!M570=0),"",'Core_Nativ'!N570)</x:f>
      </x:c>
      <x:c r="U53" s="11" t="str">
        <x:f>IF(OR(A53="",'Core_Nativ'!M570=0),"",'Core_Nativ'!O570)</x:f>
      </x:c>
      <x:c r="V53" s="11" t="str">
        <x:f>IF(OR(A53="",'Core_Nativ'!M571=0),"",'Core_Nativ'!N571)</x:f>
      </x:c>
      <x:c r="W53" s="11" t="str">
        <x:f>IF(OR(A53="",'Core_Nativ'!M571=0),"",'Core_Nativ'!O571)</x:f>
      </x:c>
      <x:c r="X53" s="11" t="str">
        <x:f>IF(OR(A53="",'Core_Nativ'!M572=0),"",'Core_Nativ'!N572)</x:f>
      </x:c>
      <x:c r="Y53" s="11" t="str">
        <x:f>IF(OR(A53="",'Core_Nativ'!M572=0),"",'Core_Nativ'!O572)</x:f>
      </x:c>
      <x:c r="Z53" s="11" t="str">
        <x:f>IF(OR(A53="",'Core_Nativ'!M573=0),"",'Core_Nativ'!N573)</x:f>
      </x:c>
      <x:c r="AA53" s="11" t="str">
        <x:f>IF(OR(A53="",'Core_Nativ'!M573=0),"",'Core_Nativ'!O573)</x:f>
      </x:c>
      <x:c r="AB53" s="11" t="str">
        <x:f>IF(OR(A53="",'Core_Nativ'!M574=0),"",'Core_Nativ'!N574)</x:f>
      </x:c>
      <x:c r="AC53" s="11" t="str">
        <x:f>IF(OR(A53="",'Core_Nativ'!M574=0),"",'Core_Nativ'!O574)</x:f>
      </x:c>
      <x:c r="AD53" s="11" t="str">
        <x:f>IF(OR(A53="",'Core_Nativ'!M575=0),"",'Core_Nativ'!N575)</x:f>
      </x:c>
      <x:c r="AE53" s="11" t="str">
        <x:f>IF(OR(A53="",'Core_Nativ'!M575=0),"",'Core_Nativ'!O575)</x:f>
      </x:c>
      <x:c r="AF53" s="11" t="str">
        <x:f>IF(A53="","",IF(AND('Core_Nativ'!R570="CLOSED",'Core_Nativ'!S570=0),IF('Core_Nativ'!M570&gt;='Core_Nativ'!P570,'Core_Nativ'!N570,IF(AND('Input_Meci'!L53="YES",'Input_Meci'!K53&lt;&gt;"",'Input_Meci'!K53&lt;C53,'Core_Nativ'!T576="DERIVED",'Core_Nativ'!M576&gt;='Core_Nativ'!P570),MIN(1,'Core_Nativ'!M570/'Core_Nativ'!P570)*IF('Core_Nativ'!M570=0,0,'Core_Nativ'!N570)+(1-MIN(1,'Core_Nativ'!M570/'Core_Nativ'!P570))*'Core_Nativ'!N576,"")),""))</x:f>
      </x:c>
      <x:c r="AG53" s="11" t="str">
        <x:f>IF(A53="","",IF(AND('Core_Nativ'!R570="CLOSED",'Core_Nativ'!S570=0),IF('Core_Nativ'!M570&gt;='Core_Nativ'!P570,'Core_Nativ'!O570,IF(AND('Input_Meci'!L53="YES",'Input_Meci'!K53&lt;&gt;"",'Input_Meci'!K53&lt;C53,'Core_Nativ'!T576="DERIVED",'Core_Nativ'!M576&gt;='Core_Nativ'!P570),MIN(1,'Core_Nativ'!M570/'Core_Nativ'!P570)*IF('Core_Nativ'!M570=0,0,'Core_Nativ'!O570)+(1-MIN(1,'Core_Nativ'!M570/'Core_Nativ'!P570))*'Core_Nativ'!O576,"")),""))</x:f>
      </x:c>
      <x:c r="AH53" s="11" t="str">
        <x:f>IF(A53="","",IF(AND('Core_Nativ'!R571="CLOSED",'Core_Nativ'!S571=0),IF('Core_Nativ'!M571&gt;='Core_Nativ'!P571,'Core_Nativ'!N571,IF(AND('Input_Meci'!L53="YES",'Input_Meci'!K53&lt;&gt;"",'Input_Meci'!K53&lt;C53,'Core_Nativ'!T577="DERIVED",'Core_Nativ'!M577&gt;='Core_Nativ'!P571),MIN(1,'Core_Nativ'!M571/'Core_Nativ'!P571)*IF('Core_Nativ'!M571=0,0,'Core_Nativ'!N571)+(1-MIN(1,'Core_Nativ'!M571/'Core_Nativ'!P571))*'Core_Nativ'!N577,"")),""))</x:f>
      </x:c>
      <x:c r="AI53" s="11" t="str">
        <x:f>IF(A53="","",IF(AND('Core_Nativ'!R571="CLOSED",'Core_Nativ'!S571=0),IF('Core_Nativ'!M571&gt;='Core_Nativ'!P571,'Core_Nativ'!O571,IF(AND('Input_Meci'!L53="YES",'Input_Meci'!K53&lt;&gt;"",'Input_Meci'!K53&lt;C53,'Core_Nativ'!T577="DERIVED",'Core_Nativ'!M577&gt;='Core_Nativ'!P571),MIN(1,'Core_Nativ'!M571/'Core_Nativ'!P571)*IF('Core_Nativ'!M571=0,0,'Core_Nativ'!O571)+(1-MIN(1,'Core_Nativ'!M571/'Core_Nativ'!P571))*'Core_Nativ'!O577,"")),""))</x:f>
      </x:c>
      <x:c r="AJ53" s="11" t="str">
        <x:f>IF(A53="","",IF(AND('Core_Nativ'!R572="CLOSED",'Core_Nativ'!S572=0),IF('Core_Nativ'!M572&gt;='Core_Nativ'!P572,'Core_Nativ'!N572,IF(AND('Input_Meci'!L53="YES",'Input_Meci'!K53&lt;&gt;"",'Input_Meci'!K53&lt;C53,'Core_Nativ'!T578="DERIVED",'Core_Nativ'!M578&gt;='Core_Nativ'!P572),MIN(1,'Core_Nativ'!M572/'Core_Nativ'!P572)*IF('Core_Nativ'!M572=0,0,'Core_Nativ'!N572)+(1-MIN(1,'Core_Nativ'!M572/'Core_Nativ'!P572))*'Core_Nativ'!N578,"")),""))</x:f>
      </x:c>
      <x:c r="AK53" s="11" t="str">
        <x:f>IF(A53="","",IF(AND('Core_Nativ'!R572="CLOSED",'Core_Nativ'!S572=0),IF('Core_Nativ'!M572&gt;='Core_Nativ'!P572,'Core_Nativ'!O572,IF(AND('Input_Meci'!L53="YES",'Input_Meci'!K53&lt;&gt;"",'Input_Meci'!K53&lt;C53,'Core_Nativ'!T578="DERIVED",'Core_Nativ'!M578&gt;='Core_Nativ'!P572),MIN(1,'Core_Nativ'!M572/'Core_Nativ'!P572)*IF('Core_Nativ'!M572=0,0,'Core_Nativ'!O572)+(1-MIN(1,'Core_Nativ'!M572/'Core_Nativ'!P572))*'Core_Nativ'!O578,"")),""))</x:f>
      </x:c>
      <x:c r="AL53" s="11" t="str">
        <x:f>IF(A53="","",IF(AND('Core_Nativ'!R573="CLOSED",'Core_Nativ'!S573=0),IF('Core_Nativ'!M573&gt;='Core_Nativ'!P573,'Core_Nativ'!N573,IF(AND('Input_Meci'!L53="YES",'Input_Meci'!K53&lt;&gt;"",'Input_Meci'!K53&lt;C53,'Core_Nativ'!T579="DERIVED",'Core_Nativ'!M579&gt;='Core_Nativ'!P573),MIN(1,'Core_Nativ'!M573/'Core_Nativ'!P573)*IF('Core_Nativ'!M573=0,0,'Core_Nativ'!N573)+(1-MIN(1,'Core_Nativ'!M573/'Core_Nativ'!P573))*'Core_Nativ'!N579,"")),""))</x:f>
      </x:c>
      <x:c r="AM53" s="11" t="str">
        <x:f>IF(A53="","",IF(AND('Core_Nativ'!R573="CLOSED",'Core_Nativ'!S573=0),IF('Core_Nativ'!M573&gt;='Core_Nativ'!P573,'Core_Nativ'!O573,IF(AND('Input_Meci'!L53="YES",'Input_Meci'!K53&lt;&gt;"",'Input_Meci'!K53&lt;C53,'Core_Nativ'!T579="DERIVED",'Core_Nativ'!M579&gt;='Core_Nativ'!P573),MIN(1,'Core_Nativ'!M573/'Core_Nativ'!P573)*IF('Core_Nativ'!M573=0,0,'Core_Nativ'!O573)+(1-MIN(1,'Core_Nativ'!M573/'Core_Nativ'!P573))*'Core_Nativ'!O579,"")),""))</x:f>
      </x:c>
      <x:c r="AN53" s="11" t="str">
        <x:f>IF(A53="","",IF(AND('Core_Nativ'!R574="CLOSED",'Core_Nativ'!S574=0),IF('Core_Nativ'!M574&gt;='Core_Nativ'!P574,'Core_Nativ'!N574,IF(AND('Input_Meci'!L53="YES",'Input_Meci'!K53&lt;&gt;"",'Input_Meci'!K53&lt;C53,'Core_Nativ'!T580="DERIVED",'Core_Nativ'!M580&gt;='Core_Nativ'!P574),MIN(1,'Core_Nativ'!M574/'Core_Nativ'!P574)*IF('Core_Nativ'!M574=0,0,'Core_Nativ'!N574)+(1-MIN(1,'Core_Nativ'!M574/'Core_Nativ'!P574))*'Core_Nativ'!N580,"")),""))</x:f>
      </x:c>
      <x:c r="AO53" s="11" t="str">
        <x:f>IF(A53="","",IF(AND('Core_Nativ'!R574="CLOSED",'Core_Nativ'!S574=0),IF('Core_Nativ'!M574&gt;='Core_Nativ'!P574,'Core_Nativ'!O574,IF(AND('Input_Meci'!L53="YES",'Input_Meci'!K53&lt;&gt;"",'Input_Meci'!K53&lt;C53,'Core_Nativ'!T580="DERIVED",'Core_Nativ'!M580&gt;='Core_Nativ'!P574),MIN(1,'Core_Nativ'!M574/'Core_Nativ'!P574)*IF('Core_Nativ'!M574=0,0,'Core_Nativ'!O574)+(1-MIN(1,'Core_Nativ'!M574/'Core_Nativ'!P574))*'Core_Nativ'!O580,"")),""))</x:f>
      </x:c>
      <x:c r="AP53" s="11" t="str">
        <x:f>IF(A53="","",IF(AND('Core_Nativ'!R575="CLOSED",'Core_Nativ'!S575=0),IF('Core_Nativ'!M575&gt;='Core_Nativ'!P575,'Core_Nativ'!N575,IF(AND('Input_Meci'!L53="YES",'Input_Meci'!K53&lt;&gt;"",'Input_Meci'!K53&lt;C53,'Core_Nativ'!T581="DERIVED",'Core_Nativ'!M581&gt;='Core_Nativ'!P575),MIN(1,'Core_Nativ'!M575/'Core_Nativ'!P575)*IF('Core_Nativ'!M575=0,0,'Core_Nativ'!N575)+(1-MIN(1,'Core_Nativ'!M575/'Core_Nativ'!P575))*'Core_Nativ'!N581,"")),""))</x:f>
      </x:c>
      <x:c r="AQ53" s="11" t="str">
        <x:f>IF(A53="","",IF(AND('Core_Nativ'!R575="CLOSED",'Core_Nativ'!S575=0),IF('Core_Nativ'!M575&gt;='Core_Nativ'!P575,'Core_Nativ'!O575,IF(AND('Input_Meci'!L53="YES",'Input_Meci'!K53&lt;&gt;"",'Input_Meci'!K53&lt;C53,'Core_Nativ'!T581="DERIVED",'Core_Nativ'!M581&gt;='Core_Nativ'!P575),MIN(1,'Core_Nativ'!M575/'Core_Nativ'!P575)*IF('Core_Nativ'!M575=0,0,'Core_Nativ'!O575)+(1-MIN(1,'Core_Nativ'!M575/'Core_Nativ'!P575))*'Core_Nativ'!O581,"")),""))</x:f>
      </x:c>
      <x:c r="AR53" s="11" t="str">
        <x:f>IF(A53="","",SUMPRODUCT(('Istoric_Nativ'!$B$6:$B$405=B53)*('Istoric_Nativ'!$C$6:$C$405=BL53)*('Istoric_Nativ'!$P$6:$P$405=1)*('Istoric_Nativ'!$D$6:$D$405&lt;INT(G53))*((('Istoric_Nativ'!$E$6:$E$405='Input_Meci'!D53)+('Istoric_Nativ'!$F$6:$F$405='Input_Meci'!D53)+('Istoric_Nativ'!$E$6:$E$405='Input_Meci'!E53)+('Istoric_Nativ'!$F$6:$F$405='Input_Meci'!E53))&gt;0)))</x:f>
      </x:c>
      <x:c r="AS53" s="11" t="str">
        <x:f>IF(AR53=0,"",SUMPRODUCT(('Istoric_Nativ'!$B$6:$B$405=B53)*('Istoric_Nativ'!$C$6:$C$405=BL53)*('Istoric_Nativ'!$P$6:$P$405=1)*('Istoric_Nativ'!$D$6:$D$405&lt;INT(G53))*((('Istoric_Nativ'!$E$6:$E$405='Input_Meci'!D53)+('Istoric_Nativ'!$F$6:$F$405='Input_Meci'!D53)+('Istoric_Nativ'!$E$6:$E$405='Input_Meci'!E53)+('Istoric_Nativ'!$F$6:$F$405='Input_Meci'!E53))&gt;0)*'Istoric_Nativ'!$Q$6:$Q$405)/AR53)</x:f>
      </x:c>
      <x:c r="AT53" s="11" t="str">
        <x:f>IF(AR53&lt;2,"",MAX(0,(SUMPRODUCT(('Istoric_Nativ'!$B$6:$B$405=B53)*('Istoric_Nativ'!$C$6:$C$405=BL53)*('Istoric_Nativ'!$P$6:$P$405=1)*('Istoric_Nativ'!$D$6:$D$405&lt;INT(G53))*((('Istoric_Nativ'!$E$6:$E$405='Input_Meci'!D53)+('Istoric_Nativ'!$F$6:$F$405='Input_Meci'!D53)+('Istoric_Nativ'!$E$6:$E$405='Input_Meci'!E53)+('Istoric_Nativ'!$F$6:$F$405='Input_Meci'!E53))&gt;0)*'Istoric_Nativ'!$R$6:$R$405)-AR53*AS53^2)/(AR53-1)))</x:f>
      </x:c>
      <x:c r="AU53" s="11" t="str">
        <x:f>IF(I53&lt;&gt;"PASS","",AT53/AS53)</x:f>
      </x:c>
      <x:c r="AV53" s="11" t="str">
        <x:f>IF(I53&lt;&gt;"PASS","",IF(AU53&lt;='Config_v6'!$B$10,"POISSON","NEGATIVE BINOMIAL"))</x:f>
      </x:c>
      <x:c r="AW53" s="11" t="str">
        <x:f>IF(I53&lt;&gt;"PASS","",IF(AV53="POISSON",9999,AS53/(AU53-1)))</x:f>
      </x:c>
      <x:c r="AX53" s="11" t="str">
        <x:f>IF(A53="","",MAX(1-'Config_v6'!$B$20,MIN(1+'Config_v6'!$B$20,1+0.02*(IF(AND(ISNUMBER('Input_Meci'!N53),'Input_Meci'!N53&gt;=0,'Input_Meci'!N53&lt;=200),'Input_Meci'!N53,12)/12-1)+0.02*(IF(AND(ISNUMBER('Input_Meci'!P53),'Input_Meci'!P53&gt;=0,'Input_Meci'!P53&lt;=200),'Input_Meci'!P53,3.5)/3.5-1)+0.02*(IF(AND(ISNUMBER('Input_Meci'!R53),'Input_Meci'!R53&gt;=0,'Input_Meci'!R53&lt;=200),'Input_Meci'!R53,18)/18-1)+0.02*((IF(AND(ISNUMBER('Input_Meci'!V53),'Input_Meci'!V53&gt;=0,'Input_Meci'!V53&lt;=10),'Input_Meci'!V53,5)-5)/5))))</x:f>
      </x:c>
      <x:c r="AY53" s="11" t="str">
        <x:f>IF(A53="","",MAX(1-'Config_v6'!$B$20,MIN(1+'Config_v6'!$B$20,1+0.02*(IF(AND(ISNUMBER('Input_Meci'!O53),'Input_Meci'!O53&gt;=0,'Input_Meci'!O53&lt;=200),'Input_Meci'!O53,12)/12-1)+0.02*(IF(AND(ISNUMBER('Input_Meci'!Q53),'Input_Meci'!Q53&gt;=0,'Input_Meci'!Q53&lt;=200),'Input_Meci'!Q53,3.5)/3.5-1)+0.02*(IF(AND(ISNUMBER('Input_Meci'!S53),'Input_Meci'!S53&gt;=0,'Input_Meci'!S53&lt;=200),'Input_Meci'!S53,18)/18-1)+0.02*((IF(AND(ISNUMBER('Input_Meci'!W53),'Input_Meci'!W53&gt;=0,'Input_Meci'!W53&lt;=10),'Input_Meci'!W53,5)-5)/5))))</x:f>
      </x:c>
      <x:c r="AZ53" s="11" t="str">
        <x:f>IF(A53="","",MAX(1-'Config_v6'!$B$21,MIN(1+'Config_v6'!$B$21,1+0.012*(IF('Input_Meci'!X53="",5,IF(ISNUMBER('Input_Meci'!X53),'Input_Meci'!X53,5))-5)+0.018*(IF('Input_Meci'!Z53="",5,IF(ISNUMBER('Input_Meci'!Z53),'Input_Meci'!Z53,5))-5)+0.012*(IF('Input_Meci'!AB53="",5,IF(ISNUMBER('Input_Meci'!AB53),'Input_Meci'!AB53,5))-5)+0.015*IF('Input_Meci'!AD53="",0,IF(ISNUMBER('Input_Meci'!AD53),'Input_Meci'!AD53,0))+0.02*IF('Input_Meci'!AF53="",0,IF(ISNUMBER('Input_Meci'!AF53),'Input_Meci'!AF53,0)))))</x:f>
      </x:c>
      <x:c r="BA53" s="11" t="str">
        <x:f>IF(A53="","",MAX(1-'Config_v6'!$B$21,MIN(1+'Config_v6'!$B$21,1+0.012*(IF('Input_Meci'!Y53="",5,IF(ISNUMBER('Input_Meci'!Y53),'Input_Meci'!Y53,5))-5)+0.018*(IF('Input_Meci'!AA53="",5,IF(ISNUMBER('Input_Meci'!AA53),'Input_Meci'!AA53,5))-5)+0.012*(IF('Input_Meci'!AC53="",5,IF(ISNUMBER('Input_Meci'!AC53),'Input_Meci'!AC53,5))-5)+0.015*IF('Input_Meci'!AE53="",0,IF(ISNUMBER('Input_Meci'!AE53),'Input_Meci'!AE53,0))+0.02*IF('Input_Meci'!AG53="",0,IF(ISNUMBER('Input_Meci'!AG53),'Input_Meci'!AG53,0)))))</x:f>
      </x:c>
      <x:c r="BB53" s="11" t="str">
        <x:f>IF(I53&lt;&gt;"PASS","",(AVERAGE(AF53,AM53)*'Config_v6'!$B$4+AVERAGE(AH53,AO53)*'Config_v6'!$B$5+AVERAGE(AJ53,AQ53)*'Config_v6'!$B$6)*AX53*AZ53)</x:f>
      </x:c>
      <x:c r="BC53" s="11" t="str">
        <x:f>IF(I53&lt;&gt;"PASS","",(AVERAGE(AL53,AG53)*'Config_v6'!$B$4+AVERAGE(AN53,AI53)*'Config_v6'!$B$5+AVERAGE(AP53,AK53)*'Config_v6'!$B$6)*AY53*BA53)</x:f>
      </x:c>
      <x:c r="BD53" s="11" t="str">
        <x:f>IF(I53&lt;&gt;"PASS","",BB53+BC53)</x:f>
      </x:c>
      <x:c r="BE53" s="11" t="str">
        <x:f>IF(A53="","",10-SUM(IF(AND(ISNUMBER('Input_Meci'!N53),'Input_Meci'!N53&gt;=0,'Input_Meci'!N53&lt;=200),1,0),IF(AND(ISNUMBER('Input_Meci'!O53),'Input_Meci'!O53&gt;=0,'Input_Meci'!O53&lt;=200),1,0),IF(AND(ISNUMBER('Input_Meci'!P53),'Input_Meci'!P53&gt;=0,'Input_Meci'!P53&lt;=200),1,0),IF(AND(ISNUMBER('Input_Meci'!Q53),'Input_Meci'!Q53&gt;=0,'Input_Meci'!Q53&lt;=200),1,0),IF(AND(ISNUMBER('Input_Meci'!R53),'Input_Meci'!R53&gt;=0,'Input_Meci'!R53&lt;=200),1,0),IF(AND(ISNUMBER('Input_Meci'!S53),'Input_Meci'!S53&gt;=0,'Input_Meci'!S53&lt;=200),1,0),IF(AND(ISNUMBER('Input_Meci'!T53),'Input_Meci'!T53&gt;=0,'Input_Meci'!T53&lt;=100),1,0),IF(AND(ISNUMBER('Input_Meci'!U53),'Input_Meci'!U53&gt;=0,'Input_Meci'!U53&lt;=100),1,0),IF(AND(ISNUMBER('Input_Meci'!V53),'Input_Meci'!V53&gt;=0,'Input_Meci'!V53&lt;=10),1,0),IF(AND(ISNUMBER('Input_Meci'!W53),'Input_Meci'!W53&gt;=0,'Input_Meci'!W53&lt;=10),1,0)))</x:f>
      </x:c>
      <x:c r="BF53" s="11" t="str">
        <x:f>IF(I53&lt;&gt;"PASS","",MAX(0,MIN(IF(OR(M53="YES",BL53&lt;&gt;C53),'Config_v6'!$B$34,100),ROUND(40+25*MIN(1,MIN(N53,Q53)/'Config_v6'!$B$7)*MIN(1,MIN(O53,R53)/'Config_v6'!$B$8)*MIN(1,MIN(P53,S53)/'Config_v6'!$B$9)+MAX(0,15-2*ABS(AF53-AJ53)-2*ABS(AL53-AP53))+IF(AU53&lt;='Config_v6'!$B$10,15,IF(AU53&lt;='Config_v6'!$B$11,13,IF(AU53&lt;='Config_v6'!$B$12,10,IF(AU53&lt;='Config_v6'!$B$13,6,0))))+5-BE53/10*'Config_v6'!$B$38,0))))</x:f>
      </x:c>
      <x:c r="BG53" s="11" t="str">
        <x:f>IF(I53&lt;&gt;"PASS","",MIN(1,'Config_v6'!$B$14*(0.7+0.3*MIN(1,AR53/'Config_v6'!$B$15))*IF(AU53&lt;='Config_v6'!$B$10,1,IF(AU53&lt;='Config_v6'!$B$11,0.95,IF(AU53&lt;='Config_v6'!$B$12,0.88,0.78)))*(0.75+0.25*BF53/100)))</x:f>
      </x:c>
      <x:c r="BH53" s="11" t="str">
        <x:f>IF(I53&lt;&gt;"PASS","",MIN(1,(ABS(AZ53-1)+ABS(BA53-1))*3))</x:f>
      </x:c>
      <x:c r="BI53" s="2" t="str">
        <x:f>IF(A53="","",IF(AND(OR('Input_Meci'!X53="",AND(ISNUMBER('Input_Meci'!X53),'Input_Meci'!X53&gt;=0,'Input_Meci'!X53&lt;=10)),OR('Input_Meci'!Y53="",AND(ISNUMBER('Input_Meci'!Y53),'Input_Meci'!Y53&gt;=0,'Input_Meci'!Y53&lt;=10)),OR('Input_Meci'!Z53="",AND(ISNUMBER('Input_Meci'!Z53),'Input_Meci'!Z53&gt;=0,'Input_Meci'!Z53&lt;=10)),OR('Input_Meci'!AA53="",AND(ISNUMBER('Input_Meci'!AA53),'Input_Meci'!AA53&gt;=0,'Input_Meci'!AA53&lt;=10)),OR('Input_Meci'!AB53="",AND(ISNUMBER('Input_Meci'!AB53),'Input_Meci'!AB53&gt;=0,'Input_Meci'!AB53&lt;=10)),OR('Input_Meci'!AC53="",AND(ISNUMBER('Input_Meci'!AC53),'Input_Meci'!AC53&gt;=0,'Input_Meci'!AC53&lt;=10)),OR('Input_Meci'!AD53="",AND(ISNUMBER('Input_Meci'!AD53),'Input_Meci'!AD53&gt;=-2,'Input_Meci'!AD53&lt;=2)),OR('Input_Meci'!AE53="",AND(ISNUMBER('Input_Meci'!AE53),'Input_Meci'!AE53&gt;=-2,'Input_Meci'!AE53&lt;=2)),OR('Input_Meci'!AF53="",AND(ISNUMBER('Input_Meci'!AF53),'Input_Meci'!AF53&gt;=-2,'Input_Meci'!AF53&lt;=2)),OR('Input_Meci'!AG53="",AND(ISNUMBER('Input_Meci'!AG53),'Input_Meci'!AG53&gt;=-2,'Input_Meci'!AG53&lt;=2))),"VALID","INVALID"))</x:f>
      </x:c>
      <x:c r="BJ53" s="2" t="n">
        <x:f>IF(A53="",0,SUM('Core_Nativ'!S570:S575))</x:f>
        <x:v>0</x:v>
      </x:c>
      <x:c r="BK53" s="2" t="str">
        <x:f>'Config_v6'!$B$40</x:f>
        <x:v>VALID</x:v>
      </x:c>
      <x:c r="BL53" s="2" t="str">
        <x:f>IF(A53="","",IF(SUMPRODUCT(('Istoric_Nativ'!$B$6:$B$405=B53)*('Istoric_Nativ'!$C$6:$C$405=C53)*('Istoric_Nativ'!$P$6:$P$405=1)*('Istoric_Nativ'!$D$6:$D$405&lt;INT(G53))*((('Istoric_Nativ'!$E$6:$E$405='Input_Meci'!D53)+('Istoric_Nativ'!$F$6:$F$405='Input_Meci'!D53)+('Istoric_Nativ'!$E$6:$E$405='Input_Meci'!E53)+('Istoric_Nativ'!$F$6:$F$405='Input_Meci'!E53))&gt;0))&gt;='Config_v6'!$B$41,C53,IF(AND('Input_Meci'!L53="YES",'Input_Meci'!K53&lt;&gt;"",'Input_Meci'!K53&lt;C53,COUNTIF('Core_Nativ'!R576:R581,"CLOSED")=6,SUM('Core_Nativ'!S576:S581)=0),'Input_Meci'!K53,C53)))</x:f>
      </x:c>
      <x:c r="BM53" s="9" t="n">
        <x:f>IF(OR(A53="",N53=0),0,LARGE(_xlfn._xlws.FILTER('Istoric_Nativ'!$D$6:$D$405,('Istoric_Nativ'!$B$6:$B$405=B53)*('Istoric_Nativ'!$C$6:$C$405=C53)*('Istoric_Nativ'!$P$6:$P$405=1)*('Istoric_Nativ'!$D$6:$D$405&lt;INT(G53))*((('Istoric_Nativ'!$E$6:$E$405='Input_Meci'!D53)+('Istoric_Nativ'!$F$6:$F$405='Input_Meci'!D53))&gt;0)),MIN(10,N53)))</x:f>
        <x:v>0</x:v>
      </x:c>
      <x:c r="BN53" s="9" t="n">
        <x:f>IF(OR(A53="",Q53=0),0,LARGE(_xlfn._xlws.FILTER('Istoric_Nativ'!$D$6:$D$405,('Istoric_Nativ'!$B$6:$B$405=B53)*('Istoric_Nativ'!$C$6:$C$405=C53)*('Istoric_Nativ'!$P$6:$P$405=1)*('Istoric_Nativ'!$D$6:$D$405&lt;INT(G53))*((('Istoric_Nativ'!$E$6:$E$405='Input_Meci'!E53)+('Istoric_Nativ'!$F$6:$F$405='Input_Meci'!E53))&gt;0)),MIN(10,Q53)))</x:f>
        <x:v>0</x:v>
      </x:c>
      <x:c r="BO53" s="9" t="n">
        <x:f>IF(OR(A53="",N53=0),0,LARGE(_xlfn._xlws.FILTER('Istoric_Nativ'!$D$6:$D$405,('Istoric_Nativ'!$B$6:$B$405=B53)*('Istoric_Nativ'!$C$6:$C$405=C53)*('Istoric_Nativ'!$P$6:$P$405=1)*('Istoric_Nativ'!$D$6:$D$405&lt;INT(G53))*((('Istoric_Nativ'!$E$6:$E$405='Input_Meci'!D53)+('Istoric_Nativ'!$F$6:$F$405='Input_Meci'!D53))&gt;0)),MIN(20,N53)))</x:f>
        <x:v>0</x:v>
      </x:c>
      <x:c r="BP53" s="9" t="n">
        <x:f>IF(OR(A53="",Q53=0),0,LARGE(_xlfn._xlws.FILTER('Istoric_Nativ'!$D$6:$D$405,('Istoric_Nativ'!$B$6:$B$405=B53)*('Istoric_Nativ'!$C$6:$C$405=C53)*('Istoric_Nativ'!$P$6:$P$405=1)*('Istoric_Nativ'!$D$6:$D$405&lt;INT(G53))*((('Istoric_Nativ'!$E$6:$E$405='Input_Meci'!E53)+('Istoric_Nativ'!$F$6:$F$405='Input_Meci'!E53))&gt;0)),MIN(20,Q53)))</x:f>
        <x:v>0</x:v>
      </x:c>
      <x:c r="BQ53" s="2" t="str">
        <x:f>IF(A53="","",IF(AND(COUNTIF(MatchesTable[Match_ID],A53)=1,COUNTIFS(MatchesTable[League],B53,MatchesTable[Season],C53,MatchesTable[Home],'Input_Meci'!D53,MatchesTable[Away],'Input_Meci'!E53,MatchesTable[Kickoff_UTC],F53)=1,B53&lt;&gt;"",C53&lt;&gt;"",'Input_Meci'!D53&lt;&gt;"",'Input_Meci'!E53&lt;&gt;"",'Input_Meci'!D53&lt;&gt;'Input_Meci'!E53,ISNUMBER(F53),ISNUMBER(G53),G53&lt;F53,OR(E53="LIVE",E53="REPLAY"),OR('Input_Meci'!L53="YES",'Input_Meci'!L53="NO",'Input_Meci'!L53="")),"VALID","INVALID"))</x:f>
      </x:c>
      <x:c r="BR53" s="2" t="n">
        <x:f>IF(I53&lt;&gt;"PASS",0,SUMPRODUCT(('Istoric_Nativ'!$B$6:$B$405='Input_Meci'!B53)*('Istoric_Nativ'!$C$6:$C$405='Input_Meci'!C53)*('Istoric_Nativ'!$P$6:$P$405=1)*('Istoric_Nativ'!$D$6:$D$405&lt;INT('Input_Meci'!G53))*((('Istoric_Nativ'!$E$6:$E$405='Input_Meci'!D53)+('Istoric_Nativ'!$F$6:$F$405='Input_Meci'!E53))&gt;0)))</x:f>
        <x:v>0</x:v>
      </x:c>
      <x:c r="BS53" s="2" t="n">
        <x:f>IF(I53&lt;&gt;"PASS",0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BM53)+((('Istoric_Nativ'!$E$6:$E$405='Input_Meci'!E53)+('Istoric_Nativ'!$F$6:$F$405='Input_Meci'!E53))&gt;0)*('Istoric_Nativ'!$D$6:$D$405&gt;=BN53))&gt;0)))</x:f>
        <x:v>0</x:v>
      </x:c>
      <x:c r="BT53" s="2" t="n">
        <x:f>IF(I53&lt;&gt;"PASS",0,SUMPRODUCT(('Istoric_Nativ'!$B$6:$B$405='Input_Meci'!B53)*('Istoric_Nativ'!$C$6:$C$405='Input_Meci'!C53)*('Istoric_Nativ'!$P$6:$P$405=1)*('Istoric_Nativ'!$D$6:$D$405&lt;INT('Input_Meci'!G53))*((((('Istoric_Nativ'!$E$6:$E$405='Input_Meci'!D53)+('Istoric_Nativ'!$F$6:$F$405='Input_Meci'!D53))&gt;0)*('Istoric_Nativ'!$D$6:$D$405&gt;=BO53)+((('Istoric_Nativ'!$E$6:$E$405='Input_Meci'!E53)+('Istoric_Nativ'!$F$6:$F$405='Input_Meci'!E53))&gt;0)*('Istoric_Nativ'!$D$6:$D$405&gt;=BP53))&gt;0)))</x:f>
        <x:v>0</x:v>
      </x:c>
    </x:row>
    <x:row r="54" ht="21" customHeight="1">
      <x:c r="A54" s="2" t="str">
        <x:f>IF('Input_Meci'!A54="","",'Input_Meci'!A54)</x:f>
      </x:c>
      <x:c r="B54" s="2" t="str">
        <x:f>IF(A54="","",'Input_Meci'!B54)</x:f>
      </x:c>
      <x:c r="C54" s="2" t="str">
        <x:f>IF(A54="","",'Input_Meci'!C54)</x:f>
      </x:c>
      <x:c r="D54" s="2" t="str">
        <x:f>IF(A54="","",'Input_Meci'!D54&amp;" – "&amp;'Input_Meci'!E54)</x:f>
      </x:c>
      <x:c r="E54" s="2" t="str">
        <x:f>IF(A54="","",'Input_Meci'!H54)</x:f>
      </x:c>
      <x:c r="F54" s="9" t="str">
        <x:f>IF(A54="","",'Input_Meci'!F54)</x:f>
      </x:c>
      <x:c r="G54" s="9" t="str">
        <x:f>IF(A54="","",'Input_Meci'!G54)</x:f>
      </x:c>
      <x:c r="H54" s="2" t="str">
        <x:f>IF(A54="","",IF(BQ54&lt;&gt;"VALID","NOT RELEASED",IF(AND(OR('Input_Meci'!I54="NOT AVAILABLE",'Input_Meci'!I54="SOURCE CONFLICT"),'Input_Meci'!J54&lt;&gt;""),"READY",IF(OR(NOT(OR('Input_Meci'!I54="AUTO",'Input_Meci'!I54="")),COUNTIF('Core_Nativ'!R582:R587,"CLOSED")&lt;&gt;6,BJ54&gt;0),"NOT RELEASED","READY"))))</x:f>
      </x:c>
      <x:c r="I54" s="2" t="str">
        <x:f>IF(A54="","",IF(H54&lt;&gt;"READY","NOT RELEASED",IF(AND(NOT(OR('Input_Meci'!I54="NOT AVAILABLE",'Input_Meci'!I54="SOURCE CONFLICT")),L54=12,AR54&gt;=2,AS54&gt;0,ISNUMBER(AT54),BI54="VALID",BK54="VALID"),"PASS","FAIL")))</x:f>
      </x:c>
      <x:c r="J54" s="2" t="str">
        <x:f>IF(A54="","",IF(BQ54&lt;&gt;"VALID","Verifica ID, echipe, mod si cutoff &lt; kickoff",IF(H54&lt;&gt;"READY",IF('Input_Meci'!I54="ACCESS BLOCKED","Acces blocat: reia sursele",IF(BJ54&gt;0,"Istoric invalid sau conflict: verifica randurile native","Surse neinchise / post-cutoff / dovezi incomplete")),IF(OR('Input_Meci'!I54="NOT AVAILABLE",'Input_Meci'!I54="SOURCE CONFLICT"),'Input_Meci'!I54,IF(BK54&lt;&gt;"VALID","Parametri invalizi",IF(L54&lt;&gt;12,"Core / sample / prior insuficient",IF(AR54&lt;2,"N insuficient pentru dispersie",IF(AS54&lt;=0,"Media istorica trebuie sa fie pozitiva",IF(BI54&lt;&gt;"VALID","Context invalid","READY")))))))))</x:f>
      </x:c>
      <x:c r="K54" s="2" t="str">
        <x:f>IF(A54="","",COUNT(T54:AE54))</x:f>
      </x:c>
      <x:c r="L54" s="2" t="str">
        <x:f>IF(A54="","",COUNT(AF54:AQ54))</x:f>
      </x:c>
      <x:c r="M54" s="2" t="str">
        <x:f>IF(A54="","",IF(OR('Core_Nativ'!M582&lt;'Core_Nativ'!P582,'Core_Nativ'!M583&lt;'Core_Nativ'!P583,'Core_Nativ'!M584&lt;'Core_Nativ'!P584,'Core_Nativ'!M585&lt;'Core_Nativ'!P585,'Core_Nativ'!M586&lt;'Core_Nativ'!P586,'Core_Nativ'!M587&lt;'Core_Nativ'!P587),"YES","NO"))</x:f>
      </x:c>
      <x:c r="N54" s="2" t="str">
        <x:f>IF(A54="","",'Core_Nativ'!M582)</x:f>
      </x:c>
      <x:c r="O54" s="2" t="str">
        <x:f>IF(A54="","",'Core_Nativ'!M583)</x:f>
      </x:c>
      <x:c r="P54" s="2" t="str">
        <x:f>IF(A54="","",'Core_Nativ'!M584)</x:f>
      </x:c>
      <x:c r="Q54" s="2" t="str">
        <x:f>IF(A54="","",'Core_Nativ'!M585)</x:f>
      </x:c>
      <x:c r="R54" s="2" t="str">
        <x:f>IF(A54="","",'Core_Nativ'!M586)</x:f>
      </x:c>
      <x:c r="S54" s="2" t="str">
        <x:f>IF(A54="","",'Core_Nativ'!M587)</x:f>
      </x:c>
      <x:c r="T54" s="11" t="str">
        <x:f>IF(OR(A54="",'Core_Nativ'!M582=0),"",'Core_Nativ'!N582)</x:f>
      </x:c>
      <x:c r="U54" s="11" t="str">
        <x:f>IF(OR(A54="",'Core_Nativ'!M582=0),"",'Core_Nativ'!O582)</x:f>
      </x:c>
      <x:c r="V54" s="11" t="str">
        <x:f>IF(OR(A54="",'Core_Nativ'!M583=0),"",'Core_Nativ'!N583)</x:f>
      </x:c>
      <x:c r="W54" s="11" t="str">
        <x:f>IF(OR(A54="",'Core_Nativ'!M583=0),"",'Core_Nativ'!O583)</x:f>
      </x:c>
      <x:c r="X54" s="11" t="str">
        <x:f>IF(OR(A54="",'Core_Nativ'!M584=0),"",'Core_Nativ'!N584)</x:f>
      </x:c>
      <x:c r="Y54" s="11" t="str">
        <x:f>IF(OR(A54="",'Core_Nativ'!M584=0),"",'Core_Nativ'!O584)</x:f>
      </x:c>
      <x:c r="Z54" s="11" t="str">
        <x:f>IF(OR(A54="",'Core_Nativ'!M585=0),"",'Core_Nativ'!N585)</x:f>
      </x:c>
      <x:c r="AA54" s="11" t="str">
        <x:f>IF(OR(A54="",'Core_Nativ'!M585=0),"",'Core_Nativ'!O585)</x:f>
      </x:c>
      <x:c r="AB54" s="11" t="str">
        <x:f>IF(OR(A54="",'Core_Nativ'!M586=0),"",'Core_Nativ'!N586)</x:f>
      </x:c>
      <x:c r="AC54" s="11" t="str">
        <x:f>IF(OR(A54="",'Core_Nativ'!M586=0),"",'Core_Nativ'!O586)</x:f>
      </x:c>
      <x:c r="AD54" s="11" t="str">
        <x:f>IF(OR(A54="",'Core_Nativ'!M587=0),"",'Core_Nativ'!N587)</x:f>
      </x:c>
      <x:c r="AE54" s="11" t="str">
        <x:f>IF(OR(A54="",'Core_Nativ'!M587=0),"",'Core_Nativ'!O587)</x:f>
      </x:c>
      <x:c r="AF54" s="11" t="str">
        <x:f>IF(A54="","",IF(AND('Core_Nativ'!R582="CLOSED",'Core_Nativ'!S582=0),IF('Core_Nativ'!M582&gt;='Core_Nativ'!P582,'Core_Nativ'!N582,IF(AND('Input_Meci'!L54="YES",'Input_Meci'!K54&lt;&gt;"",'Input_Meci'!K54&lt;C54,'Core_Nativ'!T588="DERIVED",'Core_Nativ'!M588&gt;='Core_Nativ'!P582),MIN(1,'Core_Nativ'!M582/'Core_Nativ'!P582)*IF('Core_Nativ'!M582=0,0,'Core_Nativ'!N582)+(1-MIN(1,'Core_Nativ'!M582/'Core_Nativ'!P582))*'Core_Nativ'!N588,"")),""))</x:f>
      </x:c>
      <x:c r="AG54" s="11" t="str">
        <x:f>IF(A54="","",IF(AND('Core_Nativ'!R582="CLOSED",'Core_Nativ'!S582=0),IF('Core_Nativ'!M582&gt;='Core_Nativ'!P582,'Core_Nativ'!O582,IF(AND('Input_Meci'!L54="YES",'Input_Meci'!K54&lt;&gt;"",'Input_Meci'!K54&lt;C54,'Core_Nativ'!T588="DERIVED",'Core_Nativ'!M588&gt;='Core_Nativ'!P582),MIN(1,'Core_Nativ'!M582/'Core_Nativ'!P582)*IF('Core_Nativ'!M582=0,0,'Core_Nativ'!O582)+(1-MIN(1,'Core_Nativ'!M582/'Core_Nativ'!P582))*'Core_Nativ'!O588,"")),""))</x:f>
      </x:c>
      <x:c r="AH54" s="11" t="str">
        <x:f>IF(A54="","",IF(AND('Core_Nativ'!R583="CLOSED",'Core_Nativ'!S583=0),IF('Core_Nativ'!M583&gt;='Core_Nativ'!P583,'Core_Nativ'!N583,IF(AND('Input_Meci'!L54="YES",'Input_Meci'!K54&lt;&gt;"",'Input_Meci'!K54&lt;C54,'Core_Nativ'!T589="DERIVED",'Core_Nativ'!M589&gt;='Core_Nativ'!P583),MIN(1,'Core_Nativ'!M583/'Core_Nativ'!P583)*IF('Core_Nativ'!M583=0,0,'Core_Nativ'!N583)+(1-MIN(1,'Core_Nativ'!M583/'Core_Nativ'!P583))*'Core_Nativ'!N589,"")),""))</x:f>
      </x:c>
      <x:c r="AI54" s="11" t="str">
        <x:f>IF(A54="","",IF(AND('Core_Nativ'!R583="CLOSED",'Core_Nativ'!S583=0),IF('Core_Nativ'!M583&gt;='Core_Nativ'!P583,'Core_Nativ'!O583,IF(AND('Input_Meci'!L54="YES",'Input_Meci'!K54&lt;&gt;"",'Input_Meci'!K54&lt;C54,'Core_Nativ'!T589="DERIVED",'Core_Nativ'!M589&gt;='Core_Nativ'!P583),MIN(1,'Core_Nativ'!M583/'Core_Nativ'!P583)*IF('Core_Nativ'!M583=0,0,'Core_Nativ'!O583)+(1-MIN(1,'Core_Nativ'!M583/'Core_Nativ'!P583))*'Core_Nativ'!O589,"")),""))</x:f>
      </x:c>
      <x:c r="AJ54" s="11" t="str">
        <x:f>IF(A54="","",IF(AND('Core_Nativ'!R584="CLOSED",'Core_Nativ'!S584=0),IF('Core_Nativ'!M584&gt;='Core_Nativ'!P584,'Core_Nativ'!N584,IF(AND('Input_Meci'!L54="YES",'Input_Meci'!K54&lt;&gt;"",'Input_Meci'!K54&lt;C54,'Core_Nativ'!T590="DERIVED",'Core_Nativ'!M590&gt;='Core_Nativ'!P584),MIN(1,'Core_Nativ'!M584/'Core_Nativ'!P584)*IF('Core_Nativ'!M584=0,0,'Core_Nativ'!N584)+(1-MIN(1,'Core_Nativ'!M584/'Core_Nativ'!P584))*'Core_Nativ'!N590,"")),""))</x:f>
      </x:c>
      <x:c r="AK54" s="11" t="str">
        <x:f>IF(A54="","",IF(AND('Core_Nativ'!R584="CLOSED",'Core_Nativ'!S584=0),IF('Core_Nativ'!M584&gt;='Core_Nativ'!P584,'Core_Nativ'!O584,IF(AND('Input_Meci'!L54="YES",'Input_Meci'!K54&lt;&gt;"",'Input_Meci'!K54&lt;C54,'Core_Nativ'!T590="DERIVED",'Core_Nativ'!M590&gt;='Core_Nativ'!P584),MIN(1,'Core_Nativ'!M584/'Core_Nativ'!P584)*IF('Core_Nativ'!M584=0,0,'Core_Nativ'!O584)+(1-MIN(1,'Core_Nativ'!M584/'Core_Nativ'!P584))*'Core_Nativ'!O590,"")),""))</x:f>
      </x:c>
      <x:c r="AL54" s="11" t="str">
        <x:f>IF(A54="","",IF(AND('Core_Nativ'!R585="CLOSED",'Core_Nativ'!S585=0),IF('Core_Nativ'!M585&gt;='Core_Nativ'!P585,'Core_Nativ'!N585,IF(AND('Input_Meci'!L54="YES",'Input_Meci'!K54&lt;&gt;"",'Input_Meci'!K54&lt;C54,'Core_Nativ'!T591="DERIVED",'Core_Nativ'!M591&gt;='Core_Nativ'!P585),MIN(1,'Core_Nativ'!M585/'Core_Nativ'!P585)*IF('Core_Nativ'!M585=0,0,'Core_Nativ'!N585)+(1-MIN(1,'Core_Nativ'!M585/'Core_Nativ'!P585))*'Core_Nativ'!N591,"")),""))</x:f>
      </x:c>
      <x:c r="AM54" s="11" t="str">
        <x:f>IF(A54="","",IF(AND('Core_Nativ'!R585="CLOSED",'Core_Nativ'!S585=0),IF('Core_Nativ'!M585&gt;='Core_Nativ'!P585,'Core_Nativ'!O585,IF(AND('Input_Meci'!L54="YES",'Input_Meci'!K54&lt;&gt;"",'Input_Meci'!K54&lt;C54,'Core_Nativ'!T591="DERIVED",'Core_Nativ'!M591&gt;='Core_Nativ'!P585),MIN(1,'Core_Nativ'!M585/'Core_Nativ'!P585)*IF('Core_Nativ'!M585=0,0,'Core_Nativ'!O585)+(1-MIN(1,'Core_Nativ'!M585/'Core_Nativ'!P585))*'Core_Nativ'!O591,"")),""))</x:f>
      </x:c>
      <x:c r="AN54" s="11" t="str">
        <x:f>IF(A54="","",IF(AND('Core_Nativ'!R586="CLOSED",'Core_Nativ'!S586=0),IF('Core_Nativ'!M586&gt;='Core_Nativ'!P586,'Core_Nativ'!N586,IF(AND('Input_Meci'!L54="YES",'Input_Meci'!K54&lt;&gt;"",'Input_Meci'!K54&lt;C54,'Core_Nativ'!T592="DERIVED",'Core_Nativ'!M592&gt;='Core_Nativ'!P586),MIN(1,'Core_Nativ'!M586/'Core_Nativ'!P586)*IF('Core_Nativ'!M586=0,0,'Core_Nativ'!N586)+(1-MIN(1,'Core_Nativ'!M586/'Core_Nativ'!P586))*'Core_Nativ'!N592,"")),""))</x:f>
      </x:c>
      <x:c r="AO54" s="11" t="str">
        <x:f>IF(A54="","",IF(AND('Core_Nativ'!R586="CLOSED",'Core_Nativ'!S586=0),IF('Core_Nativ'!M586&gt;='Core_Nativ'!P586,'Core_Nativ'!O586,IF(AND('Input_Meci'!L54="YES",'Input_Meci'!K54&lt;&gt;"",'Input_Meci'!K54&lt;C54,'Core_Nativ'!T592="DERIVED",'Core_Nativ'!M592&gt;='Core_Nativ'!P586),MIN(1,'Core_Nativ'!M586/'Core_Nativ'!P586)*IF('Core_Nativ'!M586=0,0,'Core_Nativ'!O586)+(1-MIN(1,'Core_Nativ'!M586/'Core_Nativ'!P586))*'Core_Nativ'!O592,"")),""))</x:f>
      </x:c>
      <x:c r="AP54" s="11" t="str">
        <x:f>IF(A54="","",IF(AND('Core_Nativ'!R587="CLOSED",'Core_Nativ'!S587=0),IF('Core_Nativ'!M587&gt;='Core_Nativ'!P587,'Core_Nativ'!N587,IF(AND('Input_Meci'!L54="YES",'Input_Meci'!K54&lt;&gt;"",'Input_Meci'!K54&lt;C54,'Core_Nativ'!T593="DERIVED",'Core_Nativ'!M593&gt;='Core_Nativ'!P587),MIN(1,'Core_Nativ'!M587/'Core_Nativ'!P587)*IF('Core_Nativ'!M587=0,0,'Core_Nativ'!N587)+(1-MIN(1,'Core_Nativ'!M587/'Core_Nativ'!P587))*'Core_Nativ'!N593,"")),""))</x:f>
      </x:c>
      <x:c r="AQ54" s="11" t="str">
        <x:f>IF(A54="","",IF(AND('Core_Nativ'!R587="CLOSED",'Core_Nativ'!S587=0),IF('Core_Nativ'!M587&gt;='Core_Nativ'!P587,'Core_Nativ'!O587,IF(AND('Input_Meci'!L54="YES",'Input_Meci'!K54&lt;&gt;"",'Input_Meci'!K54&lt;C54,'Core_Nativ'!T593="DERIVED",'Core_Nativ'!M593&gt;='Core_Nativ'!P587),MIN(1,'Core_Nativ'!M587/'Core_Nativ'!P587)*IF('Core_Nativ'!M587=0,0,'Core_Nativ'!O587)+(1-MIN(1,'Core_Nativ'!M587/'Core_Nativ'!P587))*'Core_Nativ'!O593,"")),""))</x:f>
      </x:c>
      <x:c r="AR54" s="11" t="str">
        <x:f>IF(A54="","",SUMPRODUCT(('Istoric_Nativ'!$B$6:$B$405=B54)*('Istoric_Nativ'!$C$6:$C$405=BL54)*('Istoric_Nativ'!$P$6:$P$405=1)*('Istoric_Nativ'!$D$6:$D$405&lt;INT(G54))*((('Istoric_Nativ'!$E$6:$E$405='Input_Meci'!D54)+('Istoric_Nativ'!$F$6:$F$405='Input_Meci'!D54)+('Istoric_Nativ'!$E$6:$E$405='Input_Meci'!E54)+('Istoric_Nativ'!$F$6:$F$405='Input_Meci'!E54))&gt;0)))</x:f>
      </x:c>
      <x:c r="AS54" s="11" t="str">
        <x:f>IF(AR54=0,"",SUMPRODUCT(('Istoric_Nativ'!$B$6:$B$405=B54)*('Istoric_Nativ'!$C$6:$C$405=BL54)*('Istoric_Nativ'!$P$6:$P$405=1)*('Istoric_Nativ'!$D$6:$D$405&lt;INT(G54))*((('Istoric_Nativ'!$E$6:$E$405='Input_Meci'!D54)+('Istoric_Nativ'!$F$6:$F$405='Input_Meci'!D54)+('Istoric_Nativ'!$E$6:$E$405='Input_Meci'!E54)+('Istoric_Nativ'!$F$6:$F$405='Input_Meci'!E54))&gt;0)*'Istoric_Nativ'!$Q$6:$Q$405)/AR54)</x:f>
      </x:c>
      <x:c r="AT54" s="11" t="str">
        <x:f>IF(AR54&lt;2,"",MAX(0,(SUMPRODUCT(('Istoric_Nativ'!$B$6:$B$405=B54)*('Istoric_Nativ'!$C$6:$C$405=BL54)*('Istoric_Nativ'!$P$6:$P$405=1)*('Istoric_Nativ'!$D$6:$D$405&lt;INT(G54))*((('Istoric_Nativ'!$E$6:$E$405='Input_Meci'!D54)+('Istoric_Nativ'!$F$6:$F$405='Input_Meci'!D54)+('Istoric_Nativ'!$E$6:$E$405='Input_Meci'!E54)+('Istoric_Nativ'!$F$6:$F$405='Input_Meci'!E54))&gt;0)*'Istoric_Nativ'!$R$6:$R$405)-AR54*AS54^2)/(AR54-1)))</x:f>
      </x:c>
      <x:c r="AU54" s="11" t="str">
        <x:f>IF(I54&lt;&gt;"PASS","",AT54/AS54)</x:f>
      </x:c>
      <x:c r="AV54" s="11" t="str">
        <x:f>IF(I54&lt;&gt;"PASS","",IF(AU54&lt;='Config_v6'!$B$10,"POISSON","NEGATIVE BINOMIAL"))</x:f>
      </x:c>
      <x:c r="AW54" s="11" t="str">
        <x:f>IF(I54&lt;&gt;"PASS","",IF(AV54="POISSON",9999,AS54/(AU54-1)))</x:f>
      </x:c>
      <x:c r="AX54" s="11" t="str">
        <x:f>IF(A54="","",MAX(1-'Config_v6'!$B$20,MIN(1+'Config_v6'!$B$20,1+0.02*(IF(AND(ISNUMBER('Input_Meci'!N54),'Input_Meci'!N54&gt;=0,'Input_Meci'!N54&lt;=200),'Input_Meci'!N54,12)/12-1)+0.02*(IF(AND(ISNUMBER('Input_Meci'!P54),'Input_Meci'!P54&gt;=0,'Input_Meci'!P54&lt;=200),'Input_Meci'!P54,3.5)/3.5-1)+0.02*(IF(AND(ISNUMBER('Input_Meci'!R54),'Input_Meci'!R54&gt;=0,'Input_Meci'!R54&lt;=200),'Input_Meci'!R54,18)/18-1)+0.02*((IF(AND(ISNUMBER('Input_Meci'!V54),'Input_Meci'!V54&gt;=0,'Input_Meci'!V54&lt;=10),'Input_Meci'!V54,5)-5)/5))))</x:f>
      </x:c>
      <x:c r="AY54" s="11" t="str">
        <x:f>IF(A54="","",MAX(1-'Config_v6'!$B$20,MIN(1+'Config_v6'!$B$20,1+0.02*(IF(AND(ISNUMBER('Input_Meci'!O54),'Input_Meci'!O54&gt;=0,'Input_Meci'!O54&lt;=200),'Input_Meci'!O54,12)/12-1)+0.02*(IF(AND(ISNUMBER('Input_Meci'!Q54),'Input_Meci'!Q54&gt;=0,'Input_Meci'!Q54&lt;=200),'Input_Meci'!Q54,3.5)/3.5-1)+0.02*(IF(AND(ISNUMBER('Input_Meci'!S54),'Input_Meci'!S54&gt;=0,'Input_Meci'!S54&lt;=200),'Input_Meci'!S54,18)/18-1)+0.02*((IF(AND(ISNUMBER('Input_Meci'!W54),'Input_Meci'!W54&gt;=0,'Input_Meci'!W54&lt;=10),'Input_Meci'!W54,5)-5)/5))))</x:f>
      </x:c>
      <x:c r="AZ54" s="11" t="str">
        <x:f>IF(A54="","",MAX(1-'Config_v6'!$B$21,MIN(1+'Config_v6'!$B$21,1+0.012*(IF('Input_Meci'!X54="",5,IF(ISNUMBER('Input_Meci'!X54),'Input_Meci'!X54,5))-5)+0.018*(IF('Input_Meci'!Z54="",5,IF(ISNUMBER('Input_Meci'!Z54),'Input_Meci'!Z54,5))-5)+0.012*(IF('Input_Meci'!AB54="",5,IF(ISNUMBER('Input_Meci'!AB54),'Input_Meci'!AB54,5))-5)+0.015*IF('Input_Meci'!AD54="",0,IF(ISNUMBER('Input_Meci'!AD54),'Input_Meci'!AD54,0))+0.02*IF('Input_Meci'!AF54="",0,IF(ISNUMBER('Input_Meci'!AF54),'Input_Meci'!AF54,0)))))</x:f>
      </x:c>
      <x:c r="BA54" s="11" t="str">
        <x:f>IF(A54="","",MAX(1-'Config_v6'!$B$21,MIN(1+'Config_v6'!$B$21,1+0.012*(IF('Input_Meci'!Y54="",5,IF(ISNUMBER('Input_Meci'!Y54),'Input_Meci'!Y54,5))-5)+0.018*(IF('Input_Meci'!AA54="",5,IF(ISNUMBER('Input_Meci'!AA54),'Input_Meci'!AA54,5))-5)+0.012*(IF('Input_Meci'!AC54="",5,IF(ISNUMBER('Input_Meci'!AC54),'Input_Meci'!AC54,5))-5)+0.015*IF('Input_Meci'!AE54="",0,IF(ISNUMBER('Input_Meci'!AE54),'Input_Meci'!AE54,0))+0.02*IF('Input_Meci'!AG54="",0,IF(ISNUMBER('Input_Meci'!AG54),'Input_Meci'!AG54,0)))))</x:f>
      </x:c>
      <x:c r="BB54" s="11" t="str">
        <x:f>IF(I54&lt;&gt;"PASS","",(AVERAGE(AF54,AM54)*'Config_v6'!$B$4+AVERAGE(AH54,AO54)*'Config_v6'!$B$5+AVERAGE(AJ54,AQ54)*'Config_v6'!$B$6)*AX54*AZ54)</x:f>
      </x:c>
      <x:c r="BC54" s="11" t="str">
        <x:f>IF(I54&lt;&gt;"PASS","",(AVERAGE(AL54,AG54)*'Config_v6'!$B$4+AVERAGE(AN54,AI54)*'Config_v6'!$B$5+AVERAGE(AP54,AK54)*'Config_v6'!$B$6)*AY54*BA54)</x:f>
      </x:c>
      <x:c r="BD54" s="11" t="str">
        <x:f>IF(I54&lt;&gt;"PASS","",BB54+BC54)</x:f>
      </x:c>
      <x:c r="BE54" s="11" t="str">
        <x:f>IF(A54="","",10-SUM(IF(AND(ISNUMBER('Input_Meci'!N54),'Input_Meci'!N54&gt;=0,'Input_Meci'!N54&lt;=200),1,0),IF(AND(ISNUMBER('Input_Meci'!O54),'Input_Meci'!O54&gt;=0,'Input_Meci'!O54&lt;=200),1,0),IF(AND(ISNUMBER('Input_Meci'!P54),'Input_Meci'!P54&gt;=0,'Input_Meci'!P54&lt;=200),1,0),IF(AND(ISNUMBER('Input_Meci'!Q54),'Input_Meci'!Q54&gt;=0,'Input_Meci'!Q54&lt;=200),1,0),IF(AND(ISNUMBER('Input_Meci'!R54),'Input_Meci'!R54&gt;=0,'Input_Meci'!R54&lt;=200),1,0),IF(AND(ISNUMBER('Input_Meci'!S54),'Input_Meci'!S54&gt;=0,'Input_Meci'!S54&lt;=200),1,0),IF(AND(ISNUMBER('Input_Meci'!T54),'Input_Meci'!T54&gt;=0,'Input_Meci'!T54&lt;=100),1,0),IF(AND(ISNUMBER('Input_Meci'!U54),'Input_Meci'!U54&gt;=0,'Input_Meci'!U54&lt;=100),1,0),IF(AND(ISNUMBER('Input_Meci'!V54),'Input_Meci'!V54&gt;=0,'Input_Meci'!V54&lt;=10),1,0),IF(AND(ISNUMBER('Input_Meci'!W54),'Input_Meci'!W54&gt;=0,'Input_Meci'!W54&lt;=10),1,0)))</x:f>
      </x:c>
      <x:c r="BF54" s="11" t="str">
        <x:f>IF(I54&lt;&gt;"PASS","",MAX(0,MIN(IF(OR(M54="YES",BL54&lt;&gt;C54),'Config_v6'!$B$34,100),ROUND(40+25*MIN(1,MIN(N54,Q54)/'Config_v6'!$B$7)*MIN(1,MIN(O54,R54)/'Config_v6'!$B$8)*MIN(1,MIN(P54,S54)/'Config_v6'!$B$9)+MAX(0,15-2*ABS(AF54-AJ54)-2*ABS(AL54-AP54))+IF(AU54&lt;='Config_v6'!$B$10,15,IF(AU54&lt;='Config_v6'!$B$11,13,IF(AU54&lt;='Config_v6'!$B$12,10,IF(AU54&lt;='Config_v6'!$B$13,6,0))))+5-BE54/10*'Config_v6'!$B$38,0))))</x:f>
      </x:c>
      <x:c r="BG54" s="11" t="str">
        <x:f>IF(I54&lt;&gt;"PASS","",MIN(1,'Config_v6'!$B$14*(0.7+0.3*MIN(1,AR54/'Config_v6'!$B$15))*IF(AU54&lt;='Config_v6'!$B$10,1,IF(AU54&lt;='Config_v6'!$B$11,0.95,IF(AU54&lt;='Config_v6'!$B$12,0.88,0.78)))*(0.75+0.25*BF54/100)))</x:f>
      </x:c>
      <x:c r="BH54" s="11" t="str">
        <x:f>IF(I54&lt;&gt;"PASS","",MIN(1,(ABS(AZ54-1)+ABS(BA54-1))*3))</x:f>
      </x:c>
      <x:c r="BI54" s="2" t="str">
        <x:f>IF(A54="","",IF(AND(OR('Input_Meci'!X54="",AND(ISNUMBER('Input_Meci'!X54),'Input_Meci'!X54&gt;=0,'Input_Meci'!X54&lt;=10)),OR('Input_Meci'!Y54="",AND(ISNUMBER('Input_Meci'!Y54),'Input_Meci'!Y54&gt;=0,'Input_Meci'!Y54&lt;=10)),OR('Input_Meci'!Z54="",AND(ISNUMBER('Input_Meci'!Z54),'Input_Meci'!Z54&gt;=0,'Input_Meci'!Z54&lt;=10)),OR('Input_Meci'!AA54="",AND(ISNUMBER('Input_Meci'!AA54),'Input_Meci'!AA54&gt;=0,'Input_Meci'!AA54&lt;=10)),OR('Input_Meci'!AB54="",AND(ISNUMBER('Input_Meci'!AB54),'Input_Meci'!AB54&gt;=0,'Input_Meci'!AB54&lt;=10)),OR('Input_Meci'!AC54="",AND(ISNUMBER('Input_Meci'!AC54),'Input_Meci'!AC54&gt;=0,'Input_Meci'!AC54&lt;=10)),OR('Input_Meci'!AD54="",AND(ISNUMBER('Input_Meci'!AD54),'Input_Meci'!AD54&gt;=-2,'Input_Meci'!AD54&lt;=2)),OR('Input_Meci'!AE54="",AND(ISNUMBER('Input_Meci'!AE54),'Input_Meci'!AE54&gt;=-2,'Input_Meci'!AE54&lt;=2)),OR('Input_Meci'!AF54="",AND(ISNUMBER('Input_Meci'!AF54),'Input_Meci'!AF54&gt;=-2,'Input_Meci'!AF54&lt;=2)),OR('Input_Meci'!AG54="",AND(ISNUMBER('Input_Meci'!AG54),'Input_Meci'!AG54&gt;=-2,'Input_Meci'!AG54&lt;=2))),"VALID","INVALID"))</x:f>
      </x:c>
      <x:c r="BJ54" s="2" t="n">
        <x:f>IF(A54="",0,SUM('Core_Nativ'!S582:S587))</x:f>
        <x:v>0</x:v>
      </x:c>
      <x:c r="BK54" s="2" t="str">
        <x:f>'Config_v6'!$B$40</x:f>
        <x:v>VALID</x:v>
      </x:c>
      <x:c r="BL54" s="2" t="str">
        <x:f>IF(A54="","",IF(SUMPRODUCT(('Istoric_Nativ'!$B$6:$B$405=B54)*('Istoric_Nativ'!$C$6:$C$405=C54)*('Istoric_Nativ'!$P$6:$P$405=1)*('Istoric_Nativ'!$D$6:$D$405&lt;INT(G54))*((('Istoric_Nativ'!$E$6:$E$405='Input_Meci'!D54)+('Istoric_Nativ'!$F$6:$F$405='Input_Meci'!D54)+('Istoric_Nativ'!$E$6:$E$405='Input_Meci'!E54)+('Istoric_Nativ'!$F$6:$F$405='Input_Meci'!E54))&gt;0))&gt;='Config_v6'!$B$41,C54,IF(AND('Input_Meci'!L54="YES",'Input_Meci'!K54&lt;&gt;"",'Input_Meci'!K54&lt;C54,COUNTIF('Core_Nativ'!R588:R593,"CLOSED")=6,SUM('Core_Nativ'!S588:S593)=0),'Input_Meci'!K54,C54)))</x:f>
      </x:c>
      <x:c r="BM54" s="9" t="n">
        <x:f>IF(OR(A54="",N54=0),0,LARGE(_xlfn._xlws.FILTER('Istoric_Nativ'!$D$6:$D$405,('Istoric_Nativ'!$B$6:$B$405=B54)*('Istoric_Nativ'!$C$6:$C$405=C54)*('Istoric_Nativ'!$P$6:$P$405=1)*('Istoric_Nativ'!$D$6:$D$405&lt;INT(G54))*((('Istoric_Nativ'!$E$6:$E$405='Input_Meci'!D54)+('Istoric_Nativ'!$F$6:$F$405='Input_Meci'!D54))&gt;0)),MIN(10,N54)))</x:f>
        <x:v>0</x:v>
      </x:c>
      <x:c r="BN54" s="9" t="n">
        <x:f>IF(OR(A54="",Q54=0),0,LARGE(_xlfn._xlws.FILTER('Istoric_Nativ'!$D$6:$D$405,('Istoric_Nativ'!$B$6:$B$405=B54)*('Istoric_Nativ'!$C$6:$C$405=C54)*('Istoric_Nativ'!$P$6:$P$405=1)*('Istoric_Nativ'!$D$6:$D$405&lt;INT(G54))*((('Istoric_Nativ'!$E$6:$E$405='Input_Meci'!E54)+('Istoric_Nativ'!$F$6:$F$405='Input_Meci'!E54))&gt;0)),MIN(10,Q54)))</x:f>
        <x:v>0</x:v>
      </x:c>
      <x:c r="BO54" s="9" t="n">
        <x:f>IF(OR(A54="",N54=0),0,LARGE(_xlfn._xlws.FILTER('Istoric_Nativ'!$D$6:$D$405,('Istoric_Nativ'!$B$6:$B$405=B54)*('Istoric_Nativ'!$C$6:$C$405=C54)*('Istoric_Nativ'!$P$6:$P$405=1)*('Istoric_Nativ'!$D$6:$D$405&lt;INT(G54))*((('Istoric_Nativ'!$E$6:$E$405='Input_Meci'!D54)+('Istoric_Nativ'!$F$6:$F$405='Input_Meci'!D54))&gt;0)),MIN(20,N54)))</x:f>
        <x:v>0</x:v>
      </x:c>
      <x:c r="BP54" s="9" t="n">
        <x:f>IF(OR(A54="",Q54=0),0,LARGE(_xlfn._xlws.FILTER('Istoric_Nativ'!$D$6:$D$405,('Istoric_Nativ'!$B$6:$B$405=B54)*('Istoric_Nativ'!$C$6:$C$405=C54)*('Istoric_Nativ'!$P$6:$P$405=1)*('Istoric_Nativ'!$D$6:$D$405&lt;INT(G54))*((('Istoric_Nativ'!$E$6:$E$405='Input_Meci'!E54)+('Istoric_Nativ'!$F$6:$F$405='Input_Meci'!E54))&gt;0)),MIN(20,Q54)))</x:f>
        <x:v>0</x:v>
      </x:c>
      <x:c r="BQ54" s="2" t="str">
        <x:f>IF(A54="","",IF(AND(COUNTIF(MatchesTable[Match_ID],A54)=1,COUNTIFS(MatchesTable[League],B54,MatchesTable[Season],C54,MatchesTable[Home],'Input_Meci'!D54,MatchesTable[Away],'Input_Meci'!E54,MatchesTable[Kickoff_UTC],F54)=1,B54&lt;&gt;"",C54&lt;&gt;"",'Input_Meci'!D54&lt;&gt;"",'Input_Meci'!E54&lt;&gt;"",'Input_Meci'!D54&lt;&gt;'Input_Meci'!E54,ISNUMBER(F54),ISNUMBER(G54),G54&lt;F54,OR(E54="LIVE",E54="REPLAY"),OR('Input_Meci'!L54="YES",'Input_Meci'!L54="NO",'Input_Meci'!L54="")),"VALID","INVALID"))</x:f>
      </x:c>
      <x:c r="BR54" s="2" t="n">
        <x:f>IF(I54&lt;&gt;"PASS",0,SUMPRODUCT(('Istoric_Nativ'!$B$6:$B$405='Input_Meci'!B54)*('Istoric_Nativ'!$C$6:$C$405='Input_Meci'!C54)*('Istoric_Nativ'!$P$6:$P$405=1)*('Istoric_Nativ'!$D$6:$D$405&lt;INT('Input_Meci'!G54))*((('Istoric_Nativ'!$E$6:$E$405='Input_Meci'!D54)+('Istoric_Nativ'!$F$6:$F$405='Input_Meci'!E54))&gt;0)))</x:f>
        <x:v>0</x:v>
      </x:c>
      <x:c r="BS54" s="2" t="n">
        <x:f>IF(I54&lt;&gt;"PASS",0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BM54)+((('Istoric_Nativ'!$E$6:$E$405='Input_Meci'!E54)+('Istoric_Nativ'!$F$6:$F$405='Input_Meci'!E54))&gt;0)*('Istoric_Nativ'!$D$6:$D$405&gt;=BN54))&gt;0)))</x:f>
        <x:v>0</x:v>
      </x:c>
      <x:c r="BT54" s="2" t="n">
        <x:f>IF(I54&lt;&gt;"PASS",0,SUMPRODUCT(('Istoric_Nativ'!$B$6:$B$405='Input_Meci'!B54)*('Istoric_Nativ'!$C$6:$C$405='Input_Meci'!C54)*('Istoric_Nativ'!$P$6:$P$405=1)*('Istoric_Nativ'!$D$6:$D$405&lt;INT('Input_Meci'!G54))*((((('Istoric_Nativ'!$E$6:$E$405='Input_Meci'!D54)+('Istoric_Nativ'!$F$6:$F$405='Input_Meci'!D54))&gt;0)*('Istoric_Nativ'!$D$6:$D$405&gt;=BO54)+((('Istoric_Nativ'!$E$6:$E$405='Input_Meci'!E54)+('Istoric_Nativ'!$F$6:$F$405='Input_Meci'!E54))&gt;0)*('Istoric_Nativ'!$D$6:$D$405&gt;=BP54))&gt;0)))</x:f>
        <x:v>0</x:v>
      </x:c>
    </x:row>
    <x:row r="55" ht="21" customHeight="1">
      <x:c r="A55" s="2" t="str">
        <x:f>IF('Input_Meci'!A55="","",'Input_Meci'!A55)</x:f>
      </x:c>
      <x:c r="B55" s="2" t="str">
        <x:f>IF(A55="","",'Input_Meci'!B55)</x:f>
      </x:c>
      <x:c r="C55" s="2" t="str">
        <x:f>IF(A55="","",'Input_Meci'!C55)</x:f>
      </x:c>
      <x:c r="D55" s="2" t="str">
        <x:f>IF(A55="","",'Input_Meci'!D55&amp;" – "&amp;'Input_Meci'!E55)</x:f>
      </x:c>
      <x:c r="E55" s="2" t="str">
        <x:f>IF(A55="","",'Input_Meci'!H55)</x:f>
      </x:c>
      <x:c r="F55" s="9" t="str">
        <x:f>IF(A55="","",'Input_Meci'!F55)</x:f>
      </x:c>
      <x:c r="G55" s="9" t="str">
        <x:f>IF(A55="","",'Input_Meci'!G55)</x:f>
      </x:c>
      <x:c r="H55" s="2" t="str">
        <x:f>IF(A55="","",IF(BQ55&lt;&gt;"VALID","NOT RELEASED",IF(AND(OR('Input_Meci'!I55="NOT AVAILABLE",'Input_Meci'!I55="SOURCE CONFLICT"),'Input_Meci'!J55&lt;&gt;""),"READY",IF(OR(NOT(OR('Input_Meci'!I55="AUTO",'Input_Meci'!I55="")),COUNTIF('Core_Nativ'!R594:R599,"CLOSED")&lt;&gt;6,BJ55&gt;0),"NOT RELEASED","READY"))))</x:f>
      </x:c>
      <x:c r="I55" s="2" t="str">
        <x:f>IF(A55="","",IF(H55&lt;&gt;"READY","NOT RELEASED",IF(AND(NOT(OR('Input_Meci'!I55="NOT AVAILABLE",'Input_Meci'!I55="SOURCE CONFLICT")),L55=12,AR55&gt;=2,AS55&gt;0,ISNUMBER(AT55),BI55="VALID",BK55="VALID"),"PASS","FAIL")))</x:f>
      </x:c>
      <x:c r="J55" s="2" t="str">
        <x:f>IF(A55="","",IF(BQ55&lt;&gt;"VALID","Verifica ID, echipe, mod si cutoff &lt; kickoff",IF(H55&lt;&gt;"READY",IF('Input_Meci'!I55="ACCESS BLOCKED","Acces blocat: reia sursele",IF(BJ55&gt;0,"Istoric invalid sau conflict: verifica randurile native","Surse neinchise / post-cutoff / dovezi incomplete")),IF(OR('Input_Meci'!I55="NOT AVAILABLE",'Input_Meci'!I55="SOURCE CONFLICT"),'Input_Meci'!I55,IF(BK55&lt;&gt;"VALID","Parametri invalizi",IF(L55&lt;&gt;12,"Core / sample / prior insuficient",IF(AR55&lt;2,"N insuficient pentru dispersie",IF(AS55&lt;=0,"Media istorica trebuie sa fie pozitiva",IF(BI55&lt;&gt;"VALID","Context invalid","READY")))))))))</x:f>
      </x:c>
      <x:c r="K55" s="2" t="str">
        <x:f>IF(A55="","",COUNT(T55:AE55))</x:f>
      </x:c>
      <x:c r="L55" s="2" t="str">
        <x:f>IF(A55="","",COUNT(AF55:AQ55))</x:f>
      </x:c>
      <x:c r="M55" s="2" t="str">
        <x:f>IF(A55="","",IF(OR('Core_Nativ'!M594&lt;'Core_Nativ'!P594,'Core_Nativ'!M595&lt;'Core_Nativ'!P595,'Core_Nativ'!M596&lt;'Core_Nativ'!P596,'Core_Nativ'!M597&lt;'Core_Nativ'!P597,'Core_Nativ'!M598&lt;'Core_Nativ'!P598,'Core_Nativ'!M599&lt;'Core_Nativ'!P599),"YES","NO"))</x:f>
      </x:c>
      <x:c r="N55" s="2" t="str">
        <x:f>IF(A55="","",'Core_Nativ'!M594)</x:f>
      </x:c>
      <x:c r="O55" s="2" t="str">
        <x:f>IF(A55="","",'Core_Nativ'!M595)</x:f>
      </x:c>
      <x:c r="P55" s="2" t="str">
        <x:f>IF(A55="","",'Core_Nativ'!M596)</x:f>
      </x:c>
      <x:c r="Q55" s="2" t="str">
        <x:f>IF(A55="","",'Core_Nativ'!M597)</x:f>
      </x:c>
      <x:c r="R55" s="2" t="str">
        <x:f>IF(A55="","",'Core_Nativ'!M598)</x:f>
      </x:c>
      <x:c r="S55" s="2" t="str">
        <x:f>IF(A55="","",'Core_Nativ'!M599)</x:f>
      </x:c>
      <x:c r="T55" s="11" t="str">
        <x:f>IF(OR(A55="",'Core_Nativ'!M594=0),"",'Core_Nativ'!N594)</x:f>
      </x:c>
      <x:c r="U55" s="11" t="str">
        <x:f>IF(OR(A55="",'Core_Nativ'!M594=0),"",'Core_Nativ'!O594)</x:f>
      </x:c>
      <x:c r="V55" s="11" t="str">
        <x:f>IF(OR(A55="",'Core_Nativ'!M595=0),"",'Core_Nativ'!N595)</x:f>
      </x:c>
      <x:c r="W55" s="11" t="str">
        <x:f>IF(OR(A55="",'Core_Nativ'!M595=0),"",'Core_Nativ'!O595)</x:f>
      </x:c>
      <x:c r="X55" s="11" t="str">
        <x:f>IF(OR(A55="",'Core_Nativ'!M596=0),"",'Core_Nativ'!N596)</x:f>
      </x:c>
      <x:c r="Y55" s="11" t="str">
        <x:f>IF(OR(A55="",'Core_Nativ'!M596=0),"",'Core_Nativ'!O596)</x:f>
      </x:c>
      <x:c r="Z55" s="11" t="str">
        <x:f>IF(OR(A55="",'Core_Nativ'!M597=0),"",'Core_Nativ'!N597)</x:f>
      </x:c>
      <x:c r="AA55" s="11" t="str">
        <x:f>IF(OR(A55="",'Core_Nativ'!M597=0),"",'Core_Nativ'!O597)</x:f>
      </x:c>
      <x:c r="AB55" s="11" t="str">
        <x:f>IF(OR(A55="",'Core_Nativ'!M598=0),"",'Core_Nativ'!N598)</x:f>
      </x:c>
      <x:c r="AC55" s="11" t="str">
        <x:f>IF(OR(A55="",'Core_Nativ'!M598=0),"",'Core_Nativ'!O598)</x:f>
      </x:c>
      <x:c r="AD55" s="11" t="str">
        <x:f>IF(OR(A55="",'Core_Nativ'!M599=0),"",'Core_Nativ'!N599)</x:f>
      </x:c>
      <x:c r="AE55" s="11" t="str">
        <x:f>IF(OR(A55="",'Core_Nativ'!M599=0),"",'Core_Nativ'!O599)</x:f>
      </x:c>
      <x:c r="AF55" s="11" t="str">
        <x:f>IF(A55="","",IF(AND('Core_Nativ'!R594="CLOSED",'Core_Nativ'!S594=0),IF('Core_Nativ'!M594&gt;='Core_Nativ'!P594,'Core_Nativ'!N594,IF(AND('Input_Meci'!L55="YES",'Input_Meci'!K55&lt;&gt;"",'Input_Meci'!K55&lt;C55,'Core_Nativ'!T600="DERIVED",'Core_Nativ'!M600&gt;='Core_Nativ'!P594),MIN(1,'Core_Nativ'!M594/'Core_Nativ'!P594)*IF('Core_Nativ'!M594=0,0,'Core_Nativ'!N594)+(1-MIN(1,'Core_Nativ'!M594/'Core_Nativ'!P594))*'Core_Nativ'!N600,"")),""))</x:f>
      </x:c>
      <x:c r="AG55" s="11" t="str">
        <x:f>IF(A55="","",IF(AND('Core_Nativ'!R594="CLOSED",'Core_Nativ'!S594=0),IF('Core_Nativ'!M594&gt;='Core_Nativ'!P594,'Core_Nativ'!O594,IF(AND('Input_Meci'!L55="YES",'Input_Meci'!K55&lt;&gt;"",'Input_Meci'!K55&lt;C55,'Core_Nativ'!T600="DERIVED",'Core_Nativ'!M600&gt;='Core_Nativ'!P594),MIN(1,'Core_Nativ'!M594/'Core_Nativ'!P594)*IF('Core_Nativ'!M594=0,0,'Core_Nativ'!O594)+(1-MIN(1,'Core_Nativ'!M594/'Core_Nativ'!P594))*'Core_Nativ'!O600,"")),""))</x:f>
      </x:c>
      <x:c r="AH55" s="11" t="str">
        <x:f>IF(A55="","",IF(AND('Core_Nativ'!R595="CLOSED",'Core_Nativ'!S595=0),IF('Core_Nativ'!M595&gt;='Core_Nativ'!P595,'Core_Nativ'!N595,IF(AND('Input_Meci'!L55="YES",'Input_Meci'!K55&lt;&gt;"",'Input_Meci'!K55&lt;C55,'Core_Nativ'!T601="DERIVED",'Core_Nativ'!M601&gt;='Core_Nativ'!P595),MIN(1,'Core_Nativ'!M595/'Core_Nativ'!P595)*IF('Core_Nativ'!M595=0,0,'Core_Nativ'!N595)+(1-MIN(1,'Core_Nativ'!M595/'Core_Nativ'!P595))*'Core_Nativ'!N601,"")),""))</x:f>
      </x:c>
      <x:c r="AI55" s="11" t="str">
        <x:f>IF(A55="","",IF(AND('Core_Nativ'!R595="CLOSED",'Core_Nativ'!S595=0),IF('Core_Nativ'!M595&gt;='Core_Nativ'!P595,'Core_Nativ'!O595,IF(AND('Input_Meci'!L55="YES",'Input_Meci'!K55&lt;&gt;"",'Input_Meci'!K55&lt;C55,'Core_Nativ'!T601="DERIVED",'Core_Nativ'!M601&gt;='Core_Nativ'!P595),MIN(1,'Core_Nativ'!M595/'Core_Nativ'!P595)*IF('Core_Nativ'!M595=0,0,'Core_Nativ'!O595)+(1-MIN(1,'Core_Nativ'!M595/'Core_Nativ'!P595))*'Core_Nativ'!O601,"")),""))</x:f>
      </x:c>
      <x:c r="AJ55" s="11" t="str">
        <x:f>IF(A55="","",IF(AND('Core_Nativ'!R596="CLOSED",'Core_Nativ'!S596=0),IF('Core_Nativ'!M596&gt;='Core_Nativ'!P596,'Core_Nativ'!N596,IF(AND('Input_Meci'!L55="YES",'Input_Meci'!K55&lt;&gt;"",'Input_Meci'!K55&lt;C55,'Core_Nativ'!T602="DERIVED",'Core_Nativ'!M602&gt;='Core_Nativ'!P596),MIN(1,'Core_Nativ'!M596/'Core_Nativ'!P596)*IF('Core_Nativ'!M596=0,0,'Core_Nativ'!N596)+(1-MIN(1,'Core_Nativ'!M596/'Core_Nativ'!P596))*'Core_Nativ'!N602,"")),""))</x:f>
      </x:c>
      <x:c r="AK55" s="11" t="str">
        <x:f>IF(A55="","",IF(AND('Core_Nativ'!R596="CLOSED",'Core_Nativ'!S596=0),IF('Core_Nativ'!M596&gt;='Core_Nativ'!P596,'Core_Nativ'!O596,IF(AND('Input_Meci'!L55="YES",'Input_Meci'!K55&lt;&gt;"",'Input_Meci'!K55&lt;C55,'Core_Nativ'!T602="DERIVED",'Core_Nativ'!M602&gt;='Core_Nativ'!P596),MIN(1,'Core_Nativ'!M596/'Core_Nativ'!P596)*IF('Core_Nativ'!M596=0,0,'Core_Nativ'!O596)+(1-MIN(1,'Core_Nativ'!M596/'Core_Nativ'!P596))*'Core_Nativ'!O602,"")),""))</x:f>
      </x:c>
      <x:c r="AL55" s="11" t="str">
        <x:f>IF(A55="","",IF(AND('Core_Nativ'!R597="CLOSED",'Core_Nativ'!S597=0),IF('Core_Nativ'!M597&gt;='Core_Nativ'!P597,'Core_Nativ'!N597,IF(AND('Input_Meci'!L55="YES",'Input_Meci'!K55&lt;&gt;"",'Input_Meci'!K55&lt;C55,'Core_Nativ'!T603="DERIVED",'Core_Nativ'!M603&gt;='Core_Nativ'!P597),MIN(1,'Core_Nativ'!M597/'Core_Nativ'!P597)*IF('Core_Nativ'!M597=0,0,'Core_Nativ'!N597)+(1-MIN(1,'Core_Nativ'!M597/'Core_Nativ'!P597))*'Core_Nativ'!N603,"")),""))</x:f>
      </x:c>
      <x:c r="AM55" s="11" t="str">
        <x:f>IF(A55="","",IF(AND('Core_Nativ'!R597="CLOSED",'Core_Nativ'!S597=0),IF('Core_Nativ'!M597&gt;='Core_Nativ'!P597,'Core_Nativ'!O597,IF(AND('Input_Meci'!L55="YES",'Input_Meci'!K55&lt;&gt;"",'Input_Meci'!K55&lt;C55,'Core_Nativ'!T603="DERIVED",'Core_Nativ'!M603&gt;='Core_Nativ'!P597),MIN(1,'Core_Nativ'!M597/'Core_Nativ'!P597)*IF('Core_Nativ'!M597=0,0,'Core_Nativ'!O597)+(1-MIN(1,'Core_Nativ'!M597/'Core_Nativ'!P597))*'Core_Nativ'!O603,"")),""))</x:f>
      </x:c>
      <x:c r="AN55" s="11" t="str">
        <x:f>IF(A55="","",IF(AND('Core_Nativ'!R598="CLOSED",'Core_Nativ'!S598=0),IF('Core_Nativ'!M598&gt;='Core_Nativ'!P598,'Core_Nativ'!N598,IF(AND('Input_Meci'!L55="YES",'Input_Meci'!K55&lt;&gt;"",'Input_Meci'!K55&lt;C55,'Core_Nativ'!T604="DERIVED",'Core_Nativ'!M604&gt;='Core_Nativ'!P598),MIN(1,'Core_Nativ'!M598/'Core_Nativ'!P598)*IF('Core_Nativ'!M598=0,0,'Core_Nativ'!N598)+(1-MIN(1,'Core_Nativ'!M598/'Core_Nativ'!P598))*'Core_Nativ'!N604,"")),""))</x:f>
      </x:c>
      <x:c r="AO55" s="11" t="str">
        <x:f>IF(A55="","",IF(AND('Core_Nativ'!R598="CLOSED",'Core_Nativ'!S598=0),IF('Core_Nativ'!M598&gt;='Core_Nativ'!P598,'Core_Nativ'!O598,IF(AND('Input_Meci'!L55="YES",'Input_Meci'!K55&lt;&gt;"",'Input_Meci'!K55&lt;C55,'Core_Nativ'!T604="DERIVED",'Core_Nativ'!M604&gt;='Core_Nativ'!P598),MIN(1,'Core_Nativ'!M598/'Core_Nativ'!P598)*IF('Core_Nativ'!M598=0,0,'Core_Nativ'!O598)+(1-MIN(1,'Core_Nativ'!M598/'Core_Nativ'!P598))*'Core_Nativ'!O604,"")),""))</x:f>
      </x:c>
      <x:c r="AP55" s="11" t="str">
        <x:f>IF(A55="","",IF(AND('Core_Nativ'!R599="CLOSED",'Core_Nativ'!S599=0),IF('Core_Nativ'!M599&gt;='Core_Nativ'!P599,'Core_Nativ'!N599,IF(AND('Input_Meci'!L55="YES",'Input_Meci'!K55&lt;&gt;"",'Input_Meci'!K55&lt;C55,'Core_Nativ'!T605="DERIVED",'Core_Nativ'!M605&gt;='Core_Nativ'!P599),MIN(1,'Core_Nativ'!M599/'Core_Nativ'!P599)*IF('Core_Nativ'!M599=0,0,'Core_Nativ'!N599)+(1-MIN(1,'Core_Nativ'!M599/'Core_Nativ'!P599))*'Core_Nativ'!N605,"")),""))</x:f>
      </x:c>
      <x:c r="AQ55" s="11" t="str">
        <x:f>IF(A55="","",IF(AND('Core_Nativ'!R599="CLOSED",'Core_Nativ'!S599=0),IF('Core_Nativ'!M599&gt;='Core_Nativ'!P599,'Core_Nativ'!O599,IF(AND('Input_Meci'!L55="YES",'Input_Meci'!K55&lt;&gt;"",'Input_Meci'!K55&lt;C55,'Core_Nativ'!T605="DERIVED",'Core_Nativ'!M605&gt;='Core_Nativ'!P599),MIN(1,'Core_Nativ'!M599/'Core_Nativ'!P599)*IF('Core_Nativ'!M599=0,0,'Core_Nativ'!O599)+(1-MIN(1,'Core_Nativ'!M599/'Core_Nativ'!P599))*'Core_Nativ'!O605,"")),""))</x:f>
      </x:c>
      <x:c r="AR55" s="11" t="str">
        <x:f>IF(A55="","",SUMPRODUCT(('Istoric_Nativ'!$B$6:$B$405=B55)*('Istoric_Nativ'!$C$6:$C$405=BL55)*('Istoric_Nativ'!$P$6:$P$405=1)*('Istoric_Nativ'!$D$6:$D$405&lt;INT(G55))*((('Istoric_Nativ'!$E$6:$E$405='Input_Meci'!D55)+('Istoric_Nativ'!$F$6:$F$405='Input_Meci'!D55)+('Istoric_Nativ'!$E$6:$E$405='Input_Meci'!E55)+('Istoric_Nativ'!$F$6:$F$405='Input_Meci'!E55))&gt;0)))</x:f>
      </x:c>
      <x:c r="AS55" s="11" t="str">
        <x:f>IF(AR55=0,"",SUMPRODUCT(('Istoric_Nativ'!$B$6:$B$405=B55)*('Istoric_Nativ'!$C$6:$C$405=BL55)*('Istoric_Nativ'!$P$6:$P$405=1)*('Istoric_Nativ'!$D$6:$D$405&lt;INT(G55))*((('Istoric_Nativ'!$E$6:$E$405='Input_Meci'!D55)+('Istoric_Nativ'!$F$6:$F$405='Input_Meci'!D55)+('Istoric_Nativ'!$E$6:$E$405='Input_Meci'!E55)+('Istoric_Nativ'!$F$6:$F$405='Input_Meci'!E55))&gt;0)*'Istoric_Nativ'!$Q$6:$Q$405)/AR55)</x:f>
      </x:c>
      <x:c r="AT55" s="11" t="str">
        <x:f>IF(AR55&lt;2,"",MAX(0,(SUMPRODUCT(('Istoric_Nativ'!$B$6:$B$405=B55)*('Istoric_Nativ'!$C$6:$C$405=BL55)*('Istoric_Nativ'!$P$6:$P$405=1)*('Istoric_Nativ'!$D$6:$D$405&lt;INT(G55))*((('Istoric_Nativ'!$E$6:$E$405='Input_Meci'!D55)+('Istoric_Nativ'!$F$6:$F$405='Input_Meci'!D55)+('Istoric_Nativ'!$E$6:$E$405='Input_Meci'!E55)+('Istoric_Nativ'!$F$6:$F$405='Input_Meci'!E55))&gt;0)*'Istoric_Nativ'!$R$6:$R$405)-AR55*AS55^2)/(AR55-1)))</x:f>
      </x:c>
      <x:c r="AU55" s="11" t="str">
        <x:f>IF(I55&lt;&gt;"PASS","",AT55/AS55)</x:f>
      </x:c>
      <x:c r="AV55" s="11" t="str">
        <x:f>IF(I55&lt;&gt;"PASS","",IF(AU55&lt;='Config_v6'!$B$10,"POISSON","NEGATIVE BINOMIAL"))</x:f>
      </x:c>
      <x:c r="AW55" s="11" t="str">
        <x:f>IF(I55&lt;&gt;"PASS","",IF(AV55="POISSON",9999,AS55/(AU55-1)))</x:f>
      </x:c>
      <x:c r="AX55" s="11" t="str">
        <x:f>IF(A55="","",MAX(1-'Config_v6'!$B$20,MIN(1+'Config_v6'!$B$20,1+0.02*(IF(AND(ISNUMBER('Input_Meci'!N55),'Input_Meci'!N55&gt;=0,'Input_Meci'!N55&lt;=200),'Input_Meci'!N55,12)/12-1)+0.02*(IF(AND(ISNUMBER('Input_Meci'!P55),'Input_Meci'!P55&gt;=0,'Input_Meci'!P55&lt;=200),'Input_Meci'!P55,3.5)/3.5-1)+0.02*(IF(AND(ISNUMBER('Input_Meci'!R55),'Input_Meci'!R55&gt;=0,'Input_Meci'!R55&lt;=200),'Input_Meci'!R55,18)/18-1)+0.02*((IF(AND(ISNUMBER('Input_Meci'!V55),'Input_Meci'!V55&gt;=0,'Input_Meci'!V55&lt;=10),'Input_Meci'!V55,5)-5)/5))))</x:f>
      </x:c>
      <x:c r="AY55" s="11" t="str">
        <x:f>IF(A55="","",MAX(1-'Config_v6'!$B$20,MIN(1+'Config_v6'!$B$20,1+0.02*(IF(AND(ISNUMBER('Input_Meci'!O55),'Input_Meci'!O55&gt;=0,'Input_Meci'!O55&lt;=200),'Input_Meci'!O55,12)/12-1)+0.02*(IF(AND(ISNUMBER('Input_Meci'!Q55),'Input_Meci'!Q55&gt;=0,'Input_Meci'!Q55&lt;=200),'Input_Meci'!Q55,3.5)/3.5-1)+0.02*(IF(AND(ISNUMBER('Input_Meci'!S55),'Input_Meci'!S55&gt;=0,'Input_Meci'!S55&lt;=200),'Input_Meci'!S55,18)/18-1)+0.02*((IF(AND(ISNUMBER('Input_Meci'!W55),'Input_Meci'!W55&gt;=0,'Input_Meci'!W55&lt;=10),'Input_Meci'!W55,5)-5)/5))))</x:f>
      </x:c>
      <x:c r="AZ55" s="11" t="str">
        <x:f>IF(A55="","",MAX(1-'Config_v6'!$B$21,MIN(1+'Config_v6'!$B$21,1+0.012*(IF('Input_Meci'!X55="",5,IF(ISNUMBER('Input_Meci'!X55),'Input_Meci'!X55,5))-5)+0.018*(IF('Input_Meci'!Z55="",5,IF(ISNUMBER('Input_Meci'!Z55),'Input_Meci'!Z55,5))-5)+0.012*(IF('Input_Meci'!AB55="",5,IF(ISNUMBER('Input_Meci'!AB55),'Input_Meci'!AB55,5))-5)+0.015*IF('Input_Meci'!AD55="",0,IF(ISNUMBER('Input_Meci'!AD55),'Input_Meci'!AD55,0))+0.02*IF('Input_Meci'!AF55="",0,IF(ISNUMBER('Input_Meci'!AF55),'Input_Meci'!AF55,0)))))</x:f>
      </x:c>
      <x:c r="BA55" s="11" t="str">
        <x:f>IF(A55="","",MAX(1-'Config_v6'!$B$21,MIN(1+'Config_v6'!$B$21,1+0.012*(IF('Input_Meci'!Y55="",5,IF(ISNUMBER('Input_Meci'!Y55),'Input_Meci'!Y55,5))-5)+0.018*(IF('Input_Meci'!AA55="",5,IF(ISNUMBER('Input_Meci'!AA55),'Input_Meci'!AA55,5))-5)+0.012*(IF('Input_Meci'!AC55="",5,IF(ISNUMBER('Input_Meci'!AC55),'Input_Meci'!AC55,5))-5)+0.015*IF('Input_Meci'!AE55="",0,IF(ISNUMBER('Input_Meci'!AE55),'Input_Meci'!AE55,0))+0.02*IF('Input_Meci'!AG55="",0,IF(ISNUMBER('Input_Meci'!AG55),'Input_Meci'!AG55,0)))))</x:f>
      </x:c>
      <x:c r="BB55" s="11" t="str">
        <x:f>IF(I55&lt;&gt;"PASS","",(AVERAGE(AF55,AM55)*'Config_v6'!$B$4+AVERAGE(AH55,AO55)*'Config_v6'!$B$5+AVERAGE(AJ55,AQ55)*'Config_v6'!$B$6)*AX55*AZ55)</x:f>
      </x:c>
      <x:c r="BC55" s="11" t="str">
        <x:f>IF(I55&lt;&gt;"PASS","",(AVERAGE(AL55,AG55)*'Config_v6'!$B$4+AVERAGE(AN55,AI55)*'Config_v6'!$B$5+AVERAGE(AP55,AK55)*'Config_v6'!$B$6)*AY55*BA55)</x:f>
      </x:c>
      <x:c r="BD55" s="11" t="str">
        <x:f>IF(I55&lt;&gt;"PASS","",BB55+BC55)</x:f>
      </x:c>
      <x:c r="BE55" s="11" t="str">
        <x:f>IF(A55="","",10-SUM(IF(AND(ISNUMBER('Input_Meci'!N55),'Input_Meci'!N55&gt;=0,'Input_Meci'!N55&lt;=200),1,0),IF(AND(ISNUMBER('Input_Meci'!O55),'Input_Meci'!O55&gt;=0,'Input_Meci'!O55&lt;=200),1,0),IF(AND(ISNUMBER('Input_Meci'!P55),'Input_Meci'!P55&gt;=0,'Input_Meci'!P55&lt;=200),1,0),IF(AND(ISNUMBER('Input_Meci'!Q55),'Input_Meci'!Q55&gt;=0,'Input_Meci'!Q55&lt;=200),1,0),IF(AND(ISNUMBER('Input_Meci'!R55),'Input_Meci'!R55&gt;=0,'Input_Meci'!R55&lt;=200),1,0),IF(AND(ISNUMBER('Input_Meci'!S55),'Input_Meci'!S55&gt;=0,'Input_Meci'!S55&lt;=200),1,0),IF(AND(ISNUMBER('Input_Meci'!T55),'Input_Meci'!T55&gt;=0,'Input_Meci'!T55&lt;=100),1,0),IF(AND(ISNUMBER('Input_Meci'!U55),'Input_Meci'!U55&gt;=0,'Input_Meci'!U55&lt;=100),1,0),IF(AND(ISNUMBER('Input_Meci'!V55),'Input_Meci'!V55&gt;=0,'Input_Meci'!V55&lt;=10),1,0),IF(AND(ISNUMBER('Input_Meci'!W55),'Input_Meci'!W55&gt;=0,'Input_Meci'!W55&lt;=10),1,0)))</x:f>
      </x:c>
      <x:c r="BF55" s="11" t="str">
        <x:f>IF(I55&lt;&gt;"PASS","",MAX(0,MIN(IF(OR(M55="YES",BL55&lt;&gt;C55),'Config_v6'!$B$34,100),ROUND(40+25*MIN(1,MIN(N55,Q55)/'Config_v6'!$B$7)*MIN(1,MIN(O55,R55)/'Config_v6'!$B$8)*MIN(1,MIN(P55,S55)/'Config_v6'!$B$9)+MAX(0,15-2*ABS(AF55-AJ55)-2*ABS(AL55-AP55))+IF(AU55&lt;='Config_v6'!$B$10,15,IF(AU55&lt;='Config_v6'!$B$11,13,IF(AU55&lt;='Config_v6'!$B$12,10,IF(AU55&lt;='Config_v6'!$B$13,6,0))))+5-BE55/10*'Config_v6'!$B$38,0))))</x:f>
      </x:c>
      <x:c r="BG55" s="11" t="str">
        <x:f>IF(I55&lt;&gt;"PASS","",MIN(1,'Config_v6'!$B$14*(0.7+0.3*MIN(1,AR55/'Config_v6'!$B$15))*IF(AU55&lt;='Config_v6'!$B$10,1,IF(AU55&lt;='Config_v6'!$B$11,0.95,IF(AU55&lt;='Config_v6'!$B$12,0.88,0.78)))*(0.75+0.25*BF55/100)))</x:f>
      </x:c>
      <x:c r="BH55" s="11" t="str">
        <x:f>IF(I55&lt;&gt;"PASS","",MIN(1,(ABS(AZ55-1)+ABS(BA55-1))*3))</x:f>
      </x:c>
      <x:c r="BI55" s="2" t="str">
        <x:f>IF(A55="","",IF(AND(OR('Input_Meci'!X55="",AND(ISNUMBER('Input_Meci'!X55),'Input_Meci'!X55&gt;=0,'Input_Meci'!X55&lt;=10)),OR('Input_Meci'!Y55="",AND(ISNUMBER('Input_Meci'!Y55),'Input_Meci'!Y55&gt;=0,'Input_Meci'!Y55&lt;=10)),OR('Input_Meci'!Z55="",AND(ISNUMBER('Input_Meci'!Z55),'Input_Meci'!Z55&gt;=0,'Input_Meci'!Z55&lt;=10)),OR('Input_Meci'!AA55="",AND(ISNUMBER('Input_Meci'!AA55),'Input_Meci'!AA55&gt;=0,'Input_Meci'!AA55&lt;=10)),OR('Input_Meci'!AB55="",AND(ISNUMBER('Input_Meci'!AB55),'Input_Meci'!AB55&gt;=0,'Input_Meci'!AB55&lt;=10)),OR('Input_Meci'!AC55="",AND(ISNUMBER('Input_Meci'!AC55),'Input_Meci'!AC55&gt;=0,'Input_Meci'!AC55&lt;=10)),OR('Input_Meci'!AD55="",AND(ISNUMBER('Input_Meci'!AD55),'Input_Meci'!AD55&gt;=-2,'Input_Meci'!AD55&lt;=2)),OR('Input_Meci'!AE55="",AND(ISNUMBER('Input_Meci'!AE55),'Input_Meci'!AE55&gt;=-2,'Input_Meci'!AE55&lt;=2)),OR('Input_Meci'!AF55="",AND(ISNUMBER('Input_Meci'!AF55),'Input_Meci'!AF55&gt;=-2,'Input_Meci'!AF55&lt;=2)),OR('Input_Meci'!AG55="",AND(ISNUMBER('Input_Meci'!AG55),'Input_Meci'!AG55&gt;=-2,'Input_Meci'!AG55&lt;=2))),"VALID","INVALID"))</x:f>
      </x:c>
      <x:c r="BJ55" s="2" t="n">
        <x:f>IF(A55="",0,SUM('Core_Nativ'!S594:S599))</x:f>
        <x:v>0</x:v>
      </x:c>
      <x:c r="BK55" s="2" t="str">
        <x:f>'Config_v6'!$B$40</x:f>
        <x:v>VALID</x:v>
      </x:c>
      <x:c r="BL55" s="2" t="str">
        <x:f>IF(A55="","",IF(SUMPRODUCT(('Istoric_Nativ'!$B$6:$B$405=B55)*('Istoric_Nativ'!$C$6:$C$405=C55)*('Istoric_Nativ'!$P$6:$P$405=1)*('Istoric_Nativ'!$D$6:$D$405&lt;INT(G55))*((('Istoric_Nativ'!$E$6:$E$405='Input_Meci'!D55)+('Istoric_Nativ'!$F$6:$F$405='Input_Meci'!D55)+('Istoric_Nativ'!$E$6:$E$405='Input_Meci'!E55)+('Istoric_Nativ'!$F$6:$F$405='Input_Meci'!E55))&gt;0))&gt;='Config_v6'!$B$41,C55,IF(AND('Input_Meci'!L55="YES",'Input_Meci'!K55&lt;&gt;"",'Input_Meci'!K55&lt;C55,COUNTIF('Core_Nativ'!R600:R605,"CLOSED")=6,SUM('Core_Nativ'!S600:S605)=0),'Input_Meci'!K55,C55)))</x:f>
      </x:c>
      <x:c r="BM55" s="9" t="n">
        <x:f>IF(OR(A55="",N55=0),0,LARGE(_xlfn._xlws.FILTER('Istoric_Nativ'!$D$6:$D$405,('Istoric_Nativ'!$B$6:$B$405=B55)*('Istoric_Nativ'!$C$6:$C$405=C55)*('Istoric_Nativ'!$P$6:$P$405=1)*('Istoric_Nativ'!$D$6:$D$405&lt;INT(G55))*((('Istoric_Nativ'!$E$6:$E$405='Input_Meci'!D55)+('Istoric_Nativ'!$F$6:$F$405='Input_Meci'!D55))&gt;0)),MIN(10,N55)))</x:f>
        <x:v>0</x:v>
      </x:c>
      <x:c r="BN55" s="9" t="n">
        <x:f>IF(OR(A55="",Q55=0),0,LARGE(_xlfn._xlws.FILTER('Istoric_Nativ'!$D$6:$D$405,('Istoric_Nativ'!$B$6:$B$405=B55)*('Istoric_Nativ'!$C$6:$C$405=C55)*('Istoric_Nativ'!$P$6:$P$405=1)*('Istoric_Nativ'!$D$6:$D$405&lt;INT(G55))*((('Istoric_Nativ'!$E$6:$E$405='Input_Meci'!E55)+('Istoric_Nativ'!$F$6:$F$405='Input_Meci'!E55))&gt;0)),MIN(10,Q55)))</x:f>
        <x:v>0</x:v>
      </x:c>
      <x:c r="BO55" s="9" t="n">
        <x:f>IF(OR(A55="",N55=0),0,LARGE(_xlfn._xlws.FILTER('Istoric_Nativ'!$D$6:$D$405,('Istoric_Nativ'!$B$6:$B$405=B55)*('Istoric_Nativ'!$C$6:$C$405=C55)*('Istoric_Nativ'!$P$6:$P$405=1)*('Istoric_Nativ'!$D$6:$D$405&lt;INT(G55))*((('Istoric_Nativ'!$E$6:$E$405='Input_Meci'!D55)+('Istoric_Nativ'!$F$6:$F$405='Input_Meci'!D55))&gt;0)),MIN(20,N55)))</x:f>
        <x:v>0</x:v>
      </x:c>
      <x:c r="BP55" s="9" t="n">
        <x:f>IF(OR(A55="",Q55=0),0,LARGE(_xlfn._xlws.FILTER('Istoric_Nativ'!$D$6:$D$405,('Istoric_Nativ'!$B$6:$B$405=B55)*('Istoric_Nativ'!$C$6:$C$405=C55)*('Istoric_Nativ'!$P$6:$P$405=1)*('Istoric_Nativ'!$D$6:$D$405&lt;INT(G55))*((('Istoric_Nativ'!$E$6:$E$405='Input_Meci'!E55)+('Istoric_Nativ'!$F$6:$F$405='Input_Meci'!E55))&gt;0)),MIN(20,Q55)))</x:f>
        <x:v>0</x:v>
      </x:c>
      <x:c r="BQ55" s="2" t="str">
        <x:f>IF(A55="","",IF(AND(COUNTIF(MatchesTable[Match_ID],A55)=1,COUNTIFS(MatchesTable[League],B55,MatchesTable[Season],C55,MatchesTable[Home],'Input_Meci'!D55,MatchesTable[Away],'Input_Meci'!E55,MatchesTable[Kickoff_UTC],F55)=1,B55&lt;&gt;"",C55&lt;&gt;"",'Input_Meci'!D55&lt;&gt;"",'Input_Meci'!E55&lt;&gt;"",'Input_Meci'!D55&lt;&gt;'Input_Meci'!E55,ISNUMBER(F55),ISNUMBER(G55),G55&lt;F55,OR(E55="LIVE",E55="REPLAY"),OR('Input_Meci'!L55="YES",'Input_Meci'!L55="NO",'Input_Meci'!L55="")),"VALID","INVALID"))</x:f>
      </x:c>
      <x:c r="BR55" s="2" t="n">
        <x:f>IF(I55&lt;&gt;"PASS",0,SUMPRODUCT(('Istoric_Nativ'!$B$6:$B$405='Input_Meci'!B55)*('Istoric_Nativ'!$C$6:$C$405='Input_Meci'!C55)*('Istoric_Nativ'!$P$6:$P$405=1)*('Istoric_Nativ'!$D$6:$D$405&lt;INT('Input_Meci'!G55))*((('Istoric_Nativ'!$E$6:$E$405='Input_Meci'!D55)+('Istoric_Nativ'!$F$6:$F$405='Input_Meci'!E55))&gt;0)))</x:f>
        <x:v>0</x:v>
      </x:c>
      <x:c r="BS55" s="2" t="n">
        <x:f>IF(I55&lt;&gt;"PASS",0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BM55)+((('Istoric_Nativ'!$E$6:$E$405='Input_Meci'!E55)+('Istoric_Nativ'!$F$6:$F$405='Input_Meci'!E55))&gt;0)*('Istoric_Nativ'!$D$6:$D$405&gt;=BN55))&gt;0)))</x:f>
        <x:v>0</x:v>
      </x:c>
      <x:c r="BT55" s="2" t="n">
        <x:f>IF(I55&lt;&gt;"PASS",0,SUMPRODUCT(('Istoric_Nativ'!$B$6:$B$405='Input_Meci'!B55)*('Istoric_Nativ'!$C$6:$C$405='Input_Meci'!C55)*('Istoric_Nativ'!$P$6:$P$405=1)*('Istoric_Nativ'!$D$6:$D$405&lt;INT('Input_Meci'!G55))*((((('Istoric_Nativ'!$E$6:$E$405='Input_Meci'!D55)+('Istoric_Nativ'!$F$6:$F$405='Input_Meci'!D55))&gt;0)*('Istoric_Nativ'!$D$6:$D$405&gt;=BO55)+((('Istoric_Nativ'!$E$6:$E$405='Input_Meci'!E55)+('Istoric_Nativ'!$F$6:$F$405='Input_Meci'!E55))&gt;0)*('Istoric_Nativ'!$D$6:$D$405&gt;=BP55))&gt;0)))</x:f>
        <x:v>0</x:v>
      </x:c>
    </x:row>
    <x:row r="56" ht="21" customHeight="1">
      <x:c r="A56" s="2" t="str">
        <x:f>IF('Input_Meci'!A56="","",'Input_Meci'!A56)</x:f>
      </x:c>
      <x:c r="B56" s="2" t="str">
        <x:f>IF(A56="","",'Input_Meci'!B56)</x:f>
      </x:c>
      <x:c r="C56" s="2" t="str">
        <x:f>IF(A56="","",'Input_Meci'!C56)</x:f>
      </x:c>
      <x:c r="D56" s="2" t="str">
        <x:f>IF(A56="","",'Input_Meci'!D56&amp;" – "&amp;'Input_Meci'!E56)</x:f>
      </x:c>
      <x:c r="E56" s="2" t="str">
        <x:f>IF(A56="","",'Input_Meci'!H56)</x:f>
      </x:c>
      <x:c r="F56" s="9" t="str">
        <x:f>IF(A56="","",'Input_Meci'!F56)</x:f>
      </x:c>
      <x:c r="G56" s="9" t="str">
        <x:f>IF(A56="","",'Input_Meci'!G56)</x:f>
      </x:c>
      <x:c r="H56" s="2" t="str">
        <x:f>IF(A56="","",IF(BQ56&lt;&gt;"VALID","NOT RELEASED",IF(AND(OR('Input_Meci'!I56="NOT AVAILABLE",'Input_Meci'!I56="SOURCE CONFLICT"),'Input_Meci'!J56&lt;&gt;""),"READY",IF(OR(NOT(OR('Input_Meci'!I56="AUTO",'Input_Meci'!I56="")),COUNTIF('Core_Nativ'!R606:R611,"CLOSED")&lt;&gt;6,BJ56&gt;0),"NOT RELEASED","READY"))))</x:f>
      </x:c>
      <x:c r="I56" s="2" t="str">
        <x:f>IF(A56="","",IF(H56&lt;&gt;"READY","NOT RELEASED",IF(AND(NOT(OR('Input_Meci'!I56="NOT AVAILABLE",'Input_Meci'!I56="SOURCE CONFLICT")),L56=12,AR56&gt;=2,AS56&gt;0,ISNUMBER(AT56),BI56="VALID",BK56="VALID"),"PASS","FAIL")))</x:f>
      </x:c>
      <x:c r="J56" s="2" t="str">
        <x:f>IF(A56="","",IF(BQ56&lt;&gt;"VALID","Verifica ID, echipe, mod si cutoff &lt; kickoff",IF(H56&lt;&gt;"READY",IF('Input_Meci'!I56="ACCESS BLOCKED","Acces blocat: reia sursele",IF(BJ56&gt;0,"Istoric invalid sau conflict: verifica randurile native","Surse neinchise / post-cutoff / dovezi incomplete")),IF(OR('Input_Meci'!I56="NOT AVAILABLE",'Input_Meci'!I56="SOURCE CONFLICT"),'Input_Meci'!I56,IF(BK56&lt;&gt;"VALID","Parametri invalizi",IF(L56&lt;&gt;12,"Core / sample / prior insuficient",IF(AR56&lt;2,"N insuficient pentru dispersie",IF(AS56&lt;=0,"Media istorica trebuie sa fie pozitiva",IF(BI56&lt;&gt;"VALID","Context invalid","READY")))))))))</x:f>
      </x:c>
      <x:c r="K56" s="2" t="str">
        <x:f>IF(A56="","",COUNT(T56:AE56))</x:f>
      </x:c>
      <x:c r="L56" s="2" t="str">
        <x:f>IF(A56="","",COUNT(AF56:AQ56))</x:f>
      </x:c>
      <x:c r="M56" s="2" t="str">
        <x:f>IF(A56="","",IF(OR('Core_Nativ'!M606&lt;'Core_Nativ'!P606,'Core_Nativ'!M607&lt;'Core_Nativ'!P607,'Core_Nativ'!M608&lt;'Core_Nativ'!P608,'Core_Nativ'!M609&lt;'Core_Nativ'!P609,'Core_Nativ'!M610&lt;'Core_Nativ'!P610,'Core_Nativ'!M611&lt;'Core_Nativ'!P611),"YES","NO"))</x:f>
      </x:c>
      <x:c r="N56" s="2" t="str">
        <x:f>IF(A56="","",'Core_Nativ'!M606)</x:f>
      </x:c>
      <x:c r="O56" s="2" t="str">
        <x:f>IF(A56="","",'Core_Nativ'!M607)</x:f>
      </x:c>
      <x:c r="P56" s="2" t="str">
        <x:f>IF(A56="","",'Core_Nativ'!M608)</x:f>
      </x:c>
      <x:c r="Q56" s="2" t="str">
        <x:f>IF(A56="","",'Core_Nativ'!M609)</x:f>
      </x:c>
      <x:c r="R56" s="2" t="str">
        <x:f>IF(A56="","",'Core_Nativ'!M610)</x:f>
      </x:c>
      <x:c r="S56" s="2" t="str">
        <x:f>IF(A56="","",'Core_Nativ'!M611)</x:f>
      </x:c>
      <x:c r="T56" s="11" t="str">
        <x:f>IF(OR(A56="",'Core_Nativ'!M606=0),"",'Core_Nativ'!N606)</x:f>
      </x:c>
      <x:c r="U56" s="11" t="str">
        <x:f>IF(OR(A56="",'Core_Nativ'!M606=0),"",'Core_Nativ'!O606)</x:f>
      </x:c>
      <x:c r="V56" s="11" t="str">
        <x:f>IF(OR(A56="",'Core_Nativ'!M607=0),"",'Core_Nativ'!N607)</x:f>
      </x:c>
      <x:c r="W56" s="11" t="str">
        <x:f>IF(OR(A56="",'Core_Nativ'!M607=0),"",'Core_Nativ'!O607)</x:f>
      </x:c>
      <x:c r="X56" s="11" t="str">
        <x:f>IF(OR(A56="",'Core_Nativ'!M608=0),"",'Core_Nativ'!N608)</x:f>
      </x:c>
      <x:c r="Y56" s="11" t="str">
        <x:f>IF(OR(A56="",'Core_Nativ'!M608=0),"",'Core_Nativ'!O608)</x:f>
      </x:c>
      <x:c r="Z56" s="11" t="str">
        <x:f>IF(OR(A56="",'Core_Nativ'!M609=0),"",'Core_Nativ'!N609)</x:f>
      </x:c>
      <x:c r="AA56" s="11" t="str">
        <x:f>IF(OR(A56="",'Core_Nativ'!M609=0),"",'Core_Nativ'!O609)</x:f>
      </x:c>
      <x:c r="AB56" s="11" t="str">
        <x:f>IF(OR(A56="",'Core_Nativ'!M610=0),"",'Core_Nativ'!N610)</x:f>
      </x:c>
      <x:c r="AC56" s="11" t="str">
        <x:f>IF(OR(A56="",'Core_Nativ'!M610=0),"",'Core_Nativ'!O610)</x:f>
      </x:c>
      <x:c r="AD56" s="11" t="str">
        <x:f>IF(OR(A56="",'Core_Nativ'!M611=0),"",'Core_Nativ'!N611)</x:f>
      </x:c>
      <x:c r="AE56" s="11" t="str">
        <x:f>IF(OR(A56="",'Core_Nativ'!M611=0),"",'Core_Nativ'!O611)</x:f>
      </x:c>
      <x:c r="AF56" s="11" t="str">
        <x:f>IF(A56="","",IF(AND('Core_Nativ'!R606="CLOSED",'Core_Nativ'!S606=0),IF('Core_Nativ'!M606&gt;='Core_Nativ'!P606,'Core_Nativ'!N606,IF(AND('Input_Meci'!L56="YES",'Input_Meci'!K56&lt;&gt;"",'Input_Meci'!K56&lt;C56,'Core_Nativ'!T612="DERIVED",'Core_Nativ'!M612&gt;='Core_Nativ'!P606),MIN(1,'Core_Nativ'!M606/'Core_Nativ'!P606)*IF('Core_Nativ'!M606=0,0,'Core_Nativ'!N606)+(1-MIN(1,'Core_Nativ'!M606/'Core_Nativ'!P606))*'Core_Nativ'!N612,"")),""))</x:f>
      </x:c>
      <x:c r="AG56" s="11" t="str">
        <x:f>IF(A56="","",IF(AND('Core_Nativ'!R606="CLOSED",'Core_Nativ'!S606=0),IF('Core_Nativ'!M606&gt;='Core_Nativ'!P606,'Core_Nativ'!O606,IF(AND('Input_Meci'!L56="YES",'Input_Meci'!K56&lt;&gt;"",'Input_Meci'!K56&lt;C56,'Core_Nativ'!T612="DERIVED",'Core_Nativ'!M612&gt;='Core_Nativ'!P606),MIN(1,'Core_Nativ'!M606/'Core_Nativ'!P606)*IF('Core_Nativ'!M606=0,0,'Core_Nativ'!O606)+(1-MIN(1,'Core_Nativ'!M606/'Core_Nativ'!P606))*'Core_Nativ'!O612,"")),""))</x:f>
      </x:c>
      <x:c r="AH56" s="11" t="str">
        <x:f>IF(A56="","",IF(AND('Core_Nativ'!R607="CLOSED",'Core_Nativ'!S607=0),IF('Core_Nativ'!M607&gt;='Core_Nativ'!P607,'Core_Nativ'!N607,IF(AND('Input_Meci'!L56="YES",'Input_Meci'!K56&lt;&gt;"",'Input_Meci'!K56&lt;C56,'Core_Nativ'!T613="DERIVED",'Core_Nativ'!M613&gt;='Core_Nativ'!P607),MIN(1,'Core_Nativ'!M607/'Core_Nativ'!P607)*IF('Core_Nativ'!M607=0,0,'Core_Nativ'!N607)+(1-MIN(1,'Core_Nativ'!M607/'Core_Nativ'!P607))*'Core_Nativ'!N613,"")),""))</x:f>
      </x:c>
      <x:c r="AI56" s="11" t="str">
        <x:f>IF(A56="","",IF(AND('Core_Nativ'!R607="CLOSED",'Core_Nativ'!S607=0),IF('Core_Nativ'!M607&gt;='Core_Nativ'!P607,'Core_Nativ'!O607,IF(AND('Input_Meci'!L56="YES",'Input_Meci'!K56&lt;&gt;"",'Input_Meci'!K56&lt;C56,'Core_Nativ'!T613="DERIVED",'Core_Nativ'!M613&gt;='Core_Nativ'!P607),MIN(1,'Core_Nativ'!M607/'Core_Nativ'!P607)*IF('Core_Nativ'!M607=0,0,'Core_Nativ'!O607)+(1-MIN(1,'Core_Nativ'!M607/'Core_Nativ'!P607))*'Core_Nativ'!O613,"")),""))</x:f>
      </x:c>
      <x:c r="AJ56" s="11" t="str">
        <x:f>IF(A56="","",IF(AND('Core_Nativ'!R608="CLOSED",'Core_Nativ'!S608=0),IF('Core_Nativ'!M608&gt;='Core_Nativ'!P608,'Core_Nativ'!N608,IF(AND('Input_Meci'!L56="YES",'Input_Meci'!K56&lt;&gt;"",'Input_Meci'!K56&lt;C56,'Core_Nativ'!T614="DERIVED",'Core_Nativ'!M614&gt;='Core_Nativ'!P608),MIN(1,'Core_Nativ'!M608/'Core_Nativ'!P608)*IF('Core_Nativ'!M608=0,0,'Core_Nativ'!N608)+(1-MIN(1,'Core_Nativ'!M608/'Core_Nativ'!P608))*'Core_Nativ'!N614,"")),""))</x:f>
      </x:c>
      <x:c r="AK56" s="11" t="str">
        <x:f>IF(A56="","",IF(AND('Core_Nativ'!R608="CLOSED",'Core_Nativ'!S608=0),IF('Core_Nativ'!M608&gt;='Core_Nativ'!P608,'Core_Nativ'!O608,IF(AND('Input_Meci'!L56="YES",'Input_Meci'!K56&lt;&gt;"",'Input_Meci'!K56&lt;C56,'Core_Nativ'!T614="DERIVED",'Core_Nativ'!M614&gt;='Core_Nativ'!P608),MIN(1,'Core_Nativ'!M608/'Core_Nativ'!P608)*IF('Core_Nativ'!M608=0,0,'Core_Nativ'!O608)+(1-MIN(1,'Core_Nativ'!M608/'Core_Nativ'!P608))*'Core_Nativ'!O614,"")),""))</x:f>
      </x:c>
      <x:c r="AL56" s="11" t="str">
        <x:f>IF(A56="","",IF(AND('Core_Nativ'!R609="CLOSED",'Core_Nativ'!S609=0),IF('Core_Nativ'!M609&gt;='Core_Nativ'!P609,'Core_Nativ'!N609,IF(AND('Input_Meci'!L56="YES",'Input_Meci'!K56&lt;&gt;"",'Input_Meci'!K56&lt;C56,'Core_Nativ'!T615="DERIVED",'Core_Nativ'!M615&gt;='Core_Nativ'!P609),MIN(1,'Core_Nativ'!M609/'Core_Nativ'!P609)*IF('Core_Nativ'!M609=0,0,'Core_Nativ'!N609)+(1-MIN(1,'Core_Nativ'!M609/'Core_Nativ'!P609))*'Core_Nativ'!N615,"")),""))</x:f>
      </x:c>
      <x:c r="AM56" s="11" t="str">
        <x:f>IF(A56="","",IF(AND('Core_Nativ'!R609="CLOSED",'Core_Nativ'!S609=0),IF('Core_Nativ'!M609&gt;='Core_Nativ'!P609,'Core_Nativ'!O609,IF(AND('Input_Meci'!L56="YES",'Input_Meci'!K56&lt;&gt;"",'Input_Meci'!K56&lt;C56,'Core_Nativ'!T615="DERIVED",'Core_Nativ'!M615&gt;='Core_Nativ'!P609),MIN(1,'Core_Nativ'!M609/'Core_Nativ'!P609)*IF('Core_Nativ'!M609=0,0,'Core_Nativ'!O609)+(1-MIN(1,'Core_Nativ'!M609/'Core_Nativ'!P609))*'Core_Nativ'!O615,"")),""))</x:f>
      </x:c>
      <x:c r="AN56" s="11" t="str">
        <x:f>IF(A56="","",IF(AND('Core_Nativ'!R610="CLOSED",'Core_Nativ'!S610=0),IF('Core_Nativ'!M610&gt;='Core_Nativ'!P610,'Core_Nativ'!N610,IF(AND('Input_Meci'!L56="YES",'Input_Meci'!K56&lt;&gt;"",'Input_Meci'!K56&lt;C56,'Core_Nativ'!T616="DERIVED",'Core_Nativ'!M616&gt;='Core_Nativ'!P610),MIN(1,'Core_Nativ'!M610/'Core_Nativ'!P610)*IF('Core_Nativ'!M610=0,0,'Core_Nativ'!N610)+(1-MIN(1,'Core_Nativ'!M610/'Core_Nativ'!P610))*'Core_Nativ'!N616,"")),""))</x:f>
      </x:c>
      <x:c r="AO56" s="11" t="str">
        <x:f>IF(A56="","",IF(AND('Core_Nativ'!R610="CLOSED",'Core_Nativ'!S610=0),IF('Core_Nativ'!M610&gt;='Core_Nativ'!P610,'Core_Nativ'!O610,IF(AND('Input_Meci'!L56="YES",'Input_Meci'!K56&lt;&gt;"",'Input_Meci'!K56&lt;C56,'Core_Nativ'!T616="DERIVED",'Core_Nativ'!M616&gt;='Core_Nativ'!P610),MIN(1,'Core_Nativ'!M610/'Core_Nativ'!P610)*IF('Core_Nativ'!M610=0,0,'Core_Nativ'!O610)+(1-MIN(1,'Core_Nativ'!M610/'Core_Nativ'!P610))*'Core_Nativ'!O616,"")),""))</x:f>
      </x:c>
      <x:c r="AP56" s="11" t="str">
        <x:f>IF(A56="","",IF(AND('Core_Nativ'!R611="CLOSED",'Core_Nativ'!S611=0),IF('Core_Nativ'!M611&gt;='Core_Nativ'!P611,'Core_Nativ'!N611,IF(AND('Input_Meci'!L56="YES",'Input_Meci'!K56&lt;&gt;"",'Input_Meci'!K56&lt;C56,'Core_Nativ'!T617="DERIVED",'Core_Nativ'!M617&gt;='Core_Nativ'!P611),MIN(1,'Core_Nativ'!M611/'Core_Nativ'!P611)*IF('Core_Nativ'!M611=0,0,'Core_Nativ'!N611)+(1-MIN(1,'Core_Nativ'!M611/'Core_Nativ'!P611))*'Core_Nativ'!N617,"")),""))</x:f>
      </x:c>
      <x:c r="AQ56" s="11" t="str">
        <x:f>IF(A56="","",IF(AND('Core_Nativ'!R611="CLOSED",'Core_Nativ'!S611=0),IF('Core_Nativ'!M611&gt;='Core_Nativ'!P611,'Core_Nativ'!O611,IF(AND('Input_Meci'!L56="YES",'Input_Meci'!K56&lt;&gt;"",'Input_Meci'!K56&lt;C56,'Core_Nativ'!T617="DERIVED",'Core_Nativ'!M617&gt;='Core_Nativ'!P611),MIN(1,'Core_Nativ'!M611/'Core_Nativ'!P611)*IF('Core_Nativ'!M611=0,0,'Core_Nativ'!O611)+(1-MIN(1,'Core_Nativ'!M611/'Core_Nativ'!P611))*'Core_Nativ'!O617,"")),""))</x:f>
      </x:c>
      <x:c r="AR56" s="11" t="str">
        <x:f>IF(A56="","",SUMPRODUCT(('Istoric_Nativ'!$B$6:$B$405=B56)*('Istoric_Nativ'!$C$6:$C$405=BL56)*('Istoric_Nativ'!$P$6:$P$405=1)*('Istoric_Nativ'!$D$6:$D$405&lt;INT(G56))*((('Istoric_Nativ'!$E$6:$E$405='Input_Meci'!D56)+('Istoric_Nativ'!$F$6:$F$405='Input_Meci'!D56)+('Istoric_Nativ'!$E$6:$E$405='Input_Meci'!E56)+('Istoric_Nativ'!$F$6:$F$405='Input_Meci'!E56))&gt;0)))</x:f>
      </x:c>
      <x:c r="AS56" s="11" t="str">
        <x:f>IF(AR56=0,"",SUMPRODUCT(('Istoric_Nativ'!$B$6:$B$405=B56)*('Istoric_Nativ'!$C$6:$C$405=BL56)*('Istoric_Nativ'!$P$6:$P$405=1)*('Istoric_Nativ'!$D$6:$D$405&lt;INT(G56))*((('Istoric_Nativ'!$E$6:$E$405='Input_Meci'!D56)+('Istoric_Nativ'!$F$6:$F$405='Input_Meci'!D56)+('Istoric_Nativ'!$E$6:$E$405='Input_Meci'!E56)+('Istoric_Nativ'!$F$6:$F$405='Input_Meci'!E56))&gt;0)*'Istoric_Nativ'!$Q$6:$Q$405)/AR56)</x:f>
      </x:c>
      <x:c r="AT56" s="11" t="str">
        <x:f>IF(AR56&lt;2,"",MAX(0,(SUMPRODUCT(('Istoric_Nativ'!$B$6:$B$405=B56)*('Istoric_Nativ'!$C$6:$C$405=BL56)*('Istoric_Nativ'!$P$6:$P$405=1)*('Istoric_Nativ'!$D$6:$D$405&lt;INT(G56))*((('Istoric_Nativ'!$E$6:$E$405='Input_Meci'!D56)+('Istoric_Nativ'!$F$6:$F$405='Input_Meci'!D56)+('Istoric_Nativ'!$E$6:$E$405='Input_Meci'!E56)+('Istoric_Nativ'!$F$6:$F$405='Input_Meci'!E56))&gt;0)*'Istoric_Nativ'!$R$6:$R$405)-AR56*AS56^2)/(AR56-1)))</x:f>
      </x:c>
      <x:c r="AU56" s="11" t="str">
        <x:f>IF(I56&lt;&gt;"PASS","",AT56/AS56)</x:f>
      </x:c>
      <x:c r="AV56" s="11" t="str">
        <x:f>IF(I56&lt;&gt;"PASS","",IF(AU56&lt;='Config_v6'!$B$10,"POISSON","NEGATIVE BINOMIAL"))</x:f>
      </x:c>
      <x:c r="AW56" s="11" t="str">
        <x:f>IF(I56&lt;&gt;"PASS","",IF(AV56="POISSON",9999,AS56/(AU56-1)))</x:f>
      </x:c>
      <x:c r="AX56" s="11" t="str">
        <x:f>IF(A56="","",MAX(1-'Config_v6'!$B$20,MIN(1+'Config_v6'!$B$20,1+0.02*(IF(AND(ISNUMBER('Input_Meci'!N56),'Input_Meci'!N56&gt;=0,'Input_Meci'!N56&lt;=200),'Input_Meci'!N56,12)/12-1)+0.02*(IF(AND(ISNUMBER('Input_Meci'!P56),'Input_Meci'!P56&gt;=0,'Input_Meci'!P56&lt;=200),'Input_Meci'!P56,3.5)/3.5-1)+0.02*(IF(AND(ISNUMBER('Input_Meci'!R56),'Input_Meci'!R56&gt;=0,'Input_Meci'!R56&lt;=200),'Input_Meci'!R56,18)/18-1)+0.02*((IF(AND(ISNUMBER('Input_Meci'!V56),'Input_Meci'!V56&gt;=0,'Input_Meci'!V56&lt;=10),'Input_Meci'!V56,5)-5)/5))))</x:f>
      </x:c>
      <x:c r="AY56" s="11" t="str">
        <x:f>IF(A56="","",MAX(1-'Config_v6'!$B$20,MIN(1+'Config_v6'!$B$20,1+0.02*(IF(AND(ISNUMBER('Input_Meci'!O56),'Input_Meci'!O56&gt;=0,'Input_Meci'!O56&lt;=200),'Input_Meci'!O56,12)/12-1)+0.02*(IF(AND(ISNUMBER('Input_Meci'!Q56),'Input_Meci'!Q56&gt;=0,'Input_Meci'!Q56&lt;=200),'Input_Meci'!Q56,3.5)/3.5-1)+0.02*(IF(AND(ISNUMBER('Input_Meci'!S56),'Input_Meci'!S56&gt;=0,'Input_Meci'!S56&lt;=200),'Input_Meci'!S56,18)/18-1)+0.02*((IF(AND(ISNUMBER('Input_Meci'!W56),'Input_Meci'!W56&gt;=0,'Input_Meci'!W56&lt;=10),'Input_Meci'!W56,5)-5)/5))))</x:f>
      </x:c>
      <x:c r="AZ56" s="11" t="str">
        <x:f>IF(A56="","",MAX(1-'Config_v6'!$B$21,MIN(1+'Config_v6'!$B$21,1+0.012*(IF('Input_Meci'!X56="",5,IF(ISNUMBER('Input_Meci'!X56),'Input_Meci'!X56,5))-5)+0.018*(IF('Input_Meci'!Z56="",5,IF(ISNUMBER('Input_Meci'!Z56),'Input_Meci'!Z56,5))-5)+0.012*(IF('Input_Meci'!AB56="",5,IF(ISNUMBER('Input_Meci'!AB56),'Input_Meci'!AB56,5))-5)+0.015*IF('Input_Meci'!AD56="",0,IF(ISNUMBER('Input_Meci'!AD56),'Input_Meci'!AD56,0))+0.02*IF('Input_Meci'!AF56="",0,IF(ISNUMBER('Input_Meci'!AF56),'Input_Meci'!AF56,0)))))</x:f>
      </x:c>
      <x:c r="BA56" s="11" t="str">
        <x:f>IF(A56="","",MAX(1-'Config_v6'!$B$21,MIN(1+'Config_v6'!$B$21,1+0.012*(IF('Input_Meci'!Y56="",5,IF(ISNUMBER('Input_Meci'!Y56),'Input_Meci'!Y56,5))-5)+0.018*(IF('Input_Meci'!AA56="",5,IF(ISNUMBER('Input_Meci'!AA56),'Input_Meci'!AA56,5))-5)+0.012*(IF('Input_Meci'!AC56="",5,IF(ISNUMBER('Input_Meci'!AC56),'Input_Meci'!AC56,5))-5)+0.015*IF('Input_Meci'!AE56="",0,IF(ISNUMBER('Input_Meci'!AE56),'Input_Meci'!AE56,0))+0.02*IF('Input_Meci'!AG56="",0,IF(ISNUMBER('Input_Meci'!AG56),'Input_Meci'!AG56,0)))))</x:f>
      </x:c>
      <x:c r="BB56" s="11" t="str">
        <x:f>IF(I56&lt;&gt;"PASS","",(AVERAGE(AF56,AM56)*'Config_v6'!$B$4+AVERAGE(AH56,AO56)*'Config_v6'!$B$5+AVERAGE(AJ56,AQ56)*'Config_v6'!$B$6)*AX56*AZ56)</x:f>
      </x:c>
      <x:c r="BC56" s="11" t="str">
        <x:f>IF(I56&lt;&gt;"PASS","",(AVERAGE(AL56,AG56)*'Config_v6'!$B$4+AVERAGE(AN56,AI56)*'Config_v6'!$B$5+AVERAGE(AP56,AK56)*'Config_v6'!$B$6)*AY56*BA56)</x:f>
      </x:c>
      <x:c r="BD56" s="11" t="str">
        <x:f>IF(I56&lt;&gt;"PASS","",BB56+BC56)</x:f>
      </x:c>
      <x:c r="BE56" s="11" t="str">
        <x:f>IF(A56="","",10-SUM(IF(AND(ISNUMBER('Input_Meci'!N56),'Input_Meci'!N56&gt;=0,'Input_Meci'!N56&lt;=200),1,0),IF(AND(ISNUMBER('Input_Meci'!O56),'Input_Meci'!O56&gt;=0,'Input_Meci'!O56&lt;=200),1,0),IF(AND(ISNUMBER('Input_Meci'!P56),'Input_Meci'!P56&gt;=0,'Input_Meci'!P56&lt;=200),1,0),IF(AND(ISNUMBER('Input_Meci'!Q56),'Input_Meci'!Q56&gt;=0,'Input_Meci'!Q56&lt;=200),1,0),IF(AND(ISNUMBER('Input_Meci'!R56),'Input_Meci'!R56&gt;=0,'Input_Meci'!R56&lt;=200),1,0),IF(AND(ISNUMBER('Input_Meci'!S56),'Input_Meci'!S56&gt;=0,'Input_Meci'!S56&lt;=200),1,0),IF(AND(ISNUMBER('Input_Meci'!T56),'Input_Meci'!T56&gt;=0,'Input_Meci'!T56&lt;=100),1,0),IF(AND(ISNUMBER('Input_Meci'!U56),'Input_Meci'!U56&gt;=0,'Input_Meci'!U56&lt;=100),1,0),IF(AND(ISNUMBER('Input_Meci'!V56),'Input_Meci'!V56&gt;=0,'Input_Meci'!V56&lt;=10),1,0),IF(AND(ISNUMBER('Input_Meci'!W56),'Input_Meci'!W56&gt;=0,'Input_Meci'!W56&lt;=10),1,0)))</x:f>
      </x:c>
      <x:c r="BF56" s="11" t="str">
        <x:f>IF(I56&lt;&gt;"PASS","",MAX(0,MIN(IF(OR(M56="YES",BL56&lt;&gt;C56),'Config_v6'!$B$34,100),ROUND(40+25*MIN(1,MIN(N56,Q56)/'Config_v6'!$B$7)*MIN(1,MIN(O56,R56)/'Config_v6'!$B$8)*MIN(1,MIN(P56,S56)/'Config_v6'!$B$9)+MAX(0,15-2*ABS(AF56-AJ56)-2*ABS(AL56-AP56))+IF(AU56&lt;='Config_v6'!$B$10,15,IF(AU56&lt;='Config_v6'!$B$11,13,IF(AU56&lt;='Config_v6'!$B$12,10,IF(AU56&lt;='Config_v6'!$B$13,6,0))))+5-BE56/10*'Config_v6'!$B$38,0))))</x:f>
      </x:c>
      <x:c r="BG56" s="11" t="str">
        <x:f>IF(I56&lt;&gt;"PASS","",MIN(1,'Config_v6'!$B$14*(0.7+0.3*MIN(1,AR56/'Config_v6'!$B$15))*IF(AU56&lt;='Config_v6'!$B$10,1,IF(AU56&lt;='Config_v6'!$B$11,0.95,IF(AU56&lt;='Config_v6'!$B$12,0.88,0.78)))*(0.75+0.25*BF56/100)))</x:f>
      </x:c>
      <x:c r="BH56" s="11" t="str">
        <x:f>IF(I56&lt;&gt;"PASS","",MIN(1,(ABS(AZ56-1)+ABS(BA56-1))*3))</x:f>
      </x:c>
      <x:c r="BI56" s="2" t="str">
        <x:f>IF(A56="","",IF(AND(OR('Input_Meci'!X56="",AND(ISNUMBER('Input_Meci'!X56),'Input_Meci'!X56&gt;=0,'Input_Meci'!X56&lt;=10)),OR('Input_Meci'!Y56="",AND(ISNUMBER('Input_Meci'!Y56),'Input_Meci'!Y56&gt;=0,'Input_Meci'!Y56&lt;=10)),OR('Input_Meci'!Z56="",AND(ISNUMBER('Input_Meci'!Z56),'Input_Meci'!Z56&gt;=0,'Input_Meci'!Z56&lt;=10)),OR('Input_Meci'!AA56="",AND(ISNUMBER('Input_Meci'!AA56),'Input_Meci'!AA56&gt;=0,'Input_Meci'!AA56&lt;=10)),OR('Input_Meci'!AB56="",AND(ISNUMBER('Input_Meci'!AB56),'Input_Meci'!AB56&gt;=0,'Input_Meci'!AB56&lt;=10)),OR('Input_Meci'!AC56="",AND(ISNUMBER('Input_Meci'!AC56),'Input_Meci'!AC56&gt;=0,'Input_Meci'!AC56&lt;=10)),OR('Input_Meci'!AD56="",AND(ISNUMBER('Input_Meci'!AD56),'Input_Meci'!AD56&gt;=-2,'Input_Meci'!AD56&lt;=2)),OR('Input_Meci'!AE56="",AND(ISNUMBER('Input_Meci'!AE56),'Input_Meci'!AE56&gt;=-2,'Input_Meci'!AE56&lt;=2)),OR('Input_Meci'!AF56="",AND(ISNUMBER('Input_Meci'!AF56),'Input_Meci'!AF56&gt;=-2,'Input_Meci'!AF56&lt;=2)),OR('Input_Meci'!AG56="",AND(ISNUMBER('Input_Meci'!AG56),'Input_Meci'!AG56&gt;=-2,'Input_Meci'!AG56&lt;=2))),"VALID","INVALID"))</x:f>
      </x:c>
      <x:c r="BJ56" s="2" t="n">
        <x:f>IF(A56="",0,SUM('Core_Nativ'!S606:S611))</x:f>
        <x:v>0</x:v>
      </x:c>
      <x:c r="BK56" s="2" t="str">
        <x:f>'Config_v6'!$B$40</x:f>
        <x:v>VALID</x:v>
      </x:c>
      <x:c r="BL56" s="2" t="str">
        <x:f>IF(A56="","",IF(SUMPRODUCT(('Istoric_Nativ'!$B$6:$B$405=B56)*('Istoric_Nativ'!$C$6:$C$405=C56)*('Istoric_Nativ'!$P$6:$P$405=1)*('Istoric_Nativ'!$D$6:$D$405&lt;INT(G56))*((('Istoric_Nativ'!$E$6:$E$405='Input_Meci'!D56)+('Istoric_Nativ'!$F$6:$F$405='Input_Meci'!D56)+('Istoric_Nativ'!$E$6:$E$405='Input_Meci'!E56)+('Istoric_Nativ'!$F$6:$F$405='Input_Meci'!E56))&gt;0))&gt;='Config_v6'!$B$41,C56,IF(AND('Input_Meci'!L56="YES",'Input_Meci'!K56&lt;&gt;"",'Input_Meci'!K56&lt;C56,COUNTIF('Core_Nativ'!R612:R617,"CLOSED")=6,SUM('Core_Nativ'!S612:S617)=0),'Input_Meci'!K56,C56)))</x:f>
      </x:c>
      <x:c r="BM56" s="9" t="n">
        <x:f>IF(OR(A56="",N56=0),0,LARGE(_xlfn._xlws.FILTER('Istoric_Nativ'!$D$6:$D$405,('Istoric_Nativ'!$B$6:$B$405=B56)*('Istoric_Nativ'!$C$6:$C$405=C56)*('Istoric_Nativ'!$P$6:$P$405=1)*('Istoric_Nativ'!$D$6:$D$405&lt;INT(G56))*((('Istoric_Nativ'!$E$6:$E$405='Input_Meci'!D56)+('Istoric_Nativ'!$F$6:$F$405='Input_Meci'!D56))&gt;0)),MIN(10,N56)))</x:f>
        <x:v>0</x:v>
      </x:c>
      <x:c r="BN56" s="9" t="n">
        <x:f>IF(OR(A56="",Q56=0),0,LARGE(_xlfn._xlws.FILTER('Istoric_Nativ'!$D$6:$D$405,('Istoric_Nativ'!$B$6:$B$405=B56)*('Istoric_Nativ'!$C$6:$C$405=C56)*('Istoric_Nativ'!$P$6:$P$405=1)*('Istoric_Nativ'!$D$6:$D$405&lt;INT(G56))*((('Istoric_Nativ'!$E$6:$E$405='Input_Meci'!E56)+('Istoric_Nativ'!$F$6:$F$405='Input_Meci'!E56))&gt;0)),MIN(10,Q56)))</x:f>
        <x:v>0</x:v>
      </x:c>
      <x:c r="BO56" s="9" t="n">
        <x:f>IF(OR(A56="",N56=0),0,LARGE(_xlfn._xlws.FILTER('Istoric_Nativ'!$D$6:$D$405,('Istoric_Nativ'!$B$6:$B$405=B56)*('Istoric_Nativ'!$C$6:$C$405=C56)*('Istoric_Nativ'!$P$6:$P$405=1)*('Istoric_Nativ'!$D$6:$D$405&lt;INT(G56))*((('Istoric_Nativ'!$E$6:$E$405='Input_Meci'!D56)+('Istoric_Nativ'!$F$6:$F$405='Input_Meci'!D56))&gt;0)),MIN(20,N56)))</x:f>
        <x:v>0</x:v>
      </x:c>
      <x:c r="BP56" s="9" t="n">
        <x:f>IF(OR(A56="",Q56=0),0,LARGE(_xlfn._xlws.FILTER('Istoric_Nativ'!$D$6:$D$405,('Istoric_Nativ'!$B$6:$B$405=B56)*('Istoric_Nativ'!$C$6:$C$405=C56)*('Istoric_Nativ'!$P$6:$P$405=1)*('Istoric_Nativ'!$D$6:$D$405&lt;INT(G56))*((('Istoric_Nativ'!$E$6:$E$405='Input_Meci'!E56)+('Istoric_Nativ'!$F$6:$F$405='Input_Meci'!E56))&gt;0)),MIN(20,Q56)))</x:f>
        <x:v>0</x:v>
      </x:c>
      <x:c r="BQ56" s="2" t="str">
        <x:f>IF(A56="","",IF(AND(COUNTIF(MatchesTable[Match_ID],A56)=1,COUNTIFS(MatchesTable[League],B56,MatchesTable[Season],C56,MatchesTable[Home],'Input_Meci'!D56,MatchesTable[Away],'Input_Meci'!E56,MatchesTable[Kickoff_UTC],F56)=1,B56&lt;&gt;"",C56&lt;&gt;"",'Input_Meci'!D56&lt;&gt;"",'Input_Meci'!E56&lt;&gt;"",'Input_Meci'!D56&lt;&gt;'Input_Meci'!E56,ISNUMBER(F56),ISNUMBER(G56),G56&lt;F56,OR(E56="LIVE",E56="REPLAY"),OR('Input_Meci'!L56="YES",'Input_Meci'!L56="NO",'Input_Meci'!L56="")),"VALID","INVALID"))</x:f>
      </x:c>
      <x:c r="BR56" s="2" t="n">
        <x:f>IF(I56&lt;&gt;"PASS",0,SUMPRODUCT(('Istoric_Nativ'!$B$6:$B$405='Input_Meci'!B56)*('Istoric_Nativ'!$C$6:$C$405='Input_Meci'!C56)*('Istoric_Nativ'!$P$6:$P$405=1)*('Istoric_Nativ'!$D$6:$D$405&lt;INT('Input_Meci'!G56))*((('Istoric_Nativ'!$E$6:$E$405='Input_Meci'!D56)+('Istoric_Nativ'!$F$6:$F$405='Input_Meci'!E56))&gt;0)))</x:f>
        <x:v>0</x:v>
      </x:c>
      <x:c r="BS56" s="2" t="n">
        <x:f>IF(I56&lt;&gt;"PASS",0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BM56)+((('Istoric_Nativ'!$E$6:$E$405='Input_Meci'!E56)+('Istoric_Nativ'!$F$6:$F$405='Input_Meci'!E56))&gt;0)*('Istoric_Nativ'!$D$6:$D$405&gt;=BN56))&gt;0)))</x:f>
        <x:v>0</x:v>
      </x:c>
      <x:c r="BT56" s="2" t="n">
        <x:f>IF(I56&lt;&gt;"PASS",0,SUMPRODUCT(('Istoric_Nativ'!$B$6:$B$405='Input_Meci'!B56)*('Istoric_Nativ'!$C$6:$C$405='Input_Meci'!C56)*('Istoric_Nativ'!$P$6:$P$405=1)*('Istoric_Nativ'!$D$6:$D$405&lt;INT('Input_Meci'!G56))*((((('Istoric_Nativ'!$E$6:$E$405='Input_Meci'!D56)+('Istoric_Nativ'!$F$6:$F$405='Input_Meci'!D56))&gt;0)*('Istoric_Nativ'!$D$6:$D$405&gt;=BO56)+((('Istoric_Nativ'!$E$6:$E$405='Input_Meci'!E56)+('Istoric_Nativ'!$F$6:$F$405='Input_Meci'!E56))&gt;0)*('Istoric_Nativ'!$D$6:$D$405&gt;=BP56))&gt;0)))</x:f>
        <x:v>0</x:v>
      </x:c>
    </x:row>
    <x:row r="57" ht="21" customHeight="1">
      <x:c r="A57" s="2" t="str">
        <x:f>IF('Input_Meci'!A57="","",'Input_Meci'!A57)</x:f>
      </x:c>
      <x:c r="B57" s="2" t="str">
        <x:f>IF(A57="","",'Input_Meci'!B57)</x:f>
      </x:c>
      <x:c r="C57" s="2" t="str">
        <x:f>IF(A57="","",'Input_Meci'!C57)</x:f>
      </x:c>
      <x:c r="D57" s="2" t="str">
        <x:f>IF(A57="","",'Input_Meci'!D57&amp;" – "&amp;'Input_Meci'!E57)</x:f>
      </x:c>
      <x:c r="E57" s="2" t="str">
        <x:f>IF(A57="","",'Input_Meci'!H57)</x:f>
      </x:c>
      <x:c r="F57" s="9" t="str">
        <x:f>IF(A57="","",'Input_Meci'!F57)</x:f>
      </x:c>
      <x:c r="G57" s="9" t="str">
        <x:f>IF(A57="","",'Input_Meci'!G57)</x:f>
      </x:c>
      <x:c r="H57" s="2" t="str">
        <x:f>IF(A57="","",IF(BQ57&lt;&gt;"VALID","NOT RELEASED",IF(AND(OR('Input_Meci'!I57="NOT AVAILABLE",'Input_Meci'!I57="SOURCE CONFLICT"),'Input_Meci'!J57&lt;&gt;""),"READY",IF(OR(NOT(OR('Input_Meci'!I57="AUTO",'Input_Meci'!I57="")),COUNTIF('Core_Nativ'!R618:R623,"CLOSED")&lt;&gt;6,BJ57&gt;0),"NOT RELEASED","READY"))))</x:f>
      </x:c>
      <x:c r="I57" s="2" t="str">
        <x:f>IF(A57="","",IF(H57&lt;&gt;"READY","NOT RELEASED",IF(AND(NOT(OR('Input_Meci'!I57="NOT AVAILABLE",'Input_Meci'!I57="SOURCE CONFLICT")),L57=12,AR57&gt;=2,AS57&gt;0,ISNUMBER(AT57),BI57="VALID",BK57="VALID"),"PASS","FAIL")))</x:f>
      </x:c>
      <x:c r="J57" s="2" t="str">
        <x:f>IF(A57="","",IF(BQ57&lt;&gt;"VALID","Verifica ID, echipe, mod si cutoff &lt; kickoff",IF(H57&lt;&gt;"READY",IF('Input_Meci'!I57="ACCESS BLOCKED","Acces blocat: reia sursele",IF(BJ57&gt;0,"Istoric invalid sau conflict: verifica randurile native","Surse neinchise / post-cutoff / dovezi incomplete")),IF(OR('Input_Meci'!I57="NOT AVAILABLE",'Input_Meci'!I57="SOURCE CONFLICT"),'Input_Meci'!I57,IF(BK57&lt;&gt;"VALID","Parametri invalizi",IF(L57&lt;&gt;12,"Core / sample / prior insuficient",IF(AR57&lt;2,"N insuficient pentru dispersie",IF(AS57&lt;=0,"Media istorica trebuie sa fie pozitiva",IF(BI57&lt;&gt;"VALID","Context invalid","READY")))))))))</x:f>
      </x:c>
      <x:c r="K57" s="2" t="str">
        <x:f>IF(A57="","",COUNT(T57:AE57))</x:f>
      </x:c>
      <x:c r="L57" s="2" t="str">
        <x:f>IF(A57="","",COUNT(AF57:AQ57))</x:f>
      </x:c>
      <x:c r="M57" s="2" t="str">
        <x:f>IF(A57="","",IF(OR('Core_Nativ'!M618&lt;'Core_Nativ'!P618,'Core_Nativ'!M619&lt;'Core_Nativ'!P619,'Core_Nativ'!M620&lt;'Core_Nativ'!P620,'Core_Nativ'!M621&lt;'Core_Nativ'!P621,'Core_Nativ'!M622&lt;'Core_Nativ'!P622,'Core_Nativ'!M623&lt;'Core_Nativ'!P623),"YES","NO"))</x:f>
      </x:c>
      <x:c r="N57" s="2" t="str">
        <x:f>IF(A57="","",'Core_Nativ'!M618)</x:f>
      </x:c>
      <x:c r="O57" s="2" t="str">
        <x:f>IF(A57="","",'Core_Nativ'!M619)</x:f>
      </x:c>
      <x:c r="P57" s="2" t="str">
        <x:f>IF(A57="","",'Core_Nativ'!M620)</x:f>
      </x:c>
      <x:c r="Q57" s="2" t="str">
        <x:f>IF(A57="","",'Core_Nativ'!M621)</x:f>
      </x:c>
      <x:c r="R57" s="2" t="str">
        <x:f>IF(A57="","",'Core_Nativ'!M622)</x:f>
      </x:c>
      <x:c r="S57" s="2" t="str">
        <x:f>IF(A57="","",'Core_Nativ'!M623)</x:f>
      </x:c>
      <x:c r="T57" s="11" t="str">
        <x:f>IF(OR(A57="",'Core_Nativ'!M618=0),"",'Core_Nativ'!N618)</x:f>
      </x:c>
      <x:c r="U57" s="11" t="str">
        <x:f>IF(OR(A57="",'Core_Nativ'!M618=0),"",'Core_Nativ'!O618)</x:f>
      </x:c>
      <x:c r="V57" s="11" t="str">
        <x:f>IF(OR(A57="",'Core_Nativ'!M619=0),"",'Core_Nativ'!N619)</x:f>
      </x:c>
      <x:c r="W57" s="11" t="str">
        <x:f>IF(OR(A57="",'Core_Nativ'!M619=0),"",'Core_Nativ'!O619)</x:f>
      </x:c>
      <x:c r="X57" s="11" t="str">
        <x:f>IF(OR(A57="",'Core_Nativ'!M620=0),"",'Core_Nativ'!N620)</x:f>
      </x:c>
      <x:c r="Y57" s="11" t="str">
        <x:f>IF(OR(A57="",'Core_Nativ'!M620=0),"",'Core_Nativ'!O620)</x:f>
      </x:c>
      <x:c r="Z57" s="11" t="str">
        <x:f>IF(OR(A57="",'Core_Nativ'!M621=0),"",'Core_Nativ'!N621)</x:f>
      </x:c>
      <x:c r="AA57" s="11" t="str">
        <x:f>IF(OR(A57="",'Core_Nativ'!M621=0),"",'Core_Nativ'!O621)</x:f>
      </x:c>
      <x:c r="AB57" s="11" t="str">
        <x:f>IF(OR(A57="",'Core_Nativ'!M622=0),"",'Core_Nativ'!N622)</x:f>
      </x:c>
      <x:c r="AC57" s="11" t="str">
        <x:f>IF(OR(A57="",'Core_Nativ'!M622=0),"",'Core_Nativ'!O622)</x:f>
      </x:c>
      <x:c r="AD57" s="11" t="str">
        <x:f>IF(OR(A57="",'Core_Nativ'!M623=0),"",'Core_Nativ'!N623)</x:f>
      </x:c>
      <x:c r="AE57" s="11" t="str">
        <x:f>IF(OR(A57="",'Core_Nativ'!M623=0),"",'Core_Nativ'!O623)</x:f>
      </x:c>
      <x:c r="AF57" s="11" t="str">
        <x:f>IF(A57="","",IF(AND('Core_Nativ'!R618="CLOSED",'Core_Nativ'!S618=0),IF('Core_Nativ'!M618&gt;='Core_Nativ'!P618,'Core_Nativ'!N618,IF(AND('Input_Meci'!L57="YES",'Input_Meci'!K57&lt;&gt;"",'Input_Meci'!K57&lt;C57,'Core_Nativ'!T624="DERIVED",'Core_Nativ'!M624&gt;='Core_Nativ'!P618),MIN(1,'Core_Nativ'!M618/'Core_Nativ'!P618)*IF('Core_Nativ'!M618=0,0,'Core_Nativ'!N618)+(1-MIN(1,'Core_Nativ'!M618/'Core_Nativ'!P618))*'Core_Nativ'!N624,"")),""))</x:f>
      </x:c>
      <x:c r="AG57" s="11" t="str">
        <x:f>IF(A57="","",IF(AND('Core_Nativ'!R618="CLOSED",'Core_Nativ'!S618=0),IF('Core_Nativ'!M618&gt;='Core_Nativ'!P618,'Core_Nativ'!O618,IF(AND('Input_Meci'!L57="YES",'Input_Meci'!K57&lt;&gt;"",'Input_Meci'!K57&lt;C57,'Core_Nativ'!T624="DERIVED",'Core_Nativ'!M624&gt;='Core_Nativ'!P618),MIN(1,'Core_Nativ'!M618/'Core_Nativ'!P618)*IF('Core_Nativ'!M618=0,0,'Core_Nativ'!O618)+(1-MIN(1,'Core_Nativ'!M618/'Core_Nativ'!P618))*'Core_Nativ'!O624,"")),""))</x:f>
      </x:c>
      <x:c r="AH57" s="11" t="str">
        <x:f>IF(A57="","",IF(AND('Core_Nativ'!R619="CLOSED",'Core_Nativ'!S619=0),IF('Core_Nativ'!M619&gt;='Core_Nativ'!P619,'Core_Nativ'!N619,IF(AND('Input_Meci'!L57="YES",'Input_Meci'!K57&lt;&gt;"",'Input_Meci'!K57&lt;C57,'Core_Nativ'!T625="DERIVED",'Core_Nativ'!M625&gt;='Core_Nativ'!P619),MIN(1,'Core_Nativ'!M619/'Core_Nativ'!P619)*IF('Core_Nativ'!M619=0,0,'Core_Nativ'!N619)+(1-MIN(1,'Core_Nativ'!M619/'Core_Nativ'!P619))*'Core_Nativ'!N625,"")),""))</x:f>
      </x:c>
      <x:c r="AI57" s="11" t="str">
        <x:f>IF(A57="","",IF(AND('Core_Nativ'!R619="CLOSED",'Core_Nativ'!S619=0),IF('Core_Nativ'!M619&gt;='Core_Nativ'!P619,'Core_Nativ'!O619,IF(AND('Input_Meci'!L57="YES",'Input_Meci'!K57&lt;&gt;"",'Input_Meci'!K57&lt;C57,'Core_Nativ'!T625="DERIVED",'Core_Nativ'!M625&gt;='Core_Nativ'!P619),MIN(1,'Core_Nativ'!M619/'Core_Nativ'!P619)*IF('Core_Nativ'!M619=0,0,'Core_Nativ'!O619)+(1-MIN(1,'Core_Nativ'!M619/'Core_Nativ'!P619))*'Core_Nativ'!O625,"")),""))</x:f>
      </x:c>
      <x:c r="AJ57" s="11" t="str">
        <x:f>IF(A57="","",IF(AND('Core_Nativ'!R620="CLOSED",'Core_Nativ'!S620=0),IF('Core_Nativ'!M620&gt;='Core_Nativ'!P620,'Core_Nativ'!N620,IF(AND('Input_Meci'!L57="YES",'Input_Meci'!K57&lt;&gt;"",'Input_Meci'!K57&lt;C57,'Core_Nativ'!T626="DERIVED",'Core_Nativ'!M626&gt;='Core_Nativ'!P620),MIN(1,'Core_Nativ'!M620/'Core_Nativ'!P620)*IF('Core_Nativ'!M620=0,0,'Core_Nativ'!N620)+(1-MIN(1,'Core_Nativ'!M620/'Core_Nativ'!P620))*'Core_Nativ'!N626,"")),""))</x:f>
      </x:c>
      <x:c r="AK57" s="11" t="str">
        <x:f>IF(A57="","",IF(AND('Core_Nativ'!R620="CLOSED",'Core_Nativ'!S620=0),IF('Core_Nativ'!M620&gt;='Core_Nativ'!P620,'Core_Nativ'!O620,IF(AND('Input_Meci'!L57="YES",'Input_Meci'!K57&lt;&gt;"",'Input_Meci'!K57&lt;C57,'Core_Nativ'!T626="DERIVED",'Core_Nativ'!M626&gt;='Core_Nativ'!P620),MIN(1,'Core_Nativ'!M620/'Core_Nativ'!P620)*IF('Core_Nativ'!M620=0,0,'Core_Nativ'!O620)+(1-MIN(1,'Core_Nativ'!M620/'Core_Nativ'!P620))*'Core_Nativ'!O626,"")),""))</x:f>
      </x:c>
      <x:c r="AL57" s="11" t="str">
        <x:f>IF(A57="","",IF(AND('Core_Nativ'!R621="CLOSED",'Core_Nativ'!S621=0),IF('Core_Nativ'!M621&gt;='Core_Nativ'!P621,'Core_Nativ'!N621,IF(AND('Input_Meci'!L57="YES",'Input_Meci'!K57&lt;&gt;"",'Input_Meci'!K57&lt;C57,'Core_Nativ'!T627="DERIVED",'Core_Nativ'!M627&gt;='Core_Nativ'!P621),MIN(1,'Core_Nativ'!M621/'Core_Nativ'!P621)*IF('Core_Nativ'!M621=0,0,'Core_Nativ'!N621)+(1-MIN(1,'Core_Nativ'!M621/'Core_Nativ'!P621))*'Core_Nativ'!N627,"")),""))</x:f>
      </x:c>
      <x:c r="AM57" s="11" t="str">
        <x:f>IF(A57="","",IF(AND('Core_Nativ'!R621="CLOSED",'Core_Nativ'!S621=0),IF('Core_Nativ'!M621&gt;='Core_Nativ'!P621,'Core_Nativ'!O621,IF(AND('Input_Meci'!L57="YES",'Input_Meci'!K57&lt;&gt;"",'Input_Meci'!K57&lt;C57,'Core_Nativ'!T627="DERIVED",'Core_Nativ'!M627&gt;='Core_Nativ'!P621),MIN(1,'Core_Nativ'!M621/'Core_Nativ'!P621)*IF('Core_Nativ'!M621=0,0,'Core_Nativ'!O621)+(1-MIN(1,'Core_Nativ'!M621/'Core_Nativ'!P621))*'Core_Nativ'!O627,"")),""))</x:f>
      </x:c>
      <x:c r="AN57" s="11" t="str">
        <x:f>IF(A57="","",IF(AND('Core_Nativ'!R622="CLOSED",'Core_Nativ'!S622=0),IF('Core_Nativ'!M622&gt;='Core_Nativ'!P622,'Core_Nativ'!N622,IF(AND('Input_Meci'!L57="YES",'Input_Meci'!K57&lt;&gt;"",'Input_Meci'!K57&lt;C57,'Core_Nativ'!T628="DERIVED",'Core_Nativ'!M628&gt;='Core_Nativ'!P622),MIN(1,'Core_Nativ'!M622/'Core_Nativ'!P622)*IF('Core_Nativ'!M622=0,0,'Core_Nativ'!N622)+(1-MIN(1,'Core_Nativ'!M622/'Core_Nativ'!P622))*'Core_Nativ'!N628,"")),""))</x:f>
      </x:c>
      <x:c r="AO57" s="11" t="str">
        <x:f>IF(A57="","",IF(AND('Core_Nativ'!R622="CLOSED",'Core_Nativ'!S622=0),IF('Core_Nativ'!M622&gt;='Core_Nativ'!P622,'Core_Nativ'!O622,IF(AND('Input_Meci'!L57="YES",'Input_Meci'!K57&lt;&gt;"",'Input_Meci'!K57&lt;C57,'Core_Nativ'!T628="DERIVED",'Core_Nativ'!M628&gt;='Core_Nativ'!P622),MIN(1,'Core_Nativ'!M622/'Core_Nativ'!P622)*IF('Core_Nativ'!M622=0,0,'Core_Nativ'!O622)+(1-MIN(1,'Core_Nativ'!M622/'Core_Nativ'!P622))*'Core_Nativ'!O628,"")),""))</x:f>
      </x:c>
      <x:c r="AP57" s="11" t="str">
        <x:f>IF(A57="","",IF(AND('Core_Nativ'!R623="CLOSED",'Core_Nativ'!S623=0),IF('Core_Nativ'!M623&gt;='Core_Nativ'!P623,'Core_Nativ'!N623,IF(AND('Input_Meci'!L57="YES",'Input_Meci'!K57&lt;&gt;"",'Input_Meci'!K57&lt;C57,'Core_Nativ'!T629="DERIVED",'Core_Nativ'!M629&gt;='Core_Nativ'!P623),MIN(1,'Core_Nativ'!M623/'Core_Nativ'!P623)*IF('Core_Nativ'!M623=0,0,'Core_Nativ'!N623)+(1-MIN(1,'Core_Nativ'!M623/'Core_Nativ'!P623))*'Core_Nativ'!N629,"")),""))</x:f>
      </x:c>
      <x:c r="AQ57" s="11" t="str">
        <x:f>IF(A57="","",IF(AND('Core_Nativ'!R623="CLOSED",'Core_Nativ'!S623=0),IF('Core_Nativ'!M623&gt;='Core_Nativ'!P623,'Core_Nativ'!O623,IF(AND('Input_Meci'!L57="YES",'Input_Meci'!K57&lt;&gt;"",'Input_Meci'!K57&lt;C57,'Core_Nativ'!T629="DERIVED",'Core_Nativ'!M629&gt;='Core_Nativ'!P623),MIN(1,'Core_Nativ'!M623/'Core_Nativ'!P623)*IF('Core_Nativ'!M623=0,0,'Core_Nativ'!O623)+(1-MIN(1,'Core_Nativ'!M623/'Core_Nativ'!P623))*'Core_Nativ'!O629,"")),""))</x:f>
      </x:c>
      <x:c r="AR57" s="11" t="str">
        <x:f>IF(A57="","",SUMPRODUCT(('Istoric_Nativ'!$B$6:$B$405=B57)*('Istoric_Nativ'!$C$6:$C$405=BL57)*('Istoric_Nativ'!$P$6:$P$405=1)*('Istoric_Nativ'!$D$6:$D$405&lt;INT(G57))*((('Istoric_Nativ'!$E$6:$E$405='Input_Meci'!D57)+('Istoric_Nativ'!$F$6:$F$405='Input_Meci'!D57)+('Istoric_Nativ'!$E$6:$E$405='Input_Meci'!E57)+('Istoric_Nativ'!$F$6:$F$405='Input_Meci'!E57))&gt;0)))</x:f>
      </x:c>
      <x:c r="AS57" s="11" t="str">
        <x:f>IF(AR57=0,"",SUMPRODUCT(('Istoric_Nativ'!$B$6:$B$405=B57)*('Istoric_Nativ'!$C$6:$C$405=BL57)*('Istoric_Nativ'!$P$6:$P$405=1)*('Istoric_Nativ'!$D$6:$D$405&lt;INT(G57))*((('Istoric_Nativ'!$E$6:$E$405='Input_Meci'!D57)+('Istoric_Nativ'!$F$6:$F$405='Input_Meci'!D57)+('Istoric_Nativ'!$E$6:$E$405='Input_Meci'!E57)+('Istoric_Nativ'!$F$6:$F$405='Input_Meci'!E57))&gt;0)*'Istoric_Nativ'!$Q$6:$Q$405)/AR57)</x:f>
      </x:c>
      <x:c r="AT57" s="11" t="str">
        <x:f>IF(AR57&lt;2,"",MAX(0,(SUMPRODUCT(('Istoric_Nativ'!$B$6:$B$405=B57)*('Istoric_Nativ'!$C$6:$C$405=BL57)*('Istoric_Nativ'!$P$6:$P$405=1)*('Istoric_Nativ'!$D$6:$D$405&lt;INT(G57))*((('Istoric_Nativ'!$E$6:$E$405='Input_Meci'!D57)+('Istoric_Nativ'!$F$6:$F$405='Input_Meci'!D57)+('Istoric_Nativ'!$E$6:$E$405='Input_Meci'!E57)+('Istoric_Nativ'!$F$6:$F$405='Input_Meci'!E57))&gt;0)*'Istoric_Nativ'!$R$6:$R$405)-AR57*AS57^2)/(AR57-1)))</x:f>
      </x:c>
      <x:c r="AU57" s="11" t="str">
        <x:f>IF(I57&lt;&gt;"PASS","",AT57/AS57)</x:f>
      </x:c>
      <x:c r="AV57" s="11" t="str">
        <x:f>IF(I57&lt;&gt;"PASS","",IF(AU57&lt;='Config_v6'!$B$10,"POISSON","NEGATIVE BINOMIAL"))</x:f>
      </x:c>
      <x:c r="AW57" s="11" t="str">
        <x:f>IF(I57&lt;&gt;"PASS","",IF(AV57="POISSON",9999,AS57/(AU57-1)))</x:f>
      </x:c>
      <x:c r="AX57" s="11" t="str">
        <x:f>IF(A57="","",MAX(1-'Config_v6'!$B$20,MIN(1+'Config_v6'!$B$20,1+0.02*(IF(AND(ISNUMBER('Input_Meci'!N57),'Input_Meci'!N57&gt;=0,'Input_Meci'!N57&lt;=200),'Input_Meci'!N57,12)/12-1)+0.02*(IF(AND(ISNUMBER('Input_Meci'!P57),'Input_Meci'!P57&gt;=0,'Input_Meci'!P57&lt;=200),'Input_Meci'!P57,3.5)/3.5-1)+0.02*(IF(AND(ISNUMBER('Input_Meci'!R57),'Input_Meci'!R57&gt;=0,'Input_Meci'!R57&lt;=200),'Input_Meci'!R57,18)/18-1)+0.02*((IF(AND(ISNUMBER('Input_Meci'!V57),'Input_Meci'!V57&gt;=0,'Input_Meci'!V57&lt;=10),'Input_Meci'!V57,5)-5)/5))))</x:f>
      </x:c>
      <x:c r="AY57" s="11" t="str">
        <x:f>IF(A57="","",MAX(1-'Config_v6'!$B$20,MIN(1+'Config_v6'!$B$20,1+0.02*(IF(AND(ISNUMBER('Input_Meci'!O57),'Input_Meci'!O57&gt;=0,'Input_Meci'!O57&lt;=200),'Input_Meci'!O57,12)/12-1)+0.02*(IF(AND(ISNUMBER('Input_Meci'!Q57),'Input_Meci'!Q57&gt;=0,'Input_Meci'!Q57&lt;=200),'Input_Meci'!Q57,3.5)/3.5-1)+0.02*(IF(AND(ISNUMBER('Input_Meci'!S57),'Input_Meci'!S57&gt;=0,'Input_Meci'!S57&lt;=200),'Input_Meci'!S57,18)/18-1)+0.02*((IF(AND(ISNUMBER('Input_Meci'!W57),'Input_Meci'!W57&gt;=0,'Input_Meci'!W57&lt;=10),'Input_Meci'!W57,5)-5)/5))))</x:f>
      </x:c>
      <x:c r="AZ57" s="11" t="str">
        <x:f>IF(A57="","",MAX(1-'Config_v6'!$B$21,MIN(1+'Config_v6'!$B$21,1+0.012*(IF('Input_Meci'!X57="",5,IF(ISNUMBER('Input_Meci'!X57),'Input_Meci'!X57,5))-5)+0.018*(IF('Input_Meci'!Z57="",5,IF(ISNUMBER('Input_Meci'!Z57),'Input_Meci'!Z57,5))-5)+0.012*(IF('Input_Meci'!AB57="",5,IF(ISNUMBER('Input_Meci'!AB57),'Input_Meci'!AB57,5))-5)+0.015*IF('Input_Meci'!AD57="",0,IF(ISNUMBER('Input_Meci'!AD57),'Input_Meci'!AD57,0))+0.02*IF('Input_Meci'!AF57="",0,IF(ISNUMBER('Input_Meci'!AF57),'Input_Meci'!AF57,0)))))</x:f>
      </x:c>
      <x:c r="BA57" s="11" t="str">
        <x:f>IF(A57="","",MAX(1-'Config_v6'!$B$21,MIN(1+'Config_v6'!$B$21,1+0.012*(IF('Input_Meci'!Y57="",5,IF(ISNUMBER('Input_Meci'!Y57),'Input_Meci'!Y57,5))-5)+0.018*(IF('Input_Meci'!AA57="",5,IF(ISNUMBER('Input_Meci'!AA57),'Input_Meci'!AA57,5))-5)+0.012*(IF('Input_Meci'!AC57="",5,IF(ISNUMBER('Input_Meci'!AC57),'Input_Meci'!AC57,5))-5)+0.015*IF('Input_Meci'!AE57="",0,IF(ISNUMBER('Input_Meci'!AE57),'Input_Meci'!AE57,0))+0.02*IF('Input_Meci'!AG57="",0,IF(ISNUMBER('Input_Meci'!AG57),'Input_Meci'!AG57,0)))))</x:f>
      </x:c>
      <x:c r="BB57" s="11" t="str">
        <x:f>IF(I57&lt;&gt;"PASS","",(AVERAGE(AF57,AM57)*'Config_v6'!$B$4+AVERAGE(AH57,AO57)*'Config_v6'!$B$5+AVERAGE(AJ57,AQ57)*'Config_v6'!$B$6)*AX57*AZ57)</x:f>
      </x:c>
      <x:c r="BC57" s="11" t="str">
        <x:f>IF(I57&lt;&gt;"PASS","",(AVERAGE(AL57,AG57)*'Config_v6'!$B$4+AVERAGE(AN57,AI57)*'Config_v6'!$B$5+AVERAGE(AP57,AK57)*'Config_v6'!$B$6)*AY57*BA57)</x:f>
      </x:c>
      <x:c r="BD57" s="11" t="str">
        <x:f>IF(I57&lt;&gt;"PASS","",BB57+BC57)</x:f>
      </x:c>
      <x:c r="BE57" s="11" t="str">
        <x:f>IF(A57="","",10-SUM(IF(AND(ISNUMBER('Input_Meci'!N57),'Input_Meci'!N57&gt;=0,'Input_Meci'!N57&lt;=200),1,0),IF(AND(ISNUMBER('Input_Meci'!O57),'Input_Meci'!O57&gt;=0,'Input_Meci'!O57&lt;=200),1,0),IF(AND(ISNUMBER('Input_Meci'!P57),'Input_Meci'!P57&gt;=0,'Input_Meci'!P57&lt;=200),1,0),IF(AND(ISNUMBER('Input_Meci'!Q57),'Input_Meci'!Q57&gt;=0,'Input_Meci'!Q57&lt;=200),1,0),IF(AND(ISNUMBER('Input_Meci'!R57),'Input_Meci'!R57&gt;=0,'Input_Meci'!R57&lt;=200),1,0),IF(AND(ISNUMBER('Input_Meci'!S57),'Input_Meci'!S57&gt;=0,'Input_Meci'!S57&lt;=200),1,0),IF(AND(ISNUMBER('Input_Meci'!T57),'Input_Meci'!T57&gt;=0,'Input_Meci'!T57&lt;=100),1,0),IF(AND(ISNUMBER('Input_Meci'!U57),'Input_Meci'!U57&gt;=0,'Input_Meci'!U57&lt;=100),1,0),IF(AND(ISNUMBER('Input_Meci'!V57),'Input_Meci'!V57&gt;=0,'Input_Meci'!V57&lt;=10),1,0),IF(AND(ISNUMBER('Input_Meci'!W57),'Input_Meci'!W57&gt;=0,'Input_Meci'!W57&lt;=10),1,0)))</x:f>
      </x:c>
      <x:c r="BF57" s="11" t="str">
        <x:f>IF(I57&lt;&gt;"PASS","",MAX(0,MIN(IF(OR(M57="YES",BL57&lt;&gt;C57),'Config_v6'!$B$34,100),ROUND(40+25*MIN(1,MIN(N57,Q57)/'Config_v6'!$B$7)*MIN(1,MIN(O57,R57)/'Config_v6'!$B$8)*MIN(1,MIN(P57,S57)/'Config_v6'!$B$9)+MAX(0,15-2*ABS(AF57-AJ57)-2*ABS(AL57-AP57))+IF(AU57&lt;='Config_v6'!$B$10,15,IF(AU57&lt;='Config_v6'!$B$11,13,IF(AU57&lt;='Config_v6'!$B$12,10,IF(AU57&lt;='Config_v6'!$B$13,6,0))))+5-BE57/10*'Config_v6'!$B$38,0))))</x:f>
      </x:c>
      <x:c r="BG57" s="11" t="str">
        <x:f>IF(I57&lt;&gt;"PASS","",MIN(1,'Config_v6'!$B$14*(0.7+0.3*MIN(1,AR57/'Config_v6'!$B$15))*IF(AU57&lt;='Config_v6'!$B$10,1,IF(AU57&lt;='Config_v6'!$B$11,0.95,IF(AU57&lt;='Config_v6'!$B$12,0.88,0.78)))*(0.75+0.25*BF57/100)))</x:f>
      </x:c>
      <x:c r="BH57" s="11" t="str">
        <x:f>IF(I57&lt;&gt;"PASS","",MIN(1,(ABS(AZ57-1)+ABS(BA57-1))*3))</x:f>
      </x:c>
      <x:c r="BI57" s="2" t="str">
        <x:f>IF(A57="","",IF(AND(OR('Input_Meci'!X57="",AND(ISNUMBER('Input_Meci'!X57),'Input_Meci'!X57&gt;=0,'Input_Meci'!X57&lt;=10)),OR('Input_Meci'!Y57="",AND(ISNUMBER('Input_Meci'!Y57),'Input_Meci'!Y57&gt;=0,'Input_Meci'!Y57&lt;=10)),OR('Input_Meci'!Z57="",AND(ISNUMBER('Input_Meci'!Z57),'Input_Meci'!Z57&gt;=0,'Input_Meci'!Z57&lt;=10)),OR('Input_Meci'!AA57="",AND(ISNUMBER('Input_Meci'!AA57),'Input_Meci'!AA57&gt;=0,'Input_Meci'!AA57&lt;=10)),OR('Input_Meci'!AB57="",AND(ISNUMBER('Input_Meci'!AB57),'Input_Meci'!AB57&gt;=0,'Input_Meci'!AB57&lt;=10)),OR('Input_Meci'!AC57="",AND(ISNUMBER('Input_Meci'!AC57),'Input_Meci'!AC57&gt;=0,'Input_Meci'!AC57&lt;=10)),OR('Input_Meci'!AD57="",AND(ISNUMBER('Input_Meci'!AD57),'Input_Meci'!AD57&gt;=-2,'Input_Meci'!AD57&lt;=2)),OR('Input_Meci'!AE57="",AND(ISNUMBER('Input_Meci'!AE57),'Input_Meci'!AE57&gt;=-2,'Input_Meci'!AE57&lt;=2)),OR('Input_Meci'!AF57="",AND(ISNUMBER('Input_Meci'!AF57),'Input_Meci'!AF57&gt;=-2,'Input_Meci'!AF57&lt;=2)),OR('Input_Meci'!AG57="",AND(ISNUMBER('Input_Meci'!AG57),'Input_Meci'!AG57&gt;=-2,'Input_Meci'!AG57&lt;=2))),"VALID","INVALID"))</x:f>
      </x:c>
      <x:c r="BJ57" s="2" t="n">
        <x:f>IF(A57="",0,SUM('Core_Nativ'!S618:S623))</x:f>
        <x:v>0</x:v>
      </x:c>
      <x:c r="BK57" s="2" t="str">
        <x:f>'Config_v6'!$B$40</x:f>
        <x:v>VALID</x:v>
      </x:c>
      <x:c r="BL57" s="2" t="str">
        <x:f>IF(A57="","",IF(SUMPRODUCT(('Istoric_Nativ'!$B$6:$B$405=B57)*('Istoric_Nativ'!$C$6:$C$405=C57)*('Istoric_Nativ'!$P$6:$P$405=1)*('Istoric_Nativ'!$D$6:$D$405&lt;INT(G57))*((('Istoric_Nativ'!$E$6:$E$405='Input_Meci'!D57)+('Istoric_Nativ'!$F$6:$F$405='Input_Meci'!D57)+('Istoric_Nativ'!$E$6:$E$405='Input_Meci'!E57)+('Istoric_Nativ'!$F$6:$F$405='Input_Meci'!E57))&gt;0))&gt;='Config_v6'!$B$41,C57,IF(AND('Input_Meci'!L57="YES",'Input_Meci'!K57&lt;&gt;"",'Input_Meci'!K57&lt;C57,COUNTIF('Core_Nativ'!R624:R629,"CLOSED")=6,SUM('Core_Nativ'!S624:S629)=0),'Input_Meci'!K57,C57)))</x:f>
      </x:c>
      <x:c r="BM57" s="9" t="n">
        <x:f>IF(OR(A57="",N57=0),0,LARGE(_xlfn._xlws.FILTER('Istoric_Nativ'!$D$6:$D$405,('Istoric_Nativ'!$B$6:$B$405=B57)*('Istoric_Nativ'!$C$6:$C$405=C57)*('Istoric_Nativ'!$P$6:$P$405=1)*('Istoric_Nativ'!$D$6:$D$405&lt;INT(G57))*((('Istoric_Nativ'!$E$6:$E$405='Input_Meci'!D57)+('Istoric_Nativ'!$F$6:$F$405='Input_Meci'!D57))&gt;0)),MIN(10,N57)))</x:f>
        <x:v>0</x:v>
      </x:c>
      <x:c r="BN57" s="9" t="n">
        <x:f>IF(OR(A57="",Q57=0),0,LARGE(_xlfn._xlws.FILTER('Istoric_Nativ'!$D$6:$D$405,('Istoric_Nativ'!$B$6:$B$405=B57)*('Istoric_Nativ'!$C$6:$C$405=C57)*('Istoric_Nativ'!$P$6:$P$405=1)*('Istoric_Nativ'!$D$6:$D$405&lt;INT(G57))*((('Istoric_Nativ'!$E$6:$E$405='Input_Meci'!E57)+('Istoric_Nativ'!$F$6:$F$405='Input_Meci'!E57))&gt;0)),MIN(10,Q57)))</x:f>
        <x:v>0</x:v>
      </x:c>
      <x:c r="BO57" s="9" t="n">
        <x:f>IF(OR(A57="",N57=0),0,LARGE(_xlfn._xlws.FILTER('Istoric_Nativ'!$D$6:$D$405,('Istoric_Nativ'!$B$6:$B$405=B57)*('Istoric_Nativ'!$C$6:$C$405=C57)*('Istoric_Nativ'!$P$6:$P$405=1)*('Istoric_Nativ'!$D$6:$D$405&lt;INT(G57))*((('Istoric_Nativ'!$E$6:$E$405='Input_Meci'!D57)+('Istoric_Nativ'!$F$6:$F$405='Input_Meci'!D57))&gt;0)),MIN(20,N57)))</x:f>
        <x:v>0</x:v>
      </x:c>
      <x:c r="BP57" s="9" t="n">
        <x:f>IF(OR(A57="",Q57=0),0,LARGE(_xlfn._xlws.FILTER('Istoric_Nativ'!$D$6:$D$405,('Istoric_Nativ'!$B$6:$B$405=B57)*('Istoric_Nativ'!$C$6:$C$405=C57)*('Istoric_Nativ'!$P$6:$P$405=1)*('Istoric_Nativ'!$D$6:$D$405&lt;INT(G57))*((('Istoric_Nativ'!$E$6:$E$405='Input_Meci'!E57)+('Istoric_Nativ'!$F$6:$F$405='Input_Meci'!E57))&gt;0)),MIN(20,Q57)))</x:f>
        <x:v>0</x:v>
      </x:c>
      <x:c r="BQ57" s="2" t="str">
        <x:f>IF(A57="","",IF(AND(COUNTIF(MatchesTable[Match_ID],A57)=1,COUNTIFS(MatchesTable[League],B57,MatchesTable[Season],C57,MatchesTable[Home],'Input_Meci'!D57,MatchesTable[Away],'Input_Meci'!E57,MatchesTable[Kickoff_UTC],F57)=1,B57&lt;&gt;"",C57&lt;&gt;"",'Input_Meci'!D57&lt;&gt;"",'Input_Meci'!E57&lt;&gt;"",'Input_Meci'!D57&lt;&gt;'Input_Meci'!E57,ISNUMBER(F57),ISNUMBER(G57),G57&lt;F57,OR(E57="LIVE",E57="REPLAY"),OR('Input_Meci'!L57="YES",'Input_Meci'!L57="NO",'Input_Meci'!L57="")),"VALID","INVALID"))</x:f>
      </x:c>
      <x:c r="BR57" s="2" t="n">
        <x:f>IF(I57&lt;&gt;"PASS",0,SUMPRODUCT(('Istoric_Nativ'!$B$6:$B$405='Input_Meci'!B57)*('Istoric_Nativ'!$C$6:$C$405='Input_Meci'!C57)*('Istoric_Nativ'!$P$6:$P$405=1)*('Istoric_Nativ'!$D$6:$D$405&lt;INT('Input_Meci'!G57))*((('Istoric_Nativ'!$E$6:$E$405='Input_Meci'!D57)+('Istoric_Nativ'!$F$6:$F$405='Input_Meci'!E57))&gt;0)))</x:f>
        <x:v>0</x:v>
      </x:c>
      <x:c r="BS57" s="2" t="n">
        <x:f>IF(I57&lt;&gt;"PASS",0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BM57)+((('Istoric_Nativ'!$E$6:$E$405='Input_Meci'!E57)+('Istoric_Nativ'!$F$6:$F$405='Input_Meci'!E57))&gt;0)*('Istoric_Nativ'!$D$6:$D$405&gt;=BN57))&gt;0)))</x:f>
        <x:v>0</x:v>
      </x:c>
      <x:c r="BT57" s="2" t="n">
        <x:f>IF(I57&lt;&gt;"PASS",0,SUMPRODUCT(('Istoric_Nativ'!$B$6:$B$405='Input_Meci'!B57)*('Istoric_Nativ'!$C$6:$C$405='Input_Meci'!C57)*('Istoric_Nativ'!$P$6:$P$405=1)*('Istoric_Nativ'!$D$6:$D$405&lt;INT('Input_Meci'!G57))*((((('Istoric_Nativ'!$E$6:$E$405='Input_Meci'!D57)+('Istoric_Nativ'!$F$6:$F$405='Input_Meci'!D57))&gt;0)*('Istoric_Nativ'!$D$6:$D$405&gt;=BO57)+((('Istoric_Nativ'!$E$6:$E$405='Input_Meci'!E57)+('Istoric_Nativ'!$F$6:$F$405='Input_Meci'!E57))&gt;0)*('Istoric_Nativ'!$D$6:$D$405&gt;=BP57))&gt;0)))</x:f>
        <x:v>0</x:v>
      </x:c>
    </x:row>
    <x:row r="58" ht="21" customHeight="1">
      <x:c r="A58" s="2" t="str">
        <x:f>IF('Input_Meci'!A58="","",'Input_Meci'!A58)</x:f>
      </x:c>
      <x:c r="B58" s="2" t="str">
        <x:f>IF(A58="","",'Input_Meci'!B58)</x:f>
      </x:c>
      <x:c r="C58" s="2" t="str">
        <x:f>IF(A58="","",'Input_Meci'!C58)</x:f>
      </x:c>
      <x:c r="D58" s="2" t="str">
        <x:f>IF(A58="","",'Input_Meci'!D58&amp;" – "&amp;'Input_Meci'!E58)</x:f>
      </x:c>
      <x:c r="E58" s="2" t="str">
        <x:f>IF(A58="","",'Input_Meci'!H58)</x:f>
      </x:c>
      <x:c r="F58" s="9" t="str">
        <x:f>IF(A58="","",'Input_Meci'!F58)</x:f>
      </x:c>
      <x:c r="G58" s="9" t="str">
        <x:f>IF(A58="","",'Input_Meci'!G58)</x:f>
      </x:c>
      <x:c r="H58" s="2" t="str">
        <x:f>IF(A58="","",IF(BQ58&lt;&gt;"VALID","NOT RELEASED",IF(AND(OR('Input_Meci'!I58="NOT AVAILABLE",'Input_Meci'!I58="SOURCE CONFLICT"),'Input_Meci'!J58&lt;&gt;""),"READY",IF(OR(NOT(OR('Input_Meci'!I58="AUTO",'Input_Meci'!I58="")),COUNTIF('Core_Nativ'!R630:R635,"CLOSED")&lt;&gt;6,BJ58&gt;0),"NOT RELEASED","READY"))))</x:f>
      </x:c>
      <x:c r="I58" s="2" t="str">
        <x:f>IF(A58="","",IF(H58&lt;&gt;"READY","NOT RELEASED",IF(AND(NOT(OR('Input_Meci'!I58="NOT AVAILABLE",'Input_Meci'!I58="SOURCE CONFLICT")),L58=12,AR58&gt;=2,AS58&gt;0,ISNUMBER(AT58),BI58="VALID",BK58="VALID"),"PASS","FAIL")))</x:f>
      </x:c>
      <x:c r="J58" s="2" t="str">
        <x:f>IF(A58="","",IF(BQ58&lt;&gt;"VALID","Verifica ID, echipe, mod si cutoff &lt; kickoff",IF(H58&lt;&gt;"READY",IF('Input_Meci'!I58="ACCESS BLOCKED","Acces blocat: reia sursele",IF(BJ58&gt;0,"Istoric invalid sau conflict: verifica randurile native","Surse neinchise / post-cutoff / dovezi incomplete")),IF(OR('Input_Meci'!I58="NOT AVAILABLE",'Input_Meci'!I58="SOURCE CONFLICT"),'Input_Meci'!I58,IF(BK58&lt;&gt;"VALID","Parametri invalizi",IF(L58&lt;&gt;12,"Core / sample / prior insuficient",IF(AR58&lt;2,"N insuficient pentru dispersie",IF(AS58&lt;=0,"Media istorica trebuie sa fie pozitiva",IF(BI58&lt;&gt;"VALID","Context invalid","READY")))))))))</x:f>
      </x:c>
      <x:c r="K58" s="2" t="str">
        <x:f>IF(A58="","",COUNT(T58:AE58))</x:f>
      </x:c>
      <x:c r="L58" s="2" t="str">
        <x:f>IF(A58="","",COUNT(AF58:AQ58))</x:f>
      </x:c>
      <x:c r="M58" s="2" t="str">
        <x:f>IF(A58="","",IF(OR('Core_Nativ'!M630&lt;'Core_Nativ'!P630,'Core_Nativ'!M631&lt;'Core_Nativ'!P631,'Core_Nativ'!M632&lt;'Core_Nativ'!P632,'Core_Nativ'!M633&lt;'Core_Nativ'!P633,'Core_Nativ'!M634&lt;'Core_Nativ'!P634,'Core_Nativ'!M635&lt;'Core_Nativ'!P635),"YES","NO"))</x:f>
      </x:c>
      <x:c r="N58" s="2" t="str">
        <x:f>IF(A58="","",'Core_Nativ'!M630)</x:f>
      </x:c>
      <x:c r="O58" s="2" t="str">
        <x:f>IF(A58="","",'Core_Nativ'!M631)</x:f>
      </x:c>
      <x:c r="P58" s="2" t="str">
        <x:f>IF(A58="","",'Core_Nativ'!M632)</x:f>
      </x:c>
      <x:c r="Q58" s="2" t="str">
        <x:f>IF(A58="","",'Core_Nativ'!M633)</x:f>
      </x:c>
      <x:c r="R58" s="2" t="str">
        <x:f>IF(A58="","",'Core_Nativ'!M634)</x:f>
      </x:c>
      <x:c r="S58" s="2" t="str">
        <x:f>IF(A58="","",'Core_Nativ'!M635)</x:f>
      </x:c>
      <x:c r="T58" s="11" t="str">
        <x:f>IF(OR(A58="",'Core_Nativ'!M630=0),"",'Core_Nativ'!N630)</x:f>
      </x:c>
      <x:c r="U58" s="11" t="str">
        <x:f>IF(OR(A58="",'Core_Nativ'!M630=0),"",'Core_Nativ'!O630)</x:f>
      </x:c>
      <x:c r="V58" s="11" t="str">
        <x:f>IF(OR(A58="",'Core_Nativ'!M631=0),"",'Core_Nativ'!N631)</x:f>
      </x:c>
      <x:c r="W58" s="11" t="str">
        <x:f>IF(OR(A58="",'Core_Nativ'!M631=0),"",'Core_Nativ'!O631)</x:f>
      </x:c>
      <x:c r="X58" s="11" t="str">
        <x:f>IF(OR(A58="",'Core_Nativ'!M632=0),"",'Core_Nativ'!N632)</x:f>
      </x:c>
      <x:c r="Y58" s="11" t="str">
        <x:f>IF(OR(A58="",'Core_Nativ'!M632=0),"",'Core_Nativ'!O632)</x:f>
      </x:c>
      <x:c r="Z58" s="11" t="str">
        <x:f>IF(OR(A58="",'Core_Nativ'!M633=0),"",'Core_Nativ'!N633)</x:f>
      </x:c>
      <x:c r="AA58" s="11" t="str">
        <x:f>IF(OR(A58="",'Core_Nativ'!M633=0),"",'Core_Nativ'!O633)</x:f>
      </x:c>
      <x:c r="AB58" s="11" t="str">
        <x:f>IF(OR(A58="",'Core_Nativ'!M634=0),"",'Core_Nativ'!N634)</x:f>
      </x:c>
      <x:c r="AC58" s="11" t="str">
        <x:f>IF(OR(A58="",'Core_Nativ'!M634=0),"",'Core_Nativ'!O634)</x:f>
      </x:c>
      <x:c r="AD58" s="11" t="str">
        <x:f>IF(OR(A58="",'Core_Nativ'!M635=0),"",'Core_Nativ'!N635)</x:f>
      </x:c>
      <x:c r="AE58" s="11" t="str">
        <x:f>IF(OR(A58="",'Core_Nativ'!M635=0),"",'Core_Nativ'!O635)</x:f>
      </x:c>
      <x:c r="AF58" s="11" t="str">
        <x:f>IF(A58="","",IF(AND('Core_Nativ'!R630="CLOSED",'Core_Nativ'!S630=0),IF('Core_Nativ'!M630&gt;='Core_Nativ'!P630,'Core_Nativ'!N630,IF(AND('Input_Meci'!L58="YES",'Input_Meci'!K58&lt;&gt;"",'Input_Meci'!K58&lt;C58,'Core_Nativ'!T636="DERIVED",'Core_Nativ'!M636&gt;='Core_Nativ'!P630),MIN(1,'Core_Nativ'!M630/'Core_Nativ'!P630)*IF('Core_Nativ'!M630=0,0,'Core_Nativ'!N630)+(1-MIN(1,'Core_Nativ'!M630/'Core_Nativ'!P630))*'Core_Nativ'!N636,"")),""))</x:f>
      </x:c>
      <x:c r="AG58" s="11" t="str">
        <x:f>IF(A58="","",IF(AND('Core_Nativ'!R630="CLOSED",'Core_Nativ'!S630=0),IF('Core_Nativ'!M630&gt;='Core_Nativ'!P630,'Core_Nativ'!O630,IF(AND('Input_Meci'!L58="YES",'Input_Meci'!K58&lt;&gt;"",'Input_Meci'!K58&lt;C58,'Core_Nativ'!T636="DERIVED",'Core_Nativ'!M636&gt;='Core_Nativ'!P630),MIN(1,'Core_Nativ'!M630/'Core_Nativ'!P630)*IF('Core_Nativ'!M630=0,0,'Core_Nativ'!O630)+(1-MIN(1,'Core_Nativ'!M630/'Core_Nativ'!P630))*'Core_Nativ'!O636,"")),""))</x:f>
      </x:c>
      <x:c r="AH58" s="11" t="str">
        <x:f>IF(A58="","",IF(AND('Core_Nativ'!R631="CLOSED",'Core_Nativ'!S631=0),IF('Core_Nativ'!M631&gt;='Core_Nativ'!P631,'Core_Nativ'!N631,IF(AND('Input_Meci'!L58="YES",'Input_Meci'!K58&lt;&gt;"",'Input_Meci'!K58&lt;C58,'Core_Nativ'!T637="DERIVED",'Core_Nativ'!M637&gt;='Core_Nativ'!P631),MIN(1,'Core_Nativ'!M631/'Core_Nativ'!P631)*IF('Core_Nativ'!M631=0,0,'Core_Nativ'!N631)+(1-MIN(1,'Core_Nativ'!M631/'Core_Nativ'!P631))*'Core_Nativ'!N637,"")),""))</x:f>
      </x:c>
      <x:c r="AI58" s="11" t="str">
        <x:f>IF(A58="","",IF(AND('Core_Nativ'!R631="CLOSED",'Core_Nativ'!S631=0),IF('Core_Nativ'!M631&gt;='Core_Nativ'!P631,'Core_Nativ'!O631,IF(AND('Input_Meci'!L58="YES",'Input_Meci'!K58&lt;&gt;"",'Input_Meci'!K58&lt;C58,'Core_Nativ'!T637="DERIVED",'Core_Nativ'!M637&gt;='Core_Nativ'!P631),MIN(1,'Core_Nativ'!M631/'Core_Nativ'!P631)*IF('Core_Nativ'!M631=0,0,'Core_Nativ'!O631)+(1-MIN(1,'Core_Nativ'!M631/'Core_Nativ'!P631))*'Core_Nativ'!O637,"")),""))</x:f>
      </x:c>
      <x:c r="AJ58" s="11" t="str">
        <x:f>IF(A58="","",IF(AND('Core_Nativ'!R632="CLOSED",'Core_Nativ'!S632=0),IF('Core_Nativ'!M632&gt;='Core_Nativ'!P632,'Core_Nativ'!N632,IF(AND('Input_Meci'!L58="YES",'Input_Meci'!K58&lt;&gt;"",'Input_Meci'!K58&lt;C58,'Core_Nativ'!T638="DERIVED",'Core_Nativ'!M638&gt;='Core_Nativ'!P632),MIN(1,'Core_Nativ'!M632/'Core_Nativ'!P632)*IF('Core_Nativ'!M632=0,0,'Core_Nativ'!N632)+(1-MIN(1,'Core_Nativ'!M632/'Core_Nativ'!P632))*'Core_Nativ'!N638,"")),""))</x:f>
      </x:c>
      <x:c r="AK58" s="11" t="str">
        <x:f>IF(A58="","",IF(AND('Core_Nativ'!R632="CLOSED",'Core_Nativ'!S632=0),IF('Core_Nativ'!M632&gt;='Core_Nativ'!P632,'Core_Nativ'!O632,IF(AND('Input_Meci'!L58="YES",'Input_Meci'!K58&lt;&gt;"",'Input_Meci'!K58&lt;C58,'Core_Nativ'!T638="DERIVED",'Core_Nativ'!M638&gt;='Core_Nativ'!P632),MIN(1,'Core_Nativ'!M632/'Core_Nativ'!P632)*IF('Core_Nativ'!M632=0,0,'Core_Nativ'!O632)+(1-MIN(1,'Core_Nativ'!M632/'Core_Nativ'!P632))*'Core_Nativ'!O638,"")),""))</x:f>
      </x:c>
      <x:c r="AL58" s="11" t="str">
        <x:f>IF(A58="","",IF(AND('Core_Nativ'!R633="CLOSED",'Core_Nativ'!S633=0),IF('Core_Nativ'!M633&gt;='Core_Nativ'!P633,'Core_Nativ'!N633,IF(AND('Input_Meci'!L58="YES",'Input_Meci'!K58&lt;&gt;"",'Input_Meci'!K58&lt;C58,'Core_Nativ'!T639="DERIVED",'Core_Nativ'!M639&gt;='Core_Nativ'!P633),MIN(1,'Core_Nativ'!M633/'Core_Nativ'!P633)*IF('Core_Nativ'!M633=0,0,'Core_Nativ'!N633)+(1-MIN(1,'Core_Nativ'!M633/'Core_Nativ'!P633))*'Core_Nativ'!N639,"")),""))</x:f>
      </x:c>
      <x:c r="AM58" s="11" t="str">
        <x:f>IF(A58="","",IF(AND('Core_Nativ'!R633="CLOSED",'Core_Nativ'!S633=0),IF('Core_Nativ'!M633&gt;='Core_Nativ'!P633,'Core_Nativ'!O633,IF(AND('Input_Meci'!L58="YES",'Input_Meci'!K58&lt;&gt;"",'Input_Meci'!K58&lt;C58,'Core_Nativ'!T639="DERIVED",'Core_Nativ'!M639&gt;='Core_Nativ'!P633),MIN(1,'Core_Nativ'!M633/'Core_Nativ'!P633)*IF('Core_Nativ'!M633=0,0,'Core_Nativ'!O633)+(1-MIN(1,'Core_Nativ'!M633/'Core_Nativ'!P633))*'Core_Nativ'!O639,"")),""))</x:f>
      </x:c>
      <x:c r="AN58" s="11" t="str">
        <x:f>IF(A58="","",IF(AND('Core_Nativ'!R634="CLOSED",'Core_Nativ'!S634=0),IF('Core_Nativ'!M634&gt;='Core_Nativ'!P634,'Core_Nativ'!N634,IF(AND('Input_Meci'!L58="YES",'Input_Meci'!K58&lt;&gt;"",'Input_Meci'!K58&lt;C58,'Core_Nativ'!T640="DERIVED",'Core_Nativ'!M640&gt;='Core_Nativ'!P634),MIN(1,'Core_Nativ'!M634/'Core_Nativ'!P634)*IF('Core_Nativ'!M634=0,0,'Core_Nativ'!N634)+(1-MIN(1,'Core_Nativ'!M634/'Core_Nativ'!P634))*'Core_Nativ'!N640,"")),""))</x:f>
      </x:c>
      <x:c r="AO58" s="11" t="str">
        <x:f>IF(A58="","",IF(AND('Core_Nativ'!R634="CLOSED",'Core_Nativ'!S634=0),IF('Core_Nativ'!M634&gt;='Core_Nativ'!P634,'Core_Nativ'!O634,IF(AND('Input_Meci'!L58="YES",'Input_Meci'!K58&lt;&gt;"",'Input_Meci'!K58&lt;C58,'Core_Nativ'!T640="DERIVED",'Core_Nativ'!M640&gt;='Core_Nativ'!P634),MIN(1,'Core_Nativ'!M634/'Core_Nativ'!P634)*IF('Core_Nativ'!M634=0,0,'Core_Nativ'!O634)+(1-MIN(1,'Core_Nativ'!M634/'Core_Nativ'!P634))*'Core_Nativ'!O640,"")),""))</x:f>
      </x:c>
      <x:c r="AP58" s="11" t="str">
        <x:f>IF(A58="","",IF(AND('Core_Nativ'!R635="CLOSED",'Core_Nativ'!S635=0),IF('Core_Nativ'!M635&gt;='Core_Nativ'!P635,'Core_Nativ'!N635,IF(AND('Input_Meci'!L58="YES",'Input_Meci'!K58&lt;&gt;"",'Input_Meci'!K58&lt;C58,'Core_Nativ'!T641="DERIVED",'Core_Nativ'!M641&gt;='Core_Nativ'!P635),MIN(1,'Core_Nativ'!M635/'Core_Nativ'!P635)*IF('Core_Nativ'!M635=0,0,'Core_Nativ'!N635)+(1-MIN(1,'Core_Nativ'!M635/'Core_Nativ'!P635))*'Core_Nativ'!N641,"")),""))</x:f>
      </x:c>
      <x:c r="AQ58" s="11" t="str">
        <x:f>IF(A58="","",IF(AND('Core_Nativ'!R635="CLOSED",'Core_Nativ'!S635=0),IF('Core_Nativ'!M635&gt;='Core_Nativ'!P635,'Core_Nativ'!O635,IF(AND('Input_Meci'!L58="YES",'Input_Meci'!K58&lt;&gt;"",'Input_Meci'!K58&lt;C58,'Core_Nativ'!T641="DERIVED",'Core_Nativ'!M641&gt;='Core_Nativ'!P635),MIN(1,'Core_Nativ'!M635/'Core_Nativ'!P635)*IF('Core_Nativ'!M635=0,0,'Core_Nativ'!O635)+(1-MIN(1,'Core_Nativ'!M635/'Core_Nativ'!P635))*'Core_Nativ'!O641,"")),""))</x:f>
      </x:c>
      <x:c r="AR58" s="11" t="str">
        <x:f>IF(A58="","",SUMPRODUCT(('Istoric_Nativ'!$B$6:$B$405=B58)*('Istoric_Nativ'!$C$6:$C$405=BL58)*('Istoric_Nativ'!$P$6:$P$405=1)*('Istoric_Nativ'!$D$6:$D$405&lt;INT(G58))*((('Istoric_Nativ'!$E$6:$E$405='Input_Meci'!D58)+('Istoric_Nativ'!$F$6:$F$405='Input_Meci'!D58)+('Istoric_Nativ'!$E$6:$E$405='Input_Meci'!E58)+('Istoric_Nativ'!$F$6:$F$405='Input_Meci'!E58))&gt;0)))</x:f>
      </x:c>
      <x:c r="AS58" s="11" t="str">
        <x:f>IF(AR58=0,"",SUMPRODUCT(('Istoric_Nativ'!$B$6:$B$405=B58)*('Istoric_Nativ'!$C$6:$C$405=BL58)*('Istoric_Nativ'!$P$6:$P$405=1)*('Istoric_Nativ'!$D$6:$D$405&lt;INT(G58))*((('Istoric_Nativ'!$E$6:$E$405='Input_Meci'!D58)+('Istoric_Nativ'!$F$6:$F$405='Input_Meci'!D58)+('Istoric_Nativ'!$E$6:$E$405='Input_Meci'!E58)+('Istoric_Nativ'!$F$6:$F$405='Input_Meci'!E58))&gt;0)*'Istoric_Nativ'!$Q$6:$Q$405)/AR58)</x:f>
      </x:c>
      <x:c r="AT58" s="11" t="str">
        <x:f>IF(AR58&lt;2,"",MAX(0,(SUMPRODUCT(('Istoric_Nativ'!$B$6:$B$405=B58)*('Istoric_Nativ'!$C$6:$C$405=BL58)*('Istoric_Nativ'!$P$6:$P$405=1)*('Istoric_Nativ'!$D$6:$D$405&lt;INT(G58))*((('Istoric_Nativ'!$E$6:$E$405='Input_Meci'!D58)+('Istoric_Nativ'!$F$6:$F$405='Input_Meci'!D58)+('Istoric_Nativ'!$E$6:$E$405='Input_Meci'!E58)+('Istoric_Nativ'!$F$6:$F$405='Input_Meci'!E58))&gt;0)*'Istoric_Nativ'!$R$6:$R$405)-AR58*AS58^2)/(AR58-1)))</x:f>
      </x:c>
      <x:c r="AU58" s="11" t="str">
        <x:f>IF(I58&lt;&gt;"PASS","",AT58/AS58)</x:f>
      </x:c>
      <x:c r="AV58" s="11" t="str">
        <x:f>IF(I58&lt;&gt;"PASS","",IF(AU58&lt;='Config_v6'!$B$10,"POISSON","NEGATIVE BINOMIAL"))</x:f>
      </x:c>
      <x:c r="AW58" s="11" t="str">
        <x:f>IF(I58&lt;&gt;"PASS","",IF(AV58="POISSON",9999,AS58/(AU58-1)))</x:f>
      </x:c>
      <x:c r="AX58" s="11" t="str">
        <x:f>IF(A58="","",MAX(1-'Config_v6'!$B$20,MIN(1+'Config_v6'!$B$20,1+0.02*(IF(AND(ISNUMBER('Input_Meci'!N58),'Input_Meci'!N58&gt;=0,'Input_Meci'!N58&lt;=200),'Input_Meci'!N58,12)/12-1)+0.02*(IF(AND(ISNUMBER('Input_Meci'!P58),'Input_Meci'!P58&gt;=0,'Input_Meci'!P58&lt;=200),'Input_Meci'!P58,3.5)/3.5-1)+0.02*(IF(AND(ISNUMBER('Input_Meci'!R58),'Input_Meci'!R58&gt;=0,'Input_Meci'!R58&lt;=200),'Input_Meci'!R58,18)/18-1)+0.02*((IF(AND(ISNUMBER('Input_Meci'!V58),'Input_Meci'!V58&gt;=0,'Input_Meci'!V58&lt;=10),'Input_Meci'!V58,5)-5)/5))))</x:f>
      </x:c>
      <x:c r="AY58" s="11" t="str">
        <x:f>IF(A58="","",MAX(1-'Config_v6'!$B$20,MIN(1+'Config_v6'!$B$20,1+0.02*(IF(AND(ISNUMBER('Input_Meci'!O58),'Input_Meci'!O58&gt;=0,'Input_Meci'!O58&lt;=200),'Input_Meci'!O58,12)/12-1)+0.02*(IF(AND(ISNUMBER('Input_Meci'!Q58),'Input_Meci'!Q58&gt;=0,'Input_Meci'!Q58&lt;=200),'Input_Meci'!Q58,3.5)/3.5-1)+0.02*(IF(AND(ISNUMBER('Input_Meci'!S58),'Input_Meci'!S58&gt;=0,'Input_Meci'!S58&lt;=200),'Input_Meci'!S58,18)/18-1)+0.02*((IF(AND(ISNUMBER('Input_Meci'!W58),'Input_Meci'!W58&gt;=0,'Input_Meci'!W58&lt;=10),'Input_Meci'!W58,5)-5)/5))))</x:f>
      </x:c>
      <x:c r="AZ58" s="11" t="str">
        <x:f>IF(A58="","",MAX(1-'Config_v6'!$B$21,MIN(1+'Config_v6'!$B$21,1+0.012*(IF('Input_Meci'!X58="",5,IF(ISNUMBER('Input_Meci'!X58),'Input_Meci'!X58,5))-5)+0.018*(IF('Input_Meci'!Z58="",5,IF(ISNUMBER('Input_Meci'!Z58),'Input_Meci'!Z58,5))-5)+0.012*(IF('Input_Meci'!AB58="",5,IF(ISNUMBER('Input_Meci'!AB58),'Input_Meci'!AB58,5))-5)+0.015*IF('Input_Meci'!AD58="",0,IF(ISNUMBER('Input_Meci'!AD58),'Input_Meci'!AD58,0))+0.02*IF('Input_Meci'!AF58="",0,IF(ISNUMBER('Input_Meci'!AF58),'Input_Meci'!AF58,0)))))</x:f>
      </x:c>
      <x:c r="BA58" s="11" t="str">
        <x:f>IF(A58="","",MAX(1-'Config_v6'!$B$21,MIN(1+'Config_v6'!$B$21,1+0.012*(IF('Input_Meci'!Y58="",5,IF(ISNUMBER('Input_Meci'!Y58),'Input_Meci'!Y58,5))-5)+0.018*(IF('Input_Meci'!AA58="",5,IF(ISNUMBER('Input_Meci'!AA58),'Input_Meci'!AA58,5))-5)+0.012*(IF('Input_Meci'!AC58="",5,IF(ISNUMBER('Input_Meci'!AC58),'Input_Meci'!AC58,5))-5)+0.015*IF('Input_Meci'!AE58="",0,IF(ISNUMBER('Input_Meci'!AE58),'Input_Meci'!AE58,0))+0.02*IF('Input_Meci'!AG58="",0,IF(ISNUMBER('Input_Meci'!AG58),'Input_Meci'!AG58,0)))))</x:f>
      </x:c>
      <x:c r="BB58" s="11" t="str">
        <x:f>IF(I58&lt;&gt;"PASS","",(AVERAGE(AF58,AM58)*'Config_v6'!$B$4+AVERAGE(AH58,AO58)*'Config_v6'!$B$5+AVERAGE(AJ58,AQ58)*'Config_v6'!$B$6)*AX58*AZ58)</x:f>
      </x:c>
      <x:c r="BC58" s="11" t="str">
        <x:f>IF(I58&lt;&gt;"PASS","",(AVERAGE(AL58,AG58)*'Config_v6'!$B$4+AVERAGE(AN58,AI58)*'Config_v6'!$B$5+AVERAGE(AP58,AK58)*'Config_v6'!$B$6)*AY58*BA58)</x:f>
      </x:c>
      <x:c r="BD58" s="11" t="str">
        <x:f>IF(I58&lt;&gt;"PASS","",BB58+BC58)</x:f>
      </x:c>
      <x:c r="BE58" s="11" t="str">
        <x:f>IF(A58="","",10-SUM(IF(AND(ISNUMBER('Input_Meci'!N58),'Input_Meci'!N58&gt;=0,'Input_Meci'!N58&lt;=200),1,0),IF(AND(ISNUMBER('Input_Meci'!O58),'Input_Meci'!O58&gt;=0,'Input_Meci'!O58&lt;=200),1,0),IF(AND(ISNUMBER('Input_Meci'!P58),'Input_Meci'!P58&gt;=0,'Input_Meci'!P58&lt;=200),1,0),IF(AND(ISNUMBER('Input_Meci'!Q58),'Input_Meci'!Q58&gt;=0,'Input_Meci'!Q58&lt;=200),1,0),IF(AND(ISNUMBER('Input_Meci'!R58),'Input_Meci'!R58&gt;=0,'Input_Meci'!R58&lt;=200),1,0),IF(AND(ISNUMBER('Input_Meci'!S58),'Input_Meci'!S58&gt;=0,'Input_Meci'!S58&lt;=200),1,0),IF(AND(ISNUMBER('Input_Meci'!T58),'Input_Meci'!T58&gt;=0,'Input_Meci'!T58&lt;=100),1,0),IF(AND(ISNUMBER('Input_Meci'!U58),'Input_Meci'!U58&gt;=0,'Input_Meci'!U58&lt;=100),1,0),IF(AND(ISNUMBER('Input_Meci'!V58),'Input_Meci'!V58&gt;=0,'Input_Meci'!V58&lt;=10),1,0),IF(AND(ISNUMBER('Input_Meci'!W58),'Input_Meci'!W58&gt;=0,'Input_Meci'!W58&lt;=10),1,0)))</x:f>
      </x:c>
      <x:c r="BF58" s="11" t="str">
        <x:f>IF(I58&lt;&gt;"PASS","",MAX(0,MIN(IF(OR(M58="YES",BL58&lt;&gt;C58),'Config_v6'!$B$34,100),ROUND(40+25*MIN(1,MIN(N58,Q58)/'Config_v6'!$B$7)*MIN(1,MIN(O58,R58)/'Config_v6'!$B$8)*MIN(1,MIN(P58,S58)/'Config_v6'!$B$9)+MAX(0,15-2*ABS(AF58-AJ58)-2*ABS(AL58-AP58))+IF(AU58&lt;='Config_v6'!$B$10,15,IF(AU58&lt;='Config_v6'!$B$11,13,IF(AU58&lt;='Config_v6'!$B$12,10,IF(AU58&lt;='Config_v6'!$B$13,6,0))))+5-BE58/10*'Config_v6'!$B$38,0))))</x:f>
      </x:c>
      <x:c r="BG58" s="11" t="str">
        <x:f>IF(I58&lt;&gt;"PASS","",MIN(1,'Config_v6'!$B$14*(0.7+0.3*MIN(1,AR58/'Config_v6'!$B$15))*IF(AU58&lt;='Config_v6'!$B$10,1,IF(AU58&lt;='Config_v6'!$B$11,0.95,IF(AU58&lt;='Config_v6'!$B$12,0.88,0.78)))*(0.75+0.25*BF58/100)))</x:f>
      </x:c>
      <x:c r="BH58" s="11" t="str">
        <x:f>IF(I58&lt;&gt;"PASS","",MIN(1,(ABS(AZ58-1)+ABS(BA58-1))*3))</x:f>
      </x:c>
      <x:c r="BI58" s="2" t="str">
        <x:f>IF(A58="","",IF(AND(OR('Input_Meci'!X58="",AND(ISNUMBER('Input_Meci'!X58),'Input_Meci'!X58&gt;=0,'Input_Meci'!X58&lt;=10)),OR('Input_Meci'!Y58="",AND(ISNUMBER('Input_Meci'!Y58),'Input_Meci'!Y58&gt;=0,'Input_Meci'!Y58&lt;=10)),OR('Input_Meci'!Z58="",AND(ISNUMBER('Input_Meci'!Z58),'Input_Meci'!Z58&gt;=0,'Input_Meci'!Z58&lt;=10)),OR('Input_Meci'!AA58="",AND(ISNUMBER('Input_Meci'!AA58),'Input_Meci'!AA58&gt;=0,'Input_Meci'!AA58&lt;=10)),OR('Input_Meci'!AB58="",AND(ISNUMBER('Input_Meci'!AB58),'Input_Meci'!AB58&gt;=0,'Input_Meci'!AB58&lt;=10)),OR('Input_Meci'!AC58="",AND(ISNUMBER('Input_Meci'!AC58),'Input_Meci'!AC58&gt;=0,'Input_Meci'!AC58&lt;=10)),OR('Input_Meci'!AD58="",AND(ISNUMBER('Input_Meci'!AD58),'Input_Meci'!AD58&gt;=-2,'Input_Meci'!AD58&lt;=2)),OR('Input_Meci'!AE58="",AND(ISNUMBER('Input_Meci'!AE58),'Input_Meci'!AE58&gt;=-2,'Input_Meci'!AE58&lt;=2)),OR('Input_Meci'!AF58="",AND(ISNUMBER('Input_Meci'!AF58),'Input_Meci'!AF58&gt;=-2,'Input_Meci'!AF58&lt;=2)),OR('Input_Meci'!AG58="",AND(ISNUMBER('Input_Meci'!AG58),'Input_Meci'!AG58&gt;=-2,'Input_Meci'!AG58&lt;=2))),"VALID","INVALID"))</x:f>
      </x:c>
      <x:c r="BJ58" s="2" t="n">
        <x:f>IF(A58="",0,SUM('Core_Nativ'!S630:S635))</x:f>
        <x:v>0</x:v>
      </x:c>
      <x:c r="BK58" s="2" t="str">
        <x:f>'Config_v6'!$B$40</x:f>
        <x:v>VALID</x:v>
      </x:c>
      <x:c r="BL58" s="2" t="str">
        <x:f>IF(A58="","",IF(SUMPRODUCT(('Istoric_Nativ'!$B$6:$B$405=B58)*('Istoric_Nativ'!$C$6:$C$405=C58)*('Istoric_Nativ'!$P$6:$P$405=1)*('Istoric_Nativ'!$D$6:$D$405&lt;INT(G58))*((('Istoric_Nativ'!$E$6:$E$405='Input_Meci'!D58)+('Istoric_Nativ'!$F$6:$F$405='Input_Meci'!D58)+('Istoric_Nativ'!$E$6:$E$405='Input_Meci'!E58)+('Istoric_Nativ'!$F$6:$F$405='Input_Meci'!E58))&gt;0))&gt;='Config_v6'!$B$41,C58,IF(AND('Input_Meci'!L58="YES",'Input_Meci'!K58&lt;&gt;"",'Input_Meci'!K58&lt;C58,COUNTIF('Core_Nativ'!R636:R641,"CLOSED")=6,SUM('Core_Nativ'!S636:S641)=0),'Input_Meci'!K58,C58)))</x:f>
      </x:c>
      <x:c r="BM58" s="9" t="n">
        <x:f>IF(OR(A58="",N58=0),0,LARGE(_xlfn._xlws.FILTER('Istoric_Nativ'!$D$6:$D$405,('Istoric_Nativ'!$B$6:$B$405=B58)*('Istoric_Nativ'!$C$6:$C$405=C58)*('Istoric_Nativ'!$P$6:$P$405=1)*('Istoric_Nativ'!$D$6:$D$405&lt;INT(G58))*((('Istoric_Nativ'!$E$6:$E$405='Input_Meci'!D58)+('Istoric_Nativ'!$F$6:$F$405='Input_Meci'!D58))&gt;0)),MIN(10,N58)))</x:f>
        <x:v>0</x:v>
      </x:c>
      <x:c r="BN58" s="9" t="n">
        <x:f>IF(OR(A58="",Q58=0),0,LARGE(_xlfn._xlws.FILTER('Istoric_Nativ'!$D$6:$D$405,('Istoric_Nativ'!$B$6:$B$405=B58)*('Istoric_Nativ'!$C$6:$C$405=C58)*('Istoric_Nativ'!$P$6:$P$405=1)*('Istoric_Nativ'!$D$6:$D$405&lt;INT(G58))*((('Istoric_Nativ'!$E$6:$E$405='Input_Meci'!E58)+('Istoric_Nativ'!$F$6:$F$405='Input_Meci'!E58))&gt;0)),MIN(10,Q58)))</x:f>
        <x:v>0</x:v>
      </x:c>
      <x:c r="BO58" s="9" t="n">
        <x:f>IF(OR(A58="",N58=0),0,LARGE(_xlfn._xlws.FILTER('Istoric_Nativ'!$D$6:$D$405,('Istoric_Nativ'!$B$6:$B$405=B58)*('Istoric_Nativ'!$C$6:$C$405=C58)*('Istoric_Nativ'!$P$6:$P$405=1)*('Istoric_Nativ'!$D$6:$D$405&lt;INT(G58))*((('Istoric_Nativ'!$E$6:$E$405='Input_Meci'!D58)+('Istoric_Nativ'!$F$6:$F$405='Input_Meci'!D58))&gt;0)),MIN(20,N58)))</x:f>
        <x:v>0</x:v>
      </x:c>
      <x:c r="BP58" s="9" t="n">
        <x:f>IF(OR(A58="",Q58=0),0,LARGE(_xlfn._xlws.FILTER('Istoric_Nativ'!$D$6:$D$405,('Istoric_Nativ'!$B$6:$B$405=B58)*('Istoric_Nativ'!$C$6:$C$405=C58)*('Istoric_Nativ'!$P$6:$P$405=1)*('Istoric_Nativ'!$D$6:$D$405&lt;INT(G58))*((('Istoric_Nativ'!$E$6:$E$405='Input_Meci'!E58)+('Istoric_Nativ'!$F$6:$F$405='Input_Meci'!E58))&gt;0)),MIN(20,Q58)))</x:f>
        <x:v>0</x:v>
      </x:c>
      <x:c r="BQ58" s="2" t="str">
        <x:f>IF(A58="","",IF(AND(COUNTIF(MatchesTable[Match_ID],A58)=1,COUNTIFS(MatchesTable[League],B58,MatchesTable[Season],C58,MatchesTable[Home],'Input_Meci'!D58,MatchesTable[Away],'Input_Meci'!E58,MatchesTable[Kickoff_UTC],F58)=1,B58&lt;&gt;"",C58&lt;&gt;"",'Input_Meci'!D58&lt;&gt;"",'Input_Meci'!E58&lt;&gt;"",'Input_Meci'!D58&lt;&gt;'Input_Meci'!E58,ISNUMBER(F58),ISNUMBER(G58),G58&lt;F58,OR(E58="LIVE",E58="REPLAY"),OR('Input_Meci'!L58="YES",'Input_Meci'!L58="NO",'Input_Meci'!L58="")),"VALID","INVALID"))</x:f>
      </x:c>
      <x:c r="BR58" s="2" t="n">
        <x:f>IF(I58&lt;&gt;"PASS",0,SUMPRODUCT(('Istoric_Nativ'!$B$6:$B$405='Input_Meci'!B58)*('Istoric_Nativ'!$C$6:$C$405='Input_Meci'!C58)*('Istoric_Nativ'!$P$6:$P$405=1)*('Istoric_Nativ'!$D$6:$D$405&lt;INT('Input_Meci'!G58))*((('Istoric_Nativ'!$E$6:$E$405='Input_Meci'!D58)+('Istoric_Nativ'!$F$6:$F$405='Input_Meci'!E58))&gt;0)))</x:f>
        <x:v>0</x:v>
      </x:c>
      <x:c r="BS58" s="2" t="n">
        <x:f>IF(I58&lt;&gt;"PASS",0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BM58)+((('Istoric_Nativ'!$E$6:$E$405='Input_Meci'!E58)+('Istoric_Nativ'!$F$6:$F$405='Input_Meci'!E58))&gt;0)*('Istoric_Nativ'!$D$6:$D$405&gt;=BN58))&gt;0)))</x:f>
        <x:v>0</x:v>
      </x:c>
      <x:c r="BT58" s="2" t="n">
        <x:f>IF(I58&lt;&gt;"PASS",0,SUMPRODUCT(('Istoric_Nativ'!$B$6:$B$405='Input_Meci'!B58)*('Istoric_Nativ'!$C$6:$C$405='Input_Meci'!C58)*('Istoric_Nativ'!$P$6:$P$405=1)*('Istoric_Nativ'!$D$6:$D$405&lt;INT('Input_Meci'!G58))*((((('Istoric_Nativ'!$E$6:$E$405='Input_Meci'!D58)+('Istoric_Nativ'!$F$6:$F$405='Input_Meci'!D58))&gt;0)*('Istoric_Nativ'!$D$6:$D$405&gt;=BO58)+((('Istoric_Nativ'!$E$6:$E$405='Input_Meci'!E58)+('Istoric_Nativ'!$F$6:$F$405='Input_Meci'!E58))&gt;0)*('Istoric_Nativ'!$D$6:$D$405&gt;=BP58))&gt;0)))</x:f>
        <x:v>0</x:v>
      </x:c>
    </x:row>
    <x:row r="59" ht="21" customHeight="1">
      <x:c r="A59" s="2" t="str">
        <x:f>IF('Input_Meci'!A59="","",'Input_Meci'!A59)</x:f>
      </x:c>
      <x:c r="B59" s="2" t="str">
        <x:f>IF(A59="","",'Input_Meci'!B59)</x:f>
      </x:c>
      <x:c r="C59" s="2" t="str">
        <x:f>IF(A59="","",'Input_Meci'!C59)</x:f>
      </x:c>
      <x:c r="D59" s="2" t="str">
        <x:f>IF(A59="","",'Input_Meci'!D59&amp;" – "&amp;'Input_Meci'!E59)</x:f>
      </x:c>
      <x:c r="E59" s="2" t="str">
        <x:f>IF(A59="","",'Input_Meci'!H59)</x:f>
      </x:c>
      <x:c r="F59" s="9" t="str">
        <x:f>IF(A59="","",'Input_Meci'!F59)</x:f>
      </x:c>
      <x:c r="G59" s="9" t="str">
        <x:f>IF(A59="","",'Input_Meci'!G59)</x:f>
      </x:c>
      <x:c r="H59" s="2" t="str">
        <x:f>IF(A59="","",IF(BQ59&lt;&gt;"VALID","NOT RELEASED",IF(AND(OR('Input_Meci'!I59="NOT AVAILABLE",'Input_Meci'!I59="SOURCE CONFLICT"),'Input_Meci'!J59&lt;&gt;""),"READY",IF(OR(NOT(OR('Input_Meci'!I59="AUTO",'Input_Meci'!I59="")),COUNTIF('Core_Nativ'!R642:R647,"CLOSED")&lt;&gt;6,BJ59&gt;0),"NOT RELEASED","READY"))))</x:f>
      </x:c>
      <x:c r="I59" s="2" t="str">
        <x:f>IF(A59="","",IF(H59&lt;&gt;"READY","NOT RELEASED",IF(AND(NOT(OR('Input_Meci'!I59="NOT AVAILABLE",'Input_Meci'!I59="SOURCE CONFLICT")),L59=12,AR59&gt;=2,AS59&gt;0,ISNUMBER(AT59),BI59="VALID",BK59="VALID"),"PASS","FAIL")))</x:f>
      </x:c>
      <x:c r="J59" s="2" t="str">
        <x:f>IF(A59="","",IF(BQ59&lt;&gt;"VALID","Verifica ID, echipe, mod si cutoff &lt; kickoff",IF(H59&lt;&gt;"READY",IF('Input_Meci'!I59="ACCESS BLOCKED","Acces blocat: reia sursele",IF(BJ59&gt;0,"Istoric invalid sau conflict: verifica randurile native","Surse neinchise / post-cutoff / dovezi incomplete")),IF(OR('Input_Meci'!I59="NOT AVAILABLE",'Input_Meci'!I59="SOURCE CONFLICT"),'Input_Meci'!I59,IF(BK59&lt;&gt;"VALID","Parametri invalizi",IF(L59&lt;&gt;12,"Core / sample / prior insuficient",IF(AR59&lt;2,"N insuficient pentru dispersie",IF(AS59&lt;=0,"Media istorica trebuie sa fie pozitiva",IF(BI59&lt;&gt;"VALID","Context invalid","READY")))))))))</x:f>
      </x:c>
      <x:c r="K59" s="2" t="str">
        <x:f>IF(A59="","",COUNT(T59:AE59))</x:f>
      </x:c>
      <x:c r="L59" s="2" t="str">
        <x:f>IF(A59="","",COUNT(AF59:AQ59))</x:f>
      </x:c>
      <x:c r="M59" s="2" t="str">
        <x:f>IF(A59="","",IF(OR('Core_Nativ'!M642&lt;'Core_Nativ'!P642,'Core_Nativ'!M643&lt;'Core_Nativ'!P643,'Core_Nativ'!M644&lt;'Core_Nativ'!P644,'Core_Nativ'!M645&lt;'Core_Nativ'!P645,'Core_Nativ'!M646&lt;'Core_Nativ'!P646,'Core_Nativ'!M647&lt;'Core_Nativ'!P647),"YES","NO"))</x:f>
      </x:c>
      <x:c r="N59" s="2" t="str">
        <x:f>IF(A59="","",'Core_Nativ'!M642)</x:f>
      </x:c>
      <x:c r="O59" s="2" t="str">
        <x:f>IF(A59="","",'Core_Nativ'!M643)</x:f>
      </x:c>
      <x:c r="P59" s="2" t="str">
        <x:f>IF(A59="","",'Core_Nativ'!M644)</x:f>
      </x:c>
      <x:c r="Q59" s="2" t="str">
        <x:f>IF(A59="","",'Core_Nativ'!M645)</x:f>
      </x:c>
      <x:c r="R59" s="2" t="str">
        <x:f>IF(A59="","",'Core_Nativ'!M646)</x:f>
      </x:c>
      <x:c r="S59" s="2" t="str">
        <x:f>IF(A59="","",'Core_Nativ'!M647)</x:f>
      </x:c>
      <x:c r="T59" s="11" t="str">
        <x:f>IF(OR(A59="",'Core_Nativ'!M642=0),"",'Core_Nativ'!N642)</x:f>
      </x:c>
      <x:c r="U59" s="11" t="str">
        <x:f>IF(OR(A59="",'Core_Nativ'!M642=0),"",'Core_Nativ'!O642)</x:f>
      </x:c>
      <x:c r="V59" s="11" t="str">
        <x:f>IF(OR(A59="",'Core_Nativ'!M643=0),"",'Core_Nativ'!N643)</x:f>
      </x:c>
      <x:c r="W59" s="11" t="str">
        <x:f>IF(OR(A59="",'Core_Nativ'!M643=0),"",'Core_Nativ'!O643)</x:f>
      </x:c>
      <x:c r="X59" s="11" t="str">
        <x:f>IF(OR(A59="",'Core_Nativ'!M644=0),"",'Core_Nativ'!N644)</x:f>
      </x:c>
      <x:c r="Y59" s="11" t="str">
        <x:f>IF(OR(A59="",'Core_Nativ'!M644=0),"",'Core_Nativ'!O644)</x:f>
      </x:c>
      <x:c r="Z59" s="11" t="str">
        <x:f>IF(OR(A59="",'Core_Nativ'!M645=0),"",'Core_Nativ'!N645)</x:f>
      </x:c>
      <x:c r="AA59" s="11" t="str">
        <x:f>IF(OR(A59="",'Core_Nativ'!M645=0),"",'Core_Nativ'!O645)</x:f>
      </x:c>
      <x:c r="AB59" s="11" t="str">
        <x:f>IF(OR(A59="",'Core_Nativ'!M646=0),"",'Core_Nativ'!N646)</x:f>
      </x:c>
      <x:c r="AC59" s="11" t="str">
        <x:f>IF(OR(A59="",'Core_Nativ'!M646=0),"",'Core_Nativ'!O646)</x:f>
      </x:c>
      <x:c r="AD59" s="11" t="str">
        <x:f>IF(OR(A59="",'Core_Nativ'!M647=0),"",'Core_Nativ'!N647)</x:f>
      </x:c>
      <x:c r="AE59" s="11" t="str">
        <x:f>IF(OR(A59="",'Core_Nativ'!M647=0),"",'Core_Nativ'!O647)</x:f>
      </x:c>
      <x:c r="AF59" s="11" t="str">
        <x:f>IF(A59="","",IF(AND('Core_Nativ'!R642="CLOSED",'Core_Nativ'!S642=0),IF('Core_Nativ'!M642&gt;='Core_Nativ'!P642,'Core_Nativ'!N642,IF(AND('Input_Meci'!L59="YES",'Input_Meci'!K59&lt;&gt;"",'Input_Meci'!K59&lt;C59,'Core_Nativ'!T648="DERIVED",'Core_Nativ'!M648&gt;='Core_Nativ'!P642),MIN(1,'Core_Nativ'!M642/'Core_Nativ'!P642)*IF('Core_Nativ'!M642=0,0,'Core_Nativ'!N642)+(1-MIN(1,'Core_Nativ'!M642/'Core_Nativ'!P642))*'Core_Nativ'!N648,"")),""))</x:f>
      </x:c>
      <x:c r="AG59" s="11" t="str">
        <x:f>IF(A59="","",IF(AND('Core_Nativ'!R642="CLOSED",'Core_Nativ'!S642=0),IF('Core_Nativ'!M642&gt;='Core_Nativ'!P642,'Core_Nativ'!O642,IF(AND('Input_Meci'!L59="YES",'Input_Meci'!K59&lt;&gt;"",'Input_Meci'!K59&lt;C59,'Core_Nativ'!T648="DERIVED",'Core_Nativ'!M648&gt;='Core_Nativ'!P642),MIN(1,'Core_Nativ'!M642/'Core_Nativ'!P642)*IF('Core_Nativ'!M642=0,0,'Core_Nativ'!O642)+(1-MIN(1,'Core_Nativ'!M642/'Core_Nativ'!P642))*'Core_Nativ'!O648,"")),""))</x:f>
      </x:c>
      <x:c r="AH59" s="11" t="str">
        <x:f>IF(A59="","",IF(AND('Core_Nativ'!R643="CLOSED",'Core_Nativ'!S643=0),IF('Core_Nativ'!M643&gt;='Core_Nativ'!P643,'Core_Nativ'!N643,IF(AND('Input_Meci'!L59="YES",'Input_Meci'!K59&lt;&gt;"",'Input_Meci'!K59&lt;C59,'Core_Nativ'!T649="DERIVED",'Core_Nativ'!M649&gt;='Core_Nativ'!P643),MIN(1,'Core_Nativ'!M643/'Core_Nativ'!P643)*IF('Core_Nativ'!M643=0,0,'Core_Nativ'!N643)+(1-MIN(1,'Core_Nativ'!M643/'Core_Nativ'!P643))*'Core_Nativ'!N649,"")),""))</x:f>
      </x:c>
      <x:c r="AI59" s="11" t="str">
        <x:f>IF(A59="","",IF(AND('Core_Nativ'!R643="CLOSED",'Core_Nativ'!S643=0),IF('Core_Nativ'!M643&gt;='Core_Nativ'!P643,'Core_Nativ'!O643,IF(AND('Input_Meci'!L59="YES",'Input_Meci'!K59&lt;&gt;"",'Input_Meci'!K59&lt;C59,'Core_Nativ'!T649="DERIVED",'Core_Nativ'!M649&gt;='Core_Nativ'!P643),MIN(1,'Core_Nativ'!M643/'Core_Nativ'!P643)*IF('Core_Nativ'!M643=0,0,'Core_Nativ'!O643)+(1-MIN(1,'Core_Nativ'!M643/'Core_Nativ'!P643))*'Core_Nativ'!O649,"")),""))</x:f>
      </x:c>
      <x:c r="AJ59" s="11" t="str">
        <x:f>IF(A59="","",IF(AND('Core_Nativ'!R644="CLOSED",'Core_Nativ'!S644=0),IF('Core_Nativ'!M644&gt;='Core_Nativ'!P644,'Core_Nativ'!N644,IF(AND('Input_Meci'!L59="YES",'Input_Meci'!K59&lt;&gt;"",'Input_Meci'!K59&lt;C59,'Core_Nativ'!T650="DERIVED",'Core_Nativ'!M650&gt;='Core_Nativ'!P644),MIN(1,'Core_Nativ'!M644/'Core_Nativ'!P644)*IF('Core_Nativ'!M644=0,0,'Core_Nativ'!N644)+(1-MIN(1,'Core_Nativ'!M644/'Core_Nativ'!P644))*'Core_Nativ'!N650,"")),""))</x:f>
      </x:c>
      <x:c r="AK59" s="11" t="str">
        <x:f>IF(A59="","",IF(AND('Core_Nativ'!R644="CLOSED",'Core_Nativ'!S644=0),IF('Core_Nativ'!M644&gt;='Core_Nativ'!P644,'Core_Nativ'!O644,IF(AND('Input_Meci'!L59="YES",'Input_Meci'!K59&lt;&gt;"",'Input_Meci'!K59&lt;C59,'Core_Nativ'!T650="DERIVED",'Core_Nativ'!M650&gt;='Core_Nativ'!P644),MIN(1,'Core_Nativ'!M644/'Core_Nativ'!P644)*IF('Core_Nativ'!M644=0,0,'Core_Nativ'!O644)+(1-MIN(1,'Core_Nativ'!M644/'Core_Nativ'!P644))*'Core_Nativ'!O650,"")),""))</x:f>
      </x:c>
      <x:c r="AL59" s="11" t="str">
        <x:f>IF(A59="","",IF(AND('Core_Nativ'!R645="CLOSED",'Core_Nativ'!S645=0),IF('Core_Nativ'!M645&gt;='Core_Nativ'!P645,'Core_Nativ'!N645,IF(AND('Input_Meci'!L59="YES",'Input_Meci'!K59&lt;&gt;"",'Input_Meci'!K59&lt;C59,'Core_Nativ'!T651="DERIVED",'Core_Nativ'!M651&gt;='Core_Nativ'!P645),MIN(1,'Core_Nativ'!M645/'Core_Nativ'!P645)*IF('Core_Nativ'!M645=0,0,'Core_Nativ'!N645)+(1-MIN(1,'Core_Nativ'!M645/'Core_Nativ'!P645))*'Core_Nativ'!N651,"")),""))</x:f>
      </x:c>
      <x:c r="AM59" s="11" t="str">
        <x:f>IF(A59="","",IF(AND('Core_Nativ'!R645="CLOSED",'Core_Nativ'!S645=0),IF('Core_Nativ'!M645&gt;='Core_Nativ'!P645,'Core_Nativ'!O645,IF(AND('Input_Meci'!L59="YES",'Input_Meci'!K59&lt;&gt;"",'Input_Meci'!K59&lt;C59,'Core_Nativ'!T651="DERIVED",'Core_Nativ'!M651&gt;='Core_Nativ'!P645),MIN(1,'Core_Nativ'!M645/'Core_Nativ'!P645)*IF('Core_Nativ'!M645=0,0,'Core_Nativ'!O645)+(1-MIN(1,'Core_Nativ'!M645/'Core_Nativ'!P645))*'Core_Nativ'!O651,"")),""))</x:f>
      </x:c>
      <x:c r="AN59" s="11" t="str">
        <x:f>IF(A59="","",IF(AND('Core_Nativ'!R646="CLOSED",'Core_Nativ'!S646=0),IF('Core_Nativ'!M646&gt;='Core_Nativ'!P646,'Core_Nativ'!N646,IF(AND('Input_Meci'!L59="YES",'Input_Meci'!K59&lt;&gt;"",'Input_Meci'!K59&lt;C59,'Core_Nativ'!T652="DERIVED",'Core_Nativ'!M652&gt;='Core_Nativ'!P646),MIN(1,'Core_Nativ'!M646/'Core_Nativ'!P646)*IF('Core_Nativ'!M646=0,0,'Core_Nativ'!N646)+(1-MIN(1,'Core_Nativ'!M646/'Core_Nativ'!P646))*'Core_Nativ'!N652,"")),""))</x:f>
      </x:c>
      <x:c r="AO59" s="11" t="str">
        <x:f>IF(A59="","",IF(AND('Core_Nativ'!R646="CLOSED",'Core_Nativ'!S646=0),IF('Core_Nativ'!M646&gt;='Core_Nativ'!P646,'Core_Nativ'!O646,IF(AND('Input_Meci'!L59="YES",'Input_Meci'!K59&lt;&gt;"",'Input_Meci'!K59&lt;C59,'Core_Nativ'!T652="DERIVED",'Core_Nativ'!M652&gt;='Core_Nativ'!P646),MIN(1,'Core_Nativ'!M646/'Core_Nativ'!P646)*IF('Core_Nativ'!M646=0,0,'Core_Nativ'!O646)+(1-MIN(1,'Core_Nativ'!M646/'Core_Nativ'!P646))*'Core_Nativ'!O652,"")),""))</x:f>
      </x:c>
      <x:c r="AP59" s="11" t="str">
        <x:f>IF(A59="","",IF(AND('Core_Nativ'!R647="CLOSED",'Core_Nativ'!S647=0),IF('Core_Nativ'!M647&gt;='Core_Nativ'!P647,'Core_Nativ'!N647,IF(AND('Input_Meci'!L59="YES",'Input_Meci'!K59&lt;&gt;"",'Input_Meci'!K59&lt;C59,'Core_Nativ'!T653="DERIVED",'Core_Nativ'!M653&gt;='Core_Nativ'!P647),MIN(1,'Core_Nativ'!M647/'Core_Nativ'!P647)*IF('Core_Nativ'!M647=0,0,'Core_Nativ'!N647)+(1-MIN(1,'Core_Nativ'!M647/'Core_Nativ'!P647))*'Core_Nativ'!N653,"")),""))</x:f>
      </x:c>
      <x:c r="AQ59" s="11" t="str">
        <x:f>IF(A59="","",IF(AND('Core_Nativ'!R647="CLOSED",'Core_Nativ'!S647=0),IF('Core_Nativ'!M647&gt;='Core_Nativ'!P647,'Core_Nativ'!O647,IF(AND('Input_Meci'!L59="YES",'Input_Meci'!K59&lt;&gt;"",'Input_Meci'!K59&lt;C59,'Core_Nativ'!T653="DERIVED",'Core_Nativ'!M653&gt;='Core_Nativ'!P647),MIN(1,'Core_Nativ'!M647/'Core_Nativ'!P647)*IF('Core_Nativ'!M647=0,0,'Core_Nativ'!O647)+(1-MIN(1,'Core_Nativ'!M647/'Core_Nativ'!P647))*'Core_Nativ'!O653,"")),""))</x:f>
      </x:c>
      <x:c r="AR59" s="11" t="str">
        <x:f>IF(A59="","",SUMPRODUCT(('Istoric_Nativ'!$B$6:$B$405=B59)*('Istoric_Nativ'!$C$6:$C$405=BL59)*('Istoric_Nativ'!$P$6:$P$405=1)*('Istoric_Nativ'!$D$6:$D$405&lt;INT(G59))*((('Istoric_Nativ'!$E$6:$E$405='Input_Meci'!D59)+('Istoric_Nativ'!$F$6:$F$405='Input_Meci'!D59)+('Istoric_Nativ'!$E$6:$E$405='Input_Meci'!E59)+('Istoric_Nativ'!$F$6:$F$405='Input_Meci'!E59))&gt;0)))</x:f>
      </x:c>
      <x:c r="AS59" s="11" t="str">
        <x:f>IF(AR59=0,"",SUMPRODUCT(('Istoric_Nativ'!$B$6:$B$405=B59)*('Istoric_Nativ'!$C$6:$C$405=BL59)*('Istoric_Nativ'!$P$6:$P$405=1)*('Istoric_Nativ'!$D$6:$D$405&lt;INT(G59))*((('Istoric_Nativ'!$E$6:$E$405='Input_Meci'!D59)+('Istoric_Nativ'!$F$6:$F$405='Input_Meci'!D59)+('Istoric_Nativ'!$E$6:$E$405='Input_Meci'!E59)+('Istoric_Nativ'!$F$6:$F$405='Input_Meci'!E59))&gt;0)*'Istoric_Nativ'!$Q$6:$Q$405)/AR59)</x:f>
      </x:c>
      <x:c r="AT59" s="11" t="str">
        <x:f>IF(AR59&lt;2,"",MAX(0,(SUMPRODUCT(('Istoric_Nativ'!$B$6:$B$405=B59)*('Istoric_Nativ'!$C$6:$C$405=BL59)*('Istoric_Nativ'!$P$6:$P$405=1)*('Istoric_Nativ'!$D$6:$D$405&lt;INT(G59))*((('Istoric_Nativ'!$E$6:$E$405='Input_Meci'!D59)+('Istoric_Nativ'!$F$6:$F$405='Input_Meci'!D59)+('Istoric_Nativ'!$E$6:$E$405='Input_Meci'!E59)+('Istoric_Nativ'!$F$6:$F$405='Input_Meci'!E59))&gt;0)*'Istoric_Nativ'!$R$6:$R$405)-AR59*AS59^2)/(AR59-1)))</x:f>
      </x:c>
      <x:c r="AU59" s="11" t="str">
        <x:f>IF(I59&lt;&gt;"PASS","",AT59/AS59)</x:f>
      </x:c>
      <x:c r="AV59" s="11" t="str">
        <x:f>IF(I59&lt;&gt;"PASS","",IF(AU59&lt;='Config_v6'!$B$10,"POISSON","NEGATIVE BINOMIAL"))</x:f>
      </x:c>
      <x:c r="AW59" s="11" t="str">
        <x:f>IF(I59&lt;&gt;"PASS","",IF(AV59="POISSON",9999,AS59/(AU59-1)))</x:f>
      </x:c>
      <x:c r="AX59" s="11" t="str">
        <x:f>IF(A59="","",MAX(1-'Config_v6'!$B$20,MIN(1+'Config_v6'!$B$20,1+0.02*(IF(AND(ISNUMBER('Input_Meci'!N59),'Input_Meci'!N59&gt;=0,'Input_Meci'!N59&lt;=200),'Input_Meci'!N59,12)/12-1)+0.02*(IF(AND(ISNUMBER('Input_Meci'!P59),'Input_Meci'!P59&gt;=0,'Input_Meci'!P59&lt;=200),'Input_Meci'!P59,3.5)/3.5-1)+0.02*(IF(AND(ISNUMBER('Input_Meci'!R59),'Input_Meci'!R59&gt;=0,'Input_Meci'!R59&lt;=200),'Input_Meci'!R59,18)/18-1)+0.02*((IF(AND(ISNUMBER('Input_Meci'!V59),'Input_Meci'!V59&gt;=0,'Input_Meci'!V59&lt;=10),'Input_Meci'!V59,5)-5)/5))))</x:f>
      </x:c>
      <x:c r="AY59" s="11" t="str">
        <x:f>IF(A59="","",MAX(1-'Config_v6'!$B$20,MIN(1+'Config_v6'!$B$20,1+0.02*(IF(AND(ISNUMBER('Input_Meci'!O59),'Input_Meci'!O59&gt;=0,'Input_Meci'!O59&lt;=200),'Input_Meci'!O59,12)/12-1)+0.02*(IF(AND(ISNUMBER('Input_Meci'!Q59),'Input_Meci'!Q59&gt;=0,'Input_Meci'!Q59&lt;=200),'Input_Meci'!Q59,3.5)/3.5-1)+0.02*(IF(AND(ISNUMBER('Input_Meci'!S59),'Input_Meci'!S59&gt;=0,'Input_Meci'!S59&lt;=200),'Input_Meci'!S59,18)/18-1)+0.02*((IF(AND(ISNUMBER('Input_Meci'!W59),'Input_Meci'!W59&gt;=0,'Input_Meci'!W59&lt;=10),'Input_Meci'!W59,5)-5)/5))))</x:f>
      </x:c>
      <x:c r="AZ59" s="11" t="str">
        <x:f>IF(A59="","",MAX(1-'Config_v6'!$B$21,MIN(1+'Config_v6'!$B$21,1+0.012*(IF('Input_Meci'!X59="",5,IF(ISNUMBER('Input_Meci'!X59),'Input_Meci'!X59,5))-5)+0.018*(IF('Input_Meci'!Z59="",5,IF(ISNUMBER('Input_Meci'!Z59),'Input_Meci'!Z59,5))-5)+0.012*(IF('Input_Meci'!AB59="",5,IF(ISNUMBER('Input_Meci'!AB59),'Input_Meci'!AB59,5))-5)+0.015*IF('Input_Meci'!AD59="",0,IF(ISNUMBER('Input_Meci'!AD59),'Input_Meci'!AD59,0))+0.02*IF('Input_Meci'!AF59="",0,IF(ISNUMBER('Input_Meci'!AF59),'Input_Meci'!AF59,0)))))</x:f>
      </x:c>
      <x:c r="BA59" s="11" t="str">
        <x:f>IF(A59="","",MAX(1-'Config_v6'!$B$21,MIN(1+'Config_v6'!$B$21,1+0.012*(IF('Input_Meci'!Y59="",5,IF(ISNUMBER('Input_Meci'!Y59),'Input_Meci'!Y59,5))-5)+0.018*(IF('Input_Meci'!AA59="",5,IF(ISNUMBER('Input_Meci'!AA59),'Input_Meci'!AA59,5))-5)+0.012*(IF('Input_Meci'!AC59="",5,IF(ISNUMBER('Input_Meci'!AC59),'Input_Meci'!AC59,5))-5)+0.015*IF('Input_Meci'!AE59="",0,IF(ISNUMBER('Input_Meci'!AE59),'Input_Meci'!AE59,0))+0.02*IF('Input_Meci'!AG59="",0,IF(ISNUMBER('Input_Meci'!AG59),'Input_Meci'!AG59,0)))))</x:f>
      </x:c>
      <x:c r="BB59" s="11" t="str">
        <x:f>IF(I59&lt;&gt;"PASS","",(AVERAGE(AF59,AM59)*'Config_v6'!$B$4+AVERAGE(AH59,AO59)*'Config_v6'!$B$5+AVERAGE(AJ59,AQ59)*'Config_v6'!$B$6)*AX59*AZ59)</x:f>
      </x:c>
      <x:c r="BC59" s="11" t="str">
        <x:f>IF(I59&lt;&gt;"PASS","",(AVERAGE(AL59,AG59)*'Config_v6'!$B$4+AVERAGE(AN59,AI59)*'Config_v6'!$B$5+AVERAGE(AP59,AK59)*'Config_v6'!$B$6)*AY59*BA59)</x:f>
      </x:c>
      <x:c r="BD59" s="11" t="str">
        <x:f>IF(I59&lt;&gt;"PASS","",BB59+BC59)</x:f>
      </x:c>
      <x:c r="BE59" s="11" t="str">
        <x:f>IF(A59="","",10-SUM(IF(AND(ISNUMBER('Input_Meci'!N59),'Input_Meci'!N59&gt;=0,'Input_Meci'!N59&lt;=200),1,0),IF(AND(ISNUMBER('Input_Meci'!O59),'Input_Meci'!O59&gt;=0,'Input_Meci'!O59&lt;=200),1,0),IF(AND(ISNUMBER('Input_Meci'!P59),'Input_Meci'!P59&gt;=0,'Input_Meci'!P59&lt;=200),1,0),IF(AND(ISNUMBER('Input_Meci'!Q59),'Input_Meci'!Q59&gt;=0,'Input_Meci'!Q59&lt;=200),1,0),IF(AND(ISNUMBER('Input_Meci'!R59),'Input_Meci'!R59&gt;=0,'Input_Meci'!R59&lt;=200),1,0),IF(AND(ISNUMBER('Input_Meci'!S59),'Input_Meci'!S59&gt;=0,'Input_Meci'!S59&lt;=200),1,0),IF(AND(ISNUMBER('Input_Meci'!T59),'Input_Meci'!T59&gt;=0,'Input_Meci'!T59&lt;=100),1,0),IF(AND(ISNUMBER('Input_Meci'!U59),'Input_Meci'!U59&gt;=0,'Input_Meci'!U59&lt;=100),1,0),IF(AND(ISNUMBER('Input_Meci'!V59),'Input_Meci'!V59&gt;=0,'Input_Meci'!V59&lt;=10),1,0),IF(AND(ISNUMBER('Input_Meci'!W59),'Input_Meci'!W59&gt;=0,'Input_Meci'!W59&lt;=10),1,0)))</x:f>
      </x:c>
      <x:c r="BF59" s="11" t="str">
        <x:f>IF(I59&lt;&gt;"PASS","",MAX(0,MIN(IF(OR(M59="YES",BL59&lt;&gt;C59),'Config_v6'!$B$34,100),ROUND(40+25*MIN(1,MIN(N59,Q59)/'Config_v6'!$B$7)*MIN(1,MIN(O59,R59)/'Config_v6'!$B$8)*MIN(1,MIN(P59,S59)/'Config_v6'!$B$9)+MAX(0,15-2*ABS(AF59-AJ59)-2*ABS(AL59-AP59))+IF(AU59&lt;='Config_v6'!$B$10,15,IF(AU59&lt;='Config_v6'!$B$11,13,IF(AU59&lt;='Config_v6'!$B$12,10,IF(AU59&lt;='Config_v6'!$B$13,6,0))))+5-BE59/10*'Config_v6'!$B$38,0))))</x:f>
      </x:c>
      <x:c r="BG59" s="11" t="str">
        <x:f>IF(I59&lt;&gt;"PASS","",MIN(1,'Config_v6'!$B$14*(0.7+0.3*MIN(1,AR59/'Config_v6'!$B$15))*IF(AU59&lt;='Config_v6'!$B$10,1,IF(AU59&lt;='Config_v6'!$B$11,0.95,IF(AU59&lt;='Config_v6'!$B$12,0.88,0.78)))*(0.75+0.25*BF59/100)))</x:f>
      </x:c>
      <x:c r="BH59" s="11" t="str">
        <x:f>IF(I59&lt;&gt;"PASS","",MIN(1,(ABS(AZ59-1)+ABS(BA59-1))*3))</x:f>
      </x:c>
      <x:c r="BI59" s="2" t="str">
        <x:f>IF(A59="","",IF(AND(OR('Input_Meci'!X59="",AND(ISNUMBER('Input_Meci'!X59),'Input_Meci'!X59&gt;=0,'Input_Meci'!X59&lt;=10)),OR('Input_Meci'!Y59="",AND(ISNUMBER('Input_Meci'!Y59),'Input_Meci'!Y59&gt;=0,'Input_Meci'!Y59&lt;=10)),OR('Input_Meci'!Z59="",AND(ISNUMBER('Input_Meci'!Z59),'Input_Meci'!Z59&gt;=0,'Input_Meci'!Z59&lt;=10)),OR('Input_Meci'!AA59="",AND(ISNUMBER('Input_Meci'!AA59),'Input_Meci'!AA59&gt;=0,'Input_Meci'!AA59&lt;=10)),OR('Input_Meci'!AB59="",AND(ISNUMBER('Input_Meci'!AB59),'Input_Meci'!AB59&gt;=0,'Input_Meci'!AB59&lt;=10)),OR('Input_Meci'!AC59="",AND(ISNUMBER('Input_Meci'!AC59),'Input_Meci'!AC59&gt;=0,'Input_Meci'!AC59&lt;=10)),OR('Input_Meci'!AD59="",AND(ISNUMBER('Input_Meci'!AD59),'Input_Meci'!AD59&gt;=-2,'Input_Meci'!AD59&lt;=2)),OR('Input_Meci'!AE59="",AND(ISNUMBER('Input_Meci'!AE59),'Input_Meci'!AE59&gt;=-2,'Input_Meci'!AE59&lt;=2)),OR('Input_Meci'!AF59="",AND(ISNUMBER('Input_Meci'!AF59),'Input_Meci'!AF59&gt;=-2,'Input_Meci'!AF59&lt;=2)),OR('Input_Meci'!AG59="",AND(ISNUMBER('Input_Meci'!AG59),'Input_Meci'!AG59&gt;=-2,'Input_Meci'!AG59&lt;=2))),"VALID","INVALID"))</x:f>
      </x:c>
      <x:c r="BJ59" s="2" t="n">
        <x:f>IF(A59="",0,SUM('Core_Nativ'!S642:S647))</x:f>
        <x:v>0</x:v>
      </x:c>
      <x:c r="BK59" s="2" t="str">
        <x:f>'Config_v6'!$B$40</x:f>
        <x:v>VALID</x:v>
      </x:c>
      <x:c r="BL59" s="2" t="str">
        <x:f>IF(A59="","",IF(SUMPRODUCT(('Istoric_Nativ'!$B$6:$B$405=B59)*('Istoric_Nativ'!$C$6:$C$405=C59)*('Istoric_Nativ'!$P$6:$P$405=1)*('Istoric_Nativ'!$D$6:$D$405&lt;INT(G59))*((('Istoric_Nativ'!$E$6:$E$405='Input_Meci'!D59)+('Istoric_Nativ'!$F$6:$F$405='Input_Meci'!D59)+('Istoric_Nativ'!$E$6:$E$405='Input_Meci'!E59)+('Istoric_Nativ'!$F$6:$F$405='Input_Meci'!E59))&gt;0))&gt;='Config_v6'!$B$41,C59,IF(AND('Input_Meci'!L59="YES",'Input_Meci'!K59&lt;&gt;"",'Input_Meci'!K59&lt;C59,COUNTIF('Core_Nativ'!R648:R653,"CLOSED")=6,SUM('Core_Nativ'!S648:S653)=0),'Input_Meci'!K59,C59)))</x:f>
      </x:c>
      <x:c r="BM59" s="9" t="n">
        <x:f>IF(OR(A59="",N59=0),0,LARGE(_xlfn._xlws.FILTER('Istoric_Nativ'!$D$6:$D$405,('Istoric_Nativ'!$B$6:$B$405=B59)*('Istoric_Nativ'!$C$6:$C$405=C59)*('Istoric_Nativ'!$P$6:$P$405=1)*('Istoric_Nativ'!$D$6:$D$405&lt;INT(G59))*((('Istoric_Nativ'!$E$6:$E$405='Input_Meci'!D59)+('Istoric_Nativ'!$F$6:$F$405='Input_Meci'!D59))&gt;0)),MIN(10,N59)))</x:f>
        <x:v>0</x:v>
      </x:c>
      <x:c r="BN59" s="9" t="n">
        <x:f>IF(OR(A59="",Q59=0),0,LARGE(_xlfn._xlws.FILTER('Istoric_Nativ'!$D$6:$D$405,('Istoric_Nativ'!$B$6:$B$405=B59)*('Istoric_Nativ'!$C$6:$C$405=C59)*('Istoric_Nativ'!$P$6:$P$405=1)*('Istoric_Nativ'!$D$6:$D$405&lt;INT(G59))*((('Istoric_Nativ'!$E$6:$E$405='Input_Meci'!E59)+('Istoric_Nativ'!$F$6:$F$405='Input_Meci'!E59))&gt;0)),MIN(10,Q59)))</x:f>
        <x:v>0</x:v>
      </x:c>
      <x:c r="BO59" s="9" t="n">
        <x:f>IF(OR(A59="",N59=0),0,LARGE(_xlfn._xlws.FILTER('Istoric_Nativ'!$D$6:$D$405,('Istoric_Nativ'!$B$6:$B$405=B59)*('Istoric_Nativ'!$C$6:$C$405=C59)*('Istoric_Nativ'!$P$6:$P$405=1)*('Istoric_Nativ'!$D$6:$D$405&lt;INT(G59))*((('Istoric_Nativ'!$E$6:$E$405='Input_Meci'!D59)+('Istoric_Nativ'!$F$6:$F$405='Input_Meci'!D59))&gt;0)),MIN(20,N59)))</x:f>
        <x:v>0</x:v>
      </x:c>
      <x:c r="BP59" s="9" t="n">
        <x:f>IF(OR(A59="",Q59=0),0,LARGE(_xlfn._xlws.FILTER('Istoric_Nativ'!$D$6:$D$405,('Istoric_Nativ'!$B$6:$B$405=B59)*('Istoric_Nativ'!$C$6:$C$405=C59)*('Istoric_Nativ'!$P$6:$P$405=1)*('Istoric_Nativ'!$D$6:$D$405&lt;INT(G59))*((('Istoric_Nativ'!$E$6:$E$405='Input_Meci'!E59)+('Istoric_Nativ'!$F$6:$F$405='Input_Meci'!E59))&gt;0)),MIN(20,Q59)))</x:f>
        <x:v>0</x:v>
      </x:c>
      <x:c r="BQ59" s="2" t="str">
        <x:f>IF(A59="","",IF(AND(COUNTIF(MatchesTable[Match_ID],A59)=1,COUNTIFS(MatchesTable[League],B59,MatchesTable[Season],C59,MatchesTable[Home],'Input_Meci'!D59,MatchesTable[Away],'Input_Meci'!E59,MatchesTable[Kickoff_UTC],F59)=1,B59&lt;&gt;"",C59&lt;&gt;"",'Input_Meci'!D59&lt;&gt;"",'Input_Meci'!E59&lt;&gt;"",'Input_Meci'!D59&lt;&gt;'Input_Meci'!E59,ISNUMBER(F59),ISNUMBER(G59),G59&lt;F59,OR(E59="LIVE",E59="REPLAY"),OR('Input_Meci'!L59="YES",'Input_Meci'!L59="NO",'Input_Meci'!L59="")),"VALID","INVALID"))</x:f>
      </x:c>
      <x:c r="BR59" s="2" t="n">
        <x:f>IF(I59&lt;&gt;"PASS",0,SUMPRODUCT(('Istoric_Nativ'!$B$6:$B$405='Input_Meci'!B59)*('Istoric_Nativ'!$C$6:$C$405='Input_Meci'!C59)*('Istoric_Nativ'!$P$6:$P$405=1)*('Istoric_Nativ'!$D$6:$D$405&lt;INT('Input_Meci'!G59))*((('Istoric_Nativ'!$E$6:$E$405='Input_Meci'!D59)+('Istoric_Nativ'!$F$6:$F$405='Input_Meci'!E59))&gt;0)))</x:f>
        <x:v>0</x:v>
      </x:c>
      <x:c r="BS59" s="2" t="n">
        <x:f>IF(I59&lt;&gt;"PASS",0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BM59)+((('Istoric_Nativ'!$E$6:$E$405='Input_Meci'!E59)+('Istoric_Nativ'!$F$6:$F$405='Input_Meci'!E59))&gt;0)*('Istoric_Nativ'!$D$6:$D$405&gt;=BN59))&gt;0)))</x:f>
        <x:v>0</x:v>
      </x:c>
      <x:c r="BT59" s="2" t="n">
        <x:f>IF(I59&lt;&gt;"PASS",0,SUMPRODUCT(('Istoric_Nativ'!$B$6:$B$405='Input_Meci'!B59)*('Istoric_Nativ'!$C$6:$C$405='Input_Meci'!C59)*('Istoric_Nativ'!$P$6:$P$405=1)*('Istoric_Nativ'!$D$6:$D$405&lt;INT('Input_Meci'!G59))*((((('Istoric_Nativ'!$E$6:$E$405='Input_Meci'!D59)+('Istoric_Nativ'!$F$6:$F$405='Input_Meci'!D59))&gt;0)*('Istoric_Nativ'!$D$6:$D$405&gt;=BO59)+((('Istoric_Nativ'!$E$6:$E$405='Input_Meci'!E59)+('Istoric_Nativ'!$F$6:$F$405='Input_Meci'!E59))&gt;0)*('Istoric_Nativ'!$D$6:$D$405&gt;=BP59))&gt;0)))</x:f>
        <x:v>0</x:v>
      </x:c>
    </x:row>
    <x:row r="60" ht="21" customHeight="1">
      <x:c r="A60" s="2" t="str">
        <x:f>IF('Input_Meci'!A60="","",'Input_Meci'!A60)</x:f>
      </x:c>
      <x:c r="B60" s="2" t="str">
        <x:f>IF(A60="","",'Input_Meci'!B60)</x:f>
      </x:c>
      <x:c r="C60" s="2" t="str">
        <x:f>IF(A60="","",'Input_Meci'!C60)</x:f>
      </x:c>
      <x:c r="D60" s="2" t="str">
        <x:f>IF(A60="","",'Input_Meci'!D60&amp;" – "&amp;'Input_Meci'!E60)</x:f>
      </x:c>
      <x:c r="E60" s="2" t="str">
        <x:f>IF(A60="","",'Input_Meci'!H60)</x:f>
      </x:c>
      <x:c r="F60" s="9" t="str">
        <x:f>IF(A60="","",'Input_Meci'!F60)</x:f>
      </x:c>
      <x:c r="G60" s="9" t="str">
        <x:f>IF(A60="","",'Input_Meci'!G60)</x:f>
      </x:c>
      <x:c r="H60" s="2" t="str">
        <x:f>IF(A60="","",IF(BQ60&lt;&gt;"VALID","NOT RELEASED",IF(AND(OR('Input_Meci'!I60="NOT AVAILABLE",'Input_Meci'!I60="SOURCE CONFLICT"),'Input_Meci'!J60&lt;&gt;""),"READY",IF(OR(NOT(OR('Input_Meci'!I60="AUTO",'Input_Meci'!I60="")),COUNTIF('Core_Nativ'!R654:R659,"CLOSED")&lt;&gt;6,BJ60&gt;0),"NOT RELEASED","READY"))))</x:f>
      </x:c>
      <x:c r="I60" s="2" t="str">
        <x:f>IF(A60="","",IF(H60&lt;&gt;"READY","NOT RELEASED",IF(AND(NOT(OR('Input_Meci'!I60="NOT AVAILABLE",'Input_Meci'!I60="SOURCE CONFLICT")),L60=12,AR60&gt;=2,AS60&gt;0,ISNUMBER(AT60),BI60="VALID",BK60="VALID"),"PASS","FAIL")))</x:f>
      </x:c>
      <x:c r="J60" s="2" t="str">
        <x:f>IF(A60="","",IF(BQ60&lt;&gt;"VALID","Verifica ID, echipe, mod si cutoff &lt; kickoff",IF(H60&lt;&gt;"READY",IF('Input_Meci'!I60="ACCESS BLOCKED","Acces blocat: reia sursele",IF(BJ60&gt;0,"Istoric invalid sau conflict: verifica randurile native","Surse neinchise / post-cutoff / dovezi incomplete")),IF(OR('Input_Meci'!I60="NOT AVAILABLE",'Input_Meci'!I60="SOURCE CONFLICT"),'Input_Meci'!I60,IF(BK60&lt;&gt;"VALID","Parametri invalizi",IF(L60&lt;&gt;12,"Core / sample / prior insuficient",IF(AR60&lt;2,"N insuficient pentru dispersie",IF(AS60&lt;=0,"Media istorica trebuie sa fie pozitiva",IF(BI60&lt;&gt;"VALID","Context invalid","READY")))))))))</x:f>
      </x:c>
      <x:c r="K60" s="2" t="str">
        <x:f>IF(A60="","",COUNT(T60:AE60))</x:f>
      </x:c>
      <x:c r="L60" s="2" t="str">
        <x:f>IF(A60="","",COUNT(AF60:AQ60))</x:f>
      </x:c>
      <x:c r="M60" s="2" t="str">
        <x:f>IF(A60="","",IF(OR('Core_Nativ'!M654&lt;'Core_Nativ'!P654,'Core_Nativ'!M655&lt;'Core_Nativ'!P655,'Core_Nativ'!M656&lt;'Core_Nativ'!P656,'Core_Nativ'!M657&lt;'Core_Nativ'!P657,'Core_Nativ'!M658&lt;'Core_Nativ'!P658,'Core_Nativ'!M659&lt;'Core_Nativ'!P659),"YES","NO"))</x:f>
      </x:c>
      <x:c r="N60" s="2" t="str">
        <x:f>IF(A60="","",'Core_Nativ'!M654)</x:f>
      </x:c>
      <x:c r="O60" s="2" t="str">
        <x:f>IF(A60="","",'Core_Nativ'!M655)</x:f>
      </x:c>
      <x:c r="P60" s="2" t="str">
        <x:f>IF(A60="","",'Core_Nativ'!M656)</x:f>
      </x:c>
      <x:c r="Q60" s="2" t="str">
        <x:f>IF(A60="","",'Core_Nativ'!M657)</x:f>
      </x:c>
      <x:c r="R60" s="2" t="str">
        <x:f>IF(A60="","",'Core_Nativ'!M658)</x:f>
      </x:c>
      <x:c r="S60" s="2" t="str">
        <x:f>IF(A60="","",'Core_Nativ'!M659)</x:f>
      </x:c>
      <x:c r="T60" s="11" t="str">
        <x:f>IF(OR(A60="",'Core_Nativ'!M654=0),"",'Core_Nativ'!N654)</x:f>
      </x:c>
      <x:c r="U60" s="11" t="str">
        <x:f>IF(OR(A60="",'Core_Nativ'!M654=0),"",'Core_Nativ'!O654)</x:f>
      </x:c>
      <x:c r="V60" s="11" t="str">
        <x:f>IF(OR(A60="",'Core_Nativ'!M655=0),"",'Core_Nativ'!N655)</x:f>
      </x:c>
      <x:c r="W60" s="11" t="str">
        <x:f>IF(OR(A60="",'Core_Nativ'!M655=0),"",'Core_Nativ'!O655)</x:f>
      </x:c>
      <x:c r="X60" s="11" t="str">
        <x:f>IF(OR(A60="",'Core_Nativ'!M656=0),"",'Core_Nativ'!N656)</x:f>
      </x:c>
      <x:c r="Y60" s="11" t="str">
        <x:f>IF(OR(A60="",'Core_Nativ'!M656=0),"",'Core_Nativ'!O656)</x:f>
      </x:c>
      <x:c r="Z60" s="11" t="str">
        <x:f>IF(OR(A60="",'Core_Nativ'!M657=0),"",'Core_Nativ'!N657)</x:f>
      </x:c>
      <x:c r="AA60" s="11" t="str">
        <x:f>IF(OR(A60="",'Core_Nativ'!M657=0),"",'Core_Nativ'!O657)</x:f>
      </x:c>
      <x:c r="AB60" s="11" t="str">
        <x:f>IF(OR(A60="",'Core_Nativ'!M658=0),"",'Core_Nativ'!N658)</x:f>
      </x:c>
      <x:c r="AC60" s="11" t="str">
        <x:f>IF(OR(A60="",'Core_Nativ'!M658=0),"",'Core_Nativ'!O658)</x:f>
      </x:c>
      <x:c r="AD60" s="11" t="str">
        <x:f>IF(OR(A60="",'Core_Nativ'!M659=0),"",'Core_Nativ'!N659)</x:f>
      </x:c>
      <x:c r="AE60" s="11" t="str">
        <x:f>IF(OR(A60="",'Core_Nativ'!M659=0),"",'Core_Nativ'!O659)</x:f>
      </x:c>
      <x:c r="AF60" s="11" t="str">
        <x:f>IF(A60="","",IF(AND('Core_Nativ'!R654="CLOSED",'Core_Nativ'!S654=0),IF('Core_Nativ'!M654&gt;='Core_Nativ'!P654,'Core_Nativ'!N654,IF(AND('Input_Meci'!L60="YES",'Input_Meci'!K60&lt;&gt;"",'Input_Meci'!K60&lt;C60,'Core_Nativ'!T660="DERIVED",'Core_Nativ'!M660&gt;='Core_Nativ'!P654),MIN(1,'Core_Nativ'!M654/'Core_Nativ'!P654)*IF('Core_Nativ'!M654=0,0,'Core_Nativ'!N654)+(1-MIN(1,'Core_Nativ'!M654/'Core_Nativ'!P654))*'Core_Nativ'!N660,"")),""))</x:f>
      </x:c>
      <x:c r="AG60" s="11" t="str">
        <x:f>IF(A60="","",IF(AND('Core_Nativ'!R654="CLOSED",'Core_Nativ'!S654=0),IF('Core_Nativ'!M654&gt;='Core_Nativ'!P654,'Core_Nativ'!O654,IF(AND('Input_Meci'!L60="YES",'Input_Meci'!K60&lt;&gt;"",'Input_Meci'!K60&lt;C60,'Core_Nativ'!T660="DERIVED",'Core_Nativ'!M660&gt;='Core_Nativ'!P654),MIN(1,'Core_Nativ'!M654/'Core_Nativ'!P654)*IF('Core_Nativ'!M654=0,0,'Core_Nativ'!O654)+(1-MIN(1,'Core_Nativ'!M654/'Core_Nativ'!P654))*'Core_Nativ'!O660,"")),""))</x:f>
      </x:c>
      <x:c r="AH60" s="11" t="str">
        <x:f>IF(A60="","",IF(AND('Core_Nativ'!R655="CLOSED",'Core_Nativ'!S655=0),IF('Core_Nativ'!M655&gt;='Core_Nativ'!P655,'Core_Nativ'!N655,IF(AND('Input_Meci'!L60="YES",'Input_Meci'!K60&lt;&gt;"",'Input_Meci'!K60&lt;C60,'Core_Nativ'!T661="DERIVED",'Core_Nativ'!M661&gt;='Core_Nativ'!P655),MIN(1,'Core_Nativ'!M655/'Core_Nativ'!P655)*IF('Core_Nativ'!M655=0,0,'Core_Nativ'!N655)+(1-MIN(1,'Core_Nativ'!M655/'Core_Nativ'!P655))*'Core_Nativ'!N661,"")),""))</x:f>
      </x:c>
      <x:c r="AI60" s="11" t="str">
        <x:f>IF(A60="","",IF(AND('Core_Nativ'!R655="CLOSED",'Core_Nativ'!S655=0),IF('Core_Nativ'!M655&gt;='Core_Nativ'!P655,'Core_Nativ'!O655,IF(AND('Input_Meci'!L60="YES",'Input_Meci'!K60&lt;&gt;"",'Input_Meci'!K60&lt;C60,'Core_Nativ'!T661="DERIVED",'Core_Nativ'!M661&gt;='Core_Nativ'!P655),MIN(1,'Core_Nativ'!M655/'Core_Nativ'!P655)*IF('Core_Nativ'!M655=0,0,'Core_Nativ'!O655)+(1-MIN(1,'Core_Nativ'!M655/'Core_Nativ'!P655))*'Core_Nativ'!O661,"")),""))</x:f>
      </x:c>
      <x:c r="AJ60" s="11" t="str">
        <x:f>IF(A60="","",IF(AND('Core_Nativ'!R656="CLOSED",'Core_Nativ'!S656=0),IF('Core_Nativ'!M656&gt;='Core_Nativ'!P656,'Core_Nativ'!N656,IF(AND('Input_Meci'!L60="YES",'Input_Meci'!K60&lt;&gt;"",'Input_Meci'!K60&lt;C60,'Core_Nativ'!T662="DERIVED",'Core_Nativ'!M662&gt;='Core_Nativ'!P656),MIN(1,'Core_Nativ'!M656/'Core_Nativ'!P656)*IF('Core_Nativ'!M656=0,0,'Core_Nativ'!N656)+(1-MIN(1,'Core_Nativ'!M656/'Core_Nativ'!P656))*'Core_Nativ'!N662,"")),""))</x:f>
      </x:c>
      <x:c r="AK60" s="11" t="str">
        <x:f>IF(A60="","",IF(AND('Core_Nativ'!R656="CLOSED",'Core_Nativ'!S656=0),IF('Core_Nativ'!M656&gt;='Core_Nativ'!P656,'Core_Nativ'!O656,IF(AND('Input_Meci'!L60="YES",'Input_Meci'!K60&lt;&gt;"",'Input_Meci'!K60&lt;C60,'Core_Nativ'!T662="DERIVED",'Core_Nativ'!M662&gt;='Core_Nativ'!P656),MIN(1,'Core_Nativ'!M656/'Core_Nativ'!P656)*IF('Core_Nativ'!M656=0,0,'Core_Nativ'!O656)+(1-MIN(1,'Core_Nativ'!M656/'Core_Nativ'!P656))*'Core_Nativ'!O662,"")),""))</x:f>
      </x:c>
      <x:c r="AL60" s="11" t="str">
        <x:f>IF(A60="","",IF(AND('Core_Nativ'!R657="CLOSED",'Core_Nativ'!S657=0),IF('Core_Nativ'!M657&gt;='Core_Nativ'!P657,'Core_Nativ'!N657,IF(AND('Input_Meci'!L60="YES",'Input_Meci'!K60&lt;&gt;"",'Input_Meci'!K60&lt;C60,'Core_Nativ'!T663="DERIVED",'Core_Nativ'!M663&gt;='Core_Nativ'!P657),MIN(1,'Core_Nativ'!M657/'Core_Nativ'!P657)*IF('Core_Nativ'!M657=0,0,'Core_Nativ'!N657)+(1-MIN(1,'Core_Nativ'!M657/'Core_Nativ'!P657))*'Core_Nativ'!N663,"")),""))</x:f>
      </x:c>
      <x:c r="AM60" s="11" t="str">
        <x:f>IF(A60="","",IF(AND('Core_Nativ'!R657="CLOSED",'Core_Nativ'!S657=0),IF('Core_Nativ'!M657&gt;='Core_Nativ'!P657,'Core_Nativ'!O657,IF(AND('Input_Meci'!L60="YES",'Input_Meci'!K60&lt;&gt;"",'Input_Meci'!K60&lt;C60,'Core_Nativ'!T663="DERIVED",'Core_Nativ'!M663&gt;='Core_Nativ'!P657),MIN(1,'Core_Nativ'!M657/'Core_Nativ'!P657)*IF('Core_Nativ'!M657=0,0,'Core_Nativ'!O657)+(1-MIN(1,'Core_Nativ'!M657/'Core_Nativ'!P657))*'Core_Nativ'!O663,"")),""))</x:f>
      </x:c>
      <x:c r="AN60" s="11" t="str">
        <x:f>IF(A60="","",IF(AND('Core_Nativ'!R658="CLOSED",'Core_Nativ'!S658=0),IF('Core_Nativ'!M658&gt;='Core_Nativ'!P658,'Core_Nativ'!N658,IF(AND('Input_Meci'!L60="YES",'Input_Meci'!K60&lt;&gt;"",'Input_Meci'!K60&lt;C60,'Core_Nativ'!T664="DERIVED",'Core_Nativ'!M664&gt;='Core_Nativ'!P658),MIN(1,'Core_Nativ'!M658/'Core_Nativ'!P658)*IF('Core_Nativ'!M658=0,0,'Core_Nativ'!N658)+(1-MIN(1,'Core_Nativ'!M658/'Core_Nativ'!P658))*'Core_Nativ'!N664,"")),""))</x:f>
      </x:c>
      <x:c r="AO60" s="11" t="str">
        <x:f>IF(A60="","",IF(AND('Core_Nativ'!R658="CLOSED",'Core_Nativ'!S658=0),IF('Core_Nativ'!M658&gt;='Core_Nativ'!P658,'Core_Nativ'!O658,IF(AND('Input_Meci'!L60="YES",'Input_Meci'!K60&lt;&gt;"",'Input_Meci'!K60&lt;C60,'Core_Nativ'!T664="DERIVED",'Core_Nativ'!M664&gt;='Core_Nativ'!P658),MIN(1,'Core_Nativ'!M658/'Core_Nativ'!P658)*IF('Core_Nativ'!M658=0,0,'Core_Nativ'!O658)+(1-MIN(1,'Core_Nativ'!M658/'Core_Nativ'!P658))*'Core_Nativ'!O664,"")),""))</x:f>
      </x:c>
      <x:c r="AP60" s="11" t="str">
        <x:f>IF(A60="","",IF(AND('Core_Nativ'!R659="CLOSED",'Core_Nativ'!S659=0),IF('Core_Nativ'!M659&gt;='Core_Nativ'!P659,'Core_Nativ'!N659,IF(AND('Input_Meci'!L60="YES",'Input_Meci'!K60&lt;&gt;"",'Input_Meci'!K60&lt;C60,'Core_Nativ'!T665="DERIVED",'Core_Nativ'!M665&gt;='Core_Nativ'!P659),MIN(1,'Core_Nativ'!M659/'Core_Nativ'!P659)*IF('Core_Nativ'!M659=0,0,'Core_Nativ'!N659)+(1-MIN(1,'Core_Nativ'!M659/'Core_Nativ'!P659))*'Core_Nativ'!N665,"")),""))</x:f>
      </x:c>
      <x:c r="AQ60" s="11" t="str">
        <x:f>IF(A60="","",IF(AND('Core_Nativ'!R659="CLOSED",'Core_Nativ'!S659=0),IF('Core_Nativ'!M659&gt;='Core_Nativ'!P659,'Core_Nativ'!O659,IF(AND('Input_Meci'!L60="YES",'Input_Meci'!K60&lt;&gt;"",'Input_Meci'!K60&lt;C60,'Core_Nativ'!T665="DERIVED",'Core_Nativ'!M665&gt;='Core_Nativ'!P659),MIN(1,'Core_Nativ'!M659/'Core_Nativ'!P659)*IF('Core_Nativ'!M659=0,0,'Core_Nativ'!O659)+(1-MIN(1,'Core_Nativ'!M659/'Core_Nativ'!P659))*'Core_Nativ'!O665,"")),""))</x:f>
      </x:c>
      <x:c r="AR60" s="11" t="str">
        <x:f>IF(A60="","",SUMPRODUCT(('Istoric_Nativ'!$B$6:$B$405=B60)*('Istoric_Nativ'!$C$6:$C$405=BL60)*('Istoric_Nativ'!$P$6:$P$405=1)*('Istoric_Nativ'!$D$6:$D$405&lt;INT(G60))*((('Istoric_Nativ'!$E$6:$E$405='Input_Meci'!D60)+('Istoric_Nativ'!$F$6:$F$405='Input_Meci'!D60)+('Istoric_Nativ'!$E$6:$E$405='Input_Meci'!E60)+('Istoric_Nativ'!$F$6:$F$405='Input_Meci'!E60))&gt;0)))</x:f>
      </x:c>
      <x:c r="AS60" s="11" t="str">
        <x:f>IF(AR60=0,"",SUMPRODUCT(('Istoric_Nativ'!$B$6:$B$405=B60)*('Istoric_Nativ'!$C$6:$C$405=BL60)*('Istoric_Nativ'!$P$6:$P$405=1)*('Istoric_Nativ'!$D$6:$D$405&lt;INT(G60))*((('Istoric_Nativ'!$E$6:$E$405='Input_Meci'!D60)+('Istoric_Nativ'!$F$6:$F$405='Input_Meci'!D60)+('Istoric_Nativ'!$E$6:$E$405='Input_Meci'!E60)+('Istoric_Nativ'!$F$6:$F$405='Input_Meci'!E60))&gt;0)*'Istoric_Nativ'!$Q$6:$Q$405)/AR60)</x:f>
      </x:c>
      <x:c r="AT60" s="11" t="str">
        <x:f>IF(AR60&lt;2,"",MAX(0,(SUMPRODUCT(('Istoric_Nativ'!$B$6:$B$405=B60)*('Istoric_Nativ'!$C$6:$C$405=BL60)*('Istoric_Nativ'!$P$6:$P$405=1)*('Istoric_Nativ'!$D$6:$D$405&lt;INT(G60))*((('Istoric_Nativ'!$E$6:$E$405='Input_Meci'!D60)+('Istoric_Nativ'!$F$6:$F$405='Input_Meci'!D60)+('Istoric_Nativ'!$E$6:$E$405='Input_Meci'!E60)+('Istoric_Nativ'!$F$6:$F$405='Input_Meci'!E60))&gt;0)*'Istoric_Nativ'!$R$6:$R$405)-AR60*AS60^2)/(AR60-1)))</x:f>
      </x:c>
      <x:c r="AU60" s="11" t="str">
        <x:f>IF(I60&lt;&gt;"PASS","",AT60/AS60)</x:f>
      </x:c>
      <x:c r="AV60" s="11" t="str">
        <x:f>IF(I60&lt;&gt;"PASS","",IF(AU60&lt;='Config_v6'!$B$10,"POISSON","NEGATIVE BINOMIAL"))</x:f>
      </x:c>
      <x:c r="AW60" s="11" t="str">
        <x:f>IF(I60&lt;&gt;"PASS","",IF(AV60="POISSON",9999,AS60/(AU60-1)))</x:f>
      </x:c>
      <x:c r="AX60" s="11" t="str">
        <x:f>IF(A60="","",MAX(1-'Config_v6'!$B$20,MIN(1+'Config_v6'!$B$20,1+0.02*(IF(AND(ISNUMBER('Input_Meci'!N60),'Input_Meci'!N60&gt;=0,'Input_Meci'!N60&lt;=200),'Input_Meci'!N60,12)/12-1)+0.02*(IF(AND(ISNUMBER('Input_Meci'!P60),'Input_Meci'!P60&gt;=0,'Input_Meci'!P60&lt;=200),'Input_Meci'!P60,3.5)/3.5-1)+0.02*(IF(AND(ISNUMBER('Input_Meci'!R60),'Input_Meci'!R60&gt;=0,'Input_Meci'!R60&lt;=200),'Input_Meci'!R60,18)/18-1)+0.02*((IF(AND(ISNUMBER('Input_Meci'!V60),'Input_Meci'!V60&gt;=0,'Input_Meci'!V60&lt;=10),'Input_Meci'!V60,5)-5)/5))))</x:f>
      </x:c>
      <x:c r="AY60" s="11" t="str">
        <x:f>IF(A60="","",MAX(1-'Config_v6'!$B$20,MIN(1+'Config_v6'!$B$20,1+0.02*(IF(AND(ISNUMBER('Input_Meci'!O60),'Input_Meci'!O60&gt;=0,'Input_Meci'!O60&lt;=200),'Input_Meci'!O60,12)/12-1)+0.02*(IF(AND(ISNUMBER('Input_Meci'!Q60),'Input_Meci'!Q60&gt;=0,'Input_Meci'!Q60&lt;=200),'Input_Meci'!Q60,3.5)/3.5-1)+0.02*(IF(AND(ISNUMBER('Input_Meci'!S60),'Input_Meci'!S60&gt;=0,'Input_Meci'!S60&lt;=200),'Input_Meci'!S60,18)/18-1)+0.02*((IF(AND(ISNUMBER('Input_Meci'!W60),'Input_Meci'!W60&gt;=0,'Input_Meci'!W60&lt;=10),'Input_Meci'!W60,5)-5)/5))))</x:f>
      </x:c>
      <x:c r="AZ60" s="11" t="str">
        <x:f>IF(A60="","",MAX(1-'Config_v6'!$B$21,MIN(1+'Config_v6'!$B$21,1+0.012*(IF('Input_Meci'!X60="",5,IF(ISNUMBER('Input_Meci'!X60),'Input_Meci'!X60,5))-5)+0.018*(IF('Input_Meci'!Z60="",5,IF(ISNUMBER('Input_Meci'!Z60),'Input_Meci'!Z60,5))-5)+0.012*(IF('Input_Meci'!AB60="",5,IF(ISNUMBER('Input_Meci'!AB60),'Input_Meci'!AB60,5))-5)+0.015*IF('Input_Meci'!AD60="",0,IF(ISNUMBER('Input_Meci'!AD60),'Input_Meci'!AD60,0))+0.02*IF('Input_Meci'!AF60="",0,IF(ISNUMBER('Input_Meci'!AF60),'Input_Meci'!AF60,0)))))</x:f>
      </x:c>
      <x:c r="BA60" s="11" t="str">
        <x:f>IF(A60="","",MAX(1-'Config_v6'!$B$21,MIN(1+'Config_v6'!$B$21,1+0.012*(IF('Input_Meci'!Y60="",5,IF(ISNUMBER('Input_Meci'!Y60),'Input_Meci'!Y60,5))-5)+0.018*(IF('Input_Meci'!AA60="",5,IF(ISNUMBER('Input_Meci'!AA60),'Input_Meci'!AA60,5))-5)+0.012*(IF('Input_Meci'!AC60="",5,IF(ISNUMBER('Input_Meci'!AC60),'Input_Meci'!AC60,5))-5)+0.015*IF('Input_Meci'!AE60="",0,IF(ISNUMBER('Input_Meci'!AE60),'Input_Meci'!AE60,0))+0.02*IF('Input_Meci'!AG60="",0,IF(ISNUMBER('Input_Meci'!AG60),'Input_Meci'!AG60,0)))))</x:f>
      </x:c>
      <x:c r="BB60" s="11" t="str">
        <x:f>IF(I60&lt;&gt;"PASS","",(AVERAGE(AF60,AM60)*'Config_v6'!$B$4+AVERAGE(AH60,AO60)*'Config_v6'!$B$5+AVERAGE(AJ60,AQ60)*'Config_v6'!$B$6)*AX60*AZ60)</x:f>
      </x:c>
      <x:c r="BC60" s="11" t="str">
        <x:f>IF(I60&lt;&gt;"PASS","",(AVERAGE(AL60,AG60)*'Config_v6'!$B$4+AVERAGE(AN60,AI60)*'Config_v6'!$B$5+AVERAGE(AP60,AK60)*'Config_v6'!$B$6)*AY60*BA60)</x:f>
      </x:c>
      <x:c r="BD60" s="11" t="str">
        <x:f>IF(I60&lt;&gt;"PASS","",BB60+BC60)</x:f>
      </x:c>
      <x:c r="BE60" s="11" t="str">
        <x:f>IF(A60="","",10-SUM(IF(AND(ISNUMBER('Input_Meci'!N60),'Input_Meci'!N60&gt;=0,'Input_Meci'!N60&lt;=200),1,0),IF(AND(ISNUMBER('Input_Meci'!O60),'Input_Meci'!O60&gt;=0,'Input_Meci'!O60&lt;=200),1,0),IF(AND(ISNUMBER('Input_Meci'!P60),'Input_Meci'!P60&gt;=0,'Input_Meci'!P60&lt;=200),1,0),IF(AND(ISNUMBER('Input_Meci'!Q60),'Input_Meci'!Q60&gt;=0,'Input_Meci'!Q60&lt;=200),1,0),IF(AND(ISNUMBER('Input_Meci'!R60),'Input_Meci'!R60&gt;=0,'Input_Meci'!R60&lt;=200),1,0),IF(AND(ISNUMBER('Input_Meci'!S60),'Input_Meci'!S60&gt;=0,'Input_Meci'!S60&lt;=200),1,0),IF(AND(ISNUMBER('Input_Meci'!T60),'Input_Meci'!T60&gt;=0,'Input_Meci'!T60&lt;=100),1,0),IF(AND(ISNUMBER('Input_Meci'!U60),'Input_Meci'!U60&gt;=0,'Input_Meci'!U60&lt;=100),1,0),IF(AND(ISNUMBER('Input_Meci'!V60),'Input_Meci'!V60&gt;=0,'Input_Meci'!V60&lt;=10),1,0),IF(AND(ISNUMBER('Input_Meci'!W60),'Input_Meci'!W60&gt;=0,'Input_Meci'!W60&lt;=10),1,0)))</x:f>
      </x:c>
      <x:c r="BF60" s="11" t="str">
        <x:f>IF(I60&lt;&gt;"PASS","",MAX(0,MIN(IF(OR(M60="YES",BL60&lt;&gt;C60),'Config_v6'!$B$34,100),ROUND(40+25*MIN(1,MIN(N60,Q60)/'Config_v6'!$B$7)*MIN(1,MIN(O60,R60)/'Config_v6'!$B$8)*MIN(1,MIN(P60,S60)/'Config_v6'!$B$9)+MAX(0,15-2*ABS(AF60-AJ60)-2*ABS(AL60-AP60))+IF(AU60&lt;='Config_v6'!$B$10,15,IF(AU60&lt;='Config_v6'!$B$11,13,IF(AU60&lt;='Config_v6'!$B$12,10,IF(AU60&lt;='Config_v6'!$B$13,6,0))))+5-BE60/10*'Config_v6'!$B$38,0))))</x:f>
      </x:c>
      <x:c r="BG60" s="11" t="str">
        <x:f>IF(I60&lt;&gt;"PASS","",MIN(1,'Config_v6'!$B$14*(0.7+0.3*MIN(1,AR60/'Config_v6'!$B$15))*IF(AU60&lt;='Config_v6'!$B$10,1,IF(AU60&lt;='Config_v6'!$B$11,0.95,IF(AU60&lt;='Config_v6'!$B$12,0.88,0.78)))*(0.75+0.25*BF60/100)))</x:f>
      </x:c>
      <x:c r="BH60" s="11" t="str">
        <x:f>IF(I60&lt;&gt;"PASS","",MIN(1,(ABS(AZ60-1)+ABS(BA60-1))*3))</x:f>
      </x:c>
      <x:c r="BI60" s="2" t="str">
        <x:f>IF(A60="","",IF(AND(OR('Input_Meci'!X60="",AND(ISNUMBER('Input_Meci'!X60),'Input_Meci'!X60&gt;=0,'Input_Meci'!X60&lt;=10)),OR('Input_Meci'!Y60="",AND(ISNUMBER('Input_Meci'!Y60),'Input_Meci'!Y60&gt;=0,'Input_Meci'!Y60&lt;=10)),OR('Input_Meci'!Z60="",AND(ISNUMBER('Input_Meci'!Z60),'Input_Meci'!Z60&gt;=0,'Input_Meci'!Z60&lt;=10)),OR('Input_Meci'!AA60="",AND(ISNUMBER('Input_Meci'!AA60),'Input_Meci'!AA60&gt;=0,'Input_Meci'!AA60&lt;=10)),OR('Input_Meci'!AB60="",AND(ISNUMBER('Input_Meci'!AB60),'Input_Meci'!AB60&gt;=0,'Input_Meci'!AB60&lt;=10)),OR('Input_Meci'!AC60="",AND(ISNUMBER('Input_Meci'!AC60),'Input_Meci'!AC60&gt;=0,'Input_Meci'!AC60&lt;=10)),OR('Input_Meci'!AD60="",AND(ISNUMBER('Input_Meci'!AD60),'Input_Meci'!AD60&gt;=-2,'Input_Meci'!AD60&lt;=2)),OR('Input_Meci'!AE60="",AND(ISNUMBER('Input_Meci'!AE60),'Input_Meci'!AE60&gt;=-2,'Input_Meci'!AE60&lt;=2)),OR('Input_Meci'!AF60="",AND(ISNUMBER('Input_Meci'!AF60),'Input_Meci'!AF60&gt;=-2,'Input_Meci'!AF60&lt;=2)),OR('Input_Meci'!AG60="",AND(ISNUMBER('Input_Meci'!AG60),'Input_Meci'!AG60&gt;=-2,'Input_Meci'!AG60&lt;=2))),"VALID","INVALID"))</x:f>
      </x:c>
      <x:c r="BJ60" s="2" t="n">
        <x:f>IF(A60="",0,SUM('Core_Nativ'!S654:S659))</x:f>
        <x:v>0</x:v>
      </x:c>
      <x:c r="BK60" s="2" t="str">
        <x:f>'Config_v6'!$B$40</x:f>
        <x:v>VALID</x:v>
      </x:c>
      <x:c r="BL60" s="2" t="str">
        <x:f>IF(A60="","",IF(SUMPRODUCT(('Istoric_Nativ'!$B$6:$B$405=B60)*('Istoric_Nativ'!$C$6:$C$405=C60)*('Istoric_Nativ'!$P$6:$P$405=1)*('Istoric_Nativ'!$D$6:$D$405&lt;INT(G60))*((('Istoric_Nativ'!$E$6:$E$405='Input_Meci'!D60)+('Istoric_Nativ'!$F$6:$F$405='Input_Meci'!D60)+('Istoric_Nativ'!$E$6:$E$405='Input_Meci'!E60)+('Istoric_Nativ'!$F$6:$F$405='Input_Meci'!E60))&gt;0))&gt;='Config_v6'!$B$41,C60,IF(AND('Input_Meci'!L60="YES",'Input_Meci'!K60&lt;&gt;"",'Input_Meci'!K60&lt;C60,COUNTIF('Core_Nativ'!R660:R665,"CLOSED")=6,SUM('Core_Nativ'!S660:S665)=0),'Input_Meci'!K60,C60)))</x:f>
      </x:c>
      <x:c r="BM60" s="9" t="n">
        <x:f>IF(OR(A60="",N60=0),0,LARGE(_xlfn._xlws.FILTER('Istoric_Nativ'!$D$6:$D$405,('Istoric_Nativ'!$B$6:$B$405=B60)*('Istoric_Nativ'!$C$6:$C$405=C60)*('Istoric_Nativ'!$P$6:$P$405=1)*('Istoric_Nativ'!$D$6:$D$405&lt;INT(G60))*((('Istoric_Nativ'!$E$6:$E$405='Input_Meci'!D60)+('Istoric_Nativ'!$F$6:$F$405='Input_Meci'!D60))&gt;0)),MIN(10,N60)))</x:f>
        <x:v>0</x:v>
      </x:c>
      <x:c r="BN60" s="9" t="n">
        <x:f>IF(OR(A60="",Q60=0),0,LARGE(_xlfn._xlws.FILTER('Istoric_Nativ'!$D$6:$D$405,('Istoric_Nativ'!$B$6:$B$405=B60)*('Istoric_Nativ'!$C$6:$C$405=C60)*('Istoric_Nativ'!$P$6:$P$405=1)*('Istoric_Nativ'!$D$6:$D$405&lt;INT(G60))*((('Istoric_Nativ'!$E$6:$E$405='Input_Meci'!E60)+('Istoric_Nativ'!$F$6:$F$405='Input_Meci'!E60))&gt;0)),MIN(10,Q60)))</x:f>
        <x:v>0</x:v>
      </x:c>
      <x:c r="BO60" s="9" t="n">
        <x:f>IF(OR(A60="",N60=0),0,LARGE(_xlfn._xlws.FILTER('Istoric_Nativ'!$D$6:$D$405,('Istoric_Nativ'!$B$6:$B$405=B60)*('Istoric_Nativ'!$C$6:$C$405=C60)*('Istoric_Nativ'!$P$6:$P$405=1)*('Istoric_Nativ'!$D$6:$D$405&lt;INT(G60))*((('Istoric_Nativ'!$E$6:$E$405='Input_Meci'!D60)+('Istoric_Nativ'!$F$6:$F$405='Input_Meci'!D60))&gt;0)),MIN(20,N60)))</x:f>
        <x:v>0</x:v>
      </x:c>
      <x:c r="BP60" s="9" t="n">
        <x:f>IF(OR(A60="",Q60=0),0,LARGE(_xlfn._xlws.FILTER('Istoric_Nativ'!$D$6:$D$405,('Istoric_Nativ'!$B$6:$B$405=B60)*('Istoric_Nativ'!$C$6:$C$405=C60)*('Istoric_Nativ'!$P$6:$P$405=1)*('Istoric_Nativ'!$D$6:$D$405&lt;INT(G60))*((('Istoric_Nativ'!$E$6:$E$405='Input_Meci'!E60)+('Istoric_Nativ'!$F$6:$F$405='Input_Meci'!E60))&gt;0)),MIN(20,Q60)))</x:f>
        <x:v>0</x:v>
      </x:c>
      <x:c r="BQ60" s="2" t="str">
        <x:f>IF(A60="","",IF(AND(COUNTIF(MatchesTable[Match_ID],A60)=1,COUNTIFS(MatchesTable[League],B60,MatchesTable[Season],C60,MatchesTable[Home],'Input_Meci'!D60,MatchesTable[Away],'Input_Meci'!E60,MatchesTable[Kickoff_UTC],F60)=1,B60&lt;&gt;"",C60&lt;&gt;"",'Input_Meci'!D60&lt;&gt;"",'Input_Meci'!E60&lt;&gt;"",'Input_Meci'!D60&lt;&gt;'Input_Meci'!E60,ISNUMBER(F60),ISNUMBER(G60),G60&lt;F60,OR(E60="LIVE",E60="REPLAY"),OR('Input_Meci'!L60="YES",'Input_Meci'!L60="NO",'Input_Meci'!L60="")),"VALID","INVALID"))</x:f>
      </x:c>
      <x:c r="BR60" s="2" t="n">
        <x:f>IF(I60&lt;&gt;"PASS",0,SUMPRODUCT(('Istoric_Nativ'!$B$6:$B$405='Input_Meci'!B60)*('Istoric_Nativ'!$C$6:$C$405='Input_Meci'!C60)*('Istoric_Nativ'!$P$6:$P$405=1)*('Istoric_Nativ'!$D$6:$D$405&lt;INT('Input_Meci'!G60))*((('Istoric_Nativ'!$E$6:$E$405='Input_Meci'!D60)+('Istoric_Nativ'!$F$6:$F$405='Input_Meci'!E60))&gt;0)))</x:f>
        <x:v>0</x:v>
      </x:c>
      <x:c r="BS60" s="2" t="n">
        <x:f>IF(I60&lt;&gt;"PASS",0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BM60)+((('Istoric_Nativ'!$E$6:$E$405='Input_Meci'!E60)+('Istoric_Nativ'!$F$6:$F$405='Input_Meci'!E60))&gt;0)*('Istoric_Nativ'!$D$6:$D$405&gt;=BN60))&gt;0)))</x:f>
        <x:v>0</x:v>
      </x:c>
      <x:c r="BT60" s="2" t="n">
        <x:f>IF(I60&lt;&gt;"PASS",0,SUMPRODUCT(('Istoric_Nativ'!$B$6:$B$405='Input_Meci'!B60)*('Istoric_Nativ'!$C$6:$C$405='Input_Meci'!C60)*('Istoric_Nativ'!$P$6:$P$405=1)*('Istoric_Nativ'!$D$6:$D$405&lt;INT('Input_Meci'!G60))*((((('Istoric_Nativ'!$E$6:$E$405='Input_Meci'!D60)+('Istoric_Nativ'!$F$6:$F$405='Input_Meci'!D60))&gt;0)*('Istoric_Nativ'!$D$6:$D$405&gt;=BO60)+((('Istoric_Nativ'!$E$6:$E$405='Input_Meci'!E60)+('Istoric_Nativ'!$F$6:$F$405='Input_Meci'!E60))&gt;0)*('Istoric_Nativ'!$D$6:$D$405&gt;=BP60))&gt;0)))</x:f>
        <x:v>0</x:v>
      </x:c>
    </x:row>
    <x:row r="61" ht="21" customHeight="1">
      <x:c r="A61" s="2" t="str">
        <x:f>IF('Input_Meci'!A61="","",'Input_Meci'!A61)</x:f>
      </x:c>
      <x:c r="B61" s="2" t="str">
        <x:f>IF(A61="","",'Input_Meci'!B61)</x:f>
      </x:c>
      <x:c r="C61" s="2" t="str">
        <x:f>IF(A61="","",'Input_Meci'!C61)</x:f>
      </x:c>
      <x:c r="D61" s="2" t="str">
        <x:f>IF(A61="","",'Input_Meci'!D61&amp;" – "&amp;'Input_Meci'!E61)</x:f>
      </x:c>
      <x:c r="E61" s="2" t="str">
        <x:f>IF(A61="","",'Input_Meci'!H61)</x:f>
      </x:c>
      <x:c r="F61" s="9" t="str">
        <x:f>IF(A61="","",'Input_Meci'!F61)</x:f>
      </x:c>
      <x:c r="G61" s="9" t="str">
        <x:f>IF(A61="","",'Input_Meci'!G61)</x:f>
      </x:c>
      <x:c r="H61" s="2" t="str">
        <x:f>IF(A61="","",IF(BQ61&lt;&gt;"VALID","NOT RELEASED",IF(AND(OR('Input_Meci'!I61="NOT AVAILABLE",'Input_Meci'!I61="SOURCE CONFLICT"),'Input_Meci'!J61&lt;&gt;""),"READY",IF(OR(NOT(OR('Input_Meci'!I61="AUTO",'Input_Meci'!I61="")),COUNTIF('Core_Nativ'!R666:R671,"CLOSED")&lt;&gt;6,BJ61&gt;0),"NOT RELEASED","READY"))))</x:f>
      </x:c>
      <x:c r="I61" s="2" t="str">
        <x:f>IF(A61="","",IF(H61&lt;&gt;"READY","NOT RELEASED",IF(AND(NOT(OR('Input_Meci'!I61="NOT AVAILABLE",'Input_Meci'!I61="SOURCE CONFLICT")),L61=12,AR61&gt;=2,AS61&gt;0,ISNUMBER(AT61),BI61="VALID",BK61="VALID"),"PASS","FAIL")))</x:f>
      </x:c>
      <x:c r="J61" s="2" t="str">
        <x:f>IF(A61="","",IF(BQ61&lt;&gt;"VALID","Verifica ID, echipe, mod si cutoff &lt; kickoff",IF(H61&lt;&gt;"READY",IF('Input_Meci'!I61="ACCESS BLOCKED","Acces blocat: reia sursele",IF(BJ61&gt;0,"Istoric invalid sau conflict: verifica randurile native","Surse neinchise / post-cutoff / dovezi incomplete")),IF(OR('Input_Meci'!I61="NOT AVAILABLE",'Input_Meci'!I61="SOURCE CONFLICT"),'Input_Meci'!I61,IF(BK61&lt;&gt;"VALID","Parametri invalizi",IF(L61&lt;&gt;12,"Core / sample / prior insuficient",IF(AR61&lt;2,"N insuficient pentru dispersie",IF(AS61&lt;=0,"Media istorica trebuie sa fie pozitiva",IF(BI61&lt;&gt;"VALID","Context invalid","READY")))))))))</x:f>
      </x:c>
      <x:c r="K61" s="2" t="str">
        <x:f>IF(A61="","",COUNT(T61:AE61))</x:f>
      </x:c>
      <x:c r="L61" s="2" t="str">
        <x:f>IF(A61="","",COUNT(AF61:AQ61))</x:f>
      </x:c>
      <x:c r="M61" s="2" t="str">
        <x:f>IF(A61="","",IF(OR('Core_Nativ'!M666&lt;'Core_Nativ'!P666,'Core_Nativ'!M667&lt;'Core_Nativ'!P667,'Core_Nativ'!M668&lt;'Core_Nativ'!P668,'Core_Nativ'!M669&lt;'Core_Nativ'!P669,'Core_Nativ'!M670&lt;'Core_Nativ'!P670,'Core_Nativ'!M671&lt;'Core_Nativ'!P671),"YES","NO"))</x:f>
      </x:c>
      <x:c r="N61" s="2" t="str">
        <x:f>IF(A61="","",'Core_Nativ'!M666)</x:f>
      </x:c>
      <x:c r="O61" s="2" t="str">
        <x:f>IF(A61="","",'Core_Nativ'!M667)</x:f>
      </x:c>
      <x:c r="P61" s="2" t="str">
        <x:f>IF(A61="","",'Core_Nativ'!M668)</x:f>
      </x:c>
      <x:c r="Q61" s="2" t="str">
        <x:f>IF(A61="","",'Core_Nativ'!M669)</x:f>
      </x:c>
      <x:c r="R61" s="2" t="str">
        <x:f>IF(A61="","",'Core_Nativ'!M670)</x:f>
      </x:c>
      <x:c r="S61" s="2" t="str">
        <x:f>IF(A61="","",'Core_Nativ'!M671)</x:f>
      </x:c>
      <x:c r="T61" s="11" t="str">
        <x:f>IF(OR(A61="",'Core_Nativ'!M666=0),"",'Core_Nativ'!N666)</x:f>
      </x:c>
      <x:c r="U61" s="11" t="str">
        <x:f>IF(OR(A61="",'Core_Nativ'!M666=0),"",'Core_Nativ'!O666)</x:f>
      </x:c>
      <x:c r="V61" s="11" t="str">
        <x:f>IF(OR(A61="",'Core_Nativ'!M667=0),"",'Core_Nativ'!N667)</x:f>
      </x:c>
      <x:c r="W61" s="11" t="str">
        <x:f>IF(OR(A61="",'Core_Nativ'!M667=0),"",'Core_Nativ'!O667)</x:f>
      </x:c>
      <x:c r="X61" s="11" t="str">
        <x:f>IF(OR(A61="",'Core_Nativ'!M668=0),"",'Core_Nativ'!N668)</x:f>
      </x:c>
      <x:c r="Y61" s="11" t="str">
        <x:f>IF(OR(A61="",'Core_Nativ'!M668=0),"",'Core_Nativ'!O668)</x:f>
      </x:c>
      <x:c r="Z61" s="11" t="str">
        <x:f>IF(OR(A61="",'Core_Nativ'!M669=0),"",'Core_Nativ'!N669)</x:f>
      </x:c>
      <x:c r="AA61" s="11" t="str">
        <x:f>IF(OR(A61="",'Core_Nativ'!M669=0),"",'Core_Nativ'!O669)</x:f>
      </x:c>
      <x:c r="AB61" s="11" t="str">
        <x:f>IF(OR(A61="",'Core_Nativ'!M670=0),"",'Core_Nativ'!N670)</x:f>
      </x:c>
      <x:c r="AC61" s="11" t="str">
        <x:f>IF(OR(A61="",'Core_Nativ'!M670=0),"",'Core_Nativ'!O670)</x:f>
      </x:c>
      <x:c r="AD61" s="11" t="str">
        <x:f>IF(OR(A61="",'Core_Nativ'!M671=0),"",'Core_Nativ'!N671)</x:f>
      </x:c>
      <x:c r="AE61" s="11" t="str">
        <x:f>IF(OR(A61="",'Core_Nativ'!M671=0),"",'Core_Nativ'!O671)</x:f>
      </x:c>
      <x:c r="AF61" s="11" t="str">
        <x:f>IF(A61="","",IF(AND('Core_Nativ'!R666="CLOSED",'Core_Nativ'!S666=0),IF('Core_Nativ'!M666&gt;='Core_Nativ'!P666,'Core_Nativ'!N666,IF(AND('Input_Meci'!L61="YES",'Input_Meci'!K61&lt;&gt;"",'Input_Meci'!K61&lt;C61,'Core_Nativ'!T672="DERIVED",'Core_Nativ'!M672&gt;='Core_Nativ'!P666),MIN(1,'Core_Nativ'!M666/'Core_Nativ'!P666)*IF('Core_Nativ'!M666=0,0,'Core_Nativ'!N666)+(1-MIN(1,'Core_Nativ'!M666/'Core_Nativ'!P666))*'Core_Nativ'!N672,"")),""))</x:f>
      </x:c>
      <x:c r="AG61" s="11" t="str">
        <x:f>IF(A61="","",IF(AND('Core_Nativ'!R666="CLOSED",'Core_Nativ'!S666=0),IF('Core_Nativ'!M666&gt;='Core_Nativ'!P666,'Core_Nativ'!O666,IF(AND('Input_Meci'!L61="YES",'Input_Meci'!K61&lt;&gt;"",'Input_Meci'!K61&lt;C61,'Core_Nativ'!T672="DERIVED",'Core_Nativ'!M672&gt;='Core_Nativ'!P666),MIN(1,'Core_Nativ'!M666/'Core_Nativ'!P666)*IF('Core_Nativ'!M666=0,0,'Core_Nativ'!O666)+(1-MIN(1,'Core_Nativ'!M666/'Core_Nativ'!P666))*'Core_Nativ'!O672,"")),""))</x:f>
      </x:c>
      <x:c r="AH61" s="11" t="str">
        <x:f>IF(A61="","",IF(AND('Core_Nativ'!R667="CLOSED",'Core_Nativ'!S667=0),IF('Core_Nativ'!M667&gt;='Core_Nativ'!P667,'Core_Nativ'!N667,IF(AND('Input_Meci'!L61="YES",'Input_Meci'!K61&lt;&gt;"",'Input_Meci'!K61&lt;C61,'Core_Nativ'!T673="DERIVED",'Core_Nativ'!M673&gt;='Core_Nativ'!P667),MIN(1,'Core_Nativ'!M667/'Core_Nativ'!P667)*IF('Core_Nativ'!M667=0,0,'Core_Nativ'!N667)+(1-MIN(1,'Core_Nativ'!M667/'Core_Nativ'!P667))*'Core_Nativ'!N673,"")),""))</x:f>
      </x:c>
      <x:c r="AI61" s="11" t="str">
        <x:f>IF(A61="","",IF(AND('Core_Nativ'!R667="CLOSED",'Core_Nativ'!S667=0),IF('Core_Nativ'!M667&gt;='Core_Nativ'!P667,'Core_Nativ'!O667,IF(AND('Input_Meci'!L61="YES",'Input_Meci'!K61&lt;&gt;"",'Input_Meci'!K61&lt;C61,'Core_Nativ'!T673="DERIVED",'Core_Nativ'!M673&gt;='Core_Nativ'!P667),MIN(1,'Core_Nativ'!M667/'Core_Nativ'!P667)*IF('Core_Nativ'!M667=0,0,'Core_Nativ'!O667)+(1-MIN(1,'Core_Nativ'!M667/'Core_Nativ'!P667))*'Core_Nativ'!O673,"")),""))</x:f>
      </x:c>
      <x:c r="AJ61" s="11" t="str">
        <x:f>IF(A61="","",IF(AND('Core_Nativ'!R668="CLOSED",'Core_Nativ'!S668=0),IF('Core_Nativ'!M668&gt;='Core_Nativ'!P668,'Core_Nativ'!N668,IF(AND('Input_Meci'!L61="YES",'Input_Meci'!K61&lt;&gt;"",'Input_Meci'!K61&lt;C61,'Core_Nativ'!T674="DERIVED",'Core_Nativ'!M674&gt;='Core_Nativ'!P668),MIN(1,'Core_Nativ'!M668/'Core_Nativ'!P668)*IF('Core_Nativ'!M668=0,0,'Core_Nativ'!N668)+(1-MIN(1,'Core_Nativ'!M668/'Core_Nativ'!P668))*'Core_Nativ'!N674,"")),""))</x:f>
      </x:c>
      <x:c r="AK61" s="11" t="str">
        <x:f>IF(A61="","",IF(AND('Core_Nativ'!R668="CLOSED",'Core_Nativ'!S668=0),IF('Core_Nativ'!M668&gt;='Core_Nativ'!P668,'Core_Nativ'!O668,IF(AND('Input_Meci'!L61="YES",'Input_Meci'!K61&lt;&gt;"",'Input_Meci'!K61&lt;C61,'Core_Nativ'!T674="DERIVED",'Core_Nativ'!M674&gt;='Core_Nativ'!P668),MIN(1,'Core_Nativ'!M668/'Core_Nativ'!P668)*IF('Core_Nativ'!M668=0,0,'Core_Nativ'!O668)+(1-MIN(1,'Core_Nativ'!M668/'Core_Nativ'!P668))*'Core_Nativ'!O674,"")),""))</x:f>
      </x:c>
      <x:c r="AL61" s="11" t="str">
        <x:f>IF(A61="","",IF(AND('Core_Nativ'!R669="CLOSED",'Core_Nativ'!S669=0),IF('Core_Nativ'!M669&gt;='Core_Nativ'!P669,'Core_Nativ'!N669,IF(AND('Input_Meci'!L61="YES",'Input_Meci'!K61&lt;&gt;"",'Input_Meci'!K61&lt;C61,'Core_Nativ'!T675="DERIVED",'Core_Nativ'!M675&gt;='Core_Nativ'!P669),MIN(1,'Core_Nativ'!M669/'Core_Nativ'!P669)*IF('Core_Nativ'!M669=0,0,'Core_Nativ'!N669)+(1-MIN(1,'Core_Nativ'!M669/'Core_Nativ'!P669))*'Core_Nativ'!N675,"")),""))</x:f>
      </x:c>
      <x:c r="AM61" s="11" t="str">
        <x:f>IF(A61="","",IF(AND('Core_Nativ'!R669="CLOSED",'Core_Nativ'!S669=0),IF('Core_Nativ'!M669&gt;='Core_Nativ'!P669,'Core_Nativ'!O669,IF(AND('Input_Meci'!L61="YES",'Input_Meci'!K61&lt;&gt;"",'Input_Meci'!K61&lt;C61,'Core_Nativ'!T675="DERIVED",'Core_Nativ'!M675&gt;='Core_Nativ'!P669),MIN(1,'Core_Nativ'!M669/'Core_Nativ'!P669)*IF('Core_Nativ'!M669=0,0,'Core_Nativ'!O669)+(1-MIN(1,'Core_Nativ'!M669/'Core_Nativ'!P669))*'Core_Nativ'!O675,"")),""))</x:f>
      </x:c>
      <x:c r="AN61" s="11" t="str">
        <x:f>IF(A61="","",IF(AND('Core_Nativ'!R670="CLOSED",'Core_Nativ'!S670=0),IF('Core_Nativ'!M670&gt;='Core_Nativ'!P670,'Core_Nativ'!N670,IF(AND('Input_Meci'!L61="YES",'Input_Meci'!K61&lt;&gt;"",'Input_Meci'!K61&lt;C61,'Core_Nativ'!T676="DERIVED",'Core_Nativ'!M676&gt;='Core_Nativ'!P670),MIN(1,'Core_Nativ'!M670/'Core_Nativ'!P670)*IF('Core_Nativ'!M670=0,0,'Core_Nativ'!N670)+(1-MIN(1,'Core_Nativ'!M670/'Core_Nativ'!P670))*'Core_Nativ'!N676,"")),""))</x:f>
      </x:c>
      <x:c r="AO61" s="11" t="str">
        <x:f>IF(A61="","",IF(AND('Core_Nativ'!R670="CLOSED",'Core_Nativ'!S670=0),IF('Core_Nativ'!M670&gt;='Core_Nativ'!P670,'Core_Nativ'!O670,IF(AND('Input_Meci'!L61="YES",'Input_Meci'!K61&lt;&gt;"",'Input_Meci'!K61&lt;C61,'Core_Nativ'!T676="DERIVED",'Core_Nativ'!M676&gt;='Core_Nativ'!P670),MIN(1,'Core_Nativ'!M670/'Core_Nativ'!P670)*IF('Core_Nativ'!M670=0,0,'Core_Nativ'!O670)+(1-MIN(1,'Core_Nativ'!M670/'Core_Nativ'!P670))*'Core_Nativ'!O676,"")),""))</x:f>
      </x:c>
      <x:c r="AP61" s="11" t="str">
        <x:f>IF(A61="","",IF(AND('Core_Nativ'!R671="CLOSED",'Core_Nativ'!S671=0),IF('Core_Nativ'!M671&gt;='Core_Nativ'!P671,'Core_Nativ'!N671,IF(AND('Input_Meci'!L61="YES",'Input_Meci'!K61&lt;&gt;"",'Input_Meci'!K61&lt;C61,'Core_Nativ'!T677="DERIVED",'Core_Nativ'!M677&gt;='Core_Nativ'!P671),MIN(1,'Core_Nativ'!M671/'Core_Nativ'!P671)*IF('Core_Nativ'!M671=0,0,'Core_Nativ'!N671)+(1-MIN(1,'Core_Nativ'!M671/'Core_Nativ'!P671))*'Core_Nativ'!N677,"")),""))</x:f>
      </x:c>
      <x:c r="AQ61" s="11" t="str">
        <x:f>IF(A61="","",IF(AND('Core_Nativ'!R671="CLOSED",'Core_Nativ'!S671=0),IF('Core_Nativ'!M671&gt;='Core_Nativ'!P671,'Core_Nativ'!O671,IF(AND('Input_Meci'!L61="YES",'Input_Meci'!K61&lt;&gt;"",'Input_Meci'!K61&lt;C61,'Core_Nativ'!T677="DERIVED",'Core_Nativ'!M677&gt;='Core_Nativ'!P671),MIN(1,'Core_Nativ'!M671/'Core_Nativ'!P671)*IF('Core_Nativ'!M671=0,0,'Core_Nativ'!O671)+(1-MIN(1,'Core_Nativ'!M671/'Core_Nativ'!P671))*'Core_Nativ'!O677,"")),""))</x:f>
      </x:c>
      <x:c r="AR61" s="11" t="str">
        <x:f>IF(A61="","",SUMPRODUCT(('Istoric_Nativ'!$B$6:$B$405=B61)*('Istoric_Nativ'!$C$6:$C$405=BL61)*('Istoric_Nativ'!$P$6:$P$405=1)*('Istoric_Nativ'!$D$6:$D$405&lt;INT(G61))*((('Istoric_Nativ'!$E$6:$E$405='Input_Meci'!D61)+('Istoric_Nativ'!$F$6:$F$405='Input_Meci'!D61)+('Istoric_Nativ'!$E$6:$E$405='Input_Meci'!E61)+('Istoric_Nativ'!$F$6:$F$405='Input_Meci'!E61))&gt;0)))</x:f>
      </x:c>
      <x:c r="AS61" s="11" t="str">
        <x:f>IF(AR61=0,"",SUMPRODUCT(('Istoric_Nativ'!$B$6:$B$405=B61)*('Istoric_Nativ'!$C$6:$C$405=BL61)*('Istoric_Nativ'!$P$6:$P$405=1)*('Istoric_Nativ'!$D$6:$D$405&lt;INT(G61))*((('Istoric_Nativ'!$E$6:$E$405='Input_Meci'!D61)+('Istoric_Nativ'!$F$6:$F$405='Input_Meci'!D61)+('Istoric_Nativ'!$E$6:$E$405='Input_Meci'!E61)+('Istoric_Nativ'!$F$6:$F$405='Input_Meci'!E61))&gt;0)*'Istoric_Nativ'!$Q$6:$Q$405)/AR61)</x:f>
      </x:c>
      <x:c r="AT61" s="11" t="str">
        <x:f>IF(AR61&lt;2,"",MAX(0,(SUMPRODUCT(('Istoric_Nativ'!$B$6:$B$405=B61)*('Istoric_Nativ'!$C$6:$C$405=BL61)*('Istoric_Nativ'!$P$6:$P$405=1)*('Istoric_Nativ'!$D$6:$D$405&lt;INT(G61))*((('Istoric_Nativ'!$E$6:$E$405='Input_Meci'!D61)+('Istoric_Nativ'!$F$6:$F$405='Input_Meci'!D61)+('Istoric_Nativ'!$E$6:$E$405='Input_Meci'!E61)+('Istoric_Nativ'!$F$6:$F$405='Input_Meci'!E61))&gt;0)*'Istoric_Nativ'!$R$6:$R$405)-AR61*AS61^2)/(AR61-1)))</x:f>
      </x:c>
      <x:c r="AU61" s="11" t="str">
        <x:f>IF(I61&lt;&gt;"PASS","",AT61/AS61)</x:f>
      </x:c>
      <x:c r="AV61" s="11" t="str">
        <x:f>IF(I61&lt;&gt;"PASS","",IF(AU61&lt;='Config_v6'!$B$10,"POISSON","NEGATIVE BINOMIAL"))</x:f>
      </x:c>
      <x:c r="AW61" s="11" t="str">
        <x:f>IF(I61&lt;&gt;"PASS","",IF(AV61="POISSON",9999,AS61/(AU61-1)))</x:f>
      </x:c>
      <x:c r="AX61" s="11" t="str">
        <x:f>IF(A61="","",MAX(1-'Config_v6'!$B$20,MIN(1+'Config_v6'!$B$20,1+0.02*(IF(AND(ISNUMBER('Input_Meci'!N61),'Input_Meci'!N61&gt;=0,'Input_Meci'!N61&lt;=200),'Input_Meci'!N61,12)/12-1)+0.02*(IF(AND(ISNUMBER('Input_Meci'!P61),'Input_Meci'!P61&gt;=0,'Input_Meci'!P61&lt;=200),'Input_Meci'!P61,3.5)/3.5-1)+0.02*(IF(AND(ISNUMBER('Input_Meci'!R61),'Input_Meci'!R61&gt;=0,'Input_Meci'!R61&lt;=200),'Input_Meci'!R61,18)/18-1)+0.02*((IF(AND(ISNUMBER('Input_Meci'!V61),'Input_Meci'!V61&gt;=0,'Input_Meci'!V61&lt;=10),'Input_Meci'!V61,5)-5)/5))))</x:f>
      </x:c>
      <x:c r="AY61" s="11" t="str">
        <x:f>IF(A61="","",MAX(1-'Config_v6'!$B$20,MIN(1+'Config_v6'!$B$20,1+0.02*(IF(AND(ISNUMBER('Input_Meci'!O61),'Input_Meci'!O61&gt;=0,'Input_Meci'!O61&lt;=200),'Input_Meci'!O61,12)/12-1)+0.02*(IF(AND(ISNUMBER('Input_Meci'!Q61),'Input_Meci'!Q61&gt;=0,'Input_Meci'!Q61&lt;=200),'Input_Meci'!Q61,3.5)/3.5-1)+0.02*(IF(AND(ISNUMBER('Input_Meci'!S61),'Input_Meci'!S61&gt;=0,'Input_Meci'!S61&lt;=200),'Input_Meci'!S61,18)/18-1)+0.02*((IF(AND(ISNUMBER('Input_Meci'!W61),'Input_Meci'!W61&gt;=0,'Input_Meci'!W61&lt;=10),'Input_Meci'!W61,5)-5)/5))))</x:f>
      </x:c>
      <x:c r="AZ61" s="11" t="str">
        <x:f>IF(A61="","",MAX(1-'Config_v6'!$B$21,MIN(1+'Config_v6'!$B$21,1+0.012*(IF('Input_Meci'!X61="",5,IF(ISNUMBER('Input_Meci'!X61),'Input_Meci'!X61,5))-5)+0.018*(IF('Input_Meci'!Z61="",5,IF(ISNUMBER('Input_Meci'!Z61),'Input_Meci'!Z61,5))-5)+0.012*(IF('Input_Meci'!AB61="",5,IF(ISNUMBER('Input_Meci'!AB61),'Input_Meci'!AB61,5))-5)+0.015*IF('Input_Meci'!AD61="",0,IF(ISNUMBER('Input_Meci'!AD61),'Input_Meci'!AD61,0))+0.02*IF('Input_Meci'!AF61="",0,IF(ISNUMBER('Input_Meci'!AF61),'Input_Meci'!AF61,0)))))</x:f>
      </x:c>
      <x:c r="BA61" s="11" t="str">
        <x:f>IF(A61="","",MAX(1-'Config_v6'!$B$21,MIN(1+'Config_v6'!$B$21,1+0.012*(IF('Input_Meci'!Y61="",5,IF(ISNUMBER('Input_Meci'!Y61),'Input_Meci'!Y61,5))-5)+0.018*(IF('Input_Meci'!AA61="",5,IF(ISNUMBER('Input_Meci'!AA61),'Input_Meci'!AA61,5))-5)+0.012*(IF('Input_Meci'!AC61="",5,IF(ISNUMBER('Input_Meci'!AC61),'Input_Meci'!AC61,5))-5)+0.015*IF('Input_Meci'!AE61="",0,IF(ISNUMBER('Input_Meci'!AE61),'Input_Meci'!AE61,0))+0.02*IF('Input_Meci'!AG61="",0,IF(ISNUMBER('Input_Meci'!AG61),'Input_Meci'!AG61,0)))))</x:f>
      </x:c>
      <x:c r="BB61" s="11" t="str">
        <x:f>IF(I61&lt;&gt;"PASS","",(AVERAGE(AF61,AM61)*'Config_v6'!$B$4+AVERAGE(AH61,AO61)*'Config_v6'!$B$5+AVERAGE(AJ61,AQ61)*'Config_v6'!$B$6)*AX61*AZ61)</x:f>
      </x:c>
      <x:c r="BC61" s="11" t="str">
        <x:f>IF(I61&lt;&gt;"PASS","",(AVERAGE(AL61,AG61)*'Config_v6'!$B$4+AVERAGE(AN61,AI61)*'Config_v6'!$B$5+AVERAGE(AP61,AK61)*'Config_v6'!$B$6)*AY61*BA61)</x:f>
      </x:c>
      <x:c r="BD61" s="11" t="str">
        <x:f>IF(I61&lt;&gt;"PASS","",BB61+BC61)</x:f>
      </x:c>
      <x:c r="BE61" s="11" t="str">
        <x:f>IF(A61="","",10-SUM(IF(AND(ISNUMBER('Input_Meci'!N61),'Input_Meci'!N61&gt;=0,'Input_Meci'!N61&lt;=200),1,0),IF(AND(ISNUMBER('Input_Meci'!O61),'Input_Meci'!O61&gt;=0,'Input_Meci'!O61&lt;=200),1,0),IF(AND(ISNUMBER('Input_Meci'!P61),'Input_Meci'!P61&gt;=0,'Input_Meci'!P61&lt;=200),1,0),IF(AND(ISNUMBER('Input_Meci'!Q61),'Input_Meci'!Q61&gt;=0,'Input_Meci'!Q61&lt;=200),1,0),IF(AND(ISNUMBER('Input_Meci'!R61),'Input_Meci'!R61&gt;=0,'Input_Meci'!R61&lt;=200),1,0),IF(AND(ISNUMBER('Input_Meci'!S61),'Input_Meci'!S61&gt;=0,'Input_Meci'!S61&lt;=200),1,0),IF(AND(ISNUMBER('Input_Meci'!T61),'Input_Meci'!T61&gt;=0,'Input_Meci'!T61&lt;=100),1,0),IF(AND(ISNUMBER('Input_Meci'!U61),'Input_Meci'!U61&gt;=0,'Input_Meci'!U61&lt;=100),1,0),IF(AND(ISNUMBER('Input_Meci'!V61),'Input_Meci'!V61&gt;=0,'Input_Meci'!V61&lt;=10),1,0),IF(AND(ISNUMBER('Input_Meci'!W61),'Input_Meci'!W61&gt;=0,'Input_Meci'!W61&lt;=10),1,0)))</x:f>
      </x:c>
      <x:c r="BF61" s="11" t="str">
        <x:f>IF(I61&lt;&gt;"PASS","",MAX(0,MIN(IF(OR(M61="YES",BL61&lt;&gt;C61),'Config_v6'!$B$34,100),ROUND(40+25*MIN(1,MIN(N61,Q61)/'Config_v6'!$B$7)*MIN(1,MIN(O61,R61)/'Config_v6'!$B$8)*MIN(1,MIN(P61,S61)/'Config_v6'!$B$9)+MAX(0,15-2*ABS(AF61-AJ61)-2*ABS(AL61-AP61))+IF(AU61&lt;='Config_v6'!$B$10,15,IF(AU61&lt;='Config_v6'!$B$11,13,IF(AU61&lt;='Config_v6'!$B$12,10,IF(AU61&lt;='Config_v6'!$B$13,6,0))))+5-BE61/10*'Config_v6'!$B$38,0))))</x:f>
      </x:c>
      <x:c r="BG61" s="11" t="str">
        <x:f>IF(I61&lt;&gt;"PASS","",MIN(1,'Config_v6'!$B$14*(0.7+0.3*MIN(1,AR61/'Config_v6'!$B$15))*IF(AU61&lt;='Config_v6'!$B$10,1,IF(AU61&lt;='Config_v6'!$B$11,0.95,IF(AU61&lt;='Config_v6'!$B$12,0.88,0.78)))*(0.75+0.25*BF61/100)))</x:f>
      </x:c>
      <x:c r="BH61" s="11" t="str">
        <x:f>IF(I61&lt;&gt;"PASS","",MIN(1,(ABS(AZ61-1)+ABS(BA61-1))*3))</x:f>
      </x:c>
      <x:c r="BI61" s="2" t="str">
        <x:f>IF(A61="","",IF(AND(OR('Input_Meci'!X61="",AND(ISNUMBER('Input_Meci'!X61),'Input_Meci'!X61&gt;=0,'Input_Meci'!X61&lt;=10)),OR('Input_Meci'!Y61="",AND(ISNUMBER('Input_Meci'!Y61),'Input_Meci'!Y61&gt;=0,'Input_Meci'!Y61&lt;=10)),OR('Input_Meci'!Z61="",AND(ISNUMBER('Input_Meci'!Z61),'Input_Meci'!Z61&gt;=0,'Input_Meci'!Z61&lt;=10)),OR('Input_Meci'!AA61="",AND(ISNUMBER('Input_Meci'!AA61),'Input_Meci'!AA61&gt;=0,'Input_Meci'!AA61&lt;=10)),OR('Input_Meci'!AB61="",AND(ISNUMBER('Input_Meci'!AB61),'Input_Meci'!AB61&gt;=0,'Input_Meci'!AB61&lt;=10)),OR('Input_Meci'!AC61="",AND(ISNUMBER('Input_Meci'!AC61),'Input_Meci'!AC61&gt;=0,'Input_Meci'!AC61&lt;=10)),OR('Input_Meci'!AD61="",AND(ISNUMBER('Input_Meci'!AD61),'Input_Meci'!AD61&gt;=-2,'Input_Meci'!AD61&lt;=2)),OR('Input_Meci'!AE61="",AND(ISNUMBER('Input_Meci'!AE61),'Input_Meci'!AE61&gt;=-2,'Input_Meci'!AE61&lt;=2)),OR('Input_Meci'!AF61="",AND(ISNUMBER('Input_Meci'!AF61),'Input_Meci'!AF61&gt;=-2,'Input_Meci'!AF61&lt;=2)),OR('Input_Meci'!AG61="",AND(ISNUMBER('Input_Meci'!AG61),'Input_Meci'!AG61&gt;=-2,'Input_Meci'!AG61&lt;=2))),"VALID","INVALID"))</x:f>
      </x:c>
      <x:c r="BJ61" s="2" t="n">
        <x:f>IF(A61="",0,SUM('Core_Nativ'!S666:S671))</x:f>
        <x:v>0</x:v>
      </x:c>
      <x:c r="BK61" s="2" t="str">
        <x:f>'Config_v6'!$B$40</x:f>
        <x:v>VALID</x:v>
      </x:c>
      <x:c r="BL61" s="2" t="str">
        <x:f>IF(A61="","",IF(SUMPRODUCT(('Istoric_Nativ'!$B$6:$B$405=B61)*('Istoric_Nativ'!$C$6:$C$405=C61)*('Istoric_Nativ'!$P$6:$P$405=1)*('Istoric_Nativ'!$D$6:$D$405&lt;INT(G61))*((('Istoric_Nativ'!$E$6:$E$405='Input_Meci'!D61)+('Istoric_Nativ'!$F$6:$F$405='Input_Meci'!D61)+('Istoric_Nativ'!$E$6:$E$405='Input_Meci'!E61)+('Istoric_Nativ'!$F$6:$F$405='Input_Meci'!E61))&gt;0))&gt;='Config_v6'!$B$41,C61,IF(AND('Input_Meci'!L61="YES",'Input_Meci'!K61&lt;&gt;"",'Input_Meci'!K61&lt;C61,COUNTIF('Core_Nativ'!R672:R677,"CLOSED")=6,SUM('Core_Nativ'!S672:S677)=0),'Input_Meci'!K61,C61)))</x:f>
      </x:c>
      <x:c r="BM61" s="9" t="n">
        <x:f>IF(OR(A61="",N61=0),0,LARGE(_xlfn._xlws.FILTER('Istoric_Nativ'!$D$6:$D$405,('Istoric_Nativ'!$B$6:$B$405=B61)*('Istoric_Nativ'!$C$6:$C$405=C61)*('Istoric_Nativ'!$P$6:$P$405=1)*('Istoric_Nativ'!$D$6:$D$405&lt;INT(G61))*((('Istoric_Nativ'!$E$6:$E$405='Input_Meci'!D61)+('Istoric_Nativ'!$F$6:$F$405='Input_Meci'!D61))&gt;0)),MIN(10,N61)))</x:f>
        <x:v>0</x:v>
      </x:c>
      <x:c r="BN61" s="9" t="n">
        <x:f>IF(OR(A61="",Q61=0),0,LARGE(_xlfn._xlws.FILTER('Istoric_Nativ'!$D$6:$D$405,('Istoric_Nativ'!$B$6:$B$405=B61)*('Istoric_Nativ'!$C$6:$C$405=C61)*('Istoric_Nativ'!$P$6:$P$405=1)*('Istoric_Nativ'!$D$6:$D$405&lt;INT(G61))*((('Istoric_Nativ'!$E$6:$E$405='Input_Meci'!E61)+('Istoric_Nativ'!$F$6:$F$405='Input_Meci'!E61))&gt;0)),MIN(10,Q61)))</x:f>
        <x:v>0</x:v>
      </x:c>
      <x:c r="BO61" s="9" t="n">
        <x:f>IF(OR(A61="",N61=0),0,LARGE(_xlfn._xlws.FILTER('Istoric_Nativ'!$D$6:$D$405,('Istoric_Nativ'!$B$6:$B$405=B61)*('Istoric_Nativ'!$C$6:$C$405=C61)*('Istoric_Nativ'!$P$6:$P$405=1)*('Istoric_Nativ'!$D$6:$D$405&lt;INT(G61))*((('Istoric_Nativ'!$E$6:$E$405='Input_Meci'!D61)+('Istoric_Nativ'!$F$6:$F$405='Input_Meci'!D61))&gt;0)),MIN(20,N61)))</x:f>
        <x:v>0</x:v>
      </x:c>
      <x:c r="BP61" s="9" t="n">
        <x:f>IF(OR(A61="",Q61=0),0,LARGE(_xlfn._xlws.FILTER('Istoric_Nativ'!$D$6:$D$405,('Istoric_Nativ'!$B$6:$B$405=B61)*('Istoric_Nativ'!$C$6:$C$405=C61)*('Istoric_Nativ'!$P$6:$P$405=1)*('Istoric_Nativ'!$D$6:$D$405&lt;INT(G61))*((('Istoric_Nativ'!$E$6:$E$405='Input_Meci'!E61)+('Istoric_Nativ'!$F$6:$F$405='Input_Meci'!E61))&gt;0)),MIN(20,Q61)))</x:f>
        <x:v>0</x:v>
      </x:c>
      <x:c r="BQ61" s="2" t="str">
        <x:f>IF(A61="","",IF(AND(COUNTIF(MatchesTable[Match_ID],A61)=1,COUNTIFS(MatchesTable[League],B61,MatchesTable[Season],C61,MatchesTable[Home],'Input_Meci'!D61,MatchesTable[Away],'Input_Meci'!E61,MatchesTable[Kickoff_UTC],F61)=1,B61&lt;&gt;"",C61&lt;&gt;"",'Input_Meci'!D61&lt;&gt;"",'Input_Meci'!E61&lt;&gt;"",'Input_Meci'!D61&lt;&gt;'Input_Meci'!E61,ISNUMBER(F61),ISNUMBER(G61),G61&lt;F61,OR(E61="LIVE",E61="REPLAY"),OR('Input_Meci'!L61="YES",'Input_Meci'!L61="NO",'Input_Meci'!L61="")),"VALID","INVALID"))</x:f>
      </x:c>
      <x:c r="BR61" s="2" t="n">
        <x:f>IF(I61&lt;&gt;"PASS",0,SUMPRODUCT(('Istoric_Nativ'!$B$6:$B$405='Input_Meci'!B61)*('Istoric_Nativ'!$C$6:$C$405='Input_Meci'!C61)*('Istoric_Nativ'!$P$6:$P$405=1)*('Istoric_Nativ'!$D$6:$D$405&lt;INT('Input_Meci'!G61))*((('Istoric_Nativ'!$E$6:$E$405='Input_Meci'!D61)+('Istoric_Nativ'!$F$6:$F$405='Input_Meci'!E61))&gt;0)))</x:f>
        <x:v>0</x:v>
      </x:c>
      <x:c r="BS61" s="2" t="n">
        <x:f>IF(I61&lt;&gt;"PASS",0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BM61)+((('Istoric_Nativ'!$E$6:$E$405='Input_Meci'!E61)+('Istoric_Nativ'!$F$6:$F$405='Input_Meci'!E61))&gt;0)*('Istoric_Nativ'!$D$6:$D$405&gt;=BN61))&gt;0)))</x:f>
        <x:v>0</x:v>
      </x:c>
      <x:c r="BT61" s="2" t="n">
        <x:f>IF(I61&lt;&gt;"PASS",0,SUMPRODUCT(('Istoric_Nativ'!$B$6:$B$405='Input_Meci'!B61)*('Istoric_Nativ'!$C$6:$C$405='Input_Meci'!C61)*('Istoric_Nativ'!$P$6:$P$405=1)*('Istoric_Nativ'!$D$6:$D$405&lt;INT('Input_Meci'!G61))*((((('Istoric_Nativ'!$E$6:$E$405='Input_Meci'!D61)+('Istoric_Nativ'!$F$6:$F$405='Input_Meci'!D61))&gt;0)*('Istoric_Nativ'!$D$6:$D$405&gt;=BO61)+((('Istoric_Nativ'!$E$6:$E$405='Input_Meci'!E61)+('Istoric_Nativ'!$F$6:$F$405='Input_Meci'!E61))&gt;0)*('Istoric_Nativ'!$D$6:$D$405&gt;=BP61))&gt;0)))</x:f>
        <x:v>0</x:v>
      </x:c>
    </x:row>
    <x:row r="62" ht="21" customHeight="1">
      <x:c r="A62" s="2" t="str">
        <x:f>IF('Input_Meci'!A62="","",'Input_Meci'!A62)</x:f>
      </x:c>
      <x:c r="B62" s="2" t="str">
        <x:f>IF(A62="","",'Input_Meci'!B62)</x:f>
      </x:c>
      <x:c r="C62" s="2" t="str">
        <x:f>IF(A62="","",'Input_Meci'!C62)</x:f>
      </x:c>
      <x:c r="D62" s="2" t="str">
        <x:f>IF(A62="","",'Input_Meci'!D62&amp;" – "&amp;'Input_Meci'!E62)</x:f>
      </x:c>
      <x:c r="E62" s="2" t="str">
        <x:f>IF(A62="","",'Input_Meci'!H62)</x:f>
      </x:c>
      <x:c r="F62" s="9" t="str">
        <x:f>IF(A62="","",'Input_Meci'!F62)</x:f>
      </x:c>
      <x:c r="G62" s="9" t="str">
        <x:f>IF(A62="","",'Input_Meci'!G62)</x:f>
      </x:c>
      <x:c r="H62" s="2" t="str">
        <x:f>IF(A62="","",IF(BQ62&lt;&gt;"VALID","NOT RELEASED",IF(AND(OR('Input_Meci'!I62="NOT AVAILABLE",'Input_Meci'!I62="SOURCE CONFLICT"),'Input_Meci'!J62&lt;&gt;""),"READY",IF(OR(NOT(OR('Input_Meci'!I62="AUTO",'Input_Meci'!I62="")),COUNTIF('Core_Nativ'!R678:R683,"CLOSED")&lt;&gt;6,BJ62&gt;0),"NOT RELEASED","READY"))))</x:f>
      </x:c>
      <x:c r="I62" s="2" t="str">
        <x:f>IF(A62="","",IF(H62&lt;&gt;"READY","NOT RELEASED",IF(AND(NOT(OR('Input_Meci'!I62="NOT AVAILABLE",'Input_Meci'!I62="SOURCE CONFLICT")),L62=12,AR62&gt;=2,AS62&gt;0,ISNUMBER(AT62),BI62="VALID",BK62="VALID"),"PASS","FAIL")))</x:f>
      </x:c>
      <x:c r="J62" s="2" t="str">
        <x:f>IF(A62="","",IF(BQ62&lt;&gt;"VALID","Verifica ID, echipe, mod si cutoff &lt; kickoff",IF(H62&lt;&gt;"READY",IF('Input_Meci'!I62="ACCESS BLOCKED","Acces blocat: reia sursele",IF(BJ62&gt;0,"Istoric invalid sau conflict: verifica randurile native","Surse neinchise / post-cutoff / dovezi incomplete")),IF(OR('Input_Meci'!I62="NOT AVAILABLE",'Input_Meci'!I62="SOURCE CONFLICT"),'Input_Meci'!I62,IF(BK62&lt;&gt;"VALID","Parametri invalizi",IF(L62&lt;&gt;12,"Core / sample / prior insuficient",IF(AR62&lt;2,"N insuficient pentru dispersie",IF(AS62&lt;=0,"Media istorica trebuie sa fie pozitiva",IF(BI62&lt;&gt;"VALID","Context invalid","READY")))))))))</x:f>
      </x:c>
      <x:c r="K62" s="2" t="str">
        <x:f>IF(A62="","",COUNT(T62:AE62))</x:f>
      </x:c>
      <x:c r="L62" s="2" t="str">
        <x:f>IF(A62="","",COUNT(AF62:AQ62))</x:f>
      </x:c>
      <x:c r="M62" s="2" t="str">
        <x:f>IF(A62="","",IF(OR('Core_Nativ'!M678&lt;'Core_Nativ'!P678,'Core_Nativ'!M679&lt;'Core_Nativ'!P679,'Core_Nativ'!M680&lt;'Core_Nativ'!P680,'Core_Nativ'!M681&lt;'Core_Nativ'!P681,'Core_Nativ'!M682&lt;'Core_Nativ'!P682,'Core_Nativ'!M683&lt;'Core_Nativ'!P683),"YES","NO"))</x:f>
      </x:c>
      <x:c r="N62" s="2" t="str">
        <x:f>IF(A62="","",'Core_Nativ'!M678)</x:f>
      </x:c>
      <x:c r="O62" s="2" t="str">
        <x:f>IF(A62="","",'Core_Nativ'!M679)</x:f>
      </x:c>
      <x:c r="P62" s="2" t="str">
        <x:f>IF(A62="","",'Core_Nativ'!M680)</x:f>
      </x:c>
      <x:c r="Q62" s="2" t="str">
        <x:f>IF(A62="","",'Core_Nativ'!M681)</x:f>
      </x:c>
      <x:c r="R62" s="2" t="str">
        <x:f>IF(A62="","",'Core_Nativ'!M682)</x:f>
      </x:c>
      <x:c r="S62" s="2" t="str">
        <x:f>IF(A62="","",'Core_Nativ'!M683)</x:f>
      </x:c>
      <x:c r="T62" s="11" t="str">
        <x:f>IF(OR(A62="",'Core_Nativ'!M678=0),"",'Core_Nativ'!N678)</x:f>
      </x:c>
      <x:c r="U62" s="11" t="str">
        <x:f>IF(OR(A62="",'Core_Nativ'!M678=0),"",'Core_Nativ'!O678)</x:f>
      </x:c>
      <x:c r="V62" s="11" t="str">
        <x:f>IF(OR(A62="",'Core_Nativ'!M679=0),"",'Core_Nativ'!N679)</x:f>
      </x:c>
      <x:c r="W62" s="11" t="str">
        <x:f>IF(OR(A62="",'Core_Nativ'!M679=0),"",'Core_Nativ'!O679)</x:f>
      </x:c>
      <x:c r="X62" s="11" t="str">
        <x:f>IF(OR(A62="",'Core_Nativ'!M680=0),"",'Core_Nativ'!N680)</x:f>
      </x:c>
      <x:c r="Y62" s="11" t="str">
        <x:f>IF(OR(A62="",'Core_Nativ'!M680=0),"",'Core_Nativ'!O680)</x:f>
      </x:c>
      <x:c r="Z62" s="11" t="str">
        <x:f>IF(OR(A62="",'Core_Nativ'!M681=0),"",'Core_Nativ'!N681)</x:f>
      </x:c>
      <x:c r="AA62" s="11" t="str">
        <x:f>IF(OR(A62="",'Core_Nativ'!M681=0),"",'Core_Nativ'!O681)</x:f>
      </x:c>
      <x:c r="AB62" s="11" t="str">
        <x:f>IF(OR(A62="",'Core_Nativ'!M682=0),"",'Core_Nativ'!N682)</x:f>
      </x:c>
      <x:c r="AC62" s="11" t="str">
        <x:f>IF(OR(A62="",'Core_Nativ'!M682=0),"",'Core_Nativ'!O682)</x:f>
      </x:c>
      <x:c r="AD62" s="11" t="str">
        <x:f>IF(OR(A62="",'Core_Nativ'!M683=0),"",'Core_Nativ'!N683)</x:f>
      </x:c>
      <x:c r="AE62" s="11" t="str">
        <x:f>IF(OR(A62="",'Core_Nativ'!M683=0),"",'Core_Nativ'!O683)</x:f>
      </x:c>
      <x:c r="AF62" s="11" t="str">
        <x:f>IF(A62="","",IF(AND('Core_Nativ'!R678="CLOSED",'Core_Nativ'!S678=0),IF('Core_Nativ'!M678&gt;='Core_Nativ'!P678,'Core_Nativ'!N678,IF(AND('Input_Meci'!L62="YES",'Input_Meci'!K62&lt;&gt;"",'Input_Meci'!K62&lt;C62,'Core_Nativ'!T684="DERIVED",'Core_Nativ'!M684&gt;='Core_Nativ'!P678),MIN(1,'Core_Nativ'!M678/'Core_Nativ'!P678)*IF('Core_Nativ'!M678=0,0,'Core_Nativ'!N678)+(1-MIN(1,'Core_Nativ'!M678/'Core_Nativ'!P678))*'Core_Nativ'!N684,"")),""))</x:f>
      </x:c>
      <x:c r="AG62" s="11" t="str">
        <x:f>IF(A62="","",IF(AND('Core_Nativ'!R678="CLOSED",'Core_Nativ'!S678=0),IF('Core_Nativ'!M678&gt;='Core_Nativ'!P678,'Core_Nativ'!O678,IF(AND('Input_Meci'!L62="YES",'Input_Meci'!K62&lt;&gt;"",'Input_Meci'!K62&lt;C62,'Core_Nativ'!T684="DERIVED",'Core_Nativ'!M684&gt;='Core_Nativ'!P678),MIN(1,'Core_Nativ'!M678/'Core_Nativ'!P678)*IF('Core_Nativ'!M678=0,0,'Core_Nativ'!O678)+(1-MIN(1,'Core_Nativ'!M678/'Core_Nativ'!P678))*'Core_Nativ'!O684,"")),""))</x:f>
      </x:c>
      <x:c r="AH62" s="11" t="str">
        <x:f>IF(A62="","",IF(AND('Core_Nativ'!R679="CLOSED",'Core_Nativ'!S679=0),IF('Core_Nativ'!M679&gt;='Core_Nativ'!P679,'Core_Nativ'!N679,IF(AND('Input_Meci'!L62="YES",'Input_Meci'!K62&lt;&gt;"",'Input_Meci'!K62&lt;C62,'Core_Nativ'!T685="DERIVED",'Core_Nativ'!M685&gt;='Core_Nativ'!P679),MIN(1,'Core_Nativ'!M679/'Core_Nativ'!P679)*IF('Core_Nativ'!M679=0,0,'Core_Nativ'!N679)+(1-MIN(1,'Core_Nativ'!M679/'Core_Nativ'!P679))*'Core_Nativ'!N685,"")),""))</x:f>
      </x:c>
      <x:c r="AI62" s="11" t="str">
        <x:f>IF(A62="","",IF(AND('Core_Nativ'!R679="CLOSED",'Core_Nativ'!S679=0),IF('Core_Nativ'!M679&gt;='Core_Nativ'!P679,'Core_Nativ'!O679,IF(AND('Input_Meci'!L62="YES",'Input_Meci'!K62&lt;&gt;"",'Input_Meci'!K62&lt;C62,'Core_Nativ'!T685="DERIVED",'Core_Nativ'!M685&gt;='Core_Nativ'!P679),MIN(1,'Core_Nativ'!M679/'Core_Nativ'!P679)*IF('Core_Nativ'!M679=0,0,'Core_Nativ'!O679)+(1-MIN(1,'Core_Nativ'!M679/'Core_Nativ'!P679))*'Core_Nativ'!O685,"")),""))</x:f>
      </x:c>
      <x:c r="AJ62" s="11" t="str">
        <x:f>IF(A62="","",IF(AND('Core_Nativ'!R680="CLOSED",'Core_Nativ'!S680=0),IF('Core_Nativ'!M680&gt;='Core_Nativ'!P680,'Core_Nativ'!N680,IF(AND('Input_Meci'!L62="YES",'Input_Meci'!K62&lt;&gt;"",'Input_Meci'!K62&lt;C62,'Core_Nativ'!T686="DERIVED",'Core_Nativ'!M686&gt;='Core_Nativ'!P680),MIN(1,'Core_Nativ'!M680/'Core_Nativ'!P680)*IF('Core_Nativ'!M680=0,0,'Core_Nativ'!N680)+(1-MIN(1,'Core_Nativ'!M680/'Core_Nativ'!P680))*'Core_Nativ'!N686,"")),""))</x:f>
      </x:c>
      <x:c r="AK62" s="11" t="str">
        <x:f>IF(A62="","",IF(AND('Core_Nativ'!R680="CLOSED",'Core_Nativ'!S680=0),IF('Core_Nativ'!M680&gt;='Core_Nativ'!P680,'Core_Nativ'!O680,IF(AND('Input_Meci'!L62="YES",'Input_Meci'!K62&lt;&gt;"",'Input_Meci'!K62&lt;C62,'Core_Nativ'!T686="DERIVED",'Core_Nativ'!M686&gt;='Core_Nativ'!P680),MIN(1,'Core_Nativ'!M680/'Core_Nativ'!P680)*IF('Core_Nativ'!M680=0,0,'Core_Nativ'!O680)+(1-MIN(1,'Core_Nativ'!M680/'Core_Nativ'!P680))*'Core_Nativ'!O686,"")),""))</x:f>
      </x:c>
      <x:c r="AL62" s="11" t="str">
        <x:f>IF(A62="","",IF(AND('Core_Nativ'!R681="CLOSED",'Core_Nativ'!S681=0),IF('Core_Nativ'!M681&gt;='Core_Nativ'!P681,'Core_Nativ'!N681,IF(AND('Input_Meci'!L62="YES",'Input_Meci'!K62&lt;&gt;"",'Input_Meci'!K62&lt;C62,'Core_Nativ'!T687="DERIVED",'Core_Nativ'!M687&gt;='Core_Nativ'!P681),MIN(1,'Core_Nativ'!M681/'Core_Nativ'!P681)*IF('Core_Nativ'!M681=0,0,'Core_Nativ'!N681)+(1-MIN(1,'Core_Nativ'!M681/'Core_Nativ'!P681))*'Core_Nativ'!N687,"")),""))</x:f>
      </x:c>
      <x:c r="AM62" s="11" t="str">
        <x:f>IF(A62="","",IF(AND('Core_Nativ'!R681="CLOSED",'Core_Nativ'!S681=0),IF('Core_Nativ'!M681&gt;='Core_Nativ'!P681,'Core_Nativ'!O681,IF(AND('Input_Meci'!L62="YES",'Input_Meci'!K62&lt;&gt;"",'Input_Meci'!K62&lt;C62,'Core_Nativ'!T687="DERIVED",'Core_Nativ'!M687&gt;='Core_Nativ'!P681),MIN(1,'Core_Nativ'!M681/'Core_Nativ'!P681)*IF('Core_Nativ'!M681=0,0,'Core_Nativ'!O681)+(1-MIN(1,'Core_Nativ'!M681/'Core_Nativ'!P681))*'Core_Nativ'!O687,"")),""))</x:f>
      </x:c>
      <x:c r="AN62" s="11" t="str">
        <x:f>IF(A62="","",IF(AND('Core_Nativ'!R682="CLOSED",'Core_Nativ'!S682=0),IF('Core_Nativ'!M682&gt;='Core_Nativ'!P682,'Core_Nativ'!N682,IF(AND('Input_Meci'!L62="YES",'Input_Meci'!K62&lt;&gt;"",'Input_Meci'!K62&lt;C62,'Core_Nativ'!T688="DERIVED",'Core_Nativ'!M688&gt;='Core_Nativ'!P682),MIN(1,'Core_Nativ'!M682/'Core_Nativ'!P682)*IF('Core_Nativ'!M682=0,0,'Core_Nativ'!N682)+(1-MIN(1,'Core_Nativ'!M682/'Core_Nativ'!P682))*'Core_Nativ'!N688,"")),""))</x:f>
      </x:c>
      <x:c r="AO62" s="11" t="str">
        <x:f>IF(A62="","",IF(AND('Core_Nativ'!R682="CLOSED",'Core_Nativ'!S682=0),IF('Core_Nativ'!M682&gt;='Core_Nativ'!P682,'Core_Nativ'!O682,IF(AND('Input_Meci'!L62="YES",'Input_Meci'!K62&lt;&gt;"",'Input_Meci'!K62&lt;C62,'Core_Nativ'!T688="DERIVED",'Core_Nativ'!M688&gt;='Core_Nativ'!P682),MIN(1,'Core_Nativ'!M682/'Core_Nativ'!P682)*IF('Core_Nativ'!M682=0,0,'Core_Nativ'!O682)+(1-MIN(1,'Core_Nativ'!M682/'Core_Nativ'!P682))*'Core_Nativ'!O688,"")),""))</x:f>
      </x:c>
      <x:c r="AP62" s="11" t="str">
        <x:f>IF(A62="","",IF(AND('Core_Nativ'!R683="CLOSED",'Core_Nativ'!S683=0),IF('Core_Nativ'!M683&gt;='Core_Nativ'!P683,'Core_Nativ'!N683,IF(AND('Input_Meci'!L62="YES",'Input_Meci'!K62&lt;&gt;"",'Input_Meci'!K62&lt;C62,'Core_Nativ'!T689="DERIVED",'Core_Nativ'!M689&gt;='Core_Nativ'!P683),MIN(1,'Core_Nativ'!M683/'Core_Nativ'!P683)*IF('Core_Nativ'!M683=0,0,'Core_Nativ'!N683)+(1-MIN(1,'Core_Nativ'!M683/'Core_Nativ'!P683))*'Core_Nativ'!N689,"")),""))</x:f>
      </x:c>
      <x:c r="AQ62" s="11" t="str">
        <x:f>IF(A62="","",IF(AND('Core_Nativ'!R683="CLOSED",'Core_Nativ'!S683=0),IF('Core_Nativ'!M683&gt;='Core_Nativ'!P683,'Core_Nativ'!O683,IF(AND('Input_Meci'!L62="YES",'Input_Meci'!K62&lt;&gt;"",'Input_Meci'!K62&lt;C62,'Core_Nativ'!T689="DERIVED",'Core_Nativ'!M689&gt;='Core_Nativ'!P683),MIN(1,'Core_Nativ'!M683/'Core_Nativ'!P683)*IF('Core_Nativ'!M683=0,0,'Core_Nativ'!O683)+(1-MIN(1,'Core_Nativ'!M683/'Core_Nativ'!P683))*'Core_Nativ'!O689,"")),""))</x:f>
      </x:c>
      <x:c r="AR62" s="11" t="str">
        <x:f>IF(A62="","",SUMPRODUCT(('Istoric_Nativ'!$B$6:$B$405=B62)*('Istoric_Nativ'!$C$6:$C$405=BL62)*('Istoric_Nativ'!$P$6:$P$405=1)*('Istoric_Nativ'!$D$6:$D$405&lt;INT(G62))*((('Istoric_Nativ'!$E$6:$E$405='Input_Meci'!D62)+('Istoric_Nativ'!$F$6:$F$405='Input_Meci'!D62)+('Istoric_Nativ'!$E$6:$E$405='Input_Meci'!E62)+('Istoric_Nativ'!$F$6:$F$405='Input_Meci'!E62))&gt;0)))</x:f>
      </x:c>
      <x:c r="AS62" s="11" t="str">
        <x:f>IF(AR62=0,"",SUMPRODUCT(('Istoric_Nativ'!$B$6:$B$405=B62)*('Istoric_Nativ'!$C$6:$C$405=BL62)*('Istoric_Nativ'!$P$6:$P$405=1)*('Istoric_Nativ'!$D$6:$D$405&lt;INT(G62))*((('Istoric_Nativ'!$E$6:$E$405='Input_Meci'!D62)+('Istoric_Nativ'!$F$6:$F$405='Input_Meci'!D62)+('Istoric_Nativ'!$E$6:$E$405='Input_Meci'!E62)+('Istoric_Nativ'!$F$6:$F$405='Input_Meci'!E62))&gt;0)*'Istoric_Nativ'!$Q$6:$Q$405)/AR62)</x:f>
      </x:c>
      <x:c r="AT62" s="11" t="str">
        <x:f>IF(AR62&lt;2,"",MAX(0,(SUMPRODUCT(('Istoric_Nativ'!$B$6:$B$405=B62)*('Istoric_Nativ'!$C$6:$C$405=BL62)*('Istoric_Nativ'!$P$6:$P$405=1)*('Istoric_Nativ'!$D$6:$D$405&lt;INT(G62))*((('Istoric_Nativ'!$E$6:$E$405='Input_Meci'!D62)+('Istoric_Nativ'!$F$6:$F$405='Input_Meci'!D62)+('Istoric_Nativ'!$E$6:$E$405='Input_Meci'!E62)+('Istoric_Nativ'!$F$6:$F$405='Input_Meci'!E62))&gt;0)*'Istoric_Nativ'!$R$6:$R$405)-AR62*AS62^2)/(AR62-1)))</x:f>
      </x:c>
      <x:c r="AU62" s="11" t="str">
        <x:f>IF(I62&lt;&gt;"PASS","",AT62/AS62)</x:f>
      </x:c>
      <x:c r="AV62" s="11" t="str">
        <x:f>IF(I62&lt;&gt;"PASS","",IF(AU62&lt;='Config_v6'!$B$10,"POISSON","NEGATIVE BINOMIAL"))</x:f>
      </x:c>
      <x:c r="AW62" s="11" t="str">
        <x:f>IF(I62&lt;&gt;"PASS","",IF(AV62="POISSON",9999,AS62/(AU62-1)))</x:f>
      </x:c>
      <x:c r="AX62" s="11" t="str">
        <x:f>IF(A62="","",MAX(1-'Config_v6'!$B$20,MIN(1+'Config_v6'!$B$20,1+0.02*(IF(AND(ISNUMBER('Input_Meci'!N62),'Input_Meci'!N62&gt;=0,'Input_Meci'!N62&lt;=200),'Input_Meci'!N62,12)/12-1)+0.02*(IF(AND(ISNUMBER('Input_Meci'!P62),'Input_Meci'!P62&gt;=0,'Input_Meci'!P62&lt;=200),'Input_Meci'!P62,3.5)/3.5-1)+0.02*(IF(AND(ISNUMBER('Input_Meci'!R62),'Input_Meci'!R62&gt;=0,'Input_Meci'!R62&lt;=200),'Input_Meci'!R62,18)/18-1)+0.02*((IF(AND(ISNUMBER('Input_Meci'!V62),'Input_Meci'!V62&gt;=0,'Input_Meci'!V62&lt;=10),'Input_Meci'!V62,5)-5)/5))))</x:f>
      </x:c>
      <x:c r="AY62" s="11" t="str">
        <x:f>IF(A62="","",MAX(1-'Config_v6'!$B$20,MIN(1+'Config_v6'!$B$20,1+0.02*(IF(AND(ISNUMBER('Input_Meci'!O62),'Input_Meci'!O62&gt;=0,'Input_Meci'!O62&lt;=200),'Input_Meci'!O62,12)/12-1)+0.02*(IF(AND(ISNUMBER('Input_Meci'!Q62),'Input_Meci'!Q62&gt;=0,'Input_Meci'!Q62&lt;=200),'Input_Meci'!Q62,3.5)/3.5-1)+0.02*(IF(AND(ISNUMBER('Input_Meci'!S62),'Input_Meci'!S62&gt;=0,'Input_Meci'!S62&lt;=200),'Input_Meci'!S62,18)/18-1)+0.02*((IF(AND(ISNUMBER('Input_Meci'!W62),'Input_Meci'!W62&gt;=0,'Input_Meci'!W62&lt;=10),'Input_Meci'!W62,5)-5)/5))))</x:f>
      </x:c>
      <x:c r="AZ62" s="11" t="str">
        <x:f>IF(A62="","",MAX(1-'Config_v6'!$B$21,MIN(1+'Config_v6'!$B$21,1+0.012*(IF('Input_Meci'!X62="",5,IF(ISNUMBER('Input_Meci'!X62),'Input_Meci'!X62,5))-5)+0.018*(IF('Input_Meci'!Z62="",5,IF(ISNUMBER('Input_Meci'!Z62),'Input_Meci'!Z62,5))-5)+0.012*(IF('Input_Meci'!AB62="",5,IF(ISNUMBER('Input_Meci'!AB62),'Input_Meci'!AB62,5))-5)+0.015*IF('Input_Meci'!AD62="",0,IF(ISNUMBER('Input_Meci'!AD62),'Input_Meci'!AD62,0))+0.02*IF('Input_Meci'!AF62="",0,IF(ISNUMBER('Input_Meci'!AF62),'Input_Meci'!AF62,0)))))</x:f>
      </x:c>
      <x:c r="BA62" s="11" t="str">
        <x:f>IF(A62="","",MAX(1-'Config_v6'!$B$21,MIN(1+'Config_v6'!$B$21,1+0.012*(IF('Input_Meci'!Y62="",5,IF(ISNUMBER('Input_Meci'!Y62),'Input_Meci'!Y62,5))-5)+0.018*(IF('Input_Meci'!AA62="",5,IF(ISNUMBER('Input_Meci'!AA62),'Input_Meci'!AA62,5))-5)+0.012*(IF('Input_Meci'!AC62="",5,IF(ISNUMBER('Input_Meci'!AC62),'Input_Meci'!AC62,5))-5)+0.015*IF('Input_Meci'!AE62="",0,IF(ISNUMBER('Input_Meci'!AE62),'Input_Meci'!AE62,0))+0.02*IF('Input_Meci'!AG62="",0,IF(ISNUMBER('Input_Meci'!AG62),'Input_Meci'!AG62,0)))))</x:f>
      </x:c>
      <x:c r="BB62" s="11" t="str">
        <x:f>IF(I62&lt;&gt;"PASS","",(AVERAGE(AF62,AM62)*'Config_v6'!$B$4+AVERAGE(AH62,AO62)*'Config_v6'!$B$5+AVERAGE(AJ62,AQ62)*'Config_v6'!$B$6)*AX62*AZ62)</x:f>
      </x:c>
      <x:c r="BC62" s="11" t="str">
        <x:f>IF(I62&lt;&gt;"PASS","",(AVERAGE(AL62,AG62)*'Config_v6'!$B$4+AVERAGE(AN62,AI62)*'Config_v6'!$B$5+AVERAGE(AP62,AK62)*'Config_v6'!$B$6)*AY62*BA62)</x:f>
      </x:c>
      <x:c r="BD62" s="11" t="str">
        <x:f>IF(I62&lt;&gt;"PASS","",BB62+BC62)</x:f>
      </x:c>
      <x:c r="BE62" s="11" t="str">
        <x:f>IF(A62="","",10-SUM(IF(AND(ISNUMBER('Input_Meci'!N62),'Input_Meci'!N62&gt;=0,'Input_Meci'!N62&lt;=200),1,0),IF(AND(ISNUMBER('Input_Meci'!O62),'Input_Meci'!O62&gt;=0,'Input_Meci'!O62&lt;=200),1,0),IF(AND(ISNUMBER('Input_Meci'!P62),'Input_Meci'!P62&gt;=0,'Input_Meci'!P62&lt;=200),1,0),IF(AND(ISNUMBER('Input_Meci'!Q62),'Input_Meci'!Q62&gt;=0,'Input_Meci'!Q62&lt;=200),1,0),IF(AND(ISNUMBER('Input_Meci'!R62),'Input_Meci'!R62&gt;=0,'Input_Meci'!R62&lt;=200),1,0),IF(AND(ISNUMBER('Input_Meci'!S62),'Input_Meci'!S62&gt;=0,'Input_Meci'!S62&lt;=200),1,0),IF(AND(ISNUMBER('Input_Meci'!T62),'Input_Meci'!T62&gt;=0,'Input_Meci'!T62&lt;=100),1,0),IF(AND(ISNUMBER('Input_Meci'!U62),'Input_Meci'!U62&gt;=0,'Input_Meci'!U62&lt;=100),1,0),IF(AND(ISNUMBER('Input_Meci'!V62),'Input_Meci'!V62&gt;=0,'Input_Meci'!V62&lt;=10),1,0),IF(AND(ISNUMBER('Input_Meci'!W62),'Input_Meci'!W62&gt;=0,'Input_Meci'!W62&lt;=10),1,0)))</x:f>
      </x:c>
      <x:c r="BF62" s="11" t="str">
        <x:f>IF(I62&lt;&gt;"PASS","",MAX(0,MIN(IF(OR(M62="YES",BL62&lt;&gt;C62),'Config_v6'!$B$34,100),ROUND(40+25*MIN(1,MIN(N62,Q62)/'Config_v6'!$B$7)*MIN(1,MIN(O62,R62)/'Config_v6'!$B$8)*MIN(1,MIN(P62,S62)/'Config_v6'!$B$9)+MAX(0,15-2*ABS(AF62-AJ62)-2*ABS(AL62-AP62))+IF(AU62&lt;='Config_v6'!$B$10,15,IF(AU62&lt;='Config_v6'!$B$11,13,IF(AU62&lt;='Config_v6'!$B$12,10,IF(AU62&lt;='Config_v6'!$B$13,6,0))))+5-BE62/10*'Config_v6'!$B$38,0))))</x:f>
      </x:c>
      <x:c r="BG62" s="11" t="str">
        <x:f>IF(I62&lt;&gt;"PASS","",MIN(1,'Config_v6'!$B$14*(0.7+0.3*MIN(1,AR62/'Config_v6'!$B$15))*IF(AU62&lt;='Config_v6'!$B$10,1,IF(AU62&lt;='Config_v6'!$B$11,0.95,IF(AU62&lt;='Config_v6'!$B$12,0.88,0.78)))*(0.75+0.25*BF62/100)))</x:f>
      </x:c>
      <x:c r="BH62" s="11" t="str">
        <x:f>IF(I62&lt;&gt;"PASS","",MIN(1,(ABS(AZ62-1)+ABS(BA62-1))*3))</x:f>
      </x:c>
      <x:c r="BI62" s="2" t="str">
        <x:f>IF(A62="","",IF(AND(OR('Input_Meci'!X62="",AND(ISNUMBER('Input_Meci'!X62),'Input_Meci'!X62&gt;=0,'Input_Meci'!X62&lt;=10)),OR('Input_Meci'!Y62="",AND(ISNUMBER('Input_Meci'!Y62),'Input_Meci'!Y62&gt;=0,'Input_Meci'!Y62&lt;=10)),OR('Input_Meci'!Z62="",AND(ISNUMBER('Input_Meci'!Z62),'Input_Meci'!Z62&gt;=0,'Input_Meci'!Z62&lt;=10)),OR('Input_Meci'!AA62="",AND(ISNUMBER('Input_Meci'!AA62),'Input_Meci'!AA62&gt;=0,'Input_Meci'!AA62&lt;=10)),OR('Input_Meci'!AB62="",AND(ISNUMBER('Input_Meci'!AB62),'Input_Meci'!AB62&gt;=0,'Input_Meci'!AB62&lt;=10)),OR('Input_Meci'!AC62="",AND(ISNUMBER('Input_Meci'!AC62),'Input_Meci'!AC62&gt;=0,'Input_Meci'!AC62&lt;=10)),OR('Input_Meci'!AD62="",AND(ISNUMBER('Input_Meci'!AD62),'Input_Meci'!AD62&gt;=-2,'Input_Meci'!AD62&lt;=2)),OR('Input_Meci'!AE62="",AND(ISNUMBER('Input_Meci'!AE62),'Input_Meci'!AE62&gt;=-2,'Input_Meci'!AE62&lt;=2)),OR('Input_Meci'!AF62="",AND(ISNUMBER('Input_Meci'!AF62),'Input_Meci'!AF62&gt;=-2,'Input_Meci'!AF62&lt;=2)),OR('Input_Meci'!AG62="",AND(ISNUMBER('Input_Meci'!AG62),'Input_Meci'!AG62&gt;=-2,'Input_Meci'!AG62&lt;=2))),"VALID","INVALID"))</x:f>
      </x:c>
      <x:c r="BJ62" s="2" t="n">
        <x:f>IF(A62="",0,SUM('Core_Nativ'!S678:S683))</x:f>
        <x:v>0</x:v>
      </x:c>
      <x:c r="BK62" s="2" t="str">
        <x:f>'Config_v6'!$B$40</x:f>
        <x:v>VALID</x:v>
      </x:c>
      <x:c r="BL62" s="2" t="str">
        <x:f>IF(A62="","",IF(SUMPRODUCT(('Istoric_Nativ'!$B$6:$B$405=B62)*('Istoric_Nativ'!$C$6:$C$405=C62)*('Istoric_Nativ'!$P$6:$P$405=1)*('Istoric_Nativ'!$D$6:$D$405&lt;INT(G62))*((('Istoric_Nativ'!$E$6:$E$405='Input_Meci'!D62)+('Istoric_Nativ'!$F$6:$F$405='Input_Meci'!D62)+('Istoric_Nativ'!$E$6:$E$405='Input_Meci'!E62)+('Istoric_Nativ'!$F$6:$F$405='Input_Meci'!E62))&gt;0))&gt;='Config_v6'!$B$41,C62,IF(AND('Input_Meci'!L62="YES",'Input_Meci'!K62&lt;&gt;"",'Input_Meci'!K62&lt;C62,COUNTIF('Core_Nativ'!R684:R689,"CLOSED")=6,SUM('Core_Nativ'!S684:S689)=0),'Input_Meci'!K62,C62)))</x:f>
      </x:c>
      <x:c r="BM62" s="9" t="n">
        <x:f>IF(OR(A62="",N62=0),0,LARGE(_xlfn._xlws.FILTER('Istoric_Nativ'!$D$6:$D$405,('Istoric_Nativ'!$B$6:$B$405=B62)*('Istoric_Nativ'!$C$6:$C$405=C62)*('Istoric_Nativ'!$P$6:$P$405=1)*('Istoric_Nativ'!$D$6:$D$405&lt;INT(G62))*((('Istoric_Nativ'!$E$6:$E$405='Input_Meci'!D62)+('Istoric_Nativ'!$F$6:$F$405='Input_Meci'!D62))&gt;0)),MIN(10,N62)))</x:f>
        <x:v>0</x:v>
      </x:c>
      <x:c r="BN62" s="9" t="n">
        <x:f>IF(OR(A62="",Q62=0),0,LARGE(_xlfn._xlws.FILTER('Istoric_Nativ'!$D$6:$D$405,('Istoric_Nativ'!$B$6:$B$405=B62)*('Istoric_Nativ'!$C$6:$C$405=C62)*('Istoric_Nativ'!$P$6:$P$405=1)*('Istoric_Nativ'!$D$6:$D$405&lt;INT(G62))*((('Istoric_Nativ'!$E$6:$E$405='Input_Meci'!E62)+('Istoric_Nativ'!$F$6:$F$405='Input_Meci'!E62))&gt;0)),MIN(10,Q62)))</x:f>
        <x:v>0</x:v>
      </x:c>
      <x:c r="BO62" s="9" t="n">
        <x:f>IF(OR(A62="",N62=0),0,LARGE(_xlfn._xlws.FILTER('Istoric_Nativ'!$D$6:$D$405,('Istoric_Nativ'!$B$6:$B$405=B62)*('Istoric_Nativ'!$C$6:$C$405=C62)*('Istoric_Nativ'!$P$6:$P$405=1)*('Istoric_Nativ'!$D$6:$D$405&lt;INT(G62))*((('Istoric_Nativ'!$E$6:$E$405='Input_Meci'!D62)+('Istoric_Nativ'!$F$6:$F$405='Input_Meci'!D62))&gt;0)),MIN(20,N62)))</x:f>
        <x:v>0</x:v>
      </x:c>
      <x:c r="BP62" s="9" t="n">
        <x:f>IF(OR(A62="",Q62=0),0,LARGE(_xlfn._xlws.FILTER('Istoric_Nativ'!$D$6:$D$405,('Istoric_Nativ'!$B$6:$B$405=B62)*('Istoric_Nativ'!$C$6:$C$405=C62)*('Istoric_Nativ'!$P$6:$P$405=1)*('Istoric_Nativ'!$D$6:$D$405&lt;INT(G62))*((('Istoric_Nativ'!$E$6:$E$405='Input_Meci'!E62)+('Istoric_Nativ'!$F$6:$F$405='Input_Meci'!E62))&gt;0)),MIN(20,Q62)))</x:f>
        <x:v>0</x:v>
      </x:c>
      <x:c r="BQ62" s="2" t="str">
        <x:f>IF(A62="","",IF(AND(COUNTIF(MatchesTable[Match_ID],A62)=1,COUNTIFS(MatchesTable[League],B62,MatchesTable[Season],C62,MatchesTable[Home],'Input_Meci'!D62,MatchesTable[Away],'Input_Meci'!E62,MatchesTable[Kickoff_UTC],F62)=1,B62&lt;&gt;"",C62&lt;&gt;"",'Input_Meci'!D62&lt;&gt;"",'Input_Meci'!E62&lt;&gt;"",'Input_Meci'!D62&lt;&gt;'Input_Meci'!E62,ISNUMBER(F62),ISNUMBER(G62),G62&lt;F62,OR(E62="LIVE",E62="REPLAY"),OR('Input_Meci'!L62="YES",'Input_Meci'!L62="NO",'Input_Meci'!L62="")),"VALID","INVALID"))</x:f>
      </x:c>
      <x:c r="BR62" s="2" t="n">
        <x:f>IF(I62&lt;&gt;"PASS",0,SUMPRODUCT(('Istoric_Nativ'!$B$6:$B$405='Input_Meci'!B62)*('Istoric_Nativ'!$C$6:$C$405='Input_Meci'!C62)*('Istoric_Nativ'!$P$6:$P$405=1)*('Istoric_Nativ'!$D$6:$D$405&lt;INT('Input_Meci'!G62))*((('Istoric_Nativ'!$E$6:$E$405='Input_Meci'!D62)+('Istoric_Nativ'!$F$6:$F$405='Input_Meci'!E62))&gt;0)))</x:f>
        <x:v>0</x:v>
      </x:c>
      <x:c r="BS62" s="2" t="n">
        <x:f>IF(I62&lt;&gt;"PASS",0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BM62)+((('Istoric_Nativ'!$E$6:$E$405='Input_Meci'!E62)+('Istoric_Nativ'!$F$6:$F$405='Input_Meci'!E62))&gt;0)*('Istoric_Nativ'!$D$6:$D$405&gt;=BN62))&gt;0)))</x:f>
        <x:v>0</x:v>
      </x:c>
      <x:c r="BT62" s="2" t="n">
        <x:f>IF(I62&lt;&gt;"PASS",0,SUMPRODUCT(('Istoric_Nativ'!$B$6:$B$405='Input_Meci'!B62)*('Istoric_Nativ'!$C$6:$C$405='Input_Meci'!C62)*('Istoric_Nativ'!$P$6:$P$405=1)*('Istoric_Nativ'!$D$6:$D$405&lt;INT('Input_Meci'!G62))*((((('Istoric_Nativ'!$E$6:$E$405='Input_Meci'!D62)+('Istoric_Nativ'!$F$6:$F$405='Input_Meci'!D62))&gt;0)*('Istoric_Nativ'!$D$6:$D$405&gt;=BO62)+((('Istoric_Nativ'!$E$6:$E$405='Input_Meci'!E62)+('Istoric_Nativ'!$F$6:$F$405='Input_Meci'!E62))&gt;0)*('Istoric_Nativ'!$D$6:$D$405&gt;=BP62))&gt;0)))</x:f>
        <x:v>0</x:v>
      </x:c>
    </x:row>
    <x:row r="63" ht="21" customHeight="1">
      <x:c r="A63" s="2" t="str">
        <x:f>IF('Input_Meci'!A63="","",'Input_Meci'!A63)</x:f>
      </x:c>
      <x:c r="B63" s="2" t="str">
        <x:f>IF(A63="","",'Input_Meci'!B63)</x:f>
      </x:c>
      <x:c r="C63" s="2" t="str">
        <x:f>IF(A63="","",'Input_Meci'!C63)</x:f>
      </x:c>
      <x:c r="D63" s="2" t="str">
        <x:f>IF(A63="","",'Input_Meci'!D63&amp;" – "&amp;'Input_Meci'!E63)</x:f>
      </x:c>
      <x:c r="E63" s="2" t="str">
        <x:f>IF(A63="","",'Input_Meci'!H63)</x:f>
      </x:c>
      <x:c r="F63" s="9" t="str">
        <x:f>IF(A63="","",'Input_Meci'!F63)</x:f>
      </x:c>
      <x:c r="G63" s="9" t="str">
        <x:f>IF(A63="","",'Input_Meci'!G63)</x:f>
      </x:c>
      <x:c r="H63" s="2" t="str">
        <x:f>IF(A63="","",IF(BQ63&lt;&gt;"VALID","NOT RELEASED",IF(AND(OR('Input_Meci'!I63="NOT AVAILABLE",'Input_Meci'!I63="SOURCE CONFLICT"),'Input_Meci'!J63&lt;&gt;""),"READY",IF(OR(NOT(OR('Input_Meci'!I63="AUTO",'Input_Meci'!I63="")),COUNTIF('Core_Nativ'!R690:R695,"CLOSED")&lt;&gt;6,BJ63&gt;0),"NOT RELEASED","READY"))))</x:f>
      </x:c>
      <x:c r="I63" s="2" t="str">
        <x:f>IF(A63="","",IF(H63&lt;&gt;"READY","NOT RELEASED",IF(AND(NOT(OR('Input_Meci'!I63="NOT AVAILABLE",'Input_Meci'!I63="SOURCE CONFLICT")),L63=12,AR63&gt;=2,AS63&gt;0,ISNUMBER(AT63),BI63="VALID",BK63="VALID"),"PASS","FAIL")))</x:f>
      </x:c>
      <x:c r="J63" s="2" t="str">
        <x:f>IF(A63="","",IF(BQ63&lt;&gt;"VALID","Verifica ID, echipe, mod si cutoff &lt; kickoff",IF(H63&lt;&gt;"READY",IF('Input_Meci'!I63="ACCESS BLOCKED","Acces blocat: reia sursele",IF(BJ63&gt;0,"Istoric invalid sau conflict: verifica randurile native","Surse neinchise / post-cutoff / dovezi incomplete")),IF(OR('Input_Meci'!I63="NOT AVAILABLE",'Input_Meci'!I63="SOURCE CONFLICT"),'Input_Meci'!I63,IF(BK63&lt;&gt;"VALID","Parametri invalizi",IF(L63&lt;&gt;12,"Core / sample / prior insuficient",IF(AR63&lt;2,"N insuficient pentru dispersie",IF(AS63&lt;=0,"Media istorica trebuie sa fie pozitiva",IF(BI63&lt;&gt;"VALID","Context invalid","READY")))))))))</x:f>
      </x:c>
      <x:c r="K63" s="2" t="str">
        <x:f>IF(A63="","",COUNT(T63:AE63))</x:f>
      </x:c>
      <x:c r="L63" s="2" t="str">
        <x:f>IF(A63="","",COUNT(AF63:AQ63))</x:f>
      </x:c>
      <x:c r="M63" s="2" t="str">
        <x:f>IF(A63="","",IF(OR('Core_Nativ'!M690&lt;'Core_Nativ'!P690,'Core_Nativ'!M691&lt;'Core_Nativ'!P691,'Core_Nativ'!M692&lt;'Core_Nativ'!P692,'Core_Nativ'!M693&lt;'Core_Nativ'!P693,'Core_Nativ'!M694&lt;'Core_Nativ'!P694,'Core_Nativ'!M695&lt;'Core_Nativ'!P695),"YES","NO"))</x:f>
      </x:c>
      <x:c r="N63" s="2" t="str">
        <x:f>IF(A63="","",'Core_Nativ'!M690)</x:f>
      </x:c>
      <x:c r="O63" s="2" t="str">
        <x:f>IF(A63="","",'Core_Nativ'!M691)</x:f>
      </x:c>
      <x:c r="P63" s="2" t="str">
        <x:f>IF(A63="","",'Core_Nativ'!M692)</x:f>
      </x:c>
      <x:c r="Q63" s="2" t="str">
        <x:f>IF(A63="","",'Core_Nativ'!M693)</x:f>
      </x:c>
      <x:c r="R63" s="2" t="str">
        <x:f>IF(A63="","",'Core_Nativ'!M694)</x:f>
      </x:c>
      <x:c r="S63" s="2" t="str">
        <x:f>IF(A63="","",'Core_Nativ'!M695)</x:f>
      </x:c>
      <x:c r="T63" s="11" t="str">
        <x:f>IF(OR(A63="",'Core_Nativ'!M690=0),"",'Core_Nativ'!N690)</x:f>
      </x:c>
      <x:c r="U63" s="11" t="str">
        <x:f>IF(OR(A63="",'Core_Nativ'!M690=0),"",'Core_Nativ'!O690)</x:f>
      </x:c>
      <x:c r="V63" s="11" t="str">
        <x:f>IF(OR(A63="",'Core_Nativ'!M691=0),"",'Core_Nativ'!N691)</x:f>
      </x:c>
      <x:c r="W63" s="11" t="str">
        <x:f>IF(OR(A63="",'Core_Nativ'!M691=0),"",'Core_Nativ'!O691)</x:f>
      </x:c>
      <x:c r="X63" s="11" t="str">
        <x:f>IF(OR(A63="",'Core_Nativ'!M692=0),"",'Core_Nativ'!N692)</x:f>
      </x:c>
      <x:c r="Y63" s="11" t="str">
        <x:f>IF(OR(A63="",'Core_Nativ'!M692=0),"",'Core_Nativ'!O692)</x:f>
      </x:c>
      <x:c r="Z63" s="11" t="str">
        <x:f>IF(OR(A63="",'Core_Nativ'!M693=0),"",'Core_Nativ'!N693)</x:f>
      </x:c>
      <x:c r="AA63" s="11" t="str">
        <x:f>IF(OR(A63="",'Core_Nativ'!M693=0),"",'Core_Nativ'!O693)</x:f>
      </x:c>
      <x:c r="AB63" s="11" t="str">
        <x:f>IF(OR(A63="",'Core_Nativ'!M694=0),"",'Core_Nativ'!N694)</x:f>
      </x:c>
      <x:c r="AC63" s="11" t="str">
        <x:f>IF(OR(A63="",'Core_Nativ'!M694=0),"",'Core_Nativ'!O694)</x:f>
      </x:c>
      <x:c r="AD63" s="11" t="str">
        <x:f>IF(OR(A63="",'Core_Nativ'!M695=0),"",'Core_Nativ'!N695)</x:f>
      </x:c>
      <x:c r="AE63" s="11" t="str">
        <x:f>IF(OR(A63="",'Core_Nativ'!M695=0),"",'Core_Nativ'!O695)</x:f>
      </x:c>
      <x:c r="AF63" s="11" t="str">
        <x:f>IF(A63="","",IF(AND('Core_Nativ'!R690="CLOSED",'Core_Nativ'!S690=0),IF('Core_Nativ'!M690&gt;='Core_Nativ'!P690,'Core_Nativ'!N690,IF(AND('Input_Meci'!L63="YES",'Input_Meci'!K63&lt;&gt;"",'Input_Meci'!K63&lt;C63,'Core_Nativ'!T696="DERIVED",'Core_Nativ'!M696&gt;='Core_Nativ'!P690),MIN(1,'Core_Nativ'!M690/'Core_Nativ'!P690)*IF('Core_Nativ'!M690=0,0,'Core_Nativ'!N690)+(1-MIN(1,'Core_Nativ'!M690/'Core_Nativ'!P690))*'Core_Nativ'!N696,"")),""))</x:f>
      </x:c>
      <x:c r="AG63" s="11" t="str">
        <x:f>IF(A63="","",IF(AND('Core_Nativ'!R690="CLOSED",'Core_Nativ'!S690=0),IF('Core_Nativ'!M690&gt;='Core_Nativ'!P690,'Core_Nativ'!O690,IF(AND('Input_Meci'!L63="YES",'Input_Meci'!K63&lt;&gt;"",'Input_Meci'!K63&lt;C63,'Core_Nativ'!T696="DERIVED",'Core_Nativ'!M696&gt;='Core_Nativ'!P690),MIN(1,'Core_Nativ'!M690/'Core_Nativ'!P690)*IF('Core_Nativ'!M690=0,0,'Core_Nativ'!O690)+(1-MIN(1,'Core_Nativ'!M690/'Core_Nativ'!P690))*'Core_Nativ'!O696,"")),""))</x:f>
      </x:c>
      <x:c r="AH63" s="11" t="str">
        <x:f>IF(A63="","",IF(AND('Core_Nativ'!R691="CLOSED",'Core_Nativ'!S691=0),IF('Core_Nativ'!M691&gt;='Core_Nativ'!P691,'Core_Nativ'!N691,IF(AND('Input_Meci'!L63="YES",'Input_Meci'!K63&lt;&gt;"",'Input_Meci'!K63&lt;C63,'Core_Nativ'!T697="DERIVED",'Core_Nativ'!M697&gt;='Core_Nativ'!P691),MIN(1,'Core_Nativ'!M691/'Core_Nativ'!P691)*IF('Core_Nativ'!M691=0,0,'Core_Nativ'!N691)+(1-MIN(1,'Core_Nativ'!M691/'Core_Nativ'!P691))*'Core_Nativ'!N697,"")),""))</x:f>
      </x:c>
      <x:c r="AI63" s="11" t="str">
        <x:f>IF(A63="","",IF(AND('Core_Nativ'!R691="CLOSED",'Core_Nativ'!S691=0),IF('Core_Nativ'!M691&gt;='Core_Nativ'!P691,'Core_Nativ'!O691,IF(AND('Input_Meci'!L63="YES",'Input_Meci'!K63&lt;&gt;"",'Input_Meci'!K63&lt;C63,'Core_Nativ'!T697="DERIVED",'Core_Nativ'!M697&gt;='Core_Nativ'!P691),MIN(1,'Core_Nativ'!M691/'Core_Nativ'!P691)*IF('Core_Nativ'!M691=0,0,'Core_Nativ'!O691)+(1-MIN(1,'Core_Nativ'!M691/'Core_Nativ'!P691))*'Core_Nativ'!O697,"")),""))</x:f>
      </x:c>
      <x:c r="AJ63" s="11" t="str">
        <x:f>IF(A63="","",IF(AND('Core_Nativ'!R692="CLOSED",'Core_Nativ'!S692=0),IF('Core_Nativ'!M692&gt;='Core_Nativ'!P692,'Core_Nativ'!N692,IF(AND('Input_Meci'!L63="YES",'Input_Meci'!K63&lt;&gt;"",'Input_Meci'!K63&lt;C63,'Core_Nativ'!T698="DERIVED",'Core_Nativ'!M698&gt;='Core_Nativ'!P692),MIN(1,'Core_Nativ'!M692/'Core_Nativ'!P692)*IF('Core_Nativ'!M692=0,0,'Core_Nativ'!N692)+(1-MIN(1,'Core_Nativ'!M692/'Core_Nativ'!P692))*'Core_Nativ'!N698,"")),""))</x:f>
      </x:c>
      <x:c r="AK63" s="11" t="str">
        <x:f>IF(A63="","",IF(AND('Core_Nativ'!R692="CLOSED",'Core_Nativ'!S692=0),IF('Core_Nativ'!M692&gt;='Core_Nativ'!P692,'Core_Nativ'!O692,IF(AND('Input_Meci'!L63="YES",'Input_Meci'!K63&lt;&gt;"",'Input_Meci'!K63&lt;C63,'Core_Nativ'!T698="DERIVED",'Core_Nativ'!M698&gt;='Core_Nativ'!P692),MIN(1,'Core_Nativ'!M692/'Core_Nativ'!P692)*IF('Core_Nativ'!M692=0,0,'Core_Nativ'!O692)+(1-MIN(1,'Core_Nativ'!M692/'Core_Nativ'!P692))*'Core_Nativ'!O698,"")),""))</x:f>
      </x:c>
      <x:c r="AL63" s="11" t="str">
        <x:f>IF(A63="","",IF(AND('Core_Nativ'!R693="CLOSED",'Core_Nativ'!S693=0),IF('Core_Nativ'!M693&gt;='Core_Nativ'!P693,'Core_Nativ'!N693,IF(AND('Input_Meci'!L63="YES",'Input_Meci'!K63&lt;&gt;"",'Input_Meci'!K63&lt;C63,'Core_Nativ'!T699="DERIVED",'Core_Nativ'!M699&gt;='Core_Nativ'!P693),MIN(1,'Core_Nativ'!M693/'Core_Nativ'!P693)*IF('Core_Nativ'!M693=0,0,'Core_Nativ'!N693)+(1-MIN(1,'Core_Nativ'!M693/'Core_Nativ'!P693))*'Core_Nativ'!N699,"")),""))</x:f>
      </x:c>
      <x:c r="AM63" s="11" t="str">
        <x:f>IF(A63="","",IF(AND('Core_Nativ'!R693="CLOSED",'Core_Nativ'!S693=0),IF('Core_Nativ'!M693&gt;='Core_Nativ'!P693,'Core_Nativ'!O693,IF(AND('Input_Meci'!L63="YES",'Input_Meci'!K63&lt;&gt;"",'Input_Meci'!K63&lt;C63,'Core_Nativ'!T699="DERIVED",'Core_Nativ'!M699&gt;='Core_Nativ'!P693),MIN(1,'Core_Nativ'!M693/'Core_Nativ'!P693)*IF('Core_Nativ'!M693=0,0,'Core_Nativ'!O693)+(1-MIN(1,'Core_Nativ'!M693/'Core_Nativ'!P693))*'Core_Nativ'!O699,"")),""))</x:f>
      </x:c>
      <x:c r="AN63" s="11" t="str">
        <x:f>IF(A63="","",IF(AND('Core_Nativ'!R694="CLOSED",'Core_Nativ'!S694=0),IF('Core_Nativ'!M694&gt;='Core_Nativ'!P694,'Core_Nativ'!N694,IF(AND('Input_Meci'!L63="YES",'Input_Meci'!K63&lt;&gt;"",'Input_Meci'!K63&lt;C63,'Core_Nativ'!T700="DERIVED",'Core_Nativ'!M700&gt;='Core_Nativ'!P694),MIN(1,'Core_Nativ'!M694/'Core_Nativ'!P694)*IF('Core_Nativ'!M694=0,0,'Core_Nativ'!N694)+(1-MIN(1,'Core_Nativ'!M694/'Core_Nativ'!P694))*'Core_Nativ'!N700,"")),""))</x:f>
      </x:c>
      <x:c r="AO63" s="11" t="str">
        <x:f>IF(A63="","",IF(AND('Core_Nativ'!R694="CLOSED",'Core_Nativ'!S694=0),IF('Core_Nativ'!M694&gt;='Core_Nativ'!P694,'Core_Nativ'!O694,IF(AND('Input_Meci'!L63="YES",'Input_Meci'!K63&lt;&gt;"",'Input_Meci'!K63&lt;C63,'Core_Nativ'!T700="DERIVED",'Core_Nativ'!M700&gt;='Core_Nativ'!P694),MIN(1,'Core_Nativ'!M694/'Core_Nativ'!P694)*IF('Core_Nativ'!M694=0,0,'Core_Nativ'!O694)+(1-MIN(1,'Core_Nativ'!M694/'Core_Nativ'!P694))*'Core_Nativ'!O700,"")),""))</x:f>
      </x:c>
      <x:c r="AP63" s="11" t="str">
        <x:f>IF(A63="","",IF(AND('Core_Nativ'!R695="CLOSED",'Core_Nativ'!S695=0),IF('Core_Nativ'!M695&gt;='Core_Nativ'!P695,'Core_Nativ'!N695,IF(AND('Input_Meci'!L63="YES",'Input_Meci'!K63&lt;&gt;"",'Input_Meci'!K63&lt;C63,'Core_Nativ'!T701="DERIVED",'Core_Nativ'!M701&gt;='Core_Nativ'!P695),MIN(1,'Core_Nativ'!M695/'Core_Nativ'!P695)*IF('Core_Nativ'!M695=0,0,'Core_Nativ'!N695)+(1-MIN(1,'Core_Nativ'!M695/'Core_Nativ'!P695))*'Core_Nativ'!N701,"")),""))</x:f>
      </x:c>
      <x:c r="AQ63" s="11" t="str">
        <x:f>IF(A63="","",IF(AND('Core_Nativ'!R695="CLOSED",'Core_Nativ'!S695=0),IF('Core_Nativ'!M695&gt;='Core_Nativ'!P695,'Core_Nativ'!O695,IF(AND('Input_Meci'!L63="YES",'Input_Meci'!K63&lt;&gt;"",'Input_Meci'!K63&lt;C63,'Core_Nativ'!T701="DERIVED",'Core_Nativ'!M701&gt;='Core_Nativ'!P695),MIN(1,'Core_Nativ'!M695/'Core_Nativ'!P695)*IF('Core_Nativ'!M695=0,0,'Core_Nativ'!O695)+(1-MIN(1,'Core_Nativ'!M695/'Core_Nativ'!P695))*'Core_Nativ'!O701,"")),""))</x:f>
      </x:c>
      <x:c r="AR63" s="11" t="str">
        <x:f>IF(A63="","",SUMPRODUCT(('Istoric_Nativ'!$B$6:$B$405=B63)*('Istoric_Nativ'!$C$6:$C$405=BL63)*('Istoric_Nativ'!$P$6:$P$405=1)*('Istoric_Nativ'!$D$6:$D$405&lt;INT(G63))*((('Istoric_Nativ'!$E$6:$E$405='Input_Meci'!D63)+('Istoric_Nativ'!$F$6:$F$405='Input_Meci'!D63)+('Istoric_Nativ'!$E$6:$E$405='Input_Meci'!E63)+('Istoric_Nativ'!$F$6:$F$405='Input_Meci'!E63))&gt;0)))</x:f>
      </x:c>
      <x:c r="AS63" s="11" t="str">
        <x:f>IF(AR63=0,"",SUMPRODUCT(('Istoric_Nativ'!$B$6:$B$405=B63)*('Istoric_Nativ'!$C$6:$C$405=BL63)*('Istoric_Nativ'!$P$6:$P$405=1)*('Istoric_Nativ'!$D$6:$D$405&lt;INT(G63))*((('Istoric_Nativ'!$E$6:$E$405='Input_Meci'!D63)+('Istoric_Nativ'!$F$6:$F$405='Input_Meci'!D63)+('Istoric_Nativ'!$E$6:$E$405='Input_Meci'!E63)+('Istoric_Nativ'!$F$6:$F$405='Input_Meci'!E63))&gt;0)*'Istoric_Nativ'!$Q$6:$Q$405)/AR63)</x:f>
      </x:c>
      <x:c r="AT63" s="11" t="str">
        <x:f>IF(AR63&lt;2,"",MAX(0,(SUMPRODUCT(('Istoric_Nativ'!$B$6:$B$405=B63)*('Istoric_Nativ'!$C$6:$C$405=BL63)*('Istoric_Nativ'!$P$6:$P$405=1)*('Istoric_Nativ'!$D$6:$D$405&lt;INT(G63))*((('Istoric_Nativ'!$E$6:$E$405='Input_Meci'!D63)+('Istoric_Nativ'!$F$6:$F$405='Input_Meci'!D63)+('Istoric_Nativ'!$E$6:$E$405='Input_Meci'!E63)+('Istoric_Nativ'!$F$6:$F$405='Input_Meci'!E63))&gt;0)*'Istoric_Nativ'!$R$6:$R$405)-AR63*AS63^2)/(AR63-1)))</x:f>
      </x:c>
      <x:c r="AU63" s="11" t="str">
        <x:f>IF(I63&lt;&gt;"PASS","",AT63/AS63)</x:f>
      </x:c>
      <x:c r="AV63" s="11" t="str">
        <x:f>IF(I63&lt;&gt;"PASS","",IF(AU63&lt;='Config_v6'!$B$10,"POISSON","NEGATIVE BINOMIAL"))</x:f>
      </x:c>
      <x:c r="AW63" s="11" t="str">
        <x:f>IF(I63&lt;&gt;"PASS","",IF(AV63="POISSON",9999,AS63/(AU63-1)))</x:f>
      </x:c>
      <x:c r="AX63" s="11" t="str">
        <x:f>IF(A63="","",MAX(1-'Config_v6'!$B$20,MIN(1+'Config_v6'!$B$20,1+0.02*(IF(AND(ISNUMBER('Input_Meci'!N63),'Input_Meci'!N63&gt;=0,'Input_Meci'!N63&lt;=200),'Input_Meci'!N63,12)/12-1)+0.02*(IF(AND(ISNUMBER('Input_Meci'!P63),'Input_Meci'!P63&gt;=0,'Input_Meci'!P63&lt;=200),'Input_Meci'!P63,3.5)/3.5-1)+0.02*(IF(AND(ISNUMBER('Input_Meci'!R63),'Input_Meci'!R63&gt;=0,'Input_Meci'!R63&lt;=200),'Input_Meci'!R63,18)/18-1)+0.02*((IF(AND(ISNUMBER('Input_Meci'!V63),'Input_Meci'!V63&gt;=0,'Input_Meci'!V63&lt;=10),'Input_Meci'!V63,5)-5)/5))))</x:f>
      </x:c>
      <x:c r="AY63" s="11" t="str">
        <x:f>IF(A63="","",MAX(1-'Config_v6'!$B$20,MIN(1+'Config_v6'!$B$20,1+0.02*(IF(AND(ISNUMBER('Input_Meci'!O63),'Input_Meci'!O63&gt;=0,'Input_Meci'!O63&lt;=200),'Input_Meci'!O63,12)/12-1)+0.02*(IF(AND(ISNUMBER('Input_Meci'!Q63),'Input_Meci'!Q63&gt;=0,'Input_Meci'!Q63&lt;=200),'Input_Meci'!Q63,3.5)/3.5-1)+0.02*(IF(AND(ISNUMBER('Input_Meci'!S63),'Input_Meci'!S63&gt;=0,'Input_Meci'!S63&lt;=200),'Input_Meci'!S63,18)/18-1)+0.02*((IF(AND(ISNUMBER('Input_Meci'!W63),'Input_Meci'!W63&gt;=0,'Input_Meci'!W63&lt;=10),'Input_Meci'!W63,5)-5)/5))))</x:f>
      </x:c>
      <x:c r="AZ63" s="11" t="str">
        <x:f>IF(A63="","",MAX(1-'Config_v6'!$B$21,MIN(1+'Config_v6'!$B$21,1+0.012*(IF('Input_Meci'!X63="",5,IF(ISNUMBER('Input_Meci'!X63),'Input_Meci'!X63,5))-5)+0.018*(IF('Input_Meci'!Z63="",5,IF(ISNUMBER('Input_Meci'!Z63),'Input_Meci'!Z63,5))-5)+0.012*(IF('Input_Meci'!AB63="",5,IF(ISNUMBER('Input_Meci'!AB63),'Input_Meci'!AB63,5))-5)+0.015*IF('Input_Meci'!AD63="",0,IF(ISNUMBER('Input_Meci'!AD63),'Input_Meci'!AD63,0))+0.02*IF('Input_Meci'!AF63="",0,IF(ISNUMBER('Input_Meci'!AF63),'Input_Meci'!AF63,0)))))</x:f>
      </x:c>
      <x:c r="BA63" s="11" t="str">
        <x:f>IF(A63="","",MAX(1-'Config_v6'!$B$21,MIN(1+'Config_v6'!$B$21,1+0.012*(IF('Input_Meci'!Y63="",5,IF(ISNUMBER('Input_Meci'!Y63),'Input_Meci'!Y63,5))-5)+0.018*(IF('Input_Meci'!AA63="",5,IF(ISNUMBER('Input_Meci'!AA63),'Input_Meci'!AA63,5))-5)+0.012*(IF('Input_Meci'!AC63="",5,IF(ISNUMBER('Input_Meci'!AC63),'Input_Meci'!AC63,5))-5)+0.015*IF('Input_Meci'!AE63="",0,IF(ISNUMBER('Input_Meci'!AE63),'Input_Meci'!AE63,0))+0.02*IF('Input_Meci'!AG63="",0,IF(ISNUMBER('Input_Meci'!AG63),'Input_Meci'!AG63,0)))))</x:f>
      </x:c>
      <x:c r="BB63" s="11" t="str">
        <x:f>IF(I63&lt;&gt;"PASS","",(AVERAGE(AF63,AM63)*'Config_v6'!$B$4+AVERAGE(AH63,AO63)*'Config_v6'!$B$5+AVERAGE(AJ63,AQ63)*'Config_v6'!$B$6)*AX63*AZ63)</x:f>
      </x:c>
      <x:c r="BC63" s="11" t="str">
        <x:f>IF(I63&lt;&gt;"PASS","",(AVERAGE(AL63,AG63)*'Config_v6'!$B$4+AVERAGE(AN63,AI63)*'Config_v6'!$B$5+AVERAGE(AP63,AK63)*'Config_v6'!$B$6)*AY63*BA63)</x:f>
      </x:c>
      <x:c r="BD63" s="11" t="str">
        <x:f>IF(I63&lt;&gt;"PASS","",BB63+BC63)</x:f>
      </x:c>
      <x:c r="BE63" s="11" t="str">
        <x:f>IF(A63="","",10-SUM(IF(AND(ISNUMBER('Input_Meci'!N63),'Input_Meci'!N63&gt;=0,'Input_Meci'!N63&lt;=200),1,0),IF(AND(ISNUMBER('Input_Meci'!O63),'Input_Meci'!O63&gt;=0,'Input_Meci'!O63&lt;=200),1,0),IF(AND(ISNUMBER('Input_Meci'!P63),'Input_Meci'!P63&gt;=0,'Input_Meci'!P63&lt;=200),1,0),IF(AND(ISNUMBER('Input_Meci'!Q63),'Input_Meci'!Q63&gt;=0,'Input_Meci'!Q63&lt;=200),1,0),IF(AND(ISNUMBER('Input_Meci'!R63),'Input_Meci'!R63&gt;=0,'Input_Meci'!R63&lt;=200),1,0),IF(AND(ISNUMBER('Input_Meci'!S63),'Input_Meci'!S63&gt;=0,'Input_Meci'!S63&lt;=200),1,0),IF(AND(ISNUMBER('Input_Meci'!T63),'Input_Meci'!T63&gt;=0,'Input_Meci'!T63&lt;=100),1,0),IF(AND(ISNUMBER('Input_Meci'!U63),'Input_Meci'!U63&gt;=0,'Input_Meci'!U63&lt;=100),1,0),IF(AND(ISNUMBER('Input_Meci'!V63),'Input_Meci'!V63&gt;=0,'Input_Meci'!V63&lt;=10),1,0),IF(AND(ISNUMBER('Input_Meci'!W63),'Input_Meci'!W63&gt;=0,'Input_Meci'!W63&lt;=10),1,0)))</x:f>
      </x:c>
      <x:c r="BF63" s="11" t="str">
        <x:f>IF(I63&lt;&gt;"PASS","",MAX(0,MIN(IF(OR(M63="YES",BL63&lt;&gt;C63),'Config_v6'!$B$34,100),ROUND(40+25*MIN(1,MIN(N63,Q63)/'Config_v6'!$B$7)*MIN(1,MIN(O63,R63)/'Config_v6'!$B$8)*MIN(1,MIN(P63,S63)/'Config_v6'!$B$9)+MAX(0,15-2*ABS(AF63-AJ63)-2*ABS(AL63-AP63))+IF(AU63&lt;='Config_v6'!$B$10,15,IF(AU63&lt;='Config_v6'!$B$11,13,IF(AU63&lt;='Config_v6'!$B$12,10,IF(AU63&lt;='Config_v6'!$B$13,6,0))))+5-BE63/10*'Config_v6'!$B$38,0))))</x:f>
      </x:c>
      <x:c r="BG63" s="11" t="str">
        <x:f>IF(I63&lt;&gt;"PASS","",MIN(1,'Config_v6'!$B$14*(0.7+0.3*MIN(1,AR63/'Config_v6'!$B$15))*IF(AU63&lt;='Config_v6'!$B$10,1,IF(AU63&lt;='Config_v6'!$B$11,0.95,IF(AU63&lt;='Config_v6'!$B$12,0.88,0.78)))*(0.75+0.25*BF63/100)))</x:f>
      </x:c>
      <x:c r="BH63" s="11" t="str">
        <x:f>IF(I63&lt;&gt;"PASS","",MIN(1,(ABS(AZ63-1)+ABS(BA63-1))*3))</x:f>
      </x:c>
      <x:c r="BI63" s="2" t="str">
        <x:f>IF(A63="","",IF(AND(OR('Input_Meci'!X63="",AND(ISNUMBER('Input_Meci'!X63),'Input_Meci'!X63&gt;=0,'Input_Meci'!X63&lt;=10)),OR('Input_Meci'!Y63="",AND(ISNUMBER('Input_Meci'!Y63),'Input_Meci'!Y63&gt;=0,'Input_Meci'!Y63&lt;=10)),OR('Input_Meci'!Z63="",AND(ISNUMBER('Input_Meci'!Z63),'Input_Meci'!Z63&gt;=0,'Input_Meci'!Z63&lt;=10)),OR('Input_Meci'!AA63="",AND(ISNUMBER('Input_Meci'!AA63),'Input_Meci'!AA63&gt;=0,'Input_Meci'!AA63&lt;=10)),OR('Input_Meci'!AB63="",AND(ISNUMBER('Input_Meci'!AB63),'Input_Meci'!AB63&gt;=0,'Input_Meci'!AB63&lt;=10)),OR('Input_Meci'!AC63="",AND(ISNUMBER('Input_Meci'!AC63),'Input_Meci'!AC63&gt;=0,'Input_Meci'!AC63&lt;=10)),OR('Input_Meci'!AD63="",AND(ISNUMBER('Input_Meci'!AD63),'Input_Meci'!AD63&gt;=-2,'Input_Meci'!AD63&lt;=2)),OR('Input_Meci'!AE63="",AND(ISNUMBER('Input_Meci'!AE63),'Input_Meci'!AE63&gt;=-2,'Input_Meci'!AE63&lt;=2)),OR('Input_Meci'!AF63="",AND(ISNUMBER('Input_Meci'!AF63),'Input_Meci'!AF63&gt;=-2,'Input_Meci'!AF63&lt;=2)),OR('Input_Meci'!AG63="",AND(ISNUMBER('Input_Meci'!AG63),'Input_Meci'!AG63&gt;=-2,'Input_Meci'!AG63&lt;=2))),"VALID","INVALID"))</x:f>
      </x:c>
      <x:c r="BJ63" s="2" t="n">
        <x:f>IF(A63="",0,SUM('Core_Nativ'!S690:S695))</x:f>
        <x:v>0</x:v>
      </x:c>
      <x:c r="BK63" s="2" t="str">
        <x:f>'Config_v6'!$B$40</x:f>
        <x:v>VALID</x:v>
      </x:c>
      <x:c r="BL63" s="2" t="str">
        <x:f>IF(A63="","",IF(SUMPRODUCT(('Istoric_Nativ'!$B$6:$B$405=B63)*('Istoric_Nativ'!$C$6:$C$405=C63)*('Istoric_Nativ'!$P$6:$P$405=1)*('Istoric_Nativ'!$D$6:$D$405&lt;INT(G63))*((('Istoric_Nativ'!$E$6:$E$405='Input_Meci'!D63)+('Istoric_Nativ'!$F$6:$F$405='Input_Meci'!D63)+('Istoric_Nativ'!$E$6:$E$405='Input_Meci'!E63)+('Istoric_Nativ'!$F$6:$F$405='Input_Meci'!E63))&gt;0))&gt;='Config_v6'!$B$41,C63,IF(AND('Input_Meci'!L63="YES",'Input_Meci'!K63&lt;&gt;"",'Input_Meci'!K63&lt;C63,COUNTIF('Core_Nativ'!R696:R701,"CLOSED")=6,SUM('Core_Nativ'!S696:S701)=0),'Input_Meci'!K63,C63)))</x:f>
      </x:c>
      <x:c r="BM63" s="9" t="n">
        <x:f>IF(OR(A63="",N63=0),0,LARGE(_xlfn._xlws.FILTER('Istoric_Nativ'!$D$6:$D$405,('Istoric_Nativ'!$B$6:$B$405=B63)*('Istoric_Nativ'!$C$6:$C$405=C63)*('Istoric_Nativ'!$P$6:$P$405=1)*('Istoric_Nativ'!$D$6:$D$405&lt;INT(G63))*((('Istoric_Nativ'!$E$6:$E$405='Input_Meci'!D63)+('Istoric_Nativ'!$F$6:$F$405='Input_Meci'!D63))&gt;0)),MIN(10,N63)))</x:f>
        <x:v>0</x:v>
      </x:c>
      <x:c r="BN63" s="9" t="n">
        <x:f>IF(OR(A63="",Q63=0),0,LARGE(_xlfn._xlws.FILTER('Istoric_Nativ'!$D$6:$D$405,('Istoric_Nativ'!$B$6:$B$405=B63)*('Istoric_Nativ'!$C$6:$C$405=C63)*('Istoric_Nativ'!$P$6:$P$405=1)*('Istoric_Nativ'!$D$6:$D$405&lt;INT(G63))*((('Istoric_Nativ'!$E$6:$E$405='Input_Meci'!E63)+('Istoric_Nativ'!$F$6:$F$405='Input_Meci'!E63))&gt;0)),MIN(10,Q63)))</x:f>
        <x:v>0</x:v>
      </x:c>
      <x:c r="BO63" s="9" t="n">
        <x:f>IF(OR(A63="",N63=0),0,LARGE(_xlfn._xlws.FILTER('Istoric_Nativ'!$D$6:$D$405,('Istoric_Nativ'!$B$6:$B$405=B63)*('Istoric_Nativ'!$C$6:$C$405=C63)*('Istoric_Nativ'!$P$6:$P$405=1)*('Istoric_Nativ'!$D$6:$D$405&lt;INT(G63))*((('Istoric_Nativ'!$E$6:$E$405='Input_Meci'!D63)+('Istoric_Nativ'!$F$6:$F$405='Input_Meci'!D63))&gt;0)),MIN(20,N63)))</x:f>
        <x:v>0</x:v>
      </x:c>
      <x:c r="BP63" s="9" t="n">
        <x:f>IF(OR(A63="",Q63=0),0,LARGE(_xlfn._xlws.FILTER('Istoric_Nativ'!$D$6:$D$405,('Istoric_Nativ'!$B$6:$B$405=B63)*('Istoric_Nativ'!$C$6:$C$405=C63)*('Istoric_Nativ'!$P$6:$P$405=1)*('Istoric_Nativ'!$D$6:$D$405&lt;INT(G63))*((('Istoric_Nativ'!$E$6:$E$405='Input_Meci'!E63)+('Istoric_Nativ'!$F$6:$F$405='Input_Meci'!E63))&gt;0)),MIN(20,Q63)))</x:f>
        <x:v>0</x:v>
      </x:c>
      <x:c r="BQ63" s="2" t="str">
        <x:f>IF(A63="","",IF(AND(COUNTIF(MatchesTable[Match_ID],A63)=1,COUNTIFS(MatchesTable[League],B63,MatchesTable[Season],C63,MatchesTable[Home],'Input_Meci'!D63,MatchesTable[Away],'Input_Meci'!E63,MatchesTable[Kickoff_UTC],F63)=1,B63&lt;&gt;"",C63&lt;&gt;"",'Input_Meci'!D63&lt;&gt;"",'Input_Meci'!E63&lt;&gt;"",'Input_Meci'!D63&lt;&gt;'Input_Meci'!E63,ISNUMBER(F63),ISNUMBER(G63),G63&lt;F63,OR(E63="LIVE",E63="REPLAY"),OR('Input_Meci'!L63="YES",'Input_Meci'!L63="NO",'Input_Meci'!L63="")),"VALID","INVALID"))</x:f>
      </x:c>
      <x:c r="BR63" s="2" t="n">
        <x:f>IF(I63&lt;&gt;"PASS",0,SUMPRODUCT(('Istoric_Nativ'!$B$6:$B$405='Input_Meci'!B63)*('Istoric_Nativ'!$C$6:$C$405='Input_Meci'!C63)*('Istoric_Nativ'!$P$6:$P$405=1)*('Istoric_Nativ'!$D$6:$D$405&lt;INT('Input_Meci'!G63))*((('Istoric_Nativ'!$E$6:$E$405='Input_Meci'!D63)+('Istoric_Nativ'!$F$6:$F$405='Input_Meci'!E63))&gt;0)))</x:f>
        <x:v>0</x:v>
      </x:c>
      <x:c r="BS63" s="2" t="n">
        <x:f>IF(I63&lt;&gt;"PASS",0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BM63)+((('Istoric_Nativ'!$E$6:$E$405='Input_Meci'!E63)+('Istoric_Nativ'!$F$6:$F$405='Input_Meci'!E63))&gt;0)*('Istoric_Nativ'!$D$6:$D$405&gt;=BN63))&gt;0)))</x:f>
        <x:v>0</x:v>
      </x:c>
      <x:c r="BT63" s="2" t="n">
        <x:f>IF(I63&lt;&gt;"PASS",0,SUMPRODUCT(('Istoric_Nativ'!$B$6:$B$405='Input_Meci'!B63)*('Istoric_Nativ'!$C$6:$C$405='Input_Meci'!C63)*('Istoric_Nativ'!$P$6:$P$405=1)*('Istoric_Nativ'!$D$6:$D$405&lt;INT('Input_Meci'!G63))*((((('Istoric_Nativ'!$E$6:$E$405='Input_Meci'!D63)+('Istoric_Nativ'!$F$6:$F$405='Input_Meci'!D63))&gt;0)*('Istoric_Nativ'!$D$6:$D$405&gt;=BO63)+((('Istoric_Nativ'!$E$6:$E$405='Input_Meci'!E63)+('Istoric_Nativ'!$F$6:$F$405='Input_Meci'!E63))&gt;0)*('Istoric_Nativ'!$D$6:$D$405&gt;=BP63))&gt;0)))</x:f>
        <x:v>0</x:v>
      </x:c>
    </x:row>
    <x:row r="64" ht="21" customHeight="1">
      <x:c r="A64" s="2" t="str">
        <x:f>IF('Input_Meci'!A64="","",'Input_Meci'!A64)</x:f>
      </x:c>
      <x:c r="B64" s="2" t="str">
        <x:f>IF(A64="","",'Input_Meci'!B64)</x:f>
      </x:c>
      <x:c r="C64" s="2" t="str">
        <x:f>IF(A64="","",'Input_Meci'!C64)</x:f>
      </x:c>
      <x:c r="D64" s="2" t="str">
        <x:f>IF(A64="","",'Input_Meci'!D64&amp;" – "&amp;'Input_Meci'!E64)</x:f>
      </x:c>
      <x:c r="E64" s="2" t="str">
        <x:f>IF(A64="","",'Input_Meci'!H64)</x:f>
      </x:c>
      <x:c r="F64" s="9" t="str">
        <x:f>IF(A64="","",'Input_Meci'!F64)</x:f>
      </x:c>
      <x:c r="G64" s="9" t="str">
        <x:f>IF(A64="","",'Input_Meci'!G64)</x:f>
      </x:c>
      <x:c r="H64" s="2" t="str">
        <x:f>IF(A64="","",IF(BQ64&lt;&gt;"VALID","NOT RELEASED",IF(AND(OR('Input_Meci'!I64="NOT AVAILABLE",'Input_Meci'!I64="SOURCE CONFLICT"),'Input_Meci'!J64&lt;&gt;""),"READY",IF(OR(NOT(OR('Input_Meci'!I64="AUTO",'Input_Meci'!I64="")),COUNTIF('Core_Nativ'!R702:R707,"CLOSED")&lt;&gt;6,BJ64&gt;0),"NOT RELEASED","READY"))))</x:f>
      </x:c>
      <x:c r="I64" s="2" t="str">
        <x:f>IF(A64="","",IF(H64&lt;&gt;"READY","NOT RELEASED",IF(AND(NOT(OR('Input_Meci'!I64="NOT AVAILABLE",'Input_Meci'!I64="SOURCE CONFLICT")),L64=12,AR64&gt;=2,AS64&gt;0,ISNUMBER(AT64),BI64="VALID",BK64="VALID"),"PASS","FAIL")))</x:f>
      </x:c>
      <x:c r="J64" s="2" t="str">
        <x:f>IF(A64="","",IF(BQ64&lt;&gt;"VALID","Verifica ID, echipe, mod si cutoff &lt; kickoff",IF(H64&lt;&gt;"READY",IF('Input_Meci'!I64="ACCESS BLOCKED","Acces blocat: reia sursele",IF(BJ64&gt;0,"Istoric invalid sau conflict: verifica randurile native","Surse neinchise / post-cutoff / dovezi incomplete")),IF(OR('Input_Meci'!I64="NOT AVAILABLE",'Input_Meci'!I64="SOURCE CONFLICT"),'Input_Meci'!I64,IF(BK64&lt;&gt;"VALID","Parametri invalizi",IF(L64&lt;&gt;12,"Core / sample / prior insuficient",IF(AR64&lt;2,"N insuficient pentru dispersie",IF(AS64&lt;=0,"Media istorica trebuie sa fie pozitiva",IF(BI64&lt;&gt;"VALID","Context invalid","READY")))))))))</x:f>
      </x:c>
      <x:c r="K64" s="2" t="str">
        <x:f>IF(A64="","",COUNT(T64:AE64))</x:f>
      </x:c>
      <x:c r="L64" s="2" t="str">
        <x:f>IF(A64="","",COUNT(AF64:AQ64))</x:f>
      </x:c>
      <x:c r="M64" s="2" t="str">
        <x:f>IF(A64="","",IF(OR('Core_Nativ'!M702&lt;'Core_Nativ'!P702,'Core_Nativ'!M703&lt;'Core_Nativ'!P703,'Core_Nativ'!M704&lt;'Core_Nativ'!P704,'Core_Nativ'!M705&lt;'Core_Nativ'!P705,'Core_Nativ'!M706&lt;'Core_Nativ'!P706,'Core_Nativ'!M707&lt;'Core_Nativ'!P707),"YES","NO"))</x:f>
      </x:c>
      <x:c r="N64" s="2" t="str">
        <x:f>IF(A64="","",'Core_Nativ'!M702)</x:f>
      </x:c>
      <x:c r="O64" s="2" t="str">
        <x:f>IF(A64="","",'Core_Nativ'!M703)</x:f>
      </x:c>
      <x:c r="P64" s="2" t="str">
        <x:f>IF(A64="","",'Core_Nativ'!M704)</x:f>
      </x:c>
      <x:c r="Q64" s="2" t="str">
        <x:f>IF(A64="","",'Core_Nativ'!M705)</x:f>
      </x:c>
      <x:c r="R64" s="2" t="str">
        <x:f>IF(A64="","",'Core_Nativ'!M706)</x:f>
      </x:c>
      <x:c r="S64" s="2" t="str">
        <x:f>IF(A64="","",'Core_Nativ'!M707)</x:f>
      </x:c>
      <x:c r="T64" s="11" t="str">
        <x:f>IF(OR(A64="",'Core_Nativ'!M702=0),"",'Core_Nativ'!N702)</x:f>
      </x:c>
      <x:c r="U64" s="11" t="str">
        <x:f>IF(OR(A64="",'Core_Nativ'!M702=0),"",'Core_Nativ'!O702)</x:f>
      </x:c>
      <x:c r="V64" s="11" t="str">
        <x:f>IF(OR(A64="",'Core_Nativ'!M703=0),"",'Core_Nativ'!N703)</x:f>
      </x:c>
      <x:c r="W64" s="11" t="str">
        <x:f>IF(OR(A64="",'Core_Nativ'!M703=0),"",'Core_Nativ'!O703)</x:f>
      </x:c>
      <x:c r="X64" s="11" t="str">
        <x:f>IF(OR(A64="",'Core_Nativ'!M704=0),"",'Core_Nativ'!N704)</x:f>
      </x:c>
      <x:c r="Y64" s="11" t="str">
        <x:f>IF(OR(A64="",'Core_Nativ'!M704=0),"",'Core_Nativ'!O704)</x:f>
      </x:c>
      <x:c r="Z64" s="11" t="str">
        <x:f>IF(OR(A64="",'Core_Nativ'!M705=0),"",'Core_Nativ'!N705)</x:f>
      </x:c>
      <x:c r="AA64" s="11" t="str">
        <x:f>IF(OR(A64="",'Core_Nativ'!M705=0),"",'Core_Nativ'!O705)</x:f>
      </x:c>
      <x:c r="AB64" s="11" t="str">
        <x:f>IF(OR(A64="",'Core_Nativ'!M706=0),"",'Core_Nativ'!N706)</x:f>
      </x:c>
      <x:c r="AC64" s="11" t="str">
        <x:f>IF(OR(A64="",'Core_Nativ'!M706=0),"",'Core_Nativ'!O706)</x:f>
      </x:c>
      <x:c r="AD64" s="11" t="str">
        <x:f>IF(OR(A64="",'Core_Nativ'!M707=0),"",'Core_Nativ'!N707)</x:f>
      </x:c>
      <x:c r="AE64" s="11" t="str">
        <x:f>IF(OR(A64="",'Core_Nativ'!M707=0),"",'Core_Nativ'!O707)</x:f>
      </x:c>
      <x:c r="AF64" s="11" t="str">
        <x:f>IF(A64="","",IF(AND('Core_Nativ'!R702="CLOSED",'Core_Nativ'!S702=0),IF('Core_Nativ'!M702&gt;='Core_Nativ'!P702,'Core_Nativ'!N702,IF(AND('Input_Meci'!L64="YES",'Input_Meci'!K64&lt;&gt;"",'Input_Meci'!K64&lt;C64,'Core_Nativ'!T708="DERIVED",'Core_Nativ'!M708&gt;='Core_Nativ'!P702),MIN(1,'Core_Nativ'!M702/'Core_Nativ'!P702)*IF('Core_Nativ'!M702=0,0,'Core_Nativ'!N702)+(1-MIN(1,'Core_Nativ'!M702/'Core_Nativ'!P702))*'Core_Nativ'!N708,"")),""))</x:f>
      </x:c>
      <x:c r="AG64" s="11" t="str">
        <x:f>IF(A64="","",IF(AND('Core_Nativ'!R702="CLOSED",'Core_Nativ'!S702=0),IF('Core_Nativ'!M702&gt;='Core_Nativ'!P702,'Core_Nativ'!O702,IF(AND('Input_Meci'!L64="YES",'Input_Meci'!K64&lt;&gt;"",'Input_Meci'!K64&lt;C64,'Core_Nativ'!T708="DERIVED",'Core_Nativ'!M708&gt;='Core_Nativ'!P702),MIN(1,'Core_Nativ'!M702/'Core_Nativ'!P702)*IF('Core_Nativ'!M702=0,0,'Core_Nativ'!O702)+(1-MIN(1,'Core_Nativ'!M702/'Core_Nativ'!P702))*'Core_Nativ'!O708,"")),""))</x:f>
      </x:c>
      <x:c r="AH64" s="11" t="str">
        <x:f>IF(A64="","",IF(AND('Core_Nativ'!R703="CLOSED",'Core_Nativ'!S703=0),IF('Core_Nativ'!M703&gt;='Core_Nativ'!P703,'Core_Nativ'!N703,IF(AND('Input_Meci'!L64="YES",'Input_Meci'!K64&lt;&gt;"",'Input_Meci'!K64&lt;C64,'Core_Nativ'!T709="DERIVED",'Core_Nativ'!M709&gt;='Core_Nativ'!P703),MIN(1,'Core_Nativ'!M703/'Core_Nativ'!P703)*IF('Core_Nativ'!M703=0,0,'Core_Nativ'!N703)+(1-MIN(1,'Core_Nativ'!M703/'Core_Nativ'!P703))*'Core_Nativ'!N709,"")),""))</x:f>
      </x:c>
      <x:c r="AI64" s="11" t="str">
        <x:f>IF(A64="","",IF(AND('Core_Nativ'!R703="CLOSED",'Core_Nativ'!S703=0),IF('Core_Nativ'!M703&gt;='Core_Nativ'!P703,'Core_Nativ'!O703,IF(AND('Input_Meci'!L64="YES",'Input_Meci'!K64&lt;&gt;"",'Input_Meci'!K64&lt;C64,'Core_Nativ'!T709="DERIVED",'Core_Nativ'!M709&gt;='Core_Nativ'!P703),MIN(1,'Core_Nativ'!M703/'Core_Nativ'!P703)*IF('Core_Nativ'!M703=0,0,'Core_Nativ'!O703)+(1-MIN(1,'Core_Nativ'!M703/'Core_Nativ'!P703))*'Core_Nativ'!O709,"")),""))</x:f>
      </x:c>
      <x:c r="AJ64" s="11" t="str">
        <x:f>IF(A64="","",IF(AND('Core_Nativ'!R704="CLOSED",'Core_Nativ'!S704=0),IF('Core_Nativ'!M704&gt;='Core_Nativ'!P704,'Core_Nativ'!N704,IF(AND('Input_Meci'!L64="YES",'Input_Meci'!K64&lt;&gt;"",'Input_Meci'!K64&lt;C64,'Core_Nativ'!T710="DERIVED",'Core_Nativ'!M710&gt;='Core_Nativ'!P704),MIN(1,'Core_Nativ'!M704/'Core_Nativ'!P704)*IF('Core_Nativ'!M704=0,0,'Core_Nativ'!N704)+(1-MIN(1,'Core_Nativ'!M704/'Core_Nativ'!P704))*'Core_Nativ'!N710,"")),""))</x:f>
      </x:c>
      <x:c r="AK64" s="11" t="str">
        <x:f>IF(A64="","",IF(AND('Core_Nativ'!R704="CLOSED",'Core_Nativ'!S704=0),IF('Core_Nativ'!M704&gt;='Core_Nativ'!P704,'Core_Nativ'!O704,IF(AND('Input_Meci'!L64="YES",'Input_Meci'!K64&lt;&gt;"",'Input_Meci'!K64&lt;C64,'Core_Nativ'!T710="DERIVED",'Core_Nativ'!M710&gt;='Core_Nativ'!P704),MIN(1,'Core_Nativ'!M704/'Core_Nativ'!P704)*IF('Core_Nativ'!M704=0,0,'Core_Nativ'!O704)+(1-MIN(1,'Core_Nativ'!M704/'Core_Nativ'!P704))*'Core_Nativ'!O710,"")),""))</x:f>
      </x:c>
      <x:c r="AL64" s="11" t="str">
        <x:f>IF(A64="","",IF(AND('Core_Nativ'!R705="CLOSED",'Core_Nativ'!S705=0),IF('Core_Nativ'!M705&gt;='Core_Nativ'!P705,'Core_Nativ'!N705,IF(AND('Input_Meci'!L64="YES",'Input_Meci'!K64&lt;&gt;"",'Input_Meci'!K64&lt;C64,'Core_Nativ'!T711="DERIVED",'Core_Nativ'!M711&gt;='Core_Nativ'!P705),MIN(1,'Core_Nativ'!M705/'Core_Nativ'!P705)*IF('Core_Nativ'!M705=0,0,'Core_Nativ'!N705)+(1-MIN(1,'Core_Nativ'!M705/'Core_Nativ'!P705))*'Core_Nativ'!N711,"")),""))</x:f>
      </x:c>
      <x:c r="AM64" s="11" t="str">
        <x:f>IF(A64="","",IF(AND('Core_Nativ'!R705="CLOSED",'Core_Nativ'!S705=0),IF('Core_Nativ'!M705&gt;='Core_Nativ'!P705,'Core_Nativ'!O705,IF(AND('Input_Meci'!L64="YES",'Input_Meci'!K64&lt;&gt;"",'Input_Meci'!K64&lt;C64,'Core_Nativ'!T711="DERIVED",'Core_Nativ'!M711&gt;='Core_Nativ'!P705),MIN(1,'Core_Nativ'!M705/'Core_Nativ'!P705)*IF('Core_Nativ'!M705=0,0,'Core_Nativ'!O705)+(1-MIN(1,'Core_Nativ'!M705/'Core_Nativ'!P705))*'Core_Nativ'!O711,"")),""))</x:f>
      </x:c>
      <x:c r="AN64" s="11" t="str">
        <x:f>IF(A64="","",IF(AND('Core_Nativ'!R706="CLOSED",'Core_Nativ'!S706=0),IF('Core_Nativ'!M706&gt;='Core_Nativ'!P706,'Core_Nativ'!N706,IF(AND('Input_Meci'!L64="YES",'Input_Meci'!K64&lt;&gt;"",'Input_Meci'!K64&lt;C64,'Core_Nativ'!T712="DERIVED",'Core_Nativ'!M712&gt;='Core_Nativ'!P706),MIN(1,'Core_Nativ'!M706/'Core_Nativ'!P706)*IF('Core_Nativ'!M706=0,0,'Core_Nativ'!N706)+(1-MIN(1,'Core_Nativ'!M706/'Core_Nativ'!P706))*'Core_Nativ'!N712,"")),""))</x:f>
      </x:c>
      <x:c r="AO64" s="11" t="str">
        <x:f>IF(A64="","",IF(AND('Core_Nativ'!R706="CLOSED",'Core_Nativ'!S706=0),IF('Core_Nativ'!M706&gt;='Core_Nativ'!P706,'Core_Nativ'!O706,IF(AND('Input_Meci'!L64="YES",'Input_Meci'!K64&lt;&gt;"",'Input_Meci'!K64&lt;C64,'Core_Nativ'!T712="DERIVED",'Core_Nativ'!M712&gt;='Core_Nativ'!P706),MIN(1,'Core_Nativ'!M706/'Core_Nativ'!P706)*IF('Core_Nativ'!M706=0,0,'Core_Nativ'!O706)+(1-MIN(1,'Core_Nativ'!M706/'Core_Nativ'!P706))*'Core_Nativ'!O712,"")),""))</x:f>
      </x:c>
      <x:c r="AP64" s="11" t="str">
        <x:f>IF(A64="","",IF(AND('Core_Nativ'!R707="CLOSED",'Core_Nativ'!S707=0),IF('Core_Nativ'!M707&gt;='Core_Nativ'!P707,'Core_Nativ'!N707,IF(AND('Input_Meci'!L64="YES",'Input_Meci'!K64&lt;&gt;"",'Input_Meci'!K64&lt;C64,'Core_Nativ'!T713="DERIVED",'Core_Nativ'!M713&gt;='Core_Nativ'!P707),MIN(1,'Core_Nativ'!M707/'Core_Nativ'!P707)*IF('Core_Nativ'!M707=0,0,'Core_Nativ'!N707)+(1-MIN(1,'Core_Nativ'!M707/'Core_Nativ'!P707))*'Core_Nativ'!N713,"")),""))</x:f>
      </x:c>
      <x:c r="AQ64" s="11" t="str">
        <x:f>IF(A64="","",IF(AND('Core_Nativ'!R707="CLOSED",'Core_Nativ'!S707=0),IF('Core_Nativ'!M707&gt;='Core_Nativ'!P707,'Core_Nativ'!O707,IF(AND('Input_Meci'!L64="YES",'Input_Meci'!K64&lt;&gt;"",'Input_Meci'!K64&lt;C64,'Core_Nativ'!T713="DERIVED",'Core_Nativ'!M713&gt;='Core_Nativ'!P707),MIN(1,'Core_Nativ'!M707/'Core_Nativ'!P707)*IF('Core_Nativ'!M707=0,0,'Core_Nativ'!O707)+(1-MIN(1,'Core_Nativ'!M707/'Core_Nativ'!P707))*'Core_Nativ'!O713,"")),""))</x:f>
      </x:c>
      <x:c r="AR64" s="11" t="str">
        <x:f>IF(A64="","",SUMPRODUCT(('Istoric_Nativ'!$B$6:$B$405=B64)*('Istoric_Nativ'!$C$6:$C$405=BL64)*('Istoric_Nativ'!$P$6:$P$405=1)*('Istoric_Nativ'!$D$6:$D$405&lt;INT(G64))*((('Istoric_Nativ'!$E$6:$E$405='Input_Meci'!D64)+('Istoric_Nativ'!$F$6:$F$405='Input_Meci'!D64)+('Istoric_Nativ'!$E$6:$E$405='Input_Meci'!E64)+('Istoric_Nativ'!$F$6:$F$405='Input_Meci'!E64))&gt;0)))</x:f>
      </x:c>
      <x:c r="AS64" s="11" t="str">
        <x:f>IF(AR64=0,"",SUMPRODUCT(('Istoric_Nativ'!$B$6:$B$405=B64)*('Istoric_Nativ'!$C$6:$C$405=BL64)*('Istoric_Nativ'!$P$6:$P$405=1)*('Istoric_Nativ'!$D$6:$D$405&lt;INT(G64))*((('Istoric_Nativ'!$E$6:$E$405='Input_Meci'!D64)+('Istoric_Nativ'!$F$6:$F$405='Input_Meci'!D64)+('Istoric_Nativ'!$E$6:$E$405='Input_Meci'!E64)+('Istoric_Nativ'!$F$6:$F$405='Input_Meci'!E64))&gt;0)*'Istoric_Nativ'!$Q$6:$Q$405)/AR64)</x:f>
      </x:c>
      <x:c r="AT64" s="11" t="str">
        <x:f>IF(AR64&lt;2,"",MAX(0,(SUMPRODUCT(('Istoric_Nativ'!$B$6:$B$405=B64)*('Istoric_Nativ'!$C$6:$C$405=BL64)*('Istoric_Nativ'!$P$6:$P$405=1)*('Istoric_Nativ'!$D$6:$D$405&lt;INT(G64))*((('Istoric_Nativ'!$E$6:$E$405='Input_Meci'!D64)+('Istoric_Nativ'!$F$6:$F$405='Input_Meci'!D64)+('Istoric_Nativ'!$E$6:$E$405='Input_Meci'!E64)+('Istoric_Nativ'!$F$6:$F$405='Input_Meci'!E64))&gt;0)*'Istoric_Nativ'!$R$6:$R$405)-AR64*AS64^2)/(AR64-1)))</x:f>
      </x:c>
      <x:c r="AU64" s="11" t="str">
        <x:f>IF(I64&lt;&gt;"PASS","",AT64/AS64)</x:f>
      </x:c>
      <x:c r="AV64" s="11" t="str">
        <x:f>IF(I64&lt;&gt;"PASS","",IF(AU64&lt;='Config_v6'!$B$10,"POISSON","NEGATIVE BINOMIAL"))</x:f>
      </x:c>
      <x:c r="AW64" s="11" t="str">
        <x:f>IF(I64&lt;&gt;"PASS","",IF(AV64="POISSON",9999,AS64/(AU64-1)))</x:f>
      </x:c>
      <x:c r="AX64" s="11" t="str">
        <x:f>IF(A64="","",MAX(1-'Config_v6'!$B$20,MIN(1+'Config_v6'!$B$20,1+0.02*(IF(AND(ISNUMBER('Input_Meci'!N64),'Input_Meci'!N64&gt;=0,'Input_Meci'!N64&lt;=200),'Input_Meci'!N64,12)/12-1)+0.02*(IF(AND(ISNUMBER('Input_Meci'!P64),'Input_Meci'!P64&gt;=0,'Input_Meci'!P64&lt;=200),'Input_Meci'!P64,3.5)/3.5-1)+0.02*(IF(AND(ISNUMBER('Input_Meci'!R64),'Input_Meci'!R64&gt;=0,'Input_Meci'!R64&lt;=200),'Input_Meci'!R64,18)/18-1)+0.02*((IF(AND(ISNUMBER('Input_Meci'!V64),'Input_Meci'!V64&gt;=0,'Input_Meci'!V64&lt;=10),'Input_Meci'!V64,5)-5)/5))))</x:f>
      </x:c>
      <x:c r="AY64" s="11" t="str">
        <x:f>IF(A64="","",MAX(1-'Config_v6'!$B$20,MIN(1+'Config_v6'!$B$20,1+0.02*(IF(AND(ISNUMBER('Input_Meci'!O64),'Input_Meci'!O64&gt;=0,'Input_Meci'!O64&lt;=200),'Input_Meci'!O64,12)/12-1)+0.02*(IF(AND(ISNUMBER('Input_Meci'!Q64),'Input_Meci'!Q64&gt;=0,'Input_Meci'!Q64&lt;=200),'Input_Meci'!Q64,3.5)/3.5-1)+0.02*(IF(AND(ISNUMBER('Input_Meci'!S64),'Input_Meci'!S64&gt;=0,'Input_Meci'!S64&lt;=200),'Input_Meci'!S64,18)/18-1)+0.02*((IF(AND(ISNUMBER('Input_Meci'!W64),'Input_Meci'!W64&gt;=0,'Input_Meci'!W64&lt;=10),'Input_Meci'!W64,5)-5)/5))))</x:f>
      </x:c>
      <x:c r="AZ64" s="11" t="str">
        <x:f>IF(A64="","",MAX(1-'Config_v6'!$B$21,MIN(1+'Config_v6'!$B$21,1+0.012*(IF('Input_Meci'!X64="",5,IF(ISNUMBER('Input_Meci'!X64),'Input_Meci'!X64,5))-5)+0.018*(IF('Input_Meci'!Z64="",5,IF(ISNUMBER('Input_Meci'!Z64),'Input_Meci'!Z64,5))-5)+0.012*(IF('Input_Meci'!AB64="",5,IF(ISNUMBER('Input_Meci'!AB64),'Input_Meci'!AB64,5))-5)+0.015*IF('Input_Meci'!AD64="",0,IF(ISNUMBER('Input_Meci'!AD64),'Input_Meci'!AD64,0))+0.02*IF('Input_Meci'!AF64="",0,IF(ISNUMBER('Input_Meci'!AF64),'Input_Meci'!AF64,0)))))</x:f>
      </x:c>
      <x:c r="BA64" s="11" t="str">
        <x:f>IF(A64="","",MAX(1-'Config_v6'!$B$21,MIN(1+'Config_v6'!$B$21,1+0.012*(IF('Input_Meci'!Y64="",5,IF(ISNUMBER('Input_Meci'!Y64),'Input_Meci'!Y64,5))-5)+0.018*(IF('Input_Meci'!AA64="",5,IF(ISNUMBER('Input_Meci'!AA64),'Input_Meci'!AA64,5))-5)+0.012*(IF('Input_Meci'!AC64="",5,IF(ISNUMBER('Input_Meci'!AC64),'Input_Meci'!AC64,5))-5)+0.015*IF('Input_Meci'!AE64="",0,IF(ISNUMBER('Input_Meci'!AE64),'Input_Meci'!AE64,0))+0.02*IF('Input_Meci'!AG64="",0,IF(ISNUMBER('Input_Meci'!AG64),'Input_Meci'!AG64,0)))))</x:f>
      </x:c>
      <x:c r="BB64" s="11" t="str">
        <x:f>IF(I64&lt;&gt;"PASS","",(AVERAGE(AF64,AM64)*'Config_v6'!$B$4+AVERAGE(AH64,AO64)*'Config_v6'!$B$5+AVERAGE(AJ64,AQ64)*'Config_v6'!$B$6)*AX64*AZ64)</x:f>
      </x:c>
      <x:c r="BC64" s="11" t="str">
        <x:f>IF(I64&lt;&gt;"PASS","",(AVERAGE(AL64,AG64)*'Config_v6'!$B$4+AVERAGE(AN64,AI64)*'Config_v6'!$B$5+AVERAGE(AP64,AK64)*'Config_v6'!$B$6)*AY64*BA64)</x:f>
      </x:c>
      <x:c r="BD64" s="11" t="str">
        <x:f>IF(I64&lt;&gt;"PASS","",BB64+BC64)</x:f>
      </x:c>
      <x:c r="BE64" s="11" t="str">
        <x:f>IF(A64="","",10-SUM(IF(AND(ISNUMBER('Input_Meci'!N64),'Input_Meci'!N64&gt;=0,'Input_Meci'!N64&lt;=200),1,0),IF(AND(ISNUMBER('Input_Meci'!O64),'Input_Meci'!O64&gt;=0,'Input_Meci'!O64&lt;=200),1,0),IF(AND(ISNUMBER('Input_Meci'!P64),'Input_Meci'!P64&gt;=0,'Input_Meci'!P64&lt;=200),1,0),IF(AND(ISNUMBER('Input_Meci'!Q64),'Input_Meci'!Q64&gt;=0,'Input_Meci'!Q64&lt;=200),1,0),IF(AND(ISNUMBER('Input_Meci'!R64),'Input_Meci'!R64&gt;=0,'Input_Meci'!R64&lt;=200),1,0),IF(AND(ISNUMBER('Input_Meci'!S64),'Input_Meci'!S64&gt;=0,'Input_Meci'!S64&lt;=200),1,0),IF(AND(ISNUMBER('Input_Meci'!T64),'Input_Meci'!T64&gt;=0,'Input_Meci'!T64&lt;=100),1,0),IF(AND(ISNUMBER('Input_Meci'!U64),'Input_Meci'!U64&gt;=0,'Input_Meci'!U64&lt;=100),1,0),IF(AND(ISNUMBER('Input_Meci'!V64),'Input_Meci'!V64&gt;=0,'Input_Meci'!V64&lt;=10),1,0),IF(AND(ISNUMBER('Input_Meci'!W64),'Input_Meci'!W64&gt;=0,'Input_Meci'!W64&lt;=10),1,0)))</x:f>
      </x:c>
      <x:c r="BF64" s="11" t="str">
        <x:f>IF(I64&lt;&gt;"PASS","",MAX(0,MIN(IF(OR(M64="YES",BL64&lt;&gt;C64),'Config_v6'!$B$34,100),ROUND(40+25*MIN(1,MIN(N64,Q64)/'Config_v6'!$B$7)*MIN(1,MIN(O64,R64)/'Config_v6'!$B$8)*MIN(1,MIN(P64,S64)/'Config_v6'!$B$9)+MAX(0,15-2*ABS(AF64-AJ64)-2*ABS(AL64-AP64))+IF(AU64&lt;='Config_v6'!$B$10,15,IF(AU64&lt;='Config_v6'!$B$11,13,IF(AU64&lt;='Config_v6'!$B$12,10,IF(AU64&lt;='Config_v6'!$B$13,6,0))))+5-BE64/10*'Config_v6'!$B$38,0))))</x:f>
      </x:c>
      <x:c r="BG64" s="11" t="str">
        <x:f>IF(I64&lt;&gt;"PASS","",MIN(1,'Config_v6'!$B$14*(0.7+0.3*MIN(1,AR64/'Config_v6'!$B$15))*IF(AU64&lt;='Config_v6'!$B$10,1,IF(AU64&lt;='Config_v6'!$B$11,0.95,IF(AU64&lt;='Config_v6'!$B$12,0.88,0.78)))*(0.75+0.25*BF64/100)))</x:f>
      </x:c>
      <x:c r="BH64" s="11" t="str">
        <x:f>IF(I64&lt;&gt;"PASS","",MIN(1,(ABS(AZ64-1)+ABS(BA64-1))*3))</x:f>
      </x:c>
      <x:c r="BI64" s="2" t="str">
        <x:f>IF(A64="","",IF(AND(OR('Input_Meci'!X64="",AND(ISNUMBER('Input_Meci'!X64),'Input_Meci'!X64&gt;=0,'Input_Meci'!X64&lt;=10)),OR('Input_Meci'!Y64="",AND(ISNUMBER('Input_Meci'!Y64),'Input_Meci'!Y64&gt;=0,'Input_Meci'!Y64&lt;=10)),OR('Input_Meci'!Z64="",AND(ISNUMBER('Input_Meci'!Z64),'Input_Meci'!Z64&gt;=0,'Input_Meci'!Z64&lt;=10)),OR('Input_Meci'!AA64="",AND(ISNUMBER('Input_Meci'!AA64),'Input_Meci'!AA64&gt;=0,'Input_Meci'!AA64&lt;=10)),OR('Input_Meci'!AB64="",AND(ISNUMBER('Input_Meci'!AB64),'Input_Meci'!AB64&gt;=0,'Input_Meci'!AB64&lt;=10)),OR('Input_Meci'!AC64="",AND(ISNUMBER('Input_Meci'!AC64),'Input_Meci'!AC64&gt;=0,'Input_Meci'!AC64&lt;=10)),OR('Input_Meci'!AD64="",AND(ISNUMBER('Input_Meci'!AD64),'Input_Meci'!AD64&gt;=-2,'Input_Meci'!AD64&lt;=2)),OR('Input_Meci'!AE64="",AND(ISNUMBER('Input_Meci'!AE64),'Input_Meci'!AE64&gt;=-2,'Input_Meci'!AE64&lt;=2)),OR('Input_Meci'!AF64="",AND(ISNUMBER('Input_Meci'!AF64),'Input_Meci'!AF64&gt;=-2,'Input_Meci'!AF64&lt;=2)),OR('Input_Meci'!AG64="",AND(ISNUMBER('Input_Meci'!AG64),'Input_Meci'!AG64&gt;=-2,'Input_Meci'!AG64&lt;=2))),"VALID","INVALID"))</x:f>
      </x:c>
      <x:c r="BJ64" s="2" t="n">
        <x:f>IF(A64="",0,SUM('Core_Nativ'!S702:S707))</x:f>
        <x:v>0</x:v>
      </x:c>
      <x:c r="BK64" s="2" t="str">
        <x:f>'Config_v6'!$B$40</x:f>
        <x:v>VALID</x:v>
      </x:c>
      <x:c r="BL64" s="2" t="str">
        <x:f>IF(A64="","",IF(SUMPRODUCT(('Istoric_Nativ'!$B$6:$B$405=B64)*('Istoric_Nativ'!$C$6:$C$405=C64)*('Istoric_Nativ'!$P$6:$P$405=1)*('Istoric_Nativ'!$D$6:$D$405&lt;INT(G64))*((('Istoric_Nativ'!$E$6:$E$405='Input_Meci'!D64)+('Istoric_Nativ'!$F$6:$F$405='Input_Meci'!D64)+('Istoric_Nativ'!$E$6:$E$405='Input_Meci'!E64)+('Istoric_Nativ'!$F$6:$F$405='Input_Meci'!E64))&gt;0))&gt;='Config_v6'!$B$41,C64,IF(AND('Input_Meci'!L64="YES",'Input_Meci'!K64&lt;&gt;"",'Input_Meci'!K64&lt;C64,COUNTIF('Core_Nativ'!R708:R713,"CLOSED")=6,SUM('Core_Nativ'!S708:S713)=0),'Input_Meci'!K64,C64)))</x:f>
      </x:c>
      <x:c r="BM64" s="9" t="n">
        <x:f>IF(OR(A64="",N64=0),0,LARGE(_xlfn._xlws.FILTER('Istoric_Nativ'!$D$6:$D$405,('Istoric_Nativ'!$B$6:$B$405=B64)*('Istoric_Nativ'!$C$6:$C$405=C64)*('Istoric_Nativ'!$P$6:$P$405=1)*('Istoric_Nativ'!$D$6:$D$405&lt;INT(G64))*((('Istoric_Nativ'!$E$6:$E$405='Input_Meci'!D64)+('Istoric_Nativ'!$F$6:$F$405='Input_Meci'!D64))&gt;0)),MIN(10,N64)))</x:f>
        <x:v>0</x:v>
      </x:c>
      <x:c r="BN64" s="9" t="n">
        <x:f>IF(OR(A64="",Q64=0),0,LARGE(_xlfn._xlws.FILTER('Istoric_Nativ'!$D$6:$D$405,('Istoric_Nativ'!$B$6:$B$405=B64)*('Istoric_Nativ'!$C$6:$C$405=C64)*('Istoric_Nativ'!$P$6:$P$405=1)*('Istoric_Nativ'!$D$6:$D$405&lt;INT(G64))*((('Istoric_Nativ'!$E$6:$E$405='Input_Meci'!E64)+('Istoric_Nativ'!$F$6:$F$405='Input_Meci'!E64))&gt;0)),MIN(10,Q64)))</x:f>
        <x:v>0</x:v>
      </x:c>
      <x:c r="BO64" s="9" t="n">
        <x:f>IF(OR(A64="",N64=0),0,LARGE(_xlfn._xlws.FILTER('Istoric_Nativ'!$D$6:$D$405,('Istoric_Nativ'!$B$6:$B$405=B64)*('Istoric_Nativ'!$C$6:$C$405=C64)*('Istoric_Nativ'!$P$6:$P$405=1)*('Istoric_Nativ'!$D$6:$D$405&lt;INT(G64))*((('Istoric_Nativ'!$E$6:$E$405='Input_Meci'!D64)+('Istoric_Nativ'!$F$6:$F$405='Input_Meci'!D64))&gt;0)),MIN(20,N64)))</x:f>
        <x:v>0</x:v>
      </x:c>
      <x:c r="BP64" s="9" t="n">
        <x:f>IF(OR(A64="",Q64=0),0,LARGE(_xlfn._xlws.FILTER('Istoric_Nativ'!$D$6:$D$405,('Istoric_Nativ'!$B$6:$B$405=B64)*('Istoric_Nativ'!$C$6:$C$405=C64)*('Istoric_Nativ'!$P$6:$P$405=1)*('Istoric_Nativ'!$D$6:$D$405&lt;INT(G64))*((('Istoric_Nativ'!$E$6:$E$405='Input_Meci'!E64)+('Istoric_Nativ'!$F$6:$F$405='Input_Meci'!E64))&gt;0)),MIN(20,Q64)))</x:f>
        <x:v>0</x:v>
      </x:c>
      <x:c r="BQ64" s="2" t="str">
        <x:f>IF(A64="","",IF(AND(COUNTIF(MatchesTable[Match_ID],A64)=1,COUNTIFS(MatchesTable[League],B64,MatchesTable[Season],C64,MatchesTable[Home],'Input_Meci'!D64,MatchesTable[Away],'Input_Meci'!E64,MatchesTable[Kickoff_UTC],F64)=1,B64&lt;&gt;"",C64&lt;&gt;"",'Input_Meci'!D64&lt;&gt;"",'Input_Meci'!E64&lt;&gt;"",'Input_Meci'!D64&lt;&gt;'Input_Meci'!E64,ISNUMBER(F64),ISNUMBER(G64),G64&lt;F64,OR(E64="LIVE",E64="REPLAY"),OR('Input_Meci'!L64="YES",'Input_Meci'!L64="NO",'Input_Meci'!L64="")),"VALID","INVALID"))</x:f>
      </x:c>
      <x:c r="BR64" s="2" t="n">
        <x:f>IF(I64&lt;&gt;"PASS",0,SUMPRODUCT(('Istoric_Nativ'!$B$6:$B$405='Input_Meci'!B64)*('Istoric_Nativ'!$C$6:$C$405='Input_Meci'!C64)*('Istoric_Nativ'!$P$6:$P$405=1)*('Istoric_Nativ'!$D$6:$D$405&lt;INT('Input_Meci'!G64))*((('Istoric_Nativ'!$E$6:$E$405='Input_Meci'!D64)+('Istoric_Nativ'!$F$6:$F$405='Input_Meci'!E64))&gt;0)))</x:f>
        <x:v>0</x:v>
      </x:c>
      <x:c r="BS64" s="2" t="n">
        <x:f>IF(I64&lt;&gt;"PASS",0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BM64)+((('Istoric_Nativ'!$E$6:$E$405='Input_Meci'!E64)+('Istoric_Nativ'!$F$6:$F$405='Input_Meci'!E64))&gt;0)*('Istoric_Nativ'!$D$6:$D$405&gt;=BN64))&gt;0)))</x:f>
        <x:v>0</x:v>
      </x:c>
      <x:c r="BT64" s="2" t="n">
        <x:f>IF(I64&lt;&gt;"PASS",0,SUMPRODUCT(('Istoric_Nativ'!$B$6:$B$405='Input_Meci'!B64)*('Istoric_Nativ'!$C$6:$C$405='Input_Meci'!C64)*('Istoric_Nativ'!$P$6:$P$405=1)*('Istoric_Nativ'!$D$6:$D$405&lt;INT('Input_Meci'!G64))*((((('Istoric_Nativ'!$E$6:$E$405='Input_Meci'!D64)+('Istoric_Nativ'!$F$6:$F$405='Input_Meci'!D64))&gt;0)*('Istoric_Nativ'!$D$6:$D$405&gt;=BO64)+((('Istoric_Nativ'!$E$6:$E$405='Input_Meci'!E64)+('Istoric_Nativ'!$F$6:$F$405='Input_Meci'!E64))&gt;0)*('Istoric_Nativ'!$D$6:$D$405&gt;=BP64))&gt;0)))</x:f>
        <x:v>0</x:v>
      </x:c>
    </x:row>
    <x:row r="65" ht="21" customHeight="1">
      <x:c r="A65" s="2" t="str">
        <x:f>IF('Input_Meci'!A65="","",'Input_Meci'!A65)</x:f>
      </x:c>
      <x:c r="B65" s="2" t="str">
        <x:f>IF(A65="","",'Input_Meci'!B65)</x:f>
      </x:c>
      <x:c r="C65" s="2" t="str">
        <x:f>IF(A65="","",'Input_Meci'!C65)</x:f>
      </x:c>
      <x:c r="D65" s="2" t="str">
        <x:f>IF(A65="","",'Input_Meci'!D65&amp;" – "&amp;'Input_Meci'!E65)</x:f>
      </x:c>
      <x:c r="E65" s="2" t="str">
        <x:f>IF(A65="","",'Input_Meci'!H65)</x:f>
      </x:c>
      <x:c r="F65" s="9" t="str">
        <x:f>IF(A65="","",'Input_Meci'!F65)</x:f>
      </x:c>
      <x:c r="G65" s="9" t="str">
        <x:f>IF(A65="","",'Input_Meci'!G65)</x:f>
      </x:c>
      <x:c r="H65" s="2" t="str">
        <x:f>IF(A65="","",IF(BQ65&lt;&gt;"VALID","NOT RELEASED",IF(AND(OR('Input_Meci'!I65="NOT AVAILABLE",'Input_Meci'!I65="SOURCE CONFLICT"),'Input_Meci'!J65&lt;&gt;""),"READY",IF(OR(NOT(OR('Input_Meci'!I65="AUTO",'Input_Meci'!I65="")),COUNTIF('Core_Nativ'!R714:R719,"CLOSED")&lt;&gt;6,BJ65&gt;0),"NOT RELEASED","READY"))))</x:f>
      </x:c>
      <x:c r="I65" s="2" t="str">
        <x:f>IF(A65="","",IF(H65&lt;&gt;"READY","NOT RELEASED",IF(AND(NOT(OR('Input_Meci'!I65="NOT AVAILABLE",'Input_Meci'!I65="SOURCE CONFLICT")),L65=12,AR65&gt;=2,AS65&gt;0,ISNUMBER(AT65),BI65="VALID",BK65="VALID"),"PASS","FAIL")))</x:f>
      </x:c>
      <x:c r="J65" s="2" t="str">
        <x:f>IF(A65="","",IF(BQ65&lt;&gt;"VALID","Verifica ID, echipe, mod si cutoff &lt; kickoff",IF(H65&lt;&gt;"READY",IF('Input_Meci'!I65="ACCESS BLOCKED","Acces blocat: reia sursele",IF(BJ65&gt;0,"Istoric invalid sau conflict: verifica randurile native","Surse neinchise / post-cutoff / dovezi incomplete")),IF(OR('Input_Meci'!I65="NOT AVAILABLE",'Input_Meci'!I65="SOURCE CONFLICT"),'Input_Meci'!I65,IF(BK65&lt;&gt;"VALID","Parametri invalizi",IF(L65&lt;&gt;12,"Core / sample / prior insuficient",IF(AR65&lt;2,"N insuficient pentru dispersie",IF(AS65&lt;=0,"Media istorica trebuie sa fie pozitiva",IF(BI65&lt;&gt;"VALID","Context invalid","READY")))))))))</x:f>
      </x:c>
      <x:c r="K65" s="2" t="str">
        <x:f>IF(A65="","",COUNT(T65:AE65))</x:f>
      </x:c>
      <x:c r="L65" s="2" t="str">
        <x:f>IF(A65="","",COUNT(AF65:AQ65))</x:f>
      </x:c>
      <x:c r="M65" s="2" t="str">
        <x:f>IF(A65="","",IF(OR('Core_Nativ'!M714&lt;'Core_Nativ'!P714,'Core_Nativ'!M715&lt;'Core_Nativ'!P715,'Core_Nativ'!M716&lt;'Core_Nativ'!P716,'Core_Nativ'!M717&lt;'Core_Nativ'!P717,'Core_Nativ'!M718&lt;'Core_Nativ'!P718,'Core_Nativ'!M719&lt;'Core_Nativ'!P719),"YES","NO"))</x:f>
      </x:c>
      <x:c r="N65" s="2" t="str">
        <x:f>IF(A65="","",'Core_Nativ'!M714)</x:f>
      </x:c>
      <x:c r="O65" s="2" t="str">
        <x:f>IF(A65="","",'Core_Nativ'!M715)</x:f>
      </x:c>
      <x:c r="P65" s="2" t="str">
        <x:f>IF(A65="","",'Core_Nativ'!M716)</x:f>
      </x:c>
      <x:c r="Q65" s="2" t="str">
        <x:f>IF(A65="","",'Core_Nativ'!M717)</x:f>
      </x:c>
      <x:c r="R65" s="2" t="str">
        <x:f>IF(A65="","",'Core_Nativ'!M718)</x:f>
      </x:c>
      <x:c r="S65" s="2" t="str">
        <x:f>IF(A65="","",'Core_Nativ'!M719)</x:f>
      </x:c>
      <x:c r="T65" s="11" t="str">
        <x:f>IF(OR(A65="",'Core_Nativ'!M714=0),"",'Core_Nativ'!N714)</x:f>
      </x:c>
      <x:c r="U65" s="11" t="str">
        <x:f>IF(OR(A65="",'Core_Nativ'!M714=0),"",'Core_Nativ'!O714)</x:f>
      </x:c>
      <x:c r="V65" s="11" t="str">
        <x:f>IF(OR(A65="",'Core_Nativ'!M715=0),"",'Core_Nativ'!N715)</x:f>
      </x:c>
      <x:c r="W65" s="11" t="str">
        <x:f>IF(OR(A65="",'Core_Nativ'!M715=0),"",'Core_Nativ'!O715)</x:f>
      </x:c>
      <x:c r="X65" s="11" t="str">
        <x:f>IF(OR(A65="",'Core_Nativ'!M716=0),"",'Core_Nativ'!N716)</x:f>
      </x:c>
      <x:c r="Y65" s="11" t="str">
        <x:f>IF(OR(A65="",'Core_Nativ'!M716=0),"",'Core_Nativ'!O716)</x:f>
      </x:c>
      <x:c r="Z65" s="11" t="str">
        <x:f>IF(OR(A65="",'Core_Nativ'!M717=0),"",'Core_Nativ'!N717)</x:f>
      </x:c>
      <x:c r="AA65" s="11" t="str">
        <x:f>IF(OR(A65="",'Core_Nativ'!M717=0),"",'Core_Nativ'!O717)</x:f>
      </x:c>
      <x:c r="AB65" s="11" t="str">
        <x:f>IF(OR(A65="",'Core_Nativ'!M718=0),"",'Core_Nativ'!N718)</x:f>
      </x:c>
      <x:c r="AC65" s="11" t="str">
        <x:f>IF(OR(A65="",'Core_Nativ'!M718=0),"",'Core_Nativ'!O718)</x:f>
      </x:c>
      <x:c r="AD65" s="11" t="str">
        <x:f>IF(OR(A65="",'Core_Nativ'!M719=0),"",'Core_Nativ'!N719)</x:f>
      </x:c>
      <x:c r="AE65" s="11" t="str">
        <x:f>IF(OR(A65="",'Core_Nativ'!M719=0),"",'Core_Nativ'!O719)</x:f>
      </x:c>
      <x:c r="AF65" s="11" t="str">
        <x:f>IF(A65="","",IF(AND('Core_Nativ'!R714="CLOSED",'Core_Nativ'!S714=0),IF('Core_Nativ'!M714&gt;='Core_Nativ'!P714,'Core_Nativ'!N714,IF(AND('Input_Meci'!L65="YES",'Input_Meci'!K65&lt;&gt;"",'Input_Meci'!K65&lt;C65,'Core_Nativ'!T720="DERIVED",'Core_Nativ'!M720&gt;='Core_Nativ'!P714),MIN(1,'Core_Nativ'!M714/'Core_Nativ'!P714)*IF('Core_Nativ'!M714=0,0,'Core_Nativ'!N714)+(1-MIN(1,'Core_Nativ'!M714/'Core_Nativ'!P714))*'Core_Nativ'!N720,"")),""))</x:f>
      </x:c>
      <x:c r="AG65" s="11" t="str">
        <x:f>IF(A65="","",IF(AND('Core_Nativ'!R714="CLOSED",'Core_Nativ'!S714=0),IF('Core_Nativ'!M714&gt;='Core_Nativ'!P714,'Core_Nativ'!O714,IF(AND('Input_Meci'!L65="YES",'Input_Meci'!K65&lt;&gt;"",'Input_Meci'!K65&lt;C65,'Core_Nativ'!T720="DERIVED",'Core_Nativ'!M720&gt;='Core_Nativ'!P714),MIN(1,'Core_Nativ'!M714/'Core_Nativ'!P714)*IF('Core_Nativ'!M714=0,0,'Core_Nativ'!O714)+(1-MIN(1,'Core_Nativ'!M714/'Core_Nativ'!P714))*'Core_Nativ'!O720,"")),""))</x:f>
      </x:c>
      <x:c r="AH65" s="11" t="str">
        <x:f>IF(A65="","",IF(AND('Core_Nativ'!R715="CLOSED",'Core_Nativ'!S715=0),IF('Core_Nativ'!M715&gt;='Core_Nativ'!P715,'Core_Nativ'!N715,IF(AND('Input_Meci'!L65="YES",'Input_Meci'!K65&lt;&gt;"",'Input_Meci'!K65&lt;C65,'Core_Nativ'!T721="DERIVED",'Core_Nativ'!M721&gt;='Core_Nativ'!P715),MIN(1,'Core_Nativ'!M715/'Core_Nativ'!P715)*IF('Core_Nativ'!M715=0,0,'Core_Nativ'!N715)+(1-MIN(1,'Core_Nativ'!M715/'Core_Nativ'!P715))*'Core_Nativ'!N721,"")),""))</x:f>
      </x:c>
      <x:c r="AI65" s="11" t="str">
        <x:f>IF(A65="","",IF(AND('Core_Nativ'!R715="CLOSED",'Core_Nativ'!S715=0),IF('Core_Nativ'!M715&gt;='Core_Nativ'!P715,'Core_Nativ'!O715,IF(AND('Input_Meci'!L65="YES",'Input_Meci'!K65&lt;&gt;"",'Input_Meci'!K65&lt;C65,'Core_Nativ'!T721="DERIVED",'Core_Nativ'!M721&gt;='Core_Nativ'!P715),MIN(1,'Core_Nativ'!M715/'Core_Nativ'!P715)*IF('Core_Nativ'!M715=0,0,'Core_Nativ'!O715)+(1-MIN(1,'Core_Nativ'!M715/'Core_Nativ'!P715))*'Core_Nativ'!O721,"")),""))</x:f>
      </x:c>
      <x:c r="AJ65" s="11" t="str">
        <x:f>IF(A65="","",IF(AND('Core_Nativ'!R716="CLOSED",'Core_Nativ'!S716=0),IF('Core_Nativ'!M716&gt;='Core_Nativ'!P716,'Core_Nativ'!N716,IF(AND('Input_Meci'!L65="YES",'Input_Meci'!K65&lt;&gt;"",'Input_Meci'!K65&lt;C65,'Core_Nativ'!T722="DERIVED",'Core_Nativ'!M722&gt;='Core_Nativ'!P716),MIN(1,'Core_Nativ'!M716/'Core_Nativ'!P716)*IF('Core_Nativ'!M716=0,0,'Core_Nativ'!N716)+(1-MIN(1,'Core_Nativ'!M716/'Core_Nativ'!P716))*'Core_Nativ'!N722,"")),""))</x:f>
      </x:c>
      <x:c r="AK65" s="11" t="str">
        <x:f>IF(A65="","",IF(AND('Core_Nativ'!R716="CLOSED",'Core_Nativ'!S716=0),IF('Core_Nativ'!M716&gt;='Core_Nativ'!P716,'Core_Nativ'!O716,IF(AND('Input_Meci'!L65="YES",'Input_Meci'!K65&lt;&gt;"",'Input_Meci'!K65&lt;C65,'Core_Nativ'!T722="DERIVED",'Core_Nativ'!M722&gt;='Core_Nativ'!P716),MIN(1,'Core_Nativ'!M716/'Core_Nativ'!P716)*IF('Core_Nativ'!M716=0,0,'Core_Nativ'!O716)+(1-MIN(1,'Core_Nativ'!M716/'Core_Nativ'!P716))*'Core_Nativ'!O722,"")),""))</x:f>
      </x:c>
      <x:c r="AL65" s="11" t="str">
        <x:f>IF(A65="","",IF(AND('Core_Nativ'!R717="CLOSED",'Core_Nativ'!S717=0),IF('Core_Nativ'!M717&gt;='Core_Nativ'!P717,'Core_Nativ'!N717,IF(AND('Input_Meci'!L65="YES",'Input_Meci'!K65&lt;&gt;"",'Input_Meci'!K65&lt;C65,'Core_Nativ'!T723="DERIVED",'Core_Nativ'!M723&gt;='Core_Nativ'!P717),MIN(1,'Core_Nativ'!M717/'Core_Nativ'!P717)*IF('Core_Nativ'!M717=0,0,'Core_Nativ'!N717)+(1-MIN(1,'Core_Nativ'!M717/'Core_Nativ'!P717))*'Core_Nativ'!N723,"")),""))</x:f>
      </x:c>
      <x:c r="AM65" s="11" t="str">
        <x:f>IF(A65="","",IF(AND('Core_Nativ'!R717="CLOSED",'Core_Nativ'!S717=0),IF('Core_Nativ'!M717&gt;='Core_Nativ'!P717,'Core_Nativ'!O717,IF(AND('Input_Meci'!L65="YES",'Input_Meci'!K65&lt;&gt;"",'Input_Meci'!K65&lt;C65,'Core_Nativ'!T723="DERIVED",'Core_Nativ'!M723&gt;='Core_Nativ'!P717),MIN(1,'Core_Nativ'!M717/'Core_Nativ'!P717)*IF('Core_Nativ'!M717=0,0,'Core_Nativ'!O717)+(1-MIN(1,'Core_Nativ'!M717/'Core_Nativ'!P717))*'Core_Nativ'!O723,"")),""))</x:f>
      </x:c>
      <x:c r="AN65" s="11" t="str">
        <x:f>IF(A65="","",IF(AND('Core_Nativ'!R718="CLOSED",'Core_Nativ'!S718=0),IF('Core_Nativ'!M718&gt;='Core_Nativ'!P718,'Core_Nativ'!N718,IF(AND('Input_Meci'!L65="YES",'Input_Meci'!K65&lt;&gt;"",'Input_Meci'!K65&lt;C65,'Core_Nativ'!T724="DERIVED",'Core_Nativ'!M724&gt;='Core_Nativ'!P718),MIN(1,'Core_Nativ'!M718/'Core_Nativ'!P718)*IF('Core_Nativ'!M718=0,0,'Core_Nativ'!N718)+(1-MIN(1,'Core_Nativ'!M718/'Core_Nativ'!P718))*'Core_Nativ'!N724,"")),""))</x:f>
      </x:c>
      <x:c r="AO65" s="11" t="str">
        <x:f>IF(A65="","",IF(AND('Core_Nativ'!R718="CLOSED",'Core_Nativ'!S718=0),IF('Core_Nativ'!M718&gt;='Core_Nativ'!P718,'Core_Nativ'!O718,IF(AND('Input_Meci'!L65="YES",'Input_Meci'!K65&lt;&gt;"",'Input_Meci'!K65&lt;C65,'Core_Nativ'!T724="DERIVED",'Core_Nativ'!M724&gt;='Core_Nativ'!P718),MIN(1,'Core_Nativ'!M718/'Core_Nativ'!P718)*IF('Core_Nativ'!M718=0,0,'Core_Nativ'!O718)+(1-MIN(1,'Core_Nativ'!M718/'Core_Nativ'!P718))*'Core_Nativ'!O724,"")),""))</x:f>
      </x:c>
      <x:c r="AP65" s="11" t="str">
        <x:f>IF(A65="","",IF(AND('Core_Nativ'!R719="CLOSED",'Core_Nativ'!S719=0),IF('Core_Nativ'!M719&gt;='Core_Nativ'!P719,'Core_Nativ'!N719,IF(AND('Input_Meci'!L65="YES",'Input_Meci'!K65&lt;&gt;"",'Input_Meci'!K65&lt;C65,'Core_Nativ'!T725="DERIVED",'Core_Nativ'!M725&gt;='Core_Nativ'!P719),MIN(1,'Core_Nativ'!M719/'Core_Nativ'!P719)*IF('Core_Nativ'!M719=0,0,'Core_Nativ'!N719)+(1-MIN(1,'Core_Nativ'!M719/'Core_Nativ'!P719))*'Core_Nativ'!N725,"")),""))</x:f>
      </x:c>
      <x:c r="AQ65" s="11" t="str">
        <x:f>IF(A65="","",IF(AND('Core_Nativ'!R719="CLOSED",'Core_Nativ'!S719=0),IF('Core_Nativ'!M719&gt;='Core_Nativ'!P719,'Core_Nativ'!O719,IF(AND('Input_Meci'!L65="YES",'Input_Meci'!K65&lt;&gt;"",'Input_Meci'!K65&lt;C65,'Core_Nativ'!T725="DERIVED",'Core_Nativ'!M725&gt;='Core_Nativ'!P719),MIN(1,'Core_Nativ'!M719/'Core_Nativ'!P719)*IF('Core_Nativ'!M719=0,0,'Core_Nativ'!O719)+(1-MIN(1,'Core_Nativ'!M719/'Core_Nativ'!P719))*'Core_Nativ'!O725,"")),""))</x:f>
      </x:c>
      <x:c r="AR65" s="11" t="str">
        <x:f>IF(A65="","",SUMPRODUCT(('Istoric_Nativ'!$B$6:$B$405=B65)*('Istoric_Nativ'!$C$6:$C$405=BL65)*('Istoric_Nativ'!$P$6:$P$405=1)*('Istoric_Nativ'!$D$6:$D$405&lt;INT(G65))*((('Istoric_Nativ'!$E$6:$E$405='Input_Meci'!D65)+('Istoric_Nativ'!$F$6:$F$405='Input_Meci'!D65)+('Istoric_Nativ'!$E$6:$E$405='Input_Meci'!E65)+('Istoric_Nativ'!$F$6:$F$405='Input_Meci'!E65))&gt;0)))</x:f>
      </x:c>
      <x:c r="AS65" s="11" t="str">
        <x:f>IF(AR65=0,"",SUMPRODUCT(('Istoric_Nativ'!$B$6:$B$405=B65)*('Istoric_Nativ'!$C$6:$C$405=BL65)*('Istoric_Nativ'!$P$6:$P$405=1)*('Istoric_Nativ'!$D$6:$D$405&lt;INT(G65))*((('Istoric_Nativ'!$E$6:$E$405='Input_Meci'!D65)+('Istoric_Nativ'!$F$6:$F$405='Input_Meci'!D65)+('Istoric_Nativ'!$E$6:$E$405='Input_Meci'!E65)+('Istoric_Nativ'!$F$6:$F$405='Input_Meci'!E65))&gt;0)*'Istoric_Nativ'!$Q$6:$Q$405)/AR65)</x:f>
      </x:c>
      <x:c r="AT65" s="11" t="str">
        <x:f>IF(AR65&lt;2,"",MAX(0,(SUMPRODUCT(('Istoric_Nativ'!$B$6:$B$405=B65)*('Istoric_Nativ'!$C$6:$C$405=BL65)*('Istoric_Nativ'!$P$6:$P$405=1)*('Istoric_Nativ'!$D$6:$D$405&lt;INT(G65))*((('Istoric_Nativ'!$E$6:$E$405='Input_Meci'!D65)+('Istoric_Nativ'!$F$6:$F$405='Input_Meci'!D65)+('Istoric_Nativ'!$E$6:$E$405='Input_Meci'!E65)+('Istoric_Nativ'!$F$6:$F$405='Input_Meci'!E65))&gt;0)*'Istoric_Nativ'!$R$6:$R$405)-AR65*AS65^2)/(AR65-1)))</x:f>
      </x:c>
      <x:c r="AU65" s="11" t="str">
        <x:f>IF(I65&lt;&gt;"PASS","",AT65/AS65)</x:f>
      </x:c>
      <x:c r="AV65" s="11" t="str">
        <x:f>IF(I65&lt;&gt;"PASS","",IF(AU65&lt;='Config_v6'!$B$10,"POISSON","NEGATIVE BINOMIAL"))</x:f>
      </x:c>
      <x:c r="AW65" s="11" t="str">
        <x:f>IF(I65&lt;&gt;"PASS","",IF(AV65="POISSON",9999,AS65/(AU65-1)))</x:f>
      </x:c>
      <x:c r="AX65" s="11" t="str">
        <x:f>IF(A65="","",MAX(1-'Config_v6'!$B$20,MIN(1+'Config_v6'!$B$20,1+0.02*(IF(AND(ISNUMBER('Input_Meci'!N65),'Input_Meci'!N65&gt;=0,'Input_Meci'!N65&lt;=200),'Input_Meci'!N65,12)/12-1)+0.02*(IF(AND(ISNUMBER('Input_Meci'!P65),'Input_Meci'!P65&gt;=0,'Input_Meci'!P65&lt;=200),'Input_Meci'!P65,3.5)/3.5-1)+0.02*(IF(AND(ISNUMBER('Input_Meci'!R65),'Input_Meci'!R65&gt;=0,'Input_Meci'!R65&lt;=200),'Input_Meci'!R65,18)/18-1)+0.02*((IF(AND(ISNUMBER('Input_Meci'!V65),'Input_Meci'!V65&gt;=0,'Input_Meci'!V65&lt;=10),'Input_Meci'!V65,5)-5)/5))))</x:f>
      </x:c>
      <x:c r="AY65" s="11" t="str">
        <x:f>IF(A65="","",MAX(1-'Config_v6'!$B$20,MIN(1+'Config_v6'!$B$20,1+0.02*(IF(AND(ISNUMBER('Input_Meci'!O65),'Input_Meci'!O65&gt;=0,'Input_Meci'!O65&lt;=200),'Input_Meci'!O65,12)/12-1)+0.02*(IF(AND(ISNUMBER('Input_Meci'!Q65),'Input_Meci'!Q65&gt;=0,'Input_Meci'!Q65&lt;=200),'Input_Meci'!Q65,3.5)/3.5-1)+0.02*(IF(AND(ISNUMBER('Input_Meci'!S65),'Input_Meci'!S65&gt;=0,'Input_Meci'!S65&lt;=200),'Input_Meci'!S65,18)/18-1)+0.02*((IF(AND(ISNUMBER('Input_Meci'!W65),'Input_Meci'!W65&gt;=0,'Input_Meci'!W65&lt;=10),'Input_Meci'!W65,5)-5)/5))))</x:f>
      </x:c>
      <x:c r="AZ65" s="11" t="str">
        <x:f>IF(A65="","",MAX(1-'Config_v6'!$B$21,MIN(1+'Config_v6'!$B$21,1+0.012*(IF('Input_Meci'!X65="",5,IF(ISNUMBER('Input_Meci'!X65),'Input_Meci'!X65,5))-5)+0.018*(IF('Input_Meci'!Z65="",5,IF(ISNUMBER('Input_Meci'!Z65),'Input_Meci'!Z65,5))-5)+0.012*(IF('Input_Meci'!AB65="",5,IF(ISNUMBER('Input_Meci'!AB65),'Input_Meci'!AB65,5))-5)+0.015*IF('Input_Meci'!AD65="",0,IF(ISNUMBER('Input_Meci'!AD65),'Input_Meci'!AD65,0))+0.02*IF('Input_Meci'!AF65="",0,IF(ISNUMBER('Input_Meci'!AF65),'Input_Meci'!AF65,0)))))</x:f>
      </x:c>
      <x:c r="BA65" s="11" t="str">
        <x:f>IF(A65="","",MAX(1-'Config_v6'!$B$21,MIN(1+'Config_v6'!$B$21,1+0.012*(IF('Input_Meci'!Y65="",5,IF(ISNUMBER('Input_Meci'!Y65),'Input_Meci'!Y65,5))-5)+0.018*(IF('Input_Meci'!AA65="",5,IF(ISNUMBER('Input_Meci'!AA65),'Input_Meci'!AA65,5))-5)+0.012*(IF('Input_Meci'!AC65="",5,IF(ISNUMBER('Input_Meci'!AC65),'Input_Meci'!AC65,5))-5)+0.015*IF('Input_Meci'!AE65="",0,IF(ISNUMBER('Input_Meci'!AE65),'Input_Meci'!AE65,0))+0.02*IF('Input_Meci'!AG65="",0,IF(ISNUMBER('Input_Meci'!AG65),'Input_Meci'!AG65,0)))))</x:f>
      </x:c>
      <x:c r="BB65" s="11" t="str">
        <x:f>IF(I65&lt;&gt;"PASS","",(AVERAGE(AF65,AM65)*'Config_v6'!$B$4+AVERAGE(AH65,AO65)*'Config_v6'!$B$5+AVERAGE(AJ65,AQ65)*'Config_v6'!$B$6)*AX65*AZ65)</x:f>
      </x:c>
      <x:c r="BC65" s="11" t="str">
        <x:f>IF(I65&lt;&gt;"PASS","",(AVERAGE(AL65,AG65)*'Config_v6'!$B$4+AVERAGE(AN65,AI65)*'Config_v6'!$B$5+AVERAGE(AP65,AK65)*'Config_v6'!$B$6)*AY65*BA65)</x:f>
      </x:c>
      <x:c r="BD65" s="11" t="str">
        <x:f>IF(I65&lt;&gt;"PASS","",BB65+BC65)</x:f>
      </x:c>
      <x:c r="BE65" s="11" t="str">
        <x:f>IF(A65="","",10-SUM(IF(AND(ISNUMBER('Input_Meci'!N65),'Input_Meci'!N65&gt;=0,'Input_Meci'!N65&lt;=200),1,0),IF(AND(ISNUMBER('Input_Meci'!O65),'Input_Meci'!O65&gt;=0,'Input_Meci'!O65&lt;=200),1,0),IF(AND(ISNUMBER('Input_Meci'!P65),'Input_Meci'!P65&gt;=0,'Input_Meci'!P65&lt;=200),1,0),IF(AND(ISNUMBER('Input_Meci'!Q65),'Input_Meci'!Q65&gt;=0,'Input_Meci'!Q65&lt;=200),1,0),IF(AND(ISNUMBER('Input_Meci'!R65),'Input_Meci'!R65&gt;=0,'Input_Meci'!R65&lt;=200),1,0),IF(AND(ISNUMBER('Input_Meci'!S65),'Input_Meci'!S65&gt;=0,'Input_Meci'!S65&lt;=200),1,0),IF(AND(ISNUMBER('Input_Meci'!T65),'Input_Meci'!T65&gt;=0,'Input_Meci'!T65&lt;=100),1,0),IF(AND(ISNUMBER('Input_Meci'!U65),'Input_Meci'!U65&gt;=0,'Input_Meci'!U65&lt;=100),1,0),IF(AND(ISNUMBER('Input_Meci'!V65),'Input_Meci'!V65&gt;=0,'Input_Meci'!V65&lt;=10),1,0),IF(AND(ISNUMBER('Input_Meci'!W65),'Input_Meci'!W65&gt;=0,'Input_Meci'!W65&lt;=10),1,0)))</x:f>
      </x:c>
      <x:c r="BF65" s="11" t="str">
        <x:f>IF(I65&lt;&gt;"PASS","",MAX(0,MIN(IF(OR(M65="YES",BL65&lt;&gt;C65),'Config_v6'!$B$34,100),ROUND(40+25*MIN(1,MIN(N65,Q65)/'Config_v6'!$B$7)*MIN(1,MIN(O65,R65)/'Config_v6'!$B$8)*MIN(1,MIN(P65,S65)/'Config_v6'!$B$9)+MAX(0,15-2*ABS(AF65-AJ65)-2*ABS(AL65-AP65))+IF(AU65&lt;='Config_v6'!$B$10,15,IF(AU65&lt;='Config_v6'!$B$11,13,IF(AU65&lt;='Config_v6'!$B$12,10,IF(AU65&lt;='Config_v6'!$B$13,6,0))))+5-BE65/10*'Config_v6'!$B$38,0))))</x:f>
      </x:c>
      <x:c r="BG65" s="11" t="str">
        <x:f>IF(I65&lt;&gt;"PASS","",MIN(1,'Config_v6'!$B$14*(0.7+0.3*MIN(1,AR65/'Config_v6'!$B$15))*IF(AU65&lt;='Config_v6'!$B$10,1,IF(AU65&lt;='Config_v6'!$B$11,0.95,IF(AU65&lt;='Config_v6'!$B$12,0.88,0.78)))*(0.75+0.25*BF65/100)))</x:f>
      </x:c>
      <x:c r="BH65" s="11" t="str">
        <x:f>IF(I65&lt;&gt;"PASS","",MIN(1,(ABS(AZ65-1)+ABS(BA65-1))*3))</x:f>
      </x:c>
      <x:c r="BI65" s="2" t="str">
        <x:f>IF(A65="","",IF(AND(OR('Input_Meci'!X65="",AND(ISNUMBER('Input_Meci'!X65),'Input_Meci'!X65&gt;=0,'Input_Meci'!X65&lt;=10)),OR('Input_Meci'!Y65="",AND(ISNUMBER('Input_Meci'!Y65),'Input_Meci'!Y65&gt;=0,'Input_Meci'!Y65&lt;=10)),OR('Input_Meci'!Z65="",AND(ISNUMBER('Input_Meci'!Z65),'Input_Meci'!Z65&gt;=0,'Input_Meci'!Z65&lt;=10)),OR('Input_Meci'!AA65="",AND(ISNUMBER('Input_Meci'!AA65),'Input_Meci'!AA65&gt;=0,'Input_Meci'!AA65&lt;=10)),OR('Input_Meci'!AB65="",AND(ISNUMBER('Input_Meci'!AB65),'Input_Meci'!AB65&gt;=0,'Input_Meci'!AB65&lt;=10)),OR('Input_Meci'!AC65="",AND(ISNUMBER('Input_Meci'!AC65),'Input_Meci'!AC65&gt;=0,'Input_Meci'!AC65&lt;=10)),OR('Input_Meci'!AD65="",AND(ISNUMBER('Input_Meci'!AD65),'Input_Meci'!AD65&gt;=-2,'Input_Meci'!AD65&lt;=2)),OR('Input_Meci'!AE65="",AND(ISNUMBER('Input_Meci'!AE65),'Input_Meci'!AE65&gt;=-2,'Input_Meci'!AE65&lt;=2)),OR('Input_Meci'!AF65="",AND(ISNUMBER('Input_Meci'!AF65),'Input_Meci'!AF65&gt;=-2,'Input_Meci'!AF65&lt;=2)),OR('Input_Meci'!AG65="",AND(ISNUMBER('Input_Meci'!AG65),'Input_Meci'!AG65&gt;=-2,'Input_Meci'!AG65&lt;=2))),"VALID","INVALID"))</x:f>
      </x:c>
      <x:c r="BJ65" s="2" t="n">
        <x:f>IF(A65="",0,SUM('Core_Nativ'!S714:S719))</x:f>
        <x:v>0</x:v>
      </x:c>
      <x:c r="BK65" s="2" t="str">
        <x:f>'Config_v6'!$B$40</x:f>
        <x:v>VALID</x:v>
      </x:c>
      <x:c r="BL65" s="2" t="str">
        <x:f>IF(A65="","",IF(SUMPRODUCT(('Istoric_Nativ'!$B$6:$B$405=B65)*('Istoric_Nativ'!$C$6:$C$405=C65)*('Istoric_Nativ'!$P$6:$P$405=1)*('Istoric_Nativ'!$D$6:$D$405&lt;INT(G65))*((('Istoric_Nativ'!$E$6:$E$405='Input_Meci'!D65)+('Istoric_Nativ'!$F$6:$F$405='Input_Meci'!D65)+('Istoric_Nativ'!$E$6:$E$405='Input_Meci'!E65)+('Istoric_Nativ'!$F$6:$F$405='Input_Meci'!E65))&gt;0))&gt;='Config_v6'!$B$41,C65,IF(AND('Input_Meci'!L65="YES",'Input_Meci'!K65&lt;&gt;"",'Input_Meci'!K65&lt;C65,COUNTIF('Core_Nativ'!R720:R725,"CLOSED")=6,SUM('Core_Nativ'!S720:S725)=0),'Input_Meci'!K65,C65)))</x:f>
      </x:c>
      <x:c r="BM65" s="9" t="n">
        <x:f>IF(OR(A65="",N65=0),0,LARGE(_xlfn._xlws.FILTER('Istoric_Nativ'!$D$6:$D$405,('Istoric_Nativ'!$B$6:$B$405=B65)*('Istoric_Nativ'!$C$6:$C$405=C65)*('Istoric_Nativ'!$P$6:$P$405=1)*('Istoric_Nativ'!$D$6:$D$405&lt;INT(G65))*((('Istoric_Nativ'!$E$6:$E$405='Input_Meci'!D65)+('Istoric_Nativ'!$F$6:$F$405='Input_Meci'!D65))&gt;0)),MIN(10,N65)))</x:f>
        <x:v>0</x:v>
      </x:c>
      <x:c r="BN65" s="9" t="n">
        <x:f>IF(OR(A65="",Q65=0),0,LARGE(_xlfn._xlws.FILTER('Istoric_Nativ'!$D$6:$D$405,('Istoric_Nativ'!$B$6:$B$405=B65)*('Istoric_Nativ'!$C$6:$C$405=C65)*('Istoric_Nativ'!$P$6:$P$405=1)*('Istoric_Nativ'!$D$6:$D$405&lt;INT(G65))*((('Istoric_Nativ'!$E$6:$E$405='Input_Meci'!E65)+('Istoric_Nativ'!$F$6:$F$405='Input_Meci'!E65))&gt;0)),MIN(10,Q65)))</x:f>
        <x:v>0</x:v>
      </x:c>
      <x:c r="BO65" s="9" t="n">
        <x:f>IF(OR(A65="",N65=0),0,LARGE(_xlfn._xlws.FILTER('Istoric_Nativ'!$D$6:$D$405,('Istoric_Nativ'!$B$6:$B$405=B65)*('Istoric_Nativ'!$C$6:$C$405=C65)*('Istoric_Nativ'!$P$6:$P$405=1)*('Istoric_Nativ'!$D$6:$D$405&lt;INT(G65))*((('Istoric_Nativ'!$E$6:$E$405='Input_Meci'!D65)+('Istoric_Nativ'!$F$6:$F$405='Input_Meci'!D65))&gt;0)),MIN(20,N65)))</x:f>
        <x:v>0</x:v>
      </x:c>
      <x:c r="BP65" s="9" t="n">
        <x:f>IF(OR(A65="",Q65=0),0,LARGE(_xlfn._xlws.FILTER('Istoric_Nativ'!$D$6:$D$405,('Istoric_Nativ'!$B$6:$B$405=B65)*('Istoric_Nativ'!$C$6:$C$405=C65)*('Istoric_Nativ'!$P$6:$P$405=1)*('Istoric_Nativ'!$D$6:$D$405&lt;INT(G65))*((('Istoric_Nativ'!$E$6:$E$405='Input_Meci'!E65)+('Istoric_Nativ'!$F$6:$F$405='Input_Meci'!E65))&gt;0)),MIN(20,Q65)))</x:f>
        <x:v>0</x:v>
      </x:c>
      <x:c r="BQ65" s="2" t="str">
        <x:f>IF(A65="","",IF(AND(COUNTIF(MatchesTable[Match_ID],A65)=1,COUNTIFS(MatchesTable[League],B65,MatchesTable[Season],C65,MatchesTable[Home],'Input_Meci'!D65,MatchesTable[Away],'Input_Meci'!E65,MatchesTable[Kickoff_UTC],F65)=1,B65&lt;&gt;"",C65&lt;&gt;"",'Input_Meci'!D65&lt;&gt;"",'Input_Meci'!E65&lt;&gt;"",'Input_Meci'!D65&lt;&gt;'Input_Meci'!E65,ISNUMBER(F65),ISNUMBER(G65),G65&lt;F65,OR(E65="LIVE",E65="REPLAY"),OR('Input_Meci'!L65="YES",'Input_Meci'!L65="NO",'Input_Meci'!L65="")),"VALID","INVALID"))</x:f>
      </x:c>
      <x:c r="BR65" s="2" t="n">
        <x:f>IF(I65&lt;&gt;"PASS",0,SUMPRODUCT(('Istoric_Nativ'!$B$6:$B$405='Input_Meci'!B65)*('Istoric_Nativ'!$C$6:$C$405='Input_Meci'!C65)*('Istoric_Nativ'!$P$6:$P$405=1)*('Istoric_Nativ'!$D$6:$D$405&lt;INT('Input_Meci'!G65))*((('Istoric_Nativ'!$E$6:$E$405='Input_Meci'!D65)+('Istoric_Nativ'!$F$6:$F$405='Input_Meci'!E65))&gt;0)))</x:f>
        <x:v>0</x:v>
      </x:c>
      <x:c r="BS65" s="2" t="n">
        <x:f>IF(I65&lt;&gt;"PASS",0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BM65)+((('Istoric_Nativ'!$E$6:$E$405='Input_Meci'!E65)+('Istoric_Nativ'!$F$6:$F$405='Input_Meci'!E65))&gt;0)*('Istoric_Nativ'!$D$6:$D$405&gt;=BN65))&gt;0)))</x:f>
        <x:v>0</x:v>
      </x:c>
      <x:c r="BT65" s="2" t="n">
        <x:f>IF(I65&lt;&gt;"PASS",0,SUMPRODUCT(('Istoric_Nativ'!$B$6:$B$405='Input_Meci'!B65)*('Istoric_Nativ'!$C$6:$C$405='Input_Meci'!C65)*('Istoric_Nativ'!$P$6:$P$405=1)*('Istoric_Nativ'!$D$6:$D$405&lt;INT('Input_Meci'!G65))*((((('Istoric_Nativ'!$E$6:$E$405='Input_Meci'!D65)+('Istoric_Nativ'!$F$6:$F$405='Input_Meci'!D65))&gt;0)*('Istoric_Nativ'!$D$6:$D$405&gt;=BO65)+((('Istoric_Nativ'!$E$6:$E$405='Input_Meci'!E65)+('Istoric_Nativ'!$F$6:$F$405='Input_Meci'!E65))&gt;0)*('Istoric_Nativ'!$D$6:$D$405&gt;=BP65))&gt;0)))</x:f>
        <x:v>0</x:v>
      </x:c>
    </x:row>
    <x:row r="66" ht="21" customHeight="1">
      <x:c r="A66" s="2" t="str">
        <x:f>IF('Input_Meci'!A66="","",'Input_Meci'!A66)</x:f>
      </x:c>
      <x:c r="B66" s="2" t="str">
        <x:f>IF(A66="","",'Input_Meci'!B66)</x:f>
      </x:c>
      <x:c r="C66" s="2" t="str">
        <x:f>IF(A66="","",'Input_Meci'!C66)</x:f>
      </x:c>
      <x:c r="D66" s="2" t="str">
        <x:f>IF(A66="","",'Input_Meci'!D66&amp;" – "&amp;'Input_Meci'!E66)</x:f>
      </x:c>
      <x:c r="E66" s="2" t="str">
        <x:f>IF(A66="","",'Input_Meci'!H66)</x:f>
      </x:c>
      <x:c r="F66" s="9" t="str">
        <x:f>IF(A66="","",'Input_Meci'!F66)</x:f>
      </x:c>
      <x:c r="G66" s="9" t="str">
        <x:f>IF(A66="","",'Input_Meci'!G66)</x:f>
      </x:c>
      <x:c r="H66" s="2" t="str">
        <x:f>IF(A66="","",IF(BQ66&lt;&gt;"VALID","NOT RELEASED",IF(AND(OR('Input_Meci'!I66="NOT AVAILABLE",'Input_Meci'!I66="SOURCE CONFLICT"),'Input_Meci'!J66&lt;&gt;""),"READY",IF(OR(NOT(OR('Input_Meci'!I66="AUTO",'Input_Meci'!I66="")),COUNTIF('Core_Nativ'!R726:R731,"CLOSED")&lt;&gt;6,BJ66&gt;0),"NOT RELEASED","READY"))))</x:f>
      </x:c>
      <x:c r="I66" s="2" t="str">
        <x:f>IF(A66="","",IF(H66&lt;&gt;"READY","NOT RELEASED",IF(AND(NOT(OR('Input_Meci'!I66="NOT AVAILABLE",'Input_Meci'!I66="SOURCE CONFLICT")),L66=12,AR66&gt;=2,AS66&gt;0,ISNUMBER(AT66),BI66="VALID",BK66="VALID"),"PASS","FAIL")))</x:f>
      </x:c>
      <x:c r="J66" s="2" t="str">
        <x:f>IF(A66="","",IF(BQ66&lt;&gt;"VALID","Verifica ID, echipe, mod si cutoff &lt; kickoff",IF(H66&lt;&gt;"READY",IF('Input_Meci'!I66="ACCESS BLOCKED","Acces blocat: reia sursele",IF(BJ66&gt;0,"Istoric invalid sau conflict: verifica randurile native","Surse neinchise / post-cutoff / dovezi incomplete")),IF(OR('Input_Meci'!I66="NOT AVAILABLE",'Input_Meci'!I66="SOURCE CONFLICT"),'Input_Meci'!I66,IF(BK66&lt;&gt;"VALID","Parametri invalizi",IF(L66&lt;&gt;12,"Core / sample / prior insuficient",IF(AR66&lt;2,"N insuficient pentru dispersie",IF(AS66&lt;=0,"Media istorica trebuie sa fie pozitiva",IF(BI66&lt;&gt;"VALID","Context invalid","READY")))))))))</x:f>
      </x:c>
      <x:c r="K66" s="2" t="str">
        <x:f>IF(A66="","",COUNT(T66:AE66))</x:f>
      </x:c>
      <x:c r="L66" s="2" t="str">
        <x:f>IF(A66="","",COUNT(AF66:AQ66))</x:f>
      </x:c>
      <x:c r="M66" s="2" t="str">
        <x:f>IF(A66="","",IF(OR('Core_Nativ'!M726&lt;'Core_Nativ'!P726,'Core_Nativ'!M727&lt;'Core_Nativ'!P727,'Core_Nativ'!M728&lt;'Core_Nativ'!P728,'Core_Nativ'!M729&lt;'Core_Nativ'!P729,'Core_Nativ'!M730&lt;'Core_Nativ'!P730,'Core_Nativ'!M731&lt;'Core_Nativ'!P731),"YES","NO"))</x:f>
      </x:c>
      <x:c r="N66" s="2" t="str">
        <x:f>IF(A66="","",'Core_Nativ'!M726)</x:f>
      </x:c>
      <x:c r="O66" s="2" t="str">
        <x:f>IF(A66="","",'Core_Nativ'!M727)</x:f>
      </x:c>
      <x:c r="P66" s="2" t="str">
        <x:f>IF(A66="","",'Core_Nativ'!M728)</x:f>
      </x:c>
      <x:c r="Q66" s="2" t="str">
        <x:f>IF(A66="","",'Core_Nativ'!M729)</x:f>
      </x:c>
      <x:c r="R66" s="2" t="str">
        <x:f>IF(A66="","",'Core_Nativ'!M730)</x:f>
      </x:c>
      <x:c r="S66" s="2" t="str">
        <x:f>IF(A66="","",'Core_Nativ'!M731)</x:f>
      </x:c>
      <x:c r="T66" s="11" t="str">
        <x:f>IF(OR(A66="",'Core_Nativ'!M726=0),"",'Core_Nativ'!N726)</x:f>
      </x:c>
      <x:c r="U66" s="11" t="str">
        <x:f>IF(OR(A66="",'Core_Nativ'!M726=0),"",'Core_Nativ'!O726)</x:f>
      </x:c>
      <x:c r="V66" s="11" t="str">
        <x:f>IF(OR(A66="",'Core_Nativ'!M727=0),"",'Core_Nativ'!N727)</x:f>
      </x:c>
      <x:c r="W66" s="11" t="str">
        <x:f>IF(OR(A66="",'Core_Nativ'!M727=0),"",'Core_Nativ'!O727)</x:f>
      </x:c>
      <x:c r="X66" s="11" t="str">
        <x:f>IF(OR(A66="",'Core_Nativ'!M728=0),"",'Core_Nativ'!N728)</x:f>
      </x:c>
      <x:c r="Y66" s="11" t="str">
        <x:f>IF(OR(A66="",'Core_Nativ'!M728=0),"",'Core_Nativ'!O728)</x:f>
      </x:c>
      <x:c r="Z66" s="11" t="str">
        <x:f>IF(OR(A66="",'Core_Nativ'!M729=0),"",'Core_Nativ'!N729)</x:f>
      </x:c>
      <x:c r="AA66" s="11" t="str">
        <x:f>IF(OR(A66="",'Core_Nativ'!M729=0),"",'Core_Nativ'!O729)</x:f>
      </x:c>
      <x:c r="AB66" s="11" t="str">
        <x:f>IF(OR(A66="",'Core_Nativ'!M730=0),"",'Core_Nativ'!N730)</x:f>
      </x:c>
      <x:c r="AC66" s="11" t="str">
        <x:f>IF(OR(A66="",'Core_Nativ'!M730=0),"",'Core_Nativ'!O730)</x:f>
      </x:c>
      <x:c r="AD66" s="11" t="str">
        <x:f>IF(OR(A66="",'Core_Nativ'!M731=0),"",'Core_Nativ'!N731)</x:f>
      </x:c>
      <x:c r="AE66" s="11" t="str">
        <x:f>IF(OR(A66="",'Core_Nativ'!M731=0),"",'Core_Nativ'!O731)</x:f>
      </x:c>
      <x:c r="AF66" s="11" t="str">
        <x:f>IF(A66="","",IF(AND('Core_Nativ'!R726="CLOSED",'Core_Nativ'!S726=0),IF('Core_Nativ'!M726&gt;='Core_Nativ'!P726,'Core_Nativ'!N726,IF(AND('Input_Meci'!L66="YES",'Input_Meci'!K66&lt;&gt;"",'Input_Meci'!K66&lt;C66,'Core_Nativ'!T732="DERIVED",'Core_Nativ'!M732&gt;='Core_Nativ'!P726),MIN(1,'Core_Nativ'!M726/'Core_Nativ'!P726)*IF('Core_Nativ'!M726=0,0,'Core_Nativ'!N726)+(1-MIN(1,'Core_Nativ'!M726/'Core_Nativ'!P726))*'Core_Nativ'!N732,"")),""))</x:f>
      </x:c>
      <x:c r="AG66" s="11" t="str">
        <x:f>IF(A66="","",IF(AND('Core_Nativ'!R726="CLOSED",'Core_Nativ'!S726=0),IF('Core_Nativ'!M726&gt;='Core_Nativ'!P726,'Core_Nativ'!O726,IF(AND('Input_Meci'!L66="YES",'Input_Meci'!K66&lt;&gt;"",'Input_Meci'!K66&lt;C66,'Core_Nativ'!T732="DERIVED",'Core_Nativ'!M732&gt;='Core_Nativ'!P726),MIN(1,'Core_Nativ'!M726/'Core_Nativ'!P726)*IF('Core_Nativ'!M726=0,0,'Core_Nativ'!O726)+(1-MIN(1,'Core_Nativ'!M726/'Core_Nativ'!P726))*'Core_Nativ'!O732,"")),""))</x:f>
      </x:c>
      <x:c r="AH66" s="11" t="str">
        <x:f>IF(A66="","",IF(AND('Core_Nativ'!R727="CLOSED",'Core_Nativ'!S727=0),IF('Core_Nativ'!M727&gt;='Core_Nativ'!P727,'Core_Nativ'!N727,IF(AND('Input_Meci'!L66="YES",'Input_Meci'!K66&lt;&gt;"",'Input_Meci'!K66&lt;C66,'Core_Nativ'!T733="DERIVED",'Core_Nativ'!M733&gt;='Core_Nativ'!P727),MIN(1,'Core_Nativ'!M727/'Core_Nativ'!P727)*IF('Core_Nativ'!M727=0,0,'Core_Nativ'!N727)+(1-MIN(1,'Core_Nativ'!M727/'Core_Nativ'!P727))*'Core_Nativ'!N733,"")),""))</x:f>
      </x:c>
      <x:c r="AI66" s="11" t="str">
        <x:f>IF(A66="","",IF(AND('Core_Nativ'!R727="CLOSED",'Core_Nativ'!S727=0),IF('Core_Nativ'!M727&gt;='Core_Nativ'!P727,'Core_Nativ'!O727,IF(AND('Input_Meci'!L66="YES",'Input_Meci'!K66&lt;&gt;"",'Input_Meci'!K66&lt;C66,'Core_Nativ'!T733="DERIVED",'Core_Nativ'!M733&gt;='Core_Nativ'!P727),MIN(1,'Core_Nativ'!M727/'Core_Nativ'!P727)*IF('Core_Nativ'!M727=0,0,'Core_Nativ'!O727)+(1-MIN(1,'Core_Nativ'!M727/'Core_Nativ'!P727))*'Core_Nativ'!O733,"")),""))</x:f>
      </x:c>
      <x:c r="AJ66" s="11" t="str">
        <x:f>IF(A66="","",IF(AND('Core_Nativ'!R728="CLOSED",'Core_Nativ'!S728=0),IF('Core_Nativ'!M728&gt;='Core_Nativ'!P728,'Core_Nativ'!N728,IF(AND('Input_Meci'!L66="YES",'Input_Meci'!K66&lt;&gt;"",'Input_Meci'!K66&lt;C66,'Core_Nativ'!T734="DERIVED",'Core_Nativ'!M734&gt;='Core_Nativ'!P728),MIN(1,'Core_Nativ'!M728/'Core_Nativ'!P728)*IF('Core_Nativ'!M728=0,0,'Core_Nativ'!N728)+(1-MIN(1,'Core_Nativ'!M728/'Core_Nativ'!P728))*'Core_Nativ'!N734,"")),""))</x:f>
      </x:c>
      <x:c r="AK66" s="11" t="str">
        <x:f>IF(A66="","",IF(AND('Core_Nativ'!R728="CLOSED",'Core_Nativ'!S728=0),IF('Core_Nativ'!M728&gt;='Core_Nativ'!P728,'Core_Nativ'!O728,IF(AND('Input_Meci'!L66="YES",'Input_Meci'!K66&lt;&gt;"",'Input_Meci'!K66&lt;C66,'Core_Nativ'!T734="DERIVED",'Core_Nativ'!M734&gt;='Core_Nativ'!P728),MIN(1,'Core_Nativ'!M728/'Core_Nativ'!P728)*IF('Core_Nativ'!M728=0,0,'Core_Nativ'!O728)+(1-MIN(1,'Core_Nativ'!M728/'Core_Nativ'!P728))*'Core_Nativ'!O734,"")),""))</x:f>
      </x:c>
      <x:c r="AL66" s="11" t="str">
        <x:f>IF(A66="","",IF(AND('Core_Nativ'!R729="CLOSED",'Core_Nativ'!S729=0),IF('Core_Nativ'!M729&gt;='Core_Nativ'!P729,'Core_Nativ'!N729,IF(AND('Input_Meci'!L66="YES",'Input_Meci'!K66&lt;&gt;"",'Input_Meci'!K66&lt;C66,'Core_Nativ'!T735="DERIVED",'Core_Nativ'!M735&gt;='Core_Nativ'!P729),MIN(1,'Core_Nativ'!M729/'Core_Nativ'!P729)*IF('Core_Nativ'!M729=0,0,'Core_Nativ'!N729)+(1-MIN(1,'Core_Nativ'!M729/'Core_Nativ'!P729))*'Core_Nativ'!N735,"")),""))</x:f>
      </x:c>
      <x:c r="AM66" s="11" t="str">
        <x:f>IF(A66="","",IF(AND('Core_Nativ'!R729="CLOSED",'Core_Nativ'!S729=0),IF('Core_Nativ'!M729&gt;='Core_Nativ'!P729,'Core_Nativ'!O729,IF(AND('Input_Meci'!L66="YES",'Input_Meci'!K66&lt;&gt;"",'Input_Meci'!K66&lt;C66,'Core_Nativ'!T735="DERIVED",'Core_Nativ'!M735&gt;='Core_Nativ'!P729),MIN(1,'Core_Nativ'!M729/'Core_Nativ'!P729)*IF('Core_Nativ'!M729=0,0,'Core_Nativ'!O729)+(1-MIN(1,'Core_Nativ'!M729/'Core_Nativ'!P729))*'Core_Nativ'!O735,"")),""))</x:f>
      </x:c>
      <x:c r="AN66" s="11" t="str">
        <x:f>IF(A66="","",IF(AND('Core_Nativ'!R730="CLOSED",'Core_Nativ'!S730=0),IF('Core_Nativ'!M730&gt;='Core_Nativ'!P730,'Core_Nativ'!N730,IF(AND('Input_Meci'!L66="YES",'Input_Meci'!K66&lt;&gt;"",'Input_Meci'!K66&lt;C66,'Core_Nativ'!T736="DERIVED",'Core_Nativ'!M736&gt;='Core_Nativ'!P730),MIN(1,'Core_Nativ'!M730/'Core_Nativ'!P730)*IF('Core_Nativ'!M730=0,0,'Core_Nativ'!N730)+(1-MIN(1,'Core_Nativ'!M730/'Core_Nativ'!P730))*'Core_Nativ'!N736,"")),""))</x:f>
      </x:c>
      <x:c r="AO66" s="11" t="str">
        <x:f>IF(A66="","",IF(AND('Core_Nativ'!R730="CLOSED",'Core_Nativ'!S730=0),IF('Core_Nativ'!M730&gt;='Core_Nativ'!P730,'Core_Nativ'!O730,IF(AND('Input_Meci'!L66="YES",'Input_Meci'!K66&lt;&gt;"",'Input_Meci'!K66&lt;C66,'Core_Nativ'!T736="DERIVED",'Core_Nativ'!M736&gt;='Core_Nativ'!P730),MIN(1,'Core_Nativ'!M730/'Core_Nativ'!P730)*IF('Core_Nativ'!M730=0,0,'Core_Nativ'!O730)+(1-MIN(1,'Core_Nativ'!M730/'Core_Nativ'!P730))*'Core_Nativ'!O736,"")),""))</x:f>
      </x:c>
      <x:c r="AP66" s="11" t="str">
        <x:f>IF(A66="","",IF(AND('Core_Nativ'!R731="CLOSED",'Core_Nativ'!S731=0),IF('Core_Nativ'!M731&gt;='Core_Nativ'!P731,'Core_Nativ'!N731,IF(AND('Input_Meci'!L66="YES",'Input_Meci'!K66&lt;&gt;"",'Input_Meci'!K66&lt;C66,'Core_Nativ'!T737="DERIVED",'Core_Nativ'!M737&gt;='Core_Nativ'!P731),MIN(1,'Core_Nativ'!M731/'Core_Nativ'!P731)*IF('Core_Nativ'!M731=0,0,'Core_Nativ'!N731)+(1-MIN(1,'Core_Nativ'!M731/'Core_Nativ'!P731))*'Core_Nativ'!N737,"")),""))</x:f>
      </x:c>
      <x:c r="AQ66" s="11" t="str">
        <x:f>IF(A66="","",IF(AND('Core_Nativ'!R731="CLOSED",'Core_Nativ'!S731=0),IF('Core_Nativ'!M731&gt;='Core_Nativ'!P731,'Core_Nativ'!O731,IF(AND('Input_Meci'!L66="YES",'Input_Meci'!K66&lt;&gt;"",'Input_Meci'!K66&lt;C66,'Core_Nativ'!T737="DERIVED",'Core_Nativ'!M737&gt;='Core_Nativ'!P731),MIN(1,'Core_Nativ'!M731/'Core_Nativ'!P731)*IF('Core_Nativ'!M731=0,0,'Core_Nativ'!O731)+(1-MIN(1,'Core_Nativ'!M731/'Core_Nativ'!P731))*'Core_Nativ'!O737,"")),""))</x:f>
      </x:c>
      <x:c r="AR66" s="11" t="str">
        <x:f>IF(A66="","",SUMPRODUCT(('Istoric_Nativ'!$B$6:$B$405=B66)*('Istoric_Nativ'!$C$6:$C$405=BL66)*('Istoric_Nativ'!$P$6:$P$405=1)*('Istoric_Nativ'!$D$6:$D$405&lt;INT(G66))*((('Istoric_Nativ'!$E$6:$E$405='Input_Meci'!D66)+('Istoric_Nativ'!$F$6:$F$405='Input_Meci'!D66)+('Istoric_Nativ'!$E$6:$E$405='Input_Meci'!E66)+('Istoric_Nativ'!$F$6:$F$405='Input_Meci'!E66))&gt;0)))</x:f>
      </x:c>
      <x:c r="AS66" s="11" t="str">
        <x:f>IF(AR66=0,"",SUMPRODUCT(('Istoric_Nativ'!$B$6:$B$405=B66)*('Istoric_Nativ'!$C$6:$C$405=BL66)*('Istoric_Nativ'!$P$6:$P$405=1)*('Istoric_Nativ'!$D$6:$D$405&lt;INT(G66))*((('Istoric_Nativ'!$E$6:$E$405='Input_Meci'!D66)+('Istoric_Nativ'!$F$6:$F$405='Input_Meci'!D66)+('Istoric_Nativ'!$E$6:$E$405='Input_Meci'!E66)+('Istoric_Nativ'!$F$6:$F$405='Input_Meci'!E66))&gt;0)*'Istoric_Nativ'!$Q$6:$Q$405)/AR66)</x:f>
      </x:c>
      <x:c r="AT66" s="11" t="str">
        <x:f>IF(AR66&lt;2,"",MAX(0,(SUMPRODUCT(('Istoric_Nativ'!$B$6:$B$405=B66)*('Istoric_Nativ'!$C$6:$C$405=BL66)*('Istoric_Nativ'!$P$6:$P$405=1)*('Istoric_Nativ'!$D$6:$D$405&lt;INT(G66))*((('Istoric_Nativ'!$E$6:$E$405='Input_Meci'!D66)+('Istoric_Nativ'!$F$6:$F$405='Input_Meci'!D66)+('Istoric_Nativ'!$E$6:$E$405='Input_Meci'!E66)+('Istoric_Nativ'!$F$6:$F$405='Input_Meci'!E66))&gt;0)*'Istoric_Nativ'!$R$6:$R$405)-AR66*AS66^2)/(AR66-1)))</x:f>
      </x:c>
      <x:c r="AU66" s="11" t="str">
        <x:f>IF(I66&lt;&gt;"PASS","",AT66/AS66)</x:f>
      </x:c>
      <x:c r="AV66" s="11" t="str">
        <x:f>IF(I66&lt;&gt;"PASS","",IF(AU66&lt;='Config_v6'!$B$10,"POISSON","NEGATIVE BINOMIAL"))</x:f>
      </x:c>
      <x:c r="AW66" s="11" t="str">
        <x:f>IF(I66&lt;&gt;"PASS","",IF(AV66="POISSON",9999,AS66/(AU66-1)))</x:f>
      </x:c>
      <x:c r="AX66" s="11" t="str">
        <x:f>IF(A66="","",MAX(1-'Config_v6'!$B$20,MIN(1+'Config_v6'!$B$20,1+0.02*(IF(AND(ISNUMBER('Input_Meci'!N66),'Input_Meci'!N66&gt;=0,'Input_Meci'!N66&lt;=200),'Input_Meci'!N66,12)/12-1)+0.02*(IF(AND(ISNUMBER('Input_Meci'!P66),'Input_Meci'!P66&gt;=0,'Input_Meci'!P66&lt;=200),'Input_Meci'!P66,3.5)/3.5-1)+0.02*(IF(AND(ISNUMBER('Input_Meci'!R66),'Input_Meci'!R66&gt;=0,'Input_Meci'!R66&lt;=200),'Input_Meci'!R66,18)/18-1)+0.02*((IF(AND(ISNUMBER('Input_Meci'!V66),'Input_Meci'!V66&gt;=0,'Input_Meci'!V66&lt;=10),'Input_Meci'!V66,5)-5)/5))))</x:f>
      </x:c>
      <x:c r="AY66" s="11" t="str">
        <x:f>IF(A66="","",MAX(1-'Config_v6'!$B$20,MIN(1+'Config_v6'!$B$20,1+0.02*(IF(AND(ISNUMBER('Input_Meci'!O66),'Input_Meci'!O66&gt;=0,'Input_Meci'!O66&lt;=200),'Input_Meci'!O66,12)/12-1)+0.02*(IF(AND(ISNUMBER('Input_Meci'!Q66),'Input_Meci'!Q66&gt;=0,'Input_Meci'!Q66&lt;=200),'Input_Meci'!Q66,3.5)/3.5-1)+0.02*(IF(AND(ISNUMBER('Input_Meci'!S66),'Input_Meci'!S66&gt;=0,'Input_Meci'!S66&lt;=200),'Input_Meci'!S66,18)/18-1)+0.02*((IF(AND(ISNUMBER('Input_Meci'!W66),'Input_Meci'!W66&gt;=0,'Input_Meci'!W66&lt;=10),'Input_Meci'!W66,5)-5)/5))))</x:f>
      </x:c>
      <x:c r="AZ66" s="11" t="str">
        <x:f>IF(A66="","",MAX(1-'Config_v6'!$B$21,MIN(1+'Config_v6'!$B$21,1+0.012*(IF('Input_Meci'!X66="",5,IF(ISNUMBER('Input_Meci'!X66),'Input_Meci'!X66,5))-5)+0.018*(IF('Input_Meci'!Z66="",5,IF(ISNUMBER('Input_Meci'!Z66),'Input_Meci'!Z66,5))-5)+0.012*(IF('Input_Meci'!AB66="",5,IF(ISNUMBER('Input_Meci'!AB66),'Input_Meci'!AB66,5))-5)+0.015*IF('Input_Meci'!AD66="",0,IF(ISNUMBER('Input_Meci'!AD66),'Input_Meci'!AD66,0))+0.02*IF('Input_Meci'!AF66="",0,IF(ISNUMBER('Input_Meci'!AF66),'Input_Meci'!AF66,0)))))</x:f>
      </x:c>
      <x:c r="BA66" s="11" t="str">
        <x:f>IF(A66="","",MAX(1-'Config_v6'!$B$21,MIN(1+'Config_v6'!$B$21,1+0.012*(IF('Input_Meci'!Y66="",5,IF(ISNUMBER('Input_Meci'!Y66),'Input_Meci'!Y66,5))-5)+0.018*(IF('Input_Meci'!AA66="",5,IF(ISNUMBER('Input_Meci'!AA66),'Input_Meci'!AA66,5))-5)+0.012*(IF('Input_Meci'!AC66="",5,IF(ISNUMBER('Input_Meci'!AC66),'Input_Meci'!AC66,5))-5)+0.015*IF('Input_Meci'!AE66="",0,IF(ISNUMBER('Input_Meci'!AE66),'Input_Meci'!AE66,0))+0.02*IF('Input_Meci'!AG66="",0,IF(ISNUMBER('Input_Meci'!AG66),'Input_Meci'!AG66,0)))))</x:f>
      </x:c>
      <x:c r="BB66" s="11" t="str">
        <x:f>IF(I66&lt;&gt;"PASS","",(AVERAGE(AF66,AM66)*'Config_v6'!$B$4+AVERAGE(AH66,AO66)*'Config_v6'!$B$5+AVERAGE(AJ66,AQ66)*'Config_v6'!$B$6)*AX66*AZ66)</x:f>
      </x:c>
      <x:c r="BC66" s="11" t="str">
        <x:f>IF(I66&lt;&gt;"PASS","",(AVERAGE(AL66,AG66)*'Config_v6'!$B$4+AVERAGE(AN66,AI66)*'Config_v6'!$B$5+AVERAGE(AP66,AK66)*'Config_v6'!$B$6)*AY66*BA66)</x:f>
      </x:c>
      <x:c r="BD66" s="11" t="str">
        <x:f>IF(I66&lt;&gt;"PASS","",BB66+BC66)</x:f>
      </x:c>
      <x:c r="BE66" s="11" t="str">
        <x:f>IF(A66="","",10-SUM(IF(AND(ISNUMBER('Input_Meci'!N66),'Input_Meci'!N66&gt;=0,'Input_Meci'!N66&lt;=200),1,0),IF(AND(ISNUMBER('Input_Meci'!O66),'Input_Meci'!O66&gt;=0,'Input_Meci'!O66&lt;=200),1,0),IF(AND(ISNUMBER('Input_Meci'!P66),'Input_Meci'!P66&gt;=0,'Input_Meci'!P66&lt;=200),1,0),IF(AND(ISNUMBER('Input_Meci'!Q66),'Input_Meci'!Q66&gt;=0,'Input_Meci'!Q66&lt;=200),1,0),IF(AND(ISNUMBER('Input_Meci'!R66),'Input_Meci'!R66&gt;=0,'Input_Meci'!R66&lt;=200),1,0),IF(AND(ISNUMBER('Input_Meci'!S66),'Input_Meci'!S66&gt;=0,'Input_Meci'!S66&lt;=200),1,0),IF(AND(ISNUMBER('Input_Meci'!T66),'Input_Meci'!T66&gt;=0,'Input_Meci'!T66&lt;=100),1,0),IF(AND(ISNUMBER('Input_Meci'!U66),'Input_Meci'!U66&gt;=0,'Input_Meci'!U66&lt;=100),1,0),IF(AND(ISNUMBER('Input_Meci'!V66),'Input_Meci'!V66&gt;=0,'Input_Meci'!V66&lt;=10),1,0),IF(AND(ISNUMBER('Input_Meci'!W66),'Input_Meci'!W66&gt;=0,'Input_Meci'!W66&lt;=10),1,0)))</x:f>
      </x:c>
      <x:c r="BF66" s="11" t="str">
        <x:f>IF(I66&lt;&gt;"PASS","",MAX(0,MIN(IF(OR(M66="YES",BL66&lt;&gt;C66),'Config_v6'!$B$34,100),ROUND(40+25*MIN(1,MIN(N66,Q66)/'Config_v6'!$B$7)*MIN(1,MIN(O66,R66)/'Config_v6'!$B$8)*MIN(1,MIN(P66,S66)/'Config_v6'!$B$9)+MAX(0,15-2*ABS(AF66-AJ66)-2*ABS(AL66-AP66))+IF(AU66&lt;='Config_v6'!$B$10,15,IF(AU66&lt;='Config_v6'!$B$11,13,IF(AU66&lt;='Config_v6'!$B$12,10,IF(AU66&lt;='Config_v6'!$B$13,6,0))))+5-BE66/10*'Config_v6'!$B$38,0))))</x:f>
      </x:c>
      <x:c r="BG66" s="11" t="str">
        <x:f>IF(I66&lt;&gt;"PASS","",MIN(1,'Config_v6'!$B$14*(0.7+0.3*MIN(1,AR66/'Config_v6'!$B$15))*IF(AU66&lt;='Config_v6'!$B$10,1,IF(AU66&lt;='Config_v6'!$B$11,0.95,IF(AU66&lt;='Config_v6'!$B$12,0.88,0.78)))*(0.75+0.25*BF66/100)))</x:f>
      </x:c>
      <x:c r="BH66" s="11" t="str">
        <x:f>IF(I66&lt;&gt;"PASS","",MIN(1,(ABS(AZ66-1)+ABS(BA66-1))*3))</x:f>
      </x:c>
      <x:c r="BI66" s="2" t="str">
        <x:f>IF(A66="","",IF(AND(OR('Input_Meci'!X66="",AND(ISNUMBER('Input_Meci'!X66),'Input_Meci'!X66&gt;=0,'Input_Meci'!X66&lt;=10)),OR('Input_Meci'!Y66="",AND(ISNUMBER('Input_Meci'!Y66),'Input_Meci'!Y66&gt;=0,'Input_Meci'!Y66&lt;=10)),OR('Input_Meci'!Z66="",AND(ISNUMBER('Input_Meci'!Z66),'Input_Meci'!Z66&gt;=0,'Input_Meci'!Z66&lt;=10)),OR('Input_Meci'!AA66="",AND(ISNUMBER('Input_Meci'!AA66),'Input_Meci'!AA66&gt;=0,'Input_Meci'!AA66&lt;=10)),OR('Input_Meci'!AB66="",AND(ISNUMBER('Input_Meci'!AB66),'Input_Meci'!AB66&gt;=0,'Input_Meci'!AB66&lt;=10)),OR('Input_Meci'!AC66="",AND(ISNUMBER('Input_Meci'!AC66),'Input_Meci'!AC66&gt;=0,'Input_Meci'!AC66&lt;=10)),OR('Input_Meci'!AD66="",AND(ISNUMBER('Input_Meci'!AD66),'Input_Meci'!AD66&gt;=-2,'Input_Meci'!AD66&lt;=2)),OR('Input_Meci'!AE66="",AND(ISNUMBER('Input_Meci'!AE66),'Input_Meci'!AE66&gt;=-2,'Input_Meci'!AE66&lt;=2)),OR('Input_Meci'!AF66="",AND(ISNUMBER('Input_Meci'!AF66),'Input_Meci'!AF66&gt;=-2,'Input_Meci'!AF66&lt;=2)),OR('Input_Meci'!AG66="",AND(ISNUMBER('Input_Meci'!AG66),'Input_Meci'!AG66&gt;=-2,'Input_Meci'!AG66&lt;=2))),"VALID","INVALID"))</x:f>
      </x:c>
      <x:c r="BJ66" s="2" t="n">
        <x:f>IF(A66="",0,SUM('Core_Nativ'!S726:S731))</x:f>
        <x:v>0</x:v>
      </x:c>
      <x:c r="BK66" s="2" t="str">
        <x:f>'Config_v6'!$B$40</x:f>
        <x:v>VALID</x:v>
      </x:c>
      <x:c r="BL66" s="2" t="str">
        <x:f>IF(A66="","",IF(SUMPRODUCT(('Istoric_Nativ'!$B$6:$B$405=B66)*('Istoric_Nativ'!$C$6:$C$405=C66)*('Istoric_Nativ'!$P$6:$P$405=1)*('Istoric_Nativ'!$D$6:$D$405&lt;INT(G66))*((('Istoric_Nativ'!$E$6:$E$405='Input_Meci'!D66)+('Istoric_Nativ'!$F$6:$F$405='Input_Meci'!D66)+('Istoric_Nativ'!$E$6:$E$405='Input_Meci'!E66)+('Istoric_Nativ'!$F$6:$F$405='Input_Meci'!E66))&gt;0))&gt;='Config_v6'!$B$41,C66,IF(AND('Input_Meci'!L66="YES",'Input_Meci'!K66&lt;&gt;"",'Input_Meci'!K66&lt;C66,COUNTIF('Core_Nativ'!R732:R737,"CLOSED")=6,SUM('Core_Nativ'!S732:S737)=0),'Input_Meci'!K66,C66)))</x:f>
      </x:c>
      <x:c r="BM66" s="9" t="n">
        <x:f>IF(OR(A66="",N66=0),0,LARGE(_xlfn._xlws.FILTER('Istoric_Nativ'!$D$6:$D$405,('Istoric_Nativ'!$B$6:$B$405=B66)*('Istoric_Nativ'!$C$6:$C$405=C66)*('Istoric_Nativ'!$P$6:$P$405=1)*('Istoric_Nativ'!$D$6:$D$405&lt;INT(G66))*((('Istoric_Nativ'!$E$6:$E$405='Input_Meci'!D66)+('Istoric_Nativ'!$F$6:$F$405='Input_Meci'!D66))&gt;0)),MIN(10,N66)))</x:f>
        <x:v>0</x:v>
      </x:c>
      <x:c r="BN66" s="9" t="n">
        <x:f>IF(OR(A66="",Q66=0),0,LARGE(_xlfn._xlws.FILTER('Istoric_Nativ'!$D$6:$D$405,('Istoric_Nativ'!$B$6:$B$405=B66)*('Istoric_Nativ'!$C$6:$C$405=C66)*('Istoric_Nativ'!$P$6:$P$405=1)*('Istoric_Nativ'!$D$6:$D$405&lt;INT(G66))*((('Istoric_Nativ'!$E$6:$E$405='Input_Meci'!E66)+('Istoric_Nativ'!$F$6:$F$405='Input_Meci'!E66))&gt;0)),MIN(10,Q66)))</x:f>
        <x:v>0</x:v>
      </x:c>
      <x:c r="BO66" s="9" t="n">
        <x:f>IF(OR(A66="",N66=0),0,LARGE(_xlfn._xlws.FILTER('Istoric_Nativ'!$D$6:$D$405,('Istoric_Nativ'!$B$6:$B$405=B66)*('Istoric_Nativ'!$C$6:$C$405=C66)*('Istoric_Nativ'!$P$6:$P$405=1)*('Istoric_Nativ'!$D$6:$D$405&lt;INT(G66))*((('Istoric_Nativ'!$E$6:$E$405='Input_Meci'!D66)+('Istoric_Nativ'!$F$6:$F$405='Input_Meci'!D66))&gt;0)),MIN(20,N66)))</x:f>
        <x:v>0</x:v>
      </x:c>
      <x:c r="BP66" s="9" t="n">
        <x:f>IF(OR(A66="",Q66=0),0,LARGE(_xlfn._xlws.FILTER('Istoric_Nativ'!$D$6:$D$405,('Istoric_Nativ'!$B$6:$B$405=B66)*('Istoric_Nativ'!$C$6:$C$405=C66)*('Istoric_Nativ'!$P$6:$P$405=1)*('Istoric_Nativ'!$D$6:$D$405&lt;INT(G66))*((('Istoric_Nativ'!$E$6:$E$405='Input_Meci'!E66)+('Istoric_Nativ'!$F$6:$F$405='Input_Meci'!E66))&gt;0)),MIN(20,Q66)))</x:f>
        <x:v>0</x:v>
      </x:c>
      <x:c r="BQ66" s="2" t="str">
        <x:f>IF(A66="","",IF(AND(COUNTIF(MatchesTable[Match_ID],A66)=1,COUNTIFS(MatchesTable[League],B66,MatchesTable[Season],C66,MatchesTable[Home],'Input_Meci'!D66,MatchesTable[Away],'Input_Meci'!E66,MatchesTable[Kickoff_UTC],F66)=1,B66&lt;&gt;"",C66&lt;&gt;"",'Input_Meci'!D66&lt;&gt;"",'Input_Meci'!E66&lt;&gt;"",'Input_Meci'!D66&lt;&gt;'Input_Meci'!E66,ISNUMBER(F66),ISNUMBER(G66),G66&lt;F66,OR(E66="LIVE",E66="REPLAY"),OR('Input_Meci'!L66="YES",'Input_Meci'!L66="NO",'Input_Meci'!L66="")),"VALID","INVALID"))</x:f>
      </x:c>
      <x:c r="BR66" s="2" t="n">
        <x:f>IF(I66&lt;&gt;"PASS",0,SUMPRODUCT(('Istoric_Nativ'!$B$6:$B$405='Input_Meci'!B66)*('Istoric_Nativ'!$C$6:$C$405='Input_Meci'!C66)*('Istoric_Nativ'!$P$6:$P$405=1)*('Istoric_Nativ'!$D$6:$D$405&lt;INT('Input_Meci'!G66))*((('Istoric_Nativ'!$E$6:$E$405='Input_Meci'!D66)+('Istoric_Nativ'!$F$6:$F$405='Input_Meci'!E66))&gt;0)))</x:f>
        <x:v>0</x:v>
      </x:c>
      <x:c r="BS66" s="2" t="n">
        <x:f>IF(I66&lt;&gt;"PASS",0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BM66)+((('Istoric_Nativ'!$E$6:$E$405='Input_Meci'!E66)+('Istoric_Nativ'!$F$6:$F$405='Input_Meci'!E66))&gt;0)*('Istoric_Nativ'!$D$6:$D$405&gt;=BN66))&gt;0)))</x:f>
        <x:v>0</x:v>
      </x:c>
      <x:c r="BT66" s="2" t="n">
        <x:f>IF(I66&lt;&gt;"PASS",0,SUMPRODUCT(('Istoric_Nativ'!$B$6:$B$405='Input_Meci'!B66)*('Istoric_Nativ'!$C$6:$C$405='Input_Meci'!C66)*('Istoric_Nativ'!$P$6:$P$405=1)*('Istoric_Nativ'!$D$6:$D$405&lt;INT('Input_Meci'!G66))*((((('Istoric_Nativ'!$E$6:$E$405='Input_Meci'!D66)+('Istoric_Nativ'!$F$6:$F$405='Input_Meci'!D66))&gt;0)*('Istoric_Nativ'!$D$6:$D$405&gt;=BO66)+((('Istoric_Nativ'!$E$6:$E$405='Input_Meci'!E66)+('Istoric_Nativ'!$F$6:$F$405='Input_Meci'!E66))&gt;0)*('Istoric_Nativ'!$D$6:$D$405&gt;=BP66))&gt;0)))</x:f>
        <x:v>0</x:v>
      </x:c>
    </x:row>
    <x:row r="67" ht="21" customHeight="1">
      <x:c r="A67" s="2" t="str">
        <x:f>IF('Input_Meci'!A67="","",'Input_Meci'!A67)</x:f>
      </x:c>
      <x:c r="B67" s="2" t="str">
        <x:f>IF(A67="","",'Input_Meci'!B67)</x:f>
      </x:c>
      <x:c r="C67" s="2" t="str">
        <x:f>IF(A67="","",'Input_Meci'!C67)</x:f>
      </x:c>
      <x:c r="D67" s="2" t="str">
        <x:f>IF(A67="","",'Input_Meci'!D67&amp;" – "&amp;'Input_Meci'!E67)</x:f>
      </x:c>
      <x:c r="E67" s="2" t="str">
        <x:f>IF(A67="","",'Input_Meci'!H67)</x:f>
      </x:c>
      <x:c r="F67" s="9" t="str">
        <x:f>IF(A67="","",'Input_Meci'!F67)</x:f>
      </x:c>
      <x:c r="G67" s="9" t="str">
        <x:f>IF(A67="","",'Input_Meci'!G67)</x:f>
      </x:c>
      <x:c r="H67" s="2" t="str">
        <x:f>IF(A67="","",IF(BQ67&lt;&gt;"VALID","NOT RELEASED",IF(AND(OR('Input_Meci'!I67="NOT AVAILABLE",'Input_Meci'!I67="SOURCE CONFLICT"),'Input_Meci'!J67&lt;&gt;""),"READY",IF(OR(NOT(OR('Input_Meci'!I67="AUTO",'Input_Meci'!I67="")),COUNTIF('Core_Nativ'!R738:R743,"CLOSED")&lt;&gt;6,BJ67&gt;0),"NOT RELEASED","READY"))))</x:f>
      </x:c>
      <x:c r="I67" s="2" t="str">
        <x:f>IF(A67="","",IF(H67&lt;&gt;"READY","NOT RELEASED",IF(AND(NOT(OR('Input_Meci'!I67="NOT AVAILABLE",'Input_Meci'!I67="SOURCE CONFLICT")),L67=12,AR67&gt;=2,AS67&gt;0,ISNUMBER(AT67),BI67="VALID",BK67="VALID"),"PASS","FAIL")))</x:f>
      </x:c>
      <x:c r="J67" s="2" t="str">
        <x:f>IF(A67="","",IF(BQ67&lt;&gt;"VALID","Verifica ID, echipe, mod si cutoff &lt; kickoff",IF(H67&lt;&gt;"READY",IF('Input_Meci'!I67="ACCESS BLOCKED","Acces blocat: reia sursele",IF(BJ67&gt;0,"Istoric invalid sau conflict: verifica randurile native","Surse neinchise / post-cutoff / dovezi incomplete")),IF(OR('Input_Meci'!I67="NOT AVAILABLE",'Input_Meci'!I67="SOURCE CONFLICT"),'Input_Meci'!I67,IF(BK67&lt;&gt;"VALID","Parametri invalizi",IF(L67&lt;&gt;12,"Core / sample / prior insuficient",IF(AR67&lt;2,"N insuficient pentru dispersie",IF(AS67&lt;=0,"Media istorica trebuie sa fie pozitiva",IF(BI67&lt;&gt;"VALID","Context invalid","READY")))))))))</x:f>
      </x:c>
      <x:c r="K67" s="2" t="str">
        <x:f>IF(A67="","",COUNT(T67:AE67))</x:f>
      </x:c>
      <x:c r="L67" s="2" t="str">
        <x:f>IF(A67="","",COUNT(AF67:AQ67))</x:f>
      </x:c>
      <x:c r="M67" s="2" t="str">
        <x:f>IF(A67="","",IF(OR('Core_Nativ'!M738&lt;'Core_Nativ'!P738,'Core_Nativ'!M739&lt;'Core_Nativ'!P739,'Core_Nativ'!M740&lt;'Core_Nativ'!P740,'Core_Nativ'!M741&lt;'Core_Nativ'!P741,'Core_Nativ'!M742&lt;'Core_Nativ'!P742,'Core_Nativ'!M743&lt;'Core_Nativ'!P743),"YES","NO"))</x:f>
      </x:c>
      <x:c r="N67" s="2" t="str">
        <x:f>IF(A67="","",'Core_Nativ'!M738)</x:f>
      </x:c>
      <x:c r="O67" s="2" t="str">
        <x:f>IF(A67="","",'Core_Nativ'!M739)</x:f>
      </x:c>
      <x:c r="P67" s="2" t="str">
        <x:f>IF(A67="","",'Core_Nativ'!M740)</x:f>
      </x:c>
      <x:c r="Q67" s="2" t="str">
        <x:f>IF(A67="","",'Core_Nativ'!M741)</x:f>
      </x:c>
      <x:c r="R67" s="2" t="str">
        <x:f>IF(A67="","",'Core_Nativ'!M742)</x:f>
      </x:c>
      <x:c r="S67" s="2" t="str">
        <x:f>IF(A67="","",'Core_Nativ'!M743)</x:f>
      </x:c>
      <x:c r="T67" s="11" t="str">
        <x:f>IF(OR(A67="",'Core_Nativ'!M738=0),"",'Core_Nativ'!N738)</x:f>
      </x:c>
      <x:c r="U67" s="11" t="str">
        <x:f>IF(OR(A67="",'Core_Nativ'!M738=0),"",'Core_Nativ'!O738)</x:f>
      </x:c>
      <x:c r="V67" s="11" t="str">
        <x:f>IF(OR(A67="",'Core_Nativ'!M739=0),"",'Core_Nativ'!N739)</x:f>
      </x:c>
      <x:c r="W67" s="11" t="str">
        <x:f>IF(OR(A67="",'Core_Nativ'!M739=0),"",'Core_Nativ'!O739)</x:f>
      </x:c>
      <x:c r="X67" s="11" t="str">
        <x:f>IF(OR(A67="",'Core_Nativ'!M740=0),"",'Core_Nativ'!N740)</x:f>
      </x:c>
      <x:c r="Y67" s="11" t="str">
        <x:f>IF(OR(A67="",'Core_Nativ'!M740=0),"",'Core_Nativ'!O740)</x:f>
      </x:c>
      <x:c r="Z67" s="11" t="str">
        <x:f>IF(OR(A67="",'Core_Nativ'!M741=0),"",'Core_Nativ'!N741)</x:f>
      </x:c>
      <x:c r="AA67" s="11" t="str">
        <x:f>IF(OR(A67="",'Core_Nativ'!M741=0),"",'Core_Nativ'!O741)</x:f>
      </x:c>
      <x:c r="AB67" s="11" t="str">
        <x:f>IF(OR(A67="",'Core_Nativ'!M742=0),"",'Core_Nativ'!N742)</x:f>
      </x:c>
      <x:c r="AC67" s="11" t="str">
        <x:f>IF(OR(A67="",'Core_Nativ'!M742=0),"",'Core_Nativ'!O742)</x:f>
      </x:c>
      <x:c r="AD67" s="11" t="str">
        <x:f>IF(OR(A67="",'Core_Nativ'!M743=0),"",'Core_Nativ'!N743)</x:f>
      </x:c>
      <x:c r="AE67" s="11" t="str">
        <x:f>IF(OR(A67="",'Core_Nativ'!M743=0),"",'Core_Nativ'!O743)</x:f>
      </x:c>
      <x:c r="AF67" s="11" t="str">
        <x:f>IF(A67="","",IF(AND('Core_Nativ'!R738="CLOSED",'Core_Nativ'!S738=0),IF('Core_Nativ'!M738&gt;='Core_Nativ'!P738,'Core_Nativ'!N738,IF(AND('Input_Meci'!L67="YES",'Input_Meci'!K67&lt;&gt;"",'Input_Meci'!K67&lt;C67,'Core_Nativ'!T744="DERIVED",'Core_Nativ'!M744&gt;='Core_Nativ'!P738),MIN(1,'Core_Nativ'!M738/'Core_Nativ'!P738)*IF('Core_Nativ'!M738=0,0,'Core_Nativ'!N738)+(1-MIN(1,'Core_Nativ'!M738/'Core_Nativ'!P738))*'Core_Nativ'!N744,"")),""))</x:f>
      </x:c>
      <x:c r="AG67" s="11" t="str">
        <x:f>IF(A67="","",IF(AND('Core_Nativ'!R738="CLOSED",'Core_Nativ'!S738=0),IF('Core_Nativ'!M738&gt;='Core_Nativ'!P738,'Core_Nativ'!O738,IF(AND('Input_Meci'!L67="YES",'Input_Meci'!K67&lt;&gt;"",'Input_Meci'!K67&lt;C67,'Core_Nativ'!T744="DERIVED",'Core_Nativ'!M744&gt;='Core_Nativ'!P738),MIN(1,'Core_Nativ'!M738/'Core_Nativ'!P738)*IF('Core_Nativ'!M738=0,0,'Core_Nativ'!O738)+(1-MIN(1,'Core_Nativ'!M738/'Core_Nativ'!P738))*'Core_Nativ'!O744,"")),""))</x:f>
      </x:c>
      <x:c r="AH67" s="11" t="str">
        <x:f>IF(A67="","",IF(AND('Core_Nativ'!R739="CLOSED",'Core_Nativ'!S739=0),IF('Core_Nativ'!M739&gt;='Core_Nativ'!P739,'Core_Nativ'!N739,IF(AND('Input_Meci'!L67="YES",'Input_Meci'!K67&lt;&gt;"",'Input_Meci'!K67&lt;C67,'Core_Nativ'!T745="DERIVED",'Core_Nativ'!M745&gt;='Core_Nativ'!P739),MIN(1,'Core_Nativ'!M739/'Core_Nativ'!P739)*IF('Core_Nativ'!M739=0,0,'Core_Nativ'!N739)+(1-MIN(1,'Core_Nativ'!M739/'Core_Nativ'!P739))*'Core_Nativ'!N745,"")),""))</x:f>
      </x:c>
      <x:c r="AI67" s="11" t="str">
        <x:f>IF(A67="","",IF(AND('Core_Nativ'!R739="CLOSED",'Core_Nativ'!S739=0),IF('Core_Nativ'!M739&gt;='Core_Nativ'!P739,'Core_Nativ'!O739,IF(AND('Input_Meci'!L67="YES",'Input_Meci'!K67&lt;&gt;"",'Input_Meci'!K67&lt;C67,'Core_Nativ'!T745="DERIVED",'Core_Nativ'!M745&gt;='Core_Nativ'!P739),MIN(1,'Core_Nativ'!M739/'Core_Nativ'!P739)*IF('Core_Nativ'!M739=0,0,'Core_Nativ'!O739)+(1-MIN(1,'Core_Nativ'!M739/'Core_Nativ'!P739))*'Core_Nativ'!O745,"")),""))</x:f>
      </x:c>
      <x:c r="AJ67" s="11" t="str">
        <x:f>IF(A67="","",IF(AND('Core_Nativ'!R740="CLOSED",'Core_Nativ'!S740=0),IF('Core_Nativ'!M740&gt;='Core_Nativ'!P740,'Core_Nativ'!N740,IF(AND('Input_Meci'!L67="YES",'Input_Meci'!K67&lt;&gt;"",'Input_Meci'!K67&lt;C67,'Core_Nativ'!T746="DERIVED",'Core_Nativ'!M746&gt;='Core_Nativ'!P740),MIN(1,'Core_Nativ'!M740/'Core_Nativ'!P740)*IF('Core_Nativ'!M740=0,0,'Core_Nativ'!N740)+(1-MIN(1,'Core_Nativ'!M740/'Core_Nativ'!P740))*'Core_Nativ'!N746,"")),""))</x:f>
      </x:c>
      <x:c r="AK67" s="11" t="str">
        <x:f>IF(A67="","",IF(AND('Core_Nativ'!R740="CLOSED",'Core_Nativ'!S740=0),IF('Core_Nativ'!M740&gt;='Core_Nativ'!P740,'Core_Nativ'!O740,IF(AND('Input_Meci'!L67="YES",'Input_Meci'!K67&lt;&gt;"",'Input_Meci'!K67&lt;C67,'Core_Nativ'!T746="DERIVED",'Core_Nativ'!M746&gt;='Core_Nativ'!P740),MIN(1,'Core_Nativ'!M740/'Core_Nativ'!P740)*IF('Core_Nativ'!M740=0,0,'Core_Nativ'!O740)+(1-MIN(1,'Core_Nativ'!M740/'Core_Nativ'!P740))*'Core_Nativ'!O746,"")),""))</x:f>
      </x:c>
      <x:c r="AL67" s="11" t="str">
        <x:f>IF(A67="","",IF(AND('Core_Nativ'!R741="CLOSED",'Core_Nativ'!S741=0),IF('Core_Nativ'!M741&gt;='Core_Nativ'!P741,'Core_Nativ'!N741,IF(AND('Input_Meci'!L67="YES",'Input_Meci'!K67&lt;&gt;"",'Input_Meci'!K67&lt;C67,'Core_Nativ'!T747="DERIVED",'Core_Nativ'!M747&gt;='Core_Nativ'!P741),MIN(1,'Core_Nativ'!M741/'Core_Nativ'!P741)*IF('Core_Nativ'!M741=0,0,'Core_Nativ'!N741)+(1-MIN(1,'Core_Nativ'!M741/'Core_Nativ'!P741))*'Core_Nativ'!N747,"")),""))</x:f>
      </x:c>
      <x:c r="AM67" s="11" t="str">
        <x:f>IF(A67="","",IF(AND('Core_Nativ'!R741="CLOSED",'Core_Nativ'!S741=0),IF('Core_Nativ'!M741&gt;='Core_Nativ'!P741,'Core_Nativ'!O741,IF(AND('Input_Meci'!L67="YES",'Input_Meci'!K67&lt;&gt;"",'Input_Meci'!K67&lt;C67,'Core_Nativ'!T747="DERIVED",'Core_Nativ'!M747&gt;='Core_Nativ'!P741),MIN(1,'Core_Nativ'!M741/'Core_Nativ'!P741)*IF('Core_Nativ'!M741=0,0,'Core_Nativ'!O741)+(1-MIN(1,'Core_Nativ'!M741/'Core_Nativ'!P741))*'Core_Nativ'!O747,"")),""))</x:f>
      </x:c>
      <x:c r="AN67" s="11" t="str">
        <x:f>IF(A67="","",IF(AND('Core_Nativ'!R742="CLOSED",'Core_Nativ'!S742=0),IF('Core_Nativ'!M742&gt;='Core_Nativ'!P742,'Core_Nativ'!N742,IF(AND('Input_Meci'!L67="YES",'Input_Meci'!K67&lt;&gt;"",'Input_Meci'!K67&lt;C67,'Core_Nativ'!T748="DERIVED",'Core_Nativ'!M748&gt;='Core_Nativ'!P742),MIN(1,'Core_Nativ'!M742/'Core_Nativ'!P742)*IF('Core_Nativ'!M742=0,0,'Core_Nativ'!N742)+(1-MIN(1,'Core_Nativ'!M742/'Core_Nativ'!P742))*'Core_Nativ'!N748,"")),""))</x:f>
      </x:c>
      <x:c r="AO67" s="11" t="str">
        <x:f>IF(A67="","",IF(AND('Core_Nativ'!R742="CLOSED",'Core_Nativ'!S742=0),IF('Core_Nativ'!M742&gt;='Core_Nativ'!P742,'Core_Nativ'!O742,IF(AND('Input_Meci'!L67="YES",'Input_Meci'!K67&lt;&gt;"",'Input_Meci'!K67&lt;C67,'Core_Nativ'!T748="DERIVED",'Core_Nativ'!M748&gt;='Core_Nativ'!P742),MIN(1,'Core_Nativ'!M742/'Core_Nativ'!P742)*IF('Core_Nativ'!M742=0,0,'Core_Nativ'!O742)+(1-MIN(1,'Core_Nativ'!M742/'Core_Nativ'!P742))*'Core_Nativ'!O748,"")),""))</x:f>
      </x:c>
      <x:c r="AP67" s="11" t="str">
        <x:f>IF(A67="","",IF(AND('Core_Nativ'!R743="CLOSED",'Core_Nativ'!S743=0),IF('Core_Nativ'!M743&gt;='Core_Nativ'!P743,'Core_Nativ'!N743,IF(AND('Input_Meci'!L67="YES",'Input_Meci'!K67&lt;&gt;"",'Input_Meci'!K67&lt;C67,'Core_Nativ'!T749="DERIVED",'Core_Nativ'!M749&gt;='Core_Nativ'!P743),MIN(1,'Core_Nativ'!M743/'Core_Nativ'!P743)*IF('Core_Nativ'!M743=0,0,'Core_Nativ'!N743)+(1-MIN(1,'Core_Nativ'!M743/'Core_Nativ'!P743))*'Core_Nativ'!N749,"")),""))</x:f>
      </x:c>
      <x:c r="AQ67" s="11" t="str">
        <x:f>IF(A67="","",IF(AND('Core_Nativ'!R743="CLOSED",'Core_Nativ'!S743=0),IF('Core_Nativ'!M743&gt;='Core_Nativ'!P743,'Core_Nativ'!O743,IF(AND('Input_Meci'!L67="YES",'Input_Meci'!K67&lt;&gt;"",'Input_Meci'!K67&lt;C67,'Core_Nativ'!T749="DERIVED",'Core_Nativ'!M749&gt;='Core_Nativ'!P743),MIN(1,'Core_Nativ'!M743/'Core_Nativ'!P743)*IF('Core_Nativ'!M743=0,0,'Core_Nativ'!O743)+(1-MIN(1,'Core_Nativ'!M743/'Core_Nativ'!P743))*'Core_Nativ'!O749,"")),""))</x:f>
      </x:c>
      <x:c r="AR67" s="11" t="str">
        <x:f>IF(A67="","",SUMPRODUCT(('Istoric_Nativ'!$B$6:$B$405=B67)*('Istoric_Nativ'!$C$6:$C$405=BL67)*('Istoric_Nativ'!$P$6:$P$405=1)*('Istoric_Nativ'!$D$6:$D$405&lt;INT(G67))*((('Istoric_Nativ'!$E$6:$E$405='Input_Meci'!D67)+('Istoric_Nativ'!$F$6:$F$405='Input_Meci'!D67)+('Istoric_Nativ'!$E$6:$E$405='Input_Meci'!E67)+('Istoric_Nativ'!$F$6:$F$405='Input_Meci'!E67))&gt;0)))</x:f>
      </x:c>
      <x:c r="AS67" s="11" t="str">
        <x:f>IF(AR67=0,"",SUMPRODUCT(('Istoric_Nativ'!$B$6:$B$405=B67)*('Istoric_Nativ'!$C$6:$C$405=BL67)*('Istoric_Nativ'!$P$6:$P$405=1)*('Istoric_Nativ'!$D$6:$D$405&lt;INT(G67))*((('Istoric_Nativ'!$E$6:$E$405='Input_Meci'!D67)+('Istoric_Nativ'!$F$6:$F$405='Input_Meci'!D67)+('Istoric_Nativ'!$E$6:$E$405='Input_Meci'!E67)+('Istoric_Nativ'!$F$6:$F$405='Input_Meci'!E67))&gt;0)*'Istoric_Nativ'!$Q$6:$Q$405)/AR67)</x:f>
      </x:c>
      <x:c r="AT67" s="11" t="str">
        <x:f>IF(AR67&lt;2,"",MAX(0,(SUMPRODUCT(('Istoric_Nativ'!$B$6:$B$405=B67)*('Istoric_Nativ'!$C$6:$C$405=BL67)*('Istoric_Nativ'!$P$6:$P$405=1)*('Istoric_Nativ'!$D$6:$D$405&lt;INT(G67))*((('Istoric_Nativ'!$E$6:$E$405='Input_Meci'!D67)+('Istoric_Nativ'!$F$6:$F$405='Input_Meci'!D67)+('Istoric_Nativ'!$E$6:$E$405='Input_Meci'!E67)+('Istoric_Nativ'!$F$6:$F$405='Input_Meci'!E67))&gt;0)*'Istoric_Nativ'!$R$6:$R$405)-AR67*AS67^2)/(AR67-1)))</x:f>
      </x:c>
      <x:c r="AU67" s="11" t="str">
        <x:f>IF(I67&lt;&gt;"PASS","",AT67/AS67)</x:f>
      </x:c>
      <x:c r="AV67" s="11" t="str">
        <x:f>IF(I67&lt;&gt;"PASS","",IF(AU67&lt;='Config_v6'!$B$10,"POISSON","NEGATIVE BINOMIAL"))</x:f>
      </x:c>
      <x:c r="AW67" s="11" t="str">
        <x:f>IF(I67&lt;&gt;"PASS","",IF(AV67="POISSON",9999,AS67/(AU67-1)))</x:f>
      </x:c>
      <x:c r="AX67" s="11" t="str">
        <x:f>IF(A67="","",MAX(1-'Config_v6'!$B$20,MIN(1+'Config_v6'!$B$20,1+0.02*(IF(AND(ISNUMBER('Input_Meci'!N67),'Input_Meci'!N67&gt;=0,'Input_Meci'!N67&lt;=200),'Input_Meci'!N67,12)/12-1)+0.02*(IF(AND(ISNUMBER('Input_Meci'!P67),'Input_Meci'!P67&gt;=0,'Input_Meci'!P67&lt;=200),'Input_Meci'!P67,3.5)/3.5-1)+0.02*(IF(AND(ISNUMBER('Input_Meci'!R67),'Input_Meci'!R67&gt;=0,'Input_Meci'!R67&lt;=200),'Input_Meci'!R67,18)/18-1)+0.02*((IF(AND(ISNUMBER('Input_Meci'!V67),'Input_Meci'!V67&gt;=0,'Input_Meci'!V67&lt;=10),'Input_Meci'!V67,5)-5)/5))))</x:f>
      </x:c>
      <x:c r="AY67" s="11" t="str">
        <x:f>IF(A67="","",MAX(1-'Config_v6'!$B$20,MIN(1+'Config_v6'!$B$20,1+0.02*(IF(AND(ISNUMBER('Input_Meci'!O67),'Input_Meci'!O67&gt;=0,'Input_Meci'!O67&lt;=200),'Input_Meci'!O67,12)/12-1)+0.02*(IF(AND(ISNUMBER('Input_Meci'!Q67),'Input_Meci'!Q67&gt;=0,'Input_Meci'!Q67&lt;=200),'Input_Meci'!Q67,3.5)/3.5-1)+0.02*(IF(AND(ISNUMBER('Input_Meci'!S67),'Input_Meci'!S67&gt;=0,'Input_Meci'!S67&lt;=200),'Input_Meci'!S67,18)/18-1)+0.02*((IF(AND(ISNUMBER('Input_Meci'!W67),'Input_Meci'!W67&gt;=0,'Input_Meci'!W67&lt;=10),'Input_Meci'!W67,5)-5)/5))))</x:f>
      </x:c>
      <x:c r="AZ67" s="11" t="str">
        <x:f>IF(A67="","",MAX(1-'Config_v6'!$B$21,MIN(1+'Config_v6'!$B$21,1+0.012*(IF('Input_Meci'!X67="",5,IF(ISNUMBER('Input_Meci'!X67),'Input_Meci'!X67,5))-5)+0.018*(IF('Input_Meci'!Z67="",5,IF(ISNUMBER('Input_Meci'!Z67),'Input_Meci'!Z67,5))-5)+0.012*(IF('Input_Meci'!AB67="",5,IF(ISNUMBER('Input_Meci'!AB67),'Input_Meci'!AB67,5))-5)+0.015*IF('Input_Meci'!AD67="",0,IF(ISNUMBER('Input_Meci'!AD67),'Input_Meci'!AD67,0))+0.02*IF('Input_Meci'!AF67="",0,IF(ISNUMBER('Input_Meci'!AF67),'Input_Meci'!AF67,0)))))</x:f>
      </x:c>
      <x:c r="BA67" s="11" t="str">
        <x:f>IF(A67="","",MAX(1-'Config_v6'!$B$21,MIN(1+'Config_v6'!$B$21,1+0.012*(IF('Input_Meci'!Y67="",5,IF(ISNUMBER('Input_Meci'!Y67),'Input_Meci'!Y67,5))-5)+0.018*(IF('Input_Meci'!AA67="",5,IF(ISNUMBER('Input_Meci'!AA67),'Input_Meci'!AA67,5))-5)+0.012*(IF('Input_Meci'!AC67="",5,IF(ISNUMBER('Input_Meci'!AC67),'Input_Meci'!AC67,5))-5)+0.015*IF('Input_Meci'!AE67="",0,IF(ISNUMBER('Input_Meci'!AE67),'Input_Meci'!AE67,0))+0.02*IF('Input_Meci'!AG67="",0,IF(ISNUMBER('Input_Meci'!AG67),'Input_Meci'!AG67,0)))))</x:f>
      </x:c>
      <x:c r="BB67" s="11" t="str">
        <x:f>IF(I67&lt;&gt;"PASS","",(AVERAGE(AF67,AM67)*'Config_v6'!$B$4+AVERAGE(AH67,AO67)*'Config_v6'!$B$5+AVERAGE(AJ67,AQ67)*'Config_v6'!$B$6)*AX67*AZ67)</x:f>
      </x:c>
      <x:c r="BC67" s="11" t="str">
        <x:f>IF(I67&lt;&gt;"PASS","",(AVERAGE(AL67,AG67)*'Config_v6'!$B$4+AVERAGE(AN67,AI67)*'Config_v6'!$B$5+AVERAGE(AP67,AK67)*'Config_v6'!$B$6)*AY67*BA67)</x:f>
      </x:c>
      <x:c r="BD67" s="11" t="str">
        <x:f>IF(I67&lt;&gt;"PASS","",BB67+BC67)</x:f>
      </x:c>
      <x:c r="BE67" s="11" t="str">
        <x:f>IF(A67="","",10-SUM(IF(AND(ISNUMBER('Input_Meci'!N67),'Input_Meci'!N67&gt;=0,'Input_Meci'!N67&lt;=200),1,0),IF(AND(ISNUMBER('Input_Meci'!O67),'Input_Meci'!O67&gt;=0,'Input_Meci'!O67&lt;=200),1,0),IF(AND(ISNUMBER('Input_Meci'!P67),'Input_Meci'!P67&gt;=0,'Input_Meci'!P67&lt;=200),1,0),IF(AND(ISNUMBER('Input_Meci'!Q67),'Input_Meci'!Q67&gt;=0,'Input_Meci'!Q67&lt;=200),1,0),IF(AND(ISNUMBER('Input_Meci'!R67),'Input_Meci'!R67&gt;=0,'Input_Meci'!R67&lt;=200),1,0),IF(AND(ISNUMBER('Input_Meci'!S67),'Input_Meci'!S67&gt;=0,'Input_Meci'!S67&lt;=200),1,0),IF(AND(ISNUMBER('Input_Meci'!T67),'Input_Meci'!T67&gt;=0,'Input_Meci'!T67&lt;=100),1,0),IF(AND(ISNUMBER('Input_Meci'!U67),'Input_Meci'!U67&gt;=0,'Input_Meci'!U67&lt;=100),1,0),IF(AND(ISNUMBER('Input_Meci'!V67),'Input_Meci'!V67&gt;=0,'Input_Meci'!V67&lt;=10),1,0),IF(AND(ISNUMBER('Input_Meci'!W67),'Input_Meci'!W67&gt;=0,'Input_Meci'!W67&lt;=10),1,0)))</x:f>
      </x:c>
      <x:c r="BF67" s="11" t="str">
        <x:f>IF(I67&lt;&gt;"PASS","",MAX(0,MIN(IF(OR(M67="YES",BL67&lt;&gt;C67),'Config_v6'!$B$34,100),ROUND(40+25*MIN(1,MIN(N67,Q67)/'Config_v6'!$B$7)*MIN(1,MIN(O67,R67)/'Config_v6'!$B$8)*MIN(1,MIN(P67,S67)/'Config_v6'!$B$9)+MAX(0,15-2*ABS(AF67-AJ67)-2*ABS(AL67-AP67))+IF(AU67&lt;='Config_v6'!$B$10,15,IF(AU67&lt;='Config_v6'!$B$11,13,IF(AU67&lt;='Config_v6'!$B$12,10,IF(AU67&lt;='Config_v6'!$B$13,6,0))))+5-BE67/10*'Config_v6'!$B$38,0))))</x:f>
      </x:c>
      <x:c r="BG67" s="11" t="str">
        <x:f>IF(I67&lt;&gt;"PASS","",MIN(1,'Config_v6'!$B$14*(0.7+0.3*MIN(1,AR67/'Config_v6'!$B$15))*IF(AU67&lt;='Config_v6'!$B$10,1,IF(AU67&lt;='Config_v6'!$B$11,0.95,IF(AU67&lt;='Config_v6'!$B$12,0.88,0.78)))*(0.75+0.25*BF67/100)))</x:f>
      </x:c>
      <x:c r="BH67" s="11" t="str">
        <x:f>IF(I67&lt;&gt;"PASS","",MIN(1,(ABS(AZ67-1)+ABS(BA67-1))*3))</x:f>
      </x:c>
      <x:c r="BI67" s="2" t="str">
        <x:f>IF(A67="","",IF(AND(OR('Input_Meci'!X67="",AND(ISNUMBER('Input_Meci'!X67),'Input_Meci'!X67&gt;=0,'Input_Meci'!X67&lt;=10)),OR('Input_Meci'!Y67="",AND(ISNUMBER('Input_Meci'!Y67),'Input_Meci'!Y67&gt;=0,'Input_Meci'!Y67&lt;=10)),OR('Input_Meci'!Z67="",AND(ISNUMBER('Input_Meci'!Z67),'Input_Meci'!Z67&gt;=0,'Input_Meci'!Z67&lt;=10)),OR('Input_Meci'!AA67="",AND(ISNUMBER('Input_Meci'!AA67),'Input_Meci'!AA67&gt;=0,'Input_Meci'!AA67&lt;=10)),OR('Input_Meci'!AB67="",AND(ISNUMBER('Input_Meci'!AB67),'Input_Meci'!AB67&gt;=0,'Input_Meci'!AB67&lt;=10)),OR('Input_Meci'!AC67="",AND(ISNUMBER('Input_Meci'!AC67),'Input_Meci'!AC67&gt;=0,'Input_Meci'!AC67&lt;=10)),OR('Input_Meci'!AD67="",AND(ISNUMBER('Input_Meci'!AD67),'Input_Meci'!AD67&gt;=-2,'Input_Meci'!AD67&lt;=2)),OR('Input_Meci'!AE67="",AND(ISNUMBER('Input_Meci'!AE67),'Input_Meci'!AE67&gt;=-2,'Input_Meci'!AE67&lt;=2)),OR('Input_Meci'!AF67="",AND(ISNUMBER('Input_Meci'!AF67),'Input_Meci'!AF67&gt;=-2,'Input_Meci'!AF67&lt;=2)),OR('Input_Meci'!AG67="",AND(ISNUMBER('Input_Meci'!AG67),'Input_Meci'!AG67&gt;=-2,'Input_Meci'!AG67&lt;=2))),"VALID","INVALID"))</x:f>
      </x:c>
      <x:c r="BJ67" s="2" t="n">
        <x:f>IF(A67="",0,SUM('Core_Nativ'!S738:S743))</x:f>
        <x:v>0</x:v>
      </x:c>
      <x:c r="BK67" s="2" t="str">
        <x:f>'Config_v6'!$B$40</x:f>
        <x:v>VALID</x:v>
      </x:c>
      <x:c r="BL67" s="2" t="str">
        <x:f>IF(A67="","",IF(SUMPRODUCT(('Istoric_Nativ'!$B$6:$B$405=B67)*('Istoric_Nativ'!$C$6:$C$405=C67)*('Istoric_Nativ'!$P$6:$P$405=1)*('Istoric_Nativ'!$D$6:$D$405&lt;INT(G67))*((('Istoric_Nativ'!$E$6:$E$405='Input_Meci'!D67)+('Istoric_Nativ'!$F$6:$F$405='Input_Meci'!D67)+('Istoric_Nativ'!$E$6:$E$405='Input_Meci'!E67)+('Istoric_Nativ'!$F$6:$F$405='Input_Meci'!E67))&gt;0))&gt;='Config_v6'!$B$41,C67,IF(AND('Input_Meci'!L67="YES",'Input_Meci'!K67&lt;&gt;"",'Input_Meci'!K67&lt;C67,COUNTIF('Core_Nativ'!R744:R749,"CLOSED")=6,SUM('Core_Nativ'!S744:S749)=0),'Input_Meci'!K67,C67)))</x:f>
      </x:c>
      <x:c r="BM67" s="9" t="n">
        <x:f>IF(OR(A67="",N67=0),0,LARGE(_xlfn._xlws.FILTER('Istoric_Nativ'!$D$6:$D$405,('Istoric_Nativ'!$B$6:$B$405=B67)*('Istoric_Nativ'!$C$6:$C$405=C67)*('Istoric_Nativ'!$P$6:$P$405=1)*('Istoric_Nativ'!$D$6:$D$405&lt;INT(G67))*((('Istoric_Nativ'!$E$6:$E$405='Input_Meci'!D67)+('Istoric_Nativ'!$F$6:$F$405='Input_Meci'!D67))&gt;0)),MIN(10,N67)))</x:f>
        <x:v>0</x:v>
      </x:c>
      <x:c r="BN67" s="9" t="n">
        <x:f>IF(OR(A67="",Q67=0),0,LARGE(_xlfn._xlws.FILTER('Istoric_Nativ'!$D$6:$D$405,('Istoric_Nativ'!$B$6:$B$405=B67)*('Istoric_Nativ'!$C$6:$C$405=C67)*('Istoric_Nativ'!$P$6:$P$405=1)*('Istoric_Nativ'!$D$6:$D$405&lt;INT(G67))*((('Istoric_Nativ'!$E$6:$E$405='Input_Meci'!E67)+('Istoric_Nativ'!$F$6:$F$405='Input_Meci'!E67))&gt;0)),MIN(10,Q67)))</x:f>
        <x:v>0</x:v>
      </x:c>
      <x:c r="BO67" s="9" t="n">
        <x:f>IF(OR(A67="",N67=0),0,LARGE(_xlfn._xlws.FILTER('Istoric_Nativ'!$D$6:$D$405,('Istoric_Nativ'!$B$6:$B$405=B67)*('Istoric_Nativ'!$C$6:$C$405=C67)*('Istoric_Nativ'!$P$6:$P$405=1)*('Istoric_Nativ'!$D$6:$D$405&lt;INT(G67))*((('Istoric_Nativ'!$E$6:$E$405='Input_Meci'!D67)+('Istoric_Nativ'!$F$6:$F$405='Input_Meci'!D67))&gt;0)),MIN(20,N67)))</x:f>
        <x:v>0</x:v>
      </x:c>
      <x:c r="BP67" s="9" t="n">
        <x:f>IF(OR(A67="",Q67=0),0,LARGE(_xlfn._xlws.FILTER('Istoric_Nativ'!$D$6:$D$405,('Istoric_Nativ'!$B$6:$B$405=B67)*('Istoric_Nativ'!$C$6:$C$405=C67)*('Istoric_Nativ'!$P$6:$P$405=1)*('Istoric_Nativ'!$D$6:$D$405&lt;INT(G67))*((('Istoric_Nativ'!$E$6:$E$405='Input_Meci'!E67)+('Istoric_Nativ'!$F$6:$F$405='Input_Meci'!E67))&gt;0)),MIN(20,Q67)))</x:f>
        <x:v>0</x:v>
      </x:c>
      <x:c r="BQ67" s="2" t="str">
        <x:f>IF(A67="","",IF(AND(COUNTIF(MatchesTable[Match_ID],A67)=1,COUNTIFS(MatchesTable[League],B67,MatchesTable[Season],C67,MatchesTable[Home],'Input_Meci'!D67,MatchesTable[Away],'Input_Meci'!E67,MatchesTable[Kickoff_UTC],F67)=1,B67&lt;&gt;"",C67&lt;&gt;"",'Input_Meci'!D67&lt;&gt;"",'Input_Meci'!E67&lt;&gt;"",'Input_Meci'!D67&lt;&gt;'Input_Meci'!E67,ISNUMBER(F67),ISNUMBER(G67),G67&lt;F67,OR(E67="LIVE",E67="REPLAY"),OR('Input_Meci'!L67="YES",'Input_Meci'!L67="NO",'Input_Meci'!L67="")),"VALID","INVALID"))</x:f>
      </x:c>
      <x:c r="BR67" s="2" t="n">
        <x:f>IF(I67&lt;&gt;"PASS",0,SUMPRODUCT(('Istoric_Nativ'!$B$6:$B$405='Input_Meci'!B67)*('Istoric_Nativ'!$C$6:$C$405='Input_Meci'!C67)*('Istoric_Nativ'!$P$6:$P$405=1)*('Istoric_Nativ'!$D$6:$D$405&lt;INT('Input_Meci'!G67))*((('Istoric_Nativ'!$E$6:$E$405='Input_Meci'!D67)+('Istoric_Nativ'!$F$6:$F$405='Input_Meci'!E67))&gt;0)))</x:f>
        <x:v>0</x:v>
      </x:c>
      <x:c r="BS67" s="2" t="n">
        <x:f>IF(I67&lt;&gt;"PASS",0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BM67)+((('Istoric_Nativ'!$E$6:$E$405='Input_Meci'!E67)+('Istoric_Nativ'!$F$6:$F$405='Input_Meci'!E67))&gt;0)*('Istoric_Nativ'!$D$6:$D$405&gt;=BN67))&gt;0)))</x:f>
        <x:v>0</x:v>
      </x:c>
      <x:c r="BT67" s="2" t="n">
        <x:f>IF(I67&lt;&gt;"PASS",0,SUMPRODUCT(('Istoric_Nativ'!$B$6:$B$405='Input_Meci'!B67)*('Istoric_Nativ'!$C$6:$C$405='Input_Meci'!C67)*('Istoric_Nativ'!$P$6:$P$405=1)*('Istoric_Nativ'!$D$6:$D$405&lt;INT('Input_Meci'!G67))*((((('Istoric_Nativ'!$E$6:$E$405='Input_Meci'!D67)+('Istoric_Nativ'!$F$6:$F$405='Input_Meci'!D67))&gt;0)*('Istoric_Nativ'!$D$6:$D$405&gt;=BO67)+((('Istoric_Nativ'!$E$6:$E$405='Input_Meci'!E67)+('Istoric_Nativ'!$F$6:$F$405='Input_Meci'!E67))&gt;0)*('Istoric_Nativ'!$D$6:$D$405&gt;=BP67))&gt;0)))</x:f>
        <x:v>0</x:v>
      </x:c>
    </x:row>
    <x:row r="68" ht="21" customHeight="1">
      <x:c r="A68" s="2" t="str">
        <x:f>IF('Input_Meci'!A68="","",'Input_Meci'!A68)</x:f>
      </x:c>
      <x:c r="B68" s="2" t="str">
        <x:f>IF(A68="","",'Input_Meci'!B68)</x:f>
      </x:c>
      <x:c r="C68" s="2" t="str">
        <x:f>IF(A68="","",'Input_Meci'!C68)</x:f>
      </x:c>
      <x:c r="D68" s="2" t="str">
        <x:f>IF(A68="","",'Input_Meci'!D68&amp;" – "&amp;'Input_Meci'!E68)</x:f>
      </x:c>
      <x:c r="E68" s="2" t="str">
        <x:f>IF(A68="","",'Input_Meci'!H68)</x:f>
      </x:c>
      <x:c r="F68" s="9" t="str">
        <x:f>IF(A68="","",'Input_Meci'!F68)</x:f>
      </x:c>
      <x:c r="G68" s="9" t="str">
        <x:f>IF(A68="","",'Input_Meci'!G68)</x:f>
      </x:c>
      <x:c r="H68" s="2" t="str">
        <x:f>IF(A68="","",IF(BQ68&lt;&gt;"VALID","NOT RELEASED",IF(AND(OR('Input_Meci'!I68="NOT AVAILABLE",'Input_Meci'!I68="SOURCE CONFLICT"),'Input_Meci'!J68&lt;&gt;""),"READY",IF(OR(NOT(OR('Input_Meci'!I68="AUTO",'Input_Meci'!I68="")),COUNTIF('Core_Nativ'!R750:R755,"CLOSED")&lt;&gt;6,BJ68&gt;0),"NOT RELEASED","READY"))))</x:f>
      </x:c>
      <x:c r="I68" s="2" t="str">
        <x:f>IF(A68="","",IF(H68&lt;&gt;"READY","NOT RELEASED",IF(AND(NOT(OR('Input_Meci'!I68="NOT AVAILABLE",'Input_Meci'!I68="SOURCE CONFLICT")),L68=12,AR68&gt;=2,AS68&gt;0,ISNUMBER(AT68),BI68="VALID",BK68="VALID"),"PASS","FAIL")))</x:f>
      </x:c>
      <x:c r="J68" s="2" t="str">
        <x:f>IF(A68="","",IF(BQ68&lt;&gt;"VALID","Verifica ID, echipe, mod si cutoff &lt; kickoff",IF(H68&lt;&gt;"READY",IF('Input_Meci'!I68="ACCESS BLOCKED","Acces blocat: reia sursele",IF(BJ68&gt;0,"Istoric invalid sau conflict: verifica randurile native","Surse neinchise / post-cutoff / dovezi incomplete")),IF(OR('Input_Meci'!I68="NOT AVAILABLE",'Input_Meci'!I68="SOURCE CONFLICT"),'Input_Meci'!I68,IF(BK68&lt;&gt;"VALID","Parametri invalizi",IF(L68&lt;&gt;12,"Core / sample / prior insuficient",IF(AR68&lt;2,"N insuficient pentru dispersie",IF(AS68&lt;=0,"Media istorica trebuie sa fie pozitiva",IF(BI68&lt;&gt;"VALID","Context invalid","READY")))))))))</x:f>
      </x:c>
      <x:c r="K68" s="2" t="str">
        <x:f>IF(A68="","",COUNT(T68:AE68))</x:f>
      </x:c>
      <x:c r="L68" s="2" t="str">
        <x:f>IF(A68="","",COUNT(AF68:AQ68))</x:f>
      </x:c>
      <x:c r="M68" s="2" t="str">
        <x:f>IF(A68="","",IF(OR('Core_Nativ'!M750&lt;'Core_Nativ'!P750,'Core_Nativ'!M751&lt;'Core_Nativ'!P751,'Core_Nativ'!M752&lt;'Core_Nativ'!P752,'Core_Nativ'!M753&lt;'Core_Nativ'!P753,'Core_Nativ'!M754&lt;'Core_Nativ'!P754,'Core_Nativ'!M755&lt;'Core_Nativ'!P755),"YES","NO"))</x:f>
      </x:c>
      <x:c r="N68" s="2" t="str">
        <x:f>IF(A68="","",'Core_Nativ'!M750)</x:f>
      </x:c>
      <x:c r="O68" s="2" t="str">
        <x:f>IF(A68="","",'Core_Nativ'!M751)</x:f>
      </x:c>
      <x:c r="P68" s="2" t="str">
        <x:f>IF(A68="","",'Core_Nativ'!M752)</x:f>
      </x:c>
      <x:c r="Q68" s="2" t="str">
        <x:f>IF(A68="","",'Core_Nativ'!M753)</x:f>
      </x:c>
      <x:c r="R68" s="2" t="str">
        <x:f>IF(A68="","",'Core_Nativ'!M754)</x:f>
      </x:c>
      <x:c r="S68" s="2" t="str">
        <x:f>IF(A68="","",'Core_Nativ'!M755)</x:f>
      </x:c>
      <x:c r="T68" s="11" t="str">
        <x:f>IF(OR(A68="",'Core_Nativ'!M750=0),"",'Core_Nativ'!N750)</x:f>
      </x:c>
      <x:c r="U68" s="11" t="str">
        <x:f>IF(OR(A68="",'Core_Nativ'!M750=0),"",'Core_Nativ'!O750)</x:f>
      </x:c>
      <x:c r="V68" s="11" t="str">
        <x:f>IF(OR(A68="",'Core_Nativ'!M751=0),"",'Core_Nativ'!N751)</x:f>
      </x:c>
      <x:c r="W68" s="11" t="str">
        <x:f>IF(OR(A68="",'Core_Nativ'!M751=0),"",'Core_Nativ'!O751)</x:f>
      </x:c>
      <x:c r="X68" s="11" t="str">
        <x:f>IF(OR(A68="",'Core_Nativ'!M752=0),"",'Core_Nativ'!N752)</x:f>
      </x:c>
      <x:c r="Y68" s="11" t="str">
        <x:f>IF(OR(A68="",'Core_Nativ'!M752=0),"",'Core_Nativ'!O752)</x:f>
      </x:c>
      <x:c r="Z68" s="11" t="str">
        <x:f>IF(OR(A68="",'Core_Nativ'!M753=0),"",'Core_Nativ'!N753)</x:f>
      </x:c>
      <x:c r="AA68" s="11" t="str">
        <x:f>IF(OR(A68="",'Core_Nativ'!M753=0),"",'Core_Nativ'!O753)</x:f>
      </x:c>
      <x:c r="AB68" s="11" t="str">
        <x:f>IF(OR(A68="",'Core_Nativ'!M754=0),"",'Core_Nativ'!N754)</x:f>
      </x:c>
      <x:c r="AC68" s="11" t="str">
        <x:f>IF(OR(A68="",'Core_Nativ'!M754=0),"",'Core_Nativ'!O754)</x:f>
      </x:c>
      <x:c r="AD68" s="11" t="str">
        <x:f>IF(OR(A68="",'Core_Nativ'!M755=0),"",'Core_Nativ'!N755)</x:f>
      </x:c>
      <x:c r="AE68" s="11" t="str">
        <x:f>IF(OR(A68="",'Core_Nativ'!M755=0),"",'Core_Nativ'!O755)</x:f>
      </x:c>
      <x:c r="AF68" s="11" t="str">
        <x:f>IF(A68="","",IF(AND('Core_Nativ'!R750="CLOSED",'Core_Nativ'!S750=0),IF('Core_Nativ'!M750&gt;='Core_Nativ'!P750,'Core_Nativ'!N750,IF(AND('Input_Meci'!L68="YES",'Input_Meci'!K68&lt;&gt;"",'Input_Meci'!K68&lt;C68,'Core_Nativ'!T756="DERIVED",'Core_Nativ'!M756&gt;='Core_Nativ'!P750),MIN(1,'Core_Nativ'!M750/'Core_Nativ'!P750)*IF('Core_Nativ'!M750=0,0,'Core_Nativ'!N750)+(1-MIN(1,'Core_Nativ'!M750/'Core_Nativ'!P750))*'Core_Nativ'!N756,"")),""))</x:f>
      </x:c>
      <x:c r="AG68" s="11" t="str">
        <x:f>IF(A68="","",IF(AND('Core_Nativ'!R750="CLOSED",'Core_Nativ'!S750=0),IF('Core_Nativ'!M750&gt;='Core_Nativ'!P750,'Core_Nativ'!O750,IF(AND('Input_Meci'!L68="YES",'Input_Meci'!K68&lt;&gt;"",'Input_Meci'!K68&lt;C68,'Core_Nativ'!T756="DERIVED",'Core_Nativ'!M756&gt;='Core_Nativ'!P750),MIN(1,'Core_Nativ'!M750/'Core_Nativ'!P750)*IF('Core_Nativ'!M750=0,0,'Core_Nativ'!O750)+(1-MIN(1,'Core_Nativ'!M750/'Core_Nativ'!P750))*'Core_Nativ'!O756,"")),""))</x:f>
      </x:c>
      <x:c r="AH68" s="11" t="str">
        <x:f>IF(A68="","",IF(AND('Core_Nativ'!R751="CLOSED",'Core_Nativ'!S751=0),IF('Core_Nativ'!M751&gt;='Core_Nativ'!P751,'Core_Nativ'!N751,IF(AND('Input_Meci'!L68="YES",'Input_Meci'!K68&lt;&gt;"",'Input_Meci'!K68&lt;C68,'Core_Nativ'!T757="DERIVED",'Core_Nativ'!M757&gt;='Core_Nativ'!P751),MIN(1,'Core_Nativ'!M751/'Core_Nativ'!P751)*IF('Core_Nativ'!M751=0,0,'Core_Nativ'!N751)+(1-MIN(1,'Core_Nativ'!M751/'Core_Nativ'!P751))*'Core_Nativ'!N757,"")),""))</x:f>
      </x:c>
      <x:c r="AI68" s="11" t="str">
        <x:f>IF(A68="","",IF(AND('Core_Nativ'!R751="CLOSED",'Core_Nativ'!S751=0),IF('Core_Nativ'!M751&gt;='Core_Nativ'!P751,'Core_Nativ'!O751,IF(AND('Input_Meci'!L68="YES",'Input_Meci'!K68&lt;&gt;"",'Input_Meci'!K68&lt;C68,'Core_Nativ'!T757="DERIVED",'Core_Nativ'!M757&gt;='Core_Nativ'!P751),MIN(1,'Core_Nativ'!M751/'Core_Nativ'!P751)*IF('Core_Nativ'!M751=0,0,'Core_Nativ'!O751)+(1-MIN(1,'Core_Nativ'!M751/'Core_Nativ'!P751))*'Core_Nativ'!O757,"")),""))</x:f>
      </x:c>
      <x:c r="AJ68" s="11" t="str">
        <x:f>IF(A68="","",IF(AND('Core_Nativ'!R752="CLOSED",'Core_Nativ'!S752=0),IF('Core_Nativ'!M752&gt;='Core_Nativ'!P752,'Core_Nativ'!N752,IF(AND('Input_Meci'!L68="YES",'Input_Meci'!K68&lt;&gt;"",'Input_Meci'!K68&lt;C68,'Core_Nativ'!T758="DERIVED",'Core_Nativ'!M758&gt;='Core_Nativ'!P752),MIN(1,'Core_Nativ'!M752/'Core_Nativ'!P752)*IF('Core_Nativ'!M752=0,0,'Core_Nativ'!N752)+(1-MIN(1,'Core_Nativ'!M752/'Core_Nativ'!P752))*'Core_Nativ'!N758,"")),""))</x:f>
      </x:c>
      <x:c r="AK68" s="11" t="str">
        <x:f>IF(A68="","",IF(AND('Core_Nativ'!R752="CLOSED",'Core_Nativ'!S752=0),IF('Core_Nativ'!M752&gt;='Core_Nativ'!P752,'Core_Nativ'!O752,IF(AND('Input_Meci'!L68="YES",'Input_Meci'!K68&lt;&gt;"",'Input_Meci'!K68&lt;C68,'Core_Nativ'!T758="DERIVED",'Core_Nativ'!M758&gt;='Core_Nativ'!P752),MIN(1,'Core_Nativ'!M752/'Core_Nativ'!P752)*IF('Core_Nativ'!M752=0,0,'Core_Nativ'!O752)+(1-MIN(1,'Core_Nativ'!M752/'Core_Nativ'!P752))*'Core_Nativ'!O758,"")),""))</x:f>
      </x:c>
      <x:c r="AL68" s="11" t="str">
        <x:f>IF(A68="","",IF(AND('Core_Nativ'!R753="CLOSED",'Core_Nativ'!S753=0),IF('Core_Nativ'!M753&gt;='Core_Nativ'!P753,'Core_Nativ'!N753,IF(AND('Input_Meci'!L68="YES",'Input_Meci'!K68&lt;&gt;"",'Input_Meci'!K68&lt;C68,'Core_Nativ'!T759="DERIVED",'Core_Nativ'!M759&gt;='Core_Nativ'!P753),MIN(1,'Core_Nativ'!M753/'Core_Nativ'!P753)*IF('Core_Nativ'!M753=0,0,'Core_Nativ'!N753)+(1-MIN(1,'Core_Nativ'!M753/'Core_Nativ'!P753))*'Core_Nativ'!N759,"")),""))</x:f>
      </x:c>
      <x:c r="AM68" s="11" t="str">
        <x:f>IF(A68="","",IF(AND('Core_Nativ'!R753="CLOSED",'Core_Nativ'!S753=0),IF('Core_Nativ'!M753&gt;='Core_Nativ'!P753,'Core_Nativ'!O753,IF(AND('Input_Meci'!L68="YES",'Input_Meci'!K68&lt;&gt;"",'Input_Meci'!K68&lt;C68,'Core_Nativ'!T759="DERIVED",'Core_Nativ'!M759&gt;='Core_Nativ'!P753),MIN(1,'Core_Nativ'!M753/'Core_Nativ'!P753)*IF('Core_Nativ'!M753=0,0,'Core_Nativ'!O753)+(1-MIN(1,'Core_Nativ'!M753/'Core_Nativ'!P753))*'Core_Nativ'!O759,"")),""))</x:f>
      </x:c>
      <x:c r="AN68" s="11" t="str">
        <x:f>IF(A68="","",IF(AND('Core_Nativ'!R754="CLOSED",'Core_Nativ'!S754=0),IF('Core_Nativ'!M754&gt;='Core_Nativ'!P754,'Core_Nativ'!N754,IF(AND('Input_Meci'!L68="YES",'Input_Meci'!K68&lt;&gt;"",'Input_Meci'!K68&lt;C68,'Core_Nativ'!T760="DERIVED",'Core_Nativ'!M760&gt;='Core_Nativ'!P754),MIN(1,'Core_Nativ'!M754/'Core_Nativ'!P754)*IF('Core_Nativ'!M754=0,0,'Core_Nativ'!N754)+(1-MIN(1,'Core_Nativ'!M754/'Core_Nativ'!P754))*'Core_Nativ'!N760,"")),""))</x:f>
      </x:c>
      <x:c r="AO68" s="11" t="str">
        <x:f>IF(A68="","",IF(AND('Core_Nativ'!R754="CLOSED",'Core_Nativ'!S754=0),IF('Core_Nativ'!M754&gt;='Core_Nativ'!P754,'Core_Nativ'!O754,IF(AND('Input_Meci'!L68="YES",'Input_Meci'!K68&lt;&gt;"",'Input_Meci'!K68&lt;C68,'Core_Nativ'!T760="DERIVED",'Core_Nativ'!M760&gt;='Core_Nativ'!P754),MIN(1,'Core_Nativ'!M754/'Core_Nativ'!P754)*IF('Core_Nativ'!M754=0,0,'Core_Nativ'!O754)+(1-MIN(1,'Core_Nativ'!M754/'Core_Nativ'!P754))*'Core_Nativ'!O760,"")),""))</x:f>
      </x:c>
      <x:c r="AP68" s="11" t="str">
        <x:f>IF(A68="","",IF(AND('Core_Nativ'!R755="CLOSED",'Core_Nativ'!S755=0),IF('Core_Nativ'!M755&gt;='Core_Nativ'!P755,'Core_Nativ'!N755,IF(AND('Input_Meci'!L68="YES",'Input_Meci'!K68&lt;&gt;"",'Input_Meci'!K68&lt;C68,'Core_Nativ'!T761="DERIVED",'Core_Nativ'!M761&gt;='Core_Nativ'!P755),MIN(1,'Core_Nativ'!M755/'Core_Nativ'!P755)*IF('Core_Nativ'!M755=0,0,'Core_Nativ'!N755)+(1-MIN(1,'Core_Nativ'!M755/'Core_Nativ'!P755))*'Core_Nativ'!N761,"")),""))</x:f>
      </x:c>
      <x:c r="AQ68" s="11" t="str">
        <x:f>IF(A68="","",IF(AND('Core_Nativ'!R755="CLOSED",'Core_Nativ'!S755=0),IF('Core_Nativ'!M755&gt;='Core_Nativ'!P755,'Core_Nativ'!O755,IF(AND('Input_Meci'!L68="YES",'Input_Meci'!K68&lt;&gt;"",'Input_Meci'!K68&lt;C68,'Core_Nativ'!T761="DERIVED",'Core_Nativ'!M761&gt;='Core_Nativ'!P755),MIN(1,'Core_Nativ'!M755/'Core_Nativ'!P755)*IF('Core_Nativ'!M755=0,0,'Core_Nativ'!O755)+(1-MIN(1,'Core_Nativ'!M755/'Core_Nativ'!P755))*'Core_Nativ'!O761,"")),""))</x:f>
      </x:c>
      <x:c r="AR68" s="11" t="str">
        <x:f>IF(A68="","",SUMPRODUCT(('Istoric_Nativ'!$B$6:$B$405=B68)*('Istoric_Nativ'!$C$6:$C$405=BL68)*('Istoric_Nativ'!$P$6:$P$405=1)*('Istoric_Nativ'!$D$6:$D$405&lt;INT(G68))*((('Istoric_Nativ'!$E$6:$E$405='Input_Meci'!D68)+('Istoric_Nativ'!$F$6:$F$405='Input_Meci'!D68)+('Istoric_Nativ'!$E$6:$E$405='Input_Meci'!E68)+('Istoric_Nativ'!$F$6:$F$405='Input_Meci'!E68))&gt;0)))</x:f>
      </x:c>
      <x:c r="AS68" s="11" t="str">
        <x:f>IF(AR68=0,"",SUMPRODUCT(('Istoric_Nativ'!$B$6:$B$405=B68)*('Istoric_Nativ'!$C$6:$C$405=BL68)*('Istoric_Nativ'!$P$6:$P$405=1)*('Istoric_Nativ'!$D$6:$D$405&lt;INT(G68))*((('Istoric_Nativ'!$E$6:$E$405='Input_Meci'!D68)+('Istoric_Nativ'!$F$6:$F$405='Input_Meci'!D68)+('Istoric_Nativ'!$E$6:$E$405='Input_Meci'!E68)+('Istoric_Nativ'!$F$6:$F$405='Input_Meci'!E68))&gt;0)*'Istoric_Nativ'!$Q$6:$Q$405)/AR68)</x:f>
      </x:c>
      <x:c r="AT68" s="11" t="str">
        <x:f>IF(AR68&lt;2,"",MAX(0,(SUMPRODUCT(('Istoric_Nativ'!$B$6:$B$405=B68)*('Istoric_Nativ'!$C$6:$C$405=BL68)*('Istoric_Nativ'!$P$6:$P$405=1)*('Istoric_Nativ'!$D$6:$D$405&lt;INT(G68))*((('Istoric_Nativ'!$E$6:$E$405='Input_Meci'!D68)+('Istoric_Nativ'!$F$6:$F$405='Input_Meci'!D68)+('Istoric_Nativ'!$E$6:$E$405='Input_Meci'!E68)+('Istoric_Nativ'!$F$6:$F$405='Input_Meci'!E68))&gt;0)*'Istoric_Nativ'!$R$6:$R$405)-AR68*AS68^2)/(AR68-1)))</x:f>
      </x:c>
      <x:c r="AU68" s="11" t="str">
        <x:f>IF(I68&lt;&gt;"PASS","",AT68/AS68)</x:f>
      </x:c>
      <x:c r="AV68" s="11" t="str">
        <x:f>IF(I68&lt;&gt;"PASS","",IF(AU68&lt;='Config_v6'!$B$10,"POISSON","NEGATIVE BINOMIAL"))</x:f>
      </x:c>
      <x:c r="AW68" s="11" t="str">
        <x:f>IF(I68&lt;&gt;"PASS","",IF(AV68="POISSON",9999,AS68/(AU68-1)))</x:f>
      </x:c>
      <x:c r="AX68" s="11" t="str">
        <x:f>IF(A68="","",MAX(1-'Config_v6'!$B$20,MIN(1+'Config_v6'!$B$20,1+0.02*(IF(AND(ISNUMBER('Input_Meci'!N68),'Input_Meci'!N68&gt;=0,'Input_Meci'!N68&lt;=200),'Input_Meci'!N68,12)/12-1)+0.02*(IF(AND(ISNUMBER('Input_Meci'!P68),'Input_Meci'!P68&gt;=0,'Input_Meci'!P68&lt;=200),'Input_Meci'!P68,3.5)/3.5-1)+0.02*(IF(AND(ISNUMBER('Input_Meci'!R68),'Input_Meci'!R68&gt;=0,'Input_Meci'!R68&lt;=200),'Input_Meci'!R68,18)/18-1)+0.02*((IF(AND(ISNUMBER('Input_Meci'!V68),'Input_Meci'!V68&gt;=0,'Input_Meci'!V68&lt;=10),'Input_Meci'!V68,5)-5)/5))))</x:f>
      </x:c>
      <x:c r="AY68" s="11" t="str">
        <x:f>IF(A68="","",MAX(1-'Config_v6'!$B$20,MIN(1+'Config_v6'!$B$20,1+0.02*(IF(AND(ISNUMBER('Input_Meci'!O68),'Input_Meci'!O68&gt;=0,'Input_Meci'!O68&lt;=200),'Input_Meci'!O68,12)/12-1)+0.02*(IF(AND(ISNUMBER('Input_Meci'!Q68),'Input_Meci'!Q68&gt;=0,'Input_Meci'!Q68&lt;=200),'Input_Meci'!Q68,3.5)/3.5-1)+0.02*(IF(AND(ISNUMBER('Input_Meci'!S68),'Input_Meci'!S68&gt;=0,'Input_Meci'!S68&lt;=200),'Input_Meci'!S68,18)/18-1)+0.02*((IF(AND(ISNUMBER('Input_Meci'!W68),'Input_Meci'!W68&gt;=0,'Input_Meci'!W68&lt;=10),'Input_Meci'!W68,5)-5)/5))))</x:f>
      </x:c>
      <x:c r="AZ68" s="11" t="str">
        <x:f>IF(A68="","",MAX(1-'Config_v6'!$B$21,MIN(1+'Config_v6'!$B$21,1+0.012*(IF('Input_Meci'!X68="",5,IF(ISNUMBER('Input_Meci'!X68),'Input_Meci'!X68,5))-5)+0.018*(IF('Input_Meci'!Z68="",5,IF(ISNUMBER('Input_Meci'!Z68),'Input_Meci'!Z68,5))-5)+0.012*(IF('Input_Meci'!AB68="",5,IF(ISNUMBER('Input_Meci'!AB68),'Input_Meci'!AB68,5))-5)+0.015*IF('Input_Meci'!AD68="",0,IF(ISNUMBER('Input_Meci'!AD68),'Input_Meci'!AD68,0))+0.02*IF('Input_Meci'!AF68="",0,IF(ISNUMBER('Input_Meci'!AF68),'Input_Meci'!AF68,0)))))</x:f>
      </x:c>
      <x:c r="BA68" s="11" t="str">
        <x:f>IF(A68="","",MAX(1-'Config_v6'!$B$21,MIN(1+'Config_v6'!$B$21,1+0.012*(IF('Input_Meci'!Y68="",5,IF(ISNUMBER('Input_Meci'!Y68),'Input_Meci'!Y68,5))-5)+0.018*(IF('Input_Meci'!AA68="",5,IF(ISNUMBER('Input_Meci'!AA68),'Input_Meci'!AA68,5))-5)+0.012*(IF('Input_Meci'!AC68="",5,IF(ISNUMBER('Input_Meci'!AC68),'Input_Meci'!AC68,5))-5)+0.015*IF('Input_Meci'!AE68="",0,IF(ISNUMBER('Input_Meci'!AE68),'Input_Meci'!AE68,0))+0.02*IF('Input_Meci'!AG68="",0,IF(ISNUMBER('Input_Meci'!AG68),'Input_Meci'!AG68,0)))))</x:f>
      </x:c>
      <x:c r="BB68" s="11" t="str">
        <x:f>IF(I68&lt;&gt;"PASS","",(AVERAGE(AF68,AM68)*'Config_v6'!$B$4+AVERAGE(AH68,AO68)*'Config_v6'!$B$5+AVERAGE(AJ68,AQ68)*'Config_v6'!$B$6)*AX68*AZ68)</x:f>
      </x:c>
      <x:c r="BC68" s="11" t="str">
        <x:f>IF(I68&lt;&gt;"PASS","",(AVERAGE(AL68,AG68)*'Config_v6'!$B$4+AVERAGE(AN68,AI68)*'Config_v6'!$B$5+AVERAGE(AP68,AK68)*'Config_v6'!$B$6)*AY68*BA68)</x:f>
      </x:c>
      <x:c r="BD68" s="11" t="str">
        <x:f>IF(I68&lt;&gt;"PASS","",BB68+BC68)</x:f>
      </x:c>
      <x:c r="BE68" s="11" t="str">
        <x:f>IF(A68="","",10-SUM(IF(AND(ISNUMBER('Input_Meci'!N68),'Input_Meci'!N68&gt;=0,'Input_Meci'!N68&lt;=200),1,0),IF(AND(ISNUMBER('Input_Meci'!O68),'Input_Meci'!O68&gt;=0,'Input_Meci'!O68&lt;=200),1,0),IF(AND(ISNUMBER('Input_Meci'!P68),'Input_Meci'!P68&gt;=0,'Input_Meci'!P68&lt;=200),1,0),IF(AND(ISNUMBER('Input_Meci'!Q68),'Input_Meci'!Q68&gt;=0,'Input_Meci'!Q68&lt;=200),1,0),IF(AND(ISNUMBER('Input_Meci'!R68),'Input_Meci'!R68&gt;=0,'Input_Meci'!R68&lt;=200),1,0),IF(AND(ISNUMBER('Input_Meci'!S68),'Input_Meci'!S68&gt;=0,'Input_Meci'!S68&lt;=200),1,0),IF(AND(ISNUMBER('Input_Meci'!T68),'Input_Meci'!T68&gt;=0,'Input_Meci'!T68&lt;=100),1,0),IF(AND(ISNUMBER('Input_Meci'!U68),'Input_Meci'!U68&gt;=0,'Input_Meci'!U68&lt;=100),1,0),IF(AND(ISNUMBER('Input_Meci'!V68),'Input_Meci'!V68&gt;=0,'Input_Meci'!V68&lt;=10),1,0),IF(AND(ISNUMBER('Input_Meci'!W68),'Input_Meci'!W68&gt;=0,'Input_Meci'!W68&lt;=10),1,0)))</x:f>
      </x:c>
      <x:c r="BF68" s="11" t="str">
        <x:f>IF(I68&lt;&gt;"PASS","",MAX(0,MIN(IF(OR(M68="YES",BL68&lt;&gt;C68),'Config_v6'!$B$34,100),ROUND(40+25*MIN(1,MIN(N68,Q68)/'Config_v6'!$B$7)*MIN(1,MIN(O68,R68)/'Config_v6'!$B$8)*MIN(1,MIN(P68,S68)/'Config_v6'!$B$9)+MAX(0,15-2*ABS(AF68-AJ68)-2*ABS(AL68-AP68))+IF(AU68&lt;='Config_v6'!$B$10,15,IF(AU68&lt;='Config_v6'!$B$11,13,IF(AU68&lt;='Config_v6'!$B$12,10,IF(AU68&lt;='Config_v6'!$B$13,6,0))))+5-BE68/10*'Config_v6'!$B$38,0))))</x:f>
      </x:c>
      <x:c r="BG68" s="11" t="str">
        <x:f>IF(I68&lt;&gt;"PASS","",MIN(1,'Config_v6'!$B$14*(0.7+0.3*MIN(1,AR68/'Config_v6'!$B$15))*IF(AU68&lt;='Config_v6'!$B$10,1,IF(AU68&lt;='Config_v6'!$B$11,0.95,IF(AU68&lt;='Config_v6'!$B$12,0.88,0.78)))*(0.75+0.25*BF68/100)))</x:f>
      </x:c>
      <x:c r="BH68" s="11" t="str">
        <x:f>IF(I68&lt;&gt;"PASS","",MIN(1,(ABS(AZ68-1)+ABS(BA68-1))*3))</x:f>
      </x:c>
      <x:c r="BI68" s="2" t="str">
        <x:f>IF(A68="","",IF(AND(OR('Input_Meci'!X68="",AND(ISNUMBER('Input_Meci'!X68),'Input_Meci'!X68&gt;=0,'Input_Meci'!X68&lt;=10)),OR('Input_Meci'!Y68="",AND(ISNUMBER('Input_Meci'!Y68),'Input_Meci'!Y68&gt;=0,'Input_Meci'!Y68&lt;=10)),OR('Input_Meci'!Z68="",AND(ISNUMBER('Input_Meci'!Z68),'Input_Meci'!Z68&gt;=0,'Input_Meci'!Z68&lt;=10)),OR('Input_Meci'!AA68="",AND(ISNUMBER('Input_Meci'!AA68),'Input_Meci'!AA68&gt;=0,'Input_Meci'!AA68&lt;=10)),OR('Input_Meci'!AB68="",AND(ISNUMBER('Input_Meci'!AB68),'Input_Meci'!AB68&gt;=0,'Input_Meci'!AB68&lt;=10)),OR('Input_Meci'!AC68="",AND(ISNUMBER('Input_Meci'!AC68),'Input_Meci'!AC68&gt;=0,'Input_Meci'!AC68&lt;=10)),OR('Input_Meci'!AD68="",AND(ISNUMBER('Input_Meci'!AD68),'Input_Meci'!AD68&gt;=-2,'Input_Meci'!AD68&lt;=2)),OR('Input_Meci'!AE68="",AND(ISNUMBER('Input_Meci'!AE68),'Input_Meci'!AE68&gt;=-2,'Input_Meci'!AE68&lt;=2)),OR('Input_Meci'!AF68="",AND(ISNUMBER('Input_Meci'!AF68),'Input_Meci'!AF68&gt;=-2,'Input_Meci'!AF68&lt;=2)),OR('Input_Meci'!AG68="",AND(ISNUMBER('Input_Meci'!AG68),'Input_Meci'!AG68&gt;=-2,'Input_Meci'!AG68&lt;=2))),"VALID","INVALID"))</x:f>
      </x:c>
      <x:c r="BJ68" s="2" t="n">
        <x:f>IF(A68="",0,SUM('Core_Nativ'!S750:S755))</x:f>
        <x:v>0</x:v>
      </x:c>
      <x:c r="BK68" s="2" t="str">
        <x:f>'Config_v6'!$B$40</x:f>
        <x:v>VALID</x:v>
      </x:c>
      <x:c r="BL68" s="2" t="str">
        <x:f>IF(A68="","",IF(SUMPRODUCT(('Istoric_Nativ'!$B$6:$B$405=B68)*('Istoric_Nativ'!$C$6:$C$405=C68)*('Istoric_Nativ'!$P$6:$P$405=1)*('Istoric_Nativ'!$D$6:$D$405&lt;INT(G68))*((('Istoric_Nativ'!$E$6:$E$405='Input_Meci'!D68)+('Istoric_Nativ'!$F$6:$F$405='Input_Meci'!D68)+('Istoric_Nativ'!$E$6:$E$405='Input_Meci'!E68)+('Istoric_Nativ'!$F$6:$F$405='Input_Meci'!E68))&gt;0))&gt;='Config_v6'!$B$41,C68,IF(AND('Input_Meci'!L68="YES",'Input_Meci'!K68&lt;&gt;"",'Input_Meci'!K68&lt;C68,COUNTIF('Core_Nativ'!R756:R761,"CLOSED")=6,SUM('Core_Nativ'!S756:S761)=0),'Input_Meci'!K68,C68)))</x:f>
      </x:c>
      <x:c r="BM68" s="9" t="n">
        <x:f>IF(OR(A68="",N68=0),0,LARGE(_xlfn._xlws.FILTER('Istoric_Nativ'!$D$6:$D$405,('Istoric_Nativ'!$B$6:$B$405=B68)*('Istoric_Nativ'!$C$6:$C$405=C68)*('Istoric_Nativ'!$P$6:$P$405=1)*('Istoric_Nativ'!$D$6:$D$405&lt;INT(G68))*((('Istoric_Nativ'!$E$6:$E$405='Input_Meci'!D68)+('Istoric_Nativ'!$F$6:$F$405='Input_Meci'!D68))&gt;0)),MIN(10,N68)))</x:f>
        <x:v>0</x:v>
      </x:c>
      <x:c r="BN68" s="9" t="n">
        <x:f>IF(OR(A68="",Q68=0),0,LARGE(_xlfn._xlws.FILTER('Istoric_Nativ'!$D$6:$D$405,('Istoric_Nativ'!$B$6:$B$405=B68)*('Istoric_Nativ'!$C$6:$C$405=C68)*('Istoric_Nativ'!$P$6:$P$405=1)*('Istoric_Nativ'!$D$6:$D$405&lt;INT(G68))*((('Istoric_Nativ'!$E$6:$E$405='Input_Meci'!E68)+('Istoric_Nativ'!$F$6:$F$405='Input_Meci'!E68))&gt;0)),MIN(10,Q68)))</x:f>
        <x:v>0</x:v>
      </x:c>
      <x:c r="BO68" s="9" t="n">
        <x:f>IF(OR(A68="",N68=0),0,LARGE(_xlfn._xlws.FILTER('Istoric_Nativ'!$D$6:$D$405,('Istoric_Nativ'!$B$6:$B$405=B68)*('Istoric_Nativ'!$C$6:$C$405=C68)*('Istoric_Nativ'!$P$6:$P$405=1)*('Istoric_Nativ'!$D$6:$D$405&lt;INT(G68))*((('Istoric_Nativ'!$E$6:$E$405='Input_Meci'!D68)+('Istoric_Nativ'!$F$6:$F$405='Input_Meci'!D68))&gt;0)),MIN(20,N68)))</x:f>
        <x:v>0</x:v>
      </x:c>
      <x:c r="BP68" s="9" t="n">
        <x:f>IF(OR(A68="",Q68=0),0,LARGE(_xlfn._xlws.FILTER('Istoric_Nativ'!$D$6:$D$405,('Istoric_Nativ'!$B$6:$B$405=B68)*('Istoric_Nativ'!$C$6:$C$405=C68)*('Istoric_Nativ'!$P$6:$P$405=1)*('Istoric_Nativ'!$D$6:$D$405&lt;INT(G68))*((('Istoric_Nativ'!$E$6:$E$405='Input_Meci'!E68)+('Istoric_Nativ'!$F$6:$F$405='Input_Meci'!E68))&gt;0)),MIN(20,Q68)))</x:f>
        <x:v>0</x:v>
      </x:c>
      <x:c r="BQ68" s="2" t="str">
        <x:f>IF(A68="","",IF(AND(COUNTIF(MatchesTable[Match_ID],A68)=1,COUNTIFS(MatchesTable[League],B68,MatchesTable[Season],C68,MatchesTable[Home],'Input_Meci'!D68,MatchesTable[Away],'Input_Meci'!E68,MatchesTable[Kickoff_UTC],F68)=1,B68&lt;&gt;"",C68&lt;&gt;"",'Input_Meci'!D68&lt;&gt;"",'Input_Meci'!E68&lt;&gt;"",'Input_Meci'!D68&lt;&gt;'Input_Meci'!E68,ISNUMBER(F68),ISNUMBER(G68),G68&lt;F68,OR(E68="LIVE",E68="REPLAY"),OR('Input_Meci'!L68="YES",'Input_Meci'!L68="NO",'Input_Meci'!L68="")),"VALID","INVALID"))</x:f>
      </x:c>
      <x:c r="BR68" s="2" t="n">
        <x:f>IF(I68&lt;&gt;"PASS",0,SUMPRODUCT(('Istoric_Nativ'!$B$6:$B$405='Input_Meci'!B68)*('Istoric_Nativ'!$C$6:$C$405='Input_Meci'!C68)*('Istoric_Nativ'!$P$6:$P$405=1)*('Istoric_Nativ'!$D$6:$D$405&lt;INT('Input_Meci'!G68))*((('Istoric_Nativ'!$E$6:$E$405='Input_Meci'!D68)+('Istoric_Nativ'!$F$6:$F$405='Input_Meci'!E68))&gt;0)))</x:f>
        <x:v>0</x:v>
      </x:c>
      <x:c r="BS68" s="2" t="n">
        <x:f>IF(I68&lt;&gt;"PASS",0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BM68)+((('Istoric_Nativ'!$E$6:$E$405='Input_Meci'!E68)+('Istoric_Nativ'!$F$6:$F$405='Input_Meci'!E68))&gt;0)*('Istoric_Nativ'!$D$6:$D$405&gt;=BN68))&gt;0)))</x:f>
        <x:v>0</x:v>
      </x:c>
      <x:c r="BT68" s="2" t="n">
        <x:f>IF(I68&lt;&gt;"PASS",0,SUMPRODUCT(('Istoric_Nativ'!$B$6:$B$405='Input_Meci'!B68)*('Istoric_Nativ'!$C$6:$C$405='Input_Meci'!C68)*('Istoric_Nativ'!$P$6:$P$405=1)*('Istoric_Nativ'!$D$6:$D$405&lt;INT('Input_Meci'!G68))*((((('Istoric_Nativ'!$E$6:$E$405='Input_Meci'!D68)+('Istoric_Nativ'!$F$6:$F$405='Input_Meci'!D68))&gt;0)*('Istoric_Nativ'!$D$6:$D$405&gt;=BO68)+((('Istoric_Nativ'!$E$6:$E$405='Input_Meci'!E68)+('Istoric_Nativ'!$F$6:$F$405='Input_Meci'!E68))&gt;0)*('Istoric_Nativ'!$D$6:$D$405&gt;=BP68))&gt;0)))</x:f>
        <x:v>0</x:v>
      </x:c>
    </x:row>
    <x:row r="69" ht="21" customHeight="1">
      <x:c r="A69" s="2" t="str">
        <x:f>IF('Input_Meci'!A69="","",'Input_Meci'!A69)</x:f>
      </x:c>
      <x:c r="B69" s="2" t="str">
        <x:f>IF(A69="","",'Input_Meci'!B69)</x:f>
      </x:c>
      <x:c r="C69" s="2" t="str">
        <x:f>IF(A69="","",'Input_Meci'!C69)</x:f>
      </x:c>
      <x:c r="D69" s="2" t="str">
        <x:f>IF(A69="","",'Input_Meci'!D69&amp;" – "&amp;'Input_Meci'!E69)</x:f>
      </x:c>
      <x:c r="E69" s="2" t="str">
        <x:f>IF(A69="","",'Input_Meci'!H69)</x:f>
      </x:c>
      <x:c r="F69" s="9" t="str">
        <x:f>IF(A69="","",'Input_Meci'!F69)</x:f>
      </x:c>
      <x:c r="G69" s="9" t="str">
        <x:f>IF(A69="","",'Input_Meci'!G69)</x:f>
      </x:c>
      <x:c r="H69" s="2" t="str">
        <x:f>IF(A69="","",IF(BQ69&lt;&gt;"VALID","NOT RELEASED",IF(AND(OR('Input_Meci'!I69="NOT AVAILABLE",'Input_Meci'!I69="SOURCE CONFLICT"),'Input_Meci'!J69&lt;&gt;""),"READY",IF(OR(NOT(OR('Input_Meci'!I69="AUTO",'Input_Meci'!I69="")),COUNTIF('Core_Nativ'!R762:R767,"CLOSED")&lt;&gt;6,BJ69&gt;0),"NOT RELEASED","READY"))))</x:f>
      </x:c>
      <x:c r="I69" s="2" t="str">
        <x:f>IF(A69="","",IF(H69&lt;&gt;"READY","NOT RELEASED",IF(AND(NOT(OR('Input_Meci'!I69="NOT AVAILABLE",'Input_Meci'!I69="SOURCE CONFLICT")),L69=12,AR69&gt;=2,AS69&gt;0,ISNUMBER(AT69),BI69="VALID",BK69="VALID"),"PASS","FAIL")))</x:f>
      </x:c>
      <x:c r="J69" s="2" t="str">
        <x:f>IF(A69="","",IF(BQ69&lt;&gt;"VALID","Verifica ID, echipe, mod si cutoff &lt; kickoff",IF(H69&lt;&gt;"READY",IF('Input_Meci'!I69="ACCESS BLOCKED","Acces blocat: reia sursele",IF(BJ69&gt;0,"Istoric invalid sau conflict: verifica randurile native","Surse neinchise / post-cutoff / dovezi incomplete")),IF(OR('Input_Meci'!I69="NOT AVAILABLE",'Input_Meci'!I69="SOURCE CONFLICT"),'Input_Meci'!I69,IF(BK69&lt;&gt;"VALID","Parametri invalizi",IF(L69&lt;&gt;12,"Core / sample / prior insuficient",IF(AR69&lt;2,"N insuficient pentru dispersie",IF(AS69&lt;=0,"Media istorica trebuie sa fie pozitiva",IF(BI69&lt;&gt;"VALID","Context invalid","READY")))))))))</x:f>
      </x:c>
      <x:c r="K69" s="2" t="str">
        <x:f>IF(A69="","",COUNT(T69:AE69))</x:f>
      </x:c>
      <x:c r="L69" s="2" t="str">
        <x:f>IF(A69="","",COUNT(AF69:AQ69))</x:f>
      </x:c>
      <x:c r="M69" s="2" t="str">
        <x:f>IF(A69="","",IF(OR('Core_Nativ'!M762&lt;'Core_Nativ'!P762,'Core_Nativ'!M763&lt;'Core_Nativ'!P763,'Core_Nativ'!M764&lt;'Core_Nativ'!P764,'Core_Nativ'!M765&lt;'Core_Nativ'!P765,'Core_Nativ'!M766&lt;'Core_Nativ'!P766,'Core_Nativ'!M767&lt;'Core_Nativ'!P767),"YES","NO"))</x:f>
      </x:c>
      <x:c r="N69" s="2" t="str">
        <x:f>IF(A69="","",'Core_Nativ'!M762)</x:f>
      </x:c>
      <x:c r="O69" s="2" t="str">
        <x:f>IF(A69="","",'Core_Nativ'!M763)</x:f>
      </x:c>
      <x:c r="P69" s="2" t="str">
        <x:f>IF(A69="","",'Core_Nativ'!M764)</x:f>
      </x:c>
      <x:c r="Q69" s="2" t="str">
        <x:f>IF(A69="","",'Core_Nativ'!M765)</x:f>
      </x:c>
      <x:c r="R69" s="2" t="str">
        <x:f>IF(A69="","",'Core_Nativ'!M766)</x:f>
      </x:c>
      <x:c r="S69" s="2" t="str">
        <x:f>IF(A69="","",'Core_Nativ'!M767)</x:f>
      </x:c>
      <x:c r="T69" s="11" t="str">
        <x:f>IF(OR(A69="",'Core_Nativ'!M762=0),"",'Core_Nativ'!N762)</x:f>
      </x:c>
      <x:c r="U69" s="11" t="str">
        <x:f>IF(OR(A69="",'Core_Nativ'!M762=0),"",'Core_Nativ'!O762)</x:f>
      </x:c>
      <x:c r="V69" s="11" t="str">
        <x:f>IF(OR(A69="",'Core_Nativ'!M763=0),"",'Core_Nativ'!N763)</x:f>
      </x:c>
      <x:c r="W69" s="11" t="str">
        <x:f>IF(OR(A69="",'Core_Nativ'!M763=0),"",'Core_Nativ'!O763)</x:f>
      </x:c>
      <x:c r="X69" s="11" t="str">
        <x:f>IF(OR(A69="",'Core_Nativ'!M764=0),"",'Core_Nativ'!N764)</x:f>
      </x:c>
      <x:c r="Y69" s="11" t="str">
        <x:f>IF(OR(A69="",'Core_Nativ'!M764=0),"",'Core_Nativ'!O764)</x:f>
      </x:c>
      <x:c r="Z69" s="11" t="str">
        <x:f>IF(OR(A69="",'Core_Nativ'!M765=0),"",'Core_Nativ'!N765)</x:f>
      </x:c>
      <x:c r="AA69" s="11" t="str">
        <x:f>IF(OR(A69="",'Core_Nativ'!M765=0),"",'Core_Nativ'!O765)</x:f>
      </x:c>
      <x:c r="AB69" s="11" t="str">
        <x:f>IF(OR(A69="",'Core_Nativ'!M766=0),"",'Core_Nativ'!N766)</x:f>
      </x:c>
      <x:c r="AC69" s="11" t="str">
        <x:f>IF(OR(A69="",'Core_Nativ'!M766=0),"",'Core_Nativ'!O766)</x:f>
      </x:c>
      <x:c r="AD69" s="11" t="str">
        <x:f>IF(OR(A69="",'Core_Nativ'!M767=0),"",'Core_Nativ'!N767)</x:f>
      </x:c>
      <x:c r="AE69" s="11" t="str">
        <x:f>IF(OR(A69="",'Core_Nativ'!M767=0),"",'Core_Nativ'!O767)</x:f>
      </x:c>
      <x:c r="AF69" s="11" t="str">
        <x:f>IF(A69="","",IF(AND('Core_Nativ'!R762="CLOSED",'Core_Nativ'!S762=0),IF('Core_Nativ'!M762&gt;='Core_Nativ'!P762,'Core_Nativ'!N762,IF(AND('Input_Meci'!L69="YES",'Input_Meci'!K69&lt;&gt;"",'Input_Meci'!K69&lt;C69,'Core_Nativ'!T768="DERIVED",'Core_Nativ'!M768&gt;='Core_Nativ'!P762),MIN(1,'Core_Nativ'!M762/'Core_Nativ'!P762)*IF('Core_Nativ'!M762=0,0,'Core_Nativ'!N762)+(1-MIN(1,'Core_Nativ'!M762/'Core_Nativ'!P762))*'Core_Nativ'!N768,"")),""))</x:f>
      </x:c>
      <x:c r="AG69" s="11" t="str">
        <x:f>IF(A69="","",IF(AND('Core_Nativ'!R762="CLOSED",'Core_Nativ'!S762=0),IF('Core_Nativ'!M762&gt;='Core_Nativ'!P762,'Core_Nativ'!O762,IF(AND('Input_Meci'!L69="YES",'Input_Meci'!K69&lt;&gt;"",'Input_Meci'!K69&lt;C69,'Core_Nativ'!T768="DERIVED",'Core_Nativ'!M768&gt;='Core_Nativ'!P762),MIN(1,'Core_Nativ'!M762/'Core_Nativ'!P762)*IF('Core_Nativ'!M762=0,0,'Core_Nativ'!O762)+(1-MIN(1,'Core_Nativ'!M762/'Core_Nativ'!P762))*'Core_Nativ'!O768,"")),""))</x:f>
      </x:c>
      <x:c r="AH69" s="11" t="str">
        <x:f>IF(A69="","",IF(AND('Core_Nativ'!R763="CLOSED",'Core_Nativ'!S763=0),IF('Core_Nativ'!M763&gt;='Core_Nativ'!P763,'Core_Nativ'!N763,IF(AND('Input_Meci'!L69="YES",'Input_Meci'!K69&lt;&gt;"",'Input_Meci'!K69&lt;C69,'Core_Nativ'!T769="DERIVED",'Core_Nativ'!M769&gt;='Core_Nativ'!P763),MIN(1,'Core_Nativ'!M763/'Core_Nativ'!P763)*IF('Core_Nativ'!M763=0,0,'Core_Nativ'!N763)+(1-MIN(1,'Core_Nativ'!M763/'Core_Nativ'!P763))*'Core_Nativ'!N769,"")),""))</x:f>
      </x:c>
      <x:c r="AI69" s="11" t="str">
        <x:f>IF(A69="","",IF(AND('Core_Nativ'!R763="CLOSED",'Core_Nativ'!S763=0),IF('Core_Nativ'!M763&gt;='Core_Nativ'!P763,'Core_Nativ'!O763,IF(AND('Input_Meci'!L69="YES",'Input_Meci'!K69&lt;&gt;"",'Input_Meci'!K69&lt;C69,'Core_Nativ'!T769="DERIVED",'Core_Nativ'!M769&gt;='Core_Nativ'!P763),MIN(1,'Core_Nativ'!M763/'Core_Nativ'!P763)*IF('Core_Nativ'!M763=0,0,'Core_Nativ'!O763)+(1-MIN(1,'Core_Nativ'!M763/'Core_Nativ'!P763))*'Core_Nativ'!O769,"")),""))</x:f>
      </x:c>
      <x:c r="AJ69" s="11" t="str">
        <x:f>IF(A69="","",IF(AND('Core_Nativ'!R764="CLOSED",'Core_Nativ'!S764=0),IF('Core_Nativ'!M764&gt;='Core_Nativ'!P764,'Core_Nativ'!N764,IF(AND('Input_Meci'!L69="YES",'Input_Meci'!K69&lt;&gt;"",'Input_Meci'!K69&lt;C69,'Core_Nativ'!T770="DERIVED",'Core_Nativ'!M770&gt;='Core_Nativ'!P764),MIN(1,'Core_Nativ'!M764/'Core_Nativ'!P764)*IF('Core_Nativ'!M764=0,0,'Core_Nativ'!N764)+(1-MIN(1,'Core_Nativ'!M764/'Core_Nativ'!P764))*'Core_Nativ'!N770,"")),""))</x:f>
      </x:c>
      <x:c r="AK69" s="11" t="str">
        <x:f>IF(A69="","",IF(AND('Core_Nativ'!R764="CLOSED",'Core_Nativ'!S764=0),IF('Core_Nativ'!M764&gt;='Core_Nativ'!P764,'Core_Nativ'!O764,IF(AND('Input_Meci'!L69="YES",'Input_Meci'!K69&lt;&gt;"",'Input_Meci'!K69&lt;C69,'Core_Nativ'!T770="DERIVED",'Core_Nativ'!M770&gt;='Core_Nativ'!P764),MIN(1,'Core_Nativ'!M764/'Core_Nativ'!P764)*IF('Core_Nativ'!M764=0,0,'Core_Nativ'!O764)+(1-MIN(1,'Core_Nativ'!M764/'Core_Nativ'!P764))*'Core_Nativ'!O770,"")),""))</x:f>
      </x:c>
      <x:c r="AL69" s="11" t="str">
        <x:f>IF(A69="","",IF(AND('Core_Nativ'!R765="CLOSED",'Core_Nativ'!S765=0),IF('Core_Nativ'!M765&gt;='Core_Nativ'!P765,'Core_Nativ'!N765,IF(AND('Input_Meci'!L69="YES",'Input_Meci'!K69&lt;&gt;"",'Input_Meci'!K69&lt;C69,'Core_Nativ'!T771="DERIVED",'Core_Nativ'!M771&gt;='Core_Nativ'!P765),MIN(1,'Core_Nativ'!M765/'Core_Nativ'!P765)*IF('Core_Nativ'!M765=0,0,'Core_Nativ'!N765)+(1-MIN(1,'Core_Nativ'!M765/'Core_Nativ'!P765))*'Core_Nativ'!N771,"")),""))</x:f>
      </x:c>
      <x:c r="AM69" s="11" t="str">
        <x:f>IF(A69="","",IF(AND('Core_Nativ'!R765="CLOSED",'Core_Nativ'!S765=0),IF('Core_Nativ'!M765&gt;='Core_Nativ'!P765,'Core_Nativ'!O765,IF(AND('Input_Meci'!L69="YES",'Input_Meci'!K69&lt;&gt;"",'Input_Meci'!K69&lt;C69,'Core_Nativ'!T771="DERIVED",'Core_Nativ'!M771&gt;='Core_Nativ'!P765),MIN(1,'Core_Nativ'!M765/'Core_Nativ'!P765)*IF('Core_Nativ'!M765=0,0,'Core_Nativ'!O765)+(1-MIN(1,'Core_Nativ'!M765/'Core_Nativ'!P765))*'Core_Nativ'!O771,"")),""))</x:f>
      </x:c>
      <x:c r="AN69" s="11" t="str">
        <x:f>IF(A69="","",IF(AND('Core_Nativ'!R766="CLOSED",'Core_Nativ'!S766=0),IF('Core_Nativ'!M766&gt;='Core_Nativ'!P766,'Core_Nativ'!N766,IF(AND('Input_Meci'!L69="YES",'Input_Meci'!K69&lt;&gt;"",'Input_Meci'!K69&lt;C69,'Core_Nativ'!T772="DERIVED",'Core_Nativ'!M772&gt;='Core_Nativ'!P766),MIN(1,'Core_Nativ'!M766/'Core_Nativ'!P766)*IF('Core_Nativ'!M766=0,0,'Core_Nativ'!N766)+(1-MIN(1,'Core_Nativ'!M766/'Core_Nativ'!P766))*'Core_Nativ'!N772,"")),""))</x:f>
      </x:c>
      <x:c r="AO69" s="11" t="str">
        <x:f>IF(A69="","",IF(AND('Core_Nativ'!R766="CLOSED",'Core_Nativ'!S766=0),IF('Core_Nativ'!M766&gt;='Core_Nativ'!P766,'Core_Nativ'!O766,IF(AND('Input_Meci'!L69="YES",'Input_Meci'!K69&lt;&gt;"",'Input_Meci'!K69&lt;C69,'Core_Nativ'!T772="DERIVED",'Core_Nativ'!M772&gt;='Core_Nativ'!P766),MIN(1,'Core_Nativ'!M766/'Core_Nativ'!P766)*IF('Core_Nativ'!M766=0,0,'Core_Nativ'!O766)+(1-MIN(1,'Core_Nativ'!M766/'Core_Nativ'!P766))*'Core_Nativ'!O772,"")),""))</x:f>
      </x:c>
      <x:c r="AP69" s="11" t="str">
        <x:f>IF(A69="","",IF(AND('Core_Nativ'!R767="CLOSED",'Core_Nativ'!S767=0),IF('Core_Nativ'!M767&gt;='Core_Nativ'!P767,'Core_Nativ'!N767,IF(AND('Input_Meci'!L69="YES",'Input_Meci'!K69&lt;&gt;"",'Input_Meci'!K69&lt;C69,'Core_Nativ'!T773="DERIVED",'Core_Nativ'!M773&gt;='Core_Nativ'!P767),MIN(1,'Core_Nativ'!M767/'Core_Nativ'!P767)*IF('Core_Nativ'!M767=0,0,'Core_Nativ'!N767)+(1-MIN(1,'Core_Nativ'!M767/'Core_Nativ'!P767))*'Core_Nativ'!N773,"")),""))</x:f>
      </x:c>
      <x:c r="AQ69" s="11" t="str">
        <x:f>IF(A69="","",IF(AND('Core_Nativ'!R767="CLOSED",'Core_Nativ'!S767=0),IF('Core_Nativ'!M767&gt;='Core_Nativ'!P767,'Core_Nativ'!O767,IF(AND('Input_Meci'!L69="YES",'Input_Meci'!K69&lt;&gt;"",'Input_Meci'!K69&lt;C69,'Core_Nativ'!T773="DERIVED",'Core_Nativ'!M773&gt;='Core_Nativ'!P767),MIN(1,'Core_Nativ'!M767/'Core_Nativ'!P767)*IF('Core_Nativ'!M767=0,0,'Core_Nativ'!O767)+(1-MIN(1,'Core_Nativ'!M767/'Core_Nativ'!P767))*'Core_Nativ'!O773,"")),""))</x:f>
      </x:c>
      <x:c r="AR69" s="11" t="str">
        <x:f>IF(A69="","",SUMPRODUCT(('Istoric_Nativ'!$B$6:$B$405=B69)*('Istoric_Nativ'!$C$6:$C$405=BL69)*('Istoric_Nativ'!$P$6:$P$405=1)*('Istoric_Nativ'!$D$6:$D$405&lt;INT(G69))*((('Istoric_Nativ'!$E$6:$E$405='Input_Meci'!D69)+('Istoric_Nativ'!$F$6:$F$405='Input_Meci'!D69)+('Istoric_Nativ'!$E$6:$E$405='Input_Meci'!E69)+('Istoric_Nativ'!$F$6:$F$405='Input_Meci'!E69))&gt;0)))</x:f>
      </x:c>
      <x:c r="AS69" s="11" t="str">
        <x:f>IF(AR69=0,"",SUMPRODUCT(('Istoric_Nativ'!$B$6:$B$405=B69)*('Istoric_Nativ'!$C$6:$C$405=BL69)*('Istoric_Nativ'!$P$6:$P$405=1)*('Istoric_Nativ'!$D$6:$D$405&lt;INT(G69))*((('Istoric_Nativ'!$E$6:$E$405='Input_Meci'!D69)+('Istoric_Nativ'!$F$6:$F$405='Input_Meci'!D69)+('Istoric_Nativ'!$E$6:$E$405='Input_Meci'!E69)+('Istoric_Nativ'!$F$6:$F$405='Input_Meci'!E69))&gt;0)*'Istoric_Nativ'!$Q$6:$Q$405)/AR69)</x:f>
      </x:c>
      <x:c r="AT69" s="11" t="str">
        <x:f>IF(AR69&lt;2,"",MAX(0,(SUMPRODUCT(('Istoric_Nativ'!$B$6:$B$405=B69)*('Istoric_Nativ'!$C$6:$C$405=BL69)*('Istoric_Nativ'!$P$6:$P$405=1)*('Istoric_Nativ'!$D$6:$D$405&lt;INT(G69))*((('Istoric_Nativ'!$E$6:$E$405='Input_Meci'!D69)+('Istoric_Nativ'!$F$6:$F$405='Input_Meci'!D69)+('Istoric_Nativ'!$E$6:$E$405='Input_Meci'!E69)+('Istoric_Nativ'!$F$6:$F$405='Input_Meci'!E69))&gt;0)*'Istoric_Nativ'!$R$6:$R$405)-AR69*AS69^2)/(AR69-1)))</x:f>
      </x:c>
      <x:c r="AU69" s="11" t="str">
        <x:f>IF(I69&lt;&gt;"PASS","",AT69/AS69)</x:f>
      </x:c>
      <x:c r="AV69" s="11" t="str">
        <x:f>IF(I69&lt;&gt;"PASS","",IF(AU69&lt;='Config_v6'!$B$10,"POISSON","NEGATIVE BINOMIAL"))</x:f>
      </x:c>
      <x:c r="AW69" s="11" t="str">
        <x:f>IF(I69&lt;&gt;"PASS","",IF(AV69="POISSON",9999,AS69/(AU69-1)))</x:f>
      </x:c>
      <x:c r="AX69" s="11" t="str">
        <x:f>IF(A69="","",MAX(1-'Config_v6'!$B$20,MIN(1+'Config_v6'!$B$20,1+0.02*(IF(AND(ISNUMBER('Input_Meci'!N69),'Input_Meci'!N69&gt;=0,'Input_Meci'!N69&lt;=200),'Input_Meci'!N69,12)/12-1)+0.02*(IF(AND(ISNUMBER('Input_Meci'!P69),'Input_Meci'!P69&gt;=0,'Input_Meci'!P69&lt;=200),'Input_Meci'!P69,3.5)/3.5-1)+0.02*(IF(AND(ISNUMBER('Input_Meci'!R69),'Input_Meci'!R69&gt;=0,'Input_Meci'!R69&lt;=200),'Input_Meci'!R69,18)/18-1)+0.02*((IF(AND(ISNUMBER('Input_Meci'!V69),'Input_Meci'!V69&gt;=0,'Input_Meci'!V69&lt;=10),'Input_Meci'!V69,5)-5)/5))))</x:f>
      </x:c>
      <x:c r="AY69" s="11" t="str">
        <x:f>IF(A69="","",MAX(1-'Config_v6'!$B$20,MIN(1+'Config_v6'!$B$20,1+0.02*(IF(AND(ISNUMBER('Input_Meci'!O69),'Input_Meci'!O69&gt;=0,'Input_Meci'!O69&lt;=200),'Input_Meci'!O69,12)/12-1)+0.02*(IF(AND(ISNUMBER('Input_Meci'!Q69),'Input_Meci'!Q69&gt;=0,'Input_Meci'!Q69&lt;=200),'Input_Meci'!Q69,3.5)/3.5-1)+0.02*(IF(AND(ISNUMBER('Input_Meci'!S69),'Input_Meci'!S69&gt;=0,'Input_Meci'!S69&lt;=200),'Input_Meci'!S69,18)/18-1)+0.02*((IF(AND(ISNUMBER('Input_Meci'!W69),'Input_Meci'!W69&gt;=0,'Input_Meci'!W69&lt;=10),'Input_Meci'!W69,5)-5)/5))))</x:f>
      </x:c>
      <x:c r="AZ69" s="11" t="str">
        <x:f>IF(A69="","",MAX(1-'Config_v6'!$B$21,MIN(1+'Config_v6'!$B$21,1+0.012*(IF('Input_Meci'!X69="",5,IF(ISNUMBER('Input_Meci'!X69),'Input_Meci'!X69,5))-5)+0.018*(IF('Input_Meci'!Z69="",5,IF(ISNUMBER('Input_Meci'!Z69),'Input_Meci'!Z69,5))-5)+0.012*(IF('Input_Meci'!AB69="",5,IF(ISNUMBER('Input_Meci'!AB69),'Input_Meci'!AB69,5))-5)+0.015*IF('Input_Meci'!AD69="",0,IF(ISNUMBER('Input_Meci'!AD69),'Input_Meci'!AD69,0))+0.02*IF('Input_Meci'!AF69="",0,IF(ISNUMBER('Input_Meci'!AF69),'Input_Meci'!AF69,0)))))</x:f>
      </x:c>
      <x:c r="BA69" s="11" t="str">
        <x:f>IF(A69="","",MAX(1-'Config_v6'!$B$21,MIN(1+'Config_v6'!$B$21,1+0.012*(IF('Input_Meci'!Y69="",5,IF(ISNUMBER('Input_Meci'!Y69),'Input_Meci'!Y69,5))-5)+0.018*(IF('Input_Meci'!AA69="",5,IF(ISNUMBER('Input_Meci'!AA69),'Input_Meci'!AA69,5))-5)+0.012*(IF('Input_Meci'!AC69="",5,IF(ISNUMBER('Input_Meci'!AC69),'Input_Meci'!AC69,5))-5)+0.015*IF('Input_Meci'!AE69="",0,IF(ISNUMBER('Input_Meci'!AE69),'Input_Meci'!AE69,0))+0.02*IF('Input_Meci'!AG69="",0,IF(ISNUMBER('Input_Meci'!AG69),'Input_Meci'!AG69,0)))))</x:f>
      </x:c>
      <x:c r="BB69" s="11" t="str">
        <x:f>IF(I69&lt;&gt;"PASS","",(AVERAGE(AF69,AM69)*'Config_v6'!$B$4+AVERAGE(AH69,AO69)*'Config_v6'!$B$5+AVERAGE(AJ69,AQ69)*'Config_v6'!$B$6)*AX69*AZ69)</x:f>
      </x:c>
      <x:c r="BC69" s="11" t="str">
        <x:f>IF(I69&lt;&gt;"PASS","",(AVERAGE(AL69,AG69)*'Config_v6'!$B$4+AVERAGE(AN69,AI69)*'Config_v6'!$B$5+AVERAGE(AP69,AK69)*'Config_v6'!$B$6)*AY69*BA69)</x:f>
      </x:c>
      <x:c r="BD69" s="11" t="str">
        <x:f>IF(I69&lt;&gt;"PASS","",BB69+BC69)</x:f>
      </x:c>
      <x:c r="BE69" s="11" t="str">
        <x:f>IF(A69="","",10-SUM(IF(AND(ISNUMBER('Input_Meci'!N69),'Input_Meci'!N69&gt;=0,'Input_Meci'!N69&lt;=200),1,0),IF(AND(ISNUMBER('Input_Meci'!O69),'Input_Meci'!O69&gt;=0,'Input_Meci'!O69&lt;=200),1,0),IF(AND(ISNUMBER('Input_Meci'!P69),'Input_Meci'!P69&gt;=0,'Input_Meci'!P69&lt;=200),1,0),IF(AND(ISNUMBER('Input_Meci'!Q69),'Input_Meci'!Q69&gt;=0,'Input_Meci'!Q69&lt;=200),1,0),IF(AND(ISNUMBER('Input_Meci'!R69),'Input_Meci'!R69&gt;=0,'Input_Meci'!R69&lt;=200),1,0),IF(AND(ISNUMBER('Input_Meci'!S69),'Input_Meci'!S69&gt;=0,'Input_Meci'!S69&lt;=200),1,0),IF(AND(ISNUMBER('Input_Meci'!T69),'Input_Meci'!T69&gt;=0,'Input_Meci'!T69&lt;=100),1,0),IF(AND(ISNUMBER('Input_Meci'!U69),'Input_Meci'!U69&gt;=0,'Input_Meci'!U69&lt;=100),1,0),IF(AND(ISNUMBER('Input_Meci'!V69),'Input_Meci'!V69&gt;=0,'Input_Meci'!V69&lt;=10),1,0),IF(AND(ISNUMBER('Input_Meci'!W69),'Input_Meci'!W69&gt;=0,'Input_Meci'!W69&lt;=10),1,0)))</x:f>
      </x:c>
      <x:c r="BF69" s="11" t="str">
        <x:f>IF(I69&lt;&gt;"PASS","",MAX(0,MIN(IF(OR(M69="YES",BL69&lt;&gt;C69),'Config_v6'!$B$34,100),ROUND(40+25*MIN(1,MIN(N69,Q69)/'Config_v6'!$B$7)*MIN(1,MIN(O69,R69)/'Config_v6'!$B$8)*MIN(1,MIN(P69,S69)/'Config_v6'!$B$9)+MAX(0,15-2*ABS(AF69-AJ69)-2*ABS(AL69-AP69))+IF(AU69&lt;='Config_v6'!$B$10,15,IF(AU69&lt;='Config_v6'!$B$11,13,IF(AU69&lt;='Config_v6'!$B$12,10,IF(AU69&lt;='Config_v6'!$B$13,6,0))))+5-BE69/10*'Config_v6'!$B$38,0))))</x:f>
      </x:c>
      <x:c r="BG69" s="11" t="str">
        <x:f>IF(I69&lt;&gt;"PASS","",MIN(1,'Config_v6'!$B$14*(0.7+0.3*MIN(1,AR69/'Config_v6'!$B$15))*IF(AU69&lt;='Config_v6'!$B$10,1,IF(AU69&lt;='Config_v6'!$B$11,0.95,IF(AU69&lt;='Config_v6'!$B$12,0.88,0.78)))*(0.75+0.25*BF69/100)))</x:f>
      </x:c>
      <x:c r="BH69" s="11" t="str">
        <x:f>IF(I69&lt;&gt;"PASS","",MIN(1,(ABS(AZ69-1)+ABS(BA69-1))*3))</x:f>
      </x:c>
      <x:c r="BI69" s="2" t="str">
        <x:f>IF(A69="","",IF(AND(OR('Input_Meci'!X69="",AND(ISNUMBER('Input_Meci'!X69),'Input_Meci'!X69&gt;=0,'Input_Meci'!X69&lt;=10)),OR('Input_Meci'!Y69="",AND(ISNUMBER('Input_Meci'!Y69),'Input_Meci'!Y69&gt;=0,'Input_Meci'!Y69&lt;=10)),OR('Input_Meci'!Z69="",AND(ISNUMBER('Input_Meci'!Z69),'Input_Meci'!Z69&gt;=0,'Input_Meci'!Z69&lt;=10)),OR('Input_Meci'!AA69="",AND(ISNUMBER('Input_Meci'!AA69),'Input_Meci'!AA69&gt;=0,'Input_Meci'!AA69&lt;=10)),OR('Input_Meci'!AB69="",AND(ISNUMBER('Input_Meci'!AB69),'Input_Meci'!AB69&gt;=0,'Input_Meci'!AB69&lt;=10)),OR('Input_Meci'!AC69="",AND(ISNUMBER('Input_Meci'!AC69),'Input_Meci'!AC69&gt;=0,'Input_Meci'!AC69&lt;=10)),OR('Input_Meci'!AD69="",AND(ISNUMBER('Input_Meci'!AD69),'Input_Meci'!AD69&gt;=-2,'Input_Meci'!AD69&lt;=2)),OR('Input_Meci'!AE69="",AND(ISNUMBER('Input_Meci'!AE69),'Input_Meci'!AE69&gt;=-2,'Input_Meci'!AE69&lt;=2)),OR('Input_Meci'!AF69="",AND(ISNUMBER('Input_Meci'!AF69),'Input_Meci'!AF69&gt;=-2,'Input_Meci'!AF69&lt;=2)),OR('Input_Meci'!AG69="",AND(ISNUMBER('Input_Meci'!AG69),'Input_Meci'!AG69&gt;=-2,'Input_Meci'!AG69&lt;=2))),"VALID","INVALID"))</x:f>
      </x:c>
      <x:c r="BJ69" s="2" t="n">
        <x:f>IF(A69="",0,SUM('Core_Nativ'!S762:S767))</x:f>
        <x:v>0</x:v>
      </x:c>
      <x:c r="BK69" s="2" t="str">
        <x:f>'Config_v6'!$B$40</x:f>
        <x:v>VALID</x:v>
      </x:c>
      <x:c r="BL69" s="2" t="str">
        <x:f>IF(A69="","",IF(SUMPRODUCT(('Istoric_Nativ'!$B$6:$B$405=B69)*('Istoric_Nativ'!$C$6:$C$405=C69)*('Istoric_Nativ'!$P$6:$P$405=1)*('Istoric_Nativ'!$D$6:$D$405&lt;INT(G69))*((('Istoric_Nativ'!$E$6:$E$405='Input_Meci'!D69)+('Istoric_Nativ'!$F$6:$F$405='Input_Meci'!D69)+('Istoric_Nativ'!$E$6:$E$405='Input_Meci'!E69)+('Istoric_Nativ'!$F$6:$F$405='Input_Meci'!E69))&gt;0))&gt;='Config_v6'!$B$41,C69,IF(AND('Input_Meci'!L69="YES",'Input_Meci'!K69&lt;&gt;"",'Input_Meci'!K69&lt;C69,COUNTIF('Core_Nativ'!R768:R773,"CLOSED")=6,SUM('Core_Nativ'!S768:S773)=0),'Input_Meci'!K69,C69)))</x:f>
      </x:c>
      <x:c r="BM69" s="9" t="n">
        <x:f>IF(OR(A69="",N69=0),0,LARGE(_xlfn._xlws.FILTER('Istoric_Nativ'!$D$6:$D$405,('Istoric_Nativ'!$B$6:$B$405=B69)*('Istoric_Nativ'!$C$6:$C$405=C69)*('Istoric_Nativ'!$P$6:$P$405=1)*('Istoric_Nativ'!$D$6:$D$405&lt;INT(G69))*((('Istoric_Nativ'!$E$6:$E$405='Input_Meci'!D69)+('Istoric_Nativ'!$F$6:$F$405='Input_Meci'!D69))&gt;0)),MIN(10,N69)))</x:f>
        <x:v>0</x:v>
      </x:c>
      <x:c r="BN69" s="9" t="n">
        <x:f>IF(OR(A69="",Q69=0),0,LARGE(_xlfn._xlws.FILTER('Istoric_Nativ'!$D$6:$D$405,('Istoric_Nativ'!$B$6:$B$405=B69)*('Istoric_Nativ'!$C$6:$C$405=C69)*('Istoric_Nativ'!$P$6:$P$405=1)*('Istoric_Nativ'!$D$6:$D$405&lt;INT(G69))*((('Istoric_Nativ'!$E$6:$E$405='Input_Meci'!E69)+('Istoric_Nativ'!$F$6:$F$405='Input_Meci'!E69))&gt;0)),MIN(10,Q69)))</x:f>
        <x:v>0</x:v>
      </x:c>
      <x:c r="BO69" s="9" t="n">
        <x:f>IF(OR(A69="",N69=0),0,LARGE(_xlfn._xlws.FILTER('Istoric_Nativ'!$D$6:$D$405,('Istoric_Nativ'!$B$6:$B$405=B69)*('Istoric_Nativ'!$C$6:$C$405=C69)*('Istoric_Nativ'!$P$6:$P$405=1)*('Istoric_Nativ'!$D$6:$D$405&lt;INT(G69))*((('Istoric_Nativ'!$E$6:$E$405='Input_Meci'!D69)+('Istoric_Nativ'!$F$6:$F$405='Input_Meci'!D69))&gt;0)),MIN(20,N69)))</x:f>
        <x:v>0</x:v>
      </x:c>
      <x:c r="BP69" s="9" t="n">
        <x:f>IF(OR(A69="",Q69=0),0,LARGE(_xlfn._xlws.FILTER('Istoric_Nativ'!$D$6:$D$405,('Istoric_Nativ'!$B$6:$B$405=B69)*('Istoric_Nativ'!$C$6:$C$405=C69)*('Istoric_Nativ'!$P$6:$P$405=1)*('Istoric_Nativ'!$D$6:$D$405&lt;INT(G69))*((('Istoric_Nativ'!$E$6:$E$405='Input_Meci'!E69)+('Istoric_Nativ'!$F$6:$F$405='Input_Meci'!E69))&gt;0)),MIN(20,Q69)))</x:f>
        <x:v>0</x:v>
      </x:c>
      <x:c r="BQ69" s="2" t="str">
        <x:f>IF(A69="","",IF(AND(COUNTIF(MatchesTable[Match_ID],A69)=1,COUNTIFS(MatchesTable[League],B69,MatchesTable[Season],C69,MatchesTable[Home],'Input_Meci'!D69,MatchesTable[Away],'Input_Meci'!E69,MatchesTable[Kickoff_UTC],F69)=1,B69&lt;&gt;"",C69&lt;&gt;"",'Input_Meci'!D69&lt;&gt;"",'Input_Meci'!E69&lt;&gt;"",'Input_Meci'!D69&lt;&gt;'Input_Meci'!E69,ISNUMBER(F69),ISNUMBER(G69),G69&lt;F69,OR(E69="LIVE",E69="REPLAY"),OR('Input_Meci'!L69="YES",'Input_Meci'!L69="NO",'Input_Meci'!L69="")),"VALID","INVALID"))</x:f>
      </x:c>
      <x:c r="BR69" s="2" t="n">
        <x:f>IF(I69&lt;&gt;"PASS",0,SUMPRODUCT(('Istoric_Nativ'!$B$6:$B$405='Input_Meci'!B69)*('Istoric_Nativ'!$C$6:$C$405='Input_Meci'!C69)*('Istoric_Nativ'!$P$6:$P$405=1)*('Istoric_Nativ'!$D$6:$D$405&lt;INT('Input_Meci'!G69))*((('Istoric_Nativ'!$E$6:$E$405='Input_Meci'!D69)+('Istoric_Nativ'!$F$6:$F$405='Input_Meci'!E69))&gt;0)))</x:f>
        <x:v>0</x:v>
      </x:c>
      <x:c r="BS69" s="2" t="n">
        <x:f>IF(I69&lt;&gt;"PASS",0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BM69)+((('Istoric_Nativ'!$E$6:$E$405='Input_Meci'!E69)+('Istoric_Nativ'!$F$6:$F$405='Input_Meci'!E69))&gt;0)*('Istoric_Nativ'!$D$6:$D$405&gt;=BN69))&gt;0)))</x:f>
        <x:v>0</x:v>
      </x:c>
      <x:c r="BT69" s="2" t="n">
        <x:f>IF(I69&lt;&gt;"PASS",0,SUMPRODUCT(('Istoric_Nativ'!$B$6:$B$405='Input_Meci'!B69)*('Istoric_Nativ'!$C$6:$C$405='Input_Meci'!C69)*('Istoric_Nativ'!$P$6:$P$405=1)*('Istoric_Nativ'!$D$6:$D$405&lt;INT('Input_Meci'!G69))*((((('Istoric_Nativ'!$E$6:$E$405='Input_Meci'!D69)+('Istoric_Nativ'!$F$6:$F$405='Input_Meci'!D69))&gt;0)*('Istoric_Nativ'!$D$6:$D$405&gt;=BO69)+((('Istoric_Nativ'!$E$6:$E$405='Input_Meci'!E69)+('Istoric_Nativ'!$F$6:$F$405='Input_Meci'!E69))&gt;0)*('Istoric_Nativ'!$D$6:$D$405&gt;=BP69))&gt;0)))</x:f>
        <x:v>0</x:v>
      </x:c>
    </x:row>
    <x:row r="70" ht="21" customHeight="1">
      <x:c r="A70" s="2" t="str">
        <x:f>IF('Input_Meci'!A70="","",'Input_Meci'!A70)</x:f>
      </x:c>
      <x:c r="B70" s="2" t="str">
        <x:f>IF(A70="","",'Input_Meci'!B70)</x:f>
      </x:c>
      <x:c r="C70" s="2" t="str">
        <x:f>IF(A70="","",'Input_Meci'!C70)</x:f>
      </x:c>
      <x:c r="D70" s="2" t="str">
        <x:f>IF(A70="","",'Input_Meci'!D70&amp;" – "&amp;'Input_Meci'!E70)</x:f>
      </x:c>
      <x:c r="E70" s="2" t="str">
        <x:f>IF(A70="","",'Input_Meci'!H70)</x:f>
      </x:c>
      <x:c r="F70" s="9" t="str">
        <x:f>IF(A70="","",'Input_Meci'!F70)</x:f>
      </x:c>
      <x:c r="G70" s="9" t="str">
        <x:f>IF(A70="","",'Input_Meci'!G70)</x:f>
      </x:c>
      <x:c r="H70" s="2" t="str">
        <x:f>IF(A70="","",IF(BQ70&lt;&gt;"VALID","NOT RELEASED",IF(AND(OR('Input_Meci'!I70="NOT AVAILABLE",'Input_Meci'!I70="SOURCE CONFLICT"),'Input_Meci'!J70&lt;&gt;""),"READY",IF(OR(NOT(OR('Input_Meci'!I70="AUTO",'Input_Meci'!I70="")),COUNTIF('Core_Nativ'!R774:R779,"CLOSED")&lt;&gt;6,BJ70&gt;0),"NOT RELEASED","READY"))))</x:f>
      </x:c>
      <x:c r="I70" s="2" t="str">
        <x:f>IF(A70="","",IF(H70&lt;&gt;"READY","NOT RELEASED",IF(AND(NOT(OR('Input_Meci'!I70="NOT AVAILABLE",'Input_Meci'!I70="SOURCE CONFLICT")),L70=12,AR70&gt;=2,AS70&gt;0,ISNUMBER(AT70),BI70="VALID",BK70="VALID"),"PASS","FAIL")))</x:f>
      </x:c>
      <x:c r="J70" s="2" t="str">
        <x:f>IF(A70="","",IF(BQ70&lt;&gt;"VALID","Verifica ID, echipe, mod si cutoff &lt; kickoff",IF(H70&lt;&gt;"READY",IF('Input_Meci'!I70="ACCESS BLOCKED","Acces blocat: reia sursele",IF(BJ70&gt;0,"Istoric invalid sau conflict: verifica randurile native","Surse neinchise / post-cutoff / dovezi incomplete")),IF(OR('Input_Meci'!I70="NOT AVAILABLE",'Input_Meci'!I70="SOURCE CONFLICT"),'Input_Meci'!I70,IF(BK70&lt;&gt;"VALID","Parametri invalizi",IF(L70&lt;&gt;12,"Core / sample / prior insuficient",IF(AR70&lt;2,"N insuficient pentru dispersie",IF(AS70&lt;=0,"Media istorica trebuie sa fie pozitiva",IF(BI70&lt;&gt;"VALID","Context invalid","READY")))))))))</x:f>
      </x:c>
      <x:c r="K70" s="2" t="str">
        <x:f>IF(A70="","",COUNT(T70:AE70))</x:f>
      </x:c>
      <x:c r="L70" s="2" t="str">
        <x:f>IF(A70="","",COUNT(AF70:AQ70))</x:f>
      </x:c>
      <x:c r="M70" s="2" t="str">
        <x:f>IF(A70="","",IF(OR('Core_Nativ'!M774&lt;'Core_Nativ'!P774,'Core_Nativ'!M775&lt;'Core_Nativ'!P775,'Core_Nativ'!M776&lt;'Core_Nativ'!P776,'Core_Nativ'!M777&lt;'Core_Nativ'!P777,'Core_Nativ'!M778&lt;'Core_Nativ'!P778,'Core_Nativ'!M779&lt;'Core_Nativ'!P779),"YES","NO"))</x:f>
      </x:c>
      <x:c r="N70" s="2" t="str">
        <x:f>IF(A70="","",'Core_Nativ'!M774)</x:f>
      </x:c>
      <x:c r="O70" s="2" t="str">
        <x:f>IF(A70="","",'Core_Nativ'!M775)</x:f>
      </x:c>
      <x:c r="P70" s="2" t="str">
        <x:f>IF(A70="","",'Core_Nativ'!M776)</x:f>
      </x:c>
      <x:c r="Q70" s="2" t="str">
        <x:f>IF(A70="","",'Core_Nativ'!M777)</x:f>
      </x:c>
      <x:c r="R70" s="2" t="str">
        <x:f>IF(A70="","",'Core_Nativ'!M778)</x:f>
      </x:c>
      <x:c r="S70" s="2" t="str">
        <x:f>IF(A70="","",'Core_Nativ'!M779)</x:f>
      </x:c>
      <x:c r="T70" s="11" t="str">
        <x:f>IF(OR(A70="",'Core_Nativ'!M774=0),"",'Core_Nativ'!N774)</x:f>
      </x:c>
      <x:c r="U70" s="11" t="str">
        <x:f>IF(OR(A70="",'Core_Nativ'!M774=0),"",'Core_Nativ'!O774)</x:f>
      </x:c>
      <x:c r="V70" s="11" t="str">
        <x:f>IF(OR(A70="",'Core_Nativ'!M775=0),"",'Core_Nativ'!N775)</x:f>
      </x:c>
      <x:c r="W70" s="11" t="str">
        <x:f>IF(OR(A70="",'Core_Nativ'!M775=0),"",'Core_Nativ'!O775)</x:f>
      </x:c>
      <x:c r="X70" s="11" t="str">
        <x:f>IF(OR(A70="",'Core_Nativ'!M776=0),"",'Core_Nativ'!N776)</x:f>
      </x:c>
      <x:c r="Y70" s="11" t="str">
        <x:f>IF(OR(A70="",'Core_Nativ'!M776=0),"",'Core_Nativ'!O776)</x:f>
      </x:c>
      <x:c r="Z70" s="11" t="str">
        <x:f>IF(OR(A70="",'Core_Nativ'!M777=0),"",'Core_Nativ'!N777)</x:f>
      </x:c>
      <x:c r="AA70" s="11" t="str">
        <x:f>IF(OR(A70="",'Core_Nativ'!M777=0),"",'Core_Nativ'!O777)</x:f>
      </x:c>
      <x:c r="AB70" s="11" t="str">
        <x:f>IF(OR(A70="",'Core_Nativ'!M778=0),"",'Core_Nativ'!N778)</x:f>
      </x:c>
      <x:c r="AC70" s="11" t="str">
        <x:f>IF(OR(A70="",'Core_Nativ'!M778=0),"",'Core_Nativ'!O778)</x:f>
      </x:c>
      <x:c r="AD70" s="11" t="str">
        <x:f>IF(OR(A70="",'Core_Nativ'!M779=0),"",'Core_Nativ'!N779)</x:f>
      </x:c>
      <x:c r="AE70" s="11" t="str">
        <x:f>IF(OR(A70="",'Core_Nativ'!M779=0),"",'Core_Nativ'!O779)</x:f>
      </x:c>
      <x:c r="AF70" s="11" t="str">
        <x:f>IF(A70="","",IF(AND('Core_Nativ'!R774="CLOSED",'Core_Nativ'!S774=0),IF('Core_Nativ'!M774&gt;='Core_Nativ'!P774,'Core_Nativ'!N774,IF(AND('Input_Meci'!L70="YES",'Input_Meci'!K70&lt;&gt;"",'Input_Meci'!K70&lt;C70,'Core_Nativ'!T780="DERIVED",'Core_Nativ'!M780&gt;='Core_Nativ'!P774),MIN(1,'Core_Nativ'!M774/'Core_Nativ'!P774)*IF('Core_Nativ'!M774=0,0,'Core_Nativ'!N774)+(1-MIN(1,'Core_Nativ'!M774/'Core_Nativ'!P774))*'Core_Nativ'!N780,"")),""))</x:f>
      </x:c>
      <x:c r="AG70" s="11" t="str">
        <x:f>IF(A70="","",IF(AND('Core_Nativ'!R774="CLOSED",'Core_Nativ'!S774=0),IF('Core_Nativ'!M774&gt;='Core_Nativ'!P774,'Core_Nativ'!O774,IF(AND('Input_Meci'!L70="YES",'Input_Meci'!K70&lt;&gt;"",'Input_Meci'!K70&lt;C70,'Core_Nativ'!T780="DERIVED",'Core_Nativ'!M780&gt;='Core_Nativ'!P774),MIN(1,'Core_Nativ'!M774/'Core_Nativ'!P774)*IF('Core_Nativ'!M774=0,0,'Core_Nativ'!O774)+(1-MIN(1,'Core_Nativ'!M774/'Core_Nativ'!P774))*'Core_Nativ'!O780,"")),""))</x:f>
      </x:c>
      <x:c r="AH70" s="11" t="str">
        <x:f>IF(A70="","",IF(AND('Core_Nativ'!R775="CLOSED",'Core_Nativ'!S775=0),IF('Core_Nativ'!M775&gt;='Core_Nativ'!P775,'Core_Nativ'!N775,IF(AND('Input_Meci'!L70="YES",'Input_Meci'!K70&lt;&gt;"",'Input_Meci'!K70&lt;C70,'Core_Nativ'!T781="DERIVED",'Core_Nativ'!M781&gt;='Core_Nativ'!P775),MIN(1,'Core_Nativ'!M775/'Core_Nativ'!P775)*IF('Core_Nativ'!M775=0,0,'Core_Nativ'!N775)+(1-MIN(1,'Core_Nativ'!M775/'Core_Nativ'!P775))*'Core_Nativ'!N781,"")),""))</x:f>
      </x:c>
      <x:c r="AI70" s="11" t="str">
        <x:f>IF(A70="","",IF(AND('Core_Nativ'!R775="CLOSED",'Core_Nativ'!S775=0),IF('Core_Nativ'!M775&gt;='Core_Nativ'!P775,'Core_Nativ'!O775,IF(AND('Input_Meci'!L70="YES",'Input_Meci'!K70&lt;&gt;"",'Input_Meci'!K70&lt;C70,'Core_Nativ'!T781="DERIVED",'Core_Nativ'!M781&gt;='Core_Nativ'!P775),MIN(1,'Core_Nativ'!M775/'Core_Nativ'!P775)*IF('Core_Nativ'!M775=0,0,'Core_Nativ'!O775)+(1-MIN(1,'Core_Nativ'!M775/'Core_Nativ'!P775))*'Core_Nativ'!O781,"")),""))</x:f>
      </x:c>
      <x:c r="AJ70" s="11" t="str">
        <x:f>IF(A70="","",IF(AND('Core_Nativ'!R776="CLOSED",'Core_Nativ'!S776=0),IF('Core_Nativ'!M776&gt;='Core_Nativ'!P776,'Core_Nativ'!N776,IF(AND('Input_Meci'!L70="YES",'Input_Meci'!K70&lt;&gt;"",'Input_Meci'!K70&lt;C70,'Core_Nativ'!T782="DERIVED",'Core_Nativ'!M782&gt;='Core_Nativ'!P776),MIN(1,'Core_Nativ'!M776/'Core_Nativ'!P776)*IF('Core_Nativ'!M776=0,0,'Core_Nativ'!N776)+(1-MIN(1,'Core_Nativ'!M776/'Core_Nativ'!P776))*'Core_Nativ'!N782,"")),""))</x:f>
      </x:c>
      <x:c r="AK70" s="11" t="str">
        <x:f>IF(A70="","",IF(AND('Core_Nativ'!R776="CLOSED",'Core_Nativ'!S776=0),IF('Core_Nativ'!M776&gt;='Core_Nativ'!P776,'Core_Nativ'!O776,IF(AND('Input_Meci'!L70="YES",'Input_Meci'!K70&lt;&gt;"",'Input_Meci'!K70&lt;C70,'Core_Nativ'!T782="DERIVED",'Core_Nativ'!M782&gt;='Core_Nativ'!P776),MIN(1,'Core_Nativ'!M776/'Core_Nativ'!P776)*IF('Core_Nativ'!M776=0,0,'Core_Nativ'!O776)+(1-MIN(1,'Core_Nativ'!M776/'Core_Nativ'!P776))*'Core_Nativ'!O782,"")),""))</x:f>
      </x:c>
      <x:c r="AL70" s="11" t="str">
        <x:f>IF(A70="","",IF(AND('Core_Nativ'!R777="CLOSED",'Core_Nativ'!S777=0),IF('Core_Nativ'!M777&gt;='Core_Nativ'!P777,'Core_Nativ'!N777,IF(AND('Input_Meci'!L70="YES",'Input_Meci'!K70&lt;&gt;"",'Input_Meci'!K70&lt;C70,'Core_Nativ'!T783="DERIVED",'Core_Nativ'!M783&gt;='Core_Nativ'!P777),MIN(1,'Core_Nativ'!M777/'Core_Nativ'!P777)*IF('Core_Nativ'!M777=0,0,'Core_Nativ'!N777)+(1-MIN(1,'Core_Nativ'!M777/'Core_Nativ'!P777))*'Core_Nativ'!N783,"")),""))</x:f>
      </x:c>
      <x:c r="AM70" s="11" t="str">
        <x:f>IF(A70="","",IF(AND('Core_Nativ'!R777="CLOSED",'Core_Nativ'!S777=0),IF('Core_Nativ'!M777&gt;='Core_Nativ'!P777,'Core_Nativ'!O777,IF(AND('Input_Meci'!L70="YES",'Input_Meci'!K70&lt;&gt;"",'Input_Meci'!K70&lt;C70,'Core_Nativ'!T783="DERIVED",'Core_Nativ'!M783&gt;='Core_Nativ'!P777),MIN(1,'Core_Nativ'!M777/'Core_Nativ'!P777)*IF('Core_Nativ'!M777=0,0,'Core_Nativ'!O777)+(1-MIN(1,'Core_Nativ'!M777/'Core_Nativ'!P777))*'Core_Nativ'!O783,"")),""))</x:f>
      </x:c>
      <x:c r="AN70" s="11" t="str">
        <x:f>IF(A70="","",IF(AND('Core_Nativ'!R778="CLOSED",'Core_Nativ'!S778=0),IF('Core_Nativ'!M778&gt;='Core_Nativ'!P778,'Core_Nativ'!N778,IF(AND('Input_Meci'!L70="YES",'Input_Meci'!K70&lt;&gt;"",'Input_Meci'!K70&lt;C70,'Core_Nativ'!T784="DERIVED",'Core_Nativ'!M784&gt;='Core_Nativ'!P778),MIN(1,'Core_Nativ'!M778/'Core_Nativ'!P778)*IF('Core_Nativ'!M778=0,0,'Core_Nativ'!N778)+(1-MIN(1,'Core_Nativ'!M778/'Core_Nativ'!P778))*'Core_Nativ'!N784,"")),""))</x:f>
      </x:c>
      <x:c r="AO70" s="11" t="str">
        <x:f>IF(A70="","",IF(AND('Core_Nativ'!R778="CLOSED",'Core_Nativ'!S778=0),IF('Core_Nativ'!M778&gt;='Core_Nativ'!P778,'Core_Nativ'!O778,IF(AND('Input_Meci'!L70="YES",'Input_Meci'!K70&lt;&gt;"",'Input_Meci'!K70&lt;C70,'Core_Nativ'!T784="DERIVED",'Core_Nativ'!M784&gt;='Core_Nativ'!P778),MIN(1,'Core_Nativ'!M778/'Core_Nativ'!P778)*IF('Core_Nativ'!M778=0,0,'Core_Nativ'!O778)+(1-MIN(1,'Core_Nativ'!M778/'Core_Nativ'!P778))*'Core_Nativ'!O784,"")),""))</x:f>
      </x:c>
      <x:c r="AP70" s="11" t="str">
        <x:f>IF(A70="","",IF(AND('Core_Nativ'!R779="CLOSED",'Core_Nativ'!S779=0),IF('Core_Nativ'!M779&gt;='Core_Nativ'!P779,'Core_Nativ'!N779,IF(AND('Input_Meci'!L70="YES",'Input_Meci'!K70&lt;&gt;"",'Input_Meci'!K70&lt;C70,'Core_Nativ'!T785="DERIVED",'Core_Nativ'!M785&gt;='Core_Nativ'!P779),MIN(1,'Core_Nativ'!M779/'Core_Nativ'!P779)*IF('Core_Nativ'!M779=0,0,'Core_Nativ'!N779)+(1-MIN(1,'Core_Nativ'!M779/'Core_Nativ'!P779))*'Core_Nativ'!N785,"")),""))</x:f>
      </x:c>
      <x:c r="AQ70" s="11" t="str">
        <x:f>IF(A70="","",IF(AND('Core_Nativ'!R779="CLOSED",'Core_Nativ'!S779=0),IF('Core_Nativ'!M779&gt;='Core_Nativ'!P779,'Core_Nativ'!O779,IF(AND('Input_Meci'!L70="YES",'Input_Meci'!K70&lt;&gt;"",'Input_Meci'!K70&lt;C70,'Core_Nativ'!T785="DERIVED",'Core_Nativ'!M785&gt;='Core_Nativ'!P779),MIN(1,'Core_Nativ'!M779/'Core_Nativ'!P779)*IF('Core_Nativ'!M779=0,0,'Core_Nativ'!O779)+(1-MIN(1,'Core_Nativ'!M779/'Core_Nativ'!P779))*'Core_Nativ'!O785,"")),""))</x:f>
      </x:c>
      <x:c r="AR70" s="11" t="str">
        <x:f>IF(A70="","",SUMPRODUCT(('Istoric_Nativ'!$B$6:$B$405=B70)*('Istoric_Nativ'!$C$6:$C$405=BL70)*('Istoric_Nativ'!$P$6:$P$405=1)*('Istoric_Nativ'!$D$6:$D$405&lt;INT(G70))*((('Istoric_Nativ'!$E$6:$E$405='Input_Meci'!D70)+('Istoric_Nativ'!$F$6:$F$405='Input_Meci'!D70)+('Istoric_Nativ'!$E$6:$E$405='Input_Meci'!E70)+('Istoric_Nativ'!$F$6:$F$405='Input_Meci'!E70))&gt;0)))</x:f>
      </x:c>
      <x:c r="AS70" s="11" t="str">
        <x:f>IF(AR70=0,"",SUMPRODUCT(('Istoric_Nativ'!$B$6:$B$405=B70)*('Istoric_Nativ'!$C$6:$C$405=BL70)*('Istoric_Nativ'!$P$6:$P$405=1)*('Istoric_Nativ'!$D$6:$D$405&lt;INT(G70))*((('Istoric_Nativ'!$E$6:$E$405='Input_Meci'!D70)+('Istoric_Nativ'!$F$6:$F$405='Input_Meci'!D70)+('Istoric_Nativ'!$E$6:$E$405='Input_Meci'!E70)+('Istoric_Nativ'!$F$6:$F$405='Input_Meci'!E70))&gt;0)*'Istoric_Nativ'!$Q$6:$Q$405)/AR70)</x:f>
      </x:c>
      <x:c r="AT70" s="11" t="str">
        <x:f>IF(AR70&lt;2,"",MAX(0,(SUMPRODUCT(('Istoric_Nativ'!$B$6:$B$405=B70)*('Istoric_Nativ'!$C$6:$C$405=BL70)*('Istoric_Nativ'!$P$6:$P$405=1)*('Istoric_Nativ'!$D$6:$D$405&lt;INT(G70))*((('Istoric_Nativ'!$E$6:$E$405='Input_Meci'!D70)+('Istoric_Nativ'!$F$6:$F$405='Input_Meci'!D70)+('Istoric_Nativ'!$E$6:$E$405='Input_Meci'!E70)+('Istoric_Nativ'!$F$6:$F$405='Input_Meci'!E70))&gt;0)*'Istoric_Nativ'!$R$6:$R$405)-AR70*AS70^2)/(AR70-1)))</x:f>
      </x:c>
      <x:c r="AU70" s="11" t="str">
        <x:f>IF(I70&lt;&gt;"PASS","",AT70/AS70)</x:f>
      </x:c>
      <x:c r="AV70" s="11" t="str">
        <x:f>IF(I70&lt;&gt;"PASS","",IF(AU70&lt;='Config_v6'!$B$10,"POISSON","NEGATIVE BINOMIAL"))</x:f>
      </x:c>
      <x:c r="AW70" s="11" t="str">
        <x:f>IF(I70&lt;&gt;"PASS","",IF(AV70="POISSON",9999,AS70/(AU70-1)))</x:f>
      </x:c>
      <x:c r="AX70" s="11" t="str">
        <x:f>IF(A70="","",MAX(1-'Config_v6'!$B$20,MIN(1+'Config_v6'!$B$20,1+0.02*(IF(AND(ISNUMBER('Input_Meci'!N70),'Input_Meci'!N70&gt;=0,'Input_Meci'!N70&lt;=200),'Input_Meci'!N70,12)/12-1)+0.02*(IF(AND(ISNUMBER('Input_Meci'!P70),'Input_Meci'!P70&gt;=0,'Input_Meci'!P70&lt;=200),'Input_Meci'!P70,3.5)/3.5-1)+0.02*(IF(AND(ISNUMBER('Input_Meci'!R70),'Input_Meci'!R70&gt;=0,'Input_Meci'!R70&lt;=200),'Input_Meci'!R70,18)/18-1)+0.02*((IF(AND(ISNUMBER('Input_Meci'!V70),'Input_Meci'!V70&gt;=0,'Input_Meci'!V70&lt;=10),'Input_Meci'!V70,5)-5)/5))))</x:f>
      </x:c>
      <x:c r="AY70" s="11" t="str">
        <x:f>IF(A70="","",MAX(1-'Config_v6'!$B$20,MIN(1+'Config_v6'!$B$20,1+0.02*(IF(AND(ISNUMBER('Input_Meci'!O70),'Input_Meci'!O70&gt;=0,'Input_Meci'!O70&lt;=200),'Input_Meci'!O70,12)/12-1)+0.02*(IF(AND(ISNUMBER('Input_Meci'!Q70),'Input_Meci'!Q70&gt;=0,'Input_Meci'!Q70&lt;=200),'Input_Meci'!Q70,3.5)/3.5-1)+0.02*(IF(AND(ISNUMBER('Input_Meci'!S70),'Input_Meci'!S70&gt;=0,'Input_Meci'!S70&lt;=200),'Input_Meci'!S70,18)/18-1)+0.02*((IF(AND(ISNUMBER('Input_Meci'!W70),'Input_Meci'!W70&gt;=0,'Input_Meci'!W70&lt;=10),'Input_Meci'!W70,5)-5)/5))))</x:f>
      </x:c>
      <x:c r="AZ70" s="11" t="str">
        <x:f>IF(A70="","",MAX(1-'Config_v6'!$B$21,MIN(1+'Config_v6'!$B$21,1+0.012*(IF('Input_Meci'!X70="",5,IF(ISNUMBER('Input_Meci'!X70),'Input_Meci'!X70,5))-5)+0.018*(IF('Input_Meci'!Z70="",5,IF(ISNUMBER('Input_Meci'!Z70),'Input_Meci'!Z70,5))-5)+0.012*(IF('Input_Meci'!AB70="",5,IF(ISNUMBER('Input_Meci'!AB70),'Input_Meci'!AB70,5))-5)+0.015*IF('Input_Meci'!AD70="",0,IF(ISNUMBER('Input_Meci'!AD70),'Input_Meci'!AD70,0))+0.02*IF('Input_Meci'!AF70="",0,IF(ISNUMBER('Input_Meci'!AF70),'Input_Meci'!AF70,0)))))</x:f>
      </x:c>
      <x:c r="BA70" s="11" t="str">
        <x:f>IF(A70="","",MAX(1-'Config_v6'!$B$21,MIN(1+'Config_v6'!$B$21,1+0.012*(IF('Input_Meci'!Y70="",5,IF(ISNUMBER('Input_Meci'!Y70),'Input_Meci'!Y70,5))-5)+0.018*(IF('Input_Meci'!AA70="",5,IF(ISNUMBER('Input_Meci'!AA70),'Input_Meci'!AA70,5))-5)+0.012*(IF('Input_Meci'!AC70="",5,IF(ISNUMBER('Input_Meci'!AC70),'Input_Meci'!AC70,5))-5)+0.015*IF('Input_Meci'!AE70="",0,IF(ISNUMBER('Input_Meci'!AE70),'Input_Meci'!AE70,0))+0.02*IF('Input_Meci'!AG70="",0,IF(ISNUMBER('Input_Meci'!AG70),'Input_Meci'!AG70,0)))))</x:f>
      </x:c>
      <x:c r="BB70" s="11" t="str">
        <x:f>IF(I70&lt;&gt;"PASS","",(AVERAGE(AF70,AM70)*'Config_v6'!$B$4+AVERAGE(AH70,AO70)*'Config_v6'!$B$5+AVERAGE(AJ70,AQ70)*'Config_v6'!$B$6)*AX70*AZ70)</x:f>
      </x:c>
      <x:c r="BC70" s="11" t="str">
        <x:f>IF(I70&lt;&gt;"PASS","",(AVERAGE(AL70,AG70)*'Config_v6'!$B$4+AVERAGE(AN70,AI70)*'Config_v6'!$B$5+AVERAGE(AP70,AK70)*'Config_v6'!$B$6)*AY70*BA70)</x:f>
      </x:c>
      <x:c r="BD70" s="11" t="str">
        <x:f>IF(I70&lt;&gt;"PASS","",BB70+BC70)</x:f>
      </x:c>
      <x:c r="BE70" s="11" t="str">
        <x:f>IF(A70="","",10-SUM(IF(AND(ISNUMBER('Input_Meci'!N70),'Input_Meci'!N70&gt;=0,'Input_Meci'!N70&lt;=200),1,0),IF(AND(ISNUMBER('Input_Meci'!O70),'Input_Meci'!O70&gt;=0,'Input_Meci'!O70&lt;=200),1,0),IF(AND(ISNUMBER('Input_Meci'!P70),'Input_Meci'!P70&gt;=0,'Input_Meci'!P70&lt;=200),1,0),IF(AND(ISNUMBER('Input_Meci'!Q70),'Input_Meci'!Q70&gt;=0,'Input_Meci'!Q70&lt;=200),1,0),IF(AND(ISNUMBER('Input_Meci'!R70),'Input_Meci'!R70&gt;=0,'Input_Meci'!R70&lt;=200),1,0),IF(AND(ISNUMBER('Input_Meci'!S70),'Input_Meci'!S70&gt;=0,'Input_Meci'!S70&lt;=200),1,0),IF(AND(ISNUMBER('Input_Meci'!T70),'Input_Meci'!T70&gt;=0,'Input_Meci'!T70&lt;=100),1,0),IF(AND(ISNUMBER('Input_Meci'!U70),'Input_Meci'!U70&gt;=0,'Input_Meci'!U70&lt;=100),1,0),IF(AND(ISNUMBER('Input_Meci'!V70),'Input_Meci'!V70&gt;=0,'Input_Meci'!V70&lt;=10),1,0),IF(AND(ISNUMBER('Input_Meci'!W70),'Input_Meci'!W70&gt;=0,'Input_Meci'!W70&lt;=10),1,0)))</x:f>
      </x:c>
      <x:c r="BF70" s="11" t="str">
        <x:f>IF(I70&lt;&gt;"PASS","",MAX(0,MIN(IF(OR(M70="YES",BL70&lt;&gt;C70),'Config_v6'!$B$34,100),ROUND(40+25*MIN(1,MIN(N70,Q70)/'Config_v6'!$B$7)*MIN(1,MIN(O70,R70)/'Config_v6'!$B$8)*MIN(1,MIN(P70,S70)/'Config_v6'!$B$9)+MAX(0,15-2*ABS(AF70-AJ70)-2*ABS(AL70-AP70))+IF(AU70&lt;='Config_v6'!$B$10,15,IF(AU70&lt;='Config_v6'!$B$11,13,IF(AU70&lt;='Config_v6'!$B$12,10,IF(AU70&lt;='Config_v6'!$B$13,6,0))))+5-BE70/10*'Config_v6'!$B$38,0))))</x:f>
      </x:c>
      <x:c r="BG70" s="11" t="str">
        <x:f>IF(I70&lt;&gt;"PASS","",MIN(1,'Config_v6'!$B$14*(0.7+0.3*MIN(1,AR70/'Config_v6'!$B$15))*IF(AU70&lt;='Config_v6'!$B$10,1,IF(AU70&lt;='Config_v6'!$B$11,0.95,IF(AU70&lt;='Config_v6'!$B$12,0.88,0.78)))*(0.75+0.25*BF70/100)))</x:f>
      </x:c>
      <x:c r="BH70" s="11" t="str">
        <x:f>IF(I70&lt;&gt;"PASS","",MIN(1,(ABS(AZ70-1)+ABS(BA70-1))*3))</x:f>
      </x:c>
      <x:c r="BI70" s="2" t="str">
        <x:f>IF(A70="","",IF(AND(OR('Input_Meci'!X70="",AND(ISNUMBER('Input_Meci'!X70),'Input_Meci'!X70&gt;=0,'Input_Meci'!X70&lt;=10)),OR('Input_Meci'!Y70="",AND(ISNUMBER('Input_Meci'!Y70),'Input_Meci'!Y70&gt;=0,'Input_Meci'!Y70&lt;=10)),OR('Input_Meci'!Z70="",AND(ISNUMBER('Input_Meci'!Z70),'Input_Meci'!Z70&gt;=0,'Input_Meci'!Z70&lt;=10)),OR('Input_Meci'!AA70="",AND(ISNUMBER('Input_Meci'!AA70),'Input_Meci'!AA70&gt;=0,'Input_Meci'!AA70&lt;=10)),OR('Input_Meci'!AB70="",AND(ISNUMBER('Input_Meci'!AB70),'Input_Meci'!AB70&gt;=0,'Input_Meci'!AB70&lt;=10)),OR('Input_Meci'!AC70="",AND(ISNUMBER('Input_Meci'!AC70),'Input_Meci'!AC70&gt;=0,'Input_Meci'!AC70&lt;=10)),OR('Input_Meci'!AD70="",AND(ISNUMBER('Input_Meci'!AD70),'Input_Meci'!AD70&gt;=-2,'Input_Meci'!AD70&lt;=2)),OR('Input_Meci'!AE70="",AND(ISNUMBER('Input_Meci'!AE70),'Input_Meci'!AE70&gt;=-2,'Input_Meci'!AE70&lt;=2)),OR('Input_Meci'!AF70="",AND(ISNUMBER('Input_Meci'!AF70),'Input_Meci'!AF70&gt;=-2,'Input_Meci'!AF70&lt;=2)),OR('Input_Meci'!AG70="",AND(ISNUMBER('Input_Meci'!AG70),'Input_Meci'!AG70&gt;=-2,'Input_Meci'!AG70&lt;=2))),"VALID","INVALID"))</x:f>
      </x:c>
      <x:c r="BJ70" s="2" t="n">
        <x:f>IF(A70="",0,SUM('Core_Nativ'!S774:S779))</x:f>
        <x:v>0</x:v>
      </x:c>
      <x:c r="BK70" s="2" t="str">
        <x:f>'Config_v6'!$B$40</x:f>
        <x:v>VALID</x:v>
      </x:c>
      <x:c r="BL70" s="2" t="str">
        <x:f>IF(A70="","",IF(SUMPRODUCT(('Istoric_Nativ'!$B$6:$B$405=B70)*('Istoric_Nativ'!$C$6:$C$405=C70)*('Istoric_Nativ'!$P$6:$P$405=1)*('Istoric_Nativ'!$D$6:$D$405&lt;INT(G70))*((('Istoric_Nativ'!$E$6:$E$405='Input_Meci'!D70)+('Istoric_Nativ'!$F$6:$F$405='Input_Meci'!D70)+('Istoric_Nativ'!$E$6:$E$405='Input_Meci'!E70)+('Istoric_Nativ'!$F$6:$F$405='Input_Meci'!E70))&gt;0))&gt;='Config_v6'!$B$41,C70,IF(AND('Input_Meci'!L70="YES",'Input_Meci'!K70&lt;&gt;"",'Input_Meci'!K70&lt;C70,COUNTIF('Core_Nativ'!R780:R785,"CLOSED")=6,SUM('Core_Nativ'!S780:S785)=0),'Input_Meci'!K70,C70)))</x:f>
      </x:c>
      <x:c r="BM70" s="9" t="n">
        <x:f>IF(OR(A70="",N70=0),0,LARGE(_xlfn._xlws.FILTER('Istoric_Nativ'!$D$6:$D$405,('Istoric_Nativ'!$B$6:$B$405=B70)*('Istoric_Nativ'!$C$6:$C$405=C70)*('Istoric_Nativ'!$P$6:$P$405=1)*('Istoric_Nativ'!$D$6:$D$405&lt;INT(G70))*((('Istoric_Nativ'!$E$6:$E$405='Input_Meci'!D70)+('Istoric_Nativ'!$F$6:$F$405='Input_Meci'!D70))&gt;0)),MIN(10,N70)))</x:f>
        <x:v>0</x:v>
      </x:c>
      <x:c r="BN70" s="9" t="n">
        <x:f>IF(OR(A70="",Q70=0),0,LARGE(_xlfn._xlws.FILTER('Istoric_Nativ'!$D$6:$D$405,('Istoric_Nativ'!$B$6:$B$405=B70)*('Istoric_Nativ'!$C$6:$C$405=C70)*('Istoric_Nativ'!$P$6:$P$405=1)*('Istoric_Nativ'!$D$6:$D$405&lt;INT(G70))*((('Istoric_Nativ'!$E$6:$E$405='Input_Meci'!E70)+('Istoric_Nativ'!$F$6:$F$405='Input_Meci'!E70))&gt;0)),MIN(10,Q70)))</x:f>
        <x:v>0</x:v>
      </x:c>
      <x:c r="BO70" s="9" t="n">
        <x:f>IF(OR(A70="",N70=0),0,LARGE(_xlfn._xlws.FILTER('Istoric_Nativ'!$D$6:$D$405,('Istoric_Nativ'!$B$6:$B$405=B70)*('Istoric_Nativ'!$C$6:$C$405=C70)*('Istoric_Nativ'!$P$6:$P$405=1)*('Istoric_Nativ'!$D$6:$D$405&lt;INT(G70))*((('Istoric_Nativ'!$E$6:$E$405='Input_Meci'!D70)+('Istoric_Nativ'!$F$6:$F$405='Input_Meci'!D70))&gt;0)),MIN(20,N70)))</x:f>
        <x:v>0</x:v>
      </x:c>
      <x:c r="BP70" s="9" t="n">
        <x:f>IF(OR(A70="",Q70=0),0,LARGE(_xlfn._xlws.FILTER('Istoric_Nativ'!$D$6:$D$405,('Istoric_Nativ'!$B$6:$B$405=B70)*('Istoric_Nativ'!$C$6:$C$405=C70)*('Istoric_Nativ'!$P$6:$P$405=1)*('Istoric_Nativ'!$D$6:$D$405&lt;INT(G70))*((('Istoric_Nativ'!$E$6:$E$405='Input_Meci'!E70)+('Istoric_Nativ'!$F$6:$F$405='Input_Meci'!E70))&gt;0)),MIN(20,Q70)))</x:f>
        <x:v>0</x:v>
      </x:c>
      <x:c r="BQ70" s="2" t="str">
        <x:f>IF(A70="","",IF(AND(COUNTIF(MatchesTable[Match_ID],A70)=1,COUNTIFS(MatchesTable[League],B70,MatchesTable[Season],C70,MatchesTable[Home],'Input_Meci'!D70,MatchesTable[Away],'Input_Meci'!E70,MatchesTable[Kickoff_UTC],F70)=1,B70&lt;&gt;"",C70&lt;&gt;"",'Input_Meci'!D70&lt;&gt;"",'Input_Meci'!E70&lt;&gt;"",'Input_Meci'!D70&lt;&gt;'Input_Meci'!E70,ISNUMBER(F70),ISNUMBER(G70),G70&lt;F70,OR(E70="LIVE",E70="REPLAY"),OR('Input_Meci'!L70="YES",'Input_Meci'!L70="NO",'Input_Meci'!L70="")),"VALID","INVALID"))</x:f>
      </x:c>
      <x:c r="BR70" s="2" t="n">
        <x:f>IF(I70&lt;&gt;"PASS",0,SUMPRODUCT(('Istoric_Nativ'!$B$6:$B$405='Input_Meci'!B70)*('Istoric_Nativ'!$C$6:$C$405='Input_Meci'!C70)*('Istoric_Nativ'!$P$6:$P$405=1)*('Istoric_Nativ'!$D$6:$D$405&lt;INT('Input_Meci'!G70))*((('Istoric_Nativ'!$E$6:$E$405='Input_Meci'!D70)+('Istoric_Nativ'!$F$6:$F$405='Input_Meci'!E70))&gt;0)))</x:f>
        <x:v>0</x:v>
      </x:c>
      <x:c r="BS70" s="2" t="n">
        <x:f>IF(I70&lt;&gt;"PASS",0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BM70)+((('Istoric_Nativ'!$E$6:$E$405='Input_Meci'!E70)+('Istoric_Nativ'!$F$6:$F$405='Input_Meci'!E70))&gt;0)*('Istoric_Nativ'!$D$6:$D$405&gt;=BN70))&gt;0)))</x:f>
        <x:v>0</x:v>
      </x:c>
      <x:c r="BT70" s="2" t="n">
        <x:f>IF(I70&lt;&gt;"PASS",0,SUMPRODUCT(('Istoric_Nativ'!$B$6:$B$405='Input_Meci'!B70)*('Istoric_Nativ'!$C$6:$C$405='Input_Meci'!C70)*('Istoric_Nativ'!$P$6:$P$405=1)*('Istoric_Nativ'!$D$6:$D$405&lt;INT('Input_Meci'!G70))*((((('Istoric_Nativ'!$E$6:$E$405='Input_Meci'!D70)+('Istoric_Nativ'!$F$6:$F$405='Input_Meci'!D70))&gt;0)*('Istoric_Nativ'!$D$6:$D$405&gt;=BO70)+((('Istoric_Nativ'!$E$6:$E$405='Input_Meci'!E70)+('Istoric_Nativ'!$F$6:$F$405='Input_Meci'!E70))&gt;0)*('Istoric_Nativ'!$D$6:$D$405&gt;=BP70))&gt;0)))</x:f>
        <x:v>0</x:v>
      </x:c>
    </x:row>
    <x:row r="71" ht="21" customHeight="1">
      <x:c r="A71" s="2" t="str">
        <x:f>IF('Input_Meci'!A71="","",'Input_Meci'!A71)</x:f>
      </x:c>
      <x:c r="B71" s="2" t="str">
        <x:f>IF(A71="","",'Input_Meci'!B71)</x:f>
      </x:c>
      <x:c r="C71" s="2" t="str">
        <x:f>IF(A71="","",'Input_Meci'!C71)</x:f>
      </x:c>
      <x:c r="D71" s="2" t="str">
        <x:f>IF(A71="","",'Input_Meci'!D71&amp;" – "&amp;'Input_Meci'!E71)</x:f>
      </x:c>
      <x:c r="E71" s="2" t="str">
        <x:f>IF(A71="","",'Input_Meci'!H71)</x:f>
      </x:c>
      <x:c r="F71" s="9" t="str">
        <x:f>IF(A71="","",'Input_Meci'!F71)</x:f>
      </x:c>
      <x:c r="G71" s="9" t="str">
        <x:f>IF(A71="","",'Input_Meci'!G71)</x:f>
      </x:c>
      <x:c r="H71" s="2" t="str">
        <x:f>IF(A71="","",IF(BQ71&lt;&gt;"VALID","NOT RELEASED",IF(AND(OR('Input_Meci'!I71="NOT AVAILABLE",'Input_Meci'!I71="SOURCE CONFLICT"),'Input_Meci'!J71&lt;&gt;""),"READY",IF(OR(NOT(OR('Input_Meci'!I71="AUTO",'Input_Meci'!I71="")),COUNTIF('Core_Nativ'!R786:R791,"CLOSED")&lt;&gt;6,BJ71&gt;0),"NOT RELEASED","READY"))))</x:f>
      </x:c>
      <x:c r="I71" s="2" t="str">
        <x:f>IF(A71="","",IF(H71&lt;&gt;"READY","NOT RELEASED",IF(AND(NOT(OR('Input_Meci'!I71="NOT AVAILABLE",'Input_Meci'!I71="SOURCE CONFLICT")),L71=12,AR71&gt;=2,AS71&gt;0,ISNUMBER(AT71),BI71="VALID",BK71="VALID"),"PASS","FAIL")))</x:f>
      </x:c>
      <x:c r="J71" s="2" t="str">
        <x:f>IF(A71="","",IF(BQ71&lt;&gt;"VALID","Verifica ID, echipe, mod si cutoff &lt; kickoff",IF(H71&lt;&gt;"READY",IF('Input_Meci'!I71="ACCESS BLOCKED","Acces blocat: reia sursele",IF(BJ71&gt;0,"Istoric invalid sau conflict: verifica randurile native","Surse neinchise / post-cutoff / dovezi incomplete")),IF(OR('Input_Meci'!I71="NOT AVAILABLE",'Input_Meci'!I71="SOURCE CONFLICT"),'Input_Meci'!I71,IF(BK71&lt;&gt;"VALID","Parametri invalizi",IF(L71&lt;&gt;12,"Core / sample / prior insuficient",IF(AR71&lt;2,"N insuficient pentru dispersie",IF(AS71&lt;=0,"Media istorica trebuie sa fie pozitiva",IF(BI71&lt;&gt;"VALID","Context invalid","READY")))))))))</x:f>
      </x:c>
      <x:c r="K71" s="2" t="str">
        <x:f>IF(A71="","",COUNT(T71:AE71))</x:f>
      </x:c>
      <x:c r="L71" s="2" t="str">
        <x:f>IF(A71="","",COUNT(AF71:AQ71))</x:f>
      </x:c>
      <x:c r="M71" s="2" t="str">
        <x:f>IF(A71="","",IF(OR('Core_Nativ'!M786&lt;'Core_Nativ'!P786,'Core_Nativ'!M787&lt;'Core_Nativ'!P787,'Core_Nativ'!M788&lt;'Core_Nativ'!P788,'Core_Nativ'!M789&lt;'Core_Nativ'!P789,'Core_Nativ'!M790&lt;'Core_Nativ'!P790,'Core_Nativ'!M791&lt;'Core_Nativ'!P791),"YES","NO"))</x:f>
      </x:c>
      <x:c r="N71" s="2" t="str">
        <x:f>IF(A71="","",'Core_Nativ'!M786)</x:f>
      </x:c>
      <x:c r="O71" s="2" t="str">
        <x:f>IF(A71="","",'Core_Nativ'!M787)</x:f>
      </x:c>
      <x:c r="P71" s="2" t="str">
        <x:f>IF(A71="","",'Core_Nativ'!M788)</x:f>
      </x:c>
      <x:c r="Q71" s="2" t="str">
        <x:f>IF(A71="","",'Core_Nativ'!M789)</x:f>
      </x:c>
      <x:c r="R71" s="2" t="str">
        <x:f>IF(A71="","",'Core_Nativ'!M790)</x:f>
      </x:c>
      <x:c r="S71" s="2" t="str">
        <x:f>IF(A71="","",'Core_Nativ'!M791)</x:f>
      </x:c>
      <x:c r="T71" s="11" t="str">
        <x:f>IF(OR(A71="",'Core_Nativ'!M786=0),"",'Core_Nativ'!N786)</x:f>
      </x:c>
      <x:c r="U71" s="11" t="str">
        <x:f>IF(OR(A71="",'Core_Nativ'!M786=0),"",'Core_Nativ'!O786)</x:f>
      </x:c>
      <x:c r="V71" s="11" t="str">
        <x:f>IF(OR(A71="",'Core_Nativ'!M787=0),"",'Core_Nativ'!N787)</x:f>
      </x:c>
      <x:c r="W71" s="11" t="str">
        <x:f>IF(OR(A71="",'Core_Nativ'!M787=0),"",'Core_Nativ'!O787)</x:f>
      </x:c>
      <x:c r="X71" s="11" t="str">
        <x:f>IF(OR(A71="",'Core_Nativ'!M788=0),"",'Core_Nativ'!N788)</x:f>
      </x:c>
      <x:c r="Y71" s="11" t="str">
        <x:f>IF(OR(A71="",'Core_Nativ'!M788=0),"",'Core_Nativ'!O788)</x:f>
      </x:c>
      <x:c r="Z71" s="11" t="str">
        <x:f>IF(OR(A71="",'Core_Nativ'!M789=0),"",'Core_Nativ'!N789)</x:f>
      </x:c>
      <x:c r="AA71" s="11" t="str">
        <x:f>IF(OR(A71="",'Core_Nativ'!M789=0),"",'Core_Nativ'!O789)</x:f>
      </x:c>
      <x:c r="AB71" s="11" t="str">
        <x:f>IF(OR(A71="",'Core_Nativ'!M790=0),"",'Core_Nativ'!N790)</x:f>
      </x:c>
      <x:c r="AC71" s="11" t="str">
        <x:f>IF(OR(A71="",'Core_Nativ'!M790=0),"",'Core_Nativ'!O790)</x:f>
      </x:c>
      <x:c r="AD71" s="11" t="str">
        <x:f>IF(OR(A71="",'Core_Nativ'!M791=0),"",'Core_Nativ'!N791)</x:f>
      </x:c>
      <x:c r="AE71" s="11" t="str">
        <x:f>IF(OR(A71="",'Core_Nativ'!M791=0),"",'Core_Nativ'!O791)</x:f>
      </x:c>
      <x:c r="AF71" s="11" t="str">
        <x:f>IF(A71="","",IF(AND('Core_Nativ'!R786="CLOSED",'Core_Nativ'!S786=0),IF('Core_Nativ'!M786&gt;='Core_Nativ'!P786,'Core_Nativ'!N786,IF(AND('Input_Meci'!L71="YES",'Input_Meci'!K71&lt;&gt;"",'Input_Meci'!K71&lt;C71,'Core_Nativ'!T792="DERIVED",'Core_Nativ'!M792&gt;='Core_Nativ'!P786),MIN(1,'Core_Nativ'!M786/'Core_Nativ'!P786)*IF('Core_Nativ'!M786=0,0,'Core_Nativ'!N786)+(1-MIN(1,'Core_Nativ'!M786/'Core_Nativ'!P786))*'Core_Nativ'!N792,"")),""))</x:f>
      </x:c>
      <x:c r="AG71" s="11" t="str">
        <x:f>IF(A71="","",IF(AND('Core_Nativ'!R786="CLOSED",'Core_Nativ'!S786=0),IF('Core_Nativ'!M786&gt;='Core_Nativ'!P786,'Core_Nativ'!O786,IF(AND('Input_Meci'!L71="YES",'Input_Meci'!K71&lt;&gt;"",'Input_Meci'!K71&lt;C71,'Core_Nativ'!T792="DERIVED",'Core_Nativ'!M792&gt;='Core_Nativ'!P786),MIN(1,'Core_Nativ'!M786/'Core_Nativ'!P786)*IF('Core_Nativ'!M786=0,0,'Core_Nativ'!O786)+(1-MIN(1,'Core_Nativ'!M786/'Core_Nativ'!P786))*'Core_Nativ'!O792,"")),""))</x:f>
      </x:c>
      <x:c r="AH71" s="11" t="str">
        <x:f>IF(A71="","",IF(AND('Core_Nativ'!R787="CLOSED",'Core_Nativ'!S787=0),IF('Core_Nativ'!M787&gt;='Core_Nativ'!P787,'Core_Nativ'!N787,IF(AND('Input_Meci'!L71="YES",'Input_Meci'!K71&lt;&gt;"",'Input_Meci'!K71&lt;C71,'Core_Nativ'!T793="DERIVED",'Core_Nativ'!M793&gt;='Core_Nativ'!P787),MIN(1,'Core_Nativ'!M787/'Core_Nativ'!P787)*IF('Core_Nativ'!M787=0,0,'Core_Nativ'!N787)+(1-MIN(1,'Core_Nativ'!M787/'Core_Nativ'!P787))*'Core_Nativ'!N793,"")),""))</x:f>
      </x:c>
      <x:c r="AI71" s="11" t="str">
        <x:f>IF(A71="","",IF(AND('Core_Nativ'!R787="CLOSED",'Core_Nativ'!S787=0),IF('Core_Nativ'!M787&gt;='Core_Nativ'!P787,'Core_Nativ'!O787,IF(AND('Input_Meci'!L71="YES",'Input_Meci'!K71&lt;&gt;"",'Input_Meci'!K71&lt;C71,'Core_Nativ'!T793="DERIVED",'Core_Nativ'!M793&gt;='Core_Nativ'!P787),MIN(1,'Core_Nativ'!M787/'Core_Nativ'!P787)*IF('Core_Nativ'!M787=0,0,'Core_Nativ'!O787)+(1-MIN(1,'Core_Nativ'!M787/'Core_Nativ'!P787))*'Core_Nativ'!O793,"")),""))</x:f>
      </x:c>
      <x:c r="AJ71" s="11" t="str">
        <x:f>IF(A71="","",IF(AND('Core_Nativ'!R788="CLOSED",'Core_Nativ'!S788=0),IF('Core_Nativ'!M788&gt;='Core_Nativ'!P788,'Core_Nativ'!N788,IF(AND('Input_Meci'!L71="YES",'Input_Meci'!K71&lt;&gt;"",'Input_Meci'!K71&lt;C71,'Core_Nativ'!T794="DERIVED",'Core_Nativ'!M794&gt;='Core_Nativ'!P788),MIN(1,'Core_Nativ'!M788/'Core_Nativ'!P788)*IF('Core_Nativ'!M788=0,0,'Core_Nativ'!N788)+(1-MIN(1,'Core_Nativ'!M788/'Core_Nativ'!P788))*'Core_Nativ'!N794,"")),""))</x:f>
      </x:c>
      <x:c r="AK71" s="11" t="str">
        <x:f>IF(A71="","",IF(AND('Core_Nativ'!R788="CLOSED",'Core_Nativ'!S788=0),IF('Core_Nativ'!M788&gt;='Core_Nativ'!P788,'Core_Nativ'!O788,IF(AND('Input_Meci'!L71="YES",'Input_Meci'!K71&lt;&gt;"",'Input_Meci'!K71&lt;C71,'Core_Nativ'!T794="DERIVED",'Core_Nativ'!M794&gt;='Core_Nativ'!P788),MIN(1,'Core_Nativ'!M788/'Core_Nativ'!P788)*IF('Core_Nativ'!M788=0,0,'Core_Nativ'!O788)+(1-MIN(1,'Core_Nativ'!M788/'Core_Nativ'!P788))*'Core_Nativ'!O794,"")),""))</x:f>
      </x:c>
      <x:c r="AL71" s="11" t="str">
        <x:f>IF(A71="","",IF(AND('Core_Nativ'!R789="CLOSED",'Core_Nativ'!S789=0),IF('Core_Nativ'!M789&gt;='Core_Nativ'!P789,'Core_Nativ'!N789,IF(AND('Input_Meci'!L71="YES",'Input_Meci'!K71&lt;&gt;"",'Input_Meci'!K71&lt;C71,'Core_Nativ'!T795="DERIVED",'Core_Nativ'!M795&gt;='Core_Nativ'!P789),MIN(1,'Core_Nativ'!M789/'Core_Nativ'!P789)*IF('Core_Nativ'!M789=0,0,'Core_Nativ'!N789)+(1-MIN(1,'Core_Nativ'!M789/'Core_Nativ'!P789))*'Core_Nativ'!N795,"")),""))</x:f>
      </x:c>
      <x:c r="AM71" s="11" t="str">
        <x:f>IF(A71="","",IF(AND('Core_Nativ'!R789="CLOSED",'Core_Nativ'!S789=0),IF('Core_Nativ'!M789&gt;='Core_Nativ'!P789,'Core_Nativ'!O789,IF(AND('Input_Meci'!L71="YES",'Input_Meci'!K71&lt;&gt;"",'Input_Meci'!K71&lt;C71,'Core_Nativ'!T795="DERIVED",'Core_Nativ'!M795&gt;='Core_Nativ'!P789),MIN(1,'Core_Nativ'!M789/'Core_Nativ'!P789)*IF('Core_Nativ'!M789=0,0,'Core_Nativ'!O789)+(1-MIN(1,'Core_Nativ'!M789/'Core_Nativ'!P789))*'Core_Nativ'!O795,"")),""))</x:f>
      </x:c>
      <x:c r="AN71" s="11" t="str">
        <x:f>IF(A71="","",IF(AND('Core_Nativ'!R790="CLOSED",'Core_Nativ'!S790=0),IF('Core_Nativ'!M790&gt;='Core_Nativ'!P790,'Core_Nativ'!N790,IF(AND('Input_Meci'!L71="YES",'Input_Meci'!K71&lt;&gt;"",'Input_Meci'!K71&lt;C71,'Core_Nativ'!T796="DERIVED",'Core_Nativ'!M796&gt;='Core_Nativ'!P790),MIN(1,'Core_Nativ'!M790/'Core_Nativ'!P790)*IF('Core_Nativ'!M790=0,0,'Core_Nativ'!N790)+(1-MIN(1,'Core_Nativ'!M790/'Core_Nativ'!P790))*'Core_Nativ'!N796,"")),""))</x:f>
      </x:c>
      <x:c r="AO71" s="11" t="str">
        <x:f>IF(A71="","",IF(AND('Core_Nativ'!R790="CLOSED",'Core_Nativ'!S790=0),IF('Core_Nativ'!M790&gt;='Core_Nativ'!P790,'Core_Nativ'!O790,IF(AND('Input_Meci'!L71="YES",'Input_Meci'!K71&lt;&gt;"",'Input_Meci'!K71&lt;C71,'Core_Nativ'!T796="DERIVED",'Core_Nativ'!M796&gt;='Core_Nativ'!P790),MIN(1,'Core_Nativ'!M790/'Core_Nativ'!P790)*IF('Core_Nativ'!M790=0,0,'Core_Nativ'!O790)+(1-MIN(1,'Core_Nativ'!M790/'Core_Nativ'!P790))*'Core_Nativ'!O796,"")),""))</x:f>
      </x:c>
      <x:c r="AP71" s="11" t="str">
        <x:f>IF(A71="","",IF(AND('Core_Nativ'!R791="CLOSED",'Core_Nativ'!S791=0),IF('Core_Nativ'!M791&gt;='Core_Nativ'!P791,'Core_Nativ'!N791,IF(AND('Input_Meci'!L71="YES",'Input_Meci'!K71&lt;&gt;"",'Input_Meci'!K71&lt;C71,'Core_Nativ'!T797="DERIVED",'Core_Nativ'!M797&gt;='Core_Nativ'!P791),MIN(1,'Core_Nativ'!M791/'Core_Nativ'!P791)*IF('Core_Nativ'!M791=0,0,'Core_Nativ'!N791)+(1-MIN(1,'Core_Nativ'!M791/'Core_Nativ'!P791))*'Core_Nativ'!N797,"")),""))</x:f>
      </x:c>
      <x:c r="AQ71" s="11" t="str">
        <x:f>IF(A71="","",IF(AND('Core_Nativ'!R791="CLOSED",'Core_Nativ'!S791=0),IF('Core_Nativ'!M791&gt;='Core_Nativ'!P791,'Core_Nativ'!O791,IF(AND('Input_Meci'!L71="YES",'Input_Meci'!K71&lt;&gt;"",'Input_Meci'!K71&lt;C71,'Core_Nativ'!T797="DERIVED",'Core_Nativ'!M797&gt;='Core_Nativ'!P791),MIN(1,'Core_Nativ'!M791/'Core_Nativ'!P791)*IF('Core_Nativ'!M791=0,0,'Core_Nativ'!O791)+(1-MIN(1,'Core_Nativ'!M791/'Core_Nativ'!P791))*'Core_Nativ'!O797,"")),""))</x:f>
      </x:c>
      <x:c r="AR71" s="11" t="str">
        <x:f>IF(A71="","",SUMPRODUCT(('Istoric_Nativ'!$B$6:$B$405=B71)*('Istoric_Nativ'!$C$6:$C$405=BL71)*('Istoric_Nativ'!$P$6:$P$405=1)*('Istoric_Nativ'!$D$6:$D$405&lt;INT(G71))*((('Istoric_Nativ'!$E$6:$E$405='Input_Meci'!D71)+('Istoric_Nativ'!$F$6:$F$405='Input_Meci'!D71)+('Istoric_Nativ'!$E$6:$E$405='Input_Meci'!E71)+('Istoric_Nativ'!$F$6:$F$405='Input_Meci'!E71))&gt;0)))</x:f>
      </x:c>
      <x:c r="AS71" s="11" t="str">
        <x:f>IF(AR71=0,"",SUMPRODUCT(('Istoric_Nativ'!$B$6:$B$405=B71)*('Istoric_Nativ'!$C$6:$C$405=BL71)*('Istoric_Nativ'!$P$6:$P$405=1)*('Istoric_Nativ'!$D$6:$D$405&lt;INT(G71))*((('Istoric_Nativ'!$E$6:$E$405='Input_Meci'!D71)+('Istoric_Nativ'!$F$6:$F$405='Input_Meci'!D71)+('Istoric_Nativ'!$E$6:$E$405='Input_Meci'!E71)+('Istoric_Nativ'!$F$6:$F$405='Input_Meci'!E71))&gt;0)*'Istoric_Nativ'!$Q$6:$Q$405)/AR71)</x:f>
      </x:c>
      <x:c r="AT71" s="11" t="str">
        <x:f>IF(AR71&lt;2,"",MAX(0,(SUMPRODUCT(('Istoric_Nativ'!$B$6:$B$405=B71)*('Istoric_Nativ'!$C$6:$C$405=BL71)*('Istoric_Nativ'!$P$6:$P$405=1)*('Istoric_Nativ'!$D$6:$D$405&lt;INT(G71))*((('Istoric_Nativ'!$E$6:$E$405='Input_Meci'!D71)+('Istoric_Nativ'!$F$6:$F$405='Input_Meci'!D71)+('Istoric_Nativ'!$E$6:$E$405='Input_Meci'!E71)+('Istoric_Nativ'!$F$6:$F$405='Input_Meci'!E71))&gt;0)*'Istoric_Nativ'!$R$6:$R$405)-AR71*AS71^2)/(AR71-1)))</x:f>
      </x:c>
      <x:c r="AU71" s="11" t="str">
        <x:f>IF(I71&lt;&gt;"PASS","",AT71/AS71)</x:f>
      </x:c>
      <x:c r="AV71" s="11" t="str">
        <x:f>IF(I71&lt;&gt;"PASS","",IF(AU71&lt;='Config_v6'!$B$10,"POISSON","NEGATIVE BINOMIAL"))</x:f>
      </x:c>
      <x:c r="AW71" s="11" t="str">
        <x:f>IF(I71&lt;&gt;"PASS","",IF(AV71="POISSON",9999,AS71/(AU71-1)))</x:f>
      </x:c>
      <x:c r="AX71" s="11" t="str">
        <x:f>IF(A71="","",MAX(1-'Config_v6'!$B$20,MIN(1+'Config_v6'!$B$20,1+0.02*(IF(AND(ISNUMBER('Input_Meci'!N71),'Input_Meci'!N71&gt;=0,'Input_Meci'!N71&lt;=200),'Input_Meci'!N71,12)/12-1)+0.02*(IF(AND(ISNUMBER('Input_Meci'!P71),'Input_Meci'!P71&gt;=0,'Input_Meci'!P71&lt;=200),'Input_Meci'!P71,3.5)/3.5-1)+0.02*(IF(AND(ISNUMBER('Input_Meci'!R71),'Input_Meci'!R71&gt;=0,'Input_Meci'!R71&lt;=200),'Input_Meci'!R71,18)/18-1)+0.02*((IF(AND(ISNUMBER('Input_Meci'!V71),'Input_Meci'!V71&gt;=0,'Input_Meci'!V71&lt;=10),'Input_Meci'!V71,5)-5)/5))))</x:f>
      </x:c>
      <x:c r="AY71" s="11" t="str">
        <x:f>IF(A71="","",MAX(1-'Config_v6'!$B$20,MIN(1+'Config_v6'!$B$20,1+0.02*(IF(AND(ISNUMBER('Input_Meci'!O71),'Input_Meci'!O71&gt;=0,'Input_Meci'!O71&lt;=200),'Input_Meci'!O71,12)/12-1)+0.02*(IF(AND(ISNUMBER('Input_Meci'!Q71),'Input_Meci'!Q71&gt;=0,'Input_Meci'!Q71&lt;=200),'Input_Meci'!Q71,3.5)/3.5-1)+0.02*(IF(AND(ISNUMBER('Input_Meci'!S71),'Input_Meci'!S71&gt;=0,'Input_Meci'!S71&lt;=200),'Input_Meci'!S71,18)/18-1)+0.02*((IF(AND(ISNUMBER('Input_Meci'!W71),'Input_Meci'!W71&gt;=0,'Input_Meci'!W71&lt;=10),'Input_Meci'!W71,5)-5)/5))))</x:f>
      </x:c>
      <x:c r="AZ71" s="11" t="str">
        <x:f>IF(A71="","",MAX(1-'Config_v6'!$B$21,MIN(1+'Config_v6'!$B$21,1+0.012*(IF('Input_Meci'!X71="",5,IF(ISNUMBER('Input_Meci'!X71),'Input_Meci'!X71,5))-5)+0.018*(IF('Input_Meci'!Z71="",5,IF(ISNUMBER('Input_Meci'!Z71),'Input_Meci'!Z71,5))-5)+0.012*(IF('Input_Meci'!AB71="",5,IF(ISNUMBER('Input_Meci'!AB71),'Input_Meci'!AB71,5))-5)+0.015*IF('Input_Meci'!AD71="",0,IF(ISNUMBER('Input_Meci'!AD71),'Input_Meci'!AD71,0))+0.02*IF('Input_Meci'!AF71="",0,IF(ISNUMBER('Input_Meci'!AF71),'Input_Meci'!AF71,0)))))</x:f>
      </x:c>
      <x:c r="BA71" s="11" t="str">
        <x:f>IF(A71="","",MAX(1-'Config_v6'!$B$21,MIN(1+'Config_v6'!$B$21,1+0.012*(IF('Input_Meci'!Y71="",5,IF(ISNUMBER('Input_Meci'!Y71),'Input_Meci'!Y71,5))-5)+0.018*(IF('Input_Meci'!AA71="",5,IF(ISNUMBER('Input_Meci'!AA71),'Input_Meci'!AA71,5))-5)+0.012*(IF('Input_Meci'!AC71="",5,IF(ISNUMBER('Input_Meci'!AC71),'Input_Meci'!AC71,5))-5)+0.015*IF('Input_Meci'!AE71="",0,IF(ISNUMBER('Input_Meci'!AE71),'Input_Meci'!AE71,0))+0.02*IF('Input_Meci'!AG71="",0,IF(ISNUMBER('Input_Meci'!AG71),'Input_Meci'!AG71,0)))))</x:f>
      </x:c>
      <x:c r="BB71" s="11" t="str">
        <x:f>IF(I71&lt;&gt;"PASS","",(AVERAGE(AF71,AM71)*'Config_v6'!$B$4+AVERAGE(AH71,AO71)*'Config_v6'!$B$5+AVERAGE(AJ71,AQ71)*'Config_v6'!$B$6)*AX71*AZ71)</x:f>
      </x:c>
      <x:c r="BC71" s="11" t="str">
        <x:f>IF(I71&lt;&gt;"PASS","",(AVERAGE(AL71,AG71)*'Config_v6'!$B$4+AVERAGE(AN71,AI71)*'Config_v6'!$B$5+AVERAGE(AP71,AK71)*'Config_v6'!$B$6)*AY71*BA71)</x:f>
      </x:c>
      <x:c r="BD71" s="11" t="str">
        <x:f>IF(I71&lt;&gt;"PASS","",BB71+BC71)</x:f>
      </x:c>
      <x:c r="BE71" s="11" t="str">
        <x:f>IF(A71="","",10-SUM(IF(AND(ISNUMBER('Input_Meci'!N71),'Input_Meci'!N71&gt;=0,'Input_Meci'!N71&lt;=200),1,0),IF(AND(ISNUMBER('Input_Meci'!O71),'Input_Meci'!O71&gt;=0,'Input_Meci'!O71&lt;=200),1,0),IF(AND(ISNUMBER('Input_Meci'!P71),'Input_Meci'!P71&gt;=0,'Input_Meci'!P71&lt;=200),1,0),IF(AND(ISNUMBER('Input_Meci'!Q71),'Input_Meci'!Q71&gt;=0,'Input_Meci'!Q71&lt;=200),1,0),IF(AND(ISNUMBER('Input_Meci'!R71),'Input_Meci'!R71&gt;=0,'Input_Meci'!R71&lt;=200),1,0),IF(AND(ISNUMBER('Input_Meci'!S71),'Input_Meci'!S71&gt;=0,'Input_Meci'!S71&lt;=200),1,0),IF(AND(ISNUMBER('Input_Meci'!T71),'Input_Meci'!T71&gt;=0,'Input_Meci'!T71&lt;=100),1,0),IF(AND(ISNUMBER('Input_Meci'!U71),'Input_Meci'!U71&gt;=0,'Input_Meci'!U71&lt;=100),1,0),IF(AND(ISNUMBER('Input_Meci'!V71),'Input_Meci'!V71&gt;=0,'Input_Meci'!V71&lt;=10),1,0),IF(AND(ISNUMBER('Input_Meci'!W71),'Input_Meci'!W71&gt;=0,'Input_Meci'!W71&lt;=10),1,0)))</x:f>
      </x:c>
      <x:c r="BF71" s="11" t="str">
        <x:f>IF(I71&lt;&gt;"PASS","",MAX(0,MIN(IF(OR(M71="YES",BL71&lt;&gt;C71),'Config_v6'!$B$34,100),ROUND(40+25*MIN(1,MIN(N71,Q71)/'Config_v6'!$B$7)*MIN(1,MIN(O71,R71)/'Config_v6'!$B$8)*MIN(1,MIN(P71,S71)/'Config_v6'!$B$9)+MAX(0,15-2*ABS(AF71-AJ71)-2*ABS(AL71-AP71))+IF(AU71&lt;='Config_v6'!$B$10,15,IF(AU71&lt;='Config_v6'!$B$11,13,IF(AU71&lt;='Config_v6'!$B$12,10,IF(AU71&lt;='Config_v6'!$B$13,6,0))))+5-BE71/10*'Config_v6'!$B$38,0))))</x:f>
      </x:c>
      <x:c r="BG71" s="11" t="str">
        <x:f>IF(I71&lt;&gt;"PASS","",MIN(1,'Config_v6'!$B$14*(0.7+0.3*MIN(1,AR71/'Config_v6'!$B$15))*IF(AU71&lt;='Config_v6'!$B$10,1,IF(AU71&lt;='Config_v6'!$B$11,0.95,IF(AU71&lt;='Config_v6'!$B$12,0.88,0.78)))*(0.75+0.25*BF71/100)))</x:f>
      </x:c>
      <x:c r="BH71" s="11" t="str">
        <x:f>IF(I71&lt;&gt;"PASS","",MIN(1,(ABS(AZ71-1)+ABS(BA71-1))*3))</x:f>
      </x:c>
      <x:c r="BI71" s="2" t="str">
        <x:f>IF(A71="","",IF(AND(OR('Input_Meci'!X71="",AND(ISNUMBER('Input_Meci'!X71),'Input_Meci'!X71&gt;=0,'Input_Meci'!X71&lt;=10)),OR('Input_Meci'!Y71="",AND(ISNUMBER('Input_Meci'!Y71),'Input_Meci'!Y71&gt;=0,'Input_Meci'!Y71&lt;=10)),OR('Input_Meci'!Z71="",AND(ISNUMBER('Input_Meci'!Z71),'Input_Meci'!Z71&gt;=0,'Input_Meci'!Z71&lt;=10)),OR('Input_Meci'!AA71="",AND(ISNUMBER('Input_Meci'!AA71),'Input_Meci'!AA71&gt;=0,'Input_Meci'!AA71&lt;=10)),OR('Input_Meci'!AB71="",AND(ISNUMBER('Input_Meci'!AB71),'Input_Meci'!AB71&gt;=0,'Input_Meci'!AB71&lt;=10)),OR('Input_Meci'!AC71="",AND(ISNUMBER('Input_Meci'!AC71),'Input_Meci'!AC71&gt;=0,'Input_Meci'!AC71&lt;=10)),OR('Input_Meci'!AD71="",AND(ISNUMBER('Input_Meci'!AD71),'Input_Meci'!AD71&gt;=-2,'Input_Meci'!AD71&lt;=2)),OR('Input_Meci'!AE71="",AND(ISNUMBER('Input_Meci'!AE71),'Input_Meci'!AE71&gt;=-2,'Input_Meci'!AE71&lt;=2)),OR('Input_Meci'!AF71="",AND(ISNUMBER('Input_Meci'!AF71),'Input_Meci'!AF71&gt;=-2,'Input_Meci'!AF71&lt;=2)),OR('Input_Meci'!AG71="",AND(ISNUMBER('Input_Meci'!AG71),'Input_Meci'!AG71&gt;=-2,'Input_Meci'!AG71&lt;=2))),"VALID","INVALID"))</x:f>
      </x:c>
      <x:c r="BJ71" s="2" t="n">
        <x:f>IF(A71="",0,SUM('Core_Nativ'!S786:S791))</x:f>
        <x:v>0</x:v>
      </x:c>
      <x:c r="BK71" s="2" t="str">
        <x:f>'Config_v6'!$B$40</x:f>
        <x:v>VALID</x:v>
      </x:c>
      <x:c r="BL71" s="2" t="str">
        <x:f>IF(A71="","",IF(SUMPRODUCT(('Istoric_Nativ'!$B$6:$B$405=B71)*('Istoric_Nativ'!$C$6:$C$405=C71)*('Istoric_Nativ'!$P$6:$P$405=1)*('Istoric_Nativ'!$D$6:$D$405&lt;INT(G71))*((('Istoric_Nativ'!$E$6:$E$405='Input_Meci'!D71)+('Istoric_Nativ'!$F$6:$F$405='Input_Meci'!D71)+('Istoric_Nativ'!$E$6:$E$405='Input_Meci'!E71)+('Istoric_Nativ'!$F$6:$F$405='Input_Meci'!E71))&gt;0))&gt;='Config_v6'!$B$41,C71,IF(AND('Input_Meci'!L71="YES",'Input_Meci'!K71&lt;&gt;"",'Input_Meci'!K71&lt;C71,COUNTIF('Core_Nativ'!R792:R797,"CLOSED")=6,SUM('Core_Nativ'!S792:S797)=0),'Input_Meci'!K71,C71)))</x:f>
      </x:c>
      <x:c r="BM71" s="9" t="n">
        <x:f>IF(OR(A71="",N71=0),0,LARGE(_xlfn._xlws.FILTER('Istoric_Nativ'!$D$6:$D$405,('Istoric_Nativ'!$B$6:$B$405=B71)*('Istoric_Nativ'!$C$6:$C$405=C71)*('Istoric_Nativ'!$P$6:$P$405=1)*('Istoric_Nativ'!$D$6:$D$405&lt;INT(G71))*((('Istoric_Nativ'!$E$6:$E$405='Input_Meci'!D71)+('Istoric_Nativ'!$F$6:$F$405='Input_Meci'!D71))&gt;0)),MIN(10,N71)))</x:f>
        <x:v>0</x:v>
      </x:c>
      <x:c r="BN71" s="9" t="n">
        <x:f>IF(OR(A71="",Q71=0),0,LARGE(_xlfn._xlws.FILTER('Istoric_Nativ'!$D$6:$D$405,('Istoric_Nativ'!$B$6:$B$405=B71)*('Istoric_Nativ'!$C$6:$C$405=C71)*('Istoric_Nativ'!$P$6:$P$405=1)*('Istoric_Nativ'!$D$6:$D$405&lt;INT(G71))*((('Istoric_Nativ'!$E$6:$E$405='Input_Meci'!E71)+('Istoric_Nativ'!$F$6:$F$405='Input_Meci'!E71))&gt;0)),MIN(10,Q71)))</x:f>
        <x:v>0</x:v>
      </x:c>
      <x:c r="BO71" s="9" t="n">
        <x:f>IF(OR(A71="",N71=0),0,LARGE(_xlfn._xlws.FILTER('Istoric_Nativ'!$D$6:$D$405,('Istoric_Nativ'!$B$6:$B$405=B71)*('Istoric_Nativ'!$C$6:$C$405=C71)*('Istoric_Nativ'!$P$6:$P$405=1)*('Istoric_Nativ'!$D$6:$D$405&lt;INT(G71))*((('Istoric_Nativ'!$E$6:$E$405='Input_Meci'!D71)+('Istoric_Nativ'!$F$6:$F$405='Input_Meci'!D71))&gt;0)),MIN(20,N71)))</x:f>
        <x:v>0</x:v>
      </x:c>
      <x:c r="BP71" s="9" t="n">
        <x:f>IF(OR(A71="",Q71=0),0,LARGE(_xlfn._xlws.FILTER('Istoric_Nativ'!$D$6:$D$405,('Istoric_Nativ'!$B$6:$B$405=B71)*('Istoric_Nativ'!$C$6:$C$405=C71)*('Istoric_Nativ'!$P$6:$P$405=1)*('Istoric_Nativ'!$D$6:$D$405&lt;INT(G71))*((('Istoric_Nativ'!$E$6:$E$405='Input_Meci'!E71)+('Istoric_Nativ'!$F$6:$F$405='Input_Meci'!E71))&gt;0)),MIN(20,Q71)))</x:f>
        <x:v>0</x:v>
      </x:c>
      <x:c r="BQ71" s="2" t="str">
        <x:f>IF(A71="","",IF(AND(COUNTIF(MatchesTable[Match_ID],A71)=1,COUNTIFS(MatchesTable[League],B71,MatchesTable[Season],C71,MatchesTable[Home],'Input_Meci'!D71,MatchesTable[Away],'Input_Meci'!E71,MatchesTable[Kickoff_UTC],F71)=1,B71&lt;&gt;"",C71&lt;&gt;"",'Input_Meci'!D71&lt;&gt;"",'Input_Meci'!E71&lt;&gt;"",'Input_Meci'!D71&lt;&gt;'Input_Meci'!E71,ISNUMBER(F71),ISNUMBER(G71),G71&lt;F71,OR(E71="LIVE",E71="REPLAY"),OR('Input_Meci'!L71="YES",'Input_Meci'!L71="NO",'Input_Meci'!L71="")),"VALID","INVALID"))</x:f>
      </x:c>
      <x:c r="BR71" s="2" t="n">
        <x:f>IF(I71&lt;&gt;"PASS",0,SUMPRODUCT(('Istoric_Nativ'!$B$6:$B$405='Input_Meci'!B71)*('Istoric_Nativ'!$C$6:$C$405='Input_Meci'!C71)*('Istoric_Nativ'!$P$6:$P$405=1)*('Istoric_Nativ'!$D$6:$D$405&lt;INT('Input_Meci'!G71))*((('Istoric_Nativ'!$E$6:$E$405='Input_Meci'!D71)+('Istoric_Nativ'!$F$6:$F$405='Input_Meci'!E71))&gt;0)))</x:f>
        <x:v>0</x:v>
      </x:c>
      <x:c r="BS71" s="2" t="n">
        <x:f>IF(I71&lt;&gt;"PASS",0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BM71)+((('Istoric_Nativ'!$E$6:$E$405='Input_Meci'!E71)+('Istoric_Nativ'!$F$6:$F$405='Input_Meci'!E71))&gt;0)*('Istoric_Nativ'!$D$6:$D$405&gt;=BN71))&gt;0)))</x:f>
        <x:v>0</x:v>
      </x:c>
      <x:c r="BT71" s="2" t="n">
        <x:f>IF(I71&lt;&gt;"PASS",0,SUMPRODUCT(('Istoric_Nativ'!$B$6:$B$405='Input_Meci'!B71)*('Istoric_Nativ'!$C$6:$C$405='Input_Meci'!C71)*('Istoric_Nativ'!$P$6:$P$405=1)*('Istoric_Nativ'!$D$6:$D$405&lt;INT('Input_Meci'!G71))*((((('Istoric_Nativ'!$E$6:$E$405='Input_Meci'!D71)+('Istoric_Nativ'!$F$6:$F$405='Input_Meci'!D71))&gt;0)*('Istoric_Nativ'!$D$6:$D$405&gt;=BO71)+((('Istoric_Nativ'!$E$6:$E$405='Input_Meci'!E71)+('Istoric_Nativ'!$F$6:$F$405='Input_Meci'!E71))&gt;0)*('Istoric_Nativ'!$D$6:$D$405&gt;=BP71))&gt;0)))</x:f>
        <x:v>0</x:v>
      </x:c>
    </x:row>
    <x:row r="72" ht="21" customHeight="1">
      <x:c r="A72" s="2" t="str">
        <x:f>IF('Input_Meci'!A72="","",'Input_Meci'!A72)</x:f>
      </x:c>
      <x:c r="B72" s="2" t="str">
        <x:f>IF(A72="","",'Input_Meci'!B72)</x:f>
      </x:c>
      <x:c r="C72" s="2" t="str">
        <x:f>IF(A72="","",'Input_Meci'!C72)</x:f>
      </x:c>
      <x:c r="D72" s="2" t="str">
        <x:f>IF(A72="","",'Input_Meci'!D72&amp;" – "&amp;'Input_Meci'!E72)</x:f>
      </x:c>
      <x:c r="E72" s="2" t="str">
        <x:f>IF(A72="","",'Input_Meci'!H72)</x:f>
      </x:c>
      <x:c r="F72" s="9" t="str">
        <x:f>IF(A72="","",'Input_Meci'!F72)</x:f>
      </x:c>
      <x:c r="G72" s="9" t="str">
        <x:f>IF(A72="","",'Input_Meci'!G72)</x:f>
      </x:c>
      <x:c r="H72" s="2" t="str">
        <x:f>IF(A72="","",IF(BQ72&lt;&gt;"VALID","NOT RELEASED",IF(AND(OR('Input_Meci'!I72="NOT AVAILABLE",'Input_Meci'!I72="SOURCE CONFLICT"),'Input_Meci'!J72&lt;&gt;""),"READY",IF(OR(NOT(OR('Input_Meci'!I72="AUTO",'Input_Meci'!I72="")),COUNTIF('Core_Nativ'!R798:R803,"CLOSED")&lt;&gt;6,BJ72&gt;0),"NOT RELEASED","READY"))))</x:f>
      </x:c>
      <x:c r="I72" s="2" t="str">
        <x:f>IF(A72="","",IF(H72&lt;&gt;"READY","NOT RELEASED",IF(AND(NOT(OR('Input_Meci'!I72="NOT AVAILABLE",'Input_Meci'!I72="SOURCE CONFLICT")),L72=12,AR72&gt;=2,AS72&gt;0,ISNUMBER(AT72),BI72="VALID",BK72="VALID"),"PASS","FAIL")))</x:f>
      </x:c>
      <x:c r="J72" s="2" t="str">
        <x:f>IF(A72="","",IF(BQ72&lt;&gt;"VALID","Verifica ID, echipe, mod si cutoff &lt; kickoff",IF(H72&lt;&gt;"READY",IF('Input_Meci'!I72="ACCESS BLOCKED","Acces blocat: reia sursele",IF(BJ72&gt;0,"Istoric invalid sau conflict: verifica randurile native","Surse neinchise / post-cutoff / dovezi incomplete")),IF(OR('Input_Meci'!I72="NOT AVAILABLE",'Input_Meci'!I72="SOURCE CONFLICT"),'Input_Meci'!I72,IF(BK72&lt;&gt;"VALID","Parametri invalizi",IF(L72&lt;&gt;12,"Core / sample / prior insuficient",IF(AR72&lt;2,"N insuficient pentru dispersie",IF(AS72&lt;=0,"Media istorica trebuie sa fie pozitiva",IF(BI72&lt;&gt;"VALID","Context invalid","READY")))))))))</x:f>
      </x:c>
      <x:c r="K72" s="2" t="str">
        <x:f>IF(A72="","",COUNT(T72:AE72))</x:f>
      </x:c>
      <x:c r="L72" s="2" t="str">
        <x:f>IF(A72="","",COUNT(AF72:AQ72))</x:f>
      </x:c>
      <x:c r="M72" s="2" t="str">
        <x:f>IF(A72="","",IF(OR('Core_Nativ'!M798&lt;'Core_Nativ'!P798,'Core_Nativ'!M799&lt;'Core_Nativ'!P799,'Core_Nativ'!M800&lt;'Core_Nativ'!P800,'Core_Nativ'!M801&lt;'Core_Nativ'!P801,'Core_Nativ'!M802&lt;'Core_Nativ'!P802,'Core_Nativ'!M803&lt;'Core_Nativ'!P803),"YES","NO"))</x:f>
      </x:c>
      <x:c r="N72" s="2" t="str">
        <x:f>IF(A72="","",'Core_Nativ'!M798)</x:f>
      </x:c>
      <x:c r="O72" s="2" t="str">
        <x:f>IF(A72="","",'Core_Nativ'!M799)</x:f>
      </x:c>
      <x:c r="P72" s="2" t="str">
        <x:f>IF(A72="","",'Core_Nativ'!M800)</x:f>
      </x:c>
      <x:c r="Q72" s="2" t="str">
        <x:f>IF(A72="","",'Core_Nativ'!M801)</x:f>
      </x:c>
      <x:c r="R72" s="2" t="str">
        <x:f>IF(A72="","",'Core_Nativ'!M802)</x:f>
      </x:c>
      <x:c r="S72" s="2" t="str">
        <x:f>IF(A72="","",'Core_Nativ'!M803)</x:f>
      </x:c>
      <x:c r="T72" s="11" t="str">
        <x:f>IF(OR(A72="",'Core_Nativ'!M798=0),"",'Core_Nativ'!N798)</x:f>
      </x:c>
      <x:c r="U72" s="11" t="str">
        <x:f>IF(OR(A72="",'Core_Nativ'!M798=0),"",'Core_Nativ'!O798)</x:f>
      </x:c>
      <x:c r="V72" s="11" t="str">
        <x:f>IF(OR(A72="",'Core_Nativ'!M799=0),"",'Core_Nativ'!N799)</x:f>
      </x:c>
      <x:c r="W72" s="11" t="str">
        <x:f>IF(OR(A72="",'Core_Nativ'!M799=0),"",'Core_Nativ'!O799)</x:f>
      </x:c>
      <x:c r="X72" s="11" t="str">
        <x:f>IF(OR(A72="",'Core_Nativ'!M800=0),"",'Core_Nativ'!N800)</x:f>
      </x:c>
      <x:c r="Y72" s="11" t="str">
        <x:f>IF(OR(A72="",'Core_Nativ'!M800=0),"",'Core_Nativ'!O800)</x:f>
      </x:c>
      <x:c r="Z72" s="11" t="str">
        <x:f>IF(OR(A72="",'Core_Nativ'!M801=0),"",'Core_Nativ'!N801)</x:f>
      </x:c>
      <x:c r="AA72" s="11" t="str">
        <x:f>IF(OR(A72="",'Core_Nativ'!M801=0),"",'Core_Nativ'!O801)</x:f>
      </x:c>
      <x:c r="AB72" s="11" t="str">
        <x:f>IF(OR(A72="",'Core_Nativ'!M802=0),"",'Core_Nativ'!N802)</x:f>
      </x:c>
      <x:c r="AC72" s="11" t="str">
        <x:f>IF(OR(A72="",'Core_Nativ'!M802=0),"",'Core_Nativ'!O802)</x:f>
      </x:c>
      <x:c r="AD72" s="11" t="str">
        <x:f>IF(OR(A72="",'Core_Nativ'!M803=0),"",'Core_Nativ'!N803)</x:f>
      </x:c>
      <x:c r="AE72" s="11" t="str">
        <x:f>IF(OR(A72="",'Core_Nativ'!M803=0),"",'Core_Nativ'!O803)</x:f>
      </x:c>
      <x:c r="AF72" s="11" t="str">
        <x:f>IF(A72="","",IF(AND('Core_Nativ'!R798="CLOSED",'Core_Nativ'!S798=0),IF('Core_Nativ'!M798&gt;='Core_Nativ'!P798,'Core_Nativ'!N798,IF(AND('Input_Meci'!L72="YES",'Input_Meci'!K72&lt;&gt;"",'Input_Meci'!K72&lt;C72,'Core_Nativ'!T804="DERIVED",'Core_Nativ'!M804&gt;='Core_Nativ'!P798),MIN(1,'Core_Nativ'!M798/'Core_Nativ'!P798)*IF('Core_Nativ'!M798=0,0,'Core_Nativ'!N798)+(1-MIN(1,'Core_Nativ'!M798/'Core_Nativ'!P798))*'Core_Nativ'!N804,"")),""))</x:f>
      </x:c>
      <x:c r="AG72" s="11" t="str">
        <x:f>IF(A72="","",IF(AND('Core_Nativ'!R798="CLOSED",'Core_Nativ'!S798=0),IF('Core_Nativ'!M798&gt;='Core_Nativ'!P798,'Core_Nativ'!O798,IF(AND('Input_Meci'!L72="YES",'Input_Meci'!K72&lt;&gt;"",'Input_Meci'!K72&lt;C72,'Core_Nativ'!T804="DERIVED",'Core_Nativ'!M804&gt;='Core_Nativ'!P798),MIN(1,'Core_Nativ'!M798/'Core_Nativ'!P798)*IF('Core_Nativ'!M798=0,0,'Core_Nativ'!O798)+(1-MIN(1,'Core_Nativ'!M798/'Core_Nativ'!P798))*'Core_Nativ'!O804,"")),""))</x:f>
      </x:c>
      <x:c r="AH72" s="11" t="str">
        <x:f>IF(A72="","",IF(AND('Core_Nativ'!R799="CLOSED",'Core_Nativ'!S799=0),IF('Core_Nativ'!M799&gt;='Core_Nativ'!P799,'Core_Nativ'!N799,IF(AND('Input_Meci'!L72="YES",'Input_Meci'!K72&lt;&gt;"",'Input_Meci'!K72&lt;C72,'Core_Nativ'!T805="DERIVED",'Core_Nativ'!M805&gt;='Core_Nativ'!P799),MIN(1,'Core_Nativ'!M799/'Core_Nativ'!P799)*IF('Core_Nativ'!M799=0,0,'Core_Nativ'!N799)+(1-MIN(1,'Core_Nativ'!M799/'Core_Nativ'!P799))*'Core_Nativ'!N805,"")),""))</x:f>
      </x:c>
      <x:c r="AI72" s="11" t="str">
        <x:f>IF(A72="","",IF(AND('Core_Nativ'!R799="CLOSED",'Core_Nativ'!S799=0),IF('Core_Nativ'!M799&gt;='Core_Nativ'!P799,'Core_Nativ'!O799,IF(AND('Input_Meci'!L72="YES",'Input_Meci'!K72&lt;&gt;"",'Input_Meci'!K72&lt;C72,'Core_Nativ'!T805="DERIVED",'Core_Nativ'!M805&gt;='Core_Nativ'!P799),MIN(1,'Core_Nativ'!M799/'Core_Nativ'!P799)*IF('Core_Nativ'!M799=0,0,'Core_Nativ'!O799)+(1-MIN(1,'Core_Nativ'!M799/'Core_Nativ'!P799))*'Core_Nativ'!O805,"")),""))</x:f>
      </x:c>
      <x:c r="AJ72" s="11" t="str">
        <x:f>IF(A72="","",IF(AND('Core_Nativ'!R800="CLOSED",'Core_Nativ'!S800=0),IF('Core_Nativ'!M800&gt;='Core_Nativ'!P800,'Core_Nativ'!N800,IF(AND('Input_Meci'!L72="YES",'Input_Meci'!K72&lt;&gt;"",'Input_Meci'!K72&lt;C72,'Core_Nativ'!T806="DERIVED",'Core_Nativ'!M806&gt;='Core_Nativ'!P800),MIN(1,'Core_Nativ'!M800/'Core_Nativ'!P800)*IF('Core_Nativ'!M800=0,0,'Core_Nativ'!N800)+(1-MIN(1,'Core_Nativ'!M800/'Core_Nativ'!P800))*'Core_Nativ'!N806,"")),""))</x:f>
      </x:c>
      <x:c r="AK72" s="11" t="str">
        <x:f>IF(A72="","",IF(AND('Core_Nativ'!R800="CLOSED",'Core_Nativ'!S800=0),IF('Core_Nativ'!M800&gt;='Core_Nativ'!P800,'Core_Nativ'!O800,IF(AND('Input_Meci'!L72="YES",'Input_Meci'!K72&lt;&gt;"",'Input_Meci'!K72&lt;C72,'Core_Nativ'!T806="DERIVED",'Core_Nativ'!M806&gt;='Core_Nativ'!P800),MIN(1,'Core_Nativ'!M800/'Core_Nativ'!P800)*IF('Core_Nativ'!M800=0,0,'Core_Nativ'!O800)+(1-MIN(1,'Core_Nativ'!M800/'Core_Nativ'!P800))*'Core_Nativ'!O806,"")),""))</x:f>
      </x:c>
      <x:c r="AL72" s="11" t="str">
        <x:f>IF(A72="","",IF(AND('Core_Nativ'!R801="CLOSED",'Core_Nativ'!S801=0),IF('Core_Nativ'!M801&gt;='Core_Nativ'!P801,'Core_Nativ'!N801,IF(AND('Input_Meci'!L72="YES",'Input_Meci'!K72&lt;&gt;"",'Input_Meci'!K72&lt;C72,'Core_Nativ'!T807="DERIVED",'Core_Nativ'!M807&gt;='Core_Nativ'!P801),MIN(1,'Core_Nativ'!M801/'Core_Nativ'!P801)*IF('Core_Nativ'!M801=0,0,'Core_Nativ'!N801)+(1-MIN(1,'Core_Nativ'!M801/'Core_Nativ'!P801))*'Core_Nativ'!N807,"")),""))</x:f>
      </x:c>
      <x:c r="AM72" s="11" t="str">
        <x:f>IF(A72="","",IF(AND('Core_Nativ'!R801="CLOSED",'Core_Nativ'!S801=0),IF('Core_Nativ'!M801&gt;='Core_Nativ'!P801,'Core_Nativ'!O801,IF(AND('Input_Meci'!L72="YES",'Input_Meci'!K72&lt;&gt;"",'Input_Meci'!K72&lt;C72,'Core_Nativ'!T807="DERIVED",'Core_Nativ'!M807&gt;='Core_Nativ'!P801),MIN(1,'Core_Nativ'!M801/'Core_Nativ'!P801)*IF('Core_Nativ'!M801=0,0,'Core_Nativ'!O801)+(1-MIN(1,'Core_Nativ'!M801/'Core_Nativ'!P801))*'Core_Nativ'!O807,"")),""))</x:f>
      </x:c>
      <x:c r="AN72" s="11" t="str">
        <x:f>IF(A72="","",IF(AND('Core_Nativ'!R802="CLOSED",'Core_Nativ'!S802=0),IF('Core_Nativ'!M802&gt;='Core_Nativ'!P802,'Core_Nativ'!N802,IF(AND('Input_Meci'!L72="YES",'Input_Meci'!K72&lt;&gt;"",'Input_Meci'!K72&lt;C72,'Core_Nativ'!T808="DERIVED",'Core_Nativ'!M808&gt;='Core_Nativ'!P802),MIN(1,'Core_Nativ'!M802/'Core_Nativ'!P802)*IF('Core_Nativ'!M802=0,0,'Core_Nativ'!N802)+(1-MIN(1,'Core_Nativ'!M802/'Core_Nativ'!P802))*'Core_Nativ'!N808,"")),""))</x:f>
      </x:c>
      <x:c r="AO72" s="11" t="str">
        <x:f>IF(A72="","",IF(AND('Core_Nativ'!R802="CLOSED",'Core_Nativ'!S802=0),IF('Core_Nativ'!M802&gt;='Core_Nativ'!P802,'Core_Nativ'!O802,IF(AND('Input_Meci'!L72="YES",'Input_Meci'!K72&lt;&gt;"",'Input_Meci'!K72&lt;C72,'Core_Nativ'!T808="DERIVED",'Core_Nativ'!M808&gt;='Core_Nativ'!P802),MIN(1,'Core_Nativ'!M802/'Core_Nativ'!P802)*IF('Core_Nativ'!M802=0,0,'Core_Nativ'!O802)+(1-MIN(1,'Core_Nativ'!M802/'Core_Nativ'!P802))*'Core_Nativ'!O808,"")),""))</x:f>
      </x:c>
      <x:c r="AP72" s="11" t="str">
        <x:f>IF(A72="","",IF(AND('Core_Nativ'!R803="CLOSED",'Core_Nativ'!S803=0),IF('Core_Nativ'!M803&gt;='Core_Nativ'!P803,'Core_Nativ'!N803,IF(AND('Input_Meci'!L72="YES",'Input_Meci'!K72&lt;&gt;"",'Input_Meci'!K72&lt;C72,'Core_Nativ'!T809="DERIVED",'Core_Nativ'!M809&gt;='Core_Nativ'!P803),MIN(1,'Core_Nativ'!M803/'Core_Nativ'!P803)*IF('Core_Nativ'!M803=0,0,'Core_Nativ'!N803)+(1-MIN(1,'Core_Nativ'!M803/'Core_Nativ'!P803))*'Core_Nativ'!N809,"")),""))</x:f>
      </x:c>
      <x:c r="AQ72" s="11" t="str">
        <x:f>IF(A72="","",IF(AND('Core_Nativ'!R803="CLOSED",'Core_Nativ'!S803=0),IF('Core_Nativ'!M803&gt;='Core_Nativ'!P803,'Core_Nativ'!O803,IF(AND('Input_Meci'!L72="YES",'Input_Meci'!K72&lt;&gt;"",'Input_Meci'!K72&lt;C72,'Core_Nativ'!T809="DERIVED",'Core_Nativ'!M809&gt;='Core_Nativ'!P803),MIN(1,'Core_Nativ'!M803/'Core_Nativ'!P803)*IF('Core_Nativ'!M803=0,0,'Core_Nativ'!O803)+(1-MIN(1,'Core_Nativ'!M803/'Core_Nativ'!P803))*'Core_Nativ'!O809,"")),""))</x:f>
      </x:c>
      <x:c r="AR72" s="11" t="str">
        <x:f>IF(A72="","",SUMPRODUCT(('Istoric_Nativ'!$B$6:$B$405=B72)*('Istoric_Nativ'!$C$6:$C$405=BL72)*('Istoric_Nativ'!$P$6:$P$405=1)*('Istoric_Nativ'!$D$6:$D$405&lt;INT(G72))*((('Istoric_Nativ'!$E$6:$E$405='Input_Meci'!D72)+('Istoric_Nativ'!$F$6:$F$405='Input_Meci'!D72)+('Istoric_Nativ'!$E$6:$E$405='Input_Meci'!E72)+('Istoric_Nativ'!$F$6:$F$405='Input_Meci'!E72))&gt;0)))</x:f>
      </x:c>
      <x:c r="AS72" s="11" t="str">
        <x:f>IF(AR72=0,"",SUMPRODUCT(('Istoric_Nativ'!$B$6:$B$405=B72)*('Istoric_Nativ'!$C$6:$C$405=BL72)*('Istoric_Nativ'!$P$6:$P$405=1)*('Istoric_Nativ'!$D$6:$D$405&lt;INT(G72))*((('Istoric_Nativ'!$E$6:$E$405='Input_Meci'!D72)+('Istoric_Nativ'!$F$6:$F$405='Input_Meci'!D72)+('Istoric_Nativ'!$E$6:$E$405='Input_Meci'!E72)+('Istoric_Nativ'!$F$6:$F$405='Input_Meci'!E72))&gt;0)*'Istoric_Nativ'!$Q$6:$Q$405)/AR72)</x:f>
      </x:c>
      <x:c r="AT72" s="11" t="str">
        <x:f>IF(AR72&lt;2,"",MAX(0,(SUMPRODUCT(('Istoric_Nativ'!$B$6:$B$405=B72)*('Istoric_Nativ'!$C$6:$C$405=BL72)*('Istoric_Nativ'!$P$6:$P$405=1)*('Istoric_Nativ'!$D$6:$D$405&lt;INT(G72))*((('Istoric_Nativ'!$E$6:$E$405='Input_Meci'!D72)+('Istoric_Nativ'!$F$6:$F$405='Input_Meci'!D72)+('Istoric_Nativ'!$E$6:$E$405='Input_Meci'!E72)+('Istoric_Nativ'!$F$6:$F$405='Input_Meci'!E72))&gt;0)*'Istoric_Nativ'!$R$6:$R$405)-AR72*AS72^2)/(AR72-1)))</x:f>
      </x:c>
      <x:c r="AU72" s="11" t="str">
        <x:f>IF(I72&lt;&gt;"PASS","",AT72/AS72)</x:f>
      </x:c>
      <x:c r="AV72" s="11" t="str">
        <x:f>IF(I72&lt;&gt;"PASS","",IF(AU72&lt;='Config_v6'!$B$10,"POISSON","NEGATIVE BINOMIAL"))</x:f>
      </x:c>
      <x:c r="AW72" s="11" t="str">
        <x:f>IF(I72&lt;&gt;"PASS","",IF(AV72="POISSON",9999,AS72/(AU72-1)))</x:f>
      </x:c>
      <x:c r="AX72" s="11" t="str">
        <x:f>IF(A72="","",MAX(1-'Config_v6'!$B$20,MIN(1+'Config_v6'!$B$20,1+0.02*(IF(AND(ISNUMBER('Input_Meci'!N72),'Input_Meci'!N72&gt;=0,'Input_Meci'!N72&lt;=200),'Input_Meci'!N72,12)/12-1)+0.02*(IF(AND(ISNUMBER('Input_Meci'!P72),'Input_Meci'!P72&gt;=0,'Input_Meci'!P72&lt;=200),'Input_Meci'!P72,3.5)/3.5-1)+0.02*(IF(AND(ISNUMBER('Input_Meci'!R72),'Input_Meci'!R72&gt;=0,'Input_Meci'!R72&lt;=200),'Input_Meci'!R72,18)/18-1)+0.02*((IF(AND(ISNUMBER('Input_Meci'!V72),'Input_Meci'!V72&gt;=0,'Input_Meci'!V72&lt;=10),'Input_Meci'!V72,5)-5)/5))))</x:f>
      </x:c>
      <x:c r="AY72" s="11" t="str">
        <x:f>IF(A72="","",MAX(1-'Config_v6'!$B$20,MIN(1+'Config_v6'!$B$20,1+0.02*(IF(AND(ISNUMBER('Input_Meci'!O72),'Input_Meci'!O72&gt;=0,'Input_Meci'!O72&lt;=200),'Input_Meci'!O72,12)/12-1)+0.02*(IF(AND(ISNUMBER('Input_Meci'!Q72),'Input_Meci'!Q72&gt;=0,'Input_Meci'!Q72&lt;=200),'Input_Meci'!Q72,3.5)/3.5-1)+0.02*(IF(AND(ISNUMBER('Input_Meci'!S72),'Input_Meci'!S72&gt;=0,'Input_Meci'!S72&lt;=200),'Input_Meci'!S72,18)/18-1)+0.02*((IF(AND(ISNUMBER('Input_Meci'!W72),'Input_Meci'!W72&gt;=0,'Input_Meci'!W72&lt;=10),'Input_Meci'!W72,5)-5)/5))))</x:f>
      </x:c>
      <x:c r="AZ72" s="11" t="str">
        <x:f>IF(A72="","",MAX(1-'Config_v6'!$B$21,MIN(1+'Config_v6'!$B$21,1+0.012*(IF('Input_Meci'!X72="",5,IF(ISNUMBER('Input_Meci'!X72),'Input_Meci'!X72,5))-5)+0.018*(IF('Input_Meci'!Z72="",5,IF(ISNUMBER('Input_Meci'!Z72),'Input_Meci'!Z72,5))-5)+0.012*(IF('Input_Meci'!AB72="",5,IF(ISNUMBER('Input_Meci'!AB72),'Input_Meci'!AB72,5))-5)+0.015*IF('Input_Meci'!AD72="",0,IF(ISNUMBER('Input_Meci'!AD72),'Input_Meci'!AD72,0))+0.02*IF('Input_Meci'!AF72="",0,IF(ISNUMBER('Input_Meci'!AF72),'Input_Meci'!AF72,0)))))</x:f>
      </x:c>
      <x:c r="BA72" s="11" t="str">
        <x:f>IF(A72="","",MAX(1-'Config_v6'!$B$21,MIN(1+'Config_v6'!$B$21,1+0.012*(IF('Input_Meci'!Y72="",5,IF(ISNUMBER('Input_Meci'!Y72),'Input_Meci'!Y72,5))-5)+0.018*(IF('Input_Meci'!AA72="",5,IF(ISNUMBER('Input_Meci'!AA72),'Input_Meci'!AA72,5))-5)+0.012*(IF('Input_Meci'!AC72="",5,IF(ISNUMBER('Input_Meci'!AC72),'Input_Meci'!AC72,5))-5)+0.015*IF('Input_Meci'!AE72="",0,IF(ISNUMBER('Input_Meci'!AE72),'Input_Meci'!AE72,0))+0.02*IF('Input_Meci'!AG72="",0,IF(ISNUMBER('Input_Meci'!AG72),'Input_Meci'!AG72,0)))))</x:f>
      </x:c>
      <x:c r="BB72" s="11" t="str">
        <x:f>IF(I72&lt;&gt;"PASS","",(AVERAGE(AF72,AM72)*'Config_v6'!$B$4+AVERAGE(AH72,AO72)*'Config_v6'!$B$5+AVERAGE(AJ72,AQ72)*'Config_v6'!$B$6)*AX72*AZ72)</x:f>
      </x:c>
      <x:c r="BC72" s="11" t="str">
        <x:f>IF(I72&lt;&gt;"PASS","",(AVERAGE(AL72,AG72)*'Config_v6'!$B$4+AVERAGE(AN72,AI72)*'Config_v6'!$B$5+AVERAGE(AP72,AK72)*'Config_v6'!$B$6)*AY72*BA72)</x:f>
      </x:c>
      <x:c r="BD72" s="11" t="str">
        <x:f>IF(I72&lt;&gt;"PASS","",BB72+BC72)</x:f>
      </x:c>
      <x:c r="BE72" s="11" t="str">
        <x:f>IF(A72="","",10-SUM(IF(AND(ISNUMBER('Input_Meci'!N72),'Input_Meci'!N72&gt;=0,'Input_Meci'!N72&lt;=200),1,0),IF(AND(ISNUMBER('Input_Meci'!O72),'Input_Meci'!O72&gt;=0,'Input_Meci'!O72&lt;=200),1,0),IF(AND(ISNUMBER('Input_Meci'!P72),'Input_Meci'!P72&gt;=0,'Input_Meci'!P72&lt;=200),1,0),IF(AND(ISNUMBER('Input_Meci'!Q72),'Input_Meci'!Q72&gt;=0,'Input_Meci'!Q72&lt;=200),1,0),IF(AND(ISNUMBER('Input_Meci'!R72),'Input_Meci'!R72&gt;=0,'Input_Meci'!R72&lt;=200),1,0),IF(AND(ISNUMBER('Input_Meci'!S72),'Input_Meci'!S72&gt;=0,'Input_Meci'!S72&lt;=200),1,0),IF(AND(ISNUMBER('Input_Meci'!T72),'Input_Meci'!T72&gt;=0,'Input_Meci'!T72&lt;=100),1,0),IF(AND(ISNUMBER('Input_Meci'!U72),'Input_Meci'!U72&gt;=0,'Input_Meci'!U72&lt;=100),1,0),IF(AND(ISNUMBER('Input_Meci'!V72),'Input_Meci'!V72&gt;=0,'Input_Meci'!V72&lt;=10),1,0),IF(AND(ISNUMBER('Input_Meci'!W72),'Input_Meci'!W72&gt;=0,'Input_Meci'!W72&lt;=10),1,0)))</x:f>
      </x:c>
      <x:c r="BF72" s="11" t="str">
        <x:f>IF(I72&lt;&gt;"PASS","",MAX(0,MIN(IF(OR(M72="YES",BL72&lt;&gt;C72),'Config_v6'!$B$34,100),ROUND(40+25*MIN(1,MIN(N72,Q72)/'Config_v6'!$B$7)*MIN(1,MIN(O72,R72)/'Config_v6'!$B$8)*MIN(1,MIN(P72,S72)/'Config_v6'!$B$9)+MAX(0,15-2*ABS(AF72-AJ72)-2*ABS(AL72-AP72))+IF(AU72&lt;='Config_v6'!$B$10,15,IF(AU72&lt;='Config_v6'!$B$11,13,IF(AU72&lt;='Config_v6'!$B$12,10,IF(AU72&lt;='Config_v6'!$B$13,6,0))))+5-BE72/10*'Config_v6'!$B$38,0))))</x:f>
      </x:c>
      <x:c r="BG72" s="11" t="str">
        <x:f>IF(I72&lt;&gt;"PASS","",MIN(1,'Config_v6'!$B$14*(0.7+0.3*MIN(1,AR72/'Config_v6'!$B$15))*IF(AU72&lt;='Config_v6'!$B$10,1,IF(AU72&lt;='Config_v6'!$B$11,0.95,IF(AU72&lt;='Config_v6'!$B$12,0.88,0.78)))*(0.75+0.25*BF72/100)))</x:f>
      </x:c>
      <x:c r="BH72" s="11" t="str">
        <x:f>IF(I72&lt;&gt;"PASS","",MIN(1,(ABS(AZ72-1)+ABS(BA72-1))*3))</x:f>
      </x:c>
      <x:c r="BI72" s="2" t="str">
        <x:f>IF(A72="","",IF(AND(OR('Input_Meci'!X72="",AND(ISNUMBER('Input_Meci'!X72),'Input_Meci'!X72&gt;=0,'Input_Meci'!X72&lt;=10)),OR('Input_Meci'!Y72="",AND(ISNUMBER('Input_Meci'!Y72),'Input_Meci'!Y72&gt;=0,'Input_Meci'!Y72&lt;=10)),OR('Input_Meci'!Z72="",AND(ISNUMBER('Input_Meci'!Z72),'Input_Meci'!Z72&gt;=0,'Input_Meci'!Z72&lt;=10)),OR('Input_Meci'!AA72="",AND(ISNUMBER('Input_Meci'!AA72),'Input_Meci'!AA72&gt;=0,'Input_Meci'!AA72&lt;=10)),OR('Input_Meci'!AB72="",AND(ISNUMBER('Input_Meci'!AB72),'Input_Meci'!AB72&gt;=0,'Input_Meci'!AB72&lt;=10)),OR('Input_Meci'!AC72="",AND(ISNUMBER('Input_Meci'!AC72),'Input_Meci'!AC72&gt;=0,'Input_Meci'!AC72&lt;=10)),OR('Input_Meci'!AD72="",AND(ISNUMBER('Input_Meci'!AD72),'Input_Meci'!AD72&gt;=-2,'Input_Meci'!AD72&lt;=2)),OR('Input_Meci'!AE72="",AND(ISNUMBER('Input_Meci'!AE72),'Input_Meci'!AE72&gt;=-2,'Input_Meci'!AE72&lt;=2)),OR('Input_Meci'!AF72="",AND(ISNUMBER('Input_Meci'!AF72),'Input_Meci'!AF72&gt;=-2,'Input_Meci'!AF72&lt;=2)),OR('Input_Meci'!AG72="",AND(ISNUMBER('Input_Meci'!AG72),'Input_Meci'!AG72&gt;=-2,'Input_Meci'!AG72&lt;=2))),"VALID","INVALID"))</x:f>
      </x:c>
      <x:c r="BJ72" s="2" t="n">
        <x:f>IF(A72="",0,SUM('Core_Nativ'!S798:S803))</x:f>
        <x:v>0</x:v>
      </x:c>
      <x:c r="BK72" s="2" t="str">
        <x:f>'Config_v6'!$B$40</x:f>
        <x:v>VALID</x:v>
      </x:c>
      <x:c r="BL72" s="2" t="str">
        <x:f>IF(A72="","",IF(SUMPRODUCT(('Istoric_Nativ'!$B$6:$B$405=B72)*('Istoric_Nativ'!$C$6:$C$405=C72)*('Istoric_Nativ'!$P$6:$P$405=1)*('Istoric_Nativ'!$D$6:$D$405&lt;INT(G72))*((('Istoric_Nativ'!$E$6:$E$405='Input_Meci'!D72)+('Istoric_Nativ'!$F$6:$F$405='Input_Meci'!D72)+('Istoric_Nativ'!$E$6:$E$405='Input_Meci'!E72)+('Istoric_Nativ'!$F$6:$F$405='Input_Meci'!E72))&gt;0))&gt;='Config_v6'!$B$41,C72,IF(AND('Input_Meci'!L72="YES",'Input_Meci'!K72&lt;&gt;"",'Input_Meci'!K72&lt;C72,COUNTIF('Core_Nativ'!R804:R809,"CLOSED")=6,SUM('Core_Nativ'!S804:S809)=0),'Input_Meci'!K72,C72)))</x:f>
      </x:c>
      <x:c r="BM72" s="9" t="n">
        <x:f>IF(OR(A72="",N72=0),0,LARGE(_xlfn._xlws.FILTER('Istoric_Nativ'!$D$6:$D$405,('Istoric_Nativ'!$B$6:$B$405=B72)*('Istoric_Nativ'!$C$6:$C$405=C72)*('Istoric_Nativ'!$P$6:$P$405=1)*('Istoric_Nativ'!$D$6:$D$405&lt;INT(G72))*((('Istoric_Nativ'!$E$6:$E$405='Input_Meci'!D72)+('Istoric_Nativ'!$F$6:$F$405='Input_Meci'!D72))&gt;0)),MIN(10,N72)))</x:f>
        <x:v>0</x:v>
      </x:c>
      <x:c r="BN72" s="9" t="n">
        <x:f>IF(OR(A72="",Q72=0),0,LARGE(_xlfn._xlws.FILTER('Istoric_Nativ'!$D$6:$D$405,('Istoric_Nativ'!$B$6:$B$405=B72)*('Istoric_Nativ'!$C$6:$C$405=C72)*('Istoric_Nativ'!$P$6:$P$405=1)*('Istoric_Nativ'!$D$6:$D$405&lt;INT(G72))*((('Istoric_Nativ'!$E$6:$E$405='Input_Meci'!E72)+('Istoric_Nativ'!$F$6:$F$405='Input_Meci'!E72))&gt;0)),MIN(10,Q72)))</x:f>
        <x:v>0</x:v>
      </x:c>
      <x:c r="BO72" s="9" t="n">
        <x:f>IF(OR(A72="",N72=0),0,LARGE(_xlfn._xlws.FILTER('Istoric_Nativ'!$D$6:$D$405,('Istoric_Nativ'!$B$6:$B$405=B72)*('Istoric_Nativ'!$C$6:$C$405=C72)*('Istoric_Nativ'!$P$6:$P$405=1)*('Istoric_Nativ'!$D$6:$D$405&lt;INT(G72))*((('Istoric_Nativ'!$E$6:$E$405='Input_Meci'!D72)+('Istoric_Nativ'!$F$6:$F$405='Input_Meci'!D72))&gt;0)),MIN(20,N72)))</x:f>
        <x:v>0</x:v>
      </x:c>
      <x:c r="BP72" s="9" t="n">
        <x:f>IF(OR(A72="",Q72=0),0,LARGE(_xlfn._xlws.FILTER('Istoric_Nativ'!$D$6:$D$405,('Istoric_Nativ'!$B$6:$B$405=B72)*('Istoric_Nativ'!$C$6:$C$405=C72)*('Istoric_Nativ'!$P$6:$P$405=1)*('Istoric_Nativ'!$D$6:$D$405&lt;INT(G72))*((('Istoric_Nativ'!$E$6:$E$405='Input_Meci'!E72)+('Istoric_Nativ'!$F$6:$F$405='Input_Meci'!E72))&gt;0)),MIN(20,Q72)))</x:f>
        <x:v>0</x:v>
      </x:c>
      <x:c r="BQ72" s="2" t="str">
        <x:f>IF(A72="","",IF(AND(COUNTIF(MatchesTable[Match_ID],A72)=1,COUNTIFS(MatchesTable[League],B72,MatchesTable[Season],C72,MatchesTable[Home],'Input_Meci'!D72,MatchesTable[Away],'Input_Meci'!E72,MatchesTable[Kickoff_UTC],F72)=1,B72&lt;&gt;"",C72&lt;&gt;"",'Input_Meci'!D72&lt;&gt;"",'Input_Meci'!E72&lt;&gt;"",'Input_Meci'!D72&lt;&gt;'Input_Meci'!E72,ISNUMBER(F72),ISNUMBER(G72),G72&lt;F72,OR(E72="LIVE",E72="REPLAY"),OR('Input_Meci'!L72="YES",'Input_Meci'!L72="NO",'Input_Meci'!L72="")),"VALID","INVALID"))</x:f>
      </x:c>
      <x:c r="BR72" s="2" t="n">
        <x:f>IF(I72&lt;&gt;"PASS",0,SUMPRODUCT(('Istoric_Nativ'!$B$6:$B$405='Input_Meci'!B72)*('Istoric_Nativ'!$C$6:$C$405='Input_Meci'!C72)*('Istoric_Nativ'!$P$6:$P$405=1)*('Istoric_Nativ'!$D$6:$D$405&lt;INT('Input_Meci'!G72))*((('Istoric_Nativ'!$E$6:$E$405='Input_Meci'!D72)+('Istoric_Nativ'!$F$6:$F$405='Input_Meci'!E72))&gt;0)))</x:f>
        <x:v>0</x:v>
      </x:c>
      <x:c r="BS72" s="2" t="n">
        <x:f>IF(I72&lt;&gt;"PASS",0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BM72)+((('Istoric_Nativ'!$E$6:$E$405='Input_Meci'!E72)+('Istoric_Nativ'!$F$6:$F$405='Input_Meci'!E72))&gt;0)*('Istoric_Nativ'!$D$6:$D$405&gt;=BN72))&gt;0)))</x:f>
        <x:v>0</x:v>
      </x:c>
      <x:c r="BT72" s="2" t="n">
        <x:f>IF(I72&lt;&gt;"PASS",0,SUMPRODUCT(('Istoric_Nativ'!$B$6:$B$405='Input_Meci'!B72)*('Istoric_Nativ'!$C$6:$C$405='Input_Meci'!C72)*('Istoric_Nativ'!$P$6:$P$405=1)*('Istoric_Nativ'!$D$6:$D$405&lt;INT('Input_Meci'!G72))*((((('Istoric_Nativ'!$E$6:$E$405='Input_Meci'!D72)+('Istoric_Nativ'!$F$6:$F$405='Input_Meci'!D72))&gt;0)*('Istoric_Nativ'!$D$6:$D$405&gt;=BO72)+((('Istoric_Nativ'!$E$6:$E$405='Input_Meci'!E72)+('Istoric_Nativ'!$F$6:$F$405='Input_Meci'!E72))&gt;0)*('Istoric_Nativ'!$D$6:$D$405&gt;=BP72))&gt;0)))</x:f>
        <x:v>0</x:v>
      </x:c>
    </x:row>
    <x:row r="73" ht="21" customHeight="1">
      <x:c r="A73" s="2" t="str">
        <x:f>IF('Input_Meci'!A73="","",'Input_Meci'!A73)</x:f>
      </x:c>
      <x:c r="B73" s="2" t="str">
        <x:f>IF(A73="","",'Input_Meci'!B73)</x:f>
      </x:c>
      <x:c r="C73" s="2" t="str">
        <x:f>IF(A73="","",'Input_Meci'!C73)</x:f>
      </x:c>
      <x:c r="D73" s="2" t="str">
        <x:f>IF(A73="","",'Input_Meci'!D73&amp;" – "&amp;'Input_Meci'!E73)</x:f>
      </x:c>
      <x:c r="E73" s="2" t="str">
        <x:f>IF(A73="","",'Input_Meci'!H73)</x:f>
      </x:c>
      <x:c r="F73" s="9" t="str">
        <x:f>IF(A73="","",'Input_Meci'!F73)</x:f>
      </x:c>
      <x:c r="G73" s="9" t="str">
        <x:f>IF(A73="","",'Input_Meci'!G73)</x:f>
      </x:c>
      <x:c r="H73" s="2" t="str">
        <x:f>IF(A73="","",IF(BQ73&lt;&gt;"VALID","NOT RELEASED",IF(AND(OR('Input_Meci'!I73="NOT AVAILABLE",'Input_Meci'!I73="SOURCE CONFLICT"),'Input_Meci'!J73&lt;&gt;""),"READY",IF(OR(NOT(OR('Input_Meci'!I73="AUTO",'Input_Meci'!I73="")),COUNTIF('Core_Nativ'!R810:R815,"CLOSED")&lt;&gt;6,BJ73&gt;0),"NOT RELEASED","READY"))))</x:f>
      </x:c>
      <x:c r="I73" s="2" t="str">
        <x:f>IF(A73="","",IF(H73&lt;&gt;"READY","NOT RELEASED",IF(AND(NOT(OR('Input_Meci'!I73="NOT AVAILABLE",'Input_Meci'!I73="SOURCE CONFLICT")),L73=12,AR73&gt;=2,AS73&gt;0,ISNUMBER(AT73),BI73="VALID",BK73="VALID"),"PASS","FAIL")))</x:f>
      </x:c>
      <x:c r="J73" s="2" t="str">
        <x:f>IF(A73="","",IF(BQ73&lt;&gt;"VALID","Verifica ID, echipe, mod si cutoff &lt; kickoff",IF(H73&lt;&gt;"READY",IF('Input_Meci'!I73="ACCESS BLOCKED","Acces blocat: reia sursele",IF(BJ73&gt;0,"Istoric invalid sau conflict: verifica randurile native","Surse neinchise / post-cutoff / dovezi incomplete")),IF(OR('Input_Meci'!I73="NOT AVAILABLE",'Input_Meci'!I73="SOURCE CONFLICT"),'Input_Meci'!I73,IF(BK73&lt;&gt;"VALID","Parametri invalizi",IF(L73&lt;&gt;12,"Core / sample / prior insuficient",IF(AR73&lt;2,"N insuficient pentru dispersie",IF(AS73&lt;=0,"Media istorica trebuie sa fie pozitiva",IF(BI73&lt;&gt;"VALID","Context invalid","READY")))))))))</x:f>
      </x:c>
      <x:c r="K73" s="2" t="str">
        <x:f>IF(A73="","",COUNT(T73:AE73))</x:f>
      </x:c>
      <x:c r="L73" s="2" t="str">
        <x:f>IF(A73="","",COUNT(AF73:AQ73))</x:f>
      </x:c>
      <x:c r="M73" s="2" t="str">
        <x:f>IF(A73="","",IF(OR('Core_Nativ'!M810&lt;'Core_Nativ'!P810,'Core_Nativ'!M811&lt;'Core_Nativ'!P811,'Core_Nativ'!M812&lt;'Core_Nativ'!P812,'Core_Nativ'!M813&lt;'Core_Nativ'!P813,'Core_Nativ'!M814&lt;'Core_Nativ'!P814,'Core_Nativ'!M815&lt;'Core_Nativ'!P815),"YES","NO"))</x:f>
      </x:c>
      <x:c r="N73" s="2" t="str">
        <x:f>IF(A73="","",'Core_Nativ'!M810)</x:f>
      </x:c>
      <x:c r="O73" s="2" t="str">
        <x:f>IF(A73="","",'Core_Nativ'!M811)</x:f>
      </x:c>
      <x:c r="P73" s="2" t="str">
        <x:f>IF(A73="","",'Core_Nativ'!M812)</x:f>
      </x:c>
      <x:c r="Q73" s="2" t="str">
        <x:f>IF(A73="","",'Core_Nativ'!M813)</x:f>
      </x:c>
      <x:c r="R73" s="2" t="str">
        <x:f>IF(A73="","",'Core_Nativ'!M814)</x:f>
      </x:c>
      <x:c r="S73" s="2" t="str">
        <x:f>IF(A73="","",'Core_Nativ'!M815)</x:f>
      </x:c>
      <x:c r="T73" s="11" t="str">
        <x:f>IF(OR(A73="",'Core_Nativ'!M810=0),"",'Core_Nativ'!N810)</x:f>
      </x:c>
      <x:c r="U73" s="11" t="str">
        <x:f>IF(OR(A73="",'Core_Nativ'!M810=0),"",'Core_Nativ'!O810)</x:f>
      </x:c>
      <x:c r="V73" s="11" t="str">
        <x:f>IF(OR(A73="",'Core_Nativ'!M811=0),"",'Core_Nativ'!N811)</x:f>
      </x:c>
      <x:c r="W73" s="11" t="str">
        <x:f>IF(OR(A73="",'Core_Nativ'!M811=0),"",'Core_Nativ'!O811)</x:f>
      </x:c>
      <x:c r="X73" s="11" t="str">
        <x:f>IF(OR(A73="",'Core_Nativ'!M812=0),"",'Core_Nativ'!N812)</x:f>
      </x:c>
      <x:c r="Y73" s="11" t="str">
        <x:f>IF(OR(A73="",'Core_Nativ'!M812=0),"",'Core_Nativ'!O812)</x:f>
      </x:c>
      <x:c r="Z73" s="11" t="str">
        <x:f>IF(OR(A73="",'Core_Nativ'!M813=0),"",'Core_Nativ'!N813)</x:f>
      </x:c>
      <x:c r="AA73" s="11" t="str">
        <x:f>IF(OR(A73="",'Core_Nativ'!M813=0),"",'Core_Nativ'!O813)</x:f>
      </x:c>
      <x:c r="AB73" s="11" t="str">
        <x:f>IF(OR(A73="",'Core_Nativ'!M814=0),"",'Core_Nativ'!N814)</x:f>
      </x:c>
      <x:c r="AC73" s="11" t="str">
        <x:f>IF(OR(A73="",'Core_Nativ'!M814=0),"",'Core_Nativ'!O814)</x:f>
      </x:c>
      <x:c r="AD73" s="11" t="str">
        <x:f>IF(OR(A73="",'Core_Nativ'!M815=0),"",'Core_Nativ'!N815)</x:f>
      </x:c>
      <x:c r="AE73" s="11" t="str">
        <x:f>IF(OR(A73="",'Core_Nativ'!M815=0),"",'Core_Nativ'!O815)</x:f>
      </x:c>
      <x:c r="AF73" s="11" t="str">
        <x:f>IF(A73="","",IF(AND('Core_Nativ'!R810="CLOSED",'Core_Nativ'!S810=0),IF('Core_Nativ'!M810&gt;='Core_Nativ'!P810,'Core_Nativ'!N810,IF(AND('Input_Meci'!L73="YES",'Input_Meci'!K73&lt;&gt;"",'Input_Meci'!K73&lt;C73,'Core_Nativ'!T816="DERIVED",'Core_Nativ'!M816&gt;='Core_Nativ'!P810),MIN(1,'Core_Nativ'!M810/'Core_Nativ'!P810)*IF('Core_Nativ'!M810=0,0,'Core_Nativ'!N810)+(1-MIN(1,'Core_Nativ'!M810/'Core_Nativ'!P810))*'Core_Nativ'!N816,"")),""))</x:f>
      </x:c>
      <x:c r="AG73" s="11" t="str">
        <x:f>IF(A73="","",IF(AND('Core_Nativ'!R810="CLOSED",'Core_Nativ'!S810=0),IF('Core_Nativ'!M810&gt;='Core_Nativ'!P810,'Core_Nativ'!O810,IF(AND('Input_Meci'!L73="YES",'Input_Meci'!K73&lt;&gt;"",'Input_Meci'!K73&lt;C73,'Core_Nativ'!T816="DERIVED",'Core_Nativ'!M816&gt;='Core_Nativ'!P810),MIN(1,'Core_Nativ'!M810/'Core_Nativ'!P810)*IF('Core_Nativ'!M810=0,0,'Core_Nativ'!O810)+(1-MIN(1,'Core_Nativ'!M810/'Core_Nativ'!P810))*'Core_Nativ'!O816,"")),""))</x:f>
      </x:c>
      <x:c r="AH73" s="11" t="str">
        <x:f>IF(A73="","",IF(AND('Core_Nativ'!R811="CLOSED",'Core_Nativ'!S811=0),IF('Core_Nativ'!M811&gt;='Core_Nativ'!P811,'Core_Nativ'!N811,IF(AND('Input_Meci'!L73="YES",'Input_Meci'!K73&lt;&gt;"",'Input_Meci'!K73&lt;C73,'Core_Nativ'!T817="DERIVED",'Core_Nativ'!M817&gt;='Core_Nativ'!P811),MIN(1,'Core_Nativ'!M811/'Core_Nativ'!P811)*IF('Core_Nativ'!M811=0,0,'Core_Nativ'!N811)+(1-MIN(1,'Core_Nativ'!M811/'Core_Nativ'!P811))*'Core_Nativ'!N817,"")),""))</x:f>
      </x:c>
      <x:c r="AI73" s="11" t="str">
        <x:f>IF(A73="","",IF(AND('Core_Nativ'!R811="CLOSED",'Core_Nativ'!S811=0),IF('Core_Nativ'!M811&gt;='Core_Nativ'!P811,'Core_Nativ'!O811,IF(AND('Input_Meci'!L73="YES",'Input_Meci'!K73&lt;&gt;"",'Input_Meci'!K73&lt;C73,'Core_Nativ'!T817="DERIVED",'Core_Nativ'!M817&gt;='Core_Nativ'!P811),MIN(1,'Core_Nativ'!M811/'Core_Nativ'!P811)*IF('Core_Nativ'!M811=0,0,'Core_Nativ'!O811)+(1-MIN(1,'Core_Nativ'!M811/'Core_Nativ'!P811))*'Core_Nativ'!O817,"")),""))</x:f>
      </x:c>
      <x:c r="AJ73" s="11" t="str">
        <x:f>IF(A73="","",IF(AND('Core_Nativ'!R812="CLOSED",'Core_Nativ'!S812=0),IF('Core_Nativ'!M812&gt;='Core_Nativ'!P812,'Core_Nativ'!N812,IF(AND('Input_Meci'!L73="YES",'Input_Meci'!K73&lt;&gt;"",'Input_Meci'!K73&lt;C73,'Core_Nativ'!T818="DERIVED",'Core_Nativ'!M818&gt;='Core_Nativ'!P812),MIN(1,'Core_Nativ'!M812/'Core_Nativ'!P812)*IF('Core_Nativ'!M812=0,0,'Core_Nativ'!N812)+(1-MIN(1,'Core_Nativ'!M812/'Core_Nativ'!P812))*'Core_Nativ'!N818,"")),""))</x:f>
      </x:c>
      <x:c r="AK73" s="11" t="str">
        <x:f>IF(A73="","",IF(AND('Core_Nativ'!R812="CLOSED",'Core_Nativ'!S812=0),IF('Core_Nativ'!M812&gt;='Core_Nativ'!P812,'Core_Nativ'!O812,IF(AND('Input_Meci'!L73="YES",'Input_Meci'!K73&lt;&gt;"",'Input_Meci'!K73&lt;C73,'Core_Nativ'!T818="DERIVED",'Core_Nativ'!M818&gt;='Core_Nativ'!P812),MIN(1,'Core_Nativ'!M812/'Core_Nativ'!P812)*IF('Core_Nativ'!M812=0,0,'Core_Nativ'!O812)+(1-MIN(1,'Core_Nativ'!M812/'Core_Nativ'!P812))*'Core_Nativ'!O818,"")),""))</x:f>
      </x:c>
      <x:c r="AL73" s="11" t="str">
        <x:f>IF(A73="","",IF(AND('Core_Nativ'!R813="CLOSED",'Core_Nativ'!S813=0),IF('Core_Nativ'!M813&gt;='Core_Nativ'!P813,'Core_Nativ'!N813,IF(AND('Input_Meci'!L73="YES",'Input_Meci'!K73&lt;&gt;"",'Input_Meci'!K73&lt;C73,'Core_Nativ'!T819="DERIVED",'Core_Nativ'!M819&gt;='Core_Nativ'!P813),MIN(1,'Core_Nativ'!M813/'Core_Nativ'!P813)*IF('Core_Nativ'!M813=0,0,'Core_Nativ'!N813)+(1-MIN(1,'Core_Nativ'!M813/'Core_Nativ'!P813))*'Core_Nativ'!N819,"")),""))</x:f>
      </x:c>
      <x:c r="AM73" s="11" t="str">
        <x:f>IF(A73="","",IF(AND('Core_Nativ'!R813="CLOSED",'Core_Nativ'!S813=0),IF('Core_Nativ'!M813&gt;='Core_Nativ'!P813,'Core_Nativ'!O813,IF(AND('Input_Meci'!L73="YES",'Input_Meci'!K73&lt;&gt;"",'Input_Meci'!K73&lt;C73,'Core_Nativ'!T819="DERIVED",'Core_Nativ'!M819&gt;='Core_Nativ'!P813),MIN(1,'Core_Nativ'!M813/'Core_Nativ'!P813)*IF('Core_Nativ'!M813=0,0,'Core_Nativ'!O813)+(1-MIN(1,'Core_Nativ'!M813/'Core_Nativ'!P813))*'Core_Nativ'!O819,"")),""))</x:f>
      </x:c>
      <x:c r="AN73" s="11" t="str">
        <x:f>IF(A73="","",IF(AND('Core_Nativ'!R814="CLOSED",'Core_Nativ'!S814=0),IF('Core_Nativ'!M814&gt;='Core_Nativ'!P814,'Core_Nativ'!N814,IF(AND('Input_Meci'!L73="YES",'Input_Meci'!K73&lt;&gt;"",'Input_Meci'!K73&lt;C73,'Core_Nativ'!T820="DERIVED",'Core_Nativ'!M820&gt;='Core_Nativ'!P814),MIN(1,'Core_Nativ'!M814/'Core_Nativ'!P814)*IF('Core_Nativ'!M814=0,0,'Core_Nativ'!N814)+(1-MIN(1,'Core_Nativ'!M814/'Core_Nativ'!P814))*'Core_Nativ'!N820,"")),""))</x:f>
      </x:c>
      <x:c r="AO73" s="11" t="str">
        <x:f>IF(A73="","",IF(AND('Core_Nativ'!R814="CLOSED",'Core_Nativ'!S814=0),IF('Core_Nativ'!M814&gt;='Core_Nativ'!P814,'Core_Nativ'!O814,IF(AND('Input_Meci'!L73="YES",'Input_Meci'!K73&lt;&gt;"",'Input_Meci'!K73&lt;C73,'Core_Nativ'!T820="DERIVED",'Core_Nativ'!M820&gt;='Core_Nativ'!P814),MIN(1,'Core_Nativ'!M814/'Core_Nativ'!P814)*IF('Core_Nativ'!M814=0,0,'Core_Nativ'!O814)+(1-MIN(1,'Core_Nativ'!M814/'Core_Nativ'!P814))*'Core_Nativ'!O820,"")),""))</x:f>
      </x:c>
      <x:c r="AP73" s="11" t="str">
        <x:f>IF(A73="","",IF(AND('Core_Nativ'!R815="CLOSED",'Core_Nativ'!S815=0),IF('Core_Nativ'!M815&gt;='Core_Nativ'!P815,'Core_Nativ'!N815,IF(AND('Input_Meci'!L73="YES",'Input_Meci'!K73&lt;&gt;"",'Input_Meci'!K73&lt;C73,'Core_Nativ'!T821="DERIVED",'Core_Nativ'!M821&gt;='Core_Nativ'!P815),MIN(1,'Core_Nativ'!M815/'Core_Nativ'!P815)*IF('Core_Nativ'!M815=0,0,'Core_Nativ'!N815)+(1-MIN(1,'Core_Nativ'!M815/'Core_Nativ'!P815))*'Core_Nativ'!N821,"")),""))</x:f>
      </x:c>
      <x:c r="AQ73" s="11" t="str">
        <x:f>IF(A73="","",IF(AND('Core_Nativ'!R815="CLOSED",'Core_Nativ'!S815=0),IF('Core_Nativ'!M815&gt;='Core_Nativ'!P815,'Core_Nativ'!O815,IF(AND('Input_Meci'!L73="YES",'Input_Meci'!K73&lt;&gt;"",'Input_Meci'!K73&lt;C73,'Core_Nativ'!T821="DERIVED",'Core_Nativ'!M821&gt;='Core_Nativ'!P815),MIN(1,'Core_Nativ'!M815/'Core_Nativ'!P815)*IF('Core_Nativ'!M815=0,0,'Core_Nativ'!O815)+(1-MIN(1,'Core_Nativ'!M815/'Core_Nativ'!P815))*'Core_Nativ'!O821,"")),""))</x:f>
      </x:c>
      <x:c r="AR73" s="11" t="str">
        <x:f>IF(A73="","",SUMPRODUCT(('Istoric_Nativ'!$B$6:$B$405=B73)*('Istoric_Nativ'!$C$6:$C$405=BL73)*('Istoric_Nativ'!$P$6:$P$405=1)*('Istoric_Nativ'!$D$6:$D$405&lt;INT(G73))*((('Istoric_Nativ'!$E$6:$E$405='Input_Meci'!D73)+('Istoric_Nativ'!$F$6:$F$405='Input_Meci'!D73)+('Istoric_Nativ'!$E$6:$E$405='Input_Meci'!E73)+('Istoric_Nativ'!$F$6:$F$405='Input_Meci'!E73))&gt;0)))</x:f>
      </x:c>
      <x:c r="AS73" s="11" t="str">
        <x:f>IF(AR73=0,"",SUMPRODUCT(('Istoric_Nativ'!$B$6:$B$405=B73)*('Istoric_Nativ'!$C$6:$C$405=BL73)*('Istoric_Nativ'!$P$6:$P$405=1)*('Istoric_Nativ'!$D$6:$D$405&lt;INT(G73))*((('Istoric_Nativ'!$E$6:$E$405='Input_Meci'!D73)+('Istoric_Nativ'!$F$6:$F$405='Input_Meci'!D73)+('Istoric_Nativ'!$E$6:$E$405='Input_Meci'!E73)+('Istoric_Nativ'!$F$6:$F$405='Input_Meci'!E73))&gt;0)*'Istoric_Nativ'!$Q$6:$Q$405)/AR73)</x:f>
      </x:c>
      <x:c r="AT73" s="11" t="str">
        <x:f>IF(AR73&lt;2,"",MAX(0,(SUMPRODUCT(('Istoric_Nativ'!$B$6:$B$405=B73)*('Istoric_Nativ'!$C$6:$C$405=BL73)*('Istoric_Nativ'!$P$6:$P$405=1)*('Istoric_Nativ'!$D$6:$D$405&lt;INT(G73))*((('Istoric_Nativ'!$E$6:$E$405='Input_Meci'!D73)+('Istoric_Nativ'!$F$6:$F$405='Input_Meci'!D73)+('Istoric_Nativ'!$E$6:$E$405='Input_Meci'!E73)+('Istoric_Nativ'!$F$6:$F$405='Input_Meci'!E73))&gt;0)*'Istoric_Nativ'!$R$6:$R$405)-AR73*AS73^2)/(AR73-1)))</x:f>
      </x:c>
      <x:c r="AU73" s="11" t="str">
        <x:f>IF(I73&lt;&gt;"PASS","",AT73/AS73)</x:f>
      </x:c>
      <x:c r="AV73" s="11" t="str">
        <x:f>IF(I73&lt;&gt;"PASS","",IF(AU73&lt;='Config_v6'!$B$10,"POISSON","NEGATIVE BINOMIAL"))</x:f>
      </x:c>
      <x:c r="AW73" s="11" t="str">
        <x:f>IF(I73&lt;&gt;"PASS","",IF(AV73="POISSON",9999,AS73/(AU73-1)))</x:f>
      </x:c>
      <x:c r="AX73" s="11" t="str">
        <x:f>IF(A73="","",MAX(1-'Config_v6'!$B$20,MIN(1+'Config_v6'!$B$20,1+0.02*(IF(AND(ISNUMBER('Input_Meci'!N73),'Input_Meci'!N73&gt;=0,'Input_Meci'!N73&lt;=200),'Input_Meci'!N73,12)/12-1)+0.02*(IF(AND(ISNUMBER('Input_Meci'!P73),'Input_Meci'!P73&gt;=0,'Input_Meci'!P73&lt;=200),'Input_Meci'!P73,3.5)/3.5-1)+0.02*(IF(AND(ISNUMBER('Input_Meci'!R73),'Input_Meci'!R73&gt;=0,'Input_Meci'!R73&lt;=200),'Input_Meci'!R73,18)/18-1)+0.02*((IF(AND(ISNUMBER('Input_Meci'!V73),'Input_Meci'!V73&gt;=0,'Input_Meci'!V73&lt;=10),'Input_Meci'!V73,5)-5)/5))))</x:f>
      </x:c>
      <x:c r="AY73" s="11" t="str">
        <x:f>IF(A73="","",MAX(1-'Config_v6'!$B$20,MIN(1+'Config_v6'!$B$20,1+0.02*(IF(AND(ISNUMBER('Input_Meci'!O73),'Input_Meci'!O73&gt;=0,'Input_Meci'!O73&lt;=200),'Input_Meci'!O73,12)/12-1)+0.02*(IF(AND(ISNUMBER('Input_Meci'!Q73),'Input_Meci'!Q73&gt;=0,'Input_Meci'!Q73&lt;=200),'Input_Meci'!Q73,3.5)/3.5-1)+0.02*(IF(AND(ISNUMBER('Input_Meci'!S73),'Input_Meci'!S73&gt;=0,'Input_Meci'!S73&lt;=200),'Input_Meci'!S73,18)/18-1)+0.02*((IF(AND(ISNUMBER('Input_Meci'!W73),'Input_Meci'!W73&gt;=0,'Input_Meci'!W73&lt;=10),'Input_Meci'!W73,5)-5)/5))))</x:f>
      </x:c>
      <x:c r="AZ73" s="11" t="str">
        <x:f>IF(A73="","",MAX(1-'Config_v6'!$B$21,MIN(1+'Config_v6'!$B$21,1+0.012*(IF('Input_Meci'!X73="",5,IF(ISNUMBER('Input_Meci'!X73),'Input_Meci'!X73,5))-5)+0.018*(IF('Input_Meci'!Z73="",5,IF(ISNUMBER('Input_Meci'!Z73),'Input_Meci'!Z73,5))-5)+0.012*(IF('Input_Meci'!AB73="",5,IF(ISNUMBER('Input_Meci'!AB73),'Input_Meci'!AB73,5))-5)+0.015*IF('Input_Meci'!AD73="",0,IF(ISNUMBER('Input_Meci'!AD73),'Input_Meci'!AD73,0))+0.02*IF('Input_Meci'!AF73="",0,IF(ISNUMBER('Input_Meci'!AF73),'Input_Meci'!AF73,0)))))</x:f>
      </x:c>
      <x:c r="BA73" s="11" t="str">
        <x:f>IF(A73="","",MAX(1-'Config_v6'!$B$21,MIN(1+'Config_v6'!$B$21,1+0.012*(IF('Input_Meci'!Y73="",5,IF(ISNUMBER('Input_Meci'!Y73),'Input_Meci'!Y73,5))-5)+0.018*(IF('Input_Meci'!AA73="",5,IF(ISNUMBER('Input_Meci'!AA73),'Input_Meci'!AA73,5))-5)+0.012*(IF('Input_Meci'!AC73="",5,IF(ISNUMBER('Input_Meci'!AC73),'Input_Meci'!AC73,5))-5)+0.015*IF('Input_Meci'!AE73="",0,IF(ISNUMBER('Input_Meci'!AE73),'Input_Meci'!AE73,0))+0.02*IF('Input_Meci'!AG73="",0,IF(ISNUMBER('Input_Meci'!AG73),'Input_Meci'!AG73,0)))))</x:f>
      </x:c>
      <x:c r="BB73" s="11" t="str">
        <x:f>IF(I73&lt;&gt;"PASS","",(AVERAGE(AF73,AM73)*'Config_v6'!$B$4+AVERAGE(AH73,AO73)*'Config_v6'!$B$5+AVERAGE(AJ73,AQ73)*'Config_v6'!$B$6)*AX73*AZ73)</x:f>
      </x:c>
      <x:c r="BC73" s="11" t="str">
        <x:f>IF(I73&lt;&gt;"PASS","",(AVERAGE(AL73,AG73)*'Config_v6'!$B$4+AVERAGE(AN73,AI73)*'Config_v6'!$B$5+AVERAGE(AP73,AK73)*'Config_v6'!$B$6)*AY73*BA73)</x:f>
      </x:c>
      <x:c r="BD73" s="11" t="str">
        <x:f>IF(I73&lt;&gt;"PASS","",BB73+BC73)</x:f>
      </x:c>
      <x:c r="BE73" s="11" t="str">
        <x:f>IF(A73="","",10-SUM(IF(AND(ISNUMBER('Input_Meci'!N73),'Input_Meci'!N73&gt;=0,'Input_Meci'!N73&lt;=200),1,0),IF(AND(ISNUMBER('Input_Meci'!O73),'Input_Meci'!O73&gt;=0,'Input_Meci'!O73&lt;=200),1,0),IF(AND(ISNUMBER('Input_Meci'!P73),'Input_Meci'!P73&gt;=0,'Input_Meci'!P73&lt;=200),1,0),IF(AND(ISNUMBER('Input_Meci'!Q73),'Input_Meci'!Q73&gt;=0,'Input_Meci'!Q73&lt;=200),1,0),IF(AND(ISNUMBER('Input_Meci'!R73),'Input_Meci'!R73&gt;=0,'Input_Meci'!R73&lt;=200),1,0),IF(AND(ISNUMBER('Input_Meci'!S73),'Input_Meci'!S73&gt;=0,'Input_Meci'!S73&lt;=200),1,0),IF(AND(ISNUMBER('Input_Meci'!T73),'Input_Meci'!T73&gt;=0,'Input_Meci'!T73&lt;=100),1,0),IF(AND(ISNUMBER('Input_Meci'!U73),'Input_Meci'!U73&gt;=0,'Input_Meci'!U73&lt;=100),1,0),IF(AND(ISNUMBER('Input_Meci'!V73),'Input_Meci'!V73&gt;=0,'Input_Meci'!V73&lt;=10),1,0),IF(AND(ISNUMBER('Input_Meci'!W73),'Input_Meci'!W73&gt;=0,'Input_Meci'!W73&lt;=10),1,0)))</x:f>
      </x:c>
      <x:c r="BF73" s="11" t="str">
        <x:f>IF(I73&lt;&gt;"PASS","",MAX(0,MIN(IF(OR(M73="YES",BL73&lt;&gt;C73),'Config_v6'!$B$34,100),ROUND(40+25*MIN(1,MIN(N73,Q73)/'Config_v6'!$B$7)*MIN(1,MIN(O73,R73)/'Config_v6'!$B$8)*MIN(1,MIN(P73,S73)/'Config_v6'!$B$9)+MAX(0,15-2*ABS(AF73-AJ73)-2*ABS(AL73-AP73))+IF(AU73&lt;='Config_v6'!$B$10,15,IF(AU73&lt;='Config_v6'!$B$11,13,IF(AU73&lt;='Config_v6'!$B$12,10,IF(AU73&lt;='Config_v6'!$B$13,6,0))))+5-BE73/10*'Config_v6'!$B$38,0))))</x:f>
      </x:c>
      <x:c r="BG73" s="11" t="str">
        <x:f>IF(I73&lt;&gt;"PASS","",MIN(1,'Config_v6'!$B$14*(0.7+0.3*MIN(1,AR73/'Config_v6'!$B$15))*IF(AU73&lt;='Config_v6'!$B$10,1,IF(AU73&lt;='Config_v6'!$B$11,0.95,IF(AU73&lt;='Config_v6'!$B$12,0.88,0.78)))*(0.75+0.25*BF73/100)))</x:f>
      </x:c>
      <x:c r="BH73" s="11" t="str">
        <x:f>IF(I73&lt;&gt;"PASS","",MIN(1,(ABS(AZ73-1)+ABS(BA73-1))*3))</x:f>
      </x:c>
      <x:c r="BI73" s="2" t="str">
        <x:f>IF(A73="","",IF(AND(OR('Input_Meci'!X73="",AND(ISNUMBER('Input_Meci'!X73),'Input_Meci'!X73&gt;=0,'Input_Meci'!X73&lt;=10)),OR('Input_Meci'!Y73="",AND(ISNUMBER('Input_Meci'!Y73),'Input_Meci'!Y73&gt;=0,'Input_Meci'!Y73&lt;=10)),OR('Input_Meci'!Z73="",AND(ISNUMBER('Input_Meci'!Z73),'Input_Meci'!Z73&gt;=0,'Input_Meci'!Z73&lt;=10)),OR('Input_Meci'!AA73="",AND(ISNUMBER('Input_Meci'!AA73),'Input_Meci'!AA73&gt;=0,'Input_Meci'!AA73&lt;=10)),OR('Input_Meci'!AB73="",AND(ISNUMBER('Input_Meci'!AB73),'Input_Meci'!AB73&gt;=0,'Input_Meci'!AB73&lt;=10)),OR('Input_Meci'!AC73="",AND(ISNUMBER('Input_Meci'!AC73),'Input_Meci'!AC73&gt;=0,'Input_Meci'!AC73&lt;=10)),OR('Input_Meci'!AD73="",AND(ISNUMBER('Input_Meci'!AD73),'Input_Meci'!AD73&gt;=-2,'Input_Meci'!AD73&lt;=2)),OR('Input_Meci'!AE73="",AND(ISNUMBER('Input_Meci'!AE73),'Input_Meci'!AE73&gt;=-2,'Input_Meci'!AE73&lt;=2)),OR('Input_Meci'!AF73="",AND(ISNUMBER('Input_Meci'!AF73),'Input_Meci'!AF73&gt;=-2,'Input_Meci'!AF73&lt;=2)),OR('Input_Meci'!AG73="",AND(ISNUMBER('Input_Meci'!AG73),'Input_Meci'!AG73&gt;=-2,'Input_Meci'!AG73&lt;=2))),"VALID","INVALID"))</x:f>
      </x:c>
      <x:c r="BJ73" s="2" t="n">
        <x:f>IF(A73="",0,SUM('Core_Nativ'!S810:S815))</x:f>
        <x:v>0</x:v>
      </x:c>
      <x:c r="BK73" s="2" t="str">
        <x:f>'Config_v6'!$B$40</x:f>
        <x:v>VALID</x:v>
      </x:c>
      <x:c r="BL73" s="2" t="str">
        <x:f>IF(A73="","",IF(SUMPRODUCT(('Istoric_Nativ'!$B$6:$B$405=B73)*('Istoric_Nativ'!$C$6:$C$405=C73)*('Istoric_Nativ'!$P$6:$P$405=1)*('Istoric_Nativ'!$D$6:$D$405&lt;INT(G73))*((('Istoric_Nativ'!$E$6:$E$405='Input_Meci'!D73)+('Istoric_Nativ'!$F$6:$F$405='Input_Meci'!D73)+('Istoric_Nativ'!$E$6:$E$405='Input_Meci'!E73)+('Istoric_Nativ'!$F$6:$F$405='Input_Meci'!E73))&gt;0))&gt;='Config_v6'!$B$41,C73,IF(AND('Input_Meci'!L73="YES",'Input_Meci'!K73&lt;&gt;"",'Input_Meci'!K73&lt;C73,COUNTIF('Core_Nativ'!R816:R821,"CLOSED")=6,SUM('Core_Nativ'!S816:S821)=0),'Input_Meci'!K73,C73)))</x:f>
      </x:c>
      <x:c r="BM73" s="9" t="n">
        <x:f>IF(OR(A73="",N73=0),0,LARGE(_xlfn._xlws.FILTER('Istoric_Nativ'!$D$6:$D$405,('Istoric_Nativ'!$B$6:$B$405=B73)*('Istoric_Nativ'!$C$6:$C$405=C73)*('Istoric_Nativ'!$P$6:$P$405=1)*('Istoric_Nativ'!$D$6:$D$405&lt;INT(G73))*((('Istoric_Nativ'!$E$6:$E$405='Input_Meci'!D73)+('Istoric_Nativ'!$F$6:$F$405='Input_Meci'!D73))&gt;0)),MIN(10,N73)))</x:f>
        <x:v>0</x:v>
      </x:c>
      <x:c r="BN73" s="9" t="n">
        <x:f>IF(OR(A73="",Q73=0),0,LARGE(_xlfn._xlws.FILTER('Istoric_Nativ'!$D$6:$D$405,('Istoric_Nativ'!$B$6:$B$405=B73)*('Istoric_Nativ'!$C$6:$C$405=C73)*('Istoric_Nativ'!$P$6:$P$405=1)*('Istoric_Nativ'!$D$6:$D$405&lt;INT(G73))*((('Istoric_Nativ'!$E$6:$E$405='Input_Meci'!E73)+('Istoric_Nativ'!$F$6:$F$405='Input_Meci'!E73))&gt;0)),MIN(10,Q73)))</x:f>
        <x:v>0</x:v>
      </x:c>
      <x:c r="BO73" s="9" t="n">
        <x:f>IF(OR(A73="",N73=0),0,LARGE(_xlfn._xlws.FILTER('Istoric_Nativ'!$D$6:$D$405,('Istoric_Nativ'!$B$6:$B$405=B73)*('Istoric_Nativ'!$C$6:$C$405=C73)*('Istoric_Nativ'!$P$6:$P$405=1)*('Istoric_Nativ'!$D$6:$D$405&lt;INT(G73))*((('Istoric_Nativ'!$E$6:$E$405='Input_Meci'!D73)+('Istoric_Nativ'!$F$6:$F$405='Input_Meci'!D73))&gt;0)),MIN(20,N73)))</x:f>
        <x:v>0</x:v>
      </x:c>
      <x:c r="BP73" s="9" t="n">
        <x:f>IF(OR(A73="",Q73=0),0,LARGE(_xlfn._xlws.FILTER('Istoric_Nativ'!$D$6:$D$405,('Istoric_Nativ'!$B$6:$B$405=B73)*('Istoric_Nativ'!$C$6:$C$405=C73)*('Istoric_Nativ'!$P$6:$P$405=1)*('Istoric_Nativ'!$D$6:$D$405&lt;INT(G73))*((('Istoric_Nativ'!$E$6:$E$405='Input_Meci'!E73)+('Istoric_Nativ'!$F$6:$F$405='Input_Meci'!E73))&gt;0)),MIN(20,Q73)))</x:f>
        <x:v>0</x:v>
      </x:c>
      <x:c r="BQ73" s="2" t="str">
        <x:f>IF(A73="","",IF(AND(COUNTIF(MatchesTable[Match_ID],A73)=1,COUNTIFS(MatchesTable[League],B73,MatchesTable[Season],C73,MatchesTable[Home],'Input_Meci'!D73,MatchesTable[Away],'Input_Meci'!E73,MatchesTable[Kickoff_UTC],F73)=1,B73&lt;&gt;"",C73&lt;&gt;"",'Input_Meci'!D73&lt;&gt;"",'Input_Meci'!E73&lt;&gt;"",'Input_Meci'!D73&lt;&gt;'Input_Meci'!E73,ISNUMBER(F73),ISNUMBER(G73),G73&lt;F73,OR(E73="LIVE",E73="REPLAY"),OR('Input_Meci'!L73="YES",'Input_Meci'!L73="NO",'Input_Meci'!L73="")),"VALID","INVALID"))</x:f>
      </x:c>
      <x:c r="BR73" s="2" t="n">
        <x:f>IF(I73&lt;&gt;"PASS",0,SUMPRODUCT(('Istoric_Nativ'!$B$6:$B$405='Input_Meci'!B73)*('Istoric_Nativ'!$C$6:$C$405='Input_Meci'!C73)*('Istoric_Nativ'!$P$6:$P$405=1)*('Istoric_Nativ'!$D$6:$D$405&lt;INT('Input_Meci'!G73))*((('Istoric_Nativ'!$E$6:$E$405='Input_Meci'!D73)+('Istoric_Nativ'!$F$6:$F$405='Input_Meci'!E73))&gt;0)))</x:f>
        <x:v>0</x:v>
      </x:c>
      <x:c r="BS73" s="2" t="n">
        <x:f>IF(I73&lt;&gt;"PASS",0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BM73)+((('Istoric_Nativ'!$E$6:$E$405='Input_Meci'!E73)+('Istoric_Nativ'!$F$6:$F$405='Input_Meci'!E73))&gt;0)*('Istoric_Nativ'!$D$6:$D$405&gt;=BN73))&gt;0)))</x:f>
        <x:v>0</x:v>
      </x:c>
      <x:c r="BT73" s="2" t="n">
        <x:f>IF(I73&lt;&gt;"PASS",0,SUMPRODUCT(('Istoric_Nativ'!$B$6:$B$405='Input_Meci'!B73)*('Istoric_Nativ'!$C$6:$C$405='Input_Meci'!C73)*('Istoric_Nativ'!$P$6:$P$405=1)*('Istoric_Nativ'!$D$6:$D$405&lt;INT('Input_Meci'!G73))*((((('Istoric_Nativ'!$E$6:$E$405='Input_Meci'!D73)+('Istoric_Nativ'!$F$6:$F$405='Input_Meci'!D73))&gt;0)*('Istoric_Nativ'!$D$6:$D$405&gt;=BO73)+((('Istoric_Nativ'!$E$6:$E$405='Input_Meci'!E73)+('Istoric_Nativ'!$F$6:$F$405='Input_Meci'!E73))&gt;0)*('Istoric_Nativ'!$D$6:$D$405&gt;=BP73))&gt;0)))</x:f>
        <x:v>0</x:v>
      </x:c>
    </x:row>
    <x:row r="74" ht="21" customHeight="1">
      <x:c r="A74" s="2" t="str">
        <x:f>IF('Input_Meci'!A74="","",'Input_Meci'!A74)</x:f>
      </x:c>
      <x:c r="B74" s="2" t="str">
        <x:f>IF(A74="","",'Input_Meci'!B74)</x:f>
      </x:c>
      <x:c r="C74" s="2" t="str">
        <x:f>IF(A74="","",'Input_Meci'!C74)</x:f>
      </x:c>
      <x:c r="D74" s="2" t="str">
        <x:f>IF(A74="","",'Input_Meci'!D74&amp;" – "&amp;'Input_Meci'!E74)</x:f>
      </x:c>
      <x:c r="E74" s="2" t="str">
        <x:f>IF(A74="","",'Input_Meci'!H74)</x:f>
      </x:c>
      <x:c r="F74" s="9" t="str">
        <x:f>IF(A74="","",'Input_Meci'!F74)</x:f>
      </x:c>
      <x:c r="G74" s="9" t="str">
        <x:f>IF(A74="","",'Input_Meci'!G74)</x:f>
      </x:c>
      <x:c r="H74" s="2" t="str">
        <x:f>IF(A74="","",IF(BQ74&lt;&gt;"VALID","NOT RELEASED",IF(AND(OR('Input_Meci'!I74="NOT AVAILABLE",'Input_Meci'!I74="SOURCE CONFLICT"),'Input_Meci'!J74&lt;&gt;""),"READY",IF(OR(NOT(OR('Input_Meci'!I74="AUTO",'Input_Meci'!I74="")),COUNTIF('Core_Nativ'!R822:R827,"CLOSED")&lt;&gt;6,BJ74&gt;0),"NOT RELEASED","READY"))))</x:f>
      </x:c>
      <x:c r="I74" s="2" t="str">
        <x:f>IF(A74="","",IF(H74&lt;&gt;"READY","NOT RELEASED",IF(AND(NOT(OR('Input_Meci'!I74="NOT AVAILABLE",'Input_Meci'!I74="SOURCE CONFLICT")),L74=12,AR74&gt;=2,AS74&gt;0,ISNUMBER(AT74),BI74="VALID",BK74="VALID"),"PASS","FAIL")))</x:f>
      </x:c>
      <x:c r="J74" s="2" t="str">
        <x:f>IF(A74="","",IF(BQ74&lt;&gt;"VALID","Verifica ID, echipe, mod si cutoff &lt; kickoff",IF(H74&lt;&gt;"READY",IF('Input_Meci'!I74="ACCESS BLOCKED","Acces blocat: reia sursele",IF(BJ74&gt;0,"Istoric invalid sau conflict: verifica randurile native","Surse neinchise / post-cutoff / dovezi incomplete")),IF(OR('Input_Meci'!I74="NOT AVAILABLE",'Input_Meci'!I74="SOURCE CONFLICT"),'Input_Meci'!I74,IF(BK74&lt;&gt;"VALID","Parametri invalizi",IF(L74&lt;&gt;12,"Core / sample / prior insuficient",IF(AR74&lt;2,"N insuficient pentru dispersie",IF(AS74&lt;=0,"Media istorica trebuie sa fie pozitiva",IF(BI74&lt;&gt;"VALID","Context invalid","READY")))))))))</x:f>
      </x:c>
      <x:c r="K74" s="2" t="str">
        <x:f>IF(A74="","",COUNT(T74:AE74))</x:f>
      </x:c>
      <x:c r="L74" s="2" t="str">
        <x:f>IF(A74="","",COUNT(AF74:AQ74))</x:f>
      </x:c>
      <x:c r="M74" s="2" t="str">
        <x:f>IF(A74="","",IF(OR('Core_Nativ'!M822&lt;'Core_Nativ'!P822,'Core_Nativ'!M823&lt;'Core_Nativ'!P823,'Core_Nativ'!M824&lt;'Core_Nativ'!P824,'Core_Nativ'!M825&lt;'Core_Nativ'!P825,'Core_Nativ'!M826&lt;'Core_Nativ'!P826,'Core_Nativ'!M827&lt;'Core_Nativ'!P827),"YES","NO"))</x:f>
      </x:c>
      <x:c r="N74" s="2" t="str">
        <x:f>IF(A74="","",'Core_Nativ'!M822)</x:f>
      </x:c>
      <x:c r="O74" s="2" t="str">
        <x:f>IF(A74="","",'Core_Nativ'!M823)</x:f>
      </x:c>
      <x:c r="P74" s="2" t="str">
        <x:f>IF(A74="","",'Core_Nativ'!M824)</x:f>
      </x:c>
      <x:c r="Q74" s="2" t="str">
        <x:f>IF(A74="","",'Core_Nativ'!M825)</x:f>
      </x:c>
      <x:c r="R74" s="2" t="str">
        <x:f>IF(A74="","",'Core_Nativ'!M826)</x:f>
      </x:c>
      <x:c r="S74" s="2" t="str">
        <x:f>IF(A74="","",'Core_Nativ'!M827)</x:f>
      </x:c>
      <x:c r="T74" s="11" t="str">
        <x:f>IF(OR(A74="",'Core_Nativ'!M822=0),"",'Core_Nativ'!N822)</x:f>
      </x:c>
      <x:c r="U74" s="11" t="str">
        <x:f>IF(OR(A74="",'Core_Nativ'!M822=0),"",'Core_Nativ'!O822)</x:f>
      </x:c>
      <x:c r="V74" s="11" t="str">
        <x:f>IF(OR(A74="",'Core_Nativ'!M823=0),"",'Core_Nativ'!N823)</x:f>
      </x:c>
      <x:c r="W74" s="11" t="str">
        <x:f>IF(OR(A74="",'Core_Nativ'!M823=0),"",'Core_Nativ'!O823)</x:f>
      </x:c>
      <x:c r="X74" s="11" t="str">
        <x:f>IF(OR(A74="",'Core_Nativ'!M824=0),"",'Core_Nativ'!N824)</x:f>
      </x:c>
      <x:c r="Y74" s="11" t="str">
        <x:f>IF(OR(A74="",'Core_Nativ'!M824=0),"",'Core_Nativ'!O824)</x:f>
      </x:c>
      <x:c r="Z74" s="11" t="str">
        <x:f>IF(OR(A74="",'Core_Nativ'!M825=0),"",'Core_Nativ'!N825)</x:f>
      </x:c>
      <x:c r="AA74" s="11" t="str">
        <x:f>IF(OR(A74="",'Core_Nativ'!M825=0),"",'Core_Nativ'!O825)</x:f>
      </x:c>
      <x:c r="AB74" s="11" t="str">
        <x:f>IF(OR(A74="",'Core_Nativ'!M826=0),"",'Core_Nativ'!N826)</x:f>
      </x:c>
      <x:c r="AC74" s="11" t="str">
        <x:f>IF(OR(A74="",'Core_Nativ'!M826=0),"",'Core_Nativ'!O826)</x:f>
      </x:c>
      <x:c r="AD74" s="11" t="str">
        <x:f>IF(OR(A74="",'Core_Nativ'!M827=0),"",'Core_Nativ'!N827)</x:f>
      </x:c>
      <x:c r="AE74" s="11" t="str">
        <x:f>IF(OR(A74="",'Core_Nativ'!M827=0),"",'Core_Nativ'!O827)</x:f>
      </x:c>
      <x:c r="AF74" s="11" t="str">
        <x:f>IF(A74="","",IF(AND('Core_Nativ'!R822="CLOSED",'Core_Nativ'!S822=0),IF('Core_Nativ'!M822&gt;='Core_Nativ'!P822,'Core_Nativ'!N822,IF(AND('Input_Meci'!L74="YES",'Input_Meci'!K74&lt;&gt;"",'Input_Meci'!K74&lt;C74,'Core_Nativ'!T828="DERIVED",'Core_Nativ'!M828&gt;='Core_Nativ'!P822),MIN(1,'Core_Nativ'!M822/'Core_Nativ'!P822)*IF('Core_Nativ'!M822=0,0,'Core_Nativ'!N822)+(1-MIN(1,'Core_Nativ'!M822/'Core_Nativ'!P822))*'Core_Nativ'!N828,"")),""))</x:f>
      </x:c>
      <x:c r="AG74" s="11" t="str">
        <x:f>IF(A74="","",IF(AND('Core_Nativ'!R822="CLOSED",'Core_Nativ'!S822=0),IF('Core_Nativ'!M822&gt;='Core_Nativ'!P822,'Core_Nativ'!O822,IF(AND('Input_Meci'!L74="YES",'Input_Meci'!K74&lt;&gt;"",'Input_Meci'!K74&lt;C74,'Core_Nativ'!T828="DERIVED",'Core_Nativ'!M828&gt;='Core_Nativ'!P822),MIN(1,'Core_Nativ'!M822/'Core_Nativ'!P822)*IF('Core_Nativ'!M822=0,0,'Core_Nativ'!O822)+(1-MIN(1,'Core_Nativ'!M822/'Core_Nativ'!P822))*'Core_Nativ'!O828,"")),""))</x:f>
      </x:c>
      <x:c r="AH74" s="11" t="str">
        <x:f>IF(A74="","",IF(AND('Core_Nativ'!R823="CLOSED",'Core_Nativ'!S823=0),IF('Core_Nativ'!M823&gt;='Core_Nativ'!P823,'Core_Nativ'!N823,IF(AND('Input_Meci'!L74="YES",'Input_Meci'!K74&lt;&gt;"",'Input_Meci'!K74&lt;C74,'Core_Nativ'!T829="DERIVED",'Core_Nativ'!M829&gt;='Core_Nativ'!P823),MIN(1,'Core_Nativ'!M823/'Core_Nativ'!P823)*IF('Core_Nativ'!M823=0,0,'Core_Nativ'!N823)+(1-MIN(1,'Core_Nativ'!M823/'Core_Nativ'!P823))*'Core_Nativ'!N829,"")),""))</x:f>
      </x:c>
      <x:c r="AI74" s="11" t="str">
        <x:f>IF(A74="","",IF(AND('Core_Nativ'!R823="CLOSED",'Core_Nativ'!S823=0),IF('Core_Nativ'!M823&gt;='Core_Nativ'!P823,'Core_Nativ'!O823,IF(AND('Input_Meci'!L74="YES",'Input_Meci'!K74&lt;&gt;"",'Input_Meci'!K74&lt;C74,'Core_Nativ'!T829="DERIVED",'Core_Nativ'!M829&gt;='Core_Nativ'!P823),MIN(1,'Core_Nativ'!M823/'Core_Nativ'!P823)*IF('Core_Nativ'!M823=0,0,'Core_Nativ'!O823)+(1-MIN(1,'Core_Nativ'!M823/'Core_Nativ'!P823))*'Core_Nativ'!O829,"")),""))</x:f>
      </x:c>
      <x:c r="AJ74" s="11" t="str">
        <x:f>IF(A74="","",IF(AND('Core_Nativ'!R824="CLOSED",'Core_Nativ'!S824=0),IF('Core_Nativ'!M824&gt;='Core_Nativ'!P824,'Core_Nativ'!N824,IF(AND('Input_Meci'!L74="YES",'Input_Meci'!K74&lt;&gt;"",'Input_Meci'!K74&lt;C74,'Core_Nativ'!T830="DERIVED",'Core_Nativ'!M830&gt;='Core_Nativ'!P824),MIN(1,'Core_Nativ'!M824/'Core_Nativ'!P824)*IF('Core_Nativ'!M824=0,0,'Core_Nativ'!N824)+(1-MIN(1,'Core_Nativ'!M824/'Core_Nativ'!P824))*'Core_Nativ'!N830,"")),""))</x:f>
      </x:c>
      <x:c r="AK74" s="11" t="str">
        <x:f>IF(A74="","",IF(AND('Core_Nativ'!R824="CLOSED",'Core_Nativ'!S824=0),IF('Core_Nativ'!M824&gt;='Core_Nativ'!P824,'Core_Nativ'!O824,IF(AND('Input_Meci'!L74="YES",'Input_Meci'!K74&lt;&gt;"",'Input_Meci'!K74&lt;C74,'Core_Nativ'!T830="DERIVED",'Core_Nativ'!M830&gt;='Core_Nativ'!P824),MIN(1,'Core_Nativ'!M824/'Core_Nativ'!P824)*IF('Core_Nativ'!M824=0,0,'Core_Nativ'!O824)+(1-MIN(1,'Core_Nativ'!M824/'Core_Nativ'!P824))*'Core_Nativ'!O830,"")),""))</x:f>
      </x:c>
      <x:c r="AL74" s="11" t="str">
        <x:f>IF(A74="","",IF(AND('Core_Nativ'!R825="CLOSED",'Core_Nativ'!S825=0),IF('Core_Nativ'!M825&gt;='Core_Nativ'!P825,'Core_Nativ'!N825,IF(AND('Input_Meci'!L74="YES",'Input_Meci'!K74&lt;&gt;"",'Input_Meci'!K74&lt;C74,'Core_Nativ'!T831="DERIVED",'Core_Nativ'!M831&gt;='Core_Nativ'!P825),MIN(1,'Core_Nativ'!M825/'Core_Nativ'!P825)*IF('Core_Nativ'!M825=0,0,'Core_Nativ'!N825)+(1-MIN(1,'Core_Nativ'!M825/'Core_Nativ'!P825))*'Core_Nativ'!N831,"")),""))</x:f>
      </x:c>
      <x:c r="AM74" s="11" t="str">
        <x:f>IF(A74="","",IF(AND('Core_Nativ'!R825="CLOSED",'Core_Nativ'!S825=0),IF('Core_Nativ'!M825&gt;='Core_Nativ'!P825,'Core_Nativ'!O825,IF(AND('Input_Meci'!L74="YES",'Input_Meci'!K74&lt;&gt;"",'Input_Meci'!K74&lt;C74,'Core_Nativ'!T831="DERIVED",'Core_Nativ'!M831&gt;='Core_Nativ'!P825),MIN(1,'Core_Nativ'!M825/'Core_Nativ'!P825)*IF('Core_Nativ'!M825=0,0,'Core_Nativ'!O825)+(1-MIN(1,'Core_Nativ'!M825/'Core_Nativ'!P825))*'Core_Nativ'!O831,"")),""))</x:f>
      </x:c>
      <x:c r="AN74" s="11" t="str">
        <x:f>IF(A74="","",IF(AND('Core_Nativ'!R826="CLOSED",'Core_Nativ'!S826=0),IF('Core_Nativ'!M826&gt;='Core_Nativ'!P826,'Core_Nativ'!N826,IF(AND('Input_Meci'!L74="YES",'Input_Meci'!K74&lt;&gt;"",'Input_Meci'!K74&lt;C74,'Core_Nativ'!T832="DERIVED",'Core_Nativ'!M832&gt;='Core_Nativ'!P826),MIN(1,'Core_Nativ'!M826/'Core_Nativ'!P826)*IF('Core_Nativ'!M826=0,0,'Core_Nativ'!N826)+(1-MIN(1,'Core_Nativ'!M826/'Core_Nativ'!P826))*'Core_Nativ'!N832,"")),""))</x:f>
      </x:c>
      <x:c r="AO74" s="11" t="str">
        <x:f>IF(A74="","",IF(AND('Core_Nativ'!R826="CLOSED",'Core_Nativ'!S826=0),IF('Core_Nativ'!M826&gt;='Core_Nativ'!P826,'Core_Nativ'!O826,IF(AND('Input_Meci'!L74="YES",'Input_Meci'!K74&lt;&gt;"",'Input_Meci'!K74&lt;C74,'Core_Nativ'!T832="DERIVED",'Core_Nativ'!M832&gt;='Core_Nativ'!P826),MIN(1,'Core_Nativ'!M826/'Core_Nativ'!P826)*IF('Core_Nativ'!M826=0,0,'Core_Nativ'!O826)+(1-MIN(1,'Core_Nativ'!M826/'Core_Nativ'!P826))*'Core_Nativ'!O832,"")),""))</x:f>
      </x:c>
      <x:c r="AP74" s="11" t="str">
        <x:f>IF(A74="","",IF(AND('Core_Nativ'!R827="CLOSED",'Core_Nativ'!S827=0),IF('Core_Nativ'!M827&gt;='Core_Nativ'!P827,'Core_Nativ'!N827,IF(AND('Input_Meci'!L74="YES",'Input_Meci'!K74&lt;&gt;"",'Input_Meci'!K74&lt;C74,'Core_Nativ'!T833="DERIVED",'Core_Nativ'!M833&gt;='Core_Nativ'!P827),MIN(1,'Core_Nativ'!M827/'Core_Nativ'!P827)*IF('Core_Nativ'!M827=0,0,'Core_Nativ'!N827)+(1-MIN(1,'Core_Nativ'!M827/'Core_Nativ'!P827))*'Core_Nativ'!N833,"")),""))</x:f>
      </x:c>
      <x:c r="AQ74" s="11" t="str">
        <x:f>IF(A74="","",IF(AND('Core_Nativ'!R827="CLOSED",'Core_Nativ'!S827=0),IF('Core_Nativ'!M827&gt;='Core_Nativ'!P827,'Core_Nativ'!O827,IF(AND('Input_Meci'!L74="YES",'Input_Meci'!K74&lt;&gt;"",'Input_Meci'!K74&lt;C74,'Core_Nativ'!T833="DERIVED",'Core_Nativ'!M833&gt;='Core_Nativ'!P827),MIN(1,'Core_Nativ'!M827/'Core_Nativ'!P827)*IF('Core_Nativ'!M827=0,0,'Core_Nativ'!O827)+(1-MIN(1,'Core_Nativ'!M827/'Core_Nativ'!P827))*'Core_Nativ'!O833,"")),""))</x:f>
      </x:c>
      <x:c r="AR74" s="11" t="str">
        <x:f>IF(A74="","",SUMPRODUCT(('Istoric_Nativ'!$B$6:$B$405=B74)*('Istoric_Nativ'!$C$6:$C$405=BL74)*('Istoric_Nativ'!$P$6:$P$405=1)*('Istoric_Nativ'!$D$6:$D$405&lt;INT(G74))*((('Istoric_Nativ'!$E$6:$E$405='Input_Meci'!D74)+('Istoric_Nativ'!$F$6:$F$405='Input_Meci'!D74)+('Istoric_Nativ'!$E$6:$E$405='Input_Meci'!E74)+('Istoric_Nativ'!$F$6:$F$405='Input_Meci'!E74))&gt;0)))</x:f>
      </x:c>
      <x:c r="AS74" s="11" t="str">
        <x:f>IF(AR74=0,"",SUMPRODUCT(('Istoric_Nativ'!$B$6:$B$405=B74)*('Istoric_Nativ'!$C$6:$C$405=BL74)*('Istoric_Nativ'!$P$6:$P$405=1)*('Istoric_Nativ'!$D$6:$D$405&lt;INT(G74))*((('Istoric_Nativ'!$E$6:$E$405='Input_Meci'!D74)+('Istoric_Nativ'!$F$6:$F$405='Input_Meci'!D74)+('Istoric_Nativ'!$E$6:$E$405='Input_Meci'!E74)+('Istoric_Nativ'!$F$6:$F$405='Input_Meci'!E74))&gt;0)*'Istoric_Nativ'!$Q$6:$Q$405)/AR74)</x:f>
      </x:c>
      <x:c r="AT74" s="11" t="str">
        <x:f>IF(AR74&lt;2,"",MAX(0,(SUMPRODUCT(('Istoric_Nativ'!$B$6:$B$405=B74)*('Istoric_Nativ'!$C$6:$C$405=BL74)*('Istoric_Nativ'!$P$6:$P$405=1)*('Istoric_Nativ'!$D$6:$D$405&lt;INT(G74))*((('Istoric_Nativ'!$E$6:$E$405='Input_Meci'!D74)+('Istoric_Nativ'!$F$6:$F$405='Input_Meci'!D74)+('Istoric_Nativ'!$E$6:$E$405='Input_Meci'!E74)+('Istoric_Nativ'!$F$6:$F$405='Input_Meci'!E74))&gt;0)*'Istoric_Nativ'!$R$6:$R$405)-AR74*AS74^2)/(AR74-1)))</x:f>
      </x:c>
      <x:c r="AU74" s="11" t="str">
        <x:f>IF(I74&lt;&gt;"PASS","",AT74/AS74)</x:f>
      </x:c>
      <x:c r="AV74" s="11" t="str">
        <x:f>IF(I74&lt;&gt;"PASS","",IF(AU74&lt;='Config_v6'!$B$10,"POISSON","NEGATIVE BINOMIAL"))</x:f>
      </x:c>
      <x:c r="AW74" s="11" t="str">
        <x:f>IF(I74&lt;&gt;"PASS","",IF(AV74="POISSON",9999,AS74/(AU74-1)))</x:f>
      </x:c>
      <x:c r="AX74" s="11" t="str">
        <x:f>IF(A74="","",MAX(1-'Config_v6'!$B$20,MIN(1+'Config_v6'!$B$20,1+0.02*(IF(AND(ISNUMBER('Input_Meci'!N74),'Input_Meci'!N74&gt;=0,'Input_Meci'!N74&lt;=200),'Input_Meci'!N74,12)/12-1)+0.02*(IF(AND(ISNUMBER('Input_Meci'!P74),'Input_Meci'!P74&gt;=0,'Input_Meci'!P74&lt;=200),'Input_Meci'!P74,3.5)/3.5-1)+0.02*(IF(AND(ISNUMBER('Input_Meci'!R74),'Input_Meci'!R74&gt;=0,'Input_Meci'!R74&lt;=200),'Input_Meci'!R74,18)/18-1)+0.02*((IF(AND(ISNUMBER('Input_Meci'!V74),'Input_Meci'!V74&gt;=0,'Input_Meci'!V74&lt;=10),'Input_Meci'!V74,5)-5)/5))))</x:f>
      </x:c>
      <x:c r="AY74" s="11" t="str">
        <x:f>IF(A74="","",MAX(1-'Config_v6'!$B$20,MIN(1+'Config_v6'!$B$20,1+0.02*(IF(AND(ISNUMBER('Input_Meci'!O74),'Input_Meci'!O74&gt;=0,'Input_Meci'!O74&lt;=200),'Input_Meci'!O74,12)/12-1)+0.02*(IF(AND(ISNUMBER('Input_Meci'!Q74),'Input_Meci'!Q74&gt;=0,'Input_Meci'!Q74&lt;=200),'Input_Meci'!Q74,3.5)/3.5-1)+0.02*(IF(AND(ISNUMBER('Input_Meci'!S74),'Input_Meci'!S74&gt;=0,'Input_Meci'!S74&lt;=200),'Input_Meci'!S74,18)/18-1)+0.02*((IF(AND(ISNUMBER('Input_Meci'!W74),'Input_Meci'!W74&gt;=0,'Input_Meci'!W74&lt;=10),'Input_Meci'!W74,5)-5)/5))))</x:f>
      </x:c>
      <x:c r="AZ74" s="11" t="str">
        <x:f>IF(A74="","",MAX(1-'Config_v6'!$B$21,MIN(1+'Config_v6'!$B$21,1+0.012*(IF('Input_Meci'!X74="",5,IF(ISNUMBER('Input_Meci'!X74),'Input_Meci'!X74,5))-5)+0.018*(IF('Input_Meci'!Z74="",5,IF(ISNUMBER('Input_Meci'!Z74),'Input_Meci'!Z74,5))-5)+0.012*(IF('Input_Meci'!AB74="",5,IF(ISNUMBER('Input_Meci'!AB74),'Input_Meci'!AB74,5))-5)+0.015*IF('Input_Meci'!AD74="",0,IF(ISNUMBER('Input_Meci'!AD74),'Input_Meci'!AD74,0))+0.02*IF('Input_Meci'!AF74="",0,IF(ISNUMBER('Input_Meci'!AF74),'Input_Meci'!AF74,0)))))</x:f>
      </x:c>
      <x:c r="BA74" s="11" t="str">
        <x:f>IF(A74="","",MAX(1-'Config_v6'!$B$21,MIN(1+'Config_v6'!$B$21,1+0.012*(IF('Input_Meci'!Y74="",5,IF(ISNUMBER('Input_Meci'!Y74),'Input_Meci'!Y74,5))-5)+0.018*(IF('Input_Meci'!AA74="",5,IF(ISNUMBER('Input_Meci'!AA74),'Input_Meci'!AA74,5))-5)+0.012*(IF('Input_Meci'!AC74="",5,IF(ISNUMBER('Input_Meci'!AC74),'Input_Meci'!AC74,5))-5)+0.015*IF('Input_Meci'!AE74="",0,IF(ISNUMBER('Input_Meci'!AE74),'Input_Meci'!AE74,0))+0.02*IF('Input_Meci'!AG74="",0,IF(ISNUMBER('Input_Meci'!AG74),'Input_Meci'!AG74,0)))))</x:f>
      </x:c>
      <x:c r="BB74" s="11" t="str">
        <x:f>IF(I74&lt;&gt;"PASS","",(AVERAGE(AF74,AM74)*'Config_v6'!$B$4+AVERAGE(AH74,AO74)*'Config_v6'!$B$5+AVERAGE(AJ74,AQ74)*'Config_v6'!$B$6)*AX74*AZ74)</x:f>
      </x:c>
      <x:c r="BC74" s="11" t="str">
        <x:f>IF(I74&lt;&gt;"PASS","",(AVERAGE(AL74,AG74)*'Config_v6'!$B$4+AVERAGE(AN74,AI74)*'Config_v6'!$B$5+AVERAGE(AP74,AK74)*'Config_v6'!$B$6)*AY74*BA74)</x:f>
      </x:c>
      <x:c r="BD74" s="11" t="str">
        <x:f>IF(I74&lt;&gt;"PASS","",BB74+BC74)</x:f>
      </x:c>
      <x:c r="BE74" s="11" t="str">
        <x:f>IF(A74="","",10-SUM(IF(AND(ISNUMBER('Input_Meci'!N74),'Input_Meci'!N74&gt;=0,'Input_Meci'!N74&lt;=200),1,0),IF(AND(ISNUMBER('Input_Meci'!O74),'Input_Meci'!O74&gt;=0,'Input_Meci'!O74&lt;=200),1,0),IF(AND(ISNUMBER('Input_Meci'!P74),'Input_Meci'!P74&gt;=0,'Input_Meci'!P74&lt;=200),1,0),IF(AND(ISNUMBER('Input_Meci'!Q74),'Input_Meci'!Q74&gt;=0,'Input_Meci'!Q74&lt;=200),1,0),IF(AND(ISNUMBER('Input_Meci'!R74),'Input_Meci'!R74&gt;=0,'Input_Meci'!R74&lt;=200),1,0),IF(AND(ISNUMBER('Input_Meci'!S74),'Input_Meci'!S74&gt;=0,'Input_Meci'!S74&lt;=200),1,0),IF(AND(ISNUMBER('Input_Meci'!T74),'Input_Meci'!T74&gt;=0,'Input_Meci'!T74&lt;=100),1,0),IF(AND(ISNUMBER('Input_Meci'!U74),'Input_Meci'!U74&gt;=0,'Input_Meci'!U74&lt;=100),1,0),IF(AND(ISNUMBER('Input_Meci'!V74),'Input_Meci'!V74&gt;=0,'Input_Meci'!V74&lt;=10),1,0),IF(AND(ISNUMBER('Input_Meci'!W74),'Input_Meci'!W74&gt;=0,'Input_Meci'!W74&lt;=10),1,0)))</x:f>
      </x:c>
      <x:c r="BF74" s="11" t="str">
        <x:f>IF(I74&lt;&gt;"PASS","",MAX(0,MIN(IF(OR(M74="YES",BL74&lt;&gt;C74),'Config_v6'!$B$34,100),ROUND(40+25*MIN(1,MIN(N74,Q74)/'Config_v6'!$B$7)*MIN(1,MIN(O74,R74)/'Config_v6'!$B$8)*MIN(1,MIN(P74,S74)/'Config_v6'!$B$9)+MAX(0,15-2*ABS(AF74-AJ74)-2*ABS(AL74-AP74))+IF(AU74&lt;='Config_v6'!$B$10,15,IF(AU74&lt;='Config_v6'!$B$11,13,IF(AU74&lt;='Config_v6'!$B$12,10,IF(AU74&lt;='Config_v6'!$B$13,6,0))))+5-BE74/10*'Config_v6'!$B$38,0))))</x:f>
      </x:c>
      <x:c r="BG74" s="11" t="str">
        <x:f>IF(I74&lt;&gt;"PASS","",MIN(1,'Config_v6'!$B$14*(0.7+0.3*MIN(1,AR74/'Config_v6'!$B$15))*IF(AU74&lt;='Config_v6'!$B$10,1,IF(AU74&lt;='Config_v6'!$B$11,0.95,IF(AU74&lt;='Config_v6'!$B$12,0.88,0.78)))*(0.75+0.25*BF74/100)))</x:f>
      </x:c>
      <x:c r="BH74" s="11" t="str">
        <x:f>IF(I74&lt;&gt;"PASS","",MIN(1,(ABS(AZ74-1)+ABS(BA74-1))*3))</x:f>
      </x:c>
      <x:c r="BI74" s="2" t="str">
        <x:f>IF(A74="","",IF(AND(OR('Input_Meci'!X74="",AND(ISNUMBER('Input_Meci'!X74),'Input_Meci'!X74&gt;=0,'Input_Meci'!X74&lt;=10)),OR('Input_Meci'!Y74="",AND(ISNUMBER('Input_Meci'!Y74),'Input_Meci'!Y74&gt;=0,'Input_Meci'!Y74&lt;=10)),OR('Input_Meci'!Z74="",AND(ISNUMBER('Input_Meci'!Z74),'Input_Meci'!Z74&gt;=0,'Input_Meci'!Z74&lt;=10)),OR('Input_Meci'!AA74="",AND(ISNUMBER('Input_Meci'!AA74),'Input_Meci'!AA74&gt;=0,'Input_Meci'!AA74&lt;=10)),OR('Input_Meci'!AB74="",AND(ISNUMBER('Input_Meci'!AB74),'Input_Meci'!AB74&gt;=0,'Input_Meci'!AB74&lt;=10)),OR('Input_Meci'!AC74="",AND(ISNUMBER('Input_Meci'!AC74),'Input_Meci'!AC74&gt;=0,'Input_Meci'!AC74&lt;=10)),OR('Input_Meci'!AD74="",AND(ISNUMBER('Input_Meci'!AD74),'Input_Meci'!AD74&gt;=-2,'Input_Meci'!AD74&lt;=2)),OR('Input_Meci'!AE74="",AND(ISNUMBER('Input_Meci'!AE74),'Input_Meci'!AE74&gt;=-2,'Input_Meci'!AE74&lt;=2)),OR('Input_Meci'!AF74="",AND(ISNUMBER('Input_Meci'!AF74),'Input_Meci'!AF74&gt;=-2,'Input_Meci'!AF74&lt;=2)),OR('Input_Meci'!AG74="",AND(ISNUMBER('Input_Meci'!AG74),'Input_Meci'!AG74&gt;=-2,'Input_Meci'!AG74&lt;=2))),"VALID","INVALID"))</x:f>
      </x:c>
      <x:c r="BJ74" s="2" t="n">
        <x:f>IF(A74="",0,SUM('Core_Nativ'!S822:S827))</x:f>
        <x:v>0</x:v>
      </x:c>
      <x:c r="BK74" s="2" t="str">
        <x:f>'Config_v6'!$B$40</x:f>
        <x:v>VALID</x:v>
      </x:c>
      <x:c r="BL74" s="2" t="str">
        <x:f>IF(A74="","",IF(SUMPRODUCT(('Istoric_Nativ'!$B$6:$B$405=B74)*('Istoric_Nativ'!$C$6:$C$405=C74)*('Istoric_Nativ'!$P$6:$P$405=1)*('Istoric_Nativ'!$D$6:$D$405&lt;INT(G74))*((('Istoric_Nativ'!$E$6:$E$405='Input_Meci'!D74)+('Istoric_Nativ'!$F$6:$F$405='Input_Meci'!D74)+('Istoric_Nativ'!$E$6:$E$405='Input_Meci'!E74)+('Istoric_Nativ'!$F$6:$F$405='Input_Meci'!E74))&gt;0))&gt;='Config_v6'!$B$41,C74,IF(AND('Input_Meci'!L74="YES",'Input_Meci'!K74&lt;&gt;"",'Input_Meci'!K74&lt;C74,COUNTIF('Core_Nativ'!R828:R833,"CLOSED")=6,SUM('Core_Nativ'!S828:S833)=0),'Input_Meci'!K74,C74)))</x:f>
      </x:c>
      <x:c r="BM74" s="9" t="n">
        <x:f>IF(OR(A74="",N74=0),0,LARGE(_xlfn._xlws.FILTER('Istoric_Nativ'!$D$6:$D$405,('Istoric_Nativ'!$B$6:$B$405=B74)*('Istoric_Nativ'!$C$6:$C$405=C74)*('Istoric_Nativ'!$P$6:$P$405=1)*('Istoric_Nativ'!$D$6:$D$405&lt;INT(G74))*((('Istoric_Nativ'!$E$6:$E$405='Input_Meci'!D74)+('Istoric_Nativ'!$F$6:$F$405='Input_Meci'!D74))&gt;0)),MIN(10,N74)))</x:f>
        <x:v>0</x:v>
      </x:c>
      <x:c r="BN74" s="9" t="n">
        <x:f>IF(OR(A74="",Q74=0),0,LARGE(_xlfn._xlws.FILTER('Istoric_Nativ'!$D$6:$D$405,('Istoric_Nativ'!$B$6:$B$405=B74)*('Istoric_Nativ'!$C$6:$C$405=C74)*('Istoric_Nativ'!$P$6:$P$405=1)*('Istoric_Nativ'!$D$6:$D$405&lt;INT(G74))*((('Istoric_Nativ'!$E$6:$E$405='Input_Meci'!E74)+('Istoric_Nativ'!$F$6:$F$405='Input_Meci'!E74))&gt;0)),MIN(10,Q74)))</x:f>
        <x:v>0</x:v>
      </x:c>
      <x:c r="BO74" s="9" t="n">
        <x:f>IF(OR(A74="",N74=0),0,LARGE(_xlfn._xlws.FILTER('Istoric_Nativ'!$D$6:$D$405,('Istoric_Nativ'!$B$6:$B$405=B74)*('Istoric_Nativ'!$C$6:$C$405=C74)*('Istoric_Nativ'!$P$6:$P$405=1)*('Istoric_Nativ'!$D$6:$D$405&lt;INT(G74))*((('Istoric_Nativ'!$E$6:$E$405='Input_Meci'!D74)+('Istoric_Nativ'!$F$6:$F$405='Input_Meci'!D74))&gt;0)),MIN(20,N74)))</x:f>
        <x:v>0</x:v>
      </x:c>
      <x:c r="BP74" s="9" t="n">
        <x:f>IF(OR(A74="",Q74=0),0,LARGE(_xlfn._xlws.FILTER('Istoric_Nativ'!$D$6:$D$405,('Istoric_Nativ'!$B$6:$B$405=B74)*('Istoric_Nativ'!$C$6:$C$405=C74)*('Istoric_Nativ'!$P$6:$P$405=1)*('Istoric_Nativ'!$D$6:$D$405&lt;INT(G74))*((('Istoric_Nativ'!$E$6:$E$405='Input_Meci'!E74)+('Istoric_Nativ'!$F$6:$F$405='Input_Meci'!E74))&gt;0)),MIN(20,Q74)))</x:f>
        <x:v>0</x:v>
      </x:c>
      <x:c r="BQ74" s="2" t="str">
        <x:f>IF(A74="","",IF(AND(COUNTIF(MatchesTable[Match_ID],A74)=1,COUNTIFS(MatchesTable[League],B74,MatchesTable[Season],C74,MatchesTable[Home],'Input_Meci'!D74,MatchesTable[Away],'Input_Meci'!E74,MatchesTable[Kickoff_UTC],F74)=1,B74&lt;&gt;"",C74&lt;&gt;"",'Input_Meci'!D74&lt;&gt;"",'Input_Meci'!E74&lt;&gt;"",'Input_Meci'!D74&lt;&gt;'Input_Meci'!E74,ISNUMBER(F74),ISNUMBER(G74),G74&lt;F74,OR(E74="LIVE",E74="REPLAY"),OR('Input_Meci'!L74="YES",'Input_Meci'!L74="NO",'Input_Meci'!L74="")),"VALID","INVALID"))</x:f>
      </x:c>
      <x:c r="BR74" s="2" t="n">
        <x:f>IF(I74&lt;&gt;"PASS",0,SUMPRODUCT(('Istoric_Nativ'!$B$6:$B$405='Input_Meci'!B74)*('Istoric_Nativ'!$C$6:$C$405='Input_Meci'!C74)*('Istoric_Nativ'!$P$6:$P$405=1)*('Istoric_Nativ'!$D$6:$D$405&lt;INT('Input_Meci'!G74))*((('Istoric_Nativ'!$E$6:$E$405='Input_Meci'!D74)+('Istoric_Nativ'!$F$6:$F$405='Input_Meci'!E74))&gt;0)))</x:f>
        <x:v>0</x:v>
      </x:c>
      <x:c r="BS74" s="2" t="n">
        <x:f>IF(I74&lt;&gt;"PASS",0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BM74)+((('Istoric_Nativ'!$E$6:$E$405='Input_Meci'!E74)+('Istoric_Nativ'!$F$6:$F$405='Input_Meci'!E74))&gt;0)*('Istoric_Nativ'!$D$6:$D$405&gt;=BN74))&gt;0)))</x:f>
        <x:v>0</x:v>
      </x:c>
      <x:c r="BT74" s="2" t="n">
        <x:f>IF(I74&lt;&gt;"PASS",0,SUMPRODUCT(('Istoric_Nativ'!$B$6:$B$405='Input_Meci'!B74)*('Istoric_Nativ'!$C$6:$C$405='Input_Meci'!C74)*('Istoric_Nativ'!$P$6:$P$405=1)*('Istoric_Nativ'!$D$6:$D$405&lt;INT('Input_Meci'!G74))*((((('Istoric_Nativ'!$E$6:$E$405='Input_Meci'!D74)+('Istoric_Nativ'!$F$6:$F$405='Input_Meci'!D74))&gt;0)*('Istoric_Nativ'!$D$6:$D$405&gt;=BO74)+((('Istoric_Nativ'!$E$6:$E$405='Input_Meci'!E74)+('Istoric_Nativ'!$F$6:$F$405='Input_Meci'!E74))&gt;0)*('Istoric_Nativ'!$D$6:$D$405&gt;=BP74))&gt;0)))</x:f>
        <x:v>0</x:v>
      </x:c>
    </x:row>
    <x:row r="75" ht="21" customHeight="1">
      <x:c r="A75" s="2" t="str">
        <x:f>IF('Input_Meci'!A75="","",'Input_Meci'!A75)</x:f>
      </x:c>
      <x:c r="B75" s="2" t="str">
        <x:f>IF(A75="","",'Input_Meci'!B75)</x:f>
      </x:c>
      <x:c r="C75" s="2" t="str">
        <x:f>IF(A75="","",'Input_Meci'!C75)</x:f>
      </x:c>
      <x:c r="D75" s="2" t="str">
        <x:f>IF(A75="","",'Input_Meci'!D75&amp;" – "&amp;'Input_Meci'!E75)</x:f>
      </x:c>
      <x:c r="E75" s="2" t="str">
        <x:f>IF(A75="","",'Input_Meci'!H75)</x:f>
      </x:c>
      <x:c r="F75" s="9" t="str">
        <x:f>IF(A75="","",'Input_Meci'!F75)</x:f>
      </x:c>
      <x:c r="G75" s="9" t="str">
        <x:f>IF(A75="","",'Input_Meci'!G75)</x:f>
      </x:c>
      <x:c r="H75" s="2" t="str">
        <x:f>IF(A75="","",IF(BQ75&lt;&gt;"VALID","NOT RELEASED",IF(AND(OR('Input_Meci'!I75="NOT AVAILABLE",'Input_Meci'!I75="SOURCE CONFLICT"),'Input_Meci'!J75&lt;&gt;""),"READY",IF(OR(NOT(OR('Input_Meci'!I75="AUTO",'Input_Meci'!I75="")),COUNTIF('Core_Nativ'!R834:R839,"CLOSED")&lt;&gt;6,BJ75&gt;0),"NOT RELEASED","READY"))))</x:f>
      </x:c>
      <x:c r="I75" s="2" t="str">
        <x:f>IF(A75="","",IF(H75&lt;&gt;"READY","NOT RELEASED",IF(AND(NOT(OR('Input_Meci'!I75="NOT AVAILABLE",'Input_Meci'!I75="SOURCE CONFLICT")),L75=12,AR75&gt;=2,AS75&gt;0,ISNUMBER(AT75),BI75="VALID",BK75="VALID"),"PASS","FAIL")))</x:f>
      </x:c>
      <x:c r="J75" s="2" t="str">
        <x:f>IF(A75="","",IF(BQ75&lt;&gt;"VALID","Verifica ID, echipe, mod si cutoff &lt; kickoff",IF(H75&lt;&gt;"READY",IF('Input_Meci'!I75="ACCESS BLOCKED","Acces blocat: reia sursele",IF(BJ75&gt;0,"Istoric invalid sau conflict: verifica randurile native","Surse neinchise / post-cutoff / dovezi incomplete")),IF(OR('Input_Meci'!I75="NOT AVAILABLE",'Input_Meci'!I75="SOURCE CONFLICT"),'Input_Meci'!I75,IF(BK75&lt;&gt;"VALID","Parametri invalizi",IF(L75&lt;&gt;12,"Core / sample / prior insuficient",IF(AR75&lt;2,"N insuficient pentru dispersie",IF(AS75&lt;=0,"Media istorica trebuie sa fie pozitiva",IF(BI75&lt;&gt;"VALID","Context invalid","READY")))))))))</x:f>
      </x:c>
      <x:c r="K75" s="2" t="str">
        <x:f>IF(A75="","",COUNT(T75:AE75))</x:f>
      </x:c>
      <x:c r="L75" s="2" t="str">
        <x:f>IF(A75="","",COUNT(AF75:AQ75))</x:f>
      </x:c>
      <x:c r="M75" s="2" t="str">
        <x:f>IF(A75="","",IF(OR('Core_Nativ'!M834&lt;'Core_Nativ'!P834,'Core_Nativ'!M835&lt;'Core_Nativ'!P835,'Core_Nativ'!M836&lt;'Core_Nativ'!P836,'Core_Nativ'!M837&lt;'Core_Nativ'!P837,'Core_Nativ'!M838&lt;'Core_Nativ'!P838,'Core_Nativ'!M839&lt;'Core_Nativ'!P839),"YES","NO"))</x:f>
      </x:c>
      <x:c r="N75" s="2" t="str">
        <x:f>IF(A75="","",'Core_Nativ'!M834)</x:f>
      </x:c>
      <x:c r="O75" s="2" t="str">
        <x:f>IF(A75="","",'Core_Nativ'!M835)</x:f>
      </x:c>
      <x:c r="P75" s="2" t="str">
        <x:f>IF(A75="","",'Core_Nativ'!M836)</x:f>
      </x:c>
      <x:c r="Q75" s="2" t="str">
        <x:f>IF(A75="","",'Core_Nativ'!M837)</x:f>
      </x:c>
      <x:c r="R75" s="2" t="str">
        <x:f>IF(A75="","",'Core_Nativ'!M838)</x:f>
      </x:c>
      <x:c r="S75" s="2" t="str">
        <x:f>IF(A75="","",'Core_Nativ'!M839)</x:f>
      </x:c>
      <x:c r="T75" s="11" t="str">
        <x:f>IF(OR(A75="",'Core_Nativ'!M834=0),"",'Core_Nativ'!N834)</x:f>
      </x:c>
      <x:c r="U75" s="11" t="str">
        <x:f>IF(OR(A75="",'Core_Nativ'!M834=0),"",'Core_Nativ'!O834)</x:f>
      </x:c>
      <x:c r="V75" s="11" t="str">
        <x:f>IF(OR(A75="",'Core_Nativ'!M835=0),"",'Core_Nativ'!N835)</x:f>
      </x:c>
      <x:c r="W75" s="11" t="str">
        <x:f>IF(OR(A75="",'Core_Nativ'!M835=0),"",'Core_Nativ'!O835)</x:f>
      </x:c>
      <x:c r="X75" s="11" t="str">
        <x:f>IF(OR(A75="",'Core_Nativ'!M836=0),"",'Core_Nativ'!N836)</x:f>
      </x:c>
      <x:c r="Y75" s="11" t="str">
        <x:f>IF(OR(A75="",'Core_Nativ'!M836=0),"",'Core_Nativ'!O836)</x:f>
      </x:c>
      <x:c r="Z75" s="11" t="str">
        <x:f>IF(OR(A75="",'Core_Nativ'!M837=0),"",'Core_Nativ'!N837)</x:f>
      </x:c>
      <x:c r="AA75" s="11" t="str">
        <x:f>IF(OR(A75="",'Core_Nativ'!M837=0),"",'Core_Nativ'!O837)</x:f>
      </x:c>
      <x:c r="AB75" s="11" t="str">
        <x:f>IF(OR(A75="",'Core_Nativ'!M838=0),"",'Core_Nativ'!N838)</x:f>
      </x:c>
      <x:c r="AC75" s="11" t="str">
        <x:f>IF(OR(A75="",'Core_Nativ'!M838=0),"",'Core_Nativ'!O838)</x:f>
      </x:c>
      <x:c r="AD75" s="11" t="str">
        <x:f>IF(OR(A75="",'Core_Nativ'!M839=0),"",'Core_Nativ'!N839)</x:f>
      </x:c>
      <x:c r="AE75" s="11" t="str">
        <x:f>IF(OR(A75="",'Core_Nativ'!M839=0),"",'Core_Nativ'!O839)</x:f>
      </x:c>
      <x:c r="AF75" s="11" t="str">
        <x:f>IF(A75="","",IF(AND('Core_Nativ'!R834="CLOSED",'Core_Nativ'!S834=0),IF('Core_Nativ'!M834&gt;='Core_Nativ'!P834,'Core_Nativ'!N834,IF(AND('Input_Meci'!L75="YES",'Input_Meci'!K75&lt;&gt;"",'Input_Meci'!K75&lt;C75,'Core_Nativ'!T840="DERIVED",'Core_Nativ'!M840&gt;='Core_Nativ'!P834),MIN(1,'Core_Nativ'!M834/'Core_Nativ'!P834)*IF('Core_Nativ'!M834=0,0,'Core_Nativ'!N834)+(1-MIN(1,'Core_Nativ'!M834/'Core_Nativ'!P834))*'Core_Nativ'!N840,"")),""))</x:f>
      </x:c>
      <x:c r="AG75" s="11" t="str">
        <x:f>IF(A75="","",IF(AND('Core_Nativ'!R834="CLOSED",'Core_Nativ'!S834=0),IF('Core_Nativ'!M834&gt;='Core_Nativ'!P834,'Core_Nativ'!O834,IF(AND('Input_Meci'!L75="YES",'Input_Meci'!K75&lt;&gt;"",'Input_Meci'!K75&lt;C75,'Core_Nativ'!T840="DERIVED",'Core_Nativ'!M840&gt;='Core_Nativ'!P834),MIN(1,'Core_Nativ'!M834/'Core_Nativ'!P834)*IF('Core_Nativ'!M834=0,0,'Core_Nativ'!O834)+(1-MIN(1,'Core_Nativ'!M834/'Core_Nativ'!P834))*'Core_Nativ'!O840,"")),""))</x:f>
      </x:c>
      <x:c r="AH75" s="11" t="str">
        <x:f>IF(A75="","",IF(AND('Core_Nativ'!R835="CLOSED",'Core_Nativ'!S835=0),IF('Core_Nativ'!M835&gt;='Core_Nativ'!P835,'Core_Nativ'!N835,IF(AND('Input_Meci'!L75="YES",'Input_Meci'!K75&lt;&gt;"",'Input_Meci'!K75&lt;C75,'Core_Nativ'!T841="DERIVED",'Core_Nativ'!M841&gt;='Core_Nativ'!P835),MIN(1,'Core_Nativ'!M835/'Core_Nativ'!P835)*IF('Core_Nativ'!M835=0,0,'Core_Nativ'!N835)+(1-MIN(1,'Core_Nativ'!M835/'Core_Nativ'!P835))*'Core_Nativ'!N841,"")),""))</x:f>
      </x:c>
      <x:c r="AI75" s="11" t="str">
        <x:f>IF(A75="","",IF(AND('Core_Nativ'!R835="CLOSED",'Core_Nativ'!S835=0),IF('Core_Nativ'!M835&gt;='Core_Nativ'!P835,'Core_Nativ'!O835,IF(AND('Input_Meci'!L75="YES",'Input_Meci'!K75&lt;&gt;"",'Input_Meci'!K75&lt;C75,'Core_Nativ'!T841="DERIVED",'Core_Nativ'!M841&gt;='Core_Nativ'!P835),MIN(1,'Core_Nativ'!M835/'Core_Nativ'!P835)*IF('Core_Nativ'!M835=0,0,'Core_Nativ'!O835)+(1-MIN(1,'Core_Nativ'!M835/'Core_Nativ'!P835))*'Core_Nativ'!O841,"")),""))</x:f>
      </x:c>
      <x:c r="AJ75" s="11" t="str">
        <x:f>IF(A75="","",IF(AND('Core_Nativ'!R836="CLOSED",'Core_Nativ'!S836=0),IF('Core_Nativ'!M836&gt;='Core_Nativ'!P836,'Core_Nativ'!N836,IF(AND('Input_Meci'!L75="YES",'Input_Meci'!K75&lt;&gt;"",'Input_Meci'!K75&lt;C75,'Core_Nativ'!T842="DERIVED",'Core_Nativ'!M842&gt;='Core_Nativ'!P836),MIN(1,'Core_Nativ'!M836/'Core_Nativ'!P836)*IF('Core_Nativ'!M836=0,0,'Core_Nativ'!N836)+(1-MIN(1,'Core_Nativ'!M836/'Core_Nativ'!P836))*'Core_Nativ'!N842,"")),""))</x:f>
      </x:c>
      <x:c r="AK75" s="11" t="str">
        <x:f>IF(A75="","",IF(AND('Core_Nativ'!R836="CLOSED",'Core_Nativ'!S836=0),IF('Core_Nativ'!M836&gt;='Core_Nativ'!P836,'Core_Nativ'!O836,IF(AND('Input_Meci'!L75="YES",'Input_Meci'!K75&lt;&gt;"",'Input_Meci'!K75&lt;C75,'Core_Nativ'!T842="DERIVED",'Core_Nativ'!M842&gt;='Core_Nativ'!P836),MIN(1,'Core_Nativ'!M836/'Core_Nativ'!P836)*IF('Core_Nativ'!M836=0,0,'Core_Nativ'!O836)+(1-MIN(1,'Core_Nativ'!M836/'Core_Nativ'!P836))*'Core_Nativ'!O842,"")),""))</x:f>
      </x:c>
      <x:c r="AL75" s="11" t="str">
        <x:f>IF(A75="","",IF(AND('Core_Nativ'!R837="CLOSED",'Core_Nativ'!S837=0),IF('Core_Nativ'!M837&gt;='Core_Nativ'!P837,'Core_Nativ'!N837,IF(AND('Input_Meci'!L75="YES",'Input_Meci'!K75&lt;&gt;"",'Input_Meci'!K75&lt;C75,'Core_Nativ'!T843="DERIVED",'Core_Nativ'!M843&gt;='Core_Nativ'!P837),MIN(1,'Core_Nativ'!M837/'Core_Nativ'!P837)*IF('Core_Nativ'!M837=0,0,'Core_Nativ'!N837)+(1-MIN(1,'Core_Nativ'!M837/'Core_Nativ'!P837))*'Core_Nativ'!N843,"")),""))</x:f>
      </x:c>
      <x:c r="AM75" s="11" t="str">
        <x:f>IF(A75="","",IF(AND('Core_Nativ'!R837="CLOSED",'Core_Nativ'!S837=0),IF('Core_Nativ'!M837&gt;='Core_Nativ'!P837,'Core_Nativ'!O837,IF(AND('Input_Meci'!L75="YES",'Input_Meci'!K75&lt;&gt;"",'Input_Meci'!K75&lt;C75,'Core_Nativ'!T843="DERIVED",'Core_Nativ'!M843&gt;='Core_Nativ'!P837),MIN(1,'Core_Nativ'!M837/'Core_Nativ'!P837)*IF('Core_Nativ'!M837=0,0,'Core_Nativ'!O837)+(1-MIN(1,'Core_Nativ'!M837/'Core_Nativ'!P837))*'Core_Nativ'!O843,"")),""))</x:f>
      </x:c>
      <x:c r="AN75" s="11" t="str">
        <x:f>IF(A75="","",IF(AND('Core_Nativ'!R838="CLOSED",'Core_Nativ'!S838=0),IF('Core_Nativ'!M838&gt;='Core_Nativ'!P838,'Core_Nativ'!N838,IF(AND('Input_Meci'!L75="YES",'Input_Meci'!K75&lt;&gt;"",'Input_Meci'!K75&lt;C75,'Core_Nativ'!T844="DERIVED",'Core_Nativ'!M844&gt;='Core_Nativ'!P838),MIN(1,'Core_Nativ'!M838/'Core_Nativ'!P838)*IF('Core_Nativ'!M838=0,0,'Core_Nativ'!N838)+(1-MIN(1,'Core_Nativ'!M838/'Core_Nativ'!P838))*'Core_Nativ'!N844,"")),""))</x:f>
      </x:c>
      <x:c r="AO75" s="11" t="str">
        <x:f>IF(A75="","",IF(AND('Core_Nativ'!R838="CLOSED",'Core_Nativ'!S838=0),IF('Core_Nativ'!M838&gt;='Core_Nativ'!P838,'Core_Nativ'!O838,IF(AND('Input_Meci'!L75="YES",'Input_Meci'!K75&lt;&gt;"",'Input_Meci'!K75&lt;C75,'Core_Nativ'!T844="DERIVED",'Core_Nativ'!M844&gt;='Core_Nativ'!P838),MIN(1,'Core_Nativ'!M838/'Core_Nativ'!P838)*IF('Core_Nativ'!M838=0,0,'Core_Nativ'!O838)+(1-MIN(1,'Core_Nativ'!M838/'Core_Nativ'!P838))*'Core_Nativ'!O844,"")),""))</x:f>
      </x:c>
      <x:c r="AP75" s="11" t="str">
        <x:f>IF(A75="","",IF(AND('Core_Nativ'!R839="CLOSED",'Core_Nativ'!S839=0),IF('Core_Nativ'!M839&gt;='Core_Nativ'!P839,'Core_Nativ'!N839,IF(AND('Input_Meci'!L75="YES",'Input_Meci'!K75&lt;&gt;"",'Input_Meci'!K75&lt;C75,'Core_Nativ'!T845="DERIVED",'Core_Nativ'!M845&gt;='Core_Nativ'!P839),MIN(1,'Core_Nativ'!M839/'Core_Nativ'!P839)*IF('Core_Nativ'!M839=0,0,'Core_Nativ'!N839)+(1-MIN(1,'Core_Nativ'!M839/'Core_Nativ'!P839))*'Core_Nativ'!N845,"")),""))</x:f>
      </x:c>
      <x:c r="AQ75" s="11" t="str">
        <x:f>IF(A75="","",IF(AND('Core_Nativ'!R839="CLOSED",'Core_Nativ'!S839=0),IF('Core_Nativ'!M839&gt;='Core_Nativ'!P839,'Core_Nativ'!O839,IF(AND('Input_Meci'!L75="YES",'Input_Meci'!K75&lt;&gt;"",'Input_Meci'!K75&lt;C75,'Core_Nativ'!T845="DERIVED",'Core_Nativ'!M845&gt;='Core_Nativ'!P839),MIN(1,'Core_Nativ'!M839/'Core_Nativ'!P839)*IF('Core_Nativ'!M839=0,0,'Core_Nativ'!O839)+(1-MIN(1,'Core_Nativ'!M839/'Core_Nativ'!P839))*'Core_Nativ'!O845,"")),""))</x:f>
      </x:c>
      <x:c r="AR75" s="11" t="str">
        <x:f>IF(A75="","",SUMPRODUCT(('Istoric_Nativ'!$B$6:$B$405=B75)*('Istoric_Nativ'!$C$6:$C$405=BL75)*('Istoric_Nativ'!$P$6:$P$405=1)*('Istoric_Nativ'!$D$6:$D$405&lt;INT(G75))*((('Istoric_Nativ'!$E$6:$E$405='Input_Meci'!D75)+('Istoric_Nativ'!$F$6:$F$405='Input_Meci'!D75)+('Istoric_Nativ'!$E$6:$E$405='Input_Meci'!E75)+('Istoric_Nativ'!$F$6:$F$405='Input_Meci'!E75))&gt;0)))</x:f>
      </x:c>
      <x:c r="AS75" s="11" t="str">
        <x:f>IF(AR75=0,"",SUMPRODUCT(('Istoric_Nativ'!$B$6:$B$405=B75)*('Istoric_Nativ'!$C$6:$C$405=BL75)*('Istoric_Nativ'!$P$6:$P$405=1)*('Istoric_Nativ'!$D$6:$D$405&lt;INT(G75))*((('Istoric_Nativ'!$E$6:$E$405='Input_Meci'!D75)+('Istoric_Nativ'!$F$6:$F$405='Input_Meci'!D75)+('Istoric_Nativ'!$E$6:$E$405='Input_Meci'!E75)+('Istoric_Nativ'!$F$6:$F$405='Input_Meci'!E75))&gt;0)*'Istoric_Nativ'!$Q$6:$Q$405)/AR75)</x:f>
      </x:c>
      <x:c r="AT75" s="11" t="str">
        <x:f>IF(AR75&lt;2,"",MAX(0,(SUMPRODUCT(('Istoric_Nativ'!$B$6:$B$405=B75)*('Istoric_Nativ'!$C$6:$C$405=BL75)*('Istoric_Nativ'!$P$6:$P$405=1)*('Istoric_Nativ'!$D$6:$D$405&lt;INT(G75))*((('Istoric_Nativ'!$E$6:$E$405='Input_Meci'!D75)+('Istoric_Nativ'!$F$6:$F$405='Input_Meci'!D75)+('Istoric_Nativ'!$E$6:$E$405='Input_Meci'!E75)+('Istoric_Nativ'!$F$6:$F$405='Input_Meci'!E75))&gt;0)*'Istoric_Nativ'!$R$6:$R$405)-AR75*AS75^2)/(AR75-1)))</x:f>
      </x:c>
      <x:c r="AU75" s="11" t="str">
        <x:f>IF(I75&lt;&gt;"PASS","",AT75/AS75)</x:f>
      </x:c>
      <x:c r="AV75" s="11" t="str">
        <x:f>IF(I75&lt;&gt;"PASS","",IF(AU75&lt;='Config_v6'!$B$10,"POISSON","NEGATIVE BINOMIAL"))</x:f>
      </x:c>
      <x:c r="AW75" s="11" t="str">
        <x:f>IF(I75&lt;&gt;"PASS","",IF(AV75="POISSON",9999,AS75/(AU75-1)))</x:f>
      </x:c>
      <x:c r="AX75" s="11" t="str">
        <x:f>IF(A75="","",MAX(1-'Config_v6'!$B$20,MIN(1+'Config_v6'!$B$20,1+0.02*(IF(AND(ISNUMBER('Input_Meci'!N75),'Input_Meci'!N75&gt;=0,'Input_Meci'!N75&lt;=200),'Input_Meci'!N75,12)/12-1)+0.02*(IF(AND(ISNUMBER('Input_Meci'!P75),'Input_Meci'!P75&gt;=0,'Input_Meci'!P75&lt;=200),'Input_Meci'!P75,3.5)/3.5-1)+0.02*(IF(AND(ISNUMBER('Input_Meci'!R75),'Input_Meci'!R75&gt;=0,'Input_Meci'!R75&lt;=200),'Input_Meci'!R75,18)/18-1)+0.02*((IF(AND(ISNUMBER('Input_Meci'!V75),'Input_Meci'!V75&gt;=0,'Input_Meci'!V75&lt;=10),'Input_Meci'!V75,5)-5)/5))))</x:f>
      </x:c>
      <x:c r="AY75" s="11" t="str">
        <x:f>IF(A75="","",MAX(1-'Config_v6'!$B$20,MIN(1+'Config_v6'!$B$20,1+0.02*(IF(AND(ISNUMBER('Input_Meci'!O75),'Input_Meci'!O75&gt;=0,'Input_Meci'!O75&lt;=200),'Input_Meci'!O75,12)/12-1)+0.02*(IF(AND(ISNUMBER('Input_Meci'!Q75),'Input_Meci'!Q75&gt;=0,'Input_Meci'!Q75&lt;=200),'Input_Meci'!Q75,3.5)/3.5-1)+0.02*(IF(AND(ISNUMBER('Input_Meci'!S75),'Input_Meci'!S75&gt;=0,'Input_Meci'!S75&lt;=200),'Input_Meci'!S75,18)/18-1)+0.02*((IF(AND(ISNUMBER('Input_Meci'!W75),'Input_Meci'!W75&gt;=0,'Input_Meci'!W75&lt;=10),'Input_Meci'!W75,5)-5)/5))))</x:f>
      </x:c>
      <x:c r="AZ75" s="11" t="str">
        <x:f>IF(A75="","",MAX(1-'Config_v6'!$B$21,MIN(1+'Config_v6'!$B$21,1+0.012*(IF('Input_Meci'!X75="",5,IF(ISNUMBER('Input_Meci'!X75),'Input_Meci'!X75,5))-5)+0.018*(IF('Input_Meci'!Z75="",5,IF(ISNUMBER('Input_Meci'!Z75),'Input_Meci'!Z75,5))-5)+0.012*(IF('Input_Meci'!AB75="",5,IF(ISNUMBER('Input_Meci'!AB75),'Input_Meci'!AB75,5))-5)+0.015*IF('Input_Meci'!AD75="",0,IF(ISNUMBER('Input_Meci'!AD75),'Input_Meci'!AD75,0))+0.02*IF('Input_Meci'!AF75="",0,IF(ISNUMBER('Input_Meci'!AF75),'Input_Meci'!AF75,0)))))</x:f>
      </x:c>
      <x:c r="BA75" s="11" t="str">
        <x:f>IF(A75="","",MAX(1-'Config_v6'!$B$21,MIN(1+'Config_v6'!$B$21,1+0.012*(IF('Input_Meci'!Y75="",5,IF(ISNUMBER('Input_Meci'!Y75),'Input_Meci'!Y75,5))-5)+0.018*(IF('Input_Meci'!AA75="",5,IF(ISNUMBER('Input_Meci'!AA75),'Input_Meci'!AA75,5))-5)+0.012*(IF('Input_Meci'!AC75="",5,IF(ISNUMBER('Input_Meci'!AC75),'Input_Meci'!AC75,5))-5)+0.015*IF('Input_Meci'!AE75="",0,IF(ISNUMBER('Input_Meci'!AE75),'Input_Meci'!AE75,0))+0.02*IF('Input_Meci'!AG75="",0,IF(ISNUMBER('Input_Meci'!AG75),'Input_Meci'!AG75,0)))))</x:f>
      </x:c>
      <x:c r="BB75" s="11" t="str">
        <x:f>IF(I75&lt;&gt;"PASS","",(AVERAGE(AF75,AM75)*'Config_v6'!$B$4+AVERAGE(AH75,AO75)*'Config_v6'!$B$5+AVERAGE(AJ75,AQ75)*'Config_v6'!$B$6)*AX75*AZ75)</x:f>
      </x:c>
      <x:c r="BC75" s="11" t="str">
        <x:f>IF(I75&lt;&gt;"PASS","",(AVERAGE(AL75,AG75)*'Config_v6'!$B$4+AVERAGE(AN75,AI75)*'Config_v6'!$B$5+AVERAGE(AP75,AK75)*'Config_v6'!$B$6)*AY75*BA75)</x:f>
      </x:c>
      <x:c r="BD75" s="11" t="str">
        <x:f>IF(I75&lt;&gt;"PASS","",BB75+BC75)</x:f>
      </x:c>
      <x:c r="BE75" s="11" t="str">
        <x:f>IF(A75="","",10-SUM(IF(AND(ISNUMBER('Input_Meci'!N75),'Input_Meci'!N75&gt;=0,'Input_Meci'!N75&lt;=200),1,0),IF(AND(ISNUMBER('Input_Meci'!O75),'Input_Meci'!O75&gt;=0,'Input_Meci'!O75&lt;=200),1,0),IF(AND(ISNUMBER('Input_Meci'!P75),'Input_Meci'!P75&gt;=0,'Input_Meci'!P75&lt;=200),1,0),IF(AND(ISNUMBER('Input_Meci'!Q75),'Input_Meci'!Q75&gt;=0,'Input_Meci'!Q75&lt;=200),1,0),IF(AND(ISNUMBER('Input_Meci'!R75),'Input_Meci'!R75&gt;=0,'Input_Meci'!R75&lt;=200),1,0),IF(AND(ISNUMBER('Input_Meci'!S75),'Input_Meci'!S75&gt;=0,'Input_Meci'!S75&lt;=200),1,0),IF(AND(ISNUMBER('Input_Meci'!T75),'Input_Meci'!T75&gt;=0,'Input_Meci'!T75&lt;=100),1,0),IF(AND(ISNUMBER('Input_Meci'!U75),'Input_Meci'!U75&gt;=0,'Input_Meci'!U75&lt;=100),1,0),IF(AND(ISNUMBER('Input_Meci'!V75),'Input_Meci'!V75&gt;=0,'Input_Meci'!V75&lt;=10),1,0),IF(AND(ISNUMBER('Input_Meci'!W75),'Input_Meci'!W75&gt;=0,'Input_Meci'!W75&lt;=10),1,0)))</x:f>
      </x:c>
      <x:c r="BF75" s="11" t="str">
        <x:f>IF(I75&lt;&gt;"PASS","",MAX(0,MIN(IF(OR(M75="YES",BL75&lt;&gt;C75),'Config_v6'!$B$34,100),ROUND(40+25*MIN(1,MIN(N75,Q75)/'Config_v6'!$B$7)*MIN(1,MIN(O75,R75)/'Config_v6'!$B$8)*MIN(1,MIN(P75,S75)/'Config_v6'!$B$9)+MAX(0,15-2*ABS(AF75-AJ75)-2*ABS(AL75-AP75))+IF(AU75&lt;='Config_v6'!$B$10,15,IF(AU75&lt;='Config_v6'!$B$11,13,IF(AU75&lt;='Config_v6'!$B$12,10,IF(AU75&lt;='Config_v6'!$B$13,6,0))))+5-BE75/10*'Config_v6'!$B$38,0))))</x:f>
      </x:c>
      <x:c r="BG75" s="11" t="str">
        <x:f>IF(I75&lt;&gt;"PASS","",MIN(1,'Config_v6'!$B$14*(0.7+0.3*MIN(1,AR75/'Config_v6'!$B$15))*IF(AU75&lt;='Config_v6'!$B$10,1,IF(AU75&lt;='Config_v6'!$B$11,0.95,IF(AU75&lt;='Config_v6'!$B$12,0.88,0.78)))*(0.75+0.25*BF75/100)))</x:f>
      </x:c>
      <x:c r="BH75" s="11" t="str">
        <x:f>IF(I75&lt;&gt;"PASS","",MIN(1,(ABS(AZ75-1)+ABS(BA75-1))*3))</x:f>
      </x:c>
      <x:c r="BI75" s="2" t="str">
        <x:f>IF(A75="","",IF(AND(OR('Input_Meci'!X75="",AND(ISNUMBER('Input_Meci'!X75),'Input_Meci'!X75&gt;=0,'Input_Meci'!X75&lt;=10)),OR('Input_Meci'!Y75="",AND(ISNUMBER('Input_Meci'!Y75),'Input_Meci'!Y75&gt;=0,'Input_Meci'!Y75&lt;=10)),OR('Input_Meci'!Z75="",AND(ISNUMBER('Input_Meci'!Z75),'Input_Meci'!Z75&gt;=0,'Input_Meci'!Z75&lt;=10)),OR('Input_Meci'!AA75="",AND(ISNUMBER('Input_Meci'!AA75),'Input_Meci'!AA75&gt;=0,'Input_Meci'!AA75&lt;=10)),OR('Input_Meci'!AB75="",AND(ISNUMBER('Input_Meci'!AB75),'Input_Meci'!AB75&gt;=0,'Input_Meci'!AB75&lt;=10)),OR('Input_Meci'!AC75="",AND(ISNUMBER('Input_Meci'!AC75),'Input_Meci'!AC75&gt;=0,'Input_Meci'!AC75&lt;=10)),OR('Input_Meci'!AD75="",AND(ISNUMBER('Input_Meci'!AD75),'Input_Meci'!AD75&gt;=-2,'Input_Meci'!AD75&lt;=2)),OR('Input_Meci'!AE75="",AND(ISNUMBER('Input_Meci'!AE75),'Input_Meci'!AE75&gt;=-2,'Input_Meci'!AE75&lt;=2)),OR('Input_Meci'!AF75="",AND(ISNUMBER('Input_Meci'!AF75),'Input_Meci'!AF75&gt;=-2,'Input_Meci'!AF75&lt;=2)),OR('Input_Meci'!AG75="",AND(ISNUMBER('Input_Meci'!AG75),'Input_Meci'!AG75&gt;=-2,'Input_Meci'!AG75&lt;=2))),"VALID","INVALID"))</x:f>
      </x:c>
      <x:c r="BJ75" s="2" t="n">
        <x:f>IF(A75="",0,SUM('Core_Nativ'!S834:S839))</x:f>
        <x:v>0</x:v>
      </x:c>
      <x:c r="BK75" s="2" t="str">
        <x:f>'Config_v6'!$B$40</x:f>
        <x:v>VALID</x:v>
      </x:c>
      <x:c r="BL75" s="2" t="str">
        <x:f>IF(A75="","",IF(SUMPRODUCT(('Istoric_Nativ'!$B$6:$B$405=B75)*('Istoric_Nativ'!$C$6:$C$405=C75)*('Istoric_Nativ'!$P$6:$P$405=1)*('Istoric_Nativ'!$D$6:$D$405&lt;INT(G75))*((('Istoric_Nativ'!$E$6:$E$405='Input_Meci'!D75)+('Istoric_Nativ'!$F$6:$F$405='Input_Meci'!D75)+('Istoric_Nativ'!$E$6:$E$405='Input_Meci'!E75)+('Istoric_Nativ'!$F$6:$F$405='Input_Meci'!E75))&gt;0))&gt;='Config_v6'!$B$41,C75,IF(AND('Input_Meci'!L75="YES",'Input_Meci'!K75&lt;&gt;"",'Input_Meci'!K75&lt;C75,COUNTIF('Core_Nativ'!R840:R845,"CLOSED")=6,SUM('Core_Nativ'!S840:S845)=0),'Input_Meci'!K75,C75)))</x:f>
      </x:c>
      <x:c r="BM75" s="9" t="n">
        <x:f>IF(OR(A75="",N75=0),0,LARGE(_xlfn._xlws.FILTER('Istoric_Nativ'!$D$6:$D$405,('Istoric_Nativ'!$B$6:$B$405=B75)*('Istoric_Nativ'!$C$6:$C$405=C75)*('Istoric_Nativ'!$P$6:$P$405=1)*('Istoric_Nativ'!$D$6:$D$405&lt;INT(G75))*((('Istoric_Nativ'!$E$6:$E$405='Input_Meci'!D75)+('Istoric_Nativ'!$F$6:$F$405='Input_Meci'!D75))&gt;0)),MIN(10,N75)))</x:f>
        <x:v>0</x:v>
      </x:c>
      <x:c r="BN75" s="9" t="n">
        <x:f>IF(OR(A75="",Q75=0),0,LARGE(_xlfn._xlws.FILTER('Istoric_Nativ'!$D$6:$D$405,('Istoric_Nativ'!$B$6:$B$405=B75)*('Istoric_Nativ'!$C$6:$C$405=C75)*('Istoric_Nativ'!$P$6:$P$405=1)*('Istoric_Nativ'!$D$6:$D$405&lt;INT(G75))*((('Istoric_Nativ'!$E$6:$E$405='Input_Meci'!E75)+('Istoric_Nativ'!$F$6:$F$405='Input_Meci'!E75))&gt;0)),MIN(10,Q75)))</x:f>
        <x:v>0</x:v>
      </x:c>
      <x:c r="BO75" s="9" t="n">
        <x:f>IF(OR(A75="",N75=0),0,LARGE(_xlfn._xlws.FILTER('Istoric_Nativ'!$D$6:$D$405,('Istoric_Nativ'!$B$6:$B$405=B75)*('Istoric_Nativ'!$C$6:$C$405=C75)*('Istoric_Nativ'!$P$6:$P$405=1)*('Istoric_Nativ'!$D$6:$D$405&lt;INT(G75))*((('Istoric_Nativ'!$E$6:$E$405='Input_Meci'!D75)+('Istoric_Nativ'!$F$6:$F$405='Input_Meci'!D75))&gt;0)),MIN(20,N75)))</x:f>
        <x:v>0</x:v>
      </x:c>
      <x:c r="BP75" s="9" t="n">
        <x:f>IF(OR(A75="",Q75=0),0,LARGE(_xlfn._xlws.FILTER('Istoric_Nativ'!$D$6:$D$405,('Istoric_Nativ'!$B$6:$B$405=B75)*('Istoric_Nativ'!$C$6:$C$405=C75)*('Istoric_Nativ'!$P$6:$P$405=1)*('Istoric_Nativ'!$D$6:$D$405&lt;INT(G75))*((('Istoric_Nativ'!$E$6:$E$405='Input_Meci'!E75)+('Istoric_Nativ'!$F$6:$F$405='Input_Meci'!E75))&gt;0)),MIN(20,Q75)))</x:f>
        <x:v>0</x:v>
      </x:c>
      <x:c r="BQ75" s="2" t="str">
        <x:f>IF(A75="","",IF(AND(COUNTIF(MatchesTable[Match_ID],A75)=1,COUNTIFS(MatchesTable[League],B75,MatchesTable[Season],C75,MatchesTable[Home],'Input_Meci'!D75,MatchesTable[Away],'Input_Meci'!E75,MatchesTable[Kickoff_UTC],F75)=1,B75&lt;&gt;"",C75&lt;&gt;"",'Input_Meci'!D75&lt;&gt;"",'Input_Meci'!E75&lt;&gt;"",'Input_Meci'!D75&lt;&gt;'Input_Meci'!E75,ISNUMBER(F75),ISNUMBER(G75),G75&lt;F75,OR(E75="LIVE",E75="REPLAY"),OR('Input_Meci'!L75="YES",'Input_Meci'!L75="NO",'Input_Meci'!L75="")),"VALID","INVALID"))</x:f>
      </x:c>
      <x:c r="BR75" s="2" t="n">
        <x:f>IF(I75&lt;&gt;"PASS",0,SUMPRODUCT(('Istoric_Nativ'!$B$6:$B$405='Input_Meci'!B75)*('Istoric_Nativ'!$C$6:$C$405='Input_Meci'!C75)*('Istoric_Nativ'!$P$6:$P$405=1)*('Istoric_Nativ'!$D$6:$D$405&lt;INT('Input_Meci'!G75))*((('Istoric_Nativ'!$E$6:$E$405='Input_Meci'!D75)+('Istoric_Nativ'!$F$6:$F$405='Input_Meci'!E75))&gt;0)))</x:f>
        <x:v>0</x:v>
      </x:c>
      <x:c r="BS75" s="2" t="n">
        <x:f>IF(I75&lt;&gt;"PASS",0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BM75)+((('Istoric_Nativ'!$E$6:$E$405='Input_Meci'!E75)+('Istoric_Nativ'!$F$6:$F$405='Input_Meci'!E75))&gt;0)*('Istoric_Nativ'!$D$6:$D$405&gt;=BN75))&gt;0)))</x:f>
        <x:v>0</x:v>
      </x:c>
      <x:c r="BT75" s="2" t="n">
        <x:f>IF(I75&lt;&gt;"PASS",0,SUMPRODUCT(('Istoric_Nativ'!$B$6:$B$405='Input_Meci'!B75)*('Istoric_Nativ'!$C$6:$C$405='Input_Meci'!C75)*('Istoric_Nativ'!$P$6:$P$405=1)*('Istoric_Nativ'!$D$6:$D$405&lt;INT('Input_Meci'!G75))*((((('Istoric_Nativ'!$E$6:$E$405='Input_Meci'!D75)+('Istoric_Nativ'!$F$6:$F$405='Input_Meci'!D75))&gt;0)*('Istoric_Nativ'!$D$6:$D$405&gt;=BO75)+((('Istoric_Nativ'!$E$6:$E$405='Input_Meci'!E75)+('Istoric_Nativ'!$F$6:$F$405='Input_Meci'!E75))&gt;0)*('Istoric_Nativ'!$D$6:$D$405&gt;=BP75))&gt;0)))</x:f>
        <x:v>0</x:v>
      </x:c>
    </x:row>
    <x:row r="76" ht="21" customHeight="1">
      <x:c r="A76" s="2" t="str">
        <x:f>IF('Input_Meci'!A76="","",'Input_Meci'!A76)</x:f>
      </x:c>
      <x:c r="B76" s="2" t="str">
        <x:f>IF(A76="","",'Input_Meci'!B76)</x:f>
      </x:c>
      <x:c r="C76" s="2" t="str">
        <x:f>IF(A76="","",'Input_Meci'!C76)</x:f>
      </x:c>
      <x:c r="D76" s="2" t="str">
        <x:f>IF(A76="","",'Input_Meci'!D76&amp;" – "&amp;'Input_Meci'!E76)</x:f>
      </x:c>
      <x:c r="E76" s="2" t="str">
        <x:f>IF(A76="","",'Input_Meci'!H76)</x:f>
      </x:c>
      <x:c r="F76" s="9" t="str">
        <x:f>IF(A76="","",'Input_Meci'!F76)</x:f>
      </x:c>
      <x:c r="G76" s="9" t="str">
        <x:f>IF(A76="","",'Input_Meci'!G76)</x:f>
      </x:c>
      <x:c r="H76" s="2" t="str">
        <x:f>IF(A76="","",IF(BQ76&lt;&gt;"VALID","NOT RELEASED",IF(AND(OR('Input_Meci'!I76="NOT AVAILABLE",'Input_Meci'!I76="SOURCE CONFLICT"),'Input_Meci'!J76&lt;&gt;""),"READY",IF(OR(NOT(OR('Input_Meci'!I76="AUTO",'Input_Meci'!I76="")),COUNTIF('Core_Nativ'!R846:R851,"CLOSED")&lt;&gt;6,BJ76&gt;0),"NOT RELEASED","READY"))))</x:f>
      </x:c>
      <x:c r="I76" s="2" t="str">
        <x:f>IF(A76="","",IF(H76&lt;&gt;"READY","NOT RELEASED",IF(AND(NOT(OR('Input_Meci'!I76="NOT AVAILABLE",'Input_Meci'!I76="SOURCE CONFLICT")),L76=12,AR76&gt;=2,AS76&gt;0,ISNUMBER(AT76),BI76="VALID",BK76="VALID"),"PASS","FAIL")))</x:f>
      </x:c>
      <x:c r="J76" s="2" t="str">
        <x:f>IF(A76="","",IF(BQ76&lt;&gt;"VALID","Verifica ID, echipe, mod si cutoff &lt; kickoff",IF(H76&lt;&gt;"READY",IF('Input_Meci'!I76="ACCESS BLOCKED","Acces blocat: reia sursele",IF(BJ76&gt;0,"Istoric invalid sau conflict: verifica randurile native","Surse neinchise / post-cutoff / dovezi incomplete")),IF(OR('Input_Meci'!I76="NOT AVAILABLE",'Input_Meci'!I76="SOURCE CONFLICT"),'Input_Meci'!I76,IF(BK76&lt;&gt;"VALID","Parametri invalizi",IF(L76&lt;&gt;12,"Core / sample / prior insuficient",IF(AR76&lt;2,"N insuficient pentru dispersie",IF(AS76&lt;=0,"Media istorica trebuie sa fie pozitiva",IF(BI76&lt;&gt;"VALID","Context invalid","READY")))))))))</x:f>
      </x:c>
      <x:c r="K76" s="2" t="str">
        <x:f>IF(A76="","",COUNT(T76:AE76))</x:f>
      </x:c>
      <x:c r="L76" s="2" t="str">
        <x:f>IF(A76="","",COUNT(AF76:AQ76))</x:f>
      </x:c>
      <x:c r="M76" s="2" t="str">
        <x:f>IF(A76="","",IF(OR('Core_Nativ'!M846&lt;'Core_Nativ'!P846,'Core_Nativ'!M847&lt;'Core_Nativ'!P847,'Core_Nativ'!M848&lt;'Core_Nativ'!P848,'Core_Nativ'!M849&lt;'Core_Nativ'!P849,'Core_Nativ'!M850&lt;'Core_Nativ'!P850,'Core_Nativ'!M851&lt;'Core_Nativ'!P851),"YES","NO"))</x:f>
      </x:c>
      <x:c r="N76" s="2" t="str">
        <x:f>IF(A76="","",'Core_Nativ'!M846)</x:f>
      </x:c>
      <x:c r="O76" s="2" t="str">
        <x:f>IF(A76="","",'Core_Nativ'!M847)</x:f>
      </x:c>
      <x:c r="P76" s="2" t="str">
        <x:f>IF(A76="","",'Core_Nativ'!M848)</x:f>
      </x:c>
      <x:c r="Q76" s="2" t="str">
        <x:f>IF(A76="","",'Core_Nativ'!M849)</x:f>
      </x:c>
      <x:c r="R76" s="2" t="str">
        <x:f>IF(A76="","",'Core_Nativ'!M850)</x:f>
      </x:c>
      <x:c r="S76" s="2" t="str">
        <x:f>IF(A76="","",'Core_Nativ'!M851)</x:f>
      </x:c>
      <x:c r="T76" s="11" t="str">
        <x:f>IF(OR(A76="",'Core_Nativ'!M846=0),"",'Core_Nativ'!N846)</x:f>
      </x:c>
      <x:c r="U76" s="11" t="str">
        <x:f>IF(OR(A76="",'Core_Nativ'!M846=0),"",'Core_Nativ'!O846)</x:f>
      </x:c>
      <x:c r="V76" s="11" t="str">
        <x:f>IF(OR(A76="",'Core_Nativ'!M847=0),"",'Core_Nativ'!N847)</x:f>
      </x:c>
      <x:c r="W76" s="11" t="str">
        <x:f>IF(OR(A76="",'Core_Nativ'!M847=0),"",'Core_Nativ'!O847)</x:f>
      </x:c>
      <x:c r="X76" s="11" t="str">
        <x:f>IF(OR(A76="",'Core_Nativ'!M848=0),"",'Core_Nativ'!N848)</x:f>
      </x:c>
      <x:c r="Y76" s="11" t="str">
        <x:f>IF(OR(A76="",'Core_Nativ'!M848=0),"",'Core_Nativ'!O848)</x:f>
      </x:c>
      <x:c r="Z76" s="11" t="str">
        <x:f>IF(OR(A76="",'Core_Nativ'!M849=0),"",'Core_Nativ'!N849)</x:f>
      </x:c>
      <x:c r="AA76" s="11" t="str">
        <x:f>IF(OR(A76="",'Core_Nativ'!M849=0),"",'Core_Nativ'!O849)</x:f>
      </x:c>
      <x:c r="AB76" s="11" t="str">
        <x:f>IF(OR(A76="",'Core_Nativ'!M850=0),"",'Core_Nativ'!N850)</x:f>
      </x:c>
      <x:c r="AC76" s="11" t="str">
        <x:f>IF(OR(A76="",'Core_Nativ'!M850=0),"",'Core_Nativ'!O850)</x:f>
      </x:c>
      <x:c r="AD76" s="11" t="str">
        <x:f>IF(OR(A76="",'Core_Nativ'!M851=0),"",'Core_Nativ'!N851)</x:f>
      </x:c>
      <x:c r="AE76" s="11" t="str">
        <x:f>IF(OR(A76="",'Core_Nativ'!M851=0),"",'Core_Nativ'!O851)</x:f>
      </x:c>
      <x:c r="AF76" s="11" t="str">
        <x:f>IF(A76="","",IF(AND('Core_Nativ'!R846="CLOSED",'Core_Nativ'!S846=0),IF('Core_Nativ'!M846&gt;='Core_Nativ'!P846,'Core_Nativ'!N846,IF(AND('Input_Meci'!L76="YES",'Input_Meci'!K76&lt;&gt;"",'Input_Meci'!K76&lt;C76,'Core_Nativ'!T852="DERIVED",'Core_Nativ'!M852&gt;='Core_Nativ'!P846),MIN(1,'Core_Nativ'!M846/'Core_Nativ'!P846)*IF('Core_Nativ'!M846=0,0,'Core_Nativ'!N846)+(1-MIN(1,'Core_Nativ'!M846/'Core_Nativ'!P846))*'Core_Nativ'!N852,"")),""))</x:f>
      </x:c>
      <x:c r="AG76" s="11" t="str">
        <x:f>IF(A76="","",IF(AND('Core_Nativ'!R846="CLOSED",'Core_Nativ'!S846=0),IF('Core_Nativ'!M846&gt;='Core_Nativ'!P846,'Core_Nativ'!O846,IF(AND('Input_Meci'!L76="YES",'Input_Meci'!K76&lt;&gt;"",'Input_Meci'!K76&lt;C76,'Core_Nativ'!T852="DERIVED",'Core_Nativ'!M852&gt;='Core_Nativ'!P846),MIN(1,'Core_Nativ'!M846/'Core_Nativ'!P846)*IF('Core_Nativ'!M846=0,0,'Core_Nativ'!O846)+(1-MIN(1,'Core_Nativ'!M846/'Core_Nativ'!P846))*'Core_Nativ'!O852,"")),""))</x:f>
      </x:c>
      <x:c r="AH76" s="11" t="str">
        <x:f>IF(A76="","",IF(AND('Core_Nativ'!R847="CLOSED",'Core_Nativ'!S847=0),IF('Core_Nativ'!M847&gt;='Core_Nativ'!P847,'Core_Nativ'!N847,IF(AND('Input_Meci'!L76="YES",'Input_Meci'!K76&lt;&gt;"",'Input_Meci'!K76&lt;C76,'Core_Nativ'!T853="DERIVED",'Core_Nativ'!M853&gt;='Core_Nativ'!P847),MIN(1,'Core_Nativ'!M847/'Core_Nativ'!P847)*IF('Core_Nativ'!M847=0,0,'Core_Nativ'!N847)+(1-MIN(1,'Core_Nativ'!M847/'Core_Nativ'!P847))*'Core_Nativ'!N853,"")),""))</x:f>
      </x:c>
      <x:c r="AI76" s="11" t="str">
        <x:f>IF(A76="","",IF(AND('Core_Nativ'!R847="CLOSED",'Core_Nativ'!S847=0),IF('Core_Nativ'!M847&gt;='Core_Nativ'!P847,'Core_Nativ'!O847,IF(AND('Input_Meci'!L76="YES",'Input_Meci'!K76&lt;&gt;"",'Input_Meci'!K76&lt;C76,'Core_Nativ'!T853="DERIVED",'Core_Nativ'!M853&gt;='Core_Nativ'!P847),MIN(1,'Core_Nativ'!M847/'Core_Nativ'!P847)*IF('Core_Nativ'!M847=0,0,'Core_Nativ'!O847)+(1-MIN(1,'Core_Nativ'!M847/'Core_Nativ'!P847))*'Core_Nativ'!O853,"")),""))</x:f>
      </x:c>
      <x:c r="AJ76" s="11" t="str">
        <x:f>IF(A76="","",IF(AND('Core_Nativ'!R848="CLOSED",'Core_Nativ'!S848=0),IF('Core_Nativ'!M848&gt;='Core_Nativ'!P848,'Core_Nativ'!N848,IF(AND('Input_Meci'!L76="YES",'Input_Meci'!K76&lt;&gt;"",'Input_Meci'!K76&lt;C76,'Core_Nativ'!T854="DERIVED",'Core_Nativ'!M854&gt;='Core_Nativ'!P848),MIN(1,'Core_Nativ'!M848/'Core_Nativ'!P848)*IF('Core_Nativ'!M848=0,0,'Core_Nativ'!N848)+(1-MIN(1,'Core_Nativ'!M848/'Core_Nativ'!P848))*'Core_Nativ'!N854,"")),""))</x:f>
      </x:c>
      <x:c r="AK76" s="11" t="str">
        <x:f>IF(A76="","",IF(AND('Core_Nativ'!R848="CLOSED",'Core_Nativ'!S848=0),IF('Core_Nativ'!M848&gt;='Core_Nativ'!P848,'Core_Nativ'!O848,IF(AND('Input_Meci'!L76="YES",'Input_Meci'!K76&lt;&gt;"",'Input_Meci'!K76&lt;C76,'Core_Nativ'!T854="DERIVED",'Core_Nativ'!M854&gt;='Core_Nativ'!P848),MIN(1,'Core_Nativ'!M848/'Core_Nativ'!P848)*IF('Core_Nativ'!M848=0,0,'Core_Nativ'!O848)+(1-MIN(1,'Core_Nativ'!M848/'Core_Nativ'!P848))*'Core_Nativ'!O854,"")),""))</x:f>
      </x:c>
      <x:c r="AL76" s="11" t="str">
        <x:f>IF(A76="","",IF(AND('Core_Nativ'!R849="CLOSED",'Core_Nativ'!S849=0),IF('Core_Nativ'!M849&gt;='Core_Nativ'!P849,'Core_Nativ'!N849,IF(AND('Input_Meci'!L76="YES",'Input_Meci'!K76&lt;&gt;"",'Input_Meci'!K76&lt;C76,'Core_Nativ'!T855="DERIVED",'Core_Nativ'!M855&gt;='Core_Nativ'!P849),MIN(1,'Core_Nativ'!M849/'Core_Nativ'!P849)*IF('Core_Nativ'!M849=0,0,'Core_Nativ'!N849)+(1-MIN(1,'Core_Nativ'!M849/'Core_Nativ'!P849))*'Core_Nativ'!N855,"")),""))</x:f>
      </x:c>
      <x:c r="AM76" s="11" t="str">
        <x:f>IF(A76="","",IF(AND('Core_Nativ'!R849="CLOSED",'Core_Nativ'!S849=0),IF('Core_Nativ'!M849&gt;='Core_Nativ'!P849,'Core_Nativ'!O849,IF(AND('Input_Meci'!L76="YES",'Input_Meci'!K76&lt;&gt;"",'Input_Meci'!K76&lt;C76,'Core_Nativ'!T855="DERIVED",'Core_Nativ'!M855&gt;='Core_Nativ'!P849),MIN(1,'Core_Nativ'!M849/'Core_Nativ'!P849)*IF('Core_Nativ'!M849=0,0,'Core_Nativ'!O849)+(1-MIN(1,'Core_Nativ'!M849/'Core_Nativ'!P849))*'Core_Nativ'!O855,"")),""))</x:f>
      </x:c>
      <x:c r="AN76" s="11" t="str">
        <x:f>IF(A76="","",IF(AND('Core_Nativ'!R850="CLOSED",'Core_Nativ'!S850=0),IF('Core_Nativ'!M850&gt;='Core_Nativ'!P850,'Core_Nativ'!N850,IF(AND('Input_Meci'!L76="YES",'Input_Meci'!K76&lt;&gt;"",'Input_Meci'!K76&lt;C76,'Core_Nativ'!T856="DERIVED",'Core_Nativ'!M856&gt;='Core_Nativ'!P850),MIN(1,'Core_Nativ'!M850/'Core_Nativ'!P850)*IF('Core_Nativ'!M850=0,0,'Core_Nativ'!N850)+(1-MIN(1,'Core_Nativ'!M850/'Core_Nativ'!P850))*'Core_Nativ'!N856,"")),""))</x:f>
      </x:c>
      <x:c r="AO76" s="11" t="str">
        <x:f>IF(A76="","",IF(AND('Core_Nativ'!R850="CLOSED",'Core_Nativ'!S850=0),IF('Core_Nativ'!M850&gt;='Core_Nativ'!P850,'Core_Nativ'!O850,IF(AND('Input_Meci'!L76="YES",'Input_Meci'!K76&lt;&gt;"",'Input_Meci'!K76&lt;C76,'Core_Nativ'!T856="DERIVED",'Core_Nativ'!M856&gt;='Core_Nativ'!P850),MIN(1,'Core_Nativ'!M850/'Core_Nativ'!P850)*IF('Core_Nativ'!M850=0,0,'Core_Nativ'!O850)+(1-MIN(1,'Core_Nativ'!M850/'Core_Nativ'!P850))*'Core_Nativ'!O856,"")),""))</x:f>
      </x:c>
      <x:c r="AP76" s="11" t="str">
        <x:f>IF(A76="","",IF(AND('Core_Nativ'!R851="CLOSED",'Core_Nativ'!S851=0),IF('Core_Nativ'!M851&gt;='Core_Nativ'!P851,'Core_Nativ'!N851,IF(AND('Input_Meci'!L76="YES",'Input_Meci'!K76&lt;&gt;"",'Input_Meci'!K76&lt;C76,'Core_Nativ'!T857="DERIVED",'Core_Nativ'!M857&gt;='Core_Nativ'!P851),MIN(1,'Core_Nativ'!M851/'Core_Nativ'!P851)*IF('Core_Nativ'!M851=0,0,'Core_Nativ'!N851)+(1-MIN(1,'Core_Nativ'!M851/'Core_Nativ'!P851))*'Core_Nativ'!N857,"")),""))</x:f>
      </x:c>
      <x:c r="AQ76" s="11" t="str">
        <x:f>IF(A76="","",IF(AND('Core_Nativ'!R851="CLOSED",'Core_Nativ'!S851=0),IF('Core_Nativ'!M851&gt;='Core_Nativ'!P851,'Core_Nativ'!O851,IF(AND('Input_Meci'!L76="YES",'Input_Meci'!K76&lt;&gt;"",'Input_Meci'!K76&lt;C76,'Core_Nativ'!T857="DERIVED",'Core_Nativ'!M857&gt;='Core_Nativ'!P851),MIN(1,'Core_Nativ'!M851/'Core_Nativ'!P851)*IF('Core_Nativ'!M851=0,0,'Core_Nativ'!O851)+(1-MIN(1,'Core_Nativ'!M851/'Core_Nativ'!P851))*'Core_Nativ'!O857,"")),""))</x:f>
      </x:c>
      <x:c r="AR76" s="11" t="str">
        <x:f>IF(A76="","",SUMPRODUCT(('Istoric_Nativ'!$B$6:$B$405=B76)*('Istoric_Nativ'!$C$6:$C$405=BL76)*('Istoric_Nativ'!$P$6:$P$405=1)*('Istoric_Nativ'!$D$6:$D$405&lt;INT(G76))*((('Istoric_Nativ'!$E$6:$E$405='Input_Meci'!D76)+('Istoric_Nativ'!$F$6:$F$405='Input_Meci'!D76)+('Istoric_Nativ'!$E$6:$E$405='Input_Meci'!E76)+('Istoric_Nativ'!$F$6:$F$405='Input_Meci'!E76))&gt;0)))</x:f>
      </x:c>
      <x:c r="AS76" s="11" t="str">
        <x:f>IF(AR76=0,"",SUMPRODUCT(('Istoric_Nativ'!$B$6:$B$405=B76)*('Istoric_Nativ'!$C$6:$C$405=BL76)*('Istoric_Nativ'!$P$6:$P$405=1)*('Istoric_Nativ'!$D$6:$D$405&lt;INT(G76))*((('Istoric_Nativ'!$E$6:$E$405='Input_Meci'!D76)+('Istoric_Nativ'!$F$6:$F$405='Input_Meci'!D76)+('Istoric_Nativ'!$E$6:$E$405='Input_Meci'!E76)+('Istoric_Nativ'!$F$6:$F$405='Input_Meci'!E76))&gt;0)*'Istoric_Nativ'!$Q$6:$Q$405)/AR76)</x:f>
      </x:c>
      <x:c r="AT76" s="11" t="str">
        <x:f>IF(AR76&lt;2,"",MAX(0,(SUMPRODUCT(('Istoric_Nativ'!$B$6:$B$405=B76)*('Istoric_Nativ'!$C$6:$C$405=BL76)*('Istoric_Nativ'!$P$6:$P$405=1)*('Istoric_Nativ'!$D$6:$D$405&lt;INT(G76))*((('Istoric_Nativ'!$E$6:$E$405='Input_Meci'!D76)+('Istoric_Nativ'!$F$6:$F$405='Input_Meci'!D76)+('Istoric_Nativ'!$E$6:$E$405='Input_Meci'!E76)+('Istoric_Nativ'!$F$6:$F$405='Input_Meci'!E76))&gt;0)*'Istoric_Nativ'!$R$6:$R$405)-AR76*AS76^2)/(AR76-1)))</x:f>
      </x:c>
      <x:c r="AU76" s="11" t="str">
        <x:f>IF(I76&lt;&gt;"PASS","",AT76/AS76)</x:f>
      </x:c>
      <x:c r="AV76" s="11" t="str">
        <x:f>IF(I76&lt;&gt;"PASS","",IF(AU76&lt;='Config_v6'!$B$10,"POISSON","NEGATIVE BINOMIAL"))</x:f>
      </x:c>
      <x:c r="AW76" s="11" t="str">
        <x:f>IF(I76&lt;&gt;"PASS","",IF(AV76="POISSON",9999,AS76/(AU76-1)))</x:f>
      </x:c>
      <x:c r="AX76" s="11" t="str">
        <x:f>IF(A76="","",MAX(1-'Config_v6'!$B$20,MIN(1+'Config_v6'!$B$20,1+0.02*(IF(AND(ISNUMBER('Input_Meci'!N76),'Input_Meci'!N76&gt;=0,'Input_Meci'!N76&lt;=200),'Input_Meci'!N76,12)/12-1)+0.02*(IF(AND(ISNUMBER('Input_Meci'!P76),'Input_Meci'!P76&gt;=0,'Input_Meci'!P76&lt;=200),'Input_Meci'!P76,3.5)/3.5-1)+0.02*(IF(AND(ISNUMBER('Input_Meci'!R76),'Input_Meci'!R76&gt;=0,'Input_Meci'!R76&lt;=200),'Input_Meci'!R76,18)/18-1)+0.02*((IF(AND(ISNUMBER('Input_Meci'!V76),'Input_Meci'!V76&gt;=0,'Input_Meci'!V76&lt;=10),'Input_Meci'!V76,5)-5)/5))))</x:f>
      </x:c>
      <x:c r="AY76" s="11" t="str">
        <x:f>IF(A76="","",MAX(1-'Config_v6'!$B$20,MIN(1+'Config_v6'!$B$20,1+0.02*(IF(AND(ISNUMBER('Input_Meci'!O76),'Input_Meci'!O76&gt;=0,'Input_Meci'!O76&lt;=200),'Input_Meci'!O76,12)/12-1)+0.02*(IF(AND(ISNUMBER('Input_Meci'!Q76),'Input_Meci'!Q76&gt;=0,'Input_Meci'!Q76&lt;=200),'Input_Meci'!Q76,3.5)/3.5-1)+0.02*(IF(AND(ISNUMBER('Input_Meci'!S76),'Input_Meci'!S76&gt;=0,'Input_Meci'!S76&lt;=200),'Input_Meci'!S76,18)/18-1)+0.02*((IF(AND(ISNUMBER('Input_Meci'!W76),'Input_Meci'!W76&gt;=0,'Input_Meci'!W76&lt;=10),'Input_Meci'!W76,5)-5)/5))))</x:f>
      </x:c>
      <x:c r="AZ76" s="11" t="str">
        <x:f>IF(A76="","",MAX(1-'Config_v6'!$B$21,MIN(1+'Config_v6'!$B$21,1+0.012*(IF('Input_Meci'!X76="",5,IF(ISNUMBER('Input_Meci'!X76),'Input_Meci'!X76,5))-5)+0.018*(IF('Input_Meci'!Z76="",5,IF(ISNUMBER('Input_Meci'!Z76),'Input_Meci'!Z76,5))-5)+0.012*(IF('Input_Meci'!AB76="",5,IF(ISNUMBER('Input_Meci'!AB76),'Input_Meci'!AB76,5))-5)+0.015*IF('Input_Meci'!AD76="",0,IF(ISNUMBER('Input_Meci'!AD76),'Input_Meci'!AD76,0))+0.02*IF('Input_Meci'!AF76="",0,IF(ISNUMBER('Input_Meci'!AF76),'Input_Meci'!AF76,0)))))</x:f>
      </x:c>
      <x:c r="BA76" s="11" t="str">
        <x:f>IF(A76="","",MAX(1-'Config_v6'!$B$21,MIN(1+'Config_v6'!$B$21,1+0.012*(IF('Input_Meci'!Y76="",5,IF(ISNUMBER('Input_Meci'!Y76),'Input_Meci'!Y76,5))-5)+0.018*(IF('Input_Meci'!AA76="",5,IF(ISNUMBER('Input_Meci'!AA76),'Input_Meci'!AA76,5))-5)+0.012*(IF('Input_Meci'!AC76="",5,IF(ISNUMBER('Input_Meci'!AC76),'Input_Meci'!AC76,5))-5)+0.015*IF('Input_Meci'!AE76="",0,IF(ISNUMBER('Input_Meci'!AE76),'Input_Meci'!AE76,0))+0.02*IF('Input_Meci'!AG76="",0,IF(ISNUMBER('Input_Meci'!AG76),'Input_Meci'!AG76,0)))))</x:f>
      </x:c>
      <x:c r="BB76" s="11" t="str">
        <x:f>IF(I76&lt;&gt;"PASS","",(AVERAGE(AF76,AM76)*'Config_v6'!$B$4+AVERAGE(AH76,AO76)*'Config_v6'!$B$5+AVERAGE(AJ76,AQ76)*'Config_v6'!$B$6)*AX76*AZ76)</x:f>
      </x:c>
      <x:c r="BC76" s="11" t="str">
        <x:f>IF(I76&lt;&gt;"PASS","",(AVERAGE(AL76,AG76)*'Config_v6'!$B$4+AVERAGE(AN76,AI76)*'Config_v6'!$B$5+AVERAGE(AP76,AK76)*'Config_v6'!$B$6)*AY76*BA76)</x:f>
      </x:c>
      <x:c r="BD76" s="11" t="str">
        <x:f>IF(I76&lt;&gt;"PASS","",BB76+BC76)</x:f>
      </x:c>
      <x:c r="BE76" s="11" t="str">
        <x:f>IF(A76="","",10-SUM(IF(AND(ISNUMBER('Input_Meci'!N76),'Input_Meci'!N76&gt;=0,'Input_Meci'!N76&lt;=200),1,0),IF(AND(ISNUMBER('Input_Meci'!O76),'Input_Meci'!O76&gt;=0,'Input_Meci'!O76&lt;=200),1,0),IF(AND(ISNUMBER('Input_Meci'!P76),'Input_Meci'!P76&gt;=0,'Input_Meci'!P76&lt;=200),1,0),IF(AND(ISNUMBER('Input_Meci'!Q76),'Input_Meci'!Q76&gt;=0,'Input_Meci'!Q76&lt;=200),1,0),IF(AND(ISNUMBER('Input_Meci'!R76),'Input_Meci'!R76&gt;=0,'Input_Meci'!R76&lt;=200),1,0),IF(AND(ISNUMBER('Input_Meci'!S76),'Input_Meci'!S76&gt;=0,'Input_Meci'!S76&lt;=200),1,0),IF(AND(ISNUMBER('Input_Meci'!T76),'Input_Meci'!T76&gt;=0,'Input_Meci'!T76&lt;=100),1,0),IF(AND(ISNUMBER('Input_Meci'!U76),'Input_Meci'!U76&gt;=0,'Input_Meci'!U76&lt;=100),1,0),IF(AND(ISNUMBER('Input_Meci'!V76),'Input_Meci'!V76&gt;=0,'Input_Meci'!V76&lt;=10),1,0),IF(AND(ISNUMBER('Input_Meci'!W76),'Input_Meci'!W76&gt;=0,'Input_Meci'!W76&lt;=10),1,0)))</x:f>
      </x:c>
      <x:c r="BF76" s="11" t="str">
        <x:f>IF(I76&lt;&gt;"PASS","",MAX(0,MIN(IF(OR(M76="YES",BL76&lt;&gt;C76),'Config_v6'!$B$34,100),ROUND(40+25*MIN(1,MIN(N76,Q76)/'Config_v6'!$B$7)*MIN(1,MIN(O76,R76)/'Config_v6'!$B$8)*MIN(1,MIN(P76,S76)/'Config_v6'!$B$9)+MAX(0,15-2*ABS(AF76-AJ76)-2*ABS(AL76-AP76))+IF(AU76&lt;='Config_v6'!$B$10,15,IF(AU76&lt;='Config_v6'!$B$11,13,IF(AU76&lt;='Config_v6'!$B$12,10,IF(AU76&lt;='Config_v6'!$B$13,6,0))))+5-BE76/10*'Config_v6'!$B$38,0))))</x:f>
      </x:c>
      <x:c r="BG76" s="11" t="str">
        <x:f>IF(I76&lt;&gt;"PASS","",MIN(1,'Config_v6'!$B$14*(0.7+0.3*MIN(1,AR76/'Config_v6'!$B$15))*IF(AU76&lt;='Config_v6'!$B$10,1,IF(AU76&lt;='Config_v6'!$B$11,0.95,IF(AU76&lt;='Config_v6'!$B$12,0.88,0.78)))*(0.75+0.25*BF76/100)))</x:f>
      </x:c>
      <x:c r="BH76" s="11" t="str">
        <x:f>IF(I76&lt;&gt;"PASS","",MIN(1,(ABS(AZ76-1)+ABS(BA76-1))*3))</x:f>
      </x:c>
      <x:c r="BI76" s="2" t="str">
        <x:f>IF(A76="","",IF(AND(OR('Input_Meci'!X76="",AND(ISNUMBER('Input_Meci'!X76),'Input_Meci'!X76&gt;=0,'Input_Meci'!X76&lt;=10)),OR('Input_Meci'!Y76="",AND(ISNUMBER('Input_Meci'!Y76),'Input_Meci'!Y76&gt;=0,'Input_Meci'!Y76&lt;=10)),OR('Input_Meci'!Z76="",AND(ISNUMBER('Input_Meci'!Z76),'Input_Meci'!Z76&gt;=0,'Input_Meci'!Z76&lt;=10)),OR('Input_Meci'!AA76="",AND(ISNUMBER('Input_Meci'!AA76),'Input_Meci'!AA76&gt;=0,'Input_Meci'!AA76&lt;=10)),OR('Input_Meci'!AB76="",AND(ISNUMBER('Input_Meci'!AB76),'Input_Meci'!AB76&gt;=0,'Input_Meci'!AB76&lt;=10)),OR('Input_Meci'!AC76="",AND(ISNUMBER('Input_Meci'!AC76),'Input_Meci'!AC76&gt;=0,'Input_Meci'!AC76&lt;=10)),OR('Input_Meci'!AD76="",AND(ISNUMBER('Input_Meci'!AD76),'Input_Meci'!AD76&gt;=-2,'Input_Meci'!AD76&lt;=2)),OR('Input_Meci'!AE76="",AND(ISNUMBER('Input_Meci'!AE76),'Input_Meci'!AE76&gt;=-2,'Input_Meci'!AE76&lt;=2)),OR('Input_Meci'!AF76="",AND(ISNUMBER('Input_Meci'!AF76),'Input_Meci'!AF76&gt;=-2,'Input_Meci'!AF76&lt;=2)),OR('Input_Meci'!AG76="",AND(ISNUMBER('Input_Meci'!AG76),'Input_Meci'!AG76&gt;=-2,'Input_Meci'!AG76&lt;=2))),"VALID","INVALID"))</x:f>
      </x:c>
      <x:c r="BJ76" s="2" t="n">
        <x:f>IF(A76="",0,SUM('Core_Nativ'!S846:S851))</x:f>
        <x:v>0</x:v>
      </x:c>
      <x:c r="BK76" s="2" t="str">
        <x:f>'Config_v6'!$B$40</x:f>
        <x:v>VALID</x:v>
      </x:c>
      <x:c r="BL76" s="2" t="str">
        <x:f>IF(A76="","",IF(SUMPRODUCT(('Istoric_Nativ'!$B$6:$B$405=B76)*('Istoric_Nativ'!$C$6:$C$405=C76)*('Istoric_Nativ'!$P$6:$P$405=1)*('Istoric_Nativ'!$D$6:$D$405&lt;INT(G76))*((('Istoric_Nativ'!$E$6:$E$405='Input_Meci'!D76)+('Istoric_Nativ'!$F$6:$F$405='Input_Meci'!D76)+('Istoric_Nativ'!$E$6:$E$405='Input_Meci'!E76)+('Istoric_Nativ'!$F$6:$F$405='Input_Meci'!E76))&gt;0))&gt;='Config_v6'!$B$41,C76,IF(AND('Input_Meci'!L76="YES",'Input_Meci'!K76&lt;&gt;"",'Input_Meci'!K76&lt;C76,COUNTIF('Core_Nativ'!R852:R857,"CLOSED")=6,SUM('Core_Nativ'!S852:S857)=0),'Input_Meci'!K76,C76)))</x:f>
      </x:c>
      <x:c r="BM76" s="9" t="n">
        <x:f>IF(OR(A76="",N76=0),0,LARGE(_xlfn._xlws.FILTER('Istoric_Nativ'!$D$6:$D$405,('Istoric_Nativ'!$B$6:$B$405=B76)*('Istoric_Nativ'!$C$6:$C$405=C76)*('Istoric_Nativ'!$P$6:$P$405=1)*('Istoric_Nativ'!$D$6:$D$405&lt;INT(G76))*((('Istoric_Nativ'!$E$6:$E$405='Input_Meci'!D76)+('Istoric_Nativ'!$F$6:$F$405='Input_Meci'!D76))&gt;0)),MIN(10,N76)))</x:f>
        <x:v>0</x:v>
      </x:c>
      <x:c r="BN76" s="9" t="n">
        <x:f>IF(OR(A76="",Q76=0),0,LARGE(_xlfn._xlws.FILTER('Istoric_Nativ'!$D$6:$D$405,('Istoric_Nativ'!$B$6:$B$405=B76)*('Istoric_Nativ'!$C$6:$C$405=C76)*('Istoric_Nativ'!$P$6:$P$405=1)*('Istoric_Nativ'!$D$6:$D$405&lt;INT(G76))*((('Istoric_Nativ'!$E$6:$E$405='Input_Meci'!E76)+('Istoric_Nativ'!$F$6:$F$405='Input_Meci'!E76))&gt;0)),MIN(10,Q76)))</x:f>
        <x:v>0</x:v>
      </x:c>
      <x:c r="BO76" s="9" t="n">
        <x:f>IF(OR(A76="",N76=0),0,LARGE(_xlfn._xlws.FILTER('Istoric_Nativ'!$D$6:$D$405,('Istoric_Nativ'!$B$6:$B$405=B76)*('Istoric_Nativ'!$C$6:$C$405=C76)*('Istoric_Nativ'!$P$6:$P$405=1)*('Istoric_Nativ'!$D$6:$D$405&lt;INT(G76))*((('Istoric_Nativ'!$E$6:$E$405='Input_Meci'!D76)+('Istoric_Nativ'!$F$6:$F$405='Input_Meci'!D76))&gt;0)),MIN(20,N76)))</x:f>
        <x:v>0</x:v>
      </x:c>
      <x:c r="BP76" s="9" t="n">
        <x:f>IF(OR(A76="",Q76=0),0,LARGE(_xlfn._xlws.FILTER('Istoric_Nativ'!$D$6:$D$405,('Istoric_Nativ'!$B$6:$B$405=B76)*('Istoric_Nativ'!$C$6:$C$405=C76)*('Istoric_Nativ'!$P$6:$P$405=1)*('Istoric_Nativ'!$D$6:$D$405&lt;INT(G76))*((('Istoric_Nativ'!$E$6:$E$405='Input_Meci'!E76)+('Istoric_Nativ'!$F$6:$F$405='Input_Meci'!E76))&gt;0)),MIN(20,Q76)))</x:f>
        <x:v>0</x:v>
      </x:c>
      <x:c r="BQ76" s="2" t="str">
        <x:f>IF(A76="","",IF(AND(COUNTIF(MatchesTable[Match_ID],A76)=1,COUNTIFS(MatchesTable[League],B76,MatchesTable[Season],C76,MatchesTable[Home],'Input_Meci'!D76,MatchesTable[Away],'Input_Meci'!E76,MatchesTable[Kickoff_UTC],F76)=1,B76&lt;&gt;"",C76&lt;&gt;"",'Input_Meci'!D76&lt;&gt;"",'Input_Meci'!E76&lt;&gt;"",'Input_Meci'!D76&lt;&gt;'Input_Meci'!E76,ISNUMBER(F76),ISNUMBER(G76),G76&lt;F76,OR(E76="LIVE",E76="REPLAY"),OR('Input_Meci'!L76="YES",'Input_Meci'!L76="NO",'Input_Meci'!L76="")),"VALID","INVALID"))</x:f>
      </x:c>
      <x:c r="BR76" s="2" t="n">
        <x:f>IF(I76&lt;&gt;"PASS",0,SUMPRODUCT(('Istoric_Nativ'!$B$6:$B$405='Input_Meci'!B76)*('Istoric_Nativ'!$C$6:$C$405='Input_Meci'!C76)*('Istoric_Nativ'!$P$6:$P$405=1)*('Istoric_Nativ'!$D$6:$D$405&lt;INT('Input_Meci'!G76))*((('Istoric_Nativ'!$E$6:$E$405='Input_Meci'!D76)+('Istoric_Nativ'!$F$6:$F$405='Input_Meci'!E76))&gt;0)))</x:f>
        <x:v>0</x:v>
      </x:c>
      <x:c r="BS76" s="2" t="n">
        <x:f>IF(I76&lt;&gt;"PASS",0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BM76)+((('Istoric_Nativ'!$E$6:$E$405='Input_Meci'!E76)+('Istoric_Nativ'!$F$6:$F$405='Input_Meci'!E76))&gt;0)*('Istoric_Nativ'!$D$6:$D$405&gt;=BN76))&gt;0)))</x:f>
        <x:v>0</x:v>
      </x:c>
      <x:c r="BT76" s="2" t="n">
        <x:f>IF(I76&lt;&gt;"PASS",0,SUMPRODUCT(('Istoric_Nativ'!$B$6:$B$405='Input_Meci'!B76)*('Istoric_Nativ'!$C$6:$C$405='Input_Meci'!C76)*('Istoric_Nativ'!$P$6:$P$405=1)*('Istoric_Nativ'!$D$6:$D$405&lt;INT('Input_Meci'!G76))*((((('Istoric_Nativ'!$E$6:$E$405='Input_Meci'!D76)+('Istoric_Nativ'!$F$6:$F$405='Input_Meci'!D76))&gt;0)*('Istoric_Nativ'!$D$6:$D$405&gt;=BO76)+((('Istoric_Nativ'!$E$6:$E$405='Input_Meci'!E76)+('Istoric_Nativ'!$F$6:$F$405='Input_Meci'!E76))&gt;0)*('Istoric_Nativ'!$D$6:$D$405&gt;=BP76))&gt;0)))</x:f>
        <x:v>0</x:v>
      </x:c>
    </x:row>
    <x:row r="77" ht="21" customHeight="1">
      <x:c r="A77" s="2" t="str">
        <x:f>IF('Input_Meci'!A77="","",'Input_Meci'!A77)</x:f>
      </x:c>
      <x:c r="B77" s="2" t="str">
        <x:f>IF(A77="","",'Input_Meci'!B77)</x:f>
      </x:c>
      <x:c r="C77" s="2" t="str">
        <x:f>IF(A77="","",'Input_Meci'!C77)</x:f>
      </x:c>
      <x:c r="D77" s="2" t="str">
        <x:f>IF(A77="","",'Input_Meci'!D77&amp;" – "&amp;'Input_Meci'!E77)</x:f>
      </x:c>
      <x:c r="E77" s="2" t="str">
        <x:f>IF(A77="","",'Input_Meci'!H77)</x:f>
      </x:c>
      <x:c r="F77" s="9" t="str">
        <x:f>IF(A77="","",'Input_Meci'!F77)</x:f>
      </x:c>
      <x:c r="G77" s="9" t="str">
        <x:f>IF(A77="","",'Input_Meci'!G77)</x:f>
      </x:c>
      <x:c r="H77" s="2" t="str">
        <x:f>IF(A77="","",IF(BQ77&lt;&gt;"VALID","NOT RELEASED",IF(AND(OR('Input_Meci'!I77="NOT AVAILABLE",'Input_Meci'!I77="SOURCE CONFLICT"),'Input_Meci'!J77&lt;&gt;""),"READY",IF(OR(NOT(OR('Input_Meci'!I77="AUTO",'Input_Meci'!I77="")),COUNTIF('Core_Nativ'!R858:R863,"CLOSED")&lt;&gt;6,BJ77&gt;0),"NOT RELEASED","READY"))))</x:f>
      </x:c>
      <x:c r="I77" s="2" t="str">
        <x:f>IF(A77="","",IF(H77&lt;&gt;"READY","NOT RELEASED",IF(AND(NOT(OR('Input_Meci'!I77="NOT AVAILABLE",'Input_Meci'!I77="SOURCE CONFLICT")),L77=12,AR77&gt;=2,AS77&gt;0,ISNUMBER(AT77),BI77="VALID",BK77="VALID"),"PASS","FAIL")))</x:f>
      </x:c>
      <x:c r="J77" s="2" t="str">
        <x:f>IF(A77="","",IF(BQ77&lt;&gt;"VALID","Verifica ID, echipe, mod si cutoff &lt; kickoff",IF(H77&lt;&gt;"READY",IF('Input_Meci'!I77="ACCESS BLOCKED","Acces blocat: reia sursele",IF(BJ77&gt;0,"Istoric invalid sau conflict: verifica randurile native","Surse neinchise / post-cutoff / dovezi incomplete")),IF(OR('Input_Meci'!I77="NOT AVAILABLE",'Input_Meci'!I77="SOURCE CONFLICT"),'Input_Meci'!I77,IF(BK77&lt;&gt;"VALID","Parametri invalizi",IF(L77&lt;&gt;12,"Core / sample / prior insuficient",IF(AR77&lt;2,"N insuficient pentru dispersie",IF(AS77&lt;=0,"Media istorica trebuie sa fie pozitiva",IF(BI77&lt;&gt;"VALID","Context invalid","READY")))))))))</x:f>
      </x:c>
      <x:c r="K77" s="2" t="str">
        <x:f>IF(A77="","",COUNT(T77:AE77))</x:f>
      </x:c>
      <x:c r="L77" s="2" t="str">
        <x:f>IF(A77="","",COUNT(AF77:AQ77))</x:f>
      </x:c>
      <x:c r="M77" s="2" t="str">
        <x:f>IF(A77="","",IF(OR('Core_Nativ'!M858&lt;'Core_Nativ'!P858,'Core_Nativ'!M859&lt;'Core_Nativ'!P859,'Core_Nativ'!M860&lt;'Core_Nativ'!P860,'Core_Nativ'!M861&lt;'Core_Nativ'!P861,'Core_Nativ'!M862&lt;'Core_Nativ'!P862,'Core_Nativ'!M863&lt;'Core_Nativ'!P863),"YES","NO"))</x:f>
      </x:c>
      <x:c r="N77" s="2" t="str">
        <x:f>IF(A77="","",'Core_Nativ'!M858)</x:f>
      </x:c>
      <x:c r="O77" s="2" t="str">
        <x:f>IF(A77="","",'Core_Nativ'!M859)</x:f>
      </x:c>
      <x:c r="P77" s="2" t="str">
        <x:f>IF(A77="","",'Core_Nativ'!M860)</x:f>
      </x:c>
      <x:c r="Q77" s="2" t="str">
        <x:f>IF(A77="","",'Core_Nativ'!M861)</x:f>
      </x:c>
      <x:c r="R77" s="2" t="str">
        <x:f>IF(A77="","",'Core_Nativ'!M862)</x:f>
      </x:c>
      <x:c r="S77" s="2" t="str">
        <x:f>IF(A77="","",'Core_Nativ'!M863)</x:f>
      </x:c>
      <x:c r="T77" s="11" t="str">
        <x:f>IF(OR(A77="",'Core_Nativ'!M858=0),"",'Core_Nativ'!N858)</x:f>
      </x:c>
      <x:c r="U77" s="11" t="str">
        <x:f>IF(OR(A77="",'Core_Nativ'!M858=0),"",'Core_Nativ'!O858)</x:f>
      </x:c>
      <x:c r="V77" s="11" t="str">
        <x:f>IF(OR(A77="",'Core_Nativ'!M859=0),"",'Core_Nativ'!N859)</x:f>
      </x:c>
      <x:c r="W77" s="11" t="str">
        <x:f>IF(OR(A77="",'Core_Nativ'!M859=0),"",'Core_Nativ'!O859)</x:f>
      </x:c>
      <x:c r="X77" s="11" t="str">
        <x:f>IF(OR(A77="",'Core_Nativ'!M860=0),"",'Core_Nativ'!N860)</x:f>
      </x:c>
      <x:c r="Y77" s="11" t="str">
        <x:f>IF(OR(A77="",'Core_Nativ'!M860=0),"",'Core_Nativ'!O860)</x:f>
      </x:c>
      <x:c r="Z77" s="11" t="str">
        <x:f>IF(OR(A77="",'Core_Nativ'!M861=0),"",'Core_Nativ'!N861)</x:f>
      </x:c>
      <x:c r="AA77" s="11" t="str">
        <x:f>IF(OR(A77="",'Core_Nativ'!M861=0),"",'Core_Nativ'!O861)</x:f>
      </x:c>
      <x:c r="AB77" s="11" t="str">
        <x:f>IF(OR(A77="",'Core_Nativ'!M862=0),"",'Core_Nativ'!N862)</x:f>
      </x:c>
      <x:c r="AC77" s="11" t="str">
        <x:f>IF(OR(A77="",'Core_Nativ'!M862=0),"",'Core_Nativ'!O862)</x:f>
      </x:c>
      <x:c r="AD77" s="11" t="str">
        <x:f>IF(OR(A77="",'Core_Nativ'!M863=0),"",'Core_Nativ'!N863)</x:f>
      </x:c>
      <x:c r="AE77" s="11" t="str">
        <x:f>IF(OR(A77="",'Core_Nativ'!M863=0),"",'Core_Nativ'!O863)</x:f>
      </x:c>
      <x:c r="AF77" s="11" t="str">
        <x:f>IF(A77="","",IF(AND('Core_Nativ'!R858="CLOSED",'Core_Nativ'!S858=0),IF('Core_Nativ'!M858&gt;='Core_Nativ'!P858,'Core_Nativ'!N858,IF(AND('Input_Meci'!L77="YES",'Input_Meci'!K77&lt;&gt;"",'Input_Meci'!K77&lt;C77,'Core_Nativ'!T864="DERIVED",'Core_Nativ'!M864&gt;='Core_Nativ'!P858),MIN(1,'Core_Nativ'!M858/'Core_Nativ'!P858)*IF('Core_Nativ'!M858=0,0,'Core_Nativ'!N858)+(1-MIN(1,'Core_Nativ'!M858/'Core_Nativ'!P858))*'Core_Nativ'!N864,"")),""))</x:f>
      </x:c>
      <x:c r="AG77" s="11" t="str">
        <x:f>IF(A77="","",IF(AND('Core_Nativ'!R858="CLOSED",'Core_Nativ'!S858=0),IF('Core_Nativ'!M858&gt;='Core_Nativ'!P858,'Core_Nativ'!O858,IF(AND('Input_Meci'!L77="YES",'Input_Meci'!K77&lt;&gt;"",'Input_Meci'!K77&lt;C77,'Core_Nativ'!T864="DERIVED",'Core_Nativ'!M864&gt;='Core_Nativ'!P858),MIN(1,'Core_Nativ'!M858/'Core_Nativ'!P858)*IF('Core_Nativ'!M858=0,0,'Core_Nativ'!O858)+(1-MIN(1,'Core_Nativ'!M858/'Core_Nativ'!P858))*'Core_Nativ'!O864,"")),""))</x:f>
      </x:c>
      <x:c r="AH77" s="11" t="str">
        <x:f>IF(A77="","",IF(AND('Core_Nativ'!R859="CLOSED",'Core_Nativ'!S859=0),IF('Core_Nativ'!M859&gt;='Core_Nativ'!P859,'Core_Nativ'!N859,IF(AND('Input_Meci'!L77="YES",'Input_Meci'!K77&lt;&gt;"",'Input_Meci'!K77&lt;C77,'Core_Nativ'!T865="DERIVED",'Core_Nativ'!M865&gt;='Core_Nativ'!P859),MIN(1,'Core_Nativ'!M859/'Core_Nativ'!P859)*IF('Core_Nativ'!M859=0,0,'Core_Nativ'!N859)+(1-MIN(1,'Core_Nativ'!M859/'Core_Nativ'!P859))*'Core_Nativ'!N865,"")),""))</x:f>
      </x:c>
      <x:c r="AI77" s="11" t="str">
        <x:f>IF(A77="","",IF(AND('Core_Nativ'!R859="CLOSED",'Core_Nativ'!S859=0),IF('Core_Nativ'!M859&gt;='Core_Nativ'!P859,'Core_Nativ'!O859,IF(AND('Input_Meci'!L77="YES",'Input_Meci'!K77&lt;&gt;"",'Input_Meci'!K77&lt;C77,'Core_Nativ'!T865="DERIVED",'Core_Nativ'!M865&gt;='Core_Nativ'!P859),MIN(1,'Core_Nativ'!M859/'Core_Nativ'!P859)*IF('Core_Nativ'!M859=0,0,'Core_Nativ'!O859)+(1-MIN(1,'Core_Nativ'!M859/'Core_Nativ'!P859))*'Core_Nativ'!O865,"")),""))</x:f>
      </x:c>
      <x:c r="AJ77" s="11" t="str">
        <x:f>IF(A77="","",IF(AND('Core_Nativ'!R860="CLOSED",'Core_Nativ'!S860=0),IF('Core_Nativ'!M860&gt;='Core_Nativ'!P860,'Core_Nativ'!N860,IF(AND('Input_Meci'!L77="YES",'Input_Meci'!K77&lt;&gt;"",'Input_Meci'!K77&lt;C77,'Core_Nativ'!T866="DERIVED",'Core_Nativ'!M866&gt;='Core_Nativ'!P860),MIN(1,'Core_Nativ'!M860/'Core_Nativ'!P860)*IF('Core_Nativ'!M860=0,0,'Core_Nativ'!N860)+(1-MIN(1,'Core_Nativ'!M860/'Core_Nativ'!P860))*'Core_Nativ'!N866,"")),""))</x:f>
      </x:c>
      <x:c r="AK77" s="11" t="str">
        <x:f>IF(A77="","",IF(AND('Core_Nativ'!R860="CLOSED",'Core_Nativ'!S860=0),IF('Core_Nativ'!M860&gt;='Core_Nativ'!P860,'Core_Nativ'!O860,IF(AND('Input_Meci'!L77="YES",'Input_Meci'!K77&lt;&gt;"",'Input_Meci'!K77&lt;C77,'Core_Nativ'!T866="DERIVED",'Core_Nativ'!M866&gt;='Core_Nativ'!P860),MIN(1,'Core_Nativ'!M860/'Core_Nativ'!P860)*IF('Core_Nativ'!M860=0,0,'Core_Nativ'!O860)+(1-MIN(1,'Core_Nativ'!M860/'Core_Nativ'!P860))*'Core_Nativ'!O866,"")),""))</x:f>
      </x:c>
      <x:c r="AL77" s="11" t="str">
        <x:f>IF(A77="","",IF(AND('Core_Nativ'!R861="CLOSED",'Core_Nativ'!S861=0),IF('Core_Nativ'!M861&gt;='Core_Nativ'!P861,'Core_Nativ'!N861,IF(AND('Input_Meci'!L77="YES",'Input_Meci'!K77&lt;&gt;"",'Input_Meci'!K77&lt;C77,'Core_Nativ'!T867="DERIVED",'Core_Nativ'!M867&gt;='Core_Nativ'!P861),MIN(1,'Core_Nativ'!M861/'Core_Nativ'!P861)*IF('Core_Nativ'!M861=0,0,'Core_Nativ'!N861)+(1-MIN(1,'Core_Nativ'!M861/'Core_Nativ'!P861))*'Core_Nativ'!N867,"")),""))</x:f>
      </x:c>
      <x:c r="AM77" s="11" t="str">
        <x:f>IF(A77="","",IF(AND('Core_Nativ'!R861="CLOSED",'Core_Nativ'!S861=0),IF('Core_Nativ'!M861&gt;='Core_Nativ'!P861,'Core_Nativ'!O861,IF(AND('Input_Meci'!L77="YES",'Input_Meci'!K77&lt;&gt;"",'Input_Meci'!K77&lt;C77,'Core_Nativ'!T867="DERIVED",'Core_Nativ'!M867&gt;='Core_Nativ'!P861),MIN(1,'Core_Nativ'!M861/'Core_Nativ'!P861)*IF('Core_Nativ'!M861=0,0,'Core_Nativ'!O861)+(1-MIN(1,'Core_Nativ'!M861/'Core_Nativ'!P861))*'Core_Nativ'!O867,"")),""))</x:f>
      </x:c>
      <x:c r="AN77" s="11" t="str">
        <x:f>IF(A77="","",IF(AND('Core_Nativ'!R862="CLOSED",'Core_Nativ'!S862=0),IF('Core_Nativ'!M862&gt;='Core_Nativ'!P862,'Core_Nativ'!N862,IF(AND('Input_Meci'!L77="YES",'Input_Meci'!K77&lt;&gt;"",'Input_Meci'!K77&lt;C77,'Core_Nativ'!T868="DERIVED",'Core_Nativ'!M868&gt;='Core_Nativ'!P862),MIN(1,'Core_Nativ'!M862/'Core_Nativ'!P862)*IF('Core_Nativ'!M862=0,0,'Core_Nativ'!N862)+(1-MIN(1,'Core_Nativ'!M862/'Core_Nativ'!P862))*'Core_Nativ'!N868,"")),""))</x:f>
      </x:c>
      <x:c r="AO77" s="11" t="str">
        <x:f>IF(A77="","",IF(AND('Core_Nativ'!R862="CLOSED",'Core_Nativ'!S862=0),IF('Core_Nativ'!M862&gt;='Core_Nativ'!P862,'Core_Nativ'!O862,IF(AND('Input_Meci'!L77="YES",'Input_Meci'!K77&lt;&gt;"",'Input_Meci'!K77&lt;C77,'Core_Nativ'!T868="DERIVED",'Core_Nativ'!M868&gt;='Core_Nativ'!P862),MIN(1,'Core_Nativ'!M862/'Core_Nativ'!P862)*IF('Core_Nativ'!M862=0,0,'Core_Nativ'!O862)+(1-MIN(1,'Core_Nativ'!M862/'Core_Nativ'!P862))*'Core_Nativ'!O868,"")),""))</x:f>
      </x:c>
      <x:c r="AP77" s="11" t="str">
        <x:f>IF(A77="","",IF(AND('Core_Nativ'!R863="CLOSED",'Core_Nativ'!S863=0),IF('Core_Nativ'!M863&gt;='Core_Nativ'!P863,'Core_Nativ'!N863,IF(AND('Input_Meci'!L77="YES",'Input_Meci'!K77&lt;&gt;"",'Input_Meci'!K77&lt;C77,'Core_Nativ'!T869="DERIVED",'Core_Nativ'!M869&gt;='Core_Nativ'!P863),MIN(1,'Core_Nativ'!M863/'Core_Nativ'!P863)*IF('Core_Nativ'!M863=0,0,'Core_Nativ'!N863)+(1-MIN(1,'Core_Nativ'!M863/'Core_Nativ'!P863))*'Core_Nativ'!N869,"")),""))</x:f>
      </x:c>
      <x:c r="AQ77" s="11" t="str">
        <x:f>IF(A77="","",IF(AND('Core_Nativ'!R863="CLOSED",'Core_Nativ'!S863=0),IF('Core_Nativ'!M863&gt;='Core_Nativ'!P863,'Core_Nativ'!O863,IF(AND('Input_Meci'!L77="YES",'Input_Meci'!K77&lt;&gt;"",'Input_Meci'!K77&lt;C77,'Core_Nativ'!T869="DERIVED",'Core_Nativ'!M869&gt;='Core_Nativ'!P863),MIN(1,'Core_Nativ'!M863/'Core_Nativ'!P863)*IF('Core_Nativ'!M863=0,0,'Core_Nativ'!O863)+(1-MIN(1,'Core_Nativ'!M863/'Core_Nativ'!P863))*'Core_Nativ'!O869,"")),""))</x:f>
      </x:c>
      <x:c r="AR77" s="11" t="str">
        <x:f>IF(A77="","",SUMPRODUCT(('Istoric_Nativ'!$B$6:$B$405=B77)*('Istoric_Nativ'!$C$6:$C$405=BL77)*('Istoric_Nativ'!$P$6:$P$405=1)*('Istoric_Nativ'!$D$6:$D$405&lt;INT(G77))*((('Istoric_Nativ'!$E$6:$E$405='Input_Meci'!D77)+('Istoric_Nativ'!$F$6:$F$405='Input_Meci'!D77)+('Istoric_Nativ'!$E$6:$E$405='Input_Meci'!E77)+('Istoric_Nativ'!$F$6:$F$405='Input_Meci'!E77))&gt;0)))</x:f>
      </x:c>
      <x:c r="AS77" s="11" t="str">
        <x:f>IF(AR77=0,"",SUMPRODUCT(('Istoric_Nativ'!$B$6:$B$405=B77)*('Istoric_Nativ'!$C$6:$C$405=BL77)*('Istoric_Nativ'!$P$6:$P$405=1)*('Istoric_Nativ'!$D$6:$D$405&lt;INT(G77))*((('Istoric_Nativ'!$E$6:$E$405='Input_Meci'!D77)+('Istoric_Nativ'!$F$6:$F$405='Input_Meci'!D77)+('Istoric_Nativ'!$E$6:$E$405='Input_Meci'!E77)+('Istoric_Nativ'!$F$6:$F$405='Input_Meci'!E77))&gt;0)*'Istoric_Nativ'!$Q$6:$Q$405)/AR77)</x:f>
      </x:c>
      <x:c r="AT77" s="11" t="str">
        <x:f>IF(AR77&lt;2,"",MAX(0,(SUMPRODUCT(('Istoric_Nativ'!$B$6:$B$405=B77)*('Istoric_Nativ'!$C$6:$C$405=BL77)*('Istoric_Nativ'!$P$6:$P$405=1)*('Istoric_Nativ'!$D$6:$D$405&lt;INT(G77))*((('Istoric_Nativ'!$E$6:$E$405='Input_Meci'!D77)+('Istoric_Nativ'!$F$6:$F$405='Input_Meci'!D77)+('Istoric_Nativ'!$E$6:$E$405='Input_Meci'!E77)+('Istoric_Nativ'!$F$6:$F$405='Input_Meci'!E77))&gt;0)*'Istoric_Nativ'!$R$6:$R$405)-AR77*AS77^2)/(AR77-1)))</x:f>
      </x:c>
      <x:c r="AU77" s="11" t="str">
        <x:f>IF(I77&lt;&gt;"PASS","",AT77/AS77)</x:f>
      </x:c>
      <x:c r="AV77" s="11" t="str">
        <x:f>IF(I77&lt;&gt;"PASS","",IF(AU77&lt;='Config_v6'!$B$10,"POISSON","NEGATIVE BINOMIAL"))</x:f>
      </x:c>
      <x:c r="AW77" s="11" t="str">
        <x:f>IF(I77&lt;&gt;"PASS","",IF(AV77="POISSON",9999,AS77/(AU77-1)))</x:f>
      </x:c>
      <x:c r="AX77" s="11" t="str">
        <x:f>IF(A77="","",MAX(1-'Config_v6'!$B$20,MIN(1+'Config_v6'!$B$20,1+0.02*(IF(AND(ISNUMBER('Input_Meci'!N77),'Input_Meci'!N77&gt;=0,'Input_Meci'!N77&lt;=200),'Input_Meci'!N77,12)/12-1)+0.02*(IF(AND(ISNUMBER('Input_Meci'!P77),'Input_Meci'!P77&gt;=0,'Input_Meci'!P77&lt;=200),'Input_Meci'!P77,3.5)/3.5-1)+0.02*(IF(AND(ISNUMBER('Input_Meci'!R77),'Input_Meci'!R77&gt;=0,'Input_Meci'!R77&lt;=200),'Input_Meci'!R77,18)/18-1)+0.02*((IF(AND(ISNUMBER('Input_Meci'!V77),'Input_Meci'!V77&gt;=0,'Input_Meci'!V77&lt;=10),'Input_Meci'!V77,5)-5)/5))))</x:f>
      </x:c>
      <x:c r="AY77" s="11" t="str">
        <x:f>IF(A77="","",MAX(1-'Config_v6'!$B$20,MIN(1+'Config_v6'!$B$20,1+0.02*(IF(AND(ISNUMBER('Input_Meci'!O77),'Input_Meci'!O77&gt;=0,'Input_Meci'!O77&lt;=200),'Input_Meci'!O77,12)/12-1)+0.02*(IF(AND(ISNUMBER('Input_Meci'!Q77),'Input_Meci'!Q77&gt;=0,'Input_Meci'!Q77&lt;=200),'Input_Meci'!Q77,3.5)/3.5-1)+0.02*(IF(AND(ISNUMBER('Input_Meci'!S77),'Input_Meci'!S77&gt;=0,'Input_Meci'!S77&lt;=200),'Input_Meci'!S77,18)/18-1)+0.02*((IF(AND(ISNUMBER('Input_Meci'!W77),'Input_Meci'!W77&gt;=0,'Input_Meci'!W77&lt;=10),'Input_Meci'!W77,5)-5)/5))))</x:f>
      </x:c>
      <x:c r="AZ77" s="11" t="str">
        <x:f>IF(A77="","",MAX(1-'Config_v6'!$B$21,MIN(1+'Config_v6'!$B$21,1+0.012*(IF('Input_Meci'!X77="",5,IF(ISNUMBER('Input_Meci'!X77),'Input_Meci'!X77,5))-5)+0.018*(IF('Input_Meci'!Z77="",5,IF(ISNUMBER('Input_Meci'!Z77),'Input_Meci'!Z77,5))-5)+0.012*(IF('Input_Meci'!AB77="",5,IF(ISNUMBER('Input_Meci'!AB77),'Input_Meci'!AB77,5))-5)+0.015*IF('Input_Meci'!AD77="",0,IF(ISNUMBER('Input_Meci'!AD77),'Input_Meci'!AD77,0))+0.02*IF('Input_Meci'!AF77="",0,IF(ISNUMBER('Input_Meci'!AF77),'Input_Meci'!AF77,0)))))</x:f>
      </x:c>
      <x:c r="BA77" s="11" t="str">
        <x:f>IF(A77="","",MAX(1-'Config_v6'!$B$21,MIN(1+'Config_v6'!$B$21,1+0.012*(IF('Input_Meci'!Y77="",5,IF(ISNUMBER('Input_Meci'!Y77),'Input_Meci'!Y77,5))-5)+0.018*(IF('Input_Meci'!AA77="",5,IF(ISNUMBER('Input_Meci'!AA77),'Input_Meci'!AA77,5))-5)+0.012*(IF('Input_Meci'!AC77="",5,IF(ISNUMBER('Input_Meci'!AC77),'Input_Meci'!AC77,5))-5)+0.015*IF('Input_Meci'!AE77="",0,IF(ISNUMBER('Input_Meci'!AE77),'Input_Meci'!AE77,0))+0.02*IF('Input_Meci'!AG77="",0,IF(ISNUMBER('Input_Meci'!AG77),'Input_Meci'!AG77,0)))))</x:f>
      </x:c>
      <x:c r="BB77" s="11" t="str">
        <x:f>IF(I77&lt;&gt;"PASS","",(AVERAGE(AF77,AM77)*'Config_v6'!$B$4+AVERAGE(AH77,AO77)*'Config_v6'!$B$5+AVERAGE(AJ77,AQ77)*'Config_v6'!$B$6)*AX77*AZ77)</x:f>
      </x:c>
      <x:c r="BC77" s="11" t="str">
        <x:f>IF(I77&lt;&gt;"PASS","",(AVERAGE(AL77,AG77)*'Config_v6'!$B$4+AVERAGE(AN77,AI77)*'Config_v6'!$B$5+AVERAGE(AP77,AK77)*'Config_v6'!$B$6)*AY77*BA77)</x:f>
      </x:c>
      <x:c r="BD77" s="11" t="str">
        <x:f>IF(I77&lt;&gt;"PASS","",BB77+BC77)</x:f>
      </x:c>
      <x:c r="BE77" s="11" t="str">
        <x:f>IF(A77="","",10-SUM(IF(AND(ISNUMBER('Input_Meci'!N77),'Input_Meci'!N77&gt;=0,'Input_Meci'!N77&lt;=200),1,0),IF(AND(ISNUMBER('Input_Meci'!O77),'Input_Meci'!O77&gt;=0,'Input_Meci'!O77&lt;=200),1,0),IF(AND(ISNUMBER('Input_Meci'!P77),'Input_Meci'!P77&gt;=0,'Input_Meci'!P77&lt;=200),1,0),IF(AND(ISNUMBER('Input_Meci'!Q77),'Input_Meci'!Q77&gt;=0,'Input_Meci'!Q77&lt;=200),1,0),IF(AND(ISNUMBER('Input_Meci'!R77),'Input_Meci'!R77&gt;=0,'Input_Meci'!R77&lt;=200),1,0),IF(AND(ISNUMBER('Input_Meci'!S77),'Input_Meci'!S77&gt;=0,'Input_Meci'!S77&lt;=200),1,0),IF(AND(ISNUMBER('Input_Meci'!T77),'Input_Meci'!T77&gt;=0,'Input_Meci'!T77&lt;=100),1,0),IF(AND(ISNUMBER('Input_Meci'!U77),'Input_Meci'!U77&gt;=0,'Input_Meci'!U77&lt;=100),1,0),IF(AND(ISNUMBER('Input_Meci'!V77),'Input_Meci'!V77&gt;=0,'Input_Meci'!V77&lt;=10),1,0),IF(AND(ISNUMBER('Input_Meci'!W77),'Input_Meci'!W77&gt;=0,'Input_Meci'!W77&lt;=10),1,0)))</x:f>
      </x:c>
      <x:c r="BF77" s="11" t="str">
        <x:f>IF(I77&lt;&gt;"PASS","",MAX(0,MIN(IF(OR(M77="YES",BL77&lt;&gt;C77),'Config_v6'!$B$34,100),ROUND(40+25*MIN(1,MIN(N77,Q77)/'Config_v6'!$B$7)*MIN(1,MIN(O77,R77)/'Config_v6'!$B$8)*MIN(1,MIN(P77,S77)/'Config_v6'!$B$9)+MAX(0,15-2*ABS(AF77-AJ77)-2*ABS(AL77-AP77))+IF(AU77&lt;='Config_v6'!$B$10,15,IF(AU77&lt;='Config_v6'!$B$11,13,IF(AU77&lt;='Config_v6'!$B$12,10,IF(AU77&lt;='Config_v6'!$B$13,6,0))))+5-BE77/10*'Config_v6'!$B$38,0))))</x:f>
      </x:c>
      <x:c r="BG77" s="11" t="str">
        <x:f>IF(I77&lt;&gt;"PASS","",MIN(1,'Config_v6'!$B$14*(0.7+0.3*MIN(1,AR77/'Config_v6'!$B$15))*IF(AU77&lt;='Config_v6'!$B$10,1,IF(AU77&lt;='Config_v6'!$B$11,0.95,IF(AU77&lt;='Config_v6'!$B$12,0.88,0.78)))*(0.75+0.25*BF77/100)))</x:f>
      </x:c>
      <x:c r="BH77" s="11" t="str">
        <x:f>IF(I77&lt;&gt;"PASS","",MIN(1,(ABS(AZ77-1)+ABS(BA77-1))*3))</x:f>
      </x:c>
      <x:c r="BI77" s="2" t="str">
        <x:f>IF(A77="","",IF(AND(OR('Input_Meci'!X77="",AND(ISNUMBER('Input_Meci'!X77),'Input_Meci'!X77&gt;=0,'Input_Meci'!X77&lt;=10)),OR('Input_Meci'!Y77="",AND(ISNUMBER('Input_Meci'!Y77),'Input_Meci'!Y77&gt;=0,'Input_Meci'!Y77&lt;=10)),OR('Input_Meci'!Z77="",AND(ISNUMBER('Input_Meci'!Z77),'Input_Meci'!Z77&gt;=0,'Input_Meci'!Z77&lt;=10)),OR('Input_Meci'!AA77="",AND(ISNUMBER('Input_Meci'!AA77),'Input_Meci'!AA77&gt;=0,'Input_Meci'!AA77&lt;=10)),OR('Input_Meci'!AB77="",AND(ISNUMBER('Input_Meci'!AB77),'Input_Meci'!AB77&gt;=0,'Input_Meci'!AB77&lt;=10)),OR('Input_Meci'!AC77="",AND(ISNUMBER('Input_Meci'!AC77),'Input_Meci'!AC77&gt;=0,'Input_Meci'!AC77&lt;=10)),OR('Input_Meci'!AD77="",AND(ISNUMBER('Input_Meci'!AD77),'Input_Meci'!AD77&gt;=-2,'Input_Meci'!AD77&lt;=2)),OR('Input_Meci'!AE77="",AND(ISNUMBER('Input_Meci'!AE77),'Input_Meci'!AE77&gt;=-2,'Input_Meci'!AE77&lt;=2)),OR('Input_Meci'!AF77="",AND(ISNUMBER('Input_Meci'!AF77),'Input_Meci'!AF77&gt;=-2,'Input_Meci'!AF77&lt;=2)),OR('Input_Meci'!AG77="",AND(ISNUMBER('Input_Meci'!AG77),'Input_Meci'!AG77&gt;=-2,'Input_Meci'!AG77&lt;=2))),"VALID","INVALID"))</x:f>
      </x:c>
      <x:c r="BJ77" s="2" t="n">
        <x:f>IF(A77="",0,SUM('Core_Nativ'!S858:S863))</x:f>
        <x:v>0</x:v>
      </x:c>
      <x:c r="BK77" s="2" t="str">
        <x:f>'Config_v6'!$B$40</x:f>
        <x:v>VALID</x:v>
      </x:c>
      <x:c r="BL77" s="2" t="str">
        <x:f>IF(A77="","",IF(SUMPRODUCT(('Istoric_Nativ'!$B$6:$B$405=B77)*('Istoric_Nativ'!$C$6:$C$405=C77)*('Istoric_Nativ'!$P$6:$P$405=1)*('Istoric_Nativ'!$D$6:$D$405&lt;INT(G77))*((('Istoric_Nativ'!$E$6:$E$405='Input_Meci'!D77)+('Istoric_Nativ'!$F$6:$F$405='Input_Meci'!D77)+('Istoric_Nativ'!$E$6:$E$405='Input_Meci'!E77)+('Istoric_Nativ'!$F$6:$F$405='Input_Meci'!E77))&gt;0))&gt;='Config_v6'!$B$41,C77,IF(AND('Input_Meci'!L77="YES",'Input_Meci'!K77&lt;&gt;"",'Input_Meci'!K77&lt;C77,COUNTIF('Core_Nativ'!R864:R869,"CLOSED")=6,SUM('Core_Nativ'!S864:S869)=0),'Input_Meci'!K77,C77)))</x:f>
      </x:c>
      <x:c r="BM77" s="9" t="n">
        <x:f>IF(OR(A77="",N77=0),0,LARGE(_xlfn._xlws.FILTER('Istoric_Nativ'!$D$6:$D$405,('Istoric_Nativ'!$B$6:$B$405=B77)*('Istoric_Nativ'!$C$6:$C$405=C77)*('Istoric_Nativ'!$P$6:$P$405=1)*('Istoric_Nativ'!$D$6:$D$405&lt;INT(G77))*((('Istoric_Nativ'!$E$6:$E$405='Input_Meci'!D77)+('Istoric_Nativ'!$F$6:$F$405='Input_Meci'!D77))&gt;0)),MIN(10,N77)))</x:f>
        <x:v>0</x:v>
      </x:c>
      <x:c r="BN77" s="9" t="n">
        <x:f>IF(OR(A77="",Q77=0),0,LARGE(_xlfn._xlws.FILTER('Istoric_Nativ'!$D$6:$D$405,('Istoric_Nativ'!$B$6:$B$405=B77)*('Istoric_Nativ'!$C$6:$C$405=C77)*('Istoric_Nativ'!$P$6:$P$405=1)*('Istoric_Nativ'!$D$6:$D$405&lt;INT(G77))*((('Istoric_Nativ'!$E$6:$E$405='Input_Meci'!E77)+('Istoric_Nativ'!$F$6:$F$405='Input_Meci'!E77))&gt;0)),MIN(10,Q77)))</x:f>
        <x:v>0</x:v>
      </x:c>
      <x:c r="BO77" s="9" t="n">
        <x:f>IF(OR(A77="",N77=0),0,LARGE(_xlfn._xlws.FILTER('Istoric_Nativ'!$D$6:$D$405,('Istoric_Nativ'!$B$6:$B$405=B77)*('Istoric_Nativ'!$C$6:$C$405=C77)*('Istoric_Nativ'!$P$6:$P$405=1)*('Istoric_Nativ'!$D$6:$D$405&lt;INT(G77))*((('Istoric_Nativ'!$E$6:$E$405='Input_Meci'!D77)+('Istoric_Nativ'!$F$6:$F$405='Input_Meci'!D77))&gt;0)),MIN(20,N77)))</x:f>
        <x:v>0</x:v>
      </x:c>
      <x:c r="BP77" s="9" t="n">
        <x:f>IF(OR(A77="",Q77=0),0,LARGE(_xlfn._xlws.FILTER('Istoric_Nativ'!$D$6:$D$405,('Istoric_Nativ'!$B$6:$B$405=B77)*('Istoric_Nativ'!$C$6:$C$405=C77)*('Istoric_Nativ'!$P$6:$P$405=1)*('Istoric_Nativ'!$D$6:$D$405&lt;INT(G77))*((('Istoric_Nativ'!$E$6:$E$405='Input_Meci'!E77)+('Istoric_Nativ'!$F$6:$F$405='Input_Meci'!E77))&gt;0)),MIN(20,Q77)))</x:f>
        <x:v>0</x:v>
      </x:c>
      <x:c r="BQ77" s="2" t="str">
        <x:f>IF(A77="","",IF(AND(COUNTIF(MatchesTable[Match_ID],A77)=1,COUNTIFS(MatchesTable[League],B77,MatchesTable[Season],C77,MatchesTable[Home],'Input_Meci'!D77,MatchesTable[Away],'Input_Meci'!E77,MatchesTable[Kickoff_UTC],F77)=1,B77&lt;&gt;"",C77&lt;&gt;"",'Input_Meci'!D77&lt;&gt;"",'Input_Meci'!E77&lt;&gt;"",'Input_Meci'!D77&lt;&gt;'Input_Meci'!E77,ISNUMBER(F77),ISNUMBER(G77),G77&lt;F77,OR(E77="LIVE",E77="REPLAY"),OR('Input_Meci'!L77="YES",'Input_Meci'!L77="NO",'Input_Meci'!L77="")),"VALID","INVALID"))</x:f>
      </x:c>
      <x:c r="BR77" s="2" t="n">
        <x:f>IF(I77&lt;&gt;"PASS",0,SUMPRODUCT(('Istoric_Nativ'!$B$6:$B$405='Input_Meci'!B77)*('Istoric_Nativ'!$C$6:$C$405='Input_Meci'!C77)*('Istoric_Nativ'!$P$6:$P$405=1)*('Istoric_Nativ'!$D$6:$D$405&lt;INT('Input_Meci'!G77))*((('Istoric_Nativ'!$E$6:$E$405='Input_Meci'!D77)+('Istoric_Nativ'!$F$6:$F$405='Input_Meci'!E77))&gt;0)))</x:f>
        <x:v>0</x:v>
      </x:c>
      <x:c r="BS77" s="2" t="n">
        <x:f>IF(I77&lt;&gt;"PASS",0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BM77)+((('Istoric_Nativ'!$E$6:$E$405='Input_Meci'!E77)+('Istoric_Nativ'!$F$6:$F$405='Input_Meci'!E77))&gt;0)*('Istoric_Nativ'!$D$6:$D$405&gt;=BN77))&gt;0)))</x:f>
        <x:v>0</x:v>
      </x:c>
      <x:c r="BT77" s="2" t="n">
        <x:f>IF(I77&lt;&gt;"PASS",0,SUMPRODUCT(('Istoric_Nativ'!$B$6:$B$405='Input_Meci'!B77)*('Istoric_Nativ'!$C$6:$C$405='Input_Meci'!C77)*('Istoric_Nativ'!$P$6:$P$405=1)*('Istoric_Nativ'!$D$6:$D$405&lt;INT('Input_Meci'!G77))*((((('Istoric_Nativ'!$E$6:$E$405='Input_Meci'!D77)+('Istoric_Nativ'!$F$6:$F$405='Input_Meci'!D77))&gt;0)*('Istoric_Nativ'!$D$6:$D$405&gt;=BO77)+((('Istoric_Nativ'!$E$6:$E$405='Input_Meci'!E77)+('Istoric_Nativ'!$F$6:$F$405='Input_Meci'!E77))&gt;0)*('Istoric_Nativ'!$D$6:$D$405&gt;=BP77))&gt;0)))</x:f>
        <x:v>0</x:v>
      </x:c>
    </x:row>
    <x:row r="78" ht="21" customHeight="1">
      <x:c r="A78" s="2" t="str">
        <x:f>IF('Input_Meci'!A78="","",'Input_Meci'!A78)</x:f>
      </x:c>
      <x:c r="B78" s="2" t="str">
        <x:f>IF(A78="","",'Input_Meci'!B78)</x:f>
      </x:c>
      <x:c r="C78" s="2" t="str">
        <x:f>IF(A78="","",'Input_Meci'!C78)</x:f>
      </x:c>
      <x:c r="D78" s="2" t="str">
        <x:f>IF(A78="","",'Input_Meci'!D78&amp;" – "&amp;'Input_Meci'!E78)</x:f>
      </x:c>
      <x:c r="E78" s="2" t="str">
        <x:f>IF(A78="","",'Input_Meci'!H78)</x:f>
      </x:c>
      <x:c r="F78" s="9" t="str">
        <x:f>IF(A78="","",'Input_Meci'!F78)</x:f>
      </x:c>
      <x:c r="G78" s="9" t="str">
        <x:f>IF(A78="","",'Input_Meci'!G78)</x:f>
      </x:c>
      <x:c r="H78" s="2" t="str">
        <x:f>IF(A78="","",IF(BQ78&lt;&gt;"VALID","NOT RELEASED",IF(AND(OR('Input_Meci'!I78="NOT AVAILABLE",'Input_Meci'!I78="SOURCE CONFLICT"),'Input_Meci'!J78&lt;&gt;""),"READY",IF(OR(NOT(OR('Input_Meci'!I78="AUTO",'Input_Meci'!I78="")),COUNTIF('Core_Nativ'!R870:R875,"CLOSED")&lt;&gt;6,BJ78&gt;0),"NOT RELEASED","READY"))))</x:f>
      </x:c>
      <x:c r="I78" s="2" t="str">
        <x:f>IF(A78="","",IF(H78&lt;&gt;"READY","NOT RELEASED",IF(AND(NOT(OR('Input_Meci'!I78="NOT AVAILABLE",'Input_Meci'!I78="SOURCE CONFLICT")),L78=12,AR78&gt;=2,AS78&gt;0,ISNUMBER(AT78),BI78="VALID",BK78="VALID"),"PASS","FAIL")))</x:f>
      </x:c>
      <x:c r="J78" s="2" t="str">
        <x:f>IF(A78="","",IF(BQ78&lt;&gt;"VALID","Verifica ID, echipe, mod si cutoff &lt; kickoff",IF(H78&lt;&gt;"READY",IF('Input_Meci'!I78="ACCESS BLOCKED","Acces blocat: reia sursele",IF(BJ78&gt;0,"Istoric invalid sau conflict: verifica randurile native","Surse neinchise / post-cutoff / dovezi incomplete")),IF(OR('Input_Meci'!I78="NOT AVAILABLE",'Input_Meci'!I78="SOURCE CONFLICT"),'Input_Meci'!I78,IF(BK78&lt;&gt;"VALID","Parametri invalizi",IF(L78&lt;&gt;12,"Core / sample / prior insuficient",IF(AR78&lt;2,"N insuficient pentru dispersie",IF(AS78&lt;=0,"Media istorica trebuie sa fie pozitiva",IF(BI78&lt;&gt;"VALID","Context invalid","READY")))))))))</x:f>
      </x:c>
      <x:c r="K78" s="2" t="str">
        <x:f>IF(A78="","",COUNT(T78:AE78))</x:f>
      </x:c>
      <x:c r="L78" s="2" t="str">
        <x:f>IF(A78="","",COUNT(AF78:AQ78))</x:f>
      </x:c>
      <x:c r="M78" s="2" t="str">
        <x:f>IF(A78="","",IF(OR('Core_Nativ'!M870&lt;'Core_Nativ'!P870,'Core_Nativ'!M871&lt;'Core_Nativ'!P871,'Core_Nativ'!M872&lt;'Core_Nativ'!P872,'Core_Nativ'!M873&lt;'Core_Nativ'!P873,'Core_Nativ'!M874&lt;'Core_Nativ'!P874,'Core_Nativ'!M875&lt;'Core_Nativ'!P875),"YES","NO"))</x:f>
      </x:c>
      <x:c r="N78" s="2" t="str">
        <x:f>IF(A78="","",'Core_Nativ'!M870)</x:f>
      </x:c>
      <x:c r="O78" s="2" t="str">
        <x:f>IF(A78="","",'Core_Nativ'!M871)</x:f>
      </x:c>
      <x:c r="P78" s="2" t="str">
        <x:f>IF(A78="","",'Core_Nativ'!M872)</x:f>
      </x:c>
      <x:c r="Q78" s="2" t="str">
        <x:f>IF(A78="","",'Core_Nativ'!M873)</x:f>
      </x:c>
      <x:c r="R78" s="2" t="str">
        <x:f>IF(A78="","",'Core_Nativ'!M874)</x:f>
      </x:c>
      <x:c r="S78" s="2" t="str">
        <x:f>IF(A78="","",'Core_Nativ'!M875)</x:f>
      </x:c>
      <x:c r="T78" s="11" t="str">
        <x:f>IF(OR(A78="",'Core_Nativ'!M870=0),"",'Core_Nativ'!N870)</x:f>
      </x:c>
      <x:c r="U78" s="11" t="str">
        <x:f>IF(OR(A78="",'Core_Nativ'!M870=0),"",'Core_Nativ'!O870)</x:f>
      </x:c>
      <x:c r="V78" s="11" t="str">
        <x:f>IF(OR(A78="",'Core_Nativ'!M871=0),"",'Core_Nativ'!N871)</x:f>
      </x:c>
      <x:c r="W78" s="11" t="str">
        <x:f>IF(OR(A78="",'Core_Nativ'!M871=0),"",'Core_Nativ'!O871)</x:f>
      </x:c>
      <x:c r="X78" s="11" t="str">
        <x:f>IF(OR(A78="",'Core_Nativ'!M872=0),"",'Core_Nativ'!N872)</x:f>
      </x:c>
      <x:c r="Y78" s="11" t="str">
        <x:f>IF(OR(A78="",'Core_Nativ'!M872=0),"",'Core_Nativ'!O872)</x:f>
      </x:c>
      <x:c r="Z78" s="11" t="str">
        <x:f>IF(OR(A78="",'Core_Nativ'!M873=0),"",'Core_Nativ'!N873)</x:f>
      </x:c>
      <x:c r="AA78" s="11" t="str">
        <x:f>IF(OR(A78="",'Core_Nativ'!M873=0),"",'Core_Nativ'!O873)</x:f>
      </x:c>
      <x:c r="AB78" s="11" t="str">
        <x:f>IF(OR(A78="",'Core_Nativ'!M874=0),"",'Core_Nativ'!N874)</x:f>
      </x:c>
      <x:c r="AC78" s="11" t="str">
        <x:f>IF(OR(A78="",'Core_Nativ'!M874=0),"",'Core_Nativ'!O874)</x:f>
      </x:c>
      <x:c r="AD78" s="11" t="str">
        <x:f>IF(OR(A78="",'Core_Nativ'!M875=0),"",'Core_Nativ'!N875)</x:f>
      </x:c>
      <x:c r="AE78" s="11" t="str">
        <x:f>IF(OR(A78="",'Core_Nativ'!M875=0),"",'Core_Nativ'!O875)</x:f>
      </x:c>
      <x:c r="AF78" s="11" t="str">
        <x:f>IF(A78="","",IF(AND('Core_Nativ'!R870="CLOSED",'Core_Nativ'!S870=0),IF('Core_Nativ'!M870&gt;='Core_Nativ'!P870,'Core_Nativ'!N870,IF(AND('Input_Meci'!L78="YES",'Input_Meci'!K78&lt;&gt;"",'Input_Meci'!K78&lt;C78,'Core_Nativ'!T876="DERIVED",'Core_Nativ'!M876&gt;='Core_Nativ'!P870),MIN(1,'Core_Nativ'!M870/'Core_Nativ'!P870)*IF('Core_Nativ'!M870=0,0,'Core_Nativ'!N870)+(1-MIN(1,'Core_Nativ'!M870/'Core_Nativ'!P870))*'Core_Nativ'!N876,"")),""))</x:f>
      </x:c>
      <x:c r="AG78" s="11" t="str">
        <x:f>IF(A78="","",IF(AND('Core_Nativ'!R870="CLOSED",'Core_Nativ'!S870=0),IF('Core_Nativ'!M870&gt;='Core_Nativ'!P870,'Core_Nativ'!O870,IF(AND('Input_Meci'!L78="YES",'Input_Meci'!K78&lt;&gt;"",'Input_Meci'!K78&lt;C78,'Core_Nativ'!T876="DERIVED",'Core_Nativ'!M876&gt;='Core_Nativ'!P870),MIN(1,'Core_Nativ'!M870/'Core_Nativ'!P870)*IF('Core_Nativ'!M870=0,0,'Core_Nativ'!O870)+(1-MIN(1,'Core_Nativ'!M870/'Core_Nativ'!P870))*'Core_Nativ'!O876,"")),""))</x:f>
      </x:c>
      <x:c r="AH78" s="11" t="str">
        <x:f>IF(A78="","",IF(AND('Core_Nativ'!R871="CLOSED",'Core_Nativ'!S871=0),IF('Core_Nativ'!M871&gt;='Core_Nativ'!P871,'Core_Nativ'!N871,IF(AND('Input_Meci'!L78="YES",'Input_Meci'!K78&lt;&gt;"",'Input_Meci'!K78&lt;C78,'Core_Nativ'!T877="DERIVED",'Core_Nativ'!M877&gt;='Core_Nativ'!P871),MIN(1,'Core_Nativ'!M871/'Core_Nativ'!P871)*IF('Core_Nativ'!M871=0,0,'Core_Nativ'!N871)+(1-MIN(1,'Core_Nativ'!M871/'Core_Nativ'!P871))*'Core_Nativ'!N877,"")),""))</x:f>
      </x:c>
      <x:c r="AI78" s="11" t="str">
        <x:f>IF(A78="","",IF(AND('Core_Nativ'!R871="CLOSED",'Core_Nativ'!S871=0),IF('Core_Nativ'!M871&gt;='Core_Nativ'!P871,'Core_Nativ'!O871,IF(AND('Input_Meci'!L78="YES",'Input_Meci'!K78&lt;&gt;"",'Input_Meci'!K78&lt;C78,'Core_Nativ'!T877="DERIVED",'Core_Nativ'!M877&gt;='Core_Nativ'!P871),MIN(1,'Core_Nativ'!M871/'Core_Nativ'!P871)*IF('Core_Nativ'!M871=0,0,'Core_Nativ'!O871)+(1-MIN(1,'Core_Nativ'!M871/'Core_Nativ'!P871))*'Core_Nativ'!O877,"")),""))</x:f>
      </x:c>
      <x:c r="AJ78" s="11" t="str">
        <x:f>IF(A78="","",IF(AND('Core_Nativ'!R872="CLOSED",'Core_Nativ'!S872=0),IF('Core_Nativ'!M872&gt;='Core_Nativ'!P872,'Core_Nativ'!N872,IF(AND('Input_Meci'!L78="YES",'Input_Meci'!K78&lt;&gt;"",'Input_Meci'!K78&lt;C78,'Core_Nativ'!T878="DERIVED",'Core_Nativ'!M878&gt;='Core_Nativ'!P872),MIN(1,'Core_Nativ'!M872/'Core_Nativ'!P872)*IF('Core_Nativ'!M872=0,0,'Core_Nativ'!N872)+(1-MIN(1,'Core_Nativ'!M872/'Core_Nativ'!P872))*'Core_Nativ'!N878,"")),""))</x:f>
      </x:c>
      <x:c r="AK78" s="11" t="str">
        <x:f>IF(A78="","",IF(AND('Core_Nativ'!R872="CLOSED",'Core_Nativ'!S872=0),IF('Core_Nativ'!M872&gt;='Core_Nativ'!P872,'Core_Nativ'!O872,IF(AND('Input_Meci'!L78="YES",'Input_Meci'!K78&lt;&gt;"",'Input_Meci'!K78&lt;C78,'Core_Nativ'!T878="DERIVED",'Core_Nativ'!M878&gt;='Core_Nativ'!P872),MIN(1,'Core_Nativ'!M872/'Core_Nativ'!P872)*IF('Core_Nativ'!M872=0,0,'Core_Nativ'!O872)+(1-MIN(1,'Core_Nativ'!M872/'Core_Nativ'!P872))*'Core_Nativ'!O878,"")),""))</x:f>
      </x:c>
      <x:c r="AL78" s="11" t="str">
        <x:f>IF(A78="","",IF(AND('Core_Nativ'!R873="CLOSED",'Core_Nativ'!S873=0),IF('Core_Nativ'!M873&gt;='Core_Nativ'!P873,'Core_Nativ'!N873,IF(AND('Input_Meci'!L78="YES",'Input_Meci'!K78&lt;&gt;"",'Input_Meci'!K78&lt;C78,'Core_Nativ'!T879="DERIVED",'Core_Nativ'!M879&gt;='Core_Nativ'!P873),MIN(1,'Core_Nativ'!M873/'Core_Nativ'!P873)*IF('Core_Nativ'!M873=0,0,'Core_Nativ'!N873)+(1-MIN(1,'Core_Nativ'!M873/'Core_Nativ'!P873))*'Core_Nativ'!N879,"")),""))</x:f>
      </x:c>
      <x:c r="AM78" s="11" t="str">
        <x:f>IF(A78="","",IF(AND('Core_Nativ'!R873="CLOSED",'Core_Nativ'!S873=0),IF('Core_Nativ'!M873&gt;='Core_Nativ'!P873,'Core_Nativ'!O873,IF(AND('Input_Meci'!L78="YES",'Input_Meci'!K78&lt;&gt;"",'Input_Meci'!K78&lt;C78,'Core_Nativ'!T879="DERIVED",'Core_Nativ'!M879&gt;='Core_Nativ'!P873),MIN(1,'Core_Nativ'!M873/'Core_Nativ'!P873)*IF('Core_Nativ'!M873=0,0,'Core_Nativ'!O873)+(1-MIN(1,'Core_Nativ'!M873/'Core_Nativ'!P873))*'Core_Nativ'!O879,"")),""))</x:f>
      </x:c>
      <x:c r="AN78" s="11" t="str">
        <x:f>IF(A78="","",IF(AND('Core_Nativ'!R874="CLOSED",'Core_Nativ'!S874=0),IF('Core_Nativ'!M874&gt;='Core_Nativ'!P874,'Core_Nativ'!N874,IF(AND('Input_Meci'!L78="YES",'Input_Meci'!K78&lt;&gt;"",'Input_Meci'!K78&lt;C78,'Core_Nativ'!T880="DERIVED",'Core_Nativ'!M880&gt;='Core_Nativ'!P874),MIN(1,'Core_Nativ'!M874/'Core_Nativ'!P874)*IF('Core_Nativ'!M874=0,0,'Core_Nativ'!N874)+(1-MIN(1,'Core_Nativ'!M874/'Core_Nativ'!P874))*'Core_Nativ'!N880,"")),""))</x:f>
      </x:c>
      <x:c r="AO78" s="11" t="str">
        <x:f>IF(A78="","",IF(AND('Core_Nativ'!R874="CLOSED",'Core_Nativ'!S874=0),IF('Core_Nativ'!M874&gt;='Core_Nativ'!P874,'Core_Nativ'!O874,IF(AND('Input_Meci'!L78="YES",'Input_Meci'!K78&lt;&gt;"",'Input_Meci'!K78&lt;C78,'Core_Nativ'!T880="DERIVED",'Core_Nativ'!M880&gt;='Core_Nativ'!P874),MIN(1,'Core_Nativ'!M874/'Core_Nativ'!P874)*IF('Core_Nativ'!M874=0,0,'Core_Nativ'!O874)+(1-MIN(1,'Core_Nativ'!M874/'Core_Nativ'!P874))*'Core_Nativ'!O880,"")),""))</x:f>
      </x:c>
      <x:c r="AP78" s="11" t="str">
        <x:f>IF(A78="","",IF(AND('Core_Nativ'!R875="CLOSED",'Core_Nativ'!S875=0),IF('Core_Nativ'!M875&gt;='Core_Nativ'!P875,'Core_Nativ'!N875,IF(AND('Input_Meci'!L78="YES",'Input_Meci'!K78&lt;&gt;"",'Input_Meci'!K78&lt;C78,'Core_Nativ'!T881="DERIVED",'Core_Nativ'!M881&gt;='Core_Nativ'!P875),MIN(1,'Core_Nativ'!M875/'Core_Nativ'!P875)*IF('Core_Nativ'!M875=0,0,'Core_Nativ'!N875)+(1-MIN(1,'Core_Nativ'!M875/'Core_Nativ'!P875))*'Core_Nativ'!N881,"")),""))</x:f>
      </x:c>
      <x:c r="AQ78" s="11" t="str">
        <x:f>IF(A78="","",IF(AND('Core_Nativ'!R875="CLOSED",'Core_Nativ'!S875=0),IF('Core_Nativ'!M875&gt;='Core_Nativ'!P875,'Core_Nativ'!O875,IF(AND('Input_Meci'!L78="YES",'Input_Meci'!K78&lt;&gt;"",'Input_Meci'!K78&lt;C78,'Core_Nativ'!T881="DERIVED",'Core_Nativ'!M881&gt;='Core_Nativ'!P875),MIN(1,'Core_Nativ'!M875/'Core_Nativ'!P875)*IF('Core_Nativ'!M875=0,0,'Core_Nativ'!O875)+(1-MIN(1,'Core_Nativ'!M875/'Core_Nativ'!P875))*'Core_Nativ'!O881,"")),""))</x:f>
      </x:c>
      <x:c r="AR78" s="11" t="str">
        <x:f>IF(A78="","",SUMPRODUCT(('Istoric_Nativ'!$B$6:$B$405=B78)*('Istoric_Nativ'!$C$6:$C$405=BL78)*('Istoric_Nativ'!$P$6:$P$405=1)*('Istoric_Nativ'!$D$6:$D$405&lt;INT(G78))*((('Istoric_Nativ'!$E$6:$E$405='Input_Meci'!D78)+('Istoric_Nativ'!$F$6:$F$405='Input_Meci'!D78)+('Istoric_Nativ'!$E$6:$E$405='Input_Meci'!E78)+('Istoric_Nativ'!$F$6:$F$405='Input_Meci'!E78))&gt;0)))</x:f>
      </x:c>
      <x:c r="AS78" s="11" t="str">
        <x:f>IF(AR78=0,"",SUMPRODUCT(('Istoric_Nativ'!$B$6:$B$405=B78)*('Istoric_Nativ'!$C$6:$C$405=BL78)*('Istoric_Nativ'!$P$6:$P$405=1)*('Istoric_Nativ'!$D$6:$D$405&lt;INT(G78))*((('Istoric_Nativ'!$E$6:$E$405='Input_Meci'!D78)+('Istoric_Nativ'!$F$6:$F$405='Input_Meci'!D78)+('Istoric_Nativ'!$E$6:$E$405='Input_Meci'!E78)+('Istoric_Nativ'!$F$6:$F$405='Input_Meci'!E78))&gt;0)*'Istoric_Nativ'!$Q$6:$Q$405)/AR78)</x:f>
      </x:c>
      <x:c r="AT78" s="11" t="str">
        <x:f>IF(AR78&lt;2,"",MAX(0,(SUMPRODUCT(('Istoric_Nativ'!$B$6:$B$405=B78)*('Istoric_Nativ'!$C$6:$C$405=BL78)*('Istoric_Nativ'!$P$6:$P$405=1)*('Istoric_Nativ'!$D$6:$D$405&lt;INT(G78))*((('Istoric_Nativ'!$E$6:$E$405='Input_Meci'!D78)+('Istoric_Nativ'!$F$6:$F$405='Input_Meci'!D78)+('Istoric_Nativ'!$E$6:$E$405='Input_Meci'!E78)+('Istoric_Nativ'!$F$6:$F$405='Input_Meci'!E78))&gt;0)*'Istoric_Nativ'!$R$6:$R$405)-AR78*AS78^2)/(AR78-1)))</x:f>
      </x:c>
      <x:c r="AU78" s="11" t="str">
        <x:f>IF(I78&lt;&gt;"PASS","",AT78/AS78)</x:f>
      </x:c>
      <x:c r="AV78" s="11" t="str">
        <x:f>IF(I78&lt;&gt;"PASS","",IF(AU78&lt;='Config_v6'!$B$10,"POISSON","NEGATIVE BINOMIAL"))</x:f>
      </x:c>
      <x:c r="AW78" s="11" t="str">
        <x:f>IF(I78&lt;&gt;"PASS","",IF(AV78="POISSON",9999,AS78/(AU78-1)))</x:f>
      </x:c>
      <x:c r="AX78" s="11" t="str">
        <x:f>IF(A78="","",MAX(1-'Config_v6'!$B$20,MIN(1+'Config_v6'!$B$20,1+0.02*(IF(AND(ISNUMBER('Input_Meci'!N78),'Input_Meci'!N78&gt;=0,'Input_Meci'!N78&lt;=200),'Input_Meci'!N78,12)/12-1)+0.02*(IF(AND(ISNUMBER('Input_Meci'!P78),'Input_Meci'!P78&gt;=0,'Input_Meci'!P78&lt;=200),'Input_Meci'!P78,3.5)/3.5-1)+0.02*(IF(AND(ISNUMBER('Input_Meci'!R78),'Input_Meci'!R78&gt;=0,'Input_Meci'!R78&lt;=200),'Input_Meci'!R78,18)/18-1)+0.02*((IF(AND(ISNUMBER('Input_Meci'!V78),'Input_Meci'!V78&gt;=0,'Input_Meci'!V78&lt;=10),'Input_Meci'!V78,5)-5)/5))))</x:f>
      </x:c>
      <x:c r="AY78" s="11" t="str">
        <x:f>IF(A78="","",MAX(1-'Config_v6'!$B$20,MIN(1+'Config_v6'!$B$20,1+0.02*(IF(AND(ISNUMBER('Input_Meci'!O78),'Input_Meci'!O78&gt;=0,'Input_Meci'!O78&lt;=200),'Input_Meci'!O78,12)/12-1)+0.02*(IF(AND(ISNUMBER('Input_Meci'!Q78),'Input_Meci'!Q78&gt;=0,'Input_Meci'!Q78&lt;=200),'Input_Meci'!Q78,3.5)/3.5-1)+0.02*(IF(AND(ISNUMBER('Input_Meci'!S78),'Input_Meci'!S78&gt;=0,'Input_Meci'!S78&lt;=200),'Input_Meci'!S78,18)/18-1)+0.02*((IF(AND(ISNUMBER('Input_Meci'!W78),'Input_Meci'!W78&gt;=0,'Input_Meci'!W78&lt;=10),'Input_Meci'!W78,5)-5)/5))))</x:f>
      </x:c>
      <x:c r="AZ78" s="11" t="str">
        <x:f>IF(A78="","",MAX(1-'Config_v6'!$B$21,MIN(1+'Config_v6'!$B$21,1+0.012*(IF('Input_Meci'!X78="",5,IF(ISNUMBER('Input_Meci'!X78),'Input_Meci'!X78,5))-5)+0.018*(IF('Input_Meci'!Z78="",5,IF(ISNUMBER('Input_Meci'!Z78),'Input_Meci'!Z78,5))-5)+0.012*(IF('Input_Meci'!AB78="",5,IF(ISNUMBER('Input_Meci'!AB78),'Input_Meci'!AB78,5))-5)+0.015*IF('Input_Meci'!AD78="",0,IF(ISNUMBER('Input_Meci'!AD78),'Input_Meci'!AD78,0))+0.02*IF('Input_Meci'!AF78="",0,IF(ISNUMBER('Input_Meci'!AF78),'Input_Meci'!AF78,0)))))</x:f>
      </x:c>
      <x:c r="BA78" s="11" t="str">
        <x:f>IF(A78="","",MAX(1-'Config_v6'!$B$21,MIN(1+'Config_v6'!$B$21,1+0.012*(IF('Input_Meci'!Y78="",5,IF(ISNUMBER('Input_Meci'!Y78),'Input_Meci'!Y78,5))-5)+0.018*(IF('Input_Meci'!AA78="",5,IF(ISNUMBER('Input_Meci'!AA78),'Input_Meci'!AA78,5))-5)+0.012*(IF('Input_Meci'!AC78="",5,IF(ISNUMBER('Input_Meci'!AC78),'Input_Meci'!AC78,5))-5)+0.015*IF('Input_Meci'!AE78="",0,IF(ISNUMBER('Input_Meci'!AE78),'Input_Meci'!AE78,0))+0.02*IF('Input_Meci'!AG78="",0,IF(ISNUMBER('Input_Meci'!AG78),'Input_Meci'!AG78,0)))))</x:f>
      </x:c>
      <x:c r="BB78" s="11" t="str">
        <x:f>IF(I78&lt;&gt;"PASS","",(AVERAGE(AF78,AM78)*'Config_v6'!$B$4+AVERAGE(AH78,AO78)*'Config_v6'!$B$5+AVERAGE(AJ78,AQ78)*'Config_v6'!$B$6)*AX78*AZ78)</x:f>
      </x:c>
      <x:c r="BC78" s="11" t="str">
        <x:f>IF(I78&lt;&gt;"PASS","",(AVERAGE(AL78,AG78)*'Config_v6'!$B$4+AVERAGE(AN78,AI78)*'Config_v6'!$B$5+AVERAGE(AP78,AK78)*'Config_v6'!$B$6)*AY78*BA78)</x:f>
      </x:c>
      <x:c r="BD78" s="11" t="str">
        <x:f>IF(I78&lt;&gt;"PASS","",BB78+BC78)</x:f>
      </x:c>
      <x:c r="BE78" s="11" t="str">
        <x:f>IF(A78="","",10-SUM(IF(AND(ISNUMBER('Input_Meci'!N78),'Input_Meci'!N78&gt;=0,'Input_Meci'!N78&lt;=200),1,0),IF(AND(ISNUMBER('Input_Meci'!O78),'Input_Meci'!O78&gt;=0,'Input_Meci'!O78&lt;=200),1,0),IF(AND(ISNUMBER('Input_Meci'!P78),'Input_Meci'!P78&gt;=0,'Input_Meci'!P78&lt;=200),1,0),IF(AND(ISNUMBER('Input_Meci'!Q78),'Input_Meci'!Q78&gt;=0,'Input_Meci'!Q78&lt;=200),1,0),IF(AND(ISNUMBER('Input_Meci'!R78),'Input_Meci'!R78&gt;=0,'Input_Meci'!R78&lt;=200),1,0),IF(AND(ISNUMBER('Input_Meci'!S78),'Input_Meci'!S78&gt;=0,'Input_Meci'!S78&lt;=200),1,0),IF(AND(ISNUMBER('Input_Meci'!T78),'Input_Meci'!T78&gt;=0,'Input_Meci'!T78&lt;=100),1,0),IF(AND(ISNUMBER('Input_Meci'!U78),'Input_Meci'!U78&gt;=0,'Input_Meci'!U78&lt;=100),1,0),IF(AND(ISNUMBER('Input_Meci'!V78),'Input_Meci'!V78&gt;=0,'Input_Meci'!V78&lt;=10),1,0),IF(AND(ISNUMBER('Input_Meci'!W78),'Input_Meci'!W78&gt;=0,'Input_Meci'!W78&lt;=10),1,0)))</x:f>
      </x:c>
      <x:c r="BF78" s="11" t="str">
        <x:f>IF(I78&lt;&gt;"PASS","",MAX(0,MIN(IF(OR(M78="YES",BL78&lt;&gt;C78),'Config_v6'!$B$34,100),ROUND(40+25*MIN(1,MIN(N78,Q78)/'Config_v6'!$B$7)*MIN(1,MIN(O78,R78)/'Config_v6'!$B$8)*MIN(1,MIN(P78,S78)/'Config_v6'!$B$9)+MAX(0,15-2*ABS(AF78-AJ78)-2*ABS(AL78-AP78))+IF(AU78&lt;='Config_v6'!$B$10,15,IF(AU78&lt;='Config_v6'!$B$11,13,IF(AU78&lt;='Config_v6'!$B$12,10,IF(AU78&lt;='Config_v6'!$B$13,6,0))))+5-BE78/10*'Config_v6'!$B$38,0))))</x:f>
      </x:c>
      <x:c r="BG78" s="11" t="str">
        <x:f>IF(I78&lt;&gt;"PASS","",MIN(1,'Config_v6'!$B$14*(0.7+0.3*MIN(1,AR78/'Config_v6'!$B$15))*IF(AU78&lt;='Config_v6'!$B$10,1,IF(AU78&lt;='Config_v6'!$B$11,0.95,IF(AU78&lt;='Config_v6'!$B$12,0.88,0.78)))*(0.75+0.25*BF78/100)))</x:f>
      </x:c>
      <x:c r="BH78" s="11" t="str">
        <x:f>IF(I78&lt;&gt;"PASS","",MIN(1,(ABS(AZ78-1)+ABS(BA78-1))*3))</x:f>
      </x:c>
      <x:c r="BI78" s="2" t="str">
        <x:f>IF(A78="","",IF(AND(OR('Input_Meci'!X78="",AND(ISNUMBER('Input_Meci'!X78),'Input_Meci'!X78&gt;=0,'Input_Meci'!X78&lt;=10)),OR('Input_Meci'!Y78="",AND(ISNUMBER('Input_Meci'!Y78),'Input_Meci'!Y78&gt;=0,'Input_Meci'!Y78&lt;=10)),OR('Input_Meci'!Z78="",AND(ISNUMBER('Input_Meci'!Z78),'Input_Meci'!Z78&gt;=0,'Input_Meci'!Z78&lt;=10)),OR('Input_Meci'!AA78="",AND(ISNUMBER('Input_Meci'!AA78),'Input_Meci'!AA78&gt;=0,'Input_Meci'!AA78&lt;=10)),OR('Input_Meci'!AB78="",AND(ISNUMBER('Input_Meci'!AB78),'Input_Meci'!AB78&gt;=0,'Input_Meci'!AB78&lt;=10)),OR('Input_Meci'!AC78="",AND(ISNUMBER('Input_Meci'!AC78),'Input_Meci'!AC78&gt;=0,'Input_Meci'!AC78&lt;=10)),OR('Input_Meci'!AD78="",AND(ISNUMBER('Input_Meci'!AD78),'Input_Meci'!AD78&gt;=-2,'Input_Meci'!AD78&lt;=2)),OR('Input_Meci'!AE78="",AND(ISNUMBER('Input_Meci'!AE78),'Input_Meci'!AE78&gt;=-2,'Input_Meci'!AE78&lt;=2)),OR('Input_Meci'!AF78="",AND(ISNUMBER('Input_Meci'!AF78),'Input_Meci'!AF78&gt;=-2,'Input_Meci'!AF78&lt;=2)),OR('Input_Meci'!AG78="",AND(ISNUMBER('Input_Meci'!AG78),'Input_Meci'!AG78&gt;=-2,'Input_Meci'!AG78&lt;=2))),"VALID","INVALID"))</x:f>
      </x:c>
      <x:c r="BJ78" s="2" t="n">
        <x:f>IF(A78="",0,SUM('Core_Nativ'!S870:S875))</x:f>
        <x:v>0</x:v>
      </x:c>
      <x:c r="BK78" s="2" t="str">
        <x:f>'Config_v6'!$B$40</x:f>
        <x:v>VALID</x:v>
      </x:c>
      <x:c r="BL78" s="2" t="str">
        <x:f>IF(A78="","",IF(SUMPRODUCT(('Istoric_Nativ'!$B$6:$B$405=B78)*('Istoric_Nativ'!$C$6:$C$405=C78)*('Istoric_Nativ'!$P$6:$P$405=1)*('Istoric_Nativ'!$D$6:$D$405&lt;INT(G78))*((('Istoric_Nativ'!$E$6:$E$405='Input_Meci'!D78)+('Istoric_Nativ'!$F$6:$F$405='Input_Meci'!D78)+('Istoric_Nativ'!$E$6:$E$405='Input_Meci'!E78)+('Istoric_Nativ'!$F$6:$F$405='Input_Meci'!E78))&gt;0))&gt;='Config_v6'!$B$41,C78,IF(AND('Input_Meci'!L78="YES",'Input_Meci'!K78&lt;&gt;"",'Input_Meci'!K78&lt;C78,COUNTIF('Core_Nativ'!R876:R881,"CLOSED")=6,SUM('Core_Nativ'!S876:S881)=0),'Input_Meci'!K78,C78)))</x:f>
      </x:c>
      <x:c r="BM78" s="9" t="n">
        <x:f>IF(OR(A78="",N78=0),0,LARGE(_xlfn._xlws.FILTER('Istoric_Nativ'!$D$6:$D$405,('Istoric_Nativ'!$B$6:$B$405=B78)*('Istoric_Nativ'!$C$6:$C$405=C78)*('Istoric_Nativ'!$P$6:$P$405=1)*('Istoric_Nativ'!$D$6:$D$405&lt;INT(G78))*((('Istoric_Nativ'!$E$6:$E$405='Input_Meci'!D78)+('Istoric_Nativ'!$F$6:$F$405='Input_Meci'!D78))&gt;0)),MIN(10,N78)))</x:f>
        <x:v>0</x:v>
      </x:c>
      <x:c r="BN78" s="9" t="n">
        <x:f>IF(OR(A78="",Q78=0),0,LARGE(_xlfn._xlws.FILTER('Istoric_Nativ'!$D$6:$D$405,('Istoric_Nativ'!$B$6:$B$405=B78)*('Istoric_Nativ'!$C$6:$C$405=C78)*('Istoric_Nativ'!$P$6:$P$405=1)*('Istoric_Nativ'!$D$6:$D$405&lt;INT(G78))*((('Istoric_Nativ'!$E$6:$E$405='Input_Meci'!E78)+('Istoric_Nativ'!$F$6:$F$405='Input_Meci'!E78))&gt;0)),MIN(10,Q78)))</x:f>
        <x:v>0</x:v>
      </x:c>
      <x:c r="BO78" s="9" t="n">
        <x:f>IF(OR(A78="",N78=0),0,LARGE(_xlfn._xlws.FILTER('Istoric_Nativ'!$D$6:$D$405,('Istoric_Nativ'!$B$6:$B$405=B78)*('Istoric_Nativ'!$C$6:$C$405=C78)*('Istoric_Nativ'!$P$6:$P$405=1)*('Istoric_Nativ'!$D$6:$D$405&lt;INT(G78))*((('Istoric_Nativ'!$E$6:$E$405='Input_Meci'!D78)+('Istoric_Nativ'!$F$6:$F$405='Input_Meci'!D78))&gt;0)),MIN(20,N78)))</x:f>
        <x:v>0</x:v>
      </x:c>
      <x:c r="BP78" s="9" t="n">
        <x:f>IF(OR(A78="",Q78=0),0,LARGE(_xlfn._xlws.FILTER('Istoric_Nativ'!$D$6:$D$405,('Istoric_Nativ'!$B$6:$B$405=B78)*('Istoric_Nativ'!$C$6:$C$405=C78)*('Istoric_Nativ'!$P$6:$P$405=1)*('Istoric_Nativ'!$D$6:$D$405&lt;INT(G78))*((('Istoric_Nativ'!$E$6:$E$405='Input_Meci'!E78)+('Istoric_Nativ'!$F$6:$F$405='Input_Meci'!E78))&gt;0)),MIN(20,Q78)))</x:f>
        <x:v>0</x:v>
      </x:c>
      <x:c r="BQ78" s="2" t="str">
        <x:f>IF(A78="","",IF(AND(COUNTIF(MatchesTable[Match_ID],A78)=1,COUNTIFS(MatchesTable[League],B78,MatchesTable[Season],C78,MatchesTable[Home],'Input_Meci'!D78,MatchesTable[Away],'Input_Meci'!E78,MatchesTable[Kickoff_UTC],F78)=1,B78&lt;&gt;"",C78&lt;&gt;"",'Input_Meci'!D78&lt;&gt;"",'Input_Meci'!E78&lt;&gt;"",'Input_Meci'!D78&lt;&gt;'Input_Meci'!E78,ISNUMBER(F78),ISNUMBER(G78),G78&lt;F78,OR(E78="LIVE",E78="REPLAY"),OR('Input_Meci'!L78="YES",'Input_Meci'!L78="NO",'Input_Meci'!L78="")),"VALID","INVALID"))</x:f>
      </x:c>
      <x:c r="BR78" s="2" t="n">
        <x:f>IF(I78&lt;&gt;"PASS",0,SUMPRODUCT(('Istoric_Nativ'!$B$6:$B$405='Input_Meci'!B78)*('Istoric_Nativ'!$C$6:$C$405='Input_Meci'!C78)*('Istoric_Nativ'!$P$6:$P$405=1)*('Istoric_Nativ'!$D$6:$D$405&lt;INT('Input_Meci'!G78))*((('Istoric_Nativ'!$E$6:$E$405='Input_Meci'!D78)+('Istoric_Nativ'!$F$6:$F$405='Input_Meci'!E78))&gt;0)))</x:f>
        <x:v>0</x:v>
      </x:c>
      <x:c r="BS78" s="2" t="n">
        <x:f>IF(I78&lt;&gt;"PASS",0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BM78)+((('Istoric_Nativ'!$E$6:$E$405='Input_Meci'!E78)+('Istoric_Nativ'!$F$6:$F$405='Input_Meci'!E78))&gt;0)*('Istoric_Nativ'!$D$6:$D$405&gt;=BN78))&gt;0)))</x:f>
        <x:v>0</x:v>
      </x:c>
      <x:c r="BT78" s="2" t="n">
        <x:f>IF(I78&lt;&gt;"PASS",0,SUMPRODUCT(('Istoric_Nativ'!$B$6:$B$405='Input_Meci'!B78)*('Istoric_Nativ'!$C$6:$C$405='Input_Meci'!C78)*('Istoric_Nativ'!$P$6:$P$405=1)*('Istoric_Nativ'!$D$6:$D$405&lt;INT('Input_Meci'!G78))*((((('Istoric_Nativ'!$E$6:$E$405='Input_Meci'!D78)+('Istoric_Nativ'!$F$6:$F$405='Input_Meci'!D78))&gt;0)*('Istoric_Nativ'!$D$6:$D$405&gt;=BO78)+((('Istoric_Nativ'!$E$6:$E$405='Input_Meci'!E78)+('Istoric_Nativ'!$F$6:$F$405='Input_Meci'!E78))&gt;0)*('Istoric_Nativ'!$D$6:$D$405&gt;=BP78))&gt;0)))</x:f>
        <x:v>0</x:v>
      </x:c>
    </x:row>
    <x:row r="79" ht="21" customHeight="1">
      <x:c r="A79" s="2" t="str">
        <x:f>IF('Input_Meci'!A79="","",'Input_Meci'!A79)</x:f>
      </x:c>
      <x:c r="B79" s="2" t="str">
        <x:f>IF(A79="","",'Input_Meci'!B79)</x:f>
      </x:c>
      <x:c r="C79" s="2" t="str">
        <x:f>IF(A79="","",'Input_Meci'!C79)</x:f>
      </x:c>
      <x:c r="D79" s="2" t="str">
        <x:f>IF(A79="","",'Input_Meci'!D79&amp;" – "&amp;'Input_Meci'!E79)</x:f>
      </x:c>
      <x:c r="E79" s="2" t="str">
        <x:f>IF(A79="","",'Input_Meci'!H79)</x:f>
      </x:c>
      <x:c r="F79" s="9" t="str">
        <x:f>IF(A79="","",'Input_Meci'!F79)</x:f>
      </x:c>
      <x:c r="G79" s="9" t="str">
        <x:f>IF(A79="","",'Input_Meci'!G79)</x:f>
      </x:c>
      <x:c r="H79" s="2" t="str">
        <x:f>IF(A79="","",IF(BQ79&lt;&gt;"VALID","NOT RELEASED",IF(AND(OR('Input_Meci'!I79="NOT AVAILABLE",'Input_Meci'!I79="SOURCE CONFLICT"),'Input_Meci'!J79&lt;&gt;""),"READY",IF(OR(NOT(OR('Input_Meci'!I79="AUTO",'Input_Meci'!I79="")),COUNTIF('Core_Nativ'!R882:R887,"CLOSED")&lt;&gt;6,BJ79&gt;0),"NOT RELEASED","READY"))))</x:f>
      </x:c>
      <x:c r="I79" s="2" t="str">
        <x:f>IF(A79="","",IF(H79&lt;&gt;"READY","NOT RELEASED",IF(AND(NOT(OR('Input_Meci'!I79="NOT AVAILABLE",'Input_Meci'!I79="SOURCE CONFLICT")),L79=12,AR79&gt;=2,AS79&gt;0,ISNUMBER(AT79),BI79="VALID",BK79="VALID"),"PASS","FAIL")))</x:f>
      </x:c>
      <x:c r="J79" s="2" t="str">
        <x:f>IF(A79="","",IF(BQ79&lt;&gt;"VALID","Verifica ID, echipe, mod si cutoff &lt; kickoff",IF(H79&lt;&gt;"READY",IF('Input_Meci'!I79="ACCESS BLOCKED","Acces blocat: reia sursele",IF(BJ79&gt;0,"Istoric invalid sau conflict: verifica randurile native","Surse neinchise / post-cutoff / dovezi incomplete")),IF(OR('Input_Meci'!I79="NOT AVAILABLE",'Input_Meci'!I79="SOURCE CONFLICT"),'Input_Meci'!I79,IF(BK79&lt;&gt;"VALID","Parametri invalizi",IF(L79&lt;&gt;12,"Core / sample / prior insuficient",IF(AR79&lt;2,"N insuficient pentru dispersie",IF(AS79&lt;=0,"Media istorica trebuie sa fie pozitiva",IF(BI79&lt;&gt;"VALID","Context invalid","READY")))))))))</x:f>
      </x:c>
      <x:c r="K79" s="2" t="str">
        <x:f>IF(A79="","",COUNT(T79:AE79))</x:f>
      </x:c>
      <x:c r="L79" s="2" t="str">
        <x:f>IF(A79="","",COUNT(AF79:AQ79))</x:f>
      </x:c>
      <x:c r="M79" s="2" t="str">
        <x:f>IF(A79="","",IF(OR('Core_Nativ'!M882&lt;'Core_Nativ'!P882,'Core_Nativ'!M883&lt;'Core_Nativ'!P883,'Core_Nativ'!M884&lt;'Core_Nativ'!P884,'Core_Nativ'!M885&lt;'Core_Nativ'!P885,'Core_Nativ'!M886&lt;'Core_Nativ'!P886,'Core_Nativ'!M887&lt;'Core_Nativ'!P887),"YES","NO"))</x:f>
      </x:c>
      <x:c r="N79" s="2" t="str">
        <x:f>IF(A79="","",'Core_Nativ'!M882)</x:f>
      </x:c>
      <x:c r="O79" s="2" t="str">
        <x:f>IF(A79="","",'Core_Nativ'!M883)</x:f>
      </x:c>
      <x:c r="P79" s="2" t="str">
        <x:f>IF(A79="","",'Core_Nativ'!M884)</x:f>
      </x:c>
      <x:c r="Q79" s="2" t="str">
        <x:f>IF(A79="","",'Core_Nativ'!M885)</x:f>
      </x:c>
      <x:c r="R79" s="2" t="str">
        <x:f>IF(A79="","",'Core_Nativ'!M886)</x:f>
      </x:c>
      <x:c r="S79" s="2" t="str">
        <x:f>IF(A79="","",'Core_Nativ'!M887)</x:f>
      </x:c>
      <x:c r="T79" s="11" t="str">
        <x:f>IF(OR(A79="",'Core_Nativ'!M882=0),"",'Core_Nativ'!N882)</x:f>
      </x:c>
      <x:c r="U79" s="11" t="str">
        <x:f>IF(OR(A79="",'Core_Nativ'!M882=0),"",'Core_Nativ'!O882)</x:f>
      </x:c>
      <x:c r="V79" s="11" t="str">
        <x:f>IF(OR(A79="",'Core_Nativ'!M883=0),"",'Core_Nativ'!N883)</x:f>
      </x:c>
      <x:c r="W79" s="11" t="str">
        <x:f>IF(OR(A79="",'Core_Nativ'!M883=0),"",'Core_Nativ'!O883)</x:f>
      </x:c>
      <x:c r="X79" s="11" t="str">
        <x:f>IF(OR(A79="",'Core_Nativ'!M884=0),"",'Core_Nativ'!N884)</x:f>
      </x:c>
      <x:c r="Y79" s="11" t="str">
        <x:f>IF(OR(A79="",'Core_Nativ'!M884=0),"",'Core_Nativ'!O884)</x:f>
      </x:c>
      <x:c r="Z79" s="11" t="str">
        <x:f>IF(OR(A79="",'Core_Nativ'!M885=0),"",'Core_Nativ'!N885)</x:f>
      </x:c>
      <x:c r="AA79" s="11" t="str">
        <x:f>IF(OR(A79="",'Core_Nativ'!M885=0),"",'Core_Nativ'!O885)</x:f>
      </x:c>
      <x:c r="AB79" s="11" t="str">
        <x:f>IF(OR(A79="",'Core_Nativ'!M886=0),"",'Core_Nativ'!N886)</x:f>
      </x:c>
      <x:c r="AC79" s="11" t="str">
        <x:f>IF(OR(A79="",'Core_Nativ'!M886=0),"",'Core_Nativ'!O886)</x:f>
      </x:c>
      <x:c r="AD79" s="11" t="str">
        <x:f>IF(OR(A79="",'Core_Nativ'!M887=0),"",'Core_Nativ'!N887)</x:f>
      </x:c>
      <x:c r="AE79" s="11" t="str">
        <x:f>IF(OR(A79="",'Core_Nativ'!M887=0),"",'Core_Nativ'!O887)</x:f>
      </x:c>
      <x:c r="AF79" s="11" t="str">
        <x:f>IF(A79="","",IF(AND('Core_Nativ'!R882="CLOSED",'Core_Nativ'!S882=0),IF('Core_Nativ'!M882&gt;='Core_Nativ'!P882,'Core_Nativ'!N882,IF(AND('Input_Meci'!L79="YES",'Input_Meci'!K79&lt;&gt;"",'Input_Meci'!K79&lt;C79,'Core_Nativ'!T888="DERIVED",'Core_Nativ'!M888&gt;='Core_Nativ'!P882),MIN(1,'Core_Nativ'!M882/'Core_Nativ'!P882)*IF('Core_Nativ'!M882=0,0,'Core_Nativ'!N882)+(1-MIN(1,'Core_Nativ'!M882/'Core_Nativ'!P882))*'Core_Nativ'!N888,"")),""))</x:f>
      </x:c>
      <x:c r="AG79" s="11" t="str">
        <x:f>IF(A79="","",IF(AND('Core_Nativ'!R882="CLOSED",'Core_Nativ'!S882=0),IF('Core_Nativ'!M882&gt;='Core_Nativ'!P882,'Core_Nativ'!O882,IF(AND('Input_Meci'!L79="YES",'Input_Meci'!K79&lt;&gt;"",'Input_Meci'!K79&lt;C79,'Core_Nativ'!T888="DERIVED",'Core_Nativ'!M888&gt;='Core_Nativ'!P882),MIN(1,'Core_Nativ'!M882/'Core_Nativ'!P882)*IF('Core_Nativ'!M882=0,0,'Core_Nativ'!O882)+(1-MIN(1,'Core_Nativ'!M882/'Core_Nativ'!P882))*'Core_Nativ'!O888,"")),""))</x:f>
      </x:c>
      <x:c r="AH79" s="11" t="str">
        <x:f>IF(A79="","",IF(AND('Core_Nativ'!R883="CLOSED",'Core_Nativ'!S883=0),IF('Core_Nativ'!M883&gt;='Core_Nativ'!P883,'Core_Nativ'!N883,IF(AND('Input_Meci'!L79="YES",'Input_Meci'!K79&lt;&gt;"",'Input_Meci'!K79&lt;C79,'Core_Nativ'!T889="DERIVED",'Core_Nativ'!M889&gt;='Core_Nativ'!P883),MIN(1,'Core_Nativ'!M883/'Core_Nativ'!P883)*IF('Core_Nativ'!M883=0,0,'Core_Nativ'!N883)+(1-MIN(1,'Core_Nativ'!M883/'Core_Nativ'!P883))*'Core_Nativ'!N889,"")),""))</x:f>
      </x:c>
      <x:c r="AI79" s="11" t="str">
        <x:f>IF(A79="","",IF(AND('Core_Nativ'!R883="CLOSED",'Core_Nativ'!S883=0),IF('Core_Nativ'!M883&gt;='Core_Nativ'!P883,'Core_Nativ'!O883,IF(AND('Input_Meci'!L79="YES",'Input_Meci'!K79&lt;&gt;"",'Input_Meci'!K79&lt;C79,'Core_Nativ'!T889="DERIVED",'Core_Nativ'!M889&gt;='Core_Nativ'!P883),MIN(1,'Core_Nativ'!M883/'Core_Nativ'!P883)*IF('Core_Nativ'!M883=0,0,'Core_Nativ'!O883)+(1-MIN(1,'Core_Nativ'!M883/'Core_Nativ'!P883))*'Core_Nativ'!O889,"")),""))</x:f>
      </x:c>
      <x:c r="AJ79" s="11" t="str">
        <x:f>IF(A79="","",IF(AND('Core_Nativ'!R884="CLOSED",'Core_Nativ'!S884=0),IF('Core_Nativ'!M884&gt;='Core_Nativ'!P884,'Core_Nativ'!N884,IF(AND('Input_Meci'!L79="YES",'Input_Meci'!K79&lt;&gt;"",'Input_Meci'!K79&lt;C79,'Core_Nativ'!T890="DERIVED",'Core_Nativ'!M890&gt;='Core_Nativ'!P884),MIN(1,'Core_Nativ'!M884/'Core_Nativ'!P884)*IF('Core_Nativ'!M884=0,0,'Core_Nativ'!N884)+(1-MIN(1,'Core_Nativ'!M884/'Core_Nativ'!P884))*'Core_Nativ'!N890,"")),""))</x:f>
      </x:c>
      <x:c r="AK79" s="11" t="str">
        <x:f>IF(A79="","",IF(AND('Core_Nativ'!R884="CLOSED",'Core_Nativ'!S884=0),IF('Core_Nativ'!M884&gt;='Core_Nativ'!P884,'Core_Nativ'!O884,IF(AND('Input_Meci'!L79="YES",'Input_Meci'!K79&lt;&gt;"",'Input_Meci'!K79&lt;C79,'Core_Nativ'!T890="DERIVED",'Core_Nativ'!M890&gt;='Core_Nativ'!P884),MIN(1,'Core_Nativ'!M884/'Core_Nativ'!P884)*IF('Core_Nativ'!M884=0,0,'Core_Nativ'!O884)+(1-MIN(1,'Core_Nativ'!M884/'Core_Nativ'!P884))*'Core_Nativ'!O890,"")),""))</x:f>
      </x:c>
      <x:c r="AL79" s="11" t="str">
        <x:f>IF(A79="","",IF(AND('Core_Nativ'!R885="CLOSED",'Core_Nativ'!S885=0),IF('Core_Nativ'!M885&gt;='Core_Nativ'!P885,'Core_Nativ'!N885,IF(AND('Input_Meci'!L79="YES",'Input_Meci'!K79&lt;&gt;"",'Input_Meci'!K79&lt;C79,'Core_Nativ'!T891="DERIVED",'Core_Nativ'!M891&gt;='Core_Nativ'!P885),MIN(1,'Core_Nativ'!M885/'Core_Nativ'!P885)*IF('Core_Nativ'!M885=0,0,'Core_Nativ'!N885)+(1-MIN(1,'Core_Nativ'!M885/'Core_Nativ'!P885))*'Core_Nativ'!N891,"")),""))</x:f>
      </x:c>
      <x:c r="AM79" s="11" t="str">
        <x:f>IF(A79="","",IF(AND('Core_Nativ'!R885="CLOSED",'Core_Nativ'!S885=0),IF('Core_Nativ'!M885&gt;='Core_Nativ'!P885,'Core_Nativ'!O885,IF(AND('Input_Meci'!L79="YES",'Input_Meci'!K79&lt;&gt;"",'Input_Meci'!K79&lt;C79,'Core_Nativ'!T891="DERIVED",'Core_Nativ'!M891&gt;='Core_Nativ'!P885),MIN(1,'Core_Nativ'!M885/'Core_Nativ'!P885)*IF('Core_Nativ'!M885=0,0,'Core_Nativ'!O885)+(1-MIN(1,'Core_Nativ'!M885/'Core_Nativ'!P885))*'Core_Nativ'!O891,"")),""))</x:f>
      </x:c>
      <x:c r="AN79" s="11" t="str">
        <x:f>IF(A79="","",IF(AND('Core_Nativ'!R886="CLOSED",'Core_Nativ'!S886=0),IF('Core_Nativ'!M886&gt;='Core_Nativ'!P886,'Core_Nativ'!N886,IF(AND('Input_Meci'!L79="YES",'Input_Meci'!K79&lt;&gt;"",'Input_Meci'!K79&lt;C79,'Core_Nativ'!T892="DERIVED",'Core_Nativ'!M892&gt;='Core_Nativ'!P886),MIN(1,'Core_Nativ'!M886/'Core_Nativ'!P886)*IF('Core_Nativ'!M886=0,0,'Core_Nativ'!N886)+(1-MIN(1,'Core_Nativ'!M886/'Core_Nativ'!P886))*'Core_Nativ'!N892,"")),""))</x:f>
      </x:c>
      <x:c r="AO79" s="11" t="str">
        <x:f>IF(A79="","",IF(AND('Core_Nativ'!R886="CLOSED",'Core_Nativ'!S886=0),IF('Core_Nativ'!M886&gt;='Core_Nativ'!P886,'Core_Nativ'!O886,IF(AND('Input_Meci'!L79="YES",'Input_Meci'!K79&lt;&gt;"",'Input_Meci'!K79&lt;C79,'Core_Nativ'!T892="DERIVED",'Core_Nativ'!M892&gt;='Core_Nativ'!P886),MIN(1,'Core_Nativ'!M886/'Core_Nativ'!P886)*IF('Core_Nativ'!M886=0,0,'Core_Nativ'!O886)+(1-MIN(1,'Core_Nativ'!M886/'Core_Nativ'!P886))*'Core_Nativ'!O892,"")),""))</x:f>
      </x:c>
      <x:c r="AP79" s="11" t="str">
        <x:f>IF(A79="","",IF(AND('Core_Nativ'!R887="CLOSED",'Core_Nativ'!S887=0),IF('Core_Nativ'!M887&gt;='Core_Nativ'!P887,'Core_Nativ'!N887,IF(AND('Input_Meci'!L79="YES",'Input_Meci'!K79&lt;&gt;"",'Input_Meci'!K79&lt;C79,'Core_Nativ'!T893="DERIVED",'Core_Nativ'!M893&gt;='Core_Nativ'!P887),MIN(1,'Core_Nativ'!M887/'Core_Nativ'!P887)*IF('Core_Nativ'!M887=0,0,'Core_Nativ'!N887)+(1-MIN(1,'Core_Nativ'!M887/'Core_Nativ'!P887))*'Core_Nativ'!N893,"")),""))</x:f>
      </x:c>
      <x:c r="AQ79" s="11" t="str">
        <x:f>IF(A79="","",IF(AND('Core_Nativ'!R887="CLOSED",'Core_Nativ'!S887=0),IF('Core_Nativ'!M887&gt;='Core_Nativ'!P887,'Core_Nativ'!O887,IF(AND('Input_Meci'!L79="YES",'Input_Meci'!K79&lt;&gt;"",'Input_Meci'!K79&lt;C79,'Core_Nativ'!T893="DERIVED",'Core_Nativ'!M893&gt;='Core_Nativ'!P887),MIN(1,'Core_Nativ'!M887/'Core_Nativ'!P887)*IF('Core_Nativ'!M887=0,0,'Core_Nativ'!O887)+(1-MIN(1,'Core_Nativ'!M887/'Core_Nativ'!P887))*'Core_Nativ'!O893,"")),""))</x:f>
      </x:c>
      <x:c r="AR79" s="11" t="str">
        <x:f>IF(A79="","",SUMPRODUCT(('Istoric_Nativ'!$B$6:$B$405=B79)*('Istoric_Nativ'!$C$6:$C$405=BL79)*('Istoric_Nativ'!$P$6:$P$405=1)*('Istoric_Nativ'!$D$6:$D$405&lt;INT(G79))*((('Istoric_Nativ'!$E$6:$E$405='Input_Meci'!D79)+('Istoric_Nativ'!$F$6:$F$405='Input_Meci'!D79)+('Istoric_Nativ'!$E$6:$E$405='Input_Meci'!E79)+('Istoric_Nativ'!$F$6:$F$405='Input_Meci'!E79))&gt;0)))</x:f>
      </x:c>
      <x:c r="AS79" s="11" t="str">
        <x:f>IF(AR79=0,"",SUMPRODUCT(('Istoric_Nativ'!$B$6:$B$405=B79)*('Istoric_Nativ'!$C$6:$C$405=BL79)*('Istoric_Nativ'!$P$6:$P$405=1)*('Istoric_Nativ'!$D$6:$D$405&lt;INT(G79))*((('Istoric_Nativ'!$E$6:$E$405='Input_Meci'!D79)+('Istoric_Nativ'!$F$6:$F$405='Input_Meci'!D79)+('Istoric_Nativ'!$E$6:$E$405='Input_Meci'!E79)+('Istoric_Nativ'!$F$6:$F$405='Input_Meci'!E79))&gt;0)*'Istoric_Nativ'!$Q$6:$Q$405)/AR79)</x:f>
      </x:c>
      <x:c r="AT79" s="11" t="str">
        <x:f>IF(AR79&lt;2,"",MAX(0,(SUMPRODUCT(('Istoric_Nativ'!$B$6:$B$405=B79)*('Istoric_Nativ'!$C$6:$C$405=BL79)*('Istoric_Nativ'!$P$6:$P$405=1)*('Istoric_Nativ'!$D$6:$D$405&lt;INT(G79))*((('Istoric_Nativ'!$E$6:$E$405='Input_Meci'!D79)+('Istoric_Nativ'!$F$6:$F$405='Input_Meci'!D79)+('Istoric_Nativ'!$E$6:$E$405='Input_Meci'!E79)+('Istoric_Nativ'!$F$6:$F$405='Input_Meci'!E79))&gt;0)*'Istoric_Nativ'!$R$6:$R$405)-AR79*AS79^2)/(AR79-1)))</x:f>
      </x:c>
      <x:c r="AU79" s="11" t="str">
        <x:f>IF(I79&lt;&gt;"PASS","",AT79/AS79)</x:f>
      </x:c>
      <x:c r="AV79" s="11" t="str">
        <x:f>IF(I79&lt;&gt;"PASS","",IF(AU79&lt;='Config_v6'!$B$10,"POISSON","NEGATIVE BINOMIAL"))</x:f>
      </x:c>
      <x:c r="AW79" s="11" t="str">
        <x:f>IF(I79&lt;&gt;"PASS","",IF(AV79="POISSON",9999,AS79/(AU79-1)))</x:f>
      </x:c>
      <x:c r="AX79" s="11" t="str">
        <x:f>IF(A79="","",MAX(1-'Config_v6'!$B$20,MIN(1+'Config_v6'!$B$20,1+0.02*(IF(AND(ISNUMBER('Input_Meci'!N79),'Input_Meci'!N79&gt;=0,'Input_Meci'!N79&lt;=200),'Input_Meci'!N79,12)/12-1)+0.02*(IF(AND(ISNUMBER('Input_Meci'!P79),'Input_Meci'!P79&gt;=0,'Input_Meci'!P79&lt;=200),'Input_Meci'!P79,3.5)/3.5-1)+0.02*(IF(AND(ISNUMBER('Input_Meci'!R79),'Input_Meci'!R79&gt;=0,'Input_Meci'!R79&lt;=200),'Input_Meci'!R79,18)/18-1)+0.02*((IF(AND(ISNUMBER('Input_Meci'!V79),'Input_Meci'!V79&gt;=0,'Input_Meci'!V79&lt;=10),'Input_Meci'!V79,5)-5)/5))))</x:f>
      </x:c>
      <x:c r="AY79" s="11" t="str">
        <x:f>IF(A79="","",MAX(1-'Config_v6'!$B$20,MIN(1+'Config_v6'!$B$20,1+0.02*(IF(AND(ISNUMBER('Input_Meci'!O79),'Input_Meci'!O79&gt;=0,'Input_Meci'!O79&lt;=200),'Input_Meci'!O79,12)/12-1)+0.02*(IF(AND(ISNUMBER('Input_Meci'!Q79),'Input_Meci'!Q79&gt;=0,'Input_Meci'!Q79&lt;=200),'Input_Meci'!Q79,3.5)/3.5-1)+0.02*(IF(AND(ISNUMBER('Input_Meci'!S79),'Input_Meci'!S79&gt;=0,'Input_Meci'!S79&lt;=200),'Input_Meci'!S79,18)/18-1)+0.02*((IF(AND(ISNUMBER('Input_Meci'!W79),'Input_Meci'!W79&gt;=0,'Input_Meci'!W79&lt;=10),'Input_Meci'!W79,5)-5)/5))))</x:f>
      </x:c>
      <x:c r="AZ79" s="11" t="str">
        <x:f>IF(A79="","",MAX(1-'Config_v6'!$B$21,MIN(1+'Config_v6'!$B$21,1+0.012*(IF('Input_Meci'!X79="",5,IF(ISNUMBER('Input_Meci'!X79),'Input_Meci'!X79,5))-5)+0.018*(IF('Input_Meci'!Z79="",5,IF(ISNUMBER('Input_Meci'!Z79),'Input_Meci'!Z79,5))-5)+0.012*(IF('Input_Meci'!AB79="",5,IF(ISNUMBER('Input_Meci'!AB79),'Input_Meci'!AB79,5))-5)+0.015*IF('Input_Meci'!AD79="",0,IF(ISNUMBER('Input_Meci'!AD79),'Input_Meci'!AD79,0))+0.02*IF('Input_Meci'!AF79="",0,IF(ISNUMBER('Input_Meci'!AF79),'Input_Meci'!AF79,0)))))</x:f>
      </x:c>
      <x:c r="BA79" s="11" t="str">
        <x:f>IF(A79="","",MAX(1-'Config_v6'!$B$21,MIN(1+'Config_v6'!$B$21,1+0.012*(IF('Input_Meci'!Y79="",5,IF(ISNUMBER('Input_Meci'!Y79),'Input_Meci'!Y79,5))-5)+0.018*(IF('Input_Meci'!AA79="",5,IF(ISNUMBER('Input_Meci'!AA79),'Input_Meci'!AA79,5))-5)+0.012*(IF('Input_Meci'!AC79="",5,IF(ISNUMBER('Input_Meci'!AC79),'Input_Meci'!AC79,5))-5)+0.015*IF('Input_Meci'!AE79="",0,IF(ISNUMBER('Input_Meci'!AE79),'Input_Meci'!AE79,0))+0.02*IF('Input_Meci'!AG79="",0,IF(ISNUMBER('Input_Meci'!AG79),'Input_Meci'!AG79,0)))))</x:f>
      </x:c>
      <x:c r="BB79" s="11" t="str">
        <x:f>IF(I79&lt;&gt;"PASS","",(AVERAGE(AF79,AM79)*'Config_v6'!$B$4+AVERAGE(AH79,AO79)*'Config_v6'!$B$5+AVERAGE(AJ79,AQ79)*'Config_v6'!$B$6)*AX79*AZ79)</x:f>
      </x:c>
      <x:c r="BC79" s="11" t="str">
        <x:f>IF(I79&lt;&gt;"PASS","",(AVERAGE(AL79,AG79)*'Config_v6'!$B$4+AVERAGE(AN79,AI79)*'Config_v6'!$B$5+AVERAGE(AP79,AK79)*'Config_v6'!$B$6)*AY79*BA79)</x:f>
      </x:c>
      <x:c r="BD79" s="11" t="str">
        <x:f>IF(I79&lt;&gt;"PASS","",BB79+BC79)</x:f>
      </x:c>
      <x:c r="BE79" s="11" t="str">
        <x:f>IF(A79="","",10-SUM(IF(AND(ISNUMBER('Input_Meci'!N79),'Input_Meci'!N79&gt;=0,'Input_Meci'!N79&lt;=200),1,0),IF(AND(ISNUMBER('Input_Meci'!O79),'Input_Meci'!O79&gt;=0,'Input_Meci'!O79&lt;=200),1,0),IF(AND(ISNUMBER('Input_Meci'!P79),'Input_Meci'!P79&gt;=0,'Input_Meci'!P79&lt;=200),1,0),IF(AND(ISNUMBER('Input_Meci'!Q79),'Input_Meci'!Q79&gt;=0,'Input_Meci'!Q79&lt;=200),1,0),IF(AND(ISNUMBER('Input_Meci'!R79),'Input_Meci'!R79&gt;=0,'Input_Meci'!R79&lt;=200),1,0),IF(AND(ISNUMBER('Input_Meci'!S79),'Input_Meci'!S79&gt;=0,'Input_Meci'!S79&lt;=200),1,0),IF(AND(ISNUMBER('Input_Meci'!T79),'Input_Meci'!T79&gt;=0,'Input_Meci'!T79&lt;=100),1,0),IF(AND(ISNUMBER('Input_Meci'!U79),'Input_Meci'!U79&gt;=0,'Input_Meci'!U79&lt;=100),1,0),IF(AND(ISNUMBER('Input_Meci'!V79),'Input_Meci'!V79&gt;=0,'Input_Meci'!V79&lt;=10),1,0),IF(AND(ISNUMBER('Input_Meci'!W79),'Input_Meci'!W79&gt;=0,'Input_Meci'!W79&lt;=10),1,0)))</x:f>
      </x:c>
      <x:c r="BF79" s="11" t="str">
        <x:f>IF(I79&lt;&gt;"PASS","",MAX(0,MIN(IF(OR(M79="YES",BL79&lt;&gt;C79),'Config_v6'!$B$34,100),ROUND(40+25*MIN(1,MIN(N79,Q79)/'Config_v6'!$B$7)*MIN(1,MIN(O79,R79)/'Config_v6'!$B$8)*MIN(1,MIN(P79,S79)/'Config_v6'!$B$9)+MAX(0,15-2*ABS(AF79-AJ79)-2*ABS(AL79-AP79))+IF(AU79&lt;='Config_v6'!$B$10,15,IF(AU79&lt;='Config_v6'!$B$11,13,IF(AU79&lt;='Config_v6'!$B$12,10,IF(AU79&lt;='Config_v6'!$B$13,6,0))))+5-BE79/10*'Config_v6'!$B$38,0))))</x:f>
      </x:c>
      <x:c r="BG79" s="11" t="str">
        <x:f>IF(I79&lt;&gt;"PASS","",MIN(1,'Config_v6'!$B$14*(0.7+0.3*MIN(1,AR79/'Config_v6'!$B$15))*IF(AU79&lt;='Config_v6'!$B$10,1,IF(AU79&lt;='Config_v6'!$B$11,0.95,IF(AU79&lt;='Config_v6'!$B$12,0.88,0.78)))*(0.75+0.25*BF79/100)))</x:f>
      </x:c>
      <x:c r="BH79" s="11" t="str">
        <x:f>IF(I79&lt;&gt;"PASS","",MIN(1,(ABS(AZ79-1)+ABS(BA79-1))*3))</x:f>
      </x:c>
      <x:c r="BI79" s="2" t="str">
        <x:f>IF(A79="","",IF(AND(OR('Input_Meci'!X79="",AND(ISNUMBER('Input_Meci'!X79),'Input_Meci'!X79&gt;=0,'Input_Meci'!X79&lt;=10)),OR('Input_Meci'!Y79="",AND(ISNUMBER('Input_Meci'!Y79),'Input_Meci'!Y79&gt;=0,'Input_Meci'!Y79&lt;=10)),OR('Input_Meci'!Z79="",AND(ISNUMBER('Input_Meci'!Z79),'Input_Meci'!Z79&gt;=0,'Input_Meci'!Z79&lt;=10)),OR('Input_Meci'!AA79="",AND(ISNUMBER('Input_Meci'!AA79),'Input_Meci'!AA79&gt;=0,'Input_Meci'!AA79&lt;=10)),OR('Input_Meci'!AB79="",AND(ISNUMBER('Input_Meci'!AB79),'Input_Meci'!AB79&gt;=0,'Input_Meci'!AB79&lt;=10)),OR('Input_Meci'!AC79="",AND(ISNUMBER('Input_Meci'!AC79),'Input_Meci'!AC79&gt;=0,'Input_Meci'!AC79&lt;=10)),OR('Input_Meci'!AD79="",AND(ISNUMBER('Input_Meci'!AD79),'Input_Meci'!AD79&gt;=-2,'Input_Meci'!AD79&lt;=2)),OR('Input_Meci'!AE79="",AND(ISNUMBER('Input_Meci'!AE79),'Input_Meci'!AE79&gt;=-2,'Input_Meci'!AE79&lt;=2)),OR('Input_Meci'!AF79="",AND(ISNUMBER('Input_Meci'!AF79),'Input_Meci'!AF79&gt;=-2,'Input_Meci'!AF79&lt;=2)),OR('Input_Meci'!AG79="",AND(ISNUMBER('Input_Meci'!AG79),'Input_Meci'!AG79&gt;=-2,'Input_Meci'!AG79&lt;=2))),"VALID","INVALID"))</x:f>
      </x:c>
      <x:c r="BJ79" s="2" t="n">
        <x:f>IF(A79="",0,SUM('Core_Nativ'!S882:S887))</x:f>
        <x:v>0</x:v>
      </x:c>
      <x:c r="BK79" s="2" t="str">
        <x:f>'Config_v6'!$B$40</x:f>
        <x:v>VALID</x:v>
      </x:c>
      <x:c r="BL79" s="2" t="str">
        <x:f>IF(A79="","",IF(SUMPRODUCT(('Istoric_Nativ'!$B$6:$B$405=B79)*('Istoric_Nativ'!$C$6:$C$405=C79)*('Istoric_Nativ'!$P$6:$P$405=1)*('Istoric_Nativ'!$D$6:$D$405&lt;INT(G79))*((('Istoric_Nativ'!$E$6:$E$405='Input_Meci'!D79)+('Istoric_Nativ'!$F$6:$F$405='Input_Meci'!D79)+('Istoric_Nativ'!$E$6:$E$405='Input_Meci'!E79)+('Istoric_Nativ'!$F$6:$F$405='Input_Meci'!E79))&gt;0))&gt;='Config_v6'!$B$41,C79,IF(AND('Input_Meci'!L79="YES",'Input_Meci'!K79&lt;&gt;"",'Input_Meci'!K79&lt;C79,COUNTIF('Core_Nativ'!R888:R893,"CLOSED")=6,SUM('Core_Nativ'!S888:S893)=0),'Input_Meci'!K79,C79)))</x:f>
      </x:c>
      <x:c r="BM79" s="9" t="n">
        <x:f>IF(OR(A79="",N79=0),0,LARGE(_xlfn._xlws.FILTER('Istoric_Nativ'!$D$6:$D$405,('Istoric_Nativ'!$B$6:$B$405=B79)*('Istoric_Nativ'!$C$6:$C$405=C79)*('Istoric_Nativ'!$P$6:$P$405=1)*('Istoric_Nativ'!$D$6:$D$405&lt;INT(G79))*((('Istoric_Nativ'!$E$6:$E$405='Input_Meci'!D79)+('Istoric_Nativ'!$F$6:$F$405='Input_Meci'!D79))&gt;0)),MIN(10,N79)))</x:f>
        <x:v>0</x:v>
      </x:c>
      <x:c r="BN79" s="9" t="n">
        <x:f>IF(OR(A79="",Q79=0),0,LARGE(_xlfn._xlws.FILTER('Istoric_Nativ'!$D$6:$D$405,('Istoric_Nativ'!$B$6:$B$405=B79)*('Istoric_Nativ'!$C$6:$C$405=C79)*('Istoric_Nativ'!$P$6:$P$405=1)*('Istoric_Nativ'!$D$6:$D$405&lt;INT(G79))*((('Istoric_Nativ'!$E$6:$E$405='Input_Meci'!E79)+('Istoric_Nativ'!$F$6:$F$405='Input_Meci'!E79))&gt;0)),MIN(10,Q79)))</x:f>
        <x:v>0</x:v>
      </x:c>
      <x:c r="BO79" s="9" t="n">
        <x:f>IF(OR(A79="",N79=0),0,LARGE(_xlfn._xlws.FILTER('Istoric_Nativ'!$D$6:$D$405,('Istoric_Nativ'!$B$6:$B$405=B79)*('Istoric_Nativ'!$C$6:$C$405=C79)*('Istoric_Nativ'!$P$6:$P$405=1)*('Istoric_Nativ'!$D$6:$D$405&lt;INT(G79))*((('Istoric_Nativ'!$E$6:$E$405='Input_Meci'!D79)+('Istoric_Nativ'!$F$6:$F$405='Input_Meci'!D79))&gt;0)),MIN(20,N79)))</x:f>
        <x:v>0</x:v>
      </x:c>
      <x:c r="BP79" s="9" t="n">
        <x:f>IF(OR(A79="",Q79=0),0,LARGE(_xlfn._xlws.FILTER('Istoric_Nativ'!$D$6:$D$405,('Istoric_Nativ'!$B$6:$B$405=B79)*('Istoric_Nativ'!$C$6:$C$405=C79)*('Istoric_Nativ'!$P$6:$P$405=1)*('Istoric_Nativ'!$D$6:$D$405&lt;INT(G79))*((('Istoric_Nativ'!$E$6:$E$405='Input_Meci'!E79)+('Istoric_Nativ'!$F$6:$F$405='Input_Meci'!E79))&gt;0)),MIN(20,Q79)))</x:f>
        <x:v>0</x:v>
      </x:c>
      <x:c r="BQ79" s="2" t="str">
        <x:f>IF(A79="","",IF(AND(COUNTIF(MatchesTable[Match_ID],A79)=1,COUNTIFS(MatchesTable[League],B79,MatchesTable[Season],C79,MatchesTable[Home],'Input_Meci'!D79,MatchesTable[Away],'Input_Meci'!E79,MatchesTable[Kickoff_UTC],F79)=1,B79&lt;&gt;"",C79&lt;&gt;"",'Input_Meci'!D79&lt;&gt;"",'Input_Meci'!E79&lt;&gt;"",'Input_Meci'!D79&lt;&gt;'Input_Meci'!E79,ISNUMBER(F79),ISNUMBER(G79),G79&lt;F79,OR(E79="LIVE",E79="REPLAY"),OR('Input_Meci'!L79="YES",'Input_Meci'!L79="NO",'Input_Meci'!L79="")),"VALID","INVALID"))</x:f>
      </x:c>
      <x:c r="BR79" s="2" t="n">
        <x:f>IF(I79&lt;&gt;"PASS",0,SUMPRODUCT(('Istoric_Nativ'!$B$6:$B$405='Input_Meci'!B79)*('Istoric_Nativ'!$C$6:$C$405='Input_Meci'!C79)*('Istoric_Nativ'!$P$6:$P$405=1)*('Istoric_Nativ'!$D$6:$D$405&lt;INT('Input_Meci'!G79))*((('Istoric_Nativ'!$E$6:$E$405='Input_Meci'!D79)+('Istoric_Nativ'!$F$6:$F$405='Input_Meci'!E79))&gt;0)))</x:f>
        <x:v>0</x:v>
      </x:c>
      <x:c r="BS79" s="2" t="n">
        <x:f>IF(I79&lt;&gt;"PASS",0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BM79)+((('Istoric_Nativ'!$E$6:$E$405='Input_Meci'!E79)+('Istoric_Nativ'!$F$6:$F$405='Input_Meci'!E79))&gt;0)*('Istoric_Nativ'!$D$6:$D$405&gt;=BN79))&gt;0)))</x:f>
        <x:v>0</x:v>
      </x:c>
      <x:c r="BT79" s="2" t="n">
        <x:f>IF(I79&lt;&gt;"PASS",0,SUMPRODUCT(('Istoric_Nativ'!$B$6:$B$405='Input_Meci'!B79)*('Istoric_Nativ'!$C$6:$C$405='Input_Meci'!C79)*('Istoric_Nativ'!$P$6:$P$405=1)*('Istoric_Nativ'!$D$6:$D$405&lt;INT('Input_Meci'!G79))*((((('Istoric_Nativ'!$E$6:$E$405='Input_Meci'!D79)+('Istoric_Nativ'!$F$6:$F$405='Input_Meci'!D79))&gt;0)*('Istoric_Nativ'!$D$6:$D$405&gt;=BO79)+((('Istoric_Nativ'!$E$6:$E$405='Input_Meci'!E79)+('Istoric_Nativ'!$F$6:$F$405='Input_Meci'!E79))&gt;0)*('Istoric_Nativ'!$D$6:$D$405&gt;=BP79))&gt;0)))</x:f>
        <x:v>0</x:v>
      </x:c>
    </x:row>
    <x:row r="80" ht="21" customHeight="1">
      <x:c r="A80" s="2" t="str">
        <x:f>IF('Input_Meci'!A80="","",'Input_Meci'!A80)</x:f>
      </x:c>
      <x:c r="B80" s="2" t="str">
        <x:f>IF(A80="","",'Input_Meci'!B80)</x:f>
      </x:c>
      <x:c r="C80" s="2" t="str">
        <x:f>IF(A80="","",'Input_Meci'!C80)</x:f>
      </x:c>
      <x:c r="D80" s="2" t="str">
        <x:f>IF(A80="","",'Input_Meci'!D80&amp;" – "&amp;'Input_Meci'!E80)</x:f>
      </x:c>
      <x:c r="E80" s="2" t="str">
        <x:f>IF(A80="","",'Input_Meci'!H80)</x:f>
      </x:c>
      <x:c r="F80" s="9" t="str">
        <x:f>IF(A80="","",'Input_Meci'!F80)</x:f>
      </x:c>
      <x:c r="G80" s="9" t="str">
        <x:f>IF(A80="","",'Input_Meci'!G80)</x:f>
      </x:c>
      <x:c r="H80" s="2" t="str">
        <x:f>IF(A80="","",IF(BQ80&lt;&gt;"VALID","NOT RELEASED",IF(AND(OR('Input_Meci'!I80="NOT AVAILABLE",'Input_Meci'!I80="SOURCE CONFLICT"),'Input_Meci'!J80&lt;&gt;""),"READY",IF(OR(NOT(OR('Input_Meci'!I80="AUTO",'Input_Meci'!I80="")),COUNTIF('Core_Nativ'!R894:R899,"CLOSED")&lt;&gt;6,BJ80&gt;0),"NOT RELEASED","READY"))))</x:f>
      </x:c>
      <x:c r="I80" s="2" t="str">
        <x:f>IF(A80="","",IF(H80&lt;&gt;"READY","NOT RELEASED",IF(AND(NOT(OR('Input_Meci'!I80="NOT AVAILABLE",'Input_Meci'!I80="SOURCE CONFLICT")),L80=12,AR80&gt;=2,AS80&gt;0,ISNUMBER(AT80),BI80="VALID",BK80="VALID"),"PASS","FAIL")))</x:f>
      </x:c>
      <x:c r="J80" s="2" t="str">
        <x:f>IF(A80="","",IF(BQ80&lt;&gt;"VALID","Verifica ID, echipe, mod si cutoff &lt; kickoff",IF(H80&lt;&gt;"READY",IF('Input_Meci'!I80="ACCESS BLOCKED","Acces blocat: reia sursele",IF(BJ80&gt;0,"Istoric invalid sau conflict: verifica randurile native","Surse neinchise / post-cutoff / dovezi incomplete")),IF(OR('Input_Meci'!I80="NOT AVAILABLE",'Input_Meci'!I80="SOURCE CONFLICT"),'Input_Meci'!I80,IF(BK80&lt;&gt;"VALID","Parametri invalizi",IF(L80&lt;&gt;12,"Core / sample / prior insuficient",IF(AR80&lt;2,"N insuficient pentru dispersie",IF(AS80&lt;=0,"Media istorica trebuie sa fie pozitiva",IF(BI80&lt;&gt;"VALID","Context invalid","READY")))))))))</x:f>
      </x:c>
      <x:c r="K80" s="2" t="str">
        <x:f>IF(A80="","",COUNT(T80:AE80))</x:f>
      </x:c>
      <x:c r="L80" s="2" t="str">
        <x:f>IF(A80="","",COUNT(AF80:AQ80))</x:f>
      </x:c>
      <x:c r="M80" s="2" t="str">
        <x:f>IF(A80="","",IF(OR('Core_Nativ'!M894&lt;'Core_Nativ'!P894,'Core_Nativ'!M895&lt;'Core_Nativ'!P895,'Core_Nativ'!M896&lt;'Core_Nativ'!P896,'Core_Nativ'!M897&lt;'Core_Nativ'!P897,'Core_Nativ'!M898&lt;'Core_Nativ'!P898,'Core_Nativ'!M899&lt;'Core_Nativ'!P899),"YES","NO"))</x:f>
      </x:c>
      <x:c r="N80" s="2" t="str">
        <x:f>IF(A80="","",'Core_Nativ'!M894)</x:f>
      </x:c>
      <x:c r="O80" s="2" t="str">
        <x:f>IF(A80="","",'Core_Nativ'!M895)</x:f>
      </x:c>
      <x:c r="P80" s="2" t="str">
        <x:f>IF(A80="","",'Core_Nativ'!M896)</x:f>
      </x:c>
      <x:c r="Q80" s="2" t="str">
        <x:f>IF(A80="","",'Core_Nativ'!M897)</x:f>
      </x:c>
      <x:c r="R80" s="2" t="str">
        <x:f>IF(A80="","",'Core_Nativ'!M898)</x:f>
      </x:c>
      <x:c r="S80" s="2" t="str">
        <x:f>IF(A80="","",'Core_Nativ'!M899)</x:f>
      </x:c>
      <x:c r="T80" s="11" t="str">
        <x:f>IF(OR(A80="",'Core_Nativ'!M894=0),"",'Core_Nativ'!N894)</x:f>
      </x:c>
      <x:c r="U80" s="11" t="str">
        <x:f>IF(OR(A80="",'Core_Nativ'!M894=0),"",'Core_Nativ'!O894)</x:f>
      </x:c>
      <x:c r="V80" s="11" t="str">
        <x:f>IF(OR(A80="",'Core_Nativ'!M895=0),"",'Core_Nativ'!N895)</x:f>
      </x:c>
      <x:c r="W80" s="11" t="str">
        <x:f>IF(OR(A80="",'Core_Nativ'!M895=0),"",'Core_Nativ'!O895)</x:f>
      </x:c>
      <x:c r="X80" s="11" t="str">
        <x:f>IF(OR(A80="",'Core_Nativ'!M896=0),"",'Core_Nativ'!N896)</x:f>
      </x:c>
      <x:c r="Y80" s="11" t="str">
        <x:f>IF(OR(A80="",'Core_Nativ'!M896=0),"",'Core_Nativ'!O896)</x:f>
      </x:c>
      <x:c r="Z80" s="11" t="str">
        <x:f>IF(OR(A80="",'Core_Nativ'!M897=0),"",'Core_Nativ'!N897)</x:f>
      </x:c>
      <x:c r="AA80" s="11" t="str">
        <x:f>IF(OR(A80="",'Core_Nativ'!M897=0),"",'Core_Nativ'!O897)</x:f>
      </x:c>
      <x:c r="AB80" s="11" t="str">
        <x:f>IF(OR(A80="",'Core_Nativ'!M898=0),"",'Core_Nativ'!N898)</x:f>
      </x:c>
      <x:c r="AC80" s="11" t="str">
        <x:f>IF(OR(A80="",'Core_Nativ'!M898=0),"",'Core_Nativ'!O898)</x:f>
      </x:c>
      <x:c r="AD80" s="11" t="str">
        <x:f>IF(OR(A80="",'Core_Nativ'!M899=0),"",'Core_Nativ'!N899)</x:f>
      </x:c>
      <x:c r="AE80" s="11" t="str">
        <x:f>IF(OR(A80="",'Core_Nativ'!M899=0),"",'Core_Nativ'!O899)</x:f>
      </x:c>
      <x:c r="AF80" s="11" t="str">
        <x:f>IF(A80="","",IF(AND('Core_Nativ'!R894="CLOSED",'Core_Nativ'!S894=0),IF('Core_Nativ'!M894&gt;='Core_Nativ'!P894,'Core_Nativ'!N894,IF(AND('Input_Meci'!L80="YES",'Input_Meci'!K80&lt;&gt;"",'Input_Meci'!K80&lt;C80,'Core_Nativ'!T900="DERIVED",'Core_Nativ'!M900&gt;='Core_Nativ'!P894),MIN(1,'Core_Nativ'!M894/'Core_Nativ'!P894)*IF('Core_Nativ'!M894=0,0,'Core_Nativ'!N894)+(1-MIN(1,'Core_Nativ'!M894/'Core_Nativ'!P894))*'Core_Nativ'!N900,"")),""))</x:f>
      </x:c>
      <x:c r="AG80" s="11" t="str">
        <x:f>IF(A80="","",IF(AND('Core_Nativ'!R894="CLOSED",'Core_Nativ'!S894=0),IF('Core_Nativ'!M894&gt;='Core_Nativ'!P894,'Core_Nativ'!O894,IF(AND('Input_Meci'!L80="YES",'Input_Meci'!K80&lt;&gt;"",'Input_Meci'!K80&lt;C80,'Core_Nativ'!T900="DERIVED",'Core_Nativ'!M900&gt;='Core_Nativ'!P894),MIN(1,'Core_Nativ'!M894/'Core_Nativ'!P894)*IF('Core_Nativ'!M894=0,0,'Core_Nativ'!O894)+(1-MIN(1,'Core_Nativ'!M894/'Core_Nativ'!P894))*'Core_Nativ'!O900,"")),""))</x:f>
      </x:c>
      <x:c r="AH80" s="11" t="str">
        <x:f>IF(A80="","",IF(AND('Core_Nativ'!R895="CLOSED",'Core_Nativ'!S895=0),IF('Core_Nativ'!M895&gt;='Core_Nativ'!P895,'Core_Nativ'!N895,IF(AND('Input_Meci'!L80="YES",'Input_Meci'!K80&lt;&gt;"",'Input_Meci'!K80&lt;C80,'Core_Nativ'!T901="DERIVED",'Core_Nativ'!M901&gt;='Core_Nativ'!P895),MIN(1,'Core_Nativ'!M895/'Core_Nativ'!P895)*IF('Core_Nativ'!M895=0,0,'Core_Nativ'!N895)+(1-MIN(1,'Core_Nativ'!M895/'Core_Nativ'!P895))*'Core_Nativ'!N901,"")),""))</x:f>
      </x:c>
      <x:c r="AI80" s="11" t="str">
        <x:f>IF(A80="","",IF(AND('Core_Nativ'!R895="CLOSED",'Core_Nativ'!S895=0),IF('Core_Nativ'!M895&gt;='Core_Nativ'!P895,'Core_Nativ'!O895,IF(AND('Input_Meci'!L80="YES",'Input_Meci'!K80&lt;&gt;"",'Input_Meci'!K80&lt;C80,'Core_Nativ'!T901="DERIVED",'Core_Nativ'!M901&gt;='Core_Nativ'!P895),MIN(1,'Core_Nativ'!M895/'Core_Nativ'!P895)*IF('Core_Nativ'!M895=0,0,'Core_Nativ'!O895)+(1-MIN(1,'Core_Nativ'!M895/'Core_Nativ'!P895))*'Core_Nativ'!O901,"")),""))</x:f>
      </x:c>
      <x:c r="AJ80" s="11" t="str">
        <x:f>IF(A80="","",IF(AND('Core_Nativ'!R896="CLOSED",'Core_Nativ'!S896=0),IF('Core_Nativ'!M896&gt;='Core_Nativ'!P896,'Core_Nativ'!N896,IF(AND('Input_Meci'!L80="YES",'Input_Meci'!K80&lt;&gt;"",'Input_Meci'!K80&lt;C80,'Core_Nativ'!T902="DERIVED",'Core_Nativ'!M902&gt;='Core_Nativ'!P896),MIN(1,'Core_Nativ'!M896/'Core_Nativ'!P896)*IF('Core_Nativ'!M896=0,0,'Core_Nativ'!N896)+(1-MIN(1,'Core_Nativ'!M896/'Core_Nativ'!P896))*'Core_Nativ'!N902,"")),""))</x:f>
      </x:c>
      <x:c r="AK80" s="11" t="str">
        <x:f>IF(A80="","",IF(AND('Core_Nativ'!R896="CLOSED",'Core_Nativ'!S896=0),IF('Core_Nativ'!M896&gt;='Core_Nativ'!P896,'Core_Nativ'!O896,IF(AND('Input_Meci'!L80="YES",'Input_Meci'!K80&lt;&gt;"",'Input_Meci'!K80&lt;C80,'Core_Nativ'!T902="DERIVED",'Core_Nativ'!M902&gt;='Core_Nativ'!P896),MIN(1,'Core_Nativ'!M896/'Core_Nativ'!P896)*IF('Core_Nativ'!M896=0,0,'Core_Nativ'!O896)+(1-MIN(1,'Core_Nativ'!M896/'Core_Nativ'!P896))*'Core_Nativ'!O902,"")),""))</x:f>
      </x:c>
      <x:c r="AL80" s="11" t="str">
        <x:f>IF(A80="","",IF(AND('Core_Nativ'!R897="CLOSED",'Core_Nativ'!S897=0),IF('Core_Nativ'!M897&gt;='Core_Nativ'!P897,'Core_Nativ'!N897,IF(AND('Input_Meci'!L80="YES",'Input_Meci'!K80&lt;&gt;"",'Input_Meci'!K80&lt;C80,'Core_Nativ'!T903="DERIVED",'Core_Nativ'!M903&gt;='Core_Nativ'!P897),MIN(1,'Core_Nativ'!M897/'Core_Nativ'!P897)*IF('Core_Nativ'!M897=0,0,'Core_Nativ'!N897)+(1-MIN(1,'Core_Nativ'!M897/'Core_Nativ'!P897))*'Core_Nativ'!N903,"")),""))</x:f>
      </x:c>
      <x:c r="AM80" s="11" t="str">
        <x:f>IF(A80="","",IF(AND('Core_Nativ'!R897="CLOSED",'Core_Nativ'!S897=0),IF('Core_Nativ'!M897&gt;='Core_Nativ'!P897,'Core_Nativ'!O897,IF(AND('Input_Meci'!L80="YES",'Input_Meci'!K80&lt;&gt;"",'Input_Meci'!K80&lt;C80,'Core_Nativ'!T903="DERIVED",'Core_Nativ'!M903&gt;='Core_Nativ'!P897),MIN(1,'Core_Nativ'!M897/'Core_Nativ'!P897)*IF('Core_Nativ'!M897=0,0,'Core_Nativ'!O897)+(1-MIN(1,'Core_Nativ'!M897/'Core_Nativ'!P897))*'Core_Nativ'!O903,"")),""))</x:f>
      </x:c>
      <x:c r="AN80" s="11" t="str">
        <x:f>IF(A80="","",IF(AND('Core_Nativ'!R898="CLOSED",'Core_Nativ'!S898=0),IF('Core_Nativ'!M898&gt;='Core_Nativ'!P898,'Core_Nativ'!N898,IF(AND('Input_Meci'!L80="YES",'Input_Meci'!K80&lt;&gt;"",'Input_Meci'!K80&lt;C80,'Core_Nativ'!T904="DERIVED",'Core_Nativ'!M904&gt;='Core_Nativ'!P898),MIN(1,'Core_Nativ'!M898/'Core_Nativ'!P898)*IF('Core_Nativ'!M898=0,0,'Core_Nativ'!N898)+(1-MIN(1,'Core_Nativ'!M898/'Core_Nativ'!P898))*'Core_Nativ'!N904,"")),""))</x:f>
      </x:c>
      <x:c r="AO80" s="11" t="str">
        <x:f>IF(A80="","",IF(AND('Core_Nativ'!R898="CLOSED",'Core_Nativ'!S898=0),IF('Core_Nativ'!M898&gt;='Core_Nativ'!P898,'Core_Nativ'!O898,IF(AND('Input_Meci'!L80="YES",'Input_Meci'!K80&lt;&gt;"",'Input_Meci'!K80&lt;C80,'Core_Nativ'!T904="DERIVED",'Core_Nativ'!M904&gt;='Core_Nativ'!P898),MIN(1,'Core_Nativ'!M898/'Core_Nativ'!P898)*IF('Core_Nativ'!M898=0,0,'Core_Nativ'!O898)+(1-MIN(1,'Core_Nativ'!M898/'Core_Nativ'!P898))*'Core_Nativ'!O904,"")),""))</x:f>
      </x:c>
      <x:c r="AP80" s="11" t="str">
        <x:f>IF(A80="","",IF(AND('Core_Nativ'!R899="CLOSED",'Core_Nativ'!S899=0),IF('Core_Nativ'!M899&gt;='Core_Nativ'!P899,'Core_Nativ'!N899,IF(AND('Input_Meci'!L80="YES",'Input_Meci'!K80&lt;&gt;"",'Input_Meci'!K80&lt;C80,'Core_Nativ'!T905="DERIVED",'Core_Nativ'!M905&gt;='Core_Nativ'!P899),MIN(1,'Core_Nativ'!M899/'Core_Nativ'!P899)*IF('Core_Nativ'!M899=0,0,'Core_Nativ'!N899)+(1-MIN(1,'Core_Nativ'!M899/'Core_Nativ'!P899))*'Core_Nativ'!N905,"")),""))</x:f>
      </x:c>
      <x:c r="AQ80" s="11" t="str">
        <x:f>IF(A80="","",IF(AND('Core_Nativ'!R899="CLOSED",'Core_Nativ'!S899=0),IF('Core_Nativ'!M899&gt;='Core_Nativ'!P899,'Core_Nativ'!O899,IF(AND('Input_Meci'!L80="YES",'Input_Meci'!K80&lt;&gt;"",'Input_Meci'!K80&lt;C80,'Core_Nativ'!T905="DERIVED",'Core_Nativ'!M905&gt;='Core_Nativ'!P899),MIN(1,'Core_Nativ'!M899/'Core_Nativ'!P899)*IF('Core_Nativ'!M899=0,0,'Core_Nativ'!O899)+(1-MIN(1,'Core_Nativ'!M899/'Core_Nativ'!P899))*'Core_Nativ'!O905,"")),""))</x:f>
      </x:c>
      <x:c r="AR80" s="11" t="str">
        <x:f>IF(A80="","",SUMPRODUCT(('Istoric_Nativ'!$B$6:$B$405=B80)*('Istoric_Nativ'!$C$6:$C$405=BL80)*('Istoric_Nativ'!$P$6:$P$405=1)*('Istoric_Nativ'!$D$6:$D$405&lt;INT(G80))*((('Istoric_Nativ'!$E$6:$E$405='Input_Meci'!D80)+('Istoric_Nativ'!$F$6:$F$405='Input_Meci'!D80)+('Istoric_Nativ'!$E$6:$E$405='Input_Meci'!E80)+('Istoric_Nativ'!$F$6:$F$405='Input_Meci'!E80))&gt;0)))</x:f>
      </x:c>
      <x:c r="AS80" s="11" t="str">
        <x:f>IF(AR80=0,"",SUMPRODUCT(('Istoric_Nativ'!$B$6:$B$405=B80)*('Istoric_Nativ'!$C$6:$C$405=BL80)*('Istoric_Nativ'!$P$6:$P$405=1)*('Istoric_Nativ'!$D$6:$D$405&lt;INT(G80))*((('Istoric_Nativ'!$E$6:$E$405='Input_Meci'!D80)+('Istoric_Nativ'!$F$6:$F$405='Input_Meci'!D80)+('Istoric_Nativ'!$E$6:$E$405='Input_Meci'!E80)+('Istoric_Nativ'!$F$6:$F$405='Input_Meci'!E80))&gt;0)*'Istoric_Nativ'!$Q$6:$Q$405)/AR80)</x:f>
      </x:c>
      <x:c r="AT80" s="11" t="str">
        <x:f>IF(AR80&lt;2,"",MAX(0,(SUMPRODUCT(('Istoric_Nativ'!$B$6:$B$405=B80)*('Istoric_Nativ'!$C$6:$C$405=BL80)*('Istoric_Nativ'!$P$6:$P$405=1)*('Istoric_Nativ'!$D$6:$D$405&lt;INT(G80))*((('Istoric_Nativ'!$E$6:$E$405='Input_Meci'!D80)+('Istoric_Nativ'!$F$6:$F$405='Input_Meci'!D80)+('Istoric_Nativ'!$E$6:$E$405='Input_Meci'!E80)+('Istoric_Nativ'!$F$6:$F$405='Input_Meci'!E80))&gt;0)*'Istoric_Nativ'!$R$6:$R$405)-AR80*AS80^2)/(AR80-1)))</x:f>
      </x:c>
      <x:c r="AU80" s="11" t="str">
        <x:f>IF(I80&lt;&gt;"PASS","",AT80/AS80)</x:f>
      </x:c>
      <x:c r="AV80" s="11" t="str">
        <x:f>IF(I80&lt;&gt;"PASS","",IF(AU80&lt;='Config_v6'!$B$10,"POISSON","NEGATIVE BINOMIAL"))</x:f>
      </x:c>
      <x:c r="AW80" s="11" t="str">
        <x:f>IF(I80&lt;&gt;"PASS","",IF(AV80="POISSON",9999,AS80/(AU80-1)))</x:f>
      </x:c>
      <x:c r="AX80" s="11" t="str">
        <x:f>IF(A80="","",MAX(1-'Config_v6'!$B$20,MIN(1+'Config_v6'!$B$20,1+0.02*(IF(AND(ISNUMBER('Input_Meci'!N80),'Input_Meci'!N80&gt;=0,'Input_Meci'!N80&lt;=200),'Input_Meci'!N80,12)/12-1)+0.02*(IF(AND(ISNUMBER('Input_Meci'!P80),'Input_Meci'!P80&gt;=0,'Input_Meci'!P80&lt;=200),'Input_Meci'!P80,3.5)/3.5-1)+0.02*(IF(AND(ISNUMBER('Input_Meci'!R80),'Input_Meci'!R80&gt;=0,'Input_Meci'!R80&lt;=200),'Input_Meci'!R80,18)/18-1)+0.02*((IF(AND(ISNUMBER('Input_Meci'!V80),'Input_Meci'!V80&gt;=0,'Input_Meci'!V80&lt;=10),'Input_Meci'!V80,5)-5)/5))))</x:f>
      </x:c>
      <x:c r="AY80" s="11" t="str">
        <x:f>IF(A80="","",MAX(1-'Config_v6'!$B$20,MIN(1+'Config_v6'!$B$20,1+0.02*(IF(AND(ISNUMBER('Input_Meci'!O80),'Input_Meci'!O80&gt;=0,'Input_Meci'!O80&lt;=200),'Input_Meci'!O80,12)/12-1)+0.02*(IF(AND(ISNUMBER('Input_Meci'!Q80),'Input_Meci'!Q80&gt;=0,'Input_Meci'!Q80&lt;=200),'Input_Meci'!Q80,3.5)/3.5-1)+0.02*(IF(AND(ISNUMBER('Input_Meci'!S80),'Input_Meci'!S80&gt;=0,'Input_Meci'!S80&lt;=200),'Input_Meci'!S80,18)/18-1)+0.02*((IF(AND(ISNUMBER('Input_Meci'!W80),'Input_Meci'!W80&gt;=0,'Input_Meci'!W80&lt;=10),'Input_Meci'!W80,5)-5)/5))))</x:f>
      </x:c>
      <x:c r="AZ80" s="11" t="str">
        <x:f>IF(A80="","",MAX(1-'Config_v6'!$B$21,MIN(1+'Config_v6'!$B$21,1+0.012*(IF('Input_Meci'!X80="",5,IF(ISNUMBER('Input_Meci'!X80),'Input_Meci'!X80,5))-5)+0.018*(IF('Input_Meci'!Z80="",5,IF(ISNUMBER('Input_Meci'!Z80),'Input_Meci'!Z80,5))-5)+0.012*(IF('Input_Meci'!AB80="",5,IF(ISNUMBER('Input_Meci'!AB80),'Input_Meci'!AB80,5))-5)+0.015*IF('Input_Meci'!AD80="",0,IF(ISNUMBER('Input_Meci'!AD80),'Input_Meci'!AD80,0))+0.02*IF('Input_Meci'!AF80="",0,IF(ISNUMBER('Input_Meci'!AF80),'Input_Meci'!AF80,0)))))</x:f>
      </x:c>
      <x:c r="BA80" s="11" t="str">
        <x:f>IF(A80="","",MAX(1-'Config_v6'!$B$21,MIN(1+'Config_v6'!$B$21,1+0.012*(IF('Input_Meci'!Y80="",5,IF(ISNUMBER('Input_Meci'!Y80),'Input_Meci'!Y80,5))-5)+0.018*(IF('Input_Meci'!AA80="",5,IF(ISNUMBER('Input_Meci'!AA80),'Input_Meci'!AA80,5))-5)+0.012*(IF('Input_Meci'!AC80="",5,IF(ISNUMBER('Input_Meci'!AC80),'Input_Meci'!AC80,5))-5)+0.015*IF('Input_Meci'!AE80="",0,IF(ISNUMBER('Input_Meci'!AE80),'Input_Meci'!AE80,0))+0.02*IF('Input_Meci'!AG80="",0,IF(ISNUMBER('Input_Meci'!AG80),'Input_Meci'!AG80,0)))))</x:f>
      </x:c>
      <x:c r="BB80" s="11" t="str">
        <x:f>IF(I80&lt;&gt;"PASS","",(AVERAGE(AF80,AM80)*'Config_v6'!$B$4+AVERAGE(AH80,AO80)*'Config_v6'!$B$5+AVERAGE(AJ80,AQ80)*'Config_v6'!$B$6)*AX80*AZ80)</x:f>
      </x:c>
      <x:c r="BC80" s="11" t="str">
        <x:f>IF(I80&lt;&gt;"PASS","",(AVERAGE(AL80,AG80)*'Config_v6'!$B$4+AVERAGE(AN80,AI80)*'Config_v6'!$B$5+AVERAGE(AP80,AK80)*'Config_v6'!$B$6)*AY80*BA80)</x:f>
      </x:c>
      <x:c r="BD80" s="11" t="str">
        <x:f>IF(I80&lt;&gt;"PASS","",BB80+BC80)</x:f>
      </x:c>
      <x:c r="BE80" s="11" t="str">
        <x:f>IF(A80="","",10-SUM(IF(AND(ISNUMBER('Input_Meci'!N80),'Input_Meci'!N80&gt;=0,'Input_Meci'!N80&lt;=200),1,0),IF(AND(ISNUMBER('Input_Meci'!O80),'Input_Meci'!O80&gt;=0,'Input_Meci'!O80&lt;=200),1,0),IF(AND(ISNUMBER('Input_Meci'!P80),'Input_Meci'!P80&gt;=0,'Input_Meci'!P80&lt;=200),1,0),IF(AND(ISNUMBER('Input_Meci'!Q80),'Input_Meci'!Q80&gt;=0,'Input_Meci'!Q80&lt;=200),1,0),IF(AND(ISNUMBER('Input_Meci'!R80),'Input_Meci'!R80&gt;=0,'Input_Meci'!R80&lt;=200),1,0),IF(AND(ISNUMBER('Input_Meci'!S80),'Input_Meci'!S80&gt;=0,'Input_Meci'!S80&lt;=200),1,0),IF(AND(ISNUMBER('Input_Meci'!T80),'Input_Meci'!T80&gt;=0,'Input_Meci'!T80&lt;=100),1,0),IF(AND(ISNUMBER('Input_Meci'!U80),'Input_Meci'!U80&gt;=0,'Input_Meci'!U80&lt;=100),1,0),IF(AND(ISNUMBER('Input_Meci'!V80),'Input_Meci'!V80&gt;=0,'Input_Meci'!V80&lt;=10),1,0),IF(AND(ISNUMBER('Input_Meci'!W80),'Input_Meci'!W80&gt;=0,'Input_Meci'!W80&lt;=10),1,0)))</x:f>
      </x:c>
      <x:c r="BF80" s="11" t="str">
        <x:f>IF(I80&lt;&gt;"PASS","",MAX(0,MIN(IF(OR(M80="YES",BL80&lt;&gt;C80),'Config_v6'!$B$34,100),ROUND(40+25*MIN(1,MIN(N80,Q80)/'Config_v6'!$B$7)*MIN(1,MIN(O80,R80)/'Config_v6'!$B$8)*MIN(1,MIN(P80,S80)/'Config_v6'!$B$9)+MAX(0,15-2*ABS(AF80-AJ80)-2*ABS(AL80-AP80))+IF(AU80&lt;='Config_v6'!$B$10,15,IF(AU80&lt;='Config_v6'!$B$11,13,IF(AU80&lt;='Config_v6'!$B$12,10,IF(AU80&lt;='Config_v6'!$B$13,6,0))))+5-BE80/10*'Config_v6'!$B$38,0))))</x:f>
      </x:c>
      <x:c r="BG80" s="11" t="str">
        <x:f>IF(I80&lt;&gt;"PASS","",MIN(1,'Config_v6'!$B$14*(0.7+0.3*MIN(1,AR80/'Config_v6'!$B$15))*IF(AU80&lt;='Config_v6'!$B$10,1,IF(AU80&lt;='Config_v6'!$B$11,0.95,IF(AU80&lt;='Config_v6'!$B$12,0.88,0.78)))*(0.75+0.25*BF80/100)))</x:f>
      </x:c>
      <x:c r="BH80" s="11" t="str">
        <x:f>IF(I80&lt;&gt;"PASS","",MIN(1,(ABS(AZ80-1)+ABS(BA80-1))*3))</x:f>
      </x:c>
      <x:c r="BI80" s="2" t="str">
        <x:f>IF(A80="","",IF(AND(OR('Input_Meci'!X80="",AND(ISNUMBER('Input_Meci'!X80),'Input_Meci'!X80&gt;=0,'Input_Meci'!X80&lt;=10)),OR('Input_Meci'!Y80="",AND(ISNUMBER('Input_Meci'!Y80),'Input_Meci'!Y80&gt;=0,'Input_Meci'!Y80&lt;=10)),OR('Input_Meci'!Z80="",AND(ISNUMBER('Input_Meci'!Z80),'Input_Meci'!Z80&gt;=0,'Input_Meci'!Z80&lt;=10)),OR('Input_Meci'!AA80="",AND(ISNUMBER('Input_Meci'!AA80),'Input_Meci'!AA80&gt;=0,'Input_Meci'!AA80&lt;=10)),OR('Input_Meci'!AB80="",AND(ISNUMBER('Input_Meci'!AB80),'Input_Meci'!AB80&gt;=0,'Input_Meci'!AB80&lt;=10)),OR('Input_Meci'!AC80="",AND(ISNUMBER('Input_Meci'!AC80),'Input_Meci'!AC80&gt;=0,'Input_Meci'!AC80&lt;=10)),OR('Input_Meci'!AD80="",AND(ISNUMBER('Input_Meci'!AD80),'Input_Meci'!AD80&gt;=-2,'Input_Meci'!AD80&lt;=2)),OR('Input_Meci'!AE80="",AND(ISNUMBER('Input_Meci'!AE80),'Input_Meci'!AE80&gt;=-2,'Input_Meci'!AE80&lt;=2)),OR('Input_Meci'!AF80="",AND(ISNUMBER('Input_Meci'!AF80),'Input_Meci'!AF80&gt;=-2,'Input_Meci'!AF80&lt;=2)),OR('Input_Meci'!AG80="",AND(ISNUMBER('Input_Meci'!AG80),'Input_Meci'!AG80&gt;=-2,'Input_Meci'!AG80&lt;=2))),"VALID","INVALID"))</x:f>
      </x:c>
      <x:c r="BJ80" s="2" t="n">
        <x:f>IF(A80="",0,SUM('Core_Nativ'!S894:S899))</x:f>
        <x:v>0</x:v>
      </x:c>
      <x:c r="BK80" s="2" t="str">
        <x:f>'Config_v6'!$B$40</x:f>
        <x:v>VALID</x:v>
      </x:c>
      <x:c r="BL80" s="2" t="str">
        <x:f>IF(A80="","",IF(SUMPRODUCT(('Istoric_Nativ'!$B$6:$B$405=B80)*('Istoric_Nativ'!$C$6:$C$405=C80)*('Istoric_Nativ'!$P$6:$P$405=1)*('Istoric_Nativ'!$D$6:$D$405&lt;INT(G80))*((('Istoric_Nativ'!$E$6:$E$405='Input_Meci'!D80)+('Istoric_Nativ'!$F$6:$F$405='Input_Meci'!D80)+('Istoric_Nativ'!$E$6:$E$405='Input_Meci'!E80)+('Istoric_Nativ'!$F$6:$F$405='Input_Meci'!E80))&gt;0))&gt;='Config_v6'!$B$41,C80,IF(AND('Input_Meci'!L80="YES",'Input_Meci'!K80&lt;&gt;"",'Input_Meci'!K80&lt;C80,COUNTIF('Core_Nativ'!R900:R905,"CLOSED")=6,SUM('Core_Nativ'!S900:S905)=0),'Input_Meci'!K80,C80)))</x:f>
      </x:c>
      <x:c r="BM80" s="9" t="n">
        <x:f>IF(OR(A80="",N80=0),0,LARGE(_xlfn._xlws.FILTER('Istoric_Nativ'!$D$6:$D$405,('Istoric_Nativ'!$B$6:$B$405=B80)*('Istoric_Nativ'!$C$6:$C$405=C80)*('Istoric_Nativ'!$P$6:$P$405=1)*('Istoric_Nativ'!$D$6:$D$405&lt;INT(G80))*((('Istoric_Nativ'!$E$6:$E$405='Input_Meci'!D80)+('Istoric_Nativ'!$F$6:$F$405='Input_Meci'!D80))&gt;0)),MIN(10,N80)))</x:f>
        <x:v>0</x:v>
      </x:c>
      <x:c r="BN80" s="9" t="n">
        <x:f>IF(OR(A80="",Q80=0),0,LARGE(_xlfn._xlws.FILTER('Istoric_Nativ'!$D$6:$D$405,('Istoric_Nativ'!$B$6:$B$405=B80)*('Istoric_Nativ'!$C$6:$C$405=C80)*('Istoric_Nativ'!$P$6:$P$405=1)*('Istoric_Nativ'!$D$6:$D$405&lt;INT(G80))*((('Istoric_Nativ'!$E$6:$E$405='Input_Meci'!E80)+('Istoric_Nativ'!$F$6:$F$405='Input_Meci'!E80))&gt;0)),MIN(10,Q80)))</x:f>
        <x:v>0</x:v>
      </x:c>
      <x:c r="BO80" s="9" t="n">
        <x:f>IF(OR(A80="",N80=0),0,LARGE(_xlfn._xlws.FILTER('Istoric_Nativ'!$D$6:$D$405,('Istoric_Nativ'!$B$6:$B$405=B80)*('Istoric_Nativ'!$C$6:$C$405=C80)*('Istoric_Nativ'!$P$6:$P$405=1)*('Istoric_Nativ'!$D$6:$D$405&lt;INT(G80))*((('Istoric_Nativ'!$E$6:$E$405='Input_Meci'!D80)+('Istoric_Nativ'!$F$6:$F$405='Input_Meci'!D80))&gt;0)),MIN(20,N80)))</x:f>
        <x:v>0</x:v>
      </x:c>
      <x:c r="BP80" s="9" t="n">
        <x:f>IF(OR(A80="",Q80=0),0,LARGE(_xlfn._xlws.FILTER('Istoric_Nativ'!$D$6:$D$405,('Istoric_Nativ'!$B$6:$B$405=B80)*('Istoric_Nativ'!$C$6:$C$405=C80)*('Istoric_Nativ'!$P$6:$P$405=1)*('Istoric_Nativ'!$D$6:$D$405&lt;INT(G80))*((('Istoric_Nativ'!$E$6:$E$405='Input_Meci'!E80)+('Istoric_Nativ'!$F$6:$F$405='Input_Meci'!E80))&gt;0)),MIN(20,Q80)))</x:f>
        <x:v>0</x:v>
      </x:c>
      <x:c r="BQ80" s="2" t="str">
        <x:f>IF(A80="","",IF(AND(COUNTIF(MatchesTable[Match_ID],A80)=1,COUNTIFS(MatchesTable[League],B80,MatchesTable[Season],C80,MatchesTable[Home],'Input_Meci'!D80,MatchesTable[Away],'Input_Meci'!E80,MatchesTable[Kickoff_UTC],F80)=1,B80&lt;&gt;"",C80&lt;&gt;"",'Input_Meci'!D80&lt;&gt;"",'Input_Meci'!E80&lt;&gt;"",'Input_Meci'!D80&lt;&gt;'Input_Meci'!E80,ISNUMBER(F80),ISNUMBER(G80),G80&lt;F80,OR(E80="LIVE",E80="REPLAY"),OR('Input_Meci'!L80="YES",'Input_Meci'!L80="NO",'Input_Meci'!L80="")),"VALID","INVALID"))</x:f>
      </x:c>
      <x:c r="BR80" s="2" t="n">
        <x:f>IF(I80&lt;&gt;"PASS",0,SUMPRODUCT(('Istoric_Nativ'!$B$6:$B$405='Input_Meci'!B80)*('Istoric_Nativ'!$C$6:$C$405='Input_Meci'!C80)*('Istoric_Nativ'!$P$6:$P$405=1)*('Istoric_Nativ'!$D$6:$D$405&lt;INT('Input_Meci'!G80))*((('Istoric_Nativ'!$E$6:$E$405='Input_Meci'!D80)+('Istoric_Nativ'!$F$6:$F$405='Input_Meci'!E80))&gt;0)))</x:f>
        <x:v>0</x:v>
      </x:c>
      <x:c r="BS80" s="2" t="n">
        <x:f>IF(I80&lt;&gt;"PASS",0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BM80)+((('Istoric_Nativ'!$E$6:$E$405='Input_Meci'!E80)+('Istoric_Nativ'!$F$6:$F$405='Input_Meci'!E80))&gt;0)*('Istoric_Nativ'!$D$6:$D$405&gt;=BN80))&gt;0)))</x:f>
        <x:v>0</x:v>
      </x:c>
      <x:c r="BT80" s="2" t="n">
        <x:f>IF(I80&lt;&gt;"PASS",0,SUMPRODUCT(('Istoric_Nativ'!$B$6:$B$405='Input_Meci'!B80)*('Istoric_Nativ'!$C$6:$C$405='Input_Meci'!C80)*('Istoric_Nativ'!$P$6:$P$405=1)*('Istoric_Nativ'!$D$6:$D$405&lt;INT('Input_Meci'!G80))*((((('Istoric_Nativ'!$E$6:$E$405='Input_Meci'!D80)+('Istoric_Nativ'!$F$6:$F$405='Input_Meci'!D80))&gt;0)*('Istoric_Nativ'!$D$6:$D$405&gt;=BO80)+((('Istoric_Nativ'!$E$6:$E$405='Input_Meci'!E80)+('Istoric_Nativ'!$F$6:$F$405='Input_Meci'!E80))&gt;0)*('Istoric_Nativ'!$D$6:$D$405&gt;=BP80))&gt;0)))</x:f>
        <x:v>0</x:v>
      </x:c>
    </x:row>
    <x:row r="81" ht="21" customHeight="1">
      <x:c r="A81" s="2" t="str">
        <x:f>IF('Input_Meci'!A81="","",'Input_Meci'!A81)</x:f>
      </x:c>
      <x:c r="B81" s="2" t="str">
        <x:f>IF(A81="","",'Input_Meci'!B81)</x:f>
      </x:c>
      <x:c r="C81" s="2" t="str">
        <x:f>IF(A81="","",'Input_Meci'!C81)</x:f>
      </x:c>
      <x:c r="D81" s="2" t="str">
        <x:f>IF(A81="","",'Input_Meci'!D81&amp;" – "&amp;'Input_Meci'!E81)</x:f>
      </x:c>
      <x:c r="E81" s="2" t="str">
        <x:f>IF(A81="","",'Input_Meci'!H81)</x:f>
      </x:c>
      <x:c r="F81" s="9" t="str">
        <x:f>IF(A81="","",'Input_Meci'!F81)</x:f>
      </x:c>
      <x:c r="G81" s="9" t="str">
        <x:f>IF(A81="","",'Input_Meci'!G81)</x:f>
      </x:c>
      <x:c r="H81" s="2" t="str">
        <x:f>IF(A81="","",IF(BQ81&lt;&gt;"VALID","NOT RELEASED",IF(AND(OR('Input_Meci'!I81="NOT AVAILABLE",'Input_Meci'!I81="SOURCE CONFLICT"),'Input_Meci'!J81&lt;&gt;""),"READY",IF(OR(NOT(OR('Input_Meci'!I81="AUTO",'Input_Meci'!I81="")),COUNTIF('Core_Nativ'!R906:R911,"CLOSED")&lt;&gt;6,BJ81&gt;0),"NOT RELEASED","READY"))))</x:f>
      </x:c>
      <x:c r="I81" s="2" t="str">
        <x:f>IF(A81="","",IF(H81&lt;&gt;"READY","NOT RELEASED",IF(AND(NOT(OR('Input_Meci'!I81="NOT AVAILABLE",'Input_Meci'!I81="SOURCE CONFLICT")),L81=12,AR81&gt;=2,AS81&gt;0,ISNUMBER(AT81),BI81="VALID",BK81="VALID"),"PASS","FAIL")))</x:f>
      </x:c>
      <x:c r="J81" s="2" t="str">
        <x:f>IF(A81="","",IF(BQ81&lt;&gt;"VALID","Verifica ID, echipe, mod si cutoff &lt; kickoff",IF(H81&lt;&gt;"READY",IF('Input_Meci'!I81="ACCESS BLOCKED","Acces blocat: reia sursele",IF(BJ81&gt;0,"Istoric invalid sau conflict: verifica randurile native","Surse neinchise / post-cutoff / dovezi incomplete")),IF(OR('Input_Meci'!I81="NOT AVAILABLE",'Input_Meci'!I81="SOURCE CONFLICT"),'Input_Meci'!I81,IF(BK81&lt;&gt;"VALID","Parametri invalizi",IF(L81&lt;&gt;12,"Core / sample / prior insuficient",IF(AR81&lt;2,"N insuficient pentru dispersie",IF(AS81&lt;=0,"Media istorica trebuie sa fie pozitiva",IF(BI81&lt;&gt;"VALID","Context invalid","READY")))))))))</x:f>
      </x:c>
      <x:c r="K81" s="2" t="str">
        <x:f>IF(A81="","",COUNT(T81:AE81))</x:f>
      </x:c>
      <x:c r="L81" s="2" t="str">
        <x:f>IF(A81="","",COUNT(AF81:AQ81))</x:f>
      </x:c>
      <x:c r="M81" s="2" t="str">
        <x:f>IF(A81="","",IF(OR('Core_Nativ'!M906&lt;'Core_Nativ'!P906,'Core_Nativ'!M907&lt;'Core_Nativ'!P907,'Core_Nativ'!M908&lt;'Core_Nativ'!P908,'Core_Nativ'!M909&lt;'Core_Nativ'!P909,'Core_Nativ'!M910&lt;'Core_Nativ'!P910,'Core_Nativ'!M911&lt;'Core_Nativ'!P911),"YES","NO"))</x:f>
      </x:c>
      <x:c r="N81" s="2" t="str">
        <x:f>IF(A81="","",'Core_Nativ'!M906)</x:f>
      </x:c>
      <x:c r="O81" s="2" t="str">
        <x:f>IF(A81="","",'Core_Nativ'!M907)</x:f>
      </x:c>
      <x:c r="P81" s="2" t="str">
        <x:f>IF(A81="","",'Core_Nativ'!M908)</x:f>
      </x:c>
      <x:c r="Q81" s="2" t="str">
        <x:f>IF(A81="","",'Core_Nativ'!M909)</x:f>
      </x:c>
      <x:c r="R81" s="2" t="str">
        <x:f>IF(A81="","",'Core_Nativ'!M910)</x:f>
      </x:c>
      <x:c r="S81" s="2" t="str">
        <x:f>IF(A81="","",'Core_Nativ'!M911)</x:f>
      </x:c>
      <x:c r="T81" s="11" t="str">
        <x:f>IF(OR(A81="",'Core_Nativ'!M906=0),"",'Core_Nativ'!N906)</x:f>
      </x:c>
      <x:c r="U81" s="11" t="str">
        <x:f>IF(OR(A81="",'Core_Nativ'!M906=0),"",'Core_Nativ'!O906)</x:f>
      </x:c>
      <x:c r="V81" s="11" t="str">
        <x:f>IF(OR(A81="",'Core_Nativ'!M907=0),"",'Core_Nativ'!N907)</x:f>
      </x:c>
      <x:c r="W81" s="11" t="str">
        <x:f>IF(OR(A81="",'Core_Nativ'!M907=0),"",'Core_Nativ'!O907)</x:f>
      </x:c>
      <x:c r="X81" s="11" t="str">
        <x:f>IF(OR(A81="",'Core_Nativ'!M908=0),"",'Core_Nativ'!N908)</x:f>
      </x:c>
      <x:c r="Y81" s="11" t="str">
        <x:f>IF(OR(A81="",'Core_Nativ'!M908=0),"",'Core_Nativ'!O908)</x:f>
      </x:c>
      <x:c r="Z81" s="11" t="str">
        <x:f>IF(OR(A81="",'Core_Nativ'!M909=0),"",'Core_Nativ'!N909)</x:f>
      </x:c>
      <x:c r="AA81" s="11" t="str">
        <x:f>IF(OR(A81="",'Core_Nativ'!M909=0),"",'Core_Nativ'!O909)</x:f>
      </x:c>
      <x:c r="AB81" s="11" t="str">
        <x:f>IF(OR(A81="",'Core_Nativ'!M910=0),"",'Core_Nativ'!N910)</x:f>
      </x:c>
      <x:c r="AC81" s="11" t="str">
        <x:f>IF(OR(A81="",'Core_Nativ'!M910=0),"",'Core_Nativ'!O910)</x:f>
      </x:c>
      <x:c r="AD81" s="11" t="str">
        <x:f>IF(OR(A81="",'Core_Nativ'!M911=0),"",'Core_Nativ'!N911)</x:f>
      </x:c>
      <x:c r="AE81" s="11" t="str">
        <x:f>IF(OR(A81="",'Core_Nativ'!M911=0),"",'Core_Nativ'!O911)</x:f>
      </x:c>
      <x:c r="AF81" s="11" t="str">
        <x:f>IF(A81="","",IF(AND('Core_Nativ'!R906="CLOSED",'Core_Nativ'!S906=0),IF('Core_Nativ'!M906&gt;='Core_Nativ'!P906,'Core_Nativ'!N906,IF(AND('Input_Meci'!L81="YES",'Input_Meci'!K81&lt;&gt;"",'Input_Meci'!K81&lt;C81,'Core_Nativ'!T912="DERIVED",'Core_Nativ'!M912&gt;='Core_Nativ'!P906),MIN(1,'Core_Nativ'!M906/'Core_Nativ'!P906)*IF('Core_Nativ'!M906=0,0,'Core_Nativ'!N906)+(1-MIN(1,'Core_Nativ'!M906/'Core_Nativ'!P906))*'Core_Nativ'!N912,"")),""))</x:f>
      </x:c>
      <x:c r="AG81" s="11" t="str">
        <x:f>IF(A81="","",IF(AND('Core_Nativ'!R906="CLOSED",'Core_Nativ'!S906=0),IF('Core_Nativ'!M906&gt;='Core_Nativ'!P906,'Core_Nativ'!O906,IF(AND('Input_Meci'!L81="YES",'Input_Meci'!K81&lt;&gt;"",'Input_Meci'!K81&lt;C81,'Core_Nativ'!T912="DERIVED",'Core_Nativ'!M912&gt;='Core_Nativ'!P906),MIN(1,'Core_Nativ'!M906/'Core_Nativ'!P906)*IF('Core_Nativ'!M906=0,0,'Core_Nativ'!O906)+(1-MIN(1,'Core_Nativ'!M906/'Core_Nativ'!P906))*'Core_Nativ'!O912,"")),""))</x:f>
      </x:c>
      <x:c r="AH81" s="11" t="str">
        <x:f>IF(A81="","",IF(AND('Core_Nativ'!R907="CLOSED",'Core_Nativ'!S907=0),IF('Core_Nativ'!M907&gt;='Core_Nativ'!P907,'Core_Nativ'!N907,IF(AND('Input_Meci'!L81="YES",'Input_Meci'!K81&lt;&gt;"",'Input_Meci'!K81&lt;C81,'Core_Nativ'!T913="DERIVED",'Core_Nativ'!M913&gt;='Core_Nativ'!P907),MIN(1,'Core_Nativ'!M907/'Core_Nativ'!P907)*IF('Core_Nativ'!M907=0,0,'Core_Nativ'!N907)+(1-MIN(1,'Core_Nativ'!M907/'Core_Nativ'!P907))*'Core_Nativ'!N913,"")),""))</x:f>
      </x:c>
      <x:c r="AI81" s="11" t="str">
        <x:f>IF(A81="","",IF(AND('Core_Nativ'!R907="CLOSED",'Core_Nativ'!S907=0),IF('Core_Nativ'!M907&gt;='Core_Nativ'!P907,'Core_Nativ'!O907,IF(AND('Input_Meci'!L81="YES",'Input_Meci'!K81&lt;&gt;"",'Input_Meci'!K81&lt;C81,'Core_Nativ'!T913="DERIVED",'Core_Nativ'!M913&gt;='Core_Nativ'!P907),MIN(1,'Core_Nativ'!M907/'Core_Nativ'!P907)*IF('Core_Nativ'!M907=0,0,'Core_Nativ'!O907)+(1-MIN(1,'Core_Nativ'!M907/'Core_Nativ'!P907))*'Core_Nativ'!O913,"")),""))</x:f>
      </x:c>
      <x:c r="AJ81" s="11" t="str">
        <x:f>IF(A81="","",IF(AND('Core_Nativ'!R908="CLOSED",'Core_Nativ'!S908=0),IF('Core_Nativ'!M908&gt;='Core_Nativ'!P908,'Core_Nativ'!N908,IF(AND('Input_Meci'!L81="YES",'Input_Meci'!K81&lt;&gt;"",'Input_Meci'!K81&lt;C81,'Core_Nativ'!T914="DERIVED",'Core_Nativ'!M914&gt;='Core_Nativ'!P908),MIN(1,'Core_Nativ'!M908/'Core_Nativ'!P908)*IF('Core_Nativ'!M908=0,0,'Core_Nativ'!N908)+(1-MIN(1,'Core_Nativ'!M908/'Core_Nativ'!P908))*'Core_Nativ'!N914,"")),""))</x:f>
      </x:c>
      <x:c r="AK81" s="11" t="str">
        <x:f>IF(A81="","",IF(AND('Core_Nativ'!R908="CLOSED",'Core_Nativ'!S908=0),IF('Core_Nativ'!M908&gt;='Core_Nativ'!P908,'Core_Nativ'!O908,IF(AND('Input_Meci'!L81="YES",'Input_Meci'!K81&lt;&gt;"",'Input_Meci'!K81&lt;C81,'Core_Nativ'!T914="DERIVED",'Core_Nativ'!M914&gt;='Core_Nativ'!P908),MIN(1,'Core_Nativ'!M908/'Core_Nativ'!P908)*IF('Core_Nativ'!M908=0,0,'Core_Nativ'!O908)+(1-MIN(1,'Core_Nativ'!M908/'Core_Nativ'!P908))*'Core_Nativ'!O914,"")),""))</x:f>
      </x:c>
      <x:c r="AL81" s="11" t="str">
        <x:f>IF(A81="","",IF(AND('Core_Nativ'!R909="CLOSED",'Core_Nativ'!S909=0),IF('Core_Nativ'!M909&gt;='Core_Nativ'!P909,'Core_Nativ'!N909,IF(AND('Input_Meci'!L81="YES",'Input_Meci'!K81&lt;&gt;"",'Input_Meci'!K81&lt;C81,'Core_Nativ'!T915="DERIVED",'Core_Nativ'!M915&gt;='Core_Nativ'!P909),MIN(1,'Core_Nativ'!M909/'Core_Nativ'!P909)*IF('Core_Nativ'!M909=0,0,'Core_Nativ'!N909)+(1-MIN(1,'Core_Nativ'!M909/'Core_Nativ'!P909))*'Core_Nativ'!N915,"")),""))</x:f>
      </x:c>
      <x:c r="AM81" s="11" t="str">
        <x:f>IF(A81="","",IF(AND('Core_Nativ'!R909="CLOSED",'Core_Nativ'!S909=0),IF('Core_Nativ'!M909&gt;='Core_Nativ'!P909,'Core_Nativ'!O909,IF(AND('Input_Meci'!L81="YES",'Input_Meci'!K81&lt;&gt;"",'Input_Meci'!K81&lt;C81,'Core_Nativ'!T915="DERIVED",'Core_Nativ'!M915&gt;='Core_Nativ'!P909),MIN(1,'Core_Nativ'!M909/'Core_Nativ'!P909)*IF('Core_Nativ'!M909=0,0,'Core_Nativ'!O909)+(1-MIN(1,'Core_Nativ'!M909/'Core_Nativ'!P909))*'Core_Nativ'!O915,"")),""))</x:f>
      </x:c>
      <x:c r="AN81" s="11" t="str">
        <x:f>IF(A81="","",IF(AND('Core_Nativ'!R910="CLOSED",'Core_Nativ'!S910=0),IF('Core_Nativ'!M910&gt;='Core_Nativ'!P910,'Core_Nativ'!N910,IF(AND('Input_Meci'!L81="YES",'Input_Meci'!K81&lt;&gt;"",'Input_Meci'!K81&lt;C81,'Core_Nativ'!T916="DERIVED",'Core_Nativ'!M916&gt;='Core_Nativ'!P910),MIN(1,'Core_Nativ'!M910/'Core_Nativ'!P910)*IF('Core_Nativ'!M910=0,0,'Core_Nativ'!N910)+(1-MIN(1,'Core_Nativ'!M910/'Core_Nativ'!P910))*'Core_Nativ'!N916,"")),""))</x:f>
      </x:c>
      <x:c r="AO81" s="11" t="str">
        <x:f>IF(A81="","",IF(AND('Core_Nativ'!R910="CLOSED",'Core_Nativ'!S910=0),IF('Core_Nativ'!M910&gt;='Core_Nativ'!P910,'Core_Nativ'!O910,IF(AND('Input_Meci'!L81="YES",'Input_Meci'!K81&lt;&gt;"",'Input_Meci'!K81&lt;C81,'Core_Nativ'!T916="DERIVED",'Core_Nativ'!M916&gt;='Core_Nativ'!P910),MIN(1,'Core_Nativ'!M910/'Core_Nativ'!P910)*IF('Core_Nativ'!M910=0,0,'Core_Nativ'!O910)+(1-MIN(1,'Core_Nativ'!M910/'Core_Nativ'!P910))*'Core_Nativ'!O916,"")),""))</x:f>
      </x:c>
      <x:c r="AP81" s="11" t="str">
        <x:f>IF(A81="","",IF(AND('Core_Nativ'!R911="CLOSED",'Core_Nativ'!S911=0),IF('Core_Nativ'!M911&gt;='Core_Nativ'!P911,'Core_Nativ'!N911,IF(AND('Input_Meci'!L81="YES",'Input_Meci'!K81&lt;&gt;"",'Input_Meci'!K81&lt;C81,'Core_Nativ'!T917="DERIVED",'Core_Nativ'!M917&gt;='Core_Nativ'!P911),MIN(1,'Core_Nativ'!M911/'Core_Nativ'!P911)*IF('Core_Nativ'!M911=0,0,'Core_Nativ'!N911)+(1-MIN(1,'Core_Nativ'!M911/'Core_Nativ'!P911))*'Core_Nativ'!N917,"")),""))</x:f>
      </x:c>
      <x:c r="AQ81" s="11" t="str">
        <x:f>IF(A81="","",IF(AND('Core_Nativ'!R911="CLOSED",'Core_Nativ'!S911=0),IF('Core_Nativ'!M911&gt;='Core_Nativ'!P911,'Core_Nativ'!O911,IF(AND('Input_Meci'!L81="YES",'Input_Meci'!K81&lt;&gt;"",'Input_Meci'!K81&lt;C81,'Core_Nativ'!T917="DERIVED",'Core_Nativ'!M917&gt;='Core_Nativ'!P911),MIN(1,'Core_Nativ'!M911/'Core_Nativ'!P911)*IF('Core_Nativ'!M911=0,0,'Core_Nativ'!O911)+(1-MIN(1,'Core_Nativ'!M911/'Core_Nativ'!P911))*'Core_Nativ'!O917,"")),""))</x:f>
      </x:c>
      <x:c r="AR81" s="11" t="str">
        <x:f>IF(A81="","",SUMPRODUCT(('Istoric_Nativ'!$B$6:$B$405=B81)*('Istoric_Nativ'!$C$6:$C$405=BL81)*('Istoric_Nativ'!$P$6:$P$405=1)*('Istoric_Nativ'!$D$6:$D$405&lt;INT(G81))*((('Istoric_Nativ'!$E$6:$E$405='Input_Meci'!D81)+('Istoric_Nativ'!$F$6:$F$405='Input_Meci'!D81)+('Istoric_Nativ'!$E$6:$E$405='Input_Meci'!E81)+('Istoric_Nativ'!$F$6:$F$405='Input_Meci'!E81))&gt;0)))</x:f>
      </x:c>
      <x:c r="AS81" s="11" t="str">
        <x:f>IF(AR81=0,"",SUMPRODUCT(('Istoric_Nativ'!$B$6:$B$405=B81)*('Istoric_Nativ'!$C$6:$C$405=BL81)*('Istoric_Nativ'!$P$6:$P$405=1)*('Istoric_Nativ'!$D$6:$D$405&lt;INT(G81))*((('Istoric_Nativ'!$E$6:$E$405='Input_Meci'!D81)+('Istoric_Nativ'!$F$6:$F$405='Input_Meci'!D81)+('Istoric_Nativ'!$E$6:$E$405='Input_Meci'!E81)+('Istoric_Nativ'!$F$6:$F$405='Input_Meci'!E81))&gt;0)*'Istoric_Nativ'!$Q$6:$Q$405)/AR81)</x:f>
      </x:c>
      <x:c r="AT81" s="11" t="str">
        <x:f>IF(AR81&lt;2,"",MAX(0,(SUMPRODUCT(('Istoric_Nativ'!$B$6:$B$405=B81)*('Istoric_Nativ'!$C$6:$C$405=BL81)*('Istoric_Nativ'!$P$6:$P$405=1)*('Istoric_Nativ'!$D$6:$D$405&lt;INT(G81))*((('Istoric_Nativ'!$E$6:$E$405='Input_Meci'!D81)+('Istoric_Nativ'!$F$6:$F$405='Input_Meci'!D81)+('Istoric_Nativ'!$E$6:$E$405='Input_Meci'!E81)+('Istoric_Nativ'!$F$6:$F$405='Input_Meci'!E81))&gt;0)*'Istoric_Nativ'!$R$6:$R$405)-AR81*AS81^2)/(AR81-1)))</x:f>
      </x:c>
      <x:c r="AU81" s="11" t="str">
        <x:f>IF(I81&lt;&gt;"PASS","",AT81/AS81)</x:f>
      </x:c>
      <x:c r="AV81" s="11" t="str">
        <x:f>IF(I81&lt;&gt;"PASS","",IF(AU81&lt;='Config_v6'!$B$10,"POISSON","NEGATIVE BINOMIAL"))</x:f>
      </x:c>
      <x:c r="AW81" s="11" t="str">
        <x:f>IF(I81&lt;&gt;"PASS","",IF(AV81="POISSON",9999,AS81/(AU81-1)))</x:f>
      </x:c>
      <x:c r="AX81" s="11" t="str">
        <x:f>IF(A81="","",MAX(1-'Config_v6'!$B$20,MIN(1+'Config_v6'!$B$20,1+0.02*(IF(AND(ISNUMBER('Input_Meci'!N81),'Input_Meci'!N81&gt;=0,'Input_Meci'!N81&lt;=200),'Input_Meci'!N81,12)/12-1)+0.02*(IF(AND(ISNUMBER('Input_Meci'!P81),'Input_Meci'!P81&gt;=0,'Input_Meci'!P81&lt;=200),'Input_Meci'!P81,3.5)/3.5-1)+0.02*(IF(AND(ISNUMBER('Input_Meci'!R81),'Input_Meci'!R81&gt;=0,'Input_Meci'!R81&lt;=200),'Input_Meci'!R81,18)/18-1)+0.02*((IF(AND(ISNUMBER('Input_Meci'!V81),'Input_Meci'!V81&gt;=0,'Input_Meci'!V81&lt;=10),'Input_Meci'!V81,5)-5)/5))))</x:f>
      </x:c>
      <x:c r="AY81" s="11" t="str">
        <x:f>IF(A81="","",MAX(1-'Config_v6'!$B$20,MIN(1+'Config_v6'!$B$20,1+0.02*(IF(AND(ISNUMBER('Input_Meci'!O81),'Input_Meci'!O81&gt;=0,'Input_Meci'!O81&lt;=200),'Input_Meci'!O81,12)/12-1)+0.02*(IF(AND(ISNUMBER('Input_Meci'!Q81),'Input_Meci'!Q81&gt;=0,'Input_Meci'!Q81&lt;=200),'Input_Meci'!Q81,3.5)/3.5-1)+0.02*(IF(AND(ISNUMBER('Input_Meci'!S81),'Input_Meci'!S81&gt;=0,'Input_Meci'!S81&lt;=200),'Input_Meci'!S81,18)/18-1)+0.02*((IF(AND(ISNUMBER('Input_Meci'!W81),'Input_Meci'!W81&gt;=0,'Input_Meci'!W81&lt;=10),'Input_Meci'!W81,5)-5)/5))))</x:f>
      </x:c>
      <x:c r="AZ81" s="11" t="str">
        <x:f>IF(A81="","",MAX(1-'Config_v6'!$B$21,MIN(1+'Config_v6'!$B$21,1+0.012*(IF('Input_Meci'!X81="",5,IF(ISNUMBER('Input_Meci'!X81),'Input_Meci'!X81,5))-5)+0.018*(IF('Input_Meci'!Z81="",5,IF(ISNUMBER('Input_Meci'!Z81),'Input_Meci'!Z81,5))-5)+0.012*(IF('Input_Meci'!AB81="",5,IF(ISNUMBER('Input_Meci'!AB81),'Input_Meci'!AB81,5))-5)+0.015*IF('Input_Meci'!AD81="",0,IF(ISNUMBER('Input_Meci'!AD81),'Input_Meci'!AD81,0))+0.02*IF('Input_Meci'!AF81="",0,IF(ISNUMBER('Input_Meci'!AF81),'Input_Meci'!AF81,0)))))</x:f>
      </x:c>
      <x:c r="BA81" s="11" t="str">
        <x:f>IF(A81="","",MAX(1-'Config_v6'!$B$21,MIN(1+'Config_v6'!$B$21,1+0.012*(IF('Input_Meci'!Y81="",5,IF(ISNUMBER('Input_Meci'!Y81),'Input_Meci'!Y81,5))-5)+0.018*(IF('Input_Meci'!AA81="",5,IF(ISNUMBER('Input_Meci'!AA81),'Input_Meci'!AA81,5))-5)+0.012*(IF('Input_Meci'!AC81="",5,IF(ISNUMBER('Input_Meci'!AC81),'Input_Meci'!AC81,5))-5)+0.015*IF('Input_Meci'!AE81="",0,IF(ISNUMBER('Input_Meci'!AE81),'Input_Meci'!AE81,0))+0.02*IF('Input_Meci'!AG81="",0,IF(ISNUMBER('Input_Meci'!AG81),'Input_Meci'!AG81,0)))))</x:f>
      </x:c>
      <x:c r="BB81" s="11" t="str">
        <x:f>IF(I81&lt;&gt;"PASS","",(AVERAGE(AF81,AM81)*'Config_v6'!$B$4+AVERAGE(AH81,AO81)*'Config_v6'!$B$5+AVERAGE(AJ81,AQ81)*'Config_v6'!$B$6)*AX81*AZ81)</x:f>
      </x:c>
      <x:c r="BC81" s="11" t="str">
        <x:f>IF(I81&lt;&gt;"PASS","",(AVERAGE(AL81,AG81)*'Config_v6'!$B$4+AVERAGE(AN81,AI81)*'Config_v6'!$B$5+AVERAGE(AP81,AK81)*'Config_v6'!$B$6)*AY81*BA81)</x:f>
      </x:c>
      <x:c r="BD81" s="11" t="str">
        <x:f>IF(I81&lt;&gt;"PASS","",BB81+BC81)</x:f>
      </x:c>
      <x:c r="BE81" s="11" t="str">
        <x:f>IF(A81="","",10-SUM(IF(AND(ISNUMBER('Input_Meci'!N81),'Input_Meci'!N81&gt;=0,'Input_Meci'!N81&lt;=200),1,0),IF(AND(ISNUMBER('Input_Meci'!O81),'Input_Meci'!O81&gt;=0,'Input_Meci'!O81&lt;=200),1,0),IF(AND(ISNUMBER('Input_Meci'!P81),'Input_Meci'!P81&gt;=0,'Input_Meci'!P81&lt;=200),1,0),IF(AND(ISNUMBER('Input_Meci'!Q81),'Input_Meci'!Q81&gt;=0,'Input_Meci'!Q81&lt;=200),1,0),IF(AND(ISNUMBER('Input_Meci'!R81),'Input_Meci'!R81&gt;=0,'Input_Meci'!R81&lt;=200),1,0),IF(AND(ISNUMBER('Input_Meci'!S81),'Input_Meci'!S81&gt;=0,'Input_Meci'!S81&lt;=200),1,0),IF(AND(ISNUMBER('Input_Meci'!T81),'Input_Meci'!T81&gt;=0,'Input_Meci'!T81&lt;=100),1,0),IF(AND(ISNUMBER('Input_Meci'!U81),'Input_Meci'!U81&gt;=0,'Input_Meci'!U81&lt;=100),1,0),IF(AND(ISNUMBER('Input_Meci'!V81),'Input_Meci'!V81&gt;=0,'Input_Meci'!V81&lt;=10),1,0),IF(AND(ISNUMBER('Input_Meci'!W81),'Input_Meci'!W81&gt;=0,'Input_Meci'!W81&lt;=10),1,0)))</x:f>
      </x:c>
      <x:c r="BF81" s="11" t="str">
        <x:f>IF(I81&lt;&gt;"PASS","",MAX(0,MIN(IF(OR(M81="YES",BL81&lt;&gt;C81),'Config_v6'!$B$34,100),ROUND(40+25*MIN(1,MIN(N81,Q81)/'Config_v6'!$B$7)*MIN(1,MIN(O81,R81)/'Config_v6'!$B$8)*MIN(1,MIN(P81,S81)/'Config_v6'!$B$9)+MAX(0,15-2*ABS(AF81-AJ81)-2*ABS(AL81-AP81))+IF(AU81&lt;='Config_v6'!$B$10,15,IF(AU81&lt;='Config_v6'!$B$11,13,IF(AU81&lt;='Config_v6'!$B$12,10,IF(AU81&lt;='Config_v6'!$B$13,6,0))))+5-BE81/10*'Config_v6'!$B$38,0))))</x:f>
      </x:c>
      <x:c r="BG81" s="11" t="str">
        <x:f>IF(I81&lt;&gt;"PASS","",MIN(1,'Config_v6'!$B$14*(0.7+0.3*MIN(1,AR81/'Config_v6'!$B$15))*IF(AU81&lt;='Config_v6'!$B$10,1,IF(AU81&lt;='Config_v6'!$B$11,0.95,IF(AU81&lt;='Config_v6'!$B$12,0.88,0.78)))*(0.75+0.25*BF81/100)))</x:f>
      </x:c>
      <x:c r="BH81" s="11" t="str">
        <x:f>IF(I81&lt;&gt;"PASS","",MIN(1,(ABS(AZ81-1)+ABS(BA81-1))*3))</x:f>
      </x:c>
      <x:c r="BI81" s="2" t="str">
        <x:f>IF(A81="","",IF(AND(OR('Input_Meci'!X81="",AND(ISNUMBER('Input_Meci'!X81),'Input_Meci'!X81&gt;=0,'Input_Meci'!X81&lt;=10)),OR('Input_Meci'!Y81="",AND(ISNUMBER('Input_Meci'!Y81),'Input_Meci'!Y81&gt;=0,'Input_Meci'!Y81&lt;=10)),OR('Input_Meci'!Z81="",AND(ISNUMBER('Input_Meci'!Z81),'Input_Meci'!Z81&gt;=0,'Input_Meci'!Z81&lt;=10)),OR('Input_Meci'!AA81="",AND(ISNUMBER('Input_Meci'!AA81),'Input_Meci'!AA81&gt;=0,'Input_Meci'!AA81&lt;=10)),OR('Input_Meci'!AB81="",AND(ISNUMBER('Input_Meci'!AB81),'Input_Meci'!AB81&gt;=0,'Input_Meci'!AB81&lt;=10)),OR('Input_Meci'!AC81="",AND(ISNUMBER('Input_Meci'!AC81),'Input_Meci'!AC81&gt;=0,'Input_Meci'!AC81&lt;=10)),OR('Input_Meci'!AD81="",AND(ISNUMBER('Input_Meci'!AD81),'Input_Meci'!AD81&gt;=-2,'Input_Meci'!AD81&lt;=2)),OR('Input_Meci'!AE81="",AND(ISNUMBER('Input_Meci'!AE81),'Input_Meci'!AE81&gt;=-2,'Input_Meci'!AE81&lt;=2)),OR('Input_Meci'!AF81="",AND(ISNUMBER('Input_Meci'!AF81),'Input_Meci'!AF81&gt;=-2,'Input_Meci'!AF81&lt;=2)),OR('Input_Meci'!AG81="",AND(ISNUMBER('Input_Meci'!AG81),'Input_Meci'!AG81&gt;=-2,'Input_Meci'!AG81&lt;=2))),"VALID","INVALID"))</x:f>
      </x:c>
      <x:c r="BJ81" s="2" t="n">
        <x:f>IF(A81="",0,SUM('Core_Nativ'!S906:S911))</x:f>
        <x:v>0</x:v>
      </x:c>
      <x:c r="BK81" s="2" t="str">
        <x:f>'Config_v6'!$B$40</x:f>
        <x:v>VALID</x:v>
      </x:c>
      <x:c r="BL81" s="2" t="str">
        <x:f>IF(A81="","",IF(SUMPRODUCT(('Istoric_Nativ'!$B$6:$B$405=B81)*('Istoric_Nativ'!$C$6:$C$405=C81)*('Istoric_Nativ'!$P$6:$P$405=1)*('Istoric_Nativ'!$D$6:$D$405&lt;INT(G81))*((('Istoric_Nativ'!$E$6:$E$405='Input_Meci'!D81)+('Istoric_Nativ'!$F$6:$F$405='Input_Meci'!D81)+('Istoric_Nativ'!$E$6:$E$405='Input_Meci'!E81)+('Istoric_Nativ'!$F$6:$F$405='Input_Meci'!E81))&gt;0))&gt;='Config_v6'!$B$41,C81,IF(AND('Input_Meci'!L81="YES",'Input_Meci'!K81&lt;&gt;"",'Input_Meci'!K81&lt;C81,COUNTIF('Core_Nativ'!R912:R917,"CLOSED")=6,SUM('Core_Nativ'!S912:S917)=0),'Input_Meci'!K81,C81)))</x:f>
      </x:c>
      <x:c r="BM81" s="9" t="n">
        <x:f>IF(OR(A81="",N81=0),0,LARGE(_xlfn._xlws.FILTER('Istoric_Nativ'!$D$6:$D$405,('Istoric_Nativ'!$B$6:$B$405=B81)*('Istoric_Nativ'!$C$6:$C$405=C81)*('Istoric_Nativ'!$P$6:$P$405=1)*('Istoric_Nativ'!$D$6:$D$405&lt;INT(G81))*((('Istoric_Nativ'!$E$6:$E$405='Input_Meci'!D81)+('Istoric_Nativ'!$F$6:$F$405='Input_Meci'!D81))&gt;0)),MIN(10,N81)))</x:f>
        <x:v>0</x:v>
      </x:c>
      <x:c r="BN81" s="9" t="n">
        <x:f>IF(OR(A81="",Q81=0),0,LARGE(_xlfn._xlws.FILTER('Istoric_Nativ'!$D$6:$D$405,('Istoric_Nativ'!$B$6:$B$405=B81)*('Istoric_Nativ'!$C$6:$C$405=C81)*('Istoric_Nativ'!$P$6:$P$405=1)*('Istoric_Nativ'!$D$6:$D$405&lt;INT(G81))*((('Istoric_Nativ'!$E$6:$E$405='Input_Meci'!E81)+('Istoric_Nativ'!$F$6:$F$405='Input_Meci'!E81))&gt;0)),MIN(10,Q81)))</x:f>
        <x:v>0</x:v>
      </x:c>
      <x:c r="BO81" s="9" t="n">
        <x:f>IF(OR(A81="",N81=0),0,LARGE(_xlfn._xlws.FILTER('Istoric_Nativ'!$D$6:$D$405,('Istoric_Nativ'!$B$6:$B$405=B81)*('Istoric_Nativ'!$C$6:$C$405=C81)*('Istoric_Nativ'!$P$6:$P$405=1)*('Istoric_Nativ'!$D$6:$D$405&lt;INT(G81))*((('Istoric_Nativ'!$E$6:$E$405='Input_Meci'!D81)+('Istoric_Nativ'!$F$6:$F$405='Input_Meci'!D81))&gt;0)),MIN(20,N81)))</x:f>
        <x:v>0</x:v>
      </x:c>
      <x:c r="BP81" s="9" t="n">
        <x:f>IF(OR(A81="",Q81=0),0,LARGE(_xlfn._xlws.FILTER('Istoric_Nativ'!$D$6:$D$405,('Istoric_Nativ'!$B$6:$B$405=B81)*('Istoric_Nativ'!$C$6:$C$405=C81)*('Istoric_Nativ'!$P$6:$P$405=1)*('Istoric_Nativ'!$D$6:$D$405&lt;INT(G81))*((('Istoric_Nativ'!$E$6:$E$405='Input_Meci'!E81)+('Istoric_Nativ'!$F$6:$F$405='Input_Meci'!E81))&gt;0)),MIN(20,Q81)))</x:f>
        <x:v>0</x:v>
      </x:c>
      <x:c r="BQ81" s="2" t="str">
        <x:f>IF(A81="","",IF(AND(COUNTIF(MatchesTable[Match_ID],A81)=1,COUNTIFS(MatchesTable[League],B81,MatchesTable[Season],C81,MatchesTable[Home],'Input_Meci'!D81,MatchesTable[Away],'Input_Meci'!E81,MatchesTable[Kickoff_UTC],F81)=1,B81&lt;&gt;"",C81&lt;&gt;"",'Input_Meci'!D81&lt;&gt;"",'Input_Meci'!E81&lt;&gt;"",'Input_Meci'!D81&lt;&gt;'Input_Meci'!E81,ISNUMBER(F81),ISNUMBER(G81),G81&lt;F81,OR(E81="LIVE",E81="REPLAY"),OR('Input_Meci'!L81="YES",'Input_Meci'!L81="NO",'Input_Meci'!L81="")),"VALID","INVALID"))</x:f>
      </x:c>
      <x:c r="BR81" s="2" t="n">
        <x:f>IF(I81&lt;&gt;"PASS",0,SUMPRODUCT(('Istoric_Nativ'!$B$6:$B$405='Input_Meci'!B81)*('Istoric_Nativ'!$C$6:$C$405='Input_Meci'!C81)*('Istoric_Nativ'!$P$6:$P$405=1)*('Istoric_Nativ'!$D$6:$D$405&lt;INT('Input_Meci'!G81))*((('Istoric_Nativ'!$E$6:$E$405='Input_Meci'!D81)+('Istoric_Nativ'!$F$6:$F$405='Input_Meci'!E81))&gt;0)))</x:f>
        <x:v>0</x:v>
      </x:c>
      <x:c r="BS81" s="2" t="n">
        <x:f>IF(I81&lt;&gt;"PASS",0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BM81)+((('Istoric_Nativ'!$E$6:$E$405='Input_Meci'!E81)+('Istoric_Nativ'!$F$6:$F$405='Input_Meci'!E81))&gt;0)*('Istoric_Nativ'!$D$6:$D$405&gt;=BN81))&gt;0)))</x:f>
        <x:v>0</x:v>
      </x:c>
      <x:c r="BT81" s="2" t="n">
        <x:f>IF(I81&lt;&gt;"PASS",0,SUMPRODUCT(('Istoric_Nativ'!$B$6:$B$405='Input_Meci'!B81)*('Istoric_Nativ'!$C$6:$C$405='Input_Meci'!C81)*('Istoric_Nativ'!$P$6:$P$405=1)*('Istoric_Nativ'!$D$6:$D$405&lt;INT('Input_Meci'!G81))*((((('Istoric_Nativ'!$E$6:$E$405='Input_Meci'!D81)+('Istoric_Nativ'!$F$6:$F$405='Input_Meci'!D81))&gt;0)*('Istoric_Nativ'!$D$6:$D$405&gt;=BO81)+((('Istoric_Nativ'!$E$6:$E$405='Input_Meci'!E81)+('Istoric_Nativ'!$F$6:$F$405='Input_Meci'!E81))&gt;0)*('Istoric_Nativ'!$D$6:$D$405&gt;=BP81))&gt;0)))</x:f>
        <x:v>0</x:v>
      </x:c>
    </x:row>
    <x:row r="82" ht="21" customHeight="1">
      <x:c r="A82" s="2" t="str">
        <x:f>IF('Input_Meci'!A82="","",'Input_Meci'!A82)</x:f>
      </x:c>
      <x:c r="B82" s="2" t="str">
        <x:f>IF(A82="","",'Input_Meci'!B82)</x:f>
      </x:c>
      <x:c r="C82" s="2" t="str">
        <x:f>IF(A82="","",'Input_Meci'!C82)</x:f>
      </x:c>
      <x:c r="D82" s="2" t="str">
        <x:f>IF(A82="","",'Input_Meci'!D82&amp;" – "&amp;'Input_Meci'!E82)</x:f>
      </x:c>
      <x:c r="E82" s="2" t="str">
        <x:f>IF(A82="","",'Input_Meci'!H82)</x:f>
      </x:c>
      <x:c r="F82" s="9" t="str">
        <x:f>IF(A82="","",'Input_Meci'!F82)</x:f>
      </x:c>
      <x:c r="G82" s="9" t="str">
        <x:f>IF(A82="","",'Input_Meci'!G82)</x:f>
      </x:c>
      <x:c r="H82" s="2" t="str">
        <x:f>IF(A82="","",IF(BQ82&lt;&gt;"VALID","NOT RELEASED",IF(AND(OR('Input_Meci'!I82="NOT AVAILABLE",'Input_Meci'!I82="SOURCE CONFLICT"),'Input_Meci'!J82&lt;&gt;""),"READY",IF(OR(NOT(OR('Input_Meci'!I82="AUTO",'Input_Meci'!I82="")),COUNTIF('Core_Nativ'!R918:R923,"CLOSED")&lt;&gt;6,BJ82&gt;0),"NOT RELEASED","READY"))))</x:f>
      </x:c>
      <x:c r="I82" s="2" t="str">
        <x:f>IF(A82="","",IF(H82&lt;&gt;"READY","NOT RELEASED",IF(AND(NOT(OR('Input_Meci'!I82="NOT AVAILABLE",'Input_Meci'!I82="SOURCE CONFLICT")),L82=12,AR82&gt;=2,AS82&gt;0,ISNUMBER(AT82),BI82="VALID",BK82="VALID"),"PASS","FAIL")))</x:f>
      </x:c>
      <x:c r="J82" s="2" t="str">
        <x:f>IF(A82="","",IF(BQ82&lt;&gt;"VALID","Verifica ID, echipe, mod si cutoff &lt; kickoff",IF(H82&lt;&gt;"READY",IF('Input_Meci'!I82="ACCESS BLOCKED","Acces blocat: reia sursele",IF(BJ82&gt;0,"Istoric invalid sau conflict: verifica randurile native","Surse neinchise / post-cutoff / dovezi incomplete")),IF(OR('Input_Meci'!I82="NOT AVAILABLE",'Input_Meci'!I82="SOURCE CONFLICT"),'Input_Meci'!I82,IF(BK82&lt;&gt;"VALID","Parametri invalizi",IF(L82&lt;&gt;12,"Core / sample / prior insuficient",IF(AR82&lt;2,"N insuficient pentru dispersie",IF(AS82&lt;=0,"Media istorica trebuie sa fie pozitiva",IF(BI82&lt;&gt;"VALID","Context invalid","READY")))))))))</x:f>
      </x:c>
      <x:c r="K82" s="2" t="str">
        <x:f>IF(A82="","",COUNT(T82:AE82))</x:f>
      </x:c>
      <x:c r="L82" s="2" t="str">
        <x:f>IF(A82="","",COUNT(AF82:AQ82))</x:f>
      </x:c>
      <x:c r="M82" s="2" t="str">
        <x:f>IF(A82="","",IF(OR('Core_Nativ'!M918&lt;'Core_Nativ'!P918,'Core_Nativ'!M919&lt;'Core_Nativ'!P919,'Core_Nativ'!M920&lt;'Core_Nativ'!P920,'Core_Nativ'!M921&lt;'Core_Nativ'!P921,'Core_Nativ'!M922&lt;'Core_Nativ'!P922,'Core_Nativ'!M923&lt;'Core_Nativ'!P923),"YES","NO"))</x:f>
      </x:c>
      <x:c r="N82" s="2" t="str">
        <x:f>IF(A82="","",'Core_Nativ'!M918)</x:f>
      </x:c>
      <x:c r="O82" s="2" t="str">
        <x:f>IF(A82="","",'Core_Nativ'!M919)</x:f>
      </x:c>
      <x:c r="P82" s="2" t="str">
        <x:f>IF(A82="","",'Core_Nativ'!M920)</x:f>
      </x:c>
      <x:c r="Q82" s="2" t="str">
        <x:f>IF(A82="","",'Core_Nativ'!M921)</x:f>
      </x:c>
      <x:c r="R82" s="2" t="str">
        <x:f>IF(A82="","",'Core_Nativ'!M922)</x:f>
      </x:c>
      <x:c r="S82" s="2" t="str">
        <x:f>IF(A82="","",'Core_Nativ'!M923)</x:f>
      </x:c>
      <x:c r="T82" s="11" t="str">
        <x:f>IF(OR(A82="",'Core_Nativ'!M918=0),"",'Core_Nativ'!N918)</x:f>
      </x:c>
      <x:c r="U82" s="11" t="str">
        <x:f>IF(OR(A82="",'Core_Nativ'!M918=0),"",'Core_Nativ'!O918)</x:f>
      </x:c>
      <x:c r="V82" s="11" t="str">
        <x:f>IF(OR(A82="",'Core_Nativ'!M919=0),"",'Core_Nativ'!N919)</x:f>
      </x:c>
      <x:c r="W82" s="11" t="str">
        <x:f>IF(OR(A82="",'Core_Nativ'!M919=0),"",'Core_Nativ'!O919)</x:f>
      </x:c>
      <x:c r="X82" s="11" t="str">
        <x:f>IF(OR(A82="",'Core_Nativ'!M920=0),"",'Core_Nativ'!N920)</x:f>
      </x:c>
      <x:c r="Y82" s="11" t="str">
        <x:f>IF(OR(A82="",'Core_Nativ'!M920=0),"",'Core_Nativ'!O920)</x:f>
      </x:c>
      <x:c r="Z82" s="11" t="str">
        <x:f>IF(OR(A82="",'Core_Nativ'!M921=0),"",'Core_Nativ'!N921)</x:f>
      </x:c>
      <x:c r="AA82" s="11" t="str">
        <x:f>IF(OR(A82="",'Core_Nativ'!M921=0),"",'Core_Nativ'!O921)</x:f>
      </x:c>
      <x:c r="AB82" s="11" t="str">
        <x:f>IF(OR(A82="",'Core_Nativ'!M922=0),"",'Core_Nativ'!N922)</x:f>
      </x:c>
      <x:c r="AC82" s="11" t="str">
        <x:f>IF(OR(A82="",'Core_Nativ'!M922=0),"",'Core_Nativ'!O922)</x:f>
      </x:c>
      <x:c r="AD82" s="11" t="str">
        <x:f>IF(OR(A82="",'Core_Nativ'!M923=0),"",'Core_Nativ'!N923)</x:f>
      </x:c>
      <x:c r="AE82" s="11" t="str">
        <x:f>IF(OR(A82="",'Core_Nativ'!M923=0),"",'Core_Nativ'!O923)</x:f>
      </x:c>
      <x:c r="AF82" s="11" t="str">
        <x:f>IF(A82="","",IF(AND('Core_Nativ'!R918="CLOSED",'Core_Nativ'!S918=0),IF('Core_Nativ'!M918&gt;='Core_Nativ'!P918,'Core_Nativ'!N918,IF(AND('Input_Meci'!L82="YES",'Input_Meci'!K82&lt;&gt;"",'Input_Meci'!K82&lt;C82,'Core_Nativ'!T924="DERIVED",'Core_Nativ'!M924&gt;='Core_Nativ'!P918),MIN(1,'Core_Nativ'!M918/'Core_Nativ'!P918)*IF('Core_Nativ'!M918=0,0,'Core_Nativ'!N918)+(1-MIN(1,'Core_Nativ'!M918/'Core_Nativ'!P918))*'Core_Nativ'!N924,"")),""))</x:f>
      </x:c>
      <x:c r="AG82" s="11" t="str">
        <x:f>IF(A82="","",IF(AND('Core_Nativ'!R918="CLOSED",'Core_Nativ'!S918=0),IF('Core_Nativ'!M918&gt;='Core_Nativ'!P918,'Core_Nativ'!O918,IF(AND('Input_Meci'!L82="YES",'Input_Meci'!K82&lt;&gt;"",'Input_Meci'!K82&lt;C82,'Core_Nativ'!T924="DERIVED",'Core_Nativ'!M924&gt;='Core_Nativ'!P918),MIN(1,'Core_Nativ'!M918/'Core_Nativ'!P918)*IF('Core_Nativ'!M918=0,0,'Core_Nativ'!O918)+(1-MIN(1,'Core_Nativ'!M918/'Core_Nativ'!P918))*'Core_Nativ'!O924,"")),""))</x:f>
      </x:c>
      <x:c r="AH82" s="11" t="str">
        <x:f>IF(A82="","",IF(AND('Core_Nativ'!R919="CLOSED",'Core_Nativ'!S919=0),IF('Core_Nativ'!M919&gt;='Core_Nativ'!P919,'Core_Nativ'!N919,IF(AND('Input_Meci'!L82="YES",'Input_Meci'!K82&lt;&gt;"",'Input_Meci'!K82&lt;C82,'Core_Nativ'!T925="DERIVED",'Core_Nativ'!M925&gt;='Core_Nativ'!P919),MIN(1,'Core_Nativ'!M919/'Core_Nativ'!P919)*IF('Core_Nativ'!M919=0,0,'Core_Nativ'!N919)+(1-MIN(1,'Core_Nativ'!M919/'Core_Nativ'!P919))*'Core_Nativ'!N925,"")),""))</x:f>
      </x:c>
      <x:c r="AI82" s="11" t="str">
        <x:f>IF(A82="","",IF(AND('Core_Nativ'!R919="CLOSED",'Core_Nativ'!S919=0),IF('Core_Nativ'!M919&gt;='Core_Nativ'!P919,'Core_Nativ'!O919,IF(AND('Input_Meci'!L82="YES",'Input_Meci'!K82&lt;&gt;"",'Input_Meci'!K82&lt;C82,'Core_Nativ'!T925="DERIVED",'Core_Nativ'!M925&gt;='Core_Nativ'!P919),MIN(1,'Core_Nativ'!M919/'Core_Nativ'!P919)*IF('Core_Nativ'!M919=0,0,'Core_Nativ'!O919)+(1-MIN(1,'Core_Nativ'!M919/'Core_Nativ'!P919))*'Core_Nativ'!O925,"")),""))</x:f>
      </x:c>
      <x:c r="AJ82" s="11" t="str">
        <x:f>IF(A82="","",IF(AND('Core_Nativ'!R920="CLOSED",'Core_Nativ'!S920=0),IF('Core_Nativ'!M920&gt;='Core_Nativ'!P920,'Core_Nativ'!N920,IF(AND('Input_Meci'!L82="YES",'Input_Meci'!K82&lt;&gt;"",'Input_Meci'!K82&lt;C82,'Core_Nativ'!T926="DERIVED",'Core_Nativ'!M926&gt;='Core_Nativ'!P920),MIN(1,'Core_Nativ'!M920/'Core_Nativ'!P920)*IF('Core_Nativ'!M920=0,0,'Core_Nativ'!N920)+(1-MIN(1,'Core_Nativ'!M920/'Core_Nativ'!P920))*'Core_Nativ'!N926,"")),""))</x:f>
      </x:c>
      <x:c r="AK82" s="11" t="str">
        <x:f>IF(A82="","",IF(AND('Core_Nativ'!R920="CLOSED",'Core_Nativ'!S920=0),IF('Core_Nativ'!M920&gt;='Core_Nativ'!P920,'Core_Nativ'!O920,IF(AND('Input_Meci'!L82="YES",'Input_Meci'!K82&lt;&gt;"",'Input_Meci'!K82&lt;C82,'Core_Nativ'!T926="DERIVED",'Core_Nativ'!M926&gt;='Core_Nativ'!P920),MIN(1,'Core_Nativ'!M920/'Core_Nativ'!P920)*IF('Core_Nativ'!M920=0,0,'Core_Nativ'!O920)+(1-MIN(1,'Core_Nativ'!M920/'Core_Nativ'!P920))*'Core_Nativ'!O926,"")),""))</x:f>
      </x:c>
      <x:c r="AL82" s="11" t="str">
        <x:f>IF(A82="","",IF(AND('Core_Nativ'!R921="CLOSED",'Core_Nativ'!S921=0),IF('Core_Nativ'!M921&gt;='Core_Nativ'!P921,'Core_Nativ'!N921,IF(AND('Input_Meci'!L82="YES",'Input_Meci'!K82&lt;&gt;"",'Input_Meci'!K82&lt;C82,'Core_Nativ'!T927="DERIVED",'Core_Nativ'!M927&gt;='Core_Nativ'!P921),MIN(1,'Core_Nativ'!M921/'Core_Nativ'!P921)*IF('Core_Nativ'!M921=0,0,'Core_Nativ'!N921)+(1-MIN(1,'Core_Nativ'!M921/'Core_Nativ'!P921))*'Core_Nativ'!N927,"")),""))</x:f>
      </x:c>
      <x:c r="AM82" s="11" t="str">
        <x:f>IF(A82="","",IF(AND('Core_Nativ'!R921="CLOSED",'Core_Nativ'!S921=0),IF('Core_Nativ'!M921&gt;='Core_Nativ'!P921,'Core_Nativ'!O921,IF(AND('Input_Meci'!L82="YES",'Input_Meci'!K82&lt;&gt;"",'Input_Meci'!K82&lt;C82,'Core_Nativ'!T927="DERIVED",'Core_Nativ'!M927&gt;='Core_Nativ'!P921),MIN(1,'Core_Nativ'!M921/'Core_Nativ'!P921)*IF('Core_Nativ'!M921=0,0,'Core_Nativ'!O921)+(1-MIN(1,'Core_Nativ'!M921/'Core_Nativ'!P921))*'Core_Nativ'!O927,"")),""))</x:f>
      </x:c>
      <x:c r="AN82" s="11" t="str">
        <x:f>IF(A82="","",IF(AND('Core_Nativ'!R922="CLOSED",'Core_Nativ'!S922=0),IF('Core_Nativ'!M922&gt;='Core_Nativ'!P922,'Core_Nativ'!N922,IF(AND('Input_Meci'!L82="YES",'Input_Meci'!K82&lt;&gt;"",'Input_Meci'!K82&lt;C82,'Core_Nativ'!T928="DERIVED",'Core_Nativ'!M928&gt;='Core_Nativ'!P922),MIN(1,'Core_Nativ'!M922/'Core_Nativ'!P922)*IF('Core_Nativ'!M922=0,0,'Core_Nativ'!N922)+(1-MIN(1,'Core_Nativ'!M922/'Core_Nativ'!P922))*'Core_Nativ'!N928,"")),""))</x:f>
      </x:c>
      <x:c r="AO82" s="11" t="str">
        <x:f>IF(A82="","",IF(AND('Core_Nativ'!R922="CLOSED",'Core_Nativ'!S922=0),IF('Core_Nativ'!M922&gt;='Core_Nativ'!P922,'Core_Nativ'!O922,IF(AND('Input_Meci'!L82="YES",'Input_Meci'!K82&lt;&gt;"",'Input_Meci'!K82&lt;C82,'Core_Nativ'!T928="DERIVED",'Core_Nativ'!M928&gt;='Core_Nativ'!P922),MIN(1,'Core_Nativ'!M922/'Core_Nativ'!P922)*IF('Core_Nativ'!M922=0,0,'Core_Nativ'!O922)+(1-MIN(1,'Core_Nativ'!M922/'Core_Nativ'!P922))*'Core_Nativ'!O928,"")),""))</x:f>
      </x:c>
      <x:c r="AP82" s="11" t="str">
        <x:f>IF(A82="","",IF(AND('Core_Nativ'!R923="CLOSED",'Core_Nativ'!S923=0),IF('Core_Nativ'!M923&gt;='Core_Nativ'!P923,'Core_Nativ'!N923,IF(AND('Input_Meci'!L82="YES",'Input_Meci'!K82&lt;&gt;"",'Input_Meci'!K82&lt;C82,'Core_Nativ'!T929="DERIVED",'Core_Nativ'!M929&gt;='Core_Nativ'!P923),MIN(1,'Core_Nativ'!M923/'Core_Nativ'!P923)*IF('Core_Nativ'!M923=0,0,'Core_Nativ'!N923)+(1-MIN(1,'Core_Nativ'!M923/'Core_Nativ'!P923))*'Core_Nativ'!N929,"")),""))</x:f>
      </x:c>
      <x:c r="AQ82" s="11" t="str">
        <x:f>IF(A82="","",IF(AND('Core_Nativ'!R923="CLOSED",'Core_Nativ'!S923=0),IF('Core_Nativ'!M923&gt;='Core_Nativ'!P923,'Core_Nativ'!O923,IF(AND('Input_Meci'!L82="YES",'Input_Meci'!K82&lt;&gt;"",'Input_Meci'!K82&lt;C82,'Core_Nativ'!T929="DERIVED",'Core_Nativ'!M929&gt;='Core_Nativ'!P923),MIN(1,'Core_Nativ'!M923/'Core_Nativ'!P923)*IF('Core_Nativ'!M923=0,0,'Core_Nativ'!O923)+(1-MIN(1,'Core_Nativ'!M923/'Core_Nativ'!P923))*'Core_Nativ'!O929,"")),""))</x:f>
      </x:c>
      <x:c r="AR82" s="11" t="str">
        <x:f>IF(A82="","",SUMPRODUCT(('Istoric_Nativ'!$B$6:$B$405=B82)*('Istoric_Nativ'!$C$6:$C$405=BL82)*('Istoric_Nativ'!$P$6:$P$405=1)*('Istoric_Nativ'!$D$6:$D$405&lt;INT(G82))*((('Istoric_Nativ'!$E$6:$E$405='Input_Meci'!D82)+('Istoric_Nativ'!$F$6:$F$405='Input_Meci'!D82)+('Istoric_Nativ'!$E$6:$E$405='Input_Meci'!E82)+('Istoric_Nativ'!$F$6:$F$405='Input_Meci'!E82))&gt;0)))</x:f>
      </x:c>
      <x:c r="AS82" s="11" t="str">
        <x:f>IF(AR82=0,"",SUMPRODUCT(('Istoric_Nativ'!$B$6:$B$405=B82)*('Istoric_Nativ'!$C$6:$C$405=BL82)*('Istoric_Nativ'!$P$6:$P$405=1)*('Istoric_Nativ'!$D$6:$D$405&lt;INT(G82))*((('Istoric_Nativ'!$E$6:$E$405='Input_Meci'!D82)+('Istoric_Nativ'!$F$6:$F$405='Input_Meci'!D82)+('Istoric_Nativ'!$E$6:$E$405='Input_Meci'!E82)+('Istoric_Nativ'!$F$6:$F$405='Input_Meci'!E82))&gt;0)*'Istoric_Nativ'!$Q$6:$Q$405)/AR82)</x:f>
      </x:c>
      <x:c r="AT82" s="11" t="str">
        <x:f>IF(AR82&lt;2,"",MAX(0,(SUMPRODUCT(('Istoric_Nativ'!$B$6:$B$405=B82)*('Istoric_Nativ'!$C$6:$C$405=BL82)*('Istoric_Nativ'!$P$6:$P$405=1)*('Istoric_Nativ'!$D$6:$D$405&lt;INT(G82))*((('Istoric_Nativ'!$E$6:$E$405='Input_Meci'!D82)+('Istoric_Nativ'!$F$6:$F$405='Input_Meci'!D82)+('Istoric_Nativ'!$E$6:$E$405='Input_Meci'!E82)+('Istoric_Nativ'!$F$6:$F$405='Input_Meci'!E82))&gt;0)*'Istoric_Nativ'!$R$6:$R$405)-AR82*AS82^2)/(AR82-1)))</x:f>
      </x:c>
      <x:c r="AU82" s="11" t="str">
        <x:f>IF(I82&lt;&gt;"PASS","",AT82/AS82)</x:f>
      </x:c>
      <x:c r="AV82" s="11" t="str">
        <x:f>IF(I82&lt;&gt;"PASS","",IF(AU82&lt;='Config_v6'!$B$10,"POISSON","NEGATIVE BINOMIAL"))</x:f>
      </x:c>
      <x:c r="AW82" s="11" t="str">
        <x:f>IF(I82&lt;&gt;"PASS","",IF(AV82="POISSON",9999,AS82/(AU82-1)))</x:f>
      </x:c>
      <x:c r="AX82" s="11" t="str">
        <x:f>IF(A82="","",MAX(1-'Config_v6'!$B$20,MIN(1+'Config_v6'!$B$20,1+0.02*(IF(AND(ISNUMBER('Input_Meci'!N82),'Input_Meci'!N82&gt;=0,'Input_Meci'!N82&lt;=200),'Input_Meci'!N82,12)/12-1)+0.02*(IF(AND(ISNUMBER('Input_Meci'!P82),'Input_Meci'!P82&gt;=0,'Input_Meci'!P82&lt;=200),'Input_Meci'!P82,3.5)/3.5-1)+0.02*(IF(AND(ISNUMBER('Input_Meci'!R82),'Input_Meci'!R82&gt;=0,'Input_Meci'!R82&lt;=200),'Input_Meci'!R82,18)/18-1)+0.02*((IF(AND(ISNUMBER('Input_Meci'!V82),'Input_Meci'!V82&gt;=0,'Input_Meci'!V82&lt;=10),'Input_Meci'!V82,5)-5)/5))))</x:f>
      </x:c>
      <x:c r="AY82" s="11" t="str">
        <x:f>IF(A82="","",MAX(1-'Config_v6'!$B$20,MIN(1+'Config_v6'!$B$20,1+0.02*(IF(AND(ISNUMBER('Input_Meci'!O82),'Input_Meci'!O82&gt;=0,'Input_Meci'!O82&lt;=200),'Input_Meci'!O82,12)/12-1)+0.02*(IF(AND(ISNUMBER('Input_Meci'!Q82),'Input_Meci'!Q82&gt;=0,'Input_Meci'!Q82&lt;=200),'Input_Meci'!Q82,3.5)/3.5-1)+0.02*(IF(AND(ISNUMBER('Input_Meci'!S82),'Input_Meci'!S82&gt;=0,'Input_Meci'!S82&lt;=200),'Input_Meci'!S82,18)/18-1)+0.02*((IF(AND(ISNUMBER('Input_Meci'!W82),'Input_Meci'!W82&gt;=0,'Input_Meci'!W82&lt;=10),'Input_Meci'!W82,5)-5)/5))))</x:f>
      </x:c>
      <x:c r="AZ82" s="11" t="str">
        <x:f>IF(A82="","",MAX(1-'Config_v6'!$B$21,MIN(1+'Config_v6'!$B$21,1+0.012*(IF('Input_Meci'!X82="",5,IF(ISNUMBER('Input_Meci'!X82),'Input_Meci'!X82,5))-5)+0.018*(IF('Input_Meci'!Z82="",5,IF(ISNUMBER('Input_Meci'!Z82),'Input_Meci'!Z82,5))-5)+0.012*(IF('Input_Meci'!AB82="",5,IF(ISNUMBER('Input_Meci'!AB82),'Input_Meci'!AB82,5))-5)+0.015*IF('Input_Meci'!AD82="",0,IF(ISNUMBER('Input_Meci'!AD82),'Input_Meci'!AD82,0))+0.02*IF('Input_Meci'!AF82="",0,IF(ISNUMBER('Input_Meci'!AF82),'Input_Meci'!AF82,0)))))</x:f>
      </x:c>
      <x:c r="BA82" s="11" t="str">
        <x:f>IF(A82="","",MAX(1-'Config_v6'!$B$21,MIN(1+'Config_v6'!$B$21,1+0.012*(IF('Input_Meci'!Y82="",5,IF(ISNUMBER('Input_Meci'!Y82),'Input_Meci'!Y82,5))-5)+0.018*(IF('Input_Meci'!AA82="",5,IF(ISNUMBER('Input_Meci'!AA82),'Input_Meci'!AA82,5))-5)+0.012*(IF('Input_Meci'!AC82="",5,IF(ISNUMBER('Input_Meci'!AC82),'Input_Meci'!AC82,5))-5)+0.015*IF('Input_Meci'!AE82="",0,IF(ISNUMBER('Input_Meci'!AE82),'Input_Meci'!AE82,0))+0.02*IF('Input_Meci'!AG82="",0,IF(ISNUMBER('Input_Meci'!AG82),'Input_Meci'!AG82,0)))))</x:f>
      </x:c>
      <x:c r="BB82" s="11" t="str">
        <x:f>IF(I82&lt;&gt;"PASS","",(AVERAGE(AF82,AM82)*'Config_v6'!$B$4+AVERAGE(AH82,AO82)*'Config_v6'!$B$5+AVERAGE(AJ82,AQ82)*'Config_v6'!$B$6)*AX82*AZ82)</x:f>
      </x:c>
      <x:c r="BC82" s="11" t="str">
        <x:f>IF(I82&lt;&gt;"PASS","",(AVERAGE(AL82,AG82)*'Config_v6'!$B$4+AVERAGE(AN82,AI82)*'Config_v6'!$B$5+AVERAGE(AP82,AK82)*'Config_v6'!$B$6)*AY82*BA82)</x:f>
      </x:c>
      <x:c r="BD82" s="11" t="str">
        <x:f>IF(I82&lt;&gt;"PASS","",BB82+BC82)</x:f>
      </x:c>
      <x:c r="BE82" s="11" t="str">
        <x:f>IF(A82="","",10-SUM(IF(AND(ISNUMBER('Input_Meci'!N82),'Input_Meci'!N82&gt;=0,'Input_Meci'!N82&lt;=200),1,0),IF(AND(ISNUMBER('Input_Meci'!O82),'Input_Meci'!O82&gt;=0,'Input_Meci'!O82&lt;=200),1,0),IF(AND(ISNUMBER('Input_Meci'!P82),'Input_Meci'!P82&gt;=0,'Input_Meci'!P82&lt;=200),1,0),IF(AND(ISNUMBER('Input_Meci'!Q82),'Input_Meci'!Q82&gt;=0,'Input_Meci'!Q82&lt;=200),1,0),IF(AND(ISNUMBER('Input_Meci'!R82),'Input_Meci'!R82&gt;=0,'Input_Meci'!R82&lt;=200),1,0),IF(AND(ISNUMBER('Input_Meci'!S82),'Input_Meci'!S82&gt;=0,'Input_Meci'!S82&lt;=200),1,0),IF(AND(ISNUMBER('Input_Meci'!T82),'Input_Meci'!T82&gt;=0,'Input_Meci'!T82&lt;=100),1,0),IF(AND(ISNUMBER('Input_Meci'!U82),'Input_Meci'!U82&gt;=0,'Input_Meci'!U82&lt;=100),1,0),IF(AND(ISNUMBER('Input_Meci'!V82),'Input_Meci'!V82&gt;=0,'Input_Meci'!V82&lt;=10),1,0),IF(AND(ISNUMBER('Input_Meci'!W82),'Input_Meci'!W82&gt;=0,'Input_Meci'!W82&lt;=10),1,0)))</x:f>
      </x:c>
      <x:c r="BF82" s="11" t="str">
        <x:f>IF(I82&lt;&gt;"PASS","",MAX(0,MIN(IF(OR(M82="YES",BL82&lt;&gt;C82),'Config_v6'!$B$34,100),ROUND(40+25*MIN(1,MIN(N82,Q82)/'Config_v6'!$B$7)*MIN(1,MIN(O82,R82)/'Config_v6'!$B$8)*MIN(1,MIN(P82,S82)/'Config_v6'!$B$9)+MAX(0,15-2*ABS(AF82-AJ82)-2*ABS(AL82-AP82))+IF(AU82&lt;='Config_v6'!$B$10,15,IF(AU82&lt;='Config_v6'!$B$11,13,IF(AU82&lt;='Config_v6'!$B$12,10,IF(AU82&lt;='Config_v6'!$B$13,6,0))))+5-BE82/10*'Config_v6'!$B$38,0))))</x:f>
      </x:c>
      <x:c r="BG82" s="11" t="str">
        <x:f>IF(I82&lt;&gt;"PASS","",MIN(1,'Config_v6'!$B$14*(0.7+0.3*MIN(1,AR82/'Config_v6'!$B$15))*IF(AU82&lt;='Config_v6'!$B$10,1,IF(AU82&lt;='Config_v6'!$B$11,0.95,IF(AU82&lt;='Config_v6'!$B$12,0.88,0.78)))*(0.75+0.25*BF82/100)))</x:f>
      </x:c>
      <x:c r="BH82" s="11" t="str">
        <x:f>IF(I82&lt;&gt;"PASS","",MIN(1,(ABS(AZ82-1)+ABS(BA82-1))*3))</x:f>
      </x:c>
      <x:c r="BI82" s="2" t="str">
        <x:f>IF(A82="","",IF(AND(OR('Input_Meci'!X82="",AND(ISNUMBER('Input_Meci'!X82),'Input_Meci'!X82&gt;=0,'Input_Meci'!X82&lt;=10)),OR('Input_Meci'!Y82="",AND(ISNUMBER('Input_Meci'!Y82),'Input_Meci'!Y82&gt;=0,'Input_Meci'!Y82&lt;=10)),OR('Input_Meci'!Z82="",AND(ISNUMBER('Input_Meci'!Z82),'Input_Meci'!Z82&gt;=0,'Input_Meci'!Z82&lt;=10)),OR('Input_Meci'!AA82="",AND(ISNUMBER('Input_Meci'!AA82),'Input_Meci'!AA82&gt;=0,'Input_Meci'!AA82&lt;=10)),OR('Input_Meci'!AB82="",AND(ISNUMBER('Input_Meci'!AB82),'Input_Meci'!AB82&gt;=0,'Input_Meci'!AB82&lt;=10)),OR('Input_Meci'!AC82="",AND(ISNUMBER('Input_Meci'!AC82),'Input_Meci'!AC82&gt;=0,'Input_Meci'!AC82&lt;=10)),OR('Input_Meci'!AD82="",AND(ISNUMBER('Input_Meci'!AD82),'Input_Meci'!AD82&gt;=-2,'Input_Meci'!AD82&lt;=2)),OR('Input_Meci'!AE82="",AND(ISNUMBER('Input_Meci'!AE82),'Input_Meci'!AE82&gt;=-2,'Input_Meci'!AE82&lt;=2)),OR('Input_Meci'!AF82="",AND(ISNUMBER('Input_Meci'!AF82),'Input_Meci'!AF82&gt;=-2,'Input_Meci'!AF82&lt;=2)),OR('Input_Meci'!AG82="",AND(ISNUMBER('Input_Meci'!AG82),'Input_Meci'!AG82&gt;=-2,'Input_Meci'!AG82&lt;=2))),"VALID","INVALID"))</x:f>
      </x:c>
      <x:c r="BJ82" s="2" t="n">
        <x:f>IF(A82="",0,SUM('Core_Nativ'!S918:S923))</x:f>
        <x:v>0</x:v>
      </x:c>
      <x:c r="BK82" s="2" t="str">
        <x:f>'Config_v6'!$B$40</x:f>
        <x:v>VALID</x:v>
      </x:c>
      <x:c r="BL82" s="2" t="str">
        <x:f>IF(A82="","",IF(SUMPRODUCT(('Istoric_Nativ'!$B$6:$B$405=B82)*('Istoric_Nativ'!$C$6:$C$405=C82)*('Istoric_Nativ'!$P$6:$P$405=1)*('Istoric_Nativ'!$D$6:$D$405&lt;INT(G82))*((('Istoric_Nativ'!$E$6:$E$405='Input_Meci'!D82)+('Istoric_Nativ'!$F$6:$F$405='Input_Meci'!D82)+('Istoric_Nativ'!$E$6:$E$405='Input_Meci'!E82)+('Istoric_Nativ'!$F$6:$F$405='Input_Meci'!E82))&gt;0))&gt;='Config_v6'!$B$41,C82,IF(AND('Input_Meci'!L82="YES",'Input_Meci'!K82&lt;&gt;"",'Input_Meci'!K82&lt;C82,COUNTIF('Core_Nativ'!R924:R929,"CLOSED")=6,SUM('Core_Nativ'!S924:S929)=0),'Input_Meci'!K82,C82)))</x:f>
      </x:c>
      <x:c r="BM82" s="9" t="n">
        <x:f>IF(OR(A82="",N82=0),0,LARGE(_xlfn._xlws.FILTER('Istoric_Nativ'!$D$6:$D$405,('Istoric_Nativ'!$B$6:$B$405=B82)*('Istoric_Nativ'!$C$6:$C$405=C82)*('Istoric_Nativ'!$P$6:$P$405=1)*('Istoric_Nativ'!$D$6:$D$405&lt;INT(G82))*((('Istoric_Nativ'!$E$6:$E$405='Input_Meci'!D82)+('Istoric_Nativ'!$F$6:$F$405='Input_Meci'!D82))&gt;0)),MIN(10,N82)))</x:f>
        <x:v>0</x:v>
      </x:c>
      <x:c r="BN82" s="9" t="n">
        <x:f>IF(OR(A82="",Q82=0),0,LARGE(_xlfn._xlws.FILTER('Istoric_Nativ'!$D$6:$D$405,('Istoric_Nativ'!$B$6:$B$405=B82)*('Istoric_Nativ'!$C$6:$C$405=C82)*('Istoric_Nativ'!$P$6:$P$405=1)*('Istoric_Nativ'!$D$6:$D$405&lt;INT(G82))*((('Istoric_Nativ'!$E$6:$E$405='Input_Meci'!E82)+('Istoric_Nativ'!$F$6:$F$405='Input_Meci'!E82))&gt;0)),MIN(10,Q82)))</x:f>
        <x:v>0</x:v>
      </x:c>
      <x:c r="BO82" s="9" t="n">
        <x:f>IF(OR(A82="",N82=0),0,LARGE(_xlfn._xlws.FILTER('Istoric_Nativ'!$D$6:$D$405,('Istoric_Nativ'!$B$6:$B$405=B82)*('Istoric_Nativ'!$C$6:$C$405=C82)*('Istoric_Nativ'!$P$6:$P$405=1)*('Istoric_Nativ'!$D$6:$D$405&lt;INT(G82))*((('Istoric_Nativ'!$E$6:$E$405='Input_Meci'!D82)+('Istoric_Nativ'!$F$6:$F$405='Input_Meci'!D82))&gt;0)),MIN(20,N82)))</x:f>
        <x:v>0</x:v>
      </x:c>
      <x:c r="BP82" s="9" t="n">
        <x:f>IF(OR(A82="",Q82=0),0,LARGE(_xlfn._xlws.FILTER('Istoric_Nativ'!$D$6:$D$405,('Istoric_Nativ'!$B$6:$B$405=B82)*('Istoric_Nativ'!$C$6:$C$405=C82)*('Istoric_Nativ'!$P$6:$P$405=1)*('Istoric_Nativ'!$D$6:$D$405&lt;INT(G82))*((('Istoric_Nativ'!$E$6:$E$405='Input_Meci'!E82)+('Istoric_Nativ'!$F$6:$F$405='Input_Meci'!E82))&gt;0)),MIN(20,Q82)))</x:f>
        <x:v>0</x:v>
      </x:c>
      <x:c r="BQ82" s="2" t="str">
        <x:f>IF(A82="","",IF(AND(COUNTIF(MatchesTable[Match_ID],A82)=1,COUNTIFS(MatchesTable[League],B82,MatchesTable[Season],C82,MatchesTable[Home],'Input_Meci'!D82,MatchesTable[Away],'Input_Meci'!E82,MatchesTable[Kickoff_UTC],F82)=1,B82&lt;&gt;"",C82&lt;&gt;"",'Input_Meci'!D82&lt;&gt;"",'Input_Meci'!E82&lt;&gt;"",'Input_Meci'!D82&lt;&gt;'Input_Meci'!E82,ISNUMBER(F82),ISNUMBER(G82),G82&lt;F82,OR(E82="LIVE",E82="REPLAY"),OR('Input_Meci'!L82="YES",'Input_Meci'!L82="NO",'Input_Meci'!L82="")),"VALID","INVALID"))</x:f>
      </x:c>
      <x:c r="BR82" s="2" t="n">
        <x:f>IF(I82&lt;&gt;"PASS",0,SUMPRODUCT(('Istoric_Nativ'!$B$6:$B$405='Input_Meci'!B82)*('Istoric_Nativ'!$C$6:$C$405='Input_Meci'!C82)*('Istoric_Nativ'!$P$6:$P$405=1)*('Istoric_Nativ'!$D$6:$D$405&lt;INT('Input_Meci'!G82))*((('Istoric_Nativ'!$E$6:$E$405='Input_Meci'!D82)+('Istoric_Nativ'!$F$6:$F$405='Input_Meci'!E82))&gt;0)))</x:f>
        <x:v>0</x:v>
      </x:c>
      <x:c r="BS82" s="2" t="n">
        <x:f>IF(I82&lt;&gt;"PASS",0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BM82)+((('Istoric_Nativ'!$E$6:$E$405='Input_Meci'!E82)+('Istoric_Nativ'!$F$6:$F$405='Input_Meci'!E82))&gt;0)*('Istoric_Nativ'!$D$6:$D$405&gt;=BN82))&gt;0)))</x:f>
        <x:v>0</x:v>
      </x:c>
      <x:c r="BT82" s="2" t="n">
        <x:f>IF(I82&lt;&gt;"PASS",0,SUMPRODUCT(('Istoric_Nativ'!$B$6:$B$405='Input_Meci'!B82)*('Istoric_Nativ'!$C$6:$C$405='Input_Meci'!C82)*('Istoric_Nativ'!$P$6:$P$405=1)*('Istoric_Nativ'!$D$6:$D$405&lt;INT('Input_Meci'!G82))*((((('Istoric_Nativ'!$E$6:$E$405='Input_Meci'!D82)+('Istoric_Nativ'!$F$6:$F$405='Input_Meci'!D82))&gt;0)*('Istoric_Nativ'!$D$6:$D$405&gt;=BO82)+((('Istoric_Nativ'!$E$6:$E$405='Input_Meci'!E82)+('Istoric_Nativ'!$F$6:$F$405='Input_Meci'!E82))&gt;0)*('Istoric_Nativ'!$D$6:$D$405&gt;=BP82))&gt;0)))</x:f>
        <x:v>0</x:v>
      </x:c>
    </x:row>
    <x:row r="83" ht="21" customHeight="1">
      <x:c r="A83" s="2" t="str">
        <x:f>IF('Input_Meci'!A83="","",'Input_Meci'!A83)</x:f>
      </x:c>
      <x:c r="B83" s="2" t="str">
        <x:f>IF(A83="","",'Input_Meci'!B83)</x:f>
      </x:c>
      <x:c r="C83" s="2" t="str">
        <x:f>IF(A83="","",'Input_Meci'!C83)</x:f>
      </x:c>
      <x:c r="D83" s="2" t="str">
        <x:f>IF(A83="","",'Input_Meci'!D83&amp;" – "&amp;'Input_Meci'!E83)</x:f>
      </x:c>
      <x:c r="E83" s="2" t="str">
        <x:f>IF(A83="","",'Input_Meci'!H83)</x:f>
      </x:c>
      <x:c r="F83" s="9" t="str">
        <x:f>IF(A83="","",'Input_Meci'!F83)</x:f>
      </x:c>
      <x:c r="G83" s="9" t="str">
        <x:f>IF(A83="","",'Input_Meci'!G83)</x:f>
      </x:c>
      <x:c r="H83" s="2" t="str">
        <x:f>IF(A83="","",IF(BQ83&lt;&gt;"VALID","NOT RELEASED",IF(AND(OR('Input_Meci'!I83="NOT AVAILABLE",'Input_Meci'!I83="SOURCE CONFLICT"),'Input_Meci'!J83&lt;&gt;""),"READY",IF(OR(NOT(OR('Input_Meci'!I83="AUTO",'Input_Meci'!I83="")),COUNTIF('Core_Nativ'!R930:R935,"CLOSED")&lt;&gt;6,BJ83&gt;0),"NOT RELEASED","READY"))))</x:f>
      </x:c>
      <x:c r="I83" s="2" t="str">
        <x:f>IF(A83="","",IF(H83&lt;&gt;"READY","NOT RELEASED",IF(AND(NOT(OR('Input_Meci'!I83="NOT AVAILABLE",'Input_Meci'!I83="SOURCE CONFLICT")),L83=12,AR83&gt;=2,AS83&gt;0,ISNUMBER(AT83),BI83="VALID",BK83="VALID"),"PASS","FAIL")))</x:f>
      </x:c>
      <x:c r="J83" s="2" t="str">
        <x:f>IF(A83="","",IF(BQ83&lt;&gt;"VALID","Verifica ID, echipe, mod si cutoff &lt; kickoff",IF(H83&lt;&gt;"READY",IF('Input_Meci'!I83="ACCESS BLOCKED","Acces blocat: reia sursele",IF(BJ83&gt;0,"Istoric invalid sau conflict: verifica randurile native","Surse neinchise / post-cutoff / dovezi incomplete")),IF(OR('Input_Meci'!I83="NOT AVAILABLE",'Input_Meci'!I83="SOURCE CONFLICT"),'Input_Meci'!I83,IF(BK83&lt;&gt;"VALID","Parametri invalizi",IF(L83&lt;&gt;12,"Core / sample / prior insuficient",IF(AR83&lt;2,"N insuficient pentru dispersie",IF(AS83&lt;=0,"Media istorica trebuie sa fie pozitiva",IF(BI83&lt;&gt;"VALID","Context invalid","READY")))))))))</x:f>
      </x:c>
      <x:c r="K83" s="2" t="str">
        <x:f>IF(A83="","",COUNT(T83:AE83))</x:f>
      </x:c>
      <x:c r="L83" s="2" t="str">
        <x:f>IF(A83="","",COUNT(AF83:AQ83))</x:f>
      </x:c>
      <x:c r="M83" s="2" t="str">
        <x:f>IF(A83="","",IF(OR('Core_Nativ'!M930&lt;'Core_Nativ'!P930,'Core_Nativ'!M931&lt;'Core_Nativ'!P931,'Core_Nativ'!M932&lt;'Core_Nativ'!P932,'Core_Nativ'!M933&lt;'Core_Nativ'!P933,'Core_Nativ'!M934&lt;'Core_Nativ'!P934,'Core_Nativ'!M935&lt;'Core_Nativ'!P935),"YES","NO"))</x:f>
      </x:c>
      <x:c r="N83" s="2" t="str">
        <x:f>IF(A83="","",'Core_Nativ'!M930)</x:f>
      </x:c>
      <x:c r="O83" s="2" t="str">
        <x:f>IF(A83="","",'Core_Nativ'!M931)</x:f>
      </x:c>
      <x:c r="P83" s="2" t="str">
        <x:f>IF(A83="","",'Core_Nativ'!M932)</x:f>
      </x:c>
      <x:c r="Q83" s="2" t="str">
        <x:f>IF(A83="","",'Core_Nativ'!M933)</x:f>
      </x:c>
      <x:c r="R83" s="2" t="str">
        <x:f>IF(A83="","",'Core_Nativ'!M934)</x:f>
      </x:c>
      <x:c r="S83" s="2" t="str">
        <x:f>IF(A83="","",'Core_Nativ'!M935)</x:f>
      </x:c>
      <x:c r="T83" s="11" t="str">
        <x:f>IF(OR(A83="",'Core_Nativ'!M930=0),"",'Core_Nativ'!N930)</x:f>
      </x:c>
      <x:c r="U83" s="11" t="str">
        <x:f>IF(OR(A83="",'Core_Nativ'!M930=0),"",'Core_Nativ'!O930)</x:f>
      </x:c>
      <x:c r="V83" s="11" t="str">
        <x:f>IF(OR(A83="",'Core_Nativ'!M931=0),"",'Core_Nativ'!N931)</x:f>
      </x:c>
      <x:c r="W83" s="11" t="str">
        <x:f>IF(OR(A83="",'Core_Nativ'!M931=0),"",'Core_Nativ'!O931)</x:f>
      </x:c>
      <x:c r="X83" s="11" t="str">
        <x:f>IF(OR(A83="",'Core_Nativ'!M932=0),"",'Core_Nativ'!N932)</x:f>
      </x:c>
      <x:c r="Y83" s="11" t="str">
        <x:f>IF(OR(A83="",'Core_Nativ'!M932=0),"",'Core_Nativ'!O932)</x:f>
      </x:c>
      <x:c r="Z83" s="11" t="str">
        <x:f>IF(OR(A83="",'Core_Nativ'!M933=0),"",'Core_Nativ'!N933)</x:f>
      </x:c>
      <x:c r="AA83" s="11" t="str">
        <x:f>IF(OR(A83="",'Core_Nativ'!M933=0),"",'Core_Nativ'!O933)</x:f>
      </x:c>
      <x:c r="AB83" s="11" t="str">
        <x:f>IF(OR(A83="",'Core_Nativ'!M934=0),"",'Core_Nativ'!N934)</x:f>
      </x:c>
      <x:c r="AC83" s="11" t="str">
        <x:f>IF(OR(A83="",'Core_Nativ'!M934=0),"",'Core_Nativ'!O934)</x:f>
      </x:c>
      <x:c r="AD83" s="11" t="str">
        <x:f>IF(OR(A83="",'Core_Nativ'!M935=0),"",'Core_Nativ'!N935)</x:f>
      </x:c>
      <x:c r="AE83" s="11" t="str">
        <x:f>IF(OR(A83="",'Core_Nativ'!M935=0),"",'Core_Nativ'!O935)</x:f>
      </x:c>
      <x:c r="AF83" s="11" t="str">
        <x:f>IF(A83="","",IF(AND('Core_Nativ'!R930="CLOSED",'Core_Nativ'!S930=0),IF('Core_Nativ'!M930&gt;='Core_Nativ'!P930,'Core_Nativ'!N930,IF(AND('Input_Meci'!L83="YES",'Input_Meci'!K83&lt;&gt;"",'Input_Meci'!K83&lt;C83,'Core_Nativ'!T936="DERIVED",'Core_Nativ'!M936&gt;='Core_Nativ'!P930),MIN(1,'Core_Nativ'!M930/'Core_Nativ'!P930)*IF('Core_Nativ'!M930=0,0,'Core_Nativ'!N930)+(1-MIN(1,'Core_Nativ'!M930/'Core_Nativ'!P930))*'Core_Nativ'!N936,"")),""))</x:f>
      </x:c>
      <x:c r="AG83" s="11" t="str">
        <x:f>IF(A83="","",IF(AND('Core_Nativ'!R930="CLOSED",'Core_Nativ'!S930=0),IF('Core_Nativ'!M930&gt;='Core_Nativ'!P930,'Core_Nativ'!O930,IF(AND('Input_Meci'!L83="YES",'Input_Meci'!K83&lt;&gt;"",'Input_Meci'!K83&lt;C83,'Core_Nativ'!T936="DERIVED",'Core_Nativ'!M936&gt;='Core_Nativ'!P930),MIN(1,'Core_Nativ'!M930/'Core_Nativ'!P930)*IF('Core_Nativ'!M930=0,0,'Core_Nativ'!O930)+(1-MIN(1,'Core_Nativ'!M930/'Core_Nativ'!P930))*'Core_Nativ'!O936,"")),""))</x:f>
      </x:c>
      <x:c r="AH83" s="11" t="str">
        <x:f>IF(A83="","",IF(AND('Core_Nativ'!R931="CLOSED",'Core_Nativ'!S931=0),IF('Core_Nativ'!M931&gt;='Core_Nativ'!P931,'Core_Nativ'!N931,IF(AND('Input_Meci'!L83="YES",'Input_Meci'!K83&lt;&gt;"",'Input_Meci'!K83&lt;C83,'Core_Nativ'!T937="DERIVED",'Core_Nativ'!M937&gt;='Core_Nativ'!P931),MIN(1,'Core_Nativ'!M931/'Core_Nativ'!P931)*IF('Core_Nativ'!M931=0,0,'Core_Nativ'!N931)+(1-MIN(1,'Core_Nativ'!M931/'Core_Nativ'!P931))*'Core_Nativ'!N937,"")),""))</x:f>
      </x:c>
      <x:c r="AI83" s="11" t="str">
        <x:f>IF(A83="","",IF(AND('Core_Nativ'!R931="CLOSED",'Core_Nativ'!S931=0),IF('Core_Nativ'!M931&gt;='Core_Nativ'!P931,'Core_Nativ'!O931,IF(AND('Input_Meci'!L83="YES",'Input_Meci'!K83&lt;&gt;"",'Input_Meci'!K83&lt;C83,'Core_Nativ'!T937="DERIVED",'Core_Nativ'!M937&gt;='Core_Nativ'!P931),MIN(1,'Core_Nativ'!M931/'Core_Nativ'!P931)*IF('Core_Nativ'!M931=0,0,'Core_Nativ'!O931)+(1-MIN(1,'Core_Nativ'!M931/'Core_Nativ'!P931))*'Core_Nativ'!O937,"")),""))</x:f>
      </x:c>
      <x:c r="AJ83" s="11" t="str">
        <x:f>IF(A83="","",IF(AND('Core_Nativ'!R932="CLOSED",'Core_Nativ'!S932=0),IF('Core_Nativ'!M932&gt;='Core_Nativ'!P932,'Core_Nativ'!N932,IF(AND('Input_Meci'!L83="YES",'Input_Meci'!K83&lt;&gt;"",'Input_Meci'!K83&lt;C83,'Core_Nativ'!T938="DERIVED",'Core_Nativ'!M938&gt;='Core_Nativ'!P932),MIN(1,'Core_Nativ'!M932/'Core_Nativ'!P932)*IF('Core_Nativ'!M932=0,0,'Core_Nativ'!N932)+(1-MIN(1,'Core_Nativ'!M932/'Core_Nativ'!P932))*'Core_Nativ'!N938,"")),""))</x:f>
      </x:c>
      <x:c r="AK83" s="11" t="str">
        <x:f>IF(A83="","",IF(AND('Core_Nativ'!R932="CLOSED",'Core_Nativ'!S932=0),IF('Core_Nativ'!M932&gt;='Core_Nativ'!P932,'Core_Nativ'!O932,IF(AND('Input_Meci'!L83="YES",'Input_Meci'!K83&lt;&gt;"",'Input_Meci'!K83&lt;C83,'Core_Nativ'!T938="DERIVED",'Core_Nativ'!M938&gt;='Core_Nativ'!P932),MIN(1,'Core_Nativ'!M932/'Core_Nativ'!P932)*IF('Core_Nativ'!M932=0,0,'Core_Nativ'!O932)+(1-MIN(1,'Core_Nativ'!M932/'Core_Nativ'!P932))*'Core_Nativ'!O938,"")),""))</x:f>
      </x:c>
      <x:c r="AL83" s="11" t="str">
        <x:f>IF(A83="","",IF(AND('Core_Nativ'!R933="CLOSED",'Core_Nativ'!S933=0),IF('Core_Nativ'!M933&gt;='Core_Nativ'!P933,'Core_Nativ'!N933,IF(AND('Input_Meci'!L83="YES",'Input_Meci'!K83&lt;&gt;"",'Input_Meci'!K83&lt;C83,'Core_Nativ'!T939="DERIVED",'Core_Nativ'!M939&gt;='Core_Nativ'!P933),MIN(1,'Core_Nativ'!M933/'Core_Nativ'!P933)*IF('Core_Nativ'!M933=0,0,'Core_Nativ'!N933)+(1-MIN(1,'Core_Nativ'!M933/'Core_Nativ'!P933))*'Core_Nativ'!N939,"")),""))</x:f>
      </x:c>
      <x:c r="AM83" s="11" t="str">
        <x:f>IF(A83="","",IF(AND('Core_Nativ'!R933="CLOSED",'Core_Nativ'!S933=0),IF('Core_Nativ'!M933&gt;='Core_Nativ'!P933,'Core_Nativ'!O933,IF(AND('Input_Meci'!L83="YES",'Input_Meci'!K83&lt;&gt;"",'Input_Meci'!K83&lt;C83,'Core_Nativ'!T939="DERIVED",'Core_Nativ'!M939&gt;='Core_Nativ'!P933),MIN(1,'Core_Nativ'!M933/'Core_Nativ'!P933)*IF('Core_Nativ'!M933=0,0,'Core_Nativ'!O933)+(1-MIN(1,'Core_Nativ'!M933/'Core_Nativ'!P933))*'Core_Nativ'!O939,"")),""))</x:f>
      </x:c>
      <x:c r="AN83" s="11" t="str">
        <x:f>IF(A83="","",IF(AND('Core_Nativ'!R934="CLOSED",'Core_Nativ'!S934=0),IF('Core_Nativ'!M934&gt;='Core_Nativ'!P934,'Core_Nativ'!N934,IF(AND('Input_Meci'!L83="YES",'Input_Meci'!K83&lt;&gt;"",'Input_Meci'!K83&lt;C83,'Core_Nativ'!T940="DERIVED",'Core_Nativ'!M940&gt;='Core_Nativ'!P934),MIN(1,'Core_Nativ'!M934/'Core_Nativ'!P934)*IF('Core_Nativ'!M934=0,0,'Core_Nativ'!N934)+(1-MIN(1,'Core_Nativ'!M934/'Core_Nativ'!P934))*'Core_Nativ'!N940,"")),""))</x:f>
      </x:c>
      <x:c r="AO83" s="11" t="str">
        <x:f>IF(A83="","",IF(AND('Core_Nativ'!R934="CLOSED",'Core_Nativ'!S934=0),IF('Core_Nativ'!M934&gt;='Core_Nativ'!P934,'Core_Nativ'!O934,IF(AND('Input_Meci'!L83="YES",'Input_Meci'!K83&lt;&gt;"",'Input_Meci'!K83&lt;C83,'Core_Nativ'!T940="DERIVED",'Core_Nativ'!M940&gt;='Core_Nativ'!P934),MIN(1,'Core_Nativ'!M934/'Core_Nativ'!P934)*IF('Core_Nativ'!M934=0,0,'Core_Nativ'!O934)+(1-MIN(1,'Core_Nativ'!M934/'Core_Nativ'!P934))*'Core_Nativ'!O940,"")),""))</x:f>
      </x:c>
      <x:c r="AP83" s="11" t="str">
        <x:f>IF(A83="","",IF(AND('Core_Nativ'!R935="CLOSED",'Core_Nativ'!S935=0),IF('Core_Nativ'!M935&gt;='Core_Nativ'!P935,'Core_Nativ'!N935,IF(AND('Input_Meci'!L83="YES",'Input_Meci'!K83&lt;&gt;"",'Input_Meci'!K83&lt;C83,'Core_Nativ'!T941="DERIVED",'Core_Nativ'!M941&gt;='Core_Nativ'!P935),MIN(1,'Core_Nativ'!M935/'Core_Nativ'!P935)*IF('Core_Nativ'!M935=0,0,'Core_Nativ'!N935)+(1-MIN(1,'Core_Nativ'!M935/'Core_Nativ'!P935))*'Core_Nativ'!N941,"")),""))</x:f>
      </x:c>
      <x:c r="AQ83" s="11" t="str">
        <x:f>IF(A83="","",IF(AND('Core_Nativ'!R935="CLOSED",'Core_Nativ'!S935=0),IF('Core_Nativ'!M935&gt;='Core_Nativ'!P935,'Core_Nativ'!O935,IF(AND('Input_Meci'!L83="YES",'Input_Meci'!K83&lt;&gt;"",'Input_Meci'!K83&lt;C83,'Core_Nativ'!T941="DERIVED",'Core_Nativ'!M941&gt;='Core_Nativ'!P935),MIN(1,'Core_Nativ'!M935/'Core_Nativ'!P935)*IF('Core_Nativ'!M935=0,0,'Core_Nativ'!O935)+(1-MIN(1,'Core_Nativ'!M935/'Core_Nativ'!P935))*'Core_Nativ'!O941,"")),""))</x:f>
      </x:c>
      <x:c r="AR83" s="11" t="str">
        <x:f>IF(A83="","",SUMPRODUCT(('Istoric_Nativ'!$B$6:$B$405=B83)*('Istoric_Nativ'!$C$6:$C$405=BL83)*('Istoric_Nativ'!$P$6:$P$405=1)*('Istoric_Nativ'!$D$6:$D$405&lt;INT(G83))*((('Istoric_Nativ'!$E$6:$E$405='Input_Meci'!D83)+('Istoric_Nativ'!$F$6:$F$405='Input_Meci'!D83)+('Istoric_Nativ'!$E$6:$E$405='Input_Meci'!E83)+('Istoric_Nativ'!$F$6:$F$405='Input_Meci'!E83))&gt;0)))</x:f>
      </x:c>
      <x:c r="AS83" s="11" t="str">
        <x:f>IF(AR83=0,"",SUMPRODUCT(('Istoric_Nativ'!$B$6:$B$405=B83)*('Istoric_Nativ'!$C$6:$C$405=BL83)*('Istoric_Nativ'!$P$6:$P$405=1)*('Istoric_Nativ'!$D$6:$D$405&lt;INT(G83))*((('Istoric_Nativ'!$E$6:$E$405='Input_Meci'!D83)+('Istoric_Nativ'!$F$6:$F$405='Input_Meci'!D83)+('Istoric_Nativ'!$E$6:$E$405='Input_Meci'!E83)+('Istoric_Nativ'!$F$6:$F$405='Input_Meci'!E83))&gt;0)*'Istoric_Nativ'!$Q$6:$Q$405)/AR83)</x:f>
      </x:c>
      <x:c r="AT83" s="11" t="str">
        <x:f>IF(AR83&lt;2,"",MAX(0,(SUMPRODUCT(('Istoric_Nativ'!$B$6:$B$405=B83)*('Istoric_Nativ'!$C$6:$C$405=BL83)*('Istoric_Nativ'!$P$6:$P$405=1)*('Istoric_Nativ'!$D$6:$D$405&lt;INT(G83))*((('Istoric_Nativ'!$E$6:$E$405='Input_Meci'!D83)+('Istoric_Nativ'!$F$6:$F$405='Input_Meci'!D83)+('Istoric_Nativ'!$E$6:$E$405='Input_Meci'!E83)+('Istoric_Nativ'!$F$6:$F$405='Input_Meci'!E83))&gt;0)*'Istoric_Nativ'!$R$6:$R$405)-AR83*AS83^2)/(AR83-1)))</x:f>
      </x:c>
      <x:c r="AU83" s="11" t="str">
        <x:f>IF(I83&lt;&gt;"PASS","",AT83/AS83)</x:f>
      </x:c>
      <x:c r="AV83" s="11" t="str">
        <x:f>IF(I83&lt;&gt;"PASS","",IF(AU83&lt;='Config_v6'!$B$10,"POISSON","NEGATIVE BINOMIAL"))</x:f>
      </x:c>
      <x:c r="AW83" s="11" t="str">
        <x:f>IF(I83&lt;&gt;"PASS","",IF(AV83="POISSON",9999,AS83/(AU83-1)))</x:f>
      </x:c>
      <x:c r="AX83" s="11" t="str">
        <x:f>IF(A83="","",MAX(1-'Config_v6'!$B$20,MIN(1+'Config_v6'!$B$20,1+0.02*(IF(AND(ISNUMBER('Input_Meci'!N83),'Input_Meci'!N83&gt;=0,'Input_Meci'!N83&lt;=200),'Input_Meci'!N83,12)/12-1)+0.02*(IF(AND(ISNUMBER('Input_Meci'!P83),'Input_Meci'!P83&gt;=0,'Input_Meci'!P83&lt;=200),'Input_Meci'!P83,3.5)/3.5-1)+0.02*(IF(AND(ISNUMBER('Input_Meci'!R83),'Input_Meci'!R83&gt;=0,'Input_Meci'!R83&lt;=200),'Input_Meci'!R83,18)/18-1)+0.02*((IF(AND(ISNUMBER('Input_Meci'!V83),'Input_Meci'!V83&gt;=0,'Input_Meci'!V83&lt;=10),'Input_Meci'!V83,5)-5)/5))))</x:f>
      </x:c>
      <x:c r="AY83" s="11" t="str">
        <x:f>IF(A83="","",MAX(1-'Config_v6'!$B$20,MIN(1+'Config_v6'!$B$20,1+0.02*(IF(AND(ISNUMBER('Input_Meci'!O83),'Input_Meci'!O83&gt;=0,'Input_Meci'!O83&lt;=200),'Input_Meci'!O83,12)/12-1)+0.02*(IF(AND(ISNUMBER('Input_Meci'!Q83),'Input_Meci'!Q83&gt;=0,'Input_Meci'!Q83&lt;=200),'Input_Meci'!Q83,3.5)/3.5-1)+0.02*(IF(AND(ISNUMBER('Input_Meci'!S83),'Input_Meci'!S83&gt;=0,'Input_Meci'!S83&lt;=200),'Input_Meci'!S83,18)/18-1)+0.02*((IF(AND(ISNUMBER('Input_Meci'!W83),'Input_Meci'!W83&gt;=0,'Input_Meci'!W83&lt;=10),'Input_Meci'!W83,5)-5)/5))))</x:f>
      </x:c>
      <x:c r="AZ83" s="11" t="str">
        <x:f>IF(A83="","",MAX(1-'Config_v6'!$B$21,MIN(1+'Config_v6'!$B$21,1+0.012*(IF('Input_Meci'!X83="",5,IF(ISNUMBER('Input_Meci'!X83),'Input_Meci'!X83,5))-5)+0.018*(IF('Input_Meci'!Z83="",5,IF(ISNUMBER('Input_Meci'!Z83),'Input_Meci'!Z83,5))-5)+0.012*(IF('Input_Meci'!AB83="",5,IF(ISNUMBER('Input_Meci'!AB83),'Input_Meci'!AB83,5))-5)+0.015*IF('Input_Meci'!AD83="",0,IF(ISNUMBER('Input_Meci'!AD83),'Input_Meci'!AD83,0))+0.02*IF('Input_Meci'!AF83="",0,IF(ISNUMBER('Input_Meci'!AF83),'Input_Meci'!AF83,0)))))</x:f>
      </x:c>
      <x:c r="BA83" s="11" t="str">
        <x:f>IF(A83="","",MAX(1-'Config_v6'!$B$21,MIN(1+'Config_v6'!$B$21,1+0.012*(IF('Input_Meci'!Y83="",5,IF(ISNUMBER('Input_Meci'!Y83),'Input_Meci'!Y83,5))-5)+0.018*(IF('Input_Meci'!AA83="",5,IF(ISNUMBER('Input_Meci'!AA83),'Input_Meci'!AA83,5))-5)+0.012*(IF('Input_Meci'!AC83="",5,IF(ISNUMBER('Input_Meci'!AC83),'Input_Meci'!AC83,5))-5)+0.015*IF('Input_Meci'!AE83="",0,IF(ISNUMBER('Input_Meci'!AE83),'Input_Meci'!AE83,0))+0.02*IF('Input_Meci'!AG83="",0,IF(ISNUMBER('Input_Meci'!AG83),'Input_Meci'!AG83,0)))))</x:f>
      </x:c>
      <x:c r="BB83" s="11" t="str">
        <x:f>IF(I83&lt;&gt;"PASS","",(AVERAGE(AF83,AM83)*'Config_v6'!$B$4+AVERAGE(AH83,AO83)*'Config_v6'!$B$5+AVERAGE(AJ83,AQ83)*'Config_v6'!$B$6)*AX83*AZ83)</x:f>
      </x:c>
      <x:c r="BC83" s="11" t="str">
        <x:f>IF(I83&lt;&gt;"PASS","",(AVERAGE(AL83,AG83)*'Config_v6'!$B$4+AVERAGE(AN83,AI83)*'Config_v6'!$B$5+AVERAGE(AP83,AK83)*'Config_v6'!$B$6)*AY83*BA83)</x:f>
      </x:c>
      <x:c r="BD83" s="11" t="str">
        <x:f>IF(I83&lt;&gt;"PASS","",BB83+BC83)</x:f>
      </x:c>
      <x:c r="BE83" s="11" t="str">
        <x:f>IF(A83="","",10-SUM(IF(AND(ISNUMBER('Input_Meci'!N83),'Input_Meci'!N83&gt;=0,'Input_Meci'!N83&lt;=200),1,0),IF(AND(ISNUMBER('Input_Meci'!O83),'Input_Meci'!O83&gt;=0,'Input_Meci'!O83&lt;=200),1,0),IF(AND(ISNUMBER('Input_Meci'!P83),'Input_Meci'!P83&gt;=0,'Input_Meci'!P83&lt;=200),1,0),IF(AND(ISNUMBER('Input_Meci'!Q83),'Input_Meci'!Q83&gt;=0,'Input_Meci'!Q83&lt;=200),1,0),IF(AND(ISNUMBER('Input_Meci'!R83),'Input_Meci'!R83&gt;=0,'Input_Meci'!R83&lt;=200),1,0),IF(AND(ISNUMBER('Input_Meci'!S83),'Input_Meci'!S83&gt;=0,'Input_Meci'!S83&lt;=200),1,0),IF(AND(ISNUMBER('Input_Meci'!T83),'Input_Meci'!T83&gt;=0,'Input_Meci'!T83&lt;=100),1,0),IF(AND(ISNUMBER('Input_Meci'!U83),'Input_Meci'!U83&gt;=0,'Input_Meci'!U83&lt;=100),1,0),IF(AND(ISNUMBER('Input_Meci'!V83),'Input_Meci'!V83&gt;=0,'Input_Meci'!V83&lt;=10),1,0),IF(AND(ISNUMBER('Input_Meci'!W83),'Input_Meci'!W83&gt;=0,'Input_Meci'!W83&lt;=10),1,0)))</x:f>
      </x:c>
      <x:c r="BF83" s="11" t="str">
        <x:f>IF(I83&lt;&gt;"PASS","",MAX(0,MIN(IF(OR(M83="YES",BL83&lt;&gt;C83),'Config_v6'!$B$34,100),ROUND(40+25*MIN(1,MIN(N83,Q83)/'Config_v6'!$B$7)*MIN(1,MIN(O83,R83)/'Config_v6'!$B$8)*MIN(1,MIN(P83,S83)/'Config_v6'!$B$9)+MAX(0,15-2*ABS(AF83-AJ83)-2*ABS(AL83-AP83))+IF(AU83&lt;='Config_v6'!$B$10,15,IF(AU83&lt;='Config_v6'!$B$11,13,IF(AU83&lt;='Config_v6'!$B$12,10,IF(AU83&lt;='Config_v6'!$B$13,6,0))))+5-BE83/10*'Config_v6'!$B$38,0))))</x:f>
      </x:c>
      <x:c r="BG83" s="11" t="str">
        <x:f>IF(I83&lt;&gt;"PASS","",MIN(1,'Config_v6'!$B$14*(0.7+0.3*MIN(1,AR83/'Config_v6'!$B$15))*IF(AU83&lt;='Config_v6'!$B$10,1,IF(AU83&lt;='Config_v6'!$B$11,0.95,IF(AU83&lt;='Config_v6'!$B$12,0.88,0.78)))*(0.75+0.25*BF83/100)))</x:f>
      </x:c>
      <x:c r="BH83" s="11" t="str">
        <x:f>IF(I83&lt;&gt;"PASS","",MIN(1,(ABS(AZ83-1)+ABS(BA83-1))*3))</x:f>
      </x:c>
      <x:c r="BI83" s="2" t="str">
        <x:f>IF(A83="","",IF(AND(OR('Input_Meci'!X83="",AND(ISNUMBER('Input_Meci'!X83),'Input_Meci'!X83&gt;=0,'Input_Meci'!X83&lt;=10)),OR('Input_Meci'!Y83="",AND(ISNUMBER('Input_Meci'!Y83),'Input_Meci'!Y83&gt;=0,'Input_Meci'!Y83&lt;=10)),OR('Input_Meci'!Z83="",AND(ISNUMBER('Input_Meci'!Z83),'Input_Meci'!Z83&gt;=0,'Input_Meci'!Z83&lt;=10)),OR('Input_Meci'!AA83="",AND(ISNUMBER('Input_Meci'!AA83),'Input_Meci'!AA83&gt;=0,'Input_Meci'!AA83&lt;=10)),OR('Input_Meci'!AB83="",AND(ISNUMBER('Input_Meci'!AB83),'Input_Meci'!AB83&gt;=0,'Input_Meci'!AB83&lt;=10)),OR('Input_Meci'!AC83="",AND(ISNUMBER('Input_Meci'!AC83),'Input_Meci'!AC83&gt;=0,'Input_Meci'!AC83&lt;=10)),OR('Input_Meci'!AD83="",AND(ISNUMBER('Input_Meci'!AD83),'Input_Meci'!AD83&gt;=-2,'Input_Meci'!AD83&lt;=2)),OR('Input_Meci'!AE83="",AND(ISNUMBER('Input_Meci'!AE83),'Input_Meci'!AE83&gt;=-2,'Input_Meci'!AE83&lt;=2)),OR('Input_Meci'!AF83="",AND(ISNUMBER('Input_Meci'!AF83),'Input_Meci'!AF83&gt;=-2,'Input_Meci'!AF83&lt;=2)),OR('Input_Meci'!AG83="",AND(ISNUMBER('Input_Meci'!AG83),'Input_Meci'!AG83&gt;=-2,'Input_Meci'!AG83&lt;=2))),"VALID","INVALID"))</x:f>
      </x:c>
      <x:c r="BJ83" s="2" t="n">
        <x:f>IF(A83="",0,SUM('Core_Nativ'!S930:S935))</x:f>
        <x:v>0</x:v>
      </x:c>
      <x:c r="BK83" s="2" t="str">
        <x:f>'Config_v6'!$B$40</x:f>
        <x:v>VALID</x:v>
      </x:c>
      <x:c r="BL83" s="2" t="str">
        <x:f>IF(A83="","",IF(SUMPRODUCT(('Istoric_Nativ'!$B$6:$B$405=B83)*('Istoric_Nativ'!$C$6:$C$405=C83)*('Istoric_Nativ'!$P$6:$P$405=1)*('Istoric_Nativ'!$D$6:$D$405&lt;INT(G83))*((('Istoric_Nativ'!$E$6:$E$405='Input_Meci'!D83)+('Istoric_Nativ'!$F$6:$F$405='Input_Meci'!D83)+('Istoric_Nativ'!$E$6:$E$405='Input_Meci'!E83)+('Istoric_Nativ'!$F$6:$F$405='Input_Meci'!E83))&gt;0))&gt;='Config_v6'!$B$41,C83,IF(AND('Input_Meci'!L83="YES",'Input_Meci'!K83&lt;&gt;"",'Input_Meci'!K83&lt;C83,COUNTIF('Core_Nativ'!R936:R941,"CLOSED")=6,SUM('Core_Nativ'!S936:S941)=0),'Input_Meci'!K83,C83)))</x:f>
      </x:c>
      <x:c r="BM83" s="9" t="n">
        <x:f>IF(OR(A83="",N83=0),0,LARGE(_xlfn._xlws.FILTER('Istoric_Nativ'!$D$6:$D$405,('Istoric_Nativ'!$B$6:$B$405=B83)*('Istoric_Nativ'!$C$6:$C$405=C83)*('Istoric_Nativ'!$P$6:$P$405=1)*('Istoric_Nativ'!$D$6:$D$405&lt;INT(G83))*((('Istoric_Nativ'!$E$6:$E$405='Input_Meci'!D83)+('Istoric_Nativ'!$F$6:$F$405='Input_Meci'!D83))&gt;0)),MIN(10,N83)))</x:f>
        <x:v>0</x:v>
      </x:c>
      <x:c r="BN83" s="9" t="n">
        <x:f>IF(OR(A83="",Q83=0),0,LARGE(_xlfn._xlws.FILTER('Istoric_Nativ'!$D$6:$D$405,('Istoric_Nativ'!$B$6:$B$405=B83)*('Istoric_Nativ'!$C$6:$C$405=C83)*('Istoric_Nativ'!$P$6:$P$405=1)*('Istoric_Nativ'!$D$6:$D$405&lt;INT(G83))*((('Istoric_Nativ'!$E$6:$E$405='Input_Meci'!E83)+('Istoric_Nativ'!$F$6:$F$405='Input_Meci'!E83))&gt;0)),MIN(10,Q83)))</x:f>
        <x:v>0</x:v>
      </x:c>
      <x:c r="BO83" s="9" t="n">
        <x:f>IF(OR(A83="",N83=0),0,LARGE(_xlfn._xlws.FILTER('Istoric_Nativ'!$D$6:$D$405,('Istoric_Nativ'!$B$6:$B$405=B83)*('Istoric_Nativ'!$C$6:$C$405=C83)*('Istoric_Nativ'!$P$6:$P$405=1)*('Istoric_Nativ'!$D$6:$D$405&lt;INT(G83))*((('Istoric_Nativ'!$E$6:$E$405='Input_Meci'!D83)+('Istoric_Nativ'!$F$6:$F$405='Input_Meci'!D83))&gt;0)),MIN(20,N83)))</x:f>
        <x:v>0</x:v>
      </x:c>
      <x:c r="BP83" s="9" t="n">
        <x:f>IF(OR(A83="",Q83=0),0,LARGE(_xlfn._xlws.FILTER('Istoric_Nativ'!$D$6:$D$405,('Istoric_Nativ'!$B$6:$B$405=B83)*('Istoric_Nativ'!$C$6:$C$405=C83)*('Istoric_Nativ'!$P$6:$P$405=1)*('Istoric_Nativ'!$D$6:$D$405&lt;INT(G83))*((('Istoric_Nativ'!$E$6:$E$405='Input_Meci'!E83)+('Istoric_Nativ'!$F$6:$F$405='Input_Meci'!E83))&gt;0)),MIN(20,Q83)))</x:f>
        <x:v>0</x:v>
      </x:c>
      <x:c r="BQ83" s="2" t="str">
        <x:f>IF(A83="","",IF(AND(COUNTIF(MatchesTable[Match_ID],A83)=1,COUNTIFS(MatchesTable[League],B83,MatchesTable[Season],C83,MatchesTable[Home],'Input_Meci'!D83,MatchesTable[Away],'Input_Meci'!E83,MatchesTable[Kickoff_UTC],F83)=1,B83&lt;&gt;"",C83&lt;&gt;"",'Input_Meci'!D83&lt;&gt;"",'Input_Meci'!E83&lt;&gt;"",'Input_Meci'!D83&lt;&gt;'Input_Meci'!E83,ISNUMBER(F83),ISNUMBER(G83),G83&lt;F83,OR(E83="LIVE",E83="REPLAY"),OR('Input_Meci'!L83="YES",'Input_Meci'!L83="NO",'Input_Meci'!L83="")),"VALID","INVALID"))</x:f>
      </x:c>
      <x:c r="BR83" s="2" t="n">
        <x:f>IF(I83&lt;&gt;"PASS",0,SUMPRODUCT(('Istoric_Nativ'!$B$6:$B$405='Input_Meci'!B83)*('Istoric_Nativ'!$C$6:$C$405='Input_Meci'!C83)*('Istoric_Nativ'!$P$6:$P$405=1)*('Istoric_Nativ'!$D$6:$D$405&lt;INT('Input_Meci'!G83))*((('Istoric_Nativ'!$E$6:$E$405='Input_Meci'!D83)+('Istoric_Nativ'!$F$6:$F$405='Input_Meci'!E83))&gt;0)))</x:f>
        <x:v>0</x:v>
      </x:c>
      <x:c r="BS83" s="2" t="n">
        <x:f>IF(I83&lt;&gt;"PASS",0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BM83)+((('Istoric_Nativ'!$E$6:$E$405='Input_Meci'!E83)+('Istoric_Nativ'!$F$6:$F$405='Input_Meci'!E83))&gt;0)*('Istoric_Nativ'!$D$6:$D$405&gt;=BN83))&gt;0)))</x:f>
        <x:v>0</x:v>
      </x:c>
      <x:c r="BT83" s="2" t="n">
        <x:f>IF(I83&lt;&gt;"PASS",0,SUMPRODUCT(('Istoric_Nativ'!$B$6:$B$405='Input_Meci'!B83)*('Istoric_Nativ'!$C$6:$C$405='Input_Meci'!C83)*('Istoric_Nativ'!$P$6:$P$405=1)*('Istoric_Nativ'!$D$6:$D$405&lt;INT('Input_Meci'!G83))*((((('Istoric_Nativ'!$E$6:$E$405='Input_Meci'!D83)+('Istoric_Nativ'!$F$6:$F$405='Input_Meci'!D83))&gt;0)*('Istoric_Nativ'!$D$6:$D$405&gt;=BO83)+((('Istoric_Nativ'!$E$6:$E$405='Input_Meci'!E83)+('Istoric_Nativ'!$F$6:$F$405='Input_Meci'!E83))&gt;0)*('Istoric_Nativ'!$D$6:$D$405&gt;=BP83))&gt;0)))</x:f>
        <x:v>0</x:v>
      </x:c>
    </x:row>
    <x:row r="84" ht="21" customHeight="1">
      <x:c r="A84" s="2" t="str">
        <x:f>IF('Input_Meci'!A84="","",'Input_Meci'!A84)</x:f>
      </x:c>
      <x:c r="B84" s="2" t="str">
        <x:f>IF(A84="","",'Input_Meci'!B84)</x:f>
      </x:c>
      <x:c r="C84" s="2" t="str">
        <x:f>IF(A84="","",'Input_Meci'!C84)</x:f>
      </x:c>
      <x:c r="D84" s="2" t="str">
        <x:f>IF(A84="","",'Input_Meci'!D84&amp;" – "&amp;'Input_Meci'!E84)</x:f>
      </x:c>
      <x:c r="E84" s="2" t="str">
        <x:f>IF(A84="","",'Input_Meci'!H84)</x:f>
      </x:c>
      <x:c r="F84" s="9" t="str">
        <x:f>IF(A84="","",'Input_Meci'!F84)</x:f>
      </x:c>
      <x:c r="G84" s="9" t="str">
        <x:f>IF(A84="","",'Input_Meci'!G84)</x:f>
      </x:c>
      <x:c r="H84" s="2" t="str">
        <x:f>IF(A84="","",IF(BQ84&lt;&gt;"VALID","NOT RELEASED",IF(AND(OR('Input_Meci'!I84="NOT AVAILABLE",'Input_Meci'!I84="SOURCE CONFLICT"),'Input_Meci'!J84&lt;&gt;""),"READY",IF(OR(NOT(OR('Input_Meci'!I84="AUTO",'Input_Meci'!I84="")),COUNTIF('Core_Nativ'!R942:R947,"CLOSED")&lt;&gt;6,BJ84&gt;0),"NOT RELEASED","READY"))))</x:f>
      </x:c>
      <x:c r="I84" s="2" t="str">
        <x:f>IF(A84="","",IF(H84&lt;&gt;"READY","NOT RELEASED",IF(AND(NOT(OR('Input_Meci'!I84="NOT AVAILABLE",'Input_Meci'!I84="SOURCE CONFLICT")),L84=12,AR84&gt;=2,AS84&gt;0,ISNUMBER(AT84),BI84="VALID",BK84="VALID"),"PASS","FAIL")))</x:f>
      </x:c>
      <x:c r="J84" s="2" t="str">
        <x:f>IF(A84="","",IF(BQ84&lt;&gt;"VALID","Verifica ID, echipe, mod si cutoff &lt; kickoff",IF(H84&lt;&gt;"READY",IF('Input_Meci'!I84="ACCESS BLOCKED","Acces blocat: reia sursele",IF(BJ84&gt;0,"Istoric invalid sau conflict: verifica randurile native","Surse neinchise / post-cutoff / dovezi incomplete")),IF(OR('Input_Meci'!I84="NOT AVAILABLE",'Input_Meci'!I84="SOURCE CONFLICT"),'Input_Meci'!I84,IF(BK84&lt;&gt;"VALID","Parametri invalizi",IF(L84&lt;&gt;12,"Core / sample / prior insuficient",IF(AR84&lt;2,"N insuficient pentru dispersie",IF(AS84&lt;=0,"Media istorica trebuie sa fie pozitiva",IF(BI84&lt;&gt;"VALID","Context invalid","READY")))))))))</x:f>
      </x:c>
      <x:c r="K84" s="2" t="str">
        <x:f>IF(A84="","",COUNT(T84:AE84))</x:f>
      </x:c>
      <x:c r="L84" s="2" t="str">
        <x:f>IF(A84="","",COUNT(AF84:AQ84))</x:f>
      </x:c>
      <x:c r="M84" s="2" t="str">
        <x:f>IF(A84="","",IF(OR('Core_Nativ'!M942&lt;'Core_Nativ'!P942,'Core_Nativ'!M943&lt;'Core_Nativ'!P943,'Core_Nativ'!M944&lt;'Core_Nativ'!P944,'Core_Nativ'!M945&lt;'Core_Nativ'!P945,'Core_Nativ'!M946&lt;'Core_Nativ'!P946,'Core_Nativ'!M947&lt;'Core_Nativ'!P947),"YES","NO"))</x:f>
      </x:c>
      <x:c r="N84" s="2" t="str">
        <x:f>IF(A84="","",'Core_Nativ'!M942)</x:f>
      </x:c>
      <x:c r="O84" s="2" t="str">
        <x:f>IF(A84="","",'Core_Nativ'!M943)</x:f>
      </x:c>
      <x:c r="P84" s="2" t="str">
        <x:f>IF(A84="","",'Core_Nativ'!M944)</x:f>
      </x:c>
      <x:c r="Q84" s="2" t="str">
        <x:f>IF(A84="","",'Core_Nativ'!M945)</x:f>
      </x:c>
      <x:c r="R84" s="2" t="str">
        <x:f>IF(A84="","",'Core_Nativ'!M946)</x:f>
      </x:c>
      <x:c r="S84" s="2" t="str">
        <x:f>IF(A84="","",'Core_Nativ'!M947)</x:f>
      </x:c>
      <x:c r="T84" s="11" t="str">
        <x:f>IF(OR(A84="",'Core_Nativ'!M942=0),"",'Core_Nativ'!N942)</x:f>
      </x:c>
      <x:c r="U84" s="11" t="str">
        <x:f>IF(OR(A84="",'Core_Nativ'!M942=0),"",'Core_Nativ'!O942)</x:f>
      </x:c>
      <x:c r="V84" s="11" t="str">
        <x:f>IF(OR(A84="",'Core_Nativ'!M943=0),"",'Core_Nativ'!N943)</x:f>
      </x:c>
      <x:c r="W84" s="11" t="str">
        <x:f>IF(OR(A84="",'Core_Nativ'!M943=0),"",'Core_Nativ'!O943)</x:f>
      </x:c>
      <x:c r="X84" s="11" t="str">
        <x:f>IF(OR(A84="",'Core_Nativ'!M944=0),"",'Core_Nativ'!N944)</x:f>
      </x:c>
      <x:c r="Y84" s="11" t="str">
        <x:f>IF(OR(A84="",'Core_Nativ'!M944=0),"",'Core_Nativ'!O944)</x:f>
      </x:c>
      <x:c r="Z84" s="11" t="str">
        <x:f>IF(OR(A84="",'Core_Nativ'!M945=0),"",'Core_Nativ'!N945)</x:f>
      </x:c>
      <x:c r="AA84" s="11" t="str">
        <x:f>IF(OR(A84="",'Core_Nativ'!M945=0),"",'Core_Nativ'!O945)</x:f>
      </x:c>
      <x:c r="AB84" s="11" t="str">
        <x:f>IF(OR(A84="",'Core_Nativ'!M946=0),"",'Core_Nativ'!N946)</x:f>
      </x:c>
      <x:c r="AC84" s="11" t="str">
        <x:f>IF(OR(A84="",'Core_Nativ'!M946=0),"",'Core_Nativ'!O946)</x:f>
      </x:c>
      <x:c r="AD84" s="11" t="str">
        <x:f>IF(OR(A84="",'Core_Nativ'!M947=0),"",'Core_Nativ'!N947)</x:f>
      </x:c>
      <x:c r="AE84" s="11" t="str">
        <x:f>IF(OR(A84="",'Core_Nativ'!M947=0),"",'Core_Nativ'!O947)</x:f>
      </x:c>
      <x:c r="AF84" s="11" t="str">
        <x:f>IF(A84="","",IF(AND('Core_Nativ'!R942="CLOSED",'Core_Nativ'!S942=0),IF('Core_Nativ'!M942&gt;='Core_Nativ'!P942,'Core_Nativ'!N942,IF(AND('Input_Meci'!L84="YES",'Input_Meci'!K84&lt;&gt;"",'Input_Meci'!K84&lt;C84,'Core_Nativ'!T948="DERIVED",'Core_Nativ'!M948&gt;='Core_Nativ'!P942),MIN(1,'Core_Nativ'!M942/'Core_Nativ'!P942)*IF('Core_Nativ'!M942=0,0,'Core_Nativ'!N942)+(1-MIN(1,'Core_Nativ'!M942/'Core_Nativ'!P942))*'Core_Nativ'!N948,"")),""))</x:f>
      </x:c>
      <x:c r="AG84" s="11" t="str">
        <x:f>IF(A84="","",IF(AND('Core_Nativ'!R942="CLOSED",'Core_Nativ'!S942=0),IF('Core_Nativ'!M942&gt;='Core_Nativ'!P942,'Core_Nativ'!O942,IF(AND('Input_Meci'!L84="YES",'Input_Meci'!K84&lt;&gt;"",'Input_Meci'!K84&lt;C84,'Core_Nativ'!T948="DERIVED",'Core_Nativ'!M948&gt;='Core_Nativ'!P942),MIN(1,'Core_Nativ'!M942/'Core_Nativ'!P942)*IF('Core_Nativ'!M942=0,0,'Core_Nativ'!O942)+(1-MIN(1,'Core_Nativ'!M942/'Core_Nativ'!P942))*'Core_Nativ'!O948,"")),""))</x:f>
      </x:c>
      <x:c r="AH84" s="11" t="str">
        <x:f>IF(A84="","",IF(AND('Core_Nativ'!R943="CLOSED",'Core_Nativ'!S943=0),IF('Core_Nativ'!M943&gt;='Core_Nativ'!P943,'Core_Nativ'!N943,IF(AND('Input_Meci'!L84="YES",'Input_Meci'!K84&lt;&gt;"",'Input_Meci'!K84&lt;C84,'Core_Nativ'!T949="DERIVED",'Core_Nativ'!M949&gt;='Core_Nativ'!P943),MIN(1,'Core_Nativ'!M943/'Core_Nativ'!P943)*IF('Core_Nativ'!M943=0,0,'Core_Nativ'!N943)+(1-MIN(1,'Core_Nativ'!M943/'Core_Nativ'!P943))*'Core_Nativ'!N949,"")),""))</x:f>
      </x:c>
      <x:c r="AI84" s="11" t="str">
        <x:f>IF(A84="","",IF(AND('Core_Nativ'!R943="CLOSED",'Core_Nativ'!S943=0),IF('Core_Nativ'!M943&gt;='Core_Nativ'!P943,'Core_Nativ'!O943,IF(AND('Input_Meci'!L84="YES",'Input_Meci'!K84&lt;&gt;"",'Input_Meci'!K84&lt;C84,'Core_Nativ'!T949="DERIVED",'Core_Nativ'!M949&gt;='Core_Nativ'!P943),MIN(1,'Core_Nativ'!M943/'Core_Nativ'!P943)*IF('Core_Nativ'!M943=0,0,'Core_Nativ'!O943)+(1-MIN(1,'Core_Nativ'!M943/'Core_Nativ'!P943))*'Core_Nativ'!O949,"")),""))</x:f>
      </x:c>
      <x:c r="AJ84" s="11" t="str">
        <x:f>IF(A84="","",IF(AND('Core_Nativ'!R944="CLOSED",'Core_Nativ'!S944=0),IF('Core_Nativ'!M944&gt;='Core_Nativ'!P944,'Core_Nativ'!N944,IF(AND('Input_Meci'!L84="YES",'Input_Meci'!K84&lt;&gt;"",'Input_Meci'!K84&lt;C84,'Core_Nativ'!T950="DERIVED",'Core_Nativ'!M950&gt;='Core_Nativ'!P944),MIN(1,'Core_Nativ'!M944/'Core_Nativ'!P944)*IF('Core_Nativ'!M944=0,0,'Core_Nativ'!N944)+(1-MIN(1,'Core_Nativ'!M944/'Core_Nativ'!P944))*'Core_Nativ'!N950,"")),""))</x:f>
      </x:c>
      <x:c r="AK84" s="11" t="str">
        <x:f>IF(A84="","",IF(AND('Core_Nativ'!R944="CLOSED",'Core_Nativ'!S944=0),IF('Core_Nativ'!M944&gt;='Core_Nativ'!P944,'Core_Nativ'!O944,IF(AND('Input_Meci'!L84="YES",'Input_Meci'!K84&lt;&gt;"",'Input_Meci'!K84&lt;C84,'Core_Nativ'!T950="DERIVED",'Core_Nativ'!M950&gt;='Core_Nativ'!P944),MIN(1,'Core_Nativ'!M944/'Core_Nativ'!P944)*IF('Core_Nativ'!M944=0,0,'Core_Nativ'!O944)+(1-MIN(1,'Core_Nativ'!M944/'Core_Nativ'!P944))*'Core_Nativ'!O950,"")),""))</x:f>
      </x:c>
      <x:c r="AL84" s="11" t="str">
        <x:f>IF(A84="","",IF(AND('Core_Nativ'!R945="CLOSED",'Core_Nativ'!S945=0),IF('Core_Nativ'!M945&gt;='Core_Nativ'!P945,'Core_Nativ'!N945,IF(AND('Input_Meci'!L84="YES",'Input_Meci'!K84&lt;&gt;"",'Input_Meci'!K84&lt;C84,'Core_Nativ'!T951="DERIVED",'Core_Nativ'!M951&gt;='Core_Nativ'!P945),MIN(1,'Core_Nativ'!M945/'Core_Nativ'!P945)*IF('Core_Nativ'!M945=0,0,'Core_Nativ'!N945)+(1-MIN(1,'Core_Nativ'!M945/'Core_Nativ'!P945))*'Core_Nativ'!N951,"")),""))</x:f>
      </x:c>
      <x:c r="AM84" s="11" t="str">
        <x:f>IF(A84="","",IF(AND('Core_Nativ'!R945="CLOSED",'Core_Nativ'!S945=0),IF('Core_Nativ'!M945&gt;='Core_Nativ'!P945,'Core_Nativ'!O945,IF(AND('Input_Meci'!L84="YES",'Input_Meci'!K84&lt;&gt;"",'Input_Meci'!K84&lt;C84,'Core_Nativ'!T951="DERIVED",'Core_Nativ'!M951&gt;='Core_Nativ'!P945),MIN(1,'Core_Nativ'!M945/'Core_Nativ'!P945)*IF('Core_Nativ'!M945=0,0,'Core_Nativ'!O945)+(1-MIN(1,'Core_Nativ'!M945/'Core_Nativ'!P945))*'Core_Nativ'!O951,"")),""))</x:f>
      </x:c>
      <x:c r="AN84" s="11" t="str">
        <x:f>IF(A84="","",IF(AND('Core_Nativ'!R946="CLOSED",'Core_Nativ'!S946=0),IF('Core_Nativ'!M946&gt;='Core_Nativ'!P946,'Core_Nativ'!N946,IF(AND('Input_Meci'!L84="YES",'Input_Meci'!K84&lt;&gt;"",'Input_Meci'!K84&lt;C84,'Core_Nativ'!T952="DERIVED",'Core_Nativ'!M952&gt;='Core_Nativ'!P946),MIN(1,'Core_Nativ'!M946/'Core_Nativ'!P946)*IF('Core_Nativ'!M946=0,0,'Core_Nativ'!N946)+(1-MIN(1,'Core_Nativ'!M946/'Core_Nativ'!P946))*'Core_Nativ'!N952,"")),""))</x:f>
      </x:c>
      <x:c r="AO84" s="11" t="str">
        <x:f>IF(A84="","",IF(AND('Core_Nativ'!R946="CLOSED",'Core_Nativ'!S946=0),IF('Core_Nativ'!M946&gt;='Core_Nativ'!P946,'Core_Nativ'!O946,IF(AND('Input_Meci'!L84="YES",'Input_Meci'!K84&lt;&gt;"",'Input_Meci'!K84&lt;C84,'Core_Nativ'!T952="DERIVED",'Core_Nativ'!M952&gt;='Core_Nativ'!P946),MIN(1,'Core_Nativ'!M946/'Core_Nativ'!P946)*IF('Core_Nativ'!M946=0,0,'Core_Nativ'!O946)+(1-MIN(1,'Core_Nativ'!M946/'Core_Nativ'!P946))*'Core_Nativ'!O952,"")),""))</x:f>
      </x:c>
      <x:c r="AP84" s="11" t="str">
        <x:f>IF(A84="","",IF(AND('Core_Nativ'!R947="CLOSED",'Core_Nativ'!S947=0),IF('Core_Nativ'!M947&gt;='Core_Nativ'!P947,'Core_Nativ'!N947,IF(AND('Input_Meci'!L84="YES",'Input_Meci'!K84&lt;&gt;"",'Input_Meci'!K84&lt;C84,'Core_Nativ'!T953="DERIVED",'Core_Nativ'!M953&gt;='Core_Nativ'!P947),MIN(1,'Core_Nativ'!M947/'Core_Nativ'!P947)*IF('Core_Nativ'!M947=0,0,'Core_Nativ'!N947)+(1-MIN(1,'Core_Nativ'!M947/'Core_Nativ'!P947))*'Core_Nativ'!N953,"")),""))</x:f>
      </x:c>
      <x:c r="AQ84" s="11" t="str">
        <x:f>IF(A84="","",IF(AND('Core_Nativ'!R947="CLOSED",'Core_Nativ'!S947=0),IF('Core_Nativ'!M947&gt;='Core_Nativ'!P947,'Core_Nativ'!O947,IF(AND('Input_Meci'!L84="YES",'Input_Meci'!K84&lt;&gt;"",'Input_Meci'!K84&lt;C84,'Core_Nativ'!T953="DERIVED",'Core_Nativ'!M953&gt;='Core_Nativ'!P947),MIN(1,'Core_Nativ'!M947/'Core_Nativ'!P947)*IF('Core_Nativ'!M947=0,0,'Core_Nativ'!O947)+(1-MIN(1,'Core_Nativ'!M947/'Core_Nativ'!P947))*'Core_Nativ'!O953,"")),""))</x:f>
      </x:c>
      <x:c r="AR84" s="11" t="str">
        <x:f>IF(A84="","",SUMPRODUCT(('Istoric_Nativ'!$B$6:$B$405=B84)*('Istoric_Nativ'!$C$6:$C$405=BL84)*('Istoric_Nativ'!$P$6:$P$405=1)*('Istoric_Nativ'!$D$6:$D$405&lt;INT(G84))*((('Istoric_Nativ'!$E$6:$E$405='Input_Meci'!D84)+('Istoric_Nativ'!$F$6:$F$405='Input_Meci'!D84)+('Istoric_Nativ'!$E$6:$E$405='Input_Meci'!E84)+('Istoric_Nativ'!$F$6:$F$405='Input_Meci'!E84))&gt;0)))</x:f>
      </x:c>
      <x:c r="AS84" s="11" t="str">
        <x:f>IF(AR84=0,"",SUMPRODUCT(('Istoric_Nativ'!$B$6:$B$405=B84)*('Istoric_Nativ'!$C$6:$C$405=BL84)*('Istoric_Nativ'!$P$6:$P$405=1)*('Istoric_Nativ'!$D$6:$D$405&lt;INT(G84))*((('Istoric_Nativ'!$E$6:$E$405='Input_Meci'!D84)+('Istoric_Nativ'!$F$6:$F$405='Input_Meci'!D84)+('Istoric_Nativ'!$E$6:$E$405='Input_Meci'!E84)+('Istoric_Nativ'!$F$6:$F$405='Input_Meci'!E84))&gt;0)*'Istoric_Nativ'!$Q$6:$Q$405)/AR84)</x:f>
      </x:c>
      <x:c r="AT84" s="11" t="str">
        <x:f>IF(AR84&lt;2,"",MAX(0,(SUMPRODUCT(('Istoric_Nativ'!$B$6:$B$405=B84)*('Istoric_Nativ'!$C$6:$C$405=BL84)*('Istoric_Nativ'!$P$6:$P$405=1)*('Istoric_Nativ'!$D$6:$D$405&lt;INT(G84))*((('Istoric_Nativ'!$E$6:$E$405='Input_Meci'!D84)+('Istoric_Nativ'!$F$6:$F$405='Input_Meci'!D84)+('Istoric_Nativ'!$E$6:$E$405='Input_Meci'!E84)+('Istoric_Nativ'!$F$6:$F$405='Input_Meci'!E84))&gt;0)*'Istoric_Nativ'!$R$6:$R$405)-AR84*AS84^2)/(AR84-1)))</x:f>
      </x:c>
      <x:c r="AU84" s="11" t="str">
        <x:f>IF(I84&lt;&gt;"PASS","",AT84/AS84)</x:f>
      </x:c>
      <x:c r="AV84" s="11" t="str">
        <x:f>IF(I84&lt;&gt;"PASS","",IF(AU84&lt;='Config_v6'!$B$10,"POISSON","NEGATIVE BINOMIAL"))</x:f>
      </x:c>
      <x:c r="AW84" s="11" t="str">
        <x:f>IF(I84&lt;&gt;"PASS","",IF(AV84="POISSON",9999,AS84/(AU84-1)))</x:f>
      </x:c>
      <x:c r="AX84" s="11" t="str">
        <x:f>IF(A84="","",MAX(1-'Config_v6'!$B$20,MIN(1+'Config_v6'!$B$20,1+0.02*(IF(AND(ISNUMBER('Input_Meci'!N84),'Input_Meci'!N84&gt;=0,'Input_Meci'!N84&lt;=200),'Input_Meci'!N84,12)/12-1)+0.02*(IF(AND(ISNUMBER('Input_Meci'!P84),'Input_Meci'!P84&gt;=0,'Input_Meci'!P84&lt;=200),'Input_Meci'!P84,3.5)/3.5-1)+0.02*(IF(AND(ISNUMBER('Input_Meci'!R84),'Input_Meci'!R84&gt;=0,'Input_Meci'!R84&lt;=200),'Input_Meci'!R84,18)/18-1)+0.02*((IF(AND(ISNUMBER('Input_Meci'!V84),'Input_Meci'!V84&gt;=0,'Input_Meci'!V84&lt;=10),'Input_Meci'!V84,5)-5)/5))))</x:f>
      </x:c>
      <x:c r="AY84" s="11" t="str">
        <x:f>IF(A84="","",MAX(1-'Config_v6'!$B$20,MIN(1+'Config_v6'!$B$20,1+0.02*(IF(AND(ISNUMBER('Input_Meci'!O84),'Input_Meci'!O84&gt;=0,'Input_Meci'!O84&lt;=200),'Input_Meci'!O84,12)/12-1)+0.02*(IF(AND(ISNUMBER('Input_Meci'!Q84),'Input_Meci'!Q84&gt;=0,'Input_Meci'!Q84&lt;=200),'Input_Meci'!Q84,3.5)/3.5-1)+0.02*(IF(AND(ISNUMBER('Input_Meci'!S84),'Input_Meci'!S84&gt;=0,'Input_Meci'!S84&lt;=200),'Input_Meci'!S84,18)/18-1)+0.02*((IF(AND(ISNUMBER('Input_Meci'!W84),'Input_Meci'!W84&gt;=0,'Input_Meci'!W84&lt;=10),'Input_Meci'!W84,5)-5)/5))))</x:f>
      </x:c>
      <x:c r="AZ84" s="11" t="str">
        <x:f>IF(A84="","",MAX(1-'Config_v6'!$B$21,MIN(1+'Config_v6'!$B$21,1+0.012*(IF('Input_Meci'!X84="",5,IF(ISNUMBER('Input_Meci'!X84),'Input_Meci'!X84,5))-5)+0.018*(IF('Input_Meci'!Z84="",5,IF(ISNUMBER('Input_Meci'!Z84),'Input_Meci'!Z84,5))-5)+0.012*(IF('Input_Meci'!AB84="",5,IF(ISNUMBER('Input_Meci'!AB84),'Input_Meci'!AB84,5))-5)+0.015*IF('Input_Meci'!AD84="",0,IF(ISNUMBER('Input_Meci'!AD84),'Input_Meci'!AD84,0))+0.02*IF('Input_Meci'!AF84="",0,IF(ISNUMBER('Input_Meci'!AF84),'Input_Meci'!AF84,0)))))</x:f>
      </x:c>
      <x:c r="BA84" s="11" t="str">
        <x:f>IF(A84="","",MAX(1-'Config_v6'!$B$21,MIN(1+'Config_v6'!$B$21,1+0.012*(IF('Input_Meci'!Y84="",5,IF(ISNUMBER('Input_Meci'!Y84),'Input_Meci'!Y84,5))-5)+0.018*(IF('Input_Meci'!AA84="",5,IF(ISNUMBER('Input_Meci'!AA84),'Input_Meci'!AA84,5))-5)+0.012*(IF('Input_Meci'!AC84="",5,IF(ISNUMBER('Input_Meci'!AC84),'Input_Meci'!AC84,5))-5)+0.015*IF('Input_Meci'!AE84="",0,IF(ISNUMBER('Input_Meci'!AE84),'Input_Meci'!AE84,0))+0.02*IF('Input_Meci'!AG84="",0,IF(ISNUMBER('Input_Meci'!AG84),'Input_Meci'!AG84,0)))))</x:f>
      </x:c>
      <x:c r="BB84" s="11" t="str">
        <x:f>IF(I84&lt;&gt;"PASS","",(AVERAGE(AF84,AM84)*'Config_v6'!$B$4+AVERAGE(AH84,AO84)*'Config_v6'!$B$5+AVERAGE(AJ84,AQ84)*'Config_v6'!$B$6)*AX84*AZ84)</x:f>
      </x:c>
      <x:c r="BC84" s="11" t="str">
        <x:f>IF(I84&lt;&gt;"PASS","",(AVERAGE(AL84,AG84)*'Config_v6'!$B$4+AVERAGE(AN84,AI84)*'Config_v6'!$B$5+AVERAGE(AP84,AK84)*'Config_v6'!$B$6)*AY84*BA84)</x:f>
      </x:c>
      <x:c r="BD84" s="11" t="str">
        <x:f>IF(I84&lt;&gt;"PASS","",BB84+BC84)</x:f>
      </x:c>
      <x:c r="BE84" s="11" t="str">
        <x:f>IF(A84="","",10-SUM(IF(AND(ISNUMBER('Input_Meci'!N84),'Input_Meci'!N84&gt;=0,'Input_Meci'!N84&lt;=200),1,0),IF(AND(ISNUMBER('Input_Meci'!O84),'Input_Meci'!O84&gt;=0,'Input_Meci'!O84&lt;=200),1,0),IF(AND(ISNUMBER('Input_Meci'!P84),'Input_Meci'!P84&gt;=0,'Input_Meci'!P84&lt;=200),1,0),IF(AND(ISNUMBER('Input_Meci'!Q84),'Input_Meci'!Q84&gt;=0,'Input_Meci'!Q84&lt;=200),1,0),IF(AND(ISNUMBER('Input_Meci'!R84),'Input_Meci'!R84&gt;=0,'Input_Meci'!R84&lt;=200),1,0),IF(AND(ISNUMBER('Input_Meci'!S84),'Input_Meci'!S84&gt;=0,'Input_Meci'!S84&lt;=200),1,0),IF(AND(ISNUMBER('Input_Meci'!T84),'Input_Meci'!T84&gt;=0,'Input_Meci'!T84&lt;=100),1,0),IF(AND(ISNUMBER('Input_Meci'!U84),'Input_Meci'!U84&gt;=0,'Input_Meci'!U84&lt;=100),1,0),IF(AND(ISNUMBER('Input_Meci'!V84),'Input_Meci'!V84&gt;=0,'Input_Meci'!V84&lt;=10),1,0),IF(AND(ISNUMBER('Input_Meci'!W84),'Input_Meci'!W84&gt;=0,'Input_Meci'!W84&lt;=10),1,0)))</x:f>
      </x:c>
      <x:c r="BF84" s="11" t="str">
        <x:f>IF(I84&lt;&gt;"PASS","",MAX(0,MIN(IF(OR(M84="YES",BL84&lt;&gt;C84),'Config_v6'!$B$34,100),ROUND(40+25*MIN(1,MIN(N84,Q84)/'Config_v6'!$B$7)*MIN(1,MIN(O84,R84)/'Config_v6'!$B$8)*MIN(1,MIN(P84,S84)/'Config_v6'!$B$9)+MAX(0,15-2*ABS(AF84-AJ84)-2*ABS(AL84-AP84))+IF(AU84&lt;='Config_v6'!$B$10,15,IF(AU84&lt;='Config_v6'!$B$11,13,IF(AU84&lt;='Config_v6'!$B$12,10,IF(AU84&lt;='Config_v6'!$B$13,6,0))))+5-BE84/10*'Config_v6'!$B$38,0))))</x:f>
      </x:c>
      <x:c r="BG84" s="11" t="str">
        <x:f>IF(I84&lt;&gt;"PASS","",MIN(1,'Config_v6'!$B$14*(0.7+0.3*MIN(1,AR84/'Config_v6'!$B$15))*IF(AU84&lt;='Config_v6'!$B$10,1,IF(AU84&lt;='Config_v6'!$B$11,0.95,IF(AU84&lt;='Config_v6'!$B$12,0.88,0.78)))*(0.75+0.25*BF84/100)))</x:f>
      </x:c>
      <x:c r="BH84" s="11" t="str">
        <x:f>IF(I84&lt;&gt;"PASS","",MIN(1,(ABS(AZ84-1)+ABS(BA84-1))*3))</x:f>
      </x:c>
      <x:c r="BI84" s="2" t="str">
        <x:f>IF(A84="","",IF(AND(OR('Input_Meci'!X84="",AND(ISNUMBER('Input_Meci'!X84),'Input_Meci'!X84&gt;=0,'Input_Meci'!X84&lt;=10)),OR('Input_Meci'!Y84="",AND(ISNUMBER('Input_Meci'!Y84),'Input_Meci'!Y84&gt;=0,'Input_Meci'!Y84&lt;=10)),OR('Input_Meci'!Z84="",AND(ISNUMBER('Input_Meci'!Z84),'Input_Meci'!Z84&gt;=0,'Input_Meci'!Z84&lt;=10)),OR('Input_Meci'!AA84="",AND(ISNUMBER('Input_Meci'!AA84),'Input_Meci'!AA84&gt;=0,'Input_Meci'!AA84&lt;=10)),OR('Input_Meci'!AB84="",AND(ISNUMBER('Input_Meci'!AB84),'Input_Meci'!AB84&gt;=0,'Input_Meci'!AB84&lt;=10)),OR('Input_Meci'!AC84="",AND(ISNUMBER('Input_Meci'!AC84),'Input_Meci'!AC84&gt;=0,'Input_Meci'!AC84&lt;=10)),OR('Input_Meci'!AD84="",AND(ISNUMBER('Input_Meci'!AD84),'Input_Meci'!AD84&gt;=-2,'Input_Meci'!AD84&lt;=2)),OR('Input_Meci'!AE84="",AND(ISNUMBER('Input_Meci'!AE84),'Input_Meci'!AE84&gt;=-2,'Input_Meci'!AE84&lt;=2)),OR('Input_Meci'!AF84="",AND(ISNUMBER('Input_Meci'!AF84),'Input_Meci'!AF84&gt;=-2,'Input_Meci'!AF84&lt;=2)),OR('Input_Meci'!AG84="",AND(ISNUMBER('Input_Meci'!AG84),'Input_Meci'!AG84&gt;=-2,'Input_Meci'!AG84&lt;=2))),"VALID","INVALID"))</x:f>
      </x:c>
      <x:c r="BJ84" s="2" t="n">
        <x:f>IF(A84="",0,SUM('Core_Nativ'!S942:S947))</x:f>
        <x:v>0</x:v>
      </x:c>
      <x:c r="BK84" s="2" t="str">
        <x:f>'Config_v6'!$B$40</x:f>
        <x:v>VALID</x:v>
      </x:c>
      <x:c r="BL84" s="2" t="str">
        <x:f>IF(A84="","",IF(SUMPRODUCT(('Istoric_Nativ'!$B$6:$B$405=B84)*('Istoric_Nativ'!$C$6:$C$405=C84)*('Istoric_Nativ'!$P$6:$P$405=1)*('Istoric_Nativ'!$D$6:$D$405&lt;INT(G84))*((('Istoric_Nativ'!$E$6:$E$405='Input_Meci'!D84)+('Istoric_Nativ'!$F$6:$F$405='Input_Meci'!D84)+('Istoric_Nativ'!$E$6:$E$405='Input_Meci'!E84)+('Istoric_Nativ'!$F$6:$F$405='Input_Meci'!E84))&gt;0))&gt;='Config_v6'!$B$41,C84,IF(AND('Input_Meci'!L84="YES",'Input_Meci'!K84&lt;&gt;"",'Input_Meci'!K84&lt;C84,COUNTIF('Core_Nativ'!R948:R953,"CLOSED")=6,SUM('Core_Nativ'!S948:S953)=0),'Input_Meci'!K84,C84)))</x:f>
      </x:c>
      <x:c r="BM84" s="9" t="n">
        <x:f>IF(OR(A84="",N84=0),0,LARGE(_xlfn._xlws.FILTER('Istoric_Nativ'!$D$6:$D$405,('Istoric_Nativ'!$B$6:$B$405=B84)*('Istoric_Nativ'!$C$6:$C$405=C84)*('Istoric_Nativ'!$P$6:$P$405=1)*('Istoric_Nativ'!$D$6:$D$405&lt;INT(G84))*((('Istoric_Nativ'!$E$6:$E$405='Input_Meci'!D84)+('Istoric_Nativ'!$F$6:$F$405='Input_Meci'!D84))&gt;0)),MIN(10,N84)))</x:f>
        <x:v>0</x:v>
      </x:c>
      <x:c r="BN84" s="9" t="n">
        <x:f>IF(OR(A84="",Q84=0),0,LARGE(_xlfn._xlws.FILTER('Istoric_Nativ'!$D$6:$D$405,('Istoric_Nativ'!$B$6:$B$405=B84)*('Istoric_Nativ'!$C$6:$C$405=C84)*('Istoric_Nativ'!$P$6:$P$405=1)*('Istoric_Nativ'!$D$6:$D$405&lt;INT(G84))*((('Istoric_Nativ'!$E$6:$E$405='Input_Meci'!E84)+('Istoric_Nativ'!$F$6:$F$405='Input_Meci'!E84))&gt;0)),MIN(10,Q84)))</x:f>
        <x:v>0</x:v>
      </x:c>
      <x:c r="BO84" s="9" t="n">
        <x:f>IF(OR(A84="",N84=0),0,LARGE(_xlfn._xlws.FILTER('Istoric_Nativ'!$D$6:$D$405,('Istoric_Nativ'!$B$6:$B$405=B84)*('Istoric_Nativ'!$C$6:$C$405=C84)*('Istoric_Nativ'!$P$6:$P$405=1)*('Istoric_Nativ'!$D$6:$D$405&lt;INT(G84))*((('Istoric_Nativ'!$E$6:$E$405='Input_Meci'!D84)+('Istoric_Nativ'!$F$6:$F$405='Input_Meci'!D84))&gt;0)),MIN(20,N84)))</x:f>
        <x:v>0</x:v>
      </x:c>
      <x:c r="BP84" s="9" t="n">
        <x:f>IF(OR(A84="",Q84=0),0,LARGE(_xlfn._xlws.FILTER('Istoric_Nativ'!$D$6:$D$405,('Istoric_Nativ'!$B$6:$B$405=B84)*('Istoric_Nativ'!$C$6:$C$405=C84)*('Istoric_Nativ'!$P$6:$P$405=1)*('Istoric_Nativ'!$D$6:$D$405&lt;INT(G84))*((('Istoric_Nativ'!$E$6:$E$405='Input_Meci'!E84)+('Istoric_Nativ'!$F$6:$F$405='Input_Meci'!E84))&gt;0)),MIN(20,Q84)))</x:f>
        <x:v>0</x:v>
      </x:c>
      <x:c r="BQ84" s="2" t="str">
        <x:f>IF(A84="","",IF(AND(COUNTIF(MatchesTable[Match_ID],A84)=1,COUNTIFS(MatchesTable[League],B84,MatchesTable[Season],C84,MatchesTable[Home],'Input_Meci'!D84,MatchesTable[Away],'Input_Meci'!E84,MatchesTable[Kickoff_UTC],F84)=1,B84&lt;&gt;"",C84&lt;&gt;"",'Input_Meci'!D84&lt;&gt;"",'Input_Meci'!E84&lt;&gt;"",'Input_Meci'!D84&lt;&gt;'Input_Meci'!E84,ISNUMBER(F84),ISNUMBER(G84),G84&lt;F84,OR(E84="LIVE",E84="REPLAY"),OR('Input_Meci'!L84="YES",'Input_Meci'!L84="NO",'Input_Meci'!L84="")),"VALID","INVALID"))</x:f>
      </x:c>
      <x:c r="BR84" s="2" t="n">
        <x:f>IF(I84&lt;&gt;"PASS",0,SUMPRODUCT(('Istoric_Nativ'!$B$6:$B$405='Input_Meci'!B84)*('Istoric_Nativ'!$C$6:$C$405='Input_Meci'!C84)*('Istoric_Nativ'!$P$6:$P$405=1)*('Istoric_Nativ'!$D$6:$D$405&lt;INT('Input_Meci'!G84))*((('Istoric_Nativ'!$E$6:$E$405='Input_Meci'!D84)+('Istoric_Nativ'!$F$6:$F$405='Input_Meci'!E84))&gt;0)))</x:f>
        <x:v>0</x:v>
      </x:c>
      <x:c r="BS84" s="2" t="n">
        <x:f>IF(I84&lt;&gt;"PASS",0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BM84)+((('Istoric_Nativ'!$E$6:$E$405='Input_Meci'!E84)+('Istoric_Nativ'!$F$6:$F$405='Input_Meci'!E84))&gt;0)*('Istoric_Nativ'!$D$6:$D$405&gt;=BN84))&gt;0)))</x:f>
        <x:v>0</x:v>
      </x:c>
      <x:c r="BT84" s="2" t="n">
        <x:f>IF(I84&lt;&gt;"PASS",0,SUMPRODUCT(('Istoric_Nativ'!$B$6:$B$405='Input_Meci'!B84)*('Istoric_Nativ'!$C$6:$C$405='Input_Meci'!C84)*('Istoric_Nativ'!$P$6:$P$405=1)*('Istoric_Nativ'!$D$6:$D$405&lt;INT('Input_Meci'!G84))*((((('Istoric_Nativ'!$E$6:$E$405='Input_Meci'!D84)+('Istoric_Nativ'!$F$6:$F$405='Input_Meci'!D84))&gt;0)*('Istoric_Nativ'!$D$6:$D$405&gt;=BO84)+((('Istoric_Nativ'!$E$6:$E$405='Input_Meci'!E84)+('Istoric_Nativ'!$F$6:$F$405='Input_Meci'!E84))&gt;0)*('Istoric_Nativ'!$D$6:$D$405&gt;=BP84))&gt;0)))</x:f>
        <x:v>0</x:v>
      </x:c>
    </x:row>
    <x:row r="85" ht="21" customHeight="1">
      <x:c r="A85" s="2" t="str">
        <x:f>IF('Input_Meci'!A85="","",'Input_Meci'!A85)</x:f>
      </x:c>
      <x:c r="B85" s="2" t="str">
        <x:f>IF(A85="","",'Input_Meci'!B85)</x:f>
      </x:c>
      <x:c r="C85" s="2" t="str">
        <x:f>IF(A85="","",'Input_Meci'!C85)</x:f>
      </x:c>
      <x:c r="D85" s="2" t="str">
        <x:f>IF(A85="","",'Input_Meci'!D85&amp;" – "&amp;'Input_Meci'!E85)</x:f>
      </x:c>
      <x:c r="E85" s="2" t="str">
        <x:f>IF(A85="","",'Input_Meci'!H85)</x:f>
      </x:c>
      <x:c r="F85" s="9" t="str">
        <x:f>IF(A85="","",'Input_Meci'!F85)</x:f>
      </x:c>
      <x:c r="G85" s="9" t="str">
        <x:f>IF(A85="","",'Input_Meci'!G85)</x:f>
      </x:c>
      <x:c r="H85" s="2" t="str">
        <x:f>IF(A85="","",IF(BQ85&lt;&gt;"VALID","NOT RELEASED",IF(AND(OR('Input_Meci'!I85="NOT AVAILABLE",'Input_Meci'!I85="SOURCE CONFLICT"),'Input_Meci'!J85&lt;&gt;""),"READY",IF(OR(NOT(OR('Input_Meci'!I85="AUTO",'Input_Meci'!I85="")),COUNTIF('Core_Nativ'!R954:R959,"CLOSED")&lt;&gt;6,BJ85&gt;0),"NOT RELEASED","READY"))))</x:f>
      </x:c>
      <x:c r="I85" s="2" t="str">
        <x:f>IF(A85="","",IF(H85&lt;&gt;"READY","NOT RELEASED",IF(AND(NOT(OR('Input_Meci'!I85="NOT AVAILABLE",'Input_Meci'!I85="SOURCE CONFLICT")),L85=12,AR85&gt;=2,AS85&gt;0,ISNUMBER(AT85),BI85="VALID",BK85="VALID"),"PASS","FAIL")))</x:f>
      </x:c>
      <x:c r="J85" s="2" t="str">
        <x:f>IF(A85="","",IF(BQ85&lt;&gt;"VALID","Verifica ID, echipe, mod si cutoff &lt; kickoff",IF(H85&lt;&gt;"READY",IF('Input_Meci'!I85="ACCESS BLOCKED","Acces blocat: reia sursele",IF(BJ85&gt;0,"Istoric invalid sau conflict: verifica randurile native","Surse neinchise / post-cutoff / dovezi incomplete")),IF(OR('Input_Meci'!I85="NOT AVAILABLE",'Input_Meci'!I85="SOURCE CONFLICT"),'Input_Meci'!I85,IF(BK85&lt;&gt;"VALID","Parametri invalizi",IF(L85&lt;&gt;12,"Core / sample / prior insuficient",IF(AR85&lt;2,"N insuficient pentru dispersie",IF(AS85&lt;=0,"Media istorica trebuie sa fie pozitiva",IF(BI85&lt;&gt;"VALID","Context invalid","READY")))))))))</x:f>
      </x:c>
      <x:c r="K85" s="2" t="str">
        <x:f>IF(A85="","",COUNT(T85:AE85))</x:f>
      </x:c>
      <x:c r="L85" s="2" t="str">
        <x:f>IF(A85="","",COUNT(AF85:AQ85))</x:f>
      </x:c>
      <x:c r="M85" s="2" t="str">
        <x:f>IF(A85="","",IF(OR('Core_Nativ'!M954&lt;'Core_Nativ'!P954,'Core_Nativ'!M955&lt;'Core_Nativ'!P955,'Core_Nativ'!M956&lt;'Core_Nativ'!P956,'Core_Nativ'!M957&lt;'Core_Nativ'!P957,'Core_Nativ'!M958&lt;'Core_Nativ'!P958,'Core_Nativ'!M959&lt;'Core_Nativ'!P959),"YES","NO"))</x:f>
      </x:c>
      <x:c r="N85" s="2" t="str">
        <x:f>IF(A85="","",'Core_Nativ'!M954)</x:f>
      </x:c>
      <x:c r="O85" s="2" t="str">
        <x:f>IF(A85="","",'Core_Nativ'!M955)</x:f>
      </x:c>
      <x:c r="P85" s="2" t="str">
        <x:f>IF(A85="","",'Core_Nativ'!M956)</x:f>
      </x:c>
      <x:c r="Q85" s="2" t="str">
        <x:f>IF(A85="","",'Core_Nativ'!M957)</x:f>
      </x:c>
      <x:c r="R85" s="2" t="str">
        <x:f>IF(A85="","",'Core_Nativ'!M958)</x:f>
      </x:c>
      <x:c r="S85" s="2" t="str">
        <x:f>IF(A85="","",'Core_Nativ'!M959)</x:f>
      </x:c>
      <x:c r="T85" s="11" t="str">
        <x:f>IF(OR(A85="",'Core_Nativ'!M954=0),"",'Core_Nativ'!N954)</x:f>
      </x:c>
      <x:c r="U85" s="11" t="str">
        <x:f>IF(OR(A85="",'Core_Nativ'!M954=0),"",'Core_Nativ'!O954)</x:f>
      </x:c>
      <x:c r="V85" s="11" t="str">
        <x:f>IF(OR(A85="",'Core_Nativ'!M955=0),"",'Core_Nativ'!N955)</x:f>
      </x:c>
      <x:c r="W85" s="11" t="str">
        <x:f>IF(OR(A85="",'Core_Nativ'!M955=0),"",'Core_Nativ'!O955)</x:f>
      </x:c>
      <x:c r="X85" s="11" t="str">
        <x:f>IF(OR(A85="",'Core_Nativ'!M956=0),"",'Core_Nativ'!N956)</x:f>
      </x:c>
      <x:c r="Y85" s="11" t="str">
        <x:f>IF(OR(A85="",'Core_Nativ'!M956=0),"",'Core_Nativ'!O956)</x:f>
      </x:c>
      <x:c r="Z85" s="11" t="str">
        <x:f>IF(OR(A85="",'Core_Nativ'!M957=0),"",'Core_Nativ'!N957)</x:f>
      </x:c>
      <x:c r="AA85" s="11" t="str">
        <x:f>IF(OR(A85="",'Core_Nativ'!M957=0),"",'Core_Nativ'!O957)</x:f>
      </x:c>
      <x:c r="AB85" s="11" t="str">
        <x:f>IF(OR(A85="",'Core_Nativ'!M958=0),"",'Core_Nativ'!N958)</x:f>
      </x:c>
      <x:c r="AC85" s="11" t="str">
        <x:f>IF(OR(A85="",'Core_Nativ'!M958=0),"",'Core_Nativ'!O958)</x:f>
      </x:c>
      <x:c r="AD85" s="11" t="str">
        <x:f>IF(OR(A85="",'Core_Nativ'!M959=0),"",'Core_Nativ'!N959)</x:f>
      </x:c>
      <x:c r="AE85" s="11" t="str">
        <x:f>IF(OR(A85="",'Core_Nativ'!M959=0),"",'Core_Nativ'!O959)</x:f>
      </x:c>
      <x:c r="AF85" s="11" t="str">
        <x:f>IF(A85="","",IF(AND('Core_Nativ'!R954="CLOSED",'Core_Nativ'!S954=0),IF('Core_Nativ'!M954&gt;='Core_Nativ'!P954,'Core_Nativ'!N954,IF(AND('Input_Meci'!L85="YES",'Input_Meci'!K85&lt;&gt;"",'Input_Meci'!K85&lt;C85,'Core_Nativ'!T960="DERIVED",'Core_Nativ'!M960&gt;='Core_Nativ'!P954),MIN(1,'Core_Nativ'!M954/'Core_Nativ'!P954)*IF('Core_Nativ'!M954=0,0,'Core_Nativ'!N954)+(1-MIN(1,'Core_Nativ'!M954/'Core_Nativ'!P954))*'Core_Nativ'!N960,"")),""))</x:f>
      </x:c>
      <x:c r="AG85" s="11" t="str">
        <x:f>IF(A85="","",IF(AND('Core_Nativ'!R954="CLOSED",'Core_Nativ'!S954=0),IF('Core_Nativ'!M954&gt;='Core_Nativ'!P954,'Core_Nativ'!O954,IF(AND('Input_Meci'!L85="YES",'Input_Meci'!K85&lt;&gt;"",'Input_Meci'!K85&lt;C85,'Core_Nativ'!T960="DERIVED",'Core_Nativ'!M960&gt;='Core_Nativ'!P954),MIN(1,'Core_Nativ'!M954/'Core_Nativ'!P954)*IF('Core_Nativ'!M954=0,0,'Core_Nativ'!O954)+(1-MIN(1,'Core_Nativ'!M954/'Core_Nativ'!P954))*'Core_Nativ'!O960,"")),""))</x:f>
      </x:c>
      <x:c r="AH85" s="11" t="str">
        <x:f>IF(A85="","",IF(AND('Core_Nativ'!R955="CLOSED",'Core_Nativ'!S955=0),IF('Core_Nativ'!M955&gt;='Core_Nativ'!P955,'Core_Nativ'!N955,IF(AND('Input_Meci'!L85="YES",'Input_Meci'!K85&lt;&gt;"",'Input_Meci'!K85&lt;C85,'Core_Nativ'!T961="DERIVED",'Core_Nativ'!M961&gt;='Core_Nativ'!P955),MIN(1,'Core_Nativ'!M955/'Core_Nativ'!P955)*IF('Core_Nativ'!M955=0,0,'Core_Nativ'!N955)+(1-MIN(1,'Core_Nativ'!M955/'Core_Nativ'!P955))*'Core_Nativ'!N961,"")),""))</x:f>
      </x:c>
      <x:c r="AI85" s="11" t="str">
        <x:f>IF(A85="","",IF(AND('Core_Nativ'!R955="CLOSED",'Core_Nativ'!S955=0),IF('Core_Nativ'!M955&gt;='Core_Nativ'!P955,'Core_Nativ'!O955,IF(AND('Input_Meci'!L85="YES",'Input_Meci'!K85&lt;&gt;"",'Input_Meci'!K85&lt;C85,'Core_Nativ'!T961="DERIVED",'Core_Nativ'!M961&gt;='Core_Nativ'!P955),MIN(1,'Core_Nativ'!M955/'Core_Nativ'!P955)*IF('Core_Nativ'!M955=0,0,'Core_Nativ'!O955)+(1-MIN(1,'Core_Nativ'!M955/'Core_Nativ'!P955))*'Core_Nativ'!O961,"")),""))</x:f>
      </x:c>
      <x:c r="AJ85" s="11" t="str">
        <x:f>IF(A85="","",IF(AND('Core_Nativ'!R956="CLOSED",'Core_Nativ'!S956=0),IF('Core_Nativ'!M956&gt;='Core_Nativ'!P956,'Core_Nativ'!N956,IF(AND('Input_Meci'!L85="YES",'Input_Meci'!K85&lt;&gt;"",'Input_Meci'!K85&lt;C85,'Core_Nativ'!T962="DERIVED",'Core_Nativ'!M962&gt;='Core_Nativ'!P956),MIN(1,'Core_Nativ'!M956/'Core_Nativ'!P956)*IF('Core_Nativ'!M956=0,0,'Core_Nativ'!N956)+(1-MIN(1,'Core_Nativ'!M956/'Core_Nativ'!P956))*'Core_Nativ'!N962,"")),""))</x:f>
      </x:c>
      <x:c r="AK85" s="11" t="str">
        <x:f>IF(A85="","",IF(AND('Core_Nativ'!R956="CLOSED",'Core_Nativ'!S956=0),IF('Core_Nativ'!M956&gt;='Core_Nativ'!P956,'Core_Nativ'!O956,IF(AND('Input_Meci'!L85="YES",'Input_Meci'!K85&lt;&gt;"",'Input_Meci'!K85&lt;C85,'Core_Nativ'!T962="DERIVED",'Core_Nativ'!M962&gt;='Core_Nativ'!P956),MIN(1,'Core_Nativ'!M956/'Core_Nativ'!P956)*IF('Core_Nativ'!M956=0,0,'Core_Nativ'!O956)+(1-MIN(1,'Core_Nativ'!M956/'Core_Nativ'!P956))*'Core_Nativ'!O962,"")),""))</x:f>
      </x:c>
      <x:c r="AL85" s="11" t="str">
        <x:f>IF(A85="","",IF(AND('Core_Nativ'!R957="CLOSED",'Core_Nativ'!S957=0),IF('Core_Nativ'!M957&gt;='Core_Nativ'!P957,'Core_Nativ'!N957,IF(AND('Input_Meci'!L85="YES",'Input_Meci'!K85&lt;&gt;"",'Input_Meci'!K85&lt;C85,'Core_Nativ'!T963="DERIVED",'Core_Nativ'!M963&gt;='Core_Nativ'!P957),MIN(1,'Core_Nativ'!M957/'Core_Nativ'!P957)*IF('Core_Nativ'!M957=0,0,'Core_Nativ'!N957)+(1-MIN(1,'Core_Nativ'!M957/'Core_Nativ'!P957))*'Core_Nativ'!N963,"")),""))</x:f>
      </x:c>
      <x:c r="AM85" s="11" t="str">
        <x:f>IF(A85="","",IF(AND('Core_Nativ'!R957="CLOSED",'Core_Nativ'!S957=0),IF('Core_Nativ'!M957&gt;='Core_Nativ'!P957,'Core_Nativ'!O957,IF(AND('Input_Meci'!L85="YES",'Input_Meci'!K85&lt;&gt;"",'Input_Meci'!K85&lt;C85,'Core_Nativ'!T963="DERIVED",'Core_Nativ'!M963&gt;='Core_Nativ'!P957),MIN(1,'Core_Nativ'!M957/'Core_Nativ'!P957)*IF('Core_Nativ'!M957=0,0,'Core_Nativ'!O957)+(1-MIN(1,'Core_Nativ'!M957/'Core_Nativ'!P957))*'Core_Nativ'!O963,"")),""))</x:f>
      </x:c>
      <x:c r="AN85" s="11" t="str">
        <x:f>IF(A85="","",IF(AND('Core_Nativ'!R958="CLOSED",'Core_Nativ'!S958=0),IF('Core_Nativ'!M958&gt;='Core_Nativ'!P958,'Core_Nativ'!N958,IF(AND('Input_Meci'!L85="YES",'Input_Meci'!K85&lt;&gt;"",'Input_Meci'!K85&lt;C85,'Core_Nativ'!T964="DERIVED",'Core_Nativ'!M964&gt;='Core_Nativ'!P958),MIN(1,'Core_Nativ'!M958/'Core_Nativ'!P958)*IF('Core_Nativ'!M958=0,0,'Core_Nativ'!N958)+(1-MIN(1,'Core_Nativ'!M958/'Core_Nativ'!P958))*'Core_Nativ'!N964,"")),""))</x:f>
      </x:c>
      <x:c r="AO85" s="11" t="str">
        <x:f>IF(A85="","",IF(AND('Core_Nativ'!R958="CLOSED",'Core_Nativ'!S958=0),IF('Core_Nativ'!M958&gt;='Core_Nativ'!P958,'Core_Nativ'!O958,IF(AND('Input_Meci'!L85="YES",'Input_Meci'!K85&lt;&gt;"",'Input_Meci'!K85&lt;C85,'Core_Nativ'!T964="DERIVED",'Core_Nativ'!M964&gt;='Core_Nativ'!P958),MIN(1,'Core_Nativ'!M958/'Core_Nativ'!P958)*IF('Core_Nativ'!M958=0,0,'Core_Nativ'!O958)+(1-MIN(1,'Core_Nativ'!M958/'Core_Nativ'!P958))*'Core_Nativ'!O964,"")),""))</x:f>
      </x:c>
      <x:c r="AP85" s="11" t="str">
        <x:f>IF(A85="","",IF(AND('Core_Nativ'!R959="CLOSED",'Core_Nativ'!S959=0),IF('Core_Nativ'!M959&gt;='Core_Nativ'!P959,'Core_Nativ'!N959,IF(AND('Input_Meci'!L85="YES",'Input_Meci'!K85&lt;&gt;"",'Input_Meci'!K85&lt;C85,'Core_Nativ'!T965="DERIVED",'Core_Nativ'!M965&gt;='Core_Nativ'!P959),MIN(1,'Core_Nativ'!M959/'Core_Nativ'!P959)*IF('Core_Nativ'!M959=0,0,'Core_Nativ'!N959)+(1-MIN(1,'Core_Nativ'!M959/'Core_Nativ'!P959))*'Core_Nativ'!N965,"")),""))</x:f>
      </x:c>
      <x:c r="AQ85" s="11" t="str">
        <x:f>IF(A85="","",IF(AND('Core_Nativ'!R959="CLOSED",'Core_Nativ'!S959=0),IF('Core_Nativ'!M959&gt;='Core_Nativ'!P959,'Core_Nativ'!O959,IF(AND('Input_Meci'!L85="YES",'Input_Meci'!K85&lt;&gt;"",'Input_Meci'!K85&lt;C85,'Core_Nativ'!T965="DERIVED",'Core_Nativ'!M965&gt;='Core_Nativ'!P959),MIN(1,'Core_Nativ'!M959/'Core_Nativ'!P959)*IF('Core_Nativ'!M959=0,0,'Core_Nativ'!O959)+(1-MIN(1,'Core_Nativ'!M959/'Core_Nativ'!P959))*'Core_Nativ'!O965,"")),""))</x:f>
      </x:c>
      <x:c r="AR85" s="11" t="str">
        <x:f>IF(A85="","",SUMPRODUCT(('Istoric_Nativ'!$B$6:$B$405=B85)*('Istoric_Nativ'!$C$6:$C$405=BL85)*('Istoric_Nativ'!$P$6:$P$405=1)*('Istoric_Nativ'!$D$6:$D$405&lt;INT(G85))*((('Istoric_Nativ'!$E$6:$E$405='Input_Meci'!D85)+('Istoric_Nativ'!$F$6:$F$405='Input_Meci'!D85)+('Istoric_Nativ'!$E$6:$E$405='Input_Meci'!E85)+('Istoric_Nativ'!$F$6:$F$405='Input_Meci'!E85))&gt;0)))</x:f>
      </x:c>
      <x:c r="AS85" s="11" t="str">
        <x:f>IF(AR85=0,"",SUMPRODUCT(('Istoric_Nativ'!$B$6:$B$405=B85)*('Istoric_Nativ'!$C$6:$C$405=BL85)*('Istoric_Nativ'!$P$6:$P$405=1)*('Istoric_Nativ'!$D$6:$D$405&lt;INT(G85))*((('Istoric_Nativ'!$E$6:$E$405='Input_Meci'!D85)+('Istoric_Nativ'!$F$6:$F$405='Input_Meci'!D85)+('Istoric_Nativ'!$E$6:$E$405='Input_Meci'!E85)+('Istoric_Nativ'!$F$6:$F$405='Input_Meci'!E85))&gt;0)*'Istoric_Nativ'!$Q$6:$Q$405)/AR85)</x:f>
      </x:c>
      <x:c r="AT85" s="11" t="str">
        <x:f>IF(AR85&lt;2,"",MAX(0,(SUMPRODUCT(('Istoric_Nativ'!$B$6:$B$405=B85)*('Istoric_Nativ'!$C$6:$C$405=BL85)*('Istoric_Nativ'!$P$6:$P$405=1)*('Istoric_Nativ'!$D$6:$D$405&lt;INT(G85))*((('Istoric_Nativ'!$E$6:$E$405='Input_Meci'!D85)+('Istoric_Nativ'!$F$6:$F$405='Input_Meci'!D85)+('Istoric_Nativ'!$E$6:$E$405='Input_Meci'!E85)+('Istoric_Nativ'!$F$6:$F$405='Input_Meci'!E85))&gt;0)*'Istoric_Nativ'!$R$6:$R$405)-AR85*AS85^2)/(AR85-1)))</x:f>
      </x:c>
      <x:c r="AU85" s="11" t="str">
        <x:f>IF(I85&lt;&gt;"PASS","",AT85/AS85)</x:f>
      </x:c>
      <x:c r="AV85" s="11" t="str">
        <x:f>IF(I85&lt;&gt;"PASS","",IF(AU85&lt;='Config_v6'!$B$10,"POISSON","NEGATIVE BINOMIAL"))</x:f>
      </x:c>
      <x:c r="AW85" s="11" t="str">
        <x:f>IF(I85&lt;&gt;"PASS","",IF(AV85="POISSON",9999,AS85/(AU85-1)))</x:f>
      </x:c>
      <x:c r="AX85" s="11" t="str">
        <x:f>IF(A85="","",MAX(1-'Config_v6'!$B$20,MIN(1+'Config_v6'!$B$20,1+0.02*(IF(AND(ISNUMBER('Input_Meci'!N85),'Input_Meci'!N85&gt;=0,'Input_Meci'!N85&lt;=200),'Input_Meci'!N85,12)/12-1)+0.02*(IF(AND(ISNUMBER('Input_Meci'!P85),'Input_Meci'!P85&gt;=0,'Input_Meci'!P85&lt;=200),'Input_Meci'!P85,3.5)/3.5-1)+0.02*(IF(AND(ISNUMBER('Input_Meci'!R85),'Input_Meci'!R85&gt;=0,'Input_Meci'!R85&lt;=200),'Input_Meci'!R85,18)/18-1)+0.02*((IF(AND(ISNUMBER('Input_Meci'!V85),'Input_Meci'!V85&gt;=0,'Input_Meci'!V85&lt;=10),'Input_Meci'!V85,5)-5)/5))))</x:f>
      </x:c>
      <x:c r="AY85" s="11" t="str">
        <x:f>IF(A85="","",MAX(1-'Config_v6'!$B$20,MIN(1+'Config_v6'!$B$20,1+0.02*(IF(AND(ISNUMBER('Input_Meci'!O85),'Input_Meci'!O85&gt;=0,'Input_Meci'!O85&lt;=200),'Input_Meci'!O85,12)/12-1)+0.02*(IF(AND(ISNUMBER('Input_Meci'!Q85),'Input_Meci'!Q85&gt;=0,'Input_Meci'!Q85&lt;=200),'Input_Meci'!Q85,3.5)/3.5-1)+0.02*(IF(AND(ISNUMBER('Input_Meci'!S85),'Input_Meci'!S85&gt;=0,'Input_Meci'!S85&lt;=200),'Input_Meci'!S85,18)/18-1)+0.02*((IF(AND(ISNUMBER('Input_Meci'!W85),'Input_Meci'!W85&gt;=0,'Input_Meci'!W85&lt;=10),'Input_Meci'!W85,5)-5)/5))))</x:f>
      </x:c>
      <x:c r="AZ85" s="11" t="str">
        <x:f>IF(A85="","",MAX(1-'Config_v6'!$B$21,MIN(1+'Config_v6'!$B$21,1+0.012*(IF('Input_Meci'!X85="",5,IF(ISNUMBER('Input_Meci'!X85),'Input_Meci'!X85,5))-5)+0.018*(IF('Input_Meci'!Z85="",5,IF(ISNUMBER('Input_Meci'!Z85),'Input_Meci'!Z85,5))-5)+0.012*(IF('Input_Meci'!AB85="",5,IF(ISNUMBER('Input_Meci'!AB85),'Input_Meci'!AB85,5))-5)+0.015*IF('Input_Meci'!AD85="",0,IF(ISNUMBER('Input_Meci'!AD85),'Input_Meci'!AD85,0))+0.02*IF('Input_Meci'!AF85="",0,IF(ISNUMBER('Input_Meci'!AF85),'Input_Meci'!AF85,0)))))</x:f>
      </x:c>
      <x:c r="BA85" s="11" t="str">
        <x:f>IF(A85="","",MAX(1-'Config_v6'!$B$21,MIN(1+'Config_v6'!$B$21,1+0.012*(IF('Input_Meci'!Y85="",5,IF(ISNUMBER('Input_Meci'!Y85),'Input_Meci'!Y85,5))-5)+0.018*(IF('Input_Meci'!AA85="",5,IF(ISNUMBER('Input_Meci'!AA85),'Input_Meci'!AA85,5))-5)+0.012*(IF('Input_Meci'!AC85="",5,IF(ISNUMBER('Input_Meci'!AC85),'Input_Meci'!AC85,5))-5)+0.015*IF('Input_Meci'!AE85="",0,IF(ISNUMBER('Input_Meci'!AE85),'Input_Meci'!AE85,0))+0.02*IF('Input_Meci'!AG85="",0,IF(ISNUMBER('Input_Meci'!AG85),'Input_Meci'!AG85,0)))))</x:f>
      </x:c>
      <x:c r="BB85" s="11" t="str">
        <x:f>IF(I85&lt;&gt;"PASS","",(AVERAGE(AF85,AM85)*'Config_v6'!$B$4+AVERAGE(AH85,AO85)*'Config_v6'!$B$5+AVERAGE(AJ85,AQ85)*'Config_v6'!$B$6)*AX85*AZ85)</x:f>
      </x:c>
      <x:c r="BC85" s="11" t="str">
        <x:f>IF(I85&lt;&gt;"PASS","",(AVERAGE(AL85,AG85)*'Config_v6'!$B$4+AVERAGE(AN85,AI85)*'Config_v6'!$B$5+AVERAGE(AP85,AK85)*'Config_v6'!$B$6)*AY85*BA85)</x:f>
      </x:c>
      <x:c r="BD85" s="11" t="str">
        <x:f>IF(I85&lt;&gt;"PASS","",BB85+BC85)</x:f>
      </x:c>
      <x:c r="BE85" s="11" t="str">
        <x:f>IF(A85="","",10-SUM(IF(AND(ISNUMBER('Input_Meci'!N85),'Input_Meci'!N85&gt;=0,'Input_Meci'!N85&lt;=200),1,0),IF(AND(ISNUMBER('Input_Meci'!O85),'Input_Meci'!O85&gt;=0,'Input_Meci'!O85&lt;=200),1,0),IF(AND(ISNUMBER('Input_Meci'!P85),'Input_Meci'!P85&gt;=0,'Input_Meci'!P85&lt;=200),1,0),IF(AND(ISNUMBER('Input_Meci'!Q85),'Input_Meci'!Q85&gt;=0,'Input_Meci'!Q85&lt;=200),1,0),IF(AND(ISNUMBER('Input_Meci'!R85),'Input_Meci'!R85&gt;=0,'Input_Meci'!R85&lt;=200),1,0),IF(AND(ISNUMBER('Input_Meci'!S85),'Input_Meci'!S85&gt;=0,'Input_Meci'!S85&lt;=200),1,0),IF(AND(ISNUMBER('Input_Meci'!T85),'Input_Meci'!T85&gt;=0,'Input_Meci'!T85&lt;=100),1,0),IF(AND(ISNUMBER('Input_Meci'!U85),'Input_Meci'!U85&gt;=0,'Input_Meci'!U85&lt;=100),1,0),IF(AND(ISNUMBER('Input_Meci'!V85),'Input_Meci'!V85&gt;=0,'Input_Meci'!V85&lt;=10),1,0),IF(AND(ISNUMBER('Input_Meci'!W85),'Input_Meci'!W85&gt;=0,'Input_Meci'!W85&lt;=10),1,0)))</x:f>
      </x:c>
      <x:c r="BF85" s="11" t="str">
        <x:f>IF(I85&lt;&gt;"PASS","",MAX(0,MIN(IF(OR(M85="YES",BL85&lt;&gt;C85),'Config_v6'!$B$34,100),ROUND(40+25*MIN(1,MIN(N85,Q85)/'Config_v6'!$B$7)*MIN(1,MIN(O85,R85)/'Config_v6'!$B$8)*MIN(1,MIN(P85,S85)/'Config_v6'!$B$9)+MAX(0,15-2*ABS(AF85-AJ85)-2*ABS(AL85-AP85))+IF(AU85&lt;='Config_v6'!$B$10,15,IF(AU85&lt;='Config_v6'!$B$11,13,IF(AU85&lt;='Config_v6'!$B$12,10,IF(AU85&lt;='Config_v6'!$B$13,6,0))))+5-BE85/10*'Config_v6'!$B$38,0))))</x:f>
      </x:c>
      <x:c r="BG85" s="11" t="str">
        <x:f>IF(I85&lt;&gt;"PASS","",MIN(1,'Config_v6'!$B$14*(0.7+0.3*MIN(1,AR85/'Config_v6'!$B$15))*IF(AU85&lt;='Config_v6'!$B$10,1,IF(AU85&lt;='Config_v6'!$B$11,0.95,IF(AU85&lt;='Config_v6'!$B$12,0.88,0.78)))*(0.75+0.25*BF85/100)))</x:f>
      </x:c>
      <x:c r="BH85" s="11" t="str">
        <x:f>IF(I85&lt;&gt;"PASS","",MIN(1,(ABS(AZ85-1)+ABS(BA85-1))*3))</x:f>
      </x:c>
      <x:c r="BI85" s="2" t="str">
        <x:f>IF(A85="","",IF(AND(OR('Input_Meci'!X85="",AND(ISNUMBER('Input_Meci'!X85),'Input_Meci'!X85&gt;=0,'Input_Meci'!X85&lt;=10)),OR('Input_Meci'!Y85="",AND(ISNUMBER('Input_Meci'!Y85),'Input_Meci'!Y85&gt;=0,'Input_Meci'!Y85&lt;=10)),OR('Input_Meci'!Z85="",AND(ISNUMBER('Input_Meci'!Z85),'Input_Meci'!Z85&gt;=0,'Input_Meci'!Z85&lt;=10)),OR('Input_Meci'!AA85="",AND(ISNUMBER('Input_Meci'!AA85),'Input_Meci'!AA85&gt;=0,'Input_Meci'!AA85&lt;=10)),OR('Input_Meci'!AB85="",AND(ISNUMBER('Input_Meci'!AB85),'Input_Meci'!AB85&gt;=0,'Input_Meci'!AB85&lt;=10)),OR('Input_Meci'!AC85="",AND(ISNUMBER('Input_Meci'!AC85),'Input_Meci'!AC85&gt;=0,'Input_Meci'!AC85&lt;=10)),OR('Input_Meci'!AD85="",AND(ISNUMBER('Input_Meci'!AD85),'Input_Meci'!AD85&gt;=-2,'Input_Meci'!AD85&lt;=2)),OR('Input_Meci'!AE85="",AND(ISNUMBER('Input_Meci'!AE85),'Input_Meci'!AE85&gt;=-2,'Input_Meci'!AE85&lt;=2)),OR('Input_Meci'!AF85="",AND(ISNUMBER('Input_Meci'!AF85),'Input_Meci'!AF85&gt;=-2,'Input_Meci'!AF85&lt;=2)),OR('Input_Meci'!AG85="",AND(ISNUMBER('Input_Meci'!AG85),'Input_Meci'!AG85&gt;=-2,'Input_Meci'!AG85&lt;=2))),"VALID","INVALID"))</x:f>
      </x:c>
      <x:c r="BJ85" s="2" t="n">
        <x:f>IF(A85="",0,SUM('Core_Nativ'!S954:S959))</x:f>
        <x:v>0</x:v>
      </x:c>
      <x:c r="BK85" s="2" t="str">
        <x:f>'Config_v6'!$B$40</x:f>
        <x:v>VALID</x:v>
      </x:c>
      <x:c r="BL85" s="2" t="str">
        <x:f>IF(A85="","",IF(SUMPRODUCT(('Istoric_Nativ'!$B$6:$B$405=B85)*('Istoric_Nativ'!$C$6:$C$405=C85)*('Istoric_Nativ'!$P$6:$P$405=1)*('Istoric_Nativ'!$D$6:$D$405&lt;INT(G85))*((('Istoric_Nativ'!$E$6:$E$405='Input_Meci'!D85)+('Istoric_Nativ'!$F$6:$F$405='Input_Meci'!D85)+('Istoric_Nativ'!$E$6:$E$405='Input_Meci'!E85)+('Istoric_Nativ'!$F$6:$F$405='Input_Meci'!E85))&gt;0))&gt;='Config_v6'!$B$41,C85,IF(AND('Input_Meci'!L85="YES",'Input_Meci'!K85&lt;&gt;"",'Input_Meci'!K85&lt;C85,COUNTIF('Core_Nativ'!R960:R965,"CLOSED")=6,SUM('Core_Nativ'!S960:S965)=0),'Input_Meci'!K85,C85)))</x:f>
      </x:c>
      <x:c r="BM85" s="9" t="n">
        <x:f>IF(OR(A85="",N85=0),0,LARGE(_xlfn._xlws.FILTER('Istoric_Nativ'!$D$6:$D$405,('Istoric_Nativ'!$B$6:$B$405=B85)*('Istoric_Nativ'!$C$6:$C$405=C85)*('Istoric_Nativ'!$P$6:$P$405=1)*('Istoric_Nativ'!$D$6:$D$405&lt;INT(G85))*((('Istoric_Nativ'!$E$6:$E$405='Input_Meci'!D85)+('Istoric_Nativ'!$F$6:$F$405='Input_Meci'!D85))&gt;0)),MIN(10,N85)))</x:f>
        <x:v>0</x:v>
      </x:c>
      <x:c r="BN85" s="9" t="n">
        <x:f>IF(OR(A85="",Q85=0),0,LARGE(_xlfn._xlws.FILTER('Istoric_Nativ'!$D$6:$D$405,('Istoric_Nativ'!$B$6:$B$405=B85)*('Istoric_Nativ'!$C$6:$C$405=C85)*('Istoric_Nativ'!$P$6:$P$405=1)*('Istoric_Nativ'!$D$6:$D$405&lt;INT(G85))*((('Istoric_Nativ'!$E$6:$E$405='Input_Meci'!E85)+('Istoric_Nativ'!$F$6:$F$405='Input_Meci'!E85))&gt;0)),MIN(10,Q85)))</x:f>
        <x:v>0</x:v>
      </x:c>
      <x:c r="BO85" s="9" t="n">
        <x:f>IF(OR(A85="",N85=0),0,LARGE(_xlfn._xlws.FILTER('Istoric_Nativ'!$D$6:$D$405,('Istoric_Nativ'!$B$6:$B$405=B85)*('Istoric_Nativ'!$C$6:$C$405=C85)*('Istoric_Nativ'!$P$6:$P$405=1)*('Istoric_Nativ'!$D$6:$D$405&lt;INT(G85))*((('Istoric_Nativ'!$E$6:$E$405='Input_Meci'!D85)+('Istoric_Nativ'!$F$6:$F$405='Input_Meci'!D85))&gt;0)),MIN(20,N85)))</x:f>
        <x:v>0</x:v>
      </x:c>
      <x:c r="BP85" s="9" t="n">
        <x:f>IF(OR(A85="",Q85=0),0,LARGE(_xlfn._xlws.FILTER('Istoric_Nativ'!$D$6:$D$405,('Istoric_Nativ'!$B$6:$B$405=B85)*('Istoric_Nativ'!$C$6:$C$405=C85)*('Istoric_Nativ'!$P$6:$P$405=1)*('Istoric_Nativ'!$D$6:$D$405&lt;INT(G85))*((('Istoric_Nativ'!$E$6:$E$405='Input_Meci'!E85)+('Istoric_Nativ'!$F$6:$F$405='Input_Meci'!E85))&gt;0)),MIN(20,Q85)))</x:f>
        <x:v>0</x:v>
      </x:c>
      <x:c r="BQ85" s="2" t="str">
        <x:f>IF(A85="","",IF(AND(COUNTIF(MatchesTable[Match_ID],A85)=1,COUNTIFS(MatchesTable[League],B85,MatchesTable[Season],C85,MatchesTable[Home],'Input_Meci'!D85,MatchesTable[Away],'Input_Meci'!E85,MatchesTable[Kickoff_UTC],F85)=1,B85&lt;&gt;"",C85&lt;&gt;"",'Input_Meci'!D85&lt;&gt;"",'Input_Meci'!E85&lt;&gt;"",'Input_Meci'!D85&lt;&gt;'Input_Meci'!E85,ISNUMBER(F85),ISNUMBER(G85),G85&lt;F85,OR(E85="LIVE",E85="REPLAY"),OR('Input_Meci'!L85="YES",'Input_Meci'!L85="NO",'Input_Meci'!L85="")),"VALID","INVALID"))</x:f>
      </x:c>
      <x:c r="BR85" s="2" t="n">
        <x:f>IF(I85&lt;&gt;"PASS",0,SUMPRODUCT(('Istoric_Nativ'!$B$6:$B$405='Input_Meci'!B85)*('Istoric_Nativ'!$C$6:$C$405='Input_Meci'!C85)*('Istoric_Nativ'!$P$6:$P$405=1)*('Istoric_Nativ'!$D$6:$D$405&lt;INT('Input_Meci'!G85))*((('Istoric_Nativ'!$E$6:$E$405='Input_Meci'!D85)+('Istoric_Nativ'!$F$6:$F$405='Input_Meci'!E85))&gt;0)))</x:f>
        <x:v>0</x:v>
      </x:c>
      <x:c r="BS85" s="2" t="n">
        <x:f>IF(I85&lt;&gt;"PASS",0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BM85)+((('Istoric_Nativ'!$E$6:$E$405='Input_Meci'!E85)+('Istoric_Nativ'!$F$6:$F$405='Input_Meci'!E85))&gt;0)*('Istoric_Nativ'!$D$6:$D$405&gt;=BN85))&gt;0)))</x:f>
        <x:v>0</x:v>
      </x:c>
      <x:c r="BT85" s="2" t="n">
        <x:f>IF(I85&lt;&gt;"PASS",0,SUMPRODUCT(('Istoric_Nativ'!$B$6:$B$405='Input_Meci'!B85)*('Istoric_Nativ'!$C$6:$C$405='Input_Meci'!C85)*('Istoric_Nativ'!$P$6:$P$405=1)*('Istoric_Nativ'!$D$6:$D$405&lt;INT('Input_Meci'!G85))*((((('Istoric_Nativ'!$E$6:$E$405='Input_Meci'!D85)+('Istoric_Nativ'!$F$6:$F$405='Input_Meci'!D85))&gt;0)*('Istoric_Nativ'!$D$6:$D$405&gt;=BO85)+((('Istoric_Nativ'!$E$6:$E$405='Input_Meci'!E85)+('Istoric_Nativ'!$F$6:$F$405='Input_Meci'!E85))&gt;0)*('Istoric_Nativ'!$D$6:$D$405&gt;=BP85))&gt;0)))</x:f>
        <x:v>0</x:v>
      </x:c>
    </x:row>
    <x:row r="86" ht="21" customHeight="1">
      <x:c r="A86" s="2" t="str">
        <x:f>IF('Input_Meci'!A86="","",'Input_Meci'!A86)</x:f>
      </x:c>
      <x:c r="B86" s="2" t="str">
        <x:f>IF(A86="","",'Input_Meci'!B86)</x:f>
      </x:c>
      <x:c r="C86" s="2" t="str">
        <x:f>IF(A86="","",'Input_Meci'!C86)</x:f>
      </x:c>
      <x:c r="D86" s="2" t="str">
        <x:f>IF(A86="","",'Input_Meci'!D86&amp;" – "&amp;'Input_Meci'!E86)</x:f>
      </x:c>
      <x:c r="E86" s="2" t="str">
        <x:f>IF(A86="","",'Input_Meci'!H86)</x:f>
      </x:c>
      <x:c r="F86" s="9" t="str">
        <x:f>IF(A86="","",'Input_Meci'!F86)</x:f>
      </x:c>
      <x:c r="G86" s="9" t="str">
        <x:f>IF(A86="","",'Input_Meci'!G86)</x:f>
      </x:c>
      <x:c r="H86" s="2" t="str">
        <x:f>IF(A86="","",IF(BQ86&lt;&gt;"VALID","NOT RELEASED",IF(AND(OR('Input_Meci'!I86="NOT AVAILABLE",'Input_Meci'!I86="SOURCE CONFLICT"),'Input_Meci'!J86&lt;&gt;""),"READY",IF(OR(NOT(OR('Input_Meci'!I86="AUTO",'Input_Meci'!I86="")),COUNTIF('Core_Nativ'!R966:R971,"CLOSED")&lt;&gt;6,BJ86&gt;0),"NOT RELEASED","READY"))))</x:f>
      </x:c>
      <x:c r="I86" s="2" t="str">
        <x:f>IF(A86="","",IF(H86&lt;&gt;"READY","NOT RELEASED",IF(AND(NOT(OR('Input_Meci'!I86="NOT AVAILABLE",'Input_Meci'!I86="SOURCE CONFLICT")),L86=12,AR86&gt;=2,AS86&gt;0,ISNUMBER(AT86),BI86="VALID",BK86="VALID"),"PASS","FAIL")))</x:f>
      </x:c>
      <x:c r="J86" s="2" t="str">
        <x:f>IF(A86="","",IF(BQ86&lt;&gt;"VALID","Verifica ID, echipe, mod si cutoff &lt; kickoff",IF(H86&lt;&gt;"READY",IF('Input_Meci'!I86="ACCESS BLOCKED","Acces blocat: reia sursele",IF(BJ86&gt;0,"Istoric invalid sau conflict: verifica randurile native","Surse neinchise / post-cutoff / dovezi incomplete")),IF(OR('Input_Meci'!I86="NOT AVAILABLE",'Input_Meci'!I86="SOURCE CONFLICT"),'Input_Meci'!I86,IF(BK86&lt;&gt;"VALID","Parametri invalizi",IF(L86&lt;&gt;12,"Core / sample / prior insuficient",IF(AR86&lt;2,"N insuficient pentru dispersie",IF(AS86&lt;=0,"Media istorica trebuie sa fie pozitiva",IF(BI86&lt;&gt;"VALID","Context invalid","READY")))))))))</x:f>
      </x:c>
      <x:c r="K86" s="2" t="str">
        <x:f>IF(A86="","",COUNT(T86:AE86))</x:f>
      </x:c>
      <x:c r="L86" s="2" t="str">
        <x:f>IF(A86="","",COUNT(AF86:AQ86))</x:f>
      </x:c>
      <x:c r="M86" s="2" t="str">
        <x:f>IF(A86="","",IF(OR('Core_Nativ'!M966&lt;'Core_Nativ'!P966,'Core_Nativ'!M967&lt;'Core_Nativ'!P967,'Core_Nativ'!M968&lt;'Core_Nativ'!P968,'Core_Nativ'!M969&lt;'Core_Nativ'!P969,'Core_Nativ'!M970&lt;'Core_Nativ'!P970,'Core_Nativ'!M971&lt;'Core_Nativ'!P971),"YES","NO"))</x:f>
      </x:c>
      <x:c r="N86" s="2" t="str">
        <x:f>IF(A86="","",'Core_Nativ'!M966)</x:f>
      </x:c>
      <x:c r="O86" s="2" t="str">
        <x:f>IF(A86="","",'Core_Nativ'!M967)</x:f>
      </x:c>
      <x:c r="P86" s="2" t="str">
        <x:f>IF(A86="","",'Core_Nativ'!M968)</x:f>
      </x:c>
      <x:c r="Q86" s="2" t="str">
        <x:f>IF(A86="","",'Core_Nativ'!M969)</x:f>
      </x:c>
      <x:c r="R86" s="2" t="str">
        <x:f>IF(A86="","",'Core_Nativ'!M970)</x:f>
      </x:c>
      <x:c r="S86" s="2" t="str">
        <x:f>IF(A86="","",'Core_Nativ'!M971)</x:f>
      </x:c>
      <x:c r="T86" s="11" t="str">
        <x:f>IF(OR(A86="",'Core_Nativ'!M966=0),"",'Core_Nativ'!N966)</x:f>
      </x:c>
      <x:c r="U86" s="11" t="str">
        <x:f>IF(OR(A86="",'Core_Nativ'!M966=0),"",'Core_Nativ'!O966)</x:f>
      </x:c>
      <x:c r="V86" s="11" t="str">
        <x:f>IF(OR(A86="",'Core_Nativ'!M967=0),"",'Core_Nativ'!N967)</x:f>
      </x:c>
      <x:c r="W86" s="11" t="str">
        <x:f>IF(OR(A86="",'Core_Nativ'!M967=0),"",'Core_Nativ'!O967)</x:f>
      </x:c>
      <x:c r="X86" s="11" t="str">
        <x:f>IF(OR(A86="",'Core_Nativ'!M968=0),"",'Core_Nativ'!N968)</x:f>
      </x:c>
      <x:c r="Y86" s="11" t="str">
        <x:f>IF(OR(A86="",'Core_Nativ'!M968=0),"",'Core_Nativ'!O968)</x:f>
      </x:c>
      <x:c r="Z86" s="11" t="str">
        <x:f>IF(OR(A86="",'Core_Nativ'!M969=0),"",'Core_Nativ'!N969)</x:f>
      </x:c>
      <x:c r="AA86" s="11" t="str">
        <x:f>IF(OR(A86="",'Core_Nativ'!M969=0),"",'Core_Nativ'!O969)</x:f>
      </x:c>
      <x:c r="AB86" s="11" t="str">
        <x:f>IF(OR(A86="",'Core_Nativ'!M970=0),"",'Core_Nativ'!N970)</x:f>
      </x:c>
      <x:c r="AC86" s="11" t="str">
        <x:f>IF(OR(A86="",'Core_Nativ'!M970=0),"",'Core_Nativ'!O970)</x:f>
      </x:c>
      <x:c r="AD86" s="11" t="str">
        <x:f>IF(OR(A86="",'Core_Nativ'!M971=0),"",'Core_Nativ'!N971)</x:f>
      </x:c>
      <x:c r="AE86" s="11" t="str">
        <x:f>IF(OR(A86="",'Core_Nativ'!M971=0),"",'Core_Nativ'!O971)</x:f>
      </x:c>
      <x:c r="AF86" s="11" t="str">
        <x:f>IF(A86="","",IF(AND('Core_Nativ'!R966="CLOSED",'Core_Nativ'!S966=0),IF('Core_Nativ'!M966&gt;='Core_Nativ'!P966,'Core_Nativ'!N966,IF(AND('Input_Meci'!L86="YES",'Input_Meci'!K86&lt;&gt;"",'Input_Meci'!K86&lt;C86,'Core_Nativ'!T972="DERIVED",'Core_Nativ'!M972&gt;='Core_Nativ'!P966),MIN(1,'Core_Nativ'!M966/'Core_Nativ'!P966)*IF('Core_Nativ'!M966=0,0,'Core_Nativ'!N966)+(1-MIN(1,'Core_Nativ'!M966/'Core_Nativ'!P966))*'Core_Nativ'!N972,"")),""))</x:f>
      </x:c>
      <x:c r="AG86" s="11" t="str">
        <x:f>IF(A86="","",IF(AND('Core_Nativ'!R966="CLOSED",'Core_Nativ'!S966=0),IF('Core_Nativ'!M966&gt;='Core_Nativ'!P966,'Core_Nativ'!O966,IF(AND('Input_Meci'!L86="YES",'Input_Meci'!K86&lt;&gt;"",'Input_Meci'!K86&lt;C86,'Core_Nativ'!T972="DERIVED",'Core_Nativ'!M972&gt;='Core_Nativ'!P966),MIN(1,'Core_Nativ'!M966/'Core_Nativ'!P966)*IF('Core_Nativ'!M966=0,0,'Core_Nativ'!O966)+(1-MIN(1,'Core_Nativ'!M966/'Core_Nativ'!P966))*'Core_Nativ'!O972,"")),""))</x:f>
      </x:c>
      <x:c r="AH86" s="11" t="str">
        <x:f>IF(A86="","",IF(AND('Core_Nativ'!R967="CLOSED",'Core_Nativ'!S967=0),IF('Core_Nativ'!M967&gt;='Core_Nativ'!P967,'Core_Nativ'!N967,IF(AND('Input_Meci'!L86="YES",'Input_Meci'!K86&lt;&gt;"",'Input_Meci'!K86&lt;C86,'Core_Nativ'!T973="DERIVED",'Core_Nativ'!M973&gt;='Core_Nativ'!P967),MIN(1,'Core_Nativ'!M967/'Core_Nativ'!P967)*IF('Core_Nativ'!M967=0,0,'Core_Nativ'!N967)+(1-MIN(1,'Core_Nativ'!M967/'Core_Nativ'!P967))*'Core_Nativ'!N973,"")),""))</x:f>
      </x:c>
      <x:c r="AI86" s="11" t="str">
        <x:f>IF(A86="","",IF(AND('Core_Nativ'!R967="CLOSED",'Core_Nativ'!S967=0),IF('Core_Nativ'!M967&gt;='Core_Nativ'!P967,'Core_Nativ'!O967,IF(AND('Input_Meci'!L86="YES",'Input_Meci'!K86&lt;&gt;"",'Input_Meci'!K86&lt;C86,'Core_Nativ'!T973="DERIVED",'Core_Nativ'!M973&gt;='Core_Nativ'!P967),MIN(1,'Core_Nativ'!M967/'Core_Nativ'!P967)*IF('Core_Nativ'!M967=0,0,'Core_Nativ'!O967)+(1-MIN(1,'Core_Nativ'!M967/'Core_Nativ'!P967))*'Core_Nativ'!O973,"")),""))</x:f>
      </x:c>
      <x:c r="AJ86" s="11" t="str">
        <x:f>IF(A86="","",IF(AND('Core_Nativ'!R968="CLOSED",'Core_Nativ'!S968=0),IF('Core_Nativ'!M968&gt;='Core_Nativ'!P968,'Core_Nativ'!N968,IF(AND('Input_Meci'!L86="YES",'Input_Meci'!K86&lt;&gt;"",'Input_Meci'!K86&lt;C86,'Core_Nativ'!T974="DERIVED",'Core_Nativ'!M974&gt;='Core_Nativ'!P968),MIN(1,'Core_Nativ'!M968/'Core_Nativ'!P968)*IF('Core_Nativ'!M968=0,0,'Core_Nativ'!N968)+(1-MIN(1,'Core_Nativ'!M968/'Core_Nativ'!P968))*'Core_Nativ'!N974,"")),""))</x:f>
      </x:c>
      <x:c r="AK86" s="11" t="str">
        <x:f>IF(A86="","",IF(AND('Core_Nativ'!R968="CLOSED",'Core_Nativ'!S968=0),IF('Core_Nativ'!M968&gt;='Core_Nativ'!P968,'Core_Nativ'!O968,IF(AND('Input_Meci'!L86="YES",'Input_Meci'!K86&lt;&gt;"",'Input_Meci'!K86&lt;C86,'Core_Nativ'!T974="DERIVED",'Core_Nativ'!M974&gt;='Core_Nativ'!P968),MIN(1,'Core_Nativ'!M968/'Core_Nativ'!P968)*IF('Core_Nativ'!M968=0,0,'Core_Nativ'!O968)+(1-MIN(1,'Core_Nativ'!M968/'Core_Nativ'!P968))*'Core_Nativ'!O974,"")),""))</x:f>
      </x:c>
      <x:c r="AL86" s="11" t="str">
        <x:f>IF(A86="","",IF(AND('Core_Nativ'!R969="CLOSED",'Core_Nativ'!S969=0),IF('Core_Nativ'!M969&gt;='Core_Nativ'!P969,'Core_Nativ'!N969,IF(AND('Input_Meci'!L86="YES",'Input_Meci'!K86&lt;&gt;"",'Input_Meci'!K86&lt;C86,'Core_Nativ'!T975="DERIVED",'Core_Nativ'!M975&gt;='Core_Nativ'!P969),MIN(1,'Core_Nativ'!M969/'Core_Nativ'!P969)*IF('Core_Nativ'!M969=0,0,'Core_Nativ'!N969)+(1-MIN(1,'Core_Nativ'!M969/'Core_Nativ'!P969))*'Core_Nativ'!N975,"")),""))</x:f>
      </x:c>
      <x:c r="AM86" s="11" t="str">
        <x:f>IF(A86="","",IF(AND('Core_Nativ'!R969="CLOSED",'Core_Nativ'!S969=0),IF('Core_Nativ'!M969&gt;='Core_Nativ'!P969,'Core_Nativ'!O969,IF(AND('Input_Meci'!L86="YES",'Input_Meci'!K86&lt;&gt;"",'Input_Meci'!K86&lt;C86,'Core_Nativ'!T975="DERIVED",'Core_Nativ'!M975&gt;='Core_Nativ'!P969),MIN(1,'Core_Nativ'!M969/'Core_Nativ'!P969)*IF('Core_Nativ'!M969=0,0,'Core_Nativ'!O969)+(1-MIN(1,'Core_Nativ'!M969/'Core_Nativ'!P969))*'Core_Nativ'!O975,"")),""))</x:f>
      </x:c>
      <x:c r="AN86" s="11" t="str">
        <x:f>IF(A86="","",IF(AND('Core_Nativ'!R970="CLOSED",'Core_Nativ'!S970=0),IF('Core_Nativ'!M970&gt;='Core_Nativ'!P970,'Core_Nativ'!N970,IF(AND('Input_Meci'!L86="YES",'Input_Meci'!K86&lt;&gt;"",'Input_Meci'!K86&lt;C86,'Core_Nativ'!T976="DERIVED",'Core_Nativ'!M976&gt;='Core_Nativ'!P970),MIN(1,'Core_Nativ'!M970/'Core_Nativ'!P970)*IF('Core_Nativ'!M970=0,0,'Core_Nativ'!N970)+(1-MIN(1,'Core_Nativ'!M970/'Core_Nativ'!P970))*'Core_Nativ'!N976,"")),""))</x:f>
      </x:c>
      <x:c r="AO86" s="11" t="str">
        <x:f>IF(A86="","",IF(AND('Core_Nativ'!R970="CLOSED",'Core_Nativ'!S970=0),IF('Core_Nativ'!M970&gt;='Core_Nativ'!P970,'Core_Nativ'!O970,IF(AND('Input_Meci'!L86="YES",'Input_Meci'!K86&lt;&gt;"",'Input_Meci'!K86&lt;C86,'Core_Nativ'!T976="DERIVED",'Core_Nativ'!M976&gt;='Core_Nativ'!P970),MIN(1,'Core_Nativ'!M970/'Core_Nativ'!P970)*IF('Core_Nativ'!M970=0,0,'Core_Nativ'!O970)+(1-MIN(1,'Core_Nativ'!M970/'Core_Nativ'!P970))*'Core_Nativ'!O976,"")),""))</x:f>
      </x:c>
      <x:c r="AP86" s="11" t="str">
        <x:f>IF(A86="","",IF(AND('Core_Nativ'!R971="CLOSED",'Core_Nativ'!S971=0),IF('Core_Nativ'!M971&gt;='Core_Nativ'!P971,'Core_Nativ'!N971,IF(AND('Input_Meci'!L86="YES",'Input_Meci'!K86&lt;&gt;"",'Input_Meci'!K86&lt;C86,'Core_Nativ'!T977="DERIVED",'Core_Nativ'!M977&gt;='Core_Nativ'!P971),MIN(1,'Core_Nativ'!M971/'Core_Nativ'!P971)*IF('Core_Nativ'!M971=0,0,'Core_Nativ'!N971)+(1-MIN(1,'Core_Nativ'!M971/'Core_Nativ'!P971))*'Core_Nativ'!N977,"")),""))</x:f>
      </x:c>
      <x:c r="AQ86" s="11" t="str">
        <x:f>IF(A86="","",IF(AND('Core_Nativ'!R971="CLOSED",'Core_Nativ'!S971=0),IF('Core_Nativ'!M971&gt;='Core_Nativ'!P971,'Core_Nativ'!O971,IF(AND('Input_Meci'!L86="YES",'Input_Meci'!K86&lt;&gt;"",'Input_Meci'!K86&lt;C86,'Core_Nativ'!T977="DERIVED",'Core_Nativ'!M977&gt;='Core_Nativ'!P971),MIN(1,'Core_Nativ'!M971/'Core_Nativ'!P971)*IF('Core_Nativ'!M971=0,0,'Core_Nativ'!O971)+(1-MIN(1,'Core_Nativ'!M971/'Core_Nativ'!P971))*'Core_Nativ'!O977,"")),""))</x:f>
      </x:c>
      <x:c r="AR86" s="11" t="str">
        <x:f>IF(A86="","",SUMPRODUCT(('Istoric_Nativ'!$B$6:$B$405=B86)*('Istoric_Nativ'!$C$6:$C$405=BL86)*('Istoric_Nativ'!$P$6:$P$405=1)*('Istoric_Nativ'!$D$6:$D$405&lt;INT(G86))*((('Istoric_Nativ'!$E$6:$E$405='Input_Meci'!D86)+('Istoric_Nativ'!$F$6:$F$405='Input_Meci'!D86)+('Istoric_Nativ'!$E$6:$E$405='Input_Meci'!E86)+('Istoric_Nativ'!$F$6:$F$405='Input_Meci'!E86))&gt;0)))</x:f>
      </x:c>
      <x:c r="AS86" s="11" t="str">
        <x:f>IF(AR86=0,"",SUMPRODUCT(('Istoric_Nativ'!$B$6:$B$405=B86)*('Istoric_Nativ'!$C$6:$C$405=BL86)*('Istoric_Nativ'!$P$6:$P$405=1)*('Istoric_Nativ'!$D$6:$D$405&lt;INT(G86))*((('Istoric_Nativ'!$E$6:$E$405='Input_Meci'!D86)+('Istoric_Nativ'!$F$6:$F$405='Input_Meci'!D86)+('Istoric_Nativ'!$E$6:$E$405='Input_Meci'!E86)+('Istoric_Nativ'!$F$6:$F$405='Input_Meci'!E86))&gt;0)*'Istoric_Nativ'!$Q$6:$Q$405)/AR86)</x:f>
      </x:c>
      <x:c r="AT86" s="11" t="str">
        <x:f>IF(AR86&lt;2,"",MAX(0,(SUMPRODUCT(('Istoric_Nativ'!$B$6:$B$405=B86)*('Istoric_Nativ'!$C$6:$C$405=BL86)*('Istoric_Nativ'!$P$6:$P$405=1)*('Istoric_Nativ'!$D$6:$D$405&lt;INT(G86))*((('Istoric_Nativ'!$E$6:$E$405='Input_Meci'!D86)+('Istoric_Nativ'!$F$6:$F$405='Input_Meci'!D86)+('Istoric_Nativ'!$E$6:$E$405='Input_Meci'!E86)+('Istoric_Nativ'!$F$6:$F$405='Input_Meci'!E86))&gt;0)*'Istoric_Nativ'!$R$6:$R$405)-AR86*AS86^2)/(AR86-1)))</x:f>
      </x:c>
      <x:c r="AU86" s="11" t="str">
        <x:f>IF(I86&lt;&gt;"PASS","",AT86/AS86)</x:f>
      </x:c>
      <x:c r="AV86" s="11" t="str">
        <x:f>IF(I86&lt;&gt;"PASS","",IF(AU86&lt;='Config_v6'!$B$10,"POISSON","NEGATIVE BINOMIAL"))</x:f>
      </x:c>
      <x:c r="AW86" s="11" t="str">
        <x:f>IF(I86&lt;&gt;"PASS","",IF(AV86="POISSON",9999,AS86/(AU86-1)))</x:f>
      </x:c>
      <x:c r="AX86" s="11" t="str">
        <x:f>IF(A86="","",MAX(1-'Config_v6'!$B$20,MIN(1+'Config_v6'!$B$20,1+0.02*(IF(AND(ISNUMBER('Input_Meci'!N86),'Input_Meci'!N86&gt;=0,'Input_Meci'!N86&lt;=200),'Input_Meci'!N86,12)/12-1)+0.02*(IF(AND(ISNUMBER('Input_Meci'!P86),'Input_Meci'!P86&gt;=0,'Input_Meci'!P86&lt;=200),'Input_Meci'!P86,3.5)/3.5-1)+0.02*(IF(AND(ISNUMBER('Input_Meci'!R86),'Input_Meci'!R86&gt;=0,'Input_Meci'!R86&lt;=200),'Input_Meci'!R86,18)/18-1)+0.02*((IF(AND(ISNUMBER('Input_Meci'!V86),'Input_Meci'!V86&gt;=0,'Input_Meci'!V86&lt;=10),'Input_Meci'!V86,5)-5)/5))))</x:f>
      </x:c>
      <x:c r="AY86" s="11" t="str">
        <x:f>IF(A86="","",MAX(1-'Config_v6'!$B$20,MIN(1+'Config_v6'!$B$20,1+0.02*(IF(AND(ISNUMBER('Input_Meci'!O86),'Input_Meci'!O86&gt;=0,'Input_Meci'!O86&lt;=200),'Input_Meci'!O86,12)/12-1)+0.02*(IF(AND(ISNUMBER('Input_Meci'!Q86),'Input_Meci'!Q86&gt;=0,'Input_Meci'!Q86&lt;=200),'Input_Meci'!Q86,3.5)/3.5-1)+0.02*(IF(AND(ISNUMBER('Input_Meci'!S86),'Input_Meci'!S86&gt;=0,'Input_Meci'!S86&lt;=200),'Input_Meci'!S86,18)/18-1)+0.02*((IF(AND(ISNUMBER('Input_Meci'!W86),'Input_Meci'!W86&gt;=0,'Input_Meci'!W86&lt;=10),'Input_Meci'!W86,5)-5)/5))))</x:f>
      </x:c>
      <x:c r="AZ86" s="11" t="str">
        <x:f>IF(A86="","",MAX(1-'Config_v6'!$B$21,MIN(1+'Config_v6'!$B$21,1+0.012*(IF('Input_Meci'!X86="",5,IF(ISNUMBER('Input_Meci'!X86),'Input_Meci'!X86,5))-5)+0.018*(IF('Input_Meci'!Z86="",5,IF(ISNUMBER('Input_Meci'!Z86),'Input_Meci'!Z86,5))-5)+0.012*(IF('Input_Meci'!AB86="",5,IF(ISNUMBER('Input_Meci'!AB86),'Input_Meci'!AB86,5))-5)+0.015*IF('Input_Meci'!AD86="",0,IF(ISNUMBER('Input_Meci'!AD86),'Input_Meci'!AD86,0))+0.02*IF('Input_Meci'!AF86="",0,IF(ISNUMBER('Input_Meci'!AF86),'Input_Meci'!AF86,0)))))</x:f>
      </x:c>
      <x:c r="BA86" s="11" t="str">
        <x:f>IF(A86="","",MAX(1-'Config_v6'!$B$21,MIN(1+'Config_v6'!$B$21,1+0.012*(IF('Input_Meci'!Y86="",5,IF(ISNUMBER('Input_Meci'!Y86),'Input_Meci'!Y86,5))-5)+0.018*(IF('Input_Meci'!AA86="",5,IF(ISNUMBER('Input_Meci'!AA86),'Input_Meci'!AA86,5))-5)+0.012*(IF('Input_Meci'!AC86="",5,IF(ISNUMBER('Input_Meci'!AC86),'Input_Meci'!AC86,5))-5)+0.015*IF('Input_Meci'!AE86="",0,IF(ISNUMBER('Input_Meci'!AE86),'Input_Meci'!AE86,0))+0.02*IF('Input_Meci'!AG86="",0,IF(ISNUMBER('Input_Meci'!AG86),'Input_Meci'!AG86,0)))))</x:f>
      </x:c>
      <x:c r="BB86" s="11" t="str">
        <x:f>IF(I86&lt;&gt;"PASS","",(AVERAGE(AF86,AM86)*'Config_v6'!$B$4+AVERAGE(AH86,AO86)*'Config_v6'!$B$5+AVERAGE(AJ86,AQ86)*'Config_v6'!$B$6)*AX86*AZ86)</x:f>
      </x:c>
      <x:c r="BC86" s="11" t="str">
        <x:f>IF(I86&lt;&gt;"PASS","",(AVERAGE(AL86,AG86)*'Config_v6'!$B$4+AVERAGE(AN86,AI86)*'Config_v6'!$B$5+AVERAGE(AP86,AK86)*'Config_v6'!$B$6)*AY86*BA86)</x:f>
      </x:c>
      <x:c r="BD86" s="11" t="str">
        <x:f>IF(I86&lt;&gt;"PASS","",BB86+BC86)</x:f>
      </x:c>
      <x:c r="BE86" s="11" t="str">
        <x:f>IF(A86="","",10-SUM(IF(AND(ISNUMBER('Input_Meci'!N86),'Input_Meci'!N86&gt;=0,'Input_Meci'!N86&lt;=200),1,0),IF(AND(ISNUMBER('Input_Meci'!O86),'Input_Meci'!O86&gt;=0,'Input_Meci'!O86&lt;=200),1,0),IF(AND(ISNUMBER('Input_Meci'!P86),'Input_Meci'!P86&gt;=0,'Input_Meci'!P86&lt;=200),1,0),IF(AND(ISNUMBER('Input_Meci'!Q86),'Input_Meci'!Q86&gt;=0,'Input_Meci'!Q86&lt;=200),1,0),IF(AND(ISNUMBER('Input_Meci'!R86),'Input_Meci'!R86&gt;=0,'Input_Meci'!R86&lt;=200),1,0),IF(AND(ISNUMBER('Input_Meci'!S86),'Input_Meci'!S86&gt;=0,'Input_Meci'!S86&lt;=200),1,0),IF(AND(ISNUMBER('Input_Meci'!T86),'Input_Meci'!T86&gt;=0,'Input_Meci'!T86&lt;=100),1,0),IF(AND(ISNUMBER('Input_Meci'!U86),'Input_Meci'!U86&gt;=0,'Input_Meci'!U86&lt;=100),1,0),IF(AND(ISNUMBER('Input_Meci'!V86),'Input_Meci'!V86&gt;=0,'Input_Meci'!V86&lt;=10),1,0),IF(AND(ISNUMBER('Input_Meci'!W86),'Input_Meci'!W86&gt;=0,'Input_Meci'!W86&lt;=10),1,0)))</x:f>
      </x:c>
      <x:c r="BF86" s="11" t="str">
        <x:f>IF(I86&lt;&gt;"PASS","",MAX(0,MIN(IF(OR(M86="YES",BL86&lt;&gt;C86),'Config_v6'!$B$34,100),ROUND(40+25*MIN(1,MIN(N86,Q86)/'Config_v6'!$B$7)*MIN(1,MIN(O86,R86)/'Config_v6'!$B$8)*MIN(1,MIN(P86,S86)/'Config_v6'!$B$9)+MAX(0,15-2*ABS(AF86-AJ86)-2*ABS(AL86-AP86))+IF(AU86&lt;='Config_v6'!$B$10,15,IF(AU86&lt;='Config_v6'!$B$11,13,IF(AU86&lt;='Config_v6'!$B$12,10,IF(AU86&lt;='Config_v6'!$B$13,6,0))))+5-BE86/10*'Config_v6'!$B$38,0))))</x:f>
      </x:c>
      <x:c r="BG86" s="11" t="str">
        <x:f>IF(I86&lt;&gt;"PASS","",MIN(1,'Config_v6'!$B$14*(0.7+0.3*MIN(1,AR86/'Config_v6'!$B$15))*IF(AU86&lt;='Config_v6'!$B$10,1,IF(AU86&lt;='Config_v6'!$B$11,0.95,IF(AU86&lt;='Config_v6'!$B$12,0.88,0.78)))*(0.75+0.25*BF86/100)))</x:f>
      </x:c>
      <x:c r="BH86" s="11" t="str">
        <x:f>IF(I86&lt;&gt;"PASS","",MIN(1,(ABS(AZ86-1)+ABS(BA86-1))*3))</x:f>
      </x:c>
      <x:c r="BI86" s="2" t="str">
        <x:f>IF(A86="","",IF(AND(OR('Input_Meci'!X86="",AND(ISNUMBER('Input_Meci'!X86),'Input_Meci'!X86&gt;=0,'Input_Meci'!X86&lt;=10)),OR('Input_Meci'!Y86="",AND(ISNUMBER('Input_Meci'!Y86),'Input_Meci'!Y86&gt;=0,'Input_Meci'!Y86&lt;=10)),OR('Input_Meci'!Z86="",AND(ISNUMBER('Input_Meci'!Z86),'Input_Meci'!Z86&gt;=0,'Input_Meci'!Z86&lt;=10)),OR('Input_Meci'!AA86="",AND(ISNUMBER('Input_Meci'!AA86),'Input_Meci'!AA86&gt;=0,'Input_Meci'!AA86&lt;=10)),OR('Input_Meci'!AB86="",AND(ISNUMBER('Input_Meci'!AB86),'Input_Meci'!AB86&gt;=0,'Input_Meci'!AB86&lt;=10)),OR('Input_Meci'!AC86="",AND(ISNUMBER('Input_Meci'!AC86),'Input_Meci'!AC86&gt;=0,'Input_Meci'!AC86&lt;=10)),OR('Input_Meci'!AD86="",AND(ISNUMBER('Input_Meci'!AD86),'Input_Meci'!AD86&gt;=-2,'Input_Meci'!AD86&lt;=2)),OR('Input_Meci'!AE86="",AND(ISNUMBER('Input_Meci'!AE86),'Input_Meci'!AE86&gt;=-2,'Input_Meci'!AE86&lt;=2)),OR('Input_Meci'!AF86="",AND(ISNUMBER('Input_Meci'!AF86),'Input_Meci'!AF86&gt;=-2,'Input_Meci'!AF86&lt;=2)),OR('Input_Meci'!AG86="",AND(ISNUMBER('Input_Meci'!AG86),'Input_Meci'!AG86&gt;=-2,'Input_Meci'!AG86&lt;=2))),"VALID","INVALID"))</x:f>
      </x:c>
      <x:c r="BJ86" s="2" t="n">
        <x:f>IF(A86="",0,SUM('Core_Nativ'!S966:S971))</x:f>
        <x:v>0</x:v>
      </x:c>
      <x:c r="BK86" s="2" t="str">
        <x:f>'Config_v6'!$B$40</x:f>
        <x:v>VALID</x:v>
      </x:c>
      <x:c r="BL86" s="2" t="str">
        <x:f>IF(A86="","",IF(SUMPRODUCT(('Istoric_Nativ'!$B$6:$B$405=B86)*('Istoric_Nativ'!$C$6:$C$405=C86)*('Istoric_Nativ'!$P$6:$P$405=1)*('Istoric_Nativ'!$D$6:$D$405&lt;INT(G86))*((('Istoric_Nativ'!$E$6:$E$405='Input_Meci'!D86)+('Istoric_Nativ'!$F$6:$F$405='Input_Meci'!D86)+('Istoric_Nativ'!$E$6:$E$405='Input_Meci'!E86)+('Istoric_Nativ'!$F$6:$F$405='Input_Meci'!E86))&gt;0))&gt;='Config_v6'!$B$41,C86,IF(AND('Input_Meci'!L86="YES",'Input_Meci'!K86&lt;&gt;"",'Input_Meci'!K86&lt;C86,COUNTIF('Core_Nativ'!R972:R977,"CLOSED")=6,SUM('Core_Nativ'!S972:S977)=0),'Input_Meci'!K86,C86)))</x:f>
      </x:c>
      <x:c r="BM86" s="9" t="n">
        <x:f>IF(OR(A86="",N86=0),0,LARGE(_xlfn._xlws.FILTER('Istoric_Nativ'!$D$6:$D$405,('Istoric_Nativ'!$B$6:$B$405=B86)*('Istoric_Nativ'!$C$6:$C$405=C86)*('Istoric_Nativ'!$P$6:$P$405=1)*('Istoric_Nativ'!$D$6:$D$405&lt;INT(G86))*((('Istoric_Nativ'!$E$6:$E$405='Input_Meci'!D86)+('Istoric_Nativ'!$F$6:$F$405='Input_Meci'!D86))&gt;0)),MIN(10,N86)))</x:f>
        <x:v>0</x:v>
      </x:c>
      <x:c r="BN86" s="9" t="n">
        <x:f>IF(OR(A86="",Q86=0),0,LARGE(_xlfn._xlws.FILTER('Istoric_Nativ'!$D$6:$D$405,('Istoric_Nativ'!$B$6:$B$405=B86)*('Istoric_Nativ'!$C$6:$C$405=C86)*('Istoric_Nativ'!$P$6:$P$405=1)*('Istoric_Nativ'!$D$6:$D$405&lt;INT(G86))*((('Istoric_Nativ'!$E$6:$E$405='Input_Meci'!E86)+('Istoric_Nativ'!$F$6:$F$405='Input_Meci'!E86))&gt;0)),MIN(10,Q86)))</x:f>
        <x:v>0</x:v>
      </x:c>
      <x:c r="BO86" s="9" t="n">
        <x:f>IF(OR(A86="",N86=0),0,LARGE(_xlfn._xlws.FILTER('Istoric_Nativ'!$D$6:$D$405,('Istoric_Nativ'!$B$6:$B$405=B86)*('Istoric_Nativ'!$C$6:$C$405=C86)*('Istoric_Nativ'!$P$6:$P$405=1)*('Istoric_Nativ'!$D$6:$D$405&lt;INT(G86))*((('Istoric_Nativ'!$E$6:$E$405='Input_Meci'!D86)+('Istoric_Nativ'!$F$6:$F$405='Input_Meci'!D86))&gt;0)),MIN(20,N86)))</x:f>
        <x:v>0</x:v>
      </x:c>
      <x:c r="BP86" s="9" t="n">
        <x:f>IF(OR(A86="",Q86=0),0,LARGE(_xlfn._xlws.FILTER('Istoric_Nativ'!$D$6:$D$405,('Istoric_Nativ'!$B$6:$B$405=B86)*('Istoric_Nativ'!$C$6:$C$405=C86)*('Istoric_Nativ'!$P$6:$P$405=1)*('Istoric_Nativ'!$D$6:$D$405&lt;INT(G86))*((('Istoric_Nativ'!$E$6:$E$405='Input_Meci'!E86)+('Istoric_Nativ'!$F$6:$F$405='Input_Meci'!E86))&gt;0)),MIN(20,Q86)))</x:f>
        <x:v>0</x:v>
      </x:c>
      <x:c r="BQ86" s="2" t="str">
        <x:f>IF(A86="","",IF(AND(COUNTIF(MatchesTable[Match_ID],A86)=1,COUNTIFS(MatchesTable[League],B86,MatchesTable[Season],C86,MatchesTable[Home],'Input_Meci'!D86,MatchesTable[Away],'Input_Meci'!E86,MatchesTable[Kickoff_UTC],F86)=1,B86&lt;&gt;"",C86&lt;&gt;"",'Input_Meci'!D86&lt;&gt;"",'Input_Meci'!E86&lt;&gt;"",'Input_Meci'!D86&lt;&gt;'Input_Meci'!E86,ISNUMBER(F86),ISNUMBER(G86),G86&lt;F86,OR(E86="LIVE",E86="REPLAY"),OR('Input_Meci'!L86="YES",'Input_Meci'!L86="NO",'Input_Meci'!L86="")),"VALID","INVALID"))</x:f>
      </x:c>
      <x:c r="BR86" s="2" t="n">
        <x:f>IF(I86&lt;&gt;"PASS",0,SUMPRODUCT(('Istoric_Nativ'!$B$6:$B$405='Input_Meci'!B86)*('Istoric_Nativ'!$C$6:$C$405='Input_Meci'!C86)*('Istoric_Nativ'!$P$6:$P$405=1)*('Istoric_Nativ'!$D$6:$D$405&lt;INT('Input_Meci'!G86))*((('Istoric_Nativ'!$E$6:$E$405='Input_Meci'!D86)+('Istoric_Nativ'!$F$6:$F$405='Input_Meci'!E86))&gt;0)))</x:f>
        <x:v>0</x:v>
      </x:c>
      <x:c r="BS86" s="2" t="n">
        <x:f>IF(I86&lt;&gt;"PASS",0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BM86)+((('Istoric_Nativ'!$E$6:$E$405='Input_Meci'!E86)+('Istoric_Nativ'!$F$6:$F$405='Input_Meci'!E86))&gt;0)*('Istoric_Nativ'!$D$6:$D$405&gt;=BN86))&gt;0)))</x:f>
        <x:v>0</x:v>
      </x:c>
      <x:c r="BT86" s="2" t="n">
        <x:f>IF(I86&lt;&gt;"PASS",0,SUMPRODUCT(('Istoric_Nativ'!$B$6:$B$405='Input_Meci'!B86)*('Istoric_Nativ'!$C$6:$C$405='Input_Meci'!C86)*('Istoric_Nativ'!$P$6:$P$405=1)*('Istoric_Nativ'!$D$6:$D$405&lt;INT('Input_Meci'!G86))*((((('Istoric_Nativ'!$E$6:$E$405='Input_Meci'!D86)+('Istoric_Nativ'!$F$6:$F$405='Input_Meci'!D86))&gt;0)*('Istoric_Nativ'!$D$6:$D$405&gt;=BO86)+((('Istoric_Nativ'!$E$6:$E$405='Input_Meci'!E86)+('Istoric_Nativ'!$F$6:$F$405='Input_Meci'!E86))&gt;0)*('Istoric_Nativ'!$D$6:$D$405&gt;=BP86))&gt;0)))</x:f>
        <x:v>0</x:v>
      </x:c>
    </x:row>
    <x:row r="87" ht="21" customHeight="1">
      <x:c r="A87" s="2" t="str">
        <x:f>IF('Input_Meci'!A87="","",'Input_Meci'!A87)</x:f>
      </x:c>
      <x:c r="B87" s="2" t="str">
        <x:f>IF(A87="","",'Input_Meci'!B87)</x:f>
      </x:c>
      <x:c r="C87" s="2" t="str">
        <x:f>IF(A87="","",'Input_Meci'!C87)</x:f>
      </x:c>
      <x:c r="D87" s="2" t="str">
        <x:f>IF(A87="","",'Input_Meci'!D87&amp;" – "&amp;'Input_Meci'!E87)</x:f>
      </x:c>
      <x:c r="E87" s="2" t="str">
        <x:f>IF(A87="","",'Input_Meci'!H87)</x:f>
      </x:c>
      <x:c r="F87" s="9" t="str">
        <x:f>IF(A87="","",'Input_Meci'!F87)</x:f>
      </x:c>
      <x:c r="G87" s="9" t="str">
        <x:f>IF(A87="","",'Input_Meci'!G87)</x:f>
      </x:c>
      <x:c r="H87" s="2" t="str">
        <x:f>IF(A87="","",IF(BQ87&lt;&gt;"VALID","NOT RELEASED",IF(AND(OR('Input_Meci'!I87="NOT AVAILABLE",'Input_Meci'!I87="SOURCE CONFLICT"),'Input_Meci'!J87&lt;&gt;""),"READY",IF(OR(NOT(OR('Input_Meci'!I87="AUTO",'Input_Meci'!I87="")),COUNTIF('Core_Nativ'!R978:R983,"CLOSED")&lt;&gt;6,BJ87&gt;0),"NOT RELEASED","READY"))))</x:f>
      </x:c>
      <x:c r="I87" s="2" t="str">
        <x:f>IF(A87="","",IF(H87&lt;&gt;"READY","NOT RELEASED",IF(AND(NOT(OR('Input_Meci'!I87="NOT AVAILABLE",'Input_Meci'!I87="SOURCE CONFLICT")),L87=12,AR87&gt;=2,AS87&gt;0,ISNUMBER(AT87),BI87="VALID",BK87="VALID"),"PASS","FAIL")))</x:f>
      </x:c>
      <x:c r="J87" s="2" t="str">
        <x:f>IF(A87="","",IF(BQ87&lt;&gt;"VALID","Verifica ID, echipe, mod si cutoff &lt; kickoff",IF(H87&lt;&gt;"READY",IF('Input_Meci'!I87="ACCESS BLOCKED","Acces blocat: reia sursele",IF(BJ87&gt;0,"Istoric invalid sau conflict: verifica randurile native","Surse neinchise / post-cutoff / dovezi incomplete")),IF(OR('Input_Meci'!I87="NOT AVAILABLE",'Input_Meci'!I87="SOURCE CONFLICT"),'Input_Meci'!I87,IF(BK87&lt;&gt;"VALID","Parametri invalizi",IF(L87&lt;&gt;12,"Core / sample / prior insuficient",IF(AR87&lt;2,"N insuficient pentru dispersie",IF(AS87&lt;=0,"Media istorica trebuie sa fie pozitiva",IF(BI87&lt;&gt;"VALID","Context invalid","READY")))))))))</x:f>
      </x:c>
      <x:c r="K87" s="2" t="str">
        <x:f>IF(A87="","",COUNT(T87:AE87))</x:f>
      </x:c>
      <x:c r="L87" s="2" t="str">
        <x:f>IF(A87="","",COUNT(AF87:AQ87))</x:f>
      </x:c>
      <x:c r="M87" s="2" t="str">
        <x:f>IF(A87="","",IF(OR('Core_Nativ'!M978&lt;'Core_Nativ'!P978,'Core_Nativ'!M979&lt;'Core_Nativ'!P979,'Core_Nativ'!M980&lt;'Core_Nativ'!P980,'Core_Nativ'!M981&lt;'Core_Nativ'!P981,'Core_Nativ'!M982&lt;'Core_Nativ'!P982,'Core_Nativ'!M983&lt;'Core_Nativ'!P983),"YES","NO"))</x:f>
      </x:c>
      <x:c r="N87" s="2" t="str">
        <x:f>IF(A87="","",'Core_Nativ'!M978)</x:f>
      </x:c>
      <x:c r="O87" s="2" t="str">
        <x:f>IF(A87="","",'Core_Nativ'!M979)</x:f>
      </x:c>
      <x:c r="P87" s="2" t="str">
        <x:f>IF(A87="","",'Core_Nativ'!M980)</x:f>
      </x:c>
      <x:c r="Q87" s="2" t="str">
        <x:f>IF(A87="","",'Core_Nativ'!M981)</x:f>
      </x:c>
      <x:c r="R87" s="2" t="str">
        <x:f>IF(A87="","",'Core_Nativ'!M982)</x:f>
      </x:c>
      <x:c r="S87" s="2" t="str">
        <x:f>IF(A87="","",'Core_Nativ'!M983)</x:f>
      </x:c>
      <x:c r="T87" s="11" t="str">
        <x:f>IF(OR(A87="",'Core_Nativ'!M978=0),"",'Core_Nativ'!N978)</x:f>
      </x:c>
      <x:c r="U87" s="11" t="str">
        <x:f>IF(OR(A87="",'Core_Nativ'!M978=0),"",'Core_Nativ'!O978)</x:f>
      </x:c>
      <x:c r="V87" s="11" t="str">
        <x:f>IF(OR(A87="",'Core_Nativ'!M979=0),"",'Core_Nativ'!N979)</x:f>
      </x:c>
      <x:c r="W87" s="11" t="str">
        <x:f>IF(OR(A87="",'Core_Nativ'!M979=0),"",'Core_Nativ'!O979)</x:f>
      </x:c>
      <x:c r="X87" s="11" t="str">
        <x:f>IF(OR(A87="",'Core_Nativ'!M980=0),"",'Core_Nativ'!N980)</x:f>
      </x:c>
      <x:c r="Y87" s="11" t="str">
        <x:f>IF(OR(A87="",'Core_Nativ'!M980=0),"",'Core_Nativ'!O980)</x:f>
      </x:c>
      <x:c r="Z87" s="11" t="str">
        <x:f>IF(OR(A87="",'Core_Nativ'!M981=0),"",'Core_Nativ'!N981)</x:f>
      </x:c>
      <x:c r="AA87" s="11" t="str">
        <x:f>IF(OR(A87="",'Core_Nativ'!M981=0),"",'Core_Nativ'!O981)</x:f>
      </x:c>
      <x:c r="AB87" s="11" t="str">
        <x:f>IF(OR(A87="",'Core_Nativ'!M982=0),"",'Core_Nativ'!N982)</x:f>
      </x:c>
      <x:c r="AC87" s="11" t="str">
        <x:f>IF(OR(A87="",'Core_Nativ'!M982=0),"",'Core_Nativ'!O982)</x:f>
      </x:c>
      <x:c r="AD87" s="11" t="str">
        <x:f>IF(OR(A87="",'Core_Nativ'!M983=0),"",'Core_Nativ'!N983)</x:f>
      </x:c>
      <x:c r="AE87" s="11" t="str">
        <x:f>IF(OR(A87="",'Core_Nativ'!M983=0),"",'Core_Nativ'!O983)</x:f>
      </x:c>
      <x:c r="AF87" s="11" t="str">
        <x:f>IF(A87="","",IF(AND('Core_Nativ'!R978="CLOSED",'Core_Nativ'!S978=0),IF('Core_Nativ'!M978&gt;='Core_Nativ'!P978,'Core_Nativ'!N978,IF(AND('Input_Meci'!L87="YES",'Input_Meci'!K87&lt;&gt;"",'Input_Meci'!K87&lt;C87,'Core_Nativ'!T984="DERIVED",'Core_Nativ'!M984&gt;='Core_Nativ'!P978),MIN(1,'Core_Nativ'!M978/'Core_Nativ'!P978)*IF('Core_Nativ'!M978=0,0,'Core_Nativ'!N978)+(1-MIN(1,'Core_Nativ'!M978/'Core_Nativ'!P978))*'Core_Nativ'!N984,"")),""))</x:f>
      </x:c>
      <x:c r="AG87" s="11" t="str">
        <x:f>IF(A87="","",IF(AND('Core_Nativ'!R978="CLOSED",'Core_Nativ'!S978=0),IF('Core_Nativ'!M978&gt;='Core_Nativ'!P978,'Core_Nativ'!O978,IF(AND('Input_Meci'!L87="YES",'Input_Meci'!K87&lt;&gt;"",'Input_Meci'!K87&lt;C87,'Core_Nativ'!T984="DERIVED",'Core_Nativ'!M984&gt;='Core_Nativ'!P978),MIN(1,'Core_Nativ'!M978/'Core_Nativ'!P978)*IF('Core_Nativ'!M978=0,0,'Core_Nativ'!O978)+(1-MIN(1,'Core_Nativ'!M978/'Core_Nativ'!P978))*'Core_Nativ'!O984,"")),""))</x:f>
      </x:c>
      <x:c r="AH87" s="11" t="str">
        <x:f>IF(A87="","",IF(AND('Core_Nativ'!R979="CLOSED",'Core_Nativ'!S979=0),IF('Core_Nativ'!M979&gt;='Core_Nativ'!P979,'Core_Nativ'!N979,IF(AND('Input_Meci'!L87="YES",'Input_Meci'!K87&lt;&gt;"",'Input_Meci'!K87&lt;C87,'Core_Nativ'!T985="DERIVED",'Core_Nativ'!M985&gt;='Core_Nativ'!P979),MIN(1,'Core_Nativ'!M979/'Core_Nativ'!P979)*IF('Core_Nativ'!M979=0,0,'Core_Nativ'!N979)+(1-MIN(1,'Core_Nativ'!M979/'Core_Nativ'!P979))*'Core_Nativ'!N985,"")),""))</x:f>
      </x:c>
      <x:c r="AI87" s="11" t="str">
        <x:f>IF(A87="","",IF(AND('Core_Nativ'!R979="CLOSED",'Core_Nativ'!S979=0),IF('Core_Nativ'!M979&gt;='Core_Nativ'!P979,'Core_Nativ'!O979,IF(AND('Input_Meci'!L87="YES",'Input_Meci'!K87&lt;&gt;"",'Input_Meci'!K87&lt;C87,'Core_Nativ'!T985="DERIVED",'Core_Nativ'!M985&gt;='Core_Nativ'!P979),MIN(1,'Core_Nativ'!M979/'Core_Nativ'!P979)*IF('Core_Nativ'!M979=0,0,'Core_Nativ'!O979)+(1-MIN(1,'Core_Nativ'!M979/'Core_Nativ'!P979))*'Core_Nativ'!O985,"")),""))</x:f>
      </x:c>
      <x:c r="AJ87" s="11" t="str">
        <x:f>IF(A87="","",IF(AND('Core_Nativ'!R980="CLOSED",'Core_Nativ'!S980=0),IF('Core_Nativ'!M980&gt;='Core_Nativ'!P980,'Core_Nativ'!N980,IF(AND('Input_Meci'!L87="YES",'Input_Meci'!K87&lt;&gt;"",'Input_Meci'!K87&lt;C87,'Core_Nativ'!T986="DERIVED",'Core_Nativ'!M986&gt;='Core_Nativ'!P980),MIN(1,'Core_Nativ'!M980/'Core_Nativ'!P980)*IF('Core_Nativ'!M980=0,0,'Core_Nativ'!N980)+(1-MIN(1,'Core_Nativ'!M980/'Core_Nativ'!P980))*'Core_Nativ'!N986,"")),""))</x:f>
      </x:c>
      <x:c r="AK87" s="11" t="str">
        <x:f>IF(A87="","",IF(AND('Core_Nativ'!R980="CLOSED",'Core_Nativ'!S980=0),IF('Core_Nativ'!M980&gt;='Core_Nativ'!P980,'Core_Nativ'!O980,IF(AND('Input_Meci'!L87="YES",'Input_Meci'!K87&lt;&gt;"",'Input_Meci'!K87&lt;C87,'Core_Nativ'!T986="DERIVED",'Core_Nativ'!M986&gt;='Core_Nativ'!P980),MIN(1,'Core_Nativ'!M980/'Core_Nativ'!P980)*IF('Core_Nativ'!M980=0,0,'Core_Nativ'!O980)+(1-MIN(1,'Core_Nativ'!M980/'Core_Nativ'!P980))*'Core_Nativ'!O986,"")),""))</x:f>
      </x:c>
      <x:c r="AL87" s="11" t="str">
        <x:f>IF(A87="","",IF(AND('Core_Nativ'!R981="CLOSED",'Core_Nativ'!S981=0),IF('Core_Nativ'!M981&gt;='Core_Nativ'!P981,'Core_Nativ'!N981,IF(AND('Input_Meci'!L87="YES",'Input_Meci'!K87&lt;&gt;"",'Input_Meci'!K87&lt;C87,'Core_Nativ'!T987="DERIVED",'Core_Nativ'!M987&gt;='Core_Nativ'!P981),MIN(1,'Core_Nativ'!M981/'Core_Nativ'!P981)*IF('Core_Nativ'!M981=0,0,'Core_Nativ'!N981)+(1-MIN(1,'Core_Nativ'!M981/'Core_Nativ'!P981))*'Core_Nativ'!N987,"")),""))</x:f>
      </x:c>
      <x:c r="AM87" s="11" t="str">
        <x:f>IF(A87="","",IF(AND('Core_Nativ'!R981="CLOSED",'Core_Nativ'!S981=0),IF('Core_Nativ'!M981&gt;='Core_Nativ'!P981,'Core_Nativ'!O981,IF(AND('Input_Meci'!L87="YES",'Input_Meci'!K87&lt;&gt;"",'Input_Meci'!K87&lt;C87,'Core_Nativ'!T987="DERIVED",'Core_Nativ'!M987&gt;='Core_Nativ'!P981),MIN(1,'Core_Nativ'!M981/'Core_Nativ'!P981)*IF('Core_Nativ'!M981=0,0,'Core_Nativ'!O981)+(1-MIN(1,'Core_Nativ'!M981/'Core_Nativ'!P981))*'Core_Nativ'!O987,"")),""))</x:f>
      </x:c>
      <x:c r="AN87" s="11" t="str">
        <x:f>IF(A87="","",IF(AND('Core_Nativ'!R982="CLOSED",'Core_Nativ'!S982=0),IF('Core_Nativ'!M982&gt;='Core_Nativ'!P982,'Core_Nativ'!N982,IF(AND('Input_Meci'!L87="YES",'Input_Meci'!K87&lt;&gt;"",'Input_Meci'!K87&lt;C87,'Core_Nativ'!T988="DERIVED",'Core_Nativ'!M988&gt;='Core_Nativ'!P982),MIN(1,'Core_Nativ'!M982/'Core_Nativ'!P982)*IF('Core_Nativ'!M982=0,0,'Core_Nativ'!N982)+(1-MIN(1,'Core_Nativ'!M982/'Core_Nativ'!P982))*'Core_Nativ'!N988,"")),""))</x:f>
      </x:c>
      <x:c r="AO87" s="11" t="str">
        <x:f>IF(A87="","",IF(AND('Core_Nativ'!R982="CLOSED",'Core_Nativ'!S982=0),IF('Core_Nativ'!M982&gt;='Core_Nativ'!P982,'Core_Nativ'!O982,IF(AND('Input_Meci'!L87="YES",'Input_Meci'!K87&lt;&gt;"",'Input_Meci'!K87&lt;C87,'Core_Nativ'!T988="DERIVED",'Core_Nativ'!M988&gt;='Core_Nativ'!P982),MIN(1,'Core_Nativ'!M982/'Core_Nativ'!P982)*IF('Core_Nativ'!M982=0,0,'Core_Nativ'!O982)+(1-MIN(1,'Core_Nativ'!M982/'Core_Nativ'!P982))*'Core_Nativ'!O988,"")),""))</x:f>
      </x:c>
      <x:c r="AP87" s="11" t="str">
        <x:f>IF(A87="","",IF(AND('Core_Nativ'!R983="CLOSED",'Core_Nativ'!S983=0),IF('Core_Nativ'!M983&gt;='Core_Nativ'!P983,'Core_Nativ'!N983,IF(AND('Input_Meci'!L87="YES",'Input_Meci'!K87&lt;&gt;"",'Input_Meci'!K87&lt;C87,'Core_Nativ'!T989="DERIVED",'Core_Nativ'!M989&gt;='Core_Nativ'!P983),MIN(1,'Core_Nativ'!M983/'Core_Nativ'!P983)*IF('Core_Nativ'!M983=0,0,'Core_Nativ'!N983)+(1-MIN(1,'Core_Nativ'!M983/'Core_Nativ'!P983))*'Core_Nativ'!N989,"")),""))</x:f>
      </x:c>
      <x:c r="AQ87" s="11" t="str">
        <x:f>IF(A87="","",IF(AND('Core_Nativ'!R983="CLOSED",'Core_Nativ'!S983=0),IF('Core_Nativ'!M983&gt;='Core_Nativ'!P983,'Core_Nativ'!O983,IF(AND('Input_Meci'!L87="YES",'Input_Meci'!K87&lt;&gt;"",'Input_Meci'!K87&lt;C87,'Core_Nativ'!T989="DERIVED",'Core_Nativ'!M989&gt;='Core_Nativ'!P983),MIN(1,'Core_Nativ'!M983/'Core_Nativ'!P983)*IF('Core_Nativ'!M983=0,0,'Core_Nativ'!O983)+(1-MIN(1,'Core_Nativ'!M983/'Core_Nativ'!P983))*'Core_Nativ'!O989,"")),""))</x:f>
      </x:c>
      <x:c r="AR87" s="11" t="str">
        <x:f>IF(A87="","",SUMPRODUCT(('Istoric_Nativ'!$B$6:$B$405=B87)*('Istoric_Nativ'!$C$6:$C$405=BL87)*('Istoric_Nativ'!$P$6:$P$405=1)*('Istoric_Nativ'!$D$6:$D$405&lt;INT(G87))*((('Istoric_Nativ'!$E$6:$E$405='Input_Meci'!D87)+('Istoric_Nativ'!$F$6:$F$405='Input_Meci'!D87)+('Istoric_Nativ'!$E$6:$E$405='Input_Meci'!E87)+('Istoric_Nativ'!$F$6:$F$405='Input_Meci'!E87))&gt;0)))</x:f>
      </x:c>
      <x:c r="AS87" s="11" t="str">
        <x:f>IF(AR87=0,"",SUMPRODUCT(('Istoric_Nativ'!$B$6:$B$405=B87)*('Istoric_Nativ'!$C$6:$C$405=BL87)*('Istoric_Nativ'!$P$6:$P$405=1)*('Istoric_Nativ'!$D$6:$D$405&lt;INT(G87))*((('Istoric_Nativ'!$E$6:$E$405='Input_Meci'!D87)+('Istoric_Nativ'!$F$6:$F$405='Input_Meci'!D87)+('Istoric_Nativ'!$E$6:$E$405='Input_Meci'!E87)+('Istoric_Nativ'!$F$6:$F$405='Input_Meci'!E87))&gt;0)*'Istoric_Nativ'!$Q$6:$Q$405)/AR87)</x:f>
      </x:c>
      <x:c r="AT87" s="11" t="str">
        <x:f>IF(AR87&lt;2,"",MAX(0,(SUMPRODUCT(('Istoric_Nativ'!$B$6:$B$405=B87)*('Istoric_Nativ'!$C$6:$C$405=BL87)*('Istoric_Nativ'!$P$6:$P$405=1)*('Istoric_Nativ'!$D$6:$D$405&lt;INT(G87))*((('Istoric_Nativ'!$E$6:$E$405='Input_Meci'!D87)+('Istoric_Nativ'!$F$6:$F$405='Input_Meci'!D87)+('Istoric_Nativ'!$E$6:$E$405='Input_Meci'!E87)+('Istoric_Nativ'!$F$6:$F$405='Input_Meci'!E87))&gt;0)*'Istoric_Nativ'!$R$6:$R$405)-AR87*AS87^2)/(AR87-1)))</x:f>
      </x:c>
      <x:c r="AU87" s="11" t="str">
        <x:f>IF(I87&lt;&gt;"PASS","",AT87/AS87)</x:f>
      </x:c>
      <x:c r="AV87" s="11" t="str">
        <x:f>IF(I87&lt;&gt;"PASS","",IF(AU87&lt;='Config_v6'!$B$10,"POISSON","NEGATIVE BINOMIAL"))</x:f>
      </x:c>
      <x:c r="AW87" s="11" t="str">
        <x:f>IF(I87&lt;&gt;"PASS","",IF(AV87="POISSON",9999,AS87/(AU87-1)))</x:f>
      </x:c>
      <x:c r="AX87" s="11" t="str">
        <x:f>IF(A87="","",MAX(1-'Config_v6'!$B$20,MIN(1+'Config_v6'!$B$20,1+0.02*(IF(AND(ISNUMBER('Input_Meci'!N87),'Input_Meci'!N87&gt;=0,'Input_Meci'!N87&lt;=200),'Input_Meci'!N87,12)/12-1)+0.02*(IF(AND(ISNUMBER('Input_Meci'!P87),'Input_Meci'!P87&gt;=0,'Input_Meci'!P87&lt;=200),'Input_Meci'!P87,3.5)/3.5-1)+0.02*(IF(AND(ISNUMBER('Input_Meci'!R87),'Input_Meci'!R87&gt;=0,'Input_Meci'!R87&lt;=200),'Input_Meci'!R87,18)/18-1)+0.02*((IF(AND(ISNUMBER('Input_Meci'!V87),'Input_Meci'!V87&gt;=0,'Input_Meci'!V87&lt;=10),'Input_Meci'!V87,5)-5)/5))))</x:f>
      </x:c>
      <x:c r="AY87" s="11" t="str">
        <x:f>IF(A87="","",MAX(1-'Config_v6'!$B$20,MIN(1+'Config_v6'!$B$20,1+0.02*(IF(AND(ISNUMBER('Input_Meci'!O87),'Input_Meci'!O87&gt;=0,'Input_Meci'!O87&lt;=200),'Input_Meci'!O87,12)/12-1)+0.02*(IF(AND(ISNUMBER('Input_Meci'!Q87),'Input_Meci'!Q87&gt;=0,'Input_Meci'!Q87&lt;=200),'Input_Meci'!Q87,3.5)/3.5-1)+0.02*(IF(AND(ISNUMBER('Input_Meci'!S87),'Input_Meci'!S87&gt;=0,'Input_Meci'!S87&lt;=200),'Input_Meci'!S87,18)/18-1)+0.02*((IF(AND(ISNUMBER('Input_Meci'!W87),'Input_Meci'!W87&gt;=0,'Input_Meci'!W87&lt;=10),'Input_Meci'!W87,5)-5)/5))))</x:f>
      </x:c>
      <x:c r="AZ87" s="11" t="str">
        <x:f>IF(A87="","",MAX(1-'Config_v6'!$B$21,MIN(1+'Config_v6'!$B$21,1+0.012*(IF('Input_Meci'!X87="",5,IF(ISNUMBER('Input_Meci'!X87),'Input_Meci'!X87,5))-5)+0.018*(IF('Input_Meci'!Z87="",5,IF(ISNUMBER('Input_Meci'!Z87),'Input_Meci'!Z87,5))-5)+0.012*(IF('Input_Meci'!AB87="",5,IF(ISNUMBER('Input_Meci'!AB87),'Input_Meci'!AB87,5))-5)+0.015*IF('Input_Meci'!AD87="",0,IF(ISNUMBER('Input_Meci'!AD87),'Input_Meci'!AD87,0))+0.02*IF('Input_Meci'!AF87="",0,IF(ISNUMBER('Input_Meci'!AF87),'Input_Meci'!AF87,0)))))</x:f>
      </x:c>
      <x:c r="BA87" s="11" t="str">
        <x:f>IF(A87="","",MAX(1-'Config_v6'!$B$21,MIN(1+'Config_v6'!$B$21,1+0.012*(IF('Input_Meci'!Y87="",5,IF(ISNUMBER('Input_Meci'!Y87),'Input_Meci'!Y87,5))-5)+0.018*(IF('Input_Meci'!AA87="",5,IF(ISNUMBER('Input_Meci'!AA87),'Input_Meci'!AA87,5))-5)+0.012*(IF('Input_Meci'!AC87="",5,IF(ISNUMBER('Input_Meci'!AC87),'Input_Meci'!AC87,5))-5)+0.015*IF('Input_Meci'!AE87="",0,IF(ISNUMBER('Input_Meci'!AE87),'Input_Meci'!AE87,0))+0.02*IF('Input_Meci'!AG87="",0,IF(ISNUMBER('Input_Meci'!AG87),'Input_Meci'!AG87,0)))))</x:f>
      </x:c>
      <x:c r="BB87" s="11" t="str">
        <x:f>IF(I87&lt;&gt;"PASS","",(AVERAGE(AF87,AM87)*'Config_v6'!$B$4+AVERAGE(AH87,AO87)*'Config_v6'!$B$5+AVERAGE(AJ87,AQ87)*'Config_v6'!$B$6)*AX87*AZ87)</x:f>
      </x:c>
      <x:c r="BC87" s="11" t="str">
        <x:f>IF(I87&lt;&gt;"PASS","",(AVERAGE(AL87,AG87)*'Config_v6'!$B$4+AVERAGE(AN87,AI87)*'Config_v6'!$B$5+AVERAGE(AP87,AK87)*'Config_v6'!$B$6)*AY87*BA87)</x:f>
      </x:c>
      <x:c r="BD87" s="11" t="str">
        <x:f>IF(I87&lt;&gt;"PASS","",BB87+BC87)</x:f>
      </x:c>
      <x:c r="BE87" s="11" t="str">
        <x:f>IF(A87="","",10-SUM(IF(AND(ISNUMBER('Input_Meci'!N87),'Input_Meci'!N87&gt;=0,'Input_Meci'!N87&lt;=200),1,0),IF(AND(ISNUMBER('Input_Meci'!O87),'Input_Meci'!O87&gt;=0,'Input_Meci'!O87&lt;=200),1,0),IF(AND(ISNUMBER('Input_Meci'!P87),'Input_Meci'!P87&gt;=0,'Input_Meci'!P87&lt;=200),1,0),IF(AND(ISNUMBER('Input_Meci'!Q87),'Input_Meci'!Q87&gt;=0,'Input_Meci'!Q87&lt;=200),1,0),IF(AND(ISNUMBER('Input_Meci'!R87),'Input_Meci'!R87&gt;=0,'Input_Meci'!R87&lt;=200),1,0),IF(AND(ISNUMBER('Input_Meci'!S87),'Input_Meci'!S87&gt;=0,'Input_Meci'!S87&lt;=200),1,0),IF(AND(ISNUMBER('Input_Meci'!T87),'Input_Meci'!T87&gt;=0,'Input_Meci'!T87&lt;=100),1,0),IF(AND(ISNUMBER('Input_Meci'!U87),'Input_Meci'!U87&gt;=0,'Input_Meci'!U87&lt;=100),1,0),IF(AND(ISNUMBER('Input_Meci'!V87),'Input_Meci'!V87&gt;=0,'Input_Meci'!V87&lt;=10),1,0),IF(AND(ISNUMBER('Input_Meci'!W87),'Input_Meci'!W87&gt;=0,'Input_Meci'!W87&lt;=10),1,0)))</x:f>
      </x:c>
      <x:c r="BF87" s="11" t="str">
        <x:f>IF(I87&lt;&gt;"PASS","",MAX(0,MIN(IF(OR(M87="YES",BL87&lt;&gt;C87),'Config_v6'!$B$34,100),ROUND(40+25*MIN(1,MIN(N87,Q87)/'Config_v6'!$B$7)*MIN(1,MIN(O87,R87)/'Config_v6'!$B$8)*MIN(1,MIN(P87,S87)/'Config_v6'!$B$9)+MAX(0,15-2*ABS(AF87-AJ87)-2*ABS(AL87-AP87))+IF(AU87&lt;='Config_v6'!$B$10,15,IF(AU87&lt;='Config_v6'!$B$11,13,IF(AU87&lt;='Config_v6'!$B$12,10,IF(AU87&lt;='Config_v6'!$B$13,6,0))))+5-BE87/10*'Config_v6'!$B$38,0))))</x:f>
      </x:c>
      <x:c r="BG87" s="11" t="str">
        <x:f>IF(I87&lt;&gt;"PASS","",MIN(1,'Config_v6'!$B$14*(0.7+0.3*MIN(1,AR87/'Config_v6'!$B$15))*IF(AU87&lt;='Config_v6'!$B$10,1,IF(AU87&lt;='Config_v6'!$B$11,0.95,IF(AU87&lt;='Config_v6'!$B$12,0.88,0.78)))*(0.75+0.25*BF87/100)))</x:f>
      </x:c>
      <x:c r="BH87" s="11" t="str">
        <x:f>IF(I87&lt;&gt;"PASS","",MIN(1,(ABS(AZ87-1)+ABS(BA87-1))*3))</x:f>
      </x:c>
      <x:c r="BI87" s="2" t="str">
        <x:f>IF(A87="","",IF(AND(OR('Input_Meci'!X87="",AND(ISNUMBER('Input_Meci'!X87),'Input_Meci'!X87&gt;=0,'Input_Meci'!X87&lt;=10)),OR('Input_Meci'!Y87="",AND(ISNUMBER('Input_Meci'!Y87),'Input_Meci'!Y87&gt;=0,'Input_Meci'!Y87&lt;=10)),OR('Input_Meci'!Z87="",AND(ISNUMBER('Input_Meci'!Z87),'Input_Meci'!Z87&gt;=0,'Input_Meci'!Z87&lt;=10)),OR('Input_Meci'!AA87="",AND(ISNUMBER('Input_Meci'!AA87),'Input_Meci'!AA87&gt;=0,'Input_Meci'!AA87&lt;=10)),OR('Input_Meci'!AB87="",AND(ISNUMBER('Input_Meci'!AB87),'Input_Meci'!AB87&gt;=0,'Input_Meci'!AB87&lt;=10)),OR('Input_Meci'!AC87="",AND(ISNUMBER('Input_Meci'!AC87),'Input_Meci'!AC87&gt;=0,'Input_Meci'!AC87&lt;=10)),OR('Input_Meci'!AD87="",AND(ISNUMBER('Input_Meci'!AD87),'Input_Meci'!AD87&gt;=-2,'Input_Meci'!AD87&lt;=2)),OR('Input_Meci'!AE87="",AND(ISNUMBER('Input_Meci'!AE87),'Input_Meci'!AE87&gt;=-2,'Input_Meci'!AE87&lt;=2)),OR('Input_Meci'!AF87="",AND(ISNUMBER('Input_Meci'!AF87),'Input_Meci'!AF87&gt;=-2,'Input_Meci'!AF87&lt;=2)),OR('Input_Meci'!AG87="",AND(ISNUMBER('Input_Meci'!AG87),'Input_Meci'!AG87&gt;=-2,'Input_Meci'!AG87&lt;=2))),"VALID","INVALID"))</x:f>
      </x:c>
      <x:c r="BJ87" s="2" t="n">
        <x:f>IF(A87="",0,SUM('Core_Nativ'!S978:S983))</x:f>
        <x:v>0</x:v>
      </x:c>
      <x:c r="BK87" s="2" t="str">
        <x:f>'Config_v6'!$B$40</x:f>
        <x:v>VALID</x:v>
      </x:c>
      <x:c r="BL87" s="2" t="str">
        <x:f>IF(A87="","",IF(SUMPRODUCT(('Istoric_Nativ'!$B$6:$B$405=B87)*('Istoric_Nativ'!$C$6:$C$405=C87)*('Istoric_Nativ'!$P$6:$P$405=1)*('Istoric_Nativ'!$D$6:$D$405&lt;INT(G87))*((('Istoric_Nativ'!$E$6:$E$405='Input_Meci'!D87)+('Istoric_Nativ'!$F$6:$F$405='Input_Meci'!D87)+('Istoric_Nativ'!$E$6:$E$405='Input_Meci'!E87)+('Istoric_Nativ'!$F$6:$F$405='Input_Meci'!E87))&gt;0))&gt;='Config_v6'!$B$41,C87,IF(AND('Input_Meci'!L87="YES",'Input_Meci'!K87&lt;&gt;"",'Input_Meci'!K87&lt;C87,COUNTIF('Core_Nativ'!R984:R989,"CLOSED")=6,SUM('Core_Nativ'!S984:S989)=0),'Input_Meci'!K87,C87)))</x:f>
      </x:c>
      <x:c r="BM87" s="9" t="n">
        <x:f>IF(OR(A87="",N87=0),0,LARGE(_xlfn._xlws.FILTER('Istoric_Nativ'!$D$6:$D$405,('Istoric_Nativ'!$B$6:$B$405=B87)*('Istoric_Nativ'!$C$6:$C$405=C87)*('Istoric_Nativ'!$P$6:$P$405=1)*('Istoric_Nativ'!$D$6:$D$405&lt;INT(G87))*((('Istoric_Nativ'!$E$6:$E$405='Input_Meci'!D87)+('Istoric_Nativ'!$F$6:$F$405='Input_Meci'!D87))&gt;0)),MIN(10,N87)))</x:f>
        <x:v>0</x:v>
      </x:c>
      <x:c r="BN87" s="9" t="n">
        <x:f>IF(OR(A87="",Q87=0),0,LARGE(_xlfn._xlws.FILTER('Istoric_Nativ'!$D$6:$D$405,('Istoric_Nativ'!$B$6:$B$405=B87)*('Istoric_Nativ'!$C$6:$C$405=C87)*('Istoric_Nativ'!$P$6:$P$405=1)*('Istoric_Nativ'!$D$6:$D$405&lt;INT(G87))*((('Istoric_Nativ'!$E$6:$E$405='Input_Meci'!E87)+('Istoric_Nativ'!$F$6:$F$405='Input_Meci'!E87))&gt;0)),MIN(10,Q87)))</x:f>
        <x:v>0</x:v>
      </x:c>
      <x:c r="BO87" s="9" t="n">
        <x:f>IF(OR(A87="",N87=0),0,LARGE(_xlfn._xlws.FILTER('Istoric_Nativ'!$D$6:$D$405,('Istoric_Nativ'!$B$6:$B$405=B87)*('Istoric_Nativ'!$C$6:$C$405=C87)*('Istoric_Nativ'!$P$6:$P$405=1)*('Istoric_Nativ'!$D$6:$D$405&lt;INT(G87))*((('Istoric_Nativ'!$E$6:$E$405='Input_Meci'!D87)+('Istoric_Nativ'!$F$6:$F$405='Input_Meci'!D87))&gt;0)),MIN(20,N87)))</x:f>
        <x:v>0</x:v>
      </x:c>
      <x:c r="BP87" s="9" t="n">
        <x:f>IF(OR(A87="",Q87=0),0,LARGE(_xlfn._xlws.FILTER('Istoric_Nativ'!$D$6:$D$405,('Istoric_Nativ'!$B$6:$B$405=B87)*('Istoric_Nativ'!$C$6:$C$405=C87)*('Istoric_Nativ'!$P$6:$P$405=1)*('Istoric_Nativ'!$D$6:$D$405&lt;INT(G87))*((('Istoric_Nativ'!$E$6:$E$405='Input_Meci'!E87)+('Istoric_Nativ'!$F$6:$F$405='Input_Meci'!E87))&gt;0)),MIN(20,Q87)))</x:f>
        <x:v>0</x:v>
      </x:c>
      <x:c r="BQ87" s="2" t="str">
        <x:f>IF(A87="","",IF(AND(COUNTIF(MatchesTable[Match_ID],A87)=1,COUNTIFS(MatchesTable[League],B87,MatchesTable[Season],C87,MatchesTable[Home],'Input_Meci'!D87,MatchesTable[Away],'Input_Meci'!E87,MatchesTable[Kickoff_UTC],F87)=1,B87&lt;&gt;"",C87&lt;&gt;"",'Input_Meci'!D87&lt;&gt;"",'Input_Meci'!E87&lt;&gt;"",'Input_Meci'!D87&lt;&gt;'Input_Meci'!E87,ISNUMBER(F87),ISNUMBER(G87),G87&lt;F87,OR(E87="LIVE",E87="REPLAY"),OR('Input_Meci'!L87="YES",'Input_Meci'!L87="NO",'Input_Meci'!L87="")),"VALID","INVALID"))</x:f>
      </x:c>
      <x:c r="BR87" s="2" t="n">
        <x:f>IF(I87&lt;&gt;"PASS",0,SUMPRODUCT(('Istoric_Nativ'!$B$6:$B$405='Input_Meci'!B87)*('Istoric_Nativ'!$C$6:$C$405='Input_Meci'!C87)*('Istoric_Nativ'!$P$6:$P$405=1)*('Istoric_Nativ'!$D$6:$D$405&lt;INT('Input_Meci'!G87))*((('Istoric_Nativ'!$E$6:$E$405='Input_Meci'!D87)+('Istoric_Nativ'!$F$6:$F$405='Input_Meci'!E87))&gt;0)))</x:f>
        <x:v>0</x:v>
      </x:c>
      <x:c r="BS87" s="2" t="n">
        <x:f>IF(I87&lt;&gt;"PASS",0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BM87)+((('Istoric_Nativ'!$E$6:$E$405='Input_Meci'!E87)+('Istoric_Nativ'!$F$6:$F$405='Input_Meci'!E87))&gt;0)*('Istoric_Nativ'!$D$6:$D$405&gt;=BN87))&gt;0)))</x:f>
        <x:v>0</x:v>
      </x:c>
      <x:c r="BT87" s="2" t="n">
        <x:f>IF(I87&lt;&gt;"PASS",0,SUMPRODUCT(('Istoric_Nativ'!$B$6:$B$405='Input_Meci'!B87)*('Istoric_Nativ'!$C$6:$C$405='Input_Meci'!C87)*('Istoric_Nativ'!$P$6:$P$405=1)*('Istoric_Nativ'!$D$6:$D$405&lt;INT('Input_Meci'!G87))*((((('Istoric_Nativ'!$E$6:$E$405='Input_Meci'!D87)+('Istoric_Nativ'!$F$6:$F$405='Input_Meci'!D87))&gt;0)*('Istoric_Nativ'!$D$6:$D$405&gt;=BO87)+((('Istoric_Nativ'!$E$6:$E$405='Input_Meci'!E87)+('Istoric_Nativ'!$F$6:$F$405='Input_Meci'!E87))&gt;0)*('Istoric_Nativ'!$D$6:$D$405&gt;=BP87))&gt;0)))</x:f>
        <x:v>0</x:v>
      </x:c>
    </x:row>
    <x:row r="88" ht="21" customHeight="1">
      <x:c r="A88" s="2" t="str">
        <x:f>IF('Input_Meci'!A88="","",'Input_Meci'!A88)</x:f>
      </x:c>
      <x:c r="B88" s="2" t="str">
        <x:f>IF(A88="","",'Input_Meci'!B88)</x:f>
      </x:c>
      <x:c r="C88" s="2" t="str">
        <x:f>IF(A88="","",'Input_Meci'!C88)</x:f>
      </x:c>
      <x:c r="D88" s="2" t="str">
        <x:f>IF(A88="","",'Input_Meci'!D88&amp;" – "&amp;'Input_Meci'!E88)</x:f>
      </x:c>
      <x:c r="E88" s="2" t="str">
        <x:f>IF(A88="","",'Input_Meci'!H88)</x:f>
      </x:c>
      <x:c r="F88" s="9" t="str">
        <x:f>IF(A88="","",'Input_Meci'!F88)</x:f>
      </x:c>
      <x:c r="G88" s="9" t="str">
        <x:f>IF(A88="","",'Input_Meci'!G88)</x:f>
      </x:c>
      <x:c r="H88" s="2" t="str">
        <x:f>IF(A88="","",IF(BQ88&lt;&gt;"VALID","NOT RELEASED",IF(AND(OR('Input_Meci'!I88="NOT AVAILABLE",'Input_Meci'!I88="SOURCE CONFLICT"),'Input_Meci'!J88&lt;&gt;""),"READY",IF(OR(NOT(OR('Input_Meci'!I88="AUTO",'Input_Meci'!I88="")),COUNTIF('Core_Nativ'!R990:R995,"CLOSED")&lt;&gt;6,BJ88&gt;0),"NOT RELEASED","READY"))))</x:f>
      </x:c>
      <x:c r="I88" s="2" t="str">
        <x:f>IF(A88="","",IF(H88&lt;&gt;"READY","NOT RELEASED",IF(AND(NOT(OR('Input_Meci'!I88="NOT AVAILABLE",'Input_Meci'!I88="SOURCE CONFLICT")),L88=12,AR88&gt;=2,AS88&gt;0,ISNUMBER(AT88),BI88="VALID",BK88="VALID"),"PASS","FAIL")))</x:f>
      </x:c>
      <x:c r="J88" s="2" t="str">
        <x:f>IF(A88="","",IF(BQ88&lt;&gt;"VALID","Verifica ID, echipe, mod si cutoff &lt; kickoff",IF(H88&lt;&gt;"READY",IF('Input_Meci'!I88="ACCESS BLOCKED","Acces blocat: reia sursele",IF(BJ88&gt;0,"Istoric invalid sau conflict: verifica randurile native","Surse neinchise / post-cutoff / dovezi incomplete")),IF(OR('Input_Meci'!I88="NOT AVAILABLE",'Input_Meci'!I88="SOURCE CONFLICT"),'Input_Meci'!I88,IF(BK88&lt;&gt;"VALID","Parametri invalizi",IF(L88&lt;&gt;12,"Core / sample / prior insuficient",IF(AR88&lt;2,"N insuficient pentru dispersie",IF(AS88&lt;=0,"Media istorica trebuie sa fie pozitiva",IF(BI88&lt;&gt;"VALID","Context invalid","READY")))))))))</x:f>
      </x:c>
      <x:c r="K88" s="2" t="str">
        <x:f>IF(A88="","",COUNT(T88:AE88))</x:f>
      </x:c>
      <x:c r="L88" s="2" t="str">
        <x:f>IF(A88="","",COUNT(AF88:AQ88))</x:f>
      </x:c>
      <x:c r="M88" s="2" t="str">
        <x:f>IF(A88="","",IF(OR('Core_Nativ'!M990&lt;'Core_Nativ'!P990,'Core_Nativ'!M991&lt;'Core_Nativ'!P991,'Core_Nativ'!M992&lt;'Core_Nativ'!P992,'Core_Nativ'!M993&lt;'Core_Nativ'!P993,'Core_Nativ'!M994&lt;'Core_Nativ'!P994,'Core_Nativ'!M995&lt;'Core_Nativ'!P995),"YES","NO"))</x:f>
      </x:c>
      <x:c r="N88" s="2" t="str">
        <x:f>IF(A88="","",'Core_Nativ'!M990)</x:f>
      </x:c>
      <x:c r="O88" s="2" t="str">
        <x:f>IF(A88="","",'Core_Nativ'!M991)</x:f>
      </x:c>
      <x:c r="P88" s="2" t="str">
        <x:f>IF(A88="","",'Core_Nativ'!M992)</x:f>
      </x:c>
      <x:c r="Q88" s="2" t="str">
        <x:f>IF(A88="","",'Core_Nativ'!M993)</x:f>
      </x:c>
      <x:c r="R88" s="2" t="str">
        <x:f>IF(A88="","",'Core_Nativ'!M994)</x:f>
      </x:c>
      <x:c r="S88" s="2" t="str">
        <x:f>IF(A88="","",'Core_Nativ'!M995)</x:f>
      </x:c>
      <x:c r="T88" s="11" t="str">
        <x:f>IF(OR(A88="",'Core_Nativ'!M990=0),"",'Core_Nativ'!N990)</x:f>
      </x:c>
      <x:c r="U88" s="11" t="str">
        <x:f>IF(OR(A88="",'Core_Nativ'!M990=0),"",'Core_Nativ'!O990)</x:f>
      </x:c>
      <x:c r="V88" s="11" t="str">
        <x:f>IF(OR(A88="",'Core_Nativ'!M991=0),"",'Core_Nativ'!N991)</x:f>
      </x:c>
      <x:c r="W88" s="11" t="str">
        <x:f>IF(OR(A88="",'Core_Nativ'!M991=0),"",'Core_Nativ'!O991)</x:f>
      </x:c>
      <x:c r="X88" s="11" t="str">
        <x:f>IF(OR(A88="",'Core_Nativ'!M992=0),"",'Core_Nativ'!N992)</x:f>
      </x:c>
      <x:c r="Y88" s="11" t="str">
        <x:f>IF(OR(A88="",'Core_Nativ'!M992=0),"",'Core_Nativ'!O992)</x:f>
      </x:c>
      <x:c r="Z88" s="11" t="str">
        <x:f>IF(OR(A88="",'Core_Nativ'!M993=0),"",'Core_Nativ'!N993)</x:f>
      </x:c>
      <x:c r="AA88" s="11" t="str">
        <x:f>IF(OR(A88="",'Core_Nativ'!M993=0),"",'Core_Nativ'!O993)</x:f>
      </x:c>
      <x:c r="AB88" s="11" t="str">
        <x:f>IF(OR(A88="",'Core_Nativ'!M994=0),"",'Core_Nativ'!N994)</x:f>
      </x:c>
      <x:c r="AC88" s="11" t="str">
        <x:f>IF(OR(A88="",'Core_Nativ'!M994=0),"",'Core_Nativ'!O994)</x:f>
      </x:c>
      <x:c r="AD88" s="11" t="str">
        <x:f>IF(OR(A88="",'Core_Nativ'!M995=0),"",'Core_Nativ'!N995)</x:f>
      </x:c>
      <x:c r="AE88" s="11" t="str">
        <x:f>IF(OR(A88="",'Core_Nativ'!M995=0),"",'Core_Nativ'!O995)</x:f>
      </x:c>
      <x:c r="AF88" s="11" t="str">
        <x:f>IF(A88="","",IF(AND('Core_Nativ'!R990="CLOSED",'Core_Nativ'!S990=0),IF('Core_Nativ'!M990&gt;='Core_Nativ'!P990,'Core_Nativ'!N990,IF(AND('Input_Meci'!L88="YES",'Input_Meci'!K88&lt;&gt;"",'Input_Meci'!K88&lt;C88,'Core_Nativ'!T996="DERIVED",'Core_Nativ'!M996&gt;='Core_Nativ'!P990),MIN(1,'Core_Nativ'!M990/'Core_Nativ'!P990)*IF('Core_Nativ'!M990=0,0,'Core_Nativ'!N990)+(1-MIN(1,'Core_Nativ'!M990/'Core_Nativ'!P990))*'Core_Nativ'!N996,"")),""))</x:f>
      </x:c>
      <x:c r="AG88" s="11" t="str">
        <x:f>IF(A88="","",IF(AND('Core_Nativ'!R990="CLOSED",'Core_Nativ'!S990=0),IF('Core_Nativ'!M990&gt;='Core_Nativ'!P990,'Core_Nativ'!O990,IF(AND('Input_Meci'!L88="YES",'Input_Meci'!K88&lt;&gt;"",'Input_Meci'!K88&lt;C88,'Core_Nativ'!T996="DERIVED",'Core_Nativ'!M996&gt;='Core_Nativ'!P990),MIN(1,'Core_Nativ'!M990/'Core_Nativ'!P990)*IF('Core_Nativ'!M990=0,0,'Core_Nativ'!O990)+(1-MIN(1,'Core_Nativ'!M990/'Core_Nativ'!P990))*'Core_Nativ'!O996,"")),""))</x:f>
      </x:c>
      <x:c r="AH88" s="11" t="str">
        <x:f>IF(A88="","",IF(AND('Core_Nativ'!R991="CLOSED",'Core_Nativ'!S991=0),IF('Core_Nativ'!M991&gt;='Core_Nativ'!P991,'Core_Nativ'!N991,IF(AND('Input_Meci'!L88="YES",'Input_Meci'!K88&lt;&gt;"",'Input_Meci'!K88&lt;C88,'Core_Nativ'!T997="DERIVED",'Core_Nativ'!M997&gt;='Core_Nativ'!P991),MIN(1,'Core_Nativ'!M991/'Core_Nativ'!P991)*IF('Core_Nativ'!M991=0,0,'Core_Nativ'!N991)+(1-MIN(1,'Core_Nativ'!M991/'Core_Nativ'!P991))*'Core_Nativ'!N997,"")),""))</x:f>
      </x:c>
      <x:c r="AI88" s="11" t="str">
        <x:f>IF(A88="","",IF(AND('Core_Nativ'!R991="CLOSED",'Core_Nativ'!S991=0),IF('Core_Nativ'!M991&gt;='Core_Nativ'!P991,'Core_Nativ'!O991,IF(AND('Input_Meci'!L88="YES",'Input_Meci'!K88&lt;&gt;"",'Input_Meci'!K88&lt;C88,'Core_Nativ'!T997="DERIVED",'Core_Nativ'!M997&gt;='Core_Nativ'!P991),MIN(1,'Core_Nativ'!M991/'Core_Nativ'!P991)*IF('Core_Nativ'!M991=0,0,'Core_Nativ'!O991)+(1-MIN(1,'Core_Nativ'!M991/'Core_Nativ'!P991))*'Core_Nativ'!O997,"")),""))</x:f>
      </x:c>
      <x:c r="AJ88" s="11" t="str">
        <x:f>IF(A88="","",IF(AND('Core_Nativ'!R992="CLOSED",'Core_Nativ'!S992=0),IF('Core_Nativ'!M992&gt;='Core_Nativ'!P992,'Core_Nativ'!N992,IF(AND('Input_Meci'!L88="YES",'Input_Meci'!K88&lt;&gt;"",'Input_Meci'!K88&lt;C88,'Core_Nativ'!T998="DERIVED",'Core_Nativ'!M998&gt;='Core_Nativ'!P992),MIN(1,'Core_Nativ'!M992/'Core_Nativ'!P992)*IF('Core_Nativ'!M992=0,0,'Core_Nativ'!N992)+(1-MIN(1,'Core_Nativ'!M992/'Core_Nativ'!P992))*'Core_Nativ'!N998,"")),""))</x:f>
      </x:c>
      <x:c r="AK88" s="11" t="str">
        <x:f>IF(A88="","",IF(AND('Core_Nativ'!R992="CLOSED",'Core_Nativ'!S992=0),IF('Core_Nativ'!M992&gt;='Core_Nativ'!P992,'Core_Nativ'!O992,IF(AND('Input_Meci'!L88="YES",'Input_Meci'!K88&lt;&gt;"",'Input_Meci'!K88&lt;C88,'Core_Nativ'!T998="DERIVED",'Core_Nativ'!M998&gt;='Core_Nativ'!P992),MIN(1,'Core_Nativ'!M992/'Core_Nativ'!P992)*IF('Core_Nativ'!M992=0,0,'Core_Nativ'!O992)+(1-MIN(1,'Core_Nativ'!M992/'Core_Nativ'!P992))*'Core_Nativ'!O998,"")),""))</x:f>
      </x:c>
      <x:c r="AL88" s="11" t="str">
        <x:f>IF(A88="","",IF(AND('Core_Nativ'!R993="CLOSED",'Core_Nativ'!S993=0),IF('Core_Nativ'!M993&gt;='Core_Nativ'!P993,'Core_Nativ'!N993,IF(AND('Input_Meci'!L88="YES",'Input_Meci'!K88&lt;&gt;"",'Input_Meci'!K88&lt;C88,'Core_Nativ'!T999="DERIVED",'Core_Nativ'!M999&gt;='Core_Nativ'!P993),MIN(1,'Core_Nativ'!M993/'Core_Nativ'!P993)*IF('Core_Nativ'!M993=0,0,'Core_Nativ'!N993)+(1-MIN(1,'Core_Nativ'!M993/'Core_Nativ'!P993))*'Core_Nativ'!N999,"")),""))</x:f>
      </x:c>
      <x:c r="AM88" s="11" t="str">
        <x:f>IF(A88="","",IF(AND('Core_Nativ'!R993="CLOSED",'Core_Nativ'!S993=0),IF('Core_Nativ'!M993&gt;='Core_Nativ'!P993,'Core_Nativ'!O993,IF(AND('Input_Meci'!L88="YES",'Input_Meci'!K88&lt;&gt;"",'Input_Meci'!K88&lt;C88,'Core_Nativ'!T999="DERIVED",'Core_Nativ'!M999&gt;='Core_Nativ'!P993),MIN(1,'Core_Nativ'!M993/'Core_Nativ'!P993)*IF('Core_Nativ'!M993=0,0,'Core_Nativ'!O993)+(1-MIN(1,'Core_Nativ'!M993/'Core_Nativ'!P993))*'Core_Nativ'!O999,"")),""))</x:f>
      </x:c>
      <x:c r="AN88" s="11" t="str">
        <x:f>IF(A88="","",IF(AND('Core_Nativ'!R994="CLOSED",'Core_Nativ'!S994=0),IF('Core_Nativ'!M994&gt;='Core_Nativ'!P994,'Core_Nativ'!N994,IF(AND('Input_Meci'!L88="YES",'Input_Meci'!K88&lt;&gt;"",'Input_Meci'!K88&lt;C88,'Core_Nativ'!T1000="DERIVED",'Core_Nativ'!M1000&gt;='Core_Nativ'!P994),MIN(1,'Core_Nativ'!M994/'Core_Nativ'!P994)*IF('Core_Nativ'!M994=0,0,'Core_Nativ'!N994)+(1-MIN(1,'Core_Nativ'!M994/'Core_Nativ'!P994))*'Core_Nativ'!N1000,"")),""))</x:f>
      </x:c>
      <x:c r="AO88" s="11" t="str">
        <x:f>IF(A88="","",IF(AND('Core_Nativ'!R994="CLOSED",'Core_Nativ'!S994=0),IF('Core_Nativ'!M994&gt;='Core_Nativ'!P994,'Core_Nativ'!O994,IF(AND('Input_Meci'!L88="YES",'Input_Meci'!K88&lt;&gt;"",'Input_Meci'!K88&lt;C88,'Core_Nativ'!T1000="DERIVED",'Core_Nativ'!M1000&gt;='Core_Nativ'!P994),MIN(1,'Core_Nativ'!M994/'Core_Nativ'!P994)*IF('Core_Nativ'!M994=0,0,'Core_Nativ'!O994)+(1-MIN(1,'Core_Nativ'!M994/'Core_Nativ'!P994))*'Core_Nativ'!O1000,"")),""))</x:f>
      </x:c>
      <x:c r="AP88" s="11" t="str">
        <x:f>IF(A88="","",IF(AND('Core_Nativ'!R995="CLOSED",'Core_Nativ'!S995=0),IF('Core_Nativ'!M995&gt;='Core_Nativ'!P995,'Core_Nativ'!N995,IF(AND('Input_Meci'!L88="YES",'Input_Meci'!K88&lt;&gt;"",'Input_Meci'!K88&lt;C88,'Core_Nativ'!T1001="DERIVED",'Core_Nativ'!M1001&gt;='Core_Nativ'!P995),MIN(1,'Core_Nativ'!M995/'Core_Nativ'!P995)*IF('Core_Nativ'!M995=0,0,'Core_Nativ'!N995)+(1-MIN(1,'Core_Nativ'!M995/'Core_Nativ'!P995))*'Core_Nativ'!N1001,"")),""))</x:f>
      </x:c>
      <x:c r="AQ88" s="11" t="str">
        <x:f>IF(A88="","",IF(AND('Core_Nativ'!R995="CLOSED",'Core_Nativ'!S995=0),IF('Core_Nativ'!M995&gt;='Core_Nativ'!P995,'Core_Nativ'!O995,IF(AND('Input_Meci'!L88="YES",'Input_Meci'!K88&lt;&gt;"",'Input_Meci'!K88&lt;C88,'Core_Nativ'!T1001="DERIVED",'Core_Nativ'!M1001&gt;='Core_Nativ'!P995),MIN(1,'Core_Nativ'!M995/'Core_Nativ'!P995)*IF('Core_Nativ'!M995=0,0,'Core_Nativ'!O995)+(1-MIN(1,'Core_Nativ'!M995/'Core_Nativ'!P995))*'Core_Nativ'!O1001,"")),""))</x:f>
      </x:c>
      <x:c r="AR88" s="11" t="str">
        <x:f>IF(A88="","",SUMPRODUCT(('Istoric_Nativ'!$B$6:$B$405=B88)*('Istoric_Nativ'!$C$6:$C$405=BL88)*('Istoric_Nativ'!$P$6:$P$405=1)*('Istoric_Nativ'!$D$6:$D$405&lt;INT(G88))*((('Istoric_Nativ'!$E$6:$E$405='Input_Meci'!D88)+('Istoric_Nativ'!$F$6:$F$405='Input_Meci'!D88)+('Istoric_Nativ'!$E$6:$E$405='Input_Meci'!E88)+('Istoric_Nativ'!$F$6:$F$405='Input_Meci'!E88))&gt;0)))</x:f>
      </x:c>
      <x:c r="AS88" s="11" t="str">
        <x:f>IF(AR88=0,"",SUMPRODUCT(('Istoric_Nativ'!$B$6:$B$405=B88)*('Istoric_Nativ'!$C$6:$C$405=BL88)*('Istoric_Nativ'!$P$6:$P$405=1)*('Istoric_Nativ'!$D$6:$D$405&lt;INT(G88))*((('Istoric_Nativ'!$E$6:$E$405='Input_Meci'!D88)+('Istoric_Nativ'!$F$6:$F$405='Input_Meci'!D88)+('Istoric_Nativ'!$E$6:$E$405='Input_Meci'!E88)+('Istoric_Nativ'!$F$6:$F$405='Input_Meci'!E88))&gt;0)*'Istoric_Nativ'!$Q$6:$Q$405)/AR88)</x:f>
      </x:c>
      <x:c r="AT88" s="11" t="str">
        <x:f>IF(AR88&lt;2,"",MAX(0,(SUMPRODUCT(('Istoric_Nativ'!$B$6:$B$405=B88)*('Istoric_Nativ'!$C$6:$C$405=BL88)*('Istoric_Nativ'!$P$6:$P$405=1)*('Istoric_Nativ'!$D$6:$D$405&lt;INT(G88))*((('Istoric_Nativ'!$E$6:$E$405='Input_Meci'!D88)+('Istoric_Nativ'!$F$6:$F$405='Input_Meci'!D88)+('Istoric_Nativ'!$E$6:$E$405='Input_Meci'!E88)+('Istoric_Nativ'!$F$6:$F$405='Input_Meci'!E88))&gt;0)*'Istoric_Nativ'!$R$6:$R$405)-AR88*AS88^2)/(AR88-1)))</x:f>
      </x:c>
      <x:c r="AU88" s="11" t="str">
        <x:f>IF(I88&lt;&gt;"PASS","",AT88/AS88)</x:f>
      </x:c>
      <x:c r="AV88" s="11" t="str">
        <x:f>IF(I88&lt;&gt;"PASS","",IF(AU88&lt;='Config_v6'!$B$10,"POISSON","NEGATIVE BINOMIAL"))</x:f>
      </x:c>
      <x:c r="AW88" s="11" t="str">
        <x:f>IF(I88&lt;&gt;"PASS","",IF(AV88="POISSON",9999,AS88/(AU88-1)))</x:f>
      </x:c>
      <x:c r="AX88" s="11" t="str">
        <x:f>IF(A88="","",MAX(1-'Config_v6'!$B$20,MIN(1+'Config_v6'!$B$20,1+0.02*(IF(AND(ISNUMBER('Input_Meci'!N88),'Input_Meci'!N88&gt;=0,'Input_Meci'!N88&lt;=200),'Input_Meci'!N88,12)/12-1)+0.02*(IF(AND(ISNUMBER('Input_Meci'!P88),'Input_Meci'!P88&gt;=0,'Input_Meci'!P88&lt;=200),'Input_Meci'!P88,3.5)/3.5-1)+0.02*(IF(AND(ISNUMBER('Input_Meci'!R88),'Input_Meci'!R88&gt;=0,'Input_Meci'!R88&lt;=200),'Input_Meci'!R88,18)/18-1)+0.02*((IF(AND(ISNUMBER('Input_Meci'!V88),'Input_Meci'!V88&gt;=0,'Input_Meci'!V88&lt;=10),'Input_Meci'!V88,5)-5)/5))))</x:f>
      </x:c>
      <x:c r="AY88" s="11" t="str">
        <x:f>IF(A88="","",MAX(1-'Config_v6'!$B$20,MIN(1+'Config_v6'!$B$20,1+0.02*(IF(AND(ISNUMBER('Input_Meci'!O88),'Input_Meci'!O88&gt;=0,'Input_Meci'!O88&lt;=200),'Input_Meci'!O88,12)/12-1)+0.02*(IF(AND(ISNUMBER('Input_Meci'!Q88),'Input_Meci'!Q88&gt;=0,'Input_Meci'!Q88&lt;=200),'Input_Meci'!Q88,3.5)/3.5-1)+0.02*(IF(AND(ISNUMBER('Input_Meci'!S88),'Input_Meci'!S88&gt;=0,'Input_Meci'!S88&lt;=200),'Input_Meci'!S88,18)/18-1)+0.02*((IF(AND(ISNUMBER('Input_Meci'!W88),'Input_Meci'!W88&gt;=0,'Input_Meci'!W88&lt;=10),'Input_Meci'!W88,5)-5)/5))))</x:f>
      </x:c>
      <x:c r="AZ88" s="11" t="str">
        <x:f>IF(A88="","",MAX(1-'Config_v6'!$B$21,MIN(1+'Config_v6'!$B$21,1+0.012*(IF('Input_Meci'!X88="",5,IF(ISNUMBER('Input_Meci'!X88),'Input_Meci'!X88,5))-5)+0.018*(IF('Input_Meci'!Z88="",5,IF(ISNUMBER('Input_Meci'!Z88),'Input_Meci'!Z88,5))-5)+0.012*(IF('Input_Meci'!AB88="",5,IF(ISNUMBER('Input_Meci'!AB88),'Input_Meci'!AB88,5))-5)+0.015*IF('Input_Meci'!AD88="",0,IF(ISNUMBER('Input_Meci'!AD88),'Input_Meci'!AD88,0))+0.02*IF('Input_Meci'!AF88="",0,IF(ISNUMBER('Input_Meci'!AF88),'Input_Meci'!AF88,0)))))</x:f>
      </x:c>
      <x:c r="BA88" s="11" t="str">
        <x:f>IF(A88="","",MAX(1-'Config_v6'!$B$21,MIN(1+'Config_v6'!$B$21,1+0.012*(IF('Input_Meci'!Y88="",5,IF(ISNUMBER('Input_Meci'!Y88),'Input_Meci'!Y88,5))-5)+0.018*(IF('Input_Meci'!AA88="",5,IF(ISNUMBER('Input_Meci'!AA88),'Input_Meci'!AA88,5))-5)+0.012*(IF('Input_Meci'!AC88="",5,IF(ISNUMBER('Input_Meci'!AC88),'Input_Meci'!AC88,5))-5)+0.015*IF('Input_Meci'!AE88="",0,IF(ISNUMBER('Input_Meci'!AE88),'Input_Meci'!AE88,0))+0.02*IF('Input_Meci'!AG88="",0,IF(ISNUMBER('Input_Meci'!AG88),'Input_Meci'!AG88,0)))))</x:f>
      </x:c>
      <x:c r="BB88" s="11" t="str">
        <x:f>IF(I88&lt;&gt;"PASS","",(AVERAGE(AF88,AM88)*'Config_v6'!$B$4+AVERAGE(AH88,AO88)*'Config_v6'!$B$5+AVERAGE(AJ88,AQ88)*'Config_v6'!$B$6)*AX88*AZ88)</x:f>
      </x:c>
      <x:c r="BC88" s="11" t="str">
        <x:f>IF(I88&lt;&gt;"PASS","",(AVERAGE(AL88,AG88)*'Config_v6'!$B$4+AVERAGE(AN88,AI88)*'Config_v6'!$B$5+AVERAGE(AP88,AK88)*'Config_v6'!$B$6)*AY88*BA88)</x:f>
      </x:c>
      <x:c r="BD88" s="11" t="str">
        <x:f>IF(I88&lt;&gt;"PASS","",BB88+BC88)</x:f>
      </x:c>
      <x:c r="BE88" s="11" t="str">
        <x:f>IF(A88="","",10-SUM(IF(AND(ISNUMBER('Input_Meci'!N88),'Input_Meci'!N88&gt;=0,'Input_Meci'!N88&lt;=200),1,0),IF(AND(ISNUMBER('Input_Meci'!O88),'Input_Meci'!O88&gt;=0,'Input_Meci'!O88&lt;=200),1,0),IF(AND(ISNUMBER('Input_Meci'!P88),'Input_Meci'!P88&gt;=0,'Input_Meci'!P88&lt;=200),1,0),IF(AND(ISNUMBER('Input_Meci'!Q88),'Input_Meci'!Q88&gt;=0,'Input_Meci'!Q88&lt;=200),1,0),IF(AND(ISNUMBER('Input_Meci'!R88),'Input_Meci'!R88&gt;=0,'Input_Meci'!R88&lt;=200),1,0),IF(AND(ISNUMBER('Input_Meci'!S88),'Input_Meci'!S88&gt;=0,'Input_Meci'!S88&lt;=200),1,0),IF(AND(ISNUMBER('Input_Meci'!T88),'Input_Meci'!T88&gt;=0,'Input_Meci'!T88&lt;=100),1,0),IF(AND(ISNUMBER('Input_Meci'!U88),'Input_Meci'!U88&gt;=0,'Input_Meci'!U88&lt;=100),1,0),IF(AND(ISNUMBER('Input_Meci'!V88),'Input_Meci'!V88&gt;=0,'Input_Meci'!V88&lt;=10),1,0),IF(AND(ISNUMBER('Input_Meci'!W88),'Input_Meci'!W88&gt;=0,'Input_Meci'!W88&lt;=10),1,0)))</x:f>
      </x:c>
      <x:c r="BF88" s="11" t="str">
        <x:f>IF(I88&lt;&gt;"PASS","",MAX(0,MIN(IF(OR(M88="YES",BL88&lt;&gt;C88),'Config_v6'!$B$34,100),ROUND(40+25*MIN(1,MIN(N88,Q88)/'Config_v6'!$B$7)*MIN(1,MIN(O88,R88)/'Config_v6'!$B$8)*MIN(1,MIN(P88,S88)/'Config_v6'!$B$9)+MAX(0,15-2*ABS(AF88-AJ88)-2*ABS(AL88-AP88))+IF(AU88&lt;='Config_v6'!$B$10,15,IF(AU88&lt;='Config_v6'!$B$11,13,IF(AU88&lt;='Config_v6'!$B$12,10,IF(AU88&lt;='Config_v6'!$B$13,6,0))))+5-BE88/10*'Config_v6'!$B$38,0))))</x:f>
      </x:c>
      <x:c r="BG88" s="11" t="str">
        <x:f>IF(I88&lt;&gt;"PASS","",MIN(1,'Config_v6'!$B$14*(0.7+0.3*MIN(1,AR88/'Config_v6'!$B$15))*IF(AU88&lt;='Config_v6'!$B$10,1,IF(AU88&lt;='Config_v6'!$B$11,0.95,IF(AU88&lt;='Config_v6'!$B$12,0.88,0.78)))*(0.75+0.25*BF88/100)))</x:f>
      </x:c>
      <x:c r="BH88" s="11" t="str">
        <x:f>IF(I88&lt;&gt;"PASS","",MIN(1,(ABS(AZ88-1)+ABS(BA88-1))*3))</x:f>
      </x:c>
      <x:c r="BI88" s="2" t="str">
        <x:f>IF(A88="","",IF(AND(OR('Input_Meci'!X88="",AND(ISNUMBER('Input_Meci'!X88),'Input_Meci'!X88&gt;=0,'Input_Meci'!X88&lt;=10)),OR('Input_Meci'!Y88="",AND(ISNUMBER('Input_Meci'!Y88),'Input_Meci'!Y88&gt;=0,'Input_Meci'!Y88&lt;=10)),OR('Input_Meci'!Z88="",AND(ISNUMBER('Input_Meci'!Z88),'Input_Meci'!Z88&gt;=0,'Input_Meci'!Z88&lt;=10)),OR('Input_Meci'!AA88="",AND(ISNUMBER('Input_Meci'!AA88),'Input_Meci'!AA88&gt;=0,'Input_Meci'!AA88&lt;=10)),OR('Input_Meci'!AB88="",AND(ISNUMBER('Input_Meci'!AB88),'Input_Meci'!AB88&gt;=0,'Input_Meci'!AB88&lt;=10)),OR('Input_Meci'!AC88="",AND(ISNUMBER('Input_Meci'!AC88),'Input_Meci'!AC88&gt;=0,'Input_Meci'!AC88&lt;=10)),OR('Input_Meci'!AD88="",AND(ISNUMBER('Input_Meci'!AD88),'Input_Meci'!AD88&gt;=-2,'Input_Meci'!AD88&lt;=2)),OR('Input_Meci'!AE88="",AND(ISNUMBER('Input_Meci'!AE88),'Input_Meci'!AE88&gt;=-2,'Input_Meci'!AE88&lt;=2)),OR('Input_Meci'!AF88="",AND(ISNUMBER('Input_Meci'!AF88),'Input_Meci'!AF88&gt;=-2,'Input_Meci'!AF88&lt;=2)),OR('Input_Meci'!AG88="",AND(ISNUMBER('Input_Meci'!AG88),'Input_Meci'!AG88&gt;=-2,'Input_Meci'!AG88&lt;=2))),"VALID","INVALID"))</x:f>
      </x:c>
      <x:c r="BJ88" s="2" t="n">
        <x:f>IF(A88="",0,SUM('Core_Nativ'!S990:S995))</x:f>
        <x:v>0</x:v>
      </x:c>
      <x:c r="BK88" s="2" t="str">
        <x:f>'Config_v6'!$B$40</x:f>
        <x:v>VALID</x:v>
      </x:c>
      <x:c r="BL88" s="2" t="str">
        <x:f>IF(A88="","",IF(SUMPRODUCT(('Istoric_Nativ'!$B$6:$B$405=B88)*('Istoric_Nativ'!$C$6:$C$405=C88)*('Istoric_Nativ'!$P$6:$P$405=1)*('Istoric_Nativ'!$D$6:$D$405&lt;INT(G88))*((('Istoric_Nativ'!$E$6:$E$405='Input_Meci'!D88)+('Istoric_Nativ'!$F$6:$F$405='Input_Meci'!D88)+('Istoric_Nativ'!$E$6:$E$405='Input_Meci'!E88)+('Istoric_Nativ'!$F$6:$F$405='Input_Meci'!E88))&gt;0))&gt;='Config_v6'!$B$41,C88,IF(AND('Input_Meci'!L88="YES",'Input_Meci'!K88&lt;&gt;"",'Input_Meci'!K88&lt;C88,COUNTIF('Core_Nativ'!R996:R1001,"CLOSED")=6,SUM('Core_Nativ'!S996:S1001)=0),'Input_Meci'!K88,C88)))</x:f>
      </x:c>
      <x:c r="BM88" s="9" t="n">
        <x:f>IF(OR(A88="",N88=0),0,LARGE(_xlfn._xlws.FILTER('Istoric_Nativ'!$D$6:$D$405,('Istoric_Nativ'!$B$6:$B$405=B88)*('Istoric_Nativ'!$C$6:$C$405=C88)*('Istoric_Nativ'!$P$6:$P$405=1)*('Istoric_Nativ'!$D$6:$D$405&lt;INT(G88))*((('Istoric_Nativ'!$E$6:$E$405='Input_Meci'!D88)+('Istoric_Nativ'!$F$6:$F$405='Input_Meci'!D88))&gt;0)),MIN(10,N88)))</x:f>
        <x:v>0</x:v>
      </x:c>
      <x:c r="BN88" s="9" t="n">
        <x:f>IF(OR(A88="",Q88=0),0,LARGE(_xlfn._xlws.FILTER('Istoric_Nativ'!$D$6:$D$405,('Istoric_Nativ'!$B$6:$B$405=B88)*('Istoric_Nativ'!$C$6:$C$405=C88)*('Istoric_Nativ'!$P$6:$P$405=1)*('Istoric_Nativ'!$D$6:$D$405&lt;INT(G88))*((('Istoric_Nativ'!$E$6:$E$405='Input_Meci'!E88)+('Istoric_Nativ'!$F$6:$F$405='Input_Meci'!E88))&gt;0)),MIN(10,Q88)))</x:f>
        <x:v>0</x:v>
      </x:c>
      <x:c r="BO88" s="9" t="n">
        <x:f>IF(OR(A88="",N88=0),0,LARGE(_xlfn._xlws.FILTER('Istoric_Nativ'!$D$6:$D$405,('Istoric_Nativ'!$B$6:$B$405=B88)*('Istoric_Nativ'!$C$6:$C$405=C88)*('Istoric_Nativ'!$P$6:$P$405=1)*('Istoric_Nativ'!$D$6:$D$405&lt;INT(G88))*((('Istoric_Nativ'!$E$6:$E$405='Input_Meci'!D88)+('Istoric_Nativ'!$F$6:$F$405='Input_Meci'!D88))&gt;0)),MIN(20,N88)))</x:f>
        <x:v>0</x:v>
      </x:c>
      <x:c r="BP88" s="9" t="n">
        <x:f>IF(OR(A88="",Q88=0),0,LARGE(_xlfn._xlws.FILTER('Istoric_Nativ'!$D$6:$D$405,('Istoric_Nativ'!$B$6:$B$405=B88)*('Istoric_Nativ'!$C$6:$C$405=C88)*('Istoric_Nativ'!$P$6:$P$405=1)*('Istoric_Nativ'!$D$6:$D$405&lt;INT(G88))*((('Istoric_Nativ'!$E$6:$E$405='Input_Meci'!E88)+('Istoric_Nativ'!$F$6:$F$405='Input_Meci'!E88))&gt;0)),MIN(20,Q88)))</x:f>
        <x:v>0</x:v>
      </x:c>
      <x:c r="BQ88" s="2" t="str">
        <x:f>IF(A88="","",IF(AND(COUNTIF(MatchesTable[Match_ID],A88)=1,COUNTIFS(MatchesTable[League],B88,MatchesTable[Season],C88,MatchesTable[Home],'Input_Meci'!D88,MatchesTable[Away],'Input_Meci'!E88,MatchesTable[Kickoff_UTC],F88)=1,B88&lt;&gt;"",C88&lt;&gt;"",'Input_Meci'!D88&lt;&gt;"",'Input_Meci'!E88&lt;&gt;"",'Input_Meci'!D88&lt;&gt;'Input_Meci'!E88,ISNUMBER(F88),ISNUMBER(G88),G88&lt;F88,OR(E88="LIVE",E88="REPLAY"),OR('Input_Meci'!L88="YES",'Input_Meci'!L88="NO",'Input_Meci'!L88="")),"VALID","INVALID"))</x:f>
      </x:c>
      <x:c r="BR88" s="2" t="n">
        <x:f>IF(I88&lt;&gt;"PASS",0,SUMPRODUCT(('Istoric_Nativ'!$B$6:$B$405='Input_Meci'!B88)*('Istoric_Nativ'!$C$6:$C$405='Input_Meci'!C88)*('Istoric_Nativ'!$P$6:$P$405=1)*('Istoric_Nativ'!$D$6:$D$405&lt;INT('Input_Meci'!G88))*((('Istoric_Nativ'!$E$6:$E$405='Input_Meci'!D88)+('Istoric_Nativ'!$F$6:$F$405='Input_Meci'!E88))&gt;0)))</x:f>
        <x:v>0</x:v>
      </x:c>
      <x:c r="BS88" s="2" t="n">
        <x:f>IF(I88&lt;&gt;"PASS",0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BM88)+((('Istoric_Nativ'!$E$6:$E$405='Input_Meci'!E88)+('Istoric_Nativ'!$F$6:$F$405='Input_Meci'!E88))&gt;0)*('Istoric_Nativ'!$D$6:$D$405&gt;=BN88))&gt;0)))</x:f>
        <x:v>0</x:v>
      </x:c>
      <x:c r="BT88" s="2" t="n">
        <x:f>IF(I88&lt;&gt;"PASS",0,SUMPRODUCT(('Istoric_Nativ'!$B$6:$B$405='Input_Meci'!B88)*('Istoric_Nativ'!$C$6:$C$405='Input_Meci'!C88)*('Istoric_Nativ'!$P$6:$P$405=1)*('Istoric_Nativ'!$D$6:$D$405&lt;INT('Input_Meci'!G88))*((((('Istoric_Nativ'!$E$6:$E$405='Input_Meci'!D88)+('Istoric_Nativ'!$F$6:$F$405='Input_Meci'!D88))&gt;0)*('Istoric_Nativ'!$D$6:$D$405&gt;=BO88)+((('Istoric_Nativ'!$E$6:$E$405='Input_Meci'!E88)+('Istoric_Nativ'!$F$6:$F$405='Input_Meci'!E88))&gt;0)*('Istoric_Nativ'!$D$6:$D$405&gt;=BP88))&gt;0)))</x:f>
        <x:v>0</x:v>
      </x:c>
    </x:row>
    <x:row r="89" ht="21" customHeight="1">
      <x:c r="A89" s="2" t="str">
        <x:f>IF('Input_Meci'!A89="","",'Input_Meci'!A89)</x:f>
      </x:c>
      <x:c r="B89" s="2" t="str">
        <x:f>IF(A89="","",'Input_Meci'!B89)</x:f>
      </x:c>
      <x:c r="C89" s="2" t="str">
        <x:f>IF(A89="","",'Input_Meci'!C89)</x:f>
      </x:c>
      <x:c r="D89" s="2" t="str">
        <x:f>IF(A89="","",'Input_Meci'!D89&amp;" – "&amp;'Input_Meci'!E89)</x:f>
      </x:c>
      <x:c r="E89" s="2" t="str">
        <x:f>IF(A89="","",'Input_Meci'!H89)</x:f>
      </x:c>
      <x:c r="F89" s="9" t="str">
        <x:f>IF(A89="","",'Input_Meci'!F89)</x:f>
      </x:c>
      <x:c r="G89" s="9" t="str">
        <x:f>IF(A89="","",'Input_Meci'!G89)</x:f>
      </x:c>
      <x:c r="H89" s="2" t="str">
        <x:f>IF(A89="","",IF(BQ89&lt;&gt;"VALID","NOT RELEASED",IF(AND(OR('Input_Meci'!I89="NOT AVAILABLE",'Input_Meci'!I89="SOURCE CONFLICT"),'Input_Meci'!J89&lt;&gt;""),"READY",IF(OR(NOT(OR('Input_Meci'!I89="AUTO",'Input_Meci'!I89="")),COUNTIF('Core_Nativ'!R1002:R1007,"CLOSED")&lt;&gt;6,BJ89&gt;0),"NOT RELEASED","READY"))))</x:f>
      </x:c>
      <x:c r="I89" s="2" t="str">
        <x:f>IF(A89="","",IF(H89&lt;&gt;"READY","NOT RELEASED",IF(AND(NOT(OR('Input_Meci'!I89="NOT AVAILABLE",'Input_Meci'!I89="SOURCE CONFLICT")),L89=12,AR89&gt;=2,AS89&gt;0,ISNUMBER(AT89),BI89="VALID",BK89="VALID"),"PASS","FAIL")))</x:f>
      </x:c>
      <x:c r="J89" s="2" t="str">
        <x:f>IF(A89="","",IF(BQ89&lt;&gt;"VALID","Verifica ID, echipe, mod si cutoff &lt; kickoff",IF(H89&lt;&gt;"READY",IF('Input_Meci'!I89="ACCESS BLOCKED","Acces blocat: reia sursele",IF(BJ89&gt;0,"Istoric invalid sau conflict: verifica randurile native","Surse neinchise / post-cutoff / dovezi incomplete")),IF(OR('Input_Meci'!I89="NOT AVAILABLE",'Input_Meci'!I89="SOURCE CONFLICT"),'Input_Meci'!I89,IF(BK89&lt;&gt;"VALID","Parametri invalizi",IF(L89&lt;&gt;12,"Core / sample / prior insuficient",IF(AR89&lt;2,"N insuficient pentru dispersie",IF(AS89&lt;=0,"Media istorica trebuie sa fie pozitiva",IF(BI89&lt;&gt;"VALID","Context invalid","READY")))))))))</x:f>
      </x:c>
      <x:c r="K89" s="2" t="str">
        <x:f>IF(A89="","",COUNT(T89:AE89))</x:f>
      </x:c>
      <x:c r="L89" s="2" t="str">
        <x:f>IF(A89="","",COUNT(AF89:AQ89))</x:f>
      </x:c>
      <x:c r="M89" s="2" t="str">
        <x:f>IF(A89="","",IF(OR('Core_Nativ'!M1002&lt;'Core_Nativ'!P1002,'Core_Nativ'!M1003&lt;'Core_Nativ'!P1003,'Core_Nativ'!M1004&lt;'Core_Nativ'!P1004,'Core_Nativ'!M1005&lt;'Core_Nativ'!P1005,'Core_Nativ'!M1006&lt;'Core_Nativ'!P1006,'Core_Nativ'!M1007&lt;'Core_Nativ'!P1007),"YES","NO"))</x:f>
      </x:c>
      <x:c r="N89" s="2" t="str">
        <x:f>IF(A89="","",'Core_Nativ'!M1002)</x:f>
      </x:c>
      <x:c r="O89" s="2" t="str">
        <x:f>IF(A89="","",'Core_Nativ'!M1003)</x:f>
      </x:c>
      <x:c r="P89" s="2" t="str">
        <x:f>IF(A89="","",'Core_Nativ'!M1004)</x:f>
      </x:c>
      <x:c r="Q89" s="2" t="str">
        <x:f>IF(A89="","",'Core_Nativ'!M1005)</x:f>
      </x:c>
      <x:c r="R89" s="2" t="str">
        <x:f>IF(A89="","",'Core_Nativ'!M1006)</x:f>
      </x:c>
      <x:c r="S89" s="2" t="str">
        <x:f>IF(A89="","",'Core_Nativ'!M1007)</x:f>
      </x:c>
      <x:c r="T89" s="11" t="str">
        <x:f>IF(OR(A89="",'Core_Nativ'!M1002=0),"",'Core_Nativ'!N1002)</x:f>
      </x:c>
      <x:c r="U89" s="11" t="str">
        <x:f>IF(OR(A89="",'Core_Nativ'!M1002=0),"",'Core_Nativ'!O1002)</x:f>
      </x:c>
      <x:c r="V89" s="11" t="str">
        <x:f>IF(OR(A89="",'Core_Nativ'!M1003=0),"",'Core_Nativ'!N1003)</x:f>
      </x:c>
      <x:c r="W89" s="11" t="str">
        <x:f>IF(OR(A89="",'Core_Nativ'!M1003=0),"",'Core_Nativ'!O1003)</x:f>
      </x:c>
      <x:c r="X89" s="11" t="str">
        <x:f>IF(OR(A89="",'Core_Nativ'!M1004=0),"",'Core_Nativ'!N1004)</x:f>
      </x:c>
      <x:c r="Y89" s="11" t="str">
        <x:f>IF(OR(A89="",'Core_Nativ'!M1004=0),"",'Core_Nativ'!O1004)</x:f>
      </x:c>
      <x:c r="Z89" s="11" t="str">
        <x:f>IF(OR(A89="",'Core_Nativ'!M1005=0),"",'Core_Nativ'!N1005)</x:f>
      </x:c>
      <x:c r="AA89" s="11" t="str">
        <x:f>IF(OR(A89="",'Core_Nativ'!M1005=0),"",'Core_Nativ'!O1005)</x:f>
      </x:c>
      <x:c r="AB89" s="11" t="str">
        <x:f>IF(OR(A89="",'Core_Nativ'!M1006=0),"",'Core_Nativ'!N1006)</x:f>
      </x:c>
      <x:c r="AC89" s="11" t="str">
        <x:f>IF(OR(A89="",'Core_Nativ'!M1006=0),"",'Core_Nativ'!O1006)</x:f>
      </x:c>
      <x:c r="AD89" s="11" t="str">
        <x:f>IF(OR(A89="",'Core_Nativ'!M1007=0),"",'Core_Nativ'!N1007)</x:f>
      </x:c>
      <x:c r="AE89" s="11" t="str">
        <x:f>IF(OR(A89="",'Core_Nativ'!M1007=0),"",'Core_Nativ'!O1007)</x:f>
      </x:c>
      <x:c r="AF89" s="11" t="str">
        <x:f>IF(A89="","",IF(AND('Core_Nativ'!R1002="CLOSED",'Core_Nativ'!S1002=0),IF('Core_Nativ'!M1002&gt;='Core_Nativ'!P1002,'Core_Nativ'!N1002,IF(AND('Input_Meci'!L89="YES",'Input_Meci'!K89&lt;&gt;"",'Input_Meci'!K89&lt;C89,'Core_Nativ'!T1008="DERIVED",'Core_Nativ'!M1008&gt;='Core_Nativ'!P1002),MIN(1,'Core_Nativ'!M1002/'Core_Nativ'!P1002)*IF('Core_Nativ'!M1002=0,0,'Core_Nativ'!N1002)+(1-MIN(1,'Core_Nativ'!M1002/'Core_Nativ'!P1002))*'Core_Nativ'!N1008,"")),""))</x:f>
      </x:c>
      <x:c r="AG89" s="11" t="str">
        <x:f>IF(A89="","",IF(AND('Core_Nativ'!R1002="CLOSED",'Core_Nativ'!S1002=0),IF('Core_Nativ'!M1002&gt;='Core_Nativ'!P1002,'Core_Nativ'!O1002,IF(AND('Input_Meci'!L89="YES",'Input_Meci'!K89&lt;&gt;"",'Input_Meci'!K89&lt;C89,'Core_Nativ'!T1008="DERIVED",'Core_Nativ'!M1008&gt;='Core_Nativ'!P1002),MIN(1,'Core_Nativ'!M1002/'Core_Nativ'!P1002)*IF('Core_Nativ'!M1002=0,0,'Core_Nativ'!O1002)+(1-MIN(1,'Core_Nativ'!M1002/'Core_Nativ'!P1002))*'Core_Nativ'!O1008,"")),""))</x:f>
      </x:c>
      <x:c r="AH89" s="11" t="str">
        <x:f>IF(A89="","",IF(AND('Core_Nativ'!R1003="CLOSED",'Core_Nativ'!S1003=0),IF('Core_Nativ'!M1003&gt;='Core_Nativ'!P1003,'Core_Nativ'!N1003,IF(AND('Input_Meci'!L89="YES",'Input_Meci'!K89&lt;&gt;"",'Input_Meci'!K89&lt;C89,'Core_Nativ'!T1009="DERIVED",'Core_Nativ'!M1009&gt;='Core_Nativ'!P1003),MIN(1,'Core_Nativ'!M1003/'Core_Nativ'!P1003)*IF('Core_Nativ'!M1003=0,0,'Core_Nativ'!N1003)+(1-MIN(1,'Core_Nativ'!M1003/'Core_Nativ'!P1003))*'Core_Nativ'!N1009,"")),""))</x:f>
      </x:c>
      <x:c r="AI89" s="11" t="str">
        <x:f>IF(A89="","",IF(AND('Core_Nativ'!R1003="CLOSED",'Core_Nativ'!S1003=0),IF('Core_Nativ'!M1003&gt;='Core_Nativ'!P1003,'Core_Nativ'!O1003,IF(AND('Input_Meci'!L89="YES",'Input_Meci'!K89&lt;&gt;"",'Input_Meci'!K89&lt;C89,'Core_Nativ'!T1009="DERIVED",'Core_Nativ'!M1009&gt;='Core_Nativ'!P1003),MIN(1,'Core_Nativ'!M1003/'Core_Nativ'!P1003)*IF('Core_Nativ'!M1003=0,0,'Core_Nativ'!O1003)+(1-MIN(1,'Core_Nativ'!M1003/'Core_Nativ'!P1003))*'Core_Nativ'!O1009,"")),""))</x:f>
      </x:c>
      <x:c r="AJ89" s="11" t="str">
        <x:f>IF(A89="","",IF(AND('Core_Nativ'!R1004="CLOSED",'Core_Nativ'!S1004=0),IF('Core_Nativ'!M1004&gt;='Core_Nativ'!P1004,'Core_Nativ'!N1004,IF(AND('Input_Meci'!L89="YES",'Input_Meci'!K89&lt;&gt;"",'Input_Meci'!K89&lt;C89,'Core_Nativ'!T1010="DERIVED",'Core_Nativ'!M1010&gt;='Core_Nativ'!P1004),MIN(1,'Core_Nativ'!M1004/'Core_Nativ'!P1004)*IF('Core_Nativ'!M1004=0,0,'Core_Nativ'!N1004)+(1-MIN(1,'Core_Nativ'!M1004/'Core_Nativ'!P1004))*'Core_Nativ'!N1010,"")),""))</x:f>
      </x:c>
      <x:c r="AK89" s="11" t="str">
        <x:f>IF(A89="","",IF(AND('Core_Nativ'!R1004="CLOSED",'Core_Nativ'!S1004=0),IF('Core_Nativ'!M1004&gt;='Core_Nativ'!P1004,'Core_Nativ'!O1004,IF(AND('Input_Meci'!L89="YES",'Input_Meci'!K89&lt;&gt;"",'Input_Meci'!K89&lt;C89,'Core_Nativ'!T1010="DERIVED",'Core_Nativ'!M1010&gt;='Core_Nativ'!P1004),MIN(1,'Core_Nativ'!M1004/'Core_Nativ'!P1004)*IF('Core_Nativ'!M1004=0,0,'Core_Nativ'!O1004)+(1-MIN(1,'Core_Nativ'!M1004/'Core_Nativ'!P1004))*'Core_Nativ'!O1010,"")),""))</x:f>
      </x:c>
      <x:c r="AL89" s="11" t="str">
        <x:f>IF(A89="","",IF(AND('Core_Nativ'!R1005="CLOSED",'Core_Nativ'!S1005=0),IF('Core_Nativ'!M1005&gt;='Core_Nativ'!P1005,'Core_Nativ'!N1005,IF(AND('Input_Meci'!L89="YES",'Input_Meci'!K89&lt;&gt;"",'Input_Meci'!K89&lt;C89,'Core_Nativ'!T1011="DERIVED",'Core_Nativ'!M1011&gt;='Core_Nativ'!P1005),MIN(1,'Core_Nativ'!M1005/'Core_Nativ'!P1005)*IF('Core_Nativ'!M1005=0,0,'Core_Nativ'!N1005)+(1-MIN(1,'Core_Nativ'!M1005/'Core_Nativ'!P1005))*'Core_Nativ'!N1011,"")),""))</x:f>
      </x:c>
      <x:c r="AM89" s="11" t="str">
        <x:f>IF(A89="","",IF(AND('Core_Nativ'!R1005="CLOSED",'Core_Nativ'!S1005=0),IF('Core_Nativ'!M1005&gt;='Core_Nativ'!P1005,'Core_Nativ'!O1005,IF(AND('Input_Meci'!L89="YES",'Input_Meci'!K89&lt;&gt;"",'Input_Meci'!K89&lt;C89,'Core_Nativ'!T1011="DERIVED",'Core_Nativ'!M1011&gt;='Core_Nativ'!P1005),MIN(1,'Core_Nativ'!M1005/'Core_Nativ'!P1005)*IF('Core_Nativ'!M1005=0,0,'Core_Nativ'!O1005)+(1-MIN(1,'Core_Nativ'!M1005/'Core_Nativ'!P1005))*'Core_Nativ'!O1011,"")),""))</x:f>
      </x:c>
      <x:c r="AN89" s="11" t="str">
        <x:f>IF(A89="","",IF(AND('Core_Nativ'!R1006="CLOSED",'Core_Nativ'!S1006=0),IF('Core_Nativ'!M1006&gt;='Core_Nativ'!P1006,'Core_Nativ'!N1006,IF(AND('Input_Meci'!L89="YES",'Input_Meci'!K89&lt;&gt;"",'Input_Meci'!K89&lt;C89,'Core_Nativ'!T1012="DERIVED",'Core_Nativ'!M1012&gt;='Core_Nativ'!P1006),MIN(1,'Core_Nativ'!M1006/'Core_Nativ'!P1006)*IF('Core_Nativ'!M1006=0,0,'Core_Nativ'!N1006)+(1-MIN(1,'Core_Nativ'!M1006/'Core_Nativ'!P1006))*'Core_Nativ'!N1012,"")),""))</x:f>
      </x:c>
      <x:c r="AO89" s="11" t="str">
        <x:f>IF(A89="","",IF(AND('Core_Nativ'!R1006="CLOSED",'Core_Nativ'!S1006=0),IF('Core_Nativ'!M1006&gt;='Core_Nativ'!P1006,'Core_Nativ'!O1006,IF(AND('Input_Meci'!L89="YES",'Input_Meci'!K89&lt;&gt;"",'Input_Meci'!K89&lt;C89,'Core_Nativ'!T1012="DERIVED",'Core_Nativ'!M1012&gt;='Core_Nativ'!P1006),MIN(1,'Core_Nativ'!M1006/'Core_Nativ'!P1006)*IF('Core_Nativ'!M1006=0,0,'Core_Nativ'!O1006)+(1-MIN(1,'Core_Nativ'!M1006/'Core_Nativ'!P1006))*'Core_Nativ'!O1012,"")),""))</x:f>
      </x:c>
      <x:c r="AP89" s="11" t="str">
        <x:f>IF(A89="","",IF(AND('Core_Nativ'!R1007="CLOSED",'Core_Nativ'!S1007=0),IF('Core_Nativ'!M1007&gt;='Core_Nativ'!P1007,'Core_Nativ'!N1007,IF(AND('Input_Meci'!L89="YES",'Input_Meci'!K89&lt;&gt;"",'Input_Meci'!K89&lt;C89,'Core_Nativ'!T1013="DERIVED",'Core_Nativ'!M1013&gt;='Core_Nativ'!P1007),MIN(1,'Core_Nativ'!M1007/'Core_Nativ'!P1007)*IF('Core_Nativ'!M1007=0,0,'Core_Nativ'!N1007)+(1-MIN(1,'Core_Nativ'!M1007/'Core_Nativ'!P1007))*'Core_Nativ'!N1013,"")),""))</x:f>
      </x:c>
      <x:c r="AQ89" s="11" t="str">
        <x:f>IF(A89="","",IF(AND('Core_Nativ'!R1007="CLOSED",'Core_Nativ'!S1007=0),IF('Core_Nativ'!M1007&gt;='Core_Nativ'!P1007,'Core_Nativ'!O1007,IF(AND('Input_Meci'!L89="YES",'Input_Meci'!K89&lt;&gt;"",'Input_Meci'!K89&lt;C89,'Core_Nativ'!T1013="DERIVED",'Core_Nativ'!M1013&gt;='Core_Nativ'!P1007),MIN(1,'Core_Nativ'!M1007/'Core_Nativ'!P1007)*IF('Core_Nativ'!M1007=0,0,'Core_Nativ'!O1007)+(1-MIN(1,'Core_Nativ'!M1007/'Core_Nativ'!P1007))*'Core_Nativ'!O1013,"")),""))</x:f>
      </x:c>
      <x:c r="AR89" s="11" t="str">
        <x:f>IF(A89="","",SUMPRODUCT(('Istoric_Nativ'!$B$6:$B$405=B89)*('Istoric_Nativ'!$C$6:$C$405=BL89)*('Istoric_Nativ'!$P$6:$P$405=1)*('Istoric_Nativ'!$D$6:$D$405&lt;INT(G89))*((('Istoric_Nativ'!$E$6:$E$405='Input_Meci'!D89)+('Istoric_Nativ'!$F$6:$F$405='Input_Meci'!D89)+('Istoric_Nativ'!$E$6:$E$405='Input_Meci'!E89)+('Istoric_Nativ'!$F$6:$F$405='Input_Meci'!E89))&gt;0)))</x:f>
      </x:c>
      <x:c r="AS89" s="11" t="str">
        <x:f>IF(AR89=0,"",SUMPRODUCT(('Istoric_Nativ'!$B$6:$B$405=B89)*('Istoric_Nativ'!$C$6:$C$405=BL89)*('Istoric_Nativ'!$P$6:$P$405=1)*('Istoric_Nativ'!$D$6:$D$405&lt;INT(G89))*((('Istoric_Nativ'!$E$6:$E$405='Input_Meci'!D89)+('Istoric_Nativ'!$F$6:$F$405='Input_Meci'!D89)+('Istoric_Nativ'!$E$6:$E$405='Input_Meci'!E89)+('Istoric_Nativ'!$F$6:$F$405='Input_Meci'!E89))&gt;0)*'Istoric_Nativ'!$Q$6:$Q$405)/AR89)</x:f>
      </x:c>
      <x:c r="AT89" s="11" t="str">
        <x:f>IF(AR89&lt;2,"",MAX(0,(SUMPRODUCT(('Istoric_Nativ'!$B$6:$B$405=B89)*('Istoric_Nativ'!$C$6:$C$405=BL89)*('Istoric_Nativ'!$P$6:$P$405=1)*('Istoric_Nativ'!$D$6:$D$405&lt;INT(G89))*((('Istoric_Nativ'!$E$6:$E$405='Input_Meci'!D89)+('Istoric_Nativ'!$F$6:$F$405='Input_Meci'!D89)+('Istoric_Nativ'!$E$6:$E$405='Input_Meci'!E89)+('Istoric_Nativ'!$F$6:$F$405='Input_Meci'!E89))&gt;0)*'Istoric_Nativ'!$R$6:$R$405)-AR89*AS89^2)/(AR89-1)))</x:f>
      </x:c>
      <x:c r="AU89" s="11" t="str">
        <x:f>IF(I89&lt;&gt;"PASS","",AT89/AS89)</x:f>
      </x:c>
      <x:c r="AV89" s="11" t="str">
        <x:f>IF(I89&lt;&gt;"PASS","",IF(AU89&lt;='Config_v6'!$B$10,"POISSON","NEGATIVE BINOMIAL"))</x:f>
      </x:c>
      <x:c r="AW89" s="11" t="str">
        <x:f>IF(I89&lt;&gt;"PASS","",IF(AV89="POISSON",9999,AS89/(AU89-1)))</x:f>
      </x:c>
      <x:c r="AX89" s="11" t="str">
        <x:f>IF(A89="","",MAX(1-'Config_v6'!$B$20,MIN(1+'Config_v6'!$B$20,1+0.02*(IF(AND(ISNUMBER('Input_Meci'!N89),'Input_Meci'!N89&gt;=0,'Input_Meci'!N89&lt;=200),'Input_Meci'!N89,12)/12-1)+0.02*(IF(AND(ISNUMBER('Input_Meci'!P89),'Input_Meci'!P89&gt;=0,'Input_Meci'!P89&lt;=200),'Input_Meci'!P89,3.5)/3.5-1)+0.02*(IF(AND(ISNUMBER('Input_Meci'!R89),'Input_Meci'!R89&gt;=0,'Input_Meci'!R89&lt;=200),'Input_Meci'!R89,18)/18-1)+0.02*((IF(AND(ISNUMBER('Input_Meci'!V89),'Input_Meci'!V89&gt;=0,'Input_Meci'!V89&lt;=10),'Input_Meci'!V89,5)-5)/5))))</x:f>
      </x:c>
      <x:c r="AY89" s="11" t="str">
        <x:f>IF(A89="","",MAX(1-'Config_v6'!$B$20,MIN(1+'Config_v6'!$B$20,1+0.02*(IF(AND(ISNUMBER('Input_Meci'!O89),'Input_Meci'!O89&gt;=0,'Input_Meci'!O89&lt;=200),'Input_Meci'!O89,12)/12-1)+0.02*(IF(AND(ISNUMBER('Input_Meci'!Q89),'Input_Meci'!Q89&gt;=0,'Input_Meci'!Q89&lt;=200),'Input_Meci'!Q89,3.5)/3.5-1)+0.02*(IF(AND(ISNUMBER('Input_Meci'!S89),'Input_Meci'!S89&gt;=0,'Input_Meci'!S89&lt;=200),'Input_Meci'!S89,18)/18-1)+0.02*((IF(AND(ISNUMBER('Input_Meci'!W89),'Input_Meci'!W89&gt;=0,'Input_Meci'!W89&lt;=10),'Input_Meci'!W89,5)-5)/5))))</x:f>
      </x:c>
      <x:c r="AZ89" s="11" t="str">
        <x:f>IF(A89="","",MAX(1-'Config_v6'!$B$21,MIN(1+'Config_v6'!$B$21,1+0.012*(IF('Input_Meci'!X89="",5,IF(ISNUMBER('Input_Meci'!X89),'Input_Meci'!X89,5))-5)+0.018*(IF('Input_Meci'!Z89="",5,IF(ISNUMBER('Input_Meci'!Z89),'Input_Meci'!Z89,5))-5)+0.012*(IF('Input_Meci'!AB89="",5,IF(ISNUMBER('Input_Meci'!AB89),'Input_Meci'!AB89,5))-5)+0.015*IF('Input_Meci'!AD89="",0,IF(ISNUMBER('Input_Meci'!AD89),'Input_Meci'!AD89,0))+0.02*IF('Input_Meci'!AF89="",0,IF(ISNUMBER('Input_Meci'!AF89),'Input_Meci'!AF89,0)))))</x:f>
      </x:c>
      <x:c r="BA89" s="11" t="str">
        <x:f>IF(A89="","",MAX(1-'Config_v6'!$B$21,MIN(1+'Config_v6'!$B$21,1+0.012*(IF('Input_Meci'!Y89="",5,IF(ISNUMBER('Input_Meci'!Y89),'Input_Meci'!Y89,5))-5)+0.018*(IF('Input_Meci'!AA89="",5,IF(ISNUMBER('Input_Meci'!AA89),'Input_Meci'!AA89,5))-5)+0.012*(IF('Input_Meci'!AC89="",5,IF(ISNUMBER('Input_Meci'!AC89),'Input_Meci'!AC89,5))-5)+0.015*IF('Input_Meci'!AE89="",0,IF(ISNUMBER('Input_Meci'!AE89),'Input_Meci'!AE89,0))+0.02*IF('Input_Meci'!AG89="",0,IF(ISNUMBER('Input_Meci'!AG89),'Input_Meci'!AG89,0)))))</x:f>
      </x:c>
      <x:c r="BB89" s="11" t="str">
        <x:f>IF(I89&lt;&gt;"PASS","",(AVERAGE(AF89,AM89)*'Config_v6'!$B$4+AVERAGE(AH89,AO89)*'Config_v6'!$B$5+AVERAGE(AJ89,AQ89)*'Config_v6'!$B$6)*AX89*AZ89)</x:f>
      </x:c>
      <x:c r="BC89" s="11" t="str">
        <x:f>IF(I89&lt;&gt;"PASS","",(AVERAGE(AL89,AG89)*'Config_v6'!$B$4+AVERAGE(AN89,AI89)*'Config_v6'!$B$5+AVERAGE(AP89,AK89)*'Config_v6'!$B$6)*AY89*BA89)</x:f>
      </x:c>
      <x:c r="BD89" s="11" t="str">
        <x:f>IF(I89&lt;&gt;"PASS","",BB89+BC89)</x:f>
      </x:c>
      <x:c r="BE89" s="11" t="str">
        <x:f>IF(A89="","",10-SUM(IF(AND(ISNUMBER('Input_Meci'!N89),'Input_Meci'!N89&gt;=0,'Input_Meci'!N89&lt;=200),1,0),IF(AND(ISNUMBER('Input_Meci'!O89),'Input_Meci'!O89&gt;=0,'Input_Meci'!O89&lt;=200),1,0),IF(AND(ISNUMBER('Input_Meci'!P89),'Input_Meci'!P89&gt;=0,'Input_Meci'!P89&lt;=200),1,0),IF(AND(ISNUMBER('Input_Meci'!Q89),'Input_Meci'!Q89&gt;=0,'Input_Meci'!Q89&lt;=200),1,0),IF(AND(ISNUMBER('Input_Meci'!R89),'Input_Meci'!R89&gt;=0,'Input_Meci'!R89&lt;=200),1,0),IF(AND(ISNUMBER('Input_Meci'!S89),'Input_Meci'!S89&gt;=0,'Input_Meci'!S89&lt;=200),1,0),IF(AND(ISNUMBER('Input_Meci'!T89),'Input_Meci'!T89&gt;=0,'Input_Meci'!T89&lt;=100),1,0),IF(AND(ISNUMBER('Input_Meci'!U89),'Input_Meci'!U89&gt;=0,'Input_Meci'!U89&lt;=100),1,0),IF(AND(ISNUMBER('Input_Meci'!V89),'Input_Meci'!V89&gt;=0,'Input_Meci'!V89&lt;=10),1,0),IF(AND(ISNUMBER('Input_Meci'!W89),'Input_Meci'!W89&gt;=0,'Input_Meci'!W89&lt;=10),1,0)))</x:f>
      </x:c>
      <x:c r="BF89" s="11" t="str">
        <x:f>IF(I89&lt;&gt;"PASS","",MAX(0,MIN(IF(OR(M89="YES",BL89&lt;&gt;C89),'Config_v6'!$B$34,100),ROUND(40+25*MIN(1,MIN(N89,Q89)/'Config_v6'!$B$7)*MIN(1,MIN(O89,R89)/'Config_v6'!$B$8)*MIN(1,MIN(P89,S89)/'Config_v6'!$B$9)+MAX(0,15-2*ABS(AF89-AJ89)-2*ABS(AL89-AP89))+IF(AU89&lt;='Config_v6'!$B$10,15,IF(AU89&lt;='Config_v6'!$B$11,13,IF(AU89&lt;='Config_v6'!$B$12,10,IF(AU89&lt;='Config_v6'!$B$13,6,0))))+5-BE89/10*'Config_v6'!$B$38,0))))</x:f>
      </x:c>
      <x:c r="BG89" s="11" t="str">
        <x:f>IF(I89&lt;&gt;"PASS","",MIN(1,'Config_v6'!$B$14*(0.7+0.3*MIN(1,AR89/'Config_v6'!$B$15))*IF(AU89&lt;='Config_v6'!$B$10,1,IF(AU89&lt;='Config_v6'!$B$11,0.95,IF(AU89&lt;='Config_v6'!$B$12,0.88,0.78)))*(0.75+0.25*BF89/100)))</x:f>
      </x:c>
      <x:c r="BH89" s="11" t="str">
        <x:f>IF(I89&lt;&gt;"PASS","",MIN(1,(ABS(AZ89-1)+ABS(BA89-1))*3))</x:f>
      </x:c>
      <x:c r="BI89" s="2" t="str">
        <x:f>IF(A89="","",IF(AND(OR('Input_Meci'!X89="",AND(ISNUMBER('Input_Meci'!X89),'Input_Meci'!X89&gt;=0,'Input_Meci'!X89&lt;=10)),OR('Input_Meci'!Y89="",AND(ISNUMBER('Input_Meci'!Y89),'Input_Meci'!Y89&gt;=0,'Input_Meci'!Y89&lt;=10)),OR('Input_Meci'!Z89="",AND(ISNUMBER('Input_Meci'!Z89),'Input_Meci'!Z89&gt;=0,'Input_Meci'!Z89&lt;=10)),OR('Input_Meci'!AA89="",AND(ISNUMBER('Input_Meci'!AA89),'Input_Meci'!AA89&gt;=0,'Input_Meci'!AA89&lt;=10)),OR('Input_Meci'!AB89="",AND(ISNUMBER('Input_Meci'!AB89),'Input_Meci'!AB89&gt;=0,'Input_Meci'!AB89&lt;=10)),OR('Input_Meci'!AC89="",AND(ISNUMBER('Input_Meci'!AC89),'Input_Meci'!AC89&gt;=0,'Input_Meci'!AC89&lt;=10)),OR('Input_Meci'!AD89="",AND(ISNUMBER('Input_Meci'!AD89),'Input_Meci'!AD89&gt;=-2,'Input_Meci'!AD89&lt;=2)),OR('Input_Meci'!AE89="",AND(ISNUMBER('Input_Meci'!AE89),'Input_Meci'!AE89&gt;=-2,'Input_Meci'!AE89&lt;=2)),OR('Input_Meci'!AF89="",AND(ISNUMBER('Input_Meci'!AF89),'Input_Meci'!AF89&gt;=-2,'Input_Meci'!AF89&lt;=2)),OR('Input_Meci'!AG89="",AND(ISNUMBER('Input_Meci'!AG89),'Input_Meci'!AG89&gt;=-2,'Input_Meci'!AG89&lt;=2))),"VALID","INVALID"))</x:f>
      </x:c>
      <x:c r="BJ89" s="2" t="n">
        <x:f>IF(A89="",0,SUM('Core_Nativ'!S1002:S1007))</x:f>
        <x:v>0</x:v>
      </x:c>
      <x:c r="BK89" s="2" t="str">
        <x:f>'Config_v6'!$B$40</x:f>
        <x:v>VALID</x:v>
      </x:c>
      <x:c r="BL89" s="2" t="str">
        <x:f>IF(A89="","",IF(SUMPRODUCT(('Istoric_Nativ'!$B$6:$B$405=B89)*('Istoric_Nativ'!$C$6:$C$405=C89)*('Istoric_Nativ'!$P$6:$P$405=1)*('Istoric_Nativ'!$D$6:$D$405&lt;INT(G89))*((('Istoric_Nativ'!$E$6:$E$405='Input_Meci'!D89)+('Istoric_Nativ'!$F$6:$F$405='Input_Meci'!D89)+('Istoric_Nativ'!$E$6:$E$405='Input_Meci'!E89)+('Istoric_Nativ'!$F$6:$F$405='Input_Meci'!E89))&gt;0))&gt;='Config_v6'!$B$41,C89,IF(AND('Input_Meci'!L89="YES",'Input_Meci'!K89&lt;&gt;"",'Input_Meci'!K89&lt;C89,COUNTIF('Core_Nativ'!R1008:R1013,"CLOSED")=6,SUM('Core_Nativ'!S1008:S1013)=0),'Input_Meci'!K89,C89)))</x:f>
      </x:c>
      <x:c r="BM89" s="9" t="n">
        <x:f>IF(OR(A89="",N89=0),0,LARGE(_xlfn._xlws.FILTER('Istoric_Nativ'!$D$6:$D$405,('Istoric_Nativ'!$B$6:$B$405=B89)*('Istoric_Nativ'!$C$6:$C$405=C89)*('Istoric_Nativ'!$P$6:$P$405=1)*('Istoric_Nativ'!$D$6:$D$405&lt;INT(G89))*((('Istoric_Nativ'!$E$6:$E$405='Input_Meci'!D89)+('Istoric_Nativ'!$F$6:$F$405='Input_Meci'!D89))&gt;0)),MIN(10,N89)))</x:f>
        <x:v>0</x:v>
      </x:c>
      <x:c r="BN89" s="9" t="n">
        <x:f>IF(OR(A89="",Q89=0),0,LARGE(_xlfn._xlws.FILTER('Istoric_Nativ'!$D$6:$D$405,('Istoric_Nativ'!$B$6:$B$405=B89)*('Istoric_Nativ'!$C$6:$C$405=C89)*('Istoric_Nativ'!$P$6:$P$405=1)*('Istoric_Nativ'!$D$6:$D$405&lt;INT(G89))*((('Istoric_Nativ'!$E$6:$E$405='Input_Meci'!E89)+('Istoric_Nativ'!$F$6:$F$405='Input_Meci'!E89))&gt;0)),MIN(10,Q89)))</x:f>
        <x:v>0</x:v>
      </x:c>
      <x:c r="BO89" s="9" t="n">
        <x:f>IF(OR(A89="",N89=0),0,LARGE(_xlfn._xlws.FILTER('Istoric_Nativ'!$D$6:$D$405,('Istoric_Nativ'!$B$6:$B$405=B89)*('Istoric_Nativ'!$C$6:$C$405=C89)*('Istoric_Nativ'!$P$6:$P$405=1)*('Istoric_Nativ'!$D$6:$D$405&lt;INT(G89))*((('Istoric_Nativ'!$E$6:$E$405='Input_Meci'!D89)+('Istoric_Nativ'!$F$6:$F$405='Input_Meci'!D89))&gt;0)),MIN(20,N89)))</x:f>
        <x:v>0</x:v>
      </x:c>
      <x:c r="BP89" s="9" t="n">
        <x:f>IF(OR(A89="",Q89=0),0,LARGE(_xlfn._xlws.FILTER('Istoric_Nativ'!$D$6:$D$405,('Istoric_Nativ'!$B$6:$B$405=B89)*('Istoric_Nativ'!$C$6:$C$405=C89)*('Istoric_Nativ'!$P$6:$P$405=1)*('Istoric_Nativ'!$D$6:$D$405&lt;INT(G89))*((('Istoric_Nativ'!$E$6:$E$405='Input_Meci'!E89)+('Istoric_Nativ'!$F$6:$F$405='Input_Meci'!E89))&gt;0)),MIN(20,Q89)))</x:f>
        <x:v>0</x:v>
      </x:c>
      <x:c r="BQ89" s="2" t="str">
        <x:f>IF(A89="","",IF(AND(COUNTIF(MatchesTable[Match_ID],A89)=1,COUNTIFS(MatchesTable[League],B89,MatchesTable[Season],C89,MatchesTable[Home],'Input_Meci'!D89,MatchesTable[Away],'Input_Meci'!E89,MatchesTable[Kickoff_UTC],F89)=1,B89&lt;&gt;"",C89&lt;&gt;"",'Input_Meci'!D89&lt;&gt;"",'Input_Meci'!E89&lt;&gt;"",'Input_Meci'!D89&lt;&gt;'Input_Meci'!E89,ISNUMBER(F89),ISNUMBER(G89),G89&lt;F89,OR(E89="LIVE",E89="REPLAY"),OR('Input_Meci'!L89="YES",'Input_Meci'!L89="NO",'Input_Meci'!L89="")),"VALID","INVALID"))</x:f>
      </x:c>
      <x:c r="BR89" s="2" t="n">
        <x:f>IF(I89&lt;&gt;"PASS",0,SUMPRODUCT(('Istoric_Nativ'!$B$6:$B$405='Input_Meci'!B89)*('Istoric_Nativ'!$C$6:$C$405='Input_Meci'!C89)*('Istoric_Nativ'!$P$6:$P$405=1)*('Istoric_Nativ'!$D$6:$D$405&lt;INT('Input_Meci'!G89))*((('Istoric_Nativ'!$E$6:$E$405='Input_Meci'!D89)+('Istoric_Nativ'!$F$6:$F$405='Input_Meci'!E89))&gt;0)))</x:f>
        <x:v>0</x:v>
      </x:c>
      <x:c r="BS89" s="2" t="n">
        <x:f>IF(I89&lt;&gt;"PASS",0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BM89)+((('Istoric_Nativ'!$E$6:$E$405='Input_Meci'!E89)+('Istoric_Nativ'!$F$6:$F$405='Input_Meci'!E89))&gt;0)*('Istoric_Nativ'!$D$6:$D$405&gt;=BN89))&gt;0)))</x:f>
        <x:v>0</x:v>
      </x:c>
      <x:c r="BT89" s="2" t="n">
        <x:f>IF(I89&lt;&gt;"PASS",0,SUMPRODUCT(('Istoric_Nativ'!$B$6:$B$405='Input_Meci'!B89)*('Istoric_Nativ'!$C$6:$C$405='Input_Meci'!C89)*('Istoric_Nativ'!$P$6:$P$405=1)*('Istoric_Nativ'!$D$6:$D$405&lt;INT('Input_Meci'!G89))*((((('Istoric_Nativ'!$E$6:$E$405='Input_Meci'!D89)+('Istoric_Nativ'!$F$6:$F$405='Input_Meci'!D89))&gt;0)*('Istoric_Nativ'!$D$6:$D$405&gt;=BO89)+((('Istoric_Nativ'!$E$6:$E$405='Input_Meci'!E89)+('Istoric_Nativ'!$F$6:$F$405='Input_Meci'!E89))&gt;0)*('Istoric_Nativ'!$D$6:$D$405&gt;=BP89))&gt;0)))</x:f>
        <x:v>0</x:v>
      </x:c>
    </x:row>
    <x:row r="90" ht="21" customHeight="1">
      <x:c r="A90" s="2" t="str">
        <x:f>IF('Input_Meci'!A90="","",'Input_Meci'!A90)</x:f>
      </x:c>
      <x:c r="B90" s="2" t="str">
        <x:f>IF(A90="","",'Input_Meci'!B90)</x:f>
      </x:c>
      <x:c r="C90" s="2" t="str">
        <x:f>IF(A90="","",'Input_Meci'!C90)</x:f>
      </x:c>
      <x:c r="D90" s="2" t="str">
        <x:f>IF(A90="","",'Input_Meci'!D90&amp;" – "&amp;'Input_Meci'!E90)</x:f>
      </x:c>
      <x:c r="E90" s="2" t="str">
        <x:f>IF(A90="","",'Input_Meci'!H90)</x:f>
      </x:c>
      <x:c r="F90" s="9" t="str">
        <x:f>IF(A90="","",'Input_Meci'!F90)</x:f>
      </x:c>
      <x:c r="G90" s="9" t="str">
        <x:f>IF(A90="","",'Input_Meci'!G90)</x:f>
      </x:c>
      <x:c r="H90" s="2" t="str">
        <x:f>IF(A90="","",IF(BQ90&lt;&gt;"VALID","NOT RELEASED",IF(AND(OR('Input_Meci'!I90="NOT AVAILABLE",'Input_Meci'!I90="SOURCE CONFLICT"),'Input_Meci'!J90&lt;&gt;""),"READY",IF(OR(NOT(OR('Input_Meci'!I90="AUTO",'Input_Meci'!I90="")),COUNTIF('Core_Nativ'!R1014:R1019,"CLOSED")&lt;&gt;6,BJ90&gt;0),"NOT RELEASED","READY"))))</x:f>
      </x:c>
      <x:c r="I90" s="2" t="str">
        <x:f>IF(A90="","",IF(H90&lt;&gt;"READY","NOT RELEASED",IF(AND(NOT(OR('Input_Meci'!I90="NOT AVAILABLE",'Input_Meci'!I90="SOURCE CONFLICT")),L90=12,AR90&gt;=2,AS90&gt;0,ISNUMBER(AT90),BI90="VALID",BK90="VALID"),"PASS","FAIL")))</x:f>
      </x:c>
      <x:c r="J90" s="2" t="str">
        <x:f>IF(A90="","",IF(BQ90&lt;&gt;"VALID","Verifica ID, echipe, mod si cutoff &lt; kickoff",IF(H90&lt;&gt;"READY",IF('Input_Meci'!I90="ACCESS BLOCKED","Acces blocat: reia sursele",IF(BJ90&gt;0,"Istoric invalid sau conflict: verifica randurile native","Surse neinchise / post-cutoff / dovezi incomplete")),IF(OR('Input_Meci'!I90="NOT AVAILABLE",'Input_Meci'!I90="SOURCE CONFLICT"),'Input_Meci'!I90,IF(BK90&lt;&gt;"VALID","Parametri invalizi",IF(L90&lt;&gt;12,"Core / sample / prior insuficient",IF(AR90&lt;2,"N insuficient pentru dispersie",IF(AS90&lt;=0,"Media istorica trebuie sa fie pozitiva",IF(BI90&lt;&gt;"VALID","Context invalid","READY")))))))))</x:f>
      </x:c>
      <x:c r="K90" s="2" t="str">
        <x:f>IF(A90="","",COUNT(T90:AE90))</x:f>
      </x:c>
      <x:c r="L90" s="2" t="str">
        <x:f>IF(A90="","",COUNT(AF90:AQ90))</x:f>
      </x:c>
      <x:c r="M90" s="2" t="str">
        <x:f>IF(A90="","",IF(OR('Core_Nativ'!M1014&lt;'Core_Nativ'!P1014,'Core_Nativ'!M1015&lt;'Core_Nativ'!P1015,'Core_Nativ'!M1016&lt;'Core_Nativ'!P1016,'Core_Nativ'!M1017&lt;'Core_Nativ'!P1017,'Core_Nativ'!M1018&lt;'Core_Nativ'!P1018,'Core_Nativ'!M1019&lt;'Core_Nativ'!P1019),"YES","NO"))</x:f>
      </x:c>
      <x:c r="N90" s="2" t="str">
        <x:f>IF(A90="","",'Core_Nativ'!M1014)</x:f>
      </x:c>
      <x:c r="O90" s="2" t="str">
        <x:f>IF(A90="","",'Core_Nativ'!M1015)</x:f>
      </x:c>
      <x:c r="P90" s="2" t="str">
        <x:f>IF(A90="","",'Core_Nativ'!M1016)</x:f>
      </x:c>
      <x:c r="Q90" s="2" t="str">
        <x:f>IF(A90="","",'Core_Nativ'!M1017)</x:f>
      </x:c>
      <x:c r="R90" s="2" t="str">
        <x:f>IF(A90="","",'Core_Nativ'!M1018)</x:f>
      </x:c>
      <x:c r="S90" s="2" t="str">
        <x:f>IF(A90="","",'Core_Nativ'!M1019)</x:f>
      </x:c>
      <x:c r="T90" s="11" t="str">
        <x:f>IF(OR(A90="",'Core_Nativ'!M1014=0),"",'Core_Nativ'!N1014)</x:f>
      </x:c>
      <x:c r="U90" s="11" t="str">
        <x:f>IF(OR(A90="",'Core_Nativ'!M1014=0),"",'Core_Nativ'!O1014)</x:f>
      </x:c>
      <x:c r="V90" s="11" t="str">
        <x:f>IF(OR(A90="",'Core_Nativ'!M1015=0),"",'Core_Nativ'!N1015)</x:f>
      </x:c>
      <x:c r="W90" s="11" t="str">
        <x:f>IF(OR(A90="",'Core_Nativ'!M1015=0),"",'Core_Nativ'!O1015)</x:f>
      </x:c>
      <x:c r="X90" s="11" t="str">
        <x:f>IF(OR(A90="",'Core_Nativ'!M1016=0),"",'Core_Nativ'!N1016)</x:f>
      </x:c>
      <x:c r="Y90" s="11" t="str">
        <x:f>IF(OR(A90="",'Core_Nativ'!M1016=0),"",'Core_Nativ'!O1016)</x:f>
      </x:c>
      <x:c r="Z90" s="11" t="str">
        <x:f>IF(OR(A90="",'Core_Nativ'!M1017=0),"",'Core_Nativ'!N1017)</x:f>
      </x:c>
      <x:c r="AA90" s="11" t="str">
        <x:f>IF(OR(A90="",'Core_Nativ'!M1017=0),"",'Core_Nativ'!O1017)</x:f>
      </x:c>
      <x:c r="AB90" s="11" t="str">
        <x:f>IF(OR(A90="",'Core_Nativ'!M1018=0),"",'Core_Nativ'!N1018)</x:f>
      </x:c>
      <x:c r="AC90" s="11" t="str">
        <x:f>IF(OR(A90="",'Core_Nativ'!M1018=0),"",'Core_Nativ'!O1018)</x:f>
      </x:c>
      <x:c r="AD90" s="11" t="str">
        <x:f>IF(OR(A90="",'Core_Nativ'!M1019=0),"",'Core_Nativ'!N1019)</x:f>
      </x:c>
      <x:c r="AE90" s="11" t="str">
        <x:f>IF(OR(A90="",'Core_Nativ'!M1019=0),"",'Core_Nativ'!O1019)</x:f>
      </x:c>
      <x:c r="AF90" s="11" t="str">
        <x:f>IF(A90="","",IF(AND('Core_Nativ'!R1014="CLOSED",'Core_Nativ'!S1014=0),IF('Core_Nativ'!M1014&gt;='Core_Nativ'!P1014,'Core_Nativ'!N1014,IF(AND('Input_Meci'!L90="YES",'Input_Meci'!K90&lt;&gt;"",'Input_Meci'!K90&lt;C90,'Core_Nativ'!T1020="DERIVED",'Core_Nativ'!M1020&gt;='Core_Nativ'!P1014),MIN(1,'Core_Nativ'!M1014/'Core_Nativ'!P1014)*IF('Core_Nativ'!M1014=0,0,'Core_Nativ'!N1014)+(1-MIN(1,'Core_Nativ'!M1014/'Core_Nativ'!P1014))*'Core_Nativ'!N1020,"")),""))</x:f>
      </x:c>
      <x:c r="AG90" s="11" t="str">
        <x:f>IF(A90="","",IF(AND('Core_Nativ'!R1014="CLOSED",'Core_Nativ'!S1014=0),IF('Core_Nativ'!M1014&gt;='Core_Nativ'!P1014,'Core_Nativ'!O1014,IF(AND('Input_Meci'!L90="YES",'Input_Meci'!K90&lt;&gt;"",'Input_Meci'!K90&lt;C90,'Core_Nativ'!T1020="DERIVED",'Core_Nativ'!M1020&gt;='Core_Nativ'!P1014),MIN(1,'Core_Nativ'!M1014/'Core_Nativ'!P1014)*IF('Core_Nativ'!M1014=0,0,'Core_Nativ'!O1014)+(1-MIN(1,'Core_Nativ'!M1014/'Core_Nativ'!P1014))*'Core_Nativ'!O1020,"")),""))</x:f>
      </x:c>
      <x:c r="AH90" s="11" t="str">
        <x:f>IF(A90="","",IF(AND('Core_Nativ'!R1015="CLOSED",'Core_Nativ'!S1015=0),IF('Core_Nativ'!M1015&gt;='Core_Nativ'!P1015,'Core_Nativ'!N1015,IF(AND('Input_Meci'!L90="YES",'Input_Meci'!K90&lt;&gt;"",'Input_Meci'!K90&lt;C90,'Core_Nativ'!T1021="DERIVED",'Core_Nativ'!M1021&gt;='Core_Nativ'!P1015),MIN(1,'Core_Nativ'!M1015/'Core_Nativ'!P1015)*IF('Core_Nativ'!M1015=0,0,'Core_Nativ'!N1015)+(1-MIN(1,'Core_Nativ'!M1015/'Core_Nativ'!P1015))*'Core_Nativ'!N1021,"")),""))</x:f>
      </x:c>
      <x:c r="AI90" s="11" t="str">
        <x:f>IF(A90="","",IF(AND('Core_Nativ'!R1015="CLOSED",'Core_Nativ'!S1015=0),IF('Core_Nativ'!M1015&gt;='Core_Nativ'!P1015,'Core_Nativ'!O1015,IF(AND('Input_Meci'!L90="YES",'Input_Meci'!K90&lt;&gt;"",'Input_Meci'!K90&lt;C90,'Core_Nativ'!T1021="DERIVED",'Core_Nativ'!M1021&gt;='Core_Nativ'!P1015),MIN(1,'Core_Nativ'!M1015/'Core_Nativ'!P1015)*IF('Core_Nativ'!M1015=0,0,'Core_Nativ'!O1015)+(1-MIN(1,'Core_Nativ'!M1015/'Core_Nativ'!P1015))*'Core_Nativ'!O1021,"")),""))</x:f>
      </x:c>
      <x:c r="AJ90" s="11" t="str">
        <x:f>IF(A90="","",IF(AND('Core_Nativ'!R1016="CLOSED",'Core_Nativ'!S1016=0),IF('Core_Nativ'!M1016&gt;='Core_Nativ'!P1016,'Core_Nativ'!N1016,IF(AND('Input_Meci'!L90="YES",'Input_Meci'!K90&lt;&gt;"",'Input_Meci'!K90&lt;C90,'Core_Nativ'!T1022="DERIVED",'Core_Nativ'!M1022&gt;='Core_Nativ'!P1016),MIN(1,'Core_Nativ'!M1016/'Core_Nativ'!P1016)*IF('Core_Nativ'!M1016=0,0,'Core_Nativ'!N1016)+(1-MIN(1,'Core_Nativ'!M1016/'Core_Nativ'!P1016))*'Core_Nativ'!N1022,"")),""))</x:f>
      </x:c>
      <x:c r="AK90" s="11" t="str">
        <x:f>IF(A90="","",IF(AND('Core_Nativ'!R1016="CLOSED",'Core_Nativ'!S1016=0),IF('Core_Nativ'!M1016&gt;='Core_Nativ'!P1016,'Core_Nativ'!O1016,IF(AND('Input_Meci'!L90="YES",'Input_Meci'!K90&lt;&gt;"",'Input_Meci'!K90&lt;C90,'Core_Nativ'!T1022="DERIVED",'Core_Nativ'!M1022&gt;='Core_Nativ'!P1016),MIN(1,'Core_Nativ'!M1016/'Core_Nativ'!P1016)*IF('Core_Nativ'!M1016=0,0,'Core_Nativ'!O1016)+(1-MIN(1,'Core_Nativ'!M1016/'Core_Nativ'!P1016))*'Core_Nativ'!O1022,"")),""))</x:f>
      </x:c>
      <x:c r="AL90" s="11" t="str">
        <x:f>IF(A90="","",IF(AND('Core_Nativ'!R1017="CLOSED",'Core_Nativ'!S1017=0),IF('Core_Nativ'!M1017&gt;='Core_Nativ'!P1017,'Core_Nativ'!N1017,IF(AND('Input_Meci'!L90="YES",'Input_Meci'!K90&lt;&gt;"",'Input_Meci'!K90&lt;C90,'Core_Nativ'!T1023="DERIVED",'Core_Nativ'!M1023&gt;='Core_Nativ'!P1017),MIN(1,'Core_Nativ'!M1017/'Core_Nativ'!P1017)*IF('Core_Nativ'!M1017=0,0,'Core_Nativ'!N1017)+(1-MIN(1,'Core_Nativ'!M1017/'Core_Nativ'!P1017))*'Core_Nativ'!N1023,"")),""))</x:f>
      </x:c>
      <x:c r="AM90" s="11" t="str">
        <x:f>IF(A90="","",IF(AND('Core_Nativ'!R1017="CLOSED",'Core_Nativ'!S1017=0),IF('Core_Nativ'!M1017&gt;='Core_Nativ'!P1017,'Core_Nativ'!O1017,IF(AND('Input_Meci'!L90="YES",'Input_Meci'!K90&lt;&gt;"",'Input_Meci'!K90&lt;C90,'Core_Nativ'!T1023="DERIVED",'Core_Nativ'!M1023&gt;='Core_Nativ'!P1017),MIN(1,'Core_Nativ'!M1017/'Core_Nativ'!P1017)*IF('Core_Nativ'!M1017=0,0,'Core_Nativ'!O1017)+(1-MIN(1,'Core_Nativ'!M1017/'Core_Nativ'!P1017))*'Core_Nativ'!O1023,"")),""))</x:f>
      </x:c>
      <x:c r="AN90" s="11" t="str">
        <x:f>IF(A90="","",IF(AND('Core_Nativ'!R1018="CLOSED",'Core_Nativ'!S1018=0),IF('Core_Nativ'!M1018&gt;='Core_Nativ'!P1018,'Core_Nativ'!N1018,IF(AND('Input_Meci'!L90="YES",'Input_Meci'!K90&lt;&gt;"",'Input_Meci'!K90&lt;C90,'Core_Nativ'!T1024="DERIVED",'Core_Nativ'!M1024&gt;='Core_Nativ'!P1018),MIN(1,'Core_Nativ'!M1018/'Core_Nativ'!P1018)*IF('Core_Nativ'!M1018=0,0,'Core_Nativ'!N1018)+(1-MIN(1,'Core_Nativ'!M1018/'Core_Nativ'!P1018))*'Core_Nativ'!N1024,"")),""))</x:f>
      </x:c>
      <x:c r="AO90" s="11" t="str">
        <x:f>IF(A90="","",IF(AND('Core_Nativ'!R1018="CLOSED",'Core_Nativ'!S1018=0),IF('Core_Nativ'!M1018&gt;='Core_Nativ'!P1018,'Core_Nativ'!O1018,IF(AND('Input_Meci'!L90="YES",'Input_Meci'!K90&lt;&gt;"",'Input_Meci'!K90&lt;C90,'Core_Nativ'!T1024="DERIVED",'Core_Nativ'!M1024&gt;='Core_Nativ'!P1018),MIN(1,'Core_Nativ'!M1018/'Core_Nativ'!P1018)*IF('Core_Nativ'!M1018=0,0,'Core_Nativ'!O1018)+(1-MIN(1,'Core_Nativ'!M1018/'Core_Nativ'!P1018))*'Core_Nativ'!O1024,"")),""))</x:f>
      </x:c>
      <x:c r="AP90" s="11" t="str">
        <x:f>IF(A90="","",IF(AND('Core_Nativ'!R1019="CLOSED",'Core_Nativ'!S1019=0),IF('Core_Nativ'!M1019&gt;='Core_Nativ'!P1019,'Core_Nativ'!N1019,IF(AND('Input_Meci'!L90="YES",'Input_Meci'!K90&lt;&gt;"",'Input_Meci'!K90&lt;C90,'Core_Nativ'!T1025="DERIVED",'Core_Nativ'!M1025&gt;='Core_Nativ'!P1019),MIN(1,'Core_Nativ'!M1019/'Core_Nativ'!P1019)*IF('Core_Nativ'!M1019=0,0,'Core_Nativ'!N1019)+(1-MIN(1,'Core_Nativ'!M1019/'Core_Nativ'!P1019))*'Core_Nativ'!N1025,"")),""))</x:f>
      </x:c>
      <x:c r="AQ90" s="11" t="str">
        <x:f>IF(A90="","",IF(AND('Core_Nativ'!R1019="CLOSED",'Core_Nativ'!S1019=0),IF('Core_Nativ'!M1019&gt;='Core_Nativ'!P1019,'Core_Nativ'!O1019,IF(AND('Input_Meci'!L90="YES",'Input_Meci'!K90&lt;&gt;"",'Input_Meci'!K90&lt;C90,'Core_Nativ'!T1025="DERIVED",'Core_Nativ'!M1025&gt;='Core_Nativ'!P1019),MIN(1,'Core_Nativ'!M1019/'Core_Nativ'!P1019)*IF('Core_Nativ'!M1019=0,0,'Core_Nativ'!O1019)+(1-MIN(1,'Core_Nativ'!M1019/'Core_Nativ'!P1019))*'Core_Nativ'!O1025,"")),""))</x:f>
      </x:c>
      <x:c r="AR90" s="11" t="str">
        <x:f>IF(A90="","",SUMPRODUCT(('Istoric_Nativ'!$B$6:$B$405=B90)*('Istoric_Nativ'!$C$6:$C$405=BL90)*('Istoric_Nativ'!$P$6:$P$405=1)*('Istoric_Nativ'!$D$6:$D$405&lt;INT(G90))*((('Istoric_Nativ'!$E$6:$E$405='Input_Meci'!D90)+('Istoric_Nativ'!$F$6:$F$405='Input_Meci'!D90)+('Istoric_Nativ'!$E$6:$E$405='Input_Meci'!E90)+('Istoric_Nativ'!$F$6:$F$405='Input_Meci'!E90))&gt;0)))</x:f>
      </x:c>
      <x:c r="AS90" s="11" t="str">
        <x:f>IF(AR90=0,"",SUMPRODUCT(('Istoric_Nativ'!$B$6:$B$405=B90)*('Istoric_Nativ'!$C$6:$C$405=BL90)*('Istoric_Nativ'!$P$6:$P$405=1)*('Istoric_Nativ'!$D$6:$D$405&lt;INT(G90))*((('Istoric_Nativ'!$E$6:$E$405='Input_Meci'!D90)+('Istoric_Nativ'!$F$6:$F$405='Input_Meci'!D90)+('Istoric_Nativ'!$E$6:$E$405='Input_Meci'!E90)+('Istoric_Nativ'!$F$6:$F$405='Input_Meci'!E90))&gt;0)*'Istoric_Nativ'!$Q$6:$Q$405)/AR90)</x:f>
      </x:c>
      <x:c r="AT90" s="11" t="str">
        <x:f>IF(AR90&lt;2,"",MAX(0,(SUMPRODUCT(('Istoric_Nativ'!$B$6:$B$405=B90)*('Istoric_Nativ'!$C$6:$C$405=BL90)*('Istoric_Nativ'!$P$6:$P$405=1)*('Istoric_Nativ'!$D$6:$D$405&lt;INT(G90))*((('Istoric_Nativ'!$E$6:$E$405='Input_Meci'!D90)+('Istoric_Nativ'!$F$6:$F$405='Input_Meci'!D90)+('Istoric_Nativ'!$E$6:$E$405='Input_Meci'!E90)+('Istoric_Nativ'!$F$6:$F$405='Input_Meci'!E90))&gt;0)*'Istoric_Nativ'!$R$6:$R$405)-AR90*AS90^2)/(AR90-1)))</x:f>
      </x:c>
      <x:c r="AU90" s="11" t="str">
        <x:f>IF(I90&lt;&gt;"PASS","",AT90/AS90)</x:f>
      </x:c>
      <x:c r="AV90" s="11" t="str">
        <x:f>IF(I90&lt;&gt;"PASS","",IF(AU90&lt;='Config_v6'!$B$10,"POISSON","NEGATIVE BINOMIAL"))</x:f>
      </x:c>
      <x:c r="AW90" s="11" t="str">
        <x:f>IF(I90&lt;&gt;"PASS","",IF(AV90="POISSON",9999,AS90/(AU90-1)))</x:f>
      </x:c>
      <x:c r="AX90" s="11" t="str">
        <x:f>IF(A90="","",MAX(1-'Config_v6'!$B$20,MIN(1+'Config_v6'!$B$20,1+0.02*(IF(AND(ISNUMBER('Input_Meci'!N90),'Input_Meci'!N90&gt;=0,'Input_Meci'!N90&lt;=200),'Input_Meci'!N90,12)/12-1)+0.02*(IF(AND(ISNUMBER('Input_Meci'!P90),'Input_Meci'!P90&gt;=0,'Input_Meci'!P90&lt;=200),'Input_Meci'!P90,3.5)/3.5-1)+0.02*(IF(AND(ISNUMBER('Input_Meci'!R90),'Input_Meci'!R90&gt;=0,'Input_Meci'!R90&lt;=200),'Input_Meci'!R90,18)/18-1)+0.02*((IF(AND(ISNUMBER('Input_Meci'!V90),'Input_Meci'!V90&gt;=0,'Input_Meci'!V90&lt;=10),'Input_Meci'!V90,5)-5)/5))))</x:f>
      </x:c>
      <x:c r="AY90" s="11" t="str">
        <x:f>IF(A90="","",MAX(1-'Config_v6'!$B$20,MIN(1+'Config_v6'!$B$20,1+0.02*(IF(AND(ISNUMBER('Input_Meci'!O90),'Input_Meci'!O90&gt;=0,'Input_Meci'!O90&lt;=200),'Input_Meci'!O90,12)/12-1)+0.02*(IF(AND(ISNUMBER('Input_Meci'!Q90),'Input_Meci'!Q90&gt;=0,'Input_Meci'!Q90&lt;=200),'Input_Meci'!Q90,3.5)/3.5-1)+0.02*(IF(AND(ISNUMBER('Input_Meci'!S90),'Input_Meci'!S90&gt;=0,'Input_Meci'!S90&lt;=200),'Input_Meci'!S90,18)/18-1)+0.02*((IF(AND(ISNUMBER('Input_Meci'!W90),'Input_Meci'!W90&gt;=0,'Input_Meci'!W90&lt;=10),'Input_Meci'!W90,5)-5)/5))))</x:f>
      </x:c>
      <x:c r="AZ90" s="11" t="str">
        <x:f>IF(A90="","",MAX(1-'Config_v6'!$B$21,MIN(1+'Config_v6'!$B$21,1+0.012*(IF('Input_Meci'!X90="",5,IF(ISNUMBER('Input_Meci'!X90),'Input_Meci'!X90,5))-5)+0.018*(IF('Input_Meci'!Z90="",5,IF(ISNUMBER('Input_Meci'!Z90),'Input_Meci'!Z90,5))-5)+0.012*(IF('Input_Meci'!AB90="",5,IF(ISNUMBER('Input_Meci'!AB90),'Input_Meci'!AB90,5))-5)+0.015*IF('Input_Meci'!AD90="",0,IF(ISNUMBER('Input_Meci'!AD90),'Input_Meci'!AD90,0))+0.02*IF('Input_Meci'!AF90="",0,IF(ISNUMBER('Input_Meci'!AF90),'Input_Meci'!AF90,0)))))</x:f>
      </x:c>
      <x:c r="BA90" s="11" t="str">
        <x:f>IF(A90="","",MAX(1-'Config_v6'!$B$21,MIN(1+'Config_v6'!$B$21,1+0.012*(IF('Input_Meci'!Y90="",5,IF(ISNUMBER('Input_Meci'!Y90),'Input_Meci'!Y90,5))-5)+0.018*(IF('Input_Meci'!AA90="",5,IF(ISNUMBER('Input_Meci'!AA90),'Input_Meci'!AA90,5))-5)+0.012*(IF('Input_Meci'!AC90="",5,IF(ISNUMBER('Input_Meci'!AC90),'Input_Meci'!AC90,5))-5)+0.015*IF('Input_Meci'!AE90="",0,IF(ISNUMBER('Input_Meci'!AE90),'Input_Meci'!AE90,0))+0.02*IF('Input_Meci'!AG90="",0,IF(ISNUMBER('Input_Meci'!AG90),'Input_Meci'!AG90,0)))))</x:f>
      </x:c>
      <x:c r="BB90" s="11" t="str">
        <x:f>IF(I90&lt;&gt;"PASS","",(AVERAGE(AF90,AM90)*'Config_v6'!$B$4+AVERAGE(AH90,AO90)*'Config_v6'!$B$5+AVERAGE(AJ90,AQ90)*'Config_v6'!$B$6)*AX90*AZ90)</x:f>
      </x:c>
      <x:c r="BC90" s="11" t="str">
        <x:f>IF(I90&lt;&gt;"PASS","",(AVERAGE(AL90,AG90)*'Config_v6'!$B$4+AVERAGE(AN90,AI90)*'Config_v6'!$B$5+AVERAGE(AP90,AK90)*'Config_v6'!$B$6)*AY90*BA90)</x:f>
      </x:c>
      <x:c r="BD90" s="11" t="str">
        <x:f>IF(I90&lt;&gt;"PASS","",BB90+BC90)</x:f>
      </x:c>
      <x:c r="BE90" s="11" t="str">
        <x:f>IF(A90="","",10-SUM(IF(AND(ISNUMBER('Input_Meci'!N90),'Input_Meci'!N90&gt;=0,'Input_Meci'!N90&lt;=200),1,0),IF(AND(ISNUMBER('Input_Meci'!O90),'Input_Meci'!O90&gt;=0,'Input_Meci'!O90&lt;=200),1,0),IF(AND(ISNUMBER('Input_Meci'!P90),'Input_Meci'!P90&gt;=0,'Input_Meci'!P90&lt;=200),1,0),IF(AND(ISNUMBER('Input_Meci'!Q90),'Input_Meci'!Q90&gt;=0,'Input_Meci'!Q90&lt;=200),1,0),IF(AND(ISNUMBER('Input_Meci'!R90),'Input_Meci'!R90&gt;=0,'Input_Meci'!R90&lt;=200),1,0),IF(AND(ISNUMBER('Input_Meci'!S90),'Input_Meci'!S90&gt;=0,'Input_Meci'!S90&lt;=200),1,0),IF(AND(ISNUMBER('Input_Meci'!T90),'Input_Meci'!T90&gt;=0,'Input_Meci'!T90&lt;=100),1,0),IF(AND(ISNUMBER('Input_Meci'!U90),'Input_Meci'!U90&gt;=0,'Input_Meci'!U90&lt;=100),1,0),IF(AND(ISNUMBER('Input_Meci'!V90),'Input_Meci'!V90&gt;=0,'Input_Meci'!V90&lt;=10),1,0),IF(AND(ISNUMBER('Input_Meci'!W90),'Input_Meci'!W90&gt;=0,'Input_Meci'!W90&lt;=10),1,0)))</x:f>
      </x:c>
      <x:c r="BF90" s="11" t="str">
        <x:f>IF(I90&lt;&gt;"PASS","",MAX(0,MIN(IF(OR(M90="YES",BL90&lt;&gt;C90),'Config_v6'!$B$34,100),ROUND(40+25*MIN(1,MIN(N90,Q90)/'Config_v6'!$B$7)*MIN(1,MIN(O90,R90)/'Config_v6'!$B$8)*MIN(1,MIN(P90,S90)/'Config_v6'!$B$9)+MAX(0,15-2*ABS(AF90-AJ90)-2*ABS(AL90-AP90))+IF(AU90&lt;='Config_v6'!$B$10,15,IF(AU90&lt;='Config_v6'!$B$11,13,IF(AU90&lt;='Config_v6'!$B$12,10,IF(AU90&lt;='Config_v6'!$B$13,6,0))))+5-BE90/10*'Config_v6'!$B$38,0))))</x:f>
      </x:c>
      <x:c r="BG90" s="11" t="str">
        <x:f>IF(I90&lt;&gt;"PASS","",MIN(1,'Config_v6'!$B$14*(0.7+0.3*MIN(1,AR90/'Config_v6'!$B$15))*IF(AU90&lt;='Config_v6'!$B$10,1,IF(AU90&lt;='Config_v6'!$B$11,0.95,IF(AU90&lt;='Config_v6'!$B$12,0.88,0.78)))*(0.75+0.25*BF90/100)))</x:f>
      </x:c>
      <x:c r="BH90" s="11" t="str">
        <x:f>IF(I90&lt;&gt;"PASS","",MIN(1,(ABS(AZ90-1)+ABS(BA90-1))*3))</x:f>
      </x:c>
      <x:c r="BI90" s="2" t="str">
        <x:f>IF(A90="","",IF(AND(OR('Input_Meci'!X90="",AND(ISNUMBER('Input_Meci'!X90),'Input_Meci'!X90&gt;=0,'Input_Meci'!X90&lt;=10)),OR('Input_Meci'!Y90="",AND(ISNUMBER('Input_Meci'!Y90),'Input_Meci'!Y90&gt;=0,'Input_Meci'!Y90&lt;=10)),OR('Input_Meci'!Z90="",AND(ISNUMBER('Input_Meci'!Z90),'Input_Meci'!Z90&gt;=0,'Input_Meci'!Z90&lt;=10)),OR('Input_Meci'!AA90="",AND(ISNUMBER('Input_Meci'!AA90),'Input_Meci'!AA90&gt;=0,'Input_Meci'!AA90&lt;=10)),OR('Input_Meci'!AB90="",AND(ISNUMBER('Input_Meci'!AB90),'Input_Meci'!AB90&gt;=0,'Input_Meci'!AB90&lt;=10)),OR('Input_Meci'!AC90="",AND(ISNUMBER('Input_Meci'!AC90),'Input_Meci'!AC90&gt;=0,'Input_Meci'!AC90&lt;=10)),OR('Input_Meci'!AD90="",AND(ISNUMBER('Input_Meci'!AD90),'Input_Meci'!AD90&gt;=-2,'Input_Meci'!AD90&lt;=2)),OR('Input_Meci'!AE90="",AND(ISNUMBER('Input_Meci'!AE90),'Input_Meci'!AE90&gt;=-2,'Input_Meci'!AE90&lt;=2)),OR('Input_Meci'!AF90="",AND(ISNUMBER('Input_Meci'!AF90),'Input_Meci'!AF90&gt;=-2,'Input_Meci'!AF90&lt;=2)),OR('Input_Meci'!AG90="",AND(ISNUMBER('Input_Meci'!AG90),'Input_Meci'!AG90&gt;=-2,'Input_Meci'!AG90&lt;=2))),"VALID","INVALID"))</x:f>
      </x:c>
      <x:c r="BJ90" s="2" t="n">
        <x:f>IF(A90="",0,SUM('Core_Nativ'!S1014:S1019))</x:f>
        <x:v>0</x:v>
      </x:c>
      <x:c r="BK90" s="2" t="str">
        <x:f>'Config_v6'!$B$40</x:f>
        <x:v>VALID</x:v>
      </x:c>
      <x:c r="BL90" s="2" t="str">
        <x:f>IF(A90="","",IF(SUMPRODUCT(('Istoric_Nativ'!$B$6:$B$405=B90)*('Istoric_Nativ'!$C$6:$C$405=C90)*('Istoric_Nativ'!$P$6:$P$405=1)*('Istoric_Nativ'!$D$6:$D$405&lt;INT(G90))*((('Istoric_Nativ'!$E$6:$E$405='Input_Meci'!D90)+('Istoric_Nativ'!$F$6:$F$405='Input_Meci'!D90)+('Istoric_Nativ'!$E$6:$E$405='Input_Meci'!E90)+('Istoric_Nativ'!$F$6:$F$405='Input_Meci'!E90))&gt;0))&gt;='Config_v6'!$B$41,C90,IF(AND('Input_Meci'!L90="YES",'Input_Meci'!K90&lt;&gt;"",'Input_Meci'!K90&lt;C90,COUNTIF('Core_Nativ'!R1020:R1025,"CLOSED")=6,SUM('Core_Nativ'!S1020:S1025)=0),'Input_Meci'!K90,C90)))</x:f>
      </x:c>
      <x:c r="BM90" s="9" t="n">
        <x:f>IF(OR(A90="",N90=0),0,LARGE(_xlfn._xlws.FILTER('Istoric_Nativ'!$D$6:$D$405,('Istoric_Nativ'!$B$6:$B$405=B90)*('Istoric_Nativ'!$C$6:$C$405=C90)*('Istoric_Nativ'!$P$6:$P$405=1)*('Istoric_Nativ'!$D$6:$D$405&lt;INT(G90))*((('Istoric_Nativ'!$E$6:$E$405='Input_Meci'!D90)+('Istoric_Nativ'!$F$6:$F$405='Input_Meci'!D90))&gt;0)),MIN(10,N90)))</x:f>
        <x:v>0</x:v>
      </x:c>
      <x:c r="BN90" s="9" t="n">
        <x:f>IF(OR(A90="",Q90=0),0,LARGE(_xlfn._xlws.FILTER('Istoric_Nativ'!$D$6:$D$405,('Istoric_Nativ'!$B$6:$B$405=B90)*('Istoric_Nativ'!$C$6:$C$405=C90)*('Istoric_Nativ'!$P$6:$P$405=1)*('Istoric_Nativ'!$D$6:$D$405&lt;INT(G90))*((('Istoric_Nativ'!$E$6:$E$405='Input_Meci'!E90)+('Istoric_Nativ'!$F$6:$F$405='Input_Meci'!E90))&gt;0)),MIN(10,Q90)))</x:f>
        <x:v>0</x:v>
      </x:c>
      <x:c r="BO90" s="9" t="n">
        <x:f>IF(OR(A90="",N90=0),0,LARGE(_xlfn._xlws.FILTER('Istoric_Nativ'!$D$6:$D$405,('Istoric_Nativ'!$B$6:$B$405=B90)*('Istoric_Nativ'!$C$6:$C$405=C90)*('Istoric_Nativ'!$P$6:$P$405=1)*('Istoric_Nativ'!$D$6:$D$405&lt;INT(G90))*((('Istoric_Nativ'!$E$6:$E$405='Input_Meci'!D90)+('Istoric_Nativ'!$F$6:$F$405='Input_Meci'!D90))&gt;0)),MIN(20,N90)))</x:f>
        <x:v>0</x:v>
      </x:c>
      <x:c r="BP90" s="9" t="n">
        <x:f>IF(OR(A90="",Q90=0),0,LARGE(_xlfn._xlws.FILTER('Istoric_Nativ'!$D$6:$D$405,('Istoric_Nativ'!$B$6:$B$405=B90)*('Istoric_Nativ'!$C$6:$C$405=C90)*('Istoric_Nativ'!$P$6:$P$405=1)*('Istoric_Nativ'!$D$6:$D$405&lt;INT(G90))*((('Istoric_Nativ'!$E$6:$E$405='Input_Meci'!E90)+('Istoric_Nativ'!$F$6:$F$405='Input_Meci'!E90))&gt;0)),MIN(20,Q90)))</x:f>
        <x:v>0</x:v>
      </x:c>
      <x:c r="BQ90" s="2" t="str">
        <x:f>IF(A90="","",IF(AND(COUNTIF(MatchesTable[Match_ID],A90)=1,COUNTIFS(MatchesTable[League],B90,MatchesTable[Season],C90,MatchesTable[Home],'Input_Meci'!D90,MatchesTable[Away],'Input_Meci'!E90,MatchesTable[Kickoff_UTC],F90)=1,B90&lt;&gt;"",C90&lt;&gt;"",'Input_Meci'!D90&lt;&gt;"",'Input_Meci'!E90&lt;&gt;"",'Input_Meci'!D90&lt;&gt;'Input_Meci'!E90,ISNUMBER(F90),ISNUMBER(G90),G90&lt;F90,OR(E90="LIVE",E90="REPLAY"),OR('Input_Meci'!L90="YES",'Input_Meci'!L90="NO",'Input_Meci'!L90="")),"VALID","INVALID"))</x:f>
      </x:c>
      <x:c r="BR90" s="2" t="n">
        <x:f>IF(I90&lt;&gt;"PASS",0,SUMPRODUCT(('Istoric_Nativ'!$B$6:$B$405='Input_Meci'!B90)*('Istoric_Nativ'!$C$6:$C$405='Input_Meci'!C90)*('Istoric_Nativ'!$P$6:$P$405=1)*('Istoric_Nativ'!$D$6:$D$405&lt;INT('Input_Meci'!G90))*((('Istoric_Nativ'!$E$6:$E$405='Input_Meci'!D90)+('Istoric_Nativ'!$F$6:$F$405='Input_Meci'!E90))&gt;0)))</x:f>
        <x:v>0</x:v>
      </x:c>
      <x:c r="BS90" s="2" t="n">
        <x:f>IF(I90&lt;&gt;"PASS",0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BM90)+((('Istoric_Nativ'!$E$6:$E$405='Input_Meci'!E90)+('Istoric_Nativ'!$F$6:$F$405='Input_Meci'!E90))&gt;0)*('Istoric_Nativ'!$D$6:$D$405&gt;=BN90))&gt;0)))</x:f>
        <x:v>0</x:v>
      </x:c>
      <x:c r="BT90" s="2" t="n">
        <x:f>IF(I90&lt;&gt;"PASS",0,SUMPRODUCT(('Istoric_Nativ'!$B$6:$B$405='Input_Meci'!B90)*('Istoric_Nativ'!$C$6:$C$405='Input_Meci'!C90)*('Istoric_Nativ'!$P$6:$P$405=1)*('Istoric_Nativ'!$D$6:$D$405&lt;INT('Input_Meci'!G90))*((((('Istoric_Nativ'!$E$6:$E$405='Input_Meci'!D90)+('Istoric_Nativ'!$F$6:$F$405='Input_Meci'!D90))&gt;0)*('Istoric_Nativ'!$D$6:$D$405&gt;=BO90)+((('Istoric_Nativ'!$E$6:$E$405='Input_Meci'!E90)+('Istoric_Nativ'!$F$6:$F$405='Input_Meci'!E90))&gt;0)*('Istoric_Nativ'!$D$6:$D$405&gt;=BP90))&gt;0)))</x:f>
        <x:v>0</x:v>
      </x:c>
    </x:row>
    <x:row r="91" ht="21" customHeight="1">
      <x:c r="A91" s="2" t="str">
        <x:f>IF('Input_Meci'!A91="","",'Input_Meci'!A91)</x:f>
      </x:c>
      <x:c r="B91" s="2" t="str">
        <x:f>IF(A91="","",'Input_Meci'!B91)</x:f>
      </x:c>
      <x:c r="C91" s="2" t="str">
        <x:f>IF(A91="","",'Input_Meci'!C91)</x:f>
      </x:c>
      <x:c r="D91" s="2" t="str">
        <x:f>IF(A91="","",'Input_Meci'!D91&amp;" – "&amp;'Input_Meci'!E91)</x:f>
      </x:c>
      <x:c r="E91" s="2" t="str">
        <x:f>IF(A91="","",'Input_Meci'!H91)</x:f>
      </x:c>
      <x:c r="F91" s="9" t="str">
        <x:f>IF(A91="","",'Input_Meci'!F91)</x:f>
      </x:c>
      <x:c r="G91" s="9" t="str">
        <x:f>IF(A91="","",'Input_Meci'!G91)</x:f>
      </x:c>
      <x:c r="H91" s="2" t="str">
        <x:f>IF(A91="","",IF(BQ91&lt;&gt;"VALID","NOT RELEASED",IF(AND(OR('Input_Meci'!I91="NOT AVAILABLE",'Input_Meci'!I91="SOURCE CONFLICT"),'Input_Meci'!J91&lt;&gt;""),"READY",IF(OR(NOT(OR('Input_Meci'!I91="AUTO",'Input_Meci'!I91="")),COUNTIF('Core_Nativ'!R1026:R1031,"CLOSED")&lt;&gt;6,BJ91&gt;0),"NOT RELEASED","READY"))))</x:f>
      </x:c>
      <x:c r="I91" s="2" t="str">
        <x:f>IF(A91="","",IF(H91&lt;&gt;"READY","NOT RELEASED",IF(AND(NOT(OR('Input_Meci'!I91="NOT AVAILABLE",'Input_Meci'!I91="SOURCE CONFLICT")),L91=12,AR91&gt;=2,AS91&gt;0,ISNUMBER(AT91),BI91="VALID",BK91="VALID"),"PASS","FAIL")))</x:f>
      </x:c>
      <x:c r="J91" s="2" t="str">
        <x:f>IF(A91="","",IF(BQ91&lt;&gt;"VALID","Verifica ID, echipe, mod si cutoff &lt; kickoff",IF(H91&lt;&gt;"READY",IF('Input_Meci'!I91="ACCESS BLOCKED","Acces blocat: reia sursele",IF(BJ91&gt;0,"Istoric invalid sau conflict: verifica randurile native","Surse neinchise / post-cutoff / dovezi incomplete")),IF(OR('Input_Meci'!I91="NOT AVAILABLE",'Input_Meci'!I91="SOURCE CONFLICT"),'Input_Meci'!I91,IF(BK91&lt;&gt;"VALID","Parametri invalizi",IF(L91&lt;&gt;12,"Core / sample / prior insuficient",IF(AR91&lt;2,"N insuficient pentru dispersie",IF(AS91&lt;=0,"Media istorica trebuie sa fie pozitiva",IF(BI91&lt;&gt;"VALID","Context invalid","READY")))))))))</x:f>
      </x:c>
      <x:c r="K91" s="2" t="str">
        <x:f>IF(A91="","",COUNT(T91:AE91))</x:f>
      </x:c>
      <x:c r="L91" s="2" t="str">
        <x:f>IF(A91="","",COUNT(AF91:AQ91))</x:f>
      </x:c>
      <x:c r="M91" s="2" t="str">
        <x:f>IF(A91="","",IF(OR('Core_Nativ'!M1026&lt;'Core_Nativ'!P1026,'Core_Nativ'!M1027&lt;'Core_Nativ'!P1027,'Core_Nativ'!M1028&lt;'Core_Nativ'!P1028,'Core_Nativ'!M1029&lt;'Core_Nativ'!P1029,'Core_Nativ'!M1030&lt;'Core_Nativ'!P1030,'Core_Nativ'!M1031&lt;'Core_Nativ'!P1031),"YES","NO"))</x:f>
      </x:c>
      <x:c r="N91" s="2" t="str">
        <x:f>IF(A91="","",'Core_Nativ'!M1026)</x:f>
      </x:c>
      <x:c r="O91" s="2" t="str">
        <x:f>IF(A91="","",'Core_Nativ'!M1027)</x:f>
      </x:c>
      <x:c r="P91" s="2" t="str">
        <x:f>IF(A91="","",'Core_Nativ'!M1028)</x:f>
      </x:c>
      <x:c r="Q91" s="2" t="str">
        <x:f>IF(A91="","",'Core_Nativ'!M1029)</x:f>
      </x:c>
      <x:c r="R91" s="2" t="str">
        <x:f>IF(A91="","",'Core_Nativ'!M1030)</x:f>
      </x:c>
      <x:c r="S91" s="2" t="str">
        <x:f>IF(A91="","",'Core_Nativ'!M1031)</x:f>
      </x:c>
      <x:c r="T91" s="11" t="str">
        <x:f>IF(OR(A91="",'Core_Nativ'!M1026=0),"",'Core_Nativ'!N1026)</x:f>
      </x:c>
      <x:c r="U91" s="11" t="str">
        <x:f>IF(OR(A91="",'Core_Nativ'!M1026=0),"",'Core_Nativ'!O1026)</x:f>
      </x:c>
      <x:c r="V91" s="11" t="str">
        <x:f>IF(OR(A91="",'Core_Nativ'!M1027=0),"",'Core_Nativ'!N1027)</x:f>
      </x:c>
      <x:c r="W91" s="11" t="str">
        <x:f>IF(OR(A91="",'Core_Nativ'!M1027=0),"",'Core_Nativ'!O1027)</x:f>
      </x:c>
      <x:c r="X91" s="11" t="str">
        <x:f>IF(OR(A91="",'Core_Nativ'!M1028=0),"",'Core_Nativ'!N1028)</x:f>
      </x:c>
      <x:c r="Y91" s="11" t="str">
        <x:f>IF(OR(A91="",'Core_Nativ'!M1028=0),"",'Core_Nativ'!O1028)</x:f>
      </x:c>
      <x:c r="Z91" s="11" t="str">
        <x:f>IF(OR(A91="",'Core_Nativ'!M1029=0),"",'Core_Nativ'!N1029)</x:f>
      </x:c>
      <x:c r="AA91" s="11" t="str">
        <x:f>IF(OR(A91="",'Core_Nativ'!M1029=0),"",'Core_Nativ'!O1029)</x:f>
      </x:c>
      <x:c r="AB91" s="11" t="str">
        <x:f>IF(OR(A91="",'Core_Nativ'!M1030=0),"",'Core_Nativ'!N1030)</x:f>
      </x:c>
      <x:c r="AC91" s="11" t="str">
        <x:f>IF(OR(A91="",'Core_Nativ'!M1030=0),"",'Core_Nativ'!O1030)</x:f>
      </x:c>
      <x:c r="AD91" s="11" t="str">
        <x:f>IF(OR(A91="",'Core_Nativ'!M1031=0),"",'Core_Nativ'!N1031)</x:f>
      </x:c>
      <x:c r="AE91" s="11" t="str">
        <x:f>IF(OR(A91="",'Core_Nativ'!M1031=0),"",'Core_Nativ'!O1031)</x:f>
      </x:c>
      <x:c r="AF91" s="11" t="str">
        <x:f>IF(A91="","",IF(AND('Core_Nativ'!R1026="CLOSED",'Core_Nativ'!S1026=0),IF('Core_Nativ'!M1026&gt;='Core_Nativ'!P1026,'Core_Nativ'!N1026,IF(AND('Input_Meci'!L91="YES",'Input_Meci'!K91&lt;&gt;"",'Input_Meci'!K91&lt;C91,'Core_Nativ'!T1032="DERIVED",'Core_Nativ'!M1032&gt;='Core_Nativ'!P1026),MIN(1,'Core_Nativ'!M1026/'Core_Nativ'!P1026)*IF('Core_Nativ'!M1026=0,0,'Core_Nativ'!N1026)+(1-MIN(1,'Core_Nativ'!M1026/'Core_Nativ'!P1026))*'Core_Nativ'!N1032,"")),""))</x:f>
      </x:c>
      <x:c r="AG91" s="11" t="str">
        <x:f>IF(A91="","",IF(AND('Core_Nativ'!R1026="CLOSED",'Core_Nativ'!S1026=0),IF('Core_Nativ'!M1026&gt;='Core_Nativ'!P1026,'Core_Nativ'!O1026,IF(AND('Input_Meci'!L91="YES",'Input_Meci'!K91&lt;&gt;"",'Input_Meci'!K91&lt;C91,'Core_Nativ'!T1032="DERIVED",'Core_Nativ'!M1032&gt;='Core_Nativ'!P1026),MIN(1,'Core_Nativ'!M1026/'Core_Nativ'!P1026)*IF('Core_Nativ'!M1026=0,0,'Core_Nativ'!O1026)+(1-MIN(1,'Core_Nativ'!M1026/'Core_Nativ'!P1026))*'Core_Nativ'!O1032,"")),""))</x:f>
      </x:c>
      <x:c r="AH91" s="11" t="str">
        <x:f>IF(A91="","",IF(AND('Core_Nativ'!R1027="CLOSED",'Core_Nativ'!S1027=0),IF('Core_Nativ'!M1027&gt;='Core_Nativ'!P1027,'Core_Nativ'!N1027,IF(AND('Input_Meci'!L91="YES",'Input_Meci'!K91&lt;&gt;"",'Input_Meci'!K91&lt;C91,'Core_Nativ'!T1033="DERIVED",'Core_Nativ'!M1033&gt;='Core_Nativ'!P1027),MIN(1,'Core_Nativ'!M1027/'Core_Nativ'!P1027)*IF('Core_Nativ'!M1027=0,0,'Core_Nativ'!N1027)+(1-MIN(1,'Core_Nativ'!M1027/'Core_Nativ'!P1027))*'Core_Nativ'!N1033,"")),""))</x:f>
      </x:c>
      <x:c r="AI91" s="11" t="str">
        <x:f>IF(A91="","",IF(AND('Core_Nativ'!R1027="CLOSED",'Core_Nativ'!S1027=0),IF('Core_Nativ'!M1027&gt;='Core_Nativ'!P1027,'Core_Nativ'!O1027,IF(AND('Input_Meci'!L91="YES",'Input_Meci'!K91&lt;&gt;"",'Input_Meci'!K91&lt;C91,'Core_Nativ'!T1033="DERIVED",'Core_Nativ'!M1033&gt;='Core_Nativ'!P1027),MIN(1,'Core_Nativ'!M1027/'Core_Nativ'!P1027)*IF('Core_Nativ'!M1027=0,0,'Core_Nativ'!O1027)+(1-MIN(1,'Core_Nativ'!M1027/'Core_Nativ'!P1027))*'Core_Nativ'!O1033,"")),""))</x:f>
      </x:c>
      <x:c r="AJ91" s="11" t="str">
        <x:f>IF(A91="","",IF(AND('Core_Nativ'!R1028="CLOSED",'Core_Nativ'!S1028=0),IF('Core_Nativ'!M1028&gt;='Core_Nativ'!P1028,'Core_Nativ'!N1028,IF(AND('Input_Meci'!L91="YES",'Input_Meci'!K91&lt;&gt;"",'Input_Meci'!K91&lt;C91,'Core_Nativ'!T1034="DERIVED",'Core_Nativ'!M1034&gt;='Core_Nativ'!P1028),MIN(1,'Core_Nativ'!M1028/'Core_Nativ'!P1028)*IF('Core_Nativ'!M1028=0,0,'Core_Nativ'!N1028)+(1-MIN(1,'Core_Nativ'!M1028/'Core_Nativ'!P1028))*'Core_Nativ'!N1034,"")),""))</x:f>
      </x:c>
      <x:c r="AK91" s="11" t="str">
        <x:f>IF(A91="","",IF(AND('Core_Nativ'!R1028="CLOSED",'Core_Nativ'!S1028=0),IF('Core_Nativ'!M1028&gt;='Core_Nativ'!P1028,'Core_Nativ'!O1028,IF(AND('Input_Meci'!L91="YES",'Input_Meci'!K91&lt;&gt;"",'Input_Meci'!K91&lt;C91,'Core_Nativ'!T1034="DERIVED",'Core_Nativ'!M1034&gt;='Core_Nativ'!P1028),MIN(1,'Core_Nativ'!M1028/'Core_Nativ'!P1028)*IF('Core_Nativ'!M1028=0,0,'Core_Nativ'!O1028)+(1-MIN(1,'Core_Nativ'!M1028/'Core_Nativ'!P1028))*'Core_Nativ'!O1034,"")),""))</x:f>
      </x:c>
      <x:c r="AL91" s="11" t="str">
        <x:f>IF(A91="","",IF(AND('Core_Nativ'!R1029="CLOSED",'Core_Nativ'!S1029=0),IF('Core_Nativ'!M1029&gt;='Core_Nativ'!P1029,'Core_Nativ'!N1029,IF(AND('Input_Meci'!L91="YES",'Input_Meci'!K91&lt;&gt;"",'Input_Meci'!K91&lt;C91,'Core_Nativ'!T1035="DERIVED",'Core_Nativ'!M1035&gt;='Core_Nativ'!P1029),MIN(1,'Core_Nativ'!M1029/'Core_Nativ'!P1029)*IF('Core_Nativ'!M1029=0,0,'Core_Nativ'!N1029)+(1-MIN(1,'Core_Nativ'!M1029/'Core_Nativ'!P1029))*'Core_Nativ'!N1035,"")),""))</x:f>
      </x:c>
      <x:c r="AM91" s="11" t="str">
        <x:f>IF(A91="","",IF(AND('Core_Nativ'!R1029="CLOSED",'Core_Nativ'!S1029=0),IF('Core_Nativ'!M1029&gt;='Core_Nativ'!P1029,'Core_Nativ'!O1029,IF(AND('Input_Meci'!L91="YES",'Input_Meci'!K91&lt;&gt;"",'Input_Meci'!K91&lt;C91,'Core_Nativ'!T1035="DERIVED",'Core_Nativ'!M1035&gt;='Core_Nativ'!P1029),MIN(1,'Core_Nativ'!M1029/'Core_Nativ'!P1029)*IF('Core_Nativ'!M1029=0,0,'Core_Nativ'!O1029)+(1-MIN(1,'Core_Nativ'!M1029/'Core_Nativ'!P1029))*'Core_Nativ'!O1035,"")),""))</x:f>
      </x:c>
      <x:c r="AN91" s="11" t="str">
        <x:f>IF(A91="","",IF(AND('Core_Nativ'!R1030="CLOSED",'Core_Nativ'!S1030=0),IF('Core_Nativ'!M1030&gt;='Core_Nativ'!P1030,'Core_Nativ'!N1030,IF(AND('Input_Meci'!L91="YES",'Input_Meci'!K91&lt;&gt;"",'Input_Meci'!K91&lt;C91,'Core_Nativ'!T1036="DERIVED",'Core_Nativ'!M1036&gt;='Core_Nativ'!P1030),MIN(1,'Core_Nativ'!M1030/'Core_Nativ'!P1030)*IF('Core_Nativ'!M1030=0,0,'Core_Nativ'!N1030)+(1-MIN(1,'Core_Nativ'!M1030/'Core_Nativ'!P1030))*'Core_Nativ'!N1036,"")),""))</x:f>
      </x:c>
      <x:c r="AO91" s="11" t="str">
        <x:f>IF(A91="","",IF(AND('Core_Nativ'!R1030="CLOSED",'Core_Nativ'!S1030=0),IF('Core_Nativ'!M1030&gt;='Core_Nativ'!P1030,'Core_Nativ'!O1030,IF(AND('Input_Meci'!L91="YES",'Input_Meci'!K91&lt;&gt;"",'Input_Meci'!K91&lt;C91,'Core_Nativ'!T1036="DERIVED",'Core_Nativ'!M1036&gt;='Core_Nativ'!P1030),MIN(1,'Core_Nativ'!M1030/'Core_Nativ'!P1030)*IF('Core_Nativ'!M1030=0,0,'Core_Nativ'!O1030)+(1-MIN(1,'Core_Nativ'!M1030/'Core_Nativ'!P1030))*'Core_Nativ'!O1036,"")),""))</x:f>
      </x:c>
      <x:c r="AP91" s="11" t="str">
        <x:f>IF(A91="","",IF(AND('Core_Nativ'!R1031="CLOSED",'Core_Nativ'!S1031=0),IF('Core_Nativ'!M1031&gt;='Core_Nativ'!P1031,'Core_Nativ'!N1031,IF(AND('Input_Meci'!L91="YES",'Input_Meci'!K91&lt;&gt;"",'Input_Meci'!K91&lt;C91,'Core_Nativ'!T1037="DERIVED",'Core_Nativ'!M1037&gt;='Core_Nativ'!P1031),MIN(1,'Core_Nativ'!M1031/'Core_Nativ'!P1031)*IF('Core_Nativ'!M1031=0,0,'Core_Nativ'!N1031)+(1-MIN(1,'Core_Nativ'!M1031/'Core_Nativ'!P1031))*'Core_Nativ'!N1037,"")),""))</x:f>
      </x:c>
      <x:c r="AQ91" s="11" t="str">
        <x:f>IF(A91="","",IF(AND('Core_Nativ'!R1031="CLOSED",'Core_Nativ'!S1031=0),IF('Core_Nativ'!M1031&gt;='Core_Nativ'!P1031,'Core_Nativ'!O1031,IF(AND('Input_Meci'!L91="YES",'Input_Meci'!K91&lt;&gt;"",'Input_Meci'!K91&lt;C91,'Core_Nativ'!T1037="DERIVED",'Core_Nativ'!M1037&gt;='Core_Nativ'!P1031),MIN(1,'Core_Nativ'!M1031/'Core_Nativ'!P1031)*IF('Core_Nativ'!M1031=0,0,'Core_Nativ'!O1031)+(1-MIN(1,'Core_Nativ'!M1031/'Core_Nativ'!P1031))*'Core_Nativ'!O1037,"")),""))</x:f>
      </x:c>
      <x:c r="AR91" s="11" t="str">
        <x:f>IF(A91="","",SUMPRODUCT(('Istoric_Nativ'!$B$6:$B$405=B91)*('Istoric_Nativ'!$C$6:$C$405=BL91)*('Istoric_Nativ'!$P$6:$P$405=1)*('Istoric_Nativ'!$D$6:$D$405&lt;INT(G91))*((('Istoric_Nativ'!$E$6:$E$405='Input_Meci'!D91)+('Istoric_Nativ'!$F$6:$F$405='Input_Meci'!D91)+('Istoric_Nativ'!$E$6:$E$405='Input_Meci'!E91)+('Istoric_Nativ'!$F$6:$F$405='Input_Meci'!E91))&gt;0)))</x:f>
      </x:c>
      <x:c r="AS91" s="11" t="str">
        <x:f>IF(AR91=0,"",SUMPRODUCT(('Istoric_Nativ'!$B$6:$B$405=B91)*('Istoric_Nativ'!$C$6:$C$405=BL91)*('Istoric_Nativ'!$P$6:$P$405=1)*('Istoric_Nativ'!$D$6:$D$405&lt;INT(G91))*((('Istoric_Nativ'!$E$6:$E$405='Input_Meci'!D91)+('Istoric_Nativ'!$F$6:$F$405='Input_Meci'!D91)+('Istoric_Nativ'!$E$6:$E$405='Input_Meci'!E91)+('Istoric_Nativ'!$F$6:$F$405='Input_Meci'!E91))&gt;0)*'Istoric_Nativ'!$Q$6:$Q$405)/AR91)</x:f>
      </x:c>
      <x:c r="AT91" s="11" t="str">
        <x:f>IF(AR91&lt;2,"",MAX(0,(SUMPRODUCT(('Istoric_Nativ'!$B$6:$B$405=B91)*('Istoric_Nativ'!$C$6:$C$405=BL91)*('Istoric_Nativ'!$P$6:$P$405=1)*('Istoric_Nativ'!$D$6:$D$405&lt;INT(G91))*((('Istoric_Nativ'!$E$6:$E$405='Input_Meci'!D91)+('Istoric_Nativ'!$F$6:$F$405='Input_Meci'!D91)+('Istoric_Nativ'!$E$6:$E$405='Input_Meci'!E91)+('Istoric_Nativ'!$F$6:$F$405='Input_Meci'!E91))&gt;0)*'Istoric_Nativ'!$R$6:$R$405)-AR91*AS91^2)/(AR91-1)))</x:f>
      </x:c>
      <x:c r="AU91" s="11" t="str">
        <x:f>IF(I91&lt;&gt;"PASS","",AT91/AS91)</x:f>
      </x:c>
      <x:c r="AV91" s="11" t="str">
        <x:f>IF(I91&lt;&gt;"PASS","",IF(AU91&lt;='Config_v6'!$B$10,"POISSON","NEGATIVE BINOMIAL"))</x:f>
      </x:c>
      <x:c r="AW91" s="11" t="str">
        <x:f>IF(I91&lt;&gt;"PASS","",IF(AV91="POISSON",9999,AS91/(AU91-1)))</x:f>
      </x:c>
      <x:c r="AX91" s="11" t="str">
        <x:f>IF(A91="","",MAX(1-'Config_v6'!$B$20,MIN(1+'Config_v6'!$B$20,1+0.02*(IF(AND(ISNUMBER('Input_Meci'!N91),'Input_Meci'!N91&gt;=0,'Input_Meci'!N91&lt;=200),'Input_Meci'!N91,12)/12-1)+0.02*(IF(AND(ISNUMBER('Input_Meci'!P91),'Input_Meci'!P91&gt;=0,'Input_Meci'!P91&lt;=200),'Input_Meci'!P91,3.5)/3.5-1)+0.02*(IF(AND(ISNUMBER('Input_Meci'!R91),'Input_Meci'!R91&gt;=0,'Input_Meci'!R91&lt;=200),'Input_Meci'!R91,18)/18-1)+0.02*((IF(AND(ISNUMBER('Input_Meci'!V91),'Input_Meci'!V91&gt;=0,'Input_Meci'!V91&lt;=10),'Input_Meci'!V91,5)-5)/5))))</x:f>
      </x:c>
      <x:c r="AY91" s="11" t="str">
        <x:f>IF(A91="","",MAX(1-'Config_v6'!$B$20,MIN(1+'Config_v6'!$B$20,1+0.02*(IF(AND(ISNUMBER('Input_Meci'!O91),'Input_Meci'!O91&gt;=0,'Input_Meci'!O91&lt;=200),'Input_Meci'!O91,12)/12-1)+0.02*(IF(AND(ISNUMBER('Input_Meci'!Q91),'Input_Meci'!Q91&gt;=0,'Input_Meci'!Q91&lt;=200),'Input_Meci'!Q91,3.5)/3.5-1)+0.02*(IF(AND(ISNUMBER('Input_Meci'!S91),'Input_Meci'!S91&gt;=0,'Input_Meci'!S91&lt;=200),'Input_Meci'!S91,18)/18-1)+0.02*((IF(AND(ISNUMBER('Input_Meci'!W91),'Input_Meci'!W91&gt;=0,'Input_Meci'!W91&lt;=10),'Input_Meci'!W91,5)-5)/5))))</x:f>
      </x:c>
      <x:c r="AZ91" s="11" t="str">
        <x:f>IF(A91="","",MAX(1-'Config_v6'!$B$21,MIN(1+'Config_v6'!$B$21,1+0.012*(IF('Input_Meci'!X91="",5,IF(ISNUMBER('Input_Meci'!X91),'Input_Meci'!X91,5))-5)+0.018*(IF('Input_Meci'!Z91="",5,IF(ISNUMBER('Input_Meci'!Z91),'Input_Meci'!Z91,5))-5)+0.012*(IF('Input_Meci'!AB91="",5,IF(ISNUMBER('Input_Meci'!AB91),'Input_Meci'!AB91,5))-5)+0.015*IF('Input_Meci'!AD91="",0,IF(ISNUMBER('Input_Meci'!AD91),'Input_Meci'!AD91,0))+0.02*IF('Input_Meci'!AF91="",0,IF(ISNUMBER('Input_Meci'!AF91),'Input_Meci'!AF91,0)))))</x:f>
      </x:c>
      <x:c r="BA91" s="11" t="str">
        <x:f>IF(A91="","",MAX(1-'Config_v6'!$B$21,MIN(1+'Config_v6'!$B$21,1+0.012*(IF('Input_Meci'!Y91="",5,IF(ISNUMBER('Input_Meci'!Y91),'Input_Meci'!Y91,5))-5)+0.018*(IF('Input_Meci'!AA91="",5,IF(ISNUMBER('Input_Meci'!AA91),'Input_Meci'!AA91,5))-5)+0.012*(IF('Input_Meci'!AC91="",5,IF(ISNUMBER('Input_Meci'!AC91),'Input_Meci'!AC91,5))-5)+0.015*IF('Input_Meci'!AE91="",0,IF(ISNUMBER('Input_Meci'!AE91),'Input_Meci'!AE91,0))+0.02*IF('Input_Meci'!AG91="",0,IF(ISNUMBER('Input_Meci'!AG91),'Input_Meci'!AG91,0)))))</x:f>
      </x:c>
      <x:c r="BB91" s="11" t="str">
        <x:f>IF(I91&lt;&gt;"PASS","",(AVERAGE(AF91,AM91)*'Config_v6'!$B$4+AVERAGE(AH91,AO91)*'Config_v6'!$B$5+AVERAGE(AJ91,AQ91)*'Config_v6'!$B$6)*AX91*AZ91)</x:f>
      </x:c>
      <x:c r="BC91" s="11" t="str">
        <x:f>IF(I91&lt;&gt;"PASS","",(AVERAGE(AL91,AG91)*'Config_v6'!$B$4+AVERAGE(AN91,AI91)*'Config_v6'!$B$5+AVERAGE(AP91,AK91)*'Config_v6'!$B$6)*AY91*BA91)</x:f>
      </x:c>
      <x:c r="BD91" s="11" t="str">
        <x:f>IF(I91&lt;&gt;"PASS","",BB91+BC91)</x:f>
      </x:c>
      <x:c r="BE91" s="11" t="str">
        <x:f>IF(A91="","",10-SUM(IF(AND(ISNUMBER('Input_Meci'!N91),'Input_Meci'!N91&gt;=0,'Input_Meci'!N91&lt;=200),1,0),IF(AND(ISNUMBER('Input_Meci'!O91),'Input_Meci'!O91&gt;=0,'Input_Meci'!O91&lt;=200),1,0),IF(AND(ISNUMBER('Input_Meci'!P91),'Input_Meci'!P91&gt;=0,'Input_Meci'!P91&lt;=200),1,0),IF(AND(ISNUMBER('Input_Meci'!Q91),'Input_Meci'!Q91&gt;=0,'Input_Meci'!Q91&lt;=200),1,0),IF(AND(ISNUMBER('Input_Meci'!R91),'Input_Meci'!R91&gt;=0,'Input_Meci'!R91&lt;=200),1,0),IF(AND(ISNUMBER('Input_Meci'!S91),'Input_Meci'!S91&gt;=0,'Input_Meci'!S91&lt;=200),1,0),IF(AND(ISNUMBER('Input_Meci'!T91),'Input_Meci'!T91&gt;=0,'Input_Meci'!T91&lt;=100),1,0),IF(AND(ISNUMBER('Input_Meci'!U91),'Input_Meci'!U91&gt;=0,'Input_Meci'!U91&lt;=100),1,0),IF(AND(ISNUMBER('Input_Meci'!V91),'Input_Meci'!V91&gt;=0,'Input_Meci'!V91&lt;=10),1,0),IF(AND(ISNUMBER('Input_Meci'!W91),'Input_Meci'!W91&gt;=0,'Input_Meci'!W91&lt;=10),1,0)))</x:f>
      </x:c>
      <x:c r="BF91" s="11" t="str">
        <x:f>IF(I91&lt;&gt;"PASS","",MAX(0,MIN(IF(OR(M91="YES",BL91&lt;&gt;C91),'Config_v6'!$B$34,100),ROUND(40+25*MIN(1,MIN(N91,Q91)/'Config_v6'!$B$7)*MIN(1,MIN(O91,R91)/'Config_v6'!$B$8)*MIN(1,MIN(P91,S91)/'Config_v6'!$B$9)+MAX(0,15-2*ABS(AF91-AJ91)-2*ABS(AL91-AP91))+IF(AU91&lt;='Config_v6'!$B$10,15,IF(AU91&lt;='Config_v6'!$B$11,13,IF(AU91&lt;='Config_v6'!$B$12,10,IF(AU91&lt;='Config_v6'!$B$13,6,0))))+5-BE91/10*'Config_v6'!$B$38,0))))</x:f>
      </x:c>
      <x:c r="BG91" s="11" t="str">
        <x:f>IF(I91&lt;&gt;"PASS","",MIN(1,'Config_v6'!$B$14*(0.7+0.3*MIN(1,AR91/'Config_v6'!$B$15))*IF(AU91&lt;='Config_v6'!$B$10,1,IF(AU91&lt;='Config_v6'!$B$11,0.95,IF(AU91&lt;='Config_v6'!$B$12,0.88,0.78)))*(0.75+0.25*BF91/100)))</x:f>
      </x:c>
      <x:c r="BH91" s="11" t="str">
        <x:f>IF(I91&lt;&gt;"PASS","",MIN(1,(ABS(AZ91-1)+ABS(BA91-1))*3))</x:f>
      </x:c>
      <x:c r="BI91" s="2" t="str">
        <x:f>IF(A91="","",IF(AND(OR('Input_Meci'!X91="",AND(ISNUMBER('Input_Meci'!X91),'Input_Meci'!X91&gt;=0,'Input_Meci'!X91&lt;=10)),OR('Input_Meci'!Y91="",AND(ISNUMBER('Input_Meci'!Y91),'Input_Meci'!Y91&gt;=0,'Input_Meci'!Y91&lt;=10)),OR('Input_Meci'!Z91="",AND(ISNUMBER('Input_Meci'!Z91),'Input_Meci'!Z91&gt;=0,'Input_Meci'!Z91&lt;=10)),OR('Input_Meci'!AA91="",AND(ISNUMBER('Input_Meci'!AA91),'Input_Meci'!AA91&gt;=0,'Input_Meci'!AA91&lt;=10)),OR('Input_Meci'!AB91="",AND(ISNUMBER('Input_Meci'!AB91),'Input_Meci'!AB91&gt;=0,'Input_Meci'!AB91&lt;=10)),OR('Input_Meci'!AC91="",AND(ISNUMBER('Input_Meci'!AC91),'Input_Meci'!AC91&gt;=0,'Input_Meci'!AC91&lt;=10)),OR('Input_Meci'!AD91="",AND(ISNUMBER('Input_Meci'!AD91),'Input_Meci'!AD91&gt;=-2,'Input_Meci'!AD91&lt;=2)),OR('Input_Meci'!AE91="",AND(ISNUMBER('Input_Meci'!AE91),'Input_Meci'!AE91&gt;=-2,'Input_Meci'!AE91&lt;=2)),OR('Input_Meci'!AF91="",AND(ISNUMBER('Input_Meci'!AF91),'Input_Meci'!AF91&gt;=-2,'Input_Meci'!AF91&lt;=2)),OR('Input_Meci'!AG91="",AND(ISNUMBER('Input_Meci'!AG91),'Input_Meci'!AG91&gt;=-2,'Input_Meci'!AG91&lt;=2))),"VALID","INVALID"))</x:f>
      </x:c>
      <x:c r="BJ91" s="2" t="n">
        <x:f>IF(A91="",0,SUM('Core_Nativ'!S1026:S1031))</x:f>
        <x:v>0</x:v>
      </x:c>
      <x:c r="BK91" s="2" t="str">
        <x:f>'Config_v6'!$B$40</x:f>
        <x:v>VALID</x:v>
      </x:c>
      <x:c r="BL91" s="2" t="str">
        <x:f>IF(A91="","",IF(SUMPRODUCT(('Istoric_Nativ'!$B$6:$B$405=B91)*('Istoric_Nativ'!$C$6:$C$405=C91)*('Istoric_Nativ'!$P$6:$P$405=1)*('Istoric_Nativ'!$D$6:$D$405&lt;INT(G91))*((('Istoric_Nativ'!$E$6:$E$405='Input_Meci'!D91)+('Istoric_Nativ'!$F$6:$F$405='Input_Meci'!D91)+('Istoric_Nativ'!$E$6:$E$405='Input_Meci'!E91)+('Istoric_Nativ'!$F$6:$F$405='Input_Meci'!E91))&gt;0))&gt;='Config_v6'!$B$41,C91,IF(AND('Input_Meci'!L91="YES",'Input_Meci'!K91&lt;&gt;"",'Input_Meci'!K91&lt;C91,COUNTIF('Core_Nativ'!R1032:R1037,"CLOSED")=6,SUM('Core_Nativ'!S1032:S1037)=0),'Input_Meci'!K91,C91)))</x:f>
      </x:c>
      <x:c r="BM91" s="9" t="n">
        <x:f>IF(OR(A91="",N91=0),0,LARGE(_xlfn._xlws.FILTER('Istoric_Nativ'!$D$6:$D$405,('Istoric_Nativ'!$B$6:$B$405=B91)*('Istoric_Nativ'!$C$6:$C$405=C91)*('Istoric_Nativ'!$P$6:$P$405=1)*('Istoric_Nativ'!$D$6:$D$405&lt;INT(G91))*((('Istoric_Nativ'!$E$6:$E$405='Input_Meci'!D91)+('Istoric_Nativ'!$F$6:$F$405='Input_Meci'!D91))&gt;0)),MIN(10,N91)))</x:f>
        <x:v>0</x:v>
      </x:c>
      <x:c r="BN91" s="9" t="n">
        <x:f>IF(OR(A91="",Q91=0),0,LARGE(_xlfn._xlws.FILTER('Istoric_Nativ'!$D$6:$D$405,('Istoric_Nativ'!$B$6:$B$405=B91)*('Istoric_Nativ'!$C$6:$C$405=C91)*('Istoric_Nativ'!$P$6:$P$405=1)*('Istoric_Nativ'!$D$6:$D$405&lt;INT(G91))*((('Istoric_Nativ'!$E$6:$E$405='Input_Meci'!E91)+('Istoric_Nativ'!$F$6:$F$405='Input_Meci'!E91))&gt;0)),MIN(10,Q91)))</x:f>
        <x:v>0</x:v>
      </x:c>
      <x:c r="BO91" s="9" t="n">
        <x:f>IF(OR(A91="",N91=0),0,LARGE(_xlfn._xlws.FILTER('Istoric_Nativ'!$D$6:$D$405,('Istoric_Nativ'!$B$6:$B$405=B91)*('Istoric_Nativ'!$C$6:$C$405=C91)*('Istoric_Nativ'!$P$6:$P$405=1)*('Istoric_Nativ'!$D$6:$D$405&lt;INT(G91))*((('Istoric_Nativ'!$E$6:$E$405='Input_Meci'!D91)+('Istoric_Nativ'!$F$6:$F$405='Input_Meci'!D91))&gt;0)),MIN(20,N91)))</x:f>
        <x:v>0</x:v>
      </x:c>
      <x:c r="BP91" s="9" t="n">
        <x:f>IF(OR(A91="",Q91=0),0,LARGE(_xlfn._xlws.FILTER('Istoric_Nativ'!$D$6:$D$405,('Istoric_Nativ'!$B$6:$B$405=B91)*('Istoric_Nativ'!$C$6:$C$405=C91)*('Istoric_Nativ'!$P$6:$P$405=1)*('Istoric_Nativ'!$D$6:$D$405&lt;INT(G91))*((('Istoric_Nativ'!$E$6:$E$405='Input_Meci'!E91)+('Istoric_Nativ'!$F$6:$F$405='Input_Meci'!E91))&gt;0)),MIN(20,Q91)))</x:f>
        <x:v>0</x:v>
      </x:c>
      <x:c r="BQ91" s="2" t="str">
        <x:f>IF(A91="","",IF(AND(COUNTIF(MatchesTable[Match_ID],A91)=1,COUNTIFS(MatchesTable[League],B91,MatchesTable[Season],C91,MatchesTable[Home],'Input_Meci'!D91,MatchesTable[Away],'Input_Meci'!E91,MatchesTable[Kickoff_UTC],F91)=1,B91&lt;&gt;"",C91&lt;&gt;"",'Input_Meci'!D91&lt;&gt;"",'Input_Meci'!E91&lt;&gt;"",'Input_Meci'!D91&lt;&gt;'Input_Meci'!E91,ISNUMBER(F91),ISNUMBER(G91),G91&lt;F91,OR(E91="LIVE",E91="REPLAY"),OR('Input_Meci'!L91="YES",'Input_Meci'!L91="NO",'Input_Meci'!L91="")),"VALID","INVALID"))</x:f>
      </x:c>
      <x:c r="BR91" s="2" t="n">
        <x:f>IF(I91&lt;&gt;"PASS",0,SUMPRODUCT(('Istoric_Nativ'!$B$6:$B$405='Input_Meci'!B91)*('Istoric_Nativ'!$C$6:$C$405='Input_Meci'!C91)*('Istoric_Nativ'!$P$6:$P$405=1)*('Istoric_Nativ'!$D$6:$D$405&lt;INT('Input_Meci'!G91))*((('Istoric_Nativ'!$E$6:$E$405='Input_Meci'!D91)+('Istoric_Nativ'!$F$6:$F$405='Input_Meci'!E91))&gt;0)))</x:f>
        <x:v>0</x:v>
      </x:c>
      <x:c r="BS91" s="2" t="n">
        <x:f>IF(I91&lt;&gt;"PASS",0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BM91)+((('Istoric_Nativ'!$E$6:$E$405='Input_Meci'!E91)+('Istoric_Nativ'!$F$6:$F$405='Input_Meci'!E91))&gt;0)*('Istoric_Nativ'!$D$6:$D$405&gt;=BN91))&gt;0)))</x:f>
        <x:v>0</x:v>
      </x:c>
      <x:c r="BT91" s="2" t="n">
        <x:f>IF(I91&lt;&gt;"PASS",0,SUMPRODUCT(('Istoric_Nativ'!$B$6:$B$405='Input_Meci'!B91)*('Istoric_Nativ'!$C$6:$C$405='Input_Meci'!C91)*('Istoric_Nativ'!$P$6:$P$405=1)*('Istoric_Nativ'!$D$6:$D$405&lt;INT('Input_Meci'!G91))*((((('Istoric_Nativ'!$E$6:$E$405='Input_Meci'!D91)+('Istoric_Nativ'!$F$6:$F$405='Input_Meci'!D91))&gt;0)*('Istoric_Nativ'!$D$6:$D$405&gt;=BO91)+((('Istoric_Nativ'!$E$6:$E$405='Input_Meci'!E91)+('Istoric_Nativ'!$F$6:$F$405='Input_Meci'!E91))&gt;0)*('Istoric_Nativ'!$D$6:$D$405&gt;=BP91))&gt;0)))</x:f>
        <x:v>0</x:v>
      </x:c>
    </x:row>
    <x:row r="92" ht="21" customHeight="1">
      <x:c r="A92" s="2" t="str">
        <x:f>IF('Input_Meci'!A92="","",'Input_Meci'!A92)</x:f>
      </x:c>
      <x:c r="B92" s="2" t="str">
        <x:f>IF(A92="","",'Input_Meci'!B92)</x:f>
      </x:c>
      <x:c r="C92" s="2" t="str">
        <x:f>IF(A92="","",'Input_Meci'!C92)</x:f>
      </x:c>
      <x:c r="D92" s="2" t="str">
        <x:f>IF(A92="","",'Input_Meci'!D92&amp;" – "&amp;'Input_Meci'!E92)</x:f>
      </x:c>
      <x:c r="E92" s="2" t="str">
        <x:f>IF(A92="","",'Input_Meci'!H92)</x:f>
      </x:c>
      <x:c r="F92" s="9" t="str">
        <x:f>IF(A92="","",'Input_Meci'!F92)</x:f>
      </x:c>
      <x:c r="G92" s="9" t="str">
        <x:f>IF(A92="","",'Input_Meci'!G92)</x:f>
      </x:c>
      <x:c r="H92" s="2" t="str">
        <x:f>IF(A92="","",IF(BQ92&lt;&gt;"VALID","NOT RELEASED",IF(AND(OR('Input_Meci'!I92="NOT AVAILABLE",'Input_Meci'!I92="SOURCE CONFLICT"),'Input_Meci'!J92&lt;&gt;""),"READY",IF(OR(NOT(OR('Input_Meci'!I92="AUTO",'Input_Meci'!I92="")),COUNTIF('Core_Nativ'!R1038:R1043,"CLOSED")&lt;&gt;6,BJ92&gt;0),"NOT RELEASED","READY"))))</x:f>
      </x:c>
      <x:c r="I92" s="2" t="str">
        <x:f>IF(A92="","",IF(H92&lt;&gt;"READY","NOT RELEASED",IF(AND(NOT(OR('Input_Meci'!I92="NOT AVAILABLE",'Input_Meci'!I92="SOURCE CONFLICT")),L92=12,AR92&gt;=2,AS92&gt;0,ISNUMBER(AT92),BI92="VALID",BK92="VALID"),"PASS","FAIL")))</x:f>
      </x:c>
      <x:c r="J92" s="2" t="str">
        <x:f>IF(A92="","",IF(BQ92&lt;&gt;"VALID","Verifica ID, echipe, mod si cutoff &lt; kickoff",IF(H92&lt;&gt;"READY",IF('Input_Meci'!I92="ACCESS BLOCKED","Acces blocat: reia sursele",IF(BJ92&gt;0,"Istoric invalid sau conflict: verifica randurile native","Surse neinchise / post-cutoff / dovezi incomplete")),IF(OR('Input_Meci'!I92="NOT AVAILABLE",'Input_Meci'!I92="SOURCE CONFLICT"),'Input_Meci'!I92,IF(BK92&lt;&gt;"VALID","Parametri invalizi",IF(L92&lt;&gt;12,"Core / sample / prior insuficient",IF(AR92&lt;2,"N insuficient pentru dispersie",IF(AS92&lt;=0,"Media istorica trebuie sa fie pozitiva",IF(BI92&lt;&gt;"VALID","Context invalid","READY")))))))))</x:f>
      </x:c>
      <x:c r="K92" s="2" t="str">
        <x:f>IF(A92="","",COUNT(T92:AE92))</x:f>
      </x:c>
      <x:c r="L92" s="2" t="str">
        <x:f>IF(A92="","",COUNT(AF92:AQ92))</x:f>
      </x:c>
      <x:c r="M92" s="2" t="str">
        <x:f>IF(A92="","",IF(OR('Core_Nativ'!M1038&lt;'Core_Nativ'!P1038,'Core_Nativ'!M1039&lt;'Core_Nativ'!P1039,'Core_Nativ'!M1040&lt;'Core_Nativ'!P1040,'Core_Nativ'!M1041&lt;'Core_Nativ'!P1041,'Core_Nativ'!M1042&lt;'Core_Nativ'!P1042,'Core_Nativ'!M1043&lt;'Core_Nativ'!P1043),"YES","NO"))</x:f>
      </x:c>
      <x:c r="N92" s="2" t="str">
        <x:f>IF(A92="","",'Core_Nativ'!M1038)</x:f>
      </x:c>
      <x:c r="O92" s="2" t="str">
        <x:f>IF(A92="","",'Core_Nativ'!M1039)</x:f>
      </x:c>
      <x:c r="P92" s="2" t="str">
        <x:f>IF(A92="","",'Core_Nativ'!M1040)</x:f>
      </x:c>
      <x:c r="Q92" s="2" t="str">
        <x:f>IF(A92="","",'Core_Nativ'!M1041)</x:f>
      </x:c>
      <x:c r="R92" s="2" t="str">
        <x:f>IF(A92="","",'Core_Nativ'!M1042)</x:f>
      </x:c>
      <x:c r="S92" s="2" t="str">
        <x:f>IF(A92="","",'Core_Nativ'!M1043)</x:f>
      </x:c>
      <x:c r="T92" s="11" t="str">
        <x:f>IF(OR(A92="",'Core_Nativ'!M1038=0),"",'Core_Nativ'!N1038)</x:f>
      </x:c>
      <x:c r="U92" s="11" t="str">
        <x:f>IF(OR(A92="",'Core_Nativ'!M1038=0),"",'Core_Nativ'!O1038)</x:f>
      </x:c>
      <x:c r="V92" s="11" t="str">
        <x:f>IF(OR(A92="",'Core_Nativ'!M1039=0),"",'Core_Nativ'!N1039)</x:f>
      </x:c>
      <x:c r="W92" s="11" t="str">
        <x:f>IF(OR(A92="",'Core_Nativ'!M1039=0),"",'Core_Nativ'!O1039)</x:f>
      </x:c>
      <x:c r="X92" s="11" t="str">
        <x:f>IF(OR(A92="",'Core_Nativ'!M1040=0),"",'Core_Nativ'!N1040)</x:f>
      </x:c>
      <x:c r="Y92" s="11" t="str">
        <x:f>IF(OR(A92="",'Core_Nativ'!M1040=0),"",'Core_Nativ'!O1040)</x:f>
      </x:c>
      <x:c r="Z92" s="11" t="str">
        <x:f>IF(OR(A92="",'Core_Nativ'!M1041=0),"",'Core_Nativ'!N1041)</x:f>
      </x:c>
      <x:c r="AA92" s="11" t="str">
        <x:f>IF(OR(A92="",'Core_Nativ'!M1041=0),"",'Core_Nativ'!O1041)</x:f>
      </x:c>
      <x:c r="AB92" s="11" t="str">
        <x:f>IF(OR(A92="",'Core_Nativ'!M1042=0),"",'Core_Nativ'!N1042)</x:f>
      </x:c>
      <x:c r="AC92" s="11" t="str">
        <x:f>IF(OR(A92="",'Core_Nativ'!M1042=0),"",'Core_Nativ'!O1042)</x:f>
      </x:c>
      <x:c r="AD92" s="11" t="str">
        <x:f>IF(OR(A92="",'Core_Nativ'!M1043=0),"",'Core_Nativ'!N1043)</x:f>
      </x:c>
      <x:c r="AE92" s="11" t="str">
        <x:f>IF(OR(A92="",'Core_Nativ'!M1043=0),"",'Core_Nativ'!O1043)</x:f>
      </x:c>
      <x:c r="AF92" s="11" t="str">
        <x:f>IF(A92="","",IF(AND('Core_Nativ'!R1038="CLOSED",'Core_Nativ'!S1038=0),IF('Core_Nativ'!M1038&gt;='Core_Nativ'!P1038,'Core_Nativ'!N1038,IF(AND('Input_Meci'!L92="YES",'Input_Meci'!K92&lt;&gt;"",'Input_Meci'!K92&lt;C92,'Core_Nativ'!T1044="DERIVED",'Core_Nativ'!M1044&gt;='Core_Nativ'!P1038),MIN(1,'Core_Nativ'!M1038/'Core_Nativ'!P1038)*IF('Core_Nativ'!M1038=0,0,'Core_Nativ'!N1038)+(1-MIN(1,'Core_Nativ'!M1038/'Core_Nativ'!P1038))*'Core_Nativ'!N1044,"")),""))</x:f>
      </x:c>
      <x:c r="AG92" s="11" t="str">
        <x:f>IF(A92="","",IF(AND('Core_Nativ'!R1038="CLOSED",'Core_Nativ'!S1038=0),IF('Core_Nativ'!M1038&gt;='Core_Nativ'!P1038,'Core_Nativ'!O1038,IF(AND('Input_Meci'!L92="YES",'Input_Meci'!K92&lt;&gt;"",'Input_Meci'!K92&lt;C92,'Core_Nativ'!T1044="DERIVED",'Core_Nativ'!M1044&gt;='Core_Nativ'!P1038),MIN(1,'Core_Nativ'!M1038/'Core_Nativ'!P1038)*IF('Core_Nativ'!M1038=0,0,'Core_Nativ'!O1038)+(1-MIN(1,'Core_Nativ'!M1038/'Core_Nativ'!P1038))*'Core_Nativ'!O1044,"")),""))</x:f>
      </x:c>
      <x:c r="AH92" s="11" t="str">
        <x:f>IF(A92="","",IF(AND('Core_Nativ'!R1039="CLOSED",'Core_Nativ'!S1039=0),IF('Core_Nativ'!M1039&gt;='Core_Nativ'!P1039,'Core_Nativ'!N1039,IF(AND('Input_Meci'!L92="YES",'Input_Meci'!K92&lt;&gt;"",'Input_Meci'!K92&lt;C92,'Core_Nativ'!T1045="DERIVED",'Core_Nativ'!M1045&gt;='Core_Nativ'!P1039),MIN(1,'Core_Nativ'!M1039/'Core_Nativ'!P1039)*IF('Core_Nativ'!M1039=0,0,'Core_Nativ'!N1039)+(1-MIN(1,'Core_Nativ'!M1039/'Core_Nativ'!P1039))*'Core_Nativ'!N1045,"")),""))</x:f>
      </x:c>
      <x:c r="AI92" s="11" t="str">
        <x:f>IF(A92="","",IF(AND('Core_Nativ'!R1039="CLOSED",'Core_Nativ'!S1039=0),IF('Core_Nativ'!M1039&gt;='Core_Nativ'!P1039,'Core_Nativ'!O1039,IF(AND('Input_Meci'!L92="YES",'Input_Meci'!K92&lt;&gt;"",'Input_Meci'!K92&lt;C92,'Core_Nativ'!T1045="DERIVED",'Core_Nativ'!M1045&gt;='Core_Nativ'!P1039),MIN(1,'Core_Nativ'!M1039/'Core_Nativ'!P1039)*IF('Core_Nativ'!M1039=0,0,'Core_Nativ'!O1039)+(1-MIN(1,'Core_Nativ'!M1039/'Core_Nativ'!P1039))*'Core_Nativ'!O1045,"")),""))</x:f>
      </x:c>
      <x:c r="AJ92" s="11" t="str">
        <x:f>IF(A92="","",IF(AND('Core_Nativ'!R1040="CLOSED",'Core_Nativ'!S1040=0),IF('Core_Nativ'!M1040&gt;='Core_Nativ'!P1040,'Core_Nativ'!N1040,IF(AND('Input_Meci'!L92="YES",'Input_Meci'!K92&lt;&gt;"",'Input_Meci'!K92&lt;C92,'Core_Nativ'!T1046="DERIVED",'Core_Nativ'!M1046&gt;='Core_Nativ'!P1040),MIN(1,'Core_Nativ'!M1040/'Core_Nativ'!P1040)*IF('Core_Nativ'!M1040=0,0,'Core_Nativ'!N1040)+(1-MIN(1,'Core_Nativ'!M1040/'Core_Nativ'!P1040))*'Core_Nativ'!N1046,"")),""))</x:f>
      </x:c>
      <x:c r="AK92" s="11" t="str">
        <x:f>IF(A92="","",IF(AND('Core_Nativ'!R1040="CLOSED",'Core_Nativ'!S1040=0),IF('Core_Nativ'!M1040&gt;='Core_Nativ'!P1040,'Core_Nativ'!O1040,IF(AND('Input_Meci'!L92="YES",'Input_Meci'!K92&lt;&gt;"",'Input_Meci'!K92&lt;C92,'Core_Nativ'!T1046="DERIVED",'Core_Nativ'!M1046&gt;='Core_Nativ'!P1040),MIN(1,'Core_Nativ'!M1040/'Core_Nativ'!P1040)*IF('Core_Nativ'!M1040=0,0,'Core_Nativ'!O1040)+(1-MIN(1,'Core_Nativ'!M1040/'Core_Nativ'!P1040))*'Core_Nativ'!O1046,"")),""))</x:f>
      </x:c>
      <x:c r="AL92" s="11" t="str">
        <x:f>IF(A92="","",IF(AND('Core_Nativ'!R1041="CLOSED",'Core_Nativ'!S1041=0),IF('Core_Nativ'!M1041&gt;='Core_Nativ'!P1041,'Core_Nativ'!N1041,IF(AND('Input_Meci'!L92="YES",'Input_Meci'!K92&lt;&gt;"",'Input_Meci'!K92&lt;C92,'Core_Nativ'!T1047="DERIVED",'Core_Nativ'!M1047&gt;='Core_Nativ'!P1041),MIN(1,'Core_Nativ'!M1041/'Core_Nativ'!P1041)*IF('Core_Nativ'!M1041=0,0,'Core_Nativ'!N1041)+(1-MIN(1,'Core_Nativ'!M1041/'Core_Nativ'!P1041))*'Core_Nativ'!N1047,"")),""))</x:f>
      </x:c>
      <x:c r="AM92" s="11" t="str">
        <x:f>IF(A92="","",IF(AND('Core_Nativ'!R1041="CLOSED",'Core_Nativ'!S1041=0),IF('Core_Nativ'!M1041&gt;='Core_Nativ'!P1041,'Core_Nativ'!O1041,IF(AND('Input_Meci'!L92="YES",'Input_Meci'!K92&lt;&gt;"",'Input_Meci'!K92&lt;C92,'Core_Nativ'!T1047="DERIVED",'Core_Nativ'!M1047&gt;='Core_Nativ'!P1041),MIN(1,'Core_Nativ'!M1041/'Core_Nativ'!P1041)*IF('Core_Nativ'!M1041=0,0,'Core_Nativ'!O1041)+(1-MIN(1,'Core_Nativ'!M1041/'Core_Nativ'!P1041))*'Core_Nativ'!O1047,"")),""))</x:f>
      </x:c>
      <x:c r="AN92" s="11" t="str">
        <x:f>IF(A92="","",IF(AND('Core_Nativ'!R1042="CLOSED",'Core_Nativ'!S1042=0),IF('Core_Nativ'!M1042&gt;='Core_Nativ'!P1042,'Core_Nativ'!N1042,IF(AND('Input_Meci'!L92="YES",'Input_Meci'!K92&lt;&gt;"",'Input_Meci'!K92&lt;C92,'Core_Nativ'!T1048="DERIVED",'Core_Nativ'!M1048&gt;='Core_Nativ'!P1042),MIN(1,'Core_Nativ'!M1042/'Core_Nativ'!P1042)*IF('Core_Nativ'!M1042=0,0,'Core_Nativ'!N1042)+(1-MIN(1,'Core_Nativ'!M1042/'Core_Nativ'!P1042))*'Core_Nativ'!N1048,"")),""))</x:f>
      </x:c>
      <x:c r="AO92" s="11" t="str">
        <x:f>IF(A92="","",IF(AND('Core_Nativ'!R1042="CLOSED",'Core_Nativ'!S1042=0),IF('Core_Nativ'!M1042&gt;='Core_Nativ'!P1042,'Core_Nativ'!O1042,IF(AND('Input_Meci'!L92="YES",'Input_Meci'!K92&lt;&gt;"",'Input_Meci'!K92&lt;C92,'Core_Nativ'!T1048="DERIVED",'Core_Nativ'!M1048&gt;='Core_Nativ'!P1042),MIN(1,'Core_Nativ'!M1042/'Core_Nativ'!P1042)*IF('Core_Nativ'!M1042=0,0,'Core_Nativ'!O1042)+(1-MIN(1,'Core_Nativ'!M1042/'Core_Nativ'!P1042))*'Core_Nativ'!O1048,"")),""))</x:f>
      </x:c>
      <x:c r="AP92" s="11" t="str">
        <x:f>IF(A92="","",IF(AND('Core_Nativ'!R1043="CLOSED",'Core_Nativ'!S1043=0),IF('Core_Nativ'!M1043&gt;='Core_Nativ'!P1043,'Core_Nativ'!N1043,IF(AND('Input_Meci'!L92="YES",'Input_Meci'!K92&lt;&gt;"",'Input_Meci'!K92&lt;C92,'Core_Nativ'!T1049="DERIVED",'Core_Nativ'!M1049&gt;='Core_Nativ'!P1043),MIN(1,'Core_Nativ'!M1043/'Core_Nativ'!P1043)*IF('Core_Nativ'!M1043=0,0,'Core_Nativ'!N1043)+(1-MIN(1,'Core_Nativ'!M1043/'Core_Nativ'!P1043))*'Core_Nativ'!N1049,"")),""))</x:f>
      </x:c>
      <x:c r="AQ92" s="11" t="str">
        <x:f>IF(A92="","",IF(AND('Core_Nativ'!R1043="CLOSED",'Core_Nativ'!S1043=0),IF('Core_Nativ'!M1043&gt;='Core_Nativ'!P1043,'Core_Nativ'!O1043,IF(AND('Input_Meci'!L92="YES",'Input_Meci'!K92&lt;&gt;"",'Input_Meci'!K92&lt;C92,'Core_Nativ'!T1049="DERIVED",'Core_Nativ'!M1049&gt;='Core_Nativ'!P1043),MIN(1,'Core_Nativ'!M1043/'Core_Nativ'!P1043)*IF('Core_Nativ'!M1043=0,0,'Core_Nativ'!O1043)+(1-MIN(1,'Core_Nativ'!M1043/'Core_Nativ'!P1043))*'Core_Nativ'!O1049,"")),""))</x:f>
      </x:c>
      <x:c r="AR92" s="11" t="str">
        <x:f>IF(A92="","",SUMPRODUCT(('Istoric_Nativ'!$B$6:$B$405=B92)*('Istoric_Nativ'!$C$6:$C$405=BL92)*('Istoric_Nativ'!$P$6:$P$405=1)*('Istoric_Nativ'!$D$6:$D$405&lt;INT(G92))*((('Istoric_Nativ'!$E$6:$E$405='Input_Meci'!D92)+('Istoric_Nativ'!$F$6:$F$405='Input_Meci'!D92)+('Istoric_Nativ'!$E$6:$E$405='Input_Meci'!E92)+('Istoric_Nativ'!$F$6:$F$405='Input_Meci'!E92))&gt;0)))</x:f>
      </x:c>
      <x:c r="AS92" s="11" t="str">
        <x:f>IF(AR92=0,"",SUMPRODUCT(('Istoric_Nativ'!$B$6:$B$405=B92)*('Istoric_Nativ'!$C$6:$C$405=BL92)*('Istoric_Nativ'!$P$6:$P$405=1)*('Istoric_Nativ'!$D$6:$D$405&lt;INT(G92))*((('Istoric_Nativ'!$E$6:$E$405='Input_Meci'!D92)+('Istoric_Nativ'!$F$6:$F$405='Input_Meci'!D92)+('Istoric_Nativ'!$E$6:$E$405='Input_Meci'!E92)+('Istoric_Nativ'!$F$6:$F$405='Input_Meci'!E92))&gt;0)*'Istoric_Nativ'!$Q$6:$Q$405)/AR92)</x:f>
      </x:c>
      <x:c r="AT92" s="11" t="str">
        <x:f>IF(AR92&lt;2,"",MAX(0,(SUMPRODUCT(('Istoric_Nativ'!$B$6:$B$405=B92)*('Istoric_Nativ'!$C$6:$C$405=BL92)*('Istoric_Nativ'!$P$6:$P$405=1)*('Istoric_Nativ'!$D$6:$D$405&lt;INT(G92))*((('Istoric_Nativ'!$E$6:$E$405='Input_Meci'!D92)+('Istoric_Nativ'!$F$6:$F$405='Input_Meci'!D92)+('Istoric_Nativ'!$E$6:$E$405='Input_Meci'!E92)+('Istoric_Nativ'!$F$6:$F$405='Input_Meci'!E92))&gt;0)*'Istoric_Nativ'!$R$6:$R$405)-AR92*AS92^2)/(AR92-1)))</x:f>
      </x:c>
      <x:c r="AU92" s="11" t="str">
        <x:f>IF(I92&lt;&gt;"PASS","",AT92/AS92)</x:f>
      </x:c>
      <x:c r="AV92" s="11" t="str">
        <x:f>IF(I92&lt;&gt;"PASS","",IF(AU92&lt;='Config_v6'!$B$10,"POISSON","NEGATIVE BINOMIAL"))</x:f>
      </x:c>
      <x:c r="AW92" s="11" t="str">
        <x:f>IF(I92&lt;&gt;"PASS","",IF(AV92="POISSON",9999,AS92/(AU92-1)))</x:f>
      </x:c>
      <x:c r="AX92" s="11" t="str">
        <x:f>IF(A92="","",MAX(1-'Config_v6'!$B$20,MIN(1+'Config_v6'!$B$20,1+0.02*(IF(AND(ISNUMBER('Input_Meci'!N92),'Input_Meci'!N92&gt;=0,'Input_Meci'!N92&lt;=200),'Input_Meci'!N92,12)/12-1)+0.02*(IF(AND(ISNUMBER('Input_Meci'!P92),'Input_Meci'!P92&gt;=0,'Input_Meci'!P92&lt;=200),'Input_Meci'!P92,3.5)/3.5-1)+0.02*(IF(AND(ISNUMBER('Input_Meci'!R92),'Input_Meci'!R92&gt;=0,'Input_Meci'!R92&lt;=200),'Input_Meci'!R92,18)/18-1)+0.02*((IF(AND(ISNUMBER('Input_Meci'!V92),'Input_Meci'!V92&gt;=0,'Input_Meci'!V92&lt;=10),'Input_Meci'!V92,5)-5)/5))))</x:f>
      </x:c>
      <x:c r="AY92" s="11" t="str">
        <x:f>IF(A92="","",MAX(1-'Config_v6'!$B$20,MIN(1+'Config_v6'!$B$20,1+0.02*(IF(AND(ISNUMBER('Input_Meci'!O92),'Input_Meci'!O92&gt;=0,'Input_Meci'!O92&lt;=200),'Input_Meci'!O92,12)/12-1)+0.02*(IF(AND(ISNUMBER('Input_Meci'!Q92),'Input_Meci'!Q92&gt;=0,'Input_Meci'!Q92&lt;=200),'Input_Meci'!Q92,3.5)/3.5-1)+0.02*(IF(AND(ISNUMBER('Input_Meci'!S92),'Input_Meci'!S92&gt;=0,'Input_Meci'!S92&lt;=200),'Input_Meci'!S92,18)/18-1)+0.02*((IF(AND(ISNUMBER('Input_Meci'!W92),'Input_Meci'!W92&gt;=0,'Input_Meci'!W92&lt;=10),'Input_Meci'!W92,5)-5)/5))))</x:f>
      </x:c>
      <x:c r="AZ92" s="11" t="str">
        <x:f>IF(A92="","",MAX(1-'Config_v6'!$B$21,MIN(1+'Config_v6'!$B$21,1+0.012*(IF('Input_Meci'!X92="",5,IF(ISNUMBER('Input_Meci'!X92),'Input_Meci'!X92,5))-5)+0.018*(IF('Input_Meci'!Z92="",5,IF(ISNUMBER('Input_Meci'!Z92),'Input_Meci'!Z92,5))-5)+0.012*(IF('Input_Meci'!AB92="",5,IF(ISNUMBER('Input_Meci'!AB92),'Input_Meci'!AB92,5))-5)+0.015*IF('Input_Meci'!AD92="",0,IF(ISNUMBER('Input_Meci'!AD92),'Input_Meci'!AD92,0))+0.02*IF('Input_Meci'!AF92="",0,IF(ISNUMBER('Input_Meci'!AF92),'Input_Meci'!AF92,0)))))</x:f>
      </x:c>
      <x:c r="BA92" s="11" t="str">
        <x:f>IF(A92="","",MAX(1-'Config_v6'!$B$21,MIN(1+'Config_v6'!$B$21,1+0.012*(IF('Input_Meci'!Y92="",5,IF(ISNUMBER('Input_Meci'!Y92),'Input_Meci'!Y92,5))-5)+0.018*(IF('Input_Meci'!AA92="",5,IF(ISNUMBER('Input_Meci'!AA92),'Input_Meci'!AA92,5))-5)+0.012*(IF('Input_Meci'!AC92="",5,IF(ISNUMBER('Input_Meci'!AC92),'Input_Meci'!AC92,5))-5)+0.015*IF('Input_Meci'!AE92="",0,IF(ISNUMBER('Input_Meci'!AE92),'Input_Meci'!AE92,0))+0.02*IF('Input_Meci'!AG92="",0,IF(ISNUMBER('Input_Meci'!AG92),'Input_Meci'!AG92,0)))))</x:f>
      </x:c>
      <x:c r="BB92" s="11" t="str">
        <x:f>IF(I92&lt;&gt;"PASS","",(AVERAGE(AF92,AM92)*'Config_v6'!$B$4+AVERAGE(AH92,AO92)*'Config_v6'!$B$5+AVERAGE(AJ92,AQ92)*'Config_v6'!$B$6)*AX92*AZ92)</x:f>
      </x:c>
      <x:c r="BC92" s="11" t="str">
        <x:f>IF(I92&lt;&gt;"PASS","",(AVERAGE(AL92,AG92)*'Config_v6'!$B$4+AVERAGE(AN92,AI92)*'Config_v6'!$B$5+AVERAGE(AP92,AK92)*'Config_v6'!$B$6)*AY92*BA92)</x:f>
      </x:c>
      <x:c r="BD92" s="11" t="str">
        <x:f>IF(I92&lt;&gt;"PASS","",BB92+BC92)</x:f>
      </x:c>
      <x:c r="BE92" s="11" t="str">
        <x:f>IF(A92="","",10-SUM(IF(AND(ISNUMBER('Input_Meci'!N92),'Input_Meci'!N92&gt;=0,'Input_Meci'!N92&lt;=200),1,0),IF(AND(ISNUMBER('Input_Meci'!O92),'Input_Meci'!O92&gt;=0,'Input_Meci'!O92&lt;=200),1,0),IF(AND(ISNUMBER('Input_Meci'!P92),'Input_Meci'!P92&gt;=0,'Input_Meci'!P92&lt;=200),1,0),IF(AND(ISNUMBER('Input_Meci'!Q92),'Input_Meci'!Q92&gt;=0,'Input_Meci'!Q92&lt;=200),1,0),IF(AND(ISNUMBER('Input_Meci'!R92),'Input_Meci'!R92&gt;=0,'Input_Meci'!R92&lt;=200),1,0),IF(AND(ISNUMBER('Input_Meci'!S92),'Input_Meci'!S92&gt;=0,'Input_Meci'!S92&lt;=200),1,0),IF(AND(ISNUMBER('Input_Meci'!T92),'Input_Meci'!T92&gt;=0,'Input_Meci'!T92&lt;=100),1,0),IF(AND(ISNUMBER('Input_Meci'!U92),'Input_Meci'!U92&gt;=0,'Input_Meci'!U92&lt;=100),1,0),IF(AND(ISNUMBER('Input_Meci'!V92),'Input_Meci'!V92&gt;=0,'Input_Meci'!V92&lt;=10),1,0),IF(AND(ISNUMBER('Input_Meci'!W92),'Input_Meci'!W92&gt;=0,'Input_Meci'!W92&lt;=10),1,0)))</x:f>
      </x:c>
      <x:c r="BF92" s="11" t="str">
        <x:f>IF(I92&lt;&gt;"PASS","",MAX(0,MIN(IF(OR(M92="YES",BL92&lt;&gt;C92),'Config_v6'!$B$34,100),ROUND(40+25*MIN(1,MIN(N92,Q92)/'Config_v6'!$B$7)*MIN(1,MIN(O92,R92)/'Config_v6'!$B$8)*MIN(1,MIN(P92,S92)/'Config_v6'!$B$9)+MAX(0,15-2*ABS(AF92-AJ92)-2*ABS(AL92-AP92))+IF(AU92&lt;='Config_v6'!$B$10,15,IF(AU92&lt;='Config_v6'!$B$11,13,IF(AU92&lt;='Config_v6'!$B$12,10,IF(AU92&lt;='Config_v6'!$B$13,6,0))))+5-BE92/10*'Config_v6'!$B$38,0))))</x:f>
      </x:c>
      <x:c r="BG92" s="11" t="str">
        <x:f>IF(I92&lt;&gt;"PASS","",MIN(1,'Config_v6'!$B$14*(0.7+0.3*MIN(1,AR92/'Config_v6'!$B$15))*IF(AU92&lt;='Config_v6'!$B$10,1,IF(AU92&lt;='Config_v6'!$B$11,0.95,IF(AU92&lt;='Config_v6'!$B$12,0.88,0.78)))*(0.75+0.25*BF92/100)))</x:f>
      </x:c>
      <x:c r="BH92" s="11" t="str">
        <x:f>IF(I92&lt;&gt;"PASS","",MIN(1,(ABS(AZ92-1)+ABS(BA92-1))*3))</x:f>
      </x:c>
      <x:c r="BI92" s="2" t="str">
        <x:f>IF(A92="","",IF(AND(OR('Input_Meci'!X92="",AND(ISNUMBER('Input_Meci'!X92),'Input_Meci'!X92&gt;=0,'Input_Meci'!X92&lt;=10)),OR('Input_Meci'!Y92="",AND(ISNUMBER('Input_Meci'!Y92),'Input_Meci'!Y92&gt;=0,'Input_Meci'!Y92&lt;=10)),OR('Input_Meci'!Z92="",AND(ISNUMBER('Input_Meci'!Z92),'Input_Meci'!Z92&gt;=0,'Input_Meci'!Z92&lt;=10)),OR('Input_Meci'!AA92="",AND(ISNUMBER('Input_Meci'!AA92),'Input_Meci'!AA92&gt;=0,'Input_Meci'!AA92&lt;=10)),OR('Input_Meci'!AB92="",AND(ISNUMBER('Input_Meci'!AB92),'Input_Meci'!AB92&gt;=0,'Input_Meci'!AB92&lt;=10)),OR('Input_Meci'!AC92="",AND(ISNUMBER('Input_Meci'!AC92),'Input_Meci'!AC92&gt;=0,'Input_Meci'!AC92&lt;=10)),OR('Input_Meci'!AD92="",AND(ISNUMBER('Input_Meci'!AD92),'Input_Meci'!AD92&gt;=-2,'Input_Meci'!AD92&lt;=2)),OR('Input_Meci'!AE92="",AND(ISNUMBER('Input_Meci'!AE92),'Input_Meci'!AE92&gt;=-2,'Input_Meci'!AE92&lt;=2)),OR('Input_Meci'!AF92="",AND(ISNUMBER('Input_Meci'!AF92),'Input_Meci'!AF92&gt;=-2,'Input_Meci'!AF92&lt;=2)),OR('Input_Meci'!AG92="",AND(ISNUMBER('Input_Meci'!AG92),'Input_Meci'!AG92&gt;=-2,'Input_Meci'!AG92&lt;=2))),"VALID","INVALID"))</x:f>
      </x:c>
      <x:c r="BJ92" s="2" t="n">
        <x:f>IF(A92="",0,SUM('Core_Nativ'!S1038:S1043))</x:f>
        <x:v>0</x:v>
      </x:c>
      <x:c r="BK92" s="2" t="str">
        <x:f>'Config_v6'!$B$40</x:f>
        <x:v>VALID</x:v>
      </x:c>
      <x:c r="BL92" s="2" t="str">
        <x:f>IF(A92="","",IF(SUMPRODUCT(('Istoric_Nativ'!$B$6:$B$405=B92)*('Istoric_Nativ'!$C$6:$C$405=C92)*('Istoric_Nativ'!$P$6:$P$405=1)*('Istoric_Nativ'!$D$6:$D$405&lt;INT(G92))*((('Istoric_Nativ'!$E$6:$E$405='Input_Meci'!D92)+('Istoric_Nativ'!$F$6:$F$405='Input_Meci'!D92)+('Istoric_Nativ'!$E$6:$E$405='Input_Meci'!E92)+('Istoric_Nativ'!$F$6:$F$405='Input_Meci'!E92))&gt;0))&gt;='Config_v6'!$B$41,C92,IF(AND('Input_Meci'!L92="YES",'Input_Meci'!K92&lt;&gt;"",'Input_Meci'!K92&lt;C92,COUNTIF('Core_Nativ'!R1044:R1049,"CLOSED")=6,SUM('Core_Nativ'!S1044:S1049)=0),'Input_Meci'!K92,C92)))</x:f>
      </x:c>
      <x:c r="BM92" s="9" t="n">
        <x:f>IF(OR(A92="",N92=0),0,LARGE(_xlfn._xlws.FILTER('Istoric_Nativ'!$D$6:$D$405,('Istoric_Nativ'!$B$6:$B$405=B92)*('Istoric_Nativ'!$C$6:$C$405=C92)*('Istoric_Nativ'!$P$6:$P$405=1)*('Istoric_Nativ'!$D$6:$D$405&lt;INT(G92))*((('Istoric_Nativ'!$E$6:$E$405='Input_Meci'!D92)+('Istoric_Nativ'!$F$6:$F$405='Input_Meci'!D92))&gt;0)),MIN(10,N92)))</x:f>
        <x:v>0</x:v>
      </x:c>
      <x:c r="BN92" s="9" t="n">
        <x:f>IF(OR(A92="",Q92=0),0,LARGE(_xlfn._xlws.FILTER('Istoric_Nativ'!$D$6:$D$405,('Istoric_Nativ'!$B$6:$B$405=B92)*('Istoric_Nativ'!$C$6:$C$405=C92)*('Istoric_Nativ'!$P$6:$P$405=1)*('Istoric_Nativ'!$D$6:$D$405&lt;INT(G92))*((('Istoric_Nativ'!$E$6:$E$405='Input_Meci'!E92)+('Istoric_Nativ'!$F$6:$F$405='Input_Meci'!E92))&gt;0)),MIN(10,Q92)))</x:f>
        <x:v>0</x:v>
      </x:c>
      <x:c r="BO92" s="9" t="n">
        <x:f>IF(OR(A92="",N92=0),0,LARGE(_xlfn._xlws.FILTER('Istoric_Nativ'!$D$6:$D$405,('Istoric_Nativ'!$B$6:$B$405=B92)*('Istoric_Nativ'!$C$6:$C$405=C92)*('Istoric_Nativ'!$P$6:$P$405=1)*('Istoric_Nativ'!$D$6:$D$405&lt;INT(G92))*((('Istoric_Nativ'!$E$6:$E$405='Input_Meci'!D92)+('Istoric_Nativ'!$F$6:$F$405='Input_Meci'!D92))&gt;0)),MIN(20,N92)))</x:f>
        <x:v>0</x:v>
      </x:c>
      <x:c r="BP92" s="9" t="n">
        <x:f>IF(OR(A92="",Q92=0),0,LARGE(_xlfn._xlws.FILTER('Istoric_Nativ'!$D$6:$D$405,('Istoric_Nativ'!$B$6:$B$405=B92)*('Istoric_Nativ'!$C$6:$C$405=C92)*('Istoric_Nativ'!$P$6:$P$405=1)*('Istoric_Nativ'!$D$6:$D$405&lt;INT(G92))*((('Istoric_Nativ'!$E$6:$E$405='Input_Meci'!E92)+('Istoric_Nativ'!$F$6:$F$405='Input_Meci'!E92))&gt;0)),MIN(20,Q92)))</x:f>
        <x:v>0</x:v>
      </x:c>
      <x:c r="BQ92" s="2" t="str">
        <x:f>IF(A92="","",IF(AND(COUNTIF(MatchesTable[Match_ID],A92)=1,COUNTIFS(MatchesTable[League],B92,MatchesTable[Season],C92,MatchesTable[Home],'Input_Meci'!D92,MatchesTable[Away],'Input_Meci'!E92,MatchesTable[Kickoff_UTC],F92)=1,B92&lt;&gt;"",C92&lt;&gt;"",'Input_Meci'!D92&lt;&gt;"",'Input_Meci'!E92&lt;&gt;"",'Input_Meci'!D92&lt;&gt;'Input_Meci'!E92,ISNUMBER(F92),ISNUMBER(G92),G92&lt;F92,OR(E92="LIVE",E92="REPLAY"),OR('Input_Meci'!L92="YES",'Input_Meci'!L92="NO",'Input_Meci'!L92="")),"VALID","INVALID"))</x:f>
      </x:c>
      <x:c r="BR92" s="2" t="n">
        <x:f>IF(I92&lt;&gt;"PASS",0,SUMPRODUCT(('Istoric_Nativ'!$B$6:$B$405='Input_Meci'!B92)*('Istoric_Nativ'!$C$6:$C$405='Input_Meci'!C92)*('Istoric_Nativ'!$P$6:$P$405=1)*('Istoric_Nativ'!$D$6:$D$405&lt;INT('Input_Meci'!G92))*((('Istoric_Nativ'!$E$6:$E$405='Input_Meci'!D92)+('Istoric_Nativ'!$F$6:$F$405='Input_Meci'!E92))&gt;0)))</x:f>
        <x:v>0</x:v>
      </x:c>
      <x:c r="BS92" s="2" t="n">
        <x:f>IF(I92&lt;&gt;"PASS",0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BM92)+((('Istoric_Nativ'!$E$6:$E$405='Input_Meci'!E92)+('Istoric_Nativ'!$F$6:$F$405='Input_Meci'!E92))&gt;0)*('Istoric_Nativ'!$D$6:$D$405&gt;=BN92))&gt;0)))</x:f>
        <x:v>0</x:v>
      </x:c>
      <x:c r="BT92" s="2" t="n">
        <x:f>IF(I92&lt;&gt;"PASS",0,SUMPRODUCT(('Istoric_Nativ'!$B$6:$B$405='Input_Meci'!B92)*('Istoric_Nativ'!$C$6:$C$405='Input_Meci'!C92)*('Istoric_Nativ'!$P$6:$P$405=1)*('Istoric_Nativ'!$D$6:$D$405&lt;INT('Input_Meci'!G92))*((((('Istoric_Nativ'!$E$6:$E$405='Input_Meci'!D92)+('Istoric_Nativ'!$F$6:$F$405='Input_Meci'!D92))&gt;0)*('Istoric_Nativ'!$D$6:$D$405&gt;=BO92)+((('Istoric_Nativ'!$E$6:$E$405='Input_Meci'!E92)+('Istoric_Nativ'!$F$6:$F$405='Input_Meci'!E92))&gt;0)*('Istoric_Nativ'!$D$6:$D$405&gt;=BP92))&gt;0)))</x:f>
        <x:v>0</x:v>
      </x:c>
    </x:row>
    <x:row r="93" ht="21" customHeight="1">
      <x:c r="A93" s="2" t="str">
        <x:f>IF('Input_Meci'!A93="","",'Input_Meci'!A93)</x:f>
      </x:c>
      <x:c r="B93" s="2" t="str">
        <x:f>IF(A93="","",'Input_Meci'!B93)</x:f>
      </x:c>
      <x:c r="C93" s="2" t="str">
        <x:f>IF(A93="","",'Input_Meci'!C93)</x:f>
      </x:c>
      <x:c r="D93" s="2" t="str">
        <x:f>IF(A93="","",'Input_Meci'!D93&amp;" – "&amp;'Input_Meci'!E93)</x:f>
      </x:c>
      <x:c r="E93" s="2" t="str">
        <x:f>IF(A93="","",'Input_Meci'!H93)</x:f>
      </x:c>
      <x:c r="F93" s="9" t="str">
        <x:f>IF(A93="","",'Input_Meci'!F93)</x:f>
      </x:c>
      <x:c r="G93" s="9" t="str">
        <x:f>IF(A93="","",'Input_Meci'!G93)</x:f>
      </x:c>
      <x:c r="H93" s="2" t="str">
        <x:f>IF(A93="","",IF(BQ93&lt;&gt;"VALID","NOT RELEASED",IF(AND(OR('Input_Meci'!I93="NOT AVAILABLE",'Input_Meci'!I93="SOURCE CONFLICT"),'Input_Meci'!J93&lt;&gt;""),"READY",IF(OR(NOT(OR('Input_Meci'!I93="AUTO",'Input_Meci'!I93="")),COUNTIF('Core_Nativ'!R1050:R1055,"CLOSED")&lt;&gt;6,BJ93&gt;0),"NOT RELEASED","READY"))))</x:f>
      </x:c>
      <x:c r="I93" s="2" t="str">
        <x:f>IF(A93="","",IF(H93&lt;&gt;"READY","NOT RELEASED",IF(AND(NOT(OR('Input_Meci'!I93="NOT AVAILABLE",'Input_Meci'!I93="SOURCE CONFLICT")),L93=12,AR93&gt;=2,AS93&gt;0,ISNUMBER(AT93),BI93="VALID",BK93="VALID"),"PASS","FAIL")))</x:f>
      </x:c>
      <x:c r="J93" s="2" t="str">
        <x:f>IF(A93="","",IF(BQ93&lt;&gt;"VALID","Verifica ID, echipe, mod si cutoff &lt; kickoff",IF(H93&lt;&gt;"READY",IF('Input_Meci'!I93="ACCESS BLOCKED","Acces blocat: reia sursele",IF(BJ93&gt;0,"Istoric invalid sau conflict: verifica randurile native","Surse neinchise / post-cutoff / dovezi incomplete")),IF(OR('Input_Meci'!I93="NOT AVAILABLE",'Input_Meci'!I93="SOURCE CONFLICT"),'Input_Meci'!I93,IF(BK93&lt;&gt;"VALID","Parametri invalizi",IF(L93&lt;&gt;12,"Core / sample / prior insuficient",IF(AR93&lt;2,"N insuficient pentru dispersie",IF(AS93&lt;=0,"Media istorica trebuie sa fie pozitiva",IF(BI93&lt;&gt;"VALID","Context invalid","READY")))))))))</x:f>
      </x:c>
      <x:c r="K93" s="2" t="str">
        <x:f>IF(A93="","",COUNT(T93:AE93))</x:f>
      </x:c>
      <x:c r="L93" s="2" t="str">
        <x:f>IF(A93="","",COUNT(AF93:AQ93))</x:f>
      </x:c>
      <x:c r="M93" s="2" t="str">
        <x:f>IF(A93="","",IF(OR('Core_Nativ'!M1050&lt;'Core_Nativ'!P1050,'Core_Nativ'!M1051&lt;'Core_Nativ'!P1051,'Core_Nativ'!M1052&lt;'Core_Nativ'!P1052,'Core_Nativ'!M1053&lt;'Core_Nativ'!P1053,'Core_Nativ'!M1054&lt;'Core_Nativ'!P1054,'Core_Nativ'!M1055&lt;'Core_Nativ'!P1055),"YES","NO"))</x:f>
      </x:c>
      <x:c r="N93" s="2" t="str">
        <x:f>IF(A93="","",'Core_Nativ'!M1050)</x:f>
      </x:c>
      <x:c r="O93" s="2" t="str">
        <x:f>IF(A93="","",'Core_Nativ'!M1051)</x:f>
      </x:c>
      <x:c r="P93" s="2" t="str">
        <x:f>IF(A93="","",'Core_Nativ'!M1052)</x:f>
      </x:c>
      <x:c r="Q93" s="2" t="str">
        <x:f>IF(A93="","",'Core_Nativ'!M1053)</x:f>
      </x:c>
      <x:c r="R93" s="2" t="str">
        <x:f>IF(A93="","",'Core_Nativ'!M1054)</x:f>
      </x:c>
      <x:c r="S93" s="2" t="str">
        <x:f>IF(A93="","",'Core_Nativ'!M1055)</x:f>
      </x:c>
      <x:c r="T93" s="11" t="str">
        <x:f>IF(OR(A93="",'Core_Nativ'!M1050=0),"",'Core_Nativ'!N1050)</x:f>
      </x:c>
      <x:c r="U93" s="11" t="str">
        <x:f>IF(OR(A93="",'Core_Nativ'!M1050=0),"",'Core_Nativ'!O1050)</x:f>
      </x:c>
      <x:c r="V93" s="11" t="str">
        <x:f>IF(OR(A93="",'Core_Nativ'!M1051=0),"",'Core_Nativ'!N1051)</x:f>
      </x:c>
      <x:c r="W93" s="11" t="str">
        <x:f>IF(OR(A93="",'Core_Nativ'!M1051=0),"",'Core_Nativ'!O1051)</x:f>
      </x:c>
      <x:c r="X93" s="11" t="str">
        <x:f>IF(OR(A93="",'Core_Nativ'!M1052=0),"",'Core_Nativ'!N1052)</x:f>
      </x:c>
      <x:c r="Y93" s="11" t="str">
        <x:f>IF(OR(A93="",'Core_Nativ'!M1052=0),"",'Core_Nativ'!O1052)</x:f>
      </x:c>
      <x:c r="Z93" s="11" t="str">
        <x:f>IF(OR(A93="",'Core_Nativ'!M1053=0),"",'Core_Nativ'!N1053)</x:f>
      </x:c>
      <x:c r="AA93" s="11" t="str">
        <x:f>IF(OR(A93="",'Core_Nativ'!M1053=0),"",'Core_Nativ'!O1053)</x:f>
      </x:c>
      <x:c r="AB93" s="11" t="str">
        <x:f>IF(OR(A93="",'Core_Nativ'!M1054=0),"",'Core_Nativ'!N1054)</x:f>
      </x:c>
      <x:c r="AC93" s="11" t="str">
        <x:f>IF(OR(A93="",'Core_Nativ'!M1054=0),"",'Core_Nativ'!O1054)</x:f>
      </x:c>
      <x:c r="AD93" s="11" t="str">
        <x:f>IF(OR(A93="",'Core_Nativ'!M1055=0),"",'Core_Nativ'!N1055)</x:f>
      </x:c>
      <x:c r="AE93" s="11" t="str">
        <x:f>IF(OR(A93="",'Core_Nativ'!M1055=0),"",'Core_Nativ'!O1055)</x:f>
      </x:c>
      <x:c r="AF93" s="11" t="str">
        <x:f>IF(A93="","",IF(AND('Core_Nativ'!R1050="CLOSED",'Core_Nativ'!S1050=0),IF('Core_Nativ'!M1050&gt;='Core_Nativ'!P1050,'Core_Nativ'!N1050,IF(AND('Input_Meci'!L93="YES",'Input_Meci'!K93&lt;&gt;"",'Input_Meci'!K93&lt;C93,'Core_Nativ'!T1056="DERIVED",'Core_Nativ'!M1056&gt;='Core_Nativ'!P1050),MIN(1,'Core_Nativ'!M1050/'Core_Nativ'!P1050)*IF('Core_Nativ'!M1050=0,0,'Core_Nativ'!N1050)+(1-MIN(1,'Core_Nativ'!M1050/'Core_Nativ'!P1050))*'Core_Nativ'!N1056,"")),""))</x:f>
      </x:c>
      <x:c r="AG93" s="11" t="str">
        <x:f>IF(A93="","",IF(AND('Core_Nativ'!R1050="CLOSED",'Core_Nativ'!S1050=0),IF('Core_Nativ'!M1050&gt;='Core_Nativ'!P1050,'Core_Nativ'!O1050,IF(AND('Input_Meci'!L93="YES",'Input_Meci'!K93&lt;&gt;"",'Input_Meci'!K93&lt;C93,'Core_Nativ'!T1056="DERIVED",'Core_Nativ'!M1056&gt;='Core_Nativ'!P1050),MIN(1,'Core_Nativ'!M1050/'Core_Nativ'!P1050)*IF('Core_Nativ'!M1050=0,0,'Core_Nativ'!O1050)+(1-MIN(1,'Core_Nativ'!M1050/'Core_Nativ'!P1050))*'Core_Nativ'!O1056,"")),""))</x:f>
      </x:c>
      <x:c r="AH93" s="11" t="str">
        <x:f>IF(A93="","",IF(AND('Core_Nativ'!R1051="CLOSED",'Core_Nativ'!S1051=0),IF('Core_Nativ'!M1051&gt;='Core_Nativ'!P1051,'Core_Nativ'!N1051,IF(AND('Input_Meci'!L93="YES",'Input_Meci'!K93&lt;&gt;"",'Input_Meci'!K93&lt;C93,'Core_Nativ'!T1057="DERIVED",'Core_Nativ'!M1057&gt;='Core_Nativ'!P1051),MIN(1,'Core_Nativ'!M1051/'Core_Nativ'!P1051)*IF('Core_Nativ'!M1051=0,0,'Core_Nativ'!N1051)+(1-MIN(1,'Core_Nativ'!M1051/'Core_Nativ'!P1051))*'Core_Nativ'!N1057,"")),""))</x:f>
      </x:c>
      <x:c r="AI93" s="11" t="str">
        <x:f>IF(A93="","",IF(AND('Core_Nativ'!R1051="CLOSED",'Core_Nativ'!S1051=0),IF('Core_Nativ'!M1051&gt;='Core_Nativ'!P1051,'Core_Nativ'!O1051,IF(AND('Input_Meci'!L93="YES",'Input_Meci'!K93&lt;&gt;"",'Input_Meci'!K93&lt;C93,'Core_Nativ'!T1057="DERIVED",'Core_Nativ'!M1057&gt;='Core_Nativ'!P1051),MIN(1,'Core_Nativ'!M1051/'Core_Nativ'!P1051)*IF('Core_Nativ'!M1051=0,0,'Core_Nativ'!O1051)+(1-MIN(1,'Core_Nativ'!M1051/'Core_Nativ'!P1051))*'Core_Nativ'!O1057,"")),""))</x:f>
      </x:c>
      <x:c r="AJ93" s="11" t="str">
        <x:f>IF(A93="","",IF(AND('Core_Nativ'!R1052="CLOSED",'Core_Nativ'!S1052=0),IF('Core_Nativ'!M1052&gt;='Core_Nativ'!P1052,'Core_Nativ'!N1052,IF(AND('Input_Meci'!L93="YES",'Input_Meci'!K93&lt;&gt;"",'Input_Meci'!K93&lt;C93,'Core_Nativ'!T1058="DERIVED",'Core_Nativ'!M1058&gt;='Core_Nativ'!P1052),MIN(1,'Core_Nativ'!M1052/'Core_Nativ'!P1052)*IF('Core_Nativ'!M1052=0,0,'Core_Nativ'!N1052)+(1-MIN(1,'Core_Nativ'!M1052/'Core_Nativ'!P1052))*'Core_Nativ'!N1058,"")),""))</x:f>
      </x:c>
      <x:c r="AK93" s="11" t="str">
        <x:f>IF(A93="","",IF(AND('Core_Nativ'!R1052="CLOSED",'Core_Nativ'!S1052=0),IF('Core_Nativ'!M1052&gt;='Core_Nativ'!P1052,'Core_Nativ'!O1052,IF(AND('Input_Meci'!L93="YES",'Input_Meci'!K93&lt;&gt;"",'Input_Meci'!K93&lt;C93,'Core_Nativ'!T1058="DERIVED",'Core_Nativ'!M1058&gt;='Core_Nativ'!P1052),MIN(1,'Core_Nativ'!M1052/'Core_Nativ'!P1052)*IF('Core_Nativ'!M1052=0,0,'Core_Nativ'!O1052)+(1-MIN(1,'Core_Nativ'!M1052/'Core_Nativ'!P1052))*'Core_Nativ'!O1058,"")),""))</x:f>
      </x:c>
      <x:c r="AL93" s="11" t="str">
        <x:f>IF(A93="","",IF(AND('Core_Nativ'!R1053="CLOSED",'Core_Nativ'!S1053=0),IF('Core_Nativ'!M1053&gt;='Core_Nativ'!P1053,'Core_Nativ'!N1053,IF(AND('Input_Meci'!L93="YES",'Input_Meci'!K93&lt;&gt;"",'Input_Meci'!K93&lt;C93,'Core_Nativ'!T1059="DERIVED",'Core_Nativ'!M1059&gt;='Core_Nativ'!P1053),MIN(1,'Core_Nativ'!M1053/'Core_Nativ'!P1053)*IF('Core_Nativ'!M1053=0,0,'Core_Nativ'!N1053)+(1-MIN(1,'Core_Nativ'!M1053/'Core_Nativ'!P1053))*'Core_Nativ'!N1059,"")),""))</x:f>
      </x:c>
      <x:c r="AM93" s="11" t="str">
        <x:f>IF(A93="","",IF(AND('Core_Nativ'!R1053="CLOSED",'Core_Nativ'!S1053=0),IF('Core_Nativ'!M1053&gt;='Core_Nativ'!P1053,'Core_Nativ'!O1053,IF(AND('Input_Meci'!L93="YES",'Input_Meci'!K93&lt;&gt;"",'Input_Meci'!K93&lt;C93,'Core_Nativ'!T1059="DERIVED",'Core_Nativ'!M1059&gt;='Core_Nativ'!P1053),MIN(1,'Core_Nativ'!M1053/'Core_Nativ'!P1053)*IF('Core_Nativ'!M1053=0,0,'Core_Nativ'!O1053)+(1-MIN(1,'Core_Nativ'!M1053/'Core_Nativ'!P1053))*'Core_Nativ'!O1059,"")),""))</x:f>
      </x:c>
      <x:c r="AN93" s="11" t="str">
        <x:f>IF(A93="","",IF(AND('Core_Nativ'!R1054="CLOSED",'Core_Nativ'!S1054=0),IF('Core_Nativ'!M1054&gt;='Core_Nativ'!P1054,'Core_Nativ'!N1054,IF(AND('Input_Meci'!L93="YES",'Input_Meci'!K93&lt;&gt;"",'Input_Meci'!K93&lt;C93,'Core_Nativ'!T1060="DERIVED",'Core_Nativ'!M1060&gt;='Core_Nativ'!P1054),MIN(1,'Core_Nativ'!M1054/'Core_Nativ'!P1054)*IF('Core_Nativ'!M1054=0,0,'Core_Nativ'!N1054)+(1-MIN(1,'Core_Nativ'!M1054/'Core_Nativ'!P1054))*'Core_Nativ'!N1060,"")),""))</x:f>
      </x:c>
      <x:c r="AO93" s="11" t="str">
        <x:f>IF(A93="","",IF(AND('Core_Nativ'!R1054="CLOSED",'Core_Nativ'!S1054=0),IF('Core_Nativ'!M1054&gt;='Core_Nativ'!P1054,'Core_Nativ'!O1054,IF(AND('Input_Meci'!L93="YES",'Input_Meci'!K93&lt;&gt;"",'Input_Meci'!K93&lt;C93,'Core_Nativ'!T1060="DERIVED",'Core_Nativ'!M1060&gt;='Core_Nativ'!P1054),MIN(1,'Core_Nativ'!M1054/'Core_Nativ'!P1054)*IF('Core_Nativ'!M1054=0,0,'Core_Nativ'!O1054)+(1-MIN(1,'Core_Nativ'!M1054/'Core_Nativ'!P1054))*'Core_Nativ'!O1060,"")),""))</x:f>
      </x:c>
      <x:c r="AP93" s="11" t="str">
        <x:f>IF(A93="","",IF(AND('Core_Nativ'!R1055="CLOSED",'Core_Nativ'!S1055=0),IF('Core_Nativ'!M1055&gt;='Core_Nativ'!P1055,'Core_Nativ'!N1055,IF(AND('Input_Meci'!L93="YES",'Input_Meci'!K93&lt;&gt;"",'Input_Meci'!K93&lt;C93,'Core_Nativ'!T1061="DERIVED",'Core_Nativ'!M1061&gt;='Core_Nativ'!P1055),MIN(1,'Core_Nativ'!M1055/'Core_Nativ'!P1055)*IF('Core_Nativ'!M1055=0,0,'Core_Nativ'!N1055)+(1-MIN(1,'Core_Nativ'!M1055/'Core_Nativ'!P1055))*'Core_Nativ'!N1061,"")),""))</x:f>
      </x:c>
      <x:c r="AQ93" s="11" t="str">
        <x:f>IF(A93="","",IF(AND('Core_Nativ'!R1055="CLOSED",'Core_Nativ'!S1055=0),IF('Core_Nativ'!M1055&gt;='Core_Nativ'!P1055,'Core_Nativ'!O1055,IF(AND('Input_Meci'!L93="YES",'Input_Meci'!K93&lt;&gt;"",'Input_Meci'!K93&lt;C93,'Core_Nativ'!T1061="DERIVED",'Core_Nativ'!M1061&gt;='Core_Nativ'!P1055),MIN(1,'Core_Nativ'!M1055/'Core_Nativ'!P1055)*IF('Core_Nativ'!M1055=0,0,'Core_Nativ'!O1055)+(1-MIN(1,'Core_Nativ'!M1055/'Core_Nativ'!P1055))*'Core_Nativ'!O1061,"")),""))</x:f>
      </x:c>
      <x:c r="AR93" s="11" t="str">
        <x:f>IF(A93="","",SUMPRODUCT(('Istoric_Nativ'!$B$6:$B$405=B93)*('Istoric_Nativ'!$C$6:$C$405=BL93)*('Istoric_Nativ'!$P$6:$P$405=1)*('Istoric_Nativ'!$D$6:$D$405&lt;INT(G93))*((('Istoric_Nativ'!$E$6:$E$405='Input_Meci'!D93)+('Istoric_Nativ'!$F$6:$F$405='Input_Meci'!D93)+('Istoric_Nativ'!$E$6:$E$405='Input_Meci'!E93)+('Istoric_Nativ'!$F$6:$F$405='Input_Meci'!E93))&gt;0)))</x:f>
      </x:c>
      <x:c r="AS93" s="11" t="str">
        <x:f>IF(AR93=0,"",SUMPRODUCT(('Istoric_Nativ'!$B$6:$B$405=B93)*('Istoric_Nativ'!$C$6:$C$405=BL93)*('Istoric_Nativ'!$P$6:$P$405=1)*('Istoric_Nativ'!$D$6:$D$405&lt;INT(G93))*((('Istoric_Nativ'!$E$6:$E$405='Input_Meci'!D93)+('Istoric_Nativ'!$F$6:$F$405='Input_Meci'!D93)+('Istoric_Nativ'!$E$6:$E$405='Input_Meci'!E93)+('Istoric_Nativ'!$F$6:$F$405='Input_Meci'!E93))&gt;0)*'Istoric_Nativ'!$Q$6:$Q$405)/AR93)</x:f>
      </x:c>
      <x:c r="AT93" s="11" t="str">
        <x:f>IF(AR93&lt;2,"",MAX(0,(SUMPRODUCT(('Istoric_Nativ'!$B$6:$B$405=B93)*('Istoric_Nativ'!$C$6:$C$405=BL93)*('Istoric_Nativ'!$P$6:$P$405=1)*('Istoric_Nativ'!$D$6:$D$405&lt;INT(G93))*((('Istoric_Nativ'!$E$6:$E$405='Input_Meci'!D93)+('Istoric_Nativ'!$F$6:$F$405='Input_Meci'!D93)+('Istoric_Nativ'!$E$6:$E$405='Input_Meci'!E93)+('Istoric_Nativ'!$F$6:$F$405='Input_Meci'!E93))&gt;0)*'Istoric_Nativ'!$R$6:$R$405)-AR93*AS93^2)/(AR93-1)))</x:f>
      </x:c>
      <x:c r="AU93" s="11" t="str">
        <x:f>IF(I93&lt;&gt;"PASS","",AT93/AS93)</x:f>
      </x:c>
      <x:c r="AV93" s="11" t="str">
        <x:f>IF(I93&lt;&gt;"PASS","",IF(AU93&lt;='Config_v6'!$B$10,"POISSON","NEGATIVE BINOMIAL"))</x:f>
      </x:c>
      <x:c r="AW93" s="11" t="str">
        <x:f>IF(I93&lt;&gt;"PASS","",IF(AV93="POISSON",9999,AS93/(AU93-1)))</x:f>
      </x:c>
      <x:c r="AX93" s="11" t="str">
        <x:f>IF(A93="","",MAX(1-'Config_v6'!$B$20,MIN(1+'Config_v6'!$B$20,1+0.02*(IF(AND(ISNUMBER('Input_Meci'!N93),'Input_Meci'!N93&gt;=0,'Input_Meci'!N93&lt;=200),'Input_Meci'!N93,12)/12-1)+0.02*(IF(AND(ISNUMBER('Input_Meci'!P93),'Input_Meci'!P93&gt;=0,'Input_Meci'!P93&lt;=200),'Input_Meci'!P93,3.5)/3.5-1)+0.02*(IF(AND(ISNUMBER('Input_Meci'!R93),'Input_Meci'!R93&gt;=0,'Input_Meci'!R93&lt;=200),'Input_Meci'!R93,18)/18-1)+0.02*((IF(AND(ISNUMBER('Input_Meci'!V93),'Input_Meci'!V93&gt;=0,'Input_Meci'!V93&lt;=10),'Input_Meci'!V93,5)-5)/5))))</x:f>
      </x:c>
      <x:c r="AY93" s="11" t="str">
        <x:f>IF(A93="","",MAX(1-'Config_v6'!$B$20,MIN(1+'Config_v6'!$B$20,1+0.02*(IF(AND(ISNUMBER('Input_Meci'!O93),'Input_Meci'!O93&gt;=0,'Input_Meci'!O93&lt;=200),'Input_Meci'!O93,12)/12-1)+0.02*(IF(AND(ISNUMBER('Input_Meci'!Q93),'Input_Meci'!Q93&gt;=0,'Input_Meci'!Q93&lt;=200),'Input_Meci'!Q93,3.5)/3.5-1)+0.02*(IF(AND(ISNUMBER('Input_Meci'!S93),'Input_Meci'!S93&gt;=0,'Input_Meci'!S93&lt;=200),'Input_Meci'!S93,18)/18-1)+0.02*((IF(AND(ISNUMBER('Input_Meci'!W93),'Input_Meci'!W93&gt;=0,'Input_Meci'!W93&lt;=10),'Input_Meci'!W93,5)-5)/5))))</x:f>
      </x:c>
      <x:c r="AZ93" s="11" t="str">
        <x:f>IF(A93="","",MAX(1-'Config_v6'!$B$21,MIN(1+'Config_v6'!$B$21,1+0.012*(IF('Input_Meci'!X93="",5,IF(ISNUMBER('Input_Meci'!X93),'Input_Meci'!X93,5))-5)+0.018*(IF('Input_Meci'!Z93="",5,IF(ISNUMBER('Input_Meci'!Z93),'Input_Meci'!Z93,5))-5)+0.012*(IF('Input_Meci'!AB93="",5,IF(ISNUMBER('Input_Meci'!AB93),'Input_Meci'!AB93,5))-5)+0.015*IF('Input_Meci'!AD93="",0,IF(ISNUMBER('Input_Meci'!AD93),'Input_Meci'!AD93,0))+0.02*IF('Input_Meci'!AF93="",0,IF(ISNUMBER('Input_Meci'!AF93),'Input_Meci'!AF93,0)))))</x:f>
      </x:c>
      <x:c r="BA93" s="11" t="str">
        <x:f>IF(A93="","",MAX(1-'Config_v6'!$B$21,MIN(1+'Config_v6'!$B$21,1+0.012*(IF('Input_Meci'!Y93="",5,IF(ISNUMBER('Input_Meci'!Y93),'Input_Meci'!Y93,5))-5)+0.018*(IF('Input_Meci'!AA93="",5,IF(ISNUMBER('Input_Meci'!AA93),'Input_Meci'!AA93,5))-5)+0.012*(IF('Input_Meci'!AC93="",5,IF(ISNUMBER('Input_Meci'!AC93),'Input_Meci'!AC93,5))-5)+0.015*IF('Input_Meci'!AE93="",0,IF(ISNUMBER('Input_Meci'!AE93),'Input_Meci'!AE93,0))+0.02*IF('Input_Meci'!AG93="",0,IF(ISNUMBER('Input_Meci'!AG93),'Input_Meci'!AG93,0)))))</x:f>
      </x:c>
      <x:c r="BB93" s="11" t="str">
        <x:f>IF(I93&lt;&gt;"PASS","",(AVERAGE(AF93,AM93)*'Config_v6'!$B$4+AVERAGE(AH93,AO93)*'Config_v6'!$B$5+AVERAGE(AJ93,AQ93)*'Config_v6'!$B$6)*AX93*AZ93)</x:f>
      </x:c>
      <x:c r="BC93" s="11" t="str">
        <x:f>IF(I93&lt;&gt;"PASS","",(AVERAGE(AL93,AG93)*'Config_v6'!$B$4+AVERAGE(AN93,AI93)*'Config_v6'!$B$5+AVERAGE(AP93,AK93)*'Config_v6'!$B$6)*AY93*BA93)</x:f>
      </x:c>
      <x:c r="BD93" s="11" t="str">
        <x:f>IF(I93&lt;&gt;"PASS","",BB93+BC93)</x:f>
      </x:c>
      <x:c r="BE93" s="11" t="str">
        <x:f>IF(A93="","",10-SUM(IF(AND(ISNUMBER('Input_Meci'!N93),'Input_Meci'!N93&gt;=0,'Input_Meci'!N93&lt;=200),1,0),IF(AND(ISNUMBER('Input_Meci'!O93),'Input_Meci'!O93&gt;=0,'Input_Meci'!O93&lt;=200),1,0),IF(AND(ISNUMBER('Input_Meci'!P93),'Input_Meci'!P93&gt;=0,'Input_Meci'!P93&lt;=200),1,0),IF(AND(ISNUMBER('Input_Meci'!Q93),'Input_Meci'!Q93&gt;=0,'Input_Meci'!Q93&lt;=200),1,0),IF(AND(ISNUMBER('Input_Meci'!R93),'Input_Meci'!R93&gt;=0,'Input_Meci'!R93&lt;=200),1,0),IF(AND(ISNUMBER('Input_Meci'!S93),'Input_Meci'!S93&gt;=0,'Input_Meci'!S93&lt;=200),1,0),IF(AND(ISNUMBER('Input_Meci'!T93),'Input_Meci'!T93&gt;=0,'Input_Meci'!T93&lt;=100),1,0),IF(AND(ISNUMBER('Input_Meci'!U93),'Input_Meci'!U93&gt;=0,'Input_Meci'!U93&lt;=100),1,0),IF(AND(ISNUMBER('Input_Meci'!V93),'Input_Meci'!V93&gt;=0,'Input_Meci'!V93&lt;=10),1,0),IF(AND(ISNUMBER('Input_Meci'!W93),'Input_Meci'!W93&gt;=0,'Input_Meci'!W93&lt;=10),1,0)))</x:f>
      </x:c>
      <x:c r="BF93" s="11" t="str">
        <x:f>IF(I93&lt;&gt;"PASS","",MAX(0,MIN(IF(OR(M93="YES",BL93&lt;&gt;C93),'Config_v6'!$B$34,100),ROUND(40+25*MIN(1,MIN(N93,Q93)/'Config_v6'!$B$7)*MIN(1,MIN(O93,R93)/'Config_v6'!$B$8)*MIN(1,MIN(P93,S93)/'Config_v6'!$B$9)+MAX(0,15-2*ABS(AF93-AJ93)-2*ABS(AL93-AP93))+IF(AU93&lt;='Config_v6'!$B$10,15,IF(AU93&lt;='Config_v6'!$B$11,13,IF(AU93&lt;='Config_v6'!$B$12,10,IF(AU93&lt;='Config_v6'!$B$13,6,0))))+5-BE93/10*'Config_v6'!$B$38,0))))</x:f>
      </x:c>
      <x:c r="BG93" s="11" t="str">
        <x:f>IF(I93&lt;&gt;"PASS","",MIN(1,'Config_v6'!$B$14*(0.7+0.3*MIN(1,AR93/'Config_v6'!$B$15))*IF(AU93&lt;='Config_v6'!$B$10,1,IF(AU93&lt;='Config_v6'!$B$11,0.95,IF(AU93&lt;='Config_v6'!$B$12,0.88,0.78)))*(0.75+0.25*BF93/100)))</x:f>
      </x:c>
      <x:c r="BH93" s="11" t="str">
        <x:f>IF(I93&lt;&gt;"PASS","",MIN(1,(ABS(AZ93-1)+ABS(BA93-1))*3))</x:f>
      </x:c>
      <x:c r="BI93" s="2" t="str">
        <x:f>IF(A93="","",IF(AND(OR('Input_Meci'!X93="",AND(ISNUMBER('Input_Meci'!X93),'Input_Meci'!X93&gt;=0,'Input_Meci'!X93&lt;=10)),OR('Input_Meci'!Y93="",AND(ISNUMBER('Input_Meci'!Y93),'Input_Meci'!Y93&gt;=0,'Input_Meci'!Y93&lt;=10)),OR('Input_Meci'!Z93="",AND(ISNUMBER('Input_Meci'!Z93),'Input_Meci'!Z93&gt;=0,'Input_Meci'!Z93&lt;=10)),OR('Input_Meci'!AA93="",AND(ISNUMBER('Input_Meci'!AA93),'Input_Meci'!AA93&gt;=0,'Input_Meci'!AA93&lt;=10)),OR('Input_Meci'!AB93="",AND(ISNUMBER('Input_Meci'!AB93),'Input_Meci'!AB93&gt;=0,'Input_Meci'!AB93&lt;=10)),OR('Input_Meci'!AC93="",AND(ISNUMBER('Input_Meci'!AC93),'Input_Meci'!AC93&gt;=0,'Input_Meci'!AC93&lt;=10)),OR('Input_Meci'!AD93="",AND(ISNUMBER('Input_Meci'!AD93),'Input_Meci'!AD93&gt;=-2,'Input_Meci'!AD93&lt;=2)),OR('Input_Meci'!AE93="",AND(ISNUMBER('Input_Meci'!AE93),'Input_Meci'!AE93&gt;=-2,'Input_Meci'!AE93&lt;=2)),OR('Input_Meci'!AF93="",AND(ISNUMBER('Input_Meci'!AF93),'Input_Meci'!AF93&gt;=-2,'Input_Meci'!AF93&lt;=2)),OR('Input_Meci'!AG93="",AND(ISNUMBER('Input_Meci'!AG93),'Input_Meci'!AG93&gt;=-2,'Input_Meci'!AG93&lt;=2))),"VALID","INVALID"))</x:f>
      </x:c>
      <x:c r="BJ93" s="2" t="n">
        <x:f>IF(A93="",0,SUM('Core_Nativ'!S1050:S1055))</x:f>
        <x:v>0</x:v>
      </x:c>
      <x:c r="BK93" s="2" t="str">
        <x:f>'Config_v6'!$B$40</x:f>
        <x:v>VALID</x:v>
      </x:c>
      <x:c r="BL93" s="2" t="str">
        <x:f>IF(A93="","",IF(SUMPRODUCT(('Istoric_Nativ'!$B$6:$B$405=B93)*('Istoric_Nativ'!$C$6:$C$405=C93)*('Istoric_Nativ'!$P$6:$P$405=1)*('Istoric_Nativ'!$D$6:$D$405&lt;INT(G93))*((('Istoric_Nativ'!$E$6:$E$405='Input_Meci'!D93)+('Istoric_Nativ'!$F$6:$F$405='Input_Meci'!D93)+('Istoric_Nativ'!$E$6:$E$405='Input_Meci'!E93)+('Istoric_Nativ'!$F$6:$F$405='Input_Meci'!E93))&gt;0))&gt;='Config_v6'!$B$41,C93,IF(AND('Input_Meci'!L93="YES",'Input_Meci'!K93&lt;&gt;"",'Input_Meci'!K93&lt;C93,COUNTIF('Core_Nativ'!R1056:R1061,"CLOSED")=6,SUM('Core_Nativ'!S1056:S1061)=0),'Input_Meci'!K93,C93)))</x:f>
      </x:c>
      <x:c r="BM93" s="9" t="n">
        <x:f>IF(OR(A93="",N93=0),0,LARGE(_xlfn._xlws.FILTER('Istoric_Nativ'!$D$6:$D$405,('Istoric_Nativ'!$B$6:$B$405=B93)*('Istoric_Nativ'!$C$6:$C$405=C93)*('Istoric_Nativ'!$P$6:$P$405=1)*('Istoric_Nativ'!$D$6:$D$405&lt;INT(G93))*((('Istoric_Nativ'!$E$6:$E$405='Input_Meci'!D93)+('Istoric_Nativ'!$F$6:$F$405='Input_Meci'!D93))&gt;0)),MIN(10,N93)))</x:f>
        <x:v>0</x:v>
      </x:c>
      <x:c r="BN93" s="9" t="n">
        <x:f>IF(OR(A93="",Q93=0),0,LARGE(_xlfn._xlws.FILTER('Istoric_Nativ'!$D$6:$D$405,('Istoric_Nativ'!$B$6:$B$405=B93)*('Istoric_Nativ'!$C$6:$C$405=C93)*('Istoric_Nativ'!$P$6:$P$405=1)*('Istoric_Nativ'!$D$6:$D$405&lt;INT(G93))*((('Istoric_Nativ'!$E$6:$E$405='Input_Meci'!E93)+('Istoric_Nativ'!$F$6:$F$405='Input_Meci'!E93))&gt;0)),MIN(10,Q93)))</x:f>
        <x:v>0</x:v>
      </x:c>
      <x:c r="BO93" s="9" t="n">
        <x:f>IF(OR(A93="",N93=0),0,LARGE(_xlfn._xlws.FILTER('Istoric_Nativ'!$D$6:$D$405,('Istoric_Nativ'!$B$6:$B$405=B93)*('Istoric_Nativ'!$C$6:$C$405=C93)*('Istoric_Nativ'!$P$6:$P$405=1)*('Istoric_Nativ'!$D$6:$D$405&lt;INT(G93))*((('Istoric_Nativ'!$E$6:$E$405='Input_Meci'!D93)+('Istoric_Nativ'!$F$6:$F$405='Input_Meci'!D93))&gt;0)),MIN(20,N93)))</x:f>
        <x:v>0</x:v>
      </x:c>
      <x:c r="BP93" s="9" t="n">
        <x:f>IF(OR(A93="",Q93=0),0,LARGE(_xlfn._xlws.FILTER('Istoric_Nativ'!$D$6:$D$405,('Istoric_Nativ'!$B$6:$B$405=B93)*('Istoric_Nativ'!$C$6:$C$405=C93)*('Istoric_Nativ'!$P$6:$P$405=1)*('Istoric_Nativ'!$D$6:$D$405&lt;INT(G93))*((('Istoric_Nativ'!$E$6:$E$405='Input_Meci'!E93)+('Istoric_Nativ'!$F$6:$F$405='Input_Meci'!E93))&gt;0)),MIN(20,Q93)))</x:f>
        <x:v>0</x:v>
      </x:c>
      <x:c r="BQ93" s="2" t="str">
        <x:f>IF(A93="","",IF(AND(COUNTIF(MatchesTable[Match_ID],A93)=1,COUNTIFS(MatchesTable[League],B93,MatchesTable[Season],C93,MatchesTable[Home],'Input_Meci'!D93,MatchesTable[Away],'Input_Meci'!E93,MatchesTable[Kickoff_UTC],F93)=1,B93&lt;&gt;"",C93&lt;&gt;"",'Input_Meci'!D93&lt;&gt;"",'Input_Meci'!E93&lt;&gt;"",'Input_Meci'!D93&lt;&gt;'Input_Meci'!E93,ISNUMBER(F93),ISNUMBER(G93),G93&lt;F93,OR(E93="LIVE",E93="REPLAY"),OR('Input_Meci'!L93="YES",'Input_Meci'!L93="NO",'Input_Meci'!L93="")),"VALID","INVALID"))</x:f>
      </x:c>
      <x:c r="BR93" s="2" t="n">
        <x:f>IF(I93&lt;&gt;"PASS",0,SUMPRODUCT(('Istoric_Nativ'!$B$6:$B$405='Input_Meci'!B93)*('Istoric_Nativ'!$C$6:$C$405='Input_Meci'!C93)*('Istoric_Nativ'!$P$6:$P$405=1)*('Istoric_Nativ'!$D$6:$D$405&lt;INT('Input_Meci'!G93))*((('Istoric_Nativ'!$E$6:$E$405='Input_Meci'!D93)+('Istoric_Nativ'!$F$6:$F$405='Input_Meci'!E93))&gt;0)))</x:f>
        <x:v>0</x:v>
      </x:c>
      <x:c r="BS93" s="2" t="n">
        <x:f>IF(I93&lt;&gt;"PASS",0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BM93)+((('Istoric_Nativ'!$E$6:$E$405='Input_Meci'!E93)+('Istoric_Nativ'!$F$6:$F$405='Input_Meci'!E93))&gt;0)*('Istoric_Nativ'!$D$6:$D$405&gt;=BN93))&gt;0)))</x:f>
        <x:v>0</x:v>
      </x:c>
      <x:c r="BT93" s="2" t="n">
        <x:f>IF(I93&lt;&gt;"PASS",0,SUMPRODUCT(('Istoric_Nativ'!$B$6:$B$405='Input_Meci'!B93)*('Istoric_Nativ'!$C$6:$C$405='Input_Meci'!C93)*('Istoric_Nativ'!$P$6:$P$405=1)*('Istoric_Nativ'!$D$6:$D$405&lt;INT('Input_Meci'!G93))*((((('Istoric_Nativ'!$E$6:$E$405='Input_Meci'!D93)+('Istoric_Nativ'!$F$6:$F$405='Input_Meci'!D93))&gt;0)*('Istoric_Nativ'!$D$6:$D$405&gt;=BO93)+((('Istoric_Nativ'!$E$6:$E$405='Input_Meci'!E93)+('Istoric_Nativ'!$F$6:$F$405='Input_Meci'!E93))&gt;0)*('Istoric_Nativ'!$D$6:$D$405&gt;=BP93))&gt;0)))</x:f>
        <x:v>0</x:v>
      </x:c>
    </x:row>
    <x:row r="94" ht="21" customHeight="1">
      <x:c r="A94" s="2" t="str">
        <x:f>IF('Input_Meci'!A94="","",'Input_Meci'!A94)</x:f>
      </x:c>
      <x:c r="B94" s="2" t="str">
        <x:f>IF(A94="","",'Input_Meci'!B94)</x:f>
      </x:c>
      <x:c r="C94" s="2" t="str">
        <x:f>IF(A94="","",'Input_Meci'!C94)</x:f>
      </x:c>
      <x:c r="D94" s="2" t="str">
        <x:f>IF(A94="","",'Input_Meci'!D94&amp;" – "&amp;'Input_Meci'!E94)</x:f>
      </x:c>
      <x:c r="E94" s="2" t="str">
        <x:f>IF(A94="","",'Input_Meci'!H94)</x:f>
      </x:c>
      <x:c r="F94" s="9" t="str">
        <x:f>IF(A94="","",'Input_Meci'!F94)</x:f>
      </x:c>
      <x:c r="G94" s="9" t="str">
        <x:f>IF(A94="","",'Input_Meci'!G94)</x:f>
      </x:c>
      <x:c r="H94" s="2" t="str">
        <x:f>IF(A94="","",IF(BQ94&lt;&gt;"VALID","NOT RELEASED",IF(AND(OR('Input_Meci'!I94="NOT AVAILABLE",'Input_Meci'!I94="SOURCE CONFLICT"),'Input_Meci'!J94&lt;&gt;""),"READY",IF(OR(NOT(OR('Input_Meci'!I94="AUTO",'Input_Meci'!I94="")),COUNTIF('Core_Nativ'!R1062:R1067,"CLOSED")&lt;&gt;6,BJ94&gt;0),"NOT RELEASED","READY"))))</x:f>
      </x:c>
      <x:c r="I94" s="2" t="str">
        <x:f>IF(A94="","",IF(H94&lt;&gt;"READY","NOT RELEASED",IF(AND(NOT(OR('Input_Meci'!I94="NOT AVAILABLE",'Input_Meci'!I94="SOURCE CONFLICT")),L94=12,AR94&gt;=2,AS94&gt;0,ISNUMBER(AT94),BI94="VALID",BK94="VALID"),"PASS","FAIL")))</x:f>
      </x:c>
      <x:c r="J94" s="2" t="str">
        <x:f>IF(A94="","",IF(BQ94&lt;&gt;"VALID","Verifica ID, echipe, mod si cutoff &lt; kickoff",IF(H94&lt;&gt;"READY",IF('Input_Meci'!I94="ACCESS BLOCKED","Acces blocat: reia sursele",IF(BJ94&gt;0,"Istoric invalid sau conflict: verifica randurile native","Surse neinchise / post-cutoff / dovezi incomplete")),IF(OR('Input_Meci'!I94="NOT AVAILABLE",'Input_Meci'!I94="SOURCE CONFLICT"),'Input_Meci'!I94,IF(BK94&lt;&gt;"VALID","Parametri invalizi",IF(L94&lt;&gt;12,"Core / sample / prior insuficient",IF(AR94&lt;2,"N insuficient pentru dispersie",IF(AS94&lt;=0,"Media istorica trebuie sa fie pozitiva",IF(BI94&lt;&gt;"VALID","Context invalid","READY")))))))))</x:f>
      </x:c>
      <x:c r="K94" s="2" t="str">
        <x:f>IF(A94="","",COUNT(T94:AE94))</x:f>
      </x:c>
      <x:c r="L94" s="2" t="str">
        <x:f>IF(A94="","",COUNT(AF94:AQ94))</x:f>
      </x:c>
      <x:c r="M94" s="2" t="str">
        <x:f>IF(A94="","",IF(OR('Core_Nativ'!M1062&lt;'Core_Nativ'!P1062,'Core_Nativ'!M1063&lt;'Core_Nativ'!P1063,'Core_Nativ'!M1064&lt;'Core_Nativ'!P1064,'Core_Nativ'!M1065&lt;'Core_Nativ'!P1065,'Core_Nativ'!M1066&lt;'Core_Nativ'!P1066,'Core_Nativ'!M1067&lt;'Core_Nativ'!P1067),"YES","NO"))</x:f>
      </x:c>
      <x:c r="N94" s="2" t="str">
        <x:f>IF(A94="","",'Core_Nativ'!M1062)</x:f>
      </x:c>
      <x:c r="O94" s="2" t="str">
        <x:f>IF(A94="","",'Core_Nativ'!M1063)</x:f>
      </x:c>
      <x:c r="P94" s="2" t="str">
        <x:f>IF(A94="","",'Core_Nativ'!M1064)</x:f>
      </x:c>
      <x:c r="Q94" s="2" t="str">
        <x:f>IF(A94="","",'Core_Nativ'!M1065)</x:f>
      </x:c>
      <x:c r="R94" s="2" t="str">
        <x:f>IF(A94="","",'Core_Nativ'!M1066)</x:f>
      </x:c>
      <x:c r="S94" s="2" t="str">
        <x:f>IF(A94="","",'Core_Nativ'!M1067)</x:f>
      </x:c>
      <x:c r="T94" s="11" t="str">
        <x:f>IF(OR(A94="",'Core_Nativ'!M1062=0),"",'Core_Nativ'!N1062)</x:f>
      </x:c>
      <x:c r="U94" s="11" t="str">
        <x:f>IF(OR(A94="",'Core_Nativ'!M1062=0),"",'Core_Nativ'!O1062)</x:f>
      </x:c>
      <x:c r="V94" s="11" t="str">
        <x:f>IF(OR(A94="",'Core_Nativ'!M1063=0),"",'Core_Nativ'!N1063)</x:f>
      </x:c>
      <x:c r="W94" s="11" t="str">
        <x:f>IF(OR(A94="",'Core_Nativ'!M1063=0),"",'Core_Nativ'!O1063)</x:f>
      </x:c>
      <x:c r="X94" s="11" t="str">
        <x:f>IF(OR(A94="",'Core_Nativ'!M1064=0),"",'Core_Nativ'!N1064)</x:f>
      </x:c>
      <x:c r="Y94" s="11" t="str">
        <x:f>IF(OR(A94="",'Core_Nativ'!M1064=0),"",'Core_Nativ'!O1064)</x:f>
      </x:c>
      <x:c r="Z94" s="11" t="str">
        <x:f>IF(OR(A94="",'Core_Nativ'!M1065=0),"",'Core_Nativ'!N1065)</x:f>
      </x:c>
      <x:c r="AA94" s="11" t="str">
        <x:f>IF(OR(A94="",'Core_Nativ'!M1065=0),"",'Core_Nativ'!O1065)</x:f>
      </x:c>
      <x:c r="AB94" s="11" t="str">
        <x:f>IF(OR(A94="",'Core_Nativ'!M1066=0),"",'Core_Nativ'!N1066)</x:f>
      </x:c>
      <x:c r="AC94" s="11" t="str">
        <x:f>IF(OR(A94="",'Core_Nativ'!M1066=0),"",'Core_Nativ'!O1066)</x:f>
      </x:c>
      <x:c r="AD94" s="11" t="str">
        <x:f>IF(OR(A94="",'Core_Nativ'!M1067=0),"",'Core_Nativ'!N1067)</x:f>
      </x:c>
      <x:c r="AE94" s="11" t="str">
        <x:f>IF(OR(A94="",'Core_Nativ'!M1067=0),"",'Core_Nativ'!O1067)</x:f>
      </x:c>
      <x:c r="AF94" s="11" t="str">
        <x:f>IF(A94="","",IF(AND('Core_Nativ'!R1062="CLOSED",'Core_Nativ'!S1062=0),IF('Core_Nativ'!M1062&gt;='Core_Nativ'!P1062,'Core_Nativ'!N1062,IF(AND('Input_Meci'!L94="YES",'Input_Meci'!K94&lt;&gt;"",'Input_Meci'!K94&lt;C94,'Core_Nativ'!T1068="DERIVED",'Core_Nativ'!M1068&gt;='Core_Nativ'!P1062),MIN(1,'Core_Nativ'!M1062/'Core_Nativ'!P1062)*IF('Core_Nativ'!M1062=0,0,'Core_Nativ'!N1062)+(1-MIN(1,'Core_Nativ'!M1062/'Core_Nativ'!P1062))*'Core_Nativ'!N1068,"")),""))</x:f>
      </x:c>
      <x:c r="AG94" s="11" t="str">
        <x:f>IF(A94="","",IF(AND('Core_Nativ'!R1062="CLOSED",'Core_Nativ'!S1062=0),IF('Core_Nativ'!M1062&gt;='Core_Nativ'!P1062,'Core_Nativ'!O1062,IF(AND('Input_Meci'!L94="YES",'Input_Meci'!K94&lt;&gt;"",'Input_Meci'!K94&lt;C94,'Core_Nativ'!T1068="DERIVED",'Core_Nativ'!M1068&gt;='Core_Nativ'!P1062),MIN(1,'Core_Nativ'!M1062/'Core_Nativ'!P1062)*IF('Core_Nativ'!M1062=0,0,'Core_Nativ'!O1062)+(1-MIN(1,'Core_Nativ'!M1062/'Core_Nativ'!P1062))*'Core_Nativ'!O1068,"")),""))</x:f>
      </x:c>
      <x:c r="AH94" s="11" t="str">
        <x:f>IF(A94="","",IF(AND('Core_Nativ'!R1063="CLOSED",'Core_Nativ'!S1063=0),IF('Core_Nativ'!M1063&gt;='Core_Nativ'!P1063,'Core_Nativ'!N1063,IF(AND('Input_Meci'!L94="YES",'Input_Meci'!K94&lt;&gt;"",'Input_Meci'!K94&lt;C94,'Core_Nativ'!T1069="DERIVED",'Core_Nativ'!M1069&gt;='Core_Nativ'!P1063),MIN(1,'Core_Nativ'!M1063/'Core_Nativ'!P1063)*IF('Core_Nativ'!M1063=0,0,'Core_Nativ'!N1063)+(1-MIN(1,'Core_Nativ'!M1063/'Core_Nativ'!P1063))*'Core_Nativ'!N1069,"")),""))</x:f>
      </x:c>
      <x:c r="AI94" s="11" t="str">
        <x:f>IF(A94="","",IF(AND('Core_Nativ'!R1063="CLOSED",'Core_Nativ'!S1063=0),IF('Core_Nativ'!M1063&gt;='Core_Nativ'!P1063,'Core_Nativ'!O1063,IF(AND('Input_Meci'!L94="YES",'Input_Meci'!K94&lt;&gt;"",'Input_Meci'!K94&lt;C94,'Core_Nativ'!T1069="DERIVED",'Core_Nativ'!M1069&gt;='Core_Nativ'!P1063),MIN(1,'Core_Nativ'!M1063/'Core_Nativ'!P1063)*IF('Core_Nativ'!M1063=0,0,'Core_Nativ'!O1063)+(1-MIN(1,'Core_Nativ'!M1063/'Core_Nativ'!P1063))*'Core_Nativ'!O1069,"")),""))</x:f>
      </x:c>
      <x:c r="AJ94" s="11" t="str">
        <x:f>IF(A94="","",IF(AND('Core_Nativ'!R1064="CLOSED",'Core_Nativ'!S1064=0),IF('Core_Nativ'!M1064&gt;='Core_Nativ'!P1064,'Core_Nativ'!N1064,IF(AND('Input_Meci'!L94="YES",'Input_Meci'!K94&lt;&gt;"",'Input_Meci'!K94&lt;C94,'Core_Nativ'!T1070="DERIVED",'Core_Nativ'!M1070&gt;='Core_Nativ'!P1064),MIN(1,'Core_Nativ'!M1064/'Core_Nativ'!P1064)*IF('Core_Nativ'!M1064=0,0,'Core_Nativ'!N1064)+(1-MIN(1,'Core_Nativ'!M1064/'Core_Nativ'!P1064))*'Core_Nativ'!N1070,"")),""))</x:f>
      </x:c>
      <x:c r="AK94" s="11" t="str">
        <x:f>IF(A94="","",IF(AND('Core_Nativ'!R1064="CLOSED",'Core_Nativ'!S1064=0),IF('Core_Nativ'!M1064&gt;='Core_Nativ'!P1064,'Core_Nativ'!O1064,IF(AND('Input_Meci'!L94="YES",'Input_Meci'!K94&lt;&gt;"",'Input_Meci'!K94&lt;C94,'Core_Nativ'!T1070="DERIVED",'Core_Nativ'!M1070&gt;='Core_Nativ'!P1064),MIN(1,'Core_Nativ'!M1064/'Core_Nativ'!P1064)*IF('Core_Nativ'!M1064=0,0,'Core_Nativ'!O1064)+(1-MIN(1,'Core_Nativ'!M1064/'Core_Nativ'!P1064))*'Core_Nativ'!O1070,"")),""))</x:f>
      </x:c>
      <x:c r="AL94" s="11" t="str">
        <x:f>IF(A94="","",IF(AND('Core_Nativ'!R1065="CLOSED",'Core_Nativ'!S1065=0),IF('Core_Nativ'!M1065&gt;='Core_Nativ'!P1065,'Core_Nativ'!N1065,IF(AND('Input_Meci'!L94="YES",'Input_Meci'!K94&lt;&gt;"",'Input_Meci'!K94&lt;C94,'Core_Nativ'!T1071="DERIVED",'Core_Nativ'!M1071&gt;='Core_Nativ'!P1065),MIN(1,'Core_Nativ'!M1065/'Core_Nativ'!P1065)*IF('Core_Nativ'!M1065=0,0,'Core_Nativ'!N1065)+(1-MIN(1,'Core_Nativ'!M1065/'Core_Nativ'!P1065))*'Core_Nativ'!N1071,"")),""))</x:f>
      </x:c>
      <x:c r="AM94" s="11" t="str">
        <x:f>IF(A94="","",IF(AND('Core_Nativ'!R1065="CLOSED",'Core_Nativ'!S1065=0),IF('Core_Nativ'!M1065&gt;='Core_Nativ'!P1065,'Core_Nativ'!O1065,IF(AND('Input_Meci'!L94="YES",'Input_Meci'!K94&lt;&gt;"",'Input_Meci'!K94&lt;C94,'Core_Nativ'!T1071="DERIVED",'Core_Nativ'!M1071&gt;='Core_Nativ'!P1065),MIN(1,'Core_Nativ'!M1065/'Core_Nativ'!P1065)*IF('Core_Nativ'!M1065=0,0,'Core_Nativ'!O1065)+(1-MIN(1,'Core_Nativ'!M1065/'Core_Nativ'!P1065))*'Core_Nativ'!O1071,"")),""))</x:f>
      </x:c>
      <x:c r="AN94" s="11" t="str">
        <x:f>IF(A94="","",IF(AND('Core_Nativ'!R1066="CLOSED",'Core_Nativ'!S1066=0),IF('Core_Nativ'!M1066&gt;='Core_Nativ'!P1066,'Core_Nativ'!N1066,IF(AND('Input_Meci'!L94="YES",'Input_Meci'!K94&lt;&gt;"",'Input_Meci'!K94&lt;C94,'Core_Nativ'!T1072="DERIVED",'Core_Nativ'!M1072&gt;='Core_Nativ'!P1066),MIN(1,'Core_Nativ'!M1066/'Core_Nativ'!P1066)*IF('Core_Nativ'!M1066=0,0,'Core_Nativ'!N1066)+(1-MIN(1,'Core_Nativ'!M1066/'Core_Nativ'!P1066))*'Core_Nativ'!N1072,"")),""))</x:f>
      </x:c>
      <x:c r="AO94" s="11" t="str">
        <x:f>IF(A94="","",IF(AND('Core_Nativ'!R1066="CLOSED",'Core_Nativ'!S1066=0),IF('Core_Nativ'!M1066&gt;='Core_Nativ'!P1066,'Core_Nativ'!O1066,IF(AND('Input_Meci'!L94="YES",'Input_Meci'!K94&lt;&gt;"",'Input_Meci'!K94&lt;C94,'Core_Nativ'!T1072="DERIVED",'Core_Nativ'!M1072&gt;='Core_Nativ'!P1066),MIN(1,'Core_Nativ'!M1066/'Core_Nativ'!P1066)*IF('Core_Nativ'!M1066=0,0,'Core_Nativ'!O1066)+(1-MIN(1,'Core_Nativ'!M1066/'Core_Nativ'!P1066))*'Core_Nativ'!O1072,"")),""))</x:f>
      </x:c>
      <x:c r="AP94" s="11" t="str">
        <x:f>IF(A94="","",IF(AND('Core_Nativ'!R1067="CLOSED",'Core_Nativ'!S1067=0),IF('Core_Nativ'!M1067&gt;='Core_Nativ'!P1067,'Core_Nativ'!N1067,IF(AND('Input_Meci'!L94="YES",'Input_Meci'!K94&lt;&gt;"",'Input_Meci'!K94&lt;C94,'Core_Nativ'!T1073="DERIVED",'Core_Nativ'!M1073&gt;='Core_Nativ'!P1067),MIN(1,'Core_Nativ'!M1067/'Core_Nativ'!P1067)*IF('Core_Nativ'!M1067=0,0,'Core_Nativ'!N1067)+(1-MIN(1,'Core_Nativ'!M1067/'Core_Nativ'!P1067))*'Core_Nativ'!N1073,"")),""))</x:f>
      </x:c>
      <x:c r="AQ94" s="11" t="str">
        <x:f>IF(A94="","",IF(AND('Core_Nativ'!R1067="CLOSED",'Core_Nativ'!S1067=0),IF('Core_Nativ'!M1067&gt;='Core_Nativ'!P1067,'Core_Nativ'!O1067,IF(AND('Input_Meci'!L94="YES",'Input_Meci'!K94&lt;&gt;"",'Input_Meci'!K94&lt;C94,'Core_Nativ'!T1073="DERIVED",'Core_Nativ'!M1073&gt;='Core_Nativ'!P1067),MIN(1,'Core_Nativ'!M1067/'Core_Nativ'!P1067)*IF('Core_Nativ'!M1067=0,0,'Core_Nativ'!O1067)+(1-MIN(1,'Core_Nativ'!M1067/'Core_Nativ'!P1067))*'Core_Nativ'!O1073,"")),""))</x:f>
      </x:c>
      <x:c r="AR94" s="11" t="str">
        <x:f>IF(A94="","",SUMPRODUCT(('Istoric_Nativ'!$B$6:$B$405=B94)*('Istoric_Nativ'!$C$6:$C$405=BL94)*('Istoric_Nativ'!$P$6:$P$405=1)*('Istoric_Nativ'!$D$6:$D$405&lt;INT(G94))*((('Istoric_Nativ'!$E$6:$E$405='Input_Meci'!D94)+('Istoric_Nativ'!$F$6:$F$405='Input_Meci'!D94)+('Istoric_Nativ'!$E$6:$E$405='Input_Meci'!E94)+('Istoric_Nativ'!$F$6:$F$405='Input_Meci'!E94))&gt;0)))</x:f>
      </x:c>
      <x:c r="AS94" s="11" t="str">
        <x:f>IF(AR94=0,"",SUMPRODUCT(('Istoric_Nativ'!$B$6:$B$405=B94)*('Istoric_Nativ'!$C$6:$C$405=BL94)*('Istoric_Nativ'!$P$6:$P$405=1)*('Istoric_Nativ'!$D$6:$D$405&lt;INT(G94))*((('Istoric_Nativ'!$E$6:$E$405='Input_Meci'!D94)+('Istoric_Nativ'!$F$6:$F$405='Input_Meci'!D94)+('Istoric_Nativ'!$E$6:$E$405='Input_Meci'!E94)+('Istoric_Nativ'!$F$6:$F$405='Input_Meci'!E94))&gt;0)*'Istoric_Nativ'!$Q$6:$Q$405)/AR94)</x:f>
      </x:c>
      <x:c r="AT94" s="11" t="str">
        <x:f>IF(AR94&lt;2,"",MAX(0,(SUMPRODUCT(('Istoric_Nativ'!$B$6:$B$405=B94)*('Istoric_Nativ'!$C$6:$C$405=BL94)*('Istoric_Nativ'!$P$6:$P$405=1)*('Istoric_Nativ'!$D$6:$D$405&lt;INT(G94))*((('Istoric_Nativ'!$E$6:$E$405='Input_Meci'!D94)+('Istoric_Nativ'!$F$6:$F$405='Input_Meci'!D94)+('Istoric_Nativ'!$E$6:$E$405='Input_Meci'!E94)+('Istoric_Nativ'!$F$6:$F$405='Input_Meci'!E94))&gt;0)*'Istoric_Nativ'!$R$6:$R$405)-AR94*AS94^2)/(AR94-1)))</x:f>
      </x:c>
      <x:c r="AU94" s="11" t="str">
        <x:f>IF(I94&lt;&gt;"PASS","",AT94/AS94)</x:f>
      </x:c>
      <x:c r="AV94" s="11" t="str">
        <x:f>IF(I94&lt;&gt;"PASS","",IF(AU94&lt;='Config_v6'!$B$10,"POISSON","NEGATIVE BINOMIAL"))</x:f>
      </x:c>
      <x:c r="AW94" s="11" t="str">
        <x:f>IF(I94&lt;&gt;"PASS","",IF(AV94="POISSON",9999,AS94/(AU94-1)))</x:f>
      </x:c>
      <x:c r="AX94" s="11" t="str">
        <x:f>IF(A94="","",MAX(1-'Config_v6'!$B$20,MIN(1+'Config_v6'!$B$20,1+0.02*(IF(AND(ISNUMBER('Input_Meci'!N94),'Input_Meci'!N94&gt;=0,'Input_Meci'!N94&lt;=200),'Input_Meci'!N94,12)/12-1)+0.02*(IF(AND(ISNUMBER('Input_Meci'!P94),'Input_Meci'!P94&gt;=0,'Input_Meci'!P94&lt;=200),'Input_Meci'!P94,3.5)/3.5-1)+0.02*(IF(AND(ISNUMBER('Input_Meci'!R94),'Input_Meci'!R94&gt;=0,'Input_Meci'!R94&lt;=200),'Input_Meci'!R94,18)/18-1)+0.02*((IF(AND(ISNUMBER('Input_Meci'!V94),'Input_Meci'!V94&gt;=0,'Input_Meci'!V94&lt;=10),'Input_Meci'!V94,5)-5)/5))))</x:f>
      </x:c>
      <x:c r="AY94" s="11" t="str">
        <x:f>IF(A94="","",MAX(1-'Config_v6'!$B$20,MIN(1+'Config_v6'!$B$20,1+0.02*(IF(AND(ISNUMBER('Input_Meci'!O94),'Input_Meci'!O94&gt;=0,'Input_Meci'!O94&lt;=200),'Input_Meci'!O94,12)/12-1)+0.02*(IF(AND(ISNUMBER('Input_Meci'!Q94),'Input_Meci'!Q94&gt;=0,'Input_Meci'!Q94&lt;=200),'Input_Meci'!Q94,3.5)/3.5-1)+0.02*(IF(AND(ISNUMBER('Input_Meci'!S94),'Input_Meci'!S94&gt;=0,'Input_Meci'!S94&lt;=200),'Input_Meci'!S94,18)/18-1)+0.02*((IF(AND(ISNUMBER('Input_Meci'!W94),'Input_Meci'!W94&gt;=0,'Input_Meci'!W94&lt;=10),'Input_Meci'!W94,5)-5)/5))))</x:f>
      </x:c>
      <x:c r="AZ94" s="11" t="str">
        <x:f>IF(A94="","",MAX(1-'Config_v6'!$B$21,MIN(1+'Config_v6'!$B$21,1+0.012*(IF('Input_Meci'!X94="",5,IF(ISNUMBER('Input_Meci'!X94),'Input_Meci'!X94,5))-5)+0.018*(IF('Input_Meci'!Z94="",5,IF(ISNUMBER('Input_Meci'!Z94),'Input_Meci'!Z94,5))-5)+0.012*(IF('Input_Meci'!AB94="",5,IF(ISNUMBER('Input_Meci'!AB94),'Input_Meci'!AB94,5))-5)+0.015*IF('Input_Meci'!AD94="",0,IF(ISNUMBER('Input_Meci'!AD94),'Input_Meci'!AD94,0))+0.02*IF('Input_Meci'!AF94="",0,IF(ISNUMBER('Input_Meci'!AF94),'Input_Meci'!AF94,0)))))</x:f>
      </x:c>
      <x:c r="BA94" s="11" t="str">
        <x:f>IF(A94="","",MAX(1-'Config_v6'!$B$21,MIN(1+'Config_v6'!$B$21,1+0.012*(IF('Input_Meci'!Y94="",5,IF(ISNUMBER('Input_Meci'!Y94),'Input_Meci'!Y94,5))-5)+0.018*(IF('Input_Meci'!AA94="",5,IF(ISNUMBER('Input_Meci'!AA94),'Input_Meci'!AA94,5))-5)+0.012*(IF('Input_Meci'!AC94="",5,IF(ISNUMBER('Input_Meci'!AC94),'Input_Meci'!AC94,5))-5)+0.015*IF('Input_Meci'!AE94="",0,IF(ISNUMBER('Input_Meci'!AE94),'Input_Meci'!AE94,0))+0.02*IF('Input_Meci'!AG94="",0,IF(ISNUMBER('Input_Meci'!AG94),'Input_Meci'!AG94,0)))))</x:f>
      </x:c>
      <x:c r="BB94" s="11" t="str">
        <x:f>IF(I94&lt;&gt;"PASS","",(AVERAGE(AF94,AM94)*'Config_v6'!$B$4+AVERAGE(AH94,AO94)*'Config_v6'!$B$5+AVERAGE(AJ94,AQ94)*'Config_v6'!$B$6)*AX94*AZ94)</x:f>
      </x:c>
      <x:c r="BC94" s="11" t="str">
        <x:f>IF(I94&lt;&gt;"PASS","",(AVERAGE(AL94,AG94)*'Config_v6'!$B$4+AVERAGE(AN94,AI94)*'Config_v6'!$B$5+AVERAGE(AP94,AK94)*'Config_v6'!$B$6)*AY94*BA94)</x:f>
      </x:c>
      <x:c r="BD94" s="11" t="str">
        <x:f>IF(I94&lt;&gt;"PASS","",BB94+BC94)</x:f>
      </x:c>
      <x:c r="BE94" s="11" t="str">
        <x:f>IF(A94="","",10-SUM(IF(AND(ISNUMBER('Input_Meci'!N94),'Input_Meci'!N94&gt;=0,'Input_Meci'!N94&lt;=200),1,0),IF(AND(ISNUMBER('Input_Meci'!O94),'Input_Meci'!O94&gt;=0,'Input_Meci'!O94&lt;=200),1,0),IF(AND(ISNUMBER('Input_Meci'!P94),'Input_Meci'!P94&gt;=0,'Input_Meci'!P94&lt;=200),1,0),IF(AND(ISNUMBER('Input_Meci'!Q94),'Input_Meci'!Q94&gt;=0,'Input_Meci'!Q94&lt;=200),1,0),IF(AND(ISNUMBER('Input_Meci'!R94),'Input_Meci'!R94&gt;=0,'Input_Meci'!R94&lt;=200),1,0),IF(AND(ISNUMBER('Input_Meci'!S94),'Input_Meci'!S94&gt;=0,'Input_Meci'!S94&lt;=200),1,0),IF(AND(ISNUMBER('Input_Meci'!T94),'Input_Meci'!T94&gt;=0,'Input_Meci'!T94&lt;=100),1,0),IF(AND(ISNUMBER('Input_Meci'!U94),'Input_Meci'!U94&gt;=0,'Input_Meci'!U94&lt;=100),1,0),IF(AND(ISNUMBER('Input_Meci'!V94),'Input_Meci'!V94&gt;=0,'Input_Meci'!V94&lt;=10),1,0),IF(AND(ISNUMBER('Input_Meci'!W94),'Input_Meci'!W94&gt;=0,'Input_Meci'!W94&lt;=10),1,0)))</x:f>
      </x:c>
      <x:c r="BF94" s="11" t="str">
        <x:f>IF(I94&lt;&gt;"PASS","",MAX(0,MIN(IF(OR(M94="YES",BL94&lt;&gt;C94),'Config_v6'!$B$34,100),ROUND(40+25*MIN(1,MIN(N94,Q94)/'Config_v6'!$B$7)*MIN(1,MIN(O94,R94)/'Config_v6'!$B$8)*MIN(1,MIN(P94,S94)/'Config_v6'!$B$9)+MAX(0,15-2*ABS(AF94-AJ94)-2*ABS(AL94-AP94))+IF(AU94&lt;='Config_v6'!$B$10,15,IF(AU94&lt;='Config_v6'!$B$11,13,IF(AU94&lt;='Config_v6'!$B$12,10,IF(AU94&lt;='Config_v6'!$B$13,6,0))))+5-BE94/10*'Config_v6'!$B$38,0))))</x:f>
      </x:c>
      <x:c r="BG94" s="11" t="str">
        <x:f>IF(I94&lt;&gt;"PASS","",MIN(1,'Config_v6'!$B$14*(0.7+0.3*MIN(1,AR94/'Config_v6'!$B$15))*IF(AU94&lt;='Config_v6'!$B$10,1,IF(AU94&lt;='Config_v6'!$B$11,0.95,IF(AU94&lt;='Config_v6'!$B$12,0.88,0.78)))*(0.75+0.25*BF94/100)))</x:f>
      </x:c>
      <x:c r="BH94" s="11" t="str">
        <x:f>IF(I94&lt;&gt;"PASS","",MIN(1,(ABS(AZ94-1)+ABS(BA94-1))*3))</x:f>
      </x:c>
      <x:c r="BI94" s="2" t="str">
        <x:f>IF(A94="","",IF(AND(OR('Input_Meci'!X94="",AND(ISNUMBER('Input_Meci'!X94),'Input_Meci'!X94&gt;=0,'Input_Meci'!X94&lt;=10)),OR('Input_Meci'!Y94="",AND(ISNUMBER('Input_Meci'!Y94),'Input_Meci'!Y94&gt;=0,'Input_Meci'!Y94&lt;=10)),OR('Input_Meci'!Z94="",AND(ISNUMBER('Input_Meci'!Z94),'Input_Meci'!Z94&gt;=0,'Input_Meci'!Z94&lt;=10)),OR('Input_Meci'!AA94="",AND(ISNUMBER('Input_Meci'!AA94),'Input_Meci'!AA94&gt;=0,'Input_Meci'!AA94&lt;=10)),OR('Input_Meci'!AB94="",AND(ISNUMBER('Input_Meci'!AB94),'Input_Meci'!AB94&gt;=0,'Input_Meci'!AB94&lt;=10)),OR('Input_Meci'!AC94="",AND(ISNUMBER('Input_Meci'!AC94),'Input_Meci'!AC94&gt;=0,'Input_Meci'!AC94&lt;=10)),OR('Input_Meci'!AD94="",AND(ISNUMBER('Input_Meci'!AD94),'Input_Meci'!AD94&gt;=-2,'Input_Meci'!AD94&lt;=2)),OR('Input_Meci'!AE94="",AND(ISNUMBER('Input_Meci'!AE94),'Input_Meci'!AE94&gt;=-2,'Input_Meci'!AE94&lt;=2)),OR('Input_Meci'!AF94="",AND(ISNUMBER('Input_Meci'!AF94),'Input_Meci'!AF94&gt;=-2,'Input_Meci'!AF94&lt;=2)),OR('Input_Meci'!AG94="",AND(ISNUMBER('Input_Meci'!AG94),'Input_Meci'!AG94&gt;=-2,'Input_Meci'!AG94&lt;=2))),"VALID","INVALID"))</x:f>
      </x:c>
      <x:c r="BJ94" s="2" t="n">
        <x:f>IF(A94="",0,SUM('Core_Nativ'!S1062:S1067))</x:f>
        <x:v>0</x:v>
      </x:c>
      <x:c r="BK94" s="2" t="str">
        <x:f>'Config_v6'!$B$40</x:f>
        <x:v>VALID</x:v>
      </x:c>
      <x:c r="BL94" s="2" t="str">
        <x:f>IF(A94="","",IF(SUMPRODUCT(('Istoric_Nativ'!$B$6:$B$405=B94)*('Istoric_Nativ'!$C$6:$C$405=C94)*('Istoric_Nativ'!$P$6:$P$405=1)*('Istoric_Nativ'!$D$6:$D$405&lt;INT(G94))*((('Istoric_Nativ'!$E$6:$E$405='Input_Meci'!D94)+('Istoric_Nativ'!$F$6:$F$405='Input_Meci'!D94)+('Istoric_Nativ'!$E$6:$E$405='Input_Meci'!E94)+('Istoric_Nativ'!$F$6:$F$405='Input_Meci'!E94))&gt;0))&gt;='Config_v6'!$B$41,C94,IF(AND('Input_Meci'!L94="YES",'Input_Meci'!K94&lt;&gt;"",'Input_Meci'!K94&lt;C94,COUNTIF('Core_Nativ'!R1068:R1073,"CLOSED")=6,SUM('Core_Nativ'!S1068:S1073)=0),'Input_Meci'!K94,C94)))</x:f>
      </x:c>
      <x:c r="BM94" s="9" t="n">
        <x:f>IF(OR(A94="",N94=0),0,LARGE(_xlfn._xlws.FILTER('Istoric_Nativ'!$D$6:$D$405,('Istoric_Nativ'!$B$6:$B$405=B94)*('Istoric_Nativ'!$C$6:$C$405=C94)*('Istoric_Nativ'!$P$6:$P$405=1)*('Istoric_Nativ'!$D$6:$D$405&lt;INT(G94))*((('Istoric_Nativ'!$E$6:$E$405='Input_Meci'!D94)+('Istoric_Nativ'!$F$6:$F$405='Input_Meci'!D94))&gt;0)),MIN(10,N94)))</x:f>
        <x:v>0</x:v>
      </x:c>
      <x:c r="BN94" s="9" t="n">
        <x:f>IF(OR(A94="",Q94=0),0,LARGE(_xlfn._xlws.FILTER('Istoric_Nativ'!$D$6:$D$405,('Istoric_Nativ'!$B$6:$B$405=B94)*('Istoric_Nativ'!$C$6:$C$405=C94)*('Istoric_Nativ'!$P$6:$P$405=1)*('Istoric_Nativ'!$D$6:$D$405&lt;INT(G94))*((('Istoric_Nativ'!$E$6:$E$405='Input_Meci'!E94)+('Istoric_Nativ'!$F$6:$F$405='Input_Meci'!E94))&gt;0)),MIN(10,Q94)))</x:f>
        <x:v>0</x:v>
      </x:c>
      <x:c r="BO94" s="9" t="n">
        <x:f>IF(OR(A94="",N94=0),0,LARGE(_xlfn._xlws.FILTER('Istoric_Nativ'!$D$6:$D$405,('Istoric_Nativ'!$B$6:$B$405=B94)*('Istoric_Nativ'!$C$6:$C$405=C94)*('Istoric_Nativ'!$P$6:$P$405=1)*('Istoric_Nativ'!$D$6:$D$405&lt;INT(G94))*((('Istoric_Nativ'!$E$6:$E$405='Input_Meci'!D94)+('Istoric_Nativ'!$F$6:$F$405='Input_Meci'!D94))&gt;0)),MIN(20,N94)))</x:f>
        <x:v>0</x:v>
      </x:c>
      <x:c r="BP94" s="9" t="n">
        <x:f>IF(OR(A94="",Q94=0),0,LARGE(_xlfn._xlws.FILTER('Istoric_Nativ'!$D$6:$D$405,('Istoric_Nativ'!$B$6:$B$405=B94)*('Istoric_Nativ'!$C$6:$C$405=C94)*('Istoric_Nativ'!$P$6:$P$405=1)*('Istoric_Nativ'!$D$6:$D$405&lt;INT(G94))*((('Istoric_Nativ'!$E$6:$E$405='Input_Meci'!E94)+('Istoric_Nativ'!$F$6:$F$405='Input_Meci'!E94))&gt;0)),MIN(20,Q94)))</x:f>
        <x:v>0</x:v>
      </x:c>
      <x:c r="BQ94" s="2" t="str">
        <x:f>IF(A94="","",IF(AND(COUNTIF(MatchesTable[Match_ID],A94)=1,COUNTIFS(MatchesTable[League],B94,MatchesTable[Season],C94,MatchesTable[Home],'Input_Meci'!D94,MatchesTable[Away],'Input_Meci'!E94,MatchesTable[Kickoff_UTC],F94)=1,B94&lt;&gt;"",C94&lt;&gt;"",'Input_Meci'!D94&lt;&gt;"",'Input_Meci'!E94&lt;&gt;"",'Input_Meci'!D94&lt;&gt;'Input_Meci'!E94,ISNUMBER(F94),ISNUMBER(G94),G94&lt;F94,OR(E94="LIVE",E94="REPLAY"),OR('Input_Meci'!L94="YES",'Input_Meci'!L94="NO",'Input_Meci'!L94="")),"VALID","INVALID"))</x:f>
      </x:c>
      <x:c r="BR94" s="2" t="n">
        <x:f>IF(I94&lt;&gt;"PASS",0,SUMPRODUCT(('Istoric_Nativ'!$B$6:$B$405='Input_Meci'!B94)*('Istoric_Nativ'!$C$6:$C$405='Input_Meci'!C94)*('Istoric_Nativ'!$P$6:$P$405=1)*('Istoric_Nativ'!$D$6:$D$405&lt;INT('Input_Meci'!G94))*((('Istoric_Nativ'!$E$6:$E$405='Input_Meci'!D94)+('Istoric_Nativ'!$F$6:$F$405='Input_Meci'!E94))&gt;0)))</x:f>
        <x:v>0</x:v>
      </x:c>
      <x:c r="BS94" s="2" t="n">
        <x:f>IF(I94&lt;&gt;"PASS",0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BM94)+((('Istoric_Nativ'!$E$6:$E$405='Input_Meci'!E94)+('Istoric_Nativ'!$F$6:$F$405='Input_Meci'!E94))&gt;0)*('Istoric_Nativ'!$D$6:$D$405&gt;=BN94))&gt;0)))</x:f>
        <x:v>0</x:v>
      </x:c>
      <x:c r="BT94" s="2" t="n">
        <x:f>IF(I94&lt;&gt;"PASS",0,SUMPRODUCT(('Istoric_Nativ'!$B$6:$B$405='Input_Meci'!B94)*('Istoric_Nativ'!$C$6:$C$405='Input_Meci'!C94)*('Istoric_Nativ'!$P$6:$P$405=1)*('Istoric_Nativ'!$D$6:$D$405&lt;INT('Input_Meci'!G94))*((((('Istoric_Nativ'!$E$6:$E$405='Input_Meci'!D94)+('Istoric_Nativ'!$F$6:$F$405='Input_Meci'!D94))&gt;0)*('Istoric_Nativ'!$D$6:$D$405&gt;=BO94)+((('Istoric_Nativ'!$E$6:$E$405='Input_Meci'!E94)+('Istoric_Nativ'!$F$6:$F$405='Input_Meci'!E94))&gt;0)*('Istoric_Nativ'!$D$6:$D$405&gt;=BP94))&gt;0)))</x:f>
        <x:v>0</x:v>
      </x:c>
    </x:row>
    <x:row r="95" ht="21" customHeight="1">
      <x:c r="A95" s="2" t="str">
        <x:f>IF('Input_Meci'!A95="","",'Input_Meci'!A95)</x:f>
      </x:c>
      <x:c r="B95" s="2" t="str">
        <x:f>IF(A95="","",'Input_Meci'!B95)</x:f>
      </x:c>
      <x:c r="C95" s="2" t="str">
        <x:f>IF(A95="","",'Input_Meci'!C95)</x:f>
      </x:c>
      <x:c r="D95" s="2" t="str">
        <x:f>IF(A95="","",'Input_Meci'!D95&amp;" – "&amp;'Input_Meci'!E95)</x:f>
      </x:c>
      <x:c r="E95" s="2" t="str">
        <x:f>IF(A95="","",'Input_Meci'!H95)</x:f>
      </x:c>
      <x:c r="F95" s="9" t="str">
        <x:f>IF(A95="","",'Input_Meci'!F95)</x:f>
      </x:c>
      <x:c r="G95" s="9" t="str">
        <x:f>IF(A95="","",'Input_Meci'!G95)</x:f>
      </x:c>
      <x:c r="H95" s="2" t="str">
        <x:f>IF(A95="","",IF(BQ95&lt;&gt;"VALID","NOT RELEASED",IF(AND(OR('Input_Meci'!I95="NOT AVAILABLE",'Input_Meci'!I95="SOURCE CONFLICT"),'Input_Meci'!J95&lt;&gt;""),"READY",IF(OR(NOT(OR('Input_Meci'!I95="AUTO",'Input_Meci'!I95="")),COUNTIF('Core_Nativ'!R1074:R1079,"CLOSED")&lt;&gt;6,BJ95&gt;0),"NOT RELEASED","READY"))))</x:f>
      </x:c>
      <x:c r="I95" s="2" t="str">
        <x:f>IF(A95="","",IF(H95&lt;&gt;"READY","NOT RELEASED",IF(AND(NOT(OR('Input_Meci'!I95="NOT AVAILABLE",'Input_Meci'!I95="SOURCE CONFLICT")),L95=12,AR95&gt;=2,AS95&gt;0,ISNUMBER(AT95),BI95="VALID",BK95="VALID"),"PASS","FAIL")))</x:f>
      </x:c>
      <x:c r="J95" s="2" t="str">
        <x:f>IF(A95="","",IF(BQ95&lt;&gt;"VALID","Verifica ID, echipe, mod si cutoff &lt; kickoff",IF(H95&lt;&gt;"READY",IF('Input_Meci'!I95="ACCESS BLOCKED","Acces blocat: reia sursele",IF(BJ95&gt;0,"Istoric invalid sau conflict: verifica randurile native","Surse neinchise / post-cutoff / dovezi incomplete")),IF(OR('Input_Meci'!I95="NOT AVAILABLE",'Input_Meci'!I95="SOURCE CONFLICT"),'Input_Meci'!I95,IF(BK95&lt;&gt;"VALID","Parametri invalizi",IF(L95&lt;&gt;12,"Core / sample / prior insuficient",IF(AR95&lt;2,"N insuficient pentru dispersie",IF(AS95&lt;=0,"Media istorica trebuie sa fie pozitiva",IF(BI95&lt;&gt;"VALID","Context invalid","READY")))))))))</x:f>
      </x:c>
      <x:c r="K95" s="2" t="str">
        <x:f>IF(A95="","",COUNT(T95:AE95))</x:f>
      </x:c>
      <x:c r="L95" s="2" t="str">
        <x:f>IF(A95="","",COUNT(AF95:AQ95))</x:f>
      </x:c>
      <x:c r="M95" s="2" t="str">
        <x:f>IF(A95="","",IF(OR('Core_Nativ'!M1074&lt;'Core_Nativ'!P1074,'Core_Nativ'!M1075&lt;'Core_Nativ'!P1075,'Core_Nativ'!M1076&lt;'Core_Nativ'!P1076,'Core_Nativ'!M1077&lt;'Core_Nativ'!P1077,'Core_Nativ'!M1078&lt;'Core_Nativ'!P1078,'Core_Nativ'!M1079&lt;'Core_Nativ'!P1079),"YES","NO"))</x:f>
      </x:c>
      <x:c r="N95" s="2" t="str">
        <x:f>IF(A95="","",'Core_Nativ'!M1074)</x:f>
      </x:c>
      <x:c r="O95" s="2" t="str">
        <x:f>IF(A95="","",'Core_Nativ'!M1075)</x:f>
      </x:c>
      <x:c r="P95" s="2" t="str">
        <x:f>IF(A95="","",'Core_Nativ'!M1076)</x:f>
      </x:c>
      <x:c r="Q95" s="2" t="str">
        <x:f>IF(A95="","",'Core_Nativ'!M1077)</x:f>
      </x:c>
      <x:c r="R95" s="2" t="str">
        <x:f>IF(A95="","",'Core_Nativ'!M1078)</x:f>
      </x:c>
      <x:c r="S95" s="2" t="str">
        <x:f>IF(A95="","",'Core_Nativ'!M1079)</x:f>
      </x:c>
      <x:c r="T95" s="11" t="str">
        <x:f>IF(OR(A95="",'Core_Nativ'!M1074=0),"",'Core_Nativ'!N1074)</x:f>
      </x:c>
      <x:c r="U95" s="11" t="str">
        <x:f>IF(OR(A95="",'Core_Nativ'!M1074=0),"",'Core_Nativ'!O1074)</x:f>
      </x:c>
      <x:c r="V95" s="11" t="str">
        <x:f>IF(OR(A95="",'Core_Nativ'!M1075=0),"",'Core_Nativ'!N1075)</x:f>
      </x:c>
      <x:c r="W95" s="11" t="str">
        <x:f>IF(OR(A95="",'Core_Nativ'!M1075=0),"",'Core_Nativ'!O1075)</x:f>
      </x:c>
      <x:c r="X95" s="11" t="str">
        <x:f>IF(OR(A95="",'Core_Nativ'!M1076=0),"",'Core_Nativ'!N1076)</x:f>
      </x:c>
      <x:c r="Y95" s="11" t="str">
        <x:f>IF(OR(A95="",'Core_Nativ'!M1076=0),"",'Core_Nativ'!O1076)</x:f>
      </x:c>
      <x:c r="Z95" s="11" t="str">
        <x:f>IF(OR(A95="",'Core_Nativ'!M1077=0),"",'Core_Nativ'!N1077)</x:f>
      </x:c>
      <x:c r="AA95" s="11" t="str">
        <x:f>IF(OR(A95="",'Core_Nativ'!M1077=0),"",'Core_Nativ'!O1077)</x:f>
      </x:c>
      <x:c r="AB95" s="11" t="str">
        <x:f>IF(OR(A95="",'Core_Nativ'!M1078=0),"",'Core_Nativ'!N1078)</x:f>
      </x:c>
      <x:c r="AC95" s="11" t="str">
        <x:f>IF(OR(A95="",'Core_Nativ'!M1078=0),"",'Core_Nativ'!O1078)</x:f>
      </x:c>
      <x:c r="AD95" s="11" t="str">
        <x:f>IF(OR(A95="",'Core_Nativ'!M1079=0),"",'Core_Nativ'!N1079)</x:f>
      </x:c>
      <x:c r="AE95" s="11" t="str">
        <x:f>IF(OR(A95="",'Core_Nativ'!M1079=0),"",'Core_Nativ'!O1079)</x:f>
      </x:c>
      <x:c r="AF95" s="11" t="str">
        <x:f>IF(A95="","",IF(AND('Core_Nativ'!R1074="CLOSED",'Core_Nativ'!S1074=0),IF('Core_Nativ'!M1074&gt;='Core_Nativ'!P1074,'Core_Nativ'!N1074,IF(AND('Input_Meci'!L95="YES",'Input_Meci'!K95&lt;&gt;"",'Input_Meci'!K95&lt;C95,'Core_Nativ'!T1080="DERIVED",'Core_Nativ'!M1080&gt;='Core_Nativ'!P1074),MIN(1,'Core_Nativ'!M1074/'Core_Nativ'!P1074)*IF('Core_Nativ'!M1074=0,0,'Core_Nativ'!N1074)+(1-MIN(1,'Core_Nativ'!M1074/'Core_Nativ'!P1074))*'Core_Nativ'!N1080,"")),""))</x:f>
      </x:c>
      <x:c r="AG95" s="11" t="str">
        <x:f>IF(A95="","",IF(AND('Core_Nativ'!R1074="CLOSED",'Core_Nativ'!S1074=0),IF('Core_Nativ'!M1074&gt;='Core_Nativ'!P1074,'Core_Nativ'!O1074,IF(AND('Input_Meci'!L95="YES",'Input_Meci'!K95&lt;&gt;"",'Input_Meci'!K95&lt;C95,'Core_Nativ'!T1080="DERIVED",'Core_Nativ'!M1080&gt;='Core_Nativ'!P1074),MIN(1,'Core_Nativ'!M1074/'Core_Nativ'!P1074)*IF('Core_Nativ'!M1074=0,0,'Core_Nativ'!O1074)+(1-MIN(1,'Core_Nativ'!M1074/'Core_Nativ'!P1074))*'Core_Nativ'!O1080,"")),""))</x:f>
      </x:c>
      <x:c r="AH95" s="11" t="str">
        <x:f>IF(A95="","",IF(AND('Core_Nativ'!R1075="CLOSED",'Core_Nativ'!S1075=0),IF('Core_Nativ'!M1075&gt;='Core_Nativ'!P1075,'Core_Nativ'!N1075,IF(AND('Input_Meci'!L95="YES",'Input_Meci'!K95&lt;&gt;"",'Input_Meci'!K95&lt;C95,'Core_Nativ'!T1081="DERIVED",'Core_Nativ'!M1081&gt;='Core_Nativ'!P1075),MIN(1,'Core_Nativ'!M1075/'Core_Nativ'!P1075)*IF('Core_Nativ'!M1075=0,0,'Core_Nativ'!N1075)+(1-MIN(1,'Core_Nativ'!M1075/'Core_Nativ'!P1075))*'Core_Nativ'!N1081,"")),""))</x:f>
      </x:c>
      <x:c r="AI95" s="11" t="str">
        <x:f>IF(A95="","",IF(AND('Core_Nativ'!R1075="CLOSED",'Core_Nativ'!S1075=0),IF('Core_Nativ'!M1075&gt;='Core_Nativ'!P1075,'Core_Nativ'!O1075,IF(AND('Input_Meci'!L95="YES",'Input_Meci'!K95&lt;&gt;"",'Input_Meci'!K95&lt;C95,'Core_Nativ'!T1081="DERIVED",'Core_Nativ'!M1081&gt;='Core_Nativ'!P1075),MIN(1,'Core_Nativ'!M1075/'Core_Nativ'!P1075)*IF('Core_Nativ'!M1075=0,0,'Core_Nativ'!O1075)+(1-MIN(1,'Core_Nativ'!M1075/'Core_Nativ'!P1075))*'Core_Nativ'!O1081,"")),""))</x:f>
      </x:c>
      <x:c r="AJ95" s="11" t="str">
        <x:f>IF(A95="","",IF(AND('Core_Nativ'!R1076="CLOSED",'Core_Nativ'!S1076=0),IF('Core_Nativ'!M1076&gt;='Core_Nativ'!P1076,'Core_Nativ'!N1076,IF(AND('Input_Meci'!L95="YES",'Input_Meci'!K95&lt;&gt;"",'Input_Meci'!K95&lt;C95,'Core_Nativ'!T1082="DERIVED",'Core_Nativ'!M1082&gt;='Core_Nativ'!P1076),MIN(1,'Core_Nativ'!M1076/'Core_Nativ'!P1076)*IF('Core_Nativ'!M1076=0,0,'Core_Nativ'!N1076)+(1-MIN(1,'Core_Nativ'!M1076/'Core_Nativ'!P1076))*'Core_Nativ'!N1082,"")),""))</x:f>
      </x:c>
      <x:c r="AK95" s="11" t="str">
        <x:f>IF(A95="","",IF(AND('Core_Nativ'!R1076="CLOSED",'Core_Nativ'!S1076=0),IF('Core_Nativ'!M1076&gt;='Core_Nativ'!P1076,'Core_Nativ'!O1076,IF(AND('Input_Meci'!L95="YES",'Input_Meci'!K95&lt;&gt;"",'Input_Meci'!K95&lt;C95,'Core_Nativ'!T1082="DERIVED",'Core_Nativ'!M1082&gt;='Core_Nativ'!P1076),MIN(1,'Core_Nativ'!M1076/'Core_Nativ'!P1076)*IF('Core_Nativ'!M1076=0,0,'Core_Nativ'!O1076)+(1-MIN(1,'Core_Nativ'!M1076/'Core_Nativ'!P1076))*'Core_Nativ'!O1082,"")),""))</x:f>
      </x:c>
      <x:c r="AL95" s="11" t="str">
        <x:f>IF(A95="","",IF(AND('Core_Nativ'!R1077="CLOSED",'Core_Nativ'!S1077=0),IF('Core_Nativ'!M1077&gt;='Core_Nativ'!P1077,'Core_Nativ'!N1077,IF(AND('Input_Meci'!L95="YES",'Input_Meci'!K95&lt;&gt;"",'Input_Meci'!K95&lt;C95,'Core_Nativ'!T1083="DERIVED",'Core_Nativ'!M1083&gt;='Core_Nativ'!P1077),MIN(1,'Core_Nativ'!M1077/'Core_Nativ'!P1077)*IF('Core_Nativ'!M1077=0,0,'Core_Nativ'!N1077)+(1-MIN(1,'Core_Nativ'!M1077/'Core_Nativ'!P1077))*'Core_Nativ'!N1083,"")),""))</x:f>
      </x:c>
      <x:c r="AM95" s="11" t="str">
        <x:f>IF(A95="","",IF(AND('Core_Nativ'!R1077="CLOSED",'Core_Nativ'!S1077=0),IF('Core_Nativ'!M1077&gt;='Core_Nativ'!P1077,'Core_Nativ'!O1077,IF(AND('Input_Meci'!L95="YES",'Input_Meci'!K95&lt;&gt;"",'Input_Meci'!K95&lt;C95,'Core_Nativ'!T1083="DERIVED",'Core_Nativ'!M1083&gt;='Core_Nativ'!P1077),MIN(1,'Core_Nativ'!M1077/'Core_Nativ'!P1077)*IF('Core_Nativ'!M1077=0,0,'Core_Nativ'!O1077)+(1-MIN(1,'Core_Nativ'!M1077/'Core_Nativ'!P1077))*'Core_Nativ'!O1083,"")),""))</x:f>
      </x:c>
      <x:c r="AN95" s="11" t="str">
        <x:f>IF(A95="","",IF(AND('Core_Nativ'!R1078="CLOSED",'Core_Nativ'!S1078=0),IF('Core_Nativ'!M1078&gt;='Core_Nativ'!P1078,'Core_Nativ'!N1078,IF(AND('Input_Meci'!L95="YES",'Input_Meci'!K95&lt;&gt;"",'Input_Meci'!K95&lt;C95,'Core_Nativ'!T1084="DERIVED",'Core_Nativ'!M1084&gt;='Core_Nativ'!P1078),MIN(1,'Core_Nativ'!M1078/'Core_Nativ'!P1078)*IF('Core_Nativ'!M1078=0,0,'Core_Nativ'!N1078)+(1-MIN(1,'Core_Nativ'!M1078/'Core_Nativ'!P1078))*'Core_Nativ'!N1084,"")),""))</x:f>
      </x:c>
      <x:c r="AO95" s="11" t="str">
        <x:f>IF(A95="","",IF(AND('Core_Nativ'!R1078="CLOSED",'Core_Nativ'!S1078=0),IF('Core_Nativ'!M1078&gt;='Core_Nativ'!P1078,'Core_Nativ'!O1078,IF(AND('Input_Meci'!L95="YES",'Input_Meci'!K95&lt;&gt;"",'Input_Meci'!K95&lt;C95,'Core_Nativ'!T1084="DERIVED",'Core_Nativ'!M1084&gt;='Core_Nativ'!P1078),MIN(1,'Core_Nativ'!M1078/'Core_Nativ'!P1078)*IF('Core_Nativ'!M1078=0,0,'Core_Nativ'!O1078)+(1-MIN(1,'Core_Nativ'!M1078/'Core_Nativ'!P1078))*'Core_Nativ'!O1084,"")),""))</x:f>
      </x:c>
      <x:c r="AP95" s="11" t="str">
        <x:f>IF(A95="","",IF(AND('Core_Nativ'!R1079="CLOSED",'Core_Nativ'!S1079=0),IF('Core_Nativ'!M1079&gt;='Core_Nativ'!P1079,'Core_Nativ'!N1079,IF(AND('Input_Meci'!L95="YES",'Input_Meci'!K95&lt;&gt;"",'Input_Meci'!K95&lt;C95,'Core_Nativ'!T1085="DERIVED",'Core_Nativ'!M1085&gt;='Core_Nativ'!P1079),MIN(1,'Core_Nativ'!M1079/'Core_Nativ'!P1079)*IF('Core_Nativ'!M1079=0,0,'Core_Nativ'!N1079)+(1-MIN(1,'Core_Nativ'!M1079/'Core_Nativ'!P1079))*'Core_Nativ'!N1085,"")),""))</x:f>
      </x:c>
      <x:c r="AQ95" s="11" t="str">
        <x:f>IF(A95="","",IF(AND('Core_Nativ'!R1079="CLOSED",'Core_Nativ'!S1079=0),IF('Core_Nativ'!M1079&gt;='Core_Nativ'!P1079,'Core_Nativ'!O1079,IF(AND('Input_Meci'!L95="YES",'Input_Meci'!K95&lt;&gt;"",'Input_Meci'!K95&lt;C95,'Core_Nativ'!T1085="DERIVED",'Core_Nativ'!M1085&gt;='Core_Nativ'!P1079),MIN(1,'Core_Nativ'!M1079/'Core_Nativ'!P1079)*IF('Core_Nativ'!M1079=0,0,'Core_Nativ'!O1079)+(1-MIN(1,'Core_Nativ'!M1079/'Core_Nativ'!P1079))*'Core_Nativ'!O1085,"")),""))</x:f>
      </x:c>
      <x:c r="AR95" s="11" t="str">
        <x:f>IF(A95="","",SUMPRODUCT(('Istoric_Nativ'!$B$6:$B$405=B95)*('Istoric_Nativ'!$C$6:$C$405=BL95)*('Istoric_Nativ'!$P$6:$P$405=1)*('Istoric_Nativ'!$D$6:$D$405&lt;INT(G95))*((('Istoric_Nativ'!$E$6:$E$405='Input_Meci'!D95)+('Istoric_Nativ'!$F$6:$F$405='Input_Meci'!D95)+('Istoric_Nativ'!$E$6:$E$405='Input_Meci'!E95)+('Istoric_Nativ'!$F$6:$F$405='Input_Meci'!E95))&gt;0)))</x:f>
      </x:c>
      <x:c r="AS95" s="11" t="str">
        <x:f>IF(AR95=0,"",SUMPRODUCT(('Istoric_Nativ'!$B$6:$B$405=B95)*('Istoric_Nativ'!$C$6:$C$405=BL95)*('Istoric_Nativ'!$P$6:$P$405=1)*('Istoric_Nativ'!$D$6:$D$405&lt;INT(G95))*((('Istoric_Nativ'!$E$6:$E$405='Input_Meci'!D95)+('Istoric_Nativ'!$F$6:$F$405='Input_Meci'!D95)+('Istoric_Nativ'!$E$6:$E$405='Input_Meci'!E95)+('Istoric_Nativ'!$F$6:$F$405='Input_Meci'!E95))&gt;0)*'Istoric_Nativ'!$Q$6:$Q$405)/AR95)</x:f>
      </x:c>
      <x:c r="AT95" s="11" t="str">
        <x:f>IF(AR95&lt;2,"",MAX(0,(SUMPRODUCT(('Istoric_Nativ'!$B$6:$B$405=B95)*('Istoric_Nativ'!$C$6:$C$405=BL95)*('Istoric_Nativ'!$P$6:$P$405=1)*('Istoric_Nativ'!$D$6:$D$405&lt;INT(G95))*((('Istoric_Nativ'!$E$6:$E$405='Input_Meci'!D95)+('Istoric_Nativ'!$F$6:$F$405='Input_Meci'!D95)+('Istoric_Nativ'!$E$6:$E$405='Input_Meci'!E95)+('Istoric_Nativ'!$F$6:$F$405='Input_Meci'!E95))&gt;0)*'Istoric_Nativ'!$R$6:$R$405)-AR95*AS95^2)/(AR95-1)))</x:f>
      </x:c>
      <x:c r="AU95" s="11" t="str">
        <x:f>IF(I95&lt;&gt;"PASS","",AT95/AS95)</x:f>
      </x:c>
      <x:c r="AV95" s="11" t="str">
        <x:f>IF(I95&lt;&gt;"PASS","",IF(AU95&lt;='Config_v6'!$B$10,"POISSON","NEGATIVE BINOMIAL"))</x:f>
      </x:c>
      <x:c r="AW95" s="11" t="str">
        <x:f>IF(I95&lt;&gt;"PASS","",IF(AV95="POISSON",9999,AS95/(AU95-1)))</x:f>
      </x:c>
      <x:c r="AX95" s="11" t="str">
        <x:f>IF(A95="","",MAX(1-'Config_v6'!$B$20,MIN(1+'Config_v6'!$B$20,1+0.02*(IF(AND(ISNUMBER('Input_Meci'!N95),'Input_Meci'!N95&gt;=0,'Input_Meci'!N95&lt;=200),'Input_Meci'!N95,12)/12-1)+0.02*(IF(AND(ISNUMBER('Input_Meci'!P95),'Input_Meci'!P95&gt;=0,'Input_Meci'!P95&lt;=200),'Input_Meci'!P95,3.5)/3.5-1)+0.02*(IF(AND(ISNUMBER('Input_Meci'!R95),'Input_Meci'!R95&gt;=0,'Input_Meci'!R95&lt;=200),'Input_Meci'!R95,18)/18-1)+0.02*((IF(AND(ISNUMBER('Input_Meci'!V95),'Input_Meci'!V95&gt;=0,'Input_Meci'!V95&lt;=10),'Input_Meci'!V95,5)-5)/5))))</x:f>
      </x:c>
      <x:c r="AY95" s="11" t="str">
        <x:f>IF(A95="","",MAX(1-'Config_v6'!$B$20,MIN(1+'Config_v6'!$B$20,1+0.02*(IF(AND(ISNUMBER('Input_Meci'!O95),'Input_Meci'!O95&gt;=0,'Input_Meci'!O95&lt;=200),'Input_Meci'!O95,12)/12-1)+0.02*(IF(AND(ISNUMBER('Input_Meci'!Q95),'Input_Meci'!Q95&gt;=0,'Input_Meci'!Q95&lt;=200),'Input_Meci'!Q95,3.5)/3.5-1)+0.02*(IF(AND(ISNUMBER('Input_Meci'!S95),'Input_Meci'!S95&gt;=0,'Input_Meci'!S95&lt;=200),'Input_Meci'!S95,18)/18-1)+0.02*((IF(AND(ISNUMBER('Input_Meci'!W95),'Input_Meci'!W95&gt;=0,'Input_Meci'!W95&lt;=10),'Input_Meci'!W95,5)-5)/5))))</x:f>
      </x:c>
      <x:c r="AZ95" s="11" t="str">
        <x:f>IF(A95="","",MAX(1-'Config_v6'!$B$21,MIN(1+'Config_v6'!$B$21,1+0.012*(IF('Input_Meci'!X95="",5,IF(ISNUMBER('Input_Meci'!X95),'Input_Meci'!X95,5))-5)+0.018*(IF('Input_Meci'!Z95="",5,IF(ISNUMBER('Input_Meci'!Z95),'Input_Meci'!Z95,5))-5)+0.012*(IF('Input_Meci'!AB95="",5,IF(ISNUMBER('Input_Meci'!AB95),'Input_Meci'!AB95,5))-5)+0.015*IF('Input_Meci'!AD95="",0,IF(ISNUMBER('Input_Meci'!AD95),'Input_Meci'!AD95,0))+0.02*IF('Input_Meci'!AF95="",0,IF(ISNUMBER('Input_Meci'!AF95),'Input_Meci'!AF95,0)))))</x:f>
      </x:c>
      <x:c r="BA95" s="11" t="str">
        <x:f>IF(A95="","",MAX(1-'Config_v6'!$B$21,MIN(1+'Config_v6'!$B$21,1+0.012*(IF('Input_Meci'!Y95="",5,IF(ISNUMBER('Input_Meci'!Y95),'Input_Meci'!Y95,5))-5)+0.018*(IF('Input_Meci'!AA95="",5,IF(ISNUMBER('Input_Meci'!AA95),'Input_Meci'!AA95,5))-5)+0.012*(IF('Input_Meci'!AC95="",5,IF(ISNUMBER('Input_Meci'!AC95),'Input_Meci'!AC95,5))-5)+0.015*IF('Input_Meci'!AE95="",0,IF(ISNUMBER('Input_Meci'!AE95),'Input_Meci'!AE95,0))+0.02*IF('Input_Meci'!AG95="",0,IF(ISNUMBER('Input_Meci'!AG95),'Input_Meci'!AG95,0)))))</x:f>
      </x:c>
      <x:c r="BB95" s="11" t="str">
        <x:f>IF(I95&lt;&gt;"PASS","",(AVERAGE(AF95,AM95)*'Config_v6'!$B$4+AVERAGE(AH95,AO95)*'Config_v6'!$B$5+AVERAGE(AJ95,AQ95)*'Config_v6'!$B$6)*AX95*AZ95)</x:f>
      </x:c>
      <x:c r="BC95" s="11" t="str">
        <x:f>IF(I95&lt;&gt;"PASS","",(AVERAGE(AL95,AG95)*'Config_v6'!$B$4+AVERAGE(AN95,AI95)*'Config_v6'!$B$5+AVERAGE(AP95,AK95)*'Config_v6'!$B$6)*AY95*BA95)</x:f>
      </x:c>
      <x:c r="BD95" s="11" t="str">
        <x:f>IF(I95&lt;&gt;"PASS","",BB95+BC95)</x:f>
      </x:c>
      <x:c r="BE95" s="11" t="str">
        <x:f>IF(A95="","",10-SUM(IF(AND(ISNUMBER('Input_Meci'!N95),'Input_Meci'!N95&gt;=0,'Input_Meci'!N95&lt;=200),1,0),IF(AND(ISNUMBER('Input_Meci'!O95),'Input_Meci'!O95&gt;=0,'Input_Meci'!O95&lt;=200),1,0),IF(AND(ISNUMBER('Input_Meci'!P95),'Input_Meci'!P95&gt;=0,'Input_Meci'!P95&lt;=200),1,0),IF(AND(ISNUMBER('Input_Meci'!Q95),'Input_Meci'!Q95&gt;=0,'Input_Meci'!Q95&lt;=200),1,0),IF(AND(ISNUMBER('Input_Meci'!R95),'Input_Meci'!R95&gt;=0,'Input_Meci'!R95&lt;=200),1,0),IF(AND(ISNUMBER('Input_Meci'!S95),'Input_Meci'!S95&gt;=0,'Input_Meci'!S95&lt;=200),1,0),IF(AND(ISNUMBER('Input_Meci'!T95),'Input_Meci'!T95&gt;=0,'Input_Meci'!T95&lt;=100),1,0),IF(AND(ISNUMBER('Input_Meci'!U95),'Input_Meci'!U95&gt;=0,'Input_Meci'!U95&lt;=100),1,0),IF(AND(ISNUMBER('Input_Meci'!V95),'Input_Meci'!V95&gt;=0,'Input_Meci'!V95&lt;=10),1,0),IF(AND(ISNUMBER('Input_Meci'!W95),'Input_Meci'!W95&gt;=0,'Input_Meci'!W95&lt;=10),1,0)))</x:f>
      </x:c>
      <x:c r="BF95" s="11" t="str">
        <x:f>IF(I95&lt;&gt;"PASS","",MAX(0,MIN(IF(OR(M95="YES",BL95&lt;&gt;C95),'Config_v6'!$B$34,100),ROUND(40+25*MIN(1,MIN(N95,Q95)/'Config_v6'!$B$7)*MIN(1,MIN(O95,R95)/'Config_v6'!$B$8)*MIN(1,MIN(P95,S95)/'Config_v6'!$B$9)+MAX(0,15-2*ABS(AF95-AJ95)-2*ABS(AL95-AP95))+IF(AU95&lt;='Config_v6'!$B$10,15,IF(AU95&lt;='Config_v6'!$B$11,13,IF(AU95&lt;='Config_v6'!$B$12,10,IF(AU95&lt;='Config_v6'!$B$13,6,0))))+5-BE95/10*'Config_v6'!$B$38,0))))</x:f>
      </x:c>
      <x:c r="BG95" s="11" t="str">
        <x:f>IF(I95&lt;&gt;"PASS","",MIN(1,'Config_v6'!$B$14*(0.7+0.3*MIN(1,AR95/'Config_v6'!$B$15))*IF(AU95&lt;='Config_v6'!$B$10,1,IF(AU95&lt;='Config_v6'!$B$11,0.95,IF(AU95&lt;='Config_v6'!$B$12,0.88,0.78)))*(0.75+0.25*BF95/100)))</x:f>
      </x:c>
      <x:c r="BH95" s="11" t="str">
        <x:f>IF(I95&lt;&gt;"PASS","",MIN(1,(ABS(AZ95-1)+ABS(BA95-1))*3))</x:f>
      </x:c>
      <x:c r="BI95" s="2" t="str">
        <x:f>IF(A95="","",IF(AND(OR('Input_Meci'!X95="",AND(ISNUMBER('Input_Meci'!X95),'Input_Meci'!X95&gt;=0,'Input_Meci'!X95&lt;=10)),OR('Input_Meci'!Y95="",AND(ISNUMBER('Input_Meci'!Y95),'Input_Meci'!Y95&gt;=0,'Input_Meci'!Y95&lt;=10)),OR('Input_Meci'!Z95="",AND(ISNUMBER('Input_Meci'!Z95),'Input_Meci'!Z95&gt;=0,'Input_Meci'!Z95&lt;=10)),OR('Input_Meci'!AA95="",AND(ISNUMBER('Input_Meci'!AA95),'Input_Meci'!AA95&gt;=0,'Input_Meci'!AA95&lt;=10)),OR('Input_Meci'!AB95="",AND(ISNUMBER('Input_Meci'!AB95),'Input_Meci'!AB95&gt;=0,'Input_Meci'!AB95&lt;=10)),OR('Input_Meci'!AC95="",AND(ISNUMBER('Input_Meci'!AC95),'Input_Meci'!AC95&gt;=0,'Input_Meci'!AC95&lt;=10)),OR('Input_Meci'!AD95="",AND(ISNUMBER('Input_Meci'!AD95),'Input_Meci'!AD95&gt;=-2,'Input_Meci'!AD95&lt;=2)),OR('Input_Meci'!AE95="",AND(ISNUMBER('Input_Meci'!AE95),'Input_Meci'!AE95&gt;=-2,'Input_Meci'!AE95&lt;=2)),OR('Input_Meci'!AF95="",AND(ISNUMBER('Input_Meci'!AF95),'Input_Meci'!AF95&gt;=-2,'Input_Meci'!AF95&lt;=2)),OR('Input_Meci'!AG95="",AND(ISNUMBER('Input_Meci'!AG95),'Input_Meci'!AG95&gt;=-2,'Input_Meci'!AG95&lt;=2))),"VALID","INVALID"))</x:f>
      </x:c>
      <x:c r="BJ95" s="2" t="n">
        <x:f>IF(A95="",0,SUM('Core_Nativ'!S1074:S1079))</x:f>
        <x:v>0</x:v>
      </x:c>
      <x:c r="BK95" s="2" t="str">
        <x:f>'Config_v6'!$B$40</x:f>
        <x:v>VALID</x:v>
      </x:c>
      <x:c r="BL95" s="2" t="str">
        <x:f>IF(A95="","",IF(SUMPRODUCT(('Istoric_Nativ'!$B$6:$B$405=B95)*('Istoric_Nativ'!$C$6:$C$405=C95)*('Istoric_Nativ'!$P$6:$P$405=1)*('Istoric_Nativ'!$D$6:$D$405&lt;INT(G95))*((('Istoric_Nativ'!$E$6:$E$405='Input_Meci'!D95)+('Istoric_Nativ'!$F$6:$F$405='Input_Meci'!D95)+('Istoric_Nativ'!$E$6:$E$405='Input_Meci'!E95)+('Istoric_Nativ'!$F$6:$F$405='Input_Meci'!E95))&gt;0))&gt;='Config_v6'!$B$41,C95,IF(AND('Input_Meci'!L95="YES",'Input_Meci'!K95&lt;&gt;"",'Input_Meci'!K95&lt;C95,COUNTIF('Core_Nativ'!R1080:R1085,"CLOSED")=6,SUM('Core_Nativ'!S1080:S1085)=0),'Input_Meci'!K95,C95)))</x:f>
      </x:c>
      <x:c r="BM95" s="9" t="n">
        <x:f>IF(OR(A95="",N95=0),0,LARGE(_xlfn._xlws.FILTER('Istoric_Nativ'!$D$6:$D$405,('Istoric_Nativ'!$B$6:$B$405=B95)*('Istoric_Nativ'!$C$6:$C$405=C95)*('Istoric_Nativ'!$P$6:$P$405=1)*('Istoric_Nativ'!$D$6:$D$405&lt;INT(G95))*((('Istoric_Nativ'!$E$6:$E$405='Input_Meci'!D95)+('Istoric_Nativ'!$F$6:$F$405='Input_Meci'!D95))&gt;0)),MIN(10,N95)))</x:f>
        <x:v>0</x:v>
      </x:c>
      <x:c r="BN95" s="9" t="n">
        <x:f>IF(OR(A95="",Q95=0),0,LARGE(_xlfn._xlws.FILTER('Istoric_Nativ'!$D$6:$D$405,('Istoric_Nativ'!$B$6:$B$405=B95)*('Istoric_Nativ'!$C$6:$C$405=C95)*('Istoric_Nativ'!$P$6:$P$405=1)*('Istoric_Nativ'!$D$6:$D$405&lt;INT(G95))*((('Istoric_Nativ'!$E$6:$E$405='Input_Meci'!E95)+('Istoric_Nativ'!$F$6:$F$405='Input_Meci'!E95))&gt;0)),MIN(10,Q95)))</x:f>
        <x:v>0</x:v>
      </x:c>
      <x:c r="BO95" s="9" t="n">
        <x:f>IF(OR(A95="",N95=0),0,LARGE(_xlfn._xlws.FILTER('Istoric_Nativ'!$D$6:$D$405,('Istoric_Nativ'!$B$6:$B$405=B95)*('Istoric_Nativ'!$C$6:$C$405=C95)*('Istoric_Nativ'!$P$6:$P$405=1)*('Istoric_Nativ'!$D$6:$D$405&lt;INT(G95))*((('Istoric_Nativ'!$E$6:$E$405='Input_Meci'!D95)+('Istoric_Nativ'!$F$6:$F$405='Input_Meci'!D95))&gt;0)),MIN(20,N95)))</x:f>
        <x:v>0</x:v>
      </x:c>
      <x:c r="BP95" s="9" t="n">
        <x:f>IF(OR(A95="",Q95=0),0,LARGE(_xlfn._xlws.FILTER('Istoric_Nativ'!$D$6:$D$405,('Istoric_Nativ'!$B$6:$B$405=B95)*('Istoric_Nativ'!$C$6:$C$405=C95)*('Istoric_Nativ'!$P$6:$P$405=1)*('Istoric_Nativ'!$D$6:$D$405&lt;INT(G95))*((('Istoric_Nativ'!$E$6:$E$405='Input_Meci'!E95)+('Istoric_Nativ'!$F$6:$F$405='Input_Meci'!E95))&gt;0)),MIN(20,Q95)))</x:f>
        <x:v>0</x:v>
      </x:c>
      <x:c r="BQ95" s="2" t="str">
        <x:f>IF(A95="","",IF(AND(COUNTIF(MatchesTable[Match_ID],A95)=1,COUNTIFS(MatchesTable[League],B95,MatchesTable[Season],C95,MatchesTable[Home],'Input_Meci'!D95,MatchesTable[Away],'Input_Meci'!E95,MatchesTable[Kickoff_UTC],F95)=1,B95&lt;&gt;"",C95&lt;&gt;"",'Input_Meci'!D95&lt;&gt;"",'Input_Meci'!E95&lt;&gt;"",'Input_Meci'!D95&lt;&gt;'Input_Meci'!E95,ISNUMBER(F95),ISNUMBER(G95),G95&lt;F95,OR(E95="LIVE",E95="REPLAY"),OR('Input_Meci'!L95="YES",'Input_Meci'!L95="NO",'Input_Meci'!L95="")),"VALID","INVALID"))</x:f>
      </x:c>
      <x:c r="BR95" s="2" t="n">
        <x:f>IF(I95&lt;&gt;"PASS",0,SUMPRODUCT(('Istoric_Nativ'!$B$6:$B$405='Input_Meci'!B95)*('Istoric_Nativ'!$C$6:$C$405='Input_Meci'!C95)*('Istoric_Nativ'!$P$6:$P$405=1)*('Istoric_Nativ'!$D$6:$D$405&lt;INT('Input_Meci'!G95))*((('Istoric_Nativ'!$E$6:$E$405='Input_Meci'!D95)+('Istoric_Nativ'!$F$6:$F$405='Input_Meci'!E95))&gt;0)))</x:f>
        <x:v>0</x:v>
      </x:c>
      <x:c r="BS95" s="2" t="n">
        <x:f>IF(I95&lt;&gt;"PASS",0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BM95)+((('Istoric_Nativ'!$E$6:$E$405='Input_Meci'!E95)+('Istoric_Nativ'!$F$6:$F$405='Input_Meci'!E95))&gt;0)*('Istoric_Nativ'!$D$6:$D$405&gt;=BN95))&gt;0)))</x:f>
        <x:v>0</x:v>
      </x:c>
      <x:c r="BT95" s="2" t="n">
        <x:f>IF(I95&lt;&gt;"PASS",0,SUMPRODUCT(('Istoric_Nativ'!$B$6:$B$405='Input_Meci'!B95)*('Istoric_Nativ'!$C$6:$C$405='Input_Meci'!C95)*('Istoric_Nativ'!$P$6:$P$405=1)*('Istoric_Nativ'!$D$6:$D$405&lt;INT('Input_Meci'!G95))*((((('Istoric_Nativ'!$E$6:$E$405='Input_Meci'!D95)+('Istoric_Nativ'!$F$6:$F$405='Input_Meci'!D95))&gt;0)*('Istoric_Nativ'!$D$6:$D$405&gt;=BO95)+((('Istoric_Nativ'!$E$6:$E$405='Input_Meci'!E95)+('Istoric_Nativ'!$F$6:$F$405='Input_Meci'!E95))&gt;0)*('Istoric_Nativ'!$D$6:$D$405&gt;=BP95))&gt;0)))</x:f>
        <x:v>0</x:v>
      </x:c>
    </x:row>
    <x:row r="96" ht="21" customHeight="1">
      <x:c r="A96" s="2" t="str">
        <x:f>IF('Input_Meci'!A96="","",'Input_Meci'!A96)</x:f>
      </x:c>
      <x:c r="B96" s="2" t="str">
        <x:f>IF(A96="","",'Input_Meci'!B96)</x:f>
      </x:c>
      <x:c r="C96" s="2" t="str">
        <x:f>IF(A96="","",'Input_Meci'!C96)</x:f>
      </x:c>
      <x:c r="D96" s="2" t="str">
        <x:f>IF(A96="","",'Input_Meci'!D96&amp;" – "&amp;'Input_Meci'!E96)</x:f>
      </x:c>
      <x:c r="E96" s="2" t="str">
        <x:f>IF(A96="","",'Input_Meci'!H96)</x:f>
      </x:c>
      <x:c r="F96" s="9" t="str">
        <x:f>IF(A96="","",'Input_Meci'!F96)</x:f>
      </x:c>
      <x:c r="G96" s="9" t="str">
        <x:f>IF(A96="","",'Input_Meci'!G96)</x:f>
      </x:c>
      <x:c r="H96" s="2" t="str">
        <x:f>IF(A96="","",IF(BQ96&lt;&gt;"VALID","NOT RELEASED",IF(AND(OR('Input_Meci'!I96="NOT AVAILABLE",'Input_Meci'!I96="SOURCE CONFLICT"),'Input_Meci'!J96&lt;&gt;""),"READY",IF(OR(NOT(OR('Input_Meci'!I96="AUTO",'Input_Meci'!I96="")),COUNTIF('Core_Nativ'!R1086:R1091,"CLOSED")&lt;&gt;6,BJ96&gt;0),"NOT RELEASED","READY"))))</x:f>
      </x:c>
      <x:c r="I96" s="2" t="str">
        <x:f>IF(A96="","",IF(H96&lt;&gt;"READY","NOT RELEASED",IF(AND(NOT(OR('Input_Meci'!I96="NOT AVAILABLE",'Input_Meci'!I96="SOURCE CONFLICT")),L96=12,AR96&gt;=2,AS96&gt;0,ISNUMBER(AT96),BI96="VALID",BK96="VALID"),"PASS","FAIL")))</x:f>
      </x:c>
      <x:c r="J96" s="2" t="str">
        <x:f>IF(A96="","",IF(BQ96&lt;&gt;"VALID","Verifica ID, echipe, mod si cutoff &lt; kickoff",IF(H96&lt;&gt;"READY",IF('Input_Meci'!I96="ACCESS BLOCKED","Acces blocat: reia sursele",IF(BJ96&gt;0,"Istoric invalid sau conflict: verifica randurile native","Surse neinchise / post-cutoff / dovezi incomplete")),IF(OR('Input_Meci'!I96="NOT AVAILABLE",'Input_Meci'!I96="SOURCE CONFLICT"),'Input_Meci'!I96,IF(BK96&lt;&gt;"VALID","Parametri invalizi",IF(L96&lt;&gt;12,"Core / sample / prior insuficient",IF(AR96&lt;2,"N insuficient pentru dispersie",IF(AS96&lt;=0,"Media istorica trebuie sa fie pozitiva",IF(BI96&lt;&gt;"VALID","Context invalid","READY")))))))))</x:f>
      </x:c>
      <x:c r="K96" s="2" t="str">
        <x:f>IF(A96="","",COUNT(T96:AE96))</x:f>
      </x:c>
      <x:c r="L96" s="2" t="str">
        <x:f>IF(A96="","",COUNT(AF96:AQ96))</x:f>
      </x:c>
      <x:c r="M96" s="2" t="str">
        <x:f>IF(A96="","",IF(OR('Core_Nativ'!M1086&lt;'Core_Nativ'!P1086,'Core_Nativ'!M1087&lt;'Core_Nativ'!P1087,'Core_Nativ'!M1088&lt;'Core_Nativ'!P1088,'Core_Nativ'!M1089&lt;'Core_Nativ'!P1089,'Core_Nativ'!M1090&lt;'Core_Nativ'!P1090,'Core_Nativ'!M1091&lt;'Core_Nativ'!P1091),"YES","NO"))</x:f>
      </x:c>
      <x:c r="N96" s="2" t="str">
        <x:f>IF(A96="","",'Core_Nativ'!M1086)</x:f>
      </x:c>
      <x:c r="O96" s="2" t="str">
        <x:f>IF(A96="","",'Core_Nativ'!M1087)</x:f>
      </x:c>
      <x:c r="P96" s="2" t="str">
        <x:f>IF(A96="","",'Core_Nativ'!M1088)</x:f>
      </x:c>
      <x:c r="Q96" s="2" t="str">
        <x:f>IF(A96="","",'Core_Nativ'!M1089)</x:f>
      </x:c>
      <x:c r="R96" s="2" t="str">
        <x:f>IF(A96="","",'Core_Nativ'!M1090)</x:f>
      </x:c>
      <x:c r="S96" s="2" t="str">
        <x:f>IF(A96="","",'Core_Nativ'!M1091)</x:f>
      </x:c>
      <x:c r="T96" s="11" t="str">
        <x:f>IF(OR(A96="",'Core_Nativ'!M1086=0),"",'Core_Nativ'!N1086)</x:f>
      </x:c>
      <x:c r="U96" s="11" t="str">
        <x:f>IF(OR(A96="",'Core_Nativ'!M1086=0),"",'Core_Nativ'!O1086)</x:f>
      </x:c>
      <x:c r="V96" s="11" t="str">
        <x:f>IF(OR(A96="",'Core_Nativ'!M1087=0),"",'Core_Nativ'!N1087)</x:f>
      </x:c>
      <x:c r="W96" s="11" t="str">
        <x:f>IF(OR(A96="",'Core_Nativ'!M1087=0),"",'Core_Nativ'!O1087)</x:f>
      </x:c>
      <x:c r="X96" s="11" t="str">
        <x:f>IF(OR(A96="",'Core_Nativ'!M1088=0),"",'Core_Nativ'!N1088)</x:f>
      </x:c>
      <x:c r="Y96" s="11" t="str">
        <x:f>IF(OR(A96="",'Core_Nativ'!M1088=0),"",'Core_Nativ'!O1088)</x:f>
      </x:c>
      <x:c r="Z96" s="11" t="str">
        <x:f>IF(OR(A96="",'Core_Nativ'!M1089=0),"",'Core_Nativ'!N1089)</x:f>
      </x:c>
      <x:c r="AA96" s="11" t="str">
        <x:f>IF(OR(A96="",'Core_Nativ'!M1089=0),"",'Core_Nativ'!O1089)</x:f>
      </x:c>
      <x:c r="AB96" s="11" t="str">
        <x:f>IF(OR(A96="",'Core_Nativ'!M1090=0),"",'Core_Nativ'!N1090)</x:f>
      </x:c>
      <x:c r="AC96" s="11" t="str">
        <x:f>IF(OR(A96="",'Core_Nativ'!M1090=0),"",'Core_Nativ'!O1090)</x:f>
      </x:c>
      <x:c r="AD96" s="11" t="str">
        <x:f>IF(OR(A96="",'Core_Nativ'!M1091=0),"",'Core_Nativ'!N1091)</x:f>
      </x:c>
      <x:c r="AE96" s="11" t="str">
        <x:f>IF(OR(A96="",'Core_Nativ'!M1091=0),"",'Core_Nativ'!O1091)</x:f>
      </x:c>
      <x:c r="AF96" s="11" t="str">
        <x:f>IF(A96="","",IF(AND('Core_Nativ'!R1086="CLOSED",'Core_Nativ'!S1086=0),IF('Core_Nativ'!M1086&gt;='Core_Nativ'!P1086,'Core_Nativ'!N1086,IF(AND('Input_Meci'!L96="YES",'Input_Meci'!K96&lt;&gt;"",'Input_Meci'!K96&lt;C96,'Core_Nativ'!T1092="DERIVED",'Core_Nativ'!M1092&gt;='Core_Nativ'!P1086),MIN(1,'Core_Nativ'!M1086/'Core_Nativ'!P1086)*IF('Core_Nativ'!M1086=0,0,'Core_Nativ'!N1086)+(1-MIN(1,'Core_Nativ'!M1086/'Core_Nativ'!P1086))*'Core_Nativ'!N1092,"")),""))</x:f>
      </x:c>
      <x:c r="AG96" s="11" t="str">
        <x:f>IF(A96="","",IF(AND('Core_Nativ'!R1086="CLOSED",'Core_Nativ'!S1086=0),IF('Core_Nativ'!M1086&gt;='Core_Nativ'!P1086,'Core_Nativ'!O1086,IF(AND('Input_Meci'!L96="YES",'Input_Meci'!K96&lt;&gt;"",'Input_Meci'!K96&lt;C96,'Core_Nativ'!T1092="DERIVED",'Core_Nativ'!M1092&gt;='Core_Nativ'!P1086),MIN(1,'Core_Nativ'!M1086/'Core_Nativ'!P1086)*IF('Core_Nativ'!M1086=0,0,'Core_Nativ'!O1086)+(1-MIN(1,'Core_Nativ'!M1086/'Core_Nativ'!P1086))*'Core_Nativ'!O1092,"")),""))</x:f>
      </x:c>
      <x:c r="AH96" s="11" t="str">
        <x:f>IF(A96="","",IF(AND('Core_Nativ'!R1087="CLOSED",'Core_Nativ'!S1087=0),IF('Core_Nativ'!M1087&gt;='Core_Nativ'!P1087,'Core_Nativ'!N1087,IF(AND('Input_Meci'!L96="YES",'Input_Meci'!K96&lt;&gt;"",'Input_Meci'!K96&lt;C96,'Core_Nativ'!T1093="DERIVED",'Core_Nativ'!M1093&gt;='Core_Nativ'!P1087),MIN(1,'Core_Nativ'!M1087/'Core_Nativ'!P1087)*IF('Core_Nativ'!M1087=0,0,'Core_Nativ'!N1087)+(1-MIN(1,'Core_Nativ'!M1087/'Core_Nativ'!P1087))*'Core_Nativ'!N1093,"")),""))</x:f>
      </x:c>
      <x:c r="AI96" s="11" t="str">
        <x:f>IF(A96="","",IF(AND('Core_Nativ'!R1087="CLOSED",'Core_Nativ'!S1087=0),IF('Core_Nativ'!M1087&gt;='Core_Nativ'!P1087,'Core_Nativ'!O1087,IF(AND('Input_Meci'!L96="YES",'Input_Meci'!K96&lt;&gt;"",'Input_Meci'!K96&lt;C96,'Core_Nativ'!T1093="DERIVED",'Core_Nativ'!M1093&gt;='Core_Nativ'!P1087),MIN(1,'Core_Nativ'!M1087/'Core_Nativ'!P1087)*IF('Core_Nativ'!M1087=0,0,'Core_Nativ'!O1087)+(1-MIN(1,'Core_Nativ'!M1087/'Core_Nativ'!P1087))*'Core_Nativ'!O1093,"")),""))</x:f>
      </x:c>
      <x:c r="AJ96" s="11" t="str">
        <x:f>IF(A96="","",IF(AND('Core_Nativ'!R1088="CLOSED",'Core_Nativ'!S1088=0),IF('Core_Nativ'!M1088&gt;='Core_Nativ'!P1088,'Core_Nativ'!N1088,IF(AND('Input_Meci'!L96="YES",'Input_Meci'!K96&lt;&gt;"",'Input_Meci'!K96&lt;C96,'Core_Nativ'!T1094="DERIVED",'Core_Nativ'!M1094&gt;='Core_Nativ'!P1088),MIN(1,'Core_Nativ'!M1088/'Core_Nativ'!P1088)*IF('Core_Nativ'!M1088=0,0,'Core_Nativ'!N1088)+(1-MIN(1,'Core_Nativ'!M1088/'Core_Nativ'!P1088))*'Core_Nativ'!N1094,"")),""))</x:f>
      </x:c>
      <x:c r="AK96" s="11" t="str">
        <x:f>IF(A96="","",IF(AND('Core_Nativ'!R1088="CLOSED",'Core_Nativ'!S1088=0),IF('Core_Nativ'!M1088&gt;='Core_Nativ'!P1088,'Core_Nativ'!O1088,IF(AND('Input_Meci'!L96="YES",'Input_Meci'!K96&lt;&gt;"",'Input_Meci'!K96&lt;C96,'Core_Nativ'!T1094="DERIVED",'Core_Nativ'!M1094&gt;='Core_Nativ'!P1088),MIN(1,'Core_Nativ'!M1088/'Core_Nativ'!P1088)*IF('Core_Nativ'!M1088=0,0,'Core_Nativ'!O1088)+(1-MIN(1,'Core_Nativ'!M1088/'Core_Nativ'!P1088))*'Core_Nativ'!O1094,"")),""))</x:f>
      </x:c>
      <x:c r="AL96" s="11" t="str">
        <x:f>IF(A96="","",IF(AND('Core_Nativ'!R1089="CLOSED",'Core_Nativ'!S1089=0),IF('Core_Nativ'!M1089&gt;='Core_Nativ'!P1089,'Core_Nativ'!N1089,IF(AND('Input_Meci'!L96="YES",'Input_Meci'!K96&lt;&gt;"",'Input_Meci'!K96&lt;C96,'Core_Nativ'!T1095="DERIVED",'Core_Nativ'!M1095&gt;='Core_Nativ'!P1089),MIN(1,'Core_Nativ'!M1089/'Core_Nativ'!P1089)*IF('Core_Nativ'!M1089=0,0,'Core_Nativ'!N1089)+(1-MIN(1,'Core_Nativ'!M1089/'Core_Nativ'!P1089))*'Core_Nativ'!N1095,"")),""))</x:f>
      </x:c>
      <x:c r="AM96" s="11" t="str">
        <x:f>IF(A96="","",IF(AND('Core_Nativ'!R1089="CLOSED",'Core_Nativ'!S1089=0),IF('Core_Nativ'!M1089&gt;='Core_Nativ'!P1089,'Core_Nativ'!O1089,IF(AND('Input_Meci'!L96="YES",'Input_Meci'!K96&lt;&gt;"",'Input_Meci'!K96&lt;C96,'Core_Nativ'!T1095="DERIVED",'Core_Nativ'!M1095&gt;='Core_Nativ'!P1089),MIN(1,'Core_Nativ'!M1089/'Core_Nativ'!P1089)*IF('Core_Nativ'!M1089=0,0,'Core_Nativ'!O1089)+(1-MIN(1,'Core_Nativ'!M1089/'Core_Nativ'!P1089))*'Core_Nativ'!O1095,"")),""))</x:f>
      </x:c>
      <x:c r="AN96" s="11" t="str">
        <x:f>IF(A96="","",IF(AND('Core_Nativ'!R1090="CLOSED",'Core_Nativ'!S1090=0),IF('Core_Nativ'!M1090&gt;='Core_Nativ'!P1090,'Core_Nativ'!N1090,IF(AND('Input_Meci'!L96="YES",'Input_Meci'!K96&lt;&gt;"",'Input_Meci'!K96&lt;C96,'Core_Nativ'!T1096="DERIVED",'Core_Nativ'!M1096&gt;='Core_Nativ'!P1090),MIN(1,'Core_Nativ'!M1090/'Core_Nativ'!P1090)*IF('Core_Nativ'!M1090=0,0,'Core_Nativ'!N1090)+(1-MIN(1,'Core_Nativ'!M1090/'Core_Nativ'!P1090))*'Core_Nativ'!N1096,"")),""))</x:f>
      </x:c>
      <x:c r="AO96" s="11" t="str">
        <x:f>IF(A96="","",IF(AND('Core_Nativ'!R1090="CLOSED",'Core_Nativ'!S1090=0),IF('Core_Nativ'!M1090&gt;='Core_Nativ'!P1090,'Core_Nativ'!O1090,IF(AND('Input_Meci'!L96="YES",'Input_Meci'!K96&lt;&gt;"",'Input_Meci'!K96&lt;C96,'Core_Nativ'!T1096="DERIVED",'Core_Nativ'!M1096&gt;='Core_Nativ'!P1090),MIN(1,'Core_Nativ'!M1090/'Core_Nativ'!P1090)*IF('Core_Nativ'!M1090=0,0,'Core_Nativ'!O1090)+(1-MIN(1,'Core_Nativ'!M1090/'Core_Nativ'!P1090))*'Core_Nativ'!O1096,"")),""))</x:f>
      </x:c>
      <x:c r="AP96" s="11" t="str">
        <x:f>IF(A96="","",IF(AND('Core_Nativ'!R1091="CLOSED",'Core_Nativ'!S1091=0),IF('Core_Nativ'!M1091&gt;='Core_Nativ'!P1091,'Core_Nativ'!N1091,IF(AND('Input_Meci'!L96="YES",'Input_Meci'!K96&lt;&gt;"",'Input_Meci'!K96&lt;C96,'Core_Nativ'!T1097="DERIVED",'Core_Nativ'!M1097&gt;='Core_Nativ'!P1091),MIN(1,'Core_Nativ'!M1091/'Core_Nativ'!P1091)*IF('Core_Nativ'!M1091=0,0,'Core_Nativ'!N1091)+(1-MIN(1,'Core_Nativ'!M1091/'Core_Nativ'!P1091))*'Core_Nativ'!N1097,"")),""))</x:f>
      </x:c>
      <x:c r="AQ96" s="11" t="str">
        <x:f>IF(A96="","",IF(AND('Core_Nativ'!R1091="CLOSED",'Core_Nativ'!S1091=0),IF('Core_Nativ'!M1091&gt;='Core_Nativ'!P1091,'Core_Nativ'!O1091,IF(AND('Input_Meci'!L96="YES",'Input_Meci'!K96&lt;&gt;"",'Input_Meci'!K96&lt;C96,'Core_Nativ'!T1097="DERIVED",'Core_Nativ'!M1097&gt;='Core_Nativ'!P1091),MIN(1,'Core_Nativ'!M1091/'Core_Nativ'!P1091)*IF('Core_Nativ'!M1091=0,0,'Core_Nativ'!O1091)+(1-MIN(1,'Core_Nativ'!M1091/'Core_Nativ'!P1091))*'Core_Nativ'!O1097,"")),""))</x:f>
      </x:c>
      <x:c r="AR96" s="11" t="str">
        <x:f>IF(A96="","",SUMPRODUCT(('Istoric_Nativ'!$B$6:$B$405=B96)*('Istoric_Nativ'!$C$6:$C$405=BL96)*('Istoric_Nativ'!$P$6:$P$405=1)*('Istoric_Nativ'!$D$6:$D$405&lt;INT(G96))*((('Istoric_Nativ'!$E$6:$E$405='Input_Meci'!D96)+('Istoric_Nativ'!$F$6:$F$405='Input_Meci'!D96)+('Istoric_Nativ'!$E$6:$E$405='Input_Meci'!E96)+('Istoric_Nativ'!$F$6:$F$405='Input_Meci'!E96))&gt;0)))</x:f>
      </x:c>
      <x:c r="AS96" s="11" t="str">
        <x:f>IF(AR96=0,"",SUMPRODUCT(('Istoric_Nativ'!$B$6:$B$405=B96)*('Istoric_Nativ'!$C$6:$C$405=BL96)*('Istoric_Nativ'!$P$6:$P$405=1)*('Istoric_Nativ'!$D$6:$D$405&lt;INT(G96))*((('Istoric_Nativ'!$E$6:$E$405='Input_Meci'!D96)+('Istoric_Nativ'!$F$6:$F$405='Input_Meci'!D96)+('Istoric_Nativ'!$E$6:$E$405='Input_Meci'!E96)+('Istoric_Nativ'!$F$6:$F$405='Input_Meci'!E96))&gt;0)*'Istoric_Nativ'!$Q$6:$Q$405)/AR96)</x:f>
      </x:c>
      <x:c r="AT96" s="11" t="str">
        <x:f>IF(AR96&lt;2,"",MAX(0,(SUMPRODUCT(('Istoric_Nativ'!$B$6:$B$405=B96)*('Istoric_Nativ'!$C$6:$C$405=BL96)*('Istoric_Nativ'!$P$6:$P$405=1)*('Istoric_Nativ'!$D$6:$D$405&lt;INT(G96))*((('Istoric_Nativ'!$E$6:$E$405='Input_Meci'!D96)+('Istoric_Nativ'!$F$6:$F$405='Input_Meci'!D96)+('Istoric_Nativ'!$E$6:$E$405='Input_Meci'!E96)+('Istoric_Nativ'!$F$6:$F$405='Input_Meci'!E96))&gt;0)*'Istoric_Nativ'!$R$6:$R$405)-AR96*AS96^2)/(AR96-1)))</x:f>
      </x:c>
      <x:c r="AU96" s="11" t="str">
        <x:f>IF(I96&lt;&gt;"PASS","",AT96/AS96)</x:f>
      </x:c>
      <x:c r="AV96" s="11" t="str">
        <x:f>IF(I96&lt;&gt;"PASS","",IF(AU96&lt;='Config_v6'!$B$10,"POISSON","NEGATIVE BINOMIAL"))</x:f>
      </x:c>
      <x:c r="AW96" s="11" t="str">
        <x:f>IF(I96&lt;&gt;"PASS","",IF(AV96="POISSON",9999,AS96/(AU96-1)))</x:f>
      </x:c>
      <x:c r="AX96" s="11" t="str">
        <x:f>IF(A96="","",MAX(1-'Config_v6'!$B$20,MIN(1+'Config_v6'!$B$20,1+0.02*(IF(AND(ISNUMBER('Input_Meci'!N96),'Input_Meci'!N96&gt;=0,'Input_Meci'!N96&lt;=200),'Input_Meci'!N96,12)/12-1)+0.02*(IF(AND(ISNUMBER('Input_Meci'!P96),'Input_Meci'!P96&gt;=0,'Input_Meci'!P96&lt;=200),'Input_Meci'!P96,3.5)/3.5-1)+0.02*(IF(AND(ISNUMBER('Input_Meci'!R96),'Input_Meci'!R96&gt;=0,'Input_Meci'!R96&lt;=200),'Input_Meci'!R96,18)/18-1)+0.02*((IF(AND(ISNUMBER('Input_Meci'!V96),'Input_Meci'!V96&gt;=0,'Input_Meci'!V96&lt;=10),'Input_Meci'!V96,5)-5)/5))))</x:f>
      </x:c>
      <x:c r="AY96" s="11" t="str">
        <x:f>IF(A96="","",MAX(1-'Config_v6'!$B$20,MIN(1+'Config_v6'!$B$20,1+0.02*(IF(AND(ISNUMBER('Input_Meci'!O96),'Input_Meci'!O96&gt;=0,'Input_Meci'!O96&lt;=200),'Input_Meci'!O96,12)/12-1)+0.02*(IF(AND(ISNUMBER('Input_Meci'!Q96),'Input_Meci'!Q96&gt;=0,'Input_Meci'!Q96&lt;=200),'Input_Meci'!Q96,3.5)/3.5-1)+0.02*(IF(AND(ISNUMBER('Input_Meci'!S96),'Input_Meci'!S96&gt;=0,'Input_Meci'!S96&lt;=200),'Input_Meci'!S96,18)/18-1)+0.02*((IF(AND(ISNUMBER('Input_Meci'!W96),'Input_Meci'!W96&gt;=0,'Input_Meci'!W96&lt;=10),'Input_Meci'!W96,5)-5)/5))))</x:f>
      </x:c>
      <x:c r="AZ96" s="11" t="str">
        <x:f>IF(A96="","",MAX(1-'Config_v6'!$B$21,MIN(1+'Config_v6'!$B$21,1+0.012*(IF('Input_Meci'!X96="",5,IF(ISNUMBER('Input_Meci'!X96),'Input_Meci'!X96,5))-5)+0.018*(IF('Input_Meci'!Z96="",5,IF(ISNUMBER('Input_Meci'!Z96),'Input_Meci'!Z96,5))-5)+0.012*(IF('Input_Meci'!AB96="",5,IF(ISNUMBER('Input_Meci'!AB96),'Input_Meci'!AB96,5))-5)+0.015*IF('Input_Meci'!AD96="",0,IF(ISNUMBER('Input_Meci'!AD96),'Input_Meci'!AD96,0))+0.02*IF('Input_Meci'!AF96="",0,IF(ISNUMBER('Input_Meci'!AF96),'Input_Meci'!AF96,0)))))</x:f>
      </x:c>
      <x:c r="BA96" s="11" t="str">
        <x:f>IF(A96="","",MAX(1-'Config_v6'!$B$21,MIN(1+'Config_v6'!$B$21,1+0.012*(IF('Input_Meci'!Y96="",5,IF(ISNUMBER('Input_Meci'!Y96),'Input_Meci'!Y96,5))-5)+0.018*(IF('Input_Meci'!AA96="",5,IF(ISNUMBER('Input_Meci'!AA96),'Input_Meci'!AA96,5))-5)+0.012*(IF('Input_Meci'!AC96="",5,IF(ISNUMBER('Input_Meci'!AC96),'Input_Meci'!AC96,5))-5)+0.015*IF('Input_Meci'!AE96="",0,IF(ISNUMBER('Input_Meci'!AE96),'Input_Meci'!AE96,0))+0.02*IF('Input_Meci'!AG96="",0,IF(ISNUMBER('Input_Meci'!AG96),'Input_Meci'!AG96,0)))))</x:f>
      </x:c>
      <x:c r="BB96" s="11" t="str">
        <x:f>IF(I96&lt;&gt;"PASS","",(AVERAGE(AF96,AM96)*'Config_v6'!$B$4+AVERAGE(AH96,AO96)*'Config_v6'!$B$5+AVERAGE(AJ96,AQ96)*'Config_v6'!$B$6)*AX96*AZ96)</x:f>
      </x:c>
      <x:c r="BC96" s="11" t="str">
        <x:f>IF(I96&lt;&gt;"PASS","",(AVERAGE(AL96,AG96)*'Config_v6'!$B$4+AVERAGE(AN96,AI96)*'Config_v6'!$B$5+AVERAGE(AP96,AK96)*'Config_v6'!$B$6)*AY96*BA96)</x:f>
      </x:c>
      <x:c r="BD96" s="11" t="str">
        <x:f>IF(I96&lt;&gt;"PASS","",BB96+BC96)</x:f>
      </x:c>
      <x:c r="BE96" s="11" t="str">
        <x:f>IF(A96="","",10-SUM(IF(AND(ISNUMBER('Input_Meci'!N96),'Input_Meci'!N96&gt;=0,'Input_Meci'!N96&lt;=200),1,0),IF(AND(ISNUMBER('Input_Meci'!O96),'Input_Meci'!O96&gt;=0,'Input_Meci'!O96&lt;=200),1,0),IF(AND(ISNUMBER('Input_Meci'!P96),'Input_Meci'!P96&gt;=0,'Input_Meci'!P96&lt;=200),1,0),IF(AND(ISNUMBER('Input_Meci'!Q96),'Input_Meci'!Q96&gt;=0,'Input_Meci'!Q96&lt;=200),1,0),IF(AND(ISNUMBER('Input_Meci'!R96),'Input_Meci'!R96&gt;=0,'Input_Meci'!R96&lt;=200),1,0),IF(AND(ISNUMBER('Input_Meci'!S96),'Input_Meci'!S96&gt;=0,'Input_Meci'!S96&lt;=200),1,0),IF(AND(ISNUMBER('Input_Meci'!T96),'Input_Meci'!T96&gt;=0,'Input_Meci'!T96&lt;=100),1,0),IF(AND(ISNUMBER('Input_Meci'!U96),'Input_Meci'!U96&gt;=0,'Input_Meci'!U96&lt;=100),1,0),IF(AND(ISNUMBER('Input_Meci'!V96),'Input_Meci'!V96&gt;=0,'Input_Meci'!V96&lt;=10),1,0),IF(AND(ISNUMBER('Input_Meci'!W96),'Input_Meci'!W96&gt;=0,'Input_Meci'!W96&lt;=10),1,0)))</x:f>
      </x:c>
      <x:c r="BF96" s="11" t="str">
        <x:f>IF(I96&lt;&gt;"PASS","",MAX(0,MIN(IF(OR(M96="YES",BL96&lt;&gt;C96),'Config_v6'!$B$34,100),ROUND(40+25*MIN(1,MIN(N96,Q96)/'Config_v6'!$B$7)*MIN(1,MIN(O96,R96)/'Config_v6'!$B$8)*MIN(1,MIN(P96,S96)/'Config_v6'!$B$9)+MAX(0,15-2*ABS(AF96-AJ96)-2*ABS(AL96-AP96))+IF(AU96&lt;='Config_v6'!$B$10,15,IF(AU96&lt;='Config_v6'!$B$11,13,IF(AU96&lt;='Config_v6'!$B$12,10,IF(AU96&lt;='Config_v6'!$B$13,6,0))))+5-BE96/10*'Config_v6'!$B$38,0))))</x:f>
      </x:c>
      <x:c r="BG96" s="11" t="str">
        <x:f>IF(I96&lt;&gt;"PASS","",MIN(1,'Config_v6'!$B$14*(0.7+0.3*MIN(1,AR96/'Config_v6'!$B$15))*IF(AU96&lt;='Config_v6'!$B$10,1,IF(AU96&lt;='Config_v6'!$B$11,0.95,IF(AU96&lt;='Config_v6'!$B$12,0.88,0.78)))*(0.75+0.25*BF96/100)))</x:f>
      </x:c>
      <x:c r="BH96" s="11" t="str">
        <x:f>IF(I96&lt;&gt;"PASS","",MIN(1,(ABS(AZ96-1)+ABS(BA96-1))*3))</x:f>
      </x:c>
      <x:c r="BI96" s="2" t="str">
        <x:f>IF(A96="","",IF(AND(OR('Input_Meci'!X96="",AND(ISNUMBER('Input_Meci'!X96),'Input_Meci'!X96&gt;=0,'Input_Meci'!X96&lt;=10)),OR('Input_Meci'!Y96="",AND(ISNUMBER('Input_Meci'!Y96),'Input_Meci'!Y96&gt;=0,'Input_Meci'!Y96&lt;=10)),OR('Input_Meci'!Z96="",AND(ISNUMBER('Input_Meci'!Z96),'Input_Meci'!Z96&gt;=0,'Input_Meci'!Z96&lt;=10)),OR('Input_Meci'!AA96="",AND(ISNUMBER('Input_Meci'!AA96),'Input_Meci'!AA96&gt;=0,'Input_Meci'!AA96&lt;=10)),OR('Input_Meci'!AB96="",AND(ISNUMBER('Input_Meci'!AB96),'Input_Meci'!AB96&gt;=0,'Input_Meci'!AB96&lt;=10)),OR('Input_Meci'!AC96="",AND(ISNUMBER('Input_Meci'!AC96),'Input_Meci'!AC96&gt;=0,'Input_Meci'!AC96&lt;=10)),OR('Input_Meci'!AD96="",AND(ISNUMBER('Input_Meci'!AD96),'Input_Meci'!AD96&gt;=-2,'Input_Meci'!AD96&lt;=2)),OR('Input_Meci'!AE96="",AND(ISNUMBER('Input_Meci'!AE96),'Input_Meci'!AE96&gt;=-2,'Input_Meci'!AE96&lt;=2)),OR('Input_Meci'!AF96="",AND(ISNUMBER('Input_Meci'!AF96),'Input_Meci'!AF96&gt;=-2,'Input_Meci'!AF96&lt;=2)),OR('Input_Meci'!AG96="",AND(ISNUMBER('Input_Meci'!AG96),'Input_Meci'!AG96&gt;=-2,'Input_Meci'!AG96&lt;=2))),"VALID","INVALID"))</x:f>
      </x:c>
      <x:c r="BJ96" s="2" t="n">
        <x:f>IF(A96="",0,SUM('Core_Nativ'!S1086:S1091))</x:f>
        <x:v>0</x:v>
      </x:c>
      <x:c r="BK96" s="2" t="str">
        <x:f>'Config_v6'!$B$40</x:f>
        <x:v>VALID</x:v>
      </x:c>
      <x:c r="BL96" s="2" t="str">
        <x:f>IF(A96="","",IF(SUMPRODUCT(('Istoric_Nativ'!$B$6:$B$405=B96)*('Istoric_Nativ'!$C$6:$C$405=C96)*('Istoric_Nativ'!$P$6:$P$405=1)*('Istoric_Nativ'!$D$6:$D$405&lt;INT(G96))*((('Istoric_Nativ'!$E$6:$E$405='Input_Meci'!D96)+('Istoric_Nativ'!$F$6:$F$405='Input_Meci'!D96)+('Istoric_Nativ'!$E$6:$E$405='Input_Meci'!E96)+('Istoric_Nativ'!$F$6:$F$405='Input_Meci'!E96))&gt;0))&gt;='Config_v6'!$B$41,C96,IF(AND('Input_Meci'!L96="YES",'Input_Meci'!K96&lt;&gt;"",'Input_Meci'!K96&lt;C96,COUNTIF('Core_Nativ'!R1092:R1097,"CLOSED")=6,SUM('Core_Nativ'!S1092:S1097)=0),'Input_Meci'!K96,C96)))</x:f>
      </x:c>
      <x:c r="BM96" s="9" t="n">
        <x:f>IF(OR(A96="",N96=0),0,LARGE(_xlfn._xlws.FILTER('Istoric_Nativ'!$D$6:$D$405,('Istoric_Nativ'!$B$6:$B$405=B96)*('Istoric_Nativ'!$C$6:$C$405=C96)*('Istoric_Nativ'!$P$6:$P$405=1)*('Istoric_Nativ'!$D$6:$D$405&lt;INT(G96))*((('Istoric_Nativ'!$E$6:$E$405='Input_Meci'!D96)+('Istoric_Nativ'!$F$6:$F$405='Input_Meci'!D96))&gt;0)),MIN(10,N96)))</x:f>
        <x:v>0</x:v>
      </x:c>
      <x:c r="BN96" s="9" t="n">
        <x:f>IF(OR(A96="",Q96=0),0,LARGE(_xlfn._xlws.FILTER('Istoric_Nativ'!$D$6:$D$405,('Istoric_Nativ'!$B$6:$B$405=B96)*('Istoric_Nativ'!$C$6:$C$405=C96)*('Istoric_Nativ'!$P$6:$P$405=1)*('Istoric_Nativ'!$D$6:$D$405&lt;INT(G96))*((('Istoric_Nativ'!$E$6:$E$405='Input_Meci'!E96)+('Istoric_Nativ'!$F$6:$F$405='Input_Meci'!E96))&gt;0)),MIN(10,Q96)))</x:f>
        <x:v>0</x:v>
      </x:c>
      <x:c r="BO96" s="9" t="n">
        <x:f>IF(OR(A96="",N96=0),0,LARGE(_xlfn._xlws.FILTER('Istoric_Nativ'!$D$6:$D$405,('Istoric_Nativ'!$B$6:$B$405=B96)*('Istoric_Nativ'!$C$6:$C$405=C96)*('Istoric_Nativ'!$P$6:$P$405=1)*('Istoric_Nativ'!$D$6:$D$405&lt;INT(G96))*((('Istoric_Nativ'!$E$6:$E$405='Input_Meci'!D96)+('Istoric_Nativ'!$F$6:$F$405='Input_Meci'!D96))&gt;0)),MIN(20,N96)))</x:f>
        <x:v>0</x:v>
      </x:c>
      <x:c r="BP96" s="9" t="n">
        <x:f>IF(OR(A96="",Q96=0),0,LARGE(_xlfn._xlws.FILTER('Istoric_Nativ'!$D$6:$D$405,('Istoric_Nativ'!$B$6:$B$405=B96)*('Istoric_Nativ'!$C$6:$C$405=C96)*('Istoric_Nativ'!$P$6:$P$405=1)*('Istoric_Nativ'!$D$6:$D$405&lt;INT(G96))*((('Istoric_Nativ'!$E$6:$E$405='Input_Meci'!E96)+('Istoric_Nativ'!$F$6:$F$405='Input_Meci'!E96))&gt;0)),MIN(20,Q96)))</x:f>
        <x:v>0</x:v>
      </x:c>
      <x:c r="BQ96" s="2" t="str">
        <x:f>IF(A96="","",IF(AND(COUNTIF(MatchesTable[Match_ID],A96)=1,COUNTIFS(MatchesTable[League],B96,MatchesTable[Season],C96,MatchesTable[Home],'Input_Meci'!D96,MatchesTable[Away],'Input_Meci'!E96,MatchesTable[Kickoff_UTC],F96)=1,B96&lt;&gt;"",C96&lt;&gt;"",'Input_Meci'!D96&lt;&gt;"",'Input_Meci'!E96&lt;&gt;"",'Input_Meci'!D96&lt;&gt;'Input_Meci'!E96,ISNUMBER(F96),ISNUMBER(G96),G96&lt;F96,OR(E96="LIVE",E96="REPLAY"),OR('Input_Meci'!L96="YES",'Input_Meci'!L96="NO",'Input_Meci'!L96="")),"VALID","INVALID"))</x:f>
      </x:c>
      <x:c r="BR96" s="2" t="n">
        <x:f>IF(I96&lt;&gt;"PASS",0,SUMPRODUCT(('Istoric_Nativ'!$B$6:$B$405='Input_Meci'!B96)*('Istoric_Nativ'!$C$6:$C$405='Input_Meci'!C96)*('Istoric_Nativ'!$P$6:$P$405=1)*('Istoric_Nativ'!$D$6:$D$405&lt;INT('Input_Meci'!G96))*((('Istoric_Nativ'!$E$6:$E$405='Input_Meci'!D96)+('Istoric_Nativ'!$F$6:$F$405='Input_Meci'!E96))&gt;0)))</x:f>
        <x:v>0</x:v>
      </x:c>
      <x:c r="BS96" s="2" t="n">
        <x:f>IF(I96&lt;&gt;"PASS",0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BM96)+((('Istoric_Nativ'!$E$6:$E$405='Input_Meci'!E96)+('Istoric_Nativ'!$F$6:$F$405='Input_Meci'!E96))&gt;0)*('Istoric_Nativ'!$D$6:$D$405&gt;=BN96))&gt;0)))</x:f>
        <x:v>0</x:v>
      </x:c>
      <x:c r="BT96" s="2" t="n">
        <x:f>IF(I96&lt;&gt;"PASS",0,SUMPRODUCT(('Istoric_Nativ'!$B$6:$B$405='Input_Meci'!B96)*('Istoric_Nativ'!$C$6:$C$405='Input_Meci'!C96)*('Istoric_Nativ'!$P$6:$P$405=1)*('Istoric_Nativ'!$D$6:$D$405&lt;INT('Input_Meci'!G96))*((((('Istoric_Nativ'!$E$6:$E$405='Input_Meci'!D96)+('Istoric_Nativ'!$F$6:$F$405='Input_Meci'!D96))&gt;0)*('Istoric_Nativ'!$D$6:$D$405&gt;=BO96)+((('Istoric_Nativ'!$E$6:$E$405='Input_Meci'!E96)+('Istoric_Nativ'!$F$6:$F$405='Input_Meci'!E96))&gt;0)*('Istoric_Nativ'!$D$6:$D$405&gt;=BP96))&gt;0)))</x:f>
        <x:v>0</x:v>
      </x:c>
    </x:row>
    <x:row r="97" ht="21" customHeight="1">
      <x:c r="A97" s="2" t="str">
        <x:f>IF('Input_Meci'!A97="","",'Input_Meci'!A97)</x:f>
      </x:c>
      <x:c r="B97" s="2" t="str">
        <x:f>IF(A97="","",'Input_Meci'!B97)</x:f>
      </x:c>
      <x:c r="C97" s="2" t="str">
        <x:f>IF(A97="","",'Input_Meci'!C97)</x:f>
      </x:c>
      <x:c r="D97" s="2" t="str">
        <x:f>IF(A97="","",'Input_Meci'!D97&amp;" – "&amp;'Input_Meci'!E97)</x:f>
      </x:c>
      <x:c r="E97" s="2" t="str">
        <x:f>IF(A97="","",'Input_Meci'!H97)</x:f>
      </x:c>
      <x:c r="F97" s="9" t="str">
        <x:f>IF(A97="","",'Input_Meci'!F97)</x:f>
      </x:c>
      <x:c r="G97" s="9" t="str">
        <x:f>IF(A97="","",'Input_Meci'!G97)</x:f>
      </x:c>
      <x:c r="H97" s="2" t="str">
        <x:f>IF(A97="","",IF(BQ97&lt;&gt;"VALID","NOT RELEASED",IF(AND(OR('Input_Meci'!I97="NOT AVAILABLE",'Input_Meci'!I97="SOURCE CONFLICT"),'Input_Meci'!J97&lt;&gt;""),"READY",IF(OR(NOT(OR('Input_Meci'!I97="AUTO",'Input_Meci'!I97="")),COUNTIF('Core_Nativ'!R1098:R1103,"CLOSED")&lt;&gt;6,BJ97&gt;0),"NOT RELEASED","READY"))))</x:f>
      </x:c>
      <x:c r="I97" s="2" t="str">
        <x:f>IF(A97="","",IF(H97&lt;&gt;"READY","NOT RELEASED",IF(AND(NOT(OR('Input_Meci'!I97="NOT AVAILABLE",'Input_Meci'!I97="SOURCE CONFLICT")),L97=12,AR97&gt;=2,AS97&gt;0,ISNUMBER(AT97),BI97="VALID",BK97="VALID"),"PASS","FAIL")))</x:f>
      </x:c>
      <x:c r="J97" s="2" t="str">
        <x:f>IF(A97="","",IF(BQ97&lt;&gt;"VALID","Verifica ID, echipe, mod si cutoff &lt; kickoff",IF(H97&lt;&gt;"READY",IF('Input_Meci'!I97="ACCESS BLOCKED","Acces blocat: reia sursele",IF(BJ97&gt;0,"Istoric invalid sau conflict: verifica randurile native","Surse neinchise / post-cutoff / dovezi incomplete")),IF(OR('Input_Meci'!I97="NOT AVAILABLE",'Input_Meci'!I97="SOURCE CONFLICT"),'Input_Meci'!I97,IF(BK97&lt;&gt;"VALID","Parametri invalizi",IF(L97&lt;&gt;12,"Core / sample / prior insuficient",IF(AR97&lt;2,"N insuficient pentru dispersie",IF(AS97&lt;=0,"Media istorica trebuie sa fie pozitiva",IF(BI97&lt;&gt;"VALID","Context invalid","READY")))))))))</x:f>
      </x:c>
      <x:c r="K97" s="2" t="str">
        <x:f>IF(A97="","",COUNT(T97:AE97))</x:f>
      </x:c>
      <x:c r="L97" s="2" t="str">
        <x:f>IF(A97="","",COUNT(AF97:AQ97))</x:f>
      </x:c>
      <x:c r="M97" s="2" t="str">
        <x:f>IF(A97="","",IF(OR('Core_Nativ'!M1098&lt;'Core_Nativ'!P1098,'Core_Nativ'!M1099&lt;'Core_Nativ'!P1099,'Core_Nativ'!M1100&lt;'Core_Nativ'!P1100,'Core_Nativ'!M1101&lt;'Core_Nativ'!P1101,'Core_Nativ'!M1102&lt;'Core_Nativ'!P1102,'Core_Nativ'!M1103&lt;'Core_Nativ'!P1103),"YES","NO"))</x:f>
      </x:c>
      <x:c r="N97" s="2" t="str">
        <x:f>IF(A97="","",'Core_Nativ'!M1098)</x:f>
      </x:c>
      <x:c r="O97" s="2" t="str">
        <x:f>IF(A97="","",'Core_Nativ'!M1099)</x:f>
      </x:c>
      <x:c r="P97" s="2" t="str">
        <x:f>IF(A97="","",'Core_Nativ'!M1100)</x:f>
      </x:c>
      <x:c r="Q97" s="2" t="str">
        <x:f>IF(A97="","",'Core_Nativ'!M1101)</x:f>
      </x:c>
      <x:c r="R97" s="2" t="str">
        <x:f>IF(A97="","",'Core_Nativ'!M1102)</x:f>
      </x:c>
      <x:c r="S97" s="2" t="str">
        <x:f>IF(A97="","",'Core_Nativ'!M1103)</x:f>
      </x:c>
      <x:c r="T97" s="11" t="str">
        <x:f>IF(OR(A97="",'Core_Nativ'!M1098=0),"",'Core_Nativ'!N1098)</x:f>
      </x:c>
      <x:c r="U97" s="11" t="str">
        <x:f>IF(OR(A97="",'Core_Nativ'!M1098=0),"",'Core_Nativ'!O1098)</x:f>
      </x:c>
      <x:c r="V97" s="11" t="str">
        <x:f>IF(OR(A97="",'Core_Nativ'!M1099=0),"",'Core_Nativ'!N1099)</x:f>
      </x:c>
      <x:c r="W97" s="11" t="str">
        <x:f>IF(OR(A97="",'Core_Nativ'!M1099=0),"",'Core_Nativ'!O1099)</x:f>
      </x:c>
      <x:c r="X97" s="11" t="str">
        <x:f>IF(OR(A97="",'Core_Nativ'!M1100=0),"",'Core_Nativ'!N1100)</x:f>
      </x:c>
      <x:c r="Y97" s="11" t="str">
        <x:f>IF(OR(A97="",'Core_Nativ'!M1100=0),"",'Core_Nativ'!O1100)</x:f>
      </x:c>
      <x:c r="Z97" s="11" t="str">
        <x:f>IF(OR(A97="",'Core_Nativ'!M1101=0),"",'Core_Nativ'!N1101)</x:f>
      </x:c>
      <x:c r="AA97" s="11" t="str">
        <x:f>IF(OR(A97="",'Core_Nativ'!M1101=0),"",'Core_Nativ'!O1101)</x:f>
      </x:c>
      <x:c r="AB97" s="11" t="str">
        <x:f>IF(OR(A97="",'Core_Nativ'!M1102=0),"",'Core_Nativ'!N1102)</x:f>
      </x:c>
      <x:c r="AC97" s="11" t="str">
        <x:f>IF(OR(A97="",'Core_Nativ'!M1102=0),"",'Core_Nativ'!O1102)</x:f>
      </x:c>
      <x:c r="AD97" s="11" t="str">
        <x:f>IF(OR(A97="",'Core_Nativ'!M1103=0),"",'Core_Nativ'!N1103)</x:f>
      </x:c>
      <x:c r="AE97" s="11" t="str">
        <x:f>IF(OR(A97="",'Core_Nativ'!M1103=0),"",'Core_Nativ'!O1103)</x:f>
      </x:c>
      <x:c r="AF97" s="11" t="str">
        <x:f>IF(A97="","",IF(AND('Core_Nativ'!R1098="CLOSED",'Core_Nativ'!S1098=0),IF('Core_Nativ'!M1098&gt;='Core_Nativ'!P1098,'Core_Nativ'!N1098,IF(AND('Input_Meci'!L97="YES",'Input_Meci'!K97&lt;&gt;"",'Input_Meci'!K97&lt;C97,'Core_Nativ'!T1104="DERIVED",'Core_Nativ'!M1104&gt;='Core_Nativ'!P1098),MIN(1,'Core_Nativ'!M1098/'Core_Nativ'!P1098)*IF('Core_Nativ'!M1098=0,0,'Core_Nativ'!N1098)+(1-MIN(1,'Core_Nativ'!M1098/'Core_Nativ'!P1098))*'Core_Nativ'!N1104,"")),""))</x:f>
      </x:c>
      <x:c r="AG97" s="11" t="str">
        <x:f>IF(A97="","",IF(AND('Core_Nativ'!R1098="CLOSED",'Core_Nativ'!S1098=0),IF('Core_Nativ'!M1098&gt;='Core_Nativ'!P1098,'Core_Nativ'!O1098,IF(AND('Input_Meci'!L97="YES",'Input_Meci'!K97&lt;&gt;"",'Input_Meci'!K97&lt;C97,'Core_Nativ'!T1104="DERIVED",'Core_Nativ'!M1104&gt;='Core_Nativ'!P1098),MIN(1,'Core_Nativ'!M1098/'Core_Nativ'!P1098)*IF('Core_Nativ'!M1098=0,0,'Core_Nativ'!O1098)+(1-MIN(1,'Core_Nativ'!M1098/'Core_Nativ'!P1098))*'Core_Nativ'!O1104,"")),""))</x:f>
      </x:c>
      <x:c r="AH97" s="11" t="str">
        <x:f>IF(A97="","",IF(AND('Core_Nativ'!R1099="CLOSED",'Core_Nativ'!S1099=0),IF('Core_Nativ'!M1099&gt;='Core_Nativ'!P1099,'Core_Nativ'!N1099,IF(AND('Input_Meci'!L97="YES",'Input_Meci'!K97&lt;&gt;"",'Input_Meci'!K97&lt;C97,'Core_Nativ'!T1105="DERIVED",'Core_Nativ'!M1105&gt;='Core_Nativ'!P1099),MIN(1,'Core_Nativ'!M1099/'Core_Nativ'!P1099)*IF('Core_Nativ'!M1099=0,0,'Core_Nativ'!N1099)+(1-MIN(1,'Core_Nativ'!M1099/'Core_Nativ'!P1099))*'Core_Nativ'!N1105,"")),""))</x:f>
      </x:c>
      <x:c r="AI97" s="11" t="str">
        <x:f>IF(A97="","",IF(AND('Core_Nativ'!R1099="CLOSED",'Core_Nativ'!S1099=0),IF('Core_Nativ'!M1099&gt;='Core_Nativ'!P1099,'Core_Nativ'!O1099,IF(AND('Input_Meci'!L97="YES",'Input_Meci'!K97&lt;&gt;"",'Input_Meci'!K97&lt;C97,'Core_Nativ'!T1105="DERIVED",'Core_Nativ'!M1105&gt;='Core_Nativ'!P1099),MIN(1,'Core_Nativ'!M1099/'Core_Nativ'!P1099)*IF('Core_Nativ'!M1099=0,0,'Core_Nativ'!O1099)+(1-MIN(1,'Core_Nativ'!M1099/'Core_Nativ'!P1099))*'Core_Nativ'!O1105,"")),""))</x:f>
      </x:c>
      <x:c r="AJ97" s="11" t="str">
        <x:f>IF(A97="","",IF(AND('Core_Nativ'!R1100="CLOSED",'Core_Nativ'!S1100=0),IF('Core_Nativ'!M1100&gt;='Core_Nativ'!P1100,'Core_Nativ'!N1100,IF(AND('Input_Meci'!L97="YES",'Input_Meci'!K97&lt;&gt;"",'Input_Meci'!K97&lt;C97,'Core_Nativ'!T1106="DERIVED",'Core_Nativ'!M1106&gt;='Core_Nativ'!P1100),MIN(1,'Core_Nativ'!M1100/'Core_Nativ'!P1100)*IF('Core_Nativ'!M1100=0,0,'Core_Nativ'!N1100)+(1-MIN(1,'Core_Nativ'!M1100/'Core_Nativ'!P1100))*'Core_Nativ'!N1106,"")),""))</x:f>
      </x:c>
      <x:c r="AK97" s="11" t="str">
        <x:f>IF(A97="","",IF(AND('Core_Nativ'!R1100="CLOSED",'Core_Nativ'!S1100=0),IF('Core_Nativ'!M1100&gt;='Core_Nativ'!P1100,'Core_Nativ'!O1100,IF(AND('Input_Meci'!L97="YES",'Input_Meci'!K97&lt;&gt;"",'Input_Meci'!K97&lt;C97,'Core_Nativ'!T1106="DERIVED",'Core_Nativ'!M1106&gt;='Core_Nativ'!P1100),MIN(1,'Core_Nativ'!M1100/'Core_Nativ'!P1100)*IF('Core_Nativ'!M1100=0,0,'Core_Nativ'!O1100)+(1-MIN(1,'Core_Nativ'!M1100/'Core_Nativ'!P1100))*'Core_Nativ'!O1106,"")),""))</x:f>
      </x:c>
      <x:c r="AL97" s="11" t="str">
        <x:f>IF(A97="","",IF(AND('Core_Nativ'!R1101="CLOSED",'Core_Nativ'!S1101=0),IF('Core_Nativ'!M1101&gt;='Core_Nativ'!P1101,'Core_Nativ'!N1101,IF(AND('Input_Meci'!L97="YES",'Input_Meci'!K97&lt;&gt;"",'Input_Meci'!K97&lt;C97,'Core_Nativ'!T1107="DERIVED",'Core_Nativ'!M1107&gt;='Core_Nativ'!P1101),MIN(1,'Core_Nativ'!M1101/'Core_Nativ'!P1101)*IF('Core_Nativ'!M1101=0,0,'Core_Nativ'!N1101)+(1-MIN(1,'Core_Nativ'!M1101/'Core_Nativ'!P1101))*'Core_Nativ'!N1107,"")),""))</x:f>
      </x:c>
      <x:c r="AM97" s="11" t="str">
        <x:f>IF(A97="","",IF(AND('Core_Nativ'!R1101="CLOSED",'Core_Nativ'!S1101=0),IF('Core_Nativ'!M1101&gt;='Core_Nativ'!P1101,'Core_Nativ'!O1101,IF(AND('Input_Meci'!L97="YES",'Input_Meci'!K97&lt;&gt;"",'Input_Meci'!K97&lt;C97,'Core_Nativ'!T1107="DERIVED",'Core_Nativ'!M1107&gt;='Core_Nativ'!P1101),MIN(1,'Core_Nativ'!M1101/'Core_Nativ'!P1101)*IF('Core_Nativ'!M1101=0,0,'Core_Nativ'!O1101)+(1-MIN(1,'Core_Nativ'!M1101/'Core_Nativ'!P1101))*'Core_Nativ'!O1107,"")),""))</x:f>
      </x:c>
      <x:c r="AN97" s="11" t="str">
        <x:f>IF(A97="","",IF(AND('Core_Nativ'!R1102="CLOSED",'Core_Nativ'!S1102=0),IF('Core_Nativ'!M1102&gt;='Core_Nativ'!P1102,'Core_Nativ'!N1102,IF(AND('Input_Meci'!L97="YES",'Input_Meci'!K97&lt;&gt;"",'Input_Meci'!K97&lt;C97,'Core_Nativ'!T1108="DERIVED",'Core_Nativ'!M1108&gt;='Core_Nativ'!P1102),MIN(1,'Core_Nativ'!M1102/'Core_Nativ'!P1102)*IF('Core_Nativ'!M1102=0,0,'Core_Nativ'!N1102)+(1-MIN(1,'Core_Nativ'!M1102/'Core_Nativ'!P1102))*'Core_Nativ'!N1108,"")),""))</x:f>
      </x:c>
      <x:c r="AO97" s="11" t="str">
        <x:f>IF(A97="","",IF(AND('Core_Nativ'!R1102="CLOSED",'Core_Nativ'!S1102=0),IF('Core_Nativ'!M1102&gt;='Core_Nativ'!P1102,'Core_Nativ'!O1102,IF(AND('Input_Meci'!L97="YES",'Input_Meci'!K97&lt;&gt;"",'Input_Meci'!K97&lt;C97,'Core_Nativ'!T1108="DERIVED",'Core_Nativ'!M1108&gt;='Core_Nativ'!P1102),MIN(1,'Core_Nativ'!M1102/'Core_Nativ'!P1102)*IF('Core_Nativ'!M1102=0,0,'Core_Nativ'!O1102)+(1-MIN(1,'Core_Nativ'!M1102/'Core_Nativ'!P1102))*'Core_Nativ'!O1108,"")),""))</x:f>
      </x:c>
      <x:c r="AP97" s="11" t="str">
        <x:f>IF(A97="","",IF(AND('Core_Nativ'!R1103="CLOSED",'Core_Nativ'!S1103=0),IF('Core_Nativ'!M1103&gt;='Core_Nativ'!P1103,'Core_Nativ'!N1103,IF(AND('Input_Meci'!L97="YES",'Input_Meci'!K97&lt;&gt;"",'Input_Meci'!K97&lt;C97,'Core_Nativ'!T1109="DERIVED",'Core_Nativ'!M1109&gt;='Core_Nativ'!P1103),MIN(1,'Core_Nativ'!M1103/'Core_Nativ'!P1103)*IF('Core_Nativ'!M1103=0,0,'Core_Nativ'!N1103)+(1-MIN(1,'Core_Nativ'!M1103/'Core_Nativ'!P1103))*'Core_Nativ'!N1109,"")),""))</x:f>
      </x:c>
      <x:c r="AQ97" s="11" t="str">
        <x:f>IF(A97="","",IF(AND('Core_Nativ'!R1103="CLOSED",'Core_Nativ'!S1103=0),IF('Core_Nativ'!M1103&gt;='Core_Nativ'!P1103,'Core_Nativ'!O1103,IF(AND('Input_Meci'!L97="YES",'Input_Meci'!K97&lt;&gt;"",'Input_Meci'!K97&lt;C97,'Core_Nativ'!T1109="DERIVED",'Core_Nativ'!M1109&gt;='Core_Nativ'!P1103),MIN(1,'Core_Nativ'!M1103/'Core_Nativ'!P1103)*IF('Core_Nativ'!M1103=0,0,'Core_Nativ'!O1103)+(1-MIN(1,'Core_Nativ'!M1103/'Core_Nativ'!P1103))*'Core_Nativ'!O1109,"")),""))</x:f>
      </x:c>
      <x:c r="AR97" s="11" t="str">
        <x:f>IF(A97="","",SUMPRODUCT(('Istoric_Nativ'!$B$6:$B$405=B97)*('Istoric_Nativ'!$C$6:$C$405=BL97)*('Istoric_Nativ'!$P$6:$P$405=1)*('Istoric_Nativ'!$D$6:$D$405&lt;INT(G97))*((('Istoric_Nativ'!$E$6:$E$405='Input_Meci'!D97)+('Istoric_Nativ'!$F$6:$F$405='Input_Meci'!D97)+('Istoric_Nativ'!$E$6:$E$405='Input_Meci'!E97)+('Istoric_Nativ'!$F$6:$F$405='Input_Meci'!E97))&gt;0)))</x:f>
      </x:c>
      <x:c r="AS97" s="11" t="str">
        <x:f>IF(AR97=0,"",SUMPRODUCT(('Istoric_Nativ'!$B$6:$B$405=B97)*('Istoric_Nativ'!$C$6:$C$405=BL97)*('Istoric_Nativ'!$P$6:$P$405=1)*('Istoric_Nativ'!$D$6:$D$405&lt;INT(G97))*((('Istoric_Nativ'!$E$6:$E$405='Input_Meci'!D97)+('Istoric_Nativ'!$F$6:$F$405='Input_Meci'!D97)+('Istoric_Nativ'!$E$6:$E$405='Input_Meci'!E97)+('Istoric_Nativ'!$F$6:$F$405='Input_Meci'!E97))&gt;0)*'Istoric_Nativ'!$Q$6:$Q$405)/AR97)</x:f>
      </x:c>
      <x:c r="AT97" s="11" t="str">
        <x:f>IF(AR97&lt;2,"",MAX(0,(SUMPRODUCT(('Istoric_Nativ'!$B$6:$B$405=B97)*('Istoric_Nativ'!$C$6:$C$405=BL97)*('Istoric_Nativ'!$P$6:$P$405=1)*('Istoric_Nativ'!$D$6:$D$405&lt;INT(G97))*((('Istoric_Nativ'!$E$6:$E$405='Input_Meci'!D97)+('Istoric_Nativ'!$F$6:$F$405='Input_Meci'!D97)+('Istoric_Nativ'!$E$6:$E$405='Input_Meci'!E97)+('Istoric_Nativ'!$F$6:$F$405='Input_Meci'!E97))&gt;0)*'Istoric_Nativ'!$R$6:$R$405)-AR97*AS97^2)/(AR97-1)))</x:f>
      </x:c>
      <x:c r="AU97" s="11" t="str">
        <x:f>IF(I97&lt;&gt;"PASS","",AT97/AS97)</x:f>
      </x:c>
      <x:c r="AV97" s="11" t="str">
        <x:f>IF(I97&lt;&gt;"PASS","",IF(AU97&lt;='Config_v6'!$B$10,"POISSON","NEGATIVE BINOMIAL"))</x:f>
      </x:c>
      <x:c r="AW97" s="11" t="str">
        <x:f>IF(I97&lt;&gt;"PASS","",IF(AV97="POISSON",9999,AS97/(AU97-1)))</x:f>
      </x:c>
      <x:c r="AX97" s="11" t="str">
        <x:f>IF(A97="","",MAX(1-'Config_v6'!$B$20,MIN(1+'Config_v6'!$B$20,1+0.02*(IF(AND(ISNUMBER('Input_Meci'!N97),'Input_Meci'!N97&gt;=0,'Input_Meci'!N97&lt;=200),'Input_Meci'!N97,12)/12-1)+0.02*(IF(AND(ISNUMBER('Input_Meci'!P97),'Input_Meci'!P97&gt;=0,'Input_Meci'!P97&lt;=200),'Input_Meci'!P97,3.5)/3.5-1)+0.02*(IF(AND(ISNUMBER('Input_Meci'!R97),'Input_Meci'!R97&gt;=0,'Input_Meci'!R97&lt;=200),'Input_Meci'!R97,18)/18-1)+0.02*((IF(AND(ISNUMBER('Input_Meci'!V97),'Input_Meci'!V97&gt;=0,'Input_Meci'!V97&lt;=10),'Input_Meci'!V97,5)-5)/5))))</x:f>
      </x:c>
      <x:c r="AY97" s="11" t="str">
        <x:f>IF(A97="","",MAX(1-'Config_v6'!$B$20,MIN(1+'Config_v6'!$B$20,1+0.02*(IF(AND(ISNUMBER('Input_Meci'!O97),'Input_Meci'!O97&gt;=0,'Input_Meci'!O97&lt;=200),'Input_Meci'!O97,12)/12-1)+0.02*(IF(AND(ISNUMBER('Input_Meci'!Q97),'Input_Meci'!Q97&gt;=0,'Input_Meci'!Q97&lt;=200),'Input_Meci'!Q97,3.5)/3.5-1)+0.02*(IF(AND(ISNUMBER('Input_Meci'!S97),'Input_Meci'!S97&gt;=0,'Input_Meci'!S97&lt;=200),'Input_Meci'!S97,18)/18-1)+0.02*((IF(AND(ISNUMBER('Input_Meci'!W97),'Input_Meci'!W97&gt;=0,'Input_Meci'!W97&lt;=10),'Input_Meci'!W97,5)-5)/5))))</x:f>
      </x:c>
      <x:c r="AZ97" s="11" t="str">
        <x:f>IF(A97="","",MAX(1-'Config_v6'!$B$21,MIN(1+'Config_v6'!$B$21,1+0.012*(IF('Input_Meci'!X97="",5,IF(ISNUMBER('Input_Meci'!X97),'Input_Meci'!X97,5))-5)+0.018*(IF('Input_Meci'!Z97="",5,IF(ISNUMBER('Input_Meci'!Z97),'Input_Meci'!Z97,5))-5)+0.012*(IF('Input_Meci'!AB97="",5,IF(ISNUMBER('Input_Meci'!AB97),'Input_Meci'!AB97,5))-5)+0.015*IF('Input_Meci'!AD97="",0,IF(ISNUMBER('Input_Meci'!AD97),'Input_Meci'!AD97,0))+0.02*IF('Input_Meci'!AF97="",0,IF(ISNUMBER('Input_Meci'!AF97),'Input_Meci'!AF97,0)))))</x:f>
      </x:c>
      <x:c r="BA97" s="11" t="str">
        <x:f>IF(A97="","",MAX(1-'Config_v6'!$B$21,MIN(1+'Config_v6'!$B$21,1+0.012*(IF('Input_Meci'!Y97="",5,IF(ISNUMBER('Input_Meci'!Y97),'Input_Meci'!Y97,5))-5)+0.018*(IF('Input_Meci'!AA97="",5,IF(ISNUMBER('Input_Meci'!AA97),'Input_Meci'!AA97,5))-5)+0.012*(IF('Input_Meci'!AC97="",5,IF(ISNUMBER('Input_Meci'!AC97),'Input_Meci'!AC97,5))-5)+0.015*IF('Input_Meci'!AE97="",0,IF(ISNUMBER('Input_Meci'!AE97),'Input_Meci'!AE97,0))+0.02*IF('Input_Meci'!AG97="",0,IF(ISNUMBER('Input_Meci'!AG97),'Input_Meci'!AG97,0)))))</x:f>
      </x:c>
      <x:c r="BB97" s="11" t="str">
        <x:f>IF(I97&lt;&gt;"PASS","",(AVERAGE(AF97,AM97)*'Config_v6'!$B$4+AVERAGE(AH97,AO97)*'Config_v6'!$B$5+AVERAGE(AJ97,AQ97)*'Config_v6'!$B$6)*AX97*AZ97)</x:f>
      </x:c>
      <x:c r="BC97" s="11" t="str">
        <x:f>IF(I97&lt;&gt;"PASS","",(AVERAGE(AL97,AG97)*'Config_v6'!$B$4+AVERAGE(AN97,AI97)*'Config_v6'!$B$5+AVERAGE(AP97,AK97)*'Config_v6'!$B$6)*AY97*BA97)</x:f>
      </x:c>
      <x:c r="BD97" s="11" t="str">
        <x:f>IF(I97&lt;&gt;"PASS","",BB97+BC97)</x:f>
      </x:c>
      <x:c r="BE97" s="11" t="str">
        <x:f>IF(A97="","",10-SUM(IF(AND(ISNUMBER('Input_Meci'!N97),'Input_Meci'!N97&gt;=0,'Input_Meci'!N97&lt;=200),1,0),IF(AND(ISNUMBER('Input_Meci'!O97),'Input_Meci'!O97&gt;=0,'Input_Meci'!O97&lt;=200),1,0),IF(AND(ISNUMBER('Input_Meci'!P97),'Input_Meci'!P97&gt;=0,'Input_Meci'!P97&lt;=200),1,0),IF(AND(ISNUMBER('Input_Meci'!Q97),'Input_Meci'!Q97&gt;=0,'Input_Meci'!Q97&lt;=200),1,0),IF(AND(ISNUMBER('Input_Meci'!R97),'Input_Meci'!R97&gt;=0,'Input_Meci'!R97&lt;=200),1,0),IF(AND(ISNUMBER('Input_Meci'!S97),'Input_Meci'!S97&gt;=0,'Input_Meci'!S97&lt;=200),1,0),IF(AND(ISNUMBER('Input_Meci'!T97),'Input_Meci'!T97&gt;=0,'Input_Meci'!T97&lt;=100),1,0),IF(AND(ISNUMBER('Input_Meci'!U97),'Input_Meci'!U97&gt;=0,'Input_Meci'!U97&lt;=100),1,0),IF(AND(ISNUMBER('Input_Meci'!V97),'Input_Meci'!V97&gt;=0,'Input_Meci'!V97&lt;=10),1,0),IF(AND(ISNUMBER('Input_Meci'!W97),'Input_Meci'!W97&gt;=0,'Input_Meci'!W97&lt;=10),1,0)))</x:f>
      </x:c>
      <x:c r="BF97" s="11" t="str">
        <x:f>IF(I97&lt;&gt;"PASS","",MAX(0,MIN(IF(OR(M97="YES",BL97&lt;&gt;C97),'Config_v6'!$B$34,100),ROUND(40+25*MIN(1,MIN(N97,Q97)/'Config_v6'!$B$7)*MIN(1,MIN(O97,R97)/'Config_v6'!$B$8)*MIN(1,MIN(P97,S97)/'Config_v6'!$B$9)+MAX(0,15-2*ABS(AF97-AJ97)-2*ABS(AL97-AP97))+IF(AU97&lt;='Config_v6'!$B$10,15,IF(AU97&lt;='Config_v6'!$B$11,13,IF(AU97&lt;='Config_v6'!$B$12,10,IF(AU97&lt;='Config_v6'!$B$13,6,0))))+5-BE97/10*'Config_v6'!$B$38,0))))</x:f>
      </x:c>
      <x:c r="BG97" s="11" t="str">
        <x:f>IF(I97&lt;&gt;"PASS","",MIN(1,'Config_v6'!$B$14*(0.7+0.3*MIN(1,AR97/'Config_v6'!$B$15))*IF(AU97&lt;='Config_v6'!$B$10,1,IF(AU97&lt;='Config_v6'!$B$11,0.95,IF(AU97&lt;='Config_v6'!$B$12,0.88,0.78)))*(0.75+0.25*BF97/100)))</x:f>
      </x:c>
      <x:c r="BH97" s="11" t="str">
        <x:f>IF(I97&lt;&gt;"PASS","",MIN(1,(ABS(AZ97-1)+ABS(BA97-1))*3))</x:f>
      </x:c>
      <x:c r="BI97" s="2" t="str">
        <x:f>IF(A97="","",IF(AND(OR('Input_Meci'!X97="",AND(ISNUMBER('Input_Meci'!X97),'Input_Meci'!X97&gt;=0,'Input_Meci'!X97&lt;=10)),OR('Input_Meci'!Y97="",AND(ISNUMBER('Input_Meci'!Y97),'Input_Meci'!Y97&gt;=0,'Input_Meci'!Y97&lt;=10)),OR('Input_Meci'!Z97="",AND(ISNUMBER('Input_Meci'!Z97),'Input_Meci'!Z97&gt;=0,'Input_Meci'!Z97&lt;=10)),OR('Input_Meci'!AA97="",AND(ISNUMBER('Input_Meci'!AA97),'Input_Meci'!AA97&gt;=0,'Input_Meci'!AA97&lt;=10)),OR('Input_Meci'!AB97="",AND(ISNUMBER('Input_Meci'!AB97),'Input_Meci'!AB97&gt;=0,'Input_Meci'!AB97&lt;=10)),OR('Input_Meci'!AC97="",AND(ISNUMBER('Input_Meci'!AC97),'Input_Meci'!AC97&gt;=0,'Input_Meci'!AC97&lt;=10)),OR('Input_Meci'!AD97="",AND(ISNUMBER('Input_Meci'!AD97),'Input_Meci'!AD97&gt;=-2,'Input_Meci'!AD97&lt;=2)),OR('Input_Meci'!AE97="",AND(ISNUMBER('Input_Meci'!AE97),'Input_Meci'!AE97&gt;=-2,'Input_Meci'!AE97&lt;=2)),OR('Input_Meci'!AF97="",AND(ISNUMBER('Input_Meci'!AF97),'Input_Meci'!AF97&gt;=-2,'Input_Meci'!AF97&lt;=2)),OR('Input_Meci'!AG97="",AND(ISNUMBER('Input_Meci'!AG97),'Input_Meci'!AG97&gt;=-2,'Input_Meci'!AG97&lt;=2))),"VALID","INVALID"))</x:f>
      </x:c>
      <x:c r="BJ97" s="2" t="n">
        <x:f>IF(A97="",0,SUM('Core_Nativ'!S1098:S1103))</x:f>
        <x:v>0</x:v>
      </x:c>
      <x:c r="BK97" s="2" t="str">
        <x:f>'Config_v6'!$B$40</x:f>
        <x:v>VALID</x:v>
      </x:c>
      <x:c r="BL97" s="2" t="str">
        <x:f>IF(A97="","",IF(SUMPRODUCT(('Istoric_Nativ'!$B$6:$B$405=B97)*('Istoric_Nativ'!$C$6:$C$405=C97)*('Istoric_Nativ'!$P$6:$P$405=1)*('Istoric_Nativ'!$D$6:$D$405&lt;INT(G97))*((('Istoric_Nativ'!$E$6:$E$405='Input_Meci'!D97)+('Istoric_Nativ'!$F$6:$F$405='Input_Meci'!D97)+('Istoric_Nativ'!$E$6:$E$405='Input_Meci'!E97)+('Istoric_Nativ'!$F$6:$F$405='Input_Meci'!E97))&gt;0))&gt;='Config_v6'!$B$41,C97,IF(AND('Input_Meci'!L97="YES",'Input_Meci'!K97&lt;&gt;"",'Input_Meci'!K97&lt;C97,COUNTIF('Core_Nativ'!R1104:R1109,"CLOSED")=6,SUM('Core_Nativ'!S1104:S1109)=0),'Input_Meci'!K97,C97)))</x:f>
      </x:c>
      <x:c r="BM97" s="9" t="n">
        <x:f>IF(OR(A97="",N97=0),0,LARGE(_xlfn._xlws.FILTER('Istoric_Nativ'!$D$6:$D$405,('Istoric_Nativ'!$B$6:$B$405=B97)*('Istoric_Nativ'!$C$6:$C$405=C97)*('Istoric_Nativ'!$P$6:$P$405=1)*('Istoric_Nativ'!$D$6:$D$405&lt;INT(G97))*((('Istoric_Nativ'!$E$6:$E$405='Input_Meci'!D97)+('Istoric_Nativ'!$F$6:$F$405='Input_Meci'!D97))&gt;0)),MIN(10,N97)))</x:f>
        <x:v>0</x:v>
      </x:c>
      <x:c r="BN97" s="9" t="n">
        <x:f>IF(OR(A97="",Q97=0),0,LARGE(_xlfn._xlws.FILTER('Istoric_Nativ'!$D$6:$D$405,('Istoric_Nativ'!$B$6:$B$405=B97)*('Istoric_Nativ'!$C$6:$C$405=C97)*('Istoric_Nativ'!$P$6:$P$405=1)*('Istoric_Nativ'!$D$6:$D$405&lt;INT(G97))*((('Istoric_Nativ'!$E$6:$E$405='Input_Meci'!E97)+('Istoric_Nativ'!$F$6:$F$405='Input_Meci'!E97))&gt;0)),MIN(10,Q97)))</x:f>
        <x:v>0</x:v>
      </x:c>
      <x:c r="BO97" s="9" t="n">
        <x:f>IF(OR(A97="",N97=0),0,LARGE(_xlfn._xlws.FILTER('Istoric_Nativ'!$D$6:$D$405,('Istoric_Nativ'!$B$6:$B$405=B97)*('Istoric_Nativ'!$C$6:$C$405=C97)*('Istoric_Nativ'!$P$6:$P$405=1)*('Istoric_Nativ'!$D$6:$D$405&lt;INT(G97))*((('Istoric_Nativ'!$E$6:$E$405='Input_Meci'!D97)+('Istoric_Nativ'!$F$6:$F$405='Input_Meci'!D97))&gt;0)),MIN(20,N97)))</x:f>
        <x:v>0</x:v>
      </x:c>
      <x:c r="BP97" s="9" t="n">
        <x:f>IF(OR(A97="",Q97=0),0,LARGE(_xlfn._xlws.FILTER('Istoric_Nativ'!$D$6:$D$405,('Istoric_Nativ'!$B$6:$B$405=B97)*('Istoric_Nativ'!$C$6:$C$405=C97)*('Istoric_Nativ'!$P$6:$P$405=1)*('Istoric_Nativ'!$D$6:$D$405&lt;INT(G97))*((('Istoric_Nativ'!$E$6:$E$405='Input_Meci'!E97)+('Istoric_Nativ'!$F$6:$F$405='Input_Meci'!E97))&gt;0)),MIN(20,Q97)))</x:f>
        <x:v>0</x:v>
      </x:c>
      <x:c r="BQ97" s="2" t="str">
        <x:f>IF(A97="","",IF(AND(COUNTIF(MatchesTable[Match_ID],A97)=1,COUNTIFS(MatchesTable[League],B97,MatchesTable[Season],C97,MatchesTable[Home],'Input_Meci'!D97,MatchesTable[Away],'Input_Meci'!E97,MatchesTable[Kickoff_UTC],F97)=1,B97&lt;&gt;"",C97&lt;&gt;"",'Input_Meci'!D97&lt;&gt;"",'Input_Meci'!E97&lt;&gt;"",'Input_Meci'!D97&lt;&gt;'Input_Meci'!E97,ISNUMBER(F97),ISNUMBER(G97),G97&lt;F97,OR(E97="LIVE",E97="REPLAY"),OR('Input_Meci'!L97="YES",'Input_Meci'!L97="NO",'Input_Meci'!L97="")),"VALID","INVALID"))</x:f>
      </x:c>
      <x:c r="BR97" s="2" t="n">
        <x:f>IF(I97&lt;&gt;"PASS",0,SUMPRODUCT(('Istoric_Nativ'!$B$6:$B$405='Input_Meci'!B97)*('Istoric_Nativ'!$C$6:$C$405='Input_Meci'!C97)*('Istoric_Nativ'!$P$6:$P$405=1)*('Istoric_Nativ'!$D$6:$D$405&lt;INT('Input_Meci'!G97))*((('Istoric_Nativ'!$E$6:$E$405='Input_Meci'!D97)+('Istoric_Nativ'!$F$6:$F$405='Input_Meci'!E97))&gt;0)))</x:f>
        <x:v>0</x:v>
      </x:c>
      <x:c r="BS97" s="2" t="n">
        <x:f>IF(I97&lt;&gt;"PASS",0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BM97)+((('Istoric_Nativ'!$E$6:$E$405='Input_Meci'!E97)+('Istoric_Nativ'!$F$6:$F$405='Input_Meci'!E97))&gt;0)*('Istoric_Nativ'!$D$6:$D$405&gt;=BN97))&gt;0)))</x:f>
        <x:v>0</x:v>
      </x:c>
      <x:c r="BT97" s="2" t="n">
        <x:f>IF(I97&lt;&gt;"PASS",0,SUMPRODUCT(('Istoric_Nativ'!$B$6:$B$405='Input_Meci'!B97)*('Istoric_Nativ'!$C$6:$C$405='Input_Meci'!C97)*('Istoric_Nativ'!$P$6:$P$405=1)*('Istoric_Nativ'!$D$6:$D$405&lt;INT('Input_Meci'!G97))*((((('Istoric_Nativ'!$E$6:$E$405='Input_Meci'!D97)+('Istoric_Nativ'!$F$6:$F$405='Input_Meci'!D97))&gt;0)*('Istoric_Nativ'!$D$6:$D$405&gt;=BO97)+((('Istoric_Nativ'!$E$6:$E$405='Input_Meci'!E97)+('Istoric_Nativ'!$F$6:$F$405='Input_Meci'!E97))&gt;0)*('Istoric_Nativ'!$D$6:$D$405&gt;=BP97))&gt;0)))</x:f>
        <x:v>0</x:v>
      </x:c>
    </x:row>
    <x:row r="98" ht="21" customHeight="1">
      <x:c r="A98" s="2" t="str">
        <x:f>IF('Input_Meci'!A98="","",'Input_Meci'!A98)</x:f>
      </x:c>
      <x:c r="B98" s="2" t="str">
        <x:f>IF(A98="","",'Input_Meci'!B98)</x:f>
      </x:c>
      <x:c r="C98" s="2" t="str">
        <x:f>IF(A98="","",'Input_Meci'!C98)</x:f>
      </x:c>
      <x:c r="D98" s="2" t="str">
        <x:f>IF(A98="","",'Input_Meci'!D98&amp;" – "&amp;'Input_Meci'!E98)</x:f>
      </x:c>
      <x:c r="E98" s="2" t="str">
        <x:f>IF(A98="","",'Input_Meci'!H98)</x:f>
      </x:c>
      <x:c r="F98" s="9" t="str">
        <x:f>IF(A98="","",'Input_Meci'!F98)</x:f>
      </x:c>
      <x:c r="G98" s="9" t="str">
        <x:f>IF(A98="","",'Input_Meci'!G98)</x:f>
      </x:c>
      <x:c r="H98" s="2" t="str">
        <x:f>IF(A98="","",IF(BQ98&lt;&gt;"VALID","NOT RELEASED",IF(AND(OR('Input_Meci'!I98="NOT AVAILABLE",'Input_Meci'!I98="SOURCE CONFLICT"),'Input_Meci'!J98&lt;&gt;""),"READY",IF(OR(NOT(OR('Input_Meci'!I98="AUTO",'Input_Meci'!I98="")),COUNTIF('Core_Nativ'!R1110:R1115,"CLOSED")&lt;&gt;6,BJ98&gt;0),"NOT RELEASED","READY"))))</x:f>
      </x:c>
      <x:c r="I98" s="2" t="str">
        <x:f>IF(A98="","",IF(H98&lt;&gt;"READY","NOT RELEASED",IF(AND(NOT(OR('Input_Meci'!I98="NOT AVAILABLE",'Input_Meci'!I98="SOURCE CONFLICT")),L98=12,AR98&gt;=2,AS98&gt;0,ISNUMBER(AT98),BI98="VALID",BK98="VALID"),"PASS","FAIL")))</x:f>
      </x:c>
      <x:c r="J98" s="2" t="str">
        <x:f>IF(A98="","",IF(BQ98&lt;&gt;"VALID","Verifica ID, echipe, mod si cutoff &lt; kickoff",IF(H98&lt;&gt;"READY",IF('Input_Meci'!I98="ACCESS BLOCKED","Acces blocat: reia sursele",IF(BJ98&gt;0,"Istoric invalid sau conflict: verifica randurile native","Surse neinchise / post-cutoff / dovezi incomplete")),IF(OR('Input_Meci'!I98="NOT AVAILABLE",'Input_Meci'!I98="SOURCE CONFLICT"),'Input_Meci'!I98,IF(BK98&lt;&gt;"VALID","Parametri invalizi",IF(L98&lt;&gt;12,"Core / sample / prior insuficient",IF(AR98&lt;2,"N insuficient pentru dispersie",IF(AS98&lt;=0,"Media istorica trebuie sa fie pozitiva",IF(BI98&lt;&gt;"VALID","Context invalid","READY")))))))))</x:f>
      </x:c>
      <x:c r="K98" s="2" t="str">
        <x:f>IF(A98="","",COUNT(T98:AE98))</x:f>
      </x:c>
      <x:c r="L98" s="2" t="str">
        <x:f>IF(A98="","",COUNT(AF98:AQ98))</x:f>
      </x:c>
      <x:c r="M98" s="2" t="str">
        <x:f>IF(A98="","",IF(OR('Core_Nativ'!M1110&lt;'Core_Nativ'!P1110,'Core_Nativ'!M1111&lt;'Core_Nativ'!P1111,'Core_Nativ'!M1112&lt;'Core_Nativ'!P1112,'Core_Nativ'!M1113&lt;'Core_Nativ'!P1113,'Core_Nativ'!M1114&lt;'Core_Nativ'!P1114,'Core_Nativ'!M1115&lt;'Core_Nativ'!P1115),"YES","NO"))</x:f>
      </x:c>
      <x:c r="N98" s="2" t="str">
        <x:f>IF(A98="","",'Core_Nativ'!M1110)</x:f>
      </x:c>
      <x:c r="O98" s="2" t="str">
        <x:f>IF(A98="","",'Core_Nativ'!M1111)</x:f>
      </x:c>
      <x:c r="P98" s="2" t="str">
        <x:f>IF(A98="","",'Core_Nativ'!M1112)</x:f>
      </x:c>
      <x:c r="Q98" s="2" t="str">
        <x:f>IF(A98="","",'Core_Nativ'!M1113)</x:f>
      </x:c>
      <x:c r="R98" s="2" t="str">
        <x:f>IF(A98="","",'Core_Nativ'!M1114)</x:f>
      </x:c>
      <x:c r="S98" s="2" t="str">
        <x:f>IF(A98="","",'Core_Nativ'!M1115)</x:f>
      </x:c>
      <x:c r="T98" s="11" t="str">
        <x:f>IF(OR(A98="",'Core_Nativ'!M1110=0),"",'Core_Nativ'!N1110)</x:f>
      </x:c>
      <x:c r="U98" s="11" t="str">
        <x:f>IF(OR(A98="",'Core_Nativ'!M1110=0),"",'Core_Nativ'!O1110)</x:f>
      </x:c>
      <x:c r="V98" s="11" t="str">
        <x:f>IF(OR(A98="",'Core_Nativ'!M1111=0),"",'Core_Nativ'!N1111)</x:f>
      </x:c>
      <x:c r="W98" s="11" t="str">
        <x:f>IF(OR(A98="",'Core_Nativ'!M1111=0),"",'Core_Nativ'!O1111)</x:f>
      </x:c>
      <x:c r="X98" s="11" t="str">
        <x:f>IF(OR(A98="",'Core_Nativ'!M1112=0),"",'Core_Nativ'!N1112)</x:f>
      </x:c>
      <x:c r="Y98" s="11" t="str">
        <x:f>IF(OR(A98="",'Core_Nativ'!M1112=0),"",'Core_Nativ'!O1112)</x:f>
      </x:c>
      <x:c r="Z98" s="11" t="str">
        <x:f>IF(OR(A98="",'Core_Nativ'!M1113=0),"",'Core_Nativ'!N1113)</x:f>
      </x:c>
      <x:c r="AA98" s="11" t="str">
        <x:f>IF(OR(A98="",'Core_Nativ'!M1113=0),"",'Core_Nativ'!O1113)</x:f>
      </x:c>
      <x:c r="AB98" s="11" t="str">
        <x:f>IF(OR(A98="",'Core_Nativ'!M1114=0),"",'Core_Nativ'!N1114)</x:f>
      </x:c>
      <x:c r="AC98" s="11" t="str">
        <x:f>IF(OR(A98="",'Core_Nativ'!M1114=0),"",'Core_Nativ'!O1114)</x:f>
      </x:c>
      <x:c r="AD98" s="11" t="str">
        <x:f>IF(OR(A98="",'Core_Nativ'!M1115=0),"",'Core_Nativ'!N1115)</x:f>
      </x:c>
      <x:c r="AE98" s="11" t="str">
        <x:f>IF(OR(A98="",'Core_Nativ'!M1115=0),"",'Core_Nativ'!O1115)</x:f>
      </x:c>
      <x:c r="AF98" s="11" t="str">
        <x:f>IF(A98="","",IF(AND('Core_Nativ'!R1110="CLOSED",'Core_Nativ'!S1110=0),IF('Core_Nativ'!M1110&gt;='Core_Nativ'!P1110,'Core_Nativ'!N1110,IF(AND('Input_Meci'!L98="YES",'Input_Meci'!K98&lt;&gt;"",'Input_Meci'!K98&lt;C98,'Core_Nativ'!T1116="DERIVED",'Core_Nativ'!M1116&gt;='Core_Nativ'!P1110),MIN(1,'Core_Nativ'!M1110/'Core_Nativ'!P1110)*IF('Core_Nativ'!M1110=0,0,'Core_Nativ'!N1110)+(1-MIN(1,'Core_Nativ'!M1110/'Core_Nativ'!P1110))*'Core_Nativ'!N1116,"")),""))</x:f>
      </x:c>
      <x:c r="AG98" s="11" t="str">
        <x:f>IF(A98="","",IF(AND('Core_Nativ'!R1110="CLOSED",'Core_Nativ'!S1110=0),IF('Core_Nativ'!M1110&gt;='Core_Nativ'!P1110,'Core_Nativ'!O1110,IF(AND('Input_Meci'!L98="YES",'Input_Meci'!K98&lt;&gt;"",'Input_Meci'!K98&lt;C98,'Core_Nativ'!T1116="DERIVED",'Core_Nativ'!M1116&gt;='Core_Nativ'!P1110),MIN(1,'Core_Nativ'!M1110/'Core_Nativ'!P1110)*IF('Core_Nativ'!M1110=0,0,'Core_Nativ'!O1110)+(1-MIN(1,'Core_Nativ'!M1110/'Core_Nativ'!P1110))*'Core_Nativ'!O1116,"")),""))</x:f>
      </x:c>
      <x:c r="AH98" s="11" t="str">
        <x:f>IF(A98="","",IF(AND('Core_Nativ'!R1111="CLOSED",'Core_Nativ'!S1111=0),IF('Core_Nativ'!M1111&gt;='Core_Nativ'!P1111,'Core_Nativ'!N1111,IF(AND('Input_Meci'!L98="YES",'Input_Meci'!K98&lt;&gt;"",'Input_Meci'!K98&lt;C98,'Core_Nativ'!T1117="DERIVED",'Core_Nativ'!M1117&gt;='Core_Nativ'!P1111),MIN(1,'Core_Nativ'!M1111/'Core_Nativ'!P1111)*IF('Core_Nativ'!M1111=0,0,'Core_Nativ'!N1111)+(1-MIN(1,'Core_Nativ'!M1111/'Core_Nativ'!P1111))*'Core_Nativ'!N1117,"")),""))</x:f>
      </x:c>
      <x:c r="AI98" s="11" t="str">
        <x:f>IF(A98="","",IF(AND('Core_Nativ'!R1111="CLOSED",'Core_Nativ'!S1111=0),IF('Core_Nativ'!M1111&gt;='Core_Nativ'!P1111,'Core_Nativ'!O1111,IF(AND('Input_Meci'!L98="YES",'Input_Meci'!K98&lt;&gt;"",'Input_Meci'!K98&lt;C98,'Core_Nativ'!T1117="DERIVED",'Core_Nativ'!M1117&gt;='Core_Nativ'!P1111),MIN(1,'Core_Nativ'!M1111/'Core_Nativ'!P1111)*IF('Core_Nativ'!M1111=0,0,'Core_Nativ'!O1111)+(1-MIN(1,'Core_Nativ'!M1111/'Core_Nativ'!P1111))*'Core_Nativ'!O1117,"")),""))</x:f>
      </x:c>
      <x:c r="AJ98" s="11" t="str">
        <x:f>IF(A98="","",IF(AND('Core_Nativ'!R1112="CLOSED",'Core_Nativ'!S1112=0),IF('Core_Nativ'!M1112&gt;='Core_Nativ'!P1112,'Core_Nativ'!N1112,IF(AND('Input_Meci'!L98="YES",'Input_Meci'!K98&lt;&gt;"",'Input_Meci'!K98&lt;C98,'Core_Nativ'!T1118="DERIVED",'Core_Nativ'!M1118&gt;='Core_Nativ'!P1112),MIN(1,'Core_Nativ'!M1112/'Core_Nativ'!P1112)*IF('Core_Nativ'!M1112=0,0,'Core_Nativ'!N1112)+(1-MIN(1,'Core_Nativ'!M1112/'Core_Nativ'!P1112))*'Core_Nativ'!N1118,"")),""))</x:f>
      </x:c>
      <x:c r="AK98" s="11" t="str">
        <x:f>IF(A98="","",IF(AND('Core_Nativ'!R1112="CLOSED",'Core_Nativ'!S1112=0),IF('Core_Nativ'!M1112&gt;='Core_Nativ'!P1112,'Core_Nativ'!O1112,IF(AND('Input_Meci'!L98="YES",'Input_Meci'!K98&lt;&gt;"",'Input_Meci'!K98&lt;C98,'Core_Nativ'!T1118="DERIVED",'Core_Nativ'!M1118&gt;='Core_Nativ'!P1112),MIN(1,'Core_Nativ'!M1112/'Core_Nativ'!P1112)*IF('Core_Nativ'!M1112=0,0,'Core_Nativ'!O1112)+(1-MIN(1,'Core_Nativ'!M1112/'Core_Nativ'!P1112))*'Core_Nativ'!O1118,"")),""))</x:f>
      </x:c>
      <x:c r="AL98" s="11" t="str">
        <x:f>IF(A98="","",IF(AND('Core_Nativ'!R1113="CLOSED",'Core_Nativ'!S1113=0),IF('Core_Nativ'!M1113&gt;='Core_Nativ'!P1113,'Core_Nativ'!N1113,IF(AND('Input_Meci'!L98="YES",'Input_Meci'!K98&lt;&gt;"",'Input_Meci'!K98&lt;C98,'Core_Nativ'!T1119="DERIVED",'Core_Nativ'!M1119&gt;='Core_Nativ'!P1113),MIN(1,'Core_Nativ'!M1113/'Core_Nativ'!P1113)*IF('Core_Nativ'!M1113=0,0,'Core_Nativ'!N1113)+(1-MIN(1,'Core_Nativ'!M1113/'Core_Nativ'!P1113))*'Core_Nativ'!N1119,"")),""))</x:f>
      </x:c>
      <x:c r="AM98" s="11" t="str">
        <x:f>IF(A98="","",IF(AND('Core_Nativ'!R1113="CLOSED",'Core_Nativ'!S1113=0),IF('Core_Nativ'!M1113&gt;='Core_Nativ'!P1113,'Core_Nativ'!O1113,IF(AND('Input_Meci'!L98="YES",'Input_Meci'!K98&lt;&gt;"",'Input_Meci'!K98&lt;C98,'Core_Nativ'!T1119="DERIVED",'Core_Nativ'!M1119&gt;='Core_Nativ'!P1113),MIN(1,'Core_Nativ'!M1113/'Core_Nativ'!P1113)*IF('Core_Nativ'!M1113=0,0,'Core_Nativ'!O1113)+(1-MIN(1,'Core_Nativ'!M1113/'Core_Nativ'!P1113))*'Core_Nativ'!O1119,"")),""))</x:f>
      </x:c>
      <x:c r="AN98" s="11" t="str">
        <x:f>IF(A98="","",IF(AND('Core_Nativ'!R1114="CLOSED",'Core_Nativ'!S1114=0),IF('Core_Nativ'!M1114&gt;='Core_Nativ'!P1114,'Core_Nativ'!N1114,IF(AND('Input_Meci'!L98="YES",'Input_Meci'!K98&lt;&gt;"",'Input_Meci'!K98&lt;C98,'Core_Nativ'!T1120="DERIVED",'Core_Nativ'!M1120&gt;='Core_Nativ'!P1114),MIN(1,'Core_Nativ'!M1114/'Core_Nativ'!P1114)*IF('Core_Nativ'!M1114=0,0,'Core_Nativ'!N1114)+(1-MIN(1,'Core_Nativ'!M1114/'Core_Nativ'!P1114))*'Core_Nativ'!N1120,"")),""))</x:f>
      </x:c>
      <x:c r="AO98" s="11" t="str">
        <x:f>IF(A98="","",IF(AND('Core_Nativ'!R1114="CLOSED",'Core_Nativ'!S1114=0),IF('Core_Nativ'!M1114&gt;='Core_Nativ'!P1114,'Core_Nativ'!O1114,IF(AND('Input_Meci'!L98="YES",'Input_Meci'!K98&lt;&gt;"",'Input_Meci'!K98&lt;C98,'Core_Nativ'!T1120="DERIVED",'Core_Nativ'!M1120&gt;='Core_Nativ'!P1114),MIN(1,'Core_Nativ'!M1114/'Core_Nativ'!P1114)*IF('Core_Nativ'!M1114=0,0,'Core_Nativ'!O1114)+(1-MIN(1,'Core_Nativ'!M1114/'Core_Nativ'!P1114))*'Core_Nativ'!O1120,"")),""))</x:f>
      </x:c>
      <x:c r="AP98" s="11" t="str">
        <x:f>IF(A98="","",IF(AND('Core_Nativ'!R1115="CLOSED",'Core_Nativ'!S1115=0),IF('Core_Nativ'!M1115&gt;='Core_Nativ'!P1115,'Core_Nativ'!N1115,IF(AND('Input_Meci'!L98="YES",'Input_Meci'!K98&lt;&gt;"",'Input_Meci'!K98&lt;C98,'Core_Nativ'!T1121="DERIVED",'Core_Nativ'!M1121&gt;='Core_Nativ'!P1115),MIN(1,'Core_Nativ'!M1115/'Core_Nativ'!P1115)*IF('Core_Nativ'!M1115=0,0,'Core_Nativ'!N1115)+(1-MIN(1,'Core_Nativ'!M1115/'Core_Nativ'!P1115))*'Core_Nativ'!N1121,"")),""))</x:f>
      </x:c>
      <x:c r="AQ98" s="11" t="str">
        <x:f>IF(A98="","",IF(AND('Core_Nativ'!R1115="CLOSED",'Core_Nativ'!S1115=0),IF('Core_Nativ'!M1115&gt;='Core_Nativ'!P1115,'Core_Nativ'!O1115,IF(AND('Input_Meci'!L98="YES",'Input_Meci'!K98&lt;&gt;"",'Input_Meci'!K98&lt;C98,'Core_Nativ'!T1121="DERIVED",'Core_Nativ'!M1121&gt;='Core_Nativ'!P1115),MIN(1,'Core_Nativ'!M1115/'Core_Nativ'!P1115)*IF('Core_Nativ'!M1115=0,0,'Core_Nativ'!O1115)+(1-MIN(1,'Core_Nativ'!M1115/'Core_Nativ'!P1115))*'Core_Nativ'!O1121,"")),""))</x:f>
      </x:c>
      <x:c r="AR98" s="11" t="str">
        <x:f>IF(A98="","",SUMPRODUCT(('Istoric_Nativ'!$B$6:$B$405=B98)*('Istoric_Nativ'!$C$6:$C$405=BL98)*('Istoric_Nativ'!$P$6:$P$405=1)*('Istoric_Nativ'!$D$6:$D$405&lt;INT(G98))*((('Istoric_Nativ'!$E$6:$E$405='Input_Meci'!D98)+('Istoric_Nativ'!$F$6:$F$405='Input_Meci'!D98)+('Istoric_Nativ'!$E$6:$E$405='Input_Meci'!E98)+('Istoric_Nativ'!$F$6:$F$405='Input_Meci'!E98))&gt;0)))</x:f>
      </x:c>
      <x:c r="AS98" s="11" t="str">
        <x:f>IF(AR98=0,"",SUMPRODUCT(('Istoric_Nativ'!$B$6:$B$405=B98)*('Istoric_Nativ'!$C$6:$C$405=BL98)*('Istoric_Nativ'!$P$6:$P$405=1)*('Istoric_Nativ'!$D$6:$D$405&lt;INT(G98))*((('Istoric_Nativ'!$E$6:$E$405='Input_Meci'!D98)+('Istoric_Nativ'!$F$6:$F$405='Input_Meci'!D98)+('Istoric_Nativ'!$E$6:$E$405='Input_Meci'!E98)+('Istoric_Nativ'!$F$6:$F$405='Input_Meci'!E98))&gt;0)*'Istoric_Nativ'!$Q$6:$Q$405)/AR98)</x:f>
      </x:c>
      <x:c r="AT98" s="11" t="str">
        <x:f>IF(AR98&lt;2,"",MAX(0,(SUMPRODUCT(('Istoric_Nativ'!$B$6:$B$405=B98)*('Istoric_Nativ'!$C$6:$C$405=BL98)*('Istoric_Nativ'!$P$6:$P$405=1)*('Istoric_Nativ'!$D$6:$D$405&lt;INT(G98))*((('Istoric_Nativ'!$E$6:$E$405='Input_Meci'!D98)+('Istoric_Nativ'!$F$6:$F$405='Input_Meci'!D98)+('Istoric_Nativ'!$E$6:$E$405='Input_Meci'!E98)+('Istoric_Nativ'!$F$6:$F$405='Input_Meci'!E98))&gt;0)*'Istoric_Nativ'!$R$6:$R$405)-AR98*AS98^2)/(AR98-1)))</x:f>
      </x:c>
      <x:c r="AU98" s="11" t="str">
        <x:f>IF(I98&lt;&gt;"PASS","",AT98/AS98)</x:f>
      </x:c>
      <x:c r="AV98" s="11" t="str">
        <x:f>IF(I98&lt;&gt;"PASS","",IF(AU98&lt;='Config_v6'!$B$10,"POISSON","NEGATIVE BINOMIAL"))</x:f>
      </x:c>
      <x:c r="AW98" s="11" t="str">
        <x:f>IF(I98&lt;&gt;"PASS","",IF(AV98="POISSON",9999,AS98/(AU98-1)))</x:f>
      </x:c>
      <x:c r="AX98" s="11" t="str">
        <x:f>IF(A98="","",MAX(1-'Config_v6'!$B$20,MIN(1+'Config_v6'!$B$20,1+0.02*(IF(AND(ISNUMBER('Input_Meci'!N98),'Input_Meci'!N98&gt;=0,'Input_Meci'!N98&lt;=200),'Input_Meci'!N98,12)/12-1)+0.02*(IF(AND(ISNUMBER('Input_Meci'!P98),'Input_Meci'!P98&gt;=0,'Input_Meci'!P98&lt;=200),'Input_Meci'!P98,3.5)/3.5-1)+0.02*(IF(AND(ISNUMBER('Input_Meci'!R98),'Input_Meci'!R98&gt;=0,'Input_Meci'!R98&lt;=200),'Input_Meci'!R98,18)/18-1)+0.02*((IF(AND(ISNUMBER('Input_Meci'!V98),'Input_Meci'!V98&gt;=0,'Input_Meci'!V98&lt;=10),'Input_Meci'!V98,5)-5)/5))))</x:f>
      </x:c>
      <x:c r="AY98" s="11" t="str">
        <x:f>IF(A98="","",MAX(1-'Config_v6'!$B$20,MIN(1+'Config_v6'!$B$20,1+0.02*(IF(AND(ISNUMBER('Input_Meci'!O98),'Input_Meci'!O98&gt;=0,'Input_Meci'!O98&lt;=200),'Input_Meci'!O98,12)/12-1)+0.02*(IF(AND(ISNUMBER('Input_Meci'!Q98),'Input_Meci'!Q98&gt;=0,'Input_Meci'!Q98&lt;=200),'Input_Meci'!Q98,3.5)/3.5-1)+0.02*(IF(AND(ISNUMBER('Input_Meci'!S98),'Input_Meci'!S98&gt;=0,'Input_Meci'!S98&lt;=200),'Input_Meci'!S98,18)/18-1)+0.02*((IF(AND(ISNUMBER('Input_Meci'!W98),'Input_Meci'!W98&gt;=0,'Input_Meci'!W98&lt;=10),'Input_Meci'!W98,5)-5)/5))))</x:f>
      </x:c>
      <x:c r="AZ98" s="11" t="str">
        <x:f>IF(A98="","",MAX(1-'Config_v6'!$B$21,MIN(1+'Config_v6'!$B$21,1+0.012*(IF('Input_Meci'!X98="",5,IF(ISNUMBER('Input_Meci'!X98),'Input_Meci'!X98,5))-5)+0.018*(IF('Input_Meci'!Z98="",5,IF(ISNUMBER('Input_Meci'!Z98),'Input_Meci'!Z98,5))-5)+0.012*(IF('Input_Meci'!AB98="",5,IF(ISNUMBER('Input_Meci'!AB98),'Input_Meci'!AB98,5))-5)+0.015*IF('Input_Meci'!AD98="",0,IF(ISNUMBER('Input_Meci'!AD98),'Input_Meci'!AD98,0))+0.02*IF('Input_Meci'!AF98="",0,IF(ISNUMBER('Input_Meci'!AF98),'Input_Meci'!AF98,0)))))</x:f>
      </x:c>
      <x:c r="BA98" s="11" t="str">
        <x:f>IF(A98="","",MAX(1-'Config_v6'!$B$21,MIN(1+'Config_v6'!$B$21,1+0.012*(IF('Input_Meci'!Y98="",5,IF(ISNUMBER('Input_Meci'!Y98),'Input_Meci'!Y98,5))-5)+0.018*(IF('Input_Meci'!AA98="",5,IF(ISNUMBER('Input_Meci'!AA98),'Input_Meci'!AA98,5))-5)+0.012*(IF('Input_Meci'!AC98="",5,IF(ISNUMBER('Input_Meci'!AC98),'Input_Meci'!AC98,5))-5)+0.015*IF('Input_Meci'!AE98="",0,IF(ISNUMBER('Input_Meci'!AE98),'Input_Meci'!AE98,0))+0.02*IF('Input_Meci'!AG98="",0,IF(ISNUMBER('Input_Meci'!AG98),'Input_Meci'!AG98,0)))))</x:f>
      </x:c>
      <x:c r="BB98" s="11" t="str">
        <x:f>IF(I98&lt;&gt;"PASS","",(AVERAGE(AF98,AM98)*'Config_v6'!$B$4+AVERAGE(AH98,AO98)*'Config_v6'!$B$5+AVERAGE(AJ98,AQ98)*'Config_v6'!$B$6)*AX98*AZ98)</x:f>
      </x:c>
      <x:c r="BC98" s="11" t="str">
        <x:f>IF(I98&lt;&gt;"PASS","",(AVERAGE(AL98,AG98)*'Config_v6'!$B$4+AVERAGE(AN98,AI98)*'Config_v6'!$B$5+AVERAGE(AP98,AK98)*'Config_v6'!$B$6)*AY98*BA98)</x:f>
      </x:c>
      <x:c r="BD98" s="11" t="str">
        <x:f>IF(I98&lt;&gt;"PASS","",BB98+BC98)</x:f>
      </x:c>
      <x:c r="BE98" s="11" t="str">
        <x:f>IF(A98="","",10-SUM(IF(AND(ISNUMBER('Input_Meci'!N98),'Input_Meci'!N98&gt;=0,'Input_Meci'!N98&lt;=200),1,0),IF(AND(ISNUMBER('Input_Meci'!O98),'Input_Meci'!O98&gt;=0,'Input_Meci'!O98&lt;=200),1,0),IF(AND(ISNUMBER('Input_Meci'!P98),'Input_Meci'!P98&gt;=0,'Input_Meci'!P98&lt;=200),1,0),IF(AND(ISNUMBER('Input_Meci'!Q98),'Input_Meci'!Q98&gt;=0,'Input_Meci'!Q98&lt;=200),1,0),IF(AND(ISNUMBER('Input_Meci'!R98),'Input_Meci'!R98&gt;=0,'Input_Meci'!R98&lt;=200),1,0),IF(AND(ISNUMBER('Input_Meci'!S98),'Input_Meci'!S98&gt;=0,'Input_Meci'!S98&lt;=200),1,0),IF(AND(ISNUMBER('Input_Meci'!T98),'Input_Meci'!T98&gt;=0,'Input_Meci'!T98&lt;=100),1,0),IF(AND(ISNUMBER('Input_Meci'!U98),'Input_Meci'!U98&gt;=0,'Input_Meci'!U98&lt;=100),1,0),IF(AND(ISNUMBER('Input_Meci'!V98),'Input_Meci'!V98&gt;=0,'Input_Meci'!V98&lt;=10),1,0),IF(AND(ISNUMBER('Input_Meci'!W98),'Input_Meci'!W98&gt;=0,'Input_Meci'!W98&lt;=10),1,0)))</x:f>
      </x:c>
      <x:c r="BF98" s="11" t="str">
        <x:f>IF(I98&lt;&gt;"PASS","",MAX(0,MIN(IF(OR(M98="YES",BL98&lt;&gt;C98),'Config_v6'!$B$34,100),ROUND(40+25*MIN(1,MIN(N98,Q98)/'Config_v6'!$B$7)*MIN(1,MIN(O98,R98)/'Config_v6'!$B$8)*MIN(1,MIN(P98,S98)/'Config_v6'!$B$9)+MAX(0,15-2*ABS(AF98-AJ98)-2*ABS(AL98-AP98))+IF(AU98&lt;='Config_v6'!$B$10,15,IF(AU98&lt;='Config_v6'!$B$11,13,IF(AU98&lt;='Config_v6'!$B$12,10,IF(AU98&lt;='Config_v6'!$B$13,6,0))))+5-BE98/10*'Config_v6'!$B$38,0))))</x:f>
      </x:c>
      <x:c r="BG98" s="11" t="str">
        <x:f>IF(I98&lt;&gt;"PASS","",MIN(1,'Config_v6'!$B$14*(0.7+0.3*MIN(1,AR98/'Config_v6'!$B$15))*IF(AU98&lt;='Config_v6'!$B$10,1,IF(AU98&lt;='Config_v6'!$B$11,0.95,IF(AU98&lt;='Config_v6'!$B$12,0.88,0.78)))*(0.75+0.25*BF98/100)))</x:f>
      </x:c>
      <x:c r="BH98" s="11" t="str">
        <x:f>IF(I98&lt;&gt;"PASS","",MIN(1,(ABS(AZ98-1)+ABS(BA98-1))*3))</x:f>
      </x:c>
      <x:c r="BI98" s="2" t="str">
        <x:f>IF(A98="","",IF(AND(OR('Input_Meci'!X98="",AND(ISNUMBER('Input_Meci'!X98),'Input_Meci'!X98&gt;=0,'Input_Meci'!X98&lt;=10)),OR('Input_Meci'!Y98="",AND(ISNUMBER('Input_Meci'!Y98),'Input_Meci'!Y98&gt;=0,'Input_Meci'!Y98&lt;=10)),OR('Input_Meci'!Z98="",AND(ISNUMBER('Input_Meci'!Z98),'Input_Meci'!Z98&gt;=0,'Input_Meci'!Z98&lt;=10)),OR('Input_Meci'!AA98="",AND(ISNUMBER('Input_Meci'!AA98),'Input_Meci'!AA98&gt;=0,'Input_Meci'!AA98&lt;=10)),OR('Input_Meci'!AB98="",AND(ISNUMBER('Input_Meci'!AB98),'Input_Meci'!AB98&gt;=0,'Input_Meci'!AB98&lt;=10)),OR('Input_Meci'!AC98="",AND(ISNUMBER('Input_Meci'!AC98),'Input_Meci'!AC98&gt;=0,'Input_Meci'!AC98&lt;=10)),OR('Input_Meci'!AD98="",AND(ISNUMBER('Input_Meci'!AD98),'Input_Meci'!AD98&gt;=-2,'Input_Meci'!AD98&lt;=2)),OR('Input_Meci'!AE98="",AND(ISNUMBER('Input_Meci'!AE98),'Input_Meci'!AE98&gt;=-2,'Input_Meci'!AE98&lt;=2)),OR('Input_Meci'!AF98="",AND(ISNUMBER('Input_Meci'!AF98),'Input_Meci'!AF98&gt;=-2,'Input_Meci'!AF98&lt;=2)),OR('Input_Meci'!AG98="",AND(ISNUMBER('Input_Meci'!AG98),'Input_Meci'!AG98&gt;=-2,'Input_Meci'!AG98&lt;=2))),"VALID","INVALID"))</x:f>
      </x:c>
      <x:c r="BJ98" s="2" t="n">
        <x:f>IF(A98="",0,SUM('Core_Nativ'!S1110:S1115))</x:f>
        <x:v>0</x:v>
      </x:c>
      <x:c r="BK98" s="2" t="str">
        <x:f>'Config_v6'!$B$40</x:f>
        <x:v>VALID</x:v>
      </x:c>
      <x:c r="BL98" s="2" t="str">
        <x:f>IF(A98="","",IF(SUMPRODUCT(('Istoric_Nativ'!$B$6:$B$405=B98)*('Istoric_Nativ'!$C$6:$C$405=C98)*('Istoric_Nativ'!$P$6:$P$405=1)*('Istoric_Nativ'!$D$6:$D$405&lt;INT(G98))*((('Istoric_Nativ'!$E$6:$E$405='Input_Meci'!D98)+('Istoric_Nativ'!$F$6:$F$405='Input_Meci'!D98)+('Istoric_Nativ'!$E$6:$E$405='Input_Meci'!E98)+('Istoric_Nativ'!$F$6:$F$405='Input_Meci'!E98))&gt;0))&gt;='Config_v6'!$B$41,C98,IF(AND('Input_Meci'!L98="YES",'Input_Meci'!K98&lt;&gt;"",'Input_Meci'!K98&lt;C98,COUNTIF('Core_Nativ'!R1116:R1121,"CLOSED")=6,SUM('Core_Nativ'!S1116:S1121)=0),'Input_Meci'!K98,C98)))</x:f>
      </x:c>
      <x:c r="BM98" s="9" t="n">
        <x:f>IF(OR(A98="",N98=0),0,LARGE(_xlfn._xlws.FILTER('Istoric_Nativ'!$D$6:$D$405,('Istoric_Nativ'!$B$6:$B$405=B98)*('Istoric_Nativ'!$C$6:$C$405=C98)*('Istoric_Nativ'!$P$6:$P$405=1)*('Istoric_Nativ'!$D$6:$D$405&lt;INT(G98))*((('Istoric_Nativ'!$E$6:$E$405='Input_Meci'!D98)+('Istoric_Nativ'!$F$6:$F$405='Input_Meci'!D98))&gt;0)),MIN(10,N98)))</x:f>
        <x:v>0</x:v>
      </x:c>
      <x:c r="BN98" s="9" t="n">
        <x:f>IF(OR(A98="",Q98=0),0,LARGE(_xlfn._xlws.FILTER('Istoric_Nativ'!$D$6:$D$405,('Istoric_Nativ'!$B$6:$B$405=B98)*('Istoric_Nativ'!$C$6:$C$405=C98)*('Istoric_Nativ'!$P$6:$P$405=1)*('Istoric_Nativ'!$D$6:$D$405&lt;INT(G98))*((('Istoric_Nativ'!$E$6:$E$405='Input_Meci'!E98)+('Istoric_Nativ'!$F$6:$F$405='Input_Meci'!E98))&gt;0)),MIN(10,Q98)))</x:f>
        <x:v>0</x:v>
      </x:c>
      <x:c r="BO98" s="9" t="n">
        <x:f>IF(OR(A98="",N98=0),0,LARGE(_xlfn._xlws.FILTER('Istoric_Nativ'!$D$6:$D$405,('Istoric_Nativ'!$B$6:$B$405=B98)*('Istoric_Nativ'!$C$6:$C$405=C98)*('Istoric_Nativ'!$P$6:$P$405=1)*('Istoric_Nativ'!$D$6:$D$405&lt;INT(G98))*((('Istoric_Nativ'!$E$6:$E$405='Input_Meci'!D98)+('Istoric_Nativ'!$F$6:$F$405='Input_Meci'!D98))&gt;0)),MIN(20,N98)))</x:f>
        <x:v>0</x:v>
      </x:c>
      <x:c r="BP98" s="9" t="n">
        <x:f>IF(OR(A98="",Q98=0),0,LARGE(_xlfn._xlws.FILTER('Istoric_Nativ'!$D$6:$D$405,('Istoric_Nativ'!$B$6:$B$405=B98)*('Istoric_Nativ'!$C$6:$C$405=C98)*('Istoric_Nativ'!$P$6:$P$405=1)*('Istoric_Nativ'!$D$6:$D$405&lt;INT(G98))*((('Istoric_Nativ'!$E$6:$E$405='Input_Meci'!E98)+('Istoric_Nativ'!$F$6:$F$405='Input_Meci'!E98))&gt;0)),MIN(20,Q98)))</x:f>
        <x:v>0</x:v>
      </x:c>
      <x:c r="BQ98" s="2" t="str">
        <x:f>IF(A98="","",IF(AND(COUNTIF(MatchesTable[Match_ID],A98)=1,COUNTIFS(MatchesTable[League],B98,MatchesTable[Season],C98,MatchesTable[Home],'Input_Meci'!D98,MatchesTable[Away],'Input_Meci'!E98,MatchesTable[Kickoff_UTC],F98)=1,B98&lt;&gt;"",C98&lt;&gt;"",'Input_Meci'!D98&lt;&gt;"",'Input_Meci'!E98&lt;&gt;"",'Input_Meci'!D98&lt;&gt;'Input_Meci'!E98,ISNUMBER(F98),ISNUMBER(G98),G98&lt;F98,OR(E98="LIVE",E98="REPLAY"),OR('Input_Meci'!L98="YES",'Input_Meci'!L98="NO",'Input_Meci'!L98="")),"VALID","INVALID"))</x:f>
      </x:c>
      <x:c r="BR98" s="2" t="n">
        <x:f>IF(I98&lt;&gt;"PASS",0,SUMPRODUCT(('Istoric_Nativ'!$B$6:$B$405='Input_Meci'!B98)*('Istoric_Nativ'!$C$6:$C$405='Input_Meci'!C98)*('Istoric_Nativ'!$P$6:$P$405=1)*('Istoric_Nativ'!$D$6:$D$405&lt;INT('Input_Meci'!G98))*((('Istoric_Nativ'!$E$6:$E$405='Input_Meci'!D98)+('Istoric_Nativ'!$F$6:$F$405='Input_Meci'!E98))&gt;0)))</x:f>
        <x:v>0</x:v>
      </x:c>
      <x:c r="BS98" s="2" t="n">
        <x:f>IF(I98&lt;&gt;"PASS",0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BM98)+((('Istoric_Nativ'!$E$6:$E$405='Input_Meci'!E98)+('Istoric_Nativ'!$F$6:$F$405='Input_Meci'!E98))&gt;0)*('Istoric_Nativ'!$D$6:$D$405&gt;=BN98))&gt;0)))</x:f>
        <x:v>0</x:v>
      </x:c>
      <x:c r="BT98" s="2" t="n">
        <x:f>IF(I98&lt;&gt;"PASS",0,SUMPRODUCT(('Istoric_Nativ'!$B$6:$B$405='Input_Meci'!B98)*('Istoric_Nativ'!$C$6:$C$405='Input_Meci'!C98)*('Istoric_Nativ'!$P$6:$P$405=1)*('Istoric_Nativ'!$D$6:$D$405&lt;INT('Input_Meci'!G98))*((((('Istoric_Nativ'!$E$6:$E$405='Input_Meci'!D98)+('Istoric_Nativ'!$F$6:$F$405='Input_Meci'!D98))&gt;0)*('Istoric_Nativ'!$D$6:$D$405&gt;=BO98)+((('Istoric_Nativ'!$E$6:$E$405='Input_Meci'!E98)+('Istoric_Nativ'!$F$6:$F$405='Input_Meci'!E98))&gt;0)*('Istoric_Nativ'!$D$6:$D$405&gt;=BP98))&gt;0)))</x:f>
        <x:v>0</x:v>
      </x:c>
    </x:row>
    <x:row r="99" ht="21" customHeight="1">
      <x:c r="A99" s="2" t="str">
        <x:f>IF('Input_Meci'!A99="","",'Input_Meci'!A99)</x:f>
      </x:c>
      <x:c r="B99" s="2" t="str">
        <x:f>IF(A99="","",'Input_Meci'!B99)</x:f>
      </x:c>
      <x:c r="C99" s="2" t="str">
        <x:f>IF(A99="","",'Input_Meci'!C99)</x:f>
      </x:c>
      <x:c r="D99" s="2" t="str">
        <x:f>IF(A99="","",'Input_Meci'!D99&amp;" – "&amp;'Input_Meci'!E99)</x:f>
      </x:c>
      <x:c r="E99" s="2" t="str">
        <x:f>IF(A99="","",'Input_Meci'!H99)</x:f>
      </x:c>
      <x:c r="F99" s="9" t="str">
        <x:f>IF(A99="","",'Input_Meci'!F99)</x:f>
      </x:c>
      <x:c r="G99" s="9" t="str">
        <x:f>IF(A99="","",'Input_Meci'!G99)</x:f>
      </x:c>
      <x:c r="H99" s="2" t="str">
        <x:f>IF(A99="","",IF(BQ99&lt;&gt;"VALID","NOT RELEASED",IF(AND(OR('Input_Meci'!I99="NOT AVAILABLE",'Input_Meci'!I99="SOURCE CONFLICT"),'Input_Meci'!J99&lt;&gt;""),"READY",IF(OR(NOT(OR('Input_Meci'!I99="AUTO",'Input_Meci'!I99="")),COUNTIF('Core_Nativ'!R1122:R1127,"CLOSED")&lt;&gt;6,BJ99&gt;0),"NOT RELEASED","READY"))))</x:f>
      </x:c>
      <x:c r="I99" s="2" t="str">
        <x:f>IF(A99="","",IF(H99&lt;&gt;"READY","NOT RELEASED",IF(AND(NOT(OR('Input_Meci'!I99="NOT AVAILABLE",'Input_Meci'!I99="SOURCE CONFLICT")),L99=12,AR99&gt;=2,AS99&gt;0,ISNUMBER(AT99),BI99="VALID",BK99="VALID"),"PASS","FAIL")))</x:f>
      </x:c>
      <x:c r="J99" s="2" t="str">
        <x:f>IF(A99="","",IF(BQ99&lt;&gt;"VALID","Verifica ID, echipe, mod si cutoff &lt; kickoff",IF(H99&lt;&gt;"READY",IF('Input_Meci'!I99="ACCESS BLOCKED","Acces blocat: reia sursele",IF(BJ99&gt;0,"Istoric invalid sau conflict: verifica randurile native","Surse neinchise / post-cutoff / dovezi incomplete")),IF(OR('Input_Meci'!I99="NOT AVAILABLE",'Input_Meci'!I99="SOURCE CONFLICT"),'Input_Meci'!I99,IF(BK99&lt;&gt;"VALID","Parametri invalizi",IF(L99&lt;&gt;12,"Core / sample / prior insuficient",IF(AR99&lt;2,"N insuficient pentru dispersie",IF(AS99&lt;=0,"Media istorica trebuie sa fie pozitiva",IF(BI99&lt;&gt;"VALID","Context invalid","READY")))))))))</x:f>
      </x:c>
      <x:c r="K99" s="2" t="str">
        <x:f>IF(A99="","",COUNT(T99:AE99))</x:f>
      </x:c>
      <x:c r="L99" s="2" t="str">
        <x:f>IF(A99="","",COUNT(AF99:AQ99))</x:f>
      </x:c>
      <x:c r="M99" s="2" t="str">
        <x:f>IF(A99="","",IF(OR('Core_Nativ'!M1122&lt;'Core_Nativ'!P1122,'Core_Nativ'!M1123&lt;'Core_Nativ'!P1123,'Core_Nativ'!M1124&lt;'Core_Nativ'!P1124,'Core_Nativ'!M1125&lt;'Core_Nativ'!P1125,'Core_Nativ'!M1126&lt;'Core_Nativ'!P1126,'Core_Nativ'!M1127&lt;'Core_Nativ'!P1127),"YES","NO"))</x:f>
      </x:c>
      <x:c r="N99" s="2" t="str">
        <x:f>IF(A99="","",'Core_Nativ'!M1122)</x:f>
      </x:c>
      <x:c r="O99" s="2" t="str">
        <x:f>IF(A99="","",'Core_Nativ'!M1123)</x:f>
      </x:c>
      <x:c r="P99" s="2" t="str">
        <x:f>IF(A99="","",'Core_Nativ'!M1124)</x:f>
      </x:c>
      <x:c r="Q99" s="2" t="str">
        <x:f>IF(A99="","",'Core_Nativ'!M1125)</x:f>
      </x:c>
      <x:c r="R99" s="2" t="str">
        <x:f>IF(A99="","",'Core_Nativ'!M1126)</x:f>
      </x:c>
      <x:c r="S99" s="2" t="str">
        <x:f>IF(A99="","",'Core_Nativ'!M1127)</x:f>
      </x:c>
      <x:c r="T99" s="11" t="str">
        <x:f>IF(OR(A99="",'Core_Nativ'!M1122=0),"",'Core_Nativ'!N1122)</x:f>
      </x:c>
      <x:c r="U99" s="11" t="str">
        <x:f>IF(OR(A99="",'Core_Nativ'!M1122=0),"",'Core_Nativ'!O1122)</x:f>
      </x:c>
      <x:c r="V99" s="11" t="str">
        <x:f>IF(OR(A99="",'Core_Nativ'!M1123=0),"",'Core_Nativ'!N1123)</x:f>
      </x:c>
      <x:c r="W99" s="11" t="str">
        <x:f>IF(OR(A99="",'Core_Nativ'!M1123=0),"",'Core_Nativ'!O1123)</x:f>
      </x:c>
      <x:c r="X99" s="11" t="str">
        <x:f>IF(OR(A99="",'Core_Nativ'!M1124=0),"",'Core_Nativ'!N1124)</x:f>
      </x:c>
      <x:c r="Y99" s="11" t="str">
        <x:f>IF(OR(A99="",'Core_Nativ'!M1124=0),"",'Core_Nativ'!O1124)</x:f>
      </x:c>
      <x:c r="Z99" s="11" t="str">
        <x:f>IF(OR(A99="",'Core_Nativ'!M1125=0),"",'Core_Nativ'!N1125)</x:f>
      </x:c>
      <x:c r="AA99" s="11" t="str">
        <x:f>IF(OR(A99="",'Core_Nativ'!M1125=0),"",'Core_Nativ'!O1125)</x:f>
      </x:c>
      <x:c r="AB99" s="11" t="str">
        <x:f>IF(OR(A99="",'Core_Nativ'!M1126=0),"",'Core_Nativ'!N1126)</x:f>
      </x:c>
      <x:c r="AC99" s="11" t="str">
        <x:f>IF(OR(A99="",'Core_Nativ'!M1126=0),"",'Core_Nativ'!O1126)</x:f>
      </x:c>
      <x:c r="AD99" s="11" t="str">
        <x:f>IF(OR(A99="",'Core_Nativ'!M1127=0),"",'Core_Nativ'!N1127)</x:f>
      </x:c>
      <x:c r="AE99" s="11" t="str">
        <x:f>IF(OR(A99="",'Core_Nativ'!M1127=0),"",'Core_Nativ'!O1127)</x:f>
      </x:c>
      <x:c r="AF99" s="11" t="str">
        <x:f>IF(A99="","",IF(AND('Core_Nativ'!R1122="CLOSED",'Core_Nativ'!S1122=0),IF('Core_Nativ'!M1122&gt;='Core_Nativ'!P1122,'Core_Nativ'!N1122,IF(AND('Input_Meci'!L99="YES",'Input_Meci'!K99&lt;&gt;"",'Input_Meci'!K99&lt;C99,'Core_Nativ'!T1128="DERIVED",'Core_Nativ'!M1128&gt;='Core_Nativ'!P1122),MIN(1,'Core_Nativ'!M1122/'Core_Nativ'!P1122)*IF('Core_Nativ'!M1122=0,0,'Core_Nativ'!N1122)+(1-MIN(1,'Core_Nativ'!M1122/'Core_Nativ'!P1122))*'Core_Nativ'!N1128,"")),""))</x:f>
      </x:c>
      <x:c r="AG99" s="11" t="str">
        <x:f>IF(A99="","",IF(AND('Core_Nativ'!R1122="CLOSED",'Core_Nativ'!S1122=0),IF('Core_Nativ'!M1122&gt;='Core_Nativ'!P1122,'Core_Nativ'!O1122,IF(AND('Input_Meci'!L99="YES",'Input_Meci'!K99&lt;&gt;"",'Input_Meci'!K99&lt;C99,'Core_Nativ'!T1128="DERIVED",'Core_Nativ'!M1128&gt;='Core_Nativ'!P1122),MIN(1,'Core_Nativ'!M1122/'Core_Nativ'!P1122)*IF('Core_Nativ'!M1122=0,0,'Core_Nativ'!O1122)+(1-MIN(1,'Core_Nativ'!M1122/'Core_Nativ'!P1122))*'Core_Nativ'!O1128,"")),""))</x:f>
      </x:c>
      <x:c r="AH99" s="11" t="str">
        <x:f>IF(A99="","",IF(AND('Core_Nativ'!R1123="CLOSED",'Core_Nativ'!S1123=0),IF('Core_Nativ'!M1123&gt;='Core_Nativ'!P1123,'Core_Nativ'!N1123,IF(AND('Input_Meci'!L99="YES",'Input_Meci'!K99&lt;&gt;"",'Input_Meci'!K99&lt;C99,'Core_Nativ'!T1129="DERIVED",'Core_Nativ'!M1129&gt;='Core_Nativ'!P1123),MIN(1,'Core_Nativ'!M1123/'Core_Nativ'!P1123)*IF('Core_Nativ'!M1123=0,0,'Core_Nativ'!N1123)+(1-MIN(1,'Core_Nativ'!M1123/'Core_Nativ'!P1123))*'Core_Nativ'!N1129,"")),""))</x:f>
      </x:c>
      <x:c r="AI99" s="11" t="str">
        <x:f>IF(A99="","",IF(AND('Core_Nativ'!R1123="CLOSED",'Core_Nativ'!S1123=0),IF('Core_Nativ'!M1123&gt;='Core_Nativ'!P1123,'Core_Nativ'!O1123,IF(AND('Input_Meci'!L99="YES",'Input_Meci'!K99&lt;&gt;"",'Input_Meci'!K99&lt;C99,'Core_Nativ'!T1129="DERIVED",'Core_Nativ'!M1129&gt;='Core_Nativ'!P1123),MIN(1,'Core_Nativ'!M1123/'Core_Nativ'!P1123)*IF('Core_Nativ'!M1123=0,0,'Core_Nativ'!O1123)+(1-MIN(1,'Core_Nativ'!M1123/'Core_Nativ'!P1123))*'Core_Nativ'!O1129,"")),""))</x:f>
      </x:c>
      <x:c r="AJ99" s="11" t="str">
        <x:f>IF(A99="","",IF(AND('Core_Nativ'!R1124="CLOSED",'Core_Nativ'!S1124=0),IF('Core_Nativ'!M1124&gt;='Core_Nativ'!P1124,'Core_Nativ'!N1124,IF(AND('Input_Meci'!L99="YES",'Input_Meci'!K99&lt;&gt;"",'Input_Meci'!K99&lt;C99,'Core_Nativ'!T1130="DERIVED",'Core_Nativ'!M1130&gt;='Core_Nativ'!P1124),MIN(1,'Core_Nativ'!M1124/'Core_Nativ'!P1124)*IF('Core_Nativ'!M1124=0,0,'Core_Nativ'!N1124)+(1-MIN(1,'Core_Nativ'!M1124/'Core_Nativ'!P1124))*'Core_Nativ'!N1130,"")),""))</x:f>
      </x:c>
      <x:c r="AK99" s="11" t="str">
        <x:f>IF(A99="","",IF(AND('Core_Nativ'!R1124="CLOSED",'Core_Nativ'!S1124=0),IF('Core_Nativ'!M1124&gt;='Core_Nativ'!P1124,'Core_Nativ'!O1124,IF(AND('Input_Meci'!L99="YES",'Input_Meci'!K99&lt;&gt;"",'Input_Meci'!K99&lt;C99,'Core_Nativ'!T1130="DERIVED",'Core_Nativ'!M1130&gt;='Core_Nativ'!P1124),MIN(1,'Core_Nativ'!M1124/'Core_Nativ'!P1124)*IF('Core_Nativ'!M1124=0,0,'Core_Nativ'!O1124)+(1-MIN(1,'Core_Nativ'!M1124/'Core_Nativ'!P1124))*'Core_Nativ'!O1130,"")),""))</x:f>
      </x:c>
      <x:c r="AL99" s="11" t="str">
        <x:f>IF(A99="","",IF(AND('Core_Nativ'!R1125="CLOSED",'Core_Nativ'!S1125=0),IF('Core_Nativ'!M1125&gt;='Core_Nativ'!P1125,'Core_Nativ'!N1125,IF(AND('Input_Meci'!L99="YES",'Input_Meci'!K99&lt;&gt;"",'Input_Meci'!K99&lt;C99,'Core_Nativ'!T1131="DERIVED",'Core_Nativ'!M1131&gt;='Core_Nativ'!P1125),MIN(1,'Core_Nativ'!M1125/'Core_Nativ'!P1125)*IF('Core_Nativ'!M1125=0,0,'Core_Nativ'!N1125)+(1-MIN(1,'Core_Nativ'!M1125/'Core_Nativ'!P1125))*'Core_Nativ'!N1131,"")),""))</x:f>
      </x:c>
      <x:c r="AM99" s="11" t="str">
        <x:f>IF(A99="","",IF(AND('Core_Nativ'!R1125="CLOSED",'Core_Nativ'!S1125=0),IF('Core_Nativ'!M1125&gt;='Core_Nativ'!P1125,'Core_Nativ'!O1125,IF(AND('Input_Meci'!L99="YES",'Input_Meci'!K99&lt;&gt;"",'Input_Meci'!K99&lt;C99,'Core_Nativ'!T1131="DERIVED",'Core_Nativ'!M1131&gt;='Core_Nativ'!P1125),MIN(1,'Core_Nativ'!M1125/'Core_Nativ'!P1125)*IF('Core_Nativ'!M1125=0,0,'Core_Nativ'!O1125)+(1-MIN(1,'Core_Nativ'!M1125/'Core_Nativ'!P1125))*'Core_Nativ'!O1131,"")),""))</x:f>
      </x:c>
      <x:c r="AN99" s="11" t="str">
        <x:f>IF(A99="","",IF(AND('Core_Nativ'!R1126="CLOSED",'Core_Nativ'!S1126=0),IF('Core_Nativ'!M1126&gt;='Core_Nativ'!P1126,'Core_Nativ'!N1126,IF(AND('Input_Meci'!L99="YES",'Input_Meci'!K99&lt;&gt;"",'Input_Meci'!K99&lt;C99,'Core_Nativ'!T1132="DERIVED",'Core_Nativ'!M1132&gt;='Core_Nativ'!P1126),MIN(1,'Core_Nativ'!M1126/'Core_Nativ'!P1126)*IF('Core_Nativ'!M1126=0,0,'Core_Nativ'!N1126)+(1-MIN(1,'Core_Nativ'!M1126/'Core_Nativ'!P1126))*'Core_Nativ'!N1132,"")),""))</x:f>
      </x:c>
      <x:c r="AO99" s="11" t="str">
        <x:f>IF(A99="","",IF(AND('Core_Nativ'!R1126="CLOSED",'Core_Nativ'!S1126=0),IF('Core_Nativ'!M1126&gt;='Core_Nativ'!P1126,'Core_Nativ'!O1126,IF(AND('Input_Meci'!L99="YES",'Input_Meci'!K99&lt;&gt;"",'Input_Meci'!K99&lt;C99,'Core_Nativ'!T1132="DERIVED",'Core_Nativ'!M1132&gt;='Core_Nativ'!P1126),MIN(1,'Core_Nativ'!M1126/'Core_Nativ'!P1126)*IF('Core_Nativ'!M1126=0,0,'Core_Nativ'!O1126)+(1-MIN(1,'Core_Nativ'!M1126/'Core_Nativ'!P1126))*'Core_Nativ'!O1132,"")),""))</x:f>
      </x:c>
      <x:c r="AP99" s="11" t="str">
        <x:f>IF(A99="","",IF(AND('Core_Nativ'!R1127="CLOSED",'Core_Nativ'!S1127=0),IF('Core_Nativ'!M1127&gt;='Core_Nativ'!P1127,'Core_Nativ'!N1127,IF(AND('Input_Meci'!L99="YES",'Input_Meci'!K99&lt;&gt;"",'Input_Meci'!K99&lt;C99,'Core_Nativ'!T1133="DERIVED",'Core_Nativ'!M1133&gt;='Core_Nativ'!P1127),MIN(1,'Core_Nativ'!M1127/'Core_Nativ'!P1127)*IF('Core_Nativ'!M1127=0,0,'Core_Nativ'!N1127)+(1-MIN(1,'Core_Nativ'!M1127/'Core_Nativ'!P1127))*'Core_Nativ'!N1133,"")),""))</x:f>
      </x:c>
      <x:c r="AQ99" s="11" t="str">
        <x:f>IF(A99="","",IF(AND('Core_Nativ'!R1127="CLOSED",'Core_Nativ'!S1127=0),IF('Core_Nativ'!M1127&gt;='Core_Nativ'!P1127,'Core_Nativ'!O1127,IF(AND('Input_Meci'!L99="YES",'Input_Meci'!K99&lt;&gt;"",'Input_Meci'!K99&lt;C99,'Core_Nativ'!T1133="DERIVED",'Core_Nativ'!M1133&gt;='Core_Nativ'!P1127),MIN(1,'Core_Nativ'!M1127/'Core_Nativ'!P1127)*IF('Core_Nativ'!M1127=0,0,'Core_Nativ'!O1127)+(1-MIN(1,'Core_Nativ'!M1127/'Core_Nativ'!P1127))*'Core_Nativ'!O1133,"")),""))</x:f>
      </x:c>
      <x:c r="AR99" s="11" t="str">
        <x:f>IF(A99="","",SUMPRODUCT(('Istoric_Nativ'!$B$6:$B$405=B99)*('Istoric_Nativ'!$C$6:$C$405=BL99)*('Istoric_Nativ'!$P$6:$P$405=1)*('Istoric_Nativ'!$D$6:$D$405&lt;INT(G99))*((('Istoric_Nativ'!$E$6:$E$405='Input_Meci'!D99)+('Istoric_Nativ'!$F$6:$F$405='Input_Meci'!D99)+('Istoric_Nativ'!$E$6:$E$405='Input_Meci'!E99)+('Istoric_Nativ'!$F$6:$F$405='Input_Meci'!E99))&gt;0)))</x:f>
      </x:c>
      <x:c r="AS99" s="11" t="str">
        <x:f>IF(AR99=0,"",SUMPRODUCT(('Istoric_Nativ'!$B$6:$B$405=B99)*('Istoric_Nativ'!$C$6:$C$405=BL99)*('Istoric_Nativ'!$P$6:$P$405=1)*('Istoric_Nativ'!$D$6:$D$405&lt;INT(G99))*((('Istoric_Nativ'!$E$6:$E$405='Input_Meci'!D99)+('Istoric_Nativ'!$F$6:$F$405='Input_Meci'!D99)+('Istoric_Nativ'!$E$6:$E$405='Input_Meci'!E99)+('Istoric_Nativ'!$F$6:$F$405='Input_Meci'!E99))&gt;0)*'Istoric_Nativ'!$Q$6:$Q$405)/AR99)</x:f>
      </x:c>
      <x:c r="AT99" s="11" t="str">
        <x:f>IF(AR99&lt;2,"",MAX(0,(SUMPRODUCT(('Istoric_Nativ'!$B$6:$B$405=B99)*('Istoric_Nativ'!$C$6:$C$405=BL99)*('Istoric_Nativ'!$P$6:$P$405=1)*('Istoric_Nativ'!$D$6:$D$405&lt;INT(G99))*((('Istoric_Nativ'!$E$6:$E$405='Input_Meci'!D99)+('Istoric_Nativ'!$F$6:$F$405='Input_Meci'!D99)+('Istoric_Nativ'!$E$6:$E$405='Input_Meci'!E99)+('Istoric_Nativ'!$F$6:$F$405='Input_Meci'!E99))&gt;0)*'Istoric_Nativ'!$R$6:$R$405)-AR99*AS99^2)/(AR99-1)))</x:f>
      </x:c>
      <x:c r="AU99" s="11" t="str">
        <x:f>IF(I99&lt;&gt;"PASS","",AT99/AS99)</x:f>
      </x:c>
      <x:c r="AV99" s="11" t="str">
        <x:f>IF(I99&lt;&gt;"PASS","",IF(AU99&lt;='Config_v6'!$B$10,"POISSON","NEGATIVE BINOMIAL"))</x:f>
      </x:c>
      <x:c r="AW99" s="11" t="str">
        <x:f>IF(I99&lt;&gt;"PASS","",IF(AV99="POISSON",9999,AS99/(AU99-1)))</x:f>
      </x:c>
      <x:c r="AX99" s="11" t="str">
        <x:f>IF(A99="","",MAX(1-'Config_v6'!$B$20,MIN(1+'Config_v6'!$B$20,1+0.02*(IF(AND(ISNUMBER('Input_Meci'!N99),'Input_Meci'!N99&gt;=0,'Input_Meci'!N99&lt;=200),'Input_Meci'!N99,12)/12-1)+0.02*(IF(AND(ISNUMBER('Input_Meci'!P99),'Input_Meci'!P99&gt;=0,'Input_Meci'!P99&lt;=200),'Input_Meci'!P99,3.5)/3.5-1)+0.02*(IF(AND(ISNUMBER('Input_Meci'!R99),'Input_Meci'!R99&gt;=0,'Input_Meci'!R99&lt;=200),'Input_Meci'!R99,18)/18-1)+0.02*((IF(AND(ISNUMBER('Input_Meci'!V99),'Input_Meci'!V99&gt;=0,'Input_Meci'!V99&lt;=10),'Input_Meci'!V99,5)-5)/5))))</x:f>
      </x:c>
      <x:c r="AY99" s="11" t="str">
        <x:f>IF(A99="","",MAX(1-'Config_v6'!$B$20,MIN(1+'Config_v6'!$B$20,1+0.02*(IF(AND(ISNUMBER('Input_Meci'!O99),'Input_Meci'!O99&gt;=0,'Input_Meci'!O99&lt;=200),'Input_Meci'!O99,12)/12-1)+0.02*(IF(AND(ISNUMBER('Input_Meci'!Q99),'Input_Meci'!Q99&gt;=0,'Input_Meci'!Q99&lt;=200),'Input_Meci'!Q99,3.5)/3.5-1)+0.02*(IF(AND(ISNUMBER('Input_Meci'!S99),'Input_Meci'!S99&gt;=0,'Input_Meci'!S99&lt;=200),'Input_Meci'!S99,18)/18-1)+0.02*((IF(AND(ISNUMBER('Input_Meci'!W99),'Input_Meci'!W99&gt;=0,'Input_Meci'!W99&lt;=10),'Input_Meci'!W99,5)-5)/5))))</x:f>
      </x:c>
      <x:c r="AZ99" s="11" t="str">
        <x:f>IF(A99="","",MAX(1-'Config_v6'!$B$21,MIN(1+'Config_v6'!$B$21,1+0.012*(IF('Input_Meci'!X99="",5,IF(ISNUMBER('Input_Meci'!X99),'Input_Meci'!X99,5))-5)+0.018*(IF('Input_Meci'!Z99="",5,IF(ISNUMBER('Input_Meci'!Z99),'Input_Meci'!Z99,5))-5)+0.012*(IF('Input_Meci'!AB99="",5,IF(ISNUMBER('Input_Meci'!AB99),'Input_Meci'!AB99,5))-5)+0.015*IF('Input_Meci'!AD99="",0,IF(ISNUMBER('Input_Meci'!AD99),'Input_Meci'!AD99,0))+0.02*IF('Input_Meci'!AF99="",0,IF(ISNUMBER('Input_Meci'!AF99),'Input_Meci'!AF99,0)))))</x:f>
      </x:c>
      <x:c r="BA99" s="11" t="str">
        <x:f>IF(A99="","",MAX(1-'Config_v6'!$B$21,MIN(1+'Config_v6'!$B$21,1+0.012*(IF('Input_Meci'!Y99="",5,IF(ISNUMBER('Input_Meci'!Y99),'Input_Meci'!Y99,5))-5)+0.018*(IF('Input_Meci'!AA99="",5,IF(ISNUMBER('Input_Meci'!AA99),'Input_Meci'!AA99,5))-5)+0.012*(IF('Input_Meci'!AC99="",5,IF(ISNUMBER('Input_Meci'!AC99),'Input_Meci'!AC99,5))-5)+0.015*IF('Input_Meci'!AE99="",0,IF(ISNUMBER('Input_Meci'!AE99),'Input_Meci'!AE99,0))+0.02*IF('Input_Meci'!AG99="",0,IF(ISNUMBER('Input_Meci'!AG99),'Input_Meci'!AG99,0)))))</x:f>
      </x:c>
      <x:c r="BB99" s="11" t="str">
        <x:f>IF(I99&lt;&gt;"PASS","",(AVERAGE(AF99,AM99)*'Config_v6'!$B$4+AVERAGE(AH99,AO99)*'Config_v6'!$B$5+AVERAGE(AJ99,AQ99)*'Config_v6'!$B$6)*AX99*AZ99)</x:f>
      </x:c>
      <x:c r="BC99" s="11" t="str">
        <x:f>IF(I99&lt;&gt;"PASS","",(AVERAGE(AL99,AG99)*'Config_v6'!$B$4+AVERAGE(AN99,AI99)*'Config_v6'!$B$5+AVERAGE(AP99,AK99)*'Config_v6'!$B$6)*AY99*BA99)</x:f>
      </x:c>
      <x:c r="BD99" s="11" t="str">
        <x:f>IF(I99&lt;&gt;"PASS","",BB99+BC99)</x:f>
      </x:c>
      <x:c r="BE99" s="11" t="str">
        <x:f>IF(A99="","",10-SUM(IF(AND(ISNUMBER('Input_Meci'!N99),'Input_Meci'!N99&gt;=0,'Input_Meci'!N99&lt;=200),1,0),IF(AND(ISNUMBER('Input_Meci'!O99),'Input_Meci'!O99&gt;=0,'Input_Meci'!O99&lt;=200),1,0),IF(AND(ISNUMBER('Input_Meci'!P99),'Input_Meci'!P99&gt;=0,'Input_Meci'!P99&lt;=200),1,0),IF(AND(ISNUMBER('Input_Meci'!Q99),'Input_Meci'!Q99&gt;=0,'Input_Meci'!Q99&lt;=200),1,0),IF(AND(ISNUMBER('Input_Meci'!R99),'Input_Meci'!R99&gt;=0,'Input_Meci'!R99&lt;=200),1,0),IF(AND(ISNUMBER('Input_Meci'!S99),'Input_Meci'!S99&gt;=0,'Input_Meci'!S99&lt;=200),1,0),IF(AND(ISNUMBER('Input_Meci'!T99),'Input_Meci'!T99&gt;=0,'Input_Meci'!T99&lt;=100),1,0),IF(AND(ISNUMBER('Input_Meci'!U99),'Input_Meci'!U99&gt;=0,'Input_Meci'!U99&lt;=100),1,0),IF(AND(ISNUMBER('Input_Meci'!V99),'Input_Meci'!V99&gt;=0,'Input_Meci'!V99&lt;=10),1,0),IF(AND(ISNUMBER('Input_Meci'!W99),'Input_Meci'!W99&gt;=0,'Input_Meci'!W99&lt;=10),1,0)))</x:f>
      </x:c>
      <x:c r="BF99" s="11" t="str">
        <x:f>IF(I99&lt;&gt;"PASS","",MAX(0,MIN(IF(OR(M99="YES",BL99&lt;&gt;C99),'Config_v6'!$B$34,100),ROUND(40+25*MIN(1,MIN(N99,Q99)/'Config_v6'!$B$7)*MIN(1,MIN(O99,R99)/'Config_v6'!$B$8)*MIN(1,MIN(P99,S99)/'Config_v6'!$B$9)+MAX(0,15-2*ABS(AF99-AJ99)-2*ABS(AL99-AP99))+IF(AU99&lt;='Config_v6'!$B$10,15,IF(AU99&lt;='Config_v6'!$B$11,13,IF(AU99&lt;='Config_v6'!$B$12,10,IF(AU99&lt;='Config_v6'!$B$13,6,0))))+5-BE99/10*'Config_v6'!$B$38,0))))</x:f>
      </x:c>
      <x:c r="BG99" s="11" t="str">
        <x:f>IF(I99&lt;&gt;"PASS","",MIN(1,'Config_v6'!$B$14*(0.7+0.3*MIN(1,AR99/'Config_v6'!$B$15))*IF(AU99&lt;='Config_v6'!$B$10,1,IF(AU99&lt;='Config_v6'!$B$11,0.95,IF(AU99&lt;='Config_v6'!$B$12,0.88,0.78)))*(0.75+0.25*BF99/100)))</x:f>
      </x:c>
      <x:c r="BH99" s="11" t="str">
        <x:f>IF(I99&lt;&gt;"PASS","",MIN(1,(ABS(AZ99-1)+ABS(BA99-1))*3))</x:f>
      </x:c>
      <x:c r="BI99" s="2" t="str">
        <x:f>IF(A99="","",IF(AND(OR('Input_Meci'!X99="",AND(ISNUMBER('Input_Meci'!X99),'Input_Meci'!X99&gt;=0,'Input_Meci'!X99&lt;=10)),OR('Input_Meci'!Y99="",AND(ISNUMBER('Input_Meci'!Y99),'Input_Meci'!Y99&gt;=0,'Input_Meci'!Y99&lt;=10)),OR('Input_Meci'!Z99="",AND(ISNUMBER('Input_Meci'!Z99),'Input_Meci'!Z99&gt;=0,'Input_Meci'!Z99&lt;=10)),OR('Input_Meci'!AA99="",AND(ISNUMBER('Input_Meci'!AA99),'Input_Meci'!AA99&gt;=0,'Input_Meci'!AA99&lt;=10)),OR('Input_Meci'!AB99="",AND(ISNUMBER('Input_Meci'!AB99),'Input_Meci'!AB99&gt;=0,'Input_Meci'!AB99&lt;=10)),OR('Input_Meci'!AC99="",AND(ISNUMBER('Input_Meci'!AC99),'Input_Meci'!AC99&gt;=0,'Input_Meci'!AC99&lt;=10)),OR('Input_Meci'!AD99="",AND(ISNUMBER('Input_Meci'!AD99),'Input_Meci'!AD99&gt;=-2,'Input_Meci'!AD99&lt;=2)),OR('Input_Meci'!AE99="",AND(ISNUMBER('Input_Meci'!AE99),'Input_Meci'!AE99&gt;=-2,'Input_Meci'!AE99&lt;=2)),OR('Input_Meci'!AF99="",AND(ISNUMBER('Input_Meci'!AF99),'Input_Meci'!AF99&gt;=-2,'Input_Meci'!AF99&lt;=2)),OR('Input_Meci'!AG99="",AND(ISNUMBER('Input_Meci'!AG99),'Input_Meci'!AG99&gt;=-2,'Input_Meci'!AG99&lt;=2))),"VALID","INVALID"))</x:f>
      </x:c>
      <x:c r="BJ99" s="2" t="n">
        <x:f>IF(A99="",0,SUM('Core_Nativ'!S1122:S1127))</x:f>
        <x:v>0</x:v>
      </x:c>
      <x:c r="BK99" s="2" t="str">
        <x:f>'Config_v6'!$B$40</x:f>
        <x:v>VALID</x:v>
      </x:c>
      <x:c r="BL99" s="2" t="str">
        <x:f>IF(A99="","",IF(SUMPRODUCT(('Istoric_Nativ'!$B$6:$B$405=B99)*('Istoric_Nativ'!$C$6:$C$405=C99)*('Istoric_Nativ'!$P$6:$P$405=1)*('Istoric_Nativ'!$D$6:$D$405&lt;INT(G99))*((('Istoric_Nativ'!$E$6:$E$405='Input_Meci'!D99)+('Istoric_Nativ'!$F$6:$F$405='Input_Meci'!D99)+('Istoric_Nativ'!$E$6:$E$405='Input_Meci'!E99)+('Istoric_Nativ'!$F$6:$F$405='Input_Meci'!E99))&gt;0))&gt;='Config_v6'!$B$41,C99,IF(AND('Input_Meci'!L99="YES",'Input_Meci'!K99&lt;&gt;"",'Input_Meci'!K99&lt;C99,COUNTIF('Core_Nativ'!R1128:R1133,"CLOSED")=6,SUM('Core_Nativ'!S1128:S1133)=0),'Input_Meci'!K99,C99)))</x:f>
      </x:c>
      <x:c r="BM99" s="9" t="n">
        <x:f>IF(OR(A99="",N99=0),0,LARGE(_xlfn._xlws.FILTER('Istoric_Nativ'!$D$6:$D$405,('Istoric_Nativ'!$B$6:$B$405=B99)*('Istoric_Nativ'!$C$6:$C$405=C99)*('Istoric_Nativ'!$P$6:$P$405=1)*('Istoric_Nativ'!$D$6:$D$405&lt;INT(G99))*((('Istoric_Nativ'!$E$6:$E$405='Input_Meci'!D99)+('Istoric_Nativ'!$F$6:$F$405='Input_Meci'!D99))&gt;0)),MIN(10,N99)))</x:f>
        <x:v>0</x:v>
      </x:c>
      <x:c r="BN99" s="9" t="n">
        <x:f>IF(OR(A99="",Q99=0),0,LARGE(_xlfn._xlws.FILTER('Istoric_Nativ'!$D$6:$D$405,('Istoric_Nativ'!$B$6:$B$405=B99)*('Istoric_Nativ'!$C$6:$C$405=C99)*('Istoric_Nativ'!$P$6:$P$405=1)*('Istoric_Nativ'!$D$6:$D$405&lt;INT(G99))*((('Istoric_Nativ'!$E$6:$E$405='Input_Meci'!E99)+('Istoric_Nativ'!$F$6:$F$405='Input_Meci'!E99))&gt;0)),MIN(10,Q99)))</x:f>
        <x:v>0</x:v>
      </x:c>
      <x:c r="BO99" s="9" t="n">
        <x:f>IF(OR(A99="",N99=0),0,LARGE(_xlfn._xlws.FILTER('Istoric_Nativ'!$D$6:$D$405,('Istoric_Nativ'!$B$6:$B$405=B99)*('Istoric_Nativ'!$C$6:$C$405=C99)*('Istoric_Nativ'!$P$6:$P$405=1)*('Istoric_Nativ'!$D$6:$D$405&lt;INT(G99))*((('Istoric_Nativ'!$E$6:$E$405='Input_Meci'!D99)+('Istoric_Nativ'!$F$6:$F$405='Input_Meci'!D99))&gt;0)),MIN(20,N99)))</x:f>
        <x:v>0</x:v>
      </x:c>
      <x:c r="BP99" s="9" t="n">
        <x:f>IF(OR(A99="",Q99=0),0,LARGE(_xlfn._xlws.FILTER('Istoric_Nativ'!$D$6:$D$405,('Istoric_Nativ'!$B$6:$B$405=B99)*('Istoric_Nativ'!$C$6:$C$405=C99)*('Istoric_Nativ'!$P$6:$P$405=1)*('Istoric_Nativ'!$D$6:$D$405&lt;INT(G99))*((('Istoric_Nativ'!$E$6:$E$405='Input_Meci'!E99)+('Istoric_Nativ'!$F$6:$F$405='Input_Meci'!E99))&gt;0)),MIN(20,Q99)))</x:f>
        <x:v>0</x:v>
      </x:c>
      <x:c r="BQ99" s="2" t="str">
        <x:f>IF(A99="","",IF(AND(COUNTIF(MatchesTable[Match_ID],A99)=1,COUNTIFS(MatchesTable[League],B99,MatchesTable[Season],C99,MatchesTable[Home],'Input_Meci'!D99,MatchesTable[Away],'Input_Meci'!E99,MatchesTable[Kickoff_UTC],F99)=1,B99&lt;&gt;"",C99&lt;&gt;"",'Input_Meci'!D99&lt;&gt;"",'Input_Meci'!E99&lt;&gt;"",'Input_Meci'!D99&lt;&gt;'Input_Meci'!E99,ISNUMBER(F99),ISNUMBER(G99),G99&lt;F99,OR(E99="LIVE",E99="REPLAY"),OR('Input_Meci'!L99="YES",'Input_Meci'!L99="NO",'Input_Meci'!L99="")),"VALID","INVALID"))</x:f>
      </x:c>
      <x:c r="BR99" s="2" t="n">
        <x:f>IF(I99&lt;&gt;"PASS",0,SUMPRODUCT(('Istoric_Nativ'!$B$6:$B$405='Input_Meci'!B99)*('Istoric_Nativ'!$C$6:$C$405='Input_Meci'!C99)*('Istoric_Nativ'!$P$6:$P$405=1)*('Istoric_Nativ'!$D$6:$D$405&lt;INT('Input_Meci'!G99))*((('Istoric_Nativ'!$E$6:$E$405='Input_Meci'!D99)+('Istoric_Nativ'!$F$6:$F$405='Input_Meci'!E99))&gt;0)))</x:f>
        <x:v>0</x:v>
      </x:c>
      <x:c r="BS99" s="2" t="n">
        <x:f>IF(I99&lt;&gt;"PASS",0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BM99)+((('Istoric_Nativ'!$E$6:$E$405='Input_Meci'!E99)+('Istoric_Nativ'!$F$6:$F$405='Input_Meci'!E99))&gt;0)*('Istoric_Nativ'!$D$6:$D$405&gt;=BN99))&gt;0)))</x:f>
        <x:v>0</x:v>
      </x:c>
      <x:c r="BT99" s="2" t="n">
        <x:f>IF(I99&lt;&gt;"PASS",0,SUMPRODUCT(('Istoric_Nativ'!$B$6:$B$405='Input_Meci'!B99)*('Istoric_Nativ'!$C$6:$C$405='Input_Meci'!C99)*('Istoric_Nativ'!$P$6:$P$405=1)*('Istoric_Nativ'!$D$6:$D$405&lt;INT('Input_Meci'!G99))*((((('Istoric_Nativ'!$E$6:$E$405='Input_Meci'!D99)+('Istoric_Nativ'!$F$6:$F$405='Input_Meci'!D99))&gt;0)*('Istoric_Nativ'!$D$6:$D$405&gt;=BO99)+((('Istoric_Nativ'!$E$6:$E$405='Input_Meci'!E99)+('Istoric_Nativ'!$F$6:$F$405='Input_Meci'!E99))&gt;0)*('Istoric_Nativ'!$D$6:$D$405&gt;=BP99))&gt;0)))</x:f>
        <x:v>0</x:v>
      </x:c>
    </x:row>
    <x:row r="100" ht="21" customHeight="1">
      <x:c r="A100" s="2" t="str">
        <x:f>IF('Input_Meci'!A100="","",'Input_Meci'!A100)</x:f>
      </x:c>
      <x:c r="B100" s="2" t="str">
        <x:f>IF(A100="","",'Input_Meci'!B100)</x:f>
      </x:c>
      <x:c r="C100" s="2" t="str">
        <x:f>IF(A100="","",'Input_Meci'!C100)</x:f>
      </x:c>
      <x:c r="D100" s="2" t="str">
        <x:f>IF(A100="","",'Input_Meci'!D100&amp;" – "&amp;'Input_Meci'!E100)</x:f>
      </x:c>
      <x:c r="E100" s="2" t="str">
        <x:f>IF(A100="","",'Input_Meci'!H100)</x:f>
      </x:c>
      <x:c r="F100" s="9" t="str">
        <x:f>IF(A100="","",'Input_Meci'!F100)</x:f>
      </x:c>
      <x:c r="G100" s="9" t="str">
        <x:f>IF(A100="","",'Input_Meci'!G100)</x:f>
      </x:c>
      <x:c r="H100" s="2" t="str">
        <x:f>IF(A100="","",IF(BQ100&lt;&gt;"VALID","NOT RELEASED",IF(AND(OR('Input_Meci'!I100="NOT AVAILABLE",'Input_Meci'!I100="SOURCE CONFLICT"),'Input_Meci'!J100&lt;&gt;""),"READY",IF(OR(NOT(OR('Input_Meci'!I100="AUTO",'Input_Meci'!I100="")),COUNTIF('Core_Nativ'!R1134:R1139,"CLOSED")&lt;&gt;6,BJ100&gt;0),"NOT RELEASED","READY"))))</x:f>
      </x:c>
      <x:c r="I100" s="2" t="str">
        <x:f>IF(A100="","",IF(H100&lt;&gt;"READY","NOT RELEASED",IF(AND(NOT(OR('Input_Meci'!I100="NOT AVAILABLE",'Input_Meci'!I100="SOURCE CONFLICT")),L100=12,AR100&gt;=2,AS100&gt;0,ISNUMBER(AT100),BI100="VALID",BK100="VALID"),"PASS","FAIL")))</x:f>
      </x:c>
      <x:c r="J100" s="2" t="str">
        <x:f>IF(A100="","",IF(BQ100&lt;&gt;"VALID","Verifica ID, echipe, mod si cutoff &lt; kickoff",IF(H100&lt;&gt;"READY",IF('Input_Meci'!I100="ACCESS BLOCKED","Acces blocat: reia sursele",IF(BJ100&gt;0,"Istoric invalid sau conflict: verifica randurile native","Surse neinchise / post-cutoff / dovezi incomplete")),IF(OR('Input_Meci'!I100="NOT AVAILABLE",'Input_Meci'!I100="SOURCE CONFLICT"),'Input_Meci'!I100,IF(BK100&lt;&gt;"VALID","Parametri invalizi",IF(L100&lt;&gt;12,"Core / sample / prior insuficient",IF(AR100&lt;2,"N insuficient pentru dispersie",IF(AS100&lt;=0,"Media istorica trebuie sa fie pozitiva",IF(BI100&lt;&gt;"VALID","Context invalid","READY")))))))))</x:f>
      </x:c>
      <x:c r="K100" s="2" t="str">
        <x:f>IF(A100="","",COUNT(T100:AE100))</x:f>
      </x:c>
      <x:c r="L100" s="2" t="str">
        <x:f>IF(A100="","",COUNT(AF100:AQ100))</x:f>
      </x:c>
      <x:c r="M100" s="2" t="str">
        <x:f>IF(A100="","",IF(OR('Core_Nativ'!M1134&lt;'Core_Nativ'!P1134,'Core_Nativ'!M1135&lt;'Core_Nativ'!P1135,'Core_Nativ'!M1136&lt;'Core_Nativ'!P1136,'Core_Nativ'!M1137&lt;'Core_Nativ'!P1137,'Core_Nativ'!M1138&lt;'Core_Nativ'!P1138,'Core_Nativ'!M1139&lt;'Core_Nativ'!P1139),"YES","NO"))</x:f>
      </x:c>
      <x:c r="N100" s="2" t="str">
        <x:f>IF(A100="","",'Core_Nativ'!M1134)</x:f>
      </x:c>
      <x:c r="O100" s="2" t="str">
        <x:f>IF(A100="","",'Core_Nativ'!M1135)</x:f>
      </x:c>
      <x:c r="P100" s="2" t="str">
        <x:f>IF(A100="","",'Core_Nativ'!M1136)</x:f>
      </x:c>
      <x:c r="Q100" s="2" t="str">
        <x:f>IF(A100="","",'Core_Nativ'!M1137)</x:f>
      </x:c>
      <x:c r="R100" s="2" t="str">
        <x:f>IF(A100="","",'Core_Nativ'!M1138)</x:f>
      </x:c>
      <x:c r="S100" s="2" t="str">
        <x:f>IF(A100="","",'Core_Nativ'!M1139)</x:f>
      </x:c>
      <x:c r="T100" s="11" t="str">
        <x:f>IF(OR(A100="",'Core_Nativ'!M1134=0),"",'Core_Nativ'!N1134)</x:f>
      </x:c>
      <x:c r="U100" s="11" t="str">
        <x:f>IF(OR(A100="",'Core_Nativ'!M1134=0),"",'Core_Nativ'!O1134)</x:f>
      </x:c>
      <x:c r="V100" s="11" t="str">
        <x:f>IF(OR(A100="",'Core_Nativ'!M1135=0),"",'Core_Nativ'!N1135)</x:f>
      </x:c>
      <x:c r="W100" s="11" t="str">
        <x:f>IF(OR(A100="",'Core_Nativ'!M1135=0),"",'Core_Nativ'!O1135)</x:f>
      </x:c>
      <x:c r="X100" s="11" t="str">
        <x:f>IF(OR(A100="",'Core_Nativ'!M1136=0),"",'Core_Nativ'!N1136)</x:f>
      </x:c>
      <x:c r="Y100" s="11" t="str">
        <x:f>IF(OR(A100="",'Core_Nativ'!M1136=0),"",'Core_Nativ'!O1136)</x:f>
      </x:c>
      <x:c r="Z100" s="11" t="str">
        <x:f>IF(OR(A100="",'Core_Nativ'!M1137=0),"",'Core_Nativ'!N1137)</x:f>
      </x:c>
      <x:c r="AA100" s="11" t="str">
        <x:f>IF(OR(A100="",'Core_Nativ'!M1137=0),"",'Core_Nativ'!O1137)</x:f>
      </x:c>
      <x:c r="AB100" s="11" t="str">
        <x:f>IF(OR(A100="",'Core_Nativ'!M1138=0),"",'Core_Nativ'!N1138)</x:f>
      </x:c>
      <x:c r="AC100" s="11" t="str">
        <x:f>IF(OR(A100="",'Core_Nativ'!M1138=0),"",'Core_Nativ'!O1138)</x:f>
      </x:c>
      <x:c r="AD100" s="11" t="str">
        <x:f>IF(OR(A100="",'Core_Nativ'!M1139=0),"",'Core_Nativ'!N1139)</x:f>
      </x:c>
      <x:c r="AE100" s="11" t="str">
        <x:f>IF(OR(A100="",'Core_Nativ'!M1139=0),"",'Core_Nativ'!O1139)</x:f>
      </x:c>
      <x:c r="AF100" s="11" t="str">
        <x:f>IF(A100="","",IF(AND('Core_Nativ'!R1134="CLOSED",'Core_Nativ'!S1134=0),IF('Core_Nativ'!M1134&gt;='Core_Nativ'!P1134,'Core_Nativ'!N1134,IF(AND('Input_Meci'!L100="YES",'Input_Meci'!K100&lt;&gt;"",'Input_Meci'!K100&lt;C100,'Core_Nativ'!T1140="DERIVED",'Core_Nativ'!M1140&gt;='Core_Nativ'!P1134),MIN(1,'Core_Nativ'!M1134/'Core_Nativ'!P1134)*IF('Core_Nativ'!M1134=0,0,'Core_Nativ'!N1134)+(1-MIN(1,'Core_Nativ'!M1134/'Core_Nativ'!P1134))*'Core_Nativ'!N1140,"")),""))</x:f>
      </x:c>
      <x:c r="AG100" s="11" t="str">
        <x:f>IF(A100="","",IF(AND('Core_Nativ'!R1134="CLOSED",'Core_Nativ'!S1134=0),IF('Core_Nativ'!M1134&gt;='Core_Nativ'!P1134,'Core_Nativ'!O1134,IF(AND('Input_Meci'!L100="YES",'Input_Meci'!K100&lt;&gt;"",'Input_Meci'!K100&lt;C100,'Core_Nativ'!T1140="DERIVED",'Core_Nativ'!M1140&gt;='Core_Nativ'!P1134),MIN(1,'Core_Nativ'!M1134/'Core_Nativ'!P1134)*IF('Core_Nativ'!M1134=0,0,'Core_Nativ'!O1134)+(1-MIN(1,'Core_Nativ'!M1134/'Core_Nativ'!P1134))*'Core_Nativ'!O1140,"")),""))</x:f>
      </x:c>
      <x:c r="AH100" s="11" t="str">
        <x:f>IF(A100="","",IF(AND('Core_Nativ'!R1135="CLOSED",'Core_Nativ'!S1135=0),IF('Core_Nativ'!M1135&gt;='Core_Nativ'!P1135,'Core_Nativ'!N1135,IF(AND('Input_Meci'!L100="YES",'Input_Meci'!K100&lt;&gt;"",'Input_Meci'!K100&lt;C100,'Core_Nativ'!T1141="DERIVED",'Core_Nativ'!M1141&gt;='Core_Nativ'!P1135),MIN(1,'Core_Nativ'!M1135/'Core_Nativ'!P1135)*IF('Core_Nativ'!M1135=0,0,'Core_Nativ'!N1135)+(1-MIN(1,'Core_Nativ'!M1135/'Core_Nativ'!P1135))*'Core_Nativ'!N1141,"")),""))</x:f>
      </x:c>
      <x:c r="AI100" s="11" t="str">
        <x:f>IF(A100="","",IF(AND('Core_Nativ'!R1135="CLOSED",'Core_Nativ'!S1135=0),IF('Core_Nativ'!M1135&gt;='Core_Nativ'!P1135,'Core_Nativ'!O1135,IF(AND('Input_Meci'!L100="YES",'Input_Meci'!K100&lt;&gt;"",'Input_Meci'!K100&lt;C100,'Core_Nativ'!T1141="DERIVED",'Core_Nativ'!M1141&gt;='Core_Nativ'!P1135),MIN(1,'Core_Nativ'!M1135/'Core_Nativ'!P1135)*IF('Core_Nativ'!M1135=0,0,'Core_Nativ'!O1135)+(1-MIN(1,'Core_Nativ'!M1135/'Core_Nativ'!P1135))*'Core_Nativ'!O1141,"")),""))</x:f>
      </x:c>
      <x:c r="AJ100" s="11" t="str">
        <x:f>IF(A100="","",IF(AND('Core_Nativ'!R1136="CLOSED",'Core_Nativ'!S1136=0),IF('Core_Nativ'!M1136&gt;='Core_Nativ'!P1136,'Core_Nativ'!N1136,IF(AND('Input_Meci'!L100="YES",'Input_Meci'!K100&lt;&gt;"",'Input_Meci'!K100&lt;C100,'Core_Nativ'!T1142="DERIVED",'Core_Nativ'!M1142&gt;='Core_Nativ'!P1136),MIN(1,'Core_Nativ'!M1136/'Core_Nativ'!P1136)*IF('Core_Nativ'!M1136=0,0,'Core_Nativ'!N1136)+(1-MIN(1,'Core_Nativ'!M1136/'Core_Nativ'!P1136))*'Core_Nativ'!N1142,"")),""))</x:f>
      </x:c>
      <x:c r="AK100" s="11" t="str">
        <x:f>IF(A100="","",IF(AND('Core_Nativ'!R1136="CLOSED",'Core_Nativ'!S1136=0),IF('Core_Nativ'!M1136&gt;='Core_Nativ'!P1136,'Core_Nativ'!O1136,IF(AND('Input_Meci'!L100="YES",'Input_Meci'!K100&lt;&gt;"",'Input_Meci'!K100&lt;C100,'Core_Nativ'!T1142="DERIVED",'Core_Nativ'!M1142&gt;='Core_Nativ'!P1136),MIN(1,'Core_Nativ'!M1136/'Core_Nativ'!P1136)*IF('Core_Nativ'!M1136=0,0,'Core_Nativ'!O1136)+(1-MIN(1,'Core_Nativ'!M1136/'Core_Nativ'!P1136))*'Core_Nativ'!O1142,"")),""))</x:f>
      </x:c>
      <x:c r="AL100" s="11" t="str">
        <x:f>IF(A100="","",IF(AND('Core_Nativ'!R1137="CLOSED",'Core_Nativ'!S1137=0),IF('Core_Nativ'!M1137&gt;='Core_Nativ'!P1137,'Core_Nativ'!N1137,IF(AND('Input_Meci'!L100="YES",'Input_Meci'!K100&lt;&gt;"",'Input_Meci'!K100&lt;C100,'Core_Nativ'!T1143="DERIVED",'Core_Nativ'!M1143&gt;='Core_Nativ'!P1137),MIN(1,'Core_Nativ'!M1137/'Core_Nativ'!P1137)*IF('Core_Nativ'!M1137=0,0,'Core_Nativ'!N1137)+(1-MIN(1,'Core_Nativ'!M1137/'Core_Nativ'!P1137))*'Core_Nativ'!N1143,"")),""))</x:f>
      </x:c>
      <x:c r="AM100" s="11" t="str">
        <x:f>IF(A100="","",IF(AND('Core_Nativ'!R1137="CLOSED",'Core_Nativ'!S1137=0),IF('Core_Nativ'!M1137&gt;='Core_Nativ'!P1137,'Core_Nativ'!O1137,IF(AND('Input_Meci'!L100="YES",'Input_Meci'!K100&lt;&gt;"",'Input_Meci'!K100&lt;C100,'Core_Nativ'!T1143="DERIVED",'Core_Nativ'!M1143&gt;='Core_Nativ'!P1137),MIN(1,'Core_Nativ'!M1137/'Core_Nativ'!P1137)*IF('Core_Nativ'!M1137=0,0,'Core_Nativ'!O1137)+(1-MIN(1,'Core_Nativ'!M1137/'Core_Nativ'!P1137))*'Core_Nativ'!O1143,"")),""))</x:f>
      </x:c>
      <x:c r="AN100" s="11" t="str">
        <x:f>IF(A100="","",IF(AND('Core_Nativ'!R1138="CLOSED",'Core_Nativ'!S1138=0),IF('Core_Nativ'!M1138&gt;='Core_Nativ'!P1138,'Core_Nativ'!N1138,IF(AND('Input_Meci'!L100="YES",'Input_Meci'!K100&lt;&gt;"",'Input_Meci'!K100&lt;C100,'Core_Nativ'!T1144="DERIVED",'Core_Nativ'!M1144&gt;='Core_Nativ'!P1138),MIN(1,'Core_Nativ'!M1138/'Core_Nativ'!P1138)*IF('Core_Nativ'!M1138=0,0,'Core_Nativ'!N1138)+(1-MIN(1,'Core_Nativ'!M1138/'Core_Nativ'!P1138))*'Core_Nativ'!N1144,"")),""))</x:f>
      </x:c>
      <x:c r="AO100" s="11" t="str">
        <x:f>IF(A100="","",IF(AND('Core_Nativ'!R1138="CLOSED",'Core_Nativ'!S1138=0),IF('Core_Nativ'!M1138&gt;='Core_Nativ'!P1138,'Core_Nativ'!O1138,IF(AND('Input_Meci'!L100="YES",'Input_Meci'!K100&lt;&gt;"",'Input_Meci'!K100&lt;C100,'Core_Nativ'!T1144="DERIVED",'Core_Nativ'!M1144&gt;='Core_Nativ'!P1138),MIN(1,'Core_Nativ'!M1138/'Core_Nativ'!P1138)*IF('Core_Nativ'!M1138=0,0,'Core_Nativ'!O1138)+(1-MIN(1,'Core_Nativ'!M1138/'Core_Nativ'!P1138))*'Core_Nativ'!O1144,"")),""))</x:f>
      </x:c>
      <x:c r="AP100" s="11" t="str">
        <x:f>IF(A100="","",IF(AND('Core_Nativ'!R1139="CLOSED",'Core_Nativ'!S1139=0),IF('Core_Nativ'!M1139&gt;='Core_Nativ'!P1139,'Core_Nativ'!N1139,IF(AND('Input_Meci'!L100="YES",'Input_Meci'!K100&lt;&gt;"",'Input_Meci'!K100&lt;C100,'Core_Nativ'!T1145="DERIVED",'Core_Nativ'!M1145&gt;='Core_Nativ'!P1139),MIN(1,'Core_Nativ'!M1139/'Core_Nativ'!P1139)*IF('Core_Nativ'!M1139=0,0,'Core_Nativ'!N1139)+(1-MIN(1,'Core_Nativ'!M1139/'Core_Nativ'!P1139))*'Core_Nativ'!N1145,"")),""))</x:f>
      </x:c>
      <x:c r="AQ100" s="11" t="str">
        <x:f>IF(A100="","",IF(AND('Core_Nativ'!R1139="CLOSED",'Core_Nativ'!S1139=0),IF('Core_Nativ'!M1139&gt;='Core_Nativ'!P1139,'Core_Nativ'!O1139,IF(AND('Input_Meci'!L100="YES",'Input_Meci'!K100&lt;&gt;"",'Input_Meci'!K100&lt;C100,'Core_Nativ'!T1145="DERIVED",'Core_Nativ'!M1145&gt;='Core_Nativ'!P1139),MIN(1,'Core_Nativ'!M1139/'Core_Nativ'!P1139)*IF('Core_Nativ'!M1139=0,0,'Core_Nativ'!O1139)+(1-MIN(1,'Core_Nativ'!M1139/'Core_Nativ'!P1139))*'Core_Nativ'!O1145,"")),""))</x:f>
      </x:c>
      <x:c r="AR100" s="11" t="str">
        <x:f>IF(A100="","",SUMPRODUCT(('Istoric_Nativ'!$B$6:$B$405=B100)*('Istoric_Nativ'!$C$6:$C$405=BL100)*('Istoric_Nativ'!$P$6:$P$405=1)*('Istoric_Nativ'!$D$6:$D$405&lt;INT(G100))*((('Istoric_Nativ'!$E$6:$E$405='Input_Meci'!D100)+('Istoric_Nativ'!$F$6:$F$405='Input_Meci'!D100)+('Istoric_Nativ'!$E$6:$E$405='Input_Meci'!E100)+('Istoric_Nativ'!$F$6:$F$405='Input_Meci'!E100))&gt;0)))</x:f>
      </x:c>
      <x:c r="AS100" s="11" t="str">
        <x:f>IF(AR100=0,"",SUMPRODUCT(('Istoric_Nativ'!$B$6:$B$405=B100)*('Istoric_Nativ'!$C$6:$C$405=BL100)*('Istoric_Nativ'!$P$6:$P$405=1)*('Istoric_Nativ'!$D$6:$D$405&lt;INT(G100))*((('Istoric_Nativ'!$E$6:$E$405='Input_Meci'!D100)+('Istoric_Nativ'!$F$6:$F$405='Input_Meci'!D100)+('Istoric_Nativ'!$E$6:$E$405='Input_Meci'!E100)+('Istoric_Nativ'!$F$6:$F$405='Input_Meci'!E100))&gt;0)*'Istoric_Nativ'!$Q$6:$Q$405)/AR100)</x:f>
      </x:c>
      <x:c r="AT100" s="11" t="str">
        <x:f>IF(AR100&lt;2,"",MAX(0,(SUMPRODUCT(('Istoric_Nativ'!$B$6:$B$405=B100)*('Istoric_Nativ'!$C$6:$C$405=BL100)*('Istoric_Nativ'!$P$6:$P$405=1)*('Istoric_Nativ'!$D$6:$D$405&lt;INT(G100))*((('Istoric_Nativ'!$E$6:$E$405='Input_Meci'!D100)+('Istoric_Nativ'!$F$6:$F$405='Input_Meci'!D100)+('Istoric_Nativ'!$E$6:$E$405='Input_Meci'!E100)+('Istoric_Nativ'!$F$6:$F$405='Input_Meci'!E100))&gt;0)*'Istoric_Nativ'!$R$6:$R$405)-AR100*AS100^2)/(AR100-1)))</x:f>
      </x:c>
      <x:c r="AU100" s="11" t="str">
        <x:f>IF(I100&lt;&gt;"PASS","",AT100/AS100)</x:f>
      </x:c>
      <x:c r="AV100" s="11" t="str">
        <x:f>IF(I100&lt;&gt;"PASS","",IF(AU100&lt;='Config_v6'!$B$10,"POISSON","NEGATIVE BINOMIAL"))</x:f>
      </x:c>
      <x:c r="AW100" s="11" t="str">
        <x:f>IF(I100&lt;&gt;"PASS","",IF(AV100="POISSON",9999,AS100/(AU100-1)))</x:f>
      </x:c>
      <x:c r="AX100" s="11" t="str">
        <x:f>IF(A100="","",MAX(1-'Config_v6'!$B$20,MIN(1+'Config_v6'!$B$20,1+0.02*(IF(AND(ISNUMBER('Input_Meci'!N100),'Input_Meci'!N100&gt;=0,'Input_Meci'!N100&lt;=200),'Input_Meci'!N100,12)/12-1)+0.02*(IF(AND(ISNUMBER('Input_Meci'!P100),'Input_Meci'!P100&gt;=0,'Input_Meci'!P100&lt;=200),'Input_Meci'!P100,3.5)/3.5-1)+0.02*(IF(AND(ISNUMBER('Input_Meci'!R100),'Input_Meci'!R100&gt;=0,'Input_Meci'!R100&lt;=200),'Input_Meci'!R100,18)/18-1)+0.02*((IF(AND(ISNUMBER('Input_Meci'!V100),'Input_Meci'!V100&gt;=0,'Input_Meci'!V100&lt;=10),'Input_Meci'!V100,5)-5)/5))))</x:f>
      </x:c>
      <x:c r="AY100" s="11" t="str">
        <x:f>IF(A100="","",MAX(1-'Config_v6'!$B$20,MIN(1+'Config_v6'!$B$20,1+0.02*(IF(AND(ISNUMBER('Input_Meci'!O100),'Input_Meci'!O100&gt;=0,'Input_Meci'!O100&lt;=200),'Input_Meci'!O100,12)/12-1)+0.02*(IF(AND(ISNUMBER('Input_Meci'!Q100),'Input_Meci'!Q100&gt;=0,'Input_Meci'!Q100&lt;=200),'Input_Meci'!Q100,3.5)/3.5-1)+0.02*(IF(AND(ISNUMBER('Input_Meci'!S100),'Input_Meci'!S100&gt;=0,'Input_Meci'!S100&lt;=200),'Input_Meci'!S100,18)/18-1)+0.02*((IF(AND(ISNUMBER('Input_Meci'!W100),'Input_Meci'!W100&gt;=0,'Input_Meci'!W100&lt;=10),'Input_Meci'!W100,5)-5)/5))))</x:f>
      </x:c>
      <x:c r="AZ100" s="11" t="str">
        <x:f>IF(A100="","",MAX(1-'Config_v6'!$B$21,MIN(1+'Config_v6'!$B$21,1+0.012*(IF('Input_Meci'!X100="",5,IF(ISNUMBER('Input_Meci'!X100),'Input_Meci'!X100,5))-5)+0.018*(IF('Input_Meci'!Z100="",5,IF(ISNUMBER('Input_Meci'!Z100),'Input_Meci'!Z100,5))-5)+0.012*(IF('Input_Meci'!AB100="",5,IF(ISNUMBER('Input_Meci'!AB100),'Input_Meci'!AB100,5))-5)+0.015*IF('Input_Meci'!AD100="",0,IF(ISNUMBER('Input_Meci'!AD100),'Input_Meci'!AD100,0))+0.02*IF('Input_Meci'!AF100="",0,IF(ISNUMBER('Input_Meci'!AF100),'Input_Meci'!AF100,0)))))</x:f>
      </x:c>
      <x:c r="BA100" s="11" t="str">
        <x:f>IF(A100="","",MAX(1-'Config_v6'!$B$21,MIN(1+'Config_v6'!$B$21,1+0.012*(IF('Input_Meci'!Y100="",5,IF(ISNUMBER('Input_Meci'!Y100),'Input_Meci'!Y100,5))-5)+0.018*(IF('Input_Meci'!AA100="",5,IF(ISNUMBER('Input_Meci'!AA100),'Input_Meci'!AA100,5))-5)+0.012*(IF('Input_Meci'!AC100="",5,IF(ISNUMBER('Input_Meci'!AC100),'Input_Meci'!AC100,5))-5)+0.015*IF('Input_Meci'!AE100="",0,IF(ISNUMBER('Input_Meci'!AE100),'Input_Meci'!AE100,0))+0.02*IF('Input_Meci'!AG100="",0,IF(ISNUMBER('Input_Meci'!AG100),'Input_Meci'!AG100,0)))))</x:f>
      </x:c>
      <x:c r="BB100" s="11" t="str">
        <x:f>IF(I100&lt;&gt;"PASS","",(AVERAGE(AF100,AM100)*'Config_v6'!$B$4+AVERAGE(AH100,AO100)*'Config_v6'!$B$5+AVERAGE(AJ100,AQ100)*'Config_v6'!$B$6)*AX100*AZ100)</x:f>
      </x:c>
      <x:c r="BC100" s="11" t="str">
        <x:f>IF(I100&lt;&gt;"PASS","",(AVERAGE(AL100,AG100)*'Config_v6'!$B$4+AVERAGE(AN100,AI100)*'Config_v6'!$B$5+AVERAGE(AP100,AK100)*'Config_v6'!$B$6)*AY100*BA100)</x:f>
      </x:c>
      <x:c r="BD100" s="11" t="str">
        <x:f>IF(I100&lt;&gt;"PASS","",BB100+BC100)</x:f>
      </x:c>
      <x:c r="BE100" s="11" t="str">
        <x:f>IF(A100="","",10-SUM(IF(AND(ISNUMBER('Input_Meci'!N100),'Input_Meci'!N100&gt;=0,'Input_Meci'!N100&lt;=200),1,0),IF(AND(ISNUMBER('Input_Meci'!O100),'Input_Meci'!O100&gt;=0,'Input_Meci'!O100&lt;=200),1,0),IF(AND(ISNUMBER('Input_Meci'!P100),'Input_Meci'!P100&gt;=0,'Input_Meci'!P100&lt;=200),1,0),IF(AND(ISNUMBER('Input_Meci'!Q100),'Input_Meci'!Q100&gt;=0,'Input_Meci'!Q100&lt;=200),1,0),IF(AND(ISNUMBER('Input_Meci'!R100),'Input_Meci'!R100&gt;=0,'Input_Meci'!R100&lt;=200),1,0),IF(AND(ISNUMBER('Input_Meci'!S100),'Input_Meci'!S100&gt;=0,'Input_Meci'!S100&lt;=200),1,0),IF(AND(ISNUMBER('Input_Meci'!T100),'Input_Meci'!T100&gt;=0,'Input_Meci'!T100&lt;=100),1,0),IF(AND(ISNUMBER('Input_Meci'!U100),'Input_Meci'!U100&gt;=0,'Input_Meci'!U100&lt;=100),1,0),IF(AND(ISNUMBER('Input_Meci'!V100),'Input_Meci'!V100&gt;=0,'Input_Meci'!V100&lt;=10),1,0),IF(AND(ISNUMBER('Input_Meci'!W100),'Input_Meci'!W100&gt;=0,'Input_Meci'!W100&lt;=10),1,0)))</x:f>
      </x:c>
      <x:c r="BF100" s="11" t="str">
        <x:f>IF(I100&lt;&gt;"PASS","",MAX(0,MIN(IF(OR(M100="YES",BL100&lt;&gt;C100),'Config_v6'!$B$34,100),ROUND(40+25*MIN(1,MIN(N100,Q100)/'Config_v6'!$B$7)*MIN(1,MIN(O100,R100)/'Config_v6'!$B$8)*MIN(1,MIN(P100,S100)/'Config_v6'!$B$9)+MAX(0,15-2*ABS(AF100-AJ100)-2*ABS(AL100-AP100))+IF(AU100&lt;='Config_v6'!$B$10,15,IF(AU100&lt;='Config_v6'!$B$11,13,IF(AU100&lt;='Config_v6'!$B$12,10,IF(AU100&lt;='Config_v6'!$B$13,6,0))))+5-BE100/10*'Config_v6'!$B$38,0))))</x:f>
      </x:c>
      <x:c r="BG100" s="11" t="str">
        <x:f>IF(I100&lt;&gt;"PASS","",MIN(1,'Config_v6'!$B$14*(0.7+0.3*MIN(1,AR100/'Config_v6'!$B$15))*IF(AU100&lt;='Config_v6'!$B$10,1,IF(AU100&lt;='Config_v6'!$B$11,0.95,IF(AU100&lt;='Config_v6'!$B$12,0.88,0.78)))*(0.75+0.25*BF100/100)))</x:f>
      </x:c>
      <x:c r="BH100" s="11" t="str">
        <x:f>IF(I100&lt;&gt;"PASS","",MIN(1,(ABS(AZ100-1)+ABS(BA100-1))*3))</x:f>
      </x:c>
      <x:c r="BI100" s="2" t="str">
        <x:f>IF(A100="","",IF(AND(OR('Input_Meci'!X100="",AND(ISNUMBER('Input_Meci'!X100),'Input_Meci'!X100&gt;=0,'Input_Meci'!X100&lt;=10)),OR('Input_Meci'!Y100="",AND(ISNUMBER('Input_Meci'!Y100),'Input_Meci'!Y100&gt;=0,'Input_Meci'!Y100&lt;=10)),OR('Input_Meci'!Z100="",AND(ISNUMBER('Input_Meci'!Z100),'Input_Meci'!Z100&gt;=0,'Input_Meci'!Z100&lt;=10)),OR('Input_Meci'!AA100="",AND(ISNUMBER('Input_Meci'!AA100),'Input_Meci'!AA100&gt;=0,'Input_Meci'!AA100&lt;=10)),OR('Input_Meci'!AB100="",AND(ISNUMBER('Input_Meci'!AB100),'Input_Meci'!AB100&gt;=0,'Input_Meci'!AB100&lt;=10)),OR('Input_Meci'!AC100="",AND(ISNUMBER('Input_Meci'!AC100),'Input_Meci'!AC100&gt;=0,'Input_Meci'!AC100&lt;=10)),OR('Input_Meci'!AD100="",AND(ISNUMBER('Input_Meci'!AD100),'Input_Meci'!AD100&gt;=-2,'Input_Meci'!AD100&lt;=2)),OR('Input_Meci'!AE100="",AND(ISNUMBER('Input_Meci'!AE100),'Input_Meci'!AE100&gt;=-2,'Input_Meci'!AE100&lt;=2)),OR('Input_Meci'!AF100="",AND(ISNUMBER('Input_Meci'!AF100),'Input_Meci'!AF100&gt;=-2,'Input_Meci'!AF100&lt;=2)),OR('Input_Meci'!AG100="",AND(ISNUMBER('Input_Meci'!AG100),'Input_Meci'!AG100&gt;=-2,'Input_Meci'!AG100&lt;=2))),"VALID","INVALID"))</x:f>
      </x:c>
      <x:c r="BJ100" s="2" t="n">
        <x:f>IF(A100="",0,SUM('Core_Nativ'!S1134:S1139))</x:f>
        <x:v>0</x:v>
      </x:c>
      <x:c r="BK100" s="2" t="str">
        <x:f>'Config_v6'!$B$40</x:f>
        <x:v>VALID</x:v>
      </x:c>
      <x:c r="BL100" s="2" t="str">
        <x:f>IF(A100="","",IF(SUMPRODUCT(('Istoric_Nativ'!$B$6:$B$405=B100)*('Istoric_Nativ'!$C$6:$C$405=C100)*('Istoric_Nativ'!$P$6:$P$405=1)*('Istoric_Nativ'!$D$6:$D$405&lt;INT(G100))*((('Istoric_Nativ'!$E$6:$E$405='Input_Meci'!D100)+('Istoric_Nativ'!$F$6:$F$405='Input_Meci'!D100)+('Istoric_Nativ'!$E$6:$E$405='Input_Meci'!E100)+('Istoric_Nativ'!$F$6:$F$405='Input_Meci'!E100))&gt;0))&gt;='Config_v6'!$B$41,C100,IF(AND('Input_Meci'!L100="YES",'Input_Meci'!K100&lt;&gt;"",'Input_Meci'!K100&lt;C100,COUNTIF('Core_Nativ'!R1140:R1145,"CLOSED")=6,SUM('Core_Nativ'!S1140:S1145)=0),'Input_Meci'!K100,C100)))</x:f>
      </x:c>
      <x:c r="BM100" s="9" t="n">
        <x:f>IF(OR(A100="",N100=0),0,LARGE(_xlfn._xlws.FILTER('Istoric_Nativ'!$D$6:$D$405,('Istoric_Nativ'!$B$6:$B$405=B100)*('Istoric_Nativ'!$C$6:$C$405=C100)*('Istoric_Nativ'!$P$6:$P$405=1)*('Istoric_Nativ'!$D$6:$D$405&lt;INT(G100))*((('Istoric_Nativ'!$E$6:$E$405='Input_Meci'!D100)+('Istoric_Nativ'!$F$6:$F$405='Input_Meci'!D100))&gt;0)),MIN(10,N100)))</x:f>
        <x:v>0</x:v>
      </x:c>
      <x:c r="BN100" s="9" t="n">
        <x:f>IF(OR(A100="",Q100=0),0,LARGE(_xlfn._xlws.FILTER('Istoric_Nativ'!$D$6:$D$405,('Istoric_Nativ'!$B$6:$B$405=B100)*('Istoric_Nativ'!$C$6:$C$405=C100)*('Istoric_Nativ'!$P$6:$P$405=1)*('Istoric_Nativ'!$D$6:$D$405&lt;INT(G100))*((('Istoric_Nativ'!$E$6:$E$405='Input_Meci'!E100)+('Istoric_Nativ'!$F$6:$F$405='Input_Meci'!E100))&gt;0)),MIN(10,Q100)))</x:f>
        <x:v>0</x:v>
      </x:c>
      <x:c r="BO100" s="9" t="n">
        <x:f>IF(OR(A100="",N100=0),0,LARGE(_xlfn._xlws.FILTER('Istoric_Nativ'!$D$6:$D$405,('Istoric_Nativ'!$B$6:$B$405=B100)*('Istoric_Nativ'!$C$6:$C$405=C100)*('Istoric_Nativ'!$P$6:$P$405=1)*('Istoric_Nativ'!$D$6:$D$405&lt;INT(G100))*((('Istoric_Nativ'!$E$6:$E$405='Input_Meci'!D100)+('Istoric_Nativ'!$F$6:$F$405='Input_Meci'!D100))&gt;0)),MIN(20,N100)))</x:f>
        <x:v>0</x:v>
      </x:c>
      <x:c r="BP100" s="9" t="n">
        <x:f>IF(OR(A100="",Q100=0),0,LARGE(_xlfn._xlws.FILTER('Istoric_Nativ'!$D$6:$D$405,('Istoric_Nativ'!$B$6:$B$405=B100)*('Istoric_Nativ'!$C$6:$C$405=C100)*('Istoric_Nativ'!$P$6:$P$405=1)*('Istoric_Nativ'!$D$6:$D$405&lt;INT(G100))*((('Istoric_Nativ'!$E$6:$E$405='Input_Meci'!E100)+('Istoric_Nativ'!$F$6:$F$405='Input_Meci'!E100))&gt;0)),MIN(20,Q100)))</x:f>
        <x:v>0</x:v>
      </x:c>
      <x:c r="BQ100" s="2" t="str">
        <x:f>IF(A100="","",IF(AND(COUNTIF(MatchesTable[Match_ID],A100)=1,COUNTIFS(MatchesTable[League],B100,MatchesTable[Season],C100,MatchesTable[Home],'Input_Meci'!D100,MatchesTable[Away],'Input_Meci'!E100,MatchesTable[Kickoff_UTC],F100)=1,B100&lt;&gt;"",C100&lt;&gt;"",'Input_Meci'!D100&lt;&gt;"",'Input_Meci'!E100&lt;&gt;"",'Input_Meci'!D100&lt;&gt;'Input_Meci'!E100,ISNUMBER(F100),ISNUMBER(G100),G100&lt;F100,OR(E100="LIVE",E100="REPLAY"),OR('Input_Meci'!L100="YES",'Input_Meci'!L100="NO",'Input_Meci'!L100="")),"VALID","INVALID"))</x:f>
      </x:c>
      <x:c r="BR100" s="2" t="n">
        <x:f>IF(I100&lt;&gt;"PASS",0,SUMPRODUCT(('Istoric_Nativ'!$B$6:$B$405='Input_Meci'!B100)*('Istoric_Nativ'!$C$6:$C$405='Input_Meci'!C100)*('Istoric_Nativ'!$P$6:$P$405=1)*('Istoric_Nativ'!$D$6:$D$405&lt;INT('Input_Meci'!G100))*((('Istoric_Nativ'!$E$6:$E$405='Input_Meci'!D100)+('Istoric_Nativ'!$F$6:$F$405='Input_Meci'!E100))&gt;0)))</x:f>
        <x:v>0</x:v>
      </x:c>
      <x:c r="BS100" s="2" t="n">
        <x:f>IF(I100&lt;&gt;"PASS",0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BM100)+((('Istoric_Nativ'!$E$6:$E$405='Input_Meci'!E100)+('Istoric_Nativ'!$F$6:$F$405='Input_Meci'!E100))&gt;0)*('Istoric_Nativ'!$D$6:$D$405&gt;=BN100))&gt;0)))</x:f>
        <x:v>0</x:v>
      </x:c>
      <x:c r="BT100" s="2" t="n">
        <x:f>IF(I100&lt;&gt;"PASS",0,SUMPRODUCT(('Istoric_Nativ'!$B$6:$B$405='Input_Meci'!B100)*('Istoric_Nativ'!$C$6:$C$405='Input_Meci'!C100)*('Istoric_Nativ'!$P$6:$P$405=1)*('Istoric_Nativ'!$D$6:$D$405&lt;INT('Input_Meci'!G100))*((((('Istoric_Nativ'!$E$6:$E$405='Input_Meci'!D100)+('Istoric_Nativ'!$F$6:$F$405='Input_Meci'!D100))&gt;0)*('Istoric_Nativ'!$D$6:$D$405&gt;=BO100)+((('Istoric_Nativ'!$E$6:$E$405='Input_Meci'!E100)+('Istoric_Nativ'!$F$6:$F$405='Input_Meci'!E100))&gt;0)*('Istoric_Nativ'!$D$6:$D$405&gt;=BP100))&gt;0)))</x:f>
        <x:v>0</x:v>
      </x:c>
    </x:row>
    <x:row r="101" ht="21" customHeight="1">
      <x:c r="A101" s="2" t="str">
        <x:f>IF('Input_Meci'!A101="","",'Input_Meci'!A101)</x:f>
      </x:c>
      <x:c r="B101" s="2" t="str">
        <x:f>IF(A101="","",'Input_Meci'!B101)</x:f>
      </x:c>
      <x:c r="C101" s="2" t="str">
        <x:f>IF(A101="","",'Input_Meci'!C101)</x:f>
      </x:c>
      <x:c r="D101" s="2" t="str">
        <x:f>IF(A101="","",'Input_Meci'!D101&amp;" – "&amp;'Input_Meci'!E101)</x:f>
      </x:c>
      <x:c r="E101" s="2" t="str">
        <x:f>IF(A101="","",'Input_Meci'!H101)</x:f>
      </x:c>
      <x:c r="F101" s="9" t="str">
        <x:f>IF(A101="","",'Input_Meci'!F101)</x:f>
      </x:c>
      <x:c r="G101" s="9" t="str">
        <x:f>IF(A101="","",'Input_Meci'!G101)</x:f>
      </x:c>
      <x:c r="H101" s="2" t="str">
        <x:f>IF(A101="","",IF(BQ101&lt;&gt;"VALID","NOT RELEASED",IF(AND(OR('Input_Meci'!I101="NOT AVAILABLE",'Input_Meci'!I101="SOURCE CONFLICT"),'Input_Meci'!J101&lt;&gt;""),"READY",IF(OR(NOT(OR('Input_Meci'!I101="AUTO",'Input_Meci'!I101="")),COUNTIF('Core_Nativ'!R1146:R1151,"CLOSED")&lt;&gt;6,BJ101&gt;0),"NOT RELEASED","READY"))))</x:f>
      </x:c>
      <x:c r="I101" s="2" t="str">
        <x:f>IF(A101="","",IF(H101&lt;&gt;"READY","NOT RELEASED",IF(AND(NOT(OR('Input_Meci'!I101="NOT AVAILABLE",'Input_Meci'!I101="SOURCE CONFLICT")),L101=12,AR101&gt;=2,AS101&gt;0,ISNUMBER(AT101),BI101="VALID",BK101="VALID"),"PASS","FAIL")))</x:f>
      </x:c>
      <x:c r="J101" s="2" t="str">
        <x:f>IF(A101="","",IF(BQ101&lt;&gt;"VALID","Verifica ID, echipe, mod si cutoff &lt; kickoff",IF(H101&lt;&gt;"READY",IF('Input_Meci'!I101="ACCESS BLOCKED","Acces blocat: reia sursele",IF(BJ101&gt;0,"Istoric invalid sau conflict: verifica randurile native","Surse neinchise / post-cutoff / dovezi incomplete")),IF(OR('Input_Meci'!I101="NOT AVAILABLE",'Input_Meci'!I101="SOURCE CONFLICT"),'Input_Meci'!I101,IF(BK101&lt;&gt;"VALID","Parametri invalizi",IF(L101&lt;&gt;12,"Core / sample / prior insuficient",IF(AR101&lt;2,"N insuficient pentru dispersie",IF(AS101&lt;=0,"Media istorica trebuie sa fie pozitiva",IF(BI101&lt;&gt;"VALID","Context invalid","READY")))))))))</x:f>
      </x:c>
      <x:c r="K101" s="2" t="str">
        <x:f>IF(A101="","",COUNT(T101:AE101))</x:f>
      </x:c>
      <x:c r="L101" s="2" t="str">
        <x:f>IF(A101="","",COUNT(AF101:AQ101))</x:f>
      </x:c>
      <x:c r="M101" s="2" t="str">
        <x:f>IF(A101="","",IF(OR('Core_Nativ'!M1146&lt;'Core_Nativ'!P1146,'Core_Nativ'!M1147&lt;'Core_Nativ'!P1147,'Core_Nativ'!M1148&lt;'Core_Nativ'!P1148,'Core_Nativ'!M1149&lt;'Core_Nativ'!P1149,'Core_Nativ'!M1150&lt;'Core_Nativ'!P1150,'Core_Nativ'!M1151&lt;'Core_Nativ'!P1151),"YES","NO"))</x:f>
      </x:c>
      <x:c r="N101" s="2" t="str">
        <x:f>IF(A101="","",'Core_Nativ'!M1146)</x:f>
      </x:c>
      <x:c r="O101" s="2" t="str">
        <x:f>IF(A101="","",'Core_Nativ'!M1147)</x:f>
      </x:c>
      <x:c r="P101" s="2" t="str">
        <x:f>IF(A101="","",'Core_Nativ'!M1148)</x:f>
      </x:c>
      <x:c r="Q101" s="2" t="str">
        <x:f>IF(A101="","",'Core_Nativ'!M1149)</x:f>
      </x:c>
      <x:c r="R101" s="2" t="str">
        <x:f>IF(A101="","",'Core_Nativ'!M1150)</x:f>
      </x:c>
      <x:c r="S101" s="2" t="str">
        <x:f>IF(A101="","",'Core_Nativ'!M1151)</x:f>
      </x:c>
      <x:c r="T101" s="11" t="str">
        <x:f>IF(OR(A101="",'Core_Nativ'!M1146=0),"",'Core_Nativ'!N1146)</x:f>
      </x:c>
      <x:c r="U101" s="11" t="str">
        <x:f>IF(OR(A101="",'Core_Nativ'!M1146=0),"",'Core_Nativ'!O1146)</x:f>
      </x:c>
      <x:c r="V101" s="11" t="str">
        <x:f>IF(OR(A101="",'Core_Nativ'!M1147=0),"",'Core_Nativ'!N1147)</x:f>
      </x:c>
      <x:c r="W101" s="11" t="str">
        <x:f>IF(OR(A101="",'Core_Nativ'!M1147=0),"",'Core_Nativ'!O1147)</x:f>
      </x:c>
      <x:c r="X101" s="11" t="str">
        <x:f>IF(OR(A101="",'Core_Nativ'!M1148=0),"",'Core_Nativ'!N1148)</x:f>
      </x:c>
      <x:c r="Y101" s="11" t="str">
        <x:f>IF(OR(A101="",'Core_Nativ'!M1148=0),"",'Core_Nativ'!O1148)</x:f>
      </x:c>
      <x:c r="Z101" s="11" t="str">
        <x:f>IF(OR(A101="",'Core_Nativ'!M1149=0),"",'Core_Nativ'!N1149)</x:f>
      </x:c>
      <x:c r="AA101" s="11" t="str">
        <x:f>IF(OR(A101="",'Core_Nativ'!M1149=0),"",'Core_Nativ'!O1149)</x:f>
      </x:c>
      <x:c r="AB101" s="11" t="str">
        <x:f>IF(OR(A101="",'Core_Nativ'!M1150=0),"",'Core_Nativ'!N1150)</x:f>
      </x:c>
      <x:c r="AC101" s="11" t="str">
        <x:f>IF(OR(A101="",'Core_Nativ'!M1150=0),"",'Core_Nativ'!O1150)</x:f>
      </x:c>
      <x:c r="AD101" s="11" t="str">
        <x:f>IF(OR(A101="",'Core_Nativ'!M1151=0),"",'Core_Nativ'!N1151)</x:f>
      </x:c>
      <x:c r="AE101" s="11" t="str">
        <x:f>IF(OR(A101="",'Core_Nativ'!M1151=0),"",'Core_Nativ'!O1151)</x:f>
      </x:c>
      <x:c r="AF101" s="11" t="str">
        <x:f>IF(A101="","",IF(AND('Core_Nativ'!R1146="CLOSED",'Core_Nativ'!S1146=0),IF('Core_Nativ'!M1146&gt;='Core_Nativ'!P1146,'Core_Nativ'!N1146,IF(AND('Input_Meci'!L101="YES",'Input_Meci'!K101&lt;&gt;"",'Input_Meci'!K101&lt;C101,'Core_Nativ'!T1152="DERIVED",'Core_Nativ'!M1152&gt;='Core_Nativ'!P1146),MIN(1,'Core_Nativ'!M1146/'Core_Nativ'!P1146)*IF('Core_Nativ'!M1146=0,0,'Core_Nativ'!N1146)+(1-MIN(1,'Core_Nativ'!M1146/'Core_Nativ'!P1146))*'Core_Nativ'!N1152,"")),""))</x:f>
      </x:c>
      <x:c r="AG101" s="11" t="str">
        <x:f>IF(A101="","",IF(AND('Core_Nativ'!R1146="CLOSED",'Core_Nativ'!S1146=0),IF('Core_Nativ'!M1146&gt;='Core_Nativ'!P1146,'Core_Nativ'!O1146,IF(AND('Input_Meci'!L101="YES",'Input_Meci'!K101&lt;&gt;"",'Input_Meci'!K101&lt;C101,'Core_Nativ'!T1152="DERIVED",'Core_Nativ'!M1152&gt;='Core_Nativ'!P1146),MIN(1,'Core_Nativ'!M1146/'Core_Nativ'!P1146)*IF('Core_Nativ'!M1146=0,0,'Core_Nativ'!O1146)+(1-MIN(1,'Core_Nativ'!M1146/'Core_Nativ'!P1146))*'Core_Nativ'!O1152,"")),""))</x:f>
      </x:c>
      <x:c r="AH101" s="11" t="str">
        <x:f>IF(A101="","",IF(AND('Core_Nativ'!R1147="CLOSED",'Core_Nativ'!S1147=0),IF('Core_Nativ'!M1147&gt;='Core_Nativ'!P1147,'Core_Nativ'!N1147,IF(AND('Input_Meci'!L101="YES",'Input_Meci'!K101&lt;&gt;"",'Input_Meci'!K101&lt;C101,'Core_Nativ'!T1153="DERIVED",'Core_Nativ'!M1153&gt;='Core_Nativ'!P1147),MIN(1,'Core_Nativ'!M1147/'Core_Nativ'!P1147)*IF('Core_Nativ'!M1147=0,0,'Core_Nativ'!N1147)+(1-MIN(1,'Core_Nativ'!M1147/'Core_Nativ'!P1147))*'Core_Nativ'!N1153,"")),""))</x:f>
      </x:c>
      <x:c r="AI101" s="11" t="str">
        <x:f>IF(A101="","",IF(AND('Core_Nativ'!R1147="CLOSED",'Core_Nativ'!S1147=0),IF('Core_Nativ'!M1147&gt;='Core_Nativ'!P1147,'Core_Nativ'!O1147,IF(AND('Input_Meci'!L101="YES",'Input_Meci'!K101&lt;&gt;"",'Input_Meci'!K101&lt;C101,'Core_Nativ'!T1153="DERIVED",'Core_Nativ'!M1153&gt;='Core_Nativ'!P1147),MIN(1,'Core_Nativ'!M1147/'Core_Nativ'!P1147)*IF('Core_Nativ'!M1147=0,0,'Core_Nativ'!O1147)+(1-MIN(1,'Core_Nativ'!M1147/'Core_Nativ'!P1147))*'Core_Nativ'!O1153,"")),""))</x:f>
      </x:c>
      <x:c r="AJ101" s="11" t="str">
        <x:f>IF(A101="","",IF(AND('Core_Nativ'!R1148="CLOSED",'Core_Nativ'!S1148=0),IF('Core_Nativ'!M1148&gt;='Core_Nativ'!P1148,'Core_Nativ'!N1148,IF(AND('Input_Meci'!L101="YES",'Input_Meci'!K101&lt;&gt;"",'Input_Meci'!K101&lt;C101,'Core_Nativ'!T1154="DERIVED",'Core_Nativ'!M1154&gt;='Core_Nativ'!P1148),MIN(1,'Core_Nativ'!M1148/'Core_Nativ'!P1148)*IF('Core_Nativ'!M1148=0,0,'Core_Nativ'!N1148)+(1-MIN(1,'Core_Nativ'!M1148/'Core_Nativ'!P1148))*'Core_Nativ'!N1154,"")),""))</x:f>
      </x:c>
      <x:c r="AK101" s="11" t="str">
        <x:f>IF(A101="","",IF(AND('Core_Nativ'!R1148="CLOSED",'Core_Nativ'!S1148=0),IF('Core_Nativ'!M1148&gt;='Core_Nativ'!P1148,'Core_Nativ'!O1148,IF(AND('Input_Meci'!L101="YES",'Input_Meci'!K101&lt;&gt;"",'Input_Meci'!K101&lt;C101,'Core_Nativ'!T1154="DERIVED",'Core_Nativ'!M1154&gt;='Core_Nativ'!P1148),MIN(1,'Core_Nativ'!M1148/'Core_Nativ'!P1148)*IF('Core_Nativ'!M1148=0,0,'Core_Nativ'!O1148)+(1-MIN(1,'Core_Nativ'!M1148/'Core_Nativ'!P1148))*'Core_Nativ'!O1154,"")),""))</x:f>
      </x:c>
      <x:c r="AL101" s="11" t="str">
        <x:f>IF(A101="","",IF(AND('Core_Nativ'!R1149="CLOSED",'Core_Nativ'!S1149=0),IF('Core_Nativ'!M1149&gt;='Core_Nativ'!P1149,'Core_Nativ'!N1149,IF(AND('Input_Meci'!L101="YES",'Input_Meci'!K101&lt;&gt;"",'Input_Meci'!K101&lt;C101,'Core_Nativ'!T1155="DERIVED",'Core_Nativ'!M1155&gt;='Core_Nativ'!P1149),MIN(1,'Core_Nativ'!M1149/'Core_Nativ'!P1149)*IF('Core_Nativ'!M1149=0,0,'Core_Nativ'!N1149)+(1-MIN(1,'Core_Nativ'!M1149/'Core_Nativ'!P1149))*'Core_Nativ'!N1155,"")),""))</x:f>
      </x:c>
      <x:c r="AM101" s="11" t="str">
        <x:f>IF(A101="","",IF(AND('Core_Nativ'!R1149="CLOSED",'Core_Nativ'!S1149=0),IF('Core_Nativ'!M1149&gt;='Core_Nativ'!P1149,'Core_Nativ'!O1149,IF(AND('Input_Meci'!L101="YES",'Input_Meci'!K101&lt;&gt;"",'Input_Meci'!K101&lt;C101,'Core_Nativ'!T1155="DERIVED",'Core_Nativ'!M1155&gt;='Core_Nativ'!P1149),MIN(1,'Core_Nativ'!M1149/'Core_Nativ'!P1149)*IF('Core_Nativ'!M1149=0,0,'Core_Nativ'!O1149)+(1-MIN(1,'Core_Nativ'!M1149/'Core_Nativ'!P1149))*'Core_Nativ'!O1155,"")),""))</x:f>
      </x:c>
      <x:c r="AN101" s="11" t="str">
        <x:f>IF(A101="","",IF(AND('Core_Nativ'!R1150="CLOSED",'Core_Nativ'!S1150=0),IF('Core_Nativ'!M1150&gt;='Core_Nativ'!P1150,'Core_Nativ'!N1150,IF(AND('Input_Meci'!L101="YES",'Input_Meci'!K101&lt;&gt;"",'Input_Meci'!K101&lt;C101,'Core_Nativ'!T1156="DERIVED",'Core_Nativ'!M1156&gt;='Core_Nativ'!P1150),MIN(1,'Core_Nativ'!M1150/'Core_Nativ'!P1150)*IF('Core_Nativ'!M1150=0,0,'Core_Nativ'!N1150)+(1-MIN(1,'Core_Nativ'!M1150/'Core_Nativ'!P1150))*'Core_Nativ'!N1156,"")),""))</x:f>
      </x:c>
      <x:c r="AO101" s="11" t="str">
        <x:f>IF(A101="","",IF(AND('Core_Nativ'!R1150="CLOSED",'Core_Nativ'!S1150=0),IF('Core_Nativ'!M1150&gt;='Core_Nativ'!P1150,'Core_Nativ'!O1150,IF(AND('Input_Meci'!L101="YES",'Input_Meci'!K101&lt;&gt;"",'Input_Meci'!K101&lt;C101,'Core_Nativ'!T1156="DERIVED",'Core_Nativ'!M1156&gt;='Core_Nativ'!P1150),MIN(1,'Core_Nativ'!M1150/'Core_Nativ'!P1150)*IF('Core_Nativ'!M1150=0,0,'Core_Nativ'!O1150)+(1-MIN(1,'Core_Nativ'!M1150/'Core_Nativ'!P1150))*'Core_Nativ'!O1156,"")),""))</x:f>
      </x:c>
      <x:c r="AP101" s="11" t="str">
        <x:f>IF(A101="","",IF(AND('Core_Nativ'!R1151="CLOSED",'Core_Nativ'!S1151=0),IF('Core_Nativ'!M1151&gt;='Core_Nativ'!P1151,'Core_Nativ'!N1151,IF(AND('Input_Meci'!L101="YES",'Input_Meci'!K101&lt;&gt;"",'Input_Meci'!K101&lt;C101,'Core_Nativ'!T1157="DERIVED",'Core_Nativ'!M1157&gt;='Core_Nativ'!P1151),MIN(1,'Core_Nativ'!M1151/'Core_Nativ'!P1151)*IF('Core_Nativ'!M1151=0,0,'Core_Nativ'!N1151)+(1-MIN(1,'Core_Nativ'!M1151/'Core_Nativ'!P1151))*'Core_Nativ'!N1157,"")),""))</x:f>
      </x:c>
      <x:c r="AQ101" s="11" t="str">
        <x:f>IF(A101="","",IF(AND('Core_Nativ'!R1151="CLOSED",'Core_Nativ'!S1151=0),IF('Core_Nativ'!M1151&gt;='Core_Nativ'!P1151,'Core_Nativ'!O1151,IF(AND('Input_Meci'!L101="YES",'Input_Meci'!K101&lt;&gt;"",'Input_Meci'!K101&lt;C101,'Core_Nativ'!T1157="DERIVED",'Core_Nativ'!M1157&gt;='Core_Nativ'!P1151),MIN(1,'Core_Nativ'!M1151/'Core_Nativ'!P1151)*IF('Core_Nativ'!M1151=0,0,'Core_Nativ'!O1151)+(1-MIN(1,'Core_Nativ'!M1151/'Core_Nativ'!P1151))*'Core_Nativ'!O1157,"")),""))</x:f>
      </x:c>
      <x:c r="AR101" s="11" t="str">
        <x:f>IF(A101="","",SUMPRODUCT(('Istoric_Nativ'!$B$6:$B$405=B101)*('Istoric_Nativ'!$C$6:$C$405=BL101)*('Istoric_Nativ'!$P$6:$P$405=1)*('Istoric_Nativ'!$D$6:$D$405&lt;INT(G101))*((('Istoric_Nativ'!$E$6:$E$405='Input_Meci'!D101)+('Istoric_Nativ'!$F$6:$F$405='Input_Meci'!D101)+('Istoric_Nativ'!$E$6:$E$405='Input_Meci'!E101)+('Istoric_Nativ'!$F$6:$F$405='Input_Meci'!E101))&gt;0)))</x:f>
      </x:c>
      <x:c r="AS101" s="11" t="str">
        <x:f>IF(AR101=0,"",SUMPRODUCT(('Istoric_Nativ'!$B$6:$B$405=B101)*('Istoric_Nativ'!$C$6:$C$405=BL101)*('Istoric_Nativ'!$P$6:$P$405=1)*('Istoric_Nativ'!$D$6:$D$405&lt;INT(G101))*((('Istoric_Nativ'!$E$6:$E$405='Input_Meci'!D101)+('Istoric_Nativ'!$F$6:$F$405='Input_Meci'!D101)+('Istoric_Nativ'!$E$6:$E$405='Input_Meci'!E101)+('Istoric_Nativ'!$F$6:$F$405='Input_Meci'!E101))&gt;0)*'Istoric_Nativ'!$Q$6:$Q$405)/AR101)</x:f>
      </x:c>
      <x:c r="AT101" s="11" t="str">
        <x:f>IF(AR101&lt;2,"",MAX(0,(SUMPRODUCT(('Istoric_Nativ'!$B$6:$B$405=B101)*('Istoric_Nativ'!$C$6:$C$405=BL101)*('Istoric_Nativ'!$P$6:$P$405=1)*('Istoric_Nativ'!$D$6:$D$405&lt;INT(G101))*((('Istoric_Nativ'!$E$6:$E$405='Input_Meci'!D101)+('Istoric_Nativ'!$F$6:$F$405='Input_Meci'!D101)+('Istoric_Nativ'!$E$6:$E$405='Input_Meci'!E101)+('Istoric_Nativ'!$F$6:$F$405='Input_Meci'!E101))&gt;0)*'Istoric_Nativ'!$R$6:$R$405)-AR101*AS101^2)/(AR101-1)))</x:f>
      </x:c>
      <x:c r="AU101" s="11" t="str">
        <x:f>IF(I101&lt;&gt;"PASS","",AT101/AS101)</x:f>
      </x:c>
      <x:c r="AV101" s="11" t="str">
        <x:f>IF(I101&lt;&gt;"PASS","",IF(AU101&lt;='Config_v6'!$B$10,"POISSON","NEGATIVE BINOMIAL"))</x:f>
      </x:c>
      <x:c r="AW101" s="11" t="str">
        <x:f>IF(I101&lt;&gt;"PASS","",IF(AV101="POISSON",9999,AS101/(AU101-1)))</x:f>
      </x:c>
      <x:c r="AX101" s="11" t="str">
        <x:f>IF(A101="","",MAX(1-'Config_v6'!$B$20,MIN(1+'Config_v6'!$B$20,1+0.02*(IF(AND(ISNUMBER('Input_Meci'!N101),'Input_Meci'!N101&gt;=0,'Input_Meci'!N101&lt;=200),'Input_Meci'!N101,12)/12-1)+0.02*(IF(AND(ISNUMBER('Input_Meci'!P101),'Input_Meci'!P101&gt;=0,'Input_Meci'!P101&lt;=200),'Input_Meci'!P101,3.5)/3.5-1)+0.02*(IF(AND(ISNUMBER('Input_Meci'!R101),'Input_Meci'!R101&gt;=0,'Input_Meci'!R101&lt;=200),'Input_Meci'!R101,18)/18-1)+0.02*((IF(AND(ISNUMBER('Input_Meci'!V101),'Input_Meci'!V101&gt;=0,'Input_Meci'!V101&lt;=10),'Input_Meci'!V101,5)-5)/5))))</x:f>
      </x:c>
      <x:c r="AY101" s="11" t="str">
        <x:f>IF(A101="","",MAX(1-'Config_v6'!$B$20,MIN(1+'Config_v6'!$B$20,1+0.02*(IF(AND(ISNUMBER('Input_Meci'!O101),'Input_Meci'!O101&gt;=0,'Input_Meci'!O101&lt;=200),'Input_Meci'!O101,12)/12-1)+0.02*(IF(AND(ISNUMBER('Input_Meci'!Q101),'Input_Meci'!Q101&gt;=0,'Input_Meci'!Q101&lt;=200),'Input_Meci'!Q101,3.5)/3.5-1)+0.02*(IF(AND(ISNUMBER('Input_Meci'!S101),'Input_Meci'!S101&gt;=0,'Input_Meci'!S101&lt;=200),'Input_Meci'!S101,18)/18-1)+0.02*((IF(AND(ISNUMBER('Input_Meci'!W101),'Input_Meci'!W101&gt;=0,'Input_Meci'!W101&lt;=10),'Input_Meci'!W101,5)-5)/5))))</x:f>
      </x:c>
      <x:c r="AZ101" s="11" t="str">
        <x:f>IF(A101="","",MAX(1-'Config_v6'!$B$21,MIN(1+'Config_v6'!$B$21,1+0.012*(IF('Input_Meci'!X101="",5,IF(ISNUMBER('Input_Meci'!X101),'Input_Meci'!X101,5))-5)+0.018*(IF('Input_Meci'!Z101="",5,IF(ISNUMBER('Input_Meci'!Z101),'Input_Meci'!Z101,5))-5)+0.012*(IF('Input_Meci'!AB101="",5,IF(ISNUMBER('Input_Meci'!AB101),'Input_Meci'!AB101,5))-5)+0.015*IF('Input_Meci'!AD101="",0,IF(ISNUMBER('Input_Meci'!AD101),'Input_Meci'!AD101,0))+0.02*IF('Input_Meci'!AF101="",0,IF(ISNUMBER('Input_Meci'!AF101),'Input_Meci'!AF101,0)))))</x:f>
      </x:c>
      <x:c r="BA101" s="11" t="str">
        <x:f>IF(A101="","",MAX(1-'Config_v6'!$B$21,MIN(1+'Config_v6'!$B$21,1+0.012*(IF('Input_Meci'!Y101="",5,IF(ISNUMBER('Input_Meci'!Y101),'Input_Meci'!Y101,5))-5)+0.018*(IF('Input_Meci'!AA101="",5,IF(ISNUMBER('Input_Meci'!AA101),'Input_Meci'!AA101,5))-5)+0.012*(IF('Input_Meci'!AC101="",5,IF(ISNUMBER('Input_Meci'!AC101),'Input_Meci'!AC101,5))-5)+0.015*IF('Input_Meci'!AE101="",0,IF(ISNUMBER('Input_Meci'!AE101),'Input_Meci'!AE101,0))+0.02*IF('Input_Meci'!AG101="",0,IF(ISNUMBER('Input_Meci'!AG101),'Input_Meci'!AG101,0)))))</x:f>
      </x:c>
      <x:c r="BB101" s="11" t="str">
        <x:f>IF(I101&lt;&gt;"PASS","",(AVERAGE(AF101,AM101)*'Config_v6'!$B$4+AVERAGE(AH101,AO101)*'Config_v6'!$B$5+AVERAGE(AJ101,AQ101)*'Config_v6'!$B$6)*AX101*AZ101)</x:f>
      </x:c>
      <x:c r="BC101" s="11" t="str">
        <x:f>IF(I101&lt;&gt;"PASS","",(AVERAGE(AL101,AG101)*'Config_v6'!$B$4+AVERAGE(AN101,AI101)*'Config_v6'!$B$5+AVERAGE(AP101,AK101)*'Config_v6'!$B$6)*AY101*BA101)</x:f>
      </x:c>
      <x:c r="BD101" s="11" t="str">
        <x:f>IF(I101&lt;&gt;"PASS","",BB101+BC101)</x:f>
      </x:c>
      <x:c r="BE101" s="11" t="str">
        <x:f>IF(A101="","",10-SUM(IF(AND(ISNUMBER('Input_Meci'!N101),'Input_Meci'!N101&gt;=0,'Input_Meci'!N101&lt;=200),1,0),IF(AND(ISNUMBER('Input_Meci'!O101),'Input_Meci'!O101&gt;=0,'Input_Meci'!O101&lt;=200),1,0),IF(AND(ISNUMBER('Input_Meci'!P101),'Input_Meci'!P101&gt;=0,'Input_Meci'!P101&lt;=200),1,0),IF(AND(ISNUMBER('Input_Meci'!Q101),'Input_Meci'!Q101&gt;=0,'Input_Meci'!Q101&lt;=200),1,0),IF(AND(ISNUMBER('Input_Meci'!R101),'Input_Meci'!R101&gt;=0,'Input_Meci'!R101&lt;=200),1,0),IF(AND(ISNUMBER('Input_Meci'!S101),'Input_Meci'!S101&gt;=0,'Input_Meci'!S101&lt;=200),1,0),IF(AND(ISNUMBER('Input_Meci'!T101),'Input_Meci'!T101&gt;=0,'Input_Meci'!T101&lt;=100),1,0),IF(AND(ISNUMBER('Input_Meci'!U101),'Input_Meci'!U101&gt;=0,'Input_Meci'!U101&lt;=100),1,0),IF(AND(ISNUMBER('Input_Meci'!V101),'Input_Meci'!V101&gt;=0,'Input_Meci'!V101&lt;=10),1,0),IF(AND(ISNUMBER('Input_Meci'!W101),'Input_Meci'!W101&gt;=0,'Input_Meci'!W101&lt;=10),1,0)))</x:f>
      </x:c>
      <x:c r="BF101" s="11" t="str">
        <x:f>IF(I101&lt;&gt;"PASS","",MAX(0,MIN(IF(OR(M101="YES",BL101&lt;&gt;C101),'Config_v6'!$B$34,100),ROUND(40+25*MIN(1,MIN(N101,Q101)/'Config_v6'!$B$7)*MIN(1,MIN(O101,R101)/'Config_v6'!$B$8)*MIN(1,MIN(P101,S101)/'Config_v6'!$B$9)+MAX(0,15-2*ABS(AF101-AJ101)-2*ABS(AL101-AP101))+IF(AU101&lt;='Config_v6'!$B$10,15,IF(AU101&lt;='Config_v6'!$B$11,13,IF(AU101&lt;='Config_v6'!$B$12,10,IF(AU101&lt;='Config_v6'!$B$13,6,0))))+5-BE101/10*'Config_v6'!$B$38,0))))</x:f>
      </x:c>
      <x:c r="BG101" s="11" t="str">
        <x:f>IF(I101&lt;&gt;"PASS","",MIN(1,'Config_v6'!$B$14*(0.7+0.3*MIN(1,AR101/'Config_v6'!$B$15))*IF(AU101&lt;='Config_v6'!$B$10,1,IF(AU101&lt;='Config_v6'!$B$11,0.95,IF(AU101&lt;='Config_v6'!$B$12,0.88,0.78)))*(0.75+0.25*BF101/100)))</x:f>
      </x:c>
      <x:c r="BH101" s="11" t="str">
        <x:f>IF(I101&lt;&gt;"PASS","",MIN(1,(ABS(AZ101-1)+ABS(BA101-1))*3))</x:f>
      </x:c>
      <x:c r="BI101" s="2" t="str">
        <x:f>IF(A101="","",IF(AND(OR('Input_Meci'!X101="",AND(ISNUMBER('Input_Meci'!X101),'Input_Meci'!X101&gt;=0,'Input_Meci'!X101&lt;=10)),OR('Input_Meci'!Y101="",AND(ISNUMBER('Input_Meci'!Y101),'Input_Meci'!Y101&gt;=0,'Input_Meci'!Y101&lt;=10)),OR('Input_Meci'!Z101="",AND(ISNUMBER('Input_Meci'!Z101),'Input_Meci'!Z101&gt;=0,'Input_Meci'!Z101&lt;=10)),OR('Input_Meci'!AA101="",AND(ISNUMBER('Input_Meci'!AA101),'Input_Meci'!AA101&gt;=0,'Input_Meci'!AA101&lt;=10)),OR('Input_Meci'!AB101="",AND(ISNUMBER('Input_Meci'!AB101),'Input_Meci'!AB101&gt;=0,'Input_Meci'!AB101&lt;=10)),OR('Input_Meci'!AC101="",AND(ISNUMBER('Input_Meci'!AC101),'Input_Meci'!AC101&gt;=0,'Input_Meci'!AC101&lt;=10)),OR('Input_Meci'!AD101="",AND(ISNUMBER('Input_Meci'!AD101),'Input_Meci'!AD101&gt;=-2,'Input_Meci'!AD101&lt;=2)),OR('Input_Meci'!AE101="",AND(ISNUMBER('Input_Meci'!AE101),'Input_Meci'!AE101&gt;=-2,'Input_Meci'!AE101&lt;=2)),OR('Input_Meci'!AF101="",AND(ISNUMBER('Input_Meci'!AF101),'Input_Meci'!AF101&gt;=-2,'Input_Meci'!AF101&lt;=2)),OR('Input_Meci'!AG101="",AND(ISNUMBER('Input_Meci'!AG101),'Input_Meci'!AG101&gt;=-2,'Input_Meci'!AG101&lt;=2))),"VALID","INVALID"))</x:f>
      </x:c>
      <x:c r="BJ101" s="2" t="n">
        <x:f>IF(A101="",0,SUM('Core_Nativ'!S1146:S1151))</x:f>
        <x:v>0</x:v>
      </x:c>
      <x:c r="BK101" s="2" t="str">
        <x:f>'Config_v6'!$B$40</x:f>
        <x:v>VALID</x:v>
      </x:c>
      <x:c r="BL101" s="2" t="str">
        <x:f>IF(A101="","",IF(SUMPRODUCT(('Istoric_Nativ'!$B$6:$B$405=B101)*('Istoric_Nativ'!$C$6:$C$405=C101)*('Istoric_Nativ'!$P$6:$P$405=1)*('Istoric_Nativ'!$D$6:$D$405&lt;INT(G101))*((('Istoric_Nativ'!$E$6:$E$405='Input_Meci'!D101)+('Istoric_Nativ'!$F$6:$F$405='Input_Meci'!D101)+('Istoric_Nativ'!$E$6:$E$405='Input_Meci'!E101)+('Istoric_Nativ'!$F$6:$F$405='Input_Meci'!E101))&gt;0))&gt;='Config_v6'!$B$41,C101,IF(AND('Input_Meci'!L101="YES",'Input_Meci'!K101&lt;&gt;"",'Input_Meci'!K101&lt;C101,COUNTIF('Core_Nativ'!R1152:R1157,"CLOSED")=6,SUM('Core_Nativ'!S1152:S1157)=0),'Input_Meci'!K101,C101)))</x:f>
      </x:c>
      <x:c r="BM101" s="9" t="n">
        <x:f>IF(OR(A101="",N101=0),0,LARGE(_xlfn._xlws.FILTER('Istoric_Nativ'!$D$6:$D$405,('Istoric_Nativ'!$B$6:$B$405=B101)*('Istoric_Nativ'!$C$6:$C$405=C101)*('Istoric_Nativ'!$P$6:$P$405=1)*('Istoric_Nativ'!$D$6:$D$405&lt;INT(G101))*((('Istoric_Nativ'!$E$6:$E$405='Input_Meci'!D101)+('Istoric_Nativ'!$F$6:$F$405='Input_Meci'!D101))&gt;0)),MIN(10,N101)))</x:f>
        <x:v>0</x:v>
      </x:c>
      <x:c r="BN101" s="9" t="n">
        <x:f>IF(OR(A101="",Q101=0),0,LARGE(_xlfn._xlws.FILTER('Istoric_Nativ'!$D$6:$D$405,('Istoric_Nativ'!$B$6:$B$405=B101)*('Istoric_Nativ'!$C$6:$C$405=C101)*('Istoric_Nativ'!$P$6:$P$405=1)*('Istoric_Nativ'!$D$6:$D$405&lt;INT(G101))*((('Istoric_Nativ'!$E$6:$E$405='Input_Meci'!E101)+('Istoric_Nativ'!$F$6:$F$405='Input_Meci'!E101))&gt;0)),MIN(10,Q101)))</x:f>
        <x:v>0</x:v>
      </x:c>
      <x:c r="BO101" s="9" t="n">
        <x:f>IF(OR(A101="",N101=0),0,LARGE(_xlfn._xlws.FILTER('Istoric_Nativ'!$D$6:$D$405,('Istoric_Nativ'!$B$6:$B$405=B101)*('Istoric_Nativ'!$C$6:$C$405=C101)*('Istoric_Nativ'!$P$6:$P$405=1)*('Istoric_Nativ'!$D$6:$D$405&lt;INT(G101))*((('Istoric_Nativ'!$E$6:$E$405='Input_Meci'!D101)+('Istoric_Nativ'!$F$6:$F$405='Input_Meci'!D101))&gt;0)),MIN(20,N101)))</x:f>
        <x:v>0</x:v>
      </x:c>
      <x:c r="BP101" s="9" t="n">
        <x:f>IF(OR(A101="",Q101=0),0,LARGE(_xlfn._xlws.FILTER('Istoric_Nativ'!$D$6:$D$405,('Istoric_Nativ'!$B$6:$B$405=B101)*('Istoric_Nativ'!$C$6:$C$405=C101)*('Istoric_Nativ'!$P$6:$P$405=1)*('Istoric_Nativ'!$D$6:$D$405&lt;INT(G101))*((('Istoric_Nativ'!$E$6:$E$405='Input_Meci'!E101)+('Istoric_Nativ'!$F$6:$F$405='Input_Meci'!E101))&gt;0)),MIN(20,Q101)))</x:f>
        <x:v>0</x:v>
      </x:c>
      <x:c r="BQ101" s="2" t="str">
        <x:f>IF(A101="","",IF(AND(COUNTIF(MatchesTable[Match_ID],A101)=1,COUNTIFS(MatchesTable[League],B101,MatchesTable[Season],C101,MatchesTable[Home],'Input_Meci'!D101,MatchesTable[Away],'Input_Meci'!E101,MatchesTable[Kickoff_UTC],F101)=1,B101&lt;&gt;"",C101&lt;&gt;"",'Input_Meci'!D101&lt;&gt;"",'Input_Meci'!E101&lt;&gt;"",'Input_Meci'!D101&lt;&gt;'Input_Meci'!E101,ISNUMBER(F101),ISNUMBER(G101),G101&lt;F101,OR(E101="LIVE",E101="REPLAY"),OR('Input_Meci'!L101="YES",'Input_Meci'!L101="NO",'Input_Meci'!L101="")),"VALID","INVALID"))</x:f>
      </x:c>
      <x:c r="BR101" s="2" t="n">
        <x:f>IF(I101&lt;&gt;"PASS",0,SUMPRODUCT(('Istoric_Nativ'!$B$6:$B$405='Input_Meci'!B101)*('Istoric_Nativ'!$C$6:$C$405='Input_Meci'!C101)*('Istoric_Nativ'!$P$6:$P$405=1)*('Istoric_Nativ'!$D$6:$D$405&lt;INT('Input_Meci'!G101))*((('Istoric_Nativ'!$E$6:$E$405='Input_Meci'!D101)+('Istoric_Nativ'!$F$6:$F$405='Input_Meci'!E101))&gt;0)))</x:f>
        <x:v>0</x:v>
      </x:c>
      <x:c r="BS101" s="2" t="n">
        <x:f>IF(I101&lt;&gt;"PASS",0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BM101)+((('Istoric_Nativ'!$E$6:$E$405='Input_Meci'!E101)+('Istoric_Nativ'!$F$6:$F$405='Input_Meci'!E101))&gt;0)*('Istoric_Nativ'!$D$6:$D$405&gt;=BN101))&gt;0)))</x:f>
        <x:v>0</x:v>
      </x:c>
      <x:c r="BT101" s="2" t="n">
        <x:f>IF(I101&lt;&gt;"PASS",0,SUMPRODUCT(('Istoric_Nativ'!$B$6:$B$405='Input_Meci'!B101)*('Istoric_Nativ'!$C$6:$C$405='Input_Meci'!C101)*('Istoric_Nativ'!$P$6:$P$405=1)*('Istoric_Nativ'!$D$6:$D$405&lt;INT('Input_Meci'!G101))*((((('Istoric_Nativ'!$E$6:$E$405='Input_Meci'!D101)+('Istoric_Nativ'!$F$6:$F$405='Input_Meci'!D101))&gt;0)*('Istoric_Nativ'!$D$6:$D$405&gt;=BO101)+((('Istoric_Nativ'!$E$6:$E$405='Input_Meci'!E101)+('Istoric_Nativ'!$F$6:$F$405='Input_Meci'!E101))&gt;0)*('Istoric_Nativ'!$D$6:$D$405&gt;=BP101))&gt;0)))</x:f>
        <x:v>0</x:v>
      </x:c>
    </x:row>
    <x:row r="102" ht="21" customHeight="1">
      <x:c r="A102" s="2" t="str">
        <x:f>IF('Input_Meci'!A102="","",'Input_Meci'!A102)</x:f>
      </x:c>
      <x:c r="B102" s="2" t="str">
        <x:f>IF(A102="","",'Input_Meci'!B102)</x:f>
      </x:c>
      <x:c r="C102" s="2" t="str">
        <x:f>IF(A102="","",'Input_Meci'!C102)</x:f>
      </x:c>
      <x:c r="D102" s="2" t="str">
        <x:f>IF(A102="","",'Input_Meci'!D102&amp;" – "&amp;'Input_Meci'!E102)</x:f>
      </x:c>
      <x:c r="E102" s="2" t="str">
        <x:f>IF(A102="","",'Input_Meci'!H102)</x:f>
      </x:c>
      <x:c r="F102" s="9" t="str">
        <x:f>IF(A102="","",'Input_Meci'!F102)</x:f>
      </x:c>
      <x:c r="G102" s="9" t="str">
        <x:f>IF(A102="","",'Input_Meci'!G102)</x:f>
      </x:c>
      <x:c r="H102" s="2" t="str">
        <x:f>IF(A102="","",IF(BQ102&lt;&gt;"VALID","NOT RELEASED",IF(AND(OR('Input_Meci'!I102="NOT AVAILABLE",'Input_Meci'!I102="SOURCE CONFLICT"),'Input_Meci'!J102&lt;&gt;""),"READY",IF(OR(NOT(OR('Input_Meci'!I102="AUTO",'Input_Meci'!I102="")),COUNTIF('Core_Nativ'!R1158:R1163,"CLOSED")&lt;&gt;6,BJ102&gt;0),"NOT RELEASED","READY"))))</x:f>
      </x:c>
      <x:c r="I102" s="2" t="str">
        <x:f>IF(A102="","",IF(H102&lt;&gt;"READY","NOT RELEASED",IF(AND(NOT(OR('Input_Meci'!I102="NOT AVAILABLE",'Input_Meci'!I102="SOURCE CONFLICT")),L102=12,AR102&gt;=2,AS102&gt;0,ISNUMBER(AT102),BI102="VALID",BK102="VALID"),"PASS","FAIL")))</x:f>
      </x:c>
      <x:c r="J102" s="2" t="str">
        <x:f>IF(A102="","",IF(BQ102&lt;&gt;"VALID","Verifica ID, echipe, mod si cutoff &lt; kickoff",IF(H102&lt;&gt;"READY",IF('Input_Meci'!I102="ACCESS BLOCKED","Acces blocat: reia sursele",IF(BJ102&gt;0,"Istoric invalid sau conflict: verifica randurile native","Surse neinchise / post-cutoff / dovezi incomplete")),IF(OR('Input_Meci'!I102="NOT AVAILABLE",'Input_Meci'!I102="SOURCE CONFLICT"),'Input_Meci'!I102,IF(BK102&lt;&gt;"VALID","Parametri invalizi",IF(L102&lt;&gt;12,"Core / sample / prior insuficient",IF(AR102&lt;2,"N insuficient pentru dispersie",IF(AS102&lt;=0,"Media istorica trebuie sa fie pozitiva",IF(BI102&lt;&gt;"VALID","Context invalid","READY")))))))))</x:f>
      </x:c>
      <x:c r="K102" s="2" t="str">
        <x:f>IF(A102="","",COUNT(T102:AE102))</x:f>
      </x:c>
      <x:c r="L102" s="2" t="str">
        <x:f>IF(A102="","",COUNT(AF102:AQ102))</x:f>
      </x:c>
      <x:c r="M102" s="2" t="str">
        <x:f>IF(A102="","",IF(OR('Core_Nativ'!M1158&lt;'Core_Nativ'!P1158,'Core_Nativ'!M1159&lt;'Core_Nativ'!P1159,'Core_Nativ'!M1160&lt;'Core_Nativ'!P1160,'Core_Nativ'!M1161&lt;'Core_Nativ'!P1161,'Core_Nativ'!M1162&lt;'Core_Nativ'!P1162,'Core_Nativ'!M1163&lt;'Core_Nativ'!P1163),"YES","NO"))</x:f>
      </x:c>
      <x:c r="N102" s="2" t="str">
        <x:f>IF(A102="","",'Core_Nativ'!M1158)</x:f>
      </x:c>
      <x:c r="O102" s="2" t="str">
        <x:f>IF(A102="","",'Core_Nativ'!M1159)</x:f>
      </x:c>
      <x:c r="P102" s="2" t="str">
        <x:f>IF(A102="","",'Core_Nativ'!M1160)</x:f>
      </x:c>
      <x:c r="Q102" s="2" t="str">
        <x:f>IF(A102="","",'Core_Nativ'!M1161)</x:f>
      </x:c>
      <x:c r="R102" s="2" t="str">
        <x:f>IF(A102="","",'Core_Nativ'!M1162)</x:f>
      </x:c>
      <x:c r="S102" s="2" t="str">
        <x:f>IF(A102="","",'Core_Nativ'!M1163)</x:f>
      </x:c>
      <x:c r="T102" s="11" t="str">
        <x:f>IF(OR(A102="",'Core_Nativ'!M1158=0),"",'Core_Nativ'!N1158)</x:f>
      </x:c>
      <x:c r="U102" s="11" t="str">
        <x:f>IF(OR(A102="",'Core_Nativ'!M1158=0),"",'Core_Nativ'!O1158)</x:f>
      </x:c>
      <x:c r="V102" s="11" t="str">
        <x:f>IF(OR(A102="",'Core_Nativ'!M1159=0),"",'Core_Nativ'!N1159)</x:f>
      </x:c>
      <x:c r="W102" s="11" t="str">
        <x:f>IF(OR(A102="",'Core_Nativ'!M1159=0),"",'Core_Nativ'!O1159)</x:f>
      </x:c>
      <x:c r="X102" s="11" t="str">
        <x:f>IF(OR(A102="",'Core_Nativ'!M1160=0),"",'Core_Nativ'!N1160)</x:f>
      </x:c>
      <x:c r="Y102" s="11" t="str">
        <x:f>IF(OR(A102="",'Core_Nativ'!M1160=0),"",'Core_Nativ'!O1160)</x:f>
      </x:c>
      <x:c r="Z102" s="11" t="str">
        <x:f>IF(OR(A102="",'Core_Nativ'!M1161=0),"",'Core_Nativ'!N1161)</x:f>
      </x:c>
      <x:c r="AA102" s="11" t="str">
        <x:f>IF(OR(A102="",'Core_Nativ'!M1161=0),"",'Core_Nativ'!O1161)</x:f>
      </x:c>
      <x:c r="AB102" s="11" t="str">
        <x:f>IF(OR(A102="",'Core_Nativ'!M1162=0),"",'Core_Nativ'!N1162)</x:f>
      </x:c>
      <x:c r="AC102" s="11" t="str">
        <x:f>IF(OR(A102="",'Core_Nativ'!M1162=0),"",'Core_Nativ'!O1162)</x:f>
      </x:c>
      <x:c r="AD102" s="11" t="str">
        <x:f>IF(OR(A102="",'Core_Nativ'!M1163=0),"",'Core_Nativ'!N1163)</x:f>
      </x:c>
      <x:c r="AE102" s="11" t="str">
        <x:f>IF(OR(A102="",'Core_Nativ'!M1163=0),"",'Core_Nativ'!O1163)</x:f>
      </x:c>
      <x:c r="AF102" s="11" t="str">
        <x:f>IF(A102="","",IF(AND('Core_Nativ'!R1158="CLOSED",'Core_Nativ'!S1158=0),IF('Core_Nativ'!M1158&gt;='Core_Nativ'!P1158,'Core_Nativ'!N1158,IF(AND('Input_Meci'!L102="YES",'Input_Meci'!K102&lt;&gt;"",'Input_Meci'!K102&lt;C102,'Core_Nativ'!T1164="DERIVED",'Core_Nativ'!M1164&gt;='Core_Nativ'!P1158),MIN(1,'Core_Nativ'!M1158/'Core_Nativ'!P1158)*IF('Core_Nativ'!M1158=0,0,'Core_Nativ'!N1158)+(1-MIN(1,'Core_Nativ'!M1158/'Core_Nativ'!P1158))*'Core_Nativ'!N1164,"")),""))</x:f>
      </x:c>
      <x:c r="AG102" s="11" t="str">
        <x:f>IF(A102="","",IF(AND('Core_Nativ'!R1158="CLOSED",'Core_Nativ'!S1158=0),IF('Core_Nativ'!M1158&gt;='Core_Nativ'!P1158,'Core_Nativ'!O1158,IF(AND('Input_Meci'!L102="YES",'Input_Meci'!K102&lt;&gt;"",'Input_Meci'!K102&lt;C102,'Core_Nativ'!T1164="DERIVED",'Core_Nativ'!M1164&gt;='Core_Nativ'!P1158),MIN(1,'Core_Nativ'!M1158/'Core_Nativ'!P1158)*IF('Core_Nativ'!M1158=0,0,'Core_Nativ'!O1158)+(1-MIN(1,'Core_Nativ'!M1158/'Core_Nativ'!P1158))*'Core_Nativ'!O1164,"")),""))</x:f>
      </x:c>
      <x:c r="AH102" s="11" t="str">
        <x:f>IF(A102="","",IF(AND('Core_Nativ'!R1159="CLOSED",'Core_Nativ'!S1159=0),IF('Core_Nativ'!M1159&gt;='Core_Nativ'!P1159,'Core_Nativ'!N1159,IF(AND('Input_Meci'!L102="YES",'Input_Meci'!K102&lt;&gt;"",'Input_Meci'!K102&lt;C102,'Core_Nativ'!T1165="DERIVED",'Core_Nativ'!M1165&gt;='Core_Nativ'!P1159),MIN(1,'Core_Nativ'!M1159/'Core_Nativ'!P1159)*IF('Core_Nativ'!M1159=0,0,'Core_Nativ'!N1159)+(1-MIN(1,'Core_Nativ'!M1159/'Core_Nativ'!P1159))*'Core_Nativ'!N1165,"")),""))</x:f>
      </x:c>
      <x:c r="AI102" s="11" t="str">
        <x:f>IF(A102="","",IF(AND('Core_Nativ'!R1159="CLOSED",'Core_Nativ'!S1159=0),IF('Core_Nativ'!M1159&gt;='Core_Nativ'!P1159,'Core_Nativ'!O1159,IF(AND('Input_Meci'!L102="YES",'Input_Meci'!K102&lt;&gt;"",'Input_Meci'!K102&lt;C102,'Core_Nativ'!T1165="DERIVED",'Core_Nativ'!M1165&gt;='Core_Nativ'!P1159),MIN(1,'Core_Nativ'!M1159/'Core_Nativ'!P1159)*IF('Core_Nativ'!M1159=0,0,'Core_Nativ'!O1159)+(1-MIN(1,'Core_Nativ'!M1159/'Core_Nativ'!P1159))*'Core_Nativ'!O1165,"")),""))</x:f>
      </x:c>
      <x:c r="AJ102" s="11" t="str">
        <x:f>IF(A102="","",IF(AND('Core_Nativ'!R1160="CLOSED",'Core_Nativ'!S1160=0),IF('Core_Nativ'!M1160&gt;='Core_Nativ'!P1160,'Core_Nativ'!N1160,IF(AND('Input_Meci'!L102="YES",'Input_Meci'!K102&lt;&gt;"",'Input_Meci'!K102&lt;C102,'Core_Nativ'!T1166="DERIVED",'Core_Nativ'!M1166&gt;='Core_Nativ'!P1160),MIN(1,'Core_Nativ'!M1160/'Core_Nativ'!P1160)*IF('Core_Nativ'!M1160=0,0,'Core_Nativ'!N1160)+(1-MIN(1,'Core_Nativ'!M1160/'Core_Nativ'!P1160))*'Core_Nativ'!N1166,"")),""))</x:f>
      </x:c>
      <x:c r="AK102" s="11" t="str">
        <x:f>IF(A102="","",IF(AND('Core_Nativ'!R1160="CLOSED",'Core_Nativ'!S1160=0),IF('Core_Nativ'!M1160&gt;='Core_Nativ'!P1160,'Core_Nativ'!O1160,IF(AND('Input_Meci'!L102="YES",'Input_Meci'!K102&lt;&gt;"",'Input_Meci'!K102&lt;C102,'Core_Nativ'!T1166="DERIVED",'Core_Nativ'!M1166&gt;='Core_Nativ'!P1160),MIN(1,'Core_Nativ'!M1160/'Core_Nativ'!P1160)*IF('Core_Nativ'!M1160=0,0,'Core_Nativ'!O1160)+(1-MIN(1,'Core_Nativ'!M1160/'Core_Nativ'!P1160))*'Core_Nativ'!O1166,"")),""))</x:f>
      </x:c>
      <x:c r="AL102" s="11" t="str">
        <x:f>IF(A102="","",IF(AND('Core_Nativ'!R1161="CLOSED",'Core_Nativ'!S1161=0),IF('Core_Nativ'!M1161&gt;='Core_Nativ'!P1161,'Core_Nativ'!N1161,IF(AND('Input_Meci'!L102="YES",'Input_Meci'!K102&lt;&gt;"",'Input_Meci'!K102&lt;C102,'Core_Nativ'!T1167="DERIVED",'Core_Nativ'!M1167&gt;='Core_Nativ'!P1161),MIN(1,'Core_Nativ'!M1161/'Core_Nativ'!P1161)*IF('Core_Nativ'!M1161=0,0,'Core_Nativ'!N1161)+(1-MIN(1,'Core_Nativ'!M1161/'Core_Nativ'!P1161))*'Core_Nativ'!N1167,"")),""))</x:f>
      </x:c>
      <x:c r="AM102" s="11" t="str">
        <x:f>IF(A102="","",IF(AND('Core_Nativ'!R1161="CLOSED",'Core_Nativ'!S1161=0),IF('Core_Nativ'!M1161&gt;='Core_Nativ'!P1161,'Core_Nativ'!O1161,IF(AND('Input_Meci'!L102="YES",'Input_Meci'!K102&lt;&gt;"",'Input_Meci'!K102&lt;C102,'Core_Nativ'!T1167="DERIVED",'Core_Nativ'!M1167&gt;='Core_Nativ'!P1161),MIN(1,'Core_Nativ'!M1161/'Core_Nativ'!P1161)*IF('Core_Nativ'!M1161=0,0,'Core_Nativ'!O1161)+(1-MIN(1,'Core_Nativ'!M1161/'Core_Nativ'!P1161))*'Core_Nativ'!O1167,"")),""))</x:f>
      </x:c>
      <x:c r="AN102" s="11" t="str">
        <x:f>IF(A102="","",IF(AND('Core_Nativ'!R1162="CLOSED",'Core_Nativ'!S1162=0),IF('Core_Nativ'!M1162&gt;='Core_Nativ'!P1162,'Core_Nativ'!N1162,IF(AND('Input_Meci'!L102="YES",'Input_Meci'!K102&lt;&gt;"",'Input_Meci'!K102&lt;C102,'Core_Nativ'!T1168="DERIVED",'Core_Nativ'!M1168&gt;='Core_Nativ'!P1162),MIN(1,'Core_Nativ'!M1162/'Core_Nativ'!P1162)*IF('Core_Nativ'!M1162=0,0,'Core_Nativ'!N1162)+(1-MIN(1,'Core_Nativ'!M1162/'Core_Nativ'!P1162))*'Core_Nativ'!N1168,"")),""))</x:f>
      </x:c>
      <x:c r="AO102" s="11" t="str">
        <x:f>IF(A102="","",IF(AND('Core_Nativ'!R1162="CLOSED",'Core_Nativ'!S1162=0),IF('Core_Nativ'!M1162&gt;='Core_Nativ'!P1162,'Core_Nativ'!O1162,IF(AND('Input_Meci'!L102="YES",'Input_Meci'!K102&lt;&gt;"",'Input_Meci'!K102&lt;C102,'Core_Nativ'!T1168="DERIVED",'Core_Nativ'!M1168&gt;='Core_Nativ'!P1162),MIN(1,'Core_Nativ'!M1162/'Core_Nativ'!P1162)*IF('Core_Nativ'!M1162=0,0,'Core_Nativ'!O1162)+(1-MIN(1,'Core_Nativ'!M1162/'Core_Nativ'!P1162))*'Core_Nativ'!O1168,"")),""))</x:f>
      </x:c>
      <x:c r="AP102" s="11" t="str">
        <x:f>IF(A102="","",IF(AND('Core_Nativ'!R1163="CLOSED",'Core_Nativ'!S1163=0),IF('Core_Nativ'!M1163&gt;='Core_Nativ'!P1163,'Core_Nativ'!N1163,IF(AND('Input_Meci'!L102="YES",'Input_Meci'!K102&lt;&gt;"",'Input_Meci'!K102&lt;C102,'Core_Nativ'!T1169="DERIVED",'Core_Nativ'!M1169&gt;='Core_Nativ'!P1163),MIN(1,'Core_Nativ'!M1163/'Core_Nativ'!P1163)*IF('Core_Nativ'!M1163=0,0,'Core_Nativ'!N1163)+(1-MIN(1,'Core_Nativ'!M1163/'Core_Nativ'!P1163))*'Core_Nativ'!N1169,"")),""))</x:f>
      </x:c>
      <x:c r="AQ102" s="11" t="str">
        <x:f>IF(A102="","",IF(AND('Core_Nativ'!R1163="CLOSED",'Core_Nativ'!S1163=0),IF('Core_Nativ'!M1163&gt;='Core_Nativ'!P1163,'Core_Nativ'!O1163,IF(AND('Input_Meci'!L102="YES",'Input_Meci'!K102&lt;&gt;"",'Input_Meci'!K102&lt;C102,'Core_Nativ'!T1169="DERIVED",'Core_Nativ'!M1169&gt;='Core_Nativ'!P1163),MIN(1,'Core_Nativ'!M1163/'Core_Nativ'!P1163)*IF('Core_Nativ'!M1163=0,0,'Core_Nativ'!O1163)+(1-MIN(1,'Core_Nativ'!M1163/'Core_Nativ'!P1163))*'Core_Nativ'!O1169,"")),""))</x:f>
      </x:c>
      <x:c r="AR102" s="11" t="str">
        <x:f>IF(A102="","",SUMPRODUCT(('Istoric_Nativ'!$B$6:$B$405=B102)*('Istoric_Nativ'!$C$6:$C$405=BL102)*('Istoric_Nativ'!$P$6:$P$405=1)*('Istoric_Nativ'!$D$6:$D$405&lt;INT(G102))*((('Istoric_Nativ'!$E$6:$E$405='Input_Meci'!D102)+('Istoric_Nativ'!$F$6:$F$405='Input_Meci'!D102)+('Istoric_Nativ'!$E$6:$E$405='Input_Meci'!E102)+('Istoric_Nativ'!$F$6:$F$405='Input_Meci'!E102))&gt;0)))</x:f>
      </x:c>
      <x:c r="AS102" s="11" t="str">
        <x:f>IF(AR102=0,"",SUMPRODUCT(('Istoric_Nativ'!$B$6:$B$405=B102)*('Istoric_Nativ'!$C$6:$C$405=BL102)*('Istoric_Nativ'!$P$6:$P$405=1)*('Istoric_Nativ'!$D$6:$D$405&lt;INT(G102))*((('Istoric_Nativ'!$E$6:$E$405='Input_Meci'!D102)+('Istoric_Nativ'!$F$6:$F$405='Input_Meci'!D102)+('Istoric_Nativ'!$E$6:$E$405='Input_Meci'!E102)+('Istoric_Nativ'!$F$6:$F$405='Input_Meci'!E102))&gt;0)*'Istoric_Nativ'!$Q$6:$Q$405)/AR102)</x:f>
      </x:c>
      <x:c r="AT102" s="11" t="str">
        <x:f>IF(AR102&lt;2,"",MAX(0,(SUMPRODUCT(('Istoric_Nativ'!$B$6:$B$405=B102)*('Istoric_Nativ'!$C$6:$C$405=BL102)*('Istoric_Nativ'!$P$6:$P$405=1)*('Istoric_Nativ'!$D$6:$D$405&lt;INT(G102))*((('Istoric_Nativ'!$E$6:$E$405='Input_Meci'!D102)+('Istoric_Nativ'!$F$6:$F$405='Input_Meci'!D102)+('Istoric_Nativ'!$E$6:$E$405='Input_Meci'!E102)+('Istoric_Nativ'!$F$6:$F$405='Input_Meci'!E102))&gt;0)*'Istoric_Nativ'!$R$6:$R$405)-AR102*AS102^2)/(AR102-1)))</x:f>
      </x:c>
      <x:c r="AU102" s="11" t="str">
        <x:f>IF(I102&lt;&gt;"PASS","",AT102/AS102)</x:f>
      </x:c>
      <x:c r="AV102" s="11" t="str">
        <x:f>IF(I102&lt;&gt;"PASS","",IF(AU102&lt;='Config_v6'!$B$10,"POISSON","NEGATIVE BINOMIAL"))</x:f>
      </x:c>
      <x:c r="AW102" s="11" t="str">
        <x:f>IF(I102&lt;&gt;"PASS","",IF(AV102="POISSON",9999,AS102/(AU102-1)))</x:f>
      </x:c>
      <x:c r="AX102" s="11" t="str">
        <x:f>IF(A102="","",MAX(1-'Config_v6'!$B$20,MIN(1+'Config_v6'!$B$20,1+0.02*(IF(AND(ISNUMBER('Input_Meci'!N102),'Input_Meci'!N102&gt;=0,'Input_Meci'!N102&lt;=200),'Input_Meci'!N102,12)/12-1)+0.02*(IF(AND(ISNUMBER('Input_Meci'!P102),'Input_Meci'!P102&gt;=0,'Input_Meci'!P102&lt;=200),'Input_Meci'!P102,3.5)/3.5-1)+0.02*(IF(AND(ISNUMBER('Input_Meci'!R102),'Input_Meci'!R102&gt;=0,'Input_Meci'!R102&lt;=200),'Input_Meci'!R102,18)/18-1)+0.02*((IF(AND(ISNUMBER('Input_Meci'!V102),'Input_Meci'!V102&gt;=0,'Input_Meci'!V102&lt;=10),'Input_Meci'!V102,5)-5)/5))))</x:f>
      </x:c>
      <x:c r="AY102" s="11" t="str">
        <x:f>IF(A102="","",MAX(1-'Config_v6'!$B$20,MIN(1+'Config_v6'!$B$20,1+0.02*(IF(AND(ISNUMBER('Input_Meci'!O102),'Input_Meci'!O102&gt;=0,'Input_Meci'!O102&lt;=200),'Input_Meci'!O102,12)/12-1)+0.02*(IF(AND(ISNUMBER('Input_Meci'!Q102),'Input_Meci'!Q102&gt;=0,'Input_Meci'!Q102&lt;=200),'Input_Meci'!Q102,3.5)/3.5-1)+0.02*(IF(AND(ISNUMBER('Input_Meci'!S102),'Input_Meci'!S102&gt;=0,'Input_Meci'!S102&lt;=200),'Input_Meci'!S102,18)/18-1)+0.02*((IF(AND(ISNUMBER('Input_Meci'!W102),'Input_Meci'!W102&gt;=0,'Input_Meci'!W102&lt;=10),'Input_Meci'!W102,5)-5)/5))))</x:f>
      </x:c>
      <x:c r="AZ102" s="11" t="str">
        <x:f>IF(A102="","",MAX(1-'Config_v6'!$B$21,MIN(1+'Config_v6'!$B$21,1+0.012*(IF('Input_Meci'!X102="",5,IF(ISNUMBER('Input_Meci'!X102),'Input_Meci'!X102,5))-5)+0.018*(IF('Input_Meci'!Z102="",5,IF(ISNUMBER('Input_Meci'!Z102),'Input_Meci'!Z102,5))-5)+0.012*(IF('Input_Meci'!AB102="",5,IF(ISNUMBER('Input_Meci'!AB102),'Input_Meci'!AB102,5))-5)+0.015*IF('Input_Meci'!AD102="",0,IF(ISNUMBER('Input_Meci'!AD102),'Input_Meci'!AD102,0))+0.02*IF('Input_Meci'!AF102="",0,IF(ISNUMBER('Input_Meci'!AF102),'Input_Meci'!AF102,0)))))</x:f>
      </x:c>
      <x:c r="BA102" s="11" t="str">
        <x:f>IF(A102="","",MAX(1-'Config_v6'!$B$21,MIN(1+'Config_v6'!$B$21,1+0.012*(IF('Input_Meci'!Y102="",5,IF(ISNUMBER('Input_Meci'!Y102),'Input_Meci'!Y102,5))-5)+0.018*(IF('Input_Meci'!AA102="",5,IF(ISNUMBER('Input_Meci'!AA102),'Input_Meci'!AA102,5))-5)+0.012*(IF('Input_Meci'!AC102="",5,IF(ISNUMBER('Input_Meci'!AC102),'Input_Meci'!AC102,5))-5)+0.015*IF('Input_Meci'!AE102="",0,IF(ISNUMBER('Input_Meci'!AE102),'Input_Meci'!AE102,0))+0.02*IF('Input_Meci'!AG102="",0,IF(ISNUMBER('Input_Meci'!AG102),'Input_Meci'!AG102,0)))))</x:f>
      </x:c>
      <x:c r="BB102" s="11" t="str">
        <x:f>IF(I102&lt;&gt;"PASS","",(AVERAGE(AF102,AM102)*'Config_v6'!$B$4+AVERAGE(AH102,AO102)*'Config_v6'!$B$5+AVERAGE(AJ102,AQ102)*'Config_v6'!$B$6)*AX102*AZ102)</x:f>
      </x:c>
      <x:c r="BC102" s="11" t="str">
        <x:f>IF(I102&lt;&gt;"PASS","",(AVERAGE(AL102,AG102)*'Config_v6'!$B$4+AVERAGE(AN102,AI102)*'Config_v6'!$B$5+AVERAGE(AP102,AK102)*'Config_v6'!$B$6)*AY102*BA102)</x:f>
      </x:c>
      <x:c r="BD102" s="11" t="str">
        <x:f>IF(I102&lt;&gt;"PASS","",BB102+BC102)</x:f>
      </x:c>
      <x:c r="BE102" s="11" t="str">
        <x:f>IF(A102="","",10-SUM(IF(AND(ISNUMBER('Input_Meci'!N102),'Input_Meci'!N102&gt;=0,'Input_Meci'!N102&lt;=200),1,0),IF(AND(ISNUMBER('Input_Meci'!O102),'Input_Meci'!O102&gt;=0,'Input_Meci'!O102&lt;=200),1,0),IF(AND(ISNUMBER('Input_Meci'!P102),'Input_Meci'!P102&gt;=0,'Input_Meci'!P102&lt;=200),1,0),IF(AND(ISNUMBER('Input_Meci'!Q102),'Input_Meci'!Q102&gt;=0,'Input_Meci'!Q102&lt;=200),1,0),IF(AND(ISNUMBER('Input_Meci'!R102),'Input_Meci'!R102&gt;=0,'Input_Meci'!R102&lt;=200),1,0),IF(AND(ISNUMBER('Input_Meci'!S102),'Input_Meci'!S102&gt;=0,'Input_Meci'!S102&lt;=200),1,0),IF(AND(ISNUMBER('Input_Meci'!T102),'Input_Meci'!T102&gt;=0,'Input_Meci'!T102&lt;=100),1,0),IF(AND(ISNUMBER('Input_Meci'!U102),'Input_Meci'!U102&gt;=0,'Input_Meci'!U102&lt;=100),1,0),IF(AND(ISNUMBER('Input_Meci'!V102),'Input_Meci'!V102&gt;=0,'Input_Meci'!V102&lt;=10),1,0),IF(AND(ISNUMBER('Input_Meci'!W102),'Input_Meci'!W102&gt;=0,'Input_Meci'!W102&lt;=10),1,0)))</x:f>
      </x:c>
      <x:c r="BF102" s="11" t="str">
        <x:f>IF(I102&lt;&gt;"PASS","",MAX(0,MIN(IF(OR(M102="YES",BL102&lt;&gt;C102),'Config_v6'!$B$34,100),ROUND(40+25*MIN(1,MIN(N102,Q102)/'Config_v6'!$B$7)*MIN(1,MIN(O102,R102)/'Config_v6'!$B$8)*MIN(1,MIN(P102,S102)/'Config_v6'!$B$9)+MAX(0,15-2*ABS(AF102-AJ102)-2*ABS(AL102-AP102))+IF(AU102&lt;='Config_v6'!$B$10,15,IF(AU102&lt;='Config_v6'!$B$11,13,IF(AU102&lt;='Config_v6'!$B$12,10,IF(AU102&lt;='Config_v6'!$B$13,6,0))))+5-BE102/10*'Config_v6'!$B$38,0))))</x:f>
      </x:c>
      <x:c r="BG102" s="11" t="str">
        <x:f>IF(I102&lt;&gt;"PASS","",MIN(1,'Config_v6'!$B$14*(0.7+0.3*MIN(1,AR102/'Config_v6'!$B$15))*IF(AU102&lt;='Config_v6'!$B$10,1,IF(AU102&lt;='Config_v6'!$B$11,0.95,IF(AU102&lt;='Config_v6'!$B$12,0.88,0.78)))*(0.75+0.25*BF102/100)))</x:f>
      </x:c>
      <x:c r="BH102" s="11" t="str">
        <x:f>IF(I102&lt;&gt;"PASS","",MIN(1,(ABS(AZ102-1)+ABS(BA102-1))*3))</x:f>
      </x:c>
      <x:c r="BI102" s="2" t="str">
        <x:f>IF(A102="","",IF(AND(OR('Input_Meci'!X102="",AND(ISNUMBER('Input_Meci'!X102),'Input_Meci'!X102&gt;=0,'Input_Meci'!X102&lt;=10)),OR('Input_Meci'!Y102="",AND(ISNUMBER('Input_Meci'!Y102),'Input_Meci'!Y102&gt;=0,'Input_Meci'!Y102&lt;=10)),OR('Input_Meci'!Z102="",AND(ISNUMBER('Input_Meci'!Z102),'Input_Meci'!Z102&gt;=0,'Input_Meci'!Z102&lt;=10)),OR('Input_Meci'!AA102="",AND(ISNUMBER('Input_Meci'!AA102),'Input_Meci'!AA102&gt;=0,'Input_Meci'!AA102&lt;=10)),OR('Input_Meci'!AB102="",AND(ISNUMBER('Input_Meci'!AB102),'Input_Meci'!AB102&gt;=0,'Input_Meci'!AB102&lt;=10)),OR('Input_Meci'!AC102="",AND(ISNUMBER('Input_Meci'!AC102),'Input_Meci'!AC102&gt;=0,'Input_Meci'!AC102&lt;=10)),OR('Input_Meci'!AD102="",AND(ISNUMBER('Input_Meci'!AD102),'Input_Meci'!AD102&gt;=-2,'Input_Meci'!AD102&lt;=2)),OR('Input_Meci'!AE102="",AND(ISNUMBER('Input_Meci'!AE102),'Input_Meci'!AE102&gt;=-2,'Input_Meci'!AE102&lt;=2)),OR('Input_Meci'!AF102="",AND(ISNUMBER('Input_Meci'!AF102),'Input_Meci'!AF102&gt;=-2,'Input_Meci'!AF102&lt;=2)),OR('Input_Meci'!AG102="",AND(ISNUMBER('Input_Meci'!AG102),'Input_Meci'!AG102&gt;=-2,'Input_Meci'!AG102&lt;=2))),"VALID","INVALID"))</x:f>
      </x:c>
      <x:c r="BJ102" s="2" t="n">
        <x:f>IF(A102="",0,SUM('Core_Nativ'!S1158:S1163))</x:f>
        <x:v>0</x:v>
      </x:c>
      <x:c r="BK102" s="2" t="str">
        <x:f>'Config_v6'!$B$40</x:f>
        <x:v>VALID</x:v>
      </x:c>
      <x:c r="BL102" s="2" t="str">
        <x:f>IF(A102="","",IF(SUMPRODUCT(('Istoric_Nativ'!$B$6:$B$405=B102)*('Istoric_Nativ'!$C$6:$C$405=C102)*('Istoric_Nativ'!$P$6:$P$405=1)*('Istoric_Nativ'!$D$6:$D$405&lt;INT(G102))*((('Istoric_Nativ'!$E$6:$E$405='Input_Meci'!D102)+('Istoric_Nativ'!$F$6:$F$405='Input_Meci'!D102)+('Istoric_Nativ'!$E$6:$E$405='Input_Meci'!E102)+('Istoric_Nativ'!$F$6:$F$405='Input_Meci'!E102))&gt;0))&gt;='Config_v6'!$B$41,C102,IF(AND('Input_Meci'!L102="YES",'Input_Meci'!K102&lt;&gt;"",'Input_Meci'!K102&lt;C102,COUNTIF('Core_Nativ'!R1164:R1169,"CLOSED")=6,SUM('Core_Nativ'!S1164:S1169)=0),'Input_Meci'!K102,C102)))</x:f>
      </x:c>
      <x:c r="BM102" s="9" t="n">
        <x:f>IF(OR(A102="",N102=0),0,LARGE(_xlfn._xlws.FILTER('Istoric_Nativ'!$D$6:$D$405,('Istoric_Nativ'!$B$6:$B$405=B102)*('Istoric_Nativ'!$C$6:$C$405=C102)*('Istoric_Nativ'!$P$6:$P$405=1)*('Istoric_Nativ'!$D$6:$D$405&lt;INT(G102))*((('Istoric_Nativ'!$E$6:$E$405='Input_Meci'!D102)+('Istoric_Nativ'!$F$6:$F$405='Input_Meci'!D102))&gt;0)),MIN(10,N102)))</x:f>
        <x:v>0</x:v>
      </x:c>
      <x:c r="BN102" s="9" t="n">
        <x:f>IF(OR(A102="",Q102=0),0,LARGE(_xlfn._xlws.FILTER('Istoric_Nativ'!$D$6:$D$405,('Istoric_Nativ'!$B$6:$B$405=B102)*('Istoric_Nativ'!$C$6:$C$405=C102)*('Istoric_Nativ'!$P$6:$P$405=1)*('Istoric_Nativ'!$D$6:$D$405&lt;INT(G102))*((('Istoric_Nativ'!$E$6:$E$405='Input_Meci'!E102)+('Istoric_Nativ'!$F$6:$F$405='Input_Meci'!E102))&gt;0)),MIN(10,Q102)))</x:f>
        <x:v>0</x:v>
      </x:c>
      <x:c r="BO102" s="9" t="n">
        <x:f>IF(OR(A102="",N102=0),0,LARGE(_xlfn._xlws.FILTER('Istoric_Nativ'!$D$6:$D$405,('Istoric_Nativ'!$B$6:$B$405=B102)*('Istoric_Nativ'!$C$6:$C$405=C102)*('Istoric_Nativ'!$P$6:$P$405=1)*('Istoric_Nativ'!$D$6:$D$405&lt;INT(G102))*((('Istoric_Nativ'!$E$6:$E$405='Input_Meci'!D102)+('Istoric_Nativ'!$F$6:$F$405='Input_Meci'!D102))&gt;0)),MIN(20,N102)))</x:f>
        <x:v>0</x:v>
      </x:c>
      <x:c r="BP102" s="9" t="n">
        <x:f>IF(OR(A102="",Q102=0),0,LARGE(_xlfn._xlws.FILTER('Istoric_Nativ'!$D$6:$D$405,('Istoric_Nativ'!$B$6:$B$405=B102)*('Istoric_Nativ'!$C$6:$C$405=C102)*('Istoric_Nativ'!$P$6:$P$405=1)*('Istoric_Nativ'!$D$6:$D$405&lt;INT(G102))*((('Istoric_Nativ'!$E$6:$E$405='Input_Meci'!E102)+('Istoric_Nativ'!$F$6:$F$405='Input_Meci'!E102))&gt;0)),MIN(20,Q102)))</x:f>
        <x:v>0</x:v>
      </x:c>
      <x:c r="BQ102" s="2" t="str">
        <x:f>IF(A102="","",IF(AND(COUNTIF(MatchesTable[Match_ID],A102)=1,COUNTIFS(MatchesTable[League],B102,MatchesTable[Season],C102,MatchesTable[Home],'Input_Meci'!D102,MatchesTable[Away],'Input_Meci'!E102,MatchesTable[Kickoff_UTC],F102)=1,B102&lt;&gt;"",C102&lt;&gt;"",'Input_Meci'!D102&lt;&gt;"",'Input_Meci'!E102&lt;&gt;"",'Input_Meci'!D102&lt;&gt;'Input_Meci'!E102,ISNUMBER(F102),ISNUMBER(G102),G102&lt;F102,OR(E102="LIVE",E102="REPLAY"),OR('Input_Meci'!L102="YES",'Input_Meci'!L102="NO",'Input_Meci'!L102="")),"VALID","INVALID"))</x:f>
      </x:c>
      <x:c r="BR102" s="2" t="n">
        <x:f>IF(I102&lt;&gt;"PASS",0,SUMPRODUCT(('Istoric_Nativ'!$B$6:$B$405='Input_Meci'!B102)*('Istoric_Nativ'!$C$6:$C$405='Input_Meci'!C102)*('Istoric_Nativ'!$P$6:$P$405=1)*('Istoric_Nativ'!$D$6:$D$405&lt;INT('Input_Meci'!G102))*((('Istoric_Nativ'!$E$6:$E$405='Input_Meci'!D102)+('Istoric_Nativ'!$F$6:$F$405='Input_Meci'!E102))&gt;0)))</x:f>
        <x:v>0</x:v>
      </x:c>
      <x:c r="BS102" s="2" t="n">
        <x:f>IF(I102&lt;&gt;"PASS",0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BM102)+((('Istoric_Nativ'!$E$6:$E$405='Input_Meci'!E102)+('Istoric_Nativ'!$F$6:$F$405='Input_Meci'!E102))&gt;0)*('Istoric_Nativ'!$D$6:$D$405&gt;=BN102))&gt;0)))</x:f>
        <x:v>0</x:v>
      </x:c>
      <x:c r="BT102" s="2" t="n">
        <x:f>IF(I102&lt;&gt;"PASS",0,SUMPRODUCT(('Istoric_Nativ'!$B$6:$B$405='Input_Meci'!B102)*('Istoric_Nativ'!$C$6:$C$405='Input_Meci'!C102)*('Istoric_Nativ'!$P$6:$P$405=1)*('Istoric_Nativ'!$D$6:$D$405&lt;INT('Input_Meci'!G102))*((((('Istoric_Nativ'!$E$6:$E$405='Input_Meci'!D102)+('Istoric_Nativ'!$F$6:$F$405='Input_Meci'!D102))&gt;0)*('Istoric_Nativ'!$D$6:$D$405&gt;=BO102)+((('Istoric_Nativ'!$E$6:$E$405='Input_Meci'!E102)+('Istoric_Nativ'!$F$6:$F$405='Input_Meci'!E102))&gt;0)*('Istoric_Nativ'!$D$6:$D$405&gt;=BP102))&gt;0)))</x:f>
        <x:v>0</x:v>
      </x:c>
    </x:row>
    <x:row r="103" ht="21" customHeight="1">
      <x:c r="A103" s="2" t="str">
        <x:f>IF('Input_Meci'!A103="","",'Input_Meci'!A103)</x:f>
      </x:c>
      <x:c r="B103" s="2" t="str">
        <x:f>IF(A103="","",'Input_Meci'!B103)</x:f>
      </x:c>
      <x:c r="C103" s="2" t="str">
        <x:f>IF(A103="","",'Input_Meci'!C103)</x:f>
      </x:c>
      <x:c r="D103" s="2" t="str">
        <x:f>IF(A103="","",'Input_Meci'!D103&amp;" – "&amp;'Input_Meci'!E103)</x:f>
      </x:c>
      <x:c r="E103" s="2" t="str">
        <x:f>IF(A103="","",'Input_Meci'!H103)</x:f>
      </x:c>
      <x:c r="F103" s="9" t="str">
        <x:f>IF(A103="","",'Input_Meci'!F103)</x:f>
      </x:c>
      <x:c r="G103" s="9" t="str">
        <x:f>IF(A103="","",'Input_Meci'!G103)</x:f>
      </x:c>
      <x:c r="H103" s="2" t="str">
        <x:f>IF(A103="","",IF(BQ103&lt;&gt;"VALID","NOT RELEASED",IF(AND(OR('Input_Meci'!I103="NOT AVAILABLE",'Input_Meci'!I103="SOURCE CONFLICT"),'Input_Meci'!J103&lt;&gt;""),"READY",IF(OR(NOT(OR('Input_Meci'!I103="AUTO",'Input_Meci'!I103="")),COUNTIF('Core_Nativ'!R1170:R1175,"CLOSED")&lt;&gt;6,BJ103&gt;0),"NOT RELEASED","READY"))))</x:f>
      </x:c>
      <x:c r="I103" s="2" t="str">
        <x:f>IF(A103="","",IF(H103&lt;&gt;"READY","NOT RELEASED",IF(AND(NOT(OR('Input_Meci'!I103="NOT AVAILABLE",'Input_Meci'!I103="SOURCE CONFLICT")),L103=12,AR103&gt;=2,AS103&gt;0,ISNUMBER(AT103),BI103="VALID",BK103="VALID"),"PASS","FAIL")))</x:f>
      </x:c>
      <x:c r="J103" s="2" t="str">
        <x:f>IF(A103="","",IF(BQ103&lt;&gt;"VALID","Verifica ID, echipe, mod si cutoff &lt; kickoff",IF(H103&lt;&gt;"READY",IF('Input_Meci'!I103="ACCESS BLOCKED","Acces blocat: reia sursele",IF(BJ103&gt;0,"Istoric invalid sau conflict: verifica randurile native","Surse neinchise / post-cutoff / dovezi incomplete")),IF(OR('Input_Meci'!I103="NOT AVAILABLE",'Input_Meci'!I103="SOURCE CONFLICT"),'Input_Meci'!I103,IF(BK103&lt;&gt;"VALID","Parametri invalizi",IF(L103&lt;&gt;12,"Core / sample / prior insuficient",IF(AR103&lt;2,"N insuficient pentru dispersie",IF(AS103&lt;=0,"Media istorica trebuie sa fie pozitiva",IF(BI103&lt;&gt;"VALID","Context invalid","READY")))))))))</x:f>
      </x:c>
      <x:c r="K103" s="2" t="str">
        <x:f>IF(A103="","",COUNT(T103:AE103))</x:f>
      </x:c>
      <x:c r="L103" s="2" t="str">
        <x:f>IF(A103="","",COUNT(AF103:AQ103))</x:f>
      </x:c>
      <x:c r="M103" s="2" t="str">
        <x:f>IF(A103="","",IF(OR('Core_Nativ'!M1170&lt;'Core_Nativ'!P1170,'Core_Nativ'!M1171&lt;'Core_Nativ'!P1171,'Core_Nativ'!M1172&lt;'Core_Nativ'!P1172,'Core_Nativ'!M1173&lt;'Core_Nativ'!P1173,'Core_Nativ'!M1174&lt;'Core_Nativ'!P1174,'Core_Nativ'!M1175&lt;'Core_Nativ'!P1175),"YES","NO"))</x:f>
      </x:c>
      <x:c r="N103" s="2" t="str">
        <x:f>IF(A103="","",'Core_Nativ'!M1170)</x:f>
      </x:c>
      <x:c r="O103" s="2" t="str">
        <x:f>IF(A103="","",'Core_Nativ'!M1171)</x:f>
      </x:c>
      <x:c r="P103" s="2" t="str">
        <x:f>IF(A103="","",'Core_Nativ'!M1172)</x:f>
      </x:c>
      <x:c r="Q103" s="2" t="str">
        <x:f>IF(A103="","",'Core_Nativ'!M1173)</x:f>
      </x:c>
      <x:c r="R103" s="2" t="str">
        <x:f>IF(A103="","",'Core_Nativ'!M1174)</x:f>
      </x:c>
      <x:c r="S103" s="2" t="str">
        <x:f>IF(A103="","",'Core_Nativ'!M1175)</x:f>
      </x:c>
      <x:c r="T103" s="11" t="str">
        <x:f>IF(OR(A103="",'Core_Nativ'!M1170=0),"",'Core_Nativ'!N1170)</x:f>
      </x:c>
      <x:c r="U103" s="11" t="str">
        <x:f>IF(OR(A103="",'Core_Nativ'!M1170=0),"",'Core_Nativ'!O1170)</x:f>
      </x:c>
      <x:c r="V103" s="11" t="str">
        <x:f>IF(OR(A103="",'Core_Nativ'!M1171=0),"",'Core_Nativ'!N1171)</x:f>
      </x:c>
      <x:c r="W103" s="11" t="str">
        <x:f>IF(OR(A103="",'Core_Nativ'!M1171=0),"",'Core_Nativ'!O1171)</x:f>
      </x:c>
      <x:c r="X103" s="11" t="str">
        <x:f>IF(OR(A103="",'Core_Nativ'!M1172=0),"",'Core_Nativ'!N1172)</x:f>
      </x:c>
      <x:c r="Y103" s="11" t="str">
        <x:f>IF(OR(A103="",'Core_Nativ'!M1172=0),"",'Core_Nativ'!O1172)</x:f>
      </x:c>
      <x:c r="Z103" s="11" t="str">
        <x:f>IF(OR(A103="",'Core_Nativ'!M1173=0),"",'Core_Nativ'!N1173)</x:f>
      </x:c>
      <x:c r="AA103" s="11" t="str">
        <x:f>IF(OR(A103="",'Core_Nativ'!M1173=0),"",'Core_Nativ'!O1173)</x:f>
      </x:c>
      <x:c r="AB103" s="11" t="str">
        <x:f>IF(OR(A103="",'Core_Nativ'!M1174=0),"",'Core_Nativ'!N1174)</x:f>
      </x:c>
      <x:c r="AC103" s="11" t="str">
        <x:f>IF(OR(A103="",'Core_Nativ'!M1174=0),"",'Core_Nativ'!O1174)</x:f>
      </x:c>
      <x:c r="AD103" s="11" t="str">
        <x:f>IF(OR(A103="",'Core_Nativ'!M1175=0),"",'Core_Nativ'!N1175)</x:f>
      </x:c>
      <x:c r="AE103" s="11" t="str">
        <x:f>IF(OR(A103="",'Core_Nativ'!M1175=0),"",'Core_Nativ'!O1175)</x:f>
      </x:c>
      <x:c r="AF103" s="11" t="str">
        <x:f>IF(A103="","",IF(AND('Core_Nativ'!R1170="CLOSED",'Core_Nativ'!S1170=0),IF('Core_Nativ'!M1170&gt;='Core_Nativ'!P1170,'Core_Nativ'!N1170,IF(AND('Input_Meci'!L103="YES",'Input_Meci'!K103&lt;&gt;"",'Input_Meci'!K103&lt;C103,'Core_Nativ'!T1176="DERIVED",'Core_Nativ'!M1176&gt;='Core_Nativ'!P1170),MIN(1,'Core_Nativ'!M1170/'Core_Nativ'!P1170)*IF('Core_Nativ'!M1170=0,0,'Core_Nativ'!N1170)+(1-MIN(1,'Core_Nativ'!M1170/'Core_Nativ'!P1170))*'Core_Nativ'!N1176,"")),""))</x:f>
      </x:c>
      <x:c r="AG103" s="11" t="str">
        <x:f>IF(A103="","",IF(AND('Core_Nativ'!R1170="CLOSED",'Core_Nativ'!S1170=0),IF('Core_Nativ'!M1170&gt;='Core_Nativ'!P1170,'Core_Nativ'!O1170,IF(AND('Input_Meci'!L103="YES",'Input_Meci'!K103&lt;&gt;"",'Input_Meci'!K103&lt;C103,'Core_Nativ'!T1176="DERIVED",'Core_Nativ'!M1176&gt;='Core_Nativ'!P1170),MIN(1,'Core_Nativ'!M1170/'Core_Nativ'!P1170)*IF('Core_Nativ'!M1170=0,0,'Core_Nativ'!O1170)+(1-MIN(1,'Core_Nativ'!M1170/'Core_Nativ'!P1170))*'Core_Nativ'!O1176,"")),""))</x:f>
      </x:c>
      <x:c r="AH103" s="11" t="str">
        <x:f>IF(A103="","",IF(AND('Core_Nativ'!R1171="CLOSED",'Core_Nativ'!S1171=0),IF('Core_Nativ'!M1171&gt;='Core_Nativ'!P1171,'Core_Nativ'!N1171,IF(AND('Input_Meci'!L103="YES",'Input_Meci'!K103&lt;&gt;"",'Input_Meci'!K103&lt;C103,'Core_Nativ'!T1177="DERIVED",'Core_Nativ'!M1177&gt;='Core_Nativ'!P1171),MIN(1,'Core_Nativ'!M1171/'Core_Nativ'!P1171)*IF('Core_Nativ'!M1171=0,0,'Core_Nativ'!N1171)+(1-MIN(1,'Core_Nativ'!M1171/'Core_Nativ'!P1171))*'Core_Nativ'!N1177,"")),""))</x:f>
      </x:c>
      <x:c r="AI103" s="11" t="str">
        <x:f>IF(A103="","",IF(AND('Core_Nativ'!R1171="CLOSED",'Core_Nativ'!S1171=0),IF('Core_Nativ'!M1171&gt;='Core_Nativ'!P1171,'Core_Nativ'!O1171,IF(AND('Input_Meci'!L103="YES",'Input_Meci'!K103&lt;&gt;"",'Input_Meci'!K103&lt;C103,'Core_Nativ'!T1177="DERIVED",'Core_Nativ'!M1177&gt;='Core_Nativ'!P1171),MIN(1,'Core_Nativ'!M1171/'Core_Nativ'!P1171)*IF('Core_Nativ'!M1171=0,0,'Core_Nativ'!O1171)+(1-MIN(1,'Core_Nativ'!M1171/'Core_Nativ'!P1171))*'Core_Nativ'!O1177,"")),""))</x:f>
      </x:c>
      <x:c r="AJ103" s="11" t="str">
        <x:f>IF(A103="","",IF(AND('Core_Nativ'!R1172="CLOSED",'Core_Nativ'!S1172=0),IF('Core_Nativ'!M1172&gt;='Core_Nativ'!P1172,'Core_Nativ'!N1172,IF(AND('Input_Meci'!L103="YES",'Input_Meci'!K103&lt;&gt;"",'Input_Meci'!K103&lt;C103,'Core_Nativ'!T1178="DERIVED",'Core_Nativ'!M1178&gt;='Core_Nativ'!P1172),MIN(1,'Core_Nativ'!M1172/'Core_Nativ'!P1172)*IF('Core_Nativ'!M1172=0,0,'Core_Nativ'!N1172)+(1-MIN(1,'Core_Nativ'!M1172/'Core_Nativ'!P1172))*'Core_Nativ'!N1178,"")),""))</x:f>
      </x:c>
      <x:c r="AK103" s="11" t="str">
        <x:f>IF(A103="","",IF(AND('Core_Nativ'!R1172="CLOSED",'Core_Nativ'!S1172=0),IF('Core_Nativ'!M1172&gt;='Core_Nativ'!P1172,'Core_Nativ'!O1172,IF(AND('Input_Meci'!L103="YES",'Input_Meci'!K103&lt;&gt;"",'Input_Meci'!K103&lt;C103,'Core_Nativ'!T1178="DERIVED",'Core_Nativ'!M1178&gt;='Core_Nativ'!P1172),MIN(1,'Core_Nativ'!M1172/'Core_Nativ'!P1172)*IF('Core_Nativ'!M1172=0,0,'Core_Nativ'!O1172)+(1-MIN(1,'Core_Nativ'!M1172/'Core_Nativ'!P1172))*'Core_Nativ'!O1178,"")),""))</x:f>
      </x:c>
      <x:c r="AL103" s="11" t="str">
        <x:f>IF(A103="","",IF(AND('Core_Nativ'!R1173="CLOSED",'Core_Nativ'!S1173=0),IF('Core_Nativ'!M1173&gt;='Core_Nativ'!P1173,'Core_Nativ'!N1173,IF(AND('Input_Meci'!L103="YES",'Input_Meci'!K103&lt;&gt;"",'Input_Meci'!K103&lt;C103,'Core_Nativ'!T1179="DERIVED",'Core_Nativ'!M1179&gt;='Core_Nativ'!P1173),MIN(1,'Core_Nativ'!M1173/'Core_Nativ'!P1173)*IF('Core_Nativ'!M1173=0,0,'Core_Nativ'!N1173)+(1-MIN(1,'Core_Nativ'!M1173/'Core_Nativ'!P1173))*'Core_Nativ'!N1179,"")),""))</x:f>
      </x:c>
      <x:c r="AM103" s="11" t="str">
        <x:f>IF(A103="","",IF(AND('Core_Nativ'!R1173="CLOSED",'Core_Nativ'!S1173=0),IF('Core_Nativ'!M1173&gt;='Core_Nativ'!P1173,'Core_Nativ'!O1173,IF(AND('Input_Meci'!L103="YES",'Input_Meci'!K103&lt;&gt;"",'Input_Meci'!K103&lt;C103,'Core_Nativ'!T1179="DERIVED",'Core_Nativ'!M1179&gt;='Core_Nativ'!P1173),MIN(1,'Core_Nativ'!M1173/'Core_Nativ'!P1173)*IF('Core_Nativ'!M1173=0,0,'Core_Nativ'!O1173)+(1-MIN(1,'Core_Nativ'!M1173/'Core_Nativ'!P1173))*'Core_Nativ'!O1179,"")),""))</x:f>
      </x:c>
      <x:c r="AN103" s="11" t="str">
        <x:f>IF(A103="","",IF(AND('Core_Nativ'!R1174="CLOSED",'Core_Nativ'!S1174=0),IF('Core_Nativ'!M1174&gt;='Core_Nativ'!P1174,'Core_Nativ'!N1174,IF(AND('Input_Meci'!L103="YES",'Input_Meci'!K103&lt;&gt;"",'Input_Meci'!K103&lt;C103,'Core_Nativ'!T1180="DERIVED",'Core_Nativ'!M1180&gt;='Core_Nativ'!P1174),MIN(1,'Core_Nativ'!M1174/'Core_Nativ'!P1174)*IF('Core_Nativ'!M1174=0,0,'Core_Nativ'!N1174)+(1-MIN(1,'Core_Nativ'!M1174/'Core_Nativ'!P1174))*'Core_Nativ'!N1180,"")),""))</x:f>
      </x:c>
      <x:c r="AO103" s="11" t="str">
        <x:f>IF(A103="","",IF(AND('Core_Nativ'!R1174="CLOSED",'Core_Nativ'!S1174=0),IF('Core_Nativ'!M1174&gt;='Core_Nativ'!P1174,'Core_Nativ'!O1174,IF(AND('Input_Meci'!L103="YES",'Input_Meci'!K103&lt;&gt;"",'Input_Meci'!K103&lt;C103,'Core_Nativ'!T1180="DERIVED",'Core_Nativ'!M1180&gt;='Core_Nativ'!P1174),MIN(1,'Core_Nativ'!M1174/'Core_Nativ'!P1174)*IF('Core_Nativ'!M1174=0,0,'Core_Nativ'!O1174)+(1-MIN(1,'Core_Nativ'!M1174/'Core_Nativ'!P1174))*'Core_Nativ'!O1180,"")),""))</x:f>
      </x:c>
      <x:c r="AP103" s="11" t="str">
        <x:f>IF(A103="","",IF(AND('Core_Nativ'!R1175="CLOSED",'Core_Nativ'!S1175=0),IF('Core_Nativ'!M1175&gt;='Core_Nativ'!P1175,'Core_Nativ'!N1175,IF(AND('Input_Meci'!L103="YES",'Input_Meci'!K103&lt;&gt;"",'Input_Meci'!K103&lt;C103,'Core_Nativ'!T1181="DERIVED",'Core_Nativ'!M1181&gt;='Core_Nativ'!P1175),MIN(1,'Core_Nativ'!M1175/'Core_Nativ'!P1175)*IF('Core_Nativ'!M1175=0,0,'Core_Nativ'!N1175)+(1-MIN(1,'Core_Nativ'!M1175/'Core_Nativ'!P1175))*'Core_Nativ'!N1181,"")),""))</x:f>
      </x:c>
      <x:c r="AQ103" s="11" t="str">
        <x:f>IF(A103="","",IF(AND('Core_Nativ'!R1175="CLOSED",'Core_Nativ'!S1175=0),IF('Core_Nativ'!M1175&gt;='Core_Nativ'!P1175,'Core_Nativ'!O1175,IF(AND('Input_Meci'!L103="YES",'Input_Meci'!K103&lt;&gt;"",'Input_Meci'!K103&lt;C103,'Core_Nativ'!T1181="DERIVED",'Core_Nativ'!M1181&gt;='Core_Nativ'!P1175),MIN(1,'Core_Nativ'!M1175/'Core_Nativ'!P1175)*IF('Core_Nativ'!M1175=0,0,'Core_Nativ'!O1175)+(1-MIN(1,'Core_Nativ'!M1175/'Core_Nativ'!P1175))*'Core_Nativ'!O1181,"")),""))</x:f>
      </x:c>
      <x:c r="AR103" s="11" t="str">
        <x:f>IF(A103="","",SUMPRODUCT(('Istoric_Nativ'!$B$6:$B$405=B103)*('Istoric_Nativ'!$C$6:$C$405=BL103)*('Istoric_Nativ'!$P$6:$P$405=1)*('Istoric_Nativ'!$D$6:$D$405&lt;INT(G103))*((('Istoric_Nativ'!$E$6:$E$405='Input_Meci'!D103)+('Istoric_Nativ'!$F$6:$F$405='Input_Meci'!D103)+('Istoric_Nativ'!$E$6:$E$405='Input_Meci'!E103)+('Istoric_Nativ'!$F$6:$F$405='Input_Meci'!E103))&gt;0)))</x:f>
      </x:c>
      <x:c r="AS103" s="11" t="str">
        <x:f>IF(AR103=0,"",SUMPRODUCT(('Istoric_Nativ'!$B$6:$B$405=B103)*('Istoric_Nativ'!$C$6:$C$405=BL103)*('Istoric_Nativ'!$P$6:$P$405=1)*('Istoric_Nativ'!$D$6:$D$405&lt;INT(G103))*((('Istoric_Nativ'!$E$6:$E$405='Input_Meci'!D103)+('Istoric_Nativ'!$F$6:$F$405='Input_Meci'!D103)+('Istoric_Nativ'!$E$6:$E$405='Input_Meci'!E103)+('Istoric_Nativ'!$F$6:$F$405='Input_Meci'!E103))&gt;0)*'Istoric_Nativ'!$Q$6:$Q$405)/AR103)</x:f>
      </x:c>
      <x:c r="AT103" s="11" t="str">
        <x:f>IF(AR103&lt;2,"",MAX(0,(SUMPRODUCT(('Istoric_Nativ'!$B$6:$B$405=B103)*('Istoric_Nativ'!$C$6:$C$405=BL103)*('Istoric_Nativ'!$P$6:$P$405=1)*('Istoric_Nativ'!$D$6:$D$405&lt;INT(G103))*((('Istoric_Nativ'!$E$6:$E$405='Input_Meci'!D103)+('Istoric_Nativ'!$F$6:$F$405='Input_Meci'!D103)+('Istoric_Nativ'!$E$6:$E$405='Input_Meci'!E103)+('Istoric_Nativ'!$F$6:$F$405='Input_Meci'!E103))&gt;0)*'Istoric_Nativ'!$R$6:$R$405)-AR103*AS103^2)/(AR103-1)))</x:f>
      </x:c>
      <x:c r="AU103" s="11" t="str">
        <x:f>IF(I103&lt;&gt;"PASS","",AT103/AS103)</x:f>
      </x:c>
      <x:c r="AV103" s="11" t="str">
        <x:f>IF(I103&lt;&gt;"PASS","",IF(AU103&lt;='Config_v6'!$B$10,"POISSON","NEGATIVE BINOMIAL"))</x:f>
      </x:c>
      <x:c r="AW103" s="11" t="str">
        <x:f>IF(I103&lt;&gt;"PASS","",IF(AV103="POISSON",9999,AS103/(AU103-1)))</x:f>
      </x:c>
      <x:c r="AX103" s="11" t="str">
        <x:f>IF(A103="","",MAX(1-'Config_v6'!$B$20,MIN(1+'Config_v6'!$B$20,1+0.02*(IF(AND(ISNUMBER('Input_Meci'!N103),'Input_Meci'!N103&gt;=0,'Input_Meci'!N103&lt;=200),'Input_Meci'!N103,12)/12-1)+0.02*(IF(AND(ISNUMBER('Input_Meci'!P103),'Input_Meci'!P103&gt;=0,'Input_Meci'!P103&lt;=200),'Input_Meci'!P103,3.5)/3.5-1)+0.02*(IF(AND(ISNUMBER('Input_Meci'!R103),'Input_Meci'!R103&gt;=0,'Input_Meci'!R103&lt;=200),'Input_Meci'!R103,18)/18-1)+0.02*((IF(AND(ISNUMBER('Input_Meci'!V103),'Input_Meci'!V103&gt;=0,'Input_Meci'!V103&lt;=10),'Input_Meci'!V103,5)-5)/5))))</x:f>
      </x:c>
      <x:c r="AY103" s="11" t="str">
        <x:f>IF(A103="","",MAX(1-'Config_v6'!$B$20,MIN(1+'Config_v6'!$B$20,1+0.02*(IF(AND(ISNUMBER('Input_Meci'!O103),'Input_Meci'!O103&gt;=0,'Input_Meci'!O103&lt;=200),'Input_Meci'!O103,12)/12-1)+0.02*(IF(AND(ISNUMBER('Input_Meci'!Q103),'Input_Meci'!Q103&gt;=0,'Input_Meci'!Q103&lt;=200),'Input_Meci'!Q103,3.5)/3.5-1)+0.02*(IF(AND(ISNUMBER('Input_Meci'!S103),'Input_Meci'!S103&gt;=0,'Input_Meci'!S103&lt;=200),'Input_Meci'!S103,18)/18-1)+0.02*((IF(AND(ISNUMBER('Input_Meci'!W103),'Input_Meci'!W103&gt;=0,'Input_Meci'!W103&lt;=10),'Input_Meci'!W103,5)-5)/5))))</x:f>
      </x:c>
      <x:c r="AZ103" s="11" t="str">
        <x:f>IF(A103="","",MAX(1-'Config_v6'!$B$21,MIN(1+'Config_v6'!$B$21,1+0.012*(IF('Input_Meci'!X103="",5,IF(ISNUMBER('Input_Meci'!X103),'Input_Meci'!X103,5))-5)+0.018*(IF('Input_Meci'!Z103="",5,IF(ISNUMBER('Input_Meci'!Z103),'Input_Meci'!Z103,5))-5)+0.012*(IF('Input_Meci'!AB103="",5,IF(ISNUMBER('Input_Meci'!AB103),'Input_Meci'!AB103,5))-5)+0.015*IF('Input_Meci'!AD103="",0,IF(ISNUMBER('Input_Meci'!AD103),'Input_Meci'!AD103,0))+0.02*IF('Input_Meci'!AF103="",0,IF(ISNUMBER('Input_Meci'!AF103),'Input_Meci'!AF103,0)))))</x:f>
      </x:c>
      <x:c r="BA103" s="11" t="str">
        <x:f>IF(A103="","",MAX(1-'Config_v6'!$B$21,MIN(1+'Config_v6'!$B$21,1+0.012*(IF('Input_Meci'!Y103="",5,IF(ISNUMBER('Input_Meci'!Y103),'Input_Meci'!Y103,5))-5)+0.018*(IF('Input_Meci'!AA103="",5,IF(ISNUMBER('Input_Meci'!AA103),'Input_Meci'!AA103,5))-5)+0.012*(IF('Input_Meci'!AC103="",5,IF(ISNUMBER('Input_Meci'!AC103),'Input_Meci'!AC103,5))-5)+0.015*IF('Input_Meci'!AE103="",0,IF(ISNUMBER('Input_Meci'!AE103),'Input_Meci'!AE103,0))+0.02*IF('Input_Meci'!AG103="",0,IF(ISNUMBER('Input_Meci'!AG103),'Input_Meci'!AG103,0)))))</x:f>
      </x:c>
      <x:c r="BB103" s="11" t="str">
        <x:f>IF(I103&lt;&gt;"PASS","",(AVERAGE(AF103,AM103)*'Config_v6'!$B$4+AVERAGE(AH103,AO103)*'Config_v6'!$B$5+AVERAGE(AJ103,AQ103)*'Config_v6'!$B$6)*AX103*AZ103)</x:f>
      </x:c>
      <x:c r="BC103" s="11" t="str">
        <x:f>IF(I103&lt;&gt;"PASS","",(AVERAGE(AL103,AG103)*'Config_v6'!$B$4+AVERAGE(AN103,AI103)*'Config_v6'!$B$5+AVERAGE(AP103,AK103)*'Config_v6'!$B$6)*AY103*BA103)</x:f>
      </x:c>
      <x:c r="BD103" s="11" t="str">
        <x:f>IF(I103&lt;&gt;"PASS","",BB103+BC103)</x:f>
      </x:c>
      <x:c r="BE103" s="11" t="str">
        <x:f>IF(A103="","",10-SUM(IF(AND(ISNUMBER('Input_Meci'!N103),'Input_Meci'!N103&gt;=0,'Input_Meci'!N103&lt;=200),1,0),IF(AND(ISNUMBER('Input_Meci'!O103),'Input_Meci'!O103&gt;=0,'Input_Meci'!O103&lt;=200),1,0),IF(AND(ISNUMBER('Input_Meci'!P103),'Input_Meci'!P103&gt;=0,'Input_Meci'!P103&lt;=200),1,0),IF(AND(ISNUMBER('Input_Meci'!Q103),'Input_Meci'!Q103&gt;=0,'Input_Meci'!Q103&lt;=200),1,0),IF(AND(ISNUMBER('Input_Meci'!R103),'Input_Meci'!R103&gt;=0,'Input_Meci'!R103&lt;=200),1,0),IF(AND(ISNUMBER('Input_Meci'!S103),'Input_Meci'!S103&gt;=0,'Input_Meci'!S103&lt;=200),1,0),IF(AND(ISNUMBER('Input_Meci'!T103),'Input_Meci'!T103&gt;=0,'Input_Meci'!T103&lt;=100),1,0),IF(AND(ISNUMBER('Input_Meci'!U103),'Input_Meci'!U103&gt;=0,'Input_Meci'!U103&lt;=100),1,0),IF(AND(ISNUMBER('Input_Meci'!V103),'Input_Meci'!V103&gt;=0,'Input_Meci'!V103&lt;=10),1,0),IF(AND(ISNUMBER('Input_Meci'!W103),'Input_Meci'!W103&gt;=0,'Input_Meci'!W103&lt;=10),1,0)))</x:f>
      </x:c>
      <x:c r="BF103" s="11" t="str">
        <x:f>IF(I103&lt;&gt;"PASS","",MAX(0,MIN(IF(OR(M103="YES",BL103&lt;&gt;C103),'Config_v6'!$B$34,100),ROUND(40+25*MIN(1,MIN(N103,Q103)/'Config_v6'!$B$7)*MIN(1,MIN(O103,R103)/'Config_v6'!$B$8)*MIN(1,MIN(P103,S103)/'Config_v6'!$B$9)+MAX(0,15-2*ABS(AF103-AJ103)-2*ABS(AL103-AP103))+IF(AU103&lt;='Config_v6'!$B$10,15,IF(AU103&lt;='Config_v6'!$B$11,13,IF(AU103&lt;='Config_v6'!$B$12,10,IF(AU103&lt;='Config_v6'!$B$13,6,0))))+5-BE103/10*'Config_v6'!$B$38,0))))</x:f>
      </x:c>
      <x:c r="BG103" s="11" t="str">
        <x:f>IF(I103&lt;&gt;"PASS","",MIN(1,'Config_v6'!$B$14*(0.7+0.3*MIN(1,AR103/'Config_v6'!$B$15))*IF(AU103&lt;='Config_v6'!$B$10,1,IF(AU103&lt;='Config_v6'!$B$11,0.95,IF(AU103&lt;='Config_v6'!$B$12,0.88,0.78)))*(0.75+0.25*BF103/100)))</x:f>
      </x:c>
      <x:c r="BH103" s="11" t="str">
        <x:f>IF(I103&lt;&gt;"PASS","",MIN(1,(ABS(AZ103-1)+ABS(BA103-1))*3))</x:f>
      </x:c>
      <x:c r="BI103" s="2" t="str">
        <x:f>IF(A103="","",IF(AND(OR('Input_Meci'!X103="",AND(ISNUMBER('Input_Meci'!X103),'Input_Meci'!X103&gt;=0,'Input_Meci'!X103&lt;=10)),OR('Input_Meci'!Y103="",AND(ISNUMBER('Input_Meci'!Y103),'Input_Meci'!Y103&gt;=0,'Input_Meci'!Y103&lt;=10)),OR('Input_Meci'!Z103="",AND(ISNUMBER('Input_Meci'!Z103),'Input_Meci'!Z103&gt;=0,'Input_Meci'!Z103&lt;=10)),OR('Input_Meci'!AA103="",AND(ISNUMBER('Input_Meci'!AA103),'Input_Meci'!AA103&gt;=0,'Input_Meci'!AA103&lt;=10)),OR('Input_Meci'!AB103="",AND(ISNUMBER('Input_Meci'!AB103),'Input_Meci'!AB103&gt;=0,'Input_Meci'!AB103&lt;=10)),OR('Input_Meci'!AC103="",AND(ISNUMBER('Input_Meci'!AC103),'Input_Meci'!AC103&gt;=0,'Input_Meci'!AC103&lt;=10)),OR('Input_Meci'!AD103="",AND(ISNUMBER('Input_Meci'!AD103),'Input_Meci'!AD103&gt;=-2,'Input_Meci'!AD103&lt;=2)),OR('Input_Meci'!AE103="",AND(ISNUMBER('Input_Meci'!AE103),'Input_Meci'!AE103&gt;=-2,'Input_Meci'!AE103&lt;=2)),OR('Input_Meci'!AF103="",AND(ISNUMBER('Input_Meci'!AF103),'Input_Meci'!AF103&gt;=-2,'Input_Meci'!AF103&lt;=2)),OR('Input_Meci'!AG103="",AND(ISNUMBER('Input_Meci'!AG103),'Input_Meci'!AG103&gt;=-2,'Input_Meci'!AG103&lt;=2))),"VALID","INVALID"))</x:f>
      </x:c>
      <x:c r="BJ103" s="2" t="n">
        <x:f>IF(A103="",0,SUM('Core_Nativ'!S1170:S1175))</x:f>
        <x:v>0</x:v>
      </x:c>
      <x:c r="BK103" s="2" t="str">
        <x:f>'Config_v6'!$B$40</x:f>
        <x:v>VALID</x:v>
      </x:c>
      <x:c r="BL103" s="2" t="str">
        <x:f>IF(A103="","",IF(SUMPRODUCT(('Istoric_Nativ'!$B$6:$B$405=B103)*('Istoric_Nativ'!$C$6:$C$405=C103)*('Istoric_Nativ'!$P$6:$P$405=1)*('Istoric_Nativ'!$D$6:$D$405&lt;INT(G103))*((('Istoric_Nativ'!$E$6:$E$405='Input_Meci'!D103)+('Istoric_Nativ'!$F$6:$F$405='Input_Meci'!D103)+('Istoric_Nativ'!$E$6:$E$405='Input_Meci'!E103)+('Istoric_Nativ'!$F$6:$F$405='Input_Meci'!E103))&gt;0))&gt;='Config_v6'!$B$41,C103,IF(AND('Input_Meci'!L103="YES",'Input_Meci'!K103&lt;&gt;"",'Input_Meci'!K103&lt;C103,COUNTIF('Core_Nativ'!R1176:R1181,"CLOSED")=6,SUM('Core_Nativ'!S1176:S1181)=0),'Input_Meci'!K103,C103)))</x:f>
      </x:c>
      <x:c r="BM103" s="9" t="n">
        <x:f>IF(OR(A103="",N103=0),0,LARGE(_xlfn._xlws.FILTER('Istoric_Nativ'!$D$6:$D$405,('Istoric_Nativ'!$B$6:$B$405=B103)*('Istoric_Nativ'!$C$6:$C$405=C103)*('Istoric_Nativ'!$P$6:$P$405=1)*('Istoric_Nativ'!$D$6:$D$405&lt;INT(G103))*((('Istoric_Nativ'!$E$6:$E$405='Input_Meci'!D103)+('Istoric_Nativ'!$F$6:$F$405='Input_Meci'!D103))&gt;0)),MIN(10,N103)))</x:f>
        <x:v>0</x:v>
      </x:c>
      <x:c r="BN103" s="9" t="n">
        <x:f>IF(OR(A103="",Q103=0),0,LARGE(_xlfn._xlws.FILTER('Istoric_Nativ'!$D$6:$D$405,('Istoric_Nativ'!$B$6:$B$405=B103)*('Istoric_Nativ'!$C$6:$C$405=C103)*('Istoric_Nativ'!$P$6:$P$405=1)*('Istoric_Nativ'!$D$6:$D$405&lt;INT(G103))*((('Istoric_Nativ'!$E$6:$E$405='Input_Meci'!E103)+('Istoric_Nativ'!$F$6:$F$405='Input_Meci'!E103))&gt;0)),MIN(10,Q103)))</x:f>
        <x:v>0</x:v>
      </x:c>
      <x:c r="BO103" s="9" t="n">
        <x:f>IF(OR(A103="",N103=0),0,LARGE(_xlfn._xlws.FILTER('Istoric_Nativ'!$D$6:$D$405,('Istoric_Nativ'!$B$6:$B$405=B103)*('Istoric_Nativ'!$C$6:$C$405=C103)*('Istoric_Nativ'!$P$6:$P$405=1)*('Istoric_Nativ'!$D$6:$D$405&lt;INT(G103))*((('Istoric_Nativ'!$E$6:$E$405='Input_Meci'!D103)+('Istoric_Nativ'!$F$6:$F$405='Input_Meci'!D103))&gt;0)),MIN(20,N103)))</x:f>
        <x:v>0</x:v>
      </x:c>
      <x:c r="BP103" s="9" t="n">
        <x:f>IF(OR(A103="",Q103=0),0,LARGE(_xlfn._xlws.FILTER('Istoric_Nativ'!$D$6:$D$405,('Istoric_Nativ'!$B$6:$B$405=B103)*('Istoric_Nativ'!$C$6:$C$405=C103)*('Istoric_Nativ'!$P$6:$P$405=1)*('Istoric_Nativ'!$D$6:$D$405&lt;INT(G103))*((('Istoric_Nativ'!$E$6:$E$405='Input_Meci'!E103)+('Istoric_Nativ'!$F$6:$F$405='Input_Meci'!E103))&gt;0)),MIN(20,Q103)))</x:f>
        <x:v>0</x:v>
      </x:c>
      <x:c r="BQ103" s="2" t="str">
        <x:f>IF(A103="","",IF(AND(COUNTIF(MatchesTable[Match_ID],A103)=1,COUNTIFS(MatchesTable[League],B103,MatchesTable[Season],C103,MatchesTable[Home],'Input_Meci'!D103,MatchesTable[Away],'Input_Meci'!E103,MatchesTable[Kickoff_UTC],F103)=1,B103&lt;&gt;"",C103&lt;&gt;"",'Input_Meci'!D103&lt;&gt;"",'Input_Meci'!E103&lt;&gt;"",'Input_Meci'!D103&lt;&gt;'Input_Meci'!E103,ISNUMBER(F103),ISNUMBER(G103),G103&lt;F103,OR(E103="LIVE",E103="REPLAY"),OR('Input_Meci'!L103="YES",'Input_Meci'!L103="NO",'Input_Meci'!L103="")),"VALID","INVALID"))</x:f>
      </x:c>
      <x:c r="BR103" s="2" t="n">
        <x:f>IF(I103&lt;&gt;"PASS",0,SUMPRODUCT(('Istoric_Nativ'!$B$6:$B$405='Input_Meci'!B103)*('Istoric_Nativ'!$C$6:$C$405='Input_Meci'!C103)*('Istoric_Nativ'!$P$6:$P$405=1)*('Istoric_Nativ'!$D$6:$D$405&lt;INT('Input_Meci'!G103))*((('Istoric_Nativ'!$E$6:$E$405='Input_Meci'!D103)+('Istoric_Nativ'!$F$6:$F$405='Input_Meci'!E103))&gt;0)))</x:f>
        <x:v>0</x:v>
      </x:c>
      <x:c r="BS103" s="2" t="n">
        <x:f>IF(I103&lt;&gt;"PASS",0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BM103)+((('Istoric_Nativ'!$E$6:$E$405='Input_Meci'!E103)+('Istoric_Nativ'!$F$6:$F$405='Input_Meci'!E103))&gt;0)*('Istoric_Nativ'!$D$6:$D$405&gt;=BN103))&gt;0)))</x:f>
        <x:v>0</x:v>
      </x:c>
      <x:c r="BT103" s="2" t="n">
        <x:f>IF(I103&lt;&gt;"PASS",0,SUMPRODUCT(('Istoric_Nativ'!$B$6:$B$405='Input_Meci'!B103)*('Istoric_Nativ'!$C$6:$C$405='Input_Meci'!C103)*('Istoric_Nativ'!$P$6:$P$405=1)*('Istoric_Nativ'!$D$6:$D$405&lt;INT('Input_Meci'!G103))*((((('Istoric_Nativ'!$E$6:$E$405='Input_Meci'!D103)+('Istoric_Nativ'!$F$6:$F$405='Input_Meci'!D103))&gt;0)*('Istoric_Nativ'!$D$6:$D$405&gt;=BO103)+((('Istoric_Nativ'!$E$6:$E$405='Input_Meci'!E103)+('Istoric_Nativ'!$F$6:$F$405='Input_Meci'!E103))&gt;0)*('Istoric_Nativ'!$D$6:$D$405&gt;=BP103))&gt;0)))</x:f>
        <x:v>0</x:v>
      </x:c>
    </x:row>
    <x:row r="104" ht="21" customHeight="1">
      <x:c r="A104" s="2" t="str">
        <x:f>IF('Input_Meci'!A104="","",'Input_Meci'!A104)</x:f>
      </x:c>
      <x:c r="B104" s="2" t="str">
        <x:f>IF(A104="","",'Input_Meci'!B104)</x:f>
      </x:c>
      <x:c r="C104" s="2" t="str">
        <x:f>IF(A104="","",'Input_Meci'!C104)</x:f>
      </x:c>
      <x:c r="D104" s="2" t="str">
        <x:f>IF(A104="","",'Input_Meci'!D104&amp;" – "&amp;'Input_Meci'!E104)</x:f>
      </x:c>
      <x:c r="E104" s="2" t="str">
        <x:f>IF(A104="","",'Input_Meci'!H104)</x:f>
      </x:c>
      <x:c r="F104" s="9" t="str">
        <x:f>IF(A104="","",'Input_Meci'!F104)</x:f>
      </x:c>
      <x:c r="G104" s="9" t="str">
        <x:f>IF(A104="","",'Input_Meci'!G104)</x:f>
      </x:c>
      <x:c r="H104" s="2" t="str">
        <x:f>IF(A104="","",IF(BQ104&lt;&gt;"VALID","NOT RELEASED",IF(AND(OR('Input_Meci'!I104="NOT AVAILABLE",'Input_Meci'!I104="SOURCE CONFLICT"),'Input_Meci'!J104&lt;&gt;""),"READY",IF(OR(NOT(OR('Input_Meci'!I104="AUTO",'Input_Meci'!I104="")),COUNTIF('Core_Nativ'!R1182:R1187,"CLOSED")&lt;&gt;6,BJ104&gt;0),"NOT RELEASED","READY"))))</x:f>
      </x:c>
      <x:c r="I104" s="2" t="str">
        <x:f>IF(A104="","",IF(H104&lt;&gt;"READY","NOT RELEASED",IF(AND(NOT(OR('Input_Meci'!I104="NOT AVAILABLE",'Input_Meci'!I104="SOURCE CONFLICT")),L104=12,AR104&gt;=2,AS104&gt;0,ISNUMBER(AT104),BI104="VALID",BK104="VALID"),"PASS","FAIL")))</x:f>
      </x:c>
      <x:c r="J104" s="2" t="str">
        <x:f>IF(A104="","",IF(BQ104&lt;&gt;"VALID","Verifica ID, echipe, mod si cutoff &lt; kickoff",IF(H104&lt;&gt;"READY",IF('Input_Meci'!I104="ACCESS BLOCKED","Acces blocat: reia sursele",IF(BJ104&gt;0,"Istoric invalid sau conflict: verifica randurile native","Surse neinchise / post-cutoff / dovezi incomplete")),IF(OR('Input_Meci'!I104="NOT AVAILABLE",'Input_Meci'!I104="SOURCE CONFLICT"),'Input_Meci'!I104,IF(BK104&lt;&gt;"VALID","Parametri invalizi",IF(L104&lt;&gt;12,"Core / sample / prior insuficient",IF(AR104&lt;2,"N insuficient pentru dispersie",IF(AS104&lt;=0,"Media istorica trebuie sa fie pozitiva",IF(BI104&lt;&gt;"VALID","Context invalid","READY")))))))))</x:f>
      </x:c>
      <x:c r="K104" s="2" t="str">
        <x:f>IF(A104="","",COUNT(T104:AE104))</x:f>
      </x:c>
      <x:c r="L104" s="2" t="str">
        <x:f>IF(A104="","",COUNT(AF104:AQ104))</x:f>
      </x:c>
      <x:c r="M104" s="2" t="str">
        <x:f>IF(A104="","",IF(OR('Core_Nativ'!M1182&lt;'Core_Nativ'!P1182,'Core_Nativ'!M1183&lt;'Core_Nativ'!P1183,'Core_Nativ'!M1184&lt;'Core_Nativ'!P1184,'Core_Nativ'!M1185&lt;'Core_Nativ'!P1185,'Core_Nativ'!M1186&lt;'Core_Nativ'!P1186,'Core_Nativ'!M1187&lt;'Core_Nativ'!P1187),"YES","NO"))</x:f>
      </x:c>
      <x:c r="N104" s="2" t="str">
        <x:f>IF(A104="","",'Core_Nativ'!M1182)</x:f>
      </x:c>
      <x:c r="O104" s="2" t="str">
        <x:f>IF(A104="","",'Core_Nativ'!M1183)</x:f>
      </x:c>
      <x:c r="P104" s="2" t="str">
        <x:f>IF(A104="","",'Core_Nativ'!M1184)</x:f>
      </x:c>
      <x:c r="Q104" s="2" t="str">
        <x:f>IF(A104="","",'Core_Nativ'!M1185)</x:f>
      </x:c>
      <x:c r="R104" s="2" t="str">
        <x:f>IF(A104="","",'Core_Nativ'!M1186)</x:f>
      </x:c>
      <x:c r="S104" s="2" t="str">
        <x:f>IF(A104="","",'Core_Nativ'!M1187)</x:f>
      </x:c>
      <x:c r="T104" s="11" t="str">
        <x:f>IF(OR(A104="",'Core_Nativ'!M1182=0),"",'Core_Nativ'!N1182)</x:f>
      </x:c>
      <x:c r="U104" s="11" t="str">
        <x:f>IF(OR(A104="",'Core_Nativ'!M1182=0),"",'Core_Nativ'!O1182)</x:f>
      </x:c>
      <x:c r="V104" s="11" t="str">
        <x:f>IF(OR(A104="",'Core_Nativ'!M1183=0),"",'Core_Nativ'!N1183)</x:f>
      </x:c>
      <x:c r="W104" s="11" t="str">
        <x:f>IF(OR(A104="",'Core_Nativ'!M1183=0),"",'Core_Nativ'!O1183)</x:f>
      </x:c>
      <x:c r="X104" s="11" t="str">
        <x:f>IF(OR(A104="",'Core_Nativ'!M1184=0),"",'Core_Nativ'!N1184)</x:f>
      </x:c>
      <x:c r="Y104" s="11" t="str">
        <x:f>IF(OR(A104="",'Core_Nativ'!M1184=0),"",'Core_Nativ'!O1184)</x:f>
      </x:c>
      <x:c r="Z104" s="11" t="str">
        <x:f>IF(OR(A104="",'Core_Nativ'!M1185=0),"",'Core_Nativ'!N1185)</x:f>
      </x:c>
      <x:c r="AA104" s="11" t="str">
        <x:f>IF(OR(A104="",'Core_Nativ'!M1185=0),"",'Core_Nativ'!O1185)</x:f>
      </x:c>
      <x:c r="AB104" s="11" t="str">
        <x:f>IF(OR(A104="",'Core_Nativ'!M1186=0),"",'Core_Nativ'!N1186)</x:f>
      </x:c>
      <x:c r="AC104" s="11" t="str">
        <x:f>IF(OR(A104="",'Core_Nativ'!M1186=0),"",'Core_Nativ'!O1186)</x:f>
      </x:c>
      <x:c r="AD104" s="11" t="str">
        <x:f>IF(OR(A104="",'Core_Nativ'!M1187=0),"",'Core_Nativ'!N1187)</x:f>
      </x:c>
      <x:c r="AE104" s="11" t="str">
        <x:f>IF(OR(A104="",'Core_Nativ'!M1187=0),"",'Core_Nativ'!O1187)</x:f>
      </x:c>
      <x:c r="AF104" s="11" t="str">
        <x:f>IF(A104="","",IF(AND('Core_Nativ'!R1182="CLOSED",'Core_Nativ'!S1182=0),IF('Core_Nativ'!M1182&gt;='Core_Nativ'!P1182,'Core_Nativ'!N1182,IF(AND('Input_Meci'!L104="YES",'Input_Meci'!K104&lt;&gt;"",'Input_Meci'!K104&lt;C104,'Core_Nativ'!T1188="DERIVED",'Core_Nativ'!M1188&gt;='Core_Nativ'!P1182),MIN(1,'Core_Nativ'!M1182/'Core_Nativ'!P1182)*IF('Core_Nativ'!M1182=0,0,'Core_Nativ'!N1182)+(1-MIN(1,'Core_Nativ'!M1182/'Core_Nativ'!P1182))*'Core_Nativ'!N1188,"")),""))</x:f>
      </x:c>
      <x:c r="AG104" s="11" t="str">
        <x:f>IF(A104="","",IF(AND('Core_Nativ'!R1182="CLOSED",'Core_Nativ'!S1182=0),IF('Core_Nativ'!M1182&gt;='Core_Nativ'!P1182,'Core_Nativ'!O1182,IF(AND('Input_Meci'!L104="YES",'Input_Meci'!K104&lt;&gt;"",'Input_Meci'!K104&lt;C104,'Core_Nativ'!T1188="DERIVED",'Core_Nativ'!M1188&gt;='Core_Nativ'!P1182),MIN(1,'Core_Nativ'!M1182/'Core_Nativ'!P1182)*IF('Core_Nativ'!M1182=0,0,'Core_Nativ'!O1182)+(1-MIN(1,'Core_Nativ'!M1182/'Core_Nativ'!P1182))*'Core_Nativ'!O1188,"")),""))</x:f>
      </x:c>
      <x:c r="AH104" s="11" t="str">
        <x:f>IF(A104="","",IF(AND('Core_Nativ'!R1183="CLOSED",'Core_Nativ'!S1183=0),IF('Core_Nativ'!M1183&gt;='Core_Nativ'!P1183,'Core_Nativ'!N1183,IF(AND('Input_Meci'!L104="YES",'Input_Meci'!K104&lt;&gt;"",'Input_Meci'!K104&lt;C104,'Core_Nativ'!T1189="DERIVED",'Core_Nativ'!M1189&gt;='Core_Nativ'!P1183),MIN(1,'Core_Nativ'!M1183/'Core_Nativ'!P1183)*IF('Core_Nativ'!M1183=0,0,'Core_Nativ'!N1183)+(1-MIN(1,'Core_Nativ'!M1183/'Core_Nativ'!P1183))*'Core_Nativ'!N1189,"")),""))</x:f>
      </x:c>
      <x:c r="AI104" s="11" t="str">
        <x:f>IF(A104="","",IF(AND('Core_Nativ'!R1183="CLOSED",'Core_Nativ'!S1183=0),IF('Core_Nativ'!M1183&gt;='Core_Nativ'!P1183,'Core_Nativ'!O1183,IF(AND('Input_Meci'!L104="YES",'Input_Meci'!K104&lt;&gt;"",'Input_Meci'!K104&lt;C104,'Core_Nativ'!T1189="DERIVED",'Core_Nativ'!M1189&gt;='Core_Nativ'!P1183),MIN(1,'Core_Nativ'!M1183/'Core_Nativ'!P1183)*IF('Core_Nativ'!M1183=0,0,'Core_Nativ'!O1183)+(1-MIN(1,'Core_Nativ'!M1183/'Core_Nativ'!P1183))*'Core_Nativ'!O1189,"")),""))</x:f>
      </x:c>
      <x:c r="AJ104" s="11" t="str">
        <x:f>IF(A104="","",IF(AND('Core_Nativ'!R1184="CLOSED",'Core_Nativ'!S1184=0),IF('Core_Nativ'!M1184&gt;='Core_Nativ'!P1184,'Core_Nativ'!N1184,IF(AND('Input_Meci'!L104="YES",'Input_Meci'!K104&lt;&gt;"",'Input_Meci'!K104&lt;C104,'Core_Nativ'!T1190="DERIVED",'Core_Nativ'!M1190&gt;='Core_Nativ'!P1184),MIN(1,'Core_Nativ'!M1184/'Core_Nativ'!P1184)*IF('Core_Nativ'!M1184=0,0,'Core_Nativ'!N1184)+(1-MIN(1,'Core_Nativ'!M1184/'Core_Nativ'!P1184))*'Core_Nativ'!N1190,"")),""))</x:f>
      </x:c>
      <x:c r="AK104" s="11" t="str">
        <x:f>IF(A104="","",IF(AND('Core_Nativ'!R1184="CLOSED",'Core_Nativ'!S1184=0),IF('Core_Nativ'!M1184&gt;='Core_Nativ'!P1184,'Core_Nativ'!O1184,IF(AND('Input_Meci'!L104="YES",'Input_Meci'!K104&lt;&gt;"",'Input_Meci'!K104&lt;C104,'Core_Nativ'!T1190="DERIVED",'Core_Nativ'!M1190&gt;='Core_Nativ'!P1184),MIN(1,'Core_Nativ'!M1184/'Core_Nativ'!P1184)*IF('Core_Nativ'!M1184=0,0,'Core_Nativ'!O1184)+(1-MIN(1,'Core_Nativ'!M1184/'Core_Nativ'!P1184))*'Core_Nativ'!O1190,"")),""))</x:f>
      </x:c>
      <x:c r="AL104" s="11" t="str">
        <x:f>IF(A104="","",IF(AND('Core_Nativ'!R1185="CLOSED",'Core_Nativ'!S1185=0),IF('Core_Nativ'!M1185&gt;='Core_Nativ'!P1185,'Core_Nativ'!N1185,IF(AND('Input_Meci'!L104="YES",'Input_Meci'!K104&lt;&gt;"",'Input_Meci'!K104&lt;C104,'Core_Nativ'!T1191="DERIVED",'Core_Nativ'!M1191&gt;='Core_Nativ'!P1185),MIN(1,'Core_Nativ'!M1185/'Core_Nativ'!P1185)*IF('Core_Nativ'!M1185=0,0,'Core_Nativ'!N1185)+(1-MIN(1,'Core_Nativ'!M1185/'Core_Nativ'!P1185))*'Core_Nativ'!N1191,"")),""))</x:f>
      </x:c>
      <x:c r="AM104" s="11" t="str">
        <x:f>IF(A104="","",IF(AND('Core_Nativ'!R1185="CLOSED",'Core_Nativ'!S1185=0),IF('Core_Nativ'!M1185&gt;='Core_Nativ'!P1185,'Core_Nativ'!O1185,IF(AND('Input_Meci'!L104="YES",'Input_Meci'!K104&lt;&gt;"",'Input_Meci'!K104&lt;C104,'Core_Nativ'!T1191="DERIVED",'Core_Nativ'!M1191&gt;='Core_Nativ'!P1185),MIN(1,'Core_Nativ'!M1185/'Core_Nativ'!P1185)*IF('Core_Nativ'!M1185=0,0,'Core_Nativ'!O1185)+(1-MIN(1,'Core_Nativ'!M1185/'Core_Nativ'!P1185))*'Core_Nativ'!O1191,"")),""))</x:f>
      </x:c>
      <x:c r="AN104" s="11" t="str">
        <x:f>IF(A104="","",IF(AND('Core_Nativ'!R1186="CLOSED",'Core_Nativ'!S1186=0),IF('Core_Nativ'!M1186&gt;='Core_Nativ'!P1186,'Core_Nativ'!N1186,IF(AND('Input_Meci'!L104="YES",'Input_Meci'!K104&lt;&gt;"",'Input_Meci'!K104&lt;C104,'Core_Nativ'!T1192="DERIVED",'Core_Nativ'!M1192&gt;='Core_Nativ'!P1186),MIN(1,'Core_Nativ'!M1186/'Core_Nativ'!P1186)*IF('Core_Nativ'!M1186=0,0,'Core_Nativ'!N1186)+(1-MIN(1,'Core_Nativ'!M1186/'Core_Nativ'!P1186))*'Core_Nativ'!N1192,"")),""))</x:f>
      </x:c>
      <x:c r="AO104" s="11" t="str">
        <x:f>IF(A104="","",IF(AND('Core_Nativ'!R1186="CLOSED",'Core_Nativ'!S1186=0),IF('Core_Nativ'!M1186&gt;='Core_Nativ'!P1186,'Core_Nativ'!O1186,IF(AND('Input_Meci'!L104="YES",'Input_Meci'!K104&lt;&gt;"",'Input_Meci'!K104&lt;C104,'Core_Nativ'!T1192="DERIVED",'Core_Nativ'!M1192&gt;='Core_Nativ'!P1186),MIN(1,'Core_Nativ'!M1186/'Core_Nativ'!P1186)*IF('Core_Nativ'!M1186=0,0,'Core_Nativ'!O1186)+(1-MIN(1,'Core_Nativ'!M1186/'Core_Nativ'!P1186))*'Core_Nativ'!O1192,"")),""))</x:f>
      </x:c>
      <x:c r="AP104" s="11" t="str">
        <x:f>IF(A104="","",IF(AND('Core_Nativ'!R1187="CLOSED",'Core_Nativ'!S1187=0),IF('Core_Nativ'!M1187&gt;='Core_Nativ'!P1187,'Core_Nativ'!N1187,IF(AND('Input_Meci'!L104="YES",'Input_Meci'!K104&lt;&gt;"",'Input_Meci'!K104&lt;C104,'Core_Nativ'!T1193="DERIVED",'Core_Nativ'!M1193&gt;='Core_Nativ'!P1187),MIN(1,'Core_Nativ'!M1187/'Core_Nativ'!P1187)*IF('Core_Nativ'!M1187=0,0,'Core_Nativ'!N1187)+(1-MIN(1,'Core_Nativ'!M1187/'Core_Nativ'!P1187))*'Core_Nativ'!N1193,"")),""))</x:f>
      </x:c>
      <x:c r="AQ104" s="11" t="str">
        <x:f>IF(A104="","",IF(AND('Core_Nativ'!R1187="CLOSED",'Core_Nativ'!S1187=0),IF('Core_Nativ'!M1187&gt;='Core_Nativ'!P1187,'Core_Nativ'!O1187,IF(AND('Input_Meci'!L104="YES",'Input_Meci'!K104&lt;&gt;"",'Input_Meci'!K104&lt;C104,'Core_Nativ'!T1193="DERIVED",'Core_Nativ'!M1193&gt;='Core_Nativ'!P1187),MIN(1,'Core_Nativ'!M1187/'Core_Nativ'!P1187)*IF('Core_Nativ'!M1187=0,0,'Core_Nativ'!O1187)+(1-MIN(1,'Core_Nativ'!M1187/'Core_Nativ'!P1187))*'Core_Nativ'!O1193,"")),""))</x:f>
      </x:c>
      <x:c r="AR104" s="11" t="str">
        <x:f>IF(A104="","",SUMPRODUCT(('Istoric_Nativ'!$B$6:$B$405=B104)*('Istoric_Nativ'!$C$6:$C$405=BL104)*('Istoric_Nativ'!$P$6:$P$405=1)*('Istoric_Nativ'!$D$6:$D$405&lt;INT(G104))*((('Istoric_Nativ'!$E$6:$E$405='Input_Meci'!D104)+('Istoric_Nativ'!$F$6:$F$405='Input_Meci'!D104)+('Istoric_Nativ'!$E$6:$E$405='Input_Meci'!E104)+('Istoric_Nativ'!$F$6:$F$405='Input_Meci'!E104))&gt;0)))</x:f>
      </x:c>
      <x:c r="AS104" s="11" t="str">
        <x:f>IF(AR104=0,"",SUMPRODUCT(('Istoric_Nativ'!$B$6:$B$405=B104)*('Istoric_Nativ'!$C$6:$C$405=BL104)*('Istoric_Nativ'!$P$6:$P$405=1)*('Istoric_Nativ'!$D$6:$D$405&lt;INT(G104))*((('Istoric_Nativ'!$E$6:$E$405='Input_Meci'!D104)+('Istoric_Nativ'!$F$6:$F$405='Input_Meci'!D104)+('Istoric_Nativ'!$E$6:$E$405='Input_Meci'!E104)+('Istoric_Nativ'!$F$6:$F$405='Input_Meci'!E104))&gt;0)*'Istoric_Nativ'!$Q$6:$Q$405)/AR104)</x:f>
      </x:c>
      <x:c r="AT104" s="11" t="str">
        <x:f>IF(AR104&lt;2,"",MAX(0,(SUMPRODUCT(('Istoric_Nativ'!$B$6:$B$405=B104)*('Istoric_Nativ'!$C$6:$C$405=BL104)*('Istoric_Nativ'!$P$6:$P$405=1)*('Istoric_Nativ'!$D$6:$D$405&lt;INT(G104))*((('Istoric_Nativ'!$E$6:$E$405='Input_Meci'!D104)+('Istoric_Nativ'!$F$6:$F$405='Input_Meci'!D104)+('Istoric_Nativ'!$E$6:$E$405='Input_Meci'!E104)+('Istoric_Nativ'!$F$6:$F$405='Input_Meci'!E104))&gt;0)*'Istoric_Nativ'!$R$6:$R$405)-AR104*AS104^2)/(AR104-1)))</x:f>
      </x:c>
      <x:c r="AU104" s="11" t="str">
        <x:f>IF(I104&lt;&gt;"PASS","",AT104/AS104)</x:f>
      </x:c>
      <x:c r="AV104" s="11" t="str">
        <x:f>IF(I104&lt;&gt;"PASS","",IF(AU104&lt;='Config_v6'!$B$10,"POISSON","NEGATIVE BINOMIAL"))</x:f>
      </x:c>
      <x:c r="AW104" s="11" t="str">
        <x:f>IF(I104&lt;&gt;"PASS","",IF(AV104="POISSON",9999,AS104/(AU104-1)))</x:f>
      </x:c>
      <x:c r="AX104" s="11" t="str">
        <x:f>IF(A104="","",MAX(1-'Config_v6'!$B$20,MIN(1+'Config_v6'!$B$20,1+0.02*(IF(AND(ISNUMBER('Input_Meci'!N104),'Input_Meci'!N104&gt;=0,'Input_Meci'!N104&lt;=200),'Input_Meci'!N104,12)/12-1)+0.02*(IF(AND(ISNUMBER('Input_Meci'!P104),'Input_Meci'!P104&gt;=0,'Input_Meci'!P104&lt;=200),'Input_Meci'!P104,3.5)/3.5-1)+0.02*(IF(AND(ISNUMBER('Input_Meci'!R104),'Input_Meci'!R104&gt;=0,'Input_Meci'!R104&lt;=200),'Input_Meci'!R104,18)/18-1)+0.02*((IF(AND(ISNUMBER('Input_Meci'!V104),'Input_Meci'!V104&gt;=0,'Input_Meci'!V104&lt;=10),'Input_Meci'!V104,5)-5)/5))))</x:f>
      </x:c>
      <x:c r="AY104" s="11" t="str">
        <x:f>IF(A104="","",MAX(1-'Config_v6'!$B$20,MIN(1+'Config_v6'!$B$20,1+0.02*(IF(AND(ISNUMBER('Input_Meci'!O104),'Input_Meci'!O104&gt;=0,'Input_Meci'!O104&lt;=200),'Input_Meci'!O104,12)/12-1)+0.02*(IF(AND(ISNUMBER('Input_Meci'!Q104),'Input_Meci'!Q104&gt;=0,'Input_Meci'!Q104&lt;=200),'Input_Meci'!Q104,3.5)/3.5-1)+0.02*(IF(AND(ISNUMBER('Input_Meci'!S104),'Input_Meci'!S104&gt;=0,'Input_Meci'!S104&lt;=200),'Input_Meci'!S104,18)/18-1)+0.02*((IF(AND(ISNUMBER('Input_Meci'!W104),'Input_Meci'!W104&gt;=0,'Input_Meci'!W104&lt;=10),'Input_Meci'!W104,5)-5)/5))))</x:f>
      </x:c>
      <x:c r="AZ104" s="11" t="str">
        <x:f>IF(A104="","",MAX(1-'Config_v6'!$B$21,MIN(1+'Config_v6'!$B$21,1+0.012*(IF('Input_Meci'!X104="",5,IF(ISNUMBER('Input_Meci'!X104),'Input_Meci'!X104,5))-5)+0.018*(IF('Input_Meci'!Z104="",5,IF(ISNUMBER('Input_Meci'!Z104),'Input_Meci'!Z104,5))-5)+0.012*(IF('Input_Meci'!AB104="",5,IF(ISNUMBER('Input_Meci'!AB104),'Input_Meci'!AB104,5))-5)+0.015*IF('Input_Meci'!AD104="",0,IF(ISNUMBER('Input_Meci'!AD104),'Input_Meci'!AD104,0))+0.02*IF('Input_Meci'!AF104="",0,IF(ISNUMBER('Input_Meci'!AF104),'Input_Meci'!AF104,0)))))</x:f>
      </x:c>
      <x:c r="BA104" s="11" t="str">
        <x:f>IF(A104="","",MAX(1-'Config_v6'!$B$21,MIN(1+'Config_v6'!$B$21,1+0.012*(IF('Input_Meci'!Y104="",5,IF(ISNUMBER('Input_Meci'!Y104),'Input_Meci'!Y104,5))-5)+0.018*(IF('Input_Meci'!AA104="",5,IF(ISNUMBER('Input_Meci'!AA104),'Input_Meci'!AA104,5))-5)+0.012*(IF('Input_Meci'!AC104="",5,IF(ISNUMBER('Input_Meci'!AC104),'Input_Meci'!AC104,5))-5)+0.015*IF('Input_Meci'!AE104="",0,IF(ISNUMBER('Input_Meci'!AE104),'Input_Meci'!AE104,0))+0.02*IF('Input_Meci'!AG104="",0,IF(ISNUMBER('Input_Meci'!AG104),'Input_Meci'!AG104,0)))))</x:f>
      </x:c>
      <x:c r="BB104" s="11" t="str">
        <x:f>IF(I104&lt;&gt;"PASS","",(AVERAGE(AF104,AM104)*'Config_v6'!$B$4+AVERAGE(AH104,AO104)*'Config_v6'!$B$5+AVERAGE(AJ104,AQ104)*'Config_v6'!$B$6)*AX104*AZ104)</x:f>
      </x:c>
      <x:c r="BC104" s="11" t="str">
        <x:f>IF(I104&lt;&gt;"PASS","",(AVERAGE(AL104,AG104)*'Config_v6'!$B$4+AVERAGE(AN104,AI104)*'Config_v6'!$B$5+AVERAGE(AP104,AK104)*'Config_v6'!$B$6)*AY104*BA104)</x:f>
      </x:c>
      <x:c r="BD104" s="11" t="str">
        <x:f>IF(I104&lt;&gt;"PASS","",BB104+BC104)</x:f>
      </x:c>
      <x:c r="BE104" s="11" t="str">
        <x:f>IF(A104="","",10-SUM(IF(AND(ISNUMBER('Input_Meci'!N104),'Input_Meci'!N104&gt;=0,'Input_Meci'!N104&lt;=200),1,0),IF(AND(ISNUMBER('Input_Meci'!O104),'Input_Meci'!O104&gt;=0,'Input_Meci'!O104&lt;=200),1,0),IF(AND(ISNUMBER('Input_Meci'!P104),'Input_Meci'!P104&gt;=0,'Input_Meci'!P104&lt;=200),1,0),IF(AND(ISNUMBER('Input_Meci'!Q104),'Input_Meci'!Q104&gt;=0,'Input_Meci'!Q104&lt;=200),1,0),IF(AND(ISNUMBER('Input_Meci'!R104),'Input_Meci'!R104&gt;=0,'Input_Meci'!R104&lt;=200),1,0),IF(AND(ISNUMBER('Input_Meci'!S104),'Input_Meci'!S104&gt;=0,'Input_Meci'!S104&lt;=200),1,0),IF(AND(ISNUMBER('Input_Meci'!T104),'Input_Meci'!T104&gt;=0,'Input_Meci'!T104&lt;=100),1,0),IF(AND(ISNUMBER('Input_Meci'!U104),'Input_Meci'!U104&gt;=0,'Input_Meci'!U104&lt;=100),1,0),IF(AND(ISNUMBER('Input_Meci'!V104),'Input_Meci'!V104&gt;=0,'Input_Meci'!V104&lt;=10),1,0),IF(AND(ISNUMBER('Input_Meci'!W104),'Input_Meci'!W104&gt;=0,'Input_Meci'!W104&lt;=10),1,0)))</x:f>
      </x:c>
      <x:c r="BF104" s="11" t="str">
        <x:f>IF(I104&lt;&gt;"PASS","",MAX(0,MIN(IF(OR(M104="YES",BL104&lt;&gt;C104),'Config_v6'!$B$34,100),ROUND(40+25*MIN(1,MIN(N104,Q104)/'Config_v6'!$B$7)*MIN(1,MIN(O104,R104)/'Config_v6'!$B$8)*MIN(1,MIN(P104,S104)/'Config_v6'!$B$9)+MAX(0,15-2*ABS(AF104-AJ104)-2*ABS(AL104-AP104))+IF(AU104&lt;='Config_v6'!$B$10,15,IF(AU104&lt;='Config_v6'!$B$11,13,IF(AU104&lt;='Config_v6'!$B$12,10,IF(AU104&lt;='Config_v6'!$B$13,6,0))))+5-BE104/10*'Config_v6'!$B$38,0))))</x:f>
      </x:c>
      <x:c r="BG104" s="11" t="str">
        <x:f>IF(I104&lt;&gt;"PASS","",MIN(1,'Config_v6'!$B$14*(0.7+0.3*MIN(1,AR104/'Config_v6'!$B$15))*IF(AU104&lt;='Config_v6'!$B$10,1,IF(AU104&lt;='Config_v6'!$B$11,0.95,IF(AU104&lt;='Config_v6'!$B$12,0.88,0.78)))*(0.75+0.25*BF104/100)))</x:f>
      </x:c>
      <x:c r="BH104" s="11" t="str">
        <x:f>IF(I104&lt;&gt;"PASS","",MIN(1,(ABS(AZ104-1)+ABS(BA104-1))*3))</x:f>
      </x:c>
      <x:c r="BI104" s="2" t="str">
        <x:f>IF(A104="","",IF(AND(OR('Input_Meci'!X104="",AND(ISNUMBER('Input_Meci'!X104),'Input_Meci'!X104&gt;=0,'Input_Meci'!X104&lt;=10)),OR('Input_Meci'!Y104="",AND(ISNUMBER('Input_Meci'!Y104),'Input_Meci'!Y104&gt;=0,'Input_Meci'!Y104&lt;=10)),OR('Input_Meci'!Z104="",AND(ISNUMBER('Input_Meci'!Z104),'Input_Meci'!Z104&gt;=0,'Input_Meci'!Z104&lt;=10)),OR('Input_Meci'!AA104="",AND(ISNUMBER('Input_Meci'!AA104),'Input_Meci'!AA104&gt;=0,'Input_Meci'!AA104&lt;=10)),OR('Input_Meci'!AB104="",AND(ISNUMBER('Input_Meci'!AB104),'Input_Meci'!AB104&gt;=0,'Input_Meci'!AB104&lt;=10)),OR('Input_Meci'!AC104="",AND(ISNUMBER('Input_Meci'!AC104),'Input_Meci'!AC104&gt;=0,'Input_Meci'!AC104&lt;=10)),OR('Input_Meci'!AD104="",AND(ISNUMBER('Input_Meci'!AD104),'Input_Meci'!AD104&gt;=-2,'Input_Meci'!AD104&lt;=2)),OR('Input_Meci'!AE104="",AND(ISNUMBER('Input_Meci'!AE104),'Input_Meci'!AE104&gt;=-2,'Input_Meci'!AE104&lt;=2)),OR('Input_Meci'!AF104="",AND(ISNUMBER('Input_Meci'!AF104),'Input_Meci'!AF104&gt;=-2,'Input_Meci'!AF104&lt;=2)),OR('Input_Meci'!AG104="",AND(ISNUMBER('Input_Meci'!AG104),'Input_Meci'!AG104&gt;=-2,'Input_Meci'!AG104&lt;=2))),"VALID","INVALID"))</x:f>
      </x:c>
      <x:c r="BJ104" s="2" t="n">
        <x:f>IF(A104="",0,SUM('Core_Nativ'!S1182:S1187))</x:f>
        <x:v>0</x:v>
      </x:c>
      <x:c r="BK104" s="2" t="str">
        <x:f>'Config_v6'!$B$40</x:f>
        <x:v>VALID</x:v>
      </x:c>
      <x:c r="BL104" s="2" t="str">
        <x:f>IF(A104="","",IF(SUMPRODUCT(('Istoric_Nativ'!$B$6:$B$405=B104)*('Istoric_Nativ'!$C$6:$C$405=C104)*('Istoric_Nativ'!$P$6:$P$405=1)*('Istoric_Nativ'!$D$6:$D$405&lt;INT(G104))*((('Istoric_Nativ'!$E$6:$E$405='Input_Meci'!D104)+('Istoric_Nativ'!$F$6:$F$405='Input_Meci'!D104)+('Istoric_Nativ'!$E$6:$E$405='Input_Meci'!E104)+('Istoric_Nativ'!$F$6:$F$405='Input_Meci'!E104))&gt;0))&gt;='Config_v6'!$B$41,C104,IF(AND('Input_Meci'!L104="YES",'Input_Meci'!K104&lt;&gt;"",'Input_Meci'!K104&lt;C104,COUNTIF('Core_Nativ'!R1188:R1193,"CLOSED")=6,SUM('Core_Nativ'!S1188:S1193)=0),'Input_Meci'!K104,C104)))</x:f>
      </x:c>
      <x:c r="BM104" s="9" t="n">
        <x:f>IF(OR(A104="",N104=0),0,LARGE(_xlfn._xlws.FILTER('Istoric_Nativ'!$D$6:$D$405,('Istoric_Nativ'!$B$6:$B$405=B104)*('Istoric_Nativ'!$C$6:$C$405=C104)*('Istoric_Nativ'!$P$6:$P$405=1)*('Istoric_Nativ'!$D$6:$D$405&lt;INT(G104))*((('Istoric_Nativ'!$E$6:$E$405='Input_Meci'!D104)+('Istoric_Nativ'!$F$6:$F$405='Input_Meci'!D104))&gt;0)),MIN(10,N104)))</x:f>
        <x:v>0</x:v>
      </x:c>
      <x:c r="BN104" s="9" t="n">
        <x:f>IF(OR(A104="",Q104=0),0,LARGE(_xlfn._xlws.FILTER('Istoric_Nativ'!$D$6:$D$405,('Istoric_Nativ'!$B$6:$B$405=B104)*('Istoric_Nativ'!$C$6:$C$405=C104)*('Istoric_Nativ'!$P$6:$P$405=1)*('Istoric_Nativ'!$D$6:$D$405&lt;INT(G104))*((('Istoric_Nativ'!$E$6:$E$405='Input_Meci'!E104)+('Istoric_Nativ'!$F$6:$F$405='Input_Meci'!E104))&gt;0)),MIN(10,Q104)))</x:f>
        <x:v>0</x:v>
      </x:c>
      <x:c r="BO104" s="9" t="n">
        <x:f>IF(OR(A104="",N104=0),0,LARGE(_xlfn._xlws.FILTER('Istoric_Nativ'!$D$6:$D$405,('Istoric_Nativ'!$B$6:$B$405=B104)*('Istoric_Nativ'!$C$6:$C$405=C104)*('Istoric_Nativ'!$P$6:$P$405=1)*('Istoric_Nativ'!$D$6:$D$405&lt;INT(G104))*((('Istoric_Nativ'!$E$6:$E$405='Input_Meci'!D104)+('Istoric_Nativ'!$F$6:$F$405='Input_Meci'!D104))&gt;0)),MIN(20,N104)))</x:f>
        <x:v>0</x:v>
      </x:c>
      <x:c r="BP104" s="9" t="n">
        <x:f>IF(OR(A104="",Q104=0),0,LARGE(_xlfn._xlws.FILTER('Istoric_Nativ'!$D$6:$D$405,('Istoric_Nativ'!$B$6:$B$405=B104)*('Istoric_Nativ'!$C$6:$C$405=C104)*('Istoric_Nativ'!$P$6:$P$405=1)*('Istoric_Nativ'!$D$6:$D$405&lt;INT(G104))*((('Istoric_Nativ'!$E$6:$E$405='Input_Meci'!E104)+('Istoric_Nativ'!$F$6:$F$405='Input_Meci'!E104))&gt;0)),MIN(20,Q104)))</x:f>
        <x:v>0</x:v>
      </x:c>
      <x:c r="BQ104" s="2" t="str">
        <x:f>IF(A104="","",IF(AND(COUNTIF(MatchesTable[Match_ID],A104)=1,COUNTIFS(MatchesTable[League],B104,MatchesTable[Season],C104,MatchesTable[Home],'Input_Meci'!D104,MatchesTable[Away],'Input_Meci'!E104,MatchesTable[Kickoff_UTC],F104)=1,B104&lt;&gt;"",C104&lt;&gt;"",'Input_Meci'!D104&lt;&gt;"",'Input_Meci'!E104&lt;&gt;"",'Input_Meci'!D104&lt;&gt;'Input_Meci'!E104,ISNUMBER(F104),ISNUMBER(G104),G104&lt;F104,OR(E104="LIVE",E104="REPLAY"),OR('Input_Meci'!L104="YES",'Input_Meci'!L104="NO",'Input_Meci'!L104="")),"VALID","INVALID"))</x:f>
      </x:c>
      <x:c r="BR104" s="2" t="n">
        <x:f>IF(I104&lt;&gt;"PASS",0,SUMPRODUCT(('Istoric_Nativ'!$B$6:$B$405='Input_Meci'!B104)*('Istoric_Nativ'!$C$6:$C$405='Input_Meci'!C104)*('Istoric_Nativ'!$P$6:$P$405=1)*('Istoric_Nativ'!$D$6:$D$405&lt;INT('Input_Meci'!G104))*((('Istoric_Nativ'!$E$6:$E$405='Input_Meci'!D104)+('Istoric_Nativ'!$F$6:$F$405='Input_Meci'!E104))&gt;0)))</x:f>
        <x:v>0</x:v>
      </x:c>
      <x:c r="BS104" s="2" t="n">
        <x:f>IF(I104&lt;&gt;"PASS",0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BM104)+((('Istoric_Nativ'!$E$6:$E$405='Input_Meci'!E104)+('Istoric_Nativ'!$F$6:$F$405='Input_Meci'!E104))&gt;0)*('Istoric_Nativ'!$D$6:$D$405&gt;=BN104))&gt;0)))</x:f>
        <x:v>0</x:v>
      </x:c>
      <x:c r="BT104" s="2" t="n">
        <x:f>IF(I104&lt;&gt;"PASS",0,SUMPRODUCT(('Istoric_Nativ'!$B$6:$B$405='Input_Meci'!B104)*('Istoric_Nativ'!$C$6:$C$405='Input_Meci'!C104)*('Istoric_Nativ'!$P$6:$P$405=1)*('Istoric_Nativ'!$D$6:$D$405&lt;INT('Input_Meci'!G104))*((((('Istoric_Nativ'!$E$6:$E$405='Input_Meci'!D104)+('Istoric_Nativ'!$F$6:$F$405='Input_Meci'!D104))&gt;0)*('Istoric_Nativ'!$D$6:$D$405&gt;=BO104)+((('Istoric_Nativ'!$E$6:$E$405='Input_Meci'!E104)+('Istoric_Nativ'!$F$6:$F$405='Input_Meci'!E104))&gt;0)*('Istoric_Nativ'!$D$6:$D$405&gt;=BP104))&gt;0)))</x:f>
        <x:v>0</x:v>
      </x:c>
    </x:row>
    <x:row r="105" ht="21" customHeight="1">
      <x:c r="A105" s="2" t="str">
        <x:f>IF('Input_Meci'!A105="","",'Input_Meci'!A105)</x:f>
      </x:c>
      <x:c r="B105" s="2" t="str">
        <x:f>IF(A105="","",'Input_Meci'!B105)</x:f>
      </x:c>
      <x:c r="C105" s="2" t="str">
        <x:f>IF(A105="","",'Input_Meci'!C105)</x:f>
      </x:c>
      <x:c r="D105" s="2" t="str">
        <x:f>IF(A105="","",'Input_Meci'!D105&amp;" – "&amp;'Input_Meci'!E105)</x:f>
      </x:c>
      <x:c r="E105" s="2" t="str">
        <x:f>IF(A105="","",'Input_Meci'!H105)</x:f>
      </x:c>
      <x:c r="F105" s="9" t="str">
        <x:f>IF(A105="","",'Input_Meci'!F105)</x:f>
      </x:c>
      <x:c r="G105" s="9" t="str">
        <x:f>IF(A105="","",'Input_Meci'!G105)</x:f>
      </x:c>
      <x:c r="H105" s="2" t="str">
        <x:f>IF(A105="","",IF(BQ105&lt;&gt;"VALID","NOT RELEASED",IF(AND(OR('Input_Meci'!I105="NOT AVAILABLE",'Input_Meci'!I105="SOURCE CONFLICT"),'Input_Meci'!J105&lt;&gt;""),"READY",IF(OR(NOT(OR('Input_Meci'!I105="AUTO",'Input_Meci'!I105="")),COUNTIF('Core_Nativ'!R1194:R1199,"CLOSED")&lt;&gt;6,BJ105&gt;0),"NOT RELEASED","READY"))))</x:f>
      </x:c>
      <x:c r="I105" s="2" t="str">
        <x:f>IF(A105="","",IF(H105&lt;&gt;"READY","NOT RELEASED",IF(AND(NOT(OR('Input_Meci'!I105="NOT AVAILABLE",'Input_Meci'!I105="SOURCE CONFLICT")),L105=12,AR105&gt;=2,AS105&gt;0,ISNUMBER(AT105),BI105="VALID",BK105="VALID"),"PASS","FAIL")))</x:f>
      </x:c>
      <x:c r="J105" s="2" t="str">
        <x:f>IF(A105="","",IF(BQ105&lt;&gt;"VALID","Verifica ID, echipe, mod si cutoff &lt; kickoff",IF(H105&lt;&gt;"READY",IF('Input_Meci'!I105="ACCESS BLOCKED","Acces blocat: reia sursele",IF(BJ105&gt;0,"Istoric invalid sau conflict: verifica randurile native","Surse neinchise / post-cutoff / dovezi incomplete")),IF(OR('Input_Meci'!I105="NOT AVAILABLE",'Input_Meci'!I105="SOURCE CONFLICT"),'Input_Meci'!I105,IF(BK105&lt;&gt;"VALID","Parametri invalizi",IF(L105&lt;&gt;12,"Core / sample / prior insuficient",IF(AR105&lt;2,"N insuficient pentru dispersie",IF(AS105&lt;=0,"Media istorica trebuie sa fie pozitiva",IF(BI105&lt;&gt;"VALID","Context invalid","READY")))))))))</x:f>
      </x:c>
      <x:c r="K105" s="2" t="str">
        <x:f>IF(A105="","",COUNT(T105:AE105))</x:f>
      </x:c>
      <x:c r="L105" s="2" t="str">
        <x:f>IF(A105="","",COUNT(AF105:AQ105))</x:f>
      </x:c>
      <x:c r="M105" s="2" t="str">
        <x:f>IF(A105="","",IF(OR('Core_Nativ'!M1194&lt;'Core_Nativ'!P1194,'Core_Nativ'!M1195&lt;'Core_Nativ'!P1195,'Core_Nativ'!M1196&lt;'Core_Nativ'!P1196,'Core_Nativ'!M1197&lt;'Core_Nativ'!P1197,'Core_Nativ'!M1198&lt;'Core_Nativ'!P1198,'Core_Nativ'!M1199&lt;'Core_Nativ'!P1199),"YES","NO"))</x:f>
      </x:c>
      <x:c r="N105" s="2" t="str">
        <x:f>IF(A105="","",'Core_Nativ'!M1194)</x:f>
      </x:c>
      <x:c r="O105" s="2" t="str">
        <x:f>IF(A105="","",'Core_Nativ'!M1195)</x:f>
      </x:c>
      <x:c r="P105" s="2" t="str">
        <x:f>IF(A105="","",'Core_Nativ'!M1196)</x:f>
      </x:c>
      <x:c r="Q105" s="2" t="str">
        <x:f>IF(A105="","",'Core_Nativ'!M1197)</x:f>
      </x:c>
      <x:c r="R105" s="2" t="str">
        <x:f>IF(A105="","",'Core_Nativ'!M1198)</x:f>
      </x:c>
      <x:c r="S105" s="2" t="str">
        <x:f>IF(A105="","",'Core_Nativ'!M1199)</x:f>
      </x:c>
      <x:c r="T105" s="11" t="str">
        <x:f>IF(OR(A105="",'Core_Nativ'!M1194=0),"",'Core_Nativ'!N1194)</x:f>
      </x:c>
      <x:c r="U105" s="11" t="str">
        <x:f>IF(OR(A105="",'Core_Nativ'!M1194=0),"",'Core_Nativ'!O1194)</x:f>
      </x:c>
      <x:c r="V105" s="11" t="str">
        <x:f>IF(OR(A105="",'Core_Nativ'!M1195=0),"",'Core_Nativ'!N1195)</x:f>
      </x:c>
      <x:c r="W105" s="11" t="str">
        <x:f>IF(OR(A105="",'Core_Nativ'!M1195=0),"",'Core_Nativ'!O1195)</x:f>
      </x:c>
      <x:c r="X105" s="11" t="str">
        <x:f>IF(OR(A105="",'Core_Nativ'!M1196=0),"",'Core_Nativ'!N1196)</x:f>
      </x:c>
      <x:c r="Y105" s="11" t="str">
        <x:f>IF(OR(A105="",'Core_Nativ'!M1196=0),"",'Core_Nativ'!O1196)</x:f>
      </x:c>
      <x:c r="Z105" s="11" t="str">
        <x:f>IF(OR(A105="",'Core_Nativ'!M1197=0),"",'Core_Nativ'!N1197)</x:f>
      </x:c>
      <x:c r="AA105" s="11" t="str">
        <x:f>IF(OR(A105="",'Core_Nativ'!M1197=0),"",'Core_Nativ'!O1197)</x:f>
      </x:c>
      <x:c r="AB105" s="11" t="str">
        <x:f>IF(OR(A105="",'Core_Nativ'!M1198=0),"",'Core_Nativ'!N1198)</x:f>
      </x:c>
      <x:c r="AC105" s="11" t="str">
        <x:f>IF(OR(A105="",'Core_Nativ'!M1198=0),"",'Core_Nativ'!O1198)</x:f>
      </x:c>
      <x:c r="AD105" s="11" t="str">
        <x:f>IF(OR(A105="",'Core_Nativ'!M1199=0),"",'Core_Nativ'!N1199)</x:f>
      </x:c>
      <x:c r="AE105" s="11" t="str">
        <x:f>IF(OR(A105="",'Core_Nativ'!M1199=0),"",'Core_Nativ'!O1199)</x:f>
      </x:c>
      <x:c r="AF105" s="11" t="str">
        <x:f>IF(A105="","",IF(AND('Core_Nativ'!R1194="CLOSED",'Core_Nativ'!S1194=0),IF('Core_Nativ'!M1194&gt;='Core_Nativ'!P1194,'Core_Nativ'!N1194,IF(AND('Input_Meci'!L105="YES",'Input_Meci'!K105&lt;&gt;"",'Input_Meci'!K105&lt;C105,'Core_Nativ'!T1200="DERIVED",'Core_Nativ'!M1200&gt;='Core_Nativ'!P1194),MIN(1,'Core_Nativ'!M1194/'Core_Nativ'!P1194)*IF('Core_Nativ'!M1194=0,0,'Core_Nativ'!N1194)+(1-MIN(1,'Core_Nativ'!M1194/'Core_Nativ'!P1194))*'Core_Nativ'!N1200,"")),""))</x:f>
      </x:c>
      <x:c r="AG105" s="11" t="str">
        <x:f>IF(A105="","",IF(AND('Core_Nativ'!R1194="CLOSED",'Core_Nativ'!S1194=0),IF('Core_Nativ'!M1194&gt;='Core_Nativ'!P1194,'Core_Nativ'!O1194,IF(AND('Input_Meci'!L105="YES",'Input_Meci'!K105&lt;&gt;"",'Input_Meci'!K105&lt;C105,'Core_Nativ'!T1200="DERIVED",'Core_Nativ'!M1200&gt;='Core_Nativ'!P1194),MIN(1,'Core_Nativ'!M1194/'Core_Nativ'!P1194)*IF('Core_Nativ'!M1194=0,0,'Core_Nativ'!O1194)+(1-MIN(1,'Core_Nativ'!M1194/'Core_Nativ'!P1194))*'Core_Nativ'!O1200,"")),""))</x:f>
      </x:c>
      <x:c r="AH105" s="11" t="str">
        <x:f>IF(A105="","",IF(AND('Core_Nativ'!R1195="CLOSED",'Core_Nativ'!S1195=0),IF('Core_Nativ'!M1195&gt;='Core_Nativ'!P1195,'Core_Nativ'!N1195,IF(AND('Input_Meci'!L105="YES",'Input_Meci'!K105&lt;&gt;"",'Input_Meci'!K105&lt;C105,'Core_Nativ'!T1201="DERIVED",'Core_Nativ'!M1201&gt;='Core_Nativ'!P1195),MIN(1,'Core_Nativ'!M1195/'Core_Nativ'!P1195)*IF('Core_Nativ'!M1195=0,0,'Core_Nativ'!N1195)+(1-MIN(1,'Core_Nativ'!M1195/'Core_Nativ'!P1195))*'Core_Nativ'!N1201,"")),""))</x:f>
      </x:c>
      <x:c r="AI105" s="11" t="str">
        <x:f>IF(A105="","",IF(AND('Core_Nativ'!R1195="CLOSED",'Core_Nativ'!S1195=0),IF('Core_Nativ'!M1195&gt;='Core_Nativ'!P1195,'Core_Nativ'!O1195,IF(AND('Input_Meci'!L105="YES",'Input_Meci'!K105&lt;&gt;"",'Input_Meci'!K105&lt;C105,'Core_Nativ'!T1201="DERIVED",'Core_Nativ'!M1201&gt;='Core_Nativ'!P1195),MIN(1,'Core_Nativ'!M1195/'Core_Nativ'!P1195)*IF('Core_Nativ'!M1195=0,0,'Core_Nativ'!O1195)+(1-MIN(1,'Core_Nativ'!M1195/'Core_Nativ'!P1195))*'Core_Nativ'!O1201,"")),""))</x:f>
      </x:c>
      <x:c r="AJ105" s="11" t="str">
        <x:f>IF(A105="","",IF(AND('Core_Nativ'!R1196="CLOSED",'Core_Nativ'!S1196=0),IF('Core_Nativ'!M1196&gt;='Core_Nativ'!P1196,'Core_Nativ'!N1196,IF(AND('Input_Meci'!L105="YES",'Input_Meci'!K105&lt;&gt;"",'Input_Meci'!K105&lt;C105,'Core_Nativ'!T1202="DERIVED",'Core_Nativ'!M1202&gt;='Core_Nativ'!P1196),MIN(1,'Core_Nativ'!M1196/'Core_Nativ'!P1196)*IF('Core_Nativ'!M1196=0,0,'Core_Nativ'!N1196)+(1-MIN(1,'Core_Nativ'!M1196/'Core_Nativ'!P1196))*'Core_Nativ'!N1202,"")),""))</x:f>
      </x:c>
      <x:c r="AK105" s="11" t="str">
        <x:f>IF(A105="","",IF(AND('Core_Nativ'!R1196="CLOSED",'Core_Nativ'!S1196=0),IF('Core_Nativ'!M1196&gt;='Core_Nativ'!P1196,'Core_Nativ'!O1196,IF(AND('Input_Meci'!L105="YES",'Input_Meci'!K105&lt;&gt;"",'Input_Meci'!K105&lt;C105,'Core_Nativ'!T1202="DERIVED",'Core_Nativ'!M1202&gt;='Core_Nativ'!P1196),MIN(1,'Core_Nativ'!M1196/'Core_Nativ'!P1196)*IF('Core_Nativ'!M1196=0,0,'Core_Nativ'!O1196)+(1-MIN(1,'Core_Nativ'!M1196/'Core_Nativ'!P1196))*'Core_Nativ'!O1202,"")),""))</x:f>
      </x:c>
      <x:c r="AL105" s="11" t="str">
        <x:f>IF(A105="","",IF(AND('Core_Nativ'!R1197="CLOSED",'Core_Nativ'!S1197=0),IF('Core_Nativ'!M1197&gt;='Core_Nativ'!P1197,'Core_Nativ'!N1197,IF(AND('Input_Meci'!L105="YES",'Input_Meci'!K105&lt;&gt;"",'Input_Meci'!K105&lt;C105,'Core_Nativ'!T1203="DERIVED",'Core_Nativ'!M1203&gt;='Core_Nativ'!P1197),MIN(1,'Core_Nativ'!M1197/'Core_Nativ'!P1197)*IF('Core_Nativ'!M1197=0,0,'Core_Nativ'!N1197)+(1-MIN(1,'Core_Nativ'!M1197/'Core_Nativ'!P1197))*'Core_Nativ'!N1203,"")),""))</x:f>
      </x:c>
      <x:c r="AM105" s="11" t="str">
        <x:f>IF(A105="","",IF(AND('Core_Nativ'!R1197="CLOSED",'Core_Nativ'!S1197=0),IF('Core_Nativ'!M1197&gt;='Core_Nativ'!P1197,'Core_Nativ'!O1197,IF(AND('Input_Meci'!L105="YES",'Input_Meci'!K105&lt;&gt;"",'Input_Meci'!K105&lt;C105,'Core_Nativ'!T1203="DERIVED",'Core_Nativ'!M1203&gt;='Core_Nativ'!P1197),MIN(1,'Core_Nativ'!M1197/'Core_Nativ'!P1197)*IF('Core_Nativ'!M1197=0,0,'Core_Nativ'!O1197)+(1-MIN(1,'Core_Nativ'!M1197/'Core_Nativ'!P1197))*'Core_Nativ'!O1203,"")),""))</x:f>
      </x:c>
      <x:c r="AN105" s="11" t="str">
        <x:f>IF(A105="","",IF(AND('Core_Nativ'!R1198="CLOSED",'Core_Nativ'!S1198=0),IF('Core_Nativ'!M1198&gt;='Core_Nativ'!P1198,'Core_Nativ'!N1198,IF(AND('Input_Meci'!L105="YES",'Input_Meci'!K105&lt;&gt;"",'Input_Meci'!K105&lt;C105,'Core_Nativ'!T1204="DERIVED",'Core_Nativ'!M1204&gt;='Core_Nativ'!P1198),MIN(1,'Core_Nativ'!M1198/'Core_Nativ'!P1198)*IF('Core_Nativ'!M1198=0,0,'Core_Nativ'!N1198)+(1-MIN(1,'Core_Nativ'!M1198/'Core_Nativ'!P1198))*'Core_Nativ'!N1204,"")),""))</x:f>
      </x:c>
      <x:c r="AO105" s="11" t="str">
        <x:f>IF(A105="","",IF(AND('Core_Nativ'!R1198="CLOSED",'Core_Nativ'!S1198=0),IF('Core_Nativ'!M1198&gt;='Core_Nativ'!P1198,'Core_Nativ'!O1198,IF(AND('Input_Meci'!L105="YES",'Input_Meci'!K105&lt;&gt;"",'Input_Meci'!K105&lt;C105,'Core_Nativ'!T1204="DERIVED",'Core_Nativ'!M1204&gt;='Core_Nativ'!P1198),MIN(1,'Core_Nativ'!M1198/'Core_Nativ'!P1198)*IF('Core_Nativ'!M1198=0,0,'Core_Nativ'!O1198)+(1-MIN(1,'Core_Nativ'!M1198/'Core_Nativ'!P1198))*'Core_Nativ'!O1204,"")),""))</x:f>
      </x:c>
      <x:c r="AP105" s="11" t="str">
        <x:f>IF(A105="","",IF(AND('Core_Nativ'!R1199="CLOSED",'Core_Nativ'!S1199=0),IF('Core_Nativ'!M1199&gt;='Core_Nativ'!P1199,'Core_Nativ'!N1199,IF(AND('Input_Meci'!L105="YES",'Input_Meci'!K105&lt;&gt;"",'Input_Meci'!K105&lt;C105,'Core_Nativ'!T1205="DERIVED",'Core_Nativ'!M1205&gt;='Core_Nativ'!P1199),MIN(1,'Core_Nativ'!M1199/'Core_Nativ'!P1199)*IF('Core_Nativ'!M1199=0,0,'Core_Nativ'!N1199)+(1-MIN(1,'Core_Nativ'!M1199/'Core_Nativ'!P1199))*'Core_Nativ'!N1205,"")),""))</x:f>
      </x:c>
      <x:c r="AQ105" s="11" t="str">
        <x:f>IF(A105="","",IF(AND('Core_Nativ'!R1199="CLOSED",'Core_Nativ'!S1199=0),IF('Core_Nativ'!M1199&gt;='Core_Nativ'!P1199,'Core_Nativ'!O1199,IF(AND('Input_Meci'!L105="YES",'Input_Meci'!K105&lt;&gt;"",'Input_Meci'!K105&lt;C105,'Core_Nativ'!T1205="DERIVED",'Core_Nativ'!M1205&gt;='Core_Nativ'!P1199),MIN(1,'Core_Nativ'!M1199/'Core_Nativ'!P1199)*IF('Core_Nativ'!M1199=0,0,'Core_Nativ'!O1199)+(1-MIN(1,'Core_Nativ'!M1199/'Core_Nativ'!P1199))*'Core_Nativ'!O1205,"")),""))</x:f>
      </x:c>
      <x:c r="AR105" s="11" t="str">
        <x:f>IF(A105="","",SUMPRODUCT(('Istoric_Nativ'!$B$6:$B$405=B105)*('Istoric_Nativ'!$C$6:$C$405=BL105)*('Istoric_Nativ'!$P$6:$P$405=1)*('Istoric_Nativ'!$D$6:$D$405&lt;INT(G105))*((('Istoric_Nativ'!$E$6:$E$405='Input_Meci'!D105)+('Istoric_Nativ'!$F$6:$F$405='Input_Meci'!D105)+('Istoric_Nativ'!$E$6:$E$405='Input_Meci'!E105)+('Istoric_Nativ'!$F$6:$F$405='Input_Meci'!E105))&gt;0)))</x:f>
      </x:c>
      <x:c r="AS105" s="11" t="str">
        <x:f>IF(AR105=0,"",SUMPRODUCT(('Istoric_Nativ'!$B$6:$B$405=B105)*('Istoric_Nativ'!$C$6:$C$405=BL105)*('Istoric_Nativ'!$P$6:$P$405=1)*('Istoric_Nativ'!$D$6:$D$405&lt;INT(G105))*((('Istoric_Nativ'!$E$6:$E$405='Input_Meci'!D105)+('Istoric_Nativ'!$F$6:$F$405='Input_Meci'!D105)+('Istoric_Nativ'!$E$6:$E$405='Input_Meci'!E105)+('Istoric_Nativ'!$F$6:$F$405='Input_Meci'!E105))&gt;0)*'Istoric_Nativ'!$Q$6:$Q$405)/AR105)</x:f>
      </x:c>
      <x:c r="AT105" s="11" t="str">
        <x:f>IF(AR105&lt;2,"",MAX(0,(SUMPRODUCT(('Istoric_Nativ'!$B$6:$B$405=B105)*('Istoric_Nativ'!$C$6:$C$405=BL105)*('Istoric_Nativ'!$P$6:$P$405=1)*('Istoric_Nativ'!$D$6:$D$405&lt;INT(G105))*((('Istoric_Nativ'!$E$6:$E$405='Input_Meci'!D105)+('Istoric_Nativ'!$F$6:$F$405='Input_Meci'!D105)+('Istoric_Nativ'!$E$6:$E$405='Input_Meci'!E105)+('Istoric_Nativ'!$F$6:$F$405='Input_Meci'!E105))&gt;0)*'Istoric_Nativ'!$R$6:$R$405)-AR105*AS105^2)/(AR105-1)))</x:f>
      </x:c>
      <x:c r="AU105" s="11" t="str">
        <x:f>IF(I105&lt;&gt;"PASS","",AT105/AS105)</x:f>
      </x:c>
      <x:c r="AV105" s="11" t="str">
        <x:f>IF(I105&lt;&gt;"PASS","",IF(AU105&lt;='Config_v6'!$B$10,"POISSON","NEGATIVE BINOMIAL"))</x:f>
      </x:c>
      <x:c r="AW105" s="11" t="str">
        <x:f>IF(I105&lt;&gt;"PASS","",IF(AV105="POISSON",9999,AS105/(AU105-1)))</x:f>
      </x:c>
      <x:c r="AX105" s="11" t="str">
        <x:f>IF(A105="","",MAX(1-'Config_v6'!$B$20,MIN(1+'Config_v6'!$B$20,1+0.02*(IF(AND(ISNUMBER('Input_Meci'!N105),'Input_Meci'!N105&gt;=0,'Input_Meci'!N105&lt;=200),'Input_Meci'!N105,12)/12-1)+0.02*(IF(AND(ISNUMBER('Input_Meci'!P105),'Input_Meci'!P105&gt;=0,'Input_Meci'!P105&lt;=200),'Input_Meci'!P105,3.5)/3.5-1)+0.02*(IF(AND(ISNUMBER('Input_Meci'!R105),'Input_Meci'!R105&gt;=0,'Input_Meci'!R105&lt;=200),'Input_Meci'!R105,18)/18-1)+0.02*((IF(AND(ISNUMBER('Input_Meci'!V105),'Input_Meci'!V105&gt;=0,'Input_Meci'!V105&lt;=10),'Input_Meci'!V105,5)-5)/5))))</x:f>
      </x:c>
      <x:c r="AY105" s="11" t="str">
        <x:f>IF(A105="","",MAX(1-'Config_v6'!$B$20,MIN(1+'Config_v6'!$B$20,1+0.02*(IF(AND(ISNUMBER('Input_Meci'!O105),'Input_Meci'!O105&gt;=0,'Input_Meci'!O105&lt;=200),'Input_Meci'!O105,12)/12-1)+0.02*(IF(AND(ISNUMBER('Input_Meci'!Q105),'Input_Meci'!Q105&gt;=0,'Input_Meci'!Q105&lt;=200),'Input_Meci'!Q105,3.5)/3.5-1)+0.02*(IF(AND(ISNUMBER('Input_Meci'!S105),'Input_Meci'!S105&gt;=0,'Input_Meci'!S105&lt;=200),'Input_Meci'!S105,18)/18-1)+0.02*((IF(AND(ISNUMBER('Input_Meci'!W105),'Input_Meci'!W105&gt;=0,'Input_Meci'!W105&lt;=10),'Input_Meci'!W105,5)-5)/5))))</x:f>
      </x:c>
      <x:c r="AZ105" s="11" t="str">
        <x:f>IF(A105="","",MAX(1-'Config_v6'!$B$21,MIN(1+'Config_v6'!$B$21,1+0.012*(IF('Input_Meci'!X105="",5,IF(ISNUMBER('Input_Meci'!X105),'Input_Meci'!X105,5))-5)+0.018*(IF('Input_Meci'!Z105="",5,IF(ISNUMBER('Input_Meci'!Z105),'Input_Meci'!Z105,5))-5)+0.012*(IF('Input_Meci'!AB105="",5,IF(ISNUMBER('Input_Meci'!AB105),'Input_Meci'!AB105,5))-5)+0.015*IF('Input_Meci'!AD105="",0,IF(ISNUMBER('Input_Meci'!AD105),'Input_Meci'!AD105,0))+0.02*IF('Input_Meci'!AF105="",0,IF(ISNUMBER('Input_Meci'!AF105),'Input_Meci'!AF105,0)))))</x:f>
      </x:c>
      <x:c r="BA105" s="11" t="str">
        <x:f>IF(A105="","",MAX(1-'Config_v6'!$B$21,MIN(1+'Config_v6'!$B$21,1+0.012*(IF('Input_Meci'!Y105="",5,IF(ISNUMBER('Input_Meci'!Y105),'Input_Meci'!Y105,5))-5)+0.018*(IF('Input_Meci'!AA105="",5,IF(ISNUMBER('Input_Meci'!AA105),'Input_Meci'!AA105,5))-5)+0.012*(IF('Input_Meci'!AC105="",5,IF(ISNUMBER('Input_Meci'!AC105),'Input_Meci'!AC105,5))-5)+0.015*IF('Input_Meci'!AE105="",0,IF(ISNUMBER('Input_Meci'!AE105),'Input_Meci'!AE105,0))+0.02*IF('Input_Meci'!AG105="",0,IF(ISNUMBER('Input_Meci'!AG105),'Input_Meci'!AG105,0)))))</x:f>
      </x:c>
      <x:c r="BB105" s="11" t="str">
        <x:f>IF(I105&lt;&gt;"PASS","",(AVERAGE(AF105,AM105)*'Config_v6'!$B$4+AVERAGE(AH105,AO105)*'Config_v6'!$B$5+AVERAGE(AJ105,AQ105)*'Config_v6'!$B$6)*AX105*AZ105)</x:f>
      </x:c>
      <x:c r="BC105" s="11" t="str">
        <x:f>IF(I105&lt;&gt;"PASS","",(AVERAGE(AL105,AG105)*'Config_v6'!$B$4+AVERAGE(AN105,AI105)*'Config_v6'!$B$5+AVERAGE(AP105,AK105)*'Config_v6'!$B$6)*AY105*BA105)</x:f>
      </x:c>
      <x:c r="BD105" s="11" t="str">
        <x:f>IF(I105&lt;&gt;"PASS","",BB105+BC105)</x:f>
      </x:c>
      <x:c r="BE105" s="11" t="str">
        <x:f>IF(A105="","",10-SUM(IF(AND(ISNUMBER('Input_Meci'!N105),'Input_Meci'!N105&gt;=0,'Input_Meci'!N105&lt;=200),1,0),IF(AND(ISNUMBER('Input_Meci'!O105),'Input_Meci'!O105&gt;=0,'Input_Meci'!O105&lt;=200),1,0),IF(AND(ISNUMBER('Input_Meci'!P105),'Input_Meci'!P105&gt;=0,'Input_Meci'!P105&lt;=200),1,0),IF(AND(ISNUMBER('Input_Meci'!Q105),'Input_Meci'!Q105&gt;=0,'Input_Meci'!Q105&lt;=200),1,0),IF(AND(ISNUMBER('Input_Meci'!R105),'Input_Meci'!R105&gt;=0,'Input_Meci'!R105&lt;=200),1,0),IF(AND(ISNUMBER('Input_Meci'!S105),'Input_Meci'!S105&gt;=0,'Input_Meci'!S105&lt;=200),1,0),IF(AND(ISNUMBER('Input_Meci'!T105),'Input_Meci'!T105&gt;=0,'Input_Meci'!T105&lt;=100),1,0),IF(AND(ISNUMBER('Input_Meci'!U105),'Input_Meci'!U105&gt;=0,'Input_Meci'!U105&lt;=100),1,0),IF(AND(ISNUMBER('Input_Meci'!V105),'Input_Meci'!V105&gt;=0,'Input_Meci'!V105&lt;=10),1,0),IF(AND(ISNUMBER('Input_Meci'!W105),'Input_Meci'!W105&gt;=0,'Input_Meci'!W105&lt;=10),1,0)))</x:f>
      </x:c>
      <x:c r="BF105" s="11" t="str">
        <x:f>IF(I105&lt;&gt;"PASS","",MAX(0,MIN(IF(OR(M105="YES",BL105&lt;&gt;C105),'Config_v6'!$B$34,100),ROUND(40+25*MIN(1,MIN(N105,Q105)/'Config_v6'!$B$7)*MIN(1,MIN(O105,R105)/'Config_v6'!$B$8)*MIN(1,MIN(P105,S105)/'Config_v6'!$B$9)+MAX(0,15-2*ABS(AF105-AJ105)-2*ABS(AL105-AP105))+IF(AU105&lt;='Config_v6'!$B$10,15,IF(AU105&lt;='Config_v6'!$B$11,13,IF(AU105&lt;='Config_v6'!$B$12,10,IF(AU105&lt;='Config_v6'!$B$13,6,0))))+5-BE105/10*'Config_v6'!$B$38,0))))</x:f>
      </x:c>
      <x:c r="BG105" s="11" t="str">
        <x:f>IF(I105&lt;&gt;"PASS","",MIN(1,'Config_v6'!$B$14*(0.7+0.3*MIN(1,AR105/'Config_v6'!$B$15))*IF(AU105&lt;='Config_v6'!$B$10,1,IF(AU105&lt;='Config_v6'!$B$11,0.95,IF(AU105&lt;='Config_v6'!$B$12,0.88,0.78)))*(0.75+0.25*BF105/100)))</x:f>
      </x:c>
      <x:c r="BH105" s="11" t="str">
        <x:f>IF(I105&lt;&gt;"PASS","",MIN(1,(ABS(AZ105-1)+ABS(BA105-1))*3))</x:f>
      </x:c>
      <x:c r="BI105" s="2" t="str">
        <x:f>IF(A105="","",IF(AND(OR('Input_Meci'!X105="",AND(ISNUMBER('Input_Meci'!X105),'Input_Meci'!X105&gt;=0,'Input_Meci'!X105&lt;=10)),OR('Input_Meci'!Y105="",AND(ISNUMBER('Input_Meci'!Y105),'Input_Meci'!Y105&gt;=0,'Input_Meci'!Y105&lt;=10)),OR('Input_Meci'!Z105="",AND(ISNUMBER('Input_Meci'!Z105),'Input_Meci'!Z105&gt;=0,'Input_Meci'!Z105&lt;=10)),OR('Input_Meci'!AA105="",AND(ISNUMBER('Input_Meci'!AA105),'Input_Meci'!AA105&gt;=0,'Input_Meci'!AA105&lt;=10)),OR('Input_Meci'!AB105="",AND(ISNUMBER('Input_Meci'!AB105),'Input_Meci'!AB105&gt;=0,'Input_Meci'!AB105&lt;=10)),OR('Input_Meci'!AC105="",AND(ISNUMBER('Input_Meci'!AC105),'Input_Meci'!AC105&gt;=0,'Input_Meci'!AC105&lt;=10)),OR('Input_Meci'!AD105="",AND(ISNUMBER('Input_Meci'!AD105),'Input_Meci'!AD105&gt;=-2,'Input_Meci'!AD105&lt;=2)),OR('Input_Meci'!AE105="",AND(ISNUMBER('Input_Meci'!AE105),'Input_Meci'!AE105&gt;=-2,'Input_Meci'!AE105&lt;=2)),OR('Input_Meci'!AF105="",AND(ISNUMBER('Input_Meci'!AF105),'Input_Meci'!AF105&gt;=-2,'Input_Meci'!AF105&lt;=2)),OR('Input_Meci'!AG105="",AND(ISNUMBER('Input_Meci'!AG105),'Input_Meci'!AG105&gt;=-2,'Input_Meci'!AG105&lt;=2))),"VALID","INVALID"))</x:f>
      </x:c>
      <x:c r="BJ105" s="2" t="n">
        <x:f>IF(A105="",0,SUM('Core_Nativ'!S1194:S1199))</x:f>
        <x:v>0</x:v>
      </x:c>
      <x:c r="BK105" s="2" t="str">
        <x:f>'Config_v6'!$B$40</x:f>
        <x:v>VALID</x:v>
      </x:c>
      <x:c r="BL105" s="2" t="str">
        <x:f>IF(A105="","",IF(SUMPRODUCT(('Istoric_Nativ'!$B$6:$B$405=B105)*('Istoric_Nativ'!$C$6:$C$405=C105)*('Istoric_Nativ'!$P$6:$P$405=1)*('Istoric_Nativ'!$D$6:$D$405&lt;INT(G105))*((('Istoric_Nativ'!$E$6:$E$405='Input_Meci'!D105)+('Istoric_Nativ'!$F$6:$F$405='Input_Meci'!D105)+('Istoric_Nativ'!$E$6:$E$405='Input_Meci'!E105)+('Istoric_Nativ'!$F$6:$F$405='Input_Meci'!E105))&gt;0))&gt;='Config_v6'!$B$41,C105,IF(AND('Input_Meci'!L105="YES",'Input_Meci'!K105&lt;&gt;"",'Input_Meci'!K105&lt;C105,COUNTIF('Core_Nativ'!R1200:R1205,"CLOSED")=6,SUM('Core_Nativ'!S1200:S1205)=0),'Input_Meci'!K105,C105)))</x:f>
      </x:c>
      <x:c r="BM105" s="9" t="n">
        <x:f>IF(OR(A105="",N105=0),0,LARGE(_xlfn._xlws.FILTER('Istoric_Nativ'!$D$6:$D$405,('Istoric_Nativ'!$B$6:$B$405=B105)*('Istoric_Nativ'!$C$6:$C$405=C105)*('Istoric_Nativ'!$P$6:$P$405=1)*('Istoric_Nativ'!$D$6:$D$405&lt;INT(G105))*((('Istoric_Nativ'!$E$6:$E$405='Input_Meci'!D105)+('Istoric_Nativ'!$F$6:$F$405='Input_Meci'!D105))&gt;0)),MIN(10,N105)))</x:f>
        <x:v>0</x:v>
      </x:c>
      <x:c r="BN105" s="9" t="n">
        <x:f>IF(OR(A105="",Q105=0),0,LARGE(_xlfn._xlws.FILTER('Istoric_Nativ'!$D$6:$D$405,('Istoric_Nativ'!$B$6:$B$405=B105)*('Istoric_Nativ'!$C$6:$C$405=C105)*('Istoric_Nativ'!$P$6:$P$405=1)*('Istoric_Nativ'!$D$6:$D$405&lt;INT(G105))*((('Istoric_Nativ'!$E$6:$E$405='Input_Meci'!E105)+('Istoric_Nativ'!$F$6:$F$405='Input_Meci'!E105))&gt;0)),MIN(10,Q105)))</x:f>
        <x:v>0</x:v>
      </x:c>
      <x:c r="BO105" s="9" t="n">
        <x:f>IF(OR(A105="",N105=0),0,LARGE(_xlfn._xlws.FILTER('Istoric_Nativ'!$D$6:$D$405,('Istoric_Nativ'!$B$6:$B$405=B105)*('Istoric_Nativ'!$C$6:$C$405=C105)*('Istoric_Nativ'!$P$6:$P$405=1)*('Istoric_Nativ'!$D$6:$D$405&lt;INT(G105))*((('Istoric_Nativ'!$E$6:$E$405='Input_Meci'!D105)+('Istoric_Nativ'!$F$6:$F$405='Input_Meci'!D105))&gt;0)),MIN(20,N105)))</x:f>
        <x:v>0</x:v>
      </x:c>
      <x:c r="BP105" s="9" t="n">
        <x:f>IF(OR(A105="",Q105=0),0,LARGE(_xlfn._xlws.FILTER('Istoric_Nativ'!$D$6:$D$405,('Istoric_Nativ'!$B$6:$B$405=B105)*('Istoric_Nativ'!$C$6:$C$405=C105)*('Istoric_Nativ'!$P$6:$P$405=1)*('Istoric_Nativ'!$D$6:$D$405&lt;INT(G105))*((('Istoric_Nativ'!$E$6:$E$405='Input_Meci'!E105)+('Istoric_Nativ'!$F$6:$F$405='Input_Meci'!E105))&gt;0)),MIN(20,Q105)))</x:f>
        <x:v>0</x:v>
      </x:c>
      <x:c r="BQ105" s="2" t="str">
        <x:f>IF(A105="","",IF(AND(COUNTIF(MatchesTable[Match_ID],A105)=1,COUNTIFS(MatchesTable[League],B105,MatchesTable[Season],C105,MatchesTable[Home],'Input_Meci'!D105,MatchesTable[Away],'Input_Meci'!E105,MatchesTable[Kickoff_UTC],F105)=1,B105&lt;&gt;"",C105&lt;&gt;"",'Input_Meci'!D105&lt;&gt;"",'Input_Meci'!E105&lt;&gt;"",'Input_Meci'!D105&lt;&gt;'Input_Meci'!E105,ISNUMBER(F105),ISNUMBER(G105),G105&lt;F105,OR(E105="LIVE",E105="REPLAY"),OR('Input_Meci'!L105="YES",'Input_Meci'!L105="NO",'Input_Meci'!L105="")),"VALID","INVALID"))</x:f>
      </x:c>
      <x:c r="BR105" s="2" t="n">
        <x:f>IF(I105&lt;&gt;"PASS",0,SUMPRODUCT(('Istoric_Nativ'!$B$6:$B$405='Input_Meci'!B105)*('Istoric_Nativ'!$C$6:$C$405='Input_Meci'!C105)*('Istoric_Nativ'!$P$6:$P$405=1)*('Istoric_Nativ'!$D$6:$D$405&lt;INT('Input_Meci'!G105))*((('Istoric_Nativ'!$E$6:$E$405='Input_Meci'!D105)+('Istoric_Nativ'!$F$6:$F$405='Input_Meci'!E105))&gt;0)))</x:f>
        <x:v>0</x:v>
      </x:c>
      <x:c r="BS105" s="2" t="n">
        <x:f>IF(I105&lt;&gt;"PASS",0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BM105)+((('Istoric_Nativ'!$E$6:$E$405='Input_Meci'!E105)+('Istoric_Nativ'!$F$6:$F$405='Input_Meci'!E105))&gt;0)*('Istoric_Nativ'!$D$6:$D$405&gt;=BN105))&gt;0)))</x:f>
        <x:v>0</x:v>
      </x:c>
      <x:c r="BT105" s="2" t="n">
        <x:f>IF(I105&lt;&gt;"PASS",0,SUMPRODUCT(('Istoric_Nativ'!$B$6:$B$405='Input_Meci'!B105)*('Istoric_Nativ'!$C$6:$C$405='Input_Meci'!C105)*('Istoric_Nativ'!$P$6:$P$405=1)*('Istoric_Nativ'!$D$6:$D$405&lt;INT('Input_Meci'!G105))*((((('Istoric_Nativ'!$E$6:$E$405='Input_Meci'!D105)+('Istoric_Nativ'!$F$6:$F$405='Input_Meci'!D105))&gt;0)*('Istoric_Nativ'!$D$6:$D$405&gt;=BO105)+((('Istoric_Nativ'!$E$6:$E$405='Input_Meci'!E105)+('Istoric_Nativ'!$F$6:$F$405='Input_Meci'!E105))&gt;0)*('Istoric_Nativ'!$D$6:$D$405&gt;=BP105))&gt;0)))</x:f>
        <x:v>0</x:v>
      </x:c>
    </x:row>
  </x:sheetData>
  <x:conditionalFormatting sqref="H6:J105">
    <x:cfRule type="containsText" dxfId="5" priority="1" operator="containsText" text="NOT RELEASED"/>
    <x:cfRule type="containsText" dxfId="6" priority="2" operator="containsText" text="NO BET"/>
    <x:cfRule type="containsText" dxfId="7" priority="3" operator="containsText" text="INVALID"/>
    <x:cfRule type="containsText" dxfId="8" priority="4" operator="containsText" text="SOURCE CONFLICT"/>
    <x:cfRule type="containsText" dxfId="9" priority="5" operator="containsText" text="DEFENSIV"/>
  </x:conditionalFormatting>
  <x:pageMargins left="0.7" right="0.7" top="0.75" bottom="0.75" header="0.3" footer="0.3"/>
  <x:tableParts count="1">
    <x:tablePart xmlns:r="http://schemas.openxmlformats.org/officeDocument/2006/relationships" r:id="Rc3f6194a28e944e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23" hidden="0" customWidth="1"/>
    <x:col min="19" max="19" width="23" hidden="0" customWidth="1"/>
    <x:col min="20" max="20" width="23" hidden="0" customWidth="1"/>
    <x:col min="21" max="21" width="9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1" customHeight="1">
      <x:c r="A2" s="3" t="str">
        <x:v>MEDII NATIVE ȘI EȘANTIOANE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46" customHeight="1">
      <x:c r="A5" s="6" t="str">
        <x:v>Slot</x:v>
      </x:c>
      <x:c r="B5" s="6" t="str">
        <x:v>Match_ID</x:v>
      </x:c>
      <x:c r="C5" s="6" t="str">
        <x:v>Side</x:v>
      </x:c>
      <x:c r="D5" s="6" t="str">
        <x:v>Role</x:v>
      </x:c>
      <x:c r="E5" s="6" t="str">
        <x:v>League</x:v>
      </x:c>
      <x:c r="F5" s="6" t="str">
        <x:v>Season</x:v>
      </x:c>
      <x:c r="G5" s="6" t="str">
        <x:v>Team</x:v>
      </x:c>
      <x:c r="H5" s="6" t="str">
        <x:v>Split</x:v>
      </x:c>
      <x:c r="I5" s="6" t="str">
        <x:v>Period</x:v>
      </x:c>
      <x:c r="J5" s="6" t="str">
        <x:v>Before_Date</x:v>
      </x:c>
      <x:c r="K5" s="6" t="str">
        <x:v>N_scope</x:v>
      </x:c>
      <x:c r="L5" s="6" t="str">
        <x:v>Recent_From</x:v>
      </x:c>
      <x:c r="M5" s="6" t="str">
        <x:v>N</x:v>
      </x:c>
      <x:c r="N5" s="6" t="str">
        <x:v>Corners_For</x:v>
      </x:c>
      <x:c r="O5" s="6" t="str">
        <x:v>Corners_Against</x:v>
      </x:c>
      <x:c r="P5" s="6" t="str">
        <x:v>Target_N</x:v>
      </x:c>
      <x:c r="Q5" s="6" t="str">
        <x:v>Source_Row</x:v>
      </x:c>
      <x:c r="R5" s="6" t="str">
        <x:v>Source_State</x:v>
      </x:c>
      <x:c r="S5" s="6" t="str">
        <x:v>Problem_Rows</x:v>
      </x:c>
      <x:c r="T5" s="6" t="str">
        <x:v>Data_Status</x:v>
      </x:c>
      <x:c r="U5" s="6" t="str">
        <x:v>Trace</x:v>
      </x:c>
    </x:row>
    <x:row r="6" ht="21" customHeight="1">
      <x:c r="A6" s="2" t="n">
        <x:v>1</x:v>
      </x:c>
      <x:c r="B6" s="2" t="str">
        <x:f>IF('Input_Meci'!A6="","",'Input_Meci'!A6)</x:f>
        <x:v>REPLAY_1</x:v>
      </x:c>
      <x:c r="C6" s="2" t="str">
        <x:v>H</x:v>
      </x:c>
      <x:c r="D6" s="2" t="str">
        <x:v>CURRENT</x:v>
      </x:c>
      <x:c r="E6" s="2" t="str">
        <x:f>IF(B6="","",'Input_Meci'!B6)</x:f>
        <x:v>E0</x:v>
      </x:c>
      <x:c r="F6" s="2" t="str">
        <x:f>IF(B6="","",IF('Input_Meci'!C6="","",'Input_Meci'!C6))</x:f>
        <x:v>2025/26</x:v>
      </x:c>
      <x:c r="G6" s="2" t="str">
        <x:f>IF(B6="","",'Input_Meci'!D6)</x:f>
        <x:v>Brighton</x:v>
      </x:c>
      <x:c r="H6" s="2" t="str">
        <x:v>ANY</x:v>
      </x:c>
      <x:c r="I6" s="2" t="str">
        <x:v>SEASON</x:v>
      </x:c>
      <x:c r="J6" s="9" t="n">
        <x:f>IF(AND(B6&lt;&gt;"",ISNUMBER('Input_Meci'!G6)),INT('Input_Meci'!G6),0)</x:f>
        <x:v>46165</x:v>
      </x:c>
      <x:c r="K6" s="2" t="n">
        <x:f>IF(OR(B6="",F6=""),0,IF(H6="HOME",COUNTIFS('Istoric_Nativ'!$B$6:$B$405,E6,'Istoric_Nativ'!$C$6:$C$405,F6,'Istoric_Nativ'!$E$6:$E$405,G6,'Istoric_Nativ'!$D$6:$D$405,"&lt;"&amp;J6,'Istoric_Nativ'!$P$6:$P$405,1),IF(H6="AWAY",COUNTIFS('Istoric_Nativ'!$B$6:$B$405,E6,'Istoric_Nativ'!$C$6:$C$405,F6,'Istoric_Nativ'!$F$6:$F$405,G6,'Istoric_Nativ'!$D$6:$D$405,"&lt;"&amp;J6,'Istoric_Nativ'!$P$6:$P$405,1),COUNTIFS('Istoric_Nativ'!$B$6:$B$405,E6,'Istoric_Nativ'!$C$6:$C$405,F6,'Istoric_Nativ'!$E$6:$E$405,G6,'Istoric_Nativ'!$D$6:$D$405,"&lt;"&amp;J6,'Istoric_Nativ'!$P$6:$P$405,1)+COUNTIFS('Istoric_Nativ'!$B$6:$B$405,E6,'Istoric_Nativ'!$C$6:$C$405,F6,'Istoric_Nativ'!$F$6:$F$405,G6,'Istoric_Nativ'!$D$6:$D$405,"&lt;"&amp;J6,'Istoric_Nativ'!$P$6:$P$405,1))))</x:f>
        <x:v>37</x:v>
      </x:c>
      <x:c r="L6" s="17" t="n">
        <x:f>IF(AND(B6&lt;&gt;"",I6="RECENT",K6&gt;0),LARGE(_xlfn._xlws.FILTER('Istoric_Nativ'!$D$6:$D$405,('Istoric_Nativ'!$B$6:$B$405=E6)*('Istoric_Nativ'!$C$6:$C$405=F6)*('Istoric_Nativ'!$P$6:$P$405=1)*('Istoric_Nativ'!$D$6:$D$405&lt;J6)*((('Istoric_Nativ'!$E$6:$E$405=G6)+('Istoric_Nativ'!$F$6:$F$405=G6))&gt;0)),MIN('Config_v6'!$B$54,K6)),0)</x:f>
        <x:v>0</x:v>
      </x:c>
      <x:c r="M6" s="2" t="n">
        <x:f>IF(OR(B6="",F6=""),0,IF(H6="HOME",COUNTIFS('Istoric_Nativ'!$B$6:$B$405,E6,'Istoric_Nativ'!$C$6:$C$405,F6,'Istoric_Nativ'!$E$6:$E$405,G6,'Istoric_Nativ'!$D$6:$D$405,"&lt;"&amp;J6,'Istoric_Nativ'!$P$6:$P$405,1,'Istoric_Nativ'!$D$6:$D$405,"&gt;="&amp;L6),IF(H6="AWAY",COUNTIFS('Istoric_Nativ'!$B$6:$B$405,E6,'Istoric_Nativ'!$C$6:$C$405,F6,'Istoric_Nativ'!$F$6:$F$405,G6,'Istoric_Nativ'!$D$6:$D$405,"&lt;"&amp;J6,'Istoric_Nativ'!$P$6:$P$405,1,'Istoric_Nativ'!$D$6:$D$405,"&gt;="&amp;L6),COUNTIFS('Istoric_Nativ'!$B$6:$B$405,E6,'Istoric_Nativ'!$C$6:$C$405,F6,'Istoric_Nativ'!$E$6:$E$405,G6,'Istoric_Nativ'!$D$6:$D$405,"&lt;"&amp;J6,'Istoric_Nativ'!$P$6:$P$405,1,'Istoric_Nativ'!$D$6:$D$405,"&gt;="&amp;L6)+COUNTIFS('Istoric_Nativ'!$B$6:$B$405,E6,'Istoric_Nativ'!$C$6:$C$405,F6,'Istoric_Nativ'!$F$6:$F$405,G6,'Istoric_Nativ'!$D$6:$D$405,"&lt;"&amp;J6,'Istoric_Nativ'!$P$6:$P$405,1,'Istoric_Nativ'!$D$6:$D$405,"&gt;="&amp;L6))))</x:f>
        <x:v>37</x:v>
      </x:c>
      <x:c r="N6" s="11" t="n">
        <x:f>IF(M6=0,"",IF(H6="HOME",SUMIFS('Istoric_Nativ'!$G$6:$G$405,'Istoric_Nativ'!$B$6:$B$405,E6,'Istoric_Nativ'!$C$6:$C$405,F6,'Istoric_Nativ'!$E$6:$E$405,G6,'Istoric_Nativ'!$D$6:$D$405,"&lt;"&amp;J6,'Istoric_Nativ'!$P$6:$P$405,1,'Istoric_Nativ'!$D$6:$D$405,"&gt;="&amp;L6),IF(H6="AWAY",SUMIFS('Istoric_Nativ'!$H$6:$H$405,'Istoric_Nativ'!$B$6:$B$405,E6,'Istoric_Nativ'!$C$6:$C$405,F6,'Istoric_Nativ'!$F$6:$F$405,G6,'Istoric_Nativ'!$D$6:$D$405,"&lt;"&amp;J6,'Istoric_Nativ'!$P$6:$P$405,1,'Istoric_Nativ'!$D$6:$D$405,"&gt;="&amp;L6),SUMIFS('Istoric_Nativ'!$G$6:$G$405,'Istoric_Nativ'!$B$6:$B$405,E6,'Istoric_Nativ'!$C$6:$C$405,F6,'Istoric_Nativ'!$E$6:$E$405,G6,'Istoric_Nativ'!$D$6:$D$405,"&lt;"&amp;J6,'Istoric_Nativ'!$P$6:$P$405,1,'Istoric_Nativ'!$D$6:$D$405,"&gt;="&amp;L6)+SUMIFS('Istoric_Nativ'!$H$6:$H$405,'Istoric_Nativ'!$B$6:$B$405,E6,'Istoric_Nativ'!$C$6:$C$405,F6,'Istoric_Nativ'!$F$6:$F$405,G6,'Istoric_Nativ'!$D$6:$D$405,"&lt;"&amp;J6,'Istoric_Nativ'!$P$6:$P$405,1,'Istoric_Nativ'!$D$6:$D$405,"&gt;="&amp;L6)))/M6)</x:f>
        <x:v>5</x:v>
      </x:c>
      <x:c r="O6" s="11" t="n">
        <x:f>IF(M6=0,"",IF(H6="HOME",SUMIFS('Istoric_Nativ'!$H$6:$H$405,'Istoric_Nativ'!$B$6:$B$405,E6,'Istoric_Nativ'!$C$6:$C$405,F6,'Istoric_Nativ'!$E$6:$E$405,G6,'Istoric_Nativ'!$D$6:$D$405,"&lt;"&amp;J6,'Istoric_Nativ'!$P$6:$P$405,1,'Istoric_Nativ'!$D$6:$D$405,"&gt;="&amp;L6),IF(H6="AWAY",SUMIFS('Istoric_Nativ'!$G$6:$G$405,'Istoric_Nativ'!$B$6:$B$405,E6,'Istoric_Nativ'!$C$6:$C$405,F6,'Istoric_Nativ'!$F$6:$F$405,G6,'Istoric_Nativ'!$D$6:$D$405,"&lt;"&amp;J6,'Istoric_Nativ'!$P$6:$P$405,1,'Istoric_Nativ'!$D$6:$D$405,"&gt;="&amp;L6),SUMIFS('Istoric_Nativ'!$H$6:$H$405,'Istoric_Nativ'!$B$6:$B$405,E6,'Istoric_Nativ'!$C$6:$C$405,F6,'Istoric_Nativ'!$E$6:$E$405,G6,'Istoric_Nativ'!$D$6:$D$405,"&lt;"&amp;J6,'Istoric_Nativ'!$P$6:$P$405,1,'Istoric_Nativ'!$D$6:$D$405,"&gt;="&amp;L6)+SUMIFS('Istoric_Nativ'!$G$6:$G$405,'Istoric_Nativ'!$B$6:$B$405,E6,'Istoric_Nativ'!$C$6:$C$405,F6,'Istoric_Nativ'!$F$6:$F$405,G6,'Istoric_Nativ'!$D$6:$D$405,"&lt;"&amp;J6,'Istoric_Nativ'!$P$6:$P$405,1,'Istoric_Nativ'!$D$6:$D$405,"&gt;="&amp;L6)))/M6)</x:f>
        <x:v>4.864864864864865</x:v>
      </x:c>
      <x:c r="P6" s="2" t="n">
        <x:f>'Config_v6'!$B$7</x:f>
        <x:v>10</x:v>
      </x:c>
      <x:c r="Q6" s="2" t="n">
        <x:f>IF(OR(B6="",F6=""),0,IFERROR(MATCH(E6&amp;"|"&amp;F6,SourceTable[Source_Key],0),0))</x:f>
        <x:v>1</x:v>
      </x:c>
      <x:c r="R6" s="2" t="str">
        <x:f>IF(B6="","",IF(F6="","UNUSED",IF(Q6=0,"NOT CHECKED",IF(COUNTIF(SourceTable[Source_Key],E6&amp;"|"&amp;F6)&lt;&gt;1,"SOURCE CONFLICT",IF(NOT(OR(INDEX(SourceTable[Status],MAX(1,Q6))="IMPORTED",INDEX(SourceTable[Status],MAX(1,Q6))="PARTIAL",INDEX(SourceTable[Status],MAX(1,Q6))="SOURCE CONFLICT")),"ACCESS BLOCKED",IF(OR(INDEX(SourceTable[Coverage],Q6)&lt;&gt;"FULL SEASON EXPORT",INDEX(SourceTable[URL],Q6)="",INDEX(SourceTable[SHA256],Q6)=""),"EVIDENCE INCOMPLETE",IF(AND('Input_Meci'!H6="LIVE",INDEX(SourceTable[Retrieved_UTC],Q6)&gt;'Input_Meci'!G6),"POST CUTOFF","CLOSED")))))))</x:f>
        <x:v>CLOSED</x:v>
      </x:c>
      <x:c r="S6" s="2" t="n">
        <x:f>IF(OR(B6="",F6=""),0,COUNTIFS('Istoric_Nativ'!$B$6:$B$405,E6,'Istoric_Nativ'!$C$6:$C$405,F6,'Istoric_Nativ'!$E$6:$E$405,G6,'Istoric_Nativ'!$D$6:$D$405,"&lt;"&amp;J6,'Istoric_Nativ'!$O$6:$O$405,"INVALID")+COUNTIFS('Istoric_Nativ'!$B$6:$B$405,E6,'Istoric_Nativ'!$C$6:$C$405,F6,'Istoric_Nativ'!$E$6:$E$405,G6,'Istoric_Nativ'!$O$6:$O$405,"INVALID",'Istoric_Nativ'!$D$6:$D$405,"*")+COUNTIFS('Istoric_Nativ'!$B$6:$B$405,E6,'Istoric_Nativ'!$C$6:$C$405,F6,'Istoric_Nativ'!$E$6:$E$405,G6,'Istoric_Nativ'!$D$6:$D$405,"&lt;"&amp;J6,'Istoric_Nativ'!$O$6:$O$405,"SOURCE CONFLICT")+COUNTIFS('Istoric_Nativ'!$B$6:$B$405,E6,'Istoric_Nativ'!$C$6:$C$405,F6,'Istoric_Nativ'!$F$6:$F$405,G6,'Istoric_Nativ'!$D$6:$D$405,"&lt;"&amp;J6,'Istoric_Nativ'!$O$6:$O$405,"INVALID")+COUNTIFS('Istoric_Nativ'!$B$6:$B$405,E6,'Istoric_Nativ'!$C$6:$C$405,F6,'Istoric_Nativ'!$F$6:$F$405,G6,'Istoric_Nativ'!$O$6:$O$405,"INVALID",'Istoric_Nativ'!$D$6:$D$405,"*")+COUNTIFS('Istoric_Nativ'!$B$6:$B$405,E6,'Istoric_Nativ'!$C$6:$C$405,F6,'Istoric_Nativ'!$F$6:$F$405,G6,'Istoric_Nativ'!$D$6:$D$405,"&lt;"&amp;J6,'Istoric_Nativ'!$O$6:$O$405,"SOURCE CONFLICT"))</x:f>
        <x:v>0</x:v>
      </x:c>
      <x:c r="T6" s="2" t="str">
        <x:f>IF(B6="","",IF(R6&lt;&gt;"CLOSED",R6,IF(S6&gt;0,"NATIVE INPUT ISSUE",IF(M6=0,"NO HISTORY",IF(M6&lt;P6,"SMALL SAMPLE","DERIVED")))))</x:f>
        <x:v>DERIVED</x:v>
      </x:c>
      <x:c r="U6" s="2" t="str">
        <x:f>IF(B6="","","NativeTable; "&amp;E6&amp;"; "&amp;F6&amp;"; "&amp;G6&amp;"; "&amp;H6&amp;"; before "&amp;TEXT(J6,"yyyy-mm-dd")&amp;IF(I6="RECENT","; from "&amp;TEXT(L6,"yyyy-mm-dd"),""))</x:f>
        <x:v>NativeTable; E0; 2025/26; Brighton; ANY; before 2026-05-23</x:v>
      </x:c>
    </x:row>
    <x:row r="7" ht="21" customHeight="1">
      <x:c r="A7" s="2" t="n">
        <x:v>1</x:v>
      </x:c>
      <x:c r="B7" s="2" t="str">
        <x:f>IF('Input_Meci'!A6="","",'Input_Meci'!A6)</x:f>
        <x:v>REPLAY_1</x:v>
      </x:c>
      <x:c r="C7" s="2" t="str">
        <x:v>H</x:v>
      </x:c>
      <x:c r="D7" s="2" t="str">
        <x:v>CURRENT</x:v>
      </x:c>
      <x:c r="E7" s="2" t="str">
        <x:f>IF(B7="","",'Input_Meci'!B6)</x:f>
        <x:v>E0</x:v>
      </x:c>
      <x:c r="F7" s="2" t="str">
        <x:f>IF(B7="","",IF('Input_Meci'!C6="","",'Input_Meci'!C6))</x:f>
        <x:v>2025/26</x:v>
      </x:c>
      <x:c r="G7" s="2" t="str">
        <x:f>IF(B7="","",'Input_Meci'!D6)</x:f>
        <x:v>Brighton</x:v>
      </x:c>
      <x:c r="H7" s="2" t="str">
        <x:v>HOME</x:v>
      </x:c>
      <x:c r="I7" s="2" t="str">
        <x:v>HA</x:v>
      </x:c>
      <x:c r="J7" s="9" t="n">
        <x:f>IF(AND(B7&lt;&gt;"",ISNUMBER('Input_Meci'!G6)),INT('Input_Meci'!G6),0)</x:f>
        <x:v>46165</x:v>
      </x:c>
      <x:c r="K7" s="2" t="n">
        <x:f>IF(OR(B7="",F7=""),0,IF(H7="HOME",COUNTIFS('Istoric_Nativ'!$B$6:$B$405,E7,'Istoric_Nativ'!$C$6:$C$405,F7,'Istoric_Nativ'!$E$6:$E$405,G7,'Istoric_Nativ'!$D$6:$D$405,"&lt;"&amp;J7,'Istoric_Nativ'!$P$6:$P$405,1),IF(H7="AWAY",COUNTIFS('Istoric_Nativ'!$B$6:$B$405,E7,'Istoric_Nativ'!$C$6:$C$405,F7,'Istoric_Nativ'!$F$6:$F$405,G7,'Istoric_Nativ'!$D$6:$D$405,"&lt;"&amp;J7,'Istoric_Nativ'!$P$6:$P$405,1),COUNTIFS('Istoric_Nativ'!$B$6:$B$405,E7,'Istoric_Nativ'!$C$6:$C$405,F7,'Istoric_Nativ'!$E$6:$E$405,G7,'Istoric_Nativ'!$D$6:$D$405,"&lt;"&amp;J7,'Istoric_Nativ'!$P$6:$P$405,1)+COUNTIFS('Istoric_Nativ'!$B$6:$B$405,E7,'Istoric_Nativ'!$C$6:$C$405,F7,'Istoric_Nativ'!$F$6:$F$405,G7,'Istoric_Nativ'!$D$6:$D$405,"&lt;"&amp;J7,'Istoric_Nativ'!$P$6:$P$405,1))))</x:f>
        <x:v>18</x:v>
      </x:c>
      <x:c r="L7" s="17" t="n">
        <x:f>IF(AND(B7&lt;&gt;"",I7="RECENT",K7&gt;0),LARGE(_xlfn._xlws.FILTER('Istoric_Nativ'!$D$6:$D$405,('Istoric_Nativ'!$B$6:$B$405=E7)*('Istoric_Nativ'!$C$6:$C$405=F7)*('Istoric_Nativ'!$P$6:$P$405=1)*('Istoric_Nativ'!$D$6:$D$405&lt;J7)*((('Istoric_Nativ'!$E$6:$E$405=G7)+('Istoric_Nativ'!$F$6:$F$405=G7))&gt;0)),MIN('Config_v6'!$B$54,K7)),0)</x:f>
        <x:v>0</x:v>
      </x:c>
      <x:c r="M7" s="2" t="n">
        <x:f>IF(OR(B7="",F7=""),0,IF(H7="HOME",COUNTIFS('Istoric_Nativ'!$B$6:$B$405,E7,'Istoric_Nativ'!$C$6:$C$405,F7,'Istoric_Nativ'!$E$6:$E$405,G7,'Istoric_Nativ'!$D$6:$D$405,"&lt;"&amp;J7,'Istoric_Nativ'!$P$6:$P$405,1,'Istoric_Nativ'!$D$6:$D$405,"&gt;="&amp;L7),IF(H7="AWAY",COUNTIFS('Istoric_Nativ'!$B$6:$B$405,E7,'Istoric_Nativ'!$C$6:$C$405,F7,'Istoric_Nativ'!$F$6:$F$405,G7,'Istoric_Nativ'!$D$6:$D$405,"&lt;"&amp;J7,'Istoric_Nativ'!$P$6:$P$405,1,'Istoric_Nativ'!$D$6:$D$405,"&gt;="&amp;L7),COUNTIFS('Istoric_Nativ'!$B$6:$B$405,E7,'Istoric_Nativ'!$C$6:$C$405,F7,'Istoric_Nativ'!$E$6:$E$405,G7,'Istoric_Nativ'!$D$6:$D$405,"&lt;"&amp;J7,'Istoric_Nativ'!$P$6:$P$405,1,'Istoric_Nativ'!$D$6:$D$405,"&gt;="&amp;L7)+COUNTIFS('Istoric_Nativ'!$B$6:$B$405,E7,'Istoric_Nativ'!$C$6:$C$405,F7,'Istoric_Nativ'!$F$6:$F$405,G7,'Istoric_Nativ'!$D$6:$D$405,"&lt;"&amp;J7,'Istoric_Nativ'!$P$6:$P$405,1,'Istoric_Nativ'!$D$6:$D$405,"&gt;="&amp;L7))))</x:f>
        <x:v>18</x:v>
      </x:c>
      <x:c r="N7" s="11" t="n">
        <x:f>IF(M7=0,"",IF(H7="HOME",SUMIFS('Istoric_Nativ'!$G$6:$G$405,'Istoric_Nativ'!$B$6:$B$405,E7,'Istoric_Nativ'!$C$6:$C$405,F7,'Istoric_Nativ'!$E$6:$E$405,G7,'Istoric_Nativ'!$D$6:$D$405,"&lt;"&amp;J7,'Istoric_Nativ'!$P$6:$P$405,1,'Istoric_Nativ'!$D$6:$D$405,"&gt;="&amp;L7),IF(H7="AWAY",SUMIFS('Istoric_Nativ'!$H$6:$H$405,'Istoric_Nativ'!$B$6:$B$405,E7,'Istoric_Nativ'!$C$6:$C$405,F7,'Istoric_Nativ'!$F$6:$F$405,G7,'Istoric_Nativ'!$D$6:$D$405,"&lt;"&amp;J7,'Istoric_Nativ'!$P$6:$P$405,1,'Istoric_Nativ'!$D$6:$D$405,"&gt;="&amp;L7),SUMIFS('Istoric_Nativ'!$G$6:$G$405,'Istoric_Nativ'!$B$6:$B$405,E7,'Istoric_Nativ'!$C$6:$C$405,F7,'Istoric_Nativ'!$E$6:$E$405,G7,'Istoric_Nativ'!$D$6:$D$405,"&lt;"&amp;J7,'Istoric_Nativ'!$P$6:$P$405,1,'Istoric_Nativ'!$D$6:$D$405,"&gt;="&amp;L7)+SUMIFS('Istoric_Nativ'!$H$6:$H$405,'Istoric_Nativ'!$B$6:$B$405,E7,'Istoric_Nativ'!$C$6:$C$405,F7,'Istoric_Nativ'!$F$6:$F$405,G7,'Istoric_Nativ'!$D$6:$D$405,"&lt;"&amp;J7,'Istoric_Nativ'!$P$6:$P$405,1,'Istoric_Nativ'!$D$6:$D$405,"&gt;="&amp;L7)))/M7)</x:f>
        <x:v>5.222222222222222</x:v>
      </x:c>
      <x:c r="O7" s="11" t="n">
        <x:f>IF(M7=0,"",IF(H7="HOME",SUMIFS('Istoric_Nativ'!$H$6:$H$405,'Istoric_Nativ'!$B$6:$B$405,E7,'Istoric_Nativ'!$C$6:$C$405,F7,'Istoric_Nativ'!$E$6:$E$405,G7,'Istoric_Nativ'!$D$6:$D$405,"&lt;"&amp;J7,'Istoric_Nativ'!$P$6:$P$405,1,'Istoric_Nativ'!$D$6:$D$405,"&gt;="&amp;L7),IF(H7="AWAY",SUMIFS('Istoric_Nativ'!$G$6:$G$405,'Istoric_Nativ'!$B$6:$B$405,E7,'Istoric_Nativ'!$C$6:$C$405,F7,'Istoric_Nativ'!$F$6:$F$405,G7,'Istoric_Nativ'!$D$6:$D$405,"&lt;"&amp;J7,'Istoric_Nativ'!$P$6:$P$405,1,'Istoric_Nativ'!$D$6:$D$405,"&gt;="&amp;L7),SUMIFS('Istoric_Nativ'!$H$6:$H$405,'Istoric_Nativ'!$B$6:$B$405,E7,'Istoric_Nativ'!$C$6:$C$405,F7,'Istoric_Nativ'!$E$6:$E$405,G7,'Istoric_Nativ'!$D$6:$D$405,"&lt;"&amp;J7,'Istoric_Nativ'!$P$6:$P$405,1,'Istoric_Nativ'!$D$6:$D$405,"&gt;="&amp;L7)+SUMIFS('Istoric_Nativ'!$G$6:$G$405,'Istoric_Nativ'!$B$6:$B$405,E7,'Istoric_Nativ'!$C$6:$C$405,F7,'Istoric_Nativ'!$F$6:$F$405,G7,'Istoric_Nativ'!$D$6:$D$405,"&lt;"&amp;J7,'Istoric_Nativ'!$P$6:$P$405,1,'Istoric_Nativ'!$D$6:$D$405,"&gt;="&amp;L7)))/M7)</x:f>
        <x:v>4.611111111111111</x:v>
      </x:c>
      <x:c r="P7" s="2" t="n">
        <x:f>'Config_v6'!$B$8</x:f>
        <x:v>5</x:v>
      </x:c>
      <x:c r="Q7" s="2" t="n">
        <x:f>IF(OR(B7="",F7=""),0,IFERROR(MATCH(E7&amp;"|"&amp;F7,SourceTable[Source_Key],0),0))</x:f>
        <x:v>1</x:v>
      </x:c>
      <x:c r="R7" s="2" t="str">
        <x:f>IF(B7="","",IF(F7="","UNUSED",IF(Q7=0,"NOT CHECKED",IF(COUNTIF(SourceTable[Source_Key],E7&amp;"|"&amp;F7)&lt;&gt;1,"SOURCE CONFLICT",IF(NOT(OR(INDEX(SourceTable[Status],MAX(1,Q7))="IMPORTED",INDEX(SourceTable[Status],MAX(1,Q7))="PARTIAL",INDEX(SourceTable[Status],MAX(1,Q7))="SOURCE CONFLICT")),"ACCESS BLOCKED",IF(OR(INDEX(SourceTable[Coverage],Q7)&lt;&gt;"FULL SEASON EXPORT",INDEX(SourceTable[URL],Q7)="",INDEX(SourceTable[SHA256],Q7)=""),"EVIDENCE INCOMPLETE",IF(AND('Input_Meci'!H6="LIVE",INDEX(SourceTable[Retrieved_UTC],Q7)&gt;'Input_Meci'!G6),"POST CUTOFF","CLOSED")))))))</x:f>
        <x:v>CLOSED</x:v>
      </x:c>
      <x:c r="S7" s="2" t="n">
        <x:f>IF(OR(B7="",F7=""),0,COUNTIFS('Istoric_Nativ'!$B$6:$B$405,E7,'Istoric_Nativ'!$C$6:$C$405,F7,'Istoric_Nativ'!$E$6:$E$405,G7,'Istoric_Nativ'!$D$6:$D$405,"&lt;"&amp;J7,'Istoric_Nativ'!$O$6:$O$405,"INVALID")+COUNTIFS('Istoric_Nativ'!$B$6:$B$405,E7,'Istoric_Nativ'!$C$6:$C$405,F7,'Istoric_Nativ'!$E$6:$E$405,G7,'Istoric_Nativ'!$O$6:$O$405,"INVALID",'Istoric_Nativ'!$D$6:$D$405,"*")+COUNTIFS('Istoric_Nativ'!$B$6:$B$405,E7,'Istoric_Nativ'!$C$6:$C$405,F7,'Istoric_Nativ'!$E$6:$E$405,G7,'Istoric_Nativ'!$D$6:$D$405,"&lt;"&amp;J7,'Istoric_Nativ'!$O$6:$O$405,"SOURCE CONFLICT")+COUNTIFS('Istoric_Nativ'!$B$6:$B$405,E7,'Istoric_Nativ'!$C$6:$C$405,F7,'Istoric_Nativ'!$F$6:$F$405,G7,'Istoric_Nativ'!$D$6:$D$405,"&lt;"&amp;J7,'Istoric_Nativ'!$O$6:$O$405,"INVALID")+COUNTIFS('Istoric_Nativ'!$B$6:$B$405,E7,'Istoric_Nativ'!$C$6:$C$405,F7,'Istoric_Nativ'!$F$6:$F$405,G7,'Istoric_Nativ'!$O$6:$O$405,"INVALID",'Istoric_Nativ'!$D$6:$D$405,"*")+COUNTIFS('Istoric_Nativ'!$B$6:$B$405,E7,'Istoric_Nativ'!$C$6:$C$405,F7,'Istoric_Nativ'!$F$6:$F$405,G7,'Istoric_Nativ'!$D$6:$D$405,"&lt;"&amp;J7,'Istoric_Nativ'!$O$6:$O$405,"SOURCE CONFLICT"))</x:f>
        <x:v>0</x:v>
      </x:c>
      <x:c r="T7" s="2" t="str">
        <x:f>IF(B7="","",IF(R7&lt;&gt;"CLOSED",R7,IF(S7&gt;0,"NATIVE INPUT ISSUE",IF(M7=0,"NO HISTORY",IF(M7&lt;P7,"SMALL SAMPLE","DERIVED")))))</x:f>
        <x:v>DERIVED</x:v>
      </x:c>
      <x:c r="U7" s="2" t="str">
        <x:f>IF(B7="","","NativeTable; "&amp;E7&amp;"; "&amp;F7&amp;"; "&amp;G7&amp;"; "&amp;H7&amp;"; before "&amp;TEXT(J7,"yyyy-mm-dd")&amp;IF(I7="RECENT","; from "&amp;TEXT(L7,"yyyy-mm-dd"),""))</x:f>
        <x:v>NativeTable; E0; 2025/26; Brighton; HOME; before 2026-05-23</x:v>
      </x:c>
    </x:row>
    <x:row r="8" ht="21" customHeight="1">
      <x:c r="A8" s="2" t="n">
        <x:v>1</x:v>
      </x:c>
      <x:c r="B8" s="2" t="str">
        <x:f>IF('Input_Meci'!A6="","",'Input_Meci'!A6)</x:f>
        <x:v>REPLAY_1</x:v>
      </x:c>
      <x:c r="C8" s="2" t="str">
        <x:v>H</x:v>
      </x:c>
      <x:c r="D8" s="2" t="str">
        <x:v>CURRENT</x:v>
      </x:c>
      <x:c r="E8" s="2" t="str">
        <x:f>IF(B8="","",'Input_Meci'!B6)</x:f>
        <x:v>E0</x:v>
      </x:c>
      <x:c r="F8" s="2" t="str">
        <x:f>IF(B8="","",IF('Input_Meci'!C6="","",'Input_Meci'!C6))</x:f>
        <x:v>2025/26</x:v>
      </x:c>
      <x:c r="G8" s="2" t="str">
        <x:f>IF(B8="","",'Input_Meci'!D6)</x:f>
        <x:v>Brighton</x:v>
      </x:c>
      <x:c r="H8" s="2" t="str">
        <x:v>ANY</x:v>
      </x:c>
      <x:c r="I8" s="2" t="str">
        <x:v>RECENT</x:v>
      </x:c>
      <x:c r="J8" s="9" t="n">
        <x:f>IF(AND(B8&lt;&gt;"",ISNUMBER('Input_Meci'!G6)),INT('Input_Meci'!G6),0)</x:f>
        <x:v>46165</x:v>
      </x:c>
      <x:c r="K8" s="2" t="n">
        <x:f>IF(OR(B8="",F8=""),0,IF(H8="HOME",COUNTIFS('Istoric_Nativ'!$B$6:$B$405,E8,'Istoric_Nativ'!$C$6:$C$405,F8,'Istoric_Nativ'!$E$6:$E$405,G8,'Istoric_Nativ'!$D$6:$D$405,"&lt;"&amp;J8,'Istoric_Nativ'!$P$6:$P$405,1),IF(H8="AWAY",COUNTIFS('Istoric_Nativ'!$B$6:$B$405,E8,'Istoric_Nativ'!$C$6:$C$405,F8,'Istoric_Nativ'!$F$6:$F$405,G8,'Istoric_Nativ'!$D$6:$D$405,"&lt;"&amp;J8,'Istoric_Nativ'!$P$6:$P$405,1),COUNTIFS('Istoric_Nativ'!$B$6:$B$405,E8,'Istoric_Nativ'!$C$6:$C$405,F8,'Istoric_Nativ'!$E$6:$E$405,G8,'Istoric_Nativ'!$D$6:$D$405,"&lt;"&amp;J8,'Istoric_Nativ'!$P$6:$P$405,1)+COUNTIFS('Istoric_Nativ'!$B$6:$B$405,E8,'Istoric_Nativ'!$C$6:$C$405,F8,'Istoric_Nativ'!$F$6:$F$405,G8,'Istoric_Nativ'!$D$6:$D$405,"&lt;"&amp;J8,'Istoric_Nativ'!$P$6:$P$405,1))))</x:f>
        <x:v>37</x:v>
      </x:c>
      <x:c r="L8" s="17" t="n">
        <x:f>IF(AND(B8&lt;&gt;"",I8="RECENT",K8&gt;0),LARGE(_xlfn._xlws.FILTER('Istoric_Nativ'!$D$6:$D$405,('Istoric_Nativ'!$B$6:$B$405=E8)*('Istoric_Nativ'!$C$6:$C$405=F8)*('Istoric_Nativ'!$P$6:$P$405=1)*('Istoric_Nativ'!$D$6:$D$405&lt;J8)*((('Istoric_Nativ'!$E$6:$E$405=G8)+('Istoric_Nativ'!$F$6:$F$405=G8))&gt;0)),MIN('Config_v6'!$B$54,K8)),0)</x:f>
        <x:v>46130</x:v>
      </x:c>
      <x:c r="M8" s="2" t="n">
        <x:f>IF(OR(B8="",F8=""),0,IF(H8="HOME",COUNTIFS('Istoric_Nativ'!$B$6:$B$405,E8,'Istoric_Nativ'!$C$6:$C$405,F8,'Istoric_Nativ'!$E$6:$E$405,G8,'Istoric_Nativ'!$D$6:$D$405,"&lt;"&amp;J8,'Istoric_Nativ'!$P$6:$P$405,1,'Istoric_Nativ'!$D$6:$D$405,"&gt;="&amp;L8),IF(H8="AWAY",COUNTIFS('Istoric_Nativ'!$B$6:$B$405,E8,'Istoric_Nativ'!$C$6:$C$405,F8,'Istoric_Nativ'!$F$6:$F$405,G8,'Istoric_Nativ'!$D$6:$D$405,"&lt;"&amp;J8,'Istoric_Nativ'!$P$6:$P$405,1,'Istoric_Nativ'!$D$6:$D$405,"&gt;="&amp;L8),COUNTIFS('Istoric_Nativ'!$B$6:$B$405,E8,'Istoric_Nativ'!$C$6:$C$405,F8,'Istoric_Nativ'!$E$6:$E$405,G8,'Istoric_Nativ'!$D$6:$D$405,"&lt;"&amp;J8,'Istoric_Nativ'!$P$6:$P$405,1,'Istoric_Nativ'!$D$6:$D$405,"&gt;="&amp;L8)+COUNTIFS('Istoric_Nativ'!$B$6:$B$405,E8,'Istoric_Nativ'!$C$6:$C$405,F8,'Istoric_Nativ'!$F$6:$F$405,G8,'Istoric_Nativ'!$D$6:$D$405,"&lt;"&amp;J8,'Istoric_Nativ'!$P$6:$P$405,1,'Istoric_Nativ'!$D$6:$D$405,"&gt;="&amp;L8))))</x:f>
        <x:v>5</x:v>
      </x:c>
      <x:c r="N8" s="11" t="n">
        <x:f>IF(M8=0,"",IF(H8="HOME",SUMIFS('Istoric_Nativ'!$G$6:$G$405,'Istoric_Nativ'!$B$6:$B$405,E8,'Istoric_Nativ'!$C$6:$C$405,F8,'Istoric_Nativ'!$E$6:$E$405,G8,'Istoric_Nativ'!$D$6:$D$405,"&lt;"&amp;J8,'Istoric_Nativ'!$P$6:$P$405,1,'Istoric_Nativ'!$D$6:$D$405,"&gt;="&amp;L8),IF(H8="AWAY",SUMIFS('Istoric_Nativ'!$H$6:$H$405,'Istoric_Nativ'!$B$6:$B$405,E8,'Istoric_Nativ'!$C$6:$C$405,F8,'Istoric_Nativ'!$F$6:$F$405,G8,'Istoric_Nativ'!$D$6:$D$405,"&lt;"&amp;J8,'Istoric_Nativ'!$P$6:$P$405,1,'Istoric_Nativ'!$D$6:$D$405,"&gt;="&amp;L8),SUMIFS('Istoric_Nativ'!$G$6:$G$405,'Istoric_Nativ'!$B$6:$B$405,E8,'Istoric_Nativ'!$C$6:$C$405,F8,'Istoric_Nativ'!$E$6:$E$405,G8,'Istoric_Nativ'!$D$6:$D$405,"&lt;"&amp;J8,'Istoric_Nativ'!$P$6:$P$405,1,'Istoric_Nativ'!$D$6:$D$405,"&gt;="&amp;L8)+SUMIFS('Istoric_Nativ'!$H$6:$H$405,'Istoric_Nativ'!$B$6:$B$405,E8,'Istoric_Nativ'!$C$6:$C$405,F8,'Istoric_Nativ'!$F$6:$F$405,G8,'Istoric_Nativ'!$D$6:$D$405,"&lt;"&amp;J8,'Istoric_Nativ'!$P$6:$P$405,1,'Istoric_Nativ'!$D$6:$D$405,"&gt;="&amp;L8)))/M8)</x:f>
        <x:v>7.2</x:v>
      </x:c>
      <x:c r="O8" s="11" t="n">
        <x:f>IF(M8=0,"",IF(H8="HOME",SUMIFS('Istoric_Nativ'!$H$6:$H$405,'Istoric_Nativ'!$B$6:$B$405,E8,'Istoric_Nativ'!$C$6:$C$405,F8,'Istoric_Nativ'!$E$6:$E$405,G8,'Istoric_Nativ'!$D$6:$D$405,"&lt;"&amp;J8,'Istoric_Nativ'!$P$6:$P$405,1,'Istoric_Nativ'!$D$6:$D$405,"&gt;="&amp;L8),IF(H8="AWAY",SUMIFS('Istoric_Nativ'!$G$6:$G$405,'Istoric_Nativ'!$B$6:$B$405,E8,'Istoric_Nativ'!$C$6:$C$405,F8,'Istoric_Nativ'!$F$6:$F$405,G8,'Istoric_Nativ'!$D$6:$D$405,"&lt;"&amp;J8,'Istoric_Nativ'!$P$6:$P$405,1,'Istoric_Nativ'!$D$6:$D$405,"&gt;="&amp;L8),SUMIFS('Istoric_Nativ'!$H$6:$H$405,'Istoric_Nativ'!$B$6:$B$405,E8,'Istoric_Nativ'!$C$6:$C$405,F8,'Istoric_Nativ'!$E$6:$E$405,G8,'Istoric_Nativ'!$D$6:$D$405,"&lt;"&amp;J8,'Istoric_Nativ'!$P$6:$P$405,1,'Istoric_Nativ'!$D$6:$D$405,"&gt;="&amp;L8)+SUMIFS('Istoric_Nativ'!$G$6:$G$405,'Istoric_Nativ'!$B$6:$B$405,E8,'Istoric_Nativ'!$C$6:$C$405,F8,'Istoric_Nativ'!$F$6:$F$405,G8,'Istoric_Nativ'!$D$6:$D$405,"&lt;"&amp;J8,'Istoric_Nativ'!$P$6:$P$405,1,'Istoric_Nativ'!$D$6:$D$405,"&gt;="&amp;L8)))/M8)</x:f>
        <x:v>4.4</x:v>
      </x:c>
      <x:c r="P8" s="2" t="n">
        <x:f>'Config_v6'!$B$9</x:f>
        <x:v>3</x:v>
      </x:c>
      <x:c r="Q8" s="2" t="n">
        <x:f>IF(OR(B8="",F8=""),0,IFERROR(MATCH(E8&amp;"|"&amp;F8,SourceTable[Source_Key],0),0))</x:f>
        <x:v>1</x:v>
      </x:c>
      <x:c r="R8" s="2" t="str">
        <x:f>IF(B8="","",IF(F8="","UNUSED",IF(Q8=0,"NOT CHECKED",IF(COUNTIF(SourceTable[Source_Key],E8&amp;"|"&amp;F8)&lt;&gt;1,"SOURCE CONFLICT",IF(NOT(OR(INDEX(SourceTable[Status],MAX(1,Q8))="IMPORTED",INDEX(SourceTable[Status],MAX(1,Q8))="PARTIAL",INDEX(SourceTable[Status],MAX(1,Q8))="SOURCE CONFLICT")),"ACCESS BLOCKED",IF(OR(INDEX(SourceTable[Coverage],Q8)&lt;&gt;"FULL SEASON EXPORT",INDEX(SourceTable[URL],Q8)="",INDEX(SourceTable[SHA256],Q8)=""),"EVIDENCE INCOMPLETE",IF(AND('Input_Meci'!H6="LIVE",INDEX(SourceTable[Retrieved_UTC],Q8)&gt;'Input_Meci'!G6),"POST CUTOFF","CLOSED")))))))</x:f>
        <x:v>CLOSED</x:v>
      </x:c>
      <x:c r="S8" s="2" t="n">
        <x:f>IF(OR(B8="",F8=""),0,COUNTIFS('Istoric_Nativ'!$B$6:$B$405,E8,'Istoric_Nativ'!$C$6:$C$405,F8,'Istoric_Nativ'!$E$6:$E$405,G8,'Istoric_Nativ'!$D$6:$D$405,"&lt;"&amp;J8,'Istoric_Nativ'!$O$6:$O$405,"INVALID")+COUNTIFS('Istoric_Nativ'!$B$6:$B$405,E8,'Istoric_Nativ'!$C$6:$C$405,F8,'Istoric_Nativ'!$E$6:$E$405,G8,'Istoric_Nativ'!$O$6:$O$405,"INVALID",'Istoric_Nativ'!$D$6:$D$405,"*")+COUNTIFS('Istoric_Nativ'!$B$6:$B$405,E8,'Istoric_Nativ'!$C$6:$C$405,F8,'Istoric_Nativ'!$E$6:$E$405,G8,'Istoric_Nativ'!$D$6:$D$405,"&lt;"&amp;J8,'Istoric_Nativ'!$O$6:$O$405,"SOURCE CONFLICT")+COUNTIFS('Istoric_Nativ'!$B$6:$B$405,E8,'Istoric_Nativ'!$C$6:$C$405,F8,'Istoric_Nativ'!$F$6:$F$405,G8,'Istoric_Nativ'!$D$6:$D$405,"&lt;"&amp;J8,'Istoric_Nativ'!$O$6:$O$405,"INVALID")+COUNTIFS('Istoric_Nativ'!$B$6:$B$405,E8,'Istoric_Nativ'!$C$6:$C$405,F8,'Istoric_Nativ'!$F$6:$F$405,G8,'Istoric_Nativ'!$O$6:$O$405,"INVALID",'Istoric_Nativ'!$D$6:$D$405,"*")+COUNTIFS('Istoric_Nativ'!$B$6:$B$405,E8,'Istoric_Nativ'!$C$6:$C$405,F8,'Istoric_Nativ'!$F$6:$F$405,G8,'Istoric_Nativ'!$D$6:$D$405,"&lt;"&amp;J8,'Istoric_Nativ'!$O$6:$O$405,"SOURCE CONFLICT"))</x:f>
        <x:v>0</x:v>
      </x:c>
      <x:c r="T8" s="2" t="str">
        <x:f>IF(B8="","",IF(R8&lt;&gt;"CLOSED",R8,IF(S8&gt;0,"NATIVE INPUT ISSUE",IF(M8=0,"NO HISTORY",IF(M8&lt;P8,"SMALL SAMPLE","DERIVED")))))</x:f>
        <x:v>DERIVED</x:v>
      </x:c>
      <x:c r="U8" s="2" t="str">
        <x:f>IF(B8="","","NativeTable; "&amp;E8&amp;"; "&amp;F8&amp;"; "&amp;G8&amp;"; "&amp;H8&amp;"; before "&amp;TEXT(J8,"yyyy-mm-dd")&amp;IF(I8="RECENT","; from "&amp;TEXT(L8,"yyyy-mm-dd"),""))</x:f>
        <x:v>NativeTable; E0; 2025/26; Brighton; ANY; before 2026-05-23; from 2026-04-18</x:v>
      </x:c>
    </x:row>
    <x:row r="9" ht="21" customHeight="1">
      <x:c r="A9" s="2" t="n">
        <x:v>1</x:v>
      </x:c>
      <x:c r="B9" s="2" t="str">
        <x:f>IF('Input_Meci'!A6="","",'Input_Meci'!A6)</x:f>
        <x:v>REPLAY_1</x:v>
      </x:c>
      <x:c r="C9" s="2" t="str">
        <x:v>A</x:v>
      </x:c>
      <x:c r="D9" s="2" t="str">
        <x:v>CURRENT</x:v>
      </x:c>
      <x:c r="E9" s="2" t="str">
        <x:f>IF(B9="","",'Input_Meci'!B6)</x:f>
        <x:v>E0</x:v>
      </x:c>
      <x:c r="F9" s="2" t="str">
        <x:f>IF(B9="","",IF('Input_Meci'!C6="","",'Input_Meci'!C6))</x:f>
        <x:v>2025/26</x:v>
      </x:c>
      <x:c r="G9" s="2" t="str">
        <x:f>IF(B9="","",'Input_Meci'!E6)</x:f>
        <x:v>Man United</x:v>
      </x:c>
      <x:c r="H9" s="2" t="str">
        <x:v>ANY</x:v>
      </x:c>
      <x:c r="I9" s="2" t="str">
        <x:v>SEASON</x:v>
      </x:c>
      <x:c r="J9" s="9" t="n">
        <x:f>IF(AND(B9&lt;&gt;"",ISNUMBER('Input_Meci'!G6)),INT('Input_Meci'!G6),0)</x:f>
        <x:v>46165</x:v>
      </x:c>
      <x:c r="K9" s="2" t="n">
        <x:f>IF(OR(B9="",F9=""),0,IF(H9="HOME",COUNTIFS('Istoric_Nativ'!$B$6:$B$405,E9,'Istoric_Nativ'!$C$6:$C$405,F9,'Istoric_Nativ'!$E$6:$E$405,G9,'Istoric_Nativ'!$D$6:$D$405,"&lt;"&amp;J9,'Istoric_Nativ'!$P$6:$P$405,1),IF(H9="AWAY",COUNTIFS('Istoric_Nativ'!$B$6:$B$405,E9,'Istoric_Nativ'!$C$6:$C$405,F9,'Istoric_Nativ'!$F$6:$F$405,G9,'Istoric_Nativ'!$D$6:$D$405,"&lt;"&amp;J9,'Istoric_Nativ'!$P$6:$P$405,1),COUNTIFS('Istoric_Nativ'!$B$6:$B$405,E9,'Istoric_Nativ'!$C$6:$C$405,F9,'Istoric_Nativ'!$E$6:$E$405,G9,'Istoric_Nativ'!$D$6:$D$405,"&lt;"&amp;J9,'Istoric_Nativ'!$P$6:$P$405,1)+COUNTIFS('Istoric_Nativ'!$B$6:$B$405,E9,'Istoric_Nativ'!$C$6:$C$405,F9,'Istoric_Nativ'!$F$6:$F$405,G9,'Istoric_Nativ'!$D$6:$D$405,"&lt;"&amp;J9,'Istoric_Nativ'!$P$6:$P$405,1))))</x:f>
        <x:v>37</x:v>
      </x:c>
      <x:c r="L9" s="17" t="n">
        <x:f>IF(AND(B9&lt;&gt;"",I9="RECENT",K9&gt;0),LARGE(_xlfn._xlws.FILTER('Istoric_Nativ'!$D$6:$D$405,('Istoric_Nativ'!$B$6:$B$405=E9)*('Istoric_Nativ'!$C$6:$C$405=F9)*('Istoric_Nativ'!$P$6:$P$405=1)*('Istoric_Nativ'!$D$6:$D$405&lt;J9)*((('Istoric_Nativ'!$E$6:$E$405=G9)+('Istoric_Nativ'!$F$6:$F$405=G9))&gt;0)),MIN('Config_v6'!$B$54,K9)),0)</x:f>
        <x:v>0</x:v>
      </x:c>
      <x:c r="M9" s="2" t="n">
        <x:f>IF(OR(B9="",F9=""),0,IF(H9="HOME",COUNTIFS('Istoric_Nativ'!$B$6:$B$405,E9,'Istoric_Nativ'!$C$6:$C$405,F9,'Istoric_Nativ'!$E$6:$E$405,G9,'Istoric_Nativ'!$D$6:$D$405,"&lt;"&amp;J9,'Istoric_Nativ'!$P$6:$P$405,1,'Istoric_Nativ'!$D$6:$D$405,"&gt;="&amp;L9),IF(H9="AWAY",COUNTIFS('Istoric_Nativ'!$B$6:$B$405,E9,'Istoric_Nativ'!$C$6:$C$405,F9,'Istoric_Nativ'!$F$6:$F$405,G9,'Istoric_Nativ'!$D$6:$D$405,"&lt;"&amp;J9,'Istoric_Nativ'!$P$6:$P$405,1,'Istoric_Nativ'!$D$6:$D$405,"&gt;="&amp;L9),COUNTIFS('Istoric_Nativ'!$B$6:$B$405,E9,'Istoric_Nativ'!$C$6:$C$405,F9,'Istoric_Nativ'!$E$6:$E$405,G9,'Istoric_Nativ'!$D$6:$D$405,"&lt;"&amp;J9,'Istoric_Nativ'!$P$6:$P$405,1,'Istoric_Nativ'!$D$6:$D$405,"&gt;="&amp;L9)+COUNTIFS('Istoric_Nativ'!$B$6:$B$405,E9,'Istoric_Nativ'!$C$6:$C$405,F9,'Istoric_Nativ'!$F$6:$F$405,G9,'Istoric_Nativ'!$D$6:$D$405,"&lt;"&amp;J9,'Istoric_Nativ'!$P$6:$P$405,1,'Istoric_Nativ'!$D$6:$D$405,"&gt;="&amp;L9))))</x:f>
        <x:v>37</x:v>
      </x:c>
      <x:c r="N9" s="11" t="n">
        <x:f>IF(M9=0,"",IF(H9="HOME",SUMIFS('Istoric_Nativ'!$G$6:$G$405,'Istoric_Nativ'!$B$6:$B$405,E9,'Istoric_Nativ'!$C$6:$C$405,F9,'Istoric_Nativ'!$E$6:$E$405,G9,'Istoric_Nativ'!$D$6:$D$405,"&lt;"&amp;J9,'Istoric_Nativ'!$P$6:$P$405,1,'Istoric_Nativ'!$D$6:$D$405,"&gt;="&amp;L9),IF(H9="AWAY",SUMIFS('Istoric_Nativ'!$H$6:$H$405,'Istoric_Nativ'!$B$6:$B$405,E9,'Istoric_Nativ'!$C$6:$C$405,F9,'Istoric_Nativ'!$F$6:$F$405,G9,'Istoric_Nativ'!$D$6:$D$405,"&lt;"&amp;J9,'Istoric_Nativ'!$P$6:$P$405,1,'Istoric_Nativ'!$D$6:$D$405,"&gt;="&amp;L9),SUMIFS('Istoric_Nativ'!$G$6:$G$405,'Istoric_Nativ'!$B$6:$B$405,E9,'Istoric_Nativ'!$C$6:$C$405,F9,'Istoric_Nativ'!$E$6:$E$405,G9,'Istoric_Nativ'!$D$6:$D$405,"&lt;"&amp;J9,'Istoric_Nativ'!$P$6:$P$405,1,'Istoric_Nativ'!$D$6:$D$405,"&gt;="&amp;L9)+SUMIFS('Istoric_Nativ'!$H$6:$H$405,'Istoric_Nativ'!$B$6:$B$405,E9,'Istoric_Nativ'!$C$6:$C$405,F9,'Istoric_Nativ'!$F$6:$F$405,G9,'Istoric_Nativ'!$D$6:$D$405,"&lt;"&amp;J9,'Istoric_Nativ'!$P$6:$P$405,1,'Istoric_Nativ'!$D$6:$D$405,"&gt;="&amp;L9)))/M9)</x:f>
        <x:v>4.837837837837838</x:v>
      </x:c>
      <x:c r="O9" s="11" t="n">
        <x:f>IF(M9=0,"",IF(H9="HOME",SUMIFS('Istoric_Nativ'!$H$6:$H$405,'Istoric_Nativ'!$B$6:$B$405,E9,'Istoric_Nativ'!$C$6:$C$405,F9,'Istoric_Nativ'!$E$6:$E$405,G9,'Istoric_Nativ'!$D$6:$D$405,"&lt;"&amp;J9,'Istoric_Nativ'!$P$6:$P$405,1,'Istoric_Nativ'!$D$6:$D$405,"&gt;="&amp;L9),IF(H9="AWAY",SUMIFS('Istoric_Nativ'!$G$6:$G$405,'Istoric_Nativ'!$B$6:$B$405,E9,'Istoric_Nativ'!$C$6:$C$405,F9,'Istoric_Nativ'!$F$6:$F$405,G9,'Istoric_Nativ'!$D$6:$D$405,"&lt;"&amp;J9,'Istoric_Nativ'!$P$6:$P$405,1,'Istoric_Nativ'!$D$6:$D$405,"&gt;="&amp;L9),SUMIFS('Istoric_Nativ'!$H$6:$H$405,'Istoric_Nativ'!$B$6:$B$405,E9,'Istoric_Nativ'!$C$6:$C$405,F9,'Istoric_Nativ'!$E$6:$E$405,G9,'Istoric_Nativ'!$D$6:$D$405,"&lt;"&amp;J9,'Istoric_Nativ'!$P$6:$P$405,1,'Istoric_Nativ'!$D$6:$D$405,"&gt;="&amp;L9)+SUMIFS('Istoric_Nativ'!$G$6:$G$405,'Istoric_Nativ'!$B$6:$B$405,E9,'Istoric_Nativ'!$C$6:$C$405,F9,'Istoric_Nativ'!$F$6:$F$405,G9,'Istoric_Nativ'!$D$6:$D$405,"&lt;"&amp;J9,'Istoric_Nativ'!$P$6:$P$405,1,'Istoric_Nativ'!$D$6:$D$405,"&gt;="&amp;L9)))/M9)</x:f>
        <x:v>5.027027027027027</x:v>
      </x:c>
      <x:c r="P9" s="2" t="n">
        <x:f>'Config_v6'!$B$7</x:f>
        <x:v>10</x:v>
      </x:c>
      <x:c r="Q9" s="2" t="n">
        <x:f>IF(OR(B9="",F9=""),0,IFERROR(MATCH(E9&amp;"|"&amp;F9,SourceTable[Source_Key],0),0))</x:f>
        <x:v>1</x:v>
      </x:c>
      <x:c r="R9" s="2" t="str">
        <x:f>IF(B9="","",IF(F9="","UNUSED",IF(Q9=0,"NOT CHECKED",IF(COUNTIF(SourceTable[Source_Key],E9&amp;"|"&amp;F9)&lt;&gt;1,"SOURCE CONFLICT",IF(NOT(OR(INDEX(SourceTable[Status],MAX(1,Q9))="IMPORTED",INDEX(SourceTable[Status],MAX(1,Q9))="PARTIAL",INDEX(SourceTable[Status],MAX(1,Q9))="SOURCE CONFLICT")),"ACCESS BLOCKED",IF(OR(INDEX(SourceTable[Coverage],Q9)&lt;&gt;"FULL SEASON EXPORT",INDEX(SourceTable[URL],Q9)="",INDEX(SourceTable[SHA256],Q9)=""),"EVIDENCE INCOMPLETE",IF(AND('Input_Meci'!H6="LIVE",INDEX(SourceTable[Retrieved_UTC],Q9)&gt;'Input_Meci'!G6),"POST CUTOFF","CLOSED")))))))</x:f>
        <x:v>CLOSED</x:v>
      </x:c>
      <x:c r="S9" s="2" t="n">
        <x:f>IF(OR(B9="",F9=""),0,COUNTIFS('Istoric_Nativ'!$B$6:$B$405,E9,'Istoric_Nativ'!$C$6:$C$405,F9,'Istoric_Nativ'!$E$6:$E$405,G9,'Istoric_Nativ'!$D$6:$D$405,"&lt;"&amp;J9,'Istoric_Nativ'!$O$6:$O$405,"INVALID")+COUNTIFS('Istoric_Nativ'!$B$6:$B$405,E9,'Istoric_Nativ'!$C$6:$C$405,F9,'Istoric_Nativ'!$E$6:$E$405,G9,'Istoric_Nativ'!$O$6:$O$405,"INVALID",'Istoric_Nativ'!$D$6:$D$405,"*")+COUNTIFS('Istoric_Nativ'!$B$6:$B$405,E9,'Istoric_Nativ'!$C$6:$C$405,F9,'Istoric_Nativ'!$E$6:$E$405,G9,'Istoric_Nativ'!$D$6:$D$405,"&lt;"&amp;J9,'Istoric_Nativ'!$O$6:$O$405,"SOURCE CONFLICT")+COUNTIFS('Istoric_Nativ'!$B$6:$B$405,E9,'Istoric_Nativ'!$C$6:$C$405,F9,'Istoric_Nativ'!$F$6:$F$405,G9,'Istoric_Nativ'!$D$6:$D$405,"&lt;"&amp;J9,'Istoric_Nativ'!$O$6:$O$405,"INVALID")+COUNTIFS('Istoric_Nativ'!$B$6:$B$405,E9,'Istoric_Nativ'!$C$6:$C$405,F9,'Istoric_Nativ'!$F$6:$F$405,G9,'Istoric_Nativ'!$O$6:$O$405,"INVALID",'Istoric_Nativ'!$D$6:$D$405,"*")+COUNTIFS('Istoric_Nativ'!$B$6:$B$405,E9,'Istoric_Nativ'!$C$6:$C$405,F9,'Istoric_Nativ'!$F$6:$F$405,G9,'Istoric_Nativ'!$D$6:$D$405,"&lt;"&amp;J9,'Istoric_Nativ'!$O$6:$O$405,"SOURCE CONFLICT"))</x:f>
        <x:v>0</x:v>
      </x:c>
      <x:c r="T9" s="2" t="str">
        <x:f>IF(B9="","",IF(R9&lt;&gt;"CLOSED",R9,IF(S9&gt;0,"NATIVE INPUT ISSUE",IF(M9=0,"NO HISTORY",IF(M9&lt;P9,"SMALL SAMPLE","DERIVED")))))</x:f>
        <x:v>DERIVED</x:v>
      </x:c>
      <x:c r="U9" s="2" t="str">
        <x:f>IF(B9="","","NativeTable; "&amp;E9&amp;"; "&amp;F9&amp;"; "&amp;G9&amp;"; "&amp;H9&amp;"; before "&amp;TEXT(J9,"yyyy-mm-dd")&amp;IF(I9="RECENT","; from "&amp;TEXT(L9,"yyyy-mm-dd"),""))</x:f>
        <x:v>NativeTable; E0; 2025/26; Man United; ANY; before 2026-05-23</x:v>
      </x:c>
    </x:row>
    <x:row r="10" ht="21" customHeight="1">
      <x:c r="A10" s="2" t="n">
        <x:v>1</x:v>
      </x:c>
      <x:c r="B10" s="2" t="str">
        <x:f>IF('Input_Meci'!A6="","",'Input_Meci'!A6)</x:f>
        <x:v>REPLAY_1</x:v>
      </x:c>
      <x:c r="C10" s="2" t="str">
        <x:v>A</x:v>
      </x:c>
      <x:c r="D10" s="2" t="str">
        <x:v>CURRENT</x:v>
      </x:c>
      <x:c r="E10" s="2" t="str">
        <x:f>IF(B10="","",'Input_Meci'!B6)</x:f>
        <x:v>E0</x:v>
      </x:c>
      <x:c r="F10" s="2" t="str">
        <x:f>IF(B10="","",IF('Input_Meci'!C6="","",'Input_Meci'!C6))</x:f>
        <x:v>2025/26</x:v>
      </x:c>
      <x:c r="G10" s="2" t="str">
        <x:f>IF(B10="","",'Input_Meci'!E6)</x:f>
        <x:v>Man United</x:v>
      </x:c>
      <x:c r="H10" s="2" t="str">
        <x:v>AWAY</x:v>
      </x:c>
      <x:c r="I10" s="2" t="str">
        <x:v>HA</x:v>
      </x:c>
      <x:c r="J10" s="9" t="n">
        <x:f>IF(AND(B10&lt;&gt;"",ISNUMBER('Input_Meci'!G6)),INT('Input_Meci'!G6),0)</x:f>
        <x:v>46165</x:v>
      </x:c>
      <x:c r="K10" s="2" t="n">
        <x:f>IF(OR(B10="",F10=""),0,IF(H10="HOME",COUNTIFS('Istoric_Nativ'!$B$6:$B$405,E10,'Istoric_Nativ'!$C$6:$C$405,F10,'Istoric_Nativ'!$E$6:$E$405,G10,'Istoric_Nativ'!$D$6:$D$405,"&lt;"&amp;J10,'Istoric_Nativ'!$P$6:$P$405,1),IF(H10="AWAY",COUNTIFS('Istoric_Nativ'!$B$6:$B$405,E10,'Istoric_Nativ'!$C$6:$C$405,F10,'Istoric_Nativ'!$F$6:$F$405,G10,'Istoric_Nativ'!$D$6:$D$405,"&lt;"&amp;J10,'Istoric_Nativ'!$P$6:$P$405,1),COUNTIFS('Istoric_Nativ'!$B$6:$B$405,E10,'Istoric_Nativ'!$C$6:$C$405,F10,'Istoric_Nativ'!$E$6:$E$405,G10,'Istoric_Nativ'!$D$6:$D$405,"&lt;"&amp;J10,'Istoric_Nativ'!$P$6:$P$405,1)+COUNTIFS('Istoric_Nativ'!$B$6:$B$405,E10,'Istoric_Nativ'!$C$6:$C$405,F10,'Istoric_Nativ'!$F$6:$F$405,G10,'Istoric_Nativ'!$D$6:$D$405,"&lt;"&amp;J10,'Istoric_Nativ'!$P$6:$P$405,1))))</x:f>
        <x:v>18</x:v>
      </x:c>
      <x:c r="L10" s="17" t="n">
        <x:f>IF(AND(B10&lt;&gt;"",I10="RECENT",K10&gt;0),LARGE(_xlfn._xlws.FILTER('Istoric_Nativ'!$D$6:$D$405,('Istoric_Nativ'!$B$6:$B$405=E10)*('Istoric_Nativ'!$C$6:$C$405=F10)*('Istoric_Nativ'!$P$6:$P$405=1)*('Istoric_Nativ'!$D$6:$D$405&lt;J10)*((('Istoric_Nativ'!$E$6:$E$405=G10)+('Istoric_Nativ'!$F$6:$F$405=G10))&gt;0)),MIN('Config_v6'!$B$54,K10)),0)</x:f>
        <x:v>0</x:v>
      </x:c>
      <x:c r="M10" s="2" t="n">
        <x:f>IF(OR(B10="",F10=""),0,IF(H10="HOME",COUNTIFS('Istoric_Nativ'!$B$6:$B$405,E10,'Istoric_Nativ'!$C$6:$C$405,F10,'Istoric_Nativ'!$E$6:$E$405,G10,'Istoric_Nativ'!$D$6:$D$405,"&lt;"&amp;J10,'Istoric_Nativ'!$P$6:$P$405,1,'Istoric_Nativ'!$D$6:$D$405,"&gt;="&amp;L10),IF(H10="AWAY",COUNTIFS('Istoric_Nativ'!$B$6:$B$405,E10,'Istoric_Nativ'!$C$6:$C$405,F10,'Istoric_Nativ'!$F$6:$F$405,G10,'Istoric_Nativ'!$D$6:$D$405,"&lt;"&amp;J10,'Istoric_Nativ'!$P$6:$P$405,1,'Istoric_Nativ'!$D$6:$D$405,"&gt;="&amp;L10),COUNTIFS('Istoric_Nativ'!$B$6:$B$405,E10,'Istoric_Nativ'!$C$6:$C$405,F10,'Istoric_Nativ'!$E$6:$E$405,G10,'Istoric_Nativ'!$D$6:$D$405,"&lt;"&amp;J10,'Istoric_Nativ'!$P$6:$P$405,1,'Istoric_Nativ'!$D$6:$D$405,"&gt;="&amp;L10)+COUNTIFS('Istoric_Nativ'!$B$6:$B$405,E10,'Istoric_Nativ'!$C$6:$C$405,F10,'Istoric_Nativ'!$F$6:$F$405,G10,'Istoric_Nativ'!$D$6:$D$405,"&lt;"&amp;J10,'Istoric_Nativ'!$P$6:$P$405,1,'Istoric_Nativ'!$D$6:$D$405,"&gt;="&amp;L10))))</x:f>
        <x:v>18</x:v>
      </x:c>
      <x:c r="N10" s="11" t="n">
        <x:f>IF(M10=0,"",IF(H10="HOME",SUMIFS('Istoric_Nativ'!$G$6:$G$405,'Istoric_Nativ'!$B$6:$B$405,E10,'Istoric_Nativ'!$C$6:$C$405,F10,'Istoric_Nativ'!$E$6:$E$405,G10,'Istoric_Nativ'!$D$6:$D$405,"&lt;"&amp;J10,'Istoric_Nativ'!$P$6:$P$405,1,'Istoric_Nativ'!$D$6:$D$405,"&gt;="&amp;L10),IF(H10="AWAY",SUMIFS('Istoric_Nativ'!$H$6:$H$405,'Istoric_Nativ'!$B$6:$B$405,E10,'Istoric_Nativ'!$C$6:$C$405,F10,'Istoric_Nativ'!$F$6:$F$405,G10,'Istoric_Nativ'!$D$6:$D$405,"&lt;"&amp;J10,'Istoric_Nativ'!$P$6:$P$405,1,'Istoric_Nativ'!$D$6:$D$405,"&gt;="&amp;L10),SUMIFS('Istoric_Nativ'!$G$6:$G$405,'Istoric_Nativ'!$B$6:$B$405,E10,'Istoric_Nativ'!$C$6:$C$405,F10,'Istoric_Nativ'!$E$6:$E$405,G10,'Istoric_Nativ'!$D$6:$D$405,"&lt;"&amp;J10,'Istoric_Nativ'!$P$6:$P$405,1,'Istoric_Nativ'!$D$6:$D$405,"&gt;="&amp;L10)+SUMIFS('Istoric_Nativ'!$H$6:$H$405,'Istoric_Nativ'!$B$6:$B$405,E10,'Istoric_Nativ'!$C$6:$C$405,F10,'Istoric_Nativ'!$F$6:$F$405,G10,'Istoric_Nativ'!$D$6:$D$405,"&lt;"&amp;J10,'Istoric_Nativ'!$P$6:$P$405,1,'Istoric_Nativ'!$D$6:$D$405,"&gt;="&amp;L10)))/M10)</x:f>
        <x:v>4.388888888888889</x:v>
      </x:c>
      <x:c r="O10" s="11" t="n">
        <x:f>IF(M10=0,"",IF(H10="HOME",SUMIFS('Istoric_Nativ'!$H$6:$H$405,'Istoric_Nativ'!$B$6:$B$405,E10,'Istoric_Nativ'!$C$6:$C$405,F10,'Istoric_Nativ'!$E$6:$E$405,G10,'Istoric_Nativ'!$D$6:$D$405,"&lt;"&amp;J10,'Istoric_Nativ'!$P$6:$P$405,1,'Istoric_Nativ'!$D$6:$D$405,"&gt;="&amp;L10),IF(H10="AWAY",SUMIFS('Istoric_Nativ'!$G$6:$G$405,'Istoric_Nativ'!$B$6:$B$405,E10,'Istoric_Nativ'!$C$6:$C$405,F10,'Istoric_Nativ'!$F$6:$F$405,G10,'Istoric_Nativ'!$D$6:$D$405,"&lt;"&amp;J10,'Istoric_Nativ'!$P$6:$P$405,1,'Istoric_Nativ'!$D$6:$D$405,"&gt;="&amp;L10),SUMIFS('Istoric_Nativ'!$H$6:$H$405,'Istoric_Nativ'!$B$6:$B$405,E10,'Istoric_Nativ'!$C$6:$C$405,F10,'Istoric_Nativ'!$E$6:$E$405,G10,'Istoric_Nativ'!$D$6:$D$405,"&lt;"&amp;J10,'Istoric_Nativ'!$P$6:$P$405,1,'Istoric_Nativ'!$D$6:$D$405,"&gt;="&amp;L10)+SUMIFS('Istoric_Nativ'!$G$6:$G$405,'Istoric_Nativ'!$B$6:$B$405,E10,'Istoric_Nativ'!$C$6:$C$405,F10,'Istoric_Nativ'!$F$6:$F$405,G10,'Istoric_Nativ'!$D$6:$D$405,"&lt;"&amp;J10,'Istoric_Nativ'!$P$6:$P$405,1,'Istoric_Nativ'!$D$6:$D$405,"&gt;="&amp;L10)))/M10)</x:f>
        <x:v>5.611111111111111</x:v>
      </x:c>
      <x:c r="P10" s="2" t="n">
        <x:f>'Config_v6'!$B$8</x:f>
        <x:v>5</x:v>
      </x:c>
      <x:c r="Q10" s="2" t="n">
        <x:f>IF(OR(B10="",F10=""),0,IFERROR(MATCH(E10&amp;"|"&amp;F10,SourceTable[Source_Key],0),0))</x:f>
        <x:v>1</x:v>
      </x:c>
      <x:c r="R10" s="2" t="str">
        <x:f>IF(B10="","",IF(F10="","UNUSED",IF(Q10=0,"NOT CHECKED",IF(COUNTIF(SourceTable[Source_Key],E10&amp;"|"&amp;F10)&lt;&gt;1,"SOURCE CONFLICT",IF(NOT(OR(INDEX(SourceTable[Status],MAX(1,Q10))="IMPORTED",INDEX(SourceTable[Status],MAX(1,Q10))="PARTIAL",INDEX(SourceTable[Status],MAX(1,Q10))="SOURCE CONFLICT")),"ACCESS BLOCKED",IF(OR(INDEX(SourceTable[Coverage],Q10)&lt;&gt;"FULL SEASON EXPORT",INDEX(SourceTable[URL],Q10)="",INDEX(SourceTable[SHA256],Q10)=""),"EVIDENCE INCOMPLETE",IF(AND('Input_Meci'!H6="LIVE",INDEX(SourceTable[Retrieved_UTC],Q10)&gt;'Input_Meci'!G6),"POST CUTOFF","CLOSED")))))))</x:f>
        <x:v>CLOSED</x:v>
      </x:c>
      <x:c r="S10" s="2" t="n">
        <x:f>IF(OR(B10="",F10=""),0,COUNTIFS('Istoric_Nativ'!$B$6:$B$405,E10,'Istoric_Nativ'!$C$6:$C$405,F10,'Istoric_Nativ'!$E$6:$E$405,G10,'Istoric_Nativ'!$D$6:$D$405,"&lt;"&amp;J10,'Istoric_Nativ'!$O$6:$O$405,"INVALID")+COUNTIFS('Istoric_Nativ'!$B$6:$B$405,E10,'Istoric_Nativ'!$C$6:$C$405,F10,'Istoric_Nativ'!$E$6:$E$405,G10,'Istoric_Nativ'!$O$6:$O$405,"INVALID",'Istoric_Nativ'!$D$6:$D$405,"*")+COUNTIFS('Istoric_Nativ'!$B$6:$B$405,E10,'Istoric_Nativ'!$C$6:$C$405,F10,'Istoric_Nativ'!$E$6:$E$405,G10,'Istoric_Nativ'!$D$6:$D$405,"&lt;"&amp;J10,'Istoric_Nativ'!$O$6:$O$405,"SOURCE CONFLICT")+COUNTIFS('Istoric_Nativ'!$B$6:$B$405,E10,'Istoric_Nativ'!$C$6:$C$405,F10,'Istoric_Nativ'!$F$6:$F$405,G10,'Istoric_Nativ'!$D$6:$D$405,"&lt;"&amp;J10,'Istoric_Nativ'!$O$6:$O$405,"INVALID")+COUNTIFS('Istoric_Nativ'!$B$6:$B$405,E10,'Istoric_Nativ'!$C$6:$C$405,F10,'Istoric_Nativ'!$F$6:$F$405,G10,'Istoric_Nativ'!$O$6:$O$405,"INVALID",'Istoric_Nativ'!$D$6:$D$405,"*")+COUNTIFS('Istoric_Nativ'!$B$6:$B$405,E10,'Istoric_Nativ'!$C$6:$C$405,F10,'Istoric_Nativ'!$F$6:$F$405,G10,'Istoric_Nativ'!$D$6:$D$405,"&lt;"&amp;J10,'Istoric_Nativ'!$O$6:$O$405,"SOURCE CONFLICT"))</x:f>
        <x:v>0</x:v>
      </x:c>
      <x:c r="T10" s="2" t="str">
        <x:f>IF(B10="","",IF(R10&lt;&gt;"CLOSED",R10,IF(S10&gt;0,"NATIVE INPUT ISSUE",IF(M10=0,"NO HISTORY",IF(M10&lt;P10,"SMALL SAMPLE","DERIVED")))))</x:f>
        <x:v>DERIVED</x:v>
      </x:c>
      <x:c r="U10" s="2" t="str">
        <x:f>IF(B10="","","NativeTable; "&amp;E10&amp;"; "&amp;F10&amp;"; "&amp;G10&amp;"; "&amp;H10&amp;"; before "&amp;TEXT(J10,"yyyy-mm-dd")&amp;IF(I10="RECENT","; from "&amp;TEXT(L10,"yyyy-mm-dd"),""))</x:f>
        <x:v>NativeTable; E0; 2025/26; Man United; AWAY; before 2026-05-23</x:v>
      </x:c>
    </x:row>
    <x:row r="11" ht="21" customHeight="1">
      <x:c r="A11" s="2" t="n">
        <x:v>1</x:v>
      </x:c>
      <x:c r="B11" s="2" t="str">
        <x:f>IF('Input_Meci'!A6="","",'Input_Meci'!A6)</x:f>
        <x:v>REPLAY_1</x:v>
      </x:c>
      <x:c r="C11" s="2" t="str">
        <x:v>A</x:v>
      </x:c>
      <x:c r="D11" s="2" t="str">
        <x:v>CURRENT</x:v>
      </x:c>
      <x:c r="E11" s="2" t="str">
        <x:f>IF(B11="","",'Input_Meci'!B6)</x:f>
        <x:v>E0</x:v>
      </x:c>
      <x:c r="F11" s="2" t="str">
        <x:f>IF(B11="","",IF('Input_Meci'!C6="","",'Input_Meci'!C6))</x:f>
        <x:v>2025/26</x:v>
      </x:c>
      <x:c r="G11" s="2" t="str">
        <x:f>IF(B11="","",'Input_Meci'!E6)</x:f>
        <x:v>Man United</x:v>
      </x:c>
      <x:c r="H11" s="2" t="str">
        <x:v>ANY</x:v>
      </x:c>
      <x:c r="I11" s="2" t="str">
        <x:v>RECENT</x:v>
      </x:c>
      <x:c r="J11" s="9" t="n">
        <x:f>IF(AND(B11&lt;&gt;"",ISNUMBER('Input_Meci'!G6)),INT('Input_Meci'!G6),0)</x:f>
        <x:v>46165</x:v>
      </x:c>
      <x:c r="K11" s="2" t="n">
        <x:f>IF(OR(B11="",F11=""),0,IF(H11="HOME",COUNTIFS('Istoric_Nativ'!$B$6:$B$405,E11,'Istoric_Nativ'!$C$6:$C$405,F11,'Istoric_Nativ'!$E$6:$E$405,G11,'Istoric_Nativ'!$D$6:$D$405,"&lt;"&amp;J11,'Istoric_Nativ'!$P$6:$P$405,1),IF(H11="AWAY",COUNTIFS('Istoric_Nativ'!$B$6:$B$405,E11,'Istoric_Nativ'!$C$6:$C$405,F11,'Istoric_Nativ'!$F$6:$F$405,G11,'Istoric_Nativ'!$D$6:$D$405,"&lt;"&amp;J11,'Istoric_Nativ'!$P$6:$P$405,1),COUNTIFS('Istoric_Nativ'!$B$6:$B$405,E11,'Istoric_Nativ'!$C$6:$C$405,F11,'Istoric_Nativ'!$E$6:$E$405,G11,'Istoric_Nativ'!$D$6:$D$405,"&lt;"&amp;J11,'Istoric_Nativ'!$P$6:$P$405,1)+COUNTIFS('Istoric_Nativ'!$B$6:$B$405,E11,'Istoric_Nativ'!$C$6:$C$405,F11,'Istoric_Nativ'!$F$6:$F$405,G11,'Istoric_Nativ'!$D$6:$D$405,"&lt;"&amp;J11,'Istoric_Nativ'!$P$6:$P$405,1))))</x:f>
        <x:v>37</x:v>
      </x:c>
      <x:c r="L11" s="17" t="n">
        <x:f>IF(AND(B11&lt;&gt;"",I11="RECENT",K11&gt;0),LARGE(_xlfn._xlws.FILTER('Istoric_Nativ'!$D$6:$D$405,('Istoric_Nativ'!$B$6:$B$405=E11)*('Istoric_Nativ'!$C$6:$C$405=F11)*('Istoric_Nativ'!$P$6:$P$405=1)*('Istoric_Nativ'!$D$6:$D$405&lt;J11)*((('Istoric_Nativ'!$E$6:$E$405=G11)+('Istoric_Nativ'!$F$6:$F$405=G11))&gt;0)),MIN('Config_v6'!$B$54,K11)),0)</x:f>
        <x:v>46130</x:v>
      </x:c>
      <x:c r="M11" s="2" t="n">
        <x:f>IF(OR(B11="",F11=""),0,IF(H11="HOME",COUNTIFS('Istoric_Nativ'!$B$6:$B$405,E11,'Istoric_Nativ'!$C$6:$C$405,F11,'Istoric_Nativ'!$E$6:$E$405,G11,'Istoric_Nativ'!$D$6:$D$405,"&lt;"&amp;J11,'Istoric_Nativ'!$P$6:$P$405,1,'Istoric_Nativ'!$D$6:$D$405,"&gt;="&amp;L11),IF(H11="AWAY",COUNTIFS('Istoric_Nativ'!$B$6:$B$405,E11,'Istoric_Nativ'!$C$6:$C$405,F11,'Istoric_Nativ'!$F$6:$F$405,G11,'Istoric_Nativ'!$D$6:$D$405,"&lt;"&amp;J11,'Istoric_Nativ'!$P$6:$P$405,1,'Istoric_Nativ'!$D$6:$D$405,"&gt;="&amp;L11),COUNTIFS('Istoric_Nativ'!$B$6:$B$405,E11,'Istoric_Nativ'!$C$6:$C$405,F11,'Istoric_Nativ'!$E$6:$E$405,G11,'Istoric_Nativ'!$D$6:$D$405,"&lt;"&amp;J11,'Istoric_Nativ'!$P$6:$P$405,1,'Istoric_Nativ'!$D$6:$D$405,"&gt;="&amp;L11)+COUNTIFS('Istoric_Nativ'!$B$6:$B$405,E11,'Istoric_Nativ'!$C$6:$C$405,F11,'Istoric_Nativ'!$F$6:$F$405,G11,'Istoric_Nativ'!$D$6:$D$405,"&lt;"&amp;J11,'Istoric_Nativ'!$P$6:$P$405,1,'Istoric_Nativ'!$D$6:$D$405,"&gt;="&amp;L11))))</x:f>
        <x:v>5</x:v>
      </x:c>
      <x:c r="N11" s="11" t="n">
        <x:f>IF(M11=0,"",IF(H11="HOME",SUMIFS('Istoric_Nativ'!$G$6:$G$405,'Istoric_Nativ'!$B$6:$B$405,E11,'Istoric_Nativ'!$C$6:$C$405,F11,'Istoric_Nativ'!$E$6:$E$405,G11,'Istoric_Nativ'!$D$6:$D$405,"&lt;"&amp;J11,'Istoric_Nativ'!$P$6:$P$405,1,'Istoric_Nativ'!$D$6:$D$405,"&gt;="&amp;L11),IF(H11="AWAY",SUMIFS('Istoric_Nativ'!$H$6:$H$405,'Istoric_Nativ'!$B$6:$B$405,E11,'Istoric_Nativ'!$C$6:$C$405,F11,'Istoric_Nativ'!$F$6:$F$405,G11,'Istoric_Nativ'!$D$6:$D$405,"&lt;"&amp;J11,'Istoric_Nativ'!$P$6:$P$405,1,'Istoric_Nativ'!$D$6:$D$405,"&gt;="&amp;L11),SUMIFS('Istoric_Nativ'!$G$6:$G$405,'Istoric_Nativ'!$B$6:$B$405,E11,'Istoric_Nativ'!$C$6:$C$405,F11,'Istoric_Nativ'!$E$6:$E$405,G11,'Istoric_Nativ'!$D$6:$D$405,"&lt;"&amp;J11,'Istoric_Nativ'!$P$6:$P$405,1,'Istoric_Nativ'!$D$6:$D$405,"&gt;="&amp;L11)+SUMIFS('Istoric_Nativ'!$H$6:$H$405,'Istoric_Nativ'!$B$6:$B$405,E11,'Istoric_Nativ'!$C$6:$C$405,F11,'Istoric_Nativ'!$F$6:$F$405,G11,'Istoric_Nativ'!$D$6:$D$405,"&lt;"&amp;J11,'Istoric_Nativ'!$P$6:$P$405,1,'Istoric_Nativ'!$D$6:$D$405,"&gt;="&amp;L11)))/M11)</x:f>
        <x:v>5.2</x:v>
      </x:c>
      <x:c r="O11" s="11" t="n">
        <x:f>IF(M11=0,"",IF(H11="HOME",SUMIFS('Istoric_Nativ'!$H$6:$H$405,'Istoric_Nativ'!$B$6:$B$405,E11,'Istoric_Nativ'!$C$6:$C$405,F11,'Istoric_Nativ'!$E$6:$E$405,G11,'Istoric_Nativ'!$D$6:$D$405,"&lt;"&amp;J11,'Istoric_Nativ'!$P$6:$P$405,1,'Istoric_Nativ'!$D$6:$D$405,"&gt;="&amp;L11),IF(H11="AWAY",SUMIFS('Istoric_Nativ'!$G$6:$G$405,'Istoric_Nativ'!$B$6:$B$405,E11,'Istoric_Nativ'!$C$6:$C$405,F11,'Istoric_Nativ'!$F$6:$F$405,G11,'Istoric_Nativ'!$D$6:$D$405,"&lt;"&amp;J11,'Istoric_Nativ'!$P$6:$P$405,1,'Istoric_Nativ'!$D$6:$D$405,"&gt;="&amp;L11),SUMIFS('Istoric_Nativ'!$H$6:$H$405,'Istoric_Nativ'!$B$6:$B$405,E11,'Istoric_Nativ'!$C$6:$C$405,F11,'Istoric_Nativ'!$E$6:$E$405,G11,'Istoric_Nativ'!$D$6:$D$405,"&lt;"&amp;J11,'Istoric_Nativ'!$P$6:$P$405,1,'Istoric_Nativ'!$D$6:$D$405,"&gt;="&amp;L11)+SUMIFS('Istoric_Nativ'!$G$6:$G$405,'Istoric_Nativ'!$B$6:$B$405,E11,'Istoric_Nativ'!$C$6:$C$405,F11,'Istoric_Nativ'!$F$6:$F$405,G11,'Istoric_Nativ'!$D$6:$D$405,"&lt;"&amp;J11,'Istoric_Nativ'!$P$6:$P$405,1,'Istoric_Nativ'!$D$6:$D$405,"&gt;="&amp;L11)))/M11)</x:f>
        <x:v>6</x:v>
      </x:c>
      <x:c r="P11" s="2" t="n">
        <x:f>'Config_v6'!$B$9</x:f>
        <x:v>3</x:v>
      </x:c>
      <x:c r="Q11" s="2" t="n">
        <x:f>IF(OR(B11="",F11=""),0,IFERROR(MATCH(E11&amp;"|"&amp;F11,SourceTable[Source_Key],0),0))</x:f>
        <x:v>1</x:v>
      </x:c>
      <x:c r="R11" s="2" t="str">
        <x:f>IF(B11="","",IF(F11="","UNUSED",IF(Q11=0,"NOT CHECKED",IF(COUNTIF(SourceTable[Source_Key],E11&amp;"|"&amp;F11)&lt;&gt;1,"SOURCE CONFLICT",IF(NOT(OR(INDEX(SourceTable[Status],MAX(1,Q11))="IMPORTED",INDEX(SourceTable[Status],MAX(1,Q11))="PARTIAL",INDEX(SourceTable[Status],MAX(1,Q11))="SOURCE CONFLICT")),"ACCESS BLOCKED",IF(OR(INDEX(SourceTable[Coverage],Q11)&lt;&gt;"FULL SEASON EXPORT",INDEX(SourceTable[URL],Q11)="",INDEX(SourceTable[SHA256],Q11)=""),"EVIDENCE INCOMPLETE",IF(AND('Input_Meci'!H6="LIVE",INDEX(SourceTable[Retrieved_UTC],Q11)&gt;'Input_Meci'!G6),"POST CUTOFF","CLOSED")))))))</x:f>
        <x:v>CLOSED</x:v>
      </x:c>
      <x:c r="S11" s="2" t="n">
        <x:f>IF(OR(B11="",F11=""),0,COUNTIFS('Istoric_Nativ'!$B$6:$B$405,E11,'Istoric_Nativ'!$C$6:$C$405,F11,'Istoric_Nativ'!$E$6:$E$405,G11,'Istoric_Nativ'!$D$6:$D$405,"&lt;"&amp;J11,'Istoric_Nativ'!$O$6:$O$405,"INVALID")+COUNTIFS('Istoric_Nativ'!$B$6:$B$405,E11,'Istoric_Nativ'!$C$6:$C$405,F11,'Istoric_Nativ'!$E$6:$E$405,G11,'Istoric_Nativ'!$O$6:$O$405,"INVALID",'Istoric_Nativ'!$D$6:$D$405,"*")+COUNTIFS('Istoric_Nativ'!$B$6:$B$405,E11,'Istoric_Nativ'!$C$6:$C$405,F11,'Istoric_Nativ'!$E$6:$E$405,G11,'Istoric_Nativ'!$D$6:$D$405,"&lt;"&amp;J11,'Istoric_Nativ'!$O$6:$O$405,"SOURCE CONFLICT")+COUNTIFS('Istoric_Nativ'!$B$6:$B$405,E11,'Istoric_Nativ'!$C$6:$C$405,F11,'Istoric_Nativ'!$F$6:$F$405,G11,'Istoric_Nativ'!$D$6:$D$405,"&lt;"&amp;J11,'Istoric_Nativ'!$O$6:$O$405,"INVALID")+COUNTIFS('Istoric_Nativ'!$B$6:$B$405,E11,'Istoric_Nativ'!$C$6:$C$405,F11,'Istoric_Nativ'!$F$6:$F$405,G11,'Istoric_Nativ'!$O$6:$O$405,"INVALID",'Istoric_Nativ'!$D$6:$D$405,"*")+COUNTIFS('Istoric_Nativ'!$B$6:$B$405,E11,'Istoric_Nativ'!$C$6:$C$405,F11,'Istoric_Nativ'!$F$6:$F$405,G11,'Istoric_Nativ'!$D$6:$D$405,"&lt;"&amp;J11,'Istoric_Nativ'!$O$6:$O$405,"SOURCE CONFLICT"))</x:f>
        <x:v>0</x:v>
      </x:c>
      <x:c r="T11" s="2" t="str">
        <x:f>IF(B11="","",IF(R11&lt;&gt;"CLOSED",R11,IF(S11&gt;0,"NATIVE INPUT ISSUE",IF(M11=0,"NO HISTORY",IF(M11&lt;P11,"SMALL SAMPLE","DERIVED")))))</x:f>
        <x:v>DERIVED</x:v>
      </x:c>
      <x:c r="U11" s="2" t="str">
        <x:f>IF(B11="","","NativeTable; "&amp;E11&amp;"; "&amp;F11&amp;"; "&amp;G11&amp;"; "&amp;H11&amp;"; before "&amp;TEXT(J11,"yyyy-mm-dd")&amp;IF(I11="RECENT","; from "&amp;TEXT(L11,"yyyy-mm-dd"),""))</x:f>
        <x:v>NativeTable; E0; 2025/26; Man United; ANY; before 2026-05-23; from 2026-04-18</x:v>
      </x:c>
    </x:row>
    <x:row r="12" ht="21" customHeight="1">
      <x:c r="A12" s="2" t="n">
        <x:v>1</x:v>
      </x:c>
      <x:c r="B12" s="2" t="str">
        <x:f>IF('Input_Meci'!A6="","",'Input_Meci'!A6)</x:f>
        <x:v>REPLAY_1</x:v>
      </x:c>
      <x:c r="C12" s="2" t="str">
        <x:v>H</x:v>
      </x:c>
      <x:c r="D12" s="2" t="str">
        <x:v>PRIOR</x:v>
      </x:c>
      <x:c r="E12" s="2" t="str">
        <x:f>IF(B12="","",'Input_Meci'!B6)</x:f>
        <x:v>E0</x:v>
      </x:c>
      <x:c r="F12" s="2" t="str">
        <x:f>IF(B12="","",IF('Input_Meci'!K6="","",'Input_Meci'!K6))</x:f>
      </x:c>
      <x:c r="G12" s="2" t="str">
        <x:f>IF(B12="","",'Input_Meci'!D6)</x:f>
        <x:v>Brighton</x:v>
      </x:c>
      <x:c r="H12" s="2" t="str">
        <x:v>ANY</x:v>
      </x:c>
      <x:c r="I12" s="2" t="str">
        <x:v>SEASON</x:v>
      </x:c>
      <x:c r="J12" s="9" t="n">
        <x:f>IF(AND(B12&lt;&gt;"",ISNUMBER('Input_Meci'!G6)),INT('Input_Meci'!G6),0)</x:f>
        <x:v>46165</x:v>
      </x:c>
      <x:c r="K12" s="2" t="n">
        <x:f>IF(OR(B12="",F12=""),0,IF(H12="HOME",COUNTIFS('Istoric_Nativ'!$B$6:$B$405,E12,'Istoric_Nativ'!$C$6:$C$405,F12,'Istoric_Nativ'!$E$6:$E$405,G12,'Istoric_Nativ'!$D$6:$D$405,"&lt;"&amp;J12,'Istoric_Nativ'!$P$6:$P$405,1),IF(H12="AWAY",COUNTIFS('Istoric_Nativ'!$B$6:$B$405,E12,'Istoric_Nativ'!$C$6:$C$405,F12,'Istoric_Nativ'!$F$6:$F$405,G12,'Istoric_Nativ'!$D$6:$D$405,"&lt;"&amp;J12,'Istoric_Nativ'!$P$6:$P$405,1),COUNTIFS('Istoric_Nativ'!$B$6:$B$405,E12,'Istoric_Nativ'!$C$6:$C$405,F12,'Istoric_Nativ'!$E$6:$E$405,G12,'Istoric_Nativ'!$D$6:$D$405,"&lt;"&amp;J12,'Istoric_Nativ'!$P$6:$P$405,1)+COUNTIFS('Istoric_Nativ'!$B$6:$B$405,E12,'Istoric_Nativ'!$C$6:$C$405,F12,'Istoric_Nativ'!$F$6:$F$405,G12,'Istoric_Nativ'!$D$6:$D$405,"&lt;"&amp;J12,'Istoric_Nativ'!$P$6:$P$405,1))))</x:f>
        <x:v>0</x:v>
      </x:c>
      <x:c r="L12" s="17" t="n">
        <x:f>IF(AND(B12&lt;&gt;"",I12="RECENT",K12&gt;0),LARGE(_xlfn._xlws.FILTER('Istoric_Nativ'!$D$6:$D$405,('Istoric_Nativ'!$B$6:$B$405=E12)*('Istoric_Nativ'!$C$6:$C$405=F12)*('Istoric_Nativ'!$P$6:$P$405=1)*('Istoric_Nativ'!$D$6:$D$405&lt;J12)*((('Istoric_Nativ'!$E$6:$E$405=G12)+('Istoric_Nativ'!$F$6:$F$405=G12))&gt;0)),MIN('Config_v6'!$B$54,K12)),0)</x:f>
        <x:v>0</x:v>
      </x:c>
      <x:c r="M12" s="2" t="n">
        <x:f>IF(OR(B12="",F12=""),0,IF(H12="HOME",COUNTIFS('Istoric_Nativ'!$B$6:$B$405,E12,'Istoric_Nativ'!$C$6:$C$405,F12,'Istoric_Nativ'!$E$6:$E$405,G12,'Istoric_Nativ'!$D$6:$D$405,"&lt;"&amp;J12,'Istoric_Nativ'!$P$6:$P$405,1,'Istoric_Nativ'!$D$6:$D$405,"&gt;="&amp;L12),IF(H12="AWAY",COUNTIFS('Istoric_Nativ'!$B$6:$B$405,E12,'Istoric_Nativ'!$C$6:$C$405,F12,'Istoric_Nativ'!$F$6:$F$405,G12,'Istoric_Nativ'!$D$6:$D$405,"&lt;"&amp;J12,'Istoric_Nativ'!$P$6:$P$405,1,'Istoric_Nativ'!$D$6:$D$405,"&gt;="&amp;L12),COUNTIFS('Istoric_Nativ'!$B$6:$B$405,E12,'Istoric_Nativ'!$C$6:$C$405,F12,'Istoric_Nativ'!$E$6:$E$405,G12,'Istoric_Nativ'!$D$6:$D$405,"&lt;"&amp;J12,'Istoric_Nativ'!$P$6:$P$405,1,'Istoric_Nativ'!$D$6:$D$405,"&gt;="&amp;L12)+COUNTIFS('Istoric_Nativ'!$B$6:$B$405,E12,'Istoric_Nativ'!$C$6:$C$405,F12,'Istoric_Nativ'!$F$6:$F$405,G12,'Istoric_Nativ'!$D$6:$D$405,"&lt;"&amp;J12,'Istoric_Nativ'!$P$6:$P$405,1,'Istoric_Nativ'!$D$6:$D$405,"&gt;="&amp;L12))))</x:f>
        <x:v>0</x:v>
      </x:c>
      <x:c r="N12" s="11" t="str">
        <x:f>IF(M12=0,"",IF(H12="HOME",SUMIFS('Istoric_Nativ'!$G$6:$G$405,'Istoric_Nativ'!$B$6:$B$405,E12,'Istoric_Nativ'!$C$6:$C$405,F12,'Istoric_Nativ'!$E$6:$E$405,G12,'Istoric_Nativ'!$D$6:$D$405,"&lt;"&amp;J12,'Istoric_Nativ'!$P$6:$P$405,1,'Istoric_Nativ'!$D$6:$D$405,"&gt;="&amp;L12),IF(H12="AWAY",SUMIFS('Istoric_Nativ'!$H$6:$H$405,'Istoric_Nativ'!$B$6:$B$405,E12,'Istoric_Nativ'!$C$6:$C$405,F12,'Istoric_Nativ'!$F$6:$F$405,G12,'Istoric_Nativ'!$D$6:$D$405,"&lt;"&amp;J12,'Istoric_Nativ'!$P$6:$P$405,1,'Istoric_Nativ'!$D$6:$D$405,"&gt;="&amp;L12),SUMIFS('Istoric_Nativ'!$G$6:$G$405,'Istoric_Nativ'!$B$6:$B$405,E12,'Istoric_Nativ'!$C$6:$C$405,F12,'Istoric_Nativ'!$E$6:$E$405,G12,'Istoric_Nativ'!$D$6:$D$405,"&lt;"&amp;J12,'Istoric_Nativ'!$P$6:$P$405,1,'Istoric_Nativ'!$D$6:$D$405,"&gt;="&amp;L12)+SUMIFS('Istoric_Nativ'!$H$6:$H$405,'Istoric_Nativ'!$B$6:$B$405,E12,'Istoric_Nativ'!$C$6:$C$405,F12,'Istoric_Nativ'!$F$6:$F$405,G12,'Istoric_Nativ'!$D$6:$D$405,"&lt;"&amp;J12,'Istoric_Nativ'!$P$6:$P$405,1,'Istoric_Nativ'!$D$6:$D$405,"&gt;="&amp;L12)))/M12)</x:f>
      </x:c>
      <x:c r="O12" s="11" t="str">
        <x:f>IF(M12=0,"",IF(H12="HOME",SUMIFS('Istoric_Nativ'!$H$6:$H$405,'Istoric_Nativ'!$B$6:$B$405,E12,'Istoric_Nativ'!$C$6:$C$405,F12,'Istoric_Nativ'!$E$6:$E$405,G12,'Istoric_Nativ'!$D$6:$D$405,"&lt;"&amp;J12,'Istoric_Nativ'!$P$6:$P$405,1,'Istoric_Nativ'!$D$6:$D$405,"&gt;="&amp;L12),IF(H12="AWAY",SUMIFS('Istoric_Nativ'!$G$6:$G$405,'Istoric_Nativ'!$B$6:$B$405,E12,'Istoric_Nativ'!$C$6:$C$405,F12,'Istoric_Nativ'!$F$6:$F$405,G12,'Istoric_Nativ'!$D$6:$D$405,"&lt;"&amp;J12,'Istoric_Nativ'!$P$6:$P$405,1,'Istoric_Nativ'!$D$6:$D$405,"&gt;="&amp;L12),SUMIFS('Istoric_Nativ'!$H$6:$H$405,'Istoric_Nativ'!$B$6:$B$405,E12,'Istoric_Nativ'!$C$6:$C$405,F12,'Istoric_Nativ'!$E$6:$E$405,G12,'Istoric_Nativ'!$D$6:$D$405,"&lt;"&amp;J12,'Istoric_Nativ'!$P$6:$P$405,1,'Istoric_Nativ'!$D$6:$D$405,"&gt;="&amp;L12)+SUMIFS('Istoric_Nativ'!$G$6:$G$405,'Istoric_Nativ'!$B$6:$B$405,E12,'Istoric_Nativ'!$C$6:$C$405,F12,'Istoric_Nativ'!$F$6:$F$405,G12,'Istoric_Nativ'!$D$6:$D$405,"&lt;"&amp;J12,'Istoric_Nativ'!$P$6:$P$405,1,'Istoric_Nativ'!$D$6:$D$405,"&gt;="&amp;L12)))/M12)</x:f>
      </x:c>
      <x:c r="P12" s="2" t="n">
        <x:f>'Config_v6'!$B$7</x:f>
        <x:v>10</x:v>
      </x:c>
      <x:c r="Q12" s="2" t="n">
        <x:f>IF(OR(B12="",F12=""),0,IFERROR(MATCH(E12&amp;"|"&amp;F12,SourceTable[Source_Key],0),0))</x:f>
        <x:v>0</x:v>
      </x:c>
      <x:c r="R12" s="2" t="str">
        <x:f>IF(B12="","",IF(F12="","UNUSED",IF(Q12=0,"NOT CHECKED",IF(COUNTIF(SourceTable[Source_Key],E12&amp;"|"&amp;F12)&lt;&gt;1,"SOURCE CONFLICT",IF(NOT(OR(INDEX(SourceTable[Status],MAX(1,Q12))="IMPORTED",INDEX(SourceTable[Status],MAX(1,Q12))="PARTIAL",INDEX(SourceTable[Status],MAX(1,Q12))="SOURCE CONFLICT")),"ACCESS BLOCKED",IF(OR(INDEX(SourceTable[Coverage],Q12)&lt;&gt;"FULL SEASON EXPORT",INDEX(SourceTable[URL],Q12)="",INDEX(SourceTable[SHA256],Q12)=""),"EVIDENCE INCOMPLETE",IF(AND('Input_Meci'!H6="LIVE",INDEX(SourceTable[Retrieved_UTC],Q12)&gt;'Input_Meci'!G6),"POST CUTOFF","CLOSED")))))))</x:f>
        <x:v>UNUSED</x:v>
      </x:c>
      <x:c r="S12" s="2" t="n">
        <x:f>IF(OR(B12="",F12=""),0,COUNTIFS('Istoric_Nativ'!$B$6:$B$405,E12,'Istoric_Nativ'!$C$6:$C$405,F12,'Istoric_Nativ'!$E$6:$E$405,G12,'Istoric_Nativ'!$D$6:$D$405,"&lt;"&amp;J12,'Istoric_Nativ'!$O$6:$O$405,"INVALID")+COUNTIFS('Istoric_Nativ'!$B$6:$B$405,E12,'Istoric_Nativ'!$C$6:$C$405,F12,'Istoric_Nativ'!$E$6:$E$405,G12,'Istoric_Nativ'!$O$6:$O$405,"INVALID",'Istoric_Nativ'!$D$6:$D$405,"*")+COUNTIFS('Istoric_Nativ'!$B$6:$B$405,E12,'Istoric_Nativ'!$C$6:$C$405,F12,'Istoric_Nativ'!$E$6:$E$405,G12,'Istoric_Nativ'!$D$6:$D$405,"&lt;"&amp;J12,'Istoric_Nativ'!$O$6:$O$405,"SOURCE CONFLICT")+COUNTIFS('Istoric_Nativ'!$B$6:$B$405,E12,'Istoric_Nativ'!$C$6:$C$405,F12,'Istoric_Nativ'!$F$6:$F$405,G12,'Istoric_Nativ'!$D$6:$D$405,"&lt;"&amp;J12,'Istoric_Nativ'!$O$6:$O$405,"INVALID")+COUNTIFS('Istoric_Nativ'!$B$6:$B$405,E12,'Istoric_Nativ'!$C$6:$C$405,F12,'Istoric_Nativ'!$F$6:$F$405,G12,'Istoric_Nativ'!$O$6:$O$405,"INVALID",'Istoric_Nativ'!$D$6:$D$405,"*")+COUNTIFS('Istoric_Nativ'!$B$6:$B$405,E12,'Istoric_Nativ'!$C$6:$C$405,F12,'Istoric_Nativ'!$F$6:$F$405,G12,'Istoric_Nativ'!$D$6:$D$405,"&lt;"&amp;J12,'Istoric_Nativ'!$O$6:$O$405,"SOURCE CONFLICT"))</x:f>
        <x:v>0</x:v>
      </x:c>
      <x:c r="T12" s="2" t="str">
        <x:f>IF(B12="","",IF(R12&lt;&gt;"CLOSED",R12,IF(S12&gt;0,"NATIVE INPUT ISSUE",IF(M12=0,"NO HISTORY",IF(M12&lt;P12,"SMALL SAMPLE","DERIVED")))))</x:f>
        <x:v>UNUSED</x:v>
      </x:c>
      <x:c r="U12" s="2" t="str">
        <x:f>IF(B12="","","NativeTable; "&amp;E12&amp;"; "&amp;F12&amp;"; "&amp;G12&amp;"; "&amp;H12&amp;"; before "&amp;TEXT(J12,"yyyy-mm-dd")&amp;IF(I12="RECENT","; from "&amp;TEXT(L12,"yyyy-mm-dd"),""))</x:f>
        <x:v>NativeTable; E0; ; Brighton; ANY; before 2026-05-23</x:v>
      </x:c>
    </x:row>
    <x:row r="13" ht="21" customHeight="1">
      <x:c r="A13" s="2" t="n">
        <x:v>1</x:v>
      </x:c>
      <x:c r="B13" s="2" t="str">
        <x:f>IF('Input_Meci'!A6="","",'Input_Meci'!A6)</x:f>
        <x:v>REPLAY_1</x:v>
      </x:c>
      <x:c r="C13" s="2" t="str">
        <x:v>H</x:v>
      </x:c>
      <x:c r="D13" s="2" t="str">
        <x:v>PRIOR</x:v>
      </x:c>
      <x:c r="E13" s="2" t="str">
        <x:f>IF(B13="","",'Input_Meci'!B6)</x:f>
        <x:v>E0</x:v>
      </x:c>
      <x:c r="F13" s="2" t="str">
        <x:f>IF(B13="","",IF('Input_Meci'!K6="","",'Input_Meci'!K6))</x:f>
      </x:c>
      <x:c r="G13" s="2" t="str">
        <x:f>IF(B13="","",'Input_Meci'!D6)</x:f>
        <x:v>Brighton</x:v>
      </x:c>
      <x:c r="H13" s="2" t="str">
        <x:v>HOME</x:v>
      </x:c>
      <x:c r="I13" s="2" t="str">
        <x:v>HA</x:v>
      </x:c>
      <x:c r="J13" s="9" t="n">
        <x:f>IF(AND(B13&lt;&gt;"",ISNUMBER('Input_Meci'!G6)),INT('Input_Meci'!G6),0)</x:f>
        <x:v>46165</x:v>
      </x:c>
      <x:c r="K13" s="2" t="n">
        <x:f>IF(OR(B13="",F13=""),0,IF(H13="HOME",COUNTIFS('Istoric_Nativ'!$B$6:$B$405,E13,'Istoric_Nativ'!$C$6:$C$405,F13,'Istoric_Nativ'!$E$6:$E$405,G13,'Istoric_Nativ'!$D$6:$D$405,"&lt;"&amp;J13,'Istoric_Nativ'!$P$6:$P$405,1),IF(H13="AWAY",COUNTIFS('Istoric_Nativ'!$B$6:$B$405,E13,'Istoric_Nativ'!$C$6:$C$405,F13,'Istoric_Nativ'!$F$6:$F$405,G13,'Istoric_Nativ'!$D$6:$D$405,"&lt;"&amp;J13,'Istoric_Nativ'!$P$6:$P$405,1),COUNTIFS('Istoric_Nativ'!$B$6:$B$405,E13,'Istoric_Nativ'!$C$6:$C$405,F13,'Istoric_Nativ'!$E$6:$E$405,G13,'Istoric_Nativ'!$D$6:$D$405,"&lt;"&amp;J13,'Istoric_Nativ'!$P$6:$P$405,1)+COUNTIFS('Istoric_Nativ'!$B$6:$B$405,E13,'Istoric_Nativ'!$C$6:$C$405,F13,'Istoric_Nativ'!$F$6:$F$405,G13,'Istoric_Nativ'!$D$6:$D$405,"&lt;"&amp;J13,'Istoric_Nativ'!$P$6:$P$405,1))))</x:f>
        <x:v>0</x:v>
      </x:c>
      <x:c r="L13" s="17" t="n">
        <x:f>IF(AND(B13&lt;&gt;"",I13="RECENT",K13&gt;0),LARGE(_xlfn._xlws.FILTER('Istoric_Nativ'!$D$6:$D$405,('Istoric_Nativ'!$B$6:$B$405=E13)*('Istoric_Nativ'!$C$6:$C$405=F13)*('Istoric_Nativ'!$P$6:$P$405=1)*('Istoric_Nativ'!$D$6:$D$405&lt;J13)*((('Istoric_Nativ'!$E$6:$E$405=G13)+('Istoric_Nativ'!$F$6:$F$405=G13))&gt;0)),MIN('Config_v6'!$B$54,K13)),0)</x:f>
        <x:v>0</x:v>
      </x:c>
      <x:c r="M13" s="2" t="n">
        <x:f>IF(OR(B13="",F13=""),0,IF(H13="HOME",COUNTIFS('Istoric_Nativ'!$B$6:$B$405,E13,'Istoric_Nativ'!$C$6:$C$405,F13,'Istoric_Nativ'!$E$6:$E$405,G13,'Istoric_Nativ'!$D$6:$D$405,"&lt;"&amp;J13,'Istoric_Nativ'!$P$6:$P$405,1,'Istoric_Nativ'!$D$6:$D$405,"&gt;="&amp;L13),IF(H13="AWAY",COUNTIFS('Istoric_Nativ'!$B$6:$B$405,E13,'Istoric_Nativ'!$C$6:$C$405,F13,'Istoric_Nativ'!$F$6:$F$405,G13,'Istoric_Nativ'!$D$6:$D$405,"&lt;"&amp;J13,'Istoric_Nativ'!$P$6:$P$405,1,'Istoric_Nativ'!$D$6:$D$405,"&gt;="&amp;L13),COUNTIFS('Istoric_Nativ'!$B$6:$B$405,E13,'Istoric_Nativ'!$C$6:$C$405,F13,'Istoric_Nativ'!$E$6:$E$405,G13,'Istoric_Nativ'!$D$6:$D$405,"&lt;"&amp;J13,'Istoric_Nativ'!$P$6:$P$405,1,'Istoric_Nativ'!$D$6:$D$405,"&gt;="&amp;L13)+COUNTIFS('Istoric_Nativ'!$B$6:$B$405,E13,'Istoric_Nativ'!$C$6:$C$405,F13,'Istoric_Nativ'!$F$6:$F$405,G13,'Istoric_Nativ'!$D$6:$D$405,"&lt;"&amp;J13,'Istoric_Nativ'!$P$6:$P$405,1,'Istoric_Nativ'!$D$6:$D$405,"&gt;="&amp;L13))))</x:f>
        <x:v>0</x:v>
      </x:c>
      <x:c r="N13" s="11" t="str">
        <x:f>IF(M13=0,"",IF(H13="HOME",SUMIFS('Istoric_Nativ'!$G$6:$G$405,'Istoric_Nativ'!$B$6:$B$405,E13,'Istoric_Nativ'!$C$6:$C$405,F13,'Istoric_Nativ'!$E$6:$E$405,G13,'Istoric_Nativ'!$D$6:$D$405,"&lt;"&amp;J13,'Istoric_Nativ'!$P$6:$P$405,1,'Istoric_Nativ'!$D$6:$D$405,"&gt;="&amp;L13),IF(H13="AWAY",SUMIFS('Istoric_Nativ'!$H$6:$H$405,'Istoric_Nativ'!$B$6:$B$405,E13,'Istoric_Nativ'!$C$6:$C$405,F13,'Istoric_Nativ'!$F$6:$F$405,G13,'Istoric_Nativ'!$D$6:$D$405,"&lt;"&amp;J13,'Istoric_Nativ'!$P$6:$P$405,1,'Istoric_Nativ'!$D$6:$D$405,"&gt;="&amp;L13),SUMIFS('Istoric_Nativ'!$G$6:$G$405,'Istoric_Nativ'!$B$6:$B$405,E13,'Istoric_Nativ'!$C$6:$C$405,F13,'Istoric_Nativ'!$E$6:$E$405,G13,'Istoric_Nativ'!$D$6:$D$405,"&lt;"&amp;J13,'Istoric_Nativ'!$P$6:$P$405,1,'Istoric_Nativ'!$D$6:$D$405,"&gt;="&amp;L13)+SUMIFS('Istoric_Nativ'!$H$6:$H$405,'Istoric_Nativ'!$B$6:$B$405,E13,'Istoric_Nativ'!$C$6:$C$405,F13,'Istoric_Nativ'!$F$6:$F$405,G13,'Istoric_Nativ'!$D$6:$D$405,"&lt;"&amp;J13,'Istoric_Nativ'!$P$6:$P$405,1,'Istoric_Nativ'!$D$6:$D$405,"&gt;="&amp;L13)))/M13)</x:f>
      </x:c>
      <x:c r="O13" s="11" t="str">
        <x:f>IF(M13=0,"",IF(H13="HOME",SUMIFS('Istoric_Nativ'!$H$6:$H$405,'Istoric_Nativ'!$B$6:$B$405,E13,'Istoric_Nativ'!$C$6:$C$405,F13,'Istoric_Nativ'!$E$6:$E$405,G13,'Istoric_Nativ'!$D$6:$D$405,"&lt;"&amp;J13,'Istoric_Nativ'!$P$6:$P$405,1,'Istoric_Nativ'!$D$6:$D$405,"&gt;="&amp;L13),IF(H13="AWAY",SUMIFS('Istoric_Nativ'!$G$6:$G$405,'Istoric_Nativ'!$B$6:$B$405,E13,'Istoric_Nativ'!$C$6:$C$405,F13,'Istoric_Nativ'!$F$6:$F$405,G13,'Istoric_Nativ'!$D$6:$D$405,"&lt;"&amp;J13,'Istoric_Nativ'!$P$6:$P$405,1,'Istoric_Nativ'!$D$6:$D$405,"&gt;="&amp;L13),SUMIFS('Istoric_Nativ'!$H$6:$H$405,'Istoric_Nativ'!$B$6:$B$405,E13,'Istoric_Nativ'!$C$6:$C$405,F13,'Istoric_Nativ'!$E$6:$E$405,G13,'Istoric_Nativ'!$D$6:$D$405,"&lt;"&amp;J13,'Istoric_Nativ'!$P$6:$P$405,1,'Istoric_Nativ'!$D$6:$D$405,"&gt;="&amp;L13)+SUMIFS('Istoric_Nativ'!$G$6:$G$405,'Istoric_Nativ'!$B$6:$B$405,E13,'Istoric_Nativ'!$C$6:$C$405,F13,'Istoric_Nativ'!$F$6:$F$405,G13,'Istoric_Nativ'!$D$6:$D$405,"&lt;"&amp;J13,'Istoric_Nativ'!$P$6:$P$405,1,'Istoric_Nativ'!$D$6:$D$405,"&gt;="&amp;L13)))/M13)</x:f>
      </x:c>
      <x:c r="P13" s="2" t="n">
        <x:f>'Config_v6'!$B$8</x:f>
        <x:v>5</x:v>
      </x:c>
      <x:c r="Q13" s="2" t="n">
        <x:f>IF(OR(B13="",F13=""),0,IFERROR(MATCH(E13&amp;"|"&amp;F13,SourceTable[Source_Key],0),0))</x:f>
        <x:v>0</x:v>
      </x:c>
      <x:c r="R13" s="2" t="str">
        <x:f>IF(B13="","",IF(F13="","UNUSED",IF(Q13=0,"NOT CHECKED",IF(COUNTIF(SourceTable[Source_Key],E13&amp;"|"&amp;F13)&lt;&gt;1,"SOURCE CONFLICT",IF(NOT(OR(INDEX(SourceTable[Status],MAX(1,Q13))="IMPORTED",INDEX(SourceTable[Status],MAX(1,Q13))="PARTIAL",INDEX(SourceTable[Status],MAX(1,Q13))="SOURCE CONFLICT")),"ACCESS BLOCKED",IF(OR(INDEX(SourceTable[Coverage],Q13)&lt;&gt;"FULL SEASON EXPORT",INDEX(SourceTable[URL],Q13)="",INDEX(SourceTable[SHA256],Q13)=""),"EVIDENCE INCOMPLETE",IF(AND('Input_Meci'!H6="LIVE",INDEX(SourceTable[Retrieved_UTC],Q13)&gt;'Input_Meci'!G6),"POST CUTOFF","CLOSED")))))))</x:f>
        <x:v>UNUSED</x:v>
      </x:c>
      <x:c r="S13" s="2" t="n">
        <x:f>IF(OR(B13="",F13=""),0,COUNTIFS('Istoric_Nativ'!$B$6:$B$405,E13,'Istoric_Nativ'!$C$6:$C$405,F13,'Istoric_Nativ'!$E$6:$E$405,G13,'Istoric_Nativ'!$D$6:$D$405,"&lt;"&amp;J13,'Istoric_Nativ'!$O$6:$O$405,"INVALID")+COUNTIFS('Istoric_Nativ'!$B$6:$B$405,E13,'Istoric_Nativ'!$C$6:$C$405,F13,'Istoric_Nativ'!$E$6:$E$405,G13,'Istoric_Nativ'!$O$6:$O$405,"INVALID",'Istoric_Nativ'!$D$6:$D$405,"*")+COUNTIFS('Istoric_Nativ'!$B$6:$B$405,E13,'Istoric_Nativ'!$C$6:$C$405,F13,'Istoric_Nativ'!$E$6:$E$405,G13,'Istoric_Nativ'!$D$6:$D$405,"&lt;"&amp;J13,'Istoric_Nativ'!$O$6:$O$405,"SOURCE CONFLICT")+COUNTIFS('Istoric_Nativ'!$B$6:$B$405,E13,'Istoric_Nativ'!$C$6:$C$405,F13,'Istoric_Nativ'!$F$6:$F$405,G13,'Istoric_Nativ'!$D$6:$D$405,"&lt;"&amp;J13,'Istoric_Nativ'!$O$6:$O$405,"INVALID")+COUNTIFS('Istoric_Nativ'!$B$6:$B$405,E13,'Istoric_Nativ'!$C$6:$C$405,F13,'Istoric_Nativ'!$F$6:$F$405,G13,'Istoric_Nativ'!$O$6:$O$405,"INVALID",'Istoric_Nativ'!$D$6:$D$405,"*")+COUNTIFS('Istoric_Nativ'!$B$6:$B$405,E13,'Istoric_Nativ'!$C$6:$C$405,F13,'Istoric_Nativ'!$F$6:$F$405,G13,'Istoric_Nativ'!$D$6:$D$405,"&lt;"&amp;J13,'Istoric_Nativ'!$O$6:$O$405,"SOURCE CONFLICT"))</x:f>
        <x:v>0</x:v>
      </x:c>
      <x:c r="T13" s="2" t="str">
        <x:f>IF(B13="","",IF(R13&lt;&gt;"CLOSED",R13,IF(S13&gt;0,"NATIVE INPUT ISSUE",IF(M13=0,"NO HISTORY",IF(M13&lt;P13,"SMALL SAMPLE","DERIVED")))))</x:f>
        <x:v>UNUSED</x:v>
      </x:c>
      <x:c r="U13" s="2" t="str">
        <x:f>IF(B13="","","NativeTable; "&amp;E13&amp;"; "&amp;F13&amp;"; "&amp;G13&amp;"; "&amp;H13&amp;"; before "&amp;TEXT(J13,"yyyy-mm-dd")&amp;IF(I13="RECENT","; from "&amp;TEXT(L13,"yyyy-mm-dd"),""))</x:f>
        <x:v>NativeTable; E0; ; Brighton; HOME; before 2026-05-23</x:v>
      </x:c>
    </x:row>
    <x:row r="14" ht="21" customHeight="1">
      <x:c r="A14" s="2" t="n">
        <x:v>1</x:v>
      </x:c>
      <x:c r="B14" s="2" t="str">
        <x:f>IF('Input_Meci'!A6="","",'Input_Meci'!A6)</x:f>
        <x:v>REPLAY_1</x:v>
      </x:c>
      <x:c r="C14" s="2" t="str">
        <x:v>H</x:v>
      </x:c>
      <x:c r="D14" s="2" t="str">
        <x:v>PRIOR</x:v>
      </x:c>
      <x:c r="E14" s="2" t="str">
        <x:f>IF(B14="","",'Input_Meci'!B6)</x:f>
        <x:v>E0</x:v>
      </x:c>
      <x:c r="F14" s="2" t="str">
        <x:f>IF(B14="","",IF('Input_Meci'!K6="","",'Input_Meci'!K6))</x:f>
      </x:c>
      <x:c r="G14" s="2" t="str">
        <x:f>IF(B14="","",'Input_Meci'!D6)</x:f>
        <x:v>Brighton</x:v>
      </x:c>
      <x:c r="H14" s="2" t="str">
        <x:v>ANY</x:v>
      </x:c>
      <x:c r="I14" s="2" t="str">
        <x:v>RECENT</x:v>
      </x:c>
      <x:c r="J14" s="9" t="n">
        <x:f>IF(AND(B14&lt;&gt;"",ISNUMBER('Input_Meci'!G6)),INT('Input_Meci'!G6),0)</x:f>
        <x:v>46165</x:v>
      </x:c>
      <x:c r="K14" s="2" t="n">
        <x:f>IF(OR(B14="",F14=""),0,IF(H14="HOME",COUNTIFS('Istoric_Nativ'!$B$6:$B$405,E14,'Istoric_Nativ'!$C$6:$C$405,F14,'Istoric_Nativ'!$E$6:$E$405,G14,'Istoric_Nativ'!$D$6:$D$405,"&lt;"&amp;J14,'Istoric_Nativ'!$P$6:$P$405,1),IF(H14="AWAY",COUNTIFS('Istoric_Nativ'!$B$6:$B$405,E14,'Istoric_Nativ'!$C$6:$C$405,F14,'Istoric_Nativ'!$F$6:$F$405,G14,'Istoric_Nativ'!$D$6:$D$405,"&lt;"&amp;J14,'Istoric_Nativ'!$P$6:$P$405,1),COUNTIFS('Istoric_Nativ'!$B$6:$B$405,E14,'Istoric_Nativ'!$C$6:$C$405,F14,'Istoric_Nativ'!$E$6:$E$405,G14,'Istoric_Nativ'!$D$6:$D$405,"&lt;"&amp;J14,'Istoric_Nativ'!$P$6:$P$405,1)+COUNTIFS('Istoric_Nativ'!$B$6:$B$405,E14,'Istoric_Nativ'!$C$6:$C$405,F14,'Istoric_Nativ'!$F$6:$F$405,G14,'Istoric_Nativ'!$D$6:$D$405,"&lt;"&amp;J14,'Istoric_Nativ'!$P$6:$P$405,1))))</x:f>
        <x:v>0</x:v>
      </x:c>
      <x:c r="L14" s="17" t="n">
        <x:f>IF(AND(B14&lt;&gt;"",I14="RECENT",K14&gt;0),LARGE(_xlfn._xlws.FILTER('Istoric_Nativ'!$D$6:$D$405,('Istoric_Nativ'!$B$6:$B$405=E14)*('Istoric_Nativ'!$C$6:$C$405=F14)*('Istoric_Nativ'!$P$6:$P$405=1)*('Istoric_Nativ'!$D$6:$D$405&lt;J14)*((('Istoric_Nativ'!$E$6:$E$405=G14)+('Istoric_Nativ'!$F$6:$F$405=G14))&gt;0)),MIN('Config_v6'!$B$54,K14)),0)</x:f>
        <x:v>0</x:v>
      </x:c>
      <x:c r="M14" s="2" t="n">
        <x:f>IF(OR(B14="",F14=""),0,IF(H14="HOME",COUNTIFS('Istoric_Nativ'!$B$6:$B$405,E14,'Istoric_Nativ'!$C$6:$C$405,F14,'Istoric_Nativ'!$E$6:$E$405,G14,'Istoric_Nativ'!$D$6:$D$405,"&lt;"&amp;J14,'Istoric_Nativ'!$P$6:$P$405,1,'Istoric_Nativ'!$D$6:$D$405,"&gt;="&amp;L14),IF(H14="AWAY",COUNTIFS('Istoric_Nativ'!$B$6:$B$405,E14,'Istoric_Nativ'!$C$6:$C$405,F14,'Istoric_Nativ'!$F$6:$F$405,G14,'Istoric_Nativ'!$D$6:$D$405,"&lt;"&amp;J14,'Istoric_Nativ'!$P$6:$P$405,1,'Istoric_Nativ'!$D$6:$D$405,"&gt;="&amp;L14),COUNTIFS('Istoric_Nativ'!$B$6:$B$405,E14,'Istoric_Nativ'!$C$6:$C$405,F14,'Istoric_Nativ'!$E$6:$E$405,G14,'Istoric_Nativ'!$D$6:$D$405,"&lt;"&amp;J14,'Istoric_Nativ'!$P$6:$P$405,1,'Istoric_Nativ'!$D$6:$D$405,"&gt;="&amp;L14)+COUNTIFS('Istoric_Nativ'!$B$6:$B$405,E14,'Istoric_Nativ'!$C$6:$C$405,F14,'Istoric_Nativ'!$F$6:$F$405,G14,'Istoric_Nativ'!$D$6:$D$405,"&lt;"&amp;J14,'Istoric_Nativ'!$P$6:$P$405,1,'Istoric_Nativ'!$D$6:$D$405,"&gt;="&amp;L14))))</x:f>
        <x:v>0</x:v>
      </x:c>
      <x:c r="N14" s="11" t="str">
        <x:f>IF(M14=0,"",IF(H14="HOME",SUMIFS('Istoric_Nativ'!$G$6:$G$405,'Istoric_Nativ'!$B$6:$B$405,E14,'Istoric_Nativ'!$C$6:$C$405,F14,'Istoric_Nativ'!$E$6:$E$405,G14,'Istoric_Nativ'!$D$6:$D$405,"&lt;"&amp;J14,'Istoric_Nativ'!$P$6:$P$405,1,'Istoric_Nativ'!$D$6:$D$405,"&gt;="&amp;L14),IF(H14="AWAY",SUMIFS('Istoric_Nativ'!$H$6:$H$405,'Istoric_Nativ'!$B$6:$B$405,E14,'Istoric_Nativ'!$C$6:$C$405,F14,'Istoric_Nativ'!$F$6:$F$405,G14,'Istoric_Nativ'!$D$6:$D$405,"&lt;"&amp;J14,'Istoric_Nativ'!$P$6:$P$405,1,'Istoric_Nativ'!$D$6:$D$405,"&gt;="&amp;L14),SUMIFS('Istoric_Nativ'!$G$6:$G$405,'Istoric_Nativ'!$B$6:$B$405,E14,'Istoric_Nativ'!$C$6:$C$405,F14,'Istoric_Nativ'!$E$6:$E$405,G14,'Istoric_Nativ'!$D$6:$D$405,"&lt;"&amp;J14,'Istoric_Nativ'!$P$6:$P$405,1,'Istoric_Nativ'!$D$6:$D$405,"&gt;="&amp;L14)+SUMIFS('Istoric_Nativ'!$H$6:$H$405,'Istoric_Nativ'!$B$6:$B$405,E14,'Istoric_Nativ'!$C$6:$C$405,F14,'Istoric_Nativ'!$F$6:$F$405,G14,'Istoric_Nativ'!$D$6:$D$405,"&lt;"&amp;J14,'Istoric_Nativ'!$P$6:$P$405,1,'Istoric_Nativ'!$D$6:$D$405,"&gt;="&amp;L14)))/M14)</x:f>
      </x:c>
      <x:c r="O14" s="11" t="str">
        <x:f>IF(M14=0,"",IF(H14="HOME",SUMIFS('Istoric_Nativ'!$H$6:$H$405,'Istoric_Nativ'!$B$6:$B$405,E14,'Istoric_Nativ'!$C$6:$C$405,F14,'Istoric_Nativ'!$E$6:$E$405,G14,'Istoric_Nativ'!$D$6:$D$405,"&lt;"&amp;J14,'Istoric_Nativ'!$P$6:$P$405,1,'Istoric_Nativ'!$D$6:$D$405,"&gt;="&amp;L14),IF(H14="AWAY",SUMIFS('Istoric_Nativ'!$G$6:$G$405,'Istoric_Nativ'!$B$6:$B$405,E14,'Istoric_Nativ'!$C$6:$C$405,F14,'Istoric_Nativ'!$F$6:$F$405,G14,'Istoric_Nativ'!$D$6:$D$405,"&lt;"&amp;J14,'Istoric_Nativ'!$P$6:$P$405,1,'Istoric_Nativ'!$D$6:$D$405,"&gt;="&amp;L14),SUMIFS('Istoric_Nativ'!$H$6:$H$405,'Istoric_Nativ'!$B$6:$B$405,E14,'Istoric_Nativ'!$C$6:$C$405,F14,'Istoric_Nativ'!$E$6:$E$405,G14,'Istoric_Nativ'!$D$6:$D$405,"&lt;"&amp;J14,'Istoric_Nativ'!$P$6:$P$405,1,'Istoric_Nativ'!$D$6:$D$405,"&gt;="&amp;L14)+SUMIFS('Istoric_Nativ'!$G$6:$G$405,'Istoric_Nativ'!$B$6:$B$405,E14,'Istoric_Nativ'!$C$6:$C$405,F14,'Istoric_Nativ'!$F$6:$F$405,G14,'Istoric_Nativ'!$D$6:$D$405,"&lt;"&amp;J14,'Istoric_Nativ'!$P$6:$P$405,1,'Istoric_Nativ'!$D$6:$D$405,"&gt;="&amp;L14)))/M14)</x:f>
      </x:c>
      <x:c r="P14" s="2" t="n">
        <x:f>'Config_v6'!$B$9</x:f>
        <x:v>3</x:v>
      </x:c>
      <x:c r="Q14" s="2" t="n">
        <x:f>IF(OR(B14="",F14=""),0,IFERROR(MATCH(E14&amp;"|"&amp;F14,SourceTable[Source_Key],0),0))</x:f>
        <x:v>0</x:v>
      </x:c>
      <x:c r="R14" s="2" t="str">
        <x:f>IF(B14="","",IF(F14="","UNUSED",IF(Q14=0,"NOT CHECKED",IF(COUNTIF(SourceTable[Source_Key],E14&amp;"|"&amp;F14)&lt;&gt;1,"SOURCE CONFLICT",IF(NOT(OR(INDEX(SourceTable[Status],MAX(1,Q14))="IMPORTED",INDEX(SourceTable[Status],MAX(1,Q14))="PARTIAL",INDEX(SourceTable[Status],MAX(1,Q14))="SOURCE CONFLICT")),"ACCESS BLOCKED",IF(OR(INDEX(SourceTable[Coverage],Q14)&lt;&gt;"FULL SEASON EXPORT",INDEX(SourceTable[URL],Q14)="",INDEX(SourceTable[SHA256],Q14)=""),"EVIDENCE INCOMPLETE",IF(AND('Input_Meci'!H6="LIVE",INDEX(SourceTable[Retrieved_UTC],Q14)&gt;'Input_Meci'!G6),"POST CUTOFF","CLOSED")))))))</x:f>
        <x:v>UNUSED</x:v>
      </x:c>
      <x:c r="S14" s="2" t="n">
        <x:f>IF(OR(B14="",F14=""),0,COUNTIFS('Istoric_Nativ'!$B$6:$B$405,E14,'Istoric_Nativ'!$C$6:$C$405,F14,'Istoric_Nativ'!$E$6:$E$405,G14,'Istoric_Nativ'!$D$6:$D$405,"&lt;"&amp;J14,'Istoric_Nativ'!$O$6:$O$405,"INVALID")+COUNTIFS('Istoric_Nativ'!$B$6:$B$405,E14,'Istoric_Nativ'!$C$6:$C$405,F14,'Istoric_Nativ'!$E$6:$E$405,G14,'Istoric_Nativ'!$O$6:$O$405,"INVALID",'Istoric_Nativ'!$D$6:$D$405,"*")+COUNTIFS('Istoric_Nativ'!$B$6:$B$405,E14,'Istoric_Nativ'!$C$6:$C$405,F14,'Istoric_Nativ'!$E$6:$E$405,G14,'Istoric_Nativ'!$D$6:$D$405,"&lt;"&amp;J14,'Istoric_Nativ'!$O$6:$O$405,"SOURCE CONFLICT")+COUNTIFS('Istoric_Nativ'!$B$6:$B$405,E14,'Istoric_Nativ'!$C$6:$C$405,F14,'Istoric_Nativ'!$F$6:$F$405,G14,'Istoric_Nativ'!$D$6:$D$405,"&lt;"&amp;J14,'Istoric_Nativ'!$O$6:$O$405,"INVALID")+COUNTIFS('Istoric_Nativ'!$B$6:$B$405,E14,'Istoric_Nativ'!$C$6:$C$405,F14,'Istoric_Nativ'!$F$6:$F$405,G14,'Istoric_Nativ'!$O$6:$O$405,"INVALID",'Istoric_Nativ'!$D$6:$D$405,"*")+COUNTIFS('Istoric_Nativ'!$B$6:$B$405,E14,'Istoric_Nativ'!$C$6:$C$405,F14,'Istoric_Nativ'!$F$6:$F$405,G14,'Istoric_Nativ'!$D$6:$D$405,"&lt;"&amp;J14,'Istoric_Nativ'!$O$6:$O$405,"SOURCE CONFLICT"))</x:f>
        <x:v>0</x:v>
      </x:c>
      <x:c r="T14" s="2" t="str">
        <x:f>IF(B14="","",IF(R14&lt;&gt;"CLOSED",R14,IF(S14&gt;0,"NATIVE INPUT ISSUE",IF(M14=0,"NO HISTORY",IF(M14&lt;P14,"SMALL SAMPLE","DERIVED")))))</x:f>
        <x:v>UNUSED</x:v>
      </x:c>
      <x:c r="U14" s="2" t="str">
        <x:f>IF(B14="","","NativeTable; "&amp;E14&amp;"; "&amp;F14&amp;"; "&amp;G14&amp;"; "&amp;H14&amp;"; before "&amp;TEXT(J14,"yyyy-mm-dd")&amp;IF(I14="RECENT","; from "&amp;TEXT(L14,"yyyy-mm-dd"),""))</x:f>
        <x:v>NativeTable; E0; ; Brighton; ANY; before 2026-05-23; from 1900-01-00</x:v>
      </x:c>
    </x:row>
    <x:row r="15" ht="21" customHeight="1">
      <x:c r="A15" s="2" t="n">
        <x:v>1</x:v>
      </x:c>
      <x:c r="B15" s="2" t="str">
        <x:f>IF('Input_Meci'!A6="","",'Input_Meci'!A6)</x:f>
        <x:v>REPLAY_1</x:v>
      </x:c>
      <x:c r="C15" s="2" t="str">
        <x:v>A</x:v>
      </x:c>
      <x:c r="D15" s="2" t="str">
        <x:v>PRIOR</x:v>
      </x:c>
      <x:c r="E15" s="2" t="str">
        <x:f>IF(B15="","",'Input_Meci'!B6)</x:f>
        <x:v>E0</x:v>
      </x:c>
      <x:c r="F15" s="2" t="str">
        <x:f>IF(B15="","",IF('Input_Meci'!K6="","",'Input_Meci'!K6))</x:f>
      </x:c>
      <x:c r="G15" s="2" t="str">
        <x:f>IF(B15="","",'Input_Meci'!E6)</x:f>
        <x:v>Man United</x:v>
      </x:c>
      <x:c r="H15" s="2" t="str">
        <x:v>ANY</x:v>
      </x:c>
      <x:c r="I15" s="2" t="str">
        <x:v>SEASON</x:v>
      </x:c>
      <x:c r="J15" s="9" t="n">
        <x:f>IF(AND(B15&lt;&gt;"",ISNUMBER('Input_Meci'!G6)),INT('Input_Meci'!G6),0)</x:f>
        <x:v>46165</x:v>
      </x:c>
      <x:c r="K15" s="2" t="n">
        <x:f>IF(OR(B15="",F15=""),0,IF(H15="HOME",COUNTIFS('Istoric_Nativ'!$B$6:$B$405,E15,'Istoric_Nativ'!$C$6:$C$405,F15,'Istoric_Nativ'!$E$6:$E$405,G15,'Istoric_Nativ'!$D$6:$D$405,"&lt;"&amp;J15,'Istoric_Nativ'!$P$6:$P$405,1),IF(H15="AWAY",COUNTIFS('Istoric_Nativ'!$B$6:$B$405,E15,'Istoric_Nativ'!$C$6:$C$405,F15,'Istoric_Nativ'!$F$6:$F$405,G15,'Istoric_Nativ'!$D$6:$D$405,"&lt;"&amp;J15,'Istoric_Nativ'!$P$6:$P$405,1),COUNTIFS('Istoric_Nativ'!$B$6:$B$405,E15,'Istoric_Nativ'!$C$6:$C$405,F15,'Istoric_Nativ'!$E$6:$E$405,G15,'Istoric_Nativ'!$D$6:$D$405,"&lt;"&amp;J15,'Istoric_Nativ'!$P$6:$P$405,1)+COUNTIFS('Istoric_Nativ'!$B$6:$B$405,E15,'Istoric_Nativ'!$C$6:$C$405,F15,'Istoric_Nativ'!$F$6:$F$405,G15,'Istoric_Nativ'!$D$6:$D$405,"&lt;"&amp;J15,'Istoric_Nativ'!$P$6:$P$405,1))))</x:f>
        <x:v>0</x:v>
      </x:c>
      <x:c r="L15" s="17" t="n">
        <x:f>IF(AND(B15&lt;&gt;"",I15="RECENT",K15&gt;0),LARGE(_xlfn._xlws.FILTER('Istoric_Nativ'!$D$6:$D$405,('Istoric_Nativ'!$B$6:$B$405=E15)*('Istoric_Nativ'!$C$6:$C$405=F15)*('Istoric_Nativ'!$P$6:$P$405=1)*('Istoric_Nativ'!$D$6:$D$405&lt;J15)*((('Istoric_Nativ'!$E$6:$E$405=G15)+('Istoric_Nativ'!$F$6:$F$405=G15))&gt;0)),MIN('Config_v6'!$B$54,K15)),0)</x:f>
        <x:v>0</x:v>
      </x:c>
      <x:c r="M15" s="2" t="n">
        <x:f>IF(OR(B15="",F15=""),0,IF(H15="HOME",COUNTIFS('Istoric_Nativ'!$B$6:$B$405,E15,'Istoric_Nativ'!$C$6:$C$405,F15,'Istoric_Nativ'!$E$6:$E$405,G15,'Istoric_Nativ'!$D$6:$D$405,"&lt;"&amp;J15,'Istoric_Nativ'!$P$6:$P$405,1,'Istoric_Nativ'!$D$6:$D$405,"&gt;="&amp;L15),IF(H15="AWAY",COUNTIFS('Istoric_Nativ'!$B$6:$B$405,E15,'Istoric_Nativ'!$C$6:$C$405,F15,'Istoric_Nativ'!$F$6:$F$405,G15,'Istoric_Nativ'!$D$6:$D$405,"&lt;"&amp;J15,'Istoric_Nativ'!$P$6:$P$405,1,'Istoric_Nativ'!$D$6:$D$405,"&gt;="&amp;L15),COUNTIFS('Istoric_Nativ'!$B$6:$B$405,E15,'Istoric_Nativ'!$C$6:$C$405,F15,'Istoric_Nativ'!$E$6:$E$405,G15,'Istoric_Nativ'!$D$6:$D$405,"&lt;"&amp;J15,'Istoric_Nativ'!$P$6:$P$405,1,'Istoric_Nativ'!$D$6:$D$405,"&gt;="&amp;L15)+COUNTIFS('Istoric_Nativ'!$B$6:$B$405,E15,'Istoric_Nativ'!$C$6:$C$405,F15,'Istoric_Nativ'!$F$6:$F$405,G15,'Istoric_Nativ'!$D$6:$D$405,"&lt;"&amp;J15,'Istoric_Nativ'!$P$6:$P$405,1,'Istoric_Nativ'!$D$6:$D$405,"&gt;="&amp;L15))))</x:f>
        <x:v>0</x:v>
      </x:c>
      <x:c r="N15" s="11" t="str">
        <x:f>IF(M15=0,"",IF(H15="HOME",SUMIFS('Istoric_Nativ'!$G$6:$G$405,'Istoric_Nativ'!$B$6:$B$405,E15,'Istoric_Nativ'!$C$6:$C$405,F15,'Istoric_Nativ'!$E$6:$E$405,G15,'Istoric_Nativ'!$D$6:$D$405,"&lt;"&amp;J15,'Istoric_Nativ'!$P$6:$P$405,1,'Istoric_Nativ'!$D$6:$D$405,"&gt;="&amp;L15),IF(H15="AWAY",SUMIFS('Istoric_Nativ'!$H$6:$H$405,'Istoric_Nativ'!$B$6:$B$405,E15,'Istoric_Nativ'!$C$6:$C$405,F15,'Istoric_Nativ'!$F$6:$F$405,G15,'Istoric_Nativ'!$D$6:$D$405,"&lt;"&amp;J15,'Istoric_Nativ'!$P$6:$P$405,1,'Istoric_Nativ'!$D$6:$D$405,"&gt;="&amp;L15),SUMIFS('Istoric_Nativ'!$G$6:$G$405,'Istoric_Nativ'!$B$6:$B$405,E15,'Istoric_Nativ'!$C$6:$C$405,F15,'Istoric_Nativ'!$E$6:$E$405,G15,'Istoric_Nativ'!$D$6:$D$405,"&lt;"&amp;J15,'Istoric_Nativ'!$P$6:$P$405,1,'Istoric_Nativ'!$D$6:$D$405,"&gt;="&amp;L15)+SUMIFS('Istoric_Nativ'!$H$6:$H$405,'Istoric_Nativ'!$B$6:$B$405,E15,'Istoric_Nativ'!$C$6:$C$405,F15,'Istoric_Nativ'!$F$6:$F$405,G15,'Istoric_Nativ'!$D$6:$D$405,"&lt;"&amp;J15,'Istoric_Nativ'!$P$6:$P$405,1,'Istoric_Nativ'!$D$6:$D$405,"&gt;="&amp;L15)))/M15)</x:f>
      </x:c>
      <x:c r="O15" s="11" t="str">
        <x:f>IF(M15=0,"",IF(H15="HOME",SUMIFS('Istoric_Nativ'!$H$6:$H$405,'Istoric_Nativ'!$B$6:$B$405,E15,'Istoric_Nativ'!$C$6:$C$405,F15,'Istoric_Nativ'!$E$6:$E$405,G15,'Istoric_Nativ'!$D$6:$D$405,"&lt;"&amp;J15,'Istoric_Nativ'!$P$6:$P$405,1,'Istoric_Nativ'!$D$6:$D$405,"&gt;="&amp;L15),IF(H15="AWAY",SUMIFS('Istoric_Nativ'!$G$6:$G$405,'Istoric_Nativ'!$B$6:$B$405,E15,'Istoric_Nativ'!$C$6:$C$405,F15,'Istoric_Nativ'!$F$6:$F$405,G15,'Istoric_Nativ'!$D$6:$D$405,"&lt;"&amp;J15,'Istoric_Nativ'!$P$6:$P$405,1,'Istoric_Nativ'!$D$6:$D$405,"&gt;="&amp;L15),SUMIFS('Istoric_Nativ'!$H$6:$H$405,'Istoric_Nativ'!$B$6:$B$405,E15,'Istoric_Nativ'!$C$6:$C$405,F15,'Istoric_Nativ'!$E$6:$E$405,G15,'Istoric_Nativ'!$D$6:$D$405,"&lt;"&amp;J15,'Istoric_Nativ'!$P$6:$P$405,1,'Istoric_Nativ'!$D$6:$D$405,"&gt;="&amp;L15)+SUMIFS('Istoric_Nativ'!$G$6:$G$405,'Istoric_Nativ'!$B$6:$B$405,E15,'Istoric_Nativ'!$C$6:$C$405,F15,'Istoric_Nativ'!$F$6:$F$405,G15,'Istoric_Nativ'!$D$6:$D$405,"&lt;"&amp;J15,'Istoric_Nativ'!$P$6:$P$405,1,'Istoric_Nativ'!$D$6:$D$405,"&gt;="&amp;L15)))/M15)</x:f>
      </x:c>
      <x:c r="P15" s="2" t="n">
        <x:f>'Config_v6'!$B$7</x:f>
        <x:v>10</x:v>
      </x:c>
      <x:c r="Q15" s="2" t="n">
        <x:f>IF(OR(B15="",F15=""),0,IFERROR(MATCH(E15&amp;"|"&amp;F15,SourceTable[Source_Key],0),0))</x:f>
        <x:v>0</x:v>
      </x:c>
      <x:c r="R15" s="2" t="str">
        <x:f>IF(B15="","",IF(F15="","UNUSED",IF(Q15=0,"NOT CHECKED",IF(COUNTIF(SourceTable[Source_Key],E15&amp;"|"&amp;F15)&lt;&gt;1,"SOURCE CONFLICT",IF(NOT(OR(INDEX(SourceTable[Status],MAX(1,Q15))="IMPORTED",INDEX(SourceTable[Status],MAX(1,Q15))="PARTIAL",INDEX(SourceTable[Status],MAX(1,Q15))="SOURCE CONFLICT")),"ACCESS BLOCKED",IF(OR(INDEX(SourceTable[Coverage],Q15)&lt;&gt;"FULL SEASON EXPORT",INDEX(SourceTable[URL],Q15)="",INDEX(SourceTable[SHA256],Q15)=""),"EVIDENCE INCOMPLETE",IF(AND('Input_Meci'!H6="LIVE",INDEX(SourceTable[Retrieved_UTC],Q15)&gt;'Input_Meci'!G6),"POST CUTOFF","CLOSED")))))))</x:f>
        <x:v>UNUSED</x:v>
      </x:c>
      <x:c r="S15" s="2" t="n">
        <x:f>IF(OR(B15="",F15=""),0,COUNTIFS('Istoric_Nativ'!$B$6:$B$405,E15,'Istoric_Nativ'!$C$6:$C$405,F15,'Istoric_Nativ'!$E$6:$E$405,G15,'Istoric_Nativ'!$D$6:$D$405,"&lt;"&amp;J15,'Istoric_Nativ'!$O$6:$O$405,"INVALID")+COUNTIFS('Istoric_Nativ'!$B$6:$B$405,E15,'Istoric_Nativ'!$C$6:$C$405,F15,'Istoric_Nativ'!$E$6:$E$405,G15,'Istoric_Nativ'!$O$6:$O$405,"INVALID",'Istoric_Nativ'!$D$6:$D$405,"*")+COUNTIFS('Istoric_Nativ'!$B$6:$B$405,E15,'Istoric_Nativ'!$C$6:$C$405,F15,'Istoric_Nativ'!$E$6:$E$405,G15,'Istoric_Nativ'!$D$6:$D$405,"&lt;"&amp;J15,'Istoric_Nativ'!$O$6:$O$405,"SOURCE CONFLICT")+COUNTIFS('Istoric_Nativ'!$B$6:$B$405,E15,'Istoric_Nativ'!$C$6:$C$405,F15,'Istoric_Nativ'!$F$6:$F$405,G15,'Istoric_Nativ'!$D$6:$D$405,"&lt;"&amp;J15,'Istoric_Nativ'!$O$6:$O$405,"INVALID")+COUNTIFS('Istoric_Nativ'!$B$6:$B$405,E15,'Istoric_Nativ'!$C$6:$C$405,F15,'Istoric_Nativ'!$F$6:$F$405,G15,'Istoric_Nativ'!$O$6:$O$405,"INVALID",'Istoric_Nativ'!$D$6:$D$405,"*")+COUNTIFS('Istoric_Nativ'!$B$6:$B$405,E15,'Istoric_Nativ'!$C$6:$C$405,F15,'Istoric_Nativ'!$F$6:$F$405,G15,'Istoric_Nativ'!$D$6:$D$405,"&lt;"&amp;J15,'Istoric_Nativ'!$O$6:$O$405,"SOURCE CONFLICT"))</x:f>
        <x:v>0</x:v>
      </x:c>
      <x:c r="T15" s="2" t="str">
        <x:f>IF(B15="","",IF(R15&lt;&gt;"CLOSED",R15,IF(S15&gt;0,"NATIVE INPUT ISSUE",IF(M15=0,"NO HISTORY",IF(M15&lt;P15,"SMALL SAMPLE","DERIVED")))))</x:f>
        <x:v>UNUSED</x:v>
      </x:c>
      <x:c r="U15" s="2" t="str">
        <x:f>IF(B15="","","NativeTable; "&amp;E15&amp;"; "&amp;F15&amp;"; "&amp;G15&amp;"; "&amp;H15&amp;"; before "&amp;TEXT(J15,"yyyy-mm-dd")&amp;IF(I15="RECENT","; from "&amp;TEXT(L15,"yyyy-mm-dd"),""))</x:f>
        <x:v>NativeTable; E0; ; Man United; ANY; before 2026-05-23</x:v>
      </x:c>
    </x:row>
    <x:row r="16" ht="21" customHeight="1">
      <x:c r="A16" s="2" t="n">
        <x:v>1</x:v>
      </x:c>
      <x:c r="B16" s="2" t="str">
        <x:f>IF('Input_Meci'!A6="","",'Input_Meci'!A6)</x:f>
        <x:v>REPLAY_1</x:v>
      </x:c>
      <x:c r="C16" s="2" t="str">
        <x:v>A</x:v>
      </x:c>
      <x:c r="D16" s="2" t="str">
        <x:v>PRIOR</x:v>
      </x:c>
      <x:c r="E16" s="2" t="str">
        <x:f>IF(B16="","",'Input_Meci'!B6)</x:f>
        <x:v>E0</x:v>
      </x:c>
      <x:c r="F16" s="2" t="str">
        <x:f>IF(B16="","",IF('Input_Meci'!K6="","",'Input_Meci'!K6))</x:f>
      </x:c>
      <x:c r="G16" s="2" t="str">
        <x:f>IF(B16="","",'Input_Meci'!E6)</x:f>
        <x:v>Man United</x:v>
      </x:c>
      <x:c r="H16" s="2" t="str">
        <x:v>AWAY</x:v>
      </x:c>
      <x:c r="I16" s="2" t="str">
        <x:v>HA</x:v>
      </x:c>
      <x:c r="J16" s="9" t="n">
        <x:f>IF(AND(B16&lt;&gt;"",ISNUMBER('Input_Meci'!G6)),INT('Input_Meci'!G6),0)</x:f>
        <x:v>46165</x:v>
      </x:c>
      <x:c r="K16" s="2" t="n">
        <x:f>IF(OR(B16="",F16=""),0,IF(H16="HOME",COUNTIFS('Istoric_Nativ'!$B$6:$B$405,E16,'Istoric_Nativ'!$C$6:$C$405,F16,'Istoric_Nativ'!$E$6:$E$405,G16,'Istoric_Nativ'!$D$6:$D$405,"&lt;"&amp;J16,'Istoric_Nativ'!$P$6:$P$405,1),IF(H16="AWAY",COUNTIFS('Istoric_Nativ'!$B$6:$B$405,E16,'Istoric_Nativ'!$C$6:$C$405,F16,'Istoric_Nativ'!$F$6:$F$405,G16,'Istoric_Nativ'!$D$6:$D$405,"&lt;"&amp;J16,'Istoric_Nativ'!$P$6:$P$405,1),COUNTIFS('Istoric_Nativ'!$B$6:$B$405,E16,'Istoric_Nativ'!$C$6:$C$405,F16,'Istoric_Nativ'!$E$6:$E$405,G16,'Istoric_Nativ'!$D$6:$D$405,"&lt;"&amp;J16,'Istoric_Nativ'!$P$6:$P$405,1)+COUNTIFS('Istoric_Nativ'!$B$6:$B$405,E16,'Istoric_Nativ'!$C$6:$C$405,F16,'Istoric_Nativ'!$F$6:$F$405,G16,'Istoric_Nativ'!$D$6:$D$405,"&lt;"&amp;J16,'Istoric_Nativ'!$P$6:$P$405,1))))</x:f>
        <x:v>0</x:v>
      </x:c>
      <x:c r="L16" s="17" t="n">
        <x:f>IF(AND(B16&lt;&gt;"",I16="RECENT",K16&gt;0),LARGE(_xlfn._xlws.FILTER('Istoric_Nativ'!$D$6:$D$405,('Istoric_Nativ'!$B$6:$B$405=E16)*('Istoric_Nativ'!$C$6:$C$405=F16)*('Istoric_Nativ'!$P$6:$P$405=1)*('Istoric_Nativ'!$D$6:$D$405&lt;J16)*((('Istoric_Nativ'!$E$6:$E$405=G16)+('Istoric_Nativ'!$F$6:$F$405=G16))&gt;0)),MIN('Config_v6'!$B$54,K16)),0)</x:f>
        <x:v>0</x:v>
      </x:c>
      <x:c r="M16" s="2" t="n">
        <x:f>IF(OR(B16="",F16=""),0,IF(H16="HOME",COUNTIFS('Istoric_Nativ'!$B$6:$B$405,E16,'Istoric_Nativ'!$C$6:$C$405,F16,'Istoric_Nativ'!$E$6:$E$405,G16,'Istoric_Nativ'!$D$6:$D$405,"&lt;"&amp;J16,'Istoric_Nativ'!$P$6:$P$405,1,'Istoric_Nativ'!$D$6:$D$405,"&gt;="&amp;L16),IF(H16="AWAY",COUNTIFS('Istoric_Nativ'!$B$6:$B$405,E16,'Istoric_Nativ'!$C$6:$C$405,F16,'Istoric_Nativ'!$F$6:$F$405,G16,'Istoric_Nativ'!$D$6:$D$405,"&lt;"&amp;J16,'Istoric_Nativ'!$P$6:$P$405,1,'Istoric_Nativ'!$D$6:$D$405,"&gt;="&amp;L16),COUNTIFS('Istoric_Nativ'!$B$6:$B$405,E16,'Istoric_Nativ'!$C$6:$C$405,F16,'Istoric_Nativ'!$E$6:$E$405,G16,'Istoric_Nativ'!$D$6:$D$405,"&lt;"&amp;J16,'Istoric_Nativ'!$P$6:$P$405,1,'Istoric_Nativ'!$D$6:$D$405,"&gt;="&amp;L16)+COUNTIFS('Istoric_Nativ'!$B$6:$B$405,E16,'Istoric_Nativ'!$C$6:$C$405,F16,'Istoric_Nativ'!$F$6:$F$405,G16,'Istoric_Nativ'!$D$6:$D$405,"&lt;"&amp;J16,'Istoric_Nativ'!$P$6:$P$405,1,'Istoric_Nativ'!$D$6:$D$405,"&gt;="&amp;L16))))</x:f>
        <x:v>0</x:v>
      </x:c>
      <x:c r="N16" s="11" t="str">
        <x:f>IF(M16=0,"",IF(H16="HOME",SUMIFS('Istoric_Nativ'!$G$6:$G$405,'Istoric_Nativ'!$B$6:$B$405,E16,'Istoric_Nativ'!$C$6:$C$405,F16,'Istoric_Nativ'!$E$6:$E$405,G16,'Istoric_Nativ'!$D$6:$D$405,"&lt;"&amp;J16,'Istoric_Nativ'!$P$6:$P$405,1,'Istoric_Nativ'!$D$6:$D$405,"&gt;="&amp;L16),IF(H16="AWAY",SUMIFS('Istoric_Nativ'!$H$6:$H$405,'Istoric_Nativ'!$B$6:$B$405,E16,'Istoric_Nativ'!$C$6:$C$405,F16,'Istoric_Nativ'!$F$6:$F$405,G16,'Istoric_Nativ'!$D$6:$D$405,"&lt;"&amp;J16,'Istoric_Nativ'!$P$6:$P$405,1,'Istoric_Nativ'!$D$6:$D$405,"&gt;="&amp;L16),SUMIFS('Istoric_Nativ'!$G$6:$G$405,'Istoric_Nativ'!$B$6:$B$405,E16,'Istoric_Nativ'!$C$6:$C$405,F16,'Istoric_Nativ'!$E$6:$E$405,G16,'Istoric_Nativ'!$D$6:$D$405,"&lt;"&amp;J16,'Istoric_Nativ'!$P$6:$P$405,1,'Istoric_Nativ'!$D$6:$D$405,"&gt;="&amp;L16)+SUMIFS('Istoric_Nativ'!$H$6:$H$405,'Istoric_Nativ'!$B$6:$B$405,E16,'Istoric_Nativ'!$C$6:$C$405,F16,'Istoric_Nativ'!$F$6:$F$405,G16,'Istoric_Nativ'!$D$6:$D$405,"&lt;"&amp;J16,'Istoric_Nativ'!$P$6:$P$405,1,'Istoric_Nativ'!$D$6:$D$405,"&gt;="&amp;L16)))/M16)</x:f>
      </x:c>
      <x:c r="O16" s="11" t="str">
        <x:f>IF(M16=0,"",IF(H16="HOME",SUMIFS('Istoric_Nativ'!$H$6:$H$405,'Istoric_Nativ'!$B$6:$B$405,E16,'Istoric_Nativ'!$C$6:$C$405,F16,'Istoric_Nativ'!$E$6:$E$405,G16,'Istoric_Nativ'!$D$6:$D$405,"&lt;"&amp;J16,'Istoric_Nativ'!$P$6:$P$405,1,'Istoric_Nativ'!$D$6:$D$405,"&gt;="&amp;L16),IF(H16="AWAY",SUMIFS('Istoric_Nativ'!$G$6:$G$405,'Istoric_Nativ'!$B$6:$B$405,E16,'Istoric_Nativ'!$C$6:$C$405,F16,'Istoric_Nativ'!$F$6:$F$405,G16,'Istoric_Nativ'!$D$6:$D$405,"&lt;"&amp;J16,'Istoric_Nativ'!$P$6:$P$405,1,'Istoric_Nativ'!$D$6:$D$405,"&gt;="&amp;L16),SUMIFS('Istoric_Nativ'!$H$6:$H$405,'Istoric_Nativ'!$B$6:$B$405,E16,'Istoric_Nativ'!$C$6:$C$405,F16,'Istoric_Nativ'!$E$6:$E$405,G16,'Istoric_Nativ'!$D$6:$D$405,"&lt;"&amp;J16,'Istoric_Nativ'!$P$6:$P$405,1,'Istoric_Nativ'!$D$6:$D$405,"&gt;="&amp;L16)+SUMIFS('Istoric_Nativ'!$G$6:$G$405,'Istoric_Nativ'!$B$6:$B$405,E16,'Istoric_Nativ'!$C$6:$C$405,F16,'Istoric_Nativ'!$F$6:$F$405,G16,'Istoric_Nativ'!$D$6:$D$405,"&lt;"&amp;J16,'Istoric_Nativ'!$P$6:$P$405,1,'Istoric_Nativ'!$D$6:$D$405,"&gt;="&amp;L16)))/M16)</x:f>
      </x:c>
      <x:c r="P16" s="2" t="n">
        <x:f>'Config_v6'!$B$8</x:f>
        <x:v>5</x:v>
      </x:c>
      <x:c r="Q16" s="2" t="n">
        <x:f>IF(OR(B16="",F16=""),0,IFERROR(MATCH(E16&amp;"|"&amp;F16,SourceTable[Source_Key],0),0))</x:f>
        <x:v>0</x:v>
      </x:c>
      <x:c r="R16" s="2" t="str">
        <x:f>IF(B16="","",IF(F16="","UNUSED",IF(Q16=0,"NOT CHECKED",IF(COUNTIF(SourceTable[Source_Key],E16&amp;"|"&amp;F16)&lt;&gt;1,"SOURCE CONFLICT",IF(NOT(OR(INDEX(SourceTable[Status],MAX(1,Q16))="IMPORTED",INDEX(SourceTable[Status],MAX(1,Q16))="PARTIAL",INDEX(SourceTable[Status],MAX(1,Q16))="SOURCE CONFLICT")),"ACCESS BLOCKED",IF(OR(INDEX(SourceTable[Coverage],Q16)&lt;&gt;"FULL SEASON EXPORT",INDEX(SourceTable[URL],Q16)="",INDEX(SourceTable[SHA256],Q16)=""),"EVIDENCE INCOMPLETE",IF(AND('Input_Meci'!H6="LIVE",INDEX(SourceTable[Retrieved_UTC],Q16)&gt;'Input_Meci'!G6),"POST CUTOFF","CLOSED")))))))</x:f>
        <x:v>UNUSED</x:v>
      </x:c>
      <x:c r="S16" s="2" t="n">
        <x:f>IF(OR(B16="",F16=""),0,COUNTIFS('Istoric_Nativ'!$B$6:$B$405,E16,'Istoric_Nativ'!$C$6:$C$405,F16,'Istoric_Nativ'!$E$6:$E$405,G16,'Istoric_Nativ'!$D$6:$D$405,"&lt;"&amp;J16,'Istoric_Nativ'!$O$6:$O$405,"INVALID")+COUNTIFS('Istoric_Nativ'!$B$6:$B$405,E16,'Istoric_Nativ'!$C$6:$C$405,F16,'Istoric_Nativ'!$E$6:$E$405,G16,'Istoric_Nativ'!$O$6:$O$405,"INVALID",'Istoric_Nativ'!$D$6:$D$405,"*")+COUNTIFS('Istoric_Nativ'!$B$6:$B$405,E16,'Istoric_Nativ'!$C$6:$C$405,F16,'Istoric_Nativ'!$E$6:$E$405,G16,'Istoric_Nativ'!$D$6:$D$405,"&lt;"&amp;J16,'Istoric_Nativ'!$O$6:$O$405,"SOURCE CONFLICT")+COUNTIFS('Istoric_Nativ'!$B$6:$B$405,E16,'Istoric_Nativ'!$C$6:$C$405,F16,'Istoric_Nativ'!$F$6:$F$405,G16,'Istoric_Nativ'!$D$6:$D$405,"&lt;"&amp;J16,'Istoric_Nativ'!$O$6:$O$405,"INVALID")+COUNTIFS('Istoric_Nativ'!$B$6:$B$405,E16,'Istoric_Nativ'!$C$6:$C$405,F16,'Istoric_Nativ'!$F$6:$F$405,G16,'Istoric_Nativ'!$O$6:$O$405,"INVALID",'Istoric_Nativ'!$D$6:$D$405,"*")+COUNTIFS('Istoric_Nativ'!$B$6:$B$405,E16,'Istoric_Nativ'!$C$6:$C$405,F16,'Istoric_Nativ'!$F$6:$F$405,G16,'Istoric_Nativ'!$D$6:$D$405,"&lt;"&amp;J16,'Istoric_Nativ'!$O$6:$O$405,"SOURCE CONFLICT"))</x:f>
        <x:v>0</x:v>
      </x:c>
      <x:c r="T16" s="2" t="str">
        <x:f>IF(B16="","",IF(R16&lt;&gt;"CLOSED",R16,IF(S16&gt;0,"NATIVE INPUT ISSUE",IF(M16=0,"NO HISTORY",IF(M16&lt;P16,"SMALL SAMPLE","DERIVED")))))</x:f>
        <x:v>UNUSED</x:v>
      </x:c>
      <x:c r="U16" s="2" t="str">
        <x:f>IF(B16="","","NativeTable; "&amp;E16&amp;"; "&amp;F16&amp;"; "&amp;G16&amp;"; "&amp;H16&amp;"; before "&amp;TEXT(J16,"yyyy-mm-dd")&amp;IF(I16="RECENT","; from "&amp;TEXT(L16,"yyyy-mm-dd"),""))</x:f>
        <x:v>NativeTable; E0; ; Man United; AWAY; before 2026-05-23</x:v>
      </x:c>
    </x:row>
    <x:row r="17" ht="21" customHeight="1">
      <x:c r="A17" s="2" t="n">
        <x:v>1</x:v>
      </x:c>
      <x:c r="B17" s="2" t="str">
        <x:f>IF('Input_Meci'!A6="","",'Input_Meci'!A6)</x:f>
        <x:v>REPLAY_1</x:v>
      </x:c>
      <x:c r="C17" s="2" t="str">
        <x:v>A</x:v>
      </x:c>
      <x:c r="D17" s="2" t="str">
        <x:v>PRIOR</x:v>
      </x:c>
      <x:c r="E17" s="2" t="str">
        <x:f>IF(B17="","",'Input_Meci'!B6)</x:f>
        <x:v>E0</x:v>
      </x:c>
      <x:c r="F17" s="2" t="str">
        <x:f>IF(B17="","",IF('Input_Meci'!K6="","",'Input_Meci'!K6))</x:f>
      </x:c>
      <x:c r="G17" s="2" t="str">
        <x:f>IF(B17="","",'Input_Meci'!E6)</x:f>
        <x:v>Man United</x:v>
      </x:c>
      <x:c r="H17" s="2" t="str">
        <x:v>ANY</x:v>
      </x:c>
      <x:c r="I17" s="2" t="str">
        <x:v>RECENT</x:v>
      </x:c>
      <x:c r="J17" s="9" t="n">
        <x:f>IF(AND(B17&lt;&gt;"",ISNUMBER('Input_Meci'!G6)),INT('Input_Meci'!G6),0)</x:f>
        <x:v>46165</x:v>
      </x:c>
      <x:c r="K17" s="2" t="n">
        <x:f>IF(OR(B17="",F17=""),0,IF(H17="HOME",COUNTIFS('Istoric_Nativ'!$B$6:$B$405,E17,'Istoric_Nativ'!$C$6:$C$405,F17,'Istoric_Nativ'!$E$6:$E$405,G17,'Istoric_Nativ'!$D$6:$D$405,"&lt;"&amp;J17,'Istoric_Nativ'!$P$6:$P$405,1),IF(H17="AWAY",COUNTIFS('Istoric_Nativ'!$B$6:$B$405,E17,'Istoric_Nativ'!$C$6:$C$405,F17,'Istoric_Nativ'!$F$6:$F$405,G17,'Istoric_Nativ'!$D$6:$D$405,"&lt;"&amp;J17,'Istoric_Nativ'!$P$6:$P$405,1),COUNTIFS('Istoric_Nativ'!$B$6:$B$405,E17,'Istoric_Nativ'!$C$6:$C$405,F17,'Istoric_Nativ'!$E$6:$E$405,G17,'Istoric_Nativ'!$D$6:$D$405,"&lt;"&amp;J17,'Istoric_Nativ'!$P$6:$P$405,1)+COUNTIFS('Istoric_Nativ'!$B$6:$B$405,E17,'Istoric_Nativ'!$C$6:$C$405,F17,'Istoric_Nativ'!$F$6:$F$405,G17,'Istoric_Nativ'!$D$6:$D$405,"&lt;"&amp;J17,'Istoric_Nativ'!$P$6:$P$405,1))))</x:f>
        <x:v>0</x:v>
      </x:c>
      <x:c r="L17" s="17" t="n">
        <x:f>IF(AND(B17&lt;&gt;"",I17="RECENT",K17&gt;0),LARGE(_xlfn._xlws.FILTER('Istoric_Nativ'!$D$6:$D$405,('Istoric_Nativ'!$B$6:$B$405=E17)*('Istoric_Nativ'!$C$6:$C$405=F17)*('Istoric_Nativ'!$P$6:$P$405=1)*('Istoric_Nativ'!$D$6:$D$405&lt;J17)*((('Istoric_Nativ'!$E$6:$E$405=G17)+('Istoric_Nativ'!$F$6:$F$405=G17))&gt;0)),MIN('Config_v6'!$B$54,K17)),0)</x:f>
        <x:v>0</x:v>
      </x:c>
      <x:c r="M17" s="2" t="n">
        <x:f>IF(OR(B17="",F17=""),0,IF(H17="HOME",COUNTIFS('Istoric_Nativ'!$B$6:$B$405,E17,'Istoric_Nativ'!$C$6:$C$405,F17,'Istoric_Nativ'!$E$6:$E$405,G17,'Istoric_Nativ'!$D$6:$D$405,"&lt;"&amp;J17,'Istoric_Nativ'!$P$6:$P$405,1,'Istoric_Nativ'!$D$6:$D$405,"&gt;="&amp;L17),IF(H17="AWAY",COUNTIFS('Istoric_Nativ'!$B$6:$B$405,E17,'Istoric_Nativ'!$C$6:$C$405,F17,'Istoric_Nativ'!$F$6:$F$405,G17,'Istoric_Nativ'!$D$6:$D$405,"&lt;"&amp;J17,'Istoric_Nativ'!$P$6:$P$405,1,'Istoric_Nativ'!$D$6:$D$405,"&gt;="&amp;L17),COUNTIFS('Istoric_Nativ'!$B$6:$B$405,E17,'Istoric_Nativ'!$C$6:$C$405,F17,'Istoric_Nativ'!$E$6:$E$405,G17,'Istoric_Nativ'!$D$6:$D$405,"&lt;"&amp;J17,'Istoric_Nativ'!$P$6:$P$405,1,'Istoric_Nativ'!$D$6:$D$405,"&gt;="&amp;L17)+COUNTIFS('Istoric_Nativ'!$B$6:$B$405,E17,'Istoric_Nativ'!$C$6:$C$405,F17,'Istoric_Nativ'!$F$6:$F$405,G17,'Istoric_Nativ'!$D$6:$D$405,"&lt;"&amp;J17,'Istoric_Nativ'!$P$6:$P$405,1,'Istoric_Nativ'!$D$6:$D$405,"&gt;="&amp;L17))))</x:f>
        <x:v>0</x:v>
      </x:c>
      <x:c r="N17" s="11" t="str">
        <x:f>IF(M17=0,"",IF(H17="HOME",SUMIFS('Istoric_Nativ'!$G$6:$G$405,'Istoric_Nativ'!$B$6:$B$405,E17,'Istoric_Nativ'!$C$6:$C$405,F17,'Istoric_Nativ'!$E$6:$E$405,G17,'Istoric_Nativ'!$D$6:$D$405,"&lt;"&amp;J17,'Istoric_Nativ'!$P$6:$P$405,1,'Istoric_Nativ'!$D$6:$D$405,"&gt;="&amp;L17),IF(H17="AWAY",SUMIFS('Istoric_Nativ'!$H$6:$H$405,'Istoric_Nativ'!$B$6:$B$405,E17,'Istoric_Nativ'!$C$6:$C$405,F17,'Istoric_Nativ'!$F$6:$F$405,G17,'Istoric_Nativ'!$D$6:$D$405,"&lt;"&amp;J17,'Istoric_Nativ'!$P$6:$P$405,1,'Istoric_Nativ'!$D$6:$D$405,"&gt;="&amp;L17),SUMIFS('Istoric_Nativ'!$G$6:$G$405,'Istoric_Nativ'!$B$6:$B$405,E17,'Istoric_Nativ'!$C$6:$C$405,F17,'Istoric_Nativ'!$E$6:$E$405,G17,'Istoric_Nativ'!$D$6:$D$405,"&lt;"&amp;J17,'Istoric_Nativ'!$P$6:$P$405,1,'Istoric_Nativ'!$D$6:$D$405,"&gt;="&amp;L17)+SUMIFS('Istoric_Nativ'!$H$6:$H$405,'Istoric_Nativ'!$B$6:$B$405,E17,'Istoric_Nativ'!$C$6:$C$405,F17,'Istoric_Nativ'!$F$6:$F$405,G17,'Istoric_Nativ'!$D$6:$D$405,"&lt;"&amp;J17,'Istoric_Nativ'!$P$6:$P$405,1,'Istoric_Nativ'!$D$6:$D$405,"&gt;="&amp;L17)))/M17)</x:f>
      </x:c>
      <x:c r="O17" s="11" t="str">
        <x:f>IF(M17=0,"",IF(H17="HOME",SUMIFS('Istoric_Nativ'!$H$6:$H$405,'Istoric_Nativ'!$B$6:$B$405,E17,'Istoric_Nativ'!$C$6:$C$405,F17,'Istoric_Nativ'!$E$6:$E$405,G17,'Istoric_Nativ'!$D$6:$D$405,"&lt;"&amp;J17,'Istoric_Nativ'!$P$6:$P$405,1,'Istoric_Nativ'!$D$6:$D$405,"&gt;="&amp;L17),IF(H17="AWAY",SUMIFS('Istoric_Nativ'!$G$6:$G$405,'Istoric_Nativ'!$B$6:$B$405,E17,'Istoric_Nativ'!$C$6:$C$405,F17,'Istoric_Nativ'!$F$6:$F$405,G17,'Istoric_Nativ'!$D$6:$D$405,"&lt;"&amp;J17,'Istoric_Nativ'!$P$6:$P$405,1,'Istoric_Nativ'!$D$6:$D$405,"&gt;="&amp;L17),SUMIFS('Istoric_Nativ'!$H$6:$H$405,'Istoric_Nativ'!$B$6:$B$405,E17,'Istoric_Nativ'!$C$6:$C$405,F17,'Istoric_Nativ'!$E$6:$E$405,G17,'Istoric_Nativ'!$D$6:$D$405,"&lt;"&amp;J17,'Istoric_Nativ'!$P$6:$P$405,1,'Istoric_Nativ'!$D$6:$D$405,"&gt;="&amp;L17)+SUMIFS('Istoric_Nativ'!$G$6:$G$405,'Istoric_Nativ'!$B$6:$B$405,E17,'Istoric_Nativ'!$C$6:$C$405,F17,'Istoric_Nativ'!$F$6:$F$405,G17,'Istoric_Nativ'!$D$6:$D$405,"&lt;"&amp;J17,'Istoric_Nativ'!$P$6:$P$405,1,'Istoric_Nativ'!$D$6:$D$405,"&gt;="&amp;L17)))/M17)</x:f>
      </x:c>
      <x:c r="P17" s="2" t="n">
        <x:f>'Config_v6'!$B$9</x:f>
        <x:v>3</x:v>
      </x:c>
      <x:c r="Q17" s="2" t="n">
        <x:f>IF(OR(B17="",F17=""),0,IFERROR(MATCH(E17&amp;"|"&amp;F17,SourceTable[Source_Key],0),0))</x:f>
        <x:v>0</x:v>
      </x:c>
      <x:c r="R17" s="2" t="str">
        <x:f>IF(B17="","",IF(F17="","UNUSED",IF(Q17=0,"NOT CHECKED",IF(COUNTIF(SourceTable[Source_Key],E17&amp;"|"&amp;F17)&lt;&gt;1,"SOURCE CONFLICT",IF(NOT(OR(INDEX(SourceTable[Status],MAX(1,Q17))="IMPORTED",INDEX(SourceTable[Status],MAX(1,Q17))="PARTIAL",INDEX(SourceTable[Status],MAX(1,Q17))="SOURCE CONFLICT")),"ACCESS BLOCKED",IF(OR(INDEX(SourceTable[Coverage],Q17)&lt;&gt;"FULL SEASON EXPORT",INDEX(SourceTable[URL],Q17)="",INDEX(SourceTable[SHA256],Q17)=""),"EVIDENCE INCOMPLETE",IF(AND('Input_Meci'!H6="LIVE",INDEX(SourceTable[Retrieved_UTC],Q17)&gt;'Input_Meci'!G6),"POST CUTOFF","CLOSED")))))))</x:f>
        <x:v>UNUSED</x:v>
      </x:c>
      <x:c r="S17" s="2" t="n">
        <x:f>IF(OR(B17="",F17=""),0,COUNTIFS('Istoric_Nativ'!$B$6:$B$405,E17,'Istoric_Nativ'!$C$6:$C$405,F17,'Istoric_Nativ'!$E$6:$E$405,G17,'Istoric_Nativ'!$D$6:$D$405,"&lt;"&amp;J17,'Istoric_Nativ'!$O$6:$O$405,"INVALID")+COUNTIFS('Istoric_Nativ'!$B$6:$B$405,E17,'Istoric_Nativ'!$C$6:$C$405,F17,'Istoric_Nativ'!$E$6:$E$405,G17,'Istoric_Nativ'!$O$6:$O$405,"INVALID",'Istoric_Nativ'!$D$6:$D$405,"*")+COUNTIFS('Istoric_Nativ'!$B$6:$B$405,E17,'Istoric_Nativ'!$C$6:$C$405,F17,'Istoric_Nativ'!$E$6:$E$405,G17,'Istoric_Nativ'!$D$6:$D$405,"&lt;"&amp;J17,'Istoric_Nativ'!$O$6:$O$405,"SOURCE CONFLICT")+COUNTIFS('Istoric_Nativ'!$B$6:$B$405,E17,'Istoric_Nativ'!$C$6:$C$405,F17,'Istoric_Nativ'!$F$6:$F$405,G17,'Istoric_Nativ'!$D$6:$D$405,"&lt;"&amp;J17,'Istoric_Nativ'!$O$6:$O$405,"INVALID")+COUNTIFS('Istoric_Nativ'!$B$6:$B$405,E17,'Istoric_Nativ'!$C$6:$C$405,F17,'Istoric_Nativ'!$F$6:$F$405,G17,'Istoric_Nativ'!$O$6:$O$405,"INVALID",'Istoric_Nativ'!$D$6:$D$405,"*")+COUNTIFS('Istoric_Nativ'!$B$6:$B$405,E17,'Istoric_Nativ'!$C$6:$C$405,F17,'Istoric_Nativ'!$F$6:$F$405,G17,'Istoric_Nativ'!$D$6:$D$405,"&lt;"&amp;J17,'Istoric_Nativ'!$O$6:$O$405,"SOURCE CONFLICT"))</x:f>
        <x:v>0</x:v>
      </x:c>
      <x:c r="T17" s="2" t="str">
        <x:f>IF(B17="","",IF(R17&lt;&gt;"CLOSED",R17,IF(S17&gt;0,"NATIVE INPUT ISSUE",IF(M17=0,"NO HISTORY",IF(M17&lt;P17,"SMALL SAMPLE","DERIVED")))))</x:f>
        <x:v>UNUSED</x:v>
      </x:c>
      <x:c r="U17" s="2" t="str">
        <x:f>IF(B17="","","NativeTable; "&amp;E17&amp;"; "&amp;F17&amp;"; "&amp;G17&amp;"; "&amp;H17&amp;"; before "&amp;TEXT(J17,"yyyy-mm-dd")&amp;IF(I17="RECENT","; from "&amp;TEXT(L17,"yyyy-mm-dd"),""))</x:f>
        <x:v>NativeTable; E0; ; Man United; ANY; before 2026-05-23; from 1900-01-00</x:v>
      </x:c>
    </x:row>
    <x:row r="18" ht="21" customHeight="1">
      <x:c r="A18" s="2" t="n">
        <x:v>2</x:v>
      </x:c>
      <x:c r="B18" s="2" t="str">
        <x:f>IF('Input_Meci'!A7="","",'Input_Meci'!A7)</x:f>
        <x:v>REPLAY_2</x:v>
      </x:c>
      <x:c r="C18" s="2" t="str">
        <x:v>H</x:v>
      </x:c>
      <x:c r="D18" s="2" t="str">
        <x:v>CURRENT</x:v>
      </x:c>
      <x:c r="E18" s="2" t="str">
        <x:f>IF(B18="","",'Input_Meci'!B7)</x:f>
        <x:v>E0</x:v>
      </x:c>
      <x:c r="F18" s="2" t="str">
        <x:f>IF(B18="","",IF('Input_Meci'!C7="","",'Input_Meci'!C7))</x:f>
        <x:v>2025/26</x:v>
      </x:c>
      <x:c r="G18" s="2" t="str">
        <x:f>IF(B18="","",'Input_Meci'!D7)</x:f>
        <x:v>Burnley</x:v>
      </x:c>
      <x:c r="H18" s="2" t="str">
        <x:v>ANY</x:v>
      </x:c>
      <x:c r="I18" s="2" t="str">
        <x:v>SEASON</x:v>
      </x:c>
      <x:c r="J18" s="9" t="n">
        <x:f>IF(AND(B18&lt;&gt;"",ISNUMBER('Input_Meci'!G7)),INT('Input_Meci'!G7),0)</x:f>
        <x:v>46165</x:v>
      </x:c>
      <x:c r="K18" s="2" t="n">
        <x:f>IF(OR(B18="",F18=""),0,IF(H18="HOME",COUNTIFS('Istoric_Nativ'!$B$6:$B$405,E18,'Istoric_Nativ'!$C$6:$C$405,F18,'Istoric_Nativ'!$E$6:$E$405,G18,'Istoric_Nativ'!$D$6:$D$405,"&lt;"&amp;J18,'Istoric_Nativ'!$P$6:$P$405,1),IF(H18="AWAY",COUNTIFS('Istoric_Nativ'!$B$6:$B$405,E18,'Istoric_Nativ'!$C$6:$C$405,F18,'Istoric_Nativ'!$F$6:$F$405,G18,'Istoric_Nativ'!$D$6:$D$405,"&lt;"&amp;J18,'Istoric_Nativ'!$P$6:$P$405,1),COUNTIFS('Istoric_Nativ'!$B$6:$B$405,E18,'Istoric_Nativ'!$C$6:$C$405,F18,'Istoric_Nativ'!$E$6:$E$405,G18,'Istoric_Nativ'!$D$6:$D$405,"&lt;"&amp;J18,'Istoric_Nativ'!$P$6:$P$405,1)+COUNTIFS('Istoric_Nativ'!$B$6:$B$405,E18,'Istoric_Nativ'!$C$6:$C$405,F18,'Istoric_Nativ'!$F$6:$F$405,G18,'Istoric_Nativ'!$D$6:$D$405,"&lt;"&amp;J18,'Istoric_Nativ'!$P$6:$P$405,1))))</x:f>
        <x:v>37</x:v>
      </x:c>
      <x:c r="L18" s="17" t="n">
        <x:f>IF(AND(B18&lt;&gt;"",I18="RECENT",K18&gt;0),LARGE(_xlfn._xlws.FILTER('Istoric_Nativ'!$D$6:$D$405,('Istoric_Nativ'!$B$6:$B$405=E18)*('Istoric_Nativ'!$C$6:$C$405=F18)*('Istoric_Nativ'!$P$6:$P$405=1)*('Istoric_Nativ'!$D$6:$D$405&lt;J18)*((('Istoric_Nativ'!$E$6:$E$405=G18)+('Istoric_Nativ'!$F$6:$F$405=G18))&gt;0)),MIN('Config_v6'!$B$54,K18)),0)</x:f>
        <x:v>0</x:v>
      </x:c>
      <x:c r="M18" s="2" t="n">
        <x:f>IF(OR(B18="",F18=""),0,IF(H18="HOME",COUNTIFS('Istoric_Nativ'!$B$6:$B$405,E18,'Istoric_Nativ'!$C$6:$C$405,F18,'Istoric_Nativ'!$E$6:$E$405,G18,'Istoric_Nativ'!$D$6:$D$405,"&lt;"&amp;J18,'Istoric_Nativ'!$P$6:$P$405,1,'Istoric_Nativ'!$D$6:$D$405,"&gt;="&amp;L18),IF(H18="AWAY",COUNTIFS('Istoric_Nativ'!$B$6:$B$405,E18,'Istoric_Nativ'!$C$6:$C$405,F18,'Istoric_Nativ'!$F$6:$F$405,G18,'Istoric_Nativ'!$D$6:$D$405,"&lt;"&amp;J18,'Istoric_Nativ'!$P$6:$P$405,1,'Istoric_Nativ'!$D$6:$D$405,"&gt;="&amp;L18),COUNTIFS('Istoric_Nativ'!$B$6:$B$405,E18,'Istoric_Nativ'!$C$6:$C$405,F18,'Istoric_Nativ'!$E$6:$E$405,G18,'Istoric_Nativ'!$D$6:$D$405,"&lt;"&amp;J18,'Istoric_Nativ'!$P$6:$P$405,1,'Istoric_Nativ'!$D$6:$D$405,"&gt;="&amp;L18)+COUNTIFS('Istoric_Nativ'!$B$6:$B$405,E18,'Istoric_Nativ'!$C$6:$C$405,F18,'Istoric_Nativ'!$F$6:$F$405,G18,'Istoric_Nativ'!$D$6:$D$405,"&lt;"&amp;J18,'Istoric_Nativ'!$P$6:$P$405,1,'Istoric_Nativ'!$D$6:$D$405,"&gt;="&amp;L18))))</x:f>
        <x:v>37</x:v>
      </x:c>
      <x:c r="N18" s="11" t="n">
        <x:f>IF(M18=0,"",IF(H18="HOME",SUMIFS('Istoric_Nativ'!$G$6:$G$405,'Istoric_Nativ'!$B$6:$B$405,E18,'Istoric_Nativ'!$C$6:$C$405,F18,'Istoric_Nativ'!$E$6:$E$405,G18,'Istoric_Nativ'!$D$6:$D$405,"&lt;"&amp;J18,'Istoric_Nativ'!$P$6:$P$405,1,'Istoric_Nativ'!$D$6:$D$405,"&gt;="&amp;L18),IF(H18="AWAY",SUMIFS('Istoric_Nativ'!$H$6:$H$405,'Istoric_Nativ'!$B$6:$B$405,E18,'Istoric_Nativ'!$C$6:$C$405,F18,'Istoric_Nativ'!$F$6:$F$405,G18,'Istoric_Nativ'!$D$6:$D$405,"&lt;"&amp;J18,'Istoric_Nativ'!$P$6:$P$405,1,'Istoric_Nativ'!$D$6:$D$405,"&gt;="&amp;L18),SUMIFS('Istoric_Nativ'!$G$6:$G$405,'Istoric_Nativ'!$B$6:$B$405,E18,'Istoric_Nativ'!$C$6:$C$405,F18,'Istoric_Nativ'!$E$6:$E$405,G18,'Istoric_Nativ'!$D$6:$D$405,"&lt;"&amp;J18,'Istoric_Nativ'!$P$6:$P$405,1,'Istoric_Nativ'!$D$6:$D$405,"&gt;="&amp;L18)+SUMIFS('Istoric_Nativ'!$H$6:$H$405,'Istoric_Nativ'!$B$6:$B$405,E18,'Istoric_Nativ'!$C$6:$C$405,F18,'Istoric_Nativ'!$F$6:$F$405,G18,'Istoric_Nativ'!$D$6:$D$405,"&lt;"&amp;J18,'Istoric_Nativ'!$P$6:$P$405,1,'Istoric_Nativ'!$D$6:$D$405,"&gt;="&amp;L18)))/M18)</x:f>
        <x:v>3.5405405405405403</x:v>
      </x:c>
      <x:c r="O18" s="11" t="n">
        <x:f>IF(M18=0,"",IF(H18="HOME",SUMIFS('Istoric_Nativ'!$H$6:$H$405,'Istoric_Nativ'!$B$6:$B$405,E18,'Istoric_Nativ'!$C$6:$C$405,F18,'Istoric_Nativ'!$E$6:$E$405,G18,'Istoric_Nativ'!$D$6:$D$405,"&lt;"&amp;J18,'Istoric_Nativ'!$P$6:$P$405,1,'Istoric_Nativ'!$D$6:$D$405,"&gt;="&amp;L18),IF(H18="AWAY",SUMIFS('Istoric_Nativ'!$G$6:$G$405,'Istoric_Nativ'!$B$6:$B$405,E18,'Istoric_Nativ'!$C$6:$C$405,F18,'Istoric_Nativ'!$F$6:$F$405,G18,'Istoric_Nativ'!$D$6:$D$405,"&lt;"&amp;J18,'Istoric_Nativ'!$P$6:$P$405,1,'Istoric_Nativ'!$D$6:$D$405,"&gt;="&amp;L18),SUMIFS('Istoric_Nativ'!$H$6:$H$405,'Istoric_Nativ'!$B$6:$B$405,E18,'Istoric_Nativ'!$C$6:$C$405,F18,'Istoric_Nativ'!$E$6:$E$405,G18,'Istoric_Nativ'!$D$6:$D$405,"&lt;"&amp;J18,'Istoric_Nativ'!$P$6:$P$405,1,'Istoric_Nativ'!$D$6:$D$405,"&gt;="&amp;L18)+SUMIFS('Istoric_Nativ'!$G$6:$G$405,'Istoric_Nativ'!$B$6:$B$405,E18,'Istoric_Nativ'!$C$6:$C$405,F18,'Istoric_Nativ'!$F$6:$F$405,G18,'Istoric_Nativ'!$D$6:$D$405,"&lt;"&amp;J18,'Istoric_Nativ'!$P$6:$P$405,1,'Istoric_Nativ'!$D$6:$D$405,"&gt;="&amp;L18)))/M18)</x:f>
        <x:v>5.972972972972973</x:v>
      </x:c>
      <x:c r="P18" s="2" t="n">
        <x:f>'Config_v6'!$B$7</x:f>
        <x:v>10</x:v>
      </x:c>
      <x:c r="Q18" s="2" t="n">
        <x:f>IF(OR(B18="",F18=""),0,IFERROR(MATCH(E18&amp;"|"&amp;F18,SourceTable[Source_Key],0),0))</x:f>
        <x:v>1</x:v>
      </x:c>
      <x:c r="R18" s="2" t="str">
        <x:f>IF(B18="","",IF(F18="","UNUSED",IF(Q18=0,"NOT CHECKED",IF(COUNTIF(SourceTable[Source_Key],E18&amp;"|"&amp;F18)&lt;&gt;1,"SOURCE CONFLICT",IF(NOT(OR(INDEX(SourceTable[Status],MAX(1,Q18))="IMPORTED",INDEX(SourceTable[Status],MAX(1,Q18))="PARTIAL",INDEX(SourceTable[Status],MAX(1,Q18))="SOURCE CONFLICT")),"ACCESS BLOCKED",IF(OR(INDEX(SourceTable[Coverage],Q18)&lt;&gt;"FULL SEASON EXPORT",INDEX(SourceTable[URL],Q18)="",INDEX(SourceTable[SHA256],Q18)=""),"EVIDENCE INCOMPLETE",IF(AND('Input_Meci'!H7="LIVE",INDEX(SourceTable[Retrieved_UTC],Q18)&gt;'Input_Meci'!G7),"POST CUTOFF","CLOSED")))))))</x:f>
        <x:v>CLOSED</x:v>
      </x:c>
      <x:c r="S18" s="2" t="n">
        <x:f>IF(OR(B18="",F18=""),0,COUNTIFS('Istoric_Nativ'!$B$6:$B$405,E18,'Istoric_Nativ'!$C$6:$C$405,F18,'Istoric_Nativ'!$E$6:$E$405,G18,'Istoric_Nativ'!$D$6:$D$405,"&lt;"&amp;J18,'Istoric_Nativ'!$O$6:$O$405,"INVALID")+COUNTIFS('Istoric_Nativ'!$B$6:$B$405,E18,'Istoric_Nativ'!$C$6:$C$405,F18,'Istoric_Nativ'!$E$6:$E$405,G18,'Istoric_Nativ'!$O$6:$O$405,"INVALID",'Istoric_Nativ'!$D$6:$D$405,"*")+COUNTIFS('Istoric_Nativ'!$B$6:$B$405,E18,'Istoric_Nativ'!$C$6:$C$405,F18,'Istoric_Nativ'!$E$6:$E$405,G18,'Istoric_Nativ'!$D$6:$D$405,"&lt;"&amp;J18,'Istoric_Nativ'!$O$6:$O$405,"SOURCE CONFLICT")+COUNTIFS('Istoric_Nativ'!$B$6:$B$405,E18,'Istoric_Nativ'!$C$6:$C$405,F18,'Istoric_Nativ'!$F$6:$F$405,G18,'Istoric_Nativ'!$D$6:$D$405,"&lt;"&amp;J18,'Istoric_Nativ'!$O$6:$O$405,"INVALID")+COUNTIFS('Istoric_Nativ'!$B$6:$B$405,E18,'Istoric_Nativ'!$C$6:$C$405,F18,'Istoric_Nativ'!$F$6:$F$405,G18,'Istoric_Nativ'!$O$6:$O$405,"INVALID",'Istoric_Nativ'!$D$6:$D$405,"*")+COUNTIFS('Istoric_Nativ'!$B$6:$B$405,E18,'Istoric_Nativ'!$C$6:$C$405,F18,'Istoric_Nativ'!$F$6:$F$405,G18,'Istoric_Nativ'!$D$6:$D$405,"&lt;"&amp;J18,'Istoric_Nativ'!$O$6:$O$405,"SOURCE CONFLICT"))</x:f>
        <x:v>0</x:v>
      </x:c>
      <x:c r="T18" s="2" t="str">
        <x:f>IF(B18="","",IF(R18&lt;&gt;"CLOSED",R18,IF(S18&gt;0,"NATIVE INPUT ISSUE",IF(M18=0,"NO HISTORY",IF(M18&lt;P18,"SMALL SAMPLE","DERIVED")))))</x:f>
        <x:v>DERIVED</x:v>
      </x:c>
      <x:c r="U18" s="2" t="str">
        <x:f>IF(B18="","","NativeTable; "&amp;E18&amp;"; "&amp;F18&amp;"; "&amp;G18&amp;"; "&amp;H18&amp;"; before "&amp;TEXT(J18,"yyyy-mm-dd")&amp;IF(I18="RECENT","; from "&amp;TEXT(L18,"yyyy-mm-dd"),""))</x:f>
        <x:v>NativeTable; E0; 2025/26; Burnley; ANY; before 2026-05-23</x:v>
      </x:c>
    </x:row>
    <x:row r="19" ht="21" customHeight="1">
      <x:c r="A19" s="2" t="n">
        <x:v>2</x:v>
      </x:c>
      <x:c r="B19" s="2" t="str">
        <x:f>IF('Input_Meci'!A7="","",'Input_Meci'!A7)</x:f>
        <x:v>REPLAY_2</x:v>
      </x:c>
      <x:c r="C19" s="2" t="str">
        <x:v>H</x:v>
      </x:c>
      <x:c r="D19" s="2" t="str">
        <x:v>CURRENT</x:v>
      </x:c>
      <x:c r="E19" s="2" t="str">
        <x:f>IF(B19="","",'Input_Meci'!B7)</x:f>
        <x:v>E0</x:v>
      </x:c>
      <x:c r="F19" s="2" t="str">
        <x:f>IF(B19="","",IF('Input_Meci'!C7="","",'Input_Meci'!C7))</x:f>
        <x:v>2025/26</x:v>
      </x:c>
      <x:c r="G19" s="2" t="str">
        <x:f>IF(B19="","",'Input_Meci'!D7)</x:f>
        <x:v>Burnley</x:v>
      </x:c>
      <x:c r="H19" s="2" t="str">
        <x:v>HOME</x:v>
      </x:c>
      <x:c r="I19" s="2" t="str">
        <x:v>HA</x:v>
      </x:c>
      <x:c r="J19" s="9" t="n">
        <x:f>IF(AND(B19&lt;&gt;"",ISNUMBER('Input_Meci'!G7)),INT('Input_Meci'!G7),0)</x:f>
        <x:v>46165</x:v>
      </x:c>
      <x:c r="K19" s="2" t="n">
        <x:f>IF(OR(B19="",F19=""),0,IF(H19="HOME",COUNTIFS('Istoric_Nativ'!$B$6:$B$405,E19,'Istoric_Nativ'!$C$6:$C$405,F19,'Istoric_Nativ'!$E$6:$E$405,G19,'Istoric_Nativ'!$D$6:$D$405,"&lt;"&amp;J19,'Istoric_Nativ'!$P$6:$P$405,1),IF(H19="AWAY",COUNTIFS('Istoric_Nativ'!$B$6:$B$405,E19,'Istoric_Nativ'!$C$6:$C$405,F19,'Istoric_Nativ'!$F$6:$F$405,G19,'Istoric_Nativ'!$D$6:$D$405,"&lt;"&amp;J19,'Istoric_Nativ'!$P$6:$P$405,1),COUNTIFS('Istoric_Nativ'!$B$6:$B$405,E19,'Istoric_Nativ'!$C$6:$C$405,F19,'Istoric_Nativ'!$E$6:$E$405,G19,'Istoric_Nativ'!$D$6:$D$405,"&lt;"&amp;J19,'Istoric_Nativ'!$P$6:$P$405,1)+COUNTIFS('Istoric_Nativ'!$B$6:$B$405,E19,'Istoric_Nativ'!$C$6:$C$405,F19,'Istoric_Nativ'!$F$6:$F$405,G19,'Istoric_Nativ'!$D$6:$D$405,"&lt;"&amp;J19,'Istoric_Nativ'!$P$6:$P$405,1))))</x:f>
        <x:v>18</x:v>
      </x:c>
      <x:c r="L19" s="17" t="n">
        <x:f>IF(AND(B19&lt;&gt;"",I19="RECENT",K19&gt;0),LARGE(_xlfn._xlws.FILTER('Istoric_Nativ'!$D$6:$D$405,('Istoric_Nativ'!$B$6:$B$405=E19)*('Istoric_Nativ'!$C$6:$C$405=F19)*('Istoric_Nativ'!$P$6:$P$405=1)*('Istoric_Nativ'!$D$6:$D$405&lt;J19)*((('Istoric_Nativ'!$E$6:$E$405=G19)+('Istoric_Nativ'!$F$6:$F$405=G19))&gt;0)),MIN('Config_v6'!$B$54,K19)),0)</x:f>
        <x:v>0</x:v>
      </x:c>
      <x:c r="M19" s="2" t="n">
        <x:f>IF(OR(B19="",F19=""),0,IF(H19="HOME",COUNTIFS('Istoric_Nativ'!$B$6:$B$405,E19,'Istoric_Nativ'!$C$6:$C$405,F19,'Istoric_Nativ'!$E$6:$E$405,G19,'Istoric_Nativ'!$D$6:$D$405,"&lt;"&amp;J19,'Istoric_Nativ'!$P$6:$P$405,1,'Istoric_Nativ'!$D$6:$D$405,"&gt;="&amp;L19),IF(H19="AWAY",COUNTIFS('Istoric_Nativ'!$B$6:$B$405,E19,'Istoric_Nativ'!$C$6:$C$405,F19,'Istoric_Nativ'!$F$6:$F$405,G19,'Istoric_Nativ'!$D$6:$D$405,"&lt;"&amp;J19,'Istoric_Nativ'!$P$6:$P$405,1,'Istoric_Nativ'!$D$6:$D$405,"&gt;="&amp;L19),COUNTIFS('Istoric_Nativ'!$B$6:$B$405,E19,'Istoric_Nativ'!$C$6:$C$405,F19,'Istoric_Nativ'!$E$6:$E$405,G19,'Istoric_Nativ'!$D$6:$D$405,"&lt;"&amp;J19,'Istoric_Nativ'!$P$6:$P$405,1,'Istoric_Nativ'!$D$6:$D$405,"&gt;="&amp;L19)+COUNTIFS('Istoric_Nativ'!$B$6:$B$405,E19,'Istoric_Nativ'!$C$6:$C$405,F19,'Istoric_Nativ'!$F$6:$F$405,G19,'Istoric_Nativ'!$D$6:$D$405,"&lt;"&amp;J19,'Istoric_Nativ'!$P$6:$P$405,1,'Istoric_Nativ'!$D$6:$D$405,"&gt;="&amp;L19))))</x:f>
        <x:v>18</x:v>
      </x:c>
      <x:c r="N19" s="11" t="n">
        <x:f>IF(M19=0,"",IF(H19="HOME",SUMIFS('Istoric_Nativ'!$G$6:$G$405,'Istoric_Nativ'!$B$6:$B$405,E19,'Istoric_Nativ'!$C$6:$C$405,F19,'Istoric_Nativ'!$E$6:$E$405,G19,'Istoric_Nativ'!$D$6:$D$405,"&lt;"&amp;J19,'Istoric_Nativ'!$P$6:$P$405,1,'Istoric_Nativ'!$D$6:$D$405,"&gt;="&amp;L19),IF(H19="AWAY",SUMIFS('Istoric_Nativ'!$H$6:$H$405,'Istoric_Nativ'!$B$6:$B$405,E19,'Istoric_Nativ'!$C$6:$C$405,F19,'Istoric_Nativ'!$F$6:$F$405,G19,'Istoric_Nativ'!$D$6:$D$405,"&lt;"&amp;J19,'Istoric_Nativ'!$P$6:$P$405,1,'Istoric_Nativ'!$D$6:$D$405,"&gt;="&amp;L19),SUMIFS('Istoric_Nativ'!$G$6:$G$405,'Istoric_Nativ'!$B$6:$B$405,E19,'Istoric_Nativ'!$C$6:$C$405,F19,'Istoric_Nativ'!$E$6:$E$405,G19,'Istoric_Nativ'!$D$6:$D$405,"&lt;"&amp;J19,'Istoric_Nativ'!$P$6:$P$405,1,'Istoric_Nativ'!$D$6:$D$405,"&gt;="&amp;L19)+SUMIFS('Istoric_Nativ'!$H$6:$H$405,'Istoric_Nativ'!$B$6:$B$405,E19,'Istoric_Nativ'!$C$6:$C$405,F19,'Istoric_Nativ'!$F$6:$F$405,G19,'Istoric_Nativ'!$D$6:$D$405,"&lt;"&amp;J19,'Istoric_Nativ'!$P$6:$P$405,1,'Istoric_Nativ'!$D$6:$D$405,"&gt;="&amp;L19)))/M19)</x:f>
        <x:v>3.5555555555555554</x:v>
      </x:c>
      <x:c r="O19" s="11" t="n">
        <x:f>IF(M19=0,"",IF(H19="HOME",SUMIFS('Istoric_Nativ'!$H$6:$H$405,'Istoric_Nativ'!$B$6:$B$405,E19,'Istoric_Nativ'!$C$6:$C$405,F19,'Istoric_Nativ'!$E$6:$E$405,G19,'Istoric_Nativ'!$D$6:$D$405,"&lt;"&amp;J19,'Istoric_Nativ'!$P$6:$P$405,1,'Istoric_Nativ'!$D$6:$D$405,"&gt;="&amp;L19),IF(H19="AWAY",SUMIFS('Istoric_Nativ'!$G$6:$G$405,'Istoric_Nativ'!$B$6:$B$405,E19,'Istoric_Nativ'!$C$6:$C$405,F19,'Istoric_Nativ'!$F$6:$F$405,G19,'Istoric_Nativ'!$D$6:$D$405,"&lt;"&amp;J19,'Istoric_Nativ'!$P$6:$P$405,1,'Istoric_Nativ'!$D$6:$D$405,"&gt;="&amp;L19),SUMIFS('Istoric_Nativ'!$H$6:$H$405,'Istoric_Nativ'!$B$6:$B$405,E19,'Istoric_Nativ'!$C$6:$C$405,F19,'Istoric_Nativ'!$E$6:$E$405,G19,'Istoric_Nativ'!$D$6:$D$405,"&lt;"&amp;J19,'Istoric_Nativ'!$P$6:$P$405,1,'Istoric_Nativ'!$D$6:$D$405,"&gt;="&amp;L19)+SUMIFS('Istoric_Nativ'!$G$6:$G$405,'Istoric_Nativ'!$B$6:$B$405,E19,'Istoric_Nativ'!$C$6:$C$405,F19,'Istoric_Nativ'!$F$6:$F$405,G19,'Istoric_Nativ'!$D$6:$D$405,"&lt;"&amp;J19,'Istoric_Nativ'!$P$6:$P$405,1,'Istoric_Nativ'!$D$6:$D$405,"&gt;="&amp;L19)))/M19)</x:f>
        <x:v>5.888888888888889</x:v>
      </x:c>
      <x:c r="P19" s="2" t="n">
        <x:f>'Config_v6'!$B$8</x:f>
        <x:v>5</x:v>
      </x:c>
      <x:c r="Q19" s="2" t="n">
        <x:f>IF(OR(B19="",F19=""),0,IFERROR(MATCH(E19&amp;"|"&amp;F19,SourceTable[Source_Key],0),0))</x:f>
        <x:v>1</x:v>
      </x:c>
      <x:c r="R19" s="2" t="str">
        <x:f>IF(B19="","",IF(F19="","UNUSED",IF(Q19=0,"NOT CHECKED",IF(COUNTIF(SourceTable[Source_Key],E19&amp;"|"&amp;F19)&lt;&gt;1,"SOURCE CONFLICT",IF(NOT(OR(INDEX(SourceTable[Status],MAX(1,Q19))="IMPORTED",INDEX(SourceTable[Status],MAX(1,Q19))="PARTIAL",INDEX(SourceTable[Status],MAX(1,Q19))="SOURCE CONFLICT")),"ACCESS BLOCKED",IF(OR(INDEX(SourceTable[Coverage],Q19)&lt;&gt;"FULL SEASON EXPORT",INDEX(SourceTable[URL],Q19)="",INDEX(SourceTable[SHA256],Q19)=""),"EVIDENCE INCOMPLETE",IF(AND('Input_Meci'!H7="LIVE",INDEX(SourceTable[Retrieved_UTC],Q19)&gt;'Input_Meci'!G7),"POST CUTOFF","CLOSED")))))))</x:f>
        <x:v>CLOSED</x:v>
      </x:c>
      <x:c r="S19" s="2" t="n">
        <x:f>IF(OR(B19="",F19=""),0,COUNTIFS('Istoric_Nativ'!$B$6:$B$405,E19,'Istoric_Nativ'!$C$6:$C$405,F19,'Istoric_Nativ'!$E$6:$E$405,G19,'Istoric_Nativ'!$D$6:$D$405,"&lt;"&amp;J19,'Istoric_Nativ'!$O$6:$O$405,"INVALID")+COUNTIFS('Istoric_Nativ'!$B$6:$B$405,E19,'Istoric_Nativ'!$C$6:$C$405,F19,'Istoric_Nativ'!$E$6:$E$405,G19,'Istoric_Nativ'!$O$6:$O$405,"INVALID",'Istoric_Nativ'!$D$6:$D$405,"*")+COUNTIFS('Istoric_Nativ'!$B$6:$B$405,E19,'Istoric_Nativ'!$C$6:$C$405,F19,'Istoric_Nativ'!$E$6:$E$405,G19,'Istoric_Nativ'!$D$6:$D$405,"&lt;"&amp;J19,'Istoric_Nativ'!$O$6:$O$405,"SOURCE CONFLICT")+COUNTIFS('Istoric_Nativ'!$B$6:$B$405,E19,'Istoric_Nativ'!$C$6:$C$405,F19,'Istoric_Nativ'!$F$6:$F$405,G19,'Istoric_Nativ'!$D$6:$D$405,"&lt;"&amp;J19,'Istoric_Nativ'!$O$6:$O$405,"INVALID")+COUNTIFS('Istoric_Nativ'!$B$6:$B$405,E19,'Istoric_Nativ'!$C$6:$C$405,F19,'Istoric_Nativ'!$F$6:$F$405,G19,'Istoric_Nativ'!$O$6:$O$405,"INVALID",'Istoric_Nativ'!$D$6:$D$405,"*")+COUNTIFS('Istoric_Nativ'!$B$6:$B$405,E19,'Istoric_Nativ'!$C$6:$C$405,F19,'Istoric_Nativ'!$F$6:$F$405,G19,'Istoric_Nativ'!$D$6:$D$405,"&lt;"&amp;J19,'Istoric_Nativ'!$O$6:$O$405,"SOURCE CONFLICT"))</x:f>
        <x:v>0</x:v>
      </x:c>
      <x:c r="T19" s="2" t="str">
        <x:f>IF(B19="","",IF(R19&lt;&gt;"CLOSED",R19,IF(S19&gt;0,"NATIVE INPUT ISSUE",IF(M19=0,"NO HISTORY",IF(M19&lt;P19,"SMALL SAMPLE","DERIVED")))))</x:f>
        <x:v>DERIVED</x:v>
      </x:c>
      <x:c r="U19" s="2" t="str">
        <x:f>IF(B19="","","NativeTable; "&amp;E19&amp;"; "&amp;F19&amp;"; "&amp;G19&amp;"; "&amp;H19&amp;"; before "&amp;TEXT(J19,"yyyy-mm-dd")&amp;IF(I19="RECENT","; from "&amp;TEXT(L19,"yyyy-mm-dd"),""))</x:f>
        <x:v>NativeTable; E0; 2025/26; Burnley; HOME; before 2026-05-23</x:v>
      </x:c>
    </x:row>
    <x:row r="20" ht="21" customHeight="1">
      <x:c r="A20" s="2" t="n">
        <x:v>2</x:v>
      </x:c>
      <x:c r="B20" s="2" t="str">
        <x:f>IF('Input_Meci'!A7="","",'Input_Meci'!A7)</x:f>
        <x:v>REPLAY_2</x:v>
      </x:c>
      <x:c r="C20" s="2" t="str">
        <x:v>H</x:v>
      </x:c>
      <x:c r="D20" s="2" t="str">
        <x:v>CURRENT</x:v>
      </x:c>
      <x:c r="E20" s="2" t="str">
        <x:f>IF(B20="","",'Input_Meci'!B7)</x:f>
        <x:v>E0</x:v>
      </x:c>
      <x:c r="F20" s="2" t="str">
        <x:f>IF(B20="","",IF('Input_Meci'!C7="","",'Input_Meci'!C7))</x:f>
        <x:v>2025/26</x:v>
      </x:c>
      <x:c r="G20" s="2" t="str">
        <x:f>IF(B20="","",'Input_Meci'!D7)</x:f>
        <x:v>Burnley</x:v>
      </x:c>
      <x:c r="H20" s="2" t="str">
        <x:v>ANY</x:v>
      </x:c>
      <x:c r="I20" s="2" t="str">
        <x:v>RECENT</x:v>
      </x:c>
      <x:c r="J20" s="9" t="n">
        <x:f>IF(AND(B20&lt;&gt;"",ISNUMBER('Input_Meci'!G7)),INT('Input_Meci'!G7),0)</x:f>
        <x:v>46165</x:v>
      </x:c>
      <x:c r="K20" s="2" t="n">
        <x:f>IF(OR(B20="",F20=""),0,IF(H20="HOME",COUNTIFS('Istoric_Nativ'!$B$6:$B$405,E20,'Istoric_Nativ'!$C$6:$C$405,F20,'Istoric_Nativ'!$E$6:$E$405,G20,'Istoric_Nativ'!$D$6:$D$405,"&lt;"&amp;J20,'Istoric_Nativ'!$P$6:$P$405,1),IF(H20="AWAY",COUNTIFS('Istoric_Nativ'!$B$6:$B$405,E20,'Istoric_Nativ'!$C$6:$C$405,F20,'Istoric_Nativ'!$F$6:$F$405,G20,'Istoric_Nativ'!$D$6:$D$405,"&lt;"&amp;J20,'Istoric_Nativ'!$P$6:$P$405,1),COUNTIFS('Istoric_Nativ'!$B$6:$B$405,E20,'Istoric_Nativ'!$C$6:$C$405,F20,'Istoric_Nativ'!$E$6:$E$405,G20,'Istoric_Nativ'!$D$6:$D$405,"&lt;"&amp;J20,'Istoric_Nativ'!$P$6:$P$405,1)+COUNTIFS('Istoric_Nativ'!$B$6:$B$405,E20,'Istoric_Nativ'!$C$6:$C$405,F20,'Istoric_Nativ'!$F$6:$F$405,G20,'Istoric_Nativ'!$D$6:$D$405,"&lt;"&amp;J20,'Istoric_Nativ'!$P$6:$P$405,1))))</x:f>
        <x:v>37</x:v>
      </x:c>
      <x:c r="L20" s="17" t="n">
        <x:f>IF(AND(B20&lt;&gt;"",I20="RECENT",K20&gt;0),LARGE(_xlfn._xlws.FILTER('Istoric_Nativ'!$D$6:$D$405,('Istoric_Nativ'!$B$6:$B$405=E20)*('Istoric_Nativ'!$C$6:$C$405=F20)*('Istoric_Nativ'!$P$6:$P$405=1)*('Istoric_Nativ'!$D$6:$D$405&lt;J20)*((('Istoric_Nativ'!$E$6:$E$405=G20)+('Istoric_Nativ'!$F$6:$F$405=G20))&gt;0)),MIN('Config_v6'!$B$54,K20)),0)</x:f>
        <x:v>46131</x:v>
      </x:c>
      <x:c r="M20" s="2" t="n">
        <x:f>IF(OR(B20="",F20=""),0,IF(H20="HOME",COUNTIFS('Istoric_Nativ'!$B$6:$B$405,E20,'Istoric_Nativ'!$C$6:$C$405,F20,'Istoric_Nativ'!$E$6:$E$405,G20,'Istoric_Nativ'!$D$6:$D$405,"&lt;"&amp;J20,'Istoric_Nativ'!$P$6:$P$405,1,'Istoric_Nativ'!$D$6:$D$405,"&gt;="&amp;L20),IF(H20="AWAY",COUNTIFS('Istoric_Nativ'!$B$6:$B$405,E20,'Istoric_Nativ'!$C$6:$C$405,F20,'Istoric_Nativ'!$F$6:$F$405,G20,'Istoric_Nativ'!$D$6:$D$405,"&lt;"&amp;J20,'Istoric_Nativ'!$P$6:$P$405,1,'Istoric_Nativ'!$D$6:$D$405,"&gt;="&amp;L20),COUNTIFS('Istoric_Nativ'!$B$6:$B$405,E20,'Istoric_Nativ'!$C$6:$C$405,F20,'Istoric_Nativ'!$E$6:$E$405,G20,'Istoric_Nativ'!$D$6:$D$405,"&lt;"&amp;J20,'Istoric_Nativ'!$P$6:$P$405,1,'Istoric_Nativ'!$D$6:$D$405,"&gt;="&amp;L20)+COUNTIFS('Istoric_Nativ'!$B$6:$B$405,E20,'Istoric_Nativ'!$C$6:$C$405,F20,'Istoric_Nativ'!$F$6:$F$405,G20,'Istoric_Nativ'!$D$6:$D$405,"&lt;"&amp;J20,'Istoric_Nativ'!$P$6:$P$405,1,'Istoric_Nativ'!$D$6:$D$405,"&gt;="&amp;L20))))</x:f>
        <x:v>5</x:v>
      </x:c>
      <x:c r="N20" s="11" t="n">
        <x:f>IF(M20=0,"",IF(H20="HOME",SUMIFS('Istoric_Nativ'!$G$6:$G$405,'Istoric_Nativ'!$B$6:$B$405,E20,'Istoric_Nativ'!$C$6:$C$405,F20,'Istoric_Nativ'!$E$6:$E$405,G20,'Istoric_Nativ'!$D$6:$D$405,"&lt;"&amp;J20,'Istoric_Nativ'!$P$6:$P$405,1,'Istoric_Nativ'!$D$6:$D$405,"&gt;="&amp;L20),IF(H20="AWAY",SUMIFS('Istoric_Nativ'!$H$6:$H$405,'Istoric_Nativ'!$B$6:$B$405,E20,'Istoric_Nativ'!$C$6:$C$405,F20,'Istoric_Nativ'!$F$6:$F$405,G20,'Istoric_Nativ'!$D$6:$D$405,"&lt;"&amp;J20,'Istoric_Nativ'!$P$6:$P$405,1,'Istoric_Nativ'!$D$6:$D$405,"&gt;="&amp;L20),SUMIFS('Istoric_Nativ'!$G$6:$G$405,'Istoric_Nativ'!$B$6:$B$405,E20,'Istoric_Nativ'!$C$6:$C$405,F20,'Istoric_Nativ'!$E$6:$E$405,G20,'Istoric_Nativ'!$D$6:$D$405,"&lt;"&amp;J20,'Istoric_Nativ'!$P$6:$P$405,1,'Istoric_Nativ'!$D$6:$D$405,"&gt;="&amp;L20)+SUMIFS('Istoric_Nativ'!$H$6:$H$405,'Istoric_Nativ'!$B$6:$B$405,E20,'Istoric_Nativ'!$C$6:$C$405,F20,'Istoric_Nativ'!$F$6:$F$405,G20,'Istoric_Nativ'!$D$6:$D$405,"&lt;"&amp;J20,'Istoric_Nativ'!$P$6:$P$405,1,'Istoric_Nativ'!$D$6:$D$405,"&gt;="&amp;L20)))/M20)</x:f>
        <x:v>2.4</x:v>
      </x:c>
      <x:c r="O20" s="11" t="n">
        <x:f>IF(M20=0,"",IF(H20="HOME",SUMIFS('Istoric_Nativ'!$H$6:$H$405,'Istoric_Nativ'!$B$6:$B$405,E20,'Istoric_Nativ'!$C$6:$C$405,F20,'Istoric_Nativ'!$E$6:$E$405,G20,'Istoric_Nativ'!$D$6:$D$405,"&lt;"&amp;J20,'Istoric_Nativ'!$P$6:$P$405,1,'Istoric_Nativ'!$D$6:$D$405,"&gt;="&amp;L20),IF(H20="AWAY",SUMIFS('Istoric_Nativ'!$G$6:$G$405,'Istoric_Nativ'!$B$6:$B$405,E20,'Istoric_Nativ'!$C$6:$C$405,F20,'Istoric_Nativ'!$F$6:$F$405,G20,'Istoric_Nativ'!$D$6:$D$405,"&lt;"&amp;J20,'Istoric_Nativ'!$P$6:$P$405,1,'Istoric_Nativ'!$D$6:$D$405,"&gt;="&amp;L20),SUMIFS('Istoric_Nativ'!$H$6:$H$405,'Istoric_Nativ'!$B$6:$B$405,E20,'Istoric_Nativ'!$C$6:$C$405,F20,'Istoric_Nativ'!$E$6:$E$405,G20,'Istoric_Nativ'!$D$6:$D$405,"&lt;"&amp;J20,'Istoric_Nativ'!$P$6:$P$405,1,'Istoric_Nativ'!$D$6:$D$405,"&gt;="&amp;L20)+SUMIFS('Istoric_Nativ'!$G$6:$G$405,'Istoric_Nativ'!$B$6:$B$405,E20,'Istoric_Nativ'!$C$6:$C$405,F20,'Istoric_Nativ'!$F$6:$F$405,G20,'Istoric_Nativ'!$D$6:$D$405,"&lt;"&amp;J20,'Istoric_Nativ'!$P$6:$P$405,1,'Istoric_Nativ'!$D$6:$D$405,"&gt;="&amp;L20)))/M20)</x:f>
        <x:v>6.2</x:v>
      </x:c>
      <x:c r="P20" s="2" t="n">
        <x:f>'Config_v6'!$B$9</x:f>
        <x:v>3</x:v>
      </x:c>
      <x:c r="Q20" s="2" t="n">
        <x:f>IF(OR(B20="",F20=""),0,IFERROR(MATCH(E20&amp;"|"&amp;F20,SourceTable[Source_Key],0),0))</x:f>
        <x:v>1</x:v>
      </x:c>
      <x:c r="R20" s="2" t="str">
        <x:f>IF(B20="","",IF(F20="","UNUSED",IF(Q20=0,"NOT CHECKED",IF(COUNTIF(SourceTable[Source_Key],E20&amp;"|"&amp;F20)&lt;&gt;1,"SOURCE CONFLICT",IF(NOT(OR(INDEX(SourceTable[Status],MAX(1,Q20))="IMPORTED",INDEX(SourceTable[Status],MAX(1,Q20))="PARTIAL",INDEX(SourceTable[Status],MAX(1,Q20))="SOURCE CONFLICT")),"ACCESS BLOCKED",IF(OR(INDEX(SourceTable[Coverage],Q20)&lt;&gt;"FULL SEASON EXPORT",INDEX(SourceTable[URL],Q20)="",INDEX(SourceTable[SHA256],Q20)=""),"EVIDENCE INCOMPLETE",IF(AND('Input_Meci'!H7="LIVE",INDEX(SourceTable[Retrieved_UTC],Q20)&gt;'Input_Meci'!G7),"POST CUTOFF","CLOSED")))))))</x:f>
        <x:v>CLOSED</x:v>
      </x:c>
      <x:c r="S20" s="2" t="n">
        <x:f>IF(OR(B20="",F20=""),0,COUNTIFS('Istoric_Nativ'!$B$6:$B$405,E20,'Istoric_Nativ'!$C$6:$C$405,F20,'Istoric_Nativ'!$E$6:$E$405,G20,'Istoric_Nativ'!$D$6:$D$405,"&lt;"&amp;J20,'Istoric_Nativ'!$O$6:$O$405,"INVALID")+COUNTIFS('Istoric_Nativ'!$B$6:$B$405,E20,'Istoric_Nativ'!$C$6:$C$405,F20,'Istoric_Nativ'!$E$6:$E$405,G20,'Istoric_Nativ'!$O$6:$O$405,"INVALID",'Istoric_Nativ'!$D$6:$D$405,"*")+COUNTIFS('Istoric_Nativ'!$B$6:$B$405,E20,'Istoric_Nativ'!$C$6:$C$405,F20,'Istoric_Nativ'!$E$6:$E$405,G20,'Istoric_Nativ'!$D$6:$D$405,"&lt;"&amp;J20,'Istoric_Nativ'!$O$6:$O$405,"SOURCE CONFLICT")+COUNTIFS('Istoric_Nativ'!$B$6:$B$405,E20,'Istoric_Nativ'!$C$6:$C$405,F20,'Istoric_Nativ'!$F$6:$F$405,G20,'Istoric_Nativ'!$D$6:$D$405,"&lt;"&amp;J20,'Istoric_Nativ'!$O$6:$O$405,"INVALID")+COUNTIFS('Istoric_Nativ'!$B$6:$B$405,E20,'Istoric_Nativ'!$C$6:$C$405,F20,'Istoric_Nativ'!$F$6:$F$405,G20,'Istoric_Nativ'!$O$6:$O$405,"INVALID",'Istoric_Nativ'!$D$6:$D$405,"*")+COUNTIFS('Istoric_Nativ'!$B$6:$B$405,E20,'Istoric_Nativ'!$C$6:$C$405,F20,'Istoric_Nativ'!$F$6:$F$405,G20,'Istoric_Nativ'!$D$6:$D$405,"&lt;"&amp;J20,'Istoric_Nativ'!$O$6:$O$405,"SOURCE CONFLICT"))</x:f>
        <x:v>0</x:v>
      </x:c>
      <x:c r="T20" s="2" t="str">
        <x:f>IF(B20="","",IF(R20&lt;&gt;"CLOSED",R20,IF(S20&gt;0,"NATIVE INPUT ISSUE",IF(M20=0,"NO HISTORY",IF(M20&lt;P20,"SMALL SAMPLE","DERIVED")))))</x:f>
        <x:v>DERIVED</x:v>
      </x:c>
      <x:c r="U20" s="2" t="str">
        <x:f>IF(B20="","","NativeTable; "&amp;E20&amp;"; "&amp;F20&amp;"; "&amp;G20&amp;"; "&amp;H20&amp;"; before "&amp;TEXT(J20,"yyyy-mm-dd")&amp;IF(I20="RECENT","; from "&amp;TEXT(L20,"yyyy-mm-dd"),""))</x:f>
        <x:v>NativeTable; E0; 2025/26; Burnley; ANY; before 2026-05-23; from 2026-04-19</x:v>
      </x:c>
    </x:row>
    <x:row r="21" ht="21" customHeight="1">
      <x:c r="A21" s="2" t="n">
        <x:v>2</x:v>
      </x:c>
      <x:c r="B21" s="2" t="str">
        <x:f>IF('Input_Meci'!A7="","",'Input_Meci'!A7)</x:f>
        <x:v>REPLAY_2</x:v>
      </x:c>
      <x:c r="C21" s="2" t="str">
        <x:v>A</x:v>
      </x:c>
      <x:c r="D21" s="2" t="str">
        <x:v>CURRENT</x:v>
      </x:c>
      <x:c r="E21" s="2" t="str">
        <x:f>IF(B21="","",'Input_Meci'!B7)</x:f>
        <x:v>E0</x:v>
      </x:c>
      <x:c r="F21" s="2" t="str">
        <x:f>IF(B21="","",IF('Input_Meci'!C7="","",'Input_Meci'!C7))</x:f>
        <x:v>2025/26</x:v>
      </x:c>
      <x:c r="G21" s="2" t="str">
        <x:f>IF(B21="","",'Input_Meci'!E7)</x:f>
        <x:v>Wolves</x:v>
      </x:c>
      <x:c r="H21" s="2" t="str">
        <x:v>ANY</x:v>
      </x:c>
      <x:c r="I21" s="2" t="str">
        <x:v>SEASON</x:v>
      </x:c>
      <x:c r="J21" s="9" t="n">
        <x:f>IF(AND(B21&lt;&gt;"",ISNUMBER('Input_Meci'!G7)),INT('Input_Meci'!G7),0)</x:f>
        <x:v>46165</x:v>
      </x:c>
      <x:c r="K21" s="2" t="n">
        <x:f>IF(OR(B21="",F21=""),0,IF(H21="HOME",COUNTIFS('Istoric_Nativ'!$B$6:$B$405,E21,'Istoric_Nativ'!$C$6:$C$405,F21,'Istoric_Nativ'!$E$6:$E$405,G21,'Istoric_Nativ'!$D$6:$D$405,"&lt;"&amp;J21,'Istoric_Nativ'!$P$6:$P$405,1),IF(H21="AWAY",COUNTIFS('Istoric_Nativ'!$B$6:$B$405,E21,'Istoric_Nativ'!$C$6:$C$405,F21,'Istoric_Nativ'!$F$6:$F$405,G21,'Istoric_Nativ'!$D$6:$D$405,"&lt;"&amp;J21,'Istoric_Nativ'!$P$6:$P$405,1),COUNTIFS('Istoric_Nativ'!$B$6:$B$405,E21,'Istoric_Nativ'!$C$6:$C$405,F21,'Istoric_Nativ'!$E$6:$E$405,G21,'Istoric_Nativ'!$D$6:$D$405,"&lt;"&amp;J21,'Istoric_Nativ'!$P$6:$P$405,1)+COUNTIFS('Istoric_Nativ'!$B$6:$B$405,E21,'Istoric_Nativ'!$C$6:$C$405,F21,'Istoric_Nativ'!$F$6:$F$405,G21,'Istoric_Nativ'!$D$6:$D$405,"&lt;"&amp;J21,'Istoric_Nativ'!$P$6:$P$405,1))))</x:f>
        <x:v>37</x:v>
      </x:c>
      <x:c r="L21" s="17" t="n">
        <x:f>IF(AND(B21&lt;&gt;"",I21="RECENT",K21&gt;0),LARGE(_xlfn._xlws.FILTER('Istoric_Nativ'!$D$6:$D$405,('Istoric_Nativ'!$B$6:$B$405=E21)*('Istoric_Nativ'!$C$6:$C$405=F21)*('Istoric_Nativ'!$P$6:$P$405=1)*('Istoric_Nativ'!$D$6:$D$405&lt;J21)*((('Istoric_Nativ'!$E$6:$E$405=G21)+('Istoric_Nativ'!$F$6:$F$405=G21))&gt;0)),MIN('Config_v6'!$B$54,K21)),0)</x:f>
        <x:v>0</x:v>
      </x:c>
      <x:c r="M21" s="2" t="n">
        <x:f>IF(OR(B21="",F21=""),0,IF(H21="HOME",COUNTIFS('Istoric_Nativ'!$B$6:$B$405,E21,'Istoric_Nativ'!$C$6:$C$405,F21,'Istoric_Nativ'!$E$6:$E$405,G21,'Istoric_Nativ'!$D$6:$D$405,"&lt;"&amp;J21,'Istoric_Nativ'!$P$6:$P$405,1,'Istoric_Nativ'!$D$6:$D$405,"&gt;="&amp;L21),IF(H21="AWAY",COUNTIFS('Istoric_Nativ'!$B$6:$B$405,E21,'Istoric_Nativ'!$C$6:$C$405,F21,'Istoric_Nativ'!$F$6:$F$405,G21,'Istoric_Nativ'!$D$6:$D$405,"&lt;"&amp;J21,'Istoric_Nativ'!$P$6:$P$405,1,'Istoric_Nativ'!$D$6:$D$405,"&gt;="&amp;L21),COUNTIFS('Istoric_Nativ'!$B$6:$B$405,E21,'Istoric_Nativ'!$C$6:$C$405,F21,'Istoric_Nativ'!$E$6:$E$405,G21,'Istoric_Nativ'!$D$6:$D$405,"&lt;"&amp;J21,'Istoric_Nativ'!$P$6:$P$405,1,'Istoric_Nativ'!$D$6:$D$405,"&gt;="&amp;L21)+COUNTIFS('Istoric_Nativ'!$B$6:$B$405,E21,'Istoric_Nativ'!$C$6:$C$405,F21,'Istoric_Nativ'!$F$6:$F$405,G21,'Istoric_Nativ'!$D$6:$D$405,"&lt;"&amp;J21,'Istoric_Nativ'!$P$6:$P$405,1,'Istoric_Nativ'!$D$6:$D$405,"&gt;="&amp;L21))))</x:f>
        <x:v>37</x:v>
      </x:c>
      <x:c r="N21" s="11" t="n">
        <x:f>IF(M21=0,"",IF(H21="HOME",SUMIFS('Istoric_Nativ'!$G$6:$G$405,'Istoric_Nativ'!$B$6:$B$405,E21,'Istoric_Nativ'!$C$6:$C$405,F21,'Istoric_Nativ'!$E$6:$E$405,G21,'Istoric_Nativ'!$D$6:$D$405,"&lt;"&amp;J21,'Istoric_Nativ'!$P$6:$P$405,1,'Istoric_Nativ'!$D$6:$D$405,"&gt;="&amp;L21),IF(H21="AWAY",SUMIFS('Istoric_Nativ'!$H$6:$H$405,'Istoric_Nativ'!$B$6:$B$405,E21,'Istoric_Nativ'!$C$6:$C$405,F21,'Istoric_Nativ'!$F$6:$F$405,G21,'Istoric_Nativ'!$D$6:$D$405,"&lt;"&amp;J21,'Istoric_Nativ'!$P$6:$P$405,1,'Istoric_Nativ'!$D$6:$D$405,"&gt;="&amp;L21),SUMIFS('Istoric_Nativ'!$G$6:$G$405,'Istoric_Nativ'!$B$6:$B$405,E21,'Istoric_Nativ'!$C$6:$C$405,F21,'Istoric_Nativ'!$E$6:$E$405,G21,'Istoric_Nativ'!$D$6:$D$405,"&lt;"&amp;J21,'Istoric_Nativ'!$P$6:$P$405,1,'Istoric_Nativ'!$D$6:$D$405,"&gt;="&amp;L21)+SUMIFS('Istoric_Nativ'!$H$6:$H$405,'Istoric_Nativ'!$B$6:$B$405,E21,'Istoric_Nativ'!$C$6:$C$405,F21,'Istoric_Nativ'!$F$6:$F$405,G21,'Istoric_Nativ'!$D$6:$D$405,"&lt;"&amp;J21,'Istoric_Nativ'!$P$6:$P$405,1,'Istoric_Nativ'!$D$6:$D$405,"&gt;="&amp;L21)))/M21)</x:f>
        <x:v>3.324324324324324</x:v>
      </x:c>
      <x:c r="O21" s="11" t="n">
        <x:f>IF(M21=0,"",IF(H21="HOME",SUMIFS('Istoric_Nativ'!$H$6:$H$405,'Istoric_Nativ'!$B$6:$B$405,E21,'Istoric_Nativ'!$C$6:$C$405,F21,'Istoric_Nativ'!$E$6:$E$405,G21,'Istoric_Nativ'!$D$6:$D$405,"&lt;"&amp;J21,'Istoric_Nativ'!$P$6:$P$405,1,'Istoric_Nativ'!$D$6:$D$405,"&gt;="&amp;L21),IF(H21="AWAY",SUMIFS('Istoric_Nativ'!$G$6:$G$405,'Istoric_Nativ'!$B$6:$B$405,E21,'Istoric_Nativ'!$C$6:$C$405,F21,'Istoric_Nativ'!$F$6:$F$405,G21,'Istoric_Nativ'!$D$6:$D$405,"&lt;"&amp;J21,'Istoric_Nativ'!$P$6:$P$405,1,'Istoric_Nativ'!$D$6:$D$405,"&gt;="&amp;L21),SUMIFS('Istoric_Nativ'!$H$6:$H$405,'Istoric_Nativ'!$B$6:$B$405,E21,'Istoric_Nativ'!$C$6:$C$405,F21,'Istoric_Nativ'!$E$6:$E$405,G21,'Istoric_Nativ'!$D$6:$D$405,"&lt;"&amp;J21,'Istoric_Nativ'!$P$6:$P$405,1,'Istoric_Nativ'!$D$6:$D$405,"&gt;="&amp;L21)+SUMIFS('Istoric_Nativ'!$G$6:$G$405,'Istoric_Nativ'!$B$6:$B$405,E21,'Istoric_Nativ'!$C$6:$C$405,F21,'Istoric_Nativ'!$F$6:$F$405,G21,'Istoric_Nativ'!$D$6:$D$405,"&lt;"&amp;J21,'Istoric_Nativ'!$P$6:$P$405,1,'Istoric_Nativ'!$D$6:$D$405,"&gt;="&amp;L21)))/M21)</x:f>
        <x:v>5.972972972972973</x:v>
      </x:c>
      <x:c r="P21" s="2" t="n">
        <x:f>'Config_v6'!$B$7</x:f>
        <x:v>10</x:v>
      </x:c>
      <x:c r="Q21" s="2" t="n">
        <x:f>IF(OR(B21="",F21=""),0,IFERROR(MATCH(E21&amp;"|"&amp;F21,SourceTable[Source_Key],0),0))</x:f>
        <x:v>1</x:v>
      </x:c>
      <x:c r="R21" s="2" t="str">
        <x:f>IF(B21="","",IF(F21="","UNUSED",IF(Q21=0,"NOT CHECKED",IF(COUNTIF(SourceTable[Source_Key],E21&amp;"|"&amp;F21)&lt;&gt;1,"SOURCE CONFLICT",IF(NOT(OR(INDEX(SourceTable[Status],MAX(1,Q21))="IMPORTED",INDEX(SourceTable[Status],MAX(1,Q21))="PARTIAL",INDEX(SourceTable[Status],MAX(1,Q21))="SOURCE CONFLICT")),"ACCESS BLOCKED",IF(OR(INDEX(SourceTable[Coverage],Q21)&lt;&gt;"FULL SEASON EXPORT",INDEX(SourceTable[URL],Q21)="",INDEX(SourceTable[SHA256],Q21)=""),"EVIDENCE INCOMPLETE",IF(AND('Input_Meci'!H7="LIVE",INDEX(SourceTable[Retrieved_UTC],Q21)&gt;'Input_Meci'!G7),"POST CUTOFF","CLOSED")))))))</x:f>
        <x:v>CLOSED</x:v>
      </x:c>
      <x:c r="S21" s="2" t="n">
        <x:f>IF(OR(B21="",F21=""),0,COUNTIFS('Istoric_Nativ'!$B$6:$B$405,E21,'Istoric_Nativ'!$C$6:$C$405,F21,'Istoric_Nativ'!$E$6:$E$405,G21,'Istoric_Nativ'!$D$6:$D$405,"&lt;"&amp;J21,'Istoric_Nativ'!$O$6:$O$405,"INVALID")+COUNTIFS('Istoric_Nativ'!$B$6:$B$405,E21,'Istoric_Nativ'!$C$6:$C$405,F21,'Istoric_Nativ'!$E$6:$E$405,G21,'Istoric_Nativ'!$O$6:$O$405,"INVALID",'Istoric_Nativ'!$D$6:$D$405,"*")+COUNTIFS('Istoric_Nativ'!$B$6:$B$405,E21,'Istoric_Nativ'!$C$6:$C$405,F21,'Istoric_Nativ'!$E$6:$E$405,G21,'Istoric_Nativ'!$D$6:$D$405,"&lt;"&amp;J21,'Istoric_Nativ'!$O$6:$O$405,"SOURCE CONFLICT")+COUNTIFS('Istoric_Nativ'!$B$6:$B$405,E21,'Istoric_Nativ'!$C$6:$C$405,F21,'Istoric_Nativ'!$F$6:$F$405,G21,'Istoric_Nativ'!$D$6:$D$405,"&lt;"&amp;J21,'Istoric_Nativ'!$O$6:$O$405,"INVALID")+COUNTIFS('Istoric_Nativ'!$B$6:$B$405,E21,'Istoric_Nativ'!$C$6:$C$405,F21,'Istoric_Nativ'!$F$6:$F$405,G21,'Istoric_Nativ'!$O$6:$O$405,"INVALID",'Istoric_Nativ'!$D$6:$D$405,"*")+COUNTIFS('Istoric_Nativ'!$B$6:$B$405,E21,'Istoric_Nativ'!$C$6:$C$405,F21,'Istoric_Nativ'!$F$6:$F$405,G21,'Istoric_Nativ'!$D$6:$D$405,"&lt;"&amp;J21,'Istoric_Nativ'!$O$6:$O$405,"SOURCE CONFLICT"))</x:f>
        <x:v>0</x:v>
      </x:c>
      <x:c r="T21" s="2" t="str">
        <x:f>IF(B21="","",IF(R21&lt;&gt;"CLOSED",R21,IF(S21&gt;0,"NATIVE INPUT ISSUE",IF(M21=0,"NO HISTORY",IF(M21&lt;P21,"SMALL SAMPLE","DERIVED")))))</x:f>
        <x:v>DERIVED</x:v>
      </x:c>
      <x:c r="U21" s="2" t="str">
        <x:f>IF(B21="","","NativeTable; "&amp;E21&amp;"; "&amp;F21&amp;"; "&amp;G21&amp;"; "&amp;H21&amp;"; before "&amp;TEXT(J21,"yyyy-mm-dd")&amp;IF(I21="RECENT","; from "&amp;TEXT(L21,"yyyy-mm-dd"),""))</x:f>
        <x:v>NativeTable; E0; 2025/26; Wolves; ANY; before 2026-05-23</x:v>
      </x:c>
    </x:row>
    <x:row r="22" ht="21" customHeight="1">
      <x:c r="A22" s="2" t="n">
        <x:v>2</x:v>
      </x:c>
      <x:c r="B22" s="2" t="str">
        <x:f>IF('Input_Meci'!A7="","",'Input_Meci'!A7)</x:f>
        <x:v>REPLAY_2</x:v>
      </x:c>
      <x:c r="C22" s="2" t="str">
        <x:v>A</x:v>
      </x:c>
      <x:c r="D22" s="2" t="str">
        <x:v>CURRENT</x:v>
      </x:c>
      <x:c r="E22" s="2" t="str">
        <x:f>IF(B22="","",'Input_Meci'!B7)</x:f>
        <x:v>E0</x:v>
      </x:c>
      <x:c r="F22" s="2" t="str">
        <x:f>IF(B22="","",IF('Input_Meci'!C7="","",'Input_Meci'!C7))</x:f>
        <x:v>2025/26</x:v>
      </x:c>
      <x:c r="G22" s="2" t="str">
        <x:f>IF(B22="","",'Input_Meci'!E7)</x:f>
        <x:v>Wolves</x:v>
      </x:c>
      <x:c r="H22" s="2" t="str">
        <x:v>AWAY</x:v>
      </x:c>
      <x:c r="I22" s="2" t="str">
        <x:v>HA</x:v>
      </x:c>
      <x:c r="J22" s="9" t="n">
        <x:f>IF(AND(B22&lt;&gt;"",ISNUMBER('Input_Meci'!G7)),INT('Input_Meci'!G7),0)</x:f>
        <x:v>46165</x:v>
      </x:c>
      <x:c r="K22" s="2" t="n">
        <x:f>IF(OR(B22="",F22=""),0,IF(H22="HOME",COUNTIFS('Istoric_Nativ'!$B$6:$B$405,E22,'Istoric_Nativ'!$C$6:$C$405,F22,'Istoric_Nativ'!$E$6:$E$405,G22,'Istoric_Nativ'!$D$6:$D$405,"&lt;"&amp;J22,'Istoric_Nativ'!$P$6:$P$405,1),IF(H22="AWAY",COUNTIFS('Istoric_Nativ'!$B$6:$B$405,E22,'Istoric_Nativ'!$C$6:$C$405,F22,'Istoric_Nativ'!$F$6:$F$405,G22,'Istoric_Nativ'!$D$6:$D$405,"&lt;"&amp;J22,'Istoric_Nativ'!$P$6:$P$405,1),COUNTIFS('Istoric_Nativ'!$B$6:$B$405,E22,'Istoric_Nativ'!$C$6:$C$405,F22,'Istoric_Nativ'!$E$6:$E$405,G22,'Istoric_Nativ'!$D$6:$D$405,"&lt;"&amp;J22,'Istoric_Nativ'!$P$6:$P$405,1)+COUNTIFS('Istoric_Nativ'!$B$6:$B$405,E22,'Istoric_Nativ'!$C$6:$C$405,F22,'Istoric_Nativ'!$F$6:$F$405,G22,'Istoric_Nativ'!$D$6:$D$405,"&lt;"&amp;J22,'Istoric_Nativ'!$P$6:$P$405,1))))</x:f>
        <x:v>18</x:v>
      </x:c>
      <x:c r="L22" s="17" t="n">
        <x:f>IF(AND(B22&lt;&gt;"",I22="RECENT",K22&gt;0),LARGE(_xlfn._xlws.FILTER('Istoric_Nativ'!$D$6:$D$405,('Istoric_Nativ'!$B$6:$B$405=E22)*('Istoric_Nativ'!$C$6:$C$405=F22)*('Istoric_Nativ'!$P$6:$P$405=1)*('Istoric_Nativ'!$D$6:$D$405&lt;J22)*((('Istoric_Nativ'!$E$6:$E$405=G22)+('Istoric_Nativ'!$F$6:$F$405=G22))&gt;0)),MIN('Config_v6'!$B$54,K22)),0)</x:f>
        <x:v>0</x:v>
      </x:c>
      <x:c r="M22" s="2" t="n">
        <x:f>IF(OR(B22="",F22=""),0,IF(H22="HOME",COUNTIFS('Istoric_Nativ'!$B$6:$B$405,E22,'Istoric_Nativ'!$C$6:$C$405,F22,'Istoric_Nativ'!$E$6:$E$405,G22,'Istoric_Nativ'!$D$6:$D$405,"&lt;"&amp;J22,'Istoric_Nativ'!$P$6:$P$405,1,'Istoric_Nativ'!$D$6:$D$405,"&gt;="&amp;L22),IF(H22="AWAY",COUNTIFS('Istoric_Nativ'!$B$6:$B$405,E22,'Istoric_Nativ'!$C$6:$C$405,F22,'Istoric_Nativ'!$F$6:$F$405,G22,'Istoric_Nativ'!$D$6:$D$405,"&lt;"&amp;J22,'Istoric_Nativ'!$P$6:$P$405,1,'Istoric_Nativ'!$D$6:$D$405,"&gt;="&amp;L22),COUNTIFS('Istoric_Nativ'!$B$6:$B$405,E22,'Istoric_Nativ'!$C$6:$C$405,F22,'Istoric_Nativ'!$E$6:$E$405,G22,'Istoric_Nativ'!$D$6:$D$405,"&lt;"&amp;J22,'Istoric_Nativ'!$P$6:$P$405,1,'Istoric_Nativ'!$D$6:$D$405,"&gt;="&amp;L22)+COUNTIFS('Istoric_Nativ'!$B$6:$B$405,E22,'Istoric_Nativ'!$C$6:$C$405,F22,'Istoric_Nativ'!$F$6:$F$405,G22,'Istoric_Nativ'!$D$6:$D$405,"&lt;"&amp;J22,'Istoric_Nativ'!$P$6:$P$405,1,'Istoric_Nativ'!$D$6:$D$405,"&gt;="&amp;L22))))</x:f>
        <x:v>18</x:v>
      </x:c>
      <x:c r="N22" s="11" t="n">
        <x:f>IF(M22=0,"",IF(H22="HOME",SUMIFS('Istoric_Nativ'!$G$6:$G$405,'Istoric_Nativ'!$B$6:$B$405,E22,'Istoric_Nativ'!$C$6:$C$405,F22,'Istoric_Nativ'!$E$6:$E$405,G22,'Istoric_Nativ'!$D$6:$D$405,"&lt;"&amp;J22,'Istoric_Nativ'!$P$6:$P$405,1,'Istoric_Nativ'!$D$6:$D$405,"&gt;="&amp;L22),IF(H22="AWAY",SUMIFS('Istoric_Nativ'!$H$6:$H$405,'Istoric_Nativ'!$B$6:$B$405,E22,'Istoric_Nativ'!$C$6:$C$405,F22,'Istoric_Nativ'!$F$6:$F$405,G22,'Istoric_Nativ'!$D$6:$D$405,"&lt;"&amp;J22,'Istoric_Nativ'!$P$6:$P$405,1,'Istoric_Nativ'!$D$6:$D$405,"&gt;="&amp;L22),SUMIFS('Istoric_Nativ'!$G$6:$G$405,'Istoric_Nativ'!$B$6:$B$405,E22,'Istoric_Nativ'!$C$6:$C$405,F22,'Istoric_Nativ'!$E$6:$E$405,G22,'Istoric_Nativ'!$D$6:$D$405,"&lt;"&amp;J22,'Istoric_Nativ'!$P$6:$P$405,1,'Istoric_Nativ'!$D$6:$D$405,"&gt;="&amp;L22)+SUMIFS('Istoric_Nativ'!$H$6:$H$405,'Istoric_Nativ'!$B$6:$B$405,E22,'Istoric_Nativ'!$C$6:$C$405,F22,'Istoric_Nativ'!$F$6:$F$405,G22,'Istoric_Nativ'!$D$6:$D$405,"&lt;"&amp;J22,'Istoric_Nativ'!$P$6:$P$405,1,'Istoric_Nativ'!$D$6:$D$405,"&gt;="&amp;L22)))/M22)</x:f>
        <x:v>3.5</x:v>
      </x:c>
      <x:c r="O22" s="11" t="n">
        <x:f>IF(M22=0,"",IF(H22="HOME",SUMIFS('Istoric_Nativ'!$H$6:$H$405,'Istoric_Nativ'!$B$6:$B$405,E22,'Istoric_Nativ'!$C$6:$C$405,F22,'Istoric_Nativ'!$E$6:$E$405,G22,'Istoric_Nativ'!$D$6:$D$405,"&lt;"&amp;J22,'Istoric_Nativ'!$P$6:$P$405,1,'Istoric_Nativ'!$D$6:$D$405,"&gt;="&amp;L22),IF(H22="AWAY",SUMIFS('Istoric_Nativ'!$G$6:$G$405,'Istoric_Nativ'!$B$6:$B$405,E22,'Istoric_Nativ'!$C$6:$C$405,F22,'Istoric_Nativ'!$F$6:$F$405,G22,'Istoric_Nativ'!$D$6:$D$405,"&lt;"&amp;J22,'Istoric_Nativ'!$P$6:$P$405,1,'Istoric_Nativ'!$D$6:$D$405,"&gt;="&amp;L22),SUMIFS('Istoric_Nativ'!$H$6:$H$405,'Istoric_Nativ'!$B$6:$B$405,E22,'Istoric_Nativ'!$C$6:$C$405,F22,'Istoric_Nativ'!$E$6:$E$405,G22,'Istoric_Nativ'!$D$6:$D$405,"&lt;"&amp;J22,'Istoric_Nativ'!$P$6:$P$405,1,'Istoric_Nativ'!$D$6:$D$405,"&gt;="&amp;L22)+SUMIFS('Istoric_Nativ'!$G$6:$G$405,'Istoric_Nativ'!$B$6:$B$405,E22,'Istoric_Nativ'!$C$6:$C$405,F22,'Istoric_Nativ'!$F$6:$F$405,G22,'Istoric_Nativ'!$D$6:$D$405,"&lt;"&amp;J22,'Istoric_Nativ'!$P$6:$P$405,1,'Istoric_Nativ'!$D$6:$D$405,"&gt;="&amp;L22)))/M22)</x:f>
        <x:v>6.611111111111111</x:v>
      </x:c>
      <x:c r="P22" s="2" t="n">
        <x:f>'Config_v6'!$B$8</x:f>
        <x:v>5</x:v>
      </x:c>
      <x:c r="Q22" s="2" t="n">
        <x:f>IF(OR(B22="",F22=""),0,IFERROR(MATCH(E22&amp;"|"&amp;F22,SourceTable[Source_Key],0),0))</x:f>
        <x:v>1</x:v>
      </x:c>
      <x:c r="R22" s="2" t="str">
        <x:f>IF(B22="","",IF(F22="","UNUSED",IF(Q22=0,"NOT CHECKED",IF(COUNTIF(SourceTable[Source_Key],E22&amp;"|"&amp;F22)&lt;&gt;1,"SOURCE CONFLICT",IF(NOT(OR(INDEX(SourceTable[Status],MAX(1,Q22))="IMPORTED",INDEX(SourceTable[Status],MAX(1,Q22))="PARTIAL",INDEX(SourceTable[Status],MAX(1,Q22))="SOURCE CONFLICT")),"ACCESS BLOCKED",IF(OR(INDEX(SourceTable[Coverage],Q22)&lt;&gt;"FULL SEASON EXPORT",INDEX(SourceTable[URL],Q22)="",INDEX(SourceTable[SHA256],Q22)=""),"EVIDENCE INCOMPLETE",IF(AND('Input_Meci'!H7="LIVE",INDEX(SourceTable[Retrieved_UTC],Q22)&gt;'Input_Meci'!G7),"POST CUTOFF","CLOSED")))))))</x:f>
        <x:v>CLOSED</x:v>
      </x:c>
      <x:c r="S22" s="2" t="n">
        <x:f>IF(OR(B22="",F22=""),0,COUNTIFS('Istoric_Nativ'!$B$6:$B$405,E22,'Istoric_Nativ'!$C$6:$C$405,F22,'Istoric_Nativ'!$E$6:$E$405,G22,'Istoric_Nativ'!$D$6:$D$405,"&lt;"&amp;J22,'Istoric_Nativ'!$O$6:$O$405,"INVALID")+COUNTIFS('Istoric_Nativ'!$B$6:$B$405,E22,'Istoric_Nativ'!$C$6:$C$405,F22,'Istoric_Nativ'!$E$6:$E$405,G22,'Istoric_Nativ'!$O$6:$O$405,"INVALID",'Istoric_Nativ'!$D$6:$D$405,"*")+COUNTIFS('Istoric_Nativ'!$B$6:$B$405,E22,'Istoric_Nativ'!$C$6:$C$405,F22,'Istoric_Nativ'!$E$6:$E$405,G22,'Istoric_Nativ'!$D$6:$D$405,"&lt;"&amp;J22,'Istoric_Nativ'!$O$6:$O$405,"SOURCE CONFLICT")+COUNTIFS('Istoric_Nativ'!$B$6:$B$405,E22,'Istoric_Nativ'!$C$6:$C$405,F22,'Istoric_Nativ'!$F$6:$F$405,G22,'Istoric_Nativ'!$D$6:$D$405,"&lt;"&amp;J22,'Istoric_Nativ'!$O$6:$O$405,"INVALID")+COUNTIFS('Istoric_Nativ'!$B$6:$B$405,E22,'Istoric_Nativ'!$C$6:$C$405,F22,'Istoric_Nativ'!$F$6:$F$405,G22,'Istoric_Nativ'!$O$6:$O$405,"INVALID",'Istoric_Nativ'!$D$6:$D$405,"*")+COUNTIFS('Istoric_Nativ'!$B$6:$B$405,E22,'Istoric_Nativ'!$C$6:$C$405,F22,'Istoric_Nativ'!$F$6:$F$405,G22,'Istoric_Nativ'!$D$6:$D$405,"&lt;"&amp;J22,'Istoric_Nativ'!$O$6:$O$405,"SOURCE CONFLICT"))</x:f>
        <x:v>0</x:v>
      </x:c>
      <x:c r="T22" s="2" t="str">
        <x:f>IF(B22="","",IF(R22&lt;&gt;"CLOSED",R22,IF(S22&gt;0,"NATIVE INPUT ISSUE",IF(M22=0,"NO HISTORY",IF(M22&lt;P22,"SMALL SAMPLE","DERIVED")))))</x:f>
        <x:v>DERIVED</x:v>
      </x:c>
      <x:c r="U22" s="2" t="str">
        <x:f>IF(B22="","","NativeTable; "&amp;E22&amp;"; "&amp;F22&amp;"; "&amp;G22&amp;"; "&amp;H22&amp;"; before "&amp;TEXT(J22,"yyyy-mm-dd")&amp;IF(I22="RECENT","; from "&amp;TEXT(L22,"yyyy-mm-dd"),""))</x:f>
        <x:v>NativeTable; E0; 2025/26; Wolves; AWAY; before 2026-05-23</x:v>
      </x:c>
    </x:row>
    <x:row r="23" ht="21" customHeight="1">
      <x:c r="A23" s="2" t="n">
        <x:v>2</x:v>
      </x:c>
      <x:c r="B23" s="2" t="str">
        <x:f>IF('Input_Meci'!A7="","",'Input_Meci'!A7)</x:f>
        <x:v>REPLAY_2</x:v>
      </x:c>
      <x:c r="C23" s="2" t="str">
        <x:v>A</x:v>
      </x:c>
      <x:c r="D23" s="2" t="str">
        <x:v>CURRENT</x:v>
      </x:c>
      <x:c r="E23" s="2" t="str">
        <x:f>IF(B23="","",'Input_Meci'!B7)</x:f>
        <x:v>E0</x:v>
      </x:c>
      <x:c r="F23" s="2" t="str">
        <x:f>IF(B23="","",IF('Input_Meci'!C7="","",'Input_Meci'!C7))</x:f>
        <x:v>2025/26</x:v>
      </x:c>
      <x:c r="G23" s="2" t="str">
        <x:f>IF(B23="","",'Input_Meci'!E7)</x:f>
        <x:v>Wolves</x:v>
      </x:c>
      <x:c r="H23" s="2" t="str">
        <x:v>ANY</x:v>
      </x:c>
      <x:c r="I23" s="2" t="str">
        <x:v>RECENT</x:v>
      </x:c>
      <x:c r="J23" s="9" t="n">
        <x:f>IF(AND(B23&lt;&gt;"",ISNUMBER('Input_Meci'!G7)),INT('Input_Meci'!G7),0)</x:f>
        <x:v>46165</x:v>
      </x:c>
      <x:c r="K23" s="2" t="n">
        <x:f>IF(OR(B23="",F23=""),0,IF(H23="HOME",COUNTIFS('Istoric_Nativ'!$B$6:$B$405,E23,'Istoric_Nativ'!$C$6:$C$405,F23,'Istoric_Nativ'!$E$6:$E$405,G23,'Istoric_Nativ'!$D$6:$D$405,"&lt;"&amp;J23,'Istoric_Nativ'!$P$6:$P$405,1),IF(H23="AWAY",COUNTIFS('Istoric_Nativ'!$B$6:$B$405,E23,'Istoric_Nativ'!$C$6:$C$405,F23,'Istoric_Nativ'!$F$6:$F$405,G23,'Istoric_Nativ'!$D$6:$D$405,"&lt;"&amp;J23,'Istoric_Nativ'!$P$6:$P$405,1),COUNTIFS('Istoric_Nativ'!$B$6:$B$405,E23,'Istoric_Nativ'!$C$6:$C$405,F23,'Istoric_Nativ'!$E$6:$E$405,G23,'Istoric_Nativ'!$D$6:$D$405,"&lt;"&amp;J23,'Istoric_Nativ'!$P$6:$P$405,1)+COUNTIFS('Istoric_Nativ'!$B$6:$B$405,E23,'Istoric_Nativ'!$C$6:$C$405,F23,'Istoric_Nativ'!$F$6:$F$405,G23,'Istoric_Nativ'!$D$6:$D$405,"&lt;"&amp;J23,'Istoric_Nativ'!$P$6:$P$405,1))))</x:f>
        <x:v>37</x:v>
      </x:c>
      <x:c r="L23" s="17" t="n">
        <x:f>IF(AND(B23&lt;&gt;"",I23="RECENT",K23&gt;0),LARGE(_xlfn._xlws.FILTER('Istoric_Nativ'!$D$6:$D$405,('Istoric_Nativ'!$B$6:$B$405=E23)*('Istoric_Nativ'!$C$6:$C$405=F23)*('Istoric_Nativ'!$P$6:$P$405=1)*('Istoric_Nativ'!$D$6:$D$405&lt;J23)*((('Istoric_Nativ'!$E$6:$E$405=G23)+('Istoric_Nativ'!$F$6:$F$405=G23))&gt;0)),MIN('Config_v6'!$B$54,K23)),0)</x:f>
        <x:v>46130</x:v>
      </x:c>
      <x:c r="M23" s="2" t="n">
        <x:f>IF(OR(B23="",F23=""),0,IF(H23="HOME",COUNTIFS('Istoric_Nativ'!$B$6:$B$405,E23,'Istoric_Nativ'!$C$6:$C$405,F23,'Istoric_Nativ'!$E$6:$E$405,G23,'Istoric_Nativ'!$D$6:$D$405,"&lt;"&amp;J23,'Istoric_Nativ'!$P$6:$P$405,1,'Istoric_Nativ'!$D$6:$D$405,"&gt;="&amp;L23),IF(H23="AWAY",COUNTIFS('Istoric_Nativ'!$B$6:$B$405,E23,'Istoric_Nativ'!$C$6:$C$405,F23,'Istoric_Nativ'!$F$6:$F$405,G23,'Istoric_Nativ'!$D$6:$D$405,"&lt;"&amp;J23,'Istoric_Nativ'!$P$6:$P$405,1,'Istoric_Nativ'!$D$6:$D$405,"&gt;="&amp;L23),COUNTIFS('Istoric_Nativ'!$B$6:$B$405,E23,'Istoric_Nativ'!$C$6:$C$405,F23,'Istoric_Nativ'!$E$6:$E$405,G23,'Istoric_Nativ'!$D$6:$D$405,"&lt;"&amp;J23,'Istoric_Nativ'!$P$6:$P$405,1,'Istoric_Nativ'!$D$6:$D$405,"&gt;="&amp;L23)+COUNTIFS('Istoric_Nativ'!$B$6:$B$405,E23,'Istoric_Nativ'!$C$6:$C$405,F23,'Istoric_Nativ'!$F$6:$F$405,G23,'Istoric_Nativ'!$D$6:$D$405,"&lt;"&amp;J23,'Istoric_Nativ'!$P$6:$P$405,1,'Istoric_Nativ'!$D$6:$D$405,"&gt;="&amp;L23))))</x:f>
        <x:v>5</x:v>
      </x:c>
      <x:c r="N23" s="11" t="n">
        <x:f>IF(M23=0,"",IF(H23="HOME",SUMIFS('Istoric_Nativ'!$G$6:$G$405,'Istoric_Nativ'!$B$6:$B$405,E23,'Istoric_Nativ'!$C$6:$C$405,F23,'Istoric_Nativ'!$E$6:$E$405,G23,'Istoric_Nativ'!$D$6:$D$405,"&lt;"&amp;J23,'Istoric_Nativ'!$P$6:$P$405,1,'Istoric_Nativ'!$D$6:$D$405,"&gt;="&amp;L23),IF(H23="AWAY",SUMIFS('Istoric_Nativ'!$H$6:$H$405,'Istoric_Nativ'!$B$6:$B$405,E23,'Istoric_Nativ'!$C$6:$C$405,F23,'Istoric_Nativ'!$F$6:$F$405,G23,'Istoric_Nativ'!$D$6:$D$405,"&lt;"&amp;J23,'Istoric_Nativ'!$P$6:$P$405,1,'Istoric_Nativ'!$D$6:$D$405,"&gt;="&amp;L23),SUMIFS('Istoric_Nativ'!$G$6:$G$405,'Istoric_Nativ'!$B$6:$B$405,E23,'Istoric_Nativ'!$C$6:$C$405,F23,'Istoric_Nativ'!$E$6:$E$405,G23,'Istoric_Nativ'!$D$6:$D$405,"&lt;"&amp;J23,'Istoric_Nativ'!$P$6:$P$405,1,'Istoric_Nativ'!$D$6:$D$405,"&gt;="&amp;L23)+SUMIFS('Istoric_Nativ'!$H$6:$H$405,'Istoric_Nativ'!$B$6:$B$405,E23,'Istoric_Nativ'!$C$6:$C$405,F23,'Istoric_Nativ'!$F$6:$F$405,G23,'Istoric_Nativ'!$D$6:$D$405,"&lt;"&amp;J23,'Istoric_Nativ'!$P$6:$P$405,1,'Istoric_Nativ'!$D$6:$D$405,"&gt;="&amp;L23)))/M23)</x:f>
        <x:v>4.2</x:v>
      </x:c>
      <x:c r="O23" s="11" t="n">
        <x:f>IF(M23=0,"",IF(H23="HOME",SUMIFS('Istoric_Nativ'!$H$6:$H$405,'Istoric_Nativ'!$B$6:$B$405,E23,'Istoric_Nativ'!$C$6:$C$405,F23,'Istoric_Nativ'!$E$6:$E$405,G23,'Istoric_Nativ'!$D$6:$D$405,"&lt;"&amp;J23,'Istoric_Nativ'!$P$6:$P$405,1,'Istoric_Nativ'!$D$6:$D$405,"&gt;="&amp;L23),IF(H23="AWAY",SUMIFS('Istoric_Nativ'!$G$6:$G$405,'Istoric_Nativ'!$B$6:$B$405,E23,'Istoric_Nativ'!$C$6:$C$405,F23,'Istoric_Nativ'!$F$6:$F$405,G23,'Istoric_Nativ'!$D$6:$D$405,"&lt;"&amp;J23,'Istoric_Nativ'!$P$6:$P$405,1,'Istoric_Nativ'!$D$6:$D$405,"&gt;="&amp;L23),SUMIFS('Istoric_Nativ'!$H$6:$H$405,'Istoric_Nativ'!$B$6:$B$405,E23,'Istoric_Nativ'!$C$6:$C$405,F23,'Istoric_Nativ'!$E$6:$E$405,G23,'Istoric_Nativ'!$D$6:$D$405,"&lt;"&amp;J23,'Istoric_Nativ'!$P$6:$P$405,1,'Istoric_Nativ'!$D$6:$D$405,"&gt;="&amp;L23)+SUMIFS('Istoric_Nativ'!$G$6:$G$405,'Istoric_Nativ'!$B$6:$B$405,E23,'Istoric_Nativ'!$C$6:$C$405,F23,'Istoric_Nativ'!$F$6:$F$405,G23,'Istoric_Nativ'!$D$6:$D$405,"&lt;"&amp;J23,'Istoric_Nativ'!$P$6:$P$405,1,'Istoric_Nativ'!$D$6:$D$405,"&gt;="&amp;L23)))/M23)</x:f>
        <x:v>5.2</x:v>
      </x:c>
      <x:c r="P23" s="2" t="n">
        <x:f>'Config_v6'!$B$9</x:f>
        <x:v>3</x:v>
      </x:c>
      <x:c r="Q23" s="2" t="n">
        <x:f>IF(OR(B23="",F23=""),0,IFERROR(MATCH(E23&amp;"|"&amp;F23,SourceTable[Source_Key],0),0))</x:f>
        <x:v>1</x:v>
      </x:c>
      <x:c r="R23" s="2" t="str">
        <x:f>IF(B23="","",IF(F23="","UNUSED",IF(Q23=0,"NOT CHECKED",IF(COUNTIF(SourceTable[Source_Key],E23&amp;"|"&amp;F23)&lt;&gt;1,"SOURCE CONFLICT",IF(NOT(OR(INDEX(SourceTable[Status],MAX(1,Q23))="IMPORTED",INDEX(SourceTable[Status],MAX(1,Q23))="PARTIAL",INDEX(SourceTable[Status],MAX(1,Q23))="SOURCE CONFLICT")),"ACCESS BLOCKED",IF(OR(INDEX(SourceTable[Coverage],Q23)&lt;&gt;"FULL SEASON EXPORT",INDEX(SourceTable[URL],Q23)="",INDEX(SourceTable[SHA256],Q23)=""),"EVIDENCE INCOMPLETE",IF(AND('Input_Meci'!H7="LIVE",INDEX(SourceTable[Retrieved_UTC],Q23)&gt;'Input_Meci'!G7),"POST CUTOFF","CLOSED")))))))</x:f>
        <x:v>CLOSED</x:v>
      </x:c>
      <x:c r="S23" s="2" t="n">
        <x:f>IF(OR(B23="",F23=""),0,COUNTIFS('Istoric_Nativ'!$B$6:$B$405,E23,'Istoric_Nativ'!$C$6:$C$405,F23,'Istoric_Nativ'!$E$6:$E$405,G23,'Istoric_Nativ'!$D$6:$D$405,"&lt;"&amp;J23,'Istoric_Nativ'!$O$6:$O$405,"INVALID")+COUNTIFS('Istoric_Nativ'!$B$6:$B$405,E23,'Istoric_Nativ'!$C$6:$C$405,F23,'Istoric_Nativ'!$E$6:$E$405,G23,'Istoric_Nativ'!$O$6:$O$405,"INVALID",'Istoric_Nativ'!$D$6:$D$405,"*")+COUNTIFS('Istoric_Nativ'!$B$6:$B$405,E23,'Istoric_Nativ'!$C$6:$C$405,F23,'Istoric_Nativ'!$E$6:$E$405,G23,'Istoric_Nativ'!$D$6:$D$405,"&lt;"&amp;J23,'Istoric_Nativ'!$O$6:$O$405,"SOURCE CONFLICT")+COUNTIFS('Istoric_Nativ'!$B$6:$B$405,E23,'Istoric_Nativ'!$C$6:$C$405,F23,'Istoric_Nativ'!$F$6:$F$405,G23,'Istoric_Nativ'!$D$6:$D$405,"&lt;"&amp;J23,'Istoric_Nativ'!$O$6:$O$405,"INVALID")+COUNTIFS('Istoric_Nativ'!$B$6:$B$405,E23,'Istoric_Nativ'!$C$6:$C$405,F23,'Istoric_Nativ'!$F$6:$F$405,G23,'Istoric_Nativ'!$O$6:$O$405,"INVALID",'Istoric_Nativ'!$D$6:$D$405,"*")+COUNTIFS('Istoric_Nativ'!$B$6:$B$405,E23,'Istoric_Nativ'!$C$6:$C$405,F23,'Istoric_Nativ'!$F$6:$F$405,G23,'Istoric_Nativ'!$D$6:$D$405,"&lt;"&amp;J23,'Istoric_Nativ'!$O$6:$O$405,"SOURCE CONFLICT"))</x:f>
        <x:v>0</x:v>
      </x:c>
      <x:c r="T23" s="2" t="str">
        <x:f>IF(B23="","",IF(R23&lt;&gt;"CLOSED",R23,IF(S23&gt;0,"NATIVE INPUT ISSUE",IF(M23=0,"NO HISTORY",IF(M23&lt;P23,"SMALL SAMPLE","DERIVED")))))</x:f>
        <x:v>DERIVED</x:v>
      </x:c>
      <x:c r="U23" s="2" t="str">
        <x:f>IF(B23="","","NativeTable; "&amp;E23&amp;"; "&amp;F23&amp;"; "&amp;G23&amp;"; "&amp;H23&amp;"; before "&amp;TEXT(J23,"yyyy-mm-dd")&amp;IF(I23="RECENT","; from "&amp;TEXT(L23,"yyyy-mm-dd"),""))</x:f>
        <x:v>NativeTable; E0; 2025/26; Wolves; ANY; before 2026-05-23; from 2026-04-18</x:v>
      </x:c>
    </x:row>
    <x:row r="24" ht="21" customHeight="1">
      <x:c r="A24" s="2" t="n">
        <x:v>2</x:v>
      </x:c>
      <x:c r="B24" s="2" t="str">
        <x:f>IF('Input_Meci'!A7="","",'Input_Meci'!A7)</x:f>
        <x:v>REPLAY_2</x:v>
      </x:c>
      <x:c r="C24" s="2" t="str">
        <x:v>H</x:v>
      </x:c>
      <x:c r="D24" s="2" t="str">
        <x:v>PRIOR</x:v>
      </x:c>
      <x:c r="E24" s="2" t="str">
        <x:f>IF(B24="","",'Input_Meci'!B7)</x:f>
        <x:v>E0</x:v>
      </x:c>
      <x:c r="F24" s="2" t="str">
        <x:f>IF(B24="","",IF('Input_Meci'!K7="","",'Input_Meci'!K7))</x:f>
      </x:c>
      <x:c r="G24" s="2" t="str">
        <x:f>IF(B24="","",'Input_Meci'!D7)</x:f>
        <x:v>Burnley</x:v>
      </x:c>
      <x:c r="H24" s="2" t="str">
        <x:v>ANY</x:v>
      </x:c>
      <x:c r="I24" s="2" t="str">
        <x:v>SEASON</x:v>
      </x:c>
      <x:c r="J24" s="9" t="n">
        <x:f>IF(AND(B24&lt;&gt;"",ISNUMBER('Input_Meci'!G7)),INT('Input_Meci'!G7),0)</x:f>
        <x:v>46165</x:v>
      </x:c>
      <x:c r="K24" s="2" t="n">
        <x:f>IF(OR(B24="",F24=""),0,IF(H24="HOME",COUNTIFS('Istoric_Nativ'!$B$6:$B$405,E24,'Istoric_Nativ'!$C$6:$C$405,F24,'Istoric_Nativ'!$E$6:$E$405,G24,'Istoric_Nativ'!$D$6:$D$405,"&lt;"&amp;J24,'Istoric_Nativ'!$P$6:$P$405,1),IF(H24="AWAY",COUNTIFS('Istoric_Nativ'!$B$6:$B$405,E24,'Istoric_Nativ'!$C$6:$C$405,F24,'Istoric_Nativ'!$F$6:$F$405,G24,'Istoric_Nativ'!$D$6:$D$405,"&lt;"&amp;J24,'Istoric_Nativ'!$P$6:$P$405,1),COUNTIFS('Istoric_Nativ'!$B$6:$B$405,E24,'Istoric_Nativ'!$C$6:$C$405,F24,'Istoric_Nativ'!$E$6:$E$405,G24,'Istoric_Nativ'!$D$6:$D$405,"&lt;"&amp;J24,'Istoric_Nativ'!$P$6:$P$405,1)+COUNTIFS('Istoric_Nativ'!$B$6:$B$405,E24,'Istoric_Nativ'!$C$6:$C$405,F24,'Istoric_Nativ'!$F$6:$F$405,G24,'Istoric_Nativ'!$D$6:$D$405,"&lt;"&amp;J24,'Istoric_Nativ'!$P$6:$P$405,1))))</x:f>
        <x:v>0</x:v>
      </x:c>
      <x:c r="L24" s="17" t="n">
        <x:f>IF(AND(B24&lt;&gt;"",I24="RECENT",K24&gt;0),LARGE(_xlfn._xlws.FILTER('Istoric_Nativ'!$D$6:$D$405,('Istoric_Nativ'!$B$6:$B$405=E24)*('Istoric_Nativ'!$C$6:$C$405=F24)*('Istoric_Nativ'!$P$6:$P$405=1)*('Istoric_Nativ'!$D$6:$D$405&lt;J24)*((('Istoric_Nativ'!$E$6:$E$405=G24)+('Istoric_Nativ'!$F$6:$F$405=G24))&gt;0)),MIN('Config_v6'!$B$54,K24)),0)</x:f>
        <x:v>0</x:v>
      </x:c>
      <x:c r="M24" s="2" t="n">
        <x:f>IF(OR(B24="",F24=""),0,IF(H24="HOME",COUNTIFS('Istoric_Nativ'!$B$6:$B$405,E24,'Istoric_Nativ'!$C$6:$C$405,F24,'Istoric_Nativ'!$E$6:$E$405,G24,'Istoric_Nativ'!$D$6:$D$405,"&lt;"&amp;J24,'Istoric_Nativ'!$P$6:$P$405,1,'Istoric_Nativ'!$D$6:$D$405,"&gt;="&amp;L24),IF(H24="AWAY",COUNTIFS('Istoric_Nativ'!$B$6:$B$405,E24,'Istoric_Nativ'!$C$6:$C$405,F24,'Istoric_Nativ'!$F$6:$F$405,G24,'Istoric_Nativ'!$D$6:$D$405,"&lt;"&amp;J24,'Istoric_Nativ'!$P$6:$P$405,1,'Istoric_Nativ'!$D$6:$D$405,"&gt;="&amp;L24),COUNTIFS('Istoric_Nativ'!$B$6:$B$405,E24,'Istoric_Nativ'!$C$6:$C$405,F24,'Istoric_Nativ'!$E$6:$E$405,G24,'Istoric_Nativ'!$D$6:$D$405,"&lt;"&amp;J24,'Istoric_Nativ'!$P$6:$P$405,1,'Istoric_Nativ'!$D$6:$D$405,"&gt;="&amp;L24)+COUNTIFS('Istoric_Nativ'!$B$6:$B$405,E24,'Istoric_Nativ'!$C$6:$C$405,F24,'Istoric_Nativ'!$F$6:$F$405,G24,'Istoric_Nativ'!$D$6:$D$405,"&lt;"&amp;J24,'Istoric_Nativ'!$P$6:$P$405,1,'Istoric_Nativ'!$D$6:$D$405,"&gt;="&amp;L24))))</x:f>
        <x:v>0</x:v>
      </x:c>
      <x:c r="N24" s="11" t="str">
        <x:f>IF(M24=0,"",IF(H24="HOME",SUMIFS('Istoric_Nativ'!$G$6:$G$405,'Istoric_Nativ'!$B$6:$B$405,E24,'Istoric_Nativ'!$C$6:$C$405,F24,'Istoric_Nativ'!$E$6:$E$405,G24,'Istoric_Nativ'!$D$6:$D$405,"&lt;"&amp;J24,'Istoric_Nativ'!$P$6:$P$405,1,'Istoric_Nativ'!$D$6:$D$405,"&gt;="&amp;L24),IF(H24="AWAY",SUMIFS('Istoric_Nativ'!$H$6:$H$405,'Istoric_Nativ'!$B$6:$B$405,E24,'Istoric_Nativ'!$C$6:$C$405,F24,'Istoric_Nativ'!$F$6:$F$405,G24,'Istoric_Nativ'!$D$6:$D$405,"&lt;"&amp;J24,'Istoric_Nativ'!$P$6:$P$405,1,'Istoric_Nativ'!$D$6:$D$405,"&gt;="&amp;L24),SUMIFS('Istoric_Nativ'!$G$6:$G$405,'Istoric_Nativ'!$B$6:$B$405,E24,'Istoric_Nativ'!$C$6:$C$405,F24,'Istoric_Nativ'!$E$6:$E$405,G24,'Istoric_Nativ'!$D$6:$D$405,"&lt;"&amp;J24,'Istoric_Nativ'!$P$6:$P$405,1,'Istoric_Nativ'!$D$6:$D$405,"&gt;="&amp;L24)+SUMIFS('Istoric_Nativ'!$H$6:$H$405,'Istoric_Nativ'!$B$6:$B$405,E24,'Istoric_Nativ'!$C$6:$C$405,F24,'Istoric_Nativ'!$F$6:$F$405,G24,'Istoric_Nativ'!$D$6:$D$405,"&lt;"&amp;J24,'Istoric_Nativ'!$P$6:$P$405,1,'Istoric_Nativ'!$D$6:$D$405,"&gt;="&amp;L24)))/M24)</x:f>
      </x:c>
      <x:c r="O24" s="11" t="str">
        <x:f>IF(M24=0,"",IF(H24="HOME",SUMIFS('Istoric_Nativ'!$H$6:$H$405,'Istoric_Nativ'!$B$6:$B$405,E24,'Istoric_Nativ'!$C$6:$C$405,F24,'Istoric_Nativ'!$E$6:$E$405,G24,'Istoric_Nativ'!$D$6:$D$405,"&lt;"&amp;J24,'Istoric_Nativ'!$P$6:$P$405,1,'Istoric_Nativ'!$D$6:$D$405,"&gt;="&amp;L24),IF(H24="AWAY",SUMIFS('Istoric_Nativ'!$G$6:$G$405,'Istoric_Nativ'!$B$6:$B$405,E24,'Istoric_Nativ'!$C$6:$C$405,F24,'Istoric_Nativ'!$F$6:$F$405,G24,'Istoric_Nativ'!$D$6:$D$405,"&lt;"&amp;J24,'Istoric_Nativ'!$P$6:$P$405,1,'Istoric_Nativ'!$D$6:$D$405,"&gt;="&amp;L24),SUMIFS('Istoric_Nativ'!$H$6:$H$405,'Istoric_Nativ'!$B$6:$B$405,E24,'Istoric_Nativ'!$C$6:$C$405,F24,'Istoric_Nativ'!$E$6:$E$405,G24,'Istoric_Nativ'!$D$6:$D$405,"&lt;"&amp;J24,'Istoric_Nativ'!$P$6:$P$405,1,'Istoric_Nativ'!$D$6:$D$405,"&gt;="&amp;L24)+SUMIFS('Istoric_Nativ'!$G$6:$G$405,'Istoric_Nativ'!$B$6:$B$405,E24,'Istoric_Nativ'!$C$6:$C$405,F24,'Istoric_Nativ'!$F$6:$F$405,G24,'Istoric_Nativ'!$D$6:$D$405,"&lt;"&amp;J24,'Istoric_Nativ'!$P$6:$P$405,1,'Istoric_Nativ'!$D$6:$D$405,"&gt;="&amp;L24)))/M24)</x:f>
      </x:c>
      <x:c r="P24" s="2" t="n">
        <x:f>'Config_v6'!$B$7</x:f>
        <x:v>10</x:v>
      </x:c>
      <x:c r="Q24" s="2" t="n">
        <x:f>IF(OR(B24="",F24=""),0,IFERROR(MATCH(E24&amp;"|"&amp;F24,SourceTable[Source_Key],0),0))</x:f>
        <x:v>0</x:v>
      </x:c>
      <x:c r="R24" s="2" t="str">
        <x:f>IF(B24="","",IF(F24="","UNUSED",IF(Q24=0,"NOT CHECKED",IF(COUNTIF(SourceTable[Source_Key],E24&amp;"|"&amp;F24)&lt;&gt;1,"SOURCE CONFLICT",IF(NOT(OR(INDEX(SourceTable[Status],MAX(1,Q24))="IMPORTED",INDEX(SourceTable[Status],MAX(1,Q24))="PARTIAL",INDEX(SourceTable[Status],MAX(1,Q24))="SOURCE CONFLICT")),"ACCESS BLOCKED",IF(OR(INDEX(SourceTable[Coverage],Q24)&lt;&gt;"FULL SEASON EXPORT",INDEX(SourceTable[URL],Q24)="",INDEX(SourceTable[SHA256],Q24)=""),"EVIDENCE INCOMPLETE",IF(AND('Input_Meci'!H7="LIVE",INDEX(SourceTable[Retrieved_UTC],Q24)&gt;'Input_Meci'!G7),"POST CUTOFF","CLOSED")))))))</x:f>
        <x:v>UNUSED</x:v>
      </x:c>
      <x:c r="S24" s="2" t="n">
        <x:f>IF(OR(B24="",F24=""),0,COUNTIFS('Istoric_Nativ'!$B$6:$B$405,E24,'Istoric_Nativ'!$C$6:$C$405,F24,'Istoric_Nativ'!$E$6:$E$405,G24,'Istoric_Nativ'!$D$6:$D$405,"&lt;"&amp;J24,'Istoric_Nativ'!$O$6:$O$405,"INVALID")+COUNTIFS('Istoric_Nativ'!$B$6:$B$405,E24,'Istoric_Nativ'!$C$6:$C$405,F24,'Istoric_Nativ'!$E$6:$E$405,G24,'Istoric_Nativ'!$O$6:$O$405,"INVALID",'Istoric_Nativ'!$D$6:$D$405,"*")+COUNTIFS('Istoric_Nativ'!$B$6:$B$405,E24,'Istoric_Nativ'!$C$6:$C$405,F24,'Istoric_Nativ'!$E$6:$E$405,G24,'Istoric_Nativ'!$D$6:$D$405,"&lt;"&amp;J24,'Istoric_Nativ'!$O$6:$O$405,"SOURCE CONFLICT")+COUNTIFS('Istoric_Nativ'!$B$6:$B$405,E24,'Istoric_Nativ'!$C$6:$C$405,F24,'Istoric_Nativ'!$F$6:$F$405,G24,'Istoric_Nativ'!$D$6:$D$405,"&lt;"&amp;J24,'Istoric_Nativ'!$O$6:$O$405,"INVALID")+COUNTIFS('Istoric_Nativ'!$B$6:$B$405,E24,'Istoric_Nativ'!$C$6:$C$405,F24,'Istoric_Nativ'!$F$6:$F$405,G24,'Istoric_Nativ'!$O$6:$O$405,"INVALID",'Istoric_Nativ'!$D$6:$D$405,"*")+COUNTIFS('Istoric_Nativ'!$B$6:$B$405,E24,'Istoric_Nativ'!$C$6:$C$405,F24,'Istoric_Nativ'!$F$6:$F$405,G24,'Istoric_Nativ'!$D$6:$D$405,"&lt;"&amp;J24,'Istoric_Nativ'!$O$6:$O$405,"SOURCE CONFLICT"))</x:f>
        <x:v>0</x:v>
      </x:c>
      <x:c r="T24" s="2" t="str">
        <x:f>IF(B24="","",IF(R24&lt;&gt;"CLOSED",R24,IF(S24&gt;0,"NATIVE INPUT ISSUE",IF(M24=0,"NO HISTORY",IF(M24&lt;P24,"SMALL SAMPLE","DERIVED")))))</x:f>
        <x:v>UNUSED</x:v>
      </x:c>
      <x:c r="U24" s="2" t="str">
        <x:f>IF(B24="","","NativeTable; "&amp;E24&amp;"; "&amp;F24&amp;"; "&amp;G24&amp;"; "&amp;H24&amp;"; before "&amp;TEXT(J24,"yyyy-mm-dd")&amp;IF(I24="RECENT","; from "&amp;TEXT(L24,"yyyy-mm-dd"),""))</x:f>
        <x:v>NativeTable; E0; ; Burnley; ANY; before 2026-05-23</x:v>
      </x:c>
    </x:row>
    <x:row r="25" ht="21" customHeight="1">
      <x:c r="A25" s="2" t="n">
        <x:v>2</x:v>
      </x:c>
      <x:c r="B25" s="2" t="str">
        <x:f>IF('Input_Meci'!A7="","",'Input_Meci'!A7)</x:f>
        <x:v>REPLAY_2</x:v>
      </x:c>
      <x:c r="C25" s="2" t="str">
        <x:v>H</x:v>
      </x:c>
      <x:c r="D25" s="2" t="str">
        <x:v>PRIOR</x:v>
      </x:c>
      <x:c r="E25" s="2" t="str">
        <x:f>IF(B25="","",'Input_Meci'!B7)</x:f>
        <x:v>E0</x:v>
      </x:c>
      <x:c r="F25" s="2" t="str">
        <x:f>IF(B25="","",IF('Input_Meci'!K7="","",'Input_Meci'!K7))</x:f>
      </x:c>
      <x:c r="G25" s="2" t="str">
        <x:f>IF(B25="","",'Input_Meci'!D7)</x:f>
        <x:v>Burnley</x:v>
      </x:c>
      <x:c r="H25" s="2" t="str">
        <x:v>HOME</x:v>
      </x:c>
      <x:c r="I25" s="2" t="str">
        <x:v>HA</x:v>
      </x:c>
      <x:c r="J25" s="9" t="n">
        <x:f>IF(AND(B25&lt;&gt;"",ISNUMBER('Input_Meci'!G7)),INT('Input_Meci'!G7),0)</x:f>
        <x:v>46165</x:v>
      </x:c>
      <x:c r="K25" s="2" t="n">
        <x:f>IF(OR(B25="",F25=""),0,IF(H25="HOME",COUNTIFS('Istoric_Nativ'!$B$6:$B$405,E25,'Istoric_Nativ'!$C$6:$C$405,F25,'Istoric_Nativ'!$E$6:$E$405,G25,'Istoric_Nativ'!$D$6:$D$405,"&lt;"&amp;J25,'Istoric_Nativ'!$P$6:$P$405,1),IF(H25="AWAY",COUNTIFS('Istoric_Nativ'!$B$6:$B$405,E25,'Istoric_Nativ'!$C$6:$C$405,F25,'Istoric_Nativ'!$F$6:$F$405,G25,'Istoric_Nativ'!$D$6:$D$405,"&lt;"&amp;J25,'Istoric_Nativ'!$P$6:$P$405,1),COUNTIFS('Istoric_Nativ'!$B$6:$B$405,E25,'Istoric_Nativ'!$C$6:$C$405,F25,'Istoric_Nativ'!$E$6:$E$405,G25,'Istoric_Nativ'!$D$6:$D$405,"&lt;"&amp;J25,'Istoric_Nativ'!$P$6:$P$405,1)+COUNTIFS('Istoric_Nativ'!$B$6:$B$405,E25,'Istoric_Nativ'!$C$6:$C$405,F25,'Istoric_Nativ'!$F$6:$F$405,G25,'Istoric_Nativ'!$D$6:$D$405,"&lt;"&amp;J25,'Istoric_Nativ'!$P$6:$P$405,1))))</x:f>
        <x:v>0</x:v>
      </x:c>
      <x:c r="L25" s="17" t="n">
        <x:f>IF(AND(B25&lt;&gt;"",I25="RECENT",K25&gt;0),LARGE(_xlfn._xlws.FILTER('Istoric_Nativ'!$D$6:$D$405,('Istoric_Nativ'!$B$6:$B$405=E25)*('Istoric_Nativ'!$C$6:$C$405=F25)*('Istoric_Nativ'!$P$6:$P$405=1)*('Istoric_Nativ'!$D$6:$D$405&lt;J25)*((('Istoric_Nativ'!$E$6:$E$405=G25)+('Istoric_Nativ'!$F$6:$F$405=G25))&gt;0)),MIN('Config_v6'!$B$54,K25)),0)</x:f>
        <x:v>0</x:v>
      </x:c>
      <x:c r="M25" s="2" t="n">
        <x:f>IF(OR(B25="",F25=""),0,IF(H25="HOME",COUNTIFS('Istoric_Nativ'!$B$6:$B$405,E25,'Istoric_Nativ'!$C$6:$C$405,F25,'Istoric_Nativ'!$E$6:$E$405,G25,'Istoric_Nativ'!$D$6:$D$405,"&lt;"&amp;J25,'Istoric_Nativ'!$P$6:$P$405,1,'Istoric_Nativ'!$D$6:$D$405,"&gt;="&amp;L25),IF(H25="AWAY",COUNTIFS('Istoric_Nativ'!$B$6:$B$405,E25,'Istoric_Nativ'!$C$6:$C$405,F25,'Istoric_Nativ'!$F$6:$F$405,G25,'Istoric_Nativ'!$D$6:$D$405,"&lt;"&amp;J25,'Istoric_Nativ'!$P$6:$P$405,1,'Istoric_Nativ'!$D$6:$D$405,"&gt;="&amp;L25),COUNTIFS('Istoric_Nativ'!$B$6:$B$405,E25,'Istoric_Nativ'!$C$6:$C$405,F25,'Istoric_Nativ'!$E$6:$E$405,G25,'Istoric_Nativ'!$D$6:$D$405,"&lt;"&amp;J25,'Istoric_Nativ'!$P$6:$P$405,1,'Istoric_Nativ'!$D$6:$D$405,"&gt;="&amp;L25)+COUNTIFS('Istoric_Nativ'!$B$6:$B$405,E25,'Istoric_Nativ'!$C$6:$C$405,F25,'Istoric_Nativ'!$F$6:$F$405,G25,'Istoric_Nativ'!$D$6:$D$405,"&lt;"&amp;J25,'Istoric_Nativ'!$P$6:$P$405,1,'Istoric_Nativ'!$D$6:$D$405,"&gt;="&amp;L25))))</x:f>
        <x:v>0</x:v>
      </x:c>
      <x:c r="N25" s="11" t="str">
        <x:f>IF(M25=0,"",IF(H25="HOME",SUMIFS('Istoric_Nativ'!$G$6:$G$405,'Istoric_Nativ'!$B$6:$B$405,E25,'Istoric_Nativ'!$C$6:$C$405,F25,'Istoric_Nativ'!$E$6:$E$405,G25,'Istoric_Nativ'!$D$6:$D$405,"&lt;"&amp;J25,'Istoric_Nativ'!$P$6:$P$405,1,'Istoric_Nativ'!$D$6:$D$405,"&gt;="&amp;L25),IF(H25="AWAY",SUMIFS('Istoric_Nativ'!$H$6:$H$405,'Istoric_Nativ'!$B$6:$B$405,E25,'Istoric_Nativ'!$C$6:$C$405,F25,'Istoric_Nativ'!$F$6:$F$405,G25,'Istoric_Nativ'!$D$6:$D$405,"&lt;"&amp;J25,'Istoric_Nativ'!$P$6:$P$405,1,'Istoric_Nativ'!$D$6:$D$405,"&gt;="&amp;L25),SUMIFS('Istoric_Nativ'!$G$6:$G$405,'Istoric_Nativ'!$B$6:$B$405,E25,'Istoric_Nativ'!$C$6:$C$405,F25,'Istoric_Nativ'!$E$6:$E$405,G25,'Istoric_Nativ'!$D$6:$D$405,"&lt;"&amp;J25,'Istoric_Nativ'!$P$6:$P$405,1,'Istoric_Nativ'!$D$6:$D$405,"&gt;="&amp;L25)+SUMIFS('Istoric_Nativ'!$H$6:$H$405,'Istoric_Nativ'!$B$6:$B$405,E25,'Istoric_Nativ'!$C$6:$C$405,F25,'Istoric_Nativ'!$F$6:$F$405,G25,'Istoric_Nativ'!$D$6:$D$405,"&lt;"&amp;J25,'Istoric_Nativ'!$P$6:$P$405,1,'Istoric_Nativ'!$D$6:$D$405,"&gt;="&amp;L25)))/M25)</x:f>
      </x:c>
      <x:c r="O25" s="11" t="str">
        <x:f>IF(M25=0,"",IF(H25="HOME",SUMIFS('Istoric_Nativ'!$H$6:$H$405,'Istoric_Nativ'!$B$6:$B$405,E25,'Istoric_Nativ'!$C$6:$C$405,F25,'Istoric_Nativ'!$E$6:$E$405,G25,'Istoric_Nativ'!$D$6:$D$405,"&lt;"&amp;J25,'Istoric_Nativ'!$P$6:$P$405,1,'Istoric_Nativ'!$D$6:$D$405,"&gt;="&amp;L25),IF(H25="AWAY",SUMIFS('Istoric_Nativ'!$G$6:$G$405,'Istoric_Nativ'!$B$6:$B$405,E25,'Istoric_Nativ'!$C$6:$C$405,F25,'Istoric_Nativ'!$F$6:$F$405,G25,'Istoric_Nativ'!$D$6:$D$405,"&lt;"&amp;J25,'Istoric_Nativ'!$P$6:$P$405,1,'Istoric_Nativ'!$D$6:$D$405,"&gt;="&amp;L25),SUMIFS('Istoric_Nativ'!$H$6:$H$405,'Istoric_Nativ'!$B$6:$B$405,E25,'Istoric_Nativ'!$C$6:$C$405,F25,'Istoric_Nativ'!$E$6:$E$405,G25,'Istoric_Nativ'!$D$6:$D$405,"&lt;"&amp;J25,'Istoric_Nativ'!$P$6:$P$405,1,'Istoric_Nativ'!$D$6:$D$405,"&gt;="&amp;L25)+SUMIFS('Istoric_Nativ'!$G$6:$G$405,'Istoric_Nativ'!$B$6:$B$405,E25,'Istoric_Nativ'!$C$6:$C$405,F25,'Istoric_Nativ'!$F$6:$F$405,G25,'Istoric_Nativ'!$D$6:$D$405,"&lt;"&amp;J25,'Istoric_Nativ'!$P$6:$P$405,1,'Istoric_Nativ'!$D$6:$D$405,"&gt;="&amp;L25)))/M25)</x:f>
      </x:c>
      <x:c r="P25" s="2" t="n">
        <x:f>'Config_v6'!$B$8</x:f>
        <x:v>5</x:v>
      </x:c>
      <x:c r="Q25" s="2" t="n">
        <x:f>IF(OR(B25="",F25=""),0,IFERROR(MATCH(E25&amp;"|"&amp;F25,SourceTable[Source_Key],0),0))</x:f>
        <x:v>0</x:v>
      </x:c>
      <x:c r="R25" s="2" t="str">
        <x:f>IF(B25="","",IF(F25="","UNUSED",IF(Q25=0,"NOT CHECKED",IF(COUNTIF(SourceTable[Source_Key],E25&amp;"|"&amp;F25)&lt;&gt;1,"SOURCE CONFLICT",IF(NOT(OR(INDEX(SourceTable[Status],MAX(1,Q25))="IMPORTED",INDEX(SourceTable[Status],MAX(1,Q25))="PARTIAL",INDEX(SourceTable[Status],MAX(1,Q25))="SOURCE CONFLICT")),"ACCESS BLOCKED",IF(OR(INDEX(SourceTable[Coverage],Q25)&lt;&gt;"FULL SEASON EXPORT",INDEX(SourceTable[URL],Q25)="",INDEX(SourceTable[SHA256],Q25)=""),"EVIDENCE INCOMPLETE",IF(AND('Input_Meci'!H7="LIVE",INDEX(SourceTable[Retrieved_UTC],Q25)&gt;'Input_Meci'!G7),"POST CUTOFF","CLOSED")))))))</x:f>
        <x:v>UNUSED</x:v>
      </x:c>
      <x:c r="S25" s="2" t="n">
        <x:f>IF(OR(B25="",F25=""),0,COUNTIFS('Istoric_Nativ'!$B$6:$B$405,E25,'Istoric_Nativ'!$C$6:$C$405,F25,'Istoric_Nativ'!$E$6:$E$405,G25,'Istoric_Nativ'!$D$6:$D$405,"&lt;"&amp;J25,'Istoric_Nativ'!$O$6:$O$405,"INVALID")+COUNTIFS('Istoric_Nativ'!$B$6:$B$405,E25,'Istoric_Nativ'!$C$6:$C$405,F25,'Istoric_Nativ'!$E$6:$E$405,G25,'Istoric_Nativ'!$O$6:$O$405,"INVALID",'Istoric_Nativ'!$D$6:$D$405,"*")+COUNTIFS('Istoric_Nativ'!$B$6:$B$405,E25,'Istoric_Nativ'!$C$6:$C$405,F25,'Istoric_Nativ'!$E$6:$E$405,G25,'Istoric_Nativ'!$D$6:$D$405,"&lt;"&amp;J25,'Istoric_Nativ'!$O$6:$O$405,"SOURCE CONFLICT")+COUNTIFS('Istoric_Nativ'!$B$6:$B$405,E25,'Istoric_Nativ'!$C$6:$C$405,F25,'Istoric_Nativ'!$F$6:$F$405,G25,'Istoric_Nativ'!$D$6:$D$405,"&lt;"&amp;J25,'Istoric_Nativ'!$O$6:$O$405,"INVALID")+COUNTIFS('Istoric_Nativ'!$B$6:$B$405,E25,'Istoric_Nativ'!$C$6:$C$405,F25,'Istoric_Nativ'!$F$6:$F$405,G25,'Istoric_Nativ'!$O$6:$O$405,"INVALID",'Istoric_Nativ'!$D$6:$D$405,"*")+COUNTIFS('Istoric_Nativ'!$B$6:$B$405,E25,'Istoric_Nativ'!$C$6:$C$405,F25,'Istoric_Nativ'!$F$6:$F$405,G25,'Istoric_Nativ'!$D$6:$D$405,"&lt;"&amp;J25,'Istoric_Nativ'!$O$6:$O$405,"SOURCE CONFLICT"))</x:f>
        <x:v>0</x:v>
      </x:c>
      <x:c r="T25" s="2" t="str">
        <x:f>IF(B25="","",IF(R25&lt;&gt;"CLOSED",R25,IF(S25&gt;0,"NATIVE INPUT ISSUE",IF(M25=0,"NO HISTORY",IF(M25&lt;P25,"SMALL SAMPLE","DERIVED")))))</x:f>
        <x:v>UNUSED</x:v>
      </x:c>
      <x:c r="U25" s="2" t="str">
        <x:f>IF(B25="","","NativeTable; "&amp;E25&amp;"; "&amp;F25&amp;"; "&amp;G25&amp;"; "&amp;H25&amp;"; before "&amp;TEXT(J25,"yyyy-mm-dd")&amp;IF(I25="RECENT","; from "&amp;TEXT(L25,"yyyy-mm-dd"),""))</x:f>
        <x:v>NativeTable; E0; ; Burnley; HOME; before 2026-05-23</x:v>
      </x:c>
    </x:row>
    <x:row r="26" ht="21" customHeight="1">
      <x:c r="A26" s="2" t="n">
        <x:v>2</x:v>
      </x:c>
      <x:c r="B26" s="2" t="str">
        <x:f>IF('Input_Meci'!A7="","",'Input_Meci'!A7)</x:f>
        <x:v>REPLAY_2</x:v>
      </x:c>
      <x:c r="C26" s="2" t="str">
        <x:v>H</x:v>
      </x:c>
      <x:c r="D26" s="2" t="str">
        <x:v>PRIOR</x:v>
      </x:c>
      <x:c r="E26" s="2" t="str">
        <x:f>IF(B26="","",'Input_Meci'!B7)</x:f>
        <x:v>E0</x:v>
      </x:c>
      <x:c r="F26" s="2" t="str">
        <x:f>IF(B26="","",IF('Input_Meci'!K7="","",'Input_Meci'!K7))</x:f>
      </x:c>
      <x:c r="G26" s="2" t="str">
        <x:f>IF(B26="","",'Input_Meci'!D7)</x:f>
        <x:v>Burnley</x:v>
      </x:c>
      <x:c r="H26" s="2" t="str">
        <x:v>ANY</x:v>
      </x:c>
      <x:c r="I26" s="2" t="str">
        <x:v>RECENT</x:v>
      </x:c>
      <x:c r="J26" s="9" t="n">
        <x:f>IF(AND(B26&lt;&gt;"",ISNUMBER('Input_Meci'!G7)),INT('Input_Meci'!G7),0)</x:f>
        <x:v>46165</x:v>
      </x:c>
      <x:c r="K26" s="2" t="n">
        <x:f>IF(OR(B26="",F26=""),0,IF(H26="HOME",COUNTIFS('Istoric_Nativ'!$B$6:$B$405,E26,'Istoric_Nativ'!$C$6:$C$405,F26,'Istoric_Nativ'!$E$6:$E$405,G26,'Istoric_Nativ'!$D$6:$D$405,"&lt;"&amp;J26,'Istoric_Nativ'!$P$6:$P$405,1),IF(H26="AWAY",COUNTIFS('Istoric_Nativ'!$B$6:$B$405,E26,'Istoric_Nativ'!$C$6:$C$405,F26,'Istoric_Nativ'!$F$6:$F$405,G26,'Istoric_Nativ'!$D$6:$D$405,"&lt;"&amp;J26,'Istoric_Nativ'!$P$6:$P$405,1),COUNTIFS('Istoric_Nativ'!$B$6:$B$405,E26,'Istoric_Nativ'!$C$6:$C$405,F26,'Istoric_Nativ'!$E$6:$E$405,G26,'Istoric_Nativ'!$D$6:$D$405,"&lt;"&amp;J26,'Istoric_Nativ'!$P$6:$P$405,1)+COUNTIFS('Istoric_Nativ'!$B$6:$B$405,E26,'Istoric_Nativ'!$C$6:$C$405,F26,'Istoric_Nativ'!$F$6:$F$405,G26,'Istoric_Nativ'!$D$6:$D$405,"&lt;"&amp;J26,'Istoric_Nativ'!$P$6:$P$405,1))))</x:f>
        <x:v>0</x:v>
      </x:c>
      <x:c r="L26" s="17" t="n">
        <x:f>IF(AND(B26&lt;&gt;"",I26="RECENT",K26&gt;0),LARGE(_xlfn._xlws.FILTER('Istoric_Nativ'!$D$6:$D$405,('Istoric_Nativ'!$B$6:$B$405=E26)*('Istoric_Nativ'!$C$6:$C$405=F26)*('Istoric_Nativ'!$P$6:$P$405=1)*('Istoric_Nativ'!$D$6:$D$405&lt;J26)*((('Istoric_Nativ'!$E$6:$E$405=G26)+('Istoric_Nativ'!$F$6:$F$405=G26))&gt;0)),MIN('Config_v6'!$B$54,K26)),0)</x:f>
        <x:v>0</x:v>
      </x:c>
      <x:c r="M26" s="2" t="n">
        <x:f>IF(OR(B26="",F26=""),0,IF(H26="HOME",COUNTIFS('Istoric_Nativ'!$B$6:$B$405,E26,'Istoric_Nativ'!$C$6:$C$405,F26,'Istoric_Nativ'!$E$6:$E$405,G26,'Istoric_Nativ'!$D$6:$D$405,"&lt;"&amp;J26,'Istoric_Nativ'!$P$6:$P$405,1,'Istoric_Nativ'!$D$6:$D$405,"&gt;="&amp;L26),IF(H26="AWAY",COUNTIFS('Istoric_Nativ'!$B$6:$B$405,E26,'Istoric_Nativ'!$C$6:$C$405,F26,'Istoric_Nativ'!$F$6:$F$405,G26,'Istoric_Nativ'!$D$6:$D$405,"&lt;"&amp;J26,'Istoric_Nativ'!$P$6:$P$405,1,'Istoric_Nativ'!$D$6:$D$405,"&gt;="&amp;L26),COUNTIFS('Istoric_Nativ'!$B$6:$B$405,E26,'Istoric_Nativ'!$C$6:$C$405,F26,'Istoric_Nativ'!$E$6:$E$405,G26,'Istoric_Nativ'!$D$6:$D$405,"&lt;"&amp;J26,'Istoric_Nativ'!$P$6:$P$405,1,'Istoric_Nativ'!$D$6:$D$405,"&gt;="&amp;L26)+COUNTIFS('Istoric_Nativ'!$B$6:$B$405,E26,'Istoric_Nativ'!$C$6:$C$405,F26,'Istoric_Nativ'!$F$6:$F$405,G26,'Istoric_Nativ'!$D$6:$D$405,"&lt;"&amp;J26,'Istoric_Nativ'!$P$6:$P$405,1,'Istoric_Nativ'!$D$6:$D$405,"&gt;="&amp;L26))))</x:f>
        <x:v>0</x:v>
      </x:c>
      <x:c r="N26" s="11" t="str">
        <x:f>IF(M26=0,"",IF(H26="HOME",SUMIFS('Istoric_Nativ'!$G$6:$G$405,'Istoric_Nativ'!$B$6:$B$405,E26,'Istoric_Nativ'!$C$6:$C$405,F26,'Istoric_Nativ'!$E$6:$E$405,G26,'Istoric_Nativ'!$D$6:$D$405,"&lt;"&amp;J26,'Istoric_Nativ'!$P$6:$P$405,1,'Istoric_Nativ'!$D$6:$D$405,"&gt;="&amp;L26),IF(H26="AWAY",SUMIFS('Istoric_Nativ'!$H$6:$H$405,'Istoric_Nativ'!$B$6:$B$405,E26,'Istoric_Nativ'!$C$6:$C$405,F26,'Istoric_Nativ'!$F$6:$F$405,G26,'Istoric_Nativ'!$D$6:$D$405,"&lt;"&amp;J26,'Istoric_Nativ'!$P$6:$P$405,1,'Istoric_Nativ'!$D$6:$D$405,"&gt;="&amp;L26),SUMIFS('Istoric_Nativ'!$G$6:$G$405,'Istoric_Nativ'!$B$6:$B$405,E26,'Istoric_Nativ'!$C$6:$C$405,F26,'Istoric_Nativ'!$E$6:$E$405,G26,'Istoric_Nativ'!$D$6:$D$405,"&lt;"&amp;J26,'Istoric_Nativ'!$P$6:$P$405,1,'Istoric_Nativ'!$D$6:$D$405,"&gt;="&amp;L26)+SUMIFS('Istoric_Nativ'!$H$6:$H$405,'Istoric_Nativ'!$B$6:$B$405,E26,'Istoric_Nativ'!$C$6:$C$405,F26,'Istoric_Nativ'!$F$6:$F$405,G26,'Istoric_Nativ'!$D$6:$D$405,"&lt;"&amp;J26,'Istoric_Nativ'!$P$6:$P$405,1,'Istoric_Nativ'!$D$6:$D$405,"&gt;="&amp;L26)))/M26)</x:f>
      </x:c>
      <x:c r="O26" s="11" t="str">
        <x:f>IF(M26=0,"",IF(H26="HOME",SUMIFS('Istoric_Nativ'!$H$6:$H$405,'Istoric_Nativ'!$B$6:$B$405,E26,'Istoric_Nativ'!$C$6:$C$405,F26,'Istoric_Nativ'!$E$6:$E$405,G26,'Istoric_Nativ'!$D$6:$D$405,"&lt;"&amp;J26,'Istoric_Nativ'!$P$6:$P$405,1,'Istoric_Nativ'!$D$6:$D$405,"&gt;="&amp;L26),IF(H26="AWAY",SUMIFS('Istoric_Nativ'!$G$6:$G$405,'Istoric_Nativ'!$B$6:$B$405,E26,'Istoric_Nativ'!$C$6:$C$405,F26,'Istoric_Nativ'!$F$6:$F$405,G26,'Istoric_Nativ'!$D$6:$D$405,"&lt;"&amp;J26,'Istoric_Nativ'!$P$6:$P$405,1,'Istoric_Nativ'!$D$6:$D$405,"&gt;="&amp;L26),SUMIFS('Istoric_Nativ'!$H$6:$H$405,'Istoric_Nativ'!$B$6:$B$405,E26,'Istoric_Nativ'!$C$6:$C$405,F26,'Istoric_Nativ'!$E$6:$E$405,G26,'Istoric_Nativ'!$D$6:$D$405,"&lt;"&amp;J26,'Istoric_Nativ'!$P$6:$P$405,1,'Istoric_Nativ'!$D$6:$D$405,"&gt;="&amp;L26)+SUMIFS('Istoric_Nativ'!$G$6:$G$405,'Istoric_Nativ'!$B$6:$B$405,E26,'Istoric_Nativ'!$C$6:$C$405,F26,'Istoric_Nativ'!$F$6:$F$405,G26,'Istoric_Nativ'!$D$6:$D$405,"&lt;"&amp;J26,'Istoric_Nativ'!$P$6:$P$405,1,'Istoric_Nativ'!$D$6:$D$405,"&gt;="&amp;L26)))/M26)</x:f>
      </x:c>
      <x:c r="P26" s="2" t="n">
        <x:f>'Config_v6'!$B$9</x:f>
        <x:v>3</x:v>
      </x:c>
      <x:c r="Q26" s="2" t="n">
        <x:f>IF(OR(B26="",F26=""),0,IFERROR(MATCH(E26&amp;"|"&amp;F26,SourceTable[Source_Key],0),0))</x:f>
        <x:v>0</x:v>
      </x:c>
      <x:c r="R26" s="2" t="str">
        <x:f>IF(B26="","",IF(F26="","UNUSED",IF(Q26=0,"NOT CHECKED",IF(COUNTIF(SourceTable[Source_Key],E26&amp;"|"&amp;F26)&lt;&gt;1,"SOURCE CONFLICT",IF(NOT(OR(INDEX(SourceTable[Status],MAX(1,Q26))="IMPORTED",INDEX(SourceTable[Status],MAX(1,Q26))="PARTIAL",INDEX(SourceTable[Status],MAX(1,Q26))="SOURCE CONFLICT")),"ACCESS BLOCKED",IF(OR(INDEX(SourceTable[Coverage],Q26)&lt;&gt;"FULL SEASON EXPORT",INDEX(SourceTable[URL],Q26)="",INDEX(SourceTable[SHA256],Q26)=""),"EVIDENCE INCOMPLETE",IF(AND('Input_Meci'!H7="LIVE",INDEX(SourceTable[Retrieved_UTC],Q26)&gt;'Input_Meci'!G7),"POST CUTOFF","CLOSED")))))))</x:f>
        <x:v>UNUSED</x:v>
      </x:c>
      <x:c r="S26" s="2" t="n">
        <x:f>IF(OR(B26="",F26=""),0,COUNTIFS('Istoric_Nativ'!$B$6:$B$405,E26,'Istoric_Nativ'!$C$6:$C$405,F26,'Istoric_Nativ'!$E$6:$E$405,G26,'Istoric_Nativ'!$D$6:$D$405,"&lt;"&amp;J26,'Istoric_Nativ'!$O$6:$O$405,"INVALID")+COUNTIFS('Istoric_Nativ'!$B$6:$B$405,E26,'Istoric_Nativ'!$C$6:$C$405,F26,'Istoric_Nativ'!$E$6:$E$405,G26,'Istoric_Nativ'!$O$6:$O$405,"INVALID",'Istoric_Nativ'!$D$6:$D$405,"*")+COUNTIFS('Istoric_Nativ'!$B$6:$B$405,E26,'Istoric_Nativ'!$C$6:$C$405,F26,'Istoric_Nativ'!$E$6:$E$405,G26,'Istoric_Nativ'!$D$6:$D$405,"&lt;"&amp;J26,'Istoric_Nativ'!$O$6:$O$405,"SOURCE CONFLICT")+COUNTIFS('Istoric_Nativ'!$B$6:$B$405,E26,'Istoric_Nativ'!$C$6:$C$405,F26,'Istoric_Nativ'!$F$6:$F$405,G26,'Istoric_Nativ'!$D$6:$D$405,"&lt;"&amp;J26,'Istoric_Nativ'!$O$6:$O$405,"INVALID")+COUNTIFS('Istoric_Nativ'!$B$6:$B$405,E26,'Istoric_Nativ'!$C$6:$C$405,F26,'Istoric_Nativ'!$F$6:$F$405,G26,'Istoric_Nativ'!$O$6:$O$405,"INVALID",'Istoric_Nativ'!$D$6:$D$405,"*")+COUNTIFS('Istoric_Nativ'!$B$6:$B$405,E26,'Istoric_Nativ'!$C$6:$C$405,F26,'Istoric_Nativ'!$F$6:$F$405,G26,'Istoric_Nativ'!$D$6:$D$405,"&lt;"&amp;J26,'Istoric_Nativ'!$O$6:$O$405,"SOURCE CONFLICT"))</x:f>
        <x:v>0</x:v>
      </x:c>
      <x:c r="T26" s="2" t="str">
        <x:f>IF(B26="","",IF(R26&lt;&gt;"CLOSED",R26,IF(S26&gt;0,"NATIVE INPUT ISSUE",IF(M26=0,"NO HISTORY",IF(M26&lt;P26,"SMALL SAMPLE","DERIVED")))))</x:f>
        <x:v>UNUSED</x:v>
      </x:c>
      <x:c r="U26" s="2" t="str">
        <x:f>IF(B26="","","NativeTable; "&amp;E26&amp;"; "&amp;F26&amp;"; "&amp;G26&amp;"; "&amp;H26&amp;"; before "&amp;TEXT(J26,"yyyy-mm-dd")&amp;IF(I26="RECENT","; from "&amp;TEXT(L26,"yyyy-mm-dd"),""))</x:f>
        <x:v>NativeTable; E0; ; Burnley; ANY; before 2026-05-23; from 1900-01-00</x:v>
      </x:c>
    </x:row>
    <x:row r="27" ht="21" customHeight="1">
      <x:c r="A27" s="2" t="n">
        <x:v>2</x:v>
      </x:c>
      <x:c r="B27" s="2" t="str">
        <x:f>IF('Input_Meci'!A7="","",'Input_Meci'!A7)</x:f>
        <x:v>REPLAY_2</x:v>
      </x:c>
      <x:c r="C27" s="2" t="str">
        <x:v>A</x:v>
      </x:c>
      <x:c r="D27" s="2" t="str">
        <x:v>PRIOR</x:v>
      </x:c>
      <x:c r="E27" s="2" t="str">
        <x:f>IF(B27="","",'Input_Meci'!B7)</x:f>
        <x:v>E0</x:v>
      </x:c>
      <x:c r="F27" s="2" t="str">
        <x:f>IF(B27="","",IF('Input_Meci'!K7="","",'Input_Meci'!K7))</x:f>
      </x:c>
      <x:c r="G27" s="2" t="str">
        <x:f>IF(B27="","",'Input_Meci'!E7)</x:f>
        <x:v>Wolves</x:v>
      </x:c>
      <x:c r="H27" s="2" t="str">
        <x:v>ANY</x:v>
      </x:c>
      <x:c r="I27" s="2" t="str">
        <x:v>SEASON</x:v>
      </x:c>
      <x:c r="J27" s="9" t="n">
        <x:f>IF(AND(B27&lt;&gt;"",ISNUMBER('Input_Meci'!G7)),INT('Input_Meci'!G7),0)</x:f>
        <x:v>46165</x:v>
      </x:c>
      <x:c r="K27" s="2" t="n">
        <x:f>IF(OR(B27="",F27=""),0,IF(H27="HOME",COUNTIFS('Istoric_Nativ'!$B$6:$B$405,E27,'Istoric_Nativ'!$C$6:$C$405,F27,'Istoric_Nativ'!$E$6:$E$405,G27,'Istoric_Nativ'!$D$6:$D$405,"&lt;"&amp;J27,'Istoric_Nativ'!$P$6:$P$405,1),IF(H27="AWAY",COUNTIFS('Istoric_Nativ'!$B$6:$B$405,E27,'Istoric_Nativ'!$C$6:$C$405,F27,'Istoric_Nativ'!$F$6:$F$405,G27,'Istoric_Nativ'!$D$6:$D$405,"&lt;"&amp;J27,'Istoric_Nativ'!$P$6:$P$405,1),COUNTIFS('Istoric_Nativ'!$B$6:$B$405,E27,'Istoric_Nativ'!$C$6:$C$405,F27,'Istoric_Nativ'!$E$6:$E$405,G27,'Istoric_Nativ'!$D$6:$D$405,"&lt;"&amp;J27,'Istoric_Nativ'!$P$6:$P$405,1)+COUNTIFS('Istoric_Nativ'!$B$6:$B$405,E27,'Istoric_Nativ'!$C$6:$C$405,F27,'Istoric_Nativ'!$F$6:$F$405,G27,'Istoric_Nativ'!$D$6:$D$405,"&lt;"&amp;J27,'Istoric_Nativ'!$P$6:$P$405,1))))</x:f>
        <x:v>0</x:v>
      </x:c>
      <x:c r="L27" s="17" t="n">
        <x:f>IF(AND(B27&lt;&gt;"",I27="RECENT",K27&gt;0),LARGE(_xlfn._xlws.FILTER('Istoric_Nativ'!$D$6:$D$405,('Istoric_Nativ'!$B$6:$B$405=E27)*('Istoric_Nativ'!$C$6:$C$405=F27)*('Istoric_Nativ'!$P$6:$P$405=1)*('Istoric_Nativ'!$D$6:$D$405&lt;J27)*((('Istoric_Nativ'!$E$6:$E$405=G27)+('Istoric_Nativ'!$F$6:$F$405=G27))&gt;0)),MIN('Config_v6'!$B$54,K27)),0)</x:f>
        <x:v>0</x:v>
      </x:c>
      <x:c r="M27" s="2" t="n">
        <x:f>IF(OR(B27="",F27=""),0,IF(H27="HOME",COUNTIFS('Istoric_Nativ'!$B$6:$B$405,E27,'Istoric_Nativ'!$C$6:$C$405,F27,'Istoric_Nativ'!$E$6:$E$405,G27,'Istoric_Nativ'!$D$6:$D$405,"&lt;"&amp;J27,'Istoric_Nativ'!$P$6:$P$405,1,'Istoric_Nativ'!$D$6:$D$405,"&gt;="&amp;L27),IF(H27="AWAY",COUNTIFS('Istoric_Nativ'!$B$6:$B$405,E27,'Istoric_Nativ'!$C$6:$C$405,F27,'Istoric_Nativ'!$F$6:$F$405,G27,'Istoric_Nativ'!$D$6:$D$405,"&lt;"&amp;J27,'Istoric_Nativ'!$P$6:$P$405,1,'Istoric_Nativ'!$D$6:$D$405,"&gt;="&amp;L27),COUNTIFS('Istoric_Nativ'!$B$6:$B$405,E27,'Istoric_Nativ'!$C$6:$C$405,F27,'Istoric_Nativ'!$E$6:$E$405,G27,'Istoric_Nativ'!$D$6:$D$405,"&lt;"&amp;J27,'Istoric_Nativ'!$P$6:$P$405,1,'Istoric_Nativ'!$D$6:$D$405,"&gt;="&amp;L27)+COUNTIFS('Istoric_Nativ'!$B$6:$B$405,E27,'Istoric_Nativ'!$C$6:$C$405,F27,'Istoric_Nativ'!$F$6:$F$405,G27,'Istoric_Nativ'!$D$6:$D$405,"&lt;"&amp;J27,'Istoric_Nativ'!$P$6:$P$405,1,'Istoric_Nativ'!$D$6:$D$405,"&gt;="&amp;L27))))</x:f>
        <x:v>0</x:v>
      </x:c>
      <x:c r="N27" s="11" t="str">
        <x:f>IF(M27=0,"",IF(H27="HOME",SUMIFS('Istoric_Nativ'!$G$6:$G$405,'Istoric_Nativ'!$B$6:$B$405,E27,'Istoric_Nativ'!$C$6:$C$405,F27,'Istoric_Nativ'!$E$6:$E$405,G27,'Istoric_Nativ'!$D$6:$D$405,"&lt;"&amp;J27,'Istoric_Nativ'!$P$6:$P$405,1,'Istoric_Nativ'!$D$6:$D$405,"&gt;="&amp;L27),IF(H27="AWAY",SUMIFS('Istoric_Nativ'!$H$6:$H$405,'Istoric_Nativ'!$B$6:$B$405,E27,'Istoric_Nativ'!$C$6:$C$405,F27,'Istoric_Nativ'!$F$6:$F$405,G27,'Istoric_Nativ'!$D$6:$D$405,"&lt;"&amp;J27,'Istoric_Nativ'!$P$6:$P$405,1,'Istoric_Nativ'!$D$6:$D$405,"&gt;="&amp;L27),SUMIFS('Istoric_Nativ'!$G$6:$G$405,'Istoric_Nativ'!$B$6:$B$405,E27,'Istoric_Nativ'!$C$6:$C$405,F27,'Istoric_Nativ'!$E$6:$E$405,G27,'Istoric_Nativ'!$D$6:$D$405,"&lt;"&amp;J27,'Istoric_Nativ'!$P$6:$P$405,1,'Istoric_Nativ'!$D$6:$D$405,"&gt;="&amp;L27)+SUMIFS('Istoric_Nativ'!$H$6:$H$405,'Istoric_Nativ'!$B$6:$B$405,E27,'Istoric_Nativ'!$C$6:$C$405,F27,'Istoric_Nativ'!$F$6:$F$405,G27,'Istoric_Nativ'!$D$6:$D$405,"&lt;"&amp;J27,'Istoric_Nativ'!$P$6:$P$405,1,'Istoric_Nativ'!$D$6:$D$405,"&gt;="&amp;L27)))/M27)</x:f>
      </x:c>
      <x:c r="O27" s="11" t="str">
        <x:f>IF(M27=0,"",IF(H27="HOME",SUMIFS('Istoric_Nativ'!$H$6:$H$405,'Istoric_Nativ'!$B$6:$B$405,E27,'Istoric_Nativ'!$C$6:$C$405,F27,'Istoric_Nativ'!$E$6:$E$405,G27,'Istoric_Nativ'!$D$6:$D$405,"&lt;"&amp;J27,'Istoric_Nativ'!$P$6:$P$405,1,'Istoric_Nativ'!$D$6:$D$405,"&gt;="&amp;L27),IF(H27="AWAY",SUMIFS('Istoric_Nativ'!$G$6:$G$405,'Istoric_Nativ'!$B$6:$B$405,E27,'Istoric_Nativ'!$C$6:$C$405,F27,'Istoric_Nativ'!$F$6:$F$405,G27,'Istoric_Nativ'!$D$6:$D$405,"&lt;"&amp;J27,'Istoric_Nativ'!$P$6:$P$405,1,'Istoric_Nativ'!$D$6:$D$405,"&gt;="&amp;L27),SUMIFS('Istoric_Nativ'!$H$6:$H$405,'Istoric_Nativ'!$B$6:$B$405,E27,'Istoric_Nativ'!$C$6:$C$405,F27,'Istoric_Nativ'!$E$6:$E$405,G27,'Istoric_Nativ'!$D$6:$D$405,"&lt;"&amp;J27,'Istoric_Nativ'!$P$6:$P$405,1,'Istoric_Nativ'!$D$6:$D$405,"&gt;="&amp;L27)+SUMIFS('Istoric_Nativ'!$G$6:$G$405,'Istoric_Nativ'!$B$6:$B$405,E27,'Istoric_Nativ'!$C$6:$C$405,F27,'Istoric_Nativ'!$F$6:$F$405,G27,'Istoric_Nativ'!$D$6:$D$405,"&lt;"&amp;J27,'Istoric_Nativ'!$P$6:$P$405,1,'Istoric_Nativ'!$D$6:$D$405,"&gt;="&amp;L27)))/M27)</x:f>
      </x:c>
      <x:c r="P27" s="2" t="n">
        <x:f>'Config_v6'!$B$7</x:f>
        <x:v>10</x:v>
      </x:c>
      <x:c r="Q27" s="2" t="n">
        <x:f>IF(OR(B27="",F27=""),0,IFERROR(MATCH(E27&amp;"|"&amp;F27,SourceTable[Source_Key],0),0))</x:f>
        <x:v>0</x:v>
      </x:c>
      <x:c r="R27" s="2" t="str">
        <x:f>IF(B27="","",IF(F27="","UNUSED",IF(Q27=0,"NOT CHECKED",IF(COUNTIF(SourceTable[Source_Key],E27&amp;"|"&amp;F27)&lt;&gt;1,"SOURCE CONFLICT",IF(NOT(OR(INDEX(SourceTable[Status],MAX(1,Q27))="IMPORTED",INDEX(SourceTable[Status],MAX(1,Q27))="PARTIAL",INDEX(SourceTable[Status],MAX(1,Q27))="SOURCE CONFLICT")),"ACCESS BLOCKED",IF(OR(INDEX(SourceTable[Coverage],Q27)&lt;&gt;"FULL SEASON EXPORT",INDEX(SourceTable[URL],Q27)="",INDEX(SourceTable[SHA256],Q27)=""),"EVIDENCE INCOMPLETE",IF(AND('Input_Meci'!H7="LIVE",INDEX(SourceTable[Retrieved_UTC],Q27)&gt;'Input_Meci'!G7),"POST CUTOFF","CLOSED")))))))</x:f>
        <x:v>UNUSED</x:v>
      </x:c>
      <x:c r="S27" s="2" t="n">
        <x:f>IF(OR(B27="",F27=""),0,COUNTIFS('Istoric_Nativ'!$B$6:$B$405,E27,'Istoric_Nativ'!$C$6:$C$405,F27,'Istoric_Nativ'!$E$6:$E$405,G27,'Istoric_Nativ'!$D$6:$D$405,"&lt;"&amp;J27,'Istoric_Nativ'!$O$6:$O$405,"INVALID")+COUNTIFS('Istoric_Nativ'!$B$6:$B$405,E27,'Istoric_Nativ'!$C$6:$C$405,F27,'Istoric_Nativ'!$E$6:$E$405,G27,'Istoric_Nativ'!$O$6:$O$405,"INVALID",'Istoric_Nativ'!$D$6:$D$405,"*")+COUNTIFS('Istoric_Nativ'!$B$6:$B$405,E27,'Istoric_Nativ'!$C$6:$C$405,F27,'Istoric_Nativ'!$E$6:$E$405,G27,'Istoric_Nativ'!$D$6:$D$405,"&lt;"&amp;J27,'Istoric_Nativ'!$O$6:$O$405,"SOURCE CONFLICT")+COUNTIFS('Istoric_Nativ'!$B$6:$B$405,E27,'Istoric_Nativ'!$C$6:$C$405,F27,'Istoric_Nativ'!$F$6:$F$405,G27,'Istoric_Nativ'!$D$6:$D$405,"&lt;"&amp;J27,'Istoric_Nativ'!$O$6:$O$405,"INVALID")+COUNTIFS('Istoric_Nativ'!$B$6:$B$405,E27,'Istoric_Nativ'!$C$6:$C$405,F27,'Istoric_Nativ'!$F$6:$F$405,G27,'Istoric_Nativ'!$O$6:$O$405,"INVALID",'Istoric_Nativ'!$D$6:$D$405,"*")+COUNTIFS('Istoric_Nativ'!$B$6:$B$405,E27,'Istoric_Nativ'!$C$6:$C$405,F27,'Istoric_Nativ'!$F$6:$F$405,G27,'Istoric_Nativ'!$D$6:$D$405,"&lt;"&amp;J27,'Istoric_Nativ'!$O$6:$O$405,"SOURCE CONFLICT"))</x:f>
        <x:v>0</x:v>
      </x:c>
      <x:c r="T27" s="2" t="str">
        <x:f>IF(B27="","",IF(R27&lt;&gt;"CLOSED",R27,IF(S27&gt;0,"NATIVE INPUT ISSUE",IF(M27=0,"NO HISTORY",IF(M27&lt;P27,"SMALL SAMPLE","DERIVED")))))</x:f>
        <x:v>UNUSED</x:v>
      </x:c>
      <x:c r="U27" s="2" t="str">
        <x:f>IF(B27="","","NativeTable; "&amp;E27&amp;"; "&amp;F27&amp;"; "&amp;G27&amp;"; "&amp;H27&amp;"; before "&amp;TEXT(J27,"yyyy-mm-dd")&amp;IF(I27="RECENT","; from "&amp;TEXT(L27,"yyyy-mm-dd"),""))</x:f>
        <x:v>NativeTable; E0; ; Wolves; ANY; before 2026-05-23</x:v>
      </x:c>
    </x:row>
    <x:row r="28" ht="21" customHeight="1">
      <x:c r="A28" s="2" t="n">
        <x:v>2</x:v>
      </x:c>
      <x:c r="B28" s="2" t="str">
        <x:f>IF('Input_Meci'!A7="","",'Input_Meci'!A7)</x:f>
        <x:v>REPLAY_2</x:v>
      </x:c>
      <x:c r="C28" s="2" t="str">
        <x:v>A</x:v>
      </x:c>
      <x:c r="D28" s="2" t="str">
        <x:v>PRIOR</x:v>
      </x:c>
      <x:c r="E28" s="2" t="str">
        <x:f>IF(B28="","",'Input_Meci'!B7)</x:f>
        <x:v>E0</x:v>
      </x:c>
      <x:c r="F28" s="2" t="str">
        <x:f>IF(B28="","",IF('Input_Meci'!K7="","",'Input_Meci'!K7))</x:f>
      </x:c>
      <x:c r="G28" s="2" t="str">
        <x:f>IF(B28="","",'Input_Meci'!E7)</x:f>
        <x:v>Wolves</x:v>
      </x:c>
      <x:c r="H28" s="2" t="str">
        <x:v>AWAY</x:v>
      </x:c>
      <x:c r="I28" s="2" t="str">
        <x:v>HA</x:v>
      </x:c>
      <x:c r="J28" s="9" t="n">
        <x:f>IF(AND(B28&lt;&gt;"",ISNUMBER('Input_Meci'!G7)),INT('Input_Meci'!G7),0)</x:f>
        <x:v>46165</x:v>
      </x:c>
      <x:c r="K28" s="2" t="n">
        <x:f>IF(OR(B28="",F28=""),0,IF(H28="HOME",COUNTIFS('Istoric_Nativ'!$B$6:$B$405,E28,'Istoric_Nativ'!$C$6:$C$405,F28,'Istoric_Nativ'!$E$6:$E$405,G28,'Istoric_Nativ'!$D$6:$D$405,"&lt;"&amp;J28,'Istoric_Nativ'!$P$6:$P$405,1),IF(H28="AWAY",COUNTIFS('Istoric_Nativ'!$B$6:$B$405,E28,'Istoric_Nativ'!$C$6:$C$405,F28,'Istoric_Nativ'!$F$6:$F$405,G28,'Istoric_Nativ'!$D$6:$D$405,"&lt;"&amp;J28,'Istoric_Nativ'!$P$6:$P$405,1),COUNTIFS('Istoric_Nativ'!$B$6:$B$405,E28,'Istoric_Nativ'!$C$6:$C$405,F28,'Istoric_Nativ'!$E$6:$E$405,G28,'Istoric_Nativ'!$D$6:$D$405,"&lt;"&amp;J28,'Istoric_Nativ'!$P$6:$P$405,1)+COUNTIFS('Istoric_Nativ'!$B$6:$B$405,E28,'Istoric_Nativ'!$C$6:$C$405,F28,'Istoric_Nativ'!$F$6:$F$405,G28,'Istoric_Nativ'!$D$6:$D$405,"&lt;"&amp;J28,'Istoric_Nativ'!$P$6:$P$405,1))))</x:f>
        <x:v>0</x:v>
      </x:c>
      <x:c r="L28" s="17" t="n">
        <x:f>IF(AND(B28&lt;&gt;"",I28="RECENT",K28&gt;0),LARGE(_xlfn._xlws.FILTER('Istoric_Nativ'!$D$6:$D$405,('Istoric_Nativ'!$B$6:$B$405=E28)*('Istoric_Nativ'!$C$6:$C$405=F28)*('Istoric_Nativ'!$P$6:$P$405=1)*('Istoric_Nativ'!$D$6:$D$405&lt;J28)*((('Istoric_Nativ'!$E$6:$E$405=G28)+('Istoric_Nativ'!$F$6:$F$405=G28))&gt;0)),MIN('Config_v6'!$B$54,K28)),0)</x:f>
        <x:v>0</x:v>
      </x:c>
      <x:c r="M28" s="2" t="n">
        <x:f>IF(OR(B28="",F28=""),0,IF(H28="HOME",COUNTIFS('Istoric_Nativ'!$B$6:$B$405,E28,'Istoric_Nativ'!$C$6:$C$405,F28,'Istoric_Nativ'!$E$6:$E$405,G28,'Istoric_Nativ'!$D$6:$D$405,"&lt;"&amp;J28,'Istoric_Nativ'!$P$6:$P$405,1,'Istoric_Nativ'!$D$6:$D$405,"&gt;="&amp;L28),IF(H28="AWAY",COUNTIFS('Istoric_Nativ'!$B$6:$B$405,E28,'Istoric_Nativ'!$C$6:$C$405,F28,'Istoric_Nativ'!$F$6:$F$405,G28,'Istoric_Nativ'!$D$6:$D$405,"&lt;"&amp;J28,'Istoric_Nativ'!$P$6:$P$405,1,'Istoric_Nativ'!$D$6:$D$405,"&gt;="&amp;L28),COUNTIFS('Istoric_Nativ'!$B$6:$B$405,E28,'Istoric_Nativ'!$C$6:$C$405,F28,'Istoric_Nativ'!$E$6:$E$405,G28,'Istoric_Nativ'!$D$6:$D$405,"&lt;"&amp;J28,'Istoric_Nativ'!$P$6:$P$405,1,'Istoric_Nativ'!$D$6:$D$405,"&gt;="&amp;L28)+COUNTIFS('Istoric_Nativ'!$B$6:$B$405,E28,'Istoric_Nativ'!$C$6:$C$405,F28,'Istoric_Nativ'!$F$6:$F$405,G28,'Istoric_Nativ'!$D$6:$D$405,"&lt;"&amp;J28,'Istoric_Nativ'!$P$6:$P$405,1,'Istoric_Nativ'!$D$6:$D$405,"&gt;="&amp;L28))))</x:f>
        <x:v>0</x:v>
      </x:c>
      <x:c r="N28" s="11" t="str">
        <x:f>IF(M28=0,"",IF(H28="HOME",SUMIFS('Istoric_Nativ'!$G$6:$G$405,'Istoric_Nativ'!$B$6:$B$405,E28,'Istoric_Nativ'!$C$6:$C$405,F28,'Istoric_Nativ'!$E$6:$E$405,G28,'Istoric_Nativ'!$D$6:$D$405,"&lt;"&amp;J28,'Istoric_Nativ'!$P$6:$P$405,1,'Istoric_Nativ'!$D$6:$D$405,"&gt;="&amp;L28),IF(H28="AWAY",SUMIFS('Istoric_Nativ'!$H$6:$H$405,'Istoric_Nativ'!$B$6:$B$405,E28,'Istoric_Nativ'!$C$6:$C$405,F28,'Istoric_Nativ'!$F$6:$F$405,G28,'Istoric_Nativ'!$D$6:$D$405,"&lt;"&amp;J28,'Istoric_Nativ'!$P$6:$P$405,1,'Istoric_Nativ'!$D$6:$D$405,"&gt;="&amp;L28),SUMIFS('Istoric_Nativ'!$G$6:$G$405,'Istoric_Nativ'!$B$6:$B$405,E28,'Istoric_Nativ'!$C$6:$C$405,F28,'Istoric_Nativ'!$E$6:$E$405,G28,'Istoric_Nativ'!$D$6:$D$405,"&lt;"&amp;J28,'Istoric_Nativ'!$P$6:$P$405,1,'Istoric_Nativ'!$D$6:$D$405,"&gt;="&amp;L28)+SUMIFS('Istoric_Nativ'!$H$6:$H$405,'Istoric_Nativ'!$B$6:$B$405,E28,'Istoric_Nativ'!$C$6:$C$405,F28,'Istoric_Nativ'!$F$6:$F$405,G28,'Istoric_Nativ'!$D$6:$D$405,"&lt;"&amp;J28,'Istoric_Nativ'!$P$6:$P$405,1,'Istoric_Nativ'!$D$6:$D$405,"&gt;="&amp;L28)))/M28)</x:f>
      </x:c>
      <x:c r="O28" s="11" t="str">
        <x:f>IF(M28=0,"",IF(H28="HOME",SUMIFS('Istoric_Nativ'!$H$6:$H$405,'Istoric_Nativ'!$B$6:$B$405,E28,'Istoric_Nativ'!$C$6:$C$405,F28,'Istoric_Nativ'!$E$6:$E$405,G28,'Istoric_Nativ'!$D$6:$D$405,"&lt;"&amp;J28,'Istoric_Nativ'!$P$6:$P$405,1,'Istoric_Nativ'!$D$6:$D$405,"&gt;="&amp;L28),IF(H28="AWAY",SUMIFS('Istoric_Nativ'!$G$6:$G$405,'Istoric_Nativ'!$B$6:$B$405,E28,'Istoric_Nativ'!$C$6:$C$405,F28,'Istoric_Nativ'!$F$6:$F$405,G28,'Istoric_Nativ'!$D$6:$D$405,"&lt;"&amp;J28,'Istoric_Nativ'!$P$6:$P$405,1,'Istoric_Nativ'!$D$6:$D$405,"&gt;="&amp;L28),SUMIFS('Istoric_Nativ'!$H$6:$H$405,'Istoric_Nativ'!$B$6:$B$405,E28,'Istoric_Nativ'!$C$6:$C$405,F28,'Istoric_Nativ'!$E$6:$E$405,G28,'Istoric_Nativ'!$D$6:$D$405,"&lt;"&amp;J28,'Istoric_Nativ'!$P$6:$P$405,1,'Istoric_Nativ'!$D$6:$D$405,"&gt;="&amp;L28)+SUMIFS('Istoric_Nativ'!$G$6:$G$405,'Istoric_Nativ'!$B$6:$B$405,E28,'Istoric_Nativ'!$C$6:$C$405,F28,'Istoric_Nativ'!$F$6:$F$405,G28,'Istoric_Nativ'!$D$6:$D$405,"&lt;"&amp;J28,'Istoric_Nativ'!$P$6:$P$405,1,'Istoric_Nativ'!$D$6:$D$405,"&gt;="&amp;L28)))/M28)</x:f>
      </x:c>
      <x:c r="P28" s="2" t="n">
        <x:f>'Config_v6'!$B$8</x:f>
        <x:v>5</x:v>
      </x:c>
      <x:c r="Q28" s="2" t="n">
        <x:f>IF(OR(B28="",F28=""),0,IFERROR(MATCH(E28&amp;"|"&amp;F28,SourceTable[Source_Key],0),0))</x:f>
        <x:v>0</x:v>
      </x:c>
      <x:c r="R28" s="2" t="str">
        <x:f>IF(B28="","",IF(F28="","UNUSED",IF(Q28=0,"NOT CHECKED",IF(COUNTIF(SourceTable[Source_Key],E28&amp;"|"&amp;F28)&lt;&gt;1,"SOURCE CONFLICT",IF(NOT(OR(INDEX(SourceTable[Status],MAX(1,Q28))="IMPORTED",INDEX(SourceTable[Status],MAX(1,Q28))="PARTIAL",INDEX(SourceTable[Status],MAX(1,Q28))="SOURCE CONFLICT")),"ACCESS BLOCKED",IF(OR(INDEX(SourceTable[Coverage],Q28)&lt;&gt;"FULL SEASON EXPORT",INDEX(SourceTable[URL],Q28)="",INDEX(SourceTable[SHA256],Q28)=""),"EVIDENCE INCOMPLETE",IF(AND('Input_Meci'!H7="LIVE",INDEX(SourceTable[Retrieved_UTC],Q28)&gt;'Input_Meci'!G7),"POST CUTOFF","CLOSED")))))))</x:f>
        <x:v>UNUSED</x:v>
      </x:c>
      <x:c r="S28" s="2" t="n">
        <x:f>IF(OR(B28="",F28=""),0,COUNTIFS('Istoric_Nativ'!$B$6:$B$405,E28,'Istoric_Nativ'!$C$6:$C$405,F28,'Istoric_Nativ'!$E$6:$E$405,G28,'Istoric_Nativ'!$D$6:$D$405,"&lt;"&amp;J28,'Istoric_Nativ'!$O$6:$O$405,"INVALID")+COUNTIFS('Istoric_Nativ'!$B$6:$B$405,E28,'Istoric_Nativ'!$C$6:$C$405,F28,'Istoric_Nativ'!$E$6:$E$405,G28,'Istoric_Nativ'!$O$6:$O$405,"INVALID",'Istoric_Nativ'!$D$6:$D$405,"*")+COUNTIFS('Istoric_Nativ'!$B$6:$B$405,E28,'Istoric_Nativ'!$C$6:$C$405,F28,'Istoric_Nativ'!$E$6:$E$405,G28,'Istoric_Nativ'!$D$6:$D$405,"&lt;"&amp;J28,'Istoric_Nativ'!$O$6:$O$405,"SOURCE CONFLICT")+COUNTIFS('Istoric_Nativ'!$B$6:$B$405,E28,'Istoric_Nativ'!$C$6:$C$405,F28,'Istoric_Nativ'!$F$6:$F$405,G28,'Istoric_Nativ'!$D$6:$D$405,"&lt;"&amp;J28,'Istoric_Nativ'!$O$6:$O$405,"INVALID")+COUNTIFS('Istoric_Nativ'!$B$6:$B$405,E28,'Istoric_Nativ'!$C$6:$C$405,F28,'Istoric_Nativ'!$F$6:$F$405,G28,'Istoric_Nativ'!$O$6:$O$405,"INVALID",'Istoric_Nativ'!$D$6:$D$405,"*")+COUNTIFS('Istoric_Nativ'!$B$6:$B$405,E28,'Istoric_Nativ'!$C$6:$C$405,F28,'Istoric_Nativ'!$F$6:$F$405,G28,'Istoric_Nativ'!$D$6:$D$405,"&lt;"&amp;J28,'Istoric_Nativ'!$O$6:$O$405,"SOURCE CONFLICT"))</x:f>
        <x:v>0</x:v>
      </x:c>
      <x:c r="T28" s="2" t="str">
        <x:f>IF(B28="","",IF(R28&lt;&gt;"CLOSED",R28,IF(S28&gt;0,"NATIVE INPUT ISSUE",IF(M28=0,"NO HISTORY",IF(M28&lt;P28,"SMALL SAMPLE","DERIVED")))))</x:f>
        <x:v>UNUSED</x:v>
      </x:c>
      <x:c r="U28" s="2" t="str">
        <x:f>IF(B28="","","NativeTable; "&amp;E28&amp;"; "&amp;F28&amp;"; "&amp;G28&amp;"; "&amp;H28&amp;"; before "&amp;TEXT(J28,"yyyy-mm-dd")&amp;IF(I28="RECENT","; from "&amp;TEXT(L28,"yyyy-mm-dd"),""))</x:f>
        <x:v>NativeTable; E0; ; Wolves; AWAY; before 2026-05-23</x:v>
      </x:c>
    </x:row>
    <x:row r="29" ht="21" customHeight="1">
      <x:c r="A29" s="2" t="n">
        <x:v>2</x:v>
      </x:c>
      <x:c r="B29" s="2" t="str">
        <x:f>IF('Input_Meci'!A7="","",'Input_Meci'!A7)</x:f>
        <x:v>REPLAY_2</x:v>
      </x:c>
      <x:c r="C29" s="2" t="str">
        <x:v>A</x:v>
      </x:c>
      <x:c r="D29" s="2" t="str">
        <x:v>PRIOR</x:v>
      </x:c>
      <x:c r="E29" s="2" t="str">
        <x:f>IF(B29="","",'Input_Meci'!B7)</x:f>
        <x:v>E0</x:v>
      </x:c>
      <x:c r="F29" s="2" t="str">
        <x:f>IF(B29="","",IF('Input_Meci'!K7="","",'Input_Meci'!K7))</x:f>
      </x:c>
      <x:c r="G29" s="2" t="str">
        <x:f>IF(B29="","",'Input_Meci'!E7)</x:f>
        <x:v>Wolves</x:v>
      </x:c>
      <x:c r="H29" s="2" t="str">
        <x:v>ANY</x:v>
      </x:c>
      <x:c r="I29" s="2" t="str">
        <x:v>RECENT</x:v>
      </x:c>
      <x:c r="J29" s="9" t="n">
        <x:f>IF(AND(B29&lt;&gt;"",ISNUMBER('Input_Meci'!G7)),INT('Input_Meci'!G7),0)</x:f>
        <x:v>46165</x:v>
      </x:c>
      <x:c r="K29" s="2" t="n">
        <x:f>IF(OR(B29="",F29=""),0,IF(H29="HOME",COUNTIFS('Istoric_Nativ'!$B$6:$B$405,E29,'Istoric_Nativ'!$C$6:$C$405,F29,'Istoric_Nativ'!$E$6:$E$405,G29,'Istoric_Nativ'!$D$6:$D$405,"&lt;"&amp;J29,'Istoric_Nativ'!$P$6:$P$405,1),IF(H29="AWAY",COUNTIFS('Istoric_Nativ'!$B$6:$B$405,E29,'Istoric_Nativ'!$C$6:$C$405,F29,'Istoric_Nativ'!$F$6:$F$405,G29,'Istoric_Nativ'!$D$6:$D$405,"&lt;"&amp;J29,'Istoric_Nativ'!$P$6:$P$405,1),COUNTIFS('Istoric_Nativ'!$B$6:$B$405,E29,'Istoric_Nativ'!$C$6:$C$405,F29,'Istoric_Nativ'!$E$6:$E$405,G29,'Istoric_Nativ'!$D$6:$D$405,"&lt;"&amp;J29,'Istoric_Nativ'!$P$6:$P$405,1)+COUNTIFS('Istoric_Nativ'!$B$6:$B$405,E29,'Istoric_Nativ'!$C$6:$C$405,F29,'Istoric_Nativ'!$F$6:$F$405,G29,'Istoric_Nativ'!$D$6:$D$405,"&lt;"&amp;J29,'Istoric_Nativ'!$P$6:$P$405,1))))</x:f>
        <x:v>0</x:v>
      </x:c>
      <x:c r="L29" s="17" t="n">
        <x:f>IF(AND(B29&lt;&gt;"",I29="RECENT",K29&gt;0),LARGE(_xlfn._xlws.FILTER('Istoric_Nativ'!$D$6:$D$405,('Istoric_Nativ'!$B$6:$B$405=E29)*('Istoric_Nativ'!$C$6:$C$405=F29)*('Istoric_Nativ'!$P$6:$P$405=1)*('Istoric_Nativ'!$D$6:$D$405&lt;J29)*((('Istoric_Nativ'!$E$6:$E$405=G29)+('Istoric_Nativ'!$F$6:$F$405=G29))&gt;0)),MIN('Config_v6'!$B$54,K29)),0)</x:f>
        <x:v>0</x:v>
      </x:c>
      <x:c r="M29" s="2" t="n">
        <x:f>IF(OR(B29="",F29=""),0,IF(H29="HOME",COUNTIFS('Istoric_Nativ'!$B$6:$B$405,E29,'Istoric_Nativ'!$C$6:$C$405,F29,'Istoric_Nativ'!$E$6:$E$405,G29,'Istoric_Nativ'!$D$6:$D$405,"&lt;"&amp;J29,'Istoric_Nativ'!$P$6:$P$405,1,'Istoric_Nativ'!$D$6:$D$405,"&gt;="&amp;L29),IF(H29="AWAY",COUNTIFS('Istoric_Nativ'!$B$6:$B$405,E29,'Istoric_Nativ'!$C$6:$C$405,F29,'Istoric_Nativ'!$F$6:$F$405,G29,'Istoric_Nativ'!$D$6:$D$405,"&lt;"&amp;J29,'Istoric_Nativ'!$P$6:$P$405,1,'Istoric_Nativ'!$D$6:$D$405,"&gt;="&amp;L29),COUNTIFS('Istoric_Nativ'!$B$6:$B$405,E29,'Istoric_Nativ'!$C$6:$C$405,F29,'Istoric_Nativ'!$E$6:$E$405,G29,'Istoric_Nativ'!$D$6:$D$405,"&lt;"&amp;J29,'Istoric_Nativ'!$P$6:$P$405,1,'Istoric_Nativ'!$D$6:$D$405,"&gt;="&amp;L29)+COUNTIFS('Istoric_Nativ'!$B$6:$B$405,E29,'Istoric_Nativ'!$C$6:$C$405,F29,'Istoric_Nativ'!$F$6:$F$405,G29,'Istoric_Nativ'!$D$6:$D$405,"&lt;"&amp;J29,'Istoric_Nativ'!$P$6:$P$405,1,'Istoric_Nativ'!$D$6:$D$405,"&gt;="&amp;L29))))</x:f>
        <x:v>0</x:v>
      </x:c>
      <x:c r="N29" s="11" t="str">
        <x:f>IF(M29=0,"",IF(H29="HOME",SUMIFS('Istoric_Nativ'!$G$6:$G$405,'Istoric_Nativ'!$B$6:$B$405,E29,'Istoric_Nativ'!$C$6:$C$405,F29,'Istoric_Nativ'!$E$6:$E$405,G29,'Istoric_Nativ'!$D$6:$D$405,"&lt;"&amp;J29,'Istoric_Nativ'!$P$6:$P$405,1,'Istoric_Nativ'!$D$6:$D$405,"&gt;="&amp;L29),IF(H29="AWAY",SUMIFS('Istoric_Nativ'!$H$6:$H$405,'Istoric_Nativ'!$B$6:$B$405,E29,'Istoric_Nativ'!$C$6:$C$405,F29,'Istoric_Nativ'!$F$6:$F$405,G29,'Istoric_Nativ'!$D$6:$D$405,"&lt;"&amp;J29,'Istoric_Nativ'!$P$6:$P$405,1,'Istoric_Nativ'!$D$6:$D$405,"&gt;="&amp;L29),SUMIFS('Istoric_Nativ'!$G$6:$G$405,'Istoric_Nativ'!$B$6:$B$405,E29,'Istoric_Nativ'!$C$6:$C$405,F29,'Istoric_Nativ'!$E$6:$E$405,G29,'Istoric_Nativ'!$D$6:$D$405,"&lt;"&amp;J29,'Istoric_Nativ'!$P$6:$P$405,1,'Istoric_Nativ'!$D$6:$D$405,"&gt;="&amp;L29)+SUMIFS('Istoric_Nativ'!$H$6:$H$405,'Istoric_Nativ'!$B$6:$B$405,E29,'Istoric_Nativ'!$C$6:$C$405,F29,'Istoric_Nativ'!$F$6:$F$405,G29,'Istoric_Nativ'!$D$6:$D$405,"&lt;"&amp;J29,'Istoric_Nativ'!$P$6:$P$405,1,'Istoric_Nativ'!$D$6:$D$405,"&gt;="&amp;L29)))/M29)</x:f>
      </x:c>
      <x:c r="O29" s="11" t="str">
        <x:f>IF(M29=0,"",IF(H29="HOME",SUMIFS('Istoric_Nativ'!$H$6:$H$405,'Istoric_Nativ'!$B$6:$B$405,E29,'Istoric_Nativ'!$C$6:$C$405,F29,'Istoric_Nativ'!$E$6:$E$405,G29,'Istoric_Nativ'!$D$6:$D$405,"&lt;"&amp;J29,'Istoric_Nativ'!$P$6:$P$405,1,'Istoric_Nativ'!$D$6:$D$405,"&gt;="&amp;L29),IF(H29="AWAY",SUMIFS('Istoric_Nativ'!$G$6:$G$405,'Istoric_Nativ'!$B$6:$B$405,E29,'Istoric_Nativ'!$C$6:$C$405,F29,'Istoric_Nativ'!$F$6:$F$405,G29,'Istoric_Nativ'!$D$6:$D$405,"&lt;"&amp;J29,'Istoric_Nativ'!$P$6:$P$405,1,'Istoric_Nativ'!$D$6:$D$405,"&gt;="&amp;L29),SUMIFS('Istoric_Nativ'!$H$6:$H$405,'Istoric_Nativ'!$B$6:$B$405,E29,'Istoric_Nativ'!$C$6:$C$405,F29,'Istoric_Nativ'!$E$6:$E$405,G29,'Istoric_Nativ'!$D$6:$D$405,"&lt;"&amp;J29,'Istoric_Nativ'!$P$6:$P$405,1,'Istoric_Nativ'!$D$6:$D$405,"&gt;="&amp;L29)+SUMIFS('Istoric_Nativ'!$G$6:$G$405,'Istoric_Nativ'!$B$6:$B$405,E29,'Istoric_Nativ'!$C$6:$C$405,F29,'Istoric_Nativ'!$F$6:$F$405,G29,'Istoric_Nativ'!$D$6:$D$405,"&lt;"&amp;J29,'Istoric_Nativ'!$P$6:$P$405,1,'Istoric_Nativ'!$D$6:$D$405,"&gt;="&amp;L29)))/M29)</x:f>
      </x:c>
      <x:c r="P29" s="2" t="n">
        <x:f>'Config_v6'!$B$9</x:f>
        <x:v>3</x:v>
      </x:c>
      <x:c r="Q29" s="2" t="n">
        <x:f>IF(OR(B29="",F29=""),0,IFERROR(MATCH(E29&amp;"|"&amp;F29,SourceTable[Source_Key],0),0))</x:f>
        <x:v>0</x:v>
      </x:c>
      <x:c r="R29" s="2" t="str">
        <x:f>IF(B29="","",IF(F29="","UNUSED",IF(Q29=0,"NOT CHECKED",IF(COUNTIF(SourceTable[Source_Key],E29&amp;"|"&amp;F29)&lt;&gt;1,"SOURCE CONFLICT",IF(NOT(OR(INDEX(SourceTable[Status],MAX(1,Q29))="IMPORTED",INDEX(SourceTable[Status],MAX(1,Q29))="PARTIAL",INDEX(SourceTable[Status],MAX(1,Q29))="SOURCE CONFLICT")),"ACCESS BLOCKED",IF(OR(INDEX(SourceTable[Coverage],Q29)&lt;&gt;"FULL SEASON EXPORT",INDEX(SourceTable[URL],Q29)="",INDEX(SourceTable[SHA256],Q29)=""),"EVIDENCE INCOMPLETE",IF(AND('Input_Meci'!H7="LIVE",INDEX(SourceTable[Retrieved_UTC],Q29)&gt;'Input_Meci'!G7),"POST CUTOFF","CLOSED")))))))</x:f>
        <x:v>UNUSED</x:v>
      </x:c>
      <x:c r="S29" s="2" t="n">
        <x:f>IF(OR(B29="",F29=""),0,COUNTIFS('Istoric_Nativ'!$B$6:$B$405,E29,'Istoric_Nativ'!$C$6:$C$405,F29,'Istoric_Nativ'!$E$6:$E$405,G29,'Istoric_Nativ'!$D$6:$D$405,"&lt;"&amp;J29,'Istoric_Nativ'!$O$6:$O$405,"INVALID")+COUNTIFS('Istoric_Nativ'!$B$6:$B$405,E29,'Istoric_Nativ'!$C$6:$C$405,F29,'Istoric_Nativ'!$E$6:$E$405,G29,'Istoric_Nativ'!$O$6:$O$405,"INVALID",'Istoric_Nativ'!$D$6:$D$405,"*")+COUNTIFS('Istoric_Nativ'!$B$6:$B$405,E29,'Istoric_Nativ'!$C$6:$C$405,F29,'Istoric_Nativ'!$E$6:$E$405,G29,'Istoric_Nativ'!$D$6:$D$405,"&lt;"&amp;J29,'Istoric_Nativ'!$O$6:$O$405,"SOURCE CONFLICT")+COUNTIFS('Istoric_Nativ'!$B$6:$B$405,E29,'Istoric_Nativ'!$C$6:$C$405,F29,'Istoric_Nativ'!$F$6:$F$405,G29,'Istoric_Nativ'!$D$6:$D$405,"&lt;"&amp;J29,'Istoric_Nativ'!$O$6:$O$405,"INVALID")+COUNTIFS('Istoric_Nativ'!$B$6:$B$405,E29,'Istoric_Nativ'!$C$6:$C$405,F29,'Istoric_Nativ'!$F$6:$F$405,G29,'Istoric_Nativ'!$O$6:$O$405,"INVALID",'Istoric_Nativ'!$D$6:$D$405,"*")+COUNTIFS('Istoric_Nativ'!$B$6:$B$405,E29,'Istoric_Nativ'!$C$6:$C$405,F29,'Istoric_Nativ'!$F$6:$F$405,G29,'Istoric_Nativ'!$D$6:$D$405,"&lt;"&amp;J29,'Istoric_Nativ'!$O$6:$O$405,"SOURCE CONFLICT"))</x:f>
        <x:v>0</x:v>
      </x:c>
      <x:c r="T29" s="2" t="str">
        <x:f>IF(B29="","",IF(R29&lt;&gt;"CLOSED",R29,IF(S29&gt;0,"NATIVE INPUT ISSUE",IF(M29=0,"NO HISTORY",IF(M29&lt;P29,"SMALL SAMPLE","DERIVED")))))</x:f>
        <x:v>UNUSED</x:v>
      </x:c>
      <x:c r="U29" s="2" t="str">
        <x:f>IF(B29="","","NativeTable; "&amp;E29&amp;"; "&amp;F29&amp;"; "&amp;G29&amp;"; "&amp;H29&amp;"; before "&amp;TEXT(J29,"yyyy-mm-dd")&amp;IF(I29="RECENT","; from "&amp;TEXT(L29,"yyyy-mm-dd"),""))</x:f>
        <x:v>NativeTable; E0; ; Wolves; ANY; before 2026-05-23; from 1900-01-00</x:v>
      </x:c>
    </x:row>
    <x:row r="30" ht="21" customHeight="1">
      <x:c r="A30" s="2" t="n">
        <x:v>3</x:v>
      </x:c>
      <x:c r="B30" s="2" t="str">
        <x:f>IF('Input_Meci'!A8="","",'Input_Meci'!A8)</x:f>
        <x:v>REPLAY_3</x:v>
      </x:c>
      <x:c r="C30" s="2" t="str">
        <x:v>H</x:v>
      </x:c>
      <x:c r="D30" s="2" t="str">
        <x:v>CURRENT</x:v>
      </x:c>
      <x:c r="E30" s="2" t="str">
        <x:f>IF(B30="","",'Input_Meci'!B8)</x:f>
        <x:v>E0</x:v>
      </x:c>
      <x:c r="F30" s="2" t="str">
        <x:f>IF(B30="","",IF('Input_Meci'!C8="","",'Input_Meci'!C8))</x:f>
        <x:v>2025/26</x:v>
      </x:c>
      <x:c r="G30" s="2" t="str">
        <x:f>IF(B30="","",'Input_Meci'!D8)</x:f>
        <x:v>Crystal Palace</x:v>
      </x:c>
      <x:c r="H30" s="2" t="str">
        <x:v>ANY</x:v>
      </x:c>
      <x:c r="I30" s="2" t="str">
        <x:v>SEASON</x:v>
      </x:c>
      <x:c r="J30" s="9" t="n">
        <x:f>IF(AND(B30&lt;&gt;"",ISNUMBER('Input_Meci'!G8)),INT('Input_Meci'!G8),0)</x:f>
        <x:v>46165</x:v>
      </x:c>
      <x:c r="K30" s="2" t="n">
        <x:f>IF(OR(B30="",F30=""),0,IF(H30="HOME",COUNTIFS('Istoric_Nativ'!$B$6:$B$405,E30,'Istoric_Nativ'!$C$6:$C$405,F30,'Istoric_Nativ'!$E$6:$E$405,G30,'Istoric_Nativ'!$D$6:$D$405,"&lt;"&amp;J30,'Istoric_Nativ'!$P$6:$P$405,1),IF(H30="AWAY",COUNTIFS('Istoric_Nativ'!$B$6:$B$405,E30,'Istoric_Nativ'!$C$6:$C$405,F30,'Istoric_Nativ'!$F$6:$F$405,G30,'Istoric_Nativ'!$D$6:$D$405,"&lt;"&amp;J30,'Istoric_Nativ'!$P$6:$P$405,1),COUNTIFS('Istoric_Nativ'!$B$6:$B$405,E30,'Istoric_Nativ'!$C$6:$C$405,F30,'Istoric_Nativ'!$E$6:$E$405,G30,'Istoric_Nativ'!$D$6:$D$405,"&lt;"&amp;J30,'Istoric_Nativ'!$P$6:$P$405,1)+COUNTIFS('Istoric_Nativ'!$B$6:$B$405,E30,'Istoric_Nativ'!$C$6:$C$405,F30,'Istoric_Nativ'!$F$6:$F$405,G30,'Istoric_Nativ'!$D$6:$D$405,"&lt;"&amp;J30,'Istoric_Nativ'!$P$6:$P$405,1))))</x:f>
        <x:v>37</x:v>
      </x:c>
      <x:c r="L30" s="17" t="n">
        <x:f>IF(AND(B30&lt;&gt;"",I30="RECENT",K30&gt;0),LARGE(_xlfn._xlws.FILTER('Istoric_Nativ'!$D$6:$D$405,('Istoric_Nativ'!$B$6:$B$405=E30)*('Istoric_Nativ'!$C$6:$C$405=F30)*('Istoric_Nativ'!$P$6:$P$405=1)*('Istoric_Nativ'!$D$6:$D$405&lt;J30)*((('Istoric_Nativ'!$E$6:$E$405=G30)+('Istoric_Nativ'!$F$6:$F$405=G30))&gt;0)),MIN('Config_v6'!$B$54,K30)),0)</x:f>
        <x:v>0</x:v>
      </x:c>
      <x:c r="M30" s="2" t="n">
        <x:f>IF(OR(B30="",F30=""),0,IF(H30="HOME",COUNTIFS('Istoric_Nativ'!$B$6:$B$405,E30,'Istoric_Nativ'!$C$6:$C$405,F30,'Istoric_Nativ'!$E$6:$E$405,G30,'Istoric_Nativ'!$D$6:$D$405,"&lt;"&amp;J30,'Istoric_Nativ'!$P$6:$P$405,1,'Istoric_Nativ'!$D$6:$D$405,"&gt;="&amp;L30),IF(H30="AWAY",COUNTIFS('Istoric_Nativ'!$B$6:$B$405,E30,'Istoric_Nativ'!$C$6:$C$405,F30,'Istoric_Nativ'!$F$6:$F$405,G30,'Istoric_Nativ'!$D$6:$D$405,"&lt;"&amp;J30,'Istoric_Nativ'!$P$6:$P$405,1,'Istoric_Nativ'!$D$6:$D$405,"&gt;="&amp;L30),COUNTIFS('Istoric_Nativ'!$B$6:$B$405,E30,'Istoric_Nativ'!$C$6:$C$405,F30,'Istoric_Nativ'!$E$6:$E$405,G30,'Istoric_Nativ'!$D$6:$D$405,"&lt;"&amp;J30,'Istoric_Nativ'!$P$6:$P$405,1,'Istoric_Nativ'!$D$6:$D$405,"&gt;="&amp;L30)+COUNTIFS('Istoric_Nativ'!$B$6:$B$405,E30,'Istoric_Nativ'!$C$6:$C$405,F30,'Istoric_Nativ'!$F$6:$F$405,G30,'Istoric_Nativ'!$D$6:$D$405,"&lt;"&amp;J30,'Istoric_Nativ'!$P$6:$P$405,1,'Istoric_Nativ'!$D$6:$D$405,"&gt;="&amp;L30))))</x:f>
        <x:v>37</x:v>
      </x:c>
      <x:c r="N30" s="11" t="n">
        <x:f>IF(M30=0,"",IF(H30="HOME",SUMIFS('Istoric_Nativ'!$G$6:$G$405,'Istoric_Nativ'!$B$6:$B$405,E30,'Istoric_Nativ'!$C$6:$C$405,F30,'Istoric_Nativ'!$E$6:$E$405,G30,'Istoric_Nativ'!$D$6:$D$405,"&lt;"&amp;J30,'Istoric_Nativ'!$P$6:$P$405,1,'Istoric_Nativ'!$D$6:$D$405,"&gt;="&amp;L30),IF(H30="AWAY",SUMIFS('Istoric_Nativ'!$H$6:$H$405,'Istoric_Nativ'!$B$6:$B$405,E30,'Istoric_Nativ'!$C$6:$C$405,F30,'Istoric_Nativ'!$F$6:$F$405,G30,'Istoric_Nativ'!$D$6:$D$405,"&lt;"&amp;J30,'Istoric_Nativ'!$P$6:$P$405,1,'Istoric_Nativ'!$D$6:$D$405,"&gt;="&amp;L30),SUMIFS('Istoric_Nativ'!$G$6:$G$405,'Istoric_Nativ'!$B$6:$B$405,E30,'Istoric_Nativ'!$C$6:$C$405,F30,'Istoric_Nativ'!$E$6:$E$405,G30,'Istoric_Nativ'!$D$6:$D$405,"&lt;"&amp;J30,'Istoric_Nativ'!$P$6:$P$405,1,'Istoric_Nativ'!$D$6:$D$405,"&gt;="&amp;L30)+SUMIFS('Istoric_Nativ'!$H$6:$H$405,'Istoric_Nativ'!$B$6:$B$405,E30,'Istoric_Nativ'!$C$6:$C$405,F30,'Istoric_Nativ'!$F$6:$F$405,G30,'Istoric_Nativ'!$D$6:$D$405,"&lt;"&amp;J30,'Istoric_Nativ'!$P$6:$P$405,1,'Istoric_Nativ'!$D$6:$D$405,"&gt;="&amp;L30)))/M30)</x:f>
        <x:v>4.243243243243243</x:v>
      </x:c>
      <x:c r="O30" s="11" t="n">
        <x:f>IF(M30=0,"",IF(H30="HOME",SUMIFS('Istoric_Nativ'!$H$6:$H$405,'Istoric_Nativ'!$B$6:$B$405,E30,'Istoric_Nativ'!$C$6:$C$405,F30,'Istoric_Nativ'!$E$6:$E$405,G30,'Istoric_Nativ'!$D$6:$D$405,"&lt;"&amp;J30,'Istoric_Nativ'!$P$6:$P$405,1,'Istoric_Nativ'!$D$6:$D$405,"&gt;="&amp;L30),IF(H30="AWAY",SUMIFS('Istoric_Nativ'!$G$6:$G$405,'Istoric_Nativ'!$B$6:$B$405,E30,'Istoric_Nativ'!$C$6:$C$405,F30,'Istoric_Nativ'!$F$6:$F$405,G30,'Istoric_Nativ'!$D$6:$D$405,"&lt;"&amp;J30,'Istoric_Nativ'!$P$6:$P$405,1,'Istoric_Nativ'!$D$6:$D$405,"&gt;="&amp;L30),SUMIFS('Istoric_Nativ'!$H$6:$H$405,'Istoric_Nativ'!$B$6:$B$405,E30,'Istoric_Nativ'!$C$6:$C$405,F30,'Istoric_Nativ'!$E$6:$E$405,G30,'Istoric_Nativ'!$D$6:$D$405,"&lt;"&amp;J30,'Istoric_Nativ'!$P$6:$P$405,1,'Istoric_Nativ'!$D$6:$D$405,"&gt;="&amp;L30)+SUMIFS('Istoric_Nativ'!$G$6:$G$405,'Istoric_Nativ'!$B$6:$B$405,E30,'Istoric_Nativ'!$C$6:$C$405,F30,'Istoric_Nativ'!$F$6:$F$405,G30,'Istoric_Nativ'!$D$6:$D$405,"&lt;"&amp;J30,'Istoric_Nativ'!$P$6:$P$405,1,'Istoric_Nativ'!$D$6:$D$405,"&gt;="&amp;L30)))/M30)</x:f>
        <x:v>5.27027027027027</x:v>
      </x:c>
      <x:c r="P30" s="2" t="n">
        <x:f>'Config_v6'!$B$7</x:f>
        <x:v>10</x:v>
      </x:c>
      <x:c r="Q30" s="2" t="n">
        <x:f>IF(OR(B30="",F30=""),0,IFERROR(MATCH(E30&amp;"|"&amp;F30,SourceTable[Source_Key],0),0))</x:f>
        <x:v>1</x:v>
      </x:c>
      <x:c r="R30" s="2" t="str">
        <x:f>IF(B30="","",IF(F30="","UNUSED",IF(Q30=0,"NOT CHECKED",IF(COUNTIF(SourceTable[Source_Key],E30&amp;"|"&amp;F30)&lt;&gt;1,"SOURCE CONFLICT",IF(NOT(OR(INDEX(SourceTable[Status],MAX(1,Q30))="IMPORTED",INDEX(SourceTable[Status],MAX(1,Q30))="PARTIAL",INDEX(SourceTable[Status],MAX(1,Q30))="SOURCE CONFLICT")),"ACCESS BLOCKED",IF(OR(INDEX(SourceTable[Coverage],Q30)&lt;&gt;"FULL SEASON EXPORT",INDEX(SourceTable[URL],Q30)="",INDEX(SourceTable[SHA256],Q30)=""),"EVIDENCE INCOMPLETE",IF(AND('Input_Meci'!H8="LIVE",INDEX(SourceTable[Retrieved_UTC],Q30)&gt;'Input_Meci'!G8),"POST CUTOFF","CLOSED")))))))</x:f>
        <x:v>CLOSED</x:v>
      </x:c>
      <x:c r="S30" s="2" t="n">
        <x:f>IF(OR(B30="",F30=""),0,COUNTIFS('Istoric_Nativ'!$B$6:$B$405,E30,'Istoric_Nativ'!$C$6:$C$405,F30,'Istoric_Nativ'!$E$6:$E$405,G30,'Istoric_Nativ'!$D$6:$D$405,"&lt;"&amp;J30,'Istoric_Nativ'!$O$6:$O$405,"INVALID")+COUNTIFS('Istoric_Nativ'!$B$6:$B$405,E30,'Istoric_Nativ'!$C$6:$C$405,F30,'Istoric_Nativ'!$E$6:$E$405,G30,'Istoric_Nativ'!$O$6:$O$405,"INVALID",'Istoric_Nativ'!$D$6:$D$405,"*")+COUNTIFS('Istoric_Nativ'!$B$6:$B$405,E30,'Istoric_Nativ'!$C$6:$C$405,F30,'Istoric_Nativ'!$E$6:$E$405,G30,'Istoric_Nativ'!$D$6:$D$405,"&lt;"&amp;J30,'Istoric_Nativ'!$O$6:$O$405,"SOURCE CONFLICT")+COUNTIFS('Istoric_Nativ'!$B$6:$B$405,E30,'Istoric_Nativ'!$C$6:$C$405,F30,'Istoric_Nativ'!$F$6:$F$405,G30,'Istoric_Nativ'!$D$6:$D$405,"&lt;"&amp;J30,'Istoric_Nativ'!$O$6:$O$405,"INVALID")+COUNTIFS('Istoric_Nativ'!$B$6:$B$405,E30,'Istoric_Nativ'!$C$6:$C$405,F30,'Istoric_Nativ'!$F$6:$F$405,G30,'Istoric_Nativ'!$O$6:$O$405,"INVALID",'Istoric_Nativ'!$D$6:$D$405,"*")+COUNTIFS('Istoric_Nativ'!$B$6:$B$405,E30,'Istoric_Nativ'!$C$6:$C$405,F30,'Istoric_Nativ'!$F$6:$F$405,G30,'Istoric_Nativ'!$D$6:$D$405,"&lt;"&amp;J30,'Istoric_Nativ'!$O$6:$O$405,"SOURCE CONFLICT"))</x:f>
        <x:v>0</x:v>
      </x:c>
      <x:c r="T30" s="2" t="str">
        <x:f>IF(B30="","",IF(R30&lt;&gt;"CLOSED",R30,IF(S30&gt;0,"NATIVE INPUT ISSUE",IF(M30=0,"NO HISTORY",IF(M30&lt;P30,"SMALL SAMPLE","DERIVED")))))</x:f>
        <x:v>DERIVED</x:v>
      </x:c>
      <x:c r="U30" s="2" t="str">
        <x:f>IF(B30="","","NativeTable; "&amp;E30&amp;"; "&amp;F30&amp;"; "&amp;G30&amp;"; "&amp;H30&amp;"; before "&amp;TEXT(J30,"yyyy-mm-dd")&amp;IF(I30="RECENT","; from "&amp;TEXT(L30,"yyyy-mm-dd"),""))</x:f>
        <x:v>NativeTable; E0; 2025/26; Crystal Palace; ANY; before 2026-05-23</x:v>
      </x:c>
    </x:row>
    <x:row r="31" ht="21" customHeight="1">
      <x:c r="A31" s="2" t="n">
        <x:v>3</x:v>
      </x:c>
      <x:c r="B31" s="2" t="str">
        <x:f>IF('Input_Meci'!A8="","",'Input_Meci'!A8)</x:f>
        <x:v>REPLAY_3</x:v>
      </x:c>
      <x:c r="C31" s="2" t="str">
        <x:v>H</x:v>
      </x:c>
      <x:c r="D31" s="2" t="str">
        <x:v>CURRENT</x:v>
      </x:c>
      <x:c r="E31" s="2" t="str">
        <x:f>IF(B31="","",'Input_Meci'!B8)</x:f>
        <x:v>E0</x:v>
      </x:c>
      <x:c r="F31" s="2" t="str">
        <x:f>IF(B31="","",IF('Input_Meci'!C8="","",'Input_Meci'!C8))</x:f>
        <x:v>2025/26</x:v>
      </x:c>
      <x:c r="G31" s="2" t="str">
        <x:f>IF(B31="","",'Input_Meci'!D8)</x:f>
        <x:v>Crystal Palace</x:v>
      </x:c>
      <x:c r="H31" s="2" t="str">
        <x:v>HOME</x:v>
      </x:c>
      <x:c r="I31" s="2" t="str">
        <x:v>HA</x:v>
      </x:c>
      <x:c r="J31" s="9" t="n">
        <x:f>IF(AND(B31&lt;&gt;"",ISNUMBER('Input_Meci'!G8)),INT('Input_Meci'!G8),0)</x:f>
        <x:v>46165</x:v>
      </x:c>
      <x:c r="K31" s="2" t="n">
        <x:f>IF(OR(B31="",F31=""),0,IF(H31="HOME",COUNTIFS('Istoric_Nativ'!$B$6:$B$405,E31,'Istoric_Nativ'!$C$6:$C$405,F31,'Istoric_Nativ'!$E$6:$E$405,G31,'Istoric_Nativ'!$D$6:$D$405,"&lt;"&amp;J31,'Istoric_Nativ'!$P$6:$P$405,1),IF(H31="AWAY",COUNTIFS('Istoric_Nativ'!$B$6:$B$405,E31,'Istoric_Nativ'!$C$6:$C$405,F31,'Istoric_Nativ'!$F$6:$F$405,G31,'Istoric_Nativ'!$D$6:$D$405,"&lt;"&amp;J31,'Istoric_Nativ'!$P$6:$P$405,1),COUNTIFS('Istoric_Nativ'!$B$6:$B$405,E31,'Istoric_Nativ'!$C$6:$C$405,F31,'Istoric_Nativ'!$E$6:$E$405,G31,'Istoric_Nativ'!$D$6:$D$405,"&lt;"&amp;J31,'Istoric_Nativ'!$P$6:$P$405,1)+COUNTIFS('Istoric_Nativ'!$B$6:$B$405,E31,'Istoric_Nativ'!$C$6:$C$405,F31,'Istoric_Nativ'!$F$6:$F$405,G31,'Istoric_Nativ'!$D$6:$D$405,"&lt;"&amp;J31,'Istoric_Nativ'!$P$6:$P$405,1))))</x:f>
        <x:v>18</x:v>
      </x:c>
      <x:c r="L31" s="17" t="n">
        <x:f>IF(AND(B31&lt;&gt;"",I31="RECENT",K31&gt;0),LARGE(_xlfn._xlws.FILTER('Istoric_Nativ'!$D$6:$D$405,('Istoric_Nativ'!$B$6:$B$405=E31)*('Istoric_Nativ'!$C$6:$C$405=F31)*('Istoric_Nativ'!$P$6:$P$405=1)*('Istoric_Nativ'!$D$6:$D$405&lt;J31)*((('Istoric_Nativ'!$E$6:$E$405=G31)+('Istoric_Nativ'!$F$6:$F$405=G31))&gt;0)),MIN('Config_v6'!$B$54,K31)),0)</x:f>
        <x:v>0</x:v>
      </x:c>
      <x:c r="M31" s="2" t="n">
        <x:f>IF(OR(B31="",F31=""),0,IF(H31="HOME",COUNTIFS('Istoric_Nativ'!$B$6:$B$405,E31,'Istoric_Nativ'!$C$6:$C$405,F31,'Istoric_Nativ'!$E$6:$E$405,G31,'Istoric_Nativ'!$D$6:$D$405,"&lt;"&amp;J31,'Istoric_Nativ'!$P$6:$P$405,1,'Istoric_Nativ'!$D$6:$D$405,"&gt;="&amp;L31),IF(H31="AWAY",COUNTIFS('Istoric_Nativ'!$B$6:$B$405,E31,'Istoric_Nativ'!$C$6:$C$405,F31,'Istoric_Nativ'!$F$6:$F$405,G31,'Istoric_Nativ'!$D$6:$D$405,"&lt;"&amp;J31,'Istoric_Nativ'!$P$6:$P$405,1,'Istoric_Nativ'!$D$6:$D$405,"&gt;="&amp;L31),COUNTIFS('Istoric_Nativ'!$B$6:$B$405,E31,'Istoric_Nativ'!$C$6:$C$405,F31,'Istoric_Nativ'!$E$6:$E$405,G31,'Istoric_Nativ'!$D$6:$D$405,"&lt;"&amp;J31,'Istoric_Nativ'!$P$6:$P$405,1,'Istoric_Nativ'!$D$6:$D$405,"&gt;="&amp;L31)+COUNTIFS('Istoric_Nativ'!$B$6:$B$405,E31,'Istoric_Nativ'!$C$6:$C$405,F31,'Istoric_Nativ'!$F$6:$F$405,G31,'Istoric_Nativ'!$D$6:$D$405,"&lt;"&amp;J31,'Istoric_Nativ'!$P$6:$P$405,1,'Istoric_Nativ'!$D$6:$D$405,"&gt;="&amp;L31))))</x:f>
        <x:v>18</x:v>
      </x:c>
      <x:c r="N31" s="11" t="n">
        <x:f>IF(M31=0,"",IF(H31="HOME",SUMIFS('Istoric_Nativ'!$G$6:$G$405,'Istoric_Nativ'!$B$6:$B$405,E31,'Istoric_Nativ'!$C$6:$C$405,F31,'Istoric_Nativ'!$E$6:$E$405,G31,'Istoric_Nativ'!$D$6:$D$405,"&lt;"&amp;J31,'Istoric_Nativ'!$P$6:$P$405,1,'Istoric_Nativ'!$D$6:$D$405,"&gt;="&amp;L31),IF(H31="AWAY",SUMIFS('Istoric_Nativ'!$H$6:$H$405,'Istoric_Nativ'!$B$6:$B$405,E31,'Istoric_Nativ'!$C$6:$C$405,F31,'Istoric_Nativ'!$F$6:$F$405,G31,'Istoric_Nativ'!$D$6:$D$405,"&lt;"&amp;J31,'Istoric_Nativ'!$P$6:$P$405,1,'Istoric_Nativ'!$D$6:$D$405,"&gt;="&amp;L31),SUMIFS('Istoric_Nativ'!$G$6:$G$405,'Istoric_Nativ'!$B$6:$B$405,E31,'Istoric_Nativ'!$C$6:$C$405,F31,'Istoric_Nativ'!$E$6:$E$405,G31,'Istoric_Nativ'!$D$6:$D$405,"&lt;"&amp;J31,'Istoric_Nativ'!$P$6:$P$405,1,'Istoric_Nativ'!$D$6:$D$405,"&gt;="&amp;L31)+SUMIFS('Istoric_Nativ'!$H$6:$H$405,'Istoric_Nativ'!$B$6:$B$405,E31,'Istoric_Nativ'!$C$6:$C$405,F31,'Istoric_Nativ'!$F$6:$F$405,G31,'Istoric_Nativ'!$D$6:$D$405,"&lt;"&amp;J31,'Istoric_Nativ'!$P$6:$P$405,1,'Istoric_Nativ'!$D$6:$D$405,"&gt;="&amp;L31)))/M31)</x:f>
        <x:v>4.444444444444445</x:v>
      </x:c>
      <x:c r="O31" s="11" t="n">
        <x:f>IF(M31=0,"",IF(H31="HOME",SUMIFS('Istoric_Nativ'!$H$6:$H$405,'Istoric_Nativ'!$B$6:$B$405,E31,'Istoric_Nativ'!$C$6:$C$405,F31,'Istoric_Nativ'!$E$6:$E$405,G31,'Istoric_Nativ'!$D$6:$D$405,"&lt;"&amp;J31,'Istoric_Nativ'!$P$6:$P$405,1,'Istoric_Nativ'!$D$6:$D$405,"&gt;="&amp;L31),IF(H31="AWAY",SUMIFS('Istoric_Nativ'!$G$6:$G$405,'Istoric_Nativ'!$B$6:$B$405,E31,'Istoric_Nativ'!$C$6:$C$405,F31,'Istoric_Nativ'!$F$6:$F$405,G31,'Istoric_Nativ'!$D$6:$D$405,"&lt;"&amp;J31,'Istoric_Nativ'!$P$6:$P$405,1,'Istoric_Nativ'!$D$6:$D$405,"&gt;="&amp;L31),SUMIFS('Istoric_Nativ'!$H$6:$H$405,'Istoric_Nativ'!$B$6:$B$405,E31,'Istoric_Nativ'!$C$6:$C$405,F31,'Istoric_Nativ'!$E$6:$E$405,G31,'Istoric_Nativ'!$D$6:$D$405,"&lt;"&amp;J31,'Istoric_Nativ'!$P$6:$P$405,1,'Istoric_Nativ'!$D$6:$D$405,"&gt;="&amp;L31)+SUMIFS('Istoric_Nativ'!$G$6:$G$405,'Istoric_Nativ'!$B$6:$B$405,E31,'Istoric_Nativ'!$C$6:$C$405,F31,'Istoric_Nativ'!$F$6:$F$405,G31,'Istoric_Nativ'!$D$6:$D$405,"&lt;"&amp;J31,'Istoric_Nativ'!$P$6:$P$405,1,'Istoric_Nativ'!$D$6:$D$405,"&gt;="&amp;L31)))/M31)</x:f>
        <x:v>4.388888888888889</x:v>
      </x:c>
      <x:c r="P31" s="2" t="n">
        <x:f>'Config_v6'!$B$8</x:f>
        <x:v>5</x:v>
      </x:c>
      <x:c r="Q31" s="2" t="n">
        <x:f>IF(OR(B31="",F31=""),0,IFERROR(MATCH(E31&amp;"|"&amp;F31,SourceTable[Source_Key],0),0))</x:f>
        <x:v>1</x:v>
      </x:c>
      <x:c r="R31" s="2" t="str">
        <x:f>IF(B31="","",IF(F31="","UNUSED",IF(Q31=0,"NOT CHECKED",IF(COUNTIF(SourceTable[Source_Key],E31&amp;"|"&amp;F31)&lt;&gt;1,"SOURCE CONFLICT",IF(NOT(OR(INDEX(SourceTable[Status],MAX(1,Q31))="IMPORTED",INDEX(SourceTable[Status],MAX(1,Q31))="PARTIAL",INDEX(SourceTable[Status],MAX(1,Q31))="SOURCE CONFLICT")),"ACCESS BLOCKED",IF(OR(INDEX(SourceTable[Coverage],Q31)&lt;&gt;"FULL SEASON EXPORT",INDEX(SourceTable[URL],Q31)="",INDEX(SourceTable[SHA256],Q31)=""),"EVIDENCE INCOMPLETE",IF(AND('Input_Meci'!H8="LIVE",INDEX(SourceTable[Retrieved_UTC],Q31)&gt;'Input_Meci'!G8),"POST CUTOFF","CLOSED")))))))</x:f>
        <x:v>CLOSED</x:v>
      </x:c>
      <x:c r="S31" s="2" t="n">
        <x:f>IF(OR(B31="",F31=""),0,COUNTIFS('Istoric_Nativ'!$B$6:$B$405,E31,'Istoric_Nativ'!$C$6:$C$405,F31,'Istoric_Nativ'!$E$6:$E$405,G31,'Istoric_Nativ'!$D$6:$D$405,"&lt;"&amp;J31,'Istoric_Nativ'!$O$6:$O$405,"INVALID")+COUNTIFS('Istoric_Nativ'!$B$6:$B$405,E31,'Istoric_Nativ'!$C$6:$C$405,F31,'Istoric_Nativ'!$E$6:$E$405,G31,'Istoric_Nativ'!$O$6:$O$405,"INVALID",'Istoric_Nativ'!$D$6:$D$405,"*")+COUNTIFS('Istoric_Nativ'!$B$6:$B$405,E31,'Istoric_Nativ'!$C$6:$C$405,F31,'Istoric_Nativ'!$E$6:$E$405,G31,'Istoric_Nativ'!$D$6:$D$405,"&lt;"&amp;J31,'Istoric_Nativ'!$O$6:$O$405,"SOURCE CONFLICT")+COUNTIFS('Istoric_Nativ'!$B$6:$B$405,E31,'Istoric_Nativ'!$C$6:$C$405,F31,'Istoric_Nativ'!$F$6:$F$405,G31,'Istoric_Nativ'!$D$6:$D$405,"&lt;"&amp;J31,'Istoric_Nativ'!$O$6:$O$405,"INVALID")+COUNTIFS('Istoric_Nativ'!$B$6:$B$405,E31,'Istoric_Nativ'!$C$6:$C$405,F31,'Istoric_Nativ'!$F$6:$F$405,G31,'Istoric_Nativ'!$O$6:$O$405,"INVALID",'Istoric_Nativ'!$D$6:$D$405,"*")+COUNTIFS('Istoric_Nativ'!$B$6:$B$405,E31,'Istoric_Nativ'!$C$6:$C$405,F31,'Istoric_Nativ'!$F$6:$F$405,G31,'Istoric_Nativ'!$D$6:$D$405,"&lt;"&amp;J31,'Istoric_Nativ'!$O$6:$O$405,"SOURCE CONFLICT"))</x:f>
        <x:v>0</x:v>
      </x:c>
      <x:c r="T31" s="2" t="str">
        <x:f>IF(B31="","",IF(R31&lt;&gt;"CLOSED",R31,IF(S31&gt;0,"NATIVE INPUT ISSUE",IF(M31=0,"NO HISTORY",IF(M31&lt;P31,"SMALL SAMPLE","DERIVED")))))</x:f>
        <x:v>DERIVED</x:v>
      </x:c>
      <x:c r="U31" s="2" t="str">
        <x:f>IF(B31="","","NativeTable; "&amp;E31&amp;"; "&amp;F31&amp;"; "&amp;G31&amp;"; "&amp;H31&amp;"; before "&amp;TEXT(J31,"yyyy-mm-dd")&amp;IF(I31="RECENT","; from "&amp;TEXT(L31,"yyyy-mm-dd"),""))</x:f>
        <x:v>NativeTable; E0; 2025/26; Crystal Palace; HOME; before 2026-05-23</x:v>
      </x:c>
    </x:row>
    <x:row r="32" ht="21" customHeight="1">
      <x:c r="A32" s="2" t="n">
        <x:v>3</x:v>
      </x:c>
      <x:c r="B32" s="2" t="str">
        <x:f>IF('Input_Meci'!A8="","",'Input_Meci'!A8)</x:f>
        <x:v>REPLAY_3</x:v>
      </x:c>
      <x:c r="C32" s="2" t="str">
        <x:v>H</x:v>
      </x:c>
      <x:c r="D32" s="2" t="str">
        <x:v>CURRENT</x:v>
      </x:c>
      <x:c r="E32" s="2" t="str">
        <x:f>IF(B32="","",'Input_Meci'!B8)</x:f>
        <x:v>E0</x:v>
      </x:c>
      <x:c r="F32" s="2" t="str">
        <x:f>IF(B32="","",IF('Input_Meci'!C8="","",'Input_Meci'!C8))</x:f>
        <x:v>2025/26</x:v>
      </x:c>
      <x:c r="G32" s="2" t="str">
        <x:f>IF(B32="","",'Input_Meci'!D8)</x:f>
        <x:v>Crystal Palace</x:v>
      </x:c>
      <x:c r="H32" s="2" t="str">
        <x:v>ANY</x:v>
      </x:c>
      <x:c r="I32" s="2" t="str">
        <x:v>RECENT</x:v>
      </x:c>
      <x:c r="J32" s="9" t="n">
        <x:f>IF(AND(B32&lt;&gt;"",ISNUMBER('Input_Meci'!G8)),INT('Input_Meci'!G8),0)</x:f>
        <x:v>46165</x:v>
      </x:c>
      <x:c r="K32" s="2" t="n">
        <x:f>IF(OR(B32="",F32=""),0,IF(H32="HOME",COUNTIFS('Istoric_Nativ'!$B$6:$B$405,E32,'Istoric_Nativ'!$C$6:$C$405,F32,'Istoric_Nativ'!$E$6:$E$405,G32,'Istoric_Nativ'!$D$6:$D$405,"&lt;"&amp;J32,'Istoric_Nativ'!$P$6:$P$405,1),IF(H32="AWAY",COUNTIFS('Istoric_Nativ'!$B$6:$B$405,E32,'Istoric_Nativ'!$C$6:$C$405,F32,'Istoric_Nativ'!$F$6:$F$405,G32,'Istoric_Nativ'!$D$6:$D$405,"&lt;"&amp;J32,'Istoric_Nativ'!$P$6:$P$405,1),COUNTIFS('Istoric_Nativ'!$B$6:$B$405,E32,'Istoric_Nativ'!$C$6:$C$405,F32,'Istoric_Nativ'!$E$6:$E$405,G32,'Istoric_Nativ'!$D$6:$D$405,"&lt;"&amp;J32,'Istoric_Nativ'!$P$6:$P$405,1)+COUNTIFS('Istoric_Nativ'!$B$6:$B$405,E32,'Istoric_Nativ'!$C$6:$C$405,F32,'Istoric_Nativ'!$F$6:$F$405,G32,'Istoric_Nativ'!$D$6:$D$405,"&lt;"&amp;J32,'Istoric_Nativ'!$P$6:$P$405,1))))</x:f>
        <x:v>37</x:v>
      </x:c>
      <x:c r="L32" s="17" t="n">
        <x:f>IF(AND(B32&lt;&gt;"",I32="RECENT",K32&gt;0),LARGE(_xlfn._xlws.FILTER('Istoric_Nativ'!$D$6:$D$405,('Istoric_Nativ'!$B$6:$B$405=E32)*('Istoric_Nativ'!$C$6:$C$405=F32)*('Istoric_Nativ'!$P$6:$P$405=1)*('Istoric_Nativ'!$D$6:$D$405&lt;J32)*((('Istoric_Nativ'!$E$6:$E$405=G32)+('Istoric_Nativ'!$F$6:$F$405=G32))&gt;0)),MIN('Config_v6'!$B$54,K32)),0)</x:f>
        <x:v>46137</x:v>
      </x:c>
      <x:c r="M32" s="2" t="n">
        <x:f>IF(OR(B32="",F32=""),0,IF(H32="HOME",COUNTIFS('Istoric_Nativ'!$B$6:$B$405,E32,'Istoric_Nativ'!$C$6:$C$405,F32,'Istoric_Nativ'!$E$6:$E$405,G32,'Istoric_Nativ'!$D$6:$D$405,"&lt;"&amp;J32,'Istoric_Nativ'!$P$6:$P$405,1,'Istoric_Nativ'!$D$6:$D$405,"&gt;="&amp;L32),IF(H32="AWAY",COUNTIFS('Istoric_Nativ'!$B$6:$B$405,E32,'Istoric_Nativ'!$C$6:$C$405,F32,'Istoric_Nativ'!$F$6:$F$405,G32,'Istoric_Nativ'!$D$6:$D$405,"&lt;"&amp;J32,'Istoric_Nativ'!$P$6:$P$405,1,'Istoric_Nativ'!$D$6:$D$405,"&gt;="&amp;L32),COUNTIFS('Istoric_Nativ'!$B$6:$B$405,E32,'Istoric_Nativ'!$C$6:$C$405,F32,'Istoric_Nativ'!$E$6:$E$405,G32,'Istoric_Nativ'!$D$6:$D$405,"&lt;"&amp;J32,'Istoric_Nativ'!$P$6:$P$405,1,'Istoric_Nativ'!$D$6:$D$405,"&gt;="&amp;L32)+COUNTIFS('Istoric_Nativ'!$B$6:$B$405,E32,'Istoric_Nativ'!$C$6:$C$405,F32,'Istoric_Nativ'!$F$6:$F$405,G32,'Istoric_Nativ'!$D$6:$D$405,"&lt;"&amp;J32,'Istoric_Nativ'!$P$6:$P$405,1,'Istoric_Nativ'!$D$6:$D$405,"&gt;="&amp;L32))))</x:f>
        <x:v>5</x:v>
      </x:c>
      <x:c r="N32" s="11" t="n">
        <x:f>IF(M32=0,"",IF(H32="HOME",SUMIFS('Istoric_Nativ'!$G$6:$G$405,'Istoric_Nativ'!$B$6:$B$405,E32,'Istoric_Nativ'!$C$6:$C$405,F32,'Istoric_Nativ'!$E$6:$E$405,G32,'Istoric_Nativ'!$D$6:$D$405,"&lt;"&amp;J32,'Istoric_Nativ'!$P$6:$P$405,1,'Istoric_Nativ'!$D$6:$D$405,"&gt;="&amp;L32),IF(H32="AWAY",SUMIFS('Istoric_Nativ'!$H$6:$H$405,'Istoric_Nativ'!$B$6:$B$405,E32,'Istoric_Nativ'!$C$6:$C$405,F32,'Istoric_Nativ'!$F$6:$F$405,G32,'Istoric_Nativ'!$D$6:$D$405,"&lt;"&amp;J32,'Istoric_Nativ'!$P$6:$P$405,1,'Istoric_Nativ'!$D$6:$D$405,"&gt;="&amp;L32),SUMIFS('Istoric_Nativ'!$G$6:$G$405,'Istoric_Nativ'!$B$6:$B$405,E32,'Istoric_Nativ'!$C$6:$C$405,F32,'Istoric_Nativ'!$E$6:$E$405,G32,'Istoric_Nativ'!$D$6:$D$405,"&lt;"&amp;J32,'Istoric_Nativ'!$P$6:$P$405,1,'Istoric_Nativ'!$D$6:$D$405,"&gt;="&amp;L32)+SUMIFS('Istoric_Nativ'!$H$6:$H$405,'Istoric_Nativ'!$B$6:$B$405,E32,'Istoric_Nativ'!$C$6:$C$405,F32,'Istoric_Nativ'!$F$6:$F$405,G32,'Istoric_Nativ'!$D$6:$D$405,"&lt;"&amp;J32,'Istoric_Nativ'!$P$6:$P$405,1,'Istoric_Nativ'!$D$6:$D$405,"&gt;="&amp;L32)))/M32)</x:f>
        <x:v>4.4</x:v>
      </x:c>
      <x:c r="O32" s="11" t="n">
        <x:f>IF(M32=0,"",IF(H32="HOME",SUMIFS('Istoric_Nativ'!$H$6:$H$405,'Istoric_Nativ'!$B$6:$B$405,E32,'Istoric_Nativ'!$C$6:$C$405,F32,'Istoric_Nativ'!$E$6:$E$405,G32,'Istoric_Nativ'!$D$6:$D$405,"&lt;"&amp;J32,'Istoric_Nativ'!$P$6:$P$405,1,'Istoric_Nativ'!$D$6:$D$405,"&gt;="&amp;L32),IF(H32="AWAY",SUMIFS('Istoric_Nativ'!$G$6:$G$405,'Istoric_Nativ'!$B$6:$B$405,E32,'Istoric_Nativ'!$C$6:$C$405,F32,'Istoric_Nativ'!$F$6:$F$405,G32,'Istoric_Nativ'!$D$6:$D$405,"&lt;"&amp;J32,'Istoric_Nativ'!$P$6:$P$405,1,'Istoric_Nativ'!$D$6:$D$405,"&gt;="&amp;L32),SUMIFS('Istoric_Nativ'!$H$6:$H$405,'Istoric_Nativ'!$B$6:$B$405,E32,'Istoric_Nativ'!$C$6:$C$405,F32,'Istoric_Nativ'!$E$6:$E$405,G32,'Istoric_Nativ'!$D$6:$D$405,"&lt;"&amp;J32,'Istoric_Nativ'!$P$6:$P$405,1,'Istoric_Nativ'!$D$6:$D$405,"&gt;="&amp;L32)+SUMIFS('Istoric_Nativ'!$G$6:$G$405,'Istoric_Nativ'!$B$6:$B$405,E32,'Istoric_Nativ'!$C$6:$C$405,F32,'Istoric_Nativ'!$F$6:$F$405,G32,'Istoric_Nativ'!$D$6:$D$405,"&lt;"&amp;J32,'Istoric_Nativ'!$P$6:$P$405,1,'Istoric_Nativ'!$D$6:$D$405,"&gt;="&amp;L32)))/M32)</x:f>
        <x:v>8</x:v>
      </x:c>
      <x:c r="P32" s="2" t="n">
        <x:f>'Config_v6'!$B$9</x:f>
        <x:v>3</x:v>
      </x:c>
      <x:c r="Q32" s="2" t="n">
        <x:f>IF(OR(B32="",F32=""),0,IFERROR(MATCH(E32&amp;"|"&amp;F32,SourceTable[Source_Key],0),0))</x:f>
        <x:v>1</x:v>
      </x:c>
      <x:c r="R32" s="2" t="str">
        <x:f>IF(B32="","",IF(F32="","UNUSED",IF(Q32=0,"NOT CHECKED",IF(COUNTIF(SourceTable[Source_Key],E32&amp;"|"&amp;F32)&lt;&gt;1,"SOURCE CONFLICT",IF(NOT(OR(INDEX(SourceTable[Status],MAX(1,Q32))="IMPORTED",INDEX(SourceTable[Status],MAX(1,Q32))="PARTIAL",INDEX(SourceTable[Status],MAX(1,Q32))="SOURCE CONFLICT")),"ACCESS BLOCKED",IF(OR(INDEX(SourceTable[Coverage],Q32)&lt;&gt;"FULL SEASON EXPORT",INDEX(SourceTable[URL],Q32)="",INDEX(SourceTable[SHA256],Q32)=""),"EVIDENCE INCOMPLETE",IF(AND('Input_Meci'!H8="LIVE",INDEX(SourceTable[Retrieved_UTC],Q32)&gt;'Input_Meci'!G8),"POST CUTOFF","CLOSED")))))))</x:f>
        <x:v>CLOSED</x:v>
      </x:c>
      <x:c r="S32" s="2" t="n">
        <x:f>IF(OR(B32="",F32=""),0,COUNTIFS('Istoric_Nativ'!$B$6:$B$405,E32,'Istoric_Nativ'!$C$6:$C$405,F32,'Istoric_Nativ'!$E$6:$E$405,G32,'Istoric_Nativ'!$D$6:$D$405,"&lt;"&amp;J32,'Istoric_Nativ'!$O$6:$O$405,"INVALID")+COUNTIFS('Istoric_Nativ'!$B$6:$B$405,E32,'Istoric_Nativ'!$C$6:$C$405,F32,'Istoric_Nativ'!$E$6:$E$405,G32,'Istoric_Nativ'!$O$6:$O$405,"INVALID",'Istoric_Nativ'!$D$6:$D$405,"*")+COUNTIFS('Istoric_Nativ'!$B$6:$B$405,E32,'Istoric_Nativ'!$C$6:$C$405,F32,'Istoric_Nativ'!$E$6:$E$405,G32,'Istoric_Nativ'!$D$6:$D$405,"&lt;"&amp;J32,'Istoric_Nativ'!$O$6:$O$405,"SOURCE CONFLICT")+COUNTIFS('Istoric_Nativ'!$B$6:$B$405,E32,'Istoric_Nativ'!$C$6:$C$405,F32,'Istoric_Nativ'!$F$6:$F$405,G32,'Istoric_Nativ'!$D$6:$D$405,"&lt;"&amp;J32,'Istoric_Nativ'!$O$6:$O$405,"INVALID")+COUNTIFS('Istoric_Nativ'!$B$6:$B$405,E32,'Istoric_Nativ'!$C$6:$C$405,F32,'Istoric_Nativ'!$F$6:$F$405,G32,'Istoric_Nativ'!$O$6:$O$405,"INVALID",'Istoric_Nativ'!$D$6:$D$405,"*")+COUNTIFS('Istoric_Nativ'!$B$6:$B$405,E32,'Istoric_Nativ'!$C$6:$C$405,F32,'Istoric_Nativ'!$F$6:$F$405,G32,'Istoric_Nativ'!$D$6:$D$405,"&lt;"&amp;J32,'Istoric_Nativ'!$O$6:$O$405,"SOURCE CONFLICT"))</x:f>
        <x:v>0</x:v>
      </x:c>
      <x:c r="T32" s="2" t="str">
        <x:f>IF(B32="","",IF(R32&lt;&gt;"CLOSED",R32,IF(S32&gt;0,"NATIVE INPUT ISSUE",IF(M32=0,"NO HISTORY",IF(M32&lt;P32,"SMALL SAMPLE","DERIVED")))))</x:f>
        <x:v>DERIVED</x:v>
      </x:c>
      <x:c r="U32" s="2" t="str">
        <x:f>IF(B32="","","NativeTable; "&amp;E32&amp;"; "&amp;F32&amp;"; "&amp;G32&amp;"; "&amp;H32&amp;"; before "&amp;TEXT(J32,"yyyy-mm-dd")&amp;IF(I32="RECENT","; from "&amp;TEXT(L32,"yyyy-mm-dd"),""))</x:f>
        <x:v>NativeTable; E0; 2025/26; Crystal Palace; ANY; before 2026-05-23; from 2026-04-25</x:v>
      </x:c>
    </x:row>
    <x:row r="33" ht="21" customHeight="1">
      <x:c r="A33" s="2" t="n">
        <x:v>3</x:v>
      </x:c>
      <x:c r="B33" s="2" t="str">
        <x:f>IF('Input_Meci'!A8="","",'Input_Meci'!A8)</x:f>
        <x:v>REPLAY_3</x:v>
      </x:c>
      <x:c r="C33" s="2" t="str">
        <x:v>A</x:v>
      </x:c>
      <x:c r="D33" s="2" t="str">
        <x:v>CURRENT</x:v>
      </x:c>
      <x:c r="E33" s="2" t="str">
        <x:f>IF(B33="","",'Input_Meci'!B8)</x:f>
        <x:v>E0</x:v>
      </x:c>
      <x:c r="F33" s="2" t="str">
        <x:f>IF(B33="","",IF('Input_Meci'!C8="","",'Input_Meci'!C8))</x:f>
        <x:v>2025/26</x:v>
      </x:c>
      <x:c r="G33" s="2" t="str">
        <x:f>IF(B33="","",'Input_Meci'!E8)</x:f>
        <x:v>Arsenal</x:v>
      </x:c>
      <x:c r="H33" s="2" t="str">
        <x:v>ANY</x:v>
      </x:c>
      <x:c r="I33" s="2" t="str">
        <x:v>SEASON</x:v>
      </x:c>
      <x:c r="J33" s="9" t="n">
        <x:f>IF(AND(B33&lt;&gt;"",ISNUMBER('Input_Meci'!G8)),INT('Input_Meci'!G8),0)</x:f>
        <x:v>46165</x:v>
      </x:c>
      <x:c r="K33" s="2" t="n">
        <x:f>IF(OR(B33="",F33=""),0,IF(H33="HOME",COUNTIFS('Istoric_Nativ'!$B$6:$B$405,E33,'Istoric_Nativ'!$C$6:$C$405,F33,'Istoric_Nativ'!$E$6:$E$405,G33,'Istoric_Nativ'!$D$6:$D$405,"&lt;"&amp;J33,'Istoric_Nativ'!$P$6:$P$405,1),IF(H33="AWAY",COUNTIFS('Istoric_Nativ'!$B$6:$B$405,E33,'Istoric_Nativ'!$C$6:$C$405,F33,'Istoric_Nativ'!$F$6:$F$405,G33,'Istoric_Nativ'!$D$6:$D$405,"&lt;"&amp;J33,'Istoric_Nativ'!$P$6:$P$405,1),COUNTIFS('Istoric_Nativ'!$B$6:$B$405,E33,'Istoric_Nativ'!$C$6:$C$405,F33,'Istoric_Nativ'!$E$6:$E$405,G33,'Istoric_Nativ'!$D$6:$D$405,"&lt;"&amp;J33,'Istoric_Nativ'!$P$6:$P$405,1)+COUNTIFS('Istoric_Nativ'!$B$6:$B$405,E33,'Istoric_Nativ'!$C$6:$C$405,F33,'Istoric_Nativ'!$F$6:$F$405,G33,'Istoric_Nativ'!$D$6:$D$405,"&lt;"&amp;J33,'Istoric_Nativ'!$P$6:$P$405,1))))</x:f>
        <x:v>37</x:v>
      </x:c>
      <x:c r="L33" s="17" t="n">
        <x:f>IF(AND(B33&lt;&gt;"",I33="RECENT",K33&gt;0),LARGE(_xlfn._xlws.FILTER('Istoric_Nativ'!$D$6:$D$405,('Istoric_Nativ'!$B$6:$B$405=E33)*('Istoric_Nativ'!$C$6:$C$405=F33)*('Istoric_Nativ'!$P$6:$P$405=1)*('Istoric_Nativ'!$D$6:$D$405&lt;J33)*((('Istoric_Nativ'!$E$6:$E$405=G33)+('Istoric_Nativ'!$F$6:$F$405=G33))&gt;0)),MIN('Config_v6'!$B$54,K33)),0)</x:f>
        <x:v>0</x:v>
      </x:c>
      <x:c r="M33" s="2" t="n">
        <x:f>IF(OR(B33="",F33=""),0,IF(H33="HOME",COUNTIFS('Istoric_Nativ'!$B$6:$B$405,E33,'Istoric_Nativ'!$C$6:$C$405,F33,'Istoric_Nativ'!$E$6:$E$405,G33,'Istoric_Nativ'!$D$6:$D$405,"&lt;"&amp;J33,'Istoric_Nativ'!$P$6:$P$405,1,'Istoric_Nativ'!$D$6:$D$405,"&gt;="&amp;L33),IF(H33="AWAY",COUNTIFS('Istoric_Nativ'!$B$6:$B$405,E33,'Istoric_Nativ'!$C$6:$C$405,F33,'Istoric_Nativ'!$F$6:$F$405,G33,'Istoric_Nativ'!$D$6:$D$405,"&lt;"&amp;J33,'Istoric_Nativ'!$P$6:$P$405,1,'Istoric_Nativ'!$D$6:$D$405,"&gt;="&amp;L33),COUNTIFS('Istoric_Nativ'!$B$6:$B$405,E33,'Istoric_Nativ'!$C$6:$C$405,F33,'Istoric_Nativ'!$E$6:$E$405,G33,'Istoric_Nativ'!$D$6:$D$405,"&lt;"&amp;J33,'Istoric_Nativ'!$P$6:$P$405,1,'Istoric_Nativ'!$D$6:$D$405,"&gt;="&amp;L33)+COUNTIFS('Istoric_Nativ'!$B$6:$B$405,E33,'Istoric_Nativ'!$C$6:$C$405,F33,'Istoric_Nativ'!$F$6:$F$405,G33,'Istoric_Nativ'!$D$6:$D$405,"&lt;"&amp;J33,'Istoric_Nativ'!$P$6:$P$405,1,'Istoric_Nativ'!$D$6:$D$405,"&gt;="&amp;L33))))</x:f>
        <x:v>37</x:v>
      </x:c>
      <x:c r="N33" s="11" t="n">
        <x:f>IF(M33=0,"",IF(H33="HOME",SUMIFS('Istoric_Nativ'!$G$6:$G$405,'Istoric_Nativ'!$B$6:$B$405,E33,'Istoric_Nativ'!$C$6:$C$405,F33,'Istoric_Nativ'!$E$6:$E$405,G33,'Istoric_Nativ'!$D$6:$D$405,"&lt;"&amp;J33,'Istoric_Nativ'!$P$6:$P$405,1,'Istoric_Nativ'!$D$6:$D$405,"&gt;="&amp;L33),IF(H33="AWAY",SUMIFS('Istoric_Nativ'!$H$6:$H$405,'Istoric_Nativ'!$B$6:$B$405,E33,'Istoric_Nativ'!$C$6:$C$405,F33,'Istoric_Nativ'!$F$6:$F$405,G33,'Istoric_Nativ'!$D$6:$D$405,"&lt;"&amp;J33,'Istoric_Nativ'!$P$6:$P$405,1,'Istoric_Nativ'!$D$6:$D$405,"&gt;="&amp;L33),SUMIFS('Istoric_Nativ'!$G$6:$G$405,'Istoric_Nativ'!$B$6:$B$405,E33,'Istoric_Nativ'!$C$6:$C$405,F33,'Istoric_Nativ'!$E$6:$E$405,G33,'Istoric_Nativ'!$D$6:$D$405,"&lt;"&amp;J33,'Istoric_Nativ'!$P$6:$P$405,1,'Istoric_Nativ'!$D$6:$D$405,"&gt;="&amp;L33)+SUMIFS('Istoric_Nativ'!$H$6:$H$405,'Istoric_Nativ'!$B$6:$B$405,E33,'Istoric_Nativ'!$C$6:$C$405,F33,'Istoric_Nativ'!$F$6:$F$405,G33,'Istoric_Nativ'!$D$6:$D$405,"&lt;"&amp;J33,'Istoric_Nativ'!$P$6:$P$405,1,'Istoric_Nativ'!$D$6:$D$405,"&gt;="&amp;L33)))/M33)</x:f>
        <x:v>5.72972972972973</x:v>
      </x:c>
      <x:c r="O33" s="11" t="n">
        <x:f>IF(M33=0,"",IF(H33="HOME",SUMIFS('Istoric_Nativ'!$H$6:$H$405,'Istoric_Nativ'!$B$6:$B$405,E33,'Istoric_Nativ'!$C$6:$C$405,F33,'Istoric_Nativ'!$E$6:$E$405,G33,'Istoric_Nativ'!$D$6:$D$405,"&lt;"&amp;J33,'Istoric_Nativ'!$P$6:$P$405,1,'Istoric_Nativ'!$D$6:$D$405,"&gt;="&amp;L33),IF(H33="AWAY",SUMIFS('Istoric_Nativ'!$G$6:$G$405,'Istoric_Nativ'!$B$6:$B$405,E33,'Istoric_Nativ'!$C$6:$C$405,F33,'Istoric_Nativ'!$F$6:$F$405,G33,'Istoric_Nativ'!$D$6:$D$405,"&lt;"&amp;J33,'Istoric_Nativ'!$P$6:$P$405,1,'Istoric_Nativ'!$D$6:$D$405,"&gt;="&amp;L33),SUMIFS('Istoric_Nativ'!$H$6:$H$405,'Istoric_Nativ'!$B$6:$B$405,E33,'Istoric_Nativ'!$C$6:$C$405,F33,'Istoric_Nativ'!$E$6:$E$405,G33,'Istoric_Nativ'!$D$6:$D$405,"&lt;"&amp;J33,'Istoric_Nativ'!$P$6:$P$405,1,'Istoric_Nativ'!$D$6:$D$405,"&gt;="&amp;L33)+SUMIFS('Istoric_Nativ'!$G$6:$G$405,'Istoric_Nativ'!$B$6:$B$405,E33,'Istoric_Nativ'!$C$6:$C$405,F33,'Istoric_Nativ'!$F$6:$F$405,G33,'Istoric_Nativ'!$D$6:$D$405,"&lt;"&amp;J33,'Istoric_Nativ'!$P$6:$P$405,1,'Istoric_Nativ'!$D$6:$D$405,"&gt;="&amp;L33)))/M33)</x:f>
        <x:v>3.3783783783783785</x:v>
      </x:c>
      <x:c r="P33" s="2" t="n">
        <x:f>'Config_v6'!$B$7</x:f>
        <x:v>10</x:v>
      </x:c>
      <x:c r="Q33" s="2" t="n">
        <x:f>IF(OR(B33="",F33=""),0,IFERROR(MATCH(E33&amp;"|"&amp;F33,SourceTable[Source_Key],0),0))</x:f>
        <x:v>1</x:v>
      </x:c>
      <x:c r="R33" s="2" t="str">
        <x:f>IF(B33="","",IF(F33="","UNUSED",IF(Q33=0,"NOT CHECKED",IF(COUNTIF(SourceTable[Source_Key],E33&amp;"|"&amp;F33)&lt;&gt;1,"SOURCE CONFLICT",IF(NOT(OR(INDEX(SourceTable[Status],MAX(1,Q33))="IMPORTED",INDEX(SourceTable[Status],MAX(1,Q33))="PARTIAL",INDEX(SourceTable[Status],MAX(1,Q33))="SOURCE CONFLICT")),"ACCESS BLOCKED",IF(OR(INDEX(SourceTable[Coverage],Q33)&lt;&gt;"FULL SEASON EXPORT",INDEX(SourceTable[URL],Q33)="",INDEX(SourceTable[SHA256],Q33)=""),"EVIDENCE INCOMPLETE",IF(AND('Input_Meci'!H8="LIVE",INDEX(SourceTable[Retrieved_UTC],Q33)&gt;'Input_Meci'!G8),"POST CUTOFF","CLOSED")))))))</x:f>
        <x:v>CLOSED</x:v>
      </x:c>
      <x:c r="S33" s="2" t="n">
        <x:f>IF(OR(B33="",F33=""),0,COUNTIFS('Istoric_Nativ'!$B$6:$B$405,E33,'Istoric_Nativ'!$C$6:$C$405,F33,'Istoric_Nativ'!$E$6:$E$405,G33,'Istoric_Nativ'!$D$6:$D$405,"&lt;"&amp;J33,'Istoric_Nativ'!$O$6:$O$405,"INVALID")+COUNTIFS('Istoric_Nativ'!$B$6:$B$405,E33,'Istoric_Nativ'!$C$6:$C$405,F33,'Istoric_Nativ'!$E$6:$E$405,G33,'Istoric_Nativ'!$O$6:$O$405,"INVALID",'Istoric_Nativ'!$D$6:$D$405,"*")+COUNTIFS('Istoric_Nativ'!$B$6:$B$405,E33,'Istoric_Nativ'!$C$6:$C$405,F33,'Istoric_Nativ'!$E$6:$E$405,G33,'Istoric_Nativ'!$D$6:$D$405,"&lt;"&amp;J33,'Istoric_Nativ'!$O$6:$O$405,"SOURCE CONFLICT")+COUNTIFS('Istoric_Nativ'!$B$6:$B$405,E33,'Istoric_Nativ'!$C$6:$C$405,F33,'Istoric_Nativ'!$F$6:$F$405,G33,'Istoric_Nativ'!$D$6:$D$405,"&lt;"&amp;J33,'Istoric_Nativ'!$O$6:$O$405,"INVALID")+COUNTIFS('Istoric_Nativ'!$B$6:$B$405,E33,'Istoric_Nativ'!$C$6:$C$405,F33,'Istoric_Nativ'!$F$6:$F$405,G33,'Istoric_Nativ'!$O$6:$O$405,"INVALID",'Istoric_Nativ'!$D$6:$D$405,"*")+COUNTIFS('Istoric_Nativ'!$B$6:$B$405,E33,'Istoric_Nativ'!$C$6:$C$405,F33,'Istoric_Nativ'!$F$6:$F$405,G33,'Istoric_Nativ'!$D$6:$D$405,"&lt;"&amp;J33,'Istoric_Nativ'!$O$6:$O$405,"SOURCE CONFLICT"))</x:f>
        <x:v>0</x:v>
      </x:c>
      <x:c r="T33" s="2" t="str">
        <x:f>IF(B33="","",IF(R33&lt;&gt;"CLOSED",R33,IF(S33&gt;0,"NATIVE INPUT ISSUE",IF(M33=0,"NO HISTORY",IF(M33&lt;P33,"SMALL SAMPLE","DERIVED")))))</x:f>
        <x:v>DERIVED</x:v>
      </x:c>
      <x:c r="U33" s="2" t="str">
        <x:f>IF(B33="","","NativeTable; "&amp;E33&amp;"; "&amp;F33&amp;"; "&amp;G33&amp;"; "&amp;H33&amp;"; before "&amp;TEXT(J33,"yyyy-mm-dd")&amp;IF(I33="RECENT","; from "&amp;TEXT(L33,"yyyy-mm-dd"),""))</x:f>
        <x:v>NativeTable; E0; 2025/26; Arsenal; ANY; before 2026-05-23</x:v>
      </x:c>
    </x:row>
    <x:row r="34" ht="21" customHeight="1">
      <x:c r="A34" s="2" t="n">
        <x:v>3</x:v>
      </x:c>
      <x:c r="B34" s="2" t="str">
        <x:f>IF('Input_Meci'!A8="","",'Input_Meci'!A8)</x:f>
        <x:v>REPLAY_3</x:v>
      </x:c>
      <x:c r="C34" s="2" t="str">
        <x:v>A</x:v>
      </x:c>
      <x:c r="D34" s="2" t="str">
        <x:v>CURRENT</x:v>
      </x:c>
      <x:c r="E34" s="2" t="str">
        <x:f>IF(B34="","",'Input_Meci'!B8)</x:f>
        <x:v>E0</x:v>
      </x:c>
      <x:c r="F34" s="2" t="str">
        <x:f>IF(B34="","",IF('Input_Meci'!C8="","",'Input_Meci'!C8))</x:f>
        <x:v>2025/26</x:v>
      </x:c>
      <x:c r="G34" s="2" t="str">
        <x:f>IF(B34="","",'Input_Meci'!E8)</x:f>
        <x:v>Arsenal</x:v>
      </x:c>
      <x:c r="H34" s="2" t="str">
        <x:v>AWAY</x:v>
      </x:c>
      <x:c r="I34" s="2" t="str">
        <x:v>HA</x:v>
      </x:c>
      <x:c r="J34" s="9" t="n">
        <x:f>IF(AND(B34&lt;&gt;"",ISNUMBER('Input_Meci'!G8)),INT('Input_Meci'!G8),0)</x:f>
        <x:v>46165</x:v>
      </x:c>
      <x:c r="K34" s="2" t="n">
        <x:f>IF(OR(B34="",F34=""),0,IF(H34="HOME",COUNTIFS('Istoric_Nativ'!$B$6:$B$405,E34,'Istoric_Nativ'!$C$6:$C$405,F34,'Istoric_Nativ'!$E$6:$E$405,G34,'Istoric_Nativ'!$D$6:$D$405,"&lt;"&amp;J34,'Istoric_Nativ'!$P$6:$P$405,1),IF(H34="AWAY",COUNTIFS('Istoric_Nativ'!$B$6:$B$405,E34,'Istoric_Nativ'!$C$6:$C$405,F34,'Istoric_Nativ'!$F$6:$F$405,G34,'Istoric_Nativ'!$D$6:$D$405,"&lt;"&amp;J34,'Istoric_Nativ'!$P$6:$P$405,1),COUNTIFS('Istoric_Nativ'!$B$6:$B$405,E34,'Istoric_Nativ'!$C$6:$C$405,F34,'Istoric_Nativ'!$E$6:$E$405,G34,'Istoric_Nativ'!$D$6:$D$405,"&lt;"&amp;J34,'Istoric_Nativ'!$P$6:$P$405,1)+COUNTIFS('Istoric_Nativ'!$B$6:$B$405,E34,'Istoric_Nativ'!$C$6:$C$405,F34,'Istoric_Nativ'!$F$6:$F$405,G34,'Istoric_Nativ'!$D$6:$D$405,"&lt;"&amp;J34,'Istoric_Nativ'!$P$6:$P$405,1))))</x:f>
        <x:v>18</x:v>
      </x:c>
      <x:c r="L34" s="17" t="n">
        <x:f>IF(AND(B34&lt;&gt;"",I34="RECENT",K34&gt;0),LARGE(_xlfn._xlws.FILTER('Istoric_Nativ'!$D$6:$D$405,('Istoric_Nativ'!$B$6:$B$405=E34)*('Istoric_Nativ'!$C$6:$C$405=F34)*('Istoric_Nativ'!$P$6:$P$405=1)*('Istoric_Nativ'!$D$6:$D$405&lt;J34)*((('Istoric_Nativ'!$E$6:$E$405=G34)+('Istoric_Nativ'!$F$6:$F$405=G34))&gt;0)),MIN('Config_v6'!$B$54,K34)),0)</x:f>
        <x:v>0</x:v>
      </x:c>
      <x:c r="M34" s="2" t="n">
        <x:f>IF(OR(B34="",F34=""),0,IF(H34="HOME",COUNTIFS('Istoric_Nativ'!$B$6:$B$405,E34,'Istoric_Nativ'!$C$6:$C$405,F34,'Istoric_Nativ'!$E$6:$E$405,G34,'Istoric_Nativ'!$D$6:$D$405,"&lt;"&amp;J34,'Istoric_Nativ'!$P$6:$P$405,1,'Istoric_Nativ'!$D$6:$D$405,"&gt;="&amp;L34),IF(H34="AWAY",COUNTIFS('Istoric_Nativ'!$B$6:$B$405,E34,'Istoric_Nativ'!$C$6:$C$405,F34,'Istoric_Nativ'!$F$6:$F$405,G34,'Istoric_Nativ'!$D$6:$D$405,"&lt;"&amp;J34,'Istoric_Nativ'!$P$6:$P$405,1,'Istoric_Nativ'!$D$6:$D$405,"&gt;="&amp;L34),COUNTIFS('Istoric_Nativ'!$B$6:$B$405,E34,'Istoric_Nativ'!$C$6:$C$405,F34,'Istoric_Nativ'!$E$6:$E$405,G34,'Istoric_Nativ'!$D$6:$D$405,"&lt;"&amp;J34,'Istoric_Nativ'!$P$6:$P$405,1,'Istoric_Nativ'!$D$6:$D$405,"&gt;="&amp;L34)+COUNTIFS('Istoric_Nativ'!$B$6:$B$405,E34,'Istoric_Nativ'!$C$6:$C$405,F34,'Istoric_Nativ'!$F$6:$F$405,G34,'Istoric_Nativ'!$D$6:$D$405,"&lt;"&amp;J34,'Istoric_Nativ'!$P$6:$P$405,1,'Istoric_Nativ'!$D$6:$D$405,"&gt;="&amp;L34))))</x:f>
        <x:v>18</x:v>
      </x:c>
      <x:c r="N34" s="11" t="n">
        <x:f>IF(M34=0,"",IF(H34="HOME",SUMIFS('Istoric_Nativ'!$G$6:$G$405,'Istoric_Nativ'!$B$6:$B$405,E34,'Istoric_Nativ'!$C$6:$C$405,F34,'Istoric_Nativ'!$E$6:$E$405,G34,'Istoric_Nativ'!$D$6:$D$405,"&lt;"&amp;J34,'Istoric_Nativ'!$P$6:$P$405,1,'Istoric_Nativ'!$D$6:$D$405,"&gt;="&amp;L34),IF(H34="AWAY",SUMIFS('Istoric_Nativ'!$H$6:$H$405,'Istoric_Nativ'!$B$6:$B$405,E34,'Istoric_Nativ'!$C$6:$C$405,F34,'Istoric_Nativ'!$F$6:$F$405,G34,'Istoric_Nativ'!$D$6:$D$405,"&lt;"&amp;J34,'Istoric_Nativ'!$P$6:$P$405,1,'Istoric_Nativ'!$D$6:$D$405,"&gt;="&amp;L34),SUMIFS('Istoric_Nativ'!$G$6:$G$405,'Istoric_Nativ'!$B$6:$B$405,E34,'Istoric_Nativ'!$C$6:$C$405,F34,'Istoric_Nativ'!$E$6:$E$405,G34,'Istoric_Nativ'!$D$6:$D$405,"&lt;"&amp;J34,'Istoric_Nativ'!$P$6:$P$405,1,'Istoric_Nativ'!$D$6:$D$405,"&gt;="&amp;L34)+SUMIFS('Istoric_Nativ'!$H$6:$H$405,'Istoric_Nativ'!$B$6:$B$405,E34,'Istoric_Nativ'!$C$6:$C$405,F34,'Istoric_Nativ'!$F$6:$F$405,G34,'Istoric_Nativ'!$D$6:$D$405,"&lt;"&amp;J34,'Istoric_Nativ'!$P$6:$P$405,1,'Istoric_Nativ'!$D$6:$D$405,"&gt;="&amp;L34)))/M34)</x:f>
        <x:v>5.555555555555555</x:v>
      </x:c>
      <x:c r="O34" s="11" t="n">
        <x:f>IF(M34=0,"",IF(H34="HOME",SUMIFS('Istoric_Nativ'!$H$6:$H$405,'Istoric_Nativ'!$B$6:$B$405,E34,'Istoric_Nativ'!$C$6:$C$405,F34,'Istoric_Nativ'!$E$6:$E$405,G34,'Istoric_Nativ'!$D$6:$D$405,"&lt;"&amp;J34,'Istoric_Nativ'!$P$6:$P$405,1,'Istoric_Nativ'!$D$6:$D$405,"&gt;="&amp;L34),IF(H34="AWAY",SUMIFS('Istoric_Nativ'!$G$6:$G$405,'Istoric_Nativ'!$B$6:$B$405,E34,'Istoric_Nativ'!$C$6:$C$405,F34,'Istoric_Nativ'!$F$6:$F$405,G34,'Istoric_Nativ'!$D$6:$D$405,"&lt;"&amp;J34,'Istoric_Nativ'!$P$6:$P$405,1,'Istoric_Nativ'!$D$6:$D$405,"&gt;="&amp;L34),SUMIFS('Istoric_Nativ'!$H$6:$H$405,'Istoric_Nativ'!$B$6:$B$405,E34,'Istoric_Nativ'!$C$6:$C$405,F34,'Istoric_Nativ'!$E$6:$E$405,G34,'Istoric_Nativ'!$D$6:$D$405,"&lt;"&amp;J34,'Istoric_Nativ'!$P$6:$P$405,1,'Istoric_Nativ'!$D$6:$D$405,"&gt;="&amp;L34)+SUMIFS('Istoric_Nativ'!$G$6:$G$405,'Istoric_Nativ'!$B$6:$B$405,E34,'Istoric_Nativ'!$C$6:$C$405,F34,'Istoric_Nativ'!$F$6:$F$405,G34,'Istoric_Nativ'!$D$6:$D$405,"&lt;"&amp;J34,'Istoric_Nativ'!$P$6:$P$405,1,'Istoric_Nativ'!$D$6:$D$405,"&gt;="&amp;L34)))/M34)</x:f>
        <x:v>3.888888888888889</x:v>
      </x:c>
      <x:c r="P34" s="2" t="n">
        <x:f>'Config_v6'!$B$8</x:f>
        <x:v>5</x:v>
      </x:c>
      <x:c r="Q34" s="2" t="n">
        <x:f>IF(OR(B34="",F34=""),0,IFERROR(MATCH(E34&amp;"|"&amp;F34,SourceTable[Source_Key],0),0))</x:f>
        <x:v>1</x:v>
      </x:c>
      <x:c r="R34" s="2" t="str">
        <x:f>IF(B34="","",IF(F34="","UNUSED",IF(Q34=0,"NOT CHECKED",IF(COUNTIF(SourceTable[Source_Key],E34&amp;"|"&amp;F34)&lt;&gt;1,"SOURCE CONFLICT",IF(NOT(OR(INDEX(SourceTable[Status],MAX(1,Q34))="IMPORTED",INDEX(SourceTable[Status],MAX(1,Q34))="PARTIAL",INDEX(SourceTable[Status],MAX(1,Q34))="SOURCE CONFLICT")),"ACCESS BLOCKED",IF(OR(INDEX(SourceTable[Coverage],Q34)&lt;&gt;"FULL SEASON EXPORT",INDEX(SourceTable[URL],Q34)="",INDEX(SourceTable[SHA256],Q34)=""),"EVIDENCE INCOMPLETE",IF(AND('Input_Meci'!H8="LIVE",INDEX(SourceTable[Retrieved_UTC],Q34)&gt;'Input_Meci'!G8),"POST CUTOFF","CLOSED")))))))</x:f>
        <x:v>CLOSED</x:v>
      </x:c>
      <x:c r="S34" s="2" t="n">
        <x:f>IF(OR(B34="",F34=""),0,COUNTIFS('Istoric_Nativ'!$B$6:$B$405,E34,'Istoric_Nativ'!$C$6:$C$405,F34,'Istoric_Nativ'!$E$6:$E$405,G34,'Istoric_Nativ'!$D$6:$D$405,"&lt;"&amp;J34,'Istoric_Nativ'!$O$6:$O$405,"INVALID")+COUNTIFS('Istoric_Nativ'!$B$6:$B$405,E34,'Istoric_Nativ'!$C$6:$C$405,F34,'Istoric_Nativ'!$E$6:$E$405,G34,'Istoric_Nativ'!$O$6:$O$405,"INVALID",'Istoric_Nativ'!$D$6:$D$405,"*")+COUNTIFS('Istoric_Nativ'!$B$6:$B$405,E34,'Istoric_Nativ'!$C$6:$C$405,F34,'Istoric_Nativ'!$E$6:$E$405,G34,'Istoric_Nativ'!$D$6:$D$405,"&lt;"&amp;J34,'Istoric_Nativ'!$O$6:$O$405,"SOURCE CONFLICT")+COUNTIFS('Istoric_Nativ'!$B$6:$B$405,E34,'Istoric_Nativ'!$C$6:$C$405,F34,'Istoric_Nativ'!$F$6:$F$405,G34,'Istoric_Nativ'!$D$6:$D$405,"&lt;"&amp;J34,'Istoric_Nativ'!$O$6:$O$405,"INVALID")+COUNTIFS('Istoric_Nativ'!$B$6:$B$405,E34,'Istoric_Nativ'!$C$6:$C$405,F34,'Istoric_Nativ'!$F$6:$F$405,G34,'Istoric_Nativ'!$O$6:$O$405,"INVALID",'Istoric_Nativ'!$D$6:$D$405,"*")+COUNTIFS('Istoric_Nativ'!$B$6:$B$405,E34,'Istoric_Nativ'!$C$6:$C$405,F34,'Istoric_Nativ'!$F$6:$F$405,G34,'Istoric_Nativ'!$D$6:$D$405,"&lt;"&amp;J34,'Istoric_Nativ'!$O$6:$O$405,"SOURCE CONFLICT"))</x:f>
        <x:v>0</x:v>
      </x:c>
      <x:c r="T34" s="2" t="str">
        <x:f>IF(B34="","",IF(R34&lt;&gt;"CLOSED",R34,IF(S34&gt;0,"NATIVE INPUT ISSUE",IF(M34=0,"NO HISTORY",IF(M34&lt;P34,"SMALL SAMPLE","DERIVED")))))</x:f>
        <x:v>DERIVED</x:v>
      </x:c>
      <x:c r="U34" s="2" t="str">
        <x:f>IF(B34="","","NativeTable; "&amp;E34&amp;"; "&amp;F34&amp;"; "&amp;G34&amp;"; "&amp;H34&amp;"; before "&amp;TEXT(J34,"yyyy-mm-dd")&amp;IF(I34="RECENT","; from "&amp;TEXT(L34,"yyyy-mm-dd"),""))</x:f>
        <x:v>NativeTable; E0; 2025/26; Arsenal; AWAY; before 2026-05-23</x:v>
      </x:c>
    </x:row>
    <x:row r="35" ht="21" customHeight="1">
      <x:c r="A35" s="2" t="n">
        <x:v>3</x:v>
      </x:c>
      <x:c r="B35" s="2" t="str">
        <x:f>IF('Input_Meci'!A8="","",'Input_Meci'!A8)</x:f>
        <x:v>REPLAY_3</x:v>
      </x:c>
      <x:c r="C35" s="2" t="str">
        <x:v>A</x:v>
      </x:c>
      <x:c r="D35" s="2" t="str">
        <x:v>CURRENT</x:v>
      </x:c>
      <x:c r="E35" s="2" t="str">
        <x:f>IF(B35="","",'Input_Meci'!B8)</x:f>
        <x:v>E0</x:v>
      </x:c>
      <x:c r="F35" s="2" t="str">
        <x:f>IF(B35="","",IF('Input_Meci'!C8="","",'Input_Meci'!C8))</x:f>
        <x:v>2025/26</x:v>
      </x:c>
      <x:c r="G35" s="2" t="str">
        <x:f>IF(B35="","",'Input_Meci'!E8)</x:f>
        <x:v>Arsenal</x:v>
      </x:c>
      <x:c r="H35" s="2" t="str">
        <x:v>ANY</x:v>
      </x:c>
      <x:c r="I35" s="2" t="str">
        <x:v>RECENT</x:v>
      </x:c>
      <x:c r="J35" s="9" t="n">
        <x:f>IF(AND(B35&lt;&gt;"",ISNUMBER('Input_Meci'!G8)),INT('Input_Meci'!G8),0)</x:f>
        <x:v>46165</x:v>
      </x:c>
      <x:c r="K35" s="2" t="n">
        <x:f>IF(OR(B35="",F35=""),0,IF(H35="HOME",COUNTIFS('Istoric_Nativ'!$B$6:$B$405,E35,'Istoric_Nativ'!$C$6:$C$405,F35,'Istoric_Nativ'!$E$6:$E$405,G35,'Istoric_Nativ'!$D$6:$D$405,"&lt;"&amp;J35,'Istoric_Nativ'!$P$6:$P$405,1),IF(H35="AWAY",COUNTIFS('Istoric_Nativ'!$B$6:$B$405,E35,'Istoric_Nativ'!$C$6:$C$405,F35,'Istoric_Nativ'!$F$6:$F$405,G35,'Istoric_Nativ'!$D$6:$D$405,"&lt;"&amp;J35,'Istoric_Nativ'!$P$6:$P$405,1),COUNTIFS('Istoric_Nativ'!$B$6:$B$405,E35,'Istoric_Nativ'!$C$6:$C$405,F35,'Istoric_Nativ'!$E$6:$E$405,G35,'Istoric_Nativ'!$D$6:$D$405,"&lt;"&amp;J35,'Istoric_Nativ'!$P$6:$P$405,1)+COUNTIFS('Istoric_Nativ'!$B$6:$B$405,E35,'Istoric_Nativ'!$C$6:$C$405,F35,'Istoric_Nativ'!$F$6:$F$405,G35,'Istoric_Nativ'!$D$6:$D$405,"&lt;"&amp;J35,'Istoric_Nativ'!$P$6:$P$405,1))))</x:f>
        <x:v>37</x:v>
      </x:c>
      <x:c r="L35" s="17" t="n">
        <x:f>IF(AND(B35&lt;&gt;"",I35="RECENT",K35&gt;0),LARGE(_xlfn._xlws.FILTER('Istoric_Nativ'!$D$6:$D$405,('Istoric_Nativ'!$B$6:$B$405=E35)*('Istoric_Nativ'!$C$6:$C$405=F35)*('Istoric_Nativ'!$P$6:$P$405=1)*('Istoric_Nativ'!$D$6:$D$405&lt;J35)*((('Istoric_Nativ'!$E$6:$E$405=G35)+('Istoric_Nativ'!$F$6:$F$405=G35))&gt;0)),MIN('Config_v6'!$B$54,K35)),0)</x:f>
        <x:v>46131</x:v>
      </x:c>
      <x:c r="M35" s="2" t="n">
        <x:f>IF(OR(B35="",F35=""),0,IF(H35="HOME",COUNTIFS('Istoric_Nativ'!$B$6:$B$405,E35,'Istoric_Nativ'!$C$6:$C$405,F35,'Istoric_Nativ'!$E$6:$E$405,G35,'Istoric_Nativ'!$D$6:$D$405,"&lt;"&amp;J35,'Istoric_Nativ'!$P$6:$P$405,1,'Istoric_Nativ'!$D$6:$D$405,"&gt;="&amp;L35),IF(H35="AWAY",COUNTIFS('Istoric_Nativ'!$B$6:$B$405,E35,'Istoric_Nativ'!$C$6:$C$405,F35,'Istoric_Nativ'!$F$6:$F$405,G35,'Istoric_Nativ'!$D$6:$D$405,"&lt;"&amp;J35,'Istoric_Nativ'!$P$6:$P$405,1,'Istoric_Nativ'!$D$6:$D$405,"&gt;="&amp;L35),COUNTIFS('Istoric_Nativ'!$B$6:$B$405,E35,'Istoric_Nativ'!$C$6:$C$405,F35,'Istoric_Nativ'!$E$6:$E$405,G35,'Istoric_Nativ'!$D$6:$D$405,"&lt;"&amp;J35,'Istoric_Nativ'!$P$6:$P$405,1,'Istoric_Nativ'!$D$6:$D$405,"&gt;="&amp;L35)+COUNTIFS('Istoric_Nativ'!$B$6:$B$405,E35,'Istoric_Nativ'!$C$6:$C$405,F35,'Istoric_Nativ'!$F$6:$F$405,G35,'Istoric_Nativ'!$D$6:$D$405,"&lt;"&amp;J35,'Istoric_Nativ'!$P$6:$P$405,1,'Istoric_Nativ'!$D$6:$D$405,"&gt;="&amp;L35))))</x:f>
        <x:v>5</x:v>
      </x:c>
      <x:c r="N35" s="11" t="n">
        <x:f>IF(M35=0,"",IF(H35="HOME",SUMIFS('Istoric_Nativ'!$G$6:$G$405,'Istoric_Nativ'!$B$6:$B$405,E35,'Istoric_Nativ'!$C$6:$C$405,F35,'Istoric_Nativ'!$E$6:$E$405,G35,'Istoric_Nativ'!$D$6:$D$405,"&lt;"&amp;J35,'Istoric_Nativ'!$P$6:$P$405,1,'Istoric_Nativ'!$D$6:$D$405,"&gt;="&amp;L35),IF(H35="AWAY",SUMIFS('Istoric_Nativ'!$H$6:$H$405,'Istoric_Nativ'!$B$6:$B$405,E35,'Istoric_Nativ'!$C$6:$C$405,F35,'Istoric_Nativ'!$F$6:$F$405,G35,'Istoric_Nativ'!$D$6:$D$405,"&lt;"&amp;J35,'Istoric_Nativ'!$P$6:$P$405,1,'Istoric_Nativ'!$D$6:$D$405,"&gt;="&amp;L35),SUMIFS('Istoric_Nativ'!$G$6:$G$405,'Istoric_Nativ'!$B$6:$B$405,E35,'Istoric_Nativ'!$C$6:$C$405,F35,'Istoric_Nativ'!$E$6:$E$405,G35,'Istoric_Nativ'!$D$6:$D$405,"&lt;"&amp;J35,'Istoric_Nativ'!$P$6:$P$405,1,'Istoric_Nativ'!$D$6:$D$405,"&gt;="&amp;L35)+SUMIFS('Istoric_Nativ'!$H$6:$H$405,'Istoric_Nativ'!$B$6:$B$405,E35,'Istoric_Nativ'!$C$6:$C$405,F35,'Istoric_Nativ'!$F$6:$F$405,G35,'Istoric_Nativ'!$D$6:$D$405,"&lt;"&amp;J35,'Istoric_Nativ'!$P$6:$P$405,1,'Istoric_Nativ'!$D$6:$D$405,"&gt;="&amp;L35)))/M35)</x:f>
        <x:v>4.2</x:v>
      </x:c>
      <x:c r="O35" s="11" t="n">
        <x:f>IF(M35=0,"",IF(H35="HOME",SUMIFS('Istoric_Nativ'!$H$6:$H$405,'Istoric_Nativ'!$B$6:$B$405,E35,'Istoric_Nativ'!$C$6:$C$405,F35,'Istoric_Nativ'!$E$6:$E$405,G35,'Istoric_Nativ'!$D$6:$D$405,"&lt;"&amp;J35,'Istoric_Nativ'!$P$6:$P$405,1,'Istoric_Nativ'!$D$6:$D$405,"&gt;="&amp;L35),IF(H35="AWAY",SUMIFS('Istoric_Nativ'!$G$6:$G$405,'Istoric_Nativ'!$B$6:$B$405,E35,'Istoric_Nativ'!$C$6:$C$405,F35,'Istoric_Nativ'!$F$6:$F$405,G35,'Istoric_Nativ'!$D$6:$D$405,"&lt;"&amp;J35,'Istoric_Nativ'!$P$6:$P$405,1,'Istoric_Nativ'!$D$6:$D$405,"&gt;="&amp;L35),SUMIFS('Istoric_Nativ'!$H$6:$H$405,'Istoric_Nativ'!$B$6:$B$405,E35,'Istoric_Nativ'!$C$6:$C$405,F35,'Istoric_Nativ'!$E$6:$E$405,G35,'Istoric_Nativ'!$D$6:$D$405,"&lt;"&amp;J35,'Istoric_Nativ'!$P$6:$P$405,1,'Istoric_Nativ'!$D$6:$D$405,"&gt;="&amp;L35)+SUMIFS('Istoric_Nativ'!$G$6:$G$405,'Istoric_Nativ'!$B$6:$B$405,E35,'Istoric_Nativ'!$C$6:$C$405,F35,'Istoric_Nativ'!$F$6:$F$405,G35,'Istoric_Nativ'!$D$6:$D$405,"&lt;"&amp;J35,'Istoric_Nativ'!$P$6:$P$405,1,'Istoric_Nativ'!$D$6:$D$405,"&gt;="&amp;L35)))/M35)</x:f>
        <x:v>4.2</x:v>
      </x:c>
      <x:c r="P35" s="2" t="n">
        <x:f>'Config_v6'!$B$9</x:f>
        <x:v>3</x:v>
      </x:c>
      <x:c r="Q35" s="2" t="n">
        <x:f>IF(OR(B35="",F35=""),0,IFERROR(MATCH(E35&amp;"|"&amp;F35,SourceTable[Source_Key],0),0))</x:f>
        <x:v>1</x:v>
      </x:c>
      <x:c r="R35" s="2" t="str">
        <x:f>IF(B35="","",IF(F35="","UNUSED",IF(Q35=0,"NOT CHECKED",IF(COUNTIF(SourceTable[Source_Key],E35&amp;"|"&amp;F35)&lt;&gt;1,"SOURCE CONFLICT",IF(NOT(OR(INDEX(SourceTable[Status],MAX(1,Q35))="IMPORTED",INDEX(SourceTable[Status],MAX(1,Q35))="PARTIAL",INDEX(SourceTable[Status],MAX(1,Q35))="SOURCE CONFLICT")),"ACCESS BLOCKED",IF(OR(INDEX(SourceTable[Coverage],Q35)&lt;&gt;"FULL SEASON EXPORT",INDEX(SourceTable[URL],Q35)="",INDEX(SourceTable[SHA256],Q35)=""),"EVIDENCE INCOMPLETE",IF(AND('Input_Meci'!H8="LIVE",INDEX(SourceTable[Retrieved_UTC],Q35)&gt;'Input_Meci'!G8),"POST CUTOFF","CLOSED")))))))</x:f>
        <x:v>CLOSED</x:v>
      </x:c>
      <x:c r="S35" s="2" t="n">
        <x:f>IF(OR(B35="",F35=""),0,COUNTIFS('Istoric_Nativ'!$B$6:$B$405,E35,'Istoric_Nativ'!$C$6:$C$405,F35,'Istoric_Nativ'!$E$6:$E$405,G35,'Istoric_Nativ'!$D$6:$D$405,"&lt;"&amp;J35,'Istoric_Nativ'!$O$6:$O$405,"INVALID")+COUNTIFS('Istoric_Nativ'!$B$6:$B$405,E35,'Istoric_Nativ'!$C$6:$C$405,F35,'Istoric_Nativ'!$E$6:$E$405,G35,'Istoric_Nativ'!$O$6:$O$405,"INVALID",'Istoric_Nativ'!$D$6:$D$405,"*")+COUNTIFS('Istoric_Nativ'!$B$6:$B$405,E35,'Istoric_Nativ'!$C$6:$C$405,F35,'Istoric_Nativ'!$E$6:$E$405,G35,'Istoric_Nativ'!$D$6:$D$405,"&lt;"&amp;J35,'Istoric_Nativ'!$O$6:$O$405,"SOURCE CONFLICT")+COUNTIFS('Istoric_Nativ'!$B$6:$B$405,E35,'Istoric_Nativ'!$C$6:$C$405,F35,'Istoric_Nativ'!$F$6:$F$405,G35,'Istoric_Nativ'!$D$6:$D$405,"&lt;"&amp;J35,'Istoric_Nativ'!$O$6:$O$405,"INVALID")+COUNTIFS('Istoric_Nativ'!$B$6:$B$405,E35,'Istoric_Nativ'!$C$6:$C$405,F35,'Istoric_Nativ'!$F$6:$F$405,G35,'Istoric_Nativ'!$O$6:$O$405,"INVALID",'Istoric_Nativ'!$D$6:$D$405,"*")+COUNTIFS('Istoric_Nativ'!$B$6:$B$405,E35,'Istoric_Nativ'!$C$6:$C$405,F35,'Istoric_Nativ'!$F$6:$F$405,G35,'Istoric_Nativ'!$D$6:$D$405,"&lt;"&amp;J35,'Istoric_Nativ'!$O$6:$O$405,"SOURCE CONFLICT"))</x:f>
        <x:v>0</x:v>
      </x:c>
      <x:c r="T35" s="2" t="str">
        <x:f>IF(B35="","",IF(R35&lt;&gt;"CLOSED",R35,IF(S35&gt;0,"NATIVE INPUT ISSUE",IF(M35=0,"NO HISTORY",IF(M35&lt;P35,"SMALL SAMPLE","DERIVED")))))</x:f>
        <x:v>DERIVED</x:v>
      </x:c>
      <x:c r="U35" s="2" t="str">
        <x:f>IF(B35="","","NativeTable; "&amp;E35&amp;"; "&amp;F35&amp;"; "&amp;G35&amp;"; "&amp;H35&amp;"; before "&amp;TEXT(J35,"yyyy-mm-dd")&amp;IF(I35="RECENT","; from "&amp;TEXT(L35,"yyyy-mm-dd"),""))</x:f>
        <x:v>NativeTable; E0; 2025/26; Arsenal; ANY; before 2026-05-23; from 2026-04-19</x:v>
      </x:c>
    </x:row>
    <x:row r="36" ht="21" customHeight="1">
      <x:c r="A36" s="2" t="n">
        <x:v>3</x:v>
      </x:c>
      <x:c r="B36" s="2" t="str">
        <x:f>IF('Input_Meci'!A8="","",'Input_Meci'!A8)</x:f>
        <x:v>REPLAY_3</x:v>
      </x:c>
      <x:c r="C36" s="2" t="str">
        <x:v>H</x:v>
      </x:c>
      <x:c r="D36" s="2" t="str">
        <x:v>PRIOR</x:v>
      </x:c>
      <x:c r="E36" s="2" t="str">
        <x:f>IF(B36="","",'Input_Meci'!B8)</x:f>
        <x:v>E0</x:v>
      </x:c>
      <x:c r="F36" s="2" t="str">
        <x:f>IF(B36="","",IF('Input_Meci'!K8="","",'Input_Meci'!K8))</x:f>
      </x:c>
      <x:c r="G36" s="2" t="str">
        <x:f>IF(B36="","",'Input_Meci'!D8)</x:f>
        <x:v>Crystal Palace</x:v>
      </x:c>
      <x:c r="H36" s="2" t="str">
        <x:v>ANY</x:v>
      </x:c>
      <x:c r="I36" s="2" t="str">
        <x:v>SEASON</x:v>
      </x:c>
      <x:c r="J36" s="9" t="n">
        <x:f>IF(AND(B36&lt;&gt;"",ISNUMBER('Input_Meci'!G8)),INT('Input_Meci'!G8),0)</x:f>
        <x:v>46165</x:v>
      </x:c>
      <x:c r="K36" s="2" t="n">
        <x:f>IF(OR(B36="",F36=""),0,IF(H36="HOME",COUNTIFS('Istoric_Nativ'!$B$6:$B$405,E36,'Istoric_Nativ'!$C$6:$C$405,F36,'Istoric_Nativ'!$E$6:$E$405,G36,'Istoric_Nativ'!$D$6:$D$405,"&lt;"&amp;J36,'Istoric_Nativ'!$P$6:$P$405,1),IF(H36="AWAY",COUNTIFS('Istoric_Nativ'!$B$6:$B$405,E36,'Istoric_Nativ'!$C$6:$C$405,F36,'Istoric_Nativ'!$F$6:$F$405,G36,'Istoric_Nativ'!$D$6:$D$405,"&lt;"&amp;J36,'Istoric_Nativ'!$P$6:$P$405,1),COUNTIFS('Istoric_Nativ'!$B$6:$B$405,E36,'Istoric_Nativ'!$C$6:$C$405,F36,'Istoric_Nativ'!$E$6:$E$405,G36,'Istoric_Nativ'!$D$6:$D$405,"&lt;"&amp;J36,'Istoric_Nativ'!$P$6:$P$405,1)+COUNTIFS('Istoric_Nativ'!$B$6:$B$405,E36,'Istoric_Nativ'!$C$6:$C$405,F36,'Istoric_Nativ'!$F$6:$F$405,G36,'Istoric_Nativ'!$D$6:$D$405,"&lt;"&amp;J36,'Istoric_Nativ'!$P$6:$P$405,1))))</x:f>
        <x:v>0</x:v>
      </x:c>
      <x:c r="L36" s="17" t="n">
        <x:f>IF(AND(B36&lt;&gt;"",I36="RECENT",K36&gt;0),LARGE(_xlfn._xlws.FILTER('Istoric_Nativ'!$D$6:$D$405,('Istoric_Nativ'!$B$6:$B$405=E36)*('Istoric_Nativ'!$C$6:$C$405=F36)*('Istoric_Nativ'!$P$6:$P$405=1)*('Istoric_Nativ'!$D$6:$D$405&lt;J36)*((('Istoric_Nativ'!$E$6:$E$405=G36)+('Istoric_Nativ'!$F$6:$F$405=G36))&gt;0)),MIN('Config_v6'!$B$54,K36)),0)</x:f>
        <x:v>0</x:v>
      </x:c>
      <x:c r="M36" s="2" t="n">
        <x:f>IF(OR(B36="",F36=""),0,IF(H36="HOME",COUNTIFS('Istoric_Nativ'!$B$6:$B$405,E36,'Istoric_Nativ'!$C$6:$C$405,F36,'Istoric_Nativ'!$E$6:$E$405,G36,'Istoric_Nativ'!$D$6:$D$405,"&lt;"&amp;J36,'Istoric_Nativ'!$P$6:$P$405,1,'Istoric_Nativ'!$D$6:$D$405,"&gt;="&amp;L36),IF(H36="AWAY",COUNTIFS('Istoric_Nativ'!$B$6:$B$405,E36,'Istoric_Nativ'!$C$6:$C$405,F36,'Istoric_Nativ'!$F$6:$F$405,G36,'Istoric_Nativ'!$D$6:$D$405,"&lt;"&amp;J36,'Istoric_Nativ'!$P$6:$P$405,1,'Istoric_Nativ'!$D$6:$D$405,"&gt;="&amp;L36),COUNTIFS('Istoric_Nativ'!$B$6:$B$405,E36,'Istoric_Nativ'!$C$6:$C$405,F36,'Istoric_Nativ'!$E$6:$E$405,G36,'Istoric_Nativ'!$D$6:$D$405,"&lt;"&amp;J36,'Istoric_Nativ'!$P$6:$P$405,1,'Istoric_Nativ'!$D$6:$D$405,"&gt;="&amp;L36)+COUNTIFS('Istoric_Nativ'!$B$6:$B$405,E36,'Istoric_Nativ'!$C$6:$C$405,F36,'Istoric_Nativ'!$F$6:$F$405,G36,'Istoric_Nativ'!$D$6:$D$405,"&lt;"&amp;J36,'Istoric_Nativ'!$P$6:$P$405,1,'Istoric_Nativ'!$D$6:$D$405,"&gt;="&amp;L36))))</x:f>
        <x:v>0</x:v>
      </x:c>
      <x:c r="N36" s="11" t="str">
        <x:f>IF(M36=0,"",IF(H36="HOME",SUMIFS('Istoric_Nativ'!$G$6:$G$405,'Istoric_Nativ'!$B$6:$B$405,E36,'Istoric_Nativ'!$C$6:$C$405,F36,'Istoric_Nativ'!$E$6:$E$405,G36,'Istoric_Nativ'!$D$6:$D$405,"&lt;"&amp;J36,'Istoric_Nativ'!$P$6:$P$405,1,'Istoric_Nativ'!$D$6:$D$405,"&gt;="&amp;L36),IF(H36="AWAY",SUMIFS('Istoric_Nativ'!$H$6:$H$405,'Istoric_Nativ'!$B$6:$B$405,E36,'Istoric_Nativ'!$C$6:$C$405,F36,'Istoric_Nativ'!$F$6:$F$405,G36,'Istoric_Nativ'!$D$6:$D$405,"&lt;"&amp;J36,'Istoric_Nativ'!$P$6:$P$405,1,'Istoric_Nativ'!$D$6:$D$405,"&gt;="&amp;L36),SUMIFS('Istoric_Nativ'!$G$6:$G$405,'Istoric_Nativ'!$B$6:$B$405,E36,'Istoric_Nativ'!$C$6:$C$405,F36,'Istoric_Nativ'!$E$6:$E$405,G36,'Istoric_Nativ'!$D$6:$D$405,"&lt;"&amp;J36,'Istoric_Nativ'!$P$6:$P$405,1,'Istoric_Nativ'!$D$6:$D$405,"&gt;="&amp;L36)+SUMIFS('Istoric_Nativ'!$H$6:$H$405,'Istoric_Nativ'!$B$6:$B$405,E36,'Istoric_Nativ'!$C$6:$C$405,F36,'Istoric_Nativ'!$F$6:$F$405,G36,'Istoric_Nativ'!$D$6:$D$405,"&lt;"&amp;J36,'Istoric_Nativ'!$P$6:$P$405,1,'Istoric_Nativ'!$D$6:$D$405,"&gt;="&amp;L36)))/M36)</x:f>
      </x:c>
      <x:c r="O36" s="11" t="str">
        <x:f>IF(M36=0,"",IF(H36="HOME",SUMIFS('Istoric_Nativ'!$H$6:$H$405,'Istoric_Nativ'!$B$6:$B$405,E36,'Istoric_Nativ'!$C$6:$C$405,F36,'Istoric_Nativ'!$E$6:$E$405,G36,'Istoric_Nativ'!$D$6:$D$405,"&lt;"&amp;J36,'Istoric_Nativ'!$P$6:$P$405,1,'Istoric_Nativ'!$D$6:$D$405,"&gt;="&amp;L36),IF(H36="AWAY",SUMIFS('Istoric_Nativ'!$G$6:$G$405,'Istoric_Nativ'!$B$6:$B$405,E36,'Istoric_Nativ'!$C$6:$C$405,F36,'Istoric_Nativ'!$F$6:$F$405,G36,'Istoric_Nativ'!$D$6:$D$405,"&lt;"&amp;J36,'Istoric_Nativ'!$P$6:$P$405,1,'Istoric_Nativ'!$D$6:$D$405,"&gt;="&amp;L36),SUMIFS('Istoric_Nativ'!$H$6:$H$405,'Istoric_Nativ'!$B$6:$B$405,E36,'Istoric_Nativ'!$C$6:$C$405,F36,'Istoric_Nativ'!$E$6:$E$405,G36,'Istoric_Nativ'!$D$6:$D$405,"&lt;"&amp;J36,'Istoric_Nativ'!$P$6:$P$405,1,'Istoric_Nativ'!$D$6:$D$405,"&gt;="&amp;L36)+SUMIFS('Istoric_Nativ'!$G$6:$G$405,'Istoric_Nativ'!$B$6:$B$405,E36,'Istoric_Nativ'!$C$6:$C$405,F36,'Istoric_Nativ'!$F$6:$F$405,G36,'Istoric_Nativ'!$D$6:$D$405,"&lt;"&amp;J36,'Istoric_Nativ'!$P$6:$P$405,1,'Istoric_Nativ'!$D$6:$D$405,"&gt;="&amp;L36)))/M36)</x:f>
      </x:c>
      <x:c r="P36" s="2" t="n">
        <x:f>'Config_v6'!$B$7</x:f>
        <x:v>10</x:v>
      </x:c>
      <x:c r="Q36" s="2" t="n">
        <x:f>IF(OR(B36="",F36=""),0,IFERROR(MATCH(E36&amp;"|"&amp;F36,SourceTable[Source_Key],0),0))</x:f>
        <x:v>0</x:v>
      </x:c>
      <x:c r="R36" s="2" t="str">
        <x:f>IF(B36="","",IF(F36="","UNUSED",IF(Q36=0,"NOT CHECKED",IF(COUNTIF(SourceTable[Source_Key],E36&amp;"|"&amp;F36)&lt;&gt;1,"SOURCE CONFLICT",IF(NOT(OR(INDEX(SourceTable[Status],MAX(1,Q36))="IMPORTED",INDEX(SourceTable[Status],MAX(1,Q36))="PARTIAL",INDEX(SourceTable[Status],MAX(1,Q36))="SOURCE CONFLICT")),"ACCESS BLOCKED",IF(OR(INDEX(SourceTable[Coverage],Q36)&lt;&gt;"FULL SEASON EXPORT",INDEX(SourceTable[URL],Q36)="",INDEX(SourceTable[SHA256],Q36)=""),"EVIDENCE INCOMPLETE",IF(AND('Input_Meci'!H8="LIVE",INDEX(SourceTable[Retrieved_UTC],Q36)&gt;'Input_Meci'!G8),"POST CUTOFF","CLOSED")))))))</x:f>
        <x:v>UNUSED</x:v>
      </x:c>
      <x:c r="S36" s="2" t="n">
        <x:f>IF(OR(B36="",F36=""),0,COUNTIFS('Istoric_Nativ'!$B$6:$B$405,E36,'Istoric_Nativ'!$C$6:$C$405,F36,'Istoric_Nativ'!$E$6:$E$405,G36,'Istoric_Nativ'!$D$6:$D$405,"&lt;"&amp;J36,'Istoric_Nativ'!$O$6:$O$405,"INVALID")+COUNTIFS('Istoric_Nativ'!$B$6:$B$405,E36,'Istoric_Nativ'!$C$6:$C$405,F36,'Istoric_Nativ'!$E$6:$E$405,G36,'Istoric_Nativ'!$O$6:$O$405,"INVALID",'Istoric_Nativ'!$D$6:$D$405,"*")+COUNTIFS('Istoric_Nativ'!$B$6:$B$405,E36,'Istoric_Nativ'!$C$6:$C$405,F36,'Istoric_Nativ'!$E$6:$E$405,G36,'Istoric_Nativ'!$D$6:$D$405,"&lt;"&amp;J36,'Istoric_Nativ'!$O$6:$O$405,"SOURCE CONFLICT")+COUNTIFS('Istoric_Nativ'!$B$6:$B$405,E36,'Istoric_Nativ'!$C$6:$C$405,F36,'Istoric_Nativ'!$F$6:$F$405,G36,'Istoric_Nativ'!$D$6:$D$405,"&lt;"&amp;J36,'Istoric_Nativ'!$O$6:$O$405,"INVALID")+COUNTIFS('Istoric_Nativ'!$B$6:$B$405,E36,'Istoric_Nativ'!$C$6:$C$405,F36,'Istoric_Nativ'!$F$6:$F$405,G36,'Istoric_Nativ'!$O$6:$O$405,"INVALID",'Istoric_Nativ'!$D$6:$D$405,"*")+COUNTIFS('Istoric_Nativ'!$B$6:$B$405,E36,'Istoric_Nativ'!$C$6:$C$405,F36,'Istoric_Nativ'!$F$6:$F$405,G36,'Istoric_Nativ'!$D$6:$D$405,"&lt;"&amp;J36,'Istoric_Nativ'!$O$6:$O$405,"SOURCE CONFLICT"))</x:f>
        <x:v>0</x:v>
      </x:c>
      <x:c r="T36" s="2" t="str">
        <x:f>IF(B36="","",IF(R36&lt;&gt;"CLOSED",R36,IF(S36&gt;0,"NATIVE INPUT ISSUE",IF(M36=0,"NO HISTORY",IF(M36&lt;P36,"SMALL SAMPLE","DERIVED")))))</x:f>
        <x:v>UNUSED</x:v>
      </x:c>
      <x:c r="U36" s="2" t="str">
        <x:f>IF(B36="","","NativeTable; "&amp;E36&amp;"; "&amp;F36&amp;"; "&amp;G36&amp;"; "&amp;H36&amp;"; before "&amp;TEXT(J36,"yyyy-mm-dd")&amp;IF(I36="RECENT","; from "&amp;TEXT(L36,"yyyy-mm-dd"),""))</x:f>
        <x:v>NativeTable; E0; ; Crystal Palace; ANY; before 2026-05-23</x:v>
      </x:c>
    </x:row>
    <x:row r="37" ht="21" customHeight="1">
      <x:c r="A37" s="2" t="n">
        <x:v>3</x:v>
      </x:c>
      <x:c r="B37" s="2" t="str">
        <x:f>IF('Input_Meci'!A8="","",'Input_Meci'!A8)</x:f>
        <x:v>REPLAY_3</x:v>
      </x:c>
      <x:c r="C37" s="2" t="str">
        <x:v>H</x:v>
      </x:c>
      <x:c r="D37" s="2" t="str">
        <x:v>PRIOR</x:v>
      </x:c>
      <x:c r="E37" s="2" t="str">
        <x:f>IF(B37="","",'Input_Meci'!B8)</x:f>
        <x:v>E0</x:v>
      </x:c>
      <x:c r="F37" s="2" t="str">
        <x:f>IF(B37="","",IF('Input_Meci'!K8="","",'Input_Meci'!K8))</x:f>
      </x:c>
      <x:c r="G37" s="2" t="str">
        <x:f>IF(B37="","",'Input_Meci'!D8)</x:f>
        <x:v>Crystal Palace</x:v>
      </x:c>
      <x:c r="H37" s="2" t="str">
        <x:v>HOME</x:v>
      </x:c>
      <x:c r="I37" s="2" t="str">
        <x:v>HA</x:v>
      </x:c>
      <x:c r="J37" s="9" t="n">
        <x:f>IF(AND(B37&lt;&gt;"",ISNUMBER('Input_Meci'!G8)),INT('Input_Meci'!G8),0)</x:f>
        <x:v>46165</x:v>
      </x:c>
      <x:c r="K37" s="2" t="n">
        <x:f>IF(OR(B37="",F37=""),0,IF(H37="HOME",COUNTIFS('Istoric_Nativ'!$B$6:$B$405,E37,'Istoric_Nativ'!$C$6:$C$405,F37,'Istoric_Nativ'!$E$6:$E$405,G37,'Istoric_Nativ'!$D$6:$D$405,"&lt;"&amp;J37,'Istoric_Nativ'!$P$6:$P$405,1),IF(H37="AWAY",COUNTIFS('Istoric_Nativ'!$B$6:$B$405,E37,'Istoric_Nativ'!$C$6:$C$405,F37,'Istoric_Nativ'!$F$6:$F$405,G37,'Istoric_Nativ'!$D$6:$D$405,"&lt;"&amp;J37,'Istoric_Nativ'!$P$6:$P$405,1),COUNTIFS('Istoric_Nativ'!$B$6:$B$405,E37,'Istoric_Nativ'!$C$6:$C$405,F37,'Istoric_Nativ'!$E$6:$E$405,G37,'Istoric_Nativ'!$D$6:$D$405,"&lt;"&amp;J37,'Istoric_Nativ'!$P$6:$P$405,1)+COUNTIFS('Istoric_Nativ'!$B$6:$B$405,E37,'Istoric_Nativ'!$C$6:$C$405,F37,'Istoric_Nativ'!$F$6:$F$405,G37,'Istoric_Nativ'!$D$6:$D$405,"&lt;"&amp;J37,'Istoric_Nativ'!$P$6:$P$405,1))))</x:f>
        <x:v>0</x:v>
      </x:c>
      <x:c r="L37" s="17" t="n">
        <x:f>IF(AND(B37&lt;&gt;"",I37="RECENT",K37&gt;0),LARGE(_xlfn._xlws.FILTER('Istoric_Nativ'!$D$6:$D$405,('Istoric_Nativ'!$B$6:$B$405=E37)*('Istoric_Nativ'!$C$6:$C$405=F37)*('Istoric_Nativ'!$P$6:$P$405=1)*('Istoric_Nativ'!$D$6:$D$405&lt;J37)*((('Istoric_Nativ'!$E$6:$E$405=G37)+('Istoric_Nativ'!$F$6:$F$405=G37))&gt;0)),MIN('Config_v6'!$B$54,K37)),0)</x:f>
        <x:v>0</x:v>
      </x:c>
      <x:c r="M37" s="2" t="n">
        <x:f>IF(OR(B37="",F37=""),0,IF(H37="HOME",COUNTIFS('Istoric_Nativ'!$B$6:$B$405,E37,'Istoric_Nativ'!$C$6:$C$405,F37,'Istoric_Nativ'!$E$6:$E$405,G37,'Istoric_Nativ'!$D$6:$D$405,"&lt;"&amp;J37,'Istoric_Nativ'!$P$6:$P$405,1,'Istoric_Nativ'!$D$6:$D$405,"&gt;="&amp;L37),IF(H37="AWAY",COUNTIFS('Istoric_Nativ'!$B$6:$B$405,E37,'Istoric_Nativ'!$C$6:$C$405,F37,'Istoric_Nativ'!$F$6:$F$405,G37,'Istoric_Nativ'!$D$6:$D$405,"&lt;"&amp;J37,'Istoric_Nativ'!$P$6:$P$405,1,'Istoric_Nativ'!$D$6:$D$405,"&gt;="&amp;L37),COUNTIFS('Istoric_Nativ'!$B$6:$B$405,E37,'Istoric_Nativ'!$C$6:$C$405,F37,'Istoric_Nativ'!$E$6:$E$405,G37,'Istoric_Nativ'!$D$6:$D$405,"&lt;"&amp;J37,'Istoric_Nativ'!$P$6:$P$405,1,'Istoric_Nativ'!$D$6:$D$405,"&gt;="&amp;L37)+COUNTIFS('Istoric_Nativ'!$B$6:$B$405,E37,'Istoric_Nativ'!$C$6:$C$405,F37,'Istoric_Nativ'!$F$6:$F$405,G37,'Istoric_Nativ'!$D$6:$D$405,"&lt;"&amp;J37,'Istoric_Nativ'!$P$6:$P$405,1,'Istoric_Nativ'!$D$6:$D$405,"&gt;="&amp;L37))))</x:f>
        <x:v>0</x:v>
      </x:c>
      <x:c r="N37" s="11" t="str">
        <x:f>IF(M37=0,"",IF(H37="HOME",SUMIFS('Istoric_Nativ'!$G$6:$G$405,'Istoric_Nativ'!$B$6:$B$405,E37,'Istoric_Nativ'!$C$6:$C$405,F37,'Istoric_Nativ'!$E$6:$E$405,G37,'Istoric_Nativ'!$D$6:$D$405,"&lt;"&amp;J37,'Istoric_Nativ'!$P$6:$P$405,1,'Istoric_Nativ'!$D$6:$D$405,"&gt;="&amp;L37),IF(H37="AWAY",SUMIFS('Istoric_Nativ'!$H$6:$H$405,'Istoric_Nativ'!$B$6:$B$405,E37,'Istoric_Nativ'!$C$6:$C$405,F37,'Istoric_Nativ'!$F$6:$F$405,G37,'Istoric_Nativ'!$D$6:$D$405,"&lt;"&amp;J37,'Istoric_Nativ'!$P$6:$P$405,1,'Istoric_Nativ'!$D$6:$D$405,"&gt;="&amp;L37),SUMIFS('Istoric_Nativ'!$G$6:$G$405,'Istoric_Nativ'!$B$6:$B$405,E37,'Istoric_Nativ'!$C$6:$C$405,F37,'Istoric_Nativ'!$E$6:$E$405,G37,'Istoric_Nativ'!$D$6:$D$405,"&lt;"&amp;J37,'Istoric_Nativ'!$P$6:$P$405,1,'Istoric_Nativ'!$D$6:$D$405,"&gt;="&amp;L37)+SUMIFS('Istoric_Nativ'!$H$6:$H$405,'Istoric_Nativ'!$B$6:$B$405,E37,'Istoric_Nativ'!$C$6:$C$405,F37,'Istoric_Nativ'!$F$6:$F$405,G37,'Istoric_Nativ'!$D$6:$D$405,"&lt;"&amp;J37,'Istoric_Nativ'!$P$6:$P$405,1,'Istoric_Nativ'!$D$6:$D$405,"&gt;="&amp;L37)))/M37)</x:f>
      </x:c>
      <x:c r="O37" s="11" t="str">
        <x:f>IF(M37=0,"",IF(H37="HOME",SUMIFS('Istoric_Nativ'!$H$6:$H$405,'Istoric_Nativ'!$B$6:$B$405,E37,'Istoric_Nativ'!$C$6:$C$405,F37,'Istoric_Nativ'!$E$6:$E$405,G37,'Istoric_Nativ'!$D$6:$D$405,"&lt;"&amp;J37,'Istoric_Nativ'!$P$6:$P$405,1,'Istoric_Nativ'!$D$6:$D$405,"&gt;="&amp;L37),IF(H37="AWAY",SUMIFS('Istoric_Nativ'!$G$6:$G$405,'Istoric_Nativ'!$B$6:$B$405,E37,'Istoric_Nativ'!$C$6:$C$405,F37,'Istoric_Nativ'!$F$6:$F$405,G37,'Istoric_Nativ'!$D$6:$D$405,"&lt;"&amp;J37,'Istoric_Nativ'!$P$6:$P$405,1,'Istoric_Nativ'!$D$6:$D$405,"&gt;="&amp;L37),SUMIFS('Istoric_Nativ'!$H$6:$H$405,'Istoric_Nativ'!$B$6:$B$405,E37,'Istoric_Nativ'!$C$6:$C$405,F37,'Istoric_Nativ'!$E$6:$E$405,G37,'Istoric_Nativ'!$D$6:$D$405,"&lt;"&amp;J37,'Istoric_Nativ'!$P$6:$P$405,1,'Istoric_Nativ'!$D$6:$D$405,"&gt;="&amp;L37)+SUMIFS('Istoric_Nativ'!$G$6:$G$405,'Istoric_Nativ'!$B$6:$B$405,E37,'Istoric_Nativ'!$C$6:$C$405,F37,'Istoric_Nativ'!$F$6:$F$405,G37,'Istoric_Nativ'!$D$6:$D$405,"&lt;"&amp;J37,'Istoric_Nativ'!$P$6:$P$405,1,'Istoric_Nativ'!$D$6:$D$405,"&gt;="&amp;L37)))/M37)</x:f>
      </x:c>
      <x:c r="P37" s="2" t="n">
        <x:f>'Config_v6'!$B$8</x:f>
        <x:v>5</x:v>
      </x:c>
      <x:c r="Q37" s="2" t="n">
        <x:f>IF(OR(B37="",F37=""),0,IFERROR(MATCH(E37&amp;"|"&amp;F37,SourceTable[Source_Key],0),0))</x:f>
        <x:v>0</x:v>
      </x:c>
      <x:c r="R37" s="2" t="str">
        <x:f>IF(B37="","",IF(F37="","UNUSED",IF(Q37=0,"NOT CHECKED",IF(COUNTIF(SourceTable[Source_Key],E37&amp;"|"&amp;F37)&lt;&gt;1,"SOURCE CONFLICT",IF(NOT(OR(INDEX(SourceTable[Status],MAX(1,Q37))="IMPORTED",INDEX(SourceTable[Status],MAX(1,Q37))="PARTIAL",INDEX(SourceTable[Status],MAX(1,Q37))="SOURCE CONFLICT")),"ACCESS BLOCKED",IF(OR(INDEX(SourceTable[Coverage],Q37)&lt;&gt;"FULL SEASON EXPORT",INDEX(SourceTable[URL],Q37)="",INDEX(SourceTable[SHA256],Q37)=""),"EVIDENCE INCOMPLETE",IF(AND('Input_Meci'!H8="LIVE",INDEX(SourceTable[Retrieved_UTC],Q37)&gt;'Input_Meci'!G8),"POST CUTOFF","CLOSED")))))))</x:f>
        <x:v>UNUSED</x:v>
      </x:c>
      <x:c r="S37" s="2" t="n">
        <x:f>IF(OR(B37="",F37=""),0,COUNTIFS('Istoric_Nativ'!$B$6:$B$405,E37,'Istoric_Nativ'!$C$6:$C$405,F37,'Istoric_Nativ'!$E$6:$E$405,G37,'Istoric_Nativ'!$D$6:$D$405,"&lt;"&amp;J37,'Istoric_Nativ'!$O$6:$O$405,"INVALID")+COUNTIFS('Istoric_Nativ'!$B$6:$B$405,E37,'Istoric_Nativ'!$C$6:$C$405,F37,'Istoric_Nativ'!$E$6:$E$405,G37,'Istoric_Nativ'!$O$6:$O$405,"INVALID",'Istoric_Nativ'!$D$6:$D$405,"*")+COUNTIFS('Istoric_Nativ'!$B$6:$B$405,E37,'Istoric_Nativ'!$C$6:$C$405,F37,'Istoric_Nativ'!$E$6:$E$405,G37,'Istoric_Nativ'!$D$6:$D$405,"&lt;"&amp;J37,'Istoric_Nativ'!$O$6:$O$405,"SOURCE CONFLICT")+COUNTIFS('Istoric_Nativ'!$B$6:$B$405,E37,'Istoric_Nativ'!$C$6:$C$405,F37,'Istoric_Nativ'!$F$6:$F$405,G37,'Istoric_Nativ'!$D$6:$D$405,"&lt;"&amp;J37,'Istoric_Nativ'!$O$6:$O$405,"INVALID")+COUNTIFS('Istoric_Nativ'!$B$6:$B$405,E37,'Istoric_Nativ'!$C$6:$C$405,F37,'Istoric_Nativ'!$F$6:$F$405,G37,'Istoric_Nativ'!$O$6:$O$405,"INVALID",'Istoric_Nativ'!$D$6:$D$405,"*")+COUNTIFS('Istoric_Nativ'!$B$6:$B$405,E37,'Istoric_Nativ'!$C$6:$C$405,F37,'Istoric_Nativ'!$F$6:$F$405,G37,'Istoric_Nativ'!$D$6:$D$405,"&lt;"&amp;J37,'Istoric_Nativ'!$O$6:$O$405,"SOURCE CONFLICT"))</x:f>
        <x:v>0</x:v>
      </x:c>
      <x:c r="T37" s="2" t="str">
        <x:f>IF(B37="","",IF(R37&lt;&gt;"CLOSED",R37,IF(S37&gt;0,"NATIVE INPUT ISSUE",IF(M37=0,"NO HISTORY",IF(M37&lt;P37,"SMALL SAMPLE","DERIVED")))))</x:f>
        <x:v>UNUSED</x:v>
      </x:c>
      <x:c r="U37" s="2" t="str">
        <x:f>IF(B37="","","NativeTable; "&amp;E37&amp;"; "&amp;F37&amp;"; "&amp;G37&amp;"; "&amp;H37&amp;"; before "&amp;TEXT(J37,"yyyy-mm-dd")&amp;IF(I37="RECENT","; from "&amp;TEXT(L37,"yyyy-mm-dd"),""))</x:f>
        <x:v>NativeTable; E0; ; Crystal Palace; HOME; before 2026-05-23</x:v>
      </x:c>
    </x:row>
    <x:row r="38" ht="21" customHeight="1">
      <x:c r="A38" s="2" t="n">
        <x:v>3</x:v>
      </x:c>
      <x:c r="B38" s="2" t="str">
        <x:f>IF('Input_Meci'!A8="","",'Input_Meci'!A8)</x:f>
        <x:v>REPLAY_3</x:v>
      </x:c>
      <x:c r="C38" s="2" t="str">
        <x:v>H</x:v>
      </x:c>
      <x:c r="D38" s="2" t="str">
        <x:v>PRIOR</x:v>
      </x:c>
      <x:c r="E38" s="2" t="str">
        <x:f>IF(B38="","",'Input_Meci'!B8)</x:f>
        <x:v>E0</x:v>
      </x:c>
      <x:c r="F38" s="2" t="str">
        <x:f>IF(B38="","",IF('Input_Meci'!K8="","",'Input_Meci'!K8))</x:f>
      </x:c>
      <x:c r="G38" s="2" t="str">
        <x:f>IF(B38="","",'Input_Meci'!D8)</x:f>
        <x:v>Crystal Palace</x:v>
      </x:c>
      <x:c r="H38" s="2" t="str">
        <x:v>ANY</x:v>
      </x:c>
      <x:c r="I38" s="2" t="str">
        <x:v>RECENT</x:v>
      </x:c>
      <x:c r="J38" s="9" t="n">
        <x:f>IF(AND(B38&lt;&gt;"",ISNUMBER('Input_Meci'!G8)),INT('Input_Meci'!G8),0)</x:f>
        <x:v>46165</x:v>
      </x:c>
      <x:c r="K38" s="2" t="n">
        <x:f>IF(OR(B38="",F38=""),0,IF(H38="HOME",COUNTIFS('Istoric_Nativ'!$B$6:$B$405,E38,'Istoric_Nativ'!$C$6:$C$405,F38,'Istoric_Nativ'!$E$6:$E$405,G38,'Istoric_Nativ'!$D$6:$D$405,"&lt;"&amp;J38,'Istoric_Nativ'!$P$6:$P$405,1),IF(H38="AWAY",COUNTIFS('Istoric_Nativ'!$B$6:$B$405,E38,'Istoric_Nativ'!$C$6:$C$405,F38,'Istoric_Nativ'!$F$6:$F$405,G38,'Istoric_Nativ'!$D$6:$D$405,"&lt;"&amp;J38,'Istoric_Nativ'!$P$6:$P$405,1),COUNTIFS('Istoric_Nativ'!$B$6:$B$405,E38,'Istoric_Nativ'!$C$6:$C$405,F38,'Istoric_Nativ'!$E$6:$E$405,G38,'Istoric_Nativ'!$D$6:$D$405,"&lt;"&amp;J38,'Istoric_Nativ'!$P$6:$P$405,1)+COUNTIFS('Istoric_Nativ'!$B$6:$B$405,E38,'Istoric_Nativ'!$C$6:$C$405,F38,'Istoric_Nativ'!$F$6:$F$405,G38,'Istoric_Nativ'!$D$6:$D$405,"&lt;"&amp;J38,'Istoric_Nativ'!$P$6:$P$405,1))))</x:f>
        <x:v>0</x:v>
      </x:c>
      <x:c r="L38" s="17" t="n">
        <x:f>IF(AND(B38&lt;&gt;"",I38="RECENT",K38&gt;0),LARGE(_xlfn._xlws.FILTER('Istoric_Nativ'!$D$6:$D$405,('Istoric_Nativ'!$B$6:$B$405=E38)*('Istoric_Nativ'!$C$6:$C$405=F38)*('Istoric_Nativ'!$P$6:$P$405=1)*('Istoric_Nativ'!$D$6:$D$405&lt;J38)*((('Istoric_Nativ'!$E$6:$E$405=G38)+('Istoric_Nativ'!$F$6:$F$405=G38))&gt;0)),MIN('Config_v6'!$B$54,K38)),0)</x:f>
        <x:v>0</x:v>
      </x:c>
      <x:c r="M38" s="2" t="n">
        <x:f>IF(OR(B38="",F38=""),0,IF(H38="HOME",COUNTIFS('Istoric_Nativ'!$B$6:$B$405,E38,'Istoric_Nativ'!$C$6:$C$405,F38,'Istoric_Nativ'!$E$6:$E$405,G38,'Istoric_Nativ'!$D$6:$D$405,"&lt;"&amp;J38,'Istoric_Nativ'!$P$6:$P$405,1,'Istoric_Nativ'!$D$6:$D$405,"&gt;="&amp;L38),IF(H38="AWAY",COUNTIFS('Istoric_Nativ'!$B$6:$B$405,E38,'Istoric_Nativ'!$C$6:$C$405,F38,'Istoric_Nativ'!$F$6:$F$405,G38,'Istoric_Nativ'!$D$6:$D$405,"&lt;"&amp;J38,'Istoric_Nativ'!$P$6:$P$405,1,'Istoric_Nativ'!$D$6:$D$405,"&gt;="&amp;L38),COUNTIFS('Istoric_Nativ'!$B$6:$B$405,E38,'Istoric_Nativ'!$C$6:$C$405,F38,'Istoric_Nativ'!$E$6:$E$405,G38,'Istoric_Nativ'!$D$6:$D$405,"&lt;"&amp;J38,'Istoric_Nativ'!$P$6:$P$405,1,'Istoric_Nativ'!$D$6:$D$405,"&gt;="&amp;L38)+COUNTIFS('Istoric_Nativ'!$B$6:$B$405,E38,'Istoric_Nativ'!$C$6:$C$405,F38,'Istoric_Nativ'!$F$6:$F$405,G38,'Istoric_Nativ'!$D$6:$D$405,"&lt;"&amp;J38,'Istoric_Nativ'!$P$6:$P$405,1,'Istoric_Nativ'!$D$6:$D$405,"&gt;="&amp;L38))))</x:f>
        <x:v>0</x:v>
      </x:c>
      <x:c r="N38" s="11" t="str">
        <x:f>IF(M38=0,"",IF(H38="HOME",SUMIFS('Istoric_Nativ'!$G$6:$G$405,'Istoric_Nativ'!$B$6:$B$405,E38,'Istoric_Nativ'!$C$6:$C$405,F38,'Istoric_Nativ'!$E$6:$E$405,G38,'Istoric_Nativ'!$D$6:$D$405,"&lt;"&amp;J38,'Istoric_Nativ'!$P$6:$P$405,1,'Istoric_Nativ'!$D$6:$D$405,"&gt;="&amp;L38),IF(H38="AWAY",SUMIFS('Istoric_Nativ'!$H$6:$H$405,'Istoric_Nativ'!$B$6:$B$405,E38,'Istoric_Nativ'!$C$6:$C$405,F38,'Istoric_Nativ'!$F$6:$F$405,G38,'Istoric_Nativ'!$D$6:$D$405,"&lt;"&amp;J38,'Istoric_Nativ'!$P$6:$P$405,1,'Istoric_Nativ'!$D$6:$D$405,"&gt;="&amp;L38),SUMIFS('Istoric_Nativ'!$G$6:$G$405,'Istoric_Nativ'!$B$6:$B$405,E38,'Istoric_Nativ'!$C$6:$C$405,F38,'Istoric_Nativ'!$E$6:$E$405,G38,'Istoric_Nativ'!$D$6:$D$405,"&lt;"&amp;J38,'Istoric_Nativ'!$P$6:$P$405,1,'Istoric_Nativ'!$D$6:$D$405,"&gt;="&amp;L38)+SUMIFS('Istoric_Nativ'!$H$6:$H$405,'Istoric_Nativ'!$B$6:$B$405,E38,'Istoric_Nativ'!$C$6:$C$405,F38,'Istoric_Nativ'!$F$6:$F$405,G38,'Istoric_Nativ'!$D$6:$D$405,"&lt;"&amp;J38,'Istoric_Nativ'!$P$6:$P$405,1,'Istoric_Nativ'!$D$6:$D$405,"&gt;="&amp;L38)))/M38)</x:f>
      </x:c>
      <x:c r="O38" s="11" t="str">
        <x:f>IF(M38=0,"",IF(H38="HOME",SUMIFS('Istoric_Nativ'!$H$6:$H$405,'Istoric_Nativ'!$B$6:$B$405,E38,'Istoric_Nativ'!$C$6:$C$405,F38,'Istoric_Nativ'!$E$6:$E$405,G38,'Istoric_Nativ'!$D$6:$D$405,"&lt;"&amp;J38,'Istoric_Nativ'!$P$6:$P$405,1,'Istoric_Nativ'!$D$6:$D$405,"&gt;="&amp;L38),IF(H38="AWAY",SUMIFS('Istoric_Nativ'!$G$6:$G$405,'Istoric_Nativ'!$B$6:$B$405,E38,'Istoric_Nativ'!$C$6:$C$405,F38,'Istoric_Nativ'!$F$6:$F$405,G38,'Istoric_Nativ'!$D$6:$D$405,"&lt;"&amp;J38,'Istoric_Nativ'!$P$6:$P$405,1,'Istoric_Nativ'!$D$6:$D$405,"&gt;="&amp;L38),SUMIFS('Istoric_Nativ'!$H$6:$H$405,'Istoric_Nativ'!$B$6:$B$405,E38,'Istoric_Nativ'!$C$6:$C$405,F38,'Istoric_Nativ'!$E$6:$E$405,G38,'Istoric_Nativ'!$D$6:$D$405,"&lt;"&amp;J38,'Istoric_Nativ'!$P$6:$P$405,1,'Istoric_Nativ'!$D$6:$D$405,"&gt;="&amp;L38)+SUMIFS('Istoric_Nativ'!$G$6:$G$405,'Istoric_Nativ'!$B$6:$B$405,E38,'Istoric_Nativ'!$C$6:$C$405,F38,'Istoric_Nativ'!$F$6:$F$405,G38,'Istoric_Nativ'!$D$6:$D$405,"&lt;"&amp;J38,'Istoric_Nativ'!$P$6:$P$405,1,'Istoric_Nativ'!$D$6:$D$405,"&gt;="&amp;L38)))/M38)</x:f>
      </x:c>
      <x:c r="P38" s="2" t="n">
        <x:f>'Config_v6'!$B$9</x:f>
        <x:v>3</x:v>
      </x:c>
      <x:c r="Q38" s="2" t="n">
        <x:f>IF(OR(B38="",F38=""),0,IFERROR(MATCH(E38&amp;"|"&amp;F38,SourceTable[Source_Key],0),0))</x:f>
        <x:v>0</x:v>
      </x:c>
      <x:c r="R38" s="2" t="str">
        <x:f>IF(B38="","",IF(F38="","UNUSED",IF(Q38=0,"NOT CHECKED",IF(COUNTIF(SourceTable[Source_Key],E38&amp;"|"&amp;F38)&lt;&gt;1,"SOURCE CONFLICT",IF(NOT(OR(INDEX(SourceTable[Status],MAX(1,Q38))="IMPORTED",INDEX(SourceTable[Status],MAX(1,Q38))="PARTIAL",INDEX(SourceTable[Status],MAX(1,Q38))="SOURCE CONFLICT")),"ACCESS BLOCKED",IF(OR(INDEX(SourceTable[Coverage],Q38)&lt;&gt;"FULL SEASON EXPORT",INDEX(SourceTable[URL],Q38)="",INDEX(SourceTable[SHA256],Q38)=""),"EVIDENCE INCOMPLETE",IF(AND('Input_Meci'!H8="LIVE",INDEX(SourceTable[Retrieved_UTC],Q38)&gt;'Input_Meci'!G8),"POST CUTOFF","CLOSED")))))))</x:f>
        <x:v>UNUSED</x:v>
      </x:c>
      <x:c r="S38" s="2" t="n">
        <x:f>IF(OR(B38="",F38=""),0,COUNTIFS('Istoric_Nativ'!$B$6:$B$405,E38,'Istoric_Nativ'!$C$6:$C$405,F38,'Istoric_Nativ'!$E$6:$E$405,G38,'Istoric_Nativ'!$D$6:$D$405,"&lt;"&amp;J38,'Istoric_Nativ'!$O$6:$O$405,"INVALID")+COUNTIFS('Istoric_Nativ'!$B$6:$B$405,E38,'Istoric_Nativ'!$C$6:$C$405,F38,'Istoric_Nativ'!$E$6:$E$405,G38,'Istoric_Nativ'!$O$6:$O$405,"INVALID",'Istoric_Nativ'!$D$6:$D$405,"*")+COUNTIFS('Istoric_Nativ'!$B$6:$B$405,E38,'Istoric_Nativ'!$C$6:$C$405,F38,'Istoric_Nativ'!$E$6:$E$405,G38,'Istoric_Nativ'!$D$6:$D$405,"&lt;"&amp;J38,'Istoric_Nativ'!$O$6:$O$405,"SOURCE CONFLICT")+COUNTIFS('Istoric_Nativ'!$B$6:$B$405,E38,'Istoric_Nativ'!$C$6:$C$405,F38,'Istoric_Nativ'!$F$6:$F$405,G38,'Istoric_Nativ'!$D$6:$D$405,"&lt;"&amp;J38,'Istoric_Nativ'!$O$6:$O$405,"INVALID")+COUNTIFS('Istoric_Nativ'!$B$6:$B$405,E38,'Istoric_Nativ'!$C$6:$C$405,F38,'Istoric_Nativ'!$F$6:$F$405,G38,'Istoric_Nativ'!$O$6:$O$405,"INVALID",'Istoric_Nativ'!$D$6:$D$405,"*")+COUNTIFS('Istoric_Nativ'!$B$6:$B$405,E38,'Istoric_Nativ'!$C$6:$C$405,F38,'Istoric_Nativ'!$F$6:$F$405,G38,'Istoric_Nativ'!$D$6:$D$405,"&lt;"&amp;J38,'Istoric_Nativ'!$O$6:$O$405,"SOURCE CONFLICT"))</x:f>
        <x:v>0</x:v>
      </x:c>
      <x:c r="T38" s="2" t="str">
        <x:f>IF(B38="","",IF(R38&lt;&gt;"CLOSED",R38,IF(S38&gt;0,"NATIVE INPUT ISSUE",IF(M38=0,"NO HISTORY",IF(M38&lt;P38,"SMALL SAMPLE","DERIVED")))))</x:f>
        <x:v>UNUSED</x:v>
      </x:c>
      <x:c r="U38" s="2" t="str">
        <x:f>IF(B38="","","NativeTable; "&amp;E38&amp;"; "&amp;F38&amp;"; "&amp;G38&amp;"; "&amp;H38&amp;"; before "&amp;TEXT(J38,"yyyy-mm-dd")&amp;IF(I38="RECENT","; from "&amp;TEXT(L38,"yyyy-mm-dd"),""))</x:f>
        <x:v>NativeTable; E0; ; Crystal Palace; ANY; before 2026-05-23; from 1900-01-00</x:v>
      </x:c>
    </x:row>
    <x:row r="39" ht="21" customHeight="1">
      <x:c r="A39" s="2" t="n">
        <x:v>3</x:v>
      </x:c>
      <x:c r="B39" s="2" t="str">
        <x:f>IF('Input_Meci'!A8="","",'Input_Meci'!A8)</x:f>
        <x:v>REPLAY_3</x:v>
      </x:c>
      <x:c r="C39" s="2" t="str">
        <x:v>A</x:v>
      </x:c>
      <x:c r="D39" s="2" t="str">
        <x:v>PRIOR</x:v>
      </x:c>
      <x:c r="E39" s="2" t="str">
        <x:f>IF(B39="","",'Input_Meci'!B8)</x:f>
        <x:v>E0</x:v>
      </x:c>
      <x:c r="F39" s="2" t="str">
        <x:f>IF(B39="","",IF('Input_Meci'!K8="","",'Input_Meci'!K8))</x:f>
      </x:c>
      <x:c r="G39" s="2" t="str">
        <x:f>IF(B39="","",'Input_Meci'!E8)</x:f>
        <x:v>Arsenal</x:v>
      </x:c>
      <x:c r="H39" s="2" t="str">
        <x:v>ANY</x:v>
      </x:c>
      <x:c r="I39" s="2" t="str">
        <x:v>SEASON</x:v>
      </x:c>
      <x:c r="J39" s="9" t="n">
        <x:f>IF(AND(B39&lt;&gt;"",ISNUMBER('Input_Meci'!G8)),INT('Input_Meci'!G8),0)</x:f>
        <x:v>46165</x:v>
      </x:c>
      <x:c r="K39" s="2" t="n">
        <x:f>IF(OR(B39="",F39=""),0,IF(H39="HOME",COUNTIFS('Istoric_Nativ'!$B$6:$B$405,E39,'Istoric_Nativ'!$C$6:$C$405,F39,'Istoric_Nativ'!$E$6:$E$405,G39,'Istoric_Nativ'!$D$6:$D$405,"&lt;"&amp;J39,'Istoric_Nativ'!$P$6:$P$405,1),IF(H39="AWAY",COUNTIFS('Istoric_Nativ'!$B$6:$B$405,E39,'Istoric_Nativ'!$C$6:$C$405,F39,'Istoric_Nativ'!$F$6:$F$405,G39,'Istoric_Nativ'!$D$6:$D$405,"&lt;"&amp;J39,'Istoric_Nativ'!$P$6:$P$405,1),COUNTIFS('Istoric_Nativ'!$B$6:$B$405,E39,'Istoric_Nativ'!$C$6:$C$405,F39,'Istoric_Nativ'!$E$6:$E$405,G39,'Istoric_Nativ'!$D$6:$D$405,"&lt;"&amp;J39,'Istoric_Nativ'!$P$6:$P$405,1)+COUNTIFS('Istoric_Nativ'!$B$6:$B$405,E39,'Istoric_Nativ'!$C$6:$C$405,F39,'Istoric_Nativ'!$F$6:$F$405,G39,'Istoric_Nativ'!$D$6:$D$405,"&lt;"&amp;J39,'Istoric_Nativ'!$P$6:$P$405,1))))</x:f>
        <x:v>0</x:v>
      </x:c>
      <x:c r="L39" s="17" t="n">
        <x:f>IF(AND(B39&lt;&gt;"",I39="RECENT",K39&gt;0),LARGE(_xlfn._xlws.FILTER('Istoric_Nativ'!$D$6:$D$405,('Istoric_Nativ'!$B$6:$B$405=E39)*('Istoric_Nativ'!$C$6:$C$405=F39)*('Istoric_Nativ'!$P$6:$P$405=1)*('Istoric_Nativ'!$D$6:$D$405&lt;J39)*((('Istoric_Nativ'!$E$6:$E$405=G39)+('Istoric_Nativ'!$F$6:$F$405=G39))&gt;0)),MIN('Config_v6'!$B$54,K39)),0)</x:f>
        <x:v>0</x:v>
      </x:c>
      <x:c r="M39" s="2" t="n">
        <x:f>IF(OR(B39="",F39=""),0,IF(H39="HOME",COUNTIFS('Istoric_Nativ'!$B$6:$B$405,E39,'Istoric_Nativ'!$C$6:$C$405,F39,'Istoric_Nativ'!$E$6:$E$405,G39,'Istoric_Nativ'!$D$6:$D$405,"&lt;"&amp;J39,'Istoric_Nativ'!$P$6:$P$405,1,'Istoric_Nativ'!$D$6:$D$405,"&gt;="&amp;L39),IF(H39="AWAY",COUNTIFS('Istoric_Nativ'!$B$6:$B$405,E39,'Istoric_Nativ'!$C$6:$C$405,F39,'Istoric_Nativ'!$F$6:$F$405,G39,'Istoric_Nativ'!$D$6:$D$405,"&lt;"&amp;J39,'Istoric_Nativ'!$P$6:$P$405,1,'Istoric_Nativ'!$D$6:$D$405,"&gt;="&amp;L39),COUNTIFS('Istoric_Nativ'!$B$6:$B$405,E39,'Istoric_Nativ'!$C$6:$C$405,F39,'Istoric_Nativ'!$E$6:$E$405,G39,'Istoric_Nativ'!$D$6:$D$405,"&lt;"&amp;J39,'Istoric_Nativ'!$P$6:$P$405,1,'Istoric_Nativ'!$D$6:$D$405,"&gt;="&amp;L39)+COUNTIFS('Istoric_Nativ'!$B$6:$B$405,E39,'Istoric_Nativ'!$C$6:$C$405,F39,'Istoric_Nativ'!$F$6:$F$405,G39,'Istoric_Nativ'!$D$6:$D$405,"&lt;"&amp;J39,'Istoric_Nativ'!$P$6:$P$405,1,'Istoric_Nativ'!$D$6:$D$405,"&gt;="&amp;L39))))</x:f>
        <x:v>0</x:v>
      </x:c>
      <x:c r="N39" s="11" t="str">
        <x:f>IF(M39=0,"",IF(H39="HOME",SUMIFS('Istoric_Nativ'!$G$6:$G$405,'Istoric_Nativ'!$B$6:$B$405,E39,'Istoric_Nativ'!$C$6:$C$405,F39,'Istoric_Nativ'!$E$6:$E$405,G39,'Istoric_Nativ'!$D$6:$D$405,"&lt;"&amp;J39,'Istoric_Nativ'!$P$6:$P$405,1,'Istoric_Nativ'!$D$6:$D$405,"&gt;="&amp;L39),IF(H39="AWAY",SUMIFS('Istoric_Nativ'!$H$6:$H$405,'Istoric_Nativ'!$B$6:$B$405,E39,'Istoric_Nativ'!$C$6:$C$405,F39,'Istoric_Nativ'!$F$6:$F$405,G39,'Istoric_Nativ'!$D$6:$D$405,"&lt;"&amp;J39,'Istoric_Nativ'!$P$6:$P$405,1,'Istoric_Nativ'!$D$6:$D$405,"&gt;="&amp;L39),SUMIFS('Istoric_Nativ'!$G$6:$G$405,'Istoric_Nativ'!$B$6:$B$405,E39,'Istoric_Nativ'!$C$6:$C$405,F39,'Istoric_Nativ'!$E$6:$E$405,G39,'Istoric_Nativ'!$D$6:$D$405,"&lt;"&amp;J39,'Istoric_Nativ'!$P$6:$P$405,1,'Istoric_Nativ'!$D$6:$D$405,"&gt;="&amp;L39)+SUMIFS('Istoric_Nativ'!$H$6:$H$405,'Istoric_Nativ'!$B$6:$B$405,E39,'Istoric_Nativ'!$C$6:$C$405,F39,'Istoric_Nativ'!$F$6:$F$405,G39,'Istoric_Nativ'!$D$6:$D$405,"&lt;"&amp;J39,'Istoric_Nativ'!$P$6:$P$405,1,'Istoric_Nativ'!$D$6:$D$405,"&gt;="&amp;L39)))/M39)</x:f>
      </x:c>
      <x:c r="O39" s="11" t="str">
        <x:f>IF(M39=0,"",IF(H39="HOME",SUMIFS('Istoric_Nativ'!$H$6:$H$405,'Istoric_Nativ'!$B$6:$B$405,E39,'Istoric_Nativ'!$C$6:$C$405,F39,'Istoric_Nativ'!$E$6:$E$405,G39,'Istoric_Nativ'!$D$6:$D$405,"&lt;"&amp;J39,'Istoric_Nativ'!$P$6:$P$405,1,'Istoric_Nativ'!$D$6:$D$405,"&gt;="&amp;L39),IF(H39="AWAY",SUMIFS('Istoric_Nativ'!$G$6:$G$405,'Istoric_Nativ'!$B$6:$B$405,E39,'Istoric_Nativ'!$C$6:$C$405,F39,'Istoric_Nativ'!$F$6:$F$405,G39,'Istoric_Nativ'!$D$6:$D$405,"&lt;"&amp;J39,'Istoric_Nativ'!$P$6:$P$405,1,'Istoric_Nativ'!$D$6:$D$405,"&gt;="&amp;L39),SUMIFS('Istoric_Nativ'!$H$6:$H$405,'Istoric_Nativ'!$B$6:$B$405,E39,'Istoric_Nativ'!$C$6:$C$405,F39,'Istoric_Nativ'!$E$6:$E$405,G39,'Istoric_Nativ'!$D$6:$D$405,"&lt;"&amp;J39,'Istoric_Nativ'!$P$6:$P$405,1,'Istoric_Nativ'!$D$6:$D$405,"&gt;="&amp;L39)+SUMIFS('Istoric_Nativ'!$G$6:$G$405,'Istoric_Nativ'!$B$6:$B$405,E39,'Istoric_Nativ'!$C$6:$C$405,F39,'Istoric_Nativ'!$F$6:$F$405,G39,'Istoric_Nativ'!$D$6:$D$405,"&lt;"&amp;J39,'Istoric_Nativ'!$P$6:$P$405,1,'Istoric_Nativ'!$D$6:$D$405,"&gt;="&amp;L39)))/M39)</x:f>
      </x:c>
      <x:c r="P39" s="2" t="n">
        <x:f>'Config_v6'!$B$7</x:f>
        <x:v>10</x:v>
      </x:c>
      <x:c r="Q39" s="2" t="n">
        <x:f>IF(OR(B39="",F39=""),0,IFERROR(MATCH(E39&amp;"|"&amp;F39,SourceTable[Source_Key],0),0))</x:f>
        <x:v>0</x:v>
      </x:c>
      <x:c r="R39" s="2" t="str">
        <x:f>IF(B39="","",IF(F39="","UNUSED",IF(Q39=0,"NOT CHECKED",IF(COUNTIF(SourceTable[Source_Key],E39&amp;"|"&amp;F39)&lt;&gt;1,"SOURCE CONFLICT",IF(NOT(OR(INDEX(SourceTable[Status],MAX(1,Q39))="IMPORTED",INDEX(SourceTable[Status],MAX(1,Q39))="PARTIAL",INDEX(SourceTable[Status],MAX(1,Q39))="SOURCE CONFLICT")),"ACCESS BLOCKED",IF(OR(INDEX(SourceTable[Coverage],Q39)&lt;&gt;"FULL SEASON EXPORT",INDEX(SourceTable[URL],Q39)="",INDEX(SourceTable[SHA256],Q39)=""),"EVIDENCE INCOMPLETE",IF(AND('Input_Meci'!H8="LIVE",INDEX(SourceTable[Retrieved_UTC],Q39)&gt;'Input_Meci'!G8),"POST CUTOFF","CLOSED")))))))</x:f>
        <x:v>UNUSED</x:v>
      </x:c>
      <x:c r="S39" s="2" t="n">
        <x:f>IF(OR(B39="",F39=""),0,COUNTIFS('Istoric_Nativ'!$B$6:$B$405,E39,'Istoric_Nativ'!$C$6:$C$405,F39,'Istoric_Nativ'!$E$6:$E$405,G39,'Istoric_Nativ'!$D$6:$D$405,"&lt;"&amp;J39,'Istoric_Nativ'!$O$6:$O$405,"INVALID")+COUNTIFS('Istoric_Nativ'!$B$6:$B$405,E39,'Istoric_Nativ'!$C$6:$C$405,F39,'Istoric_Nativ'!$E$6:$E$405,G39,'Istoric_Nativ'!$O$6:$O$405,"INVALID",'Istoric_Nativ'!$D$6:$D$405,"*")+COUNTIFS('Istoric_Nativ'!$B$6:$B$405,E39,'Istoric_Nativ'!$C$6:$C$405,F39,'Istoric_Nativ'!$E$6:$E$405,G39,'Istoric_Nativ'!$D$6:$D$405,"&lt;"&amp;J39,'Istoric_Nativ'!$O$6:$O$405,"SOURCE CONFLICT")+COUNTIFS('Istoric_Nativ'!$B$6:$B$405,E39,'Istoric_Nativ'!$C$6:$C$405,F39,'Istoric_Nativ'!$F$6:$F$405,G39,'Istoric_Nativ'!$D$6:$D$405,"&lt;"&amp;J39,'Istoric_Nativ'!$O$6:$O$405,"INVALID")+COUNTIFS('Istoric_Nativ'!$B$6:$B$405,E39,'Istoric_Nativ'!$C$6:$C$405,F39,'Istoric_Nativ'!$F$6:$F$405,G39,'Istoric_Nativ'!$O$6:$O$405,"INVALID",'Istoric_Nativ'!$D$6:$D$405,"*")+COUNTIFS('Istoric_Nativ'!$B$6:$B$405,E39,'Istoric_Nativ'!$C$6:$C$405,F39,'Istoric_Nativ'!$F$6:$F$405,G39,'Istoric_Nativ'!$D$6:$D$405,"&lt;"&amp;J39,'Istoric_Nativ'!$O$6:$O$405,"SOURCE CONFLICT"))</x:f>
        <x:v>0</x:v>
      </x:c>
      <x:c r="T39" s="2" t="str">
        <x:f>IF(B39="","",IF(R39&lt;&gt;"CLOSED",R39,IF(S39&gt;0,"NATIVE INPUT ISSUE",IF(M39=0,"NO HISTORY",IF(M39&lt;P39,"SMALL SAMPLE","DERIVED")))))</x:f>
        <x:v>UNUSED</x:v>
      </x:c>
      <x:c r="U39" s="2" t="str">
        <x:f>IF(B39="","","NativeTable; "&amp;E39&amp;"; "&amp;F39&amp;"; "&amp;G39&amp;"; "&amp;H39&amp;"; before "&amp;TEXT(J39,"yyyy-mm-dd")&amp;IF(I39="RECENT","; from "&amp;TEXT(L39,"yyyy-mm-dd"),""))</x:f>
        <x:v>NativeTable; E0; ; Arsenal; ANY; before 2026-05-23</x:v>
      </x:c>
    </x:row>
    <x:row r="40" ht="21" customHeight="1">
      <x:c r="A40" s="2" t="n">
        <x:v>3</x:v>
      </x:c>
      <x:c r="B40" s="2" t="str">
        <x:f>IF('Input_Meci'!A8="","",'Input_Meci'!A8)</x:f>
        <x:v>REPLAY_3</x:v>
      </x:c>
      <x:c r="C40" s="2" t="str">
        <x:v>A</x:v>
      </x:c>
      <x:c r="D40" s="2" t="str">
        <x:v>PRIOR</x:v>
      </x:c>
      <x:c r="E40" s="2" t="str">
        <x:f>IF(B40="","",'Input_Meci'!B8)</x:f>
        <x:v>E0</x:v>
      </x:c>
      <x:c r="F40" s="2" t="str">
        <x:f>IF(B40="","",IF('Input_Meci'!K8="","",'Input_Meci'!K8))</x:f>
      </x:c>
      <x:c r="G40" s="2" t="str">
        <x:f>IF(B40="","",'Input_Meci'!E8)</x:f>
        <x:v>Arsenal</x:v>
      </x:c>
      <x:c r="H40" s="2" t="str">
        <x:v>AWAY</x:v>
      </x:c>
      <x:c r="I40" s="2" t="str">
        <x:v>HA</x:v>
      </x:c>
      <x:c r="J40" s="9" t="n">
        <x:f>IF(AND(B40&lt;&gt;"",ISNUMBER('Input_Meci'!G8)),INT('Input_Meci'!G8),0)</x:f>
        <x:v>46165</x:v>
      </x:c>
      <x:c r="K40" s="2" t="n">
        <x:f>IF(OR(B40="",F40=""),0,IF(H40="HOME",COUNTIFS('Istoric_Nativ'!$B$6:$B$405,E40,'Istoric_Nativ'!$C$6:$C$405,F40,'Istoric_Nativ'!$E$6:$E$405,G40,'Istoric_Nativ'!$D$6:$D$405,"&lt;"&amp;J40,'Istoric_Nativ'!$P$6:$P$405,1),IF(H40="AWAY",COUNTIFS('Istoric_Nativ'!$B$6:$B$405,E40,'Istoric_Nativ'!$C$6:$C$405,F40,'Istoric_Nativ'!$F$6:$F$405,G40,'Istoric_Nativ'!$D$6:$D$405,"&lt;"&amp;J40,'Istoric_Nativ'!$P$6:$P$405,1),COUNTIFS('Istoric_Nativ'!$B$6:$B$405,E40,'Istoric_Nativ'!$C$6:$C$405,F40,'Istoric_Nativ'!$E$6:$E$405,G40,'Istoric_Nativ'!$D$6:$D$405,"&lt;"&amp;J40,'Istoric_Nativ'!$P$6:$P$405,1)+COUNTIFS('Istoric_Nativ'!$B$6:$B$405,E40,'Istoric_Nativ'!$C$6:$C$405,F40,'Istoric_Nativ'!$F$6:$F$405,G40,'Istoric_Nativ'!$D$6:$D$405,"&lt;"&amp;J40,'Istoric_Nativ'!$P$6:$P$405,1))))</x:f>
        <x:v>0</x:v>
      </x:c>
      <x:c r="L40" s="17" t="n">
        <x:f>IF(AND(B40&lt;&gt;"",I40="RECENT",K40&gt;0),LARGE(_xlfn._xlws.FILTER('Istoric_Nativ'!$D$6:$D$405,('Istoric_Nativ'!$B$6:$B$405=E40)*('Istoric_Nativ'!$C$6:$C$405=F40)*('Istoric_Nativ'!$P$6:$P$405=1)*('Istoric_Nativ'!$D$6:$D$405&lt;J40)*((('Istoric_Nativ'!$E$6:$E$405=G40)+('Istoric_Nativ'!$F$6:$F$405=G40))&gt;0)),MIN('Config_v6'!$B$54,K40)),0)</x:f>
        <x:v>0</x:v>
      </x:c>
      <x:c r="M40" s="2" t="n">
        <x:f>IF(OR(B40="",F40=""),0,IF(H40="HOME",COUNTIFS('Istoric_Nativ'!$B$6:$B$405,E40,'Istoric_Nativ'!$C$6:$C$405,F40,'Istoric_Nativ'!$E$6:$E$405,G40,'Istoric_Nativ'!$D$6:$D$405,"&lt;"&amp;J40,'Istoric_Nativ'!$P$6:$P$405,1,'Istoric_Nativ'!$D$6:$D$405,"&gt;="&amp;L40),IF(H40="AWAY",COUNTIFS('Istoric_Nativ'!$B$6:$B$405,E40,'Istoric_Nativ'!$C$6:$C$405,F40,'Istoric_Nativ'!$F$6:$F$405,G40,'Istoric_Nativ'!$D$6:$D$405,"&lt;"&amp;J40,'Istoric_Nativ'!$P$6:$P$405,1,'Istoric_Nativ'!$D$6:$D$405,"&gt;="&amp;L40),COUNTIFS('Istoric_Nativ'!$B$6:$B$405,E40,'Istoric_Nativ'!$C$6:$C$405,F40,'Istoric_Nativ'!$E$6:$E$405,G40,'Istoric_Nativ'!$D$6:$D$405,"&lt;"&amp;J40,'Istoric_Nativ'!$P$6:$P$405,1,'Istoric_Nativ'!$D$6:$D$405,"&gt;="&amp;L40)+COUNTIFS('Istoric_Nativ'!$B$6:$B$405,E40,'Istoric_Nativ'!$C$6:$C$405,F40,'Istoric_Nativ'!$F$6:$F$405,G40,'Istoric_Nativ'!$D$6:$D$405,"&lt;"&amp;J40,'Istoric_Nativ'!$P$6:$P$405,1,'Istoric_Nativ'!$D$6:$D$405,"&gt;="&amp;L40))))</x:f>
        <x:v>0</x:v>
      </x:c>
      <x:c r="N40" s="11" t="str">
        <x:f>IF(M40=0,"",IF(H40="HOME",SUMIFS('Istoric_Nativ'!$G$6:$G$405,'Istoric_Nativ'!$B$6:$B$405,E40,'Istoric_Nativ'!$C$6:$C$405,F40,'Istoric_Nativ'!$E$6:$E$405,G40,'Istoric_Nativ'!$D$6:$D$405,"&lt;"&amp;J40,'Istoric_Nativ'!$P$6:$P$405,1,'Istoric_Nativ'!$D$6:$D$405,"&gt;="&amp;L40),IF(H40="AWAY",SUMIFS('Istoric_Nativ'!$H$6:$H$405,'Istoric_Nativ'!$B$6:$B$405,E40,'Istoric_Nativ'!$C$6:$C$405,F40,'Istoric_Nativ'!$F$6:$F$405,G40,'Istoric_Nativ'!$D$6:$D$405,"&lt;"&amp;J40,'Istoric_Nativ'!$P$6:$P$405,1,'Istoric_Nativ'!$D$6:$D$405,"&gt;="&amp;L40),SUMIFS('Istoric_Nativ'!$G$6:$G$405,'Istoric_Nativ'!$B$6:$B$405,E40,'Istoric_Nativ'!$C$6:$C$405,F40,'Istoric_Nativ'!$E$6:$E$405,G40,'Istoric_Nativ'!$D$6:$D$405,"&lt;"&amp;J40,'Istoric_Nativ'!$P$6:$P$405,1,'Istoric_Nativ'!$D$6:$D$405,"&gt;="&amp;L40)+SUMIFS('Istoric_Nativ'!$H$6:$H$405,'Istoric_Nativ'!$B$6:$B$405,E40,'Istoric_Nativ'!$C$6:$C$405,F40,'Istoric_Nativ'!$F$6:$F$405,G40,'Istoric_Nativ'!$D$6:$D$405,"&lt;"&amp;J40,'Istoric_Nativ'!$P$6:$P$405,1,'Istoric_Nativ'!$D$6:$D$405,"&gt;="&amp;L40)))/M40)</x:f>
      </x:c>
      <x:c r="O40" s="11" t="str">
        <x:f>IF(M40=0,"",IF(H40="HOME",SUMIFS('Istoric_Nativ'!$H$6:$H$405,'Istoric_Nativ'!$B$6:$B$405,E40,'Istoric_Nativ'!$C$6:$C$405,F40,'Istoric_Nativ'!$E$6:$E$405,G40,'Istoric_Nativ'!$D$6:$D$405,"&lt;"&amp;J40,'Istoric_Nativ'!$P$6:$P$405,1,'Istoric_Nativ'!$D$6:$D$405,"&gt;="&amp;L40),IF(H40="AWAY",SUMIFS('Istoric_Nativ'!$G$6:$G$405,'Istoric_Nativ'!$B$6:$B$405,E40,'Istoric_Nativ'!$C$6:$C$405,F40,'Istoric_Nativ'!$F$6:$F$405,G40,'Istoric_Nativ'!$D$6:$D$405,"&lt;"&amp;J40,'Istoric_Nativ'!$P$6:$P$405,1,'Istoric_Nativ'!$D$6:$D$405,"&gt;="&amp;L40),SUMIFS('Istoric_Nativ'!$H$6:$H$405,'Istoric_Nativ'!$B$6:$B$405,E40,'Istoric_Nativ'!$C$6:$C$405,F40,'Istoric_Nativ'!$E$6:$E$405,G40,'Istoric_Nativ'!$D$6:$D$405,"&lt;"&amp;J40,'Istoric_Nativ'!$P$6:$P$405,1,'Istoric_Nativ'!$D$6:$D$405,"&gt;="&amp;L40)+SUMIFS('Istoric_Nativ'!$G$6:$G$405,'Istoric_Nativ'!$B$6:$B$405,E40,'Istoric_Nativ'!$C$6:$C$405,F40,'Istoric_Nativ'!$F$6:$F$405,G40,'Istoric_Nativ'!$D$6:$D$405,"&lt;"&amp;J40,'Istoric_Nativ'!$P$6:$P$405,1,'Istoric_Nativ'!$D$6:$D$405,"&gt;="&amp;L40)))/M40)</x:f>
      </x:c>
      <x:c r="P40" s="2" t="n">
        <x:f>'Config_v6'!$B$8</x:f>
        <x:v>5</x:v>
      </x:c>
      <x:c r="Q40" s="2" t="n">
        <x:f>IF(OR(B40="",F40=""),0,IFERROR(MATCH(E40&amp;"|"&amp;F40,SourceTable[Source_Key],0),0))</x:f>
        <x:v>0</x:v>
      </x:c>
      <x:c r="R40" s="2" t="str">
        <x:f>IF(B40="","",IF(F40="","UNUSED",IF(Q40=0,"NOT CHECKED",IF(COUNTIF(SourceTable[Source_Key],E40&amp;"|"&amp;F40)&lt;&gt;1,"SOURCE CONFLICT",IF(NOT(OR(INDEX(SourceTable[Status],MAX(1,Q40))="IMPORTED",INDEX(SourceTable[Status],MAX(1,Q40))="PARTIAL",INDEX(SourceTable[Status],MAX(1,Q40))="SOURCE CONFLICT")),"ACCESS BLOCKED",IF(OR(INDEX(SourceTable[Coverage],Q40)&lt;&gt;"FULL SEASON EXPORT",INDEX(SourceTable[URL],Q40)="",INDEX(SourceTable[SHA256],Q40)=""),"EVIDENCE INCOMPLETE",IF(AND('Input_Meci'!H8="LIVE",INDEX(SourceTable[Retrieved_UTC],Q40)&gt;'Input_Meci'!G8),"POST CUTOFF","CLOSED")))))))</x:f>
        <x:v>UNUSED</x:v>
      </x:c>
      <x:c r="S40" s="2" t="n">
        <x:f>IF(OR(B40="",F40=""),0,COUNTIFS('Istoric_Nativ'!$B$6:$B$405,E40,'Istoric_Nativ'!$C$6:$C$405,F40,'Istoric_Nativ'!$E$6:$E$405,G40,'Istoric_Nativ'!$D$6:$D$405,"&lt;"&amp;J40,'Istoric_Nativ'!$O$6:$O$405,"INVALID")+COUNTIFS('Istoric_Nativ'!$B$6:$B$405,E40,'Istoric_Nativ'!$C$6:$C$405,F40,'Istoric_Nativ'!$E$6:$E$405,G40,'Istoric_Nativ'!$O$6:$O$405,"INVALID",'Istoric_Nativ'!$D$6:$D$405,"*")+COUNTIFS('Istoric_Nativ'!$B$6:$B$405,E40,'Istoric_Nativ'!$C$6:$C$405,F40,'Istoric_Nativ'!$E$6:$E$405,G40,'Istoric_Nativ'!$D$6:$D$405,"&lt;"&amp;J40,'Istoric_Nativ'!$O$6:$O$405,"SOURCE CONFLICT")+COUNTIFS('Istoric_Nativ'!$B$6:$B$405,E40,'Istoric_Nativ'!$C$6:$C$405,F40,'Istoric_Nativ'!$F$6:$F$405,G40,'Istoric_Nativ'!$D$6:$D$405,"&lt;"&amp;J40,'Istoric_Nativ'!$O$6:$O$405,"INVALID")+COUNTIFS('Istoric_Nativ'!$B$6:$B$405,E40,'Istoric_Nativ'!$C$6:$C$405,F40,'Istoric_Nativ'!$F$6:$F$405,G40,'Istoric_Nativ'!$O$6:$O$405,"INVALID",'Istoric_Nativ'!$D$6:$D$405,"*")+COUNTIFS('Istoric_Nativ'!$B$6:$B$405,E40,'Istoric_Nativ'!$C$6:$C$405,F40,'Istoric_Nativ'!$F$6:$F$405,G40,'Istoric_Nativ'!$D$6:$D$405,"&lt;"&amp;J40,'Istoric_Nativ'!$O$6:$O$405,"SOURCE CONFLICT"))</x:f>
        <x:v>0</x:v>
      </x:c>
      <x:c r="T40" s="2" t="str">
        <x:f>IF(B40="","",IF(R40&lt;&gt;"CLOSED",R40,IF(S40&gt;0,"NATIVE INPUT ISSUE",IF(M40=0,"NO HISTORY",IF(M40&lt;P40,"SMALL SAMPLE","DERIVED")))))</x:f>
        <x:v>UNUSED</x:v>
      </x:c>
      <x:c r="U40" s="2" t="str">
        <x:f>IF(B40="","","NativeTable; "&amp;E40&amp;"; "&amp;F40&amp;"; "&amp;G40&amp;"; "&amp;H40&amp;"; before "&amp;TEXT(J40,"yyyy-mm-dd")&amp;IF(I40="RECENT","; from "&amp;TEXT(L40,"yyyy-mm-dd"),""))</x:f>
        <x:v>NativeTable; E0; ; Arsenal; AWAY; before 2026-05-23</x:v>
      </x:c>
    </x:row>
    <x:row r="41" ht="21" customHeight="1">
      <x:c r="A41" s="2" t="n">
        <x:v>3</x:v>
      </x:c>
      <x:c r="B41" s="2" t="str">
        <x:f>IF('Input_Meci'!A8="","",'Input_Meci'!A8)</x:f>
        <x:v>REPLAY_3</x:v>
      </x:c>
      <x:c r="C41" s="2" t="str">
        <x:v>A</x:v>
      </x:c>
      <x:c r="D41" s="2" t="str">
        <x:v>PRIOR</x:v>
      </x:c>
      <x:c r="E41" s="2" t="str">
        <x:f>IF(B41="","",'Input_Meci'!B8)</x:f>
        <x:v>E0</x:v>
      </x:c>
      <x:c r="F41" s="2" t="str">
        <x:f>IF(B41="","",IF('Input_Meci'!K8="","",'Input_Meci'!K8))</x:f>
      </x:c>
      <x:c r="G41" s="2" t="str">
        <x:f>IF(B41="","",'Input_Meci'!E8)</x:f>
        <x:v>Arsenal</x:v>
      </x:c>
      <x:c r="H41" s="2" t="str">
        <x:v>ANY</x:v>
      </x:c>
      <x:c r="I41" s="2" t="str">
        <x:v>RECENT</x:v>
      </x:c>
      <x:c r="J41" s="9" t="n">
        <x:f>IF(AND(B41&lt;&gt;"",ISNUMBER('Input_Meci'!G8)),INT('Input_Meci'!G8),0)</x:f>
        <x:v>46165</x:v>
      </x:c>
      <x:c r="K41" s="2" t="n">
        <x:f>IF(OR(B41="",F41=""),0,IF(H41="HOME",COUNTIFS('Istoric_Nativ'!$B$6:$B$405,E41,'Istoric_Nativ'!$C$6:$C$405,F41,'Istoric_Nativ'!$E$6:$E$405,G41,'Istoric_Nativ'!$D$6:$D$405,"&lt;"&amp;J41,'Istoric_Nativ'!$P$6:$P$405,1),IF(H41="AWAY",COUNTIFS('Istoric_Nativ'!$B$6:$B$405,E41,'Istoric_Nativ'!$C$6:$C$405,F41,'Istoric_Nativ'!$F$6:$F$405,G41,'Istoric_Nativ'!$D$6:$D$405,"&lt;"&amp;J41,'Istoric_Nativ'!$P$6:$P$405,1),COUNTIFS('Istoric_Nativ'!$B$6:$B$405,E41,'Istoric_Nativ'!$C$6:$C$405,F41,'Istoric_Nativ'!$E$6:$E$405,G41,'Istoric_Nativ'!$D$6:$D$405,"&lt;"&amp;J41,'Istoric_Nativ'!$P$6:$P$405,1)+COUNTIFS('Istoric_Nativ'!$B$6:$B$405,E41,'Istoric_Nativ'!$C$6:$C$405,F41,'Istoric_Nativ'!$F$6:$F$405,G41,'Istoric_Nativ'!$D$6:$D$405,"&lt;"&amp;J41,'Istoric_Nativ'!$P$6:$P$405,1))))</x:f>
        <x:v>0</x:v>
      </x:c>
      <x:c r="L41" s="17" t="n">
        <x:f>IF(AND(B41&lt;&gt;"",I41="RECENT",K41&gt;0),LARGE(_xlfn._xlws.FILTER('Istoric_Nativ'!$D$6:$D$405,('Istoric_Nativ'!$B$6:$B$405=E41)*('Istoric_Nativ'!$C$6:$C$405=F41)*('Istoric_Nativ'!$P$6:$P$405=1)*('Istoric_Nativ'!$D$6:$D$405&lt;J41)*((('Istoric_Nativ'!$E$6:$E$405=G41)+('Istoric_Nativ'!$F$6:$F$405=G41))&gt;0)),MIN('Config_v6'!$B$54,K41)),0)</x:f>
        <x:v>0</x:v>
      </x:c>
      <x:c r="M41" s="2" t="n">
        <x:f>IF(OR(B41="",F41=""),0,IF(H41="HOME",COUNTIFS('Istoric_Nativ'!$B$6:$B$405,E41,'Istoric_Nativ'!$C$6:$C$405,F41,'Istoric_Nativ'!$E$6:$E$405,G41,'Istoric_Nativ'!$D$6:$D$405,"&lt;"&amp;J41,'Istoric_Nativ'!$P$6:$P$405,1,'Istoric_Nativ'!$D$6:$D$405,"&gt;="&amp;L41),IF(H41="AWAY",COUNTIFS('Istoric_Nativ'!$B$6:$B$405,E41,'Istoric_Nativ'!$C$6:$C$405,F41,'Istoric_Nativ'!$F$6:$F$405,G41,'Istoric_Nativ'!$D$6:$D$405,"&lt;"&amp;J41,'Istoric_Nativ'!$P$6:$P$405,1,'Istoric_Nativ'!$D$6:$D$405,"&gt;="&amp;L41),COUNTIFS('Istoric_Nativ'!$B$6:$B$405,E41,'Istoric_Nativ'!$C$6:$C$405,F41,'Istoric_Nativ'!$E$6:$E$405,G41,'Istoric_Nativ'!$D$6:$D$405,"&lt;"&amp;J41,'Istoric_Nativ'!$P$6:$P$405,1,'Istoric_Nativ'!$D$6:$D$405,"&gt;="&amp;L41)+COUNTIFS('Istoric_Nativ'!$B$6:$B$405,E41,'Istoric_Nativ'!$C$6:$C$405,F41,'Istoric_Nativ'!$F$6:$F$405,G41,'Istoric_Nativ'!$D$6:$D$405,"&lt;"&amp;J41,'Istoric_Nativ'!$P$6:$P$405,1,'Istoric_Nativ'!$D$6:$D$405,"&gt;="&amp;L41))))</x:f>
        <x:v>0</x:v>
      </x:c>
      <x:c r="N41" s="11" t="str">
        <x:f>IF(M41=0,"",IF(H41="HOME",SUMIFS('Istoric_Nativ'!$G$6:$G$405,'Istoric_Nativ'!$B$6:$B$405,E41,'Istoric_Nativ'!$C$6:$C$405,F41,'Istoric_Nativ'!$E$6:$E$405,G41,'Istoric_Nativ'!$D$6:$D$405,"&lt;"&amp;J41,'Istoric_Nativ'!$P$6:$P$405,1,'Istoric_Nativ'!$D$6:$D$405,"&gt;="&amp;L41),IF(H41="AWAY",SUMIFS('Istoric_Nativ'!$H$6:$H$405,'Istoric_Nativ'!$B$6:$B$405,E41,'Istoric_Nativ'!$C$6:$C$405,F41,'Istoric_Nativ'!$F$6:$F$405,G41,'Istoric_Nativ'!$D$6:$D$405,"&lt;"&amp;J41,'Istoric_Nativ'!$P$6:$P$405,1,'Istoric_Nativ'!$D$6:$D$405,"&gt;="&amp;L41),SUMIFS('Istoric_Nativ'!$G$6:$G$405,'Istoric_Nativ'!$B$6:$B$405,E41,'Istoric_Nativ'!$C$6:$C$405,F41,'Istoric_Nativ'!$E$6:$E$405,G41,'Istoric_Nativ'!$D$6:$D$405,"&lt;"&amp;J41,'Istoric_Nativ'!$P$6:$P$405,1,'Istoric_Nativ'!$D$6:$D$405,"&gt;="&amp;L41)+SUMIFS('Istoric_Nativ'!$H$6:$H$405,'Istoric_Nativ'!$B$6:$B$405,E41,'Istoric_Nativ'!$C$6:$C$405,F41,'Istoric_Nativ'!$F$6:$F$405,G41,'Istoric_Nativ'!$D$6:$D$405,"&lt;"&amp;J41,'Istoric_Nativ'!$P$6:$P$405,1,'Istoric_Nativ'!$D$6:$D$405,"&gt;="&amp;L41)))/M41)</x:f>
      </x:c>
      <x:c r="O41" s="11" t="str">
        <x:f>IF(M41=0,"",IF(H41="HOME",SUMIFS('Istoric_Nativ'!$H$6:$H$405,'Istoric_Nativ'!$B$6:$B$405,E41,'Istoric_Nativ'!$C$6:$C$405,F41,'Istoric_Nativ'!$E$6:$E$405,G41,'Istoric_Nativ'!$D$6:$D$405,"&lt;"&amp;J41,'Istoric_Nativ'!$P$6:$P$405,1,'Istoric_Nativ'!$D$6:$D$405,"&gt;="&amp;L41),IF(H41="AWAY",SUMIFS('Istoric_Nativ'!$G$6:$G$405,'Istoric_Nativ'!$B$6:$B$405,E41,'Istoric_Nativ'!$C$6:$C$405,F41,'Istoric_Nativ'!$F$6:$F$405,G41,'Istoric_Nativ'!$D$6:$D$405,"&lt;"&amp;J41,'Istoric_Nativ'!$P$6:$P$405,1,'Istoric_Nativ'!$D$6:$D$405,"&gt;="&amp;L41),SUMIFS('Istoric_Nativ'!$H$6:$H$405,'Istoric_Nativ'!$B$6:$B$405,E41,'Istoric_Nativ'!$C$6:$C$405,F41,'Istoric_Nativ'!$E$6:$E$405,G41,'Istoric_Nativ'!$D$6:$D$405,"&lt;"&amp;J41,'Istoric_Nativ'!$P$6:$P$405,1,'Istoric_Nativ'!$D$6:$D$405,"&gt;="&amp;L41)+SUMIFS('Istoric_Nativ'!$G$6:$G$405,'Istoric_Nativ'!$B$6:$B$405,E41,'Istoric_Nativ'!$C$6:$C$405,F41,'Istoric_Nativ'!$F$6:$F$405,G41,'Istoric_Nativ'!$D$6:$D$405,"&lt;"&amp;J41,'Istoric_Nativ'!$P$6:$P$405,1,'Istoric_Nativ'!$D$6:$D$405,"&gt;="&amp;L41)))/M41)</x:f>
      </x:c>
      <x:c r="P41" s="2" t="n">
        <x:f>'Config_v6'!$B$9</x:f>
        <x:v>3</x:v>
      </x:c>
      <x:c r="Q41" s="2" t="n">
        <x:f>IF(OR(B41="",F41=""),0,IFERROR(MATCH(E41&amp;"|"&amp;F41,SourceTable[Source_Key],0),0))</x:f>
        <x:v>0</x:v>
      </x:c>
      <x:c r="R41" s="2" t="str">
        <x:f>IF(B41="","",IF(F41="","UNUSED",IF(Q41=0,"NOT CHECKED",IF(COUNTIF(SourceTable[Source_Key],E41&amp;"|"&amp;F41)&lt;&gt;1,"SOURCE CONFLICT",IF(NOT(OR(INDEX(SourceTable[Status],MAX(1,Q41))="IMPORTED",INDEX(SourceTable[Status],MAX(1,Q41))="PARTIAL",INDEX(SourceTable[Status],MAX(1,Q41))="SOURCE CONFLICT")),"ACCESS BLOCKED",IF(OR(INDEX(SourceTable[Coverage],Q41)&lt;&gt;"FULL SEASON EXPORT",INDEX(SourceTable[URL],Q41)="",INDEX(SourceTable[SHA256],Q41)=""),"EVIDENCE INCOMPLETE",IF(AND('Input_Meci'!H8="LIVE",INDEX(SourceTable[Retrieved_UTC],Q41)&gt;'Input_Meci'!G8),"POST CUTOFF","CLOSED")))))))</x:f>
        <x:v>UNUSED</x:v>
      </x:c>
      <x:c r="S41" s="2" t="n">
        <x:f>IF(OR(B41="",F41=""),0,COUNTIFS('Istoric_Nativ'!$B$6:$B$405,E41,'Istoric_Nativ'!$C$6:$C$405,F41,'Istoric_Nativ'!$E$6:$E$405,G41,'Istoric_Nativ'!$D$6:$D$405,"&lt;"&amp;J41,'Istoric_Nativ'!$O$6:$O$405,"INVALID")+COUNTIFS('Istoric_Nativ'!$B$6:$B$405,E41,'Istoric_Nativ'!$C$6:$C$405,F41,'Istoric_Nativ'!$E$6:$E$405,G41,'Istoric_Nativ'!$O$6:$O$405,"INVALID",'Istoric_Nativ'!$D$6:$D$405,"*")+COUNTIFS('Istoric_Nativ'!$B$6:$B$405,E41,'Istoric_Nativ'!$C$6:$C$405,F41,'Istoric_Nativ'!$E$6:$E$405,G41,'Istoric_Nativ'!$D$6:$D$405,"&lt;"&amp;J41,'Istoric_Nativ'!$O$6:$O$405,"SOURCE CONFLICT")+COUNTIFS('Istoric_Nativ'!$B$6:$B$405,E41,'Istoric_Nativ'!$C$6:$C$405,F41,'Istoric_Nativ'!$F$6:$F$405,G41,'Istoric_Nativ'!$D$6:$D$405,"&lt;"&amp;J41,'Istoric_Nativ'!$O$6:$O$405,"INVALID")+COUNTIFS('Istoric_Nativ'!$B$6:$B$405,E41,'Istoric_Nativ'!$C$6:$C$405,F41,'Istoric_Nativ'!$F$6:$F$405,G41,'Istoric_Nativ'!$O$6:$O$405,"INVALID",'Istoric_Nativ'!$D$6:$D$405,"*")+COUNTIFS('Istoric_Nativ'!$B$6:$B$405,E41,'Istoric_Nativ'!$C$6:$C$405,F41,'Istoric_Nativ'!$F$6:$F$405,G41,'Istoric_Nativ'!$D$6:$D$405,"&lt;"&amp;J41,'Istoric_Nativ'!$O$6:$O$405,"SOURCE CONFLICT"))</x:f>
        <x:v>0</x:v>
      </x:c>
      <x:c r="T41" s="2" t="str">
        <x:f>IF(B41="","",IF(R41&lt;&gt;"CLOSED",R41,IF(S41&gt;0,"NATIVE INPUT ISSUE",IF(M41=0,"NO HISTORY",IF(M41&lt;P41,"SMALL SAMPLE","DERIVED")))))</x:f>
        <x:v>UNUSED</x:v>
      </x:c>
      <x:c r="U41" s="2" t="str">
        <x:f>IF(B41="","","NativeTable; "&amp;E41&amp;"; "&amp;F41&amp;"; "&amp;G41&amp;"; "&amp;H41&amp;"; before "&amp;TEXT(J41,"yyyy-mm-dd")&amp;IF(I41="RECENT","; from "&amp;TEXT(L41,"yyyy-mm-dd"),""))</x:f>
        <x:v>NativeTable; E0; ; Arsenal; ANY; before 2026-05-23; from 1900-01-00</x:v>
      </x:c>
    </x:row>
    <x:row r="42" ht="21" customHeight="1">
      <x:c r="A42" s="2" t="n">
        <x:v>4</x:v>
      </x:c>
      <x:c r="B42" s="2" t="str">
        <x:f>IF('Input_Meci'!A9="","",'Input_Meci'!A9)</x:f>
      </x:c>
      <x:c r="C42" s="2" t="str">
        <x:v>H</x:v>
      </x:c>
      <x:c r="D42" s="2" t="str">
        <x:v>CURRENT</x:v>
      </x:c>
      <x:c r="E42" s="2" t="str">
        <x:f>IF(B42="","",'Input_Meci'!B9)</x:f>
      </x:c>
      <x:c r="F42" s="2" t="str">
        <x:f>IF(B42="","",IF('Input_Meci'!C9="","",'Input_Meci'!C9))</x:f>
      </x:c>
      <x:c r="G42" s="2" t="str">
        <x:f>IF(B42="","",'Input_Meci'!D9)</x:f>
      </x:c>
      <x:c r="H42" s="2" t="str">
        <x:v>ANY</x:v>
      </x:c>
      <x:c r="I42" s="2" t="str">
        <x:v>SEASON</x:v>
      </x:c>
      <x:c r="J42" s="9" t="n">
        <x:f>IF(AND(B42&lt;&gt;"",ISNUMBER('Input_Meci'!G9)),INT('Input_Meci'!G9),0)</x:f>
        <x:v>0</x:v>
      </x:c>
      <x:c r="K42" s="2" t="n">
        <x:f>IF(OR(B42="",F42=""),0,IF(H42="HOME",COUNTIFS('Istoric_Nativ'!$B$6:$B$405,E42,'Istoric_Nativ'!$C$6:$C$405,F42,'Istoric_Nativ'!$E$6:$E$405,G42,'Istoric_Nativ'!$D$6:$D$405,"&lt;"&amp;J42,'Istoric_Nativ'!$P$6:$P$405,1),IF(H42="AWAY",COUNTIFS('Istoric_Nativ'!$B$6:$B$405,E42,'Istoric_Nativ'!$C$6:$C$405,F42,'Istoric_Nativ'!$F$6:$F$405,G42,'Istoric_Nativ'!$D$6:$D$405,"&lt;"&amp;J42,'Istoric_Nativ'!$P$6:$P$405,1),COUNTIFS('Istoric_Nativ'!$B$6:$B$405,E42,'Istoric_Nativ'!$C$6:$C$405,F42,'Istoric_Nativ'!$E$6:$E$405,G42,'Istoric_Nativ'!$D$6:$D$405,"&lt;"&amp;J42,'Istoric_Nativ'!$P$6:$P$405,1)+COUNTIFS('Istoric_Nativ'!$B$6:$B$405,E42,'Istoric_Nativ'!$C$6:$C$405,F42,'Istoric_Nativ'!$F$6:$F$405,G42,'Istoric_Nativ'!$D$6:$D$405,"&lt;"&amp;J42,'Istoric_Nativ'!$P$6:$P$405,1))))</x:f>
        <x:v>0</x:v>
      </x:c>
      <x:c r="L42" s="17" t="n">
        <x:f>IF(AND(B42&lt;&gt;"",I42="RECENT",K42&gt;0),LARGE(_xlfn._xlws.FILTER('Istoric_Nativ'!$D$6:$D$405,('Istoric_Nativ'!$B$6:$B$405=E42)*('Istoric_Nativ'!$C$6:$C$405=F42)*('Istoric_Nativ'!$P$6:$P$405=1)*('Istoric_Nativ'!$D$6:$D$405&lt;J42)*((('Istoric_Nativ'!$E$6:$E$405=G42)+('Istoric_Nativ'!$F$6:$F$405=G42))&gt;0)),MIN('Config_v6'!$B$54,K42)),0)</x:f>
        <x:v>0</x:v>
      </x:c>
      <x:c r="M42" s="2" t="n">
        <x:f>IF(OR(B42="",F42=""),0,IF(H42="HOME",COUNTIFS('Istoric_Nativ'!$B$6:$B$405,E42,'Istoric_Nativ'!$C$6:$C$405,F42,'Istoric_Nativ'!$E$6:$E$405,G42,'Istoric_Nativ'!$D$6:$D$405,"&lt;"&amp;J42,'Istoric_Nativ'!$P$6:$P$405,1,'Istoric_Nativ'!$D$6:$D$405,"&gt;="&amp;L42),IF(H42="AWAY",COUNTIFS('Istoric_Nativ'!$B$6:$B$405,E42,'Istoric_Nativ'!$C$6:$C$405,F42,'Istoric_Nativ'!$F$6:$F$405,G42,'Istoric_Nativ'!$D$6:$D$405,"&lt;"&amp;J42,'Istoric_Nativ'!$P$6:$P$405,1,'Istoric_Nativ'!$D$6:$D$405,"&gt;="&amp;L42),COUNTIFS('Istoric_Nativ'!$B$6:$B$405,E42,'Istoric_Nativ'!$C$6:$C$405,F42,'Istoric_Nativ'!$E$6:$E$405,G42,'Istoric_Nativ'!$D$6:$D$405,"&lt;"&amp;J42,'Istoric_Nativ'!$P$6:$P$405,1,'Istoric_Nativ'!$D$6:$D$405,"&gt;="&amp;L42)+COUNTIFS('Istoric_Nativ'!$B$6:$B$405,E42,'Istoric_Nativ'!$C$6:$C$405,F42,'Istoric_Nativ'!$F$6:$F$405,G42,'Istoric_Nativ'!$D$6:$D$405,"&lt;"&amp;J42,'Istoric_Nativ'!$P$6:$P$405,1,'Istoric_Nativ'!$D$6:$D$405,"&gt;="&amp;L42))))</x:f>
        <x:v>0</x:v>
      </x:c>
      <x:c r="N42" s="11" t="str">
        <x:f>IF(M42=0,"",IF(H42="HOME",SUMIFS('Istoric_Nativ'!$G$6:$G$405,'Istoric_Nativ'!$B$6:$B$405,E42,'Istoric_Nativ'!$C$6:$C$405,F42,'Istoric_Nativ'!$E$6:$E$405,G42,'Istoric_Nativ'!$D$6:$D$405,"&lt;"&amp;J42,'Istoric_Nativ'!$P$6:$P$405,1,'Istoric_Nativ'!$D$6:$D$405,"&gt;="&amp;L42),IF(H42="AWAY",SUMIFS('Istoric_Nativ'!$H$6:$H$405,'Istoric_Nativ'!$B$6:$B$405,E42,'Istoric_Nativ'!$C$6:$C$405,F42,'Istoric_Nativ'!$F$6:$F$405,G42,'Istoric_Nativ'!$D$6:$D$405,"&lt;"&amp;J42,'Istoric_Nativ'!$P$6:$P$405,1,'Istoric_Nativ'!$D$6:$D$405,"&gt;="&amp;L42),SUMIFS('Istoric_Nativ'!$G$6:$G$405,'Istoric_Nativ'!$B$6:$B$405,E42,'Istoric_Nativ'!$C$6:$C$405,F42,'Istoric_Nativ'!$E$6:$E$405,G42,'Istoric_Nativ'!$D$6:$D$405,"&lt;"&amp;J42,'Istoric_Nativ'!$P$6:$P$405,1,'Istoric_Nativ'!$D$6:$D$405,"&gt;="&amp;L42)+SUMIFS('Istoric_Nativ'!$H$6:$H$405,'Istoric_Nativ'!$B$6:$B$405,E42,'Istoric_Nativ'!$C$6:$C$405,F42,'Istoric_Nativ'!$F$6:$F$405,G42,'Istoric_Nativ'!$D$6:$D$405,"&lt;"&amp;J42,'Istoric_Nativ'!$P$6:$P$405,1,'Istoric_Nativ'!$D$6:$D$405,"&gt;="&amp;L42)))/M42)</x:f>
      </x:c>
      <x:c r="O42" s="11" t="str">
        <x:f>IF(M42=0,"",IF(H42="HOME",SUMIFS('Istoric_Nativ'!$H$6:$H$405,'Istoric_Nativ'!$B$6:$B$405,E42,'Istoric_Nativ'!$C$6:$C$405,F42,'Istoric_Nativ'!$E$6:$E$405,G42,'Istoric_Nativ'!$D$6:$D$405,"&lt;"&amp;J42,'Istoric_Nativ'!$P$6:$P$405,1,'Istoric_Nativ'!$D$6:$D$405,"&gt;="&amp;L42),IF(H42="AWAY",SUMIFS('Istoric_Nativ'!$G$6:$G$405,'Istoric_Nativ'!$B$6:$B$405,E42,'Istoric_Nativ'!$C$6:$C$405,F42,'Istoric_Nativ'!$F$6:$F$405,G42,'Istoric_Nativ'!$D$6:$D$405,"&lt;"&amp;J42,'Istoric_Nativ'!$P$6:$P$405,1,'Istoric_Nativ'!$D$6:$D$405,"&gt;="&amp;L42),SUMIFS('Istoric_Nativ'!$H$6:$H$405,'Istoric_Nativ'!$B$6:$B$405,E42,'Istoric_Nativ'!$C$6:$C$405,F42,'Istoric_Nativ'!$E$6:$E$405,G42,'Istoric_Nativ'!$D$6:$D$405,"&lt;"&amp;J42,'Istoric_Nativ'!$P$6:$P$405,1,'Istoric_Nativ'!$D$6:$D$405,"&gt;="&amp;L42)+SUMIFS('Istoric_Nativ'!$G$6:$G$405,'Istoric_Nativ'!$B$6:$B$405,E42,'Istoric_Nativ'!$C$6:$C$405,F42,'Istoric_Nativ'!$F$6:$F$405,G42,'Istoric_Nativ'!$D$6:$D$405,"&lt;"&amp;J42,'Istoric_Nativ'!$P$6:$P$405,1,'Istoric_Nativ'!$D$6:$D$405,"&gt;="&amp;L42)))/M42)</x:f>
      </x:c>
      <x:c r="P42" s="2" t="n">
        <x:f>'Config_v6'!$B$7</x:f>
        <x:v>10</x:v>
      </x:c>
      <x:c r="Q42" s="2" t="n">
        <x:f>IF(OR(B42="",F42=""),0,IFERROR(MATCH(E42&amp;"|"&amp;F42,SourceTable[Source_Key],0),0))</x:f>
        <x:v>0</x:v>
      </x:c>
      <x:c r="R42" s="2" t="str">
        <x:f>IF(B42="","",IF(F42="","UNUSED",IF(Q42=0,"NOT CHECKED",IF(COUNTIF(SourceTable[Source_Key],E42&amp;"|"&amp;F42)&lt;&gt;1,"SOURCE CONFLICT",IF(NOT(OR(INDEX(SourceTable[Status],MAX(1,Q42))="IMPORTED",INDEX(SourceTable[Status],MAX(1,Q42))="PARTIAL",INDEX(SourceTable[Status],MAX(1,Q42))="SOURCE CONFLICT")),"ACCESS BLOCKED",IF(OR(INDEX(SourceTable[Coverage],Q42)&lt;&gt;"FULL SEASON EXPORT",INDEX(SourceTable[URL],Q42)="",INDEX(SourceTable[SHA256],Q42)=""),"EVIDENCE INCOMPLETE",IF(AND('Input_Meci'!H9="LIVE",INDEX(SourceTable[Retrieved_UTC],Q42)&gt;'Input_Meci'!G9),"POST CUTOFF","CLOSED")))))))</x:f>
      </x:c>
      <x:c r="S42" s="2" t="n">
        <x:f>IF(OR(B42="",F42=""),0,COUNTIFS('Istoric_Nativ'!$B$6:$B$405,E42,'Istoric_Nativ'!$C$6:$C$405,F42,'Istoric_Nativ'!$E$6:$E$405,G42,'Istoric_Nativ'!$D$6:$D$405,"&lt;"&amp;J42,'Istoric_Nativ'!$O$6:$O$405,"INVALID")+COUNTIFS('Istoric_Nativ'!$B$6:$B$405,E42,'Istoric_Nativ'!$C$6:$C$405,F42,'Istoric_Nativ'!$E$6:$E$405,G42,'Istoric_Nativ'!$O$6:$O$405,"INVALID",'Istoric_Nativ'!$D$6:$D$405,"*")+COUNTIFS('Istoric_Nativ'!$B$6:$B$405,E42,'Istoric_Nativ'!$C$6:$C$405,F42,'Istoric_Nativ'!$E$6:$E$405,G42,'Istoric_Nativ'!$D$6:$D$405,"&lt;"&amp;J42,'Istoric_Nativ'!$O$6:$O$405,"SOURCE CONFLICT")+COUNTIFS('Istoric_Nativ'!$B$6:$B$405,E42,'Istoric_Nativ'!$C$6:$C$405,F42,'Istoric_Nativ'!$F$6:$F$405,G42,'Istoric_Nativ'!$D$6:$D$405,"&lt;"&amp;J42,'Istoric_Nativ'!$O$6:$O$405,"INVALID")+COUNTIFS('Istoric_Nativ'!$B$6:$B$405,E42,'Istoric_Nativ'!$C$6:$C$405,F42,'Istoric_Nativ'!$F$6:$F$405,G42,'Istoric_Nativ'!$O$6:$O$405,"INVALID",'Istoric_Nativ'!$D$6:$D$405,"*")+COUNTIFS('Istoric_Nativ'!$B$6:$B$405,E42,'Istoric_Nativ'!$C$6:$C$405,F42,'Istoric_Nativ'!$F$6:$F$405,G42,'Istoric_Nativ'!$D$6:$D$405,"&lt;"&amp;J42,'Istoric_Nativ'!$O$6:$O$405,"SOURCE CONFLICT"))</x:f>
        <x:v>0</x:v>
      </x:c>
      <x:c r="T42" s="2" t="str">
        <x:f>IF(B42="","",IF(R42&lt;&gt;"CLOSED",R42,IF(S42&gt;0,"NATIVE INPUT ISSUE",IF(M42=0,"NO HISTORY",IF(M42&lt;P42,"SMALL SAMPLE","DERIVED")))))</x:f>
      </x:c>
      <x:c r="U42" s="2" t="str">
        <x:f>IF(B42="","","NativeTable; "&amp;E42&amp;"; "&amp;F42&amp;"; "&amp;G42&amp;"; "&amp;H42&amp;"; before "&amp;TEXT(J42,"yyyy-mm-dd")&amp;IF(I42="RECENT","; from "&amp;TEXT(L42,"yyyy-mm-dd"),""))</x:f>
      </x:c>
    </x:row>
    <x:row r="43" ht="21" customHeight="1">
      <x:c r="A43" s="2" t="n">
        <x:v>4</x:v>
      </x:c>
      <x:c r="B43" s="2" t="str">
        <x:f>IF('Input_Meci'!A9="","",'Input_Meci'!A9)</x:f>
      </x:c>
      <x:c r="C43" s="2" t="str">
        <x:v>H</x:v>
      </x:c>
      <x:c r="D43" s="2" t="str">
        <x:v>CURRENT</x:v>
      </x:c>
      <x:c r="E43" s="2" t="str">
        <x:f>IF(B43="","",'Input_Meci'!B9)</x:f>
      </x:c>
      <x:c r="F43" s="2" t="str">
        <x:f>IF(B43="","",IF('Input_Meci'!C9="","",'Input_Meci'!C9))</x:f>
      </x:c>
      <x:c r="G43" s="2" t="str">
        <x:f>IF(B43="","",'Input_Meci'!D9)</x:f>
      </x:c>
      <x:c r="H43" s="2" t="str">
        <x:v>HOME</x:v>
      </x:c>
      <x:c r="I43" s="2" t="str">
        <x:v>HA</x:v>
      </x:c>
      <x:c r="J43" s="9" t="n">
        <x:f>IF(AND(B43&lt;&gt;"",ISNUMBER('Input_Meci'!G9)),INT('Input_Meci'!G9),0)</x:f>
        <x:v>0</x:v>
      </x:c>
      <x:c r="K43" s="2" t="n">
        <x:f>IF(OR(B43="",F43=""),0,IF(H43="HOME",COUNTIFS('Istoric_Nativ'!$B$6:$B$405,E43,'Istoric_Nativ'!$C$6:$C$405,F43,'Istoric_Nativ'!$E$6:$E$405,G43,'Istoric_Nativ'!$D$6:$D$405,"&lt;"&amp;J43,'Istoric_Nativ'!$P$6:$P$405,1),IF(H43="AWAY",COUNTIFS('Istoric_Nativ'!$B$6:$B$405,E43,'Istoric_Nativ'!$C$6:$C$405,F43,'Istoric_Nativ'!$F$6:$F$405,G43,'Istoric_Nativ'!$D$6:$D$405,"&lt;"&amp;J43,'Istoric_Nativ'!$P$6:$P$405,1),COUNTIFS('Istoric_Nativ'!$B$6:$B$405,E43,'Istoric_Nativ'!$C$6:$C$405,F43,'Istoric_Nativ'!$E$6:$E$405,G43,'Istoric_Nativ'!$D$6:$D$405,"&lt;"&amp;J43,'Istoric_Nativ'!$P$6:$P$405,1)+COUNTIFS('Istoric_Nativ'!$B$6:$B$405,E43,'Istoric_Nativ'!$C$6:$C$405,F43,'Istoric_Nativ'!$F$6:$F$405,G43,'Istoric_Nativ'!$D$6:$D$405,"&lt;"&amp;J43,'Istoric_Nativ'!$P$6:$P$405,1))))</x:f>
        <x:v>0</x:v>
      </x:c>
      <x:c r="L43" s="17" t="n">
        <x:f>IF(AND(B43&lt;&gt;"",I43="RECENT",K43&gt;0),LARGE(_xlfn._xlws.FILTER('Istoric_Nativ'!$D$6:$D$405,('Istoric_Nativ'!$B$6:$B$405=E43)*('Istoric_Nativ'!$C$6:$C$405=F43)*('Istoric_Nativ'!$P$6:$P$405=1)*('Istoric_Nativ'!$D$6:$D$405&lt;J43)*((('Istoric_Nativ'!$E$6:$E$405=G43)+('Istoric_Nativ'!$F$6:$F$405=G43))&gt;0)),MIN('Config_v6'!$B$54,K43)),0)</x:f>
        <x:v>0</x:v>
      </x:c>
      <x:c r="M43" s="2" t="n">
        <x:f>IF(OR(B43="",F43=""),0,IF(H43="HOME",COUNTIFS('Istoric_Nativ'!$B$6:$B$405,E43,'Istoric_Nativ'!$C$6:$C$405,F43,'Istoric_Nativ'!$E$6:$E$405,G43,'Istoric_Nativ'!$D$6:$D$405,"&lt;"&amp;J43,'Istoric_Nativ'!$P$6:$P$405,1,'Istoric_Nativ'!$D$6:$D$405,"&gt;="&amp;L43),IF(H43="AWAY",COUNTIFS('Istoric_Nativ'!$B$6:$B$405,E43,'Istoric_Nativ'!$C$6:$C$405,F43,'Istoric_Nativ'!$F$6:$F$405,G43,'Istoric_Nativ'!$D$6:$D$405,"&lt;"&amp;J43,'Istoric_Nativ'!$P$6:$P$405,1,'Istoric_Nativ'!$D$6:$D$405,"&gt;="&amp;L43),COUNTIFS('Istoric_Nativ'!$B$6:$B$405,E43,'Istoric_Nativ'!$C$6:$C$405,F43,'Istoric_Nativ'!$E$6:$E$405,G43,'Istoric_Nativ'!$D$6:$D$405,"&lt;"&amp;J43,'Istoric_Nativ'!$P$6:$P$405,1,'Istoric_Nativ'!$D$6:$D$405,"&gt;="&amp;L43)+COUNTIFS('Istoric_Nativ'!$B$6:$B$405,E43,'Istoric_Nativ'!$C$6:$C$405,F43,'Istoric_Nativ'!$F$6:$F$405,G43,'Istoric_Nativ'!$D$6:$D$405,"&lt;"&amp;J43,'Istoric_Nativ'!$P$6:$P$405,1,'Istoric_Nativ'!$D$6:$D$405,"&gt;="&amp;L43))))</x:f>
        <x:v>0</x:v>
      </x:c>
      <x:c r="N43" s="11" t="str">
        <x:f>IF(M43=0,"",IF(H43="HOME",SUMIFS('Istoric_Nativ'!$G$6:$G$405,'Istoric_Nativ'!$B$6:$B$405,E43,'Istoric_Nativ'!$C$6:$C$405,F43,'Istoric_Nativ'!$E$6:$E$405,G43,'Istoric_Nativ'!$D$6:$D$405,"&lt;"&amp;J43,'Istoric_Nativ'!$P$6:$P$405,1,'Istoric_Nativ'!$D$6:$D$405,"&gt;="&amp;L43),IF(H43="AWAY",SUMIFS('Istoric_Nativ'!$H$6:$H$405,'Istoric_Nativ'!$B$6:$B$405,E43,'Istoric_Nativ'!$C$6:$C$405,F43,'Istoric_Nativ'!$F$6:$F$405,G43,'Istoric_Nativ'!$D$6:$D$405,"&lt;"&amp;J43,'Istoric_Nativ'!$P$6:$P$405,1,'Istoric_Nativ'!$D$6:$D$405,"&gt;="&amp;L43),SUMIFS('Istoric_Nativ'!$G$6:$G$405,'Istoric_Nativ'!$B$6:$B$405,E43,'Istoric_Nativ'!$C$6:$C$405,F43,'Istoric_Nativ'!$E$6:$E$405,G43,'Istoric_Nativ'!$D$6:$D$405,"&lt;"&amp;J43,'Istoric_Nativ'!$P$6:$P$405,1,'Istoric_Nativ'!$D$6:$D$405,"&gt;="&amp;L43)+SUMIFS('Istoric_Nativ'!$H$6:$H$405,'Istoric_Nativ'!$B$6:$B$405,E43,'Istoric_Nativ'!$C$6:$C$405,F43,'Istoric_Nativ'!$F$6:$F$405,G43,'Istoric_Nativ'!$D$6:$D$405,"&lt;"&amp;J43,'Istoric_Nativ'!$P$6:$P$405,1,'Istoric_Nativ'!$D$6:$D$405,"&gt;="&amp;L43)))/M43)</x:f>
      </x:c>
      <x:c r="O43" s="11" t="str">
        <x:f>IF(M43=0,"",IF(H43="HOME",SUMIFS('Istoric_Nativ'!$H$6:$H$405,'Istoric_Nativ'!$B$6:$B$405,E43,'Istoric_Nativ'!$C$6:$C$405,F43,'Istoric_Nativ'!$E$6:$E$405,G43,'Istoric_Nativ'!$D$6:$D$405,"&lt;"&amp;J43,'Istoric_Nativ'!$P$6:$P$405,1,'Istoric_Nativ'!$D$6:$D$405,"&gt;="&amp;L43),IF(H43="AWAY",SUMIFS('Istoric_Nativ'!$G$6:$G$405,'Istoric_Nativ'!$B$6:$B$405,E43,'Istoric_Nativ'!$C$6:$C$405,F43,'Istoric_Nativ'!$F$6:$F$405,G43,'Istoric_Nativ'!$D$6:$D$405,"&lt;"&amp;J43,'Istoric_Nativ'!$P$6:$P$405,1,'Istoric_Nativ'!$D$6:$D$405,"&gt;="&amp;L43),SUMIFS('Istoric_Nativ'!$H$6:$H$405,'Istoric_Nativ'!$B$6:$B$405,E43,'Istoric_Nativ'!$C$6:$C$405,F43,'Istoric_Nativ'!$E$6:$E$405,G43,'Istoric_Nativ'!$D$6:$D$405,"&lt;"&amp;J43,'Istoric_Nativ'!$P$6:$P$405,1,'Istoric_Nativ'!$D$6:$D$405,"&gt;="&amp;L43)+SUMIFS('Istoric_Nativ'!$G$6:$G$405,'Istoric_Nativ'!$B$6:$B$405,E43,'Istoric_Nativ'!$C$6:$C$405,F43,'Istoric_Nativ'!$F$6:$F$405,G43,'Istoric_Nativ'!$D$6:$D$405,"&lt;"&amp;J43,'Istoric_Nativ'!$P$6:$P$405,1,'Istoric_Nativ'!$D$6:$D$405,"&gt;="&amp;L43)))/M43)</x:f>
      </x:c>
      <x:c r="P43" s="2" t="n">
        <x:f>'Config_v6'!$B$8</x:f>
        <x:v>5</x:v>
      </x:c>
      <x:c r="Q43" s="2" t="n">
        <x:f>IF(OR(B43="",F43=""),0,IFERROR(MATCH(E43&amp;"|"&amp;F43,SourceTable[Source_Key],0),0))</x:f>
        <x:v>0</x:v>
      </x:c>
      <x:c r="R43" s="2" t="str">
        <x:f>IF(B43="","",IF(F43="","UNUSED",IF(Q43=0,"NOT CHECKED",IF(COUNTIF(SourceTable[Source_Key],E43&amp;"|"&amp;F43)&lt;&gt;1,"SOURCE CONFLICT",IF(NOT(OR(INDEX(SourceTable[Status],MAX(1,Q43))="IMPORTED",INDEX(SourceTable[Status],MAX(1,Q43))="PARTIAL",INDEX(SourceTable[Status],MAX(1,Q43))="SOURCE CONFLICT")),"ACCESS BLOCKED",IF(OR(INDEX(SourceTable[Coverage],Q43)&lt;&gt;"FULL SEASON EXPORT",INDEX(SourceTable[URL],Q43)="",INDEX(SourceTable[SHA256],Q43)=""),"EVIDENCE INCOMPLETE",IF(AND('Input_Meci'!H9="LIVE",INDEX(SourceTable[Retrieved_UTC],Q43)&gt;'Input_Meci'!G9),"POST CUTOFF","CLOSED")))))))</x:f>
      </x:c>
      <x:c r="S43" s="2" t="n">
        <x:f>IF(OR(B43="",F43=""),0,COUNTIFS('Istoric_Nativ'!$B$6:$B$405,E43,'Istoric_Nativ'!$C$6:$C$405,F43,'Istoric_Nativ'!$E$6:$E$405,G43,'Istoric_Nativ'!$D$6:$D$405,"&lt;"&amp;J43,'Istoric_Nativ'!$O$6:$O$405,"INVALID")+COUNTIFS('Istoric_Nativ'!$B$6:$B$405,E43,'Istoric_Nativ'!$C$6:$C$405,F43,'Istoric_Nativ'!$E$6:$E$405,G43,'Istoric_Nativ'!$O$6:$O$405,"INVALID",'Istoric_Nativ'!$D$6:$D$405,"*")+COUNTIFS('Istoric_Nativ'!$B$6:$B$405,E43,'Istoric_Nativ'!$C$6:$C$405,F43,'Istoric_Nativ'!$E$6:$E$405,G43,'Istoric_Nativ'!$D$6:$D$405,"&lt;"&amp;J43,'Istoric_Nativ'!$O$6:$O$405,"SOURCE CONFLICT")+COUNTIFS('Istoric_Nativ'!$B$6:$B$405,E43,'Istoric_Nativ'!$C$6:$C$405,F43,'Istoric_Nativ'!$F$6:$F$405,G43,'Istoric_Nativ'!$D$6:$D$405,"&lt;"&amp;J43,'Istoric_Nativ'!$O$6:$O$405,"INVALID")+COUNTIFS('Istoric_Nativ'!$B$6:$B$405,E43,'Istoric_Nativ'!$C$6:$C$405,F43,'Istoric_Nativ'!$F$6:$F$405,G43,'Istoric_Nativ'!$O$6:$O$405,"INVALID",'Istoric_Nativ'!$D$6:$D$405,"*")+COUNTIFS('Istoric_Nativ'!$B$6:$B$405,E43,'Istoric_Nativ'!$C$6:$C$405,F43,'Istoric_Nativ'!$F$6:$F$405,G43,'Istoric_Nativ'!$D$6:$D$405,"&lt;"&amp;J43,'Istoric_Nativ'!$O$6:$O$405,"SOURCE CONFLICT"))</x:f>
        <x:v>0</x:v>
      </x:c>
      <x:c r="T43" s="2" t="str">
        <x:f>IF(B43="","",IF(R43&lt;&gt;"CLOSED",R43,IF(S43&gt;0,"NATIVE INPUT ISSUE",IF(M43=0,"NO HISTORY",IF(M43&lt;P43,"SMALL SAMPLE","DERIVED")))))</x:f>
      </x:c>
      <x:c r="U43" s="2" t="str">
        <x:f>IF(B43="","","NativeTable; "&amp;E43&amp;"; "&amp;F43&amp;"; "&amp;G43&amp;"; "&amp;H43&amp;"; before "&amp;TEXT(J43,"yyyy-mm-dd")&amp;IF(I43="RECENT","; from "&amp;TEXT(L43,"yyyy-mm-dd"),""))</x:f>
      </x:c>
    </x:row>
    <x:row r="44" ht="21" customHeight="1">
      <x:c r="A44" s="2" t="n">
        <x:v>4</x:v>
      </x:c>
      <x:c r="B44" s="2" t="str">
        <x:f>IF('Input_Meci'!A9="","",'Input_Meci'!A9)</x:f>
      </x:c>
      <x:c r="C44" s="2" t="str">
        <x:v>H</x:v>
      </x:c>
      <x:c r="D44" s="2" t="str">
        <x:v>CURRENT</x:v>
      </x:c>
      <x:c r="E44" s="2" t="str">
        <x:f>IF(B44="","",'Input_Meci'!B9)</x:f>
      </x:c>
      <x:c r="F44" s="2" t="str">
        <x:f>IF(B44="","",IF('Input_Meci'!C9="","",'Input_Meci'!C9))</x:f>
      </x:c>
      <x:c r="G44" s="2" t="str">
        <x:f>IF(B44="","",'Input_Meci'!D9)</x:f>
      </x:c>
      <x:c r="H44" s="2" t="str">
        <x:v>ANY</x:v>
      </x:c>
      <x:c r="I44" s="2" t="str">
        <x:v>RECENT</x:v>
      </x:c>
      <x:c r="J44" s="9" t="n">
        <x:f>IF(AND(B44&lt;&gt;"",ISNUMBER('Input_Meci'!G9)),INT('Input_Meci'!G9),0)</x:f>
        <x:v>0</x:v>
      </x:c>
      <x:c r="K44" s="2" t="n">
        <x:f>IF(OR(B44="",F44=""),0,IF(H44="HOME",COUNTIFS('Istoric_Nativ'!$B$6:$B$405,E44,'Istoric_Nativ'!$C$6:$C$405,F44,'Istoric_Nativ'!$E$6:$E$405,G44,'Istoric_Nativ'!$D$6:$D$405,"&lt;"&amp;J44,'Istoric_Nativ'!$P$6:$P$405,1),IF(H44="AWAY",COUNTIFS('Istoric_Nativ'!$B$6:$B$405,E44,'Istoric_Nativ'!$C$6:$C$405,F44,'Istoric_Nativ'!$F$6:$F$405,G44,'Istoric_Nativ'!$D$6:$D$405,"&lt;"&amp;J44,'Istoric_Nativ'!$P$6:$P$405,1),COUNTIFS('Istoric_Nativ'!$B$6:$B$405,E44,'Istoric_Nativ'!$C$6:$C$405,F44,'Istoric_Nativ'!$E$6:$E$405,G44,'Istoric_Nativ'!$D$6:$D$405,"&lt;"&amp;J44,'Istoric_Nativ'!$P$6:$P$405,1)+COUNTIFS('Istoric_Nativ'!$B$6:$B$405,E44,'Istoric_Nativ'!$C$6:$C$405,F44,'Istoric_Nativ'!$F$6:$F$405,G44,'Istoric_Nativ'!$D$6:$D$405,"&lt;"&amp;J44,'Istoric_Nativ'!$P$6:$P$405,1))))</x:f>
        <x:v>0</x:v>
      </x:c>
      <x:c r="L44" s="17" t="n">
        <x:f>IF(AND(B44&lt;&gt;"",I44="RECENT",K44&gt;0),LARGE(_xlfn._xlws.FILTER('Istoric_Nativ'!$D$6:$D$405,('Istoric_Nativ'!$B$6:$B$405=E44)*('Istoric_Nativ'!$C$6:$C$405=F44)*('Istoric_Nativ'!$P$6:$P$405=1)*('Istoric_Nativ'!$D$6:$D$405&lt;J44)*((('Istoric_Nativ'!$E$6:$E$405=G44)+('Istoric_Nativ'!$F$6:$F$405=G44))&gt;0)),MIN('Config_v6'!$B$54,K44)),0)</x:f>
        <x:v>0</x:v>
      </x:c>
      <x:c r="M44" s="2" t="n">
        <x:f>IF(OR(B44="",F44=""),0,IF(H44="HOME",COUNTIFS('Istoric_Nativ'!$B$6:$B$405,E44,'Istoric_Nativ'!$C$6:$C$405,F44,'Istoric_Nativ'!$E$6:$E$405,G44,'Istoric_Nativ'!$D$6:$D$405,"&lt;"&amp;J44,'Istoric_Nativ'!$P$6:$P$405,1,'Istoric_Nativ'!$D$6:$D$405,"&gt;="&amp;L44),IF(H44="AWAY",COUNTIFS('Istoric_Nativ'!$B$6:$B$405,E44,'Istoric_Nativ'!$C$6:$C$405,F44,'Istoric_Nativ'!$F$6:$F$405,G44,'Istoric_Nativ'!$D$6:$D$405,"&lt;"&amp;J44,'Istoric_Nativ'!$P$6:$P$405,1,'Istoric_Nativ'!$D$6:$D$405,"&gt;="&amp;L44),COUNTIFS('Istoric_Nativ'!$B$6:$B$405,E44,'Istoric_Nativ'!$C$6:$C$405,F44,'Istoric_Nativ'!$E$6:$E$405,G44,'Istoric_Nativ'!$D$6:$D$405,"&lt;"&amp;J44,'Istoric_Nativ'!$P$6:$P$405,1,'Istoric_Nativ'!$D$6:$D$405,"&gt;="&amp;L44)+COUNTIFS('Istoric_Nativ'!$B$6:$B$405,E44,'Istoric_Nativ'!$C$6:$C$405,F44,'Istoric_Nativ'!$F$6:$F$405,G44,'Istoric_Nativ'!$D$6:$D$405,"&lt;"&amp;J44,'Istoric_Nativ'!$P$6:$P$405,1,'Istoric_Nativ'!$D$6:$D$405,"&gt;="&amp;L44))))</x:f>
        <x:v>0</x:v>
      </x:c>
      <x:c r="N44" s="11" t="str">
        <x:f>IF(M44=0,"",IF(H44="HOME",SUMIFS('Istoric_Nativ'!$G$6:$G$405,'Istoric_Nativ'!$B$6:$B$405,E44,'Istoric_Nativ'!$C$6:$C$405,F44,'Istoric_Nativ'!$E$6:$E$405,G44,'Istoric_Nativ'!$D$6:$D$405,"&lt;"&amp;J44,'Istoric_Nativ'!$P$6:$P$405,1,'Istoric_Nativ'!$D$6:$D$405,"&gt;="&amp;L44),IF(H44="AWAY",SUMIFS('Istoric_Nativ'!$H$6:$H$405,'Istoric_Nativ'!$B$6:$B$405,E44,'Istoric_Nativ'!$C$6:$C$405,F44,'Istoric_Nativ'!$F$6:$F$405,G44,'Istoric_Nativ'!$D$6:$D$405,"&lt;"&amp;J44,'Istoric_Nativ'!$P$6:$P$405,1,'Istoric_Nativ'!$D$6:$D$405,"&gt;="&amp;L44),SUMIFS('Istoric_Nativ'!$G$6:$G$405,'Istoric_Nativ'!$B$6:$B$405,E44,'Istoric_Nativ'!$C$6:$C$405,F44,'Istoric_Nativ'!$E$6:$E$405,G44,'Istoric_Nativ'!$D$6:$D$405,"&lt;"&amp;J44,'Istoric_Nativ'!$P$6:$P$405,1,'Istoric_Nativ'!$D$6:$D$405,"&gt;="&amp;L44)+SUMIFS('Istoric_Nativ'!$H$6:$H$405,'Istoric_Nativ'!$B$6:$B$405,E44,'Istoric_Nativ'!$C$6:$C$405,F44,'Istoric_Nativ'!$F$6:$F$405,G44,'Istoric_Nativ'!$D$6:$D$405,"&lt;"&amp;J44,'Istoric_Nativ'!$P$6:$P$405,1,'Istoric_Nativ'!$D$6:$D$405,"&gt;="&amp;L44)))/M44)</x:f>
      </x:c>
      <x:c r="O44" s="11" t="str">
        <x:f>IF(M44=0,"",IF(H44="HOME",SUMIFS('Istoric_Nativ'!$H$6:$H$405,'Istoric_Nativ'!$B$6:$B$405,E44,'Istoric_Nativ'!$C$6:$C$405,F44,'Istoric_Nativ'!$E$6:$E$405,G44,'Istoric_Nativ'!$D$6:$D$405,"&lt;"&amp;J44,'Istoric_Nativ'!$P$6:$P$405,1,'Istoric_Nativ'!$D$6:$D$405,"&gt;="&amp;L44),IF(H44="AWAY",SUMIFS('Istoric_Nativ'!$G$6:$G$405,'Istoric_Nativ'!$B$6:$B$405,E44,'Istoric_Nativ'!$C$6:$C$405,F44,'Istoric_Nativ'!$F$6:$F$405,G44,'Istoric_Nativ'!$D$6:$D$405,"&lt;"&amp;J44,'Istoric_Nativ'!$P$6:$P$405,1,'Istoric_Nativ'!$D$6:$D$405,"&gt;="&amp;L44),SUMIFS('Istoric_Nativ'!$H$6:$H$405,'Istoric_Nativ'!$B$6:$B$405,E44,'Istoric_Nativ'!$C$6:$C$405,F44,'Istoric_Nativ'!$E$6:$E$405,G44,'Istoric_Nativ'!$D$6:$D$405,"&lt;"&amp;J44,'Istoric_Nativ'!$P$6:$P$405,1,'Istoric_Nativ'!$D$6:$D$405,"&gt;="&amp;L44)+SUMIFS('Istoric_Nativ'!$G$6:$G$405,'Istoric_Nativ'!$B$6:$B$405,E44,'Istoric_Nativ'!$C$6:$C$405,F44,'Istoric_Nativ'!$F$6:$F$405,G44,'Istoric_Nativ'!$D$6:$D$405,"&lt;"&amp;J44,'Istoric_Nativ'!$P$6:$P$405,1,'Istoric_Nativ'!$D$6:$D$405,"&gt;="&amp;L44)))/M44)</x:f>
      </x:c>
      <x:c r="P44" s="2" t="n">
        <x:f>'Config_v6'!$B$9</x:f>
        <x:v>3</x:v>
      </x:c>
      <x:c r="Q44" s="2" t="n">
        <x:f>IF(OR(B44="",F44=""),0,IFERROR(MATCH(E44&amp;"|"&amp;F44,SourceTable[Source_Key],0),0))</x:f>
        <x:v>0</x:v>
      </x:c>
      <x:c r="R44" s="2" t="str">
        <x:f>IF(B44="","",IF(F44="","UNUSED",IF(Q44=0,"NOT CHECKED",IF(COUNTIF(SourceTable[Source_Key],E44&amp;"|"&amp;F44)&lt;&gt;1,"SOURCE CONFLICT",IF(NOT(OR(INDEX(SourceTable[Status],MAX(1,Q44))="IMPORTED",INDEX(SourceTable[Status],MAX(1,Q44))="PARTIAL",INDEX(SourceTable[Status],MAX(1,Q44))="SOURCE CONFLICT")),"ACCESS BLOCKED",IF(OR(INDEX(SourceTable[Coverage],Q44)&lt;&gt;"FULL SEASON EXPORT",INDEX(SourceTable[URL],Q44)="",INDEX(SourceTable[SHA256],Q44)=""),"EVIDENCE INCOMPLETE",IF(AND('Input_Meci'!H9="LIVE",INDEX(SourceTable[Retrieved_UTC],Q44)&gt;'Input_Meci'!G9),"POST CUTOFF","CLOSED")))))))</x:f>
      </x:c>
      <x:c r="S44" s="2" t="n">
        <x:f>IF(OR(B44="",F44=""),0,COUNTIFS('Istoric_Nativ'!$B$6:$B$405,E44,'Istoric_Nativ'!$C$6:$C$405,F44,'Istoric_Nativ'!$E$6:$E$405,G44,'Istoric_Nativ'!$D$6:$D$405,"&lt;"&amp;J44,'Istoric_Nativ'!$O$6:$O$405,"INVALID")+COUNTIFS('Istoric_Nativ'!$B$6:$B$405,E44,'Istoric_Nativ'!$C$6:$C$405,F44,'Istoric_Nativ'!$E$6:$E$405,G44,'Istoric_Nativ'!$O$6:$O$405,"INVALID",'Istoric_Nativ'!$D$6:$D$405,"*")+COUNTIFS('Istoric_Nativ'!$B$6:$B$405,E44,'Istoric_Nativ'!$C$6:$C$405,F44,'Istoric_Nativ'!$E$6:$E$405,G44,'Istoric_Nativ'!$D$6:$D$405,"&lt;"&amp;J44,'Istoric_Nativ'!$O$6:$O$405,"SOURCE CONFLICT")+COUNTIFS('Istoric_Nativ'!$B$6:$B$405,E44,'Istoric_Nativ'!$C$6:$C$405,F44,'Istoric_Nativ'!$F$6:$F$405,G44,'Istoric_Nativ'!$D$6:$D$405,"&lt;"&amp;J44,'Istoric_Nativ'!$O$6:$O$405,"INVALID")+COUNTIFS('Istoric_Nativ'!$B$6:$B$405,E44,'Istoric_Nativ'!$C$6:$C$405,F44,'Istoric_Nativ'!$F$6:$F$405,G44,'Istoric_Nativ'!$O$6:$O$405,"INVALID",'Istoric_Nativ'!$D$6:$D$405,"*")+COUNTIFS('Istoric_Nativ'!$B$6:$B$405,E44,'Istoric_Nativ'!$C$6:$C$405,F44,'Istoric_Nativ'!$F$6:$F$405,G44,'Istoric_Nativ'!$D$6:$D$405,"&lt;"&amp;J44,'Istoric_Nativ'!$O$6:$O$405,"SOURCE CONFLICT"))</x:f>
        <x:v>0</x:v>
      </x:c>
      <x:c r="T44" s="2" t="str">
        <x:f>IF(B44="","",IF(R44&lt;&gt;"CLOSED",R44,IF(S44&gt;0,"NATIVE INPUT ISSUE",IF(M44=0,"NO HISTORY",IF(M44&lt;P44,"SMALL SAMPLE","DERIVED")))))</x:f>
      </x:c>
      <x:c r="U44" s="2" t="str">
        <x:f>IF(B44="","","NativeTable; "&amp;E44&amp;"; "&amp;F44&amp;"; "&amp;G44&amp;"; "&amp;H44&amp;"; before "&amp;TEXT(J44,"yyyy-mm-dd")&amp;IF(I44="RECENT","; from "&amp;TEXT(L44,"yyyy-mm-dd"),""))</x:f>
      </x:c>
    </x:row>
    <x:row r="45" ht="21" customHeight="1">
      <x:c r="A45" s="2" t="n">
        <x:v>4</x:v>
      </x:c>
      <x:c r="B45" s="2" t="str">
        <x:f>IF('Input_Meci'!A9="","",'Input_Meci'!A9)</x:f>
      </x:c>
      <x:c r="C45" s="2" t="str">
        <x:v>A</x:v>
      </x:c>
      <x:c r="D45" s="2" t="str">
        <x:v>CURRENT</x:v>
      </x:c>
      <x:c r="E45" s="2" t="str">
        <x:f>IF(B45="","",'Input_Meci'!B9)</x:f>
      </x:c>
      <x:c r="F45" s="2" t="str">
        <x:f>IF(B45="","",IF('Input_Meci'!C9="","",'Input_Meci'!C9))</x:f>
      </x:c>
      <x:c r="G45" s="2" t="str">
        <x:f>IF(B45="","",'Input_Meci'!E9)</x:f>
      </x:c>
      <x:c r="H45" s="2" t="str">
        <x:v>ANY</x:v>
      </x:c>
      <x:c r="I45" s="2" t="str">
        <x:v>SEASON</x:v>
      </x:c>
      <x:c r="J45" s="9" t="n">
        <x:f>IF(AND(B45&lt;&gt;"",ISNUMBER('Input_Meci'!G9)),INT('Input_Meci'!G9),0)</x:f>
        <x:v>0</x:v>
      </x:c>
      <x:c r="K45" s="2" t="n">
        <x:f>IF(OR(B45="",F45=""),0,IF(H45="HOME",COUNTIFS('Istoric_Nativ'!$B$6:$B$405,E45,'Istoric_Nativ'!$C$6:$C$405,F45,'Istoric_Nativ'!$E$6:$E$405,G45,'Istoric_Nativ'!$D$6:$D$405,"&lt;"&amp;J45,'Istoric_Nativ'!$P$6:$P$405,1),IF(H45="AWAY",COUNTIFS('Istoric_Nativ'!$B$6:$B$405,E45,'Istoric_Nativ'!$C$6:$C$405,F45,'Istoric_Nativ'!$F$6:$F$405,G45,'Istoric_Nativ'!$D$6:$D$405,"&lt;"&amp;J45,'Istoric_Nativ'!$P$6:$P$405,1),COUNTIFS('Istoric_Nativ'!$B$6:$B$405,E45,'Istoric_Nativ'!$C$6:$C$405,F45,'Istoric_Nativ'!$E$6:$E$405,G45,'Istoric_Nativ'!$D$6:$D$405,"&lt;"&amp;J45,'Istoric_Nativ'!$P$6:$P$405,1)+COUNTIFS('Istoric_Nativ'!$B$6:$B$405,E45,'Istoric_Nativ'!$C$6:$C$405,F45,'Istoric_Nativ'!$F$6:$F$405,G45,'Istoric_Nativ'!$D$6:$D$405,"&lt;"&amp;J45,'Istoric_Nativ'!$P$6:$P$405,1))))</x:f>
        <x:v>0</x:v>
      </x:c>
      <x:c r="L45" s="17" t="n">
        <x:f>IF(AND(B45&lt;&gt;"",I45="RECENT",K45&gt;0),LARGE(_xlfn._xlws.FILTER('Istoric_Nativ'!$D$6:$D$405,('Istoric_Nativ'!$B$6:$B$405=E45)*('Istoric_Nativ'!$C$6:$C$405=F45)*('Istoric_Nativ'!$P$6:$P$405=1)*('Istoric_Nativ'!$D$6:$D$405&lt;J45)*((('Istoric_Nativ'!$E$6:$E$405=G45)+('Istoric_Nativ'!$F$6:$F$405=G45))&gt;0)),MIN('Config_v6'!$B$54,K45)),0)</x:f>
        <x:v>0</x:v>
      </x:c>
      <x:c r="M45" s="2" t="n">
        <x:f>IF(OR(B45="",F45=""),0,IF(H45="HOME",COUNTIFS('Istoric_Nativ'!$B$6:$B$405,E45,'Istoric_Nativ'!$C$6:$C$405,F45,'Istoric_Nativ'!$E$6:$E$405,G45,'Istoric_Nativ'!$D$6:$D$405,"&lt;"&amp;J45,'Istoric_Nativ'!$P$6:$P$405,1,'Istoric_Nativ'!$D$6:$D$405,"&gt;="&amp;L45),IF(H45="AWAY",COUNTIFS('Istoric_Nativ'!$B$6:$B$405,E45,'Istoric_Nativ'!$C$6:$C$405,F45,'Istoric_Nativ'!$F$6:$F$405,G45,'Istoric_Nativ'!$D$6:$D$405,"&lt;"&amp;J45,'Istoric_Nativ'!$P$6:$P$405,1,'Istoric_Nativ'!$D$6:$D$405,"&gt;="&amp;L45),COUNTIFS('Istoric_Nativ'!$B$6:$B$405,E45,'Istoric_Nativ'!$C$6:$C$405,F45,'Istoric_Nativ'!$E$6:$E$405,G45,'Istoric_Nativ'!$D$6:$D$405,"&lt;"&amp;J45,'Istoric_Nativ'!$P$6:$P$405,1,'Istoric_Nativ'!$D$6:$D$405,"&gt;="&amp;L45)+COUNTIFS('Istoric_Nativ'!$B$6:$B$405,E45,'Istoric_Nativ'!$C$6:$C$405,F45,'Istoric_Nativ'!$F$6:$F$405,G45,'Istoric_Nativ'!$D$6:$D$405,"&lt;"&amp;J45,'Istoric_Nativ'!$P$6:$P$405,1,'Istoric_Nativ'!$D$6:$D$405,"&gt;="&amp;L45))))</x:f>
        <x:v>0</x:v>
      </x:c>
      <x:c r="N45" s="11" t="str">
        <x:f>IF(M45=0,"",IF(H45="HOME",SUMIFS('Istoric_Nativ'!$G$6:$G$405,'Istoric_Nativ'!$B$6:$B$405,E45,'Istoric_Nativ'!$C$6:$C$405,F45,'Istoric_Nativ'!$E$6:$E$405,G45,'Istoric_Nativ'!$D$6:$D$405,"&lt;"&amp;J45,'Istoric_Nativ'!$P$6:$P$405,1,'Istoric_Nativ'!$D$6:$D$405,"&gt;="&amp;L45),IF(H45="AWAY",SUMIFS('Istoric_Nativ'!$H$6:$H$405,'Istoric_Nativ'!$B$6:$B$405,E45,'Istoric_Nativ'!$C$6:$C$405,F45,'Istoric_Nativ'!$F$6:$F$405,G45,'Istoric_Nativ'!$D$6:$D$405,"&lt;"&amp;J45,'Istoric_Nativ'!$P$6:$P$405,1,'Istoric_Nativ'!$D$6:$D$405,"&gt;="&amp;L45),SUMIFS('Istoric_Nativ'!$G$6:$G$405,'Istoric_Nativ'!$B$6:$B$405,E45,'Istoric_Nativ'!$C$6:$C$405,F45,'Istoric_Nativ'!$E$6:$E$405,G45,'Istoric_Nativ'!$D$6:$D$405,"&lt;"&amp;J45,'Istoric_Nativ'!$P$6:$P$405,1,'Istoric_Nativ'!$D$6:$D$405,"&gt;="&amp;L45)+SUMIFS('Istoric_Nativ'!$H$6:$H$405,'Istoric_Nativ'!$B$6:$B$405,E45,'Istoric_Nativ'!$C$6:$C$405,F45,'Istoric_Nativ'!$F$6:$F$405,G45,'Istoric_Nativ'!$D$6:$D$405,"&lt;"&amp;J45,'Istoric_Nativ'!$P$6:$P$405,1,'Istoric_Nativ'!$D$6:$D$405,"&gt;="&amp;L45)))/M45)</x:f>
      </x:c>
      <x:c r="O45" s="11" t="str">
        <x:f>IF(M45=0,"",IF(H45="HOME",SUMIFS('Istoric_Nativ'!$H$6:$H$405,'Istoric_Nativ'!$B$6:$B$405,E45,'Istoric_Nativ'!$C$6:$C$405,F45,'Istoric_Nativ'!$E$6:$E$405,G45,'Istoric_Nativ'!$D$6:$D$405,"&lt;"&amp;J45,'Istoric_Nativ'!$P$6:$P$405,1,'Istoric_Nativ'!$D$6:$D$405,"&gt;="&amp;L45),IF(H45="AWAY",SUMIFS('Istoric_Nativ'!$G$6:$G$405,'Istoric_Nativ'!$B$6:$B$405,E45,'Istoric_Nativ'!$C$6:$C$405,F45,'Istoric_Nativ'!$F$6:$F$405,G45,'Istoric_Nativ'!$D$6:$D$405,"&lt;"&amp;J45,'Istoric_Nativ'!$P$6:$P$405,1,'Istoric_Nativ'!$D$6:$D$405,"&gt;="&amp;L45),SUMIFS('Istoric_Nativ'!$H$6:$H$405,'Istoric_Nativ'!$B$6:$B$405,E45,'Istoric_Nativ'!$C$6:$C$405,F45,'Istoric_Nativ'!$E$6:$E$405,G45,'Istoric_Nativ'!$D$6:$D$405,"&lt;"&amp;J45,'Istoric_Nativ'!$P$6:$P$405,1,'Istoric_Nativ'!$D$6:$D$405,"&gt;="&amp;L45)+SUMIFS('Istoric_Nativ'!$G$6:$G$405,'Istoric_Nativ'!$B$6:$B$405,E45,'Istoric_Nativ'!$C$6:$C$405,F45,'Istoric_Nativ'!$F$6:$F$405,G45,'Istoric_Nativ'!$D$6:$D$405,"&lt;"&amp;J45,'Istoric_Nativ'!$P$6:$P$405,1,'Istoric_Nativ'!$D$6:$D$405,"&gt;="&amp;L45)))/M45)</x:f>
      </x:c>
      <x:c r="P45" s="2" t="n">
        <x:f>'Config_v6'!$B$7</x:f>
        <x:v>10</x:v>
      </x:c>
      <x:c r="Q45" s="2" t="n">
        <x:f>IF(OR(B45="",F45=""),0,IFERROR(MATCH(E45&amp;"|"&amp;F45,SourceTable[Source_Key],0),0))</x:f>
        <x:v>0</x:v>
      </x:c>
      <x:c r="R45" s="2" t="str">
        <x:f>IF(B45="","",IF(F45="","UNUSED",IF(Q45=0,"NOT CHECKED",IF(COUNTIF(SourceTable[Source_Key],E45&amp;"|"&amp;F45)&lt;&gt;1,"SOURCE CONFLICT",IF(NOT(OR(INDEX(SourceTable[Status],MAX(1,Q45))="IMPORTED",INDEX(SourceTable[Status],MAX(1,Q45))="PARTIAL",INDEX(SourceTable[Status],MAX(1,Q45))="SOURCE CONFLICT")),"ACCESS BLOCKED",IF(OR(INDEX(SourceTable[Coverage],Q45)&lt;&gt;"FULL SEASON EXPORT",INDEX(SourceTable[URL],Q45)="",INDEX(SourceTable[SHA256],Q45)=""),"EVIDENCE INCOMPLETE",IF(AND('Input_Meci'!H9="LIVE",INDEX(SourceTable[Retrieved_UTC],Q45)&gt;'Input_Meci'!G9),"POST CUTOFF","CLOSED")))))))</x:f>
      </x:c>
      <x:c r="S45" s="2" t="n">
        <x:f>IF(OR(B45="",F45=""),0,COUNTIFS('Istoric_Nativ'!$B$6:$B$405,E45,'Istoric_Nativ'!$C$6:$C$405,F45,'Istoric_Nativ'!$E$6:$E$405,G45,'Istoric_Nativ'!$D$6:$D$405,"&lt;"&amp;J45,'Istoric_Nativ'!$O$6:$O$405,"INVALID")+COUNTIFS('Istoric_Nativ'!$B$6:$B$405,E45,'Istoric_Nativ'!$C$6:$C$405,F45,'Istoric_Nativ'!$E$6:$E$405,G45,'Istoric_Nativ'!$O$6:$O$405,"INVALID",'Istoric_Nativ'!$D$6:$D$405,"*")+COUNTIFS('Istoric_Nativ'!$B$6:$B$405,E45,'Istoric_Nativ'!$C$6:$C$405,F45,'Istoric_Nativ'!$E$6:$E$405,G45,'Istoric_Nativ'!$D$6:$D$405,"&lt;"&amp;J45,'Istoric_Nativ'!$O$6:$O$405,"SOURCE CONFLICT")+COUNTIFS('Istoric_Nativ'!$B$6:$B$405,E45,'Istoric_Nativ'!$C$6:$C$405,F45,'Istoric_Nativ'!$F$6:$F$405,G45,'Istoric_Nativ'!$D$6:$D$405,"&lt;"&amp;J45,'Istoric_Nativ'!$O$6:$O$405,"INVALID")+COUNTIFS('Istoric_Nativ'!$B$6:$B$405,E45,'Istoric_Nativ'!$C$6:$C$405,F45,'Istoric_Nativ'!$F$6:$F$405,G45,'Istoric_Nativ'!$O$6:$O$405,"INVALID",'Istoric_Nativ'!$D$6:$D$405,"*")+COUNTIFS('Istoric_Nativ'!$B$6:$B$405,E45,'Istoric_Nativ'!$C$6:$C$405,F45,'Istoric_Nativ'!$F$6:$F$405,G45,'Istoric_Nativ'!$D$6:$D$405,"&lt;"&amp;J45,'Istoric_Nativ'!$O$6:$O$405,"SOURCE CONFLICT"))</x:f>
        <x:v>0</x:v>
      </x:c>
      <x:c r="T45" s="2" t="str">
        <x:f>IF(B45="","",IF(R45&lt;&gt;"CLOSED",R45,IF(S45&gt;0,"NATIVE INPUT ISSUE",IF(M45=0,"NO HISTORY",IF(M45&lt;P45,"SMALL SAMPLE","DERIVED")))))</x:f>
      </x:c>
      <x:c r="U45" s="2" t="str">
        <x:f>IF(B45="","","NativeTable; "&amp;E45&amp;"; "&amp;F45&amp;"; "&amp;G45&amp;"; "&amp;H45&amp;"; before "&amp;TEXT(J45,"yyyy-mm-dd")&amp;IF(I45="RECENT","; from "&amp;TEXT(L45,"yyyy-mm-dd"),""))</x:f>
      </x:c>
    </x:row>
    <x:row r="46" ht="21" customHeight="1">
      <x:c r="A46" s="2" t="n">
        <x:v>4</x:v>
      </x:c>
      <x:c r="B46" s="2" t="str">
        <x:f>IF('Input_Meci'!A9="","",'Input_Meci'!A9)</x:f>
      </x:c>
      <x:c r="C46" s="2" t="str">
        <x:v>A</x:v>
      </x:c>
      <x:c r="D46" s="2" t="str">
        <x:v>CURRENT</x:v>
      </x:c>
      <x:c r="E46" s="2" t="str">
        <x:f>IF(B46="","",'Input_Meci'!B9)</x:f>
      </x:c>
      <x:c r="F46" s="2" t="str">
        <x:f>IF(B46="","",IF('Input_Meci'!C9="","",'Input_Meci'!C9))</x:f>
      </x:c>
      <x:c r="G46" s="2" t="str">
        <x:f>IF(B46="","",'Input_Meci'!E9)</x:f>
      </x:c>
      <x:c r="H46" s="2" t="str">
        <x:v>AWAY</x:v>
      </x:c>
      <x:c r="I46" s="2" t="str">
        <x:v>HA</x:v>
      </x:c>
      <x:c r="J46" s="9" t="n">
        <x:f>IF(AND(B46&lt;&gt;"",ISNUMBER('Input_Meci'!G9)),INT('Input_Meci'!G9),0)</x:f>
        <x:v>0</x:v>
      </x:c>
      <x:c r="K46" s="2" t="n">
        <x:f>IF(OR(B46="",F46=""),0,IF(H46="HOME",COUNTIFS('Istoric_Nativ'!$B$6:$B$405,E46,'Istoric_Nativ'!$C$6:$C$405,F46,'Istoric_Nativ'!$E$6:$E$405,G46,'Istoric_Nativ'!$D$6:$D$405,"&lt;"&amp;J46,'Istoric_Nativ'!$P$6:$P$405,1),IF(H46="AWAY",COUNTIFS('Istoric_Nativ'!$B$6:$B$405,E46,'Istoric_Nativ'!$C$6:$C$405,F46,'Istoric_Nativ'!$F$6:$F$405,G46,'Istoric_Nativ'!$D$6:$D$405,"&lt;"&amp;J46,'Istoric_Nativ'!$P$6:$P$405,1),COUNTIFS('Istoric_Nativ'!$B$6:$B$405,E46,'Istoric_Nativ'!$C$6:$C$405,F46,'Istoric_Nativ'!$E$6:$E$405,G46,'Istoric_Nativ'!$D$6:$D$405,"&lt;"&amp;J46,'Istoric_Nativ'!$P$6:$P$405,1)+COUNTIFS('Istoric_Nativ'!$B$6:$B$405,E46,'Istoric_Nativ'!$C$6:$C$405,F46,'Istoric_Nativ'!$F$6:$F$405,G46,'Istoric_Nativ'!$D$6:$D$405,"&lt;"&amp;J46,'Istoric_Nativ'!$P$6:$P$405,1))))</x:f>
        <x:v>0</x:v>
      </x:c>
      <x:c r="L46" s="17" t="n">
        <x:f>IF(AND(B46&lt;&gt;"",I46="RECENT",K46&gt;0),LARGE(_xlfn._xlws.FILTER('Istoric_Nativ'!$D$6:$D$405,('Istoric_Nativ'!$B$6:$B$405=E46)*('Istoric_Nativ'!$C$6:$C$405=F46)*('Istoric_Nativ'!$P$6:$P$405=1)*('Istoric_Nativ'!$D$6:$D$405&lt;J46)*((('Istoric_Nativ'!$E$6:$E$405=G46)+('Istoric_Nativ'!$F$6:$F$405=G46))&gt;0)),MIN('Config_v6'!$B$54,K46)),0)</x:f>
        <x:v>0</x:v>
      </x:c>
      <x:c r="M46" s="2" t="n">
        <x:f>IF(OR(B46="",F46=""),0,IF(H46="HOME",COUNTIFS('Istoric_Nativ'!$B$6:$B$405,E46,'Istoric_Nativ'!$C$6:$C$405,F46,'Istoric_Nativ'!$E$6:$E$405,G46,'Istoric_Nativ'!$D$6:$D$405,"&lt;"&amp;J46,'Istoric_Nativ'!$P$6:$P$405,1,'Istoric_Nativ'!$D$6:$D$405,"&gt;="&amp;L46),IF(H46="AWAY",COUNTIFS('Istoric_Nativ'!$B$6:$B$405,E46,'Istoric_Nativ'!$C$6:$C$405,F46,'Istoric_Nativ'!$F$6:$F$405,G46,'Istoric_Nativ'!$D$6:$D$405,"&lt;"&amp;J46,'Istoric_Nativ'!$P$6:$P$405,1,'Istoric_Nativ'!$D$6:$D$405,"&gt;="&amp;L46),COUNTIFS('Istoric_Nativ'!$B$6:$B$405,E46,'Istoric_Nativ'!$C$6:$C$405,F46,'Istoric_Nativ'!$E$6:$E$405,G46,'Istoric_Nativ'!$D$6:$D$405,"&lt;"&amp;J46,'Istoric_Nativ'!$P$6:$P$405,1,'Istoric_Nativ'!$D$6:$D$405,"&gt;="&amp;L46)+COUNTIFS('Istoric_Nativ'!$B$6:$B$405,E46,'Istoric_Nativ'!$C$6:$C$405,F46,'Istoric_Nativ'!$F$6:$F$405,G46,'Istoric_Nativ'!$D$6:$D$405,"&lt;"&amp;J46,'Istoric_Nativ'!$P$6:$P$405,1,'Istoric_Nativ'!$D$6:$D$405,"&gt;="&amp;L46))))</x:f>
        <x:v>0</x:v>
      </x:c>
      <x:c r="N46" s="11" t="str">
        <x:f>IF(M46=0,"",IF(H46="HOME",SUMIFS('Istoric_Nativ'!$G$6:$G$405,'Istoric_Nativ'!$B$6:$B$405,E46,'Istoric_Nativ'!$C$6:$C$405,F46,'Istoric_Nativ'!$E$6:$E$405,G46,'Istoric_Nativ'!$D$6:$D$405,"&lt;"&amp;J46,'Istoric_Nativ'!$P$6:$P$405,1,'Istoric_Nativ'!$D$6:$D$405,"&gt;="&amp;L46),IF(H46="AWAY",SUMIFS('Istoric_Nativ'!$H$6:$H$405,'Istoric_Nativ'!$B$6:$B$405,E46,'Istoric_Nativ'!$C$6:$C$405,F46,'Istoric_Nativ'!$F$6:$F$405,G46,'Istoric_Nativ'!$D$6:$D$405,"&lt;"&amp;J46,'Istoric_Nativ'!$P$6:$P$405,1,'Istoric_Nativ'!$D$6:$D$405,"&gt;="&amp;L46),SUMIFS('Istoric_Nativ'!$G$6:$G$405,'Istoric_Nativ'!$B$6:$B$405,E46,'Istoric_Nativ'!$C$6:$C$405,F46,'Istoric_Nativ'!$E$6:$E$405,G46,'Istoric_Nativ'!$D$6:$D$405,"&lt;"&amp;J46,'Istoric_Nativ'!$P$6:$P$405,1,'Istoric_Nativ'!$D$6:$D$405,"&gt;="&amp;L46)+SUMIFS('Istoric_Nativ'!$H$6:$H$405,'Istoric_Nativ'!$B$6:$B$405,E46,'Istoric_Nativ'!$C$6:$C$405,F46,'Istoric_Nativ'!$F$6:$F$405,G46,'Istoric_Nativ'!$D$6:$D$405,"&lt;"&amp;J46,'Istoric_Nativ'!$P$6:$P$405,1,'Istoric_Nativ'!$D$6:$D$405,"&gt;="&amp;L46)))/M46)</x:f>
      </x:c>
      <x:c r="O46" s="11" t="str">
        <x:f>IF(M46=0,"",IF(H46="HOME",SUMIFS('Istoric_Nativ'!$H$6:$H$405,'Istoric_Nativ'!$B$6:$B$405,E46,'Istoric_Nativ'!$C$6:$C$405,F46,'Istoric_Nativ'!$E$6:$E$405,G46,'Istoric_Nativ'!$D$6:$D$405,"&lt;"&amp;J46,'Istoric_Nativ'!$P$6:$P$405,1,'Istoric_Nativ'!$D$6:$D$405,"&gt;="&amp;L46),IF(H46="AWAY",SUMIFS('Istoric_Nativ'!$G$6:$G$405,'Istoric_Nativ'!$B$6:$B$405,E46,'Istoric_Nativ'!$C$6:$C$405,F46,'Istoric_Nativ'!$F$6:$F$405,G46,'Istoric_Nativ'!$D$6:$D$405,"&lt;"&amp;J46,'Istoric_Nativ'!$P$6:$P$405,1,'Istoric_Nativ'!$D$6:$D$405,"&gt;="&amp;L46),SUMIFS('Istoric_Nativ'!$H$6:$H$405,'Istoric_Nativ'!$B$6:$B$405,E46,'Istoric_Nativ'!$C$6:$C$405,F46,'Istoric_Nativ'!$E$6:$E$405,G46,'Istoric_Nativ'!$D$6:$D$405,"&lt;"&amp;J46,'Istoric_Nativ'!$P$6:$P$405,1,'Istoric_Nativ'!$D$6:$D$405,"&gt;="&amp;L46)+SUMIFS('Istoric_Nativ'!$G$6:$G$405,'Istoric_Nativ'!$B$6:$B$405,E46,'Istoric_Nativ'!$C$6:$C$405,F46,'Istoric_Nativ'!$F$6:$F$405,G46,'Istoric_Nativ'!$D$6:$D$405,"&lt;"&amp;J46,'Istoric_Nativ'!$P$6:$P$405,1,'Istoric_Nativ'!$D$6:$D$405,"&gt;="&amp;L46)))/M46)</x:f>
      </x:c>
      <x:c r="P46" s="2" t="n">
        <x:f>'Config_v6'!$B$8</x:f>
        <x:v>5</x:v>
      </x:c>
      <x:c r="Q46" s="2" t="n">
        <x:f>IF(OR(B46="",F46=""),0,IFERROR(MATCH(E46&amp;"|"&amp;F46,SourceTable[Source_Key],0),0))</x:f>
        <x:v>0</x:v>
      </x:c>
      <x:c r="R46" s="2" t="str">
        <x:f>IF(B46="","",IF(F46="","UNUSED",IF(Q46=0,"NOT CHECKED",IF(COUNTIF(SourceTable[Source_Key],E46&amp;"|"&amp;F46)&lt;&gt;1,"SOURCE CONFLICT",IF(NOT(OR(INDEX(SourceTable[Status],MAX(1,Q46))="IMPORTED",INDEX(SourceTable[Status],MAX(1,Q46))="PARTIAL",INDEX(SourceTable[Status],MAX(1,Q46))="SOURCE CONFLICT")),"ACCESS BLOCKED",IF(OR(INDEX(SourceTable[Coverage],Q46)&lt;&gt;"FULL SEASON EXPORT",INDEX(SourceTable[URL],Q46)="",INDEX(SourceTable[SHA256],Q46)=""),"EVIDENCE INCOMPLETE",IF(AND('Input_Meci'!H9="LIVE",INDEX(SourceTable[Retrieved_UTC],Q46)&gt;'Input_Meci'!G9),"POST CUTOFF","CLOSED")))))))</x:f>
      </x:c>
      <x:c r="S46" s="2" t="n">
        <x:f>IF(OR(B46="",F46=""),0,COUNTIFS('Istoric_Nativ'!$B$6:$B$405,E46,'Istoric_Nativ'!$C$6:$C$405,F46,'Istoric_Nativ'!$E$6:$E$405,G46,'Istoric_Nativ'!$D$6:$D$405,"&lt;"&amp;J46,'Istoric_Nativ'!$O$6:$O$405,"INVALID")+COUNTIFS('Istoric_Nativ'!$B$6:$B$405,E46,'Istoric_Nativ'!$C$6:$C$405,F46,'Istoric_Nativ'!$E$6:$E$405,G46,'Istoric_Nativ'!$O$6:$O$405,"INVALID",'Istoric_Nativ'!$D$6:$D$405,"*")+COUNTIFS('Istoric_Nativ'!$B$6:$B$405,E46,'Istoric_Nativ'!$C$6:$C$405,F46,'Istoric_Nativ'!$E$6:$E$405,G46,'Istoric_Nativ'!$D$6:$D$405,"&lt;"&amp;J46,'Istoric_Nativ'!$O$6:$O$405,"SOURCE CONFLICT")+COUNTIFS('Istoric_Nativ'!$B$6:$B$405,E46,'Istoric_Nativ'!$C$6:$C$405,F46,'Istoric_Nativ'!$F$6:$F$405,G46,'Istoric_Nativ'!$D$6:$D$405,"&lt;"&amp;J46,'Istoric_Nativ'!$O$6:$O$405,"INVALID")+COUNTIFS('Istoric_Nativ'!$B$6:$B$405,E46,'Istoric_Nativ'!$C$6:$C$405,F46,'Istoric_Nativ'!$F$6:$F$405,G46,'Istoric_Nativ'!$O$6:$O$405,"INVALID",'Istoric_Nativ'!$D$6:$D$405,"*")+COUNTIFS('Istoric_Nativ'!$B$6:$B$405,E46,'Istoric_Nativ'!$C$6:$C$405,F46,'Istoric_Nativ'!$F$6:$F$405,G46,'Istoric_Nativ'!$D$6:$D$405,"&lt;"&amp;J46,'Istoric_Nativ'!$O$6:$O$405,"SOURCE CONFLICT"))</x:f>
        <x:v>0</x:v>
      </x:c>
      <x:c r="T46" s="2" t="str">
        <x:f>IF(B46="","",IF(R46&lt;&gt;"CLOSED",R46,IF(S46&gt;0,"NATIVE INPUT ISSUE",IF(M46=0,"NO HISTORY",IF(M46&lt;P46,"SMALL SAMPLE","DERIVED")))))</x:f>
      </x:c>
      <x:c r="U46" s="2" t="str">
        <x:f>IF(B46="","","NativeTable; "&amp;E46&amp;"; "&amp;F46&amp;"; "&amp;G46&amp;"; "&amp;H46&amp;"; before "&amp;TEXT(J46,"yyyy-mm-dd")&amp;IF(I46="RECENT","; from "&amp;TEXT(L46,"yyyy-mm-dd"),""))</x:f>
      </x:c>
    </x:row>
    <x:row r="47" ht="21" customHeight="1">
      <x:c r="A47" s="2" t="n">
        <x:v>4</x:v>
      </x:c>
      <x:c r="B47" s="2" t="str">
        <x:f>IF('Input_Meci'!A9="","",'Input_Meci'!A9)</x:f>
      </x:c>
      <x:c r="C47" s="2" t="str">
        <x:v>A</x:v>
      </x:c>
      <x:c r="D47" s="2" t="str">
        <x:v>CURRENT</x:v>
      </x:c>
      <x:c r="E47" s="2" t="str">
        <x:f>IF(B47="","",'Input_Meci'!B9)</x:f>
      </x:c>
      <x:c r="F47" s="2" t="str">
        <x:f>IF(B47="","",IF('Input_Meci'!C9="","",'Input_Meci'!C9))</x:f>
      </x:c>
      <x:c r="G47" s="2" t="str">
        <x:f>IF(B47="","",'Input_Meci'!E9)</x:f>
      </x:c>
      <x:c r="H47" s="2" t="str">
        <x:v>ANY</x:v>
      </x:c>
      <x:c r="I47" s="2" t="str">
        <x:v>RECENT</x:v>
      </x:c>
      <x:c r="J47" s="9" t="n">
        <x:f>IF(AND(B47&lt;&gt;"",ISNUMBER('Input_Meci'!G9)),INT('Input_Meci'!G9),0)</x:f>
        <x:v>0</x:v>
      </x:c>
      <x:c r="K47" s="2" t="n">
        <x:f>IF(OR(B47="",F47=""),0,IF(H47="HOME",COUNTIFS('Istoric_Nativ'!$B$6:$B$405,E47,'Istoric_Nativ'!$C$6:$C$405,F47,'Istoric_Nativ'!$E$6:$E$405,G47,'Istoric_Nativ'!$D$6:$D$405,"&lt;"&amp;J47,'Istoric_Nativ'!$P$6:$P$405,1),IF(H47="AWAY",COUNTIFS('Istoric_Nativ'!$B$6:$B$405,E47,'Istoric_Nativ'!$C$6:$C$405,F47,'Istoric_Nativ'!$F$6:$F$405,G47,'Istoric_Nativ'!$D$6:$D$405,"&lt;"&amp;J47,'Istoric_Nativ'!$P$6:$P$405,1),COUNTIFS('Istoric_Nativ'!$B$6:$B$405,E47,'Istoric_Nativ'!$C$6:$C$405,F47,'Istoric_Nativ'!$E$6:$E$405,G47,'Istoric_Nativ'!$D$6:$D$405,"&lt;"&amp;J47,'Istoric_Nativ'!$P$6:$P$405,1)+COUNTIFS('Istoric_Nativ'!$B$6:$B$405,E47,'Istoric_Nativ'!$C$6:$C$405,F47,'Istoric_Nativ'!$F$6:$F$405,G47,'Istoric_Nativ'!$D$6:$D$405,"&lt;"&amp;J47,'Istoric_Nativ'!$P$6:$P$405,1))))</x:f>
        <x:v>0</x:v>
      </x:c>
      <x:c r="L47" s="17" t="n">
        <x:f>IF(AND(B47&lt;&gt;"",I47="RECENT",K47&gt;0),LARGE(_xlfn._xlws.FILTER('Istoric_Nativ'!$D$6:$D$405,('Istoric_Nativ'!$B$6:$B$405=E47)*('Istoric_Nativ'!$C$6:$C$405=F47)*('Istoric_Nativ'!$P$6:$P$405=1)*('Istoric_Nativ'!$D$6:$D$405&lt;J47)*((('Istoric_Nativ'!$E$6:$E$405=G47)+('Istoric_Nativ'!$F$6:$F$405=G47))&gt;0)),MIN('Config_v6'!$B$54,K47)),0)</x:f>
        <x:v>0</x:v>
      </x:c>
      <x:c r="M47" s="2" t="n">
        <x:f>IF(OR(B47="",F47=""),0,IF(H47="HOME",COUNTIFS('Istoric_Nativ'!$B$6:$B$405,E47,'Istoric_Nativ'!$C$6:$C$405,F47,'Istoric_Nativ'!$E$6:$E$405,G47,'Istoric_Nativ'!$D$6:$D$405,"&lt;"&amp;J47,'Istoric_Nativ'!$P$6:$P$405,1,'Istoric_Nativ'!$D$6:$D$405,"&gt;="&amp;L47),IF(H47="AWAY",COUNTIFS('Istoric_Nativ'!$B$6:$B$405,E47,'Istoric_Nativ'!$C$6:$C$405,F47,'Istoric_Nativ'!$F$6:$F$405,G47,'Istoric_Nativ'!$D$6:$D$405,"&lt;"&amp;J47,'Istoric_Nativ'!$P$6:$P$405,1,'Istoric_Nativ'!$D$6:$D$405,"&gt;="&amp;L47),COUNTIFS('Istoric_Nativ'!$B$6:$B$405,E47,'Istoric_Nativ'!$C$6:$C$405,F47,'Istoric_Nativ'!$E$6:$E$405,G47,'Istoric_Nativ'!$D$6:$D$405,"&lt;"&amp;J47,'Istoric_Nativ'!$P$6:$P$405,1,'Istoric_Nativ'!$D$6:$D$405,"&gt;="&amp;L47)+COUNTIFS('Istoric_Nativ'!$B$6:$B$405,E47,'Istoric_Nativ'!$C$6:$C$405,F47,'Istoric_Nativ'!$F$6:$F$405,G47,'Istoric_Nativ'!$D$6:$D$405,"&lt;"&amp;J47,'Istoric_Nativ'!$P$6:$P$405,1,'Istoric_Nativ'!$D$6:$D$405,"&gt;="&amp;L47))))</x:f>
        <x:v>0</x:v>
      </x:c>
      <x:c r="N47" s="11" t="str">
        <x:f>IF(M47=0,"",IF(H47="HOME",SUMIFS('Istoric_Nativ'!$G$6:$G$405,'Istoric_Nativ'!$B$6:$B$405,E47,'Istoric_Nativ'!$C$6:$C$405,F47,'Istoric_Nativ'!$E$6:$E$405,G47,'Istoric_Nativ'!$D$6:$D$405,"&lt;"&amp;J47,'Istoric_Nativ'!$P$6:$P$405,1,'Istoric_Nativ'!$D$6:$D$405,"&gt;="&amp;L47),IF(H47="AWAY",SUMIFS('Istoric_Nativ'!$H$6:$H$405,'Istoric_Nativ'!$B$6:$B$405,E47,'Istoric_Nativ'!$C$6:$C$405,F47,'Istoric_Nativ'!$F$6:$F$405,G47,'Istoric_Nativ'!$D$6:$D$405,"&lt;"&amp;J47,'Istoric_Nativ'!$P$6:$P$405,1,'Istoric_Nativ'!$D$6:$D$405,"&gt;="&amp;L47),SUMIFS('Istoric_Nativ'!$G$6:$G$405,'Istoric_Nativ'!$B$6:$B$405,E47,'Istoric_Nativ'!$C$6:$C$405,F47,'Istoric_Nativ'!$E$6:$E$405,G47,'Istoric_Nativ'!$D$6:$D$405,"&lt;"&amp;J47,'Istoric_Nativ'!$P$6:$P$405,1,'Istoric_Nativ'!$D$6:$D$405,"&gt;="&amp;L47)+SUMIFS('Istoric_Nativ'!$H$6:$H$405,'Istoric_Nativ'!$B$6:$B$405,E47,'Istoric_Nativ'!$C$6:$C$405,F47,'Istoric_Nativ'!$F$6:$F$405,G47,'Istoric_Nativ'!$D$6:$D$405,"&lt;"&amp;J47,'Istoric_Nativ'!$P$6:$P$405,1,'Istoric_Nativ'!$D$6:$D$405,"&gt;="&amp;L47)))/M47)</x:f>
      </x:c>
      <x:c r="O47" s="11" t="str">
        <x:f>IF(M47=0,"",IF(H47="HOME",SUMIFS('Istoric_Nativ'!$H$6:$H$405,'Istoric_Nativ'!$B$6:$B$405,E47,'Istoric_Nativ'!$C$6:$C$405,F47,'Istoric_Nativ'!$E$6:$E$405,G47,'Istoric_Nativ'!$D$6:$D$405,"&lt;"&amp;J47,'Istoric_Nativ'!$P$6:$P$405,1,'Istoric_Nativ'!$D$6:$D$405,"&gt;="&amp;L47),IF(H47="AWAY",SUMIFS('Istoric_Nativ'!$G$6:$G$405,'Istoric_Nativ'!$B$6:$B$405,E47,'Istoric_Nativ'!$C$6:$C$405,F47,'Istoric_Nativ'!$F$6:$F$405,G47,'Istoric_Nativ'!$D$6:$D$405,"&lt;"&amp;J47,'Istoric_Nativ'!$P$6:$P$405,1,'Istoric_Nativ'!$D$6:$D$405,"&gt;="&amp;L47),SUMIFS('Istoric_Nativ'!$H$6:$H$405,'Istoric_Nativ'!$B$6:$B$405,E47,'Istoric_Nativ'!$C$6:$C$405,F47,'Istoric_Nativ'!$E$6:$E$405,G47,'Istoric_Nativ'!$D$6:$D$405,"&lt;"&amp;J47,'Istoric_Nativ'!$P$6:$P$405,1,'Istoric_Nativ'!$D$6:$D$405,"&gt;="&amp;L47)+SUMIFS('Istoric_Nativ'!$G$6:$G$405,'Istoric_Nativ'!$B$6:$B$405,E47,'Istoric_Nativ'!$C$6:$C$405,F47,'Istoric_Nativ'!$F$6:$F$405,G47,'Istoric_Nativ'!$D$6:$D$405,"&lt;"&amp;J47,'Istoric_Nativ'!$P$6:$P$405,1,'Istoric_Nativ'!$D$6:$D$405,"&gt;="&amp;L47)))/M47)</x:f>
      </x:c>
      <x:c r="P47" s="2" t="n">
        <x:f>'Config_v6'!$B$9</x:f>
        <x:v>3</x:v>
      </x:c>
      <x:c r="Q47" s="2" t="n">
        <x:f>IF(OR(B47="",F47=""),0,IFERROR(MATCH(E47&amp;"|"&amp;F47,SourceTable[Source_Key],0),0))</x:f>
        <x:v>0</x:v>
      </x:c>
      <x:c r="R47" s="2" t="str">
        <x:f>IF(B47="","",IF(F47="","UNUSED",IF(Q47=0,"NOT CHECKED",IF(COUNTIF(SourceTable[Source_Key],E47&amp;"|"&amp;F47)&lt;&gt;1,"SOURCE CONFLICT",IF(NOT(OR(INDEX(SourceTable[Status],MAX(1,Q47))="IMPORTED",INDEX(SourceTable[Status],MAX(1,Q47))="PARTIAL",INDEX(SourceTable[Status],MAX(1,Q47))="SOURCE CONFLICT")),"ACCESS BLOCKED",IF(OR(INDEX(SourceTable[Coverage],Q47)&lt;&gt;"FULL SEASON EXPORT",INDEX(SourceTable[URL],Q47)="",INDEX(SourceTable[SHA256],Q47)=""),"EVIDENCE INCOMPLETE",IF(AND('Input_Meci'!H9="LIVE",INDEX(SourceTable[Retrieved_UTC],Q47)&gt;'Input_Meci'!G9),"POST CUTOFF","CLOSED")))))))</x:f>
      </x:c>
      <x:c r="S47" s="2" t="n">
        <x:f>IF(OR(B47="",F47=""),0,COUNTIFS('Istoric_Nativ'!$B$6:$B$405,E47,'Istoric_Nativ'!$C$6:$C$405,F47,'Istoric_Nativ'!$E$6:$E$405,G47,'Istoric_Nativ'!$D$6:$D$405,"&lt;"&amp;J47,'Istoric_Nativ'!$O$6:$O$405,"INVALID")+COUNTIFS('Istoric_Nativ'!$B$6:$B$405,E47,'Istoric_Nativ'!$C$6:$C$405,F47,'Istoric_Nativ'!$E$6:$E$405,G47,'Istoric_Nativ'!$O$6:$O$405,"INVALID",'Istoric_Nativ'!$D$6:$D$405,"*")+COUNTIFS('Istoric_Nativ'!$B$6:$B$405,E47,'Istoric_Nativ'!$C$6:$C$405,F47,'Istoric_Nativ'!$E$6:$E$405,G47,'Istoric_Nativ'!$D$6:$D$405,"&lt;"&amp;J47,'Istoric_Nativ'!$O$6:$O$405,"SOURCE CONFLICT")+COUNTIFS('Istoric_Nativ'!$B$6:$B$405,E47,'Istoric_Nativ'!$C$6:$C$405,F47,'Istoric_Nativ'!$F$6:$F$405,G47,'Istoric_Nativ'!$D$6:$D$405,"&lt;"&amp;J47,'Istoric_Nativ'!$O$6:$O$405,"INVALID")+COUNTIFS('Istoric_Nativ'!$B$6:$B$405,E47,'Istoric_Nativ'!$C$6:$C$405,F47,'Istoric_Nativ'!$F$6:$F$405,G47,'Istoric_Nativ'!$O$6:$O$405,"INVALID",'Istoric_Nativ'!$D$6:$D$405,"*")+COUNTIFS('Istoric_Nativ'!$B$6:$B$405,E47,'Istoric_Nativ'!$C$6:$C$405,F47,'Istoric_Nativ'!$F$6:$F$405,G47,'Istoric_Nativ'!$D$6:$D$405,"&lt;"&amp;J47,'Istoric_Nativ'!$O$6:$O$405,"SOURCE CONFLICT"))</x:f>
        <x:v>0</x:v>
      </x:c>
      <x:c r="T47" s="2" t="str">
        <x:f>IF(B47="","",IF(R47&lt;&gt;"CLOSED",R47,IF(S47&gt;0,"NATIVE INPUT ISSUE",IF(M47=0,"NO HISTORY",IF(M47&lt;P47,"SMALL SAMPLE","DERIVED")))))</x:f>
      </x:c>
      <x:c r="U47" s="2" t="str">
        <x:f>IF(B47="","","NativeTable; "&amp;E47&amp;"; "&amp;F47&amp;"; "&amp;G47&amp;"; "&amp;H47&amp;"; before "&amp;TEXT(J47,"yyyy-mm-dd")&amp;IF(I47="RECENT","; from "&amp;TEXT(L47,"yyyy-mm-dd"),""))</x:f>
      </x:c>
    </x:row>
    <x:row r="48" ht="21" customHeight="1">
      <x:c r="A48" s="2" t="n">
        <x:v>4</x:v>
      </x:c>
      <x:c r="B48" s="2" t="str">
        <x:f>IF('Input_Meci'!A9="","",'Input_Meci'!A9)</x:f>
      </x:c>
      <x:c r="C48" s="2" t="str">
        <x:v>H</x:v>
      </x:c>
      <x:c r="D48" s="2" t="str">
        <x:v>PRIOR</x:v>
      </x:c>
      <x:c r="E48" s="2" t="str">
        <x:f>IF(B48="","",'Input_Meci'!B9)</x:f>
      </x:c>
      <x:c r="F48" s="2" t="str">
        <x:f>IF(B48="","",IF('Input_Meci'!K9="","",'Input_Meci'!K9))</x:f>
      </x:c>
      <x:c r="G48" s="2" t="str">
        <x:f>IF(B48="","",'Input_Meci'!D9)</x:f>
      </x:c>
      <x:c r="H48" s="2" t="str">
        <x:v>ANY</x:v>
      </x:c>
      <x:c r="I48" s="2" t="str">
        <x:v>SEASON</x:v>
      </x:c>
      <x:c r="J48" s="9" t="n">
        <x:f>IF(AND(B48&lt;&gt;"",ISNUMBER('Input_Meci'!G9)),INT('Input_Meci'!G9),0)</x:f>
        <x:v>0</x:v>
      </x:c>
      <x:c r="K48" s="2" t="n">
        <x:f>IF(OR(B48="",F48=""),0,IF(H48="HOME",COUNTIFS('Istoric_Nativ'!$B$6:$B$405,E48,'Istoric_Nativ'!$C$6:$C$405,F48,'Istoric_Nativ'!$E$6:$E$405,G48,'Istoric_Nativ'!$D$6:$D$405,"&lt;"&amp;J48,'Istoric_Nativ'!$P$6:$P$405,1),IF(H48="AWAY",COUNTIFS('Istoric_Nativ'!$B$6:$B$405,E48,'Istoric_Nativ'!$C$6:$C$405,F48,'Istoric_Nativ'!$F$6:$F$405,G48,'Istoric_Nativ'!$D$6:$D$405,"&lt;"&amp;J48,'Istoric_Nativ'!$P$6:$P$405,1),COUNTIFS('Istoric_Nativ'!$B$6:$B$405,E48,'Istoric_Nativ'!$C$6:$C$405,F48,'Istoric_Nativ'!$E$6:$E$405,G48,'Istoric_Nativ'!$D$6:$D$405,"&lt;"&amp;J48,'Istoric_Nativ'!$P$6:$P$405,1)+COUNTIFS('Istoric_Nativ'!$B$6:$B$405,E48,'Istoric_Nativ'!$C$6:$C$405,F48,'Istoric_Nativ'!$F$6:$F$405,G48,'Istoric_Nativ'!$D$6:$D$405,"&lt;"&amp;J48,'Istoric_Nativ'!$P$6:$P$405,1))))</x:f>
        <x:v>0</x:v>
      </x:c>
      <x:c r="L48" s="17" t="n">
        <x:f>IF(AND(B48&lt;&gt;"",I48="RECENT",K48&gt;0),LARGE(_xlfn._xlws.FILTER('Istoric_Nativ'!$D$6:$D$405,('Istoric_Nativ'!$B$6:$B$405=E48)*('Istoric_Nativ'!$C$6:$C$405=F48)*('Istoric_Nativ'!$P$6:$P$405=1)*('Istoric_Nativ'!$D$6:$D$405&lt;J48)*((('Istoric_Nativ'!$E$6:$E$405=G48)+('Istoric_Nativ'!$F$6:$F$405=G48))&gt;0)),MIN('Config_v6'!$B$54,K48)),0)</x:f>
        <x:v>0</x:v>
      </x:c>
      <x:c r="M48" s="2" t="n">
        <x:f>IF(OR(B48="",F48=""),0,IF(H48="HOME",COUNTIFS('Istoric_Nativ'!$B$6:$B$405,E48,'Istoric_Nativ'!$C$6:$C$405,F48,'Istoric_Nativ'!$E$6:$E$405,G48,'Istoric_Nativ'!$D$6:$D$405,"&lt;"&amp;J48,'Istoric_Nativ'!$P$6:$P$405,1,'Istoric_Nativ'!$D$6:$D$405,"&gt;="&amp;L48),IF(H48="AWAY",COUNTIFS('Istoric_Nativ'!$B$6:$B$405,E48,'Istoric_Nativ'!$C$6:$C$405,F48,'Istoric_Nativ'!$F$6:$F$405,G48,'Istoric_Nativ'!$D$6:$D$405,"&lt;"&amp;J48,'Istoric_Nativ'!$P$6:$P$405,1,'Istoric_Nativ'!$D$6:$D$405,"&gt;="&amp;L48),COUNTIFS('Istoric_Nativ'!$B$6:$B$405,E48,'Istoric_Nativ'!$C$6:$C$405,F48,'Istoric_Nativ'!$E$6:$E$405,G48,'Istoric_Nativ'!$D$6:$D$405,"&lt;"&amp;J48,'Istoric_Nativ'!$P$6:$P$405,1,'Istoric_Nativ'!$D$6:$D$405,"&gt;="&amp;L48)+COUNTIFS('Istoric_Nativ'!$B$6:$B$405,E48,'Istoric_Nativ'!$C$6:$C$405,F48,'Istoric_Nativ'!$F$6:$F$405,G48,'Istoric_Nativ'!$D$6:$D$405,"&lt;"&amp;J48,'Istoric_Nativ'!$P$6:$P$405,1,'Istoric_Nativ'!$D$6:$D$405,"&gt;="&amp;L48))))</x:f>
        <x:v>0</x:v>
      </x:c>
      <x:c r="N48" s="11" t="str">
        <x:f>IF(M48=0,"",IF(H48="HOME",SUMIFS('Istoric_Nativ'!$G$6:$G$405,'Istoric_Nativ'!$B$6:$B$405,E48,'Istoric_Nativ'!$C$6:$C$405,F48,'Istoric_Nativ'!$E$6:$E$405,G48,'Istoric_Nativ'!$D$6:$D$405,"&lt;"&amp;J48,'Istoric_Nativ'!$P$6:$P$405,1,'Istoric_Nativ'!$D$6:$D$405,"&gt;="&amp;L48),IF(H48="AWAY",SUMIFS('Istoric_Nativ'!$H$6:$H$405,'Istoric_Nativ'!$B$6:$B$405,E48,'Istoric_Nativ'!$C$6:$C$405,F48,'Istoric_Nativ'!$F$6:$F$405,G48,'Istoric_Nativ'!$D$6:$D$405,"&lt;"&amp;J48,'Istoric_Nativ'!$P$6:$P$405,1,'Istoric_Nativ'!$D$6:$D$405,"&gt;="&amp;L48),SUMIFS('Istoric_Nativ'!$G$6:$G$405,'Istoric_Nativ'!$B$6:$B$405,E48,'Istoric_Nativ'!$C$6:$C$405,F48,'Istoric_Nativ'!$E$6:$E$405,G48,'Istoric_Nativ'!$D$6:$D$405,"&lt;"&amp;J48,'Istoric_Nativ'!$P$6:$P$405,1,'Istoric_Nativ'!$D$6:$D$405,"&gt;="&amp;L48)+SUMIFS('Istoric_Nativ'!$H$6:$H$405,'Istoric_Nativ'!$B$6:$B$405,E48,'Istoric_Nativ'!$C$6:$C$405,F48,'Istoric_Nativ'!$F$6:$F$405,G48,'Istoric_Nativ'!$D$6:$D$405,"&lt;"&amp;J48,'Istoric_Nativ'!$P$6:$P$405,1,'Istoric_Nativ'!$D$6:$D$405,"&gt;="&amp;L48)))/M48)</x:f>
      </x:c>
      <x:c r="O48" s="11" t="str">
        <x:f>IF(M48=0,"",IF(H48="HOME",SUMIFS('Istoric_Nativ'!$H$6:$H$405,'Istoric_Nativ'!$B$6:$B$405,E48,'Istoric_Nativ'!$C$6:$C$405,F48,'Istoric_Nativ'!$E$6:$E$405,G48,'Istoric_Nativ'!$D$6:$D$405,"&lt;"&amp;J48,'Istoric_Nativ'!$P$6:$P$405,1,'Istoric_Nativ'!$D$6:$D$405,"&gt;="&amp;L48),IF(H48="AWAY",SUMIFS('Istoric_Nativ'!$G$6:$G$405,'Istoric_Nativ'!$B$6:$B$405,E48,'Istoric_Nativ'!$C$6:$C$405,F48,'Istoric_Nativ'!$F$6:$F$405,G48,'Istoric_Nativ'!$D$6:$D$405,"&lt;"&amp;J48,'Istoric_Nativ'!$P$6:$P$405,1,'Istoric_Nativ'!$D$6:$D$405,"&gt;="&amp;L48),SUMIFS('Istoric_Nativ'!$H$6:$H$405,'Istoric_Nativ'!$B$6:$B$405,E48,'Istoric_Nativ'!$C$6:$C$405,F48,'Istoric_Nativ'!$E$6:$E$405,G48,'Istoric_Nativ'!$D$6:$D$405,"&lt;"&amp;J48,'Istoric_Nativ'!$P$6:$P$405,1,'Istoric_Nativ'!$D$6:$D$405,"&gt;="&amp;L48)+SUMIFS('Istoric_Nativ'!$G$6:$G$405,'Istoric_Nativ'!$B$6:$B$405,E48,'Istoric_Nativ'!$C$6:$C$405,F48,'Istoric_Nativ'!$F$6:$F$405,G48,'Istoric_Nativ'!$D$6:$D$405,"&lt;"&amp;J48,'Istoric_Nativ'!$P$6:$P$405,1,'Istoric_Nativ'!$D$6:$D$405,"&gt;="&amp;L48)))/M48)</x:f>
      </x:c>
      <x:c r="P48" s="2" t="n">
        <x:f>'Config_v6'!$B$7</x:f>
        <x:v>10</x:v>
      </x:c>
      <x:c r="Q48" s="2" t="n">
        <x:f>IF(OR(B48="",F48=""),0,IFERROR(MATCH(E48&amp;"|"&amp;F48,SourceTable[Source_Key],0),0))</x:f>
        <x:v>0</x:v>
      </x:c>
      <x:c r="R48" s="2" t="str">
        <x:f>IF(B48="","",IF(F48="","UNUSED",IF(Q48=0,"NOT CHECKED",IF(COUNTIF(SourceTable[Source_Key],E48&amp;"|"&amp;F48)&lt;&gt;1,"SOURCE CONFLICT",IF(NOT(OR(INDEX(SourceTable[Status],MAX(1,Q48))="IMPORTED",INDEX(SourceTable[Status],MAX(1,Q48))="PARTIAL",INDEX(SourceTable[Status],MAX(1,Q48))="SOURCE CONFLICT")),"ACCESS BLOCKED",IF(OR(INDEX(SourceTable[Coverage],Q48)&lt;&gt;"FULL SEASON EXPORT",INDEX(SourceTable[URL],Q48)="",INDEX(SourceTable[SHA256],Q48)=""),"EVIDENCE INCOMPLETE",IF(AND('Input_Meci'!H9="LIVE",INDEX(SourceTable[Retrieved_UTC],Q48)&gt;'Input_Meci'!G9),"POST CUTOFF","CLOSED")))))))</x:f>
      </x:c>
      <x:c r="S48" s="2" t="n">
        <x:f>IF(OR(B48="",F48=""),0,COUNTIFS('Istoric_Nativ'!$B$6:$B$405,E48,'Istoric_Nativ'!$C$6:$C$405,F48,'Istoric_Nativ'!$E$6:$E$405,G48,'Istoric_Nativ'!$D$6:$D$405,"&lt;"&amp;J48,'Istoric_Nativ'!$O$6:$O$405,"INVALID")+COUNTIFS('Istoric_Nativ'!$B$6:$B$405,E48,'Istoric_Nativ'!$C$6:$C$405,F48,'Istoric_Nativ'!$E$6:$E$405,G48,'Istoric_Nativ'!$O$6:$O$405,"INVALID",'Istoric_Nativ'!$D$6:$D$405,"*")+COUNTIFS('Istoric_Nativ'!$B$6:$B$405,E48,'Istoric_Nativ'!$C$6:$C$405,F48,'Istoric_Nativ'!$E$6:$E$405,G48,'Istoric_Nativ'!$D$6:$D$405,"&lt;"&amp;J48,'Istoric_Nativ'!$O$6:$O$405,"SOURCE CONFLICT")+COUNTIFS('Istoric_Nativ'!$B$6:$B$405,E48,'Istoric_Nativ'!$C$6:$C$405,F48,'Istoric_Nativ'!$F$6:$F$405,G48,'Istoric_Nativ'!$D$6:$D$405,"&lt;"&amp;J48,'Istoric_Nativ'!$O$6:$O$405,"INVALID")+COUNTIFS('Istoric_Nativ'!$B$6:$B$405,E48,'Istoric_Nativ'!$C$6:$C$405,F48,'Istoric_Nativ'!$F$6:$F$405,G48,'Istoric_Nativ'!$O$6:$O$405,"INVALID",'Istoric_Nativ'!$D$6:$D$405,"*")+COUNTIFS('Istoric_Nativ'!$B$6:$B$405,E48,'Istoric_Nativ'!$C$6:$C$405,F48,'Istoric_Nativ'!$F$6:$F$405,G48,'Istoric_Nativ'!$D$6:$D$405,"&lt;"&amp;J48,'Istoric_Nativ'!$O$6:$O$405,"SOURCE CONFLICT"))</x:f>
        <x:v>0</x:v>
      </x:c>
      <x:c r="T48" s="2" t="str">
        <x:f>IF(B48="","",IF(R48&lt;&gt;"CLOSED",R48,IF(S48&gt;0,"NATIVE INPUT ISSUE",IF(M48=0,"NO HISTORY",IF(M48&lt;P48,"SMALL SAMPLE","DERIVED")))))</x:f>
      </x:c>
      <x:c r="U48" s="2" t="str">
        <x:f>IF(B48="","","NativeTable; "&amp;E48&amp;"; "&amp;F48&amp;"; "&amp;G48&amp;"; "&amp;H48&amp;"; before "&amp;TEXT(J48,"yyyy-mm-dd")&amp;IF(I48="RECENT","; from "&amp;TEXT(L48,"yyyy-mm-dd"),""))</x:f>
      </x:c>
    </x:row>
    <x:row r="49" ht="21" customHeight="1">
      <x:c r="A49" s="2" t="n">
        <x:v>4</x:v>
      </x:c>
      <x:c r="B49" s="2" t="str">
        <x:f>IF('Input_Meci'!A9="","",'Input_Meci'!A9)</x:f>
      </x:c>
      <x:c r="C49" s="2" t="str">
        <x:v>H</x:v>
      </x:c>
      <x:c r="D49" s="2" t="str">
        <x:v>PRIOR</x:v>
      </x:c>
      <x:c r="E49" s="2" t="str">
        <x:f>IF(B49="","",'Input_Meci'!B9)</x:f>
      </x:c>
      <x:c r="F49" s="2" t="str">
        <x:f>IF(B49="","",IF('Input_Meci'!K9="","",'Input_Meci'!K9))</x:f>
      </x:c>
      <x:c r="G49" s="2" t="str">
        <x:f>IF(B49="","",'Input_Meci'!D9)</x:f>
      </x:c>
      <x:c r="H49" s="2" t="str">
        <x:v>HOME</x:v>
      </x:c>
      <x:c r="I49" s="2" t="str">
        <x:v>HA</x:v>
      </x:c>
      <x:c r="J49" s="9" t="n">
        <x:f>IF(AND(B49&lt;&gt;"",ISNUMBER('Input_Meci'!G9)),INT('Input_Meci'!G9),0)</x:f>
        <x:v>0</x:v>
      </x:c>
      <x:c r="K49" s="2" t="n">
        <x:f>IF(OR(B49="",F49=""),0,IF(H49="HOME",COUNTIFS('Istoric_Nativ'!$B$6:$B$405,E49,'Istoric_Nativ'!$C$6:$C$405,F49,'Istoric_Nativ'!$E$6:$E$405,G49,'Istoric_Nativ'!$D$6:$D$405,"&lt;"&amp;J49,'Istoric_Nativ'!$P$6:$P$405,1),IF(H49="AWAY",COUNTIFS('Istoric_Nativ'!$B$6:$B$405,E49,'Istoric_Nativ'!$C$6:$C$405,F49,'Istoric_Nativ'!$F$6:$F$405,G49,'Istoric_Nativ'!$D$6:$D$405,"&lt;"&amp;J49,'Istoric_Nativ'!$P$6:$P$405,1),COUNTIFS('Istoric_Nativ'!$B$6:$B$405,E49,'Istoric_Nativ'!$C$6:$C$405,F49,'Istoric_Nativ'!$E$6:$E$405,G49,'Istoric_Nativ'!$D$6:$D$405,"&lt;"&amp;J49,'Istoric_Nativ'!$P$6:$P$405,1)+COUNTIFS('Istoric_Nativ'!$B$6:$B$405,E49,'Istoric_Nativ'!$C$6:$C$405,F49,'Istoric_Nativ'!$F$6:$F$405,G49,'Istoric_Nativ'!$D$6:$D$405,"&lt;"&amp;J49,'Istoric_Nativ'!$P$6:$P$405,1))))</x:f>
        <x:v>0</x:v>
      </x:c>
      <x:c r="L49" s="17" t="n">
        <x:f>IF(AND(B49&lt;&gt;"",I49="RECENT",K49&gt;0),LARGE(_xlfn._xlws.FILTER('Istoric_Nativ'!$D$6:$D$405,('Istoric_Nativ'!$B$6:$B$405=E49)*('Istoric_Nativ'!$C$6:$C$405=F49)*('Istoric_Nativ'!$P$6:$P$405=1)*('Istoric_Nativ'!$D$6:$D$405&lt;J49)*((('Istoric_Nativ'!$E$6:$E$405=G49)+('Istoric_Nativ'!$F$6:$F$405=G49))&gt;0)),MIN('Config_v6'!$B$54,K49)),0)</x:f>
        <x:v>0</x:v>
      </x:c>
      <x:c r="M49" s="2" t="n">
        <x:f>IF(OR(B49="",F49=""),0,IF(H49="HOME",COUNTIFS('Istoric_Nativ'!$B$6:$B$405,E49,'Istoric_Nativ'!$C$6:$C$405,F49,'Istoric_Nativ'!$E$6:$E$405,G49,'Istoric_Nativ'!$D$6:$D$405,"&lt;"&amp;J49,'Istoric_Nativ'!$P$6:$P$405,1,'Istoric_Nativ'!$D$6:$D$405,"&gt;="&amp;L49),IF(H49="AWAY",COUNTIFS('Istoric_Nativ'!$B$6:$B$405,E49,'Istoric_Nativ'!$C$6:$C$405,F49,'Istoric_Nativ'!$F$6:$F$405,G49,'Istoric_Nativ'!$D$6:$D$405,"&lt;"&amp;J49,'Istoric_Nativ'!$P$6:$P$405,1,'Istoric_Nativ'!$D$6:$D$405,"&gt;="&amp;L49),COUNTIFS('Istoric_Nativ'!$B$6:$B$405,E49,'Istoric_Nativ'!$C$6:$C$405,F49,'Istoric_Nativ'!$E$6:$E$405,G49,'Istoric_Nativ'!$D$6:$D$405,"&lt;"&amp;J49,'Istoric_Nativ'!$P$6:$P$405,1,'Istoric_Nativ'!$D$6:$D$405,"&gt;="&amp;L49)+COUNTIFS('Istoric_Nativ'!$B$6:$B$405,E49,'Istoric_Nativ'!$C$6:$C$405,F49,'Istoric_Nativ'!$F$6:$F$405,G49,'Istoric_Nativ'!$D$6:$D$405,"&lt;"&amp;J49,'Istoric_Nativ'!$P$6:$P$405,1,'Istoric_Nativ'!$D$6:$D$405,"&gt;="&amp;L49))))</x:f>
        <x:v>0</x:v>
      </x:c>
      <x:c r="N49" s="11" t="str">
        <x:f>IF(M49=0,"",IF(H49="HOME",SUMIFS('Istoric_Nativ'!$G$6:$G$405,'Istoric_Nativ'!$B$6:$B$405,E49,'Istoric_Nativ'!$C$6:$C$405,F49,'Istoric_Nativ'!$E$6:$E$405,G49,'Istoric_Nativ'!$D$6:$D$405,"&lt;"&amp;J49,'Istoric_Nativ'!$P$6:$P$405,1,'Istoric_Nativ'!$D$6:$D$405,"&gt;="&amp;L49),IF(H49="AWAY",SUMIFS('Istoric_Nativ'!$H$6:$H$405,'Istoric_Nativ'!$B$6:$B$405,E49,'Istoric_Nativ'!$C$6:$C$405,F49,'Istoric_Nativ'!$F$6:$F$405,G49,'Istoric_Nativ'!$D$6:$D$405,"&lt;"&amp;J49,'Istoric_Nativ'!$P$6:$P$405,1,'Istoric_Nativ'!$D$6:$D$405,"&gt;="&amp;L49),SUMIFS('Istoric_Nativ'!$G$6:$G$405,'Istoric_Nativ'!$B$6:$B$405,E49,'Istoric_Nativ'!$C$6:$C$405,F49,'Istoric_Nativ'!$E$6:$E$405,G49,'Istoric_Nativ'!$D$6:$D$405,"&lt;"&amp;J49,'Istoric_Nativ'!$P$6:$P$405,1,'Istoric_Nativ'!$D$6:$D$405,"&gt;="&amp;L49)+SUMIFS('Istoric_Nativ'!$H$6:$H$405,'Istoric_Nativ'!$B$6:$B$405,E49,'Istoric_Nativ'!$C$6:$C$405,F49,'Istoric_Nativ'!$F$6:$F$405,G49,'Istoric_Nativ'!$D$6:$D$405,"&lt;"&amp;J49,'Istoric_Nativ'!$P$6:$P$405,1,'Istoric_Nativ'!$D$6:$D$405,"&gt;="&amp;L49)))/M49)</x:f>
      </x:c>
      <x:c r="O49" s="11" t="str">
        <x:f>IF(M49=0,"",IF(H49="HOME",SUMIFS('Istoric_Nativ'!$H$6:$H$405,'Istoric_Nativ'!$B$6:$B$405,E49,'Istoric_Nativ'!$C$6:$C$405,F49,'Istoric_Nativ'!$E$6:$E$405,G49,'Istoric_Nativ'!$D$6:$D$405,"&lt;"&amp;J49,'Istoric_Nativ'!$P$6:$P$405,1,'Istoric_Nativ'!$D$6:$D$405,"&gt;="&amp;L49),IF(H49="AWAY",SUMIFS('Istoric_Nativ'!$G$6:$G$405,'Istoric_Nativ'!$B$6:$B$405,E49,'Istoric_Nativ'!$C$6:$C$405,F49,'Istoric_Nativ'!$F$6:$F$405,G49,'Istoric_Nativ'!$D$6:$D$405,"&lt;"&amp;J49,'Istoric_Nativ'!$P$6:$P$405,1,'Istoric_Nativ'!$D$6:$D$405,"&gt;="&amp;L49),SUMIFS('Istoric_Nativ'!$H$6:$H$405,'Istoric_Nativ'!$B$6:$B$405,E49,'Istoric_Nativ'!$C$6:$C$405,F49,'Istoric_Nativ'!$E$6:$E$405,G49,'Istoric_Nativ'!$D$6:$D$405,"&lt;"&amp;J49,'Istoric_Nativ'!$P$6:$P$405,1,'Istoric_Nativ'!$D$6:$D$405,"&gt;="&amp;L49)+SUMIFS('Istoric_Nativ'!$G$6:$G$405,'Istoric_Nativ'!$B$6:$B$405,E49,'Istoric_Nativ'!$C$6:$C$405,F49,'Istoric_Nativ'!$F$6:$F$405,G49,'Istoric_Nativ'!$D$6:$D$405,"&lt;"&amp;J49,'Istoric_Nativ'!$P$6:$P$405,1,'Istoric_Nativ'!$D$6:$D$405,"&gt;="&amp;L49)))/M49)</x:f>
      </x:c>
      <x:c r="P49" s="2" t="n">
        <x:f>'Config_v6'!$B$8</x:f>
        <x:v>5</x:v>
      </x:c>
      <x:c r="Q49" s="2" t="n">
        <x:f>IF(OR(B49="",F49=""),0,IFERROR(MATCH(E49&amp;"|"&amp;F49,SourceTable[Source_Key],0),0))</x:f>
        <x:v>0</x:v>
      </x:c>
      <x:c r="R49" s="2" t="str">
        <x:f>IF(B49="","",IF(F49="","UNUSED",IF(Q49=0,"NOT CHECKED",IF(COUNTIF(SourceTable[Source_Key],E49&amp;"|"&amp;F49)&lt;&gt;1,"SOURCE CONFLICT",IF(NOT(OR(INDEX(SourceTable[Status],MAX(1,Q49))="IMPORTED",INDEX(SourceTable[Status],MAX(1,Q49))="PARTIAL",INDEX(SourceTable[Status],MAX(1,Q49))="SOURCE CONFLICT")),"ACCESS BLOCKED",IF(OR(INDEX(SourceTable[Coverage],Q49)&lt;&gt;"FULL SEASON EXPORT",INDEX(SourceTable[URL],Q49)="",INDEX(SourceTable[SHA256],Q49)=""),"EVIDENCE INCOMPLETE",IF(AND('Input_Meci'!H9="LIVE",INDEX(SourceTable[Retrieved_UTC],Q49)&gt;'Input_Meci'!G9),"POST CUTOFF","CLOSED")))))))</x:f>
      </x:c>
      <x:c r="S49" s="2" t="n">
        <x:f>IF(OR(B49="",F49=""),0,COUNTIFS('Istoric_Nativ'!$B$6:$B$405,E49,'Istoric_Nativ'!$C$6:$C$405,F49,'Istoric_Nativ'!$E$6:$E$405,G49,'Istoric_Nativ'!$D$6:$D$405,"&lt;"&amp;J49,'Istoric_Nativ'!$O$6:$O$405,"INVALID")+COUNTIFS('Istoric_Nativ'!$B$6:$B$405,E49,'Istoric_Nativ'!$C$6:$C$405,F49,'Istoric_Nativ'!$E$6:$E$405,G49,'Istoric_Nativ'!$O$6:$O$405,"INVALID",'Istoric_Nativ'!$D$6:$D$405,"*")+COUNTIFS('Istoric_Nativ'!$B$6:$B$405,E49,'Istoric_Nativ'!$C$6:$C$405,F49,'Istoric_Nativ'!$E$6:$E$405,G49,'Istoric_Nativ'!$D$6:$D$405,"&lt;"&amp;J49,'Istoric_Nativ'!$O$6:$O$405,"SOURCE CONFLICT")+COUNTIFS('Istoric_Nativ'!$B$6:$B$405,E49,'Istoric_Nativ'!$C$6:$C$405,F49,'Istoric_Nativ'!$F$6:$F$405,G49,'Istoric_Nativ'!$D$6:$D$405,"&lt;"&amp;J49,'Istoric_Nativ'!$O$6:$O$405,"INVALID")+COUNTIFS('Istoric_Nativ'!$B$6:$B$405,E49,'Istoric_Nativ'!$C$6:$C$405,F49,'Istoric_Nativ'!$F$6:$F$405,G49,'Istoric_Nativ'!$O$6:$O$405,"INVALID",'Istoric_Nativ'!$D$6:$D$405,"*")+COUNTIFS('Istoric_Nativ'!$B$6:$B$405,E49,'Istoric_Nativ'!$C$6:$C$405,F49,'Istoric_Nativ'!$F$6:$F$405,G49,'Istoric_Nativ'!$D$6:$D$405,"&lt;"&amp;J49,'Istoric_Nativ'!$O$6:$O$405,"SOURCE CONFLICT"))</x:f>
        <x:v>0</x:v>
      </x:c>
      <x:c r="T49" s="2" t="str">
        <x:f>IF(B49="","",IF(R49&lt;&gt;"CLOSED",R49,IF(S49&gt;0,"NATIVE INPUT ISSUE",IF(M49=0,"NO HISTORY",IF(M49&lt;P49,"SMALL SAMPLE","DERIVED")))))</x:f>
      </x:c>
      <x:c r="U49" s="2" t="str">
        <x:f>IF(B49="","","NativeTable; "&amp;E49&amp;"; "&amp;F49&amp;"; "&amp;G49&amp;"; "&amp;H49&amp;"; before "&amp;TEXT(J49,"yyyy-mm-dd")&amp;IF(I49="RECENT","; from "&amp;TEXT(L49,"yyyy-mm-dd"),""))</x:f>
      </x:c>
    </x:row>
    <x:row r="50" ht="21" customHeight="1">
      <x:c r="A50" s="2" t="n">
        <x:v>4</x:v>
      </x:c>
      <x:c r="B50" s="2" t="str">
        <x:f>IF('Input_Meci'!A9="","",'Input_Meci'!A9)</x:f>
      </x:c>
      <x:c r="C50" s="2" t="str">
        <x:v>H</x:v>
      </x:c>
      <x:c r="D50" s="2" t="str">
        <x:v>PRIOR</x:v>
      </x:c>
      <x:c r="E50" s="2" t="str">
        <x:f>IF(B50="","",'Input_Meci'!B9)</x:f>
      </x:c>
      <x:c r="F50" s="2" t="str">
        <x:f>IF(B50="","",IF('Input_Meci'!K9="","",'Input_Meci'!K9))</x:f>
      </x:c>
      <x:c r="G50" s="2" t="str">
        <x:f>IF(B50="","",'Input_Meci'!D9)</x:f>
      </x:c>
      <x:c r="H50" s="2" t="str">
        <x:v>ANY</x:v>
      </x:c>
      <x:c r="I50" s="2" t="str">
        <x:v>RECENT</x:v>
      </x:c>
      <x:c r="J50" s="9" t="n">
        <x:f>IF(AND(B50&lt;&gt;"",ISNUMBER('Input_Meci'!G9)),INT('Input_Meci'!G9),0)</x:f>
        <x:v>0</x:v>
      </x:c>
      <x:c r="K50" s="2" t="n">
        <x:f>IF(OR(B50="",F50=""),0,IF(H50="HOME",COUNTIFS('Istoric_Nativ'!$B$6:$B$405,E50,'Istoric_Nativ'!$C$6:$C$405,F50,'Istoric_Nativ'!$E$6:$E$405,G50,'Istoric_Nativ'!$D$6:$D$405,"&lt;"&amp;J50,'Istoric_Nativ'!$P$6:$P$405,1),IF(H50="AWAY",COUNTIFS('Istoric_Nativ'!$B$6:$B$405,E50,'Istoric_Nativ'!$C$6:$C$405,F50,'Istoric_Nativ'!$F$6:$F$405,G50,'Istoric_Nativ'!$D$6:$D$405,"&lt;"&amp;J50,'Istoric_Nativ'!$P$6:$P$405,1),COUNTIFS('Istoric_Nativ'!$B$6:$B$405,E50,'Istoric_Nativ'!$C$6:$C$405,F50,'Istoric_Nativ'!$E$6:$E$405,G50,'Istoric_Nativ'!$D$6:$D$405,"&lt;"&amp;J50,'Istoric_Nativ'!$P$6:$P$405,1)+COUNTIFS('Istoric_Nativ'!$B$6:$B$405,E50,'Istoric_Nativ'!$C$6:$C$405,F50,'Istoric_Nativ'!$F$6:$F$405,G50,'Istoric_Nativ'!$D$6:$D$405,"&lt;"&amp;J50,'Istoric_Nativ'!$P$6:$P$405,1))))</x:f>
        <x:v>0</x:v>
      </x:c>
      <x:c r="L50" s="17" t="n">
        <x:f>IF(AND(B50&lt;&gt;"",I50="RECENT",K50&gt;0),LARGE(_xlfn._xlws.FILTER('Istoric_Nativ'!$D$6:$D$405,('Istoric_Nativ'!$B$6:$B$405=E50)*('Istoric_Nativ'!$C$6:$C$405=F50)*('Istoric_Nativ'!$P$6:$P$405=1)*('Istoric_Nativ'!$D$6:$D$405&lt;J50)*((('Istoric_Nativ'!$E$6:$E$405=G50)+('Istoric_Nativ'!$F$6:$F$405=G50))&gt;0)),MIN('Config_v6'!$B$54,K50)),0)</x:f>
        <x:v>0</x:v>
      </x:c>
      <x:c r="M50" s="2" t="n">
        <x:f>IF(OR(B50="",F50=""),0,IF(H50="HOME",COUNTIFS('Istoric_Nativ'!$B$6:$B$405,E50,'Istoric_Nativ'!$C$6:$C$405,F50,'Istoric_Nativ'!$E$6:$E$405,G50,'Istoric_Nativ'!$D$6:$D$405,"&lt;"&amp;J50,'Istoric_Nativ'!$P$6:$P$405,1,'Istoric_Nativ'!$D$6:$D$405,"&gt;="&amp;L50),IF(H50="AWAY",COUNTIFS('Istoric_Nativ'!$B$6:$B$405,E50,'Istoric_Nativ'!$C$6:$C$405,F50,'Istoric_Nativ'!$F$6:$F$405,G50,'Istoric_Nativ'!$D$6:$D$405,"&lt;"&amp;J50,'Istoric_Nativ'!$P$6:$P$405,1,'Istoric_Nativ'!$D$6:$D$405,"&gt;="&amp;L50),COUNTIFS('Istoric_Nativ'!$B$6:$B$405,E50,'Istoric_Nativ'!$C$6:$C$405,F50,'Istoric_Nativ'!$E$6:$E$405,G50,'Istoric_Nativ'!$D$6:$D$405,"&lt;"&amp;J50,'Istoric_Nativ'!$P$6:$P$405,1,'Istoric_Nativ'!$D$6:$D$405,"&gt;="&amp;L50)+COUNTIFS('Istoric_Nativ'!$B$6:$B$405,E50,'Istoric_Nativ'!$C$6:$C$405,F50,'Istoric_Nativ'!$F$6:$F$405,G50,'Istoric_Nativ'!$D$6:$D$405,"&lt;"&amp;J50,'Istoric_Nativ'!$P$6:$P$405,1,'Istoric_Nativ'!$D$6:$D$405,"&gt;="&amp;L50))))</x:f>
        <x:v>0</x:v>
      </x:c>
      <x:c r="N50" s="11" t="str">
        <x:f>IF(M50=0,"",IF(H50="HOME",SUMIFS('Istoric_Nativ'!$G$6:$G$405,'Istoric_Nativ'!$B$6:$B$405,E50,'Istoric_Nativ'!$C$6:$C$405,F50,'Istoric_Nativ'!$E$6:$E$405,G50,'Istoric_Nativ'!$D$6:$D$405,"&lt;"&amp;J50,'Istoric_Nativ'!$P$6:$P$405,1,'Istoric_Nativ'!$D$6:$D$405,"&gt;="&amp;L50),IF(H50="AWAY",SUMIFS('Istoric_Nativ'!$H$6:$H$405,'Istoric_Nativ'!$B$6:$B$405,E50,'Istoric_Nativ'!$C$6:$C$405,F50,'Istoric_Nativ'!$F$6:$F$405,G50,'Istoric_Nativ'!$D$6:$D$405,"&lt;"&amp;J50,'Istoric_Nativ'!$P$6:$P$405,1,'Istoric_Nativ'!$D$6:$D$405,"&gt;="&amp;L50),SUMIFS('Istoric_Nativ'!$G$6:$G$405,'Istoric_Nativ'!$B$6:$B$405,E50,'Istoric_Nativ'!$C$6:$C$405,F50,'Istoric_Nativ'!$E$6:$E$405,G50,'Istoric_Nativ'!$D$6:$D$405,"&lt;"&amp;J50,'Istoric_Nativ'!$P$6:$P$405,1,'Istoric_Nativ'!$D$6:$D$405,"&gt;="&amp;L50)+SUMIFS('Istoric_Nativ'!$H$6:$H$405,'Istoric_Nativ'!$B$6:$B$405,E50,'Istoric_Nativ'!$C$6:$C$405,F50,'Istoric_Nativ'!$F$6:$F$405,G50,'Istoric_Nativ'!$D$6:$D$405,"&lt;"&amp;J50,'Istoric_Nativ'!$P$6:$P$405,1,'Istoric_Nativ'!$D$6:$D$405,"&gt;="&amp;L50)))/M50)</x:f>
      </x:c>
      <x:c r="O50" s="11" t="str">
        <x:f>IF(M50=0,"",IF(H50="HOME",SUMIFS('Istoric_Nativ'!$H$6:$H$405,'Istoric_Nativ'!$B$6:$B$405,E50,'Istoric_Nativ'!$C$6:$C$405,F50,'Istoric_Nativ'!$E$6:$E$405,G50,'Istoric_Nativ'!$D$6:$D$405,"&lt;"&amp;J50,'Istoric_Nativ'!$P$6:$P$405,1,'Istoric_Nativ'!$D$6:$D$405,"&gt;="&amp;L50),IF(H50="AWAY",SUMIFS('Istoric_Nativ'!$G$6:$G$405,'Istoric_Nativ'!$B$6:$B$405,E50,'Istoric_Nativ'!$C$6:$C$405,F50,'Istoric_Nativ'!$F$6:$F$405,G50,'Istoric_Nativ'!$D$6:$D$405,"&lt;"&amp;J50,'Istoric_Nativ'!$P$6:$P$405,1,'Istoric_Nativ'!$D$6:$D$405,"&gt;="&amp;L50),SUMIFS('Istoric_Nativ'!$H$6:$H$405,'Istoric_Nativ'!$B$6:$B$405,E50,'Istoric_Nativ'!$C$6:$C$405,F50,'Istoric_Nativ'!$E$6:$E$405,G50,'Istoric_Nativ'!$D$6:$D$405,"&lt;"&amp;J50,'Istoric_Nativ'!$P$6:$P$405,1,'Istoric_Nativ'!$D$6:$D$405,"&gt;="&amp;L50)+SUMIFS('Istoric_Nativ'!$G$6:$G$405,'Istoric_Nativ'!$B$6:$B$405,E50,'Istoric_Nativ'!$C$6:$C$405,F50,'Istoric_Nativ'!$F$6:$F$405,G50,'Istoric_Nativ'!$D$6:$D$405,"&lt;"&amp;J50,'Istoric_Nativ'!$P$6:$P$405,1,'Istoric_Nativ'!$D$6:$D$405,"&gt;="&amp;L50)))/M50)</x:f>
      </x:c>
      <x:c r="P50" s="2" t="n">
        <x:f>'Config_v6'!$B$9</x:f>
        <x:v>3</x:v>
      </x:c>
      <x:c r="Q50" s="2" t="n">
        <x:f>IF(OR(B50="",F50=""),0,IFERROR(MATCH(E50&amp;"|"&amp;F50,SourceTable[Source_Key],0),0))</x:f>
        <x:v>0</x:v>
      </x:c>
      <x:c r="R50" s="2" t="str">
        <x:f>IF(B50="","",IF(F50="","UNUSED",IF(Q50=0,"NOT CHECKED",IF(COUNTIF(SourceTable[Source_Key],E50&amp;"|"&amp;F50)&lt;&gt;1,"SOURCE CONFLICT",IF(NOT(OR(INDEX(SourceTable[Status],MAX(1,Q50))="IMPORTED",INDEX(SourceTable[Status],MAX(1,Q50))="PARTIAL",INDEX(SourceTable[Status],MAX(1,Q50))="SOURCE CONFLICT")),"ACCESS BLOCKED",IF(OR(INDEX(SourceTable[Coverage],Q50)&lt;&gt;"FULL SEASON EXPORT",INDEX(SourceTable[URL],Q50)="",INDEX(SourceTable[SHA256],Q50)=""),"EVIDENCE INCOMPLETE",IF(AND('Input_Meci'!H9="LIVE",INDEX(SourceTable[Retrieved_UTC],Q50)&gt;'Input_Meci'!G9),"POST CUTOFF","CLOSED")))))))</x:f>
      </x:c>
      <x:c r="S50" s="2" t="n">
        <x:f>IF(OR(B50="",F50=""),0,COUNTIFS('Istoric_Nativ'!$B$6:$B$405,E50,'Istoric_Nativ'!$C$6:$C$405,F50,'Istoric_Nativ'!$E$6:$E$405,G50,'Istoric_Nativ'!$D$6:$D$405,"&lt;"&amp;J50,'Istoric_Nativ'!$O$6:$O$405,"INVALID")+COUNTIFS('Istoric_Nativ'!$B$6:$B$405,E50,'Istoric_Nativ'!$C$6:$C$405,F50,'Istoric_Nativ'!$E$6:$E$405,G50,'Istoric_Nativ'!$O$6:$O$405,"INVALID",'Istoric_Nativ'!$D$6:$D$405,"*")+COUNTIFS('Istoric_Nativ'!$B$6:$B$405,E50,'Istoric_Nativ'!$C$6:$C$405,F50,'Istoric_Nativ'!$E$6:$E$405,G50,'Istoric_Nativ'!$D$6:$D$405,"&lt;"&amp;J50,'Istoric_Nativ'!$O$6:$O$405,"SOURCE CONFLICT")+COUNTIFS('Istoric_Nativ'!$B$6:$B$405,E50,'Istoric_Nativ'!$C$6:$C$405,F50,'Istoric_Nativ'!$F$6:$F$405,G50,'Istoric_Nativ'!$D$6:$D$405,"&lt;"&amp;J50,'Istoric_Nativ'!$O$6:$O$405,"INVALID")+COUNTIFS('Istoric_Nativ'!$B$6:$B$405,E50,'Istoric_Nativ'!$C$6:$C$405,F50,'Istoric_Nativ'!$F$6:$F$405,G50,'Istoric_Nativ'!$O$6:$O$405,"INVALID",'Istoric_Nativ'!$D$6:$D$405,"*")+COUNTIFS('Istoric_Nativ'!$B$6:$B$405,E50,'Istoric_Nativ'!$C$6:$C$405,F50,'Istoric_Nativ'!$F$6:$F$405,G50,'Istoric_Nativ'!$D$6:$D$405,"&lt;"&amp;J50,'Istoric_Nativ'!$O$6:$O$405,"SOURCE CONFLICT"))</x:f>
        <x:v>0</x:v>
      </x:c>
      <x:c r="T50" s="2" t="str">
        <x:f>IF(B50="","",IF(R50&lt;&gt;"CLOSED",R50,IF(S50&gt;0,"NATIVE INPUT ISSUE",IF(M50=0,"NO HISTORY",IF(M50&lt;P50,"SMALL SAMPLE","DERIVED")))))</x:f>
      </x:c>
      <x:c r="U50" s="2" t="str">
        <x:f>IF(B50="","","NativeTable; "&amp;E50&amp;"; "&amp;F50&amp;"; "&amp;G50&amp;"; "&amp;H50&amp;"; before "&amp;TEXT(J50,"yyyy-mm-dd")&amp;IF(I50="RECENT","; from "&amp;TEXT(L50,"yyyy-mm-dd"),""))</x:f>
      </x:c>
    </x:row>
    <x:row r="51" ht="21" customHeight="1">
      <x:c r="A51" s="2" t="n">
        <x:v>4</x:v>
      </x:c>
      <x:c r="B51" s="2" t="str">
        <x:f>IF('Input_Meci'!A9="","",'Input_Meci'!A9)</x:f>
      </x:c>
      <x:c r="C51" s="2" t="str">
        <x:v>A</x:v>
      </x:c>
      <x:c r="D51" s="2" t="str">
        <x:v>PRIOR</x:v>
      </x:c>
      <x:c r="E51" s="2" t="str">
        <x:f>IF(B51="","",'Input_Meci'!B9)</x:f>
      </x:c>
      <x:c r="F51" s="2" t="str">
        <x:f>IF(B51="","",IF('Input_Meci'!K9="","",'Input_Meci'!K9))</x:f>
      </x:c>
      <x:c r="G51" s="2" t="str">
        <x:f>IF(B51="","",'Input_Meci'!E9)</x:f>
      </x:c>
      <x:c r="H51" s="2" t="str">
        <x:v>ANY</x:v>
      </x:c>
      <x:c r="I51" s="2" t="str">
        <x:v>SEASON</x:v>
      </x:c>
      <x:c r="J51" s="9" t="n">
        <x:f>IF(AND(B51&lt;&gt;"",ISNUMBER('Input_Meci'!G9)),INT('Input_Meci'!G9),0)</x:f>
        <x:v>0</x:v>
      </x:c>
      <x:c r="K51" s="2" t="n">
        <x:f>IF(OR(B51="",F51=""),0,IF(H51="HOME",COUNTIFS('Istoric_Nativ'!$B$6:$B$405,E51,'Istoric_Nativ'!$C$6:$C$405,F51,'Istoric_Nativ'!$E$6:$E$405,G51,'Istoric_Nativ'!$D$6:$D$405,"&lt;"&amp;J51,'Istoric_Nativ'!$P$6:$P$405,1),IF(H51="AWAY",COUNTIFS('Istoric_Nativ'!$B$6:$B$405,E51,'Istoric_Nativ'!$C$6:$C$405,F51,'Istoric_Nativ'!$F$6:$F$405,G51,'Istoric_Nativ'!$D$6:$D$405,"&lt;"&amp;J51,'Istoric_Nativ'!$P$6:$P$405,1),COUNTIFS('Istoric_Nativ'!$B$6:$B$405,E51,'Istoric_Nativ'!$C$6:$C$405,F51,'Istoric_Nativ'!$E$6:$E$405,G51,'Istoric_Nativ'!$D$6:$D$405,"&lt;"&amp;J51,'Istoric_Nativ'!$P$6:$P$405,1)+COUNTIFS('Istoric_Nativ'!$B$6:$B$405,E51,'Istoric_Nativ'!$C$6:$C$405,F51,'Istoric_Nativ'!$F$6:$F$405,G51,'Istoric_Nativ'!$D$6:$D$405,"&lt;"&amp;J51,'Istoric_Nativ'!$P$6:$P$405,1))))</x:f>
        <x:v>0</x:v>
      </x:c>
      <x:c r="L51" s="17" t="n">
        <x:f>IF(AND(B51&lt;&gt;"",I51="RECENT",K51&gt;0),LARGE(_xlfn._xlws.FILTER('Istoric_Nativ'!$D$6:$D$405,('Istoric_Nativ'!$B$6:$B$405=E51)*('Istoric_Nativ'!$C$6:$C$405=F51)*('Istoric_Nativ'!$P$6:$P$405=1)*('Istoric_Nativ'!$D$6:$D$405&lt;J51)*((('Istoric_Nativ'!$E$6:$E$405=G51)+('Istoric_Nativ'!$F$6:$F$405=G51))&gt;0)),MIN('Config_v6'!$B$54,K51)),0)</x:f>
        <x:v>0</x:v>
      </x:c>
      <x:c r="M51" s="2" t="n">
        <x:f>IF(OR(B51="",F51=""),0,IF(H51="HOME",COUNTIFS('Istoric_Nativ'!$B$6:$B$405,E51,'Istoric_Nativ'!$C$6:$C$405,F51,'Istoric_Nativ'!$E$6:$E$405,G51,'Istoric_Nativ'!$D$6:$D$405,"&lt;"&amp;J51,'Istoric_Nativ'!$P$6:$P$405,1,'Istoric_Nativ'!$D$6:$D$405,"&gt;="&amp;L51),IF(H51="AWAY",COUNTIFS('Istoric_Nativ'!$B$6:$B$405,E51,'Istoric_Nativ'!$C$6:$C$405,F51,'Istoric_Nativ'!$F$6:$F$405,G51,'Istoric_Nativ'!$D$6:$D$405,"&lt;"&amp;J51,'Istoric_Nativ'!$P$6:$P$405,1,'Istoric_Nativ'!$D$6:$D$405,"&gt;="&amp;L51),COUNTIFS('Istoric_Nativ'!$B$6:$B$405,E51,'Istoric_Nativ'!$C$6:$C$405,F51,'Istoric_Nativ'!$E$6:$E$405,G51,'Istoric_Nativ'!$D$6:$D$405,"&lt;"&amp;J51,'Istoric_Nativ'!$P$6:$P$405,1,'Istoric_Nativ'!$D$6:$D$405,"&gt;="&amp;L51)+COUNTIFS('Istoric_Nativ'!$B$6:$B$405,E51,'Istoric_Nativ'!$C$6:$C$405,F51,'Istoric_Nativ'!$F$6:$F$405,G51,'Istoric_Nativ'!$D$6:$D$405,"&lt;"&amp;J51,'Istoric_Nativ'!$P$6:$P$405,1,'Istoric_Nativ'!$D$6:$D$405,"&gt;="&amp;L51))))</x:f>
        <x:v>0</x:v>
      </x:c>
      <x:c r="N51" s="11" t="str">
        <x:f>IF(M51=0,"",IF(H51="HOME",SUMIFS('Istoric_Nativ'!$G$6:$G$405,'Istoric_Nativ'!$B$6:$B$405,E51,'Istoric_Nativ'!$C$6:$C$405,F51,'Istoric_Nativ'!$E$6:$E$405,G51,'Istoric_Nativ'!$D$6:$D$405,"&lt;"&amp;J51,'Istoric_Nativ'!$P$6:$P$405,1,'Istoric_Nativ'!$D$6:$D$405,"&gt;="&amp;L51),IF(H51="AWAY",SUMIFS('Istoric_Nativ'!$H$6:$H$405,'Istoric_Nativ'!$B$6:$B$405,E51,'Istoric_Nativ'!$C$6:$C$405,F51,'Istoric_Nativ'!$F$6:$F$405,G51,'Istoric_Nativ'!$D$6:$D$405,"&lt;"&amp;J51,'Istoric_Nativ'!$P$6:$P$405,1,'Istoric_Nativ'!$D$6:$D$405,"&gt;="&amp;L51),SUMIFS('Istoric_Nativ'!$G$6:$G$405,'Istoric_Nativ'!$B$6:$B$405,E51,'Istoric_Nativ'!$C$6:$C$405,F51,'Istoric_Nativ'!$E$6:$E$405,G51,'Istoric_Nativ'!$D$6:$D$405,"&lt;"&amp;J51,'Istoric_Nativ'!$P$6:$P$405,1,'Istoric_Nativ'!$D$6:$D$405,"&gt;="&amp;L51)+SUMIFS('Istoric_Nativ'!$H$6:$H$405,'Istoric_Nativ'!$B$6:$B$405,E51,'Istoric_Nativ'!$C$6:$C$405,F51,'Istoric_Nativ'!$F$6:$F$405,G51,'Istoric_Nativ'!$D$6:$D$405,"&lt;"&amp;J51,'Istoric_Nativ'!$P$6:$P$405,1,'Istoric_Nativ'!$D$6:$D$405,"&gt;="&amp;L51)))/M51)</x:f>
      </x:c>
      <x:c r="O51" s="11" t="str">
        <x:f>IF(M51=0,"",IF(H51="HOME",SUMIFS('Istoric_Nativ'!$H$6:$H$405,'Istoric_Nativ'!$B$6:$B$405,E51,'Istoric_Nativ'!$C$6:$C$405,F51,'Istoric_Nativ'!$E$6:$E$405,G51,'Istoric_Nativ'!$D$6:$D$405,"&lt;"&amp;J51,'Istoric_Nativ'!$P$6:$P$405,1,'Istoric_Nativ'!$D$6:$D$405,"&gt;="&amp;L51),IF(H51="AWAY",SUMIFS('Istoric_Nativ'!$G$6:$G$405,'Istoric_Nativ'!$B$6:$B$405,E51,'Istoric_Nativ'!$C$6:$C$405,F51,'Istoric_Nativ'!$F$6:$F$405,G51,'Istoric_Nativ'!$D$6:$D$405,"&lt;"&amp;J51,'Istoric_Nativ'!$P$6:$P$405,1,'Istoric_Nativ'!$D$6:$D$405,"&gt;="&amp;L51),SUMIFS('Istoric_Nativ'!$H$6:$H$405,'Istoric_Nativ'!$B$6:$B$405,E51,'Istoric_Nativ'!$C$6:$C$405,F51,'Istoric_Nativ'!$E$6:$E$405,G51,'Istoric_Nativ'!$D$6:$D$405,"&lt;"&amp;J51,'Istoric_Nativ'!$P$6:$P$405,1,'Istoric_Nativ'!$D$6:$D$405,"&gt;="&amp;L51)+SUMIFS('Istoric_Nativ'!$G$6:$G$405,'Istoric_Nativ'!$B$6:$B$405,E51,'Istoric_Nativ'!$C$6:$C$405,F51,'Istoric_Nativ'!$F$6:$F$405,G51,'Istoric_Nativ'!$D$6:$D$405,"&lt;"&amp;J51,'Istoric_Nativ'!$P$6:$P$405,1,'Istoric_Nativ'!$D$6:$D$405,"&gt;="&amp;L51)))/M51)</x:f>
      </x:c>
      <x:c r="P51" s="2" t="n">
        <x:f>'Config_v6'!$B$7</x:f>
        <x:v>10</x:v>
      </x:c>
      <x:c r="Q51" s="2" t="n">
        <x:f>IF(OR(B51="",F51=""),0,IFERROR(MATCH(E51&amp;"|"&amp;F51,SourceTable[Source_Key],0),0))</x:f>
        <x:v>0</x:v>
      </x:c>
      <x:c r="R51" s="2" t="str">
        <x:f>IF(B51="","",IF(F51="","UNUSED",IF(Q51=0,"NOT CHECKED",IF(COUNTIF(SourceTable[Source_Key],E51&amp;"|"&amp;F51)&lt;&gt;1,"SOURCE CONFLICT",IF(NOT(OR(INDEX(SourceTable[Status],MAX(1,Q51))="IMPORTED",INDEX(SourceTable[Status],MAX(1,Q51))="PARTIAL",INDEX(SourceTable[Status],MAX(1,Q51))="SOURCE CONFLICT")),"ACCESS BLOCKED",IF(OR(INDEX(SourceTable[Coverage],Q51)&lt;&gt;"FULL SEASON EXPORT",INDEX(SourceTable[URL],Q51)="",INDEX(SourceTable[SHA256],Q51)=""),"EVIDENCE INCOMPLETE",IF(AND('Input_Meci'!H9="LIVE",INDEX(SourceTable[Retrieved_UTC],Q51)&gt;'Input_Meci'!G9),"POST CUTOFF","CLOSED")))))))</x:f>
      </x:c>
      <x:c r="S51" s="2" t="n">
        <x:f>IF(OR(B51="",F51=""),0,COUNTIFS('Istoric_Nativ'!$B$6:$B$405,E51,'Istoric_Nativ'!$C$6:$C$405,F51,'Istoric_Nativ'!$E$6:$E$405,G51,'Istoric_Nativ'!$D$6:$D$405,"&lt;"&amp;J51,'Istoric_Nativ'!$O$6:$O$405,"INVALID")+COUNTIFS('Istoric_Nativ'!$B$6:$B$405,E51,'Istoric_Nativ'!$C$6:$C$405,F51,'Istoric_Nativ'!$E$6:$E$405,G51,'Istoric_Nativ'!$O$6:$O$405,"INVALID",'Istoric_Nativ'!$D$6:$D$405,"*")+COUNTIFS('Istoric_Nativ'!$B$6:$B$405,E51,'Istoric_Nativ'!$C$6:$C$405,F51,'Istoric_Nativ'!$E$6:$E$405,G51,'Istoric_Nativ'!$D$6:$D$405,"&lt;"&amp;J51,'Istoric_Nativ'!$O$6:$O$405,"SOURCE CONFLICT")+COUNTIFS('Istoric_Nativ'!$B$6:$B$405,E51,'Istoric_Nativ'!$C$6:$C$405,F51,'Istoric_Nativ'!$F$6:$F$405,G51,'Istoric_Nativ'!$D$6:$D$405,"&lt;"&amp;J51,'Istoric_Nativ'!$O$6:$O$405,"INVALID")+COUNTIFS('Istoric_Nativ'!$B$6:$B$405,E51,'Istoric_Nativ'!$C$6:$C$405,F51,'Istoric_Nativ'!$F$6:$F$405,G51,'Istoric_Nativ'!$O$6:$O$405,"INVALID",'Istoric_Nativ'!$D$6:$D$405,"*")+COUNTIFS('Istoric_Nativ'!$B$6:$B$405,E51,'Istoric_Nativ'!$C$6:$C$405,F51,'Istoric_Nativ'!$F$6:$F$405,G51,'Istoric_Nativ'!$D$6:$D$405,"&lt;"&amp;J51,'Istoric_Nativ'!$O$6:$O$405,"SOURCE CONFLICT"))</x:f>
        <x:v>0</x:v>
      </x:c>
      <x:c r="T51" s="2" t="str">
        <x:f>IF(B51="","",IF(R51&lt;&gt;"CLOSED",R51,IF(S51&gt;0,"NATIVE INPUT ISSUE",IF(M51=0,"NO HISTORY",IF(M51&lt;P51,"SMALL SAMPLE","DERIVED")))))</x:f>
      </x:c>
      <x:c r="U51" s="2" t="str">
        <x:f>IF(B51="","","NativeTable; "&amp;E51&amp;"; "&amp;F51&amp;"; "&amp;G51&amp;"; "&amp;H51&amp;"; before "&amp;TEXT(J51,"yyyy-mm-dd")&amp;IF(I51="RECENT","; from "&amp;TEXT(L51,"yyyy-mm-dd"),""))</x:f>
      </x:c>
    </x:row>
    <x:row r="52" ht="21" customHeight="1">
      <x:c r="A52" s="2" t="n">
        <x:v>4</x:v>
      </x:c>
      <x:c r="B52" s="2" t="str">
        <x:f>IF('Input_Meci'!A9="","",'Input_Meci'!A9)</x:f>
      </x:c>
      <x:c r="C52" s="2" t="str">
        <x:v>A</x:v>
      </x:c>
      <x:c r="D52" s="2" t="str">
        <x:v>PRIOR</x:v>
      </x:c>
      <x:c r="E52" s="2" t="str">
        <x:f>IF(B52="","",'Input_Meci'!B9)</x:f>
      </x:c>
      <x:c r="F52" s="2" t="str">
        <x:f>IF(B52="","",IF('Input_Meci'!K9="","",'Input_Meci'!K9))</x:f>
      </x:c>
      <x:c r="G52" s="2" t="str">
        <x:f>IF(B52="","",'Input_Meci'!E9)</x:f>
      </x:c>
      <x:c r="H52" s="2" t="str">
        <x:v>AWAY</x:v>
      </x:c>
      <x:c r="I52" s="2" t="str">
        <x:v>HA</x:v>
      </x:c>
      <x:c r="J52" s="9" t="n">
        <x:f>IF(AND(B52&lt;&gt;"",ISNUMBER('Input_Meci'!G9)),INT('Input_Meci'!G9),0)</x:f>
        <x:v>0</x:v>
      </x:c>
      <x:c r="K52" s="2" t="n">
        <x:f>IF(OR(B52="",F52=""),0,IF(H52="HOME",COUNTIFS('Istoric_Nativ'!$B$6:$B$405,E52,'Istoric_Nativ'!$C$6:$C$405,F52,'Istoric_Nativ'!$E$6:$E$405,G52,'Istoric_Nativ'!$D$6:$D$405,"&lt;"&amp;J52,'Istoric_Nativ'!$P$6:$P$405,1),IF(H52="AWAY",COUNTIFS('Istoric_Nativ'!$B$6:$B$405,E52,'Istoric_Nativ'!$C$6:$C$405,F52,'Istoric_Nativ'!$F$6:$F$405,G52,'Istoric_Nativ'!$D$6:$D$405,"&lt;"&amp;J52,'Istoric_Nativ'!$P$6:$P$405,1),COUNTIFS('Istoric_Nativ'!$B$6:$B$405,E52,'Istoric_Nativ'!$C$6:$C$405,F52,'Istoric_Nativ'!$E$6:$E$405,G52,'Istoric_Nativ'!$D$6:$D$405,"&lt;"&amp;J52,'Istoric_Nativ'!$P$6:$P$405,1)+COUNTIFS('Istoric_Nativ'!$B$6:$B$405,E52,'Istoric_Nativ'!$C$6:$C$405,F52,'Istoric_Nativ'!$F$6:$F$405,G52,'Istoric_Nativ'!$D$6:$D$405,"&lt;"&amp;J52,'Istoric_Nativ'!$P$6:$P$405,1))))</x:f>
        <x:v>0</x:v>
      </x:c>
      <x:c r="L52" s="17" t="n">
        <x:f>IF(AND(B52&lt;&gt;"",I52="RECENT",K52&gt;0),LARGE(_xlfn._xlws.FILTER('Istoric_Nativ'!$D$6:$D$405,('Istoric_Nativ'!$B$6:$B$405=E52)*('Istoric_Nativ'!$C$6:$C$405=F52)*('Istoric_Nativ'!$P$6:$P$405=1)*('Istoric_Nativ'!$D$6:$D$405&lt;J52)*((('Istoric_Nativ'!$E$6:$E$405=G52)+('Istoric_Nativ'!$F$6:$F$405=G52))&gt;0)),MIN('Config_v6'!$B$54,K52)),0)</x:f>
        <x:v>0</x:v>
      </x:c>
      <x:c r="M52" s="2" t="n">
        <x:f>IF(OR(B52="",F52=""),0,IF(H52="HOME",COUNTIFS('Istoric_Nativ'!$B$6:$B$405,E52,'Istoric_Nativ'!$C$6:$C$405,F52,'Istoric_Nativ'!$E$6:$E$405,G52,'Istoric_Nativ'!$D$6:$D$405,"&lt;"&amp;J52,'Istoric_Nativ'!$P$6:$P$405,1,'Istoric_Nativ'!$D$6:$D$405,"&gt;="&amp;L52),IF(H52="AWAY",COUNTIFS('Istoric_Nativ'!$B$6:$B$405,E52,'Istoric_Nativ'!$C$6:$C$405,F52,'Istoric_Nativ'!$F$6:$F$405,G52,'Istoric_Nativ'!$D$6:$D$405,"&lt;"&amp;J52,'Istoric_Nativ'!$P$6:$P$405,1,'Istoric_Nativ'!$D$6:$D$405,"&gt;="&amp;L52),COUNTIFS('Istoric_Nativ'!$B$6:$B$405,E52,'Istoric_Nativ'!$C$6:$C$405,F52,'Istoric_Nativ'!$E$6:$E$405,G52,'Istoric_Nativ'!$D$6:$D$405,"&lt;"&amp;J52,'Istoric_Nativ'!$P$6:$P$405,1,'Istoric_Nativ'!$D$6:$D$405,"&gt;="&amp;L52)+COUNTIFS('Istoric_Nativ'!$B$6:$B$405,E52,'Istoric_Nativ'!$C$6:$C$405,F52,'Istoric_Nativ'!$F$6:$F$405,G52,'Istoric_Nativ'!$D$6:$D$405,"&lt;"&amp;J52,'Istoric_Nativ'!$P$6:$P$405,1,'Istoric_Nativ'!$D$6:$D$405,"&gt;="&amp;L52))))</x:f>
        <x:v>0</x:v>
      </x:c>
      <x:c r="N52" s="11" t="str">
        <x:f>IF(M52=0,"",IF(H52="HOME",SUMIFS('Istoric_Nativ'!$G$6:$G$405,'Istoric_Nativ'!$B$6:$B$405,E52,'Istoric_Nativ'!$C$6:$C$405,F52,'Istoric_Nativ'!$E$6:$E$405,G52,'Istoric_Nativ'!$D$6:$D$405,"&lt;"&amp;J52,'Istoric_Nativ'!$P$6:$P$405,1,'Istoric_Nativ'!$D$6:$D$405,"&gt;="&amp;L52),IF(H52="AWAY",SUMIFS('Istoric_Nativ'!$H$6:$H$405,'Istoric_Nativ'!$B$6:$B$405,E52,'Istoric_Nativ'!$C$6:$C$405,F52,'Istoric_Nativ'!$F$6:$F$405,G52,'Istoric_Nativ'!$D$6:$D$405,"&lt;"&amp;J52,'Istoric_Nativ'!$P$6:$P$405,1,'Istoric_Nativ'!$D$6:$D$405,"&gt;="&amp;L52),SUMIFS('Istoric_Nativ'!$G$6:$G$405,'Istoric_Nativ'!$B$6:$B$405,E52,'Istoric_Nativ'!$C$6:$C$405,F52,'Istoric_Nativ'!$E$6:$E$405,G52,'Istoric_Nativ'!$D$6:$D$405,"&lt;"&amp;J52,'Istoric_Nativ'!$P$6:$P$405,1,'Istoric_Nativ'!$D$6:$D$405,"&gt;="&amp;L52)+SUMIFS('Istoric_Nativ'!$H$6:$H$405,'Istoric_Nativ'!$B$6:$B$405,E52,'Istoric_Nativ'!$C$6:$C$405,F52,'Istoric_Nativ'!$F$6:$F$405,G52,'Istoric_Nativ'!$D$6:$D$405,"&lt;"&amp;J52,'Istoric_Nativ'!$P$6:$P$405,1,'Istoric_Nativ'!$D$6:$D$405,"&gt;="&amp;L52)))/M52)</x:f>
      </x:c>
      <x:c r="O52" s="11" t="str">
        <x:f>IF(M52=0,"",IF(H52="HOME",SUMIFS('Istoric_Nativ'!$H$6:$H$405,'Istoric_Nativ'!$B$6:$B$405,E52,'Istoric_Nativ'!$C$6:$C$405,F52,'Istoric_Nativ'!$E$6:$E$405,G52,'Istoric_Nativ'!$D$6:$D$405,"&lt;"&amp;J52,'Istoric_Nativ'!$P$6:$P$405,1,'Istoric_Nativ'!$D$6:$D$405,"&gt;="&amp;L52),IF(H52="AWAY",SUMIFS('Istoric_Nativ'!$G$6:$G$405,'Istoric_Nativ'!$B$6:$B$405,E52,'Istoric_Nativ'!$C$6:$C$405,F52,'Istoric_Nativ'!$F$6:$F$405,G52,'Istoric_Nativ'!$D$6:$D$405,"&lt;"&amp;J52,'Istoric_Nativ'!$P$6:$P$405,1,'Istoric_Nativ'!$D$6:$D$405,"&gt;="&amp;L52),SUMIFS('Istoric_Nativ'!$H$6:$H$405,'Istoric_Nativ'!$B$6:$B$405,E52,'Istoric_Nativ'!$C$6:$C$405,F52,'Istoric_Nativ'!$E$6:$E$405,G52,'Istoric_Nativ'!$D$6:$D$405,"&lt;"&amp;J52,'Istoric_Nativ'!$P$6:$P$405,1,'Istoric_Nativ'!$D$6:$D$405,"&gt;="&amp;L52)+SUMIFS('Istoric_Nativ'!$G$6:$G$405,'Istoric_Nativ'!$B$6:$B$405,E52,'Istoric_Nativ'!$C$6:$C$405,F52,'Istoric_Nativ'!$F$6:$F$405,G52,'Istoric_Nativ'!$D$6:$D$405,"&lt;"&amp;J52,'Istoric_Nativ'!$P$6:$P$405,1,'Istoric_Nativ'!$D$6:$D$405,"&gt;="&amp;L52)))/M52)</x:f>
      </x:c>
      <x:c r="P52" s="2" t="n">
        <x:f>'Config_v6'!$B$8</x:f>
        <x:v>5</x:v>
      </x:c>
      <x:c r="Q52" s="2" t="n">
        <x:f>IF(OR(B52="",F52=""),0,IFERROR(MATCH(E52&amp;"|"&amp;F52,SourceTable[Source_Key],0),0))</x:f>
        <x:v>0</x:v>
      </x:c>
      <x:c r="R52" s="2" t="str">
        <x:f>IF(B52="","",IF(F52="","UNUSED",IF(Q52=0,"NOT CHECKED",IF(COUNTIF(SourceTable[Source_Key],E52&amp;"|"&amp;F52)&lt;&gt;1,"SOURCE CONFLICT",IF(NOT(OR(INDEX(SourceTable[Status],MAX(1,Q52))="IMPORTED",INDEX(SourceTable[Status],MAX(1,Q52))="PARTIAL",INDEX(SourceTable[Status],MAX(1,Q52))="SOURCE CONFLICT")),"ACCESS BLOCKED",IF(OR(INDEX(SourceTable[Coverage],Q52)&lt;&gt;"FULL SEASON EXPORT",INDEX(SourceTable[URL],Q52)="",INDEX(SourceTable[SHA256],Q52)=""),"EVIDENCE INCOMPLETE",IF(AND('Input_Meci'!H9="LIVE",INDEX(SourceTable[Retrieved_UTC],Q52)&gt;'Input_Meci'!G9),"POST CUTOFF","CLOSED")))))))</x:f>
      </x:c>
      <x:c r="S52" s="2" t="n">
        <x:f>IF(OR(B52="",F52=""),0,COUNTIFS('Istoric_Nativ'!$B$6:$B$405,E52,'Istoric_Nativ'!$C$6:$C$405,F52,'Istoric_Nativ'!$E$6:$E$405,G52,'Istoric_Nativ'!$D$6:$D$405,"&lt;"&amp;J52,'Istoric_Nativ'!$O$6:$O$405,"INVALID")+COUNTIFS('Istoric_Nativ'!$B$6:$B$405,E52,'Istoric_Nativ'!$C$6:$C$405,F52,'Istoric_Nativ'!$E$6:$E$405,G52,'Istoric_Nativ'!$O$6:$O$405,"INVALID",'Istoric_Nativ'!$D$6:$D$405,"*")+COUNTIFS('Istoric_Nativ'!$B$6:$B$405,E52,'Istoric_Nativ'!$C$6:$C$405,F52,'Istoric_Nativ'!$E$6:$E$405,G52,'Istoric_Nativ'!$D$6:$D$405,"&lt;"&amp;J52,'Istoric_Nativ'!$O$6:$O$405,"SOURCE CONFLICT")+COUNTIFS('Istoric_Nativ'!$B$6:$B$405,E52,'Istoric_Nativ'!$C$6:$C$405,F52,'Istoric_Nativ'!$F$6:$F$405,G52,'Istoric_Nativ'!$D$6:$D$405,"&lt;"&amp;J52,'Istoric_Nativ'!$O$6:$O$405,"INVALID")+COUNTIFS('Istoric_Nativ'!$B$6:$B$405,E52,'Istoric_Nativ'!$C$6:$C$405,F52,'Istoric_Nativ'!$F$6:$F$405,G52,'Istoric_Nativ'!$O$6:$O$405,"INVALID",'Istoric_Nativ'!$D$6:$D$405,"*")+COUNTIFS('Istoric_Nativ'!$B$6:$B$405,E52,'Istoric_Nativ'!$C$6:$C$405,F52,'Istoric_Nativ'!$F$6:$F$405,G52,'Istoric_Nativ'!$D$6:$D$405,"&lt;"&amp;J52,'Istoric_Nativ'!$O$6:$O$405,"SOURCE CONFLICT"))</x:f>
        <x:v>0</x:v>
      </x:c>
      <x:c r="T52" s="2" t="str">
        <x:f>IF(B52="","",IF(R52&lt;&gt;"CLOSED",R52,IF(S52&gt;0,"NATIVE INPUT ISSUE",IF(M52=0,"NO HISTORY",IF(M52&lt;P52,"SMALL SAMPLE","DERIVED")))))</x:f>
      </x:c>
      <x:c r="U52" s="2" t="str">
        <x:f>IF(B52="","","NativeTable; "&amp;E52&amp;"; "&amp;F52&amp;"; "&amp;G52&amp;"; "&amp;H52&amp;"; before "&amp;TEXT(J52,"yyyy-mm-dd")&amp;IF(I52="RECENT","; from "&amp;TEXT(L52,"yyyy-mm-dd"),""))</x:f>
      </x:c>
    </x:row>
    <x:row r="53" ht="21" customHeight="1">
      <x:c r="A53" s="2" t="n">
        <x:v>4</x:v>
      </x:c>
      <x:c r="B53" s="2" t="str">
        <x:f>IF('Input_Meci'!A9="","",'Input_Meci'!A9)</x:f>
      </x:c>
      <x:c r="C53" s="2" t="str">
        <x:v>A</x:v>
      </x:c>
      <x:c r="D53" s="2" t="str">
        <x:v>PRIOR</x:v>
      </x:c>
      <x:c r="E53" s="2" t="str">
        <x:f>IF(B53="","",'Input_Meci'!B9)</x:f>
      </x:c>
      <x:c r="F53" s="2" t="str">
        <x:f>IF(B53="","",IF('Input_Meci'!K9="","",'Input_Meci'!K9))</x:f>
      </x:c>
      <x:c r="G53" s="2" t="str">
        <x:f>IF(B53="","",'Input_Meci'!E9)</x:f>
      </x:c>
      <x:c r="H53" s="2" t="str">
        <x:v>ANY</x:v>
      </x:c>
      <x:c r="I53" s="2" t="str">
        <x:v>RECENT</x:v>
      </x:c>
      <x:c r="J53" s="9" t="n">
        <x:f>IF(AND(B53&lt;&gt;"",ISNUMBER('Input_Meci'!G9)),INT('Input_Meci'!G9),0)</x:f>
        <x:v>0</x:v>
      </x:c>
      <x:c r="K53" s="2" t="n">
        <x:f>IF(OR(B53="",F53=""),0,IF(H53="HOME",COUNTIFS('Istoric_Nativ'!$B$6:$B$405,E53,'Istoric_Nativ'!$C$6:$C$405,F53,'Istoric_Nativ'!$E$6:$E$405,G53,'Istoric_Nativ'!$D$6:$D$405,"&lt;"&amp;J53,'Istoric_Nativ'!$P$6:$P$405,1),IF(H53="AWAY",COUNTIFS('Istoric_Nativ'!$B$6:$B$405,E53,'Istoric_Nativ'!$C$6:$C$405,F53,'Istoric_Nativ'!$F$6:$F$405,G53,'Istoric_Nativ'!$D$6:$D$405,"&lt;"&amp;J53,'Istoric_Nativ'!$P$6:$P$405,1),COUNTIFS('Istoric_Nativ'!$B$6:$B$405,E53,'Istoric_Nativ'!$C$6:$C$405,F53,'Istoric_Nativ'!$E$6:$E$405,G53,'Istoric_Nativ'!$D$6:$D$405,"&lt;"&amp;J53,'Istoric_Nativ'!$P$6:$P$405,1)+COUNTIFS('Istoric_Nativ'!$B$6:$B$405,E53,'Istoric_Nativ'!$C$6:$C$405,F53,'Istoric_Nativ'!$F$6:$F$405,G53,'Istoric_Nativ'!$D$6:$D$405,"&lt;"&amp;J53,'Istoric_Nativ'!$P$6:$P$405,1))))</x:f>
        <x:v>0</x:v>
      </x:c>
      <x:c r="L53" s="17" t="n">
        <x:f>IF(AND(B53&lt;&gt;"",I53="RECENT",K53&gt;0),LARGE(_xlfn._xlws.FILTER('Istoric_Nativ'!$D$6:$D$405,('Istoric_Nativ'!$B$6:$B$405=E53)*('Istoric_Nativ'!$C$6:$C$405=F53)*('Istoric_Nativ'!$P$6:$P$405=1)*('Istoric_Nativ'!$D$6:$D$405&lt;J53)*((('Istoric_Nativ'!$E$6:$E$405=G53)+('Istoric_Nativ'!$F$6:$F$405=G53))&gt;0)),MIN('Config_v6'!$B$54,K53)),0)</x:f>
        <x:v>0</x:v>
      </x:c>
      <x:c r="M53" s="2" t="n">
        <x:f>IF(OR(B53="",F53=""),0,IF(H53="HOME",COUNTIFS('Istoric_Nativ'!$B$6:$B$405,E53,'Istoric_Nativ'!$C$6:$C$405,F53,'Istoric_Nativ'!$E$6:$E$405,G53,'Istoric_Nativ'!$D$6:$D$405,"&lt;"&amp;J53,'Istoric_Nativ'!$P$6:$P$405,1,'Istoric_Nativ'!$D$6:$D$405,"&gt;="&amp;L53),IF(H53="AWAY",COUNTIFS('Istoric_Nativ'!$B$6:$B$405,E53,'Istoric_Nativ'!$C$6:$C$405,F53,'Istoric_Nativ'!$F$6:$F$405,G53,'Istoric_Nativ'!$D$6:$D$405,"&lt;"&amp;J53,'Istoric_Nativ'!$P$6:$P$405,1,'Istoric_Nativ'!$D$6:$D$405,"&gt;="&amp;L53),COUNTIFS('Istoric_Nativ'!$B$6:$B$405,E53,'Istoric_Nativ'!$C$6:$C$405,F53,'Istoric_Nativ'!$E$6:$E$405,G53,'Istoric_Nativ'!$D$6:$D$405,"&lt;"&amp;J53,'Istoric_Nativ'!$P$6:$P$405,1,'Istoric_Nativ'!$D$6:$D$405,"&gt;="&amp;L53)+COUNTIFS('Istoric_Nativ'!$B$6:$B$405,E53,'Istoric_Nativ'!$C$6:$C$405,F53,'Istoric_Nativ'!$F$6:$F$405,G53,'Istoric_Nativ'!$D$6:$D$405,"&lt;"&amp;J53,'Istoric_Nativ'!$P$6:$P$405,1,'Istoric_Nativ'!$D$6:$D$405,"&gt;="&amp;L53))))</x:f>
        <x:v>0</x:v>
      </x:c>
      <x:c r="N53" s="11" t="str">
        <x:f>IF(M53=0,"",IF(H53="HOME",SUMIFS('Istoric_Nativ'!$G$6:$G$405,'Istoric_Nativ'!$B$6:$B$405,E53,'Istoric_Nativ'!$C$6:$C$405,F53,'Istoric_Nativ'!$E$6:$E$405,G53,'Istoric_Nativ'!$D$6:$D$405,"&lt;"&amp;J53,'Istoric_Nativ'!$P$6:$P$405,1,'Istoric_Nativ'!$D$6:$D$405,"&gt;="&amp;L53),IF(H53="AWAY",SUMIFS('Istoric_Nativ'!$H$6:$H$405,'Istoric_Nativ'!$B$6:$B$405,E53,'Istoric_Nativ'!$C$6:$C$405,F53,'Istoric_Nativ'!$F$6:$F$405,G53,'Istoric_Nativ'!$D$6:$D$405,"&lt;"&amp;J53,'Istoric_Nativ'!$P$6:$P$405,1,'Istoric_Nativ'!$D$6:$D$405,"&gt;="&amp;L53),SUMIFS('Istoric_Nativ'!$G$6:$G$405,'Istoric_Nativ'!$B$6:$B$405,E53,'Istoric_Nativ'!$C$6:$C$405,F53,'Istoric_Nativ'!$E$6:$E$405,G53,'Istoric_Nativ'!$D$6:$D$405,"&lt;"&amp;J53,'Istoric_Nativ'!$P$6:$P$405,1,'Istoric_Nativ'!$D$6:$D$405,"&gt;="&amp;L53)+SUMIFS('Istoric_Nativ'!$H$6:$H$405,'Istoric_Nativ'!$B$6:$B$405,E53,'Istoric_Nativ'!$C$6:$C$405,F53,'Istoric_Nativ'!$F$6:$F$405,G53,'Istoric_Nativ'!$D$6:$D$405,"&lt;"&amp;J53,'Istoric_Nativ'!$P$6:$P$405,1,'Istoric_Nativ'!$D$6:$D$405,"&gt;="&amp;L53)))/M53)</x:f>
      </x:c>
      <x:c r="O53" s="11" t="str">
        <x:f>IF(M53=0,"",IF(H53="HOME",SUMIFS('Istoric_Nativ'!$H$6:$H$405,'Istoric_Nativ'!$B$6:$B$405,E53,'Istoric_Nativ'!$C$6:$C$405,F53,'Istoric_Nativ'!$E$6:$E$405,G53,'Istoric_Nativ'!$D$6:$D$405,"&lt;"&amp;J53,'Istoric_Nativ'!$P$6:$P$405,1,'Istoric_Nativ'!$D$6:$D$405,"&gt;="&amp;L53),IF(H53="AWAY",SUMIFS('Istoric_Nativ'!$G$6:$G$405,'Istoric_Nativ'!$B$6:$B$405,E53,'Istoric_Nativ'!$C$6:$C$405,F53,'Istoric_Nativ'!$F$6:$F$405,G53,'Istoric_Nativ'!$D$6:$D$405,"&lt;"&amp;J53,'Istoric_Nativ'!$P$6:$P$405,1,'Istoric_Nativ'!$D$6:$D$405,"&gt;="&amp;L53),SUMIFS('Istoric_Nativ'!$H$6:$H$405,'Istoric_Nativ'!$B$6:$B$405,E53,'Istoric_Nativ'!$C$6:$C$405,F53,'Istoric_Nativ'!$E$6:$E$405,G53,'Istoric_Nativ'!$D$6:$D$405,"&lt;"&amp;J53,'Istoric_Nativ'!$P$6:$P$405,1,'Istoric_Nativ'!$D$6:$D$405,"&gt;="&amp;L53)+SUMIFS('Istoric_Nativ'!$G$6:$G$405,'Istoric_Nativ'!$B$6:$B$405,E53,'Istoric_Nativ'!$C$6:$C$405,F53,'Istoric_Nativ'!$F$6:$F$405,G53,'Istoric_Nativ'!$D$6:$D$405,"&lt;"&amp;J53,'Istoric_Nativ'!$P$6:$P$405,1,'Istoric_Nativ'!$D$6:$D$405,"&gt;="&amp;L53)))/M53)</x:f>
      </x:c>
      <x:c r="P53" s="2" t="n">
        <x:f>'Config_v6'!$B$9</x:f>
        <x:v>3</x:v>
      </x:c>
      <x:c r="Q53" s="2" t="n">
        <x:f>IF(OR(B53="",F53=""),0,IFERROR(MATCH(E53&amp;"|"&amp;F53,SourceTable[Source_Key],0),0))</x:f>
        <x:v>0</x:v>
      </x:c>
      <x:c r="R53" s="2" t="str">
        <x:f>IF(B53="","",IF(F53="","UNUSED",IF(Q53=0,"NOT CHECKED",IF(COUNTIF(SourceTable[Source_Key],E53&amp;"|"&amp;F53)&lt;&gt;1,"SOURCE CONFLICT",IF(NOT(OR(INDEX(SourceTable[Status],MAX(1,Q53))="IMPORTED",INDEX(SourceTable[Status],MAX(1,Q53))="PARTIAL",INDEX(SourceTable[Status],MAX(1,Q53))="SOURCE CONFLICT")),"ACCESS BLOCKED",IF(OR(INDEX(SourceTable[Coverage],Q53)&lt;&gt;"FULL SEASON EXPORT",INDEX(SourceTable[URL],Q53)="",INDEX(SourceTable[SHA256],Q53)=""),"EVIDENCE INCOMPLETE",IF(AND('Input_Meci'!H9="LIVE",INDEX(SourceTable[Retrieved_UTC],Q53)&gt;'Input_Meci'!G9),"POST CUTOFF","CLOSED")))))))</x:f>
      </x:c>
      <x:c r="S53" s="2" t="n">
        <x:f>IF(OR(B53="",F53=""),0,COUNTIFS('Istoric_Nativ'!$B$6:$B$405,E53,'Istoric_Nativ'!$C$6:$C$405,F53,'Istoric_Nativ'!$E$6:$E$405,G53,'Istoric_Nativ'!$D$6:$D$405,"&lt;"&amp;J53,'Istoric_Nativ'!$O$6:$O$405,"INVALID")+COUNTIFS('Istoric_Nativ'!$B$6:$B$405,E53,'Istoric_Nativ'!$C$6:$C$405,F53,'Istoric_Nativ'!$E$6:$E$405,G53,'Istoric_Nativ'!$O$6:$O$405,"INVALID",'Istoric_Nativ'!$D$6:$D$405,"*")+COUNTIFS('Istoric_Nativ'!$B$6:$B$405,E53,'Istoric_Nativ'!$C$6:$C$405,F53,'Istoric_Nativ'!$E$6:$E$405,G53,'Istoric_Nativ'!$D$6:$D$405,"&lt;"&amp;J53,'Istoric_Nativ'!$O$6:$O$405,"SOURCE CONFLICT")+COUNTIFS('Istoric_Nativ'!$B$6:$B$405,E53,'Istoric_Nativ'!$C$6:$C$405,F53,'Istoric_Nativ'!$F$6:$F$405,G53,'Istoric_Nativ'!$D$6:$D$405,"&lt;"&amp;J53,'Istoric_Nativ'!$O$6:$O$405,"INVALID")+COUNTIFS('Istoric_Nativ'!$B$6:$B$405,E53,'Istoric_Nativ'!$C$6:$C$405,F53,'Istoric_Nativ'!$F$6:$F$405,G53,'Istoric_Nativ'!$O$6:$O$405,"INVALID",'Istoric_Nativ'!$D$6:$D$405,"*")+COUNTIFS('Istoric_Nativ'!$B$6:$B$405,E53,'Istoric_Nativ'!$C$6:$C$405,F53,'Istoric_Nativ'!$F$6:$F$405,G53,'Istoric_Nativ'!$D$6:$D$405,"&lt;"&amp;J53,'Istoric_Nativ'!$O$6:$O$405,"SOURCE CONFLICT"))</x:f>
        <x:v>0</x:v>
      </x:c>
      <x:c r="T53" s="2" t="str">
        <x:f>IF(B53="","",IF(R53&lt;&gt;"CLOSED",R53,IF(S53&gt;0,"NATIVE INPUT ISSUE",IF(M53=0,"NO HISTORY",IF(M53&lt;P53,"SMALL SAMPLE","DERIVED")))))</x:f>
      </x:c>
      <x:c r="U53" s="2" t="str">
        <x:f>IF(B53="","","NativeTable; "&amp;E53&amp;"; "&amp;F53&amp;"; "&amp;G53&amp;"; "&amp;H53&amp;"; before "&amp;TEXT(J53,"yyyy-mm-dd")&amp;IF(I53="RECENT","; from "&amp;TEXT(L53,"yyyy-mm-dd"),""))</x:f>
      </x:c>
    </x:row>
    <x:row r="54" ht="21" customHeight="1">
      <x:c r="A54" s="2" t="n">
        <x:v>5</x:v>
      </x:c>
      <x:c r="B54" s="2" t="str">
        <x:f>IF('Input_Meci'!A10="","",'Input_Meci'!A10)</x:f>
      </x:c>
      <x:c r="C54" s="2" t="str">
        <x:v>H</x:v>
      </x:c>
      <x:c r="D54" s="2" t="str">
        <x:v>CURRENT</x:v>
      </x:c>
      <x:c r="E54" s="2" t="str">
        <x:f>IF(B54="","",'Input_Meci'!B10)</x:f>
      </x:c>
      <x:c r="F54" s="2" t="str">
        <x:f>IF(B54="","",IF('Input_Meci'!C10="","",'Input_Meci'!C10))</x:f>
      </x:c>
      <x:c r="G54" s="2" t="str">
        <x:f>IF(B54="","",'Input_Meci'!D10)</x:f>
      </x:c>
      <x:c r="H54" s="2" t="str">
        <x:v>ANY</x:v>
      </x:c>
      <x:c r="I54" s="2" t="str">
        <x:v>SEASON</x:v>
      </x:c>
      <x:c r="J54" s="9" t="n">
        <x:f>IF(AND(B54&lt;&gt;"",ISNUMBER('Input_Meci'!G10)),INT('Input_Meci'!G10),0)</x:f>
        <x:v>0</x:v>
      </x:c>
      <x:c r="K54" s="2" t="n">
        <x:f>IF(OR(B54="",F54=""),0,IF(H54="HOME",COUNTIFS('Istoric_Nativ'!$B$6:$B$405,E54,'Istoric_Nativ'!$C$6:$C$405,F54,'Istoric_Nativ'!$E$6:$E$405,G54,'Istoric_Nativ'!$D$6:$D$405,"&lt;"&amp;J54,'Istoric_Nativ'!$P$6:$P$405,1),IF(H54="AWAY",COUNTIFS('Istoric_Nativ'!$B$6:$B$405,E54,'Istoric_Nativ'!$C$6:$C$405,F54,'Istoric_Nativ'!$F$6:$F$405,G54,'Istoric_Nativ'!$D$6:$D$405,"&lt;"&amp;J54,'Istoric_Nativ'!$P$6:$P$405,1),COUNTIFS('Istoric_Nativ'!$B$6:$B$405,E54,'Istoric_Nativ'!$C$6:$C$405,F54,'Istoric_Nativ'!$E$6:$E$405,G54,'Istoric_Nativ'!$D$6:$D$405,"&lt;"&amp;J54,'Istoric_Nativ'!$P$6:$P$405,1)+COUNTIFS('Istoric_Nativ'!$B$6:$B$405,E54,'Istoric_Nativ'!$C$6:$C$405,F54,'Istoric_Nativ'!$F$6:$F$405,G54,'Istoric_Nativ'!$D$6:$D$405,"&lt;"&amp;J54,'Istoric_Nativ'!$P$6:$P$405,1))))</x:f>
        <x:v>0</x:v>
      </x:c>
      <x:c r="L54" s="17" t="n">
        <x:f>IF(AND(B54&lt;&gt;"",I54="RECENT",K54&gt;0),LARGE(_xlfn._xlws.FILTER('Istoric_Nativ'!$D$6:$D$405,('Istoric_Nativ'!$B$6:$B$405=E54)*('Istoric_Nativ'!$C$6:$C$405=F54)*('Istoric_Nativ'!$P$6:$P$405=1)*('Istoric_Nativ'!$D$6:$D$405&lt;J54)*((('Istoric_Nativ'!$E$6:$E$405=G54)+('Istoric_Nativ'!$F$6:$F$405=G54))&gt;0)),MIN('Config_v6'!$B$54,K54)),0)</x:f>
        <x:v>0</x:v>
      </x:c>
      <x:c r="M54" s="2" t="n">
        <x:f>IF(OR(B54="",F54=""),0,IF(H54="HOME",COUNTIFS('Istoric_Nativ'!$B$6:$B$405,E54,'Istoric_Nativ'!$C$6:$C$405,F54,'Istoric_Nativ'!$E$6:$E$405,G54,'Istoric_Nativ'!$D$6:$D$405,"&lt;"&amp;J54,'Istoric_Nativ'!$P$6:$P$405,1,'Istoric_Nativ'!$D$6:$D$405,"&gt;="&amp;L54),IF(H54="AWAY",COUNTIFS('Istoric_Nativ'!$B$6:$B$405,E54,'Istoric_Nativ'!$C$6:$C$405,F54,'Istoric_Nativ'!$F$6:$F$405,G54,'Istoric_Nativ'!$D$6:$D$405,"&lt;"&amp;J54,'Istoric_Nativ'!$P$6:$P$405,1,'Istoric_Nativ'!$D$6:$D$405,"&gt;="&amp;L54),COUNTIFS('Istoric_Nativ'!$B$6:$B$405,E54,'Istoric_Nativ'!$C$6:$C$405,F54,'Istoric_Nativ'!$E$6:$E$405,G54,'Istoric_Nativ'!$D$6:$D$405,"&lt;"&amp;J54,'Istoric_Nativ'!$P$6:$P$405,1,'Istoric_Nativ'!$D$6:$D$405,"&gt;="&amp;L54)+COUNTIFS('Istoric_Nativ'!$B$6:$B$405,E54,'Istoric_Nativ'!$C$6:$C$405,F54,'Istoric_Nativ'!$F$6:$F$405,G54,'Istoric_Nativ'!$D$6:$D$405,"&lt;"&amp;J54,'Istoric_Nativ'!$P$6:$P$405,1,'Istoric_Nativ'!$D$6:$D$405,"&gt;="&amp;L54))))</x:f>
        <x:v>0</x:v>
      </x:c>
      <x:c r="N54" s="11" t="str">
        <x:f>IF(M54=0,"",IF(H54="HOME",SUMIFS('Istoric_Nativ'!$G$6:$G$405,'Istoric_Nativ'!$B$6:$B$405,E54,'Istoric_Nativ'!$C$6:$C$405,F54,'Istoric_Nativ'!$E$6:$E$405,G54,'Istoric_Nativ'!$D$6:$D$405,"&lt;"&amp;J54,'Istoric_Nativ'!$P$6:$P$405,1,'Istoric_Nativ'!$D$6:$D$405,"&gt;="&amp;L54),IF(H54="AWAY",SUMIFS('Istoric_Nativ'!$H$6:$H$405,'Istoric_Nativ'!$B$6:$B$405,E54,'Istoric_Nativ'!$C$6:$C$405,F54,'Istoric_Nativ'!$F$6:$F$405,G54,'Istoric_Nativ'!$D$6:$D$405,"&lt;"&amp;J54,'Istoric_Nativ'!$P$6:$P$405,1,'Istoric_Nativ'!$D$6:$D$405,"&gt;="&amp;L54),SUMIFS('Istoric_Nativ'!$G$6:$G$405,'Istoric_Nativ'!$B$6:$B$405,E54,'Istoric_Nativ'!$C$6:$C$405,F54,'Istoric_Nativ'!$E$6:$E$405,G54,'Istoric_Nativ'!$D$6:$D$405,"&lt;"&amp;J54,'Istoric_Nativ'!$P$6:$P$405,1,'Istoric_Nativ'!$D$6:$D$405,"&gt;="&amp;L54)+SUMIFS('Istoric_Nativ'!$H$6:$H$405,'Istoric_Nativ'!$B$6:$B$405,E54,'Istoric_Nativ'!$C$6:$C$405,F54,'Istoric_Nativ'!$F$6:$F$405,G54,'Istoric_Nativ'!$D$6:$D$405,"&lt;"&amp;J54,'Istoric_Nativ'!$P$6:$P$405,1,'Istoric_Nativ'!$D$6:$D$405,"&gt;="&amp;L54)))/M54)</x:f>
      </x:c>
      <x:c r="O54" s="11" t="str">
        <x:f>IF(M54=0,"",IF(H54="HOME",SUMIFS('Istoric_Nativ'!$H$6:$H$405,'Istoric_Nativ'!$B$6:$B$405,E54,'Istoric_Nativ'!$C$6:$C$405,F54,'Istoric_Nativ'!$E$6:$E$405,G54,'Istoric_Nativ'!$D$6:$D$405,"&lt;"&amp;J54,'Istoric_Nativ'!$P$6:$P$405,1,'Istoric_Nativ'!$D$6:$D$405,"&gt;="&amp;L54),IF(H54="AWAY",SUMIFS('Istoric_Nativ'!$G$6:$G$405,'Istoric_Nativ'!$B$6:$B$405,E54,'Istoric_Nativ'!$C$6:$C$405,F54,'Istoric_Nativ'!$F$6:$F$405,G54,'Istoric_Nativ'!$D$6:$D$405,"&lt;"&amp;J54,'Istoric_Nativ'!$P$6:$P$405,1,'Istoric_Nativ'!$D$6:$D$405,"&gt;="&amp;L54),SUMIFS('Istoric_Nativ'!$H$6:$H$405,'Istoric_Nativ'!$B$6:$B$405,E54,'Istoric_Nativ'!$C$6:$C$405,F54,'Istoric_Nativ'!$E$6:$E$405,G54,'Istoric_Nativ'!$D$6:$D$405,"&lt;"&amp;J54,'Istoric_Nativ'!$P$6:$P$405,1,'Istoric_Nativ'!$D$6:$D$405,"&gt;="&amp;L54)+SUMIFS('Istoric_Nativ'!$G$6:$G$405,'Istoric_Nativ'!$B$6:$B$405,E54,'Istoric_Nativ'!$C$6:$C$405,F54,'Istoric_Nativ'!$F$6:$F$405,G54,'Istoric_Nativ'!$D$6:$D$405,"&lt;"&amp;J54,'Istoric_Nativ'!$P$6:$P$405,1,'Istoric_Nativ'!$D$6:$D$405,"&gt;="&amp;L54)))/M54)</x:f>
      </x:c>
      <x:c r="P54" s="2" t="n">
        <x:f>'Config_v6'!$B$7</x:f>
        <x:v>10</x:v>
      </x:c>
      <x:c r="Q54" s="2" t="n">
        <x:f>IF(OR(B54="",F54=""),0,IFERROR(MATCH(E54&amp;"|"&amp;F54,SourceTable[Source_Key],0),0))</x:f>
        <x:v>0</x:v>
      </x:c>
      <x:c r="R54" s="2" t="str">
        <x:f>IF(B54="","",IF(F54="","UNUSED",IF(Q54=0,"NOT CHECKED",IF(COUNTIF(SourceTable[Source_Key],E54&amp;"|"&amp;F54)&lt;&gt;1,"SOURCE CONFLICT",IF(NOT(OR(INDEX(SourceTable[Status],MAX(1,Q54))="IMPORTED",INDEX(SourceTable[Status],MAX(1,Q54))="PARTIAL",INDEX(SourceTable[Status],MAX(1,Q54))="SOURCE CONFLICT")),"ACCESS BLOCKED",IF(OR(INDEX(SourceTable[Coverage],Q54)&lt;&gt;"FULL SEASON EXPORT",INDEX(SourceTable[URL],Q54)="",INDEX(SourceTable[SHA256],Q54)=""),"EVIDENCE INCOMPLETE",IF(AND('Input_Meci'!H10="LIVE",INDEX(SourceTable[Retrieved_UTC],Q54)&gt;'Input_Meci'!G10),"POST CUTOFF","CLOSED")))))))</x:f>
      </x:c>
      <x:c r="S54" s="2" t="n">
        <x:f>IF(OR(B54="",F54=""),0,COUNTIFS('Istoric_Nativ'!$B$6:$B$405,E54,'Istoric_Nativ'!$C$6:$C$405,F54,'Istoric_Nativ'!$E$6:$E$405,G54,'Istoric_Nativ'!$D$6:$D$405,"&lt;"&amp;J54,'Istoric_Nativ'!$O$6:$O$405,"INVALID")+COUNTIFS('Istoric_Nativ'!$B$6:$B$405,E54,'Istoric_Nativ'!$C$6:$C$405,F54,'Istoric_Nativ'!$E$6:$E$405,G54,'Istoric_Nativ'!$O$6:$O$405,"INVALID",'Istoric_Nativ'!$D$6:$D$405,"*")+COUNTIFS('Istoric_Nativ'!$B$6:$B$405,E54,'Istoric_Nativ'!$C$6:$C$405,F54,'Istoric_Nativ'!$E$6:$E$405,G54,'Istoric_Nativ'!$D$6:$D$405,"&lt;"&amp;J54,'Istoric_Nativ'!$O$6:$O$405,"SOURCE CONFLICT")+COUNTIFS('Istoric_Nativ'!$B$6:$B$405,E54,'Istoric_Nativ'!$C$6:$C$405,F54,'Istoric_Nativ'!$F$6:$F$405,G54,'Istoric_Nativ'!$D$6:$D$405,"&lt;"&amp;J54,'Istoric_Nativ'!$O$6:$O$405,"INVALID")+COUNTIFS('Istoric_Nativ'!$B$6:$B$405,E54,'Istoric_Nativ'!$C$6:$C$405,F54,'Istoric_Nativ'!$F$6:$F$405,G54,'Istoric_Nativ'!$O$6:$O$405,"INVALID",'Istoric_Nativ'!$D$6:$D$405,"*")+COUNTIFS('Istoric_Nativ'!$B$6:$B$405,E54,'Istoric_Nativ'!$C$6:$C$405,F54,'Istoric_Nativ'!$F$6:$F$405,G54,'Istoric_Nativ'!$D$6:$D$405,"&lt;"&amp;J54,'Istoric_Nativ'!$O$6:$O$405,"SOURCE CONFLICT"))</x:f>
        <x:v>0</x:v>
      </x:c>
      <x:c r="T54" s="2" t="str">
        <x:f>IF(B54="","",IF(R54&lt;&gt;"CLOSED",R54,IF(S54&gt;0,"NATIVE INPUT ISSUE",IF(M54=0,"NO HISTORY",IF(M54&lt;P54,"SMALL SAMPLE","DERIVED")))))</x:f>
      </x:c>
      <x:c r="U54" s="2" t="str">
        <x:f>IF(B54="","","NativeTable; "&amp;E54&amp;"; "&amp;F54&amp;"; "&amp;G54&amp;"; "&amp;H54&amp;"; before "&amp;TEXT(J54,"yyyy-mm-dd")&amp;IF(I54="RECENT","; from "&amp;TEXT(L54,"yyyy-mm-dd"),""))</x:f>
      </x:c>
    </x:row>
    <x:row r="55" ht="21" customHeight="1">
      <x:c r="A55" s="2" t="n">
        <x:v>5</x:v>
      </x:c>
      <x:c r="B55" s="2" t="str">
        <x:f>IF('Input_Meci'!A10="","",'Input_Meci'!A10)</x:f>
      </x:c>
      <x:c r="C55" s="2" t="str">
        <x:v>H</x:v>
      </x:c>
      <x:c r="D55" s="2" t="str">
        <x:v>CURRENT</x:v>
      </x:c>
      <x:c r="E55" s="2" t="str">
        <x:f>IF(B55="","",'Input_Meci'!B10)</x:f>
      </x:c>
      <x:c r="F55" s="2" t="str">
        <x:f>IF(B55="","",IF('Input_Meci'!C10="","",'Input_Meci'!C10))</x:f>
      </x:c>
      <x:c r="G55" s="2" t="str">
        <x:f>IF(B55="","",'Input_Meci'!D10)</x:f>
      </x:c>
      <x:c r="H55" s="2" t="str">
        <x:v>HOME</x:v>
      </x:c>
      <x:c r="I55" s="2" t="str">
        <x:v>HA</x:v>
      </x:c>
      <x:c r="J55" s="9" t="n">
        <x:f>IF(AND(B55&lt;&gt;"",ISNUMBER('Input_Meci'!G10)),INT('Input_Meci'!G10),0)</x:f>
        <x:v>0</x:v>
      </x:c>
      <x:c r="K55" s="2" t="n">
        <x:f>IF(OR(B55="",F55=""),0,IF(H55="HOME",COUNTIFS('Istoric_Nativ'!$B$6:$B$405,E55,'Istoric_Nativ'!$C$6:$C$405,F55,'Istoric_Nativ'!$E$6:$E$405,G55,'Istoric_Nativ'!$D$6:$D$405,"&lt;"&amp;J55,'Istoric_Nativ'!$P$6:$P$405,1),IF(H55="AWAY",COUNTIFS('Istoric_Nativ'!$B$6:$B$405,E55,'Istoric_Nativ'!$C$6:$C$405,F55,'Istoric_Nativ'!$F$6:$F$405,G55,'Istoric_Nativ'!$D$6:$D$405,"&lt;"&amp;J55,'Istoric_Nativ'!$P$6:$P$405,1),COUNTIFS('Istoric_Nativ'!$B$6:$B$405,E55,'Istoric_Nativ'!$C$6:$C$405,F55,'Istoric_Nativ'!$E$6:$E$405,G55,'Istoric_Nativ'!$D$6:$D$405,"&lt;"&amp;J55,'Istoric_Nativ'!$P$6:$P$405,1)+COUNTIFS('Istoric_Nativ'!$B$6:$B$405,E55,'Istoric_Nativ'!$C$6:$C$405,F55,'Istoric_Nativ'!$F$6:$F$405,G55,'Istoric_Nativ'!$D$6:$D$405,"&lt;"&amp;J55,'Istoric_Nativ'!$P$6:$P$405,1))))</x:f>
        <x:v>0</x:v>
      </x:c>
      <x:c r="L55" s="17" t="n">
        <x:f>IF(AND(B55&lt;&gt;"",I55="RECENT",K55&gt;0),LARGE(_xlfn._xlws.FILTER('Istoric_Nativ'!$D$6:$D$405,('Istoric_Nativ'!$B$6:$B$405=E55)*('Istoric_Nativ'!$C$6:$C$405=F55)*('Istoric_Nativ'!$P$6:$P$405=1)*('Istoric_Nativ'!$D$6:$D$405&lt;J55)*((('Istoric_Nativ'!$E$6:$E$405=G55)+('Istoric_Nativ'!$F$6:$F$405=G55))&gt;0)),MIN('Config_v6'!$B$54,K55)),0)</x:f>
        <x:v>0</x:v>
      </x:c>
      <x:c r="M55" s="2" t="n">
        <x:f>IF(OR(B55="",F55=""),0,IF(H55="HOME",COUNTIFS('Istoric_Nativ'!$B$6:$B$405,E55,'Istoric_Nativ'!$C$6:$C$405,F55,'Istoric_Nativ'!$E$6:$E$405,G55,'Istoric_Nativ'!$D$6:$D$405,"&lt;"&amp;J55,'Istoric_Nativ'!$P$6:$P$405,1,'Istoric_Nativ'!$D$6:$D$405,"&gt;="&amp;L55),IF(H55="AWAY",COUNTIFS('Istoric_Nativ'!$B$6:$B$405,E55,'Istoric_Nativ'!$C$6:$C$405,F55,'Istoric_Nativ'!$F$6:$F$405,G55,'Istoric_Nativ'!$D$6:$D$405,"&lt;"&amp;J55,'Istoric_Nativ'!$P$6:$P$405,1,'Istoric_Nativ'!$D$6:$D$405,"&gt;="&amp;L55),COUNTIFS('Istoric_Nativ'!$B$6:$B$405,E55,'Istoric_Nativ'!$C$6:$C$405,F55,'Istoric_Nativ'!$E$6:$E$405,G55,'Istoric_Nativ'!$D$6:$D$405,"&lt;"&amp;J55,'Istoric_Nativ'!$P$6:$P$405,1,'Istoric_Nativ'!$D$6:$D$405,"&gt;="&amp;L55)+COUNTIFS('Istoric_Nativ'!$B$6:$B$405,E55,'Istoric_Nativ'!$C$6:$C$405,F55,'Istoric_Nativ'!$F$6:$F$405,G55,'Istoric_Nativ'!$D$6:$D$405,"&lt;"&amp;J55,'Istoric_Nativ'!$P$6:$P$405,1,'Istoric_Nativ'!$D$6:$D$405,"&gt;="&amp;L55))))</x:f>
        <x:v>0</x:v>
      </x:c>
      <x:c r="N55" s="11" t="str">
        <x:f>IF(M55=0,"",IF(H55="HOME",SUMIFS('Istoric_Nativ'!$G$6:$G$405,'Istoric_Nativ'!$B$6:$B$405,E55,'Istoric_Nativ'!$C$6:$C$405,F55,'Istoric_Nativ'!$E$6:$E$405,G55,'Istoric_Nativ'!$D$6:$D$405,"&lt;"&amp;J55,'Istoric_Nativ'!$P$6:$P$405,1,'Istoric_Nativ'!$D$6:$D$405,"&gt;="&amp;L55),IF(H55="AWAY",SUMIFS('Istoric_Nativ'!$H$6:$H$405,'Istoric_Nativ'!$B$6:$B$405,E55,'Istoric_Nativ'!$C$6:$C$405,F55,'Istoric_Nativ'!$F$6:$F$405,G55,'Istoric_Nativ'!$D$6:$D$405,"&lt;"&amp;J55,'Istoric_Nativ'!$P$6:$P$405,1,'Istoric_Nativ'!$D$6:$D$405,"&gt;="&amp;L55),SUMIFS('Istoric_Nativ'!$G$6:$G$405,'Istoric_Nativ'!$B$6:$B$405,E55,'Istoric_Nativ'!$C$6:$C$405,F55,'Istoric_Nativ'!$E$6:$E$405,G55,'Istoric_Nativ'!$D$6:$D$405,"&lt;"&amp;J55,'Istoric_Nativ'!$P$6:$P$405,1,'Istoric_Nativ'!$D$6:$D$405,"&gt;="&amp;L55)+SUMIFS('Istoric_Nativ'!$H$6:$H$405,'Istoric_Nativ'!$B$6:$B$405,E55,'Istoric_Nativ'!$C$6:$C$405,F55,'Istoric_Nativ'!$F$6:$F$405,G55,'Istoric_Nativ'!$D$6:$D$405,"&lt;"&amp;J55,'Istoric_Nativ'!$P$6:$P$405,1,'Istoric_Nativ'!$D$6:$D$405,"&gt;="&amp;L55)))/M55)</x:f>
      </x:c>
      <x:c r="O55" s="11" t="str">
        <x:f>IF(M55=0,"",IF(H55="HOME",SUMIFS('Istoric_Nativ'!$H$6:$H$405,'Istoric_Nativ'!$B$6:$B$405,E55,'Istoric_Nativ'!$C$6:$C$405,F55,'Istoric_Nativ'!$E$6:$E$405,G55,'Istoric_Nativ'!$D$6:$D$405,"&lt;"&amp;J55,'Istoric_Nativ'!$P$6:$P$405,1,'Istoric_Nativ'!$D$6:$D$405,"&gt;="&amp;L55),IF(H55="AWAY",SUMIFS('Istoric_Nativ'!$G$6:$G$405,'Istoric_Nativ'!$B$6:$B$405,E55,'Istoric_Nativ'!$C$6:$C$405,F55,'Istoric_Nativ'!$F$6:$F$405,G55,'Istoric_Nativ'!$D$6:$D$405,"&lt;"&amp;J55,'Istoric_Nativ'!$P$6:$P$405,1,'Istoric_Nativ'!$D$6:$D$405,"&gt;="&amp;L55),SUMIFS('Istoric_Nativ'!$H$6:$H$405,'Istoric_Nativ'!$B$6:$B$405,E55,'Istoric_Nativ'!$C$6:$C$405,F55,'Istoric_Nativ'!$E$6:$E$405,G55,'Istoric_Nativ'!$D$6:$D$405,"&lt;"&amp;J55,'Istoric_Nativ'!$P$6:$P$405,1,'Istoric_Nativ'!$D$6:$D$405,"&gt;="&amp;L55)+SUMIFS('Istoric_Nativ'!$G$6:$G$405,'Istoric_Nativ'!$B$6:$B$405,E55,'Istoric_Nativ'!$C$6:$C$405,F55,'Istoric_Nativ'!$F$6:$F$405,G55,'Istoric_Nativ'!$D$6:$D$405,"&lt;"&amp;J55,'Istoric_Nativ'!$P$6:$P$405,1,'Istoric_Nativ'!$D$6:$D$405,"&gt;="&amp;L55)))/M55)</x:f>
      </x:c>
      <x:c r="P55" s="2" t="n">
        <x:f>'Config_v6'!$B$8</x:f>
        <x:v>5</x:v>
      </x:c>
      <x:c r="Q55" s="2" t="n">
        <x:f>IF(OR(B55="",F55=""),0,IFERROR(MATCH(E55&amp;"|"&amp;F55,SourceTable[Source_Key],0),0))</x:f>
        <x:v>0</x:v>
      </x:c>
      <x:c r="R55" s="2" t="str">
        <x:f>IF(B55="","",IF(F55="","UNUSED",IF(Q55=0,"NOT CHECKED",IF(COUNTIF(SourceTable[Source_Key],E55&amp;"|"&amp;F55)&lt;&gt;1,"SOURCE CONFLICT",IF(NOT(OR(INDEX(SourceTable[Status],MAX(1,Q55))="IMPORTED",INDEX(SourceTable[Status],MAX(1,Q55))="PARTIAL",INDEX(SourceTable[Status],MAX(1,Q55))="SOURCE CONFLICT")),"ACCESS BLOCKED",IF(OR(INDEX(SourceTable[Coverage],Q55)&lt;&gt;"FULL SEASON EXPORT",INDEX(SourceTable[URL],Q55)="",INDEX(SourceTable[SHA256],Q55)=""),"EVIDENCE INCOMPLETE",IF(AND('Input_Meci'!H10="LIVE",INDEX(SourceTable[Retrieved_UTC],Q55)&gt;'Input_Meci'!G10),"POST CUTOFF","CLOSED")))))))</x:f>
      </x:c>
      <x:c r="S55" s="2" t="n">
        <x:f>IF(OR(B55="",F55=""),0,COUNTIFS('Istoric_Nativ'!$B$6:$B$405,E55,'Istoric_Nativ'!$C$6:$C$405,F55,'Istoric_Nativ'!$E$6:$E$405,G55,'Istoric_Nativ'!$D$6:$D$405,"&lt;"&amp;J55,'Istoric_Nativ'!$O$6:$O$405,"INVALID")+COUNTIFS('Istoric_Nativ'!$B$6:$B$405,E55,'Istoric_Nativ'!$C$6:$C$405,F55,'Istoric_Nativ'!$E$6:$E$405,G55,'Istoric_Nativ'!$O$6:$O$405,"INVALID",'Istoric_Nativ'!$D$6:$D$405,"*")+COUNTIFS('Istoric_Nativ'!$B$6:$B$405,E55,'Istoric_Nativ'!$C$6:$C$405,F55,'Istoric_Nativ'!$E$6:$E$405,G55,'Istoric_Nativ'!$D$6:$D$405,"&lt;"&amp;J55,'Istoric_Nativ'!$O$6:$O$405,"SOURCE CONFLICT")+COUNTIFS('Istoric_Nativ'!$B$6:$B$405,E55,'Istoric_Nativ'!$C$6:$C$405,F55,'Istoric_Nativ'!$F$6:$F$405,G55,'Istoric_Nativ'!$D$6:$D$405,"&lt;"&amp;J55,'Istoric_Nativ'!$O$6:$O$405,"INVALID")+COUNTIFS('Istoric_Nativ'!$B$6:$B$405,E55,'Istoric_Nativ'!$C$6:$C$405,F55,'Istoric_Nativ'!$F$6:$F$405,G55,'Istoric_Nativ'!$O$6:$O$405,"INVALID",'Istoric_Nativ'!$D$6:$D$405,"*")+COUNTIFS('Istoric_Nativ'!$B$6:$B$405,E55,'Istoric_Nativ'!$C$6:$C$405,F55,'Istoric_Nativ'!$F$6:$F$405,G55,'Istoric_Nativ'!$D$6:$D$405,"&lt;"&amp;J55,'Istoric_Nativ'!$O$6:$O$405,"SOURCE CONFLICT"))</x:f>
        <x:v>0</x:v>
      </x:c>
      <x:c r="T55" s="2" t="str">
        <x:f>IF(B55="","",IF(R55&lt;&gt;"CLOSED",R55,IF(S55&gt;0,"NATIVE INPUT ISSUE",IF(M55=0,"NO HISTORY",IF(M55&lt;P55,"SMALL SAMPLE","DERIVED")))))</x:f>
      </x:c>
      <x:c r="U55" s="2" t="str">
        <x:f>IF(B55="","","NativeTable; "&amp;E55&amp;"; "&amp;F55&amp;"; "&amp;G55&amp;"; "&amp;H55&amp;"; before "&amp;TEXT(J55,"yyyy-mm-dd")&amp;IF(I55="RECENT","; from "&amp;TEXT(L55,"yyyy-mm-dd"),""))</x:f>
      </x:c>
    </x:row>
    <x:row r="56" ht="21" customHeight="1">
      <x:c r="A56" s="2" t="n">
        <x:v>5</x:v>
      </x:c>
      <x:c r="B56" s="2" t="str">
        <x:f>IF('Input_Meci'!A10="","",'Input_Meci'!A10)</x:f>
      </x:c>
      <x:c r="C56" s="2" t="str">
        <x:v>H</x:v>
      </x:c>
      <x:c r="D56" s="2" t="str">
        <x:v>CURRENT</x:v>
      </x:c>
      <x:c r="E56" s="2" t="str">
        <x:f>IF(B56="","",'Input_Meci'!B10)</x:f>
      </x:c>
      <x:c r="F56" s="2" t="str">
        <x:f>IF(B56="","",IF('Input_Meci'!C10="","",'Input_Meci'!C10))</x:f>
      </x:c>
      <x:c r="G56" s="2" t="str">
        <x:f>IF(B56="","",'Input_Meci'!D10)</x:f>
      </x:c>
      <x:c r="H56" s="2" t="str">
        <x:v>ANY</x:v>
      </x:c>
      <x:c r="I56" s="2" t="str">
        <x:v>RECENT</x:v>
      </x:c>
      <x:c r="J56" s="9" t="n">
        <x:f>IF(AND(B56&lt;&gt;"",ISNUMBER('Input_Meci'!G10)),INT('Input_Meci'!G10),0)</x:f>
        <x:v>0</x:v>
      </x:c>
      <x:c r="K56" s="2" t="n">
        <x:f>IF(OR(B56="",F56=""),0,IF(H56="HOME",COUNTIFS('Istoric_Nativ'!$B$6:$B$405,E56,'Istoric_Nativ'!$C$6:$C$405,F56,'Istoric_Nativ'!$E$6:$E$405,G56,'Istoric_Nativ'!$D$6:$D$405,"&lt;"&amp;J56,'Istoric_Nativ'!$P$6:$P$405,1),IF(H56="AWAY",COUNTIFS('Istoric_Nativ'!$B$6:$B$405,E56,'Istoric_Nativ'!$C$6:$C$405,F56,'Istoric_Nativ'!$F$6:$F$405,G56,'Istoric_Nativ'!$D$6:$D$405,"&lt;"&amp;J56,'Istoric_Nativ'!$P$6:$P$405,1),COUNTIFS('Istoric_Nativ'!$B$6:$B$405,E56,'Istoric_Nativ'!$C$6:$C$405,F56,'Istoric_Nativ'!$E$6:$E$405,G56,'Istoric_Nativ'!$D$6:$D$405,"&lt;"&amp;J56,'Istoric_Nativ'!$P$6:$P$405,1)+COUNTIFS('Istoric_Nativ'!$B$6:$B$405,E56,'Istoric_Nativ'!$C$6:$C$405,F56,'Istoric_Nativ'!$F$6:$F$405,G56,'Istoric_Nativ'!$D$6:$D$405,"&lt;"&amp;J56,'Istoric_Nativ'!$P$6:$P$405,1))))</x:f>
        <x:v>0</x:v>
      </x:c>
      <x:c r="L56" s="17" t="n">
        <x:f>IF(AND(B56&lt;&gt;"",I56="RECENT",K56&gt;0),LARGE(_xlfn._xlws.FILTER('Istoric_Nativ'!$D$6:$D$405,('Istoric_Nativ'!$B$6:$B$405=E56)*('Istoric_Nativ'!$C$6:$C$405=F56)*('Istoric_Nativ'!$P$6:$P$405=1)*('Istoric_Nativ'!$D$6:$D$405&lt;J56)*((('Istoric_Nativ'!$E$6:$E$405=G56)+('Istoric_Nativ'!$F$6:$F$405=G56))&gt;0)),MIN('Config_v6'!$B$54,K56)),0)</x:f>
        <x:v>0</x:v>
      </x:c>
      <x:c r="M56" s="2" t="n">
        <x:f>IF(OR(B56="",F56=""),0,IF(H56="HOME",COUNTIFS('Istoric_Nativ'!$B$6:$B$405,E56,'Istoric_Nativ'!$C$6:$C$405,F56,'Istoric_Nativ'!$E$6:$E$405,G56,'Istoric_Nativ'!$D$6:$D$405,"&lt;"&amp;J56,'Istoric_Nativ'!$P$6:$P$405,1,'Istoric_Nativ'!$D$6:$D$405,"&gt;="&amp;L56),IF(H56="AWAY",COUNTIFS('Istoric_Nativ'!$B$6:$B$405,E56,'Istoric_Nativ'!$C$6:$C$405,F56,'Istoric_Nativ'!$F$6:$F$405,G56,'Istoric_Nativ'!$D$6:$D$405,"&lt;"&amp;J56,'Istoric_Nativ'!$P$6:$P$405,1,'Istoric_Nativ'!$D$6:$D$405,"&gt;="&amp;L56),COUNTIFS('Istoric_Nativ'!$B$6:$B$405,E56,'Istoric_Nativ'!$C$6:$C$405,F56,'Istoric_Nativ'!$E$6:$E$405,G56,'Istoric_Nativ'!$D$6:$D$405,"&lt;"&amp;J56,'Istoric_Nativ'!$P$6:$P$405,1,'Istoric_Nativ'!$D$6:$D$405,"&gt;="&amp;L56)+COUNTIFS('Istoric_Nativ'!$B$6:$B$405,E56,'Istoric_Nativ'!$C$6:$C$405,F56,'Istoric_Nativ'!$F$6:$F$405,G56,'Istoric_Nativ'!$D$6:$D$405,"&lt;"&amp;J56,'Istoric_Nativ'!$P$6:$P$405,1,'Istoric_Nativ'!$D$6:$D$405,"&gt;="&amp;L56))))</x:f>
        <x:v>0</x:v>
      </x:c>
      <x:c r="N56" s="11" t="str">
        <x:f>IF(M56=0,"",IF(H56="HOME",SUMIFS('Istoric_Nativ'!$G$6:$G$405,'Istoric_Nativ'!$B$6:$B$405,E56,'Istoric_Nativ'!$C$6:$C$405,F56,'Istoric_Nativ'!$E$6:$E$405,G56,'Istoric_Nativ'!$D$6:$D$405,"&lt;"&amp;J56,'Istoric_Nativ'!$P$6:$P$405,1,'Istoric_Nativ'!$D$6:$D$405,"&gt;="&amp;L56),IF(H56="AWAY",SUMIFS('Istoric_Nativ'!$H$6:$H$405,'Istoric_Nativ'!$B$6:$B$405,E56,'Istoric_Nativ'!$C$6:$C$405,F56,'Istoric_Nativ'!$F$6:$F$405,G56,'Istoric_Nativ'!$D$6:$D$405,"&lt;"&amp;J56,'Istoric_Nativ'!$P$6:$P$405,1,'Istoric_Nativ'!$D$6:$D$405,"&gt;="&amp;L56),SUMIFS('Istoric_Nativ'!$G$6:$G$405,'Istoric_Nativ'!$B$6:$B$405,E56,'Istoric_Nativ'!$C$6:$C$405,F56,'Istoric_Nativ'!$E$6:$E$405,G56,'Istoric_Nativ'!$D$6:$D$405,"&lt;"&amp;J56,'Istoric_Nativ'!$P$6:$P$405,1,'Istoric_Nativ'!$D$6:$D$405,"&gt;="&amp;L56)+SUMIFS('Istoric_Nativ'!$H$6:$H$405,'Istoric_Nativ'!$B$6:$B$405,E56,'Istoric_Nativ'!$C$6:$C$405,F56,'Istoric_Nativ'!$F$6:$F$405,G56,'Istoric_Nativ'!$D$6:$D$405,"&lt;"&amp;J56,'Istoric_Nativ'!$P$6:$P$405,1,'Istoric_Nativ'!$D$6:$D$405,"&gt;="&amp;L56)))/M56)</x:f>
      </x:c>
      <x:c r="O56" s="11" t="str">
        <x:f>IF(M56=0,"",IF(H56="HOME",SUMIFS('Istoric_Nativ'!$H$6:$H$405,'Istoric_Nativ'!$B$6:$B$405,E56,'Istoric_Nativ'!$C$6:$C$405,F56,'Istoric_Nativ'!$E$6:$E$405,G56,'Istoric_Nativ'!$D$6:$D$405,"&lt;"&amp;J56,'Istoric_Nativ'!$P$6:$P$405,1,'Istoric_Nativ'!$D$6:$D$405,"&gt;="&amp;L56),IF(H56="AWAY",SUMIFS('Istoric_Nativ'!$G$6:$G$405,'Istoric_Nativ'!$B$6:$B$405,E56,'Istoric_Nativ'!$C$6:$C$405,F56,'Istoric_Nativ'!$F$6:$F$405,G56,'Istoric_Nativ'!$D$6:$D$405,"&lt;"&amp;J56,'Istoric_Nativ'!$P$6:$P$405,1,'Istoric_Nativ'!$D$6:$D$405,"&gt;="&amp;L56),SUMIFS('Istoric_Nativ'!$H$6:$H$405,'Istoric_Nativ'!$B$6:$B$405,E56,'Istoric_Nativ'!$C$6:$C$405,F56,'Istoric_Nativ'!$E$6:$E$405,G56,'Istoric_Nativ'!$D$6:$D$405,"&lt;"&amp;J56,'Istoric_Nativ'!$P$6:$P$405,1,'Istoric_Nativ'!$D$6:$D$405,"&gt;="&amp;L56)+SUMIFS('Istoric_Nativ'!$G$6:$G$405,'Istoric_Nativ'!$B$6:$B$405,E56,'Istoric_Nativ'!$C$6:$C$405,F56,'Istoric_Nativ'!$F$6:$F$405,G56,'Istoric_Nativ'!$D$6:$D$405,"&lt;"&amp;J56,'Istoric_Nativ'!$P$6:$P$405,1,'Istoric_Nativ'!$D$6:$D$405,"&gt;="&amp;L56)))/M56)</x:f>
      </x:c>
      <x:c r="P56" s="2" t="n">
        <x:f>'Config_v6'!$B$9</x:f>
        <x:v>3</x:v>
      </x:c>
      <x:c r="Q56" s="2" t="n">
        <x:f>IF(OR(B56="",F56=""),0,IFERROR(MATCH(E56&amp;"|"&amp;F56,SourceTable[Source_Key],0),0))</x:f>
        <x:v>0</x:v>
      </x:c>
      <x:c r="R56" s="2" t="str">
        <x:f>IF(B56="","",IF(F56="","UNUSED",IF(Q56=0,"NOT CHECKED",IF(COUNTIF(SourceTable[Source_Key],E56&amp;"|"&amp;F56)&lt;&gt;1,"SOURCE CONFLICT",IF(NOT(OR(INDEX(SourceTable[Status],MAX(1,Q56))="IMPORTED",INDEX(SourceTable[Status],MAX(1,Q56))="PARTIAL",INDEX(SourceTable[Status],MAX(1,Q56))="SOURCE CONFLICT")),"ACCESS BLOCKED",IF(OR(INDEX(SourceTable[Coverage],Q56)&lt;&gt;"FULL SEASON EXPORT",INDEX(SourceTable[URL],Q56)="",INDEX(SourceTable[SHA256],Q56)=""),"EVIDENCE INCOMPLETE",IF(AND('Input_Meci'!H10="LIVE",INDEX(SourceTable[Retrieved_UTC],Q56)&gt;'Input_Meci'!G10),"POST CUTOFF","CLOSED")))))))</x:f>
      </x:c>
      <x:c r="S56" s="2" t="n">
        <x:f>IF(OR(B56="",F56=""),0,COUNTIFS('Istoric_Nativ'!$B$6:$B$405,E56,'Istoric_Nativ'!$C$6:$C$405,F56,'Istoric_Nativ'!$E$6:$E$405,G56,'Istoric_Nativ'!$D$6:$D$405,"&lt;"&amp;J56,'Istoric_Nativ'!$O$6:$O$405,"INVALID")+COUNTIFS('Istoric_Nativ'!$B$6:$B$405,E56,'Istoric_Nativ'!$C$6:$C$405,F56,'Istoric_Nativ'!$E$6:$E$405,G56,'Istoric_Nativ'!$O$6:$O$405,"INVALID",'Istoric_Nativ'!$D$6:$D$405,"*")+COUNTIFS('Istoric_Nativ'!$B$6:$B$405,E56,'Istoric_Nativ'!$C$6:$C$405,F56,'Istoric_Nativ'!$E$6:$E$405,G56,'Istoric_Nativ'!$D$6:$D$405,"&lt;"&amp;J56,'Istoric_Nativ'!$O$6:$O$405,"SOURCE CONFLICT")+COUNTIFS('Istoric_Nativ'!$B$6:$B$405,E56,'Istoric_Nativ'!$C$6:$C$405,F56,'Istoric_Nativ'!$F$6:$F$405,G56,'Istoric_Nativ'!$D$6:$D$405,"&lt;"&amp;J56,'Istoric_Nativ'!$O$6:$O$405,"INVALID")+COUNTIFS('Istoric_Nativ'!$B$6:$B$405,E56,'Istoric_Nativ'!$C$6:$C$405,F56,'Istoric_Nativ'!$F$6:$F$405,G56,'Istoric_Nativ'!$O$6:$O$405,"INVALID",'Istoric_Nativ'!$D$6:$D$405,"*")+COUNTIFS('Istoric_Nativ'!$B$6:$B$405,E56,'Istoric_Nativ'!$C$6:$C$405,F56,'Istoric_Nativ'!$F$6:$F$405,G56,'Istoric_Nativ'!$D$6:$D$405,"&lt;"&amp;J56,'Istoric_Nativ'!$O$6:$O$405,"SOURCE CONFLICT"))</x:f>
        <x:v>0</x:v>
      </x:c>
      <x:c r="T56" s="2" t="str">
        <x:f>IF(B56="","",IF(R56&lt;&gt;"CLOSED",R56,IF(S56&gt;0,"NATIVE INPUT ISSUE",IF(M56=0,"NO HISTORY",IF(M56&lt;P56,"SMALL SAMPLE","DERIVED")))))</x:f>
      </x:c>
      <x:c r="U56" s="2" t="str">
        <x:f>IF(B56="","","NativeTable; "&amp;E56&amp;"; "&amp;F56&amp;"; "&amp;G56&amp;"; "&amp;H56&amp;"; before "&amp;TEXT(J56,"yyyy-mm-dd")&amp;IF(I56="RECENT","; from "&amp;TEXT(L56,"yyyy-mm-dd"),""))</x:f>
      </x:c>
    </x:row>
    <x:row r="57" ht="21" customHeight="1">
      <x:c r="A57" s="2" t="n">
        <x:v>5</x:v>
      </x:c>
      <x:c r="B57" s="2" t="str">
        <x:f>IF('Input_Meci'!A10="","",'Input_Meci'!A10)</x:f>
      </x:c>
      <x:c r="C57" s="2" t="str">
        <x:v>A</x:v>
      </x:c>
      <x:c r="D57" s="2" t="str">
        <x:v>CURRENT</x:v>
      </x:c>
      <x:c r="E57" s="2" t="str">
        <x:f>IF(B57="","",'Input_Meci'!B10)</x:f>
      </x:c>
      <x:c r="F57" s="2" t="str">
        <x:f>IF(B57="","",IF('Input_Meci'!C10="","",'Input_Meci'!C10))</x:f>
      </x:c>
      <x:c r="G57" s="2" t="str">
        <x:f>IF(B57="","",'Input_Meci'!E10)</x:f>
      </x:c>
      <x:c r="H57" s="2" t="str">
        <x:v>ANY</x:v>
      </x:c>
      <x:c r="I57" s="2" t="str">
        <x:v>SEASON</x:v>
      </x:c>
      <x:c r="J57" s="9" t="n">
        <x:f>IF(AND(B57&lt;&gt;"",ISNUMBER('Input_Meci'!G10)),INT('Input_Meci'!G10),0)</x:f>
        <x:v>0</x:v>
      </x:c>
      <x:c r="K57" s="2" t="n">
        <x:f>IF(OR(B57="",F57=""),0,IF(H57="HOME",COUNTIFS('Istoric_Nativ'!$B$6:$B$405,E57,'Istoric_Nativ'!$C$6:$C$405,F57,'Istoric_Nativ'!$E$6:$E$405,G57,'Istoric_Nativ'!$D$6:$D$405,"&lt;"&amp;J57,'Istoric_Nativ'!$P$6:$P$405,1),IF(H57="AWAY",COUNTIFS('Istoric_Nativ'!$B$6:$B$405,E57,'Istoric_Nativ'!$C$6:$C$405,F57,'Istoric_Nativ'!$F$6:$F$405,G57,'Istoric_Nativ'!$D$6:$D$405,"&lt;"&amp;J57,'Istoric_Nativ'!$P$6:$P$405,1),COUNTIFS('Istoric_Nativ'!$B$6:$B$405,E57,'Istoric_Nativ'!$C$6:$C$405,F57,'Istoric_Nativ'!$E$6:$E$405,G57,'Istoric_Nativ'!$D$6:$D$405,"&lt;"&amp;J57,'Istoric_Nativ'!$P$6:$P$405,1)+COUNTIFS('Istoric_Nativ'!$B$6:$B$405,E57,'Istoric_Nativ'!$C$6:$C$405,F57,'Istoric_Nativ'!$F$6:$F$405,G57,'Istoric_Nativ'!$D$6:$D$405,"&lt;"&amp;J57,'Istoric_Nativ'!$P$6:$P$405,1))))</x:f>
        <x:v>0</x:v>
      </x:c>
      <x:c r="L57" s="17" t="n">
        <x:f>IF(AND(B57&lt;&gt;"",I57="RECENT",K57&gt;0),LARGE(_xlfn._xlws.FILTER('Istoric_Nativ'!$D$6:$D$405,('Istoric_Nativ'!$B$6:$B$405=E57)*('Istoric_Nativ'!$C$6:$C$405=F57)*('Istoric_Nativ'!$P$6:$P$405=1)*('Istoric_Nativ'!$D$6:$D$405&lt;J57)*((('Istoric_Nativ'!$E$6:$E$405=G57)+('Istoric_Nativ'!$F$6:$F$405=G57))&gt;0)),MIN('Config_v6'!$B$54,K57)),0)</x:f>
        <x:v>0</x:v>
      </x:c>
      <x:c r="M57" s="2" t="n">
        <x:f>IF(OR(B57="",F57=""),0,IF(H57="HOME",COUNTIFS('Istoric_Nativ'!$B$6:$B$405,E57,'Istoric_Nativ'!$C$6:$C$405,F57,'Istoric_Nativ'!$E$6:$E$405,G57,'Istoric_Nativ'!$D$6:$D$405,"&lt;"&amp;J57,'Istoric_Nativ'!$P$6:$P$405,1,'Istoric_Nativ'!$D$6:$D$405,"&gt;="&amp;L57),IF(H57="AWAY",COUNTIFS('Istoric_Nativ'!$B$6:$B$405,E57,'Istoric_Nativ'!$C$6:$C$405,F57,'Istoric_Nativ'!$F$6:$F$405,G57,'Istoric_Nativ'!$D$6:$D$405,"&lt;"&amp;J57,'Istoric_Nativ'!$P$6:$P$405,1,'Istoric_Nativ'!$D$6:$D$405,"&gt;="&amp;L57),COUNTIFS('Istoric_Nativ'!$B$6:$B$405,E57,'Istoric_Nativ'!$C$6:$C$405,F57,'Istoric_Nativ'!$E$6:$E$405,G57,'Istoric_Nativ'!$D$6:$D$405,"&lt;"&amp;J57,'Istoric_Nativ'!$P$6:$P$405,1,'Istoric_Nativ'!$D$6:$D$405,"&gt;="&amp;L57)+COUNTIFS('Istoric_Nativ'!$B$6:$B$405,E57,'Istoric_Nativ'!$C$6:$C$405,F57,'Istoric_Nativ'!$F$6:$F$405,G57,'Istoric_Nativ'!$D$6:$D$405,"&lt;"&amp;J57,'Istoric_Nativ'!$P$6:$P$405,1,'Istoric_Nativ'!$D$6:$D$405,"&gt;="&amp;L57))))</x:f>
        <x:v>0</x:v>
      </x:c>
      <x:c r="N57" s="11" t="str">
        <x:f>IF(M57=0,"",IF(H57="HOME",SUMIFS('Istoric_Nativ'!$G$6:$G$405,'Istoric_Nativ'!$B$6:$B$405,E57,'Istoric_Nativ'!$C$6:$C$405,F57,'Istoric_Nativ'!$E$6:$E$405,G57,'Istoric_Nativ'!$D$6:$D$405,"&lt;"&amp;J57,'Istoric_Nativ'!$P$6:$P$405,1,'Istoric_Nativ'!$D$6:$D$405,"&gt;="&amp;L57),IF(H57="AWAY",SUMIFS('Istoric_Nativ'!$H$6:$H$405,'Istoric_Nativ'!$B$6:$B$405,E57,'Istoric_Nativ'!$C$6:$C$405,F57,'Istoric_Nativ'!$F$6:$F$405,G57,'Istoric_Nativ'!$D$6:$D$405,"&lt;"&amp;J57,'Istoric_Nativ'!$P$6:$P$405,1,'Istoric_Nativ'!$D$6:$D$405,"&gt;="&amp;L57),SUMIFS('Istoric_Nativ'!$G$6:$G$405,'Istoric_Nativ'!$B$6:$B$405,E57,'Istoric_Nativ'!$C$6:$C$405,F57,'Istoric_Nativ'!$E$6:$E$405,G57,'Istoric_Nativ'!$D$6:$D$405,"&lt;"&amp;J57,'Istoric_Nativ'!$P$6:$P$405,1,'Istoric_Nativ'!$D$6:$D$405,"&gt;="&amp;L57)+SUMIFS('Istoric_Nativ'!$H$6:$H$405,'Istoric_Nativ'!$B$6:$B$405,E57,'Istoric_Nativ'!$C$6:$C$405,F57,'Istoric_Nativ'!$F$6:$F$405,G57,'Istoric_Nativ'!$D$6:$D$405,"&lt;"&amp;J57,'Istoric_Nativ'!$P$6:$P$405,1,'Istoric_Nativ'!$D$6:$D$405,"&gt;="&amp;L57)))/M57)</x:f>
      </x:c>
      <x:c r="O57" s="11" t="str">
        <x:f>IF(M57=0,"",IF(H57="HOME",SUMIFS('Istoric_Nativ'!$H$6:$H$405,'Istoric_Nativ'!$B$6:$B$405,E57,'Istoric_Nativ'!$C$6:$C$405,F57,'Istoric_Nativ'!$E$6:$E$405,G57,'Istoric_Nativ'!$D$6:$D$405,"&lt;"&amp;J57,'Istoric_Nativ'!$P$6:$P$405,1,'Istoric_Nativ'!$D$6:$D$405,"&gt;="&amp;L57),IF(H57="AWAY",SUMIFS('Istoric_Nativ'!$G$6:$G$405,'Istoric_Nativ'!$B$6:$B$405,E57,'Istoric_Nativ'!$C$6:$C$405,F57,'Istoric_Nativ'!$F$6:$F$405,G57,'Istoric_Nativ'!$D$6:$D$405,"&lt;"&amp;J57,'Istoric_Nativ'!$P$6:$P$405,1,'Istoric_Nativ'!$D$6:$D$405,"&gt;="&amp;L57),SUMIFS('Istoric_Nativ'!$H$6:$H$405,'Istoric_Nativ'!$B$6:$B$405,E57,'Istoric_Nativ'!$C$6:$C$405,F57,'Istoric_Nativ'!$E$6:$E$405,G57,'Istoric_Nativ'!$D$6:$D$405,"&lt;"&amp;J57,'Istoric_Nativ'!$P$6:$P$405,1,'Istoric_Nativ'!$D$6:$D$405,"&gt;="&amp;L57)+SUMIFS('Istoric_Nativ'!$G$6:$G$405,'Istoric_Nativ'!$B$6:$B$405,E57,'Istoric_Nativ'!$C$6:$C$405,F57,'Istoric_Nativ'!$F$6:$F$405,G57,'Istoric_Nativ'!$D$6:$D$405,"&lt;"&amp;J57,'Istoric_Nativ'!$P$6:$P$405,1,'Istoric_Nativ'!$D$6:$D$405,"&gt;="&amp;L57)))/M57)</x:f>
      </x:c>
      <x:c r="P57" s="2" t="n">
        <x:f>'Config_v6'!$B$7</x:f>
        <x:v>10</x:v>
      </x:c>
      <x:c r="Q57" s="2" t="n">
        <x:f>IF(OR(B57="",F57=""),0,IFERROR(MATCH(E57&amp;"|"&amp;F57,SourceTable[Source_Key],0),0))</x:f>
        <x:v>0</x:v>
      </x:c>
      <x:c r="R57" s="2" t="str">
        <x:f>IF(B57="","",IF(F57="","UNUSED",IF(Q57=0,"NOT CHECKED",IF(COUNTIF(SourceTable[Source_Key],E57&amp;"|"&amp;F57)&lt;&gt;1,"SOURCE CONFLICT",IF(NOT(OR(INDEX(SourceTable[Status],MAX(1,Q57))="IMPORTED",INDEX(SourceTable[Status],MAX(1,Q57))="PARTIAL",INDEX(SourceTable[Status],MAX(1,Q57))="SOURCE CONFLICT")),"ACCESS BLOCKED",IF(OR(INDEX(SourceTable[Coverage],Q57)&lt;&gt;"FULL SEASON EXPORT",INDEX(SourceTable[URL],Q57)="",INDEX(SourceTable[SHA256],Q57)=""),"EVIDENCE INCOMPLETE",IF(AND('Input_Meci'!H10="LIVE",INDEX(SourceTable[Retrieved_UTC],Q57)&gt;'Input_Meci'!G10),"POST CUTOFF","CLOSED")))))))</x:f>
      </x:c>
      <x:c r="S57" s="2" t="n">
        <x:f>IF(OR(B57="",F57=""),0,COUNTIFS('Istoric_Nativ'!$B$6:$B$405,E57,'Istoric_Nativ'!$C$6:$C$405,F57,'Istoric_Nativ'!$E$6:$E$405,G57,'Istoric_Nativ'!$D$6:$D$405,"&lt;"&amp;J57,'Istoric_Nativ'!$O$6:$O$405,"INVALID")+COUNTIFS('Istoric_Nativ'!$B$6:$B$405,E57,'Istoric_Nativ'!$C$6:$C$405,F57,'Istoric_Nativ'!$E$6:$E$405,G57,'Istoric_Nativ'!$O$6:$O$405,"INVALID",'Istoric_Nativ'!$D$6:$D$405,"*")+COUNTIFS('Istoric_Nativ'!$B$6:$B$405,E57,'Istoric_Nativ'!$C$6:$C$405,F57,'Istoric_Nativ'!$E$6:$E$405,G57,'Istoric_Nativ'!$D$6:$D$405,"&lt;"&amp;J57,'Istoric_Nativ'!$O$6:$O$405,"SOURCE CONFLICT")+COUNTIFS('Istoric_Nativ'!$B$6:$B$405,E57,'Istoric_Nativ'!$C$6:$C$405,F57,'Istoric_Nativ'!$F$6:$F$405,G57,'Istoric_Nativ'!$D$6:$D$405,"&lt;"&amp;J57,'Istoric_Nativ'!$O$6:$O$405,"INVALID")+COUNTIFS('Istoric_Nativ'!$B$6:$B$405,E57,'Istoric_Nativ'!$C$6:$C$405,F57,'Istoric_Nativ'!$F$6:$F$405,G57,'Istoric_Nativ'!$O$6:$O$405,"INVALID",'Istoric_Nativ'!$D$6:$D$405,"*")+COUNTIFS('Istoric_Nativ'!$B$6:$B$405,E57,'Istoric_Nativ'!$C$6:$C$405,F57,'Istoric_Nativ'!$F$6:$F$405,G57,'Istoric_Nativ'!$D$6:$D$405,"&lt;"&amp;J57,'Istoric_Nativ'!$O$6:$O$405,"SOURCE CONFLICT"))</x:f>
        <x:v>0</x:v>
      </x:c>
      <x:c r="T57" s="2" t="str">
        <x:f>IF(B57="","",IF(R57&lt;&gt;"CLOSED",R57,IF(S57&gt;0,"NATIVE INPUT ISSUE",IF(M57=0,"NO HISTORY",IF(M57&lt;P57,"SMALL SAMPLE","DERIVED")))))</x:f>
      </x:c>
      <x:c r="U57" s="2" t="str">
        <x:f>IF(B57="","","NativeTable; "&amp;E57&amp;"; "&amp;F57&amp;"; "&amp;G57&amp;"; "&amp;H57&amp;"; before "&amp;TEXT(J57,"yyyy-mm-dd")&amp;IF(I57="RECENT","; from "&amp;TEXT(L57,"yyyy-mm-dd"),""))</x:f>
      </x:c>
    </x:row>
    <x:row r="58" ht="21" customHeight="1">
      <x:c r="A58" s="2" t="n">
        <x:v>5</x:v>
      </x:c>
      <x:c r="B58" s="2" t="str">
        <x:f>IF('Input_Meci'!A10="","",'Input_Meci'!A10)</x:f>
      </x:c>
      <x:c r="C58" s="2" t="str">
        <x:v>A</x:v>
      </x:c>
      <x:c r="D58" s="2" t="str">
        <x:v>CURRENT</x:v>
      </x:c>
      <x:c r="E58" s="2" t="str">
        <x:f>IF(B58="","",'Input_Meci'!B10)</x:f>
      </x:c>
      <x:c r="F58" s="2" t="str">
        <x:f>IF(B58="","",IF('Input_Meci'!C10="","",'Input_Meci'!C10))</x:f>
      </x:c>
      <x:c r="G58" s="2" t="str">
        <x:f>IF(B58="","",'Input_Meci'!E10)</x:f>
      </x:c>
      <x:c r="H58" s="2" t="str">
        <x:v>AWAY</x:v>
      </x:c>
      <x:c r="I58" s="2" t="str">
        <x:v>HA</x:v>
      </x:c>
      <x:c r="J58" s="9" t="n">
        <x:f>IF(AND(B58&lt;&gt;"",ISNUMBER('Input_Meci'!G10)),INT('Input_Meci'!G10),0)</x:f>
        <x:v>0</x:v>
      </x:c>
      <x:c r="K58" s="2" t="n">
        <x:f>IF(OR(B58="",F58=""),0,IF(H58="HOME",COUNTIFS('Istoric_Nativ'!$B$6:$B$405,E58,'Istoric_Nativ'!$C$6:$C$405,F58,'Istoric_Nativ'!$E$6:$E$405,G58,'Istoric_Nativ'!$D$6:$D$405,"&lt;"&amp;J58,'Istoric_Nativ'!$P$6:$P$405,1),IF(H58="AWAY",COUNTIFS('Istoric_Nativ'!$B$6:$B$405,E58,'Istoric_Nativ'!$C$6:$C$405,F58,'Istoric_Nativ'!$F$6:$F$405,G58,'Istoric_Nativ'!$D$6:$D$405,"&lt;"&amp;J58,'Istoric_Nativ'!$P$6:$P$405,1),COUNTIFS('Istoric_Nativ'!$B$6:$B$405,E58,'Istoric_Nativ'!$C$6:$C$405,F58,'Istoric_Nativ'!$E$6:$E$405,G58,'Istoric_Nativ'!$D$6:$D$405,"&lt;"&amp;J58,'Istoric_Nativ'!$P$6:$P$405,1)+COUNTIFS('Istoric_Nativ'!$B$6:$B$405,E58,'Istoric_Nativ'!$C$6:$C$405,F58,'Istoric_Nativ'!$F$6:$F$405,G58,'Istoric_Nativ'!$D$6:$D$405,"&lt;"&amp;J58,'Istoric_Nativ'!$P$6:$P$405,1))))</x:f>
        <x:v>0</x:v>
      </x:c>
      <x:c r="L58" s="17" t="n">
        <x:f>IF(AND(B58&lt;&gt;"",I58="RECENT",K58&gt;0),LARGE(_xlfn._xlws.FILTER('Istoric_Nativ'!$D$6:$D$405,('Istoric_Nativ'!$B$6:$B$405=E58)*('Istoric_Nativ'!$C$6:$C$405=F58)*('Istoric_Nativ'!$P$6:$P$405=1)*('Istoric_Nativ'!$D$6:$D$405&lt;J58)*((('Istoric_Nativ'!$E$6:$E$405=G58)+('Istoric_Nativ'!$F$6:$F$405=G58))&gt;0)),MIN('Config_v6'!$B$54,K58)),0)</x:f>
        <x:v>0</x:v>
      </x:c>
      <x:c r="M58" s="2" t="n">
        <x:f>IF(OR(B58="",F58=""),0,IF(H58="HOME",COUNTIFS('Istoric_Nativ'!$B$6:$B$405,E58,'Istoric_Nativ'!$C$6:$C$405,F58,'Istoric_Nativ'!$E$6:$E$405,G58,'Istoric_Nativ'!$D$6:$D$405,"&lt;"&amp;J58,'Istoric_Nativ'!$P$6:$P$405,1,'Istoric_Nativ'!$D$6:$D$405,"&gt;="&amp;L58),IF(H58="AWAY",COUNTIFS('Istoric_Nativ'!$B$6:$B$405,E58,'Istoric_Nativ'!$C$6:$C$405,F58,'Istoric_Nativ'!$F$6:$F$405,G58,'Istoric_Nativ'!$D$6:$D$405,"&lt;"&amp;J58,'Istoric_Nativ'!$P$6:$P$405,1,'Istoric_Nativ'!$D$6:$D$405,"&gt;="&amp;L58),COUNTIFS('Istoric_Nativ'!$B$6:$B$405,E58,'Istoric_Nativ'!$C$6:$C$405,F58,'Istoric_Nativ'!$E$6:$E$405,G58,'Istoric_Nativ'!$D$6:$D$405,"&lt;"&amp;J58,'Istoric_Nativ'!$P$6:$P$405,1,'Istoric_Nativ'!$D$6:$D$405,"&gt;="&amp;L58)+COUNTIFS('Istoric_Nativ'!$B$6:$B$405,E58,'Istoric_Nativ'!$C$6:$C$405,F58,'Istoric_Nativ'!$F$6:$F$405,G58,'Istoric_Nativ'!$D$6:$D$405,"&lt;"&amp;J58,'Istoric_Nativ'!$P$6:$P$405,1,'Istoric_Nativ'!$D$6:$D$405,"&gt;="&amp;L58))))</x:f>
        <x:v>0</x:v>
      </x:c>
      <x:c r="N58" s="11" t="str">
        <x:f>IF(M58=0,"",IF(H58="HOME",SUMIFS('Istoric_Nativ'!$G$6:$G$405,'Istoric_Nativ'!$B$6:$B$405,E58,'Istoric_Nativ'!$C$6:$C$405,F58,'Istoric_Nativ'!$E$6:$E$405,G58,'Istoric_Nativ'!$D$6:$D$405,"&lt;"&amp;J58,'Istoric_Nativ'!$P$6:$P$405,1,'Istoric_Nativ'!$D$6:$D$405,"&gt;="&amp;L58),IF(H58="AWAY",SUMIFS('Istoric_Nativ'!$H$6:$H$405,'Istoric_Nativ'!$B$6:$B$405,E58,'Istoric_Nativ'!$C$6:$C$405,F58,'Istoric_Nativ'!$F$6:$F$405,G58,'Istoric_Nativ'!$D$6:$D$405,"&lt;"&amp;J58,'Istoric_Nativ'!$P$6:$P$405,1,'Istoric_Nativ'!$D$6:$D$405,"&gt;="&amp;L58),SUMIFS('Istoric_Nativ'!$G$6:$G$405,'Istoric_Nativ'!$B$6:$B$405,E58,'Istoric_Nativ'!$C$6:$C$405,F58,'Istoric_Nativ'!$E$6:$E$405,G58,'Istoric_Nativ'!$D$6:$D$405,"&lt;"&amp;J58,'Istoric_Nativ'!$P$6:$P$405,1,'Istoric_Nativ'!$D$6:$D$405,"&gt;="&amp;L58)+SUMIFS('Istoric_Nativ'!$H$6:$H$405,'Istoric_Nativ'!$B$6:$B$405,E58,'Istoric_Nativ'!$C$6:$C$405,F58,'Istoric_Nativ'!$F$6:$F$405,G58,'Istoric_Nativ'!$D$6:$D$405,"&lt;"&amp;J58,'Istoric_Nativ'!$P$6:$P$405,1,'Istoric_Nativ'!$D$6:$D$405,"&gt;="&amp;L58)))/M58)</x:f>
      </x:c>
      <x:c r="O58" s="11" t="str">
        <x:f>IF(M58=0,"",IF(H58="HOME",SUMIFS('Istoric_Nativ'!$H$6:$H$405,'Istoric_Nativ'!$B$6:$B$405,E58,'Istoric_Nativ'!$C$6:$C$405,F58,'Istoric_Nativ'!$E$6:$E$405,G58,'Istoric_Nativ'!$D$6:$D$405,"&lt;"&amp;J58,'Istoric_Nativ'!$P$6:$P$405,1,'Istoric_Nativ'!$D$6:$D$405,"&gt;="&amp;L58),IF(H58="AWAY",SUMIFS('Istoric_Nativ'!$G$6:$G$405,'Istoric_Nativ'!$B$6:$B$405,E58,'Istoric_Nativ'!$C$6:$C$405,F58,'Istoric_Nativ'!$F$6:$F$405,G58,'Istoric_Nativ'!$D$6:$D$405,"&lt;"&amp;J58,'Istoric_Nativ'!$P$6:$P$405,1,'Istoric_Nativ'!$D$6:$D$405,"&gt;="&amp;L58),SUMIFS('Istoric_Nativ'!$H$6:$H$405,'Istoric_Nativ'!$B$6:$B$405,E58,'Istoric_Nativ'!$C$6:$C$405,F58,'Istoric_Nativ'!$E$6:$E$405,G58,'Istoric_Nativ'!$D$6:$D$405,"&lt;"&amp;J58,'Istoric_Nativ'!$P$6:$P$405,1,'Istoric_Nativ'!$D$6:$D$405,"&gt;="&amp;L58)+SUMIFS('Istoric_Nativ'!$G$6:$G$405,'Istoric_Nativ'!$B$6:$B$405,E58,'Istoric_Nativ'!$C$6:$C$405,F58,'Istoric_Nativ'!$F$6:$F$405,G58,'Istoric_Nativ'!$D$6:$D$405,"&lt;"&amp;J58,'Istoric_Nativ'!$P$6:$P$405,1,'Istoric_Nativ'!$D$6:$D$405,"&gt;="&amp;L58)))/M58)</x:f>
      </x:c>
      <x:c r="P58" s="2" t="n">
        <x:f>'Config_v6'!$B$8</x:f>
        <x:v>5</x:v>
      </x:c>
      <x:c r="Q58" s="2" t="n">
        <x:f>IF(OR(B58="",F58=""),0,IFERROR(MATCH(E58&amp;"|"&amp;F58,SourceTable[Source_Key],0),0))</x:f>
        <x:v>0</x:v>
      </x:c>
      <x:c r="R58" s="2" t="str">
        <x:f>IF(B58="","",IF(F58="","UNUSED",IF(Q58=0,"NOT CHECKED",IF(COUNTIF(SourceTable[Source_Key],E58&amp;"|"&amp;F58)&lt;&gt;1,"SOURCE CONFLICT",IF(NOT(OR(INDEX(SourceTable[Status],MAX(1,Q58))="IMPORTED",INDEX(SourceTable[Status],MAX(1,Q58))="PARTIAL",INDEX(SourceTable[Status],MAX(1,Q58))="SOURCE CONFLICT")),"ACCESS BLOCKED",IF(OR(INDEX(SourceTable[Coverage],Q58)&lt;&gt;"FULL SEASON EXPORT",INDEX(SourceTable[URL],Q58)="",INDEX(SourceTable[SHA256],Q58)=""),"EVIDENCE INCOMPLETE",IF(AND('Input_Meci'!H10="LIVE",INDEX(SourceTable[Retrieved_UTC],Q58)&gt;'Input_Meci'!G10),"POST CUTOFF","CLOSED")))))))</x:f>
      </x:c>
      <x:c r="S58" s="2" t="n">
        <x:f>IF(OR(B58="",F58=""),0,COUNTIFS('Istoric_Nativ'!$B$6:$B$405,E58,'Istoric_Nativ'!$C$6:$C$405,F58,'Istoric_Nativ'!$E$6:$E$405,G58,'Istoric_Nativ'!$D$6:$D$405,"&lt;"&amp;J58,'Istoric_Nativ'!$O$6:$O$405,"INVALID")+COUNTIFS('Istoric_Nativ'!$B$6:$B$405,E58,'Istoric_Nativ'!$C$6:$C$405,F58,'Istoric_Nativ'!$E$6:$E$405,G58,'Istoric_Nativ'!$O$6:$O$405,"INVALID",'Istoric_Nativ'!$D$6:$D$405,"*")+COUNTIFS('Istoric_Nativ'!$B$6:$B$405,E58,'Istoric_Nativ'!$C$6:$C$405,F58,'Istoric_Nativ'!$E$6:$E$405,G58,'Istoric_Nativ'!$D$6:$D$405,"&lt;"&amp;J58,'Istoric_Nativ'!$O$6:$O$405,"SOURCE CONFLICT")+COUNTIFS('Istoric_Nativ'!$B$6:$B$405,E58,'Istoric_Nativ'!$C$6:$C$405,F58,'Istoric_Nativ'!$F$6:$F$405,G58,'Istoric_Nativ'!$D$6:$D$405,"&lt;"&amp;J58,'Istoric_Nativ'!$O$6:$O$405,"INVALID")+COUNTIFS('Istoric_Nativ'!$B$6:$B$405,E58,'Istoric_Nativ'!$C$6:$C$405,F58,'Istoric_Nativ'!$F$6:$F$405,G58,'Istoric_Nativ'!$O$6:$O$405,"INVALID",'Istoric_Nativ'!$D$6:$D$405,"*")+COUNTIFS('Istoric_Nativ'!$B$6:$B$405,E58,'Istoric_Nativ'!$C$6:$C$405,F58,'Istoric_Nativ'!$F$6:$F$405,G58,'Istoric_Nativ'!$D$6:$D$405,"&lt;"&amp;J58,'Istoric_Nativ'!$O$6:$O$405,"SOURCE CONFLICT"))</x:f>
        <x:v>0</x:v>
      </x:c>
      <x:c r="T58" s="2" t="str">
        <x:f>IF(B58="","",IF(R58&lt;&gt;"CLOSED",R58,IF(S58&gt;0,"NATIVE INPUT ISSUE",IF(M58=0,"NO HISTORY",IF(M58&lt;P58,"SMALL SAMPLE","DERIVED")))))</x:f>
      </x:c>
      <x:c r="U58" s="2" t="str">
        <x:f>IF(B58="","","NativeTable; "&amp;E58&amp;"; "&amp;F58&amp;"; "&amp;G58&amp;"; "&amp;H58&amp;"; before "&amp;TEXT(J58,"yyyy-mm-dd")&amp;IF(I58="RECENT","; from "&amp;TEXT(L58,"yyyy-mm-dd"),""))</x:f>
      </x:c>
    </x:row>
    <x:row r="59" ht="21" customHeight="1">
      <x:c r="A59" s="2" t="n">
        <x:v>5</x:v>
      </x:c>
      <x:c r="B59" s="2" t="str">
        <x:f>IF('Input_Meci'!A10="","",'Input_Meci'!A10)</x:f>
      </x:c>
      <x:c r="C59" s="2" t="str">
        <x:v>A</x:v>
      </x:c>
      <x:c r="D59" s="2" t="str">
        <x:v>CURRENT</x:v>
      </x:c>
      <x:c r="E59" s="2" t="str">
        <x:f>IF(B59="","",'Input_Meci'!B10)</x:f>
      </x:c>
      <x:c r="F59" s="2" t="str">
        <x:f>IF(B59="","",IF('Input_Meci'!C10="","",'Input_Meci'!C10))</x:f>
      </x:c>
      <x:c r="G59" s="2" t="str">
        <x:f>IF(B59="","",'Input_Meci'!E10)</x:f>
      </x:c>
      <x:c r="H59" s="2" t="str">
        <x:v>ANY</x:v>
      </x:c>
      <x:c r="I59" s="2" t="str">
        <x:v>RECENT</x:v>
      </x:c>
      <x:c r="J59" s="9" t="n">
        <x:f>IF(AND(B59&lt;&gt;"",ISNUMBER('Input_Meci'!G10)),INT('Input_Meci'!G10),0)</x:f>
        <x:v>0</x:v>
      </x:c>
      <x:c r="K59" s="2" t="n">
        <x:f>IF(OR(B59="",F59=""),0,IF(H59="HOME",COUNTIFS('Istoric_Nativ'!$B$6:$B$405,E59,'Istoric_Nativ'!$C$6:$C$405,F59,'Istoric_Nativ'!$E$6:$E$405,G59,'Istoric_Nativ'!$D$6:$D$405,"&lt;"&amp;J59,'Istoric_Nativ'!$P$6:$P$405,1),IF(H59="AWAY",COUNTIFS('Istoric_Nativ'!$B$6:$B$405,E59,'Istoric_Nativ'!$C$6:$C$405,F59,'Istoric_Nativ'!$F$6:$F$405,G59,'Istoric_Nativ'!$D$6:$D$405,"&lt;"&amp;J59,'Istoric_Nativ'!$P$6:$P$405,1),COUNTIFS('Istoric_Nativ'!$B$6:$B$405,E59,'Istoric_Nativ'!$C$6:$C$405,F59,'Istoric_Nativ'!$E$6:$E$405,G59,'Istoric_Nativ'!$D$6:$D$405,"&lt;"&amp;J59,'Istoric_Nativ'!$P$6:$P$405,1)+COUNTIFS('Istoric_Nativ'!$B$6:$B$405,E59,'Istoric_Nativ'!$C$6:$C$405,F59,'Istoric_Nativ'!$F$6:$F$405,G59,'Istoric_Nativ'!$D$6:$D$405,"&lt;"&amp;J59,'Istoric_Nativ'!$P$6:$P$405,1))))</x:f>
        <x:v>0</x:v>
      </x:c>
      <x:c r="L59" s="17" t="n">
        <x:f>IF(AND(B59&lt;&gt;"",I59="RECENT",K59&gt;0),LARGE(_xlfn._xlws.FILTER('Istoric_Nativ'!$D$6:$D$405,('Istoric_Nativ'!$B$6:$B$405=E59)*('Istoric_Nativ'!$C$6:$C$405=F59)*('Istoric_Nativ'!$P$6:$P$405=1)*('Istoric_Nativ'!$D$6:$D$405&lt;J59)*((('Istoric_Nativ'!$E$6:$E$405=G59)+('Istoric_Nativ'!$F$6:$F$405=G59))&gt;0)),MIN('Config_v6'!$B$54,K59)),0)</x:f>
        <x:v>0</x:v>
      </x:c>
      <x:c r="M59" s="2" t="n">
        <x:f>IF(OR(B59="",F59=""),0,IF(H59="HOME",COUNTIFS('Istoric_Nativ'!$B$6:$B$405,E59,'Istoric_Nativ'!$C$6:$C$405,F59,'Istoric_Nativ'!$E$6:$E$405,G59,'Istoric_Nativ'!$D$6:$D$405,"&lt;"&amp;J59,'Istoric_Nativ'!$P$6:$P$405,1,'Istoric_Nativ'!$D$6:$D$405,"&gt;="&amp;L59),IF(H59="AWAY",COUNTIFS('Istoric_Nativ'!$B$6:$B$405,E59,'Istoric_Nativ'!$C$6:$C$405,F59,'Istoric_Nativ'!$F$6:$F$405,G59,'Istoric_Nativ'!$D$6:$D$405,"&lt;"&amp;J59,'Istoric_Nativ'!$P$6:$P$405,1,'Istoric_Nativ'!$D$6:$D$405,"&gt;="&amp;L59),COUNTIFS('Istoric_Nativ'!$B$6:$B$405,E59,'Istoric_Nativ'!$C$6:$C$405,F59,'Istoric_Nativ'!$E$6:$E$405,G59,'Istoric_Nativ'!$D$6:$D$405,"&lt;"&amp;J59,'Istoric_Nativ'!$P$6:$P$405,1,'Istoric_Nativ'!$D$6:$D$405,"&gt;="&amp;L59)+COUNTIFS('Istoric_Nativ'!$B$6:$B$405,E59,'Istoric_Nativ'!$C$6:$C$405,F59,'Istoric_Nativ'!$F$6:$F$405,G59,'Istoric_Nativ'!$D$6:$D$405,"&lt;"&amp;J59,'Istoric_Nativ'!$P$6:$P$405,1,'Istoric_Nativ'!$D$6:$D$405,"&gt;="&amp;L59))))</x:f>
        <x:v>0</x:v>
      </x:c>
      <x:c r="N59" s="11" t="str">
        <x:f>IF(M59=0,"",IF(H59="HOME",SUMIFS('Istoric_Nativ'!$G$6:$G$405,'Istoric_Nativ'!$B$6:$B$405,E59,'Istoric_Nativ'!$C$6:$C$405,F59,'Istoric_Nativ'!$E$6:$E$405,G59,'Istoric_Nativ'!$D$6:$D$405,"&lt;"&amp;J59,'Istoric_Nativ'!$P$6:$P$405,1,'Istoric_Nativ'!$D$6:$D$405,"&gt;="&amp;L59),IF(H59="AWAY",SUMIFS('Istoric_Nativ'!$H$6:$H$405,'Istoric_Nativ'!$B$6:$B$405,E59,'Istoric_Nativ'!$C$6:$C$405,F59,'Istoric_Nativ'!$F$6:$F$405,G59,'Istoric_Nativ'!$D$6:$D$405,"&lt;"&amp;J59,'Istoric_Nativ'!$P$6:$P$405,1,'Istoric_Nativ'!$D$6:$D$405,"&gt;="&amp;L59),SUMIFS('Istoric_Nativ'!$G$6:$G$405,'Istoric_Nativ'!$B$6:$B$405,E59,'Istoric_Nativ'!$C$6:$C$405,F59,'Istoric_Nativ'!$E$6:$E$405,G59,'Istoric_Nativ'!$D$6:$D$405,"&lt;"&amp;J59,'Istoric_Nativ'!$P$6:$P$405,1,'Istoric_Nativ'!$D$6:$D$405,"&gt;="&amp;L59)+SUMIFS('Istoric_Nativ'!$H$6:$H$405,'Istoric_Nativ'!$B$6:$B$405,E59,'Istoric_Nativ'!$C$6:$C$405,F59,'Istoric_Nativ'!$F$6:$F$405,G59,'Istoric_Nativ'!$D$6:$D$405,"&lt;"&amp;J59,'Istoric_Nativ'!$P$6:$P$405,1,'Istoric_Nativ'!$D$6:$D$405,"&gt;="&amp;L59)))/M59)</x:f>
      </x:c>
      <x:c r="O59" s="11" t="str">
        <x:f>IF(M59=0,"",IF(H59="HOME",SUMIFS('Istoric_Nativ'!$H$6:$H$405,'Istoric_Nativ'!$B$6:$B$405,E59,'Istoric_Nativ'!$C$6:$C$405,F59,'Istoric_Nativ'!$E$6:$E$405,G59,'Istoric_Nativ'!$D$6:$D$405,"&lt;"&amp;J59,'Istoric_Nativ'!$P$6:$P$405,1,'Istoric_Nativ'!$D$6:$D$405,"&gt;="&amp;L59),IF(H59="AWAY",SUMIFS('Istoric_Nativ'!$G$6:$G$405,'Istoric_Nativ'!$B$6:$B$405,E59,'Istoric_Nativ'!$C$6:$C$405,F59,'Istoric_Nativ'!$F$6:$F$405,G59,'Istoric_Nativ'!$D$6:$D$405,"&lt;"&amp;J59,'Istoric_Nativ'!$P$6:$P$405,1,'Istoric_Nativ'!$D$6:$D$405,"&gt;="&amp;L59),SUMIFS('Istoric_Nativ'!$H$6:$H$405,'Istoric_Nativ'!$B$6:$B$405,E59,'Istoric_Nativ'!$C$6:$C$405,F59,'Istoric_Nativ'!$E$6:$E$405,G59,'Istoric_Nativ'!$D$6:$D$405,"&lt;"&amp;J59,'Istoric_Nativ'!$P$6:$P$405,1,'Istoric_Nativ'!$D$6:$D$405,"&gt;="&amp;L59)+SUMIFS('Istoric_Nativ'!$G$6:$G$405,'Istoric_Nativ'!$B$6:$B$405,E59,'Istoric_Nativ'!$C$6:$C$405,F59,'Istoric_Nativ'!$F$6:$F$405,G59,'Istoric_Nativ'!$D$6:$D$405,"&lt;"&amp;J59,'Istoric_Nativ'!$P$6:$P$405,1,'Istoric_Nativ'!$D$6:$D$405,"&gt;="&amp;L59)))/M59)</x:f>
      </x:c>
      <x:c r="P59" s="2" t="n">
        <x:f>'Config_v6'!$B$9</x:f>
        <x:v>3</x:v>
      </x:c>
      <x:c r="Q59" s="2" t="n">
        <x:f>IF(OR(B59="",F59=""),0,IFERROR(MATCH(E59&amp;"|"&amp;F59,SourceTable[Source_Key],0),0))</x:f>
        <x:v>0</x:v>
      </x:c>
      <x:c r="R59" s="2" t="str">
        <x:f>IF(B59="","",IF(F59="","UNUSED",IF(Q59=0,"NOT CHECKED",IF(COUNTIF(SourceTable[Source_Key],E59&amp;"|"&amp;F59)&lt;&gt;1,"SOURCE CONFLICT",IF(NOT(OR(INDEX(SourceTable[Status],MAX(1,Q59))="IMPORTED",INDEX(SourceTable[Status],MAX(1,Q59))="PARTIAL",INDEX(SourceTable[Status],MAX(1,Q59))="SOURCE CONFLICT")),"ACCESS BLOCKED",IF(OR(INDEX(SourceTable[Coverage],Q59)&lt;&gt;"FULL SEASON EXPORT",INDEX(SourceTable[URL],Q59)="",INDEX(SourceTable[SHA256],Q59)=""),"EVIDENCE INCOMPLETE",IF(AND('Input_Meci'!H10="LIVE",INDEX(SourceTable[Retrieved_UTC],Q59)&gt;'Input_Meci'!G10),"POST CUTOFF","CLOSED")))))))</x:f>
      </x:c>
      <x:c r="S59" s="2" t="n">
        <x:f>IF(OR(B59="",F59=""),0,COUNTIFS('Istoric_Nativ'!$B$6:$B$405,E59,'Istoric_Nativ'!$C$6:$C$405,F59,'Istoric_Nativ'!$E$6:$E$405,G59,'Istoric_Nativ'!$D$6:$D$405,"&lt;"&amp;J59,'Istoric_Nativ'!$O$6:$O$405,"INVALID")+COUNTIFS('Istoric_Nativ'!$B$6:$B$405,E59,'Istoric_Nativ'!$C$6:$C$405,F59,'Istoric_Nativ'!$E$6:$E$405,G59,'Istoric_Nativ'!$O$6:$O$405,"INVALID",'Istoric_Nativ'!$D$6:$D$405,"*")+COUNTIFS('Istoric_Nativ'!$B$6:$B$405,E59,'Istoric_Nativ'!$C$6:$C$405,F59,'Istoric_Nativ'!$E$6:$E$405,G59,'Istoric_Nativ'!$D$6:$D$405,"&lt;"&amp;J59,'Istoric_Nativ'!$O$6:$O$405,"SOURCE CONFLICT")+COUNTIFS('Istoric_Nativ'!$B$6:$B$405,E59,'Istoric_Nativ'!$C$6:$C$405,F59,'Istoric_Nativ'!$F$6:$F$405,G59,'Istoric_Nativ'!$D$6:$D$405,"&lt;"&amp;J59,'Istoric_Nativ'!$O$6:$O$405,"INVALID")+COUNTIFS('Istoric_Nativ'!$B$6:$B$405,E59,'Istoric_Nativ'!$C$6:$C$405,F59,'Istoric_Nativ'!$F$6:$F$405,G59,'Istoric_Nativ'!$O$6:$O$405,"INVALID",'Istoric_Nativ'!$D$6:$D$405,"*")+COUNTIFS('Istoric_Nativ'!$B$6:$B$405,E59,'Istoric_Nativ'!$C$6:$C$405,F59,'Istoric_Nativ'!$F$6:$F$405,G59,'Istoric_Nativ'!$D$6:$D$405,"&lt;"&amp;J59,'Istoric_Nativ'!$O$6:$O$405,"SOURCE CONFLICT"))</x:f>
        <x:v>0</x:v>
      </x:c>
      <x:c r="T59" s="2" t="str">
        <x:f>IF(B59="","",IF(R59&lt;&gt;"CLOSED",R59,IF(S59&gt;0,"NATIVE INPUT ISSUE",IF(M59=0,"NO HISTORY",IF(M59&lt;P59,"SMALL SAMPLE","DERIVED")))))</x:f>
      </x:c>
      <x:c r="U59" s="2" t="str">
        <x:f>IF(B59="","","NativeTable; "&amp;E59&amp;"; "&amp;F59&amp;"; "&amp;G59&amp;"; "&amp;H59&amp;"; before "&amp;TEXT(J59,"yyyy-mm-dd")&amp;IF(I59="RECENT","; from "&amp;TEXT(L59,"yyyy-mm-dd"),""))</x:f>
      </x:c>
    </x:row>
    <x:row r="60" ht="21" customHeight="1">
      <x:c r="A60" s="2" t="n">
        <x:v>5</x:v>
      </x:c>
      <x:c r="B60" s="2" t="str">
        <x:f>IF('Input_Meci'!A10="","",'Input_Meci'!A10)</x:f>
      </x:c>
      <x:c r="C60" s="2" t="str">
        <x:v>H</x:v>
      </x:c>
      <x:c r="D60" s="2" t="str">
        <x:v>PRIOR</x:v>
      </x:c>
      <x:c r="E60" s="2" t="str">
        <x:f>IF(B60="","",'Input_Meci'!B10)</x:f>
      </x:c>
      <x:c r="F60" s="2" t="str">
        <x:f>IF(B60="","",IF('Input_Meci'!K10="","",'Input_Meci'!K10))</x:f>
      </x:c>
      <x:c r="G60" s="2" t="str">
        <x:f>IF(B60="","",'Input_Meci'!D10)</x:f>
      </x:c>
      <x:c r="H60" s="2" t="str">
        <x:v>ANY</x:v>
      </x:c>
      <x:c r="I60" s="2" t="str">
        <x:v>SEASON</x:v>
      </x:c>
      <x:c r="J60" s="9" t="n">
        <x:f>IF(AND(B60&lt;&gt;"",ISNUMBER('Input_Meci'!G10)),INT('Input_Meci'!G10),0)</x:f>
        <x:v>0</x:v>
      </x:c>
      <x:c r="K60" s="2" t="n">
        <x:f>IF(OR(B60="",F60=""),0,IF(H60="HOME",COUNTIFS('Istoric_Nativ'!$B$6:$B$405,E60,'Istoric_Nativ'!$C$6:$C$405,F60,'Istoric_Nativ'!$E$6:$E$405,G60,'Istoric_Nativ'!$D$6:$D$405,"&lt;"&amp;J60,'Istoric_Nativ'!$P$6:$P$405,1),IF(H60="AWAY",COUNTIFS('Istoric_Nativ'!$B$6:$B$405,E60,'Istoric_Nativ'!$C$6:$C$405,F60,'Istoric_Nativ'!$F$6:$F$405,G60,'Istoric_Nativ'!$D$6:$D$405,"&lt;"&amp;J60,'Istoric_Nativ'!$P$6:$P$405,1),COUNTIFS('Istoric_Nativ'!$B$6:$B$405,E60,'Istoric_Nativ'!$C$6:$C$405,F60,'Istoric_Nativ'!$E$6:$E$405,G60,'Istoric_Nativ'!$D$6:$D$405,"&lt;"&amp;J60,'Istoric_Nativ'!$P$6:$P$405,1)+COUNTIFS('Istoric_Nativ'!$B$6:$B$405,E60,'Istoric_Nativ'!$C$6:$C$405,F60,'Istoric_Nativ'!$F$6:$F$405,G60,'Istoric_Nativ'!$D$6:$D$405,"&lt;"&amp;J60,'Istoric_Nativ'!$P$6:$P$405,1))))</x:f>
        <x:v>0</x:v>
      </x:c>
      <x:c r="L60" s="17" t="n">
        <x:f>IF(AND(B60&lt;&gt;"",I60="RECENT",K60&gt;0),LARGE(_xlfn._xlws.FILTER('Istoric_Nativ'!$D$6:$D$405,('Istoric_Nativ'!$B$6:$B$405=E60)*('Istoric_Nativ'!$C$6:$C$405=F60)*('Istoric_Nativ'!$P$6:$P$405=1)*('Istoric_Nativ'!$D$6:$D$405&lt;J60)*((('Istoric_Nativ'!$E$6:$E$405=G60)+('Istoric_Nativ'!$F$6:$F$405=G60))&gt;0)),MIN('Config_v6'!$B$54,K60)),0)</x:f>
        <x:v>0</x:v>
      </x:c>
      <x:c r="M60" s="2" t="n">
        <x:f>IF(OR(B60="",F60=""),0,IF(H60="HOME",COUNTIFS('Istoric_Nativ'!$B$6:$B$405,E60,'Istoric_Nativ'!$C$6:$C$405,F60,'Istoric_Nativ'!$E$6:$E$405,G60,'Istoric_Nativ'!$D$6:$D$405,"&lt;"&amp;J60,'Istoric_Nativ'!$P$6:$P$405,1,'Istoric_Nativ'!$D$6:$D$405,"&gt;="&amp;L60),IF(H60="AWAY",COUNTIFS('Istoric_Nativ'!$B$6:$B$405,E60,'Istoric_Nativ'!$C$6:$C$405,F60,'Istoric_Nativ'!$F$6:$F$405,G60,'Istoric_Nativ'!$D$6:$D$405,"&lt;"&amp;J60,'Istoric_Nativ'!$P$6:$P$405,1,'Istoric_Nativ'!$D$6:$D$405,"&gt;="&amp;L60),COUNTIFS('Istoric_Nativ'!$B$6:$B$405,E60,'Istoric_Nativ'!$C$6:$C$405,F60,'Istoric_Nativ'!$E$6:$E$405,G60,'Istoric_Nativ'!$D$6:$D$405,"&lt;"&amp;J60,'Istoric_Nativ'!$P$6:$P$405,1,'Istoric_Nativ'!$D$6:$D$405,"&gt;="&amp;L60)+COUNTIFS('Istoric_Nativ'!$B$6:$B$405,E60,'Istoric_Nativ'!$C$6:$C$405,F60,'Istoric_Nativ'!$F$6:$F$405,G60,'Istoric_Nativ'!$D$6:$D$405,"&lt;"&amp;J60,'Istoric_Nativ'!$P$6:$P$405,1,'Istoric_Nativ'!$D$6:$D$405,"&gt;="&amp;L60))))</x:f>
        <x:v>0</x:v>
      </x:c>
      <x:c r="N60" s="11" t="str">
        <x:f>IF(M60=0,"",IF(H60="HOME",SUMIFS('Istoric_Nativ'!$G$6:$G$405,'Istoric_Nativ'!$B$6:$B$405,E60,'Istoric_Nativ'!$C$6:$C$405,F60,'Istoric_Nativ'!$E$6:$E$405,G60,'Istoric_Nativ'!$D$6:$D$405,"&lt;"&amp;J60,'Istoric_Nativ'!$P$6:$P$405,1,'Istoric_Nativ'!$D$6:$D$405,"&gt;="&amp;L60),IF(H60="AWAY",SUMIFS('Istoric_Nativ'!$H$6:$H$405,'Istoric_Nativ'!$B$6:$B$405,E60,'Istoric_Nativ'!$C$6:$C$405,F60,'Istoric_Nativ'!$F$6:$F$405,G60,'Istoric_Nativ'!$D$6:$D$405,"&lt;"&amp;J60,'Istoric_Nativ'!$P$6:$P$405,1,'Istoric_Nativ'!$D$6:$D$405,"&gt;="&amp;L60),SUMIFS('Istoric_Nativ'!$G$6:$G$405,'Istoric_Nativ'!$B$6:$B$405,E60,'Istoric_Nativ'!$C$6:$C$405,F60,'Istoric_Nativ'!$E$6:$E$405,G60,'Istoric_Nativ'!$D$6:$D$405,"&lt;"&amp;J60,'Istoric_Nativ'!$P$6:$P$405,1,'Istoric_Nativ'!$D$6:$D$405,"&gt;="&amp;L60)+SUMIFS('Istoric_Nativ'!$H$6:$H$405,'Istoric_Nativ'!$B$6:$B$405,E60,'Istoric_Nativ'!$C$6:$C$405,F60,'Istoric_Nativ'!$F$6:$F$405,G60,'Istoric_Nativ'!$D$6:$D$405,"&lt;"&amp;J60,'Istoric_Nativ'!$P$6:$P$405,1,'Istoric_Nativ'!$D$6:$D$405,"&gt;="&amp;L60)))/M60)</x:f>
      </x:c>
      <x:c r="O60" s="11" t="str">
        <x:f>IF(M60=0,"",IF(H60="HOME",SUMIFS('Istoric_Nativ'!$H$6:$H$405,'Istoric_Nativ'!$B$6:$B$405,E60,'Istoric_Nativ'!$C$6:$C$405,F60,'Istoric_Nativ'!$E$6:$E$405,G60,'Istoric_Nativ'!$D$6:$D$405,"&lt;"&amp;J60,'Istoric_Nativ'!$P$6:$P$405,1,'Istoric_Nativ'!$D$6:$D$405,"&gt;="&amp;L60),IF(H60="AWAY",SUMIFS('Istoric_Nativ'!$G$6:$G$405,'Istoric_Nativ'!$B$6:$B$405,E60,'Istoric_Nativ'!$C$6:$C$405,F60,'Istoric_Nativ'!$F$6:$F$405,G60,'Istoric_Nativ'!$D$6:$D$405,"&lt;"&amp;J60,'Istoric_Nativ'!$P$6:$P$405,1,'Istoric_Nativ'!$D$6:$D$405,"&gt;="&amp;L60),SUMIFS('Istoric_Nativ'!$H$6:$H$405,'Istoric_Nativ'!$B$6:$B$405,E60,'Istoric_Nativ'!$C$6:$C$405,F60,'Istoric_Nativ'!$E$6:$E$405,G60,'Istoric_Nativ'!$D$6:$D$405,"&lt;"&amp;J60,'Istoric_Nativ'!$P$6:$P$405,1,'Istoric_Nativ'!$D$6:$D$405,"&gt;="&amp;L60)+SUMIFS('Istoric_Nativ'!$G$6:$G$405,'Istoric_Nativ'!$B$6:$B$405,E60,'Istoric_Nativ'!$C$6:$C$405,F60,'Istoric_Nativ'!$F$6:$F$405,G60,'Istoric_Nativ'!$D$6:$D$405,"&lt;"&amp;J60,'Istoric_Nativ'!$P$6:$P$405,1,'Istoric_Nativ'!$D$6:$D$405,"&gt;="&amp;L60)))/M60)</x:f>
      </x:c>
      <x:c r="P60" s="2" t="n">
        <x:f>'Config_v6'!$B$7</x:f>
        <x:v>10</x:v>
      </x:c>
      <x:c r="Q60" s="2" t="n">
        <x:f>IF(OR(B60="",F60=""),0,IFERROR(MATCH(E60&amp;"|"&amp;F60,SourceTable[Source_Key],0),0))</x:f>
        <x:v>0</x:v>
      </x:c>
      <x:c r="R60" s="2" t="str">
        <x:f>IF(B60="","",IF(F60="","UNUSED",IF(Q60=0,"NOT CHECKED",IF(COUNTIF(SourceTable[Source_Key],E60&amp;"|"&amp;F60)&lt;&gt;1,"SOURCE CONFLICT",IF(NOT(OR(INDEX(SourceTable[Status],MAX(1,Q60))="IMPORTED",INDEX(SourceTable[Status],MAX(1,Q60))="PARTIAL",INDEX(SourceTable[Status],MAX(1,Q60))="SOURCE CONFLICT")),"ACCESS BLOCKED",IF(OR(INDEX(SourceTable[Coverage],Q60)&lt;&gt;"FULL SEASON EXPORT",INDEX(SourceTable[URL],Q60)="",INDEX(SourceTable[SHA256],Q60)=""),"EVIDENCE INCOMPLETE",IF(AND('Input_Meci'!H10="LIVE",INDEX(SourceTable[Retrieved_UTC],Q60)&gt;'Input_Meci'!G10),"POST CUTOFF","CLOSED")))))))</x:f>
      </x:c>
      <x:c r="S60" s="2" t="n">
        <x:f>IF(OR(B60="",F60=""),0,COUNTIFS('Istoric_Nativ'!$B$6:$B$405,E60,'Istoric_Nativ'!$C$6:$C$405,F60,'Istoric_Nativ'!$E$6:$E$405,G60,'Istoric_Nativ'!$D$6:$D$405,"&lt;"&amp;J60,'Istoric_Nativ'!$O$6:$O$405,"INVALID")+COUNTIFS('Istoric_Nativ'!$B$6:$B$405,E60,'Istoric_Nativ'!$C$6:$C$405,F60,'Istoric_Nativ'!$E$6:$E$405,G60,'Istoric_Nativ'!$O$6:$O$405,"INVALID",'Istoric_Nativ'!$D$6:$D$405,"*")+COUNTIFS('Istoric_Nativ'!$B$6:$B$405,E60,'Istoric_Nativ'!$C$6:$C$405,F60,'Istoric_Nativ'!$E$6:$E$405,G60,'Istoric_Nativ'!$D$6:$D$405,"&lt;"&amp;J60,'Istoric_Nativ'!$O$6:$O$405,"SOURCE CONFLICT")+COUNTIFS('Istoric_Nativ'!$B$6:$B$405,E60,'Istoric_Nativ'!$C$6:$C$405,F60,'Istoric_Nativ'!$F$6:$F$405,G60,'Istoric_Nativ'!$D$6:$D$405,"&lt;"&amp;J60,'Istoric_Nativ'!$O$6:$O$405,"INVALID")+COUNTIFS('Istoric_Nativ'!$B$6:$B$405,E60,'Istoric_Nativ'!$C$6:$C$405,F60,'Istoric_Nativ'!$F$6:$F$405,G60,'Istoric_Nativ'!$O$6:$O$405,"INVALID",'Istoric_Nativ'!$D$6:$D$405,"*")+COUNTIFS('Istoric_Nativ'!$B$6:$B$405,E60,'Istoric_Nativ'!$C$6:$C$405,F60,'Istoric_Nativ'!$F$6:$F$405,G60,'Istoric_Nativ'!$D$6:$D$405,"&lt;"&amp;J60,'Istoric_Nativ'!$O$6:$O$405,"SOURCE CONFLICT"))</x:f>
        <x:v>0</x:v>
      </x:c>
      <x:c r="T60" s="2" t="str">
        <x:f>IF(B60="","",IF(R60&lt;&gt;"CLOSED",R60,IF(S60&gt;0,"NATIVE INPUT ISSUE",IF(M60=0,"NO HISTORY",IF(M60&lt;P60,"SMALL SAMPLE","DERIVED")))))</x:f>
      </x:c>
      <x:c r="U60" s="2" t="str">
        <x:f>IF(B60="","","NativeTable; "&amp;E60&amp;"; "&amp;F60&amp;"; "&amp;G60&amp;"; "&amp;H60&amp;"; before "&amp;TEXT(J60,"yyyy-mm-dd")&amp;IF(I60="RECENT","; from "&amp;TEXT(L60,"yyyy-mm-dd"),""))</x:f>
      </x:c>
    </x:row>
    <x:row r="61" ht="21" customHeight="1">
      <x:c r="A61" s="2" t="n">
        <x:v>5</x:v>
      </x:c>
      <x:c r="B61" s="2" t="str">
        <x:f>IF('Input_Meci'!A10="","",'Input_Meci'!A10)</x:f>
      </x:c>
      <x:c r="C61" s="2" t="str">
        <x:v>H</x:v>
      </x:c>
      <x:c r="D61" s="2" t="str">
        <x:v>PRIOR</x:v>
      </x:c>
      <x:c r="E61" s="2" t="str">
        <x:f>IF(B61="","",'Input_Meci'!B10)</x:f>
      </x:c>
      <x:c r="F61" s="2" t="str">
        <x:f>IF(B61="","",IF('Input_Meci'!K10="","",'Input_Meci'!K10))</x:f>
      </x:c>
      <x:c r="G61" s="2" t="str">
        <x:f>IF(B61="","",'Input_Meci'!D10)</x:f>
      </x:c>
      <x:c r="H61" s="2" t="str">
        <x:v>HOME</x:v>
      </x:c>
      <x:c r="I61" s="2" t="str">
        <x:v>HA</x:v>
      </x:c>
      <x:c r="J61" s="9" t="n">
        <x:f>IF(AND(B61&lt;&gt;"",ISNUMBER('Input_Meci'!G10)),INT('Input_Meci'!G10),0)</x:f>
        <x:v>0</x:v>
      </x:c>
      <x:c r="K61" s="2" t="n">
        <x:f>IF(OR(B61="",F61=""),0,IF(H61="HOME",COUNTIFS('Istoric_Nativ'!$B$6:$B$405,E61,'Istoric_Nativ'!$C$6:$C$405,F61,'Istoric_Nativ'!$E$6:$E$405,G61,'Istoric_Nativ'!$D$6:$D$405,"&lt;"&amp;J61,'Istoric_Nativ'!$P$6:$P$405,1),IF(H61="AWAY",COUNTIFS('Istoric_Nativ'!$B$6:$B$405,E61,'Istoric_Nativ'!$C$6:$C$405,F61,'Istoric_Nativ'!$F$6:$F$405,G61,'Istoric_Nativ'!$D$6:$D$405,"&lt;"&amp;J61,'Istoric_Nativ'!$P$6:$P$405,1),COUNTIFS('Istoric_Nativ'!$B$6:$B$405,E61,'Istoric_Nativ'!$C$6:$C$405,F61,'Istoric_Nativ'!$E$6:$E$405,G61,'Istoric_Nativ'!$D$6:$D$405,"&lt;"&amp;J61,'Istoric_Nativ'!$P$6:$P$405,1)+COUNTIFS('Istoric_Nativ'!$B$6:$B$405,E61,'Istoric_Nativ'!$C$6:$C$405,F61,'Istoric_Nativ'!$F$6:$F$405,G61,'Istoric_Nativ'!$D$6:$D$405,"&lt;"&amp;J61,'Istoric_Nativ'!$P$6:$P$405,1))))</x:f>
        <x:v>0</x:v>
      </x:c>
      <x:c r="L61" s="17" t="n">
        <x:f>IF(AND(B61&lt;&gt;"",I61="RECENT",K61&gt;0),LARGE(_xlfn._xlws.FILTER('Istoric_Nativ'!$D$6:$D$405,('Istoric_Nativ'!$B$6:$B$405=E61)*('Istoric_Nativ'!$C$6:$C$405=F61)*('Istoric_Nativ'!$P$6:$P$405=1)*('Istoric_Nativ'!$D$6:$D$405&lt;J61)*((('Istoric_Nativ'!$E$6:$E$405=G61)+('Istoric_Nativ'!$F$6:$F$405=G61))&gt;0)),MIN('Config_v6'!$B$54,K61)),0)</x:f>
        <x:v>0</x:v>
      </x:c>
      <x:c r="M61" s="2" t="n">
        <x:f>IF(OR(B61="",F61=""),0,IF(H61="HOME",COUNTIFS('Istoric_Nativ'!$B$6:$B$405,E61,'Istoric_Nativ'!$C$6:$C$405,F61,'Istoric_Nativ'!$E$6:$E$405,G61,'Istoric_Nativ'!$D$6:$D$405,"&lt;"&amp;J61,'Istoric_Nativ'!$P$6:$P$405,1,'Istoric_Nativ'!$D$6:$D$405,"&gt;="&amp;L61),IF(H61="AWAY",COUNTIFS('Istoric_Nativ'!$B$6:$B$405,E61,'Istoric_Nativ'!$C$6:$C$405,F61,'Istoric_Nativ'!$F$6:$F$405,G61,'Istoric_Nativ'!$D$6:$D$405,"&lt;"&amp;J61,'Istoric_Nativ'!$P$6:$P$405,1,'Istoric_Nativ'!$D$6:$D$405,"&gt;="&amp;L61),COUNTIFS('Istoric_Nativ'!$B$6:$B$405,E61,'Istoric_Nativ'!$C$6:$C$405,F61,'Istoric_Nativ'!$E$6:$E$405,G61,'Istoric_Nativ'!$D$6:$D$405,"&lt;"&amp;J61,'Istoric_Nativ'!$P$6:$P$405,1,'Istoric_Nativ'!$D$6:$D$405,"&gt;="&amp;L61)+COUNTIFS('Istoric_Nativ'!$B$6:$B$405,E61,'Istoric_Nativ'!$C$6:$C$405,F61,'Istoric_Nativ'!$F$6:$F$405,G61,'Istoric_Nativ'!$D$6:$D$405,"&lt;"&amp;J61,'Istoric_Nativ'!$P$6:$P$405,1,'Istoric_Nativ'!$D$6:$D$405,"&gt;="&amp;L61))))</x:f>
        <x:v>0</x:v>
      </x:c>
      <x:c r="N61" s="11" t="str">
        <x:f>IF(M61=0,"",IF(H61="HOME",SUMIFS('Istoric_Nativ'!$G$6:$G$405,'Istoric_Nativ'!$B$6:$B$405,E61,'Istoric_Nativ'!$C$6:$C$405,F61,'Istoric_Nativ'!$E$6:$E$405,G61,'Istoric_Nativ'!$D$6:$D$405,"&lt;"&amp;J61,'Istoric_Nativ'!$P$6:$P$405,1,'Istoric_Nativ'!$D$6:$D$405,"&gt;="&amp;L61),IF(H61="AWAY",SUMIFS('Istoric_Nativ'!$H$6:$H$405,'Istoric_Nativ'!$B$6:$B$405,E61,'Istoric_Nativ'!$C$6:$C$405,F61,'Istoric_Nativ'!$F$6:$F$405,G61,'Istoric_Nativ'!$D$6:$D$405,"&lt;"&amp;J61,'Istoric_Nativ'!$P$6:$P$405,1,'Istoric_Nativ'!$D$6:$D$405,"&gt;="&amp;L61),SUMIFS('Istoric_Nativ'!$G$6:$G$405,'Istoric_Nativ'!$B$6:$B$405,E61,'Istoric_Nativ'!$C$6:$C$405,F61,'Istoric_Nativ'!$E$6:$E$405,G61,'Istoric_Nativ'!$D$6:$D$405,"&lt;"&amp;J61,'Istoric_Nativ'!$P$6:$P$405,1,'Istoric_Nativ'!$D$6:$D$405,"&gt;="&amp;L61)+SUMIFS('Istoric_Nativ'!$H$6:$H$405,'Istoric_Nativ'!$B$6:$B$405,E61,'Istoric_Nativ'!$C$6:$C$405,F61,'Istoric_Nativ'!$F$6:$F$405,G61,'Istoric_Nativ'!$D$6:$D$405,"&lt;"&amp;J61,'Istoric_Nativ'!$P$6:$P$405,1,'Istoric_Nativ'!$D$6:$D$405,"&gt;="&amp;L61)))/M61)</x:f>
      </x:c>
      <x:c r="O61" s="11" t="str">
        <x:f>IF(M61=0,"",IF(H61="HOME",SUMIFS('Istoric_Nativ'!$H$6:$H$405,'Istoric_Nativ'!$B$6:$B$405,E61,'Istoric_Nativ'!$C$6:$C$405,F61,'Istoric_Nativ'!$E$6:$E$405,G61,'Istoric_Nativ'!$D$6:$D$405,"&lt;"&amp;J61,'Istoric_Nativ'!$P$6:$P$405,1,'Istoric_Nativ'!$D$6:$D$405,"&gt;="&amp;L61),IF(H61="AWAY",SUMIFS('Istoric_Nativ'!$G$6:$G$405,'Istoric_Nativ'!$B$6:$B$405,E61,'Istoric_Nativ'!$C$6:$C$405,F61,'Istoric_Nativ'!$F$6:$F$405,G61,'Istoric_Nativ'!$D$6:$D$405,"&lt;"&amp;J61,'Istoric_Nativ'!$P$6:$P$405,1,'Istoric_Nativ'!$D$6:$D$405,"&gt;="&amp;L61),SUMIFS('Istoric_Nativ'!$H$6:$H$405,'Istoric_Nativ'!$B$6:$B$405,E61,'Istoric_Nativ'!$C$6:$C$405,F61,'Istoric_Nativ'!$E$6:$E$405,G61,'Istoric_Nativ'!$D$6:$D$405,"&lt;"&amp;J61,'Istoric_Nativ'!$P$6:$P$405,1,'Istoric_Nativ'!$D$6:$D$405,"&gt;="&amp;L61)+SUMIFS('Istoric_Nativ'!$G$6:$G$405,'Istoric_Nativ'!$B$6:$B$405,E61,'Istoric_Nativ'!$C$6:$C$405,F61,'Istoric_Nativ'!$F$6:$F$405,G61,'Istoric_Nativ'!$D$6:$D$405,"&lt;"&amp;J61,'Istoric_Nativ'!$P$6:$P$405,1,'Istoric_Nativ'!$D$6:$D$405,"&gt;="&amp;L61)))/M61)</x:f>
      </x:c>
      <x:c r="P61" s="2" t="n">
        <x:f>'Config_v6'!$B$8</x:f>
        <x:v>5</x:v>
      </x:c>
      <x:c r="Q61" s="2" t="n">
        <x:f>IF(OR(B61="",F61=""),0,IFERROR(MATCH(E61&amp;"|"&amp;F61,SourceTable[Source_Key],0),0))</x:f>
        <x:v>0</x:v>
      </x:c>
      <x:c r="R61" s="2" t="str">
        <x:f>IF(B61="","",IF(F61="","UNUSED",IF(Q61=0,"NOT CHECKED",IF(COUNTIF(SourceTable[Source_Key],E61&amp;"|"&amp;F61)&lt;&gt;1,"SOURCE CONFLICT",IF(NOT(OR(INDEX(SourceTable[Status],MAX(1,Q61))="IMPORTED",INDEX(SourceTable[Status],MAX(1,Q61))="PARTIAL",INDEX(SourceTable[Status],MAX(1,Q61))="SOURCE CONFLICT")),"ACCESS BLOCKED",IF(OR(INDEX(SourceTable[Coverage],Q61)&lt;&gt;"FULL SEASON EXPORT",INDEX(SourceTable[URL],Q61)="",INDEX(SourceTable[SHA256],Q61)=""),"EVIDENCE INCOMPLETE",IF(AND('Input_Meci'!H10="LIVE",INDEX(SourceTable[Retrieved_UTC],Q61)&gt;'Input_Meci'!G10),"POST CUTOFF","CLOSED")))))))</x:f>
      </x:c>
      <x:c r="S61" s="2" t="n">
        <x:f>IF(OR(B61="",F61=""),0,COUNTIFS('Istoric_Nativ'!$B$6:$B$405,E61,'Istoric_Nativ'!$C$6:$C$405,F61,'Istoric_Nativ'!$E$6:$E$405,G61,'Istoric_Nativ'!$D$6:$D$405,"&lt;"&amp;J61,'Istoric_Nativ'!$O$6:$O$405,"INVALID")+COUNTIFS('Istoric_Nativ'!$B$6:$B$405,E61,'Istoric_Nativ'!$C$6:$C$405,F61,'Istoric_Nativ'!$E$6:$E$405,G61,'Istoric_Nativ'!$O$6:$O$405,"INVALID",'Istoric_Nativ'!$D$6:$D$405,"*")+COUNTIFS('Istoric_Nativ'!$B$6:$B$405,E61,'Istoric_Nativ'!$C$6:$C$405,F61,'Istoric_Nativ'!$E$6:$E$405,G61,'Istoric_Nativ'!$D$6:$D$405,"&lt;"&amp;J61,'Istoric_Nativ'!$O$6:$O$405,"SOURCE CONFLICT")+COUNTIFS('Istoric_Nativ'!$B$6:$B$405,E61,'Istoric_Nativ'!$C$6:$C$405,F61,'Istoric_Nativ'!$F$6:$F$405,G61,'Istoric_Nativ'!$D$6:$D$405,"&lt;"&amp;J61,'Istoric_Nativ'!$O$6:$O$405,"INVALID")+COUNTIFS('Istoric_Nativ'!$B$6:$B$405,E61,'Istoric_Nativ'!$C$6:$C$405,F61,'Istoric_Nativ'!$F$6:$F$405,G61,'Istoric_Nativ'!$O$6:$O$405,"INVALID",'Istoric_Nativ'!$D$6:$D$405,"*")+COUNTIFS('Istoric_Nativ'!$B$6:$B$405,E61,'Istoric_Nativ'!$C$6:$C$405,F61,'Istoric_Nativ'!$F$6:$F$405,G61,'Istoric_Nativ'!$D$6:$D$405,"&lt;"&amp;J61,'Istoric_Nativ'!$O$6:$O$405,"SOURCE CONFLICT"))</x:f>
        <x:v>0</x:v>
      </x:c>
      <x:c r="T61" s="2" t="str">
        <x:f>IF(B61="","",IF(R61&lt;&gt;"CLOSED",R61,IF(S61&gt;0,"NATIVE INPUT ISSUE",IF(M61=0,"NO HISTORY",IF(M61&lt;P61,"SMALL SAMPLE","DERIVED")))))</x:f>
      </x:c>
      <x:c r="U61" s="2" t="str">
        <x:f>IF(B61="","","NativeTable; "&amp;E61&amp;"; "&amp;F61&amp;"; "&amp;G61&amp;"; "&amp;H61&amp;"; before "&amp;TEXT(J61,"yyyy-mm-dd")&amp;IF(I61="RECENT","; from "&amp;TEXT(L61,"yyyy-mm-dd"),""))</x:f>
      </x:c>
    </x:row>
    <x:row r="62" ht="21" customHeight="1">
      <x:c r="A62" s="2" t="n">
        <x:v>5</x:v>
      </x:c>
      <x:c r="B62" s="2" t="str">
        <x:f>IF('Input_Meci'!A10="","",'Input_Meci'!A10)</x:f>
      </x:c>
      <x:c r="C62" s="2" t="str">
        <x:v>H</x:v>
      </x:c>
      <x:c r="D62" s="2" t="str">
        <x:v>PRIOR</x:v>
      </x:c>
      <x:c r="E62" s="2" t="str">
        <x:f>IF(B62="","",'Input_Meci'!B10)</x:f>
      </x:c>
      <x:c r="F62" s="2" t="str">
        <x:f>IF(B62="","",IF('Input_Meci'!K10="","",'Input_Meci'!K10))</x:f>
      </x:c>
      <x:c r="G62" s="2" t="str">
        <x:f>IF(B62="","",'Input_Meci'!D10)</x:f>
      </x:c>
      <x:c r="H62" s="2" t="str">
        <x:v>ANY</x:v>
      </x:c>
      <x:c r="I62" s="2" t="str">
        <x:v>RECENT</x:v>
      </x:c>
      <x:c r="J62" s="9" t="n">
        <x:f>IF(AND(B62&lt;&gt;"",ISNUMBER('Input_Meci'!G10)),INT('Input_Meci'!G10),0)</x:f>
        <x:v>0</x:v>
      </x:c>
      <x:c r="K62" s="2" t="n">
        <x:f>IF(OR(B62="",F62=""),0,IF(H62="HOME",COUNTIFS('Istoric_Nativ'!$B$6:$B$405,E62,'Istoric_Nativ'!$C$6:$C$405,F62,'Istoric_Nativ'!$E$6:$E$405,G62,'Istoric_Nativ'!$D$6:$D$405,"&lt;"&amp;J62,'Istoric_Nativ'!$P$6:$P$405,1),IF(H62="AWAY",COUNTIFS('Istoric_Nativ'!$B$6:$B$405,E62,'Istoric_Nativ'!$C$6:$C$405,F62,'Istoric_Nativ'!$F$6:$F$405,G62,'Istoric_Nativ'!$D$6:$D$405,"&lt;"&amp;J62,'Istoric_Nativ'!$P$6:$P$405,1),COUNTIFS('Istoric_Nativ'!$B$6:$B$405,E62,'Istoric_Nativ'!$C$6:$C$405,F62,'Istoric_Nativ'!$E$6:$E$405,G62,'Istoric_Nativ'!$D$6:$D$405,"&lt;"&amp;J62,'Istoric_Nativ'!$P$6:$P$405,1)+COUNTIFS('Istoric_Nativ'!$B$6:$B$405,E62,'Istoric_Nativ'!$C$6:$C$405,F62,'Istoric_Nativ'!$F$6:$F$405,G62,'Istoric_Nativ'!$D$6:$D$405,"&lt;"&amp;J62,'Istoric_Nativ'!$P$6:$P$405,1))))</x:f>
        <x:v>0</x:v>
      </x:c>
      <x:c r="L62" s="17" t="n">
        <x:f>IF(AND(B62&lt;&gt;"",I62="RECENT",K62&gt;0),LARGE(_xlfn._xlws.FILTER('Istoric_Nativ'!$D$6:$D$405,('Istoric_Nativ'!$B$6:$B$405=E62)*('Istoric_Nativ'!$C$6:$C$405=F62)*('Istoric_Nativ'!$P$6:$P$405=1)*('Istoric_Nativ'!$D$6:$D$405&lt;J62)*((('Istoric_Nativ'!$E$6:$E$405=G62)+('Istoric_Nativ'!$F$6:$F$405=G62))&gt;0)),MIN('Config_v6'!$B$54,K62)),0)</x:f>
        <x:v>0</x:v>
      </x:c>
      <x:c r="M62" s="2" t="n">
        <x:f>IF(OR(B62="",F62=""),0,IF(H62="HOME",COUNTIFS('Istoric_Nativ'!$B$6:$B$405,E62,'Istoric_Nativ'!$C$6:$C$405,F62,'Istoric_Nativ'!$E$6:$E$405,G62,'Istoric_Nativ'!$D$6:$D$405,"&lt;"&amp;J62,'Istoric_Nativ'!$P$6:$P$405,1,'Istoric_Nativ'!$D$6:$D$405,"&gt;="&amp;L62),IF(H62="AWAY",COUNTIFS('Istoric_Nativ'!$B$6:$B$405,E62,'Istoric_Nativ'!$C$6:$C$405,F62,'Istoric_Nativ'!$F$6:$F$405,G62,'Istoric_Nativ'!$D$6:$D$405,"&lt;"&amp;J62,'Istoric_Nativ'!$P$6:$P$405,1,'Istoric_Nativ'!$D$6:$D$405,"&gt;="&amp;L62),COUNTIFS('Istoric_Nativ'!$B$6:$B$405,E62,'Istoric_Nativ'!$C$6:$C$405,F62,'Istoric_Nativ'!$E$6:$E$405,G62,'Istoric_Nativ'!$D$6:$D$405,"&lt;"&amp;J62,'Istoric_Nativ'!$P$6:$P$405,1,'Istoric_Nativ'!$D$6:$D$405,"&gt;="&amp;L62)+COUNTIFS('Istoric_Nativ'!$B$6:$B$405,E62,'Istoric_Nativ'!$C$6:$C$405,F62,'Istoric_Nativ'!$F$6:$F$405,G62,'Istoric_Nativ'!$D$6:$D$405,"&lt;"&amp;J62,'Istoric_Nativ'!$P$6:$P$405,1,'Istoric_Nativ'!$D$6:$D$405,"&gt;="&amp;L62))))</x:f>
        <x:v>0</x:v>
      </x:c>
      <x:c r="N62" s="11" t="str">
        <x:f>IF(M62=0,"",IF(H62="HOME",SUMIFS('Istoric_Nativ'!$G$6:$G$405,'Istoric_Nativ'!$B$6:$B$405,E62,'Istoric_Nativ'!$C$6:$C$405,F62,'Istoric_Nativ'!$E$6:$E$405,G62,'Istoric_Nativ'!$D$6:$D$405,"&lt;"&amp;J62,'Istoric_Nativ'!$P$6:$P$405,1,'Istoric_Nativ'!$D$6:$D$405,"&gt;="&amp;L62),IF(H62="AWAY",SUMIFS('Istoric_Nativ'!$H$6:$H$405,'Istoric_Nativ'!$B$6:$B$405,E62,'Istoric_Nativ'!$C$6:$C$405,F62,'Istoric_Nativ'!$F$6:$F$405,G62,'Istoric_Nativ'!$D$6:$D$405,"&lt;"&amp;J62,'Istoric_Nativ'!$P$6:$P$405,1,'Istoric_Nativ'!$D$6:$D$405,"&gt;="&amp;L62),SUMIFS('Istoric_Nativ'!$G$6:$G$405,'Istoric_Nativ'!$B$6:$B$405,E62,'Istoric_Nativ'!$C$6:$C$405,F62,'Istoric_Nativ'!$E$6:$E$405,G62,'Istoric_Nativ'!$D$6:$D$405,"&lt;"&amp;J62,'Istoric_Nativ'!$P$6:$P$405,1,'Istoric_Nativ'!$D$6:$D$405,"&gt;="&amp;L62)+SUMIFS('Istoric_Nativ'!$H$6:$H$405,'Istoric_Nativ'!$B$6:$B$405,E62,'Istoric_Nativ'!$C$6:$C$405,F62,'Istoric_Nativ'!$F$6:$F$405,G62,'Istoric_Nativ'!$D$6:$D$405,"&lt;"&amp;J62,'Istoric_Nativ'!$P$6:$P$405,1,'Istoric_Nativ'!$D$6:$D$405,"&gt;="&amp;L62)))/M62)</x:f>
      </x:c>
      <x:c r="O62" s="11" t="str">
        <x:f>IF(M62=0,"",IF(H62="HOME",SUMIFS('Istoric_Nativ'!$H$6:$H$405,'Istoric_Nativ'!$B$6:$B$405,E62,'Istoric_Nativ'!$C$6:$C$405,F62,'Istoric_Nativ'!$E$6:$E$405,G62,'Istoric_Nativ'!$D$6:$D$405,"&lt;"&amp;J62,'Istoric_Nativ'!$P$6:$P$405,1,'Istoric_Nativ'!$D$6:$D$405,"&gt;="&amp;L62),IF(H62="AWAY",SUMIFS('Istoric_Nativ'!$G$6:$G$405,'Istoric_Nativ'!$B$6:$B$405,E62,'Istoric_Nativ'!$C$6:$C$405,F62,'Istoric_Nativ'!$F$6:$F$405,G62,'Istoric_Nativ'!$D$6:$D$405,"&lt;"&amp;J62,'Istoric_Nativ'!$P$6:$P$405,1,'Istoric_Nativ'!$D$6:$D$405,"&gt;="&amp;L62),SUMIFS('Istoric_Nativ'!$H$6:$H$405,'Istoric_Nativ'!$B$6:$B$405,E62,'Istoric_Nativ'!$C$6:$C$405,F62,'Istoric_Nativ'!$E$6:$E$405,G62,'Istoric_Nativ'!$D$6:$D$405,"&lt;"&amp;J62,'Istoric_Nativ'!$P$6:$P$405,1,'Istoric_Nativ'!$D$6:$D$405,"&gt;="&amp;L62)+SUMIFS('Istoric_Nativ'!$G$6:$G$405,'Istoric_Nativ'!$B$6:$B$405,E62,'Istoric_Nativ'!$C$6:$C$405,F62,'Istoric_Nativ'!$F$6:$F$405,G62,'Istoric_Nativ'!$D$6:$D$405,"&lt;"&amp;J62,'Istoric_Nativ'!$P$6:$P$405,1,'Istoric_Nativ'!$D$6:$D$405,"&gt;="&amp;L62)))/M62)</x:f>
      </x:c>
      <x:c r="P62" s="2" t="n">
        <x:f>'Config_v6'!$B$9</x:f>
        <x:v>3</x:v>
      </x:c>
      <x:c r="Q62" s="2" t="n">
        <x:f>IF(OR(B62="",F62=""),0,IFERROR(MATCH(E62&amp;"|"&amp;F62,SourceTable[Source_Key],0),0))</x:f>
        <x:v>0</x:v>
      </x:c>
      <x:c r="R62" s="2" t="str">
        <x:f>IF(B62="","",IF(F62="","UNUSED",IF(Q62=0,"NOT CHECKED",IF(COUNTIF(SourceTable[Source_Key],E62&amp;"|"&amp;F62)&lt;&gt;1,"SOURCE CONFLICT",IF(NOT(OR(INDEX(SourceTable[Status],MAX(1,Q62))="IMPORTED",INDEX(SourceTable[Status],MAX(1,Q62))="PARTIAL",INDEX(SourceTable[Status],MAX(1,Q62))="SOURCE CONFLICT")),"ACCESS BLOCKED",IF(OR(INDEX(SourceTable[Coverage],Q62)&lt;&gt;"FULL SEASON EXPORT",INDEX(SourceTable[URL],Q62)="",INDEX(SourceTable[SHA256],Q62)=""),"EVIDENCE INCOMPLETE",IF(AND('Input_Meci'!H10="LIVE",INDEX(SourceTable[Retrieved_UTC],Q62)&gt;'Input_Meci'!G10),"POST CUTOFF","CLOSED")))))))</x:f>
      </x:c>
      <x:c r="S62" s="2" t="n">
        <x:f>IF(OR(B62="",F62=""),0,COUNTIFS('Istoric_Nativ'!$B$6:$B$405,E62,'Istoric_Nativ'!$C$6:$C$405,F62,'Istoric_Nativ'!$E$6:$E$405,G62,'Istoric_Nativ'!$D$6:$D$405,"&lt;"&amp;J62,'Istoric_Nativ'!$O$6:$O$405,"INVALID")+COUNTIFS('Istoric_Nativ'!$B$6:$B$405,E62,'Istoric_Nativ'!$C$6:$C$405,F62,'Istoric_Nativ'!$E$6:$E$405,G62,'Istoric_Nativ'!$O$6:$O$405,"INVALID",'Istoric_Nativ'!$D$6:$D$405,"*")+COUNTIFS('Istoric_Nativ'!$B$6:$B$405,E62,'Istoric_Nativ'!$C$6:$C$405,F62,'Istoric_Nativ'!$E$6:$E$405,G62,'Istoric_Nativ'!$D$6:$D$405,"&lt;"&amp;J62,'Istoric_Nativ'!$O$6:$O$405,"SOURCE CONFLICT")+COUNTIFS('Istoric_Nativ'!$B$6:$B$405,E62,'Istoric_Nativ'!$C$6:$C$405,F62,'Istoric_Nativ'!$F$6:$F$405,G62,'Istoric_Nativ'!$D$6:$D$405,"&lt;"&amp;J62,'Istoric_Nativ'!$O$6:$O$405,"INVALID")+COUNTIFS('Istoric_Nativ'!$B$6:$B$405,E62,'Istoric_Nativ'!$C$6:$C$405,F62,'Istoric_Nativ'!$F$6:$F$405,G62,'Istoric_Nativ'!$O$6:$O$405,"INVALID",'Istoric_Nativ'!$D$6:$D$405,"*")+COUNTIFS('Istoric_Nativ'!$B$6:$B$405,E62,'Istoric_Nativ'!$C$6:$C$405,F62,'Istoric_Nativ'!$F$6:$F$405,G62,'Istoric_Nativ'!$D$6:$D$405,"&lt;"&amp;J62,'Istoric_Nativ'!$O$6:$O$405,"SOURCE CONFLICT"))</x:f>
        <x:v>0</x:v>
      </x:c>
      <x:c r="T62" s="2" t="str">
        <x:f>IF(B62="","",IF(R62&lt;&gt;"CLOSED",R62,IF(S62&gt;0,"NATIVE INPUT ISSUE",IF(M62=0,"NO HISTORY",IF(M62&lt;P62,"SMALL SAMPLE","DERIVED")))))</x:f>
      </x:c>
      <x:c r="U62" s="2" t="str">
        <x:f>IF(B62="","","NativeTable; "&amp;E62&amp;"; "&amp;F62&amp;"; "&amp;G62&amp;"; "&amp;H62&amp;"; before "&amp;TEXT(J62,"yyyy-mm-dd")&amp;IF(I62="RECENT","; from "&amp;TEXT(L62,"yyyy-mm-dd"),""))</x:f>
      </x:c>
    </x:row>
    <x:row r="63" ht="21" customHeight="1">
      <x:c r="A63" s="2" t="n">
        <x:v>5</x:v>
      </x:c>
      <x:c r="B63" s="2" t="str">
        <x:f>IF('Input_Meci'!A10="","",'Input_Meci'!A10)</x:f>
      </x:c>
      <x:c r="C63" s="2" t="str">
        <x:v>A</x:v>
      </x:c>
      <x:c r="D63" s="2" t="str">
        <x:v>PRIOR</x:v>
      </x:c>
      <x:c r="E63" s="2" t="str">
        <x:f>IF(B63="","",'Input_Meci'!B10)</x:f>
      </x:c>
      <x:c r="F63" s="2" t="str">
        <x:f>IF(B63="","",IF('Input_Meci'!K10="","",'Input_Meci'!K10))</x:f>
      </x:c>
      <x:c r="G63" s="2" t="str">
        <x:f>IF(B63="","",'Input_Meci'!E10)</x:f>
      </x:c>
      <x:c r="H63" s="2" t="str">
        <x:v>ANY</x:v>
      </x:c>
      <x:c r="I63" s="2" t="str">
        <x:v>SEASON</x:v>
      </x:c>
      <x:c r="J63" s="9" t="n">
        <x:f>IF(AND(B63&lt;&gt;"",ISNUMBER('Input_Meci'!G10)),INT('Input_Meci'!G10),0)</x:f>
        <x:v>0</x:v>
      </x:c>
      <x:c r="K63" s="2" t="n">
        <x:f>IF(OR(B63="",F63=""),0,IF(H63="HOME",COUNTIFS('Istoric_Nativ'!$B$6:$B$405,E63,'Istoric_Nativ'!$C$6:$C$405,F63,'Istoric_Nativ'!$E$6:$E$405,G63,'Istoric_Nativ'!$D$6:$D$405,"&lt;"&amp;J63,'Istoric_Nativ'!$P$6:$P$405,1),IF(H63="AWAY",COUNTIFS('Istoric_Nativ'!$B$6:$B$405,E63,'Istoric_Nativ'!$C$6:$C$405,F63,'Istoric_Nativ'!$F$6:$F$405,G63,'Istoric_Nativ'!$D$6:$D$405,"&lt;"&amp;J63,'Istoric_Nativ'!$P$6:$P$405,1),COUNTIFS('Istoric_Nativ'!$B$6:$B$405,E63,'Istoric_Nativ'!$C$6:$C$405,F63,'Istoric_Nativ'!$E$6:$E$405,G63,'Istoric_Nativ'!$D$6:$D$405,"&lt;"&amp;J63,'Istoric_Nativ'!$P$6:$P$405,1)+COUNTIFS('Istoric_Nativ'!$B$6:$B$405,E63,'Istoric_Nativ'!$C$6:$C$405,F63,'Istoric_Nativ'!$F$6:$F$405,G63,'Istoric_Nativ'!$D$6:$D$405,"&lt;"&amp;J63,'Istoric_Nativ'!$P$6:$P$405,1))))</x:f>
        <x:v>0</x:v>
      </x:c>
      <x:c r="L63" s="17" t="n">
        <x:f>IF(AND(B63&lt;&gt;"",I63="RECENT",K63&gt;0),LARGE(_xlfn._xlws.FILTER('Istoric_Nativ'!$D$6:$D$405,('Istoric_Nativ'!$B$6:$B$405=E63)*('Istoric_Nativ'!$C$6:$C$405=F63)*('Istoric_Nativ'!$P$6:$P$405=1)*('Istoric_Nativ'!$D$6:$D$405&lt;J63)*((('Istoric_Nativ'!$E$6:$E$405=G63)+('Istoric_Nativ'!$F$6:$F$405=G63))&gt;0)),MIN('Config_v6'!$B$54,K63)),0)</x:f>
        <x:v>0</x:v>
      </x:c>
      <x:c r="M63" s="2" t="n">
        <x:f>IF(OR(B63="",F63=""),0,IF(H63="HOME",COUNTIFS('Istoric_Nativ'!$B$6:$B$405,E63,'Istoric_Nativ'!$C$6:$C$405,F63,'Istoric_Nativ'!$E$6:$E$405,G63,'Istoric_Nativ'!$D$6:$D$405,"&lt;"&amp;J63,'Istoric_Nativ'!$P$6:$P$405,1,'Istoric_Nativ'!$D$6:$D$405,"&gt;="&amp;L63),IF(H63="AWAY",COUNTIFS('Istoric_Nativ'!$B$6:$B$405,E63,'Istoric_Nativ'!$C$6:$C$405,F63,'Istoric_Nativ'!$F$6:$F$405,G63,'Istoric_Nativ'!$D$6:$D$405,"&lt;"&amp;J63,'Istoric_Nativ'!$P$6:$P$405,1,'Istoric_Nativ'!$D$6:$D$405,"&gt;="&amp;L63),COUNTIFS('Istoric_Nativ'!$B$6:$B$405,E63,'Istoric_Nativ'!$C$6:$C$405,F63,'Istoric_Nativ'!$E$6:$E$405,G63,'Istoric_Nativ'!$D$6:$D$405,"&lt;"&amp;J63,'Istoric_Nativ'!$P$6:$P$405,1,'Istoric_Nativ'!$D$6:$D$405,"&gt;="&amp;L63)+COUNTIFS('Istoric_Nativ'!$B$6:$B$405,E63,'Istoric_Nativ'!$C$6:$C$405,F63,'Istoric_Nativ'!$F$6:$F$405,G63,'Istoric_Nativ'!$D$6:$D$405,"&lt;"&amp;J63,'Istoric_Nativ'!$P$6:$P$405,1,'Istoric_Nativ'!$D$6:$D$405,"&gt;="&amp;L63))))</x:f>
        <x:v>0</x:v>
      </x:c>
      <x:c r="N63" s="11" t="str">
        <x:f>IF(M63=0,"",IF(H63="HOME",SUMIFS('Istoric_Nativ'!$G$6:$G$405,'Istoric_Nativ'!$B$6:$B$405,E63,'Istoric_Nativ'!$C$6:$C$405,F63,'Istoric_Nativ'!$E$6:$E$405,G63,'Istoric_Nativ'!$D$6:$D$405,"&lt;"&amp;J63,'Istoric_Nativ'!$P$6:$P$405,1,'Istoric_Nativ'!$D$6:$D$405,"&gt;="&amp;L63),IF(H63="AWAY",SUMIFS('Istoric_Nativ'!$H$6:$H$405,'Istoric_Nativ'!$B$6:$B$405,E63,'Istoric_Nativ'!$C$6:$C$405,F63,'Istoric_Nativ'!$F$6:$F$405,G63,'Istoric_Nativ'!$D$6:$D$405,"&lt;"&amp;J63,'Istoric_Nativ'!$P$6:$P$405,1,'Istoric_Nativ'!$D$6:$D$405,"&gt;="&amp;L63),SUMIFS('Istoric_Nativ'!$G$6:$G$405,'Istoric_Nativ'!$B$6:$B$405,E63,'Istoric_Nativ'!$C$6:$C$405,F63,'Istoric_Nativ'!$E$6:$E$405,G63,'Istoric_Nativ'!$D$6:$D$405,"&lt;"&amp;J63,'Istoric_Nativ'!$P$6:$P$405,1,'Istoric_Nativ'!$D$6:$D$405,"&gt;="&amp;L63)+SUMIFS('Istoric_Nativ'!$H$6:$H$405,'Istoric_Nativ'!$B$6:$B$405,E63,'Istoric_Nativ'!$C$6:$C$405,F63,'Istoric_Nativ'!$F$6:$F$405,G63,'Istoric_Nativ'!$D$6:$D$405,"&lt;"&amp;J63,'Istoric_Nativ'!$P$6:$P$405,1,'Istoric_Nativ'!$D$6:$D$405,"&gt;="&amp;L63)))/M63)</x:f>
      </x:c>
      <x:c r="O63" s="11" t="str">
        <x:f>IF(M63=0,"",IF(H63="HOME",SUMIFS('Istoric_Nativ'!$H$6:$H$405,'Istoric_Nativ'!$B$6:$B$405,E63,'Istoric_Nativ'!$C$6:$C$405,F63,'Istoric_Nativ'!$E$6:$E$405,G63,'Istoric_Nativ'!$D$6:$D$405,"&lt;"&amp;J63,'Istoric_Nativ'!$P$6:$P$405,1,'Istoric_Nativ'!$D$6:$D$405,"&gt;="&amp;L63),IF(H63="AWAY",SUMIFS('Istoric_Nativ'!$G$6:$G$405,'Istoric_Nativ'!$B$6:$B$405,E63,'Istoric_Nativ'!$C$6:$C$405,F63,'Istoric_Nativ'!$F$6:$F$405,G63,'Istoric_Nativ'!$D$6:$D$405,"&lt;"&amp;J63,'Istoric_Nativ'!$P$6:$P$405,1,'Istoric_Nativ'!$D$6:$D$405,"&gt;="&amp;L63),SUMIFS('Istoric_Nativ'!$H$6:$H$405,'Istoric_Nativ'!$B$6:$B$405,E63,'Istoric_Nativ'!$C$6:$C$405,F63,'Istoric_Nativ'!$E$6:$E$405,G63,'Istoric_Nativ'!$D$6:$D$405,"&lt;"&amp;J63,'Istoric_Nativ'!$P$6:$P$405,1,'Istoric_Nativ'!$D$6:$D$405,"&gt;="&amp;L63)+SUMIFS('Istoric_Nativ'!$G$6:$G$405,'Istoric_Nativ'!$B$6:$B$405,E63,'Istoric_Nativ'!$C$6:$C$405,F63,'Istoric_Nativ'!$F$6:$F$405,G63,'Istoric_Nativ'!$D$6:$D$405,"&lt;"&amp;J63,'Istoric_Nativ'!$P$6:$P$405,1,'Istoric_Nativ'!$D$6:$D$405,"&gt;="&amp;L63)))/M63)</x:f>
      </x:c>
      <x:c r="P63" s="2" t="n">
        <x:f>'Config_v6'!$B$7</x:f>
        <x:v>10</x:v>
      </x:c>
      <x:c r="Q63" s="2" t="n">
        <x:f>IF(OR(B63="",F63=""),0,IFERROR(MATCH(E63&amp;"|"&amp;F63,SourceTable[Source_Key],0),0))</x:f>
        <x:v>0</x:v>
      </x:c>
      <x:c r="R63" s="2" t="str">
        <x:f>IF(B63="","",IF(F63="","UNUSED",IF(Q63=0,"NOT CHECKED",IF(COUNTIF(SourceTable[Source_Key],E63&amp;"|"&amp;F63)&lt;&gt;1,"SOURCE CONFLICT",IF(NOT(OR(INDEX(SourceTable[Status],MAX(1,Q63))="IMPORTED",INDEX(SourceTable[Status],MAX(1,Q63))="PARTIAL",INDEX(SourceTable[Status],MAX(1,Q63))="SOURCE CONFLICT")),"ACCESS BLOCKED",IF(OR(INDEX(SourceTable[Coverage],Q63)&lt;&gt;"FULL SEASON EXPORT",INDEX(SourceTable[URL],Q63)="",INDEX(SourceTable[SHA256],Q63)=""),"EVIDENCE INCOMPLETE",IF(AND('Input_Meci'!H10="LIVE",INDEX(SourceTable[Retrieved_UTC],Q63)&gt;'Input_Meci'!G10),"POST CUTOFF","CLOSED")))))))</x:f>
      </x:c>
      <x:c r="S63" s="2" t="n">
        <x:f>IF(OR(B63="",F63=""),0,COUNTIFS('Istoric_Nativ'!$B$6:$B$405,E63,'Istoric_Nativ'!$C$6:$C$405,F63,'Istoric_Nativ'!$E$6:$E$405,G63,'Istoric_Nativ'!$D$6:$D$405,"&lt;"&amp;J63,'Istoric_Nativ'!$O$6:$O$405,"INVALID")+COUNTIFS('Istoric_Nativ'!$B$6:$B$405,E63,'Istoric_Nativ'!$C$6:$C$405,F63,'Istoric_Nativ'!$E$6:$E$405,G63,'Istoric_Nativ'!$O$6:$O$405,"INVALID",'Istoric_Nativ'!$D$6:$D$405,"*")+COUNTIFS('Istoric_Nativ'!$B$6:$B$405,E63,'Istoric_Nativ'!$C$6:$C$405,F63,'Istoric_Nativ'!$E$6:$E$405,G63,'Istoric_Nativ'!$D$6:$D$405,"&lt;"&amp;J63,'Istoric_Nativ'!$O$6:$O$405,"SOURCE CONFLICT")+COUNTIFS('Istoric_Nativ'!$B$6:$B$405,E63,'Istoric_Nativ'!$C$6:$C$405,F63,'Istoric_Nativ'!$F$6:$F$405,G63,'Istoric_Nativ'!$D$6:$D$405,"&lt;"&amp;J63,'Istoric_Nativ'!$O$6:$O$405,"INVALID")+COUNTIFS('Istoric_Nativ'!$B$6:$B$405,E63,'Istoric_Nativ'!$C$6:$C$405,F63,'Istoric_Nativ'!$F$6:$F$405,G63,'Istoric_Nativ'!$O$6:$O$405,"INVALID",'Istoric_Nativ'!$D$6:$D$405,"*")+COUNTIFS('Istoric_Nativ'!$B$6:$B$405,E63,'Istoric_Nativ'!$C$6:$C$405,F63,'Istoric_Nativ'!$F$6:$F$405,G63,'Istoric_Nativ'!$D$6:$D$405,"&lt;"&amp;J63,'Istoric_Nativ'!$O$6:$O$405,"SOURCE CONFLICT"))</x:f>
        <x:v>0</x:v>
      </x:c>
      <x:c r="T63" s="2" t="str">
        <x:f>IF(B63="","",IF(R63&lt;&gt;"CLOSED",R63,IF(S63&gt;0,"NATIVE INPUT ISSUE",IF(M63=0,"NO HISTORY",IF(M63&lt;P63,"SMALL SAMPLE","DERIVED")))))</x:f>
      </x:c>
      <x:c r="U63" s="2" t="str">
        <x:f>IF(B63="","","NativeTable; "&amp;E63&amp;"; "&amp;F63&amp;"; "&amp;G63&amp;"; "&amp;H63&amp;"; before "&amp;TEXT(J63,"yyyy-mm-dd")&amp;IF(I63="RECENT","; from "&amp;TEXT(L63,"yyyy-mm-dd"),""))</x:f>
      </x:c>
    </x:row>
    <x:row r="64" ht="21" customHeight="1">
      <x:c r="A64" s="2" t="n">
        <x:v>5</x:v>
      </x:c>
      <x:c r="B64" s="2" t="str">
        <x:f>IF('Input_Meci'!A10="","",'Input_Meci'!A10)</x:f>
      </x:c>
      <x:c r="C64" s="2" t="str">
        <x:v>A</x:v>
      </x:c>
      <x:c r="D64" s="2" t="str">
        <x:v>PRIOR</x:v>
      </x:c>
      <x:c r="E64" s="2" t="str">
        <x:f>IF(B64="","",'Input_Meci'!B10)</x:f>
      </x:c>
      <x:c r="F64" s="2" t="str">
        <x:f>IF(B64="","",IF('Input_Meci'!K10="","",'Input_Meci'!K10))</x:f>
      </x:c>
      <x:c r="G64" s="2" t="str">
        <x:f>IF(B64="","",'Input_Meci'!E10)</x:f>
      </x:c>
      <x:c r="H64" s="2" t="str">
        <x:v>AWAY</x:v>
      </x:c>
      <x:c r="I64" s="2" t="str">
        <x:v>HA</x:v>
      </x:c>
      <x:c r="J64" s="9" t="n">
        <x:f>IF(AND(B64&lt;&gt;"",ISNUMBER('Input_Meci'!G10)),INT('Input_Meci'!G10),0)</x:f>
        <x:v>0</x:v>
      </x:c>
      <x:c r="K64" s="2" t="n">
        <x:f>IF(OR(B64="",F64=""),0,IF(H64="HOME",COUNTIFS('Istoric_Nativ'!$B$6:$B$405,E64,'Istoric_Nativ'!$C$6:$C$405,F64,'Istoric_Nativ'!$E$6:$E$405,G64,'Istoric_Nativ'!$D$6:$D$405,"&lt;"&amp;J64,'Istoric_Nativ'!$P$6:$P$405,1),IF(H64="AWAY",COUNTIFS('Istoric_Nativ'!$B$6:$B$405,E64,'Istoric_Nativ'!$C$6:$C$405,F64,'Istoric_Nativ'!$F$6:$F$405,G64,'Istoric_Nativ'!$D$6:$D$405,"&lt;"&amp;J64,'Istoric_Nativ'!$P$6:$P$405,1),COUNTIFS('Istoric_Nativ'!$B$6:$B$405,E64,'Istoric_Nativ'!$C$6:$C$405,F64,'Istoric_Nativ'!$E$6:$E$405,G64,'Istoric_Nativ'!$D$6:$D$405,"&lt;"&amp;J64,'Istoric_Nativ'!$P$6:$P$405,1)+COUNTIFS('Istoric_Nativ'!$B$6:$B$405,E64,'Istoric_Nativ'!$C$6:$C$405,F64,'Istoric_Nativ'!$F$6:$F$405,G64,'Istoric_Nativ'!$D$6:$D$405,"&lt;"&amp;J64,'Istoric_Nativ'!$P$6:$P$405,1))))</x:f>
        <x:v>0</x:v>
      </x:c>
      <x:c r="L64" s="17" t="n">
        <x:f>IF(AND(B64&lt;&gt;"",I64="RECENT",K64&gt;0),LARGE(_xlfn._xlws.FILTER('Istoric_Nativ'!$D$6:$D$405,('Istoric_Nativ'!$B$6:$B$405=E64)*('Istoric_Nativ'!$C$6:$C$405=F64)*('Istoric_Nativ'!$P$6:$P$405=1)*('Istoric_Nativ'!$D$6:$D$405&lt;J64)*((('Istoric_Nativ'!$E$6:$E$405=G64)+('Istoric_Nativ'!$F$6:$F$405=G64))&gt;0)),MIN('Config_v6'!$B$54,K64)),0)</x:f>
        <x:v>0</x:v>
      </x:c>
      <x:c r="M64" s="2" t="n">
        <x:f>IF(OR(B64="",F64=""),0,IF(H64="HOME",COUNTIFS('Istoric_Nativ'!$B$6:$B$405,E64,'Istoric_Nativ'!$C$6:$C$405,F64,'Istoric_Nativ'!$E$6:$E$405,G64,'Istoric_Nativ'!$D$6:$D$405,"&lt;"&amp;J64,'Istoric_Nativ'!$P$6:$P$405,1,'Istoric_Nativ'!$D$6:$D$405,"&gt;="&amp;L64),IF(H64="AWAY",COUNTIFS('Istoric_Nativ'!$B$6:$B$405,E64,'Istoric_Nativ'!$C$6:$C$405,F64,'Istoric_Nativ'!$F$6:$F$405,G64,'Istoric_Nativ'!$D$6:$D$405,"&lt;"&amp;J64,'Istoric_Nativ'!$P$6:$P$405,1,'Istoric_Nativ'!$D$6:$D$405,"&gt;="&amp;L64),COUNTIFS('Istoric_Nativ'!$B$6:$B$405,E64,'Istoric_Nativ'!$C$6:$C$405,F64,'Istoric_Nativ'!$E$6:$E$405,G64,'Istoric_Nativ'!$D$6:$D$405,"&lt;"&amp;J64,'Istoric_Nativ'!$P$6:$P$405,1,'Istoric_Nativ'!$D$6:$D$405,"&gt;="&amp;L64)+COUNTIFS('Istoric_Nativ'!$B$6:$B$405,E64,'Istoric_Nativ'!$C$6:$C$405,F64,'Istoric_Nativ'!$F$6:$F$405,G64,'Istoric_Nativ'!$D$6:$D$405,"&lt;"&amp;J64,'Istoric_Nativ'!$P$6:$P$405,1,'Istoric_Nativ'!$D$6:$D$405,"&gt;="&amp;L64))))</x:f>
        <x:v>0</x:v>
      </x:c>
      <x:c r="N64" s="11" t="str">
        <x:f>IF(M64=0,"",IF(H64="HOME",SUMIFS('Istoric_Nativ'!$G$6:$G$405,'Istoric_Nativ'!$B$6:$B$405,E64,'Istoric_Nativ'!$C$6:$C$405,F64,'Istoric_Nativ'!$E$6:$E$405,G64,'Istoric_Nativ'!$D$6:$D$405,"&lt;"&amp;J64,'Istoric_Nativ'!$P$6:$P$405,1,'Istoric_Nativ'!$D$6:$D$405,"&gt;="&amp;L64),IF(H64="AWAY",SUMIFS('Istoric_Nativ'!$H$6:$H$405,'Istoric_Nativ'!$B$6:$B$405,E64,'Istoric_Nativ'!$C$6:$C$405,F64,'Istoric_Nativ'!$F$6:$F$405,G64,'Istoric_Nativ'!$D$6:$D$405,"&lt;"&amp;J64,'Istoric_Nativ'!$P$6:$P$405,1,'Istoric_Nativ'!$D$6:$D$405,"&gt;="&amp;L64),SUMIFS('Istoric_Nativ'!$G$6:$G$405,'Istoric_Nativ'!$B$6:$B$405,E64,'Istoric_Nativ'!$C$6:$C$405,F64,'Istoric_Nativ'!$E$6:$E$405,G64,'Istoric_Nativ'!$D$6:$D$405,"&lt;"&amp;J64,'Istoric_Nativ'!$P$6:$P$405,1,'Istoric_Nativ'!$D$6:$D$405,"&gt;="&amp;L64)+SUMIFS('Istoric_Nativ'!$H$6:$H$405,'Istoric_Nativ'!$B$6:$B$405,E64,'Istoric_Nativ'!$C$6:$C$405,F64,'Istoric_Nativ'!$F$6:$F$405,G64,'Istoric_Nativ'!$D$6:$D$405,"&lt;"&amp;J64,'Istoric_Nativ'!$P$6:$P$405,1,'Istoric_Nativ'!$D$6:$D$405,"&gt;="&amp;L64)))/M64)</x:f>
      </x:c>
      <x:c r="O64" s="11" t="str">
        <x:f>IF(M64=0,"",IF(H64="HOME",SUMIFS('Istoric_Nativ'!$H$6:$H$405,'Istoric_Nativ'!$B$6:$B$405,E64,'Istoric_Nativ'!$C$6:$C$405,F64,'Istoric_Nativ'!$E$6:$E$405,G64,'Istoric_Nativ'!$D$6:$D$405,"&lt;"&amp;J64,'Istoric_Nativ'!$P$6:$P$405,1,'Istoric_Nativ'!$D$6:$D$405,"&gt;="&amp;L64),IF(H64="AWAY",SUMIFS('Istoric_Nativ'!$G$6:$G$405,'Istoric_Nativ'!$B$6:$B$405,E64,'Istoric_Nativ'!$C$6:$C$405,F64,'Istoric_Nativ'!$F$6:$F$405,G64,'Istoric_Nativ'!$D$6:$D$405,"&lt;"&amp;J64,'Istoric_Nativ'!$P$6:$P$405,1,'Istoric_Nativ'!$D$6:$D$405,"&gt;="&amp;L64),SUMIFS('Istoric_Nativ'!$H$6:$H$405,'Istoric_Nativ'!$B$6:$B$405,E64,'Istoric_Nativ'!$C$6:$C$405,F64,'Istoric_Nativ'!$E$6:$E$405,G64,'Istoric_Nativ'!$D$6:$D$405,"&lt;"&amp;J64,'Istoric_Nativ'!$P$6:$P$405,1,'Istoric_Nativ'!$D$6:$D$405,"&gt;="&amp;L64)+SUMIFS('Istoric_Nativ'!$G$6:$G$405,'Istoric_Nativ'!$B$6:$B$405,E64,'Istoric_Nativ'!$C$6:$C$405,F64,'Istoric_Nativ'!$F$6:$F$405,G64,'Istoric_Nativ'!$D$6:$D$405,"&lt;"&amp;J64,'Istoric_Nativ'!$P$6:$P$405,1,'Istoric_Nativ'!$D$6:$D$405,"&gt;="&amp;L64)))/M64)</x:f>
      </x:c>
      <x:c r="P64" s="2" t="n">
        <x:f>'Config_v6'!$B$8</x:f>
        <x:v>5</x:v>
      </x:c>
      <x:c r="Q64" s="2" t="n">
        <x:f>IF(OR(B64="",F64=""),0,IFERROR(MATCH(E64&amp;"|"&amp;F64,SourceTable[Source_Key],0),0))</x:f>
        <x:v>0</x:v>
      </x:c>
      <x:c r="R64" s="2" t="str">
        <x:f>IF(B64="","",IF(F64="","UNUSED",IF(Q64=0,"NOT CHECKED",IF(COUNTIF(SourceTable[Source_Key],E64&amp;"|"&amp;F64)&lt;&gt;1,"SOURCE CONFLICT",IF(NOT(OR(INDEX(SourceTable[Status],MAX(1,Q64))="IMPORTED",INDEX(SourceTable[Status],MAX(1,Q64))="PARTIAL",INDEX(SourceTable[Status],MAX(1,Q64))="SOURCE CONFLICT")),"ACCESS BLOCKED",IF(OR(INDEX(SourceTable[Coverage],Q64)&lt;&gt;"FULL SEASON EXPORT",INDEX(SourceTable[URL],Q64)="",INDEX(SourceTable[SHA256],Q64)=""),"EVIDENCE INCOMPLETE",IF(AND('Input_Meci'!H10="LIVE",INDEX(SourceTable[Retrieved_UTC],Q64)&gt;'Input_Meci'!G10),"POST CUTOFF","CLOSED")))))))</x:f>
      </x:c>
      <x:c r="S64" s="2" t="n">
        <x:f>IF(OR(B64="",F64=""),0,COUNTIFS('Istoric_Nativ'!$B$6:$B$405,E64,'Istoric_Nativ'!$C$6:$C$405,F64,'Istoric_Nativ'!$E$6:$E$405,G64,'Istoric_Nativ'!$D$6:$D$405,"&lt;"&amp;J64,'Istoric_Nativ'!$O$6:$O$405,"INVALID")+COUNTIFS('Istoric_Nativ'!$B$6:$B$405,E64,'Istoric_Nativ'!$C$6:$C$405,F64,'Istoric_Nativ'!$E$6:$E$405,G64,'Istoric_Nativ'!$O$6:$O$405,"INVALID",'Istoric_Nativ'!$D$6:$D$405,"*")+COUNTIFS('Istoric_Nativ'!$B$6:$B$405,E64,'Istoric_Nativ'!$C$6:$C$405,F64,'Istoric_Nativ'!$E$6:$E$405,G64,'Istoric_Nativ'!$D$6:$D$405,"&lt;"&amp;J64,'Istoric_Nativ'!$O$6:$O$405,"SOURCE CONFLICT")+COUNTIFS('Istoric_Nativ'!$B$6:$B$405,E64,'Istoric_Nativ'!$C$6:$C$405,F64,'Istoric_Nativ'!$F$6:$F$405,G64,'Istoric_Nativ'!$D$6:$D$405,"&lt;"&amp;J64,'Istoric_Nativ'!$O$6:$O$405,"INVALID")+COUNTIFS('Istoric_Nativ'!$B$6:$B$405,E64,'Istoric_Nativ'!$C$6:$C$405,F64,'Istoric_Nativ'!$F$6:$F$405,G64,'Istoric_Nativ'!$O$6:$O$405,"INVALID",'Istoric_Nativ'!$D$6:$D$405,"*")+COUNTIFS('Istoric_Nativ'!$B$6:$B$405,E64,'Istoric_Nativ'!$C$6:$C$405,F64,'Istoric_Nativ'!$F$6:$F$405,G64,'Istoric_Nativ'!$D$6:$D$405,"&lt;"&amp;J64,'Istoric_Nativ'!$O$6:$O$405,"SOURCE CONFLICT"))</x:f>
        <x:v>0</x:v>
      </x:c>
      <x:c r="T64" s="2" t="str">
        <x:f>IF(B64="","",IF(R64&lt;&gt;"CLOSED",R64,IF(S64&gt;0,"NATIVE INPUT ISSUE",IF(M64=0,"NO HISTORY",IF(M64&lt;P64,"SMALL SAMPLE","DERIVED")))))</x:f>
      </x:c>
      <x:c r="U64" s="2" t="str">
        <x:f>IF(B64="","","NativeTable; "&amp;E64&amp;"; "&amp;F64&amp;"; "&amp;G64&amp;"; "&amp;H64&amp;"; before "&amp;TEXT(J64,"yyyy-mm-dd")&amp;IF(I64="RECENT","; from "&amp;TEXT(L64,"yyyy-mm-dd"),""))</x:f>
      </x:c>
    </x:row>
    <x:row r="65" ht="21" customHeight="1">
      <x:c r="A65" s="2" t="n">
        <x:v>5</x:v>
      </x:c>
      <x:c r="B65" s="2" t="str">
        <x:f>IF('Input_Meci'!A10="","",'Input_Meci'!A10)</x:f>
      </x:c>
      <x:c r="C65" s="2" t="str">
        <x:v>A</x:v>
      </x:c>
      <x:c r="D65" s="2" t="str">
        <x:v>PRIOR</x:v>
      </x:c>
      <x:c r="E65" s="2" t="str">
        <x:f>IF(B65="","",'Input_Meci'!B10)</x:f>
      </x:c>
      <x:c r="F65" s="2" t="str">
        <x:f>IF(B65="","",IF('Input_Meci'!K10="","",'Input_Meci'!K10))</x:f>
      </x:c>
      <x:c r="G65" s="2" t="str">
        <x:f>IF(B65="","",'Input_Meci'!E10)</x:f>
      </x:c>
      <x:c r="H65" s="2" t="str">
        <x:v>ANY</x:v>
      </x:c>
      <x:c r="I65" s="2" t="str">
        <x:v>RECENT</x:v>
      </x:c>
      <x:c r="J65" s="9" t="n">
        <x:f>IF(AND(B65&lt;&gt;"",ISNUMBER('Input_Meci'!G10)),INT('Input_Meci'!G10),0)</x:f>
        <x:v>0</x:v>
      </x:c>
      <x:c r="K65" s="2" t="n">
        <x:f>IF(OR(B65="",F65=""),0,IF(H65="HOME",COUNTIFS('Istoric_Nativ'!$B$6:$B$405,E65,'Istoric_Nativ'!$C$6:$C$405,F65,'Istoric_Nativ'!$E$6:$E$405,G65,'Istoric_Nativ'!$D$6:$D$405,"&lt;"&amp;J65,'Istoric_Nativ'!$P$6:$P$405,1),IF(H65="AWAY",COUNTIFS('Istoric_Nativ'!$B$6:$B$405,E65,'Istoric_Nativ'!$C$6:$C$405,F65,'Istoric_Nativ'!$F$6:$F$405,G65,'Istoric_Nativ'!$D$6:$D$405,"&lt;"&amp;J65,'Istoric_Nativ'!$P$6:$P$405,1),COUNTIFS('Istoric_Nativ'!$B$6:$B$405,E65,'Istoric_Nativ'!$C$6:$C$405,F65,'Istoric_Nativ'!$E$6:$E$405,G65,'Istoric_Nativ'!$D$6:$D$405,"&lt;"&amp;J65,'Istoric_Nativ'!$P$6:$P$405,1)+COUNTIFS('Istoric_Nativ'!$B$6:$B$405,E65,'Istoric_Nativ'!$C$6:$C$405,F65,'Istoric_Nativ'!$F$6:$F$405,G65,'Istoric_Nativ'!$D$6:$D$405,"&lt;"&amp;J65,'Istoric_Nativ'!$P$6:$P$405,1))))</x:f>
        <x:v>0</x:v>
      </x:c>
      <x:c r="L65" s="17" t="n">
        <x:f>IF(AND(B65&lt;&gt;"",I65="RECENT",K65&gt;0),LARGE(_xlfn._xlws.FILTER('Istoric_Nativ'!$D$6:$D$405,('Istoric_Nativ'!$B$6:$B$405=E65)*('Istoric_Nativ'!$C$6:$C$405=F65)*('Istoric_Nativ'!$P$6:$P$405=1)*('Istoric_Nativ'!$D$6:$D$405&lt;J65)*((('Istoric_Nativ'!$E$6:$E$405=G65)+('Istoric_Nativ'!$F$6:$F$405=G65))&gt;0)),MIN('Config_v6'!$B$54,K65)),0)</x:f>
        <x:v>0</x:v>
      </x:c>
      <x:c r="M65" s="2" t="n">
        <x:f>IF(OR(B65="",F65=""),0,IF(H65="HOME",COUNTIFS('Istoric_Nativ'!$B$6:$B$405,E65,'Istoric_Nativ'!$C$6:$C$405,F65,'Istoric_Nativ'!$E$6:$E$405,G65,'Istoric_Nativ'!$D$6:$D$405,"&lt;"&amp;J65,'Istoric_Nativ'!$P$6:$P$405,1,'Istoric_Nativ'!$D$6:$D$405,"&gt;="&amp;L65),IF(H65="AWAY",COUNTIFS('Istoric_Nativ'!$B$6:$B$405,E65,'Istoric_Nativ'!$C$6:$C$405,F65,'Istoric_Nativ'!$F$6:$F$405,G65,'Istoric_Nativ'!$D$6:$D$405,"&lt;"&amp;J65,'Istoric_Nativ'!$P$6:$P$405,1,'Istoric_Nativ'!$D$6:$D$405,"&gt;="&amp;L65),COUNTIFS('Istoric_Nativ'!$B$6:$B$405,E65,'Istoric_Nativ'!$C$6:$C$405,F65,'Istoric_Nativ'!$E$6:$E$405,G65,'Istoric_Nativ'!$D$6:$D$405,"&lt;"&amp;J65,'Istoric_Nativ'!$P$6:$P$405,1,'Istoric_Nativ'!$D$6:$D$405,"&gt;="&amp;L65)+COUNTIFS('Istoric_Nativ'!$B$6:$B$405,E65,'Istoric_Nativ'!$C$6:$C$405,F65,'Istoric_Nativ'!$F$6:$F$405,G65,'Istoric_Nativ'!$D$6:$D$405,"&lt;"&amp;J65,'Istoric_Nativ'!$P$6:$P$405,1,'Istoric_Nativ'!$D$6:$D$405,"&gt;="&amp;L65))))</x:f>
        <x:v>0</x:v>
      </x:c>
      <x:c r="N65" s="11" t="str">
        <x:f>IF(M65=0,"",IF(H65="HOME",SUMIFS('Istoric_Nativ'!$G$6:$G$405,'Istoric_Nativ'!$B$6:$B$405,E65,'Istoric_Nativ'!$C$6:$C$405,F65,'Istoric_Nativ'!$E$6:$E$405,G65,'Istoric_Nativ'!$D$6:$D$405,"&lt;"&amp;J65,'Istoric_Nativ'!$P$6:$P$405,1,'Istoric_Nativ'!$D$6:$D$405,"&gt;="&amp;L65),IF(H65="AWAY",SUMIFS('Istoric_Nativ'!$H$6:$H$405,'Istoric_Nativ'!$B$6:$B$405,E65,'Istoric_Nativ'!$C$6:$C$405,F65,'Istoric_Nativ'!$F$6:$F$405,G65,'Istoric_Nativ'!$D$6:$D$405,"&lt;"&amp;J65,'Istoric_Nativ'!$P$6:$P$405,1,'Istoric_Nativ'!$D$6:$D$405,"&gt;="&amp;L65),SUMIFS('Istoric_Nativ'!$G$6:$G$405,'Istoric_Nativ'!$B$6:$B$405,E65,'Istoric_Nativ'!$C$6:$C$405,F65,'Istoric_Nativ'!$E$6:$E$405,G65,'Istoric_Nativ'!$D$6:$D$405,"&lt;"&amp;J65,'Istoric_Nativ'!$P$6:$P$405,1,'Istoric_Nativ'!$D$6:$D$405,"&gt;="&amp;L65)+SUMIFS('Istoric_Nativ'!$H$6:$H$405,'Istoric_Nativ'!$B$6:$B$405,E65,'Istoric_Nativ'!$C$6:$C$405,F65,'Istoric_Nativ'!$F$6:$F$405,G65,'Istoric_Nativ'!$D$6:$D$405,"&lt;"&amp;J65,'Istoric_Nativ'!$P$6:$P$405,1,'Istoric_Nativ'!$D$6:$D$405,"&gt;="&amp;L65)))/M65)</x:f>
      </x:c>
      <x:c r="O65" s="11" t="str">
        <x:f>IF(M65=0,"",IF(H65="HOME",SUMIFS('Istoric_Nativ'!$H$6:$H$405,'Istoric_Nativ'!$B$6:$B$405,E65,'Istoric_Nativ'!$C$6:$C$405,F65,'Istoric_Nativ'!$E$6:$E$405,G65,'Istoric_Nativ'!$D$6:$D$405,"&lt;"&amp;J65,'Istoric_Nativ'!$P$6:$P$405,1,'Istoric_Nativ'!$D$6:$D$405,"&gt;="&amp;L65),IF(H65="AWAY",SUMIFS('Istoric_Nativ'!$G$6:$G$405,'Istoric_Nativ'!$B$6:$B$405,E65,'Istoric_Nativ'!$C$6:$C$405,F65,'Istoric_Nativ'!$F$6:$F$405,G65,'Istoric_Nativ'!$D$6:$D$405,"&lt;"&amp;J65,'Istoric_Nativ'!$P$6:$P$405,1,'Istoric_Nativ'!$D$6:$D$405,"&gt;="&amp;L65),SUMIFS('Istoric_Nativ'!$H$6:$H$405,'Istoric_Nativ'!$B$6:$B$405,E65,'Istoric_Nativ'!$C$6:$C$405,F65,'Istoric_Nativ'!$E$6:$E$405,G65,'Istoric_Nativ'!$D$6:$D$405,"&lt;"&amp;J65,'Istoric_Nativ'!$P$6:$P$405,1,'Istoric_Nativ'!$D$6:$D$405,"&gt;="&amp;L65)+SUMIFS('Istoric_Nativ'!$G$6:$G$405,'Istoric_Nativ'!$B$6:$B$405,E65,'Istoric_Nativ'!$C$6:$C$405,F65,'Istoric_Nativ'!$F$6:$F$405,G65,'Istoric_Nativ'!$D$6:$D$405,"&lt;"&amp;J65,'Istoric_Nativ'!$P$6:$P$405,1,'Istoric_Nativ'!$D$6:$D$405,"&gt;="&amp;L65)))/M65)</x:f>
      </x:c>
      <x:c r="P65" s="2" t="n">
        <x:f>'Config_v6'!$B$9</x:f>
        <x:v>3</x:v>
      </x:c>
      <x:c r="Q65" s="2" t="n">
        <x:f>IF(OR(B65="",F65=""),0,IFERROR(MATCH(E65&amp;"|"&amp;F65,SourceTable[Source_Key],0),0))</x:f>
        <x:v>0</x:v>
      </x:c>
      <x:c r="R65" s="2" t="str">
        <x:f>IF(B65="","",IF(F65="","UNUSED",IF(Q65=0,"NOT CHECKED",IF(COUNTIF(SourceTable[Source_Key],E65&amp;"|"&amp;F65)&lt;&gt;1,"SOURCE CONFLICT",IF(NOT(OR(INDEX(SourceTable[Status],MAX(1,Q65))="IMPORTED",INDEX(SourceTable[Status],MAX(1,Q65))="PARTIAL",INDEX(SourceTable[Status],MAX(1,Q65))="SOURCE CONFLICT")),"ACCESS BLOCKED",IF(OR(INDEX(SourceTable[Coverage],Q65)&lt;&gt;"FULL SEASON EXPORT",INDEX(SourceTable[URL],Q65)="",INDEX(SourceTable[SHA256],Q65)=""),"EVIDENCE INCOMPLETE",IF(AND('Input_Meci'!H10="LIVE",INDEX(SourceTable[Retrieved_UTC],Q65)&gt;'Input_Meci'!G10),"POST CUTOFF","CLOSED")))))))</x:f>
      </x:c>
      <x:c r="S65" s="2" t="n">
        <x:f>IF(OR(B65="",F65=""),0,COUNTIFS('Istoric_Nativ'!$B$6:$B$405,E65,'Istoric_Nativ'!$C$6:$C$405,F65,'Istoric_Nativ'!$E$6:$E$405,G65,'Istoric_Nativ'!$D$6:$D$405,"&lt;"&amp;J65,'Istoric_Nativ'!$O$6:$O$405,"INVALID")+COUNTIFS('Istoric_Nativ'!$B$6:$B$405,E65,'Istoric_Nativ'!$C$6:$C$405,F65,'Istoric_Nativ'!$E$6:$E$405,G65,'Istoric_Nativ'!$O$6:$O$405,"INVALID",'Istoric_Nativ'!$D$6:$D$405,"*")+COUNTIFS('Istoric_Nativ'!$B$6:$B$405,E65,'Istoric_Nativ'!$C$6:$C$405,F65,'Istoric_Nativ'!$E$6:$E$405,G65,'Istoric_Nativ'!$D$6:$D$405,"&lt;"&amp;J65,'Istoric_Nativ'!$O$6:$O$405,"SOURCE CONFLICT")+COUNTIFS('Istoric_Nativ'!$B$6:$B$405,E65,'Istoric_Nativ'!$C$6:$C$405,F65,'Istoric_Nativ'!$F$6:$F$405,G65,'Istoric_Nativ'!$D$6:$D$405,"&lt;"&amp;J65,'Istoric_Nativ'!$O$6:$O$405,"INVALID")+COUNTIFS('Istoric_Nativ'!$B$6:$B$405,E65,'Istoric_Nativ'!$C$6:$C$405,F65,'Istoric_Nativ'!$F$6:$F$405,G65,'Istoric_Nativ'!$O$6:$O$405,"INVALID",'Istoric_Nativ'!$D$6:$D$405,"*")+COUNTIFS('Istoric_Nativ'!$B$6:$B$405,E65,'Istoric_Nativ'!$C$6:$C$405,F65,'Istoric_Nativ'!$F$6:$F$405,G65,'Istoric_Nativ'!$D$6:$D$405,"&lt;"&amp;J65,'Istoric_Nativ'!$O$6:$O$405,"SOURCE CONFLICT"))</x:f>
        <x:v>0</x:v>
      </x:c>
      <x:c r="T65" s="2" t="str">
        <x:f>IF(B65="","",IF(R65&lt;&gt;"CLOSED",R65,IF(S65&gt;0,"NATIVE INPUT ISSUE",IF(M65=0,"NO HISTORY",IF(M65&lt;P65,"SMALL SAMPLE","DERIVED")))))</x:f>
      </x:c>
      <x:c r="U65" s="2" t="str">
        <x:f>IF(B65="","","NativeTable; "&amp;E65&amp;"; "&amp;F65&amp;"; "&amp;G65&amp;"; "&amp;H65&amp;"; before "&amp;TEXT(J65,"yyyy-mm-dd")&amp;IF(I65="RECENT","; from "&amp;TEXT(L65,"yyyy-mm-dd"),""))</x:f>
      </x:c>
    </x:row>
    <x:row r="66" ht="21" customHeight="1">
      <x:c r="A66" s="2" t="n">
        <x:v>6</x:v>
      </x:c>
      <x:c r="B66" s="2" t="str">
        <x:f>IF('Input_Meci'!A11="","",'Input_Meci'!A11)</x:f>
      </x:c>
      <x:c r="C66" s="2" t="str">
        <x:v>H</x:v>
      </x:c>
      <x:c r="D66" s="2" t="str">
        <x:v>CURRENT</x:v>
      </x:c>
      <x:c r="E66" s="2" t="str">
        <x:f>IF(B66="","",'Input_Meci'!B11)</x:f>
      </x:c>
      <x:c r="F66" s="2" t="str">
        <x:f>IF(B66="","",IF('Input_Meci'!C11="","",'Input_Meci'!C11))</x:f>
      </x:c>
      <x:c r="G66" s="2" t="str">
        <x:f>IF(B66="","",'Input_Meci'!D11)</x:f>
      </x:c>
      <x:c r="H66" s="2" t="str">
        <x:v>ANY</x:v>
      </x:c>
      <x:c r="I66" s="2" t="str">
        <x:v>SEASON</x:v>
      </x:c>
      <x:c r="J66" s="9" t="n">
        <x:f>IF(AND(B66&lt;&gt;"",ISNUMBER('Input_Meci'!G11)),INT('Input_Meci'!G11),0)</x:f>
        <x:v>0</x:v>
      </x:c>
      <x:c r="K66" s="2" t="n">
        <x:f>IF(OR(B66="",F66=""),0,IF(H66="HOME",COUNTIFS('Istoric_Nativ'!$B$6:$B$405,E66,'Istoric_Nativ'!$C$6:$C$405,F66,'Istoric_Nativ'!$E$6:$E$405,G66,'Istoric_Nativ'!$D$6:$D$405,"&lt;"&amp;J66,'Istoric_Nativ'!$P$6:$P$405,1),IF(H66="AWAY",COUNTIFS('Istoric_Nativ'!$B$6:$B$405,E66,'Istoric_Nativ'!$C$6:$C$405,F66,'Istoric_Nativ'!$F$6:$F$405,G66,'Istoric_Nativ'!$D$6:$D$405,"&lt;"&amp;J66,'Istoric_Nativ'!$P$6:$P$405,1),COUNTIFS('Istoric_Nativ'!$B$6:$B$405,E66,'Istoric_Nativ'!$C$6:$C$405,F66,'Istoric_Nativ'!$E$6:$E$405,G66,'Istoric_Nativ'!$D$6:$D$405,"&lt;"&amp;J66,'Istoric_Nativ'!$P$6:$P$405,1)+COUNTIFS('Istoric_Nativ'!$B$6:$B$405,E66,'Istoric_Nativ'!$C$6:$C$405,F66,'Istoric_Nativ'!$F$6:$F$405,G66,'Istoric_Nativ'!$D$6:$D$405,"&lt;"&amp;J66,'Istoric_Nativ'!$P$6:$P$405,1))))</x:f>
        <x:v>0</x:v>
      </x:c>
      <x:c r="L66" s="17" t="n">
        <x:f>IF(AND(B66&lt;&gt;"",I66="RECENT",K66&gt;0),LARGE(_xlfn._xlws.FILTER('Istoric_Nativ'!$D$6:$D$405,('Istoric_Nativ'!$B$6:$B$405=E66)*('Istoric_Nativ'!$C$6:$C$405=F66)*('Istoric_Nativ'!$P$6:$P$405=1)*('Istoric_Nativ'!$D$6:$D$405&lt;J66)*((('Istoric_Nativ'!$E$6:$E$405=G66)+('Istoric_Nativ'!$F$6:$F$405=G66))&gt;0)),MIN('Config_v6'!$B$54,K66)),0)</x:f>
        <x:v>0</x:v>
      </x:c>
      <x:c r="M66" s="2" t="n">
        <x:f>IF(OR(B66="",F66=""),0,IF(H66="HOME",COUNTIFS('Istoric_Nativ'!$B$6:$B$405,E66,'Istoric_Nativ'!$C$6:$C$405,F66,'Istoric_Nativ'!$E$6:$E$405,G66,'Istoric_Nativ'!$D$6:$D$405,"&lt;"&amp;J66,'Istoric_Nativ'!$P$6:$P$405,1,'Istoric_Nativ'!$D$6:$D$405,"&gt;="&amp;L66),IF(H66="AWAY",COUNTIFS('Istoric_Nativ'!$B$6:$B$405,E66,'Istoric_Nativ'!$C$6:$C$405,F66,'Istoric_Nativ'!$F$6:$F$405,G66,'Istoric_Nativ'!$D$6:$D$405,"&lt;"&amp;J66,'Istoric_Nativ'!$P$6:$P$405,1,'Istoric_Nativ'!$D$6:$D$405,"&gt;="&amp;L66),COUNTIFS('Istoric_Nativ'!$B$6:$B$405,E66,'Istoric_Nativ'!$C$6:$C$405,F66,'Istoric_Nativ'!$E$6:$E$405,G66,'Istoric_Nativ'!$D$6:$D$405,"&lt;"&amp;J66,'Istoric_Nativ'!$P$6:$P$405,1,'Istoric_Nativ'!$D$6:$D$405,"&gt;="&amp;L66)+COUNTIFS('Istoric_Nativ'!$B$6:$B$405,E66,'Istoric_Nativ'!$C$6:$C$405,F66,'Istoric_Nativ'!$F$6:$F$405,G66,'Istoric_Nativ'!$D$6:$D$405,"&lt;"&amp;J66,'Istoric_Nativ'!$P$6:$P$405,1,'Istoric_Nativ'!$D$6:$D$405,"&gt;="&amp;L66))))</x:f>
        <x:v>0</x:v>
      </x:c>
      <x:c r="N66" s="11" t="str">
        <x:f>IF(M66=0,"",IF(H66="HOME",SUMIFS('Istoric_Nativ'!$G$6:$G$405,'Istoric_Nativ'!$B$6:$B$405,E66,'Istoric_Nativ'!$C$6:$C$405,F66,'Istoric_Nativ'!$E$6:$E$405,G66,'Istoric_Nativ'!$D$6:$D$405,"&lt;"&amp;J66,'Istoric_Nativ'!$P$6:$P$405,1,'Istoric_Nativ'!$D$6:$D$405,"&gt;="&amp;L66),IF(H66="AWAY",SUMIFS('Istoric_Nativ'!$H$6:$H$405,'Istoric_Nativ'!$B$6:$B$405,E66,'Istoric_Nativ'!$C$6:$C$405,F66,'Istoric_Nativ'!$F$6:$F$405,G66,'Istoric_Nativ'!$D$6:$D$405,"&lt;"&amp;J66,'Istoric_Nativ'!$P$6:$P$405,1,'Istoric_Nativ'!$D$6:$D$405,"&gt;="&amp;L66),SUMIFS('Istoric_Nativ'!$G$6:$G$405,'Istoric_Nativ'!$B$6:$B$405,E66,'Istoric_Nativ'!$C$6:$C$405,F66,'Istoric_Nativ'!$E$6:$E$405,G66,'Istoric_Nativ'!$D$6:$D$405,"&lt;"&amp;J66,'Istoric_Nativ'!$P$6:$P$405,1,'Istoric_Nativ'!$D$6:$D$405,"&gt;="&amp;L66)+SUMIFS('Istoric_Nativ'!$H$6:$H$405,'Istoric_Nativ'!$B$6:$B$405,E66,'Istoric_Nativ'!$C$6:$C$405,F66,'Istoric_Nativ'!$F$6:$F$405,G66,'Istoric_Nativ'!$D$6:$D$405,"&lt;"&amp;J66,'Istoric_Nativ'!$P$6:$P$405,1,'Istoric_Nativ'!$D$6:$D$405,"&gt;="&amp;L66)))/M66)</x:f>
      </x:c>
      <x:c r="O66" s="11" t="str">
        <x:f>IF(M66=0,"",IF(H66="HOME",SUMIFS('Istoric_Nativ'!$H$6:$H$405,'Istoric_Nativ'!$B$6:$B$405,E66,'Istoric_Nativ'!$C$6:$C$405,F66,'Istoric_Nativ'!$E$6:$E$405,G66,'Istoric_Nativ'!$D$6:$D$405,"&lt;"&amp;J66,'Istoric_Nativ'!$P$6:$P$405,1,'Istoric_Nativ'!$D$6:$D$405,"&gt;="&amp;L66),IF(H66="AWAY",SUMIFS('Istoric_Nativ'!$G$6:$G$405,'Istoric_Nativ'!$B$6:$B$405,E66,'Istoric_Nativ'!$C$6:$C$405,F66,'Istoric_Nativ'!$F$6:$F$405,G66,'Istoric_Nativ'!$D$6:$D$405,"&lt;"&amp;J66,'Istoric_Nativ'!$P$6:$P$405,1,'Istoric_Nativ'!$D$6:$D$405,"&gt;="&amp;L66),SUMIFS('Istoric_Nativ'!$H$6:$H$405,'Istoric_Nativ'!$B$6:$B$405,E66,'Istoric_Nativ'!$C$6:$C$405,F66,'Istoric_Nativ'!$E$6:$E$405,G66,'Istoric_Nativ'!$D$6:$D$405,"&lt;"&amp;J66,'Istoric_Nativ'!$P$6:$P$405,1,'Istoric_Nativ'!$D$6:$D$405,"&gt;="&amp;L66)+SUMIFS('Istoric_Nativ'!$G$6:$G$405,'Istoric_Nativ'!$B$6:$B$405,E66,'Istoric_Nativ'!$C$6:$C$405,F66,'Istoric_Nativ'!$F$6:$F$405,G66,'Istoric_Nativ'!$D$6:$D$405,"&lt;"&amp;J66,'Istoric_Nativ'!$P$6:$P$405,1,'Istoric_Nativ'!$D$6:$D$405,"&gt;="&amp;L66)))/M66)</x:f>
      </x:c>
      <x:c r="P66" s="2" t="n">
        <x:f>'Config_v6'!$B$7</x:f>
        <x:v>10</x:v>
      </x:c>
      <x:c r="Q66" s="2" t="n">
        <x:f>IF(OR(B66="",F66=""),0,IFERROR(MATCH(E66&amp;"|"&amp;F66,SourceTable[Source_Key],0),0))</x:f>
        <x:v>0</x:v>
      </x:c>
      <x:c r="R66" s="2" t="str">
        <x:f>IF(B66="","",IF(F66="","UNUSED",IF(Q66=0,"NOT CHECKED",IF(COUNTIF(SourceTable[Source_Key],E66&amp;"|"&amp;F66)&lt;&gt;1,"SOURCE CONFLICT",IF(NOT(OR(INDEX(SourceTable[Status],MAX(1,Q66))="IMPORTED",INDEX(SourceTable[Status],MAX(1,Q66))="PARTIAL",INDEX(SourceTable[Status],MAX(1,Q66))="SOURCE CONFLICT")),"ACCESS BLOCKED",IF(OR(INDEX(SourceTable[Coverage],Q66)&lt;&gt;"FULL SEASON EXPORT",INDEX(SourceTable[URL],Q66)="",INDEX(SourceTable[SHA256],Q66)=""),"EVIDENCE INCOMPLETE",IF(AND('Input_Meci'!H11="LIVE",INDEX(SourceTable[Retrieved_UTC],Q66)&gt;'Input_Meci'!G11),"POST CUTOFF","CLOSED")))))))</x:f>
      </x:c>
      <x:c r="S66" s="2" t="n">
        <x:f>IF(OR(B66="",F66=""),0,COUNTIFS('Istoric_Nativ'!$B$6:$B$405,E66,'Istoric_Nativ'!$C$6:$C$405,F66,'Istoric_Nativ'!$E$6:$E$405,G66,'Istoric_Nativ'!$D$6:$D$405,"&lt;"&amp;J66,'Istoric_Nativ'!$O$6:$O$405,"INVALID")+COUNTIFS('Istoric_Nativ'!$B$6:$B$405,E66,'Istoric_Nativ'!$C$6:$C$405,F66,'Istoric_Nativ'!$E$6:$E$405,G66,'Istoric_Nativ'!$O$6:$O$405,"INVALID",'Istoric_Nativ'!$D$6:$D$405,"*")+COUNTIFS('Istoric_Nativ'!$B$6:$B$405,E66,'Istoric_Nativ'!$C$6:$C$405,F66,'Istoric_Nativ'!$E$6:$E$405,G66,'Istoric_Nativ'!$D$6:$D$405,"&lt;"&amp;J66,'Istoric_Nativ'!$O$6:$O$405,"SOURCE CONFLICT")+COUNTIFS('Istoric_Nativ'!$B$6:$B$405,E66,'Istoric_Nativ'!$C$6:$C$405,F66,'Istoric_Nativ'!$F$6:$F$405,G66,'Istoric_Nativ'!$D$6:$D$405,"&lt;"&amp;J66,'Istoric_Nativ'!$O$6:$O$405,"INVALID")+COUNTIFS('Istoric_Nativ'!$B$6:$B$405,E66,'Istoric_Nativ'!$C$6:$C$405,F66,'Istoric_Nativ'!$F$6:$F$405,G66,'Istoric_Nativ'!$O$6:$O$405,"INVALID",'Istoric_Nativ'!$D$6:$D$405,"*")+COUNTIFS('Istoric_Nativ'!$B$6:$B$405,E66,'Istoric_Nativ'!$C$6:$C$405,F66,'Istoric_Nativ'!$F$6:$F$405,G66,'Istoric_Nativ'!$D$6:$D$405,"&lt;"&amp;J66,'Istoric_Nativ'!$O$6:$O$405,"SOURCE CONFLICT"))</x:f>
        <x:v>0</x:v>
      </x:c>
      <x:c r="T66" s="2" t="str">
        <x:f>IF(B66="","",IF(R66&lt;&gt;"CLOSED",R66,IF(S66&gt;0,"NATIVE INPUT ISSUE",IF(M66=0,"NO HISTORY",IF(M66&lt;P66,"SMALL SAMPLE","DERIVED")))))</x:f>
      </x:c>
      <x:c r="U66" s="2" t="str">
        <x:f>IF(B66="","","NativeTable; "&amp;E66&amp;"; "&amp;F66&amp;"; "&amp;G66&amp;"; "&amp;H66&amp;"; before "&amp;TEXT(J66,"yyyy-mm-dd")&amp;IF(I66="RECENT","; from "&amp;TEXT(L66,"yyyy-mm-dd"),""))</x:f>
      </x:c>
    </x:row>
    <x:row r="67" ht="21" customHeight="1">
      <x:c r="A67" s="2" t="n">
        <x:v>6</x:v>
      </x:c>
      <x:c r="B67" s="2" t="str">
        <x:f>IF('Input_Meci'!A11="","",'Input_Meci'!A11)</x:f>
      </x:c>
      <x:c r="C67" s="2" t="str">
        <x:v>H</x:v>
      </x:c>
      <x:c r="D67" s="2" t="str">
        <x:v>CURRENT</x:v>
      </x:c>
      <x:c r="E67" s="2" t="str">
        <x:f>IF(B67="","",'Input_Meci'!B11)</x:f>
      </x:c>
      <x:c r="F67" s="2" t="str">
        <x:f>IF(B67="","",IF('Input_Meci'!C11="","",'Input_Meci'!C11))</x:f>
      </x:c>
      <x:c r="G67" s="2" t="str">
        <x:f>IF(B67="","",'Input_Meci'!D11)</x:f>
      </x:c>
      <x:c r="H67" s="2" t="str">
        <x:v>HOME</x:v>
      </x:c>
      <x:c r="I67" s="2" t="str">
        <x:v>HA</x:v>
      </x:c>
      <x:c r="J67" s="9" t="n">
        <x:f>IF(AND(B67&lt;&gt;"",ISNUMBER('Input_Meci'!G11)),INT('Input_Meci'!G11),0)</x:f>
        <x:v>0</x:v>
      </x:c>
      <x:c r="K67" s="2" t="n">
        <x:f>IF(OR(B67="",F67=""),0,IF(H67="HOME",COUNTIFS('Istoric_Nativ'!$B$6:$B$405,E67,'Istoric_Nativ'!$C$6:$C$405,F67,'Istoric_Nativ'!$E$6:$E$405,G67,'Istoric_Nativ'!$D$6:$D$405,"&lt;"&amp;J67,'Istoric_Nativ'!$P$6:$P$405,1),IF(H67="AWAY",COUNTIFS('Istoric_Nativ'!$B$6:$B$405,E67,'Istoric_Nativ'!$C$6:$C$405,F67,'Istoric_Nativ'!$F$6:$F$405,G67,'Istoric_Nativ'!$D$6:$D$405,"&lt;"&amp;J67,'Istoric_Nativ'!$P$6:$P$405,1),COUNTIFS('Istoric_Nativ'!$B$6:$B$405,E67,'Istoric_Nativ'!$C$6:$C$405,F67,'Istoric_Nativ'!$E$6:$E$405,G67,'Istoric_Nativ'!$D$6:$D$405,"&lt;"&amp;J67,'Istoric_Nativ'!$P$6:$P$405,1)+COUNTIFS('Istoric_Nativ'!$B$6:$B$405,E67,'Istoric_Nativ'!$C$6:$C$405,F67,'Istoric_Nativ'!$F$6:$F$405,G67,'Istoric_Nativ'!$D$6:$D$405,"&lt;"&amp;J67,'Istoric_Nativ'!$P$6:$P$405,1))))</x:f>
        <x:v>0</x:v>
      </x:c>
      <x:c r="L67" s="17" t="n">
        <x:f>IF(AND(B67&lt;&gt;"",I67="RECENT",K67&gt;0),LARGE(_xlfn._xlws.FILTER('Istoric_Nativ'!$D$6:$D$405,('Istoric_Nativ'!$B$6:$B$405=E67)*('Istoric_Nativ'!$C$6:$C$405=F67)*('Istoric_Nativ'!$P$6:$P$405=1)*('Istoric_Nativ'!$D$6:$D$405&lt;J67)*((('Istoric_Nativ'!$E$6:$E$405=G67)+('Istoric_Nativ'!$F$6:$F$405=G67))&gt;0)),MIN('Config_v6'!$B$54,K67)),0)</x:f>
        <x:v>0</x:v>
      </x:c>
      <x:c r="M67" s="2" t="n">
        <x:f>IF(OR(B67="",F67=""),0,IF(H67="HOME",COUNTIFS('Istoric_Nativ'!$B$6:$B$405,E67,'Istoric_Nativ'!$C$6:$C$405,F67,'Istoric_Nativ'!$E$6:$E$405,G67,'Istoric_Nativ'!$D$6:$D$405,"&lt;"&amp;J67,'Istoric_Nativ'!$P$6:$P$405,1,'Istoric_Nativ'!$D$6:$D$405,"&gt;="&amp;L67),IF(H67="AWAY",COUNTIFS('Istoric_Nativ'!$B$6:$B$405,E67,'Istoric_Nativ'!$C$6:$C$405,F67,'Istoric_Nativ'!$F$6:$F$405,G67,'Istoric_Nativ'!$D$6:$D$405,"&lt;"&amp;J67,'Istoric_Nativ'!$P$6:$P$405,1,'Istoric_Nativ'!$D$6:$D$405,"&gt;="&amp;L67),COUNTIFS('Istoric_Nativ'!$B$6:$B$405,E67,'Istoric_Nativ'!$C$6:$C$405,F67,'Istoric_Nativ'!$E$6:$E$405,G67,'Istoric_Nativ'!$D$6:$D$405,"&lt;"&amp;J67,'Istoric_Nativ'!$P$6:$P$405,1,'Istoric_Nativ'!$D$6:$D$405,"&gt;="&amp;L67)+COUNTIFS('Istoric_Nativ'!$B$6:$B$405,E67,'Istoric_Nativ'!$C$6:$C$405,F67,'Istoric_Nativ'!$F$6:$F$405,G67,'Istoric_Nativ'!$D$6:$D$405,"&lt;"&amp;J67,'Istoric_Nativ'!$P$6:$P$405,1,'Istoric_Nativ'!$D$6:$D$405,"&gt;="&amp;L67))))</x:f>
        <x:v>0</x:v>
      </x:c>
      <x:c r="N67" s="11" t="str">
        <x:f>IF(M67=0,"",IF(H67="HOME",SUMIFS('Istoric_Nativ'!$G$6:$G$405,'Istoric_Nativ'!$B$6:$B$405,E67,'Istoric_Nativ'!$C$6:$C$405,F67,'Istoric_Nativ'!$E$6:$E$405,G67,'Istoric_Nativ'!$D$6:$D$405,"&lt;"&amp;J67,'Istoric_Nativ'!$P$6:$P$405,1,'Istoric_Nativ'!$D$6:$D$405,"&gt;="&amp;L67),IF(H67="AWAY",SUMIFS('Istoric_Nativ'!$H$6:$H$405,'Istoric_Nativ'!$B$6:$B$405,E67,'Istoric_Nativ'!$C$6:$C$405,F67,'Istoric_Nativ'!$F$6:$F$405,G67,'Istoric_Nativ'!$D$6:$D$405,"&lt;"&amp;J67,'Istoric_Nativ'!$P$6:$P$405,1,'Istoric_Nativ'!$D$6:$D$405,"&gt;="&amp;L67),SUMIFS('Istoric_Nativ'!$G$6:$G$405,'Istoric_Nativ'!$B$6:$B$405,E67,'Istoric_Nativ'!$C$6:$C$405,F67,'Istoric_Nativ'!$E$6:$E$405,G67,'Istoric_Nativ'!$D$6:$D$405,"&lt;"&amp;J67,'Istoric_Nativ'!$P$6:$P$405,1,'Istoric_Nativ'!$D$6:$D$405,"&gt;="&amp;L67)+SUMIFS('Istoric_Nativ'!$H$6:$H$405,'Istoric_Nativ'!$B$6:$B$405,E67,'Istoric_Nativ'!$C$6:$C$405,F67,'Istoric_Nativ'!$F$6:$F$405,G67,'Istoric_Nativ'!$D$6:$D$405,"&lt;"&amp;J67,'Istoric_Nativ'!$P$6:$P$405,1,'Istoric_Nativ'!$D$6:$D$405,"&gt;="&amp;L67)))/M67)</x:f>
      </x:c>
      <x:c r="O67" s="11" t="str">
        <x:f>IF(M67=0,"",IF(H67="HOME",SUMIFS('Istoric_Nativ'!$H$6:$H$405,'Istoric_Nativ'!$B$6:$B$405,E67,'Istoric_Nativ'!$C$6:$C$405,F67,'Istoric_Nativ'!$E$6:$E$405,G67,'Istoric_Nativ'!$D$6:$D$405,"&lt;"&amp;J67,'Istoric_Nativ'!$P$6:$P$405,1,'Istoric_Nativ'!$D$6:$D$405,"&gt;="&amp;L67),IF(H67="AWAY",SUMIFS('Istoric_Nativ'!$G$6:$G$405,'Istoric_Nativ'!$B$6:$B$405,E67,'Istoric_Nativ'!$C$6:$C$405,F67,'Istoric_Nativ'!$F$6:$F$405,G67,'Istoric_Nativ'!$D$6:$D$405,"&lt;"&amp;J67,'Istoric_Nativ'!$P$6:$P$405,1,'Istoric_Nativ'!$D$6:$D$405,"&gt;="&amp;L67),SUMIFS('Istoric_Nativ'!$H$6:$H$405,'Istoric_Nativ'!$B$6:$B$405,E67,'Istoric_Nativ'!$C$6:$C$405,F67,'Istoric_Nativ'!$E$6:$E$405,G67,'Istoric_Nativ'!$D$6:$D$405,"&lt;"&amp;J67,'Istoric_Nativ'!$P$6:$P$405,1,'Istoric_Nativ'!$D$6:$D$405,"&gt;="&amp;L67)+SUMIFS('Istoric_Nativ'!$G$6:$G$405,'Istoric_Nativ'!$B$6:$B$405,E67,'Istoric_Nativ'!$C$6:$C$405,F67,'Istoric_Nativ'!$F$6:$F$405,G67,'Istoric_Nativ'!$D$6:$D$405,"&lt;"&amp;J67,'Istoric_Nativ'!$P$6:$P$405,1,'Istoric_Nativ'!$D$6:$D$405,"&gt;="&amp;L67)))/M67)</x:f>
      </x:c>
      <x:c r="P67" s="2" t="n">
        <x:f>'Config_v6'!$B$8</x:f>
        <x:v>5</x:v>
      </x:c>
      <x:c r="Q67" s="2" t="n">
        <x:f>IF(OR(B67="",F67=""),0,IFERROR(MATCH(E67&amp;"|"&amp;F67,SourceTable[Source_Key],0),0))</x:f>
        <x:v>0</x:v>
      </x:c>
      <x:c r="R67" s="2" t="str">
        <x:f>IF(B67="","",IF(F67="","UNUSED",IF(Q67=0,"NOT CHECKED",IF(COUNTIF(SourceTable[Source_Key],E67&amp;"|"&amp;F67)&lt;&gt;1,"SOURCE CONFLICT",IF(NOT(OR(INDEX(SourceTable[Status],MAX(1,Q67))="IMPORTED",INDEX(SourceTable[Status],MAX(1,Q67))="PARTIAL",INDEX(SourceTable[Status],MAX(1,Q67))="SOURCE CONFLICT")),"ACCESS BLOCKED",IF(OR(INDEX(SourceTable[Coverage],Q67)&lt;&gt;"FULL SEASON EXPORT",INDEX(SourceTable[URL],Q67)="",INDEX(SourceTable[SHA256],Q67)=""),"EVIDENCE INCOMPLETE",IF(AND('Input_Meci'!H11="LIVE",INDEX(SourceTable[Retrieved_UTC],Q67)&gt;'Input_Meci'!G11),"POST CUTOFF","CLOSED")))))))</x:f>
      </x:c>
      <x:c r="S67" s="2" t="n">
        <x:f>IF(OR(B67="",F67=""),0,COUNTIFS('Istoric_Nativ'!$B$6:$B$405,E67,'Istoric_Nativ'!$C$6:$C$405,F67,'Istoric_Nativ'!$E$6:$E$405,G67,'Istoric_Nativ'!$D$6:$D$405,"&lt;"&amp;J67,'Istoric_Nativ'!$O$6:$O$405,"INVALID")+COUNTIFS('Istoric_Nativ'!$B$6:$B$405,E67,'Istoric_Nativ'!$C$6:$C$405,F67,'Istoric_Nativ'!$E$6:$E$405,G67,'Istoric_Nativ'!$O$6:$O$405,"INVALID",'Istoric_Nativ'!$D$6:$D$405,"*")+COUNTIFS('Istoric_Nativ'!$B$6:$B$405,E67,'Istoric_Nativ'!$C$6:$C$405,F67,'Istoric_Nativ'!$E$6:$E$405,G67,'Istoric_Nativ'!$D$6:$D$405,"&lt;"&amp;J67,'Istoric_Nativ'!$O$6:$O$405,"SOURCE CONFLICT")+COUNTIFS('Istoric_Nativ'!$B$6:$B$405,E67,'Istoric_Nativ'!$C$6:$C$405,F67,'Istoric_Nativ'!$F$6:$F$405,G67,'Istoric_Nativ'!$D$6:$D$405,"&lt;"&amp;J67,'Istoric_Nativ'!$O$6:$O$405,"INVALID")+COUNTIFS('Istoric_Nativ'!$B$6:$B$405,E67,'Istoric_Nativ'!$C$6:$C$405,F67,'Istoric_Nativ'!$F$6:$F$405,G67,'Istoric_Nativ'!$O$6:$O$405,"INVALID",'Istoric_Nativ'!$D$6:$D$405,"*")+COUNTIFS('Istoric_Nativ'!$B$6:$B$405,E67,'Istoric_Nativ'!$C$6:$C$405,F67,'Istoric_Nativ'!$F$6:$F$405,G67,'Istoric_Nativ'!$D$6:$D$405,"&lt;"&amp;J67,'Istoric_Nativ'!$O$6:$O$405,"SOURCE CONFLICT"))</x:f>
        <x:v>0</x:v>
      </x:c>
      <x:c r="T67" s="2" t="str">
        <x:f>IF(B67="","",IF(R67&lt;&gt;"CLOSED",R67,IF(S67&gt;0,"NATIVE INPUT ISSUE",IF(M67=0,"NO HISTORY",IF(M67&lt;P67,"SMALL SAMPLE","DERIVED")))))</x:f>
      </x:c>
      <x:c r="U67" s="2" t="str">
        <x:f>IF(B67="","","NativeTable; "&amp;E67&amp;"; "&amp;F67&amp;"; "&amp;G67&amp;"; "&amp;H67&amp;"; before "&amp;TEXT(J67,"yyyy-mm-dd")&amp;IF(I67="RECENT","; from "&amp;TEXT(L67,"yyyy-mm-dd"),""))</x:f>
      </x:c>
    </x:row>
    <x:row r="68" ht="21" customHeight="1">
      <x:c r="A68" s="2" t="n">
        <x:v>6</x:v>
      </x:c>
      <x:c r="B68" s="2" t="str">
        <x:f>IF('Input_Meci'!A11="","",'Input_Meci'!A11)</x:f>
      </x:c>
      <x:c r="C68" s="2" t="str">
        <x:v>H</x:v>
      </x:c>
      <x:c r="D68" s="2" t="str">
        <x:v>CURRENT</x:v>
      </x:c>
      <x:c r="E68" s="2" t="str">
        <x:f>IF(B68="","",'Input_Meci'!B11)</x:f>
      </x:c>
      <x:c r="F68" s="2" t="str">
        <x:f>IF(B68="","",IF('Input_Meci'!C11="","",'Input_Meci'!C11))</x:f>
      </x:c>
      <x:c r="G68" s="2" t="str">
        <x:f>IF(B68="","",'Input_Meci'!D11)</x:f>
      </x:c>
      <x:c r="H68" s="2" t="str">
        <x:v>ANY</x:v>
      </x:c>
      <x:c r="I68" s="2" t="str">
        <x:v>RECENT</x:v>
      </x:c>
      <x:c r="J68" s="9" t="n">
        <x:f>IF(AND(B68&lt;&gt;"",ISNUMBER('Input_Meci'!G11)),INT('Input_Meci'!G11),0)</x:f>
        <x:v>0</x:v>
      </x:c>
      <x:c r="K68" s="2" t="n">
        <x:f>IF(OR(B68="",F68=""),0,IF(H68="HOME",COUNTIFS('Istoric_Nativ'!$B$6:$B$405,E68,'Istoric_Nativ'!$C$6:$C$405,F68,'Istoric_Nativ'!$E$6:$E$405,G68,'Istoric_Nativ'!$D$6:$D$405,"&lt;"&amp;J68,'Istoric_Nativ'!$P$6:$P$405,1),IF(H68="AWAY",COUNTIFS('Istoric_Nativ'!$B$6:$B$405,E68,'Istoric_Nativ'!$C$6:$C$405,F68,'Istoric_Nativ'!$F$6:$F$405,G68,'Istoric_Nativ'!$D$6:$D$405,"&lt;"&amp;J68,'Istoric_Nativ'!$P$6:$P$405,1),COUNTIFS('Istoric_Nativ'!$B$6:$B$405,E68,'Istoric_Nativ'!$C$6:$C$405,F68,'Istoric_Nativ'!$E$6:$E$405,G68,'Istoric_Nativ'!$D$6:$D$405,"&lt;"&amp;J68,'Istoric_Nativ'!$P$6:$P$405,1)+COUNTIFS('Istoric_Nativ'!$B$6:$B$405,E68,'Istoric_Nativ'!$C$6:$C$405,F68,'Istoric_Nativ'!$F$6:$F$405,G68,'Istoric_Nativ'!$D$6:$D$405,"&lt;"&amp;J68,'Istoric_Nativ'!$P$6:$P$405,1))))</x:f>
        <x:v>0</x:v>
      </x:c>
      <x:c r="L68" s="17" t="n">
        <x:f>IF(AND(B68&lt;&gt;"",I68="RECENT",K68&gt;0),LARGE(_xlfn._xlws.FILTER('Istoric_Nativ'!$D$6:$D$405,('Istoric_Nativ'!$B$6:$B$405=E68)*('Istoric_Nativ'!$C$6:$C$405=F68)*('Istoric_Nativ'!$P$6:$P$405=1)*('Istoric_Nativ'!$D$6:$D$405&lt;J68)*((('Istoric_Nativ'!$E$6:$E$405=G68)+('Istoric_Nativ'!$F$6:$F$405=G68))&gt;0)),MIN('Config_v6'!$B$54,K68)),0)</x:f>
        <x:v>0</x:v>
      </x:c>
      <x:c r="M68" s="2" t="n">
        <x:f>IF(OR(B68="",F68=""),0,IF(H68="HOME",COUNTIFS('Istoric_Nativ'!$B$6:$B$405,E68,'Istoric_Nativ'!$C$6:$C$405,F68,'Istoric_Nativ'!$E$6:$E$405,G68,'Istoric_Nativ'!$D$6:$D$405,"&lt;"&amp;J68,'Istoric_Nativ'!$P$6:$P$405,1,'Istoric_Nativ'!$D$6:$D$405,"&gt;="&amp;L68),IF(H68="AWAY",COUNTIFS('Istoric_Nativ'!$B$6:$B$405,E68,'Istoric_Nativ'!$C$6:$C$405,F68,'Istoric_Nativ'!$F$6:$F$405,G68,'Istoric_Nativ'!$D$6:$D$405,"&lt;"&amp;J68,'Istoric_Nativ'!$P$6:$P$405,1,'Istoric_Nativ'!$D$6:$D$405,"&gt;="&amp;L68),COUNTIFS('Istoric_Nativ'!$B$6:$B$405,E68,'Istoric_Nativ'!$C$6:$C$405,F68,'Istoric_Nativ'!$E$6:$E$405,G68,'Istoric_Nativ'!$D$6:$D$405,"&lt;"&amp;J68,'Istoric_Nativ'!$P$6:$P$405,1,'Istoric_Nativ'!$D$6:$D$405,"&gt;="&amp;L68)+COUNTIFS('Istoric_Nativ'!$B$6:$B$405,E68,'Istoric_Nativ'!$C$6:$C$405,F68,'Istoric_Nativ'!$F$6:$F$405,G68,'Istoric_Nativ'!$D$6:$D$405,"&lt;"&amp;J68,'Istoric_Nativ'!$P$6:$P$405,1,'Istoric_Nativ'!$D$6:$D$405,"&gt;="&amp;L68))))</x:f>
        <x:v>0</x:v>
      </x:c>
      <x:c r="N68" s="11" t="str">
        <x:f>IF(M68=0,"",IF(H68="HOME",SUMIFS('Istoric_Nativ'!$G$6:$G$405,'Istoric_Nativ'!$B$6:$B$405,E68,'Istoric_Nativ'!$C$6:$C$405,F68,'Istoric_Nativ'!$E$6:$E$405,G68,'Istoric_Nativ'!$D$6:$D$405,"&lt;"&amp;J68,'Istoric_Nativ'!$P$6:$P$405,1,'Istoric_Nativ'!$D$6:$D$405,"&gt;="&amp;L68),IF(H68="AWAY",SUMIFS('Istoric_Nativ'!$H$6:$H$405,'Istoric_Nativ'!$B$6:$B$405,E68,'Istoric_Nativ'!$C$6:$C$405,F68,'Istoric_Nativ'!$F$6:$F$405,G68,'Istoric_Nativ'!$D$6:$D$405,"&lt;"&amp;J68,'Istoric_Nativ'!$P$6:$P$405,1,'Istoric_Nativ'!$D$6:$D$405,"&gt;="&amp;L68),SUMIFS('Istoric_Nativ'!$G$6:$G$405,'Istoric_Nativ'!$B$6:$B$405,E68,'Istoric_Nativ'!$C$6:$C$405,F68,'Istoric_Nativ'!$E$6:$E$405,G68,'Istoric_Nativ'!$D$6:$D$405,"&lt;"&amp;J68,'Istoric_Nativ'!$P$6:$P$405,1,'Istoric_Nativ'!$D$6:$D$405,"&gt;="&amp;L68)+SUMIFS('Istoric_Nativ'!$H$6:$H$405,'Istoric_Nativ'!$B$6:$B$405,E68,'Istoric_Nativ'!$C$6:$C$405,F68,'Istoric_Nativ'!$F$6:$F$405,G68,'Istoric_Nativ'!$D$6:$D$405,"&lt;"&amp;J68,'Istoric_Nativ'!$P$6:$P$405,1,'Istoric_Nativ'!$D$6:$D$405,"&gt;="&amp;L68)))/M68)</x:f>
      </x:c>
      <x:c r="O68" s="11" t="str">
        <x:f>IF(M68=0,"",IF(H68="HOME",SUMIFS('Istoric_Nativ'!$H$6:$H$405,'Istoric_Nativ'!$B$6:$B$405,E68,'Istoric_Nativ'!$C$6:$C$405,F68,'Istoric_Nativ'!$E$6:$E$405,G68,'Istoric_Nativ'!$D$6:$D$405,"&lt;"&amp;J68,'Istoric_Nativ'!$P$6:$P$405,1,'Istoric_Nativ'!$D$6:$D$405,"&gt;="&amp;L68),IF(H68="AWAY",SUMIFS('Istoric_Nativ'!$G$6:$G$405,'Istoric_Nativ'!$B$6:$B$405,E68,'Istoric_Nativ'!$C$6:$C$405,F68,'Istoric_Nativ'!$F$6:$F$405,G68,'Istoric_Nativ'!$D$6:$D$405,"&lt;"&amp;J68,'Istoric_Nativ'!$P$6:$P$405,1,'Istoric_Nativ'!$D$6:$D$405,"&gt;="&amp;L68),SUMIFS('Istoric_Nativ'!$H$6:$H$405,'Istoric_Nativ'!$B$6:$B$405,E68,'Istoric_Nativ'!$C$6:$C$405,F68,'Istoric_Nativ'!$E$6:$E$405,G68,'Istoric_Nativ'!$D$6:$D$405,"&lt;"&amp;J68,'Istoric_Nativ'!$P$6:$P$405,1,'Istoric_Nativ'!$D$6:$D$405,"&gt;="&amp;L68)+SUMIFS('Istoric_Nativ'!$G$6:$G$405,'Istoric_Nativ'!$B$6:$B$405,E68,'Istoric_Nativ'!$C$6:$C$405,F68,'Istoric_Nativ'!$F$6:$F$405,G68,'Istoric_Nativ'!$D$6:$D$405,"&lt;"&amp;J68,'Istoric_Nativ'!$P$6:$P$405,1,'Istoric_Nativ'!$D$6:$D$405,"&gt;="&amp;L68)))/M68)</x:f>
      </x:c>
      <x:c r="P68" s="2" t="n">
        <x:f>'Config_v6'!$B$9</x:f>
        <x:v>3</x:v>
      </x:c>
      <x:c r="Q68" s="2" t="n">
        <x:f>IF(OR(B68="",F68=""),0,IFERROR(MATCH(E68&amp;"|"&amp;F68,SourceTable[Source_Key],0),0))</x:f>
        <x:v>0</x:v>
      </x:c>
      <x:c r="R68" s="2" t="str">
        <x:f>IF(B68="","",IF(F68="","UNUSED",IF(Q68=0,"NOT CHECKED",IF(COUNTIF(SourceTable[Source_Key],E68&amp;"|"&amp;F68)&lt;&gt;1,"SOURCE CONFLICT",IF(NOT(OR(INDEX(SourceTable[Status],MAX(1,Q68))="IMPORTED",INDEX(SourceTable[Status],MAX(1,Q68))="PARTIAL",INDEX(SourceTable[Status],MAX(1,Q68))="SOURCE CONFLICT")),"ACCESS BLOCKED",IF(OR(INDEX(SourceTable[Coverage],Q68)&lt;&gt;"FULL SEASON EXPORT",INDEX(SourceTable[URL],Q68)="",INDEX(SourceTable[SHA256],Q68)=""),"EVIDENCE INCOMPLETE",IF(AND('Input_Meci'!H11="LIVE",INDEX(SourceTable[Retrieved_UTC],Q68)&gt;'Input_Meci'!G11),"POST CUTOFF","CLOSED")))))))</x:f>
      </x:c>
      <x:c r="S68" s="2" t="n">
        <x:f>IF(OR(B68="",F68=""),0,COUNTIFS('Istoric_Nativ'!$B$6:$B$405,E68,'Istoric_Nativ'!$C$6:$C$405,F68,'Istoric_Nativ'!$E$6:$E$405,G68,'Istoric_Nativ'!$D$6:$D$405,"&lt;"&amp;J68,'Istoric_Nativ'!$O$6:$O$405,"INVALID")+COUNTIFS('Istoric_Nativ'!$B$6:$B$405,E68,'Istoric_Nativ'!$C$6:$C$405,F68,'Istoric_Nativ'!$E$6:$E$405,G68,'Istoric_Nativ'!$O$6:$O$405,"INVALID",'Istoric_Nativ'!$D$6:$D$405,"*")+COUNTIFS('Istoric_Nativ'!$B$6:$B$405,E68,'Istoric_Nativ'!$C$6:$C$405,F68,'Istoric_Nativ'!$E$6:$E$405,G68,'Istoric_Nativ'!$D$6:$D$405,"&lt;"&amp;J68,'Istoric_Nativ'!$O$6:$O$405,"SOURCE CONFLICT")+COUNTIFS('Istoric_Nativ'!$B$6:$B$405,E68,'Istoric_Nativ'!$C$6:$C$405,F68,'Istoric_Nativ'!$F$6:$F$405,G68,'Istoric_Nativ'!$D$6:$D$405,"&lt;"&amp;J68,'Istoric_Nativ'!$O$6:$O$405,"INVALID")+COUNTIFS('Istoric_Nativ'!$B$6:$B$405,E68,'Istoric_Nativ'!$C$6:$C$405,F68,'Istoric_Nativ'!$F$6:$F$405,G68,'Istoric_Nativ'!$O$6:$O$405,"INVALID",'Istoric_Nativ'!$D$6:$D$405,"*")+COUNTIFS('Istoric_Nativ'!$B$6:$B$405,E68,'Istoric_Nativ'!$C$6:$C$405,F68,'Istoric_Nativ'!$F$6:$F$405,G68,'Istoric_Nativ'!$D$6:$D$405,"&lt;"&amp;J68,'Istoric_Nativ'!$O$6:$O$405,"SOURCE CONFLICT"))</x:f>
        <x:v>0</x:v>
      </x:c>
      <x:c r="T68" s="2" t="str">
        <x:f>IF(B68="","",IF(R68&lt;&gt;"CLOSED",R68,IF(S68&gt;0,"NATIVE INPUT ISSUE",IF(M68=0,"NO HISTORY",IF(M68&lt;P68,"SMALL SAMPLE","DERIVED")))))</x:f>
      </x:c>
      <x:c r="U68" s="2" t="str">
        <x:f>IF(B68="","","NativeTable; "&amp;E68&amp;"; "&amp;F68&amp;"; "&amp;G68&amp;"; "&amp;H68&amp;"; before "&amp;TEXT(J68,"yyyy-mm-dd")&amp;IF(I68="RECENT","; from "&amp;TEXT(L68,"yyyy-mm-dd"),""))</x:f>
      </x:c>
    </x:row>
    <x:row r="69" ht="21" customHeight="1">
      <x:c r="A69" s="2" t="n">
        <x:v>6</x:v>
      </x:c>
      <x:c r="B69" s="2" t="str">
        <x:f>IF('Input_Meci'!A11="","",'Input_Meci'!A11)</x:f>
      </x:c>
      <x:c r="C69" s="2" t="str">
        <x:v>A</x:v>
      </x:c>
      <x:c r="D69" s="2" t="str">
        <x:v>CURRENT</x:v>
      </x:c>
      <x:c r="E69" s="2" t="str">
        <x:f>IF(B69="","",'Input_Meci'!B11)</x:f>
      </x:c>
      <x:c r="F69" s="2" t="str">
        <x:f>IF(B69="","",IF('Input_Meci'!C11="","",'Input_Meci'!C11))</x:f>
      </x:c>
      <x:c r="G69" s="2" t="str">
        <x:f>IF(B69="","",'Input_Meci'!E11)</x:f>
      </x:c>
      <x:c r="H69" s="2" t="str">
        <x:v>ANY</x:v>
      </x:c>
      <x:c r="I69" s="2" t="str">
        <x:v>SEASON</x:v>
      </x:c>
      <x:c r="J69" s="9" t="n">
        <x:f>IF(AND(B69&lt;&gt;"",ISNUMBER('Input_Meci'!G11)),INT('Input_Meci'!G11),0)</x:f>
        <x:v>0</x:v>
      </x:c>
      <x:c r="K69" s="2" t="n">
        <x:f>IF(OR(B69="",F69=""),0,IF(H69="HOME",COUNTIFS('Istoric_Nativ'!$B$6:$B$405,E69,'Istoric_Nativ'!$C$6:$C$405,F69,'Istoric_Nativ'!$E$6:$E$405,G69,'Istoric_Nativ'!$D$6:$D$405,"&lt;"&amp;J69,'Istoric_Nativ'!$P$6:$P$405,1),IF(H69="AWAY",COUNTIFS('Istoric_Nativ'!$B$6:$B$405,E69,'Istoric_Nativ'!$C$6:$C$405,F69,'Istoric_Nativ'!$F$6:$F$405,G69,'Istoric_Nativ'!$D$6:$D$405,"&lt;"&amp;J69,'Istoric_Nativ'!$P$6:$P$405,1),COUNTIFS('Istoric_Nativ'!$B$6:$B$405,E69,'Istoric_Nativ'!$C$6:$C$405,F69,'Istoric_Nativ'!$E$6:$E$405,G69,'Istoric_Nativ'!$D$6:$D$405,"&lt;"&amp;J69,'Istoric_Nativ'!$P$6:$P$405,1)+COUNTIFS('Istoric_Nativ'!$B$6:$B$405,E69,'Istoric_Nativ'!$C$6:$C$405,F69,'Istoric_Nativ'!$F$6:$F$405,G69,'Istoric_Nativ'!$D$6:$D$405,"&lt;"&amp;J69,'Istoric_Nativ'!$P$6:$P$405,1))))</x:f>
        <x:v>0</x:v>
      </x:c>
      <x:c r="L69" s="17" t="n">
        <x:f>IF(AND(B69&lt;&gt;"",I69="RECENT",K69&gt;0),LARGE(_xlfn._xlws.FILTER('Istoric_Nativ'!$D$6:$D$405,('Istoric_Nativ'!$B$6:$B$405=E69)*('Istoric_Nativ'!$C$6:$C$405=F69)*('Istoric_Nativ'!$P$6:$P$405=1)*('Istoric_Nativ'!$D$6:$D$405&lt;J69)*((('Istoric_Nativ'!$E$6:$E$405=G69)+('Istoric_Nativ'!$F$6:$F$405=G69))&gt;0)),MIN('Config_v6'!$B$54,K69)),0)</x:f>
        <x:v>0</x:v>
      </x:c>
      <x:c r="M69" s="2" t="n">
        <x:f>IF(OR(B69="",F69=""),0,IF(H69="HOME",COUNTIFS('Istoric_Nativ'!$B$6:$B$405,E69,'Istoric_Nativ'!$C$6:$C$405,F69,'Istoric_Nativ'!$E$6:$E$405,G69,'Istoric_Nativ'!$D$6:$D$405,"&lt;"&amp;J69,'Istoric_Nativ'!$P$6:$P$405,1,'Istoric_Nativ'!$D$6:$D$405,"&gt;="&amp;L69),IF(H69="AWAY",COUNTIFS('Istoric_Nativ'!$B$6:$B$405,E69,'Istoric_Nativ'!$C$6:$C$405,F69,'Istoric_Nativ'!$F$6:$F$405,G69,'Istoric_Nativ'!$D$6:$D$405,"&lt;"&amp;J69,'Istoric_Nativ'!$P$6:$P$405,1,'Istoric_Nativ'!$D$6:$D$405,"&gt;="&amp;L69),COUNTIFS('Istoric_Nativ'!$B$6:$B$405,E69,'Istoric_Nativ'!$C$6:$C$405,F69,'Istoric_Nativ'!$E$6:$E$405,G69,'Istoric_Nativ'!$D$6:$D$405,"&lt;"&amp;J69,'Istoric_Nativ'!$P$6:$P$405,1,'Istoric_Nativ'!$D$6:$D$405,"&gt;="&amp;L69)+COUNTIFS('Istoric_Nativ'!$B$6:$B$405,E69,'Istoric_Nativ'!$C$6:$C$405,F69,'Istoric_Nativ'!$F$6:$F$405,G69,'Istoric_Nativ'!$D$6:$D$405,"&lt;"&amp;J69,'Istoric_Nativ'!$P$6:$P$405,1,'Istoric_Nativ'!$D$6:$D$405,"&gt;="&amp;L69))))</x:f>
        <x:v>0</x:v>
      </x:c>
      <x:c r="N69" s="11" t="str">
        <x:f>IF(M69=0,"",IF(H69="HOME",SUMIFS('Istoric_Nativ'!$G$6:$G$405,'Istoric_Nativ'!$B$6:$B$405,E69,'Istoric_Nativ'!$C$6:$C$405,F69,'Istoric_Nativ'!$E$6:$E$405,G69,'Istoric_Nativ'!$D$6:$D$405,"&lt;"&amp;J69,'Istoric_Nativ'!$P$6:$P$405,1,'Istoric_Nativ'!$D$6:$D$405,"&gt;="&amp;L69),IF(H69="AWAY",SUMIFS('Istoric_Nativ'!$H$6:$H$405,'Istoric_Nativ'!$B$6:$B$405,E69,'Istoric_Nativ'!$C$6:$C$405,F69,'Istoric_Nativ'!$F$6:$F$405,G69,'Istoric_Nativ'!$D$6:$D$405,"&lt;"&amp;J69,'Istoric_Nativ'!$P$6:$P$405,1,'Istoric_Nativ'!$D$6:$D$405,"&gt;="&amp;L69),SUMIFS('Istoric_Nativ'!$G$6:$G$405,'Istoric_Nativ'!$B$6:$B$405,E69,'Istoric_Nativ'!$C$6:$C$405,F69,'Istoric_Nativ'!$E$6:$E$405,G69,'Istoric_Nativ'!$D$6:$D$405,"&lt;"&amp;J69,'Istoric_Nativ'!$P$6:$P$405,1,'Istoric_Nativ'!$D$6:$D$405,"&gt;="&amp;L69)+SUMIFS('Istoric_Nativ'!$H$6:$H$405,'Istoric_Nativ'!$B$6:$B$405,E69,'Istoric_Nativ'!$C$6:$C$405,F69,'Istoric_Nativ'!$F$6:$F$405,G69,'Istoric_Nativ'!$D$6:$D$405,"&lt;"&amp;J69,'Istoric_Nativ'!$P$6:$P$405,1,'Istoric_Nativ'!$D$6:$D$405,"&gt;="&amp;L69)))/M69)</x:f>
      </x:c>
      <x:c r="O69" s="11" t="str">
        <x:f>IF(M69=0,"",IF(H69="HOME",SUMIFS('Istoric_Nativ'!$H$6:$H$405,'Istoric_Nativ'!$B$6:$B$405,E69,'Istoric_Nativ'!$C$6:$C$405,F69,'Istoric_Nativ'!$E$6:$E$405,G69,'Istoric_Nativ'!$D$6:$D$405,"&lt;"&amp;J69,'Istoric_Nativ'!$P$6:$P$405,1,'Istoric_Nativ'!$D$6:$D$405,"&gt;="&amp;L69),IF(H69="AWAY",SUMIFS('Istoric_Nativ'!$G$6:$G$405,'Istoric_Nativ'!$B$6:$B$405,E69,'Istoric_Nativ'!$C$6:$C$405,F69,'Istoric_Nativ'!$F$6:$F$405,G69,'Istoric_Nativ'!$D$6:$D$405,"&lt;"&amp;J69,'Istoric_Nativ'!$P$6:$P$405,1,'Istoric_Nativ'!$D$6:$D$405,"&gt;="&amp;L69),SUMIFS('Istoric_Nativ'!$H$6:$H$405,'Istoric_Nativ'!$B$6:$B$405,E69,'Istoric_Nativ'!$C$6:$C$405,F69,'Istoric_Nativ'!$E$6:$E$405,G69,'Istoric_Nativ'!$D$6:$D$405,"&lt;"&amp;J69,'Istoric_Nativ'!$P$6:$P$405,1,'Istoric_Nativ'!$D$6:$D$405,"&gt;="&amp;L69)+SUMIFS('Istoric_Nativ'!$G$6:$G$405,'Istoric_Nativ'!$B$6:$B$405,E69,'Istoric_Nativ'!$C$6:$C$405,F69,'Istoric_Nativ'!$F$6:$F$405,G69,'Istoric_Nativ'!$D$6:$D$405,"&lt;"&amp;J69,'Istoric_Nativ'!$P$6:$P$405,1,'Istoric_Nativ'!$D$6:$D$405,"&gt;="&amp;L69)))/M69)</x:f>
      </x:c>
      <x:c r="P69" s="2" t="n">
        <x:f>'Config_v6'!$B$7</x:f>
        <x:v>10</x:v>
      </x:c>
      <x:c r="Q69" s="2" t="n">
        <x:f>IF(OR(B69="",F69=""),0,IFERROR(MATCH(E69&amp;"|"&amp;F69,SourceTable[Source_Key],0),0))</x:f>
        <x:v>0</x:v>
      </x:c>
      <x:c r="R69" s="2" t="str">
        <x:f>IF(B69="","",IF(F69="","UNUSED",IF(Q69=0,"NOT CHECKED",IF(COUNTIF(SourceTable[Source_Key],E69&amp;"|"&amp;F69)&lt;&gt;1,"SOURCE CONFLICT",IF(NOT(OR(INDEX(SourceTable[Status],MAX(1,Q69))="IMPORTED",INDEX(SourceTable[Status],MAX(1,Q69))="PARTIAL",INDEX(SourceTable[Status],MAX(1,Q69))="SOURCE CONFLICT")),"ACCESS BLOCKED",IF(OR(INDEX(SourceTable[Coverage],Q69)&lt;&gt;"FULL SEASON EXPORT",INDEX(SourceTable[URL],Q69)="",INDEX(SourceTable[SHA256],Q69)=""),"EVIDENCE INCOMPLETE",IF(AND('Input_Meci'!H11="LIVE",INDEX(SourceTable[Retrieved_UTC],Q69)&gt;'Input_Meci'!G11),"POST CUTOFF","CLOSED")))))))</x:f>
      </x:c>
      <x:c r="S69" s="2" t="n">
        <x:f>IF(OR(B69="",F69=""),0,COUNTIFS('Istoric_Nativ'!$B$6:$B$405,E69,'Istoric_Nativ'!$C$6:$C$405,F69,'Istoric_Nativ'!$E$6:$E$405,G69,'Istoric_Nativ'!$D$6:$D$405,"&lt;"&amp;J69,'Istoric_Nativ'!$O$6:$O$405,"INVALID")+COUNTIFS('Istoric_Nativ'!$B$6:$B$405,E69,'Istoric_Nativ'!$C$6:$C$405,F69,'Istoric_Nativ'!$E$6:$E$405,G69,'Istoric_Nativ'!$O$6:$O$405,"INVALID",'Istoric_Nativ'!$D$6:$D$405,"*")+COUNTIFS('Istoric_Nativ'!$B$6:$B$405,E69,'Istoric_Nativ'!$C$6:$C$405,F69,'Istoric_Nativ'!$E$6:$E$405,G69,'Istoric_Nativ'!$D$6:$D$405,"&lt;"&amp;J69,'Istoric_Nativ'!$O$6:$O$405,"SOURCE CONFLICT")+COUNTIFS('Istoric_Nativ'!$B$6:$B$405,E69,'Istoric_Nativ'!$C$6:$C$405,F69,'Istoric_Nativ'!$F$6:$F$405,G69,'Istoric_Nativ'!$D$6:$D$405,"&lt;"&amp;J69,'Istoric_Nativ'!$O$6:$O$405,"INVALID")+COUNTIFS('Istoric_Nativ'!$B$6:$B$405,E69,'Istoric_Nativ'!$C$6:$C$405,F69,'Istoric_Nativ'!$F$6:$F$405,G69,'Istoric_Nativ'!$O$6:$O$405,"INVALID",'Istoric_Nativ'!$D$6:$D$405,"*")+COUNTIFS('Istoric_Nativ'!$B$6:$B$405,E69,'Istoric_Nativ'!$C$6:$C$405,F69,'Istoric_Nativ'!$F$6:$F$405,G69,'Istoric_Nativ'!$D$6:$D$405,"&lt;"&amp;J69,'Istoric_Nativ'!$O$6:$O$405,"SOURCE CONFLICT"))</x:f>
        <x:v>0</x:v>
      </x:c>
      <x:c r="T69" s="2" t="str">
        <x:f>IF(B69="","",IF(R69&lt;&gt;"CLOSED",R69,IF(S69&gt;0,"NATIVE INPUT ISSUE",IF(M69=0,"NO HISTORY",IF(M69&lt;P69,"SMALL SAMPLE","DERIVED")))))</x:f>
      </x:c>
      <x:c r="U69" s="2" t="str">
        <x:f>IF(B69="","","NativeTable; "&amp;E69&amp;"; "&amp;F69&amp;"; "&amp;G69&amp;"; "&amp;H69&amp;"; before "&amp;TEXT(J69,"yyyy-mm-dd")&amp;IF(I69="RECENT","; from "&amp;TEXT(L69,"yyyy-mm-dd"),""))</x:f>
      </x:c>
    </x:row>
    <x:row r="70" ht="21" customHeight="1">
      <x:c r="A70" s="2" t="n">
        <x:v>6</x:v>
      </x:c>
      <x:c r="B70" s="2" t="str">
        <x:f>IF('Input_Meci'!A11="","",'Input_Meci'!A11)</x:f>
      </x:c>
      <x:c r="C70" s="2" t="str">
        <x:v>A</x:v>
      </x:c>
      <x:c r="D70" s="2" t="str">
        <x:v>CURRENT</x:v>
      </x:c>
      <x:c r="E70" s="2" t="str">
        <x:f>IF(B70="","",'Input_Meci'!B11)</x:f>
      </x:c>
      <x:c r="F70" s="2" t="str">
        <x:f>IF(B70="","",IF('Input_Meci'!C11="","",'Input_Meci'!C11))</x:f>
      </x:c>
      <x:c r="G70" s="2" t="str">
        <x:f>IF(B70="","",'Input_Meci'!E11)</x:f>
      </x:c>
      <x:c r="H70" s="2" t="str">
        <x:v>AWAY</x:v>
      </x:c>
      <x:c r="I70" s="2" t="str">
        <x:v>HA</x:v>
      </x:c>
      <x:c r="J70" s="9" t="n">
        <x:f>IF(AND(B70&lt;&gt;"",ISNUMBER('Input_Meci'!G11)),INT('Input_Meci'!G11),0)</x:f>
        <x:v>0</x:v>
      </x:c>
      <x:c r="K70" s="2" t="n">
        <x:f>IF(OR(B70="",F70=""),0,IF(H70="HOME",COUNTIFS('Istoric_Nativ'!$B$6:$B$405,E70,'Istoric_Nativ'!$C$6:$C$405,F70,'Istoric_Nativ'!$E$6:$E$405,G70,'Istoric_Nativ'!$D$6:$D$405,"&lt;"&amp;J70,'Istoric_Nativ'!$P$6:$P$405,1),IF(H70="AWAY",COUNTIFS('Istoric_Nativ'!$B$6:$B$405,E70,'Istoric_Nativ'!$C$6:$C$405,F70,'Istoric_Nativ'!$F$6:$F$405,G70,'Istoric_Nativ'!$D$6:$D$405,"&lt;"&amp;J70,'Istoric_Nativ'!$P$6:$P$405,1),COUNTIFS('Istoric_Nativ'!$B$6:$B$405,E70,'Istoric_Nativ'!$C$6:$C$405,F70,'Istoric_Nativ'!$E$6:$E$405,G70,'Istoric_Nativ'!$D$6:$D$405,"&lt;"&amp;J70,'Istoric_Nativ'!$P$6:$P$405,1)+COUNTIFS('Istoric_Nativ'!$B$6:$B$405,E70,'Istoric_Nativ'!$C$6:$C$405,F70,'Istoric_Nativ'!$F$6:$F$405,G70,'Istoric_Nativ'!$D$6:$D$405,"&lt;"&amp;J70,'Istoric_Nativ'!$P$6:$P$405,1))))</x:f>
        <x:v>0</x:v>
      </x:c>
      <x:c r="L70" s="17" t="n">
        <x:f>IF(AND(B70&lt;&gt;"",I70="RECENT",K70&gt;0),LARGE(_xlfn._xlws.FILTER('Istoric_Nativ'!$D$6:$D$405,('Istoric_Nativ'!$B$6:$B$405=E70)*('Istoric_Nativ'!$C$6:$C$405=F70)*('Istoric_Nativ'!$P$6:$P$405=1)*('Istoric_Nativ'!$D$6:$D$405&lt;J70)*((('Istoric_Nativ'!$E$6:$E$405=G70)+('Istoric_Nativ'!$F$6:$F$405=G70))&gt;0)),MIN('Config_v6'!$B$54,K70)),0)</x:f>
        <x:v>0</x:v>
      </x:c>
      <x:c r="M70" s="2" t="n">
        <x:f>IF(OR(B70="",F70=""),0,IF(H70="HOME",COUNTIFS('Istoric_Nativ'!$B$6:$B$405,E70,'Istoric_Nativ'!$C$6:$C$405,F70,'Istoric_Nativ'!$E$6:$E$405,G70,'Istoric_Nativ'!$D$6:$D$405,"&lt;"&amp;J70,'Istoric_Nativ'!$P$6:$P$405,1,'Istoric_Nativ'!$D$6:$D$405,"&gt;="&amp;L70),IF(H70="AWAY",COUNTIFS('Istoric_Nativ'!$B$6:$B$405,E70,'Istoric_Nativ'!$C$6:$C$405,F70,'Istoric_Nativ'!$F$6:$F$405,G70,'Istoric_Nativ'!$D$6:$D$405,"&lt;"&amp;J70,'Istoric_Nativ'!$P$6:$P$405,1,'Istoric_Nativ'!$D$6:$D$405,"&gt;="&amp;L70),COUNTIFS('Istoric_Nativ'!$B$6:$B$405,E70,'Istoric_Nativ'!$C$6:$C$405,F70,'Istoric_Nativ'!$E$6:$E$405,G70,'Istoric_Nativ'!$D$6:$D$405,"&lt;"&amp;J70,'Istoric_Nativ'!$P$6:$P$405,1,'Istoric_Nativ'!$D$6:$D$405,"&gt;="&amp;L70)+COUNTIFS('Istoric_Nativ'!$B$6:$B$405,E70,'Istoric_Nativ'!$C$6:$C$405,F70,'Istoric_Nativ'!$F$6:$F$405,G70,'Istoric_Nativ'!$D$6:$D$405,"&lt;"&amp;J70,'Istoric_Nativ'!$P$6:$P$405,1,'Istoric_Nativ'!$D$6:$D$405,"&gt;="&amp;L70))))</x:f>
        <x:v>0</x:v>
      </x:c>
      <x:c r="N70" s="11" t="str">
        <x:f>IF(M70=0,"",IF(H70="HOME",SUMIFS('Istoric_Nativ'!$G$6:$G$405,'Istoric_Nativ'!$B$6:$B$405,E70,'Istoric_Nativ'!$C$6:$C$405,F70,'Istoric_Nativ'!$E$6:$E$405,G70,'Istoric_Nativ'!$D$6:$D$405,"&lt;"&amp;J70,'Istoric_Nativ'!$P$6:$P$405,1,'Istoric_Nativ'!$D$6:$D$405,"&gt;="&amp;L70),IF(H70="AWAY",SUMIFS('Istoric_Nativ'!$H$6:$H$405,'Istoric_Nativ'!$B$6:$B$405,E70,'Istoric_Nativ'!$C$6:$C$405,F70,'Istoric_Nativ'!$F$6:$F$405,G70,'Istoric_Nativ'!$D$6:$D$405,"&lt;"&amp;J70,'Istoric_Nativ'!$P$6:$P$405,1,'Istoric_Nativ'!$D$6:$D$405,"&gt;="&amp;L70),SUMIFS('Istoric_Nativ'!$G$6:$G$405,'Istoric_Nativ'!$B$6:$B$405,E70,'Istoric_Nativ'!$C$6:$C$405,F70,'Istoric_Nativ'!$E$6:$E$405,G70,'Istoric_Nativ'!$D$6:$D$405,"&lt;"&amp;J70,'Istoric_Nativ'!$P$6:$P$405,1,'Istoric_Nativ'!$D$6:$D$405,"&gt;="&amp;L70)+SUMIFS('Istoric_Nativ'!$H$6:$H$405,'Istoric_Nativ'!$B$6:$B$405,E70,'Istoric_Nativ'!$C$6:$C$405,F70,'Istoric_Nativ'!$F$6:$F$405,G70,'Istoric_Nativ'!$D$6:$D$405,"&lt;"&amp;J70,'Istoric_Nativ'!$P$6:$P$405,1,'Istoric_Nativ'!$D$6:$D$405,"&gt;="&amp;L70)))/M70)</x:f>
      </x:c>
      <x:c r="O70" s="11" t="str">
        <x:f>IF(M70=0,"",IF(H70="HOME",SUMIFS('Istoric_Nativ'!$H$6:$H$405,'Istoric_Nativ'!$B$6:$B$405,E70,'Istoric_Nativ'!$C$6:$C$405,F70,'Istoric_Nativ'!$E$6:$E$405,G70,'Istoric_Nativ'!$D$6:$D$405,"&lt;"&amp;J70,'Istoric_Nativ'!$P$6:$P$405,1,'Istoric_Nativ'!$D$6:$D$405,"&gt;="&amp;L70),IF(H70="AWAY",SUMIFS('Istoric_Nativ'!$G$6:$G$405,'Istoric_Nativ'!$B$6:$B$405,E70,'Istoric_Nativ'!$C$6:$C$405,F70,'Istoric_Nativ'!$F$6:$F$405,G70,'Istoric_Nativ'!$D$6:$D$405,"&lt;"&amp;J70,'Istoric_Nativ'!$P$6:$P$405,1,'Istoric_Nativ'!$D$6:$D$405,"&gt;="&amp;L70),SUMIFS('Istoric_Nativ'!$H$6:$H$405,'Istoric_Nativ'!$B$6:$B$405,E70,'Istoric_Nativ'!$C$6:$C$405,F70,'Istoric_Nativ'!$E$6:$E$405,G70,'Istoric_Nativ'!$D$6:$D$405,"&lt;"&amp;J70,'Istoric_Nativ'!$P$6:$P$405,1,'Istoric_Nativ'!$D$6:$D$405,"&gt;="&amp;L70)+SUMIFS('Istoric_Nativ'!$G$6:$G$405,'Istoric_Nativ'!$B$6:$B$405,E70,'Istoric_Nativ'!$C$6:$C$405,F70,'Istoric_Nativ'!$F$6:$F$405,G70,'Istoric_Nativ'!$D$6:$D$405,"&lt;"&amp;J70,'Istoric_Nativ'!$P$6:$P$405,1,'Istoric_Nativ'!$D$6:$D$405,"&gt;="&amp;L70)))/M70)</x:f>
      </x:c>
      <x:c r="P70" s="2" t="n">
        <x:f>'Config_v6'!$B$8</x:f>
        <x:v>5</x:v>
      </x:c>
      <x:c r="Q70" s="2" t="n">
        <x:f>IF(OR(B70="",F70=""),0,IFERROR(MATCH(E70&amp;"|"&amp;F70,SourceTable[Source_Key],0),0))</x:f>
        <x:v>0</x:v>
      </x:c>
      <x:c r="R70" s="2" t="str">
        <x:f>IF(B70="","",IF(F70="","UNUSED",IF(Q70=0,"NOT CHECKED",IF(COUNTIF(SourceTable[Source_Key],E70&amp;"|"&amp;F70)&lt;&gt;1,"SOURCE CONFLICT",IF(NOT(OR(INDEX(SourceTable[Status],MAX(1,Q70))="IMPORTED",INDEX(SourceTable[Status],MAX(1,Q70))="PARTIAL",INDEX(SourceTable[Status],MAX(1,Q70))="SOURCE CONFLICT")),"ACCESS BLOCKED",IF(OR(INDEX(SourceTable[Coverage],Q70)&lt;&gt;"FULL SEASON EXPORT",INDEX(SourceTable[URL],Q70)="",INDEX(SourceTable[SHA256],Q70)=""),"EVIDENCE INCOMPLETE",IF(AND('Input_Meci'!H11="LIVE",INDEX(SourceTable[Retrieved_UTC],Q70)&gt;'Input_Meci'!G11),"POST CUTOFF","CLOSED")))))))</x:f>
      </x:c>
      <x:c r="S70" s="2" t="n">
        <x:f>IF(OR(B70="",F70=""),0,COUNTIFS('Istoric_Nativ'!$B$6:$B$405,E70,'Istoric_Nativ'!$C$6:$C$405,F70,'Istoric_Nativ'!$E$6:$E$405,G70,'Istoric_Nativ'!$D$6:$D$405,"&lt;"&amp;J70,'Istoric_Nativ'!$O$6:$O$405,"INVALID")+COUNTIFS('Istoric_Nativ'!$B$6:$B$405,E70,'Istoric_Nativ'!$C$6:$C$405,F70,'Istoric_Nativ'!$E$6:$E$405,G70,'Istoric_Nativ'!$O$6:$O$405,"INVALID",'Istoric_Nativ'!$D$6:$D$405,"*")+COUNTIFS('Istoric_Nativ'!$B$6:$B$405,E70,'Istoric_Nativ'!$C$6:$C$405,F70,'Istoric_Nativ'!$E$6:$E$405,G70,'Istoric_Nativ'!$D$6:$D$405,"&lt;"&amp;J70,'Istoric_Nativ'!$O$6:$O$405,"SOURCE CONFLICT")+COUNTIFS('Istoric_Nativ'!$B$6:$B$405,E70,'Istoric_Nativ'!$C$6:$C$405,F70,'Istoric_Nativ'!$F$6:$F$405,G70,'Istoric_Nativ'!$D$6:$D$405,"&lt;"&amp;J70,'Istoric_Nativ'!$O$6:$O$405,"INVALID")+COUNTIFS('Istoric_Nativ'!$B$6:$B$405,E70,'Istoric_Nativ'!$C$6:$C$405,F70,'Istoric_Nativ'!$F$6:$F$405,G70,'Istoric_Nativ'!$O$6:$O$405,"INVALID",'Istoric_Nativ'!$D$6:$D$405,"*")+COUNTIFS('Istoric_Nativ'!$B$6:$B$405,E70,'Istoric_Nativ'!$C$6:$C$405,F70,'Istoric_Nativ'!$F$6:$F$405,G70,'Istoric_Nativ'!$D$6:$D$405,"&lt;"&amp;J70,'Istoric_Nativ'!$O$6:$O$405,"SOURCE CONFLICT"))</x:f>
        <x:v>0</x:v>
      </x:c>
      <x:c r="T70" s="2" t="str">
        <x:f>IF(B70="","",IF(R70&lt;&gt;"CLOSED",R70,IF(S70&gt;0,"NATIVE INPUT ISSUE",IF(M70=0,"NO HISTORY",IF(M70&lt;P70,"SMALL SAMPLE","DERIVED")))))</x:f>
      </x:c>
      <x:c r="U70" s="2" t="str">
        <x:f>IF(B70="","","NativeTable; "&amp;E70&amp;"; "&amp;F70&amp;"; "&amp;G70&amp;"; "&amp;H70&amp;"; before "&amp;TEXT(J70,"yyyy-mm-dd")&amp;IF(I70="RECENT","; from "&amp;TEXT(L70,"yyyy-mm-dd"),""))</x:f>
      </x:c>
    </x:row>
    <x:row r="71" ht="21" customHeight="1">
      <x:c r="A71" s="2" t="n">
        <x:v>6</x:v>
      </x:c>
      <x:c r="B71" s="2" t="str">
        <x:f>IF('Input_Meci'!A11="","",'Input_Meci'!A11)</x:f>
      </x:c>
      <x:c r="C71" s="2" t="str">
        <x:v>A</x:v>
      </x:c>
      <x:c r="D71" s="2" t="str">
        <x:v>CURRENT</x:v>
      </x:c>
      <x:c r="E71" s="2" t="str">
        <x:f>IF(B71="","",'Input_Meci'!B11)</x:f>
      </x:c>
      <x:c r="F71" s="2" t="str">
        <x:f>IF(B71="","",IF('Input_Meci'!C11="","",'Input_Meci'!C11))</x:f>
      </x:c>
      <x:c r="G71" s="2" t="str">
        <x:f>IF(B71="","",'Input_Meci'!E11)</x:f>
      </x:c>
      <x:c r="H71" s="2" t="str">
        <x:v>ANY</x:v>
      </x:c>
      <x:c r="I71" s="2" t="str">
        <x:v>RECENT</x:v>
      </x:c>
      <x:c r="J71" s="9" t="n">
        <x:f>IF(AND(B71&lt;&gt;"",ISNUMBER('Input_Meci'!G11)),INT('Input_Meci'!G11),0)</x:f>
        <x:v>0</x:v>
      </x:c>
      <x:c r="K71" s="2" t="n">
        <x:f>IF(OR(B71="",F71=""),0,IF(H71="HOME",COUNTIFS('Istoric_Nativ'!$B$6:$B$405,E71,'Istoric_Nativ'!$C$6:$C$405,F71,'Istoric_Nativ'!$E$6:$E$405,G71,'Istoric_Nativ'!$D$6:$D$405,"&lt;"&amp;J71,'Istoric_Nativ'!$P$6:$P$405,1),IF(H71="AWAY",COUNTIFS('Istoric_Nativ'!$B$6:$B$405,E71,'Istoric_Nativ'!$C$6:$C$405,F71,'Istoric_Nativ'!$F$6:$F$405,G71,'Istoric_Nativ'!$D$6:$D$405,"&lt;"&amp;J71,'Istoric_Nativ'!$P$6:$P$405,1),COUNTIFS('Istoric_Nativ'!$B$6:$B$405,E71,'Istoric_Nativ'!$C$6:$C$405,F71,'Istoric_Nativ'!$E$6:$E$405,G71,'Istoric_Nativ'!$D$6:$D$405,"&lt;"&amp;J71,'Istoric_Nativ'!$P$6:$P$405,1)+COUNTIFS('Istoric_Nativ'!$B$6:$B$405,E71,'Istoric_Nativ'!$C$6:$C$405,F71,'Istoric_Nativ'!$F$6:$F$405,G71,'Istoric_Nativ'!$D$6:$D$405,"&lt;"&amp;J71,'Istoric_Nativ'!$P$6:$P$405,1))))</x:f>
        <x:v>0</x:v>
      </x:c>
      <x:c r="L71" s="17" t="n">
        <x:f>IF(AND(B71&lt;&gt;"",I71="RECENT",K71&gt;0),LARGE(_xlfn._xlws.FILTER('Istoric_Nativ'!$D$6:$D$405,('Istoric_Nativ'!$B$6:$B$405=E71)*('Istoric_Nativ'!$C$6:$C$405=F71)*('Istoric_Nativ'!$P$6:$P$405=1)*('Istoric_Nativ'!$D$6:$D$405&lt;J71)*((('Istoric_Nativ'!$E$6:$E$405=G71)+('Istoric_Nativ'!$F$6:$F$405=G71))&gt;0)),MIN('Config_v6'!$B$54,K71)),0)</x:f>
        <x:v>0</x:v>
      </x:c>
      <x:c r="M71" s="2" t="n">
        <x:f>IF(OR(B71="",F71=""),0,IF(H71="HOME",COUNTIFS('Istoric_Nativ'!$B$6:$B$405,E71,'Istoric_Nativ'!$C$6:$C$405,F71,'Istoric_Nativ'!$E$6:$E$405,G71,'Istoric_Nativ'!$D$6:$D$405,"&lt;"&amp;J71,'Istoric_Nativ'!$P$6:$P$405,1,'Istoric_Nativ'!$D$6:$D$405,"&gt;="&amp;L71),IF(H71="AWAY",COUNTIFS('Istoric_Nativ'!$B$6:$B$405,E71,'Istoric_Nativ'!$C$6:$C$405,F71,'Istoric_Nativ'!$F$6:$F$405,G71,'Istoric_Nativ'!$D$6:$D$405,"&lt;"&amp;J71,'Istoric_Nativ'!$P$6:$P$405,1,'Istoric_Nativ'!$D$6:$D$405,"&gt;="&amp;L71),COUNTIFS('Istoric_Nativ'!$B$6:$B$405,E71,'Istoric_Nativ'!$C$6:$C$405,F71,'Istoric_Nativ'!$E$6:$E$405,G71,'Istoric_Nativ'!$D$6:$D$405,"&lt;"&amp;J71,'Istoric_Nativ'!$P$6:$P$405,1,'Istoric_Nativ'!$D$6:$D$405,"&gt;="&amp;L71)+COUNTIFS('Istoric_Nativ'!$B$6:$B$405,E71,'Istoric_Nativ'!$C$6:$C$405,F71,'Istoric_Nativ'!$F$6:$F$405,G71,'Istoric_Nativ'!$D$6:$D$405,"&lt;"&amp;J71,'Istoric_Nativ'!$P$6:$P$405,1,'Istoric_Nativ'!$D$6:$D$405,"&gt;="&amp;L71))))</x:f>
        <x:v>0</x:v>
      </x:c>
      <x:c r="N71" s="11" t="str">
        <x:f>IF(M71=0,"",IF(H71="HOME",SUMIFS('Istoric_Nativ'!$G$6:$G$405,'Istoric_Nativ'!$B$6:$B$405,E71,'Istoric_Nativ'!$C$6:$C$405,F71,'Istoric_Nativ'!$E$6:$E$405,G71,'Istoric_Nativ'!$D$6:$D$405,"&lt;"&amp;J71,'Istoric_Nativ'!$P$6:$P$405,1,'Istoric_Nativ'!$D$6:$D$405,"&gt;="&amp;L71),IF(H71="AWAY",SUMIFS('Istoric_Nativ'!$H$6:$H$405,'Istoric_Nativ'!$B$6:$B$405,E71,'Istoric_Nativ'!$C$6:$C$405,F71,'Istoric_Nativ'!$F$6:$F$405,G71,'Istoric_Nativ'!$D$6:$D$405,"&lt;"&amp;J71,'Istoric_Nativ'!$P$6:$P$405,1,'Istoric_Nativ'!$D$6:$D$405,"&gt;="&amp;L71),SUMIFS('Istoric_Nativ'!$G$6:$G$405,'Istoric_Nativ'!$B$6:$B$405,E71,'Istoric_Nativ'!$C$6:$C$405,F71,'Istoric_Nativ'!$E$6:$E$405,G71,'Istoric_Nativ'!$D$6:$D$405,"&lt;"&amp;J71,'Istoric_Nativ'!$P$6:$P$405,1,'Istoric_Nativ'!$D$6:$D$405,"&gt;="&amp;L71)+SUMIFS('Istoric_Nativ'!$H$6:$H$405,'Istoric_Nativ'!$B$6:$B$405,E71,'Istoric_Nativ'!$C$6:$C$405,F71,'Istoric_Nativ'!$F$6:$F$405,G71,'Istoric_Nativ'!$D$6:$D$405,"&lt;"&amp;J71,'Istoric_Nativ'!$P$6:$P$405,1,'Istoric_Nativ'!$D$6:$D$405,"&gt;="&amp;L71)))/M71)</x:f>
      </x:c>
      <x:c r="O71" s="11" t="str">
        <x:f>IF(M71=0,"",IF(H71="HOME",SUMIFS('Istoric_Nativ'!$H$6:$H$405,'Istoric_Nativ'!$B$6:$B$405,E71,'Istoric_Nativ'!$C$6:$C$405,F71,'Istoric_Nativ'!$E$6:$E$405,G71,'Istoric_Nativ'!$D$6:$D$405,"&lt;"&amp;J71,'Istoric_Nativ'!$P$6:$P$405,1,'Istoric_Nativ'!$D$6:$D$405,"&gt;="&amp;L71),IF(H71="AWAY",SUMIFS('Istoric_Nativ'!$G$6:$G$405,'Istoric_Nativ'!$B$6:$B$405,E71,'Istoric_Nativ'!$C$6:$C$405,F71,'Istoric_Nativ'!$F$6:$F$405,G71,'Istoric_Nativ'!$D$6:$D$405,"&lt;"&amp;J71,'Istoric_Nativ'!$P$6:$P$405,1,'Istoric_Nativ'!$D$6:$D$405,"&gt;="&amp;L71),SUMIFS('Istoric_Nativ'!$H$6:$H$405,'Istoric_Nativ'!$B$6:$B$405,E71,'Istoric_Nativ'!$C$6:$C$405,F71,'Istoric_Nativ'!$E$6:$E$405,G71,'Istoric_Nativ'!$D$6:$D$405,"&lt;"&amp;J71,'Istoric_Nativ'!$P$6:$P$405,1,'Istoric_Nativ'!$D$6:$D$405,"&gt;="&amp;L71)+SUMIFS('Istoric_Nativ'!$G$6:$G$405,'Istoric_Nativ'!$B$6:$B$405,E71,'Istoric_Nativ'!$C$6:$C$405,F71,'Istoric_Nativ'!$F$6:$F$405,G71,'Istoric_Nativ'!$D$6:$D$405,"&lt;"&amp;J71,'Istoric_Nativ'!$P$6:$P$405,1,'Istoric_Nativ'!$D$6:$D$405,"&gt;="&amp;L71)))/M71)</x:f>
      </x:c>
      <x:c r="P71" s="2" t="n">
        <x:f>'Config_v6'!$B$9</x:f>
        <x:v>3</x:v>
      </x:c>
      <x:c r="Q71" s="2" t="n">
        <x:f>IF(OR(B71="",F71=""),0,IFERROR(MATCH(E71&amp;"|"&amp;F71,SourceTable[Source_Key],0),0))</x:f>
        <x:v>0</x:v>
      </x:c>
      <x:c r="R71" s="2" t="str">
        <x:f>IF(B71="","",IF(F71="","UNUSED",IF(Q71=0,"NOT CHECKED",IF(COUNTIF(SourceTable[Source_Key],E71&amp;"|"&amp;F71)&lt;&gt;1,"SOURCE CONFLICT",IF(NOT(OR(INDEX(SourceTable[Status],MAX(1,Q71))="IMPORTED",INDEX(SourceTable[Status],MAX(1,Q71))="PARTIAL",INDEX(SourceTable[Status],MAX(1,Q71))="SOURCE CONFLICT")),"ACCESS BLOCKED",IF(OR(INDEX(SourceTable[Coverage],Q71)&lt;&gt;"FULL SEASON EXPORT",INDEX(SourceTable[URL],Q71)="",INDEX(SourceTable[SHA256],Q71)=""),"EVIDENCE INCOMPLETE",IF(AND('Input_Meci'!H11="LIVE",INDEX(SourceTable[Retrieved_UTC],Q71)&gt;'Input_Meci'!G11),"POST CUTOFF","CLOSED")))))))</x:f>
      </x:c>
      <x:c r="S71" s="2" t="n">
        <x:f>IF(OR(B71="",F71=""),0,COUNTIFS('Istoric_Nativ'!$B$6:$B$405,E71,'Istoric_Nativ'!$C$6:$C$405,F71,'Istoric_Nativ'!$E$6:$E$405,G71,'Istoric_Nativ'!$D$6:$D$405,"&lt;"&amp;J71,'Istoric_Nativ'!$O$6:$O$405,"INVALID")+COUNTIFS('Istoric_Nativ'!$B$6:$B$405,E71,'Istoric_Nativ'!$C$6:$C$405,F71,'Istoric_Nativ'!$E$6:$E$405,G71,'Istoric_Nativ'!$O$6:$O$405,"INVALID",'Istoric_Nativ'!$D$6:$D$405,"*")+COUNTIFS('Istoric_Nativ'!$B$6:$B$405,E71,'Istoric_Nativ'!$C$6:$C$405,F71,'Istoric_Nativ'!$E$6:$E$405,G71,'Istoric_Nativ'!$D$6:$D$405,"&lt;"&amp;J71,'Istoric_Nativ'!$O$6:$O$405,"SOURCE CONFLICT")+COUNTIFS('Istoric_Nativ'!$B$6:$B$405,E71,'Istoric_Nativ'!$C$6:$C$405,F71,'Istoric_Nativ'!$F$6:$F$405,G71,'Istoric_Nativ'!$D$6:$D$405,"&lt;"&amp;J71,'Istoric_Nativ'!$O$6:$O$405,"INVALID")+COUNTIFS('Istoric_Nativ'!$B$6:$B$405,E71,'Istoric_Nativ'!$C$6:$C$405,F71,'Istoric_Nativ'!$F$6:$F$405,G71,'Istoric_Nativ'!$O$6:$O$405,"INVALID",'Istoric_Nativ'!$D$6:$D$405,"*")+COUNTIFS('Istoric_Nativ'!$B$6:$B$405,E71,'Istoric_Nativ'!$C$6:$C$405,F71,'Istoric_Nativ'!$F$6:$F$405,G71,'Istoric_Nativ'!$D$6:$D$405,"&lt;"&amp;J71,'Istoric_Nativ'!$O$6:$O$405,"SOURCE CONFLICT"))</x:f>
        <x:v>0</x:v>
      </x:c>
      <x:c r="T71" s="2" t="str">
        <x:f>IF(B71="","",IF(R71&lt;&gt;"CLOSED",R71,IF(S71&gt;0,"NATIVE INPUT ISSUE",IF(M71=0,"NO HISTORY",IF(M71&lt;P71,"SMALL SAMPLE","DERIVED")))))</x:f>
      </x:c>
      <x:c r="U71" s="2" t="str">
        <x:f>IF(B71="","","NativeTable; "&amp;E71&amp;"; "&amp;F71&amp;"; "&amp;G71&amp;"; "&amp;H71&amp;"; before "&amp;TEXT(J71,"yyyy-mm-dd")&amp;IF(I71="RECENT","; from "&amp;TEXT(L71,"yyyy-mm-dd"),""))</x:f>
      </x:c>
    </x:row>
    <x:row r="72" ht="21" customHeight="1">
      <x:c r="A72" s="2" t="n">
        <x:v>6</x:v>
      </x:c>
      <x:c r="B72" s="2" t="str">
        <x:f>IF('Input_Meci'!A11="","",'Input_Meci'!A11)</x:f>
      </x:c>
      <x:c r="C72" s="2" t="str">
        <x:v>H</x:v>
      </x:c>
      <x:c r="D72" s="2" t="str">
        <x:v>PRIOR</x:v>
      </x:c>
      <x:c r="E72" s="2" t="str">
        <x:f>IF(B72="","",'Input_Meci'!B11)</x:f>
      </x:c>
      <x:c r="F72" s="2" t="str">
        <x:f>IF(B72="","",IF('Input_Meci'!K11="","",'Input_Meci'!K11))</x:f>
      </x:c>
      <x:c r="G72" s="2" t="str">
        <x:f>IF(B72="","",'Input_Meci'!D11)</x:f>
      </x:c>
      <x:c r="H72" s="2" t="str">
        <x:v>ANY</x:v>
      </x:c>
      <x:c r="I72" s="2" t="str">
        <x:v>SEASON</x:v>
      </x:c>
      <x:c r="J72" s="9" t="n">
        <x:f>IF(AND(B72&lt;&gt;"",ISNUMBER('Input_Meci'!G11)),INT('Input_Meci'!G11),0)</x:f>
        <x:v>0</x:v>
      </x:c>
      <x:c r="K72" s="2" t="n">
        <x:f>IF(OR(B72="",F72=""),0,IF(H72="HOME",COUNTIFS('Istoric_Nativ'!$B$6:$B$405,E72,'Istoric_Nativ'!$C$6:$C$405,F72,'Istoric_Nativ'!$E$6:$E$405,G72,'Istoric_Nativ'!$D$6:$D$405,"&lt;"&amp;J72,'Istoric_Nativ'!$P$6:$P$405,1),IF(H72="AWAY",COUNTIFS('Istoric_Nativ'!$B$6:$B$405,E72,'Istoric_Nativ'!$C$6:$C$405,F72,'Istoric_Nativ'!$F$6:$F$405,G72,'Istoric_Nativ'!$D$6:$D$405,"&lt;"&amp;J72,'Istoric_Nativ'!$P$6:$P$405,1),COUNTIFS('Istoric_Nativ'!$B$6:$B$405,E72,'Istoric_Nativ'!$C$6:$C$405,F72,'Istoric_Nativ'!$E$6:$E$405,G72,'Istoric_Nativ'!$D$6:$D$405,"&lt;"&amp;J72,'Istoric_Nativ'!$P$6:$P$405,1)+COUNTIFS('Istoric_Nativ'!$B$6:$B$405,E72,'Istoric_Nativ'!$C$6:$C$405,F72,'Istoric_Nativ'!$F$6:$F$405,G72,'Istoric_Nativ'!$D$6:$D$405,"&lt;"&amp;J72,'Istoric_Nativ'!$P$6:$P$405,1))))</x:f>
        <x:v>0</x:v>
      </x:c>
      <x:c r="L72" s="17" t="n">
        <x:f>IF(AND(B72&lt;&gt;"",I72="RECENT",K72&gt;0),LARGE(_xlfn._xlws.FILTER('Istoric_Nativ'!$D$6:$D$405,('Istoric_Nativ'!$B$6:$B$405=E72)*('Istoric_Nativ'!$C$6:$C$405=F72)*('Istoric_Nativ'!$P$6:$P$405=1)*('Istoric_Nativ'!$D$6:$D$405&lt;J72)*((('Istoric_Nativ'!$E$6:$E$405=G72)+('Istoric_Nativ'!$F$6:$F$405=G72))&gt;0)),MIN('Config_v6'!$B$54,K72)),0)</x:f>
        <x:v>0</x:v>
      </x:c>
      <x:c r="M72" s="2" t="n">
        <x:f>IF(OR(B72="",F72=""),0,IF(H72="HOME",COUNTIFS('Istoric_Nativ'!$B$6:$B$405,E72,'Istoric_Nativ'!$C$6:$C$405,F72,'Istoric_Nativ'!$E$6:$E$405,G72,'Istoric_Nativ'!$D$6:$D$405,"&lt;"&amp;J72,'Istoric_Nativ'!$P$6:$P$405,1,'Istoric_Nativ'!$D$6:$D$405,"&gt;="&amp;L72),IF(H72="AWAY",COUNTIFS('Istoric_Nativ'!$B$6:$B$405,E72,'Istoric_Nativ'!$C$6:$C$405,F72,'Istoric_Nativ'!$F$6:$F$405,G72,'Istoric_Nativ'!$D$6:$D$405,"&lt;"&amp;J72,'Istoric_Nativ'!$P$6:$P$405,1,'Istoric_Nativ'!$D$6:$D$405,"&gt;="&amp;L72),COUNTIFS('Istoric_Nativ'!$B$6:$B$405,E72,'Istoric_Nativ'!$C$6:$C$405,F72,'Istoric_Nativ'!$E$6:$E$405,G72,'Istoric_Nativ'!$D$6:$D$405,"&lt;"&amp;J72,'Istoric_Nativ'!$P$6:$P$405,1,'Istoric_Nativ'!$D$6:$D$405,"&gt;="&amp;L72)+COUNTIFS('Istoric_Nativ'!$B$6:$B$405,E72,'Istoric_Nativ'!$C$6:$C$405,F72,'Istoric_Nativ'!$F$6:$F$405,G72,'Istoric_Nativ'!$D$6:$D$405,"&lt;"&amp;J72,'Istoric_Nativ'!$P$6:$P$405,1,'Istoric_Nativ'!$D$6:$D$405,"&gt;="&amp;L72))))</x:f>
        <x:v>0</x:v>
      </x:c>
      <x:c r="N72" s="11" t="str">
        <x:f>IF(M72=0,"",IF(H72="HOME",SUMIFS('Istoric_Nativ'!$G$6:$G$405,'Istoric_Nativ'!$B$6:$B$405,E72,'Istoric_Nativ'!$C$6:$C$405,F72,'Istoric_Nativ'!$E$6:$E$405,G72,'Istoric_Nativ'!$D$6:$D$405,"&lt;"&amp;J72,'Istoric_Nativ'!$P$6:$P$405,1,'Istoric_Nativ'!$D$6:$D$405,"&gt;="&amp;L72),IF(H72="AWAY",SUMIFS('Istoric_Nativ'!$H$6:$H$405,'Istoric_Nativ'!$B$6:$B$405,E72,'Istoric_Nativ'!$C$6:$C$405,F72,'Istoric_Nativ'!$F$6:$F$405,G72,'Istoric_Nativ'!$D$6:$D$405,"&lt;"&amp;J72,'Istoric_Nativ'!$P$6:$P$405,1,'Istoric_Nativ'!$D$6:$D$405,"&gt;="&amp;L72),SUMIFS('Istoric_Nativ'!$G$6:$G$405,'Istoric_Nativ'!$B$6:$B$405,E72,'Istoric_Nativ'!$C$6:$C$405,F72,'Istoric_Nativ'!$E$6:$E$405,G72,'Istoric_Nativ'!$D$6:$D$405,"&lt;"&amp;J72,'Istoric_Nativ'!$P$6:$P$405,1,'Istoric_Nativ'!$D$6:$D$405,"&gt;="&amp;L72)+SUMIFS('Istoric_Nativ'!$H$6:$H$405,'Istoric_Nativ'!$B$6:$B$405,E72,'Istoric_Nativ'!$C$6:$C$405,F72,'Istoric_Nativ'!$F$6:$F$405,G72,'Istoric_Nativ'!$D$6:$D$405,"&lt;"&amp;J72,'Istoric_Nativ'!$P$6:$P$405,1,'Istoric_Nativ'!$D$6:$D$405,"&gt;="&amp;L72)))/M72)</x:f>
      </x:c>
      <x:c r="O72" s="11" t="str">
        <x:f>IF(M72=0,"",IF(H72="HOME",SUMIFS('Istoric_Nativ'!$H$6:$H$405,'Istoric_Nativ'!$B$6:$B$405,E72,'Istoric_Nativ'!$C$6:$C$405,F72,'Istoric_Nativ'!$E$6:$E$405,G72,'Istoric_Nativ'!$D$6:$D$405,"&lt;"&amp;J72,'Istoric_Nativ'!$P$6:$P$405,1,'Istoric_Nativ'!$D$6:$D$405,"&gt;="&amp;L72),IF(H72="AWAY",SUMIFS('Istoric_Nativ'!$G$6:$G$405,'Istoric_Nativ'!$B$6:$B$405,E72,'Istoric_Nativ'!$C$6:$C$405,F72,'Istoric_Nativ'!$F$6:$F$405,G72,'Istoric_Nativ'!$D$6:$D$405,"&lt;"&amp;J72,'Istoric_Nativ'!$P$6:$P$405,1,'Istoric_Nativ'!$D$6:$D$405,"&gt;="&amp;L72),SUMIFS('Istoric_Nativ'!$H$6:$H$405,'Istoric_Nativ'!$B$6:$B$405,E72,'Istoric_Nativ'!$C$6:$C$405,F72,'Istoric_Nativ'!$E$6:$E$405,G72,'Istoric_Nativ'!$D$6:$D$405,"&lt;"&amp;J72,'Istoric_Nativ'!$P$6:$P$405,1,'Istoric_Nativ'!$D$6:$D$405,"&gt;="&amp;L72)+SUMIFS('Istoric_Nativ'!$G$6:$G$405,'Istoric_Nativ'!$B$6:$B$405,E72,'Istoric_Nativ'!$C$6:$C$405,F72,'Istoric_Nativ'!$F$6:$F$405,G72,'Istoric_Nativ'!$D$6:$D$405,"&lt;"&amp;J72,'Istoric_Nativ'!$P$6:$P$405,1,'Istoric_Nativ'!$D$6:$D$405,"&gt;="&amp;L72)))/M72)</x:f>
      </x:c>
      <x:c r="P72" s="2" t="n">
        <x:f>'Config_v6'!$B$7</x:f>
        <x:v>10</x:v>
      </x:c>
      <x:c r="Q72" s="2" t="n">
        <x:f>IF(OR(B72="",F72=""),0,IFERROR(MATCH(E72&amp;"|"&amp;F72,SourceTable[Source_Key],0),0))</x:f>
        <x:v>0</x:v>
      </x:c>
      <x:c r="R72" s="2" t="str">
        <x:f>IF(B72="","",IF(F72="","UNUSED",IF(Q72=0,"NOT CHECKED",IF(COUNTIF(SourceTable[Source_Key],E72&amp;"|"&amp;F72)&lt;&gt;1,"SOURCE CONFLICT",IF(NOT(OR(INDEX(SourceTable[Status],MAX(1,Q72))="IMPORTED",INDEX(SourceTable[Status],MAX(1,Q72))="PARTIAL",INDEX(SourceTable[Status],MAX(1,Q72))="SOURCE CONFLICT")),"ACCESS BLOCKED",IF(OR(INDEX(SourceTable[Coverage],Q72)&lt;&gt;"FULL SEASON EXPORT",INDEX(SourceTable[URL],Q72)="",INDEX(SourceTable[SHA256],Q72)=""),"EVIDENCE INCOMPLETE",IF(AND('Input_Meci'!H11="LIVE",INDEX(SourceTable[Retrieved_UTC],Q72)&gt;'Input_Meci'!G11),"POST CUTOFF","CLOSED")))))))</x:f>
      </x:c>
      <x:c r="S72" s="2" t="n">
        <x:f>IF(OR(B72="",F72=""),0,COUNTIFS('Istoric_Nativ'!$B$6:$B$405,E72,'Istoric_Nativ'!$C$6:$C$405,F72,'Istoric_Nativ'!$E$6:$E$405,G72,'Istoric_Nativ'!$D$6:$D$405,"&lt;"&amp;J72,'Istoric_Nativ'!$O$6:$O$405,"INVALID")+COUNTIFS('Istoric_Nativ'!$B$6:$B$405,E72,'Istoric_Nativ'!$C$6:$C$405,F72,'Istoric_Nativ'!$E$6:$E$405,G72,'Istoric_Nativ'!$O$6:$O$405,"INVALID",'Istoric_Nativ'!$D$6:$D$405,"*")+COUNTIFS('Istoric_Nativ'!$B$6:$B$405,E72,'Istoric_Nativ'!$C$6:$C$405,F72,'Istoric_Nativ'!$E$6:$E$405,G72,'Istoric_Nativ'!$D$6:$D$405,"&lt;"&amp;J72,'Istoric_Nativ'!$O$6:$O$405,"SOURCE CONFLICT")+COUNTIFS('Istoric_Nativ'!$B$6:$B$405,E72,'Istoric_Nativ'!$C$6:$C$405,F72,'Istoric_Nativ'!$F$6:$F$405,G72,'Istoric_Nativ'!$D$6:$D$405,"&lt;"&amp;J72,'Istoric_Nativ'!$O$6:$O$405,"INVALID")+COUNTIFS('Istoric_Nativ'!$B$6:$B$405,E72,'Istoric_Nativ'!$C$6:$C$405,F72,'Istoric_Nativ'!$F$6:$F$405,G72,'Istoric_Nativ'!$O$6:$O$405,"INVALID",'Istoric_Nativ'!$D$6:$D$405,"*")+COUNTIFS('Istoric_Nativ'!$B$6:$B$405,E72,'Istoric_Nativ'!$C$6:$C$405,F72,'Istoric_Nativ'!$F$6:$F$405,G72,'Istoric_Nativ'!$D$6:$D$405,"&lt;"&amp;J72,'Istoric_Nativ'!$O$6:$O$405,"SOURCE CONFLICT"))</x:f>
        <x:v>0</x:v>
      </x:c>
      <x:c r="T72" s="2" t="str">
        <x:f>IF(B72="","",IF(R72&lt;&gt;"CLOSED",R72,IF(S72&gt;0,"NATIVE INPUT ISSUE",IF(M72=0,"NO HISTORY",IF(M72&lt;P72,"SMALL SAMPLE","DERIVED")))))</x:f>
      </x:c>
      <x:c r="U72" s="2" t="str">
        <x:f>IF(B72="","","NativeTable; "&amp;E72&amp;"; "&amp;F72&amp;"; "&amp;G72&amp;"; "&amp;H72&amp;"; before "&amp;TEXT(J72,"yyyy-mm-dd")&amp;IF(I72="RECENT","; from "&amp;TEXT(L72,"yyyy-mm-dd"),""))</x:f>
      </x:c>
    </x:row>
    <x:row r="73" ht="21" customHeight="1">
      <x:c r="A73" s="2" t="n">
        <x:v>6</x:v>
      </x:c>
      <x:c r="B73" s="2" t="str">
        <x:f>IF('Input_Meci'!A11="","",'Input_Meci'!A11)</x:f>
      </x:c>
      <x:c r="C73" s="2" t="str">
        <x:v>H</x:v>
      </x:c>
      <x:c r="D73" s="2" t="str">
        <x:v>PRIOR</x:v>
      </x:c>
      <x:c r="E73" s="2" t="str">
        <x:f>IF(B73="","",'Input_Meci'!B11)</x:f>
      </x:c>
      <x:c r="F73" s="2" t="str">
        <x:f>IF(B73="","",IF('Input_Meci'!K11="","",'Input_Meci'!K11))</x:f>
      </x:c>
      <x:c r="G73" s="2" t="str">
        <x:f>IF(B73="","",'Input_Meci'!D11)</x:f>
      </x:c>
      <x:c r="H73" s="2" t="str">
        <x:v>HOME</x:v>
      </x:c>
      <x:c r="I73" s="2" t="str">
        <x:v>HA</x:v>
      </x:c>
      <x:c r="J73" s="9" t="n">
        <x:f>IF(AND(B73&lt;&gt;"",ISNUMBER('Input_Meci'!G11)),INT('Input_Meci'!G11),0)</x:f>
        <x:v>0</x:v>
      </x:c>
      <x:c r="K73" s="2" t="n">
        <x:f>IF(OR(B73="",F73=""),0,IF(H73="HOME",COUNTIFS('Istoric_Nativ'!$B$6:$B$405,E73,'Istoric_Nativ'!$C$6:$C$405,F73,'Istoric_Nativ'!$E$6:$E$405,G73,'Istoric_Nativ'!$D$6:$D$405,"&lt;"&amp;J73,'Istoric_Nativ'!$P$6:$P$405,1),IF(H73="AWAY",COUNTIFS('Istoric_Nativ'!$B$6:$B$405,E73,'Istoric_Nativ'!$C$6:$C$405,F73,'Istoric_Nativ'!$F$6:$F$405,G73,'Istoric_Nativ'!$D$6:$D$405,"&lt;"&amp;J73,'Istoric_Nativ'!$P$6:$P$405,1),COUNTIFS('Istoric_Nativ'!$B$6:$B$405,E73,'Istoric_Nativ'!$C$6:$C$405,F73,'Istoric_Nativ'!$E$6:$E$405,G73,'Istoric_Nativ'!$D$6:$D$405,"&lt;"&amp;J73,'Istoric_Nativ'!$P$6:$P$405,1)+COUNTIFS('Istoric_Nativ'!$B$6:$B$405,E73,'Istoric_Nativ'!$C$6:$C$405,F73,'Istoric_Nativ'!$F$6:$F$405,G73,'Istoric_Nativ'!$D$6:$D$405,"&lt;"&amp;J73,'Istoric_Nativ'!$P$6:$P$405,1))))</x:f>
        <x:v>0</x:v>
      </x:c>
      <x:c r="L73" s="17" t="n">
        <x:f>IF(AND(B73&lt;&gt;"",I73="RECENT",K73&gt;0),LARGE(_xlfn._xlws.FILTER('Istoric_Nativ'!$D$6:$D$405,('Istoric_Nativ'!$B$6:$B$405=E73)*('Istoric_Nativ'!$C$6:$C$405=F73)*('Istoric_Nativ'!$P$6:$P$405=1)*('Istoric_Nativ'!$D$6:$D$405&lt;J73)*((('Istoric_Nativ'!$E$6:$E$405=G73)+('Istoric_Nativ'!$F$6:$F$405=G73))&gt;0)),MIN('Config_v6'!$B$54,K73)),0)</x:f>
        <x:v>0</x:v>
      </x:c>
      <x:c r="M73" s="2" t="n">
        <x:f>IF(OR(B73="",F73=""),0,IF(H73="HOME",COUNTIFS('Istoric_Nativ'!$B$6:$B$405,E73,'Istoric_Nativ'!$C$6:$C$405,F73,'Istoric_Nativ'!$E$6:$E$405,G73,'Istoric_Nativ'!$D$6:$D$405,"&lt;"&amp;J73,'Istoric_Nativ'!$P$6:$P$405,1,'Istoric_Nativ'!$D$6:$D$405,"&gt;="&amp;L73),IF(H73="AWAY",COUNTIFS('Istoric_Nativ'!$B$6:$B$405,E73,'Istoric_Nativ'!$C$6:$C$405,F73,'Istoric_Nativ'!$F$6:$F$405,G73,'Istoric_Nativ'!$D$6:$D$405,"&lt;"&amp;J73,'Istoric_Nativ'!$P$6:$P$405,1,'Istoric_Nativ'!$D$6:$D$405,"&gt;="&amp;L73),COUNTIFS('Istoric_Nativ'!$B$6:$B$405,E73,'Istoric_Nativ'!$C$6:$C$405,F73,'Istoric_Nativ'!$E$6:$E$405,G73,'Istoric_Nativ'!$D$6:$D$405,"&lt;"&amp;J73,'Istoric_Nativ'!$P$6:$P$405,1,'Istoric_Nativ'!$D$6:$D$405,"&gt;="&amp;L73)+COUNTIFS('Istoric_Nativ'!$B$6:$B$405,E73,'Istoric_Nativ'!$C$6:$C$405,F73,'Istoric_Nativ'!$F$6:$F$405,G73,'Istoric_Nativ'!$D$6:$D$405,"&lt;"&amp;J73,'Istoric_Nativ'!$P$6:$P$405,1,'Istoric_Nativ'!$D$6:$D$405,"&gt;="&amp;L73))))</x:f>
        <x:v>0</x:v>
      </x:c>
      <x:c r="N73" s="11" t="str">
        <x:f>IF(M73=0,"",IF(H73="HOME",SUMIFS('Istoric_Nativ'!$G$6:$G$405,'Istoric_Nativ'!$B$6:$B$405,E73,'Istoric_Nativ'!$C$6:$C$405,F73,'Istoric_Nativ'!$E$6:$E$405,G73,'Istoric_Nativ'!$D$6:$D$405,"&lt;"&amp;J73,'Istoric_Nativ'!$P$6:$P$405,1,'Istoric_Nativ'!$D$6:$D$405,"&gt;="&amp;L73),IF(H73="AWAY",SUMIFS('Istoric_Nativ'!$H$6:$H$405,'Istoric_Nativ'!$B$6:$B$405,E73,'Istoric_Nativ'!$C$6:$C$405,F73,'Istoric_Nativ'!$F$6:$F$405,G73,'Istoric_Nativ'!$D$6:$D$405,"&lt;"&amp;J73,'Istoric_Nativ'!$P$6:$P$405,1,'Istoric_Nativ'!$D$6:$D$405,"&gt;="&amp;L73),SUMIFS('Istoric_Nativ'!$G$6:$G$405,'Istoric_Nativ'!$B$6:$B$405,E73,'Istoric_Nativ'!$C$6:$C$405,F73,'Istoric_Nativ'!$E$6:$E$405,G73,'Istoric_Nativ'!$D$6:$D$405,"&lt;"&amp;J73,'Istoric_Nativ'!$P$6:$P$405,1,'Istoric_Nativ'!$D$6:$D$405,"&gt;="&amp;L73)+SUMIFS('Istoric_Nativ'!$H$6:$H$405,'Istoric_Nativ'!$B$6:$B$405,E73,'Istoric_Nativ'!$C$6:$C$405,F73,'Istoric_Nativ'!$F$6:$F$405,G73,'Istoric_Nativ'!$D$6:$D$405,"&lt;"&amp;J73,'Istoric_Nativ'!$P$6:$P$405,1,'Istoric_Nativ'!$D$6:$D$405,"&gt;="&amp;L73)))/M73)</x:f>
      </x:c>
      <x:c r="O73" s="11" t="str">
        <x:f>IF(M73=0,"",IF(H73="HOME",SUMIFS('Istoric_Nativ'!$H$6:$H$405,'Istoric_Nativ'!$B$6:$B$405,E73,'Istoric_Nativ'!$C$6:$C$405,F73,'Istoric_Nativ'!$E$6:$E$405,G73,'Istoric_Nativ'!$D$6:$D$405,"&lt;"&amp;J73,'Istoric_Nativ'!$P$6:$P$405,1,'Istoric_Nativ'!$D$6:$D$405,"&gt;="&amp;L73),IF(H73="AWAY",SUMIFS('Istoric_Nativ'!$G$6:$G$405,'Istoric_Nativ'!$B$6:$B$405,E73,'Istoric_Nativ'!$C$6:$C$405,F73,'Istoric_Nativ'!$F$6:$F$405,G73,'Istoric_Nativ'!$D$6:$D$405,"&lt;"&amp;J73,'Istoric_Nativ'!$P$6:$P$405,1,'Istoric_Nativ'!$D$6:$D$405,"&gt;="&amp;L73),SUMIFS('Istoric_Nativ'!$H$6:$H$405,'Istoric_Nativ'!$B$6:$B$405,E73,'Istoric_Nativ'!$C$6:$C$405,F73,'Istoric_Nativ'!$E$6:$E$405,G73,'Istoric_Nativ'!$D$6:$D$405,"&lt;"&amp;J73,'Istoric_Nativ'!$P$6:$P$405,1,'Istoric_Nativ'!$D$6:$D$405,"&gt;="&amp;L73)+SUMIFS('Istoric_Nativ'!$G$6:$G$405,'Istoric_Nativ'!$B$6:$B$405,E73,'Istoric_Nativ'!$C$6:$C$405,F73,'Istoric_Nativ'!$F$6:$F$405,G73,'Istoric_Nativ'!$D$6:$D$405,"&lt;"&amp;J73,'Istoric_Nativ'!$P$6:$P$405,1,'Istoric_Nativ'!$D$6:$D$405,"&gt;="&amp;L73)))/M73)</x:f>
      </x:c>
      <x:c r="P73" s="2" t="n">
        <x:f>'Config_v6'!$B$8</x:f>
        <x:v>5</x:v>
      </x:c>
      <x:c r="Q73" s="2" t="n">
        <x:f>IF(OR(B73="",F73=""),0,IFERROR(MATCH(E73&amp;"|"&amp;F73,SourceTable[Source_Key],0),0))</x:f>
        <x:v>0</x:v>
      </x:c>
      <x:c r="R73" s="2" t="str">
        <x:f>IF(B73="","",IF(F73="","UNUSED",IF(Q73=0,"NOT CHECKED",IF(COUNTIF(SourceTable[Source_Key],E73&amp;"|"&amp;F73)&lt;&gt;1,"SOURCE CONFLICT",IF(NOT(OR(INDEX(SourceTable[Status],MAX(1,Q73))="IMPORTED",INDEX(SourceTable[Status],MAX(1,Q73))="PARTIAL",INDEX(SourceTable[Status],MAX(1,Q73))="SOURCE CONFLICT")),"ACCESS BLOCKED",IF(OR(INDEX(SourceTable[Coverage],Q73)&lt;&gt;"FULL SEASON EXPORT",INDEX(SourceTable[URL],Q73)="",INDEX(SourceTable[SHA256],Q73)=""),"EVIDENCE INCOMPLETE",IF(AND('Input_Meci'!H11="LIVE",INDEX(SourceTable[Retrieved_UTC],Q73)&gt;'Input_Meci'!G11),"POST CUTOFF","CLOSED")))))))</x:f>
      </x:c>
      <x:c r="S73" s="2" t="n">
        <x:f>IF(OR(B73="",F73=""),0,COUNTIFS('Istoric_Nativ'!$B$6:$B$405,E73,'Istoric_Nativ'!$C$6:$C$405,F73,'Istoric_Nativ'!$E$6:$E$405,G73,'Istoric_Nativ'!$D$6:$D$405,"&lt;"&amp;J73,'Istoric_Nativ'!$O$6:$O$405,"INVALID")+COUNTIFS('Istoric_Nativ'!$B$6:$B$405,E73,'Istoric_Nativ'!$C$6:$C$405,F73,'Istoric_Nativ'!$E$6:$E$405,G73,'Istoric_Nativ'!$O$6:$O$405,"INVALID",'Istoric_Nativ'!$D$6:$D$405,"*")+COUNTIFS('Istoric_Nativ'!$B$6:$B$405,E73,'Istoric_Nativ'!$C$6:$C$405,F73,'Istoric_Nativ'!$E$6:$E$405,G73,'Istoric_Nativ'!$D$6:$D$405,"&lt;"&amp;J73,'Istoric_Nativ'!$O$6:$O$405,"SOURCE CONFLICT")+COUNTIFS('Istoric_Nativ'!$B$6:$B$405,E73,'Istoric_Nativ'!$C$6:$C$405,F73,'Istoric_Nativ'!$F$6:$F$405,G73,'Istoric_Nativ'!$D$6:$D$405,"&lt;"&amp;J73,'Istoric_Nativ'!$O$6:$O$405,"INVALID")+COUNTIFS('Istoric_Nativ'!$B$6:$B$405,E73,'Istoric_Nativ'!$C$6:$C$405,F73,'Istoric_Nativ'!$F$6:$F$405,G73,'Istoric_Nativ'!$O$6:$O$405,"INVALID",'Istoric_Nativ'!$D$6:$D$405,"*")+COUNTIFS('Istoric_Nativ'!$B$6:$B$405,E73,'Istoric_Nativ'!$C$6:$C$405,F73,'Istoric_Nativ'!$F$6:$F$405,G73,'Istoric_Nativ'!$D$6:$D$405,"&lt;"&amp;J73,'Istoric_Nativ'!$O$6:$O$405,"SOURCE CONFLICT"))</x:f>
        <x:v>0</x:v>
      </x:c>
      <x:c r="T73" s="2" t="str">
        <x:f>IF(B73="","",IF(R73&lt;&gt;"CLOSED",R73,IF(S73&gt;0,"NATIVE INPUT ISSUE",IF(M73=0,"NO HISTORY",IF(M73&lt;P73,"SMALL SAMPLE","DERIVED")))))</x:f>
      </x:c>
      <x:c r="U73" s="2" t="str">
        <x:f>IF(B73="","","NativeTable; "&amp;E73&amp;"; "&amp;F73&amp;"; "&amp;G73&amp;"; "&amp;H73&amp;"; before "&amp;TEXT(J73,"yyyy-mm-dd")&amp;IF(I73="RECENT","; from "&amp;TEXT(L73,"yyyy-mm-dd"),""))</x:f>
      </x:c>
    </x:row>
    <x:row r="74" ht="21" customHeight="1">
      <x:c r="A74" s="2" t="n">
        <x:v>6</x:v>
      </x:c>
      <x:c r="B74" s="2" t="str">
        <x:f>IF('Input_Meci'!A11="","",'Input_Meci'!A11)</x:f>
      </x:c>
      <x:c r="C74" s="2" t="str">
        <x:v>H</x:v>
      </x:c>
      <x:c r="D74" s="2" t="str">
        <x:v>PRIOR</x:v>
      </x:c>
      <x:c r="E74" s="2" t="str">
        <x:f>IF(B74="","",'Input_Meci'!B11)</x:f>
      </x:c>
      <x:c r="F74" s="2" t="str">
        <x:f>IF(B74="","",IF('Input_Meci'!K11="","",'Input_Meci'!K11))</x:f>
      </x:c>
      <x:c r="G74" s="2" t="str">
        <x:f>IF(B74="","",'Input_Meci'!D11)</x:f>
      </x:c>
      <x:c r="H74" s="2" t="str">
        <x:v>ANY</x:v>
      </x:c>
      <x:c r="I74" s="2" t="str">
        <x:v>RECENT</x:v>
      </x:c>
      <x:c r="J74" s="9" t="n">
        <x:f>IF(AND(B74&lt;&gt;"",ISNUMBER('Input_Meci'!G11)),INT('Input_Meci'!G11),0)</x:f>
        <x:v>0</x:v>
      </x:c>
      <x:c r="K74" s="2" t="n">
        <x:f>IF(OR(B74="",F74=""),0,IF(H74="HOME",COUNTIFS('Istoric_Nativ'!$B$6:$B$405,E74,'Istoric_Nativ'!$C$6:$C$405,F74,'Istoric_Nativ'!$E$6:$E$405,G74,'Istoric_Nativ'!$D$6:$D$405,"&lt;"&amp;J74,'Istoric_Nativ'!$P$6:$P$405,1),IF(H74="AWAY",COUNTIFS('Istoric_Nativ'!$B$6:$B$405,E74,'Istoric_Nativ'!$C$6:$C$405,F74,'Istoric_Nativ'!$F$6:$F$405,G74,'Istoric_Nativ'!$D$6:$D$405,"&lt;"&amp;J74,'Istoric_Nativ'!$P$6:$P$405,1),COUNTIFS('Istoric_Nativ'!$B$6:$B$405,E74,'Istoric_Nativ'!$C$6:$C$405,F74,'Istoric_Nativ'!$E$6:$E$405,G74,'Istoric_Nativ'!$D$6:$D$405,"&lt;"&amp;J74,'Istoric_Nativ'!$P$6:$P$405,1)+COUNTIFS('Istoric_Nativ'!$B$6:$B$405,E74,'Istoric_Nativ'!$C$6:$C$405,F74,'Istoric_Nativ'!$F$6:$F$405,G74,'Istoric_Nativ'!$D$6:$D$405,"&lt;"&amp;J74,'Istoric_Nativ'!$P$6:$P$405,1))))</x:f>
        <x:v>0</x:v>
      </x:c>
      <x:c r="L74" s="17" t="n">
        <x:f>IF(AND(B74&lt;&gt;"",I74="RECENT",K74&gt;0),LARGE(_xlfn._xlws.FILTER('Istoric_Nativ'!$D$6:$D$405,('Istoric_Nativ'!$B$6:$B$405=E74)*('Istoric_Nativ'!$C$6:$C$405=F74)*('Istoric_Nativ'!$P$6:$P$405=1)*('Istoric_Nativ'!$D$6:$D$405&lt;J74)*((('Istoric_Nativ'!$E$6:$E$405=G74)+('Istoric_Nativ'!$F$6:$F$405=G74))&gt;0)),MIN('Config_v6'!$B$54,K74)),0)</x:f>
        <x:v>0</x:v>
      </x:c>
      <x:c r="M74" s="2" t="n">
        <x:f>IF(OR(B74="",F74=""),0,IF(H74="HOME",COUNTIFS('Istoric_Nativ'!$B$6:$B$405,E74,'Istoric_Nativ'!$C$6:$C$405,F74,'Istoric_Nativ'!$E$6:$E$405,G74,'Istoric_Nativ'!$D$6:$D$405,"&lt;"&amp;J74,'Istoric_Nativ'!$P$6:$P$405,1,'Istoric_Nativ'!$D$6:$D$405,"&gt;="&amp;L74),IF(H74="AWAY",COUNTIFS('Istoric_Nativ'!$B$6:$B$405,E74,'Istoric_Nativ'!$C$6:$C$405,F74,'Istoric_Nativ'!$F$6:$F$405,G74,'Istoric_Nativ'!$D$6:$D$405,"&lt;"&amp;J74,'Istoric_Nativ'!$P$6:$P$405,1,'Istoric_Nativ'!$D$6:$D$405,"&gt;="&amp;L74),COUNTIFS('Istoric_Nativ'!$B$6:$B$405,E74,'Istoric_Nativ'!$C$6:$C$405,F74,'Istoric_Nativ'!$E$6:$E$405,G74,'Istoric_Nativ'!$D$6:$D$405,"&lt;"&amp;J74,'Istoric_Nativ'!$P$6:$P$405,1,'Istoric_Nativ'!$D$6:$D$405,"&gt;="&amp;L74)+COUNTIFS('Istoric_Nativ'!$B$6:$B$405,E74,'Istoric_Nativ'!$C$6:$C$405,F74,'Istoric_Nativ'!$F$6:$F$405,G74,'Istoric_Nativ'!$D$6:$D$405,"&lt;"&amp;J74,'Istoric_Nativ'!$P$6:$P$405,1,'Istoric_Nativ'!$D$6:$D$405,"&gt;="&amp;L74))))</x:f>
        <x:v>0</x:v>
      </x:c>
      <x:c r="N74" s="11" t="str">
        <x:f>IF(M74=0,"",IF(H74="HOME",SUMIFS('Istoric_Nativ'!$G$6:$G$405,'Istoric_Nativ'!$B$6:$B$405,E74,'Istoric_Nativ'!$C$6:$C$405,F74,'Istoric_Nativ'!$E$6:$E$405,G74,'Istoric_Nativ'!$D$6:$D$405,"&lt;"&amp;J74,'Istoric_Nativ'!$P$6:$P$405,1,'Istoric_Nativ'!$D$6:$D$405,"&gt;="&amp;L74),IF(H74="AWAY",SUMIFS('Istoric_Nativ'!$H$6:$H$405,'Istoric_Nativ'!$B$6:$B$405,E74,'Istoric_Nativ'!$C$6:$C$405,F74,'Istoric_Nativ'!$F$6:$F$405,G74,'Istoric_Nativ'!$D$6:$D$405,"&lt;"&amp;J74,'Istoric_Nativ'!$P$6:$P$405,1,'Istoric_Nativ'!$D$6:$D$405,"&gt;="&amp;L74),SUMIFS('Istoric_Nativ'!$G$6:$G$405,'Istoric_Nativ'!$B$6:$B$405,E74,'Istoric_Nativ'!$C$6:$C$405,F74,'Istoric_Nativ'!$E$6:$E$405,G74,'Istoric_Nativ'!$D$6:$D$405,"&lt;"&amp;J74,'Istoric_Nativ'!$P$6:$P$405,1,'Istoric_Nativ'!$D$6:$D$405,"&gt;="&amp;L74)+SUMIFS('Istoric_Nativ'!$H$6:$H$405,'Istoric_Nativ'!$B$6:$B$405,E74,'Istoric_Nativ'!$C$6:$C$405,F74,'Istoric_Nativ'!$F$6:$F$405,G74,'Istoric_Nativ'!$D$6:$D$405,"&lt;"&amp;J74,'Istoric_Nativ'!$P$6:$P$405,1,'Istoric_Nativ'!$D$6:$D$405,"&gt;="&amp;L74)))/M74)</x:f>
      </x:c>
      <x:c r="O74" s="11" t="str">
        <x:f>IF(M74=0,"",IF(H74="HOME",SUMIFS('Istoric_Nativ'!$H$6:$H$405,'Istoric_Nativ'!$B$6:$B$405,E74,'Istoric_Nativ'!$C$6:$C$405,F74,'Istoric_Nativ'!$E$6:$E$405,G74,'Istoric_Nativ'!$D$6:$D$405,"&lt;"&amp;J74,'Istoric_Nativ'!$P$6:$P$405,1,'Istoric_Nativ'!$D$6:$D$405,"&gt;="&amp;L74),IF(H74="AWAY",SUMIFS('Istoric_Nativ'!$G$6:$G$405,'Istoric_Nativ'!$B$6:$B$405,E74,'Istoric_Nativ'!$C$6:$C$405,F74,'Istoric_Nativ'!$F$6:$F$405,G74,'Istoric_Nativ'!$D$6:$D$405,"&lt;"&amp;J74,'Istoric_Nativ'!$P$6:$P$405,1,'Istoric_Nativ'!$D$6:$D$405,"&gt;="&amp;L74),SUMIFS('Istoric_Nativ'!$H$6:$H$405,'Istoric_Nativ'!$B$6:$B$405,E74,'Istoric_Nativ'!$C$6:$C$405,F74,'Istoric_Nativ'!$E$6:$E$405,G74,'Istoric_Nativ'!$D$6:$D$405,"&lt;"&amp;J74,'Istoric_Nativ'!$P$6:$P$405,1,'Istoric_Nativ'!$D$6:$D$405,"&gt;="&amp;L74)+SUMIFS('Istoric_Nativ'!$G$6:$G$405,'Istoric_Nativ'!$B$6:$B$405,E74,'Istoric_Nativ'!$C$6:$C$405,F74,'Istoric_Nativ'!$F$6:$F$405,G74,'Istoric_Nativ'!$D$6:$D$405,"&lt;"&amp;J74,'Istoric_Nativ'!$P$6:$P$405,1,'Istoric_Nativ'!$D$6:$D$405,"&gt;="&amp;L74)))/M74)</x:f>
      </x:c>
      <x:c r="P74" s="2" t="n">
        <x:f>'Config_v6'!$B$9</x:f>
        <x:v>3</x:v>
      </x:c>
      <x:c r="Q74" s="2" t="n">
        <x:f>IF(OR(B74="",F74=""),0,IFERROR(MATCH(E74&amp;"|"&amp;F74,SourceTable[Source_Key],0),0))</x:f>
        <x:v>0</x:v>
      </x:c>
      <x:c r="R74" s="2" t="str">
        <x:f>IF(B74="","",IF(F74="","UNUSED",IF(Q74=0,"NOT CHECKED",IF(COUNTIF(SourceTable[Source_Key],E74&amp;"|"&amp;F74)&lt;&gt;1,"SOURCE CONFLICT",IF(NOT(OR(INDEX(SourceTable[Status],MAX(1,Q74))="IMPORTED",INDEX(SourceTable[Status],MAX(1,Q74))="PARTIAL",INDEX(SourceTable[Status],MAX(1,Q74))="SOURCE CONFLICT")),"ACCESS BLOCKED",IF(OR(INDEX(SourceTable[Coverage],Q74)&lt;&gt;"FULL SEASON EXPORT",INDEX(SourceTable[URL],Q74)="",INDEX(SourceTable[SHA256],Q74)=""),"EVIDENCE INCOMPLETE",IF(AND('Input_Meci'!H11="LIVE",INDEX(SourceTable[Retrieved_UTC],Q74)&gt;'Input_Meci'!G11),"POST CUTOFF","CLOSED")))))))</x:f>
      </x:c>
      <x:c r="S74" s="2" t="n">
        <x:f>IF(OR(B74="",F74=""),0,COUNTIFS('Istoric_Nativ'!$B$6:$B$405,E74,'Istoric_Nativ'!$C$6:$C$405,F74,'Istoric_Nativ'!$E$6:$E$405,G74,'Istoric_Nativ'!$D$6:$D$405,"&lt;"&amp;J74,'Istoric_Nativ'!$O$6:$O$405,"INVALID")+COUNTIFS('Istoric_Nativ'!$B$6:$B$405,E74,'Istoric_Nativ'!$C$6:$C$405,F74,'Istoric_Nativ'!$E$6:$E$405,G74,'Istoric_Nativ'!$O$6:$O$405,"INVALID",'Istoric_Nativ'!$D$6:$D$405,"*")+COUNTIFS('Istoric_Nativ'!$B$6:$B$405,E74,'Istoric_Nativ'!$C$6:$C$405,F74,'Istoric_Nativ'!$E$6:$E$405,G74,'Istoric_Nativ'!$D$6:$D$405,"&lt;"&amp;J74,'Istoric_Nativ'!$O$6:$O$405,"SOURCE CONFLICT")+COUNTIFS('Istoric_Nativ'!$B$6:$B$405,E74,'Istoric_Nativ'!$C$6:$C$405,F74,'Istoric_Nativ'!$F$6:$F$405,G74,'Istoric_Nativ'!$D$6:$D$405,"&lt;"&amp;J74,'Istoric_Nativ'!$O$6:$O$405,"INVALID")+COUNTIFS('Istoric_Nativ'!$B$6:$B$405,E74,'Istoric_Nativ'!$C$6:$C$405,F74,'Istoric_Nativ'!$F$6:$F$405,G74,'Istoric_Nativ'!$O$6:$O$405,"INVALID",'Istoric_Nativ'!$D$6:$D$405,"*")+COUNTIFS('Istoric_Nativ'!$B$6:$B$405,E74,'Istoric_Nativ'!$C$6:$C$405,F74,'Istoric_Nativ'!$F$6:$F$405,G74,'Istoric_Nativ'!$D$6:$D$405,"&lt;"&amp;J74,'Istoric_Nativ'!$O$6:$O$405,"SOURCE CONFLICT"))</x:f>
        <x:v>0</x:v>
      </x:c>
      <x:c r="T74" s="2" t="str">
        <x:f>IF(B74="","",IF(R74&lt;&gt;"CLOSED",R74,IF(S74&gt;0,"NATIVE INPUT ISSUE",IF(M74=0,"NO HISTORY",IF(M74&lt;P74,"SMALL SAMPLE","DERIVED")))))</x:f>
      </x:c>
      <x:c r="U74" s="2" t="str">
        <x:f>IF(B74="","","NativeTable; "&amp;E74&amp;"; "&amp;F74&amp;"; "&amp;G74&amp;"; "&amp;H74&amp;"; before "&amp;TEXT(J74,"yyyy-mm-dd")&amp;IF(I74="RECENT","; from "&amp;TEXT(L74,"yyyy-mm-dd"),""))</x:f>
      </x:c>
    </x:row>
    <x:row r="75" ht="21" customHeight="1">
      <x:c r="A75" s="2" t="n">
        <x:v>6</x:v>
      </x:c>
      <x:c r="B75" s="2" t="str">
        <x:f>IF('Input_Meci'!A11="","",'Input_Meci'!A11)</x:f>
      </x:c>
      <x:c r="C75" s="2" t="str">
        <x:v>A</x:v>
      </x:c>
      <x:c r="D75" s="2" t="str">
        <x:v>PRIOR</x:v>
      </x:c>
      <x:c r="E75" s="2" t="str">
        <x:f>IF(B75="","",'Input_Meci'!B11)</x:f>
      </x:c>
      <x:c r="F75" s="2" t="str">
        <x:f>IF(B75="","",IF('Input_Meci'!K11="","",'Input_Meci'!K11))</x:f>
      </x:c>
      <x:c r="G75" s="2" t="str">
        <x:f>IF(B75="","",'Input_Meci'!E11)</x:f>
      </x:c>
      <x:c r="H75" s="2" t="str">
        <x:v>ANY</x:v>
      </x:c>
      <x:c r="I75" s="2" t="str">
        <x:v>SEASON</x:v>
      </x:c>
      <x:c r="J75" s="9" t="n">
        <x:f>IF(AND(B75&lt;&gt;"",ISNUMBER('Input_Meci'!G11)),INT('Input_Meci'!G11),0)</x:f>
        <x:v>0</x:v>
      </x:c>
      <x:c r="K75" s="2" t="n">
        <x:f>IF(OR(B75="",F75=""),0,IF(H75="HOME",COUNTIFS('Istoric_Nativ'!$B$6:$B$405,E75,'Istoric_Nativ'!$C$6:$C$405,F75,'Istoric_Nativ'!$E$6:$E$405,G75,'Istoric_Nativ'!$D$6:$D$405,"&lt;"&amp;J75,'Istoric_Nativ'!$P$6:$P$405,1),IF(H75="AWAY",COUNTIFS('Istoric_Nativ'!$B$6:$B$405,E75,'Istoric_Nativ'!$C$6:$C$405,F75,'Istoric_Nativ'!$F$6:$F$405,G75,'Istoric_Nativ'!$D$6:$D$405,"&lt;"&amp;J75,'Istoric_Nativ'!$P$6:$P$405,1),COUNTIFS('Istoric_Nativ'!$B$6:$B$405,E75,'Istoric_Nativ'!$C$6:$C$405,F75,'Istoric_Nativ'!$E$6:$E$405,G75,'Istoric_Nativ'!$D$6:$D$405,"&lt;"&amp;J75,'Istoric_Nativ'!$P$6:$P$405,1)+COUNTIFS('Istoric_Nativ'!$B$6:$B$405,E75,'Istoric_Nativ'!$C$6:$C$405,F75,'Istoric_Nativ'!$F$6:$F$405,G75,'Istoric_Nativ'!$D$6:$D$405,"&lt;"&amp;J75,'Istoric_Nativ'!$P$6:$P$405,1))))</x:f>
        <x:v>0</x:v>
      </x:c>
      <x:c r="L75" s="17" t="n">
        <x:f>IF(AND(B75&lt;&gt;"",I75="RECENT",K75&gt;0),LARGE(_xlfn._xlws.FILTER('Istoric_Nativ'!$D$6:$D$405,('Istoric_Nativ'!$B$6:$B$405=E75)*('Istoric_Nativ'!$C$6:$C$405=F75)*('Istoric_Nativ'!$P$6:$P$405=1)*('Istoric_Nativ'!$D$6:$D$405&lt;J75)*((('Istoric_Nativ'!$E$6:$E$405=G75)+('Istoric_Nativ'!$F$6:$F$405=G75))&gt;0)),MIN('Config_v6'!$B$54,K75)),0)</x:f>
        <x:v>0</x:v>
      </x:c>
      <x:c r="M75" s="2" t="n">
        <x:f>IF(OR(B75="",F75=""),0,IF(H75="HOME",COUNTIFS('Istoric_Nativ'!$B$6:$B$405,E75,'Istoric_Nativ'!$C$6:$C$405,F75,'Istoric_Nativ'!$E$6:$E$405,G75,'Istoric_Nativ'!$D$6:$D$405,"&lt;"&amp;J75,'Istoric_Nativ'!$P$6:$P$405,1,'Istoric_Nativ'!$D$6:$D$405,"&gt;="&amp;L75),IF(H75="AWAY",COUNTIFS('Istoric_Nativ'!$B$6:$B$405,E75,'Istoric_Nativ'!$C$6:$C$405,F75,'Istoric_Nativ'!$F$6:$F$405,G75,'Istoric_Nativ'!$D$6:$D$405,"&lt;"&amp;J75,'Istoric_Nativ'!$P$6:$P$405,1,'Istoric_Nativ'!$D$6:$D$405,"&gt;="&amp;L75),COUNTIFS('Istoric_Nativ'!$B$6:$B$405,E75,'Istoric_Nativ'!$C$6:$C$405,F75,'Istoric_Nativ'!$E$6:$E$405,G75,'Istoric_Nativ'!$D$6:$D$405,"&lt;"&amp;J75,'Istoric_Nativ'!$P$6:$P$405,1,'Istoric_Nativ'!$D$6:$D$405,"&gt;="&amp;L75)+COUNTIFS('Istoric_Nativ'!$B$6:$B$405,E75,'Istoric_Nativ'!$C$6:$C$405,F75,'Istoric_Nativ'!$F$6:$F$405,G75,'Istoric_Nativ'!$D$6:$D$405,"&lt;"&amp;J75,'Istoric_Nativ'!$P$6:$P$405,1,'Istoric_Nativ'!$D$6:$D$405,"&gt;="&amp;L75))))</x:f>
        <x:v>0</x:v>
      </x:c>
      <x:c r="N75" s="11" t="str">
        <x:f>IF(M75=0,"",IF(H75="HOME",SUMIFS('Istoric_Nativ'!$G$6:$G$405,'Istoric_Nativ'!$B$6:$B$405,E75,'Istoric_Nativ'!$C$6:$C$405,F75,'Istoric_Nativ'!$E$6:$E$405,G75,'Istoric_Nativ'!$D$6:$D$405,"&lt;"&amp;J75,'Istoric_Nativ'!$P$6:$P$405,1,'Istoric_Nativ'!$D$6:$D$405,"&gt;="&amp;L75),IF(H75="AWAY",SUMIFS('Istoric_Nativ'!$H$6:$H$405,'Istoric_Nativ'!$B$6:$B$405,E75,'Istoric_Nativ'!$C$6:$C$405,F75,'Istoric_Nativ'!$F$6:$F$405,G75,'Istoric_Nativ'!$D$6:$D$405,"&lt;"&amp;J75,'Istoric_Nativ'!$P$6:$P$405,1,'Istoric_Nativ'!$D$6:$D$405,"&gt;="&amp;L75),SUMIFS('Istoric_Nativ'!$G$6:$G$405,'Istoric_Nativ'!$B$6:$B$405,E75,'Istoric_Nativ'!$C$6:$C$405,F75,'Istoric_Nativ'!$E$6:$E$405,G75,'Istoric_Nativ'!$D$6:$D$405,"&lt;"&amp;J75,'Istoric_Nativ'!$P$6:$P$405,1,'Istoric_Nativ'!$D$6:$D$405,"&gt;="&amp;L75)+SUMIFS('Istoric_Nativ'!$H$6:$H$405,'Istoric_Nativ'!$B$6:$B$405,E75,'Istoric_Nativ'!$C$6:$C$405,F75,'Istoric_Nativ'!$F$6:$F$405,G75,'Istoric_Nativ'!$D$6:$D$405,"&lt;"&amp;J75,'Istoric_Nativ'!$P$6:$P$405,1,'Istoric_Nativ'!$D$6:$D$405,"&gt;="&amp;L75)))/M75)</x:f>
      </x:c>
      <x:c r="O75" s="11" t="str">
        <x:f>IF(M75=0,"",IF(H75="HOME",SUMIFS('Istoric_Nativ'!$H$6:$H$405,'Istoric_Nativ'!$B$6:$B$405,E75,'Istoric_Nativ'!$C$6:$C$405,F75,'Istoric_Nativ'!$E$6:$E$405,G75,'Istoric_Nativ'!$D$6:$D$405,"&lt;"&amp;J75,'Istoric_Nativ'!$P$6:$P$405,1,'Istoric_Nativ'!$D$6:$D$405,"&gt;="&amp;L75),IF(H75="AWAY",SUMIFS('Istoric_Nativ'!$G$6:$G$405,'Istoric_Nativ'!$B$6:$B$405,E75,'Istoric_Nativ'!$C$6:$C$405,F75,'Istoric_Nativ'!$F$6:$F$405,G75,'Istoric_Nativ'!$D$6:$D$405,"&lt;"&amp;J75,'Istoric_Nativ'!$P$6:$P$405,1,'Istoric_Nativ'!$D$6:$D$405,"&gt;="&amp;L75),SUMIFS('Istoric_Nativ'!$H$6:$H$405,'Istoric_Nativ'!$B$6:$B$405,E75,'Istoric_Nativ'!$C$6:$C$405,F75,'Istoric_Nativ'!$E$6:$E$405,G75,'Istoric_Nativ'!$D$6:$D$405,"&lt;"&amp;J75,'Istoric_Nativ'!$P$6:$P$405,1,'Istoric_Nativ'!$D$6:$D$405,"&gt;="&amp;L75)+SUMIFS('Istoric_Nativ'!$G$6:$G$405,'Istoric_Nativ'!$B$6:$B$405,E75,'Istoric_Nativ'!$C$6:$C$405,F75,'Istoric_Nativ'!$F$6:$F$405,G75,'Istoric_Nativ'!$D$6:$D$405,"&lt;"&amp;J75,'Istoric_Nativ'!$P$6:$P$405,1,'Istoric_Nativ'!$D$6:$D$405,"&gt;="&amp;L75)))/M75)</x:f>
      </x:c>
      <x:c r="P75" s="2" t="n">
        <x:f>'Config_v6'!$B$7</x:f>
        <x:v>10</x:v>
      </x:c>
      <x:c r="Q75" s="2" t="n">
        <x:f>IF(OR(B75="",F75=""),0,IFERROR(MATCH(E75&amp;"|"&amp;F75,SourceTable[Source_Key],0),0))</x:f>
        <x:v>0</x:v>
      </x:c>
      <x:c r="R75" s="2" t="str">
        <x:f>IF(B75="","",IF(F75="","UNUSED",IF(Q75=0,"NOT CHECKED",IF(COUNTIF(SourceTable[Source_Key],E75&amp;"|"&amp;F75)&lt;&gt;1,"SOURCE CONFLICT",IF(NOT(OR(INDEX(SourceTable[Status],MAX(1,Q75))="IMPORTED",INDEX(SourceTable[Status],MAX(1,Q75))="PARTIAL",INDEX(SourceTable[Status],MAX(1,Q75))="SOURCE CONFLICT")),"ACCESS BLOCKED",IF(OR(INDEX(SourceTable[Coverage],Q75)&lt;&gt;"FULL SEASON EXPORT",INDEX(SourceTable[URL],Q75)="",INDEX(SourceTable[SHA256],Q75)=""),"EVIDENCE INCOMPLETE",IF(AND('Input_Meci'!H11="LIVE",INDEX(SourceTable[Retrieved_UTC],Q75)&gt;'Input_Meci'!G11),"POST CUTOFF","CLOSED")))))))</x:f>
      </x:c>
      <x:c r="S75" s="2" t="n">
        <x:f>IF(OR(B75="",F75=""),0,COUNTIFS('Istoric_Nativ'!$B$6:$B$405,E75,'Istoric_Nativ'!$C$6:$C$405,F75,'Istoric_Nativ'!$E$6:$E$405,G75,'Istoric_Nativ'!$D$6:$D$405,"&lt;"&amp;J75,'Istoric_Nativ'!$O$6:$O$405,"INVALID")+COUNTIFS('Istoric_Nativ'!$B$6:$B$405,E75,'Istoric_Nativ'!$C$6:$C$405,F75,'Istoric_Nativ'!$E$6:$E$405,G75,'Istoric_Nativ'!$O$6:$O$405,"INVALID",'Istoric_Nativ'!$D$6:$D$405,"*")+COUNTIFS('Istoric_Nativ'!$B$6:$B$405,E75,'Istoric_Nativ'!$C$6:$C$405,F75,'Istoric_Nativ'!$E$6:$E$405,G75,'Istoric_Nativ'!$D$6:$D$405,"&lt;"&amp;J75,'Istoric_Nativ'!$O$6:$O$405,"SOURCE CONFLICT")+COUNTIFS('Istoric_Nativ'!$B$6:$B$405,E75,'Istoric_Nativ'!$C$6:$C$405,F75,'Istoric_Nativ'!$F$6:$F$405,G75,'Istoric_Nativ'!$D$6:$D$405,"&lt;"&amp;J75,'Istoric_Nativ'!$O$6:$O$405,"INVALID")+COUNTIFS('Istoric_Nativ'!$B$6:$B$405,E75,'Istoric_Nativ'!$C$6:$C$405,F75,'Istoric_Nativ'!$F$6:$F$405,G75,'Istoric_Nativ'!$O$6:$O$405,"INVALID",'Istoric_Nativ'!$D$6:$D$405,"*")+COUNTIFS('Istoric_Nativ'!$B$6:$B$405,E75,'Istoric_Nativ'!$C$6:$C$405,F75,'Istoric_Nativ'!$F$6:$F$405,G75,'Istoric_Nativ'!$D$6:$D$405,"&lt;"&amp;J75,'Istoric_Nativ'!$O$6:$O$405,"SOURCE CONFLICT"))</x:f>
        <x:v>0</x:v>
      </x:c>
      <x:c r="T75" s="2" t="str">
        <x:f>IF(B75="","",IF(R75&lt;&gt;"CLOSED",R75,IF(S75&gt;0,"NATIVE INPUT ISSUE",IF(M75=0,"NO HISTORY",IF(M75&lt;P75,"SMALL SAMPLE","DERIVED")))))</x:f>
      </x:c>
      <x:c r="U75" s="2" t="str">
        <x:f>IF(B75="","","NativeTable; "&amp;E75&amp;"; "&amp;F75&amp;"; "&amp;G75&amp;"; "&amp;H75&amp;"; before "&amp;TEXT(J75,"yyyy-mm-dd")&amp;IF(I75="RECENT","; from "&amp;TEXT(L75,"yyyy-mm-dd"),""))</x:f>
      </x:c>
    </x:row>
    <x:row r="76" ht="21" customHeight="1">
      <x:c r="A76" s="2" t="n">
        <x:v>6</x:v>
      </x:c>
      <x:c r="B76" s="2" t="str">
        <x:f>IF('Input_Meci'!A11="","",'Input_Meci'!A11)</x:f>
      </x:c>
      <x:c r="C76" s="2" t="str">
        <x:v>A</x:v>
      </x:c>
      <x:c r="D76" s="2" t="str">
        <x:v>PRIOR</x:v>
      </x:c>
      <x:c r="E76" s="2" t="str">
        <x:f>IF(B76="","",'Input_Meci'!B11)</x:f>
      </x:c>
      <x:c r="F76" s="2" t="str">
        <x:f>IF(B76="","",IF('Input_Meci'!K11="","",'Input_Meci'!K11))</x:f>
      </x:c>
      <x:c r="G76" s="2" t="str">
        <x:f>IF(B76="","",'Input_Meci'!E11)</x:f>
      </x:c>
      <x:c r="H76" s="2" t="str">
        <x:v>AWAY</x:v>
      </x:c>
      <x:c r="I76" s="2" t="str">
        <x:v>HA</x:v>
      </x:c>
      <x:c r="J76" s="9" t="n">
        <x:f>IF(AND(B76&lt;&gt;"",ISNUMBER('Input_Meci'!G11)),INT('Input_Meci'!G11),0)</x:f>
        <x:v>0</x:v>
      </x:c>
      <x:c r="K76" s="2" t="n">
        <x:f>IF(OR(B76="",F76=""),0,IF(H76="HOME",COUNTIFS('Istoric_Nativ'!$B$6:$B$405,E76,'Istoric_Nativ'!$C$6:$C$405,F76,'Istoric_Nativ'!$E$6:$E$405,G76,'Istoric_Nativ'!$D$6:$D$405,"&lt;"&amp;J76,'Istoric_Nativ'!$P$6:$P$405,1),IF(H76="AWAY",COUNTIFS('Istoric_Nativ'!$B$6:$B$405,E76,'Istoric_Nativ'!$C$6:$C$405,F76,'Istoric_Nativ'!$F$6:$F$405,G76,'Istoric_Nativ'!$D$6:$D$405,"&lt;"&amp;J76,'Istoric_Nativ'!$P$6:$P$405,1),COUNTIFS('Istoric_Nativ'!$B$6:$B$405,E76,'Istoric_Nativ'!$C$6:$C$405,F76,'Istoric_Nativ'!$E$6:$E$405,G76,'Istoric_Nativ'!$D$6:$D$405,"&lt;"&amp;J76,'Istoric_Nativ'!$P$6:$P$405,1)+COUNTIFS('Istoric_Nativ'!$B$6:$B$405,E76,'Istoric_Nativ'!$C$6:$C$405,F76,'Istoric_Nativ'!$F$6:$F$405,G76,'Istoric_Nativ'!$D$6:$D$405,"&lt;"&amp;J76,'Istoric_Nativ'!$P$6:$P$405,1))))</x:f>
        <x:v>0</x:v>
      </x:c>
      <x:c r="L76" s="17" t="n">
        <x:f>IF(AND(B76&lt;&gt;"",I76="RECENT",K76&gt;0),LARGE(_xlfn._xlws.FILTER('Istoric_Nativ'!$D$6:$D$405,('Istoric_Nativ'!$B$6:$B$405=E76)*('Istoric_Nativ'!$C$6:$C$405=F76)*('Istoric_Nativ'!$P$6:$P$405=1)*('Istoric_Nativ'!$D$6:$D$405&lt;J76)*((('Istoric_Nativ'!$E$6:$E$405=G76)+('Istoric_Nativ'!$F$6:$F$405=G76))&gt;0)),MIN('Config_v6'!$B$54,K76)),0)</x:f>
        <x:v>0</x:v>
      </x:c>
      <x:c r="M76" s="2" t="n">
        <x:f>IF(OR(B76="",F76=""),0,IF(H76="HOME",COUNTIFS('Istoric_Nativ'!$B$6:$B$405,E76,'Istoric_Nativ'!$C$6:$C$405,F76,'Istoric_Nativ'!$E$6:$E$405,G76,'Istoric_Nativ'!$D$6:$D$405,"&lt;"&amp;J76,'Istoric_Nativ'!$P$6:$P$405,1,'Istoric_Nativ'!$D$6:$D$405,"&gt;="&amp;L76),IF(H76="AWAY",COUNTIFS('Istoric_Nativ'!$B$6:$B$405,E76,'Istoric_Nativ'!$C$6:$C$405,F76,'Istoric_Nativ'!$F$6:$F$405,G76,'Istoric_Nativ'!$D$6:$D$405,"&lt;"&amp;J76,'Istoric_Nativ'!$P$6:$P$405,1,'Istoric_Nativ'!$D$6:$D$405,"&gt;="&amp;L76),COUNTIFS('Istoric_Nativ'!$B$6:$B$405,E76,'Istoric_Nativ'!$C$6:$C$405,F76,'Istoric_Nativ'!$E$6:$E$405,G76,'Istoric_Nativ'!$D$6:$D$405,"&lt;"&amp;J76,'Istoric_Nativ'!$P$6:$P$405,1,'Istoric_Nativ'!$D$6:$D$405,"&gt;="&amp;L76)+COUNTIFS('Istoric_Nativ'!$B$6:$B$405,E76,'Istoric_Nativ'!$C$6:$C$405,F76,'Istoric_Nativ'!$F$6:$F$405,G76,'Istoric_Nativ'!$D$6:$D$405,"&lt;"&amp;J76,'Istoric_Nativ'!$P$6:$P$405,1,'Istoric_Nativ'!$D$6:$D$405,"&gt;="&amp;L76))))</x:f>
        <x:v>0</x:v>
      </x:c>
      <x:c r="N76" s="11" t="str">
        <x:f>IF(M76=0,"",IF(H76="HOME",SUMIFS('Istoric_Nativ'!$G$6:$G$405,'Istoric_Nativ'!$B$6:$B$405,E76,'Istoric_Nativ'!$C$6:$C$405,F76,'Istoric_Nativ'!$E$6:$E$405,G76,'Istoric_Nativ'!$D$6:$D$405,"&lt;"&amp;J76,'Istoric_Nativ'!$P$6:$P$405,1,'Istoric_Nativ'!$D$6:$D$405,"&gt;="&amp;L76),IF(H76="AWAY",SUMIFS('Istoric_Nativ'!$H$6:$H$405,'Istoric_Nativ'!$B$6:$B$405,E76,'Istoric_Nativ'!$C$6:$C$405,F76,'Istoric_Nativ'!$F$6:$F$405,G76,'Istoric_Nativ'!$D$6:$D$405,"&lt;"&amp;J76,'Istoric_Nativ'!$P$6:$P$405,1,'Istoric_Nativ'!$D$6:$D$405,"&gt;="&amp;L76),SUMIFS('Istoric_Nativ'!$G$6:$G$405,'Istoric_Nativ'!$B$6:$B$405,E76,'Istoric_Nativ'!$C$6:$C$405,F76,'Istoric_Nativ'!$E$6:$E$405,G76,'Istoric_Nativ'!$D$6:$D$405,"&lt;"&amp;J76,'Istoric_Nativ'!$P$6:$P$405,1,'Istoric_Nativ'!$D$6:$D$405,"&gt;="&amp;L76)+SUMIFS('Istoric_Nativ'!$H$6:$H$405,'Istoric_Nativ'!$B$6:$B$405,E76,'Istoric_Nativ'!$C$6:$C$405,F76,'Istoric_Nativ'!$F$6:$F$405,G76,'Istoric_Nativ'!$D$6:$D$405,"&lt;"&amp;J76,'Istoric_Nativ'!$P$6:$P$405,1,'Istoric_Nativ'!$D$6:$D$405,"&gt;="&amp;L76)))/M76)</x:f>
      </x:c>
      <x:c r="O76" s="11" t="str">
        <x:f>IF(M76=0,"",IF(H76="HOME",SUMIFS('Istoric_Nativ'!$H$6:$H$405,'Istoric_Nativ'!$B$6:$B$405,E76,'Istoric_Nativ'!$C$6:$C$405,F76,'Istoric_Nativ'!$E$6:$E$405,G76,'Istoric_Nativ'!$D$6:$D$405,"&lt;"&amp;J76,'Istoric_Nativ'!$P$6:$P$405,1,'Istoric_Nativ'!$D$6:$D$405,"&gt;="&amp;L76),IF(H76="AWAY",SUMIFS('Istoric_Nativ'!$G$6:$G$405,'Istoric_Nativ'!$B$6:$B$405,E76,'Istoric_Nativ'!$C$6:$C$405,F76,'Istoric_Nativ'!$F$6:$F$405,G76,'Istoric_Nativ'!$D$6:$D$405,"&lt;"&amp;J76,'Istoric_Nativ'!$P$6:$P$405,1,'Istoric_Nativ'!$D$6:$D$405,"&gt;="&amp;L76),SUMIFS('Istoric_Nativ'!$H$6:$H$405,'Istoric_Nativ'!$B$6:$B$405,E76,'Istoric_Nativ'!$C$6:$C$405,F76,'Istoric_Nativ'!$E$6:$E$405,G76,'Istoric_Nativ'!$D$6:$D$405,"&lt;"&amp;J76,'Istoric_Nativ'!$P$6:$P$405,1,'Istoric_Nativ'!$D$6:$D$405,"&gt;="&amp;L76)+SUMIFS('Istoric_Nativ'!$G$6:$G$405,'Istoric_Nativ'!$B$6:$B$405,E76,'Istoric_Nativ'!$C$6:$C$405,F76,'Istoric_Nativ'!$F$6:$F$405,G76,'Istoric_Nativ'!$D$6:$D$405,"&lt;"&amp;J76,'Istoric_Nativ'!$P$6:$P$405,1,'Istoric_Nativ'!$D$6:$D$405,"&gt;="&amp;L76)))/M76)</x:f>
      </x:c>
      <x:c r="P76" s="2" t="n">
        <x:f>'Config_v6'!$B$8</x:f>
        <x:v>5</x:v>
      </x:c>
      <x:c r="Q76" s="2" t="n">
        <x:f>IF(OR(B76="",F76=""),0,IFERROR(MATCH(E76&amp;"|"&amp;F76,SourceTable[Source_Key],0),0))</x:f>
        <x:v>0</x:v>
      </x:c>
      <x:c r="R76" s="2" t="str">
        <x:f>IF(B76="","",IF(F76="","UNUSED",IF(Q76=0,"NOT CHECKED",IF(COUNTIF(SourceTable[Source_Key],E76&amp;"|"&amp;F76)&lt;&gt;1,"SOURCE CONFLICT",IF(NOT(OR(INDEX(SourceTable[Status],MAX(1,Q76))="IMPORTED",INDEX(SourceTable[Status],MAX(1,Q76))="PARTIAL",INDEX(SourceTable[Status],MAX(1,Q76))="SOURCE CONFLICT")),"ACCESS BLOCKED",IF(OR(INDEX(SourceTable[Coverage],Q76)&lt;&gt;"FULL SEASON EXPORT",INDEX(SourceTable[URL],Q76)="",INDEX(SourceTable[SHA256],Q76)=""),"EVIDENCE INCOMPLETE",IF(AND('Input_Meci'!H11="LIVE",INDEX(SourceTable[Retrieved_UTC],Q76)&gt;'Input_Meci'!G11),"POST CUTOFF","CLOSED")))))))</x:f>
      </x:c>
      <x:c r="S76" s="2" t="n">
        <x:f>IF(OR(B76="",F76=""),0,COUNTIFS('Istoric_Nativ'!$B$6:$B$405,E76,'Istoric_Nativ'!$C$6:$C$405,F76,'Istoric_Nativ'!$E$6:$E$405,G76,'Istoric_Nativ'!$D$6:$D$405,"&lt;"&amp;J76,'Istoric_Nativ'!$O$6:$O$405,"INVALID")+COUNTIFS('Istoric_Nativ'!$B$6:$B$405,E76,'Istoric_Nativ'!$C$6:$C$405,F76,'Istoric_Nativ'!$E$6:$E$405,G76,'Istoric_Nativ'!$O$6:$O$405,"INVALID",'Istoric_Nativ'!$D$6:$D$405,"*")+COUNTIFS('Istoric_Nativ'!$B$6:$B$405,E76,'Istoric_Nativ'!$C$6:$C$405,F76,'Istoric_Nativ'!$E$6:$E$405,G76,'Istoric_Nativ'!$D$6:$D$405,"&lt;"&amp;J76,'Istoric_Nativ'!$O$6:$O$405,"SOURCE CONFLICT")+COUNTIFS('Istoric_Nativ'!$B$6:$B$405,E76,'Istoric_Nativ'!$C$6:$C$405,F76,'Istoric_Nativ'!$F$6:$F$405,G76,'Istoric_Nativ'!$D$6:$D$405,"&lt;"&amp;J76,'Istoric_Nativ'!$O$6:$O$405,"INVALID")+COUNTIFS('Istoric_Nativ'!$B$6:$B$405,E76,'Istoric_Nativ'!$C$6:$C$405,F76,'Istoric_Nativ'!$F$6:$F$405,G76,'Istoric_Nativ'!$O$6:$O$405,"INVALID",'Istoric_Nativ'!$D$6:$D$405,"*")+COUNTIFS('Istoric_Nativ'!$B$6:$B$405,E76,'Istoric_Nativ'!$C$6:$C$405,F76,'Istoric_Nativ'!$F$6:$F$405,G76,'Istoric_Nativ'!$D$6:$D$405,"&lt;"&amp;J76,'Istoric_Nativ'!$O$6:$O$405,"SOURCE CONFLICT"))</x:f>
        <x:v>0</x:v>
      </x:c>
      <x:c r="T76" s="2" t="str">
        <x:f>IF(B76="","",IF(R76&lt;&gt;"CLOSED",R76,IF(S76&gt;0,"NATIVE INPUT ISSUE",IF(M76=0,"NO HISTORY",IF(M76&lt;P76,"SMALL SAMPLE","DERIVED")))))</x:f>
      </x:c>
      <x:c r="U76" s="2" t="str">
        <x:f>IF(B76="","","NativeTable; "&amp;E76&amp;"; "&amp;F76&amp;"; "&amp;G76&amp;"; "&amp;H76&amp;"; before "&amp;TEXT(J76,"yyyy-mm-dd")&amp;IF(I76="RECENT","; from "&amp;TEXT(L76,"yyyy-mm-dd"),""))</x:f>
      </x:c>
    </x:row>
    <x:row r="77" ht="21" customHeight="1">
      <x:c r="A77" s="2" t="n">
        <x:v>6</x:v>
      </x:c>
      <x:c r="B77" s="2" t="str">
        <x:f>IF('Input_Meci'!A11="","",'Input_Meci'!A11)</x:f>
      </x:c>
      <x:c r="C77" s="2" t="str">
        <x:v>A</x:v>
      </x:c>
      <x:c r="D77" s="2" t="str">
        <x:v>PRIOR</x:v>
      </x:c>
      <x:c r="E77" s="2" t="str">
        <x:f>IF(B77="","",'Input_Meci'!B11)</x:f>
      </x:c>
      <x:c r="F77" s="2" t="str">
        <x:f>IF(B77="","",IF('Input_Meci'!K11="","",'Input_Meci'!K11))</x:f>
      </x:c>
      <x:c r="G77" s="2" t="str">
        <x:f>IF(B77="","",'Input_Meci'!E11)</x:f>
      </x:c>
      <x:c r="H77" s="2" t="str">
        <x:v>ANY</x:v>
      </x:c>
      <x:c r="I77" s="2" t="str">
        <x:v>RECENT</x:v>
      </x:c>
      <x:c r="J77" s="9" t="n">
        <x:f>IF(AND(B77&lt;&gt;"",ISNUMBER('Input_Meci'!G11)),INT('Input_Meci'!G11),0)</x:f>
        <x:v>0</x:v>
      </x:c>
      <x:c r="K77" s="2" t="n">
        <x:f>IF(OR(B77="",F77=""),0,IF(H77="HOME",COUNTIFS('Istoric_Nativ'!$B$6:$B$405,E77,'Istoric_Nativ'!$C$6:$C$405,F77,'Istoric_Nativ'!$E$6:$E$405,G77,'Istoric_Nativ'!$D$6:$D$405,"&lt;"&amp;J77,'Istoric_Nativ'!$P$6:$P$405,1),IF(H77="AWAY",COUNTIFS('Istoric_Nativ'!$B$6:$B$405,E77,'Istoric_Nativ'!$C$6:$C$405,F77,'Istoric_Nativ'!$F$6:$F$405,G77,'Istoric_Nativ'!$D$6:$D$405,"&lt;"&amp;J77,'Istoric_Nativ'!$P$6:$P$405,1),COUNTIFS('Istoric_Nativ'!$B$6:$B$405,E77,'Istoric_Nativ'!$C$6:$C$405,F77,'Istoric_Nativ'!$E$6:$E$405,G77,'Istoric_Nativ'!$D$6:$D$405,"&lt;"&amp;J77,'Istoric_Nativ'!$P$6:$P$405,1)+COUNTIFS('Istoric_Nativ'!$B$6:$B$405,E77,'Istoric_Nativ'!$C$6:$C$405,F77,'Istoric_Nativ'!$F$6:$F$405,G77,'Istoric_Nativ'!$D$6:$D$405,"&lt;"&amp;J77,'Istoric_Nativ'!$P$6:$P$405,1))))</x:f>
        <x:v>0</x:v>
      </x:c>
      <x:c r="L77" s="17" t="n">
        <x:f>IF(AND(B77&lt;&gt;"",I77="RECENT",K77&gt;0),LARGE(_xlfn._xlws.FILTER('Istoric_Nativ'!$D$6:$D$405,('Istoric_Nativ'!$B$6:$B$405=E77)*('Istoric_Nativ'!$C$6:$C$405=F77)*('Istoric_Nativ'!$P$6:$P$405=1)*('Istoric_Nativ'!$D$6:$D$405&lt;J77)*((('Istoric_Nativ'!$E$6:$E$405=G77)+('Istoric_Nativ'!$F$6:$F$405=G77))&gt;0)),MIN('Config_v6'!$B$54,K77)),0)</x:f>
        <x:v>0</x:v>
      </x:c>
      <x:c r="M77" s="2" t="n">
        <x:f>IF(OR(B77="",F77=""),0,IF(H77="HOME",COUNTIFS('Istoric_Nativ'!$B$6:$B$405,E77,'Istoric_Nativ'!$C$6:$C$405,F77,'Istoric_Nativ'!$E$6:$E$405,G77,'Istoric_Nativ'!$D$6:$D$405,"&lt;"&amp;J77,'Istoric_Nativ'!$P$6:$P$405,1,'Istoric_Nativ'!$D$6:$D$405,"&gt;="&amp;L77),IF(H77="AWAY",COUNTIFS('Istoric_Nativ'!$B$6:$B$405,E77,'Istoric_Nativ'!$C$6:$C$405,F77,'Istoric_Nativ'!$F$6:$F$405,G77,'Istoric_Nativ'!$D$6:$D$405,"&lt;"&amp;J77,'Istoric_Nativ'!$P$6:$P$405,1,'Istoric_Nativ'!$D$6:$D$405,"&gt;="&amp;L77),COUNTIFS('Istoric_Nativ'!$B$6:$B$405,E77,'Istoric_Nativ'!$C$6:$C$405,F77,'Istoric_Nativ'!$E$6:$E$405,G77,'Istoric_Nativ'!$D$6:$D$405,"&lt;"&amp;J77,'Istoric_Nativ'!$P$6:$P$405,1,'Istoric_Nativ'!$D$6:$D$405,"&gt;="&amp;L77)+COUNTIFS('Istoric_Nativ'!$B$6:$B$405,E77,'Istoric_Nativ'!$C$6:$C$405,F77,'Istoric_Nativ'!$F$6:$F$405,G77,'Istoric_Nativ'!$D$6:$D$405,"&lt;"&amp;J77,'Istoric_Nativ'!$P$6:$P$405,1,'Istoric_Nativ'!$D$6:$D$405,"&gt;="&amp;L77))))</x:f>
        <x:v>0</x:v>
      </x:c>
      <x:c r="N77" s="11" t="str">
        <x:f>IF(M77=0,"",IF(H77="HOME",SUMIFS('Istoric_Nativ'!$G$6:$G$405,'Istoric_Nativ'!$B$6:$B$405,E77,'Istoric_Nativ'!$C$6:$C$405,F77,'Istoric_Nativ'!$E$6:$E$405,G77,'Istoric_Nativ'!$D$6:$D$405,"&lt;"&amp;J77,'Istoric_Nativ'!$P$6:$P$405,1,'Istoric_Nativ'!$D$6:$D$405,"&gt;="&amp;L77),IF(H77="AWAY",SUMIFS('Istoric_Nativ'!$H$6:$H$405,'Istoric_Nativ'!$B$6:$B$405,E77,'Istoric_Nativ'!$C$6:$C$405,F77,'Istoric_Nativ'!$F$6:$F$405,G77,'Istoric_Nativ'!$D$6:$D$405,"&lt;"&amp;J77,'Istoric_Nativ'!$P$6:$P$405,1,'Istoric_Nativ'!$D$6:$D$405,"&gt;="&amp;L77),SUMIFS('Istoric_Nativ'!$G$6:$G$405,'Istoric_Nativ'!$B$6:$B$405,E77,'Istoric_Nativ'!$C$6:$C$405,F77,'Istoric_Nativ'!$E$6:$E$405,G77,'Istoric_Nativ'!$D$6:$D$405,"&lt;"&amp;J77,'Istoric_Nativ'!$P$6:$P$405,1,'Istoric_Nativ'!$D$6:$D$405,"&gt;="&amp;L77)+SUMIFS('Istoric_Nativ'!$H$6:$H$405,'Istoric_Nativ'!$B$6:$B$405,E77,'Istoric_Nativ'!$C$6:$C$405,F77,'Istoric_Nativ'!$F$6:$F$405,G77,'Istoric_Nativ'!$D$6:$D$405,"&lt;"&amp;J77,'Istoric_Nativ'!$P$6:$P$405,1,'Istoric_Nativ'!$D$6:$D$405,"&gt;="&amp;L77)))/M77)</x:f>
      </x:c>
      <x:c r="O77" s="11" t="str">
        <x:f>IF(M77=0,"",IF(H77="HOME",SUMIFS('Istoric_Nativ'!$H$6:$H$405,'Istoric_Nativ'!$B$6:$B$405,E77,'Istoric_Nativ'!$C$6:$C$405,F77,'Istoric_Nativ'!$E$6:$E$405,G77,'Istoric_Nativ'!$D$6:$D$405,"&lt;"&amp;J77,'Istoric_Nativ'!$P$6:$P$405,1,'Istoric_Nativ'!$D$6:$D$405,"&gt;="&amp;L77),IF(H77="AWAY",SUMIFS('Istoric_Nativ'!$G$6:$G$405,'Istoric_Nativ'!$B$6:$B$405,E77,'Istoric_Nativ'!$C$6:$C$405,F77,'Istoric_Nativ'!$F$6:$F$405,G77,'Istoric_Nativ'!$D$6:$D$405,"&lt;"&amp;J77,'Istoric_Nativ'!$P$6:$P$405,1,'Istoric_Nativ'!$D$6:$D$405,"&gt;="&amp;L77),SUMIFS('Istoric_Nativ'!$H$6:$H$405,'Istoric_Nativ'!$B$6:$B$405,E77,'Istoric_Nativ'!$C$6:$C$405,F77,'Istoric_Nativ'!$E$6:$E$405,G77,'Istoric_Nativ'!$D$6:$D$405,"&lt;"&amp;J77,'Istoric_Nativ'!$P$6:$P$405,1,'Istoric_Nativ'!$D$6:$D$405,"&gt;="&amp;L77)+SUMIFS('Istoric_Nativ'!$G$6:$G$405,'Istoric_Nativ'!$B$6:$B$405,E77,'Istoric_Nativ'!$C$6:$C$405,F77,'Istoric_Nativ'!$F$6:$F$405,G77,'Istoric_Nativ'!$D$6:$D$405,"&lt;"&amp;J77,'Istoric_Nativ'!$P$6:$P$405,1,'Istoric_Nativ'!$D$6:$D$405,"&gt;="&amp;L77)))/M77)</x:f>
      </x:c>
      <x:c r="P77" s="2" t="n">
        <x:f>'Config_v6'!$B$9</x:f>
        <x:v>3</x:v>
      </x:c>
      <x:c r="Q77" s="2" t="n">
        <x:f>IF(OR(B77="",F77=""),0,IFERROR(MATCH(E77&amp;"|"&amp;F77,SourceTable[Source_Key],0),0))</x:f>
        <x:v>0</x:v>
      </x:c>
      <x:c r="R77" s="2" t="str">
        <x:f>IF(B77="","",IF(F77="","UNUSED",IF(Q77=0,"NOT CHECKED",IF(COUNTIF(SourceTable[Source_Key],E77&amp;"|"&amp;F77)&lt;&gt;1,"SOURCE CONFLICT",IF(NOT(OR(INDEX(SourceTable[Status],MAX(1,Q77))="IMPORTED",INDEX(SourceTable[Status],MAX(1,Q77))="PARTIAL",INDEX(SourceTable[Status],MAX(1,Q77))="SOURCE CONFLICT")),"ACCESS BLOCKED",IF(OR(INDEX(SourceTable[Coverage],Q77)&lt;&gt;"FULL SEASON EXPORT",INDEX(SourceTable[URL],Q77)="",INDEX(SourceTable[SHA256],Q77)=""),"EVIDENCE INCOMPLETE",IF(AND('Input_Meci'!H11="LIVE",INDEX(SourceTable[Retrieved_UTC],Q77)&gt;'Input_Meci'!G11),"POST CUTOFF","CLOSED")))))))</x:f>
      </x:c>
      <x:c r="S77" s="2" t="n">
        <x:f>IF(OR(B77="",F77=""),0,COUNTIFS('Istoric_Nativ'!$B$6:$B$405,E77,'Istoric_Nativ'!$C$6:$C$405,F77,'Istoric_Nativ'!$E$6:$E$405,G77,'Istoric_Nativ'!$D$6:$D$405,"&lt;"&amp;J77,'Istoric_Nativ'!$O$6:$O$405,"INVALID")+COUNTIFS('Istoric_Nativ'!$B$6:$B$405,E77,'Istoric_Nativ'!$C$6:$C$405,F77,'Istoric_Nativ'!$E$6:$E$405,G77,'Istoric_Nativ'!$O$6:$O$405,"INVALID",'Istoric_Nativ'!$D$6:$D$405,"*")+COUNTIFS('Istoric_Nativ'!$B$6:$B$405,E77,'Istoric_Nativ'!$C$6:$C$405,F77,'Istoric_Nativ'!$E$6:$E$405,G77,'Istoric_Nativ'!$D$6:$D$405,"&lt;"&amp;J77,'Istoric_Nativ'!$O$6:$O$405,"SOURCE CONFLICT")+COUNTIFS('Istoric_Nativ'!$B$6:$B$405,E77,'Istoric_Nativ'!$C$6:$C$405,F77,'Istoric_Nativ'!$F$6:$F$405,G77,'Istoric_Nativ'!$D$6:$D$405,"&lt;"&amp;J77,'Istoric_Nativ'!$O$6:$O$405,"INVALID")+COUNTIFS('Istoric_Nativ'!$B$6:$B$405,E77,'Istoric_Nativ'!$C$6:$C$405,F77,'Istoric_Nativ'!$F$6:$F$405,G77,'Istoric_Nativ'!$O$6:$O$405,"INVALID",'Istoric_Nativ'!$D$6:$D$405,"*")+COUNTIFS('Istoric_Nativ'!$B$6:$B$405,E77,'Istoric_Nativ'!$C$6:$C$405,F77,'Istoric_Nativ'!$F$6:$F$405,G77,'Istoric_Nativ'!$D$6:$D$405,"&lt;"&amp;J77,'Istoric_Nativ'!$O$6:$O$405,"SOURCE CONFLICT"))</x:f>
        <x:v>0</x:v>
      </x:c>
      <x:c r="T77" s="2" t="str">
        <x:f>IF(B77="","",IF(R77&lt;&gt;"CLOSED",R77,IF(S77&gt;0,"NATIVE INPUT ISSUE",IF(M77=0,"NO HISTORY",IF(M77&lt;P77,"SMALL SAMPLE","DERIVED")))))</x:f>
      </x:c>
      <x:c r="U77" s="2" t="str">
        <x:f>IF(B77="","","NativeTable; "&amp;E77&amp;"; "&amp;F77&amp;"; "&amp;G77&amp;"; "&amp;H77&amp;"; before "&amp;TEXT(J77,"yyyy-mm-dd")&amp;IF(I77="RECENT","; from "&amp;TEXT(L77,"yyyy-mm-dd"),""))</x:f>
      </x:c>
    </x:row>
    <x:row r="78" ht="21" customHeight="1">
      <x:c r="A78" s="2" t="n">
        <x:v>7</x:v>
      </x:c>
      <x:c r="B78" s="2" t="str">
        <x:f>IF('Input_Meci'!A12="","",'Input_Meci'!A12)</x:f>
      </x:c>
      <x:c r="C78" s="2" t="str">
        <x:v>H</x:v>
      </x:c>
      <x:c r="D78" s="2" t="str">
        <x:v>CURRENT</x:v>
      </x:c>
      <x:c r="E78" s="2" t="str">
        <x:f>IF(B78="","",'Input_Meci'!B12)</x:f>
      </x:c>
      <x:c r="F78" s="2" t="str">
        <x:f>IF(B78="","",IF('Input_Meci'!C12="","",'Input_Meci'!C12))</x:f>
      </x:c>
      <x:c r="G78" s="2" t="str">
        <x:f>IF(B78="","",'Input_Meci'!D12)</x:f>
      </x:c>
      <x:c r="H78" s="2" t="str">
        <x:v>ANY</x:v>
      </x:c>
      <x:c r="I78" s="2" t="str">
        <x:v>SEASON</x:v>
      </x:c>
      <x:c r="J78" s="9" t="n">
        <x:f>IF(AND(B78&lt;&gt;"",ISNUMBER('Input_Meci'!G12)),INT('Input_Meci'!G12),0)</x:f>
        <x:v>0</x:v>
      </x:c>
      <x:c r="K78" s="2" t="n">
        <x:f>IF(OR(B78="",F78=""),0,IF(H78="HOME",COUNTIFS('Istoric_Nativ'!$B$6:$B$405,E78,'Istoric_Nativ'!$C$6:$C$405,F78,'Istoric_Nativ'!$E$6:$E$405,G78,'Istoric_Nativ'!$D$6:$D$405,"&lt;"&amp;J78,'Istoric_Nativ'!$P$6:$P$405,1),IF(H78="AWAY",COUNTIFS('Istoric_Nativ'!$B$6:$B$405,E78,'Istoric_Nativ'!$C$6:$C$405,F78,'Istoric_Nativ'!$F$6:$F$405,G78,'Istoric_Nativ'!$D$6:$D$405,"&lt;"&amp;J78,'Istoric_Nativ'!$P$6:$P$405,1),COUNTIFS('Istoric_Nativ'!$B$6:$B$405,E78,'Istoric_Nativ'!$C$6:$C$405,F78,'Istoric_Nativ'!$E$6:$E$405,G78,'Istoric_Nativ'!$D$6:$D$405,"&lt;"&amp;J78,'Istoric_Nativ'!$P$6:$P$405,1)+COUNTIFS('Istoric_Nativ'!$B$6:$B$405,E78,'Istoric_Nativ'!$C$6:$C$405,F78,'Istoric_Nativ'!$F$6:$F$405,G78,'Istoric_Nativ'!$D$6:$D$405,"&lt;"&amp;J78,'Istoric_Nativ'!$P$6:$P$405,1))))</x:f>
        <x:v>0</x:v>
      </x:c>
      <x:c r="L78" s="17" t="n">
        <x:f>IF(AND(B78&lt;&gt;"",I78="RECENT",K78&gt;0),LARGE(_xlfn._xlws.FILTER('Istoric_Nativ'!$D$6:$D$405,('Istoric_Nativ'!$B$6:$B$405=E78)*('Istoric_Nativ'!$C$6:$C$405=F78)*('Istoric_Nativ'!$P$6:$P$405=1)*('Istoric_Nativ'!$D$6:$D$405&lt;J78)*((('Istoric_Nativ'!$E$6:$E$405=G78)+('Istoric_Nativ'!$F$6:$F$405=G78))&gt;0)),MIN('Config_v6'!$B$54,K78)),0)</x:f>
        <x:v>0</x:v>
      </x:c>
      <x:c r="M78" s="2" t="n">
        <x:f>IF(OR(B78="",F78=""),0,IF(H78="HOME",COUNTIFS('Istoric_Nativ'!$B$6:$B$405,E78,'Istoric_Nativ'!$C$6:$C$405,F78,'Istoric_Nativ'!$E$6:$E$405,G78,'Istoric_Nativ'!$D$6:$D$405,"&lt;"&amp;J78,'Istoric_Nativ'!$P$6:$P$405,1,'Istoric_Nativ'!$D$6:$D$405,"&gt;="&amp;L78),IF(H78="AWAY",COUNTIFS('Istoric_Nativ'!$B$6:$B$405,E78,'Istoric_Nativ'!$C$6:$C$405,F78,'Istoric_Nativ'!$F$6:$F$405,G78,'Istoric_Nativ'!$D$6:$D$405,"&lt;"&amp;J78,'Istoric_Nativ'!$P$6:$P$405,1,'Istoric_Nativ'!$D$6:$D$405,"&gt;="&amp;L78),COUNTIFS('Istoric_Nativ'!$B$6:$B$405,E78,'Istoric_Nativ'!$C$6:$C$405,F78,'Istoric_Nativ'!$E$6:$E$405,G78,'Istoric_Nativ'!$D$6:$D$405,"&lt;"&amp;J78,'Istoric_Nativ'!$P$6:$P$405,1,'Istoric_Nativ'!$D$6:$D$405,"&gt;="&amp;L78)+COUNTIFS('Istoric_Nativ'!$B$6:$B$405,E78,'Istoric_Nativ'!$C$6:$C$405,F78,'Istoric_Nativ'!$F$6:$F$405,G78,'Istoric_Nativ'!$D$6:$D$405,"&lt;"&amp;J78,'Istoric_Nativ'!$P$6:$P$405,1,'Istoric_Nativ'!$D$6:$D$405,"&gt;="&amp;L78))))</x:f>
        <x:v>0</x:v>
      </x:c>
      <x:c r="N78" s="11" t="str">
        <x:f>IF(M78=0,"",IF(H78="HOME",SUMIFS('Istoric_Nativ'!$G$6:$G$405,'Istoric_Nativ'!$B$6:$B$405,E78,'Istoric_Nativ'!$C$6:$C$405,F78,'Istoric_Nativ'!$E$6:$E$405,G78,'Istoric_Nativ'!$D$6:$D$405,"&lt;"&amp;J78,'Istoric_Nativ'!$P$6:$P$405,1,'Istoric_Nativ'!$D$6:$D$405,"&gt;="&amp;L78),IF(H78="AWAY",SUMIFS('Istoric_Nativ'!$H$6:$H$405,'Istoric_Nativ'!$B$6:$B$405,E78,'Istoric_Nativ'!$C$6:$C$405,F78,'Istoric_Nativ'!$F$6:$F$405,G78,'Istoric_Nativ'!$D$6:$D$405,"&lt;"&amp;J78,'Istoric_Nativ'!$P$6:$P$405,1,'Istoric_Nativ'!$D$6:$D$405,"&gt;="&amp;L78),SUMIFS('Istoric_Nativ'!$G$6:$G$405,'Istoric_Nativ'!$B$6:$B$405,E78,'Istoric_Nativ'!$C$6:$C$405,F78,'Istoric_Nativ'!$E$6:$E$405,G78,'Istoric_Nativ'!$D$6:$D$405,"&lt;"&amp;J78,'Istoric_Nativ'!$P$6:$P$405,1,'Istoric_Nativ'!$D$6:$D$405,"&gt;="&amp;L78)+SUMIFS('Istoric_Nativ'!$H$6:$H$405,'Istoric_Nativ'!$B$6:$B$405,E78,'Istoric_Nativ'!$C$6:$C$405,F78,'Istoric_Nativ'!$F$6:$F$405,G78,'Istoric_Nativ'!$D$6:$D$405,"&lt;"&amp;J78,'Istoric_Nativ'!$P$6:$P$405,1,'Istoric_Nativ'!$D$6:$D$405,"&gt;="&amp;L78)))/M78)</x:f>
      </x:c>
      <x:c r="O78" s="11" t="str">
        <x:f>IF(M78=0,"",IF(H78="HOME",SUMIFS('Istoric_Nativ'!$H$6:$H$405,'Istoric_Nativ'!$B$6:$B$405,E78,'Istoric_Nativ'!$C$6:$C$405,F78,'Istoric_Nativ'!$E$6:$E$405,G78,'Istoric_Nativ'!$D$6:$D$405,"&lt;"&amp;J78,'Istoric_Nativ'!$P$6:$P$405,1,'Istoric_Nativ'!$D$6:$D$405,"&gt;="&amp;L78),IF(H78="AWAY",SUMIFS('Istoric_Nativ'!$G$6:$G$405,'Istoric_Nativ'!$B$6:$B$405,E78,'Istoric_Nativ'!$C$6:$C$405,F78,'Istoric_Nativ'!$F$6:$F$405,G78,'Istoric_Nativ'!$D$6:$D$405,"&lt;"&amp;J78,'Istoric_Nativ'!$P$6:$P$405,1,'Istoric_Nativ'!$D$6:$D$405,"&gt;="&amp;L78),SUMIFS('Istoric_Nativ'!$H$6:$H$405,'Istoric_Nativ'!$B$6:$B$405,E78,'Istoric_Nativ'!$C$6:$C$405,F78,'Istoric_Nativ'!$E$6:$E$405,G78,'Istoric_Nativ'!$D$6:$D$405,"&lt;"&amp;J78,'Istoric_Nativ'!$P$6:$P$405,1,'Istoric_Nativ'!$D$6:$D$405,"&gt;="&amp;L78)+SUMIFS('Istoric_Nativ'!$G$6:$G$405,'Istoric_Nativ'!$B$6:$B$405,E78,'Istoric_Nativ'!$C$6:$C$405,F78,'Istoric_Nativ'!$F$6:$F$405,G78,'Istoric_Nativ'!$D$6:$D$405,"&lt;"&amp;J78,'Istoric_Nativ'!$P$6:$P$405,1,'Istoric_Nativ'!$D$6:$D$405,"&gt;="&amp;L78)))/M78)</x:f>
      </x:c>
      <x:c r="P78" s="2" t="n">
        <x:f>'Config_v6'!$B$7</x:f>
        <x:v>10</x:v>
      </x:c>
      <x:c r="Q78" s="2" t="n">
        <x:f>IF(OR(B78="",F78=""),0,IFERROR(MATCH(E78&amp;"|"&amp;F78,SourceTable[Source_Key],0),0))</x:f>
        <x:v>0</x:v>
      </x:c>
      <x:c r="R78" s="2" t="str">
        <x:f>IF(B78="","",IF(F78="","UNUSED",IF(Q78=0,"NOT CHECKED",IF(COUNTIF(SourceTable[Source_Key],E78&amp;"|"&amp;F78)&lt;&gt;1,"SOURCE CONFLICT",IF(NOT(OR(INDEX(SourceTable[Status],MAX(1,Q78))="IMPORTED",INDEX(SourceTable[Status],MAX(1,Q78))="PARTIAL",INDEX(SourceTable[Status],MAX(1,Q78))="SOURCE CONFLICT")),"ACCESS BLOCKED",IF(OR(INDEX(SourceTable[Coverage],Q78)&lt;&gt;"FULL SEASON EXPORT",INDEX(SourceTable[URL],Q78)="",INDEX(SourceTable[SHA256],Q78)=""),"EVIDENCE INCOMPLETE",IF(AND('Input_Meci'!H12="LIVE",INDEX(SourceTable[Retrieved_UTC],Q78)&gt;'Input_Meci'!G12),"POST CUTOFF","CLOSED")))))))</x:f>
      </x:c>
      <x:c r="S78" s="2" t="n">
        <x:f>IF(OR(B78="",F78=""),0,COUNTIFS('Istoric_Nativ'!$B$6:$B$405,E78,'Istoric_Nativ'!$C$6:$C$405,F78,'Istoric_Nativ'!$E$6:$E$405,G78,'Istoric_Nativ'!$D$6:$D$405,"&lt;"&amp;J78,'Istoric_Nativ'!$O$6:$O$405,"INVALID")+COUNTIFS('Istoric_Nativ'!$B$6:$B$405,E78,'Istoric_Nativ'!$C$6:$C$405,F78,'Istoric_Nativ'!$E$6:$E$405,G78,'Istoric_Nativ'!$O$6:$O$405,"INVALID",'Istoric_Nativ'!$D$6:$D$405,"*")+COUNTIFS('Istoric_Nativ'!$B$6:$B$405,E78,'Istoric_Nativ'!$C$6:$C$405,F78,'Istoric_Nativ'!$E$6:$E$405,G78,'Istoric_Nativ'!$D$6:$D$405,"&lt;"&amp;J78,'Istoric_Nativ'!$O$6:$O$405,"SOURCE CONFLICT")+COUNTIFS('Istoric_Nativ'!$B$6:$B$405,E78,'Istoric_Nativ'!$C$6:$C$405,F78,'Istoric_Nativ'!$F$6:$F$405,G78,'Istoric_Nativ'!$D$6:$D$405,"&lt;"&amp;J78,'Istoric_Nativ'!$O$6:$O$405,"INVALID")+COUNTIFS('Istoric_Nativ'!$B$6:$B$405,E78,'Istoric_Nativ'!$C$6:$C$405,F78,'Istoric_Nativ'!$F$6:$F$405,G78,'Istoric_Nativ'!$O$6:$O$405,"INVALID",'Istoric_Nativ'!$D$6:$D$405,"*")+COUNTIFS('Istoric_Nativ'!$B$6:$B$405,E78,'Istoric_Nativ'!$C$6:$C$405,F78,'Istoric_Nativ'!$F$6:$F$405,G78,'Istoric_Nativ'!$D$6:$D$405,"&lt;"&amp;J78,'Istoric_Nativ'!$O$6:$O$405,"SOURCE CONFLICT"))</x:f>
        <x:v>0</x:v>
      </x:c>
      <x:c r="T78" s="2" t="str">
        <x:f>IF(B78="","",IF(R78&lt;&gt;"CLOSED",R78,IF(S78&gt;0,"NATIVE INPUT ISSUE",IF(M78=0,"NO HISTORY",IF(M78&lt;P78,"SMALL SAMPLE","DERIVED")))))</x:f>
      </x:c>
      <x:c r="U78" s="2" t="str">
        <x:f>IF(B78="","","NativeTable; "&amp;E78&amp;"; "&amp;F78&amp;"; "&amp;G78&amp;"; "&amp;H78&amp;"; before "&amp;TEXT(J78,"yyyy-mm-dd")&amp;IF(I78="RECENT","; from "&amp;TEXT(L78,"yyyy-mm-dd"),""))</x:f>
      </x:c>
    </x:row>
    <x:row r="79" ht="21" customHeight="1">
      <x:c r="A79" s="2" t="n">
        <x:v>7</x:v>
      </x:c>
      <x:c r="B79" s="2" t="str">
        <x:f>IF('Input_Meci'!A12="","",'Input_Meci'!A12)</x:f>
      </x:c>
      <x:c r="C79" s="2" t="str">
        <x:v>H</x:v>
      </x:c>
      <x:c r="D79" s="2" t="str">
        <x:v>CURRENT</x:v>
      </x:c>
      <x:c r="E79" s="2" t="str">
        <x:f>IF(B79="","",'Input_Meci'!B12)</x:f>
      </x:c>
      <x:c r="F79" s="2" t="str">
        <x:f>IF(B79="","",IF('Input_Meci'!C12="","",'Input_Meci'!C12))</x:f>
      </x:c>
      <x:c r="G79" s="2" t="str">
        <x:f>IF(B79="","",'Input_Meci'!D12)</x:f>
      </x:c>
      <x:c r="H79" s="2" t="str">
        <x:v>HOME</x:v>
      </x:c>
      <x:c r="I79" s="2" t="str">
        <x:v>HA</x:v>
      </x:c>
      <x:c r="J79" s="9" t="n">
        <x:f>IF(AND(B79&lt;&gt;"",ISNUMBER('Input_Meci'!G12)),INT('Input_Meci'!G12),0)</x:f>
        <x:v>0</x:v>
      </x:c>
      <x:c r="K79" s="2" t="n">
        <x:f>IF(OR(B79="",F79=""),0,IF(H79="HOME",COUNTIFS('Istoric_Nativ'!$B$6:$B$405,E79,'Istoric_Nativ'!$C$6:$C$405,F79,'Istoric_Nativ'!$E$6:$E$405,G79,'Istoric_Nativ'!$D$6:$D$405,"&lt;"&amp;J79,'Istoric_Nativ'!$P$6:$P$405,1),IF(H79="AWAY",COUNTIFS('Istoric_Nativ'!$B$6:$B$405,E79,'Istoric_Nativ'!$C$6:$C$405,F79,'Istoric_Nativ'!$F$6:$F$405,G79,'Istoric_Nativ'!$D$6:$D$405,"&lt;"&amp;J79,'Istoric_Nativ'!$P$6:$P$405,1),COUNTIFS('Istoric_Nativ'!$B$6:$B$405,E79,'Istoric_Nativ'!$C$6:$C$405,F79,'Istoric_Nativ'!$E$6:$E$405,G79,'Istoric_Nativ'!$D$6:$D$405,"&lt;"&amp;J79,'Istoric_Nativ'!$P$6:$P$405,1)+COUNTIFS('Istoric_Nativ'!$B$6:$B$405,E79,'Istoric_Nativ'!$C$6:$C$405,F79,'Istoric_Nativ'!$F$6:$F$405,G79,'Istoric_Nativ'!$D$6:$D$405,"&lt;"&amp;J79,'Istoric_Nativ'!$P$6:$P$405,1))))</x:f>
        <x:v>0</x:v>
      </x:c>
      <x:c r="L79" s="17" t="n">
        <x:f>IF(AND(B79&lt;&gt;"",I79="RECENT",K79&gt;0),LARGE(_xlfn._xlws.FILTER('Istoric_Nativ'!$D$6:$D$405,('Istoric_Nativ'!$B$6:$B$405=E79)*('Istoric_Nativ'!$C$6:$C$405=F79)*('Istoric_Nativ'!$P$6:$P$405=1)*('Istoric_Nativ'!$D$6:$D$405&lt;J79)*((('Istoric_Nativ'!$E$6:$E$405=G79)+('Istoric_Nativ'!$F$6:$F$405=G79))&gt;0)),MIN('Config_v6'!$B$54,K79)),0)</x:f>
        <x:v>0</x:v>
      </x:c>
      <x:c r="M79" s="2" t="n">
        <x:f>IF(OR(B79="",F79=""),0,IF(H79="HOME",COUNTIFS('Istoric_Nativ'!$B$6:$B$405,E79,'Istoric_Nativ'!$C$6:$C$405,F79,'Istoric_Nativ'!$E$6:$E$405,G79,'Istoric_Nativ'!$D$6:$D$405,"&lt;"&amp;J79,'Istoric_Nativ'!$P$6:$P$405,1,'Istoric_Nativ'!$D$6:$D$405,"&gt;="&amp;L79),IF(H79="AWAY",COUNTIFS('Istoric_Nativ'!$B$6:$B$405,E79,'Istoric_Nativ'!$C$6:$C$405,F79,'Istoric_Nativ'!$F$6:$F$405,G79,'Istoric_Nativ'!$D$6:$D$405,"&lt;"&amp;J79,'Istoric_Nativ'!$P$6:$P$405,1,'Istoric_Nativ'!$D$6:$D$405,"&gt;="&amp;L79),COUNTIFS('Istoric_Nativ'!$B$6:$B$405,E79,'Istoric_Nativ'!$C$6:$C$405,F79,'Istoric_Nativ'!$E$6:$E$405,G79,'Istoric_Nativ'!$D$6:$D$405,"&lt;"&amp;J79,'Istoric_Nativ'!$P$6:$P$405,1,'Istoric_Nativ'!$D$6:$D$405,"&gt;="&amp;L79)+COUNTIFS('Istoric_Nativ'!$B$6:$B$405,E79,'Istoric_Nativ'!$C$6:$C$405,F79,'Istoric_Nativ'!$F$6:$F$405,G79,'Istoric_Nativ'!$D$6:$D$405,"&lt;"&amp;J79,'Istoric_Nativ'!$P$6:$P$405,1,'Istoric_Nativ'!$D$6:$D$405,"&gt;="&amp;L79))))</x:f>
        <x:v>0</x:v>
      </x:c>
      <x:c r="N79" s="11" t="str">
        <x:f>IF(M79=0,"",IF(H79="HOME",SUMIFS('Istoric_Nativ'!$G$6:$G$405,'Istoric_Nativ'!$B$6:$B$405,E79,'Istoric_Nativ'!$C$6:$C$405,F79,'Istoric_Nativ'!$E$6:$E$405,G79,'Istoric_Nativ'!$D$6:$D$405,"&lt;"&amp;J79,'Istoric_Nativ'!$P$6:$P$405,1,'Istoric_Nativ'!$D$6:$D$405,"&gt;="&amp;L79),IF(H79="AWAY",SUMIFS('Istoric_Nativ'!$H$6:$H$405,'Istoric_Nativ'!$B$6:$B$405,E79,'Istoric_Nativ'!$C$6:$C$405,F79,'Istoric_Nativ'!$F$6:$F$405,G79,'Istoric_Nativ'!$D$6:$D$405,"&lt;"&amp;J79,'Istoric_Nativ'!$P$6:$P$405,1,'Istoric_Nativ'!$D$6:$D$405,"&gt;="&amp;L79),SUMIFS('Istoric_Nativ'!$G$6:$G$405,'Istoric_Nativ'!$B$6:$B$405,E79,'Istoric_Nativ'!$C$6:$C$405,F79,'Istoric_Nativ'!$E$6:$E$405,G79,'Istoric_Nativ'!$D$6:$D$405,"&lt;"&amp;J79,'Istoric_Nativ'!$P$6:$P$405,1,'Istoric_Nativ'!$D$6:$D$405,"&gt;="&amp;L79)+SUMIFS('Istoric_Nativ'!$H$6:$H$405,'Istoric_Nativ'!$B$6:$B$405,E79,'Istoric_Nativ'!$C$6:$C$405,F79,'Istoric_Nativ'!$F$6:$F$405,G79,'Istoric_Nativ'!$D$6:$D$405,"&lt;"&amp;J79,'Istoric_Nativ'!$P$6:$P$405,1,'Istoric_Nativ'!$D$6:$D$405,"&gt;="&amp;L79)))/M79)</x:f>
      </x:c>
      <x:c r="O79" s="11" t="str">
        <x:f>IF(M79=0,"",IF(H79="HOME",SUMIFS('Istoric_Nativ'!$H$6:$H$405,'Istoric_Nativ'!$B$6:$B$405,E79,'Istoric_Nativ'!$C$6:$C$405,F79,'Istoric_Nativ'!$E$6:$E$405,G79,'Istoric_Nativ'!$D$6:$D$405,"&lt;"&amp;J79,'Istoric_Nativ'!$P$6:$P$405,1,'Istoric_Nativ'!$D$6:$D$405,"&gt;="&amp;L79),IF(H79="AWAY",SUMIFS('Istoric_Nativ'!$G$6:$G$405,'Istoric_Nativ'!$B$6:$B$405,E79,'Istoric_Nativ'!$C$6:$C$405,F79,'Istoric_Nativ'!$F$6:$F$405,G79,'Istoric_Nativ'!$D$6:$D$405,"&lt;"&amp;J79,'Istoric_Nativ'!$P$6:$P$405,1,'Istoric_Nativ'!$D$6:$D$405,"&gt;="&amp;L79),SUMIFS('Istoric_Nativ'!$H$6:$H$405,'Istoric_Nativ'!$B$6:$B$405,E79,'Istoric_Nativ'!$C$6:$C$405,F79,'Istoric_Nativ'!$E$6:$E$405,G79,'Istoric_Nativ'!$D$6:$D$405,"&lt;"&amp;J79,'Istoric_Nativ'!$P$6:$P$405,1,'Istoric_Nativ'!$D$6:$D$405,"&gt;="&amp;L79)+SUMIFS('Istoric_Nativ'!$G$6:$G$405,'Istoric_Nativ'!$B$6:$B$405,E79,'Istoric_Nativ'!$C$6:$C$405,F79,'Istoric_Nativ'!$F$6:$F$405,G79,'Istoric_Nativ'!$D$6:$D$405,"&lt;"&amp;J79,'Istoric_Nativ'!$P$6:$P$405,1,'Istoric_Nativ'!$D$6:$D$405,"&gt;="&amp;L79)))/M79)</x:f>
      </x:c>
      <x:c r="P79" s="2" t="n">
        <x:f>'Config_v6'!$B$8</x:f>
        <x:v>5</x:v>
      </x:c>
      <x:c r="Q79" s="2" t="n">
        <x:f>IF(OR(B79="",F79=""),0,IFERROR(MATCH(E79&amp;"|"&amp;F79,SourceTable[Source_Key],0),0))</x:f>
        <x:v>0</x:v>
      </x:c>
      <x:c r="R79" s="2" t="str">
        <x:f>IF(B79="","",IF(F79="","UNUSED",IF(Q79=0,"NOT CHECKED",IF(COUNTIF(SourceTable[Source_Key],E79&amp;"|"&amp;F79)&lt;&gt;1,"SOURCE CONFLICT",IF(NOT(OR(INDEX(SourceTable[Status],MAX(1,Q79))="IMPORTED",INDEX(SourceTable[Status],MAX(1,Q79))="PARTIAL",INDEX(SourceTable[Status],MAX(1,Q79))="SOURCE CONFLICT")),"ACCESS BLOCKED",IF(OR(INDEX(SourceTable[Coverage],Q79)&lt;&gt;"FULL SEASON EXPORT",INDEX(SourceTable[URL],Q79)="",INDEX(SourceTable[SHA256],Q79)=""),"EVIDENCE INCOMPLETE",IF(AND('Input_Meci'!H12="LIVE",INDEX(SourceTable[Retrieved_UTC],Q79)&gt;'Input_Meci'!G12),"POST CUTOFF","CLOSED")))))))</x:f>
      </x:c>
      <x:c r="S79" s="2" t="n">
        <x:f>IF(OR(B79="",F79=""),0,COUNTIFS('Istoric_Nativ'!$B$6:$B$405,E79,'Istoric_Nativ'!$C$6:$C$405,F79,'Istoric_Nativ'!$E$6:$E$405,G79,'Istoric_Nativ'!$D$6:$D$405,"&lt;"&amp;J79,'Istoric_Nativ'!$O$6:$O$405,"INVALID")+COUNTIFS('Istoric_Nativ'!$B$6:$B$405,E79,'Istoric_Nativ'!$C$6:$C$405,F79,'Istoric_Nativ'!$E$6:$E$405,G79,'Istoric_Nativ'!$O$6:$O$405,"INVALID",'Istoric_Nativ'!$D$6:$D$405,"*")+COUNTIFS('Istoric_Nativ'!$B$6:$B$405,E79,'Istoric_Nativ'!$C$6:$C$405,F79,'Istoric_Nativ'!$E$6:$E$405,G79,'Istoric_Nativ'!$D$6:$D$405,"&lt;"&amp;J79,'Istoric_Nativ'!$O$6:$O$405,"SOURCE CONFLICT")+COUNTIFS('Istoric_Nativ'!$B$6:$B$405,E79,'Istoric_Nativ'!$C$6:$C$405,F79,'Istoric_Nativ'!$F$6:$F$405,G79,'Istoric_Nativ'!$D$6:$D$405,"&lt;"&amp;J79,'Istoric_Nativ'!$O$6:$O$405,"INVALID")+COUNTIFS('Istoric_Nativ'!$B$6:$B$405,E79,'Istoric_Nativ'!$C$6:$C$405,F79,'Istoric_Nativ'!$F$6:$F$405,G79,'Istoric_Nativ'!$O$6:$O$405,"INVALID",'Istoric_Nativ'!$D$6:$D$405,"*")+COUNTIFS('Istoric_Nativ'!$B$6:$B$405,E79,'Istoric_Nativ'!$C$6:$C$405,F79,'Istoric_Nativ'!$F$6:$F$405,G79,'Istoric_Nativ'!$D$6:$D$405,"&lt;"&amp;J79,'Istoric_Nativ'!$O$6:$O$405,"SOURCE CONFLICT"))</x:f>
        <x:v>0</x:v>
      </x:c>
      <x:c r="T79" s="2" t="str">
        <x:f>IF(B79="","",IF(R79&lt;&gt;"CLOSED",R79,IF(S79&gt;0,"NATIVE INPUT ISSUE",IF(M79=0,"NO HISTORY",IF(M79&lt;P79,"SMALL SAMPLE","DERIVED")))))</x:f>
      </x:c>
      <x:c r="U79" s="2" t="str">
        <x:f>IF(B79="","","NativeTable; "&amp;E79&amp;"; "&amp;F79&amp;"; "&amp;G79&amp;"; "&amp;H79&amp;"; before "&amp;TEXT(J79,"yyyy-mm-dd")&amp;IF(I79="RECENT","; from "&amp;TEXT(L79,"yyyy-mm-dd"),""))</x:f>
      </x:c>
    </x:row>
    <x:row r="80" ht="21" customHeight="1">
      <x:c r="A80" s="2" t="n">
        <x:v>7</x:v>
      </x:c>
      <x:c r="B80" s="2" t="str">
        <x:f>IF('Input_Meci'!A12="","",'Input_Meci'!A12)</x:f>
      </x:c>
      <x:c r="C80" s="2" t="str">
        <x:v>H</x:v>
      </x:c>
      <x:c r="D80" s="2" t="str">
        <x:v>CURRENT</x:v>
      </x:c>
      <x:c r="E80" s="2" t="str">
        <x:f>IF(B80="","",'Input_Meci'!B12)</x:f>
      </x:c>
      <x:c r="F80" s="2" t="str">
        <x:f>IF(B80="","",IF('Input_Meci'!C12="","",'Input_Meci'!C12))</x:f>
      </x:c>
      <x:c r="G80" s="2" t="str">
        <x:f>IF(B80="","",'Input_Meci'!D12)</x:f>
      </x:c>
      <x:c r="H80" s="2" t="str">
        <x:v>ANY</x:v>
      </x:c>
      <x:c r="I80" s="2" t="str">
        <x:v>RECENT</x:v>
      </x:c>
      <x:c r="J80" s="9" t="n">
        <x:f>IF(AND(B80&lt;&gt;"",ISNUMBER('Input_Meci'!G12)),INT('Input_Meci'!G12),0)</x:f>
        <x:v>0</x:v>
      </x:c>
      <x:c r="K80" s="2" t="n">
        <x:f>IF(OR(B80="",F80=""),0,IF(H80="HOME",COUNTIFS('Istoric_Nativ'!$B$6:$B$405,E80,'Istoric_Nativ'!$C$6:$C$405,F80,'Istoric_Nativ'!$E$6:$E$405,G80,'Istoric_Nativ'!$D$6:$D$405,"&lt;"&amp;J80,'Istoric_Nativ'!$P$6:$P$405,1),IF(H80="AWAY",COUNTIFS('Istoric_Nativ'!$B$6:$B$405,E80,'Istoric_Nativ'!$C$6:$C$405,F80,'Istoric_Nativ'!$F$6:$F$405,G80,'Istoric_Nativ'!$D$6:$D$405,"&lt;"&amp;J80,'Istoric_Nativ'!$P$6:$P$405,1),COUNTIFS('Istoric_Nativ'!$B$6:$B$405,E80,'Istoric_Nativ'!$C$6:$C$405,F80,'Istoric_Nativ'!$E$6:$E$405,G80,'Istoric_Nativ'!$D$6:$D$405,"&lt;"&amp;J80,'Istoric_Nativ'!$P$6:$P$405,1)+COUNTIFS('Istoric_Nativ'!$B$6:$B$405,E80,'Istoric_Nativ'!$C$6:$C$405,F80,'Istoric_Nativ'!$F$6:$F$405,G80,'Istoric_Nativ'!$D$6:$D$405,"&lt;"&amp;J80,'Istoric_Nativ'!$P$6:$P$405,1))))</x:f>
        <x:v>0</x:v>
      </x:c>
      <x:c r="L80" s="17" t="n">
        <x:f>IF(AND(B80&lt;&gt;"",I80="RECENT",K80&gt;0),LARGE(_xlfn._xlws.FILTER('Istoric_Nativ'!$D$6:$D$405,('Istoric_Nativ'!$B$6:$B$405=E80)*('Istoric_Nativ'!$C$6:$C$405=F80)*('Istoric_Nativ'!$P$6:$P$405=1)*('Istoric_Nativ'!$D$6:$D$405&lt;J80)*((('Istoric_Nativ'!$E$6:$E$405=G80)+('Istoric_Nativ'!$F$6:$F$405=G80))&gt;0)),MIN('Config_v6'!$B$54,K80)),0)</x:f>
        <x:v>0</x:v>
      </x:c>
      <x:c r="M80" s="2" t="n">
        <x:f>IF(OR(B80="",F80=""),0,IF(H80="HOME",COUNTIFS('Istoric_Nativ'!$B$6:$B$405,E80,'Istoric_Nativ'!$C$6:$C$405,F80,'Istoric_Nativ'!$E$6:$E$405,G80,'Istoric_Nativ'!$D$6:$D$405,"&lt;"&amp;J80,'Istoric_Nativ'!$P$6:$P$405,1,'Istoric_Nativ'!$D$6:$D$405,"&gt;="&amp;L80),IF(H80="AWAY",COUNTIFS('Istoric_Nativ'!$B$6:$B$405,E80,'Istoric_Nativ'!$C$6:$C$405,F80,'Istoric_Nativ'!$F$6:$F$405,G80,'Istoric_Nativ'!$D$6:$D$405,"&lt;"&amp;J80,'Istoric_Nativ'!$P$6:$P$405,1,'Istoric_Nativ'!$D$6:$D$405,"&gt;="&amp;L80),COUNTIFS('Istoric_Nativ'!$B$6:$B$405,E80,'Istoric_Nativ'!$C$6:$C$405,F80,'Istoric_Nativ'!$E$6:$E$405,G80,'Istoric_Nativ'!$D$6:$D$405,"&lt;"&amp;J80,'Istoric_Nativ'!$P$6:$P$405,1,'Istoric_Nativ'!$D$6:$D$405,"&gt;="&amp;L80)+COUNTIFS('Istoric_Nativ'!$B$6:$B$405,E80,'Istoric_Nativ'!$C$6:$C$405,F80,'Istoric_Nativ'!$F$6:$F$405,G80,'Istoric_Nativ'!$D$6:$D$405,"&lt;"&amp;J80,'Istoric_Nativ'!$P$6:$P$405,1,'Istoric_Nativ'!$D$6:$D$405,"&gt;="&amp;L80))))</x:f>
        <x:v>0</x:v>
      </x:c>
      <x:c r="N80" s="11" t="str">
        <x:f>IF(M80=0,"",IF(H80="HOME",SUMIFS('Istoric_Nativ'!$G$6:$G$405,'Istoric_Nativ'!$B$6:$B$405,E80,'Istoric_Nativ'!$C$6:$C$405,F80,'Istoric_Nativ'!$E$6:$E$405,G80,'Istoric_Nativ'!$D$6:$D$405,"&lt;"&amp;J80,'Istoric_Nativ'!$P$6:$P$405,1,'Istoric_Nativ'!$D$6:$D$405,"&gt;="&amp;L80),IF(H80="AWAY",SUMIFS('Istoric_Nativ'!$H$6:$H$405,'Istoric_Nativ'!$B$6:$B$405,E80,'Istoric_Nativ'!$C$6:$C$405,F80,'Istoric_Nativ'!$F$6:$F$405,G80,'Istoric_Nativ'!$D$6:$D$405,"&lt;"&amp;J80,'Istoric_Nativ'!$P$6:$P$405,1,'Istoric_Nativ'!$D$6:$D$405,"&gt;="&amp;L80),SUMIFS('Istoric_Nativ'!$G$6:$G$405,'Istoric_Nativ'!$B$6:$B$405,E80,'Istoric_Nativ'!$C$6:$C$405,F80,'Istoric_Nativ'!$E$6:$E$405,G80,'Istoric_Nativ'!$D$6:$D$405,"&lt;"&amp;J80,'Istoric_Nativ'!$P$6:$P$405,1,'Istoric_Nativ'!$D$6:$D$405,"&gt;="&amp;L80)+SUMIFS('Istoric_Nativ'!$H$6:$H$405,'Istoric_Nativ'!$B$6:$B$405,E80,'Istoric_Nativ'!$C$6:$C$405,F80,'Istoric_Nativ'!$F$6:$F$405,G80,'Istoric_Nativ'!$D$6:$D$405,"&lt;"&amp;J80,'Istoric_Nativ'!$P$6:$P$405,1,'Istoric_Nativ'!$D$6:$D$405,"&gt;="&amp;L80)))/M80)</x:f>
      </x:c>
      <x:c r="O80" s="11" t="str">
        <x:f>IF(M80=0,"",IF(H80="HOME",SUMIFS('Istoric_Nativ'!$H$6:$H$405,'Istoric_Nativ'!$B$6:$B$405,E80,'Istoric_Nativ'!$C$6:$C$405,F80,'Istoric_Nativ'!$E$6:$E$405,G80,'Istoric_Nativ'!$D$6:$D$405,"&lt;"&amp;J80,'Istoric_Nativ'!$P$6:$P$405,1,'Istoric_Nativ'!$D$6:$D$405,"&gt;="&amp;L80),IF(H80="AWAY",SUMIFS('Istoric_Nativ'!$G$6:$G$405,'Istoric_Nativ'!$B$6:$B$405,E80,'Istoric_Nativ'!$C$6:$C$405,F80,'Istoric_Nativ'!$F$6:$F$405,G80,'Istoric_Nativ'!$D$6:$D$405,"&lt;"&amp;J80,'Istoric_Nativ'!$P$6:$P$405,1,'Istoric_Nativ'!$D$6:$D$405,"&gt;="&amp;L80),SUMIFS('Istoric_Nativ'!$H$6:$H$405,'Istoric_Nativ'!$B$6:$B$405,E80,'Istoric_Nativ'!$C$6:$C$405,F80,'Istoric_Nativ'!$E$6:$E$405,G80,'Istoric_Nativ'!$D$6:$D$405,"&lt;"&amp;J80,'Istoric_Nativ'!$P$6:$P$405,1,'Istoric_Nativ'!$D$6:$D$405,"&gt;="&amp;L80)+SUMIFS('Istoric_Nativ'!$G$6:$G$405,'Istoric_Nativ'!$B$6:$B$405,E80,'Istoric_Nativ'!$C$6:$C$405,F80,'Istoric_Nativ'!$F$6:$F$405,G80,'Istoric_Nativ'!$D$6:$D$405,"&lt;"&amp;J80,'Istoric_Nativ'!$P$6:$P$405,1,'Istoric_Nativ'!$D$6:$D$405,"&gt;="&amp;L80)))/M80)</x:f>
      </x:c>
      <x:c r="P80" s="2" t="n">
        <x:f>'Config_v6'!$B$9</x:f>
        <x:v>3</x:v>
      </x:c>
      <x:c r="Q80" s="2" t="n">
        <x:f>IF(OR(B80="",F80=""),0,IFERROR(MATCH(E80&amp;"|"&amp;F80,SourceTable[Source_Key],0),0))</x:f>
        <x:v>0</x:v>
      </x:c>
      <x:c r="R80" s="2" t="str">
        <x:f>IF(B80="","",IF(F80="","UNUSED",IF(Q80=0,"NOT CHECKED",IF(COUNTIF(SourceTable[Source_Key],E80&amp;"|"&amp;F80)&lt;&gt;1,"SOURCE CONFLICT",IF(NOT(OR(INDEX(SourceTable[Status],MAX(1,Q80))="IMPORTED",INDEX(SourceTable[Status],MAX(1,Q80))="PARTIAL",INDEX(SourceTable[Status],MAX(1,Q80))="SOURCE CONFLICT")),"ACCESS BLOCKED",IF(OR(INDEX(SourceTable[Coverage],Q80)&lt;&gt;"FULL SEASON EXPORT",INDEX(SourceTable[URL],Q80)="",INDEX(SourceTable[SHA256],Q80)=""),"EVIDENCE INCOMPLETE",IF(AND('Input_Meci'!H12="LIVE",INDEX(SourceTable[Retrieved_UTC],Q80)&gt;'Input_Meci'!G12),"POST CUTOFF","CLOSED")))))))</x:f>
      </x:c>
      <x:c r="S80" s="2" t="n">
        <x:f>IF(OR(B80="",F80=""),0,COUNTIFS('Istoric_Nativ'!$B$6:$B$405,E80,'Istoric_Nativ'!$C$6:$C$405,F80,'Istoric_Nativ'!$E$6:$E$405,G80,'Istoric_Nativ'!$D$6:$D$405,"&lt;"&amp;J80,'Istoric_Nativ'!$O$6:$O$405,"INVALID")+COUNTIFS('Istoric_Nativ'!$B$6:$B$405,E80,'Istoric_Nativ'!$C$6:$C$405,F80,'Istoric_Nativ'!$E$6:$E$405,G80,'Istoric_Nativ'!$O$6:$O$405,"INVALID",'Istoric_Nativ'!$D$6:$D$405,"*")+COUNTIFS('Istoric_Nativ'!$B$6:$B$405,E80,'Istoric_Nativ'!$C$6:$C$405,F80,'Istoric_Nativ'!$E$6:$E$405,G80,'Istoric_Nativ'!$D$6:$D$405,"&lt;"&amp;J80,'Istoric_Nativ'!$O$6:$O$405,"SOURCE CONFLICT")+COUNTIFS('Istoric_Nativ'!$B$6:$B$405,E80,'Istoric_Nativ'!$C$6:$C$405,F80,'Istoric_Nativ'!$F$6:$F$405,G80,'Istoric_Nativ'!$D$6:$D$405,"&lt;"&amp;J80,'Istoric_Nativ'!$O$6:$O$405,"INVALID")+COUNTIFS('Istoric_Nativ'!$B$6:$B$405,E80,'Istoric_Nativ'!$C$6:$C$405,F80,'Istoric_Nativ'!$F$6:$F$405,G80,'Istoric_Nativ'!$O$6:$O$405,"INVALID",'Istoric_Nativ'!$D$6:$D$405,"*")+COUNTIFS('Istoric_Nativ'!$B$6:$B$405,E80,'Istoric_Nativ'!$C$6:$C$405,F80,'Istoric_Nativ'!$F$6:$F$405,G80,'Istoric_Nativ'!$D$6:$D$405,"&lt;"&amp;J80,'Istoric_Nativ'!$O$6:$O$405,"SOURCE CONFLICT"))</x:f>
        <x:v>0</x:v>
      </x:c>
      <x:c r="T80" s="2" t="str">
        <x:f>IF(B80="","",IF(R80&lt;&gt;"CLOSED",R80,IF(S80&gt;0,"NATIVE INPUT ISSUE",IF(M80=0,"NO HISTORY",IF(M80&lt;P80,"SMALL SAMPLE","DERIVED")))))</x:f>
      </x:c>
      <x:c r="U80" s="2" t="str">
        <x:f>IF(B80="","","NativeTable; "&amp;E80&amp;"; "&amp;F80&amp;"; "&amp;G80&amp;"; "&amp;H80&amp;"; before "&amp;TEXT(J80,"yyyy-mm-dd")&amp;IF(I80="RECENT","; from "&amp;TEXT(L80,"yyyy-mm-dd"),""))</x:f>
      </x:c>
    </x:row>
    <x:row r="81" ht="21" customHeight="1">
      <x:c r="A81" s="2" t="n">
        <x:v>7</x:v>
      </x:c>
      <x:c r="B81" s="2" t="str">
        <x:f>IF('Input_Meci'!A12="","",'Input_Meci'!A12)</x:f>
      </x:c>
      <x:c r="C81" s="2" t="str">
        <x:v>A</x:v>
      </x:c>
      <x:c r="D81" s="2" t="str">
        <x:v>CURRENT</x:v>
      </x:c>
      <x:c r="E81" s="2" t="str">
        <x:f>IF(B81="","",'Input_Meci'!B12)</x:f>
      </x:c>
      <x:c r="F81" s="2" t="str">
        <x:f>IF(B81="","",IF('Input_Meci'!C12="","",'Input_Meci'!C12))</x:f>
      </x:c>
      <x:c r="G81" s="2" t="str">
        <x:f>IF(B81="","",'Input_Meci'!E12)</x:f>
      </x:c>
      <x:c r="H81" s="2" t="str">
        <x:v>ANY</x:v>
      </x:c>
      <x:c r="I81" s="2" t="str">
        <x:v>SEASON</x:v>
      </x:c>
      <x:c r="J81" s="9" t="n">
        <x:f>IF(AND(B81&lt;&gt;"",ISNUMBER('Input_Meci'!G12)),INT('Input_Meci'!G12),0)</x:f>
        <x:v>0</x:v>
      </x:c>
      <x:c r="K81" s="2" t="n">
        <x:f>IF(OR(B81="",F81=""),0,IF(H81="HOME",COUNTIFS('Istoric_Nativ'!$B$6:$B$405,E81,'Istoric_Nativ'!$C$6:$C$405,F81,'Istoric_Nativ'!$E$6:$E$405,G81,'Istoric_Nativ'!$D$6:$D$405,"&lt;"&amp;J81,'Istoric_Nativ'!$P$6:$P$405,1),IF(H81="AWAY",COUNTIFS('Istoric_Nativ'!$B$6:$B$405,E81,'Istoric_Nativ'!$C$6:$C$405,F81,'Istoric_Nativ'!$F$6:$F$405,G81,'Istoric_Nativ'!$D$6:$D$405,"&lt;"&amp;J81,'Istoric_Nativ'!$P$6:$P$405,1),COUNTIFS('Istoric_Nativ'!$B$6:$B$405,E81,'Istoric_Nativ'!$C$6:$C$405,F81,'Istoric_Nativ'!$E$6:$E$405,G81,'Istoric_Nativ'!$D$6:$D$405,"&lt;"&amp;J81,'Istoric_Nativ'!$P$6:$P$405,1)+COUNTIFS('Istoric_Nativ'!$B$6:$B$405,E81,'Istoric_Nativ'!$C$6:$C$405,F81,'Istoric_Nativ'!$F$6:$F$405,G81,'Istoric_Nativ'!$D$6:$D$405,"&lt;"&amp;J81,'Istoric_Nativ'!$P$6:$P$405,1))))</x:f>
        <x:v>0</x:v>
      </x:c>
      <x:c r="L81" s="17" t="n">
        <x:f>IF(AND(B81&lt;&gt;"",I81="RECENT",K81&gt;0),LARGE(_xlfn._xlws.FILTER('Istoric_Nativ'!$D$6:$D$405,('Istoric_Nativ'!$B$6:$B$405=E81)*('Istoric_Nativ'!$C$6:$C$405=F81)*('Istoric_Nativ'!$P$6:$P$405=1)*('Istoric_Nativ'!$D$6:$D$405&lt;J81)*((('Istoric_Nativ'!$E$6:$E$405=G81)+('Istoric_Nativ'!$F$6:$F$405=G81))&gt;0)),MIN('Config_v6'!$B$54,K81)),0)</x:f>
        <x:v>0</x:v>
      </x:c>
      <x:c r="M81" s="2" t="n">
        <x:f>IF(OR(B81="",F81=""),0,IF(H81="HOME",COUNTIFS('Istoric_Nativ'!$B$6:$B$405,E81,'Istoric_Nativ'!$C$6:$C$405,F81,'Istoric_Nativ'!$E$6:$E$405,G81,'Istoric_Nativ'!$D$6:$D$405,"&lt;"&amp;J81,'Istoric_Nativ'!$P$6:$P$405,1,'Istoric_Nativ'!$D$6:$D$405,"&gt;="&amp;L81),IF(H81="AWAY",COUNTIFS('Istoric_Nativ'!$B$6:$B$405,E81,'Istoric_Nativ'!$C$6:$C$405,F81,'Istoric_Nativ'!$F$6:$F$405,G81,'Istoric_Nativ'!$D$6:$D$405,"&lt;"&amp;J81,'Istoric_Nativ'!$P$6:$P$405,1,'Istoric_Nativ'!$D$6:$D$405,"&gt;="&amp;L81),COUNTIFS('Istoric_Nativ'!$B$6:$B$405,E81,'Istoric_Nativ'!$C$6:$C$405,F81,'Istoric_Nativ'!$E$6:$E$405,G81,'Istoric_Nativ'!$D$6:$D$405,"&lt;"&amp;J81,'Istoric_Nativ'!$P$6:$P$405,1,'Istoric_Nativ'!$D$6:$D$405,"&gt;="&amp;L81)+COUNTIFS('Istoric_Nativ'!$B$6:$B$405,E81,'Istoric_Nativ'!$C$6:$C$405,F81,'Istoric_Nativ'!$F$6:$F$405,G81,'Istoric_Nativ'!$D$6:$D$405,"&lt;"&amp;J81,'Istoric_Nativ'!$P$6:$P$405,1,'Istoric_Nativ'!$D$6:$D$405,"&gt;="&amp;L81))))</x:f>
        <x:v>0</x:v>
      </x:c>
      <x:c r="N81" s="11" t="str">
        <x:f>IF(M81=0,"",IF(H81="HOME",SUMIFS('Istoric_Nativ'!$G$6:$G$405,'Istoric_Nativ'!$B$6:$B$405,E81,'Istoric_Nativ'!$C$6:$C$405,F81,'Istoric_Nativ'!$E$6:$E$405,G81,'Istoric_Nativ'!$D$6:$D$405,"&lt;"&amp;J81,'Istoric_Nativ'!$P$6:$P$405,1,'Istoric_Nativ'!$D$6:$D$405,"&gt;="&amp;L81),IF(H81="AWAY",SUMIFS('Istoric_Nativ'!$H$6:$H$405,'Istoric_Nativ'!$B$6:$B$405,E81,'Istoric_Nativ'!$C$6:$C$405,F81,'Istoric_Nativ'!$F$6:$F$405,G81,'Istoric_Nativ'!$D$6:$D$405,"&lt;"&amp;J81,'Istoric_Nativ'!$P$6:$P$405,1,'Istoric_Nativ'!$D$6:$D$405,"&gt;="&amp;L81),SUMIFS('Istoric_Nativ'!$G$6:$G$405,'Istoric_Nativ'!$B$6:$B$405,E81,'Istoric_Nativ'!$C$6:$C$405,F81,'Istoric_Nativ'!$E$6:$E$405,G81,'Istoric_Nativ'!$D$6:$D$405,"&lt;"&amp;J81,'Istoric_Nativ'!$P$6:$P$405,1,'Istoric_Nativ'!$D$6:$D$405,"&gt;="&amp;L81)+SUMIFS('Istoric_Nativ'!$H$6:$H$405,'Istoric_Nativ'!$B$6:$B$405,E81,'Istoric_Nativ'!$C$6:$C$405,F81,'Istoric_Nativ'!$F$6:$F$405,G81,'Istoric_Nativ'!$D$6:$D$405,"&lt;"&amp;J81,'Istoric_Nativ'!$P$6:$P$405,1,'Istoric_Nativ'!$D$6:$D$405,"&gt;="&amp;L81)))/M81)</x:f>
      </x:c>
      <x:c r="O81" s="11" t="str">
        <x:f>IF(M81=0,"",IF(H81="HOME",SUMIFS('Istoric_Nativ'!$H$6:$H$405,'Istoric_Nativ'!$B$6:$B$405,E81,'Istoric_Nativ'!$C$6:$C$405,F81,'Istoric_Nativ'!$E$6:$E$405,G81,'Istoric_Nativ'!$D$6:$D$405,"&lt;"&amp;J81,'Istoric_Nativ'!$P$6:$P$405,1,'Istoric_Nativ'!$D$6:$D$405,"&gt;="&amp;L81),IF(H81="AWAY",SUMIFS('Istoric_Nativ'!$G$6:$G$405,'Istoric_Nativ'!$B$6:$B$405,E81,'Istoric_Nativ'!$C$6:$C$405,F81,'Istoric_Nativ'!$F$6:$F$405,G81,'Istoric_Nativ'!$D$6:$D$405,"&lt;"&amp;J81,'Istoric_Nativ'!$P$6:$P$405,1,'Istoric_Nativ'!$D$6:$D$405,"&gt;="&amp;L81),SUMIFS('Istoric_Nativ'!$H$6:$H$405,'Istoric_Nativ'!$B$6:$B$405,E81,'Istoric_Nativ'!$C$6:$C$405,F81,'Istoric_Nativ'!$E$6:$E$405,G81,'Istoric_Nativ'!$D$6:$D$405,"&lt;"&amp;J81,'Istoric_Nativ'!$P$6:$P$405,1,'Istoric_Nativ'!$D$6:$D$405,"&gt;="&amp;L81)+SUMIFS('Istoric_Nativ'!$G$6:$G$405,'Istoric_Nativ'!$B$6:$B$405,E81,'Istoric_Nativ'!$C$6:$C$405,F81,'Istoric_Nativ'!$F$6:$F$405,G81,'Istoric_Nativ'!$D$6:$D$405,"&lt;"&amp;J81,'Istoric_Nativ'!$P$6:$P$405,1,'Istoric_Nativ'!$D$6:$D$405,"&gt;="&amp;L81)))/M81)</x:f>
      </x:c>
      <x:c r="P81" s="2" t="n">
        <x:f>'Config_v6'!$B$7</x:f>
        <x:v>10</x:v>
      </x:c>
      <x:c r="Q81" s="2" t="n">
        <x:f>IF(OR(B81="",F81=""),0,IFERROR(MATCH(E81&amp;"|"&amp;F81,SourceTable[Source_Key],0),0))</x:f>
        <x:v>0</x:v>
      </x:c>
      <x:c r="R81" s="2" t="str">
        <x:f>IF(B81="","",IF(F81="","UNUSED",IF(Q81=0,"NOT CHECKED",IF(COUNTIF(SourceTable[Source_Key],E81&amp;"|"&amp;F81)&lt;&gt;1,"SOURCE CONFLICT",IF(NOT(OR(INDEX(SourceTable[Status],MAX(1,Q81))="IMPORTED",INDEX(SourceTable[Status],MAX(1,Q81))="PARTIAL",INDEX(SourceTable[Status],MAX(1,Q81))="SOURCE CONFLICT")),"ACCESS BLOCKED",IF(OR(INDEX(SourceTable[Coverage],Q81)&lt;&gt;"FULL SEASON EXPORT",INDEX(SourceTable[URL],Q81)="",INDEX(SourceTable[SHA256],Q81)=""),"EVIDENCE INCOMPLETE",IF(AND('Input_Meci'!H12="LIVE",INDEX(SourceTable[Retrieved_UTC],Q81)&gt;'Input_Meci'!G12),"POST CUTOFF","CLOSED")))))))</x:f>
      </x:c>
      <x:c r="S81" s="2" t="n">
        <x:f>IF(OR(B81="",F81=""),0,COUNTIFS('Istoric_Nativ'!$B$6:$B$405,E81,'Istoric_Nativ'!$C$6:$C$405,F81,'Istoric_Nativ'!$E$6:$E$405,G81,'Istoric_Nativ'!$D$6:$D$405,"&lt;"&amp;J81,'Istoric_Nativ'!$O$6:$O$405,"INVALID")+COUNTIFS('Istoric_Nativ'!$B$6:$B$405,E81,'Istoric_Nativ'!$C$6:$C$405,F81,'Istoric_Nativ'!$E$6:$E$405,G81,'Istoric_Nativ'!$O$6:$O$405,"INVALID",'Istoric_Nativ'!$D$6:$D$405,"*")+COUNTIFS('Istoric_Nativ'!$B$6:$B$405,E81,'Istoric_Nativ'!$C$6:$C$405,F81,'Istoric_Nativ'!$E$6:$E$405,G81,'Istoric_Nativ'!$D$6:$D$405,"&lt;"&amp;J81,'Istoric_Nativ'!$O$6:$O$405,"SOURCE CONFLICT")+COUNTIFS('Istoric_Nativ'!$B$6:$B$405,E81,'Istoric_Nativ'!$C$6:$C$405,F81,'Istoric_Nativ'!$F$6:$F$405,G81,'Istoric_Nativ'!$D$6:$D$405,"&lt;"&amp;J81,'Istoric_Nativ'!$O$6:$O$405,"INVALID")+COUNTIFS('Istoric_Nativ'!$B$6:$B$405,E81,'Istoric_Nativ'!$C$6:$C$405,F81,'Istoric_Nativ'!$F$6:$F$405,G81,'Istoric_Nativ'!$O$6:$O$405,"INVALID",'Istoric_Nativ'!$D$6:$D$405,"*")+COUNTIFS('Istoric_Nativ'!$B$6:$B$405,E81,'Istoric_Nativ'!$C$6:$C$405,F81,'Istoric_Nativ'!$F$6:$F$405,G81,'Istoric_Nativ'!$D$6:$D$405,"&lt;"&amp;J81,'Istoric_Nativ'!$O$6:$O$405,"SOURCE CONFLICT"))</x:f>
        <x:v>0</x:v>
      </x:c>
      <x:c r="T81" s="2" t="str">
        <x:f>IF(B81="","",IF(R81&lt;&gt;"CLOSED",R81,IF(S81&gt;0,"NATIVE INPUT ISSUE",IF(M81=0,"NO HISTORY",IF(M81&lt;P81,"SMALL SAMPLE","DERIVED")))))</x:f>
      </x:c>
      <x:c r="U81" s="2" t="str">
        <x:f>IF(B81="","","NativeTable; "&amp;E81&amp;"; "&amp;F81&amp;"; "&amp;G81&amp;"; "&amp;H81&amp;"; before "&amp;TEXT(J81,"yyyy-mm-dd")&amp;IF(I81="RECENT","; from "&amp;TEXT(L81,"yyyy-mm-dd"),""))</x:f>
      </x:c>
    </x:row>
    <x:row r="82" ht="21" customHeight="1">
      <x:c r="A82" s="2" t="n">
        <x:v>7</x:v>
      </x:c>
      <x:c r="B82" s="2" t="str">
        <x:f>IF('Input_Meci'!A12="","",'Input_Meci'!A12)</x:f>
      </x:c>
      <x:c r="C82" s="2" t="str">
        <x:v>A</x:v>
      </x:c>
      <x:c r="D82" s="2" t="str">
        <x:v>CURRENT</x:v>
      </x:c>
      <x:c r="E82" s="2" t="str">
        <x:f>IF(B82="","",'Input_Meci'!B12)</x:f>
      </x:c>
      <x:c r="F82" s="2" t="str">
        <x:f>IF(B82="","",IF('Input_Meci'!C12="","",'Input_Meci'!C12))</x:f>
      </x:c>
      <x:c r="G82" s="2" t="str">
        <x:f>IF(B82="","",'Input_Meci'!E12)</x:f>
      </x:c>
      <x:c r="H82" s="2" t="str">
        <x:v>AWAY</x:v>
      </x:c>
      <x:c r="I82" s="2" t="str">
        <x:v>HA</x:v>
      </x:c>
      <x:c r="J82" s="9" t="n">
        <x:f>IF(AND(B82&lt;&gt;"",ISNUMBER('Input_Meci'!G12)),INT('Input_Meci'!G12),0)</x:f>
        <x:v>0</x:v>
      </x:c>
      <x:c r="K82" s="2" t="n">
        <x:f>IF(OR(B82="",F82=""),0,IF(H82="HOME",COUNTIFS('Istoric_Nativ'!$B$6:$B$405,E82,'Istoric_Nativ'!$C$6:$C$405,F82,'Istoric_Nativ'!$E$6:$E$405,G82,'Istoric_Nativ'!$D$6:$D$405,"&lt;"&amp;J82,'Istoric_Nativ'!$P$6:$P$405,1),IF(H82="AWAY",COUNTIFS('Istoric_Nativ'!$B$6:$B$405,E82,'Istoric_Nativ'!$C$6:$C$405,F82,'Istoric_Nativ'!$F$6:$F$405,G82,'Istoric_Nativ'!$D$6:$D$405,"&lt;"&amp;J82,'Istoric_Nativ'!$P$6:$P$405,1),COUNTIFS('Istoric_Nativ'!$B$6:$B$405,E82,'Istoric_Nativ'!$C$6:$C$405,F82,'Istoric_Nativ'!$E$6:$E$405,G82,'Istoric_Nativ'!$D$6:$D$405,"&lt;"&amp;J82,'Istoric_Nativ'!$P$6:$P$405,1)+COUNTIFS('Istoric_Nativ'!$B$6:$B$405,E82,'Istoric_Nativ'!$C$6:$C$405,F82,'Istoric_Nativ'!$F$6:$F$405,G82,'Istoric_Nativ'!$D$6:$D$405,"&lt;"&amp;J82,'Istoric_Nativ'!$P$6:$P$405,1))))</x:f>
        <x:v>0</x:v>
      </x:c>
      <x:c r="L82" s="17" t="n">
        <x:f>IF(AND(B82&lt;&gt;"",I82="RECENT",K82&gt;0),LARGE(_xlfn._xlws.FILTER('Istoric_Nativ'!$D$6:$D$405,('Istoric_Nativ'!$B$6:$B$405=E82)*('Istoric_Nativ'!$C$6:$C$405=F82)*('Istoric_Nativ'!$P$6:$P$405=1)*('Istoric_Nativ'!$D$6:$D$405&lt;J82)*((('Istoric_Nativ'!$E$6:$E$405=G82)+('Istoric_Nativ'!$F$6:$F$405=G82))&gt;0)),MIN('Config_v6'!$B$54,K82)),0)</x:f>
        <x:v>0</x:v>
      </x:c>
      <x:c r="M82" s="2" t="n">
        <x:f>IF(OR(B82="",F82=""),0,IF(H82="HOME",COUNTIFS('Istoric_Nativ'!$B$6:$B$405,E82,'Istoric_Nativ'!$C$6:$C$405,F82,'Istoric_Nativ'!$E$6:$E$405,G82,'Istoric_Nativ'!$D$6:$D$405,"&lt;"&amp;J82,'Istoric_Nativ'!$P$6:$P$405,1,'Istoric_Nativ'!$D$6:$D$405,"&gt;="&amp;L82),IF(H82="AWAY",COUNTIFS('Istoric_Nativ'!$B$6:$B$405,E82,'Istoric_Nativ'!$C$6:$C$405,F82,'Istoric_Nativ'!$F$6:$F$405,G82,'Istoric_Nativ'!$D$6:$D$405,"&lt;"&amp;J82,'Istoric_Nativ'!$P$6:$P$405,1,'Istoric_Nativ'!$D$6:$D$405,"&gt;="&amp;L82),COUNTIFS('Istoric_Nativ'!$B$6:$B$405,E82,'Istoric_Nativ'!$C$6:$C$405,F82,'Istoric_Nativ'!$E$6:$E$405,G82,'Istoric_Nativ'!$D$6:$D$405,"&lt;"&amp;J82,'Istoric_Nativ'!$P$6:$P$405,1,'Istoric_Nativ'!$D$6:$D$405,"&gt;="&amp;L82)+COUNTIFS('Istoric_Nativ'!$B$6:$B$405,E82,'Istoric_Nativ'!$C$6:$C$405,F82,'Istoric_Nativ'!$F$6:$F$405,G82,'Istoric_Nativ'!$D$6:$D$405,"&lt;"&amp;J82,'Istoric_Nativ'!$P$6:$P$405,1,'Istoric_Nativ'!$D$6:$D$405,"&gt;="&amp;L82))))</x:f>
        <x:v>0</x:v>
      </x:c>
      <x:c r="N82" s="11" t="str">
        <x:f>IF(M82=0,"",IF(H82="HOME",SUMIFS('Istoric_Nativ'!$G$6:$G$405,'Istoric_Nativ'!$B$6:$B$405,E82,'Istoric_Nativ'!$C$6:$C$405,F82,'Istoric_Nativ'!$E$6:$E$405,G82,'Istoric_Nativ'!$D$6:$D$405,"&lt;"&amp;J82,'Istoric_Nativ'!$P$6:$P$405,1,'Istoric_Nativ'!$D$6:$D$405,"&gt;="&amp;L82),IF(H82="AWAY",SUMIFS('Istoric_Nativ'!$H$6:$H$405,'Istoric_Nativ'!$B$6:$B$405,E82,'Istoric_Nativ'!$C$6:$C$405,F82,'Istoric_Nativ'!$F$6:$F$405,G82,'Istoric_Nativ'!$D$6:$D$405,"&lt;"&amp;J82,'Istoric_Nativ'!$P$6:$P$405,1,'Istoric_Nativ'!$D$6:$D$405,"&gt;="&amp;L82),SUMIFS('Istoric_Nativ'!$G$6:$G$405,'Istoric_Nativ'!$B$6:$B$405,E82,'Istoric_Nativ'!$C$6:$C$405,F82,'Istoric_Nativ'!$E$6:$E$405,G82,'Istoric_Nativ'!$D$6:$D$405,"&lt;"&amp;J82,'Istoric_Nativ'!$P$6:$P$405,1,'Istoric_Nativ'!$D$6:$D$405,"&gt;="&amp;L82)+SUMIFS('Istoric_Nativ'!$H$6:$H$405,'Istoric_Nativ'!$B$6:$B$405,E82,'Istoric_Nativ'!$C$6:$C$405,F82,'Istoric_Nativ'!$F$6:$F$405,G82,'Istoric_Nativ'!$D$6:$D$405,"&lt;"&amp;J82,'Istoric_Nativ'!$P$6:$P$405,1,'Istoric_Nativ'!$D$6:$D$405,"&gt;="&amp;L82)))/M82)</x:f>
      </x:c>
      <x:c r="O82" s="11" t="str">
        <x:f>IF(M82=0,"",IF(H82="HOME",SUMIFS('Istoric_Nativ'!$H$6:$H$405,'Istoric_Nativ'!$B$6:$B$405,E82,'Istoric_Nativ'!$C$6:$C$405,F82,'Istoric_Nativ'!$E$6:$E$405,G82,'Istoric_Nativ'!$D$6:$D$405,"&lt;"&amp;J82,'Istoric_Nativ'!$P$6:$P$405,1,'Istoric_Nativ'!$D$6:$D$405,"&gt;="&amp;L82),IF(H82="AWAY",SUMIFS('Istoric_Nativ'!$G$6:$G$405,'Istoric_Nativ'!$B$6:$B$405,E82,'Istoric_Nativ'!$C$6:$C$405,F82,'Istoric_Nativ'!$F$6:$F$405,G82,'Istoric_Nativ'!$D$6:$D$405,"&lt;"&amp;J82,'Istoric_Nativ'!$P$6:$P$405,1,'Istoric_Nativ'!$D$6:$D$405,"&gt;="&amp;L82),SUMIFS('Istoric_Nativ'!$H$6:$H$405,'Istoric_Nativ'!$B$6:$B$405,E82,'Istoric_Nativ'!$C$6:$C$405,F82,'Istoric_Nativ'!$E$6:$E$405,G82,'Istoric_Nativ'!$D$6:$D$405,"&lt;"&amp;J82,'Istoric_Nativ'!$P$6:$P$405,1,'Istoric_Nativ'!$D$6:$D$405,"&gt;="&amp;L82)+SUMIFS('Istoric_Nativ'!$G$6:$G$405,'Istoric_Nativ'!$B$6:$B$405,E82,'Istoric_Nativ'!$C$6:$C$405,F82,'Istoric_Nativ'!$F$6:$F$405,G82,'Istoric_Nativ'!$D$6:$D$405,"&lt;"&amp;J82,'Istoric_Nativ'!$P$6:$P$405,1,'Istoric_Nativ'!$D$6:$D$405,"&gt;="&amp;L82)))/M82)</x:f>
      </x:c>
      <x:c r="P82" s="2" t="n">
        <x:f>'Config_v6'!$B$8</x:f>
        <x:v>5</x:v>
      </x:c>
      <x:c r="Q82" s="2" t="n">
        <x:f>IF(OR(B82="",F82=""),0,IFERROR(MATCH(E82&amp;"|"&amp;F82,SourceTable[Source_Key],0),0))</x:f>
        <x:v>0</x:v>
      </x:c>
      <x:c r="R82" s="2" t="str">
        <x:f>IF(B82="","",IF(F82="","UNUSED",IF(Q82=0,"NOT CHECKED",IF(COUNTIF(SourceTable[Source_Key],E82&amp;"|"&amp;F82)&lt;&gt;1,"SOURCE CONFLICT",IF(NOT(OR(INDEX(SourceTable[Status],MAX(1,Q82))="IMPORTED",INDEX(SourceTable[Status],MAX(1,Q82))="PARTIAL",INDEX(SourceTable[Status],MAX(1,Q82))="SOURCE CONFLICT")),"ACCESS BLOCKED",IF(OR(INDEX(SourceTable[Coverage],Q82)&lt;&gt;"FULL SEASON EXPORT",INDEX(SourceTable[URL],Q82)="",INDEX(SourceTable[SHA256],Q82)=""),"EVIDENCE INCOMPLETE",IF(AND('Input_Meci'!H12="LIVE",INDEX(SourceTable[Retrieved_UTC],Q82)&gt;'Input_Meci'!G12),"POST CUTOFF","CLOSED")))))))</x:f>
      </x:c>
      <x:c r="S82" s="2" t="n">
        <x:f>IF(OR(B82="",F82=""),0,COUNTIFS('Istoric_Nativ'!$B$6:$B$405,E82,'Istoric_Nativ'!$C$6:$C$405,F82,'Istoric_Nativ'!$E$6:$E$405,G82,'Istoric_Nativ'!$D$6:$D$405,"&lt;"&amp;J82,'Istoric_Nativ'!$O$6:$O$405,"INVALID")+COUNTIFS('Istoric_Nativ'!$B$6:$B$405,E82,'Istoric_Nativ'!$C$6:$C$405,F82,'Istoric_Nativ'!$E$6:$E$405,G82,'Istoric_Nativ'!$O$6:$O$405,"INVALID",'Istoric_Nativ'!$D$6:$D$405,"*")+COUNTIFS('Istoric_Nativ'!$B$6:$B$405,E82,'Istoric_Nativ'!$C$6:$C$405,F82,'Istoric_Nativ'!$E$6:$E$405,G82,'Istoric_Nativ'!$D$6:$D$405,"&lt;"&amp;J82,'Istoric_Nativ'!$O$6:$O$405,"SOURCE CONFLICT")+COUNTIFS('Istoric_Nativ'!$B$6:$B$405,E82,'Istoric_Nativ'!$C$6:$C$405,F82,'Istoric_Nativ'!$F$6:$F$405,G82,'Istoric_Nativ'!$D$6:$D$405,"&lt;"&amp;J82,'Istoric_Nativ'!$O$6:$O$405,"INVALID")+COUNTIFS('Istoric_Nativ'!$B$6:$B$405,E82,'Istoric_Nativ'!$C$6:$C$405,F82,'Istoric_Nativ'!$F$6:$F$405,G82,'Istoric_Nativ'!$O$6:$O$405,"INVALID",'Istoric_Nativ'!$D$6:$D$405,"*")+COUNTIFS('Istoric_Nativ'!$B$6:$B$405,E82,'Istoric_Nativ'!$C$6:$C$405,F82,'Istoric_Nativ'!$F$6:$F$405,G82,'Istoric_Nativ'!$D$6:$D$405,"&lt;"&amp;J82,'Istoric_Nativ'!$O$6:$O$405,"SOURCE CONFLICT"))</x:f>
        <x:v>0</x:v>
      </x:c>
      <x:c r="T82" s="2" t="str">
        <x:f>IF(B82="","",IF(R82&lt;&gt;"CLOSED",R82,IF(S82&gt;0,"NATIVE INPUT ISSUE",IF(M82=0,"NO HISTORY",IF(M82&lt;P82,"SMALL SAMPLE","DERIVED")))))</x:f>
      </x:c>
      <x:c r="U82" s="2" t="str">
        <x:f>IF(B82="","","NativeTable; "&amp;E82&amp;"; "&amp;F82&amp;"; "&amp;G82&amp;"; "&amp;H82&amp;"; before "&amp;TEXT(J82,"yyyy-mm-dd")&amp;IF(I82="RECENT","; from "&amp;TEXT(L82,"yyyy-mm-dd"),""))</x:f>
      </x:c>
    </x:row>
    <x:row r="83" ht="21" customHeight="1">
      <x:c r="A83" s="2" t="n">
        <x:v>7</x:v>
      </x:c>
      <x:c r="B83" s="2" t="str">
        <x:f>IF('Input_Meci'!A12="","",'Input_Meci'!A12)</x:f>
      </x:c>
      <x:c r="C83" s="2" t="str">
        <x:v>A</x:v>
      </x:c>
      <x:c r="D83" s="2" t="str">
        <x:v>CURRENT</x:v>
      </x:c>
      <x:c r="E83" s="2" t="str">
        <x:f>IF(B83="","",'Input_Meci'!B12)</x:f>
      </x:c>
      <x:c r="F83" s="2" t="str">
        <x:f>IF(B83="","",IF('Input_Meci'!C12="","",'Input_Meci'!C12))</x:f>
      </x:c>
      <x:c r="G83" s="2" t="str">
        <x:f>IF(B83="","",'Input_Meci'!E12)</x:f>
      </x:c>
      <x:c r="H83" s="2" t="str">
        <x:v>ANY</x:v>
      </x:c>
      <x:c r="I83" s="2" t="str">
        <x:v>RECENT</x:v>
      </x:c>
      <x:c r="J83" s="9" t="n">
        <x:f>IF(AND(B83&lt;&gt;"",ISNUMBER('Input_Meci'!G12)),INT('Input_Meci'!G12),0)</x:f>
        <x:v>0</x:v>
      </x:c>
      <x:c r="K83" s="2" t="n">
        <x:f>IF(OR(B83="",F83=""),0,IF(H83="HOME",COUNTIFS('Istoric_Nativ'!$B$6:$B$405,E83,'Istoric_Nativ'!$C$6:$C$405,F83,'Istoric_Nativ'!$E$6:$E$405,G83,'Istoric_Nativ'!$D$6:$D$405,"&lt;"&amp;J83,'Istoric_Nativ'!$P$6:$P$405,1),IF(H83="AWAY",COUNTIFS('Istoric_Nativ'!$B$6:$B$405,E83,'Istoric_Nativ'!$C$6:$C$405,F83,'Istoric_Nativ'!$F$6:$F$405,G83,'Istoric_Nativ'!$D$6:$D$405,"&lt;"&amp;J83,'Istoric_Nativ'!$P$6:$P$405,1),COUNTIFS('Istoric_Nativ'!$B$6:$B$405,E83,'Istoric_Nativ'!$C$6:$C$405,F83,'Istoric_Nativ'!$E$6:$E$405,G83,'Istoric_Nativ'!$D$6:$D$405,"&lt;"&amp;J83,'Istoric_Nativ'!$P$6:$P$405,1)+COUNTIFS('Istoric_Nativ'!$B$6:$B$405,E83,'Istoric_Nativ'!$C$6:$C$405,F83,'Istoric_Nativ'!$F$6:$F$405,G83,'Istoric_Nativ'!$D$6:$D$405,"&lt;"&amp;J83,'Istoric_Nativ'!$P$6:$P$405,1))))</x:f>
        <x:v>0</x:v>
      </x:c>
      <x:c r="L83" s="17" t="n">
        <x:f>IF(AND(B83&lt;&gt;"",I83="RECENT",K83&gt;0),LARGE(_xlfn._xlws.FILTER('Istoric_Nativ'!$D$6:$D$405,('Istoric_Nativ'!$B$6:$B$405=E83)*('Istoric_Nativ'!$C$6:$C$405=F83)*('Istoric_Nativ'!$P$6:$P$405=1)*('Istoric_Nativ'!$D$6:$D$405&lt;J83)*((('Istoric_Nativ'!$E$6:$E$405=G83)+('Istoric_Nativ'!$F$6:$F$405=G83))&gt;0)),MIN('Config_v6'!$B$54,K83)),0)</x:f>
        <x:v>0</x:v>
      </x:c>
      <x:c r="M83" s="2" t="n">
        <x:f>IF(OR(B83="",F83=""),0,IF(H83="HOME",COUNTIFS('Istoric_Nativ'!$B$6:$B$405,E83,'Istoric_Nativ'!$C$6:$C$405,F83,'Istoric_Nativ'!$E$6:$E$405,G83,'Istoric_Nativ'!$D$6:$D$405,"&lt;"&amp;J83,'Istoric_Nativ'!$P$6:$P$405,1,'Istoric_Nativ'!$D$6:$D$405,"&gt;="&amp;L83),IF(H83="AWAY",COUNTIFS('Istoric_Nativ'!$B$6:$B$405,E83,'Istoric_Nativ'!$C$6:$C$405,F83,'Istoric_Nativ'!$F$6:$F$405,G83,'Istoric_Nativ'!$D$6:$D$405,"&lt;"&amp;J83,'Istoric_Nativ'!$P$6:$P$405,1,'Istoric_Nativ'!$D$6:$D$405,"&gt;="&amp;L83),COUNTIFS('Istoric_Nativ'!$B$6:$B$405,E83,'Istoric_Nativ'!$C$6:$C$405,F83,'Istoric_Nativ'!$E$6:$E$405,G83,'Istoric_Nativ'!$D$6:$D$405,"&lt;"&amp;J83,'Istoric_Nativ'!$P$6:$P$405,1,'Istoric_Nativ'!$D$6:$D$405,"&gt;="&amp;L83)+COUNTIFS('Istoric_Nativ'!$B$6:$B$405,E83,'Istoric_Nativ'!$C$6:$C$405,F83,'Istoric_Nativ'!$F$6:$F$405,G83,'Istoric_Nativ'!$D$6:$D$405,"&lt;"&amp;J83,'Istoric_Nativ'!$P$6:$P$405,1,'Istoric_Nativ'!$D$6:$D$405,"&gt;="&amp;L83))))</x:f>
        <x:v>0</x:v>
      </x:c>
      <x:c r="N83" s="11" t="str">
        <x:f>IF(M83=0,"",IF(H83="HOME",SUMIFS('Istoric_Nativ'!$G$6:$G$405,'Istoric_Nativ'!$B$6:$B$405,E83,'Istoric_Nativ'!$C$6:$C$405,F83,'Istoric_Nativ'!$E$6:$E$405,G83,'Istoric_Nativ'!$D$6:$D$405,"&lt;"&amp;J83,'Istoric_Nativ'!$P$6:$P$405,1,'Istoric_Nativ'!$D$6:$D$405,"&gt;="&amp;L83),IF(H83="AWAY",SUMIFS('Istoric_Nativ'!$H$6:$H$405,'Istoric_Nativ'!$B$6:$B$405,E83,'Istoric_Nativ'!$C$6:$C$405,F83,'Istoric_Nativ'!$F$6:$F$405,G83,'Istoric_Nativ'!$D$6:$D$405,"&lt;"&amp;J83,'Istoric_Nativ'!$P$6:$P$405,1,'Istoric_Nativ'!$D$6:$D$405,"&gt;="&amp;L83),SUMIFS('Istoric_Nativ'!$G$6:$G$405,'Istoric_Nativ'!$B$6:$B$405,E83,'Istoric_Nativ'!$C$6:$C$405,F83,'Istoric_Nativ'!$E$6:$E$405,G83,'Istoric_Nativ'!$D$6:$D$405,"&lt;"&amp;J83,'Istoric_Nativ'!$P$6:$P$405,1,'Istoric_Nativ'!$D$6:$D$405,"&gt;="&amp;L83)+SUMIFS('Istoric_Nativ'!$H$6:$H$405,'Istoric_Nativ'!$B$6:$B$405,E83,'Istoric_Nativ'!$C$6:$C$405,F83,'Istoric_Nativ'!$F$6:$F$405,G83,'Istoric_Nativ'!$D$6:$D$405,"&lt;"&amp;J83,'Istoric_Nativ'!$P$6:$P$405,1,'Istoric_Nativ'!$D$6:$D$405,"&gt;="&amp;L83)))/M83)</x:f>
      </x:c>
      <x:c r="O83" s="11" t="str">
        <x:f>IF(M83=0,"",IF(H83="HOME",SUMIFS('Istoric_Nativ'!$H$6:$H$405,'Istoric_Nativ'!$B$6:$B$405,E83,'Istoric_Nativ'!$C$6:$C$405,F83,'Istoric_Nativ'!$E$6:$E$405,G83,'Istoric_Nativ'!$D$6:$D$405,"&lt;"&amp;J83,'Istoric_Nativ'!$P$6:$P$405,1,'Istoric_Nativ'!$D$6:$D$405,"&gt;="&amp;L83),IF(H83="AWAY",SUMIFS('Istoric_Nativ'!$G$6:$G$405,'Istoric_Nativ'!$B$6:$B$405,E83,'Istoric_Nativ'!$C$6:$C$405,F83,'Istoric_Nativ'!$F$6:$F$405,G83,'Istoric_Nativ'!$D$6:$D$405,"&lt;"&amp;J83,'Istoric_Nativ'!$P$6:$P$405,1,'Istoric_Nativ'!$D$6:$D$405,"&gt;="&amp;L83),SUMIFS('Istoric_Nativ'!$H$6:$H$405,'Istoric_Nativ'!$B$6:$B$405,E83,'Istoric_Nativ'!$C$6:$C$405,F83,'Istoric_Nativ'!$E$6:$E$405,G83,'Istoric_Nativ'!$D$6:$D$405,"&lt;"&amp;J83,'Istoric_Nativ'!$P$6:$P$405,1,'Istoric_Nativ'!$D$6:$D$405,"&gt;="&amp;L83)+SUMIFS('Istoric_Nativ'!$G$6:$G$405,'Istoric_Nativ'!$B$6:$B$405,E83,'Istoric_Nativ'!$C$6:$C$405,F83,'Istoric_Nativ'!$F$6:$F$405,G83,'Istoric_Nativ'!$D$6:$D$405,"&lt;"&amp;J83,'Istoric_Nativ'!$P$6:$P$405,1,'Istoric_Nativ'!$D$6:$D$405,"&gt;="&amp;L83)))/M83)</x:f>
      </x:c>
      <x:c r="P83" s="2" t="n">
        <x:f>'Config_v6'!$B$9</x:f>
        <x:v>3</x:v>
      </x:c>
      <x:c r="Q83" s="2" t="n">
        <x:f>IF(OR(B83="",F83=""),0,IFERROR(MATCH(E83&amp;"|"&amp;F83,SourceTable[Source_Key],0),0))</x:f>
        <x:v>0</x:v>
      </x:c>
      <x:c r="R83" s="2" t="str">
        <x:f>IF(B83="","",IF(F83="","UNUSED",IF(Q83=0,"NOT CHECKED",IF(COUNTIF(SourceTable[Source_Key],E83&amp;"|"&amp;F83)&lt;&gt;1,"SOURCE CONFLICT",IF(NOT(OR(INDEX(SourceTable[Status],MAX(1,Q83))="IMPORTED",INDEX(SourceTable[Status],MAX(1,Q83))="PARTIAL",INDEX(SourceTable[Status],MAX(1,Q83))="SOURCE CONFLICT")),"ACCESS BLOCKED",IF(OR(INDEX(SourceTable[Coverage],Q83)&lt;&gt;"FULL SEASON EXPORT",INDEX(SourceTable[URL],Q83)="",INDEX(SourceTable[SHA256],Q83)=""),"EVIDENCE INCOMPLETE",IF(AND('Input_Meci'!H12="LIVE",INDEX(SourceTable[Retrieved_UTC],Q83)&gt;'Input_Meci'!G12),"POST CUTOFF","CLOSED")))))))</x:f>
      </x:c>
      <x:c r="S83" s="2" t="n">
        <x:f>IF(OR(B83="",F83=""),0,COUNTIFS('Istoric_Nativ'!$B$6:$B$405,E83,'Istoric_Nativ'!$C$6:$C$405,F83,'Istoric_Nativ'!$E$6:$E$405,G83,'Istoric_Nativ'!$D$6:$D$405,"&lt;"&amp;J83,'Istoric_Nativ'!$O$6:$O$405,"INVALID")+COUNTIFS('Istoric_Nativ'!$B$6:$B$405,E83,'Istoric_Nativ'!$C$6:$C$405,F83,'Istoric_Nativ'!$E$6:$E$405,G83,'Istoric_Nativ'!$O$6:$O$405,"INVALID",'Istoric_Nativ'!$D$6:$D$405,"*")+COUNTIFS('Istoric_Nativ'!$B$6:$B$405,E83,'Istoric_Nativ'!$C$6:$C$405,F83,'Istoric_Nativ'!$E$6:$E$405,G83,'Istoric_Nativ'!$D$6:$D$405,"&lt;"&amp;J83,'Istoric_Nativ'!$O$6:$O$405,"SOURCE CONFLICT")+COUNTIFS('Istoric_Nativ'!$B$6:$B$405,E83,'Istoric_Nativ'!$C$6:$C$405,F83,'Istoric_Nativ'!$F$6:$F$405,G83,'Istoric_Nativ'!$D$6:$D$405,"&lt;"&amp;J83,'Istoric_Nativ'!$O$6:$O$405,"INVALID")+COUNTIFS('Istoric_Nativ'!$B$6:$B$405,E83,'Istoric_Nativ'!$C$6:$C$405,F83,'Istoric_Nativ'!$F$6:$F$405,G83,'Istoric_Nativ'!$O$6:$O$405,"INVALID",'Istoric_Nativ'!$D$6:$D$405,"*")+COUNTIFS('Istoric_Nativ'!$B$6:$B$405,E83,'Istoric_Nativ'!$C$6:$C$405,F83,'Istoric_Nativ'!$F$6:$F$405,G83,'Istoric_Nativ'!$D$6:$D$405,"&lt;"&amp;J83,'Istoric_Nativ'!$O$6:$O$405,"SOURCE CONFLICT"))</x:f>
        <x:v>0</x:v>
      </x:c>
      <x:c r="T83" s="2" t="str">
        <x:f>IF(B83="","",IF(R83&lt;&gt;"CLOSED",R83,IF(S83&gt;0,"NATIVE INPUT ISSUE",IF(M83=0,"NO HISTORY",IF(M83&lt;P83,"SMALL SAMPLE","DERIVED")))))</x:f>
      </x:c>
      <x:c r="U83" s="2" t="str">
        <x:f>IF(B83="","","NativeTable; "&amp;E83&amp;"; "&amp;F83&amp;"; "&amp;G83&amp;"; "&amp;H83&amp;"; before "&amp;TEXT(J83,"yyyy-mm-dd")&amp;IF(I83="RECENT","; from "&amp;TEXT(L83,"yyyy-mm-dd"),""))</x:f>
      </x:c>
    </x:row>
    <x:row r="84" ht="21" customHeight="1">
      <x:c r="A84" s="2" t="n">
        <x:v>7</x:v>
      </x:c>
      <x:c r="B84" s="2" t="str">
        <x:f>IF('Input_Meci'!A12="","",'Input_Meci'!A12)</x:f>
      </x:c>
      <x:c r="C84" s="2" t="str">
        <x:v>H</x:v>
      </x:c>
      <x:c r="D84" s="2" t="str">
        <x:v>PRIOR</x:v>
      </x:c>
      <x:c r="E84" s="2" t="str">
        <x:f>IF(B84="","",'Input_Meci'!B12)</x:f>
      </x:c>
      <x:c r="F84" s="2" t="str">
        <x:f>IF(B84="","",IF('Input_Meci'!K12="","",'Input_Meci'!K12))</x:f>
      </x:c>
      <x:c r="G84" s="2" t="str">
        <x:f>IF(B84="","",'Input_Meci'!D12)</x:f>
      </x:c>
      <x:c r="H84" s="2" t="str">
        <x:v>ANY</x:v>
      </x:c>
      <x:c r="I84" s="2" t="str">
        <x:v>SEASON</x:v>
      </x:c>
      <x:c r="J84" s="9" t="n">
        <x:f>IF(AND(B84&lt;&gt;"",ISNUMBER('Input_Meci'!G12)),INT('Input_Meci'!G12),0)</x:f>
        <x:v>0</x:v>
      </x:c>
      <x:c r="K84" s="2" t="n">
        <x:f>IF(OR(B84="",F84=""),0,IF(H84="HOME",COUNTIFS('Istoric_Nativ'!$B$6:$B$405,E84,'Istoric_Nativ'!$C$6:$C$405,F84,'Istoric_Nativ'!$E$6:$E$405,G84,'Istoric_Nativ'!$D$6:$D$405,"&lt;"&amp;J84,'Istoric_Nativ'!$P$6:$P$405,1),IF(H84="AWAY",COUNTIFS('Istoric_Nativ'!$B$6:$B$405,E84,'Istoric_Nativ'!$C$6:$C$405,F84,'Istoric_Nativ'!$F$6:$F$405,G84,'Istoric_Nativ'!$D$6:$D$405,"&lt;"&amp;J84,'Istoric_Nativ'!$P$6:$P$405,1),COUNTIFS('Istoric_Nativ'!$B$6:$B$405,E84,'Istoric_Nativ'!$C$6:$C$405,F84,'Istoric_Nativ'!$E$6:$E$405,G84,'Istoric_Nativ'!$D$6:$D$405,"&lt;"&amp;J84,'Istoric_Nativ'!$P$6:$P$405,1)+COUNTIFS('Istoric_Nativ'!$B$6:$B$405,E84,'Istoric_Nativ'!$C$6:$C$405,F84,'Istoric_Nativ'!$F$6:$F$405,G84,'Istoric_Nativ'!$D$6:$D$405,"&lt;"&amp;J84,'Istoric_Nativ'!$P$6:$P$405,1))))</x:f>
        <x:v>0</x:v>
      </x:c>
      <x:c r="L84" s="17" t="n">
        <x:f>IF(AND(B84&lt;&gt;"",I84="RECENT",K84&gt;0),LARGE(_xlfn._xlws.FILTER('Istoric_Nativ'!$D$6:$D$405,('Istoric_Nativ'!$B$6:$B$405=E84)*('Istoric_Nativ'!$C$6:$C$405=F84)*('Istoric_Nativ'!$P$6:$P$405=1)*('Istoric_Nativ'!$D$6:$D$405&lt;J84)*((('Istoric_Nativ'!$E$6:$E$405=G84)+('Istoric_Nativ'!$F$6:$F$405=G84))&gt;0)),MIN('Config_v6'!$B$54,K84)),0)</x:f>
        <x:v>0</x:v>
      </x:c>
      <x:c r="M84" s="2" t="n">
        <x:f>IF(OR(B84="",F84=""),0,IF(H84="HOME",COUNTIFS('Istoric_Nativ'!$B$6:$B$405,E84,'Istoric_Nativ'!$C$6:$C$405,F84,'Istoric_Nativ'!$E$6:$E$405,G84,'Istoric_Nativ'!$D$6:$D$405,"&lt;"&amp;J84,'Istoric_Nativ'!$P$6:$P$405,1,'Istoric_Nativ'!$D$6:$D$405,"&gt;="&amp;L84),IF(H84="AWAY",COUNTIFS('Istoric_Nativ'!$B$6:$B$405,E84,'Istoric_Nativ'!$C$6:$C$405,F84,'Istoric_Nativ'!$F$6:$F$405,G84,'Istoric_Nativ'!$D$6:$D$405,"&lt;"&amp;J84,'Istoric_Nativ'!$P$6:$P$405,1,'Istoric_Nativ'!$D$6:$D$405,"&gt;="&amp;L84),COUNTIFS('Istoric_Nativ'!$B$6:$B$405,E84,'Istoric_Nativ'!$C$6:$C$405,F84,'Istoric_Nativ'!$E$6:$E$405,G84,'Istoric_Nativ'!$D$6:$D$405,"&lt;"&amp;J84,'Istoric_Nativ'!$P$6:$P$405,1,'Istoric_Nativ'!$D$6:$D$405,"&gt;="&amp;L84)+COUNTIFS('Istoric_Nativ'!$B$6:$B$405,E84,'Istoric_Nativ'!$C$6:$C$405,F84,'Istoric_Nativ'!$F$6:$F$405,G84,'Istoric_Nativ'!$D$6:$D$405,"&lt;"&amp;J84,'Istoric_Nativ'!$P$6:$P$405,1,'Istoric_Nativ'!$D$6:$D$405,"&gt;="&amp;L84))))</x:f>
        <x:v>0</x:v>
      </x:c>
      <x:c r="N84" s="11" t="str">
        <x:f>IF(M84=0,"",IF(H84="HOME",SUMIFS('Istoric_Nativ'!$G$6:$G$405,'Istoric_Nativ'!$B$6:$B$405,E84,'Istoric_Nativ'!$C$6:$C$405,F84,'Istoric_Nativ'!$E$6:$E$405,G84,'Istoric_Nativ'!$D$6:$D$405,"&lt;"&amp;J84,'Istoric_Nativ'!$P$6:$P$405,1,'Istoric_Nativ'!$D$6:$D$405,"&gt;="&amp;L84),IF(H84="AWAY",SUMIFS('Istoric_Nativ'!$H$6:$H$405,'Istoric_Nativ'!$B$6:$B$405,E84,'Istoric_Nativ'!$C$6:$C$405,F84,'Istoric_Nativ'!$F$6:$F$405,G84,'Istoric_Nativ'!$D$6:$D$405,"&lt;"&amp;J84,'Istoric_Nativ'!$P$6:$P$405,1,'Istoric_Nativ'!$D$6:$D$405,"&gt;="&amp;L84),SUMIFS('Istoric_Nativ'!$G$6:$G$405,'Istoric_Nativ'!$B$6:$B$405,E84,'Istoric_Nativ'!$C$6:$C$405,F84,'Istoric_Nativ'!$E$6:$E$405,G84,'Istoric_Nativ'!$D$6:$D$405,"&lt;"&amp;J84,'Istoric_Nativ'!$P$6:$P$405,1,'Istoric_Nativ'!$D$6:$D$405,"&gt;="&amp;L84)+SUMIFS('Istoric_Nativ'!$H$6:$H$405,'Istoric_Nativ'!$B$6:$B$405,E84,'Istoric_Nativ'!$C$6:$C$405,F84,'Istoric_Nativ'!$F$6:$F$405,G84,'Istoric_Nativ'!$D$6:$D$405,"&lt;"&amp;J84,'Istoric_Nativ'!$P$6:$P$405,1,'Istoric_Nativ'!$D$6:$D$405,"&gt;="&amp;L84)))/M84)</x:f>
      </x:c>
      <x:c r="O84" s="11" t="str">
        <x:f>IF(M84=0,"",IF(H84="HOME",SUMIFS('Istoric_Nativ'!$H$6:$H$405,'Istoric_Nativ'!$B$6:$B$405,E84,'Istoric_Nativ'!$C$6:$C$405,F84,'Istoric_Nativ'!$E$6:$E$405,G84,'Istoric_Nativ'!$D$6:$D$405,"&lt;"&amp;J84,'Istoric_Nativ'!$P$6:$P$405,1,'Istoric_Nativ'!$D$6:$D$405,"&gt;="&amp;L84),IF(H84="AWAY",SUMIFS('Istoric_Nativ'!$G$6:$G$405,'Istoric_Nativ'!$B$6:$B$405,E84,'Istoric_Nativ'!$C$6:$C$405,F84,'Istoric_Nativ'!$F$6:$F$405,G84,'Istoric_Nativ'!$D$6:$D$405,"&lt;"&amp;J84,'Istoric_Nativ'!$P$6:$P$405,1,'Istoric_Nativ'!$D$6:$D$405,"&gt;="&amp;L84),SUMIFS('Istoric_Nativ'!$H$6:$H$405,'Istoric_Nativ'!$B$6:$B$405,E84,'Istoric_Nativ'!$C$6:$C$405,F84,'Istoric_Nativ'!$E$6:$E$405,G84,'Istoric_Nativ'!$D$6:$D$405,"&lt;"&amp;J84,'Istoric_Nativ'!$P$6:$P$405,1,'Istoric_Nativ'!$D$6:$D$405,"&gt;="&amp;L84)+SUMIFS('Istoric_Nativ'!$G$6:$G$405,'Istoric_Nativ'!$B$6:$B$405,E84,'Istoric_Nativ'!$C$6:$C$405,F84,'Istoric_Nativ'!$F$6:$F$405,G84,'Istoric_Nativ'!$D$6:$D$405,"&lt;"&amp;J84,'Istoric_Nativ'!$P$6:$P$405,1,'Istoric_Nativ'!$D$6:$D$405,"&gt;="&amp;L84)))/M84)</x:f>
      </x:c>
      <x:c r="P84" s="2" t="n">
        <x:f>'Config_v6'!$B$7</x:f>
        <x:v>10</x:v>
      </x:c>
      <x:c r="Q84" s="2" t="n">
        <x:f>IF(OR(B84="",F84=""),0,IFERROR(MATCH(E84&amp;"|"&amp;F84,SourceTable[Source_Key],0),0))</x:f>
        <x:v>0</x:v>
      </x:c>
      <x:c r="R84" s="2" t="str">
        <x:f>IF(B84="","",IF(F84="","UNUSED",IF(Q84=0,"NOT CHECKED",IF(COUNTIF(SourceTable[Source_Key],E84&amp;"|"&amp;F84)&lt;&gt;1,"SOURCE CONFLICT",IF(NOT(OR(INDEX(SourceTable[Status],MAX(1,Q84))="IMPORTED",INDEX(SourceTable[Status],MAX(1,Q84))="PARTIAL",INDEX(SourceTable[Status],MAX(1,Q84))="SOURCE CONFLICT")),"ACCESS BLOCKED",IF(OR(INDEX(SourceTable[Coverage],Q84)&lt;&gt;"FULL SEASON EXPORT",INDEX(SourceTable[URL],Q84)="",INDEX(SourceTable[SHA256],Q84)=""),"EVIDENCE INCOMPLETE",IF(AND('Input_Meci'!H12="LIVE",INDEX(SourceTable[Retrieved_UTC],Q84)&gt;'Input_Meci'!G12),"POST CUTOFF","CLOSED")))))))</x:f>
      </x:c>
      <x:c r="S84" s="2" t="n">
        <x:f>IF(OR(B84="",F84=""),0,COUNTIFS('Istoric_Nativ'!$B$6:$B$405,E84,'Istoric_Nativ'!$C$6:$C$405,F84,'Istoric_Nativ'!$E$6:$E$405,G84,'Istoric_Nativ'!$D$6:$D$405,"&lt;"&amp;J84,'Istoric_Nativ'!$O$6:$O$405,"INVALID")+COUNTIFS('Istoric_Nativ'!$B$6:$B$405,E84,'Istoric_Nativ'!$C$6:$C$405,F84,'Istoric_Nativ'!$E$6:$E$405,G84,'Istoric_Nativ'!$O$6:$O$405,"INVALID",'Istoric_Nativ'!$D$6:$D$405,"*")+COUNTIFS('Istoric_Nativ'!$B$6:$B$405,E84,'Istoric_Nativ'!$C$6:$C$405,F84,'Istoric_Nativ'!$E$6:$E$405,G84,'Istoric_Nativ'!$D$6:$D$405,"&lt;"&amp;J84,'Istoric_Nativ'!$O$6:$O$405,"SOURCE CONFLICT")+COUNTIFS('Istoric_Nativ'!$B$6:$B$405,E84,'Istoric_Nativ'!$C$6:$C$405,F84,'Istoric_Nativ'!$F$6:$F$405,G84,'Istoric_Nativ'!$D$6:$D$405,"&lt;"&amp;J84,'Istoric_Nativ'!$O$6:$O$405,"INVALID")+COUNTIFS('Istoric_Nativ'!$B$6:$B$405,E84,'Istoric_Nativ'!$C$6:$C$405,F84,'Istoric_Nativ'!$F$6:$F$405,G84,'Istoric_Nativ'!$O$6:$O$405,"INVALID",'Istoric_Nativ'!$D$6:$D$405,"*")+COUNTIFS('Istoric_Nativ'!$B$6:$B$405,E84,'Istoric_Nativ'!$C$6:$C$405,F84,'Istoric_Nativ'!$F$6:$F$405,G84,'Istoric_Nativ'!$D$6:$D$405,"&lt;"&amp;J84,'Istoric_Nativ'!$O$6:$O$405,"SOURCE CONFLICT"))</x:f>
        <x:v>0</x:v>
      </x:c>
      <x:c r="T84" s="2" t="str">
        <x:f>IF(B84="","",IF(R84&lt;&gt;"CLOSED",R84,IF(S84&gt;0,"NATIVE INPUT ISSUE",IF(M84=0,"NO HISTORY",IF(M84&lt;P84,"SMALL SAMPLE","DERIVED")))))</x:f>
      </x:c>
      <x:c r="U84" s="2" t="str">
        <x:f>IF(B84="","","NativeTable; "&amp;E84&amp;"; "&amp;F84&amp;"; "&amp;G84&amp;"; "&amp;H84&amp;"; before "&amp;TEXT(J84,"yyyy-mm-dd")&amp;IF(I84="RECENT","; from "&amp;TEXT(L84,"yyyy-mm-dd"),""))</x:f>
      </x:c>
    </x:row>
    <x:row r="85" ht="21" customHeight="1">
      <x:c r="A85" s="2" t="n">
        <x:v>7</x:v>
      </x:c>
      <x:c r="B85" s="2" t="str">
        <x:f>IF('Input_Meci'!A12="","",'Input_Meci'!A12)</x:f>
      </x:c>
      <x:c r="C85" s="2" t="str">
        <x:v>H</x:v>
      </x:c>
      <x:c r="D85" s="2" t="str">
        <x:v>PRIOR</x:v>
      </x:c>
      <x:c r="E85" s="2" t="str">
        <x:f>IF(B85="","",'Input_Meci'!B12)</x:f>
      </x:c>
      <x:c r="F85" s="2" t="str">
        <x:f>IF(B85="","",IF('Input_Meci'!K12="","",'Input_Meci'!K12))</x:f>
      </x:c>
      <x:c r="G85" s="2" t="str">
        <x:f>IF(B85="","",'Input_Meci'!D12)</x:f>
      </x:c>
      <x:c r="H85" s="2" t="str">
        <x:v>HOME</x:v>
      </x:c>
      <x:c r="I85" s="2" t="str">
        <x:v>HA</x:v>
      </x:c>
      <x:c r="J85" s="9" t="n">
        <x:f>IF(AND(B85&lt;&gt;"",ISNUMBER('Input_Meci'!G12)),INT('Input_Meci'!G12),0)</x:f>
        <x:v>0</x:v>
      </x:c>
      <x:c r="K85" s="2" t="n">
        <x:f>IF(OR(B85="",F85=""),0,IF(H85="HOME",COUNTIFS('Istoric_Nativ'!$B$6:$B$405,E85,'Istoric_Nativ'!$C$6:$C$405,F85,'Istoric_Nativ'!$E$6:$E$405,G85,'Istoric_Nativ'!$D$6:$D$405,"&lt;"&amp;J85,'Istoric_Nativ'!$P$6:$P$405,1),IF(H85="AWAY",COUNTIFS('Istoric_Nativ'!$B$6:$B$405,E85,'Istoric_Nativ'!$C$6:$C$405,F85,'Istoric_Nativ'!$F$6:$F$405,G85,'Istoric_Nativ'!$D$6:$D$405,"&lt;"&amp;J85,'Istoric_Nativ'!$P$6:$P$405,1),COUNTIFS('Istoric_Nativ'!$B$6:$B$405,E85,'Istoric_Nativ'!$C$6:$C$405,F85,'Istoric_Nativ'!$E$6:$E$405,G85,'Istoric_Nativ'!$D$6:$D$405,"&lt;"&amp;J85,'Istoric_Nativ'!$P$6:$P$405,1)+COUNTIFS('Istoric_Nativ'!$B$6:$B$405,E85,'Istoric_Nativ'!$C$6:$C$405,F85,'Istoric_Nativ'!$F$6:$F$405,G85,'Istoric_Nativ'!$D$6:$D$405,"&lt;"&amp;J85,'Istoric_Nativ'!$P$6:$P$405,1))))</x:f>
        <x:v>0</x:v>
      </x:c>
      <x:c r="L85" s="17" t="n">
        <x:f>IF(AND(B85&lt;&gt;"",I85="RECENT",K85&gt;0),LARGE(_xlfn._xlws.FILTER('Istoric_Nativ'!$D$6:$D$405,('Istoric_Nativ'!$B$6:$B$405=E85)*('Istoric_Nativ'!$C$6:$C$405=F85)*('Istoric_Nativ'!$P$6:$P$405=1)*('Istoric_Nativ'!$D$6:$D$405&lt;J85)*((('Istoric_Nativ'!$E$6:$E$405=G85)+('Istoric_Nativ'!$F$6:$F$405=G85))&gt;0)),MIN('Config_v6'!$B$54,K85)),0)</x:f>
        <x:v>0</x:v>
      </x:c>
      <x:c r="M85" s="2" t="n">
        <x:f>IF(OR(B85="",F85=""),0,IF(H85="HOME",COUNTIFS('Istoric_Nativ'!$B$6:$B$405,E85,'Istoric_Nativ'!$C$6:$C$405,F85,'Istoric_Nativ'!$E$6:$E$405,G85,'Istoric_Nativ'!$D$6:$D$405,"&lt;"&amp;J85,'Istoric_Nativ'!$P$6:$P$405,1,'Istoric_Nativ'!$D$6:$D$405,"&gt;="&amp;L85),IF(H85="AWAY",COUNTIFS('Istoric_Nativ'!$B$6:$B$405,E85,'Istoric_Nativ'!$C$6:$C$405,F85,'Istoric_Nativ'!$F$6:$F$405,G85,'Istoric_Nativ'!$D$6:$D$405,"&lt;"&amp;J85,'Istoric_Nativ'!$P$6:$P$405,1,'Istoric_Nativ'!$D$6:$D$405,"&gt;="&amp;L85),COUNTIFS('Istoric_Nativ'!$B$6:$B$405,E85,'Istoric_Nativ'!$C$6:$C$405,F85,'Istoric_Nativ'!$E$6:$E$405,G85,'Istoric_Nativ'!$D$6:$D$405,"&lt;"&amp;J85,'Istoric_Nativ'!$P$6:$P$405,1,'Istoric_Nativ'!$D$6:$D$405,"&gt;="&amp;L85)+COUNTIFS('Istoric_Nativ'!$B$6:$B$405,E85,'Istoric_Nativ'!$C$6:$C$405,F85,'Istoric_Nativ'!$F$6:$F$405,G85,'Istoric_Nativ'!$D$6:$D$405,"&lt;"&amp;J85,'Istoric_Nativ'!$P$6:$P$405,1,'Istoric_Nativ'!$D$6:$D$405,"&gt;="&amp;L85))))</x:f>
        <x:v>0</x:v>
      </x:c>
      <x:c r="N85" s="11" t="str">
        <x:f>IF(M85=0,"",IF(H85="HOME",SUMIFS('Istoric_Nativ'!$G$6:$G$405,'Istoric_Nativ'!$B$6:$B$405,E85,'Istoric_Nativ'!$C$6:$C$405,F85,'Istoric_Nativ'!$E$6:$E$405,G85,'Istoric_Nativ'!$D$6:$D$405,"&lt;"&amp;J85,'Istoric_Nativ'!$P$6:$P$405,1,'Istoric_Nativ'!$D$6:$D$405,"&gt;="&amp;L85),IF(H85="AWAY",SUMIFS('Istoric_Nativ'!$H$6:$H$405,'Istoric_Nativ'!$B$6:$B$405,E85,'Istoric_Nativ'!$C$6:$C$405,F85,'Istoric_Nativ'!$F$6:$F$405,G85,'Istoric_Nativ'!$D$6:$D$405,"&lt;"&amp;J85,'Istoric_Nativ'!$P$6:$P$405,1,'Istoric_Nativ'!$D$6:$D$405,"&gt;="&amp;L85),SUMIFS('Istoric_Nativ'!$G$6:$G$405,'Istoric_Nativ'!$B$6:$B$405,E85,'Istoric_Nativ'!$C$6:$C$405,F85,'Istoric_Nativ'!$E$6:$E$405,G85,'Istoric_Nativ'!$D$6:$D$405,"&lt;"&amp;J85,'Istoric_Nativ'!$P$6:$P$405,1,'Istoric_Nativ'!$D$6:$D$405,"&gt;="&amp;L85)+SUMIFS('Istoric_Nativ'!$H$6:$H$405,'Istoric_Nativ'!$B$6:$B$405,E85,'Istoric_Nativ'!$C$6:$C$405,F85,'Istoric_Nativ'!$F$6:$F$405,G85,'Istoric_Nativ'!$D$6:$D$405,"&lt;"&amp;J85,'Istoric_Nativ'!$P$6:$P$405,1,'Istoric_Nativ'!$D$6:$D$405,"&gt;="&amp;L85)))/M85)</x:f>
      </x:c>
      <x:c r="O85" s="11" t="str">
        <x:f>IF(M85=0,"",IF(H85="HOME",SUMIFS('Istoric_Nativ'!$H$6:$H$405,'Istoric_Nativ'!$B$6:$B$405,E85,'Istoric_Nativ'!$C$6:$C$405,F85,'Istoric_Nativ'!$E$6:$E$405,G85,'Istoric_Nativ'!$D$6:$D$405,"&lt;"&amp;J85,'Istoric_Nativ'!$P$6:$P$405,1,'Istoric_Nativ'!$D$6:$D$405,"&gt;="&amp;L85),IF(H85="AWAY",SUMIFS('Istoric_Nativ'!$G$6:$G$405,'Istoric_Nativ'!$B$6:$B$405,E85,'Istoric_Nativ'!$C$6:$C$405,F85,'Istoric_Nativ'!$F$6:$F$405,G85,'Istoric_Nativ'!$D$6:$D$405,"&lt;"&amp;J85,'Istoric_Nativ'!$P$6:$P$405,1,'Istoric_Nativ'!$D$6:$D$405,"&gt;="&amp;L85),SUMIFS('Istoric_Nativ'!$H$6:$H$405,'Istoric_Nativ'!$B$6:$B$405,E85,'Istoric_Nativ'!$C$6:$C$405,F85,'Istoric_Nativ'!$E$6:$E$405,G85,'Istoric_Nativ'!$D$6:$D$405,"&lt;"&amp;J85,'Istoric_Nativ'!$P$6:$P$405,1,'Istoric_Nativ'!$D$6:$D$405,"&gt;="&amp;L85)+SUMIFS('Istoric_Nativ'!$G$6:$G$405,'Istoric_Nativ'!$B$6:$B$405,E85,'Istoric_Nativ'!$C$6:$C$405,F85,'Istoric_Nativ'!$F$6:$F$405,G85,'Istoric_Nativ'!$D$6:$D$405,"&lt;"&amp;J85,'Istoric_Nativ'!$P$6:$P$405,1,'Istoric_Nativ'!$D$6:$D$405,"&gt;="&amp;L85)))/M85)</x:f>
      </x:c>
      <x:c r="P85" s="2" t="n">
        <x:f>'Config_v6'!$B$8</x:f>
        <x:v>5</x:v>
      </x:c>
      <x:c r="Q85" s="2" t="n">
        <x:f>IF(OR(B85="",F85=""),0,IFERROR(MATCH(E85&amp;"|"&amp;F85,SourceTable[Source_Key],0),0))</x:f>
        <x:v>0</x:v>
      </x:c>
      <x:c r="R85" s="2" t="str">
        <x:f>IF(B85="","",IF(F85="","UNUSED",IF(Q85=0,"NOT CHECKED",IF(COUNTIF(SourceTable[Source_Key],E85&amp;"|"&amp;F85)&lt;&gt;1,"SOURCE CONFLICT",IF(NOT(OR(INDEX(SourceTable[Status],MAX(1,Q85))="IMPORTED",INDEX(SourceTable[Status],MAX(1,Q85))="PARTIAL",INDEX(SourceTable[Status],MAX(1,Q85))="SOURCE CONFLICT")),"ACCESS BLOCKED",IF(OR(INDEX(SourceTable[Coverage],Q85)&lt;&gt;"FULL SEASON EXPORT",INDEX(SourceTable[URL],Q85)="",INDEX(SourceTable[SHA256],Q85)=""),"EVIDENCE INCOMPLETE",IF(AND('Input_Meci'!H12="LIVE",INDEX(SourceTable[Retrieved_UTC],Q85)&gt;'Input_Meci'!G12),"POST CUTOFF","CLOSED")))))))</x:f>
      </x:c>
      <x:c r="S85" s="2" t="n">
        <x:f>IF(OR(B85="",F85=""),0,COUNTIFS('Istoric_Nativ'!$B$6:$B$405,E85,'Istoric_Nativ'!$C$6:$C$405,F85,'Istoric_Nativ'!$E$6:$E$405,G85,'Istoric_Nativ'!$D$6:$D$405,"&lt;"&amp;J85,'Istoric_Nativ'!$O$6:$O$405,"INVALID")+COUNTIFS('Istoric_Nativ'!$B$6:$B$405,E85,'Istoric_Nativ'!$C$6:$C$405,F85,'Istoric_Nativ'!$E$6:$E$405,G85,'Istoric_Nativ'!$O$6:$O$405,"INVALID",'Istoric_Nativ'!$D$6:$D$405,"*")+COUNTIFS('Istoric_Nativ'!$B$6:$B$405,E85,'Istoric_Nativ'!$C$6:$C$405,F85,'Istoric_Nativ'!$E$6:$E$405,G85,'Istoric_Nativ'!$D$6:$D$405,"&lt;"&amp;J85,'Istoric_Nativ'!$O$6:$O$405,"SOURCE CONFLICT")+COUNTIFS('Istoric_Nativ'!$B$6:$B$405,E85,'Istoric_Nativ'!$C$6:$C$405,F85,'Istoric_Nativ'!$F$6:$F$405,G85,'Istoric_Nativ'!$D$6:$D$405,"&lt;"&amp;J85,'Istoric_Nativ'!$O$6:$O$405,"INVALID")+COUNTIFS('Istoric_Nativ'!$B$6:$B$405,E85,'Istoric_Nativ'!$C$6:$C$405,F85,'Istoric_Nativ'!$F$6:$F$405,G85,'Istoric_Nativ'!$O$6:$O$405,"INVALID",'Istoric_Nativ'!$D$6:$D$405,"*")+COUNTIFS('Istoric_Nativ'!$B$6:$B$405,E85,'Istoric_Nativ'!$C$6:$C$405,F85,'Istoric_Nativ'!$F$6:$F$405,G85,'Istoric_Nativ'!$D$6:$D$405,"&lt;"&amp;J85,'Istoric_Nativ'!$O$6:$O$405,"SOURCE CONFLICT"))</x:f>
        <x:v>0</x:v>
      </x:c>
      <x:c r="T85" s="2" t="str">
        <x:f>IF(B85="","",IF(R85&lt;&gt;"CLOSED",R85,IF(S85&gt;0,"NATIVE INPUT ISSUE",IF(M85=0,"NO HISTORY",IF(M85&lt;P85,"SMALL SAMPLE","DERIVED")))))</x:f>
      </x:c>
      <x:c r="U85" s="2" t="str">
        <x:f>IF(B85="","","NativeTable; "&amp;E85&amp;"; "&amp;F85&amp;"; "&amp;G85&amp;"; "&amp;H85&amp;"; before "&amp;TEXT(J85,"yyyy-mm-dd")&amp;IF(I85="RECENT","; from "&amp;TEXT(L85,"yyyy-mm-dd"),""))</x:f>
      </x:c>
    </x:row>
    <x:row r="86" ht="21" customHeight="1">
      <x:c r="A86" s="2" t="n">
        <x:v>7</x:v>
      </x:c>
      <x:c r="B86" s="2" t="str">
        <x:f>IF('Input_Meci'!A12="","",'Input_Meci'!A12)</x:f>
      </x:c>
      <x:c r="C86" s="2" t="str">
        <x:v>H</x:v>
      </x:c>
      <x:c r="D86" s="2" t="str">
        <x:v>PRIOR</x:v>
      </x:c>
      <x:c r="E86" s="2" t="str">
        <x:f>IF(B86="","",'Input_Meci'!B12)</x:f>
      </x:c>
      <x:c r="F86" s="2" t="str">
        <x:f>IF(B86="","",IF('Input_Meci'!K12="","",'Input_Meci'!K12))</x:f>
      </x:c>
      <x:c r="G86" s="2" t="str">
        <x:f>IF(B86="","",'Input_Meci'!D12)</x:f>
      </x:c>
      <x:c r="H86" s="2" t="str">
        <x:v>ANY</x:v>
      </x:c>
      <x:c r="I86" s="2" t="str">
        <x:v>RECENT</x:v>
      </x:c>
      <x:c r="J86" s="9" t="n">
        <x:f>IF(AND(B86&lt;&gt;"",ISNUMBER('Input_Meci'!G12)),INT('Input_Meci'!G12),0)</x:f>
        <x:v>0</x:v>
      </x:c>
      <x:c r="K86" s="2" t="n">
        <x:f>IF(OR(B86="",F86=""),0,IF(H86="HOME",COUNTIFS('Istoric_Nativ'!$B$6:$B$405,E86,'Istoric_Nativ'!$C$6:$C$405,F86,'Istoric_Nativ'!$E$6:$E$405,G86,'Istoric_Nativ'!$D$6:$D$405,"&lt;"&amp;J86,'Istoric_Nativ'!$P$6:$P$405,1),IF(H86="AWAY",COUNTIFS('Istoric_Nativ'!$B$6:$B$405,E86,'Istoric_Nativ'!$C$6:$C$405,F86,'Istoric_Nativ'!$F$6:$F$405,G86,'Istoric_Nativ'!$D$6:$D$405,"&lt;"&amp;J86,'Istoric_Nativ'!$P$6:$P$405,1),COUNTIFS('Istoric_Nativ'!$B$6:$B$405,E86,'Istoric_Nativ'!$C$6:$C$405,F86,'Istoric_Nativ'!$E$6:$E$405,G86,'Istoric_Nativ'!$D$6:$D$405,"&lt;"&amp;J86,'Istoric_Nativ'!$P$6:$P$405,1)+COUNTIFS('Istoric_Nativ'!$B$6:$B$405,E86,'Istoric_Nativ'!$C$6:$C$405,F86,'Istoric_Nativ'!$F$6:$F$405,G86,'Istoric_Nativ'!$D$6:$D$405,"&lt;"&amp;J86,'Istoric_Nativ'!$P$6:$P$405,1))))</x:f>
        <x:v>0</x:v>
      </x:c>
      <x:c r="L86" s="17" t="n">
        <x:f>IF(AND(B86&lt;&gt;"",I86="RECENT",K86&gt;0),LARGE(_xlfn._xlws.FILTER('Istoric_Nativ'!$D$6:$D$405,('Istoric_Nativ'!$B$6:$B$405=E86)*('Istoric_Nativ'!$C$6:$C$405=F86)*('Istoric_Nativ'!$P$6:$P$405=1)*('Istoric_Nativ'!$D$6:$D$405&lt;J86)*((('Istoric_Nativ'!$E$6:$E$405=G86)+('Istoric_Nativ'!$F$6:$F$405=G86))&gt;0)),MIN('Config_v6'!$B$54,K86)),0)</x:f>
        <x:v>0</x:v>
      </x:c>
      <x:c r="M86" s="2" t="n">
        <x:f>IF(OR(B86="",F86=""),0,IF(H86="HOME",COUNTIFS('Istoric_Nativ'!$B$6:$B$405,E86,'Istoric_Nativ'!$C$6:$C$405,F86,'Istoric_Nativ'!$E$6:$E$405,G86,'Istoric_Nativ'!$D$6:$D$405,"&lt;"&amp;J86,'Istoric_Nativ'!$P$6:$P$405,1,'Istoric_Nativ'!$D$6:$D$405,"&gt;="&amp;L86),IF(H86="AWAY",COUNTIFS('Istoric_Nativ'!$B$6:$B$405,E86,'Istoric_Nativ'!$C$6:$C$405,F86,'Istoric_Nativ'!$F$6:$F$405,G86,'Istoric_Nativ'!$D$6:$D$405,"&lt;"&amp;J86,'Istoric_Nativ'!$P$6:$P$405,1,'Istoric_Nativ'!$D$6:$D$405,"&gt;="&amp;L86),COUNTIFS('Istoric_Nativ'!$B$6:$B$405,E86,'Istoric_Nativ'!$C$6:$C$405,F86,'Istoric_Nativ'!$E$6:$E$405,G86,'Istoric_Nativ'!$D$6:$D$405,"&lt;"&amp;J86,'Istoric_Nativ'!$P$6:$P$405,1,'Istoric_Nativ'!$D$6:$D$405,"&gt;="&amp;L86)+COUNTIFS('Istoric_Nativ'!$B$6:$B$405,E86,'Istoric_Nativ'!$C$6:$C$405,F86,'Istoric_Nativ'!$F$6:$F$405,G86,'Istoric_Nativ'!$D$6:$D$405,"&lt;"&amp;J86,'Istoric_Nativ'!$P$6:$P$405,1,'Istoric_Nativ'!$D$6:$D$405,"&gt;="&amp;L86))))</x:f>
        <x:v>0</x:v>
      </x:c>
      <x:c r="N86" s="11" t="str">
        <x:f>IF(M86=0,"",IF(H86="HOME",SUMIFS('Istoric_Nativ'!$G$6:$G$405,'Istoric_Nativ'!$B$6:$B$405,E86,'Istoric_Nativ'!$C$6:$C$405,F86,'Istoric_Nativ'!$E$6:$E$405,G86,'Istoric_Nativ'!$D$6:$D$405,"&lt;"&amp;J86,'Istoric_Nativ'!$P$6:$P$405,1,'Istoric_Nativ'!$D$6:$D$405,"&gt;="&amp;L86),IF(H86="AWAY",SUMIFS('Istoric_Nativ'!$H$6:$H$405,'Istoric_Nativ'!$B$6:$B$405,E86,'Istoric_Nativ'!$C$6:$C$405,F86,'Istoric_Nativ'!$F$6:$F$405,G86,'Istoric_Nativ'!$D$6:$D$405,"&lt;"&amp;J86,'Istoric_Nativ'!$P$6:$P$405,1,'Istoric_Nativ'!$D$6:$D$405,"&gt;="&amp;L86),SUMIFS('Istoric_Nativ'!$G$6:$G$405,'Istoric_Nativ'!$B$6:$B$405,E86,'Istoric_Nativ'!$C$6:$C$405,F86,'Istoric_Nativ'!$E$6:$E$405,G86,'Istoric_Nativ'!$D$6:$D$405,"&lt;"&amp;J86,'Istoric_Nativ'!$P$6:$P$405,1,'Istoric_Nativ'!$D$6:$D$405,"&gt;="&amp;L86)+SUMIFS('Istoric_Nativ'!$H$6:$H$405,'Istoric_Nativ'!$B$6:$B$405,E86,'Istoric_Nativ'!$C$6:$C$405,F86,'Istoric_Nativ'!$F$6:$F$405,G86,'Istoric_Nativ'!$D$6:$D$405,"&lt;"&amp;J86,'Istoric_Nativ'!$P$6:$P$405,1,'Istoric_Nativ'!$D$6:$D$405,"&gt;="&amp;L86)))/M86)</x:f>
      </x:c>
      <x:c r="O86" s="11" t="str">
        <x:f>IF(M86=0,"",IF(H86="HOME",SUMIFS('Istoric_Nativ'!$H$6:$H$405,'Istoric_Nativ'!$B$6:$B$405,E86,'Istoric_Nativ'!$C$6:$C$405,F86,'Istoric_Nativ'!$E$6:$E$405,G86,'Istoric_Nativ'!$D$6:$D$405,"&lt;"&amp;J86,'Istoric_Nativ'!$P$6:$P$405,1,'Istoric_Nativ'!$D$6:$D$405,"&gt;="&amp;L86),IF(H86="AWAY",SUMIFS('Istoric_Nativ'!$G$6:$G$405,'Istoric_Nativ'!$B$6:$B$405,E86,'Istoric_Nativ'!$C$6:$C$405,F86,'Istoric_Nativ'!$F$6:$F$405,G86,'Istoric_Nativ'!$D$6:$D$405,"&lt;"&amp;J86,'Istoric_Nativ'!$P$6:$P$405,1,'Istoric_Nativ'!$D$6:$D$405,"&gt;="&amp;L86),SUMIFS('Istoric_Nativ'!$H$6:$H$405,'Istoric_Nativ'!$B$6:$B$405,E86,'Istoric_Nativ'!$C$6:$C$405,F86,'Istoric_Nativ'!$E$6:$E$405,G86,'Istoric_Nativ'!$D$6:$D$405,"&lt;"&amp;J86,'Istoric_Nativ'!$P$6:$P$405,1,'Istoric_Nativ'!$D$6:$D$405,"&gt;="&amp;L86)+SUMIFS('Istoric_Nativ'!$G$6:$G$405,'Istoric_Nativ'!$B$6:$B$405,E86,'Istoric_Nativ'!$C$6:$C$405,F86,'Istoric_Nativ'!$F$6:$F$405,G86,'Istoric_Nativ'!$D$6:$D$405,"&lt;"&amp;J86,'Istoric_Nativ'!$P$6:$P$405,1,'Istoric_Nativ'!$D$6:$D$405,"&gt;="&amp;L86)))/M86)</x:f>
      </x:c>
      <x:c r="P86" s="2" t="n">
        <x:f>'Config_v6'!$B$9</x:f>
        <x:v>3</x:v>
      </x:c>
      <x:c r="Q86" s="2" t="n">
        <x:f>IF(OR(B86="",F86=""),0,IFERROR(MATCH(E86&amp;"|"&amp;F86,SourceTable[Source_Key],0),0))</x:f>
        <x:v>0</x:v>
      </x:c>
      <x:c r="R86" s="2" t="str">
        <x:f>IF(B86="","",IF(F86="","UNUSED",IF(Q86=0,"NOT CHECKED",IF(COUNTIF(SourceTable[Source_Key],E86&amp;"|"&amp;F86)&lt;&gt;1,"SOURCE CONFLICT",IF(NOT(OR(INDEX(SourceTable[Status],MAX(1,Q86))="IMPORTED",INDEX(SourceTable[Status],MAX(1,Q86))="PARTIAL",INDEX(SourceTable[Status],MAX(1,Q86))="SOURCE CONFLICT")),"ACCESS BLOCKED",IF(OR(INDEX(SourceTable[Coverage],Q86)&lt;&gt;"FULL SEASON EXPORT",INDEX(SourceTable[URL],Q86)="",INDEX(SourceTable[SHA256],Q86)=""),"EVIDENCE INCOMPLETE",IF(AND('Input_Meci'!H12="LIVE",INDEX(SourceTable[Retrieved_UTC],Q86)&gt;'Input_Meci'!G12),"POST CUTOFF","CLOSED")))))))</x:f>
      </x:c>
      <x:c r="S86" s="2" t="n">
        <x:f>IF(OR(B86="",F86=""),0,COUNTIFS('Istoric_Nativ'!$B$6:$B$405,E86,'Istoric_Nativ'!$C$6:$C$405,F86,'Istoric_Nativ'!$E$6:$E$405,G86,'Istoric_Nativ'!$D$6:$D$405,"&lt;"&amp;J86,'Istoric_Nativ'!$O$6:$O$405,"INVALID")+COUNTIFS('Istoric_Nativ'!$B$6:$B$405,E86,'Istoric_Nativ'!$C$6:$C$405,F86,'Istoric_Nativ'!$E$6:$E$405,G86,'Istoric_Nativ'!$O$6:$O$405,"INVALID",'Istoric_Nativ'!$D$6:$D$405,"*")+COUNTIFS('Istoric_Nativ'!$B$6:$B$405,E86,'Istoric_Nativ'!$C$6:$C$405,F86,'Istoric_Nativ'!$E$6:$E$405,G86,'Istoric_Nativ'!$D$6:$D$405,"&lt;"&amp;J86,'Istoric_Nativ'!$O$6:$O$405,"SOURCE CONFLICT")+COUNTIFS('Istoric_Nativ'!$B$6:$B$405,E86,'Istoric_Nativ'!$C$6:$C$405,F86,'Istoric_Nativ'!$F$6:$F$405,G86,'Istoric_Nativ'!$D$6:$D$405,"&lt;"&amp;J86,'Istoric_Nativ'!$O$6:$O$405,"INVALID")+COUNTIFS('Istoric_Nativ'!$B$6:$B$405,E86,'Istoric_Nativ'!$C$6:$C$405,F86,'Istoric_Nativ'!$F$6:$F$405,G86,'Istoric_Nativ'!$O$6:$O$405,"INVALID",'Istoric_Nativ'!$D$6:$D$405,"*")+COUNTIFS('Istoric_Nativ'!$B$6:$B$405,E86,'Istoric_Nativ'!$C$6:$C$405,F86,'Istoric_Nativ'!$F$6:$F$405,G86,'Istoric_Nativ'!$D$6:$D$405,"&lt;"&amp;J86,'Istoric_Nativ'!$O$6:$O$405,"SOURCE CONFLICT"))</x:f>
        <x:v>0</x:v>
      </x:c>
      <x:c r="T86" s="2" t="str">
        <x:f>IF(B86="","",IF(R86&lt;&gt;"CLOSED",R86,IF(S86&gt;0,"NATIVE INPUT ISSUE",IF(M86=0,"NO HISTORY",IF(M86&lt;P86,"SMALL SAMPLE","DERIVED")))))</x:f>
      </x:c>
      <x:c r="U86" s="2" t="str">
        <x:f>IF(B86="","","NativeTable; "&amp;E86&amp;"; "&amp;F86&amp;"; "&amp;G86&amp;"; "&amp;H86&amp;"; before "&amp;TEXT(J86,"yyyy-mm-dd")&amp;IF(I86="RECENT","; from "&amp;TEXT(L86,"yyyy-mm-dd"),""))</x:f>
      </x:c>
    </x:row>
    <x:row r="87" ht="21" customHeight="1">
      <x:c r="A87" s="2" t="n">
        <x:v>7</x:v>
      </x:c>
      <x:c r="B87" s="2" t="str">
        <x:f>IF('Input_Meci'!A12="","",'Input_Meci'!A12)</x:f>
      </x:c>
      <x:c r="C87" s="2" t="str">
        <x:v>A</x:v>
      </x:c>
      <x:c r="D87" s="2" t="str">
        <x:v>PRIOR</x:v>
      </x:c>
      <x:c r="E87" s="2" t="str">
        <x:f>IF(B87="","",'Input_Meci'!B12)</x:f>
      </x:c>
      <x:c r="F87" s="2" t="str">
        <x:f>IF(B87="","",IF('Input_Meci'!K12="","",'Input_Meci'!K12))</x:f>
      </x:c>
      <x:c r="G87" s="2" t="str">
        <x:f>IF(B87="","",'Input_Meci'!E12)</x:f>
      </x:c>
      <x:c r="H87" s="2" t="str">
        <x:v>ANY</x:v>
      </x:c>
      <x:c r="I87" s="2" t="str">
        <x:v>SEASON</x:v>
      </x:c>
      <x:c r="J87" s="9" t="n">
        <x:f>IF(AND(B87&lt;&gt;"",ISNUMBER('Input_Meci'!G12)),INT('Input_Meci'!G12),0)</x:f>
        <x:v>0</x:v>
      </x:c>
      <x:c r="K87" s="2" t="n">
        <x:f>IF(OR(B87="",F87=""),0,IF(H87="HOME",COUNTIFS('Istoric_Nativ'!$B$6:$B$405,E87,'Istoric_Nativ'!$C$6:$C$405,F87,'Istoric_Nativ'!$E$6:$E$405,G87,'Istoric_Nativ'!$D$6:$D$405,"&lt;"&amp;J87,'Istoric_Nativ'!$P$6:$P$405,1),IF(H87="AWAY",COUNTIFS('Istoric_Nativ'!$B$6:$B$405,E87,'Istoric_Nativ'!$C$6:$C$405,F87,'Istoric_Nativ'!$F$6:$F$405,G87,'Istoric_Nativ'!$D$6:$D$405,"&lt;"&amp;J87,'Istoric_Nativ'!$P$6:$P$405,1),COUNTIFS('Istoric_Nativ'!$B$6:$B$405,E87,'Istoric_Nativ'!$C$6:$C$405,F87,'Istoric_Nativ'!$E$6:$E$405,G87,'Istoric_Nativ'!$D$6:$D$405,"&lt;"&amp;J87,'Istoric_Nativ'!$P$6:$P$405,1)+COUNTIFS('Istoric_Nativ'!$B$6:$B$405,E87,'Istoric_Nativ'!$C$6:$C$405,F87,'Istoric_Nativ'!$F$6:$F$405,G87,'Istoric_Nativ'!$D$6:$D$405,"&lt;"&amp;J87,'Istoric_Nativ'!$P$6:$P$405,1))))</x:f>
        <x:v>0</x:v>
      </x:c>
      <x:c r="L87" s="17" t="n">
        <x:f>IF(AND(B87&lt;&gt;"",I87="RECENT",K87&gt;0),LARGE(_xlfn._xlws.FILTER('Istoric_Nativ'!$D$6:$D$405,('Istoric_Nativ'!$B$6:$B$405=E87)*('Istoric_Nativ'!$C$6:$C$405=F87)*('Istoric_Nativ'!$P$6:$P$405=1)*('Istoric_Nativ'!$D$6:$D$405&lt;J87)*((('Istoric_Nativ'!$E$6:$E$405=G87)+('Istoric_Nativ'!$F$6:$F$405=G87))&gt;0)),MIN('Config_v6'!$B$54,K87)),0)</x:f>
        <x:v>0</x:v>
      </x:c>
      <x:c r="M87" s="2" t="n">
        <x:f>IF(OR(B87="",F87=""),0,IF(H87="HOME",COUNTIFS('Istoric_Nativ'!$B$6:$B$405,E87,'Istoric_Nativ'!$C$6:$C$405,F87,'Istoric_Nativ'!$E$6:$E$405,G87,'Istoric_Nativ'!$D$6:$D$405,"&lt;"&amp;J87,'Istoric_Nativ'!$P$6:$P$405,1,'Istoric_Nativ'!$D$6:$D$405,"&gt;="&amp;L87),IF(H87="AWAY",COUNTIFS('Istoric_Nativ'!$B$6:$B$405,E87,'Istoric_Nativ'!$C$6:$C$405,F87,'Istoric_Nativ'!$F$6:$F$405,G87,'Istoric_Nativ'!$D$6:$D$405,"&lt;"&amp;J87,'Istoric_Nativ'!$P$6:$P$405,1,'Istoric_Nativ'!$D$6:$D$405,"&gt;="&amp;L87),COUNTIFS('Istoric_Nativ'!$B$6:$B$405,E87,'Istoric_Nativ'!$C$6:$C$405,F87,'Istoric_Nativ'!$E$6:$E$405,G87,'Istoric_Nativ'!$D$6:$D$405,"&lt;"&amp;J87,'Istoric_Nativ'!$P$6:$P$405,1,'Istoric_Nativ'!$D$6:$D$405,"&gt;="&amp;L87)+COUNTIFS('Istoric_Nativ'!$B$6:$B$405,E87,'Istoric_Nativ'!$C$6:$C$405,F87,'Istoric_Nativ'!$F$6:$F$405,G87,'Istoric_Nativ'!$D$6:$D$405,"&lt;"&amp;J87,'Istoric_Nativ'!$P$6:$P$405,1,'Istoric_Nativ'!$D$6:$D$405,"&gt;="&amp;L87))))</x:f>
        <x:v>0</x:v>
      </x:c>
      <x:c r="N87" s="11" t="str">
        <x:f>IF(M87=0,"",IF(H87="HOME",SUMIFS('Istoric_Nativ'!$G$6:$G$405,'Istoric_Nativ'!$B$6:$B$405,E87,'Istoric_Nativ'!$C$6:$C$405,F87,'Istoric_Nativ'!$E$6:$E$405,G87,'Istoric_Nativ'!$D$6:$D$405,"&lt;"&amp;J87,'Istoric_Nativ'!$P$6:$P$405,1,'Istoric_Nativ'!$D$6:$D$405,"&gt;="&amp;L87),IF(H87="AWAY",SUMIFS('Istoric_Nativ'!$H$6:$H$405,'Istoric_Nativ'!$B$6:$B$405,E87,'Istoric_Nativ'!$C$6:$C$405,F87,'Istoric_Nativ'!$F$6:$F$405,G87,'Istoric_Nativ'!$D$6:$D$405,"&lt;"&amp;J87,'Istoric_Nativ'!$P$6:$P$405,1,'Istoric_Nativ'!$D$6:$D$405,"&gt;="&amp;L87),SUMIFS('Istoric_Nativ'!$G$6:$G$405,'Istoric_Nativ'!$B$6:$B$405,E87,'Istoric_Nativ'!$C$6:$C$405,F87,'Istoric_Nativ'!$E$6:$E$405,G87,'Istoric_Nativ'!$D$6:$D$405,"&lt;"&amp;J87,'Istoric_Nativ'!$P$6:$P$405,1,'Istoric_Nativ'!$D$6:$D$405,"&gt;="&amp;L87)+SUMIFS('Istoric_Nativ'!$H$6:$H$405,'Istoric_Nativ'!$B$6:$B$405,E87,'Istoric_Nativ'!$C$6:$C$405,F87,'Istoric_Nativ'!$F$6:$F$405,G87,'Istoric_Nativ'!$D$6:$D$405,"&lt;"&amp;J87,'Istoric_Nativ'!$P$6:$P$405,1,'Istoric_Nativ'!$D$6:$D$405,"&gt;="&amp;L87)))/M87)</x:f>
      </x:c>
      <x:c r="O87" s="11" t="str">
        <x:f>IF(M87=0,"",IF(H87="HOME",SUMIFS('Istoric_Nativ'!$H$6:$H$405,'Istoric_Nativ'!$B$6:$B$405,E87,'Istoric_Nativ'!$C$6:$C$405,F87,'Istoric_Nativ'!$E$6:$E$405,G87,'Istoric_Nativ'!$D$6:$D$405,"&lt;"&amp;J87,'Istoric_Nativ'!$P$6:$P$405,1,'Istoric_Nativ'!$D$6:$D$405,"&gt;="&amp;L87),IF(H87="AWAY",SUMIFS('Istoric_Nativ'!$G$6:$G$405,'Istoric_Nativ'!$B$6:$B$405,E87,'Istoric_Nativ'!$C$6:$C$405,F87,'Istoric_Nativ'!$F$6:$F$405,G87,'Istoric_Nativ'!$D$6:$D$405,"&lt;"&amp;J87,'Istoric_Nativ'!$P$6:$P$405,1,'Istoric_Nativ'!$D$6:$D$405,"&gt;="&amp;L87),SUMIFS('Istoric_Nativ'!$H$6:$H$405,'Istoric_Nativ'!$B$6:$B$405,E87,'Istoric_Nativ'!$C$6:$C$405,F87,'Istoric_Nativ'!$E$6:$E$405,G87,'Istoric_Nativ'!$D$6:$D$405,"&lt;"&amp;J87,'Istoric_Nativ'!$P$6:$P$405,1,'Istoric_Nativ'!$D$6:$D$405,"&gt;="&amp;L87)+SUMIFS('Istoric_Nativ'!$G$6:$G$405,'Istoric_Nativ'!$B$6:$B$405,E87,'Istoric_Nativ'!$C$6:$C$405,F87,'Istoric_Nativ'!$F$6:$F$405,G87,'Istoric_Nativ'!$D$6:$D$405,"&lt;"&amp;J87,'Istoric_Nativ'!$P$6:$P$405,1,'Istoric_Nativ'!$D$6:$D$405,"&gt;="&amp;L87)))/M87)</x:f>
      </x:c>
      <x:c r="P87" s="2" t="n">
        <x:f>'Config_v6'!$B$7</x:f>
        <x:v>10</x:v>
      </x:c>
      <x:c r="Q87" s="2" t="n">
        <x:f>IF(OR(B87="",F87=""),0,IFERROR(MATCH(E87&amp;"|"&amp;F87,SourceTable[Source_Key],0),0))</x:f>
        <x:v>0</x:v>
      </x:c>
      <x:c r="R87" s="2" t="str">
        <x:f>IF(B87="","",IF(F87="","UNUSED",IF(Q87=0,"NOT CHECKED",IF(COUNTIF(SourceTable[Source_Key],E87&amp;"|"&amp;F87)&lt;&gt;1,"SOURCE CONFLICT",IF(NOT(OR(INDEX(SourceTable[Status],MAX(1,Q87))="IMPORTED",INDEX(SourceTable[Status],MAX(1,Q87))="PARTIAL",INDEX(SourceTable[Status],MAX(1,Q87))="SOURCE CONFLICT")),"ACCESS BLOCKED",IF(OR(INDEX(SourceTable[Coverage],Q87)&lt;&gt;"FULL SEASON EXPORT",INDEX(SourceTable[URL],Q87)="",INDEX(SourceTable[SHA256],Q87)=""),"EVIDENCE INCOMPLETE",IF(AND('Input_Meci'!H12="LIVE",INDEX(SourceTable[Retrieved_UTC],Q87)&gt;'Input_Meci'!G12),"POST CUTOFF","CLOSED")))))))</x:f>
      </x:c>
      <x:c r="S87" s="2" t="n">
        <x:f>IF(OR(B87="",F87=""),0,COUNTIFS('Istoric_Nativ'!$B$6:$B$405,E87,'Istoric_Nativ'!$C$6:$C$405,F87,'Istoric_Nativ'!$E$6:$E$405,G87,'Istoric_Nativ'!$D$6:$D$405,"&lt;"&amp;J87,'Istoric_Nativ'!$O$6:$O$405,"INVALID")+COUNTIFS('Istoric_Nativ'!$B$6:$B$405,E87,'Istoric_Nativ'!$C$6:$C$405,F87,'Istoric_Nativ'!$E$6:$E$405,G87,'Istoric_Nativ'!$O$6:$O$405,"INVALID",'Istoric_Nativ'!$D$6:$D$405,"*")+COUNTIFS('Istoric_Nativ'!$B$6:$B$405,E87,'Istoric_Nativ'!$C$6:$C$405,F87,'Istoric_Nativ'!$E$6:$E$405,G87,'Istoric_Nativ'!$D$6:$D$405,"&lt;"&amp;J87,'Istoric_Nativ'!$O$6:$O$405,"SOURCE CONFLICT")+COUNTIFS('Istoric_Nativ'!$B$6:$B$405,E87,'Istoric_Nativ'!$C$6:$C$405,F87,'Istoric_Nativ'!$F$6:$F$405,G87,'Istoric_Nativ'!$D$6:$D$405,"&lt;"&amp;J87,'Istoric_Nativ'!$O$6:$O$405,"INVALID")+COUNTIFS('Istoric_Nativ'!$B$6:$B$405,E87,'Istoric_Nativ'!$C$6:$C$405,F87,'Istoric_Nativ'!$F$6:$F$405,G87,'Istoric_Nativ'!$O$6:$O$405,"INVALID",'Istoric_Nativ'!$D$6:$D$405,"*")+COUNTIFS('Istoric_Nativ'!$B$6:$B$405,E87,'Istoric_Nativ'!$C$6:$C$405,F87,'Istoric_Nativ'!$F$6:$F$405,G87,'Istoric_Nativ'!$D$6:$D$405,"&lt;"&amp;J87,'Istoric_Nativ'!$O$6:$O$405,"SOURCE CONFLICT"))</x:f>
        <x:v>0</x:v>
      </x:c>
      <x:c r="T87" s="2" t="str">
        <x:f>IF(B87="","",IF(R87&lt;&gt;"CLOSED",R87,IF(S87&gt;0,"NATIVE INPUT ISSUE",IF(M87=0,"NO HISTORY",IF(M87&lt;P87,"SMALL SAMPLE","DERIVED")))))</x:f>
      </x:c>
      <x:c r="U87" s="2" t="str">
        <x:f>IF(B87="","","NativeTable; "&amp;E87&amp;"; "&amp;F87&amp;"; "&amp;G87&amp;"; "&amp;H87&amp;"; before "&amp;TEXT(J87,"yyyy-mm-dd")&amp;IF(I87="RECENT","; from "&amp;TEXT(L87,"yyyy-mm-dd"),""))</x:f>
      </x:c>
    </x:row>
    <x:row r="88" ht="21" customHeight="1">
      <x:c r="A88" s="2" t="n">
        <x:v>7</x:v>
      </x:c>
      <x:c r="B88" s="2" t="str">
        <x:f>IF('Input_Meci'!A12="","",'Input_Meci'!A12)</x:f>
      </x:c>
      <x:c r="C88" s="2" t="str">
        <x:v>A</x:v>
      </x:c>
      <x:c r="D88" s="2" t="str">
        <x:v>PRIOR</x:v>
      </x:c>
      <x:c r="E88" s="2" t="str">
        <x:f>IF(B88="","",'Input_Meci'!B12)</x:f>
      </x:c>
      <x:c r="F88" s="2" t="str">
        <x:f>IF(B88="","",IF('Input_Meci'!K12="","",'Input_Meci'!K12))</x:f>
      </x:c>
      <x:c r="G88" s="2" t="str">
        <x:f>IF(B88="","",'Input_Meci'!E12)</x:f>
      </x:c>
      <x:c r="H88" s="2" t="str">
        <x:v>AWAY</x:v>
      </x:c>
      <x:c r="I88" s="2" t="str">
        <x:v>HA</x:v>
      </x:c>
      <x:c r="J88" s="9" t="n">
        <x:f>IF(AND(B88&lt;&gt;"",ISNUMBER('Input_Meci'!G12)),INT('Input_Meci'!G12),0)</x:f>
        <x:v>0</x:v>
      </x:c>
      <x:c r="K88" s="2" t="n">
        <x:f>IF(OR(B88="",F88=""),0,IF(H88="HOME",COUNTIFS('Istoric_Nativ'!$B$6:$B$405,E88,'Istoric_Nativ'!$C$6:$C$405,F88,'Istoric_Nativ'!$E$6:$E$405,G88,'Istoric_Nativ'!$D$6:$D$405,"&lt;"&amp;J88,'Istoric_Nativ'!$P$6:$P$405,1),IF(H88="AWAY",COUNTIFS('Istoric_Nativ'!$B$6:$B$405,E88,'Istoric_Nativ'!$C$6:$C$405,F88,'Istoric_Nativ'!$F$6:$F$405,G88,'Istoric_Nativ'!$D$6:$D$405,"&lt;"&amp;J88,'Istoric_Nativ'!$P$6:$P$405,1),COUNTIFS('Istoric_Nativ'!$B$6:$B$405,E88,'Istoric_Nativ'!$C$6:$C$405,F88,'Istoric_Nativ'!$E$6:$E$405,G88,'Istoric_Nativ'!$D$6:$D$405,"&lt;"&amp;J88,'Istoric_Nativ'!$P$6:$P$405,1)+COUNTIFS('Istoric_Nativ'!$B$6:$B$405,E88,'Istoric_Nativ'!$C$6:$C$405,F88,'Istoric_Nativ'!$F$6:$F$405,G88,'Istoric_Nativ'!$D$6:$D$405,"&lt;"&amp;J88,'Istoric_Nativ'!$P$6:$P$405,1))))</x:f>
        <x:v>0</x:v>
      </x:c>
      <x:c r="L88" s="17" t="n">
        <x:f>IF(AND(B88&lt;&gt;"",I88="RECENT",K88&gt;0),LARGE(_xlfn._xlws.FILTER('Istoric_Nativ'!$D$6:$D$405,('Istoric_Nativ'!$B$6:$B$405=E88)*('Istoric_Nativ'!$C$6:$C$405=F88)*('Istoric_Nativ'!$P$6:$P$405=1)*('Istoric_Nativ'!$D$6:$D$405&lt;J88)*((('Istoric_Nativ'!$E$6:$E$405=G88)+('Istoric_Nativ'!$F$6:$F$405=G88))&gt;0)),MIN('Config_v6'!$B$54,K88)),0)</x:f>
        <x:v>0</x:v>
      </x:c>
      <x:c r="M88" s="2" t="n">
        <x:f>IF(OR(B88="",F88=""),0,IF(H88="HOME",COUNTIFS('Istoric_Nativ'!$B$6:$B$405,E88,'Istoric_Nativ'!$C$6:$C$405,F88,'Istoric_Nativ'!$E$6:$E$405,G88,'Istoric_Nativ'!$D$6:$D$405,"&lt;"&amp;J88,'Istoric_Nativ'!$P$6:$P$405,1,'Istoric_Nativ'!$D$6:$D$405,"&gt;="&amp;L88),IF(H88="AWAY",COUNTIFS('Istoric_Nativ'!$B$6:$B$405,E88,'Istoric_Nativ'!$C$6:$C$405,F88,'Istoric_Nativ'!$F$6:$F$405,G88,'Istoric_Nativ'!$D$6:$D$405,"&lt;"&amp;J88,'Istoric_Nativ'!$P$6:$P$405,1,'Istoric_Nativ'!$D$6:$D$405,"&gt;="&amp;L88),COUNTIFS('Istoric_Nativ'!$B$6:$B$405,E88,'Istoric_Nativ'!$C$6:$C$405,F88,'Istoric_Nativ'!$E$6:$E$405,G88,'Istoric_Nativ'!$D$6:$D$405,"&lt;"&amp;J88,'Istoric_Nativ'!$P$6:$P$405,1,'Istoric_Nativ'!$D$6:$D$405,"&gt;="&amp;L88)+COUNTIFS('Istoric_Nativ'!$B$6:$B$405,E88,'Istoric_Nativ'!$C$6:$C$405,F88,'Istoric_Nativ'!$F$6:$F$405,G88,'Istoric_Nativ'!$D$6:$D$405,"&lt;"&amp;J88,'Istoric_Nativ'!$P$6:$P$405,1,'Istoric_Nativ'!$D$6:$D$405,"&gt;="&amp;L88))))</x:f>
        <x:v>0</x:v>
      </x:c>
      <x:c r="N88" s="11" t="str">
        <x:f>IF(M88=0,"",IF(H88="HOME",SUMIFS('Istoric_Nativ'!$G$6:$G$405,'Istoric_Nativ'!$B$6:$B$405,E88,'Istoric_Nativ'!$C$6:$C$405,F88,'Istoric_Nativ'!$E$6:$E$405,G88,'Istoric_Nativ'!$D$6:$D$405,"&lt;"&amp;J88,'Istoric_Nativ'!$P$6:$P$405,1,'Istoric_Nativ'!$D$6:$D$405,"&gt;="&amp;L88),IF(H88="AWAY",SUMIFS('Istoric_Nativ'!$H$6:$H$405,'Istoric_Nativ'!$B$6:$B$405,E88,'Istoric_Nativ'!$C$6:$C$405,F88,'Istoric_Nativ'!$F$6:$F$405,G88,'Istoric_Nativ'!$D$6:$D$405,"&lt;"&amp;J88,'Istoric_Nativ'!$P$6:$P$405,1,'Istoric_Nativ'!$D$6:$D$405,"&gt;="&amp;L88),SUMIFS('Istoric_Nativ'!$G$6:$G$405,'Istoric_Nativ'!$B$6:$B$405,E88,'Istoric_Nativ'!$C$6:$C$405,F88,'Istoric_Nativ'!$E$6:$E$405,G88,'Istoric_Nativ'!$D$6:$D$405,"&lt;"&amp;J88,'Istoric_Nativ'!$P$6:$P$405,1,'Istoric_Nativ'!$D$6:$D$405,"&gt;="&amp;L88)+SUMIFS('Istoric_Nativ'!$H$6:$H$405,'Istoric_Nativ'!$B$6:$B$405,E88,'Istoric_Nativ'!$C$6:$C$405,F88,'Istoric_Nativ'!$F$6:$F$405,G88,'Istoric_Nativ'!$D$6:$D$405,"&lt;"&amp;J88,'Istoric_Nativ'!$P$6:$P$405,1,'Istoric_Nativ'!$D$6:$D$405,"&gt;="&amp;L88)))/M88)</x:f>
      </x:c>
      <x:c r="O88" s="11" t="str">
        <x:f>IF(M88=0,"",IF(H88="HOME",SUMIFS('Istoric_Nativ'!$H$6:$H$405,'Istoric_Nativ'!$B$6:$B$405,E88,'Istoric_Nativ'!$C$6:$C$405,F88,'Istoric_Nativ'!$E$6:$E$405,G88,'Istoric_Nativ'!$D$6:$D$405,"&lt;"&amp;J88,'Istoric_Nativ'!$P$6:$P$405,1,'Istoric_Nativ'!$D$6:$D$405,"&gt;="&amp;L88),IF(H88="AWAY",SUMIFS('Istoric_Nativ'!$G$6:$G$405,'Istoric_Nativ'!$B$6:$B$405,E88,'Istoric_Nativ'!$C$6:$C$405,F88,'Istoric_Nativ'!$F$6:$F$405,G88,'Istoric_Nativ'!$D$6:$D$405,"&lt;"&amp;J88,'Istoric_Nativ'!$P$6:$P$405,1,'Istoric_Nativ'!$D$6:$D$405,"&gt;="&amp;L88),SUMIFS('Istoric_Nativ'!$H$6:$H$405,'Istoric_Nativ'!$B$6:$B$405,E88,'Istoric_Nativ'!$C$6:$C$405,F88,'Istoric_Nativ'!$E$6:$E$405,G88,'Istoric_Nativ'!$D$6:$D$405,"&lt;"&amp;J88,'Istoric_Nativ'!$P$6:$P$405,1,'Istoric_Nativ'!$D$6:$D$405,"&gt;="&amp;L88)+SUMIFS('Istoric_Nativ'!$G$6:$G$405,'Istoric_Nativ'!$B$6:$B$405,E88,'Istoric_Nativ'!$C$6:$C$405,F88,'Istoric_Nativ'!$F$6:$F$405,G88,'Istoric_Nativ'!$D$6:$D$405,"&lt;"&amp;J88,'Istoric_Nativ'!$P$6:$P$405,1,'Istoric_Nativ'!$D$6:$D$405,"&gt;="&amp;L88)))/M88)</x:f>
      </x:c>
      <x:c r="P88" s="2" t="n">
        <x:f>'Config_v6'!$B$8</x:f>
        <x:v>5</x:v>
      </x:c>
      <x:c r="Q88" s="2" t="n">
        <x:f>IF(OR(B88="",F88=""),0,IFERROR(MATCH(E88&amp;"|"&amp;F88,SourceTable[Source_Key],0),0))</x:f>
        <x:v>0</x:v>
      </x:c>
      <x:c r="R88" s="2" t="str">
        <x:f>IF(B88="","",IF(F88="","UNUSED",IF(Q88=0,"NOT CHECKED",IF(COUNTIF(SourceTable[Source_Key],E88&amp;"|"&amp;F88)&lt;&gt;1,"SOURCE CONFLICT",IF(NOT(OR(INDEX(SourceTable[Status],MAX(1,Q88))="IMPORTED",INDEX(SourceTable[Status],MAX(1,Q88))="PARTIAL",INDEX(SourceTable[Status],MAX(1,Q88))="SOURCE CONFLICT")),"ACCESS BLOCKED",IF(OR(INDEX(SourceTable[Coverage],Q88)&lt;&gt;"FULL SEASON EXPORT",INDEX(SourceTable[URL],Q88)="",INDEX(SourceTable[SHA256],Q88)=""),"EVIDENCE INCOMPLETE",IF(AND('Input_Meci'!H12="LIVE",INDEX(SourceTable[Retrieved_UTC],Q88)&gt;'Input_Meci'!G12),"POST CUTOFF","CLOSED")))))))</x:f>
      </x:c>
      <x:c r="S88" s="2" t="n">
        <x:f>IF(OR(B88="",F88=""),0,COUNTIFS('Istoric_Nativ'!$B$6:$B$405,E88,'Istoric_Nativ'!$C$6:$C$405,F88,'Istoric_Nativ'!$E$6:$E$405,G88,'Istoric_Nativ'!$D$6:$D$405,"&lt;"&amp;J88,'Istoric_Nativ'!$O$6:$O$405,"INVALID")+COUNTIFS('Istoric_Nativ'!$B$6:$B$405,E88,'Istoric_Nativ'!$C$6:$C$405,F88,'Istoric_Nativ'!$E$6:$E$405,G88,'Istoric_Nativ'!$O$6:$O$405,"INVALID",'Istoric_Nativ'!$D$6:$D$405,"*")+COUNTIFS('Istoric_Nativ'!$B$6:$B$405,E88,'Istoric_Nativ'!$C$6:$C$405,F88,'Istoric_Nativ'!$E$6:$E$405,G88,'Istoric_Nativ'!$D$6:$D$405,"&lt;"&amp;J88,'Istoric_Nativ'!$O$6:$O$405,"SOURCE CONFLICT")+COUNTIFS('Istoric_Nativ'!$B$6:$B$405,E88,'Istoric_Nativ'!$C$6:$C$405,F88,'Istoric_Nativ'!$F$6:$F$405,G88,'Istoric_Nativ'!$D$6:$D$405,"&lt;"&amp;J88,'Istoric_Nativ'!$O$6:$O$405,"INVALID")+COUNTIFS('Istoric_Nativ'!$B$6:$B$405,E88,'Istoric_Nativ'!$C$6:$C$405,F88,'Istoric_Nativ'!$F$6:$F$405,G88,'Istoric_Nativ'!$O$6:$O$405,"INVALID",'Istoric_Nativ'!$D$6:$D$405,"*")+COUNTIFS('Istoric_Nativ'!$B$6:$B$405,E88,'Istoric_Nativ'!$C$6:$C$405,F88,'Istoric_Nativ'!$F$6:$F$405,G88,'Istoric_Nativ'!$D$6:$D$405,"&lt;"&amp;J88,'Istoric_Nativ'!$O$6:$O$405,"SOURCE CONFLICT"))</x:f>
        <x:v>0</x:v>
      </x:c>
      <x:c r="T88" s="2" t="str">
        <x:f>IF(B88="","",IF(R88&lt;&gt;"CLOSED",R88,IF(S88&gt;0,"NATIVE INPUT ISSUE",IF(M88=0,"NO HISTORY",IF(M88&lt;P88,"SMALL SAMPLE","DERIVED")))))</x:f>
      </x:c>
      <x:c r="U88" s="2" t="str">
        <x:f>IF(B88="","","NativeTable; "&amp;E88&amp;"; "&amp;F88&amp;"; "&amp;G88&amp;"; "&amp;H88&amp;"; before "&amp;TEXT(J88,"yyyy-mm-dd")&amp;IF(I88="RECENT","; from "&amp;TEXT(L88,"yyyy-mm-dd"),""))</x:f>
      </x:c>
    </x:row>
    <x:row r="89" ht="21" customHeight="1">
      <x:c r="A89" s="2" t="n">
        <x:v>7</x:v>
      </x:c>
      <x:c r="B89" s="2" t="str">
        <x:f>IF('Input_Meci'!A12="","",'Input_Meci'!A12)</x:f>
      </x:c>
      <x:c r="C89" s="2" t="str">
        <x:v>A</x:v>
      </x:c>
      <x:c r="D89" s="2" t="str">
        <x:v>PRIOR</x:v>
      </x:c>
      <x:c r="E89" s="2" t="str">
        <x:f>IF(B89="","",'Input_Meci'!B12)</x:f>
      </x:c>
      <x:c r="F89" s="2" t="str">
        <x:f>IF(B89="","",IF('Input_Meci'!K12="","",'Input_Meci'!K12))</x:f>
      </x:c>
      <x:c r="G89" s="2" t="str">
        <x:f>IF(B89="","",'Input_Meci'!E12)</x:f>
      </x:c>
      <x:c r="H89" s="2" t="str">
        <x:v>ANY</x:v>
      </x:c>
      <x:c r="I89" s="2" t="str">
        <x:v>RECENT</x:v>
      </x:c>
      <x:c r="J89" s="9" t="n">
        <x:f>IF(AND(B89&lt;&gt;"",ISNUMBER('Input_Meci'!G12)),INT('Input_Meci'!G12),0)</x:f>
        <x:v>0</x:v>
      </x:c>
      <x:c r="K89" s="2" t="n">
        <x:f>IF(OR(B89="",F89=""),0,IF(H89="HOME",COUNTIFS('Istoric_Nativ'!$B$6:$B$405,E89,'Istoric_Nativ'!$C$6:$C$405,F89,'Istoric_Nativ'!$E$6:$E$405,G89,'Istoric_Nativ'!$D$6:$D$405,"&lt;"&amp;J89,'Istoric_Nativ'!$P$6:$P$405,1),IF(H89="AWAY",COUNTIFS('Istoric_Nativ'!$B$6:$B$405,E89,'Istoric_Nativ'!$C$6:$C$405,F89,'Istoric_Nativ'!$F$6:$F$405,G89,'Istoric_Nativ'!$D$6:$D$405,"&lt;"&amp;J89,'Istoric_Nativ'!$P$6:$P$405,1),COUNTIFS('Istoric_Nativ'!$B$6:$B$405,E89,'Istoric_Nativ'!$C$6:$C$405,F89,'Istoric_Nativ'!$E$6:$E$405,G89,'Istoric_Nativ'!$D$6:$D$405,"&lt;"&amp;J89,'Istoric_Nativ'!$P$6:$P$405,1)+COUNTIFS('Istoric_Nativ'!$B$6:$B$405,E89,'Istoric_Nativ'!$C$6:$C$405,F89,'Istoric_Nativ'!$F$6:$F$405,G89,'Istoric_Nativ'!$D$6:$D$405,"&lt;"&amp;J89,'Istoric_Nativ'!$P$6:$P$405,1))))</x:f>
        <x:v>0</x:v>
      </x:c>
      <x:c r="L89" s="17" t="n">
        <x:f>IF(AND(B89&lt;&gt;"",I89="RECENT",K89&gt;0),LARGE(_xlfn._xlws.FILTER('Istoric_Nativ'!$D$6:$D$405,('Istoric_Nativ'!$B$6:$B$405=E89)*('Istoric_Nativ'!$C$6:$C$405=F89)*('Istoric_Nativ'!$P$6:$P$405=1)*('Istoric_Nativ'!$D$6:$D$405&lt;J89)*((('Istoric_Nativ'!$E$6:$E$405=G89)+('Istoric_Nativ'!$F$6:$F$405=G89))&gt;0)),MIN('Config_v6'!$B$54,K89)),0)</x:f>
        <x:v>0</x:v>
      </x:c>
      <x:c r="M89" s="2" t="n">
        <x:f>IF(OR(B89="",F89=""),0,IF(H89="HOME",COUNTIFS('Istoric_Nativ'!$B$6:$B$405,E89,'Istoric_Nativ'!$C$6:$C$405,F89,'Istoric_Nativ'!$E$6:$E$405,G89,'Istoric_Nativ'!$D$6:$D$405,"&lt;"&amp;J89,'Istoric_Nativ'!$P$6:$P$405,1,'Istoric_Nativ'!$D$6:$D$405,"&gt;="&amp;L89),IF(H89="AWAY",COUNTIFS('Istoric_Nativ'!$B$6:$B$405,E89,'Istoric_Nativ'!$C$6:$C$405,F89,'Istoric_Nativ'!$F$6:$F$405,G89,'Istoric_Nativ'!$D$6:$D$405,"&lt;"&amp;J89,'Istoric_Nativ'!$P$6:$P$405,1,'Istoric_Nativ'!$D$6:$D$405,"&gt;="&amp;L89),COUNTIFS('Istoric_Nativ'!$B$6:$B$405,E89,'Istoric_Nativ'!$C$6:$C$405,F89,'Istoric_Nativ'!$E$6:$E$405,G89,'Istoric_Nativ'!$D$6:$D$405,"&lt;"&amp;J89,'Istoric_Nativ'!$P$6:$P$405,1,'Istoric_Nativ'!$D$6:$D$405,"&gt;="&amp;L89)+COUNTIFS('Istoric_Nativ'!$B$6:$B$405,E89,'Istoric_Nativ'!$C$6:$C$405,F89,'Istoric_Nativ'!$F$6:$F$405,G89,'Istoric_Nativ'!$D$6:$D$405,"&lt;"&amp;J89,'Istoric_Nativ'!$P$6:$P$405,1,'Istoric_Nativ'!$D$6:$D$405,"&gt;="&amp;L89))))</x:f>
        <x:v>0</x:v>
      </x:c>
      <x:c r="N89" s="11" t="str">
        <x:f>IF(M89=0,"",IF(H89="HOME",SUMIFS('Istoric_Nativ'!$G$6:$G$405,'Istoric_Nativ'!$B$6:$B$405,E89,'Istoric_Nativ'!$C$6:$C$405,F89,'Istoric_Nativ'!$E$6:$E$405,G89,'Istoric_Nativ'!$D$6:$D$405,"&lt;"&amp;J89,'Istoric_Nativ'!$P$6:$P$405,1,'Istoric_Nativ'!$D$6:$D$405,"&gt;="&amp;L89),IF(H89="AWAY",SUMIFS('Istoric_Nativ'!$H$6:$H$405,'Istoric_Nativ'!$B$6:$B$405,E89,'Istoric_Nativ'!$C$6:$C$405,F89,'Istoric_Nativ'!$F$6:$F$405,G89,'Istoric_Nativ'!$D$6:$D$405,"&lt;"&amp;J89,'Istoric_Nativ'!$P$6:$P$405,1,'Istoric_Nativ'!$D$6:$D$405,"&gt;="&amp;L89),SUMIFS('Istoric_Nativ'!$G$6:$G$405,'Istoric_Nativ'!$B$6:$B$405,E89,'Istoric_Nativ'!$C$6:$C$405,F89,'Istoric_Nativ'!$E$6:$E$405,G89,'Istoric_Nativ'!$D$6:$D$405,"&lt;"&amp;J89,'Istoric_Nativ'!$P$6:$P$405,1,'Istoric_Nativ'!$D$6:$D$405,"&gt;="&amp;L89)+SUMIFS('Istoric_Nativ'!$H$6:$H$405,'Istoric_Nativ'!$B$6:$B$405,E89,'Istoric_Nativ'!$C$6:$C$405,F89,'Istoric_Nativ'!$F$6:$F$405,G89,'Istoric_Nativ'!$D$6:$D$405,"&lt;"&amp;J89,'Istoric_Nativ'!$P$6:$P$405,1,'Istoric_Nativ'!$D$6:$D$405,"&gt;="&amp;L89)))/M89)</x:f>
      </x:c>
      <x:c r="O89" s="11" t="str">
        <x:f>IF(M89=0,"",IF(H89="HOME",SUMIFS('Istoric_Nativ'!$H$6:$H$405,'Istoric_Nativ'!$B$6:$B$405,E89,'Istoric_Nativ'!$C$6:$C$405,F89,'Istoric_Nativ'!$E$6:$E$405,G89,'Istoric_Nativ'!$D$6:$D$405,"&lt;"&amp;J89,'Istoric_Nativ'!$P$6:$P$405,1,'Istoric_Nativ'!$D$6:$D$405,"&gt;="&amp;L89),IF(H89="AWAY",SUMIFS('Istoric_Nativ'!$G$6:$G$405,'Istoric_Nativ'!$B$6:$B$405,E89,'Istoric_Nativ'!$C$6:$C$405,F89,'Istoric_Nativ'!$F$6:$F$405,G89,'Istoric_Nativ'!$D$6:$D$405,"&lt;"&amp;J89,'Istoric_Nativ'!$P$6:$P$405,1,'Istoric_Nativ'!$D$6:$D$405,"&gt;="&amp;L89),SUMIFS('Istoric_Nativ'!$H$6:$H$405,'Istoric_Nativ'!$B$6:$B$405,E89,'Istoric_Nativ'!$C$6:$C$405,F89,'Istoric_Nativ'!$E$6:$E$405,G89,'Istoric_Nativ'!$D$6:$D$405,"&lt;"&amp;J89,'Istoric_Nativ'!$P$6:$P$405,1,'Istoric_Nativ'!$D$6:$D$405,"&gt;="&amp;L89)+SUMIFS('Istoric_Nativ'!$G$6:$G$405,'Istoric_Nativ'!$B$6:$B$405,E89,'Istoric_Nativ'!$C$6:$C$405,F89,'Istoric_Nativ'!$F$6:$F$405,G89,'Istoric_Nativ'!$D$6:$D$405,"&lt;"&amp;J89,'Istoric_Nativ'!$P$6:$P$405,1,'Istoric_Nativ'!$D$6:$D$405,"&gt;="&amp;L89)))/M89)</x:f>
      </x:c>
      <x:c r="P89" s="2" t="n">
        <x:f>'Config_v6'!$B$9</x:f>
        <x:v>3</x:v>
      </x:c>
      <x:c r="Q89" s="2" t="n">
        <x:f>IF(OR(B89="",F89=""),0,IFERROR(MATCH(E89&amp;"|"&amp;F89,SourceTable[Source_Key],0),0))</x:f>
        <x:v>0</x:v>
      </x:c>
      <x:c r="R89" s="2" t="str">
        <x:f>IF(B89="","",IF(F89="","UNUSED",IF(Q89=0,"NOT CHECKED",IF(COUNTIF(SourceTable[Source_Key],E89&amp;"|"&amp;F89)&lt;&gt;1,"SOURCE CONFLICT",IF(NOT(OR(INDEX(SourceTable[Status],MAX(1,Q89))="IMPORTED",INDEX(SourceTable[Status],MAX(1,Q89))="PARTIAL",INDEX(SourceTable[Status],MAX(1,Q89))="SOURCE CONFLICT")),"ACCESS BLOCKED",IF(OR(INDEX(SourceTable[Coverage],Q89)&lt;&gt;"FULL SEASON EXPORT",INDEX(SourceTable[URL],Q89)="",INDEX(SourceTable[SHA256],Q89)=""),"EVIDENCE INCOMPLETE",IF(AND('Input_Meci'!H12="LIVE",INDEX(SourceTable[Retrieved_UTC],Q89)&gt;'Input_Meci'!G12),"POST CUTOFF","CLOSED")))))))</x:f>
      </x:c>
      <x:c r="S89" s="2" t="n">
        <x:f>IF(OR(B89="",F89=""),0,COUNTIFS('Istoric_Nativ'!$B$6:$B$405,E89,'Istoric_Nativ'!$C$6:$C$405,F89,'Istoric_Nativ'!$E$6:$E$405,G89,'Istoric_Nativ'!$D$6:$D$405,"&lt;"&amp;J89,'Istoric_Nativ'!$O$6:$O$405,"INVALID")+COUNTIFS('Istoric_Nativ'!$B$6:$B$405,E89,'Istoric_Nativ'!$C$6:$C$405,F89,'Istoric_Nativ'!$E$6:$E$405,G89,'Istoric_Nativ'!$O$6:$O$405,"INVALID",'Istoric_Nativ'!$D$6:$D$405,"*")+COUNTIFS('Istoric_Nativ'!$B$6:$B$405,E89,'Istoric_Nativ'!$C$6:$C$405,F89,'Istoric_Nativ'!$E$6:$E$405,G89,'Istoric_Nativ'!$D$6:$D$405,"&lt;"&amp;J89,'Istoric_Nativ'!$O$6:$O$405,"SOURCE CONFLICT")+COUNTIFS('Istoric_Nativ'!$B$6:$B$405,E89,'Istoric_Nativ'!$C$6:$C$405,F89,'Istoric_Nativ'!$F$6:$F$405,G89,'Istoric_Nativ'!$D$6:$D$405,"&lt;"&amp;J89,'Istoric_Nativ'!$O$6:$O$405,"INVALID")+COUNTIFS('Istoric_Nativ'!$B$6:$B$405,E89,'Istoric_Nativ'!$C$6:$C$405,F89,'Istoric_Nativ'!$F$6:$F$405,G89,'Istoric_Nativ'!$O$6:$O$405,"INVALID",'Istoric_Nativ'!$D$6:$D$405,"*")+COUNTIFS('Istoric_Nativ'!$B$6:$B$405,E89,'Istoric_Nativ'!$C$6:$C$405,F89,'Istoric_Nativ'!$F$6:$F$405,G89,'Istoric_Nativ'!$D$6:$D$405,"&lt;"&amp;J89,'Istoric_Nativ'!$O$6:$O$405,"SOURCE CONFLICT"))</x:f>
        <x:v>0</x:v>
      </x:c>
      <x:c r="T89" s="2" t="str">
        <x:f>IF(B89="","",IF(R89&lt;&gt;"CLOSED",R89,IF(S89&gt;0,"NATIVE INPUT ISSUE",IF(M89=0,"NO HISTORY",IF(M89&lt;P89,"SMALL SAMPLE","DERIVED")))))</x:f>
      </x:c>
      <x:c r="U89" s="2" t="str">
        <x:f>IF(B89="","","NativeTable; "&amp;E89&amp;"; "&amp;F89&amp;"; "&amp;G89&amp;"; "&amp;H89&amp;"; before "&amp;TEXT(J89,"yyyy-mm-dd")&amp;IF(I89="RECENT","; from "&amp;TEXT(L89,"yyyy-mm-dd"),""))</x:f>
      </x:c>
    </x:row>
    <x:row r="90" ht="21" customHeight="1">
      <x:c r="A90" s="2" t="n">
        <x:v>8</x:v>
      </x:c>
      <x:c r="B90" s="2" t="str">
        <x:f>IF('Input_Meci'!A13="","",'Input_Meci'!A13)</x:f>
      </x:c>
      <x:c r="C90" s="2" t="str">
        <x:v>H</x:v>
      </x:c>
      <x:c r="D90" s="2" t="str">
        <x:v>CURRENT</x:v>
      </x:c>
      <x:c r="E90" s="2" t="str">
        <x:f>IF(B90="","",'Input_Meci'!B13)</x:f>
      </x:c>
      <x:c r="F90" s="2" t="str">
        <x:f>IF(B90="","",IF('Input_Meci'!C13="","",'Input_Meci'!C13))</x:f>
      </x:c>
      <x:c r="G90" s="2" t="str">
        <x:f>IF(B90="","",'Input_Meci'!D13)</x:f>
      </x:c>
      <x:c r="H90" s="2" t="str">
        <x:v>ANY</x:v>
      </x:c>
      <x:c r="I90" s="2" t="str">
        <x:v>SEASON</x:v>
      </x:c>
      <x:c r="J90" s="9" t="n">
        <x:f>IF(AND(B90&lt;&gt;"",ISNUMBER('Input_Meci'!G13)),INT('Input_Meci'!G13),0)</x:f>
        <x:v>0</x:v>
      </x:c>
      <x:c r="K90" s="2" t="n">
        <x:f>IF(OR(B90="",F90=""),0,IF(H90="HOME",COUNTIFS('Istoric_Nativ'!$B$6:$B$405,E90,'Istoric_Nativ'!$C$6:$C$405,F90,'Istoric_Nativ'!$E$6:$E$405,G90,'Istoric_Nativ'!$D$6:$D$405,"&lt;"&amp;J90,'Istoric_Nativ'!$P$6:$P$405,1),IF(H90="AWAY",COUNTIFS('Istoric_Nativ'!$B$6:$B$405,E90,'Istoric_Nativ'!$C$6:$C$405,F90,'Istoric_Nativ'!$F$6:$F$405,G90,'Istoric_Nativ'!$D$6:$D$405,"&lt;"&amp;J90,'Istoric_Nativ'!$P$6:$P$405,1),COUNTIFS('Istoric_Nativ'!$B$6:$B$405,E90,'Istoric_Nativ'!$C$6:$C$405,F90,'Istoric_Nativ'!$E$6:$E$405,G90,'Istoric_Nativ'!$D$6:$D$405,"&lt;"&amp;J90,'Istoric_Nativ'!$P$6:$P$405,1)+COUNTIFS('Istoric_Nativ'!$B$6:$B$405,E90,'Istoric_Nativ'!$C$6:$C$405,F90,'Istoric_Nativ'!$F$6:$F$405,G90,'Istoric_Nativ'!$D$6:$D$405,"&lt;"&amp;J90,'Istoric_Nativ'!$P$6:$P$405,1))))</x:f>
        <x:v>0</x:v>
      </x:c>
      <x:c r="L90" s="17" t="n">
        <x:f>IF(AND(B90&lt;&gt;"",I90="RECENT",K90&gt;0),LARGE(_xlfn._xlws.FILTER('Istoric_Nativ'!$D$6:$D$405,('Istoric_Nativ'!$B$6:$B$405=E90)*('Istoric_Nativ'!$C$6:$C$405=F90)*('Istoric_Nativ'!$P$6:$P$405=1)*('Istoric_Nativ'!$D$6:$D$405&lt;J90)*((('Istoric_Nativ'!$E$6:$E$405=G90)+('Istoric_Nativ'!$F$6:$F$405=G90))&gt;0)),MIN('Config_v6'!$B$54,K90)),0)</x:f>
        <x:v>0</x:v>
      </x:c>
      <x:c r="M90" s="2" t="n">
        <x:f>IF(OR(B90="",F90=""),0,IF(H90="HOME",COUNTIFS('Istoric_Nativ'!$B$6:$B$405,E90,'Istoric_Nativ'!$C$6:$C$405,F90,'Istoric_Nativ'!$E$6:$E$405,G90,'Istoric_Nativ'!$D$6:$D$405,"&lt;"&amp;J90,'Istoric_Nativ'!$P$6:$P$405,1,'Istoric_Nativ'!$D$6:$D$405,"&gt;="&amp;L90),IF(H90="AWAY",COUNTIFS('Istoric_Nativ'!$B$6:$B$405,E90,'Istoric_Nativ'!$C$6:$C$405,F90,'Istoric_Nativ'!$F$6:$F$405,G90,'Istoric_Nativ'!$D$6:$D$405,"&lt;"&amp;J90,'Istoric_Nativ'!$P$6:$P$405,1,'Istoric_Nativ'!$D$6:$D$405,"&gt;="&amp;L90),COUNTIFS('Istoric_Nativ'!$B$6:$B$405,E90,'Istoric_Nativ'!$C$6:$C$405,F90,'Istoric_Nativ'!$E$6:$E$405,G90,'Istoric_Nativ'!$D$6:$D$405,"&lt;"&amp;J90,'Istoric_Nativ'!$P$6:$P$405,1,'Istoric_Nativ'!$D$6:$D$405,"&gt;="&amp;L90)+COUNTIFS('Istoric_Nativ'!$B$6:$B$405,E90,'Istoric_Nativ'!$C$6:$C$405,F90,'Istoric_Nativ'!$F$6:$F$405,G90,'Istoric_Nativ'!$D$6:$D$405,"&lt;"&amp;J90,'Istoric_Nativ'!$P$6:$P$405,1,'Istoric_Nativ'!$D$6:$D$405,"&gt;="&amp;L90))))</x:f>
        <x:v>0</x:v>
      </x:c>
      <x:c r="N90" s="11" t="str">
        <x:f>IF(M90=0,"",IF(H90="HOME",SUMIFS('Istoric_Nativ'!$G$6:$G$405,'Istoric_Nativ'!$B$6:$B$405,E90,'Istoric_Nativ'!$C$6:$C$405,F90,'Istoric_Nativ'!$E$6:$E$405,G90,'Istoric_Nativ'!$D$6:$D$405,"&lt;"&amp;J90,'Istoric_Nativ'!$P$6:$P$405,1,'Istoric_Nativ'!$D$6:$D$405,"&gt;="&amp;L90),IF(H90="AWAY",SUMIFS('Istoric_Nativ'!$H$6:$H$405,'Istoric_Nativ'!$B$6:$B$405,E90,'Istoric_Nativ'!$C$6:$C$405,F90,'Istoric_Nativ'!$F$6:$F$405,G90,'Istoric_Nativ'!$D$6:$D$405,"&lt;"&amp;J90,'Istoric_Nativ'!$P$6:$P$405,1,'Istoric_Nativ'!$D$6:$D$405,"&gt;="&amp;L90),SUMIFS('Istoric_Nativ'!$G$6:$G$405,'Istoric_Nativ'!$B$6:$B$405,E90,'Istoric_Nativ'!$C$6:$C$405,F90,'Istoric_Nativ'!$E$6:$E$405,G90,'Istoric_Nativ'!$D$6:$D$405,"&lt;"&amp;J90,'Istoric_Nativ'!$P$6:$P$405,1,'Istoric_Nativ'!$D$6:$D$405,"&gt;="&amp;L90)+SUMIFS('Istoric_Nativ'!$H$6:$H$405,'Istoric_Nativ'!$B$6:$B$405,E90,'Istoric_Nativ'!$C$6:$C$405,F90,'Istoric_Nativ'!$F$6:$F$405,G90,'Istoric_Nativ'!$D$6:$D$405,"&lt;"&amp;J90,'Istoric_Nativ'!$P$6:$P$405,1,'Istoric_Nativ'!$D$6:$D$405,"&gt;="&amp;L90)))/M90)</x:f>
      </x:c>
      <x:c r="O90" s="11" t="str">
        <x:f>IF(M90=0,"",IF(H90="HOME",SUMIFS('Istoric_Nativ'!$H$6:$H$405,'Istoric_Nativ'!$B$6:$B$405,E90,'Istoric_Nativ'!$C$6:$C$405,F90,'Istoric_Nativ'!$E$6:$E$405,G90,'Istoric_Nativ'!$D$6:$D$405,"&lt;"&amp;J90,'Istoric_Nativ'!$P$6:$P$405,1,'Istoric_Nativ'!$D$6:$D$405,"&gt;="&amp;L90),IF(H90="AWAY",SUMIFS('Istoric_Nativ'!$G$6:$G$405,'Istoric_Nativ'!$B$6:$B$405,E90,'Istoric_Nativ'!$C$6:$C$405,F90,'Istoric_Nativ'!$F$6:$F$405,G90,'Istoric_Nativ'!$D$6:$D$405,"&lt;"&amp;J90,'Istoric_Nativ'!$P$6:$P$405,1,'Istoric_Nativ'!$D$6:$D$405,"&gt;="&amp;L90),SUMIFS('Istoric_Nativ'!$H$6:$H$405,'Istoric_Nativ'!$B$6:$B$405,E90,'Istoric_Nativ'!$C$6:$C$405,F90,'Istoric_Nativ'!$E$6:$E$405,G90,'Istoric_Nativ'!$D$6:$D$405,"&lt;"&amp;J90,'Istoric_Nativ'!$P$6:$P$405,1,'Istoric_Nativ'!$D$6:$D$405,"&gt;="&amp;L90)+SUMIFS('Istoric_Nativ'!$G$6:$G$405,'Istoric_Nativ'!$B$6:$B$405,E90,'Istoric_Nativ'!$C$6:$C$405,F90,'Istoric_Nativ'!$F$6:$F$405,G90,'Istoric_Nativ'!$D$6:$D$405,"&lt;"&amp;J90,'Istoric_Nativ'!$P$6:$P$405,1,'Istoric_Nativ'!$D$6:$D$405,"&gt;="&amp;L90)))/M90)</x:f>
      </x:c>
      <x:c r="P90" s="2" t="n">
        <x:f>'Config_v6'!$B$7</x:f>
        <x:v>10</x:v>
      </x:c>
      <x:c r="Q90" s="2" t="n">
        <x:f>IF(OR(B90="",F90=""),0,IFERROR(MATCH(E90&amp;"|"&amp;F90,SourceTable[Source_Key],0),0))</x:f>
        <x:v>0</x:v>
      </x:c>
      <x:c r="R90" s="2" t="str">
        <x:f>IF(B90="","",IF(F90="","UNUSED",IF(Q90=0,"NOT CHECKED",IF(COUNTIF(SourceTable[Source_Key],E90&amp;"|"&amp;F90)&lt;&gt;1,"SOURCE CONFLICT",IF(NOT(OR(INDEX(SourceTable[Status],MAX(1,Q90))="IMPORTED",INDEX(SourceTable[Status],MAX(1,Q90))="PARTIAL",INDEX(SourceTable[Status],MAX(1,Q90))="SOURCE CONFLICT")),"ACCESS BLOCKED",IF(OR(INDEX(SourceTable[Coverage],Q90)&lt;&gt;"FULL SEASON EXPORT",INDEX(SourceTable[URL],Q90)="",INDEX(SourceTable[SHA256],Q90)=""),"EVIDENCE INCOMPLETE",IF(AND('Input_Meci'!H13="LIVE",INDEX(SourceTable[Retrieved_UTC],Q90)&gt;'Input_Meci'!G13),"POST CUTOFF","CLOSED")))))))</x:f>
      </x:c>
      <x:c r="S90" s="2" t="n">
        <x:f>IF(OR(B90="",F90=""),0,COUNTIFS('Istoric_Nativ'!$B$6:$B$405,E90,'Istoric_Nativ'!$C$6:$C$405,F90,'Istoric_Nativ'!$E$6:$E$405,G90,'Istoric_Nativ'!$D$6:$D$405,"&lt;"&amp;J90,'Istoric_Nativ'!$O$6:$O$405,"INVALID")+COUNTIFS('Istoric_Nativ'!$B$6:$B$405,E90,'Istoric_Nativ'!$C$6:$C$405,F90,'Istoric_Nativ'!$E$6:$E$405,G90,'Istoric_Nativ'!$O$6:$O$405,"INVALID",'Istoric_Nativ'!$D$6:$D$405,"*")+COUNTIFS('Istoric_Nativ'!$B$6:$B$405,E90,'Istoric_Nativ'!$C$6:$C$405,F90,'Istoric_Nativ'!$E$6:$E$405,G90,'Istoric_Nativ'!$D$6:$D$405,"&lt;"&amp;J90,'Istoric_Nativ'!$O$6:$O$405,"SOURCE CONFLICT")+COUNTIFS('Istoric_Nativ'!$B$6:$B$405,E90,'Istoric_Nativ'!$C$6:$C$405,F90,'Istoric_Nativ'!$F$6:$F$405,G90,'Istoric_Nativ'!$D$6:$D$405,"&lt;"&amp;J90,'Istoric_Nativ'!$O$6:$O$405,"INVALID")+COUNTIFS('Istoric_Nativ'!$B$6:$B$405,E90,'Istoric_Nativ'!$C$6:$C$405,F90,'Istoric_Nativ'!$F$6:$F$405,G90,'Istoric_Nativ'!$O$6:$O$405,"INVALID",'Istoric_Nativ'!$D$6:$D$405,"*")+COUNTIFS('Istoric_Nativ'!$B$6:$B$405,E90,'Istoric_Nativ'!$C$6:$C$405,F90,'Istoric_Nativ'!$F$6:$F$405,G90,'Istoric_Nativ'!$D$6:$D$405,"&lt;"&amp;J90,'Istoric_Nativ'!$O$6:$O$405,"SOURCE CONFLICT"))</x:f>
        <x:v>0</x:v>
      </x:c>
      <x:c r="T90" s="2" t="str">
        <x:f>IF(B90="","",IF(R90&lt;&gt;"CLOSED",R90,IF(S90&gt;0,"NATIVE INPUT ISSUE",IF(M90=0,"NO HISTORY",IF(M90&lt;P90,"SMALL SAMPLE","DERIVED")))))</x:f>
      </x:c>
      <x:c r="U90" s="2" t="str">
        <x:f>IF(B90="","","NativeTable; "&amp;E90&amp;"; "&amp;F90&amp;"; "&amp;G90&amp;"; "&amp;H90&amp;"; before "&amp;TEXT(J90,"yyyy-mm-dd")&amp;IF(I90="RECENT","; from "&amp;TEXT(L90,"yyyy-mm-dd"),""))</x:f>
      </x:c>
    </x:row>
    <x:row r="91" ht="21" customHeight="1">
      <x:c r="A91" s="2" t="n">
        <x:v>8</x:v>
      </x:c>
      <x:c r="B91" s="2" t="str">
        <x:f>IF('Input_Meci'!A13="","",'Input_Meci'!A13)</x:f>
      </x:c>
      <x:c r="C91" s="2" t="str">
        <x:v>H</x:v>
      </x:c>
      <x:c r="D91" s="2" t="str">
        <x:v>CURRENT</x:v>
      </x:c>
      <x:c r="E91" s="2" t="str">
        <x:f>IF(B91="","",'Input_Meci'!B13)</x:f>
      </x:c>
      <x:c r="F91" s="2" t="str">
        <x:f>IF(B91="","",IF('Input_Meci'!C13="","",'Input_Meci'!C13))</x:f>
      </x:c>
      <x:c r="G91" s="2" t="str">
        <x:f>IF(B91="","",'Input_Meci'!D13)</x:f>
      </x:c>
      <x:c r="H91" s="2" t="str">
        <x:v>HOME</x:v>
      </x:c>
      <x:c r="I91" s="2" t="str">
        <x:v>HA</x:v>
      </x:c>
      <x:c r="J91" s="9" t="n">
        <x:f>IF(AND(B91&lt;&gt;"",ISNUMBER('Input_Meci'!G13)),INT('Input_Meci'!G13),0)</x:f>
        <x:v>0</x:v>
      </x:c>
      <x:c r="K91" s="2" t="n">
        <x:f>IF(OR(B91="",F91=""),0,IF(H91="HOME",COUNTIFS('Istoric_Nativ'!$B$6:$B$405,E91,'Istoric_Nativ'!$C$6:$C$405,F91,'Istoric_Nativ'!$E$6:$E$405,G91,'Istoric_Nativ'!$D$6:$D$405,"&lt;"&amp;J91,'Istoric_Nativ'!$P$6:$P$405,1),IF(H91="AWAY",COUNTIFS('Istoric_Nativ'!$B$6:$B$405,E91,'Istoric_Nativ'!$C$6:$C$405,F91,'Istoric_Nativ'!$F$6:$F$405,G91,'Istoric_Nativ'!$D$6:$D$405,"&lt;"&amp;J91,'Istoric_Nativ'!$P$6:$P$405,1),COUNTIFS('Istoric_Nativ'!$B$6:$B$405,E91,'Istoric_Nativ'!$C$6:$C$405,F91,'Istoric_Nativ'!$E$6:$E$405,G91,'Istoric_Nativ'!$D$6:$D$405,"&lt;"&amp;J91,'Istoric_Nativ'!$P$6:$P$405,1)+COUNTIFS('Istoric_Nativ'!$B$6:$B$405,E91,'Istoric_Nativ'!$C$6:$C$405,F91,'Istoric_Nativ'!$F$6:$F$405,G91,'Istoric_Nativ'!$D$6:$D$405,"&lt;"&amp;J91,'Istoric_Nativ'!$P$6:$P$405,1))))</x:f>
        <x:v>0</x:v>
      </x:c>
      <x:c r="L91" s="17" t="n">
        <x:f>IF(AND(B91&lt;&gt;"",I91="RECENT",K91&gt;0),LARGE(_xlfn._xlws.FILTER('Istoric_Nativ'!$D$6:$D$405,('Istoric_Nativ'!$B$6:$B$405=E91)*('Istoric_Nativ'!$C$6:$C$405=F91)*('Istoric_Nativ'!$P$6:$P$405=1)*('Istoric_Nativ'!$D$6:$D$405&lt;J91)*((('Istoric_Nativ'!$E$6:$E$405=G91)+('Istoric_Nativ'!$F$6:$F$405=G91))&gt;0)),MIN('Config_v6'!$B$54,K91)),0)</x:f>
        <x:v>0</x:v>
      </x:c>
      <x:c r="M91" s="2" t="n">
        <x:f>IF(OR(B91="",F91=""),0,IF(H91="HOME",COUNTIFS('Istoric_Nativ'!$B$6:$B$405,E91,'Istoric_Nativ'!$C$6:$C$405,F91,'Istoric_Nativ'!$E$6:$E$405,G91,'Istoric_Nativ'!$D$6:$D$405,"&lt;"&amp;J91,'Istoric_Nativ'!$P$6:$P$405,1,'Istoric_Nativ'!$D$6:$D$405,"&gt;="&amp;L91),IF(H91="AWAY",COUNTIFS('Istoric_Nativ'!$B$6:$B$405,E91,'Istoric_Nativ'!$C$6:$C$405,F91,'Istoric_Nativ'!$F$6:$F$405,G91,'Istoric_Nativ'!$D$6:$D$405,"&lt;"&amp;J91,'Istoric_Nativ'!$P$6:$P$405,1,'Istoric_Nativ'!$D$6:$D$405,"&gt;="&amp;L91),COUNTIFS('Istoric_Nativ'!$B$6:$B$405,E91,'Istoric_Nativ'!$C$6:$C$405,F91,'Istoric_Nativ'!$E$6:$E$405,G91,'Istoric_Nativ'!$D$6:$D$405,"&lt;"&amp;J91,'Istoric_Nativ'!$P$6:$P$405,1,'Istoric_Nativ'!$D$6:$D$405,"&gt;="&amp;L91)+COUNTIFS('Istoric_Nativ'!$B$6:$B$405,E91,'Istoric_Nativ'!$C$6:$C$405,F91,'Istoric_Nativ'!$F$6:$F$405,G91,'Istoric_Nativ'!$D$6:$D$405,"&lt;"&amp;J91,'Istoric_Nativ'!$P$6:$P$405,1,'Istoric_Nativ'!$D$6:$D$405,"&gt;="&amp;L91))))</x:f>
        <x:v>0</x:v>
      </x:c>
      <x:c r="N91" s="11" t="str">
        <x:f>IF(M91=0,"",IF(H91="HOME",SUMIFS('Istoric_Nativ'!$G$6:$G$405,'Istoric_Nativ'!$B$6:$B$405,E91,'Istoric_Nativ'!$C$6:$C$405,F91,'Istoric_Nativ'!$E$6:$E$405,G91,'Istoric_Nativ'!$D$6:$D$405,"&lt;"&amp;J91,'Istoric_Nativ'!$P$6:$P$405,1,'Istoric_Nativ'!$D$6:$D$405,"&gt;="&amp;L91),IF(H91="AWAY",SUMIFS('Istoric_Nativ'!$H$6:$H$405,'Istoric_Nativ'!$B$6:$B$405,E91,'Istoric_Nativ'!$C$6:$C$405,F91,'Istoric_Nativ'!$F$6:$F$405,G91,'Istoric_Nativ'!$D$6:$D$405,"&lt;"&amp;J91,'Istoric_Nativ'!$P$6:$P$405,1,'Istoric_Nativ'!$D$6:$D$405,"&gt;="&amp;L91),SUMIFS('Istoric_Nativ'!$G$6:$G$405,'Istoric_Nativ'!$B$6:$B$405,E91,'Istoric_Nativ'!$C$6:$C$405,F91,'Istoric_Nativ'!$E$6:$E$405,G91,'Istoric_Nativ'!$D$6:$D$405,"&lt;"&amp;J91,'Istoric_Nativ'!$P$6:$P$405,1,'Istoric_Nativ'!$D$6:$D$405,"&gt;="&amp;L91)+SUMIFS('Istoric_Nativ'!$H$6:$H$405,'Istoric_Nativ'!$B$6:$B$405,E91,'Istoric_Nativ'!$C$6:$C$405,F91,'Istoric_Nativ'!$F$6:$F$405,G91,'Istoric_Nativ'!$D$6:$D$405,"&lt;"&amp;J91,'Istoric_Nativ'!$P$6:$P$405,1,'Istoric_Nativ'!$D$6:$D$405,"&gt;="&amp;L91)))/M91)</x:f>
      </x:c>
      <x:c r="O91" s="11" t="str">
        <x:f>IF(M91=0,"",IF(H91="HOME",SUMIFS('Istoric_Nativ'!$H$6:$H$405,'Istoric_Nativ'!$B$6:$B$405,E91,'Istoric_Nativ'!$C$6:$C$405,F91,'Istoric_Nativ'!$E$6:$E$405,G91,'Istoric_Nativ'!$D$6:$D$405,"&lt;"&amp;J91,'Istoric_Nativ'!$P$6:$P$405,1,'Istoric_Nativ'!$D$6:$D$405,"&gt;="&amp;L91),IF(H91="AWAY",SUMIFS('Istoric_Nativ'!$G$6:$G$405,'Istoric_Nativ'!$B$6:$B$405,E91,'Istoric_Nativ'!$C$6:$C$405,F91,'Istoric_Nativ'!$F$6:$F$405,G91,'Istoric_Nativ'!$D$6:$D$405,"&lt;"&amp;J91,'Istoric_Nativ'!$P$6:$P$405,1,'Istoric_Nativ'!$D$6:$D$405,"&gt;="&amp;L91),SUMIFS('Istoric_Nativ'!$H$6:$H$405,'Istoric_Nativ'!$B$6:$B$405,E91,'Istoric_Nativ'!$C$6:$C$405,F91,'Istoric_Nativ'!$E$6:$E$405,G91,'Istoric_Nativ'!$D$6:$D$405,"&lt;"&amp;J91,'Istoric_Nativ'!$P$6:$P$405,1,'Istoric_Nativ'!$D$6:$D$405,"&gt;="&amp;L91)+SUMIFS('Istoric_Nativ'!$G$6:$G$405,'Istoric_Nativ'!$B$6:$B$405,E91,'Istoric_Nativ'!$C$6:$C$405,F91,'Istoric_Nativ'!$F$6:$F$405,G91,'Istoric_Nativ'!$D$6:$D$405,"&lt;"&amp;J91,'Istoric_Nativ'!$P$6:$P$405,1,'Istoric_Nativ'!$D$6:$D$405,"&gt;="&amp;L91)))/M91)</x:f>
      </x:c>
      <x:c r="P91" s="2" t="n">
        <x:f>'Config_v6'!$B$8</x:f>
        <x:v>5</x:v>
      </x:c>
      <x:c r="Q91" s="2" t="n">
        <x:f>IF(OR(B91="",F91=""),0,IFERROR(MATCH(E91&amp;"|"&amp;F91,SourceTable[Source_Key],0),0))</x:f>
        <x:v>0</x:v>
      </x:c>
      <x:c r="R91" s="2" t="str">
        <x:f>IF(B91="","",IF(F91="","UNUSED",IF(Q91=0,"NOT CHECKED",IF(COUNTIF(SourceTable[Source_Key],E91&amp;"|"&amp;F91)&lt;&gt;1,"SOURCE CONFLICT",IF(NOT(OR(INDEX(SourceTable[Status],MAX(1,Q91))="IMPORTED",INDEX(SourceTable[Status],MAX(1,Q91))="PARTIAL",INDEX(SourceTable[Status],MAX(1,Q91))="SOURCE CONFLICT")),"ACCESS BLOCKED",IF(OR(INDEX(SourceTable[Coverage],Q91)&lt;&gt;"FULL SEASON EXPORT",INDEX(SourceTable[URL],Q91)="",INDEX(SourceTable[SHA256],Q91)=""),"EVIDENCE INCOMPLETE",IF(AND('Input_Meci'!H13="LIVE",INDEX(SourceTable[Retrieved_UTC],Q91)&gt;'Input_Meci'!G13),"POST CUTOFF","CLOSED")))))))</x:f>
      </x:c>
      <x:c r="S91" s="2" t="n">
        <x:f>IF(OR(B91="",F91=""),0,COUNTIFS('Istoric_Nativ'!$B$6:$B$405,E91,'Istoric_Nativ'!$C$6:$C$405,F91,'Istoric_Nativ'!$E$6:$E$405,G91,'Istoric_Nativ'!$D$6:$D$405,"&lt;"&amp;J91,'Istoric_Nativ'!$O$6:$O$405,"INVALID")+COUNTIFS('Istoric_Nativ'!$B$6:$B$405,E91,'Istoric_Nativ'!$C$6:$C$405,F91,'Istoric_Nativ'!$E$6:$E$405,G91,'Istoric_Nativ'!$O$6:$O$405,"INVALID",'Istoric_Nativ'!$D$6:$D$405,"*")+COUNTIFS('Istoric_Nativ'!$B$6:$B$405,E91,'Istoric_Nativ'!$C$6:$C$405,F91,'Istoric_Nativ'!$E$6:$E$405,G91,'Istoric_Nativ'!$D$6:$D$405,"&lt;"&amp;J91,'Istoric_Nativ'!$O$6:$O$405,"SOURCE CONFLICT")+COUNTIFS('Istoric_Nativ'!$B$6:$B$405,E91,'Istoric_Nativ'!$C$6:$C$405,F91,'Istoric_Nativ'!$F$6:$F$405,G91,'Istoric_Nativ'!$D$6:$D$405,"&lt;"&amp;J91,'Istoric_Nativ'!$O$6:$O$405,"INVALID")+COUNTIFS('Istoric_Nativ'!$B$6:$B$405,E91,'Istoric_Nativ'!$C$6:$C$405,F91,'Istoric_Nativ'!$F$6:$F$405,G91,'Istoric_Nativ'!$O$6:$O$405,"INVALID",'Istoric_Nativ'!$D$6:$D$405,"*")+COUNTIFS('Istoric_Nativ'!$B$6:$B$405,E91,'Istoric_Nativ'!$C$6:$C$405,F91,'Istoric_Nativ'!$F$6:$F$405,G91,'Istoric_Nativ'!$D$6:$D$405,"&lt;"&amp;J91,'Istoric_Nativ'!$O$6:$O$405,"SOURCE CONFLICT"))</x:f>
        <x:v>0</x:v>
      </x:c>
      <x:c r="T91" s="2" t="str">
        <x:f>IF(B91="","",IF(R91&lt;&gt;"CLOSED",R91,IF(S91&gt;0,"NATIVE INPUT ISSUE",IF(M91=0,"NO HISTORY",IF(M91&lt;P91,"SMALL SAMPLE","DERIVED")))))</x:f>
      </x:c>
      <x:c r="U91" s="2" t="str">
        <x:f>IF(B91="","","NativeTable; "&amp;E91&amp;"; "&amp;F91&amp;"; "&amp;G91&amp;"; "&amp;H91&amp;"; before "&amp;TEXT(J91,"yyyy-mm-dd")&amp;IF(I91="RECENT","; from "&amp;TEXT(L91,"yyyy-mm-dd"),""))</x:f>
      </x:c>
    </x:row>
    <x:row r="92" ht="21" customHeight="1">
      <x:c r="A92" s="2" t="n">
        <x:v>8</x:v>
      </x:c>
      <x:c r="B92" s="2" t="str">
        <x:f>IF('Input_Meci'!A13="","",'Input_Meci'!A13)</x:f>
      </x:c>
      <x:c r="C92" s="2" t="str">
        <x:v>H</x:v>
      </x:c>
      <x:c r="D92" s="2" t="str">
        <x:v>CURRENT</x:v>
      </x:c>
      <x:c r="E92" s="2" t="str">
        <x:f>IF(B92="","",'Input_Meci'!B13)</x:f>
      </x:c>
      <x:c r="F92" s="2" t="str">
        <x:f>IF(B92="","",IF('Input_Meci'!C13="","",'Input_Meci'!C13))</x:f>
      </x:c>
      <x:c r="G92" s="2" t="str">
        <x:f>IF(B92="","",'Input_Meci'!D13)</x:f>
      </x:c>
      <x:c r="H92" s="2" t="str">
        <x:v>ANY</x:v>
      </x:c>
      <x:c r="I92" s="2" t="str">
        <x:v>RECENT</x:v>
      </x:c>
      <x:c r="J92" s="9" t="n">
        <x:f>IF(AND(B92&lt;&gt;"",ISNUMBER('Input_Meci'!G13)),INT('Input_Meci'!G13),0)</x:f>
        <x:v>0</x:v>
      </x:c>
      <x:c r="K92" s="2" t="n">
        <x:f>IF(OR(B92="",F92=""),0,IF(H92="HOME",COUNTIFS('Istoric_Nativ'!$B$6:$B$405,E92,'Istoric_Nativ'!$C$6:$C$405,F92,'Istoric_Nativ'!$E$6:$E$405,G92,'Istoric_Nativ'!$D$6:$D$405,"&lt;"&amp;J92,'Istoric_Nativ'!$P$6:$P$405,1),IF(H92="AWAY",COUNTIFS('Istoric_Nativ'!$B$6:$B$405,E92,'Istoric_Nativ'!$C$6:$C$405,F92,'Istoric_Nativ'!$F$6:$F$405,G92,'Istoric_Nativ'!$D$6:$D$405,"&lt;"&amp;J92,'Istoric_Nativ'!$P$6:$P$405,1),COUNTIFS('Istoric_Nativ'!$B$6:$B$405,E92,'Istoric_Nativ'!$C$6:$C$405,F92,'Istoric_Nativ'!$E$6:$E$405,G92,'Istoric_Nativ'!$D$6:$D$405,"&lt;"&amp;J92,'Istoric_Nativ'!$P$6:$P$405,1)+COUNTIFS('Istoric_Nativ'!$B$6:$B$405,E92,'Istoric_Nativ'!$C$6:$C$405,F92,'Istoric_Nativ'!$F$6:$F$405,G92,'Istoric_Nativ'!$D$6:$D$405,"&lt;"&amp;J92,'Istoric_Nativ'!$P$6:$P$405,1))))</x:f>
        <x:v>0</x:v>
      </x:c>
      <x:c r="L92" s="17" t="n">
        <x:f>IF(AND(B92&lt;&gt;"",I92="RECENT",K92&gt;0),LARGE(_xlfn._xlws.FILTER('Istoric_Nativ'!$D$6:$D$405,('Istoric_Nativ'!$B$6:$B$405=E92)*('Istoric_Nativ'!$C$6:$C$405=F92)*('Istoric_Nativ'!$P$6:$P$405=1)*('Istoric_Nativ'!$D$6:$D$405&lt;J92)*((('Istoric_Nativ'!$E$6:$E$405=G92)+('Istoric_Nativ'!$F$6:$F$405=G92))&gt;0)),MIN('Config_v6'!$B$54,K92)),0)</x:f>
        <x:v>0</x:v>
      </x:c>
      <x:c r="M92" s="2" t="n">
        <x:f>IF(OR(B92="",F92=""),0,IF(H92="HOME",COUNTIFS('Istoric_Nativ'!$B$6:$B$405,E92,'Istoric_Nativ'!$C$6:$C$405,F92,'Istoric_Nativ'!$E$6:$E$405,G92,'Istoric_Nativ'!$D$6:$D$405,"&lt;"&amp;J92,'Istoric_Nativ'!$P$6:$P$405,1,'Istoric_Nativ'!$D$6:$D$405,"&gt;="&amp;L92),IF(H92="AWAY",COUNTIFS('Istoric_Nativ'!$B$6:$B$405,E92,'Istoric_Nativ'!$C$6:$C$405,F92,'Istoric_Nativ'!$F$6:$F$405,G92,'Istoric_Nativ'!$D$6:$D$405,"&lt;"&amp;J92,'Istoric_Nativ'!$P$6:$P$405,1,'Istoric_Nativ'!$D$6:$D$405,"&gt;="&amp;L92),COUNTIFS('Istoric_Nativ'!$B$6:$B$405,E92,'Istoric_Nativ'!$C$6:$C$405,F92,'Istoric_Nativ'!$E$6:$E$405,G92,'Istoric_Nativ'!$D$6:$D$405,"&lt;"&amp;J92,'Istoric_Nativ'!$P$6:$P$405,1,'Istoric_Nativ'!$D$6:$D$405,"&gt;="&amp;L92)+COUNTIFS('Istoric_Nativ'!$B$6:$B$405,E92,'Istoric_Nativ'!$C$6:$C$405,F92,'Istoric_Nativ'!$F$6:$F$405,G92,'Istoric_Nativ'!$D$6:$D$405,"&lt;"&amp;J92,'Istoric_Nativ'!$P$6:$P$405,1,'Istoric_Nativ'!$D$6:$D$405,"&gt;="&amp;L92))))</x:f>
        <x:v>0</x:v>
      </x:c>
      <x:c r="N92" s="11" t="str">
        <x:f>IF(M92=0,"",IF(H92="HOME",SUMIFS('Istoric_Nativ'!$G$6:$G$405,'Istoric_Nativ'!$B$6:$B$405,E92,'Istoric_Nativ'!$C$6:$C$405,F92,'Istoric_Nativ'!$E$6:$E$405,G92,'Istoric_Nativ'!$D$6:$D$405,"&lt;"&amp;J92,'Istoric_Nativ'!$P$6:$P$405,1,'Istoric_Nativ'!$D$6:$D$405,"&gt;="&amp;L92),IF(H92="AWAY",SUMIFS('Istoric_Nativ'!$H$6:$H$405,'Istoric_Nativ'!$B$6:$B$405,E92,'Istoric_Nativ'!$C$6:$C$405,F92,'Istoric_Nativ'!$F$6:$F$405,G92,'Istoric_Nativ'!$D$6:$D$405,"&lt;"&amp;J92,'Istoric_Nativ'!$P$6:$P$405,1,'Istoric_Nativ'!$D$6:$D$405,"&gt;="&amp;L92),SUMIFS('Istoric_Nativ'!$G$6:$G$405,'Istoric_Nativ'!$B$6:$B$405,E92,'Istoric_Nativ'!$C$6:$C$405,F92,'Istoric_Nativ'!$E$6:$E$405,G92,'Istoric_Nativ'!$D$6:$D$405,"&lt;"&amp;J92,'Istoric_Nativ'!$P$6:$P$405,1,'Istoric_Nativ'!$D$6:$D$405,"&gt;="&amp;L92)+SUMIFS('Istoric_Nativ'!$H$6:$H$405,'Istoric_Nativ'!$B$6:$B$405,E92,'Istoric_Nativ'!$C$6:$C$405,F92,'Istoric_Nativ'!$F$6:$F$405,G92,'Istoric_Nativ'!$D$6:$D$405,"&lt;"&amp;J92,'Istoric_Nativ'!$P$6:$P$405,1,'Istoric_Nativ'!$D$6:$D$405,"&gt;="&amp;L92)))/M92)</x:f>
      </x:c>
      <x:c r="O92" s="11" t="str">
        <x:f>IF(M92=0,"",IF(H92="HOME",SUMIFS('Istoric_Nativ'!$H$6:$H$405,'Istoric_Nativ'!$B$6:$B$405,E92,'Istoric_Nativ'!$C$6:$C$405,F92,'Istoric_Nativ'!$E$6:$E$405,G92,'Istoric_Nativ'!$D$6:$D$405,"&lt;"&amp;J92,'Istoric_Nativ'!$P$6:$P$405,1,'Istoric_Nativ'!$D$6:$D$405,"&gt;="&amp;L92),IF(H92="AWAY",SUMIFS('Istoric_Nativ'!$G$6:$G$405,'Istoric_Nativ'!$B$6:$B$405,E92,'Istoric_Nativ'!$C$6:$C$405,F92,'Istoric_Nativ'!$F$6:$F$405,G92,'Istoric_Nativ'!$D$6:$D$405,"&lt;"&amp;J92,'Istoric_Nativ'!$P$6:$P$405,1,'Istoric_Nativ'!$D$6:$D$405,"&gt;="&amp;L92),SUMIFS('Istoric_Nativ'!$H$6:$H$405,'Istoric_Nativ'!$B$6:$B$405,E92,'Istoric_Nativ'!$C$6:$C$405,F92,'Istoric_Nativ'!$E$6:$E$405,G92,'Istoric_Nativ'!$D$6:$D$405,"&lt;"&amp;J92,'Istoric_Nativ'!$P$6:$P$405,1,'Istoric_Nativ'!$D$6:$D$405,"&gt;="&amp;L92)+SUMIFS('Istoric_Nativ'!$G$6:$G$405,'Istoric_Nativ'!$B$6:$B$405,E92,'Istoric_Nativ'!$C$6:$C$405,F92,'Istoric_Nativ'!$F$6:$F$405,G92,'Istoric_Nativ'!$D$6:$D$405,"&lt;"&amp;J92,'Istoric_Nativ'!$P$6:$P$405,1,'Istoric_Nativ'!$D$6:$D$405,"&gt;="&amp;L92)))/M92)</x:f>
      </x:c>
      <x:c r="P92" s="2" t="n">
        <x:f>'Config_v6'!$B$9</x:f>
        <x:v>3</x:v>
      </x:c>
      <x:c r="Q92" s="2" t="n">
        <x:f>IF(OR(B92="",F92=""),0,IFERROR(MATCH(E92&amp;"|"&amp;F92,SourceTable[Source_Key],0),0))</x:f>
        <x:v>0</x:v>
      </x:c>
      <x:c r="R92" s="2" t="str">
        <x:f>IF(B92="","",IF(F92="","UNUSED",IF(Q92=0,"NOT CHECKED",IF(COUNTIF(SourceTable[Source_Key],E92&amp;"|"&amp;F92)&lt;&gt;1,"SOURCE CONFLICT",IF(NOT(OR(INDEX(SourceTable[Status],MAX(1,Q92))="IMPORTED",INDEX(SourceTable[Status],MAX(1,Q92))="PARTIAL",INDEX(SourceTable[Status],MAX(1,Q92))="SOURCE CONFLICT")),"ACCESS BLOCKED",IF(OR(INDEX(SourceTable[Coverage],Q92)&lt;&gt;"FULL SEASON EXPORT",INDEX(SourceTable[URL],Q92)="",INDEX(SourceTable[SHA256],Q92)=""),"EVIDENCE INCOMPLETE",IF(AND('Input_Meci'!H13="LIVE",INDEX(SourceTable[Retrieved_UTC],Q92)&gt;'Input_Meci'!G13),"POST CUTOFF","CLOSED")))))))</x:f>
      </x:c>
      <x:c r="S92" s="2" t="n">
        <x:f>IF(OR(B92="",F92=""),0,COUNTIFS('Istoric_Nativ'!$B$6:$B$405,E92,'Istoric_Nativ'!$C$6:$C$405,F92,'Istoric_Nativ'!$E$6:$E$405,G92,'Istoric_Nativ'!$D$6:$D$405,"&lt;"&amp;J92,'Istoric_Nativ'!$O$6:$O$405,"INVALID")+COUNTIFS('Istoric_Nativ'!$B$6:$B$405,E92,'Istoric_Nativ'!$C$6:$C$405,F92,'Istoric_Nativ'!$E$6:$E$405,G92,'Istoric_Nativ'!$O$6:$O$405,"INVALID",'Istoric_Nativ'!$D$6:$D$405,"*")+COUNTIFS('Istoric_Nativ'!$B$6:$B$405,E92,'Istoric_Nativ'!$C$6:$C$405,F92,'Istoric_Nativ'!$E$6:$E$405,G92,'Istoric_Nativ'!$D$6:$D$405,"&lt;"&amp;J92,'Istoric_Nativ'!$O$6:$O$405,"SOURCE CONFLICT")+COUNTIFS('Istoric_Nativ'!$B$6:$B$405,E92,'Istoric_Nativ'!$C$6:$C$405,F92,'Istoric_Nativ'!$F$6:$F$405,G92,'Istoric_Nativ'!$D$6:$D$405,"&lt;"&amp;J92,'Istoric_Nativ'!$O$6:$O$405,"INVALID")+COUNTIFS('Istoric_Nativ'!$B$6:$B$405,E92,'Istoric_Nativ'!$C$6:$C$405,F92,'Istoric_Nativ'!$F$6:$F$405,G92,'Istoric_Nativ'!$O$6:$O$405,"INVALID",'Istoric_Nativ'!$D$6:$D$405,"*")+COUNTIFS('Istoric_Nativ'!$B$6:$B$405,E92,'Istoric_Nativ'!$C$6:$C$405,F92,'Istoric_Nativ'!$F$6:$F$405,G92,'Istoric_Nativ'!$D$6:$D$405,"&lt;"&amp;J92,'Istoric_Nativ'!$O$6:$O$405,"SOURCE CONFLICT"))</x:f>
        <x:v>0</x:v>
      </x:c>
      <x:c r="T92" s="2" t="str">
        <x:f>IF(B92="","",IF(R92&lt;&gt;"CLOSED",R92,IF(S92&gt;0,"NATIVE INPUT ISSUE",IF(M92=0,"NO HISTORY",IF(M92&lt;P92,"SMALL SAMPLE","DERIVED")))))</x:f>
      </x:c>
      <x:c r="U92" s="2" t="str">
        <x:f>IF(B92="","","NativeTable; "&amp;E92&amp;"; "&amp;F92&amp;"; "&amp;G92&amp;"; "&amp;H92&amp;"; before "&amp;TEXT(J92,"yyyy-mm-dd")&amp;IF(I92="RECENT","; from "&amp;TEXT(L92,"yyyy-mm-dd"),""))</x:f>
      </x:c>
    </x:row>
    <x:row r="93" ht="21" customHeight="1">
      <x:c r="A93" s="2" t="n">
        <x:v>8</x:v>
      </x:c>
      <x:c r="B93" s="2" t="str">
        <x:f>IF('Input_Meci'!A13="","",'Input_Meci'!A13)</x:f>
      </x:c>
      <x:c r="C93" s="2" t="str">
        <x:v>A</x:v>
      </x:c>
      <x:c r="D93" s="2" t="str">
        <x:v>CURRENT</x:v>
      </x:c>
      <x:c r="E93" s="2" t="str">
        <x:f>IF(B93="","",'Input_Meci'!B13)</x:f>
      </x:c>
      <x:c r="F93" s="2" t="str">
        <x:f>IF(B93="","",IF('Input_Meci'!C13="","",'Input_Meci'!C13))</x:f>
      </x:c>
      <x:c r="G93" s="2" t="str">
        <x:f>IF(B93="","",'Input_Meci'!E13)</x:f>
      </x:c>
      <x:c r="H93" s="2" t="str">
        <x:v>ANY</x:v>
      </x:c>
      <x:c r="I93" s="2" t="str">
        <x:v>SEASON</x:v>
      </x:c>
      <x:c r="J93" s="9" t="n">
        <x:f>IF(AND(B93&lt;&gt;"",ISNUMBER('Input_Meci'!G13)),INT('Input_Meci'!G13),0)</x:f>
        <x:v>0</x:v>
      </x:c>
      <x:c r="K93" s="2" t="n">
        <x:f>IF(OR(B93="",F93=""),0,IF(H93="HOME",COUNTIFS('Istoric_Nativ'!$B$6:$B$405,E93,'Istoric_Nativ'!$C$6:$C$405,F93,'Istoric_Nativ'!$E$6:$E$405,G93,'Istoric_Nativ'!$D$6:$D$405,"&lt;"&amp;J93,'Istoric_Nativ'!$P$6:$P$405,1),IF(H93="AWAY",COUNTIFS('Istoric_Nativ'!$B$6:$B$405,E93,'Istoric_Nativ'!$C$6:$C$405,F93,'Istoric_Nativ'!$F$6:$F$405,G93,'Istoric_Nativ'!$D$6:$D$405,"&lt;"&amp;J93,'Istoric_Nativ'!$P$6:$P$405,1),COUNTIFS('Istoric_Nativ'!$B$6:$B$405,E93,'Istoric_Nativ'!$C$6:$C$405,F93,'Istoric_Nativ'!$E$6:$E$405,G93,'Istoric_Nativ'!$D$6:$D$405,"&lt;"&amp;J93,'Istoric_Nativ'!$P$6:$P$405,1)+COUNTIFS('Istoric_Nativ'!$B$6:$B$405,E93,'Istoric_Nativ'!$C$6:$C$405,F93,'Istoric_Nativ'!$F$6:$F$405,G93,'Istoric_Nativ'!$D$6:$D$405,"&lt;"&amp;J93,'Istoric_Nativ'!$P$6:$P$405,1))))</x:f>
        <x:v>0</x:v>
      </x:c>
      <x:c r="L93" s="17" t="n">
        <x:f>IF(AND(B93&lt;&gt;"",I93="RECENT",K93&gt;0),LARGE(_xlfn._xlws.FILTER('Istoric_Nativ'!$D$6:$D$405,('Istoric_Nativ'!$B$6:$B$405=E93)*('Istoric_Nativ'!$C$6:$C$405=F93)*('Istoric_Nativ'!$P$6:$P$405=1)*('Istoric_Nativ'!$D$6:$D$405&lt;J93)*((('Istoric_Nativ'!$E$6:$E$405=G93)+('Istoric_Nativ'!$F$6:$F$405=G93))&gt;0)),MIN('Config_v6'!$B$54,K93)),0)</x:f>
        <x:v>0</x:v>
      </x:c>
      <x:c r="M93" s="2" t="n">
        <x:f>IF(OR(B93="",F93=""),0,IF(H93="HOME",COUNTIFS('Istoric_Nativ'!$B$6:$B$405,E93,'Istoric_Nativ'!$C$6:$C$405,F93,'Istoric_Nativ'!$E$6:$E$405,G93,'Istoric_Nativ'!$D$6:$D$405,"&lt;"&amp;J93,'Istoric_Nativ'!$P$6:$P$405,1,'Istoric_Nativ'!$D$6:$D$405,"&gt;="&amp;L93),IF(H93="AWAY",COUNTIFS('Istoric_Nativ'!$B$6:$B$405,E93,'Istoric_Nativ'!$C$6:$C$405,F93,'Istoric_Nativ'!$F$6:$F$405,G93,'Istoric_Nativ'!$D$6:$D$405,"&lt;"&amp;J93,'Istoric_Nativ'!$P$6:$P$405,1,'Istoric_Nativ'!$D$6:$D$405,"&gt;="&amp;L93),COUNTIFS('Istoric_Nativ'!$B$6:$B$405,E93,'Istoric_Nativ'!$C$6:$C$405,F93,'Istoric_Nativ'!$E$6:$E$405,G93,'Istoric_Nativ'!$D$6:$D$405,"&lt;"&amp;J93,'Istoric_Nativ'!$P$6:$P$405,1,'Istoric_Nativ'!$D$6:$D$405,"&gt;="&amp;L93)+COUNTIFS('Istoric_Nativ'!$B$6:$B$405,E93,'Istoric_Nativ'!$C$6:$C$405,F93,'Istoric_Nativ'!$F$6:$F$405,G93,'Istoric_Nativ'!$D$6:$D$405,"&lt;"&amp;J93,'Istoric_Nativ'!$P$6:$P$405,1,'Istoric_Nativ'!$D$6:$D$405,"&gt;="&amp;L93))))</x:f>
        <x:v>0</x:v>
      </x:c>
      <x:c r="N93" s="11" t="str">
        <x:f>IF(M93=0,"",IF(H93="HOME",SUMIFS('Istoric_Nativ'!$G$6:$G$405,'Istoric_Nativ'!$B$6:$B$405,E93,'Istoric_Nativ'!$C$6:$C$405,F93,'Istoric_Nativ'!$E$6:$E$405,G93,'Istoric_Nativ'!$D$6:$D$405,"&lt;"&amp;J93,'Istoric_Nativ'!$P$6:$P$405,1,'Istoric_Nativ'!$D$6:$D$405,"&gt;="&amp;L93),IF(H93="AWAY",SUMIFS('Istoric_Nativ'!$H$6:$H$405,'Istoric_Nativ'!$B$6:$B$405,E93,'Istoric_Nativ'!$C$6:$C$405,F93,'Istoric_Nativ'!$F$6:$F$405,G93,'Istoric_Nativ'!$D$6:$D$405,"&lt;"&amp;J93,'Istoric_Nativ'!$P$6:$P$405,1,'Istoric_Nativ'!$D$6:$D$405,"&gt;="&amp;L93),SUMIFS('Istoric_Nativ'!$G$6:$G$405,'Istoric_Nativ'!$B$6:$B$405,E93,'Istoric_Nativ'!$C$6:$C$405,F93,'Istoric_Nativ'!$E$6:$E$405,G93,'Istoric_Nativ'!$D$6:$D$405,"&lt;"&amp;J93,'Istoric_Nativ'!$P$6:$P$405,1,'Istoric_Nativ'!$D$6:$D$405,"&gt;="&amp;L93)+SUMIFS('Istoric_Nativ'!$H$6:$H$405,'Istoric_Nativ'!$B$6:$B$405,E93,'Istoric_Nativ'!$C$6:$C$405,F93,'Istoric_Nativ'!$F$6:$F$405,G93,'Istoric_Nativ'!$D$6:$D$405,"&lt;"&amp;J93,'Istoric_Nativ'!$P$6:$P$405,1,'Istoric_Nativ'!$D$6:$D$405,"&gt;="&amp;L93)))/M93)</x:f>
      </x:c>
      <x:c r="O93" s="11" t="str">
        <x:f>IF(M93=0,"",IF(H93="HOME",SUMIFS('Istoric_Nativ'!$H$6:$H$405,'Istoric_Nativ'!$B$6:$B$405,E93,'Istoric_Nativ'!$C$6:$C$405,F93,'Istoric_Nativ'!$E$6:$E$405,G93,'Istoric_Nativ'!$D$6:$D$405,"&lt;"&amp;J93,'Istoric_Nativ'!$P$6:$P$405,1,'Istoric_Nativ'!$D$6:$D$405,"&gt;="&amp;L93),IF(H93="AWAY",SUMIFS('Istoric_Nativ'!$G$6:$G$405,'Istoric_Nativ'!$B$6:$B$405,E93,'Istoric_Nativ'!$C$6:$C$405,F93,'Istoric_Nativ'!$F$6:$F$405,G93,'Istoric_Nativ'!$D$6:$D$405,"&lt;"&amp;J93,'Istoric_Nativ'!$P$6:$P$405,1,'Istoric_Nativ'!$D$6:$D$405,"&gt;="&amp;L93),SUMIFS('Istoric_Nativ'!$H$6:$H$405,'Istoric_Nativ'!$B$6:$B$405,E93,'Istoric_Nativ'!$C$6:$C$405,F93,'Istoric_Nativ'!$E$6:$E$405,G93,'Istoric_Nativ'!$D$6:$D$405,"&lt;"&amp;J93,'Istoric_Nativ'!$P$6:$P$405,1,'Istoric_Nativ'!$D$6:$D$405,"&gt;="&amp;L93)+SUMIFS('Istoric_Nativ'!$G$6:$G$405,'Istoric_Nativ'!$B$6:$B$405,E93,'Istoric_Nativ'!$C$6:$C$405,F93,'Istoric_Nativ'!$F$6:$F$405,G93,'Istoric_Nativ'!$D$6:$D$405,"&lt;"&amp;J93,'Istoric_Nativ'!$P$6:$P$405,1,'Istoric_Nativ'!$D$6:$D$405,"&gt;="&amp;L93)))/M93)</x:f>
      </x:c>
      <x:c r="P93" s="2" t="n">
        <x:f>'Config_v6'!$B$7</x:f>
        <x:v>10</x:v>
      </x:c>
      <x:c r="Q93" s="2" t="n">
        <x:f>IF(OR(B93="",F93=""),0,IFERROR(MATCH(E93&amp;"|"&amp;F93,SourceTable[Source_Key],0),0))</x:f>
        <x:v>0</x:v>
      </x:c>
      <x:c r="R93" s="2" t="str">
        <x:f>IF(B93="","",IF(F93="","UNUSED",IF(Q93=0,"NOT CHECKED",IF(COUNTIF(SourceTable[Source_Key],E93&amp;"|"&amp;F93)&lt;&gt;1,"SOURCE CONFLICT",IF(NOT(OR(INDEX(SourceTable[Status],MAX(1,Q93))="IMPORTED",INDEX(SourceTable[Status],MAX(1,Q93))="PARTIAL",INDEX(SourceTable[Status],MAX(1,Q93))="SOURCE CONFLICT")),"ACCESS BLOCKED",IF(OR(INDEX(SourceTable[Coverage],Q93)&lt;&gt;"FULL SEASON EXPORT",INDEX(SourceTable[URL],Q93)="",INDEX(SourceTable[SHA256],Q93)=""),"EVIDENCE INCOMPLETE",IF(AND('Input_Meci'!H13="LIVE",INDEX(SourceTable[Retrieved_UTC],Q93)&gt;'Input_Meci'!G13),"POST CUTOFF","CLOSED")))))))</x:f>
      </x:c>
      <x:c r="S93" s="2" t="n">
        <x:f>IF(OR(B93="",F93=""),0,COUNTIFS('Istoric_Nativ'!$B$6:$B$405,E93,'Istoric_Nativ'!$C$6:$C$405,F93,'Istoric_Nativ'!$E$6:$E$405,G93,'Istoric_Nativ'!$D$6:$D$405,"&lt;"&amp;J93,'Istoric_Nativ'!$O$6:$O$405,"INVALID")+COUNTIFS('Istoric_Nativ'!$B$6:$B$405,E93,'Istoric_Nativ'!$C$6:$C$405,F93,'Istoric_Nativ'!$E$6:$E$405,G93,'Istoric_Nativ'!$O$6:$O$405,"INVALID",'Istoric_Nativ'!$D$6:$D$405,"*")+COUNTIFS('Istoric_Nativ'!$B$6:$B$405,E93,'Istoric_Nativ'!$C$6:$C$405,F93,'Istoric_Nativ'!$E$6:$E$405,G93,'Istoric_Nativ'!$D$6:$D$405,"&lt;"&amp;J93,'Istoric_Nativ'!$O$6:$O$405,"SOURCE CONFLICT")+COUNTIFS('Istoric_Nativ'!$B$6:$B$405,E93,'Istoric_Nativ'!$C$6:$C$405,F93,'Istoric_Nativ'!$F$6:$F$405,G93,'Istoric_Nativ'!$D$6:$D$405,"&lt;"&amp;J93,'Istoric_Nativ'!$O$6:$O$405,"INVALID")+COUNTIFS('Istoric_Nativ'!$B$6:$B$405,E93,'Istoric_Nativ'!$C$6:$C$405,F93,'Istoric_Nativ'!$F$6:$F$405,G93,'Istoric_Nativ'!$O$6:$O$405,"INVALID",'Istoric_Nativ'!$D$6:$D$405,"*")+COUNTIFS('Istoric_Nativ'!$B$6:$B$405,E93,'Istoric_Nativ'!$C$6:$C$405,F93,'Istoric_Nativ'!$F$6:$F$405,G93,'Istoric_Nativ'!$D$6:$D$405,"&lt;"&amp;J93,'Istoric_Nativ'!$O$6:$O$405,"SOURCE CONFLICT"))</x:f>
        <x:v>0</x:v>
      </x:c>
      <x:c r="T93" s="2" t="str">
        <x:f>IF(B93="","",IF(R93&lt;&gt;"CLOSED",R93,IF(S93&gt;0,"NATIVE INPUT ISSUE",IF(M93=0,"NO HISTORY",IF(M93&lt;P93,"SMALL SAMPLE","DERIVED")))))</x:f>
      </x:c>
      <x:c r="U93" s="2" t="str">
        <x:f>IF(B93="","","NativeTable; "&amp;E93&amp;"; "&amp;F93&amp;"; "&amp;G93&amp;"; "&amp;H93&amp;"; before "&amp;TEXT(J93,"yyyy-mm-dd")&amp;IF(I93="RECENT","; from "&amp;TEXT(L93,"yyyy-mm-dd"),""))</x:f>
      </x:c>
    </x:row>
    <x:row r="94" ht="21" customHeight="1">
      <x:c r="A94" s="2" t="n">
        <x:v>8</x:v>
      </x:c>
      <x:c r="B94" s="2" t="str">
        <x:f>IF('Input_Meci'!A13="","",'Input_Meci'!A13)</x:f>
      </x:c>
      <x:c r="C94" s="2" t="str">
        <x:v>A</x:v>
      </x:c>
      <x:c r="D94" s="2" t="str">
        <x:v>CURRENT</x:v>
      </x:c>
      <x:c r="E94" s="2" t="str">
        <x:f>IF(B94="","",'Input_Meci'!B13)</x:f>
      </x:c>
      <x:c r="F94" s="2" t="str">
        <x:f>IF(B94="","",IF('Input_Meci'!C13="","",'Input_Meci'!C13))</x:f>
      </x:c>
      <x:c r="G94" s="2" t="str">
        <x:f>IF(B94="","",'Input_Meci'!E13)</x:f>
      </x:c>
      <x:c r="H94" s="2" t="str">
        <x:v>AWAY</x:v>
      </x:c>
      <x:c r="I94" s="2" t="str">
        <x:v>HA</x:v>
      </x:c>
      <x:c r="J94" s="9" t="n">
        <x:f>IF(AND(B94&lt;&gt;"",ISNUMBER('Input_Meci'!G13)),INT('Input_Meci'!G13),0)</x:f>
        <x:v>0</x:v>
      </x:c>
      <x:c r="K94" s="2" t="n">
        <x:f>IF(OR(B94="",F94=""),0,IF(H94="HOME",COUNTIFS('Istoric_Nativ'!$B$6:$B$405,E94,'Istoric_Nativ'!$C$6:$C$405,F94,'Istoric_Nativ'!$E$6:$E$405,G94,'Istoric_Nativ'!$D$6:$D$405,"&lt;"&amp;J94,'Istoric_Nativ'!$P$6:$P$405,1),IF(H94="AWAY",COUNTIFS('Istoric_Nativ'!$B$6:$B$405,E94,'Istoric_Nativ'!$C$6:$C$405,F94,'Istoric_Nativ'!$F$6:$F$405,G94,'Istoric_Nativ'!$D$6:$D$405,"&lt;"&amp;J94,'Istoric_Nativ'!$P$6:$P$405,1),COUNTIFS('Istoric_Nativ'!$B$6:$B$405,E94,'Istoric_Nativ'!$C$6:$C$405,F94,'Istoric_Nativ'!$E$6:$E$405,G94,'Istoric_Nativ'!$D$6:$D$405,"&lt;"&amp;J94,'Istoric_Nativ'!$P$6:$P$405,1)+COUNTIFS('Istoric_Nativ'!$B$6:$B$405,E94,'Istoric_Nativ'!$C$6:$C$405,F94,'Istoric_Nativ'!$F$6:$F$405,G94,'Istoric_Nativ'!$D$6:$D$405,"&lt;"&amp;J94,'Istoric_Nativ'!$P$6:$P$405,1))))</x:f>
        <x:v>0</x:v>
      </x:c>
      <x:c r="L94" s="17" t="n">
        <x:f>IF(AND(B94&lt;&gt;"",I94="RECENT",K94&gt;0),LARGE(_xlfn._xlws.FILTER('Istoric_Nativ'!$D$6:$D$405,('Istoric_Nativ'!$B$6:$B$405=E94)*('Istoric_Nativ'!$C$6:$C$405=F94)*('Istoric_Nativ'!$P$6:$P$405=1)*('Istoric_Nativ'!$D$6:$D$405&lt;J94)*((('Istoric_Nativ'!$E$6:$E$405=G94)+('Istoric_Nativ'!$F$6:$F$405=G94))&gt;0)),MIN('Config_v6'!$B$54,K94)),0)</x:f>
        <x:v>0</x:v>
      </x:c>
      <x:c r="M94" s="2" t="n">
        <x:f>IF(OR(B94="",F94=""),0,IF(H94="HOME",COUNTIFS('Istoric_Nativ'!$B$6:$B$405,E94,'Istoric_Nativ'!$C$6:$C$405,F94,'Istoric_Nativ'!$E$6:$E$405,G94,'Istoric_Nativ'!$D$6:$D$405,"&lt;"&amp;J94,'Istoric_Nativ'!$P$6:$P$405,1,'Istoric_Nativ'!$D$6:$D$405,"&gt;="&amp;L94),IF(H94="AWAY",COUNTIFS('Istoric_Nativ'!$B$6:$B$405,E94,'Istoric_Nativ'!$C$6:$C$405,F94,'Istoric_Nativ'!$F$6:$F$405,G94,'Istoric_Nativ'!$D$6:$D$405,"&lt;"&amp;J94,'Istoric_Nativ'!$P$6:$P$405,1,'Istoric_Nativ'!$D$6:$D$405,"&gt;="&amp;L94),COUNTIFS('Istoric_Nativ'!$B$6:$B$405,E94,'Istoric_Nativ'!$C$6:$C$405,F94,'Istoric_Nativ'!$E$6:$E$405,G94,'Istoric_Nativ'!$D$6:$D$405,"&lt;"&amp;J94,'Istoric_Nativ'!$P$6:$P$405,1,'Istoric_Nativ'!$D$6:$D$405,"&gt;="&amp;L94)+COUNTIFS('Istoric_Nativ'!$B$6:$B$405,E94,'Istoric_Nativ'!$C$6:$C$405,F94,'Istoric_Nativ'!$F$6:$F$405,G94,'Istoric_Nativ'!$D$6:$D$405,"&lt;"&amp;J94,'Istoric_Nativ'!$P$6:$P$405,1,'Istoric_Nativ'!$D$6:$D$405,"&gt;="&amp;L94))))</x:f>
        <x:v>0</x:v>
      </x:c>
      <x:c r="N94" s="11" t="str">
        <x:f>IF(M94=0,"",IF(H94="HOME",SUMIFS('Istoric_Nativ'!$G$6:$G$405,'Istoric_Nativ'!$B$6:$B$405,E94,'Istoric_Nativ'!$C$6:$C$405,F94,'Istoric_Nativ'!$E$6:$E$405,G94,'Istoric_Nativ'!$D$6:$D$405,"&lt;"&amp;J94,'Istoric_Nativ'!$P$6:$P$405,1,'Istoric_Nativ'!$D$6:$D$405,"&gt;="&amp;L94),IF(H94="AWAY",SUMIFS('Istoric_Nativ'!$H$6:$H$405,'Istoric_Nativ'!$B$6:$B$405,E94,'Istoric_Nativ'!$C$6:$C$405,F94,'Istoric_Nativ'!$F$6:$F$405,G94,'Istoric_Nativ'!$D$6:$D$405,"&lt;"&amp;J94,'Istoric_Nativ'!$P$6:$P$405,1,'Istoric_Nativ'!$D$6:$D$405,"&gt;="&amp;L94),SUMIFS('Istoric_Nativ'!$G$6:$G$405,'Istoric_Nativ'!$B$6:$B$405,E94,'Istoric_Nativ'!$C$6:$C$405,F94,'Istoric_Nativ'!$E$6:$E$405,G94,'Istoric_Nativ'!$D$6:$D$405,"&lt;"&amp;J94,'Istoric_Nativ'!$P$6:$P$405,1,'Istoric_Nativ'!$D$6:$D$405,"&gt;="&amp;L94)+SUMIFS('Istoric_Nativ'!$H$6:$H$405,'Istoric_Nativ'!$B$6:$B$405,E94,'Istoric_Nativ'!$C$6:$C$405,F94,'Istoric_Nativ'!$F$6:$F$405,G94,'Istoric_Nativ'!$D$6:$D$405,"&lt;"&amp;J94,'Istoric_Nativ'!$P$6:$P$405,1,'Istoric_Nativ'!$D$6:$D$405,"&gt;="&amp;L94)))/M94)</x:f>
      </x:c>
      <x:c r="O94" s="11" t="str">
        <x:f>IF(M94=0,"",IF(H94="HOME",SUMIFS('Istoric_Nativ'!$H$6:$H$405,'Istoric_Nativ'!$B$6:$B$405,E94,'Istoric_Nativ'!$C$6:$C$405,F94,'Istoric_Nativ'!$E$6:$E$405,G94,'Istoric_Nativ'!$D$6:$D$405,"&lt;"&amp;J94,'Istoric_Nativ'!$P$6:$P$405,1,'Istoric_Nativ'!$D$6:$D$405,"&gt;="&amp;L94),IF(H94="AWAY",SUMIFS('Istoric_Nativ'!$G$6:$G$405,'Istoric_Nativ'!$B$6:$B$405,E94,'Istoric_Nativ'!$C$6:$C$405,F94,'Istoric_Nativ'!$F$6:$F$405,G94,'Istoric_Nativ'!$D$6:$D$405,"&lt;"&amp;J94,'Istoric_Nativ'!$P$6:$P$405,1,'Istoric_Nativ'!$D$6:$D$405,"&gt;="&amp;L94),SUMIFS('Istoric_Nativ'!$H$6:$H$405,'Istoric_Nativ'!$B$6:$B$405,E94,'Istoric_Nativ'!$C$6:$C$405,F94,'Istoric_Nativ'!$E$6:$E$405,G94,'Istoric_Nativ'!$D$6:$D$405,"&lt;"&amp;J94,'Istoric_Nativ'!$P$6:$P$405,1,'Istoric_Nativ'!$D$6:$D$405,"&gt;="&amp;L94)+SUMIFS('Istoric_Nativ'!$G$6:$G$405,'Istoric_Nativ'!$B$6:$B$405,E94,'Istoric_Nativ'!$C$6:$C$405,F94,'Istoric_Nativ'!$F$6:$F$405,G94,'Istoric_Nativ'!$D$6:$D$405,"&lt;"&amp;J94,'Istoric_Nativ'!$P$6:$P$405,1,'Istoric_Nativ'!$D$6:$D$405,"&gt;="&amp;L94)))/M94)</x:f>
      </x:c>
      <x:c r="P94" s="2" t="n">
        <x:f>'Config_v6'!$B$8</x:f>
        <x:v>5</x:v>
      </x:c>
      <x:c r="Q94" s="2" t="n">
        <x:f>IF(OR(B94="",F94=""),0,IFERROR(MATCH(E94&amp;"|"&amp;F94,SourceTable[Source_Key],0),0))</x:f>
        <x:v>0</x:v>
      </x:c>
      <x:c r="R94" s="2" t="str">
        <x:f>IF(B94="","",IF(F94="","UNUSED",IF(Q94=0,"NOT CHECKED",IF(COUNTIF(SourceTable[Source_Key],E94&amp;"|"&amp;F94)&lt;&gt;1,"SOURCE CONFLICT",IF(NOT(OR(INDEX(SourceTable[Status],MAX(1,Q94))="IMPORTED",INDEX(SourceTable[Status],MAX(1,Q94))="PARTIAL",INDEX(SourceTable[Status],MAX(1,Q94))="SOURCE CONFLICT")),"ACCESS BLOCKED",IF(OR(INDEX(SourceTable[Coverage],Q94)&lt;&gt;"FULL SEASON EXPORT",INDEX(SourceTable[URL],Q94)="",INDEX(SourceTable[SHA256],Q94)=""),"EVIDENCE INCOMPLETE",IF(AND('Input_Meci'!H13="LIVE",INDEX(SourceTable[Retrieved_UTC],Q94)&gt;'Input_Meci'!G13),"POST CUTOFF","CLOSED")))))))</x:f>
      </x:c>
      <x:c r="S94" s="2" t="n">
        <x:f>IF(OR(B94="",F94=""),0,COUNTIFS('Istoric_Nativ'!$B$6:$B$405,E94,'Istoric_Nativ'!$C$6:$C$405,F94,'Istoric_Nativ'!$E$6:$E$405,G94,'Istoric_Nativ'!$D$6:$D$405,"&lt;"&amp;J94,'Istoric_Nativ'!$O$6:$O$405,"INVALID")+COUNTIFS('Istoric_Nativ'!$B$6:$B$405,E94,'Istoric_Nativ'!$C$6:$C$405,F94,'Istoric_Nativ'!$E$6:$E$405,G94,'Istoric_Nativ'!$O$6:$O$405,"INVALID",'Istoric_Nativ'!$D$6:$D$405,"*")+COUNTIFS('Istoric_Nativ'!$B$6:$B$405,E94,'Istoric_Nativ'!$C$6:$C$405,F94,'Istoric_Nativ'!$E$6:$E$405,G94,'Istoric_Nativ'!$D$6:$D$405,"&lt;"&amp;J94,'Istoric_Nativ'!$O$6:$O$405,"SOURCE CONFLICT")+COUNTIFS('Istoric_Nativ'!$B$6:$B$405,E94,'Istoric_Nativ'!$C$6:$C$405,F94,'Istoric_Nativ'!$F$6:$F$405,G94,'Istoric_Nativ'!$D$6:$D$405,"&lt;"&amp;J94,'Istoric_Nativ'!$O$6:$O$405,"INVALID")+COUNTIFS('Istoric_Nativ'!$B$6:$B$405,E94,'Istoric_Nativ'!$C$6:$C$405,F94,'Istoric_Nativ'!$F$6:$F$405,G94,'Istoric_Nativ'!$O$6:$O$405,"INVALID",'Istoric_Nativ'!$D$6:$D$405,"*")+COUNTIFS('Istoric_Nativ'!$B$6:$B$405,E94,'Istoric_Nativ'!$C$6:$C$405,F94,'Istoric_Nativ'!$F$6:$F$405,G94,'Istoric_Nativ'!$D$6:$D$405,"&lt;"&amp;J94,'Istoric_Nativ'!$O$6:$O$405,"SOURCE CONFLICT"))</x:f>
        <x:v>0</x:v>
      </x:c>
      <x:c r="T94" s="2" t="str">
        <x:f>IF(B94="","",IF(R94&lt;&gt;"CLOSED",R94,IF(S94&gt;0,"NATIVE INPUT ISSUE",IF(M94=0,"NO HISTORY",IF(M94&lt;P94,"SMALL SAMPLE","DERIVED")))))</x:f>
      </x:c>
      <x:c r="U94" s="2" t="str">
        <x:f>IF(B94="","","NativeTable; "&amp;E94&amp;"; "&amp;F94&amp;"; "&amp;G94&amp;"; "&amp;H94&amp;"; before "&amp;TEXT(J94,"yyyy-mm-dd")&amp;IF(I94="RECENT","; from "&amp;TEXT(L94,"yyyy-mm-dd"),""))</x:f>
      </x:c>
    </x:row>
    <x:row r="95" ht="21" customHeight="1">
      <x:c r="A95" s="2" t="n">
        <x:v>8</x:v>
      </x:c>
      <x:c r="B95" s="2" t="str">
        <x:f>IF('Input_Meci'!A13="","",'Input_Meci'!A13)</x:f>
      </x:c>
      <x:c r="C95" s="2" t="str">
        <x:v>A</x:v>
      </x:c>
      <x:c r="D95" s="2" t="str">
        <x:v>CURRENT</x:v>
      </x:c>
      <x:c r="E95" s="2" t="str">
        <x:f>IF(B95="","",'Input_Meci'!B13)</x:f>
      </x:c>
      <x:c r="F95" s="2" t="str">
        <x:f>IF(B95="","",IF('Input_Meci'!C13="","",'Input_Meci'!C13))</x:f>
      </x:c>
      <x:c r="G95" s="2" t="str">
        <x:f>IF(B95="","",'Input_Meci'!E13)</x:f>
      </x:c>
      <x:c r="H95" s="2" t="str">
        <x:v>ANY</x:v>
      </x:c>
      <x:c r="I95" s="2" t="str">
        <x:v>RECENT</x:v>
      </x:c>
      <x:c r="J95" s="9" t="n">
        <x:f>IF(AND(B95&lt;&gt;"",ISNUMBER('Input_Meci'!G13)),INT('Input_Meci'!G13),0)</x:f>
        <x:v>0</x:v>
      </x:c>
      <x:c r="K95" s="2" t="n">
        <x:f>IF(OR(B95="",F95=""),0,IF(H95="HOME",COUNTIFS('Istoric_Nativ'!$B$6:$B$405,E95,'Istoric_Nativ'!$C$6:$C$405,F95,'Istoric_Nativ'!$E$6:$E$405,G95,'Istoric_Nativ'!$D$6:$D$405,"&lt;"&amp;J95,'Istoric_Nativ'!$P$6:$P$405,1),IF(H95="AWAY",COUNTIFS('Istoric_Nativ'!$B$6:$B$405,E95,'Istoric_Nativ'!$C$6:$C$405,F95,'Istoric_Nativ'!$F$6:$F$405,G95,'Istoric_Nativ'!$D$6:$D$405,"&lt;"&amp;J95,'Istoric_Nativ'!$P$6:$P$405,1),COUNTIFS('Istoric_Nativ'!$B$6:$B$405,E95,'Istoric_Nativ'!$C$6:$C$405,F95,'Istoric_Nativ'!$E$6:$E$405,G95,'Istoric_Nativ'!$D$6:$D$405,"&lt;"&amp;J95,'Istoric_Nativ'!$P$6:$P$405,1)+COUNTIFS('Istoric_Nativ'!$B$6:$B$405,E95,'Istoric_Nativ'!$C$6:$C$405,F95,'Istoric_Nativ'!$F$6:$F$405,G95,'Istoric_Nativ'!$D$6:$D$405,"&lt;"&amp;J95,'Istoric_Nativ'!$P$6:$P$405,1))))</x:f>
        <x:v>0</x:v>
      </x:c>
      <x:c r="L95" s="17" t="n">
        <x:f>IF(AND(B95&lt;&gt;"",I95="RECENT",K95&gt;0),LARGE(_xlfn._xlws.FILTER('Istoric_Nativ'!$D$6:$D$405,('Istoric_Nativ'!$B$6:$B$405=E95)*('Istoric_Nativ'!$C$6:$C$405=F95)*('Istoric_Nativ'!$P$6:$P$405=1)*('Istoric_Nativ'!$D$6:$D$405&lt;J95)*((('Istoric_Nativ'!$E$6:$E$405=G95)+('Istoric_Nativ'!$F$6:$F$405=G95))&gt;0)),MIN('Config_v6'!$B$54,K95)),0)</x:f>
        <x:v>0</x:v>
      </x:c>
      <x:c r="M95" s="2" t="n">
        <x:f>IF(OR(B95="",F95=""),0,IF(H95="HOME",COUNTIFS('Istoric_Nativ'!$B$6:$B$405,E95,'Istoric_Nativ'!$C$6:$C$405,F95,'Istoric_Nativ'!$E$6:$E$405,G95,'Istoric_Nativ'!$D$6:$D$405,"&lt;"&amp;J95,'Istoric_Nativ'!$P$6:$P$405,1,'Istoric_Nativ'!$D$6:$D$405,"&gt;="&amp;L95),IF(H95="AWAY",COUNTIFS('Istoric_Nativ'!$B$6:$B$405,E95,'Istoric_Nativ'!$C$6:$C$405,F95,'Istoric_Nativ'!$F$6:$F$405,G95,'Istoric_Nativ'!$D$6:$D$405,"&lt;"&amp;J95,'Istoric_Nativ'!$P$6:$P$405,1,'Istoric_Nativ'!$D$6:$D$405,"&gt;="&amp;L95),COUNTIFS('Istoric_Nativ'!$B$6:$B$405,E95,'Istoric_Nativ'!$C$6:$C$405,F95,'Istoric_Nativ'!$E$6:$E$405,G95,'Istoric_Nativ'!$D$6:$D$405,"&lt;"&amp;J95,'Istoric_Nativ'!$P$6:$P$405,1,'Istoric_Nativ'!$D$6:$D$405,"&gt;="&amp;L95)+COUNTIFS('Istoric_Nativ'!$B$6:$B$405,E95,'Istoric_Nativ'!$C$6:$C$405,F95,'Istoric_Nativ'!$F$6:$F$405,G95,'Istoric_Nativ'!$D$6:$D$405,"&lt;"&amp;J95,'Istoric_Nativ'!$P$6:$P$405,1,'Istoric_Nativ'!$D$6:$D$405,"&gt;="&amp;L95))))</x:f>
        <x:v>0</x:v>
      </x:c>
      <x:c r="N95" s="11" t="str">
        <x:f>IF(M95=0,"",IF(H95="HOME",SUMIFS('Istoric_Nativ'!$G$6:$G$405,'Istoric_Nativ'!$B$6:$B$405,E95,'Istoric_Nativ'!$C$6:$C$405,F95,'Istoric_Nativ'!$E$6:$E$405,G95,'Istoric_Nativ'!$D$6:$D$405,"&lt;"&amp;J95,'Istoric_Nativ'!$P$6:$P$405,1,'Istoric_Nativ'!$D$6:$D$405,"&gt;="&amp;L95),IF(H95="AWAY",SUMIFS('Istoric_Nativ'!$H$6:$H$405,'Istoric_Nativ'!$B$6:$B$405,E95,'Istoric_Nativ'!$C$6:$C$405,F95,'Istoric_Nativ'!$F$6:$F$405,G95,'Istoric_Nativ'!$D$6:$D$405,"&lt;"&amp;J95,'Istoric_Nativ'!$P$6:$P$405,1,'Istoric_Nativ'!$D$6:$D$405,"&gt;="&amp;L95),SUMIFS('Istoric_Nativ'!$G$6:$G$405,'Istoric_Nativ'!$B$6:$B$405,E95,'Istoric_Nativ'!$C$6:$C$405,F95,'Istoric_Nativ'!$E$6:$E$405,G95,'Istoric_Nativ'!$D$6:$D$405,"&lt;"&amp;J95,'Istoric_Nativ'!$P$6:$P$405,1,'Istoric_Nativ'!$D$6:$D$405,"&gt;="&amp;L95)+SUMIFS('Istoric_Nativ'!$H$6:$H$405,'Istoric_Nativ'!$B$6:$B$405,E95,'Istoric_Nativ'!$C$6:$C$405,F95,'Istoric_Nativ'!$F$6:$F$405,G95,'Istoric_Nativ'!$D$6:$D$405,"&lt;"&amp;J95,'Istoric_Nativ'!$P$6:$P$405,1,'Istoric_Nativ'!$D$6:$D$405,"&gt;="&amp;L95)))/M95)</x:f>
      </x:c>
      <x:c r="O95" s="11" t="str">
        <x:f>IF(M95=0,"",IF(H95="HOME",SUMIFS('Istoric_Nativ'!$H$6:$H$405,'Istoric_Nativ'!$B$6:$B$405,E95,'Istoric_Nativ'!$C$6:$C$405,F95,'Istoric_Nativ'!$E$6:$E$405,G95,'Istoric_Nativ'!$D$6:$D$405,"&lt;"&amp;J95,'Istoric_Nativ'!$P$6:$P$405,1,'Istoric_Nativ'!$D$6:$D$405,"&gt;="&amp;L95),IF(H95="AWAY",SUMIFS('Istoric_Nativ'!$G$6:$G$405,'Istoric_Nativ'!$B$6:$B$405,E95,'Istoric_Nativ'!$C$6:$C$405,F95,'Istoric_Nativ'!$F$6:$F$405,G95,'Istoric_Nativ'!$D$6:$D$405,"&lt;"&amp;J95,'Istoric_Nativ'!$P$6:$P$405,1,'Istoric_Nativ'!$D$6:$D$405,"&gt;="&amp;L95),SUMIFS('Istoric_Nativ'!$H$6:$H$405,'Istoric_Nativ'!$B$6:$B$405,E95,'Istoric_Nativ'!$C$6:$C$405,F95,'Istoric_Nativ'!$E$6:$E$405,G95,'Istoric_Nativ'!$D$6:$D$405,"&lt;"&amp;J95,'Istoric_Nativ'!$P$6:$P$405,1,'Istoric_Nativ'!$D$6:$D$405,"&gt;="&amp;L95)+SUMIFS('Istoric_Nativ'!$G$6:$G$405,'Istoric_Nativ'!$B$6:$B$405,E95,'Istoric_Nativ'!$C$6:$C$405,F95,'Istoric_Nativ'!$F$6:$F$405,G95,'Istoric_Nativ'!$D$6:$D$405,"&lt;"&amp;J95,'Istoric_Nativ'!$P$6:$P$405,1,'Istoric_Nativ'!$D$6:$D$405,"&gt;="&amp;L95)))/M95)</x:f>
      </x:c>
      <x:c r="P95" s="2" t="n">
        <x:f>'Config_v6'!$B$9</x:f>
        <x:v>3</x:v>
      </x:c>
      <x:c r="Q95" s="2" t="n">
        <x:f>IF(OR(B95="",F95=""),0,IFERROR(MATCH(E95&amp;"|"&amp;F95,SourceTable[Source_Key],0),0))</x:f>
        <x:v>0</x:v>
      </x:c>
      <x:c r="R95" s="2" t="str">
        <x:f>IF(B95="","",IF(F95="","UNUSED",IF(Q95=0,"NOT CHECKED",IF(COUNTIF(SourceTable[Source_Key],E95&amp;"|"&amp;F95)&lt;&gt;1,"SOURCE CONFLICT",IF(NOT(OR(INDEX(SourceTable[Status],MAX(1,Q95))="IMPORTED",INDEX(SourceTable[Status],MAX(1,Q95))="PARTIAL",INDEX(SourceTable[Status],MAX(1,Q95))="SOURCE CONFLICT")),"ACCESS BLOCKED",IF(OR(INDEX(SourceTable[Coverage],Q95)&lt;&gt;"FULL SEASON EXPORT",INDEX(SourceTable[URL],Q95)="",INDEX(SourceTable[SHA256],Q95)=""),"EVIDENCE INCOMPLETE",IF(AND('Input_Meci'!H13="LIVE",INDEX(SourceTable[Retrieved_UTC],Q95)&gt;'Input_Meci'!G13),"POST CUTOFF","CLOSED")))))))</x:f>
      </x:c>
      <x:c r="S95" s="2" t="n">
        <x:f>IF(OR(B95="",F95=""),0,COUNTIFS('Istoric_Nativ'!$B$6:$B$405,E95,'Istoric_Nativ'!$C$6:$C$405,F95,'Istoric_Nativ'!$E$6:$E$405,G95,'Istoric_Nativ'!$D$6:$D$405,"&lt;"&amp;J95,'Istoric_Nativ'!$O$6:$O$405,"INVALID")+COUNTIFS('Istoric_Nativ'!$B$6:$B$405,E95,'Istoric_Nativ'!$C$6:$C$405,F95,'Istoric_Nativ'!$E$6:$E$405,G95,'Istoric_Nativ'!$O$6:$O$405,"INVALID",'Istoric_Nativ'!$D$6:$D$405,"*")+COUNTIFS('Istoric_Nativ'!$B$6:$B$405,E95,'Istoric_Nativ'!$C$6:$C$405,F95,'Istoric_Nativ'!$E$6:$E$405,G95,'Istoric_Nativ'!$D$6:$D$405,"&lt;"&amp;J95,'Istoric_Nativ'!$O$6:$O$405,"SOURCE CONFLICT")+COUNTIFS('Istoric_Nativ'!$B$6:$B$405,E95,'Istoric_Nativ'!$C$6:$C$405,F95,'Istoric_Nativ'!$F$6:$F$405,G95,'Istoric_Nativ'!$D$6:$D$405,"&lt;"&amp;J95,'Istoric_Nativ'!$O$6:$O$405,"INVALID")+COUNTIFS('Istoric_Nativ'!$B$6:$B$405,E95,'Istoric_Nativ'!$C$6:$C$405,F95,'Istoric_Nativ'!$F$6:$F$405,G95,'Istoric_Nativ'!$O$6:$O$405,"INVALID",'Istoric_Nativ'!$D$6:$D$405,"*")+COUNTIFS('Istoric_Nativ'!$B$6:$B$405,E95,'Istoric_Nativ'!$C$6:$C$405,F95,'Istoric_Nativ'!$F$6:$F$405,G95,'Istoric_Nativ'!$D$6:$D$405,"&lt;"&amp;J95,'Istoric_Nativ'!$O$6:$O$405,"SOURCE CONFLICT"))</x:f>
        <x:v>0</x:v>
      </x:c>
      <x:c r="T95" s="2" t="str">
        <x:f>IF(B95="","",IF(R95&lt;&gt;"CLOSED",R95,IF(S95&gt;0,"NATIVE INPUT ISSUE",IF(M95=0,"NO HISTORY",IF(M95&lt;P95,"SMALL SAMPLE","DERIVED")))))</x:f>
      </x:c>
      <x:c r="U95" s="2" t="str">
        <x:f>IF(B95="","","NativeTable; "&amp;E95&amp;"; "&amp;F95&amp;"; "&amp;G95&amp;"; "&amp;H95&amp;"; before "&amp;TEXT(J95,"yyyy-mm-dd")&amp;IF(I95="RECENT","; from "&amp;TEXT(L95,"yyyy-mm-dd"),""))</x:f>
      </x:c>
    </x:row>
    <x:row r="96" ht="21" customHeight="1">
      <x:c r="A96" s="2" t="n">
        <x:v>8</x:v>
      </x:c>
      <x:c r="B96" s="2" t="str">
        <x:f>IF('Input_Meci'!A13="","",'Input_Meci'!A13)</x:f>
      </x:c>
      <x:c r="C96" s="2" t="str">
        <x:v>H</x:v>
      </x:c>
      <x:c r="D96" s="2" t="str">
        <x:v>PRIOR</x:v>
      </x:c>
      <x:c r="E96" s="2" t="str">
        <x:f>IF(B96="","",'Input_Meci'!B13)</x:f>
      </x:c>
      <x:c r="F96" s="2" t="str">
        <x:f>IF(B96="","",IF('Input_Meci'!K13="","",'Input_Meci'!K13))</x:f>
      </x:c>
      <x:c r="G96" s="2" t="str">
        <x:f>IF(B96="","",'Input_Meci'!D13)</x:f>
      </x:c>
      <x:c r="H96" s="2" t="str">
        <x:v>ANY</x:v>
      </x:c>
      <x:c r="I96" s="2" t="str">
        <x:v>SEASON</x:v>
      </x:c>
      <x:c r="J96" s="9" t="n">
        <x:f>IF(AND(B96&lt;&gt;"",ISNUMBER('Input_Meci'!G13)),INT('Input_Meci'!G13),0)</x:f>
        <x:v>0</x:v>
      </x:c>
      <x:c r="K96" s="2" t="n">
        <x:f>IF(OR(B96="",F96=""),0,IF(H96="HOME",COUNTIFS('Istoric_Nativ'!$B$6:$B$405,E96,'Istoric_Nativ'!$C$6:$C$405,F96,'Istoric_Nativ'!$E$6:$E$405,G96,'Istoric_Nativ'!$D$6:$D$405,"&lt;"&amp;J96,'Istoric_Nativ'!$P$6:$P$405,1),IF(H96="AWAY",COUNTIFS('Istoric_Nativ'!$B$6:$B$405,E96,'Istoric_Nativ'!$C$6:$C$405,F96,'Istoric_Nativ'!$F$6:$F$405,G96,'Istoric_Nativ'!$D$6:$D$405,"&lt;"&amp;J96,'Istoric_Nativ'!$P$6:$P$405,1),COUNTIFS('Istoric_Nativ'!$B$6:$B$405,E96,'Istoric_Nativ'!$C$6:$C$405,F96,'Istoric_Nativ'!$E$6:$E$405,G96,'Istoric_Nativ'!$D$6:$D$405,"&lt;"&amp;J96,'Istoric_Nativ'!$P$6:$P$405,1)+COUNTIFS('Istoric_Nativ'!$B$6:$B$405,E96,'Istoric_Nativ'!$C$6:$C$405,F96,'Istoric_Nativ'!$F$6:$F$405,G96,'Istoric_Nativ'!$D$6:$D$405,"&lt;"&amp;J96,'Istoric_Nativ'!$P$6:$P$405,1))))</x:f>
        <x:v>0</x:v>
      </x:c>
      <x:c r="L96" s="17" t="n">
        <x:f>IF(AND(B96&lt;&gt;"",I96="RECENT",K96&gt;0),LARGE(_xlfn._xlws.FILTER('Istoric_Nativ'!$D$6:$D$405,('Istoric_Nativ'!$B$6:$B$405=E96)*('Istoric_Nativ'!$C$6:$C$405=F96)*('Istoric_Nativ'!$P$6:$P$405=1)*('Istoric_Nativ'!$D$6:$D$405&lt;J96)*((('Istoric_Nativ'!$E$6:$E$405=G96)+('Istoric_Nativ'!$F$6:$F$405=G96))&gt;0)),MIN('Config_v6'!$B$54,K96)),0)</x:f>
        <x:v>0</x:v>
      </x:c>
      <x:c r="M96" s="2" t="n">
        <x:f>IF(OR(B96="",F96=""),0,IF(H96="HOME",COUNTIFS('Istoric_Nativ'!$B$6:$B$405,E96,'Istoric_Nativ'!$C$6:$C$405,F96,'Istoric_Nativ'!$E$6:$E$405,G96,'Istoric_Nativ'!$D$6:$D$405,"&lt;"&amp;J96,'Istoric_Nativ'!$P$6:$P$405,1,'Istoric_Nativ'!$D$6:$D$405,"&gt;="&amp;L96),IF(H96="AWAY",COUNTIFS('Istoric_Nativ'!$B$6:$B$405,E96,'Istoric_Nativ'!$C$6:$C$405,F96,'Istoric_Nativ'!$F$6:$F$405,G96,'Istoric_Nativ'!$D$6:$D$405,"&lt;"&amp;J96,'Istoric_Nativ'!$P$6:$P$405,1,'Istoric_Nativ'!$D$6:$D$405,"&gt;="&amp;L96),COUNTIFS('Istoric_Nativ'!$B$6:$B$405,E96,'Istoric_Nativ'!$C$6:$C$405,F96,'Istoric_Nativ'!$E$6:$E$405,G96,'Istoric_Nativ'!$D$6:$D$405,"&lt;"&amp;J96,'Istoric_Nativ'!$P$6:$P$405,1,'Istoric_Nativ'!$D$6:$D$405,"&gt;="&amp;L96)+COUNTIFS('Istoric_Nativ'!$B$6:$B$405,E96,'Istoric_Nativ'!$C$6:$C$405,F96,'Istoric_Nativ'!$F$6:$F$405,G96,'Istoric_Nativ'!$D$6:$D$405,"&lt;"&amp;J96,'Istoric_Nativ'!$P$6:$P$405,1,'Istoric_Nativ'!$D$6:$D$405,"&gt;="&amp;L96))))</x:f>
        <x:v>0</x:v>
      </x:c>
      <x:c r="N96" s="11" t="str">
        <x:f>IF(M96=0,"",IF(H96="HOME",SUMIFS('Istoric_Nativ'!$G$6:$G$405,'Istoric_Nativ'!$B$6:$B$405,E96,'Istoric_Nativ'!$C$6:$C$405,F96,'Istoric_Nativ'!$E$6:$E$405,G96,'Istoric_Nativ'!$D$6:$D$405,"&lt;"&amp;J96,'Istoric_Nativ'!$P$6:$P$405,1,'Istoric_Nativ'!$D$6:$D$405,"&gt;="&amp;L96),IF(H96="AWAY",SUMIFS('Istoric_Nativ'!$H$6:$H$405,'Istoric_Nativ'!$B$6:$B$405,E96,'Istoric_Nativ'!$C$6:$C$405,F96,'Istoric_Nativ'!$F$6:$F$405,G96,'Istoric_Nativ'!$D$6:$D$405,"&lt;"&amp;J96,'Istoric_Nativ'!$P$6:$P$405,1,'Istoric_Nativ'!$D$6:$D$405,"&gt;="&amp;L96),SUMIFS('Istoric_Nativ'!$G$6:$G$405,'Istoric_Nativ'!$B$6:$B$405,E96,'Istoric_Nativ'!$C$6:$C$405,F96,'Istoric_Nativ'!$E$6:$E$405,G96,'Istoric_Nativ'!$D$6:$D$405,"&lt;"&amp;J96,'Istoric_Nativ'!$P$6:$P$405,1,'Istoric_Nativ'!$D$6:$D$405,"&gt;="&amp;L96)+SUMIFS('Istoric_Nativ'!$H$6:$H$405,'Istoric_Nativ'!$B$6:$B$405,E96,'Istoric_Nativ'!$C$6:$C$405,F96,'Istoric_Nativ'!$F$6:$F$405,G96,'Istoric_Nativ'!$D$6:$D$405,"&lt;"&amp;J96,'Istoric_Nativ'!$P$6:$P$405,1,'Istoric_Nativ'!$D$6:$D$405,"&gt;="&amp;L96)))/M96)</x:f>
      </x:c>
      <x:c r="O96" s="11" t="str">
        <x:f>IF(M96=0,"",IF(H96="HOME",SUMIFS('Istoric_Nativ'!$H$6:$H$405,'Istoric_Nativ'!$B$6:$B$405,E96,'Istoric_Nativ'!$C$6:$C$405,F96,'Istoric_Nativ'!$E$6:$E$405,G96,'Istoric_Nativ'!$D$6:$D$405,"&lt;"&amp;J96,'Istoric_Nativ'!$P$6:$P$405,1,'Istoric_Nativ'!$D$6:$D$405,"&gt;="&amp;L96),IF(H96="AWAY",SUMIFS('Istoric_Nativ'!$G$6:$G$405,'Istoric_Nativ'!$B$6:$B$405,E96,'Istoric_Nativ'!$C$6:$C$405,F96,'Istoric_Nativ'!$F$6:$F$405,G96,'Istoric_Nativ'!$D$6:$D$405,"&lt;"&amp;J96,'Istoric_Nativ'!$P$6:$P$405,1,'Istoric_Nativ'!$D$6:$D$405,"&gt;="&amp;L96),SUMIFS('Istoric_Nativ'!$H$6:$H$405,'Istoric_Nativ'!$B$6:$B$405,E96,'Istoric_Nativ'!$C$6:$C$405,F96,'Istoric_Nativ'!$E$6:$E$405,G96,'Istoric_Nativ'!$D$6:$D$405,"&lt;"&amp;J96,'Istoric_Nativ'!$P$6:$P$405,1,'Istoric_Nativ'!$D$6:$D$405,"&gt;="&amp;L96)+SUMIFS('Istoric_Nativ'!$G$6:$G$405,'Istoric_Nativ'!$B$6:$B$405,E96,'Istoric_Nativ'!$C$6:$C$405,F96,'Istoric_Nativ'!$F$6:$F$405,G96,'Istoric_Nativ'!$D$6:$D$405,"&lt;"&amp;J96,'Istoric_Nativ'!$P$6:$P$405,1,'Istoric_Nativ'!$D$6:$D$405,"&gt;="&amp;L96)))/M96)</x:f>
      </x:c>
      <x:c r="P96" s="2" t="n">
        <x:f>'Config_v6'!$B$7</x:f>
        <x:v>10</x:v>
      </x:c>
      <x:c r="Q96" s="2" t="n">
        <x:f>IF(OR(B96="",F96=""),0,IFERROR(MATCH(E96&amp;"|"&amp;F96,SourceTable[Source_Key],0),0))</x:f>
        <x:v>0</x:v>
      </x:c>
      <x:c r="R96" s="2" t="str">
        <x:f>IF(B96="","",IF(F96="","UNUSED",IF(Q96=0,"NOT CHECKED",IF(COUNTIF(SourceTable[Source_Key],E96&amp;"|"&amp;F96)&lt;&gt;1,"SOURCE CONFLICT",IF(NOT(OR(INDEX(SourceTable[Status],MAX(1,Q96))="IMPORTED",INDEX(SourceTable[Status],MAX(1,Q96))="PARTIAL",INDEX(SourceTable[Status],MAX(1,Q96))="SOURCE CONFLICT")),"ACCESS BLOCKED",IF(OR(INDEX(SourceTable[Coverage],Q96)&lt;&gt;"FULL SEASON EXPORT",INDEX(SourceTable[URL],Q96)="",INDEX(SourceTable[SHA256],Q96)=""),"EVIDENCE INCOMPLETE",IF(AND('Input_Meci'!H13="LIVE",INDEX(SourceTable[Retrieved_UTC],Q96)&gt;'Input_Meci'!G13),"POST CUTOFF","CLOSED")))))))</x:f>
      </x:c>
      <x:c r="S96" s="2" t="n">
        <x:f>IF(OR(B96="",F96=""),0,COUNTIFS('Istoric_Nativ'!$B$6:$B$405,E96,'Istoric_Nativ'!$C$6:$C$405,F96,'Istoric_Nativ'!$E$6:$E$405,G96,'Istoric_Nativ'!$D$6:$D$405,"&lt;"&amp;J96,'Istoric_Nativ'!$O$6:$O$405,"INVALID")+COUNTIFS('Istoric_Nativ'!$B$6:$B$405,E96,'Istoric_Nativ'!$C$6:$C$405,F96,'Istoric_Nativ'!$E$6:$E$405,G96,'Istoric_Nativ'!$O$6:$O$405,"INVALID",'Istoric_Nativ'!$D$6:$D$405,"*")+COUNTIFS('Istoric_Nativ'!$B$6:$B$405,E96,'Istoric_Nativ'!$C$6:$C$405,F96,'Istoric_Nativ'!$E$6:$E$405,G96,'Istoric_Nativ'!$D$6:$D$405,"&lt;"&amp;J96,'Istoric_Nativ'!$O$6:$O$405,"SOURCE CONFLICT")+COUNTIFS('Istoric_Nativ'!$B$6:$B$405,E96,'Istoric_Nativ'!$C$6:$C$405,F96,'Istoric_Nativ'!$F$6:$F$405,G96,'Istoric_Nativ'!$D$6:$D$405,"&lt;"&amp;J96,'Istoric_Nativ'!$O$6:$O$405,"INVALID")+COUNTIFS('Istoric_Nativ'!$B$6:$B$405,E96,'Istoric_Nativ'!$C$6:$C$405,F96,'Istoric_Nativ'!$F$6:$F$405,G96,'Istoric_Nativ'!$O$6:$O$405,"INVALID",'Istoric_Nativ'!$D$6:$D$405,"*")+COUNTIFS('Istoric_Nativ'!$B$6:$B$405,E96,'Istoric_Nativ'!$C$6:$C$405,F96,'Istoric_Nativ'!$F$6:$F$405,G96,'Istoric_Nativ'!$D$6:$D$405,"&lt;"&amp;J96,'Istoric_Nativ'!$O$6:$O$405,"SOURCE CONFLICT"))</x:f>
        <x:v>0</x:v>
      </x:c>
      <x:c r="T96" s="2" t="str">
        <x:f>IF(B96="","",IF(R96&lt;&gt;"CLOSED",R96,IF(S96&gt;0,"NATIVE INPUT ISSUE",IF(M96=0,"NO HISTORY",IF(M96&lt;P96,"SMALL SAMPLE","DERIVED")))))</x:f>
      </x:c>
      <x:c r="U96" s="2" t="str">
        <x:f>IF(B96="","","NativeTable; "&amp;E96&amp;"; "&amp;F96&amp;"; "&amp;G96&amp;"; "&amp;H96&amp;"; before "&amp;TEXT(J96,"yyyy-mm-dd")&amp;IF(I96="RECENT","; from "&amp;TEXT(L96,"yyyy-mm-dd"),""))</x:f>
      </x:c>
    </x:row>
    <x:row r="97" ht="21" customHeight="1">
      <x:c r="A97" s="2" t="n">
        <x:v>8</x:v>
      </x:c>
      <x:c r="B97" s="2" t="str">
        <x:f>IF('Input_Meci'!A13="","",'Input_Meci'!A13)</x:f>
      </x:c>
      <x:c r="C97" s="2" t="str">
        <x:v>H</x:v>
      </x:c>
      <x:c r="D97" s="2" t="str">
        <x:v>PRIOR</x:v>
      </x:c>
      <x:c r="E97" s="2" t="str">
        <x:f>IF(B97="","",'Input_Meci'!B13)</x:f>
      </x:c>
      <x:c r="F97" s="2" t="str">
        <x:f>IF(B97="","",IF('Input_Meci'!K13="","",'Input_Meci'!K13))</x:f>
      </x:c>
      <x:c r="G97" s="2" t="str">
        <x:f>IF(B97="","",'Input_Meci'!D13)</x:f>
      </x:c>
      <x:c r="H97" s="2" t="str">
        <x:v>HOME</x:v>
      </x:c>
      <x:c r="I97" s="2" t="str">
        <x:v>HA</x:v>
      </x:c>
      <x:c r="J97" s="9" t="n">
        <x:f>IF(AND(B97&lt;&gt;"",ISNUMBER('Input_Meci'!G13)),INT('Input_Meci'!G13),0)</x:f>
        <x:v>0</x:v>
      </x:c>
      <x:c r="K97" s="2" t="n">
        <x:f>IF(OR(B97="",F97=""),0,IF(H97="HOME",COUNTIFS('Istoric_Nativ'!$B$6:$B$405,E97,'Istoric_Nativ'!$C$6:$C$405,F97,'Istoric_Nativ'!$E$6:$E$405,G97,'Istoric_Nativ'!$D$6:$D$405,"&lt;"&amp;J97,'Istoric_Nativ'!$P$6:$P$405,1),IF(H97="AWAY",COUNTIFS('Istoric_Nativ'!$B$6:$B$405,E97,'Istoric_Nativ'!$C$6:$C$405,F97,'Istoric_Nativ'!$F$6:$F$405,G97,'Istoric_Nativ'!$D$6:$D$405,"&lt;"&amp;J97,'Istoric_Nativ'!$P$6:$P$405,1),COUNTIFS('Istoric_Nativ'!$B$6:$B$405,E97,'Istoric_Nativ'!$C$6:$C$405,F97,'Istoric_Nativ'!$E$6:$E$405,G97,'Istoric_Nativ'!$D$6:$D$405,"&lt;"&amp;J97,'Istoric_Nativ'!$P$6:$P$405,1)+COUNTIFS('Istoric_Nativ'!$B$6:$B$405,E97,'Istoric_Nativ'!$C$6:$C$405,F97,'Istoric_Nativ'!$F$6:$F$405,G97,'Istoric_Nativ'!$D$6:$D$405,"&lt;"&amp;J97,'Istoric_Nativ'!$P$6:$P$405,1))))</x:f>
        <x:v>0</x:v>
      </x:c>
      <x:c r="L97" s="17" t="n">
        <x:f>IF(AND(B97&lt;&gt;"",I97="RECENT",K97&gt;0),LARGE(_xlfn._xlws.FILTER('Istoric_Nativ'!$D$6:$D$405,('Istoric_Nativ'!$B$6:$B$405=E97)*('Istoric_Nativ'!$C$6:$C$405=F97)*('Istoric_Nativ'!$P$6:$P$405=1)*('Istoric_Nativ'!$D$6:$D$405&lt;J97)*((('Istoric_Nativ'!$E$6:$E$405=G97)+('Istoric_Nativ'!$F$6:$F$405=G97))&gt;0)),MIN('Config_v6'!$B$54,K97)),0)</x:f>
        <x:v>0</x:v>
      </x:c>
      <x:c r="M97" s="2" t="n">
        <x:f>IF(OR(B97="",F97=""),0,IF(H97="HOME",COUNTIFS('Istoric_Nativ'!$B$6:$B$405,E97,'Istoric_Nativ'!$C$6:$C$405,F97,'Istoric_Nativ'!$E$6:$E$405,G97,'Istoric_Nativ'!$D$6:$D$405,"&lt;"&amp;J97,'Istoric_Nativ'!$P$6:$P$405,1,'Istoric_Nativ'!$D$6:$D$405,"&gt;="&amp;L97),IF(H97="AWAY",COUNTIFS('Istoric_Nativ'!$B$6:$B$405,E97,'Istoric_Nativ'!$C$6:$C$405,F97,'Istoric_Nativ'!$F$6:$F$405,G97,'Istoric_Nativ'!$D$6:$D$405,"&lt;"&amp;J97,'Istoric_Nativ'!$P$6:$P$405,1,'Istoric_Nativ'!$D$6:$D$405,"&gt;="&amp;L97),COUNTIFS('Istoric_Nativ'!$B$6:$B$405,E97,'Istoric_Nativ'!$C$6:$C$405,F97,'Istoric_Nativ'!$E$6:$E$405,G97,'Istoric_Nativ'!$D$6:$D$405,"&lt;"&amp;J97,'Istoric_Nativ'!$P$6:$P$405,1,'Istoric_Nativ'!$D$6:$D$405,"&gt;="&amp;L97)+COUNTIFS('Istoric_Nativ'!$B$6:$B$405,E97,'Istoric_Nativ'!$C$6:$C$405,F97,'Istoric_Nativ'!$F$6:$F$405,G97,'Istoric_Nativ'!$D$6:$D$405,"&lt;"&amp;J97,'Istoric_Nativ'!$P$6:$P$405,1,'Istoric_Nativ'!$D$6:$D$405,"&gt;="&amp;L97))))</x:f>
        <x:v>0</x:v>
      </x:c>
      <x:c r="N97" s="11" t="str">
        <x:f>IF(M97=0,"",IF(H97="HOME",SUMIFS('Istoric_Nativ'!$G$6:$G$405,'Istoric_Nativ'!$B$6:$B$405,E97,'Istoric_Nativ'!$C$6:$C$405,F97,'Istoric_Nativ'!$E$6:$E$405,G97,'Istoric_Nativ'!$D$6:$D$405,"&lt;"&amp;J97,'Istoric_Nativ'!$P$6:$P$405,1,'Istoric_Nativ'!$D$6:$D$405,"&gt;="&amp;L97),IF(H97="AWAY",SUMIFS('Istoric_Nativ'!$H$6:$H$405,'Istoric_Nativ'!$B$6:$B$405,E97,'Istoric_Nativ'!$C$6:$C$405,F97,'Istoric_Nativ'!$F$6:$F$405,G97,'Istoric_Nativ'!$D$6:$D$405,"&lt;"&amp;J97,'Istoric_Nativ'!$P$6:$P$405,1,'Istoric_Nativ'!$D$6:$D$405,"&gt;="&amp;L97),SUMIFS('Istoric_Nativ'!$G$6:$G$405,'Istoric_Nativ'!$B$6:$B$405,E97,'Istoric_Nativ'!$C$6:$C$405,F97,'Istoric_Nativ'!$E$6:$E$405,G97,'Istoric_Nativ'!$D$6:$D$405,"&lt;"&amp;J97,'Istoric_Nativ'!$P$6:$P$405,1,'Istoric_Nativ'!$D$6:$D$405,"&gt;="&amp;L97)+SUMIFS('Istoric_Nativ'!$H$6:$H$405,'Istoric_Nativ'!$B$6:$B$405,E97,'Istoric_Nativ'!$C$6:$C$405,F97,'Istoric_Nativ'!$F$6:$F$405,G97,'Istoric_Nativ'!$D$6:$D$405,"&lt;"&amp;J97,'Istoric_Nativ'!$P$6:$P$405,1,'Istoric_Nativ'!$D$6:$D$405,"&gt;="&amp;L97)))/M97)</x:f>
      </x:c>
      <x:c r="O97" s="11" t="str">
        <x:f>IF(M97=0,"",IF(H97="HOME",SUMIFS('Istoric_Nativ'!$H$6:$H$405,'Istoric_Nativ'!$B$6:$B$405,E97,'Istoric_Nativ'!$C$6:$C$405,F97,'Istoric_Nativ'!$E$6:$E$405,G97,'Istoric_Nativ'!$D$6:$D$405,"&lt;"&amp;J97,'Istoric_Nativ'!$P$6:$P$405,1,'Istoric_Nativ'!$D$6:$D$405,"&gt;="&amp;L97),IF(H97="AWAY",SUMIFS('Istoric_Nativ'!$G$6:$G$405,'Istoric_Nativ'!$B$6:$B$405,E97,'Istoric_Nativ'!$C$6:$C$405,F97,'Istoric_Nativ'!$F$6:$F$405,G97,'Istoric_Nativ'!$D$6:$D$405,"&lt;"&amp;J97,'Istoric_Nativ'!$P$6:$P$405,1,'Istoric_Nativ'!$D$6:$D$405,"&gt;="&amp;L97),SUMIFS('Istoric_Nativ'!$H$6:$H$405,'Istoric_Nativ'!$B$6:$B$405,E97,'Istoric_Nativ'!$C$6:$C$405,F97,'Istoric_Nativ'!$E$6:$E$405,G97,'Istoric_Nativ'!$D$6:$D$405,"&lt;"&amp;J97,'Istoric_Nativ'!$P$6:$P$405,1,'Istoric_Nativ'!$D$6:$D$405,"&gt;="&amp;L97)+SUMIFS('Istoric_Nativ'!$G$6:$G$405,'Istoric_Nativ'!$B$6:$B$405,E97,'Istoric_Nativ'!$C$6:$C$405,F97,'Istoric_Nativ'!$F$6:$F$405,G97,'Istoric_Nativ'!$D$6:$D$405,"&lt;"&amp;J97,'Istoric_Nativ'!$P$6:$P$405,1,'Istoric_Nativ'!$D$6:$D$405,"&gt;="&amp;L97)))/M97)</x:f>
      </x:c>
      <x:c r="P97" s="2" t="n">
        <x:f>'Config_v6'!$B$8</x:f>
        <x:v>5</x:v>
      </x:c>
      <x:c r="Q97" s="2" t="n">
        <x:f>IF(OR(B97="",F97=""),0,IFERROR(MATCH(E97&amp;"|"&amp;F97,SourceTable[Source_Key],0),0))</x:f>
        <x:v>0</x:v>
      </x:c>
      <x:c r="R97" s="2" t="str">
        <x:f>IF(B97="","",IF(F97="","UNUSED",IF(Q97=0,"NOT CHECKED",IF(COUNTIF(SourceTable[Source_Key],E97&amp;"|"&amp;F97)&lt;&gt;1,"SOURCE CONFLICT",IF(NOT(OR(INDEX(SourceTable[Status],MAX(1,Q97))="IMPORTED",INDEX(SourceTable[Status],MAX(1,Q97))="PARTIAL",INDEX(SourceTable[Status],MAX(1,Q97))="SOURCE CONFLICT")),"ACCESS BLOCKED",IF(OR(INDEX(SourceTable[Coverage],Q97)&lt;&gt;"FULL SEASON EXPORT",INDEX(SourceTable[URL],Q97)="",INDEX(SourceTable[SHA256],Q97)=""),"EVIDENCE INCOMPLETE",IF(AND('Input_Meci'!H13="LIVE",INDEX(SourceTable[Retrieved_UTC],Q97)&gt;'Input_Meci'!G13),"POST CUTOFF","CLOSED")))))))</x:f>
      </x:c>
      <x:c r="S97" s="2" t="n">
        <x:f>IF(OR(B97="",F97=""),0,COUNTIFS('Istoric_Nativ'!$B$6:$B$405,E97,'Istoric_Nativ'!$C$6:$C$405,F97,'Istoric_Nativ'!$E$6:$E$405,G97,'Istoric_Nativ'!$D$6:$D$405,"&lt;"&amp;J97,'Istoric_Nativ'!$O$6:$O$405,"INVALID")+COUNTIFS('Istoric_Nativ'!$B$6:$B$405,E97,'Istoric_Nativ'!$C$6:$C$405,F97,'Istoric_Nativ'!$E$6:$E$405,G97,'Istoric_Nativ'!$O$6:$O$405,"INVALID",'Istoric_Nativ'!$D$6:$D$405,"*")+COUNTIFS('Istoric_Nativ'!$B$6:$B$405,E97,'Istoric_Nativ'!$C$6:$C$405,F97,'Istoric_Nativ'!$E$6:$E$405,G97,'Istoric_Nativ'!$D$6:$D$405,"&lt;"&amp;J97,'Istoric_Nativ'!$O$6:$O$405,"SOURCE CONFLICT")+COUNTIFS('Istoric_Nativ'!$B$6:$B$405,E97,'Istoric_Nativ'!$C$6:$C$405,F97,'Istoric_Nativ'!$F$6:$F$405,G97,'Istoric_Nativ'!$D$6:$D$405,"&lt;"&amp;J97,'Istoric_Nativ'!$O$6:$O$405,"INVALID")+COUNTIFS('Istoric_Nativ'!$B$6:$B$405,E97,'Istoric_Nativ'!$C$6:$C$405,F97,'Istoric_Nativ'!$F$6:$F$405,G97,'Istoric_Nativ'!$O$6:$O$405,"INVALID",'Istoric_Nativ'!$D$6:$D$405,"*")+COUNTIFS('Istoric_Nativ'!$B$6:$B$405,E97,'Istoric_Nativ'!$C$6:$C$405,F97,'Istoric_Nativ'!$F$6:$F$405,G97,'Istoric_Nativ'!$D$6:$D$405,"&lt;"&amp;J97,'Istoric_Nativ'!$O$6:$O$405,"SOURCE CONFLICT"))</x:f>
        <x:v>0</x:v>
      </x:c>
      <x:c r="T97" s="2" t="str">
        <x:f>IF(B97="","",IF(R97&lt;&gt;"CLOSED",R97,IF(S97&gt;0,"NATIVE INPUT ISSUE",IF(M97=0,"NO HISTORY",IF(M97&lt;P97,"SMALL SAMPLE","DERIVED")))))</x:f>
      </x:c>
      <x:c r="U97" s="2" t="str">
        <x:f>IF(B97="","","NativeTable; "&amp;E97&amp;"; "&amp;F97&amp;"; "&amp;G97&amp;"; "&amp;H97&amp;"; before "&amp;TEXT(J97,"yyyy-mm-dd")&amp;IF(I97="RECENT","; from "&amp;TEXT(L97,"yyyy-mm-dd"),""))</x:f>
      </x:c>
    </x:row>
    <x:row r="98" ht="21" customHeight="1">
      <x:c r="A98" s="2" t="n">
        <x:v>8</x:v>
      </x:c>
      <x:c r="B98" s="2" t="str">
        <x:f>IF('Input_Meci'!A13="","",'Input_Meci'!A13)</x:f>
      </x:c>
      <x:c r="C98" s="2" t="str">
        <x:v>H</x:v>
      </x:c>
      <x:c r="D98" s="2" t="str">
        <x:v>PRIOR</x:v>
      </x:c>
      <x:c r="E98" s="2" t="str">
        <x:f>IF(B98="","",'Input_Meci'!B13)</x:f>
      </x:c>
      <x:c r="F98" s="2" t="str">
        <x:f>IF(B98="","",IF('Input_Meci'!K13="","",'Input_Meci'!K13))</x:f>
      </x:c>
      <x:c r="G98" s="2" t="str">
        <x:f>IF(B98="","",'Input_Meci'!D13)</x:f>
      </x:c>
      <x:c r="H98" s="2" t="str">
        <x:v>ANY</x:v>
      </x:c>
      <x:c r="I98" s="2" t="str">
        <x:v>RECENT</x:v>
      </x:c>
      <x:c r="J98" s="9" t="n">
        <x:f>IF(AND(B98&lt;&gt;"",ISNUMBER('Input_Meci'!G13)),INT('Input_Meci'!G13),0)</x:f>
        <x:v>0</x:v>
      </x:c>
      <x:c r="K98" s="2" t="n">
        <x:f>IF(OR(B98="",F98=""),0,IF(H98="HOME",COUNTIFS('Istoric_Nativ'!$B$6:$B$405,E98,'Istoric_Nativ'!$C$6:$C$405,F98,'Istoric_Nativ'!$E$6:$E$405,G98,'Istoric_Nativ'!$D$6:$D$405,"&lt;"&amp;J98,'Istoric_Nativ'!$P$6:$P$405,1),IF(H98="AWAY",COUNTIFS('Istoric_Nativ'!$B$6:$B$405,E98,'Istoric_Nativ'!$C$6:$C$405,F98,'Istoric_Nativ'!$F$6:$F$405,G98,'Istoric_Nativ'!$D$6:$D$405,"&lt;"&amp;J98,'Istoric_Nativ'!$P$6:$P$405,1),COUNTIFS('Istoric_Nativ'!$B$6:$B$405,E98,'Istoric_Nativ'!$C$6:$C$405,F98,'Istoric_Nativ'!$E$6:$E$405,G98,'Istoric_Nativ'!$D$6:$D$405,"&lt;"&amp;J98,'Istoric_Nativ'!$P$6:$P$405,1)+COUNTIFS('Istoric_Nativ'!$B$6:$B$405,E98,'Istoric_Nativ'!$C$6:$C$405,F98,'Istoric_Nativ'!$F$6:$F$405,G98,'Istoric_Nativ'!$D$6:$D$405,"&lt;"&amp;J98,'Istoric_Nativ'!$P$6:$P$405,1))))</x:f>
        <x:v>0</x:v>
      </x:c>
      <x:c r="L98" s="17" t="n">
        <x:f>IF(AND(B98&lt;&gt;"",I98="RECENT",K98&gt;0),LARGE(_xlfn._xlws.FILTER('Istoric_Nativ'!$D$6:$D$405,('Istoric_Nativ'!$B$6:$B$405=E98)*('Istoric_Nativ'!$C$6:$C$405=F98)*('Istoric_Nativ'!$P$6:$P$405=1)*('Istoric_Nativ'!$D$6:$D$405&lt;J98)*((('Istoric_Nativ'!$E$6:$E$405=G98)+('Istoric_Nativ'!$F$6:$F$405=G98))&gt;0)),MIN('Config_v6'!$B$54,K98)),0)</x:f>
        <x:v>0</x:v>
      </x:c>
      <x:c r="M98" s="2" t="n">
        <x:f>IF(OR(B98="",F98=""),0,IF(H98="HOME",COUNTIFS('Istoric_Nativ'!$B$6:$B$405,E98,'Istoric_Nativ'!$C$6:$C$405,F98,'Istoric_Nativ'!$E$6:$E$405,G98,'Istoric_Nativ'!$D$6:$D$405,"&lt;"&amp;J98,'Istoric_Nativ'!$P$6:$P$405,1,'Istoric_Nativ'!$D$6:$D$405,"&gt;="&amp;L98),IF(H98="AWAY",COUNTIFS('Istoric_Nativ'!$B$6:$B$405,E98,'Istoric_Nativ'!$C$6:$C$405,F98,'Istoric_Nativ'!$F$6:$F$405,G98,'Istoric_Nativ'!$D$6:$D$405,"&lt;"&amp;J98,'Istoric_Nativ'!$P$6:$P$405,1,'Istoric_Nativ'!$D$6:$D$405,"&gt;="&amp;L98),COUNTIFS('Istoric_Nativ'!$B$6:$B$405,E98,'Istoric_Nativ'!$C$6:$C$405,F98,'Istoric_Nativ'!$E$6:$E$405,G98,'Istoric_Nativ'!$D$6:$D$405,"&lt;"&amp;J98,'Istoric_Nativ'!$P$6:$P$405,1,'Istoric_Nativ'!$D$6:$D$405,"&gt;="&amp;L98)+COUNTIFS('Istoric_Nativ'!$B$6:$B$405,E98,'Istoric_Nativ'!$C$6:$C$405,F98,'Istoric_Nativ'!$F$6:$F$405,G98,'Istoric_Nativ'!$D$6:$D$405,"&lt;"&amp;J98,'Istoric_Nativ'!$P$6:$P$405,1,'Istoric_Nativ'!$D$6:$D$405,"&gt;="&amp;L98))))</x:f>
        <x:v>0</x:v>
      </x:c>
      <x:c r="N98" s="11" t="str">
        <x:f>IF(M98=0,"",IF(H98="HOME",SUMIFS('Istoric_Nativ'!$G$6:$G$405,'Istoric_Nativ'!$B$6:$B$405,E98,'Istoric_Nativ'!$C$6:$C$405,F98,'Istoric_Nativ'!$E$6:$E$405,G98,'Istoric_Nativ'!$D$6:$D$405,"&lt;"&amp;J98,'Istoric_Nativ'!$P$6:$P$405,1,'Istoric_Nativ'!$D$6:$D$405,"&gt;="&amp;L98),IF(H98="AWAY",SUMIFS('Istoric_Nativ'!$H$6:$H$405,'Istoric_Nativ'!$B$6:$B$405,E98,'Istoric_Nativ'!$C$6:$C$405,F98,'Istoric_Nativ'!$F$6:$F$405,G98,'Istoric_Nativ'!$D$6:$D$405,"&lt;"&amp;J98,'Istoric_Nativ'!$P$6:$P$405,1,'Istoric_Nativ'!$D$6:$D$405,"&gt;="&amp;L98),SUMIFS('Istoric_Nativ'!$G$6:$G$405,'Istoric_Nativ'!$B$6:$B$405,E98,'Istoric_Nativ'!$C$6:$C$405,F98,'Istoric_Nativ'!$E$6:$E$405,G98,'Istoric_Nativ'!$D$6:$D$405,"&lt;"&amp;J98,'Istoric_Nativ'!$P$6:$P$405,1,'Istoric_Nativ'!$D$6:$D$405,"&gt;="&amp;L98)+SUMIFS('Istoric_Nativ'!$H$6:$H$405,'Istoric_Nativ'!$B$6:$B$405,E98,'Istoric_Nativ'!$C$6:$C$405,F98,'Istoric_Nativ'!$F$6:$F$405,G98,'Istoric_Nativ'!$D$6:$D$405,"&lt;"&amp;J98,'Istoric_Nativ'!$P$6:$P$405,1,'Istoric_Nativ'!$D$6:$D$405,"&gt;="&amp;L98)))/M98)</x:f>
      </x:c>
      <x:c r="O98" s="11" t="str">
        <x:f>IF(M98=0,"",IF(H98="HOME",SUMIFS('Istoric_Nativ'!$H$6:$H$405,'Istoric_Nativ'!$B$6:$B$405,E98,'Istoric_Nativ'!$C$6:$C$405,F98,'Istoric_Nativ'!$E$6:$E$405,G98,'Istoric_Nativ'!$D$6:$D$405,"&lt;"&amp;J98,'Istoric_Nativ'!$P$6:$P$405,1,'Istoric_Nativ'!$D$6:$D$405,"&gt;="&amp;L98),IF(H98="AWAY",SUMIFS('Istoric_Nativ'!$G$6:$G$405,'Istoric_Nativ'!$B$6:$B$405,E98,'Istoric_Nativ'!$C$6:$C$405,F98,'Istoric_Nativ'!$F$6:$F$405,G98,'Istoric_Nativ'!$D$6:$D$405,"&lt;"&amp;J98,'Istoric_Nativ'!$P$6:$P$405,1,'Istoric_Nativ'!$D$6:$D$405,"&gt;="&amp;L98),SUMIFS('Istoric_Nativ'!$H$6:$H$405,'Istoric_Nativ'!$B$6:$B$405,E98,'Istoric_Nativ'!$C$6:$C$405,F98,'Istoric_Nativ'!$E$6:$E$405,G98,'Istoric_Nativ'!$D$6:$D$405,"&lt;"&amp;J98,'Istoric_Nativ'!$P$6:$P$405,1,'Istoric_Nativ'!$D$6:$D$405,"&gt;="&amp;L98)+SUMIFS('Istoric_Nativ'!$G$6:$G$405,'Istoric_Nativ'!$B$6:$B$405,E98,'Istoric_Nativ'!$C$6:$C$405,F98,'Istoric_Nativ'!$F$6:$F$405,G98,'Istoric_Nativ'!$D$6:$D$405,"&lt;"&amp;J98,'Istoric_Nativ'!$P$6:$P$405,1,'Istoric_Nativ'!$D$6:$D$405,"&gt;="&amp;L98)))/M98)</x:f>
      </x:c>
      <x:c r="P98" s="2" t="n">
        <x:f>'Config_v6'!$B$9</x:f>
        <x:v>3</x:v>
      </x:c>
      <x:c r="Q98" s="2" t="n">
        <x:f>IF(OR(B98="",F98=""),0,IFERROR(MATCH(E98&amp;"|"&amp;F98,SourceTable[Source_Key],0),0))</x:f>
        <x:v>0</x:v>
      </x:c>
      <x:c r="R98" s="2" t="str">
        <x:f>IF(B98="","",IF(F98="","UNUSED",IF(Q98=0,"NOT CHECKED",IF(COUNTIF(SourceTable[Source_Key],E98&amp;"|"&amp;F98)&lt;&gt;1,"SOURCE CONFLICT",IF(NOT(OR(INDEX(SourceTable[Status],MAX(1,Q98))="IMPORTED",INDEX(SourceTable[Status],MAX(1,Q98))="PARTIAL",INDEX(SourceTable[Status],MAX(1,Q98))="SOURCE CONFLICT")),"ACCESS BLOCKED",IF(OR(INDEX(SourceTable[Coverage],Q98)&lt;&gt;"FULL SEASON EXPORT",INDEX(SourceTable[URL],Q98)="",INDEX(SourceTable[SHA256],Q98)=""),"EVIDENCE INCOMPLETE",IF(AND('Input_Meci'!H13="LIVE",INDEX(SourceTable[Retrieved_UTC],Q98)&gt;'Input_Meci'!G13),"POST CUTOFF","CLOSED")))))))</x:f>
      </x:c>
      <x:c r="S98" s="2" t="n">
        <x:f>IF(OR(B98="",F98=""),0,COUNTIFS('Istoric_Nativ'!$B$6:$B$405,E98,'Istoric_Nativ'!$C$6:$C$405,F98,'Istoric_Nativ'!$E$6:$E$405,G98,'Istoric_Nativ'!$D$6:$D$405,"&lt;"&amp;J98,'Istoric_Nativ'!$O$6:$O$405,"INVALID")+COUNTIFS('Istoric_Nativ'!$B$6:$B$405,E98,'Istoric_Nativ'!$C$6:$C$405,F98,'Istoric_Nativ'!$E$6:$E$405,G98,'Istoric_Nativ'!$O$6:$O$405,"INVALID",'Istoric_Nativ'!$D$6:$D$405,"*")+COUNTIFS('Istoric_Nativ'!$B$6:$B$405,E98,'Istoric_Nativ'!$C$6:$C$405,F98,'Istoric_Nativ'!$E$6:$E$405,G98,'Istoric_Nativ'!$D$6:$D$405,"&lt;"&amp;J98,'Istoric_Nativ'!$O$6:$O$405,"SOURCE CONFLICT")+COUNTIFS('Istoric_Nativ'!$B$6:$B$405,E98,'Istoric_Nativ'!$C$6:$C$405,F98,'Istoric_Nativ'!$F$6:$F$405,G98,'Istoric_Nativ'!$D$6:$D$405,"&lt;"&amp;J98,'Istoric_Nativ'!$O$6:$O$405,"INVALID")+COUNTIFS('Istoric_Nativ'!$B$6:$B$405,E98,'Istoric_Nativ'!$C$6:$C$405,F98,'Istoric_Nativ'!$F$6:$F$405,G98,'Istoric_Nativ'!$O$6:$O$405,"INVALID",'Istoric_Nativ'!$D$6:$D$405,"*")+COUNTIFS('Istoric_Nativ'!$B$6:$B$405,E98,'Istoric_Nativ'!$C$6:$C$405,F98,'Istoric_Nativ'!$F$6:$F$405,G98,'Istoric_Nativ'!$D$6:$D$405,"&lt;"&amp;J98,'Istoric_Nativ'!$O$6:$O$405,"SOURCE CONFLICT"))</x:f>
        <x:v>0</x:v>
      </x:c>
      <x:c r="T98" s="2" t="str">
        <x:f>IF(B98="","",IF(R98&lt;&gt;"CLOSED",R98,IF(S98&gt;0,"NATIVE INPUT ISSUE",IF(M98=0,"NO HISTORY",IF(M98&lt;P98,"SMALL SAMPLE","DERIVED")))))</x:f>
      </x:c>
      <x:c r="U98" s="2" t="str">
        <x:f>IF(B98="","","NativeTable; "&amp;E98&amp;"; "&amp;F98&amp;"; "&amp;G98&amp;"; "&amp;H98&amp;"; before "&amp;TEXT(J98,"yyyy-mm-dd")&amp;IF(I98="RECENT","; from "&amp;TEXT(L98,"yyyy-mm-dd"),""))</x:f>
      </x:c>
    </x:row>
    <x:row r="99" ht="21" customHeight="1">
      <x:c r="A99" s="2" t="n">
        <x:v>8</x:v>
      </x:c>
      <x:c r="B99" s="2" t="str">
        <x:f>IF('Input_Meci'!A13="","",'Input_Meci'!A13)</x:f>
      </x:c>
      <x:c r="C99" s="2" t="str">
        <x:v>A</x:v>
      </x:c>
      <x:c r="D99" s="2" t="str">
        <x:v>PRIOR</x:v>
      </x:c>
      <x:c r="E99" s="2" t="str">
        <x:f>IF(B99="","",'Input_Meci'!B13)</x:f>
      </x:c>
      <x:c r="F99" s="2" t="str">
        <x:f>IF(B99="","",IF('Input_Meci'!K13="","",'Input_Meci'!K13))</x:f>
      </x:c>
      <x:c r="G99" s="2" t="str">
        <x:f>IF(B99="","",'Input_Meci'!E13)</x:f>
      </x:c>
      <x:c r="H99" s="2" t="str">
        <x:v>ANY</x:v>
      </x:c>
      <x:c r="I99" s="2" t="str">
        <x:v>SEASON</x:v>
      </x:c>
      <x:c r="J99" s="9" t="n">
        <x:f>IF(AND(B99&lt;&gt;"",ISNUMBER('Input_Meci'!G13)),INT('Input_Meci'!G13),0)</x:f>
        <x:v>0</x:v>
      </x:c>
      <x:c r="K99" s="2" t="n">
        <x:f>IF(OR(B99="",F99=""),0,IF(H99="HOME",COUNTIFS('Istoric_Nativ'!$B$6:$B$405,E99,'Istoric_Nativ'!$C$6:$C$405,F99,'Istoric_Nativ'!$E$6:$E$405,G99,'Istoric_Nativ'!$D$6:$D$405,"&lt;"&amp;J99,'Istoric_Nativ'!$P$6:$P$405,1),IF(H99="AWAY",COUNTIFS('Istoric_Nativ'!$B$6:$B$405,E99,'Istoric_Nativ'!$C$6:$C$405,F99,'Istoric_Nativ'!$F$6:$F$405,G99,'Istoric_Nativ'!$D$6:$D$405,"&lt;"&amp;J99,'Istoric_Nativ'!$P$6:$P$405,1),COUNTIFS('Istoric_Nativ'!$B$6:$B$405,E99,'Istoric_Nativ'!$C$6:$C$405,F99,'Istoric_Nativ'!$E$6:$E$405,G99,'Istoric_Nativ'!$D$6:$D$405,"&lt;"&amp;J99,'Istoric_Nativ'!$P$6:$P$405,1)+COUNTIFS('Istoric_Nativ'!$B$6:$B$405,E99,'Istoric_Nativ'!$C$6:$C$405,F99,'Istoric_Nativ'!$F$6:$F$405,G99,'Istoric_Nativ'!$D$6:$D$405,"&lt;"&amp;J99,'Istoric_Nativ'!$P$6:$P$405,1))))</x:f>
        <x:v>0</x:v>
      </x:c>
      <x:c r="L99" s="17" t="n">
        <x:f>IF(AND(B99&lt;&gt;"",I99="RECENT",K99&gt;0),LARGE(_xlfn._xlws.FILTER('Istoric_Nativ'!$D$6:$D$405,('Istoric_Nativ'!$B$6:$B$405=E99)*('Istoric_Nativ'!$C$6:$C$405=F99)*('Istoric_Nativ'!$P$6:$P$405=1)*('Istoric_Nativ'!$D$6:$D$405&lt;J99)*((('Istoric_Nativ'!$E$6:$E$405=G99)+('Istoric_Nativ'!$F$6:$F$405=G99))&gt;0)),MIN('Config_v6'!$B$54,K99)),0)</x:f>
        <x:v>0</x:v>
      </x:c>
      <x:c r="M99" s="2" t="n">
        <x:f>IF(OR(B99="",F99=""),0,IF(H99="HOME",COUNTIFS('Istoric_Nativ'!$B$6:$B$405,E99,'Istoric_Nativ'!$C$6:$C$405,F99,'Istoric_Nativ'!$E$6:$E$405,G99,'Istoric_Nativ'!$D$6:$D$405,"&lt;"&amp;J99,'Istoric_Nativ'!$P$6:$P$405,1,'Istoric_Nativ'!$D$6:$D$405,"&gt;="&amp;L99),IF(H99="AWAY",COUNTIFS('Istoric_Nativ'!$B$6:$B$405,E99,'Istoric_Nativ'!$C$6:$C$405,F99,'Istoric_Nativ'!$F$6:$F$405,G99,'Istoric_Nativ'!$D$6:$D$405,"&lt;"&amp;J99,'Istoric_Nativ'!$P$6:$P$405,1,'Istoric_Nativ'!$D$6:$D$405,"&gt;="&amp;L99),COUNTIFS('Istoric_Nativ'!$B$6:$B$405,E99,'Istoric_Nativ'!$C$6:$C$405,F99,'Istoric_Nativ'!$E$6:$E$405,G99,'Istoric_Nativ'!$D$6:$D$405,"&lt;"&amp;J99,'Istoric_Nativ'!$P$6:$P$405,1,'Istoric_Nativ'!$D$6:$D$405,"&gt;="&amp;L99)+COUNTIFS('Istoric_Nativ'!$B$6:$B$405,E99,'Istoric_Nativ'!$C$6:$C$405,F99,'Istoric_Nativ'!$F$6:$F$405,G99,'Istoric_Nativ'!$D$6:$D$405,"&lt;"&amp;J99,'Istoric_Nativ'!$P$6:$P$405,1,'Istoric_Nativ'!$D$6:$D$405,"&gt;="&amp;L99))))</x:f>
        <x:v>0</x:v>
      </x:c>
      <x:c r="N99" s="11" t="str">
        <x:f>IF(M99=0,"",IF(H99="HOME",SUMIFS('Istoric_Nativ'!$G$6:$G$405,'Istoric_Nativ'!$B$6:$B$405,E99,'Istoric_Nativ'!$C$6:$C$405,F99,'Istoric_Nativ'!$E$6:$E$405,G99,'Istoric_Nativ'!$D$6:$D$405,"&lt;"&amp;J99,'Istoric_Nativ'!$P$6:$P$405,1,'Istoric_Nativ'!$D$6:$D$405,"&gt;="&amp;L99),IF(H99="AWAY",SUMIFS('Istoric_Nativ'!$H$6:$H$405,'Istoric_Nativ'!$B$6:$B$405,E99,'Istoric_Nativ'!$C$6:$C$405,F99,'Istoric_Nativ'!$F$6:$F$405,G99,'Istoric_Nativ'!$D$6:$D$405,"&lt;"&amp;J99,'Istoric_Nativ'!$P$6:$P$405,1,'Istoric_Nativ'!$D$6:$D$405,"&gt;="&amp;L99),SUMIFS('Istoric_Nativ'!$G$6:$G$405,'Istoric_Nativ'!$B$6:$B$405,E99,'Istoric_Nativ'!$C$6:$C$405,F99,'Istoric_Nativ'!$E$6:$E$405,G99,'Istoric_Nativ'!$D$6:$D$405,"&lt;"&amp;J99,'Istoric_Nativ'!$P$6:$P$405,1,'Istoric_Nativ'!$D$6:$D$405,"&gt;="&amp;L99)+SUMIFS('Istoric_Nativ'!$H$6:$H$405,'Istoric_Nativ'!$B$6:$B$405,E99,'Istoric_Nativ'!$C$6:$C$405,F99,'Istoric_Nativ'!$F$6:$F$405,G99,'Istoric_Nativ'!$D$6:$D$405,"&lt;"&amp;J99,'Istoric_Nativ'!$P$6:$P$405,1,'Istoric_Nativ'!$D$6:$D$405,"&gt;="&amp;L99)))/M99)</x:f>
      </x:c>
      <x:c r="O99" s="11" t="str">
        <x:f>IF(M99=0,"",IF(H99="HOME",SUMIFS('Istoric_Nativ'!$H$6:$H$405,'Istoric_Nativ'!$B$6:$B$405,E99,'Istoric_Nativ'!$C$6:$C$405,F99,'Istoric_Nativ'!$E$6:$E$405,G99,'Istoric_Nativ'!$D$6:$D$405,"&lt;"&amp;J99,'Istoric_Nativ'!$P$6:$P$405,1,'Istoric_Nativ'!$D$6:$D$405,"&gt;="&amp;L99),IF(H99="AWAY",SUMIFS('Istoric_Nativ'!$G$6:$G$405,'Istoric_Nativ'!$B$6:$B$405,E99,'Istoric_Nativ'!$C$6:$C$405,F99,'Istoric_Nativ'!$F$6:$F$405,G99,'Istoric_Nativ'!$D$6:$D$405,"&lt;"&amp;J99,'Istoric_Nativ'!$P$6:$P$405,1,'Istoric_Nativ'!$D$6:$D$405,"&gt;="&amp;L99),SUMIFS('Istoric_Nativ'!$H$6:$H$405,'Istoric_Nativ'!$B$6:$B$405,E99,'Istoric_Nativ'!$C$6:$C$405,F99,'Istoric_Nativ'!$E$6:$E$405,G99,'Istoric_Nativ'!$D$6:$D$405,"&lt;"&amp;J99,'Istoric_Nativ'!$P$6:$P$405,1,'Istoric_Nativ'!$D$6:$D$405,"&gt;="&amp;L99)+SUMIFS('Istoric_Nativ'!$G$6:$G$405,'Istoric_Nativ'!$B$6:$B$405,E99,'Istoric_Nativ'!$C$6:$C$405,F99,'Istoric_Nativ'!$F$6:$F$405,G99,'Istoric_Nativ'!$D$6:$D$405,"&lt;"&amp;J99,'Istoric_Nativ'!$P$6:$P$405,1,'Istoric_Nativ'!$D$6:$D$405,"&gt;="&amp;L99)))/M99)</x:f>
      </x:c>
      <x:c r="P99" s="2" t="n">
        <x:f>'Config_v6'!$B$7</x:f>
        <x:v>10</x:v>
      </x:c>
      <x:c r="Q99" s="2" t="n">
        <x:f>IF(OR(B99="",F99=""),0,IFERROR(MATCH(E99&amp;"|"&amp;F99,SourceTable[Source_Key],0),0))</x:f>
        <x:v>0</x:v>
      </x:c>
      <x:c r="R99" s="2" t="str">
        <x:f>IF(B99="","",IF(F99="","UNUSED",IF(Q99=0,"NOT CHECKED",IF(COUNTIF(SourceTable[Source_Key],E99&amp;"|"&amp;F99)&lt;&gt;1,"SOURCE CONFLICT",IF(NOT(OR(INDEX(SourceTable[Status],MAX(1,Q99))="IMPORTED",INDEX(SourceTable[Status],MAX(1,Q99))="PARTIAL",INDEX(SourceTable[Status],MAX(1,Q99))="SOURCE CONFLICT")),"ACCESS BLOCKED",IF(OR(INDEX(SourceTable[Coverage],Q99)&lt;&gt;"FULL SEASON EXPORT",INDEX(SourceTable[URL],Q99)="",INDEX(SourceTable[SHA256],Q99)=""),"EVIDENCE INCOMPLETE",IF(AND('Input_Meci'!H13="LIVE",INDEX(SourceTable[Retrieved_UTC],Q99)&gt;'Input_Meci'!G13),"POST CUTOFF","CLOSED")))))))</x:f>
      </x:c>
      <x:c r="S99" s="2" t="n">
        <x:f>IF(OR(B99="",F99=""),0,COUNTIFS('Istoric_Nativ'!$B$6:$B$405,E99,'Istoric_Nativ'!$C$6:$C$405,F99,'Istoric_Nativ'!$E$6:$E$405,G99,'Istoric_Nativ'!$D$6:$D$405,"&lt;"&amp;J99,'Istoric_Nativ'!$O$6:$O$405,"INVALID")+COUNTIFS('Istoric_Nativ'!$B$6:$B$405,E99,'Istoric_Nativ'!$C$6:$C$405,F99,'Istoric_Nativ'!$E$6:$E$405,G99,'Istoric_Nativ'!$O$6:$O$405,"INVALID",'Istoric_Nativ'!$D$6:$D$405,"*")+COUNTIFS('Istoric_Nativ'!$B$6:$B$405,E99,'Istoric_Nativ'!$C$6:$C$405,F99,'Istoric_Nativ'!$E$6:$E$405,G99,'Istoric_Nativ'!$D$6:$D$405,"&lt;"&amp;J99,'Istoric_Nativ'!$O$6:$O$405,"SOURCE CONFLICT")+COUNTIFS('Istoric_Nativ'!$B$6:$B$405,E99,'Istoric_Nativ'!$C$6:$C$405,F99,'Istoric_Nativ'!$F$6:$F$405,G99,'Istoric_Nativ'!$D$6:$D$405,"&lt;"&amp;J99,'Istoric_Nativ'!$O$6:$O$405,"INVALID")+COUNTIFS('Istoric_Nativ'!$B$6:$B$405,E99,'Istoric_Nativ'!$C$6:$C$405,F99,'Istoric_Nativ'!$F$6:$F$405,G99,'Istoric_Nativ'!$O$6:$O$405,"INVALID",'Istoric_Nativ'!$D$6:$D$405,"*")+COUNTIFS('Istoric_Nativ'!$B$6:$B$405,E99,'Istoric_Nativ'!$C$6:$C$405,F99,'Istoric_Nativ'!$F$6:$F$405,G99,'Istoric_Nativ'!$D$6:$D$405,"&lt;"&amp;J99,'Istoric_Nativ'!$O$6:$O$405,"SOURCE CONFLICT"))</x:f>
        <x:v>0</x:v>
      </x:c>
      <x:c r="T99" s="2" t="str">
        <x:f>IF(B99="","",IF(R99&lt;&gt;"CLOSED",R99,IF(S99&gt;0,"NATIVE INPUT ISSUE",IF(M99=0,"NO HISTORY",IF(M99&lt;P99,"SMALL SAMPLE","DERIVED")))))</x:f>
      </x:c>
      <x:c r="U99" s="2" t="str">
        <x:f>IF(B99="","","NativeTable; "&amp;E99&amp;"; "&amp;F99&amp;"; "&amp;G99&amp;"; "&amp;H99&amp;"; before "&amp;TEXT(J99,"yyyy-mm-dd")&amp;IF(I99="RECENT","; from "&amp;TEXT(L99,"yyyy-mm-dd"),""))</x:f>
      </x:c>
    </x:row>
    <x:row r="100" ht="21" customHeight="1">
      <x:c r="A100" s="2" t="n">
        <x:v>8</x:v>
      </x:c>
      <x:c r="B100" s="2" t="str">
        <x:f>IF('Input_Meci'!A13="","",'Input_Meci'!A13)</x:f>
      </x:c>
      <x:c r="C100" s="2" t="str">
        <x:v>A</x:v>
      </x:c>
      <x:c r="D100" s="2" t="str">
        <x:v>PRIOR</x:v>
      </x:c>
      <x:c r="E100" s="2" t="str">
        <x:f>IF(B100="","",'Input_Meci'!B13)</x:f>
      </x:c>
      <x:c r="F100" s="2" t="str">
        <x:f>IF(B100="","",IF('Input_Meci'!K13="","",'Input_Meci'!K13))</x:f>
      </x:c>
      <x:c r="G100" s="2" t="str">
        <x:f>IF(B100="","",'Input_Meci'!E13)</x:f>
      </x:c>
      <x:c r="H100" s="2" t="str">
        <x:v>AWAY</x:v>
      </x:c>
      <x:c r="I100" s="2" t="str">
        <x:v>HA</x:v>
      </x:c>
      <x:c r="J100" s="9" t="n">
        <x:f>IF(AND(B100&lt;&gt;"",ISNUMBER('Input_Meci'!G13)),INT('Input_Meci'!G13),0)</x:f>
        <x:v>0</x:v>
      </x:c>
      <x:c r="K100" s="2" t="n">
        <x:f>IF(OR(B100="",F100=""),0,IF(H100="HOME",COUNTIFS('Istoric_Nativ'!$B$6:$B$405,E100,'Istoric_Nativ'!$C$6:$C$405,F100,'Istoric_Nativ'!$E$6:$E$405,G100,'Istoric_Nativ'!$D$6:$D$405,"&lt;"&amp;J100,'Istoric_Nativ'!$P$6:$P$405,1),IF(H100="AWAY",COUNTIFS('Istoric_Nativ'!$B$6:$B$405,E100,'Istoric_Nativ'!$C$6:$C$405,F100,'Istoric_Nativ'!$F$6:$F$405,G100,'Istoric_Nativ'!$D$6:$D$405,"&lt;"&amp;J100,'Istoric_Nativ'!$P$6:$P$405,1),COUNTIFS('Istoric_Nativ'!$B$6:$B$405,E100,'Istoric_Nativ'!$C$6:$C$405,F100,'Istoric_Nativ'!$E$6:$E$405,G100,'Istoric_Nativ'!$D$6:$D$405,"&lt;"&amp;J100,'Istoric_Nativ'!$P$6:$P$405,1)+COUNTIFS('Istoric_Nativ'!$B$6:$B$405,E100,'Istoric_Nativ'!$C$6:$C$405,F100,'Istoric_Nativ'!$F$6:$F$405,G100,'Istoric_Nativ'!$D$6:$D$405,"&lt;"&amp;J100,'Istoric_Nativ'!$P$6:$P$405,1))))</x:f>
        <x:v>0</x:v>
      </x:c>
      <x:c r="L100" s="17" t="n">
        <x:f>IF(AND(B100&lt;&gt;"",I100="RECENT",K100&gt;0),LARGE(_xlfn._xlws.FILTER('Istoric_Nativ'!$D$6:$D$405,('Istoric_Nativ'!$B$6:$B$405=E100)*('Istoric_Nativ'!$C$6:$C$405=F100)*('Istoric_Nativ'!$P$6:$P$405=1)*('Istoric_Nativ'!$D$6:$D$405&lt;J100)*((('Istoric_Nativ'!$E$6:$E$405=G100)+('Istoric_Nativ'!$F$6:$F$405=G100))&gt;0)),MIN('Config_v6'!$B$54,K100)),0)</x:f>
        <x:v>0</x:v>
      </x:c>
      <x:c r="M100" s="2" t="n">
        <x:f>IF(OR(B100="",F100=""),0,IF(H100="HOME",COUNTIFS('Istoric_Nativ'!$B$6:$B$405,E100,'Istoric_Nativ'!$C$6:$C$405,F100,'Istoric_Nativ'!$E$6:$E$405,G100,'Istoric_Nativ'!$D$6:$D$405,"&lt;"&amp;J100,'Istoric_Nativ'!$P$6:$P$405,1,'Istoric_Nativ'!$D$6:$D$405,"&gt;="&amp;L100),IF(H100="AWAY",COUNTIFS('Istoric_Nativ'!$B$6:$B$405,E100,'Istoric_Nativ'!$C$6:$C$405,F100,'Istoric_Nativ'!$F$6:$F$405,G100,'Istoric_Nativ'!$D$6:$D$405,"&lt;"&amp;J100,'Istoric_Nativ'!$P$6:$P$405,1,'Istoric_Nativ'!$D$6:$D$405,"&gt;="&amp;L100),COUNTIFS('Istoric_Nativ'!$B$6:$B$405,E100,'Istoric_Nativ'!$C$6:$C$405,F100,'Istoric_Nativ'!$E$6:$E$405,G100,'Istoric_Nativ'!$D$6:$D$405,"&lt;"&amp;J100,'Istoric_Nativ'!$P$6:$P$405,1,'Istoric_Nativ'!$D$6:$D$405,"&gt;="&amp;L100)+COUNTIFS('Istoric_Nativ'!$B$6:$B$405,E100,'Istoric_Nativ'!$C$6:$C$405,F100,'Istoric_Nativ'!$F$6:$F$405,G100,'Istoric_Nativ'!$D$6:$D$405,"&lt;"&amp;J100,'Istoric_Nativ'!$P$6:$P$405,1,'Istoric_Nativ'!$D$6:$D$405,"&gt;="&amp;L100))))</x:f>
        <x:v>0</x:v>
      </x:c>
      <x:c r="N100" s="11" t="str">
        <x:f>IF(M100=0,"",IF(H100="HOME",SUMIFS('Istoric_Nativ'!$G$6:$G$405,'Istoric_Nativ'!$B$6:$B$405,E100,'Istoric_Nativ'!$C$6:$C$405,F100,'Istoric_Nativ'!$E$6:$E$405,G100,'Istoric_Nativ'!$D$6:$D$405,"&lt;"&amp;J100,'Istoric_Nativ'!$P$6:$P$405,1,'Istoric_Nativ'!$D$6:$D$405,"&gt;="&amp;L100),IF(H100="AWAY",SUMIFS('Istoric_Nativ'!$H$6:$H$405,'Istoric_Nativ'!$B$6:$B$405,E100,'Istoric_Nativ'!$C$6:$C$405,F100,'Istoric_Nativ'!$F$6:$F$405,G100,'Istoric_Nativ'!$D$6:$D$405,"&lt;"&amp;J100,'Istoric_Nativ'!$P$6:$P$405,1,'Istoric_Nativ'!$D$6:$D$405,"&gt;="&amp;L100),SUMIFS('Istoric_Nativ'!$G$6:$G$405,'Istoric_Nativ'!$B$6:$B$405,E100,'Istoric_Nativ'!$C$6:$C$405,F100,'Istoric_Nativ'!$E$6:$E$405,G100,'Istoric_Nativ'!$D$6:$D$405,"&lt;"&amp;J100,'Istoric_Nativ'!$P$6:$P$405,1,'Istoric_Nativ'!$D$6:$D$405,"&gt;="&amp;L100)+SUMIFS('Istoric_Nativ'!$H$6:$H$405,'Istoric_Nativ'!$B$6:$B$405,E100,'Istoric_Nativ'!$C$6:$C$405,F100,'Istoric_Nativ'!$F$6:$F$405,G100,'Istoric_Nativ'!$D$6:$D$405,"&lt;"&amp;J100,'Istoric_Nativ'!$P$6:$P$405,1,'Istoric_Nativ'!$D$6:$D$405,"&gt;="&amp;L100)))/M100)</x:f>
      </x:c>
      <x:c r="O100" s="11" t="str">
        <x:f>IF(M100=0,"",IF(H100="HOME",SUMIFS('Istoric_Nativ'!$H$6:$H$405,'Istoric_Nativ'!$B$6:$B$405,E100,'Istoric_Nativ'!$C$6:$C$405,F100,'Istoric_Nativ'!$E$6:$E$405,G100,'Istoric_Nativ'!$D$6:$D$405,"&lt;"&amp;J100,'Istoric_Nativ'!$P$6:$P$405,1,'Istoric_Nativ'!$D$6:$D$405,"&gt;="&amp;L100),IF(H100="AWAY",SUMIFS('Istoric_Nativ'!$G$6:$G$405,'Istoric_Nativ'!$B$6:$B$405,E100,'Istoric_Nativ'!$C$6:$C$405,F100,'Istoric_Nativ'!$F$6:$F$405,G100,'Istoric_Nativ'!$D$6:$D$405,"&lt;"&amp;J100,'Istoric_Nativ'!$P$6:$P$405,1,'Istoric_Nativ'!$D$6:$D$405,"&gt;="&amp;L100),SUMIFS('Istoric_Nativ'!$H$6:$H$405,'Istoric_Nativ'!$B$6:$B$405,E100,'Istoric_Nativ'!$C$6:$C$405,F100,'Istoric_Nativ'!$E$6:$E$405,G100,'Istoric_Nativ'!$D$6:$D$405,"&lt;"&amp;J100,'Istoric_Nativ'!$P$6:$P$405,1,'Istoric_Nativ'!$D$6:$D$405,"&gt;="&amp;L100)+SUMIFS('Istoric_Nativ'!$G$6:$G$405,'Istoric_Nativ'!$B$6:$B$405,E100,'Istoric_Nativ'!$C$6:$C$405,F100,'Istoric_Nativ'!$F$6:$F$405,G100,'Istoric_Nativ'!$D$6:$D$405,"&lt;"&amp;J100,'Istoric_Nativ'!$P$6:$P$405,1,'Istoric_Nativ'!$D$6:$D$405,"&gt;="&amp;L100)))/M100)</x:f>
      </x:c>
      <x:c r="P100" s="2" t="n">
        <x:f>'Config_v6'!$B$8</x:f>
        <x:v>5</x:v>
      </x:c>
      <x:c r="Q100" s="2" t="n">
        <x:f>IF(OR(B100="",F100=""),0,IFERROR(MATCH(E100&amp;"|"&amp;F100,SourceTable[Source_Key],0),0))</x:f>
        <x:v>0</x:v>
      </x:c>
      <x:c r="R100" s="2" t="str">
        <x:f>IF(B100="","",IF(F100="","UNUSED",IF(Q100=0,"NOT CHECKED",IF(COUNTIF(SourceTable[Source_Key],E100&amp;"|"&amp;F100)&lt;&gt;1,"SOURCE CONFLICT",IF(NOT(OR(INDEX(SourceTable[Status],MAX(1,Q100))="IMPORTED",INDEX(SourceTable[Status],MAX(1,Q100))="PARTIAL",INDEX(SourceTable[Status],MAX(1,Q100))="SOURCE CONFLICT")),"ACCESS BLOCKED",IF(OR(INDEX(SourceTable[Coverage],Q100)&lt;&gt;"FULL SEASON EXPORT",INDEX(SourceTable[URL],Q100)="",INDEX(SourceTable[SHA256],Q100)=""),"EVIDENCE INCOMPLETE",IF(AND('Input_Meci'!H13="LIVE",INDEX(SourceTable[Retrieved_UTC],Q100)&gt;'Input_Meci'!G13),"POST CUTOFF","CLOSED")))))))</x:f>
      </x:c>
      <x:c r="S100" s="2" t="n">
        <x:f>IF(OR(B100="",F100=""),0,COUNTIFS('Istoric_Nativ'!$B$6:$B$405,E100,'Istoric_Nativ'!$C$6:$C$405,F100,'Istoric_Nativ'!$E$6:$E$405,G100,'Istoric_Nativ'!$D$6:$D$405,"&lt;"&amp;J100,'Istoric_Nativ'!$O$6:$O$405,"INVALID")+COUNTIFS('Istoric_Nativ'!$B$6:$B$405,E100,'Istoric_Nativ'!$C$6:$C$405,F100,'Istoric_Nativ'!$E$6:$E$405,G100,'Istoric_Nativ'!$O$6:$O$405,"INVALID",'Istoric_Nativ'!$D$6:$D$405,"*")+COUNTIFS('Istoric_Nativ'!$B$6:$B$405,E100,'Istoric_Nativ'!$C$6:$C$405,F100,'Istoric_Nativ'!$E$6:$E$405,G100,'Istoric_Nativ'!$D$6:$D$405,"&lt;"&amp;J100,'Istoric_Nativ'!$O$6:$O$405,"SOURCE CONFLICT")+COUNTIFS('Istoric_Nativ'!$B$6:$B$405,E100,'Istoric_Nativ'!$C$6:$C$405,F100,'Istoric_Nativ'!$F$6:$F$405,G100,'Istoric_Nativ'!$D$6:$D$405,"&lt;"&amp;J100,'Istoric_Nativ'!$O$6:$O$405,"INVALID")+COUNTIFS('Istoric_Nativ'!$B$6:$B$405,E100,'Istoric_Nativ'!$C$6:$C$405,F100,'Istoric_Nativ'!$F$6:$F$405,G100,'Istoric_Nativ'!$O$6:$O$405,"INVALID",'Istoric_Nativ'!$D$6:$D$405,"*")+COUNTIFS('Istoric_Nativ'!$B$6:$B$405,E100,'Istoric_Nativ'!$C$6:$C$405,F100,'Istoric_Nativ'!$F$6:$F$405,G100,'Istoric_Nativ'!$D$6:$D$405,"&lt;"&amp;J100,'Istoric_Nativ'!$O$6:$O$405,"SOURCE CONFLICT"))</x:f>
        <x:v>0</x:v>
      </x:c>
      <x:c r="T100" s="2" t="str">
        <x:f>IF(B100="","",IF(R100&lt;&gt;"CLOSED",R100,IF(S100&gt;0,"NATIVE INPUT ISSUE",IF(M100=0,"NO HISTORY",IF(M100&lt;P100,"SMALL SAMPLE","DERIVED")))))</x:f>
      </x:c>
      <x:c r="U100" s="2" t="str">
        <x:f>IF(B100="","","NativeTable; "&amp;E100&amp;"; "&amp;F100&amp;"; "&amp;G100&amp;"; "&amp;H100&amp;"; before "&amp;TEXT(J100,"yyyy-mm-dd")&amp;IF(I100="RECENT","; from "&amp;TEXT(L100,"yyyy-mm-dd"),""))</x:f>
      </x:c>
    </x:row>
    <x:row r="101" ht="21" customHeight="1">
      <x:c r="A101" s="2" t="n">
        <x:v>8</x:v>
      </x:c>
      <x:c r="B101" s="2" t="str">
        <x:f>IF('Input_Meci'!A13="","",'Input_Meci'!A13)</x:f>
      </x:c>
      <x:c r="C101" s="2" t="str">
        <x:v>A</x:v>
      </x:c>
      <x:c r="D101" s="2" t="str">
        <x:v>PRIOR</x:v>
      </x:c>
      <x:c r="E101" s="2" t="str">
        <x:f>IF(B101="","",'Input_Meci'!B13)</x:f>
      </x:c>
      <x:c r="F101" s="2" t="str">
        <x:f>IF(B101="","",IF('Input_Meci'!K13="","",'Input_Meci'!K13))</x:f>
      </x:c>
      <x:c r="G101" s="2" t="str">
        <x:f>IF(B101="","",'Input_Meci'!E13)</x:f>
      </x:c>
      <x:c r="H101" s="2" t="str">
        <x:v>ANY</x:v>
      </x:c>
      <x:c r="I101" s="2" t="str">
        <x:v>RECENT</x:v>
      </x:c>
      <x:c r="J101" s="9" t="n">
        <x:f>IF(AND(B101&lt;&gt;"",ISNUMBER('Input_Meci'!G13)),INT('Input_Meci'!G13),0)</x:f>
        <x:v>0</x:v>
      </x:c>
      <x:c r="K101" s="2" t="n">
        <x:f>IF(OR(B101="",F101=""),0,IF(H101="HOME",COUNTIFS('Istoric_Nativ'!$B$6:$B$405,E101,'Istoric_Nativ'!$C$6:$C$405,F101,'Istoric_Nativ'!$E$6:$E$405,G101,'Istoric_Nativ'!$D$6:$D$405,"&lt;"&amp;J101,'Istoric_Nativ'!$P$6:$P$405,1),IF(H101="AWAY",COUNTIFS('Istoric_Nativ'!$B$6:$B$405,E101,'Istoric_Nativ'!$C$6:$C$405,F101,'Istoric_Nativ'!$F$6:$F$405,G101,'Istoric_Nativ'!$D$6:$D$405,"&lt;"&amp;J101,'Istoric_Nativ'!$P$6:$P$405,1),COUNTIFS('Istoric_Nativ'!$B$6:$B$405,E101,'Istoric_Nativ'!$C$6:$C$405,F101,'Istoric_Nativ'!$E$6:$E$405,G101,'Istoric_Nativ'!$D$6:$D$405,"&lt;"&amp;J101,'Istoric_Nativ'!$P$6:$P$405,1)+COUNTIFS('Istoric_Nativ'!$B$6:$B$405,E101,'Istoric_Nativ'!$C$6:$C$405,F101,'Istoric_Nativ'!$F$6:$F$405,G101,'Istoric_Nativ'!$D$6:$D$405,"&lt;"&amp;J101,'Istoric_Nativ'!$P$6:$P$405,1))))</x:f>
        <x:v>0</x:v>
      </x:c>
      <x:c r="L101" s="17" t="n">
        <x:f>IF(AND(B101&lt;&gt;"",I101="RECENT",K101&gt;0),LARGE(_xlfn._xlws.FILTER('Istoric_Nativ'!$D$6:$D$405,('Istoric_Nativ'!$B$6:$B$405=E101)*('Istoric_Nativ'!$C$6:$C$405=F101)*('Istoric_Nativ'!$P$6:$P$405=1)*('Istoric_Nativ'!$D$6:$D$405&lt;J101)*((('Istoric_Nativ'!$E$6:$E$405=G101)+('Istoric_Nativ'!$F$6:$F$405=G101))&gt;0)),MIN('Config_v6'!$B$54,K101)),0)</x:f>
        <x:v>0</x:v>
      </x:c>
      <x:c r="M101" s="2" t="n">
        <x:f>IF(OR(B101="",F101=""),0,IF(H101="HOME",COUNTIFS('Istoric_Nativ'!$B$6:$B$405,E101,'Istoric_Nativ'!$C$6:$C$405,F101,'Istoric_Nativ'!$E$6:$E$405,G101,'Istoric_Nativ'!$D$6:$D$405,"&lt;"&amp;J101,'Istoric_Nativ'!$P$6:$P$405,1,'Istoric_Nativ'!$D$6:$D$405,"&gt;="&amp;L101),IF(H101="AWAY",COUNTIFS('Istoric_Nativ'!$B$6:$B$405,E101,'Istoric_Nativ'!$C$6:$C$405,F101,'Istoric_Nativ'!$F$6:$F$405,G101,'Istoric_Nativ'!$D$6:$D$405,"&lt;"&amp;J101,'Istoric_Nativ'!$P$6:$P$405,1,'Istoric_Nativ'!$D$6:$D$405,"&gt;="&amp;L101),COUNTIFS('Istoric_Nativ'!$B$6:$B$405,E101,'Istoric_Nativ'!$C$6:$C$405,F101,'Istoric_Nativ'!$E$6:$E$405,G101,'Istoric_Nativ'!$D$6:$D$405,"&lt;"&amp;J101,'Istoric_Nativ'!$P$6:$P$405,1,'Istoric_Nativ'!$D$6:$D$405,"&gt;="&amp;L101)+COUNTIFS('Istoric_Nativ'!$B$6:$B$405,E101,'Istoric_Nativ'!$C$6:$C$405,F101,'Istoric_Nativ'!$F$6:$F$405,G101,'Istoric_Nativ'!$D$6:$D$405,"&lt;"&amp;J101,'Istoric_Nativ'!$P$6:$P$405,1,'Istoric_Nativ'!$D$6:$D$405,"&gt;="&amp;L101))))</x:f>
        <x:v>0</x:v>
      </x:c>
      <x:c r="N101" s="11" t="str">
        <x:f>IF(M101=0,"",IF(H101="HOME",SUMIFS('Istoric_Nativ'!$G$6:$G$405,'Istoric_Nativ'!$B$6:$B$405,E101,'Istoric_Nativ'!$C$6:$C$405,F101,'Istoric_Nativ'!$E$6:$E$405,G101,'Istoric_Nativ'!$D$6:$D$405,"&lt;"&amp;J101,'Istoric_Nativ'!$P$6:$P$405,1,'Istoric_Nativ'!$D$6:$D$405,"&gt;="&amp;L101),IF(H101="AWAY",SUMIFS('Istoric_Nativ'!$H$6:$H$405,'Istoric_Nativ'!$B$6:$B$405,E101,'Istoric_Nativ'!$C$6:$C$405,F101,'Istoric_Nativ'!$F$6:$F$405,G101,'Istoric_Nativ'!$D$6:$D$405,"&lt;"&amp;J101,'Istoric_Nativ'!$P$6:$P$405,1,'Istoric_Nativ'!$D$6:$D$405,"&gt;="&amp;L101),SUMIFS('Istoric_Nativ'!$G$6:$G$405,'Istoric_Nativ'!$B$6:$B$405,E101,'Istoric_Nativ'!$C$6:$C$405,F101,'Istoric_Nativ'!$E$6:$E$405,G101,'Istoric_Nativ'!$D$6:$D$405,"&lt;"&amp;J101,'Istoric_Nativ'!$P$6:$P$405,1,'Istoric_Nativ'!$D$6:$D$405,"&gt;="&amp;L101)+SUMIFS('Istoric_Nativ'!$H$6:$H$405,'Istoric_Nativ'!$B$6:$B$405,E101,'Istoric_Nativ'!$C$6:$C$405,F101,'Istoric_Nativ'!$F$6:$F$405,G101,'Istoric_Nativ'!$D$6:$D$405,"&lt;"&amp;J101,'Istoric_Nativ'!$P$6:$P$405,1,'Istoric_Nativ'!$D$6:$D$405,"&gt;="&amp;L101)))/M101)</x:f>
      </x:c>
      <x:c r="O101" s="11" t="str">
        <x:f>IF(M101=0,"",IF(H101="HOME",SUMIFS('Istoric_Nativ'!$H$6:$H$405,'Istoric_Nativ'!$B$6:$B$405,E101,'Istoric_Nativ'!$C$6:$C$405,F101,'Istoric_Nativ'!$E$6:$E$405,G101,'Istoric_Nativ'!$D$6:$D$405,"&lt;"&amp;J101,'Istoric_Nativ'!$P$6:$P$405,1,'Istoric_Nativ'!$D$6:$D$405,"&gt;="&amp;L101),IF(H101="AWAY",SUMIFS('Istoric_Nativ'!$G$6:$G$405,'Istoric_Nativ'!$B$6:$B$405,E101,'Istoric_Nativ'!$C$6:$C$405,F101,'Istoric_Nativ'!$F$6:$F$405,G101,'Istoric_Nativ'!$D$6:$D$405,"&lt;"&amp;J101,'Istoric_Nativ'!$P$6:$P$405,1,'Istoric_Nativ'!$D$6:$D$405,"&gt;="&amp;L101),SUMIFS('Istoric_Nativ'!$H$6:$H$405,'Istoric_Nativ'!$B$6:$B$405,E101,'Istoric_Nativ'!$C$6:$C$405,F101,'Istoric_Nativ'!$E$6:$E$405,G101,'Istoric_Nativ'!$D$6:$D$405,"&lt;"&amp;J101,'Istoric_Nativ'!$P$6:$P$405,1,'Istoric_Nativ'!$D$6:$D$405,"&gt;="&amp;L101)+SUMIFS('Istoric_Nativ'!$G$6:$G$405,'Istoric_Nativ'!$B$6:$B$405,E101,'Istoric_Nativ'!$C$6:$C$405,F101,'Istoric_Nativ'!$F$6:$F$405,G101,'Istoric_Nativ'!$D$6:$D$405,"&lt;"&amp;J101,'Istoric_Nativ'!$P$6:$P$405,1,'Istoric_Nativ'!$D$6:$D$405,"&gt;="&amp;L101)))/M101)</x:f>
      </x:c>
      <x:c r="P101" s="2" t="n">
        <x:f>'Config_v6'!$B$9</x:f>
        <x:v>3</x:v>
      </x:c>
      <x:c r="Q101" s="2" t="n">
        <x:f>IF(OR(B101="",F101=""),0,IFERROR(MATCH(E101&amp;"|"&amp;F101,SourceTable[Source_Key],0),0))</x:f>
        <x:v>0</x:v>
      </x:c>
      <x:c r="R101" s="2" t="str">
        <x:f>IF(B101="","",IF(F101="","UNUSED",IF(Q101=0,"NOT CHECKED",IF(COUNTIF(SourceTable[Source_Key],E101&amp;"|"&amp;F101)&lt;&gt;1,"SOURCE CONFLICT",IF(NOT(OR(INDEX(SourceTable[Status],MAX(1,Q101))="IMPORTED",INDEX(SourceTable[Status],MAX(1,Q101))="PARTIAL",INDEX(SourceTable[Status],MAX(1,Q101))="SOURCE CONFLICT")),"ACCESS BLOCKED",IF(OR(INDEX(SourceTable[Coverage],Q101)&lt;&gt;"FULL SEASON EXPORT",INDEX(SourceTable[URL],Q101)="",INDEX(SourceTable[SHA256],Q101)=""),"EVIDENCE INCOMPLETE",IF(AND('Input_Meci'!H13="LIVE",INDEX(SourceTable[Retrieved_UTC],Q101)&gt;'Input_Meci'!G13),"POST CUTOFF","CLOSED")))))))</x:f>
      </x:c>
      <x:c r="S101" s="2" t="n">
        <x:f>IF(OR(B101="",F101=""),0,COUNTIFS('Istoric_Nativ'!$B$6:$B$405,E101,'Istoric_Nativ'!$C$6:$C$405,F101,'Istoric_Nativ'!$E$6:$E$405,G101,'Istoric_Nativ'!$D$6:$D$405,"&lt;"&amp;J101,'Istoric_Nativ'!$O$6:$O$405,"INVALID")+COUNTIFS('Istoric_Nativ'!$B$6:$B$405,E101,'Istoric_Nativ'!$C$6:$C$405,F101,'Istoric_Nativ'!$E$6:$E$405,G101,'Istoric_Nativ'!$O$6:$O$405,"INVALID",'Istoric_Nativ'!$D$6:$D$405,"*")+COUNTIFS('Istoric_Nativ'!$B$6:$B$405,E101,'Istoric_Nativ'!$C$6:$C$405,F101,'Istoric_Nativ'!$E$6:$E$405,G101,'Istoric_Nativ'!$D$6:$D$405,"&lt;"&amp;J101,'Istoric_Nativ'!$O$6:$O$405,"SOURCE CONFLICT")+COUNTIFS('Istoric_Nativ'!$B$6:$B$405,E101,'Istoric_Nativ'!$C$6:$C$405,F101,'Istoric_Nativ'!$F$6:$F$405,G101,'Istoric_Nativ'!$D$6:$D$405,"&lt;"&amp;J101,'Istoric_Nativ'!$O$6:$O$405,"INVALID")+COUNTIFS('Istoric_Nativ'!$B$6:$B$405,E101,'Istoric_Nativ'!$C$6:$C$405,F101,'Istoric_Nativ'!$F$6:$F$405,G101,'Istoric_Nativ'!$O$6:$O$405,"INVALID",'Istoric_Nativ'!$D$6:$D$405,"*")+COUNTIFS('Istoric_Nativ'!$B$6:$B$405,E101,'Istoric_Nativ'!$C$6:$C$405,F101,'Istoric_Nativ'!$F$6:$F$405,G101,'Istoric_Nativ'!$D$6:$D$405,"&lt;"&amp;J101,'Istoric_Nativ'!$O$6:$O$405,"SOURCE CONFLICT"))</x:f>
        <x:v>0</x:v>
      </x:c>
      <x:c r="T101" s="2" t="str">
        <x:f>IF(B101="","",IF(R101&lt;&gt;"CLOSED",R101,IF(S101&gt;0,"NATIVE INPUT ISSUE",IF(M101=0,"NO HISTORY",IF(M101&lt;P101,"SMALL SAMPLE","DERIVED")))))</x:f>
      </x:c>
      <x:c r="U101" s="2" t="str">
        <x:f>IF(B101="","","NativeTable; "&amp;E101&amp;"; "&amp;F101&amp;"; "&amp;G101&amp;"; "&amp;H101&amp;"; before "&amp;TEXT(J101,"yyyy-mm-dd")&amp;IF(I101="RECENT","; from "&amp;TEXT(L101,"yyyy-mm-dd"),""))</x:f>
      </x:c>
    </x:row>
    <x:row r="102" ht="21" customHeight="1">
      <x:c r="A102" s="2" t="n">
        <x:v>9</x:v>
      </x:c>
      <x:c r="B102" s="2" t="str">
        <x:f>IF('Input_Meci'!A14="","",'Input_Meci'!A14)</x:f>
      </x:c>
      <x:c r="C102" s="2" t="str">
        <x:v>H</x:v>
      </x:c>
      <x:c r="D102" s="2" t="str">
        <x:v>CURRENT</x:v>
      </x:c>
      <x:c r="E102" s="2" t="str">
        <x:f>IF(B102="","",'Input_Meci'!B14)</x:f>
      </x:c>
      <x:c r="F102" s="2" t="str">
        <x:f>IF(B102="","",IF('Input_Meci'!C14="","",'Input_Meci'!C14))</x:f>
      </x:c>
      <x:c r="G102" s="2" t="str">
        <x:f>IF(B102="","",'Input_Meci'!D14)</x:f>
      </x:c>
      <x:c r="H102" s="2" t="str">
        <x:v>ANY</x:v>
      </x:c>
      <x:c r="I102" s="2" t="str">
        <x:v>SEASON</x:v>
      </x:c>
      <x:c r="J102" s="9" t="n">
        <x:f>IF(AND(B102&lt;&gt;"",ISNUMBER('Input_Meci'!G14)),INT('Input_Meci'!G14),0)</x:f>
        <x:v>0</x:v>
      </x:c>
      <x:c r="K102" s="2" t="n">
        <x:f>IF(OR(B102="",F102=""),0,IF(H102="HOME",COUNTIFS('Istoric_Nativ'!$B$6:$B$405,E102,'Istoric_Nativ'!$C$6:$C$405,F102,'Istoric_Nativ'!$E$6:$E$405,G102,'Istoric_Nativ'!$D$6:$D$405,"&lt;"&amp;J102,'Istoric_Nativ'!$P$6:$P$405,1),IF(H102="AWAY",COUNTIFS('Istoric_Nativ'!$B$6:$B$405,E102,'Istoric_Nativ'!$C$6:$C$405,F102,'Istoric_Nativ'!$F$6:$F$405,G102,'Istoric_Nativ'!$D$6:$D$405,"&lt;"&amp;J102,'Istoric_Nativ'!$P$6:$P$405,1),COUNTIFS('Istoric_Nativ'!$B$6:$B$405,E102,'Istoric_Nativ'!$C$6:$C$405,F102,'Istoric_Nativ'!$E$6:$E$405,G102,'Istoric_Nativ'!$D$6:$D$405,"&lt;"&amp;J102,'Istoric_Nativ'!$P$6:$P$405,1)+COUNTIFS('Istoric_Nativ'!$B$6:$B$405,E102,'Istoric_Nativ'!$C$6:$C$405,F102,'Istoric_Nativ'!$F$6:$F$405,G102,'Istoric_Nativ'!$D$6:$D$405,"&lt;"&amp;J102,'Istoric_Nativ'!$P$6:$P$405,1))))</x:f>
        <x:v>0</x:v>
      </x:c>
      <x:c r="L102" s="17" t="n">
        <x:f>IF(AND(B102&lt;&gt;"",I102="RECENT",K102&gt;0),LARGE(_xlfn._xlws.FILTER('Istoric_Nativ'!$D$6:$D$405,('Istoric_Nativ'!$B$6:$B$405=E102)*('Istoric_Nativ'!$C$6:$C$405=F102)*('Istoric_Nativ'!$P$6:$P$405=1)*('Istoric_Nativ'!$D$6:$D$405&lt;J102)*((('Istoric_Nativ'!$E$6:$E$405=G102)+('Istoric_Nativ'!$F$6:$F$405=G102))&gt;0)),MIN('Config_v6'!$B$54,K102)),0)</x:f>
        <x:v>0</x:v>
      </x:c>
      <x:c r="M102" s="2" t="n">
        <x:f>IF(OR(B102="",F102=""),0,IF(H102="HOME",COUNTIFS('Istoric_Nativ'!$B$6:$B$405,E102,'Istoric_Nativ'!$C$6:$C$405,F102,'Istoric_Nativ'!$E$6:$E$405,G102,'Istoric_Nativ'!$D$6:$D$405,"&lt;"&amp;J102,'Istoric_Nativ'!$P$6:$P$405,1,'Istoric_Nativ'!$D$6:$D$405,"&gt;="&amp;L102),IF(H102="AWAY",COUNTIFS('Istoric_Nativ'!$B$6:$B$405,E102,'Istoric_Nativ'!$C$6:$C$405,F102,'Istoric_Nativ'!$F$6:$F$405,G102,'Istoric_Nativ'!$D$6:$D$405,"&lt;"&amp;J102,'Istoric_Nativ'!$P$6:$P$405,1,'Istoric_Nativ'!$D$6:$D$405,"&gt;="&amp;L102),COUNTIFS('Istoric_Nativ'!$B$6:$B$405,E102,'Istoric_Nativ'!$C$6:$C$405,F102,'Istoric_Nativ'!$E$6:$E$405,G102,'Istoric_Nativ'!$D$6:$D$405,"&lt;"&amp;J102,'Istoric_Nativ'!$P$6:$P$405,1,'Istoric_Nativ'!$D$6:$D$405,"&gt;="&amp;L102)+COUNTIFS('Istoric_Nativ'!$B$6:$B$405,E102,'Istoric_Nativ'!$C$6:$C$405,F102,'Istoric_Nativ'!$F$6:$F$405,G102,'Istoric_Nativ'!$D$6:$D$405,"&lt;"&amp;J102,'Istoric_Nativ'!$P$6:$P$405,1,'Istoric_Nativ'!$D$6:$D$405,"&gt;="&amp;L102))))</x:f>
        <x:v>0</x:v>
      </x:c>
      <x:c r="N102" s="11" t="str">
        <x:f>IF(M102=0,"",IF(H102="HOME",SUMIFS('Istoric_Nativ'!$G$6:$G$405,'Istoric_Nativ'!$B$6:$B$405,E102,'Istoric_Nativ'!$C$6:$C$405,F102,'Istoric_Nativ'!$E$6:$E$405,G102,'Istoric_Nativ'!$D$6:$D$405,"&lt;"&amp;J102,'Istoric_Nativ'!$P$6:$P$405,1,'Istoric_Nativ'!$D$6:$D$405,"&gt;="&amp;L102),IF(H102="AWAY",SUMIFS('Istoric_Nativ'!$H$6:$H$405,'Istoric_Nativ'!$B$6:$B$405,E102,'Istoric_Nativ'!$C$6:$C$405,F102,'Istoric_Nativ'!$F$6:$F$405,G102,'Istoric_Nativ'!$D$6:$D$405,"&lt;"&amp;J102,'Istoric_Nativ'!$P$6:$P$405,1,'Istoric_Nativ'!$D$6:$D$405,"&gt;="&amp;L102),SUMIFS('Istoric_Nativ'!$G$6:$G$405,'Istoric_Nativ'!$B$6:$B$405,E102,'Istoric_Nativ'!$C$6:$C$405,F102,'Istoric_Nativ'!$E$6:$E$405,G102,'Istoric_Nativ'!$D$6:$D$405,"&lt;"&amp;J102,'Istoric_Nativ'!$P$6:$P$405,1,'Istoric_Nativ'!$D$6:$D$405,"&gt;="&amp;L102)+SUMIFS('Istoric_Nativ'!$H$6:$H$405,'Istoric_Nativ'!$B$6:$B$405,E102,'Istoric_Nativ'!$C$6:$C$405,F102,'Istoric_Nativ'!$F$6:$F$405,G102,'Istoric_Nativ'!$D$6:$D$405,"&lt;"&amp;J102,'Istoric_Nativ'!$P$6:$P$405,1,'Istoric_Nativ'!$D$6:$D$405,"&gt;="&amp;L102)))/M102)</x:f>
      </x:c>
      <x:c r="O102" s="11" t="str">
        <x:f>IF(M102=0,"",IF(H102="HOME",SUMIFS('Istoric_Nativ'!$H$6:$H$405,'Istoric_Nativ'!$B$6:$B$405,E102,'Istoric_Nativ'!$C$6:$C$405,F102,'Istoric_Nativ'!$E$6:$E$405,G102,'Istoric_Nativ'!$D$6:$D$405,"&lt;"&amp;J102,'Istoric_Nativ'!$P$6:$P$405,1,'Istoric_Nativ'!$D$6:$D$405,"&gt;="&amp;L102),IF(H102="AWAY",SUMIFS('Istoric_Nativ'!$G$6:$G$405,'Istoric_Nativ'!$B$6:$B$405,E102,'Istoric_Nativ'!$C$6:$C$405,F102,'Istoric_Nativ'!$F$6:$F$405,G102,'Istoric_Nativ'!$D$6:$D$405,"&lt;"&amp;J102,'Istoric_Nativ'!$P$6:$P$405,1,'Istoric_Nativ'!$D$6:$D$405,"&gt;="&amp;L102),SUMIFS('Istoric_Nativ'!$H$6:$H$405,'Istoric_Nativ'!$B$6:$B$405,E102,'Istoric_Nativ'!$C$6:$C$405,F102,'Istoric_Nativ'!$E$6:$E$405,G102,'Istoric_Nativ'!$D$6:$D$405,"&lt;"&amp;J102,'Istoric_Nativ'!$P$6:$P$405,1,'Istoric_Nativ'!$D$6:$D$405,"&gt;="&amp;L102)+SUMIFS('Istoric_Nativ'!$G$6:$G$405,'Istoric_Nativ'!$B$6:$B$405,E102,'Istoric_Nativ'!$C$6:$C$405,F102,'Istoric_Nativ'!$F$6:$F$405,G102,'Istoric_Nativ'!$D$6:$D$405,"&lt;"&amp;J102,'Istoric_Nativ'!$P$6:$P$405,1,'Istoric_Nativ'!$D$6:$D$405,"&gt;="&amp;L102)))/M102)</x:f>
      </x:c>
      <x:c r="P102" s="2" t="n">
        <x:f>'Config_v6'!$B$7</x:f>
        <x:v>10</x:v>
      </x:c>
      <x:c r="Q102" s="2" t="n">
        <x:f>IF(OR(B102="",F102=""),0,IFERROR(MATCH(E102&amp;"|"&amp;F102,SourceTable[Source_Key],0),0))</x:f>
        <x:v>0</x:v>
      </x:c>
      <x:c r="R102" s="2" t="str">
        <x:f>IF(B102="","",IF(F102="","UNUSED",IF(Q102=0,"NOT CHECKED",IF(COUNTIF(SourceTable[Source_Key],E102&amp;"|"&amp;F102)&lt;&gt;1,"SOURCE CONFLICT",IF(NOT(OR(INDEX(SourceTable[Status],MAX(1,Q102))="IMPORTED",INDEX(SourceTable[Status],MAX(1,Q102))="PARTIAL",INDEX(SourceTable[Status],MAX(1,Q102))="SOURCE CONFLICT")),"ACCESS BLOCKED",IF(OR(INDEX(SourceTable[Coverage],Q102)&lt;&gt;"FULL SEASON EXPORT",INDEX(SourceTable[URL],Q102)="",INDEX(SourceTable[SHA256],Q102)=""),"EVIDENCE INCOMPLETE",IF(AND('Input_Meci'!H14="LIVE",INDEX(SourceTable[Retrieved_UTC],Q102)&gt;'Input_Meci'!G14),"POST CUTOFF","CLOSED")))))))</x:f>
      </x:c>
      <x:c r="S102" s="2" t="n">
        <x:f>IF(OR(B102="",F102=""),0,COUNTIFS('Istoric_Nativ'!$B$6:$B$405,E102,'Istoric_Nativ'!$C$6:$C$405,F102,'Istoric_Nativ'!$E$6:$E$405,G102,'Istoric_Nativ'!$D$6:$D$405,"&lt;"&amp;J102,'Istoric_Nativ'!$O$6:$O$405,"INVALID")+COUNTIFS('Istoric_Nativ'!$B$6:$B$405,E102,'Istoric_Nativ'!$C$6:$C$405,F102,'Istoric_Nativ'!$E$6:$E$405,G102,'Istoric_Nativ'!$O$6:$O$405,"INVALID",'Istoric_Nativ'!$D$6:$D$405,"*")+COUNTIFS('Istoric_Nativ'!$B$6:$B$405,E102,'Istoric_Nativ'!$C$6:$C$405,F102,'Istoric_Nativ'!$E$6:$E$405,G102,'Istoric_Nativ'!$D$6:$D$405,"&lt;"&amp;J102,'Istoric_Nativ'!$O$6:$O$405,"SOURCE CONFLICT")+COUNTIFS('Istoric_Nativ'!$B$6:$B$405,E102,'Istoric_Nativ'!$C$6:$C$405,F102,'Istoric_Nativ'!$F$6:$F$405,G102,'Istoric_Nativ'!$D$6:$D$405,"&lt;"&amp;J102,'Istoric_Nativ'!$O$6:$O$405,"INVALID")+COUNTIFS('Istoric_Nativ'!$B$6:$B$405,E102,'Istoric_Nativ'!$C$6:$C$405,F102,'Istoric_Nativ'!$F$6:$F$405,G102,'Istoric_Nativ'!$O$6:$O$405,"INVALID",'Istoric_Nativ'!$D$6:$D$405,"*")+COUNTIFS('Istoric_Nativ'!$B$6:$B$405,E102,'Istoric_Nativ'!$C$6:$C$405,F102,'Istoric_Nativ'!$F$6:$F$405,G102,'Istoric_Nativ'!$D$6:$D$405,"&lt;"&amp;J102,'Istoric_Nativ'!$O$6:$O$405,"SOURCE CONFLICT"))</x:f>
        <x:v>0</x:v>
      </x:c>
      <x:c r="T102" s="2" t="str">
        <x:f>IF(B102="","",IF(R102&lt;&gt;"CLOSED",R102,IF(S102&gt;0,"NATIVE INPUT ISSUE",IF(M102=0,"NO HISTORY",IF(M102&lt;P102,"SMALL SAMPLE","DERIVED")))))</x:f>
      </x:c>
      <x:c r="U102" s="2" t="str">
        <x:f>IF(B102="","","NativeTable; "&amp;E102&amp;"; "&amp;F102&amp;"; "&amp;G102&amp;"; "&amp;H102&amp;"; before "&amp;TEXT(J102,"yyyy-mm-dd")&amp;IF(I102="RECENT","; from "&amp;TEXT(L102,"yyyy-mm-dd"),""))</x:f>
      </x:c>
    </x:row>
    <x:row r="103" ht="21" customHeight="1">
      <x:c r="A103" s="2" t="n">
        <x:v>9</x:v>
      </x:c>
      <x:c r="B103" s="2" t="str">
        <x:f>IF('Input_Meci'!A14="","",'Input_Meci'!A14)</x:f>
      </x:c>
      <x:c r="C103" s="2" t="str">
        <x:v>H</x:v>
      </x:c>
      <x:c r="D103" s="2" t="str">
        <x:v>CURRENT</x:v>
      </x:c>
      <x:c r="E103" s="2" t="str">
        <x:f>IF(B103="","",'Input_Meci'!B14)</x:f>
      </x:c>
      <x:c r="F103" s="2" t="str">
        <x:f>IF(B103="","",IF('Input_Meci'!C14="","",'Input_Meci'!C14))</x:f>
      </x:c>
      <x:c r="G103" s="2" t="str">
        <x:f>IF(B103="","",'Input_Meci'!D14)</x:f>
      </x:c>
      <x:c r="H103" s="2" t="str">
        <x:v>HOME</x:v>
      </x:c>
      <x:c r="I103" s="2" t="str">
        <x:v>HA</x:v>
      </x:c>
      <x:c r="J103" s="9" t="n">
        <x:f>IF(AND(B103&lt;&gt;"",ISNUMBER('Input_Meci'!G14)),INT('Input_Meci'!G14),0)</x:f>
        <x:v>0</x:v>
      </x:c>
      <x:c r="K103" s="2" t="n">
        <x:f>IF(OR(B103="",F103=""),0,IF(H103="HOME",COUNTIFS('Istoric_Nativ'!$B$6:$B$405,E103,'Istoric_Nativ'!$C$6:$C$405,F103,'Istoric_Nativ'!$E$6:$E$405,G103,'Istoric_Nativ'!$D$6:$D$405,"&lt;"&amp;J103,'Istoric_Nativ'!$P$6:$P$405,1),IF(H103="AWAY",COUNTIFS('Istoric_Nativ'!$B$6:$B$405,E103,'Istoric_Nativ'!$C$6:$C$405,F103,'Istoric_Nativ'!$F$6:$F$405,G103,'Istoric_Nativ'!$D$6:$D$405,"&lt;"&amp;J103,'Istoric_Nativ'!$P$6:$P$405,1),COUNTIFS('Istoric_Nativ'!$B$6:$B$405,E103,'Istoric_Nativ'!$C$6:$C$405,F103,'Istoric_Nativ'!$E$6:$E$405,G103,'Istoric_Nativ'!$D$6:$D$405,"&lt;"&amp;J103,'Istoric_Nativ'!$P$6:$P$405,1)+COUNTIFS('Istoric_Nativ'!$B$6:$B$405,E103,'Istoric_Nativ'!$C$6:$C$405,F103,'Istoric_Nativ'!$F$6:$F$405,G103,'Istoric_Nativ'!$D$6:$D$405,"&lt;"&amp;J103,'Istoric_Nativ'!$P$6:$P$405,1))))</x:f>
        <x:v>0</x:v>
      </x:c>
      <x:c r="L103" s="17" t="n">
        <x:f>IF(AND(B103&lt;&gt;"",I103="RECENT",K103&gt;0),LARGE(_xlfn._xlws.FILTER('Istoric_Nativ'!$D$6:$D$405,('Istoric_Nativ'!$B$6:$B$405=E103)*('Istoric_Nativ'!$C$6:$C$405=F103)*('Istoric_Nativ'!$P$6:$P$405=1)*('Istoric_Nativ'!$D$6:$D$405&lt;J103)*((('Istoric_Nativ'!$E$6:$E$405=G103)+('Istoric_Nativ'!$F$6:$F$405=G103))&gt;0)),MIN('Config_v6'!$B$54,K103)),0)</x:f>
        <x:v>0</x:v>
      </x:c>
      <x:c r="M103" s="2" t="n">
        <x:f>IF(OR(B103="",F103=""),0,IF(H103="HOME",COUNTIFS('Istoric_Nativ'!$B$6:$B$405,E103,'Istoric_Nativ'!$C$6:$C$405,F103,'Istoric_Nativ'!$E$6:$E$405,G103,'Istoric_Nativ'!$D$6:$D$405,"&lt;"&amp;J103,'Istoric_Nativ'!$P$6:$P$405,1,'Istoric_Nativ'!$D$6:$D$405,"&gt;="&amp;L103),IF(H103="AWAY",COUNTIFS('Istoric_Nativ'!$B$6:$B$405,E103,'Istoric_Nativ'!$C$6:$C$405,F103,'Istoric_Nativ'!$F$6:$F$405,G103,'Istoric_Nativ'!$D$6:$D$405,"&lt;"&amp;J103,'Istoric_Nativ'!$P$6:$P$405,1,'Istoric_Nativ'!$D$6:$D$405,"&gt;="&amp;L103),COUNTIFS('Istoric_Nativ'!$B$6:$B$405,E103,'Istoric_Nativ'!$C$6:$C$405,F103,'Istoric_Nativ'!$E$6:$E$405,G103,'Istoric_Nativ'!$D$6:$D$405,"&lt;"&amp;J103,'Istoric_Nativ'!$P$6:$P$405,1,'Istoric_Nativ'!$D$6:$D$405,"&gt;="&amp;L103)+COUNTIFS('Istoric_Nativ'!$B$6:$B$405,E103,'Istoric_Nativ'!$C$6:$C$405,F103,'Istoric_Nativ'!$F$6:$F$405,G103,'Istoric_Nativ'!$D$6:$D$405,"&lt;"&amp;J103,'Istoric_Nativ'!$P$6:$P$405,1,'Istoric_Nativ'!$D$6:$D$405,"&gt;="&amp;L103))))</x:f>
        <x:v>0</x:v>
      </x:c>
      <x:c r="N103" s="11" t="str">
        <x:f>IF(M103=0,"",IF(H103="HOME",SUMIFS('Istoric_Nativ'!$G$6:$G$405,'Istoric_Nativ'!$B$6:$B$405,E103,'Istoric_Nativ'!$C$6:$C$405,F103,'Istoric_Nativ'!$E$6:$E$405,G103,'Istoric_Nativ'!$D$6:$D$405,"&lt;"&amp;J103,'Istoric_Nativ'!$P$6:$P$405,1,'Istoric_Nativ'!$D$6:$D$405,"&gt;="&amp;L103),IF(H103="AWAY",SUMIFS('Istoric_Nativ'!$H$6:$H$405,'Istoric_Nativ'!$B$6:$B$405,E103,'Istoric_Nativ'!$C$6:$C$405,F103,'Istoric_Nativ'!$F$6:$F$405,G103,'Istoric_Nativ'!$D$6:$D$405,"&lt;"&amp;J103,'Istoric_Nativ'!$P$6:$P$405,1,'Istoric_Nativ'!$D$6:$D$405,"&gt;="&amp;L103),SUMIFS('Istoric_Nativ'!$G$6:$G$405,'Istoric_Nativ'!$B$6:$B$405,E103,'Istoric_Nativ'!$C$6:$C$405,F103,'Istoric_Nativ'!$E$6:$E$405,G103,'Istoric_Nativ'!$D$6:$D$405,"&lt;"&amp;J103,'Istoric_Nativ'!$P$6:$P$405,1,'Istoric_Nativ'!$D$6:$D$405,"&gt;="&amp;L103)+SUMIFS('Istoric_Nativ'!$H$6:$H$405,'Istoric_Nativ'!$B$6:$B$405,E103,'Istoric_Nativ'!$C$6:$C$405,F103,'Istoric_Nativ'!$F$6:$F$405,G103,'Istoric_Nativ'!$D$6:$D$405,"&lt;"&amp;J103,'Istoric_Nativ'!$P$6:$P$405,1,'Istoric_Nativ'!$D$6:$D$405,"&gt;="&amp;L103)))/M103)</x:f>
      </x:c>
      <x:c r="O103" s="11" t="str">
        <x:f>IF(M103=0,"",IF(H103="HOME",SUMIFS('Istoric_Nativ'!$H$6:$H$405,'Istoric_Nativ'!$B$6:$B$405,E103,'Istoric_Nativ'!$C$6:$C$405,F103,'Istoric_Nativ'!$E$6:$E$405,G103,'Istoric_Nativ'!$D$6:$D$405,"&lt;"&amp;J103,'Istoric_Nativ'!$P$6:$P$405,1,'Istoric_Nativ'!$D$6:$D$405,"&gt;="&amp;L103),IF(H103="AWAY",SUMIFS('Istoric_Nativ'!$G$6:$G$405,'Istoric_Nativ'!$B$6:$B$405,E103,'Istoric_Nativ'!$C$6:$C$405,F103,'Istoric_Nativ'!$F$6:$F$405,G103,'Istoric_Nativ'!$D$6:$D$405,"&lt;"&amp;J103,'Istoric_Nativ'!$P$6:$P$405,1,'Istoric_Nativ'!$D$6:$D$405,"&gt;="&amp;L103),SUMIFS('Istoric_Nativ'!$H$6:$H$405,'Istoric_Nativ'!$B$6:$B$405,E103,'Istoric_Nativ'!$C$6:$C$405,F103,'Istoric_Nativ'!$E$6:$E$405,G103,'Istoric_Nativ'!$D$6:$D$405,"&lt;"&amp;J103,'Istoric_Nativ'!$P$6:$P$405,1,'Istoric_Nativ'!$D$6:$D$405,"&gt;="&amp;L103)+SUMIFS('Istoric_Nativ'!$G$6:$G$405,'Istoric_Nativ'!$B$6:$B$405,E103,'Istoric_Nativ'!$C$6:$C$405,F103,'Istoric_Nativ'!$F$6:$F$405,G103,'Istoric_Nativ'!$D$6:$D$405,"&lt;"&amp;J103,'Istoric_Nativ'!$P$6:$P$405,1,'Istoric_Nativ'!$D$6:$D$405,"&gt;="&amp;L103)))/M103)</x:f>
      </x:c>
      <x:c r="P103" s="2" t="n">
        <x:f>'Config_v6'!$B$8</x:f>
        <x:v>5</x:v>
      </x:c>
      <x:c r="Q103" s="2" t="n">
        <x:f>IF(OR(B103="",F103=""),0,IFERROR(MATCH(E103&amp;"|"&amp;F103,SourceTable[Source_Key],0),0))</x:f>
        <x:v>0</x:v>
      </x:c>
      <x:c r="R103" s="2" t="str">
        <x:f>IF(B103="","",IF(F103="","UNUSED",IF(Q103=0,"NOT CHECKED",IF(COUNTIF(SourceTable[Source_Key],E103&amp;"|"&amp;F103)&lt;&gt;1,"SOURCE CONFLICT",IF(NOT(OR(INDEX(SourceTable[Status],MAX(1,Q103))="IMPORTED",INDEX(SourceTable[Status],MAX(1,Q103))="PARTIAL",INDEX(SourceTable[Status],MAX(1,Q103))="SOURCE CONFLICT")),"ACCESS BLOCKED",IF(OR(INDEX(SourceTable[Coverage],Q103)&lt;&gt;"FULL SEASON EXPORT",INDEX(SourceTable[URL],Q103)="",INDEX(SourceTable[SHA256],Q103)=""),"EVIDENCE INCOMPLETE",IF(AND('Input_Meci'!H14="LIVE",INDEX(SourceTable[Retrieved_UTC],Q103)&gt;'Input_Meci'!G14),"POST CUTOFF","CLOSED")))))))</x:f>
      </x:c>
      <x:c r="S103" s="2" t="n">
        <x:f>IF(OR(B103="",F103=""),0,COUNTIFS('Istoric_Nativ'!$B$6:$B$405,E103,'Istoric_Nativ'!$C$6:$C$405,F103,'Istoric_Nativ'!$E$6:$E$405,G103,'Istoric_Nativ'!$D$6:$D$405,"&lt;"&amp;J103,'Istoric_Nativ'!$O$6:$O$405,"INVALID")+COUNTIFS('Istoric_Nativ'!$B$6:$B$405,E103,'Istoric_Nativ'!$C$6:$C$405,F103,'Istoric_Nativ'!$E$6:$E$405,G103,'Istoric_Nativ'!$O$6:$O$405,"INVALID",'Istoric_Nativ'!$D$6:$D$405,"*")+COUNTIFS('Istoric_Nativ'!$B$6:$B$405,E103,'Istoric_Nativ'!$C$6:$C$405,F103,'Istoric_Nativ'!$E$6:$E$405,G103,'Istoric_Nativ'!$D$6:$D$405,"&lt;"&amp;J103,'Istoric_Nativ'!$O$6:$O$405,"SOURCE CONFLICT")+COUNTIFS('Istoric_Nativ'!$B$6:$B$405,E103,'Istoric_Nativ'!$C$6:$C$405,F103,'Istoric_Nativ'!$F$6:$F$405,G103,'Istoric_Nativ'!$D$6:$D$405,"&lt;"&amp;J103,'Istoric_Nativ'!$O$6:$O$405,"INVALID")+COUNTIFS('Istoric_Nativ'!$B$6:$B$405,E103,'Istoric_Nativ'!$C$6:$C$405,F103,'Istoric_Nativ'!$F$6:$F$405,G103,'Istoric_Nativ'!$O$6:$O$405,"INVALID",'Istoric_Nativ'!$D$6:$D$405,"*")+COUNTIFS('Istoric_Nativ'!$B$6:$B$405,E103,'Istoric_Nativ'!$C$6:$C$405,F103,'Istoric_Nativ'!$F$6:$F$405,G103,'Istoric_Nativ'!$D$6:$D$405,"&lt;"&amp;J103,'Istoric_Nativ'!$O$6:$O$405,"SOURCE CONFLICT"))</x:f>
        <x:v>0</x:v>
      </x:c>
      <x:c r="T103" s="2" t="str">
        <x:f>IF(B103="","",IF(R103&lt;&gt;"CLOSED",R103,IF(S103&gt;0,"NATIVE INPUT ISSUE",IF(M103=0,"NO HISTORY",IF(M103&lt;P103,"SMALL SAMPLE","DERIVED")))))</x:f>
      </x:c>
      <x:c r="U103" s="2" t="str">
        <x:f>IF(B103="","","NativeTable; "&amp;E103&amp;"; "&amp;F103&amp;"; "&amp;G103&amp;"; "&amp;H103&amp;"; before "&amp;TEXT(J103,"yyyy-mm-dd")&amp;IF(I103="RECENT","; from "&amp;TEXT(L103,"yyyy-mm-dd"),""))</x:f>
      </x:c>
    </x:row>
    <x:row r="104" ht="21" customHeight="1">
      <x:c r="A104" s="2" t="n">
        <x:v>9</x:v>
      </x:c>
      <x:c r="B104" s="2" t="str">
        <x:f>IF('Input_Meci'!A14="","",'Input_Meci'!A14)</x:f>
      </x:c>
      <x:c r="C104" s="2" t="str">
        <x:v>H</x:v>
      </x:c>
      <x:c r="D104" s="2" t="str">
        <x:v>CURRENT</x:v>
      </x:c>
      <x:c r="E104" s="2" t="str">
        <x:f>IF(B104="","",'Input_Meci'!B14)</x:f>
      </x:c>
      <x:c r="F104" s="2" t="str">
        <x:f>IF(B104="","",IF('Input_Meci'!C14="","",'Input_Meci'!C14))</x:f>
      </x:c>
      <x:c r="G104" s="2" t="str">
        <x:f>IF(B104="","",'Input_Meci'!D14)</x:f>
      </x:c>
      <x:c r="H104" s="2" t="str">
        <x:v>ANY</x:v>
      </x:c>
      <x:c r="I104" s="2" t="str">
        <x:v>RECENT</x:v>
      </x:c>
      <x:c r="J104" s="9" t="n">
        <x:f>IF(AND(B104&lt;&gt;"",ISNUMBER('Input_Meci'!G14)),INT('Input_Meci'!G14),0)</x:f>
        <x:v>0</x:v>
      </x:c>
      <x:c r="K104" s="2" t="n">
        <x:f>IF(OR(B104="",F104=""),0,IF(H104="HOME",COUNTIFS('Istoric_Nativ'!$B$6:$B$405,E104,'Istoric_Nativ'!$C$6:$C$405,F104,'Istoric_Nativ'!$E$6:$E$405,G104,'Istoric_Nativ'!$D$6:$D$405,"&lt;"&amp;J104,'Istoric_Nativ'!$P$6:$P$405,1),IF(H104="AWAY",COUNTIFS('Istoric_Nativ'!$B$6:$B$405,E104,'Istoric_Nativ'!$C$6:$C$405,F104,'Istoric_Nativ'!$F$6:$F$405,G104,'Istoric_Nativ'!$D$6:$D$405,"&lt;"&amp;J104,'Istoric_Nativ'!$P$6:$P$405,1),COUNTIFS('Istoric_Nativ'!$B$6:$B$405,E104,'Istoric_Nativ'!$C$6:$C$405,F104,'Istoric_Nativ'!$E$6:$E$405,G104,'Istoric_Nativ'!$D$6:$D$405,"&lt;"&amp;J104,'Istoric_Nativ'!$P$6:$P$405,1)+COUNTIFS('Istoric_Nativ'!$B$6:$B$405,E104,'Istoric_Nativ'!$C$6:$C$405,F104,'Istoric_Nativ'!$F$6:$F$405,G104,'Istoric_Nativ'!$D$6:$D$405,"&lt;"&amp;J104,'Istoric_Nativ'!$P$6:$P$405,1))))</x:f>
        <x:v>0</x:v>
      </x:c>
      <x:c r="L104" s="17" t="n">
        <x:f>IF(AND(B104&lt;&gt;"",I104="RECENT",K104&gt;0),LARGE(_xlfn._xlws.FILTER('Istoric_Nativ'!$D$6:$D$405,('Istoric_Nativ'!$B$6:$B$405=E104)*('Istoric_Nativ'!$C$6:$C$405=F104)*('Istoric_Nativ'!$P$6:$P$405=1)*('Istoric_Nativ'!$D$6:$D$405&lt;J104)*((('Istoric_Nativ'!$E$6:$E$405=G104)+('Istoric_Nativ'!$F$6:$F$405=G104))&gt;0)),MIN('Config_v6'!$B$54,K104)),0)</x:f>
        <x:v>0</x:v>
      </x:c>
      <x:c r="M104" s="2" t="n">
        <x:f>IF(OR(B104="",F104=""),0,IF(H104="HOME",COUNTIFS('Istoric_Nativ'!$B$6:$B$405,E104,'Istoric_Nativ'!$C$6:$C$405,F104,'Istoric_Nativ'!$E$6:$E$405,G104,'Istoric_Nativ'!$D$6:$D$405,"&lt;"&amp;J104,'Istoric_Nativ'!$P$6:$P$405,1,'Istoric_Nativ'!$D$6:$D$405,"&gt;="&amp;L104),IF(H104="AWAY",COUNTIFS('Istoric_Nativ'!$B$6:$B$405,E104,'Istoric_Nativ'!$C$6:$C$405,F104,'Istoric_Nativ'!$F$6:$F$405,G104,'Istoric_Nativ'!$D$6:$D$405,"&lt;"&amp;J104,'Istoric_Nativ'!$P$6:$P$405,1,'Istoric_Nativ'!$D$6:$D$405,"&gt;="&amp;L104),COUNTIFS('Istoric_Nativ'!$B$6:$B$405,E104,'Istoric_Nativ'!$C$6:$C$405,F104,'Istoric_Nativ'!$E$6:$E$405,G104,'Istoric_Nativ'!$D$6:$D$405,"&lt;"&amp;J104,'Istoric_Nativ'!$P$6:$P$405,1,'Istoric_Nativ'!$D$6:$D$405,"&gt;="&amp;L104)+COUNTIFS('Istoric_Nativ'!$B$6:$B$405,E104,'Istoric_Nativ'!$C$6:$C$405,F104,'Istoric_Nativ'!$F$6:$F$405,G104,'Istoric_Nativ'!$D$6:$D$405,"&lt;"&amp;J104,'Istoric_Nativ'!$P$6:$P$405,1,'Istoric_Nativ'!$D$6:$D$405,"&gt;="&amp;L104))))</x:f>
        <x:v>0</x:v>
      </x:c>
      <x:c r="N104" s="11" t="str">
        <x:f>IF(M104=0,"",IF(H104="HOME",SUMIFS('Istoric_Nativ'!$G$6:$G$405,'Istoric_Nativ'!$B$6:$B$405,E104,'Istoric_Nativ'!$C$6:$C$405,F104,'Istoric_Nativ'!$E$6:$E$405,G104,'Istoric_Nativ'!$D$6:$D$405,"&lt;"&amp;J104,'Istoric_Nativ'!$P$6:$P$405,1,'Istoric_Nativ'!$D$6:$D$405,"&gt;="&amp;L104),IF(H104="AWAY",SUMIFS('Istoric_Nativ'!$H$6:$H$405,'Istoric_Nativ'!$B$6:$B$405,E104,'Istoric_Nativ'!$C$6:$C$405,F104,'Istoric_Nativ'!$F$6:$F$405,G104,'Istoric_Nativ'!$D$6:$D$405,"&lt;"&amp;J104,'Istoric_Nativ'!$P$6:$P$405,1,'Istoric_Nativ'!$D$6:$D$405,"&gt;="&amp;L104),SUMIFS('Istoric_Nativ'!$G$6:$G$405,'Istoric_Nativ'!$B$6:$B$405,E104,'Istoric_Nativ'!$C$6:$C$405,F104,'Istoric_Nativ'!$E$6:$E$405,G104,'Istoric_Nativ'!$D$6:$D$405,"&lt;"&amp;J104,'Istoric_Nativ'!$P$6:$P$405,1,'Istoric_Nativ'!$D$6:$D$405,"&gt;="&amp;L104)+SUMIFS('Istoric_Nativ'!$H$6:$H$405,'Istoric_Nativ'!$B$6:$B$405,E104,'Istoric_Nativ'!$C$6:$C$405,F104,'Istoric_Nativ'!$F$6:$F$405,G104,'Istoric_Nativ'!$D$6:$D$405,"&lt;"&amp;J104,'Istoric_Nativ'!$P$6:$P$405,1,'Istoric_Nativ'!$D$6:$D$405,"&gt;="&amp;L104)))/M104)</x:f>
      </x:c>
      <x:c r="O104" s="11" t="str">
        <x:f>IF(M104=0,"",IF(H104="HOME",SUMIFS('Istoric_Nativ'!$H$6:$H$405,'Istoric_Nativ'!$B$6:$B$405,E104,'Istoric_Nativ'!$C$6:$C$405,F104,'Istoric_Nativ'!$E$6:$E$405,G104,'Istoric_Nativ'!$D$6:$D$405,"&lt;"&amp;J104,'Istoric_Nativ'!$P$6:$P$405,1,'Istoric_Nativ'!$D$6:$D$405,"&gt;="&amp;L104),IF(H104="AWAY",SUMIFS('Istoric_Nativ'!$G$6:$G$405,'Istoric_Nativ'!$B$6:$B$405,E104,'Istoric_Nativ'!$C$6:$C$405,F104,'Istoric_Nativ'!$F$6:$F$405,G104,'Istoric_Nativ'!$D$6:$D$405,"&lt;"&amp;J104,'Istoric_Nativ'!$P$6:$P$405,1,'Istoric_Nativ'!$D$6:$D$405,"&gt;="&amp;L104),SUMIFS('Istoric_Nativ'!$H$6:$H$405,'Istoric_Nativ'!$B$6:$B$405,E104,'Istoric_Nativ'!$C$6:$C$405,F104,'Istoric_Nativ'!$E$6:$E$405,G104,'Istoric_Nativ'!$D$6:$D$405,"&lt;"&amp;J104,'Istoric_Nativ'!$P$6:$P$405,1,'Istoric_Nativ'!$D$6:$D$405,"&gt;="&amp;L104)+SUMIFS('Istoric_Nativ'!$G$6:$G$405,'Istoric_Nativ'!$B$6:$B$405,E104,'Istoric_Nativ'!$C$6:$C$405,F104,'Istoric_Nativ'!$F$6:$F$405,G104,'Istoric_Nativ'!$D$6:$D$405,"&lt;"&amp;J104,'Istoric_Nativ'!$P$6:$P$405,1,'Istoric_Nativ'!$D$6:$D$405,"&gt;="&amp;L104)))/M104)</x:f>
      </x:c>
      <x:c r="P104" s="2" t="n">
        <x:f>'Config_v6'!$B$9</x:f>
        <x:v>3</x:v>
      </x:c>
      <x:c r="Q104" s="2" t="n">
        <x:f>IF(OR(B104="",F104=""),0,IFERROR(MATCH(E104&amp;"|"&amp;F104,SourceTable[Source_Key],0),0))</x:f>
        <x:v>0</x:v>
      </x:c>
      <x:c r="R104" s="2" t="str">
        <x:f>IF(B104="","",IF(F104="","UNUSED",IF(Q104=0,"NOT CHECKED",IF(COUNTIF(SourceTable[Source_Key],E104&amp;"|"&amp;F104)&lt;&gt;1,"SOURCE CONFLICT",IF(NOT(OR(INDEX(SourceTable[Status],MAX(1,Q104))="IMPORTED",INDEX(SourceTable[Status],MAX(1,Q104))="PARTIAL",INDEX(SourceTable[Status],MAX(1,Q104))="SOURCE CONFLICT")),"ACCESS BLOCKED",IF(OR(INDEX(SourceTable[Coverage],Q104)&lt;&gt;"FULL SEASON EXPORT",INDEX(SourceTable[URL],Q104)="",INDEX(SourceTable[SHA256],Q104)=""),"EVIDENCE INCOMPLETE",IF(AND('Input_Meci'!H14="LIVE",INDEX(SourceTable[Retrieved_UTC],Q104)&gt;'Input_Meci'!G14),"POST CUTOFF","CLOSED")))))))</x:f>
      </x:c>
      <x:c r="S104" s="2" t="n">
        <x:f>IF(OR(B104="",F104=""),0,COUNTIFS('Istoric_Nativ'!$B$6:$B$405,E104,'Istoric_Nativ'!$C$6:$C$405,F104,'Istoric_Nativ'!$E$6:$E$405,G104,'Istoric_Nativ'!$D$6:$D$405,"&lt;"&amp;J104,'Istoric_Nativ'!$O$6:$O$405,"INVALID")+COUNTIFS('Istoric_Nativ'!$B$6:$B$405,E104,'Istoric_Nativ'!$C$6:$C$405,F104,'Istoric_Nativ'!$E$6:$E$405,G104,'Istoric_Nativ'!$O$6:$O$405,"INVALID",'Istoric_Nativ'!$D$6:$D$405,"*")+COUNTIFS('Istoric_Nativ'!$B$6:$B$405,E104,'Istoric_Nativ'!$C$6:$C$405,F104,'Istoric_Nativ'!$E$6:$E$405,G104,'Istoric_Nativ'!$D$6:$D$405,"&lt;"&amp;J104,'Istoric_Nativ'!$O$6:$O$405,"SOURCE CONFLICT")+COUNTIFS('Istoric_Nativ'!$B$6:$B$405,E104,'Istoric_Nativ'!$C$6:$C$405,F104,'Istoric_Nativ'!$F$6:$F$405,G104,'Istoric_Nativ'!$D$6:$D$405,"&lt;"&amp;J104,'Istoric_Nativ'!$O$6:$O$405,"INVALID")+COUNTIFS('Istoric_Nativ'!$B$6:$B$405,E104,'Istoric_Nativ'!$C$6:$C$405,F104,'Istoric_Nativ'!$F$6:$F$405,G104,'Istoric_Nativ'!$O$6:$O$405,"INVALID",'Istoric_Nativ'!$D$6:$D$405,"*")+COUNTIFS('Istoric_Nativ'!$B$6:$B$405,E104,'Istoric_Nativ'!$C$6:$C$405,F104,'Istoric_Nativ'!$F$6:$F$405,G104,'Istoric_Nativ'!$D$6:$D$405,"&lt;"&amp;J104,'Istoric_Nativ'!$O$6:$O$405,"SOURCE CONFLICT"))</x:f>
        <x:v>0</x:v>
      </x:c>
      <x:c r="T104" s="2" t="str">
        <x:f>IF(B104="","",IF(R104&lt;&gt;"CLOSED",R104,IF(S104&gt;0,"NATIVE INPUT ISSUE",IF(M104=0,"NO HISTORY",IF(M104&lt;P104,"SMALL SAMPLE","DERIVED")))))</x:f>
      </x:c>
      <x:c r="U104" s="2" t="str">
        <x:f>IF(B104="","","NativeTable; "&amp;E104&amp;"; "&amp;F104&amp;"; "&amp;G104&amp;"; "&amp;H104&amp;"; before "&amp;TEXT(J104,"yyyy-mm-dd")&amp;IF(I104="RECENT","; from "&amp;TEXT(L104,"yyyy-mm-dd"),""))</x:f>
      </x:c>
    </x:row>
    <x:row r="105" ht="21" customHeight="1">
      <x:c r="A105" s="2" t="n">
        <x:v>9</x:v>
      </x:c>
      <x:c r="B105" s="2" t="str">
        <x:f>IF('Input_Meci'!A14="","",'Input_Meci'!A14)</x:f>
      </x:c>
      <x:c r="C105" s="2" t="str">
        <x:v>A</x:v>
      </x:c>
      <x:c r="D105" s="2" t="str">
        <x:v>CURRENT</x:v>
      </x:c>
      <x:c r="E105" s="2" t="str">
        <x:f>IF(B105="","",'Input_Meci'!B14)</x:f>
      </x:c>
      <x:c r="F105" s="2" t="str">
        <x:f>IF(B105="","",IF('Input_Meci'!C14="","",'Input_Meci'!C14))</x:f>
      </x:c>
      <x:c r="G105" s="2" t="str">
        <x:f>IF(B105="","",'Input_Meci'!E14)</x:f>
      </x:c>
      <x:c r="H105" s="2" t="str">
        <x:v>ANY</x:v>
      </x:c>
      <x:c r="I105" s="2" t="str">
        <x:v>SEASON</x:v>
      </x:c>
      <x:c r="J105" s="9" t="n">
        <x:f>IF(AND(B105&lt;&gt;"",ISNUMBER('Input_Meci'!G14)),INT('Input_Meci'!G14),0)</x:f>
        <x:v>0</x:v>
      </x:c>
      <x:c r="K105" s="2" t="n">
        <x:f>IF(OR(B105="",F105=""),0,IF(H105="HOME",COUNTIFS('Istoric_Nativ'!$B$6:$B$405,E105,'Istoric_Nativ'!$C$6:$C$405,F105,'Istoric_Nativ'!$E$6:$E$405,G105,'Istoric_Nativ'!$D$6:$D$405,"&lt;"&amp;J105,'Istoric_Nativ'!$P$6:$P$405,1),IF(H105="AWAY",COUNTIFS('Istoric_Nativ'!$B$6:$B$405,E105,'Istoric_Nativ'!$C$6:$C$405,F105,'Istoric_Nativ'!$F$6:$F$405,G105,'Istoric_Nativ'!$D$6:$D$405,"&lt;"&amp;J105,'Istoric_Nativ'!$P$6:$P$405,1),COUNTIFS('Istoric_Nativ'!$B$6:$B$405,E105,'Istoric_Nativ'!$C$6:$C$405,F105,'Istoric_Nativ'!$E$6:$E$405,G105,'Istoric_Nativ'!$D$6:$D$405,"&lt;"&amp;J105,'Istoric_Nativ'!$P$6:$P$405,1)+COUNTIFS('Istoric_Nativ'!$B$6:$B$405,E105,'Istoric_Nativ'!$C$6:$C$405,F105,'Istoric_Nativ'!$F$6:$F$405,G105,'Istoric_Nativ'!$D$6:$D$405,"&lt;"&amp;J105,'Istoric_Nativ'!$P$6:$P$405,1))))</x:f>
        <x:v>0</x:v>
      </x:c>
      <x:c r="L105" s="17" t="n">
        <x:f>IF(AND(B105&lt;&gt;"",I105="RECENT",K105&gt;0),LARGE(_xlfn._xlws.FILTER('Istoric_Nativ'!$D$6:$D$405,('Istoric_Nativ'!$B$6:$B$405=E105)*('Istoric_Nativ'!$C$6:$C$405=F105)*('Istoric_Nativ'!$P$6:$P$405=1)*('Istoric_Nativ'!$D$6:$D$405&lt;J105)*((('Istoric_Nativ'!$E$6:$E$405=G105)+('Istoric_Nativ'!$F$6:$F$405=G105))&gt;0)),MIN('Config_v6'!$B$54,K105)),0)</x:f>
        <x:v>0</x:v>
      </x:c>
      <x:c r="M105" s="2" t="n">
        <x:f>IF(OR(B105="",F105=""),0,IF(H105="HOME",COUNTIFS('Istoric_Nativ'!$B$6:$B$405,E105,'Istoric_Nativ'!$C$6:$C$405,F105,'Istoric_Nativ'!$E$6:$E$405,G105,'Istoric_Nativ'!$D$6:$D$405,"&lt;"&amp;J105,'Istoric_Nativ'!$P$6:$P$405,1,'Istoric_Nativ'!$D$6:$D$405,"&gt;="&amp;L105),IF(H105="AWAY",COUNTIFS('Istoric_Nativ'!$B$6:$B$405,E105,'Istoric_Nativ'!$C$6:$C$405,F105,'Istoric_Nativ'!$F$6:$F$405,G105,'Istoric_Nativ'!$D$6:$D$405,"&lt;"&amp;J105,'Istoric_Nativ'!$P$6:$P$405,1,'Istoric_Nativ'!$D$6:$D$405,"&gt;="&amp;L105),COUNTIFS('Istoric_Nativ'!$B$6:$B$405,E105,'Istoric_Nativ'!$C$6:$C$405,F105,'Istoric_Nativ'!$E$6:$E$405,G105,'Istoric_Nativ'!$D$6:$D$405,"&lt;"&amp;J105,'Istoric_Nativ'!$P$6:$P$405,1,'Istoric_Nativ'!$D$6:$D$405,"&gt;="&amp;L105)+COUNTIFS('Istoric_Nativ'!$B$6:$B$405,E105,'Istoric_Nativ'!$C$6:$C$405,F105,'Istoric_Nativ'!$F$6:$F$405,G105,'Istoric_Nativ'!$D$6:$D$405,"&lt;"&amp;J105,'Istoric_Nativ'!$P$6:$P$405,1,'Istoric_Nativ'!$D$6:$D$405,"&gt;="&amp;L105))))</x:f>
        <x:v>0</x:v>
      </x:c>
      <x:c r="N105" s="11" t="str">
        <x:f>IF(M105=0,"",IF(H105="HOME",SUMIFS('Istoric_Nativ'!$G$6:$G$405,'Istoric_Nativ'!$B$6:$B$405,E105,'Istoric_Nativ'!$C$6:$C$405,F105,'Istoric_Nativ'!$E$6:$E$405,G105,'Istoric_Nativ'!$D$6:$D$405,"&lt;"&amp;J105,'Istoric_Nativ'!$P$6:$P$405,1,'Istoric_Nativ'!$D$6:$D$405,"&gt;="&amp;L105),IF(H105="AWAY",SUMIFS('Istoric_Nativ'!$H$6:$H$405,'Istoric_Nativ'!$B$6:$B$405,E105,'Istoric_Nativ'!$C$6:$C$405,F105,'Istoric_Nativ'!$F$6:$F$405,G105,'Istoric_Nativ'!$D$6:$D$405,"&lt;"&amp;J105,'Istoric_Nativ'!$P$6:$P$405,1,'Istoric_Nativ'!$D$6:$D$405,"&gt;="&amp;L105),SUMIFS('Istoric_Nativ'!$G$6:$G$405,'Istoric_Nativ'!$B$6:$B$405,E105,'Istoric_Nativ'!$C$6:$C$405,F105,'Istoric_Nativ'!$E$6:$E$405,G105,'Istoric_Nativ'!$D$6:$D$405,"&lt;"&amp;J105,'Istoric_Nativ'!$P$6:$P$405,1,'Istoric_Nativ'!$D$6:$D$405,"&gt;="&amp;L105)+SUMIFS('Istoric_Nativ'!$H$6:$H$405,'Istoric_Nativ'!$B$6:$B$405,E105,'Istoric_Nativ'!$C$6:$C$405,F105,'Istoric_Nativ'!$F$6:$F$405,G105,'Istoric_Nativ'!$D$6:$D$405,"&lt;"&amp;J105,'Istoric_Nativ'!$P$6:$P$405,1,'Istoric_Nativ'!$D$6:$D$405,"&gt;="&amp;L105)))/M105)</x:f>
      </x:c>
      <x:c r="O105" s="11" t="str">
        <x:f>IF(M105=0,"",IF(H105="HOME",SUMIFS('Istoric_Nativ'!$H$6:$H$405,'Istoric_Nativ'!$B$6:$B$405,E105,'Istoric_Nativ'!$C$6:$C$405,F105,'Istoric_Nativ'!$E$6:$E$405,G105,'Istoric_Nativ'!$D$6:$D$405,"&lt;"&amp;J105,'Istoric_Nativ'!$P$6:$P$405,1,'Istoric_Nativ'!$D$6:$D$405,"&gt;="&amp;L105),IF(H105="AWAY",SUMIFS('Istoric_Nativ'!$G$6:$G$405,'Istoric_Nativ'!$B$6:$B$405,E105,'Istoric_Nativ'!$C$6:$C$405,F105,'Istoric_Nativ'!$F$6:$F$405,G105,'Istoric_Nativ'!$D$6:$D$405,"&lt;"&amp;J105,'Istoric_Nativ'!$P$6:$P$405,1,'Istoric_Nativ'!$D$6:$D$405,"&gt;="&amp;L105),SUMIFS('Istoric_Nativ'!$H$6:$H$405,'Istoric_Nativ'!$B$6:$B$405,E105,'Istoric_Nativ'!$C$6:$C$405,F105,'Istoric_Nativ'!$E$6:$E$405,G105,'Istoric_Nativ'!$D$6:$D$405,"&lt;"&amp;J105,'Istoric_Nativ'!$P$6:$P$405,1,'Istoric_Nativ'!$D$6:$D$405,"&gt;="&amp;L105)+SUMIFS('Istoric_Nativ'!$G$6:$G$405,'Istoric_Nativ'!$B$6:$B$405,E105,'Istoric_Nativ'!$C$6:$C$405,F105,'Istoric_Nativ'!$F$6:$F$405,G105,'Istoric_Nativ'!$D$6:$D$405,"&lt;"&amp;J105,'Istoric_Nativ'!$P$6:$P$405,1,'Istoric_Nativ'!$D$6:$D$405,"&gt;="&amp;L105)))/M105)</x:f>
      </x:c>
      <x:c r="P105" s="2" t="n">
        <x:f>'Config_v6'!$B$7</x:f>
        <x:v>10</x:v>
      </x:c>
      <x:c r="Q105" s="2" t="n">
        <x:f>IF(OR(B105="",F105=""),0,IFERROR(MATCH(E105&amp;"|"&amp;F105,SourceTable[Source_Key],0),0))</x:f>
        <x:v>0</x:v>
      </x:c>
      <x:c r="R105" s="2" t="str">
        <x:f>IF(B105="","",IF(F105="","UNUSED",IF(Q105=0,"NOT CHECKED",IF(COUNTIF(SourceTable[Source_Key],E105&amp;"|"&amp;F105)&lt;&gt;1,"SOURCE CONFLICT",IF(NOT(OR(INDEX(SourceTable[Status],MAX(1,Q105))="IMPORTED",INDEX(SourceTable[Status],MAX(1,Q105))="PARTIAL",INDEX(SourceTable[Status],MAX(1,Q105))="SOURCE CONFLICT")),"ACCESS BLOCKED",IF(OR(INDEX(SourceTable[Coverage],Q105)&lt;&gt;"FULL SEASON EXPORT",INDEX(SourceTable[URL],Q105)="",INDEX(SourceTable[SHA256],Q105)=""),"EVIDENCE INCOMPLETE",IF(AND('Input_Meci'!H14="LIVE",INDEX(SourceTable[Retrieved_UTC],Q105)&gt;'Input_Meci'!G14),"POST CUTOFF","CLOSED")))))))</x:f>
      </x:c>
      <x:c r="S105" s="2" t="n">
        <x:f>IF(OR(B105="",F105=""),0,COUNTIFS('Istoric_Nativ'!$B$6:$B$405,E105,'Istoric_Nativ'!$C$6:$C$405,F105,'Istoric_Nativ'!$E$6:$E$405,G105,'Istoric_Nativ'!$D$6:$D$405,"&lt;"&amp;J105,'Istoric_Nativ'!$O$6:$O$405,"INVALID")+COUNTIFS('Istoric_Nativ'!$B$6:$B$405,E105,'Istoric_Nativ'!$C$6:$C$405,F105,'Istoric_Nativ'!$E$6:$E$405,G105,'Istoric_Nativ'!$O$6:$O$405,"INVALID",'Istoric_Nativ'!$D$6:$D$405,"*")+COUNTIFS('Istoric_Nativ'!$B$6:$B$405,E105,'Istoric_Nativ'!$C$6:$C$405,F105,'Istoric_Nativ'!$E$6:$E$405,G105,'Istoric_Nativ'!$D$6:$D$405,"&lt;"&amp;J105,'Istoric_Nativ'!$O$6:$O$405,"SOURCE CONFLICT")+COUNTIFS('Istoric_Nativ'!$B$6:$B$405,E105,'Istoric_Nativ'!$C$6:$C$405,F105,'Istoric_Nativ'!$F$6:$F$405,G105,'Istoric_Nativ'!$D$6:$D$405,"&lt;"&amp;J105,'Istoric_Nativ'!$O$6:$O$405,"INVALID")+COUNTIFS('Istoric_Nativ'!$B$6:$B$405,E105,'Istoric_Nativ'!$C$6:$C$405,F105,'Istoric_Nativ'!$F$6:$F$405,G105,'Istoric_Nativ'!$O$6:$O$405,"INVALID",'Istoric_Nativ'!$D$6:$D$405,"*")+COUNTIFS('Istoric_Nativ'!$B$6:$B$405,E105,'Istoric_Nativ'!$C$6:$C$405,F105,'Istoric_Nativ'!$F$6:$F$405,G105,'Istoric_Nativ'!$D$6:$D$405,"&lt;"&amp;J105,'Istoric_Nativ'!$O$6:$O$405,"SOURCE CONFLICT"))</x:f>
        <x:v>0</x:v>
      </x:c>
      <x:c r="T105" s="2" t="str">
        <x:f>IF(B105="","",IF(R105&lt;&gt;"CLOSED",R105,IF(S105&gt;0,"NATIVE INPUT ISSUE",IF(M105=0,"NO HISTORY",IF(M105&lt;P105,"SMALL SAMPLE","DERIVED")))))</x:f>
      </x:c>
      <x:c r="U105" s="2" t="str">
        <x:f>IF(B105="","","NativeTable; "&amp;E105&amp;"; "&amp;F105&amp;"; "&amp;G105&amp;"; "&amp;H105&amp;"; before "&amp;TEXT(J105,"yyyy-mm-dd")&amp;IF(I105="RECENT","; from "&amp;TEXT(L105,"yyyy-mm-dd"),""))</x:f>
      </x:c>
    </x:row>
    <x:row r="106" ht="21" customHeight="1">
      <x:c r="A106" s="2" t="n">
        <x:v>9</x:v>
      </x:c>
      <x:c r="B106" s="2" t="str">
        <x:f>IF('Input_Meci'!A14="","",'Input_Meci'!A14)</x:f>
      </x:c>
      <x:c r="C106" s="2" t="str">
        <x:v>A</x:v>
      </x:c>
      <x:c r="D106" s="2" t="str">
        <x:v>CURRENT</x:v>
      </x:c>
      <x:c r="E106" s="2" t="str">
        <x:f>IF(B106="","",'Input_Meci'!B14)</x:f>
      </x:c>
      <x:c r="F106" s="2" t="str">
        <x:f>IF(B106="","",IF('Input_Meci'!C14="","",'Input_Meci'!C14))</x:f>
      </x:c>
      <x:c r="G106" s="2" t="str">
        <x:f>IF(B106="","",'Input_Meci'!E14)</x:f>
      </x:c>
      <x:c r="H106" s="2" t="str">
        <x:v>AWAY</x:v>
      </x:c>
      <x:c r="I106" s="2" t="str">
        <x:v>HA</x:v>
      </x:c>
      <x:c r="J106" s="9" t="n">
        <x:f>IF(AND(B106&lt;&gt;"",ISNUMBER('Input_Meci'!G14)),INT('Input_Meci'!G14),0)</x:f>
        <x:v>0</x:v>
      </x:c>
      <x:c r="K106" s="2" t="n">
        <x:f>IF(OR(B106="",F106=""),0,IF(H106="HOME",COUNTIFS('Istoric_Nativ'!$B$6:$B$405,E106,'Istoric_Nativ'!$C$6:$C$405,F106,'Istoric_Nativ'!$E$6:$E$405,G106,'Istoric_Nativ'!$D$6:$D$405,"&lt;"&amp;J106,'Istoric_Nativ'!$P$6:$P$405,1),IF(H106="AWAY",COUNTIFS('Istoric_Nativ'!$B$6:$B$405,E106,'Istoric_Nativ'!$C$6:$C$405,F106,'Istoric_Nativ'!$F$6:$F$405,G106,'Istoric_Nativ'!$D$6:$D$405,"&lt;"&amp;J106,'Istoric_Nativ'!$P$6:$P$405,1),COUNTIFS('Istoric_Nativ'!$B$6:$B$405,E106,'Istoric_Nativ'!$C$6:$C$405,F106,'Istoric_Nativ'!$E$6:$E$405,G106,'Istoric_Nativ'!$D$6:$D$405,"&lt;"&amp;J106,'Istoric_Nativ'!$P$6:$P$405,1)+COUNTIFS('Istoric_Nativ'!$B$6:$B$405,E106,'Istoric_Nativ'!$C$6:$C$405,F106,'Istoric_Nativ'!$F$6:$F$405,G106,'Istoric_Nativ'!$D$6:$D$405,"&lt;"&amp;J106,'Istoric_Nativ'!$P$6:$P$405,1))))</x:f>
        <x:v>0</x:v>
      </x:c>
      <x:c r="L106" s="17" t="n">
        <x:f>IF(AND(B106&lt;&gt;"",I106="RECENT",K106&gt;0),LARGE(_xlfn._xlws.FILTER('Istoric_Nativ'!$D$6:$D$405,('Istoric_Nativ'!$B$6:$B$405=E106)*('Istoric_Nativ'!$C$6:$C$405=F106)*('Istoric_Nativ'!$P$6:$P$405=1)*('Istoric_Nativ'!$D$6:$D$405&lt;J106)*((('Istoric_Nativ'!$E$6:$E$405=G106)+('Istoric_Nativ'!$F$6:$F$405=G106))&gt;0)),MIN('Config_v6'!$B$54,K106)),0)</x:f>
        <x:v>0</x:v>
      </x:c>
      <x:c r="M106" s="2" t="n">
        <x:f>IF(OR(B106="",F106=""),0,IF(H106="HOME",COUNTIFS('Istoric_Nativ'!$B$6:$B$405,E106,'Istoric_Nativ'!$C$6:$C$405,F106,'Istoric_Nativ'!$E$6:$E$405,G106,'Istoric_Nativ'!$D$6:$D$405,"&lt;"&amp;J106,'Istoric_Nativ'!$P$6:$P$405,1,'Istoric_Nativ'!$D$6:$D$405,"&gt;="&amp;L106),IF(H106="AWAY",COUNTIFS('Istoric_Nativ'!$B$6:$B$405,E106,'Istoric_Nativ'!$C$6:$C$405,F106,'Istoric_Nativ'!$F$6:$F$405,G106,'Istoric_Nativ'!$D$6:$D$405,"&lt;"&amp;J106,'Istoric_Nativ'!$P$6:$P$405,1,'Istoric_Nativ'!$D$6:$D$405,"&gt;="&amp;L106),COUNTIFS('Istoric_Nativ'!$B$6:$B$405,E106,'Istoric_Nativ'!$C$6:$C$405,F106,'Istoric_Nativ'!$E$6:$E$405,G106,'Istoric_Nativ'!$D$6:$D$405,"&lt;"&amp;J106,'Istoric_Nativ'!$P$6:$P$405,1,'Istoric_Nativ'!$D$6:$D$405,"&gt;="&amp;L106)+COUNTIFS('Istoric_Nativ'!$B$6:$B$405,E106,'Istoric_Nativ'!$C$6:$C$405,F106,'Istoric_Nativ'!$F$6:$F$405,G106,'Istoric_Nativ'!$D$6:$D$405,"&lt;"&amp;J106,'Istoric_Nativ'!$P$6:$P$405,1,'Istoric_Nativ'!$D$6:$D$405,"&gt;="&amp;L106))))</x:f>
        <x:v>0</x:v>
      </x:c>
      <x:c r="N106" s="11" t="str">
        <x:f>IF(M106=0,"",IF(H106="HOME",SUMIFS('Istoric_Nativ'!$G$6:$G$405,'Istoric_Nativ'!$B$6:$B$405,E106,'Istoric_Nativ'!$C$6:$C$405,F106,'Istoric_Nativ'!$E$6:$E$405,G106,'Istoric_Nativ'!$D$6:$D$405,"&lt;"&amp;J106,'Istoric_Nativ'!$P$6:$P$405,1,'Istoric_Nativ'!$D$6:$D$405,"&gt;="&amp;L106),IF(H106="AWAY",SUMIFS('Istoric_Nativ'!$H$6:$H$405,'Istoric_Nativ'!$B$6:$B$405,E106,'Istoric_Nativ'!$C$6:$C$405,F106,'Istoric_Nativ'!$F$6:$F$405,G106,'Istoric_Nativ'!$D$6:$D$405,"&lt;"&amp;J106,'Istoric_Nativ'!$P$6:$P$405,1,'Istoric_Nativ'!$D$6:$D$405,"&gt;="&amp;L106),SUMIFS('Istoric_Nativ'!$G$6:$G$405,'Istoric_Nativ'!$B$6:$B$405,E106,'Istoric_Nativ'!$C$6:$C$405,F106,'Istoric_Nativ'!$E$6:$E$405,G106,'Istoric_Nativ'!$D$6:$D$405,"&lt;"&amp;J106,'Istoric_Nativ'!$P$6:$P$405,1,'Istoric_Nativ'!$D$6:$D$405,"&gt;="&amp;L106)+SUMIFS('Istoric_Nativ'!$H$6:$H$405,'Istoric_Nativ'!$B$6:$B$405,E106,'Istoric_Nativ'!$C$6:$C$405,F106,'Istoric_Nativ'!$F$6:$F$405,G106,'Istoric_Nativ'!$D$6:$D$405,"&lt;"&amp;J106,'Istoric_Nativ'!$P$6:$P$405,1,'Istoric_Nativ'!$D$6:$D$405,"&gt;="&amp;L106)))/M106)</x:f>
      </x:c>
      <x:c r="O106" s="11" t="str">
        <x:f>IF(M106=0,"",IF(H106="HOME",SUMIFS('Istoric_Nativ'!$H$6:$H$405,'Istoric_Nativ'!$B$6:$B$405,E106,'Istoric_Nativ'!$C$6:$C$405,F106,'Istoric_Nativ'!$E$6:$E$405,G106,'Istoric_Nativ'!$D$6:$D$405,"&lt;"&amp;J106,'Istoric_Nativ'!$P$6:$P$405,1,'Istoric_Nativ'!$D$6:$D$405,"&gt;="&amp;L106),IF(H106="AWAY",SUMIFS('Istoric_Nativ'!$G$6:$G$405,'Istoric_Nativ'!$B$6:$B$405,E106,'Istoric_Nativ'!$C$6:$C$405,F106,'Istoric_Nativ'!$F$6:$F$405,G106,'Istoric_Nativ'!$D$6:$D$405,"&lt;"&amp;J106,'Istoric_Nativ'!$P$6:$P$405,1,'Istoric_Nativ'!$D$6:$D$405,"&gt;="&amp;L106),SUMIFS('Istoric_Nativ'!$H$6:$H$405,'Istoric_Nativ'!$B$6:$B$405,E106,'Istoric_Nativ'!$C$6:$C$405,F106,'Istoric_Nativ'!$E$6:$E$405,G106,'Istoric_Nativ'!$D$6:$D$405,"&lt;"&amp;J106,'Istoric_Nativ'!$P$6:$P$405,1,'Istoric_Nativ'!$D$6:$D$405,"&gt;="&amp;L106)+SUMIFS('Istoric_Nativ'!$G$6:$G$405,'Istoric_Nativ'!$B$6:$B$405,E106,'Istoric_Nativ'!$C$6:$C$405,F106,'Istoric_Nativ'!$F$6:$F$405,G106,'Istoric_Nativ'!$D$6:$D$405,"&lt;"&amp;J106,'Istoric_Nativ'!$P$6:$P$405,1,'Istoric_Nativ'!$D$6:$D$405,"&gt;="&amp;L106)))/M106)</x:f>
      </x:c>
      <x:c r="P106" s="2" t="n">
        <x:f>'Config_v6'!$B$8</x:f>
        <x:v>5</x:v>
      </x:c>
      <x:c r="Q106" s="2" t="n">
        <x:f>IF(OR(B106="",F106=""),0,IFERROR(MATCH(E106&amp;"|"&amp;F106,SourceTable[Source_Key],0),0))</x:f>
        <x:v>0</x:v>
      </x:c>
      <x:c r="R106" s="2" t="str">
        <x:f>IF(B106="","",IF(F106="","UNUSED",IF(Q106=0,"NOT CHECKED",IF(COUNTIF(SourceTable[Source_Key],E106&amp;"|"&amp;F106)&lt;&gt;1,"SOURCE CONFLICT",IF(NOT(OR(INDEX(SourceTable[Status],MAX(1,Q106))="IMPORTED",INDEX(SourceTable[Status],MAX(1,Q106))="PARTIAL",INDEX(SourceTable[Status],MAX(1,Q106))="SOURCE CONFLICT")),"ACCESS BLOCKED",IF(OR(INDEX(SourceTable[Coverage],Q106)&lt;&gt;"FULL SEASON EXPORT",INDEX(SourceTable[URL],Q106)="",INDEX(SourceTable[SHA256],Q106)=""),"EVIDENCE INCOMPLETE",IF(AND('Input_Meci'!H14="LIVE",INDEX(SourceTable[Retrieved_UTC],Q106)&gt;'Input_Meci'!G14),"POST CUTOFF","CLOSED")))))))</x:f>
      </x:c>
      <x:c r="S106" s="2" t="n">
        <x:f>IF(OR(B106="",F106=""),0,COUNTIFS('Istoric_Nativ'!$B$6:$B$405,E106,'Istoric_Nativ'!$C$6:$C$405,F106,'Istoric_Nativ'!$E$6:$E$405,G106,'Istoric_Nativ'!$D$6:$D$405,"&lt;"&amp;J106,'Istoric_Nativ'!$O$6:$O$405,"INVALID")+COUNTIFS('Istoric_Nativ'!$B$6:$B$405,E106,'Istoric_Nativ'!$C$6:$C$405,F106,'Istoric_Nativ'!$E$6:$E$405,G106,'Istoric_Nativ'!$O$6:$O$405,"INVALID",'Istoric_Nativ'!$D$6:$D$405,"*")+COUNTIFS('Istoric_Nativ'!$B$6:$B$405,E106,'Istoric_Nativ'!$C$6:$C$405,F106,'Istoric_Nativ'!$E$6:$E$405,G106,'Istoric_Nativ'!$D$6:$D$405,"&lt;"&amp;J106,'Istoric_Nativ'!$O$6:$O$405,"SOURCE CONFLICT")+COUNTIFS('Istoric_Nativ'!$B$6:$B$405,E106,'Istoric_Nativ'!$C$6:$C$405,F106,'Istoric_Nativ'!$F$6:$F$405,G106,'Istoric_Nativ'!$D$6:$D$405,"&lt;"&amp;J106,'Istoric_Nativ'!$O$6:$O$405,"INVALID")+COUNTIFS('Istoric_Nativ'!$B$6:$B$405,E106,'Istoric_Nativ'!$C$6:$C$405,F106,'Istoric_Nativ'!$F$6:$F$405,G106,'Istoric_Nativ'!$O$6:$O$405,"INVALID",'Istoric_Nativ'!$D$6:$D$405,"*")+COUNTIFS('Istoric_Nativ'!$B$6:$B$405,E106,'Istoric_Nativ'!$C$6:$C$405,F106,'Istoric_Nativ'!$F$6:$F$405,G106,'Istoric_Nativ'!$D$6:$D$405,"&lt;"&amp;J106,'Istoric_Nativ'!$O$6:$O$405,"SOURCE CONFLICT"))</x:f>
        <x:v>0</x:v>
      </x:c>
      <x:c r="T106" s="2" t="str">
        <x:f>IF(B106="","",IF(R106&lt;&gt;"CLOSED",R106,IF(S106&gt;0,"NATIVE INPUT ISSUE",IF(M106=0,"NO HISTORY",IF(M106&lt;P106,"SMALL SAMPLE","DERIVED")))))</x:f>
      </x:c>
      <x:c r="U106" s="2" t="str">
        <x:f>IF(B106="","","NativeTable; "&amp;E106&amp;"; "&amp;F106&amp;"; "&amp;G106&amp;"; "&amp;H106&amp;"; before "&amp;TEXT(J106,"yyyy-mm-dd")&amp;IF(I106="RECENT","; from "&amp;TEXT(L106,"yyyy-mm-dd"),""))</x:f>
      </x:c>
    </x:row>
    <x:row r="107" ht="21" customHeight="1">
      <x:c r="A107" s="2" t="n">
        <x:v>9</x:v>
      </x:c>
      <x:c r="B107" s="2" t="str">
        <x:f>IF('Input_Meci'!A14="","",'Input_Meci'!A14)</x:f>
      </x:c>
      <x:c r="C107" s="2" t="str">
        <x:v>A</x:v>
      </x:c>
      <x:c r="D107" s="2" t="str">
        <x:v>CURRENT</x:v>
      </x:c>
      <x:c r="E107" s="2" t="str">
        <x:f>IF(B107="","",'Input_Meci'!B14)</x:f>
      </x:c>
      <x:c r="F107" s="2" t="str">
        <x:f>IF(B107="","",IF('Input_Meci'!C14="","",'Input_Meci'!C14))</x:f>
      </x:c>
      <x:c r="G107" s="2" t="str">
        <x:f>IF(B107="","",'Input_Meci'!E14)</x:f>
      </x:c>
      <x:c r="H107" s="2" t="str">
        <x:v>ANY</x:v>
      </x:c>
      <x:c r="I107" s="2" t="str">
        <x:v>RECENT</x:v>
      </x:c>
      <x:c r="J107" s="9" t="n">
        <x:f>IF(AND(B107&lt;&gt;"",ISNUMBER('Input_Meci'!G14)),INT('Input_Meci'!G14),0)</x:f>
        <x:v>0</x:v>
      </x:c>
      <x:c r="K107" s="2" t="n">
        <x:f>IF(OR(B107="",F107=""),0,IF(H107="HOME",COUNTIFS('Istoric_Nativ'!$B$6:$B$405,E107,'Istoric_Nativ'!$C$6:$C$405,F107,'Istoric_Nativ'!$E$6:$E$405,G107,'Istoric_Nativ'!$D$6:$D$405,"&lt;"&amp;J107,'Istoric_Nativ'!$P$6:$P$405,1),IF(H107="AWAY",COUNTIFS('Istoric_Nativ'!$B$6:$B$405,E107,'Istoric_Nativ'!$C$6:$C$405,F107,'Istoric_Nativ'!$F$6:$F$405,G107,'Istoric_Nativ'!$D$6:$D$405,"&lt;"&amp;J107,'Istoric_Nativ'!$P$6:$P$405,1),COUNTIFS('Istoric_Nativ'!$B$6:$B$405,E107,'Istoric_Nativ'!$C$6:$C$405,F107,'Istoric_Nativ'!$E$6:$E$405,G107,'Istoric_Nativ'!$D$6:$D$405,"&lt;"&amp;J107,'Istoric_Nativ'!$P$6:$P$405,1)+COUNTIFS('Istoric_Nativ'!$B$6:$B$405,E107,'Istoric_Nativ'!$C$6:$C$405,F107,'Istoric_Nativ'!$F$6:$F$405,G107,'Istoric_Nativ'!$D$6:$D$405,"&lt;"&amp;J107,'Istoric_Nativ'!$P$6:$P$405,1))))</x:f>
        <x:v>0</x:v>
      </x:c>
      <x:c r="L107" s="17" t="n">
        <x:f>IF(AND(B107&lt;&gt;"",I107="RECENT",K107&gt;0),LARGE(_xlfn._xlws.FILTER('Istoric_Nativ'!$D$6:$D$405,('Istoric_Nativ'!$B$6:$B$405=E107)*('Istoric_Nativ'!$C$6:$C$405=F107)*('Istoric_Nativ'!$P$6:$P$405=1)*('Istoric_Nativ'!$D$6:$D$405&lt;J107)*((('Istoric_Nativ'!$E$6:$E$405=G107)+('Istoric_Nativ'!$F$6:$F$405=G107))&gt;0)),MIN('Config_v6'!$B$54,K107)),0)</x:f>
        <x:v>0</x:v>
      </x:c>
      <x:c r="M107" s="2" t="n">
        <x:f>IF(OR(B107="",F107=""),0,IF(H107="HOME",COUNTIFS('Istoric_Nativ'!$B$6:$B$405,E107,'Istoric_Nativ'!$C$6:$C$405,F107,'Istoric_Nativ'!$E$6:$E$405,G107,'Istoric_Nativ'!$D$6:$D$405,"&lt;"&amp;J107,'Istoric_Nativ'!$P$6:$P$405,1,'Istoric_Nativ'!$D$6:$D$405,"&gt;="&amp;L107),IF(H107="AWAY",COUNTIFS('Istoric_Nativ'!$B$6:$B$405,E107,'Istoric_Nativ'!$C$6:$C$405,F107,'Istoric_Nativ'!$F$6:$F$405,G107,'Istoric_Nativ'!$D$6:$D$405,"&lt;"&amp;J107,'Istoric_Nativ'!$P$6:$P$405,1,'Istoric_Nativ'!$D$6:$D$405,"&gt;="&amp;L107),COUNTIFS('Istoric_Nativ'!$B$6:$B$405,E107,'Istoric_Nativ'!$C$6:$C$405,F107,'Istoric_Nativ'!$E$6:$E$405,G107,'Istoric_Nativ'!$D$6:$D$405,"&lt;"&amp;J107,'Istoric_Nativ'!$P$6:$P$405,1,'Istoric_Nativ'!$D$6:$D$405,"&gt;="&amp;L107)+COUNTIFS('Istoric_Nativ'!$B$6:$B$405,E107,'Istoric_Nativ'!$C$6:$C$405,F107,'Istoric_Nativ'!$F$6:$F$405,G107,'Istoric_Nativ'!$D$6:$D$405,"&lt;"&amp;J107,'Istoric_Nativ'!$P$6:$P$405,1,'Istoric_Nativ'!$D$6:$D$405,"&gt;="&amp;L107))))</x:f>
        <x:v>0</x:v>
      </x:c>
      <x:c r="N107" s="11" t="str">
        <x:f>IF(M107=0,"",IF(H107="HOME",SUMIFS('Istoric_Nativ'!$G$6:$G$405,'Istoric_Nativ'!$B$6:$B$405,E107,'Istoric_Nativ'!$C$6:$C$405,F107,'Istoric_Nativ'!$E$6:$E$405,G107,'Istoric_Nativ'!$D$6:$D$405,"&lt;"&amp;J107,'Istoric_Nativ'!$P$6:$P$405,1,'Istoric_Nativ'!$D$6:$D$405,"&gt;="&amp;L107),IF(H107="AWAY",SUMIFS('Istoric_Nativ'!$H$6:$H$405,'Istoric_Nativ'!$B$6:$B$405,E107,'Istoric_Nativ'!$C$6:$C$405,F107,'Istoric_Nativ'!$F$6:$F$405,G107,'Istoric_Nativ'!$D$6:$D$405,"&lt;"&amp;J107,'Istoric_Nativ'!$P$6:$P$405,1,'Istoric_Nativ'!$D$6:$D$405,"&gt;="&amp;L107),SUMIFS('Istoric_Nativ'!$G$6:$G$405,'Istoric_Nativ'!$B$6:$B$405,E107,'Istoric_Nativ'!$C$6:$C$405,F107,'Istoric_Nativ'!$E$6:$E$405,G107,'Istoric_Nativ'!$D$6:$D$405,"&lt;"&amp;J107,'Istoric_Nativ'!$P$6:$P$405,1,'Istoric_Nativ'!$D$6:$D$405,"&gt;="&amp;L107)+SUMIFS('Istoric_Nativ'!$H$6:$H$405,'Istoric_Nativ'!$B$6:$B$405,E107,'Istoric_Nativ'!$C$6:$C$405,F107,'Istoric_Nativ'!$F$6:$F$405,G107,'Istoric_Nativ'!$D$6:$D$405,"&lt;"&amp;J107,'Istoric_Nativ'!$P$6:$P$405,1,'Istoric_Nativ'!$D$6:$D$405,"&gt;="&amp;L107)))/M107)</x:f>
      </x:c>
      <x:c r="O107" s="11" t="str">
        <x:f>IF(M107=0,"",IF(H107="HOME",SUMIFS('Istoric_Nativ'!$H$6:$H$405,'Istoric_Nativ'!$B$6:$B$405,E107,'Istoric_Nativ'!$C$6:$C$405,F107,'Istoric_Nativ'!$E$6:$E$405,G107,'Istoric_Nativ'!$D$6:$D$405,"&lt;"&amp;J107,'Istoric_Nativ'!$P$6:$P$405,1,'Istoric_Nativ'!$D$6:$D$405,"&gt;="&amp;L107),IF(H107="AWAY",SUMIFS('Istoric_Nativ'!$G$6:$G$405,'Istoric_Nativ'!$B$6:$B$405,E107,'Istoric_Nativ'!$C$6:$C$405,F107,'Istoric_Nativ'!$F$6:$F$405,G107,'Istoric_Nativ'!$D$6:$D$405,"&lt;"&amp;J107,'Istoric_Nativ'!$P$6:$P$405,1,'Istoric_Nativ'!$D$6:$D$405,"&gt;="&amp;L107),SUMIFS('Istoric_Nativ'!$H$6:$H$405,'Istoric_Nativ'!$B$6:$B$405,E107,'Istoric_Nativ'!$C$6:$C$405,F107,'Istoric_Nativ'!$E$6:$E$405,G107,'Istoric_Nativ'!$D$6:$D$405,"&lt;"&amp;J107,'Istoric_Nativ'!$P$6:$P$405,1,'Istoric_Nativ'!$D$6:$D$405,"&gt;="&amp;L107)+SUMIFS('Istoric_Nativ'!$G$6:$G$405,'Istoric_Nativ'!$B$6:$B$405,E107,'Istoric_Nativ'!$C$6:$C$405,F107,'Istoric_Nativ'!$F$6:$F$405,G107,'Istoric_Nativ'!$D$6:$D$405,"&lt;"&amp;J107,'Istoric_Nativ'!$P$6:$P$405,1,'Istoric_Nativ'!$D$6:$D$405,"&gt;="&amp;L107)))/M107)</x:f>
      </x:c>
      <x:c r="P107" s="2" t="n">
        <x:f>'Config_v6'!$B$9</x:f>
        <x:v>3</x:v>
      </x:c>
      <x:c r="Q107" s="2" t="n">
        <x:f>IF(OR(B107="",F107=""),0,IFERROR(MATCH(E107&amp;"|"&amp;F107,SourceTable[Source_Key],0),0))</x:f>
        <x:v>0</x:v>
      </x:c>
      <x:c r="R107" s="2" t="str">
        <x:f>IF(B107="","",IF(F107="","UNUSED",IF(Q107=0,"NOT CHECKED",IF(COUNTIF(SourceTable[Source_Key],E107&amp;"|"&amp;F107)&lt;&gt;1,"SOURCE CONFLICT",IF(NOT(OR(INDEX(SourceTable[Status],MAX(1,Q107))="IMPORTED",INDEX(SourceTable[Status],MAX(1,Q107))="PARTIAL",INDEX(SourceTable[Status],MAX(1,Q107))="SOURCE CONFLICT")),"ACCESS BLOCKED",IF(OR(INDEX(SourceTable[Coverage],Q107)&lt;&gt;"FULL SEASON EXPORT",INDEX(SourceTable[URL],Q107)="",INDEX(SourceTable[SHA256],Q107)=""),"EVIDENCE INCOMPLETE",IF(AND('Input_Meci'!H14="LIVE",INDEX(SourceTable[Retrieved_UTC],Q107)&gt;'Input_Meci'!G14),"POST CUTOFF","CLOSED")))))))</x:f>
      </x:c>
      <x:c r="S107" s="2" t="n">
        <x:f>IF(OR(B107="",F107=""),0,COUNTIFS('Istoric_Nativ'!$B$6:$B$405,E107,'Istoric_Nativ'!$C$6:$C$405,F107,'Istoric_Nativ'!$E$6:$E$405,G107,'Istoric_Nativ'!$D$6:$D$405,"&lt;"&amp;J107,'Istoric_Nativ'!$O$6:$O$405,"INVALID")+COUNTIFS('Istoric_Nativ'!$B$6:$B$405,E107,'Istoric_Nativ'!$C$6:$C$405,F107,'Istoric_Nativ'!$E$6:$E$405,G107,'Istoric_Nativ'!$O$6:$O$405,"INVALID",'Istoric_Nativ'!$D$6:$D$405,"*")+COUNTIFS('Istoric_Nativ'!$B$6:$B$405,E107,'Istoric_Nativ'!$C$6:$C$405,F107,'Istoric_Nativ'!$E$6:$E$405,G107,'Istoric_Nativ'!$D$6:$D$405,"&lt;"&amp;J107,'Istoric_Nativ'!$O$6:$O$405,"SOURCE CONFLICT")+COUNTIFS('Istoric_Nativ'!$B$6:$B$405,E107,'Istoric_Nativ'!$C$6:$C$405,F107,'Istoric_Nativ'!$F$6:$F$405,G107,'Istoric_Nativ'!$D$6:$D$405,"&lt;"&amp;J107,'Istoric_Nativ'!$O$6:$O$405,"INVALID")+COUNTIFS('Istoric_Nativ'!$B$6:$B$405,E107,'Istoric_Nativ'!$C$6:$C$405,F107,'Istoric_Nativ'!$F$6:$F$405,G107,'Istoric_Nativ'!$O$6:$O$405,"INVALID",'Istoric_Nativ'!$D$6:$D$405,"*")+COUNTIFS('Istoric_Nativ'!$B$6:$B$405,E107,'Istoric_Nativ'!$C$6:$C$405,F107,'Istoric_Nativ'!$F$6:$F$405,G107,'Istoric_Nativ'!$D$6:$D$405,"&lt;"&amp;J107,'Istoric_Nativ'!$O$6:$O$405,"SOURCE CONFLICT"))</x:f>
        <x:v>0</x:v>
      </x:c>
      <x:c r="T107" s="2" t="str">
        <x:f>IF(B107="","",IF(R107&lt;&gt;"CLOSED",R107,IF(S107&gt;0,"NATIVE INPUT ISSUE",IF(M107=0,"NO HISTORY",IF(M107&lt;P107,"SMALL SAMPLE","DERIVED")))))</x:f>
      </x:c>
      <x:c r="U107" s="2" t="str">
        <x:f>IF(B107="","","NativeTable; "&amp;E107&amp;"; "&amp;F107&amp;"; "&amp;G107&amp;"; "&amp;H107&amp;"; before "&amp;TEXT(J107,"yyyy-mm-dd")&amp;IF(I107="RECENT","; from "&amp;TEXT(L107,"yyyy-mm-dd"),""))</x:f>
      </x:c>
    </x:row>
    <x:row r="108" ht="21" customHeight="1">
      <x:c r="A108" s="2" t="n">
        <x:v>9</x:v>
      </x:c>
      <x:c r="B108" s="2" t="str">
        <x:f>IF('Input_Meci'!A14="","",'Input_Meci'!A14)</x:f>
      </x:c>
      <x:c r="C108" s="2" t="str">
        <x:v>H</x:v>
      </x:c>
      <x:c r="D108" s="2" t="str">
        <x:v>PRIOR</x:v>
      </x:c>
      <x:c r="E108" s="2" t="str">
        <x:f>IF(B108="","",'Input_Meci'!B14)</x:f>
      </x:c>
      <x:c r="F108" s="2" t="str">
        <x:f>IF(B108="","",IF('Input_Meci'!K14="","",'Input_Meci'!K14))</x:f>
      </x:c>
      <x:c r="G108" s="2" t="str">
        <x:f>IF(B108="","",'Input_Meci'!D14)</x:f>
      </x:c>
      <x:c r="H108" s="2" t="str">
        <x:v>ANY</x:v>
      </x:c>
      <x:c r="I108" s="2" t="str">
        <x:v>SEASON</x:v>
      </x:c>
      <x:c r="J108" s="9" t="n">
        <x:f>IF(AND(B108&lt;&gt;"",ISNUMBER('Input_Meci'!G14)),INT('Input_Meci'!G14),0)</x:f>
        <x:v>0</x:v>
      </x:c>
      <x:c r="K108" s="2" t="n">
        <x:f>IF(OR(B108="",F108=""),0,IF(H108="HOME",COUNTIFS('Istoric_Nativ'!$B$6:$B$405,E108,'Istoric_Nativ'!$C$6:$C$405,F108,'Istoric_Nativ'!$E$6:$E$405,G108,'Istoric_Nativ'!$D$6:$D$405,"&lt;"&amp;J108,'Istoric_Nativ'!$P$6:$P$405,1),IF(H108="AWAY",COUNTIFS('Istoric_Nativ'!$B$6:$B$405,E108,'Istoric_Nativ'!$C$6:$C$405,F108,'Istoric_Nativ'!$F$6:$F$405,G108,'Istoric_Nativ'!$D$6:$D$405,"&lt;"&amp;J108,'Istoric_Nativ'!$P$6:$P$405,1),COUNTIFS('Istoric_Nativ'!$B$6:$B$405,E108,'Istoric_Nativ'!$C$6:$C$405,F108,'Istoric_Nativ'!$E$6:$E$405,G108,'Istoric_Nativ'!$D$6:$D$405,"&lt;"&amp;J108,'Istoric_Nativ'!$P$6:$P$405,1)+COUNTIFS('Istoric_Nativ'!$B$6:$B$405,E108,'Istoric_Nativ'!$C$6:$C$405,F108,'Istoric_Nativ'!$F$6:$F$405,G108,'Istoric_Nativ'!$D$6:$D$405,"&lt;"&amp;J108,'Istoric_Nativ'!$P$6:$P$405,1))))</x:f>
        <x:v>0</x:v>
      </x:c>
      <x:c r="L108" s="17" t="n">
        <x:f>IF(AND(B108&lt;&gt;"",I108="RECENT",K108&gt;0),LARGE(_xlfn._xlws.FILTER('Istoric_Nativ'!$D$6:$D$405,('Istoric_Nativ'!$B$6:$B$405=E108)*('Istoric_Nativ'!$C$6:$C$405=F108)*('Istoric_Nativ'!$P$6:$P$405=1)*('Istoric_Nativ'!$D$6:$D$405&lt;J108)*((('Istoric_Nativ'!$E$6:$E$405=G108)+('Istoric_Nativ'!$F$6:$F$405=G108))&gt;0)),MIN('Config_v6'!$B$54,K108)),0)</x:f>
        <x:v>0</x:v>
      </x:c>
      <x:c r="M108" s="2" t="n">
        <x:f>IF(OR(B108="",F108=""),0,IF(H108="HOME",COUNTIFS('Istoric_Nativ'!$B$6:$B$405,E108,'Istoric_Nativ'!$C$6:$C$405,F108,'Istoric_Nativ'!$E$6:$E$405,G108,'Istoric_Nativ'!$D$6:$D$405,"&lt;"&amp;J108,'Istoric_Nativ'!$P$6:$P$405,1,'Istoric_Nativ'!$D$6:$D$405,"&gt;="&amp;L108),IF(H108="AWAY",COUNTIFS('Istoric_Nativ'!$B$6:$B$405,E108,'Istoric_Nativ'!$C$6:$C$405,F108,'Istoric_Nativ'!$F$6:$F$405,G108,'Istoric_Nativ'!$D$6:$D$405,"&lt;"&amp;J108,'Istoric_Nativ'!$P$6:$P$405,1,'Istoric_Nativ'!$D$6:$D$405,"&gt;="&amp;L108),COUNTIFS('Istoric_Nativ'!$B$6:$B$405,E108,'Istoric_Nativ'!$C$6:$C$405,F108,'Istoric_Nativ'!$E$6:$E$405,G108,'Istoric_Nativ'!$D$6:$D$405,"&lt;"&amp;J108,'Istoric_Nativ'!$P$6:$P$405,1,'Istoric_Nativ'!$D$6:$D$405,"&gt;="&amp;L108)+COUNTIFS('Istoric_Nativ'!$B$6:$B$405,E108,'Istoric_Nativ'!$C$6:$C$405,F108,'Istoric_Nativ'!$F$6:$F$405,G108,'Istoric_Nativ'!$D$6:$D$405,"&lt;"&amp;J108,'Istoric_Nativ'!$P$6:$P$405,1,'Istoric_Nativ'!$D$6:$D$405,"&gt;="&amp;L108))))</x:f>
        <x:v>0</x:v>
      </x:c>
      <x:c r="N108" s="11" t="str">
        <x:f>IF(M108=0,"",IF(H108="HOME",SUMIFS('Istoric_Nativ'!$G$6:$G$405,'Istoric_Nativ'!$B$6:$B$405,E108,'Istoric_Nativ'!$C$6:$C$405,F108,'Istoric_Nativ'!$E$6:$E$405,G108,'Istoric_Nativ'!$D$6:$D$405,"&lt;"&amp;J108,'Istoric_Nativ'!$P$6:$P$405,1,'Istoric_Nativ'!$D$6:$D$405,"&gt;="&amp;L108),IF(H108="AWAY",SUMIFS('Istoric_Nativ'!$H$6:$H$405,'Istoric_Nativ'!$B$6:$B$405,E108,'Istoric_Nativ'!$C$6:$C$405,F108,'Istoric_Nativ'!$F$6:$F$405,G108,'Istoric_Nativ'!$D$6:$D$405,"&lt;"&amp;J108,'Istoric_Nativ'!$P$6:$P$405,1,'Istoric_Nativ'!$D$6:$D$405,"&gt;="&amp;L108),SUMIFS('Istoric_Nativ'!$G$6:$G$405,'Istoric_Nativ'!$B$6:$B$405,E108,'Istoric_Nativ'!$C$6:$C$405,F108,'Istoric_Nativ'!$E$6:$E$405,G108,'Istoric_Nativ'!$D$6:$D$405,"&lt;"&amp;J108,'Istoric_Nativ'!$P$6:$P$405,1,'Istoric_Nativ'!$D$6:$D$405,"&gt;="&amp;L108)+SUMIFS('Istoric_Nativ'!$H$6:$H$405,'Istoric_Nativ'!$B$6:$B$405,E108,'Istoric_Nativ'!$C$6:$C$405,F108,'Istoric_Nativ'!$F$6:$F$405,G108,'Istoric_Nativ'!$D$6:$D$405,"&lt;"&amp;J108,'Istoric_Nativ'!$P$6:$P$405,1,'Istoric_Nativ'!$D$6:$D$405,"&gt;="&amp;L108)))/M108)</x:f>
      </x:c>
      <x:c r="O108" s="11" t="str">
        <x:f>IF(M108=0,"",IF(H108="HOME",SUMIFS('Istoric_Nativ'!$H$6:$H$405,'Istoric_Nativ'!$B$6:$B$405,E108,'Istoric_Nativ'!$C$6:$C$405,F108,'Istoric_Nativ'!$E$6:$E$405,G108,'Istoric_Nativ'!$D$6:$D$405,"&lt;"&amp;J108,'Istoric_Nativ'!$P$6:$P$405,1,'Istoric_Nativ'!$D$6:$D$405,"&gt;="&amp;L108),IF(H108="AWAY",SUMIFS('Istoric_Nativ'!$G$6:$G$405,'Istoric_Nativ'!$B$6:$B$405,E108,'Istoric_Nativ'!$C$6:$C$405,F108,'Istoric_Nativ'!$F$6:$F$405,G108,'Istoric_Nativ'!$D$6:$D$405,"&lt;"&amp;J108,'Istoric_Nativ'!$P$6:$P$405,1,'Istoric_Nativ'!$D$6:$D$405,"&gt;="&amp;L108),SUMIFS('Istoric_Nativ'!$H$6:$H$405,'Istoric_Nativ'!$B$6:$B$405,E108,'Istoric_Nativ'!$C$6:$C$405,F108,'Istoric_Nativ'!$E$6:$E$405,G108,'Istoric_Nativ'!$D$6:$D$405,"&lt;"&amp;J108,'Istoric_Nativ'!$P$6:$P$405,1,'Istoric_Nativ'!$D$6:$D$405,"&gt;="&amp;L108)+SUMIFS('Istoric_Nativ'!$G$6:$G$405,'Istoric_Nativ'!$B$6:$B$405,E108,'Istoric_Nativ'!$C$6:$C$405,F108,'Istoric_Nativ'!$F$6:$F$405,G108,'Istoric_Nativ'!$D$6:$D$405,"&lt;"&amp;J108,'Istoric_Nativ'!$P$6:$P$405,1,'Istoric_Nativ'!$D$6:$D$405,"&gt;="&amp;L108)))/M108)</x:f>
      </x:c>
      <x:c r="P108" s="2" t="n">
        <x:f>'Config_v6'!$B$7</x:f>
        <x:v>10</x:v>
      </x:c>
      <x:c r="Q108" s="2" t="n">
        <x:f>IF(OR(B108="",F108=""),0,IFERROR(MATCH(E108&amp;"|"&amp;F108,SourceTable[Source_Key],0),0))</x:f>
        <x:v>0</x:v>
      </x:c>
      <x:c r="R108" s="2" t="str">
        <x:f>IF(B108="","",IF(F108="","UNUSED",IF(Q108=0,"NOT CHECKED",IF(COUNTIF(SourceTable[Source_Key],E108&amp;"|"&amp;F108)&lt;&gt;1,"SOURCE CONFLICT",IF(NOT(OR(INDEX(SourceTable[Status],MAX(1,Q108))="IMPORTED",INDEX(SourceTable[Status],MAX(1,Q108))="PARTIAL",INDEX(SourceTable[Status],MAX(1,Q108))="SOURCE CONFLICT")),"ACCESS BLOCKED",IF(OR(INDEX(SourceTable[Coverage],Q108)&lt;&gt;"FULL SEASON EXPORT",INDEX(SourceTable[URL],Q108)="",INDEX(SourceTable[SHA256],Q108)=""),"EVIDENCE INCOMPLETE",IF(AND('Input_Meci'!H14="LIVE",INDEX(SourceTable[Retrieved_UTC],Q108)&gt;'Input_Meci'!G14),"POST CUTOFF","CLOSED")))))))</x:f>
      </x:c>
      <x:c r="S108" s="2" t="n">
        <x:f>IF(OR(B108="",F108=""),0,COUNTIFS('Istoric_Nativ'!$B$6:$B$405,E108,'Istoric_Nativ'!$C$6:$C$405,F108,'Istoric_Nativ'!$E$6:$E$405,G108,'Istoric_Nativ'!$D$6:$D$405,"&lt;"&amp;J108,'Istoric_Nativ'!$O$6:$O$405,"INVALID")+COUNTIFS('Istoric_Nativ'!$B$6:$B$405,E108,'Istoric_Nativ'!$C$6:$C$405,F108,'Istoric_Nativ'!$E$6:$E$405,G108,'Istoric_Nativ'!$O$6:$O$405,"INVALID",'Istoric_Nativ'!$D$6:$D$405,"*")+COUNTIFS('Istoric_Nativ'!$B$6:$B$405,E108,'Istoric_Nativ'!$C$6:$C$405,F108,'Istoric_Nativ'!$E$6:$E$405,G108,'Istoric_Nativ'!$D$6:$D$405,"&lt;"&amp;J108,'Istoric_Nativ'!$O$6:$O$405,"SOURCE CONFLICT")+COUNTIFS('Istoric_Nativ'!$B$6:$B$405,E108,'Istoric_Nativ'!$C$6:$C$405,F108,'Istoric_Nativ'!$F$6:$F$405,G108,'Istoric_Nativ'!$D$6:$D$405,"&lt;"&amp;J108,'Istoric_Nativ'!$O$6:$O$405,"INVALID")+COUNTIFS('Istoric_Nativ'!$B$6:$B$405,E108,'Istoric_Nativ'!$C$6:$C$405,F108,'Istoric_Nativ'!$F$6:$F$405,G108,'Istoric_Nativ'!$O$6:$O$405,"INVALID",'Istoric_Nativ'!$D$6:$D$405,"*")+COUNTIFS('Istoric_Nativ'!$B$6:$B$405,E108,'Istoric_Nativ'!$C$6:$C$405,F108,'Istoric_Nativ'!$F$6:$F$405,G108,'Istoric_Nativ'!$D$6:$D$405,"&lt;"&amp;J108,'Istoric_Nativ'!$O$6:$O$405,"SOURCE CONFLICT"))</x:f>
        <x:v>0</x:v>
      </x:c>
      <x:c r="T108" s="2" t="str">
        <x:f>IF(B108="","",IF(R108&lt;&gt;"CLOSED",R108,IF(S108&gt;0,"NATIVE INPUT ISSUE",IF(M108=0,"NO HISTORY",IF(M108&lt;P108,"SMALL SAMPLE","DERIVED")))))</x:f>
      </x:c>
      <x:c r="U108" s="2" t="str">
        <x:f>IF(B108="","","NativeTable; "&amp;E108&amp;"; "&amp;F108&amp;"; "&amp;G108&amp;"; "&amp;H108&amp;"; before "&amp;TEXT(J108,"yyyy-mm-dd")&amp;IF(I108="RECENT","; from "&amp;TEXT(L108,"yyyy-mm-dd"),""))</x:f>
      </x:c>
    </x:row>
    <x:row r="109" ht="21" customHeight="1">
      <x:c r="A109" s="2" t="n">
        <x:v>9</x:v>
      </x:c>
      <x:c r="B109" s="2" t="str">
        <x:f>IF('Input_Meci'!A14="","",'Input_Meci'!A14)</x:f>
      </x:c>
      <x:c r="C109" s="2" t="str">
        <x:v>H</x:v>
      </x:c>
      <x:c r="D109" s="2" t="str">
        <x:v>PRIOR</x:v>
      </x:c>
      <x:c r="E109" s="2" t="str">
        <x:f>IF(B109="","",'Input_Meci'!B14)</x:f>
      </x:c>
      <x:c r="F109" s="2" t="str">
        <x:f>IF(B109="","",IF('Input_Meci'!K14="","",'Input_Meci'!K14))</x:f>
      </x:c>
      <x:c r="G109" s="2" t="str">
        <x:f>IF(B109="","",'Input_Meci'!D14)</x:f>
      </x:c>
      <x:c r="H109" s="2" t="str">
        <x:v>HOME</x:v>
      </x:c>
      <x:c r="I109" s="2" t="str">
        <x:v>HA</x:v>
      </x:c>
      <x:c r="J109" s="9" t="n">
        <x:f>IF(AND(B109&lt;&gt;"",ISNUMBER('Input_Meci'!G14)),INT('Input_Meci'!G14),0)</x:f>
        <x:v>0</x:v>
      </x:c>
      <x:c r="K109" s="2" t="n">
        <x:f>IF(OR(B109="",F109=""),0,IF(H109="HOME",COUNTIFS('Istoric_Nativ'!$B$6:$B$405,E109,'Istoric_Nativ'!$C$6:$C$405,F109,'Istoric_Nativ'!$E$6:$E$405,G109,'Istoric_Nativ'!$D$6:$D$405,"&lt;"&amp;J109,'Istoric_Nativ'!$P$6:$P$405,1),IF(H109="AWAY",COUNTIFS('Istoric_Nativ'!$B$6:$B$405,E109,'Istoric_Nativ'!$C$6:$C$405,F109,'Istoric_Nativ'!$F$6:$F$405,G109,'Istoric_Nativ'!$D$6:$D$405,"&lt;"&amp;J109,'Istoric_Nativ'!$P$6:$P$405,1),COUNTIFS('Istoric_Nativ'!$B$6:$B$405,E109,'Istoric_Nativ'!$C$6:$C$405,F109,'Istoric_Nativ'!$E$6:$E$405,G109,'Istoric_Nativ'!$D$6:$D$405,"&lt;"&amp;J109,'Istoric_Nativ'!$P$6:$P$405,1)+COUNTIFS('Istoric_Nativ'!$B$6:$B$405,E109,'Istoric_Nativ'!$C$6:$C$405,F109,'Istoric_Nativ'!$F$6:$F$405,G109,'Istoric_Nativ'!$D$6:$D$405,"&lt;"&amp;J109,'Istoric_Nativ'!$P$6:$P$405,1))))</x:f>
        <x:v>0</x:v>
      </x:c>
      <x:c r="L109" s="17" t="n">
        <x:f>IF(AND(B109&lt;&gt;"",I109="RECENT",K109&gt;0),LARGE(_xlfn._xlws.FILTER('Istoric_Nativ'!$D$6:$D$405,('Istoric_Nativ'!$B$6:$B$405=E109)*('Istoric_Nativ'!$C$6:$C$405=F109)*('Istoric_Nativ'!$P$6:$P$405=1)*('Istoric_Nativ'!$D$6:$D$405&lt;J109)*((('Istoric_Nativ'!$E$6:$E$405=G109)+('Istoric_Nativ'!$F$6:$F$405=G109))&gt;0)),MIN('Config_v6'!$B$54,K109)),0)</x:f>
        <x:v>0</x:v>
      </x:c>
      <x:c r="M109" s="2" t="n">
        <x:f>IF(OR(B109="",F109=""),0,IF(H109="HOME",COUNTIFS('Istoric_Nativ'!$B$6:$B$405,E109,'Istoric_Nativ'!$C$6:$C$405,F109,'Istoric_Nativ'!$E$6:$E$405,G109,'Istoric_Nativ'!$D$6:$D$405,"&lt;"&amp;J109,'Istoric_Nativ'!$P$6:$P$405,1,'Istoric_Nativ'!$D$6:$D$405,"&gt;="&amp;L109),IF(H109="AWAY",COUNTIFS('Istoric_Nativ'!$B$6:$B$405,E109,'Istoric_Nativ'!$C$6:$C$405,F109,'Istoric_Nativ'!$F$6:$F$405,G109,'Istoric_Nativ'!$D$6:$D$405,"&lt;"&amp;J109,'Istoric_Nativ'!$P$6:$P$405,1,'Istoric_Nativ'!$D$6:$D$405,"&gt;="&amp;L109),COUNTIFS('Istoric_Nativ'!$B$6:$B$405,E109,'Istoric_Nativ'!$C$6:$C$405,F109,'Istoric_Nativ'!$E$6:$E$405,G109,'Istoric_Nativ'!$D$6:$D$405,"&lt;"&amp;J109,'Istoric_Nativ'!$P$6:$P$405,1,'Istoric_Nativ'!$D$6:$D$405,"&gt;="&amp;L109)+COUNTIFS('Istoric_Nativ'!$B$6:$B$405,E109,'Istoric_Nativ'!$C$6:$C$405,F109,'Istoric_Nativ'!$F$6:$F$405,G109,'Istoric_Nativ'!$D$6:$D$405,"&lt;"&amp;J109,'Istoric_Nativ'!$P$6:$P$405,1,'Istoric_Nativ'!$D$6:$D$405,"&gt;="&amp;L109))))</x:f>
        <x:v>0</x:v>
      </x:c>
      <x:c r="N109" s="11" t="str">
        <x:f>IF(M109=0,"",IF(H109="HOME",SUMIFS('Istoric_Nativ'!$G$6:$G$405,'Istoric_Nativ'!$B$6:$B$405,E109,'Istoric_Nativ'!$C$6:$C$405,F109,'Istoric_Nativ'!$E$6:$E$405,G109,'Istoric_Nativ'!$D$6:$D$405,"&lt;"&amp;J109,'Istoric_Nativ'!$P$6:$P$405,1,'Istoric_Nativ'!$D$6:$D$405,"&gt;="&amp;L109),IF(H109="AWAY",SUMIFS('Istoric_Nativ'!$H$6:$H$405,'Istoric_Nativ'!$B$6:$B$405,E109,'Istoric_Nativ'!$C$6:$C$405,F109,'Istoric_Nativ'!$F$6:$F$405,G109,'Istoric_Nativ'!$D$6:$D$405,"&lt;"&amp;J109,'Istoric_Nativ'!$P$6:$P$405,1,'Istoric_Nativ'!$D$6:$D$405,"&gt;="&amp;L109),SUMIFS('Istoric_Nativ'!$G$6:$G$405,'Istoric_Nativ'!$B$6:$B$405,E109,'Istoric_Nativ'!$C$6:$C$405,F109,'Istoric_Nativ'!$E$6:$E$405,G109,'Istoric_Nativ'!$D$6:$D$405,"&lt;"&amp;J109,'Istoric_Nativ'!$P$6:$P$405,1,'Istoric_Nativ'!$D$6:$D$405,"&gt;="&amp;L109)+SUMIFS('Istoric_Nativ'!$H$6:$H$405,'Istoric_Nativ'!$B$6:$B$405,E109,'Istoric_Nativ'!$C$6:$C$405,F109,'Istoric_Nativ'!$F$6:$F$405,G109,'Istoric_Nativ'!$D$6:$D$405,"&lt;"&amp;J109,'Istoric_Nativ'!$P$6:$P$405,1,'Istoric_Nativ'!$D$6:$D$405,"&gt;="&amp;L109)))/M109)</x:f>
      </x:c>
      <x:c r="O109" s="11" t="str">
        <x:f>IF(M109=0,"",IF(H109="HOME",SUMIFS('Istoric_Nativ'!$H$6:$H$405,'Istoric_Nativ'!$B$6:$B$405,E109,'Istoric_Nativ'!$C$6:$C$405,F109,'Istoric_Nativ'!$E$6:$E$405,G109,'Istoric_Nativ'!$D$6:$D$405,"&lt;"&amp;J109,'Istoric_Nativ'!$P$6:$P$405,1,'Istoric_Nativ'!$D$6:$D$405,"&gt;="&amp;L109),IF(H109="AWAY",SUMIFS('Istoric_Nativ'!$G$6:$G$405,'Istoric_Nativ'!$B$6:$B$405,E109,'Istoric_Nativ'!$C$6:$C$405,F109,'Istoric_Nativ'!$F$6:$F$405,G109,'Istoric_Nativ'!$D$6:$D$405,"&lt;"&amp;J109,'Istoric_Nativ'!$P$6:$P$405,1,'Istoric_Nativ'!$D$6:$D$405,"&gt;="&amp;L109),SUMIFS('Istoric_Nativ'!$H$6:$H$405,'Istoric_Nativ'!$B$6:$B$405,E109,'Istoric_Nativ'!$C$6:$C$405,F109,'Istoric_Nativ'!$E$6:$E$405,G109,'Istoric_Nativ'!$D$6:$D$405,"&lt;"&amp;J109,'Istoric_Nativ'!$P$6:$P$405,1,'Istoric_Nativ'!$D$6:$D$405,"&gt;="&amp;L109)+SUMIFS('Istoric_Nativ'!$G$6:$G$405,'Istoric_Nativ'!$B$6:$B$405,E109,'Istoric_Nativ'!$C$6:$C$405,F109,'Istoric_Nativ'!$F$6:$F$405,G109,'Istoric_Nativ'!$D$6:$D$405,"&lt;"&amp;J109,'Istoric_Nativ'!$P$6:$P$405,1,'Istoric_Nativ'!$D$6:$D$405,"&gt;="&amp;L109)))/M109)</x:f>
      </x:c>
      <x:c r="P109" s="2" t="n">
        <x:f>'Config_v6'!$B$8</x:f>
        <x:v>5</x:v>
      </x:c>
      <x:c r="Q109" s="2" t="n">
        <x:f>IF(OR(B109="",F109=""),0,IFERROR(MATCH(E109&amp;"|"&amp;F109,SourceTable[Source_Key],0),0))</x:f>
        <x:v>0</x:v>
      </x:c>
      <x:c r="R109" s="2" t="str">
        <x:f>IF(B109="","",IF(F109="","UNUSED",IF(Q109=0,"NOT CHECKED",IF(COUNTIF(SourceTable[Source_Key],E109&amp;"|"&amp;F109)&lt;&gt;1,"SOURCE CONFLICT",IF(NOT(OR(INDEX(SourceTable[Status],MAX(1,Q109))="IMPORTED",INDEX(SourceTable[Status],MAX(1,Q109))="PARTIAL",INDEX(SourceTable[Status],MAX(1,Q109))="SOURCE CONFLICT")),"ACCESS BLOCKED",IF(OR(INDEX(SourceTable[Coverage],Q109)&lt;&gt;"FULL SEASON EXPORT",INDEX(SourceTable[URL],Q109)="",INDEX(SourceTable[SHA256],Q109)=""),"EVIDENCE INCOMPLETE",IF(AND('Input_Meci'!H14="LIVE",INDEX(SourceTable[Retrieved_UTC],Q109)&gt;'Input_Meci'!G14),"POST CUTOFF","CLOSED")))))))</x:f>
      </x:c>
      <x:c r="S109" s="2" t="n">
        <x:f>IF(OR(B109="",F109=""),0,COUNTIFS('Istoric_Nativ'!$B$6:$B$405,E109,'Istoric_Nativ'!$C$6:$C$405,F109,'Istoric_Nativ'!$E$6:$E$405,G109,'Istoric_Nativ'!$D$6:$D$405,"&lt;"&amp;J109,'Istoric_Nativ'!$O$6:$O$405,"INVALID")+COUNTIFS('Istoric_Nativ'!$B$6:$B$405,E109,'Istoric_Nativ'!$C$6:$C$405,F109,'Istoric_Nativ'!$E$6:$E$405,G109,'Istoric_Nativ'!$O$6:$O$405,"INVALID",'Istoric_Nativ'!$D$6:$D$405,"*")+COUNTIFS('Istoric_Nativ'!$B$6:$B$405,E109,'Istoric_Nativ'!$C$6:$C$405,F109,'Istoric_Nativ'!$E$6:$E$405,G109,'Istoric_Nativ'!$D$6:$D$405,"&lt;"&amp;J109,'Istoric_Nativ'!$O$6:$O$405,"SOURCE CONFLICT")+COUNTIFS('Istoric_Nativ'!$B$6:$B$405,E109,'Istoric_Nativ'!$C$6:$C$405,F109,'Istoric_Nativ'!$F$6:$F$405,G109,'Istoric_Nativ'!$D$6:$D$405,"&lt;"&amp;J109,'Istoric_Nativ'!$O$6:$O$405,"INVALID")+COUNTIFS('Istoric_Nativ'!$B$6:$B$405,E109,'Istoric_Nativ'!$C$6:$C$405,F109,'Istoric_Nativ'!$F$6:$F$405,G109,'Istoric_Nativ'!$O$6:$O$405,"INVALID",'Istoric_Nativ'!$D$6:$D$405,"*")+COUNTIFS('Istoric_Nativ'!$B$6:$B$405,E109,'Istoric_Nativ'!$C$6:$C$405,F109,'Istoric_Nativ'!$F$6:$F$405,G109,'Istoric_Nativ'!$D$6:$D$405,"&lt;"&amp;J109,'Istoric_Nativ'!$O$6:$O$405,"SOURCE CONFLICT"))</x:f>
        <x:v>0</x:v>
      </x:c>
      <x:c r="T109" s="2" t="str">
        <x:f>IF(B109="","",IF(R109&lt;&gt;"CLOSED",R109,IF(S109&gt;0,"NATIVE INPUT ISSUE",IF(M109=0,"NO HISTORY",IF(M109&lt;P109,"SMALL SAMPLE","DERIVED")))))</x:f>
      </x:c>
      <x:c r="U109" s="2" t="str">
        <x:f>IF(B109="","","NativeTable; "&amp;E109&amp;"; "&amp;F109&amp;"; "&amp;G109&amp;"; "&amp;H109&amp;"; before "&amp;TEXT(J109,"yyyy-mm-dd")&amp;IF(I109="RECENT","; from "&amp;TEXT(L109,"yyyy-mm-dd"),""))</x:f>
      </x:c>
    </x:row>
    <x:row r="110" ht="21" customHeight="1">
      <x:c r="A110" s="2" t="n">
        <x:v>9</x:v>
      </x:c>
      <x:c r="B110" s="2" t="str">
        <x:f>IF('Input_Meci'!A14="","",'Input_Meci'!A14)</x:f>
      </x:c>
      <x:c r="C110" s="2" t="str">
        <x:v>H</x:v>
      </x:c>
      <x:c r="D110" s="2" t="str">
        <x:v>PRIOR</x:v>
      </x:c>
      <x:c r="E110" s="2" t="str">
        <x:f>IF(B110="","",'Input_Meci'!B14)</x:f>
      </x:c>
      <x:c r="F110" s="2" t="str">
        <x:f>IF(B110="","",IF('Input_Meci'!K14="","",'Input_Meci'!K14))</x:f>
      </x:c>
      <x:c r="G110" s="2" t="str">
        <x:f>IF(B110="","",'Input_Meci'!D14)</x:f>
      </x:c>
      <x:c r="H110" s="2" t="str">
        <x:v>ANY</x:v>
      </x:c>
      <x:c r="I110" s="2" t="str">
        <x:v>RECENT</x:v>
      </x:c>
      <x:c r="J110" s="9" t="n">
        <x:f>IF(AND(B110&lt;&gt;"",ISNUMBER('Input_Meci'!G14)),INT('Input_Meci'!G14),0)</x:f>
        <x:v>0</x:v>
      </x:c>
      <x:c r="K110" s="2" t="n">
        <x:f>IF(OR(B110="",F110=""),0,IF(H110="HOME",COUNTIFS('Istoric_Nativ'!$B$6:$B$405,E110,'Istoric_Nativ'!$C$6:$C$405,F110,'Istoric_Nativ'!$E$6:$E$405,G110,'Istoric_Nativ'!$D$6:$D$405,"&lt;"&amp;J110,'Istoric_Nativ'!$P$6:$P$405,1),IF(H110="AWAY",COUNTIFS('Istoric_Nativ'!$B$6:$B$405,E110,'Istoric_Nativ'!$C$6:$C$405,F110,'Istoric_Nativ'!$F$6:$F$405,G110,'Istoric_Nativ'!$D$6:$D$405,"&lt;"&amp;J110,'Istoric_Nativ'!$P$6:$P$405,1),COUNTIFS('Istoric_Nativ'!$B$6:$B$405,E110,'Istoric_Nativ'!$C$6:$C$405,F110,'Istoric_Nativ'!$E$6:$E$405,G110,'Istoric_Nativ'!$D$6:$D$405,"&lt;"&amp;J110,'Istoric_Nativ'!$P$6:$P$405,1)+COUNTIFS('Istoric_Nativ'!$B$6:$B$405,E110,'Istoric_Nativ'!$C$6:$C$405,F110,'Istoric_Nativ'!$F$6:$F$405,G110,'Istoric_Nativ'!$D$6:$D$405,"&lt;"&amp;J110,'Istoric_Nativ'!$P$6:$P$405,1))))</x:f>
        <x:v>0</x:v>
      </x:c>
      <x:c r="L110" s="17" t="n">
        <x:f>IF(AND(B110&lt;&gt;"",I110="RECENT",K110&gt;0),LARGE(_xlfn._xlws.FILTER('Istoric_Nativ'!$D$6:$D$405,('Istoric_Nativ'!$B$6:$B$405=E110)*('Istoric_Nativ'!$C$6:$C$405=F110)*('Istoric_Nativ'!$P$6:$P$405=1)*('Istoric_Nativ'!$D$6:$D$405&lt;J110)*((('Istoric_Nativ'!$E$6:$E$405=G110)+('Istoric_Nativ'!$F$6:$F$405=G110))&gt;0)),MIN('Config_v6'!$B$54,K110)),0)</x:f>
        <x:v>0</x:v>
      </x:c>
      <x:c r="M110" s="2" t="n">
        <x:f>IF(OR(B110="",F110=""),0,IF(H110="HOME",COUNTIFS('Istoric_Nativ'!$B$6:$B$405,E110,'Istoric_Nativ'!$C$6:$C$405,F110,'Istoric_Nativ'!$E$6:$E$405,G110,'Istoric_Nativ'!$D$6:$D$405,"&lt;"&amp;J110,'Istoric_Nativ'!$P$6:$P$405,1,'Istoric_Nativ'!$D$6:$D$405,"&gt;="&amp;L110),IF(H110="AWAY",COUNTIFS('Istoric_Nativ'!$B$6:$B$405,E110,'Istoric_Nativ'!$C$6:$C$405,F110,'Istoric_Nativ'!$F$6:$F$405,G110,'Istoric_Nativ'!$D$6:$D$405,"&lt;"&amp;J110,'Istoric_Nativ'!$P$6:$P$405,1,'Istoric_Nativ'!$D$6:$D$405,"&gt;="&amp;L110),COUNTIFS('Istoric_Nativ'!$B$6:$B$405,E110,'Istoric_Nativ'!$C$6:$C$405,F110,'Istoric_Nativ'!$E$6:$E$405,G110,'Istoric_Nativ'!$D$6:$D$405,"&lt;"&amp;J110,'Istoric_Nativ'!$P$6:$P$405,1,'Istoric_Nativ'!$D$6:$D$405,"&gt;="&amp;L110)+COUNTIFS('Istoric_Nativ'!$B$6:$B$405,E110,'Istoric_Nativ'!$C$6:$C$405,F110,'Istoric_Nativ'!$F$6:$F$405,G110,'Istoric_Nativ'!$D$6:$D$405,"&lt;"&amp;J110,'Istoric_Nativ'!$P$6:$P$405,1,'Istoric_Nativ'!$D$6:$D$405,"&gt;="&amp;L110))))</x:f>
        <x:v>0</x:v>
      </x:c>
      <x:c r="N110" s="11" t="str">
        <x:f>IF(M110=0,"",IF(H110="HOME",SUMIFS('Istoric_Nativ'!$G$6:$G$405,'Istoric_Nativ'!$B$6:$B$405,E110,'Istoric_Nativ'!$C$6:$C$405,F110,'Istoric_Nativ'!$E$6:$E$405,G110,'Istoric_Nativ'!$D$6:$D$405,"&lt;"&amp;J110,'Istoric_Nativ'!$P$6:$P$405,1,'Istoric_Nativ'!$D$6:$D$405,"&gt;="&amp;L110),IF(H110="AWAY",SUMIFS('Istoric_Nativ'!$H$6:$H$405,'Istoric_Nativ'!$B$6:$B$405,E110,'Istoric_Nativ'!$C$6:$C$405,F110,'Istoric_Nativ'!$F$6:$F$405,G110,'Istoric_Nativ'!$D$6:$D$405,"&lt;"&amp;J110,'Istoric_Nativ'!$P$6:$P$405,1,'Istoric_Nativ'!$D$6:$D$405,"&gt;="&amp;L110),SUMIFS('Istoric_Nativ'!$G$6:$G$405,'Istoric_Nativ'!$B$6:$B$405,E110,'Istoric_Nativ'!$C$6:$C$405,F110,'Istoric_Nativ'!$E$6:$E$405,G110,'Istoric_Nativ'!$D$6:$D$405,"&lt;"&amp;J110,'Istoric_Nativ'!$P$6:$P$405,1,'Istoric_Nativ'!$D$6:$D$405,"&gt;="&amp;L110)+SUMIFS('Istoric_Nativ'!$H$6:$H$405,'Istoric_Nativ'!$B$6:$B$405,E110,'Istoric_Nativ'!$C$6:$C$405,F110,'Istoric_Nativ'!$F$6:$F$405,G110,'Istoric_Nativ'!$D$6:$D$405,"&lt;"&amp;J110,'Istoric_Nativ'!$P$6:$P$405,1,'Istoric_Nativ'!$D$6:$D$405,"&gt;="&amp;L110)))/M110)</x:f>
      </x:c>
      <x:c r="O110" s="11" t="str">
        <x:f>IF(M110=0,"",IF(H110="HOME",SUMIFS('Istoric_Nativ'!$H$6:$H$405,'Istoric_Nativ'!$B$6:$B$405,E110,'Istoric_Nativ'!$C$6:$C$405,F110,'Istoric_Nativ'!$E$6:$E$405,G110,'Istoric_Nativ'!$D$6:$D$405,"&lt;"&amp;J110,'Istoric_Nativ'!$P$6:$P$405,1,'Istoric_Nativ'!$D$6:$D$405,"&gt;="&amp;L110),IF(H110="AWAY",SUMIFS('Istoric_Nativ'!$G$6:$G$405,'Istoric_Nativ'!$B$6:$B$405,E110,'Istoric_Nativ'!$C$6:$C$405,F110,'Istoric_Nativ'!$F$6:$F$405,G110,'Istoric_Nativ'!$D$6:$D$405,"&lt;"&amp;J110,'Istoric_Nativ'!$P$6:$P$405,1,'Istoric_Nativ'!$D$6:$D$405,"&gt;="&amp;L110),SUMIFS('Istoric_Nativ'!$H$6:$H$405,'Istoric_Nativ'!$B$6:$B$405,E110,'Istoric_Nativ'!$C$6:$C$405,F110,'Istoric_Nativ'!$E$6:$E$405,G110,'Istoric_Nativ'!$D$6:$D$405,"&lt;"&amp;J110,'Istoric_Nativ'!$P$6:$P$405,1,'Istoric_Nativ'!$D$6:$D$405,"&gt;="&amp;L110)+SUMIFS('Istoric_Nativ'!$G$6:$G$405,'Istoric_Nativ'!$B$6:$B$405,E110,'Istoric_Nativ'!$C$6:$C$405,F110,'Istoric_Nativ'!$F$6:$F$405,G110,'Istoric_Nativ'!$D$6:$D$405,"&lt;"&amp;J110,'Istoric_Nativ'!$P$6:$P$405,1,'Istoric_Nativ'!$D$6:$D$405,"&gt;="&amp;L110)))/M110)</x:f>
      </x:c>
      <x:c r="P110" s="2" t="n">
        <x:f>'Config_v6'!$B$9</x:f>
        <x:v>3</x:v>
      </x:c>
      <x:c r="Q110" s="2" t="n">
        <x:f>IF(OR(B110="",F110=""),0,IFERROR(MATCH(E110&amp;"|"&amp;F110,SourceTable[Source_Key],0),0))</x:f>
        <x:v>0</x:v>
      </x:c>
      <x:c r="R110" s="2" t="str">
        <x:f>IF(B110="","",IF(F110="","UNUSED",IF(Q110=0,"NOT CHECKED",IF(COUNTIF(SourceTable[Source_Key],E110&amp;"|"&amp;F110)&lt;&gt;1,"SOURCE CONFLICT",IF(NOT(OR(INDEX(SourceTable[Status],MAX(1,Q110))="IMPORTED",INDEX(SourceTable[Status],MAX(1,Q110))="PARTIAL",INDEX(SourceTable[Status],MAX(1,Q110))="SOURCE CONFLICT")),"ACCESS BLOCKED",IF(OR(INDEX(SourceTable[Coverage],Q110)&lt;&gt;"FULL SEASON EXPORT",INDEX(SourceTable[URL],Q110)="",INDEX(SourceTable[SHA256],Q110)=""),"EVIDENCE INCOMPLETE",IF(AND('Input_Meci'!H14="LIVE",INDEX(SourceTable[Retrieved_UTC],Q110)&gt;'Input_Meci'!G14),"POST CUTOFF","CLOSED")))))))</x:f>
      </x:c>
      <x:c r="S110" s="2" t="n">
        <x:f>IF(OR(B110="",F110=""),0,COUNTIFS('Istoric_Nativ'!$B$6:$B$405,E110,'Istoric_Nativ'!$C$6:$C$405,F110,'Istoric_Nativ'!$E$6:$E$405,G110,'Istoric_Nativ'!$D$6:$D$405,"&lt;"&amp;J110,'Istoric_Nativ'!$O$6:$O$405,"INVALID")+COUNTIFS('Istoric_Nativ'!$B$6:$B$405,E110,'Istoric_Nativ'!$C$6:$C$405,F110,'Istoric_Nativ'!$E$6:$E$405,G110,'Istoric_Nativ'!$O$6:$O$405,"INVALID",'Istoric_Nativ'!$D$6:$D$405,"*")+COUNTIFS('Istoric_Nativ'!$B$6:$B$405,E110,'Istoric_Nativ'!$C$6:$C$405,F110,'Istoric_Nativ'!$E$6:$E$405,G110,'Istoric_Nativ'!$D$6:$D$405,"&lt;"&amp;J110,'Istoric_Nativ'!$O$6:$O$405,"SOURCE CONFLICT")+COUNTIFS('Istoric_Nativ'!$B$6:$B$405,E110,'Istoric_Nativ'!$C$6:$C$405,F110,'Istoric_Nativ'!$F$6:$F$405,G110,'Istoric_Nativ'!$D$6:$D$405,"&lt;"&amp;J110,'Istoric_Nativ'!$O$6:$O$405,"INVALID")+COUNTIFS('Istoric_Nativ'!$B$6:$B$405,E110,'Istoric_Nativ'!$C$6:$C$405,F110,'Istoric_Nativ'!$F$6:$F$405,G110,'Istoric_Nativ'!$O$6:$O$405,"INVALID",'Istoric_Nativ'!$D$6:$D$405,"*")+COUNTIFS('Istoric_Nativ'!$B$6:$B$405,E110,'Istoric_Nativ'!$C$6:$C$405,F110,'Istoric_Nativ'!$F$6:$F$405,G110,'Istoric_Nativ'!$D$6:$D$405,"&lt;"&amp;J110,'Istoric_Nativ'!$O$6:$O$405,"SOURCE CONFLICT"))</x:f>
        <x:v>0</x:v>
      </x:c>
      <x:c r="T110" s="2" t="str">
        <x:f>IF(B110="","",IF(R110&lt;&gt;"CLOSED",R110,IF(S110&gt;0,"NATIVE INPUT ISSUE",IF(M110=0,"NO HISTORY",IF(M110&lt;P110,"SMALL SAMPLE","DERIVED")))))</x:f>
      </x:c>
      <x:c r="U110" s="2" t="str">
        <x:f>IF(B110="","","NativeTable; "&amp;E110&amp;"; "&amp;F110&amp;"; "&amp;G110&amp;"; "&amp;H110&amp;"; before "&amp;TEXT(J110,"yyyy-mm-dd")&amp;IF(I110="RECENT","; from "&amp;TEXT(L110,"yyyy-mm-dd"),""))</x:f>
      </x:c>
    </x:row>
    <x:row r="111" ht="21" customHeight="1">
      <x:c r="A111" s="2" t="n">
        <x:v>9</x:v>
      </x:c>
      <x:c r="B111" s="2" t="str">
        <x:f>IF('Input_Meci'!A14="","",'Input_Meci'!A14)</x:f>
      </x:c>
      <x:c r="C111" s="2" t="str">
        <x:v>A</x:v>
      </x:c>
      <x:c r="D111" s="2" t="str">
        <x:v>PRIOR</x:v>
      </x:c>
      <x:c r="E111" s="2" t="str">
        <x:f>IF(B111="","",'Input_Meci'!B14)</x:f>
      </x:c>
      <x:c r="F111" s="2" t="str">
        <x:f>IF(B111="","",IF('Input_Meci'!K14="","",'Input_Meci'!K14))</x:f>
      </x:c>
      <x:c r="G111" s="2" t="str">
        <x:f>IF(B111="","",'Input_Meci'!E14)</x:f>
      </x:c>
      <x:c r="H111" s="2" t="str">
        <x:v>ANY</x:v>
      </x:c>
      <x:c r="I111" s="2" t="str">
        <x:v>SEASON</x:v>
      </x:c>
      <x:c r="J111" s="9" t="n">
        <x:f>IF(AND(B111&lt;&gt;"",ISNUMBER('Input_Meci'!G14)),INT('Input_Meci'!G14),0)</x:f>
        <x:v>0</x:v>
      </x:c>
      <x:c r="K111" s="2" t="n">
        <x:f>IF(OR(B111="",F111=""),0,IF(H111="HOME",COUNTIFS('Istoric_Nativ'!$B$6:$B$405,E111,'Istoric_Nativ'!$C$6:$C$405,F111,'Istoric_Nativ'!$E$6:$E$405,G111,'Istoric_Nativ'!$D$6:$D$405,"&lt;"&amp;J111,'Istoric_Nativ'!$P$6:$P$405,1),IF(H111="AWAY",COUNTIFS('Istoric_Nativ'!$B$6:$B$405,E111,'Istoric_Nativ'!$C$6:$C$405,F111,'Istoric_Nativ'!$F$6:$F$405,G111,'Istoric_Nativ'!$D$6:$D$405,"&lt;"&amp;J111,'Istoric_Nativ'!$P$6:$P$405,1),COUNTIFS('Istoric_Nativ'!$B$6:$B$405,E111,'Istoric_Nativ'!$C$6:$C$405,F111,'Istoric_Nativ'!$E$6:$E$405,G111,'Istoric_Nativ'!$D$6:$D$405,"&lt;"&amp;J111,'Istoric_Nativ'!$P$6:$P$405,1)+COUNTIFS('Istoric_Nativ'!$B$6:$B$405,E111,'Istoric_Nativ'!$C$6:$C$405,F111,'Istoric_Nativ'!$F$6:$F$405,G111,'Istoric_Nativ'!$D$6:$D$405,"&lt;"&amp;J111,'Istoric_Nativ'!$P$6:$P$405,1))))</x:f>
        <x:v>0</x:v>
      </x:c>
      <x:c r="L111" s="17" t="n">
        <x:f>IF(AND(B111&lt;&gt;"",I111="RECENT",K111&gt;0),LARGE(_xlfn._xlws.FILTER('Istoric_Nativ'!$D$6:$D$405,('Istoric_Nativ'!$B$6:$B$405=E111)*('Istoric_Nativ'!$C$6:$C$405=F111)*('Istoric_Nativ'!$P$6:$P$405=1)*('Istoric_Nativ'!$D$6:$D$405&lt;J111)*((('Istoric_Nativ'!$E$6:$E$405=G111)+('Istoric_Nativ'!$F$6:$F$405=G111))&gt;0)),MIN('Config_v6'!$B$54,K111)),0)</x:f>
        <x:v>0</x:v>
      </x:c>
      <x:c r="M111" s="2" t="n">
        <x:f>IF(OR(B111="",F111=""),0,IF(H111="HOME",COUNTIFS('Istoric_Nativ'!$B$6:$B$405,E111,'Istoric_Nativ'!$C$6:$C$405,F111,'Istoric_Nativ'!$E$6:$E$405,G111,'Istoric_Nativ'!$D$6:$D$405,"&lt;"&amp;J111,'Istoric_Nativ'!$P$6:$P$405,1,'Istoric_Nativ'!$D$6:$D$405,"&gt;="&amp;L111),IF(H111="AWAY",COUNTIFS('Istoric_Nativ'!$B$6:$B$405,E111,'Istoric_Nativ'!$C$6:$C$405,F111,'Istoric_Nativ'!$F$6:$F$405,G111,'Istoric_Nativ'!$D$6:$D$405,"&lt;"&amp;J111,'Istoric_Nativ'!$P$6:$P$405,1,'Istoric_Nativ'!$D$6:$D$405,"&gt;="&amp;L111),COUNTIFS('Istoric_Nativ'!$B$6:$B$405,E111,'Istoric_Nativ'!$C$6:$C$405,F111,'Istoric_Nativ'!$E$6:$E$405,G111,'Istoric_Nativ'!$D$6:$D$405,"&lt;"&amp;J111,'Istoric_Nativ'!$P$6:$P$405,1,'Istoric_Nativ'!$D$6:$D$405,"&gt;="&amp;L111)+COUNTIFS('Istoric_Nativ'!$B$6:$B$405,E111,'Istoric_Nativ'!$C$6:$C$405,F111,'Istoric_Nativ'!$F$6:$F$405,G111,'Istoric_Nativ'!$D$6:$D$405,"&lt;"&amp;J111,'Istoric_Nativ'!$P$6:$P$405,1,'Istoric_Nativ'!$D$6:$D$405,"&gt;="&amp;L111))))</x:f>
        <x:v>0</x:v>
      </x:c>
      <x:c r="N111" s="11" t="str">
        <x:f>IF(M111=0,"",IF(H111="HOME",SUMIFS('Istoric_Nativ'!$G$6:$G$405,'Istoric_Nativ'!$B$6:$B$405,E111,'Istoric_Nativ'!$C$6:$C$405,F111,'Istoric_Nativ'!$E$6:$E$405,G111,'Istoric_Nativ'!$D$6:$D$405,"&lt;"&amp;J111,'Istoric_Nativ'!$P$6:$P$405,1,'Istoric_Nativ'!$D$6:$D$405,"&gt;="&amp;L111),IF(H111="AWAY",SUMIFS('Istoric_Nativ'!$H$6:$H$405,'Istoric_Nativ'!$B$6:$B$405,E111,'Istoric_Nativ'!$C$6:$C$405,F111,'Istoric_Nativ'!$F$6:$F$405,G111,'Istoric_Nativ'!$D$6:$D$405,"&lt;"&amp;J111,'Istoric_Nativ'!$P$6:$P$405,1,'Istoric_Nativ'!$D$6:$D$405,"&gt;="&amp;L111),SUMIFS('Istoric_Nativ'!$G$6:$G$405,'Istoric_Nativ'!$B$6:$B$405,E111,'Istoric_Nativ'!$C$6:$C$405,F111,'Istoric_Nativ'!$E$6:$E$405,G111,'Istoric_Nativ'!$D$6:$D$405,"&lt;"&amp;J111,'Istoric_Nativ'!$P$6:$P$405,1,'Istoric_Nativ'!$D$6:$D$405,"&gt;="&amp;L111)+SUMIFS('Istoric_Nativ'!$H$6:$H$405,'Istoric_Nativ'!$B$6:$B$405,E111,'Istoric_Nativ'!$C$6:$C$405,F111,'Istoric_Nativ'!$F$6:$F$405,G111,'Istoric_Nativ'!$D$6:$D$405,"&lt;"&amp;J111,'Istoric_Nativ'!$P$6:$P$405,1,'Istoric_Nativ'!$D$6:$D$405,"&gt;="&amp;L111)))/M111)</x:f>
      </x:c>
      <x:c r="O111" s="11" t="str">
        <x:f>IF(M111=0,"",IF(H111="HOME",SUMIFS('Istoric_Nativ'!$H$6:$H$405,'Istoric_Nativ'!$B$6:$B$405,E111,'Istoric_Nativ'!$C$6:$C$405,F111,'Istoric_Nativ'!$E$6:$E$405,G111,'Istoric_Nativ'!$D$6:$D$405,"&lt;"&amp;J111,'Istoric_Nativ'!$P$6:$P$405,1,'Istoric_Nativ'!$D$6:$D$405,"&gt;="&amp;L111),IF(H111="AWAY",SUMIFS('Istoric_Nativ'!$G$6:$G$405,'Istoric_Nativ'!$B$6:$B$405,E111,'Istoric_Nativ'!$C$6:$C$405,F111,'Istoric_Nativ'!$F$6:$F$405,G111,'Istoric_Nativ'!$D$6:$D$405,"&lt;"&amp;J111,'Istoric_Nativ'!$P$6:$P$405,1,'Istoric_Nativ'!$D$6:$D$405,"&gt;="&amp;L111),SUMIFS('Istoric_Nativ'!$H$6:$H$405,'Istoric_Nativ'!$B$6:$B$405,E111,'Istoric_Nativ'!$C$6:$C$405,F111,'Istoric_Nativ'!$E$6:$E$405,G111,'Istoric_Nativ'!$D$6:$D$405,"&lt;"&amp;J111,'Istoric_Nativ'!$P$6:$P$405,1,'Istoric_Nativ'!$D$6:$D$405,"&gt;="&amp;L111)+SUMIFS('Istoric_Nativ'!$G$6:$G$405,'Istoric_Nativ'!$B$6:$B$405,E111,'Istoric_Nativ'!$C$6:$C$405,F111,'Istoric_Nativ'!$F$6:$F$405,G111,'Istoric_Nativ'!$D$6:$D$405,"&lt;"&amp;J111,'Istoric_Nativ'!$P$6:$P$405,1,'Istoric_Nativ'!$D$6:$D$405,"&gt;="&amp;L111)))/M111)</x:f>
      </x:c>
      <x:c r="P111" s="2" t="n">
        <x:f>'Config_v6'!$B$7</x:f>
        <x:v>10</x:v>
      </x:c>
      <x:c r="Q111" s="2" t="n">
        <x:f>IF(OR(B111="",F111=""),0,IFERROR(MATCH(E111&amp;"|"&amp;F111,SourceTable[Source_Key],0),0))</x:f>
        <x:v>0</x:v>
      </x:c>
      <x:c r="R111" s="2" t="str">
        <x:f>IF(B111="","",IF(F111="","UNUSED",IF(Q111=0,"NOT CHECKED",IF(COUNTIF(SourceTable[Source_Key],E111&amp;"|"&amp;F111)&lt;&gt;1,"SOURCE CONFLICT",IF(NOT(OR(INDEX(SourceTable[Status],MAX(1,Q111))="IMPORTED",INDEX(SourceTable[Status],MAX(1,Q111))="PARTIAL",INDEX(SourceTable[Status],MAX(1,Q111))="SOURCE CONFLICT")),"ACCESS BLOCKED",IF(OR(INDEX(SourceTable[Coverage],Q111)&lt;&gt;"FULL SEASON EXPORT",INDEX(SourceTable[URL],Q111)="",INDEX(SourceTable[SHA256],Q111)=""),"EVIDENCE INCOMPLETE",IF(AND('Input_Meci'!H14="LIVE",INDEX(SourceTable[Retrieved_UTC],Q111)&gt;'Input_Meci'!G14),"POST CUTOFF","CLOSED")))))))</x:f>
      </x:c>
      <x:c r="S111" s="2" t="n">
        <x:f>IF(OR(B111="",F111=""),0,COUNTIFS('Istoric_Nativ'!$B$6:$B$405,E111,'Istoric_Nativ'!$C$6:$C$405,F111,'Istoric_Nativ'!$E$6:$E$405,G111,'Istoric_Nativ'!$D$6:$D$405,"&lt;"&amp;J111,'Istoric_Nativ'!$O$6:$O$405,"INVALID")+COUNTIFS('Istoric_Nativ'!$B$6:$B$405,E111,'Istoric_Nativ'!$C$6:$C$405,F111,'Istoric_Nativ'!$E$6:$E$405,G111,'Istoric_Nativ'!$O$6:$O$405,"INVALID",'Istoric_Nativ'!$D$6:$D$405,"*")+COUNTIFS('Istoric_Nativ'!$B$6:$B$405,E111,'Istoric_Nativ'!$C$6:$C$405,F111,'Istoric_Nativ'!$E$6:$E$405,G111,'Istoric_Nativ'!$D$6:$D$405,"&lt;"&amp;J111,'Istoric_Nativ'!$O$6:$O$405,"SOURCE CONFLICT")+COUNTIFS('Istoric_Nativ'!$B$6:$B$405,E111,'Istoric_Nativ'!$C$6:$C$405,F111,'Istoric_Nativ'!$F$6:$F$405,G111,'Istoric_Nativ'!$D$6:$D$405,"&lt;"&amp;J111,'Istoric_Nativ'!$O$6:$O$405,"INVALID")+COUNTIFS('Istoric_Nativ'!$B$6:$B$405,E111,'Istoric_Nativ'!$C$6:$C$405,F111,'Istoric_Nativ'!$F$6:$F$405,G111,'Istoric_Nativ'!$O$6:$O$405,"INVALID",'Istoric_Nativ'!$D$6:$D$405,"*")+COUNTIFS('Istoric_Nativ'!$B$6:$B$405,E111,'Istoric_Nativ'!$C$6:$C$405,F111,'Istoric_Nativ'!$F$6:$F$405,G111,'Istoric_Nativ'!$D$6:$D$405,"&lt;"&amp;J111,'Istoric_Nativ'!$O$6:$O$405,"SOURCE CONFLICT"))</x:f>
        <x:v>0</x:v>
      </x:c>
      <x:c r="T111" s="2" t="str">
        <x:f>IF(B111="","",IF(R111&lt;&gt;"CLOSED",R111,IF(S111&gt;0,"NATIVE INPUT ISSUE",IF(M111=0,"NO HISTORY",IF(M111&lt;P111,"SMALL SAMPLE","DERIVED")))))</x:f>
      </x:c>
      <x:c r="U111" s="2" t="str">
        <x:f>IF(B111="","","NativeTable; "&amp;E111&amp;"; "&amp;F111&amp;"; "&amp;G111&amp;"; "&amp;H111&amp;"; before "&amp;TEXT(J111,"yyyy-mm-dd")&amp;IF(I111="RECENT","; from "&amp;TEXT(L111,"yyyy-mm-dd"),""))</x:f>
      </x:c>
    </x:row>
    <x:row r="112" ht="21" customHeight="1">
      <x:c r="A112" s="2" t="n">
        <x:v>9</x:v>
      </x:c>
      <x:c r="B112" s="2" t="str">
        <x:f>IF('Input_Meci'!A14="","",'Input_Meci'!A14)</x:f>
      </x:c>
      <x:c r="C112" s="2" t="str">
        <x:v>A</x:v>
      </x:c>
      <x:c r="D112" s="2" t="str">
        <x:v>PRIOR</x:v>
      </x:c>
      <x:c r="E112" s="2" t="str">
        <x:f>IF(B112="","",'Input_Meci'!B14)</x:f>
      </x:c>
      <x:c r="F112" s="2" t="str">
        <x:f>IF(B112="","",IF('Input_Meci'!K14="","",'Input_Meci'!K14))</x:f>
      </x:c>
      <x:c r="G112" s="2" t="str">
        <x:f>IF(B112="","",'Input_Meci'!E14)</x:f>
      </x:c>
      <x:c r="H112" s="2" t="str">
        <x:v>AWAY</x:v>
      </x:c>
      <x:c r="I112" s="2" t="str">
        <x:v>HA</x:v>
      </x:c>
      <x:c r="J112" s="9" t="n">
        <x:f>IF(AND(B112&lt;&gt;"",ISNUMBER('Input_Meci'!G14)),INT('Input_Meci'!G14),0)</x:f>
        <x:v>0</x:v>
      </x:c>
      <x:c r="K112" s="2" t="n">
        <x:f>IF(OR(B112="",F112=""),0,IF(H112="HOME",COUNTIFS('Istoric_Nativ'!$B$6:$B$405,E112,'Istoric_Nativ'!$C$6:$C$405,F112,'Istoric_Nativ'!$E$6:$E$405,G112,'Istoric_Nativ'!$D$6:$D$405,"&lt;"&amp;J112,'Istoric_Nativ'!$P$6:$P$405,1),IF(H112="AWAY",COUNTIFS('Istoric_Nativ'!$B$6:$B$405,E112,'Istoric_Nativ'!$C$6:$C$405,F112,'Istoric_Nativ'!$F$6:$F$405,G112,'Istoric_Nativ'!$D$6:$D$405,"&lt;"&amp;J112,'Istoric_Nativ'!$P$6:$P$405,1),COUNTIFS('Istoric_Nativ'!$B$6:$B$405,E112,'Istoric_Nativ'!$C$6:$C$405,F112,'Istoric_Nativ'!$E$6:$E$405,G112,'Istoric_Nativ'!$D$6:$D$405,"&lt;"&amp;J112,'Istoric_Nativ'!$P$6:$P$405,1)+COUNTIFS('Istoric_Nativ'!$B$6:$B$405,E112,'Istoric_Nativ'!$C$6:$C$405,F112,'Istoric_Nativ'!$F$6:$F$405,G112,'Istoric_Nativ'!$D$6:$D$405,"&lt;"&amp;J112,'Istoric_Nativ'!$P$6:$P$405,1))))</x:f>
        <x:v>0</x:v>
      </x:c>
      <x:c r="L112" s="17" t="n">
        <x:f>IF(AND(B112&lt;&gt;"",I112="RECENT",K112&gt;0),LARGE(_xlfn._xlws.FILTER('Istoric_Nativ'!$D$6:$D$405,('Istoric_Nativ'!$B$6:$B$405=E112)*('Istoric_Nativ'!$C$6:$C$405=F112)*('Istoric_Nativ'!$P$6:$P$405=1)*('Istoric_Nativ'!$D$6:$D$405&lt;J112)*((('Istoric_Nativ'!$E$6:$E$405=G112)+('Istoric_Nativ'!$F$6:$F$405=G112))&gt;0)),MIN('Config_v6'!$B$54,K112)),0)</x:f>
        <x:v>0</x:v>
      </x:c>
      <x:c r="M112" s="2" t="n">
        <x:f>IF(OR(B112="",F112=""),0,IF(H112="HOME",COUNTIFS('Istoric_Nativ'!$B$6:$B$405,E112,'Istoric_Nativ'!$C$6:$C$405,F112,'Istoric_Nativ'!$E$6:$E$405,G112,'Istoric_Nativ'!$D$6:$D$405,"&lt;"&amp;J112,'Istoric_Nativ'!$P$6:$P$405,1,'Istoric_Nativ'!$D$6:$D$405,"&gt;="&amp;L112),IF(H112="AWAY",COUNTIFS('Istoric_Nativ'!$B$6:$B$405,E112,'Istoric_Nativ'!$C$6:$C$405,F112,'Istoric_Nativ'!$F$6:$F$405,G112,'Istoric_Nativ'!$D$6:$D$405,"&lt;"&amp;J112,'Istoric_Nativ'!$P$6:$P$405,1,'Istoric_Nativ'!$D$6:$D$405,"&gt;="&amp;L112),COUNTIFS('Istoric_Nativ'!$B$6:$B$405,E112,'Istoric_Nativ'!$C$6:$C$405,F112,'Istoric_Nativ'!$E$6:$E$405,G112,'Istoric_Nativ'!$D$6:$D$405,"&lt;"&amp;J112,'Istoric_Nativ'!$P$6:$P$405,1,'Istoric_Nativ'!$D$6:$D$405,"&gt;="&amp;L112)+COUNTIFS('Istoric_Nativ'!$B$6:$B$405,E112,'Istoric_Nativ'!$C$6:$C$405,F112,'Istoric_Nativ'!$F$6:$F$405,G112,'Istoric_Nativ'!$D$6:$D$405,"&lt;"&amp;J112,'Istoric_Nativ'!$P$6:$P$405,1,'Istoric_Nativ'!$D$6:$D$405,"&gt;="&amp;L112))))</x:f>
        <x:v>0</x:v>
      </x:c>
      <x:c r="N112" s="11" t="str">
        <x:f>IF(M112=0,"",IF(H112="HOME",SUMIFS('Istoric_Nativ'!$G$6:$G$405,'Istoric_Nativ'!$B$6:$B$405,E112,'Istoric_Nativ'!$C$6:$C$405,F112,'Istoric_Nativ'!$E$6:$E$405,G112,'Istoric_Nativ'!$D$6:$D$405,"&lt;"&amp;J112,'Istoric_Nativ'!$P$6:$P$405,1,'Istoric_Nativ'!$D$6:$D$405,"&gt;="&amp;L112),IF(H112="AWAY",SUMIFS('Istoric_Nativ'!$H$6:$H$405,'Istoric_Nativ'!$B$6:$B$405,E112,'Istoric_Nativ'!$C$6:$C$405,F112,'Istoric_Nativ'!$F$6:$F$405,G112,'Istoric_Nativ'!$D$6:$D$405,"&lt;"&amp;J112,'Istoric_Nativ'!$P$6:$P$405,1,'Istoric_Nativ'!$D$6:$D$405,"&gt;="&amp;L112),SUMIFS('Istoric_Nativ'!$G$6:$G$405,'Istoric_Nativ'!$B$6:$B$405,E112,'Istoric_Nativ'!$C$6:$C$405,F112,'Istoric_Nativ'!$E$6:$E$405,G112,'Istoric_Nativ'!$D$6:$D$405,"&lt;"&amp;J112,'Istoric_Nativ'!$P$6:$P$405,1,'Istoric_Nativ'!$D$6:$D$405,"&gt;="&amp;L112)+SUMIFS('Istoric_Nativ'!$H$6:$H$405,'Istoric_Nativ'!$B$6:$B$405,E112,'Istoric_Nativ'!$C$6:$C$405,F112,'Istoric_Nativ'!$F$6:$F$405,G112,'Istoric_Nativ'!$D$6:$D$405,"&lt;"&amp;J112,'Istoric_Nativ'!$P$6:$P$405,1,'Istoric_Nativ'!$D$6:$D$405,"&gt;="&amp;L112)))/M112)</x:f>
      </x:c>
      <x:c r="O112" s="11" t="str">
        <x:f>IF(M112=0,"",IF(H112="HOME",SUMIFS('Istoric_Nativ'!$H$6:$H$405,'Istoric_Nativ'!$B$6:$B$405,E112,'Istoric_Nativ'!$C$6:$C$405,F112,'Istoric_Nativ'!$E$6:$E$405,G112,'Istoric_Nativ'!$D$6:$D$405,"&lt;"&amp;J112,'Istoric_Nativ'!$P$6:$P$405,1,'Istoric_Nativ'!$D$6:$D$405,"&gt;="&amp;L112),IF(H112="AWAY",SUMIFS('Istoric_Nativ'!$G$6:$G$405,'Istoric_Nativ'!$B$6:$B$405,E112,'Istoric_Nativ'!$C$6:$C$405,F112,'Istoric_Nativ'!$F$6:$F$405,G112,'Istoric_Nativ'!$D$6:$D$405,"&lt;"&amp;J112,'Istoric_Nativ'!$P$6:$P$405,1,'Istoric_Nativ'!$D$6:$D$405,"&gt;="&amp;L112),SUMIFS('Istoric_Nativ'!$H$6:$H$405,'Istoric_Nativ'!$B$6:$B$405,E112,'Istoric_Nativ'!$C$6:$C$405,F112,'Istoric_Nativ'!$E$6:$E$405,G112,'Istoric_Nativ'!$D$6:$D$405,"&lt;"&amp;J112,'Istoric_Nativ'!$P$6:$P$405,1,'Istoric_Nativ'!$D$6:$D$405,"&gt;="&amp;L112)+SUMIFS('Istoric_Nativ'!$G$6:$G$405,'Istoric_Nativ'!$B$6:$B$405,E112,'Istoric_Nativ'!$C$6:$C$405,F112,'Istoric_Nativ'!$F$6:$F$405,G112,'Istoric_Nativ'!$D$6:$D$405,"&lt;"&amp;J112,'Istoric_Nativ'!$P$6:$P$405,1,'Istoric_Nativ'!$D$6:$D$405,"&gt;="&amp;L112)))/M112)</x:f>
      </x:c>
      <x:c r="P112" s="2" t="n">
        <x:f>'Config_v6'!$B$8</x:f>
        <x:v>5</x:v>
      </x:c>
      <x:c r="Q112" s="2" t="n">
        <x:f>IF(OR(B112="",F112=""),0,IFERROR(MATCH(E112&amp;"|"&amp;F112,SourceTable[Source_Key],0),0))</x:f>
        <x:v>0</x:v>
      </x:c>
      <x:c r="R112" s="2" t="str">
        <x:f>IF(B112="","",IF(F112="","UNUSED",IF(Q112=0,"NOT CHECKED",IF(COUNTIF(SourceTable[Source_Key],E112&amp;"|"&amp;F112)&lt;&gt;1,"SOURCE CONFLICT",IF(NOT(OR(INDEX(SourceTable[Status],MAX(1,Q112))="IMPORTED",INDEX(SourceTable[Status],MAX(1,Q112))="PARTIAL",INDEX(SourceTable[Status],MAX(1,Q112))="SOURCE CONFLICT")),"ACCESS BLOCKED",IF(OR(INDEX(SourceTable[Coverage],Q112)&lt;&gt;"FULL SEASON EXPORT",INDEX(SourceTable[URL],Q112)="",INDEX(SourceTable[SHA256],Q112)=""),"EVIDENCE INCOMPLETE",IF(AND('Input_Meci'!H14="LIVE",INDEX(SourceTable[Retrieved_UTC],Q112)&gt;'Input_Meci'!G14),"POST CUTOFF","CLOSED")))))))</x:f>
      </x:c>
      <x:c r="S112" s="2" t="n">
        <x:f>IF(OR(B112="",F112=""),0,COUNTIFS('Istoric_Nativ'!$B$6:$B$405,E112,'Istoric_Nativ'!$C$6:$C$405,F112,'Istoric_Nativ'!$E$6:$E$405,G112,'Istoric_Nativ'!$D$6:$D$405,"&lt;"&amp;J112,'Istoric_Nativ'!$O$6:$O$405,"INVALID")+COUNTIFS('Istoric_Nativ'!$B$6:$B$405,E112,'Istoric_Nativ'!$C$6:$C$405,F112,'Istoric_Nativ'!$E$6:$E$405,G112,'Istoric_Nativ'!$O$6:$O$405,"INVALID",'Istoric_Nativ'!$D$6:$D$405,"*")+COUNTIFS('Istoric_Nativ'!$B$6:$B$405,E112,'Istoric_Nativ'!$C$6:$C$405,F112,'Istoric_Nativ'!$E$6:$E$405,G112,'Istoric_Nativ'!$D$6:$D$405,"&lt;"&amp;J112,'Istoric_Nativ'!$O$6:$O$405,"SOURCE CONFLICT")+COUNTIFS('Istoric_Nativ'!$B$6:$B$405,E112,'Istoric_Nativ'!$C$6:$C$405,F112,'Istoric_Nativ'!$F$6:$F$405,G112,'Istoric_Nativ'!$D$6:$D$405,"&lt;"&amp;J112,'Istoric_Nativ'!$O$6:$O$405,"INVALID")+COUNTIFS('Istoric_Nativ'!$B$6:$B$405,E112,'Istoric_Nativ'!$C$6:$C$405,F112,'Istoric_Nativ'!$F$6:$F$405,G112,'Istoric_Nativ'!$O$6:$O$405,"INVALID",'Istoric_Nativ'!$D$6:$D$405,"*")+COUNTIFS('Istoric_Nativ'!$B$6:$B$405,E112,'Istoric_Nativ'!$C$6:$C$405,F112,'Istoric_Nativ'!$F$6:$F$405,G112,'Istoric_Nativ'!$D$6:$D$405,"&lt;"&amp;J112,'Istoric_Nativ'!$O$6:$O$405,"SOURCE CONFLICT"))</x:f>
        <x:v>0</x:v>
      </x:c>
      <x:c r="T112" s="2" t="str">
        <x:f>IF(B112="","",IF(R112&lt;&gt;"CLOSED",R112,IF(S112&gt;0,"NATIVE INPUT ISSUE",IF(M112=0,"NO HISTORY",IF(M112&lt;P112,"SMALL SAMPLE","DERIVED")))))</x:f>
      </x:c>
      <x:c r="U112" s="2" t="str">
        <x:f>IF(B112="","","NativeTable; "&amp;E112&amp;"; "&amp;F112&amp;"; "&amp;G112&amp;"; "&amp;H112&amp;"; before "&amp;TEXT(J112,"yyyy-mm-dd")&amp;IF(I112="RECENT","; from "&amp;TEXT(L112,"yyyy-mm-dd"),""))</x:f>
      </x:c>
    </x:row>
    <x:row r="113" ht="21" customHeight="1">
      <x:c r="A113" s="2" t="n">
        <x:v>9</x:v>
      </x:c>
      <x:c r="B113" s="2" t="str">
        <x:f>IF('Input_Meci'!A14="","",'Input_Meci'!A14)</x:f>
      </x:c>
      <x:c r="C113" s="2" t="str">
        <x:v>A</x:v>
      </x:c>
      <x:c r="D113" s="2" t="str">
        <x:v>PRIOR</x:v>
      </x:c>
      <x:c r="E113" s="2" t="str">
        <x:f>IF(B113="","",'Input_Meci'!B14)</x:f>
      </x:c>
      <x:c r="F113" s="2" t="str">
        <x:f>IF(B113="","",IF('Input_Meci'!K14="","",'Input_Meci'!K14))</x:f>
      </x:c>
      <x:c r="G113" s="2" t="str">
        <x:f>IF(B113="","",'Input_Meci'!E14)</x:f>
      </x:c>
      <x:c r="H113" s="2" t="str">
        <x:v>ANY</x:v>
      </x:c>
      <x:c r="I113" s="2" t="str">
        <x:v>RECENT</x:v>
      </x:c>
      <x:c r="J113" s="9" t="n">
        <x:f>IF(AND(B113&lt;&gt;"",ISNUMBER('Input_Meci'!G14)),INT('Input_Meci'!G14),0)</x:f>
        <x:v>0</x:v>
      </x:c>
      <x:c r="K113" s="2" t="n">
        <x:f>IF(OR(B113="",F113=""),0,IF(H113="HOME",COUNTIFS('Istoric_Nativ'!$B$6:$B$405,E113,'Istoric_Nativ'!$C$6:$C$405,F113,'Istoric_Nativ'!$E$6:$E$405,G113,'Istoric_Nativ'!$D$6:$D$405,"&lt;"&amp;J113,'Istoric_Nativ'!$P$6:$P$405,1),IF(H113="AWAY",COUNTIFS('Istoric_Nativ'!$B$6:$B$405,E113,'Istoric_Nativ'!$C$6:$C$405,F113,'Istoric_Nativ'!$F$6:$F$405,G113,'Istoric_Nativ'!$D$6:$D$405,"&lt;"&amp;J113,'Istoric_Nativ'!$P$6:$P$405,1),COUNTIFS('Istoric_Nativ'!$B$6:$B$405,E113,'Istoric_Nativ'!$C$6:$C$405,F113,'Istoric_Nativ'!$E$6:$E$405,G113,'Istoric_Nativ'!$D$6:$D$405,"&lt;"&amp;J113,'Istoric_Nativ'!$P$6:$P$405,1)+COUNTIFS('Istoric_Nativ'!$B$6:$B$405,E113,'Istoric_Nativ'!$C$6:$C$405,F113,'Istoric_Nativ'!$F$6:$F$405,G113,'Istoric_Nativ'!$D$6:$D$405,"&lt;"&amp;J113,'Istoric_Nativ'!$P$6:$P$405,1))))</x:f>
        <x:v>0</x:v>
      </x:c>
      <x:c r="L113" s="17" t="n">
        <x:f>IF(AND(B113&lt;&gt;"",I113="RECENT",K113&gt;0),LARGE(_xlfn._xlws.FILTER('Istoric_Nativ'!$D$6:$D$405,('Istoric_Nativ'!$B$6:$B$405=E113)*('Istoric_Nativ'!$C$6:$C$405=F113)*('Istoric_Nativ'!$P$6:$P$405=1)*('Istoric_Nativ'!$D$6:$D$405&lt;J113)*((('Istoric_Nativ'!$E$6:$E$405=G113)+('Istoric_Nativ'!$F$6:$F$405=G113))&gt;0)),MIN('Config_v6'!$B$54,K113)),0)</x:f>
        <x:v>0</x:v>
      </x:c>
      <x:c r="M113" s="2" t="n">
        <x:f>IF(OR(B113="",F113=""),0,IF(H113="HOME",COUNTIFS('Istoric_Nativ'!$B$6:$B$405,E113,'Istoric_Nativ'!$C$6:$C$405,F113,'Istoric_Nativ'!$E$6:$E$405,G113,'Istoric_Nativ'!$D$6:$D$405,"&lt;"&amp;J113,'Istoric_Nativ'!$P$6:$P$405,1,'Istoric_Nativ'!$D$6:$D$405,"&gt;="&amp;L113),IF(H113="AWAY",COUNTIFS('Istoric_Nativ'!$B$6:$B$405,E113,'Istoric_Nativ'!$C$6:$C$405,F113,'Istoric_Nativ'!$F$6:$F$405,G113,'Istoric_Nativ'!$D$6:$D$405,"&lt;"&amp;J113,'Istoric_Nativ'!$P$6:$P$405,1,'Istoric_Nativ'!$D$6:$D$405,"&gt;="&amp;L113),COUNTIFS('Istoric_Nativ'!$B$6:$B$405,E113,'Istoric_Nativ'!$C$6:$C$405,F113,'Istoric_Nativ'!$E$6:$E$405,G113,'Istoric_Nativ'!$D$6:$D$405,"&lt;"&amp;J113,'Istoric_Nativ'!$P$6:$P$405,1,'Istoric_Nativ'!$D$6:$D$405,"&gt;="&amp;L113)+COUNTIFS('Istoric_Nativ'!$B$6:$B$405,E113,'Istoric_Nativ'!$C$6:$C$405,F113,'Istoric_Nativ'!$F$6:$F$405,G113,'Istoric_Nativ'!$D$6:$D$405,"&lt;"&amp;J113,'Istoric_Nativ'!$P$6:$P$405,1,'Istoric_Nativ'!$D$6:$D$405,"&gt;="&amp;L113))))</x:f>
        <x:v>0</x:v>
      </x:c>
      <x:c r="N113" s="11" t="str">
        <x:f>IF(M113=0,"",IF(H113="HOME",SUMIFS('Istoric_Nativ'!$G$6:$G$405,'Istoric_Nativ'!$B$6:$B$405,E113,'Istoric_Nativ'!$C$6:$C$405,F113,'Istoric_Nativ'!$E$6:$E$405,G113,'Istoric_Nativ'!$D$6:$D$405,"&lt;"&amp;J113,'Istoric_Nativ'!$P$6:$P$405,1,'Istoric_Nativ'!$D$6:$D$405,"&gt;="&amp;L113),IF(H113="AWAY",SUMIFS('Istoric_Nativ'!$H$6:$H$405,'Istoric_Nativ'!$B$6:$B$405,E113,'Istoric_Nativ'!$C$6:$C$405,F113,'Istoric_Nativ'!$F$6:$F$405,G113,'Istoric_Nativ'!$D$6:$D$405,"&lt;"&amp;J113,'Istoric_Nativ'!$P$6:$P$405,1,'Istoric_Nativ'!$D$6:$D$405,"&gt;="&amp;L113),SUMIFS('Istoric_Nativ'!$G$6:$G$405,'Istoric_Nativ'!$B$6:$B$405,E113,'Istoric_Nativ'!$C$6:$C$405,F113,'Istoric_Nativ'!$E$6:$E$405,G113,'Istoric_Nativ'!$D$6:$D$405,"&lt;"&amp;J113,'Istoric_Nativ'!$P$6:$P$405,1,'Istoric_Nativ'!$D$6:$D$405,"&gt;="&amp;L113)+SUMIFS('Istoric_Nativ'!$H$6:$H$405,'Istoric_Nativ'!$B$6:$B$405,E113,'Istoric_Nativ'!$C$6:$C$405,F113,'Istoric_Nativ'!$F$6:$F$405,G113,'Istoric_Nativ'!$D$6:$D$405,"&lt;"&amp;J113,'Istoric_Nativ'!$P$6:$P$405,1,'Istoric_Nativ'!$D$6:$D$405,"&gt;="&amp;L113)))/M113)</x:f>
      </x:c>
      <x:c r="O113" s="11" t="str">
        <x:f>IF(M113=0,"",IF(H113="HOME",SUMIFS('Istoric_Nativ'!$H$6:$H$405,'Istoric_Nativ'!$B$6:$B$405,E113,'Istoric_Nativ'!$C$6:$C$405,F113,'Istoric_Nativ'!$E$6:$E$405,G113,'Istoric_Nativ'!$D$6:$D$405,"&lt;"&amp;J113,'Istoric_Nativ'!$P$6:$P$405,1,'Istoric_Nativ'!$D$6:$D$405,"&gt;="&amp;L113),IF(H113="AWAY",SUMIFS('Istoric_Nativ'!$G$6:$G$405,'Istoric_Nativ'!$B$6:$B$405,E113,'Istoric_Nativ'!$C$6:$C$405,F113,'Istoric_Nativ'!$F$6:$F$405,G113,'Istoric_Nativ'!$D$6:$D$405,"&lt;"&amp;J113,'Istoric_Nativ'!$P$6:$P$405,1,'Istoric_Nativ'!$D$6:$D$405,"&gt;="&amp;L113),SUMIFS('Istoric_Nativ'!$H$6:$H$405,'Istoric_Nativ'!$B$6:$B$405,E113,'Istoric_Nativ'!$C$6:$C$405,F113,'Istoric_Nativ'!$E$6:$E$405,G113,'Istoric_Nativ'!$D$6:$D$405,"&lt;"&amp;J113,'Istoric_Nativ'!$P$6:$P$405,1,'Istoric_Nativ'!$D$6:$D$405,"&gt;="&amp;L113)+SUMIFS('Istoric_Nativ'!$G$6:$G$405,'Istoric_Nativ'!$B$6:$B$405,E113,'Istoric_Nativ'!$C$6:$C$405,F113,'Istoric_Nativ'!$F$6:$F$405,G113,'Istoric_Nativ'!$D$6:$D$405,"&lt;"&amp;J113,'Istoric_Nativ'!$P$6:$P$405,1,'Istoric_Nativ'!$D$6:$D$405,"&gt;="&amp;L113)))/M113)</x:f>
      </x:c>
      <x:c r="P113" s="2" t="n">
        <x:f>'Config_v6'!$B$9</x:f>
        <x:v>3</x:v>
      </x:c>
      <x:c r="Q113" s="2" t="n">
        <x:f>IF(OR(B113="",F113=""),0,IFERROR(MATCH(E113&amp;"|"&amp;F113,SourceTable[Source_Key],0),0))</x:f>
        <x:v>0</x:v>
      </x:c>
      <x:c r="R113" s="2" t="str">
        <x:f>IF(B113="","",IF(F113="","UNUSED",IF(Q113=0,"NOT CHECKED",IF(COUNTIF(SourceTable[Source_Key],E113&amp;"|"&amp;F113)&lt;&gt;1,"SOURCE CONFLICT",IF(NOT(OR(INDEX(SourceTable[Status],MAX(1,Q113))="IMPORTED",INDEX(SourceTable[Status],MAX(1,Q113))="PARTIAL",INDEX(SourceTable[Status],MAX(1,Q113))="SOURCE CONFLICT")),"ACCESS BLOCKED",IF(OR(INDEX(SourceTable[Coverage],Q113)&lt;&gt;"FULL SEASON EXPORT",INDEX(SourceTable[URL],Q113)="",INDEX(SourceTable[SHA256],Q113)=""),"EVIDENCE INCOMPLETE",IF(AND('Input_Meci'!H14="LIVE",INDEX(SourceTable[Retrieved_UTC],Q113)&gt;'Input_Meci'!G14),"POST CUTOFF","CLOSED")))))))</x:f>
      </x:c>
      <x:c r="S113" s="2" t="n">
        <x:f>IF(OR(B113="",F113=""),0,COUNTIFS('Istoric_Nativ'!$B$6:$B$405,E113,'Istoric_Nativ'!$C$6:$C$405,F113,'Istoric_Nativ'!$E$6:$E$405,G113,'Istoric_Nativ'!$D$6:$D$405,"&lt;"&amp;J113,'Istoric_Nativ'!$O$6:$O$405,"INVALID")+COUNTIFS('Istoric_Nativ'!$B$6:$B$405,E113,'Istoric_Nativ'!$C$6:$C$405,F113,'Istoric_Nativ'!$E$6:$E$405,G113,'Istoric_Nativ'!$O$6:$O$405,"INVALID",'Istoric_Nativ'!$D$6:$D$405,"*")+COUNTIFS('Istoric_Nativ'!$B$6:$B$405,E113,'Istoric_Nativ'!$C$6:$C$405,F113,'Istoric_Nativ'!$E$6:$E$405,G113,'Istoric_Nativ'!$D$6:$D$405,"&lt;"&amp;J113,'Istoric_Nativ'!$O$6:$O$405,"SOURCE CONFLICT")+COUNTIFS('Istoric_Nativ'!$B$6:$B$405,E113,'Istoric_Nativ'!$C$6:$C$405,F113,'Istoric_Nativ'!$F$6:$F$405,G113,'Istoric_Nativ'!$D$6:$D$405,"&lt;"&amp;J113,'Istoric_Nativ'!$O$6:$O$405,"INVALID")+COUNTIFS('Istoric_Nativ'!$B$6:$B$405,E113,'Istoric_Nativ'!$C$6:$C$405,F113,'Istoric_Nativ'!$F$6:$F$405,G113,'Istoric_Nativ'!$O$6:$O$405,"INVALID",'Istoric_Nativ'!$D$6:$D$405,"*")+COUNTIFS('Istoric_Nativ'!$B$6:$B$405,E113,'Istoric_Nativ'!$C$6:$C$405,F113,'Istoric_Nativ'!$F$6:$F$405,G113,'Istoric_Nativ'!$D$6:$D$405,"&lt;"&amp;J113,'Istoric_Nativ'!$O$6:$O$405,"SOURCE CONFLICT"))</x:f>
        <x:v>0</x:v>
      </x:c>
      <x:c r="T113" s="2" t="str">
        <x:f>IF(B113="","",IF(R113&lt;&gt;"CLOSED",R113,IF(S113&gt;0,"NATIVE INPUT ISSUE",IF(M113=0,"NO HISTORY",IF(M113&lt;P113,"SMALL SAMPLE","DERIVED")))))</x:f>
      </x:c>
      <x:c r="U113" s="2" t="str">
        <x:f>IF(B113="","","NativeTable; "&amp;E113&amp;"; "&amp;F113&amp;"; "&amp;G113&amp;"; "&amp;H113&amp;"; before "&amp;TEXT(J113,"yyyy-mm-dd")&amp;IF(I113="RECENT","; from "&amp;TEXT(L113,"yyyy-mm-dd"),""))</x:f>
      </x:c>
    </x:row>
    <x:row r="114" ht="21" customHeight="1">
      <x:c r="A114" s="2" t="n">
        <x:v>10</x:v>
      </x:c>
      <x:c r="B114" s="2" t="str">
        <x:f>IF('Input_Meci'!A15="","",'Input_Meci'!A15)</x:f>
      </x:c>
      <x:c r="C114" s="2" t="str">
        <x:v>H</x:v>
      </x:c>
      <x:c r="D114" s="2" t="str">
        <x:v>CURRENT</x:v>
      </x:c>
      <x:c r="E114" s="2" t="str">
        <x:f>IF(B114="","",'Input_Meci'!B15)</x:f>
      </x:c>
      <x:c r="F114" s="2" t="str">
        <x:f>IF(B114="","",IF('Input_Meci'!C15="","",'Input_Meci'!C15))</x:f>
      </x:c>
      <x:c r="G114" s="2" t="str">
        <x:f>IF(B114="","",'Input_Meci'!D15)</x:f>
      </x:c>
      <x:c r="H114" s="2" t="str">
        <x:v>ANY</x:v>
      </x:c>
      <x:c r="I114" s="2" t="str">
        <x:v>SEASON</x:v>
      </x:c>
      <x:c r="J114" s="9" t="n">
        <x:f>IF(AND(B114&lt;&gt;"",ISNUMBER('Input_Meci'!G15)),INT('Input_Meci'!G15),0)</x:f>
        <x:v>0</x:v>
      </x:c>
      <x:c r="K114" s="2" t="n">
        <x:f>IF(OR(B114="",F114=""),0,IF(H114="HOME",COUNTIFS('Istoric_Nativ'!$B$6:$B$405,E114,'Istoric_Nativ'!$C$6:$C$405,F114,'Istoric_Nativ'!$E$6:$E$405,G114,'Istoric_Nativ'!$D$6:$D$405,"&lt;"&amp;J114,'Istoric_Nativ'!$P$6:$P$405,1),IF(H114="AWAY",COUNTIFS('Istoric_Nativ'!$B$6:$B$405,E114,'Istoric_Nativ'!$C$6:$C$405,F114,'Istoric_Nativ'!$F$6:$F$405,G114,'Istoric_Nativ'!$D$6:$D$405,"&lt;"&amp;J114,'Istoric_Nativ'!$P$6:$P$405,1),COUNTIFS('Istoric_Nativ'!$B$6:$B$405,E114,'Istoric_Nativ'!$C$6:$C$405,F114,'Istoric_Nativ'!$E$6:$E$405,G114,'Istoric_Nativ'!$D$6:$D$405,"&lt;"&amp;J114,'Istoric_Nativ'!$P$6:$P$405,1)+COUNTIFS('Istoric_Nativ'!$B$6:$B$405,E114,'Istoric_Nativ'!$C$6:$C$405,F114,'Istoric_Nativ'!$F$6:$F$405,G114,'Istoric_Nativ'!$D$6:$D$405,"&lt;"&amp;J114,'Istoric_Nativ'!$P$6:$P$405,1))))</x:f>
        <x:v>0</x:v>
      </x:c>
      <x:c r="L114" s="17" t="n">
        <x:f>IF(AND(B114&lt;&gt;"",I114="RECENT",K114&gt;0),LARGE(_xlfn._xlws.FILTER('Istoric_Nativ'!$D$6:$D$405,('Istoric_Nativ'!$B$6:$B$405=E114)*('Istoric_Nativ'!$C$6:$C$405=F114)*('Istoric_Nativ'!$P$6:$P$405=1)*('Istoric_Nativ'!$D$6:$D$405&lt;J114)*((('Istoric_Nativ'!$E$6:$E$405=G114)+('Istoric_Nativ'!$F$6:$F$405=G114))&gt;0)),MIN('Config_v6'!$B$54,K114)),0)</x:f>
        <x:v>0</x:v>
      </x:c>
      <x:c r="M114" s="2" t="n">
        <x:f>IF(OR(B114="",F114=""),0,IF(H114="HOME",COUNTIFS('Istoric_Nativ'!$B$6:$B$405,E114,'Istoric_Nativ'!$C$6:$C$405,F114,'Istoric_Nativ'!$E$6:$E$405,G114,'Istoric_Nativ'!$D$6:$D$405,"&lt;"&amp;J114,'Istoric_Nativ'!$P$6:$P$405,1,'Istoric_Nativ'!$D$6:$D$405,"&gt;="&amp;L114),IF(H114="AWAY",COUNTIFS('Istoric_Nativ'!$B$6:$B$405,E114,'Istoric_Nativ'!$C$6:$C$405,F114,'Istoric_Nativ'!$F$6:$F$405,G114,'Istoric_Nativ'!$D$6:$D$405,"&lt;"&amp;J114,'Istoric_Nativ'!$P$6:$P$405,1,'Istoric_Nativ'!$D$6:$D$405,"&gt;="&amp;L114),COUNTIFS('Istoric_Nativ'!$B$6:$B$405,E114,'Istoric_Nativ'!$C$6:$C$405,F114,'Istoric_Nativ'!$E$6:$E$405,G114,'Istoric_Nativ'!$D$6:$D$405,"&lt;"&amp;J114,'Istoric_Nativ'!$P$6:$P$405,1,'Istoric_Nativ'!$D$6:$D$405,"&gt;="&amp;L114)+COUNTIFS('Istoric_Nativ'!$B$6:$B$405,E114,'Istoric_Nativ'!$C$6:$C$405,F114,'Istoric_Nativ'!$F$6:$F$405,G114,'Istoric_Nativ'!$D$6:$D$405,"&lt;"&amp;J114,'Istoric_Nativ'!$P$6:$P$405,1,'Istoric_Nativ'!$D$6:$D$405,"&gt;="&amp;L114))))</x:f>
        <x:v>0</x:v>
      </x:c>
      <x:c r="N114" s="11" t="str">
        <x:f>IF(M114=0,"",IF(H114="HOME",SUMIFS('Istoric_Nativ'!$G$6:$G$405,'Istoric_Nativ'!$B$6:$B$405,E114,'Istoric_Nativ'!$C$6:$C$405,F114,'Istoric_Nativ'!$E$6:$E$405,G114,'Istoric_Nativ'!$D$6:$D$405,"&lt;"&amp;J114,'Istoric_Nativ'!$P$6:$P$405,1,'Istoric_Nativ'!$D$6:$D$405,"&gt;="&amp;L114),IF(H114="AWAY",SUMIFS('Istoric_Nativ'!$H$6:$H$405,'Istoric_Nativ'!$B$6:$B$405,E114,'Istoric_Nativ'!$C$6:$C$405,F114,'Istoric_Nativ'!$F$6:$F$405,G114,'Istoric_Nativ'!$D$6:$D$405,"&lt;"&amp;J114,'Istoric_Nativ'!$P$6:$P$405,1,'Istoric_Nativ'!$D$6:$D$405,"&gt;="&amp;L114),SUMIFS('Istoric_Nativ'!$G$6:$G$405,'Istoric_Nativ'!$B$6:$B$405,E114,'Istoric_Nativ'!$C$6:$C$405,F114,'Istoric_Nativ'!$E$6:$E$405,G114,'Istoric_Nativ'!$D$6:$D$405,"&lt;"&amp;J114,'Istoric_Nativ'!$P$6:$P$405,1,'Istoric_Nativ'!$D$6:$D$405,"&gt;="&amp;L114)+SUMIFS('Istoric_Nativ'!$H$6:$H$405,'Istoric_Nativ'!$B$6:$B$405,E114,'Istoric_Nativ'!$C$6:$C$405,F114,'Istoric_Nativ'!$F$6:$F$405,G114,'Istoric_Nativ'!$D$6:$D$405,"&lt;"&amp;J114,'Istoric_Nativ'!$P$6:$P$405,1,'Istoric_Nativ'!$D$6:$D$405,"&gt;="&amp;L114)))/M114)</x:f>
      </x:c>
      <x:c r="O114" s="11" t="str">
        <x:f>IF(M114=0,"",IF(H114="HOME",SUMIFS('Istoric_Nativ'!$H$6:$H$405,'Istoric_Nativ'!$B$6:$B$405,E114,'Istoric_Nativ'!$C$6:$C$405,F114,'Istoric_Nativ'!$E$6:$E$405,G114,'Istoric_Nativ'!$D$6:$D$405,"&lt;"&amp;J114,'Istoric_Nativ'!$P$6:$P$405,1,'Istoric_Nativ'!$D$6:$D$405,"&gt;="&amp;L114),IF(H114="AWAY",SUMIFS('Istoric_Nativ'!$G$6:$G$405,'Istoric_Nativ'!$B$6:$B$405,E114,'Istoric_Nativ'!$C$6:$C$405,F114,'Istoric_Nativ'!$F$6:$F$405,G114,'Istoric_Nativ'!$D$6:$D$405,"&lt;"&amp;J114,'Istoric_Nativ'!$P$6:$P$405,1,'Istoric_Nativ'!$D$6:$D$405,"&gt;="&amp;L114),SUMIFS('Istoric_Nativ'!$H$6:$H$405,'Istoric_Nativ'!$B$6:$B$405,E114,'Istoric_Nativ'!$C$6:$C$405,F114,'Istoric_Nativ'!$E$6:$E$405,G114,'Istoric_Nativ'!$D$6:$D$405,"&lt;"&amp;J114,'Istoric_Nativ'!$P$6:$P$405,1,'Istoric_Nativ'!$D$6:$D$405,"&gt;="&amp;L114)+SUMIFS('Istoric_Nativ'!$G$6:$G$405,'Istoric_Nativ'!$B$6:$B$405,E114,'Istoric_Nativ'!$C$6:$C$405,F114,'Istoric_Nativ'!$F$6:$F$405,G114,'Istoric_Nativ'!$D$6:$D$405,"&lt;"&amp;J114,'Istoric_Nativ'!$P$6:$P$405,1,'Istoric_Nativ'!$D$6:$D$405,"&gt;="&amp;L114)))/M114)</x:f>
      </x:c>
      <x:c r="P114" s="2" t="n">
        <x:f>'Config_v6'!$B$7</x:f>
        <x:v>10</x:v>
      </x:c>
      <x:c r="Q114" s="2" t="n">
        <x:f>IF(OR(B114="",F114=""),0,IFERROR(MATCH(E114&amp;"|"&amp;F114,SourceTable[Source_Key],0),0))</x:f>
        <x:v>0</x:v>
      </x:c>
      <x:c r="R114" s="2" t="str">
        <x:f>IF(B114="","",IF(F114="","UNUSED",IF(Q114=0,"NOT CHECKED",IF(COUNTIF(SourceTable[Source_Key],E114&amp;"|"&amp;F114)&lt;&gt;1,"SOURCE CONFLICT",IF(NOT(OR(INDEX(SourceTable[Status],MAX(1,Q114))="IMPORTED",INDEX(SourceTable[Status],MAX(1,Q114))="PARTIAL",INDEX(SourceTable[Status],MAX(1,Q114))="SOURCE CONFLICT")),"ACCESS BLOCKED",IF(OR(INDEX(SourceTable[Coverage],Q114)&lt;&gt;"FULL SEASON EXPORT",INDEX(SourceTable[URL],Q114)="",INDEX(SourceTable[SHA256],Q114)=""),"EVIDENCE INCOMPLETE",IF(AND('Input_Meci'!H15="LIVE",INDEX(SourceTable[Retrieved_UTC],Q114)&gt;'Input_Meci'!G15),"POST CUTOFF","CLOSED")))))))</x:f>
      </x:c>
      <x:c r="S114" s="2" t="n">
        <x:f>IF(OR(B114="",F114=""),0,COUNTIFS('Istoric_Nativ'!$B$6:$B$405,E114,'Istoric_Nativ'!$C$6:$C$405,F114,'Istoric_Nativ'!$E$6:$E$405,G114,'Istoric_Nativ'!$D$6:$D$405,"&lt;"&amp;J114,'Istoric_Nativ'!$O$6:$O$405,"INVALID")+COUNTIFS('Istoric_Nativ'!$B$6:$B$405,E114,'Istoric_Nativ'!$C$6:$C$405,F114,'Istoric_Nativ'!$E$6:$E$405,G114,'Istoric_Nativ'!$O$6:$O$405,"INVALID",'Istoric_Nativ'!$D$6:$D$405,"*")+COUNTIFS('Istoric_Nativ'!$B$6:$B$405,E114,'Istoric_Nativ'!$C$6:$C$405,F114,'Istoric_Nativ'!$E$6:$E$405,G114,'Istoric_Nativ'!$D$6:$D$405,"&lt;"&amp;J114,'Istoric_Nativ'!$O$6:$O$405,"SOURCE CONFLICT")+COUNTIFS('Istoric_Nativ'!$B$6:$B$405,E114,'Istoric_Nativ'!$C$6:$C$405,F114,'Istoric_Nativ'!$F$6:$F$405,G114,'Istoric_Nativ'!$D$6:$D$405,"&lt;"&amp;J114,'Istoric_Nativ'!$O$6:$O$405,"INVALID")+COUNTIFS('Istoric_Nativ'!$B$6:$B$405,E114,'Istoric_Nativ'!$C$6:$C$405,F114,'Istoric_Nativ'!$F$6:$F$405,G114,'Istoric_Nativ'!$O$6:$O$405,"INVALID",'Istoric_Nativ'!$D$6:$D$405,"*")+COUNTIFS('Istoric_Nativ'!$B$6:$B$405,E114,'Istoric_Nativ'!$C$6:$C$405,F114,'Istoric_Nativ'!$F$6:$F$405,G114,'Istoric_Nativ'!$D$6:$D$405,"&lt;"&amp;J114,'Istoric_Nativ'!$O$6:$O$405,"SOURCE CONFLICT"))</x:f>
        <x:v>0</x:v>
      </x:c>
      <x:c r="T114" s="2" t="str">
        <x:f>IF(B114="","",IF(R114&lt;&gt;"CLOSED",R114,IF(S114&gt;0,"NATIVE INPUT ISSUE",IF(M114=0,"NO HISTORY",IF(M114&lt;P114,"SMALL SAMPLE","DERIVED")))))</x:f>
      </x:c>
      <x:c r="U114" s="2" t="str">
        <x:f>IF(B114="","","NativeTable; "&amp;E114&amp;"; "&amp;F114&amp;"; "&amp;G114&amp;"; "&amp;H114&amp;"; before "&amp;TEXT(J114,"yyyy-mm-dd")&amp;IF(I114="RECENT","; from "&amp;TEXT(L114,"yyyy-mm-dd"),""))</x:f>
      </x:c>
    </x:row>
    <x:row r="115" ht="21" customHeight="1">
      <x:c r="A115" s="2" t="n">
        <x:v>10</x:v>
      </x:c>
      <x:c r="B115" s="2" t="str">
        <x:f>IF('Input_Meci'!A15="","",'Input_Meci'!A15)</x:f>
      </x:c>
      <x:c r="C115" s="2" t="str">
        <x:v>H</x:v>
      </x:c>
      <x:c r="D115" s="2" t="str">
        <x:v>CURRENT</x:v>
      </x:c>
      <x:c r="E115" s="2" t="str">
        <x:f>IF(B115="","",'Input_Meci'!B15)</x:f>
      </x:c>
      <x:c r="F115" s="2" t="str">
        <x:f>IF(B115="","",IF('Input_Meci'!C15="","",'Input_Meci'!C15))</x:f>
      </x:c>
      <x:c r="G115" s="2" t="str">
        <x:f>IF(B115="","",'Input_Meci'!D15)</x:f>
      </x:c>
      <x:c r="H115" s="2" t="str">
        <x:v>HOME</x:v>
      </x:c>
      <x:c r="I115" s="2" t="str">
        <x:v>HA</x:v>
      </x:c>
      <x:c r="J115" s="9" t="n">
        <x:f>IF(AND(B115&lt;&gt;"",ISNUMBER('Input_Meci'!G15)),INT('Input_Meci'!G15),0)</x:f>
        <x:v>0</x:v>
      </x:c>
      <x:c r="K115" s="2" t="n">
        <x:f>IF(OR(B115="",F115=""),0,IF(H115="HOME",COUNTIFS('Istoric_Nativ'!$B$6:$B$405,E115,'Istoric_Nativ'!$C$6:$C$405,F115,'Istoric_Nativ'!$E$6:$E$405,G115,'Istoric_Nativ'!$D$6:$D$405,"&lt;"&amp;J115,'Istoric_Nativ'!$P$6:$P$405,1),IF(H115="AWAY",COUNTIFS('Istoric_Nativ'!$B$6:$B$405,E115,'Istoric_Nativ'!$C$6:$C$405,F115,'Istoric_Nativ'!$F$6:$F$405,G115,'Istoric_Nativ'!$D$6:$D$405,"&lt;"&amp;J115,'Istoric_Nativ'!$P$6:$P$405,1),COUNTIFS('Istoric_Nativ'!$B$6:$B$405,E115,'Istoric_Nativ'!$C$6:$C$405,F115,'Istoric_Nativ'!$E$6:$E$405,G115,'Istoric_Nativ'!$D$6:$D$405,"&lt;"&amp;J115,'Istoric_Nativ'!$P$6:$P$405,1)+COUNTIFS('Istoric_Nativ'!$B$6:$B$405,E115,'Istoric_Nativ'!$C$6:$C$405,F115,'Istoric_Nativ'!$F$6:$F$405,G115,'Istoric_Nativ'!$D$6:$D$405,"&lt;"&amp;J115,'Istoric_Nativ'!$P$6:$P$405,1))))</x:f>
        <x:v>0</x:v>
      </x:c>
      <x:c r="L115" s="17" t="n">
        <x:f>IF(AND(B115&lt;&gt;"",I115="RECENT",K115&gt;0),LARGE(_xlfn._xlws.FILTER('Istoric_Nativ'!$D$6:$D$405,('Istoric_Nativ'!$B$6:$B$405=E115)*('Istoric_Nativ'!$C$6:$C$405=F115)*('Istoric_Nativ'!$P$6:$P$405=1)*('Istoric_Nativ'!$D$6:$D$405&lt;J115)*((('Istoric_Nativ'!$E$6:$E$405=G115)+('Istoric_Nativ'!$F$6:$F$405=G115))&gt;0)),MIN('Config_v6'!$B$54,K115)),0)</x:f>
        <x:v>0</x:v>
      </x:c>
      <x:c r="M115" s="2" t="n">
        <x:f>IF(OR(B115="",F115=""),0,IF(H115="HOME",COUNTIFS('Istoric_Nativ'!$B$6:$B$405,E115,'Istoric_Nativ'!$C$6:$C$405,F115,'Istoric_Nativ'!$E$6:$E$405,G115,'Istoric_Nativ'!$D$6:$D$405,"&lt;"&amp;J115,'Istoric_Nativ'!$P$6:$P$405,1,'Istoric_Nativ'!$D$6:$D$405,"&gt;="&amp;L115),IF(H115="AWAY",COUNTIFS('Istoric_Nativ'!$B$6:$B$405,E115,'Istoric_Nativ'!$C$6:$C$405,F115,'Istoric_Nativ'!$F$6:$F$405,G115,'Istoric_Nativ'!$D$6:$D$405,"&lt;"&amp;J115,'Istoric_Nativ'!$P$6:$P$405,1,'Istoric_Nativ'!$D$6:$D$405,"&gt;="&amp;L115),COUNTIFS('Istoric_Nativ'!$B$6:$B$405,E115,'Istoric_Nativ'!$C$6:$C$405,F115,'Istoric_Nativ'!$E$6:$E$405,G115,'Istoric_Nativ'!$D$6:$D$405,"&lt;"&amp;J115,'Istoric_Nativ'!$P$6:$P$405,1,'Istoric_Nativ'!$D$6:$D$405,"&gt;="&amp;L115)+COUNTIFS('Istoric_Nativ'!$B$6:$B$405,E115,'Istoric_Nativ'!$C$6:$C$405,F115,'Istoric_Nativ'!$F$6:$F$405,G115,'Istoric_Nativ'!$D$6:$D$405,"&lt;"&amp;J115,'Istoric_Nativ'!$P$6:$P$405,1,'Istoric_Nativ'!$D$6:$D$405,"&gt;="&amp;L115))))</x:f>
        <x:v>0</x:v>
      </x:c>
      <x:c r="N115" s="11" t="str">
        <x:f>IF(M115=0,"",IF(H115="HOME",SUMIFS('Istoric_Nativ'!$G$6:$G$405,'Istoric_Nativ'!$B$6:$B$405,E115,'Istoric_Nativ'!$C$6:$C$405,F115,'Istoric_Nativ'!$E$6:$E$405,G115,'Istoric_Nativ'!$D$6:$D$405,"&lt;"&amp;J115,'Istoric_Nativ'!$P$6:$P$405,1,'Istoric_Nativ'!$D$6:$D$405,"&gt;="&amp;L115),IF(H115="AWAY",SUMIFS('Istoric_Nativ'!$H$6:$H$405,'Istoric_Nativ'!$B$6:$B$405,E115,'Istoric_Nativ'!$C$6:$C$405,F115,'Istoric_Nativ'!$F$6:$F$405,G115,'Istoric_Nativ'!$D$6:$D$405,"&lt;"&amp;J115,'Istoric_Nativ'!$P$6:$P$405,1,'Istoric_Nativ'!$D$6:$D$405,"&gt;="&amp;L115),SUMIFS('Istoric_Nativ'!$G$6:$G$405,'Istoric_Nativ'!$B$6:$B$405,E115,'Istoric_Nativ'!$C$6:$C$405,F115,'Istoric_Nativ'!$E$6:$E$405,G115,'Istoric_Nativ'!$D$6:$D$405,"&lt;"&amp;J115,'Istoric_Nativ'!$P$6:$P$405,1,'Istoric_Nativ'!$D$6:$D$405,"&gt;="&amp;L115)+SUMIFS('Istoric_Nativ'!$H$6:$H$405,'Istoric_Nativ'!$B$6:$B$405,E115,'Istoric_Nativ'!$C$6:$C$405,F115,'Istoric_Nativ'!$F$6:$F$405,G115,'Istoric_Nativ'!$D$6:$D$405,"&lt;"&amp;J115,'Istoric_Nativ'!$P$6:$P$405,1,'Istoric_Nativ'!$D$6:$D$405,"&gt;="&amp;L115)))/M115)</x:f>
      </x:c>
      <x:c r="O115" s="11" t="str">
        <x:f>IF(M115=0,"",IF(H115="HOME",SUMIFS('Istoric_Nativ'!$H$6:$H$405,'Istoric_Nativ'!$B$6:$B$405,E115,'Istoric_Nativ'!$C$6:$C$405,F115,'Istoric_Nativ'!$E$6:$E$405,G115,'Istoric_Nativ'!$D$6:$D$405,"&lt;"&amp;J115,'Istoric_Nativ'!$P$6:$P$405,1,'Istoric_Nativ'!$D$6:$D$405,"&gt;="&amp;L115),IF(H115="AWAY",SUMIFS('Istoric_Nativ'!$G$6:$G$405,'Istoric_Nativ'!$B$6:$B$405,E115,'Istoric_Nativ'!$C$6:$C$405,F115,'Istoric_Nativ'!$F$6:$F$405,G115,'Istoric_Nativ'!$D$6:$D$405,"&lt;"&amp;J115,'Istoric_Nativ'!$P$6:$P$405,1,'Istoric_Nativ'!$D$6:$D$405,"&gt;="&amp;L115),SUMIFS('Istoric_Nativ'!$H$6:$H$405,'Istoric_Nativ'!$B$6:$B$405,E115,'Istoric_Nativ'!$C$6:$C$405,F115,'Istoric_Nativ'!$E$6:$E$405,G115,'Istoric_Nativ'!$D$6:$D$405,"&lt;"&amp;J115,'Istoric_Nativ'!$P$6:$P$405,1,'Istoric_Nativ'!$D$6:$D$405,"&gt;="&amp;L115)+SUMIFS('Istoric_Nativ'!$G$6:$G$405,'Istoric_Nativ'!$B$6:$B$405,E115,'Istoric_Nativ'!$C$6:$C$405,F115,'Istoric_Nativ'!$F$6:$F$405,G115,'Istoric_Nativ'!$D$6:$D$405,"&lt;"&amp;J115,'Istoric_Nativ'!$P$6:$P$405,1,'Istoric_Nativ'!$D$6:$D$405,"&gt;="&amp;L115)))/M115)</x:f>
      </x:c>
      <x:c r="P115" s="2" t="n">
        <x:f>'Config_v6'!$B$8</x:f>
        <x:v>5</x:v>
      </x:c>
      <x:c r="Q115" s="2" t="n">
        <x:f>IF(OR(B115="",F115=""),0,IFERROR(MATCH(E115&amp;"|"&amp;F115,SourceTable[Source_Key],0),0))</x:f>
        <x:v>0</x:v>
      </x:c>
      <x:c r="R115" s="2" t="str">
        <x:f>IF(B115="","",IF(F115="","UNUSED",IF(Q115=0,"NOT CHECKED",IF(COUNTIF(SourceTable[Source_Key],E115&amp;"|"&amp;F115)&lt;&gt;1,"SOURCE CONFLICT",IF(NOT(OR(INDEX(SourceTable[Status],MAX(1,Q115))="IMPORTED",INDEX(SourceTable[Status],MAX(1,Q115))="PARTIAL",INDEX(SourceTable[Status],MAX(1,Q115))="SOURCE CONFLICT")),"ACCESS BLOCKED",IF(OR(INDEX(SourceTable[Coverage],Q115)&lt;&gt;"FULL SEASON EXPORT",INDEX(SourceTable[URL],Q115)="",INDEX(SourceTable[SHA256],Q115)=""),"EVIDENCE INCOMPLETE",IF(AND('Input_Meci'!H15="LIVE",INDEX(SourceTable[Retrieved_UTC],Q115)&gt;'Input_Meci'!G15),"POST CUTOFF","CLOSED")))))))</x:f>
      </x:c>
      <x:c r="S115" s="2" t="n">
        <x:f>IF(OR(B115="",F115=""),0,COUNTIFS('Istoric_Nativ'!$B$6:$B$405,E115,'Istoric_Nativ'!$C$6:$C$405,F115,'Istoric_Nativ'!$E$6:$E$405,G115,'Istoric_Nativ'!$D$6:$D$405,"&lt;"&amp;J115,'Istoric_Nativ'!$O$6:$O$405,"INVALID")+COUNTIFS('Istoric_Nativ'!$B$6:$B$405,E115,'Istoric_Nativ'!$C$6:$C$405,F115,'Istoric_Nativ'!$E$6:$E$405,G115,'Istoric_Nativ'!$O$6:$O$405,"INVALID",'Istoric_Nativ'!$D$6:$D$405,"*")+COUNTIFS('Istoric_Nativ'!$B$6:$B$405,E115,'Istoric_Nativ'!$C$6:$C$405,F115,'Istoric_Nativ'!$E$6:$E$405,G115,'Istoric_Nativ'!$D$6:$D$405,"&lt;"&amp;J115,'Istoric_Nativ'!$O$6:$O$405,"SOURCE CONFLICT")+COUNTIFS('Istoric_Nativ'!$B$6:$B$405,E115,'Istoric_Nativ'!$C$6:$C$405,F115,'Istoric_Nativ'!$F$6:$F$405,G115,'Istoric_Nativ'!$D$6:$D$405,"&lt;"&amp;J115,'Istoric_Nativ'!$O$6:$O$405,"INVALID")+COUNTIFS('Istoric_Nativ'!$B$6:$B$405,E115,'Istoric_Nativ'!$C$6:$C$405,F115,'Istoric_Nativ'!$F$6:$F$405,G115,'Istoric_Nativ'!$O$6:$O$405,"INVALID",'Istoric_Nativ'!$D$6:$D$405,"*")+COUNTIFS('Istoric_Nativ'!$B$6:$B$405,E115,'Istoric_Nativ'!$C$6:$C$405,F115,'Istoric_Nativ'!$F$6:$F$405,G115,'Istoric_Nativ'!$D$6:$D$405,"&lt;"&amp;J115,'Istoric_Nativ'!$O$6:$O$405,"SOURCE CONFLICT"))</x:f>
        <x:v>0</x:v>
      </x:c>
      <x:c r="T115" s="2" t="str">
        <x:f>IF(B115="","",IF(R115&lt;&gt;"CLOSED",R115,IF(S115&gt;0,"NATIVE INPUT ISSUE",IF(M115=0,"NO HISTORY",IF(M115&lt;P115,"SMALL SAMPLE","DERIVED")))))</x:f>
      </x:c>
      <x:c r="U115" s="2" t="str">
        <x:f>IF(B115="","","NativeTable; "&amp;E115&amp;"; "&amp;F115&amp;"; "&amp;G115&amp;"; "&amp;H115&amp;"; before "&amp;TEXT(J115,"yyyy-mm-dd")&amp;IF(I115="RECENT","; from "&amp;TEXT(L115,"yyyy-mm-dd"),""))</x:f>
      </x:c>
    </x:row>
    <x:row r="116" ht="21" customHeight="1">
      <x:c r="A116" s="2" t="n">
        <x:v>10</x:v>
      </x:c>
      <x:c r="B116" s="2" t="str">
        <x:f>IF('Input_Meci'!A15="","",'Input_Meci'!A15)</x:f>
      </x:c>
      <x:c r="C116" s="2" t="str">
        <x:v>H</x:v>
      </x:c>
      <x:c r="D116" s="2" t="str">
        <x:v>CURRENT</x:v>
      </x:c>
      <x:c r="E116" s="2" t="str">
        <x:f>IF(B116="","",'Input_Meci'!B15)</x:f>
      </x:c>
      <x:c r="F116" s="2" t="str">
        <x:f>IF(B116="","",IF('Input_Meci'!C15="","",'Input_Meci'!C15))</x:f>
      </x:c>
      <x:c r="G116" s="2" t="str">
        <x:f>IF(B116="","",'Input_Meci'!D15)</x:f>
      </x:c>
      <x:c r="H116" s="2" t="str">
        <x:v>ANY</x:v>
      </x:c>
      <x:c r="I116" s="2" t="str">
        <x:v>RECENT</x:v>
      </x:c>
      <x:c r="J116" s="9" t="n">
        <x:f>IF(AND(B116&lt;&gt;"",ISNUMBER('Input_Meci'!G15)),INT('Input_Meci'!G15),0)</x:f>
        <x:v>0</x:v>
      </x:c>
      <x:c r="K116" s="2" t="n">
        <x:f>IF(OR(B116="",F116=""),0,IF(H116="HOME",COUNTIFS('Istoric_Nativ'!$B$6:$B$405,E116,'Istoric_Nativ'!$C$6:$C$405,F116,'Istoric_Nativ'!$E$6:$E$405,G116,'Istoric_Nativ'!$D$6:$D$405,"&lt;"&amp;J116,'Istoric_Nativ'!$P$6:$P$405,1),IF(H116="AWAY",COUNTIFS('Istoric_Nativ'!$B$6:$B$405,E116,'Istoric_Nativ'!$C$6:$C$405,F116,'Istoric_Nativ'!$F$6:$F$405,G116,'Istoric_Nativ'!$D$6:$D$405,"&lt;"&amp;J116,'Istoric_Nativ'!$P$6:$P$405,1),COUNTIFS('Istoric_Nativ'!$B$6:$B$405,E116,'Istoric_Nativ'!$C$6:$C$405,F116,'Istoric_Nativ'!$E$6:$E$405,G116,'Istoric_Nativ'!$D$6:$D$405,"&lt;"&amp;J116,'Istoric_Nativ'!$P$6:$P$405,1)+COUNTIFS('Istoric_Nativ'!$B$6:$B$405,E116,'Istoric_Nativ'!$C$6:$C$405,F116,'Istoric_Nativ'!$F$6:$F$405,G116,'Istoric_Nativ'!$D$6:$D$405,"&lt;"&amp;J116,'Istoric_Nativ'!$P$6:$P$405,1))))</x:f>
        <x:v>0</x:v>
      </x:c>
      <x:c r="L116" s="17" t="n">
        <x:f>IF(AND(B116&lt;&gt;"",I116="RECENT",K116&gt;0),LARGE(_xlfn._xlws.FILTER('Istoric_Nativ'!$D$6:$D$405,('Istoric_Nativ'!$B$6:$B$405=E116)*('Istoric_Nativ'!$C$6:$C$405=F116)*('Istoric_Nativ'!$P$6:$P$405=1)*('Istoric_Nativ'!$D$6:$D$405&lt;J116)*((('Istoric_Nativ'!$E$6:$E$405=G116)+('Istoric_Nativ'!$F$6:$F$405=G116))&gt;0)),MIN('Config_v6'!$B$54,K116)),0)</x:f>
        <x:v>0</x:v>
      </x:c>
      <x:c r="M116" s="2" t="n">
        <x:f>IF(OR(B116="",F116=""),0,IF(H116="HOME",COUNTIFS('Istoric_Nativ'!$B$6:$B$405,E116,'Istoric_Nativ'!$C$6:$C$405,F116,'Istoric_Nativ'!$E$6:$E$405,G116,'Istoric_Nativ'!$D$6:$D$405,"&lt;"&amp;J116,'Istoric_Nativ'!$P$6:$P$405,1,'Istoric_Nativ'!$D$6:$D$405,"&gt;="&amp;L116),IF(H116="AWAY",COUNTIFS('Istoric_Nativ'!$B$6:$B$405,E116,'Istoric_Nativ'!$C$6:$C$405,F116,'Istoric_Nativ'!$F$6:$F$405,G116,'Istoric_Nativ'!$D$6:$D$405,"&lt;"&amp;J116,'Istoric_Nativ'!$P$6:$P$405,1,'Istoric_Nativ'!$D$6:$D$405,"&gt;="&amp;L116),COUNTIFS('Istoric_Nativ'!$B$6:$B$405,E116,'Istoric_Nativ'!$C$6:$C$405,F116,'Istoric_Nativ'!$E$6:$E$405,G116,'Istoric_Nativ'!$D$6:$D$405,"&lt;"&amp;J116,'Istoric_Nativ'!$P$6:$P$405,1,'Istoric_Nativ'!$D$6:$D$405,"&gt;="&amp;L116)+COUNTIFS('Istoric_Nativ'!$B$6:$B$405,E116,'Istoric_Nativ'!$C$6:$C$405,F116,'Istoric_Nativ'!$F$6:$F$405,G116,'Istoric_Nativ'!$D$6:$D$405,"&lt;"&amp;J116,'Istoric_Nativ'!$P$6:$P$405,1,'Istoric_Nativ'!$D$6:$D$405,"&gt;="&amp;L116))))</x:f>
        <x:v>0</x:v>
      </x:c>
      <x:c r="N116" s="11" t="str">
        <x:f>IF(M116=0,"",IF(H116="HOME",SUMIFS('Istoric_Nativ'!$G$6:$G$405,'Istoric_Nativ'!$B$6:$B$405,E116,'Istoric_Nativ'!$C$6:$C$405,F116,'Istoric_Nativ'!$E$6:$E$405,G116,'Istoric_Nativ'!$D$6:$D$405,"&lt;"&amp;J116,'Istoric_Nativ'!$P$6:$P$405,1,'Istoric_Nativ'!$D$6:$D$405,"&gt;="&amp;L116),IF(H116="AWAY",SUMIFS('Istoric_Nativ'!$H$6:$H$405,'Istoric_Nativ'!$B$6:$B$405,E116,'Istoric_Nativ'!$C$6:$C$405,F116,'Istoric_Nativ'!$F$6:$F$405,G116,'Istoric_Nativ'!$D$6:$D$405,"&lt;"&amp;J116,'Istoric_Nativ'!$P$6:$P$405,1,'Istoric_Nativ'!$D$6:$D$405,"&gt;="&amp;L116),SUMIFS('Istoric_Nativ'!$G$6:$G$405,'Istoric_Nativ'!$B$6:$B$405,E116,'Istoric_Nativ'!$C$6:$C$405,F116,'Istoric_Nativ'!$E$6:$E$405,G116,'Istoric_Nativ'!$D$6:$D$405,"&lt;"&amp;J116,'Istoric_Nativ'!$P$6:$P$405,1,'Istoric_Nativ'!$D$6:$D$405,"&gt;="&amp;L116)+SUMIFS('Istoric_Nativ'!$H$6:$H$405,'Istoric_Nativ'!$B$6:$B$405,E116,'Istoric_Nativ'!$C$6:$C$405,F116,'Istoric_Nativ'!$F$6:$F$405,G116,'Istoric_Nativ'!$D$6:$D$405,"&lt;"&amp;J116,'Istoric_Nativ'!$P$6:$P$405,1,'Istoric_Nativ'!$D$6:$D$405,"&gt;="&amp;L116)))/M116)</x:f>
      </x:c>
      <x:c r="O116" s="11" t="str">
        <x:f>IF(M116=0,"",IF(H116="HOME",SUMIFS('Istoric_Nativ'!$H$6:$H$405,'Istoric_Nativ'!$B$6:$B$405,E116,'Istoric_Nativ'!$C$6:$C$405,F116,'Istoric_Nativ'!$E$6:$E$405,G116,'Istoric_Nativ'!$D$6:$D$405,"&lt;"&amp;J116,'Istoric_Nativ'!$P$6:$P$405,1,'Istoric_Nativ'!$D$6:$D$405,"&gt;="&amp;L116),IF(H116="AWAY",SUMIFS('Istoric_Nativ'!$G$6:$G$405,'Istoric_Nativ'!$B$6:$B$405,E116,'Istoric_Nativ'!$C$6:$C$405,F116,'Istoric_Nativ'!$F$6:$F$405,G116,'Istoric_Nativ'!$D$6:$D$405,"&lt;"&amp;J116,'Istoric_Nativ'!$P$6:$P$405,1,'Istoric_Nativ'!$D$6:$D$405,"&gt;="&amp;L116),SUMIFS('Istoric_Nativ'!$H$6:$H$405,'Istoric_Nativ'!$B$6:$B$405,E116,'Istoric_Nativ'!$C$6:$C$405,F116,'Istoric_Nativ'!$E$6:$E$405,G116,'Istoric_Nativ'!$D$6:$D$405,"&lt;"&amp;J116,'Istoric_Nativ'!$P$6:$P$405,1,'Istoric_Nativ'!$D$6:$D$405,"&gt;="&amp;L116)+SUMIFS('Istoric_Nativ'!$G$6:$G$405,'Istoric_Nativ'!$B$6:$B$405,E116,'Istoric_Nativ'!$C$6:$C$405,F116,'Istoric_Nativ'!$F$6:$F$405,G116,'Istoric_Nativ'!$D$6:$D$405,"&lt;"&amp;J116,'Istoric_Nativ'!$P$6:$P$405,1,'Istoric_Nativ'!$D$6:$D$405,"&gt;="&amp;L116)))/M116)</x:f>
      </x:c>
      <x:c r="P116" s="2" t="n">
        <x:f>'Config_v6'!$B$9</x:f>
        <x:v>3</x:v>
      </x:c>
      <x:c r="Q116" s="2" t="n">
        <x:f>IF(OR(B116="",F116=""),0,IFERROR(MATCH(E116&amp;"|"&amp;F116,SourceTable[Source_Key],0),0))</x:f>
        <x:v>0</x:v>
      </x:c>
      <x:c r="R116" s="2" t="str">
        <x:f>IF(B116="","",IF(F116="","UNUSED",IF(Q116=0,"NOT CHECKED",IF(COUNTIF(SourceTable[Source_Key],E116&amp;"|"&amp;F116)&lt;&gt;1,"SOURCE CONFLICT",IF(NOT(OR(INDEX(SourceTable[Status],MAX(1,Q116))="IMPORTED",INDEX(SourceTable[Status],MAX(1,Q116))="PARTIAL",INDEX(SourceTable[Status],MAX(1,Q116))="SOURCE CONFLICT")),"ACCESS BLOCKED",IF(OR(INDEX(SourceTable[Coverage],Q116)&lt;&gt;"FULL SEASON EXPORT",INDEX(SourceTable[URL],Q116)="",INDEX(SourceTable[SHA256],Q116)=""),"EVIDENCE INCOMPLETE",IF(AND('Input_Meci'!H15="LIVE",INDEX(SourceTable[Retrieved_UTC],Q116)&gt;'Input_Meci'!G15),"POST CUTOFF","CLOSED")))))))</x:f>
      </x:c>
      <x:c r="S116" s="2" t="n">
        <x:f>IF(OR(B116="",F116=""),0,COUNTIFS('Istoric_Nativ'!$B$6:$B$405,E116,'Istoric_Nativ'!$C$6:$C$405,F116,'Istoric_Nativ'!$E$6:$E$405,G116,'Istoric_Nativ'!$D$6:$D$405,"&lt;"&amp;J116,'Istoric_Nativ'!$O$6:$O$405,"INVALID")+COUNTIFS('Istoric_Nativ'!$B$6:$B$405,E116,'Istoric_Nativ'!$C$6:$C$405,F116,'Istoric_Nativ'!$E$6:$E$405,G116,'Istoric_Nativ'!$O$6:$O$405,"INVALID",'Istoric_Nativ'!$D$6:$D$405,"*")+COUNTIFS('Istoric_Nativ'!$B$6:$B$405,E116,'Istoric_Nativ'!$C$6:$C$405,F116,'Istoric_Nativ'!$E$6:$E$405,G116,'Istoric_Nativ'!$D$6:$D$405,"&lt;"&amp;J116,'Istoric_Nativ'!$O$6:$O$405,"SOURCE CONFLICT")+COUNTIFS('Istoric_Nativ'!$B$6:$B$405,E116,'Istoric_Nativ'!$C$6:$C$405,F116,'Istoric_Nativ'!$F$6:$F$405,G116,'Istoric_Nativ'!$D$6:$D$405,"&lt;"&amp;J116,'Istoric_Nativ'!$O$6:$O$405,"INVALID")+COUNTIFS('Istoric_Nativ'!$B$6:$B$405,E116,'Istoric_Nativ'!$C$6:$C$405,F116,'Istoric_Nativ'!$F$6:$F$405,G116,'Istoric_Nativ'!$O$6:$O$405,"INVALID",'Istoric_Nativ'!$D$6:$D$405,"*")+COUNTIFS('Istoric_Nativ'!$B$6:$B$405,E116,'Istoric_Nativ'!$C$6:$C$405,F116,'Istoric_Nativ'!$F$6:$F$405,G116,'Istoric_Nativ'!$D$6:$D$405,"&lt;"&amp;J116,'Istoric_Nativ'!$O$6:$O$405,"SOURCE CONFLICT"))</x:f>
        <x:v>0</x:v>
      </x:c>
      <x:c r="T116" s="2" t="str">
        <x:f>IF(B116="","",IF(R116&lt;&gt;"CLOSED",R116,IF(S116&gt;0,"NATIVE INPUT ISSUE",IF(M116=0,"NO HISTORY",IF(M116&lt;P116,"SMALL SAMPLE","DERIVED")))))</x:f>
      </x:c>
      <x:c r="U116" s="2" t="str">
        <x:f>IF(B116="","","NativeTable; "&amp;E116&amp;"; "&amp;F116&amp;"; "&amp;G116&amp;"; "&amp;H116&amp;"; before "&amp;TEXT(J116,"yyyy-mm-dd")&amp;IF(I116="RECENT","; from "&amp;TEXT(L116,"yyyy-mm-dd"),""))</x:f>
      </x:c>
    </x:row>
    <x:row r="117" ht="21" customHeight="1">
      <x:c r="A117" s="2" t="n">
        <x:v>10</x:v>
      </x:c>
      <x:c r="B117" s="2" t="str">
        <x:f>IF('Input_Meci'!A15="","",'Input_Meci'!A15)</x:f>
      </x:c>
      <x:c r="C117" s="2" t="str">
        <x:v>A</x:v>
      </x:c>
      <x:c r="D117" s="2" t="str">
        <x:v>CURRENT</x:v>
      </x:c>
      <x:c r="E117" s="2" t="str">
        <x:f>IF(B117="","",'Input_Meci'!B15)</x:f>
      </x:c>
      <x:c r="F117" s="2" t="str">
        <x:f>IF(B117="","",IF('Input_Meci'!C15="","",'Input_Meci'!C15))</x:f>
      </x:c>
      <x:c r="G117" s="2" t="str">
        <x:f>IF(B117="","",'Input_Meci'!E15)</x:f>
      </x:c>
      <x:c r="H117" s="2" t="str">
        <x:v>ANY</x:v>
      </x:c>
      <x:c r="I117" s="2" t="str">
        <x:v>SEASON</x:v>
      </x:c>
      <x:c r="J117" s="9" t="n">
        <x:f>IF(AND(B117&lt;&gt;"",ISNUMBER('Input_Meci'!G15)),INT('Input_Meci'!G15),0)</x:f>
        <x:v>0</x:v>
      </x:c>
      <x:c r="K117" s="2" t="n">
        <x:f>IF(OR(B117="",F117=""),0,IF(H117="HOME",COUNTIFS('Istoric_Nativ'!$B$6:$B$405,E117,'Istoric_Nativ'!$C$6:$C$405,F117,'Istoric_Nativ'!$E$6:$E$405,G117,'Istoric_Nativ'!$D$6:$D$405,"&lt;"&amp;J117,'Istoric_Nativ'!$P$6:$P$405,1),IF(H117="AWAY",COUNTIFS('Istoric_Nativ'!$B$6:$B$405,E117,'Istoric_Nativ'!$C$6:$C$405,F117,'Istoric_Nativ'!$F$6:$F$405,G117,'Istoric_Nativ'!$D$6:$D$405,"&lt;"&amp;J117,'Istoric_Nativ'!$P$6:$P$405,1),COUNTIFS('Istoric_Nativ'!$B$6:$B$405,E117,'Istoric_Nativ'!$C$6:$C$405,F117,'Istoric_Nativ'!$E$6:$E$405,G117,'Istoric_Nativ'!$D$6:$D$405,"&lt;"&amp;J117,'Istoric_Nativ'!$P$6:$P$405,1)+COUNTIFS('Istoric_Nativ'!$B$6:$B$405,E117,'Istoric_Nativ'!$C$6:$C$405,F117,'Istoric_Nativ'!$F$6:$F$405,G117,'Istoric_Nativ'!$D$6:$D$405,"&lt;"&amp;J117,'Istoric_Nativ'!$P$6:$P$405,1))))</x:f>
        <x:v>0</x:v>
      </x:c>
      <x:c r="L117" s="17" t="n">
        <x:f>IF(AND(B117&lt;&gt;"",I117="RECENT",K117&gt;0),LARGE(_xlfn._xlws.FILTER('Istoric_Nativ'!$D$6:$D$405,('Istoric_Nativ'!$B$6:$B$405=E117)*('Istoric_Nativ'!$C$6:$C$405=F117)*('Istoric_Nativ'!$P$6:$P$405=1)*('Istoric_Nativ'!$D$6:$D$405&lt;J117)*((('Istoric_Nativ'!$E$6:$E$405=G117)+('Istoric_Nativ'!$F$6:$F$405=G117))&gt;0)),MIN('Config_v6'!$B$54,K117)),0)</x:f>
        <x:v>0</x:v>
      </x:c>
      <x:c r="M117" s="2" t="n">
        <x:f>IF(OR(B117="",F117=""),0,IF(H117="HOME",COUNTIFS('Istoric_Nativ'!$B$6:$B$405,E117,'Istoric_Nativ'!$C$6:$C$405,F117,'Istoric_Nativ'!$E$6:$E$405,G117,'Istoric_Nativ'!$D$6:$D$405,"&lt;"&amp;J117,'Istoric_Nativ'!$P$6:$P$405,1,'Istoric_Nativ'!$D$6:$D$405,"&gt;="&amp;L117),IF(H117="AWAY",COUNTIFS('Istoric_Nativ'!$B$6:$B$405,E117,'Istoric_Nativ'!$C$6:$C$405,F117,'Istoric_Nativ'!$F$6:$F$405,G117,'Istoric_Nativ'!$D$6:$D$405,"&lt;"&amp;J117,'Istoric_Nativ'!$P$6:$P$405,1,'Istoric_Nativ'!$D$6:$D$405,"&gt;="&amp;L117),COUNTIFS('Istoric_Nativ'!$B$6:$B$405,E117,'Istoric_Nativ'!$C$6:$C$405,F117,'Istoric_Nativ'!$E$6:$E$405,G117,'Istoric_Nativ'!$D$6:$D$405,"&lt;"&amp;J117,'Istoric_Nativ'!$P$6:$P$405,1,'Istoric_Nativ'!$D$6:$D$405,"&gt;="&amp;L117)+COUNTIFS('Istoric_Nativ'!$B$6:$B$405,E117,'Istoric_Nativ'!$C$6:$C$405,F117,'Istoric_Nativ'!$F$6:$F$405,G117,'Istoric_Nativ'!$D$6:$D$405,"&lt;"&amp;J117,'Istoric_Nativ'!$P$6:$P$405,1,'Istoric_Nativ'!$D$6:$D$405,"&gt;="&amp;L117))))</x:f>
        <x:v>0</x:v>
      </x:c>
      <x:c r="N117" s="11" t="str">
        <x:f>IF(M117=0,"",IF(H117="HOME",SUMIFS('Istoric_Nativ'!$G$6:$G$405,'Istoric_Nativ'!$B$6:$B$405,E117,'Istoric_Nativ'!$C$6:$C$405,F117,'Istoric_Nativ'!$E$6:$E$405,G117,'Istoric_Nativ'!$D$6:$D$405,"&lt;"&amp;J117,'Istoric_Nativ'!$P$6:$P$405,1,'Istoric_Nativ'!$D$6:$D$405,"&gt;="&amp;L117),IF(H117="AWAY",SUMIFS('Istoric_Nativ'!$H$6:$H$405,'Istoric_Nativ'!$B$6:$B$405,E117,'Istoric_Nativ'!$C$6:$C$405,F117,'Istoric_Nativ'!$F$6:$F$405,G117,'Istoric_Nativ'!$D$6:$D$405,"&lt;"&amp;J117,'Istoric_Nativ'!$P$6:$P$405,1,'Istoric_Nativ'!$D$6:$D$405,"&gt;="&amp;L117),SUMIFS('Istoric_Nativ'!$G$6:$G$405,'Istoric_Nativ'!$B$6:$B$405,E117,'Istoric_Nativ'!$C$6:$C$405,F117,'Istoric_Nativ'!$E$6:$E$405,G117,'Istoric_Nativ'!$D$6:$D$405,"&lt;"&amp;J117,'Istoric_Nativ'!$P$6:$P$405,1,'Istoric_Nativ'!$D$6:$D$405,"&gt;="&amp;L117)+SUMIFS('Istoric_Nativ'!$H$6:$H$405,'Istoric_Nativ'!$B$6:$B$405,E117,'Istoric_Nativ'!$C$6:$C$405,F117,'Istoric_Nativ'!$F$6:$F$405,G117,'Istoric_Nativ'!$D$6:$D$405,"&lt;"&amp;J117,'Istoric_Nativ'!$P$6:$P$405,1,'Istoric_Nativ'!$D$6:$D$405,"&gt;="&amp;L117)))/M117)</x:f>
      </x:c>
      <x:c r="O117" s="11" t="str">
        <x:f>IF(M117=0,"",IF(H117="HOME",SUMIFS('Istoric_Nativ'!$H$6:$H$405,'Istoric_Nativ'!$B$6:$B$405,E117,'Istoric_Nativ'!$C$6:$C$405,F117,'Istoric_Nativ'!$E$6:$E$405,G117,'Istoric_Nativ'!$D$6:$D$405,"&lt;"&amp;J117,'Istoric_Nativ'!$P$6:$P$405,1,'Istoric_Nativ'!$D$6:$D$405,"&gt;="&amp;L117),IF(H117="AWAY",SUMIFS('Istoric_Nativ'!$G$6:$G$405,'Istoric_Nativ'!$B$6:$B$405,E117,'Istoric_Nativ'!$C$6:$C$405,F117,'Istoric_Nativ'!$F$6:$F$405,G117,'Istoric_Nativ'!$D$6:$D$405,"&lt;"&amp;J117,'Istoric_Nativ'!$P$6:$P$405,1,'Istoric_Nativ'!$D$6:$D$405,"&gt;="&amp;L117),SUMIFS('Istoric_Nativ'!$H$6:$H$405,'Istoric_Nativ'!$B$6:$B$405,E117,'Istoric_Nativ'!$C$6:$C$405,F117,'Istoric_Nativ'!$E$6:$E$405,G117,'Istoric_Nativ'!$D$6:$D$405,"&lt;"&amp;J117,'Istoric_Nativ'!$P$6:$P$405,1,'Istoric_Nativ'!$D$6:$D$405,"&gt;="&amp;L117)+SUMIFS('Istoric_Nativ'!$G$6:$G$405,'Istoric_Nativ'!$B$6:$B$405,E117,'Istoric_Nativ'!$C$6:$C$405,F117,'Istoric_Nativ'!$F$6:$F$405,G117,'Istoric_Nativ'!$D$6:$D$405,"&lt;"&amp;J117,'Istoric_Nativ'!$P$6:$P$405,1,'Istoric_Nativ'!$D$6:$D$405,"&gt;="&amp;L117)))/M117)</x:f>
      </x:c>
      <x:c r="P117" s="2" t="n">
        <x:f>'Config_v6'!$B$7</x:f>
        <x:v>10</x:v>
      </x:c>
      <x:c r="Q117" s="2" t="n">
        <x:f>IF(OR(B117="",F117=""),0,IFERROR(MATCH(E117&amp;"|"&amp;F117,SourceTable[Source_Key],0),0))</x:f>
        <x:v>0</x:v>
      </x:c>
      <x:c r="R117" s="2" t="str">
        <x:f>IF(B117="","",IF(F117="","UNUSED",IF(Q117=0,"NOT CHECKED",IF(COUNTIF(SourceTable[Source_Key],E117&amp;"|"&amp;F117)&lt;&gt;1,"SOURCE CONFLICT",IF(NOT(OR(INDEX(SourceTable[Status],MAX(1,Q117))="IMPORTED",INDEX(SourceTable[Status],MAX(1,Q117))="PARTIAL",INDEX(SourceTable[Status],MAX(1,Q117))="SOURCE CONFLICT")),"ACCESS BLOCKED",IF(OR(INDEX(SourceTable[Coverage],Q117)&lt;&gt;"FULL SEASON EXPORT",INDEX(SourceTable[URL],Q117)="",INDEX(SourceTable[SHA256],Q117)=""),"EVIDENCE INCOMPLETE",IF(AND('Input_Meci'!H15="LIVE",INDEX(SourceTable[Retrieved_UTC],Q117)&gt;'Input_Meci'!G15),"POST CUTOFF","CLOSED")))))))</x:f>
      </x:c>
      <x:c r="S117" s="2" t="n">
        <x:f>IF(OR(B117="",F117=""),0,COUNTIFS('Istoric_Nativ'!$B$6:$B$405,E117,'Istoric_Nativ'!$C$6:$C$405,F117,'Istoric_Nativ'!$E$6:$E$405,G117,'Istoric_Nativ'!$D$6:$D$405,"&lt;"&amp;J117,'Istoric_Nativ'!$O$6:$O$405,"INVALID")+COUNTIFS('Istoric_Nativ'!$B$6:$B$405,E117,'Istoric_Nativ'!$C$6:$C$405,F117,'Istoric_Nativ'!$E$6:$E$405,G117,'Istoric_Nativ'!$O$6:$O$405,"INVALID",'Istoric_Nativ'!$D$6:$D$405,"*")+COUNTIFS('Istoric_Nativ'!$B$6:$B$405,E117,'Istoric_Nativ'!$C$6:$C$405,F117,'Istoric_Nativ'!$E$6:$E$405,G117,'Istoric_Nativ'!$D$6:$D$405,"&lt;"&amp;J117,'Istoric_Nativ'!$O$6:$O$405,"SOURCE CONFLICT")+COUNTIFS('Istoric_Nativ'!$B$6:$B$405,E117,'Istoric_Nativ'!$C$6:$C$405,F117,'Istoric_Nativ'!$F$6:$F$405,G117,'Istoric_Nativ'!$D$6:$D$405,"&lt;"&amp;J117,'Istoric_Nativ'!$O$6:$O$405,"INVALID")+COUNTIFS('Istoric_Nativ'!$B$6:$B$405,E117,'Istoric_Nativ'!$C$6:$C$405,F117,'Istoric_Nativ'!$F$6:$F$405,G117,'Istoric_Nativ'!$O$6:$O$405,"INVALID",'Istoric_Nativ'!$D$6:$D$405,"*")+COUNTIFS('Istoric_Nativ'!$B$6:$B$405,E117,'Istoric_Nativ'!$C$6:$C$405,F117,'Istoric_Nativ'!$F$6:$F$405,G117,'Istoric_Nativ'!$D$6:$D$405,"&lt;"&amp;J117,'Istoric_Nativ'!$O$6:$O$405,"SOURCE CONFLICT"))</x:f>
        <x:v>0</x:v>
      </x:c>
      <x:c r="T117" s="2" t="str">
        <x:f>IF(B117="","",IF(R117&lt;&gt;"CLOSED",R117,IF(S117&gt;0,"NATIVE INPUT ISSUE",IF(M117=0,"NO HISTORY",IF(M117&lt;P117,"SMALL SAMPLE","DERIVED")))))</x:f>
      </x:c>
      <x:c r="U117" s="2" t="str">
        <x:f>IF(B117="","","NativeTable; "&amp;E117&amp;"; "&amp;F117&amp;"; "&amp;G117&amp;"; "&amp;H117&amp;"; before "&amp;TEXT(J117,"yyyy-mm-dd")&amp;IF(I117="RECENT","; from "&amp;TEXT(L117,"yyyy-mm-dd"),""))</x:f>
      </x:c>
    </x:row>
    <x:row r="118" ht="21" customHeight="1">
      <x:c r="A118" s="2" t="n">
        <x:v>10</x:v>
      </x:c>
      <x:c r="B118" s="2" t="str">
        <x:f>IF('Input_Meci'!A15="","",'Input_Meci'!A15)</x:f>
      </x:c>
      <x:c r="C118" s="2" t="str">
        <x:v>A</x:v>
      </x:c>
      <x:c r="D118" s="2" t="str">
        <x:v>CURRENT</x:v>
      </x:c>
      <x:c r="E118" s="2" t="str">
        <x:f>IF(B118="","",'Input_Meci'!B15)</x:f>
      </x:c>
      <x:c r="F118" s="2" t="str">
        <x:f>IF(B118="","",IF('Input_Meci'!C15="","",'Input_Meci'!C15))</x:f>
      </x:c>
      <x:c r="G118" s="2" t="str">
        <x:f>IF(B118="","",'Input_Meci'!E15)</x:f>
      </x:c>
      <x:c r="H118" s="2" t="str">
        <x:v>AWAY</x:v>
      </x:c>
      <x:c r="I118" s="2" t="str">
        <x:v>HA</x:v>
      </x:c>
      <x:c r="J118" s="9" t="n">
        <x:f>IF(AND(B118&lt;&gt;"",ISNUMBER('Input_Meci'!G15)),INT('Input_Meci'!G15),0)</x:f>
        <x:v>0</x:v>
      </x:c>
      <x:c r="K118" s="2" t="n">
        <x:f>IF(OR(B118="",F118=""),0,IF(H118="HOME",COUNTIFS('Istoric_Nativ'!$B$6:$B$405,E118,'Istoric_Nativ'!$C$6:$C$405,F118,'Istoric_Nativ'!$E$6:$E$405,G118,'Istoric_Nativ'!$D$6:$D$405,"&lt;"&amp;J118,'Istoric_Nativ'!$P$6:$P$405,1),IF(H118="AWAY",COUNTIFS('Istoric_Nativ'!$B$6:$B$405,E118,'Istoric_Nativ'!$C$6:$C$405,F118,'Istoric_Nativ'!$F$6:$F$405,G118,'Istoric_Nativ'!$D$6:$D$405,"&lt;"&amp;J118,'Istoric_Nativ'!$P$6:$P$405,1),COUNTIFS('Istoric_Nativ'!$B$6:$B$405,E118,'Istoric_Nativ'!$C$6:$C$405,F118,'Istoric_Nativ'!$E$6:$E$405,G118,'Istoric_Nativ'!$D$6:$D$405,"&lt;"&amp;J118,'Istoric_Nativ'!$P$6:$P$405,1)+COUNTIFS('Istoric_Nativ'!$B$6:$B$405,E118,'Istoric_Nativ'!$C$6:$C$405,F118,'Istoric_Nativ'!$F$6:$F$405,G118,'Istoric_Nativ'!$D$6:$D$405,"&lt;"&amp;J118,'Istoric_Nativ'!$P$6:$P$405,1))))</x:f>
        <x:v>0</x:v>
      </x:c>
      <x:c r="L118" s="17" t="n">
        <x:f>IF(AND(B118&lt;&gt;"",I118="RECENT",K118&gt;0),LARGE(_xlfn._xlws.FILTER('Istoric_Nativ'!$D$6:$D$405,('Istoric_Nativ'!$B$6:$B$405=E118)*('Istoric_Nativ'!$C$6:$C$405=F118)*('Istoric_Nativ'!$P$6:$P$405=1)*('Istoric_Nativ'!$D$6:$D$405&lt;J118)*((('Istoric_Nativ'!$E$6:$E$405=G118)+('Istoric_Nativ'!$F$6:$F$405=G118))&gt;0)),MIN('Config_v6'!$B$54,K118)),0)</x:f>
        <x:v>0</x:v>
      </x:c>
      <x:c r="M118" s="2" t="n">
        <x:f>IF(OR(B118="",F118=""),0,IF(H118="HOME",COUNTIFS('Istoric_Nativ'!$B$6:$B$405,E118,'Istoric_Nativ'!$C$6:$C$405,F118,'Istoric_Nativ'!$E$6:$E$405,G118,'Istoric_Nativ'!$D$6:$D$405,"&lt;"&amp;J118,'Istoric_Nativ'!$P$6:$P$405,1,'Istoric_Nativ'!$D$6:$D$405,"&gt;="&amp;L118),IF(H118="AWAY",COUNTIFS('Istoric_Nativ'!$B$6:$B$405,E118,'Istoric_Nativ'!$C$6:$C$405,F118,'Istoric_Nativ'!$F$6:$F$405,G118,'Istoric_Nativ'!$D$6:$D$405,"&lt;"&amp;J118,'Istoric_Nativ'!$P$6:$P$405,1,'Istoric_Nativ'!$D$6:$D$405,"&gt;="&amp;L118),COUNTIFS('Istoric_Nativ'!$B$6:$B$405,E118,'Istoric_Nativ'!$C$6:$C$405,F118,'Istoric_Nativ'!$E$6:$E$405,G118,'Istoric_Nativ'!$D$6:$D$405,"&lt;"&amp;J118,'Istoric_Nativ'!$P$6:$P$405,1,'Istoric_Nativ'!$D$6:$D$405,"&gt;="&amp;L118)+COUNTIFS('Istoric_Nativ'!$B$6:$B$405,E118,'Istoric_Nativ'!$C$6:$C$405,F118,'Istoric_Nativ'!$F$6:$F$405,G118,'Istoric_Nativ'!$D$6:$D$405,"&lt;"&amp;J118,'Istoric_Nativ'!$P$6:$P$405,1,'Istoric_Nativ'!$D$6:$D$405,"&gt;="&amp;L118))))</x:f>
        <x:v>0</x:v>
      </x:c>
      <x:c r="N118" s="11" t="str">
        <x:f>IF(M118=0,"",IF(H118="HOME",SUMIFS('Istoric_Nativ'!$G$6:$G$405,'Istoric_Nativ'!$B$6:$B$405,E118,'Istoric_Nativ'!$C$6:$C$405,F118,'Istoric_Nativ'!$E$6:$E$405,G118,'Istoric_Nativ'!$D$6:$D$405,"&lt;"&amp;J118,'Istoric_Nativ'!$P$6:$P$405,1,'Istoric_Nativ'!$D$6:$D$405,"&gt;="&amp;L118),IF(H118="AWAY",SUMIFS('Istoric_Nativ'!$H$6:$H$405,'Istoric_Nativ'!$B$6:$B$405,E118,'Istoric_Nativ'!$C$6:$C$405,F118,'Istoric_Nativ'!$F$6:$F$405,G118,'Istoric_Nativ'!$D$6:$D$405,"&lt;"&amp;J118,'Istoric_Nativ'!$P$6:$P$405,1,'Istoric_Nativ'!$D$6:$D$405,"&gt;="&amp;L118),SUMIFS('Istoric_Nativ'!$G$6:$G$405,'Istoric_Nativ'!$B$6:$B$405,E118,'Istoric_Nativ'!$C$6:$C$405,F118,'Istoric_Nativ'!$E$6:$E$405,G118,'Istoric_Nativ'!$D$6:$D$405,"&lt;"&amp;J118,'Istoric_Nativ'!$P$6:$P$405,1,'Istoric_Nativ'!$D$6:$D$405,"&gt;="&amp;L118)+SUMIFS('Istoric_Nativ'!$H$6:$H$405,'Istoric_Nativ'!$B$6:$B$405,E118,'Istoric_Nativ'!$C$6:$C$405,F118,'Istoric_Nativ'!$F$6:$F$405,G118,'Istoric_Nativ'!$D$6:$D$405,"&lt;"&amp;J118,'Istoric_Nativ'!$P$6:$P$405,1,'Istoric_Nativ'!$D$6:$D$405,"&gt;="&amp;L118)))/M118)</x:f>
      </x:c>
      <x:c r="O118" s="11" t="str">
        <x:f>IF(M118=0,"",IF(H118="HOME",SUMIFS('Istoric_Nativ'!$H$6:$H$405,'Istoric_Nativ'!$B$6:$B$405,E118,'Istoric_Nativ'!$C$6:$C$405,F118,'Istoric_Nativ'!$E$6:$E$405,G118,'Istoric_Nativ'!$D$6:$D$405,"&lt;"&amp;J118,'Istoric_Nativ'!$P$6:$P$405,1,'Istoric_Nativ'!$D$6:$D$405,"&gt;="&amp;L118),IF(H118="AWAY",SUMIFS('Istoric_Nativ'!$G$6:$G$405,'Istoric_Nativ'!$B$6:$B$405,E118,'Istoric_Nativ'!$C$6:$C$405,F118,'Istoric_Nativ'!$F$6:$F$405,G118,'Istoric_Nativ'!$D$6:$D$405,"&lt;"&amp;J118,'Istoric_Nativ'!$P$6:$P$405,1,'Istoric_Nativ'!$D$6:$D$405,"&gt;="&amp;L118),SUMIFS('Istoric_Nativ'!$H$6:$H$405,'Istoric_Nativ'!$B$6:$B$405,E118,'Istoric_Nativ'!$C$6:$C$405,F118,'Istoric_Nativ'!$E$6:$E$405,G118,'Istoric_Nativ'!$D$6:$D$405,"&lt;"&amp;J118,'Istoric_Nativ'!$P$6:$P$405,1,'Istoric_Nativ'!$D$6:$D$405,"&gt;="&amp;L118)+SUMIFS('Istoric_Nativ'!$G$6:$G$405,'Istoric_Nativ'!$B$6:$B$405,E118,'Istoric_Nativ'!$C$6:$C$405,F118,'Istoric_Nativ'!$F$6:$F$405,G118,'Istoric_Nativ'!$D$6:$D$405,"&lt;"&amp;J118,'Istoric_Nativ'!$P$6:$P$405,1,'Istoric_Nativ'!$D$6:$D$405,"&gt;="&amp;L118)))/M118)</x:f>
      </x:c>
      <x:c r="P118" s="2" t="n">
        <x:f>'Config_v6'!$B$8</x:f>
        <x:v>5</x:v>
      </x:c>
      <x:c r="Q118" s="2" t="n">
        <x:f>IF(OR(B118="",F118=""),0,IFERROR(MATCH(E118&amp;"|"&amp;F118,SourceTable[Source_Key],0),0))</x:f>
        <x:v>0</x:v>
      </x:c>
      <x:c r="R118" s="2" t="str">
        <x:f>IF(B118="","",IF(F118="","UNUSED",IF(Q118=0,"NOT CHECKED",IF(COUNTIF(SourceTable[Source_Key],E118&amp;"|"&amp;F118)&lt;&gt;1,"SOURCE CONFLICT",IF(NOT(OR(INDEX(SourceTable[Status],MAX(1,Q118))="IMPORTED",INDEX(SourceTable[Status],MAX(1,Q118))="PARTIAL",INDEX(SourceTable[Status],MAX(1,Q118))="SOURCE CONFLICT")),"ACCESS BLOCKED",IF(OR(INDEX(SourceTable[Coverage],Q118)&lt;&gt;"FULL SEASON EXPORT",INDEX(SourceTable[URL],Q118)="",INDEX(SourceTable[SHA256],Q118)=""),"EVIDENCE INCOMPLETE",IF(AND('Input_Meci'!H15="LIVE",INDEX(SourceTable[Retrieved_UTC],Q118)&gt;'Input_Meci'!G15),"POST CUTOFF","CLOSED")))))))</x:f>
      </x:c>
      <x:c r="S118" s="2" t="n">
        <x:f>IF(OR(B118="",F118=""),0,COUNTIFS('Istoric_Nativ'!$B$6:$B$405,E118,'Istoric_Nativ'!$C$6:$C$405,F118,'Istoric_Nativ'!$E$6:$E$405,G118,'Istoric_Nativ'!$D$6:$D$405,"&lt;"&amp;J118,'Istoric_Nativ'!$O$6:$O$405,"INVALID")+COUNTIFS('Istoric_Nativ'!$B$6:$B$405,E118,'Istoric_Nativ'!$C$6:$C$405,F118,'Istoric_Nativ'!$E$6:$E$405,G118,'Istoric_Nativ'!$O$6:$O$405,"INVALID",'Istoric_Nativ'!$D$6:$D$405,"*")+COUNTIFS('Istoric_Nativ'!$B$6:$B$405,E118,'Istoric_Nativ'!$C$6:$C$405,F118,'Istoric_Nativ'!$E$6:$E$405,G118,'Istoric_Nativ'!$D$6:$D$405,"&lt;"&amp;J118,'Istoric_Nativ'!$O$6:$O$405,"SOURCE CONFLICT")+COUNTIFS('Istoric_Nativ'!$B$6:$B$405,E118,'Istoric_Nativ'!$C$6:$C$405,F118,'Istoric_Nativ'!$F$6:$F$405,G118,'Istoric_Nativ'!$D$6:$D$405,"&lt;"&amp;J118,'Istoric_Nativ'!$O$6:$O$405,"INVALID")+COUNTIFS('Istoric_Nativ'!$B$6:$B$405,E118,'Istoric_Nativ'!$C$6:$C$405,F118,'Istoric_Nativ'!$F$6:$F$405,G118,'Istoric_Nativ'!$O$6:$O$405,"INVALID",'Istoric_Nativ'!$D$6:$D$405,"*")+COUNTIFS('Istoric_Nativ'!$B$6:$B$405,E118,'Istoric_Nativ'!$C$6:$C$405,F118,'Istoric_Nativ'!$F$6:$F$405,G118,'Istoric_Nativ'!$D$6:$D$405,"&lt;"&amp;J118,'Istoric_Nativ'!$O$6:$O$405,"SOURCE CONFLICT"))</x:f>
        <x:v>0</x:v>
      </x:c>
      <x:c r="T118" s="2" t="str">
        <x:f>IF(B118="","",IF(R118&lt;&gt;"CLOSED",R118,IF(S118&gt;0,"NATIVE INPUT ISSUE",IF(M118=0,"NO HISTORY",IF(M118&lt;P118,"SMALL SAMPLE","DERIVED")))))</x:f>
      </x:c>
      <x:c r="U118" s="2" t="str">
        <x:f>IF(B118="","","NativeTable; "&amp;E118&amp;"; "&amp;F118&amp;"; "&amp;G118&amp;"; "&amp;H118&amp;"; before "&amp;TEXT(J118,"yyyy-mm-dd")&amp;IF(I118="RECENT","; from "&amp;TEXT(L118,"yyyy-mm-dd"),""))</x:f>
      </x:c>
    </x:row>
    <x:row r="119" ht="21" customHeight="1">
      <x:c r="A119" s="2" t="n">
        <x:v>10</x:v>
      </x:c>
      <x:c r="B119" s="2" t="str">
        <x:f>IF('Input_Meci'!A15="","",'Input_Meci'!A15)</x:f>
      </x:c>
      <x:c r="C119" s="2" t="str">
        <x:v>A</x:v>
      </x:c>
      <x:c r="D119" s="2" t="str">
        <x:v>CURRENT</x:v>
      </x:c>
      <x:c r="E119" s="2" t="str">
        <x:f>IF(B119="","",'Input_Meci'!B15)</x:f>
      </x:c>
      <x:c r="F119" s="2" t="str">
        <x:f>IF(B119="","",IF('Input_Meci'!C15="","",'Input_Meci'!C15))</x:f>
      </x:c>
      <x:c r="G119" s="2" t="str">
        <x:f>IF(B119="","",'Input_Meci'!E15)</x:f>
      </x:c>
      <x:c r="H119" s="2" t="str">
        <x:v>ANY</x:v>
      </x:c>
      <x:c r="I119" s="2" t="str">
        <x:v>RECENT</x:v>
      </x:c>
      <x:c r="J119" s="9" t="n">
        <x:f>IF(AND(B119&lt;&gt;"",ISNUMBER('Input_Meci'!G15)),INT('Input_Meci'!G15),0)</x:f>
        <x:v>0</x:v>
      </x:c>
      <x:c r="K119" s="2" t="n">
        <x:f>IF(OR(B119="",F119=""),0,IF(H119="HOME",COUNTIFS('Istoric_Nativ'!$B$6:$B$405,E119,'Istoric_Nativ'!$C$6:$C$405,F119,'Istoric_Nativ'!$E$6:$E$405,G119,'Istoric_Nativ'!$D$6:$D$405,"&lt;"&amp;J119,'Istoric_Nativ'!$P$6:$P$405,1),IF(H119="AWAY",COUNTIFS('Istoric_Nativ'!$B$6:$B$405,E119,'Istoric_Nativ'!$C$6:$C$405,F119,'Istoric_Nativ'!$F$6:$F$405,G119,'Istoric_Nativ'!$D$6:$D$405,"&lt;"&amp;J119,'Istoric_Nativ'!$P$6:$P$405,1),COUNTIFS('Istoric_Nativ'!$B$6:$B$405,E119,'Istoric_Nativ'!$C$6:$C$405,F119,'Istoric_Nativ'!$E$6:$E$405,G119,'Istoric_Nativ'!$D$6:$D$405,"&lt;"&amp;J119,'Istoric_Nativ'!$P$6:$P$405,1)+COUNTIFS('Istoric_Nativ'!$B$6:$B$405,E119,'Istoric_Nativ'!$C$6:$C$405,F119,'Istoric_Nativ'!$F$6:$F$405,G119,'Istoric_Nativ'!$D$6:$D$405,"&lt;"&amp;J119,'Istoric_Nativ'!$P$6:$P$405,1))))</x:f>
        <x:v>0</x:v>
      </x:c>
      <x:c r="L119" s="17" t="n">
        <x:f>IF(AND(B119&lt;&gt;"",I119="RECENT",K119&gt;0),LARGE(_xlfn._xlws.FILTER('Istoric_Nativ'!$D$6:$D$405,('Istoric_Nativ'!$B$6:$B$405=E119)*('Istoric_Nativ'!$C$6:$C$405=F119)*('Istoric_Nativ'!$P$6:$P$405=1)*('Istoric_Nativ'!$D$6:$D$405&lt;J119)*((('Istoric_Nativ'!$E$6:$E$405=G119)+('Istoric_Nativ'!$F$6:$F$405=G119))&gt;0)),MIN('Config_v6'!$B$54,K119)),0)</x:f>
        <x:v>0</x:v>
      </x:c>
      <x:c r="M119" s="2" t="n">
        <x:f>IF(OR(B119="",F119=""),0,IF(H119="HOME",COUNTIFS('Istoric_Nativ'!$B$6:$B$405,E119,'Istoric_Nativ'!$C$6:$C$405,F119,'Istoric_Nativ'!$E$6:$E$405,G119,'Istoric_Nativ'!$D$6:$D$405,"&lt;"&amp;J119,'Istoric_Nativ'!$P$6:$P$405,1,'Istoric_Nativ'!$D$6:$D$405,"&gt;="&amp;L119),IF(H119="AWAY",COUNTIFS('Istoric_Nativ'!$B$6:$B$405,E119,'Istoric_Nativ'!$C$6:$C$405,F119,'Istoric_Nativ'!$F$6:$F$405,G119,'Istoric_Nativ'!$D$6:$D$405,"&lt;"&amp;J119,'Istoric_Nativ'!$P$6:$P$405,1,'Istoric_Nativ'!$D$6:$D$405,"&gt;="&amp;L119),COUNTIFS('Istoric_Nativ'!$B$6:$B$405,E119,'Istoric_Nativ'!$C$6:$C$405,F119,'Istoric_Nativ'!$E$6:$E$405,G119,'Istoric_Nativ'!$D$6:$D$405,"&lt;"&amp;J119,'Istoric_Nativ'!$P$6:$P$405,1,'Istoric_Nativ'!$D$6:$D$405,"&gt;="&amp;L119)+COUNTIFS('Istoric_Nativ'!$B$6:$B$405,E119,'Istoric_Nativ'!$C$6:$C$405,F119,'Istoric_Nativ'!$F$6:$F$405,G119,'Istoric_Nativ'!$D$6:$D$405,"&lt;"&amp;J119,'Istoric_Nativ'!$P$6:$P$405,1,'Istoric_Nativ'!$D$6:$D$405,"&gt;="&amp;L119))))</x:f>
        <x:v>0</x:v>
      </x:c>
      <x:c r="N119" s="11" t="str">
        <x:f>IF(M119=0,"",IF(H119="HOME",SUMIFS('Istoric_Nativ'!$G$6:$G$405,'Istoric_Nativ'!$B$6:$B$405,E119,'Istoric_Nativ'!$C$6:$C$405,F119,'Istoric_Nativ'!$E$6:$E$405,G119,'Istoric_Nativ'!$D$6:$D$405,"&lt;"&amp;J119,'Istoric_Nativ'!$P$6:$P$405,1,'Istoric_Nativ'!$D$6:$D$405,"&gt;="&amp;L119),IF(H119="AWAY",SUMIFS('Istoric_Nativ'!$H$6:$H$405,'Istoric_Nativ'!$B$6:$B$405,E119,'Istoric_Nativ'!$C$6:$C$405,F119,'Istoric_Nativ'!$F$6:$F$405,G119,'Istoric_Nativ'!$D$6:$D$405,"&lt;"&amp;J119,'Istoric_Nativ'!$P$6:$P$405,1,'Istoric_Nativ'!$D$6:$D$405,"&gt;="&amp;L119),SUMIFS('Istoric_Nativ'!$G$6:$G$405,'Istoric_Nativ'!$B$6:$B$405,E119,'Istoric_Nativ'!$C$6:$C$405,F119,'Istoric_Nativ'!$E$6:$E$405,G119,'Istoric_Nativ'!$D$6:$D$405,"&lt;"&amp;J119,'Istoric_Nativ'!$P$6:$P$405,1,'Istoric_Nativ'!$D$6:$D$405,"&gt;="&amp;L119)+SUMIFS('Istoric_Nativ'!$H$6:$H$405,'Istoric_Nativ'!$B$6:$B$405,E119,'Istoric_Nativ'!$C$6:$C$405,F119,'Istoric_Nativ'!$F$6:$F$405,G119,'Istoric_Nativ'!$D$6:$D$405,"&lt;"&amp;J119,'Istoric_Nativ'!$P$6:$P$405,1,'Istoric_Nativ'!$D$6:$D$405,"&gt;="&amp;L119)))/M119)</x:f>
      </x:c>
      <x:c r="O119" s="11" t="str">
        <x:f>IF(M119=0,"",IF(H119="HOME",SUMIFS('Istoric_Nativ'!$H$6:$H$405,'Istoric_Nativ'!$B$6:$B$405,E119,'Istoric_Nativ'!$C$6:$C$405,F119,'Istoric_Nativ'!$E$6:$E$405,G119,'Istoric_Nativ'!$D$6:$D$405,"&lt;"&amp;J119,'Istoric_Nativ'!$P$6:$P$405,1,'Istoric_Nativ'!$D$6:$D$405,"&gt;="&amp;L119),IF(H119="AWAY",SUMIFS('Istoric_Nativ'!$G$6:$G$405,'Istoric_Nativ'!$B$6:$B$405,E119,'Istoric_Nativ'!$C$6:$C$405,F119,'Istoric_Nativ'!$F$6:$F$405,G119,'Istoric_Nativ'!$D$6:$D$405,"&lt;"&amp;J119,'Istoric_Nativ'!$P$6:$P$405,1,'Istoric_Nativ'!$D$6:$D$405,"&gt;="&amp;L119),SUMIFS('Istoric_Nativ'!$H$6:$H$405,'Istoric_Nativ'!$B$6:$B$405,E119,'Istoric_Nativ'!$C$6:$C$405,F119,'Istoric_Nativ'!$E$6:$E$405,G119,'Istoric_Nativ'!$D$6:$D$405,"&lt;"&amp;J119,'Istoric_Nativ'!$P$6:$P$405,1,'Istoric_Nativ'!$D$6:$D$405,"&gt;="&amp;L119)+SUMIFS('Istoric_Nativ'!$G$6:$G$405,'Istoric_Nativ'!$B$6:$B$405,E119,'Istoric_Nativ'!$C$6:$C$405,F119,'Istoric_Nativ'!$F$6:$F$405,G119,'Istoric_Nativ'!$D$6:$D$405,"&lt;"&amp;J119,'Istoric_Nativ'!$P$6:$P$405,1,'Istoric_Nativ'!$D$6:$D$405,"&gt;="&amp;L119)))/M119)</x:f>
      </x:c>
      <x:c r="P119" s="2" t="n">
        <x:f>'Config_v6'!$B$9</x:f>
        <x:v>3</x:v>
      </x:c>
      <x:c r="Q119" s="2" t="n">
        <x:f>IF(OR(B119="",F119=""),0,IFERROR(MATCH(E119&amp;"|"&amp;F119,SourceTable[Source_Key],0),0))</x:f>
        <x:v>0</x:v>
      </x:c>
      <x:c r="R119" s="2" t="str">
        <x:f>IF(B119="","",IF(F119="","UNUSED",IF(Q119=0,"NOT CHECKED",IF(COUNTIF(SourceTable[Source_Key],E119&amp;"|"&amp;F119)&lt;&gt;1,"SOURCE CONFLICT",IF(NOT(OR(INDEX(SourceTable[Status],MAX(1,Q119))="IMPORTED",INDEX(SourceTable[Status],MAX(1,Q119))="PARTIAL",INDEX(SourceTable[Status],MAX(1,Q119))="SOURCE CONFLICT")),"ACCESS BLOCKED",IF(OR(INDEX(SourceTable[Coverage],Q119)&lt;&gt;"FULL SEASON EXPORT",INDEX(SourceTable[URL],Q119)="",INDEX(SourceTable[SHA256],Q119)=""),"EVIDENCE INCOMPLETE",IF(AND('Input_Meci'!H15="LIVE",INDEX(SourceTable[Retrieved_UTC],Q119)&gt;'Input_Meci'!G15),"POST CUTOFF","CLOSED")))))))</x:f>
      </x:c>
      <x:c r="S119" s="2" t="n">
        <x:f>IF(OR(B119="",F119=""),0,COUNTIFS('Istoric_Nativ'!$B$6:$B$405,E119,'Istoric_Nativ'!$C$6:$C$405,F119,'Istoric_Nativ'!$E$6:$E$405,G119,'Istoric_Nativ'!$D$6:$D$405,"&lt;"&amp;J119,'Istoric_Nativ'!$O$6:$O$405,"INVALID")+COUNTIFS('Istoric_Nativ'!$B$6:$B$405,E119,'Istoric_Nativ'!$C$6:$C$405,F119,'Istoric_Nativ'!$E$6:$E$405,G119,'Istoric_Nativ'!$O$6:$O$405,"INVALID",'Istoric_Nativ'!$D$6:$D$405,"*")+COUNTIFS('Istoric_Nativ'!$B$6:$B$405,E119,'Istoric_Nativ'!$C$6:$C$405,F119,'Istoric_Nativ'!$E$6:$E$405,G119,'Istoric_Nativ'!$D$6:$D$405,"&lt;"&amp;J119,'Istoric_Nativ'!$O$6:$O$405,"SOURCE CONFLICT")+COUNTIFS('Istoric_Nativ'!$B$6:$B$405,E119,'Istoric_Nativ'!$C$6:$C$405,F119,'Istoric_Nativ'!$F$6:$F$405,G119,'Istoric_Nativ'!$D$6:$D$405,"&lt;"&amp;J119,'Istoric_Nativ'!$O$6:$O$405,"INVALID")+COUNTIFS('Istoric_Nativ'!$B$6:$B$405,E119,'Istoric_Nativ'!$C$6:$C$405,F119,'Istoric_Nativ'!$F$6:$F$405,G119,'Istoric_Nativ'!$O$6:$O$405,"INVALID",'Istoric_Nativ'!$D$6:$D$405,"*")+COUNTIFS('Istoric_Nativ'!$B$6:$B$405,E119,'Istoric_Nativ'!$C$6:$C$405,F119,'Istoric_Nativ'!$F$6:$F$405,G119,'Istoric_Nativ'!$D$6:$D$405,"&lt;"&amp;J119,'Istoric_Nativ'!$O$6:$O$405,"SOURCE CONFLICT"))</x:f>
        <x:v>0</x:v>
      </x:c>
      <x:c r="T119" s="2" t="str">
        <x:f>IF(B119="","",IF(R119&lt;&gt;"CLOSED",R119,IF(S119&gt;0,"NATIVE INPUT ISSUE",IF(M119=0,"NO HISTORY",IF(M119&lt;P119,"SMALL SAMPLE","DERIVED")))))</x:f>
      </x:c>
      <x:c r="U119" s="2" t="str">
        <x:f>IF(B119="","","NativeTable; "&amp;E119&amp;"; "&amp;F119&amp;"; "&amp;G119&amp;"; "&amp;H119&amp;"; before "&amp;TEXT(J119,"yyyy-mm-dd")&amp;IF(I119="RECENT","; from "&amp;TEXT(L119,"yyyy-mm-dd"),""))</x:f>
      </x:c>
    </x:row>
    <x:row r="120" ht="21" customHeight="1">
      <x:c r="A120" s="2" t="n">
        <x:v>10</x:v>
      </x:c>
      <x:c r="B120" s="2" t="str">
        <x:f>IF('Input_Meci'!A15="","",'Input_Meci'!A15)</x:f>
      </x:c>
      <x:c r="C120" s="2" t="str">
        <x:v>H</x:v>
      </x:c>
      <x:c r="D120" s="2" t="str">
        <x:v>PRIOR</x:v>
      </x:c>
      <x:c r="E120" s="2" t="str">
        <x:f>IF(B120="","",'Input_Meci'!B15)</x:f>
      </x:c>
      <x:c r="F120" s="2" t="str">
        <x:f>IF(B120="","",IF('Input_Meci'!K15="","",'Input_Meci'!K15))</x:f>
      </x:c>
      <x:c r="G120" s="2" t="str">
        <x:f>IF(B120="","",'Input_Meci'!D15)</x:f>
      </x:c>
      <x:c r="H120" s="2" t="str">
        <x:v>ANY</x:v>
      </x:c>
      <x:c r="I120" s="2" t="str">
        <x:v>SEASON</x:v>
      </x:c>
      <x:c r="J120" s="9" t="n">
        <x:f>IF(AND(B120&lt;&gt;"",ISNUMBER('Input_Meci'!G15)),INT('Input_Meci'!G15),0)</x:f>
        <x:v>0</x:v>
      </x:c>
      <x:c r="K120" s="2" t="n">
        <x:f>IF(OR(B120="",F120=""),0,IF(H120="HOME",COUNTIFS('Istoric_Nativ'!$B$6:$B$405,E120,'Istoric_Nativ'!$C$6:$C$405,F120,'Istoric_Nativ'!$E$6:$E$405,G120,'Istoric_Nativ'!$D$6:$D$405,"&lt;"&amp;J120,'Istoric_Nativ'!$P$6:$P$405,1),IF(H120="AWAY",COUNTIFS('Istoric_Nativ'!$B$6:$B$405,E120,'Istoric_Nativ'!$C$6:$C$405,F120,'Istoric_Nativ'!$F$6:$F$405,G120,'Istoric_Nativ'!$D$6:$D$405,"&lt;"&amp;J120,'Istoric_Nativ'!$P$6:$P$405,1),COUNTIFS('Istoric_Nativ'!$B$6:$B$405,E120,'Istoric_Nativ'!$C$6:$C$405,F120,'Istoric_Nativ'!$E$6:$E$405,G120,'Istoric_Nativ'!$D$6:$D$405,"&lt;"&amp;J120,'Istoric_Nativ'!$P$6:$P$405,1)+COUNTIFS('Istoric_Nativ'!$B$6:$B$405,E120,'Istoric_Nativ'!$C$6:$C$405,F120,'Istoric_Nativ'!$F$6:$F$405,G120,'Istoric_Nativ'!$D$6:$D$405,"&lt;"&amp;J120,'Istoric_Nativ'!$P$6:$P$405,1))))</x:f>
        <x:v>0</x:v>
      </x:c>
      <x:c r="L120" s="17" t="n">
        <x:f>IF(AND(B120&lt;&gt;"",I120="RECENT",K120&gt;0),LARGE(_xlfn._xlws.FILTER('Istoric_Nativ'!$D$6:$D$405,('Istoric_Nativ'!$B$6:$B$405=E120)*('Istoric_Nativ'!$C$6:$C$405=F120)*('Istoric_Nativ'!$P$6:$P$405=1)*('Istoric_Nativ'!$D$6:$D$405&lt;J120)*((('Istoric_Nativ'!$E$6:$E$405=G120)+('Istoric_Nativ'!$F$6:$F$405=G120))&gt;0)),MIN('Config_v6'!$B$54,K120)),0)</x:f>
        <x:v>0</x:v>
      </x:c>
      <x:c r="M120" s="2" t="n">
        <x:f>IF(OR(B120="",F120=""),0,IF(H120="HOME",COUNTIFS('Istoric_Nativ'!$B$6:$B$405,E120,'Istoric_Nativ'!$C$6:$C$405,F120,'Istoric_Nativ'!$E$6:$E$405,G120,'Istoric_Nativ'!$D$6:$D$405,"&lt;"&amp;J120,'Istoric_Nativ'!$P$6:$P$405,1,'Istoric_Nativ'!$D$6:$D$405,"&gt;="&amp;L120),IF(H120="AWAY",COUNTIFS('Istoric_Nativ'!$B$6:$B$405,E120,'Istoric_Nativ'!$C$6:$C$405,F120,'Istoric_Nativ'!$F$6:$F$405,G120,'Istoric_Nativ'!$D$6:$D$405,"&lt;"&amp;J120,'Istoric_Nativ'!$P$6:$P$405,1,'Istoric_Nativ'!$D$6:$D$405,"&gt;="&amp;L120),COUNTIFS('Istoric_Nativ'!$B$6:$B$405,E120,'Istoric_Nativ'!$C$6:$C$405,F120,'Istoric_Nativ'!$E$6:$E$405,G120,'Istoric_Nativ'!$D$6:$D$405,"&lt;"&amp;J120,'Istoric_Nativ'!$P$6:$P$405,1,'Istoric_Nativ'!$D$6:$D$405,"&gt;="&amp;L120)+COUNTIFS('Istoric_Nativ'!$B$6:$B$405,E120,'Istoric_Nativ'!$C$6:$C$405,F120,'Istoric_Nativ'!$F$6:$F$405,G120,'Istoric_Nativ'!$D$6:$D$405,"&lt;"&amp;J120,'Istoric_Nativ'!$P$6:$P$405,1,'Istoric_Nativ'!$D$6:$D$405,"&gt;="&amp;L120))))</x:f>
        <x:v>0</x:v>
      </x:c>
      <x:c r="N120" s="11" t="str">
        <x:f>IF(M120=0,"",IF(H120="HOME",SUMIFS('Istoric_Nativ'!$G$6:$G$405,'Istoric_Nativ'!$B$6:$B$405,E120,'Istoric_Nativ'!$C$6:$C$405,F120,'Istoric_Nativ'!$E$6:$E$405,G120,'Istoric_Nativ'!$D$6:$D$405,"&lt;"&amp;J120,'Istoric_Nativ'!$P$6:$P$405,1,'Istoric_Nativ'!$D$6:$D$405,"&gt;="&amp;L120),IF(H120="AWAY",SUMIFS('Istoric_Nativ'!$H$6:$H$405,'Istoric_Nativ'!$B$6:$B$405,E120,'Istoric_Nativ'!$C$6:$C$405,F120,'Istoric_Nativ'!$F$6:$F$405,G120,'Istoric_Nativ'!$D$6:$D$405,"&lt;"&amp;J120,'Istoric_Nativ'!$P$6:$P$405,1,'Istoric_Nativ'!$D$6:$D$405,"&gt;="&amp;L120),SUMIFS('Istoric_Nativ'!$G$6:$G$405,'Istoric_Nativ'!$B$6:$B$405,E120,'Istoric_Nativ'!$C$6:$C$405,F120,'Istoric_Nativ'!$E$6:$E$405,G120,'Istoric_Nativ'!$D$6:$D$405,"&lt;"&amp;J120,'Istoric_Nativ'!$P$6:$P$405,1,'Istoric_Nativ'!$D$6:$D$405,"&gt;="&amp;L120)+SUMIFS('Istoric_Nativ'!$H$6:$H$405,'Istoric_Nativ'!$B$6:$B$405,E120,'Istoric_Nativ'!$C$6:$C$405,F120,'Istoric_Nativ'!$F$6:$F$405,G120,'Istoric_Nativ'!$D$6:$D$405,"&lt;"&amp;J120,'Istoric_Nativ'!$P$6:$P$405,1,'Istoric_Nativ'!$D$6:$D$405,"&gt;="&amp;L120)))/M120)</x:f>
      </x:c>
      <x:c r="O120" s="11" t="str">
        <x:f>IF(M120=0,"",IF(H120="HOME",SUMIFS('Istoric_Nativ'!$H$6:$H$405,'Istoric_Nativ'!$B$6:$B$405,E120,'Istoric_Nativ'!$C$6:$C$405,F120,'Istoric_Nativ'!$E$6:$E$405,G120,'Istoric_Nativ'!$D$6:$D$405,"&lt;"&amp;J120,'Istoric_Nativ'!$P$6:$P$405,1,'Istoric_Nativ'!$D$6:$D$405,"&gt;="&amp;L120),IF(H120="AWAY",SUMIFS('Istoric_Nativ'!$G$6:$G$405,'Istoric_Nativ'!$B$6:$B$405,E120,'Istoric_Nativ'!$C$6:$C$405,F120,'Istoric_Nativ'!$F$6:$F$405,G120,'Istoric_Nativ'!$D$6:$D$405,"&lt;"&amp;J120,'Istoric_Nativ'!$P$6:$P$405,1,'Istoric_Nativ'!$D$6:$D$405,"&gt;="&amp;L120),SUMIFS('Istoric_Nativ'!$H$6:$H$405,'Istoric_Nativ'!$B$6:$B$405,E120,'Istoric_Nativ'!$C$6:$C$405,F120,'Istoric_Nativ'!$E$6:$E$405,G120,'Istoric_Nativ'!$D$6:$D$405,"&lt;"&amp;J120,'Istoric_Nativ'!$P$6:$P$405,1,'Istoric_Nativ'!$D$6:$D$405,"&gt;="&amp;L120)+SUMIFS('Istoric_Nativ'!$G$6:$G$405,'Istoric_Nativ'!$B$6:$B$405,E120,'Istoric_Nativ'!$C$6:$C$405,F120,'Istoric_Nativ'!$F$6:$F$405,G120,'Istoric_Nativ'!$D$6:$D$405,"&lt;"&amp;J120,'Istoric_Nativ'!$P$6:$P$405,1,'Istoric_Nativ'!$D$6:$D$405,"&gt;="&amp;L120)))/M120)</x:f>
      </x:c>
      <x:c r="P120" s="2" t="n">
        <x:f>'Config_v6'!$B$7</x:f>
        <x:v>10</x:v>
      </x:c>
      <x:c r="Q120" s="2" t="n">
        <x:f>IF(OR(B120="",F120=""),0,IFERROR(MATCH(E120&amp;"|"&amp;F120,SourceTable[Source_Key],0),0))</x:f>
        <x:v>0</x:v>
      </x:c>
      <x:c r="R120" s="2" t="str">
        <x:f>IF(B120="","",IF(F120="","UNUSED",IF(Q120=0,"NOT CHECKED",IF(COUNTIF(SourceTable[Source_Key],E120&amp;"|"&amp;F120)&lt;&gt;1,"SOURCE CONFLICT",IF(NOT(OR(INDEX(SourceTable[Status],MAX(1,Q120))="IMPORTED",INDEX(SourceTable[Status],MAX(1,Q120))="PARTIAL",INDEX(SourceTable[Status],MAX(1,Q120))="SOURCE CONFLICT")),"ACCESS BLOCKED",IF(OR(INDEX(SourceTable[Coverage],Q120)&lt;&gt;"FULL SEASON EXPORT",INDEX(SourceTable[URL],Q120)="",INDEX(SourceTable[SHA256],Q120)=""),"EVIDENCE INCOMPLETE",IF(AND('Input_Meci'!H15="LIVE",INDEX(SourceTable[Retrieved_UTC],Q120)&gt;'Input_Meci'!G15),"POST CUTOFF","CLOSED")))))))</x:f>
      </x:c>
      <x:c r="S120" s="2" t="n">
        <x:f>IF(OR(B120="",F120=""),0,COUNTIFS('Istoric_Nativ'!$B$6:$B$405,E120,'Istoric_Nativ'!$C$6:$C$405,F120,'Istoric_Nativ'!$E$6:$E$405,G120,'Istoric_Nativ'!$D$6:$D$405,"&lt;"&amp;J120,'Istoric_Nativ'!$O$6:$O$405,"INVALID")+COUNTIFS('Istoric_Nativ'!$B$6:$B$405,E120,'Istoric_Nativ'!$C$6:$C$405,F120,'Istoric_Nativ'!$E$6:$E$405,G120,'Istoric_Nativ'!$O$6:$O$405,"INVALID",'Istoric_Nativ'!$D$6:$D$405,"*")+COUNTIFS('Istoric_Nativ'!$B$6:$B$405,E120,'Istoric_Nativ'!$C$6:$C$405,F120,'Istoric_Nativ'!$E$6:$E$405,G120,'Istoric_Nativ'!$D$6:$D$405,"&lt;"&amp;J120,'Istoric_Nativ'!$O$6:$O$405,"SOURCE CONFLICT")+COUNTIFS('Istoric_Nativ'!$B$6:$B$405,E120,'Istoric_Nativ'!$C$6:$C$405,F120,'Istoric_Nativ'!$F$6:$F$405,G120,'Istoric_Nativ'!$D$6:$D$405,"&lt;"&amp;J120,'Istoric_Nativ'!$O$6:$O$405,"INVALID")+COUNTIFS('Istoric_Nativ'!$B$6:$B$405,E120,'Istoric_Nativ'!$C$6:$C$405,F120,'Istoric_Nativ'!$F$6:$F$405,G120,'Istoric_Nativ'!$O$6:$O$405,"INVALID",'Istoric_Nativ'!$D$6:$D$405,"*")+COUNTIFS('Istoric_Nativ'!$B$6:$B$405,E120,'Istoric_Nativ'!$C$6:$C$405,F120,'Istoric_Nativ'!$F$6:$F$405,G120,'Istoric_Nativ'!$D$6:$D$405,"&lt;"&amp;J120,'Istoric_Nativ'!$O$6:$O$405,"SOURCE CONFLICT"))</x:f>
        <x:v>0</x:v>
      </x:c>
      <x:c r="T120" s="2" t="str">
        <x:f>IF(B120="","",IF(R120&lt;&gt;"CLOSED",R120,IF(S120&gt;0,"NATIVE INPUT ISSUE",IF(M120=0,"NO HISTORY",IF(M120&lt;P120,"SMALL SAMPLE","DERIVED")))))</x:f>
      </x:c>
      <x:c r="U120" s="2" t="str">
        <x:f>IF(B120="","","NativeTable; "&amp;E120&amp;"; "&amp;F120&amp;"; "&amp;G120&amp;"; "&amp;H120&amp;"; before "&amp;TEXT(J120,"yyyy-mm-dd")&amp;IF(I120="RECENT","; from "&amp;TEXT(L120,"yyyy-mm-dd"),""))</x:f>
      </x:c>
    </x:row>
    <x:row r="121" ht="21" customHeight="1">
      <x:c r="A121" s="2" t="n">
        <x:v>10</x:v>
      </x:c>
      <x:c r="B121" s="2" t="str">
        <x:f>IF('Input_Meci'!A15="","",'Input_Meci'!A15)</x:f>
      </x:c>
      <x:c r="C121" s="2" t="str">
        <x:v>H</x:v>
      </x:c>
      <x:c r="D121" s="2" t="str">
        <x:v>PRIOR</x:v>
      </x:c>
      <x:c r="E121" s="2" t="str">
        <x:f>IF(B121="","",'Input_Meci'!B15)</x:f>
      </x:c>
      <x:c r="F121" s="2" t="str">
        <x:f>IF(B121="","",IF('Input_Meci'!K15="","",'Input_Meci'!K15))</x:f>
      </x:c>
      <x:c r="G121" s="2" t="str">
        <x:f>IF(B121="","",'Input_Meci'!D15)</x:f>
      </x:c>
      <x:c r="H121" s="2" t="str">
        <x:v>HOME</x:v>
      </x:c>
      <x:c r="I121" s="2" t="str">
        <x:v>HA</x:v>
      </x:c>
      <x:c r="J121" s="9" t="n">
        <x:f>IF(AND(B121&lt;&gt;"",ISNUMBER('Input_Meci'!G15)),INT('Input_Meci'!G15),0)</x:f>
        <x:v>0</x:v>
      </x:c>
      <x:c r="K121" s="2" t="n">
        <x:f>IF(OR(B121="",F121=""),0,IF(H121="HOME",COUNTIFS('Istoric_Nativ'!$B$6:$B$405,E121,'Istoric_Nativ'!$C$6:$C$405,F121,'Istoric_Nativ'!$E$6:$E$405,G121,'Istoric_Nativ'!$D$6:$D$405,"&lt;"&amp;J121,'Istoric_Nativ'!$P$6:$P$405,1),IF(H121="AWAY",COUNTIFS('Istoric_Nativ'!$B$6:$B$405,E121,'Istoric_Nativ'!$C$6:$C$405,F121,'Istoric_Nativ'!$F$6:$F$405,G121,'Istoric_Nativ'!$D$6:$D$405,"&lt;"&amp;J121,'Istoric_Nativ'!$P$6:$P$405,1),COUNTIFS('Istoric_Nativ'!$B$6:$B$405,E121,'Istoric_Nativ'!$C$6:$C$405,F121,'Istoric_Nativ'!$E$6:$E$405,G121,'Istoric_Nativ'!$D$6:$D$405,"&lt;"&amp;J121,'Istoric_Nativ'!$P$6:$P$405,1)+COUNTIFS('Istoric_Nativ'!$B$6:$B$405,E121,'Istoric_Nativ'!$C$6:$C$405,F121,'Istoric_Nativ'!$F$6:$F$405,G121,'Istoric_Nativ'!$D$6:$D$405,"&lt;"&amp;J121,'Istoric_Nativ'!$P$6:$P$405,1))))</x:f>
        <x:v>0</x:v>
      </x:c>
      <x:c r="L121" s="17" t="n">
        <x:f>IF(AND(B121&lt;&gt;"",I121="RECENT",K121&gt;0),LARGE(_xlfn._xlws.FILTER('Istoric_Nativ'!$D$6:$D$405,('Istoric_Nativ'!$B$6:$B$405=E121)*('Istoric_Nativ'!$C$6:$C$405=F121)*('Istoric_Nativ'!$P$6:$P$405=1)*('Istoric_Nativ'!$D$6:$D$405&lt;J121)*((('Istoric_Nativ'!$E$6:$E$405=G121)+('Istoric_Nativ'!$F$6:$F$405=G121))&gt;0)),MIN('Config_v6'!$B$54,K121)),0)</x:f>
        <x:v>0</x:v>
      </x:c>
      <x:c r="M121" s="2" t="n">
        <x:f>IF(OR(B121="",F121=""),0,IF(H121="HOME",COUNTIFS('Istoric_Nativ'!$B$6:$B$405,E121,'Istoric_Nativ'!$C$6:$C$405,F121,'Istoric_Nativ'!$E$6:$E$405,G121,'Istoric_Nativ'!$D$6:$D$405,"&lt;"&amp;J121,'Istoric_Nativ'!$P$6:$P$405,1,'Istoric_Nativ'!$D$6:$D$405,"&gt;="&amp;L121),IF(H121="AWAY",COUNTIFS('Istoric_Nativ'!$B$6:$B$405,E121,'Istoric_Nativ'!$C$6:$C$405,F121,'Istoric_Nativ'!$F$6:$F$405,G121,'Istoric_Nativ'!$D$6:$D$405,"&lt;"&amp;J121,'Istoric_Nativ'!$P$6:$P$405,1,'Istoric_Nativ'!$D$6:$D$405,"&gt;="&amp;L121),COUNTIFS('Istoric_Nativ'!$B$6:$B$405,E121,'Istoric_Nativ'!$C$6:$C$405,F121,'Istoric_Nativ'!$E$6:$E$405,G121,'Istoric_Nativ'!$D$6:$D$405,"&lt;"&amp;J121,'Istoric_Nativ'!$P$6:$P$405,1,'Istoric_Nativ'!$D$6:$D$405,"&gt;="&amp;L121)+COUNTIFS('Istoric_Nativ'!$B$6:$B$405,E121,'Istoric_Nativ'!$C$6:$C$405,F121,'Istoric_Nativ'!$F$6:$F$405,G121,'Istoric_Nativ'!$D$6:$D$405,"&lt;"&amp;J121,'Istoric_Nativ'!$P$6:$P$405,1,'Istoric_Nativ'!$D$6:$D$405,"&gt;="&amp;L121))))</x:f>
        <x:v>0</x:v>
      </x:c>
      <x:c r="N121" s="11" t="str">
        <x:f>IF(M121=0,"",IF(H121="HOME",SUMIFS('Istoric_Nativ'!$G$6:$G$405,'Istoric_Nativ'!$B$6:$B$405,E121,'Istoric_Nativ'!$C$6:$C$405,F121,'Istoric_Nativ'!$E$6:$E$405,G121,'Istoric_Nativ'!$D$6:$D$405,"&lt;"&amp;J121,'Istoric_Nativ'!$P$6:$P$405,1,'Istoric_Nativ'!$D$6:$D$405,"&gt;="&amp;L121),IF(H121="AWAY",SUMIFS('Istoric_Nativ'!$H$6:$H$405,'Istoric_Nativ'!$B$6:$B$405,E121,'Istoric_Nativ'!$C$6:$C$405,F121,'Istoric_Nativ'!$F$6:$F$405,G121,'Istoric_Nativ'!$D$6:$D$405,"&lt;"&amp;J121,'Istoric_Nativ'!$P$6:$P$405,1,'Istoric_Nativ'!$D$6:$D$405,"&gt;="&amp;L121),SUMIFS('Istoric_Nativ'!$G$6:$G$405,'Istoric_Nativ'!$B$6:$B$405,E121,'Istoric_Nativ'!$C$6:$C$405,F121,'Istoric_Nativ'!$E$6:$E$405,G121,'Istoric_Nativ'!$D$6:$D$405,"&lt;"&amp;J121,'Istoric_Nativ'!$P$6:$P$405,1,'Istoric_Nativ'!$D$6:$D$405,"&gt;="&amp;L121)+SUMIFS('Istoric_Nativ'!$H$6:$H$405,'Istoric_Nativ'!$B$6:$B$405,E121,'Istoric_Nativ'!$C$6:$C$405,F121,'Istoric_Nativ'!$F$6:$F$405,G121,'Istoric_Nativ'!$D$6:$D$405,"&lt;"&amp;J121,'Istoric_Nativ'!$P$6:$P$405,1,'Istoric_Nativ'!$D$6:$D$405,"&gt;="&amp;L121)))/M121)</x:f>
      </x:c>
      <x:c r="O121" s="11" t="str">
        <x:f>IF(M121=0,"",IF(H121="HOME",SUMIFS('Istoric_Nativ'!$H$6:$H$405,'Istoric_Nativ'!$B$6:$B$405,E121,'Istoric_Nativ'!$C$6:$C$405,F121,'Istoric_Nativ'!$E$6:$E$405,G121,'Istoric_Nativ'!$D$6:$D$405,"&lt;"&amp;J121,'Istoric_Nativ'!$P$6:$P$405,1,'Istoric_Nativ'!$D$6:$D$405,"&gt;="&amp;L121),IF(H121="AWAY",SUMIFS('Istoric_Nativ'!$G$6:$G$405,'Istoric_Nativ'!$B$6:$B$405,E121,'Istoric_Nativ'!$C$6:$C$405,F121,'Istoric_Nativ'!$F$6:$F$405,G121,'Istoric_Nativ'!$D$6:$D$405,"&lt;"&amp;J121,'Istoric_Nativ'!$P$6:$P$405,1,'Istoric_Nativ'!$D$6:$D$405,"&gt;="&amp;L121),SUMIFS('Istoric_Nativ'!$H$6:$H$405,'Istoric_Nativ'!$B$6:$B$405,E121,'Istoric_Nativ'!$C$6:$C$405,F121,'Istoric_Nativ'!$E$6:$E$405,G121,'Istoric_Nativ'!$D$6:$D$405,"&lt;"&amp;J121,'Istoric_Nativ'!$P$6:$P$405,1,'Istoric_Nativ'!$D$6:$D$405,"&gt;="&amp;L121)+SUMIFS('Istoric_Nativ'!$G$6:$G$405,'Istoric_Nativ'!$B$6:$B$405,E121,'Istoric_Nativ'!$C$6:$C$405,F121,'Istoric_Nativ'!$F$6:$F$405,G121,'Istoric_Nativ'!$D$6:$D$405,"&lt;"&amp;J121,'Istoric_Nativ'!$P$6:$P$405,1,'Istoric_Nativ'!$D$6:$D$405,"&gt;="&amp;L121)))/M121)</x:f>
      </x:c>
      <x:c r="P121" s="2" t="n">
        <x:f>'Config_v6'!$B$8</x:f>
        <x:v>5</x:v>
      </x:c>
      <x:c r="Q121" s="2" t="n">
        <x:f>IF(OR(B121="",F121=""),0,IFERROR(MATCH(E121&amp;"|"&amp;F121,SourceTable[Source_Key],0),0))</x:f>
        <x:v>0</x:v>
      </x:c>
      <x:c r="R121" s="2" t="str">
        <x:f>IF(B121="","",IF(F121="","UNUSED",IF(Q121=0,"NOT CHECKED",IF(COUNTIF(SourceTable[Source_Key],E121&amp;"|"&amp;F121)&lt;&gt;1,"SOURCE CONFLICT",IF(NOT(OR(INDEX(SourceTable[Status],MAX(1,Q121))="IMPORTED",INDEX(SourceTable[Status],MAX(1,Q121))="PARTIAL",INDEX(SourceTable[Status],MAX(1,Q121))="SOURCE CONFLICT")),"ACCESS BLOCKED",IF(OR(INDEX(SourceTable[Coverage],Q121)&lt;&gt;"FULL SEASON EXPORT",INDEX(SourceTable[URL],Q121)="",INDEX(SourceTable[SHA256],Q121)=""),"EVIDENCE INCOMPLETE",IF(AND('Input_Meci'!H15="LIVE",INDEX(SourceTable[Retrieved_UTC],Q121)&gt;'Input_Meci'!G15),"POST CUTOFF","CLOSED")))))))</x:f>
      </x:c>
      <x:c r="S121" s="2" t="n">
        <x:f>IF(OR(B121="",F121=""),0,COUNTIFS('Istoric_Nativ'!$B$6:$B$405,E121,'Istoric_Nativ'!$C$6:$C$405,F121,'Istoric_Nativ'!$E$6:$E$405,G121,'Istoric_Nativ'!$D$6:$D$405,"&lt;"&amp;J121,'Istoric_Nativ'!$O$6:$O$405,"INVALID")+COUNTIFS('Istoric_Nativ'!$B$6:$B$405,E121,'Istoric_Nativ'!$C$6:$C$405,F121,'Istoric_Nativ'!$E$6:$E$405,G121,'Istoric_Nativ'!$O$6:$O$405,"INVALID",'Istoric_Nativ'!$D$6:$D$405,"*")+COUNTIFS('Istoric_Nativ'!$B$6:$B$405,E121,'Istoric_Nativ'!$C$6:$C$405,F121,'Istoric_Nativ'!$E$6:$E$405,G121,'Istoric_Nativ'!$D$6:$D$405,"&lt;"&amp;J121,'Istoric_Nativ'!$O$6:$O$405,"SOURCE CONFLICT")+COUNTIFS('Istoric_Nativ'!$B$6:$B$405,E121,'Istoric_Nativ'!$C$6:$C$405,F121,'Istoric_Nativ'!$F$6:$F$405,G121,'Istoric_Nativ'!$D$6:$D$405,"&lt;"&amp;J121,'Istoric_Nativ'!$O$6:$O$405,"INVALID")+COUNTIFS('Istoric_Nativ'!$B$6:$B$405,E121,'Istoric_Nativ'!$C$6:$C$405,F121,'Istoric_Nativ'!$F$6:$F$405,G121,'Istoric_Nativ'!$O$6:$O$405,"INVALID",'Istoric_Nativ'!$D$6:$D$405,"*")+COUNTIFS('Istoric_Nativ'!$B$6:$B$405,E121,'Istoric_Nativ'!$C$6:$C$405,F121,'Istoric_Nativ'!$F$6:$F$405,G121,'Istoric_Nativ'!$D$6:$D$405,"&lt;"&amp;J121,'Istoric_Nativ'!$O$6:$O$405,"SOURCE CONFLICT"))</x:f>
        <x:v>0</x:v>
      </x:c>
      <x:c r="T121" s="2" t="str">
        <x:f>IF(B121="","",IF(R121&lt;&gt;"CLOSED",R121,IF(S121&gt;0,"NATIVE INPUT ISSUE",IF(M121=0,"NO HISTORY",IF(M121&lt;P121,"SMALL SAMPLE","DERIVED")))))</x:f>
      </x:c>
      <x:c r="U121" s="2" t="str">
        <x:f>IF(B121="","","NativeTable; "&amp;E121&amp;"; "&amp;F121&amp;"; "&amp;G121&amp;"; "&amp;H121&amp;"; before "&amp;TEXT(J121,"yyyy-mm-dd")&amp;IF(I121="RECENT","; from "&amp;TEXT(L121,"yyyy-mm-dd"),""))</x:f>
      </x:c>
    </x:row>
    <x:row r="122" ht="21" customHeight="1">
      <x:c r="A122" s="2" t="n">
        <x:v>10</x:v>
      </x:c>
      <x:c r="B122" s="2" t="str">
        <x:f>IF('Input_Meci'!A15="","",'Input_Meci'!A15)</x:f>
      </x:c>
      <x:c r="C122" s="2" t="str">
        <x:v>H</x:v>
      </x:c>
      <x:c r="D122" s="2" t="str">
        <x:v>PRIOR</x:v>
      </x:c>
      <x:c r="E122" s="2" t="str">
        <x:f>IF(B122="","",'Input_Meci'!B15)</x:f>
      </x:c>
      <x:c r="F122" s="2" t="str">
        <x:f>IF(B122="","",IF('Input_Meci'!K15="","",'Input_Meci'!K15))</x:f>
      </x:c>
      <x:c r="G122" s="2" t="str">
        <x:f>IF(B122="","",'Input_Meci'!D15)</x:f>
      </x:c>
      <x:c r="H122" s="2" t="str">
        <x:v>ANY</x:v>
      </x:c>
      <x:c r="I122" s="2" t="str">
        <x:v>RECENT</x:v>
      </x:c>
      <x:c r="J122" s="9" t="n">
        <x:f>IF(AND(B122&lt;&gt;"",ISNUMBER('Input_Meci'!G15)),INT('Input_Meci'!G15),0)</x:f>
        <x:v>0</x:v>
      </x:c>
      <x:c r="K122" s="2" t="n">
        <x:f>IF(OR(B122="",F122=""),0,IF(H122="HOME",COUNTIFS('Istoric_Nativ'!$B$6:$B$405,E122,'Istoric_Nativ'!$C$6:$C$405,F122,'Istoric_Nativ'!$E$6:$E$405,G122,'Istoric_Nativ'!$D$6:$D$405,"&lt;"&amp;J122,'Istoric_Nativ'!$P$6:$P$405,1),IF(H122="AWAY",COUNTIFS('Istoric_Nativ'!$B$6:$B$405,E122,'Istoric_Nativ'!$C$6:$C$405,F122,'Istoric_Nativ'!$F$6:$F$405,G122,'Istoric_Nativ'!$D$6:$D$405,"&lt;"&amp;J122,'Istoric_Nativ'!$P$6:$P$405,1),COUNTIFS('Istoric_Nativ'!$B$6:$B$405,E122,'Istoric_Nativ'!$C$6:$C$405,F122,'Istoric_Nativ'!$E$6:$E$405,G122,'Istoric_Nativ'!$D$6:$D$405,"&lt;"&amp;J122,'Istoric_Nativ'!$P$6:$P$405,1)+COUNTIFS('Istoric_Nativ'!$B$6:$B$405,E122,'Istoric_Nativ'!$C$6:$C$405,F122,'Istoric_Nativ'!$F$6:$F$405,G122,'Istoric_Nativ'!$D$6:$D$405,"&lt;"&amp;J122,'Istoric_Nativ'!$P$6:$P$405,1))))</x:f>
        <x:v>0</x:v>
      </x:c>
      <x:c r="L122" s="17" t="n">
        <x:f>IF(AND(B122&lt;&gt;"",I122="RECENT",K122&gt;0),LARGE(_xlfn._xlws.FILTER('Istoric_Nativ'!$D$6:$D$405,('Istoric_Nativ'!$B$6:$B$405=E122)*('Istoric_Nativ'!$C$6:$C$405=F122)*('Istoric_Nativ'!$P$6:$P$405=1)*('Istoric_Nativ'!$D$6:$D$405&lt;J122)*((('Istoric_Nativ'!$E$6:$E$405=G122)+('Istoric_Nativ'!$F$6:$F$405=G122))&gt;0)),MIN('Config_v6'!$B$54,K122)),0)</x:f>
        <x:v>0</x:v>
      </x:c>
      <x:c r="M122" s="2" t="n">
        <x:f>IF(OR(B122="",F122=""),0,IF(H122="HOME",COUNTIFS('Istoric_Nativ'!$B$6:$B$405,E122,'Istoric_Nativ'!$C$6:$C$405,F122,'Istoric_Nativ'!$E$6:$E$405,G122,'Istoric_Nativ'!$D$6:$D$405,"&lt;"&amp;J122,'Istoric_Nativ'!$P$6:$P$405,1,'Istoric_Nativ'!$D$6:$D$405,"&gt;="&amp;L122),IF(H122="AWAY",COUNTIFS('Istoric_Nativ'!$B$6:$B$405,E122,'Istoric_Nativ'!$C$6:$C$405,F122,'Istoric_Nativ'!$F$6:$F$405,G122,'Istoric_Nativ'!$D$6:$D$405,"&lt;"&amp;J122,'Istoric_Nativ'!$P$6:$P$405,1,'Istoric_Nativ'!$D$6:$D$405,"&gt;="&amp;L122),COUNTIFS('Istoric_Nativ'!$B$6:$B$405,E122,'Istoric_Nativ'!$C$6:$C$405,F122,'Istoric_Nativ'!$E$6:$E$405,G122,'Istoric_Nativ'!$D$6:$D$405,"&lt;"&amp;J122,'Istoric_Nativ'!$P$6:$P$405,1,'Istoric_Nativ'!$D$6:$D$405,"&gt;="&amp;L122)+COUNTIFS('Istoric_Nativ'!$B$6:$B$405,E122,'Istoric_Nativ'!$C$6:$C$405,F122,'Istoric_Nativ'!$F$6:$F$405,G122,'Istoric_Nativ'!$D$6:$D$405,"&lt;"&amp;J122,'Istoric_Nativ'!$P$6:$P$405,1,'Istoric_Nativ'!$D$6:$D$405,"&gt;="&amp;L122))))</x:f>
        <x:v>0</x:v>
      </x:c>
      <x:c r="N122" s="11" t="str">
        <x:f>IF(M122=0,"",IF(H122="HOME",SUMIFS('Istoric_Nativ'!$G$6:$G$405,'Istoric_Nativ'!$B$6:$B$405,E122,'Istoric_Nativ'!$C$6:$C$405,F122,'Istoric_Nativ'!$E$6:$E$405,G122,'Istoric_Nativ'!$D$6:$D$405,"&lt;"&amp;J122,'Istoric_Nativ'!$P$6:$P$405,1,'Istoric_Nativ'!$D$6:$D$405,"&gt;="&amp;L122),IF(H122="AWAY",SUMIFS('Istoric_Nativ'!$H$6:$H$405,'Istoric_Nativ'!$B$6:$B$405,E122,'Istoric_Nativ'!$C$6:$C$405,F122,'Istoric_Nativ'!$F$6:$F$405,G122,'Istoric_Nativ'!$D$6:$D$405,"&lt;"&amp;J122,'Istoric_Nativ'!$P$6:$P$405,1,'Istoric_Nativ'!$D$6:$D$405,"&gt;="&amp;L122),SUMIFS('Istoric_Nativ'!$G$6:$G$405,'Istoric_Nativ'!$B$6:$B$405,E122,'Istoric_Nativ'!$C$6:$C$405,F122,'Istoric_Nativ'!$E$6:$E$405,G122,'Istoric_Nativ'!$D$6:$D$405,"&lt;"&amp;J122,'Istoric_Nativ'!$P$6:$P$405,1,'Istoric_Nativ'!$D$6:$D$405,"&gt;="&amp;L122)+SUMIFS('Istoric_Nativ'!$H$6:$H$405,'Istoric_Nativ'!$B$6:$B$405,E122,'Istoric_Nativ'!$C$6:$C$405,F122,'Istoric_Nativ'!$F$6:$F$405,G122,'Istoric_Nativ'!$D$6:$D$405,"&lt;"&amp;J122,'Istoric_Nativ'!$P$6:$P$405,1,'Istoric_Nativ'!$D$6:$D$405,"&gt;="&amp;L122)))/M122)</x:f>
      </x:c>
      <x:c r="O122" s="11" t="str">
        <x:f>IF(M122=0,"",IF(H122="HOME",SUMIFS('Istoric_Nativ'!$H$6:$H$405,'Istoric_Nativ'!$B$6:$B$405,E122,'Istoric_Nativ'!$C$6:$C$405,F122,'Istoric_Nativ'!$E$6:$E$405,G122,'Istoric_Nativ'!$D$6:$D$405,"&lt;"&amp;J122,'Istoric_Nativ'!$P$6:$P$405,1,'Istoric_Nativ'!$D$6:$D$405,"&gt;="&amp;L122),IF(H122="AWAY",SUMIFS('Istoric_Nativ'!$G$6:$G$405,'Istoric_Nativ'!$B$6:$B$405,E122,'Istoric_Nativ'!$C$6:$C$405,F122,'Istoric_Nativ'!$F$6:$F$405,G122,'Istoric_Nativ'!$D$6:$D$405,"&lt;"&amp;J122,'Istoric_Nativ'!$P$6:$P$405,1,'Istoric_Nativ'!$D$6:$D$405,"&gt;="&amp;L122),SUMIFS('Istoric_Nativ'!$H$6:$H$405,'Istoric_Nativ'!$B$6:$B$405,E122,'Istoric_Nativ'!$C$6:$C$405,F122,'Istoric_Nativ'!$E$6:$E$405,G122,'Istoric_Nativ'!$D$6:$D$405,"&lt;"&amp;J122,'Istoric_Nativ'!$P$6:$P$405,1,'Istoric_Nativ'!$D$6:$D$405,"&gt;="&amp;L122)+SUMIFS('Istoric_Nativ'!$G$6:$G$405,'Istoric_Nativ'!$B$6:$B$405,E122,'Istoric_Nativ'!$C$6:$C$405,F122,'Istoric_Nativ'!$F$6:$F$405,G122,'Istoric_Nativ'!$D$6:$D$405,"&lt;"&amp;J122,'Istoric_Nativ'!$P$6:$P$405,1,'Istoric_Nativ'!$D$6:$D$405,"&gt;="&amp;L122)))/M122)</x:f>
      </x:c>
      <x:c r="P122" s="2" t="n">
        <x:f>'Config_v6'!$B$9</x:f>
        <x:v>3</x:v>
      </x:c>
      <x:c r="Q122" s="2" t="n">
        <x:f>IF(OR(B122="",F122=""),0,IFERROR(MATCH(E122&amp;"|"&amp;F122,SourceTable[Source_Key],0),0))</x:f>
        <x:v>0</x:v>
      </x:c>
      <x:c r="R122" s="2" t="str">
        <x:f>IF(B122="","",IF(F122="","UNUSED",IF(Q122=0,"NOT CHECKED",IF(COUNTIF(SourceTable[Source_Key],E122&amp;"|"&amp;F122)&lt;&gt;1,"SOURCE CONFLICT",IF(NOT(OR(INDEX(SourceTable[Status],MAX(1,Q122))="IMPORTED",INDEX(SourceTable[Status],MAX(1,Q122))="PARTIAL",INDEX(SourceTable[Status],MAX(1,Q122))="SOURCE CONFLICT")),"ACCESS BLOCKED",IF(OR(INDEX(SourceTable[Coverage],Q122)&lt;&gt;"FULL SEASON EXPORT",INDEX(SourceTable[URL],Q122)="",INDEX(SourceTable[SHA256],Q122)=""),"EVIDENCE INCOMPLETE",IF(AND('Input_Meci'!H15="LIVE",INDEX(SourceTable[Retrieved_UTC],Q122)&gt;'Input_Meci'!G15),"POST CUTOFF","CLOSED")))))))</x:f>
      </x:c>
      <x:c r="S122" s="2" t="n">
        <x:f>IF(OR(B122="",F122=""),0,COUNTIFS('Istoric_Nativ'!$B$6:$B$405,E122,'Istoric_Nativ'!$C$6:$C$405,F122,'Istoric_Nativ'!$E$6:$E$405,G122,'Istoric_Nativ'!$D$6:$D$405,"&lt;"&amp;J122,'Istoric_Nativ'!$O$6:$O$405,"INVALID")+COUNTIFS('Istoric_Nativ'!$B$6:$B$405,E122,'Istoric_Nativ'!$C$6:$C$405,F122,'Istoric_Nativ'!$E$6:$E$405,G122,'Istoric_Nativ'!$O$6:$O$405,"INVALID",'Istoric_Nativ'!$D$6:$D$405,"*")+COUNTIFS('Istoric_Nativ'!$B$6:$B$405,E122,'Istoric_Nativ'!$C$6:$C$405,F122,'Istoric_Nativ'!$E$6:$E$405,G122,'Istoric_Nativ'!$D$6:$D$405,"&lt;"&amp;J122,'Istoric_Nativ'!$O$6:$O$405,"SOURCE CONFLICT")+COUNTIFS('Istoric_Nativ'!$B$6:$B$405,E122,'Istoric_Nativ'!$C$6:$C$405,F122,'Istoric_Nativ'!$F$6:$F$405,G122,'Istoric_Nativ'!$D$6:$D$405,"&lt;"&amp;J122,'Istoric_Nativ'!$O$6:$O$405,"INVALID")+COUNTIFS('Istoric_Nativ'!$B$6:$B$405,E122,'Istoric_Nativ'!$C$6:$C$405,F122,'Istoric_Nativ'!$F$6:$F$405,G122,'Istoric_Nativ'!$O$6:$O$405,"INVALID",'Istoric_Nativ'!$D$6:$D$405,"*")+COUNTIFS('Istoric_Nativ'!$B$6:$B$405,E122,'Istoric_Nativ'!$C$6:$C$405,F122,'Istoric_Nativ'!$F$6:$F$405,G122,'Istoric_Nativ'!$D$6:$D$405,"&lt;"&amp;J122,'Istoric_Nativ'!$O$6:$O$405,"SOURCE CONFLICT"))</x:f>
        <x:v>0</x:v>
      </x:c>
      <x:c r="T122" s="2" t="str">
        <x:f>IF(B122="","",IF(R122&lt;&gt;"CLOSED",R122,IF(S122&gt;0,"NATIVE INPUT ISSUE",IF(M122=0,"NO HISTORY",IF(M122&lt;P122,"SMALL SAMPLE","DERIVED")))))</x:f>
      </x:c>
      <x:c r="U122" s="2" t="str">
        <x:f>IF(B122="","","NativeTable; "&amp;E122&amp;"; "&amp;F122&amp;"; "&amp;G122&amp;"; "&amp;H122&amp;"; before "&amp;TEXT(J122,"yyyy-mm-dd")&amp;IF(I122="RECENT","; from "&amp;TEXT(L122,"yyyy-mm-dd"),""))</x:f>
      </x:c>
    </x:row>
    <x:row r="123" ht="21" customHeight="1">
      <x:c r="A123" s="2" t="n">
        <x:v>10</x:v>
      </x:c>
      <x:c r="B123" s="2" t="str">
        <x:f>IF('Input_Meci'!A15="","",'Input_Meci'!A15)</x:f>
      </x:c>
      <x:c r="C123" s="2" t="str">
        <x:v>A</x:v>
      </x:c>
      <x:c r="D123" s="2" t="str">
        <x:v>PRIOR</x:v>
      </x:c>
      <x:c r="E123" s="2" t="str">
        <x:f>IF(B123="","",'Input_Meci'!B15)</x:f>
      </x:c>
      <x:c r="F123" s="2" t="str">
        <x:f>IF(B123="","",IF('Input_Meci'!K15="","",'Input_Meci'!K15))</x:f>
      </x:c>
      <x:c r="G123" s="2" t="str">
        <x:f>IF(B123="","",'Input_Meci'!E15)</x:f>
      </x:c>
      <x:c r="H123" s="2" t="str">
        <x:v>ANY</x:v>
      </x:c>
      <x:c r="I123" s="2" t="str">
        <x:v>SEASON</x:v>
      </x:c>
      <x:c r="J123" s="9" t="n">
        <x:f>IF(AND(B123&lt;&gt;"",ISNUMBER('Input_Meci'!G15)),INT('Input_Meci'!G15),0)</x:f>
        <x:v>0</x:v>
      </x:c>
      <x:c r="K123" s="2" t="n">
        <x:f>IF(OR(B123="",F123=""),0,IF(H123="HOME",COUNTIFS('Istoric_Nativ'!$B$6:$B$405,E123,'Istoric_Nativ'!$C$6:$C$405,F123,'Istoric_Nativ'!$E$6:$E$405,G123,'Istoric_Nativ'!$D$6:$D$405,"&lt;"&amp;J123,'Istoric_Nativ'!$P$6:$P$405,1),IF(H123="AWAY",COUNTIFS('Istoric_Nativ'!$B$6:$B$405,E123,'Istoric_Nativ'!$C$6:$C$405,F123,'Istoric_Nativ'!$F$6:$F$405,G123,'Istoric_Nativ'!$D$6:$D$405,"&lt;"&amp;J123,'Istoric_Nativ'!$P$6:$P$405,1),COUNTIFS('Istoric_Nativ'!$B$6:$B$405,E123,'Istoric_Nativ'!$C$6:$C$405,F123,'Istoric_Nativ'!$E$6:$E$405,G123,'Istoric_Nativ'!$D$6:$D$405,"&lt;"&amp;J123,'Istoric_Nativ'!$P$6:$P$405,1)+COUNTIFS('Istoric_Nativ'!$B$6:$B$405,E123,'Istoric_Nativ'!$C$6:$C$405,F123,'Istoric_Nativ'!$F$6:$F$405,G123,'Istoric_Nativ'!$D$6:$D$405,"&lt;"&amp;J123,'Istoric_Nativ'!$P$6:$P$405,1))))</x:f>
        <x:v>0</x:v>
      </x:c>
      <x:c r="L123" s="17" t="n">
        <x:f>IF(AND(B123&lt;&gt;"",I123="RECENT",K123&gt;0),LARGE(_xlfn._xlws.FILTER('Istoric_Nativ'!$D$6:$D$405,('Istoric_Nativ'!$B$6:$B$405=E123)*('Istoric_Nativ'!$C$6:$C$405=F123)*('Istoric_Nativ'!$P$6:$P$405=1)*('Istoric_Nativ'!$D$6:$D$405&lt;J123)*((('Istoric_Nativ'!$E$6:$E$405=G123)+('Istoric_Nativ'!$F$6:$F$405=G123))&gt;0)),MIN('Config_v6'!$B$54,K123)),0)</x:f>
        <x:v>0</x:v>
      </x:c>
      <x:c r="M123" s="2" t="n">
        <x:f>IF(OR(B123="",F123=""),0,IF(H123="HOME",COUNTIFS('Istoric_Nativ'!$B$6:$B$405,E123,'Istoric_Nativ'!$C$6:$C$405,F123,'Istoric_Nativ'!$E$6:$E$405,G123,'Istoric_Nativ'!$D$6:$D$405,"&lt;"&amp;J123,'Istoric_Nativ'!$P$6:$P$405,1,'Istoric_Nativ'!$D$6:$D$405,"&gt;="&amp;L123),IF(H123="AWAY",COUNTIFS('Istoric_Nativ'!$B$6:$B$405,E123,'Istoric_Nativ'!$C$6:$C$405,F123,'Istoric_Nativ'!$F$6:$F$405,G123,'Istoric_Nativ'!$D$6:$D$405,"&lt;"&amp;J123,'Istoric_Nativ'!$P$6:$P$405,1,'Istoric_Nativ'!$D$6:$D$405,"&gt;="&amp;L123),COUNTIFS('Istoric_Nativ'!$B$6:$B$405,E123,'Istoric_Nativ'!$C$6:$C$405,F123,'Istoric_Nativ'!$E$6:$E$405,G123,'Istoric_Nativ'!$D$6:$D$405,"&lt;"&amp;J123,'Istoric_Nativ'!$P$6:$P$405,1,'Istoric_Nativ'!$D$6:$D$405,"&gt;="&amp;L123)+COUNTIFS('Istoric_Nativ'!$B$6:$B$405,E123,'Istoric_Nativ'!$C$6:$C$405,F123,'Istoric_Nativ'!$F$6:$F$405,G123,'Istoric_Nativ'!$D$6:$D$405,"&lt;"&amp;J123,'Istoric_Nativ'!$P$6:$P$405,1,'Istoric_Nativ'!$D$6:$D$405,"&gt;="&amp;L123))))</x:f>
        <x:v>0</x:v>
      </x:c>
      <x:c r="N123" s="11" t="str">
        <x:f>IF(M123=0,"",IF(H123="HOME",SUMIFS('Istoric_Nativ'!$G$6:$G$405,'Istoric_Nativ'!$B$6:$B$405,E123,'Istoric_Nativ'!$C$6:$C$405,F123,'Istoric_Nativ'!$E$6:$E$405,G123,'Istoric_Nativ'!$D$6:$D$405,"&lt;"&amp;J123,'Istoric_Nativ'!$P$6:$P$405,1,'Istoric_Nativ'!$D$6:$D$405,"&gt;="&amp;L123),IF(H123="AWAY",SUMIFS('Istoric_Nativ'!$H$6:$H$405,'Istoric_Nativ'!$B$6:$B$405,E123,'Istoric_Nativ'!$C$6:$C$405,F123,'Istoric_Nativ'!$F$6:$F$405,G123,'Istoric_Nativ'!$D$6:$D$405,"&lt;"&amp;J123,'Istoric_Nativ'!$P$6:$P$405,1,'Istoric_Nativ'!$D$6:$D$405,"&gt;="&amp;L123),SUMIFS('Istoric_Nativ'!$G$6:$G$405,'Istoric_Nativ'!$B$6:$B$405,E123,'Istoric_Nativ'!$C$6:$C$405,F123,'Istoric_Nativ'!$E$6:$E$405,G123,'Istoric_Nativ'!$D$6:$D$405,"&lt;"&amp;J123,'Istoric_Nativ'!$P$6:$P$405,1,'Istoric_Nativ'!$D$6:$D$405,"&gt;="&amp;L123)+SUMIFS('Istoric_Nativ'!$H$6:$H$405,'Istoric_Nativ'!$B$6:$B$405,E123,'Istoric_Nativ'!$C$6:$C$405,F123,'Istoric_Nativ'!$F$6:$F$405,G123,'Istoric_Nativ'!$D$6:$D$405,"&lt;"&amp;J123,'Istoric_Nativ'!$P$6:$P$405,1,'Istoric_Nativ'!$D$6:$D$405,"&gt;="&amp;L123)))/M123)</x:f>
      </x:c>
      <x:c r="O123" s="11" t="str">
        <x:f>IF(M123=0,"",IF(H123="HOME",SUMIFS('Istoric_Nativ'!$H$6:$H$405,'Istoric_Nativ'!$B$6:$B$405,E123,'Istoric_Nativ'!$C$6:$C$405,F123,'Istoric_Nativ'!$E$6:$E$405,G123,'Istoric_Nativ'!$D$6:$D$405,"&lt;"&amp;J123,'Istoric_Nativ'!$P$6:$P$405,1,'Istoric_Nativ'!$D$6:$D$405,"&gt;="&amp;L123),IF(H123="AWAY",SUMIFS('Istoric_Nativ'!$G$6:$G$405,'Istoric_Nativ'!$B$6:$B$405,E123,'Istoric_Nativ'!$C$6:$C$405,F123,'Istoric_Nativ'!$F$6:$F$405,G123,'Istoric_Nativ'!$D$6:$D$405,"&lt;"&amp;J123,'Istoric_Nativ'!$P$6:$P$405,1,'Istoric_Nativ'!$D$6:$D$405,"&gt;="&amp;L123),SUMIFS('Istoric_Nativ'!$H$6:$H$405,'Istoric_Nativ'!$B$6:$B$405,E123,'Istoric_Nativ'!$C$6:$C$405,F123,'Istoric_Nativ'!$E$6:$E$405,G123,'Istoric_Nativ'!$D$6:$D$405,"&lt;"&amp;J123,'Istoric_Nativ'!$P$6:$P$405,1,'Istoric_Nativ'!$D$6:$D$405,"&gt;="&amp;L123)+SUMIFS('Istoric_Nativ'!$G$6:$G$405,'Istoric_Nativ'!$B$6:$B$405,E123,'Istoric_Nativ'!$C$6:$C$405,F123,'Istoric_Nativ'!$F$6:$F$405,G123,'Istoric_Nativ'!$D$6:$D$405,"&lt;"&amp;J123,'Istoric_Nativ'!$P$6:$P$405,1,'Istoric_Nativ'!$D$6:$D$405,"&gt;="&amp;L123)))/M123)</x:f>
      </x:c>
      <x:c r="P123" s="2" t="n">
        <x:f>'Config_v6'!$B$7</x:f>
        <x:v>10</x:v>
      </x:c>
      <x:c r="Q123" s="2" t="n">
        <x:f>IF(OR(B123="",F123=""),0,IFERROR(MATCH(E123&amp;"|"&amp;F123,SourceTable[Source_Key],0),0))</x:f>
        <x:v>0</x:v>
      </x:c>
      <x:c r="R123" s="2" t="str">
        <x:f>IF(B123="","",IF(F123="","UNUSED",IF(Q123=0,"NOT CHECKED",IF(COUNTIF(SourceTable[Source_Key],E123&amp;"|"&amp;F123)&lt;&gt;1,"SOURCE CONFLICT",IF(NOT(OR(INDEX(SourceTable[Status],MAX(1,Q123))="IMPORTED",INDEX(SourceTable[Status],MAX(1,Q123))="PARTIAL",INDEX(SourceTable[Status],MAX(1,Q123))="SOURCE CONFLICT")),"ACCESS BLOCKED",IF(OR(INDEX(SourceTable[Coverage],Q123)&lt;&gt;"FULL SEASON EXPORT",INDEX(SourceTable[URL],Q123)="",INDEX(SourceTable[SHA256],Q123)=""),"EVIDENCE INCOMPLETE",IF(AND('Input_Meci'!H15="LIVE",INDEX(SourceTable[Retrieved_UTC],Q123)&gt;'Input_Meci'!G15),"POST CUTOFF","CLOSED")))))))</x:f>
      </x:c>
      <x:c r="S123" s="2" t="n">
        <x:f>IF(OR(B123="",F123=""),0,COUNTIFS('Istoric_Nativ'!$B$6:$B$405,E123,'Istoric_Nativ'!$C$6:$C$405,F123,'Istoric_Nativ'!$E$6:$E$405,G123,'Istoric_Nativ'!$D$6:$D$405,"&lt;"&amp;J123,'Istoric_Nativ'!$O$6:$O$405,"INVALID")+COUNTIFS('Istoric_Nativ'!$B$6:$B$405,E123,'Istoric_Nativ'!$C$6:$C$405,F123,'Istoric_Nativ'!$E$6:$E$405,G123,'Istoric_Nativ'!$O$6:$O$405,"INVALID",'Istoric_Nativ'!$D$6:$D$405,"*")+COUNTIFS('Istoric_Nativ'!$B$6:$B$405,E123,'Istoric_Nativ'!$C$6:$C$405,F123,'Istoric_Nativ'!$E$6:$E$405,G123,'Istoric_Nativ'!$D$6:$D$405,"&lt;"&amp;J123,'Istoric_Nativ'!$O$6:$O$405,"SOURCE CONFLICT")+COUNTIFS('Istoric_Nativ'!$B$6:$B$405,E123,'Istoric_Nativ'!$C$6:$C$405,F123,'Istoric_Nativ'!$F$6:$F$405,G123,'Istoric_Nativ'!$D$6:$D$405,"&lt;"&amp;J123,'Istoric_Nativ'!$O$6:$O$405,"INVALID")+COUNTIFS('Istoric_Nativ'!$B$6:$B$405,E123,'Istoric_Nativ'!$C$6:$C$405,F123,'Istoric_Nativ'!$F$6:$F$405,G123,'Istoric_Nativ'!$O$6:$O$405,"INVALID",'Istoric_Nativ'!$D$6:$D$405,"*")+COUNTIFS('Istoric_Nativ'!$B$6:$B$405,E123,'Istoric_Nativ'!$C$6:$C$405,F123,'Istoric_Nativ'!$F$6:$F$405,G123,'Istoric_Nativ'!$D$6:$D$405,"&lt;"&amp;J123,'Istoric_Nativ'!$O$6:$O$405,"SOURCE CONFLICT"))</x:f>
        <x:v>0</x:v>
      </x:c>
      <x:c r="T123" s="2" t="str">
        <x:f>IF(B123="","",IF(R123&lt;&gt;"CLOSED",R123,IF(S123&gt;0,"NATIVE INPUT ISSUE",IF(M123=0,"NO HISTORY",IF(M123&lt;P123,"SMALL SAMPLE","DERIVED")))))</x:f>
      </x:c>
      <x:c r="U123" s="2" t="str">
        <x:f>IF(B123="","","NativeTable; "&amp;E123&amp;"; "&amp;F123&amp;"; "&amp;G123&amp;"; "&amp;H123&amp;"; before "&amp;TEXT(J123,"yyyy-mm-dd")&amp;IF(I123="RECENT","; from "&amp;TEXT(L123,"yyyy-mm-dd"),""))</x:f>
      </x:c>
    </x:row>
    <x:row r="124" ht="21" customHeight="1">
      <x:c r="A124" s="2" t="n">
        <x:v>10</x:v>
      </x:c>
      <x:c r="B124" s="2" t="str">
        <x:f>IF('Input_Meci'!A15="","",'Input_Meci'!A15)</x:f>
      </x:c>
      <x:c r="C124" s="2" t="str">
        <x:v>A</x:v>
      </x:c>
      <x:c r="D124" s="2" t="str">
        <x:v>PRIOR</x:v>
      </x:c>
      <x:c r="E124" s="2" t="str">
        <x:f>IF(B124="","",'Input_Meci'!B15)</x:f>
      </x:c>
      <x:c r="F124" s="2" t="str">
        <x:f>IF(B124="","",IF('Input_Meci'!K15="","",'Input_Meci'!K15))</x:f>
      </x:c>
      <x:c r="G124" s="2" t="str">
        <x:f>IF(B124="","",'Input_Meci'!E15)</x:f>
      </x:c>
      <x:c r="H124" s="2" t="str">
        <x:v>AWAY</x:v>
      </x:c>
      <x:c r="I124" s="2" t="str">
        <x:v>HA</x:v>
      </x:c>
      <x:c r="J124" s="9" t="n">
        <x:f>IF(AND(B124&lt;&gt;"",ISNUMBER('Input_Meci'!G15)),INT('Input_Meci'!G15),0)</x:f>
        <x:v>0</x:v>
      </x:c>
      <x:c r="K124" s="2" t="n">
        <x:f>IF(OR(B124="",F124=""),0,IF(H124="HOME",COUNTIFS('Istoric_Nativ'!$B$6:$B$405,E124,'Istoric_Nativ'!$C$6:$C$405,F124,'Istoric_Nativ'!$E$6:$E$405,G124,'Istoric_Nativ'!$D$6:$D$405,"&lt;"&amp;J124,'Istoric_Nativ'!$P$6:$P$405,1),IF(H124="AWAY",COUNTIFS('Istoric_Nativ'!$B$6:$B$405,E124,'Istoric_Nativ'!$C$6:$C$405,F124,'Istoric_Nativ'!$F$6:$F$405,G124,'Istoric_Nativ'!$D$6:$D$405,"&lt;"&amp;J124,'Istoric_Nativ'!$P$6:$P$405,1),COUNTIFS('Istoric_Nativ'!$B$6:$B$405,E124,'Istoric_Nativ'!$C$6:$C$405,F124,'Istoric_Nativ'!$E$6:$E$405,G124,'Istoric_Nativ'!$D$6:$D$405,"&lt;"&amp;J124,'Istoric_Nativ'!$P$6:$P$405,1)+COUNTIFS('Istoric_Nativ'!$B$6:$B$405,E124,'Istoric_Nativ'!$C$6:$C$405,F124,'Istoric_Nativ'!$F$6:$F$405,G124,'Istoric_Nativ'!$D$6:$D$405,"&lt;"&amp;J124,'Istoric_Nativ'!$P$6:$P$405,1))))</x:f>
        <x:v>0</x:v>
      </x:c>
      <x:c r="L124" s="17" t="n">
        <x:f>IF(AND(B124&lt;&gt;"",I124="RECENT",K124&gt;0),LARGE(_xlfn._xlws.FILTER('Istoric_Nativ'!$D$6:$D$405,('Istoric_Nativ'!$B$6:$B$405=E124)*('Istoric_Nativ'!$C$6:$C$405=F124)*('Istoric_Nativ'!$P$6:$P$405=1)*('Istoric_Nativ'!$D$6:$D$405&lt;J124)*((('Istoric_Nativ'!$E$6:$E$405=G124)+('Istoric_Nativ'!$F$6:$F$405=G124))&gt;0)),MIN('Config_v6'!$B$54,K124)),0)</x:f>
        <x:v>0</x:v>
      </x:c>
      <x:c r="M124" s="2" t="n">
        <x:f>IF(OR(B124="",F124=""),0,IF(H124="HOME",COUNTIFS('Istoric_Nativ'!$B$6:$B$405,E124,'Istoric_Nativ'!$C$6:$C$405,F124,'Istoric_Nativ'!$E$6:$E$405,G124,'Istoric_Nativ'!$D$6:$D$405,"&lt;"&amp;J124,'Istoric_Nativ'!$P$6:$P$405,1,'Istoric_Nativ'!$D$6:$D$405,"&gt;="&amp;L124),IF(H124="AWAY",COUNTIFS('Istoric_Nativ'!$B$6:$B$405,E124,'Istoric_Nativ'!$C$6:$C$405,F124,'Istoric_Nativ'!$F$6:$F$405,G124,'Istoric_Nativ'!$D$6:$D$405,"&lt;"&amp;J124,'Istoric_Nativ'!$P$6:$P$405,1,'Istoric_Nativ'!$D$6:$D$405,"&gt;="&amp;L124),COUNTIFS('Istoric_Nativ'!$B$6:$B$405,E124,'Istoric_Nativ'!$C$6:$C$405,F124,'Istoric_Nativ'!$E$6:$E$405,G124,'Istoric_Nativ'!$D$6:$D$405,"&lt;"&amp;J124,'Istoric_Nativ'!$P$6:$P$405,1,'Istoric_Nativ'!$D$6:$D$405,"&gt;="&amp;L124)+COUNTIFS('Istoric_Nativ'!$B$6:$B$405,E124,'Istoric_Nativ'!$C$6:$C$405,F124,'Istoric_Nativ'!$F$6:$F$405,G124,'Istoric_Nativ'!$D$6:$D$405,"&lt;"&amp;J124,'Istoric_Nativ'!$P$6:$P$405,1,'Istoric_Nativ'!$D$6:$D$405,"&gt;="&amp;L124))))</x:f>
        <x:v>0</x:v>
      </x:c>
      <x:c r="N124" s="11" t="str">
        <x:f>IF(M124=0,"",IF(H124="HOME",SUMIFS('Istoric_Nativ'!$G$6:$G$405,'Istoric_Nativ'!$B$6:$B$405,E124,'Istoric_Nativ'!$C$6:$C$405,F124,'Istoric_Nativ'!$E$6:$E$405,G124,'Istoric_Nativ'!$D$6:$D$405,"&lt;"&amp;J124,'Istoric_Nativ'!$P$6:$P$405,1,'Istoric_Nativ'!$D$6:$D$405,"&gt;="&amp;L124),IF(H124="AWAY",SUMIFS('Istoric_Nativ'!$H$6:$H$405,'Istoric_Nativ'!$B$6:$B$405,E124,'Istoric_Nativ'!$C$6:$C$405,F124,'Istoric_Nativ'!$F$6:$F$405,G124,'Istoric_Nativ'!$D$6:$D$405,"&lt;"&amp;J124,'Istoric_Nativ'!$P$6:$P$405,1,'Istoric_Nativ'!$D$6:$D$405,"&gt;="&amp;L124),SUMIFS('Istoric_Nativ'!$G$6:$G$405,'Istoric_Nativ'!$B$6:$B$405,E124,'Istoric_Nativ'!$C$6:$C$405,F124,'Istoric_Nativ'!$E$6:$E$405,G124,'Istoric_Nativ'!$D$6:$D$405,"&lt;"&amp;J124,'Istoric_Nativ'!$P$6:$P$405,1,'Istoric_Nativ'!$D$6:$D$405,"&gt;="&amp;L124)+SUMIFS('Istoric_Nativ'!$H$6:$H$405,'Istoric_Nativ'!$B$6:$B$405,E124,'Istoric_Nativ'!$C$6:$C$405,F124,'Istoric_Nativ'!$F$6:$F$405,G124,'Istoric_Nativ'!$D$6:$D$405,"&lt;"&amp;J124,'Istoric_Nativ'!$P$6:$P$405,1,'Istoric_Nativ'!$D$6:$D$405,"&gt;="&amp;L124)))/M124)</x:f>
      </x:c>
      <x:c r="O124" s="11" t="str">
        <x:f>IF(M124=0,"",IF(H124="HOME",SUMIFS('Istoric_Nativ'!$H$6:$H$405,'Istoric_Nativ'!$B$6:$B$405,E124,'Istoric_Nativ'!$C$6:$C$405,F124,'Istoric_Nativ'!$E$6:$E$405,G124,'Istoric_Nativ'!$D$6:$D$405,"&lt;"&amp;J124,'Istoric_Nativ'!$P$6:$P$405,1,'Istoric_Nativ'!$D$6:$D$405,"&gt;="&amp;L124),IF(H124="AWAY",SUMIFS('Istoric_Nativ'!$G$6:$G$405,'Istoric_Nativ'!$B$6:$B$405,E124,'Istoric_Nativ'!$C$6:$C$405,F124,'Istoric_Nativ'!$F$6:$F$405,G124,'Istoric_Nativ'!$D$6:$D$405,"&lt;"&amp;J124,'Istoric_Nativ'!$P$6:$P$405,1,'Istoric_Nativ'!$D$6:$D$405,"&gt;="&amp;L124),SUMIFS('Istoric_Nativ'!$H$6:$H$405,'Istoric_Nativ'!$B$6:$B$405,E124,'Istoric_Nativ'!$C$6:$C$405,F124,'Istoric_Nativ'!$E$6:$E$405,G124,'Istoric_Nativ'!$D$6:$D$405,"&lt;"&amp;J124,'Istoric_Nativ'!$P$6:$P$405,1,'Istoric_Nativ'!$D$6:$D$405,"&gt;="&amp;L124)+SUMIFS('Istoric_Nativ'!$G$6:$G$405,'Istoric_Nativ'!$B$6:$B$405,E124,'Istoric_Nativ'!$C$6:$C$405,F124,'Istoric_Nativ'!$F$6:$F$405,G124,'Istoric_Nativ'!$D$6:$D$405,"&lt;"&amp;J124,'Istoric_Nativ'!$P$6:$P$405,1,'Istoric_Nativ'!$D$6:$D$405,"&gt;="&amp;L124)))/M124)</x:f>
      </x:c>
      <x:c r="P124" s="2" t="n">
        <x:f>'Config_v6'!$B$8</x:f>
        <x:v>5</x:v>
      </x:c>
      <x:c r="Q124" s="2" t="n">
        <x:f>IF(OR(B124="",F124=""),0,IFERROR(MATCH(E124&amp;"|"&amp;F124,SourceTable[Source_Key],0),0))</x:f>
        <x:v>0</x:v>
      </x:c>
      <x:c r="R124" s="2" t="str">
        <x:f>IF(B124="","",IF(F124="","UNUSED",IF(Q124=0,"NOT CHECKED",IF(COUNTIF(SourceTable[Source_Key],E124&amp;"|"&amp;F124)&lt;&gt;1,"SOURCE CONFLICT",IF(NOT(OR(INDEX(SourceTable[Status],MAX(1,Q124))="IMPORTED",INDEX(SourceTable[Status],MAX(1,Q124))="PARTIAL",INDEX(SourceTable[Status],MAX(1,Q124))="SOURCE CONFLICT")),"ACCESS BLOCKED",IF(OR(INDEX(SourceTable[Coverage],Q124)&lt;&gt;"FULL SEASON EXPORT",INDEX(SourceTable[URL],Q124)="",INDEX(SourceTable[SHA256],Q124)=""),"EVIDENCE INCOMPLETE",IF(AND('Input_Meci'!H15="LIVE",INDEX(SourceTable[Retrieved_UTC],Q124)&gt;'Input_Meci'!G15),"POST CUTOFF","CLOSED")))))))</x:f>
      </x:c>
      <x:c r="S124" s="2" t="n">
        <x:f>IF(OR(B124="",F124=""),0,COUNTIFS('Istoric_Nativ'!$B$6:$B$405,E124,'Istoric_Nativ'!$C$6:$C$405,F124,'Istoric_Nativ'!$E$6:$E$405,G124,'Istoric_Nativ'!$D$6:$D$405,"&lt;"&amp;J124,'Istoric_Nativ'!$O$6:$O$405,"INVALID")+COUNTIFS('Istoric_Nativ'!$B$6:$B$405,E124,'Istoric_Nativ'!$C$6:$C$405,F124,'Istoric_Nativ'!$E$6:$E$405,G124,'Istoric_Nativ'!$O$6:$O$405,"INVALID",'Istoric_Nativ'!$D$6:$D$405,"*")+COUNTIFS('Istoric_Nativ'!$B$6:$B$405,E124,'Istoric_Nativ'!$C$6:$C$405,F124,'Istoric_Nativ'!$E$6:$E$405,G124,'Istoric_Nativ'!$D$6:$D$405,"&lt;"&amp;J124,'Istoric_Nativ'!$O$6:$O$405,"SOURCE CONFLICT")+COUNTIFS('Istoric_Nativ'!$B$6:$B$405,E124,'Istoric_Nativ'!$C$6:$C$405,F124,'Istoric_Nativ'!$F$6:$F$405,G124,'Istoric_Nativ'!$D$6:$D$405,"&lt;"&amp;J124,'Istoric_Nativ'!$O$6:$O$405,"INVALID")+COUNTIFS('Istoric_Nativ'!$B$6:$B$405,E124,'Istoric_Nativ'!$C$6:$C$405,F124,'Istoric_Nativ'!$F$6:$F$405,G124,'Istoric_Nativ'!$O$6:$O$405,"INVALID",'Istoric_Nativ'!$D$6:$D$405,"*")+COUNTIFS('Istoric_Nativ'!$B$6:$B$405,E124,'Istoric_Nativ'!$C$6:$C$405,F124,'Istoric_Nativ'!$F$6:$F$405,G124,'Istoric_Nativ'!$D$6:$D$405,"&lt;"&amp;J124,'Istoric_Nativ'!$O$6:$O$405,"SOURCE CONFLICT"))</x:f>
        <x:v>0</x:v>
      </x:c>
      <x:c r="T124" s="2" t="str">
        <x:f>IF(B124="","",IF(R124&lt;&gt;"CLOSED",R124,IF(S124&gt;0,"NATIVE INPUT ISSUE",IF(M124=0,"NO HISTORY",IF(M124&lt;P124,"SMALL SAMPLE","DERIVED")))))</x:f>
      </x:c>
      <x:c r="U124" s="2" t="str">
        <x:f>IF(B124="","","NativeTable; "&amp;E124&amp;"; "&amp;F124&amp;"; "&amp;G124&amp;"; "&amp;H124&amp;"; before "&amp;TEXT(J124,"yyyy-mm-dd")&amp;IF(I124="RECENT","; from "&amp;TEXT(L124,"yyyy-mm-dd"),""))</x:f>
      </x:c>
    </x:row>
    <x:row r="125" ht="21" customHeight="1">
      <x:c r="A125" s="2" t="n">
        <x:v>10</x:v>
      </x:c>
      <x:c r="B125" s="2" t="str">
        <x:f>IF('Input_Meci'!A15="","",'Input_Meci'!A15)</x:f>
      </x:c>
      <x:c r="C125" s="2" t="str">
        <x:v>A</x:v>
      </x:c>
      <x:c r="D125" s="2" t="str">
        <x:v>PRIOR</x:v>
      </x:c>
      <x:c r="E125" s="2" t="str">
        <x:f>IF(B125="","",'Input_Meci'!B15)</x:f>
      </x:c>
      <x:c r="F125" s="2" t="str">
        <x:f>IF(B125="","",IF('Input_Meci'!K15="","",'Input_Meci'!K15))</x:f>
      </x:c>
      <x:c r="G125" s="2" t="str">
        <x:f>IF(B125="","",'Input_Meci'!E15)</x:f>
      </x:c>
      <x:c r="H125" s="2" t="str">
        <x:v>ANY</x:v>
      </x:c>
      <x:c r="I125" s="2" t="str">
        <x:v>RECENT</x:v>
      </x:c>
      <x:c r="J125" s="9" t="n">
        <x:f>IF(AND(B125&lt;&gt;"",ISNUMBER('Input_Meci'!G15)),INT('Input_Meci'!G15),0)</x:f>
        <x:v>0</x:v>
      </x:c>
      <x:c r="K125" s="2" t="n">
        <x:f>IF(OR(B125="",F125=""),0,IF(H125="HOME",COUNTIFS('Istoric_Nativ'!$B$6:$B$405,E125,'Istoric_Nativ'!$C$6:$C$405,F125,'Istoric_Nativ'!$E$6:$E$405,G125,'Istoric_Nativ'!$D$6:$D$405,"&lt;"&amp;J125,'Istoric_Nativ'!$P$6:$P$405,1),IF(H125="AWAY",COUNTIFS('Istoric_Nativ'!$B$6:$B$405,E125,'Istoric_Nativ'!$C$6:$C$405,F125,'Istoric_Nativ'!$F$6:$F$405,G125,'Istoric_Nativ'!$D$6:$D$405,"&lt;"&amp;J125,'Istoric_Nativ'!$P$6:$P$405,1),COUNTIFS('Istoric_Nativ'!$B$6:$B$405,E125,'Istoric_Nativ'!$C$6:$C$405,F125,'Istoric_Nativ'!$E$6:$E$405,G125,'Istoric_Nativ'!$D$6:$D$405,"&lt;"&amp;J125,'Istoric_Nativ'!$P$6:$P$405,1)+COUNTIFS('Istoric_Nativ'!$B$6:$B$405,E125,'Istoric_Nativ'!$C$6:$C$405,F125,'Istoric_Nativ'!$F$6:$F$405,G125,'Istoric_Nativ'!$D$6:$D$405,"&lt;"&amp;J125,'Istoric_Nativ'!$P$6:$P$405,1))))</x:f>
        <x:v>0</x:v>
      </x:c>
      <x:c r="L125" s="17" t="n">
        <x:f>IF(AND(B125&lt;&gt;"",I125="RECENT",K125&gt;0),LARGE(_xlfn._xlws.FILTER('Istoric_Nativ'!$D$6:$D$405,('Istoric_Nativ'!$B$6:$B$405=E125)*('Istoric_Nativ'!$C$6:$C$405=F125)*('Istoric_Nativ'!$P$6:$P$405=1)*('Istoric_Nativ'!$D$6:$D$405&lt;J125)*((('Istoric_Nativ'!$E$6:$E$405=G125)+('Istoric_Nativ'!$F$6:$F$405=G125))&gt;0)),MIN('Config_v6'!$B$54,K125)),0)</x:f>
        <x:v>0</x:v>
      </x:c>
      <x:c r="M125" s="2" t="n">
        <x:f>IF(OR(B125="",F125=""),0,IF(H125="HOME",COUNTIFS('Istoric_Nativ'!$B$6:$B$405,E125,'Istoric_Nativ'!$C$6:$C$405,F125,'Istoric_Nativ'!$E$6:$E$405,G125,'Istoric_Nativ'!$D$6:$D$405,"&lt;"&amp;J125,'Istoric_Nativ'!$P$6:$P$405,1,'Istoric_Nativ'!$D$6:$D$405,"&gt;="&amp;L125),IF(H125="AWAY",COUNTIFS('Istoric_Nativ'!$B$6:$B$405,E125,'Istoric_Nativ'!$C$6:$C$405,F125,'Istoric_Nativ'!$F$6:$F$405,G125,'Istoric_Nativ'!$D$6:$D$405,"&lt;"&amp;J125,'Istoric_Nativ'!$P$6:$P$405,1,'Istoric_Nativ'!$D$6:$D$405,"&gt;="&amp;L125),COUNTIFS('Istoric_Nativ'!$B$6:$B$405,E125,'Istoric_Nativ'!$C$6:$C$405,F125,'Istoric_Nativ'!$E$6:$E$405,G125,'Istoric_Nativ'!$D$6:$D$405,"&lt;"&amp;J125,'Istoric_Nativ'!$P$6:$P$405,1,'Istoric_Nativ'!$D$6:$D$405,"&gt;="&amp;L125)+COUNTIFS('Istoric_Nativ'!$B$6:$B$405,E125,'Istoric_Nativ'!$C$6:$C$405,F125,'Istoric_Nativ'!$F$6:$F$405,G125,'Istoric_Nativ'!$D$6:$D$405,"&lt;"&amp;J125,'Istoric_Nativ'!$P$6:$P$405,1,'Istoric_Nativ'!$D$6:$D$405,"&gt;="&amp;L125))))</x:f>
        <x:v>0</x:v>
      </x:c>
      <x:c r="N125" s="11" t="str">
        <x:f>IF(M125=0,"",IF(H125="HOME",SUMIFS('Istoric_Nativ'!$G$6:$G$405,'Istoric_Nativ'!$B$6:$B$405,E125,'Istoric_Nativ'!$C$6:$C$405,F125,'Istoric_Nativ'!$E$6:$E$405,G125,'Istoric_Nativ'!$D$6:$D$405,"&lt;"&amp;J125,'Istoric_Nativ'!$P$6:$P$405,1,'Istoric_Nativ'!$D$6:$D$405,"&gt;="&amp;L125),IF(H125="AWAY",SUMIFS('Istoric_Nativ'!$H$6:$H$405,'Istoric_Nativ'!$B$6:$B$405,E125,'Istoric_Nativ'!$C$6:$C$405,F125,'Istoric_Nativ'!$F$6:$F$405,G125,'Istoric_Nativ'!$D$6:$D$405,"&lt;"&amp;J125,'Istoric_Nativ'!$P$6:$P$405,1,'Istoric_Nativ'!$D$6:$D$405,"&gt;="&amp;L125),SUMIFS('Istoric_Nativ'!$G$6:$G$405,'Istoric_Nativ'!$B$6:$B$405,E125,'Istoric_Nativ'!$C$6:$C$405,F125,'Istoric_Nativ'!$E$6:$E$405,G125,'Istoric_Nativ'!$D$6:$D$405,"&lt;"&amp;J125,'Istoric_Nativ'!$P$6:$P$405,1,'Istoric_Nativ'!$D$6:$D$405,"&gt;="&amp;L125)+SUMIFS('Istoric_Nativ'!$H$6:$H$405,'Istoric_Nativ'!$B$6:$B$405,E125,'Istoric_Nativ'!$C$6:$C$405,F125,'Istoric_Nativ'!$F$6:$F$405,G125,'Istoric_Nativ'!$D$6:$D$405,"&lt;"&amp;J125,'Istoric_Nativ'!$P$6:$P$405,1,'Istoric_Nativ'!$D$6:$D$405,"&gt;="&amp;L125)))/M125)</x:f>
      </x:c>
      <x:c r="O125" s="11" t="str">
        <x:f>IF(M125=0,"",IF(H125="HOME",SUMIFS('Istoric_Nativ'!$H$6:$H$405,'Istoric_Nativ'!$B$6:$B$405,E125,'Istoric_Nativ'!$C$6:$C$405,F125,'Istoric_Nativ'!$E$6:$E$405,G125,'Istoric_Nativ'!$D$6:$D$405,"&lt;"&amp;J125,'Istoric_Nativ'!$P$6:$P$405,1,'Istoric_Nativ'!$D$6:$D$405,"&gt;="&amp;L125),IF(H125="AWAY",SUMIFS('Istoric_Nativ'!$G$6:$G$405,'Istoric_Nativ'!$B$6:$B$405,E125,'Istoric_Nativ'!$C$6:$C$405,F125,'Istoric_Nativ'!$F$6:$F$405,G125,'Istoric_Nativ'!$D$6:$D$405,"&lt;"&amp;J125,'Istoric_Nativ'!$P$6:$P$405,1,'Istoric_Nativ'!$D$6:$D$405,"&gt;="&amp;L125),SUMIFS('Istoric_Nativ'!$H$6:$H$405,'Istoric_Nativ'!$B$6:$B$405,E125,'Istoric_Nativ'!$C$6:$C$405,F125,'Istoric_Nativ'!$E$6:$E$405,G125,'Istoric_Nativ'!$D$6:$D$405,"&lt;"&amp;J125,'Istoric_Nativ'!$P$6:$P$405,1,'Istoric_Nativ'!$D$6:$D$405,"&gt;="&amp;L125)+SUMIFS('Istoric_Nativ'!$G$6:$G$405,'Istoric_Nativ'!$B$6:$B$405,E125,'Istoric_Nativ'!$C$6:$C$405,F125,'Istoric_Nativ'!$F$6:$F$405,G125,'Istoric_Nativ'!$D$6:$D$405,"&lt;"&amp;J125,'Istoric_Nativ'!$P$6:$P$405,1,'Istoric_Nativ'!$D$6:$D$405,"&gt;="&amp;L125)))/M125)</x:f>
      </x:c>
      <x:c r="P125" s="2" t="n">
        <x:f>'Config_v6'!$B$9</x:f>
        <x:v>3</x:v>
      </x:c>
      <x:c r="Q125" s="2" t="n">
        <x:f>IF(OR(B125="",F125=""),0,IFERROR(MATCH(E125&amp;"|"&amp;F125,SourceTable[Source_Key],0),0))</x:f>
        <x:v>0</x:v>
      </x:c>
      <x:c r="R125" s="2" t="str">
        <x:f>IF(B125="","",IF(F125="","UNUSED",IF(Q125=0,"NOT CHECKED",IF(COUNTIF(SourceTable[Source_Key],E125&amp;"|"&amp;F125)&lt;&gt;1,"SOURCE CONFLICT",IF(NOT(OR(INDEX(SourceTable[Status],MAX(1,Q125))="IMPORTED",INDEX(SourceTable[Status],MAX(1,Q125))="PARTIAL",INDEX(SourceTable[Status],MAX(1,Q125))="SOURCE CONFLICT")),"ACCESS BLOCKED",IF(OR(INDEX(SourceTable[Coverage],Q125)&lt;&gt;"FULL SEASON EXPORT",INDEX(SourceTable[URL],Q125)="",INDEX(SourceTable[SHA256],Q125)=""),"EVIDENCE INCOMPLETE",IF(AND('Input_Meci'!H15="LIVE",INDEX(SourceTable[Retrieved_UTC],Q125)&gt;'Input_Meci'!G15),"POST CUTOFF","CLOSED")))))))</x:f>
      </x:c>
      <x:c r="S125" s="2" t="n">
        <x:f>IF(OR(B125="",F125=""),0,COUNTIFS('Istoric_Nativ'!$B$6:$B$405,E125,'Istoric_Nativ'!$C$6:$C$405,F125,'Istoric_Nativ'!$E$6:$E$405,G125,'Istoric_Nativ'!$D$6:$D$405,"&lt;"&amp;J125,'Istoric_Nativ'!$O$6:$O$405,"INVALID")+COUNTIFS('Istoric_Nativ'!$B$6:$B$405,E125,'Istoric_Nativ'!$C$6:$C$405,F125,'Istoric_Nativ'!$E$6:$E$405,G125,'Istoric_Nativ'!$O$6:$O$405,"INVALID",'Istoric_Nativ'!$D$6:$D$405,"*")+COUNTIFS('Istoric_Nativ'!$B$6:$B$405,E125,'Istoric_Nativ'!$C$6:$C$405,F125,'Istoric_Nativ'!$E$6:$E$405,G125,'Istoric_Nativ'!$D$6:$D$405,"&lt;"&amp;J125,'Istoric_Nativ'!$O$6:$O$405,"SOURCE CONFLICT")+COUNTIFS('Istoric_Nativ'!$B$6:$B$405,E125,'Istoric_Nativ'!$C$6:$C$405,F125,'Istoric_Nativ'!$F$6:$F$405,G125,'Istoric_Nativ'!$D$6:$D$405,"&lt;"&amp;J125,'Istoric_Nativ'!$O$6:$O$405,"INVALID")+COUNTIFS('Istoric_Nativ'!$B$6:$B$405,E125,'Istoric_Nativ'!$C$6:$C$405,F125,'Istoric_Nativ'!$F$6:$F$405,G125,'Istoric_Nativ'!$O$6:$O$405,"INVALID",'Istoric_Nativ'!$D$6:$D$405,"*")+COUNTIFS('Istoric_Nativ'!$B$6:$B$405,E125,'Istoric_Nativ'!$C$6:$C$405,F125,'Istoric_Nativ'!$F$6:$F$405,G125,'Istoric_Nativ'!$D$6:$D$405,"&lt;"&amp;J125,'Istoric_Nativ'!$O$6:$O$405,"SOURCE CONFLICT"))</x:f>
        <x:v>0</x:v>
      </x:c>
      <x:c r="T125" s="2" t="str">
        <x:f>IF(B125="","",IF(R125&lt;&gt;"CLOSED",R125,IF(S125&gt;0,"NATIVE INPUT ISSUE",IF(M125=0,"NO HISTORY",IF(M125&lt;P125,"SMALL SAMPLE","DERIVED")))))</x:f>
      </x:c>
      <x:c r="U125" s="2" t="str">
        <x:f>IF(B125="","","NativeTable; "&amp;E125&amp;"; "&amp;F125&amp;"; "&amp;G125&amp;"; "&amp;H125&amp;"; before "&amp;TEXT(J125,"yyyy-mm-dd")&amp;IF(I125="RECENT","; from "&amp;TEXT(L125,"yyyy-mm-dd"),""))</x:f>
      </x:c>
    </x:row>
    <x:row r="126" ht="21" customHeight="1">
      <x:c r="A126" s="2" t="n">
        <x:v>11</x:v>
      </x:c>
      <x:c r="B126" s="2" t="str">
        <x:f>IF('Input_Meci'!A16="","",'Input_Meci'!A16)</x:f>
      </x:c>
      <x:c r="C126" s="2" t="str">
        <x:v>H</x:v>
      </x:c>
      <x:c r="D126" s="2" t="str">
        <x:v>CURRENT</x:v>
      </x:c>
      <x:c r="E126" s="2" t="str">
        <x:f>IF(B126="","",'Input_Meci'!B16)</x:f>
      </x:c>
      <x:c r="F126" s="2" t="str">
        <x:f>IF(B126="","",IF('Input_Meci'!C16="","",'Input_Meci'!C16))</x:f>
      </x:c>
      <x:c r="G126" s="2" t="str">
        <x:f>IF(B126="","",'Input_Meci'!D16)</x:f>
      </x:c>
      <x:c r="H126" s="2" t="str">
        <x:v>ANY</x:v>
      </x:c>
      <x:c r="I126" s="2" t="str">
        <x:v>SEASON</x:v>
      </x:c>
      <x:c r="J126" s="9" t="n">
        <x:f>IF(AND(B126&lt;&gt;"",ISNUMBER('Input_Meci'!G16)),INT('Input_Meci'!G16),0)</x:f>
        <x:v>0</x:v>
      </x:c>
      <x:c r="K126" s="2" t="n">
        <x:f>IF(OR(B126="",F126=""),0,IF(H126="HOME",COUNTIFS('Istoric_Nativ'!$B$6:$B$405,E126,'Istoric_Nativ'!$C$6:$C$405,F126,'Istoric_Nativ'!$E$6:$E$405,G126,'Istoric_Nativ'!$D$6:$D$405,"&lt;"&amp;J126,'Istoric_Nativ'!$P$6:$P$405,1),IF(H126="AWAY",COUNTIFS('Istoric_Nativ'!$B$6:$B$405,E126,'Istoric_Nativ'!$C$6:$C$405,F126,'Istoric_Nativ'!$F$6:$F$405,G126,'Istoric_Nativ'!$D$6:$D$405,"&lt;"&amp;J126,'Istoric_Nativ'!$P$6:$P$405,1),COUNTIFS('Istoric_Nativ'!$B$6:$B$405,E126,'Istoric_Nativ'!$C$6:$C$405,F126,'Istoric_Nativ'!$E$6:$E$405,G126,'Istoric_Nativ'!$D$6:$D$405,"&lt;"&amp;J126,'Istoric_Nativ'!$P$6:$P$405,1)+COUNTIFS('Istoric_Nativ'!$B$6:$B$405,E126,'Istoric_Nativ'!$C$6:$C$405,F126,'Istoric_Nativ'!$F$6:$F$405,G126,'Istoric_Nativ'!$D$6:$D$405,"&lt;"&amp;J126,'Istoric_Nativ'!$P$6:$P$405,1))))</x:f>
        <x:v>0</x:v>
      </x:c>
      <x:c r="L126" s="17" t="n">
        <x:f>IF(AND(B126&lt;&gt;"",I126="RECENT",K126&gt;0),LARGE(_xlfn._xlws.FILTER('Istoric_Nativ'!$D$6:$D$405,('Istoric_Nativ'!$B$6:$B$405=E126)*('Istoric_Nativ'!$C$6:$C$405=F126)*('Istoric_Nativ'!$P$6:$P$405=1)*('Istoric_Nativ'!$D$6:$D$405&lt;J126)*((('Istoric_Nativ'!$E$6:$E$405=G126)+('Istoric_Nativ'!$F$6:$F$405=G126))&gt;0)),MIN('Config_v6'!$B$54,K126)),0)</x:f>
        <x:v>0</x:v>
      </x:c>
      <x:c r="M126" s="2" t="n">
        <x:f>IF(OR(B126="",F126=""),0,IF(H126="HOME",COUNTIFS('Istoric_Nativ'!$B$6:$B$405,E126,'Istoric_Nativ'!$C$6:$C$405,F126,'Istoric_Nativ'!$E$6:$E$405,G126,'Istoric_Nativ'!$D$6:$D$405,"&lt;"&amp;J126,'Istoric_Nativ'!$P$6:$P$405,1,'Istoric_Nativ'!$D$6:$D$405,"&gt;="&amp;L126),IF(H126="AWAY",COUNTIFS('Istoric_Nativ'!$B$6:$B$405,E126,'Istoric_Nativ'!$C$6:$C$405,F126,'Istoric_Nativ'!$F$6:$F$405,G126,'Istoric_Nativ'!$D$6:$D$405,"&lt;"&amp;J126,'Istoric_Nativ'!$P$6:$P$405,1,'Istoric_Nativ'!$D$6:$D$405,"&gt;="&amp;L126),COUNTIFS('Istoric_Nativ'!$B$6:$B$405,E126,'Istoric_Nativ'!$C$6:$C$405,F126,'Istoric_Nativ'!$E$6:$E$405,G126,'Istoric_Nativ'!$D$6:$D$405,"&lt;"&amp;J126,'Istoric_Nativ'!$P$6:$P$405,1,'Istoric_Nativ'!$D$6:$D$405,"&gt;="&amp;L126)+COUNTIFS('Istoric_Nativ'!$B$6:$B$405,E126,'Istoric_Nativ'!$C$6:$C$405,F126,'Istoric_Nativ'!$F$6:$F$405,G126,'Istoric_Nativ'!$D$6:$D$405,"&lt;"&amp;J126,'Istoric_Nativ'!$P$6:$P$405,1,'Istoric_Nativ'!$D$6:$D$405,"&gt;="&amp;L126))))</x:f>
        <x:v>0</x:v>
      </x:c>
      <x:c r="N126" s="11" t="str">
        <x:f>IF(M126=0,"",IF(H126="HOME",SUMIFS('Istoric_Nativ'!$G$6:$G$405,'Istoric_Nativ'!$B$6:$B$405,E126,'Istoric_Nativ'!$C$6:$C$405,F126,'Istoric_Nativ'!$E$6:$E$405,G126,'Istoric_Nativ'!$D$6:$D$405,"&lt;"&amp;J126,'Istoric_Nativ'!$P$6:$P$405,1,'Istoric_Nativ'!$D$6:$D$405,"&gt;="&amp;L126),IF(H126="AWAY",SUMIFS('Istoric_Nativ'!$H$6:$H$405,'Istoric_Nativ'!$B$6:$B$405,E126,'Istoric_Nativ'!$C$6:$C$405,F126,'Istoric_Nativ'!$F$6:$F$405,G126,'Istoric_Nativ'!$D$6:$D$405,"&lt;"&amp;J126,'Istoric_Nativ'!$P$6:$P$405,1,'Istoric_Nativ'!$D$6:$D$405,"&gt;="&amp;L126),SUMIFS('Istoric_Nativ'!$G$6:$G$405,'Istoric_Nativ'!$B$6:$B$405,E126,'Istoric_Nativ'!$C$6:$C$405,F126,'Istoric_Nativ'!$E$6:$E$405,G126,'Istoric_Nativ'!$D$6:$D$405,"&lt;"&amp;J126,'Istoric_Nativ'!$P$6:$P$405,1,'Istoric_Nativ'!$D$6:$D$405,"&gt;="&amp;L126)+SUMIFS('Istoric_Nativ'!$H$6:$H$405,'Istoric_Nativ'!$B$6:$B$405,E126,'Istoric_Nativ'!$C$6:$C$405,F126,'Istoric_Nativ'!$F$6:$F$405,G126,'Istoric_Nativ'!$D$6:$D$405,"&lt;"&amp;J126,'Istoric_Nativ'!$P$6:$P$405,1,'Istoric_Nativ'!$D$6:$D$405,"&gt;="&amp;L126)))/M126)</x:f>
      </x:c>
      <x:c r="O126" s="11" t="str">
        <x:f>IF(M126=0,"",IF(H126="HOME",SUMIFS('Istoric_Nativ'!$H$6:$H$405,'Istoric_Nativ'!$B$6:$B$405,E126,'Istoric_Nativ'!$C$6:$C$405,F126,'Istoric_Nativ'!$E$6:$E$405,G126,'Istoric_Nativ'!$D$6:$D$405,"&lt;"&amp;J126,'Istoric_Nativ'!$P$6:$P$405,1,'Istoric_Nativ'!$D$6:$D$405,"&gt;="&amp;L126),IF(H126="AWAY",SUMIFS('Istoric_Nativ'!$G$6:$G$405,'Istoric_Nativ'!$B$6:$B$405,E126,'Istoric_Nativ'!$C$6:$C$405,F126,'Istoric_Nativ'!$F$6:$F$405,G126,'Istoric_Nativ'!$D$6:$D$405,"&lt;"&amp;J126,'Istoric_Nativ'!$P$6:$P$405,1,'Istoric_Nativ'!$D$6:$D$405,"&gt;="&amp;L126),SUMIFS('Istoric_Nativ'!$H$6:$H$405,'Istoric_Nativ'!$B$6:$B$405,E126,'Istoric_Nativ'!$C$6:$C$405,F126,'Istoric_Nativ'!$E$6:$E$405,G126,'Istoric_Nativ'!$D$6:$D$405,"&lt;"&amp;J126,'Istoric_Nativ'!$P$6:$P$405,1,'Istoric_Nativ'!$D$6:$D$405,"&gt;="&amp;L126)+SUMIFS('Istoric_Nativ'!$G$6:$G$405,'Istoric_Nativ'!$B$6:$B$405,E126,'Istoric_Nativ'!$C$6:$C$405,F126,'Istoric_Nativ'!$F$6:$F$405,G126,'Istoric_Nativ'!$D$6:$D$405,"&lt;"&amp;J126,'Istoric_Nativ'!$P$6:$P$405,1,'Istoric_Nativ'!$D$6:$D$405,"&gt;="&amp;L126)))/M126)</x:f>
      </x:c>
      <x:c r="P126" s="2" t="n">
        <x:f>'Config_v6'!$B$7</x:f>
        <x:v>10</x:v>
      </x:c>
      <x:c r="Q126" s="2" t="n">
        <x:f>IF(OR(B126="",F126=""),0,IFERROR(MATCH(E126&amp;"|"&amp;F126,SourceTable[Source_Key],0),0))</x:f>
        <x:v>0</x:v>
      </x:c>
      <x:c r="R126" s="2" t="str">
        <x:f>IF(B126="","",IF(F126="","UNUSED",IF(Q126=0,"NOT CHECKED",IF(COUNTIF(SourceTable[Source_Key],E126&amp;"|"&amp;F126)&lt;&gt;1,"SOURCE CONFLICT",IF(NOT(OR(INDEX(SourceTable[Status],MAX(1,Q126))="IMPORTED",INDEX(SourceTable[Status],MAX(1,Q126))="PARTIAL",INDEX(SourceTable[Status],MAX(1,Q126))="SOURCE CONFLICT")),"ACCESS BLOCKED",IF(OR(INDEX(SourceTable[Coverage],Q126)&lt;&gt;"FULL SEASON EXPORT",INDEX(SourceTable[URL],Q126)="",INDEX(SourceTable[SHA256],Q126)=""),"EVIDENCE INCOMPLETE",IF(AND('Input_Meci'!H16="LIVE",INDEX(SourceTable[Retrieved_UTC],Q126)&gt;'Input_Meci'!G16),"POST CUTOFF","CLOSED")))))))</x:f>
      </x:c>
      <x:c r="S126" s="2" t="n">
        <x:f>IF(OR(B126="",F126=""),0,COUNTIFS('Istoric_Nativ'!$B$6:$B$405,E126,'Istoric_Nativ'!$C$6:$C$405,F126,'Istoric_Nativ'!$E$6:$E$405,G126,'Istoric_Nativ'!$D$6:$D$405,"&lt;"&amp;J126,'Istoric_Nativ'!$O$6:$O$405,"INVALID")+COUNTIFS('Istoric_Nativ'!$B$6:$B$405,E126,'Istoric_Nativ'!$C$6:$C$405,F126,'Istoric_Nativ'!$E$6:$E$405,G126,'Istoric_Nativ'!$O$6:$O$405,"INVALID",'Istoric_Nativ'!$D$6:$D$405,"*")+COUNTIFS('Istoric_Nativ'!$B$6:$B$405,E126,'Istoric_Nativ'!$C$6:$C$405,F126,'Istoric_Nativ'!$E$6:$E$405,G126,'Istoric_Nativ'!$D$6:$D$405,"&lt;"&amp;J126,'Istoric_Nativ'!$O$6:$O$405,"SOURCE CONFLICT")+COUNTIFS('Istoric_Nativ'!$B$6:$B$405,E126,'Istoric_Nativ'!$C$6:$C$405,F126,'Istoric_Nativ'!$F$6:$F$405,G126,'Istoric_Nativ'!$D$6:$D$405,"&lt;"&amp;J126,'Istoric_Nativ'!$O$6:$O$405,"INVALID")+COUNTIFS('Istoric_Nativ'!$B$6:$B$405,E126,'Istoric_Nativ'!$C$6:$C$405,F126,'Istoric_Nativ'!$F$6:$F$405,G126,'Istoric_Nativ'!$O$6:$O$405,"INVALID",'Istoric_Nativ'!$D$6:$D$405,"*")+COUNTIFS('Istoric_Nativ'!$B$6:$B$405,E126,'Istoric_Nativ'!$C$6:$C$405,F126,'Istoric_Nativ'!$F$6:$F$405,G126,'Istoric_Nativ'!$D$6:$D$405,"&lt;"&amp;J126,'Istoric_Nativ'!$O$6:$O$405,"SOURCE CONFLICT"))</x:f>
        <x:v>0</x:v>
      </x:c>
      <x:c r="T126" s="2" t="str">
        <x:f>IF(B126="","",IF(R126&lt;&gt;"CLOSED",R126,IF(S126&gt;0,"NATIVE INPUT ISSUE",IF(M126=0,"NO HISTORY",IF(M126&lt;P126,"SMALL SAMPLE","DERIVED")))))</x:f>
      </x:c>
      <x:c r="U126" s="2" t="str">
        <x:f>IF(B126="","","NativeTable; "&amp;E126&amp;"; "&amp;F126&amp;"; "&amp;G126&amp;"; "&amp;H126&amp;"; before "&amp;TEXT(J126,"yyyy-mm-dd")&amp;IF(I126="RECENT","; from "&amp;TEXT(L126,"yyyy-mm-dd"),""))</x:f>
      </x:c>
    </x:row>
    <x:row r="127" ht="21" customHeight="1">
      <x:c r="A127" s="2" t="n">
        <x:v>11</x:v>
      </x:c>
      <x:c r="B127" s="2" t="str">
        <x:f>IF('Input_Meci'!A16="","",'Input_Meci'!A16)</x:f>
      </x:c>
      <x:c r="C127" s="2" t="str">
        <x:v>H</x:v>
      </x:c>
      <x:c r="D127" s="2" t="str">
        <x:v>CURRENT</x:v>
      </x:c>
      <x:c r="E127" s="2" t="str">
        <x:f>IF(B127="","",'Input_Meci'!B16)</x:f>
      </x:c>
      <x:c r="F127" s="2" t="str">
        <x:f>IF(B127="","",IF('Input_Meci'!C16="","",'Input_Meci'!C16))</x:f>
      </x:c>
      <x:c r="G127" s="2" t="str">
        <x:f>IF(B127="","",'Input_Meci'!D16)</x:f>
      </x:c>
      <x:c r="H127" s="2" t="str">
        <x:v>HOME</x:v>
      </x:c>
      <x:c r="I127" s="2" t="str">
        <x:v>HA</x:v>
      </x:c>
      <x:c r="J127" s="9" t="n">
        <x:f>IF(AND(B127&lt;&gt;"",ISNUMBER('Input_Meci'!G16)),INT('Input_Meci'!G16),0)</x:f>
        <x:v>0</x:v>
      </x:c>
      <x:c r="K127" s="2" t="n">
        <x:f>IF(OR(B127="",F127=""),0,IF(H127="HOME",COUNTIFS('Istoric_Nativ'!$B$6:$B$405,E127,'Istoric_Nativ'!$C$6:$C$405,F127,'Istoric_Nativ'!$E$6:$E$405,G127,'Istoric_Nativ'!$D$6:$D$405,"&lt;"&amp;J127,'Istoric_Nativ'!$P$6:$P$405,1),IF(H127="AWAY",COUNTIFS('Istoric_Nativ'!$B$6:$B$405,E127,'Istoric_Nativ'!$C$6:$C$405,F127,'Istoric_Nativ'!$F$6:$F$405,G127,'Istoric_Nativ'!$D$6:$D$405,"&lt;"&amp;J127,'Istoric_Nativ'!$P$6:$P$405,1),COUNTIFS('Istoric_Nativ'!$B$6:$B$405,E127,'Istoric_Nativ'!$C$6:$C$405,F127,'Istoric_Nativ'!$E$6:$E$405,G127,'Istoric_Nativ'!$D$6:$D$405,"&lt;"&amp;J127,'Istoric_Nativ'!$P$6:$P$405,1)+COUNTIFS('Istoric_Nativ'!$B$6:$B$405,E127,'Istoric_Nativ'!$C$6:$C$405,F127,'Istoric_Nativ'!$F$6:$F$405,G127,'Istoric_Nativ'!$D$6:$D$405,"&lt;"&amp;J127,'Istoric_Nativ'!$P$6:$P$405,1))))</x:f>
        <x:v>0</x:v>
      </x:c>
      <x:c r="L127" s="17" t="n">
        <x:f>IF(AND(B127&lt;&gt;"",I127="RECENT",K127&gt;0),LARGE(_xlfn._xlws.FILTER('Istoric_Nativ'!$D$6:$D$405,('Istoric_Nativ'!$B$6:$B$405=E127)*('Istoric_Nativ'!$C$6:$C$405=F127)*('Istoric_Nativ'!$P$6:$P$405=1)*('Istoric_Nativ'!$D$6:$D$405&lt;J127)*((('Istoric_Nativ'!$E$6:$E$405=G127)+('Istoric_Nativ'!$F$6:$F$405=G127))&gt;0)),MIN('Config_v6'!$B$54,K127)),0)</x:f>
        <x:v>0</x:v>
      </x:c>
      <x:c r="M127" s="2" t="n">
        <x:f>IF(OR(B127="",F127=""),0,IF(H127="HOME",COUNTIFS('Istoric_Nativ'!$B$6:$B$405,E127,'Istoric_Nativ'!$C$6:$C$405,F127,'Istoric_Nativ'!$E$6:$E$405,G127,'Istoric_Nativ'!$D$6:$D$405,"&lt;"&amp;J127,'Istoric_Nativ'!$P$6:$P$405,1,'Istoric_Nativ'!$D$6:$D$405,"&gt;="&amp;L127),IF(H127="AWAY",COUNTIFS('Istoric_Nativ'!$B$6:$B$405,E127,'Istoric_Nativ'!$C$6:$C$405,F127,'Istoric_Nativ'!$F$6:$F$405,G127,'Istoric_Nativ'!$D$6:$D$405,"&lt;"&amp;J127,'Istoric_Nativ'!$P$6:$P$405,1,'Istoric_Nativ'!$D$6:$D$405,"&gt;="&amp;L127),COUNTIFS('Istoric_Nativ'!$B$6:$B$405,E127,'Istoric_Nativ'!$C$6:$C$405,F127,'Istoric_Nativ'!$E$6:$E$405,G127,'Istoric_Nativ'!$D$6:$D$405,"&lt;"&amp;J127,'Istoric_Nativ'!$P$6:$P$405,1,'Istoric_Nativ'!$D$6:$D$405,"&gt;="&amp;L127)+COUNTIFS('Istoric_Nativ'!$B$6:$B$405,E127,'Istoric_Nativ'!$C$6:$C$405,F127,'Istoric_Nativ'!$F$6:$F$405,G127,'Istoric_Nativ'!$D$6:$D$405,"&lt;"&amp;J127,'Istoric_Nativ'!$P$6:$P$405,1,'Istoric_Nativ'!$D$6:$D$405,"&gt;="&amp;L127))))</x:f>
        <x:v>0</x:v>
      </x:c>
      <x:c r="N127" s="11" t="str">
        <x:f>IF(M127=0,"",IF(H127="HOME",SUMIFS('Istoric_Nativ'!$G$6:$G$405,'Istoric_Nativ'!$B$6:$B$405,E127,'Istoric_Nativ'!$C$6:$C$405,F127,'Istoric_Nativ'!$E$6:$E$405,G127,'Istoric_Nativ'!$D$6:$D$405,"&lt;"&amp;J127,'Istoric_Nativ'!$P$6:$P$405,1,'Istoric_Nativ'!$D$6:$D$405,"&gt;="&amp;L127),IF(H127="AWAY",SUMIFS('Istoric_Nativ'!$H$6:$H$405,'Istoric_Nativ'!$B$6:$B$405,E127,'Istoric_Nativ'!$C$6:$C$405,F127,'Istoric_Nativ'!$F$6:$F$405,G127,'Istoric_Nativ'!$D$6:$D$405,"&lt;"&amp;J127,'Istoric_Nativ'!$P$6:$P$405,1,'Istoric_Nativ'!$D$6:$D$405,"&gt;="&amp;L127),SUMIFS('Istoric_Nativ'!$G$6:$G$405,'Istoric_Nativ'!$B$6:$B$405,E127,'Istoric_Nativ'!$C$6:$C$405,F127,'Istoric_Nativ'!$E$6:$E$405,G127,'Istoric_Nativ'!$D$6:$D$405,"&lt;"&amp;J127,'Istoric_Nativ'!$P$6:$P$405,1,'Istoric_Nativ'!$D$6:$D$405,"&gt;="&amp;L127)+SUMIFS('Istoric_Nativ'!$H$6:$H$405,'Istoric_Nativ'!$B$6:$B$405,E127,'Istoric_Nativ'!$C$6:$C$405,F127,'Istoric_Nativ'!$F$6:$F$405,G127,'Istoric_Nativ'!$D$6:$D$405,"&lt;"&amp;J127,'Istoric_Nativ'!$P$6:$P$405,1,'Istoric_Nativ'!$D$6:$D$405,"&gt;="&amp;L127)))/M127)</x:f>
      </x:c>
      <x:c r="O127" s="11" t="str">
        <x:f>IF(M127=0,"",IF(H127="HOME",SUMIFS('Istoric_Nativ'!$H$6:$H$405,'Istoric_Nativ'!$B$6:$B$405,E127,'Istoric_Nativ'!$C$6:$C$405,F127,'Istoric_Nativ'!$E$6:$E$405,G127,'Istoric_Nativ'!$D$6:$D$405,"&lt;"&amp;J127,'Istoric_Nativ'!$P$6:$P$405,1,'Istoric_Nativ'!$D$6:$D$405,"&gt;="&amp;L127),IF(H127="AWAY",SUMIFS('Istoric_Nativ'!$G$6:$G$405,'Istoric_Nativ'!$B$6:$B$405,E127,'Istoric_Nativ'!$C$6:$C$405,F127,'Istoric_Nativ'!$F$6:$F$405,G127,'Istoric_Nativ'!$D$6:$D$405,"&lt;"&amp;J127,'Istoric_Nativ'!$P$6:$P$405,1,'Istoric_Nativ'!$D$6:$D$405,"&gt;="&amp;L127),SUMIFS('Istoric_Nativ'!$H$6:$H$405,'Istoric_Nativ'!$B$6:$B$405,E127,'Istoric_Nativ'!$C$6:$C$405,F127,'Istoric_Nativ'!$E$6:$E$405,G127,'Istoric_Nativ'!$D$6:$D$405,"&lt;"&amp;J127,'Istoric_Nativ'!$P$6:$P$405,1,'Istoric_Nativ'!$D$6:$D$405,"&gt;="&amp;L127)+SUMIFS('Istoric_Nativ'!$G$6:$G$405,'Istoric_Nativ'!$B$6:$B$405,E127,'Istoric_Nativ'!$C$6:$C$405,F127,'Istoric_Nativ'!$F$6:$F$405,G127,'Istoric_Nativ'!$D$6:$D$405,"&lt;"&amp;J127,'Istoric_Nativ'!$P$6:$P$405,1,'Istoric_Nativ'!$D$6:$D$405,"&gt;="&amp;L127)))/M127)</x:f>
      </x:c>
      <x:c r="P127" s="2" t="n">
        <x:f>'Config_v6'!$B$8</x:f>
        <x:v>5</x:v>
      </x:c>
      <x:c r="Q127" s="2" t="n">
        <x:f>IF(OR(B127="",F127=""),0,IFERROR(MATCH(E127&amp;"|"&amp;F127,SourceTable[Source_Key],0),0))</x:f>
        <x:v>0</x:v>
      </x:c>
      <x:c r="R127" s="2" t="str">
        <x:f>IF(B127="","",IF(F127="","UNUSED",IF(Q127=0,"NOT CHECKED",IF(COUNTIF(SourceTable[Source_Key],E127&amp;"|"&amp;F127)&lt;&gt;1,"SOURCE CONFLICT",IF(NOT(OR(INDEX(SourceTable[Status],MAX(1,Q127))="IMPORTED",INDEX(SourceTable[Status],MAX(1,Q127))="PARTIAL",INDEX(SourceTable[Status],MAX(1,Q127))="SOURCE CONFLICT")),"ACCESS BLOCKED",IF(OR(INDEX(SourceTable[Coverage],Q127)&lt;&gt;"FULL SEASON EXPORT",INDEX(SourceTable[URL],Q127)="",INDEX(SourceTable[SHA256],Q127)=""),"EVIDENCE INCOMPLETE",IF(AND('Input_Meci'!H16="LIVE",INDEX(SourceTable[Retrieved_UTC],Q127)&gt;'Input_Meci'!G16),"POST CUTOFF","CLOSED")))))))</x:f>
      </x:c>
      <x:c r="S127" s="2" t="n">
        <x:f>IF(OR(B127="",F127=""),0,COUNTIFS('Istoric_Nativ'!$B$6:$B$405,E127,'Istoric_Nativ'!$C$6:$C$405,F127,'Istoric_Nativ'!$E$6:$E$405,G127,'Istoric_Nativ'!$D$6:$D$405,"&lt;"&amp;J127,'Istoric_Nativ'!$O$6:$O$405,"INVALID")+COUNTIFS('Istoric_Nativ'!$B$6:$B$405,E127,'Istoric_Nativ'!$C$6:$C$405,F127,'Istoric_Nativ'!$E$6:$E$405,G127,'Istoric_Nativ'!$O$6:$O$405,"INVALID",'Istoric_Nativ'!$D$6:$D$405,"*")+COUNTIFS('Istoric_Nativ'!$B$6:$B$405,E127,'Istoric_Nativ'!$C$6:$C$405,F127,'Istoric_Nativ'!$E$6:$E$405,G127,'Istoric_Nativ'!$D$6:$D$405,"&lt;"&amp;J127,'Istoric_Nativ'!$O$6:$O$405,"SOURCE CONFLICT")+COUNTIFS('Istoric_Nativ'!$B$6:$B$405,E127,'Istoric_Nativ'!$C$6:$C$405,F127,'Istoric_Nativ'!$F$6:$F$405,G127,'Istoric_Nativ'!$D$6:$D$405,"&lt;"&amp;J127,'Istoric_Nativ'!$O$6:$O$405,"INVALID")+COUNTIFS('Istoric_Nativ'!$B$6:$B$405,E127,'Istoric_Nativ'!$C$6:$C$405,F127,'Istoric_Nativ'!$F$6:$F$405,G127,'Istoric_Nativ'!$O$6:$O$405,"INVALID",'Istoric_Nativ'!$D$6:$D$405,"*")+COUNTIFS('Istoric_Nativ'!$B$6:$B$405,E127,'Istoric_Nativ'!$C$6:$C$405,F127,'Istoric_Nativ'!$F$6:$F$405,G127,'Istoric_Nativ'!$D$6:$D$405,"&lt;"&amp;J127,'Istoric_Nativ'!$O$6:$O$405,"SOURCE CONFLICT"))</x:f>
        <x:v>0</x:v>
      </x:c>
      <x:c r="T127" s="2" t="str">
        <x:f>IF(B127="","",IF(R127&lt;&gt;"CLOSED",R127,IF(S127&gt;0,"NATIVE INPUT ISSUE",IF(M127=0,"NO HISTORY",IF(M127&lt;P127,"SMALL SAMPLE","DERIVED")))))</x:f>
      </x:c>
      <x:c r="U127" s="2" t="str">
        <x:f>IF(B127="","","NativeTable; "&amp;E127&amp;"; "&amp;F127&amp;"; "&amp;G127&amp;"; "&amp;H127&amp;"; before "&amp;TEXT(J127,"yyyy-mm-dd")&amp;IF(I127="RECENT","; from "&amp;TEXT(L127,"yyyy-mm-dd"),""))</x:f>
      </x:c>
    </x:row>
    <x:row r="128" ht="21" customHeight="1">
      <x:c r="A128" s="2" t="n">
        <x:v>11</x:v>
      </x:c>
      <x:c r="B128" s="2" t="str">
        <x:f>IF('Input_Meci'!A16="","",'Input_Meci'!A16)</x:f>
      </x:c>
      <x:c r="C128" s="2" t="str">
        <x:v>H</x:v>
      </x:c>
      <x:c r="D128" s="2" t="str">
        <x:v>CURRENT</x:v>
      </x:c>
      <x:c r="E128" s="2" t="str">
        <x:f>IF(B128="","",'Input_Meci'!B16)</x:f>
      </x:c>
      <x:c r="F128" s="2" t="str">
        <x:f>IF(B128="","",IF('Input_Meci'!C16="","",'Input_Meci'!C16))</x:f>
      </x:c>
      <x:c r="G128" s="2" t="str">
        <x:f>IF(B128="","",'Input_Meci'!D16)</x:f>
      </x:c>
      <x:c r="H128" s="2" t="str">
        <x:v>ANY</x:v>
      </x:c>
      <x:c r="I128" s="2" t="str">
        <x:v>RECENT</x:v>
      </x:c>
      <x:c r="J128" s="9" t="n">
        <x:f>IF(AND(B128&lt;&gt;"",ISNUMBER('Input_Meci'!G16)),INT('Input_Meci'!G16),0)</x:f>
        <x:v>0</x:v>
      </x:c>
      <x:c r="K128" s="2" t="n">
        <x:f>IF(OR(B128="",F128=""),0,IF(H128="HOME",COUNTIFS('Istoric_Nativ'!$B$6:$B$405,E128,'Istoric_Nativ'!$C$6:$C$405,F128,'Istoric_Nativ'!$E$6:$E$405,G128,'Istoric_Nativ'!$D$6:$D$405,"&lt;"&amp;J128,'Istoric_Nativ'!$P$6:$P$405,1),IF(H128="AWAY",COUNTIFS('Istoric_Nativ'!$B$6:$B$405,E128,'Istoric_Nativ'!$C$6:$C$405,F128,'Istoric_Nativ'!$F$6:$F$405,G128,'Istoric_Nativ'!$D$6:$D$405,"&lt;"&amp;J128,'Istoric_Nativ'!$P$6:$P$405,1),COUNTIFS('Istoric_Nativ'!$B$6:$B$405,E128,'Istoric_Nativ'!$C$6:$C$405,F128,'Istoric_Nativ'!$E$6:$E$405,G128,'Istoric_Nativ'!$D$6:$D$405,"&lt;"&amp;J128,'Istoric_Nativ'!$P$6:$P$405,1)+COUNTIFS('Istoric_Nativ'!$B$6:$B$405,E128,'Istoric_Nativ'!$C$6:$C$405,F128,'Istoric_Nativ'!$F$6:$F$405,G128,'Istoric_Nativ'!$D$6:$D$405,"&lt;"&amp;J128,'Istoric_Nativ'!$P$6:$P$405,1))))</x:f>
        <x:v>0</x:v>
      </x:c>
      <x:c r="L128" s="17" t="n">
        <x:f>IF(AND(B128&lt;&gt;"",I128="RECENT",K128&gt;0),LARGE(_xlfn._xlws.FILTER('Istoric_Nativ'!$D$6:$D$405,('Istoric_Nativ'!$B$6:$B$405=E128)*('Istoric_Nativ'!$C$6:$C$405=F128)*('Istoric_Nativ'!$P$6:$P$405=1)*('Istoric_Nativ'!$D$6:$D$405&lt;J128)*((('Istoric_Nativ'!$E$6:$E$405=G128)+('Istoric_Nativ'!$F$6:$F$405=G128))&gt;0)),MIN('Config_v6'!$B$54,K128)),0)</x:f>
        <x:v>0</x:v>
      </x:c>
      <x:c r="M128" s="2" t="n">
        <x:f>IF(OR(B128="",F128=""),0,IF(H128="HOME",COUNTIFS('Istoric_Nativ'!$B$6:$B$405,E128,'Istoric_Nativ'!$C$6:$C$405,F128,'Istoric_Nativ'!$E$6:$E$405,G128,'Istoric_Nativ'!$D$6:$D$405,"&lt;"&amp;J128,'Istoric_Nativ'!$P$6:$P$405,1,'Istoric_Nativ'!$D$6:$D$405,"&gt;="&amp;L128),IF(H128="AWAY",COUNTIFS('Istoric_Nativ'!$B$6:$B$405,E128,'Istoric_Nativ'!$C$6:$C$405,F128,'Istoric_Nativ'!$F$6:$F$405,G128,'Istoric_Nativ'!$D$6:$D$405,"&lt;"&amp;J128,'Istoric_Nativ'!$P$6:$P$405,1,'Istoric_Nativ'!$D$6:$D$405,"&gt;="&amp;L128),COUNTIFS('Istoric_Nativ'!$B$6:$B$405,E128,'Istoric_Nativ'!$C$6:$C$405,F128,'Istoric_Nativ'!$E$6:$E$405,G128,'Istoric_Nativ'!$D$6:$D$405,"&lt;"&amp;J128,'Istoric_Nativ'!$P$6:$P$405,1,'Istoric_Nativ'!$D$6:$D$405,"&gt;="&amp;L128)+COUNTIFS('Istoric_Nativ'!$B$6:$B$405,E128,'Istoric_Nativ'!$C$6:$C$405,F128,'Istoric_Nativ'!$F$6:$F$405,G128,'Istoric_Nativ'!$D$6:$D$405,"&lt;"&amp;J128,'Istoric_Nativ'!$P$6:$P$405,1,'Istoric_Nativ'!$D$6:$D$405,"&gt;="&amp;L128))))</x:f>
        <x:v>0</x:v>
      </x:c>
      <x:c r="N128" s="11" t="str">
        <x:f>IF(M128=0,"",IF(H128="HOME",SUMIFS('Istoric_Nativ'!$G$6:$G$405,'Istoric_Nativ'!$B$6:$B$405,E128,'Istoric_Nativ'!$C$6:$C$405,F128,'Istoric_Nativ'!$E$6:$E$405,G128,'Istoric_Nativ'!$D$6:$D$405,"&lt;"&amp;J128,'Istoric_Nativ'!$P$6:$P$405,1,'Istoric_Nativ'!$D$6:$D$405,"&gt;="&amp;L128),IF(H128="AWAY",SUMIFS('Istoric_Nativ'!$H$6:$H$405,'Istoric_Nativ'!$B$6:$B$405,E128,'Istoric_Nativ'!$C$6:$C$405,F128,'Istoric_Nativ'!$F$6:$F$405,G128,'Istoric_Nativ'!$D$6:$D$405,"&lt;"&amp;J128,'Istoric_Nativ'!$P$6:$P$405,1,'Istoric_Nativ'!$D$6:$D$405,"&gt;="&amp;L128),SUMIFS('Istoric_Nativ'!$G$6:$G$405,'Istoric_Nativ'!$B$6:$B$405,E128,'Istoric_Nativ'!$C$6:$C$405,F128,'Istoric_Nativ'!$E$6:$E$405,G128,'Istoric_Nativ'!$D$6:$D$405,"&lt;"&amp;J128,'Istoric_Nativ'!$P$6:$P$405,1,'Istoric_Nativ'!$D$6:$D$405,"&gt;="&amp;L128)+SUMIFS('Istoric_Nativ'!$H$6:$H$405,'Istoric_Nativ'!$B$6:$B$405,E128,'Istoric_Nativ'!$C$6:$C$405,F128,'Istoric_Nativ'!$F$6:$F$405,G128,'Istoric_Nativ'!$D$6:$D$405,"&lt;"&amp;J128,'Istoric_Nativ'!$P$6:$P$405,1,'Istoric_Nativ'!$D$6:$D$405,"&gt;="&amp;L128)))/M128)</x:f>
      </x:c>
      <x:c r="O128" s="11" t="str">
        <x:f>IF(M128=0,"",IF(H128="HOME",SUMIFS('Istoric_Nativ'!$H$6:$H$405,'Istoric_Nativ'!$B$6:$B$405,E128,'Istoric_Nativ'!$C$6:$C$405,F128,'Istoric_Nativ'!$E$6:$E$405,G128,'Istoric_Nativ'!$D$6:$D$405,"&lt;"&amp;J128,'Istoric_Nativ'!$P$6:$P$405,1,'Istoric_Nativ'!$D$6:$D$405,"&gt;="&amp;L128),IF(H128="AWAY",SUMIFS('Istoric_Nativ'!$G$6:$G$405,'Istoric_Nativ'!$B$6:$B$405,E128,'Istoric_Nativ'!$C$6:$C$405,F128,'Istoric_Nativ'!$F$6:$F$405,G128,'Istoric_Nativ'!$D$6:$D$405,"&lt;"&amp;J128,'Istoric_Nativ'!$P$6:$P$405,1,'Istoric_Nativ'!$D$6:$D$405,"&gt;="&amp;L128),SUMIFS('Istoric_Nativ'!$H$6:$H$405,'Istoric_Nativ'!$B$6:$B$405,E128,'Istoric_Nativ'!$C$6:$C$405,F128,'Istoric_Nativ'!$E$6:$E$405,G128,'Istoric_Nativ'!$D$6:$D$405,"&lt;"&amp;J128,'Istoric_Nativ'!$P$6:$P$405,1,'Istoric_Nativ'!$D$6:$D$405,"&gt;="&amp;L128)+SUMIFS('Istoric_Nativ'!$G$6:$G$405,'Istoric_Nativ'!$B$6:$B$405,E128,'Istoric_Nativ'!$C$6:$C$405,F128,'Istoric_Nativ'!$F$6:$F$405,G128,'Istoric_Nativ'!$D$6:$D$405,"&lt;"&amp;J128,'Istoric_Nativ'!$P$6:$P$405,1,'Istoric_Nativ'!$D$6:$D$405,"&gt;="&amp;L128)))/M128)</x:f>
      </x:c>
      <x:c r="P128" s="2" t="n">
        <x:f>'Config_v6'!$B$9</x:f>
        <x:v>3</x:v>
      </x:c>
      <x:c r="Q128" s="2" t="n">
        <x:f>IF(OR(B128="",F128=""),0,IFERROR(MATCH(E128&amp;"|"&amp;F128,SourceTable[Source_Key],0),0))</x:f>
        <x:v>0</x:v>
      </x:c>
      <x:c r="R128" s="2" t="str">
        <x:f>IF(B128="","",IF(F128="","UNUSED",IF(Q128=0,"NOT CHECKED",IF(COUNTIF(SourceTable[Source_Key],E128&amp;"|"&amp;F128)&lt;&gt;1,"SOURCE CONFLICT",IF(NOT(OR(INDEX(SourceTable[Status],MAX(1,Q128))="IMPORTED",INDEX(SourceTable[Status],MAX(1,Q128))="PARTIAL",INDEX(SourceTable[Status],MAX(1,Q128))="SOURCE CONFLICT")),"ACCESS BLOCKED",IF(OR(INDEX(SourceTable[Coverage],Q128)&lt;&gt;"FULL SEASON EXPORT",INDEX(SourceTable[URL],Q128)="",INDEX(SourceTable[SHA256],Q128)=""),"EVIDENCE INCOMPLETE",IF(AND('Input_Meci'!H16="LIVE",INDEX(SourceTable[Retrieved_UTC],Q128)&gt;'Input_Meci'!G16),"POST CUTOFF","CLOSED")))))))</x:f>
      </x:c>
      <x:c r="S128" s="2" t="n">
        <x:f>IF(OR(B128="",F128=""),0,COUNTIFS('Istoric_Nativ'!$B$6:$B$405,E128,'Istoric_Nativ'!$C$6:$C$405,F128,'Istoric_Nativ'!$E$6:$E$405,G128,'Istoric_Nativ'!$D$6:$D$405,"&lt;"&amp;J128,'Istoric_Nativ'!$O$6:$O$405,"INVALID")+COUNTIFS('Istoric_Nativ'!$B$6:$B$405,E128,'Istoric_Nativ'!$C$6:$C$405,F128,'Istoric_Nativ'!$E$6:$E$405,G128,'Istoric_Nativ'!$O$6:$O$405,"INVALID",'Istoric_Nativ'!$D$6:$D$405,"*")+COUNTIFS('Istoric_Nativ'!$B$6:$B$405,E128,'Istoric_Nativ'!$C$6:$C$405,F128,'Istoric_Nativ'!$E$6:$E$405,G128,'Istoric_Nativ'!$D$6:$D$405,"&lt;"&amp;J128,'Istoric_Nativ'!$O$6:$O$405,"SOURCE CONFLICT")+COUNTIFS('Istoric_Nativ'!$B$6:$B$405,E128,'Istoric_Nativ'!$C$6:$C$405,F128,'Istoric_Nativ'!$F$6:$F$405,G128,'Istoric_Nativ'!$D$6:$D$405,"&lt;"&amp;J128,'Istoric_Nativ'!$O$6:$O$405,"INVALID")+COUNTIFS('Istoric_Nativ'!$B$6:$B$405,E128,'Istoric_Nativ'!$C$6:$C$405,F128,'Istoric_Nativ'!$F$6:$F$405,G128,'Istoric_Nativ'!$O$6:$O$405,"INVALID",'Istoric_Nativ'!$D$6:$D$405,"*")+COUNTIFS('Istoric_Nativ'!$B$6:$B$405,E128,'Istoric_Nativ'!$C$6:$C$405,F128,'Istoric_Nativ'!$F$6:$F$405,G128,'Istoric_Nativ'!$D$6:$D$405,"&lt;"&amp;J128,'Istoric_Nativ'!$O$6:$O$405,"SOURCE CONFLICT"))</x:f>
        <x:v>0</x:v>
      </x:c>
      <x:c r="T128" s="2" t="str">
        <x:f>IF(B128="","",IF(R128&lt;&gt;"CLOSED",R128,IF(S128&gt;0,"NATIVE INPUT ISSUE",IF(M128=0,"NO HISTORY",IF(M128&lt;P128,"SMALL SAMPLE","DERIVED")))))</x:f>
      </x:c>
      <x:c r="U128" s="2" t="str">
        <x:f>IF(B128="","","NativeTable; "&amp;E128&amp;"; "&amp;F128&amp;"; "&amp;G128&amp;"; "&amp;H128&amp;"; before "&amp;TEXT(J128,"yyyy-mm-dd")&amp;IF(I128="RECENT","; from "&amp;TEXT(L128,"yyyy-mm-dd"),""))</x:f>
      </x:c>
    </x:row>
    <x:row r="129" ht="21" customHeight="1">
      <x:c r="A129" s="2" t="n">
        <x:v>11</x:v>
      </x:c>
      <x:c r="B129" s="2" t="str">
        <x:f>IF('Input_Meci'!A16="","",'Input_Meci'!A16)</x:f>
      </x:c>
      <x:c r="C129" s="2" t="str">
        <x:v>A</x:v>
      </x:c>
      <x:c r="D129" s="2" t="str">
        <x:v>CURRENT</x:v>
      </x:c>
      <x:c r="E129" s="2" t="str">
        <x:f>IF(B129="","",'Input_Meci'!B16)</x:f>
      </x:c>
      <x:c r="F129" s="2" t="str">
        <x:f>IF(B129="","",IF('Input_Meci'!C16="","",'Input_Meci'!C16))</x:f>
      </x:c>
      <x:c r="G129" s="2" t="str">
        <x:f>IF(B129="","",'Input_Meci'!E16)</x:f>
      </x:c>
      <x:c r="H129" s="2" t="str">
        <x:v>ANY</x:v>
      </x:c>
      <x:c r="I129" s="2" t="str">
        <x:v>SEASON</x:v>
      </x:c>
      <x:c r="J129" s="9" t="n">
        <x:f>IF(AND(B129&lt;&gt;"",ISNUMBER('Input_Meci'!G16)),INT('Input_Meci'!G16),0)</x:f>
        <x:v>0</x:v>
      </x:c>
      <x:c r="K129" s="2" t="n">
        <x:f>IF(OR(B129="",F129=""),0,IF(H129="HOME",COUNTIFS('Istoric_Nativ'!$B$6:$B$405,E129,'Istoric_Nativ'!$C$6:$C$405,F129,'Istoric_Nativ'!$E$6:$E$405,G129,'Istoric_Nativ'!$D$6:$D$405,"&lt;"&amp;J129,'Istoric_Nativ'!$P$6:$P$405,1),IF(H129="AWAY",COUNTIFS('Istoric_Nativ'!$B$6:$B$405,E129,'Istoric_Nativ'!$C$6:$C$405,F129,'Istoric_Nativ'!$F$6:$F$405,G129,'Istoric_Nativ'!$D$6:$D$405,"&lt;"&amp;J129,'Istoric_Nativ'!$P$6:$P$405,1),COUNTIFS('Istoric_Nativ'!$B$6:$B$405,E129,'Istoric_Nativ'!$C$6:$C$405,F129,'Istoric_Nativ'!$E$6:$E$405,G129,'Istoric_Nativ'!$D$6:$D$405,"&lt;"&amp;J129,'Istoric_Nativ'!$P$6:$P$405,1)+COUNTIFS('Istoric_Nativ'!$B$6:$B$405,E129,'Istoric_Nativ'!$C$6:$C$405,F129,'Istoric_Nativ'!$F$6:$F$405,G129,'Istoric_Nativ'!$D$6:$D$405,"&lt;"&amp;J129,'Istoric_Nativ'!$P$6:$P$405,1))))</x:f>
        <x:v>0</x:v>
      </x:c>
      <x:c r="L129" s="17" t="n">
        <x:f>IF(AND(B129&lt;&gt;"",I129="RECENT",K129&gt;0),LARGE(_xlfn._xlws.FILTER('Istoric_Nativ'!$D$6:$D$405,('Istoric_Nativ'!$B$6:$B$405=E129)*('Istoric_Nativ'!$C$6:$C$405=F129)*('Istoric_Nativ'!$P$6:$P$405=1)*('Istoric_Nativ'!$D$6:$D$405&lt;J129)*((('Istoric_Nativ'!$E$6:$E$405=G129)+('Istoric_Nativ'!$F$6:$F$405=G129))&gt;0)),MIN('Config_v6'!$B$54,K129)),0)</x:f>
        <x:v>0</x:v>
      </x:c>
      <x:c r="M129" s="2" t="n">
        <x:f>IF(OR(B129="",F129=""),0,IF(H129="HOME",COUNTIFS('Istoric_Nativ'!$B$6:$B$405,E129,'Istoric_Nativ'!$C$6:$C$405,F129,'Istoric_Nativ'!$E$6:$E$405,G129,'Istoric_Nativ'!$D$6:$D$405,"&lt;"&amp;J129,'Istoric_Nativ'!$P$6:$P$405,1,'Istoric_Nativ'!$D$6:$D$405,"&gt;="&amp;L129),IF(H129="AWAY",COUNTIFS('Istoric_Nativ'!$B$6:$B$405,E129,'Istoric_Nativ'!$C$6:$C$405,F129,'Istoric_Nativ'!$F$6:$F$405,G129,'Istoric_Nativ'!$D$6:$D$405,"&lt;"&amp;J129,'Istoric_Nativ'!$P$6:$P$405,1,'Istoric_Nativ'!$D$6:$D$405,"&gt;="&amp;L129),COUNTIFS('Istoric_Nativ'!$B$6:$B$405,E129,'Istoric_Nativ'!$C$6:$C$405,F129,'Istoric_Nativ'!$E$6:$E$405,G129,'Istoric_Nativ'!$D$6:$D$405,"&lt;"&amp;J129,'Istoric_Nativ'!$P$6:$P$405,1,'Istoric_Nativ'!$D$6:$D$405,"&gt;="&amp;L129)+COUNTIFS('Istoric_Nativ'!$B$6:$B$405,E129,'Istoric_Nativ'!$C$6:$C$405,F129,'Istoric_Nativ'!$F$6:$F$405,G129,'Istoric_Nativ'!$D$6:$D$405,"&lt;"&amp;J129,'Istoric_Nativ'!$P$6:$P$405,1,'Istoric_Nativ'!$D$6:$D$405,"&gt;="&amp;L129))))</x:f>
        <x:v>0</x:v>
      </x:c>
      <x:c r="N129" s="11" t="str">
        <x:f>IF(M129=0,"",IF(H129="HOME",SUMIFS('Istoric_Nativ'!$G$6:$G$405,'Istoric_Nativ'!$B$6:$B$405,E129,'Istoric_Nativ'!$C$6:$C$405,F129,'Istoric_Nativ'!$E$6:$E$405,G129,'Istoric_Nativ'!$D$6:$D$405,"&lt;"&amp;J129,'Istoric_Nativ'!$P$6:$P$405,1,'Istoric_Nativ'!$D$6:$D$405,"&gt;="&amp;L129),IF(H129="AWAY",SUMIFS('Istoric_Nativ'!$H$6:$H$405,'Istoric_Nativ'!$B$6:$B$405,E129,'Istoric_Nativ'!$C$6:$C$405,F129,'Istoric_Nativ'!$F$6:$F$405,G129,'Istoric_Nativ'!$D$6:$D$405,"&lt;"&amp;J129,'Istoric_Nativ'!$P$6:$P$405,1,'Istoric_Nativ'!$D$6:$D$405,"&gt;="&amp;L129),SUMIFS('Istoric_Nativ'!$G$6:$G$405,'Istoric_Nativ'!$B$6:$B$405,E129,'Istoric_Nativ'!$C$6:$C$405,F129,'Istoric_Nativ'!$E$6:$E$405,G129,'Istoric_Nativ'!$D$6:$D$405,"&lt;"&amp;J129,'Istoric_Nativ'!$P$6:$P$405,1,'Istoric_Nativ'!$D$6:$D$405,"&gt;="&amp;L129)+SUMIFS('Istoric_Nativ'!$H$6:$H$405,'Istoric_Nativ'!$B$6:$B$405,E129,'Istoric_Nativ'!$C$6:$C$405,F129,'Istoric_Nativ'!$F$6:$F$405,G129,'Istoric_Nativ'!$D$6:$D$405,"&lt;"&amp;J129,'Istoric_Nativ'!$P$6:$P$405,1,'Istoric_Nativ'!$D$6:$D$405,"&gt;="&amp;L129)))/M129)</x:f>
      </x:c>
      <x:c r="O129" s="11" t="str">
        <x:f>IF(M129=0,"",IF(H129="HOME",SUMIFS('Istoric_Nativ'!$H$6:$H$405,'Istoric_Nativ'!$B$6:$B$405,E129,'Istoric_Nativ'!$C$6:$C$405,F129,'Istoric_Nativ'!$E$6:$E$405,G129,'Istoric_Nativ'!$D$6:$D$405,"&lt;"&amp;J129,'Istoric_Nativ'!$P$6:$P$405,1,'Istoric_Nativ'!$D$6:$D$405,"&gt;="&amp;L129),IF(H129="AWAY",SUMIFS('Istoric_Nativ'!$G$6:$G$405,'Istoric_Nativ'!$B$6:$B$405,E129,'Istoric_Nativ'!$C$6:$C$405,F129,'Istoric_Nativ'!$F$6:$F$405,G129,'Istoric_Nativ'!$D$6:$D$405,"&lt;"&amp;J129,'Istoric_Nativ'!$P$6:$P$405,1,'Istoric_Nativ'!$D$6:$D$405,"&gt;="&amp;L129),SUMIFS('Istoric_Nativ'!$H$6:$H$405,'Istoric_Nativ'!$B$6:$B$405,E129,'Istoric_Nativ'!$C$6:$C$405,F129,'Istoric_Nativ'!$E$6:$E$405,G129,'Istoric_Nativ'!$D$6:$D$405,"&lt;"&amp;J129,'Istoric_Nativ'!$P$6:$P$405,1,'Istoric_Nativ'!$D$6:$D$405,"&gt;="&amp;L129)+SUMIFS('Istoric_Nativ'!$G$6:$G$405,'Istoric_Nativ'!$B$6:$B$405,E129,'Istoric_Nativ'!$C$6:$C$405,F129,'Istoric_Nativ'!$F$6:$F$405,G129,'Istoric_Nativ'!$D$6:$D$405,"&lt;"&amp;J129,'Istoric_Nativ'!$P$6:$P$405,1,'Istoric_Nativ'!$D$6:$D$405,"&gt;="&amp;L129)))/M129)</x:f>
      </x:c>
      <x:c r="P129" s="2" t="n">
        <x:f>'Config_v6'!$B$7</x:f>
        <x:v>10</x:v>
      </x:c>
      <x:c r="Q129" s="2" t="n">
        <x:f>IF(OR(B129="",F129=""),0,IFERROR(MATCH(E129&amp;"|"&amp;F129,SourceTable[Source_Key],0),0))</x:f>
        <x:v>0</x:v>
      </x:c>
      <x:c r="R129" s="2" t="str">
        <x:f>IF(B129="","",IF(F129="","UNUSED",IF(Q129=0,"NOT CHECKED",IF(COUNTIF(SourceTable[Source_Key],E129&amp;"|"&amp;F129)&lt;&gt;1,"SOURCE CONFLICT",IF(NOT(OR(INDEX(SourceTable[Status],MAX(1,Q129))="IMPORTED",INDEX(SourceTable[Status],MAX(1,Q129))="PARTIAL",INDEX(SourceTable[Status],MAX(1,Q129))="SOURCE CONFLICT")),"ACCESS BLOCKED",IF(OR(INDEX(SourceTable[Coverage],Q129)&lt;&gt;"FULL SEASON EXPORT",INDEX(SourceTable[URL],Q129)="",INDEX(SourceTable[SHA256],Q129)=""),"EVIDENCE INCOMPLETE",IF(AND('Input_Meci'!H16="LIVE",INDEX(SourceTable[Retrieved_UTC],Q129)&gt;'Input_Meci'!G16),"POST CUTOFF","CLOSED")))))))</x:f>
      </x:c>
      <x:c r="S129" s="2" t="n">
        <x:f>IF(OR(B129="",F129=""),0,COUNTIFS('Istoric_Nativ'!$B$6:$B$405,E129,'Istoric_Nativ'!$C$6:$C$405,F129,'Istoric_Nativ'!$E$6:$E$405,G129,'Istoric_Nativ'!$D$6:$D$405,"&lt;"&amp;J129,'Istoric_Nativ'!$O$6:$O$405,"INVALID")+COUNTIFS('Istoric_Nativ'!$B$6:$B$405,E129,'Istoric_Nativ'!$C$6:$C$405,F129,'Istoric_Nativ'!$E$6:$E$405,G129,'Istoric_Nativ'!$O$6:$O$405,"INVALID",'Istoric_Nativ'!$D$6:$D$405,"*")+COUNTIFS('Istoric_Nativ'!$B$6:$B$405,E129,'Istoric_Nativ'!$C$6:$C$405,F129,'Istoric_Nativ'!$E$6:$E$405,G129,'Istoric_Nativ'!$D$6:$D$405,"&lt;"&amp;J129,'Istoric_Nativ'!$O$6:$O$405,"SOURCE CONFLICT")+COUNTIFS('Istoric_Nativ'!$B$6:$B$405,E129,'Istoric_Nativ'!$C$6:$C$405,F129,'Istoric_Nativ'!$F$6:$F$405,G129,'Istoric_Nativ'!$D$6:$D$405,"&lt;"&amp;J129,'Istoric_Nativ'!$O$6:$O$405,"INVALID")+COUNTIFS('Istoric_Nativ'!$B$6:$B$405,E129,'Istoric_Nativ'!$C$6:$C$405,F129,'Istoric_Nativ'!$F$6:$F$405,G129,'Istoric_Nativ'!$O$6:$O$405,"INVALID",'Istoric_Nativ'!$D$6:$D$405,"*")+COUNTIFS('Istoric_Nativ'!$B$6:$B$405,E129,'Istoric_Nativ'!$C$6:$C$405,F129,'Istoric_Nativ'!$F$6:$F$405,G129,'Istoric_Nativ'!$D$6:$D$405,"&lt;"&amp;J129,'Istoric_Nativ'!$O$6:$O$405,"SOURCE CONFLICT"))</x:f>
        <x:v>0</x:v>
      </x:c>
      <x:c r="T129" s="2" t="str">
        <x:f>IF(B129="","",IF(R129&lt;&gt;"CLOSED",R129,IF(S129&gt;0,"NATIVE INPUT ISSUE",IF(M129=0,"NO HISTORY",IF(M129&lt;P129,"SMALL SAMPLE","DERIVED")))))</x:f>
      </x:c>
      <x:c r="U129" s="2" t="str">
        <x:f>IF(B129="","","NativeTable; "&amp;E129&amp;"; "&amp;F129&amp;"; "&amp;G129&amp;"; "&amp;H129&amp;"; before "&amp;TEXT(J129,"yyyy-mm-dd")&amp;IF(I129="RECENT","; from "&amp;TEXT(L129,"yyyy-mm-dd"),""))</x:f>
      </x:c>
    </x:row>
    <x:row r="130" ht="21" customHeight="1">
      <x:c r="A130" s="2" t="n">
        <x:v>11</x:v>
      </x:c>
      <x:c r="B130" s="2" t="str">
        <x:f>IF('Input_Meci'!A16="","",'Input_Meci'!A16)</x:f>
      </x:c>
      <x:c r="C130" s="2" t="str">
        <x:v>A</x:v>
      </x:c>
      <x:c r="D130" s="2" t="str">
        <x:v>CURRENT</x:v>
      </x:c>
      <x:c r="E130" s="2" t="str">
        <x:f>IF(B130="","",'Input_Meci'!B16)</x:f>
      </x:c>
      <x:c r="F130" s="2" t="str">
        <x:f>IF(B130="","",IF('Input_Meci'!C16="","",'Input_Meci'!C16))</x:f>
      </x:c>
      <x:c r="G130" s="2" t="str">
        <x:f>IF(B130="","",'Input_Meci'!E16)</x:f>
      </x:c>
      <x:c r="H130" s="2" t="str">
        <x:v>AWAY</x:v>
      </x:c>
      <x:c r="I130" s="2" t="str">
        <x:v>HA</x:v>
      </x:c>
      <x:c r="J130" s="9" t="n">
        <x:f>IF(AND(B130&lt;&gt;"",ISNUMBER('Input_Meci'!G16)),INT('Input_Meci'!G16),0)</x:f>
        <x:v>0</x:v>
      </x:c>
      <x:c r="K130" s="2" t="n">
        <x:f>IF(OR(B130="",F130=""),0,IF(H130="HOME",COUNTIFS('Istoric_Nativ'!$B$6:$B$405,E130,'Istoric_Nativ'!$C$6:$C$405,F130,'Istoric_Nativ'!$E$6:$E$405,G130,'Istoric_Nativ'!$D$6:$D$405,"&lt;"&amp;J130,'Istoric_Nativ'!$P$6:$P$405,1),IF(H130="AWAY",COUNTIFS('Istoric_Nativ'!$B$6:$B$405,E130,'Istoric_Nativ'!$C$6:$C$405,F130,'Istoric_Nativ'!$F$6:$F$405,G130,'Istoric_Nativ'!$D$6:$D$405,"&lt;"&amp;J130,'Istoric_Nativ'!$P$6:$P$405,1),COUNTIFS('Istoric_Nativ'!$B$6:$B$405,E130,'Istoric_Nativ'!$C$6:$C$405,F130,'Istoric_Nativ'!$E$6:$E$405,G130,'Istoric_Nativ'!$D$6:$D$405,"&lt;"&amp;J130,'Istoric_Nativ'!$P$6:$P$405,1)+COUNTIFS('Istoric_Nativ'!$B$6:$B$405,E130,'Istoric_Nativ'!$C$6:$C$405,F130,'Istoric_Nativ'!$F$6:$F$405,G130,'Istoric_Nativ'!$D$6:$D$405,"&lt;"&amp;J130,'Istoric_Nativ'!$P$6:$P$405,1))))</x:f>
        <x:v>0</x:v>
      </x:c>
      <x:c r="L130" s="17" t="n">
        <x:f>IF(AND(B130&lt;&gt;"",I130="RECENT",K130&gt;0),LARGE(_xlfn._xlws.FILTER('Istoric_Nativ'!$D$6:$D$405,('Istoric_Nativ'!$B$6:$B$405=E130)*('Istoric_Nativ'!$C$6:$C$405=F130)*('Istoric_Nativ'!$P$6:$P$405=1)*('Istoric_Nativ'!$D$6:$D$405&lt;J130)*((('Istoric_Nativ'!$E$6:$E$405=G130)+('Istoric_Nativ'!$F$6:$F$405=G130))&gt;0)),MIN('Config_v6'!$B$54,K130)),0)</x:f>
        <x:v>0</x:v>
      </x:c>
      <x:c r="M130" s="2" t="n">
        <x:f>IF(OR(B130="",F130=""),0,IF(H130="HOME",COUNTIFS('Istoric_Nativ'!$B$6:$B$405,E130,'Istoric_Nativ'!$C$6:$C$405,F130,'Istoric_Nativ'!$E$6:$E$405,G130,'Istoric_Nativ'!$D$6:$D$405,"&lt;"&amp;J130,'Istoric_Nativ'!$P$6:$P$405,1,'Istoric_Nativ'!$D$6:$D$405,"&gt;="&amp;L130),IF(H130="AWAY",COUNTIFS('Istoric_Nativ'!$B$6:$B$405,E130,'Istoric_Nativ'!$C$6:$C$405,F130,'Istoric_Nativ'!$F$6:$F$405,G130,'Istoric_Nativ'!$D$6:$D$405,"&lt;"&amp;J130,'Istoric_Nativ'!$P$6:$P$405,1,'Istoric_Nativ'!$D$6:$D$405,"&gt;="&amp;L130),COUNTIFS('Istoric_Nativ'!$B$6:$B$405,E130,'Istoric_Nativ'!$C$6:$C$405,F130,'Istoric_Nativ'!$E$6:$E$405,G130,'Istoric_Nativ'!$D$6:$D$405,"&lt;"&amp;J130,'Istoric_Nativ'!$P$6:$P$405,1,'Istoric_Nativ'!$D$6:$D$405,"&gt;="&amp;L130)+COUNTIFS('Istoric_Nativ'!$B$6:$B$405,E130,'Istoric_Nativ'!$C$6:$C$405,F130,'Istoric_Nativ'!$F$6:$F$405,G130,'Istoric_Nativ'!$D$6:$D$405,"&lt;"&amp;J130,'Istoric_Nativ'!$P$6:$P$405,1,'Istoric_Nativ'!$D$6:$D$405,"&gt;="&amp;L130))))</x:f>
        <x:v>0</x:v>
      </x:c>
      <x:c r="N130" s="11" t="str">
        <x:f>IF(M130=0,"",IF(H130="HOME",SUMIFS('Istoric_Nativ'!$G$6:$G$405,'Istoric_Nativ'!$B$6:$B$405,E130,'Istoric_Nativ'!$C$6:$C$405,F130,'Istoric_Nativ'!$E$6:$E$405,G130,'Istoric_Nativ'!$D$6:$D$405,"&lt;"&amp;J130,'Istoric_Nativ'!$P$6:$P$405,1,'Istoric_Nativ'!$D$6:$D$405,"&gt;="&amp;L130),IF(H130="AWAY",SUMIFS('Istoric_Nativ'!$H$6:$H$405,'Istoric_Nativ'!$B$6:$B$405,E130,'Istoric_Nativ'!$C$6:$C$405,F130,'Istoric_Nativ'!$F$6:$F$405,G130,'Istoric_Nativ'!$D$6:$D$405,"&lt;"&amp;J130,'Istoric_Nativ'!$P$6:$P$405,1,'Istoric_Nativ'!$D$6:$D$405,"&gt;="&amp;L130),SUMIFS('Istoric_Nativ'!$G$6:$G$405,'Istoric_Nativ'!$B$6:$B$405,E130,'Istoric_Nativ'!$C$6:$C$405,F130,'Istoric_Nativ'!$E$6:$E$405,G130,'Istoric_Nativ'!$D$6:$D$405,"&lt;"&amp;J130,'Istoric_Nativ'!$P$6:$P$405,1,'Istoric_Nativ'!$D$6:$D$405,"&gt;="&amp;L130)+SUMIFS('Istoric_Nativ'!$H$6:$H$405,'Istoric_Nativ'!$B$6:$B$405,E130,'Istoric_Nativ'!$C$6:$C$405,F130,'Istoric_Nativ'!$F$6:$F$405,G130,'Istoric_Nativ'!$D$6:$D$405,"&lt;"&amp;J130,'Istoric_Nativ'!$P$6:$P$405,1,'Istoric_Nativ'!$D$6:$D$405,"&gt;="&amp;L130)))/M130)</x:f>
      </x:c>
      <x:c r="O130" s="11" t="str">
        <x:f>IF(M130=0,"",IF(H130="HOME",SUMIFS('Istoric_Nativ'!$H$6:$H$405,'Istoric_Nativ'!$B$6:$B$405,E130,'Istoric_Nativ'!$C$6:$C$405,F130,'Istoric_Nativ'!$E$6:$E$405,G130,'Istoric_Nativ'!$D$6:$D$405,"&lt;"&amp;J130,'Istoric_Nativ'!$P$6:$P$405,1,'Istoric_Nativ'!$D$6:$D$405,"&gt;="&amp;L130),IF(H130="AWAY",SUMIFS('Istoric_Nativ'!$G$6:$G$405,'Istoric_Nativ'!$B$6:$B$405,E130,'Istoric_Nativ'!$C$6:$C$405,F130,'Istoric_Nativ'!$F$6:$F$405,G130,'Istoric_Nativ'!$D$6:$D$405,"&lt;"&amp;J130,'Istoric_Nativ'!$P$6:$P$405,1,'Istoric_Nativ'!$D$6:$D$405,"&gt;="&amp;L130),SUMIFS('Istoric_Nativ'!$H$6:$H$405,'Istoric_Nativ'!$B$6:$B$405,E130,'Istoric_Nativ'!$C$6:$C$405,F130,'Istoric_Nativ'!$E$6:$E$405,G130,'Istoric_Nativ'!$D$6:$D$405,"&lt;"&amp;J130,'Istoric_Nativ'!$P$6:$P$405,1,'Istoric_Nativ'!$D$6:$D$405,"&gt;="&amp;L130)+SUMIFS('Istoric_Nativ'!$G$6:$G$405,'Istoric_Nativ'!$B$6:$B$405,E130,'Istoric_Nativ'!$C$6:$C$405,F130,'Istoric_Nativ'!$F$6:$F$405,G130,'Istoric_Nativ'!$D$6:$D$405,"&lt;"&amp;J130,'Istoric_Nativ'!$P$6:$P$405,1,'Istoric_Nativ'!$D$6:$D$405,"&gt;="&amp;L130)))/M130)</x:f>
      </x:c>
      <x:c r="P130" s="2" t="n">
        <x:f>'Config_v6'!$B$8</x:f>
        <x:v>5</x:v>
      </x:c>
      <x:c r="Q130" s="2" t="n">
        <x:f>IF(OR(B130="",F130=""),0,IFERROR(MATCH(E130&amp;"|"&amp;F130,SourceTable[Source_Key],0),0))</x:f>
        <x:v>0</x:v>
      </x:c>
      <x:c r="R130" s="2" t="str">
        <x:f>IF(B130="","",IF(F130="","UNUSED",IF(Q130=0,"NOT CHECKED",IF(COUNTIF(SourceTable[Source_Key],E130&amp;"|"&amp;F130)&lt;&gt;1,"SOURCE CONFLICT",IF(NOT(OR(INDEX(SourceTable[Status],MAX(1,Q130))="IMPORTED",INDEX(SourceTable[Status],MAX(1,Q130))="PARTIAL",INDEX(SourceTable[Status],MAX(1,Q130))="SOURCE CONFLICT")),"ACCESS BLOCKED",IF(OR(INDEX(SourceTable[Coverage],Q130)&lt;&gt;"FULL SEASON EXPORT",INDEX(SourceTable[URL],Q130)="",INDEX(SourceTable[SHA256],Q130)=""),"EVIDENCE INCOMPLETE",IF(AND('Input_Meci'!H16="LIVE",INDEX(SourceTable[Retrieved_UTC],Q130)&gt;'Input_Meci'!G16),"POST CUTOFF","CLOSED")))))))</x:f>
      </x:c>
      <x:c r="S130" s="2" t="n">
        <x:f>IF(OR(B130="",F130=""),0,COUNTIFS('Istoric_Nativ'!$B$6:$B$405,E130,'Istoric_Nativ'!$C$6:$C$405,F130,'Istoric_Nativ'!$E$6:$E$405,G130,'Istoric_Nativ'!$D$6:$D$405,"&lt;"&amp;J130,'Istoric_Nativ'!$O$6:$O$405,"INVALID")+COUNTIFS('Istoric_Nativ'!$B$6:$B$405,E130,'Istoric_Nativ'!$C$6:$C$405,F130,'Istoric_Nativ'!$E$6:$E$405,G130,'Istoric_Nativ'!$O$6:$O$405,"INVALID",'Istoric_Nativ'!$D$6:$D$405,"*")+COUNTIFS('Istoric_Nativ'!$B$6:$B$405,E130,'Istoric_Nativ'!$C$6:$C$405,F130,'Istoric_Nativ'!$E$6:$E$405,G130,'Istoric_Nativ'!$D$6:$D$405,"&lt;"&amp;J130,'Istoric_Nativ'!$O$6:$O$405,"SOURCE CONFLICT")+COUNTIFS('Istoric_Nativ'!$B$6:$B$405,E130,'Istoric_Nativ'!$C$6:$C$405,F130,'Istoric_Nativ'!$F$6:$F$405,G130,'Istoric_Nativ'!$D$6:$D$405,"&lt;"&amp;J130,'Istoric_Nativ'!$O$6:$O$405,"INVALID")+COUNTIFS('Istoric_Nativ'!$B$6:$B$405,E130,'Istoric_Nativ'!$C$6:$C$405,F130,'Istoric_Nativ'!$F$6:$F$405,G130,'Istoric_Nativ'!$O$6:$O$405,"INVALID",'Istoric_Nativ'!$D$6:$D$405,"*")+COUNTIFS('Istoric_Nativ'!$B$6:$B$405,E130,'Istoric_Nativ'!$C$6:$C$405,F130,'Istoric_Nativ'!$F$6:$F$405,G130,'Istoric_Nativ'!$D$6:$D$405,"&lt;"&amp;J130,'Istoric_Nativ'!$O$6:$O$405,"SOURCE CONFLICT"))</x:f>
        <x:v>0</x:v>
      </x:c>
      <x:c r="T130" s="2" t="str">
        <x:f>IF(B130="","",IF(R130&lt;&gt;"CLOSED",R130,IF(S130&gt;0,"NATIVE INPUT ISSUE",IF(M130=0,"NO HISTORY",IF(M130&lt;P130,"SMALL SAMPLE","DERIVED")))))</x:f>
      </x:c>
      <x:c r="U130" s="2" t="str">
        <x:f>IF(B130="","","NativeTable; "&amp;E130&amp;"; "&amp;F130&amp;"; "&amp;G130&amp;"; "&amp;H130&amp;"; before "&amp;TEXT(J130,"yyyy-mm-dd")&amp;IF(I130="RECENT","; from "&amp;TEXT(L130,"yyyy-mm-dd"),""))</x:f>
      </x:c>
    </x:row>
    <x:row r="131" ht="21" customHeight="1">
      <x:c r="A131" s="2" t="n">
        <x:v>11</x:v>
      </x:c>
      <x:c r="B131" s="2" t="str">
        <x:f>IF('Input_Meci'!A16="","",'Input_Meci'!A16)</x:f>
      </x:c>
      <x:c r="C131" s="2" t="str">
        <x:v>A</x:v>
      </x:c>
      <x:c r="D131" s="2" t="str">
        <x:v>CURRENT</x:v>
      </x:c>
      <x:c r="E131" s="2" t="str">
        <x:f>IF(B131="","",'Input_Meci'!B16)</x:f>
      </x:c>
      <x:c r="F131" s="2" t="str">
        <x:f>IF(B131="","",IF('Input_Meci'!C16="","",'Input_Meci'!C16))</x:f>
      </x:c>
      <x:c r="G131" s="2" t="str">
        <x:f>IF(B131="","",'Input_Meci'!E16)</x:f>
      </x:c>
      <x:c r="H131" s="2" t="str">
        <x:v>ANY</x:v>
      </x:c>
      <x:c r="I131" s="2" t="str">
        <x:v>RECENT</x:v>
      </x:c>
      <x:c r="J131" s="9" t="n">
        <x:f>IF(AND(B131&lt;&gt;"",ISNUMBER('Input_Meci'!G16)),INT('Input_Meci'!G16),0)</x:f>
        <x:v>0</x:v>
      </x:c>
      <x:c r="K131" s="2" t="n">
        <x:f>IF(OR(B131="",F131=""),0,IF(H131="HOME",COUNTIFS('Istoric_Nativ'!$B$6:$B$405,E131,'Istoric_Nativ'!$C$6:$C$405,F131,'Istoric_Nativ'!$E$6:$E$405,G131,'Istoric_Nativ'!$D$6:$D$405,"&lt;"&amp;J131,'Istoric_Nativ'!$P$6:$P$405,1),IF(H131="AWAY",COUNTIFS('Istoric_Nativ'!$B$6:$B$405,E131,'Istoric_Nativ'!$C$6:$C$405,F131,'Istoric_Nativ'!$F$6:$F$405,G131,'Istoric_Nativ'!$D$6:$D$405,"&lt;"&amp;J131,'Istoric_Nativ'!$P$6:$P$405,1),COUNTIFS('Istoric_Nativ'!$B$6:$B$405,E131,'Istoric_Nativ'!$C$6:$C$405,F131,'Istoric_Nativ'!$E$6:$E$405,G131,'Istoric_Nativ'!$D$6:$D$405,"&lt;"&amp;J131,'Istoric_Nativ'!$P$6:$P$405,1)+COUNTIFS('Istoric_Nativ'!$B$6:$B$405,E131,'Istoric_Nativ'!$C$6:$C$405,F131,'Istoric_Nativ'!$F$6:$F$405,G131,'Istoric_Nativ'!$D$6:$D$405,"&lt;"&amp;J131,'Istoric_Nativ'!$P$6:$P$405,1))))</x:f>
        <x:v>0</x:v>
      </x:c>
      <x:c r="L131" s="17" t="n">
        <x:f>IF(AND(B131&lt;&gt;"",I131="RECENT",K131&gt;0),LARGE(_xlfn._xlws.FILTER('Istoric_Nativ'!$D$6:$D$405,('Istoric_Nativ'!$B$6:$B$405=E131)*('Istoric_Nativ'!$C$6:$C$405=F131)*('Istoric_Nativ'!$P$6:$P$405=1)*('Istoric_Nativ'!$D$6:$D$405&lt;J131)*((('Istoric_Nativ'!$E$6:$E$405=G131)+('Istoric_Nativ'!$F$6:$F$405=G131))&gt;0)),MIN('Config_v6'!$B$54,K131)),0)</x:f>
        <x:v>0</x:v>
      </x:c>
      <x:c r="M131" s="2" t="n">
        <x:f>IF(OR(B131="",F131=""),0,IF(H131="HOME",COUNTIFS('Istoric_Nativ'!$B$6:$B$405,E131,'Istoric_Nativ'!$C$6:$C$405,F131,'Istoric_Nativ'!$E$6:$E$405,G131,'Istoric_Nativ'!$D$6:$D$405,"&lt;"&amp;J131,'Istoric_Nativ'!$P$6:$P$405,1,'Istoric_Nativ'!$D$6:$D$405,"&gt;="&amp;L131),IF(H131="AWAY",COUNTIFS('Istoric_Nativ'!$B$6:$B$405,E131,'Istoric_Nativ'!$C$6:$C$405,F131,'Istoric_Nativ'!$F$6:$F$405,G131,'Istoric_Nativ'!$D$6:$D$405,"&lt;"&amp;J131,'Istoric_Nativ'!$P$6:$P$405,1,'Istoric_Nativ'!$D$6:$D$405,"&gt;="&amp;L131),COUNTIFS('Istoric_Nativ'!$B$6:$B$405,E131,'Istoric_Nativ'!$C$6:$C$405,F131,'Istoric_Nativ'!$E$6:$E$405,G131,'Istoric_Nativ'!$D$6:$D$405,"&lt;"&amp;J131,'Istoric_Nativ'!$P$6:$P$405,1,'Istoric_Nativ'!$D$6:$D$405,"&gt;="&amp;L131)+COUNTIFS('Istoric_Nativ'!$B$6:$B$405,E131,'Istoric_Nativ'!$C$6:$C$405,F131,'Istoric_Nativ'!$F$6:$F$405,G131,'Istoric_Nativ'!$D$6:$D$405,"&lt;"&amp;J131,'Istoric_Nativ'!$P$6:$P$405,1,'Istoric_Nativ'!$D$6:$D$405,"&gt;="&amp;L131))))</x:f>
        <x:v>0</x:v>
      </x:c>
      <x:c r="N131" s="11" t="str">
        <x:f>IF(M131=0,"",IF(H131="HOME",SUMIFS('Istoric_Nativ'!$G$6:$G$405,'Istoric_Nativ'!$B$6:$B$405,E131,'Istoric_Nativ'!$C$6:$C$405,F131,'Istoric_Nativ'!$E$6:$E$405,G131,'Istoric_Nativ'!$D$6:$D$405,"&lt;"&amp;J131,'Istoric_Nativ'!$P$6:$P$405,1,'Istoric_Nativ'!$D$6:$D$405,"&gt;="&amp;L131),IF(H131="AWAY",SUMIFS('Istoric_Nativ'!$H$6:$H$405,'Istoric_Nativ'!$B$6:$B$405,E131,'Istoric_Nativ'!$C$6:$C$405,F131,'Istoric_Nativ'!$F$6:$F$405,G131,'Istoric_Nativ'!$D$6:$D$405,"&lt;"&amp;J131,'Istoric_Nativ'!$P$6:$P$405,1,'Istoric_Nativ'!$D$6:$D$405,"&gt;="&amp;L131),SUMIFS('Istoric_Nativ'!$G$6:$G$405,'Istoric_Nativ'!$B$6:$B$405,E131,'Istoric_Nativ'!$C$6:$C$405,F131,'Istoric_Nativ'!$E$6:$E$405,G131,'Istoric_Nativ'!$D$6:$D$405,"&lt;"&amp;J131,'Istoric_Nativ'!$P$6:$P$405,1,'Istoric_Nativ'!$D$6:$D$405,"&gt;="&amp;L131)+SUMIFS('Istoric_Nativ'!$H$6:$H$405,'Istoric_Nativ'!$B$6:$B$405,E131,'Istoric_Nativ'!$C$6:$C$405,F131,'Istoric_Nativ'!$F$6:$F$405,G131,'Istoric_Nativ'!$D$6:$D$405,"&lt;"&amp;J131,'Istoric_Nativ'!$P$6:$P$405,1,'Istoric_Nativ'!$D$6:$D$405,"&gt;="&amp;L131)))/M131)</x:f>
      </x:c>
      <x:c r="O131" s="11" t="str">
        <x:f>IF(M131=0,"",IF(H131="HOME",SUMIFS('Istoric_Nativ'!$H$6:$H$405,'Istoric_Nativ'!$B$6:$B$405,E131,'Istoric_Nativ'!$C$6:$C$405,F131,'Istoric_Nativ'!$E$6:$E$405,G131,'Istoric_Nativ'!$D$6:$D$405,"&lt;"&amp;J131,'Istoric_Nativ'!$P$6:$P$405,1,'Istoric_Nativ'!$D$6:$D$405,"&gt;="&amp;L131),IF(H131="AWAY",SUMIFS('Istoric_Nativ'!$G$6:$G$405,'Istoric_Nativ'!$B$6:$B$405,E131,'Istoric_Nativ'!$C$6:$C$405,F131,'Istoric_Nativ'!$F$6:$F$405,G131,'Istoric_Nativ'!$D$6:$D$405,"&lt;"&amp;J131,'Istoric_Nativ'!$P$6:$P$405,1,'Istoric_Nativ'!$D$6:$D$405,"&gt;="&amp;L131),SUMIFS('Istoric_Nativ'!$H$6:$H$405,'Istoric_Nativ'!$B$6:$B$405,E131,'Istoric_Nativ'!$C$6:$C$405,F131,'Istoric_Nativ'!$E$6:$E$405,G131,'Istoric_Nativ'!$D$6:$D$405,"&lt;"&amp;J131,'Istoric_Nativ'!$P$6:$P$405,1,'Istoric_Nativ'!$D$6:$D$405,"&gt;="&amp;L131)+SUMIFS('Istoric_Nativ'!$G$6:$G$405,'Istoric_Nativ'!$B$6:$B$405,E131,'Istoric_Nativ'!$C$6:$C$405,F131,'Istoric_Nativ'!$F$6:$F$405,G131,'Istoric_Nativ'!$D$6:$D$405,"&lt;"&amp;J131,'Istoric_Nativ'!$P$6:$P$405,1,'Istoric_Nativ'!$D$6:$D$405,"&gt;="&amp;L131)))/M131)</x:f>
      </x:c>
      <x:c r="P131" s="2" t="n">
        <x:f>'Config_v6'!$B$9</x:f>
        <x:v>3</x:v>
      </x:c>
      <x:c r="Q131" s="2" t="n">
        <x:f>IF(OR(B131="",F131=""),0,IFERROR(MATCH(E131&amp;"|"&amp;F131,SourceTable[Source_Key],0),0))</x:f>
        <x:v>0</x:v>
      </x:c>
      <x:c r="R131" s="2" t="str">
        <x:f>IF(B131="","",IF(F131="","UNUSED",IF(Q131=0,"NOT CHECKED",IF(COUNTIF(SourceTable[Source_Key],E131&amp;"|"&amp;F131)&lt;&gt;1,"SOURCE CONFLICT",IF(NOT(OR(INDEX(SourceTable[Status],MAX(1,Q131))="IMPORTED",INDEX(SourceTable[Status],MAX(1,Q131))="PARTIAL",INDEX(SourceTable[Status],MAX(1,Q131))="SOURCE CONFLICT")),"ACCESS BLOCKED",IF(OR(INDEX(SourceTable[Coverage],Q131)&lt;&gt;"FULL SEASON EXPORT",INDEX(SourceTable[URL],Q131)="",INDEX(SourceTable[SHA256],Q131)=""),"EVIDENCE INCOMPLETE",IF(AND('Input_Meci'!H16="LIVE",INDEX(SourceTable[Retrieved_UTC],Q131)&gt;'Input_Meci'!G16),"POST CUTOFF","CLOSED")))))))</x:f>
      </x:c>
      <x:c r="S131" s="2" t="n">
        <x:f>IF(OR(B131="",F131=""),0,COUNTIFS('Istoric_Nativ'!$B$6:$B$405,E131,'Istoric_Nativ'!$C$6:$C$405,F131,'Istoric_Nativ'!$E$6:$E$405,G131,'Istoric_Nativ'!$D$6:$D$405,"&lt;"&amp;J131,'Istoric_Nativ'!$O$6:$O$405,"INVALID")+COUNTIFS('Istoric_Nativ'!$B$6:$B$405,E131,'Istoric_Nativ'!$C$6:$C$405,F131,'Istoric_Nativ'!$E$6:$E$405,G131,'Istoric_Nativ'!$O$6:$O$405,"INVALID",'Istoric_Nativ'!$D$6:$D$405,"*")+COUNTIFS('Istoric_Nativ'!$B$6:$B$405,E131,'Istoric_Nativ'!$C$6:$C$405,F131,'Istoric_Nativ'!$E$6:$E$405,G131,'Istoric_Nativ'!$D$6:$D$405,"&lt;"&amp;J131,'Istoric_Nativ'!$O$6:$O$405,"SOURCE CONFLICT")+COUNTIFS('Istoric_Nativ'!$B$6:$B$405,E131,'Istoric_Nativ'!$C$6:$C$405,F131,'Istoric_Nativ'!$F$6:$F$405,G131,'Istoric_Nativ'!$D$6:$D$405,"&lt;"&amp;J131,'Istoric_Nativ'!$O$6:$O$405,"INVALID")+COUNTIFS('Istoric_Nativ'!$B$6:$B$405,E131,'Istoric_Nativ'!$C$6:$C$405,F131,'Istoric_Nativ'!$F$6:$F$405,G131,'Istoric_Nativ'!$O$6:$O$405,"INVALID",'Istoric_Nativ'!$D$6:$D$405,"*")+COUNTIFS('Istoric_Nativ'!$B$6:$B$405,E131,'Istoric_Nativ'!$C$6:$C$405,F131,'Istoric_Nativ'!$F$6:$F$405,G131,'Istoric_Nativ'!$D$6:$D$405,"&lt;"&amp;J131,'Istoric_Nativ'!$O$6:$O$405,"SOURCE CONFLICT"))</x:f>
        <x:v>0</x:v>
      </x:c>
      <x:c r="T131" s="2" t="str">
        <x:f>IF(B131="","",IF(R131&lt;&gt;"CLOSED",R131,IF(S131&gt;0,"NATIVE INPUT ISSUE",IF(M131=0,"NO HISTORY",IF(M131&lt;P131,"SMALL SAMPLE","DERIVED")))))</x:f>
      </x:c>
      <x:c r="U131" s="2" t="str">
        <x:f>IF(B131="","","NativeTable; "&amp;E131&amp;"; "&amp;F131&amp;"; "&amp;G131&amp;"; "&amp;H131&amp;"; before "&amp;TEXT(J131,"yyyy-mm-dd")&amp;IF(I131="RECENT","; from "&amp;TEXT(L131,"yyyy-mm-dd"),""))</x:f>
      </x:c>
    </x:row>
    <x:row r="132" ht="21" customHeight="1">
      <x:c r="A132" s="2" t="n">
        <x:v>11</x:v>
      </x:c>
      <x:c r="B132" s="2" t="str">
        <x:f>IF('Input_Meci'!A16="","",'Input_Meci'!A16)</x:f>
      </x:c>
      <x:c r="C132" s="2" t="str">
        <x:v>H</x:v>
      </x:c>
      <x:c r="D132" s="2" t="str">
        <x:v>PRIOR</x:v>
      </x:c>
      <x:c r="E132" s="2" t="str">
        <x:f>IF(B132="","",'Input_Meci'!B16)</x:f>
      </x:c>
      <x:c r="F132" s="2" t="str">
        <x:f>IF(B132="","",IF('Input_Meci'!K16="","",'Input_Meci'!K16))</x:f>
      </x:c>
      <x:c r="G132" s="2" t="str">
        <x:f>IF(B132="","",'Input_Meci'!D16)</x:f>
      </x:c>
      <x:c r="H132" s="2" t="str">
        <x:v>ANY</x:v>
      </x:c>
      <x:c r="I132" s="2" t="str">
        <x:v>SEASON</x:v>
      </x:c>
      <x:c r="J132" s="9" t="n">
        <x:f>IF(AND(B132&lt;&gt;"",ISNUMBER('Input_Meci'!G16)),INT('Input_Meci'!G16),0)</x:f>
        <x:v>0</x:v>
      </x:c>
      <x:c r="K132" s="2" t="n">
        <x:f>IF(OR(B132="",F132=""),0,IF(H132="HOME",COUNTIFS('Istoric_Nativ'!$B$6:$B$405,E132,'Istoric_Nativ'!$C$6:$C$405,F132,'Istoric_Nativ'!$E$6:$E$405,G132,'Istoric_Nativ'!$D$6:$D$405,"&lt;"&amp;J132,'Istoric_Nativ'!$P$6:$P$405,1),IF(H132="AWAY",COUNTIFS('Istoric_Nativ'!$B$6:$B$405,E132,'Istoric_Nativ'!$C$6:$C$405,F132,'Istoric_Nativ'!$F$6:$F$405,G132,'Istoric_Nativ'!$D$6:$D$405,"&lt;"&amp;J132,'Istoric_Nativ'!$P$6:$P$405,1),COUNTIFS('Istoric_Nativ'!$B$6:$B$405,E132,'Istoric_Nativ'!$C$6:$C$405,F132,'Istoric_Nativ'!$E$6:$E$405,G132,'Istoric_Nativ'!$D$6:$D$405,"&lt;"&amp;J132,'Istoric_Nativ'!$P$6:$P$405,1)+COUNTIFS('Istoric_Nativ'!$B$6:$B$405,E132,'Istoric_Nativ'!$C$6:$C$405,F132,'Istoric_Nativ'!$F$6:$F$405,G132,'Istoric_Nativ'!$D$6:$D$405,"&lt;"&amp;J132,'Istoric_Nativ'!$P$6:$P$405,1))))</x:f>
        <x:v>0</x:v>
      </x:c>
      <x:c r="L132" s="17" t="n">
        <x:f>IF(AND(B132&lt;&gt;"",I132="RECENT",K132&gt;0),LARGE(_xlfn._xlws.FILTER('Istoric_Nativ'!$D$6:$D$405,('Istoric_Nativ'!$B$6:$B$405=E132)*('Istoric_Nativ'!$C$6:$C$405=F132)*('Istoric_Nativ'!$P$6:$P$405=1)*('Istoric_Nativ'!$D$6:$D$405&lt;J132)*((('Istoric_Nativ'!$E$6:$E$405=G132)+('Istoric_Nativ'!$F$6:$F$405=G132))&gt;0)),MIN('Config_v6'!$B$54,K132)),0)</x:f>
        <x:v>0</x:v>
      </x:c>
      <x:c r="M132" s="2" t="n">
        <x:f>IF(OR(B132="",F132=""),0,IF(H132="HOME",COUNTIFS('Istoric_Nativ'!$B$6:$B$405,E132,'Istoric_Nativ'!$C$6:$C$405,F132,'Istoric_Nativ'!$E$6:$E$405,G132,'Istoric_Nativ'!$D$6:$D$405,"&lt;"&amp;J132,'Istoric_Nativ'!$P$6:$P$405,1,'Istoric_Nativ'!$D$6:$D$405,"&gt;="&amp;L132),IF(H132="AWAY",COUNTIFS('Istoric_Nativ'!$B$6:$B$405,E132,'Istoric_Nativ'!$C$6:$C$405,F132,'Istoric_Nativ'!$F$6:$F$405,G132,'Istoric_Nativ'!$D$6:$D$405,"&lt;"&amp;J132,'Istoric_Nativ'!$P$6:$P$405,1,'Istoric_Nativ'!$D$6:$D$405,"&gt;="&amp;L132),COUNTIFS('Istoric_Nativ'!$B$6:$B$405,E132,'Istoric_Nativ'!$C$6:$C$405,F132,'Istoric_Nativ'!$E$6:$E$405,G132,'Istoric_Nativ'!$D$6:$D$405,"&lt;"&amp;J132,'Istoric_Nativ'!$P$6:$P$405,1,'Istoric_Nativ'!$D$6:$D$405,"&gt;="&amp;L132)+COUNTIFS('Istoric_Nativ'!$B$6:$B$405,E132,'Istoric_Nativ'!$C$6:$C$405,F132,'Istoric_Nativ'!$F$6:$F$405,G132,'Istoric_Nativ'!$D$6:$D$405,"&lt;"&amp;J132,'Istoric_Nativ'!$P$6:$P$405,1,'Istoric_Nativ'!$D$6:$D$405,"&gt;="&amp;L132))))</x:f>
        <x:v>0</x:v>
      </x:c>
      <x:c r="N132" s="11" t="str">
        <x:f>IF(M132=0,"",IF(H132="HOME",SUMIFS('Istoric_Nativ'!$G$6:$G$405,'Istoric_Nativ'!$B$6:$B$405,E132,'Istoric_Nativ'!$C$6:$C$405,F132,'Istoric_Nativ'!$E$6:$E$405,G132,'Istoric_Nativ'!$D$6:$D$405,"&lt;"&amp;J132,'Istoric_Nativ'!$P$6:$P$405,1,'Istoric_Nativ'!$D$6:$D$405,"&gt;="&amp;L132),IF(H132="AWAY",SUMIFS('Istoric_Nativ'!$H$6:$H$405,'Istoric_Nativ'!$B$6:$B$405,E132,'Istoric_Nativ'!$C$6:$C$405,F132,'Istoric_Nativ'!$F$6:$F$405,G132,'Istoric_Nativ'!$D$6:$D$405,"&lt;"&amp;J132,'Istoric_Nativ'!$P$6:$P$405,1,'Istoric_Nativ'!$D$6:$D$405,"&gt;="&amp;L132),SUMIFS('Istoric_Nativ'!$G$6:$G$405,'Istoric_Nativ'!$B$6:$B$405,E132,'Istoric_Nativ'!$C$6:$C$405,F132,'Istoric_Nativ'!$E$6:$E$405,G132,'Istoric_Nativ'!$D$6:$D$405,"&lt;"&amp;J132,'Istoric_Nativ'!$P$6:$P$405,1,'Istoric_Nativ'!$D$6:$D$405,"&gt;="&amp;L132)+SUMIFS('Istoric_Nativ'!$H$6:$H$405,'Istoric_Nativ'!$B$6:$B$405,E132,'Istoric_Nativ'!$C$6:$C$405,F132,'Istoric_Nativ'!$F$6:$F$405,G132,'Istoric_Nativ'!$D$6:$D$405,"&lt;"&amp;J132,'Istoric_Nativ'!$P$6:$P$405,1,'Istoric_Nativ'!$D$6:$D$405,"&gt;="&amp;L132)))/M132)</x:f>
      </x:c>
      <x:c r="O132" s="11" t="str">
        <x:f>IF(M132=0,"",IF(H132="HOME",SUMIFS('Istoric_Nativ'!$H$6:$H$405,'Istoric_Nativ'!$B$6:$B$405,E132,'Istoric_Nativ'!$C$6:$C$405,F132,'Istoric_Nativ'!$E$6:$E$405,G132,'Istoric_Nativ'!$D$6:$D$405,"&lt;"&amp;J132,'Istoric_Nativ'!$P$6:$P$405,1,'Istoric_Nativ'!$D$6:$D$405,"&gt;="&amp;L132),IF(H132="AWAY",SUMIFS('Istoric_Nativ'!$G$6:$G$405,'Istoric_Nativ'!$B$6:$B$405,E132,'Istoric_Nativ'!$C$6:$C$405,F132,'Istoric_Nativ'!$F$6:$F$405,G132,'Istoric_Nativ'!$D$6:$D$405,"&lt;"&amp;J132,'Istoric_Nativ'!$P$6:$P$405,1,'Istoric_Nativ'!$D$6:$D$405,"&gt;="&amp;L132),SUMIFS('Istoric_Nativ'!$H$6:$H$405,'Istoric_Nativ'!$B$6:$B$405,E132,'Istoric_Nativ'!$C$6:$C$405,F132,'Istoric_Nativ'!$E$6:$E$405,G132,'Istoric_Nativ'!$D$6:$D$405,"&lt;"&amp;J132,'Istoric_Nativ'!$P$6:$P$405,1,'Istoric_Nativ'!$D$6:$D$405,"&gt;="&amp;L132)+SUMIFS('Istoric_Nativ'!$G$6:$G$405,'Istoric_Nativ'!$B$6:$B$405,E132,'Istoric_Nativ'!$C$6:$C$405,F132,'Istoric_Nativ'!$F$6:$F$405,G132,'Istoric_Nativ'!$D$6:$D$405,"&lt;"&amp;J132,'Istoric_Nativ'!$P$6:$P$405,1,'Istoric_Nativ'!$D$6:$D$405,"&gt;="&amp;L132)))/M132)</x:f>
      </x:c>
      <x:c r="P132" s="2" t="n">
        <x:f>'Config_v6'!$B$7</x:f>
        <x:v>10</x:v>
      </x:c>
      <x:c r="Q132" s="2" t="n">
        <x:f>IF(OR(B132="",F132=""),0,IFERROR(MATCH(E132&amp;"|"&amp;F132,SourceTable[Source_Key],0),0))</x:f>
        <x:v>0</x:v>
      </x:c>
      <x:c r="R132" s="2" t="str">
        <x:f>IF(B132="","",IF(F132="","UNUSED",IF(Q132=0,"NOT CHECKED",IF(COUNTIF(SourceTable[Source_Key],E132&amp;"|"&amp;F132)&lt;&gt;1,"SOURCE CONFLICT",IF(NOT(OR(INDEX(SourceTable[Status],MAX(1,Q132))="IMPORTED",INDEX(SourceTable[Status],MAX(1,Q132))="PARTIAL",INDEX(SourceTable[Status],MAX(1,Q132))="SOURCE CONFLICT")),"ACCESS BLOCKED",IF(OR(INDEX(SourceTable[Coverage],Q132)&lt;&gt;"FULL SEASON EXPORT",INDEX(SourceTable[URL],Q132)="",INDEX(SourceTable[SHA256],Q132)=""),"EVIDENCE INCOMPLETE",IF(AND('Input_Meci'!H16="LIVE",INDEX(SourceTable[Retrieved_UTC],Q132)&gt;'Input_Meci'!G16),"POST CUTOFF","CLOSED")))))))</x:f>
      </x:c>
      <x:c r="S132" s="2" t="n">
        <x:f>IF(OR(B132="",F132=""),0,COUNTIFS('Istoric_Nativ'!$B$6:$B$405,E132,'Istoric_Nativ'!$C$6:$C$405,F132,'Istoric_Nativ'!$E$6:$E$405,G132,'Istoric_Nativ'!$D$6:$D$405,"&lt;"&amp;J132,'Istoric_Nativ'!$O$6:$O$405,"INVALID")+COUNTIFS('Istoric_Nativ'!$B$6:$B$405,E132,'Istoric_Nativ'!$C$6:$C$405,F132,'Istoric_Nativ'!$E$6:$E$405,G132,'Istoric_Nativ'!$O$6:$O$405,"INVALID",'Istoric_Nativ'!$D$6:$D$405,"*")+COUNTIFS('Istoric_Nativ'!$B$6:$B$405,E132,'Istoric_Nativ'!$C$6:$C$405,F132,'Istoric_Nativ'!$E$6:$E$405,G132,'Istoric_Nativ'!$D$6:$D$405,"&lt;"&amp;J132,'Istoric_Nativ'!$O$6:$O$405,"SOURCE CONFLICT")+COUNTIFS('Istoric_Nativ'!$B$6:$B$405,E132,'Istoric_Nativ'!$C$6:$C$405,F132,'Istoric_Nativ'!$F$6:$F$405,G132,'Istoric_Nativ'!$D$6:$D$405,"&lt;"&amp;J132,'Istoric_Nativ'!$O$6:$O$405,"INVALID")+COUNTIFS('Istoric_Nativ'!$B$6:$B$405,E132,'Istoric_Nativ'!$C$6:$C$405,F132,'Istoric_Nativ'!$F$6:$F$405,G132,'Istoric_Nativ'!$O$6:$O$405,"INVALID",'Istoric_Nativ'!$D$6:$D$405,"*")+COUNTIFS('Istoric_Nativ'!$B$6:$B$405,E132,'Istoric_Nativ'!$C$6:$C$405,F132,'Istoric_Nativ'!$F$6:$F$405,G132,'Istoric_Nativ'!$D$6:$D$405,"&lt;"&amp;J132,'Istoric_Nativ'!$O$6:$O$405,"SOURCE CONFLICT"))</x:f>
        <x:v>0</x:v>
      </x:c>
      <x:c r="T132" s="2" t="str">
        <x:f>IF(B132="","",IF(R132&lt;&gt;"CLOSED",R132,IF(S132&gt;0,"NATIVE INPUT ISSUE",IF(M132=0,"NO HISTORY",IF(M132&lt;P132,"SMALL SAMPLE","DERIVED")))))</x:f>
      </x:c>
      <x:c r="U132" s="2" t="str">
        <x:f>IF(B132="","","NativeTable; "&amp;E132&amp;"; "&amp;F132&amp;"; "&amp;G132&amp;"; "&amp;H132&amp;"; before "&amp;TEXT(J132,"yyyy-mm-dd")&amp;IF(I132="RECENT","; from "&amp;TEXT(L132,"yyyy-mm-dd"),""))</x:f>
      </x:c>
    </x:row>
    <x:row r="133" ht="21" customHeight="1">
      <x:c r="A133" s="2" t="n">
        <x:v>11</x:v>
      </x:c>
      <x:c r="B133" s="2" t="str">
        <x:f>IF('Input_Meci'!A16="","",'Input_Meci'!A16)</x:f>
      </x:c>
      <x:c r="C133" s="2" t="str">
        <x:v>H</x:v>
      </x:c>
      <x:c r="D133" s="2" t="str">
        <x:v>PRIOR</x:v>
      </x:c>
      <x:c r="E133" s="2" t="str">
        <x:f>IF(B133="","",'Input_Meci'!B16)</x:f>
      </x:c>
      <x:c r="F133" s="2" t="str">
        <x:f>IF(B133="","",IF('Input_Meci'!K16="","",'Input_Meci'!K16))</x:f>
      </x:c>
      <x:c r="G133" s="2" t="str">
        <x:f>IF(B133="","",'Input_Meci'!D16)</x:f>
      </x:c>
      <x:c r="H133" s="2" t="str">
        <x:v>HOME</x:v>
      </x:c>
      <x:c r="I133" s="2" t="str">
        <x:v>HA</x:v>
      </x:c>
      <x:c r="J133" s="9" t="n">
        <x:f>IF(AND(B133&lt;&gt;"",ISNUMBER('Input_Meci'!G16)),INT('Input_Meci'!G16),0)</x:f>
        <x:v>0</x:v>
      </x:c>
      <x:c r="K133" s="2" t="n">
        <x:f>IF(OR(B133="",F133=""),0,IF(H133="HOME",COUNTIFS('Istoric_Nativ'!$B$6:$B$405,E133,'Istoric_Nativ'!$C$6:$C$405,F133,'Istoric_Nativ'!$E$6:$E$405,G133,'Istoric_Nativ'!$D$6:$D$405,"&lt;"&amp;J133,'Istoric_Nativ'!$P$6:$P$405,1),IF(H133="AWAY",COUNTIFS('Istoric_Nativ'!$B$6:$B$405,E133,'Istoric_Nativ'!$C$6:$C$405,F133,'Istoric_Nativ'!$F$6:$F$405,G133,'Istoric_Nativ'!$D$6:$D$405,"&lt;"&amp;J133,'Istoric_Nativ'!$P$6:$P$405,1),COUNTIFS('Istoric_Nativ'!$B$6:$B$405,E133,'Istoric_Nativ'!$C$6:$C$405,F133,'Istoric_Nativ'!$E$6:$E$405,G133,'Istoric_Nativ'!$D$6:$D$405,"&lt;"&amp;J133,'Istoric_Nativ'!$P$6:$P$405,1)+COUNTIFS('Istoric_Nativ'!$B$6:$B$405,E133,'Istoric_Nativ'!$C$6:$C$405,F133,'Istoric_Nativ'!$F$6:$F$405,G133,'Istoric_Nativ'!$D$6:$D$405,"&lt;"&amp;J133,'Istoric_Nativ'!$P$6:$P$405,1))))</x:f>
        <x:v>0</x:v>
      </x:c>
      <x:c r="L133" s="17" t="n">
        <x:f>IF(AND(B133&lt;&gt;"",I133="RECENT",K133&gt;0),LARGE(_xlfn._xlws.FILTER('Istoric_Nativ'!$D$6:$D$405,('Istoric_Nativ'!$B$6:$B$405=E133)*('Istoric_Nativ'!$C$6:$C$405=F133)*('Istoric_Nativ'!$P$6:$P$405=1)*('Istoric_Nativ'!$D$6:$D$405&lt;J133)*((('Istoric_Nativ'!$E$6:$E$405=G133)+('Istoric_Nativ'!$F$6:$F$405=G133))&gt;0)),MIN('Config_v6'!$B$54,K133)),0)</x:f>
        <x:v>0</x:v>
      </x:c>
      <x:c r="M133" s="2" t="n">
        <x:f>IF(OR(B133="",F133=""),0,IF(H133="HOME",COUNTIFS('Istoric_Nativ'!$B$6:$B$405,E133,'Istoric_Nativ'!$C$6:$C$405,F133,'Istoric_Nativ'!$E$6:$E$405,G133,'Istoric_Nativ'!$D$6:$D$405,"&lt;"&amp;J133,'Istoric_Nativ'!$P$6:$P$405,1,'Istoric_Nativ'!$D$6:$D$405,"&gt;="&amp;L133),IF(H133="AWAY",COUNTIFS('Istoric_Nativ'!$B$6:$B$405,E133,'Istoric_Nativ'!$C$6:$C$405,F133,'Istoric_Nativ'!$F$6:$F$405,G133,'Istoric_Nativ'!$D$6:$D$405,"&lt;"&amp;J133,'Istoric_Nativ'!$P$6:$P$405,1,'Istoric_Nativ'!$D$6:$D$405,"&gt;="&amp;L133),COUNTIFS('Istoric_Nativ'!$B$6:$B$405,E133,'Istoric_Nativ'!$C$6:$C$405,F133,'Istoric_Nativ'!$E$6:$E$405,G133,'Istoric_Nativ'!$D$6:$D$405,"&lt;"&amp;J133,'Istoric_Nativ'!$P$6:$P$405,1,'Istoric_Nativ'!$D$6:$D$405,"&gt;="&amp;L133)+COUNTIFS('Istoric_Nativ'!$B$6:$B$405,E133,'Istoric_Nativ'!$C$6:$C$405,F133,'Istoric_Nativ'!$F$6:$F$405,G133,'Istoric_Nativ'!$D$6:$D$405,"&lt;"&amp;J133,'Istoric_Nativ'!$P$6:$P$405,1,'Istoric_Nativ'!$D$6:$D$405,"&gt;="&amp;L133))))</x:f>
        <x:v>0</x:v>
      </x:c>
      <x:c r="N133" s="11" t="str">
        <x:f>IF(M133=0,"",IF(H133="HOME",SUMIFS('Istoric_Nativ'!$G$6:$G$405,'Istoric_Nativ'!$B$6:$B$405,E133,'Istoric_Nativ'!$C$6:$C$405,F133,'Istoric_Nativ'!$E$6:$E$405,G133,'Istoric_Nativ'!$D$6:$D$405,"&lt;"&amp;J133,'Istoric_Nativ'!$P$6:$P$405,1,'Istoric_Nativ'!$D$6:$D$405,"&gt;="&amp;L133),IF(H133="AWAY",SUMIFS('Istoric_Nativ'!$H$6:$H$405,'Istoric_Nativ'!$B$6:$B$405,E133,'Istoric_Nativ'!$C$6:$C$405,F133,'Istoric_Nativ'!$F$6:$F$405,G133,'Istoric_Nativ'!$D$6:$D$405,"&lt;"&amp;J133,'Istoric_Nativ'!$P$6:$P$405,1,'Istoric_Nativ'!$D$6:$D$405,"&gt;="&amp;L133),SUMIFS('Istoric_Nativ'!$G$6:$G$405,'Istoric_Nativ'!$B$6:$B$405,E133,'Istoric_Nativ'!$C$6:$C$405,F133,'Istoric_Nativ'!$E$6:$E$405,G133,'Istoric_Nativ'!$D$6:$D$405,"&lt;"&amp;J133,'Istoric_Nativ'!$P$6:$P$405,1,'Istoric_Nativ'!$D$6:$D$405,"&gt;="&amp;L133)+SUMIFS('Istoric_Nativ'!$H$6:$H$405,'Istoric_Nativ'!$B$6:$B$405,E133,'Istoric_Nativ'!$C$6:$C$405,F133,'Istoric_Nativ'!$F$6:$F$405,G133,'Istoric_Nativ'!$D$6:$D$405,"&lt;"&amp;J133,'Istoric_Nativ'!$P$6:$P$405,1,'Istoric_Nativ'!$D$6:$D$405,"&gt;="&amp;L133)))/M133)</x:f>
      </x:c>
      <x:c r="O133" s="11" t="str">
        <x:f>IF(M133=0,"",IF(H133="HOME",SUMIFS('Istoric_Nativ'!$H$6:$H$405,'Istoric_Nativ'!$B$6:$B$405,E133,'Istoric_Nativ'!$C$6:$C$405,F133,'Istoric_Nativ'!$E$6:$E$405,G133,'Istoric_Nativ'!$D$6:$D$405,"&lt;"&amp;J133,'Istoric_Nativ'!$P$6:$P$405,1,'Istoric_Nativ'!$D$6:$D$405,"&gt;="&amp;L133),IF(H133="AWAY",SUMIFS('Istoric_Nativ'!$G$6:$G$405,'Istoric_Nativ'!$B$6:$B$405,E133,'Istoric_Nativ'!$C$6:$C$405,F133,'Istoric_Nativ'!$F$6:$F$405,G133,'Istoric_Nativ'!$D$6:$D$405,"&lt;"&amp;J133,'Istoric_Nativ'!$P$6:$P$405,1,'Istoric_Nativ'!$D$6:$D$405,"&gt;="&amp;L133),SUMIFS('Istoric_Nativ'!$H$6:$H$405,'Istoric_Nativ'!$B$6:$B$405,E133,'Istoric_Nativ'!$C$6:$C$405,F133,'Istoric_Nativ'!$E$6:$E$405,G133,'Istoric_Nativ'!$D$6:$D$405,"&lt;"&amp;J133,'Istoric_Nativ'!$P$6:$P$405,1,'Istoric_Nativ'!$D$6:$D$405,"&gt;="&amp;L133)+SUMIFS('Istoric_Nativ'!$G$6:$G$405,'Istoric_Nativ'!$B$6:$B$405,E133,'Istoric_Nativ'!$C$6:$C$405,F133,'Istoric_Nativ'!$F$6:$F$405,G133,'Istoric_Nativ'!$D$6:$D$405,"&lt;"&amp;J133,'Istoric_Nativ'!$P$6:$P$405,1,'Istoric_Nativ'!$D$6:$D$405,"&gt;="&amp;L133)))/M133)</x:f>
      </x:c>
      <x:c r="P133" s="2" t="n">
        <x:f>'Config_v6'!$B$8</x:f>
        <x:v>5</x:v>
      </x:c>
      <x:c r="Q133" s="2" t="n">
        <x:f>IF(OR(B133="",F133=""),0,IFERROR(MATCH(E133&amp;"|"&amp;F133,SourceTable[Source_Key],0),0))</x:f>
        <x:v>0</x:v>
      </x:c>
      <x:c r="R133" s="2" t="str">
        <x:f>IF(B133="","",IF(F133="","UNUSED",IF(Q133=0,"NOT CHECKED",IF(COUNTIF(SourceTable[Source_Key],E133&amp;"|"&amp;F133)&lt;&gt;1,"SOURCE CONFLICT",IF(NOT(OR(INDEX(SourceTable[Status],MAX(1,Q133))="IMPORTED",INDEX(SourceTable[Status],MAX(1,Q133))="PARTIAL",INDEX(SourceTable[Status],MAX(1,Q133))="SOURCE CONFLICT")),"ACCESS BLOCKED",IF(OR(INDEX(SourceTable[Coverage],Q133)&lt;&gt;"FULL SEASON EXPORT",INDEX(SourceTable[URL],Q133)="",INDEX(SourceTable[SHA256],Q133)=""),"EVIDENCE INCOMPLETE",IF(AND('Input_Meci'!H16="LIVE",INDEX(SourceTable[Retrieved_UTC],Q133)&gt;'Input_Meci'!G16),"POST CUTOFF","CLOSED")))))))</x:f>
      </x:c>
      <x:c r="S133" s="2" t="n">
        <x:f>IF(OR(B133="",F133=""),0,COUNTIFS('Istoric_Nativ'!$B$6:$B$405,E133,'Istoric_Nativ'!$C$6:$C$405,F133,'Istoric_Nativ'!$E$6:$E$405,G133,'Istoric_Nativ'!$D$6:$D$405,"&lt;"&amp;J133,'Istoric_Nativ'!$O$6:$O$405,"INVALID")+COUNTIFS('Istoric_Nativ'!$B$6:$B$405,E133,'Istoric_Nativ'!$C$6:$C$405,F133,'Istoric_Nativ'!$E$6:$E$405,G133,'Istoric_Nativ'!$O$6:$O$405,"INVALID",'Istoric_Nativ'!$D$6:$D$405,"*")+COUNTIFS('Istoric_Nativ'!$B$6:$B$405,E133,'Istoric_Nativ'!$C$6:$C$405,F133,'Istoric_Nativ'!$E$6:$E$405,G133,'Istoric_Nativ'!$D$6:$D$405,"&lt;"&amp;J133,'Istoric_Nativ'!$O$6:$O$405,"SOURCE CONFLICT")+COUNTIFS('Istoric_Nativ'!$B$6:$B$405,E133,'Istoric_Nativ'!$C$6:$C$405,F133,'Istoric_Nativ'!$F$6:$F$405,G133,'Istoric_Nativ'!$D$6:$D$405,"&lt;"&amp;J133,'Istoric_Nativ'!$O$6:$O$405,"INVALID")+COUNTIFS('Istoric_Nativ'!$B$6:$B$405,E133,'Istoric_Nativ'!$C$6:$C$405,F133,'Istoric_Nativ'!$F$6:$F$405,G133,'Istoric_Nativ'!$O$6:$O$405,"INVALID",'Istoric_Nativ'!$D$6:$D$405,"*")+COUNTIFS('Istoric_Nativ'!$B$6:$B$405,E133,'Istoric_Nativ'!$C$6:$C$405,F133,'Istoric_Nativ'!$F$6:$F$405,G133,'Istoric_Nativ'!$D$6:$D$405,"&lt;"&amp;J133,'Istoric_Nativ'!$O$6:$O$405,"SOURCE CONFLICT"))</x:f>
        <x:v>0</x:v>
      </x:c>
      <x:c r="T133" s="2" t="str">
        <x:f>IF(B133="","",IF(R133&lt;&gt;"CLOSED",R133,IF(S133&gt;0,"NATIVE INPUT ISSUE",IF(M133=0,"NO HISTORY",IF(M133&lt;P133,"SMALL SAMPLE","DERIVED")))))</x:f>
      </x:c>
      <x:c r="U133" s="2" t="str">
        <x:f>IF(B133="","","NativeTable; "&amp;E133&amp;"; "&amp;F133&amp;"; "&amp;G133&amp;"; "&amp;H133&amp;"; before "&amp;TEXT(J133,"yyyy-mm-dd")&amp;IF(I133="RECENT","; from "&amp;TEXT(L133,"yyyy-mm-dd"),""))</x:f>
      </x:c>
    </x:row>
    <x:row r="134" ht="21" customHeight="1">
      <x:c r="A134" s="2" t="n">
        <x:v>11</x:v>
      </x:c>
      <x:c r="B134" s="2" t="str">
        <x:f>IF('Input_Meci'!A16="","",'Input_Meci'!A16)</x:f>
      </x:c>
      <x:c r="C134" s="2" t="str">
        <x:v>H</x:v>
      </x:c>
      <x:c r="D134" s="2" t="str">
        <x:v>PRIOR</x:v>
      </x:c>
      <x:c r="E134" s="2" t="str">
        <x:f>IF(B134="","",'Input_Meci'!B16)</x:f>
      </x:c>
      <x:c r="F134" s="2" t="str">
        <x:f>IF(B134="","",IF('Input_Meci'!K16="","",'Input_Meci'!K16))</x:f>
      </x:c>
      <x:c r="G134" s="2" t="str">
        <x:f>IF(B134="","",'Input_Meci'!D16)</x:f>
      </x:c>
      <x:c r="H134" s="2" t="str">
        <x:v>ANY</x:v>
      </x:c>
      <x:c r="I134" s="2" t="str">
        <x:v>RECENT</x:v>
      </x:c>
      <x:c r="J134" s="9" t="n">
        <x:f>IF(AND(B134&lt;&gt;"",ISNUMBER('Input_Meci'!G16)),INT('Input_Meci'!G16),0)</x:f>
        <x:v>0</x:v>
      </x:c>
      <x:c r="K134" s="2" t="n">
        <x:f>IF(OR(B134="",F134=""),0,IF(H134="HOME",COUNTIFS('Istoric_Nativ'!$B$6:$B$405,E134,'Istoric_Nativ'!$C$6:$C$405,F134,'Istoric_Nativ'!$E$6:$E$405,G134,'Istoric_Nativ'!$D$6:$D$405,"&lt;"&amp;J134,'Istoric_Nativ'!$P$6:$P$405,1),IF(H134="AWAY",COUNTIFS('Istoric_Nativ'!$B$6:$B$405,E134,'Istoric_Nativ'!$C$6:$C$405,F134,'Istoric_Nativ'!$F$6:$F$405,G134,'Istoric_Nativ'!$D$6:$D$405,"&lt;"&amp;J134,'Istoric_Nativ'!$P$6:$P$405,1),COUNTIFS('Istoric_Nativ'!$B$6:$B$405,E134,'Istoric_Nativ'!$C$6:$C$405,F134,'Istoric_Nativ'!$E$6:$E$405,G134,'Istoric_Nativ'!$D$6:$D$405,"&lt;"&amp;J134,'Istoric_Nativ'!$P$6:$P$405,1)+COUNTIFS('Istoric_Nativ'!$B$6:$B$405,E134,'Istoric_Nativ'!$C$6:$C$405,F134,'Istoric_Nativ'!$F$6:$F$405,G134,'Istoric_Nativ'!$D$6:$D$405,"&lt;"&amp;J134,'Istoric_Nativ'!$P$6:$P$405,1))))</x:f>
        <x:v>0</x:v>
      </x:c>
      <x:c r="L134" s="17" t="n">
        <x:f>IF(AND(B134&lt;&gt;"",I134="RECENT",K134&gt;0),LARGE(_xlfn._xlws.FILTER('Istoric_Nativ'!$D$6:$D$405,('Istoric_Nativ'!$B$6:$B$405=E134)*('Istoric_Nativ'!$C$6:$C$405=F134)*('Istoric_Nativ'!$P$6:$P$405=1)*('Istoric_Nativ'!$D$6:$D$405&lt;J134)*((('Istoric_Nativ'!$E$6:$E$405=G134)+('Istoric_Nativ'!$F$6:$F$405=G134))&gt;0)),MIN('Config_v6'!$B$54,K134)),0)</x:f>
        <x:v>0</x:v>
      </x:c>
      <x:c r="M134" s="2" t="n">
        <x:f>IF(OR(B134="",F134=""),0,IF(H134="HOME",COUNTIFS('Istoric_Nativ'!$B$6:$B$405,E134,'Istoric_Nativ'!$C$6:$C$405,F134,'Istoric_Nativ'!$E$6:$E$405,G134,'Istoric_Nativ'!$D$6:$D$405,"&lt;"&amp;J134,'Istoric_Nativ'!$P$6:$P$405,1,'Istoric_Nativ'!$D$6:$D$405,"&gt;="&amp;L134),IF(H134="AWAY",COUNTIFS('Istoric_Nativ'!$B$6:$B$405,E134,'Istoric_Nativ'!$C$6:$C$405,F134,'Istoric_Nativ'!$F$6:$F$405,G134,'Istoric_Nativ'!$D$6:$D$405,"&lt;"&amp;J134,'Istoric_Nativ'!$P$6:$P$405,1,'Istoric_Nativ'!$D$6:$D$405,"&gt;="&amp;L134),COUNTIFS('Istoric_Nativ'!$B$6:$B$405,E134,'Istoric_Nativ'!$C$6:$C$405,F134,'Istoric_Nativ'!$E$6:$E$405,G134,'Istoric_Nativ'!$D$6:$D$405,"&lt;"&amp;J134,'Istoric_Nativ'!$P$6:$P$405,1,'Istoric_Nativ'!$D$6:$D$405,"&gt;="&amp;L134)+COUNTIFS('Istoric_Nativ'!$B$6:$B$405,E134,'Istoric_Nativ'!$C$6:$C$405,F134,'Istoric_Nativ'!$F$6:$F$405,G134,'Istoric_Nativ'!$D$6:$D$405,"&lt;"&amp;J134,'Istoric_Nativ'!$P$6:$P$405,1,'Istoric_Nativ'!$D$6:$D$405,"&gt;="&amp;L134))))</x:f>
        <x:v>0</x:v>
      </x:c>
      <x:c r="N134" s="11" t="str">
        <x:f>IF(M134=0,"",IF(H134="HOME",SUMIFS('Istoric_Nativ'!$G$6:$G$405,'Istoric_Nativ'!$B$6:$B$405,E134,'Istoric_Nativ'!$C$6:$C$405,F134,'Istoric_Nativ'!$E$6:$E$405,G134,'Istoric_Nativ'!$D$6:$D$405,"&lt;"&amp;J134,'Istoric_Nativ'!$P$6:$P$405,1,'Istoric_Nativ'!$D$6:$D$405,"&gt;="&amp;L134),IF(H134="AWAY",SUMIFS('Istoric_Nativ'!$H$6:$H$405,'Istoric_Nativ'!$B$6:$B$405,E134,'Istoric_Nativ'!$C$6:$C$405,F134,'Istoric_Nativ'!$F$6:$F$405,G134,'Istoric_Nativ'!$D$6:$D$405,"&lt;"&amp;J134,'Istoric_Nativ'!$P$6:$P$405,1,'Istoric_Nativ'!$D$6:$D$405,"&gt;="&amp;L134),SUMIFS('Istoric_Nativ'!$G$6:$G$405,'Istoric_Nativ'!$B$6:$B$405,E134,'Istoric_Nativ'!$C$6:$C$405,F134,'Istoric_Nativ'!$E$6:$E$405,G134,'Istoric_Nativ'!$D$6:$D$405,"&lt;"&amp;J134,'Istoric_Nativ'!$P$6:$P$405,1,'Istoric_Nativ'!$D$6:$D$405,"&gt;="&amp;L134)+SUMIFS('Istoric_Nativ'!$H$6:$H$405,'Istoric_Nativ'!$B$6:$B$405,E134,'Istoric_Nativ'!$C$6:$C$405,F134,'Istoric_Nativ'!$F$6:$F$405,G134,'Istoric_Nativ'!$D$6:$D$405,"&lt;"&amp;J134,'Istoric_Nativ'!$P$6:$P$405,1,'Istoric_Nativ'!$D$6:$D$405,"&gt;="&amp;L134)))/M134)</x:f>
      </x:c>
      <x:c r="O134" s="11" t="str">
        <x:f>IF(M134=0,"",IF(H134="HOME",SUMIFS('Istoric_Nativ'!$H$6:$H$405,'Istoric_Nativ'!$B$6:$B$405,E134,'Istoric_Nativ'!$C$6:$C$405,F134,'Istoric_Nativ'!$E$6:$E$405,G134,'Istoric_Nativ'!$D$6:$D$405,"&lt;"&amp;J134,'Istoric_Nativ'!$P$6:$P$405,1,'Istoric_Nativ'!$D$6:$D$405,"&gt;="&amp;L134),IF(H134="AWAY",SUMIFS('Istoric_Nativ'!$G$6:$G$405,'Istoric_Nativ'!$B$6:$B$405,E134,'Istoric_Nativ'!$C$6:$C$405,F134,'Istoric_Nativ'!$F$6:$F$405,G134,'Istoric_Nativ'!$D$6:$D$405,"&lt;"&amp;J134,'Istoric_Nativ'!$P$6:$P$405,1,'Istoric_Nativ'!$D$6:$D$405,"&gt;="&amp;L134),SUMIFS('Istoric_Nativ'!$H$6:$H$405,'Istoric_Nativ'!$B$6:$B$405,E134,'Istoric_Nativ'!$C$6:$C$405,F134,'Istoric_Nativ'!$E$6:$E$405,G134,'Istoric_Nativ'!$D$6:$D$405,"&lt;"&amp;J134,'Istoric_Nativ'!$P$6:$P$405,1,'Istoric_Nativ'!$D$6:$D$405,"&gt;="&amp;L134)+SUMIFS('Istoric_Nativ'!$G$6:$G$405,'Istoric_Nativ'!$B$6:$B$405,E134,'Istoric_Nativ'!$C$6:$C$405,F134,'Istoric_Nativ'!$F$6:$F$405,G134,'Istoric_Nativ'!$D$6:$D$405,"&lt;"&amp;J134,'Istoric_Nativ'!$P$6:$P$405,1,'Istoric_Nativ'!$D$6:$D$405,"&gt;="&amp;L134)))/M134)</x:f>
      </x:c>
      <x:c r="P134" s="2" t="n">
        <x:f>'Config_v6'!$B$9</x:f>
        <x:v>3</x:v>
      </x:c>
      <x:c r="Q134" s="2" t="n">
        <x:f>IF(OR(B134="",F134=""),0,IFERROR(MATCH(E134&amp;"|"&amp;F134,SourceTable[Source_Key],0),0))</x:f>
        <x:v>0</x:v>
      </x:c>
      <x:c r="R134" s="2" t="str">
        <x:f>IF(B134="","",IF(F134="","UNUSED",IF(Q134=0,"NOT CHECKED",IF(COUNTIF(SourceTable[Source_Key],E134&amp;"|"&amp;F134)&lt;&gt;1,"SOURCE CONFLICT",IF(NOT(OR(INDEX(SourceTable[Status],MAX(1,Q134))="IMPORTED",INDEX(SourceTable[Status],MAX(1,Q134))="PARTIAL",INDEX(SourceTable[Status],MAX(1,Q134))="SOURCE CONFLICT")),"ACCESS BLOCKED",IF(OR(INDEX(SourceTable[Coverage],Q134)&lt;&gt;"FULL SEASON EXPORT",INDEX(SourceTable[URL],Q134)="",INDEX(SourceTable[SHA256],Q134)=""),"EVIDENCE INCOMPLETE",IF(AND('Input_Meci'!H16="LIVE",INDEX(SourceTable[Retrieved_UTC],Q134)&gt;'Input_Meci'!G16),"POST CUTOFF","CLOSED")))))))</x:f>
      </x:c>
      <x:c r="S134" s="2" t="n">
        <x:f>IF(OR(B134="",F134=""),0,COUNTIFS('Istoric_Nativ'!$B$6:$B$405,E134,'Istoric_Nativ'!$C$6:$C$405,F134,'Istoric_Nativ'!$E$6:$E$405,G134,'Istoric_Nativ'!$D$6:$D$405,"&lt;"&amp;J134,'Istoric_Nativ'!$O$6:$O$405,"INVALID")+COUNTIFS('Istoric_Nativ'!$B$6:$B$405,E134,'Istoric_Nativ'!$C$6:$C$405,F134,'Istoric_Nativ'!$E$6:$E$405,G134,'Istoric_Nativ'!$O$6:$O$405,"INVALID",'Istoric_Nativ'!$D$6:$D$405,"*")+COUNTIFS('Istoric_Nativ'!$B$6:$B$405,E134,'Istoric_Nativ'!$C$6:$C$405,F134,'Istoric_Nativ'!$E$6:$E$405,G134,'Istoric_Nativ'!$D$6:$D$405,"&lt;"&amp;J134,'Istoric_Nativ'!$O$6:$O$405,"SOURCE CONFLICT")+COUNTIFS('Istoric_Nativ'!$B$6:$B$405,E134,'Istoric_Nativ'!$C$6:$C$405,F134,'Istoric_Nativ'!$F$6:$F$405,G134,'Istoric_Nativ'!$D$6:$D$405,"&lt;"&amp;J134,'Istoric_Nativ'!$O$6:$O$405,"INVALID")+COUNTIFS('Istoric_Nativ'!$B$6:$B$405,E134,'Istoric_Nativ'!$C$6:$C$405,F134,'Istoric_Nativ'!$F$6:$F$405,G134,'Istoric_Nativ'!$O$6:$O$405,"INVALID",'Istoric_Nativ'!$D$6:$D$405,"*")+COUNTIFS('Istoric_Nativ'!$B$6:$B$405,E134,'Istoric_Nativ'!$C$6:$C$405,F134,'Istoric_Nativ'!$F$6:$F$405,G134,'Istoric_Nativ'!$D$6:$D$405,"&lt;"&amp;J134,'Istoric_Nativ'!$O$6:$O$405,"SOURCE CONFLICT"))</x:f>
        <x:v>0</x:v>
      </x:c>
      <x:c r="T134" s="2" t="str">
        <x:f>IF(B134="","",IF(R134&lt;&gt;"CLOSED",R134,IF(S134&gt;0,"NATIVE INPUT ISSUE",IF(M134=0,"NO HISTORY",IF(M134&lt;P134,"SMALL SAMPLE","DERIVED")))))</x:f>
      </x:c>
      <x:c r="U134" s="2" t="str">
        <x:f>IF(B134="","","NativeTable; "&amp;E134&amp;"; "&amp;F134&amp;"; "&amp;G134&amp;"; "&amp;H134&amp;"; before "&amp;TEXT(J134,"yyyy-mm-dd")&amp;IF(I134="RECENT","; from "&amp;TEXT(L134,"yyyy-mm-dd"),""))</x:f>
      </x:c>
    </x:row>
    <x:row r="135" ht="21" customHeight="1">
      <x:c r="A135" s="2" t="n">
        <x:v>11</x:v>
      </x:c>
      <x:c r="B135" s="2" t="str">
        <x:f>IF('Input_Meci'!A16="","",'Input_Meci'!A16)</x:f>
      </x:c>
      <x:c r="C135" s="2" t="str">
        <x:v>A</x:v>
      </x:c>
      <x:c r="D135" s="2" t="str">
        <x:v>PRIOR</x:v>
      </x:c>
      <x:c r="E135" s="2" t="str">
        <x:f>IF(B135="","",'Input_Meci'!B16)</x:f>
      </x:c>
      <x:c r="F135" s="2" t="str">
        <x:f>IF(B135="","",IF('Input_Meci'!K16="","",'Input_Meci'!K16))</x:f>
      </x:c>
      <x:c r="G135" s="2" t="str">
        <x:f>IF(B135="","",'Input_Meci'!E16)</x:f>
      </x:c>
      <x:c r="H135" s="2" t="str">
        <x:v>ANY</x:v>
      </x:c>
      <x:c r="I135" s="2" t="str">
        <x:v>SEASON</x:v>
      </x:c>
      <x:c r="J135" s="9" t="n">
        <x:f>IF(AND(B135&lt;&gt;"",ISNUMBER('Input_Meci'!G16)),INT('Input_Meci'!G16),0)</x:f>
        <x:v>0</x:v>
      </x:c>
      <x:c r="K135" s="2" t="n">
        <x:f>IF(OR(B135="",F135=""),0,IF(H135="HOME",COUNTIFS('Istoric_Nativ'!$B$6:$B$405,E135,'Istoric_Nativ'!$C$6:$C$405,F135,'Istoric_Nativ'!$E$6:$E$405,G135,'Istoric_Nativ'!$D$6:$D$405,"&lt;"&amp;J135,'Istoric_Nativ'!$P$6:$P$405,1),IF(H135="AWAY",COUNTIFS('Istoric_Nativ'!$B$6:$B$405,E135,'Istoric_Nativ'!$C$6:$C$405,F135,'Istoric_Nativ'!$F$6:$F$405,G135,'Istoric_Nativ'!$D$6:$D$405,"&lt;"&amp;J135,'Istoric_Nativ'!$P$6:$P$405,1),COUNTIFS('Istoric_Nativ'!$B$6:$B$405,E135,'Istoric_Nativ'!$C$6:$C$405,F135,'Istoric_Nativ'!$E$6:$E$405,G135,'Istoric_Nativ'!$D$6:$D$405,"&lt;"&amp;J135,'Istoric_Nativ'!$P$6:$P$405,1)+COUNTIFS('Istoric_Nativ'!$B$6:$B$405,E135,'Istoric_Nativ'!$C$6:$C$405,F135,'Istoric_Nativ'!$F$6:$F$405,G135,'Istoric_Nativ'!$D$6:$D$405,"&lt;"&amp;J135,'Istoric_Nativ'!$P$6:$P$405,1))))</x:f>
        <x:v>0</x:v>
      </x:c>
      <x:c r="L135" s="17" t="n">
        <x:f>IF(AND(B135&lt;&gt;"",I135="RECENT",K135&gt;0),LARGE(_xlfn._xlws.FILTER('Istoric_Nativ'!$D$6:$D$405,('Istoric_Nativ'!$B$6:$B$405=E135)*('Istoric_Nativ'!$C$6:$C$405=F135)*('Istoric_Nativ'!$P$6:$P$405=1)*('Istoric_Nativ'!$D$6:$D$405&lt;J135)*((('Istoric_Nativ'!$E$6:$E$405=G135)+('Istoric_Nativ'!$F$6:$F$405=G135))&gt;0)),MIN('Config_v6'!$B$54,K135)),0)</x:f>
        <x:v>0</x:v>
      </x:c>
      <x:c r="M135" s="2" t="n">
        <x:f>IF(OR(B135="",F135=""),0,IF(H135="HOME",COUNTIFS('Istoric_Nativ'!$B$6:$B$405,E135,'Istoric_Nativ'!$C$6:$C$405,F135,'Istoric_Nativ'!$E$6:$E$405,G135,'Istoric_Nativ'!$D$6:$D$405,"&lt;"&amp;J135,'Istoric_Nativ'!$P$6:$P$405,1,'Istoric_Nativ'!$D$6:$D$405,"&gt;="&amp;L135),IF(H135="AWAY",COUNTIFS('Istoric_Nativ'!$B$6:$B$405,E135,'Istoric_Nativ'!$C$6:$C$405,F135,'Istoric_Nativ'!$F$6:$F$405,G135,'Istoric_Nativ'!$D$6:$D$405,"&lt;"&amp;J135,'Istoric_Nativ'!$P$6:$P$405,1,'Istoric_Nativ'!$D$6:$D$405,"&gt;="&amp;L135),COUNTIFS('Istoric_Nativ'!$B$6:$B$405,E135,'Istoric_Nativ'!$C$6:$C$405,F135,'Istoric_Nativ'!$E$6:$E$405,G135,'Istoric_Nativ'!$D$6:$D$405,"&lt;"&amp;J135,'Istoric_Nativ'!$P$6:$P$405,1,'Istoric_Nativ'!$D$6:$D$405,"&gt;="&amp;L135)+COUNTIFS('Istoric_Nativ'!$B$6:$B$405,E135,'Istoric_Nativ'!$C$6:$C$405,F135,'Istoric_Nativ'!$F$6:$F$405,G135,'Istoric_Nativ'!$D$6:$D$405,"&lt;"&amp;J135,'Istoric_Nativ'!$P$6:$P$405,1,'Istoric_Nativ'!$D$6:$D$405,"&gt;="&amp;L135))))</x:f>
        <x:v>0</x:v>
      </x:c>
      <x:c r="N135" s="11" t="str">
        <x:f>IF(M135=0,"",IF(H135="HOME",SUMIFS('Istoric_Nativ'!$G$6:$G$405,'Istoric_Nativ'!$B$6:$B$405,E135,'Istoric_Nativ'!$C$6:$C$405,F135,'Istoric_Nativ'!$E$6:$E$405,G135,'Istoric_Nativ'!$D$6:$D$405,"&lt;"&amp;J135,'Istoric_Nativ'!$P$6:$P$405,1,'Istoric_Nativ'!$D$6:$D$405,"&gt;="&amp;L135),IF(H135="AWAY",SUMIFS('Istoric_Nativ'!$H$6:$H$405,'Istoric_Nativ'!$B$6:$B$405,E135,'Istoric_Nativ'!$C$6:$C$405,F135,'Istoric_Nativ'!$F$6:$F$405,G135,'Istoric_Nativ'!$D$6:$D$405,"&lt;"&amp;J135,'Istoric_Nativ'!$P$6:$P$405,1,'Istoric_Nativ'!$D$6:$D$405,"&gt;="&amp;L135),SUMIFS('Istoric_Nativ'!$G$6:$G$405,'Istoric_Nativ'!$B$6:$B$405,E135,'Istoric_Nativ'!$C$6:$C$405,F135,'Istoric_Nativ'!$E$6:$E$405,G135,'Istoric_Nativ'!$D$6:$D$405,"&lt;"&amp;J135,'Istoric_Nativ'!$P$6:$P$405,1,'Istoric_Nativ'!$D$6:$D$405,"&gt;="&amp;L135)+SUMIFS('Istoric_Nativ'!$H$6:$H$405,'Istoric_Nativ'!$B$6:$B$405,E135,'Istoric_Nativ'!$C$6:$C$405,F135,'Istoric_Nativ'!$F$6:$F$405,G135,'Istoric_Nativ'!$D$6:$D$405,"&lt;"&amp;J135,'Istoric_Nativ'!$P$6:$P$405,1,'Istoric_Nativ'!$D$6:$D$405,"&gt;="&amp;L135)))/M135)</x:f>
      </x:c>
      <x:c r="O135" s="11" t="str">
        <x:f>IF(M135=0,"",IF(H135="HOME",SUMIFS('Istoric_Nativ'!$H$6:$H$405,'Istoric_Nativ'!$B$6:$B$405,E135,'Istoric_Nativ'!$C$6:$C$405,F135,'Istoric_Nativ'!$E$6:$E$405,G135,'Istoric_Nativ'!$D$6:$D$405,"&lt;"&amp;J135,'Istoric_Nativ'!$P$6:$P$405,1,'Istoric_Nativ'!$D$6:$D$405,"&gt;="&amp;L135),IF(H135="AWAY",SUMIFS('Istoric_Nativ'!$G$6:$G$405,'Istoric_Nativ'!$B$6:$B$405,E135,'Istoric_Nativ'!$C$6:$C$405,F135,'Istoric_Nativ'!$F$6:$F$405,G135,'Istoric_Nativ'!$D$6:$D$405,"&lt;"&amp;J135,'Istoric_Nativ'!$P$6:$P$405,1,'Istoric_Nativ'!$D$6:$D$405,"&gt;="&amp;L135),SUMIFS('Istoric_Nativ'!$H$6:$H$405,'Istoric_Nativ'!$B$6:$B$405,E135,'Istoric_Nativ'!$C$6:$C$405,F135,'Istoric_Nativ'!$E$6:$E$405,G135,'Istoric_Nativ'!$D$6:$D$405,"&lt;"&amp;J135,'Istoric_Nativ'!$P$6:$P$405,1,'Istoric_Nativ'!$D$6:$D$405,"&gt;="&amp;L135)+SUMIFS('Istoric_Nativ'!$G$6:$G$405,'Istoric_Nativ'!$B$6:$B$405,E135,'Istoric_Nativ'!$C$6:$C$405,F135,'Istoric_Nativ'!$F$6:$F$405,G135,'Istoric_Nativ'!$D$6:$D$405,"&lt;"&amp;J135,'Istoric_Nativ'!$P$6:$P$405,1,'Istoric_Nativ'!$D$6:$D$405,"&gt;="&amp;L135)))/M135)</x:f>
      </x:c>
      <x:c r="P135" s="2" t="n">
        <x:f>'Config_v6'!$B$7</x:f>
        <x:v>10</x:v>
      </x:c>
      <x:c r="Q135" s="2" t="n">
        <x:f>IF(OR(B135="",F135=""),0,IFERROR(MATCH(E135&amp;"|"&amp;F135,SourceTable[Source_Key],0),0))</x:f>
        <x:v>0</x:v>
      </x:c>
      <x:c r="R135" s="2" t="str">
        <x:f>IF(B135="","",IF(F135="","UNUSED",IF(Q135=0,"NOT CHECKED",IF(COUNTIF(SourceTable[Source_Key],E135&amp;"|"&amp;F135)&lt;&gt;1,"SOURCE CONFLICT",IF(NOT(OR(INDEX(SourceTable[Status],MAX(1,Q135))="IMPORTED",INDEX(SourceTable[Status],MAX(1,Q135))="PARTIAL",INDEX(SourceTable[Status],MAX(1,Q135))="SOURCE CONFLICT")),"ACCESS BLOCKED",IF(OR(INDEX(SourceTable[Coverage],Q135)&lt;&gt;"FULL SEASON EXPORT",INDEX(SourceTable[URL],Q135)="",INDEX(SourceTable[SHA256],Q135)=""),"EVIDENCE INCOMPLETE",IF(AND('Input_Meci'!H16="LIVE",INDEX(SourceTable[Retrieved_UTC],Q135)&gt;'Input_Meci'!G16),"POST CUTOFF","CLOSED")))))))</x:f>
      </x:c>
      <x:c r="S135" s="2" t="n">
        <x:f>IF(OR(B135="",F135=""),0,COUNTIFS('Istoric_Nativ'!$B$6:$B$405,E135,'Istoric_Nativ'!$C$6:$C$405,F135,'Istoric_Nativ'!$E$6:$E$405,G135,'Istoric_Nativ'!$D$6:$D$405,"&lt;"&amp;J135,'Istoric_Nativ'!$O$6:$O$405,"INVALID")+COUNTIFS('Istoric_Nativ'!$B$6:$B$405,E135,'Istoric_Nativ'!$C$6:$C$405,F135,'Istoric_Nativ'!$E$6:$E$405,G135,'Istoric_Nativ'!$O$6:$O$405,"INVALID",'Istoric_Nativ'!$D$6:$D$405,"*")+COUNTIFS('Istoric_Nativ'!$B$6:$B$405,E135,'Istoric_Nativ'!$C$6:$C$405,F135,'Istoric_Nativ'!$E$6:$E$405,G135,'Istoric_Nativ'!$D$6:$D$405,"&lt;"&amp;J135,'Istoric_Nativ'!$O$6:$O$405,"SOURCE CONFLICT")+COUNTIFS('Istoric_Nativ'!$B$6:$B$405,E135,'Istoric_Nativ'!$C$6:$C$405,F135,'Istoric_Nativ'!$F$6:$F$405,G135,'Istoric_Nativ'!$D$6:$D$405,"&lt;"&amp;J135,'Istoric_Nativ'!$O$6:$O$405,"INVALID")+COUNTIFS('Istoric_Nativ'!$B$6:$B$405,E135,'Istoric_Nativ'!$C$6:$C$405,F135,'Istoric_Nativ'!$F$6:$F$405,G135,'Istoric_Nativ'!$O$6:$O$405,"INVALID",'Istoric_Nativ'!$D$6:$D$405,"*")+COUNTIFS('Istoric_Nativ'!$B$6:$B$405,E135,'Istoric_Nativ'!$C$6:$C$405,F135,'Istoric_Nativ'!$F$6:$F$405,G135,'Istoric_Nativ'!$D$6:$D$405,"&lt;"&amp;J135,'Istoric_Nativ'!$O$6:$O$405,"SOURCE CONFLICT"))</x:f>
        <x:v>0</x:v>
      </x:c>
      <x:c r="T135" s="2" t="str">
        <x:f>IF(B135="","",IF(R135&lt;&gt;"CLOSED",R135,IF(S135&gt;0,"NATIVE INPUT ISSUE",IF(M135=0,"NO HISTORY",IF(M135&lt;P135,"SMALL SAMPLE","DERIVED")))))</x:f>
      </x:c>
      <x:c r="U135" s="2" t="str">
        <x:f>IF(B135="","","NativeTable; "&amp;E135&amp;"; "&amp;F135&amp;"; "&amp;G135&amp;"; "&amp;H135&amp;"; before "&amp;TEXT(J135,"yyyy-mm-dd")&amp;IF(I135="RECENT","; from "&amp;TEXT(L135,"yyyy-mm-dd"),""))</x:f>
      </x:c>
    </x:row>
    <x:row r="136" ht="21" customHeight="1">
      <x:c r="A136" s="2" t="n">
        <x:v>11</x:v>
      </x:c>
      <x:c r="B136" s="2" t="str">
        <x:f>IF('Input_Meci'!A16="","",'Input_Meci'!A16)</x:f>
      </x:c>
      <x:c r="C136" s="2" t="str">
        <x:v>A</x:v>
      </x:c>
      <x:c r="D136" s="2" t="str">
        <x:v>PRIOR</x:v>
      </x:c>
      <x:c r="E136" s="2" t="str">
        <x:f>IF(B136="","",'Input_Meci'!B16)</x:f>
      </x:c>
      <x:c r="F136" s="2" t="str">
        <x:f>IF(B136="","",IF('Input_Meci'!K16="","",'Input_Meci'!K16))</x:f>
      </x:c>
      <x:c r="G136" s="2" t="str">
        <x:f>IF(B136="","",'Input_Meci'!E16)</x:f>
      </x:c>
      <x:c r="H136" s="2" t="str">
        <x:v>AWAY</x:v>
      </x:c>
      <x:c r="I136" s="2" t="str">
        <x:v>HA</x:v>
      </x:c>
      <x:c r="J136" s="9" t="n">
        <x:f>IF(AND(B136&lt;&gt;"",ISNUMBER('Input_Meci'!G16)),INT('Input_Meci'!G16),0)</x:f>
        <x:v>0</x:v>
      </x:c>
      <x:c r="K136" s="2" t="n">
        <x:f>IF(OR(B136="",F136=""),0,IF(H136="HOME",COUNTIFS('Istoric_Nativ'!$B$6:$B$405,E136,'Istoric_Nativ'!$C$6:$C$405,F136,'Istoric_Nativ'!$E$6:$E$405,G136,'Istoric_Nativ'!$D$6:$D$405,"&lt;"&amp;J136,'Istoric_Nativ'!$P$6:$P$405,1),IF(H136="AWAY",COUNTIFS('Istoric_Nativ'!$B$6:$B$405,E136,'Istoric_Nativ'!$C$6:$C$405,F136,'Istoric_Nativ'!$F$6:$F$405,G136,'Istoric_Nativ'!$D$6:$D$405,"&lt;"&amp;J136,'Istoric_Nativ'!$P$6:$P$405,1),COUNTIFS('Istoric_Nativ'!$B$6:$B$405,E136,'Istoric_Nativ'!$C$6:$C$405,F136,'Istoric_Nativ'!$E$6:$E$405,G136,'Istoric_Nativ'!$D$6:$D$405,"&lt;"&amp;J136,'Istoric_Nativ'!$P$6:$P$405,1)+COUNTIFS('Istoric_Nativ'!$B$6:$B$405,E136,'Istoric_Nativ'!$C$6:$C$405,F136,'Istoric_Nativ'!$F$6:$F$405,G136,'Istoric_Nativ'!$D$6:$D$405,"&lt;"&amp;J136,'Istoric_Nativ'!$P$6:$P$405,1))))</x:f>
        <x:v>0</x:v>
      </x:c>
      <x:c r="L136" s="17" t="n">
        <x:f>IF(AND(B136&lt;&gt;"",I136="RECENT",K136&gt;0),LARGE(_xlfn._xlws.FILTER('Istoric_Nativ'!$D$6:$D$405,('Istoric_Nativ'!$B$6:$B$405=E136)*('Istoric_Nativ'!$C$6:$C$405=F136)*('Istoric_Nativ'!$P$6:$P$405=1)*('Istoric_Nativ'!$D$6:$D$405&lt;J136)*((('Istoric_Nativ'!$E$6:$E$405=G136)+('Istoric_Nativ'!$F$6:$F$405=G136))&gt;0)),MIN('Config_v6'!$B$54,K136)),0)</x:f>
        <x:v>0</x:v>
      </x:c>
      <x:c r="M136" s="2" t="n">
        <x:f>IF(OR(B136="",F136=""),0,IF(H136="HOME",COUNTIFS('Istoric_Nativ'!$B$6:$B$405,E136,'Istoric_Nativ'!$C$6:$C$405,F136,'Istoric_Nativ'!$E$6:$E$405,G136,'Istoric_Nativ'!$D$6:$D$405,"&lt;"&amp;J136,'Istoric_Nativ'!$P$6:$P$405,1,'Istoric_Nativ'!$D$6:$D$405,"&gt;="&amp;L136),IF(H136="AWAY",COUNTIFS('Istoric_Nativ'!$B$6:$B$405,E136,'Istoric_Nativ'!$C$6:$C$405,F136,'Istoric_Nativ'!$F$6:$F$405,G136,'Istoric_Nativ'!$D$6:$D$405,"&lt;"&amp;J136,'Istoric_Nativ'!$P$6:$P$405,1,'Istoric_Nativ'!$D$6:$D$405,"&gt;="&amp;L136),COUNTIFS('Istoric_Nativ'!$B$6:$B$405,E136,'Istoric_Nativ'!$C$6:$C$405,F136,'Istoric_Nativ'!$E$6:$E$405,G136,'Istoric_Nativ'!$D$6:$D$405,"&lt;"&amp;J136,'Istoric_Nativ'!$P$6:$P$405,1,'Istoric_Nativ'!$D$6:$D$405,"&gt;="&amp;L136)+COUNTIFS('Istoric_Nativ'!$B$6:$B$405,E136,'Istoric_Nativ'!$C$6:$C$405,F136,'Istoric_Nativ'!$F$6:$F$405,G136,'Istoric_Nativ'!$D$6:$D$405,"&lt;"&amp;J136,'Istoric_Nativ'!$P$6:$P$405,1,'Istoric_Nativ'!$D$6:$D$405,"&gt;="&amp;L136))))</x:f>
        <x:v>0</x:v>
      </x:c>
      <x:c r="N136" s="11" t="str">
        <x:f>IF(M136=0,"",IF(H136="HOME",SUMIFS('Istoric_Nativ'!$G$6:$G$405,'Istoric_Nativ'!$B$6:$B$405,E136,'Istoric_Nativ'!$C$6:$C$405,F136,'Istoric_Nativ'!$E$6:$E$405,G136,'Istoric_Nativ'!$D$6:$D$405,"&lt;"&amp;J136,'Istoric_Nativ'!$P$6:$P$405,1,'Istoric_Nativ'!$D$6:$D$405,"&gt;="&amp;L136),IF(H136="AWAY",SUMIFS('Istoric_Nativ'!$H$6:$H$405,'Istoric_Nativ'!$B$6:$B$405,E136,'Istoric_Nativ'!$C$6:$C$405,F136,'Istoric_Nativ'!$F$6:$F$405,G136,'Istoric_Nativ'!$D$6:$D$405,"&lt;"&amp;J136,'Istoric_Nativ'!$P$6:$P$405,1,'Istoric_Nativ'!$D$6:$D$405,"&gt;="&amp;L136),SUMIFS('Istoric_Nativ'!$G$6:$G$405,'Istoric_Nativ'!$B$6:$B$405,E136,'Istoric_Nativ'!$C$6:$C$405,F136,'Istoric_Nativ'!$E$6:$E$405,G136,'Istoric_Nativ'!$D$6:$D$405,"&lt;"&amp;J136,'Istoric_Nativ'!$P$6:$P$405,1,'Istoric_Nativ'!$D$6:$D$405,"&gt;="&amp;L136)+SUMIFS('Istoric_Nativ'!$H$6:$H$405,'Istoric_Nativ'!$B$6:$B$405,E136,'Istoric_Nativ'!$C$6:$C$405,F136,'Istoric_Nativ'!$F$6:$F$405,G136,'Istoric_Nativ'!$D$6:$D$405,"&lt;"&amp;J136,'Istoric_Nativ'!$P$6:$P$405,1,'Istoric_Nativ'!$D$6:$D$405,"&gt;="&amp;L136)))/M136)</x:f>
      </x:c>
      <x:c r="O136" s="11" t="str">
        <x:f>IF(M136=0,"",IF(H136="HOME",SUMIFS('Istoric_Nativ'!$H$6:$H$405,'Istoric_Nativ'!$B$6:$B$405,E136,'Istoric_Nativ'!$C$6:$C$405,F136,'Istoric_Nativ'!$E$6:$E$405,G136,'Istoric_Nativ'!$D$6:$D$405,"&lt;"&amp;J136,'Istoric_Nativ'!$P$6:$P$405,1,'Istoric_Nativ'!$D$6:$D$405,"&gt;="&amp;L136),IF(H136="AWAY",SUMIFS('Istoric_Nativ'!$G$6:$G$405,'Istoric_Nativ'!$B$6:$B$405,E136,'Istoric_Nativ'!$C$6:$C$405,F136,'Istoric_Nativ'!$F$6:$F$405,G136,'Istoric_Nativ'!$D$6:$D$405,"&lt;"&amp;J136,'Istoric_Nativ'!$P$6:$P$405,1,'Istoric_Nativ'!$D$6:$D$405,"&gt;="&amp;L136),SUMIFS('Istoric_Nativ'!$H$6:$H$405,'Istoric_Nativ'!$B$6:$B$405,E136,'Istoric_Nativ'!$C$6:$C$405,F136,'Istoric_Nativ'!$E$6:$E$405,G136,'Istoric_Nativ'!$D$6:$D$405,"&lt;"&amp;J136,'Istoric_Nativ'!$P$6:$P$405,1,'Istoric_Nativ'!$D$6:$D$405,"&gt;="&amp;L136)+SUMIFS('Istoric_Nativ'!$G$6:$G$405,'Istoric_Nativ'!$B$6:$B$405,E136,'Istoric_Nativ'!$C$6:$C$405,F136,'Istoric_Nativ'!$F$6:$F$405,G136,'Istoric_Nativ'!$D$6:$D$405,"&lt;"&amp;J136,'Istoric_Nativ'!$P$6:$P$405,1,'Istoric_Nativ'!$D$6:$D$405,"&gt;="&amp;L136)))/M136)</x:f>
      </x:c>
      <x:c r="P136" s="2" t="n">
        <x:f>'Config_v6'!$B$8</x:f>
        <x:v>5</x:v>
      </x:c>
      <x:c r="Q136" s="2" t="n">
        <x:f>IF(OR(B136="",F136=""),0,IFERROR(MATCH(E136&amp;"|"&amp;F136,SourceTable[Source_Key],0),0))</x:f>
        <x:v>0</x:v>
      </x:c>
      <x:c r="R136" s="2" t="str">
        <x:f>IF(B136="","",IF(F136="","UNUSED",IF(Q136=0,"NOT CHECKED",IF(COUNTIF(SourceTable[Source_Key],E136&amp;"|"&amp;F136)&lt;&gt;1,"SOURCE CONFLICT",IF(NOT(OR(INDEX(SourceTable[Status],MAX(1,Q136))="IMPORTED",INDEX(SourceTable[Status],MAX(1,Q136))="PARTIAL",INDEX(SourceTable[Status],MAX(1,Q136))="SOURCE CONFLICT")),"ACCESS BLOCKED",IF(OR(INDEX(SourceTable[Coverage],Q136)&lt;&gt;"FULL SEASON EXPORT",INDEX(SourceTable[URL],Q136)="",INDEX(SourceTable[SHA256],Q136)=""),"EVIDENCE INCOMPLETE",IF(AND('Input_Meci'!H16="LIVE",INDEX(SourceTable[Retrieved_UTC],Q136)&gt;'Input_Meci'!G16),"POST CUTOFF","CLOSED")))))))</x:f>
      </x:c>
      <x:c r="S136" s="2" t="n">
        <x:f>IF(OR(B136="",F136=""),0,COUNTIFS('Istoric_Nativ'!$B$6:$B$405,E136,'Istoric_Nativ'!$C$6:$C$405,F136,'Istoric_Nativ'!$E$6:$E$405,G136,'Istoric_Nativ'!$D$6:$D$405,"&lt;"&amp;J136,'Istoric_Nativ'!$O$6:$O$405,"INVALID")+COUNTIFS('Istoric_Nativ'!$B$6:$B$405,E136,'Istoric_Nativ'!$C$6:$C$405,F136,'Istoric_Nativ'!$E$6:$E$405,G136,'Istoric_Nativ'!$O$6:$O$405,"INVALID",'Istoric_Nativ'!$D$6:$D$405,"*")+COUNTIFS('Istoric_Nativ'!$B$6:$B$405,E136,'Istoric_Nativ'!$C$6:$C$405,F136,'Istoric_Nativ'!$E$6:$E$405,G136,'Istoric_Nativ'!$D$6:$D$405,"&lt;"&amp;J136,'Istoric_Nativ'!$O$6:$O$405,"SOURCE CONFLICT")+COUNTIFS('Istoric_Nativ'!$B$6:$B$405,E136,'Istoric_Nativ'!$C$6:$C$405,F136,'Istoric_Nativ'!$F$6:$F$405,G136,'Istoric_Nativ'!$D$6:$D$405,"&lt;"&amp;J136,'Istoric_Nativ'!$O$6:$O$405,"INVALID")+COUNTIFS('Istoric_Nativ'!$B$6:$B$405,E136,'Istoric_Nativ'!$C$6:$C$405,F136,'Istoric_Nativ'!$F$6:$F$405,G136,'Istoric_Nativ'!$O$6:$O$405,"INVALID",'Istoric_Nativ'!$D$6:$D$405,"*")+COUNTIFS('Istoric_Nativ'!$B$6:$B$405,E136,'Istoric_Nativ'!$C$6:$C$405,F136,'Istoric_Nativ'!$F$6:$F$405,G136,'Istoric_Nativ'!$D$6:$D$405,"&lt;"&amp;J136,'Istoric_Nativ'!$O$6:$O$405,"SOURCE CONFLICT"))</x:f>
        <x:v>0</x:v>
      </x:c>
      <x:c r="T136" s="2" t="str">
        <x:f>IF(B136="","",IF(R136&lt;&gt;"CLOSED",R136,IF(S136&gt;0,"NATIVE INPUT ISSUE",IF(M136=0,"NO HISTORY",IF(M136&lt;P136,"SMALL SAMPLE","DERIVED")))))</x:f>
      </x:c>
      <x:c r="U136" s="2" t="str">
        <x:f>IF(B136="","","NativeTable; "&amp;E136&amp;"; "&amp;F136&amp;"; "&amp;G136&amp;"; "&amp;H136&amp;"; before "&amp;TEXT(J136,"yyyy-mm-dd")&amp;IF(I136="RECENT","; from "&amp;TEXT(L136,"yyyy-mm-dd"),""))</x:f>
      </x:c>
    </x:row>
    <x:row r="137" ht="21" customHeight="1">
      <x:c r="A137" s="2" t="n">
        <x:v>11</x:v>
      </x:c>
      <x:c r="B137" s="2" t="str">
        <x:f>IF('Input_Meci'!A16="","",'Input_Meci'!A16)</x:f>
      </x:c>
      <x:c r="C137" s="2" t="str">
        <x:v>A</x:v>
      </x:c>
      <x:c r="D137" s="2" t="str">
        <x:v>PRIOR</x:v>
      </x:c>
      <x:c r="E137" s="2" t="str">
        <x:f>IF(B137="","",'Input_Meci'!B16)</x:f>
      </x:c>
      <x:c r="F137" s="2" t="str">
        <x:f>IF(B137="","",IF('Input_Meci'!K16="","",'Input_Meci'!K16))</x:f>
      </x:c>
      <x:c r="G137" s="2" t="str">
        <x:f>IF(B137="","",'Input_Meci'!E16)</x:f>
      </x:c>
      <x:c r="H137" s="2" t="str">
        <x:v>ANY</x:v>
      </x:c>
      <x:c r="I137" s="2" t="str">
        <x:v>RECENT</x:v>
      </x:c>
      <x:c r="J137" s="9" t="n">
        <x:f>IF(AND(B137&lt;&gt;"",ISNUMBER('Input_Meci'!G16)),INT('Input_Meci'!G16),0)</x:f>
        <x:v>0</x:v>
      </x:c>
      <x:c r="K137" s="2" t="n">
        <x:f>IF(OR(B137="",F137=""),0,IF(H137="HOME",COUNTIFS('Istoric_Nativ'!$B$6:$B$405,E137,'Istoric_Nativ'!$C$6:$C$405,F137,'Istoric_Nativ'!$E$6:$E$405,G137,'Istoric_Nativ'!$D$6:$D$405,"&lt;"&amp;J137,'Istoric_Nativ'!$P$6:$P$405,1),IF(H137="AWAY",COUNTIFS('Istoric_Nativ'!$B$6:$B$405,E137,'Istoric_Nativ'!$C$6:$C$405,F137,'Istoric_Nativ'!$F$6:$F$405,G137,'Istoric_Nativ'!$D$6:$D$405,"&lt;"&amp;J137,'Istoric_Nativ'!$P$6:$P$405,1),COUNTIFS('Istoric_Nativ'!$B$6:$B$405,E137,'Istoric_Nativ'!$C$6:$C$405,F137,'Istoric_Nativ'!$E$6:$E$405,G137,'Istoric_Nativ'!$D$6:$D$405,"&lt;"&amp;J137,'Istoric_Nativ'!$P$6:$P$405,1)+COUNTIFS('Istoric_Nativ'!$B$6:$B$405,E137,'Istoric_Nativ'!$C$6:$C$405,F137,'Istoric_Nativ'!$F$6:$F$405,G137,'Istoric_Nativ'!$D$6:$D$405,"&lt;"&amp;J137,'Istoric_Nativ'!$P$6:$P$405,1))))</x:f>
        <x:v>0</x:v>
      </x:c>
      <x:c r="L137" s="17" t="n">
        <x:f>IF(AND(B137&lt;&gt;"",I137="RECENT",K137&gt;0),LARGE(_xlfn._xlws.FILTER('Istoric_Nativ'!$D$6:$D$405,('Istoric_Nativ'!$B$6:$B$405=E137)*('Istoric_Nativ'!$C$6:$C$405=F137)*('Istoric_Nativ'!$P$6:$P$405=1)*('Istoric_Nativ'!$D$6:$D$405&lt;J137)*((('Istoric_Nativ'!$E$6:$E$405=G137)+('Istoric_Nativ'!$F$6:$F$405=G137))&gt;0)),MIN('Config_v6'!$B$54,K137)),0)</x:f>
        <x:v>0</x:v>
      </x:c>
      <x:c r="M137" s="2" t="n">
        <x:f>IF(OR(B137="",F137=""),0,IF(H137="HOME",COUNTIFS('Istoric_Nativ'!$B$6:$B$405,E137,'Istoric_Nativ'!$C$6:$C$405,F137,'Istoric_Nativ'!$E$6:$E$405,G137,'Istoric_Nativ'!$D$6:$D$405,"&lt;"&amp;J137,'Istoric_Nativ'!$P$6:$P$405,1,'Istoric_Nativ'!$D$6:$D$405,"&gt;="&amp;L137),IF(H137="AWAY",COUNTIFS('Istoric_Nativ'!$B$6:$B$405,E137,'Istoric_Nativ'!$C$6:$C$405,F137,'Istoric_Nativ'!$F$6:$F$405,G137,'Istoric_Nativ'!$D$6:$D$405,"&lt;"&amp;J137,'Istoric_Nativ'!$P$6:$P$405,1,'Istoric_Nativ'!$D$6:$D$405,"&gt;="&amp;L137),COUNTIFS('Istoric_Nativ'!$B$6:$B$405,E137,'Istoric_Nativ'!$C$6:$C$405,F137,'Istoric_Nativ'!$E$6:$E$405,G137,'Istoric_Nativ'!$D$6:$D$405,"&lt;"&amp;J137,'Istoric_Nativ'!$P$6:$P$405,1,'Istoric_Nativ'!$D$6:$D$405,"&gt;="&amp;L137)+COUNTIFS('Istoric_Nativ'!$B$6:$B$405,E137,'Istoric_Nativ'!$C$6:$C$405,F137,'Istoric_Nativ'!$F$6:$F$405,G137,'Istoric_Nativ'!$D$6:$D$405,"&lt;"&amp;J137,'Istoric_Nativ'!$P$6:$P$405,1,'Istoric_Nativ'!$D$6:$D$405,"&gt;="&amp;L137))))</x:f>
        <x:v>0</x:v>
      </x:c>
      <x:c r="N137" s="11" t="str">
        <x:f>IF(M137=0,"",IF(H137="HOME",SUMIFS('Istoric_Nativ'!$G$6:$G$405,'Istoric_Nativ'!$B$6:$B$405,E137,'Istoric_Nativ'!$C$6:$C$405,F137,'Istoric_Nativ'!$E$6:$E$405,G137,'Istoric_Nativ'!$D$6:$D$405,"&lt;"&amp;J137,'Istoric_Nativ'!$P$6:$P$405,1,'Istoric_Nativ'!$D$6:$D$405,"&gt;="&amp;L137),IF(H137="AWAY",SUMIFS('Istoric_Nativ'!$H$6:$H$405,'Istoric_Nativ'!$B$6:$B$405,E137,'Istoric_Nativ'!$C$6:$C$405,F137,'Istoric_Nativ'!$F$6:$F$405,G137,'Istoric_Nativ'!$D$6:$D$405,"&lt;"&amp;J137,'Istoric_Nativ'!$P$6:$P$405,1,'Istoric_Nativ'!$D$6:$D$405,"&gt;="&amp;L137),SUMIFS('Istoric_Nativ'!$G$6:$G$405,'Istoric_Nativ'!$B$6:$B$405,E137,'Istoric_Nativ'!$C$6:$C$405,F137,'Istoric_Nativ'!$E$6:$E$405,G137,'Istoric_Nativ'!$D$6:$D$405,"&lt;"&amp;J137,'Istoric_Nativ'!$P$6:$P$405,1,'Istoric_Nativ'!$D$6:$D$405,"&gt;="&amp;L137)+SUMIFS('Istoric_Nativ'!$H$6:$H$405,'Istoric_Nativ'!$B$6:$B$405,E137,'Istoric_Nativ'!$C$6:$C$405,F137,'Istoric_Nativ'!$F$6:$F$405,G137,'Istoric_Nativ'!$D$6:$D$405,"&lt;"&amp;J137,'Istoric_Nativ'!$P$6:$P$405,1,'Istoric_Nativ'!$D$6:$D$405,"&gt;="&amp;L137)))/M137)</x:f>
      </x:c>
      <x:c r="O137" s="11" t="str">
        <x:f>IF(M137=0,"",IF(H137="HOME",SUMIFS('Istoric_Nativ'!$H$6:$H$405,'Istoric_Nativ'!$B$6:$B$405,E137,'Istoric_Nativ'!$C$6:$C$405,F137,'Istoric_Nativ'!$E$6:$E$405,G137,'Istoric_Nativ'!$D$6:$D$405,"&lt;"&amp;J137,'Istoric_Nativ'!$P$6:$P$405,1,'Istoric_Nativ'!$D$6:$D$405,"&gt;="&amp;L137),IF(H137="AWAY",SUMIFS('Istoric_Nativ'!$G$6:$G$405,'Istoric_Nativ'!$B$6:$B$405,E137,'Istoric_Nativ'!$C$6:$C$405,F137,'Istoric_Nativ'!$F$6:$F$405,G137,'Istoric_Nativ'!$D$6:$D$405,"&lt;"&amp;J137,'Istoric_Nativ'!$P$6:$P$405,1,'Istoric_Nativ'!$D$6:$D$405,"&gt;="&amp;L137),SUMIFS('Istoric_Nativ'!$H$6:$H$405,'Istoric_Nativ'!$B$6:$B$405,E137,'Istoric_Nativ'!$C$6:$C$405,F137,'Istoric_Nativ'!$E$6:$E$405,G137,'Istoric_Nativ'!$D$6:$D$405,"&lt;"&amp;J137,'Istoric_Nativ'!$P$6:$P$405,1,'Istoric_Nativ'!$D$6:$D$405,"&gt;="&amp;L137)+SUMIFS('Istoric_Nativ'!$G$6:$G$405,'Istoric_Nativ'!$B$6:$B$405,E137,'Istoric_Nativ'!$C$6:$C$405,F137,'Istoric_Nativ'!$F$6:$F$405,G137,'Istoric_Nativ'!$D$6:$D$405,"&lt;"&amp;J137,'Istoric_Nativ'!$P$6:$P$405,1,'Istoric_Nativ'!$D$6:$D$405,"&gt;="&amp;L137)))/M137)</x:f>
      </x:c>
      <x:c r="P137" s="2" t="n">
        <x:f>'Config_v6'!$B$9</x:f>
        <x:v>3</x:v>
      </x:c>
      <x:c r="Q137" s="2" t="n">
        <x:f>IF(OR(B137="",F137=""),0,IFERROR(MATCH(E137&amp;"|"&amp;F137,SourceTable[Source_Key],0),0))</x:f>
        <x:v>0</x:v>
      </x:c>
      <x:c r="R137" s="2" t="str">
        <x:f>IF(B137="","",IF(F137="","UNUSED",IF(Q137=0,"NOT CHECKED",IF(COUNTIF(SourceTable[Source_Key],E137&amp;"|"&amp;F137)&lt;&gt;1,"SOURCE CONFLICT",IF(NOT(OR(INDEX(SourceTable[Status],MAX(1,Q137))="IMPORTED",INDEX(SourceTable[Status],MAX(1,Q137))="PARTIAL",INDEX(SourceTable[Status],MAX(1,Q137))="SOURCE CONFLICT")),"ACCESS BLOCKED",IF(OR(INDEX(SourceTable[Coverage],Q137)&lt;&gt;"FULL SEASON EXPORT",INDEX(SourceTable[URL],Q137)="",INDEX(SourceTable[SHA256],Q137)=""),"EVIDENCE INCOMPLETE",IF(AND('Input_Meci'!H16="LIVE",INDEX(SourceTable[Retrieved_UTC],Q137)&gt;'Input_Meci'!G16),"POST CUTOFF","CLOSED")))))))</x:f>
      </x:c>
      <x:c r="S137" s="2" t="n">
        <x:f>IF(OR(B137="",F137=""),0,COUNTIFS('Istoric_Nativ'!$B$6:$B$405,E137,'Istoric_Nativ'!$C$6:$C$405,F137,'Istoric_Nativ'!$E$6:$E$405,G137,'Istoric_Nativ'!$D$6:$D$405,"&lt;"&amp;J137,'Istoric_Nativ'!$O$6:$O$405,"INVALID")+COUNTIFS('Istoric_Nativ'!$B$6:$B$405,E137,'Istoric_Nativ'!$C$6:$C$405,F137,'Istoric_Nativ'!$E$6:$E$405,G137,'Istoric_Nativ'!$O$6:$O$405,"INVALID",'Istoric_Nativ'!$D$6:$D$405,"*")+COUNTIFS('Istoric_Nativ'!$B$6:$B$405,E137,'Istoric_Nativ'!$C$6:$C$405,F137,'Istoric_Nativ'!$E$6:$E$405,G137,'Istoric_Nativ'!$D$6:$D$405,"&lt;"&amp;J137,'Istoric_Nativ'!$O$6:$O$405,"SOURCE CONFLICT")+COUNTIFS('Istoric_Nativ'!$B$6:$B$405,E137,'Istoric_Nativ'!$C$6:$C$405,F137,'Istoric_Nativ'!$F$6:$F$405,G137,'Istoric_Nativ'!$D$6:$D$405,"&lt;"&amp;J137,'Istoric_Nativ'!$O$6:$O$405,"INVALID")+COUNTIFS('Istoric_Nativ'!$B$6:$B$405,E137,'Istoric_Nativ'!$C$6:$C$405,F137,'Istoric_Nativ'!$F$6:$F$405,G137,'Istoric_Nativ'!$O$6:$O$405,"INVALID",'Istoric_Nativ'!$D$6:$D$405,"*")+COUNTIFS('Istoric_Nativ'!$B$6:$B$405,E137,'Istoric_Nativ'!$C$6:$C$405,F137,'Istoric_Nativ'!$F$6:$F$405,G137,'Istoric_Nativ'!$D$6:$D$405,"&lt;"&amp;J137,'Istoric_Nativ'!$O$6:$O$405,"SOURCE CONFLICT"))</x:f>
        <x:v>0</x:v>
      </x:c>
      <x:c r="T137" s="2" t="str">
        <x:f>IF(B137="","",IF(R137&lt;&gt;"CLOSED",R137,IF(S137&gt;0,"NATIVE INPUT ISSUE",IF(M137=0,"NO HISTORY",IF(M137&lt;P137,"SMALL SAMPLE","DERIVED")))))</x:f>
      </x:c>
      <x:c r="U137" s="2" t="str">
        <x:f>IF(B137="","","NativeTable; "&amp;E137&amp;"; "&amp;F137&amp;"; "&amp;G137&amp;"; "&amp;H137&amp;"; before "&amp;TEXT(J137,"yyyy-mm-dd")&amp;IF(I137="RECENT","; from "&amp;TEXT(L137,"yyyy-mm-dd"),""))</x:f>
      </x:c>
    </x:row>
    <x:row r="138" ht="21" customHeight="1">
      <x:c r="A138" s="2" t="n">
        <x:v>12</x:v>
      </x:c>
      <x:c r="B138" s="2" t="str">
        <x:f>IF('Input_Meci'!A17="","",'Input_Meci'!A17)</x:f>
      </x:c>
      <x:c r="C138" s="2" t="str">
        <x:v>H</x:v>
      </x:c>
      <x:c r="D138" s="2" t="str">
        <x:v>CURRENT</x:v>
      </x:c>
      <x:c r="E138" s="2" t="str">
        <x:f>IF(B138="","",'Input_Meci'!B17)</x:f>
      </x:c>
      <x:c r="F138" s="2" t="str">
        <x:f>IF(B138="","",IF('Input_Meci'!C17="","",'Input_Meci'!C17))</x:f>
      </x:c>
      <x:c r="G138" s="2" t="str">
        <x:f>IF(B138="","",'Input_Meci'!D17)</x:f>
      </x:c>
      <x:c r="H138" s="2" t="str">
        <x:v>ANY</x:v>
      </x:c>
      <x:c r="I138" s="2" t="str">
        <x:v>SEASON</x:v>
      </x:c>
      <x:c r="J138" s="9" t="n">
        <x:f>IF(AND(B138&lt;&gt;"",ISNUMBER('Input_Meci'!G17)),INT('Input_Meci'!G17),0)</x:f>
        <x:v>0</x:v>
      </x:c>
      <x:c r="K138" s="2" t="n">
        <x:f>IF(OR(B138="",F138=""),0,IF(H138="HOME",COUNTIFS('Istoric_Nativ'!$B$6:$B$405,E138,'Istoric_Nativ'!$C$6:$C$405,F138,'Istoric_Nativ'!$E$6:$E$405,G138,'Istoric_Nativ'!$D$6:$D$405,"&lt;"&amp;J138,'Istoric_Nativ'!$P$6:$P$405,1),IF(H138="AWAY",COUNTIFS('Istoric_Nativ'!$B$6:$B$405,E138,'Istoric_Nativ'!$C$6:$C$405,F138,'Istoric_Nativ'!$F$6:$F$405,G138,'Istoric_Nativ'!$D$6:$D$405,"&lt;"&amp;J138,'Istoric_Nativ'!$P$6:$P$405,1),COUNTIFS('Istoric_Nativ'!$B$6:$B$405,E138,'Istoric_Nativ'!$C$6:$C$405,F138,'Istoric_Nativ'!$E$6:$E$405,G138,'Istoric_Nativ'!$D$6:$D$405,"&lt;"&amp;J138,'Istoric_Nativ'!$P$6:$P$405,1)+COUNTIFS('Istoric_Nativ'!$B$6:$B$405,E138,'Istoric_Nativ'!$C$6:$C$405,F138,'Istoric_Nativ'!$F$6:$F$405,G138,'Istoric_Nativ'!$D$6:$D$405,"&lt;"&amp;J138,'Istoric_Nativ'!$P$6:$P$405,1))))</x:f>
        <x:v>0</x:v>
      </x:c>
      <x:c r="L138" s="17" t="n">
        <x:f>IF(AND(B138&lt;&gt;"",I138="RECENT",K138&gt;0),LARGE(_xlfn._xlws.FILTER('Istoric_Nativ'!$D$6:$D$405,('Istoric_Nativ'!$B$6:$B$405=E138)*('Istoric_Nativ'!$C$6:$C$405=F138)*('Istoric_Nativ'!$P$6:$P$405=1)*('Istoric_Nativ'!$D$6:$D$405&lt;J138)*((('Istoric_Nativ'!$E$6:$E$405=G138)+('Istoric_Nativ'!$F$6:$F$405=G138))&gt;0)),MIN('Config_v6'!$B$54,K138)),0)</x:f>
        <x:v>0</x:v>
      </x:c>
      <x:c r="M138" s="2" t="n">
        <x:f>IF(OR(B138="",F138=""),0,IF(H138="HOME",COUNTIFS('Istoric_Nativ'!$B$6:$B$405,E138,'Istoric_Nativ'!$C$6:$C$405,F138,'Istoric_Nativ'!$E$6:$E$405,G138,'Istoric_Nativ'!$D$6:$D$405,"&lt;"&amp;J138,'Istoric_Nativ'!$P$6:$P$405,1,'Istoric_Nativ'!$D$6:$D$405,"&gt;="&amp;L138),IF(H138="AWAY",COUNTIFS('Istoric_Nativ'!$B$6:$B$405,E138,'Istoric_Nativ'!$C$6:$C$405,F138,'Istoric_Nativ'!$F$6:$F$405,G138,'Istoric_Nativ'!$D$6:$D$405,"&lt;"&amp;J138,'Istoric_Nativ'!$P$6:$P$405,1,'Istoric_Nativ'!$D$6:$D$405,"&gt;="&amp;L138),COUNTIFS('Istoric_Nativ'!$B$6:$B$405,E138,'Istoric_Nativ'!$C$6:$C$405,F138,'Istoric_Nativ'!$E$6:$E$405,G138,'Istoric_Nativ'!$D$6:$D$405,"&lt;"&amp;J138,'Istoric_Nativ'!$P$6:$P$405,1,'Istoric_Nativ'!$D$6:$D$405,"&gt;="&amp;L138)+COUNTIFS('Istoric_Nativ'!$B$6:$B$405,E138,'Istoric_Nativ'!$C$6:$C$405,F138,'Istoric_Nativ'!$F$6:$F$405,G138,'Istoric_Nativ'!$D$6:$D$405,"&lt;"&amp;J138,'Istoric_Nativ'!$P$6:$P$405,1,'Istoric_Nativ'!$D$6:$D$405,"&gt;="&amp;L138))))</x:f>
        <x:v>0</x:v>
      </x:c>
      <x:c r="N138" s="11" t="str">
        <x:f>IF(M138=0,"",IF(H138="HOME",SUMIFS('Istoric_Nativ'!$G$6:$G$405,'Istoric_Nativ'!$B$6:$B$405,E138,'Istoric_Nativ'!$C$6:$C$405,F138,'Istoric_Nativ'!$E$6:$E$405,G138,'Istoric_Nativ'!$D$6:$D$405,"&lt;"&amp;J138,'Istoric_Nativ'!$P$6:$P$405,1,'Istoric_Nativ'!$D$6:$D$405,"&gt;="&amp;L138),IF(H138="AWAY",SUMIFS('Istoric_Nativ'!$H$6:$H$405,'Istoric_Nativ'!$B$6:$B$405,E138,'Istoric_Nativ'!$C$6:$C$405,F138,'Istoric_Nativ'!$F$6:$F$405,G138,'Istoric_Nativ'!$D$6:$D$405,"&lt;"&amp;J138,'Istoric_Nativ'!$P$6:$P$405,1,'Istoric_Nativ'!$D$6:$D$405,"&gt;="&amp;L138),SUMIFS('Istoric_Nativ'!$G$6:$G$405,'Istoric_Nativ'!$B$6:$B$405,E138,'Istoric_Nativ'!$C$6:$C$405,F138,'Istoric_Nativ'!$E$6:$E$405,G138,'Istoric_Nativ'!$D$6:$D$405,"&lt;"&amp;J138,'Istoric_Nativ'!$P$6:$P$405,1,'Istoric_Nativ'!$D$6:$D$405,"&gt;="&amp;L138)+SUMIFS('Istoric_Nativ'!$H$6:$H$405,'Istoric_Nativ'!$B$6:$B$405,E138,'Istoric_Nativ'!$C$6:$C$405,F138,'Istoric_Nativ'!$F$6:$F$405,G138,'Istoric_Nativ'!$D$6:$D$405,"&lt;"&amp;J138,'Istoric_Nativ'!$P$6:$P$405,1,'Istoric_Nativ'!$D$6:$D$405,"&gt;="&amp;L138)))/M138)</x:f>
      </x:c>
      <x:c r="O138" s="11" t="str">
        <x:f>IF(M138=0,"",IF(H138="HOME",SUMIFS('Istoric_Nativ'!$H$6:$H$405,'Istoric_Nativ'!$B$6:$B$405,E138,'Istoric_Nativ'!$C$6:$C$405,F138,'Istoric_Nativ'!$E$6:$E$405,G138,'Istoric_Nativ'!$D$6:$D$405,"&lt;"&amp;J138,'Istoric_Nativ'!$P$6:$P$405,1,'Istoric_Nativ'!$D$6:$D$405,"&gt;="&amp;L138),IF(H138="AWAY",SUMIFS('Istoric_Nativ'!$G$6:$G$405,'Istoric_Nativ'!$B$6:$B$405,E138,'Istoric_Nativ'!$C$6:$C$405,F138,'Istoric_Nativ'!$F$6:$F$405,G138,'Istoric_Nativ'!$D$6:$D$405,"&lt;"&amp;J138,'Istoric_Nativ'!$P$6:$P$405,1,'Istoric_Nativ'!$D$6:$D$405,"&gt;="&amp;L138),SUMIFS('Istoric_Nativ'!$H$6:$H$405,'Istoric_Nativ'!$B$6:$B$405,E138,'Istoric_Nativ'!$C$6:$C$405,F138,'Istoric_Nativ'!$E$6:$E$405,G138,'Istoric_Nativ'!$D$6:$D$405,"&lt;"&amp;J138,'Istoric_Nativ'!$P$6:$P$405,1,'Istoric_Nativ'!$D$6:$D$405,"&gt;="&amp;L138)+SUMIFS('Istoric_Nativ'!$G$6:$G$405,'Istoric_Nativ'!$B$6:$B$405,E138,'Istoric_Nativ'!$C$6:$C$405,F138,'Istoric_Nativ'!$F$6:$F$405,G138,'Istoric_Nativ'!$D$6:$D$405,"&lt;"&amp;J138,'Istoric_Nativ'!$P$6:$P$405,1,'Istoric_Nativ'!$D$6:$D$405,"&gt;="&amp;L138)))/M138)</x:f>
      </x:c>
      <x:c r="P138" s="2" t="n">
        <x:f>'Config_v6'!$B$7</x:f>
        <x:v>10</x:v>
      </x:c>
      <x:c r="Q138" s="2" t="n">
        <x:f>IF(OR(B138="",F138=""),0,IFERROR(MATCH(E138&amp;"|"&amp;F138,SourceTable[Source_Key],0),0))</x:f>
        <x:v>0</x:v>
      </x:c>
      <x:c r="R138" s="2" t="str">
        <x:f>IF(B138="","",IF(F138="","UNUSED",IF(Q138=0,"NOT CHECKED",IF(COUNTIF(SourceTable[Source_Key],E138&amp;"|"&amp;F138)&lt;&gt;1,"SOURCE CONFLICT",IF(NOT(OR(INDEX(SourceTable[Status],MAX(1,Q138))="IMPORTED",INDEX(SourceTable[Status],MAX(1,Q138))="PARTIAL",INDEX(SourceTable[Status],MAX(1,Q138))="SOURCE CONFLICT")),"ACCESS BLOCKED",IF(OR(INDEX(SourceTable[Coverage],Q138)&lt;&gt;"FULL SEASON EXPORT",INDEX(SourceTable[URL],Q138)="",INDEX(SourceTable[SHA256],Q138)=""),"EVIDENCE INCOMPLETE",IF(AND('Input_Meci'!H17="LIVE",INDEX(SourceTable[Retrieved_UTC],Q138)&gt;'Input_Meci'!G17),"POST CUTOFF","CLOSED")))))))</x:f>
      </x:c>
      <x:c r="S138" s="2" t="n">
        <x:f>IF(OR(B138="",F138=""),0,COUNTIFS('Istoric_Nativ'!$B$6:$B$405,E138,'Istoric_Nativ'!$C$6:$C$405,F138,'Istoric_Nativ'!$E$6:$E$405,G138,'Istoric_Nativ'!$D$6:$D$405,"&lt;"&amp;J138,'Istoric_Nativ'!$O$6:$O$405,"INVALID")+COUNTIFS('Istoric_Nativ'!$B$6:$B$405,E138,'Istoric_Nativ'!$C$6:$C$405,F138,'Istoric_Nativ'!$E$6:$E$405,G138,'Istoric_Nativ'!$O$6:$O$405,"INVALID",'Istoric_Nativ'!$D$6:$D$405,"*")+COUNTIFS('Istoric_Nativ'!$B$6:$B$405,E138,'Istoric_Nativ'!$C$6:$C$405,F138,'Istoric_Nativ'!$E$6:$E$405,G138,'Istoric_Nativ'!$D$6:$D$405,"&lt;"&amp;J138,'Istoric_Nativ'!$O$6:$O$405,"SOURCE CONFLICT")+COUNTIFS('Istoric_Nativ'!$B$6:$B$405,E138,'Istoric_Nativ'!$C$6:$C$405,F138,'Istoric_Nativ'!$F$6:$F$405,G138,'Istoric_Nativ'!$D$6:$D$405,"&lt;"&amp;J138,'Istoric_Nativ'!$O$6:$O$405,"INVALID")+COUNTIFS('Istoric_Nativ'!$B$6:$B$405,E138,'Istoric_Nativ'!$C$6:$C$405,F138,'Istoric_Nativ'!$F$6:$F$405,G138,'Istoric_Nativ'!$O$6:$O$405,"INVALID",'Istoric_Nativ'!$D$6:$D$405,"*")+COUNTIFS('Istoric_Nativ'!$B$6:$B$405,E138,'Istoric_Nativ'!$C$6:$C$405,F138,'Istoric_Nativ'!$F$6:$F$405,G138,'Istoric_Nativ'!$D$6:$D$405,"&lt;"&amp;J138,'Istoric_Nativ'!$O$6:$O$405,"SOURCE CONFLICT"))</x:f>
        <x:v>0</x:v>
      </x:c>
      <x:c r="T138" s="2" t="str">
        <x:f>IF(B138="","",IF(R138&lt;&gt;"CLOSED",R138,IF(S138&gt;0,"NATIVE INPUT ISSUE",IF(M138=0,"NO HISTORY",IF(M138&lt;P138,"SMALL SAMPLE","DERIVED")))))</x:f>
      </x:c>
      <x:c r="U138" s="2" t="str">
        <x:f>IF(B138="","","NativeTable; "&amp;E138&amp;"; "&amp;F138&amp;"; "&amp;G138&amp;"; "&amp;H138&amp;"; before "&amp;TEXT(J138,"yyyy-mm-dd")&amp;IF(I138="RECENT","; from "&amp;TEXT(L138,"yyyy-mm-dd"),""))</x:f>
      </x:c>
    </x:row>
    <x:row r="139" ht="21" customHeight="1">
      <x:c r="A139" s="2" t="n">
        <x:v>12</x:v>
      </x:c>
      <x:c r="B139" s="2" t="str">
        <x:f>IF('Input_Meci'!A17="","",'Input_Meci'!A17)</x:f>
      </x:c>
      <x:c r="C139" s="2" t="str">
        <x:v>H</x:v>
      </x:c>
      <x:c r="D139" s="2" t="str">
        <x:v>CURRENT</x:v>
      </x:c>
      <x:c r="E139" s="2" t="str">
        <x:f>IF(B139="","",'Input_Meci'!B17)</x:f>
      </x:c>
      <x:c r="F139" s="2" t="str">
        <x:f>IF(B139="","",IF('Input_Meci'!C17="","",'Input_Meci'!C17))</x:f>
      </x:c>
      <x:c r="G139" s="2" t="str">
        <x:f>IF(B139="","",'Input_Meci'!D17)</x:f>
      </x:c>
      <x:c r="H139" s="2" t="str">
        <x:v>HOME</x:v>
      </x:c>
      <x:c r="I139" s="2" t="str">
        <x:v>HA</x:v>
      </x:c>
      <x:c r="J139" s="9" t="n">
        <x:f>IF(AND(B139&lt;&gt;"",ISNUMBER('Input_Meci'!G17)),INT('Input_Meci'!G17),0)</x:f>
        <x:v>0</x:v>
      </x:c>
      <x:c r="K139" s="2" t="n">
        <x:f>IF(OR(B139="",F139=""),0,IF(H139="HOME",COUNTIFS('Istoric_Nativ'!$B$6:$B$405,E139,'Istoric_Nativ'!$C$6:$C$405,F139,'Istoric_Nativ'!$E$6:$E$405,G139,'Istoric_Nativ'!$D$6:$D$405,"&lt;"&amp;J139,'Istoric_Nativ'!$P$6:$P$405,1),IF(H139="AWAY",COUNTIFS('Istoric_Nativ'!$B$6:$B$405,E139,'Istoric_Nativ'!$C$6:$C$405,F139,'Istoric_Nativ'!$F$6:$F$405,G139,'Istoric_Nativ'!$D$6:$D$405,"&lt;"&amp;J139,'Istoric_Nativ'!$P$6:$P$405,1),COUNTIFS('Istoric_Nativ'!$B$6:$B$405,E139,'Istoric_Nativ'!$C$6:$C$405,F139,'Istoric_Nativ'!$E$6:$E$405,G139,'Istoric_Nativ'!$D$6:$D$405,"&lt;"&amp;J139,'Istoric_Nativ'!$P$6:$P$405,1)+COUNTIFS('Istoric_Nativ'!$B$6:$B$405,E139,'Istoric_Nativ'!$C$6:$C$405,F139,'Istoric_Nativ'!$F$6:$F$405,G139,'Istoric_Nativ'!$D$6:$D$405,"&lt;"&amp;J139,'Istoric_Nativ'!$P$6:$P$405,1))))</x:f>
        <x:v>0</x:v>
      </x:c>
      <x:c r="L139" s="17" t="n">
        <x:f>IF(AND(B139&lt;&gt;"",I139="RECENT",K139&gt;0),LARGE(_xlfn._xlws.FILTER('Istoric_Nativ'!$D$6:$D$405,('Istoric_Nativ'!$B$6:$B$405=E139)*('Istoric_Nativ'!$C$6:$C$405=F139)*('Istoric_Nativ'!$P$6:$P$405=1)*('Istoric_Nativ'!$D$6:$D$405&lt;J139)*((('Istoric_Nativ'!$E$6:$E$405=G139)+('Istoric_Nativ'!$F$6:$F$405=G139))&gt;0)),MIN('Config_v6'!$B$54,K139)),0)</x:f>
        <x:v>0</x:v>
      </x:c>
      <x:c r="M139" s="2" t="n">
        <x:f>IF(OR(B139="",F139=""),0,IF(H139="HOME",COUNTIFS('Istoric_Nativ'!$B$6:$B$405,E139,'Istoric_Nativ'!$C$6:$C$405,F139,'Istoric_Nativ'!$E$6:$E$405,G139,'Istoric_Nativ'!$D$6:$D$405,"&lt;"&amp;J139,'Istoric_Nativ'!$P$6:$P$405,1,'Istoric_Nativ'!$D$6:$D$405,"&gt;="&amp;L139),IF(H139="AWAY",COUNTIFS('Istoric_Nativ'!$B$6:$B$405,E139,'Istoric_Nativ'!$C$6:$C$405,F139,'Istoric_Nativ'!$F$6:$F$405,G139,'Istoric_Nativ'!$D$6:$D$405,"&lt;"&amp;J139,'Istoric_Nativ'!$P$6:$P$405,1,'Istoric_Nativ'!$D$6:$D$405,"&gt;="&amp;L139),COUNTIFS('Istoric_Nativ'!$B$6:$B$405,E139,'Istoric_Nativ'!$C$6:$C$405,F139,'Istoric_Nativ'!$E$6:$E$405,G139,'Istoric_Nativ'!$D$6:$D$405,"&lt;"&amp;J139,'Istoric_Nativ'!$P$6:$P$405,1,'Istoric_Nativ'!$D$6:$D$405,"&gt;="&amp;L139)+COUNTIFS('Istoric_Nativ'!$B$6:$B$405,E139,'Istoric_Nativ'!$C$6:$C$405,F139,'Istoric_Nativ'!$F$6:$F$405,G139,'Istoric_Nativ'!$D$6:$D$405,"&lt;"&amp;J139,'Istoric_Nativ'!$P$6:$P$405,1,'Istoric_Nativ'!$D$6:$D$405,"&gt;="&amp;L139))))</x:f>
        <x:v>0</x:v>
      </x:c>
      <x:c r="N139" s="11" t="str">
        <x:f>IF(M139=0,"",IF(H139="HOME",SUMIFS('Istoric_Nativ'!$G$6:$G$405,'Istoric_Nativ'!$B$6:$B$405,E139,'Istoric_Nativ'!$C$6:$C$405,F139,'Istoric_Nativ'!$E$6:$E$405,G139,'Istoric_Nativ'!$D$6:$D$405,"&lt;"&amp;J139,'Istoric_Nativ'!$P$6:$P$405,1,'Istoric_Nativ'!$D$6:$D$405,"&gt;="&amp;L139),IF(H139="AWAY",SUMIFS('Istoric_Nativ'!$H$6:$H$405,'Istoric_Nativ'!$B$6:$B$405,E139,'Istoric_Nativ'!$C$6:$C$405,F139,'Istoric_Nativ'!$F$6:$F$405,G139,'Istoric_Nativ'!$D$6:$D$405,"&lt;"&amp;J139,'Istoric_Nativ'!$P$6:$P$405,1,'Istoric_Nativ'!$D$6:$D$405,"&gt;="&amp;L139),SUMIFS('Istoric_Nativ'!$G$6:$G$405,'Istoric_Nativ'!$B$6:$B$405,E139,'Istoric_Nativ'!$C$6:$C$405,F139,'Istoric_Nativ'!$E$6:$E$405,G139,'Istoric_Nativ'!$D$6:$D$405,"&lt;"&amp;J139,'Istoric_Nativ'!$P$6:$P$405,1,'Istoric_Nativ'!$D$6:$D$405,"&gt;="&amp;L139)+SUMIFS('Istoric_Nativ'!$H$6:$H$405,'Istoric_Nativ'!$B$6:$B$405,E139,'Istoric_Nativ'!$C$6:$C$405,F139,'Istoric_Nativ'!$F$6:$F$405,G139,'Istoric_Nativ'!$D$6:$D$405,"&lt;"&amp;J139,'Istoric_Nativ'!$P$6:$P$405,1,'Istoric_Nativ'!$D$6:$D$405,"&gt;="&amp;L139)))/M139)</x:f>
      </x:c>
      <x:c r="O139" s="11" t="str">
        <x:f>IF(M139=0,"",IF(H139="HOME",SUMIFS('Istoric_Nativ'!$H$6:$H$405,'Istoric_Nativ'!$B$6:$B$405,E139,'Istoric_Nativ'!$C$6:$C$405,F139,'Istoric_Nativ'!$E$6:$E$405,G139,'Istoric_Nativ'!$D$6:$D$405,"&lt;"&amp;J139,'Istoric_Nativ'!$P$6:$P$405,1,'Istoric_Nativ'!$D$6:$D$405,"&gt;="&amp;L139),IF(H139="AWAY",SUMIFS('Istoric_Nativ'!$G$6:$G$405,'Istoric_Nativ'!$B$6:$B$405,E139,'Istoric_Nativ'!$C$6:$C$405,F139,'Istoric_Nativ'!$F$6:$F$405,G139,'Istoric_Nativ'!$D$6:$D$405,"&lt;"&amp;J139,'Istoric_Nativ'!$P$6:$P$405,1,'Istoric_Nativ'!$D$6:$D$405,"&gt;="&amp;L139),SUMIFS('Istoric_Nativ'!$H$6:$H$405,'Istoric_Nativ'!$B$6:$B$405,E139,'Istoric_Nativ'!$C$6:$C$405,F139,'Istoric_Nativ'!$E$6:$E$405,G139,'Istoric_Nativ'!$D$6:$D$405,"&lt;"&amp;J139,'Istoric_Nativ'!$P$6:$P$405,1,'Istoric_Nativ'!$D$6:$D$405,"&gt;="&amp;L139)+SUMIFS('Istoric_Nativ'!$G$6:$G$405,'Istoric_Nativ'!$B$6:$B$405,E139,'Istoric_Nativ'!$C$6:$C$405,F139,'Istoric_Nativ'!$F$6:$F$405,G139,'Istoric_Nativ'!$D$6:$D$405,"&lt;"&amp;J139,'Istoric_Nativ'!$P$6:$P$405,1,'Istoric_Nativ'!$D$6:$D$405,"&gt;="&amp;L139)))/M139)</x:f>
      </x:c>
      <x:c r="P139" s="2" t="n">
        <x:f>'Config_v6'!$B$8</x:f>
        <x:v>5</x:v>
      </x:c>
      <x:c r="Q139" s="2" t="n">
        <x:f>IF(OR(B139="",F139=""),0,IFERROR(MATCH(E139&amp;"|"&amp;F139,SourceTable[Source_Key],0),0))</x:f>
        <x:v>0</x:v>
      </x:c>
      <x:c r="R139" s="2" t="str">
        <x:f>IF(B139="","",IF(F139="","UNUSED",IF(Q139=0,"NOT CHECKED",IF(COUNTIF(SourceTable[Source_Key],E139&amp;"|"&amp;F139)&lt;&gt;1,"SOURCE CONFLICT",IF(NOT(OR(INDEX(SourceTable[Status],MAX(1,Q139))="IMPORTED",INDEX(SourceTable[Status],MAX(1,Q139))="PARTIAL",INDEX(SourceTable[Status],MAX(1,Q139))="SOURCE CONFLICT")),"ACCESS BLOCKED",IF(OR(INDEX(SourceTable[Coverage],Q139)&lt;&gt;"FULL SEASON EXPORT",INDEX(SourceTable[URL],Q139)="",INDEX(SourceTable[SHA256],Q139)=""),"EVIDENCE INCOMPLETE",IF(AND('Input_Meci'!H17="LIVE",INDEX(SourceTable[Retrieved_UTC],Q139)&gt;'Input_Meci'!G17),"POST CUTOFF","CLOSED")))))))</x:f>
      </x:c>
      <x:c r="S139" s="2" t="n">
        <x:f>IF(OR(B139="",F139=""),0,COUNTIFS('Istoric_Nativ'!$B$6:$B$405,E139,'Istoric_Nativ'!$C$6:$C$405,F139,'Istoric_Nativ'!$E$6:$E$405,G139,'Istoric_Nativ'!$D$6:$D$405,"&lt;"&amp;J139,'Istoric_Nativ'!$O$6:$O$405,"INVALID")+COUNTIFS('Istoric_Nativ'!$B$6:$B$405,E139,'Istoric_Nativ'!$C$6:$C$405,F139,'Istoric_Nativ'!$E$6:$E$405,G139,'Istoric_Nativ'!$O$6:$O$405,"INVALID",'Istoric_Nativ'!$D$6:$D$405,"*")+COUNTIFS('Istoric_Nativ'!$B$6:$B$405,E139,'Istoric_Nativ'!$C$6:$C$405,F139,'Istoric_Nativ'!$E$6:$E$405,G139,'Istoric_Nativ'!$D$6:$D$405,"&lt;"&amp;J139,'Istoric_Nativ'!$O$6:$O$405,"SOURCE CONFLICT")+COUNTIFS('Istoric_Nativ'!$B$6:$B$405,E139,'Istoric_Nativ'!$C$6:$C$405,F139,'Istoric_Nativ'!$F$6:$F$405,G139,'Istoric_Nativ'!$D$6:$D$405,"&lt;"&amp;J139,'Istoric_Nativ'!$O$6:$O$405,"INVALID")+COUNTIFS('Istoric_Nativ'!$B$6:$B$405,E139,'Istoric_Nativ'!$C$6:$C$405,F139,'Istoric_Nativ'!$F$6:$F$405,G139,'Istoric_Nativ'!$O$6:$O$405,"INVALID",'Istoric_Nativ'!$D$6:$D$405,"*")+COUNTIFS('Istoric_Nativ'!$B$6:$B$405,E139,'Istoric_Nativ'!$C$6:$C$405,F139,'Istoric_Nativ'!$F$6:$F$405,G139,'Istoric_Nativ'!$D$6:$D$405,"&lt;"&amp;J139,'Istoric_Nativ'!$O$6:$O$405,"SOURCE CONFLICT"))</x:f>
        <x:v>0</x:v>
      </x:c>
      <x:c r="T139" s="2" t="str">
        <x:f>IF(B139="","",IF(R139&lt;&gt;"CLOSED",R139,IF(S139&gt;0,"NATIVE INPUT ISSUE",IF(M139=0,"NO HISTORY",IF(M139&lt;P139,"SMALL SAMPLE","DERIVED")))))</x:f>
      </x:c>
      <x:c r="U139" s="2" t="str">
        <x:f>IF(B139="","","NativeTable; "&amp;E139&amp;"; "&amp;F139&amp;"; "&amp;G139&amp;"; "&amp;H139&amp;"; before "&amp;TEXT(J139,"yyyy-mm-dd")&amp;IF(I139="RECENT","; from "&amp;TEXT(L139,"yyyy-mm-dd"),""))</x:f>
      </x:c>
    </x:row>
    <x:row r="140" ht="21" customHeight="1">
      <x:c r="A140" s="2" t="n">
        <x:v>12</x:v>
      </x:c>
      <x:c r="B140" s="2" t="str">
        <x:f>IF('Input_Meci'!A17="","",'Input_Meci'!A17)</x:f>
      </x:c>
      <x:c r="C140" s="2" t="str">
        <x:v>H</x:v>
      </x:c>
      <x:c r="D140" s="2" t="str">
        <x:v>CURRENT</x:v>
      </x:c>
      <x:c r="E140" s="2" t="str">
        <x:f>IF(B140="","",'Input_Meci'!B17)</x:f>
      </x:c>
      <x:c r="F140" s="2" t="str">
        <x:f>IF(B140="","",IF('Input_Meci'!C17="","",'Input_Meci'!C17))</x:f>
      </x:c>
      <x:c r="G140" s="2" t="str">
        <x:f>IF(B140="","",'Input_Meci'!D17)</x:f>
      </x:c>
      <x:c r="H140" s="2" t="str">
        <x:v>ANY</x:v>
      </x:c>
      <x:c r="I140" s="2" t="str">
        <x:v>RECENT</x:v>
      </x:c>
      <x:c r="J140" s="9" t="n">
        <x:f>IF(AND(B140&lt;&gt;"",ISNUMBER('Input_Meci'!G17)),INT('Input_Meci'!G17),0)</x:f>
        <x:v>0</x:v>
      </x:c>
      <x:c r="K140" s="2" t="n">
        <x:f>IF(OR(B140="",F140=""),0,IF(H140="HOME",COUNTIFS('Istoric_Nativ'!$B$6:$B$405,E140,'Istoric_Nativ'!$C$6:$C$405,F140,'Istoric_Nativ'!$E$6:$E$405,G140,'Istoric_Nativ'!$D$6:$D$405,"&lt;"&amp;J140,'Istoric_Nativ'!$P$6:$P$405,1),IF(H140="AWAY",COUNTIFS('Istoric_Nativ'!$B$6:$B$405,E140,'Istoric_Nativ'!$C$6:$C$405,F140,'Istoric_Nativ'!$F$6:$F$405,G140,'Istoric_Nativ'!$D$6:$D$405,"&lt;"&amp;J140,'Istoric_Nativ'!$P$6:$P$405,1),COUNTIFS('Istoric_Nativ'!$B$6:$B$405,E140,'Istoric_Nativ'!$C$6:$C$405,F140,'Istoric_Nativ'!$E$6:$E$405,G140,'Istoric_Nativ'!$D$6:$D$405,"&lt;"&amp;J140,'Istoric_Nativ'!$P$6:$P$405,1)+COUNTIFS('Istoric_Nativ'!$B$6:$B$405,E140,'Istoric_Nativ'!$C$6:$C$405,F140,'Istoric_Nativ'!$F$6:$F$405,G140,'Istoric_Nativ'!$D$6:$D$405,"&lt;"&amp;J140,'Istoric_Nativ'!$P$6:$P$405,1))))</x:f>
        <x:v>0</x:v>
      </x:c>
      <x:c r="L140" s="17" t="n">
        <x:f>IF(AND(B140&lt;&gt;"",I140="RECENT",K140&gt;0),LARGE(_xlfn._xlws.FILTER('Istoric_Nativ'!$D$6:$D$405,('Istoric_Nativ'!$B$6:$B$405=E140)*('Istoric_Nativ'!$C$6:$C$405=F140)*('Istoric_Nativ'!$P$6:$P$405=1)*('Istoric_Nativ'!$D$6:$D$405&lt;J140)*((('Istoric_Nativ'!$E$6:$E$405=G140)+('Istoric_Nativ'!$F$6:$F$405=G140))&gt;0)),MIN('Config_v6'!$B$54,K140)),0)</x:f>
        <x:v>0</x:v>
      </x:c>
      <x:c r="M140" s="2" t="n">
        <x:f>IF(OR(B140="",F140=""),0,IF(H140="HOME",COUNTIFS('Istoric_Nativ'!$B$6:$B$405,E140,'Istoric_Nativ'!$C$6:$C$405,F140,'Istoric_Nativ'!$E$6:$E$405,G140,'Istoric_Nativ'!$D$6:$D$405,"&lt;"&amp;J140,'Istoric_Nativ'!$P$6:$P$405,1,'Istoric_Nativ'!$D$6:$D$405,"&gt;="&amp;L140),IF(H140="AWAY",COUNTIFS('Istoric_Nativ'!$B$6:$B$405,E140,'Istoric_Nativ'!$C$6:$C$405,F140,'Istoric_Nativ'!$F$6:$F$405,G140,'Istoric_Nativ'!$D$6:$D$405,"&lt;"&amp;J140,'Istoric_Nativ'!$P$6:$P$405,1,'Istoric_Nativ'!$D$6:$D$405,"&gt;="&amp;L140),COUNTIFS('Istoric_Nativ'!$B$6:$B$405,E140,'Istoric_Nativ'!$C$6:$C$405,F140,'Istoric_Nativ'!$E$6:$E$405,G140,'Istoric_Nativ'!$D$6:$D$405,"&lt;"&amp;J140,'Istoric_Nativ'!$P$6:$P$405,1,'Istoric_Nativ'!$D$6:$D$405,"&gt;="&amp;L140)+COUNTIFS('Istoric_Nativ'!$B$6:$B$405,E140,'Istoric_Nativ'!$C$6:$C$405,F140,'Istoric_Nativ'!$F$6:$F$405,G140,'Istoric_Nativ'!$D$6:$D$405,"&lt;"&amp;J140,'Istoric_Nativ'!$P$6:$P$405,1,'Istoric_Nativ'!$D$6:$D$405,"&gt;="&amp;L140))))</x:f>
        <x:v>0</x:v>
      </x:c>
      <x:c r="N140" s="11" t="str">
        <x:f>IF(M140=0,"",IF(H140="HOME",SUMIFS('Istoric_Nativ'!$G$6:$G$405,'Istoric_Nativ'!$B$6:$B$405,E140,'Istoric_Nativ'!$C$6:$C$405,F140,'Istoric_Nativ'!$E$6:$E$405,G140,'Istoric_Nativ'!$D$6:$D$405,"&lt;"&amp;J140,'Istoric_Nativ'!$P$6:$P$405,1,'Istoric_Nativ'!$D$6:$D$405,"&gt;="&amp;L140),IF(H140="AWAY",SUMIFS('Istoric_Nativ'!$H$6:$H$405,'Istoric_Nativ'!$B$6:$B$405,E140,'Istoric_Nativ'!$C$6:$C$405,F140,'Istoric_Nativ'!$F$6:$F$405,G140,'Istoric_Nativ'!$D$6:$D$405,"&lt;"&amp;J140,'Istoric_Nativ'!$P$6:$P$405,1,'Istoric_Nativ'!$D$6:$D$405,"&gt;="&amp;L140),SUMIFS('Istoric_Nativ'!$G$6:$G$405,'Istoric_Nativ'!$B$6:$B$405,E140,'Istoric_Nativ'!$C$6:$C$405,F140,'Istoric_Nativ'!$E$6:$E$405,G140,'Istoric_Nativ'!$D$6:$D$405,"&lt;"&amp;J140,'Istoric_Nativ'!$P$6:$P$405,1,'Istoric_Nativ'!$D$6:$D$405,"&gt;="&amp;L140)+SUMIFS('Istoric_Nativ'!$H$6:$H$405,'Istoric_Nativ'!$B$6:$B$405,E140,'Istoric_Nativ'!$C$6:$C$405,F140,'Istoric_Nativ'!$F$6:$F$405,G140,'Istoric_Nativ'!$D$6:$D$405,"&lt;"&amp;J140,'Istoric_Nativ'!$P$6:$P$405,1,'Istoric_Nativ'!$D$6:$D$405,"&gt;="&amp;L140)))/M140)</x:f>
      </x:c>
      <x:c r="O140" s="11" t="str">
        <x:f>IF(M140=0,"",IF(H140="HOME",SUMIFS('Istoric_Nativ'!$H$6:$H$405,'Istoric_Nativ'!$B$6:$B$405,E140,'Istoric_Nativ'!$C$6:$C$405,F140,'Istoric_Nativ'!$E$6:$E$405,G140,'Istoric_Nativ'!$D$6:$D$405,"&lt;"&amp;J140,'Istoric_Nativ'!$P$6:$P$405,1,'Istoric_Nativ'!$D$6:$D$405,"&gt;="&amp;L140),IF(H140="AWAY",SUMIFS('Istoric_Nativ'!$G$6:$G$405,'Istoric_Nativ'!$B$6:$B$405,E140,'Istoric_Nativ'!$C$6:$C$405,F140,'Istoric_Nativ'!$F$6:$F$405,G140,'Istoric_Nativ'!$D$6:$D$405,"&lt;"&amp;J140,'Istoric_Nativ'!$P$6:$P$405,1,'Istoric_Nativ'!$D$6:$D$405,"&gt;="&amp;L140),SUMIFS('Istoric_Nativ'!$H$6:$H$405,'Istoric_Nativ'!$B$6:$B$405,E140,'Istoric_Nativ'!$C$6:$C$405,F140,'Istoric_Nativ'!$E$6:$E$405,G140,'Istoric_Nativ'!$D$6:$D$405,"&lt;"&amp;J140,'Istoric_Nativ'!$P$6:$P$405,1,'Istoric_Nativ'!$D$6:$D$405,"&gt;="&amp;L140)+SUMIFS('Istoric_Nativ'!$G$6:$G$405,'Istoric_Nativ'!$B$6:$B$405,E140,'Istoric_Nativ'!$C$6:$C$405,F140,'Istoric_Nativ'!$F$6:$F$405,G140,'Istoric_Nativ'!$D$6:$D$405,"&lt;"&amp;J140,'Istoric_Nativ'!$P$6:$P$405,1,'Istoric_Nativ'!$D$6:$D$405,"&gt;="&amp;L140)))/M140)</x:f>
      </x:c>
      <x:c r="P140" s="2" t="n">
        <x:f>'Config_v6'!$B$9</x:f>
        <x:v>3</x:v>
      </x:c>
      <x:c r="Q140" s="2" t="n">
        <x:f>IF(OR(B140="",F140=""),0,IFERROR(MATCH(E140&amp;"|"&amp;F140,SourceTable[Source_Key],0),0))</x:f>
        <x:v>0</x:v>
      </x:c>
      <x:c r="R140" s="2" t="str">
        <x:f>IF(B140="","",IF(F140="","UNUSED",IF(Q140=0,"NOT CHECKED",IF(COUNTIF(SourceTable[Source_Key],E140&amp;"|"&amp;F140)&lt;&gt;1,"SOURCE CONFLICT",IF(NOT(OR(INDEX(SourceTable[Status],MAX(1,Q140))="IMPORTED",INDEX(SourceTable[Status],MAX(1,Q140))="PARTIAL",INDEX(SourceTable[Status],MAX(1,Q140))="SOURCE CONFLICT")),"ACCESS BLOCKED",IF(OR(INDEX(SourceTable[Coverage],Q140)&lt;&gt;"FULL SEASON EXPORT",INDEX(SourceTable[URL],Q140)="",INDEX(SourceTable[SHA256],Q140)=""),"EVIDENCE INCOMPLETE",IF(AND('Input_Meci'!H17="LIVE",INDEX(SourceTable[Retrieved_UTC],Q140)&gt;'Input_Meci'!G17),"POST CUTOFF","CLOSED")))))))</x:f>
      </x:c>
      <x:c r="S140" s="2" t="n">
        <x:f>IF(OR(B140="",F140=""),0,COUNTIFS('Istoric_Nativ'!$B$6:$B$405,E140,'Istoric_Nativ'!$C$6:$C$405,F140,'Istoric_Nativ'!$E$6:$E$405,G140,'Istoric_Nativ'!$D$6:$D$405,"&lt;"&amp;J140,'Istoric_Nativ'!$O$6:$O$405,"INVALID")+COUNTIFS('Istoric_Nativ'!$B$6:$B$405,E140,'Istoric_Nativ'!$C$6:$C$405,F140,'Istoric_Nativ'!$E$6:$E$405,G140,'Istoric_Nativ'!$O$6:$O$405,"INVALID",'Istoric_Nativ'!$D$6:$D$405,"*")+COUNTIFS('Istoric_Nativ'!$B$6:$B$405,E140,'Istoric_Nativ'!$C$6:$C$405,F140,'Istoric_Nativ'!$E$6:$E$405,G140,'Istoric_Nativ'!$D$6:$D$405,"&lt;"&amp;J140,'Istoric_Nativ'!$O$6:$O$405,"SOURCE CONFLICT")+COUNTIFS('Istoric_Nativ'!$B$6:$B$405,E140,'Istoric_Nativ'!$C$6:$C$405,F140,'Istoric_Nativ'!$F$6:$F$405,G140,'Istoric_Nativ'!$D$6:$D$405,"&lt;"&amp;J140,'Istoric_Nativ'!$O$6:$O$405,"INVALID")+COUNTIFS('Istoric_Nativ'!$B$6:$B$405,E140,'Istoric_Nativ'!$C$6:$C$405,F140,'Istoric_Nativ'!$F$6:$F$405,G140,'Istoric_Nativ'!$O$6:$O$405,"INVALID",'Istoric_Nativ'!$D$6:$D$405,"*")+COUNTIFS('Istoric_Nativ'!$B$6:$B$405,E140,'Istoric_Nativ'!$C$6:$C$405,F140,'Istoric_Nativ'!$F$6:$F$405,G140,'Istoric_Nativ'!$D$6:$D$405,"&lt;"&amp;J140,'Istoric_Nativ'!$O$6:$O$405,"SOURCE CONFLICT"))</x:f>
        <x:v>0</x:v>
      </x:c>
      <x:c r="T140" s="2" t="str">
        <x:f>IF(B140="","",IF(R140&lt;&gt;"CLOSED",R140,IF(S140&gt;0,"NATIVE INPUT ISSUE",IF(M140=0,"NO HISTORY",IF(M140&lt;P140,"SMALL SAMPLE","DERIVED")))))</x:f>
      </x:c>
      <x:c r="U140" s="2" t="str">
        <x:f>IF(B140="","","NativeTable; "&amp;E140&amp;"; "&amp;F140&amp;"; "&amp;G140&amp;"; "&amp;H140&amp;"; before "&amp;TEXT(J140,"yyyy-mm-dd")&amp;IF(I140="RECENT","; from "&amp;TEXT(L140,"yyyy-mm-dd"),""))</x:f>
      </x:c>
    </x:row>
    <x:row r="141" ht="21" customHeight="1">
      <x:c r="A141" s="2" t="n">
        <x:v>12</x:v>
      </x:c>
      <x:c r="B141" s="2" t="str">
        <x:f>IF('Input_Meci'!A17="","",'Input_Meci'!A17)</x:f>
      </x:c>
      <x:c r="C141" s="2" t="str">
        <x:v>A</x:v>
      </x:c>
      <x:c r="D141" s="2" t="str">
        <x:v>CURRENT</x:v>
      </x:c>
      <x:c r="E141" s="2" t="str">
        <x:f>IF(B141="","",'Input_Meci'!B17)</x:f>
      </x:c>
      <x:c r="F141" s="2" t="str">
        <x:f>IF(B141="","",IF('Input_Meci'!C17="","",'Input_Meci'!C17))</x:f>
      </x:c>
      <x:c r="G141" s="2" t="str">
        <x:f>IF(B141="","",'Input_Meci'!E17)</x:f>
      </x:c>
      <x:c r="H141" s="2" t="str">
        <x:v>ANY</x:v>
      </x:c>
      <x:c r="I141" s="2" t="str">
        <x:v>SEASON</x:v>
      </x:c>
      <x:c r="J141" s="9" t="n">
        <x:f>IF(AND(B141&lt;&gt;"",ISNUMBER('Input_Meci'!G17)),INT('Input_Meci'!G17),0)</x:f>
        <x:v>0</x:v>
      </x:c>
      <x:c r="K141" s="2" t="n">
        <x:f>IF(OR(B141="",F141=""),0,IF(H141="HOME",COUNTIFS('Istoric_Nativ'!$B$6:$B$405,E141,'Istoric_Nativ'!$C$6:$C$405,F141,'Istoric_Nativ'!$E$6:$E$405,G141,'Istoric_Nativ'!$D$6:$D$405,"&lt;"&amp;J141,'Istoric_Nativ'!$P$6:$P$405,1),IF(H141="AWAY",COUNTIFS('Istoric_Nativ'!$B$6:$B$405,E141,'Istoric_Nativ'!$C$6:$C$405,F141,'Istoric_Nativ'!$F$6:$F$405,G141,'Istoric_Nativ'!$D$6:$D$405,"&lt;"&amp;J141,'Istoric_Nativ'!$P$6:$P$405,1),COUNTIFS('Istoric_Nativ'!$B$6:$B$405,E141,'Istoric_Nativ'!$C$6:$C$405,F141,'Istoric_Nativ'!$E$6:$E$405,G141,'Istoric_Nativ'!$D$6:$D$405,"&lt;"&amp;J141,'Istoric_Nativ'!$P$6:$P$405,1)+COUNTIFS('Istoric_Nativ'!$B$6:$B$405,E141,'Istoric_Nativ'!$C$6:$C$405,F141,'Istoric_Nativ'!$F$6:$F$405,G141,'Istoric_Nativ'!$D$6:$D$405,"&lt;"&amp;J141,'Istoric_Nativ'!$P$6:$P$405,1))))</x:f>
        <x:v>0</x:v>
      </x:c>
      <x:c r="L141" s="17" t="n">
        <x:f>IF(AND(B141&lt;&gt;"",I141="RECENT",K141&gt;0),LARGE(_xlfn._xlws.FILTER('Istoric_Nativ'!$D$6:$D$405,('Istoric_Nativ'!$B$6:$B$405=E141)*('Istoric_Nativ'!$C$6:$C$405=F141)*('Istoric_Nativ'!$P$6:$P$405=1)*('Istoric_Nativ'!$D$6:$D$405&lt;J141)*((('Istoric_Nativ'!$E$6:$E$405=G141)+('Istoric_Nativ'!$F$6:$F$405=G141))&gt;0)),MIN('Config_v6'!$B$54,K141)),0)</x:f>
        <x:v>0</x:v>
      </x:c>
      <x:c r="M141" s="2" t="n">
        <x:f>IF(OR(B141="",F141=""),0,IF(H141="HOME",COUNTIFS('Istoric_Nativ'!$B$6:$B$405,E141,'Istoric_Nativ'!$C$6:$C$405,F141,'Istoric_Nativ'!$E$6:$E$405,G141,'Istoric_Nativ'!$D$6:$D$405,"&lt;"&amp;J141,'Istoric_Nativ'!$P$6:$P$405,1,'Istoric_Nativ'!$D$6:$D$405,"&gt;="&amp;L141),IF(H141="AWAY",COUNTIFS('Istoric_Nativ'!$B$6:$B$405,E141,'Istoric_Nativ'!$C$6:$C$405,F141,'Istoric_Nativ'!$F$6:$F$405,G141,'Istoric_Nativ'!$D$6:$D$405,"&lt;"&amp;J141,'Istoric_Nativ'!$P$6:$P$405,1,'Istoric_Nativ'!$D$6:$D$405,"&gt;="&amp;L141),COUNTIFS('Istoric_Nativ'!$B$6:$B$405,E141,'Istoric_Nativ'!$C$6:$C$405,F141,'Istoric_Nativ'!$E$6:$E$405,G141,'Istoric_Nativ'!$D$6:$D$405,"&lt;"&amp;J141,'Istoric_Nativ'!$P$6:$P$405,1,'Istoric_Nativ'!$D$6:$D$405,"&gt;="&amp;L141)+COUNTIFS('Istoric_Nativ'!$B$6:$B$405,E141,'Istoric_Nativ'!$C$6:$C$405,F141,'Istoric_Nativ'!$F$6:$F$405,G141,'Istoric_Nativ'!$D$6:$D$405,"&lt;"&amp;J141,'Istoric_Nativ'!$P$6:$P$405,1,'Istoric_Nativ'!$D$6:$D$405,"&gt;="&amp;L141))))</x:f>
        <x:v>0</x:v>
      </x:c>
      <x:c r="N141" s="11" t="str">
        <x:f>IF(M141=0,"",IF(H141="HOME",SUMIFS('Istoric_Nativ'!$G$6:$G$405,'Istoric_Nativ'!$B$6:$B$405,E141,'Istoric_Nativ'!$C$6:$C$405,F141,'Istoric_Nativ'!$E$6:$E$405,G141,'Istoric_Nativ'!$D$6:$D$405,"&lt;"&amp;J141,'Istoric_Nativ'!$P$6:$P$405,1,'Istoric_Nativ'!$D$6:$D$405,"&gt;="&amp;L141),IF(H141="AWAY",SUMIFS('Istoric_Nativ'!$H$6:$H$405,'Istoric_Nativ'!$B$6:$B$405,E141,'Istoric_Nativ'!$C$6:$C$405,F141,'Istoric_Nativ'!$F$6:$F$405,G141,'Istoric_Nativ'!$D$6:$D$405,"&lt;"&amp;J141,'Istoric_Nativ'!$P$6:$P$405,1,'Istoric_Nativ'!$D$6:$D$405,"&gt;="&amp;L141),SUMIFS('Istoric_Nativ'!$G$6:$G$405,'Istoric_Nativ'!$B$6:$B$405,E141,'Istoric_Nativ'!$C$6:$C$405,F141,'Istoric_Nativ'!$E$6:$E$405,G141,'Istoric_Nativ'!$D$6:$D$405,"&lt;"&amp;J141,'Istoric_Nativ'!$P$6:$P$405,1,'Istoric_Nativ'!$D$6:$D$405,"&gt;="&amp;L141)+SUMIFS('Istoric_Nativ'!$H$6:$H$405,'Istoric_Nativ'!$B$6:$B$405,E141,'Istoric_Nativ'!$C$6:$C$405,F141,'Istoric_Nativ'!$F$6:$F$405,G141,'Istoric_Nativ'!$D$6:$D$405,"&lt;"&amp;J141,'Istoric_Nativ'!$P$6:$P$405,1,'Istoric_Nativ'!$D$6:$D$405,"&gt;="&amp;L141)))/M141)</x:f>
      </x:c>
      <x:c r="O141" s="11" t="str">
        <x:f>IF(M141=0,"",IF(H141="HOME",SUMIFS('Istoric_Nativ'!$H$6:$H$405,'Istoric_Nativ'!$B$6:$B$405,E141,'Istoric_Nativ'!$C$6:$C$405,F141,'Istoric_Nativ'!$E$6:$E$405,G141,'Istoric_Nativ'!$D$6:$D$405,"&lt;"&amp;J141,'Istoric_Nativ'!$P$6:$P$405,1,'Istoric_Nativ'!$D$6:$D$405,"&gt;="&amp;L141),IF(H141="AWAY",SUMIFS('Istoric_Nativ'!$G$6:$G$405,'Istoric_Nativ'!$B$6:$B$405,E141,'Istoric_Nativ'!$C$6:$C$405,F141,'Istoric_Nativ'!$F$6:$F$405,G141,'Istoric_Nativ'!$D$6:$D$405,"&lt;"&amp;J141,'Istoric_Nativ'!$P$6:$P$405,1,'Istoric_Nativ'!$D$6:$D$405,"&gt;="&amp;L141),SUMIFS('Istoric_Nativ'!$H$6:$H$405,'Istoric_Nativ'!$B$6:$B$405,E141,'Istoric_Nativ'!$C$6:$C$405,F141,'Istoric_Nativ'!$E$6:$E$405,G141,'Istoric_Nativ'!$D$6:$D$405,"&lt;"&amp;J141,'Istoric_Nativ'!$P$6:$P$405,1,'Istoric_Nativ'!$D$6:$D$405,"&gt;="&amp;L141)+SUMIFS('Istoric_Nativ'!$G$6:$G$405,'Istoric_Nativ'!$B$6:$B$405,E141,'Istoric_Nativ'!$C$6:$C$405,F141,'Istoric_Nativ'!$F$6:$F$405,G141,'Istoric_Nativ'!$D$6:$D$405,"&lt;"&amp;J141,'Istoric_Nativ'!$P$6:$P$405,1,'Istoric_Nativ'!$D$6:$D$405,"&gt;="&amp;L141)))/M141)</x:f>
      </x:c>
      <x:c r="P141" s="2" t="n">
        <x:f>'Config_v6'!$B$7</x:f>
        <x:v>10</x:v>
      </x:c>
      <x:c r="Q141" s="2" t="n">
        <x:f>IF(OR(B141="",F141=""),0,IFERROR(MATCH(E141&amp;"|"&amp;F141,SourceTable[Source_Key],0),0))</x:f>
        <x:v>0</x:v>
      </x:c>
      <x:c r="R141" s="2" t="str">
        <x:f>IF(B141="","",IF(F141="","UNUSED",IF(Q141=0,"NOT CHECKED",IF(COUNTIF(SourceTable[Source_Key],E141&amp;"|"&amp;F141)&lt;&gt;1,"SOURCE CONFLICT",IF(NOT(OR(INDEX(SourceTable[Status],MAX(1,Q141))="IMPORTED",INDEX(SourceTable[Status],MAX(1,Q141))="PARTIAL",INDEX(SourceTable[Status],MAX(1,Q141))="SOURCE CONFLICT")),"ACCESS BLOCKED",IF(OR(INDEX(SourceTable[Coverage],Q141)&lt;&gt;"FULL SEASON EXPORT",INDEX(SourceTable[URL],Q141)="",INDEX(SourceTable[SHA256],Q141)=""),"EVIDENCE INCOMPLETE",IF(AND('Input_Meci'!H17="LIVE",INDEX(SourceTable[Retrieved_UTC],Q141)&gt;'Input_Meci'!G17),"POST CUTOFF","CLOSED")))))))</x:f>
      </x:c>
      <x:c r="S141" s="2" t="n">
        <x:f>IF(OR(B141="",F141=""),0,COUNTIFS('Istoric_Nativ'!$B$6:$B$405,E141,'Istoric_Nativ'!$C$6:$C$405,F141,'Istoric_Nativ'!$E$6:$E$405,G141,'Istoric_Nativ'!$D$6:$D$405,"&lt;"&amp;J141,'Istoric_Nativ'!$O$6:$O$405,"INVALID")+COUNTIFS('Istoric_Nativ'!$B$6:$B$405,E141,'Istoric_Nativ'!$C$6:$C$405,F141,'Istoric_Nativ'!$E$6:$E$405,G141,'Istoric_Nativ'!$O$6:$O$405,"INVALID",'Istoric_Nativ'!$D$6:$D$405,"*")+COUNTIFS('Istoric_Nativ'!$B$6:$B$405,E141,'Istoric_Nativ'!$C$6:$C$405,F141,'Istoric_Nativ'!$E$6:$E$405,G141,'Istoric_Nativ'!$D$6:$D$405,"&lt;"&amp;J141,'Istoric_Nativ'!$O$6:$O$405,"SOURCE CONFLICT")+COUNTIFS('Istoric_Nativ'!$B$6:$B$405,E141,'Istoric_Nativ'!$C$6:$C$405,F141,'Istoric_Nativ'!$F$6:$F$405,G141,'Istoric_Nativ'!$D$6:$D$405,"&lt;"&amp;J141,'Istoric_Nativ'!$O$6:$O$405,"INVALID")+COUNTIFS('Istoric_Nativ'!$B$6:$B$405,E141,'Istoric_Nativ'!$C$6:$C$405,F141,'Istoric_Nativ'!$F$6:$F$405,G141,'Istoric_Nativ'!$O$6:$O$405,"INVALID",'Istoric_Nativ'!$D$6:$D$405,"*")+COUNTIFS('Istoric_Nativ'!$B$6:$B$405,E141,'Istoric_Nativ'!$C$6:$C$405,F141,'Istoric_Nativ'!$F$6:$F$405,G141,'Istoric_Nativ'!$D$6:$D$405,"&lt;"&amp;J141,'Istoric_Nativ'!$O$6:$O$405,"SOURCE CONFLICT"))</x:f>
        <x:v>0</x:v>
      </x:c>
      <x:c r="T141" s="2" t="str">
        <x:f>IF(B141="","",IF(R141&lt;&gt;"CLOSED",R141,IF(S141&gt;0,"NATIVE INPUT ISSUE",IF(M141=0,"NO HISTORY",IF(M141&lt;P141,"SMALL SAMPLE","DERIVED")))))</x:f>
      </x:c>
      <x:c r="U141" s="2" t="str">
        <x:f>IF(B141="","","NativeTable; "&amp;E141&amp;"; "&amp;F141&amp;"; "&amp;G141&amp;"; "&amp;H141&amp;"; before "&amp;TEXT(J141,"yyyy-mm-dd")&amp;IF(I141="RECENT","; from "&amp;TEXT(L141,"yyyy-mm-dd"),""))</x:f>
      </x:c>
    </x:row>
    <x:row r="142" ht="21" customHeight="1">
      <x:c r="A142" s="2" t="n">
        <x:v>12</x:v>
      </x:c>
      <x:c r="B142" s="2" t="str">
        <x:f>IF('Input_Meci'!A17="","",'Input_Meci'!A17)</x:f>
      </x:c>
      <x:c r="C142" s="2" t="str">
        <x:v>A</x:v>
      </x:c>
      <x:c r="D142" s="2" t="str">
        <x:v>CURRENT</x:v>
      </x:c>
      <x:c r="E142" s="2" t="str">
        <x:f>IF(B142="","",'Input_Meci'!B17)</x:f>
      </x:c>
      <x:c r="F142" s="2" t="str">
        <x:f>IF(B142="","",IF('Input_Meci'!C17="","",'Input_Meci'!C17))</x:f>
      </x:c>
      <x:c r="G142" s="2" t="str">
        <x:f>IF(B142="","",'Input_Meci'!E17)</x:f>
      </x:c>
      <x:c r="H142" s="2" t="str">
        <x:v>AWAY</x:v>
      </x:c>
      <x:c r="I142" s="2" t="str">
        <x:v>HA</x:v>
      </x:c>
      <x:c r="J142" s="9" t="n">
        <x:f>IF(AND(B142&lt;&gt;"",ISNUMBER('Input_Meci'!G17)),INT('Input_Meci'!G17),0)</x:f>
        <x:v>0</x:v>
      </x:c>
      <x:c r="K142" s="2" t="n">
        <x:f>IF(OR(B142="",F142=""),0,IF(H142="HOME",COUNTIFS('Istoric_Nativ'!$B$6:$B$405,E142,'Istoric_Nativ'!$C$6:$C$405,F142,'Istoric_Nativ'!$E$6:$E$405,G142,'Istoric_Nativ'!$D$6:$D$405,"&lt;"&amp;J142,'Istoric_Nativ'!$P$6:$P$405,1),IF(H142="AWAY",COUNTIFS('Istoric_Nativ'!$B$6:$B$405,E142,'Istoric_Nativ'!$C$6:$C$405,F142,'Istoric_Nativ'!$F$6:$F$405,G142,'Istoric_Nativ'!$D$6:$D$405,"&lt;"&amp;J142,'Istoric_Nativ'!$P$6:$P$405,1),COUNTIFS('Istoric_Nativ'!$B$6:$B$405,E142,'Istoric_Nativ'!$C$6:$C$405,F142,'Istoric_Nativ'!$E$6:$E$405,G142,'Istoric_Nativ'!$D$6:$D$405,"&lt;"&amp;J142,'Istoric_Nativ'!$P$6:$P$405,1)+COUNTIFS('Istoric_Nativ'!$B$6:$B$405,E142,'Istoric_Nativ'!$C$6:$C$405,F142,'Istoric_Nativ'!$F$6:$F$405,G142,'Istoric_Nativ'!$D$6:$D$405,"&lt;"&amp;J142,'Istoric_Nativ'!$P$6:$P$405,1))))</x:f>
        <x:v>0</x:v>
      </x:c>
      <x:c r="L142" s="17" t="n">
        <x:f>IF(AND(B142&lt;&gt;"",I142="RECENT",K142&gt;0),LARGE(_xlfn._xlws.FILTER('Istoric_Nativ'!$D$6:$D$405,('Istoric_Nativ'!$B$6:$B$405=E142)*('Istoric_Nativ'!$C$6:$C$405=F142)*('Istoric_Nativ'!$P$6:$P$405=1)*('Istoric_Nativ'!$D$6:$D$405&lt;J142)*((('Istoric_Nativ'!$E$6:$E$405=G142)+('Istoric_Nativ'!$F$6:$F$405=G142))&gt;0)),MIN('Config_v6'!$B$54,K142)),0)</x:f>
        <x:v>0</x:v>
      </x:c>
      <x:c r="M142" s="2" t="n">
        <x:f>IF(OR(B142="",F142=""),0,IF(H142="HOME",COUNTIFS('Istoric_Nativ'!$B$6:$B$405,E142,'Istoric_Nativ'!$C$6:$C$405,F142,'Istoric_Nativ'!$E$6:$E$405,G142,'Istoric_Nativ'!$D$6:$D$405,"&lt;"&amp;J142,'Istoric_Nativ'!$P$6:$P$405,1,'Istoric_Nativ'!$D$6:$D$405,"&gt;="&amp;L142),IF(H142="AWAY",COUNTIFS('Istoric_Nativ'!$B$6:$B$405,E142,'Istoric_Nativ'!$C$6:$C$405,F142,'Istoric_Nativ'!$F$6:$F$405,G142,'Istoric_Nativ'!$D$6:$D$405,"&lt;"&amp;J142,'Istoric_Nativ'!$P$6:$P$405,1,'Istoric_Nativ'!$D$6:$D$405,"&gt;="&amp;L142),COUNTIFS('Istoric_Nativ'!$B$6:$B$405,E142,'Istoric_Nativ'!$C$6:$C$405,F142,'Istoric_Nativ'!$E$6:$E$405,G142,'Istoric_Nativ'!$D$6:$D$405,"&lt;"&amp;J142,'Istoric_Nativ'!$P$6:$P$405,1,'Istoric_Nativ'!$D$6:$D$405,"&gt;="&amp;L142)+COUNTIFS('Istoric_Nativ'!$B$6:$B$405,E142,'Istoric_Nativ'!$C$6:$C$405,F142,'Istoric_Nativ'!$F$6:$F$405,G142,'Istoric_Nativ'!$D$6:$D$405,"&lt;"&amp;J142,'Istoric_Nativ'!$P$6:$P$405,1,'Istoric_Nativ'!$D$6:$D$405,"&gt;="&amp;L142))))</x:f>
        <x:v>0</x:v>
      </x:c>
      <x:c r="N142" s="11" t="str">
        <x:f>IF(M142=0,"",IF(H142="HOME",SUMIFS('Istoric_Nativ'!$G$6:$G$405,'Istoric_Nativ'!$B$6:$B$405,E142,'Istoric_Nativ'!$C$6:$C$405,F142,'Istoric_Nativ'!$E$6:$E$405,G142,'Istoric_Nativ'!$D$6:$D$405,"&lt;"&amp;J142,'Istoric_Nativ'!$P$6:$P$405,1,'Istoric_Nativ'!$D$6:$D$405,"&gt;="&amp;L142),IF(H142="AWAY",SUMIFS('Istoric_Nativ'!$H$6:$H$405,'Istoric_Nativ'!$B$6:$B$405,E142,'Istoric_Nativ'!$C$6:$C$405,F142,'Istoric_Nativ'!$F$6:$F$405,G142,'Istoric_Nativ'!$D$6:$D$405,"&lt;"&amp;J142,'Istoric_Nativ'!$P$6:$P$405,1,'Istoric_Nativ'!$D$6:$D$405,"&gt;="&amp;L142),SUMIFS('Istoric_Nativ'!$G$6:$G$405,'Istoric_Nativ'!$B$6:$B$405,E142,'Istoric_Nativ'!$C$6:$C$405,F142,'Istoric_Nativ'!$E$6:$E$405,G142,'Istoric_Nativ'!$D$6:$D$405,"&lt;"&amp;J142,'Istoric_Nativ'!$P$6:$P$405,1,'Istoric_Nativ'!$D$6:$D$405,"&gt;="&amp;L142)+SUMIFS('Istoric_Nativ'!$H$6:$H$405,'Istoric_Nativ'!$B$6:$B$405,E142,'Istoric_Nativ'!$C$6:$C$405,F142,'Istoric_Nativ'!$F$6:$F$405,G142,'Istoric_Nativ'!$D$6:$D$405,"&lt;"&amp;J142,'Istoric_Nativ'!$P$6:$P$405,1,'Istoric_Nativ'!$D$6:$D$405,"&gt;="&amp;L142)))/M142)</x:f>
      </x:c>
      <x:c r="O142" s="11" t="str">
        <x:f>IF(M142=0,"",IF(H142="HOME",SUMIFS('Istoric_Nativ'!$H$6:$H$405,'Istoric_Nativ'!$B$6:$B$405,E142,'Istoric_Nativ'!$C$6:$C$405,F142,'Istoric_Nativ'!$E$6:$E$405,G142,'Istoric_Nativ'!$D$6:$D$405,"&lt;"&amp;J142,'Istoric_Nativ'!$P$6:$P$405,1,'Istoric_Nativ'!$D$6:$D$405,"&gt;="&amp;L142),IF(H142="AWAY",SUMIFS('Istoric_Nativ'!$G$6:$G$405,'Istoric_Nativ'!$B$6:$B$405,E142,'Istoric_Nativ'!$C$6:$C$405,F142,'Istoric_Nativ'!$F$6:$F$405,G142,'Istoric_Nativ'!$D$6:$D$405,"&lt;"&amp;J142,'Istoric_Nativ'!$P$6:$P$405,1,'Istoric_Nativ'!$D$6:$D$405,"&gt;="&amp;L142),SUMIFS('Istoric_Nativ'!$H$6:$H$405,'Istoric_Nativ'!$B$6:$B$405,E142,'Istoric_Nativ'!$C$6:$C$405,F142,'Istoric_Nativ'!$E$6:$E$405,G142,'Istoric_Nativ'!$D$6:$D$405,"&lt;"&amp;J142,'Istoric_Nativ'!$P$6:$P$405,1,'Istoric_Nativ'!$D$6:$D$405,"&gt;="&amp;L142)+SUMIFS('Istoric_Nativ'!$G$6:$G$405,'Istoric_Nativ'!$B$6:$B$405,E142,'Istoric_Nativ'!$C$6:$C$405,F142,'Istoric_Nativ'!$F$6:$F$405,G142,'Istoric_Nativ'!$D$6:$D$405,"&lt;"&amp;J142,'Istoric_Nativ'!$P$6:$P$405,1,'Istoric_Nativ'!$D$6:$D$405,"&gt;="&amp;L142)))/M142)</x:f>
      </x:c>
      <x:c r="P142" s="2" t="n">
        <x:f>'Config_v6'!$B$8</x:f>
        <x:v>5</x:v>
      </x:c>
      <x:c r="Q142" s="2" t="n">
        <x:f>IF(OR(B142="",F142=""),0,IFERROR(MATCH(E142&amp;"|"&amp;F142,SourceTable[Source_Key],0),0))</x:f>
        <x:v>0</x:v>
      </x:c>
      <x:c r="R142" s="2" t="str">
        <x:f>IF(B142="","",IF(F142="","UNUSED",IF(Q142=0,"NOT CHECKED",IF(COUNTIF(SourceTable[Source_Key],E142&amp;"|"&amp;F142)&lt;&gt;1,"SOURCE CONFLICT",IF(NOT(OR(INDEX(SourceTable[Status],MAX(1,Q142))="IMPORTED",INDEX(SourceTable[Status],MAX(1,Q142))="PARTIAL",INDEX(SourceTable[Status],MAX(1,Q142))="SOURCE CONFLICT")),"ACCESS BLOCKED",IF(OR(INDEX(SourceTable[Coverage],Q142)&lt;&gt;"FULL SEASON EXPORT",INDEX(SourceTable[URL],Q142)="",INDEX(SourceTable[SHA256],Q142)=""),"EVIDENCE INCOMPLETE",IF(AND('Input_Meci'!H17="LIVE",INDEX(SourceTable[Retrieved_UTC],Q142)&gt;'Input_Meci'!G17),"POST CUTOFF","CLOSED")))))))</x:f>
      </x:c>
      <x:c r="S142" s="2" t="n">
        <x:f>IF(OR(B142="",F142=""),0,COUNTIFS('Istoric_Nativ'!$B$6:$B$405,E142,'Istoric_Nativ'!$C$6:$C$405,F142,'Istoric_Nativ'!$E$6:$E$405,G142,'Istoric_Nativ'!$D$6:$D$405,"&lt;"&amp;J142,'Istoric_Nativ'!$O$6:$O$405,"INVALID")+COUNTIFS('Istoric_Nativ'!$B$6:$B$405,E142,'Istoric_Nativ'!$C$6:$C$405,F142,'Istoric_Nativ'!$E$6:$E$405,G142,'Istoric_Nativ'!$O$6:$O$405,"INVALID",'Istoric_Nativ'!$D$6:$D$405,"*")+COUNTIFS('Istoric_Nativ'!$B$6:$B$405,E142,'Istoric_Nativ'!$C$6:$C$405,F142,'Istoric_Nativ'!$E$6:$E$405,G142,'Istoric_Nativ'!$D$6:$D$405,"&lt;"&amp;J142,'Istoric_Nativ'!$O$6:$O$405,"SOURCE CONFLICT")+COUNTIFS('Istoric_Nativ'!$B$6:$B$405,E142,'Istoric_Nativ'!$C$6:$C$405,F142,'Istoric_Nativ'!$F$6:$F$405,G142,'Istoric_Nativ'!$D$6:$D$405,"&lt;"&amp;J142,'Istoric_Nativ'!$O$6:$O$405,"INVALID")+COUNTIFS('Istoric_Nativ'!$B$6:$B$405,E142,'Istoric_Nativ'!$C$6:$C$405,F142,'Istoric_Nativ'!$F$6:$F$405,G142,'Istoric_Nativ'!$O$6:$O$405,"INVALID",'Istoric_Nativ'!$D$6:$D$405,"*")+COUNTIFS('Istoric_Nativ'!$B$6:$B$405,E142,'Istoric_Nativ'!$C$6:$C$405,F142,'Istoric_Nativ'!$F$6:$F$405,G142,'Istoric_Nativ'!$D$6:$D$405,"&lt;"&amp;J142,'Istoric_Nativ'!$O$6:$O$405,"SOURCE CONFLICT"))</x:f>
        <x:v>0</x:v>
      </x:c>
      <x:c r="T142" s="2" t="str">
        <x:f>IF(B142="","",IF(R142&lt;&gt;"CLOSED",R142,IF(S142&gt;0,"NATIVE INPUT ISSUE",IF(M142=0,"NO HISTORY",IF(M142&lt;P142,"SMALL SAMPLE","DERIVED")))))</x:f>
      </x:c>
      <x:c r="U142" s="2" t="str">
        <x:f>IF(B142="","","NativeTable; "&amp;E142&amp;"; "&amp;F142&amp;"; "&amp;G142&amp;"; "&amp;H142&amp;"; before "&amp;TEXT(J142,"yyyy-mm-dd")&amp;IF(I142="RECENT","; from "&amp;TEXT(L142,"yyyy-mm-dd"),""))</x:f>
      </x:c>
    </x:row>
    <x:row r="143" ht="21" customHeight="1">
      <x:c r="A143" s="2" t="n">
        <x:v>12</x:v>
      </x:c>
      <x:c r="B143" s="2" t="str">
        <x:f>IF('Input_Meci'!A17="","",'Input_Meci'!A17)</x:f>
      </x:c>
      <x:c r="C143" s="2" t="str">
        <x:v>A</x:v>
      </x:c>
      <x:c r="D143" s="2" t="str">
        <x:v>CURRENT</x:v>
      </x:c>
      <x:c r="E143" s="2" t="str">
        <x:f>IF(B143="","",'Input_Meci'!B17)</x:f>
      </x:c>
      <x:c r="F143" s="2" t="str">
        <x:f>IF(B143="","",IF('Input_Meci'!C17="","",'Input_Meci'!C17))</x:f>
      </x:c>
      <x:c r="G143" s="2" t="str">
        <x:f>IF(B143="","",'Input_Meci'!E17)</x:f>
      </x:c>
      <x:c r="H143" s="2" t="str">
        <x:v>ANY</x:v>
      </x:c>
      <x:c r="I143" s="2" t="str">
        <x:v>RECENT</x:v>
      </x:c>
      <x:c r="J143" s="9" t="n">
        <x:f>IF(AND(B143&lt;&gt;"",ISNUMBER('Input_Meci'!G17)),INT('Input_Meci'!G17),0)</x:f>
        <x:v>0</x:v>
      </x:c>
      <x:c r="K143" s="2" t="n">
        <x:f>IF(OR(B143="",F143=""),0,IF(H143="HOME",COUNTIFS('Istoric_Nativ'!$B$6:$B$405,E143,'Istoric_Nativ'!$C$6:$C$405,F143,'Istoric_Nativ'!$E$6:$E$405,G143,'Istoric_Nativ'!$D$6:$D$405,"&lt;"&amp;J143,'Istoric_Nativ'!$P$6:$P$405,1),IF(H143="AWAY",COUNTIFS('Istoric_Nativ'!$B$6:$B$405,E143,'Istoric_Nativ'!$C$6:$C$405,F143,'Istoric_Nativ'!$F$6:$F$405,G143,'Istoric_Nativ'!$D$6:$D$405,"&lt;"&amp;J143,'Istoric_Nativ'!$P$6:$P$405,1),COUNTIFS('Istoric_Nativ'!$B$6:$B$405,E143,'Istoric_Nativ'!$C$6:$C$405,F143,'Istoric_Nativ'!$E$6:$E$405,G143,'Istoric_Nativ'!$D$6:$D$405,"&lt;"&amp;J143,'Istoric_Nativ'!$P$6:$P$405,1)+COUNTIFS('Istoric_Nativ'!$B$6:$B$405,E143,'Istoric_Nativ'!$C$6:$C$405,F143,'Istoric_Nativ'!$F$6:$F$405,G143,'Istoric_Nativ'!$D$6:$D$405,"&lt;"&amp;J143,'Istoric_Nativ'!$P$6:$P$405,1))))</x:f>
        <x:v>0</x:v>
      </x:c>
      <x:c r="L143" s="17" t="n">
        <x:f>IF(AND(B143&lt;&gt;"",I143="RECENT",K143&gt;0),LARGE(_xlfn._xlws.FILTER('Istoric_Nativ'!$D$6:$D$405,('Istoric_Nativ'!$B$6:$B$405=E143)*('Istoric_Nativ'!$C$6:$C$405=F143)*('Istoric_Nativ'!$P$6:$P$405=1)*('Istoric_Nativ'!$D$6:$D$405&lt;J143)*((('Istoric_Nativ'!$E$6:$E$405=G143)+('Istoric_Nativ'!$F$6:$F$405=G143))&gt;0)),MIN('Config_v6'!$B$54,K143)),0)</x:f>
        <x:v>0</x:v>
      </x:c>
      <x:c r="M143" s="2" t="n">
        <x:f>IF(OR(B143="",F143=""),0,IF(H143="HOME",COUNTIFS('Istoric_Nativ'!$B$6:$B$405,E143,'Istoric_Nativ'!$C$6:$C$405,F143,'Istoric_Nativ'!$E$6:$E$405,G143,'Istoric_Nativ'!$D$6:$D$405,"&lt;"&amp;J143,'Istoric_Nativ'!$P$6:$P$405,1,'Istoric_Nativ'!$D$6:$D$405,"&gt;="&amp;L143),IF(H143="AWAY",COUNTIFS('Istoric_Nativ'!$B$6:$B$405,E143,'Istoric_Nativ'!$C$6:$C$405,F143,'Istoric_Nativ'!$F$6:$F$405,G143,'Istoric_Nativ'!$D$6:$D$405,"&lt;"&amp;J143,'Istoric_Nativ'!$P$6:$P$405,1,'Istoric_Nativ'!$D$6:$D$405,"&gt;="&amp;L143),COUNTIFS('Istoric_Nativ'!$B$6:$B$405,E143,'Istoric_Nativ'!$C$6:$C$405,F143,'Istoric_Nativ'!$E$6:$E$405,G143,'Istoric_Nativ'!$D$6:$D$405,"&lt;"&amp;J143,'Istoric_Nativ'!$P$6:$P$405,1,'Istoric_Nativ'!$D$6:$D$405,"&gt;="&amp;L143)+COUNTIFS('Istoric_Nativ'!$B$6:$B$405,E143,'Istoric_Nativ'!$C$6:$C$405,F143,'Istoric_Nativ'!$F$6:$F$405,G143,'Istoric_Nativ'!$D$6:$D$405,"&lt;"&amp;J143,'Istoric_Nativ'!$P$6:$P$405,1,'Istoric_Nativ'!$D$6:$D$405,"&gt;="&amp;L143))))</x:f>
        <x:v>0</x:v>
      </x:c>
      <x:c r="N143" s="11" t="str">
        <x:f>IF(M143=0,"",IF(H143="HOME",SUMIFS('Istoric_Nativ'!$G$6:$G$405,'Istoric_Nativ'!$B$6:$B$405,E143,'Istoric_Nativ'!$C$6:$C$405,F143,'Istoric_Nativ'!$E$6:$E$405,G143,'Istoric_Nativ'!$D$6:$D$405,"&lt;"&amp;J143,'Istoric_Nativ'!$P$6:$P$405,1,'Istoric_Nativ'!$D$6:$D$405,"&gt;="&amp;L143),IF(H143="AWAY",SUMIFS('Istoric_Nativ'!$H$6:$H$405,'Istoric_Nativ'!$B$6:$B$405,E143,'Istoric_Nativ'!$C$6:$C$405,F143,'Istoric_Nativ'!$F$6:$F$405,G143,'Istoric_Nativ'!$D$6:$D$405,"&lt;"&amp;J143,'Istoric_Nativ'!$P$6:$P$405,1,'Istoric_Nativ'!$D$6:$D$405,"&gt;="&amp;L143),SUMIFS('Istoric_Nativ'!$G$6:$G$405,'Istoric_Nativ'!$B$6:$B$405,E143,'Istoric_Nativ'!$C$6:$C$405,F143,'Istoric_Nativ'!$E$6:$E$405,G143,'Istoric_Nativ'!$D$6:$D$405,"&lt;"&amp;J143,'Istoric_Nativ'!$P$6:$P$405,1,'Istoric_Nativ'!$D$6:$D$405,"&gt;="&amp;L143)+SUMIFS('Istoric_Nativ'!$H$6:$H$405,'Istoric_Nativ'!$B$6:$B$405,E143,'Istoric_Nativ'!$C$6:$C$405,F143,'Istoric_Nativ'!$F$6:$F$405,G143,'Istoric_Nativ'!$D$6:$D$405,"&lt;"&amp;J143,'Istoric_Nativ'!$P$6:$P$405,1,'Istoric_Nativ'!$D$6:$D$405,"&gt;="&amp;L143)))/M143)</x:f>
      </x:c>
      <x:c r="O143" s="11" t="str">
        <x:f>IF(M143=0,"",IF(H143="HOME",SUMIFS('Istoric_Nativ'!$H$6:$H$405,'Istoric_Nativ'!$B$6:$B$405,E143,'Istoric_Nativ'!$C$6:$C$405,F143,'Istoric_Nativ'!$E$6:$E$405,G143,'Istoric_Nativ'!$D$6:$D$405,"&lt;"&amp;J143,'Istoric_Nativ'!$P$6:$P$405,1,'Istoric_Nativ'!$D$6:$D$405,"&gt;="&amp;L143),IF(H143="AWAY",SUMIFS('Istoric_Nativ'!$G$6:$G$405,'Istoric_Nativ'!$B$6:$B$405,E143,'Istoric_Nativ'!$C$6:$C$405,F143,'Istoric_Nativ'!$F$6:$F$405,G143,'Istoric_Nativ'!$D$6:$D$405,"&lt;"&amp;J143,'Istoric_Nativ'!$P$6:$P$405,1,'Istoric_Nativ'!$D$6:$D$405,"&gt;="&amp;L143),SUMIFS('Istoric_Nativ'!$H$6:$H$405,'Istoric_Nativ'!$B$6:$B$405,E143,'Istoric_Nativ'!$C$6:$C$405,F143,'Istoric_Nativ'!$E$6:$E$405,G143,'Istoric_Nativ'!$D$6:$D$405,"&lt;"&amp;J143,'Istoric_Nativ'!$P$6:$P$405,1,'Istoric_Nativ'!$D$6:$D$405,"&gt;="&amp;L143)+SUMIFS('Istoric_Nativ'!$G$6:$G$405,'Istoric_Nativ'!$B$6:$B$405,E143,'Istoric_Nativ'!$C$6:$C$405,F143,'Istoric_Nativ'!$F$6:$F$405,G143,'Istoric_Nativ'!$D$6:$D$405,"&lt;"&amp;J143,'Istoric_Nativ'!$P$6:$P$405,1,'Istoric_Nativ'!$D$6:$D$405,"&gt;="&amp;L143)))/M143)</x:f>
      </x:c>
      <x:c r="P143" s="2" t="n">
        <x:f>'Config_v6'!$B$9</x:f>
        <x:v>3</x:v>
      </x:c>
      <x:c r="Q143" s="2" t="n">
        <x:f>IF(OR(B143="",F143=""),0,IFERROR(MATCH(E143&amp;"|"&amp;F143,SourceTable[Source_Key],0),0))</x:f>
        <x:v>0</x:v>
      </x:c>
      <x:c r="R143" s="2" t="str">
        <x:f>IF(B143="","",IF(F143="","UNUSED",IF(Q143=0,"NOT CHECKED",IF(COUNTIF(SourceTable[Source_Key],E143&amp;"|"&amp;F143)&lt;&gt;1,"SOURCE CONFLICT",IF(NOT(OR(INDEX(SourceTable[Status],MAX(1,Q143))="IMPORTED",INDEX(SourceTable[Status],MAX(1,Q143))="PARTIAL",INDEX(SourceTable[Status],MAX(1,Q143))="SOURCE CONFLICT")),"ACCESS BLOCKED",IF(OR(INDEX(SourceTable[Coverage],Q143)&lt;&gt;"FULL SEASON EXPORT",INDEX(SourceTable[URL],Q143)="",INDEX(SourceTable[SHA256],Q143)=""),"EVIDENCE INCOMPLETE",IF(AND('Input_Meci'!H17="LIVE",INDEX(SourceTable[Retrieved_UTC],Q143)&gt;'Input_Meci'!G17),"POST CUTOFF","CLOSED")))))))</x:f>
      </x:c>
      <x:c r="S143" s="2" t="n">
        <x:f>IF(OR(B143="",F143=""),0,COUNTIFS('Istoric_Nativ'!$B$6:$B$405,E143,'Istoric_Nativ'!$C$6:$C$405,F143,'Istoric_Nativ'!$E$6:$E$405,G143,'Istoric_Nativ'!$D$6:$D$405,"&lt;"&amp;J143,'Istoric_Nativ'!$O$6:$O$405,"INVALID")+COUNTIFS('Istoric_Nativ'!$B$6:$B$405,E143,'Istoric_Nativ'!$C$6:$C$405,F143,'Istoric_Nativ'!$E$6:$E$405,G143,'Istoric_Nativ'!$O$6:$O$405,"INVALID",'Istoric_Nativ'!$D$6:$D$405,"*")+COUNTIFS('Istoric_Nativ'!$B$6:$B$405,E143,'Istoric_Nativ'!$C$6:$C$405,F143,'Istoric_Nativ'!$E$6:$E$405,G143,'Istoric_Nativ'!$D$6:$D$405,"&lt;"&amp;J143,'Istoric_Nativ'!$O$6:$O$405,"SOURCE CONFLICT")+COUNTIFS('Istoric_Nativ'!$B$6:$B$405,E143,'Istoric_Nativ'!$C$6:$C$405,F143,'Istoric_Nativ'!$F$6:$F$405,G143,'Istoric_Nativ'!$D$6:$D$405,"&lt;"&amp;J143,'Istoric_Nativ'!$O$6:$O$405,"INVALID")+COUNTIFS('Istoric_Nativ'!$B$6:$B$405,E143,'Istoric_Nativ'!$C$6:$C$405,F143,'Istoric_Nativ'!$F$6:$F$405,G143,'Istoric_Nativ'!$O$6:$O$405,"INVALID",'Istoric_Nativ'!$D$6:$D$405,"*")+COUNTIFS('Istoric_Nativ'!$B$6:$B$405,E143,'Istoric_Nativ'!$C$6:$C$405,F143,'Istoric_Nativ'!$F$6:$F$405,G143,'Istoric_Nativ'!$D$6:$D$405,"&lt;"&amp;J143,'Istoric_Nativ'!$O$6:$O$405,"SOURCE CONFLICT"))</x:f>
        <x:v>0</x:v>
      </x:c>
      <x:c r="T143" s="2" t="str">
        <x:f>IF(B143="","",IF(R143&lt;&gt;"CLOSED",R143,IF(S143&gt;0,"NATIVE INPUT ISSUE",IF(M143=0,"NO HISTORY",IF(M143&lt;P143,"SMALL SAMPLE","DERIVED")))))</x:f>
      </x:c>
      <x:c r="U143" s="2" t="str">
        <x:f>IF(B143="","","NativeTable; "&amp;E143&amp;"; "&amp;F143&amp;"; "&amp;G143&amp;"; "&amp;H143&amp;"; before "&amp;TEXT(J143,"yyyy-mm-dd")&amp;IF(I143="RECENT","; from "&amp;TEXT(L143,"yyyy-mm-dd"),""))</x:f>
      </x:c>
    </x:row>
    <x:row r="144" ht="21" customHeight="1">
      <x:c r="A144" s="2" t="n">
        <x:v>12</x:v>
      </x:c>
      <x:c r="B144" s="2" t="str">
        <x:f>IF('Input_Meci'!A17="","",'Input_Meci'!A17)</x:f>
      </x:c>
      <x:c r="C144" s="2" t="str">
        <x:v>H</x:v>
      </x:c>
      <x:c r="D144" s="2" t="str">
        <x:v>PRIOR</x:v>
      </x:c>
      <x:c r="E144" s="2" t="str">
        <x:f>IF(B144="","",'Input_Meci'!B17)</x:f>
      </x:c>
      <x:c r="F144" s="2" t="str">
        <x:f>IF(B144="","",IF('Input_Meci'!K17="","",'Input_Meci'!K17))</x:f>
      </x:c>
      <x:c r="G144" s="2" t="str">
        <x:f>IF(B144="","",'Input_Meci'!D17)</x:f>
      </x:c>
      <x:c r="H144" s="2" t="str">
        <x:v>ANY</x:v>
      </x:c>
      <x:c r="I144" s="2" t="str">
        <x:v>SEASON</x:v>
      </x:c>
      <x:c r="J144" s="9" t="n">
        <x:f>IF(AND(B144&lt;&gt;"",ISNUMBER('Input_Meci'!G17)),INT('Input_Meci'!G17),0)</x:f>
        <x:v>0</x:v>
      </x:c>
      <x:c r="K144" s="2" t="n">
        <x:f>IF(OR(B144="",F144=""),0,IF(H144="HOME",COUNTIFS('Istoric_Nativ'!$B$6:$B$405,E144,'Istoric_Nativ'!$C$6:$C$405,F144,'Istoric_Nativ'!$E$6:$E$405,G144,'Istoric_Nativ'!$D$6:$D$405,"&lt;"&amp;J144,'Istoric_Nativ'!$P$6:$P$405,1),IF(H144="AWAY",COUNTIFS('Istoric_Nativ'!$B$6:$B$405,E144,'Istoric_Nativ'!$C$6:$C$405,F144,'Istoric_Nativ'!$F$6:$F$405,G144,'Istoric_Nativ'!$D$6:$D$405,"&lt;"&amp;J144,'Istoric_Nativ'!$P$6:$P$405,1),COUNTIFS('Istoric_Nativ'!$B$6:$B$405,E144,'Istoric_Nativ'!$C$6:$C$405,F144,'Istoric_Nativ'!$E$6:$E$405,G144,'Istoric_Nativ'!$D$6:$D$405,"&lt;"&amp;J144,'Istoric_Nativ'!$P$6:$P$405,1)+COUNTIFS('Istoric_Nativ'!$B$6:$B$405,E144,'Istoric_Nativ'!$C$6:$C$405,F144,'Istoric_Nativ'!$F$6:$F$405,G144,'Istoric_Nativ'!$D$6:$D$405,"&lt;"&amp;J144,'Istoric_Nativ'!$P$6:$P$405,1))))</x:f>
        <x:v>0</x:v>
      </x:c>
      <x:c r="L144" s="17" t="n">
        <x:f>IF(AND(B144&lt;&gt;"",I144="RECENT",K144&gt;0),LARGE(_xlfn._xlws.FILTER('Istoric_Nativ'!$D$6:$D$405,('Istoric_Nativ'!$B$6:$B$405=E144)*('Istoric_Nativ'!$C$6:$C$405=F144)*('Istoric_Nativ'!$P$6:$P$405=1)*('Istoric_Nativ'!$D$6:$D$405&lt;J144)*((('Istoric_Nativ'!$E$6:$E$405=G144)+('Istoric_Nativ'!$F$6:$F$405=G144))&gt;0)),MIN('Config_v6'!$B$54,K144)),0)</x:f>
        <x:v>0</x:v>
      </x:c>
      <x:c r="M144" s="2" t="n">
        <x:f>IF(OR(B144="",F144=""),0,IF(H144="HOME",COUNTIFS('Istoric_Nativ'!$B$6:$B$405,E144,'Istoric_Nativ'!$C$6:$C$405,F144,'Istoric_Nativ'!$E$6:$E$405,G144,'Istoric_Nativ'!$D$6:$D$405,"&lt;"&amp;J144,'Istoric_Nativ'!$P$6:$P$405,1,'Istoric_Nativ'!$D$6:$D$405,"&gt;="&amp;L144),IF(H144="AWAY",COUNTIFS('Istoric_Nativ'!$B$6:$B$405,E144,'Istoric_Nativ'!$C$6:$C$405,F144,'Istoric_Nativ'!$F$6:$F$405,G144,'Istoric_Nativ'!$D$6:$D$405,"&lt;"&amp;J144,'Istoric_Nativ'!$P$6:$P$405,1,'Istoric_Nativ'!$D$6:$D$405,"&gt;="&amp;L144),COUNTIFS('Istoric_Nativ'!$B$6:$B$405,E144,'Istoric_Nativ'!$C$6:$C$405,F144,'Istoric_Nativ'!$E$6:$E$405,G144,'Istoric_Nativ'!$D$6:$D$405,"&lt;"&amp;J144,'Istoric_Nativ'!$P$6:$P$405,1,'Istoric_Nativ'!$D$6:$D$405,"&gt;="&amp;L144)+COUNTIFS('Istoric_Nativ'!$B$6:$B$405,E144,'Istoric_Nativ'!$C$6:$C$405,F144,'Istoric_Nativ'!$F$6:$F$405,G144,'Istoric_Nativ'!$D$6:$D$405,"&lt;"&amp;J144,'Istoric_Nativ'!$P$6:$P$405,1,'Istoric_Nativ'!$D$6:$D$405,"&gt;="&amp;L144))))</x:f>
        <x:v>0</x:v>
      </x:c>
      <x:c r="N144" s="11" t="str">
        <x:f>IF(M144=0,"",IF(H144="HOME",SUMIFS('Istoric_Nativ'!$G$6:$G$405,'Istoric_Nativ'!$B$6:$B$405,E144,'Istoric_Nativ'!$C$6:$C$405,F144,'Istoric_Nativ'!$E$6:$E$405,G144,'Istoric_Nativ'!$D$6:$D$405,"&lt;"&amp;J144,'Istoric_Nativ'!$P$6:$P$405,1,'Istoric_Nativ'!$D$6:$D$405,"&gt;="&amp;L144),IF(H144="AWAY",SUMIFS('Istoric_Nativ'!$H$6:$H$405,'Istoric_Nativ'!$B$6:$B$405,E144,'Istoric_Nativ'!$C$6:$C$405,F144,'Istoric_Nativ'!$F$6:$F$405,G144,'Istoric_Nativ'!$D$6:$D$405,"&lt;"&amp;J144,'Istoric_Nativ'!$P$6:$P$405,1,'Istoric_Nativ'!$D$6:$D$405,"&gt;="&amp;L144),SUMIFS('Istoric_Nativ'!$G$6:$G$405,'Istoric_Nativ'!$B$6:$B$405,E144,'Istoric_Nativ'!$C$6:$C$405,F144,'Istoric_Nativ'!$E$6:$E$405,G144,'Istoric_Nativ'!$D$6:$D$405,"&lt;"&amp;J144,'Istoric_Nativ'!$P$6:$P$405,1,'Istoric_Nativ'!$D$6:$D$405,"&gt;="&amp;L144)+SUMIFS('Istoric_Nativ'!$H$6:$H$405,'Istoric_Nativ'!$B$6:$B$405,E144,'Istoric_Nativ'!$C$6:$C$405,F144,'Istoric_Nativ'!$F$6:$F$405,G144,'Istoric_Nativ'!$D$6:$D$405,"&lt;"&amp;J144,'Istoric_Nativ'!$P$6:$P$405,1,'Istoric_Nativ'!$D$6:$D$405,"&gt;="&amp;L144)))/M144)</x:f>
      </x:c>
      <x:c r="O144" s="11" t="str">
        <x:f>IF(M144=0,"",IF(H144="HOME",SUMIFS('Istoric_Nativ'!$H$6:$H$405,'Istoric_Nativ'!$B$6:$B$405,E144,'Istoric_Nativ'!$C$6:$C$405,F144,'Istoric_Nativ'!$E$6:$E$405,G144,'Istoric_Nativ'!$D$6:$D$405,"&lt;"&amp;J144,'Istoric_Nativ'!$P$6:$P$405,1,'Istoric_Nativ'!$D$6:$D$405,"&gt;="&amp;L144),IF(H144="AWAY",SUMIFS('Istoric_Nativ'!$G$6:$G$405,'Istoric_Nativ'!$B$6:$B$405,E144,'Istoric_Nativ'!$C$6:$C$405,F144,'Istoric_Nativ'!$F$6:$F$405,G144,'Istoric_Nativ'!$D$6:$D$405,"&lt;"&amp;J144,'Istoric_Nativ'!$P$6:$P$405,1,'Istoric_Nativ'!$D$6:$D$405,"&gt;="&amp;L144),SUMIFS('Istoric_Nativ'!$H$6:$H$405,'Istoric_Nativ'!$B$6:$B$405,E144,'Istoric_Nativ'!$C$6:$C$405,F144,'Istoric_Nativ'!$E$6:$E$405,G144,'Istoric_Nativ'!$D$6:$D$405,"&lt;"&amp;J144,'Istoric_Nativ'!$P$6:$P$405,1,'Istoric_Nativ'!$D$6:$D$405,"&gt;="&amp;L144)+SUMIFS('Istoric_Nativ'!$G$6:$G$405,'Istoric_Nativ'!$B$6:$B$405,E144,'Istoric_Nativ'!$C$6:$C$405,F144,'Istoric_Nativ'!$F$6:$F$405,G144,'Istoric_Nativ'!$D$6:$D$405,"&lt;"&amp;J144,'Istoric_Nativ'!$P$6:$P$405,1,'Istoric_Nativ'!$D$6:$D$405,"&gt;="&amp;L144)))/M144)</x:f>
      </x:c>
      <x:c r="P144" s="2" t="n">
        <x:f>'Config_v6'!$B$7</x:f>
        <x:v>10</x:v>
      </x:c>
      <x:c r="Q144" s="2" t="n">
        <x:f>IF(OR(B144="",F144=""),0,IFERROR(MATCH(E144&amp;"|"&amp;F144,SourceTable[Source_Key],0),0))</x:f>
        <x:v>0</x:v>
      </x:c>
      <x:c r="R144" s="2" t="str">
        <x:f>IF(B144="","",IF(F144="","UNUSED",IF(Q144=0,"NOT CHECKED",IF(COUNTIF(SourceTable[Source_Key],E144&amp;"|"&amp;F144)&lt;&gt;1,"SOURCE CONFLICT",IF(NOT(OR(INDEX(SourceTable[Status],MAX(1,Q144))="IMPORTED",INDEX(SourceTable[Status],MAX(1,Q144))="PARTIAL",INDEX(SourceTable[Status],MAX(1,Q144))="SOURCE CONFLICT")),"ACCESS BLOCKED",IF(OR(INDEX(SourceTable[Coverage],Q144)&lt;&gt;"FULL SEASON EXPORT",INDEX(SourceTable[URL],Q144)="",INDEX(SourceTable[SHA256],Q144)=""),"EVIDENCE INCOMPLETE",IF(AND('Input_Meci'!H17="LIVE",INDEX(SourceTable[Retrieved_UTC],Q144)&gt;'Input_Meci'!G17),"POST CUTOFF","CLOSED")))))))</x:f>
      </x:c>
      <x:c r="S144" s="2" t="n">
        <x:f>IF(OR(B144="",F144=""),0,COUNTIFS('Istoric_Nativ'!$B$6:$B$405,E144,'Istoric_Nativ'!$C$6:$C$405,F144,'Istoric_Nativ'!$E$6:$E$405,G144,'Istoric_Nativ'!$D$6:$D$405,"&lt;"&amp;J144,'Istoric_Nativ'!$O$6:$O$405,"INVALID")+COUNTIFS('Istoric_Nativ'!$B$6:$B$405,E144,'Istoric_Nativ'!$C$6:$C$405,F144,'Istoric_Nativ'!$E$6:$E$405,G144,'Istoric_Nativ'!$O$6:$O$405,"INVALID",'Istoric_Nativ'!$D$6:$D$405,"*")+COUNTIFS('Istoric_Nativ'!$B$6:$B$405,E144,'Istoric_Nativ'!$C$6:$C$405,F144,'Istoric_Nativ'!$E$6:$E$405,G144,'Istoric_Nativ'!$D$6:$D$405,"&lt;"&amp;J144,'Istoric_Nativ'!$O$6:$O$405,"SOURCE CONFLICT")+COUNTIFS('Istoric_Nativ'!$B$6:$B$405,E144,'Istoric_Nativ'!$C$6:$C$405,F144,'Istoric_Nativ'!$F$6:$F$405,G144,'Istoric_Nativ'!$D$6:$D$405,"&lt;"&amp;J144,'Istoric_Nativ'!$O$6:$O$405,"INVALID")+COUNTIFS('Istoric_Nativ'!$B$6:$B$405,E144,'Istoric_Nativ'!$C$6:$C$405,F144,'Istoric_Nativ'!$F$6:$F$405,G144,'Istoric_Nativ'!$O$6:$O$405,"INVALID",'Istoric_Nativ'!$D$6:$D$405,"*")+COUNTIFS('Istoric_Nativ'!$B$6:$B$405,E144,'Istoric_Nativ'!$C$6:$C$405,F144,'Istoric_Nativ'!$F$6:$F$405,G144,'Istoric_Nativ'!$D$6:$D$405,"&lt;"&amp;J144,'Istoric_Nativ'!$O$6:$O$405,"SOURCE CONFLICT"))</x:f>
        <x:v>0</x:v>
      </x:c>
      <x:c r="T144" s="2" t="str">
        <x:f>IF(B144="","",IF(R144&lt;&gt;"CLOSED",R144,IF(S144&gt;0,"NATIVE INPUT ISSUE",IF(M144=0,"NO HISTORY",IF(M144&lt;P144,"SMALL SAMPLE","DERIVED")))))</x:f>
      </x:c>
      <x:c r="U144" s="2" t="str">
        <x:f>IF(B144="","","NativeTable; "&amp;E144&amp;"; "&amp;F144&amp;"; "&amp;G144&amp;"; "&amp;H144&amp;"; before "&amp;TEXT(J144,"yyyy-mm-dd")&amp;IF(I144="RECENT","; from "&amp;TEXT(L144,"yyyy-mm-dd"),""))</x:f>
      </x:c>
    </x:row>
    <x:row r="145" ht="21" customHeight="1">
      <x:c r="A145" s="2" t="n">
        <x:v>12</x:v>
      </x:c>
      <x:c r="B145" s="2" t="str">
        <x:f>IF('Input_Meci'!A17="","",'Input_Meci'!A17)</x:f>
      </x:c>
      <x:c r="C145" s="2" t="str">
        <x:v>H</x:v>
      </x:c>
      <x:c r="D145" s="2" t="str">
        <x:v>PRIOR</x:v>
      </x:c>
      <x:c r="E145" s="2" t="str">
        <x:f>IF(B145="","",'Input_Meci'!B17)</x:f>
      </x:c>
      <x:c r="F145" s="2" t="str">
        <x:f>IF(B145="","",IF('Input_Meci'!K17="","",'Input_Meci'!K17))</x:f>
      </x:c>
      <x:c r="G145" s="2" t="str">
        <x:f>IF(B145="","",'Input_Meci'!D17)</x:f>
      </x:c>
      <x:c r="H145" s="2" t="str">
        <x:v>HOME</x:v>
      </x:c>
      <x:c r="I145" s="2" t="str">
        <x:v>HA</x:v>
      </x:c>
      <x:c r="J145" s="9" t="n">
        <x:f>IF(AND(B145&lt;&gt;"",ISNUMBER('Input_Meci'!G17)),INT('Input_Meci'!G17),0)</x:f>
        <x:v>0</x:v>
      </x:c>
      <x:c r="K145" s="2" t="n">
        <x:f>IF(OR(B145="",F145=""),0,IF(H145="HOME",COUNTIFS('Istoric_Nativ'!$B$6:$B$405,E145,'Istoric_Nativ'!$C$6:$C$405,F145,'Istoric_Nativ'!$E$6:$E$405,G145,'Istoric_Nativ'!$D$6:$D$405,"&lt;"&amp;J145,'Istoric_Nativ'!$P$6:$P$405,1),IF(H145="AWAY",COUNTIFS('Istoric_Nativ'!$B$6:$B$405,E145,'Istoric_Nativ'!$C$6:$C$405,F145,'Istoric_Nativ'!$F$6:$F$405,G145,'Istoric_Nativ'!$D$6:$D$405,"&lt;"&amp;J145,'Istoric_Nativ'!$P$6:$P$405,1),COUNTIFS('Istoric_Nativ'!$B$6:$B$405,E145,'Istoric_Nativ'!$C$6:$C$405,F145,'Istoric_Nativ'!$E$6:$E$405,G145,'Istoric_Nativ'!$D$6:$D$405,"&lt;"&amp;J145,'Istoric_Nativ'!$P$6:$P$405,1)+COUNTIFS('Istoric_Nativ'!$B$6:$B$405,E145,'Istoric_Nativ'!$C$6:$C$405,F145,'Istoric_Nativ'!$F$6:$F$405,G145,'Istoric_Nativ'!$D$6:$D$405,"&lt;"&amp;J145,'Istoric_Nativ'!$P$6:$P$405,1))))</x:f>
        <x:v>0</x:v>
      </x:c>
      <x:c r="L145" s="17" t="n">
        <x:f>IF(AND(B145&lt;&gt;"",I145="RECENT",K145&gt;0),LARGE(_xlfn._xlws.FILTER('Istoric_Nativ'!$D$6:$D$405,('Istoric_Nativ'!$B$6:$B$405=E145)*('Istoric_Nativ'!$C$6:$C$405=F145)*('Istoric_Nativ'!$P$6:$P$405=1)*('Istoric_Nativ'!$D$6:$D$405&lt;J145)*((('Istoric_Nativ'!$E$6:$E$405=G145)+('Istoric_Nativ'!$F$6:$F$405=G145))&gt;0)),MIN('Config_v6'!$B$54,K145)),0)</x:f>
        <x:v>0</x:v>
      </x:c>
      <x:c r="M145" s="2" t="n">
        <x:f>IF(OR(B145="",F145=""),0,IF(H145="HOME",COUNTIFS('Istoric_Nativ'!$B$6:$B$405,E145,'Istoric_Nativ'!$C$6:$C$405,F145,'Istoric_Nativ'!$E$6:$E$405,G145,'Istoric_Nativ'!$D$6:$D$405,"&lt;"&amp;J145,'Istoric_Nativ'!$P$6:$P$405,1,'Istoric_Nativ'!$D$6:$D$405,"&gt;="&amp;L145),IF(H145="AWAY",COUNTIFS('Istoric_Nativ'!$B$6:$B$405,E145,'Istoric_Nativ'!$C$6:$C$405,F145,'Istoric_Nativ'!$F$6:$F$405,G145,'Istoric_Nativ'!$D$6:$D$405,"&lt;"&amp;J145,'Istoric_Nativ'!$P$6:$P$405,1,'Istoric_Nativ'!$D$6:$D$405,"&gt;="&amp;L145),COUNTIFS('Istoric_Nativ'!$B$6:$B$405,E145,'Istoric_Nativ'!$C$6:$C$405,F145,'Istoric_Nativ'!$E$6:$E$405,G145,'Istoric_Nativ'!$D$6:$D$405,"&lt;"&amp;J145,'Istoric_Nativ'!$P$6:$P$405,1,'Istoric_Nativ'!$D$6:$D$405,"&gt;="&amp;L145)+COUNTIFS('Istoric_Nativ'!$B$6:$B$405,E145,'Istoric_Nativ'!$C$6:$C$405,F145,'Istoric_Nativ'!$F$6:$F$405,G145,'Istoric_Nativ'!$D$6:$D$405,"&lt;"&amp;J145,'Istoric_Nativ'!$P$6:$P$405,1,'Istoric_Nativ'!$D$6:$D$405,"&gt;="&amp;L145))))</x:f>
        <x:v>0</x:v>
      </x:c>
      <x:c r="N145" s="11" t="str">
        <x:f>IF(M145=0,"",IF(H145="HOME",SUMIFS('Istoric_Nativ'!$G$6:$G$405,'Istoric_Nativ'!$B$6:$B$405,E145,'Istoric_Nativ'!$C$6:$C$405,F145,'Istoric_Nativ'!$E$6:$E$405,G145,'Istoric_Nativ'!$D$6:$D$405,"&lt;"&amp;J145,'Istoric_Nativ'!$P$6:$P$405,1,'Istoric_Nativ'!$D$6:$D$405,"&gt;="&amp;L145),IF(H145="AWAY",SUMIFS('Istoric_Nativ'!$H$6:$H$405,'Istoric_Nativ'!$B$6:$B$405,E145,'Istoric_Nativ'!$C$6:$C$405,F145,'Istoric_Nativ'!$F$6:$F$405,G145,'Istoric_Nativ'!$D$6:$D$405,"&lt;"&amp;J145,'Istoric_Nativ'!$P$6:$P$405,1,'Istoric_Nativ'!$D$6:$D$405,"&gt;="&amp;L145),SUMIFS('Istoric_Nativ'!$G$6:$G$405,'Istoric_Nativ'!$B$6:$B$405,E145,'Istoric_Nativ'!$C$6:$C$405,F145,'Istoric_Nativ'!$E$6:$E$405,G145,'Istoric_Nativ'!$D$6:$D$405,"&lt;"&amp;J145,'Istoric_Nativ'!$P$6:$P$405,1,'Istoric_Nativ'!$D$6:$D$405,"&gt;="&amp;L145)+SUMIFS('Istoric_Nativ'!$H$6:$H$405,'Istoric_Nativ'!$B$6:$B$405,E145,'Istoric_Nativ'!$C$6:$C$405,F145,'Istoric_Nativ'!$F$6:$F$405,G145,'Istoric_Nativ'!$D$6:$D$405,"&lt;"&amp;J145,'Istoric_Nativ'!$P$6:$P$405,1,'Istoric_Nativ'!$D$6:$D$405,"&gt;="&amp;L145)))/M145)</x:f>
      </x:c>
      <x:c r="O145" s="11" t="str">
        <x:f>IF(M145=0,"",IF(H145="HOME",SUMIFS('Istoric_Nativ'!$H$6:$H$405,'Istoric_Nativ'!$B$6:$B$405,E145,'Istoric_Nativ'!$C$6:$C$405,F145,'Istoric_Nativ'!$E$6:$E$405,G145,'Istoric_Nativ'!$D$6:$D$405,"&lt;"&amp;J145,'Istoric_Nativ'!$P$6:$P$405,1,'Istoric_Nativ'!$D$6:$D$405,"&gt;="&amp;L145),IF(H145="AWAY",SUMIFS('Istoric_Nativ'!$G$6:$G$405,'Istoric_Nativ'!$B$6:$B$405,E145,'Istoric_Nativ'!$C$6:$C$405,F145,'Istoric_Nativ'!$F$6:$F$405,G145,'Istoric_Nativ'!$D$6:$D$405,"&lt;"&amp;J145,'Istoric_Nativ'!$P$6:$P$405,1,'Istoric_Nativ'!$D$6:$D$405,"&gt;="&amp;L145),SUMIFS('Istoric_Nativ'!$H$6:$H$405,'Istoric_Nativ'!$B$6:$B$405,E145,'Istoric_Nativ'!$C$6:$C$405,F145,'Istoric_Nativ'!$E$6:$E$405,G145,'Istoric_Nativ'!$D$6:$D$405,"&lt;"&amp;J145,'Istoric_Nativ'!$P$6:$P$405,1,'Istoric_Nativ'!$D$6:$D$405,"&gt;="&amp;L145)+SUMIFS('Istoric_Nativ'!$G$6:$G$405,'Istoric_Nativ'!$B$6:$B$405,E145,'Istoric_Nativ'!$C$6:$C$405,F145,'Istoric_Nativ'!$F$6:$F$405,G145,'Istoric_Nativ'!$D$6:$D$405,"&lt;"&amp;J145,'Istoric_Nativ'!$P$6:$P$405,1,'Istoric_Nativ'!$D$6:$D$405,"&gt;="&amp;L145)))/M145)</x:f>
      </x:c>
      <x:c r="P145" s="2" t="n">
        <x:f>'Config_v6'!$B$8</x:f>
        <x:v>5</x:v>
      </x:c>
      <x:c r="Q145" s="2" t="n">
        <x:f>IF(OR(B145="",F145=""),0,IFERROR(MATCH(E145&amp;"|"&amp;F145,SourceTable[Source_Key],0),0))</x:f>
        <x:v>0</x:v>
      </x:c>
      <x:c r="R145" s="2" t="str">
        <x:f>IF(B145="","",IF(F145="","UNUSED",IF(Q145=0,"NOT CHECKED",IF(COUNTIF(SourceTable[Source_Key],E145&amp;"|"&amp;F145)&lt;&gt;1,"SOURCE CONFLICT",IF(NOT(OR(INDEX(SourceTable[Status],MAX(1,Q145))="IMPORTED",INDEX(SourceTable[Status],MAX(1,Q145))="PARTIAL",INDEX(SourceTable[Status],MAX(1,Q145))="SOURCE CONFLICT")),"ACCESS BLOCKED",IF(OR(INDEX(SourceTable[Coverage],Q145)&lt;&gt;"FULL SEASON EXPORT",INDEX(SourceTable[URL],Q145)="",INDEX(SourceTable[SHA256],Q145)=""),"EVIDENCE INCOMPLETE",IF(AND('Input_Meci'!H17="LIVE",INDEX(SourceTable[Retrieved_UTC],Q145)&gt;'Input_Meci'!G17),"POST CUTOFF","CLOSED")))))))</x:f>
      </x:c>
      <x:c r="S145" s="2" t="n">
        <x:f>IF(OR(B145="",F145=""),0,COUNTIFS('Istoric_Nativ'!$B$6:$B$405,E145,'Istoric_Nativ'!$C$6:$C$405,F145,'Istoric_Nativ'!$E$6:$E$405,G145,'Istoric_Nativ'!$D$6:$D$405,"&lt;"&amp;J145,'Istoric_Nativ'!$O$6:$O$405,"INVALID")+COUNTIFS('Istoric_Nativ'!$B$6:$B$405,E145,'Istoric_Nativ'!$C$6:$C$405,F145,'Istoric_Nativ'!$E$6:$E$405,G145,'Istoric_Nativ'!$O$6:$O$405,"INVALID",'Istoric_Nativ'!$D$6:$D$405,"*")+COUNTIFS('Istoric_Nativ'!$B$6:$B$405,E145,'Istoric_Nativ'!$C$6:$C$405,F145,'Istoric_Nativ'!$E$6:$E$405,G145,'Istoric_Nativ'!$D$6:$D$405,"&lt;"&amp;J145,'Istoric_Nativ'!$O$6:$O$405,"SOURCE CONFLICT")+COUNTIFS('Istoric_Nativ'!$B$6:$B$405,E145,'Istoric_Nativ'!$C$6:$C$405,F145,'Istoric_Nativ'!$F$6:$F$405,G145,'Istoric_Nativ'!$D$6:$D$405,"&lt;"&amp;J145,'Istoric_Nativ'!$O$6:$O$405,"INVALID")+COUNTIFS('Istoric_Nativ'!$B$6:$B$405,E145,'Istoric_Nativ'!$C$6:$C$405,F145,'Istoric_Nativ'!$F$6:$F$405,G145,'Istoric_Nativ'!$O$6:$O$405,"INVALID",'Istoric_Nativ'!$D$6:$D$405,"*")+COUNTIFS('Istoric_Nativ'!$B$6:$B$405,E145,'Istoric_Nativ'!$C$6:$C$405,F145,'Istoric_Nativ'!$F$6:$F$405,G145,'Istoric_Nativ'!$D$6:$D$405,"&lt;"&amp;J145,'Istoric_Nativ'!$O$6:$O$405,"SOURCE CONFLICT"))</x:f>
        <x:v>0</x:v>
      </x:c>
      <x:c r="T145" s="2" t="str">
        <x:f>IF(B145="","",IF(R145&lt;&gt;"CLOSED",R145,IF(S145&gt;0,"NATIVE INPUT ISSUE",IF(M145=0,"NO HISTORY",IF(M145&lt;P145,"SMALL SAMPLE","DERIVED")))))</x:f>
      </x:c>
      <x:c r="U145" s="2" t="str">
        <x:f>IF(B145="","","NativeTable; "&amp;E145&amp;"; "&amp;F145&amp;"; "&amp;G145&amp;"; "&amp;H145&amp;"; before "&amp;TEXT(J145,"yyyy-mm-dd")&amp;IF(I145="RECENT","; from "&amp;TEXT(L145,"yyyy-mm-dd"),""))</x:f>
      </x:c>
    </x:row>
    <x:row r="146" ht="21" customHeight="1">
      <x:c r="A146" s="2" t="n">
        <x:v>12</x:v>
      </x:c>
      <x:c r="B146" s="2" t="str">
        <x:f>IF('Input_Meci'!A17="","",'Input_Meci'!A17)</x:f>
      </x:c>
      <x:c r="C146" s="2" t="str">
        <x:v>H</x:v>
      </x:c>
      <x:c r="D146" s="2" t="str">
        <x:v>PRIOR</x:v>
      </x:c>
      <x:c r="E146" s="2" t="str">
        <x:f>IF(B146="","",'Input_Meci'!B17)</x:f>
      </x:c>
      <x:c r="F146" s="2" t="str">
        <x:f>IF(B146="","",IF('Input_Meci'!K17="","",'Input_Meci'!K17))</x:f>
      </x:c>
      <x:c r="G146" s="2" t="str">
        <x:f>IF(B146="","",'Input_Meci'!D17)</x:f>
      </x:c>
      <x:c r="H146" s="2" t="str">
        <x:v>ANY</x:v>
      </x:c>
      <x:c r="I146" s="2" t="str">
        <x:v>RECENT</x:v>
      </x:c>
      <x:c r="J146" s="9" t="n">
        <x:f>IF(AND(B146&lt;&gt;"",ISNUMBER('Input_Meci'!G17)),INT('Input_Meci'!G17),0)</x:f>
        <x:v>0</x:v>
      </x:c>
      <x:c r="K146" s="2" t="n">
        <x:f>IF(OR(B146="",F146=""),0,IF(H146="HOME",COUNTIFS('Istoric_Nativ'!$B$6:$B$405,E146,'Istoric_Nativ'!$C$6:$C$405,F146,'Istoric_Nativ'!$E$6:$E$405,G146,'Istoric_Nativ'!$D$6:$D$405,"&lt;"&amp;J146,'Istoric_Nativ'!$P$6:$P$405,1),IF(H146="AWAY",COUNTIFS('Istoric_Nativ'!$B$6:$B$405,E146,'Istoric_Nativ'!$C$6:$C$405,F146,'Istoric_Nativ'!$F$6:$F$405,G146,'Istoric_Nativ'!$D$6:$D$405,"&lt;"&amp;J146,'Istoric_Nativ'!$P$6:$P$405,1),COUNTIFS('Istoric_Nativ'!$B$6:$B$405,E146,'Istoric_Nativ'!$C$6:$C$405,F146,'Istoric_Nativ'!$E$6:$E$405,G146,'Istoric_Nativ'!$D$6:$D$405,"&lt;"&amp;J146,'Istoric_Nativ'!$P$6:$P$405,1)+COUNTIFS('Istoric_Nativ'!$B$6:$B$405,E146,'Istoric_Nativ'!$C$6:$C$405,F146,'Istoric_Nativ'!$F$6:$F$405,G146,'Istoric_Nativ'!$D$6:$D$405,"&lt;"&amp;J146,'Istoric_Nativ'!$P$6:$P$405,1))))</x:f>
        <x:v>0</x:v>
      </x:c>
      <x:c r="L146" s="17" t="n">
        <x:f>IF(AND(B146&lt;&gt;"",I146="RECENT",K146&gt;0),LARGE(_xlfn._xlws.FILTER('Istoric_Nativ'!$D$6:$D$405,('Istoric_Nativ'!$B$6:$B$405=E146)*('Istoric_Nativ'!$C$6:$C$405=F146)*('Istoric_Nativ'!$P$6:$P$405=1)*('Istoric_Nativ'!$D$6:$D$405&lt;J146)*((('Istoric_Nativ'!$E$6:$E$405=G146)+('Istoric_Nativ'!$F$6:$F$405=G146))&gt;0)),MIN('Config_v6'!$B$54,K146)),0)</x:f>
        <x:v>0</x:v>
      </x:c>
      <x:c r="M146" s="2" t="n">
        <x:f>IF(OR(B146="",F146=""),0,IF(H146="HOME",COUNTIFS('Istoric_Nativ'!$B$6:$B$405,E146,'Istoric_Nativ'!$C$6:$C$405,F146,'Istoric_Nativ'!$E$6:$E$405,G146,'Istoric_Nativ'!$D$6:$D$405,"&lt;"&amp;J146,'Istoric_Nativ'!$P$6:$P$405,1,'Istoric_Nativ'!$D$6:$D$405,"&gt;="&amp;L146),IF(H146="AWAY",COUNTIFS('Istoric_Nativ'!$B$6:$B$405,E146,'Istoric_Nativ'!$C$6:$C$405,F146,'Istoric_Nativ'!$F$6:$F$405,G146,'Istoric_Nativ'!$D$6:$D$405,"&lt;"&amp;J146,'Istoric_Nativ'!$P$6:$P$405,1,'Istoric_Nativ'!$D$6:$D$405,"&gt;="&amp;L146),COUNTIFS('Istoric_Nativ'!$B$6:$B$405,E146,'Istoric_Nativ'!$C$6:$C$405,F146,'Istoric_Nativ'!$E$6:$E$405,G146,'Istoric_Nativ'!$D$6:$D$405,"&lt;"&amp;J146,'Istoric_Nativ'!$P$6:$P$405,1,'Istoric_Nativ'!$D$6:$D$405,"&gt;="&amp;L146)+COUNTIFS('Istoric_Nativ'!$B$6:$B$405,E146,'Istoric_Nativ'!$C$6:$C$405,F146,'Istoric_Nativ'!$F$6:$F$405,G146,'Istoric_Nativ'!$D$6:$D$405,"&lt;"&amp;J146,'Istoric_Nativ'!$P$6:$P$405,1,'Istoric_Nativ'!$D$6:$D$405,"&gt;="&amp;L146))))</x:f>
        <x:v>0</x:v>
      </x:c>
      <x:c r="N146" s="11" t="str">
        <x:f>IF(M146=0,"",IF(H146="HOME",SUMIFS('Istoric_Nativ'!$G$6:$G$405,'Istoric_Nativ'!$B$6:$B$405,E146,'Istoric_Nativ'!$C$6:$C$405,F146,'Istoric_Nativ'!$E$6:$E$405,G146,'Istoric_Nativ'!$D$6:$D$405,"&lt;"&amp;J146,'Istoric_Nativ'!$P$6:$P$405,1,'Istoric_Nativ'!$D$6:$D$405,"&gt;="&amp;L146),IF(H146="AWAY",SUMIFS('Istoric_Nativ'!$H$6:$H$405,'Istoric_Nativ'!$B$6:$B$405,E146,'Istoric_Nativ'!$C$6:$C$405,F146,'Istoric_Nativ'!$F$6:$F$405,G146,'Istoric_Nativ'!$D$6:$D$405,"&lt;"&amp;J146,'Istoric_Nativ'!$P$6:$P$405,1,'Istoric_Nativ'!$D$6:$D$405,"&gt;="&amp;L146),SUMIFS('Istoric_Nativ'!$G$6:$G$405,'Istoric_Nativ'!$B$6:$B$405,E146,'Istoric_Nativ'!$C$6:$C$405,F146,'Istoric_Nativ'!$E$6:$E$405,G146,'Istoric_Nativ'!$D$6:$D$405,"&lt;"&amp;J146,'Istoric_Nativ'!$P$6:$P$405,1,'Istoric_Nativ'!$D$6:$D$405,"&gt;="&amp;L146)+SUMIFS('Istoric_Nativ'!$H$6:$H$405,'Istoric_Nativ'!$B$6:$B$405,E146,'Istoric_Nativ'!$C$6:$C$405,F146,'Istoric_Nativ'!$F$6:$F$405,G146,'Istoric_Nativ'!$D$6:$D$405,"&lt;"&amp;J146,'Istoric_Nativ'!$P$6:$P$405,1,'Istoric_Nativ'!$D$6:$D$405,"&gt;="&amp;L146)))/M146)</x:f>
      </x:c>
      <x:c r="O146" s="11" t="str">
        <x:f>IF(M146=0,"",IF(H146="HOME",SUMIFS('Istoric_Nativ'!$H$6:$H$405,'Istoric_Nativ'!$B$6:$B$405,E146,'Istoric_Nativ'!$C$6:$C$405,F146,'Istoric_Nativ'!$E$6:$E$405,G146,'Istoric_Nativ'!$D$6:$D$405,"&lt;"&amp;J146,'Istoric_Nativ'!$P$6:$P$405,1,'Istoric_Nativ'!$D$6:$D$405,"&gt;="&amp;L146),IF(H146="AWAY",SUMIFS('Istoric_Nativ'!$G$6:$G$405,'Istoric_Nativ'!$B$6:$B$405,E146,'Istoric_Nativ'!$C$6:$C$405,F146,'Istoric_Nativ'!$F$6:$F$405,G146,'Istoric_Nativ'!$D$6:$D$405,"&lt;"&amp;J146,'Istoric_Nativ'!$P$6:$P$405,1,'Istoric_Nativ'!$D$6:$D$405,"&gt;="&amp;L146),SUMIFS('Istoric_Nativ'!$H$6:$H$405,'Istoric_Nativ'!$B$6:$B$405,E146,'Istoric_Nativ'!$C$6:$C$405,F146,'Istoric_Nativ'!$E$6:$E$405,G146,'Istoric_Nativ'!$D$6:$D$405,"&lt;"&amp;J146,'Istoric_Nativ'!$P$6:$P$405,1,'Istoric_Nativ'!$D$6:$D$405,"&gt;="&amp;L146)+SUMIFS('Istoric_Nativ'!$G$6:$G$405,'Istoric_Nativ'!$B$6:$B$405,E146,'Istoric_Nativ'!$C$6:$C$405,F146,'Istoric_Nativ'!$F$6:$F$405,G146,'Istoric_Nativ'!$D$6:$D$405,"&lt;"&amp;J146,'Istoric_Nativ'!$P$6:$P$405,1,'Istoric_Nativ'!$D$6:$D$405,"&gt;="&amp;L146)))/M146)</x:f>
      </x:c>
      <x:c r="P146" s="2" t="n">
        <x:f>'Config_v6'!$B$9</x:f>
        <x:v>3</x:v>
      </x:c>
      <x:c r="Q146" s="2" t="n">
        <x:f>IF(OR(B146="",F146=""),0,IFERROR(MATCH(E146&amp;"|"&amp;F146,SourceTable[Source_Key],0),0))</x:f>
        <x:v>0</x:v>
      </x:c>
      <x:c r="R146" s="2" t="str">
        <x:f>IF(B146="","",IF(F146="","UNUSED",IF(Q146=0,"NOT CHECKED",IF(COUNTIF(SourceTable[Source_Key],E146&amp;"|"&amp;F146)&lt;&gt;1,"SOURCE CONFLICT",IF(NOT(OR(INDEX(SourceTable[Status],MAX(1,Q146))="IMPORTED",INDEX(SourceTable[Status],MAX(1,Q146))="PARTIAL",INDEX(SourceTable[Status],MAX(1,Q146))="SOURCE CONFLICT")),"ACCESS BLOCKED",IF(OR(INDEX(SourceTable[Coverage],Q146)&lt;&gt;"FULL SEASON EXPORT",INDEX(SourceTable[URL],Q146)="",INDEX(SourceTable[SHA256],Q146)=""),"EVIDENCE INCOMPLETE",IF(AND('Input_Meci'!H17="LIVE",INDEX(SourceTable[Retrieved_UTC],Q146)&gt;'Input_Meci'!G17),"POST CUTOFF","CLOSED")))))))</x:f>
      </x:c>
      <x:c r="S146" s="2" t="n">
        <x:f>IF(OR(B146="",F146=""),0,COUNTIFS('Istoric_Nativ'!$B$6:$B$405,E146,'Istoric_Nativ'!$C$6:$C$405,F146,'Istoric_Nativ'!$E$6:$E$405,G146,'Istoric_Nativ'!$D$6:$D$405,"&lt;"&amp;J146,'Istoric_Nativ'!$O$6:$O$405,"INVALID")+COUNTIFS('Istoric_Nativ'!$B$6:$B$405,E146,'Istoric_Nativ'!$C$6:$C$405,F146,'Istoric_Nativ'!$E$6:$E$405,G146,'Istoric_Nativ'!$O$6:$O$405,"INVALID",'Istoric_Nativ'!$D$6:$D$405,"*")+COUNTIFS('Istoric_Nativ'!$B$6:$B$405,E146,'Istoric_Nativ'!$C$6:$C$405,F146,'Istoric_Nativ'!$E$6:$E$405,G146,'Istoric_Nativ'!$D$6:$D$405,"&lt;"&amp;J146,'Istoric_Nativ'!$O$6:$O$405,"SOURCE CONFLICT")+COUNTIFS('Istoric_Nativ'!$B$6:$B$405,E146,'Istoric_Nativ'!$C$6:$C$405,F146,'Istoric_Nativ'!$F$6:$F$405,G146,'Istoric_Nativ'!$D$6:$D$405,"&lt;"&amp;J146,'Istoric_Nativ'!$O$6:$O$405,"INVALID")+COUNTIFS('Istoric_Nativ'!$B$6:$B$405,E146,'Istoric_Nativ'!$C$6:$C$405,F146,'Istoric_Nativ'!$F$6:$F$405,G146,'Istoric_Nativ'!$O$6:$O$405,"INVALID",'Istoric_Nativ'!$D$6:$D$405,"*")+COUNTIFS('Istoric_Nativ'!$B$6:$B$405,E146,'Istoric_Nativ'!$C$6:$C$405,F146,'Istoric_Nativ'!$F$6:$F$405,G146,'Istoric_Nativ'!$D$6:$D$405,"&lt;"&amp;J146,'Istoric_Nativ'!$O$6:$O$405,"SOURCE CONFLICT"))</x:f>
        <x:v>0</x:v>
      </x:c>
      <x:c r="T146" s="2" t="str">
        <x:f>IF(B146="","",IF(R146&lt;&gt;"CLOSED",R146,IF(S146&gt;0,"NATIVE INPUT ISSUE",IF(M146=0,"NO HISTORY",IF(M146&lt;P146,"SMALL SAMPLE","DERIVED")))))</x:f>
      </x:c>
      <x:c r="U146" s="2" t="str">
        <x:f>IF(B146="","","NativeTable; "&amp;E146&amp;"; "&amp;F146&amp;"; "&amp;G146&amp;"; "&amp;H146&amp;"; before "&amp;TEXT(J146,"yyyy-mm-dd")&amp;IF(I146="RECENT","; from "&amp;TEXT(L146,"yyyy-mm-dd"),""))</x:f>
      </x:c>
    </x:row>
    <x:row r="147" ht="21" customHeight="1">
      <x:c r="A147" s="2" t="n">
        <x:v>12</x:v>
      </x:c>
      <x:c r="B147" s="2" t="str">
        <x:f>IF('Input_Meci'!A17="","",'Input_Meci'!A17)</x:f>
      </x:c>
      <x:c r="C147" s="2" t="str">
        <x:v>A</x:v>
      </x:c>
      <x:c r="D147" s="2" t="str">
        <x:v>PRIOR</x:v>
      </x:c>
      <x:c r="E147" s="2" t="str">
        <x:f>IF(B147="","",'Input_Meci'!B17)</x:f>
      </x:c>
      <x:c r="F147" s="2" t="str">
        <x:f>IF(B147="","",IF('Input_Meci'!K17="","",'Input_Meci'!K17))</x:f>
      </x:c>
      <x:c r="G147" s="2" t="str">
        <x:f>IF(B147="","",'Input_Meci'!E17)</x:f>
      </x:c>
      <x:c r="H147" s="2" t="str">
        <x:v>ANY</x:v>
      </x:c>
      <x:c r="I147" s="2" t="str">
        <x:v>SEASON</x:v>
      </x:c>
      <x:c r="J147" s="9" t="n">
        <x:f>IF(AND(B147&lt;&gt;"",ISNUMBER('Input_Meci'!G17)),INT('Input_Meci'!G17),0)</x:f>
        <x:v>0</x:v>
      </x:c>
      <x:c r="K147" s="2" t="n">
        <x:f>IF(OR(B147="",F147=""),0,IF(H147="HOME",COUNTIFS('Istoric_Nativ'!$B$6:$B$405,E147,'Istoric_Nativ'!$C$6:$C$405,F147,'Istoric_Nativ'!$E$6:$E$405,G147,'Istoric_Nativ'!$D$6:$D$405,"&lt;"&amp;J147,'Istoric_Nativ'!$P$6:$P$405,1),IF(H147="AWAY",COUNTIFS('Istoric_Nativ'!$B$6:$B$405,E147,'Istoric_Nativ'!$C$6:$C$405,F147,'Istoric_Nativ'!$F$6:$F$405,G147,'Istoric_Nativ'!$D$6:$D$405,"&lt;"&amp;J147,'Istoric_Nativ'!$P$6:$P$405,1),COUNTIFS('Istoric_Nativ'!$B$6:$B$405,E147,'Istoric_Nativ'!$C$6:$C$405,F147,'Istoric_Nativ'!$E$6:$E$405,G147,'Istoric_Nativ'!$D$6:$D$405,"&lt;"&amp;J147,'Istoric_Nativ'!$P$6:$P$405,1)+COUNTIFS('Istoric_Nativ'!$B$6:$B$405,E147,'Istoric_Nativ'!$C$6:$C$405,F147,'Istoric_Nativ'!$F$6:$F$405,G147,'Istoric_Nativ'!$D$6:$D$405,"&lt;"&amp;J147,'Istoric_Nativ'!$P$6:$P$405,1))))</x:f>
        <x:v>0</x:v>
      </x:c>
      <x:c r="L147" s="17" t="n">
        <x:f>IF(AND(B147&lt;&gt;"",I147="RECENT",K147&gt;0),LARGE(_xlfn._xlws.FILTER('Istoric_Nativ'!$D$6:$D$405,('Istoric_Nativ'!$B$6:$B$405=E147)*('Istoric_Nativ'!$C$6:$C$405=F147)*('Istoric_Nativ'!$P$6:$P$405=1)*('Istoric_Nativ'!$D$6:$D$405&lt;J147)*((('Istoric_Nativ'!$E$6:$E$405=G147)+('Istoric_Nativ'!$F$6:$F$405=G147))&gt;0)),MIN('Config_v6'!$B$54,K147)),0)</x:f>
        <x:v>0</x:v>
      </x:c>
      <x:c r="M147" s="2" t="n">
        <x:f>IF(OR(B147="",F147=""),0,IF(H147="HOME",COUNTIFS('Istoric_Nativ'!$B$6:$B$405,E147,'Istoric_Nativ'!$C$6:$C$405,F147,'Istoric_Nativ'!$E$6:$E$405,G147,'Istoric_Nativ'!$D$6:$D$405,"&lt;"&amp;J147,'Istoric_Nativ'!$P$6:$P$405,1,'Istoric_Nativ'!$D$6:$D$405,"&gt;="&amp;L147),IF(H147="AWAY",COUNTIFS('Istoric_Nativ'!$B$6:$B$405,E147,'Istoric_Nativ'!$C$6:$C$405,F147,'Istoric_Nativ'!$F$6:$F$405,G147,'Istoric_Nativ'!$D$6:$D$405,"&lt;"&amp;J147,'Istoric_Nativ'!$P$6:$P$405,1,'Istoric_Nativ'!$D$6:$D$405,"&gt;="&amp;L147),COUNTIFS('Istoric_Nativ'!$B$6:$B$405,E147,'Istoric_Nativ'!$C$6:$C$405,F147,'Istoric_Nativ'!$E$6:$E$405,G147,'Istoric_Nativ'!$D$6:$D$405,"&lt;"&amp;J147,'Istoric_Nativ'!$P$6:$P$405,1,'Istoric_Nativ'!$D$6:$D$405,"&gt;="&amp;L147)+COUNTIFS('Istoric_Nativ'!$B$6:$B$405,E147,'Istoric_Nativ'!$C$6:$C$405,F147,'Istoric_Nativ'!$F$6:$F$405,G147,'Istoric_Nativ'!$D$6:$D$405,"&lt;"&amp;J147,'Istoric_Nativ'!$P$6:$P$405,1,'Istoric_Nativ'!$D$6:$D$405,"&gt;="&amp;L147))))</x:f>
        <x:v>0</x:v>
      </x:c>
      <x:c r="N147" s="11" t="str">
        <x:f>IF(M147=0,"",IF(H147="HOME",SUMIFS('Istoric_Nativ'!$G$6:$G$405,'Istoric_Nativ'!$B$6:$B$405,E147,'Istoric_Nativ'!$C$6:$C$405,F147,'Istoric_Nativ'!$E$6:$E$405,G147,'Istoric_Nativ'!$D$6:$D$405,"&lt;"&amp;J147,'Istoric_Nativ'!$P$6:$P$405,1,'Istoric_Nativ'!$D$6:$D$405,"&gt;="&amp;L147),IF(H147="AWAY",SUMIFS('Istoric_Nativ'!$H$6:$H$405,'Istoric_Nativ'!$B$6:$B$405,E147,'Istoric_Nativ'!$C$6:$C$405,F147,'Istoric_Nativ'!$F$6:$F$405,G147,'Istoric_Nativ'!$D$6:$D$405,"&lt;"&amp;J147,'Istoric_Nativ'!$P$6:$P$405,1,'Istoric_Nativ'!$D$6:$D$405,"&gt;="&amp;L147),SUMIFS('Istoric_Nativ'!$G$6:$G$405,'Istoric_Nativ'!$B$6:$B$405,E147,'Istoric_Nativ'!$C$6:$C$405,F147,'Istoric_Nativ'!$E$6:$E$405,G147,'Istoric_Nativ'!$D$6:$D$405,"&lt;"&amp;J147,'Istoric_Nativ'!$P$6:$P$405,1,'Istoric_Nativ'!$D$6:$D$405,"&gt;="&amp;L147)+SUMIFS('Istoric_Nativ'!$H$6:$H$405,'Istoric_Nativ'!$B$6:$B$405,E147,'Istoric_Nativ'!$C$6:$C$405,F147,'Istoric_Nativ'!$F$6:$F$405,G147,'Istoric_Nativ'!$D$6:$D$405,"&lt;"&amp;J147,'Istoric_Nativ'!$P$6:$P$405,1,'Istoric_Nativ'!$D$6:$D$405,"&gt;="&amp;L147)))/M147)</x:f>
      </x:c>
      <x:c r="O147" s="11" t="str">
        <x:f>IF(M147=0,"",IF(H147="HOME",SUMIFS('Istoric_Nativ'!$H$6:$H$405,'Istoric_Nativ'!$B$6:$B$405,E147,'Istoric_Nativ'!$C$6:$C$405,F147,'Istoric_Nativ'!$E$6:$E$405,G147,'Istoric_Nativ'!$D$6:$D$405,"&lt;"&amp;J147,'Istoric_Nativ'!$P$6:$P$405,1,'Istoric_Nativ'!$D$6:$D$405,"&gt;="&amp;L147),IF(H147="AWAY",SUMIFS('Istoric_Nativ'!$G$6:$G$405,'Istoric_Nativ'!$B$6:$B$405,E147,'Istoric_Nativ'!$C$6:$C$405,F147,'Istoric_Nativ'!$F$6:$F$405,G147,'Istoric_Nativ'!$D$6:$D$405,"&lt;"&amp;J147,'Istoric_Nativ'!$P$6:$P$405,1,'Istoric_Nativ'!$D$6:$D$405,"&gt;="&amp;L147),SUMIFS('Istoric_Nativ'!$H$6:$H$405,'Istoric_Nativ'!$B$6:$B$405,E147,'Istoric_Nativ'!$C$6:$C$405,F147,'Istoric_Nativ'!$E$6:$E$405,G147,'Istoric_Nativ'!$D$6:$D$405,"&lt;"&amp;J147,'Istoric_Nativ'!$P$6:$P$405,1,'Istoric_Nativ'!$D$6:$D$405,"&gt;="&amp;L147)+SUMIFS('Istoric_Nativ'!$G$6:$G$405,'Istoric_Nativ'!$B$6:$B$405,E147,'Istoric_Nativ'!$C$6:$C$405,F147,'Istoric_Nativ'!$F$6:$F$405,G147,'Istoric_Nativ'!$D$6:$D$405,"&lt;"&amp;J147,'Istoric_Nativ'!$P$6:$P$405,1,'Istoric_Nativ'!$D$6:$D$405,"&gt;="&amp;L147)))/M147)</x:f>
      </x:c>
      <x:c r="P147" s="2" t="n">
        <x:f>'Config_v6'!$B$7</x:f>
        <x:v>10</x:v>
      </x:c>
      <x:c r="Q147" s="2" t="n">
        <x:f>IF(OR(B147="",F147=""),0,IFERROR(MATCH(E147&amp;"|"&amp;F147,SourceTable[Source_Key],0),0))</x:f>
        <x:v>0</x:v>
      </x:c>
      <x:c r="R147" s="2" t="str">
        <x:f>IF(B147="","",IF(F147="","UNUSED",IF(Q147=0,"NOT CHECKED",IF(COUNTIF(SourceTable[Source_Key],E147&amp;"|"&amp;F147)&lt;&gt;1,"SOURCE CONFLICT",IF(NOT(OR(INDEX(SourceTable[Status],MAX(1,Q147))="IMPORTED",INDEX(SourceTable[Status],MAX(1,Q147))="PARTIAL",INDEX(SourceTable[Status],MAX(1,Q147))="SOURCE CONFLICT")),"ACCESS BLOCKED",IF(OR(INDEX(SourceTable[Coverage],Q147)&lt;&gt;"FULL SEASON EXPORT",INDEX(SourceTable[URL],Q147)="",INDEX(SourceTable[SHA256],Q147)=""),"EVIDENCE INCOMPLETE",IF(AND('Input_Meci'!H17="LIVE",INDEX(SourceTable[Retrieved_UTC],Q147)&gt;'Input_Meci'!G17),"POST CUTOFF","CLOSED")))))))</x:f>
      </x:c>
      <x:c r="S147" s="2" t="n">
        <x:f>IF(OR(B147="",F147=""),0,COUNTIFS('Istoric_Nativ'!$B$6:$B$405,E147,'Istoric_Nativ'!$C$6:$C$405,F147,'Istoric_Nativ'!$E$6:$E$405,G147,'Istoric_Nativ'!$D$6:$D$405,"&lt;"&amp;J147,'Istoric_Nativ'!$O$6:$O$405,"INVALID")+COUNTIFS('Istoric_Nativ'!$B$6:$B$405,E147,'Istoric_Nativ'!$C$6:$C$405,F147,'Istoric_Nativ'!$E$6:$E$405,G147,'Istoric_Nativ'!$O$6:$O$405,"INVALID",'Istoric_Nativ'!$D$6:$D$405,"*")+COUNTIFS('Istoric_Nativ'!$B$6:$B$405,E147,'Istoric_Nativ'!$C$6:$C$405,F147,'Istoric_Nativ'!$E$6:$E$405,G147,'Istoric_Nativ'!$D$6:$D$405,"&lt;"&amp;J147,'Istoric_Nativ'!$O$6:$O$405,"SOURCE CONFLICT")+COUNTIFS('Istoric_Nativ'!$B$6:$B$405,E147,'Istoric_Nativ'!$C$6:$C$405,F147,'Istoric_Nativ'!$F$6:$F$405,G147,'Istoric_Nativ'!$D$6:$D$405,"&lt;"&amp;J147,'Istoric_Nativ'!$O$6:$O$405,"INVALID")+COUNTIFS('Istoric_Nativ'!$B$6:$B$405,E147,'Istoric_Nativ'!$C$6:$C$405,F147,'Istoric_Nativ'!$F$6:$F$405,G147,'Istoric_Nativ'!$O$6:$O$405,"INVALID",'Istoric_Nativ'!$D$6:$D$405,"*")+COUNTIFS('Istoric_Nativ'!$B$6:$B$405,E147,'Istoric_Nativ'!$C$6:$C$405,F147,'Istoric_Nativ'!$F$6:$F$405,G147,'Istoric_Nativ'!$D$6:$D$405,"&lt;"&amp;J147,'Istoric_Nativ'!$O$6:$O$405,"SOURCE CONFLICT"))</x:f>
        <x:v>0</x:v>
      </x:c>
      <x:c r="T147" s="2" t="str">
        <x:f>IF(B147="","",IF(R147&lt;&gt;"CLOSED",R147,IF(S147&gt;0,"NATIVE INPUT ISSUE",IF(M147=0,"NO HISTORY",IF(M147&lt;P147,"SMALL SAMPLE","DERIVED")))))</x:f>
      </x:c>
      <x:c r="U147" s="2" t="str">
        <x:f>IF(B147="","","NativeTable; "&amp;E147&amp;"; "&amp;F147&amp;"; "&amp;G147&amp;"; "&amp;H147&amp;"; before "&amp;TEXT(J147,"yyyy-mm-dd")&amp;IF(I147="RECENT","; from "&amp;TEXT(L147,"yyyy-mm-dd"),""))</x:f>
      </x:c>
    </x:row>
    <x:row r="148" ht="21" customHeight="1">
      <x:c r="A148" s="2" t="n">
        <x:v>12</x:v>
      </x:c>
      <x:c r="B148" s="2" t="str">
        <x:f>IF('Input_Meci'!A17="","",'Input_Meci'!A17)</x:f>
      </x:c>
      <x:c r="C148" s="2" t="str">
        <x:v>A</x:v>
      </x:c>
      <x:c r="D148" s="2" t="str">
        <x:v>PRIOR</x:v>
      </x:c>
      <x:c r="E148" s="2" t="str">
        <x:f>IF(B148="","",'Input_Meci'!B17)</x:f>
      </x:c>
      <x:c r="F148" s="2" t="str">
        <x:f>IF(B148="","",IF('Input_Meci'!K17="","",'Input_Meci'!K17))</x:f>
      </x:c>
      <x:c r="G148" s="2" t="str">
        <x:f>IF(B148="","",'Input_Meci'!E17)</x:f>
      </x:c>
      <x:c r="H148" s="2" t="str">
        <x:v>AWAY</x:v>
      </x:c>
      <x:c r="I148" s="2" t="str">
        <x:v>HA</x:v>
      </x:c>
      <x:c r="J148" s="9" t="n">
        <x:f>IF(AND(B148&lt;&gt;"",ISNUMBER('Input_Meci'!G17)),INT('Input_Meci'!G17),0)</x:f>
        <x:v>0</x:v>
      </x:c>
      <x:c r="K148" s="2" t="n">
        <x:f>IF(OR(B148="",F148=""),0,IF(H148="HOME",COUNTIFS('Istoric_Nativ'!$B$6:$B$405,E148,'Istoric_Nativ'!$C$6:$C$405,F148,'Istoric_Nativ'!$E$6:$E$405,G148,'Istoric_Nativ'!$D$6:$D$405,"&lt;"&amp;J148,'Istoric_Nativ'!$P$6:$P$405,1),IF(H148="AWAY",COUNTIFS('Istoric_Nativ'!$B$6:$B$405,E148,'Istoric_Nativ'!$C$6:$C$405,F148,'Istoric_Nativ'!$F$6:$F$405,G148,'Istoric_Nativ'!$D$6:$D$405,"&lt;"&amp;J148,'Istoric_Nativ'!$P$6:$P$405,1),COUNTIFS('Istoric_Nativ'!$B$6:$B$405,E148,'Istoric_Nativ'!$C$6:$C$405,F148,'Istoric_Nativ'!$E$6:$E$405,G148,'Istoric_Nativ'!$D$6:$D$405,"&lt;"&amp;J148,'Istoric_Nativ'!$P$6:$P$405,1)+COUNTIFS('Istoric_Nativ'!$B$6:$B$405,E148,'Istoric_Nativ'!$C$6:$C$405,F148,'Istoric_Nativ'!$F$6:$F$405,G148,'Istoric_Nativ'!$D$6:$D$405,"&lt;"&amp;J148,'Istoric_Nativ'!$P$6:$P$405,1))))</x:f>
        <x:v>0</x:v>
      </x:c>
      <x:c r="L148" s="17" t="n">
        <x:f>IF(AND(B148&lt;&gt;"",I148="RECENT",K148&gt;0),LARGE(_xlfn._xlws.FILTER('Istoric_Nativ'!$D$6:$D$405,('Istoric_Nativ'!$B$6:$B$405=E148)*('Istoric_Nativ'!$C$6:$C$405=F148)*('Istoric_Nativ'!$P$6:$P$405=1)*('Istoric_Nativ'!$D$6:$D$405&lt;J148)*((('Istoric_Nativ'!$E$6:$E$405=G148)+('Istoric_Nativ'!$F$6:$F$405=G148))&gt;0)),MIN('Config_v6'!$B$54,K148)),0)</x:f>
        <x:v>0</x:v>
      </x:c>
      <x:c r="M148" s="2" t="n">
        <x:f>IF(OR(B148="",F148=""),0,IF(H148="HOME",COUNTIFS('Istoric_Nativ'!$B$6:$B$405,E148,'Istoric_Nativ'!$C$6:$C$405,F148,'Istoric_Nativ'!$E$6:$E$405,G148,'Istoric_Nativ'!$D$6:$D$405,"&lt;"&amp;J148,'Istoric_Nativ'!$P$6:$P$405,1,'Istoric_Nativ'!$D$6:$D$405,"&gt;="&amp;L148),IF(H148="AWAY",COUNTIFS('Istoric_Nativ'!$B$6:$B$405,E148,'Istoric_Nativ'!$C$6:$C$405,F148,'Istoric_Nativ'!$F$6:$F$405,G148,'Istoric_Nativ'!$D$6:$D$405,"&lt;"&amp;J148,'Istoric_Nativ'!$P$6:$P$405,1,'Istoric_Nativ'!$D$6:$D$405,"&gt;="&amp;L148),COUNTIFS('Istoric_Nativ'!$B$6:$B$405,E148,'Istoric_Nativ'!$C$6:$C$405,F148,'Istoric_Nativ'!$E$6:$E$405,G148,'Istoric_Nativ'!$D$6:$D$405,"&lt;"&amp;J148,'Istoric_Nativ'!$P$6:$P$405,1,'Istoric_Nativ'!$D$6:$D$405,"&gt;="&amp;L148)+COUNTIFS('Istoric_Nativ'!$B$6:$B$405,E148,'Istoric_Nativ'!$C$6:$C$405,F148,'Istoric_Nativ'!$F$6:$F$405,G148,'Istoric_Nativ'!$D$6:$D$405,"&lt;"&amp;J148,'Istoric_Nativ'!$P$6:$P$405,1,'Istoric_Nativ'!$D$6:$D$405,"&gt;="&amp;L148))))</x:f>
        <x:v>0</x:v>
      </x:c>
      <x:c r="N148" s="11" t="str">
        <x:f>IF(M148=0,"",IF(H148="HOME",SUMIFS('Istoric_Nativ'!$G$6:$G$405,'Istoric_Nativ'!$B$6:$B$405,E148,'Istoric_Nativ'!$C$6:$C$405,F148,'Istoric_Nativ'!$E$6:$E$405,G148,'Istoric_Nativ'!$D$6:$D$405,"&lt;"&amp;J148,'Istoric_Nativ'!$P$6:$P$405,1,'Istoric_Nativ'!$D$6:$D$405,"&gt;="&amp;L148),IF(H148="AWAY",SUMIFS('Istoric_Nativ'!$H$6:$H$405,'Istoric_Nativ'!$B$6:$B$405,E148,'Istoric_Nativ'!$C$6:$C$405,F148,'Istoric_Nativ'!$F$6:$F$405,G148,'Istoric_Nativ'!$D$6:$D$405,"&lt;"&amp;J148,'Istoric_Nativ'!$P$6:$P$405,1,'Istoric_Nativ'!$D$6:$D$405,"&gt;="&amp;L148),SUMIFS('Istoric_Nativ'!$G$6:$G$405,'Istoric_Nativ'!$B$6:$B$405,E148,'Istoric_Nativ'!$C$6:$C$405,F148,'Istoric_Nativ'!$E$6:$E$405,G148,'Istoric_Nativ'!$D$6:$D$405,"&lt;"&amp;J148,'Istoric_Nativ'!$P$6:$P$405,1,'Istoric_Nativ'!$D$6:$D$405,"&gt;="&amp;L148)+SUMIFS('Istoric_Nativ'!$H$6:$H$405,'Istoric_Nativ'!$B$6:$B$405,E148,'Istoric_Nativ'!$C$6:$C$405,F148,'Istoric_Nativ'!$F$6:$F$405,G148,'Istoric_Nativ'!$D$6:$D$405,"&lt;"&amp;J148,'Istoric_Nativ'!$P$6:$P$405,1,'Istoric_Nativ'!$D$6:$D$405,"&gt;="&amp;L148)))/M148)</x:f>
      </x:c>
      <x:c r="O148" s="11" t="str">
        <x:f>IF(M148=0,"",IF(H148="HOME",SUMIFS('Istoric_Nativ'!$H$6:$H$405,'Istoric_Nativ'!$B$6:$B$405,E148,'Istoric_Nativ'!$C$6:$C$405,F148,'Istoric_Nativ'!$E$6:$E$405,G148,'Istoric_Nativ'!$D$6:$D$405,"&lt;"&amp;J148,'Istoric_Nativ'!$P$6:$P$405,1,'Istoric_Nativ'!$D$6:$D$405,"&gt;="&amp;L148),IF(H148="AWAY",SUMIFS('Istoric_Nativ'!$G$6:$G$405,'Istoric_Nativ'!$B$6:$B$405,E148,'Istoric_Nativ'!$C$6:$C$405,F148,'Istoric_Nativ'!$F$6:$F$405,G148,'Istoric_Nativ'!$D$6:$D$405,"&lt;"&amp;J148,'Istoric_Nativ'!$P$6:$P$405,1,'Istoric_Nativ'!$D$6:$D$405,"&gt;="&amp;L148),SUMIFS('Istoric_Nativ'!$H$6:$H$405,'Istoric_Nativ'!$B$6:$B$405,E148,'Istoric_Nativ'!$C$6:$C$405,F148,'Istoric_Nativ'!$E$6:$E$405,G148,'Istoric_Nativ'!$D$6:$D$405,"&lt;"&amp;J148,'Istoric_Nativ'!$P$6:$P$405,1,'Istoric_Nativ'!$D$6:$D$405,"&gt;="&amp;L148)+SUMIFS('Istoric_Nativ'!$G$6:$G$405,'Istoric_Nativ'!$B$6:$B$405,E148,'Istoric_Nativ'!$C$6:$C$405,F148,'Istoric_Nativ'!$F$6:$F$405,G148,'Istoric_Nativ'!$D$6:$D$405,"&lt;"&amp;J148,'Istoric_Nativ'!$P$6:$P$405,1,'Istoric_Nativ'!$D$6:$D$405,"&gt;="&amp;L148)))/M148)</x:f>
      </x:c>
      <x:c r="P148" s="2" t="n">
        <x:f>'Config_v6'!$B$8</x:f>
        <x:v>5</x:v>
      </x:c>
      <x:c r="Q148" s="2" t="n">
        <x:f>IF(OR(B148="",F148=""),0,IFERROR(MATCH(E148&amp;"|"&amp;F148,SourceTable[Source_Key],0),0))</x:f>
        <x:v>0</x:v>
      </x:c>
      <x:c r="R148" s="2" t="str">
        <x:f>IF(B148="","",IF(F148="","UNUSED",IF(Q148=0,"NOT CHECKED",IF(COUNTIF(SourceTable[Source_Key],E148&amp;"|"&amp;F148)&lt;&gt;1,"SOURCE CONFLICT",IF(NOT(OR(INDEX(SourceTable[Status],MAX(1,Q148))="IMPORTED",INDEX(SourceTable[Status],MAX(1,Q148))="PARTIAL",INDEX(SourceTable[Status],MAX(1,Q148))="SOURCE CONFLICT")),"ACCESS BLOCKED",IF(OR(INDEX(SourceTable[Coverage],Q148)&lt;&gt;"FULL SEASON EXPORT",INDEX(SourceTable[URL],Q148)="",INDEX(SourceTable[SHA256],Q148)=""),"EVIDENCE INCOMPLETE",IF(AND('Input_Meci'!H17="LIVE",INDEX(SourceTable[Retrieved_UTC],Q148)&gt;'Input_Meci'!G17),"POST CUTOFF","CLOSED")))))))</x:f>
      </x:c>
      <x:c r="S148" s="2" t="n">
        <x:f>IF(OR(B148="",F148=""),0,COUNTIFS('Istoric_Nativ'!$B$6:$B$405,E148,'Istoric_Nativ'!$C$6:$C$405,F148,'Istoric_Nativ'!$E$6:$E$405,G148,'Istoric_Nativ'!$D$6:$D$405,"&lt;"&amp;J148,'Istoric_Nativ'!$O$6:$O$405,"INVALID")+COUNTIFS('Istoric_Nativ'!$B$6:$B$405,E148,'Istoric_Nativ'!$C$6:$C$405,F148,'Istoric_Nativ'!$E$6:$E$405,G148,'Istoric_Nativ'!$O$6:$O$405,"INVALID",'Istoric_Nativ'!$D$6:$D$405,"*")+COUNTIFS('Istoric_Nativ'!$B$6:$B$405,E148,'Istoric_Nativ'!$C$6:$C$405,F148,'Istoric_Nativ'!$E$6:$E$405,G148,'Istoric_Nativ'!$D$6:$D$405,"&lt;"&amp;J148,'Istoric_Nativ'!$O$6:$O$405,"SOURCE CONFLICT")+COUNTIFS('Istoric_Nativ'!$B$6:$B$405,E148,'Istoric_Nativ'!$C$6:$C$405,F148,'Istoric_Nativ'!$F$6:$F$405,G148,'Istoric_Nativ'!$D$6:$D$405,"&lt;"&amp;J148,'Istoric_Nativ'!$O$6:$O$405,"INVALID")+COUNTIFS('Istoric_Nativ'!$B$6:$B$405,E148,'Istoric_Nativ'!$C$6:$C$405,F148,'Istoric_Nativ'!$F$6:$F$405,G148,'Istoric_Nativ'!$O$6:$O$405,"INVALID",'Istoric_Nativ'!$D$6:$D$405,"*")+COUNTIFS('Istoric_Nativ'!$B$6:$B$405,E148,'Istoric_Nativ'!$C$6:$C$405,F148,'Istoric_Nativ'!$F$6:$F$405,G148,'Istoric_Nativ'!$D$6:$D$405,"&lt;"&amp;J148,'Istoric_Nativ'!$O$6:$O$405,"SOURCE CONFLICT"))</x:f>
        <x:v>0</x:v>
      </x:c>
      <x:c r="T148" s="2" t="str">
        <x:f>IF(B148="","",IF(R148&lt;&gt;"CLOSED",R148,IF(S148&gt;0,"NATIVE INPUT ISSUE",IF(M148=0,"NO HISTORY",IF(M148&lt;P148,"SMALL SAMPLE","DERIVED")))))</x:f>
      </x:c>
      <x:c r="U148" s="2" t="str">
        <x:f>IF(B148="","","NativeTable; "&amp;E148&amp;"; "&amp;F148&amp;"; "&amp;G148&amp;"; "&amp;H148&amp;"; before "&amp;TEXT(J148,"yyyy-mm-dd")&amp;IF(I148="RECENT","; from "&amp;TEXT(L148,"yyyy-mm-dd"),""))</x:f>
      </x:c>
    </x:row>
    <x:row r="149" ht="21" customHeight="1">
      <x:c r="A149" s="2" t="n">
        <x:v>12</x:v>
      </x:c>
      <x:c r="B149" s="2" t="str">
        <x:f>IF('Input_Meci'!A17="","",'Input_Meci'!A17)</x:f>
      </x:c>
      <x:c r="C149" s="2" t="str">
        <x:v>A</x:v>
      </x:c>
      <x:c r="D149" s="2" t="str">
        <x:v>PRIOR</x:v>
      </x:c>
      <x:c r="E149" s="2" t="str">
        <x:f>IF(B149="","",'Input_Meci'!B17)</x:f>
      </x:c>
      <x:c r="F149" s="2" t="str">
        <x:f>IF(B149="","",IF('Input_Meci'!K17="","",'Input_Meci'!K17))</x:f>
      </x:c>
      <x:c r="G149" s="2" t="str">
        <x:f>IF(B149="","",'Input_Meci'!E17)</x:f>
      </x:c>
      <x:c r="H149" s="2" t="str">
        <x:v>ANY</x:v>
      </x:c>
      <x:c r="I149" s="2" t="str">
        <x:v>RECENT</x:v>
      </x:c>
      <x:c r="J149" s="9" t="n">
        <x:f>IF(AND(B149&lt;&gt;"",ISNUMBER('Input_Meci'!G17)),INT('Input_Meci'!G17),0)</x:f>
        <x:v>0</x:v>
      </x:c>
      <x:c r="K149" s="2" t="n">
        <x:f>IF(OR(B149="",F149=""),0,IF(H149="HOME",COUNTIFS('Istoric_Nativ'!$B$6:$B$405,E149,'Istoric_Nativ'!$C$6:$C$405,F149,'Istoric_Nativ'!$E$6:$E$405,G149,'Istoric_Nativ'!$D$6:$D$405,"&lt;"&amp;J149,'Istoric_Nativ'!$P$6:$P$405,1),IF(H149="AWAY",COUNTIFS('Istoric_Nativ'!$B$6:$B$405,E149,'Istoric_Nativ'!$C$6:$C$405,F149,'Istoric_Nativ'!$F$6:$F$405,G149,'Istoric_Nativ'!$D$6:$D$405,"&lt;"&amp;J149,'Istoric_Nativ'!$P$6:$P$405,1),COUNTIFS('Istoric_Nativ'!$B$6:$B$405,E149,'Istoric_Nativ'!$C$6:$C$405,F149,'Istoric_Nativ'!$E$6:$E$405,G149,'Istoric_Nativ'!$D$6:$D$405,"&lt;"&amp;J149,'Istoric_Nativ'!$P$6:$P$405,1)+COUNTIFS('Istoric_Nativ'!$B$6:$B$405,E149,'Istoric_Nativ'!$C$6:$C$405,F149,'Istoric_Nativ'!$F$6:$F$405,G149,'Istoric_Nativ'!$D$6:$D$405,"&lt;"&amp;J149,'Istoric_Nativ'!$P$6:$P$405,1))))</x:f>
        <x:v>0</x:v>
      </x:c>
      <x:c r="L149" s="17" t="n">
        <x:f>IF(AND(B149&lt;&gt;"",I149="RECENT",K149&gt;0),LARGE(_xlfn._xlws.FILTER('Istoric_Nativ'!$D$6:$D$405,('Istoric_Nativ'!$B$6:$B$405=E149)*('Istoric_Nativ'!$C$6:$C$405=F149)*('Istoric_Nativ'!$P$6:$P$405=1)*('Istoric_Nativ'!$D$6:$D$405&lt;J149)*((('Istoric_Nativ'!$E$6:$E$405=G149)+('Istoric_Nativ'!$F$6:$F$405=G149))&gt;0)),MIN('Config_v6'!$B$54,K149)),0)</x:f>
        <x:v>0</x:v>
      </x:c>
      <x:c r="M149" s="2" t="n">
        <x:f>IF(OR(B149="",F149=""),0,IF(H149="HOME",COUNTIFS('Istoric_Nativ'!$B$6:$B$405,E149,'Istoric_Nativ'!$C$6:$C$405,F149,'Istoric_Nativ'!$E$6:$E$405,G149,'Istoric_Nativ'!$D$6:$D$405,"&lt;"&amp;J149,'Istoric_Nativ'!$P$6:$P$405,1,'Istoric_Nativ'!$D$6:$D$405,"&gt;="&amp;L149),IF(H149="AWAY",COUNTIFS('Istoric_Nativ'!$B$6:$B$405,E149,'Istoric_Nativ'!$C$6:$C$405,F149,'Istoric_Nativ'!$F$6:$F$405,G149,'Istoric_Nativ'!$D$6:$D$405,"&lt;"&amp;J149,'Istoric_Nativ'!$P$6:$P$405,1,'Istoric_Nativ'!$D$6:$D$405,"&gt;="&amp;L149),COUNTIFS('Istoric_Nativ'!$B$6:$B$405,E149,'Istoric_Nativ'!$C$6:$C$405,F149,'Istoric_Nativ'!$E$6:$E$405,G149,'Istoric_Nativ'!$D$6:$D$405,"&lt;"&amp;J149,'Istoric_Nativ'!$P$6:$P$405,1,'Istoric_Nativ'!$D$6:$D$405,"&gt;="&amp;L149)+COUNTIFS('Istoric_Nativ'!$B$6:$B$405,E149,'Istoric_Nativ'!$C$6:$C$405,F149,'Istoric_Nativ'!$F$6:$F$405,G149,'Istoric_Nativ'!$D$6:$D$405,"&lt;"&amp;J149,'Istoric_Nativ'!$P$6:$P$405,1,'Istoric_Nativ'!$D$6:$D$405,"&gt;="&amp;L149))))</x:f>
        <x:v>0</x:v>
      </x:c>
      <x:c r="N149" s="11" t="str">
        <x:f>IF(M149=0,"",IF(H149="HOME",SUMIFS('Istoric_Nativ'!$G$6:$G$405,'Istoric_Nativ'!$B$6:$B$405,E149,'Istoric_Nativ'!$C$6:$C$405,F149,'Istoric_Nativ'!$E$6:$E$405,G149,'Istoric_Nativ'!$D$6:$D$405,"&lt;"&amp;J149,'Istoric_Nativ'!$P$6:$P$405,1,'Istoric_Nativ'!$D$6:$D$405,"&gt;="&amp;L149),IF(H149="AWAY",SUMIFS('Istoric_Nativ'!$H$6:$H$405,'Istoric_Nativ'!$B$6:$B$405,E149,'Istoric_Nativ'!$C$6:$C$405,F149,'Istoric_Nativ'!$F$6:$F$405,G149,'Istoric_Nativ'!$D$6:$D$405,"&lt;"&amp;J149,'Istoric_Nativ'!$P$6:$P$405,1,'Istoric_Nativ'!$D$6:$D$405,"&gt;="&amp;L149),SUMIFS('Istoric_Nativ'!$G$6:$G$405,'Istoric_Nativ'!$B$6:$B$405,E149,'Istoric_Nativ'!$C$6:$C$405,F149,'Istoric_Nativ'!$E$6:$E$405,G149,'Istoric_Nativ'!$D$6:$D$405,"&lt;"&amp;J149,'Istoric_Nativ'!$P$6:$P$405,1,'Istoric_Nativ'!$D$6:$D$405,"&gt;="&amp;L149)+SUMIFS('Istoric_Nativ'!$H$6:$H$405,'Istoric_Nativ'!$B$6:$B$405,E149,'Istoric_Nativ'!$C$6:$C$405,F149,'Istoric_Nativ'!$F$6:$F$405,G149,'Istoric_Nativ'!$D$6:$D$405,"&lt;"&amp;J149,'Istoric_Nativ'!$P$6:$P$405,1,'Istoric_Nativ'!$D$6:$D$405,"&gt;="&amp;L149)))/M149)</x:f>
      </x:c>
      <x:c r="O149" s="11" t="str">
        <x:f>IF(M149=0,"",IF(H149="HOME",SUMIFS('Istoric_Nativ'!$H$6:$H$405,'Istoric_Nativ'!$B$6:$B$405,E149,'Istoric_Nativ'!$C$6:$C$405,F149,'Istoric_Nativ'!$E$6:$E$405,G149,'Istoric_Nativ'!$D$6:$D$405,"&lt;"&amp;J149,'Istoric_Nativ'!$P$6:$P$405,1,'Istoric_Nativ'!$D$6:$D$405,"&gt;="&amp;L149),IF(H149="AWAY",SUMIFS('Istoric_Nativ'!$G$6:$G$405,'Istoric_Nativ'!$B$6:$B$405,E149,'Istoric_Nativ'!$C$6:$C$405,F149,'Istoric_Nativ'!$F$6:$F$405,G149,'Istoric_Nativ'!$D$6:$D$405,"&lt;"&amp;J149,'Istoric_Nativ'!$P$6:$P$405,1,'Istoric_Nativ'!$D$6:$D$405,"&gt;="&amp;L149),SUMIFS('Istoric_Nativ'!$H$6:$H$405,'Istoric_Nativ'!$B$6:$B$405,E149,'Istoric_Nativ'!$C$6:$C$405,F149,'Istoric_Nativ'!$E$6:$E$405,G149,'Istoric_Nativ'!$D$6:$D$405,"&lt;"&amp;J149,'Istoric_Nativ'!$P$6:$P$405,1,'Istoric_Nativ'!$D$6:$D$405,"&gt;="&amp;L149)+SUMIFS('Istoric_Nativ'!$G$6:$G$405,'Istoric_Nativ'!$B$6:$B$405,E149,'Istoric_Nativ'!$C$6:$C$405,F149,'Istoric_Nativ'!$F$6:$F$405,G149,'Istoric_Nativ'!$D$6:$D$405,"&lt;"&amp;J149,'Istoric_Nativ'!$P$6:$P$405,1,'Istoric_Nativ'!$D$6:$D$405,"&gt;="&amp;L149)))/M149)</x:f>
      </x:c>
      <x:c r="P149" s="2" t="n">
        <x:f>'Config_v6'!$B$9</x:f>
        <x:v>3</x:v>
      </x:c>
      <x:c r="Q149" s="2" t="n">
        <x:f>IF(OR(B149="",F149=""),0,IFERROR(MATCH(E149&amp;"|"&amp;F149,SourceTable[Source_Key],0),0))</x:f>
        <x:v>0</x:v>
      </x:c>
      <x:c r="R149" s="2" t="str">
        <x:f>IF(B149="","",IF(F149="","UNUSED",IF(Q149=0,"NOT CHECKED",IF(COUNTIF(SourceTable[Source_Key],E149&amp;"|"&amp;F149)&lt;&gt;1,"SOURCE CONFLICT",IF(NOT(OR(INDEX(SourceTable[Status],MAX(1,Q149))="IMPORTED",INDEX(SourceTable[Status],MAX(1,Q149))="PARTIAL",INDEX(SourceTable[Status],MAX(1,Q149))="SOURCE CONFLICT")),"ACCESS BLOCKED",IF(OR(INDEX(SourceTable[Coverage],Q149)&lt;&gt;"FULL SEASON EXPORT",INDEX(SourceTable[URL],Q149)="",INDEX(SourceTable[SHA256],Q149)=""),"EVIDENCE INCOMPLETE",IF(AND('Input_Meci'!H17="LIVE",INDEX(SourceTable[Retrieved_UTC],Q149)&gt;'Input_Meci'!G17),"POST CUTOFF","CLOSED")))))))</x:f>
      </x:c>
      <x:c r="S149" s="2" t="n">
        <x:f>IF(OR(B149="",F149=""),0,COUNTIFS('Istoric_Nativ'!$B$6:$B$405,E149,'Istoric_Nativ'!$C$6:$C$405,F149,'Istoric_Nativ'!$E$6:$E$405,G149,'Istoric_Nativ'!$D$6:$D$405,"&lt;"&amp;J149,'Istoric_Nativ'!$O$6:$O$405,"INVALID")+COUNTIFS('Istoric_Nativ'!$B$6:$B$405,E149,'Istoric_Nativ'!$C$6:$C$405,F149,'Istoric_Nativ'!$E$6:$E$405,G149,'Istoric_Nativ'!$O$6:$O$405,"INVALID",'Istoric_Nativ'!$D$6:$D$405,"*")+COUNTIFS('Istoric_Nativ'!$B$6:$B$405,E149,'Istoric_Nativ'!$C$6:$C$405,F149,'Istoric_Nativ'!$E$6:$E$405,G149,'Istoric_Nativ'!$D$6:$D$405,"&lt;"&amp;J149,'Istoric_Nativ'!$O$6:$O$405,"SOURCE CONFLICT")+COUNTIFS('Istoric_Nativ'!$B$6:$B$405,E149,'Istoric_Nativ'!$C$6:$C$405,F149,'Istoric_Nativ'!$F$6:$F$405,G149,'Istoric_Nativ'!$D$6:$D$405,"&lt;"&amp;J149,'Istoric_Nativ'!$O$6:$O$405,"INVALID")+COUNTIFS('Istoric_Nativ'!$B$6:$B$405,E149,'Istoric_Nativ'!$C$6:$C$405,F149,'Istoric_Nativ'!$F$6:$F$405,G149,'Istoric_Nativ'!$O$6:$O$405,"INVALID",'Istoric_Nativ'!$D$6:$D$405,"*")+COUNTIFS('Istoric_Nativ'!$B$6:$B$405,E149,'Istoric_Nativ'!$C$6:$C$405,F149,'Istoric_Nativ'!$F$6:$F$405,G149,'Istoric_Nativ'!$D$6:$D$405,"&lt;"&amp;J149,'Istoric_Nativ'!$O$6:$O$405,"SOURCE CONFLICT"))</x:f>
        <x:v>0</x:v>
      </x:c>
      <x:c r="T149" s="2" t="str">
        <x:f>IF(B149="","",IF(R149&lt;&gt;"CLOSED",R149,IF(S149&gt;0,"NATIVE INPUT ISSUE",IF(M149=0,"NO HISTORY",IF(M149&lt;P149,"SMALL SAMPLE","DERIVED")))))</x:f>
      </x:c>
      <x:c r="U149" s="2" t="str">
        <x:f>IF(B149="","","NativeTable; "&amp;E149&amp;"; "&amp;F149&amp;"; "&amp;G149&amp;"; "&amp;H149&amp;"; before "&amp;TEXT(J149,"yyyy-mm-dd")&amp;IF(I149="RECENT","; from "&amp;TEXT(L149,"yyyy-mm-dd"),""))</x:f>
      </x:c>
    </x:row>
    <x:row r="150" ht="21" customHeight="1">
      <x:c r="A150" s="2" t="n">
        <x:v>13</x:v>
      </x:c>
      <x:c r="B150" s="2" t="str">
        <x:f>IF('Input_Meci'!A18="","",'Input_Meci'!A18)</x:f>
      </x:c>
      <x:c r="C150" s="2" t="str">
        <x:v>H</x:v>
      </x:c>
      <x:c r="D150" s="2" t="str">
        <x:v>CURRENT</x:v>
      </x:c>
      <x:c r="E150" s="2" t="str">
        <x:f>IF(B150="","",'Input_Meci'!B18)</x:f>
      </x:c>
      <x:c r="F150" s="2" t="str">
        <x:f>IF(B150="","",IF('Input_Meci'!C18="","",'Input_Meci'!C18))</x:f>
      </x:c>
      <x:c r="G150" s="2" t="str">
        <x:f>IF(B150="","",'Input_Meci'!D18)</x:f>
      </x:c>
      <x:c r="H150" s="2" t="str">
        <x:v>ANY</x:v>
      </x:c>
      <x:c r="I150" s="2" t="str">
        <x:v>SEASON</x:v>
      </x:c>
      <x:c r="J150" s="9" t="n">
        <x:f>IF(AND(B150&lt;&gt;"",ISNUMBER('Input_Meci'!G18)),INT('Input_Meci'!G18),0)</x:f>
        <x:v>0</x:v>
      </x:c>
      <x:c r="K150" s="2" t="n">
        <x:f>IF(OR(B150="",F150=""),0,IF(H150="HOME",COUNTIFS('Istoric_Nativ'!$B$6:$B$405,E150,'Istoric_Nativ'!$C$6:$C$405,F150,'Istoric_Nativ'!$E$6:$E$405,G150,'Istoric_Nativ'!$D$6:$D$405,"&lt;"&amp;J150,'Istoric_Nativ'!$P$6:$P$405,1),IF(H150="AWAY",COUNTIFS('Istoric_Nativ'!$B$6:$B$405,E150,'Istoric_Nativ'!$C$6:$C$405,F150,'Istoric_Nativ'!$F$6:$F$405,G150,'Istoric_Nativ'!$D$6:$D$405,"&lt;"&amp;J150,'Istoric_Nativ'!$P$6:$P$405,1),COUNTIFS('Istoric_Nativ'!$B$6:$B$405,E150,'Istoric_Nativ'!$C$6:$C$405,F150,'Istoric_Nativ'!$E$6:$E$405,G150,'Istoric_Nativ'!$D$6:$D$405,"&lt;"&amp;J150,'Istoric_Nativ'!$P$6:$P$405,1)+COUNTIFS('Istoric_Nativ'!$B$6:$B$405,E150,'Istoric_Nativ'!$C$6:$C$405,F150,'Istoric_Nativ'!$F$6:$F$405,G150,'Istoric_Nativ'!$D$6:$D$405,"&lt;"&amp;J150,'Istoric_Nativ'!$P$6:$P$405,1))))</x:f>
        <x:v>0</x:v>
      </x:c>
      <x:c r="L150" s="17" t="n">
        <x:f>IF(AND(B150&lt;&gt;"",I150="RECENT",K150&gt;0),LARGE(_xlfn._xlws.FILTER('Istoric_Nativ'!$D$6:$D$405,('Istoric_Nativ'!$B$6:$B$405=E150)*('Istoric_Nativ'!$C$6:$C$405=F150)*('Istoric_Nativ'!$P$6:$P$405=1)*('Istoric_Nativ'!$D$6:$D$405&lt;J150)*((('Istoric_Nativ'!$E$6:$E$405=G150)+('Istoric_Nativ'!$F$6:$F$405=G150))&gt;0)),MIN('Config_v6'!$B$54,K150)),0)</x:f>
        <x:v>0</x:v>
      </x:c>
      <x:c r="M150" s="2" t="n">
        <x:f>IF(OR(B150="",F150=""),0,IF(H150="HOME",COUNTIFS('Istoric_Nativ'!$B$6:$B$405,E150,'Istoric_Nativ'!$C$6:$C$405,F150,'Istoric_Nativ'!$E$6:$E$405,G150,'Istoric_Nativ'!$D$6:$D$405,"&lt;"&amp;J150,'Istoric_Nativ'!$P$6:$P$405,1,'Istoric_Nativ'!$D$6:$D$405,"&gt;="&amp;L150),IF(H150="AWAY",COUNTIFS('Istoric_Nativ'!$B$6:$B$405,E150,'Istoric_Nativ'!$C$6:$C$405,F150,'Istoric_Nativ'!$F$6:$F$405,G150,'Istoric_Nativ'!$D$6:$D$405,"&lt;"&amp;J150,'Istoric_Nativ'!$P$6:$P$405,1,'Istoric_Nativ'!$D$6:$D$405,"&gt;="&amp;L150),COUNTIFS('Istoric_Nativ'!$B$6:$B$405,E150,'Istoric_Nativ'!$C$6:$C$405,F150,'Istoric_Nativ'!$E$6:$E$405,G150,'Istoric_Nativ'!$D$6:$D$405,"&lt;"&amp;J150,'Istoric_Nativ'!$P$6:$P$405,1,'Istoric_Nativ'!$D$6:$D$405,"&gt;="&amp;L150)+COUNTIFS('Istoric_Nativ'!$B$6:$B$405,E150,'Istoric_Nativ'!$C$6:$C$405,F150,'Istoric_Nativ'!$F$6:$F$405,G150,'Istoric_Nativ'!$D$6:$D$405,"&lt;"&amp;J150,'Istoric_Nativ'!$P$6:$P$405,1,'Istoric_Nativ'!$D$6:$D$405,"&gt;="&amp;L150))))</x:f>
        <x:v>0</x:v>
      </x:c>
      <x:c r="N150" s="11" t="str">
        <x:f>IF(M150=0,"",IF(H150="HOME",SUMIFS('Istoric_Nativ'!$G$6:$G$405,'Istoric_Nativ'!$B$6:$B$405,E150,'Istoric_Nativ'!$C$6:$C$405,F150,'Istoric_Nativ'!$E$6:$E$405,G150,'Istoric_Nativ'!$D$6:$D$405,"&lt;"&amp;J150,'Istoric_Nativ'!$P$6:$P$405,1,'Istoric_Nativ'!$D$6:$D$405,"&gt;="&amp;L150),IF(H150="AWAY",SUMIFS('Istoric_Nativ'!$H$6:$H$405,'Istoric_Nativ'!$B$6:$B$405,E150,'Istoric_Nativ'!$C$6:$C$405,F150,'Istoric_Nativ'!$F$6:$F$405,G150,'Istoric_Nativ'!$D$6:$D$405,"&lt;"&amp;J150,'Istoric_Nativ'!$P$6:$P$405,1,'Istoric_Nativ'!$D$6:$D$405,"&gt;="&amp;L150),SUMIFS('Istoric_Nativ'!$G$6:$G$405,'Istoric_Nativ'!$B$6:$B$405,E150,'Istoric_Nativ'!$C$6:$C$405,F150,'Istoric_Nativ'!$E$6:$E$405,G150,'Istoric_Nativ'!$D$6:$D$405,"&lt;"&amp;J150,'Istoric_Nativ'!$P$6:$P$405,1,'Istoric_Nativ'!$D$6:$D$405,"&gt;="&amp;L150)+SUMIFS('Istoric_Nativ'!$H$6:$H$405,'Istoric_Nativ'!$B$6:$B$405,E150,'Istoric_Nativ'!$C$6:$C$405,F150,'Istoric_Nativ'!$F$6:$F$405,G150,'Istoric_Nativ'!$D$6:$D$405,"&lt;"&amp;J150,'Istoric_Nativ'!$P$6:$P$405,1,'Istoric_Nativ'!$D$6:$D$405,"&gt;="&amp;L150)))/M150)</x:f>
      </x:c>
      <x:c r="O150" s="11" t="str">
        <x:f>IF(M150=0,"",IF(H150="HOME",SUMIFS('Istoric_Nativ'!$H$6:$H$405,'Istoric_Nativ'!$B$6:$B$405,E150,'Istoric_Nativ'!$C$6:$C$405,F150,'Istoric_Nativ'!$E$6:$E$405,G150,'Istoric_Nativ'!$D$6:$D$405,"&lt;"&amp;J150,'Istoric_Nativ'!$P$6:$P$405,1,'Istoric_Nativ'!$D$6:$D$405,"&gt;="&amp;L150),IF(H150="AWAY",SUMIFS('Istoric_Nativ'!$G$6:$G$405,'Istoric_Nativ'!$B$6:$B$405,E150,'Istoric_Nativ'!$C$6:$C$405,F150,'Istoric_Nativ'!$F$6:$F$405,G150,'Istoric_Nativ'!$D$6:$D$405,"&lt;"&amp;J150,'Istoric_Nativ'!$P$6:$P$405,1,'Istoric_Nativ'!$D$6:$D$405,"&gt;="&amp;L150),SUMIFS('Istoric_Nativ'!$H$6:$H$405,'Istoric_Nativ'!$B$6:$B$405,E150,'Istoric_Nativ'!$C$6:$C$405,F150,'Istoric_Nativ'!$E$6:$E$405,G150,'Istoric_Nativ'!$D$6:$D$405,"&lt;"&amp;J150,'Istoric_Nativ'!$P$6:$P$405,1,'Istoric_Nativ'!$D$6:$D$405,"&gt;="&amp;L150)+SUMIFS('Istoric_Nativ'!$G$6:$G$405,'Istoric_Nativ'!$B$6:$B$405,E150,'Istoric_Nativ'!$C$6:$C$405,F150,'Istoric_Nativ'!$F$6:$F$405,G150,'Istoric_Nativ'!$D$6:$D$405,"&lt;"&amp;J150,'Istoric_Nativ'!$P$6:$P$405,1,'Istoric_Nativ'!$D$6:$D$405,"&gt;="&amp;L150)))/M150)</x:f>
      </x:c>
      <x:c r="P150" s="2" t="n">
        <x:f>'Config_v6'!$B$7</x:f>
        <x:v>10</x:v>
      </x:c>
      <x:c r="Q150" s="2" t="n">
        <x:f>IF(OR(B150="",F150=""),0,IFERROR(MATCH(E150&amp;"|"&amp;F150,SourceTable[Source_Key],0),0))</x:f>
        <x:v>0</x:v>
      </x:c>
      <x:c r="R150" s="2" t="str">
        <x:f>IF(B150="","",IF(F150="","UNUSED",IF(Q150=0,"NOT CHECKED",IF(COUNTIF(SourceTable[Source_Key],E150&amp;"|"&amp;F150)&lt;&gt;1,"SOURCE CONFLICT",IF(NOT(OR(INDEX(SourceTable[Status],MAX(1,Q150))="IMPORTED",INDEX(SourceTable[Status],MAX(1,Q150))="PARTIAL",INDEX(SourceTable[Status],MAX(1,Q150))="SOURCE CONFLICT")),"ACCESS BLOCKED",IF(OR(INDEX(SourceTable[Coverage],Q150)&lt;&gt;"FULL SEASON EXPORT",INDEX(SourceTable[URL],Q150)="",INDEX(SourceTable[SHA256],Q150)=""),"EVIDENCE INCOMPLETE",IF(AND('Input_Meci'!H18="LIVE",INDEX(SourceTable[Retrieved_UTC],Q150)&gt;'Input_Meci'!G18),"POST CUTOFF","CLOSED")))))))</x:f>
      </x:c>
      <x:c r="S150" s="2" t="n">
        <x:f>IF(OR(B150="",F150=""),0,COUNTIFS('Istoric_Nativ'!$B$6:$B$405,E150,'Istoric_Nativ'!$C$6:$C$405,F150,'Istoric_Nativ'!$E$6:$E$405,G150,'Istoric_Nativ'!$D$6:$D$405,"&lt;"&amp;J150,'Istoric_Nativ'!$O$6:$O$405,"INVALID")+COUNTIFS('Istoric_Nativ'!$B$6:$B$405,E150,'Istoric_Nativ'!$C$6:$C$405,F150,'Istoric_Nativ'!$E$6:$E$405,G150,'Istoric_Nativ'!$O$6:$O$405,"INVALID",'Istoric_Nativ'!$D$6:$D$405,"*")+COUNTIFS('Istoric_Nativ'!$B$6:$B$405,E150,'Istoric_Nativ'!$C$6:$C$405,F150,'Istoric_Nativ'!$E$6:$E$405,G150,'Istoric_Nativ'!$D$6:$D$405,"&lt;"&amp;J150,'Istoric_Nativ'!$O$6:$O$405,"SOURCE CONFLICT")+COUNTIFS('Istoric_Nativ'!$B$6:$B$405,E150,'Istoric_Nativ'!$C$6:$C$405,F150,'Istoric_Nativ'!$F$6:$F$405,G150,'Istoric_Nativ'!$D$6:$D$405,"&lt;"&amp;J150,'Istoric_Nativ'!$O$6:$O$405,"INVALID")+COUNTIFS('Istoric_Nativ'!$B$6:$B$405,E150,'Istoric_Nativ'!$C$6:$C$405,F150,'Istoric_Nativ'!$F$6:$F$405,G150,'Istoric_Nativ'!$O$6:$O$405,"INVALID",'Istoric_Nativ'!$D$6:$D$405,"*")+COUNTIFS('Istoric_Nativ'!$B$6:$B$405,E150,'Istoric_Nativ'!$C$6:$C$405,F150,'Istoric_Nativ'!$F$6:$F$405,G150,'Istoric_Nativ'!$D$6:$D$405,"&lt;"&amp;J150,'Istoric_Nativ'!$O$6:$O$405,"SOURCE CONFLICT"))</x:f>
        <x:v>0</x:v>
      </x:c>
      <x:c r="T150" s="2" t="str">
        <x:f>IF(B150="","",IF(R150&lt;&gt;"CLOSED",R150,IF(S150&gt;0,"NATIVE INPUT ISSUE",IF(M150=0,"NO HISTORY",IF(M150&lt;P150,"SMALL SAMPLE","DERIVED")))))</x:f>
      </x:c>
      <x:c r="U150" s="2" t="str">
        <x:f>IF(B150="","","NativeTable; "&amp;E150&amp;"; "&amp;F150&amp;"; "&amp;G150&amp;"; "&amp;H150&amp;"; before "&amp;TEXT(J150,"yyyy-mm-dd")&amp;IF(I150="RECENT","; from "&amp;TEXT(L150,"yyyy-mm-dd"),""))</x:f>
      </x:c>
    </x:row>
    <x:row r="151" ht="21" customHeight="1">
      <x:c r="A151" s="2" t="n">
        <x:v>13</x:v>
      </x:c>
      <x:c r="B151" s="2" t="str">
        <x:f>IF('Input_Meci'!A18="","",'Input_Meci'!A18)</x:f>
      </x:c>
      <x:c r="C151" s="2" t="str">
        <x:v>H</x:v>
      </x:c>
      <x:c r="D151" s="2" t="str">
        <x:v>CURRENT</x:v>
      </x:c>
      <x:c r="E151" s="2" t="str">
        <x:f>IF(B151="","",'Input_Meci'!B18)</x:f>
      </x:c>
      <x:c r="F151" s="2" t="str">
        <x:f>IF(B151="","",IF('Input_Meci'!C18="","",'Input_Meci'!C18))</x:f>
      </x:c>
      <x:c r="G151" s="2" t="str">
        <x:f>IF(B151="","",'Input_Meci'!D18)</x:f>
      </x:c>
      <x:c r="H151" s="2" t="str">
        <x:v>HOME</x:v>
      </x:c>
      <x:c r="I151" s="2" t="str">
        <x:v>HA</x:v>
      </x:c>
      <x:c r="J151" s="9" t="n">
        <x:f>IF(AND(B151&lt;&gt;"",ISNUMBER('Input_Meci'!G18)),INT('Input_Meci'!G18),0)</x:f>
        <x:v>0</x:v>
      </x:c>
      <x:c r="K151" s="2" t="n">
        <x:f>IF(OR(B151="",F151=""),0,IF(H151="HOME",COUNTIFS('Istoric_Nativ'!$B$6:$B$405,E151,'Istoric_Nativ'!$C$6:$C$405,F151,'Istoric_Nativ'!$E$6:$E$405,G151,'Istoric_Nativ'!$D$6:$D$405,"&lt;"&amp;J151,'Istoric_Nativ'!$P$6:$P$405,1),IF(H151="AWAY",COUNTIFS('Istoric_Nativ'!$B$6:$B$405,E151,'Istoric_Nativ'!$C$6:$C$405,F151,'Istoric_Nativ'!$F$6:$F$405,G151,'Istoric_Nativ'!$D$6:$D$405,"&lt;"&amp;J151,'Istoric_Nativ'!$P$6:$P$405,1),COUNTIFS('Istoric_Nativ'!$B$6:$B$405,E151,'Istoric_Nativ'!$C$6:$C$405,F151,'Istoric_Nativ'!$E$6:$E$405,G151,'Istoric_Nativ'!$D$6:$D$405,"&lt;"&amp;J151,'Istoric_Nativ'!$P$6:$P$405,1)+COUNTIFS('Istoric_Nativ'!$B$6:$B$405,E151,'Istoric_Nativ'!$C$6:$C$405,F151,'Istoric_Nativ'!$F$6:$F$405,G151,'Istoric_Nativ'!$D$6:$D$405,"&lt;"&amp;J151,'Istoric_Nativ'!$P$6:$P$405,1))))</x:f>
        <x:v>0</x:v>
      </x:c>
      <x:c r="L151" s="17" t="n">
        <x:f>IF(AND(B151&lt;&gt;"",I151="RECENT",K151&gt;0),LARGE(_xlfn._xlws.FILTER('Istoric_Nativ'!$D$6:$D$405,('Istoric_Nativ'!$B$6:$B$405=E151)*('Istoric_Nativ'!$C$6:$C$405=F151)*('Istoric_Nativ'!$P$6:$P$405=1)*('Istoric_Nativ'!$D$6:$D$405&lt;J151)*((('Istoric_Nativ'!$E$6:$E$405=G151)+('Istoric_Nativ'!$F$6:$F$405=G151))&gt;0)),MIN('Config_v6'!$B$54,K151)),0)</x:f>
        <x:v>0</x:v>
      </x:c>
      <x:c r="M151" s="2" t="n">
        <x:f>IF(OR(B151="",F151=""),0,IF(H151="HOME",COUNTIFS('Istoric_Nativ'!$B$6:$B$405,E151,'Istoric_Nativ'!$C$6:$C$405,F151,'Istoric_Nativ'!$E$6:$E$405,G151,'Istoric_Nativ'!$D$6:$D$405,"&lt;"&amp;J151,'Istoric_Nativ'!$P$6:$P$405,1,'Istoric_Nativ'!$D$6:$D$405,"&gt;="&amp;L151),IF(H151="AWAY",COUNTIFS('Istoric_Nativ'!$B$6:$B$405,E151,'Istoric_Nativ'!$C$6:$C$405,F151,'Istoric_Nativ'!$F$6:$F$405,G151,'Istoric_Nativ'!$D$6:$D$405,"&lt;"&amp;J151,'Istoric_Nativ'!$P$6:$P$405,1,'Istoric_Nativ'!$D$6:$D$405,"&gt;="&amp;L151),COUNTIFS('Istoric_Nativ'!$B$6:$B$405,E151,'Istoric_Nativ'!$C$6:$C$405,F151,'Istoric_Nativ'!$E$6:$E$405,G151,'Istoric_Nativ'!$D$6:$D$405,"&lt;"&amp;J151,'Istoric_Nativ'!$P$6:$P$405,1,'Istoric_Nativ'!$D$6:$D$405,"&gt;="&amp;L151)+COUNTIFS('Istoric_Nativ'!$B$6:$B$405,E151,'Istoric_Nativ'!$C$6:$C$405,F151,'Istoric_Nativ'!$F$6:$F$405,G151,'Istoric_Nativ'!$D$6:$D$405,"&lt;"&amp;J151,'Istoric_Nativ'!$P$6:$P$405,1,'Istoric_Nativ'!$D$6:$D$405,"&gt;="&amp;L151))))</x:f>
        <x:v>0</x:v>
      </x:c>
      <x:c r="N151" s="11" t="str">
        <x:f>IF(M151=0,"",IF(H151="HOME",SUMIFS('Istoric_Nativ'!$G$6:$G$405,'Istoric_Nativ'!$B$6:$B$405,E151,'Istoric_Nativ'!$C$6:$C$405,F151,'Istoric_Nativ'!$E$6:$E$405,G151,'Istoric_Nativ'!$D$6:$D$405,"&lt;"&amp;J151,'Istoric_Nativ'!$P$6:$P$405,1,'Istoric_Nativ'!$D$6:$D$405,"&gt;="&amp;L151),IF(H151="AWAY",SUMIFS('Istoric_Nativ'!$H$6:$H$405,'Istoric_Nativ'!$B$6:$B$405,E151,'Istoric_Nativ'!$C$6:$C$405,F151,'Istoric_Nativ'!$F$6:$F$405,G151,'Istoric_Nativ'!$D$6:$D$405,"&lt;"&amp;J151,'Istoric_Nativ'!$P$6:$P$405,1,'Istoric_Nativ'!$D$6:$D$405,"&gt;="&amp;L151),SUMIFS('Istoric_Nativ'!$G$6:$G$405,'Istoric_Nativ'!$B$6:$B$405,E151,'Istoric_Nativ'!$C$6:$C$405,F151,'Istoric_Nativ'!$E$6:$E$405,G151,'Istoric_Nativ'!$D$6:$D$405,"&lt;"&amp;J151,'Istoric_Nativ'!$P$6:$P$405,1,'Istoric_Nativ'!$D$6:$D$405,"&gt;="&amp;L151)+SUMIFS('Istoric_Nativ'!$H$6:$H$405,'Istoric_Nativ'!$B$6:$B$405,E151,'Istoric_Nativ'!$C$6:$C$405,F151,'Istoric_Nativ'!$F$6:$F$405,G151,'Istoric_Nativ'!$D$6:$D$405,"&lt;"&amp;J151,'Istoric_Nativ'!$P$6:$P$405,1,'Istoric_Nativ'!$D$6:$D$405,"&gt;="&amp;L151)))/M151)</x:f>
      </x:c>
      <x:c r="O151" s="11" t="str">
        <x:f>IF(M151=0,"",IF(H151="HOME",SUMIFS('Istoric_Nativ'!$H$6:$H$405,'Istoric_Nativ'!$B$6:$B$405,E151,'Istoric_Nativ'!$C$6:$C$405,F151,'Istoric_Nativ'!$E$6:$E$405,G151,'Istoric_Nativ'!$D$6:$D$405,"&lt;"&amp;J151,'Istoric_Nativ'!$P$6:$P$405,1,'Istoric_Nativ'!$D$6:$D$405,"&gt;="&amp;L151),IF(H151="AWAY",SUMIFS('Istoric_Nativ'!$G$6:$G$405,'Istoric_Nativ'!$B$6:$B$405,E151,'Istoric_Nativ'!$C$6:$C$405,F151,'Istoric_Nativ'!$F$6:$F$405,G151,'Istoric_Nativ'!$D$6:$D$405,"&lt;"&amp;J151,'Istoric_Nativ'!$P$6:$P$405,1,'Istoric_Nativ'!$D$6:$D$405,"&gt;="&amp;L151),SUMIFS('Istoric_Nativ'!$H$6:$H$405,'Istoric_Nativ'!$B$6:$B$405,E151,'Istoric_Nativ'!$C$6:$C$405,F151,'Istoric_Nativ'!$E$6:$E$405,G151,'Istoric_Nativ'!$D$6:$D$405,"&lt;"&amp;J151,'Istoric_Nativ'!$P$6:$P$405,1,'Istoric_Nativ'!$D$6:$D$405,"&gt;="&amp;L151)+SUMIFS('Istoric_Nativ'!$G$6:$G$405,'Istoric_Nativ'!$B$6:$B$405,E151,'Istoric_Nativ'!$C$6:$C$405,F151,'Istoric_Nativ'!$F$6:$F$405,G151,'Istoric_Nativ'!$D$6:$D$405,"&lt;"&amp;J151,'Istoric_Nativ'!$P$6:$P$405,1,'Istoric_Nativ'!$D$6:$D$405,"&gt;="&amp;L151)))/M151)</x:f>
      </x:c>
      <x:c r="P151" s="2" t="n">
        <x:f>'Config_v6'!$B$8</x:f>
        <x:v>5</x:v>
      </x:c>
      <x:c r="Q151" s="2" t="n">
        <x:f>IF(OR(B151="",F151=""),0,IFERROR(MATCH(E151&amp;"|"&amp;F151,SourceTable[Source_Key],0),0))</x:f>
        <x:v>0</x:v>
      </x:c>
      <x:c r="R151" s="2" t="str">
        <x:f>IF(B151="","",IF(F151="","UNUSED",IF(Q151=0,"NOT CHECKED",IF(COUNTIF(SourceTable[Source_Key],E151&amp;"|"&amp;F151)&lt;&gt;1,"SOURCE CONFLICT",IF(NOT(OR(INDEX(SourceTable[Status],MAX(1,Q151))="IMPORTED",INDEX(SourceTable[Status],MAX(1,Q151))="PARTIAL",INDEX(SourceTable[Status],MAX(1,Q151))="SOURCE CONFLICT")),"ACCESS BLOCKED",IF(OR(INDEX(SourceTable[Coverage],Q151)&lt;&gt;"FULL SEASON EXPORT",INDEX(SourceTable[URL],Q151)="",INDEX(SourceTable[SHA256],Q151)=""),"EVIDENCE INCOMPLETE",IF(AND('Input_Meci'!H18="LIVE",INDEX(SourceTable[Retrieved_UTC],Q151)&gt;'Input_Meci'!G18),"POST CUTOFF","CLOSED")))))))</x:f>
      </x:c>
      <x:c r="S151" s="2" t="n">
        <x:f>IF(OR(B151="",F151=""),0,COUNTIFS('Istoric_Nativ'!$B$6:$B$405,E151,'Istoric_Nativ'!$C$6:$C$405,F151,'Istoric_Nativ'!$E$6:$E$405,G151,'Istoric_Nativ'!$D$6:$D$405,"&lt;"&amp;J151,'Istoric_Nativ'!$O$6:$O$405,"INVALID")+COUNTIFS('Istoric_Nativ'!$B$6:$B$405,E151,'Istoric_Nativ'!$C$6:$C$405,F151,'Istoric_Nativ'!$E$6:$E$405,G151,'Istoric_Nativ'!$O$6:$O$405,"INVALID",'Istoric_Nativ'!$D$6:$D$405,"*")+COUNTIFS('Istoric_Nativ'!$B$6:$B$405,E151,'Istoric_Nativ'!$C$6:$C$405,F151,'Istoric_Nativ'!$E$6:$E$405,G151,'Istoric_Nativ'!$D$6:$D$405,"&lt;"&amp;J151,'Istoric_Nativ'!$O$6:$O$405,"SOURCE CONFLICT")+COUNTIFS('Istoric_Nativ'!$B$6:$B$405,E151,'Istoric_Nativ'!$C$6:$C$405,F151,'Istoric_Nativ'!$F$6:$F$405,G151,'Istoric_Nativ'!$D$6:$D$405,"&lt;"&amp;J151,'Istoric_Nativ'!$O$6:$O$405,"INVALID")+COUNTIFS('Istoric_Nativ'!$B$6:$B$405,E151,'Istoric_Nativ'!$C$6:$C$405,F151,'Istoric_Nativ'!$F$6:$F$405,G151,'Istoric_Nativ'!$O$6:$O$405,"INVALID",'Istoric_Nativ'!$D$6:$D$405,"*")+COUNTIFS('Istoric_Nativ'!$B$6:$B$405,E151,'Istoric_Nativ'!$C$6:$C$405,F151,'Istoric_Nativ'!$F$6:$F$405,G151,'Istoric_Nativ'!$D$6:$D$405,"&lt;"&amp;J151,'Istoric_Nativ'!$O$6:$O$405,"SOURCE CONFLICT"))</x:f>
        <x:v>0</x:v>
      </x:c>
      <x:c r="T151" s="2" t="str">
        <x:f>IF(B151="","",IF(R151&lt;&gt;"CLOSED",R151,IF(S151&gt;0,"NATIVE INPUT ISSUE",IF(M151=0,"NO HISTORY",IF(M151&lt;P151,"SMALL SAMPLE","DERIVED")))))</x:f>
      </x:c>
      <x:c r="U151" s="2" t="str">
        <x:f>IF(B151="","","NativeTable; "&amp;E151&amp;"; "&amp;F151&amp;"; "&amp;G151&amp;"; "&amp;H151&amp;"; before "&amp;TEXT(J151,"yyyy-mm-dd")&amp;IF(I151="RECENT","; from "&amp;TEXT(L151,"yyyy-mm-dd"),""))</x:f>
      </x:c>
    </x:row>
    <x:row r="152" ht="21" customHeight="1">
      <x:c r="A152" s="2" t="n">
        <x:v>13</x:v>
      </x:c>
      <x:c r="B152" s="2" t="str">
        <x:f>IF('Input_Meci'!A18="","",'Input_Meci'!A18)</x:f>
      </x:c>
      <x:c r="C152" s="2" t="str">
        <x:v>H</x:v>
      </x:c>
      <x:c r="D152" s="2" t="str">
        <x:v>CURRENT</x:v>
      </x:c>
      <x:c r="E152" s="2" t="str">
        <x:f>IF(B152="","",'Input_Meci'!B18)</x:f>
      </x:c>
      <x:c r="F152" s="2" t="str">
        <x:f>IF(B152="","",IF('Input_Meci'!C18="","",'Input_Meci'!C18))</x:f>
      </x:c>
      <x:c r="G152" s="2" t="str">
        <x:f>IF(B152="","",'Input_Meci'!D18)</x:f>
      </x:c>
      <x:c r="H152" s="2" t="str">
        <x:v>ANY</x:v>
      </x:c>
      <x:c r="I152" s="2" t="str">
        <x:v>RECENT</x:v>
      </x:c>
      <x:c r="J152" s="9" t="n">
        <x:f>IF(AND(B152&lt;&gt;"",ISNUMBER('Input_Meci'!G18)),INT('Input_Meci'!G18),0)</x:f>
        <x:v>0</x:v>
      </x:c>
      <x:c r="K152" s="2" t="n">
        <x:f>IF(OR(B152="",F152=""),0,IF(H152="HOME",COUNTIFS('Istoric_Nativ'!$B$6:$B$405,E152,'Istoric_Nativ'!$C$6:$C$405,F152,'Istoric_Nativ'!$E$6:$E$405,G152,'Istoric_Nativ'!$D$6:$D$405,"&lt;"&amp;J152,'Istoric_Nativ'!$P$6:$P$405,1),IF(H152="AWAY",COUNTIFS('Istoric_Nativ'!$B$6:$B$405,E152,'Istoric_Nativ'!$C$6:$C$405,F152,'Istoric_Nativ'!$F$6:$F$405,G152,'Istoric_Nativ'!$D$6:$D$405,"&lt;"&amp;J152,'Istoric_Nativ'!$P$6:$P$405,1),COUNTIFS('Istoric_Nativ'!$B$6:$B$405,E152,'Istoric_Nativ'!$C$6:$C$405,F152,'Istoric_Nativ'!$E$6:$E$405,G152,'Istoric_Nativ'!$D$6:$D$405,"&lt;"&amp;J152,'Istoric_Nativ'!$P$6:$P$405,1)+COUNTIFS('Istoric_Nativ'!$B$6:$B$405,E152,'Istoric_Nativ'!$C$6:$C$405,F152,'Istoric_Nativ'!$F$6:$F$405,G152,'Istoric_Nativ'!$D$6:$D$405,"&lt;"&amp;J152,'Istoric_Nativ'!$P$6:$P$405,1))))</x:f>
        <x:v>0</x:v>
      </x:c>
      <x:c r="L152" s="17" t="n">
        <x:f>IF(AND(B152&lt;&gt;"",I152="RECENT",K152&gt;0),LARGE(_xlfn._xlws.FILTER('Istoric_Nativ'!$D$6:$D$405,('Istoric_Nativ'!$B$6:$B$405=E152)*('Istoric_Nativ'!$C$6:$C$405=F152)*('Istoric_Nativ'!$P$6:$P$405=1)*('Istoric_Nativ'!$D$6:$D$405&lt;J152)*((('Istoric_Nativ'!$E$6:$E$405=G152)+('Istoric_Nativ'!$F$6:$F$405=G152))&gt;0)),MIN('Config_v6'!$B$54,K152)),0)</x:f>
        <x:v>0</x:v>
      </x:c>
      <x:c r="M152" s="2" t="n">
        <x:f>IF(OR(B152="",F152=""),0,IF(H152="HOME",COUNTIFS('Istoric_Nativ'!$B$6:$B$405,E152,'Istoric_Nativ'!$C$6:$C$405,F152,'Istoric_Nativ'!$E$6:$E$405,G152,'Istoric_Nativ'!$D$6:$D$405,"&lt;"&amp;J152,'Istoric_Nativ'!$P$6:$P$405,1,'Istoric_Nativ'!$D$6:$D$405,"&gt;="&amp;L152),IF(H152="AWAY",COUNTIFS('Istoric_Nativ'!$B$6:$B$405,E152,'Istoric_Nativ'!$C$6:$C$405,F152,'Istoric_Nativ'!$F$6:$F$405,G152,'Istoric_Nativ'!$D$6:$D$405,"&lt;"&amp;J152,'Istoric_Nativ'!$P$6:$P$405,1,'Istoric_Nativ'!$D$6:$D$405,"&gt;="&amp;L152),COUNTIFS('Istoric_Nativ'!$B$6:$B$405,E152,'Istoric_Nativ'!$C$6:$C$405,F152,'Istoric_Nativ'!$E$6:$E$405,G152,'Istoric_Nativ'!$D$6:$D$405,"&lt;"&amp;J152,'Istoric_Nativ'!$P$6:$P$405,1,'Istoric_Nativ'!$D$6:$D$405,"&gt;="&amp;L152)+COUNTIFS('Istoric_Nativ'!$B$6:$B$405,E152,'Istoric_Nativ'!$C$6:$C$405,F152,'Istoric_Nativ'!$F$6:$F$405,G152,'Istoric_Nativ'!$D$6:$D$405,"&lt;"&amp;J152,'Istoric_Nativ'!$P$6:$P$405,1,'Istoric_Nativ'!$D$6:$D$405,"&gt;="&amp;L152))))</x:f>
        <x:v>0</x:v>
      </x:c>
      <x:c r="N152" s="11" t="str">
        <x:f>IF(M152=0,"",IF(H152="HOME",SUMIFS('Istoric_Nativ'!$G$6:$G$405,'Istoric_Nativ'!$B$6:$B$405,E152,'Istoric_Nativ'!$C$6:$C$405,F152,'Istoric_Nativ'!$E$6:$E$405,G152,'Istoric_Nativ'!$D$6:$D$405,"&lt;"&amp;J152,'Istoric_Nativ'!$P$6:$P$405,1,'Istoric_Nativ'!$D$6:$D$405,"&gt;="&amp;L152),IF(H152="AWAY",SUMIFS('Istoric_Nativ'!$H$6:$H$405,'Istoric_Nativ'!$B$6:$B$405,E152,'Istoric_Nativ'!$C$6:$C$405,F152,'Istoric_Nativ'!$F$6:$F$405,G152,'Istoric_Nativ'!$D$6:$D$405,"&lt;"&amp;J152,'Istoric_Nativ'!$P$6:$P$405,1,'Istoric_Nativ'!$D$6:$D$405,"&gt;="&amp;L152),SUMIFS('Istoric_Nativ'!$G$6:$G$405,'Istoric_Nativ'!$B$6:$B$405,E152,'Istoric_Nativ'!$C$6:$C$405,F152,'Istoric_Nativ'!$E$6:$E$405,G152,'Istoric_Nativ'!$D$6:$D$405,"&lt;"&amp;J152,'Istoric_Nativ'!$P$6:$P$405,1,'Istoric_Nativ'!$D$6:$D$405,"&gt;="&amp;L152)+SUMIFS('Istoric_Nativ'!$H$6:$H$405,'Istoric_Nativ'!$B$6:$B$405,E152,'Istoric_Nativ'!$C$6:$C$405,F152,'Istoric_Nativ'!$F$6:$F$405,G152,'Istoric_Nativ'!$D$6:$D$405,"&lt;"&amp;J152,'Istoric_Nativ'!$P$6:$P$405,1,'Istoric_Nativ'!$D$6:$D$405,"&gt;="&amp;L152)))/M152)</x:f>
      </x:c>
      <x:c r="O152" s="11" t="str">
        <x:f>IF(M152=0,"",IF(H152="HOME",SUMIFS('Istoric_Nativ'!$H$6:$H$405,'Istoric_Nativ'!$B$6:$B$405,E152,'Istoric_Nativ'!$C$6:$C$405,F152,'Istoric_Nativ'!$E$6:$E$405,G152,'Istoric_Nativ'!$D$6:$D$405,"&lt;"&amp;J152,'Istoric_Nativ'!$P$6:$P$405,1,'Istoric_Nativ'!$D$6:$D$405,"&gt;="&amp;L152),IF(H152="AWAY",SUMIFS('Istoric_Nativ'!$G$6:$G$405,'Istoric_Nativ'!$B$6:$B$405,E152,'Istoric_Nativ'!$C$6:$C$405,F152,'Istoric_Nativ'!$F$6:$F$405,G152,'Istoric_Nativ'!$D$6:$D$405,"&lt;"&amp;J152,'Istoric_Nativ'!$P$6:$P$405,1,'Istoric_Nativ'!$D$6:$D$405,"&gt;="&amp;L152),SUMIFS('Istoric_Nativ'!$H$6:$H$405,'Istoric_Nativ'!$B$6:$B$405,E152,'Istoric_Nativ'!$C$6:$C$405,F152,'Istoric_Nativ'!$E$6:$E$405,G152,'Istoric_Nativ'!$D$6:$D$405,"&lt;"&amp;J152,'Istoric_Nativ'!$P$6:$P$405,1,'Istoric_Nativ'!$D$6:$D$405,"&gt;="&amp;L152)+SUMIFS('Istoric_Nativ'!$G$6:$G$405,'Istoric_Nativ'!$B$6:$B$405,E152,'Istoric_Nativ'!$C$6:$C$405,F152,'Istoric_Nativ'!$F$6:$F$405,G152,'Istoric_Nativ'!$D$6:$D$405,"&lt;"&amp;J152,'Istoric_Nativ'!$P$6:$P$405,1,'Istoric_Nativ'!$D$6:$D$405,"&gt;="&amp;L152)))/M152)</x:f>
      </x:c>
      <x:c r="P152" s="2" t="n">
        <x:f>'Config_v6'!$B$9</x:f>
        <x:v>3</x:v>
      </x:c>
      <x:c r="Q152" s="2" t="n">
        <x:f>IF(OR(B152="",F152=""),0,IFERROR(MATCH(E152&amp;"|"&amp;F152,SourceTable[Source_Key],0),0))</x:f>
        <x:v>0</x:v>
      </x:c>
      <x:c r="R152" s="2" t="str">
        <x:f>IF(B152="","",IF(F152="","UNUSED",IF(Q152=0,"NOT CHECKED",IF(COUNTIF(SourceTable[Source_Key],E152&amp;"|"&amp;F152)&lt;&gt;1,"SOURCE CONFLICT",IF(NOT(OR(INDEX(SourceTable[Status],MAX(1,Q152))="IMPORTED",INDEX(SourceTable[Status],MAX(1,Q152))="PARTIAL",INDEX(SourceTable[Status],MAX(1,Q152))="SOURCE CONFLICT")),"ACCESS BLOCKED",IF(OR(INDEX(SourceTable[Coverage],Q152)&lt;&gt;"FULL SEASON EXPORT",INDEX(SourceTable[URL],Q152)="",INDEX(SourceTable[SHA256],Q152)=""),"EVIDENCE INCOMPLETE",IF(AND('Input_Meci'!H18="LIVE",INDEX(SourceTable[Retrieved_UTC],Q152)&gt;'Input_Meci'!G18),"POST CUTOFF","CLOSED")))))))</x:f>
      </x:c>
      <x:c r="S152" s="2" t="n">
        <x:f>IF(OR(B152="",F152=""),0,COUNTIFS('Istoric_Nativ'!$B$6:$B$405,E152,'Istoric_Nativ'!$C$6:$C$405,F152,'Istoric_Nativ'!$E$6:$E$405,G152,'Istoric_Nativ'!$D$6:$D$405,"&lt;"&amp;J152,'Istoric_Nativ'!$O$6:$O$405,"INVALID")+COUNTIFS('Istoric_Nativ'!$B$6:$B$405,E152,'Istoric_Nativ'!$C$6:$C$405,F152,'Istoric_Nativ'!$E$6:$E$405,G152,'Istoric_Nativ'!$O$6:$O$405,"INVALID",'Istoric_Nativ'!$D$6:$D$405,"*")+COUNTIFS('Istoric_Nativ'!$B$6:$B$405,E152,'Istoric_Nativ'!$C$6:$C$405,F152,'Istoric_Nativ'!$E$6:$E$405,G152,'Istoric_Nativ'!$D$6:$D$405,"&lt;"&amp;J152,'Istoric_Nativ'!$O$6:$O$405,"SOURCE CONFLICT")+COUNTIFS('Istoric_Nativ'!$B$6:$B$405,E152,'Istoric_Nativ'!$C$6:$C$405,F152,'Istoric_Nativ'!$F$6:$F$405,G152,'Istoric_Nativ'!$D$6:$D$405,"&lt;"&amp;J152,'Istoric_Nativ'!$O$6:$O$405,"INVALID")+COUNTIFS('Istoric_Nativ'!$B$6:$B$405,E152,'Istoric_Nativ'!$C$6:$C$405,F152,'Istoric_Nativ'!$F$6:$F$405,G152,'Istoric_Nativ'!$O$6:$O$405,"INVALID",'Istoric_Nativ'!$D$6:$D$405,"*")+COUNTIFS('Istoric_Nativ'!$B$6:$B$405,E152,'Istoric_Nativ'!$C$6:$C$405,F152,'Istoric_Nativ'!$F$6:$F$405,G152,'Istoric_Nativ'!$D$6:$D$405,"&lt;"&amp;J152,'Istoric_Nativ'!$O$6:$O$405,"SOURCE CONFLICT"))</x:f>
        <x:v>0</x:v>
      </x:c>
      <x:c r="T152" s="2" t="str">
        <x:f>IF(B152="","",IF(R152&lt;&gt;"CLOSED",R152,IF(S152&gt;0,"NATIVE INPUT ISSUE",IF(M152=0,"NO HISTORY",IF(M152&lt;P152,"SMALL SAMPLE","DERIVED")))))</x:f>
      </x:c>
      <x:c r="U152" s="2" t="str">
        <x:f>IF(B152="","","NativeTable; "&amp;E152&amp;"; "&amp;F152&amp;"; "&amp;G152&amp;"; "&amp;H152&amp;"; before "&amp;TEXT(J152,"yyyy-mm-dd")&amp;IF(I152="RECENT","; from "&amp;TEXT(L152,"yyyy-mm-dd"),""))</x:f>
      </x:c>
    </x:row>
    <x:row r="153" ht="21" customHeight="1">
      <x:c r="A153" s="2" t="n">
        <x:v>13</x:v>
      </x:c>
      <x:c r="B153" s="2" t="str">
        <x:f>IF('Input_Meci'!A18="","",'Input_Meci'!A18)</x:f>
      </x:c>
      <x:c r="C153" s="2" t="str">
        <x:v>A</x:v>
      </x:c>
      <x:c r="D153" s="2" t="str">
        <x:v>CURRENT</x:v>
      </x:c>
      <x:c r="E153" s="2" t="str">
        <x:f>IF(B153="","",'Input_Meci'!B18)</x:f>
      </x:c>
      <x:c r="F153" s="2" t="str">
        <x:f>IF(B153="","",IF('Input_Meci'!C18="","",'Input_Meci'!C18))</x:f>
      </x:c>
      <x:c r="G153" s="2" t="str">
        <x:f>IF(B153="","",'Input_Meci'!E18)</x:f>
      </x:c>
      <x:c r="H153" s="2" t="str">
        <x:v>ANY</x:v>
      </x:c>
      <x:c r="I153" s="2" t="str">
        <x:v>SEASON</x:v>
      </x:c>
      <x:c r="J153" s="9" t="n">
        <x:f>IF(AND(B153&lt;&gt;"",ISNUMBER('Input_Meci'!G18)),INT('Input_Meci'!G18),0)</x:f>
        <x:v>0</x:v>
      </x:c>
      <x:c r="K153" s="2" t="n">
        <x:f>IF(OR(B153="",F153=""),0,IF(H153="HOME",COUNTIFS('Istoric_Nativ'!$B$6:$B$405,E153,'Istoric_Nativ'!$C$6:$C$405,F153,'Istoric_Nativ'!$E$6:$E$405,G153,'Istoric_Nativ'!$D$6:$D$405,"&lt;"&amp;J153,'Istoric_Nativ'!$P$6:$P$405,1),IF(H153="AWAY",COUNTIFS('Istoric_Nativ'!$B$6:$B$405,E153,'Istoric_Nativ'!$C$6:$C$405,F153,'Istoric_Nativ'!$F$6:$F$405,G153,'Istoric_Nativ'!$D$6:$D$405,"&lt;"&amp;J153,'Istoric_Nativ'!$P$6:$P$405,1),COUNTIFS('Istoric_Nativ'!$B$6:$B$405,E153,'Istoric_Nativ'!$C$6:$C$405,F153,'Istoric_Nativ'!$E$6:$E$405,G153,'Istoric_Nativ'!$D$6:$D$405,"&lt;"&amp;J153,'Istoric_Nativ'!$P$6:$P$405,1)+COUNTIFS('Istoric_Nativ'!$B$6:$B$405,E153,'Istoric_Nativ'!$C$6:$C$405,F153,'Istoric_Nativ'!$F$6:$F$405,G153,'Istoric_Nativ'!$D$6:$D$405,"&lt;"&amp;J153,'Istoric_Nativ'!$P$6:$P$405,1))))</x:f>
        <x:v>0</x:v>
      </x:c>
      <x:c r="L153" s="17" t="n">
        <x:f>IF(AND(B153&lt;&gt;"",I153="RECENT",K153&gt;0),LARGE(_xlfn._xlws.FILTER('Istoric_Nativ'!$D$6:$D$405,('Istoric_Nativ'!$B$6:$B$405=E153)*('Istoric_Nativ'!$C$6:$C$405=F153)*('Istoric_Nativ'!$P$6:$P$405=1)*('Istoric_Nativ'!$D$6:$D$405&lt;J153)*((('Istoric_Nativ'!$E$6:$E$405=G153)+('Istoric_Nativ'!$F$6:$F$405=G153))&gt;0)),MIN('Config_v6'!$B$54,K153)),0)</x:f>
        <x:v>0</x:v>
      </x:c>
      <x:c r="M153" s="2" t="n">
        <x:f>IF(OR(B153="",F153=""),0,IF(H153="HOME",COUNTIFS('Istoric_Nativ'!$B$6:$B$405,E153,'Istoric_Nativ'!$C$6:$C$405,F153,'Istoric_Nativ'!$E$6:$E$405,G153,'Istoric_Nativ'!$D$6:$D$405,"&lt;"&amp;J153,'Istoric_Nativ'!$P$6:$P$405,1,'Istoric_Nativ'!$D$6:$D$405,"&gt;="&amp;L153),IF(H153="AWAY",COUNTIFS('Istoric_Nativ'!$B$6:$B$405,E153,'Istoric_Nativ'!$C$6:$C$405,F153,'Istoric_Nativ'!$F$6:$F$405,G153,'Istoric_Nativ'!$D$6:$D$405,"&lt;"&amp;J153,'Istoric_Nativ'!$P$6:$P$405,1,'Istoric_Nativ'!$D$6:$D$405,"&gt;="&amp;L153),COUNTIFS('Istoric_Nativ'!$B$6:$B$405,E153,'Istoric_Nativ'!$C$6:$C$405,F153,'Istoric_Nativ'!$E$6:$E$405,G153,'Istoric_Nativ'!$D$6:$D$405,"&lt;"&amp;J153,'Istoric_Nativ'!$P$6:$P$405,1,'Istoric_Nativ'!$D$6:$D$405,"&gt;="&amp;L153)+COUNTIFS('Istoric_Nativ'!$B$6:$B$405,E153,'Istoric_Nativ'!$C$6:$C$405,F153,'Istoric_Nativ'!$F$6:$F$405,G153,'Istoric_Nativ'!$D$6:$D$405,"&lt;"&amp;J153,'Istoric_Nativ'!$P$6:$P$405,1,'Istoric_Nativ'!$D$6:$D$405,"&gt;="&amp;L153))))</x:f>
        <x:v>0</x:v>
      </x:c>
      <x:c r="N153" s="11" t="str">
        <x:f>IF(M153=0,"",IF(H153="HOME",SUMIFS('Istoric_Nativ'!$G$6:$G$405,'Istoric_Nativ'!$B$6:$B$405,E153,'Istoric_Nativ'!$C$6:$C$405,F153,'Istoric_Nativ'!$E$6:$E$405,G153,'Istoric_Nativ'!$D$6:$D$405,"&lt;"&amp;J153,'Istoric_Nativ'!$P$6:$P$405,1,'Istoric_Nativ'!$D$6:$D$405,"&gt;="&amp;L153),IF(H153="AWAY",SUMIFS('Istoric_Nativ'!$H$6:$H$405,'Istoric_Nativ'!$B$6:$B$405,E153,'Istoric_Nativ'!$C$6:$C$405,F153,'Istoric_Nativ'!$F$6:$F$405,G153,'Istoric_Nativ'!$D$6:$D$405,"&lt;"&amp;J153,'Istoric_Nativ'!$P$6:$P$405,1,'Istoric_Nativ'!$D$6:$D$405,"&gt;="&amp;L153),SUMIFS('Istoric_Nativ'!$G$6:$G$405,'Istoric_Nativ'!$B$6:$B$405,E153,'Istoric_Nativ'!$C$6:$C$405,F153,'Istoric_Nativ'!$E$6:$E$405,G153,'Istoric_Nativ'!$D$6:$D$405,"&lt;"&amp;J153,'Istoric_Nativ'!$P$6:$P$405,1,'Istoric_Nativ'!$D$6:$D$405,"&gt;="&amp;L153)+SUMIFS('Istoric_Nativ'!$H$6:$H$405,'Istoric_Nativ'!$B$6:$B$405,E153,'Istoric_Nativ'!$C$6:$C$405,F153,'Istoric_Nativ'!$F$6:$F$405,G153,'Istoric_Nativ'!$D$6:$D$405,"&lt;"&amp;J153,'Istoric_Nativ'!$P$6:$P$405,1,'Istoric_Nativ'!$D$6:$D$405,"&gt;="&amp;L153)))/M153)</x:f>
      </x:c>
      <x:c r="O153" s="11" t="str">
        <x:f>IF(M153=0,"",IF(H153="HOME",SUMIFS('Istoric_Nativ'!$H$6:$H$405,'Istoric_Nativ'!$B$6:$B$405,E153,'Istoric_Nativ'!$C$6:$C$405,F153,'Istoric_Nativ'!$E$6:$E$405,G153,'Istoric_Nativ'!$D$6:$D$405,"&lt;"&amp;J153,'Istoric_Nativ'!$P$6:$P$405,1,'Istoric_Nativ'!$D$6:$D$405,"&gt;="&amp;L153),IF(H153="AWAY",SUMIFS('Istoric_Nativ'!$G$6:$G$405,'Istoric_Nativ'!$B$6:$B$405,E153,'Istoric_Nativ'!$C$6:$C$405,F153,'Istoric_Nativ'!$F$6:$F$405,G153,'Istoric_Nativ'!$D$6:$D$405,"&lt;"&amp;J153,'Istoric_Nativ'!$P$6:$P$405,1,'Istoric_Nativ'!$D$6:$D$405,"&gt;="&amp;L153),SUMIFS('Istoric_Nativ'!$H$6:$H$405,'Istoric_Nativ'!$B$6:$B$405,E153,'Istoric_Nativ'!$C$6:$C$405,F153,'Istoric_Nativ'!$E$6:$E$405,G153,'Istoric_Nativ'!$D$6:$D$405,"&lt;"&amp;J153,'Istoric_Nativ'!$P$6:$P$405,1,'Istoric_Nativ'!$D$6:$D$405,"&gt;="&amp;L153)+SUMIFS('Istoric_Nativ'!$G$6:$G$405,'Istoric_Nativ'!$B$6:$B$405,E153,'Istoric_Nativ'!$C$6:$C$405,F153,'Istoric_Nativ'!$F$6:$F$405,G153,'Istoric_Nativ'!$D$6:$D$405,"&lt;"&amp;J153,'Istoric_Nativ'!$P$6:$P$405,1,'Istoric_Nativ'!$D$6:$D$405,"&gt;="&amp;L153)))/M153)</x:f>
      </x:c>
      <x:c r="P153" s="2" t="n">
        <x:f>'Config_v6'!$B$7</x:f>
        <x:v>10</x:v>
      </x:c>
      <x:c r="Q153" s="2" t="n">
        <x:f>IF(OR(B153="",F153=""),0,IFERROR(MATCH(E153&amp;"|"&amp;F153,SourceTable[Source_Key],0),0))</x:f>
        <x:v>0</x:v>
      </x:c>
      <x:c r="R153" s="2" t="str">
        <x:f>IF(B153="","",IF(F153="","UNUSED",IF(Q153=0,"NOT CHECKED",IF(COUNTIF(SourceTable[Source_Key],E153&amp;"|"&amp;F153)&lt;&gt;1,"SOURCE CONFLICT",IF(NOT(OR(INDEX(SourceTable[Status],MAX(1,Q153))="IMPORTED",INDEX(SourceTable[Status],MAX(1,Q153))="PARTIAL",INDEX(SourceTable[Status],MAX(1,Q153))="SOURCE CONFLICT")),"ACCESS BLOCKED",IF(OR(INDEX(SourceTable[Coverage],Q153)&lt;&gt;"FULL SEASON EXPORT",INDEX(SourceTable[URL],Q153)="",INDEX(SourceTable[SHA256],Q153)=""),"EVIDENCE INCOMPLETE",IF(AND('Input_Meci'!H18="LIVE",INDEX(SourceTable[Retrieved_UTC],Q153)&gt;'Input_Meci'!G18),"POST CUTOFF","CLOSED")))))))</x:f>
      </x:c>
      <x:c r="S153" s="2" t="n">
        <x:f>IF(OR(B153="",F153=""),0,COUNTIFS('Istoric_Nativ'!$B$6:$B$405,E153,'Istoric_Nativ'!$C$6:$C$405,F153,'Istoric_Nativ'!$E$6:$E$405,G153,'Istoric_Nativ'!$D$6:$D$405,"&lt;"&amp;J153,'Istoric_Nativ'!$O$6:$O$405,"INVALID")+COUNTIFS('Istoric_Nativ'!$B$6:$B$405,E153,'Istoric_Nativ'!$C$6:$C$405,F153,'Istoric_Nativ'!$E$6:$E$405,G153,'Istoric_Nativ'!$O$6:$O$405,"INVALID",'Istoric_Nativ'!$D$6:$D$405,"*")+COUNTIFS('Istoric_Nativ'!$B$6:$B$405,E153,'Istoric_Nativ'!$C$6:$C$405,F153,'Istoric_Nativ'!$E$6:$E$405,G153,'Istoric_Nativ'!$D$6:$D$405,"&lt;"&amp;J153,'Istoric_Nativ'!$O$6:$O$405,"SOURCE CONFLICT")+COUNTIFS('Istoric_Nativ'!$B$6:$B$405,E153,'Istoric_Nativ'!$C$6:$C$405,F153,'Istoric_Nativ'!$F$6:$F$405,G153,'Istoric_Nativ'!$D$6:$D$405,"&lt;"&amp;J153,'Istoric_Nativ'!$O$6:$O$405,"INVALID")+COUNTIFS('Istoric_Nativ'!$B$6:$B$405,E153,'Istoric_Nativ'!$C$6:$C$405,F153,'Istoric_Nativ'!$F$6:$F$405,G153,'Istoric_Nativ'!$O$6:$O$405,"INVALID",'Istoric_Nativ'!$D$6:$D$405,"*")+COUNTIFS('Istoric_Nativ'!$B$6:$B$405,E153,'Istoric_Nativ'!$C$6:$C$405,F153,'Istoric_Nativ'!$F$6:$F$405,G153,'Istoric_Nativ'!$D$6:$D$405,"&lt;"&amp;J153,'Istoric_Nativ'!$O$6:$O$405,"SOURCE CONFLICT"))</x:f>
        <x:v>0</x:v>
      </x:c>
      <x:c r="T153" s="2" t="str">
        <x:f>IF(B153="","",IF(R153&lt;&gt;"CLOSED",R153,IF(S153&gt;0,"NATIVE INPUT ISSUE",IF(M153=0,"NO HISTORY",IF(M153&lt;P153,"SMALL SAMPLE","DERIVED")))))</x:f>
      </x:c>
      <x:c r="U153" s="2" t="str">
        <x:f>IF(B153="","","NativeTable; "&amp;E153&amp;"; "&amp;F153&amp;"; "&amp;G153&amp;"; "&amp;H153&amp;"; before "&amp;TEXT(J153,"yyyy-mm-dd")&amp;IF(I153="RECENT","; from "&amp;TEXT(L153,"yyyy-mm-dd"),""))</x:f>
      </x:c>
    </x:row>
    <x:row r="154" ht="21" customHeight="1">
      <x:c r="A154" s="2" t="n">
        <x:v>13</x:v>
      </x:c>
      <x:c r="B154" s="2" t="str">
        <x:f>IF('Input_Meci'!A18="","",'Input_Meci'!A18)</x:f>
      </x:c>
      <x:c r="C154" s="2" t="str">
        <x:v>A</x:v>
      </x:c>
      <x:c r="D154" s="2" t="str">
        <x:v>CURRENT</x:v>
      </x:c>
      <x:c r="E154" s="2" t="str">
        <x:f>IF(B154="","",'Input_Meci'!B18)</x:f>
      </x:c>
      <x:c r="F154" s="2" t="str">
        <x:f>IF(B154="","",IF('Input_Meci'!C18="","",'Input_Meci'!C18))</x:f>
      </x:c>
      <x:c r="G154" s="2" t="str">
        <x:f>IF(B154="","",'Input_Meci'!E18)</x:f>
      </x:c>
      <x:c r="H154" s="2" t="str">
        <x:v>AWAY</x:v>
      </x:c>
      <x:c r="I154" s="2" t="str">
        <x:v>HA</x:v>
      </x:c>
      <x:c r="J154" s="9" t="n">
        <x:f>IF(AND(B154&lt;&gt;"",ISNUMBER('Input_Meci'!G18)),INT('Input_Meci'!G18),0)</x:f>
        <x:v>0</x:v>
      </x:c>
      <x:c r="K154" s="2" t="n">
        <x:f>IF(OR(B154="",F154=""),0,IF(H154="HOME",COUNTIFS('Istoric_Nativ'!$B$6:$B$405,E154,'Istoric_Nativ'!$C$6:$C$405,F154,'Istoric_Nativ'!$E$6:$E$405,G154,'Istoric_Nativ'!$D$6:$D$405,"&lt;"&amp;J154,'Istoric_Nativ'!$P$6:$P$405,1),IF(H154="AWAY",COUNTIFS('Istoric_Nativ'!$B$6:$B$405,E154,'Istoric_Nativ'!$C$6:$C$405,F154,'Istoric_Nativ'!$F$6:$F$405,G154,'Istoric_Nativ'!$D$6:$D$405,"&lt;"&amp;J154,'Istoric_Nativ'!$P$6:$P$405,1),COUNTIFS('Istoric_Nativ'!$B$6:$B$405,E154,'Istoric_Nativ'!$C$6:$C$405,F154,'Istoric_Nativ'!$E$6:$E$405,G154,'Istoric_Nativ'!$D$6:$D$405,"&lt;"&amp;J154,'Istoric_Nativ'!$P$6:$P$405,1)+COUNTIFS('Istoric_Nativ'!$B$6:$B$405,E154,'Istoric_Nativ'!$C$6:$C$405,F154,'Istoric_Nativ'!$F$6:$F$405,G154,'Istoric_Nativ'!$D$6:$D$405,"&lt;"&amp;J154,'Istoric_Nativ'!$P$6:$P$405,1))))</x:f>
        <x:v>0</x:v>
      </x:c>
      <x:c r="L154" s="17" t="n">
        <x:f>IF(AND(B154&lt;&gt;"",I154="RECENT",K154&gt;0),LARGE(_xlfn._xlws.FILTER('Istoric_Nativ'!$D$6:$D$405,('Istoric_Nativ'!$B$6:$B$405=E154)*('Istoric_Nativ'!$C$6:$C$405=F154)*('Istoric_Nativ'!$P$6:$P$405=1)*('Istoric_Nativ'!$D$6:$D$405&lt;J154)*((('Istoric_Nativ'!$E$6:$E$405=G154)+('Istoric_Nativ'!$F$6:$F$405=G154))&gt;0)),MIN('Config_v6'!$B$54,K154)),0)</x:f>
        <x:v>0</x:v>
      </x:c>
      <x:c r="M154" s="2" t="n">
        <x:f>IF(OR(B154="",F154=""),0,IF(H154="HOME",COUNTIFS('Istoric_Nativ'!$B$6:$B$405,E154,'Istoric_Nativ'!$C$6:$C$405,F154,'Istoric_Nativ'!$E$6:$E$405,G154,'Istoric_Nativ'!$D$6:$D$405,"&lt;"&amp;J154,'Istoric_Nativ'!$P$6:$P$405,1,'Istoric_Nativ'!$D$6:$D$405,"&gt;="&amp;L154),IF(H154="AWAY",COUNTIFS('Istoric_Nativ'!$B$6:$B$405,E154,'Istoric_Nativ'!$C$6:$C$405,F154,'Istoric_Nativ'!$F$6:$F$405,G154,'Istoric_Nativ'!$D$6:$D$405,"&lt;"&amp;J154,'Istoric_Nativ'!$P$6:$P$405,1,'Istoric_Nativ'!$D$6:$D$405,"&gt;="&amp;L154),COUNTIFS('Istoric_Nativ'!$B$6:$B$405,E154,'Istoric_Nativ'!$C$6:$C$405,F154,'Istoric_Nativ'!$E$6:$E$405,G154,'Istoric_Nativ'!$D$6:$D$405,"&lt;"&amp;J154,'Istoric_Nativ'!$P$6:$P$405,1,'Istoric_Nativ'!$D$6:$D$405,"&gt;="&amp;L154)+COUNTIFS('Istoric_Nativ'!$B$6:$B$405,E154,'Istoric_Nativ'!$C$6:$C$405,F154,'Istoric_Nativ'!$F$6:$F$405,G154,'Istoric_Nativ'!$D$6:$D$405,"&lt;"&amp;J154,'Istoric_Nativ'!$P$6:$P$405,1,'Istoric_Nativ'!$D$6:$D$405,"&gt;="&amp;L154))))</x:f>
        <x:v>0</x:v>
      </x:c>
      <x:c r="N154" s="11" t="str">
        <x:f>IF(M154=0,"",IF(H154="HOME",SUMIFS('Istoric_Nativ'!$G$6:$G$405,'Istoric_Nativ'!$B$6:$B$405,E154,'Istoric_Nativ'!$C$6:$C$405,F154,'Istoric_Nativ'!$E$6:$E$405,G154,'Istoric_Nativ'!$D$6:$D$405,"&lt;"&amp;J154,'Istoric_Nativ'!$P$6:$P$405,1,'Istoric_Nativ'!$D$6:$D$405,"&gt;="&amp;L154),IF(H154="AWAY",SUMIFS('Istoric_Nativ'!$H$6:$H$405,'Istoric_Nativ'!$B$6:$B$405,E154,'Istoric_Nativ'!$C$6:$C$405,F154,'Istoric_Nativ'!$F$6:$F$405,G154,'Istoric_Nativ'!$D$6:$D$405,"&lt;"&amp;J154,'Istoric_Nativ'!$P$6:$P$405,1,'Istoric_Nativ'!$D$6:$D$405,"&gt;="&amp;L154),SUMIFS('Istoric_Nativ'!$G$6:$G$405,'Istoric_Nativ'!$B$6:$B$405,E154,'Istoric_Nativ'!$C$6:$C$405,F154,'Istoric_Nativ'!$E$6:$E$405,G154,'Istoric_Nativ'!$D$6:$D$405,"&lt;"&amp;J154,'Istoric_Nativ'!$P$6:$P$405,1,'Istoric_Nativ'!$D$6:$D$405,"&gt;="&amp;L154)+SUMIFS('Istoric_Nativ'!$H$6:$H$405,'Istoric_Nativ'!$B$6:$B$405,E154,'Istoric_Nativ'!$C$6:$C$405,F154,'Istoric_Nativ'!$F$6:$F$405,G154,'Istoric_Nativ'!$D$6:$D$405,"&lt;"&amp;J154,'Istoric_Nativ'!$P$6:$P$405,1,'Istoric_Nativ'!$D$6:$D$405,"&gt;="&amp;L154)))/M154)</x:f>
      </x:c>
      <x:c r="O154" s="11" t="str">
        <x:f>IF(M154=0,"",IF(H154="HOME",SUMIFS('Istoric_Nativ'!$H$6:$H$405,'Istoric_Nativ'!$B$6:$B$405,E154,'Istoric_Nativ'!$C$6:$C$405,F154,'Istoric_Nativ'!$E$6:$E$405,G154,'Istoric_Nativ'!$D$6:$D$405,"&lt;"&amp;J154,'Istoric_Nativ'!$P$6:$P$405,1,'Istoric_Nativ'!$D$6:$D$405,"&gt;="&amp;L154),IF(H154="AWAY",SUMIFS('Istoric_Nativ'!$G$6:$G$405,'Istoric_Nativ'!$B$6:$B$405,E154,'Istoric_Nativ'!$C$6:$C$405,F154,'Istoric_Nativ'!$F$6:$F$405,G154,'Istoric_Nativ'!$D$6:$D$405,"&lt;"&amp;J154,'Istoric_Nativ'!$P$6:$P$405,1,'Istoric_Nativ'!$D$6:$D$405,"&gt;="&amp;L154),SUMIFS('Istoric_Nativ'!$H$6:$H$405,'Istoric_Nativ'!$B$6:$B$405,E154,'Istoric_Nativ'!$C$6:$C$405,F154,'Istoric_Nativ'!$E$6:$E$405,G154,'Istoric_Nativ'!$D$6:$D$405,"&lt;"&amp;J154,'Istoric_Nativ'!$P$6:$P$405,1,'Istoric_Nativ'!$D$6:$D$405,"&gt;="&amp;L154)+SUMIFS('Istoric_Nativ'!$G$6:$G$405,'Istoric_Nativ'!$B$6:$B$405,E154,'Istoric_Nativ'!$C$6:$C$405,F154,'Istoric_Nativ'!$F$6:$F$405,G154,'Istoric_Nativ'!$D$6:$D$405,"&lt;"&amp;J154,'Istoric_Nativ'!$P$6:$P$405,1,'Istoric_Nativ'!$D$6:$D$405,"&gt;="&amp;L154)))/M154)</x:f>
      </x:c>
      <x:c r="P154" s="2" t="n">
        <x:f>'Config_v6'!$B$8</x:f>
        <x:v>5</x:v>
      </x:c>
      <x:c r="Q154" s="2" t="n">
        <x:f>IF(OR(B154="",F154=""),0,IFERROR(MATCH(E154&amp;"|"&amp;F154,SourceTable[Source_Key],0),0))</x:f>
        <x:v>0</x:v>
      </x:c>
      <x:c r="R154" s="2" t="str">
        <x:f>IF(B154="","",IF(F154="","UNUSED",IF(Q154=0,"NOT CHECKED",IF(COUNTIF(SourceTable[Source_Key],E154&amp;"|"&amp;F154)&lt;&gt;1,"SOURCE CONFLICT",IF(NOT(OR(INDEX(SourceTable[Status],MAX(1,Q154))="IMPORTED",INDEX(SourceTable[Status],MAX(1,Q154))="PARTIAL",INDEX(SourceTable[Status],MAX(1,Q154))="SOURCE CONFLICT")),"ACCESS BLOCKED",IF(OR(INDEX(SourceTable[Coverage],Q154)&lt;&gt;"FULL SEASON EXPORT",INDEX(SourceTable[URL],Q154)="",INDEX(SourceTable[SHA256],Q154)=""),"EVIDENCE INCOMPLETE",IF(AND('Input_Meci'!H18="LIVE",INDEX(SourceTable[Retrieved_UTC],Q154)&gt;'Input_Meci'!G18),"POST CUTOFF","CLOSED")))))))</x:f>
      </x:c>
      <x:c r="S154" s="2" t="n">
        <x:f>IF(OR(B154="",F154=""),0,COUNTIFS('Istoric_Nativ'!$B$6:$B$405,E154,'Istoric_Nativ'!$C$6:$C$405,F154,'Istoric_Nativ'!$E$6:$E$405,G154,'Istoric_Nativ'!$D$6:$D$405,"&lt;"&amp;J154,'Istoric_Nativ'!$O$6:$O$405,"INVALID")+COUNTIFS('Istoric_Nativ'!$B$6:$B$405,E154,'Istoric_Nativ'!$C$6:$C$405,F154,'Istoric_Nativ'!$E$6:$E$405,G154,'Istoric_Nativ'!$O$6:$O$405,"INVALID",'Istoric_Nativ'!$D$6:$D$405,"*")+COUNTIFS('Istoric_Nativ'!$B$6:$B$405,E154,'Istoric_Nativ'!$C$6:$C$405,F154,'Istoric_Nativ'!$E$6:$E$405,G154,'Istoric_Nativ'!$D$6:$D$405,"&lt;"&amp;J154,'Istoric_Nativ'!$O$6:$O$405,"SOURCE CONFLICT")+COUNTIFS('Istoric_Nativ'!$B$6:$B$405,E154,'Istoric_Nativ'!$C$6:$C$405,F154,'Istoric_Nativ'!$F$6:$F$405,G154,'Istoric_Nativ'!$D$6:$D$405,"&lt;"&amp;J154,'Istoric_Nativ'!$O$6:$O$405,"INVALID")+COUNTIFS('Istoric_Nativ'!$B$6:$B$405,E154,'Istoric_Nativ'!$C$6:$C$405,F154,'Istoric_Nativ'!$F$6:$F$405,G154,'Istoric_Nativ'!$O$6:$O$405,"INVALID",'Istoric_Nativ'!$D$6:$D$405,"*")+COUNTIFS('Istoric_Nativ'!$B$6:$B$405,E154,'Istoric_Nativ'!$C$6:$C$405,F154,'Istoric_Nativ'!$F$6:$F$405,G154,'Istoric_Nativ'!$D$6:$D$405,"&lt;"&amp;J154,'Istoric_Nativ'!$O$6:$O$405,"SOURCE CONFLICT"))</x:f>
        <x:v>0</x:v>
      </x:c>
      <x:c r="T154" s="2" t="str">
        <x:f>IF(B154="","",IF(R154&lt;&gt;"CLOSED",R154,IF(S154&gt;0,"NATIVE INPUT ISSUE",IF(M154=0,"NO HISTORY",IF(M154&lt;P154,"SMALL SAMPLE","DERIVED")))))</x:f>
      </x:c>
      <x:c r="U154" s="2" t="str">
        <x:f>IF(B154="","","NativeTable; "&amp;E154&amp;"; "&amp;F154&amp;"; "&amp;G154&amp;"; "&amp;H154&amp;"; before "&amp;TEXT(J154,"yyyy-mm-dd")&amp;IF(I154="RECENT","; from "&amp;TEXT(L154,"yyyy-mm-dd"),""))</x:f>
      </x:c>
    </x:row>
    <x:row r="155" ht="21" customHeight="1">
      <x:c r="A155" s="2" t="n">
        <x:v>13</x:v>
      </x:c>
      <x:c r="B155" s="2" t="str">
        <x:f>IF('Input_Meci'!A18="","",'Input_Meci'!A18)</x:f>
      </x:c>
      <x:c r="C155" s="2" t="str">
        <x:v>A</x:v>
      </x:c>
      <x:c r="D155" s="2" t="str">
        <x:v>CURRENT</x:v>
      </x:c>
      <x:c r="E155" s="2" t="str">
        <x:f>IF(B155="","",'Input_Meci'!B18)</x:f>
      </x:c>
      <x:c r="F155" s="2" t="str">
        <x:f>IF(B155="","",IF('Input_Meci'!C18="","",'Input_Meci'!C18))</x:f>
      </x:c>
      <x:c r="G155" s="2" t="str">
        <x:f>IF(B155="","",'Input_Meci'!E18)</x:f>
      </x:c>
      <x:c r="H155" s="2" t="str">
        <x:v>ANY</x:v>
      </x:c>
      <x:c r="I155" s="2" t="str">
        <x:v>RECENT</x:v>
      </x:c>
      <x:c r="J155" s="9" t="n">
        <x:f>IF(AND(B155&lt;&gt;"",ISNUMBER('Input_Meci'!G18)),INT('Input_Meci'!G18),0)</x:f>
        <x:v>0</x:v>
      </x:c>
      <x:c r="K155" s="2" t="n">
        <x:f>IF(OR(B155="",F155=""),0,IF(H155="HOME",COUNTIFS('Istoric_Nativ'!$B$6:$B$405,E155,'Istoric_Nativ'!$C$6:$C$405,F155,'Istoric_Nativ'!$E$6:$E$405,G155,'Istoric_Nativ'!$D$6:$D$405,"&lt;"&amp;J155,'Istoric_Nativ'!$P$6:$P$405,1),IF(H155="AWAY",COUNTIFS('Istoric_Nativ'!$B$6:$B$405,E155,'Istoric_Nativ'!$C$6:$C$405,F155,'Istoric_Nativ'!$F$6:$F$405,G155,'Istoric_Nativ'!$D$6:$D$405,"&lt;"&amp;J155,'Istoric_Nativ'!$P$6:$P$405,1),COUNTIFS('Istoric_Nativ'!$B$6:$B$405,E155,'Istoric_Nativ'!$C$6:$C$405,F155,'Istoric_Nativ'!$E$6:$E$405,G155,'Istoric_Nativ'!$D$6:$D$405,"&lt;"&amp;J155,'Istoric_Nativ'!$P$6:$P$405,1)+COUNTIFS('Istoric_Nativ'!$B$6:$B$405,E155,'Istoric_Nativ'!$C$6:$C$405,F155,'Istoric_Nativ'!$F$6:$F$405,G155,'Istoric_Nativ'!$D$6:$D$405,"&lt;"&amp;J155,'Istoric_Nativ'!$P$6:$P$405,1))))</x:f>
        <x:v>0</x:v>
      </x:c>
      <x:c r="L155" s="17" t="n">
        <x:f>IF(AND(B155&lt;&gt;"",I155="RECENT",K155&gt;0),LARGE(_xlfn._xlws.FILTER('Istoric_Nativ'!$D$6:$D$405,('Istoric_Nativ'!$B$6:$B$405=E155)*('Istoric_Nativ'!$C$6:$C$405=F155)*('Istoric_Nativ'!$P$6:$P$405=1)*('Istoric_Nativ'!$D$6:$D$405&lt;J155)*((('Istoric_Nativ'!$E$6:$E$405=G155)+('Istoric_Nativ'!$F$6:$F$405=G155))&gt;0)),MIN('Config_v6'!$B$54,K155)),0)</x:f>
        <x:v>0</x:v>
      </x:c>
      <x:c r="M155" s="2" t="n">
        <x:f>IF(OR(B155="",F155=""),0,IF(H155="HOME",COUNTIFS('Istoric_Nativ'!$B$6:$B$405,E155,'Istoric_Nativ'!$C$6:$C$405,F155,'Istoric_Nativ'!$E$6:$E$405,G155,'Istoric_Nativ'!$D$6:$D$405,"&lt;"&amp;J155,'Istoric_Nativ'!$P$6:$P$405,1,'Istoric_Nativ'!$D$6:$D$405,"&gt;="&amp;L155),IF(H155="AWAY",COUNTIFS('Istoric_Nativ'!$B$6:$B$405,E155,'Istoric_Nativ'!$C$6:$C$405,F155,'Istoric_Nativ'!$F$6:$F$405,G155,'Istoric_Nativ'!$D$6:$D$405,"&lt;"&amp;J155,'Istoric_Nativ'!$P$6:$P$405,1,'Istoric_Nativ'!$D$6:$D$405,"&gt;="&amp;L155),COUNTIFS('Istoric_Nativ'!$B$6:$B$405,E155,'Istoric_Nativ'!$C$6:$C$405,F155,'Istoric_Nativ'!$E$6:$E$405,G155,'Istoric_Nativ'!$D$6:$D$405,"&lt;"&amp;J155,'Istoric_Nativ'!$P$6:$P$405,1,'Istoric_Nativ'!$D$6:$D$405,"&gt;="&amp;L155)+COUNTIFS('Istoric_Nativ'!$B$6:$B$405,E155,'Istoric_Nativ'!$C$6:$C$405,F155,'Istoric_Nativ'!$F$6:$F$405,G155,'Istoric_Nativ'!$D$6:$D$405,"&lt;"&amp;J155,'Istoric_Nativ'!$P$6:$P$405,1,'Istoric_Nativ'!$D$6:$D$405,"&gt;="&amp;L155))))</x:f>
        <x:v>0</x:v>
      </x:c>
      <x:c r="N155" s="11" t="str">
        <x:f>IF(M155=0,"",IF(H155="HOME",SUMIFS('Istoric_Nativ'!$G$6:$G$405,'Istoric_Nativ'!$B$6:$B$405,E155,'Istoric_Nativ'!$C$6:$C$405,F155,'Istoric_Nativ'!$E$6:$E$405,G155,'Istoric_Nativ'!$D$6:$D$405,"&lt;"&amp;J155,'Istoric_Nativ'!$P$6:$P$405,1,'Istoric_Nativ'!$D$6:$D$405,"&gt;="&amp;L155),IF(H155="AWAY",SUMIFS('Istoric_Nativ'!$H$6:$H$405,'Istoric_Nativ'!$B$6:$B$405,E155,'Istoric_Nativ'!$C$6:$C$405,F155,'Istoric_Nativ'!$F$6:$F$405,G155,'Istoric_Nativ'!$D$6:$D$405,"&lt;"&amp;J155,'Istoric_Nativ'!$P$6:$P$405,1,'Istoric_Nativ'!$D$6:$D$405,"&gt;="&amp;L155),SUMIFS('Istoric_Nativ'!$G$6:$G$405,'Istoric_Nativ'!$B$6:$B$405,E155,'Istoric_Nativ'!$C$6:$C$405,F155,'Istoric_Nativ'!$E$6:$E$405,G155,'Istoric_Nativ'!$D$6:$D$405,"&lt;"&amp;J155,'Istoric_Nativ'!$P$6:$P$405,1,'Istoric_Nativ'!$D$6:$D$405,"&gt;="&amp;L155)+SUMIFS('Istoric_Nativ'!$H$6:$H$405,'Istoric_Nativ'!$B$6:$B$405,E155,'Istoric_Nativ'!$C$6:$C$405,F155,'Istoric_Nativ'!$F$6:$F$405,G155,'Istoric_Nativ'!$D$6:$D$405,"&lt;"&amp;J155,'Istoric_Nativ'!$P$6:$P$405,1,'Istoric_Nativ'!$D$6:$D$405,"&gt;="&amp;L155)))/M155)</x:f>
      </x:c>
      <x:c r="O155" s="11" t="str">
        <x:f>IF(M155=0,"",IF(H155="HOME",SUMIFS('Istoric_Nativ'!$H$6:$H$405,'Istoric_Nativ'!$B$6:$B$405,E155,'Istoric_Nativ'!$C$6:$C$405,F155,'Istoric_Nativ'!$E$6:$E$405,G155,'Istoric_Nativ'!$D$6:$D$405,"&lt;"&amp;J155,'Istoric_Nativ'!$P$6:$P$405,1,'Istoric_Nativ'!$D$6:$D$405,"&gt;="&amp;L155),IF(H155="AWAY",SUMIFS('Istoric_Nativ'!$G$6:$G$405,'Istoric_Nativ'!$B$6:$B$405,E155,'Istoric_Nativ'!$C$6:$C$405,F155,'Istoric_Nativ'!$F$6:$F$405,G155,'Istoric_Nativ'!$D$6:$D$405,"&lt;"&amp;J155,'Istoric_Nativ'!$P$6:$P$405,1,'Istoric_Nativ'!$D$6:$D$405,"&gt;="&amp;L155),SUMIFS('Istoric_Nativ'!$H$6:$H$405,'Istoric_Nativ'!$B$6:$B$405,E155,'Istoric_Nativ'!$C$6:$C$405,F155,'Istoric_Nativ'!$E$6:$E$405,G155,'Istoric_Nativ'!$D$6:$D$405,"&lt;"&amp;J155,'Istoric_Nativ'!$P$6:$P$405,1,'Istoric_Nativ'!$D$6:$D$405,"&gt;="&amp;L155)+SUMIFS('Istoric_Nativ'!$G$6:$G$405,'Istoric_Nativ'!$B$6:$B$405,E155,'Istoric_Nativ'!$C$6:$C$405,F155,'Istoric_Nativ'!$F$6:$F$405,G155,'Istoric_Nativ'!$D$6:$D$405,"&lt;"&amp;J155,'Istoric_Nativ'!$P$6:$P$405,1,'Istoric_Nativ'!$D$6:$D$405,"&gt;="&amp;L155)))/M155)</x:f>
      </x:c>
      <x:c r="P155" s="2" t="n">
        <x:f>'Config_v6'!$B$9</x:f>
        <x:v>3</x:v>
      </x:c>
      <x:c r="Q155" s="2" t="n">
        <x:f>IF(OR(B155="",F155=""),0,IFERROR(MATCH(E155&amp;"|"&amp;F155,SourceTable[Source_Key],0),0))</x:f>
        <x:v>0</x:v>
      </x:c>
      <x:c r="R155" s="2" t="str">
        <x:f>IF(B155="","",IF(F155="","UNUSED",IF(Q155=0,"NOT CHECKED",IF(COUNTIF(SourceTable[Source_Key],E155&amp;"|"&amp;F155)&lt;&gt;1,"SOURCE CONFLICT",IF(NOT(OR(INDEX(SourceTable[Status],MAX(1,Q155))="IMPORTED",INDEX(SourceTable[Status],MAX(1,Q155))="PARTIAL",INDEX(SourceTable[Status],MAX(1,Q155))="SOURCE CONFLICT")),"ACCESS BLOCKED",IF(OR(INDEX(SourceTable[Coverage],Q155)&lt;&gt;"FULL SEASON EXPORT",INDEX(SourceTable[URL],Q155)="",INDEX(SourceTable[SHA256],Q155)=""),"EVIDENCE INCOMPLETE",IF(AND('Input_Meci'!H18="LIVE",INDEX(SourceTable[Retrieved_UTC],Q155)&gt;'Input_Meci'!G18),"POST CUTOFF","CLOSED")))))))</x:f>
      </x:c>
      <x:c r="S155" s="2" t="n">
        <x:f>IF(OR(B155="",F155=""),0,COUNTIFS('Istoric_Nativ'!$B$6:$B$405,E155,'Istoric_Nativ'!$C$6:$C$405,F155,'Istoric_Nativ'!$E$6:$E$405,G155,'Istoric_Nativ'!$D$6:$D$405,"&lt;"&amp;J155,'Istoric_Nativ'!$O$6:$O$405,"INVALID")+COUNTIFS('Istoric_Nativ'!$B$6:$B$405,E155,'Istoric_Nativ'!$C$6:$C$405,F155,'Istoric_Nativ'!$E$6:$E$405,G155,'Istoric_Nativ'!$O$6:$O$405,"INVALID",'Istoric_Nativ'!$D$6:$D$405,"*")+COUNTIFS('Istoric_Nativ'!$B$6:$B$405,E155,'Istoric_Nativ'!$C$6:$C$405,F155,'Istoric_Nativ'!$E$6:$E$405,G155,'Istoric_Nativ'!$D$6:$D$405,"&lt;"&amp;J155,'Istoric_Nativ'!$O$6:$O$405,"SOURCE CONFLICT")+COUNTIFS('Istoric_Nativ'!$B$6:$B$405,E155,'Istoric_Nativ'!$C$6:$C$405,F155,'Istoric_Nativ'!$F$6:$F$405,G155,'Istoric_Nativ'!$D$6:$D$405,"&lt;"&amp;J155,'Istoric_Nativ'!$O$6:$O$405,"INVALID")+COUNTIFS('Istoric_Nativ'!$B$6:$B$405,E155,'Istoric_Nativ'!$C$6:$C$405,F155,'Istoric_Nativ'!$F$6:$F$405,G155,'Istoric_Nativ'!$O$6:$O$405,"INVALID",'Istoric_Nativ'!$D$6:$D$405,"*")+COUNTIFS('Istoric_Nativ'!$B$6:$B$405,E155,'Istoric_Nativ'!$C$6:$C$405,F155,'Istoric_Nativ'!$F$6:$F$405,G155,'Istoric_Nativ'!$D$6:$D$405,"&lt;"&amp;J155,'Istoric_Nativ'!$O$6:$O$405,"SOURCE CONFLICT"))</x:f>
        <x:v>0</x:v>
      </x:c>
      <x:c r="T155" s="2" t="str">
        <x:f>IF(B155="","",IF(R155&lt;&gt;"CLOSED",R155,IF(S155&gt;0,"NATIVE INPUT ISSUE",IF(M155=0,"NO HISTORY",IF(M155&lt;P155,"SMALL SAMPLE","DERIVED")))))</x:f>
      </x:c>
      <x:c r="U155" s="2" t="str">
        <x:f>IF(B155="","","NativeTable; "&amp;E155&amp;"; "&amp;F155&amp;"; "&amp;G155&amp;"; "&amp;H155&amp;"; before "&amp;TEXT(J155,"yyyy-mm-dd")&amp;IF(I155="RECENT","; from "&amp;TEXT(L155,"yyyy-mm-dd"),""))</x:f>
      </x:c>
    </x:row>
    <x:row r="156" ht="21" customHeight="1">
      <x:c r="A156" s="2" t="n">
        <x:v>13</x:v>
      </x:c>
      <x:c r="B156" s="2" t="str">
        <x:f>IF('Input_Meci'!A18="","",'Input_Meci'!A18)</x:f>
      </x:c>
      <x:c r="C156" s="2" t="str">
        <x:v>H</x:v>
      </x:c>
      <x:c r="D156" s="2" t="str">
        <x:v>PRIOR</x:v>
      </x:c>
      <x:c r="E156" s="2" t="str">
        <x:f>IF(B156="","",'Input_Meci'!B18)</x:f>
      </x:c>
      <x:c r="F156" s="2" t="str">
        <x:f>IF(B156="","",IF('Input_Meci'!K18="","",'Input_Meci'!K18))</x:f>
      </x:c>
      <x:c r="G156" s="2" t="str">
        <x:f>IF(B156="","",'Input_Meci'!D18)</x:f>
      </x:c>
      <x:c r="H156" s="2" t="str">
        <x:v>ANY</x:v>
      </x:c>
      <x:c r="I156" s="2" t="str">
        <x:v>SEASON</x:v>
      </x:c>
      <x:c r="J156" s="9" t="n">
        <x:f>IF(AND(B156&lt;&gt;"",ISNUMBER('Input_Meci'!G18)),INT('Input_Meci'!G18),0)</x:f>
        <x:v>0</x:v>
      </x:c>
      <x:c r="K156" s="2" t="n">
        <x:f>IF(OR(B156="",F156=""),0,IF(H156="HOME",COUNTIFS('Istoric_Nativ'!$B$6:$B$405,E156,'Istoric_Nativ'!$C$6:$C$405,F156,'Istoric_Nativ'!$E$6:$E$405,G156,'Istoric_Nativ'!$D$6:$D$405,"&lt;"&amp;J156,'Istoric_Nativ'!$P$6:$P$405,1),IF(H156="AWAY",COUNTIFS('Istoric_Nativ'!$B$6:$B$405,E156,'Istoric_Nativ'!$C$6:$C$405,F156,'Istoric_Nativ'!$F$6:$F$405,G156,'Istoric_Nativ'!$D$6:$D$405,"&lt;"&amp;J156,'Istoric_Nativ'!$P$6:$P$405,1),COUNTIFS('Istoric_Nativ'!$B$6:$B$405,E156,'Istoric_Nativ'!$C$6:$C$405,F156,'Istoric_Nativ'!$E$6:$E$405,G156,'Istoric_Nativ'!$D$6:$D$405,"&lt;"&amp;J156,'Istoric_Nativ'!$P$6:$P$405,1)+COUNTIFS('Istoric_Nativ'!$B$6:$B$405,E156,'Istoric_Nativ'!$C$6:$C$405,F156,'Istoric_Nativ'!$F$6:$F$405,G156,'Istoric_Nativ'!$D$6:$D$405,"&lt;"&amp;J156,'Istoric_Nativ'!$P$6:$P$405,1))))</x:f>
        <x:v>0</x:v>
      </x:c>
      <x:c r="L156" s="17" t="n">
        <x:f>IF(AND(B156&lt;&gt;"",I156="RECENT",K156&gt;0),LARGE(_xlfn._xlws.FILTER('Istoric_Nativ'!$D$6:$D$405,('Istoric_Nativ'!$B$6:$B$405=E156)*('Istoric_Nativ'!$C$6:$C$405=F156)*('Istoric_Nativ'!$P$6:$P$405=1)*('Istoric_Nativ'!$D$6:$D$405&lt;J156)*((('Istoric_Nativ'!$E$6:$E$405=G156)+('Istoric_Nativ'!$F$6:$F$405=G156))&gt;0)),MIN('Config_v6'!$B$54,K156)),0)</x:f>
        <x:v>0</x:v>
      </x:c>
      <x:c r="M156" s="2" t="n">
        <x:f>IF(OR(B156="",F156=""),0,IF(H156="HOME",COUNTIFS('Istoric_Nativ'!$B$6:$B$405,E156,'Istoric_Nativ'!$C$6:$C$405,F156,'Istoric_Nativ'!$E$6:$E$405,G156,'Istoric_Nativ'!$D$6:$D$405,"&lt;"&amp;J156,'Istoric_Nativ'!$P$6:$P$405,1,'Istoric_Nativ'!$D$6:$D$405,"&gt;="&amp;L156),IF(H156="AWAY",COUNTIFS('Istoric_Nativ'!$B$6:$B$405,E156,'Istoric_Nativ'!$C$6:$C$405,F156,'Istoric_Nativ'!$F$6:$F$405,G156,'Istoric_Nativ'!$D$6:$D$405,"&lt;"&amp;J156,'Istoric_Nativ'!$P$6:$P$405,1,'Istoric_Nativ'!$D$6:$D$405,"&gt;="&amp;L156),COUNTIFS('Istoric_Nativ'!$B$6:$B$405,E156,'Istoric_Nativ'!$C$6:$C$405,F156,'Istoric_Nativ'!$E$6:$E$405,G156,'Istoric_Nativ'!$D$6:$D$405,"&lt;"&amp;J156,'Istoric_Nativ'!$P$6:$P$405,1,'Istoric_Nativ'!$D$6:$D$405,"&gt;="&amp;L156)+COUNTIFS('Istoric_Nativ'!$B$6:$B$405,E156,'Istoric_Nativ'!$C$6:$C$405,F156,'Istoric_Nativ'!$F$6:$F$405,G156,'Istoric_Nativ'!$D$6:$D$405,"&lt;"&amp;J156,'Istoric_Nativ'!$P$6:$P$405,1,'Istoric_Nativ'!$D$6:$D$405,"&gt;="&amp;L156))))</x:f>
        <x:v>0</x:v>
      </x:c>
      <x:c r="N156" s="11" t="str">
        <x:f>IF(M156=0,"",IF(H156="HOME",SUMIFS('Istoric_Nativ'!$G$6:$G$405,'Istoric_Nativ'!$B$6:$B$405,E156,'Istoric_Nativ'!$C$6:$C$405,F156,'Istoric_Nativ'!$E$6:$E$405,G156,'Istoric_Nativ'!$D$6:$D$405,"&lt;"&amp;J156,'Istoric_Nativ'!$P$6:$P$405,1,'Istoric_Nativ'!$D$6:$D$405,"&gt;="&amp;L156),IF(H156="AWAY",SUMIFS('Istoric_Nativ'!$H$6:$H$405,'Istoric_Nativ'!$B$6:$B$405,E156,'Istoric_Nativ'!$C$6:$C$405,F156,'Istoric_Nativ'!$F$6:$F$405,G156,'Istoric_Nativ'!$D$6:$D$405,"&lt;"&amp;J156,'Istoric_Nativ'!$P$6:$P$405,1,'Istoric_Nativ'!$D$6:$D$405,"&gt;="&amp;L156),SUMIFS('Istoric_Nativ'!$G$6:$G$405,'Istoric_Nativ'!$B$6:$B$405,E156,'Istoric_Nativ'!$C$6:$C$405,F156,'Istoric_Nativ'!$E$6:$E$405,G156,'Istoric_Nativ'!$D$6:$D$405,"&lt;"&amp;J156,'Istoric_Nativ'!$P$6:$P$405,1,'Istoric_Nativ'!$D$6:$D$405,"&gt;="&amp;L156)+SUMIFS('Istoric_Nativ'!$H$6:$H$405,'Istoric_Nativ'!$B$6:$B$405,E156,'Istoric_Nativ'!$C$6:$C$405,F156,'Istoric_Nativ'!$F$6:$F$405,G156,'Istoric_Nativ'!$D$6:$D$405,"&lt;"&amp;J156,'Istoric_Nativ'!$P$6:$P$405,1,'Istoric_Nativ'!$D$6:$D$405,"&gt;="&amp;L156)))/M156)</x:f>
      </x:c>
      <x:c r="O156" s="11" t="str">
        <x:f>IF(M156=0,"",IF(H156="HOME",SUMIFS('Istoric_Nativ'!$H$6:$H$405,'Istoric_Nativ'!$B$6:$B$405,E156,'Istoric_Nativ'!$C$6:$C$405,F156,'Istoric_Nativ'!$E$6:$E$405,G156,'Istoric_Nativ'!$D$6:$D$405,"&lt;"&amp;J156,'Istoric_Nativ'!$P$6:$P$405,1,'Istoric_Nativ'!$D$6:$D$405,"&gt;="&amp;L156),IF(H156="AWAY",SUMIFS('Istoric_Nativ'!$G$6:$G$405,'Istoric_Nativ'!$B$6:$B$405,E156,'Istoric_Nativ'!$C$6:$C$405,F156,'Istoric_Nativ'!$F$6:$F$405,G156,'Istoric_Nativ'!$D$6:$D$405,"&lt;"&amp;J156,'Istoric_Nativ'!$P$6:$P$405,1,'Istoric_Nativ'!$D$6:$D$405,"&gt;="&amp;L156),SUMIFS('Istoric_Nativ'!$H$6:$H$405,'Istoric_Nativ'!$B$6:$B$405,E156,'Istoric_Nativ'!$C$6:$C$405,F156,'Istoric_Nativ'!$E$6:$E$405,G156,'Istoric_Nativ'!$D$6:$D$405,"&lt;"&amp;J156,'Istoric_Nativ'!$P$6:$P$405,1,'Istoric_Nativ'!$D$6:$D$405,"&gt;="&amp;L156)+SUMIFS('Istoric_Nativ'!$G$6:$G$405,'Istoric_Nativ'!$B$6:$B$405,E156,'Istoric_Nativ'!$C$6:$C$405,F156,'Istoric_Nativ'!$F$6:$F$405,G156,'Istoric_Nativ'!$D$6:$D$405,"&lt;"&amp;J156,'Istoric_Nativ'!$P$6:$P$405,1,'Istoric_Nativ'!$D$6:$D$405,"&gt;="&amp;L156)))/M156)</x:f>
      </x:c>
      <x:c r="P156" s="2" t="n">
        <x:f>'Config_v6'!$B$7</x:f>
        <x:v>10</x:v>
      </x:c>
      <x:c r="Q156" s="2" t="n">
        <x:f>IF(OR(B156="",F156=""),0,IFERROR(MATCH(E156&amp;"|"&amp;F156,SourceTable[Source_Key],0),0))</x:f>
        <x:v>0</x:v>
      </x:c>
      <x:c r="R156" s="2" t="str">
        <x:f>IF(B156="","",IF(F156="","UNUSED",IF(Q156=0,"NOT CHECKED",IF(COUNTIF(SourceTable[Source_Key],E156&amp;"|"&amp;F156)&lt;&gt;1,"SOURCE CONFLICT",IF(NOT(OR(INDEX(SourceTable[Status],MAX(1,Q156))="IMPORTED",INDEX(SourceTable[Status],MAX(1,Q156))="PARTIAL",INDEX(SourceTable[Status],MAX(1,Q156))="SOURCE CONFLICT")),"ACCESS BLOCKED",IF(OR(INDEX(SourceTable[Coverage],Q156)&lt;&gt;"FULL SEASON EXPORT",INDEX(SourceTable[URL],Q156)="",INDEX(SourceTable[SHA256],Q156)=""),"EVIDENCE INCOMPLETE",IF(AND('Input_Meci'!H18="LIVE",INDEX(SourceTable[Retrieved_UTC],Q156)&gt;'Input_Meci'!G18),"POST CUTOFF","CLOSED")))))))</x:f>
      </x:c>
      <x:c r="S156" s="2" t="n">
        <x:f>IF(OR(B156="",F156=""),0,COUNTIFS('Istoric_Nativ'!$B$6:$B$405,E156,'Istoric_Nativ'!$C$6:$C$405,F156,'Istoric_Nativ'!$E$6:$E$405,G156,'Istoric_Nativ'!$D$6:$D$405,"&lt;"&amp;J156,'Istoric_Nativ'!$O$6:$O$405,"INVALID")+COUNTIFS('Istoric_Nativ'!$B$6:$B$405,E156,'Istoric_Nativ'!$C$6:$C$405,F156,'Istoric_Nativ'!$E$6:$E$405,G156,'Istoric_Nativ'!$O$6:$O$405,"INVALID",'Istoric_Nativ'!$D$6:$D$405,"*")+COUNTIFS('Istoric_Nativ'!$B$6:$B$405,E156,'Istoric_Nativ'!$C$6:$C$405,F156,'Istoric_Nativ'!$E$6:$E$405,G156,'Istoric_Nativ'!$D$6:$D$405,"&lt;"&amp;J156,'Istoric_Nativ'!$O$6:$O$405,"SOURCE CONFLICT")+COUNTIFS('Istoric_Nativ'!$B$6:$B$405,E156,'Istoric_Nativ'!$C$6:$C$405,F156,'Istoric_Nativ'!$F$6:$F$405,G156,'Istoric_Nativ'!$D$6:$D$405,"&lt;"&amp;J156,'Istoric_Nativ'!$O$6:$O$405,"INVALID")+COUNTIFS('Istoric_Nativ'!$B$6:$B$405,E156,'Istoric_Nativ'!$C$6:$C$405,F156,'Istoric_Nativ'!$F$6:$F$405,G156,'Istoric_Nativ'!$O$6:$O$405,"INVALID",'Istoric_Nativ'!$D$6:$D$405,"*")+COUNTIFS('Istoric_Nativ'!$B$6:$B$405,E156,'Istoric_Nativ'!$C$6:$C$405,F156,'Istoric_Nativ'!$F$6:$F$405,G156,'Istoric_Nativ'!$D$6:$D$405,"&lt;"&amp;J156,'Istoric_Nativ'!$O$6:$O$405,"SOURCE CONFLICT"))</x:f>
        <x:v>0</x:v>
      </x:c>
      <x:c r="T156" s="2" t="str">
        <x:f>IF(B156="","",IF(R156&lt;&gt;"CLOSED",R156,IF(S156&gt;0,"NATIVE INPUT ISSUE",IF(M156=0,"NO HISTORY",IF(M156&lt;P156,"SMALL SAMPLE","DERIVED")))))</x:f>
      </x:c>
      <x:c r="U156" s="2" t="str">
        <x:f>IF(B156="","","NativeTable; "&amp;E156&amp;"; "&amp;F156&amp;"; "&amp;G156&amp;"; "&amp;H156&amp;"; before "&amp;TEXT(J156,"yyyy-mm-dd")&amp;IF(I156="RECENT","; from "&amp;TEXT(L156,"yyyy-mm-dd"),""))</x:f>
      </x:c>
    </x:row>
    <x:row r="157" ht="21" customHeight="1">
      <x:c r="A157" s="2" t="n">
        <x:v>13</x:v>
      </x:c>
      <x:c r="B157" s="2" t="str">
        <x:f>IF('Input_Meci'!A18="","",'Input_Meci'!A18)</x:f>
      </x:c>
      <x:c r="C157" s="2" t="str">
        <x:v>H</x:v>
      </x:c>
      <x:c r="D157" s="2" t="str">
        <x:v>PRIOR</x:v>
      </x:c>
      <x:c r="E157" s="2" t="str">
        <x:f>IF(B157="","",'Input_Meci'!B18)</x:f>
      </x:c>
      <x:c r="F157" s="2" t="str">
        <x:f>IF(B157="","",IF('Input_Meci'!K18="","",'Input_Meci'!K18))</x:f>
      </x:c>
      <x:c r="G157" s="2" t="str">
        <x:f>IF(B157="","",'Input_Meci'!D18)</x:f>
      </x:c>
      <x:c r="H157" s="2" t="str">
        <x:v>HOME</x:v>
      </x:c>
      <x:c r="I157" s="2" t="str">
        <x:v>HA</x:v>
      </x:c>
      <x:c r="J157" s="9" t="n">
        <x:f>IF(AND(B157&lt;&gt;"",ISNUMBER('Input_Meci'!G18)),INT('Input_Meci'!G18),0)</x:f>
        <x:v>0</x:v>
      </x:c>
      <x:c r="K157" s="2" t="n">
        <x:f>IF(OR(B157="",F157=""),0,IF(H157="HOME",COUNTIFS('Istoric_Nativ'!$B$6:$B$405,E157,'Istoric_Nativ'!$C$6:$C$405,F157,'Istoric_Nativ'!$E$6:$E$405,G157,'Istoric_Nativ'!$D$6:$D$405,"&lt;"&amp;J157,'Istoric_Nativ'!$P$6:$P$405,1),IF(H157="AWAY",COUNTIFS('Istoric_Nativ'!$B$6:$B$405,E157,'Istoric_Nativ'!$C$6:$C$405,F157,'Istoric_Nativ'!$F$6:$F$405,G157,'Istoric_Nativ'!$D$6:$D$405,"&lt;"&amp;J157,'Istoric_Nativ'!$P$6:$P$405,1),COUNTIFS('Istoric_Nativ'!$B$6:$B$405,E157,'Istoric_Nativ'!$C$6:$C$405,F157,'Istoric_Nativ'!$E$6:$E$405,G157,'Istoric_Nativ'!$D$6:$D$405,"&lt;"&amp;J157,'Istoric_Nativ'!$P$6:$P$405,1)+COUNTIFS('Istoric_Nativ'!$B$6:$B$405,E157,'Istoric_Nativ'!$C$6:$C$405,F157,'Istoric_Nativ'!$F$6:$F$405,G157,'Istoric_Nativ'!$D$6:$D$405,"&lt;"&amp;J157,'Istoric_Nativ'!$P$6:$P$405,1))))</x:f>
        <x:v>0</x:v>
      </x:c>
      <x:c r="L157" s="17" t="n">
        <x:f>IF(AND(B157&lt;&gt;"",I157="RECENT",K157&gt;0),LARGE(_xlfn._xlws.FILTER('Istoric_Nativ'!$D$6:$D$405,('Istoric_Nativ'!$B$6:$B$405=E157)*('Istoric_Nativ'!$C$6:$C$405=F157)*('Istoric_Nativ'!$P$6:$P$405=1)*('Istoric_Nativ'!$D$6:$D$405&lt;J157)*((('Istoric_Nativ'!$E$6:$E$405=G157)+('Istoric_Nativ'!$F$6:$F$405=G157))&gt;0)),MIN('Config_v6'!$B$54,K157)),0)</x:f>
        <x:v>0</x:v>
      </x:c>
      <x:c r="M157" s="2" t="n">
        <x:f>IF(OR(B157="",F157=""),0,IF(H157="HOME",COUNTIFS('Istoric_Nativ'!$B$6:$B$405,E157,'Istoric_Nativ'!$C$6:$C$405,F157,'Istoric_Nativ'!$E$6:$E$405,G157,'Istoric_Nativ'!$D$6:$D$405,"&lt;"&amp;J157,'Istoric_Nativ'!$P$6:$P$405,1,'Istoric_Nativ'!$D$6:$D$405,"&gt;="&amp;L157),IF(H157="AWAY",COUNTIFS('Istoric_Nativ'!$B$6:$B$405,E157,'Istoric_Nativ'!$C$6:$C$405,F157,'Istoric_Nativ'!$F$6:$F$405,G157,'Istoric_Nativ'!$D$6:$D$405,"&lt;"&amp;J157,'Istoric_Nativ'!$P$6:$P$405,1,'Istoric_Nativ'!$D$6:$D$405,"&gt;="&amp;L157),COUNTIFS('Istoric_Nativ'!$B$6:$B$405,E157,'Istoric_Nativ'!$C$6:$C$405,F157,'Istoric_Nativ'!$E$6:$E$405,G157,'Istoric_Nativ'!$D$6:$D$405,"&lt;"&amp;J157,'Istoric_Nativ'!$P$6:$P$405,1,'Istoric_Nativ'!$D$6:$D$405,"&gt;="&amp;L157)+COUNTIFS('Istoric_Nativ'!$B$6:$B$405,E157,'Istoric_Nativ'!$C$6:$C$405,F157,'Istoric_Nativ'!$F$6:$F$405,G157,'Istoric_Nativ'!$D$6:$D$405,"&lt;"&amp;J157,'Istoric_Nativ'!$P$6:$P$405,1,'Istoric_Nativ'!$D$6:$D$405,"&gt;="&amp;L157))))</x:f>
        <x:v>0</x:v>
      </x:c>
      <x:c r="N157" s="11" t="str">
        <x:f>IF(M157=0,"",IF(H157="HOME",SUMIFS('Istoric_Nativ'!$G$6:$G$405,'Istoric_Nativ'!$B$6:$B$405,E157,'Istoric_Nativ'!$C$6:$C$405,F157,'Istoric_Nativ'!$E$6:$E$405,G157,'Istoric_Nativ'!$D$6:$D$405,"&lt;"&amp;J157,'Istoric_Nativ'!$P$6:$P$405,1,'Istoric_Nativ'!$D$6:$D$405,"&gt;="&amp;L157),IF(H157="AWAY",SUMIFS('Istoric_Nativ'!$H$6:$H$405,'Istoric_Nativ'!$B$6:$B$405,E157,'Istoric_Nativ'!$C$6:$C$405,F157,'Istoric_Nativ'!$F$6:$F$405,G157,'Istoric_Nativ'!$D$6:$D$405,"&lt;"&amp;J157,'Istoric_Nativ'!$P$6:$P$405,1,'Istoric_Nativ'!$D$6:$D$405,"&gt;="&amp;L157),SUMIFS('Istoric_Nativ'!$G$6:$G$405,'Istoric_Nativ'!$B$6:$B$405,E157,'Istoric_Nativ'!$C$6:$C$405,F157,'Istoric_Nativ'!$E$6:$E$405,G157,'Istoric_Nativ'!$D$6:$D$405,"&lt;"&amp;J157,'Istoric_Nativ'!$P$6:$P$405,1,'Istoric_Nativ'!$D$6:$D$405,"&gt;="&amp;L157)+SUMIFS('Istoric_Nativ'!$H$6:$H$405,'Istoric_Nativ'!$B$6:$B$405,E157,'Istoric_Nativ'!$C$6:$C$405,F157,'Istoric_Nativ'!$F$6:$F$405,G157,'Istoric_Nativ'!$D$6:$D$405,"&lt;"&amp;J157,'Istoric_Nativ'!$P$6:$P$405,1,'Istoric_Nativ'!$D$6:$D$405,"&gt;="&amp;L157)))/M157)</x:f>
      </x:c>
      <x:c r="O157" s="11" t="str">
        <x:f>IF(M157=0,"",IF(H157="HOME",SUMIFS('Istoric_Nativ'!$H$6:$H$405,'Istoric_Nativ'!$B$6:$B$405,E157,'Istoric_Nativ'!$C$6:$C$405,F157,'Istoric_Nativ'!$E$6:$E$405,G157,'Istoric_Nativ'!$D$6:$D$405,"&lt;"&amp;J157,'Istoric_Nativ'!$P$6:$P$405,1,'Istoric_Nativ'!$D$6:$D$405,"&gt;="&amp;L157),IF(H157="AWAY",SUMIFS('Istoric_Nativ'!$G$6:$G$405,'Istoric_Nativ'!$B$6:$B$405,E157,'Istoric_Nativ'!$C$6:$C$405,F157,'Istoric_Nativ'!$F$6:$F$405,G157,'Istoric_Nativ'!$D$6:$D$405,"&lt;"&amp;J157,'Istoric_Nativ'!$P$6:$P$405,1,'Istoric_Nativ'!$D$6:$D$405,"&gt;="&amp;L157),SUMIFS('Istoric_Nativ'!$H$6:$H$405,'Istoric_Nativ'!$B$6:$B$405,E157,'Istoric_Nativ'!$C$6:$C$405,F157,'Istoric_Nativ'!$E$6:$E$405,G157,'Istoric_Nativ'!$D$6:$D$405,"&lt;"&amp;J157,'Istoric_Nativ'!$P$6:$P$405,1,'Istoric_Nativ'!$D$6:$D$405,"&gt;="&amp;L157)+SUMIFS('Istoric_Nativ'!$G$6:$G$405,'Istoric_Nativ'!$B$6:$B$405,E157,'Istoric_Nativ'!$C$6:$C$405,F157,'Istoric_Nativ'!$F$6:$F$405,G157,'Istoric_Nativ'!$D$6:$D$405,"&lt;"&amp;J157,'Istoric_Nativ'!$P$6:$P$405,1,'Istoric_Nativ'!$D$6:$D$405,"&gt;="&amp;L157)))/M157)</x:f>
      </x:c>
      <x:c r="P157" s="2" t="n">
        <x:f>'Config_v6'!$B$8</x:f>
        <x:v>5</x:v>
      </x:c>
      <x:c r="Q157" s="2" t="n">
        <x:f>IF(OR(B157="",F157=""),0,IFERROR(MATCH(E157&amp;"|"&amp;F157,SourceTable[Source_Key],0),0))</x:f>
        <x:v>0</x:v>
      </x:c>
      <x:c r="R157" s="2" t="str">
        <x:f>IF(B157="","",IF(F157="","UNUSED",IF(Q157=0,"NOT CHECKED",IF(COUNTIF(SourceTable[Source_Key],E157&amp;"|"&amp;F157)&lt;&gt;1,"SOURCE CONFLICT",IF(NOT(OR(INDEX(SourceTable[Status],MAX(1,Q157))="IMPORTED",INDEX(SourceTable[Status],MAX(1,Q157))="PARTIAL",INDEX(SourceTable[Status],MAX(1,Q157))="SOURCE CONFLICT")),"ACCESS BLOCKED",IF(OR(INDEX(SourceTable[Coverage],Q157)&lt;&gt;"FULL SEASON EXPORT",INDEX(SourceTable[URL],Q157)="",INDEX(SourceTable[SHA256],Q157)=""),"EVIDENCE INCOMPLETE",IF(AND('Input_Meci'!H18="LIVE",INDEX(SourceTable[Retrieved_UTC],Q157)&gt;'Input_Meci'!G18),"POST CUTOFF","CLOSED")))))))</x:f>
      </x:c>
      <x:c r="S157" s="2" t="n">
        <x:f>IF(OR(B157="",F157=""),0,COUNTIFS('Istoric_Nativ'!$B$6:$B$405,E157,'Istoric_Nativ'!$C$6:$C$405,F157,'Istoric_Nativ'!$E$6:$E$405,G157,'Istoric_Nativ'!$D$6:$D$405,"&lt;"&amp;J157,'Istoric_Nativ'!$O$6:$O$405,"INVALID")+COUNTIFS('Istoric_Nativ'!$B$6:$B$405,E157,'Istoric_Nativ'!$C$6:$C$405,F157,'Istoric_Nativ'!$E$6:$E$405,G157,'Istoric_Nativ'!$O$6:$O$405,"INVALID",'Istoric_Nativ'!$D$6:$D$405,"*")+COUNTIFS('Istoric_Nativ'!$B$6:$B$405,E157,'Istoric_Nativ'!$C$6:$C$405,F157,'Istoric_Nativ'!$E$6:$E$405,G157,'Istoric_Nativ'!$D$6:$D$405,"&lt;"&amp;J157,'Istoric_Nativ'!$O$6:$O$405,"SOURCE CONFLICT")+COUNTIFS('Istoric_Nativ'!$B$6:$B$405,E157,'Istoric_Nativ'!$C$6:$C$405,F157,'Istoric_Nativ'!$F$6:$F$405,G157,'Istoric_Nativ'!$D$6:$D$405,"&lt;"&amp;J157,'Istoric_Nativ'!$O$6:$O$405,"INVALID")+COUNTIFS('Istoric_Nativ'!$B$6:$B$405,E157,'Istoric_Nativ'!$C$6:$C$405,F157,'Istoric_Nativ'!$F$6:$F$405,G157,'Istoric_Nativ'!$O$6:$O$405,"INVALID",'Istoric_Nativ'!$D$6:$D$405,"*")+COUNTIFS('Istoric_Nativ'!$B$6:$B$405,E157,'Istoric_Nativ'!$C$6:$C$405,F157,'Istoric_Nativ'!$F$6:$F$405,G157,'Istoric_Nativ'!$D$6:$D$405,"&lt;"&amp;J157,'Istoric_Nativ'!$O$6:$O$405,"SOURCE CONFLICT"))</x:f>
        <x:v>0</x:v>
      </x:c>
      <x:c r="T157" s="2" t="str">
        <x:f>IF(B157="","",IF(R157&lt;&gt;"CLOSED",R157,IF(S157&gt;0,"NATIVE INPUT ISSUE",IF(M157=0,"NO HISTORY",IF(M157&lt;P157,"SMALL SAMPLE","DERIVED")))))</x:f>
      </x:c>
      <x:c r="U157" s="2" t="str">
        <x:f>IF(B157="","","NativeTable; "&amp;E157&amp;"; "&amp;F157&amp;"; "&amp;G157&amp;"; "&amp;H157&amp;"; before "&amp;TEXT(J157,"yyyy-mm-dd")&amp;IF(I157="RECENT","; from "&amp;TEXT(L157,"yyyy-mm-dd"),""))</x:f>
      </x:c>
    </x:row>
    <x:row r="158" ht="21" customHeight="1">
      <x:c r="A158" s="2" t="n">
        <x:v>13</x:v>
      </x:c>
      <x:c r="B158" s="2" t="str">
        <x:f>IF('Input_Meci'!A18="","",'Input_Meci'!A18)</x:f>
      </x:c>
      <x:c r="C158" s="2" t="str">
        <x:v>H</x:v>
      </x:c>
      <x:c r="D158" s="2" t="str">
        <x:v>PRIOR</x:v>
      </x:c>
      <x:c r="E158" s="2" t="str">
        <x:f>IF(B158="","",'Input_Meci'!B18)</x:f>
      </x:c>
      <x:c r="F158" s="2" t="str">
        <x:f>IF(B158="","",IF('Input_Meci'!K18="","",'Input_Meci'!K18))</x:f>
      </x:c>
      <x:c r="G158" s="2" t="str">
        <x:f>IF(B158="","",'Input_Meci'!D18)</x:f>
      </x:c>
      <x:c r="H158" s="2" t="str">
        <x:v>ANY</x:v>
      </x:c>
      <x:c r="I158" s="2" t="str">
        <x:v>RECENT</x:v>
      </x:c>
      <x:c r="J158" s="9" t="n">
        <x:f>IF(AND(B158&lt;&gt;"",ISNUMBER('Input_Meci'!G18)),INT('Input_Meci'!G18),0)</x:f>
        <x:v>0</x:v>
      </x:c>
      <x:c r="K158" s="2" t="n">
        <x:f>IF(OR(B158="",F158=""),0,IF(H158="HOME",COUNTIFS('Istoric_Nativ'!$B$6:$B$405,E158,'Istoric_Nativ'!$C$6:$C$405,F158,'Istoric_Nativ'!$E$6:$E$405,G158,'Istoric_Nativ'!$D$6:$D$405,"&lt;"&amp;J158,'Istoric_Nativ'!$P$6:$P$405,1),IF(H158="AWAY",COUNTIFS('Istoric_Nativ'!$B$6:$B$405,E158,'Istoric_Nativ'!$C$6:$C$405,F158,'Istoric_Nativ'!$F$6:$F$405,G158,'Istoric_Nativ'!$D$6:$D$405,"&lt;"&amp;J158,'Istoric_Nativ'!$P$6:$P$405,1),COUNTIFS('Istoric_Nativ'!$B$6:$B$405,E158,'Istoric_Nativ'!$C$6:$C$405,F158,'Istoric_Nativ'!$E$6:$E$405,G158,'Istoric_Nativ'!$D$6:$D$405,"&lt;"&amp;J158,'Istoric_Nativ'!$P$6:$P$405,1)+COUNTIFS('Istoric_Nativ'!$B$6:$B$405,E158,'Istoric_Nativ'!$C$6:$C$405,F158,'Istoric_Nativ'!$F$6:$F$405,G158,'Istoric_Nativ'!$D$6:$D$405,"&lt;"&amp;J158,'Istoric_Nativ'!$P$6:$P$405,1))))</x:f>
        <x:v>0</x:v>
      </x:c>
      <x:c r="L158" s="17" t="n">
        <x:f>IF(AND(B158&lt;&gt;"",I158="RECENT",K158&gt;0),LARGE(_xlfn._xlws.FILTER('Istoric_Nativ'!$D$6:$D$405,('Istoric_Nativ'!$B$6:$B$405=E158)*('Istoric_Nativ'!$C$6:$C$405=F158)*('Istoric_Nativ'!$P$6:$P$405=1)*('Istoric_Nativ'!$D$6:$D$405&lt;J158)*((('Istoric_Nativ'!$E$6:$E$405=G158)+('Istoric_Nativ'!$F$6:$F$405=G158))&gt;0)),MIN('Config_v6'!$B$54,K158)),0)</x:f>
        <x:v>0</x:v>
      </x:c>
      <x:c r="M158" s="2" t="n">
        <x:f>IF(OR(B158="",F158=""),0,IF(H158="HOME",COUNTIFS('Istoric_Nativ'!$B$6:$B$405,E158,'Istoric_Nativ'!$C$6:$C$405,F158,'Istoric_Nativ'!$E$6:$E$405,G158,'Istoric_Nativ'!$D$6:$D$405,"&lt;"&amp;J158,'Istoric_Nativ'!$P$6:$P$405,1,'Istoric_Nativ'!$D$6:$D$405,"&gt;="&amp;L158),IF(H158="AWAY",COUNTIFS('Istoric_Nativ'!$B$6:$B$405,E158,'Istoric_Nativ'!$C$6:$C$405,F158,'Istoric_Nativ'!$F$6:$F$405,G158,'Istoric_Nativ'!$D$6:$D$405,"&lt;"&amp;J158,'Istoric_Nativ'!$P$6:$P$405,1,'Istoric_Nativ'!$D$6:$D$405,"&gt;="&amp;L158),COUNTIFS('Istoric_Nativ'!$B$6:$B$405,E158,'Istoric_Nativ'!$C$6:$C$405,F158,'Istoric_Nativ'!$E$6:$E$405,G158,'Istoric_Nativ'!$D$6:$D$405,"&lt;"&amp;J158,'Istoric_Nativ'!$P$6:$P$405,1,'Istoric_Nativ'!$D$6:$D$405,"&gt;="&amp;L158)+COUNTIFS('Istoric_Nativ'!$B$6:$B$405,E158,'Istoric_Nativ'!$C$6:$C$405,F158,'Istoric_Nativ'!$F$6:$F$405,G158,'Istoric_Nativ'!$D$6:$D$405,"&lt;"&amp;J158,'Istoric_Nativ'!$P$6:$P$405,1,'Istoric_Nativ'!$D$6:$D$405,"&gt;="&amp;L158))))</x:f>
        <x:v>0</x:v>
      </x:c>
      <x:c r="N158" s="11" t="str">
        <x:f>IF(M158=0,"",IF(H158="HOME",SUMIFS('Istoric_Nativ'!$G$6:$G$405,'Istoric_Nativ'!$B$6:$B$405,E158,'Istoric_Nativ'!$C$6:$C$405,F158,'Istoric_Nativ'!$E$6:$E$405,G158,'Istoric_Nativ'!$D$6:$D$405,"&lt;"&amp;J158,'Istoric_Nativ'!$P$6:$P$405,1,'Istoric_Nativ'!$D$6:$D$405,"&gt;="&amp;L158),IF(H158="AWAY",SUMIFS('Istoric_Nativ'!$H$6:$H$405,'Istoric_Nativ'!$B$6:$B$405,E158,'Istoric_Nativ'!$C$6:$C$405,F158,'Istoric_Nativ'!$F$6:$F$405,G158,'Istoric_Nativ'!$D$6:$D$405,"&lt;"&amp;J158,'Istoric_Nativ'!$P$6:$P$405,1,'Istoric_Nativ'!$D$6:$D$405,"&gt;="&amp;L158),SUMIFS('Istoric_Nativ'!$G$6:$G$405,'Istoric_Nativ'!$B$6:$B$405,E158,'Istoric_Nativ'!$C$6:$C$405,F158,'Istoric_Nativ'!$E$6:$E$405,G158,'Istoric_Nativ'!$D$6:$D$405,"&lt;"&amp;J158,'Istoric_Nativ'!$P$6:$P$405,1,'Istoric_Nativ'!$D$6:$D$405,"&gt;="&amp;L158)+SUMIFS('Istoric_Nativ'!$H$6:$H$405,'Istoric_Nativ'!$B$6:$B$405,E158,'Istoric_Nativ'!$C$6:$C$405,F158,'Istoric_Nativ'!$F$6:$F$405,G158,'Istoric_Nativ'!$D$6:$D$405,"&lt;"&amp;J158,'Istoric_Nativ'!$P$6:$P$405,1,'Istoric_Nativ'!$D$6:$D$405,"&gt;="&amp;L158)))/M158)</x:f>
      </x:c>
      <x:c r="O158" s="11" t="str">
        <x:f>IF(M158=0,"",IF(H158="HOME",SUMIFS('Istoric_Nativ'!$H$6:$H$405,'Istoric_Nativ'!$B$6:$B$405,E158,'Istoric_Nativ'!$C$6:$C$405,F158,'Istoric_Nativ'!$E$6:$E$405,G158,'Istoric_Nativ'!$D$6:$D$405,"&lt;"&amp;J158,'Istoric_Nativ'!$P$6:$P$405,1,'Istoric_Nativ'!$D$6:$D$405,"&gt;="&amp;L158),IF(H158="AWAY",SUMIFS('Istoric_Nativ'!$G$6:$G$405,'Istoric_Nativ'!$B$6:$B$405,E158,'Istoric_Nativ'!$C$6:$C$405,F158,'Istoric_Nativ'!$F$6:$F$405,G158,'Istoric_Nativ'!$D$6:$D$405,"&lt;"&amp;J158,'Istoric_Nativ'!$P$6:$P$405,1,'Istoric_Nativ'!$D$6:$D$405,"&gt;="&amp;L158),SUMIFS('Istoric_Nativ'!$H$6:$H$405,'Istoric_Nativ'!$B$6:$B$405,E158,'Istoric_Nativ'!$C$6:$C$405,F158,'Istoric_Nativ'!$E$6:$E$405,G158,'Istoric_Nativ'!$D$6:$D$405,"&lt;"&amp;J158,'Istoric_Nativ'!$P$6:$P$405,1,'Istoric_Nativ'!$D$6:$D$405,"&gt;="&amp;L158)+SUMIFS('Istoric_Nativ'!$G$6:$G$405,'Istoric_Nativ'!$B$6:$B$405,E158,'Istoric_Nativ'!$C$6:$C$405,F158,'Istoric_Nativ'!$F$6:$F$405,G158,'Istoric_Nativ'!$D$6:$D$405,"&lt;"&amp;J158,'Istoric_Nativ'!$P$6:$P$405,1,'Istoric_Nativ'!$D$6:$D$405,"&gt;="&amp;L158)))/M158)</x:f>
      </x:c>
      <x:c r="P158" s="2" t="n">
        <x:f>'Config_v6'!$B$9</x:f>
        <x:v>3</x:v>
      </x:c>
      <x:c r="Q158" s="2" t="n">
        <x:f>IF(OR(B158="",F158=""),0,IFERROR(MATCH(E158&amp;"|"&amp;F158,SourceTable[Source_Key],0),0))</x:f>
        <x:v>0</x:v>
      </x:c>
      <x:c r="R158" s="2" t="str">
        <x:f>IF(B158="","",IF(F158="","UNUSED",IF(Q158=0,"NOT CHECKED",IF(COUNTIF(SourceTable[Source_Key],E158&amp;"|"&amp;F158)&lt;&gt;1,"SOURCE CONFLICT",IF(NOT(OR(INDEX(SourceTable[Status],MAX(1,Q158))="IMPORTED",INDEX(SourceTable[Status],MAX(1,Q158))="PARTIAL",INDEX(SourceTable[Status],MAX(1,Q158))="SOURCE CONFLICT")),"ACCESS BLOCKED",IF(OR(INDEX(SourceTable[Coverage],Q158)&lt;&gt;"FULL SEASON EXPORT",INDEX(SourceTable[URL],Q158)="",INDEX(SourceTable[SHA256],Q158)=""),"EVIDENCE INCOMPLETE",IF(AND('Input_Meci'!H18="LIVE",INDEX(SourceTable[Retrieved_UTC],Q158)&gt;'Input_Meci'!G18),"POST CUTOFF","CLOSED")))))))</x:f>
      </x:c>
      <x:c r="S158" s="2" t="n">
        <x:f>IF(OR(B158="",F158=""),0,COUNTIFS('Istoric_Nativ'!$B$6:$B$405,E158,'Istoric_Nativ'!$C$6:$C$405,F158,'Istoric_Nativ'!$E$6:$E$405,G158,'Istoric_Nativ'!$D$6:$D$405,"&lt;"&amp;J158,'Istoric_Nativ'!$O$6:$O$405,"INVALID")+COUNTIFS('Istoric_Nativ'!$B$6:$B$405,E158,'Istoric_Nativ'!$C$6:$C$405,F158,'Istoric_Nativ'!$E$6:$E$405,G158,'Istoric_Nativ'!$O$6:$O$405,"INVALID",'Istoric_Nativ'!$D$6:$D$405,"*")+COUNTIFS('Istoric_Nativ'!$B$6:$B$405,E158,'Istoric_Nativ'!$C$6:$C$405,F158,'Istoric_Nativ'!$E$6:$E$405,G158,'Istoric_Nativ'!$D$6:$D$405,"&lt;"&amp;J158,'Istoric_Nativ'!$O$6:$O$405,"SOURCE CONFLICT")+COUNTIFS('Istoric_Nativ'!$B$6:$B$405,E158,'Istoric_Nativ'!$C$6:$C$405,F158,'Istoric_Nativ'!$F$6:$F$405,G158,'Istoric_Nativ'!$D$6:$D$405,"&lt;"&amp;J158,'Istoric_Nativ'!$O$6:$O$405,"INVALID")+COUNTIFS('Istoric_Nativ'!$B$6:$B$405,E158,'Istoric_Nativ'!$C$6:$C$405,F158,'Istoric_Nativ'!$F$6:$F$405,G158,'Istoric_Nativ'!$O$6:$O$405,"INVALID",'Istoric_Nativ'!$D$6:$D$405,"*")+COUNTIFS('Istoric_Nativ'!$B$6:$B$405,E158,'Istoric_Nativ'!$C$6:$C$405,F158,'Istoric_Nativ'!$F$6:$F$405,G158,'Istoric_Nativ'!$D$6:$D$405,"&lt;"&amp;J158,'Istoric_Nativ'!$O$6:$O$405,"SOURCE CONFLICT"))</x:f>
        <x:v>0</x:v>
      </x:c>
      <x:c r="T158" s="2" t="str">
        <x:f>IF(B158="","",IF(R158&lt;&gt;"CLOSED",R158,IF(S158&gt;0,"NATIVE INPUT ISSUE",IF(M158=0,"NO HISTORY",IF(M158&lt;P158,"SMALL SAMPLE","DERIVED")))))</x:f>
      </x:c>
      <x:c r="U158" s="2" t="str">
        <x:f>IF(B158="","","NativeTable; "&amp;E158&amp;"; "&amp;F158&amp;"; "&amp;G158&amp;"; "&amp;H158&amp;"; before "&amp;TEXT(J158,"yyyy-mm-dd")&amp;IF(I158="RECENT","; from "&amp;TEXT(L158,"yyyy-mm-dd"),""))</x:f>
      </x:c>
    </x:row>
    <x:row r="159" ht="21" customHeight="1">
      <x:c r="A159" s="2" t="n">
        <x:v>13</x:v>
      </x:c>
      <x:c r="B159" s="2" t="str">
        <x:f>IF('Input_Meci'!A18="","",'Input_Meci'!A18)</x:f>
      </x:c>
      <x:c r="C159" s="2" t="str">
        <x:v>A</x:v>
      </x:c>
      <x:c r="D159" s="2" t="str">
        <x:v>PRIOR</x:v>
      </x:c>
      <x:c r="E159" s="2" t="str">
        <x:f>IF(B159="","",'Input_Meci'!B18)</x:f>
      </x:c>
      <x:c r="F159" s="2" t="str">
        <x:f>IF(B159="","",IF('Input_Meci'!K18="","",'Input_Meci'!K18))</x:f>
      </x:c>
      <x:c r="G159" s="2" t="str">
        <x:f>IF(B159="","",'Input_Meci'!E18)</x:f>
      </x:c>
      <x:c r="H159" s="2" t="str">
        <x:v>ANY</x:v>
      </x:c>
      <x:c r="I159" s="2" t="str">
        <x:v>SEASON</x:v>
      </x:c>
      <x:c r="J159" s="9" t="n">
        <x:f>IF(AND(B159&lt;&gt;"",ISNUMBER('Input_Meci'!G18)),INT('Input_Meci'!G18),0)</x:f>
        <x:v>0</x:v>
      </x:c>
      <x:c r="K159" s="2" t="n">
        <x:f>IF(OR(B159="",F159=""),0,IF(H159="HOME",COUNTIFS('Istoric_Nativ'!$B$6:$B$405,E159,'Istoric_Nativ'!$C$6:$C$405,F159,'Istoric_Nativ'!$E$6:$E$405,G159,'Istoric_Nativ'!$D$6:$D$405,"&lt;"&amp;J159,'Istoric_Nativ'!$P$6:$P$405,1),IF(H159="AWAY",COUNTIFS('Istoric_Nativ'!$B$6:$B$405,E159,'Istoric_Nativ'!$C$6:$C$405,F159,'Istoric_Nativ'!$F$6:$F$405,G159,'Istoric_Nativ'!$D$6:$D$405,"&lt;"&amp;J159,'Istoric_Nativ'!$P$6:$P$405,1),COUNTIFS('Istoric_Nativ'!$B$6:$B$405,E159,'Istoric_Nativ'!$C$6:$C$405,F159,'Istoric_Nativ'!$E$6:$E$405,G159,'Istoric_Nativ'!$D$6:$D$405,"&lt;"&amp;J159,'Istoric_Nativ'!$P$6:$P$405,1)+COUNTIFS('Istoric_Nativ'!$B$6:$B$405,E159,'Istoric_Nativ'!$C$6:$C$405,F159,'Istoric_Nativ'!$F$6:$F$405,G159,'Istoric_Nativ'!$D$6:$D$405,"&lt;"&amp;J159,'Istoric_Nativ'!$P$6:$P$405,1))))</x:f>
        <x:v>0</x:v>
      </x:c>
      <x:c r="L159" s="17" t="n">
        <x:f>IF(AND(B159&lt;&gt;"",I159="RECENT",K159&gt;0),LARGE(_xlfn._xlws.FILTER('Istoric_Nativ'!$D$6:$D$405,('Istoric_Nativ'!$B$6:$B$405=E159)*('Istoric_Nativ'!$C$6:$C$405=F159)*('Istoric_Nativ'!$P$6:$P$405=1)*('Istoric_Nativ'!$D$6:$D$405&lt;J159)*((('Istoric_Nativ'!$E$6:$E$405=G159)+('Istoric_Nativ'!$F$6:$F$405=G159))&gt;0)),MIN('Config_v6'!$B$54,K159)),0)</x:f>
        <x:v>0</x:v>
      </x:c>
      <x:c r="M159" s="2" t="n">
        <x:f>IF(OR(B159="",F159=""),0,IF(H159="HOME",COUNTIFS('Istoric_Nativ'!$B$6:$B$405,E159,'Istoric_Nativ'!$C$6:$C$405,F159,'Istoric_Nativ'!$E$6:$E$405,G159,'Istoric_Nativ'!$D$6:$D$405,"&lt;"&amp;J159,'Istoric_Nativ'!$P$6:$P$405,1,'Istoric_Nativ'!$D$6:$D$405,"&gt;="&amp;L159),IF(H159="AWAY",COUNTIFS('Istoric_Nativ'!$B$6:$B$405,E159,'Istoric_Nativ'!$C$6:$C$405,F159,'Istoric_Nativ'!$F$6:$F$405,G159,'Istoric_Nativ'!$D$6:$D$405,"&lt;"&amp;J159,'Istoric_Nativ'!$P$6:$P$405,1,'Istoric_Nativ'!$D$6:$D$405,"&gt;="&amp;L159),COUNTIFS('Istoric_Nativ'!$B$6:$B$405,E159,'Istoric_Nativ'!$C$6:$C$405,F159,'Istoric_Nativ'!$E$6:$E$405,G159,'Istoric_Nativ'!$D$6:$D$405,"&lt;"&amp;J159,'Istoric_Nativ'!$P$6:$P$405,1,'Istoric_Nativ'!$D$6:$D$405,"&gt;="&amp;L159)+COUNTIFS('Istoric_Nativ'!$B$6:$B$405,E159,'Istoric_Nativ'!$C$6:$C$405,F159,'Istoric_Nativ'!$F$6:$F$405,G159,'Istoric_Nativ'!$D$6:$D$405,"&lt;"&amp;J159,'Istoric_Nativ'!$P$6:$P$405,1,'Istoric_Nativ'!$D$6:$D$405,"&gt;="&amp;L159))))</x:f>
        <x:v>0</x:v>
      </x:c>
      <x:c r="N159" s="11" t="str">
        <x:f>IF(M159=0,"",IF(H159="HOME",SUMIFS('Istoric_Nativ'!$G$6:$G$405,'Istoric_Nativ'!$B$6:$B$405,E159,'Istoric_Nativ'!$C$6:$C$405,F159,'Istoric_Nativ'!$E$6:$E$405,G159,'Istoric_Nativ'!$D$6:$D$405,"&lt;"&amp;J159,'Istoric_Nativ'!$P$6:$P$405,1,'Istoric_Nativ'!$D$6:$D$405,"&gt;="&amp;L159),IF(H159="AWAY",SUMIFS('Istoric_Nativ'!$H$6:$H$405,'Istoric_Nativ'!$B$6:$B$405,E159,'Istoric_Nativ'!$C$6:$C$405,F159,'Istoric_Nativ'!$F$6:$F$405,G159,'Istoric_Nativ'!$D$6:$D$405,"&lt;"&amp;J159,'Istoric_Nativ'!$P$6:$P$405,1,'Istoric_Nativ'!$D$6:$D$405,"&gt;="&amp;L159),SUMIFS('Istoric_Nativ'!$G$6:$G$405,'Istoric_Nativ'!$B$6:$B$405,E159,'Istoric_Nativ'!$C$6:$C$405,F159,'Istoric_Nativ'!$E$6:$E$405,G159,'Istoric_Nativ'!$D$6:$D$405,"&lt;"&amp;J159,'Istoric_Nativ'!$P$6:$P$405,1,'Istoric_Nativ'!$D$6:$D$405,"&gt;="&amp;L159)+SUMIFS('Istoric_Nativ'!$H$6:$H$405,'Istoric_Nativ'!$B$6:$B$405,E159,'Istoric_Nativ'!$C$6:$C$405,F159,'Istoric_Nativ'!$F$6:$F$405,G159,'Istoric_Nativ'!$D$6:$D$405,"&lt;"&amp;J159,'Istoric_Nativ'!$P$6:$P$405,1,'Istoric_Nativ'!$D$6:$D$405,"&gt;="&amp;L159)))/M159)</x:f>
      </x:c>
      <x:c r="O159" s="11" t="str">
        <x:f>IF(M159=0,"",IF(H159="HOME",SUMIFS('Istoric_Nativ'!$H$6:$H$405,'Istoric_Nativ'!$B$6:$B$405,E159,'Istoric_Nativ'!$C$6:$C$405,F159,'Istoric_Nativ'!$E$6:$E$405,G159,'Istoric_Nativ'!$D$6:$D$405,"&lt;"&amp;J159,'Istoric_Nativ'!$P$6:$P$405,1,'Istoric_Nativ'!$D$6:$D$405,"&gt;="&amp;L159),IF(H159="AWAY",SUMIFS('Istoric_Nativ'!$G$6:$G$405,'Istoric_Nativ'!$B$6:$B$405,E159,'Istoric_Nativ'!$C$6:$C$405,F159,'Istoric_Nativ'!$F$6:$F$405,G159,'Istoric_Nativ'!$D$6:$D$405,"&lt;"&amp;J159,'Istoric_Nativ'!$P$6:$P$405,1,'Istoric_Nativ'!$D$6:$D$405,"&gt;="&amp;L159),SUMIFS('Istoric_Nativ'!$H$6:$H$405,'Istoric_Nativ'!$B$6:$B$405,E159,'Istoric_Nativ'!$C$6:$C$405,F159,'Istoric_Nativ'!$E$6:$E$405,G159,'Istoric_Nativ'!$D$6:$D$405,"&lt;"&amp;J159,'Istoric_Nativ'!$P$6:$P$405,1,'Istoric_Nativ'!$D$6:$D$405,"&gt;="&amp;L159)+SUMIFS('Istoric_Nativ'!$G$6:$G$405,'Istoric_Nativ'!$B$6:$B$405,E159,'Istoric_Nativ'!$C$6:$C$405,F159,'Istoric_Nativ'!$F$6:$F$405,G159,'Istoric_Nativ'!$D$6:$D$405,"&lt;"&amp;J159,'Istoric_Nativ'!$P$6:$P$405,1,'Istoric_Nativ'!$D$6:$D$405,"&gt;="&amp;L159)))/M159)</x:f>
      </x:c>
      <x:c r="P159" s="2" t="n">
        <x:f>'Config_v6'!$B$7</x:f>
        <x:v>10</x:v>
      </x:c>
      <x:c r="Q159" s="2" t="n">
        <x:f>IF(OR(B159="",F159=""),0,IFERROR(MATCH(E159&amp;"|"&amp;F159,SourceTable[Source_Key],0),0))</x:f>
        <x:v>0</x:v>
      </x:c>
      <x:c r="R159" s="2" t="str">
        <x:f>IF(B159="","",IF(F159="","UNUSED",IF(Q159=0,"NOT CHECKED",IF(COUNTIF(SourceTable[Source_Key],E159&amp;"|"&amp;F159)&lt;&gt;1,"SOURCE CONFLICT",IF(NOT(OR(INDEX(SourceTable[Status],MAX(1,Q159))="IMPORTED",INDEX(SourceTable[Status],MAX(1,Q159))="PARTIAL",INDEX(SourceTable[Status],MAX(1,Q159))="SOURCE CONFLICT")),"ACCESS BLOCKED",IF(OR(INDEX(SourceTable[Coverage],Q159)&lt;&gt;"FULL SEASON EXPORT",INDEX(SourceTable[URL],Q159)="",INDEX(SourceTable[SHA256],Q159)=""),"EVIDENCE INCOMPLETE",IF(AND('Input_Meci'!H18="LIVE",INDEX(SourceTable[Retrieved_UTC],Q159)&gt;'Input_Meci'!G18),"POST CUTOFF","CLOSED")))))))</x:f>
      </x:c>
      <x:c r="S159" s="2" t="n">
        <x:f>IF(OR(B159="",F159=""),0,COUNTIFS('Istoric_Nativ'!$B$6:$B$405,E159,'Istoric_Nativ'!$C$6:$C$405,F159,'Istoric_Nativ'!$E$6:$E$405,G159,'Istoric_Nativ'!$D$6:$D$405,"&lt;"&amp;J159,'Istoric_Nativ'!$O$6:$O$405,"INVALID")+COUNTIFS('Istoric_Nativ'!$B$6:$B$405,E159,'Istoric_Nativ'!$C$6:$C$405,F159,'Istoric_Nativ'!$E$6:$E$405,G159,'Istoric_Nativ'!$O$6:$O$405,"INVALID",'Istoric_Nativ'!$D$6:$D$405,"*")+COUNTIFS('Istoric_Nativ'!$B$6:$B$405,E159,'Istoric_Nativ'!$C$6:$C$405,F159,'Istoric_Nativ'!$E$6:$E$405,G159,'Istoric_Nativ'!$D$6:$D$405,"&lt;"&amp;J159,'Istoric_Nativ'!$O$6:$O$405,"SOURCE CONFLICT")+COUNTIFS('Istoric_Nativ'!$B$6:$B$405,E159,'Istoric_Nativ'!$C$6:$C$405,F159,'Istoric_Nativ'!$F$6:$F$405,G159,'Istoric_Nativ'!$D$6:$D$405,"&lt;"&amp;J159,'Istoric_Nativ'!$O$6:$O$405,"INVALID")+COUNTIFS('Istoric_Nativ'!$B$6:$B$405,E159,'Istoric_Nativ'!$C$6:$C$405,F159,'Istoric_Nativ'!$F$6:$F$405,G159,'Istoric_Nativ'!$O$6:$O$405,"INVALID",'Istoric_Nativ'!$D$6:$D$405,"*")+COUNTIFS('Istoric_Nativ'!$B$6:$B$405,E159,'Istoric_Nativ'!$C$6:$C$405,F159,'Istoric_Nativ'!$F$6:$F$405,G159,'Istoric_Nativ'!$D$6:$D$405,"&lt;"&amp;J159,'Istoric_Nativ'!$O$6:$O$405,"SOURCE CONFLICT"))</x:f>
        <x:v>0</x:v>
      </x:c>
      <x:c r="T159" s="2" t="str">
        <x:f>IF(B159="","",IF(R159&lt;&gt;"CLOSED",R159,IF(S159&gt;0,"NATIVE INPUT ISSUE",IF(M159=0,"NO HISTORY",IF(M159&lt;P159,"SMALL SAMPLE","DERIVED")))))</x:f>
      </x:c>
      <x:c r="U159" s="2" t="str">
        <x:f>IF(B159="","","NativeTable; "&amp;E159&amp;"; "&amp;F159&amp;"; "&amp;G159&amp;"; "&amp;H159&amp;"; before "&amp;TEXT(J159,"yyyy-mm-dd")&amp;IF(I159="RECENT","; from "&amp;TEXT(L159,"yyyy-mm-dd"),""))</x:f>
      </x:c>
    </x:row>
    <x:row r="160" ht="21" customHeight="1">
      <x:c r="A160" s="2" t="n">
        <x:v>13</x:v>
      </x:c>
      <x:c r="B160" s="2" t="str">
        <x:f>IF('Input_Meci'!A18="","",'Input_Meci'!A18)</x:f>
      </x:c>
      <x:c r="C160" s="2" t="str">
        <x:v>A</x:v>
      </x:c>
      <x:c r="D160" s="2" t="str">
        <x:v>PRIOR</x:v>
      </x:c>
      <x:c r="E160" s="2" t="str">
        <x:f>IF(B160="","",'Input_Meci'!B18)</x:f>
      </x:c>
      <x:c r="F160" s="2" t="str">
        <x:f>IF(B160="","",IF('Input_Meci'!K18="","",'Input_Meci'!K18))</x:f>
      </x:c>
      <x:c r="G160" s="2" t="str">
        <x:f>IF(B160="","",'Input_Meci'!E18)</x:f>
      </x:c>
      <x:c r="H160" s="2" t="str">
        <x:v>AWAY</x:v>
      </x:c>
      <x:c r="I160" s="2" t="str">
        <x:v>HA</x:v>
      </x:c>
      <x:c r="J160" s="9" t="n">
        <x:f>IF(AND(B160&lt;&gt;"",ISNUMBER('Input_Meci'!G18)),INT('Input_Meci'!G18),0)</x:f>
        <x:v>0</x:v>
      </x:c>
      <x:c r="K160" s="2" t="n">
        <x:f>IF(OR(B160="",F160=""),0,IF(H160="HOME",COUNTIFS('Istoric_Nativ'!$B$6:$B$405,E160,'Istoric_Nativ'!$C$6:$C$405,F160,'Istoric_Nativ'!$E$6:$E$405,G160,'Istoric_Nativ'!$D$6:$D$405,"&lt;"&amp;J160,'Istoric_Nativ'!$P$6:$P$405,1),IF(H160="AWAY",COUNTIFS('Istoric_Nativ'!$B$6:$B$405,E160,'Istoric_Nativ'!$C$6:$C$405,F160,'Istoric_Nativ'!$F$6:$F$405,G160,'Istoric_Nativ'!$D$6:$D$405,"&lt;"&amp;J160,'Istoric_Nativ'!$P$6:$P$405,1),COUNTIFS('Istoric_Nativ'!$B$6:$B$405,E160,'Istoric_Nativ'!$C$6:$C$405,F160,'Istoric_Nativ'!$E$6:$E$405,G160,'Istoric_Nativ'!$D$6:$D$405,"&lt;"&amp;J160,'Istoric_Nativ'!$P$6:$P$405,1)+COUNTIFS('Istoric_Nativ'!$B$6:$B$405,E160,'Istoric_Nativ'!$C$6:$C$405,F160,'Istoric_Nativ'!$F$6:$F$405,G160,'Istoric_Nativ'!$D$6:$D$405,"&lt;"&amp;J160,'Istoric_Nativ'!$P$6:$P$405,1))))</x:f>
        <x:v>0</x:v>
      </x:c>
      <x:c r="L160" s="17" t="n">
        <x:f>IF(AND(B160&lt;&gt;"",I160="RECENT",K160&gt;0),LARGE(_xlfn._xlws.FILTER('Istoric_Nativ'!$D$6:$D$405,('Istoric_Nativ'!$B$6:$B$405=E160)*('Istoric_Nativ'!$C$6:$C$405=F160)*('Istoric_Nativ'!$P$6:$P$405=1)*('Istoric_Nativ'!$D$6:$D$405&lt;J160)*((('Istoric_Nativ'!$E$6:$E$405=G160)+('Istoric_Nativ'!$F$6:$F$405=G160))&gt;0)),MIN('Config_v6'!$B$54,K160)),0)</x:f>
        <x:v>0</x:v>
      </x:c>
      <x:c r="M160" s="2" t="n">
        <x:f>IF(OR(B160="",F160=""),0,IF(H160="HOME",COUNTIFS('Istoric_Nativ'!$B$6:$B$405,E160,'Istoric_Nativ'!$C$6:$C$405,F160,'Istoric_Nativ'!$E$6:$E$405,G160,'Istoric_Nativ'!$D$6:$D$405,"&lt;"&amp;J160,'Istoric_Nativ'!$P$6:$P$405,1,'Istoric_Nativ'!$D$6:$D$405,"&gt;="&amp;L160),IF(H160="AWAY",COUNTIFS('Istoric_Nativ'!$B$6:$B$405,E160,'Istoric_Nativ'!$C$6:$C$405,F160,'Istoric_Nativ'!$F$6:$F$405,G160,'Istoric_Nativ'!$D$6:$D$405,"&lt;"&amp;J160,'Istoric_Nativ'!$P$6:$P$405,1,'Istoric_Nativ'!$D$6:$D$405,"&gt;="&amp;L160),COUNTIFS('Istoric_Nativ'!$B$6:$B$405,E160,'Istoric_Nativ'!$C$6:$C$405,F160,'Istoric_Nativ'!$E$6:$E$405,G160,'Istoric_Nativ'!$D$6:$D$405,"&lt;"&amp;J160,'Istoric_Nativ'!$P$6:$P$405,1,'Istoric_Nativ'!$D$6:$D$405,"&gt;="&amp;L160)+COUNTIFS('Istoric_Nativ'!$B$6:$B$405,E160,'Istoric_Nativ'!$C$6:$C$405,F160,'Istoric_Nativ'!$F$6:$F$405,G160,'Istoric_Nativ'!$D$6:$D$405,"&lt;"&amp;J160,'Istoric_Nativ'!$P$6:$P$405,1,'Istoric_Nativ'!$D$6:$D$405,"&gt;="&amp;L160))))</x:f>
        <x:v>0</x:v>
      </x:c>
      <x:c r="N160" s="11" t="str">
        <x:f>IF(M160=0,"",IF(H160="HOME",SUMIFS('Istoric_Nativ'!$G$6:$G$405,'Istoric_Nativ'!$B$6:$B$405,E160,'Istoric_Nativ'!$C$6:$C$405,F160,'Istoric_Nativ'!$E$6:$E$405,G160,'Istoric_Nativ'!$D$6:$D$405,"&lt;"&amp;J160,'Istoric_Nativ'!$P$6:$P$405,1,'Istoric_Nativ'!$D$6:$D$405,"&gt;="&amp;L160),IF(H160="AWAY",SUMIFS('Istoric_Nativ'!$H$6:$H$405,'Istoric_Nativ'!$B$6:$B$405,E160,'Istoric_Nativ'!$C$6:$C$405,F160,'Istoric_Nativ'!$F$6:$F$405,G160,'Istoric_Nativ'!$D$6:$D$405,"&lt;"&amp;J160,'Istoric_Nativ'!$P$6:$P$405,1,'Istoric_Nativ'!$D$6:$D$405,"&gt;="&amp;L160),SUMIFS('Istoric_Nativ'!$G$6:$G$405,'Istoric_Nativ'!$B$6:$B$405,E160,'Istoric_Nativ'!$C$6:$C$405,F160,'Istoric_Nativ'!$E$6:$E$405,G160,'Istoric_Nativ'!$D$6:$D$405,"&lt;"&amp;J160,'Istoric_Nativ'!$P$6:$P$405,1,'Istoric_Nativ'!$D$6:$D$405,"&gt;="&amp;L160)+SUMIFS('Istoric_Nativ'!$H$6:$H$405,'Istoric_Nativ'!$B$6:$B$405,E160,'Istoric_Nativ'!$C$6:$C$405,F160,'Istoric_Nativ'!$F$6:$F$405,G160,'Istoric_Nativ'!$D$6:$D$405,"&lt;"&amp;J160,'Istoric_Nativ'!$P$6:$P$405,1,'Istoric_Nativ'!$D$6:$D$405,"&gt;="&amp;L160)))/M160)</x:f>
      </x:c>
      <x:c r="O160" s="11" t="str">
        <x:f>IF(M160=0,"",IF(H160="HOME",SUMIFS('Istoric_Nativ'!$H$6:$H$405,'Istoric_Nativ'!$B$6:$B$405,E160,'Istoric_Nativ'!$C$6:$C$405,F160,'Istoric_Nativ'!$E$6:$E$405,G160,'Istoric_Nativ'!$D$6:$D$405,"&lt;"&amp;J160,'Istoric_Nativ'!$P$6:$P$405,1,'Istoric_Nativ'!$D$6:$D$405,"&gt;="&amp;L160),IF(H160="AWAY",SUMIFS('Istoric_Nativ'!$G$6:$G$405,'Istoric_Nativ'!$B$6:$B$405,E160,'Istoric_Nativ'!$C$6:$C$405,F160,'Istoric_Nativ'!$F$6:$F$405,G160,'Istoric_Nativ'!$D$6:$D$405,"&lt;"&amp;J160,'Istoric_Nativ'!$P$6:$P$405,1,'Istoric_Nativ'!$D$6:$D$405,"&gt;="&amp;L160),SUMIFS('Istoric_Nativ'!$H$6:$H$405,'Istoric_Nativ'!$B$6:$B$405,E160,'Istoric_Nativ'!$C$6:$C$405,F160,'Istoric_Nativ'!$E$6:$E$405,G160,'Istoric_Nativ'!$D$6:$D$405,"&lt;"&amp;J160,'Istoric_Nativ'!$P$6:$P$405,1,'Istoric_Nativ'!$D$6:$D$405,"&gt;="&amp;L160)+SUMIFS('Istoric_Nativ'!$G$6:$G$405,'Istoric_Nativ'!$B$6:$B$405,E160,'Istoric_Nativ'!$C$6:$C$405,F160,'Istoric_Nativ'!$F$6:$F$405,G160,'Istoric_Nativ'!$D$6:$D$405,"&lt;"&amp;J160,'Istoric_Nativ'!$P$6:$P$405,1,'Istoric_Nativ'!$D$6:$D$405,"&gt;="&amp;L160)))/M160)</x:f>
      </x:c>
      <x:c r="P160" s="2" t="n">
        <x:f>'Config_v6'!$B$8</x:f>
        <x:v>5</x:v>
      </x:c>
      <x:c r="Q160" s="2" t="n">
        <x:f>IF(OR(B160="",F160=""),0,IFERROR(MATCH(E160&amp;"|"&amp;F160,SourceTable[Source_Key],0),0))</x:f>
        <x:v>0</x:v>
      </x:c>
      <x:c r="R160" s="2" t="str">
        <x:f>IF(B160="","",IF(F160="","UNUSED",IF(Q160=0,"NOT CHECKED",IF(COUNTIF(SourceTable[Source_Key],E160&amp;"|"&amp;F160)&lt;&gt;1,"SOURCE CONFLICT",IF(NOT(OR(INDEX(SourceTable[Status],MAX(1,Q160))="IMPORTED",INDEX(SourceTable[Status],MAX(1,Q160))="PARTIAL",INDEX(SourceTable[Status],MAX(1,Q160))="SOURCE CONFLICT")),"ACCESS BLOCKED",IF(OR(INDEX(SourceTable[Coverage],Q160)&lt;&gt;"FULL SEASON EXPORT",INDEX(SourceTable[URL],Q160)="",INDEX(SourceTable[SHA256],Q160)=""),"EVIDENCE INCOMPLETE",IF(AND('Input_Meci'!H18="LIVE",INDEX(SourceTable[Retrieved_UTC],Q160)&gt;'Input_Meci'!G18),"POST CUTOFF","CLOSED")))))))</x:f>
      </x:c>
      <x:c r="S160" s="2" t="n">
        <x:f>IF(OR(B160="",F160=""),0,COUNTIFS('Istoric_Nativ'!$B$6:$B$405,E160,'Istoric_Nativ'!$C$6:$C$405,F160,'Istoric_Nativ'!$E$6:$E$405,G160,'Istoric_Nativ'!$D$6:$D$405,"&lt;"&amp;J160,'Istoric_Nativ'!$O$6:$O$405,"INVALID")+COUNTIFS('Istoric_Nativ'!$B$6:$B$405,E160,'Istoric_Nativ'!$C$6:$C$405,F160,'Istoric_Nativ'!$E$6:$E$405,G160,'Istoric_Nativ'!$O$6:$O$405,"INVALID",'Istoric_Nativ'!$D$6:$D$405,"*")+COUNTIFS('Istoric_Nativ'!$B$6:$B$405,E160,'Istoric_Nativ'!$C$6:$C$405,F160,'Istoric_Nativ'!$E$6:$E$405,G160,'Istoric_Nativ'!$D$6:$D$405,"&lt;"&amp;J160,'Istoric_Nativ'!$O$6:$O$405,"SOURCE CONFLICT")+COUNTIFS('Istoric_Nativ'!$B$6:$B$405,E160,'Istoric_Nativ'!$C$6:$C$405,F160,'Istoric_Nativ'!$F$6:$F$405,G160,'Istoric_Nativ'!$D$6:$D$405,"&lt;"&amp;J160,'Istoric_Nativ'!$O$6:$O$405,"INVALID")+COUNTIFS('Istoric_Nativ'!$B$6:$B$405,E160,'Istoric_Nativ'!$C$6:$C$405,F160,'Istoric_Nativ'!$F$6:$F$405,G160,'Istoric_Nativ'!$O$6:$O$405,"INVALID",'Istoric_Nativ'!$D$6:$D$405,"*")+COUNTIFS('Istoric_Nativ'!$B$6:$B$405,E160,'Istoric_Nativ'!$C$6:$C$405,F160,'Istoric_Nativ'!$F$6:$F$405,G160,'Istoric_Nativ'!$D$6:$D$405,"&lt;"&amp;J160,'Istoric_Nativ'!$O$6:$O$405,"SOURCE CONFLICT"))</x:f>
        <x:v>0</x:v>
      </x:c>
      <x:c r="T160" s="2" t="str">
        <x:f>IF(B160="","",IF(R160&lt;&gt;"CLOSED",R160,IF(S160&gt;0,"NATIVE INPUT ISSUE",IF(M160=0,"NO HISTORY",IF(M160&lt;P160,"SMALL SAMPLE","DERIVED")))))</x:f>
      </x:c>
      <x:c r="U160" s="2" t="str">
        <x:f>IF(B160="","","NativeTable; "&amp;E160&amp;"; "&amp;F160&amp;"; "&amp;G160&amp;"; "&amp;H160&amp;"; before "&amp;TEXT(J160,"yyyy-mm-dd")&amp;IF(I160="RECENT","; from "&amp;TEXT(L160,"yyyy-mm-dd"),""))</x:f>
      </x:c>
    </x:row>
    <x:row r="161" ht="21" customHeight="1">
      <x:c r="A161" s="2" t="n">
        <x:v>13</x:v>
      </x:c>
      <x:c r="B161" s="2" t="str">
        <x:f>IF('Input_Meci'!A18="","",'Input_Meci'!A18)</x:f>
      </x:c>
      <x:c r="C161" s="2" t="str">
        <x:v>A</x:v>
      </x:c>
      <x:c r="D161" s="2" t="str">
        <x:v>PRIOR</x:v>
      </x:c>
      <x:c r="E161" s="2" t="str">
        <x:f>IF(B161="","",'Input_Meci'!B18)</x:f>
      </x:c>
      <x:c r="F161" s="2" t="str">
        <x:f>IF(B161="","",IF('Input_Meci'!K18="","",'Input_Meci'!K18))</x:f>
      </x:c>
      <x:c r="G161" s="2" t="str">
        <x:f>IF(B161="","",'Input_Meci'!E18)</x:f>
      </x:c>
      <x:c r="H161" s="2" t="str">
        <x:v>ANY</x:v>
      </x:c>
      <x:c r="I161" s="2" t="str">
        <x:v>RECENT</x:v>
      </x:c>
      <x:c r="J161" s="9" t="n">
        <x:f>IF(AND(B161&lt;&gt;"",ISNUMBER('Input_Meci'!G18)),INT('Input_Meci'!G18),0)</x:f>
        <x:v>0</x:v>
      </x:c>
      <x:c r="K161" s="2" t="n">
        <x:f>IF(OR(B161="",F161=""),0,IF(H161="HOME",COUNTIFS('Istoric_Nativ'!$B$6:$B$405,E161,'Istoric_Nativ'!$C$6:$C$405,F161,'Istoric_Nativ'!$E$6:$E$405,G161,'Istoric_Nativ'!$D$6:$D$405,"&lt;"&amp;J161,'Istoric_Nativ'!$P$6:$P$405,1),IF(H161="AWAY",COUNTIFS('Istoric_Nativ'!$B$6:$B$405,E161,'Istoric_Nativ'!$C$6:$C$405,F161,'Istoric_Nativ'!$F$6:$F$405,G161,'Istoric_Nativ'!$D$6:$D$405,"&lt;"&amp;J161,'Istoric_Nativ'!$P$6:$P$405,1),COUNTIFS('Istoric_Nativ'!$B$6:$B$405,E161,'Istoric_Nativ'!$C$6:$C$405,F161,'Istoric_Nativ'!$E$6:$E$405,G161,'Istoric_Nativ'!$D$6:$D$405,"&lt;"&amp;J161,'Istoric_Nativ'!$P$6:$P$405,1)+COUNTIFS('Istoric_Nativ'!$B$6:$B$405,E161,'Istoric_Nativ'!$C$6:$C$405,F161,'Istoric_Nativ'!$F$6:$F$405,G161,'Istoric_Nativ'!$D$6:$D$405,"&lt;"&amp;J161,'Istoric_Nativ'!$P$6:$P$405,1))))</x:f>
        <x:v>0</x:v>
      </x:c>
      <x:c r="L161" s="17" t="n">
        <x:f>IF(AND(B161&lt;&gt;"",I161="RECENT",K161&gt;0),LARGE(_xlfn._xlws.FILTER('Istoric_Nativ'!$D$6:$D$405,('Istoric_Nativ'!$B$6:$B$405=E161)*('Istoric_Nativ'!$C$6:$C$405=F161)*('Istoric_Nativ'!$P$6:$P$405=1)*('Istoric_Nativ'!$D$6:$D$405&lt;J161)*((('Istoric_Nativ'!$E$6:$E$405=G161)+('Istoric_Nativ'!$F$6:$F$405=G161))&gt;0)),MIN('Config_v6'!$B$54,K161)),0)</x:f>
        <x:v>0</x:v>
      </x:c>
      <x:c r="M161" s="2" t="n">
        <x:f>IF(OR(B161="",F161=""),0,IF(H161="HOME",COUNTIFS('Istoric_Nativ'!$B$6:$B$405,E161,'Istoric_Nativ'!$C$6:$C$405,F161,'Istoric_Nativ'!$E$6:$E$405,G161,'Istoric_Nativ'!$D$6:$D$405,"&lt;"&amp;J161,'Istoric_Nativ'!$P$6:$P$405,1,'Istoric_Nativ'!$D$6:$D$405,"&gt;="&amp;L161),IF(H161="AWAY",COUNTIFS('Istoric_Nativ'!$B$6:$B$405,E161,'Istoric_Nativ'!$C$6:$C$405,F161,'Istoric_Nativ'!$F$6:$F$405,G161,'Istoric_Nativ'!$D$6:$D$405,"&lt;"&amp;J161,'Istoric_Nativ'!$P$6:$P$405,1,'Istoric_Nativ'!$D$6:$D$405,"&gt;="&amp;L161),COUNTIFS('Istoric_Nativ'!$B$6:$B$405,E161,'Istoric_Nativ'!$C$6:$C$405,F161,'Istoric_Nativ'!$E$6:$E$405,G161,'Istoric_Nativ'!$D$6:$D$405,"&lt;"&amp;J161,'Istoric_Nativ'!$P$6:$P$405,1,'Istoric_Nativ'!$D$6:$D$405,"&gt;="&amp;L161)+COUNTIFS('Istoric_Nativ'!$B$6:$B$405,E161,'Istoric_Nativ'!$C$6:$C$405,F161,'Istoric_Nativ'!$F$6:$F$405,G161,'Istoric_Nativ'!$D$6:$D$405,"&lt;"&amp;J161,'Istoric_Nativ'!$P$6:$P$405,1,'Istoric_Nativ'!$D$6:$D$405,"&gt;="&amp;L161))))</x:f>
        <x:v>0</x:v>
      </x:c>
      <x:c r="N161" s="11" t="str">
        <x:f>IF(M161=0,"",IF(H161="HOME",SUMIFS('Istoric_Nativ'!$G$6:$G$405,'Istoric_Nativ'!$B$6:$B$405,E161,'Istoric_Nativ'!$C$6:$C$405,F161,'Istoric_Nativ'!$E$6:$E$405,G161,'Istoric_Nativ'!$D$6:$D$405,"&lt;"&amp;J161,'Istoric_Nativ'!$P$6:$P$405,1,'Istoric_Nativ'!$D$6:$D$405,"&gt;="&amp;L161),IF(H161="AWAY",SUMIFS('Istoric_Nativ'!$H$6:$H$405,'Istoric_Nativ'!$B$6:$B$405,E161,'Istoric_Nativ'!$C$6:$C$405,F161,'Istoric_Nativ'!$F$6:$F$405,G161,'Istoric_Nativ'!$D$6:$D$405,"&lt;"&amp;J161,'Istoric_Nativ'!$P$6:$P$405,1,'Istoric_Nativ'!$D$6:$D$405,"&gt;="&amp;L161),SUMIFS('Istoric_Nativ'!$G$6:$G$405,'Istoric_Nativ'!$B$6:$B$405,E161,'Istoric_Nativ'!$C$6:$C$405,F161,'Istoric_Nativ'!$E$6:$E$405,G161,'Istoric_Nativ'!$D$6:$D$405,"&lt;"&amp;J161,'Istoric_Nativ'!$P$6:$P$405,1,'Istoric_Nativ'!$D$6:$D$405,"&gt;="&amp;L161)+SUMIFS('Istoric_Nativ'!$H$6:$H$405,'Istoric_Nativ'!$B$6:$B$405,E161,'Istoric_Nativ'!$C$6:$C$405,F161,'Istoric_Nativ'!$F$6:$F$405,G161,'Istoric_Nativ'!$D$6:$D$405,"&lt;"&amp;J161,'Istoric_Nativ'!$P$6:$P$405,1,'Istoric_Nativ'!$D$6:$D$405,"&gt;="&amp;L161)))/M161)</x:f>
      </x:c>
      <x:c r="O161" s="11" t="str">
        <x:f>IF(M161=0,"",IF(H161="HOME",SUMIFS('Istoric_Nativ'!$H$6:$H$405,'Istoric_Nativ'!$B$6:$B$405,E161,'Istoric_Nativ'!$C$6:$C$405,F161,'Istoric_Nativ'!$E$6:$E$405,G161,'Istoric_Nativ'!$D$6:$D$405,"&lt;"&amp;J161,'Istoric_Nativ'!$P$6:$P$405,1,'Istoric_Nativ'!$D$6:$D$405,"&gt;="&amp;L161),IF(H161="AWAY",SUMIFS('Istoric_Nativ'!$G$6:$G$405,'Istoric_Nativ'!$B$6:$B$405,E161,'Istoric_Nativ'!$C$6:$C$405,F161,'Istoric_Nativ'!$F$6:$F$405,G161,'Istoric_Nativ'!$D$6:$D$405,"&lt;"&amp;J161,'Istoric_Nativ'!$P$6:$P$405,1,'Istoric_Nativ'!$D$6:$D$405,"&gt;="&amp;L161),SUMIFS('Istoric_Nativ'!$H$6:$H$405,'Istoric_Nativ'!$B$6:$B$405,E161,'Istoric_Nativ'!$C$6:$C$405,F161,'Istoric_Nativ'!$E$6:$E$405,G161,'Istoric_Nativ'!$D$6:$D$405,"&lt;"&amp;J161,'Istoric_Nativ'!$P$6:$P$405,1,'Istoric_Nativ'!$D$6:$D$405,"&gt;="&amp;L161)+SUMIFS('Istoric_Nativ'!$G$6:$G$405,'Istoric_Nativ'!$B$6:$B$405,E161,'Istoric_Nativ'!$C$6:$C$405,F161,'Istoric_Nativ'!$F$6:$F$405,G161,'Istoric_Nativ'!$D$6:$D$405,"&lt;"&amp;J161,'Istoric_Nativ'!$P$6:$P$405,1,'Istoric_Nativ'!$D$6:$D$405,"&gt;="&amp;L161)))/M161)</x:f>
      </x:c>
      <x:c r="P161" s="2" t="n">
        <x:f>'Config_v6'!$B$9</x:f>
        <x:v>3</x:v>
      </x:c>
      <x:c r="Q161" s="2" t="n">
        <x:f>IF(OR(B161="",F161=""),0,IFERROR(MATCH(E161&amp;"|"&amp;F161,SourceTable[Source_Key],0),0))</x:f>
        <x:v>0</x:v>
      </x:c>
      <x:c r="R161" s="2" t="str">
        <x:f>IF(B161="","",IF(F161="","UNUSED",IF(Q161=0,"NOT CHECKED",IF(COUNTIF(SourceTable[Source_Key],E161&amp;"|"&amp;F161)&lt;&gt;1,"SOURCE CONFLICT",IF(NOT(OR(INDEX(SourceTable[Status],MAX(1,Q161))="IMPORTED",INDEX(SourceTable[Status],MAX(1,Q161))="PARTIAL",INDEX(SourceTable[Status],MAX(1,Q161))="SOURCE CONFLICT")),"ACCESS BLOCKED",IF(OR(INDEX(SourceTable[Coverage],Q161)&lt;&gt;"FULL SEASON EXPORT",INDEX(SourceTable[URL],Q161)="",INDEX(SourceTable[SHA256],Q161)=""),"EVIDENCE INCOMPLETE",IF(AND('Input_Meci'!H18="LIVE",INDEX(SourceTable[Retrieved_UTC],Q161)&gt;'Input_Meci'!G18),"POST CUTOFF","CLOSED")))))))</x:f>
      </x:c>
      <x:c r="S161" s="2" t="n">
        <x:f>IF(OR(B161="",F161=""),0,COUNTIFS('Istoric_Nativ'!$B$6:$B$405,E161,'Istoric_Nativ'!$C$6:$C$405,F161,'Istoric_Nativ'!$E$6:$E$405,G161,'Istoric_Nativ'!$D$6:$D$405,"&lt;"&amp;J161,'Istoric_Nativ'!$O$6:$O$405,"INVALID")+COUNTIFS('Istoric_Nativ'!$B$6:$B$405,E161,'Istoric_Nativ'!$C$6:$C$405,F161,'Istoric_Nativ'!$E$6:$E$405,G161,'Istoric_Nativ'!$O$6:$O$405,"INVALID",'Istoric_Nativ'!$D$6:$D$405,"*")+COUNTIFS('Istoric_Nativ'!$B$6:$B$405,E161,'Istoric_Nativ'!$C$6:$C$405,F161,'Istoric_Nativ'!$E$6:$E$405,G161,'Istoric_Nativ'!$D$6:$D$405,"&lt;"&amp;J161,'Istoric_Nativ'!$O$6:$O$405,"SOURCE CONFLICT")+COUNTIFS('Istoric_Nativ'!$B$6:$B$405,E161,'Istoric_Nativ'!$C$6:$C$405,F161,'Istoric_Nativ'!$F$6:$F$405,G161,'Istoric_Nativ'!$D$6:$D$405,"&lt;"&amp;J161,'Istoric_Nativ'!$O$6:$O$405,"INVALID")+COUNTIFS('Istoric_Nativ'!$B$6:$B$405,E161,'Istoric_Nativ'!$C$6:$C$405,F161,'Istoric_Nativ'!$F$6:$F$405,G161,'Istoric_Nativ'!$O$6:$O$405,"INVALID",'Istoric_Nativ'!$D$6:$D$405,"*")+COUNTIFS('Istoric_Nativ'!$B$6:$B$405,E161,'Istoric_Nativ'!$C$6:$C$405,F161,'Istoric_Nativ'!$F$6:$F$405,G161,'Istoric_Nativ'!$D$6:$D$405,"&lt;"&amp;J161,'Istoric_Nativ'!$O$6:$O$405,"SOURCE CONFLICT"))</x:f>
        <x:v>0</x:v>
      </x:c>
      <x:c r="T161" s="2" t="str">
        <x:f>IF(B161="","",IF(R161&lt;&gt;"CLOSED",R161,IF(S161&gt;0,"NATIVE INPUT ISSUE",IF(M161=0,"NO HISTORY",IF(M161&lt;P161,"SMALL SAMPLE","DERIVED")))))</x:f>
      </x:c>
      <x:c r="U161" s="2" t="str">
        <x:f>IF(B161="","","NativeTable; "&amp;E161&amp;"; "&amp;F161&amp;"; "&amp;G161&amp;"; "&amp;H161&amp;"; before "&amp;TEXT(J161,"yyyy-mm-dd")&amp;IF(I161="RECENT","; from "&amp;TEXT(L161,"yyyy-mm-dd"),""))</x:f>
      </x:c>
    </x:row>
    <x:row r="162" ht="21" customHeight="1">
      <x:c r="A162" s="2" t="n">
        <x:v>14</x:v>
      </x:c>
      <x:c r="B162" s="2" t="str">
        <x:f>IF('Input_Meci'!A19="","",'Input_Meci'!A19)</x:f>
      </x:c>
      <x:c r="C162" s="2" t="str">
        <x:v>H</x:v>
      </x:c>
      <x:c r="D162" s="2" t="str">
        <x:v>CURRENT</x:v>
      </x:c>
      <x:c r="E162" s="2" t="str">
        <x:f>IF(B162="","",'Input_Meci'!B19)</x:f>
      </x:c>
      <x:c r="F162" s="2" t="str">
        <x:f>IF(B162="","",IF('Input_Meci'!C19="","",'Input_Meci'!C19))</x:f>
      </x:c>
      <x:c r="G162" s="2" t="str">
        <x:f>IF(B162="","",'Input_Meci'!D19)</x:f>
      </x:c>
      <x:c r="H162" s="2" t="str">
        <x:v>ANY</x:v>
      </x:c>
      <x:c r="I162" s="2" t="str">
        <x:v>SEASON</x:v>
      </x:c>
      <x:c r="J162" s="9" t="n">
        <x:f>IF(AND(B162&lt;&gt;"",ISNUMBER('Input_Meci'!G19)),INT('Input_Meci'!G19),0)</x:f>
        <x:v>0</x:v>
      </x:c>
      <x:c r="K162" s="2" t="n">
        <x:f>IF(OR(B162="",F162=""),0,IF(H162="HOME",COUNTIFS('Istoric_Nativ'!$B$6:$B$405,E162,'Istoric_Nativ'!$C$6:$C$405,F162,'Istoric_Nativ'!$E$6:$E$405,G162,'Istoric_Nativ'!$D$6:$D$405,"&lt;"&amp;J162,'Istoric_Nativ'!$P$6:$P$405,1),IF(H162="AWAY",COUNTIFS('Istoric_Nativ'!$B$6:$B$405,E162,'Istoric_Nativ'!$C$6:$C$405,F162,'Istoric_Nativ'!$F$6:$F$405,G162,'Istoric_Nativ'!$D$6:$D$405,"&lt;"&amp;J162,'Istoric_Nativ'!$P$6:$P$405,1),COUNTIFS('Istoric_Nativ'!$B$6:$B$405,E162,'Istoric_Nativ'!$C$6:$C$405,F162,'Istoric_Nativ'!$E$6:$E$405,G162,'Istoric_Nativ'!$D$6:$D$405,"&lt;"&amp;J162,'Istoric_Nativ'!$P$6:$P$405,1)+COUNTIFS('Istoric_Nativ'!$B$6:$B$405,E162,'Istoric_Nativ'!$C$6:$C$405,F162,'Istoric_Nativ'!$F$6:$F$405,G162,'Istoric_Nativ'!$D$6:$D$405,"&lt;"&amp;J162,'Istoric_Nativ'!$P$6:$P$405,1))))</x:f>
        <x:v>0</x:v>
      </x:c>
      <x:c r="L162" s="17" t="n">
        <x:f>IF(AND(B162&lt;&gt;"",I162="RECENT",K162&gt;0),LARGE(_xlfn._xlws.FILTER('Istoric_Nativ'!$D$6:$D$405,('Istoric_Nativ'!$B$6:$B$405=E162)*('Istoric_Nativ'!$C$6:$C$405=F162)*('Istoric_Nativ'!$P$6:$P$405=1)*('Istoric_Nativ'!$D$6:$D$405&lt;J162)*((('Istoric_Nativ'!$E$6:$E$405=G162)+('Istoric_Nativ'!$F$6:$F$405=G162))&gt;0)),MIN('Config_v6'!$B$54,K162)),0)</x:f>
        <x:v>0</x:v>
      </x:c>
      <x:c r="M162" s="2" t="n">
        <x:f>IF(OR(B162="",F162=""),0,IF(H162="HOME",COUNTIFS('Istoric_Nativ'!$B$6:$B$405,E162,'Istoric_Nativ'!$C$6:$C$405,F162,'Istoric_Nativ'!$E$6:$E$405,G162,'Istoric_Nativ'!$D$6:$D$405,"&lt;"&amp;J162,'Istoric_Nativ'!$P$6:$P$405,1,'Istoric_Nativ'!$D$6:$D$405,"&gt;="&amp;L162),IF(H162="AWAY",COUNTIFS('Istoric_Nativ'!$B$6:$B$405,E162,'Istoric_Nativ'!$C$6:$C$405,F162,'Istoric_Nativ'!$F$6:$F$405,G162,'Istoric_Nativ'!$D$6:$D$405,"&lt;"&amp;J162,'Istoric_Nativ'!$P$6:$P$405,1,'Istoric_Nativ'!$D$6:$D$405,"&gt;="&amp;L162),COUNTIFS('Istoric_Nativ'!$B$6:$B$405,E162,'Istoric_Nativ'!$C$6:$C$405,F162,'Istoric_Nativ'!$E$6:$E$405,G162,'Istoric_Nativ'!$D$6:$D$405,"&lt;"&amp;J162,'Istoric_Nativ'!$P$6:$P$405,1,'Istoric_Nativ'!$D$6:$D$405,"&gt;="&amp;L162)+COUNTIFS('Istoric_Nativ'!$B$6:$B$405,E162,'Istoric_Nativ'!$C$6:$C$405,F162,'Istoric_Nativ'!$F$6:$F$405,G162,'Istoric_Nativ'!$D$6:$D$405,"&lt;"&amp;J162,'Istoric_Nativ'!$P$6:$P$405,1,'Istoric_Nativ'!$D$6:$D$405,"&gt;="&amp;L162))))</x:f>
        <x:v>0</x:v>
      </x:c>
      <x:c r="N162" s="11" t="str">
        <x:f>IF(M162=0,"",IF(H162="HOME",SUMIFS('Istoric_Nativ'!$G$6:$G$405,'Istoric_Nativ'!$B$6:$B$405,E162,'Istoric_Nativ'!$C$6:$C$405,F162,'Istoric_Nativ'!$E$6:$E$405,G162,'Istoric_Nativ'!$D$6:$D$405,"&lt;"&amp;J162,'Istoric_Nativ'!$P$6:$P$405,1,'Istoric_Nativ'!$D$6:$D$405,"&gt;="&amp;L162),IF(H162="AWAY",SUMIFS('Istoric_Nativ'!$H$6:$H$405,'Istoric_Nativ'!$B$6:$B$405,E162,'Istoric_Nativ'!$C$6:$C$405,F162,'Istoric_Nativ'!$F$6:$F$405,G162,'Istoric_Nativ'!$D$6:$D$405,"&lt;"&amp;J162,'Istoric_Nativ'!$P$6:$P$405,1,'Istoric_Nativ'!$D$6:$D$405,"&gt;="&amp;L162),SUMIFS('Istoric_Nativ'!$G$6:$G$405,'Istoric_Nativ'!$B$6:$B$405,E162,'Istoric_Nativ'!$C$6:$C$405,F162,'Istoric_Nativ'!$E$6:$E$405,G162,'Istoric_Nativ'!$D$6:$D$405,"&lt;"&amp;J162,'Istoric_Nativ'!$P$6:$P$405,1,'Istoric_Nativ'!$D$6:$D$405,"&gt;="&amp;L162)+SUMIFS('Istoric_Nativ'!$H$6:$H$405,'Istoric_Nativ'!$B$6:$B$405,E162,'Istoric_Nativ'!$C$6:$C$405,F162,'Istoric_Nativ'!$F$6:$F$405,G162,'Istoric_Nativ'!$D$6:$D$405,"&lt;"&amp;J162,'Istoric_Nativ'!$P$6:$P$405,1,'Istoric_Nativ'!$D$6:$D$405,"&gt;="&amp;L162)))/M162)</x:f>
      </x:c>
      <x:c r="O162" s="11" t="str">
        <x:f>IF(M162=0,"",IF(H162="HOME",SUMIFS('Istoric_Nativ'!$H$6:$H$405,'Istoric_Nativ'!$B$6:$B$405,E162,'Istoric_Nativ'!$C$6:$C$405,F162,'Istoric_Nativ'!$E$6:$E$405,G162,'Istoric_Nativ'!$D$6:$D$405,"&lt;"&amp;J162,'Istoric_Nativ'!$P$6:$P$405,1,'Istoric_Nativ'!$D$6:$D$405,"&gt;="&amp;L162),IF(H162="AWAY",SUMIFS('Istoric_Nativ'!$G$6:$G$405,'Istoric_Nativ'!$B$6:$B$405,E162,'Istoric_Nativ'!$C$6:$C$405,F162,'Istoric_Nativ'!$F$6:$F$405,G162,'Istoric_Nativ'!$D$6:$D$405,"&lt;"&amp;J162,'Istoric_Nativ'!$P$6:$P$405,1,'Istoric_Nativ'!$D$6:$D$405,"&gt;="&amp;L162),SUMIFS('Istoric_Nativ'!$H$6:$H$405,'Istoric_Nativ'!$B$6:$B$405,E162,'Istoric_Nativ'!$C$6:$C$405,F162,'Istoric_Nativ'!$E$6:$E$405,G162,'Istoric_Nativ'!$D$6:$D$405,"&lt;"&amp;J162,'Istoric_Nativ'!$P$6:$P$405,1,'Istoric_Nativ'!$D$6:$D$405,"&gt;="&amp;L162)+SUMIFS('Istoric_Nativ'!$G$6:$G$405,'Istoric_Nativ'!$B$6:$B$405,E162,'Istoric_Nativ'!$C$6:$C$405,F162,'Istoric_Nativ'!$F$6:$F$405,G162,'Istoric_Nativ'!$D$6:$D$405,"&lt;"&amp;J162,'Istoric_Nativ'!$P$6:$P$405,1,'Istoric_Nativ'!$D$6:$D$405,"&gt;="&amp;L162)))/M162)</x:f>
      </x:c>
      <x:c r="P162" s="2" t="n">
        <x:f>'Config_v6'!$B$7</x:f>
        <x:v>10</x:v>
      </x:c>
      <x:c r="Q162" s="2" t="n">
        <x:f>IF(OR(B162="",F162=""),0,IFERROR(MATCH(E162&amp;"|"&amp;F162,SourceTable[Source_Key],0),0))</x:f>
        <x:v>0</x:v>
      </x:c>
      <x:c r="R162" s="2" t="str">
        <x:f>IF(B162="","",IF(F162="","UNUSED",IF(Q162=0,"NOT CHECKED",IF(COUNTIF(SourceTable[Source_Key],E162&amp;"|"&amp;F162)&lt;&gt;1,"SOURCE CONFLICT",IF(NOT(OR(INDEX(SourceTable[Status],MAX(1,Q162))="IMPORTED",INDEX(SourceTable[Status],MAX(1,Q162))="PARTIAL",INDEX(SourceTable[Status],MAX(1,Q162))="SOURCE CONFLICT")),"ACCESS BLOCKED",IF(OR(INDEX(SourceTable[Coverage],Q162)&lt;&gt;"FULL SEASON EXPORT",INDEX(SourceTable[URL],Q162)="",INDEX(SourceTable[SHA256],Q162)=""),"EVIDENCE INCOMPLETE",IF(AND('Input_Meci'!H19="LIVE",INDEX(SourceTable[Retrieved_UTC],Q162)&gt;'Input_Meci'!G19),"POST CUTOFF","CLOSED")))))))</x:f>
      </x:c>
      <x:c r="S162" s="2" t="n">
        <x:f>IF(OR(B162="",F162=""),0,COUNTIFS('Istoric_Nativ'!$B$6:$B$405,E162,'Istoric_Nativ'!$C$6:$C$405,F162,'Istoric_Nativ'!$E$6:$E$405,G162,'Istoric_Nativ'!$D$6:$D$405,"&lt;"&amp;J162,'Istoric_Nativ'!$O$6:$O$405,"INVALID")+COUNTIFS('Istoric_Nativ'!$B$6:$B$405,E162,'Istoric_Nativ'!$C$6:$C$405,F162,'Istoric_Nativ'!$E$6:$E$405,G162,'Istoric_Nativ'!$O$6:$O$405,"INVALID",'Istoric_Nativ'!$D$6:$D$405,"*")+COUNTIFS('Istoric_Nativ'!$B$6:$B$405,E162,'Istoric_Nativ'!$C$6:$C$405,F162,'Istoric_Nativ'!$E$6:$E$405,G162,'Istoric_Nativ'!$D$6:$D$405,"&lt;"&amp;J162,'Istoric_Nativ'!$O$6:$O$405,"SOURCE CONFLICT")+COUNTIFS('Istoric_Nativ'!$B$6:$B$405,E162,'Istoric_Nativ'!$C$6:$C$405,F162,'Istoric_Nativ'!$F$6:$F$405,G162,'Istoric_Nativ'!$D$6:$D$405,"&lt;"&amp;J162,'Istoric_Nativ'!$O$6:$O$405,"INVALID")+COUNTIFS('Istoric_Nativ'!$B$6:$B$405,E162,'Istoric_Nativ'!$C$6:$C$405,F162,'Istoric_Nativ'!$F$6:$F$405,G162,'Istoric_Nativ'!$O$6:$O$405,"INVALID",'Istoric_Nativ'!$D$6:$D$405,"*")+COUNTIFS('Istoric_Nativ'!$B$6:$B$405,E162,'Istoric_Nativ'!$C$6:$C$405,F162,'Istoric_Nativ'!$F$6:$F$405,G162,'Istoric_Nativ'!$D$6:$D$405,"&lt;"&amp;J162,'Istoric_Nativ'!$O$6:$O$405,"SOURCE CONFLICT"))</x:f>
        <x:v>0</x:v>
      </x:c>
      <x:c r="T162" s="2" t="str">
        <x:f>IF(B162="","",IF(R162&lt;&gt;"CLOSED",R162,IF(S162&gt;0,"NATIVE INPUT ISSUE",IF(M162=0,"NO HISTORY",IF(M162&lt;P162,"SMALL SAMPLE","DERIVED")))))</x:f>
      </x:c>
      <x:c r="U162" s="2" t="str">
        <x:f>IF(B162="","","NativeTable; "&amp;E162&amp;"; "&amp;F162&amp;"; "&amp;G162&amp;"; "&amp;H162&amp;"; before "&amp;TEXT(J162,"yyyy-mm-dd")&amp;IF(I162="RECENT","; from "&amp;TEXT(L162,"yyyy-mm-dd"),""))</x:f>
      </x:c>
    </x:row>
    <x:row r="163" ht="21" customHeight="1">
      <x:c r="A163" s="2" t="n">
        <x:v>14</x:v>
      </x:c>
      <x:c r="B163" s="2" t="str">
        <x:f>IF('Input_Meci'!A19="","",'Input_Meci'!A19)</x:f>
      </x:c>
      <x:c r="C163" s="2" t="str">
        <x:v>H</x:v>
      </x:c>
      <x:c r="D163" s="2" t="str">
        <x:v>CURRENT</x:v>
      </x:c>
      <x:c r="E163" s="2" t="str">
        <x:f>IF(B163="","",'Input_Meci'!B19)</x:f>
      </x:c>
      <x:c r="F163" s="2" t="str">
        <x:f>IF(B163="","",IF('Input_Meci'!C19="","",'Input_Meci'!C19))</x:f>
      </x:c>
      <x:c r="G163" s="2" t="str">
        <x:f>IF(B163="","",'Input_Meci'!D19)</x:f>
      </x:c>
      <x:c r="H163" s="2" t="str">
        <x:v>HOME</x:v>
      </x:c>
      <x:c r="I163" s="2" t="str">
        <x:v>HA</x:v>
      </x:c>
      <x:c r="J163" s="9" t="n">
        <x:f>IF(AND(B163&lt;&gt;"",ISNUMBER('Input_Meci'!G19)),INT('Input_Meci'!G19),0)</x:f>
        <x:v>0</x:v>
      </x:c>
      <x:c r="K163" s="2" t="n">
        <x:f>IF(OR(B163="",F163=""),0,IF(H163="HOME",COUNTIFS('Istoric_Nativ'!$B$6:$B$405,E163,'Istoric_Nativ'!$C$6:$C$405,F163,'Istoric_Nativ'!$E$6:$E$405,G163,'Istoric_Nativ'!$D$6:$D$405,"&lt;"&amp;J163,'Istoric_Nativ'!$P$6:$P$405,1),IF(H163="AWAY",COUNTIFS('Istoric_Nativ'!$B$6:$B$405,E163,'Istoric_Nativ'!$C$6:$C$405,F163,'Istoric_Nativ'!$F$6:$F$405,G163,'Istoric_Nativ'!$D$6:$D$405,"&lt;"&amp;J163,'Istoric_Nativ'!$P$6:$P$405,1),COUNTIFS('Istoric_Nativ'!$B$6:$B$405,E163,'Istoric_Nativ'!$C$6:$C$405,F163,'Istoric_Nativ'!$E$6:$E$405,G163,'Istoric_Nativ'!$D$6:$D$405,"&lt;"&amp;J163,'Istoric_Nativ'!$P$6:$P$405,1)+COUNTIFS('Istoric_Nativ'!$B$6:$B$405,E163,'Istoric_Nativ'!$C$6:$C$405,F163,'Istoric_Nativ'!$F$6:$F$405,G163,'Istoric_Nativ'!$D$6:$D$405,"&lt;"&amp;J163,'Istoric_Nativ'!$P$6:$P$405,1))))</x:f>
        <x:v>0</x:v>
      </x:c>
      <x:c r="L163" s="17" t="n">
        <x:f>IF(AND(B163&lt;&gt;"",I163="RECENT",K163&gt;0),LARGE(_xlfn._xlws.FILTER('Istoric_Nativ'!$D$6:$D$405,('Istoric_Nativ'!$B$6:$B$405=E163)*('Istoric_Nativ'!$C$6:$C$405=F163)*('Istoric_Nativ'!$P$6:$P$405=1)*('Istoric_Nativ'!$D$6:$D$405&lt;J163)*((('Istoric_Nativ'!$E$6:$E$405=G163)+('Istoric_Nativ'!$F$6:$F$405=G163))&gt;0)),MIN('Config_v6'!$B$54,K163)),0)</x:f>
        <x:v>0</x:v>
      </x:c>
      <x:c r="M163" s="2" t="n">
        <x:f>IF(OR(B163="",F163=""),0,IF(H163="HOME",COUNTIFS('Istoric_Nativ'!$B$6:$B$405,E163,'Istoric_Nativ'!$C$6:$C$405,F163,'Istoric_Nativ'!$E$6:$E$405,G163,'Istoric_Nativ'!$D$6:$D$405,"&lt;"&amp;J163,'Istoric_Nativ'!$P$6:$P$405,1,'Istoric_Nativ'!$D$6:$D$405,"&gt;="&amp;L163),IF(H163="AWAY",COUNTIFS('Istoric_Nativ'!$B$6:$B$405,E163,'Istoric_Nativ'!$C$6:$C$405,F163,'Istoric_Nativ'!$F$6:$F$405,G163,'Istoric_Nativ'!$D$6:$D$405,"&lt;"&amp;J163,'Istoric_Nativ'!$P$6:$P$405,1,'Istoric_Nativ'!$D$6:$D$405,"&gt;="&amp;L163),COUNTIFS('Istoric_Nativ'!$B$6:$B$405,E163,'Istoric_Nativ'!$C$6:$C$405,F163,'Istoric_Nativ'!$E$6:$E$405,G163,'Istoric_Nativ'!$D$6:$D$405,"&lt;"&amp;J163,'Istoric_Nativ'!$P$6:$P$405,1,'Istoric_Nativ'!$D$6:$D$405,"&gt;="&amp;L163)+COUNTIFS('Istoric_Nativ'!$B$6:$B$405,E163,'Istoric_Nativ'!$C$6:$C$405,F163,'Istoric_Nativ'!$F$6:$F$405,G163,'Istoric_Nativ'!$D$6:$D$405,"&lt;"&amp;J163,'Istoric_Nativ'!$P$6:$P$405,1,'Istoric_Nativ'!$D$6:$D$405,"&gt;="&amp;L163))))</x:f>
        <x:v>0</x:v>
      </x:c>
      <x:c r="N163" s="11" t="str">
        <x:f>IF(M163=0,"",IF(H163="HOME",SUMIFS('Istoric_Nativ'!$G$6:$G$405,'Istoric_Nativ'!$B$6:$B$405,E163,'Istoric_Nativ'!$C$6:$C$405,F163,'Istoric_Nativ'!$E$6:$E$405,G163,'Istoric_Nativ'!$D$6:$D$405,"&lt;"&amp;J163,'Istoric_Nativ'!$P$6:$P$405,1,'Istoric_Nativ'!$D$6:$D$405,"&gt;="&amp;L163),IF(H163="AWAY",SUMIFS('Istoric_Nativ'!$H$6:$H$405,'Istoric_Nativ'!$B$6:$B$405,E163,'Istoric_Nativ'!$C$6:$C$405,F163,'Istoric_Nativ'!$F$6:$F$405,G163,'Istoric_Nativ'!$D$6:$D$405,"&lt;"&amp;J163,'Istoric_Nativ'!$P$6:$P$405,1,'Istoric_Nativ'!$D$6:$D$405,"&gt;="&amp;L163),SUMIFS('Istoric_Nativ'!$G$6:$G$405,'Istoric_Nativ'!$B$6:$B$405,E163,'Istoric_Nativ'!$C$6:$C$405,F163,'Istoric_Nativ'!$E$6:$E$405,G163,'Istoric_Nativ'!$D$6:$D$405,"&lt;"&amp;J163,'Istoric_Nativ'!$P$6:$P$405,1,'Istoric_Nativ'!$D$6:$D$405,"&gt;="&amp;L163)+SUMIFS('Istoric_Nativ'!$H$6:$H$405,'Istoric_Nativ'!$B$6:$B$405,E163,'Istoric_Nativ'!$C$6:$C$405,F163,'Istoric_Nativ'!$F$6:$F$405,G163,'Istoric_Nativ'!$D$6:$D$405,"&lt;"&amp;J163,'Istoric_Nativ'!$P$6:$P$405,1,'Istoric_Nativ'!$D$6:$D$405,"&gt;="&amp;L163)))/M163)</x:f>
      </x:c>
      <x:c r="O163" s="11" t="str">
        <x:f>IF(M163=0,"",IF(H163="HOME",SUMIFS('Istoric_Nativ'!$H$6:$H$405,'Istoric_Nativ'!$B$6:$B$405,E163,'Istoric_Nativ'!$C$6:$C$405,F163,'Istoric_Nativ'!$E$6:$E$405,G163,'Istoric_Nativ'!$D$6:$D$405,"&lt;"&amp;J163,'Istoric_Nativ'!$P$6:$P$405,1,'Istoric_Nativ'!$D$6:$D$405,"&gt;="&amp;L163),IF(H163="AWAY",SUMIFS('Istoric_Nativ'!$G$6:$G$405,'Istoric_Nativ'!$B$6:$B$405,E163,'Istoric_Nativ'!$C$6:$C$405,F163,'Istoric_Nativ'!$F$6:$F$405,G163,'Istoric_Nativ'!$D$6:$D$405,"&lt;"&amp;J163,'Istoric_Nativ'!$P$6:$P$405,1,'Istoric_Nativ'!$D$6:$D$405,"&gt;="&amp;L163),SUMIFS('Istoric_Nativ'!$H$6:$H$405,'Istoric_Nativ'!$B$6:$B$405,E163,'Istoric_Nativ'!$C$6:$C$405,F163,'Istoric_Nativ'!$E$6:$E$405,G163,'Istoric_Nativ'!$D$6:$D$405,"&lt;"&amp;J163,'Istoric_Nativ'!$P$6:$P$405,1,'Istoric_Nativ'!$D$6:$D$405,"&gt;="&amp;L163)+SUMIFS('Istoric_Nativ'!$G$6:$G$405,'Istoric_Nativ'!$B$6:$B$405,E163,'Istoric_Nativ'!$C$6:$C$405,F163,'Istoric_Nativ'!$F$6:$F$405,G163,'Istoric_Nativ'!$D$6:$D$405,"&lt;"&amp;J163,'Istoric_Nativ'!$P$6:$P$405,1,'Istoric_Nativ'!$D$6:$D$405,"&gt;="&amp;L163)))/M163)</x:f>
      </x:c>
      <x:c r="P163" s="2" t="n">
        <x:f>'Config_v6'!$B$8</x:f>
        <x:v>5</x:v>
      </x:c>
      <x:c r="Q163" s="2" t="n">
        <x:f>IF(OR(B163="",F163=""),0,IFERROR(MATCH(E163&amp;"|"&amp;F163,SourceTable[Source_Key],0),0))</x:f>
        <x:v>0</x:v>
      </x:c>
      <x:c r="R163" s="2" t="str">
        <x:f>IF(B163="","",IF(F163="","UNUSED",IF(Q163=0,"NOT CHECKED",IF(COUNTIF(SourceTable[Source_Key],E163&amp;"|"&amp;F163)&lt;&gt;1,"SOURCE CONFLICT",IF(NOT(OR(INDEX(SourceTable[Status],MAX(1,Q163))="IMPORTED",INDEX(SourceTable[Status],MAX(1,Q163))="PARTIAL",INDEX(SourceTable[Status],MAX(1,Q163))="SOURCE CONFLICT")),"ACCESS BLOCKED",IF(OR(INDEX(SourceTable[Coverage],Q163)&lt;&gt;"FULL SEASON EXPORT",INDEX(SourceTable[URL],Q163)="",INDEX(SourceTable[SHA256],Q163)=""),"EVIDENCE INCOMPLETE",IF(AND('Input_Meci'!H19="LIVE",INDEX(SourceTable[Retrieved_UTC],Q163)&gt;'Input_Meci'!G19),"POST CUTOFF","CLOSED")))))))</x:f>
      </x:c>
      <x:c r="S163" s="2" t="n">
        <x:f>IF(OR(B163="",F163=""),0,COUNTIFS('Istoric_Nativ'!$B$6:$B$405,E163,'Istoric_Nativ'!$C$6:$C$405,F163,'Istoric_Nativ'!$E$6:$E$405,G163,'Istoric_Nativ'!$D$6:$D$405,"&lt;"&amp;J163,'Istoric_Nativ'!$O$6:$O$405,"INVALID")+COUNTIFS('Istoric_Nativ'!$B$6:$B$405,E163,'Istoric_Nativ'!$C$6:$C$405,F163,'Istoric_Nativ'!$E$6:$E$405,G163,'Istoric_Nativ'!$O$6:$O$405,"INVALID",'Istoric_Nativ'!$D$6:$D$405,"*")+COUNTIFS('Istoric_Nativ'!$B$6:$B$405,E163,'Istoric_Nativ'!$C$6:$C$405,F163,'Istoric_Nativ'!$E$6:$E$405,G163,'Istoric_Nativ'!$D$6:$D$405,"&lt;"&amp;J163,'Istoric_Nativ'!$O$6:$O$405,"SOURCE CONFLICT")+COUNTIFS('Istoric_Nativ'!$B$6:$B$405,E163,'Istoric_Nativ'!$C$6:$C$405,F163,'Istoric_Nativ'!$F$6:$F$405,G163,'Istoric_Nativ'!$D$6:$D$405,"&lt;"&amp;J163,'Istoric_Nativ'!$O$6:$O$405,"INVALID")+COUNTIFS('Istoric_Nativ'!$B$6:$B$405,E163,'Istoric_Nativ'!$C$6:$C$405,F163,'Istoric_Nativ'!$F$6:$F$405,G163,'Istoric_Nativ'!$O$6:$O$405,"INVALID",'Istoric_Nativ'!$D$6:$D$405,"*")+COUNTIFS('Istoric_Nativ'!$B$6:$B$405,E163,'Istoric_Nativ'!$C$6:$C$405,F163,'Istoric_Nativ'!$F$6:$F$405,G163,'Istoric_Nativ'!$D$6:$D$405,"&lt;"&amp;J163,'Istoric_Nativ'!$O$6:$O$405,"SOURCE CONFLICT"))</x:f>
        <x:v>0</x:v>
      </x:c>
      <x:c r="T163" s="2" t="str">
        <x:f>IF(B163="","",IF(R163&lt;&gt;"CLOSED",R163,IF(S163&gt;0,"NATIVE INPUT ISSUE",IF(M163=0,"NO HISTORY",IF(M163&lt;P163,"SMALL SAMPLE","DERIVED")))))</x:f>
      </x:c>
      <x:c r="U163" s="2" t="str">
        <x:f>IF(B163="","","NativeTable; "&amp;E163&amp;"; "&amp;F163&amp;"; "&amp;G163&amp;"; "&amp;H163&amp;"; before "&amp;TEXT(J163,"yyyy-mm-dd")&amp;IF(I163="RECENT","; from "&amp;TEXT(L163,"yyyy-mm-dd"),""))</x:f>
      </x:c>
    </x:row>
    <x:row r="164" ht="21" customHeight="1">
      <x:c r="A164" s="2" t="n">
        <x:v>14</x:v>
      </x:c>
      <x:c r="B164" s="2" t="str">
        <x:f>IF('Input_Meci'!A19="","",'Input_Meci'!A19)</x:f>
      </x:c>
      <x:c r="C164" s="2" t="str">
        <x:v>H</x:v>
      </x:c>
      <x:c r="D164" s="2" t="str">
        <x:v>CURRENT</x:v>
      </x:c>
      <x:c r="E164" s="2" t="str">
        <x:f>IF(B164="","",'Input_Meci'!B19)</x:f>
      </x:c>
      <x:c r="F164" s="2" t="str">
        <x:f>IF(B164="","",IF('Input_Meci'!C19="","",'Input_Meci'!C19))</x:f>
      </x:c>
      <x:c r="G164" s="2" t="str">
        <x:f>IF(B164="","",'Input_Meci'!D19)</x:f>
      </x:c>
      <x:c r="H164" s="2" t="str">
        <x:v>ANY</x:v>
      </x:c>
      <x:c r="I164" s="2" t="str">
        <x:v>RECENT</x:v>
      </x:c>
      <x:c r="J164" s="9" t="n">
        <x:f>IF(AND(B164&lt;&gt;"",ISNUMBER('Input_Meci'!G19)),INT('Input_Meci'!G19),0)</x:f>
        <x:v>0</x:v>
      </x:c>
      <x:c r="K164" s="2" t="n">
        <x:f>IF(OR(B164="",F164=""),0,IF(H164="HOME",COUNTIFS('Istoric_Nativ'!$B$6:$B$405,E164,'Istoric_Nativ'!$C$6:$C$405,F164,'Istoric_Nativ'!$E$6:$E$405,G164,'Istoric_Nativ'!$D$6:$D$405,"&lt;"&amp;J164,'Istoric_Nativ'!$P$6:$P$405,1),IF(H164="AWAY",COUNTIFS('Istoric_Nativ'!$B$6:$B$405,E164,'Istoric_Nativ'!$C$6:$C$405,F164,'Istoric_Nativ'!$F$6:$F$405,G164,'Istoric_Nativ'!$D$6:$D$405,"&lt;"&amp;J164,'Istoric_Nativ'!$P$6:$P$405,1),COUNTIFS('Istoric_Nativ'!$B$6:$B$405,E164,'Istoric_Nativ'!$C$6:$C$405,F164,'Istoric_Nativ'!$E$6:$E$405,G164,'Istoric_Nativ'!$D$6:$D$405,"&lt;"&amp;J164,'Istoric_Nativ'!$P$6:$P$405,1)+COUNTIFS('Istoric_Nativ'!$B$6:$B$405,E164,'Istoric_Nativ'!$C$6:$C$405,F164,'Istoric_Nativ'!$F$6:$F$405,G164,'Istoric_Nativ'!$D$6:$D$405,"&lt;"&amp;J164,'Istoric_Nativ'!$P$6:$P$405,1))))</x:f>
        <x:v>0</x:v>
      </x:c>
      <x:c r="L164" s="17" t="n">
        <x:f>IF(AND(B164&lt;&gt;"",I164="RECENT",K164&gt;0),LARGE(_xlfn._xlws.FILTER('Istoric_Nativ'!$D$6:$D$405,('Istoric_Nativ'!$B$6:$B$405=E164)*('Istoric_Nativ'!$C$6:$C$405=F164)*('Istoric_Nativ'!$P$6:$P$405=1)*('Istoric_Nativ'!$D$6:$D$405&lt;J164)*((('Istoric_Nativ'!$E$6:$E$405=G164)+('Istoric_Nativ'!$F$6:$F$405=G164))&gt;0)),MIN('Config_v6'!$B$54,K164)),0)</x:f>
        <x:v>0</x:v>
      </x:c>
      <x:c r="M164" s="2" t="n">
        <x:f>IF(OR(B164="",F164=""),0,IF(H164="HOME",COUNTIFS('Istoric_Nativ'!$B$6:$B$405,E164,'Istoric_Nativ'!$C$6:$C$405,F164,'Istoric_Nativ'!$E$6:$E$405,G164,'Istoric_Nativ'!$D$6:$D$405,"&lt;"&amp;J164,'Istoric_Nativ'!$P$6:$P$405,1,'Istoric_Nativ'!$D$6:$D$405,"&gt;="&amp;L164),IF(H164="AWAY",COUNTIFS('Istoric_Nativ'!$B$6:$B$405,E164,'Istoric_Nativ'!$C$6:$C$405,F164,'Istoric_Nativ'!$F$6:$F$405,G164,'Istoric_Nativ'!$D$6:$D$405,"&lt;"&amp;J164,'Istoric_Nativ'!$P$6:$P$405,1,'Istoric_Nativ'!$D$6:$D$405,"&gt;="&amp;L164),COUNTIFS('Istoric_Nativ'!$B$6:$B$405,E164,'Istoric_Nativ'!$C$6:$C$405,F164,'Istoric_Nativ'!$E$6:$E$405,G164,'Istoric_Nativ'!$D$6:$D$405,"&lt;"&amp;J164,'Istoric_Nativ'!$P$6:$P$405,1,'Istoric_Nativ'!$D$6:$D$405,"&gt;="&amp;L164)+COUNTIFS('Istoric_Nativ'!$B$6:$B$405,E164,'Istoric_Nativ'!$C$6:$C$405,F164,'Istoric_Nativ'!$F$6:$F$405,G164,'Istoric_Nativ'!$D$6:$D$405,"&lt;"&amp;J164,'Istoric_Nativ'!$P$6:$P$405,1,'Istoric_Nativ'!$D$6:$D$405,"&gt;="&amp;L164))))</x:f>
        <x:v>0</x:v>
      </x:c>
      <x:c r="N164" s="11" t="str">
        <x:f>IF(M164=0,"",IF(H164="HOME",SUMIFS('Istoric_Nativ'!$G$6:$G$405,'Istoric_Nativ'!$B$6:$B$405,E164,'Istoric_Nativ'!$C$6:$C$405,F164,'Istoric_Nativ'!$E$6:$E$405,G164,'Istoric_Nativ'!$D$6:$D$405,"&lt;"&amp;J164,'Istoric_Nativ'!$P$6:$P$405,1,'Istoric_Nativ'!$D$6:$D$405,"&gt;="&amp;L164),IF(H164="AWAY",SUMIFS('Istoric_Nativ'!$H$6:$H$405,'Istoric_Nativ'!$B$6:$B$405,E164,'Istoric_Nativ'!$C$6:$C$405,F164,'Istoric_Nativ'!$F$6:$F$405,G164,'Istoric_Nativ'!$D$6:$D$405,"&lt;"&amp;J164,'Istoric_Nativ'!$P$6:$P$405,1,'Istoric_Nativ'!$D$6:$D$405,"&gt;="&amp;L164),SUMIFS('Istoric_Nativ'!$G$6:$G$405,'Istoric_Nativ'!$B$6:$B$405,E164,'Istoric_Nativ'!$C$6:$C$405,F164,'Istoric_Nativ'!$E$6:$E$405,G164,'Istoric_Nativ'!$D$6:$D$405,"&lt;"&amp;J164,'Istoric_Nativ'!$P$6:$P$405,1,'Istoric_Nativ'!$D$6:$D$405,"&gt;="&amp;L164)+SUMIFS('Istoric_Nativ'!$H$6:$H$405,'Istoric_Nativ'!$B$6:$B$405,E164,'Istoric_Nativ'!$C$6:$C$405,F164,'Istoric_Nativ'!$F$6:$F$405,G164,'Istoric_Nativ'!$D$6:$D$405,"&lt;"&amp;J164,'Istoric_Nativ'!$P$6:$P$405,1,'Istoric_Nativ'!$D$6:$D$405,"&gt;="&amp;L164)))/M164)</x:f>
      </x:c>
      <x:c r="O164" s="11" t="str">
        <x:f>IF(M164=0,"",IF(H164="HOME",SUMIFS('Istoric_Nativ'!$H$6:$H$405,'Istoric_Nativ'!$B$6:$B$405,E164,'Istoric_Nativ'!$C$6:$C$405,F164,'Istoric_Nativ'!$E$6:$E$405,G164,'Istoric_Nativ'!$D$6:$D$405,"&lt;"&amp;J164,'Istoric_Nativ'!$P$6:$P$405,1,'Istoric_Nativ'!$D$6:$D$405,"&gt;="&amp;L164),IF(H164="AWAY",SUMIFS('Istoric_Nativ'!$G$6:$G$405,'Istoric_Nativ'!$B$6:$B$405,E164,'Istoric_Nativ'!$C$6:$C$405,F164,'Istoric_Nativ'!$F$6:$F$405,G164,'Istoric_Nativ'!$D$6:$D$405,"&lt;"&amp;J164,'Istoric_Nativ'!$P$6:$P$405,1,'Istoric_Nativ'!$D$6:$D$405,"&gt;="&amp;L164),SUMIFS('Istoric_Nativ'!$H$6:$H$405,'Istoric_Nativ'!$B$6:$B$405,E164,'Istoric_Nativ'!$C$6:$C$405,F164,'Istoric_Nativ'!$E$6:$E$405,G164,'Istoric_Nativ'!$D$6:$D$405,"&lt;"&amp;J164,'Istoric_Nativ'!$P$6:$P$405,1,'Istoric_Nativ'!$D$6:$D$405,"&gt;="&amp;L164)+SUMIFS('Istoric_Nativ'!$G$6:$G$405,'Istoric_Nativ'!$B$6:$B$405,E164,'Istoric_Nativ'!$C$6:$C$405,F164,'Istoric_Nativ'!$F$6:$F$405,G164,'Istoric_Nativ'!$D$6:$D$405,"&lt;"&amp;J164,'Istoric_Nativ'!$P$6:$P$405,1,'Istoric_Nativ'!$D$6:$D$405,"&gt;="&amp;L164)))/M164)</x:f>
      </x:c>
      <x:c r="P164" s="2" t="n">
        <x:f>'Config_v6'!$B$9</x:f>
        <x:v>3</x:v>
      </x:c>
      <x:c r="Q164" s="2" t="n">
        <x:f>IF(OR(B164="",F164=""),0,IFERROR(MATCH(E164&amp;"|"&amp;F164,SourceTable[Source_Key],0),0))</x:f>
        <x:v>0</x:v>
      </x:c>
      <x:c r="R164" s="2" t="str">
        <x:f>IF(B164="","",IF(F164="","UNUSED",IF(Q164=0,"NOT CHECKED",IF(COUNTIF(SourceTable[Source_Key],E164&amp;"|"&amp;F164)&lt;&gt;1,"SOURCE CONFLICT",IF(NOT(OR(INDEX(SourceTable[Status],MAX(1,Q164))="IMPORTED",INDEX(SourceTable[Status],MAX(1,Q164))="PARTIAL",INDEX(SourceTable[Status],MAX(1,Q164))="SOURCE CONFLICT")),"ACCESS BLOCKED",IF(OR(INDEX(SourceTable[Coverage],Q164)&lt;&gt;"FULL SEASON EXPORT",INDEX(SourceTable[URL],Q164)="",INDEX(SourceTable[SHA256],Q164)=""),"EVIDENCE INCOMPLETE",IF(AND('Input_Meci'!H19="LIVE",INDEX(SourceTable[Retrieved_UTC],Q164)&gt;'Input_Meci'!G19),"POST CUTOFF","CLOSED")))))))</x:f>
      </x:c>
      <x:c r="S164" s="2" t="n">
        <x:f>IF(OR(B164="",F164=""),0,COUNTIFS('Istoric_Nativ'!$B$6:$B$405,E164,'Istoric_Nativ'!$C$6:$C$405,F164,'Istoric_Nativ'!$E$6:$E$405,G164,'Istoric_Nativ'!$D$6:$D$405,"&lt;"&amp;J164,'Istoric_Nativ'!$O$6:$O$405,"INVALID")+COUNTIFS('Istoric_Nativ'!$B$6:$B$405,E164,'Istoric_Nativ'!$C$6:$C$405,F164,'Istoric_Nativ'!$E$6:$E$405,G164,'Istoric_Nativ'!$O$6:$O$405,"INVALID",'Istoric_Nativ'!$D$6:$D$405,"*")+COUNTIFS('Istoric_Nativ'!$B$6:$B$405,E164,'Istoric_Nativ'!$C$6:$C$405,F164,'Istoric_Nativ'!$E$6:$E$405,G164,'Istoric_Nativ'!$D$6:$D$405,"&lt;"&amp;J164,'Istoric_Nativ'!$O$6:$O$405,"SOURCE CONFLICT")+COUNTIFS('Istoric_Nativ'!$B$6:$B$405,E164,'Istoric_Nativ'!$C$6:$C$405,F164,'Istoric_Nativ'!$F$6:$F$405,G164,'Istoric_Nativ'!$D$6:$D$405,"&lt;"&amp;J164,'Istoric_Nativ'!$O$6:$O$405,"INVALID")+COUNTIFS('Istoric_Nativ'!$B$6:$B$405,E164,'Istoric_Nativ'!$C$6:$C$405,F164,'Istoric_Nativ'!$F$6:$F$405,G164,'Istoric_Nativ'!$O$6:$O$405,"INVALID",'Istoric_Nativ'!$D$6:$D$405,"*")+COUNTIFS('Istoric_Nativ'!$B$6:$B$405,E164,'Istoric_Nativ'!$C$6:$C$405,F164,'Istoric_Nativ'!$F$6:$F$405,G164,'Istoric_Nativ'!$D$6:$D$405,"&lt;"&amp;J164,'Istoric_Nativ'!$O$6:$O$405,"SOURCE CONFLICT"))</x:f>
        <x:v>0</x:v>
      </x:c>
      <x:c r="T164" s="2" t="str">
        <x:f>IF(B164="","",IF(R164&lt;&gt;"CLOSED",R164,IF(S164&gt;0,"NATIVE INPUT ISSUE",IF(M164=0,"NO HISTORY",IF(M164&lt;P164,"SMALL SAMPLE","DERIVED")))))</x:f>
      </x:c>
      <x:c r="U164" s="2" t="str">
        <x:f>IF(B164="","","NativeTable; "&amp;E164&amp;"; "&amp;F164&amp;"; "&amp;G164&amp;"; "&amp;H164&amp;"; before "&amp;TEXT(J164,"yyyy-mm-dd")&amp;IF(I164="RECENT","; from "&amp;TEXT(L164,"yyyy-mm-dd"),""))</x:f>
      </x:c>
    </x:row>
    <x:row r="165" ht="21" customHeight="1">
      <x:c r="A165" s="2" t="n">
        <x:v>14</x:v>
      </x:c>
      <x:c r="B165" s="2" t="str">
        <x:f>IF('Input_Meci'!A19="","",'Input_Meci'!A19)</x:f>
      </x:c>
      <x:c r="C165" s="2" t="str">
        <x:v>A</x:v>
      </x:c>
      <x:c r="D165" s="2" t="str">
        <x:v>CURRENT</x:v>
      </x:c>
      <x:c r="E165" s="2" t="str">
        <x:f>IF(B165="","",'Input_Meci'!B19)</x:f>
      </x:c>
      <x:c r="F165" s="2" t="str">
        <x:f>IF(B165="","",IF('Input_Meci'!C19="","",'Input_Meci'!C19))</x:f>
      </x:c>
      <x:c r="G165" s="2" t="str">
        <x:f>IF(B165="","",'Input_Meci'!E19)</x:f>
      </x:c>
      <x:c r="H165" s="2" t="str">
        <x:v>ANY</x:v>
      </x:c>
      <x:c r="I165" s="2" t="str">
        <x:v>SEASON</x:v>
      </x:c>
      <x:c r="J165" s="9" t="n">
        <x:f>IF(AND(B165&lt;&gt;"",ISNUMBER('Input_Meci'!G19)),INT('Input_Meci'!G19),0)</x:f>
        <x:v>0</x:v>
      </x:c>
      <x:c r="K165" s="2" t="n">
        <x:f>IF(OR(B165="",F165=""),0,IF(H165="HOME",COUNTIFS('Istoric_Nativ'!$B$6:$B$405,E165,'Istoric_Nativ'!$C$6:$C$405,F165,'Istoric_Nativ'!$E$6:$E$405,G165,'Istoric_Nativ'!$D$6:$D$405,"&lt;"&amp;J165,'Istoric_Nativ'!$P$6:$P$405,1),IF(H165="AWAY",COUNTIFS('Istoric_Nativ'!$B$6:$B$405,E165,'Istoric_Nativ'!$C$6:$C$405,F165,'Istoric_Nativ'!$F$6:$F$405,G165,'Istoric_Nativ'!$D$6:$D$405,"&lt;"&amp;J165,'Istoric_Nativ'!$P$6:$P$405,1),COUNTIFS('Istoric_Nativ'!$B$6:$B$405,E165,'Istoric_Nativ'!$C$6:$C$405,F165,'Istoric_Nativ'!$E$6:$E$405,G165,'Istoric_Nativ'!$D$6:$D$405,"&lt;"&amp;J165,'Istoric_Nativ'!$P$6:$P$405,1)+COUNTIFS('Istoric_Nativ'!$B$6:$B$405,E165,'Istoric_Nativ'!$C$6:$C$405,F165,'Istoric_Nativ'!$F$6:$F$405,G165,'Istoric_Nativ'!$D$6:$D$405,"&lt;"&amp;J165,'Istoric_Nativ'!$P$6:$P$405,1))))</x:f>
        <x:v>0</x:v>
      </x:c>
      <x:c r="L165" s="17" t="n">
        <x:f>IF(AND(B165&lt;&gt;"",I165="RECENT",K165&gt;0),LARGE(_xlfn._xlws.FILTER('Istoric_Nativ'!$D$6:$D$405,('Istoric_Nativ'!$B$6:$B$405=E165)*('Istoric_Nativ'!$C$6:$C$405=F165)*('Istoric_Nativ'!$P$6:$P$405=1)*('Istoric_Nativ'!$D$6:$D$405&lt;J165)*((('Istoric_Nativ'!$E$6:$E$405=G165)+('Istoric_Nativ'!$F$6:$F$405=G165))&gt;0)),MIN('Config_v6'!$B$54,K165)),0)</x:f>
        <x:v>0</x:v>
      </x:c>
      <x:c r="M165" s="2" t="n">
        <x:f>IF(OR(B165="",F165=""),0,IF(H165="HOME",COUNTIFS('Istoric_Nativ'!$B$6:$B$405,E165,'Istoric_Nativ'!$C$6:$C$405,F165,'Istoric_Nativ'!$E$6:$E$405,G165,'Istoric_Nativ'!$D$6:$D$405,"&lt;"&amp;J165,'Istoric_Nativ'!$P$6:$P$405,1,'Istoric_Nativ'!$D$6:$D$405,"&gt;="&amp;L165),IF(H165="AWAY",COUNTIFS('Istoric_Nativ'!$B$6:$B$405,E165,'Istoric_Nativ'!$C$6:$C$405,F165,'Istoric_Nativ'!$F$6:$F$405,G165,'Istoric_Nativ'!$D$6:$D$405,"&lt;"&amp;J165,'Istoric_Nativ'!$P$6:$P$405,1,'Istoric_Nativ'!$D$6:$D$405,"&gt;="&amp;L165),COUNTIFS('Istoric_Nativ'!$B$6:$B$405,E165,'Istoric_Nativ'!$C$6:$C$405,F165,'Istoric_Nativ'!$E$6:$E$405,G165,'Istoric_Nativ'!$D$6:$D$405,"&lt;"&amp;J165,'Istoric_Nativ'!$P$6:$P$405,1,'Istoric_Nativ'!$D$6:$D$405,"&gt;="&amp;L165)+COUNTIFS('Istoric_Nativ'!$B$6:$B$405,E165,'Istoric_Nativ'!$C$6:$C$405,F165,'Istoric_Nativ'!$F$6:$F$405,G165,'Istoric_Nativ'!$D$6:$D$405,"&lt;"&amp;J165,'Istoric_Nativ'!$P$6:$P$405,1,'Istoric_Nativ'!$D$6:$D$405,"&gt;="&amp;L165))))</x:f>
        <x:v>0</x:v>
      </x:c>
      <x:c r="N165" s="11" t="str">
        <x:f>IF(M165=0,"",IF(H165="HOME",SUMIFS('Istoric_Nativ'!$G$6:$G$405,'Istoric_Nativ'!$B$6:$B$405,E165,'Istoric_Nativ'!$C$6:$C$405,F165,'Istoric_Nativ'!$E$6:$E$405,G165,'Istoric_Nativ'!$D$6:$D$405,"&lt;"&amp;J165,'Istoric_Nativ'!$P$6:$P$405,1,'Istoric_Nativ'!$D$6:$D$405,"&gt;="&amp;L165),IF(H165="AWAY",SUMIFS('Istoric_Nativ'!$H$6:$H$405,'Istoric_Nativ'!$B$6:$B$405,E165,'Istoric_Nativ'!$C$6:$C$405,F165,'Istoric_Nativ'!$F$6:$F$405,G165,'Istoric_Nativ'!$D$6:$D$405,"&lt;"&amp;J165,'Istoric_Nativ'!$P$6:$P$405,1,'Istoric_Nativ'!$D$6:$D$405,"&gt;="&amp;L165),SUMIFS('Istoric_Nativ'!$G$6:$G$405,'Istoric_Nativ'!$B$6:$B$405,E165,'Istoric_Nativ'!$C$6:$C$405,F165,'Istoric_Nativ'!$E$6:$E$405,G165,'Istoric_Nativ'!$D$6:$D$405,"&lt;"&amp;J165,'Istoric_Nativ'!$P$6:$P$405,1,'Istoric_Nativ'!$D$6:$D$405,"&gt;="&amp;L165)+SUMIFS('Istoric_Nativ'!$H$6:$H$405,'Istoric_Nativ'!$B$6:$B$405,E165,'Istoric_Nativ'!$C$6:$C$405,F165,'Istoric_Nativ'!$F$6:$F$405,G165,'Istoric_Nativ'!$D$6:$D$405,"&lt;"&amp;J165,'Istoric_Nativ'!$P$6:$P$405,1,'Istoric_Nativ'!$D$6:$D$405,"&gt;="&amp;L165)))/M165)</x:f>
      </x:c>
      <x:c r="O165" s="11" t="str">
        <x:f>IF(M165=0,"",IF(H165="HOME",SUMIFS('Istoric_Nativ'!$H$6:$H$405,'Istoric_Nativ'!$B$6:$B$405,E165,'Istoric_Nativ'!$C$6:$C$405,F165,'Istoric_Nativ'!$E$6:$E$405,G165,'Istoric_Nativ'!$D$6:$D$405,"&lt;"&amp;J165,'Istoric_Nativ'!$P$6:$P$405,1,'Istoric_Nativ'!$D$6:$D$405,"&gt;="&amp;L165),IF(H165="AWAY",SUMIFS('Istoric_Nativ'!$G$6:$G$405,'Istoric_Nativ'!$B$6:$B$405,E165,'Istoric_Nativ'!$C$6:$C$405,F165,'Istoric_Nativ'!$F$6:$F$405,G165,'Istoric_Nativ'!$D$6:$D$405,"&lt;"&amp;J165,'Istoric_Nativ'!$P$6:$P$405,1,'Istoric_Nativ'!$D$6:$D$405,"&gt;="&amp;L165),SUMIFS('Istoric_Nativ'!$H$6:$H$405,'Istoric_Nativ'!$B$6:$B$405,E165,'Istoric_Nativ'!$C$6:$C$405,F165,'Istoric_Nativ'!$E$6:$E$405,G165,'Istoric_Nativ'!$D$6:$D$405,"&lt;"&amp;J165,'Istoric_Nativ'!$P$6:$P$405,1,'Istoric_Nativ'!$D$6:$D$405,"&gt;="&amp;L165)+SUMIFS('Istoric_Nativ'!$G$6:$G$405,'Istoric_Nativ'!$B$6:$B$405,E165,'Istoric_Nativ'!$C$6:$C$405,F165,'Istoric_Nativ'!$F$6:$F$405,G165,'Istoric_Nativ'!$D$6:$D$405,"&lt;"&amp;J165,'Istoric_Nativ'!$P$6:$P$405,1,'Istoric_Nativ'!$D$6:$D$405,"&gt;="&amp;L165)))/M165)</x:f>
      </x:c>
      <x:c r="P165" s="2" t="n">
        <x:f>'Config_v6'!$B$7</x:f>
        <x:v>10</x:v>
      </x:c>
      <x:c r="Q165" s="2" t="n">
        <x:f>IF(OR(B165="",F165=""),0,IFERROR(MATCH(E165&amp;"|"&amp;F165,SourceTable[Source_Key],0),0))</x:f>
        <x:v>0</x:v>
      </x:c>
      <x:c r="R165" s="2" t="str">
        <x:f>IF(B165="","",IF(F165="","UNUSED",IF(Q165=0,"NOT CHECKED",IF(COUNTIF(SourceTable[Source_Key],E165&amp;"|"&amp;F165)&lt;&gt;1,"SOURCE CONFLICT",IF(NOT(OR(INDEX(SourceTable[Status],MAX(1,Q165))="IMPORTED",INDEX(SourceTable[Status],MAX(1,Q165))="PARTIAL",INDEX(SourceTable[Status],MAX(1,Q165))="SOURCE CONFLICT")),"ACCESS BLOCKED",IF(OR(INDEX(SourceTable[Coverage],Q165)&lt;&gt;"FULL SEASON EXPORT",INDEX(SourceTable[URL],Q165)="",INDEX(SourceTable[SHA256],Q165)=""),"EVIDENCE INCOMPLETE",IF(AND('Input_Meci'!H19="LIVE",INDEX(SourceTable[Retrieved_UTC],Q165)&gt;'Input_Meci'!G19),"POST CUTOFF","CLOSED")))))))</x:f>
      </x:c>
      <x:c r="S165" s="2" t="n">
        <x:f>IF(OR(B165="",F165=""),0,COUNTIFS('Istoric_Nativ'!$B$6:$B$405,E165,'Istoric_Nativ'!$C$6:$C$405,F165,'Istoric_Nativ'!$E$6:$E$405,G165,'Istoric_Nativ'!$D$6:$D$405,"&lt;"&amp;J165,'Istoric_Nativ'!$O$6:$O$405,"INVALID")+COUNTIFS('Istoric_Nativ'!$B$6:$B$405,E165,'Istoric_Nativ'!$C$6:$C$405,F165,'Istoric_Nativ'!$E$6:$E$405,G165,'Istoric_Nativ'!$O$6:$O$405,"INVALID",'Istoric_Nativ'!$D$6:$D$405,"*")+COUNTIFS('Istoric_Nativ'!$B$6:$B$405,E165,'Istoric_Nativ'!$C$6:$C$405,F165,'Istoric_Nativ'!$E$6:$E$405,G165,'Istoric_Nativ'!$D$6:$D$405,"&lt;"&amp;J165,'Istoric_Nativ'!$O$6:$O$405,"SOURCE CONFLICT")+COUNTIFS('Istoric_Nativ'!$B$6:$B$405,E165,'Istoric_Nativ'!$C$6:$C$405,F165,'Istoric_Nativ'!$F$6:$F$405,G165,'Istoric_Nativ'!$D$6:$D$405,"&lt;"&amp;J165,'Istoric_Nativ'!$O$6:$O$405,"INVALID")+COUNTIFS('Istoric_Nativ'!$B$6:$B$405,E165,'Istoric_Nativ'!$C$6:$C$405,F165,'Istoric_Nativ'!$F$6:$F$405,G165,'Istoric_Nativ'!$O$6:$O$405,"INVALID",'Istoric_Nativ'!$D$6:$D$405,"*")+COUNTIFS('Istoric_Nativ'!$B$6:$B$405,E165,'Istoric_Nativ'!$C$6:$C$405,F165,'Istoric_Nativ'!$F$6:$F$405,G165,'Istoric_Nativ'!$D$6:$D$405,"&lt;"&amp;J165,'Istoric_Nativ'!$O$6:$O$405,"SOURCE CONFLICT"))</x:f>
        <x:v>0</x:v>
      </x:c>
      <x:c r="T165" s="2" t="str">
        <x:f>IF(B165="","",IF(R165&lt;&gt;"CLOSED",R165,IF(S165&gt;0,"NATIVE INPUT ISSUE",IF(M165=0,"NO HISTORY",IF(M165&lt;P165,"SMALL SAMPLE","DERIVED")))))</x:f>
      </x:c>
      <x:c r="U165" s="2" t="str">
        <x:f>IF(B165="","","NativeTable; "&amp;E165&amp;"; "&amp;F165&amp;"; "&amp;G165&amp;"; "&amp;H165&amp;"; before "&amp;TEXT(J165,"yyyy-mm-dd")&amp;IF(I165="RECENT","; from "&amp;TEXT(L165,"yyyy-mm-dd"),""))</x:f>
      </x:c>
    </x:row>
    <x:row r="166" ht="21" customHeight="1">
      <x:c r="A166" s="2" t="n">
        <x:v>14</x:v>
      </x:c>
      <x:c r="B166" s="2" t="str">
        <x:f>IF('Input_Meci'!A19="","",'Input_Meci'!A19)</x:f>
      </x:c>
      <x:c r="C166" s="2" t="str">
        <x:v>A</x:v>
      </x:c>
      <x:c r="D166" s="2" t="str">
        <x:v>CURRENT</x:v>
      </x:c>
      <x:c r="E166" s="2" t="str">
        <x:f>IF(B166="","",'Input_Meci'!B19)</x:f>
      </x:c>
      <x:c r="F166" s="2" t="str">
        <x:f>IF(B166="","",IF('Input_Meci'!C19="","",'Input_Meci'!C19))</x:f>
      </x:c>
      <x:c r="G166" s="2" t="str">
        <x:f>IF(B166="","",'Input_Meci'!E19)</x:f>
      </x:c>
      <x:c r="H166" s="2" t="str">
        <x:v>AWAY</x:v>
      </x:c>
      <x:c r="I166" s="2" t="str">
        <x:v>HA</x:v>
      </x:c>
      <x:c r="J166" s="9" t="n">
        <x:f>IF(AND(B166&lt;&gt;"",ISNUMBER('Input_Meci'!G19)),INT('Input_Meci'!G19),0)</x:f>
        <x:v>0</x:v>
      </x:c>
      <x:c r="K166" s="2" t="n">
        <x:f>IF(OR(B166="",F166=""),0,IF(H166="HOME",COUNTIFS('Istoric_Nativ'!$B$6:$B$405,E166,'Istoric_Nativ'!$C$6:$C$405,F166,'Istoric_Nativ'!$E$6:$E$405,G166,'Istoric_Nativ'!$D$6:$D$405,"&lt;"&amp;J166,'Istoric_Nativ'!$P$6:$P$405,1),IF(H166="AWAY",COUNTIFS('Istoric_Nativ'!$B$6:$B$405,E166,'Istoric_Nativ'!$C$6:$C$405,F166,'Istoric_Nativ'!$F$6:$F$405,G166,'Istoric_Nativ'!$D$6:$D$405,"&lt;"&amp;J166,'Istoric_Nativ'!$P$6:$P$405,1),COUNTIFS('Istoric_Nativ'!$B$6:$B$405,E166,'Istoric_Nativ'!$C$6:$C$405,F166,'Istoric_Nativ'!$E$6:$E$405,G166,'Istoric_Nativ'!$D$6:$D$405,"&lt;"&amp;J166,'Istoric_Nativ'!$P$6:$P$405,1)+COUNTIFS('Istoric_Nativ'!$B$6:$B$405,E166,'Istoric_Nativ'!$C$6:$C$405,F166,'Istoric_Nativ'!$F$6:$F$405,G166,'Istoric_Nativ'!$D$6:$D$405,"&lt;"&amp;J166,'Istoric_Nativ'!$P$6:$P$405,1))))</x:f>
        <x:v>0</x:v>
      </x:c>
      <x:c r="L166" s="17" t="n">
        <x:f>IF(AND(B166&lt;&gt;"",I166="RECENT",K166&gt;0),LARGE(_xlfn._xlws.FILTER('Istoric_Nativ'!$D$6:$D$405,('Istoric_Nativ'!$B$6:$B$405=E166)*('Istoric_Nativ'!$C$6:$C$405=F166)*('Istoric_Nativ'!$P$6:$P$405=1)*('Istoric_Nativ'!$D$6:$D$405&lt;J166)*((('Istoric_Nativ'!$E$6:$E$405=G166)+('Istoric_Nativ'!$F$6:$F$405=G166))&gt;0)),MIN('Config_v6'!$B$54,K166)),0)</x:f>
        <x:v>0</x:v>
      </x:c>
      <x:c r="M166" s="2" t="n">
        <x:f>IF(OR(B166="",F166=""),0,IF(H166="HOME",COUNTIFS('Istoric_Nativ'!$B$6:$B$405,E166,'Istoric_Nativ'!$C$6:$C$405,F166,'Istoric_Nativ'!$E$6:$E$405,G166,'Istoric_Nativ'!$D$6:$D$405,"&lt;"&amp;J166,'Istoric_Nativ'!$P$6:$P$405,1,'Istoric_Nativ'!$D$6:$D$405,"&gt;="&amp;L166),IF(H166="AWAY",COUNTIFS('Istoric_Nativ'!$B$6:$B$405,E166,'Istoric_Nativ'!$C$6:$C$405,F166,'Istoric_Nativ'!$F$6:$F$405,G166,'Istoric_Nativ'!$D$6:$D$405,"&lt;"&amp;J166,'Istoric_Nativ'!$P$6:$P$405,1,'Istoric_Nativ'!$D$6:$D$405,"&gt;="&amp;L166),COUNTIFS('Istoric_Nativ'!$B$6:$B$405,E166,'Istoric_Nativ'!$C$6:$C$405,F166,'Istoric_Nativ'!$E$6:$E$405,G166,'Istoric_Nativ'!$D$6:$D$405,"&lt;"&amp;J166,'Istoric_Nativ'!$P$6:$P$405,1,'Istoric_Nativ'!$D$6:$D$405,"&gt;="&amp;L166)+COUNTIFS('Istoric_Nativ'!$B$6:$B$405,E166,'Istoric_Nativ'!$C$6:$C$405,F166,'Istoric_Nativ'!$F$6:$F$405,G166,'Istoric_Nativ'!$D$6:$D$405,"&lt;"&amp;J166,'Istoric_Nativ'!$P$6:$P$405,1,'Istoric_Nativ'!$D$6:$D$405,"&gt;="&amp;L166))))</x:f>
        <x:v>0</x:v>
      </x:c>
      <x:c r="N166" s="11" t="str">
        <x:f>IF(M166=0,"",IF(H166="HOME",SUMIFS('Istoric_Nativ'!$G$6:$G$405,'Istoric_Nativ'!$B$6:$B$405,E166,'Istoric_Nativ'!$C$6:$C$405,F166,'Istoric_Nativ'!$E$6:$E$405,G166,'Istoric_Nativ'!$D$6:$D$405,"&lt;"&amp;J166,'Istoric_Nativ'!$P$6:$P$405,1,'Istoric_Nativ'!$D$6:$D$405,"&gt;="&amp;L166),IF(H166="AWAY",SUMIFS('Istoric_Nativ'!$H$6:$H$405,'Istoric_Nativ'!$B$6:$B$405,E166,'Istoric_Nativ'!$C$6:$C$405,F166,'Istoric_Nativ'!$F$6:$F$405,G166,'Istoric_Nativ'!$D$6:$D$405,"&lt;"&amp;J166,'Istoric_Nativ'!$P$6:$P$405,1,'Istoric_Nativ'!$D$6:$D$405,"&gt;="&amp;L166),SUMIFS('Istoric_Nativ'!$G$6:$G$405,'Istoric_Nativ'!$B$6:$B$405,E166,'Istoric_Nativ'!$C$6:$C$405,F166,'Istoric_Nativ'!$E$6:$E$405,G166,'Istoric_Nativ'!$D$6:$D$405,"&lt;"&amp;J166,'Istoric_Nativ'!$P$6:$P$405,1,'Istoric_Nativ'!$D$6:$D$405,"&gt;="&amp;L166)+SUMIFS('Istoric_Nativ'!$H$6:$H$405,'Istoric_Nativ'!$B$6:$B$405,E166,'Istoric_Nativ'!$C$6:$C$405,F166,'Istoric_Nativ'!$F$6:$F$405,G166,'Istoric_Nativ'!$D$6:$D$405,"&lt;"&amp;J166,'Istoric_Nativ'!$P$6:$P$405,1,'Istoric_Nativ'!$D$6:$D$405,"&gt;="&amp;L166)))/M166)</x:f>
      </x:c>
      <x:c r="O166" s="11" t="str">
        <x:f>IF(M166=0,"",IF(H166="HOME",SUMIFS('Istoric_Nativ'!$H$6:$H$405,'Istoric_Nativ'!$B$6:$B$405,E166,'Istoric_Nativ'!$C$6:$C$405,F166,'Istoric_Nativ'!$E$6:$E$405,G166,'Istoric_Nativ'!$D$6:$D$405,"&lt;"&amp;J166,'Istoric_Nativ'!$P$6:$P$405,1,'Istoric_Nativ'!$D$6:$D$405,"&gt;="&amp;L166),IF(H166="AWAY",SUMIFS('Istoric_Nativ'!$G$6:$G$405,'Istoric_Nativ'!$B$6:$B$405,E166,'Istoric_Nativ'!$C$6:$C$405,F166,'Istoric_Nativ'!$F$6:$F$405,G166,'Istoric_Nativ'!$D$6:$D$405,"&lt;"&amp;J166,'Istoric_Nativ'!$P$6:$P$405,1,'Istoric_Nativ'!$D$6:$D$405,"&gt;="&amp;L166),SUMIFS('Istoric_Nativ'!$H$6:$H$405,'Istoric_Nativ'!$B$6:$B$405,E166,'Istoric_Nativ'!$C$6:$C$405,F166,'Istoric_Nativ'!$E$6:$E$405,G166,'Istoric_Nativ'!$D$6:$D$405,"&lt;"&amp;J166,'Istoric_Nativ'!$P$6:$P$405,1,'Istoric_Nativ'!$D$6:$D$405,"&gt;="&amp;L166)+SUMIFS('Istoric_Nativ'!$G$6:$G$405,'Istoric_Nativ'!$B$6:$B$405,E166,'Istoric_Nativ'!$C$6:$C$405,F166,'Istoric_Nativ'!$F$6:$F$405,G166,'Istoric_Nativ'!$D$6:$D$405,"&lt;"&amp;J166,'Istoric_Nativ'!$P$6:$P$405,1,'Istoric_Nativ'!$D$6:$D$405,"&gt;="&amp;L166)))/M166)</x:f>
      </x:c>
      <x:c r="P166" s="2" t="n">
        <x:f>'Config_v6'!$B$8</x:f>
        <x:v>5</x:v>
      </x:c>
      <x:c r="Q166" s="2" t="n">
        <x:f>IF(OR(B166="",F166=""),0,IFERROR(MATCH(E166&amp;"|"&amp;F166,SourceTable[Source_Key],0),0))</x:f>
        <x:v>0</x:v>
      </x:c>
      <x:c r="R166" s="2" t="str">
        <x:f>IF(B166="","",IF(F166="","UNUSED",IF(Q166=0,"NOT CHECKED",IF(COUNTIF(SourceTable[Source_Key],E166&amp;"|"&amp;F166)&lt;&gt;1,"SOURCE CONFLICT",IF(NOT(OR(INDEX(SourceTable[Status],MAX(1,Q166))="IMPORTED",INDEX(SourceTable[Status],MAX(1,Q166))="PARTIAL",INDEX(SourceTable[Status],MAX(1,Q166))="SOURCE CONFLICT")),"ACCESS BLOCKED",IF(OR(INDEX(SourceTable[Coverage],Q166)&lt;&gt;"FULL SEASON EXPORT",INDEX(SourceTable[URL],Q166)="",INDEX(SourceTable[SHA256],Q166)=""),"EVIDENCE INCOMPLETE",IF(AND('Input_Meci'!H19="LIVE",INDEX(SourceTable[Retrieved_UTC],Q166)&gt;'Input_Meci'!G19),"POST CUTOFF","CLOSED")))))))</x:f>
      </x:c>
      <x:c r="S166" s="2" t="n">
        <x:f>IF(OR(B166="",F166=""),0,COUNTIFS('Istoric_Nativ'!$B$6:$B$405,E166,'Istoric_Nativ'!$C$6:$C$405,F166,'Istoric_Nativ'!$E$6:$E$405,G166,'Istoric_Nativ'!$D$6:$D$405,"&lt;"&amp;J166,'Istoric_Nativ'!$O$6:$O$405,"INVALID")+COUNTIFS('Istoric_Nativ'!$B$6:$B$405,E166,'Istoric_Nativ'!$C$6:$C$405,F166,'Istoric_Nativ'!$E$6:$E$405,G166,'Istoric_Nativ'!$O$6:$O$405,"INVALID",'Istoric_Nativ'!$D$6:$D$405,"*")+COUNTIFS('Istoric_Nativ'!$B$6:$B$405,E166,'Istoric_Nativ'!$C$6:$C$405,F166,'Istoric_Nativ'!$E$6:$E$405,G166,'Istoric_Nativ'!$D$6:$D$405,"&lt;"&amp;J166,'Istoric_Nativ'!$O$6:$O$405,"SOURCE CONFLICT")+COUNTIFS('Istoric_Nativ'!$B$6:$B$405,E166,'Istoric_Nativ'!$C$6:$C$405,F166,'Istoric_Nativ'!$F$6:$F$405,G166,'Istoric_Nativ'!$D$6:$D$405,"&lt;"&amp;J166,'Istoric_Nativ'!$O$6:$O$405,"INVALID")+COUNTIFS('Istoric_Nativ'!$B$6:$B$405,E166,'Istoric_Nativ'!$C$6:$C$405,F166,'Istoric_Nativ'!$F$6:$F$405,G166,'Istoric_Nativ'!$O$6:$O$405,"INVALID",'Istoric_Nativ'!$D$6:$D$405,"*")+COUNTIFS('Istoric_Nativ'!$B$6:$B$405,E166,'Istoric_Nativ'!$C$6:$C$405,F166,'Istoric_Nativ'!$F$6:$F$405,G166,'Istoric_Nativ'!$D$6:$D$405,"&lt;"&amp;J166,'Istoric_Nativ'!$O$6:$O$405,"SOURCE CONFLICT"))</x:f>
        <x:v>0</x:v>
      </x:c>
      <x:c r="T166" s="2" t="str">
        <x:f>IF(B166="","",IF(R166&lt;&gt;"CLOSED",R166,IF(S166&gt;0,"NATIVE INPUT ISSUE",IF(M166=0,"NO HISTORY",IF(M166&lt;P166,"SMALL SAMPLE","DERIVED")))))</x:f>
      </x:c>
      <x:c r="U166" s="2" t="str">
        <x:f>IF(B166="","","NativeTable; "&amp;E166&amp;"; "&amp;F166&amp;"; "&amp;G166&amp;"; "&amp;H166&amp;"; before "&amp;TEXT(J166,"yyyy-mm-dd")&amp;IF(I166="RECENT","; from "&amp;TEXT(L166,"yyyy-mm-dd"),""))</x:f>
      </x:c>
    </x:row>
    <x:row r="167" ht="21" customHeight="1">
      <x:c r="A167" s="2" t="n">
        <x:v>14</x:v>
      </x:c>
      <x:c r="B167" s="2" t="str">
        <x:f>IF('Input_Meci'!A19="","",'Input_Meci'!A19)</x:f>
      </x:c>
      <x:c r="C167" s="2" t="str">
        <x:v>A</x:v>
      </x:c>
      <x:c r="D167" s="2" t="str">
        <x:v>CURRENT</x:v>
      </x:c>
      <x:c r="E167" s="2" t="str">
        <x:f>IF(B167="","",'Input_Meci'!B19)</x:f>
      </x:c>
      <x:c r="F167" s="2" t="str">
        <x:f>IF(B167="","",IF('Input_Meci'!C19="","",'Input_Meci'!C19))</x:f>
      </x:c>
      <x:c r="G167" s="2" t="str">
        <x:f>IF(B167="","",'Input_Meci'!E19)</x:f>
      </x:c>
      <x:c r="H167" s="2" t="str">
        <x:v>ANY</x:v>
      </x:c>
      <x:c r="I167" s="2" t="str">
        <x:v>RECENT</x:v>
      </x:c>
      <x:c r="J167" s="9" t="n">
        <x:f>IF(AND(B167&lt;&gt;"",ISNUMBER('Input_Meci'!G19)),INT('Input_Meci'!G19),0)</x:f>
        <x:v>0</x:v>
      </x:c>
      <x:c r="K167" s="2" t="n">
        <x:f>IF(OR(B167="",F167=""),0,IF(H167="HOME",COUNTIFS('Istoric_Nativ'!$B$6:$B$405,E167,'Istoric_Nativ'!$C$6:$C$405,F167,'Istoric_Nativ'!$E$6:$E$405,G167,'Istoric_Nativ'!$D$6:$D$405,"&lt;"&amp;J167,'Istoric_Nativ'!$P$6:$P$405,1),IF(H167="AWAY",COUNTIFS('Istoric_Nativ'!$B$6:$B$405,E167,'Istoric_Nativ'!$C$6:$C$405,F167,'Istoric_Nativ'!$F$6:$F$405,G167,'Istoric_Nativ'!$D$6:$D$405,"&lt;"&amp;J167,'Istoric_Nativ'!$P$6:$P$405,1),COUNTIFS('Istoric_Nativ'!$B$6:$B$405,E167,'Istoric_Nativ'!$C$6:$C$405,F167,'Istoric_Nativ'!$E$6:$E$405,G167,'Istoric_Nativ'!$D$6:$D$405,"&lt;"&amp;J167,'Istoric_Nativ'!$P$6:$P$405,1)+COUNTIFS('Istoric_Nativ'!$B$6:$B$405,E167,'Istoric_Nativ'!$C$6:$C$405,F167,'Istoric_Nativ'!$F$6:$F$405,G167,'Istoric_Nativ'!$D$6:$D$405,"&lt;"&amp;J167,'Istoric_Nativ'!$P$6:$P$405,1))))</x:f>
        <x:v>0</x:v>
      </x:c>
      <x:c r="L167" s="17" t="n">
        <x:f>IF(AND(B167&lt;&gt;"",I167="RECENT",K167&gt;0),LARGE(_xlfn._xlws.FILTER('Istoric_Nativ'!$D$6:$D$405,('Istoric_Nativ'!$B$6:$B$405=E167)*('Istoric_Nativ'!$C$6:$C$405=F167)*('Istoric_Nativ'!$P$6:$P$405=1)*('Istoric_Nativ'!$D$6:$D$405&lt;J167)*((('Istoric_Nativ'!$E$6:$E$405=G167)+('Istoric_Nativ'!$F$6:$F$405=G167))&gt;0)),MIN('Config_v6'!$B$54,K167)),0)</x:f>
        <x:v>0</x:v>
      </x:c>
      <x:c r="M167" s="2" t="n">
        <x:f>IF(OR(B167="",F167=""),0,IF(H167="HOME",COUNTIFS('Istoric_Nativ'!$B$6:$B$405,E167,'Istoric_Nativ'!$C$6:$C$405,F167,'Istoric_Nativ'!$E$6:$E$405,G167,'Istoric_Nativ'!$D$6:$D$405,"&lt;"&amp;J167,'Istoric_Nativ'!$P$6:$P$405,1,'Istoric_Nativ'!$D$6:$D$405,"&gt;="&amp;L167),IF(H167="AWAY",COUNTIFS('Istoric_Nativ'!$B$6:$B$405,E167,'Istoric_Nativ'!$C$6:$C$405,F167,'Istoric_Nativ'!$F$6:$F$405,G167,'Istoric_Nativ'!$D$6:$D$405,"&lt;"&amp;J167,'Istoric_Nativ'!$P$6:$P$405,1,'Istoric_Nativ'!$D$6:$D$405,"&gt;="&amp;L167),COUNTIFS('Istoric_Nativ'!$B$6:$B$405,E167,'Istoric_Nativ'!$C$6:$C$405,F167,'Istoric_Nativ'!$E$6:$E$405,G167,'Istoric_Nativ'!$D$6:$D$405,"&lt;"&amp;J167,'Istoric_Nativ'!$P$6:$P$405,1,'Istoric_Nativ'!$D$6:$D$405,"&gt;="&amp;L167)+COUNTIFS('Istoric_Nativ'!$B$6:$B$405,E167,'Istoric_Nativ'!$C$6:$C$405,F167,'Istoric_Nativ'!$F$6:$F$405,G167,'Istoric_Nativ'!$D$6:$D$405,"&lt;"&amp;J167,'Istoric_Nativ'!$P$6:$P$405,1,'Istoric_Nativ'!$D$6:$D$405,"&gt;="&amp;L167))))</x:f>
        <x:v>0</x:v>
      </x:c>
      <x:c r="N167" s="11" t="str">
        <x:f>IF(M167=0,"",IF(H167="HOME",SUMIFS('Istoric_Nativ'!$G$6:$G$405,'Istoric_Nativ'!$B$6:$B$405,E167,'Istoric_Nativ'!$C$6:$C$405,F167,'Istoric_Nativ'!$E$6:$E$405,G167,'Istoric_Nativ'!$D$6:$D$405,"&lt;"&amp;J167,'Istoric_Nativ'!$P$6:$P$405,1,'Istoric_Nativ'!$D$6:$D$405,"&gt;="&amp;L167),IF(H167="AWAY",SUMIFS('Istoric_Nativ'!$H$6:$H$405,'Istoric_Nativ'!$B$6:$B$405,E167,'Istoric_Nativ'!$C$6:$C$405,F167,'Istoric_Nativ'!$F$6:$F$405,G167,'Istoric_Nativ'!$D$6:$D$405,"&lt;"&amp;J167,'Istoric_Nativ'!$P$6:$P$405,1,'Istoric_Nativ'!$D$6:$D$405,"&gt;="&amp;L167),SUMIFS('Istoric_Nativ'!$G$6:$G$405,'Istoric_Nativ'!$B$6:$B$405,E167,'Istoric_Nativ'!$C$6:$C$405,F167,'Istoric_Nativ'!$E$6:$E$405,G167,'Istoric_Nativ'!$D$6:$D$405,"&lt;"&amp;J167,'Istoric_Nativ'!$P$6:$P$405,1,'Istoric_Nativ'!$D$6:$D$405,"&gt;="&amp;L167)+SUMIFS('Istoric_Nativ'!$H$6:$H$405,'Istoric_Nativ'!$B$6:$B$405,E167,'Istoric_Nativ'!$C$6:$C$405,F167,'Istoric_Nativ'!$F$6:$F$405,G167,'Istoric_Nativ'!$D$6:$D$405,"&lt;"&amp;J167,'Istoric_Nativ'!$P$6:$P$405,1,'Istoric_Nativ'!$D$6:$D$405,"&gt;="&amp;L167)))/M167)</x:f>
      </x:c>
      <x:c r="O167" s="11" t="str">
        <x:f>IF(M167=0,"",IF(H167="HOME",SUMIFS('Istoric_Nativ'!$H$6:$H$405,'Istoric_Nativ'!$B$6:$B$405,E167,'Istoric_Nativ'!$C$6:$C$405,F167,'Istoric_Nativ'!$E$6:$E$405,G167,'Istoric_Nativ'!$D$6:$D$405,"&lt;"&amp;J167,'Istoric_Nativ'!$P$6:$P$405,1,'Istoric_Nativ'!$D$6:$D$405,"&gt;="&amp;L167),IF(H167="AWAY",SUMIFS('Istoric_Nativ'!$G$6:$G$405,'Istoric_Nativ'!$B$6:$B$405,E167,'Istoric_Nativ'!$C$6:$C$405,F167,'Istoric_Nativ'!$F$6:$F$405,G167,'Istoric_Nativ'!$D$6:$D$405,"&lt;"&amp;J167,'Istoric_Nativ'!$P$6:$P$405,1,'Istoric_Nativ'!$D$6:$D$405,"&gt;="&amp;L167),SUMIFS('Istoric_Nativ'!$H$6:$H$405,'Istoric_Nativ'!$B$6:$B$405,E167,'Istoric_Nativ'!$C$6:$C$405,F167,'Istoric_Nativ'!$E$6:$E$405,G167,'Istoric_Nativ'!$D$6:$D$405,"&lt;"&amp;J167,'Istoric_Nativ'!$P$6:$P$405,1,'Istoric_Nativ'!$D$6:$D$405,"&gt;="&amp;L167)+SUMIFS('Istoric_Nativ'!$G$6:$G$405,'Istoric_Nativ'!$B$6:$B$405,E167,'Istoric_Nativ'!$C$6:$C$405,F167,'Istoric_Nativ'!$F$6:$F$405,G167,'Istoric_Nativ'!$D$6:$D$405,"&lt;"&amp;J167,'Istoric_Nativ'!$P$6:$P$405,1,'Istoric_Nativ'!$D$6:$D$405,"&gt;="&amp;L167)))/M167)</x:f>
      </x:c>
      <x:c r="P167" s="2" t="n">
        <x:f>'Config_v6'!$B$9</x:f>
        <x:v>3</x:v>
      </x:c>
      <x:c r="Q167" s="2" t="n">
        <x:f>IF(OR(B167="",F167=""),0,IFERROR(MATCH(E167&amp;"|"&amp;F167,SourceTable[Source_Key],0),0))</x:f>
        <x:v>0</x:v>
      </x:c>
      <x:c r="R167" s="2" t="str">
        <x:f>IF(B167="","",IF(F167="","UNUSED",IF(Q167=0,"NOT CHECKED",IF(COUNTIF(SourceTable[Source_Key],E167&amp;"|"&amp;F167)&lt;&gt;1,"SOURCE CONFLICT",IF(NOT(OR(INDEX(SourceTable[Status],MAX(1,Q167))="IMPORTED",INDEX(SourceTable[Status],MAX(1,Q167))="PARTIAL",INDEX(SourceTable[Status],MAX(1,Q167))="SOURCE CONFLICT")),"ACCESS BLOCKED",IF(OR(INDEX(SourceTable[Coverage],Q167)&lt;&gt;"FULL SEASON EXPORT",INDEX(SourceTable[URL],Q167)="",INDEX(SourceTable[SHA256],Q167)=""),"EVIDENCE INCOMPLETE",IF(AND('Input_Meci'!H19="LIVE",INDEX(SourceTable[Retrieved_UTC],Q167)&gt;'Input_Meci'!G19),"POST CUTOFF","CLOSED")))))))</x:f>
      </x:c>
      <x:c r="S167" s="2" t="n">
        <x:f>IF(OR(B167="",F167=""),0,COUNTIFS('Istoric_Nativ'!$B$6:$B$405,E167,'Istoric_Nativ'!$C$6:$C$405,F167,'Istoric_Nativ'!$E$6:$E$405,G167,'Istoric_Nativ'!$D$6:$D$405,"&lt;"&amp;J167,'Istoric_Nativ'!$O$6:$O$405,"INVALID")+COUNTIFS('Istoric_Nativ'!$B$6:$B$405,E167,'Istoric_Nativ'!$C$6:$C$405,F167,'Istoric_Nativ'!$E$6:$E$405,G167,'Istoric_Nativ'!$O$6:$O$405,"INVALID",'Istoric_Nativ'!$D$6:$D$405,"*")+COUNTIFS('Istoric_Nativ'!$B$6:$B$405,E167,'Istoric_Nativ'!$C$6:$C$405,F167,'Istoric_Nativ'!$E$6:$E$405,G167,'Istoric_Nativ'!$D$6:$D$405,"&lt;"&amp;J167,'Istoric_Nativ'!$O$6:$O$405,"SOURCE CONFLICT")+COUNTIFS('Istoric_Nativ'!$B$6:$B$405,E167,'Istoric_Nativ'!$C$6:$C$405,F167,'Istoric_Nativ'!$F$6:$F$405,G167,'Istoric_Nativ'!$D$6:$D$405,"&lt;"&amp;J167,'Istoric_Nativ'!$O$6:$O$405,"INVALID")+COUNTIFS('Istoric_Nativ'!$B$6:$B$405,E167,'Istoric_Nativ'!$C$6:$C$405,F167,'Istoric_Nativ'!$F$6:$F$405,G167,'Istoric_Nativ'!$O$6:$O$405,"INVALID",'Istoric_Nativ'!$D$6:$D$405,"*")+COUNTIFS('Istoric_Nativ'!$B$6:$B$405,E167,'Istoric_Nativ'!$C$6:$C$405,F167,'Istoric_Nativ'!$F$6:$F$405,G167,'Istoric_Nativ'!$D$6:$D$405,"&lt;"&amp;J167,'Istoric_Nativ'!$O$6:$O$405,"SOURCE CONFLICT"))</x:f>
        <x:v>0</x:v>
      </x:c>
      <x:c r="T167" s="2" t="str">
        <x:f>IF(B167="","",IF(R167&lt;&gt;"CLOSED",R167,IF(S167&gt;0,"NATIVE INPUT ISSUE",IF(M167=0,"NO HISTORY",IF(M167&lt;P167,"SMALL SAMPLE","DERIVED")))))</x:f>
      </x:c>
      <x:c r="U167" s="2" t="str">
        <x:f>IF(B167="","","NativeTable; "&amp;E167&amp;"; "&amp;F167&amp;"; "&amp;G167&amp;"; "&amp;H167&amp;"; before "&amp;TEXT(J167,"yyyy-mm-dd")&amp;IF(I167="RECENT","; from "&amp;TEXT(L167,"yyyy-mm-dd"),""))</x:f>
      </x:c>
    </x:row>
    <x:row r="168" ht="21" customHeight="1">
      <x:c r="A168" s="2" t="n">
        <x:v>14</x:v>
      </x:c>
      <x:c r="B168" s="2" t="str">
        <x:f>IF('Input_Meci'!A19="","",'Input_Meci'!A19)</x:f>
      </x:c>
      <x:c r="C168" s="2" t="str">
        <x:v>H</x:v>
      </x:c>
      <x:c r="D168" s="2" t="str">
        <x:v>PRIOR</x:v>
      </x:c>
      <x:c r="E168" s="2" t="str">
        <x:f>IF(B168="","",'Input_Meci'!B19)</x:f>
      </x:c>
      <x:c r="F168" s="2" t="str">
        <x:f>IF(B168="","",IF('Input_Meci'!K19="","",'Input_Meci'!K19))</x:f>
      </x:c>
      <x:c r="G168" s="2" t="str">
        <x:f>IF(B168="","",'Input_Meci'!D19)</x:f>
      </x:c>
      <x:c r="H168" s="2" t="str">
        <x:v>ANY</x:v>
      </x:c>
      <x:c r="I168" s="2" t="str">
        <x:v>SEASON</x:v>
      </x:c>
      <x:c r="J168" s="9" t="n">
        <x:f>IF(AND(B168&lt;&gt;"",ISNUMBER('Input_Meci'!G19)),INT('Input_Meci'!G19),0)</x:f>
        <x:v>0</x:v>
      </x:c>
      <x:c r="K168" s="2" t="n">
        <x:f>IF(OR(B168="",F168=""),0,IF(H168="HOME",COUNTIFS('Istoric_Nativ'!$B$6:$B$405,E168,'Istoric_Nativ'!$C$6:$C$405,F168,'Istoric_Nativ'!$E$6:$E$405,G168,'Istoric_Nativ'!$D$6:$D$405,"&lt;"&amp;J168,'Istoric_Nativ'!$P$6:$P$405,1),IF(H168="AWAY",COUNTIFS('Istoric_Nativ'!$B$6:$B$405,E168,'Istoric_Nativ'!$C$6:$C$405,F168,'Istoric_Nativ'!$F$6:$F$405,G168,'Istoric_Nativ'!$D$6:$D$405,"&lt;"&amp;J168,'Istoric_Nativ'!$P$6:$P$405,1),COUNTIFS('Istoric_Nativ'!$B$6:$B$405,E168,'Istoric_Nativ'!$C$6:$C$405,F168,'Istoric_Nativ'!$E$6:$E$405,G168,'Istoric_Nativ'!$D$6:$D$405,"&lt;"&amp;J168,'Istoric_Nativ'!$P$6:$P$405,1)+COUNTIFS('Istoric_Nativ'!$B$6:$B$405,E168,'Istoric_Nativ'!$C$6:$C$405,F168,'Istoric_Nativ'!$F$6:$F$405,G168,'Istoric_Nativ'!$D$6:$D$405,"&lt;"&amp;J168,'Istoric_Nativ'!$P$6:$P$405,1))))</x:f>
        <x:v>0</x:v>
      </x:c>
      <x:c r="L168" s="17" t="n">
        <x:f>IF(AND(B168&lt;&gt;"",I168="RECENT",K168&gt;0),LARGE(_xlfn._xlws.FILTER('Istoric_Nativ'!$D$6:$D$405,('Istoric_Nativ'!$B$6:$B$405=E168)*('Istoric_Nativ'!$C$6:$C$405=F168)*('Istoric_Nativ'!$P$6:$P$405=1)*('Istoric_Nativ'!$D$6:$D$405&lt;J168)*((('Istoric_Nativ'!$E$6:$E$405=G168)+('Istoric_Nativ'!$F$6:$F$405=G168))&gt;0)),MIN('Config_v6'!$B$54,K168)),0)</x:f>
        <x:v>0</x:v>
      </x:c>
      <x:c r="M168" s="2" t="n">
        <x:f>IF(OR(B168="",F168=""),0,IF(H168="HOME",COUNTIFS('Istoric_Nativ'!$B$6:$B$405,E168,'Istoric_Nativ'!$C$6:$C$405,F168,'Istoric_Nativ'!$E$6:$E$405,G168,'Istoric_Nativ'!$D$6:$D$405,"&lt;"&amp;J168,'Istoric_Nativ'!$P$6:$P$405,1,'Istoric_Nativ'!$D$6:$D$405,"&gt;="&amp;L168),IF(H168="AWAY",COUNTIFS('Istoric_Nativ'!$B$6:$B$405,E168,'Istoric_Nativ'!$C$6:$C$405,F168,'Istoric_Nativ'!$F$6:$F$405,G168,'Istoric_Nativ'!$D$6:$D$405,"&lt;"&amp;J168,'Istoric_Nativ'!$P$6:$P$405,1,'Istoric_Nativ'!$D$6:$D$405,"&gt;="&amp;L168),COUNTIFS('Istoric_Nativ'!$B$6:$B$405,E168,'Istoric_Nativ'!$C$6:$C$405,F168,'Istoric_Nativ'!$E$6:$E$405,G168,'Istoric_Nativ'!$D$6:$D$405,"&lt;"&amp;J168,'Istoric_Nativ'!$P$6:$P$405,1,'Istoric_Nativ'!$D$6:$D$405,"&gt;="&amp;L168)+COUNTIFS('Istoric_Nativ'!$B$6:$B$405,E168,'Istoric_Nativ'!$C$6:$C$405,F168,'Istoric_Nativ'!$F$6:$F$405,G168,'Istoric_Nativ'!$D$6:$D$405,"&lt;"&amp;J168,'Istoric_Nativ'!$P$6:$P$405,1,'Istoric_Nativ'!$D$6:$D$405,"&gt;="&amp;L168))))</x:f>
        <x:v>0</x:v>
      </x:c>
      <x:c r="N168" s="11" t="str">
        <x:f>IF(M168=0,"",IF(H168="HOME",SUMIFS('Istoric_Nativ'!$G$6:$G$405,'Istoric_Nativ'!$B$6:$B$405,E168,'Istoric_Nativ'!$C$6:$C$405,F168,'Istoric_Nativ'!$E$6:$E$405,G168,'Istoric_Nativ'!$D$6:$D$405,"&lt;"&amp;J168,'Istoric_Nativ'!$P$6:$P$405,1,'Istoric_Nativ'!$D$6:$D$405,"&gt;="&amp;L168),IF(H168="AWAY",SUMIFS('Istoric_Nativ'!$H$6:$H$405,'Istoric_Nativ'!$B$6:$B$405,E168,'Istoric_Nativ'!$C$6:$C$405,F168,'Istoric_Nativ'!$F$6:$F$405,G168,'Istoric_Nativ'!$D$6:$D$405,"&lt;"&amp;J168,'Istoric_Nativ'!$P$6:$P$405,1,'Istoric_Nativ'!$D$6:$D$405,"&gt;="&amp;L168),SUMIFS('Istoric_Nativ'!$G$6:$G$405,'Istoric_Nativ'!$B$6:$B$405,E168,'Istoric_Nativ'!$C$6:$C$405,F168,'Istoric_Nativ'!$E$6:$E$405,G168,'Istoric_Nativ'!$D$6:$D$405,"&lt;"&amp;J168,'Istoric_Nativ'!$P$6:$P$405,1,'Istoric_Nativ'!$D$6:$D$405,"&gt;="&amp;L168)+SUMIFS('Istoric_Nativ'!$H$6:$H$405,'Istoric_Nativ'!$B$6:$B$405,E168,'Istoric_Nativ'!$C$6:$C$405,F168,'Istoric_Nativ'!$F$6:$F$405,G168,'Istoric_Nativ'!$D$6:$D$405,"&lt;"&amp;J168,'Istoric_Nativ'!$P$6:$P$405,1,'Istoric_Nativ'!$D$6:$D$405,"&gt;="&amp;L168)))/M168)</x:f>
      </x:c>
      <x:c r="O168" s="11" t="str">
        <x:f>IF(M168=0,"",IF(H168="HOME",SUMIFS('Istoric_Nativ'!$H$6:$H$405,'Istoric_Nativ'!$B$6:$B$405,E168,'Istoric_Nativ'!$C$6:$C$405,F168,'Istoric_Nativ'!$E$6:$E$405,G168,'Istoric_Nativ'!$D$6:$D$405,"&lt;"&amp;J168,'Istoric_Nativ'!$P$6:$P$405,1,'Istoric_Nativ'!$D$6:$D$405,"&gt;="&amp;L168),IF(H168="AWAY",SUMIFS('Istoric_Nativ'!$G$6:$G$405,'Istoric_Nativ'!$B$6:$B$405,E168,'Istoric_Nativ'!$C$6:$C$405,F168,'Istoric_Nativ'!$F$6:$F$405,G168,'Istoric_Nativ'!$D$6:$D$405,"&lt;"&amp;J168,'Istoric_Nativ'!$P$6:$P$405,1,'Istoric_Nativ'!$D$6:$D$405,"&gt;="&amp;L168),SUMIFS('Istoric_Nativ'!$H$6:$H$405,'Istoric_Nativ'!$B$6:$B$405,E168,'Istoric_Nativ'!$C$6:$C$405,F168,'Istoric_Nativ'!$E$6:$E$405,G168,'Istoric_Nativ'!$D$6:$D$405,"&lt;"&amp;J168,'Istoric_Nativ'!$P$6:$P$405,1,'Istoric_Nativ'!$D$6:$D$405,"&gt;="&amp;L168)+SUMIFS('Istoric_Nativ'!$G$6:$G$405,'Istoric_Nativ'!$B$6:$B$405,E168,'Istoric_Nativ'!$C$6:$C$405,F168,'Istoric_Nativ'!$F$6:$F$405,G168,'Istoric_Nativ'!$D$6:$D$405,"&lt;"&amp;J168,'Istoric_Nativ'!$P$6:$P$405,1,'Istoric_Nativ'!$D$6:$D$405,"&gt;="&amp;L168)))/M168)</x:f>
      </x:c>
      <x:c r="P168" s="2" t="n">
        <x:f>'Config_v6'!$B$7</x:f>
        <x:v>10</x:v>
      </x:c>
      <x:c r="Q168" s="2" t="n">
        <x:f>IF(OR(B168="",F168=""),0,IFERROR(MATCH(E168&amp;"|"&amp;F168,SourceTable[Source_Key],0),0))</x:f>
        <x:v>0</x:v>
      </x:c>
      <x:c r="R168" s="2" t="str">
        <x:f>IF(B168="","",IF(F168="","UNUSED",IF(Q168=0,"NOT CHECKED",IF(COUNTIF(SourceTable[Source_Key],E168&amp;"|"&amp;F168)&lt;&gt;1,"SOURCE CONFLICT",IF(NOT(OR(INDEX(SourceTable[Status],MAX(1,Q168))="IMPORTED",INDEX(SourceTable[Status],MAX(1,Q168))="PARTIAL",INDEX(SourceTable[Status],MAX(1,Q168))="SOURCE CONFLICT")),"ACCESS BLOCKED",IF(OR(INDEX(SourceTable[Coverage],Q168)&lt;&gt;"FULL SEASON EXPORT",INDEX(SourceTable[URL],Q168)="",INDEX(SourceTable[SHA256],Q168)=""),"EVIDENCE INCOMPLETE",IF(AND('Input_Meci'!H19="LIVE",INDEX(SourceTable[Retrieved_UTC],Q168)&gt;'Input_Meci'!G19),"POST CUTOFF","CLOSED")))))))</x:f>
      </x:c>
      <x:c r="S168" s="2" t="n">
        <x:f>IF(OR(B168="",F168=""),0,COUNTIFS('Istoric_Nativ'!$B$6:$B$405,E168,'Istoric_Nativ'!$C$6:$C$405,F168,'Istoric_Nativ'!$E$6:$E$405,G168,'Istoric_Nativ'!$D$6:$D$405,"&lt;"&amp;J168,'Istoric_Nativ'!$O$6:$O$405,"INVALID")+COUNTIFS('Istoric_Nativ'!$B$6:$B$405,E168,'Istoric_Nativ'!$C$6:$C$405,F168,'Istoric_Nativ'!$E$6:$E$405,G168,'Istoric_Nativ'!$O$6:$O$405,"INVALID",'Istoric_Nativ'!$D$6:$D$405,"*")+COUNTIFS('Istoric_Nativ'!$B$6:$B$405,E168,'Istoric_Nativ'!$C$6:$C$405,F168,'Istoric_Nativ'!$E$6:$E$405,G168,'Istoric_Nativ'!$D$6:$D$405,"&lt;"&amp;J168,'Istoric_Nativ'!$O$6:$O$405,"SOURCE CONFLICT")+COUNTIFS('Istoric_Nativ'!$B$6:$B$405,E168,'Istoric_Nativ'!$C$6:$C$405,F168,'Istoric_Nativ'!$F$6:$F$405,G168,'Istoric_Nativ'!$D$6:$D$405,"&lt;"&amp;J168,'Istoric_Nativ'!$O$6:$O$405,"INVALID")+COUNTIFS('Istoric_Nativ'!$B$6:$B$405,E168,'Istoric_Nativ'!$C$6:$C$405,F168,'Istoric_Nativ'!$F$6:$F$405,G168,'Istoric_Nativ'!$O$6:$O$405,"INVALID",'Istoric_Nativ'!$D$6:$D$405,"*")+COUNTIFS('Istoric_Nativ'!$B$6:$B$405,E168,'Istoric_Nativ'!$C$6:$C$405,F168,'Istoric_Nativ'!$F$6:$F$405,G168,'Istoric_Nativ'!$D$6:$D$405,"&lt;"&amp;J168,'Istoric_Nativ'!$O$6:$O$405,"SOURCE CONFLICT"))</x:f>
        <x:v>0</x:v>
      </x:c>
      <x:c r="T168" s="2" t="str">
        <x:f>IF(B168="","",IF(R168&lt;&gt;"CLOSED",R168,IF(S168&gt;0,"NATIVE INPUT ISSUE",IF(M168=0,"NO HISTORY",IF(M168&lt;P168,"SMALL SAMPLE","DERIVED")))))</x:f>
      </x:c>
      <x:c r="U168" s="2" t="str">
        <x:f>IF(B168="","","NativeTable; "&amp;E168&amp;"; "&amp;F168&amp;"; "&amp;G168&amp;"; "&amp;H168&amp;"; before "&amp;TEXT(J168,"yyyy-mm-dd")&amp;IF(I168="RECENT","; from "&amp;TEXT(L168,"yyyy-mm-dd"),""))</x:f>
      </x:c>
    </x:row>
    <x:row r="169" ht="21" customHeight="1">
      <x:c r="A169" s="2" t="n">
        <x:v>14</x:v>
      </x:c>
      <x:c r="B169" s="2" t="str">
        <x:f>IF('Input_Meci'!A19="","",'Input_Meci'!A19)</x:f>
      </x:c>
      <x:c r="C169" s="2" t="str">
        <x:v>H</x:v>
      </x:c>
      <x:c r="D169" s="2" t="str">
        <x:v>PRIOR</x:v>
      </x:c>
      <x:c r="E169" s="2" t="str">
        <x:f>IF(B169="","",'Input_Meci'!B19)</x:f>
      </x:c>
      <x:c r="F169" s="2" t="str">
        <x:f>IF(B169="","",IF('Input_Meci'!K19="","",'Input_Meci'!K19))</x:f>
      </x:c>
      <x:c r="G169" s="2" t="str">
        <x:f>IF(B169="","",'Input_Meci'!D19)</x:f>
      </x:c>
      <x:c r="H169" s="2" t="str">
        <x:v>HOME</x:v>
      </x:c>
      <x:c r="I169" s="2" t="str">
        <x:v>HA</x:v>
      </x:c>
      <x:c r="J169" s="9" t="n">
        <x:f>IF(AND(B169&lt;&gt;"",ISNUMBER('Input_Meci'!G19)),INT('Input_Meci'!G19),0)</x:f>
        <x:v>0</x:v>
      </x:c>
      <x:c r="K169" s="2" t="n">
        <x:f>IF(OR(B169="",F169=""),0,IF(H169="HOME",COUNTIFS('Istoric_Nativ'!$B$6:$B$405,E169,'Istoric_Nativ'!$C$6:$C$405,F169,'Istoric_Nativ'!$E$6:$E$405,G169,'Istoric_Nativ'!$D$6:$D$405,"&lt;"&amp;J169,'Istoric_Nativ'!$P$6:$P$405,1),IF(H169="AWAY",COUNTIFS('Istoric_Nativ'!$B$6:$B$405,E169,'Istoric_Nativ'!$C$6:$C$405,F169,'Istoric_Nativ'!$F$6:$F$405,G169,'Istoric_Nativ'!$D$6:$D$405,"&lt;"&amp;J169,'Istoric_Nativ'!$P$6:$P$405,1),COUNTIFS('Istoric_Nativ'!$B$6:$B$405,E169,'Istoric_Nativ'!$C$6:$C$405,F169,'Istoric_Nativ'!$E$6:$E$405,G169,'Istoric_Nativ'!$D$6:$D$405,"&lt;"&amp;J169,'Istoric_Nativ'!$P$6:$P$405,1)+COUNTIFS('Istoric_Nativ'!$B$6:$B$405,E169,'Istoric_Nativ'!$C$6:$C$405,F169,'Istoric_Nativ'!$F$6:$F$405,G169,'Istoric_Nativ'!$D$6:$D$405,"&lt;"&amp;J169,'Istoric_Nativ'!$P$6:$P$405,1))))</x:f>
        <x:v>0</x:v>
      </x:c>
      <x:c r="L169" s="17" t="n">
        <x:f>IF(AND(B169&lt;&gt;"",I169="RECENT",K169&gt;0),LARGE(_xlfn._xlws.FILTER('Istoric_Nativ'!$D$6:$D$405,('Istoric_Nativ'!$B$6:$B$405=E169)*('Istoric_Nativ'!$C$6:$C$405=F169)*('Istoric_Nativ'!$P$6:$P$405=1)*('Istoric_Nativ'!$D$6:$D$405&lt;J169)*((('Istoric_Nativ'!$E$6:$E$405=G169)+('Istoric_Nativ'!$F$6:$F$405=G169))&gt;0)),MIN('Config_v6'!$B$54,K169)),0)</x:f>
        <x:v>0</x:v>
      </x:c>
      <x:c r="M169" s="2" t="n">
        <x:f>IF(OR(B169="",F169=""),0,IF(H169="HOME",COUNTIFS('Istoric_Nativ'!$B$6:$B$405,E169,'Istoric_Nativ'!$C$6:$C$405,F169,'Istoric_Nativ'!$E$6:$E$405,G169,'Istoric_Nativ'!$D$6:$D$405,"&lt;"&amp;J169,'Istoric_Nativ'!$P$6:$P$405,1,'Istoric_Nativ'!$D$6:$D$405,"&gt;="&amp;L169),IF(H169="AWAY",COUNTIFS('Istoric_Nativ'!$B$6:$B$405,E169,'Istoric_Nativ'!$C$6:$C$405,F169,'Istoric_Nativ'!$F$6:$F$405,G169,'Istoric_Nativ'!$D$6:$D$405,"&lt;"&amp;J169,'Istoric_Nativ'!$P$6:$P$405,1,'Istoric_Nativ'!$D$6:$D$405,"&gt;="&amp;L169),COUNTIFS('Istoric_Nativ'!$B$6:$B$405,E169,'Istoric_Nativ'!$C$6:$C$405,F169,'Istoric_Nativ'!$E$6:$E$405,G169,'Istoric_Nativ'!$D$6:$D$405,"&lt;"&amp;J169,'Istoric_Nativ'!$P$6:$P$405,1,'Istoric_Nativ'!$D$6:$D$405,"&gt;="&amp;L169)+COUNTIFS('Istoric_Nativ'!$B$6:$B$405,E169,'Istoric_Nativ'!$C$6:$C$405,F169,'Istoric_Nativ'!$F$6:$F$405,G169,'Istoric_Nativ'!$D$6:$D$405,"&lt;"&amp;J169,'Istoric_Nativ'!$P$6:$P$405,1,'Istoric_Nativ'!$D$6:$D$405,"&gt;="&amp;L169))))</x:f>
        <x:v>0</x:v>
      </x:c>
      <x:c r="N169" s="11" t="str">
        <x:f>IF(M169=0,"",IF(H169="HOME",SUMIFS('Istoric_Nativ'!$G$6:$G$405,'Istoric_Nativ'!$B$6:$B$405,E169,'Istoric_Nativ'!$C$6:$C$405,F169,'Istoric_Nativ'!$E$6:$E$405,G169,'Istoric_Nativ'!$D$6:$D$405,"&lt;"&amp;J169,'Istoric_Nativ'!$P$6:$P$405,1,'Istoric_Nativ'!$D$6:$D$405,"&gt;="&amp;L169),IF(H169="AWAY",SUMIFS('Istoric_Nativ'!$H$6:$H$405,'Istoric_Nativ'!$B$6:$B$405,E169,'Istoric_Nativ'!$C$6:$C$405,F169,'Istoric_Nativ'!$F$6:$F$405,G169,'Istoric_Nativ'!$D$6:$D$405,"&lt;"&amp;J169,'Istoric_Nativ'!$P$6:$P$405,1,'Istoric_Nativ'!$D$6:$D$405,"&gt;="&amp;L169),SUMIFS('Istoric_Nativ'!$G$6:$G$405,'Istoric_Nativ'!$B$6:$B$405,E169,'Istoric_Nativ'!$C$6:$C$405,F169,'Istoric_Nativ'!$E$6:$E$405,G169,'Istoric_Nativ'!$D$6:$D$405,"&lt;"&amp;J169,'Istoric_Nativ'!$P$6:$P$405,1,'Istoric_Nativ'!$D$6:$D$405,"&gt;="&amp;L169)+SUMIFS('Istoric_Nativ'!$H$6:$H$405,'Istoric_Nativ'!$B$6:$B$405,E169,'Istoric_Nativ'!$C$6:$C$405,F169,'Istoric_Nativ'!$F$6:$F$405,G169,'Istoric_Nativ'!$D$6:$D$405,"&lt;"&amp;J169,'Istoric_Nativ'!$P$6:$P$405,1,'Istoric_Nativ'!$D$6:$D$405,"&gt;="&amp;L169)))/M169)</x:f>
      </x:c>
      <x:c r="O169" s="11" t="str">
        <x:f>IF(M169=0,"",IF(H169="HOME",SUMIFS('Istoric_Nativ'!$H$6:$H$405,'Istoric_Nativ'!$B$6:$B$405,E169,'Istoric_Nativ'!$C$6:$C$405,F169,'Istoric_Nativ'!$E$6:$E$405,G169,'Istoric_Nativ'!$D$6:$D$405,"&lt;"&amp;J169,'Istoric_Nativ'!$P$6:$P$405,1,'Istoric_Nativ'!$D$6:$D$405,"&gt;="&amp;L169),IF(H169="AWAY",SUMIFS('Istoric_Nativ'!$G$6:$G$405,'Istoric_Nativ'!$B$6:$B$405,E169,'Istoric_Nativ'!$C$6:$C$405,F169,'Istoric_Nativ'!$F$6:$F$405,G169,'Istoric_Nativ'!$D$6:$D$405,"&lt;"&amp;J169,'Istoric_Nativ'!$P$6:$P$405,1,'Istoric_Nativ'!$D$6:$D$405,"&gt;="&amp;L169),SUMIFS('Istoric_Nativ'!$H$6:$H$405,'Istoric_Nativ'!$B$6:$B$405,E169,'Istoric_Nativ'!$C$6:$C$405,F169,'Istoric_Nativ'!$E$6:$E$405,G169,'Istoric_Nativ'!$D$6:$D$405,"&lt;"&amp;J169,'Istoric_Nativ'!$P$6:$P$405,1,'Istoric_Nativ'!$D$6:$D$405,"&gt;="&amp;L169)+SUMIFS('Istoric_Nativ'!$G$6:$G$405,'Istoric_Nativ'!$B$6:$B$405,E169,'Istoric_Nativ'!$C$6:$C$405,F169,'Istoric_Nativ'!$F$6:$F$405,G169,'Istoric_Nativ'!$D$6:$D$405,"&lt;"&amp;J169,'Istoric_Nativ'!$P$6:$P$405,1,'Istoric_Nativ'!$D$6:$D$405,"&gt;="&amp;L169)))/M169)</x:f>
      </x:c>
      <x:c r="P169" s="2" t="n">
        <x:f>'Config_v6'!$B$8</x:f>
        <x:v>5</x:v>
      </x:c>
      <x:c r="Q169" s="2" t="n">
        <x:f>IF(OR(B169="",F169=""),0,IFERROR(MATCH(E169&amp;"|"&amp;F169,SourceTable[Source_Key],0),0))</x:f>
        <x:v>0</x:v>
      </x:c>
      <x:c r="R169" s="2" t="str">
        <x:f>IF(B169="","",IF(F169="","UNUSED",IF(Q169=0,"NOT CHECKED",IF(COUNTIF(SourceTable[Source_Key],E169&amp;"|"&amp;F169)&lt;&gt;1,"SOURCE CONFLICT",IF(NOT(OR(INDEX(SourceTable[Status],MAX(1,Q169))="IMPORTED",INDEX(SourceTable[Status],MAX(1,Q169))="PARTIAL",INDEX(SourceTable[Status],MAX(1,Q169))="SOURCE CONFLICT")),"ACCESS BLOCKED",IF(OR(INDEX(SourceTable[Coverage],Q169)&lt;&gt;"FULL SEASON EXPORT",INDEX(SourceTable[URL],Q169)="",INDEX(SourceTable[SHA256],Q169)=""),"EVIDENCE INCOMPLETE",IF(AND('Input_Meci'!H19="LIVE",INDEX(SourceTable[Retrieved_UTC],Q169)&gt;'Input_Meci'!G19),"POST CUTOFF","CLOSED")))))))</x:f>
      </x:c>
      <x:c r="S169" s="2" t="n">
        <x:f>IF(OR(B169="",F169=""),0,COUNTIFS('Istoric_Nativ'!$B$6:$B$405,E169,'Istoric_Nativ'!$C$6:$C$405,F169,'Istoric_Nativ'!$E$6:$E$405,G169,'Istoric_Nativ'!$D$6:$D$405,"&lt;"&amp;J169,'Istoric_Nativ'!$O$6:$O$405,"INVALID")+COUNTIFS('Istoric_Nativ'!$B$6:$B$405,E169,'Istoric_Nativ'!$C$6:$C$405,F169,'Istoric_Nativ'!$E$6:$E$405,G169,'Istoric_Nativ'!$O$6:$O$405,"INVALID",'Istoric_Nativ'!$D$6:$D$405,"*")+COUNTIFS('Istoric_Nativ'!$B$6:$B$405,E169,'Istoric_Nativ'!$C$6:$C$405,F169,'Istoric_Nativ'!$E$6:$E$405,G169,'Istoric_Nativ'!$D$6:$D$405,"&lt;"&amp;J169,'Istoric_Nativ'!$O$6:$O$405,"SOURCE CONFLICT")+COUNTIFS('Istoric_Nativ'!$B$6:$B$405,E169,'Istoric_Nativ'!$C$6:$C$405,F169,'Istoric_Nativ'!$F$6:$F$405,G169,'Istoric_Nativ'!$D$6:$D$405,"&lt;"&amp;J169,'Istoric_Nativ'!$O$6:$O$405,"INVALID")+COUNTIFS('Istoric_Nativ'!$B$6:$B$405,E169,'Istoric_Nativ'!$C$6:$C$405,F169,'Istoric_Nativ'!$F$6:$F$405,G169,'Istoric_Nativ'!$O$6:$O$405,"INVALID",'Istoric_Nativ'!$D$6:$D$405,"*")+COUNTIFS('Istoric_Nativ'!$B$6:$B$405,E169,'Istoric_Nativ'!$C$6:$C$405,F169,'Istoric_Nativ'!$F$6:$F$405,G169,'Istoric_Nativ'!$D$6:$D$405,"&lt;"&amp;J169,'Istoric_Nativ'!$O$6:$O$405,"SOURCE CONFLICT"))</x:f>
        <x:v>0</x:v>
      </x:c>
      <x:c r="T169" s="2" t="str">
        <x:f>IF(B169="","",IF(R169&lt;&gt;"CLOSED",R169,IF(S169&gt;0,"NATIVE INPUT ISSUE",IF(M169=0,"NO HISTORY",IF(M169&lt;P169,"SMALL SAMPLE","DERIVED")))))</x:f>
      </x:c>
      <x:c r="U169" s="2" t="str">
        <x:f>IF(B169="","","NativeTable; "&amp;E169&amp;"; "&amp;F169&amp;"; "&amp;G169&amp;"; "&amp;H169&amp;"; before "&amp;TEXT(J169,"yyyy-mm-dd")&amp;IF(I169="RECENT","; from "&amp;TEXT(L169,"yyyy-mm-dd"),""))</x:f>
      </x:c>
    </x:row>
    <x:row r="170" ht="21" customHeight="1">
      <x:c r="A170" s="2" t="n">
        <x:v>14</x:v>
      </x:c>
      <x:c r="B170" s="2" t="str">
        <x:f>IF('Input_Meci'!A19="","",'Input_Meci'!A19)</x:f>
      </x:c>
      <x:c r="C170" s="2" t="str">
        <x:v>H</x:v>
      </x:c>
      <x:c r="D170" s="2" t="str">
        <x:v>PRIOR</x:v>
      </x:c>
      <x:c r="E170" s="2" t="str">
        <x:f>IF(B170="","",'Input_Meci'!B19)</x:f>
      </x:c>
      <x:c r="F170" s="2" t="str">
        <x:f>IF(B170="","",IF('Input_Meci'!K19="","",'Input_Meci'!K19))</x:f>
      </x:c>
      <x:c r="G170" s="2" t="str">
        <x:f>IF(B170="","",'Input_Meci'!D19)</x:f>
      </x:c>
      <x:c r="H170" s="2" t="str">
        <x:v>ANY</x:v>
      </x:c>
      <x:c r="I170" s="2" t="str">
        <x:v>RECENT</x:v>
      </x:c>
      <x:c r="J170" s="9" t="n">
        <x:f>IF(AND(B170&lt;&gt;"",ISNUMBER('Input_Meci'!G19)),INT('Input_Meci'!G19),0)</x:f>
        <x:v>0</x:v>
      </x:c>
      <x:c r="K170" s="2" t="n">
        <x:f>IF(OR(B170="",F170=""),0,IF(H170="HOME",COUNTIFS('Istoric_Nativ'!$B$6:$B$405,E170,'Istoric_Nativ'!$C$6:$C$405,F170,'Istoric_Nativ'!$E$6:$E$405,G170,'Istoric_Nativ'!$D$6:$D$405,"&lt;"&amp;J170,'Istoric_Nativ'!$P$6:$P$405,1),IF(H170="AWAY",COUNTIFS('Istoric_Nativ'!$B$6:$B$405,E170,'Istoric_Nativ'!$C$6:$C$405,F170,'Istoric_Nativ'!$F$6:$F$405,G170,'Istoric_Nativ'!$D$6:$D$405,"&lt;"&amp;J170,'Istoric_Nativ'!$P$6:$P$405,1),COUNTIFS('Istoric_Nativ'!$B$6:$B$405,E170,'Istoric_Nativ'!$C$6:$C$405,F170,'Istoric_Nativ'!$E$6:$E$405,G170,'Istoric_Nativ'!$D$6:$D$405,"&lt;"&amp;J170,'Istoric_Nativ'!$P$6:$P$405,1)+COUNTIFS('Istoric_Nativ'!$B$6:$B$405,E170,'Istoric_Nativ'!$C$6:$C$405,F170,'Istoric_Nativ'!$F$6:$F$405,G170,'Istoric_Nativ'!$D$6:$D$405,"&lt;"&amp;J170,'Istoric_Nativ'!$P$6:$P$405,1))))</x:f>
        <x:v>0</x:v>
      </x:c>
      <x:c r="L170" s="17" t="n">
        <x:f>IF(AND(B170&lt;&gt;"",I170="RECENT",K170&gt;0),LARGE(_xlfn._xlws.FILTER('Istoric_Nativ'!$D$6:$D$405,('Istoric_Nativ'!$B$6:$B$405=E170)*('Istoric_Nativ'!$C$6:$C$405=F170)*('Istoric_Nativ'!$P$6:$P$405=1)*('Istoric_Nativ'!$D$6:$D$405&lt;J170)*((('Istoric_Nativ'!$E$6:$E$405=G170)+('Istoric_Nativ'!$F$6:$F$405=G170))&gt;0)),MIN('Config_v6'!$B$54,K170)),0)</x:f>
        <x:v>0</x:v>
      </x:c>
      <x:c r="M170" s="2" t="n">
        <x:f>IF(OR(B170="",F170=""),0,IF(H170="HOME",COUNTIFS('Istoric_Nativ'!$B$6:$B$405,E170,'Istoric_Nativ'!$C$6:$C$405,F170,'Istoric_Nativ'!$E$6:$E$405,G170,'Istoric_Nativ'!$D$6:$D$405,"&lt;"&amp;J170,'Istoric_Nativ'!$P$6:$P$405,1,'Istoric_Nativ'!$D$6:$D$405,"&gt;="&amp;L170),IF(H170="AWAY",COUNTIFS('Istoric_Nativ'!$B$6:$B$405,E170,'Istoric_Nativ'!$C$6:$C$405,F170,'Istoric_Nativ'!$F$6:$F$405,G170,'Istoric_Nativ'!$D$6:$D$405,"&lt;"&amp;J170,'Istoric_Nativ'!$P$6:$P$405,1,'Istoric_Nativ'!$D$6:$D$405,"&gt;="&amp;L170),COUNTIFS('Istoric_Nativ'!$B$6:$B$405,E170,'Istoric_Nativ'!$C$6:$C$405,F170,'Istoric_Nativ'!$E$6:$E$405,G170,'Istoric_Nativ'!$D$6:$D$405,"&lt;"&amp;J170,'Istoric_Nativ'!$P$6:$P$405,1,'Istoric_Nativ'!$D$6:$D$405,"&gt;="&amp;L170)+COUNTIFS('Istoric_Nativ'!$B$6:$B$405,E170,'Istoric_Nativ'!$C$6:$C$405,F170,'Istoric_Nativ'!$F$6:$F$405,G170,'Istoric_Nativ'!$D$6:$D$405,"&lt;"&amp;J170,'Istoric_Nativ'!$P$6:$P$405,1,'Istoric_Nativ'!$D$6:$D$405,"&gt;="&amp;L170))))</x:f>
        <x:v>0</x:v>
      </x:c>
      <x:c r="N170" s="11" t="str">
        <x:f>IF(M170=0,"",IF(H170="HOME",SUMIFS('Istoric_Nativ'!$G$6:$G$405,'Istoric_Nativ'!$B$6:$B$405,E170,'Istoric_Nativ'!$C$6:$C$405,F170,'Istoric_Nativ'!$E$6:$E$405,G170,'Istoric_Nativ'!$D$6:$D$405,"&lt;"&amp;J170,'Istoric_Nativ'!$P$6:$P$405,1,'Istoric_Nativ'!$D$6:$D$405,"&gt;="&amp;L170),IF(H170="AWAY",SUMIFS('Istoric_Nativ'!$H$6:$H$405,'Istoric_Nativ'!$B$6:$B$405,E170,'Istoric_Nativ'!$C$6:$C$405,F170,'Istoric_Nativ'!$F$6:$F$405,G170,'Istoric_Nativ'!$D$6:$D$405,"&lt;"&amp;J170,'Istoric_Nativ'!$P$6:$P$405,1,'Istoric_Nativ'!$D$6:$D$405,"&gt;="&amp;L170),SUMIFS('Istoric_Nativ'!$G$6:$G$405,'Istoric_Nativ'!$B$6:$B$405,E170,'Istoric_Nativ'!$C$6:$C$405,F170,'Istoric_Nativ'!$E$6:$E$405,G170,'Istoric_Nativ'!$D$6:$D$405,"&lt;"&amp;J170,'Istoric_Nativ'!$P$6:$P$405,1,'Istoric_Nativ'!$D$6:$D$405,"&gt;="&amp;L170)+SUMIFS('Istoric_Nativ'!$H$6:$H$405,'Istoric_Nativ'!$B$6:$B$405,E170,'Istoric_Nativ'!$C$6:$C$405,F170,'Istoric_Nativ'!$F$6:$F$405,G170,'Istoric_Nativ'!$D$6:$D$405,"&lt;"&amp;J170,'Istoric_Nativ'!$P$6:$P$405,1,'Istoric_Nativ'!$D$6:$D$405,"&gt;="&amp;L170)))/M170)</x:f>
      </x:c>
      <x:c r="O170" s="11" t="str">
        <x:f>IF(M170=0,"",IF(H170="HOME",SUMIFS('Istoric_Nativ'!$H$6:$H$405,'Istoric_Nativ'!$B$6:$B$405,E170,'Istoric_Nativ'!$C$6:$C$405,F170,'Istoric_Nativ'!$E$6:$E$405,G170,'Istoric_Nativ'!$D$6:$D$405,"&lt;"&amp;J170,'Istoric_Nativ'!$P$6:$P$405,1,'Istoric_Nativ'!$D$6:$D$405,"&gt;="&amp;L170),IF(H170="AWAY",SUMIFS('Istoric_Nativ'!$G$6:$G$405,'Istoric_Nativ'!$B$6:$B$405,E170,'Istoric_Nativ'!$C$6:$C$405,F170,'Istoric_Nativ'!$F$6:$F$405,G170,'Istoric_Nativ'!$D$6:$D$405,"&lt;"&amp;J170,'Istoric_Nativ'!$P$6:$P$405,1,'Istoric_Nativ'!$D$6:$D$405,"&gt;="&amp;L170),SUMIFS('Istoric_Nativ'!$H$6:$H$405,'Istoric_Nativ'!$B$6:$B$405,E170,'Istoric_Nativ'!$C$6:$C$405,F170,'Istoric_Nativ'!$E$6:$E$405,G170,'Istoric_Nativ'!$D$6:$D$405,"&lt;"&amp;J170,'Istoric_Nativ'!$P$6:$P$405,1,'Istoric_Nativ'!$D$6:$D$405,"&gt;="&amp;L170)+SUMIFS('Istoric_Nativ'!$G$6:$G$405,'Istoric_Nativ'!$B$6:$B$405,E170,'Istoric_Nativ'!$C$6:$C$405,F170,'Istoric_Nativ'!$F$6:$F$405,G170,'Istoric_Nativ'!$D$6:$D$405,"&lt;"&amp;J170,'Istoric_Nativ'!$P$6:$P$405,1,'Istoric_Nativ'!$D$6:$D$405,"&gt;="&amp;L170)))/M170)</x:f>
      </x:c>
      <x:c r="P170" s="2" t="n">
        <x:f>'Config_v6'!$B$9</x:f>
        <x:v>3</x:v>
      </x:c>
      <x:c r="Q170" s="2" t="n">
        <x:f>IF(OR(B170="",F170=""),0,IFERROR(MATCH(E170&amp;"|"&amp;F170,SourceTable[Source_Key],0),0))</x:f>
        <x:v>0</x:v>
      </x:c>
      <x:c r="R170" s="2" t="str">
        <x:f>IF(B170="","",IF(F170="","UNUSED",IF(Q170=0,"NOT CHECKED",IF(COUNTIF(SourceTable[Source_Key],E170&amp;"|"&amp;F170)&lt;&gt;1,"SOURCE CONFLICT",IF(NOT(OR(INDEX(SourceTable[Status],MAX(1,Q170))="IMPORTED",INDEX(SourceTable[Status],MAX(1,Q170))="PARTIAL",INDEX(SourceTable[Status],MAX(1,Q170))="SOURCE CONFLICT")),"ACCESS BLOCKED",IF(OR(INDEX(SourceTable[Coverage],Q170)&lt;&gt;"FULL SEASON EXPORT",INDEX(SourceTable[URL],Q170)="",INDEX(SourceTable[SHA256],Q170)=""),"EVIDENCE INCOMPLETE",IF(AND('Input_Meci'!H19="LIVE",INDEX(SourceTable[Retrieved_UTC],Q170)&gt;'Input_Meci'!G19),"POST CUTOFF","CLOSED")))))))</x:f>
      </x:c>
      <x:c r="S170" s="2" t="n">
        <x:f>IF(OR(B170="",F170=""),0,COUNTIFS('Istoric_Nativ'!$B$6:$B$405,E170,'Istoric_Nativ'!$C$6:$C$405,F170,'Istoric_Nativ'!$E$6:$E$405,G170,'Istoric_Nativ'!$D$6:$D$405,"&lt;"&amp;J170,'Istoric_Nativ'!$O$6:$O$405,"INVALID")+COUNTIFS('Istoric_Nativ'!$B$6:$B$405,E170,'Istoric_Nativ'!$C$6:$C$405,F170,'Istoric_Nativ'!$E$6:$E$405,G170,'Istoric_Nativ'!$O$6:$O$405,"INVALID",'Istoric_Nativ'!$D$6:$D$405,"*")+COUNTIFS('Istoric_Nativ'!$B$6:$B$405,E170,'Istoric_Nativ'!$C$6:$C$405,F170,'Istoric_Nativ'!$E$6:$E$405,G170,'Istoric_Nativ'!$D$6:$D$405,"&lt;"&amp;J170,'Istoric_Nativ'!$O$6:$O$405,"SOURCE CONFLICT")+COUNTIFS('Istoric_Nativ'!$B$6:$B$405,E170,'Istoric_Nativ'!$C$6:$C$405,F170,'Istoric_Nativ'!$F$6:$F$405,G170,'Istoric_Nativ'!$D$6:$D$405,"&lt;"&amp;J170,'Istoric_Nativ'!$O$6:$O$405,"INVALID")+COUNTIFS('Istoric_Nativ'!$B$6:$B$405,E170,'Istoric_Nativ'!$C$6:$C$405,F170,'Istoric_Nativ'!$F$6:$F$405,G170,'Istoric_Nativ'!$O$6:$O$405,"INVALID",'Istoric_Nativ'!$D$6:$D$405,"*")+COUNTIFS('Istoric_Nativ'!$B$6:$B$405,E170,'Istoric_Nativ'!$C$6:$C$405,F170,'Istoric_Nativ'!$F$6:$F$405,G170,'Istoric_Nativ'!$D$6:$D$405,"&lt;"&amp;J170,'Istoric_Nativ'!$O$6:$O$405,"SOURCE CONFLICT"))</x:f>
        <x:v>0</x:v>
      </x:c>
      <x:c r="T170" s="2" t="str">
        <x:f>IF(B170="","",IF(R170&lt;&gt;"CLOSED",R170,IF(S170&gt;0,"NATIVE INPUT ISSUE",IF(M170=0,"NO HISTORY",IF(M170&lt;P170,"SMALL SAMPLE","DERIVED")))))</x:f>
      </x:c>
      <x:c r="U170" s="2" t="str">
        <x:f>IF(B170="","","NativeTable; "&amp;E170&amp;"; "&amp;F170&amp;"; "&amp;G170&amp;"; "&amp;H170&amp;"; before "&amp;TEXT(J170,"yyyy-mm-dd")&amp;IF(I170="RECENT","; from "&amp;TEXT(L170,"yyyy-mm-dd"),""))</x:f>
      </x:c>
    </x:row>
    <x:row r="171" ht="21" customHeight="1">
      <x:c r="A171" s="2" t="n">
        <x:v>14</x:v>
      </x:c>
      <x:c r="B171" s="2" t="str">
        <x:f>IF('Input_Meci'!A19="","",'Input_Meci'!A19)</x:f>
      </x:c>
      <x:c r="C171" s="2" t="str">
        <x:v>A</x:v>
      </x:c>
      <x:c r="D171" s="2" t="str">
        <x:v>PRIOR</x:v>
      </x:c>
      <x:c r="E171" s="2" t="str">
        <x:f>IF(B171="","",'Input_Meci'!B19)</x:f>
      </x:c>
      <x:c r="F171" s="2" t="str">
        <x:f>IF(B171="","",IF('Input_Meci'!K19="","",'Input_Meci'!K19))</x:f>
      </x:c>
      <x:c r="G171" s="2" t="str">
        <x:f>IF(B171="","",'Input_Meci'!E19)</x:f>
      </x:c>
      <x:c r="H171" s="2" t="str">
        <x:v>ANY</x:v>
      </x:c>
      <x:c r="I171" s="2" t="str">
        <x:v>SEASON</x:v>
      </x:c>
      <x:c r="J171" s="9" t="n">
        <x:f>IF(AND(B171&lt;&gt;"",ISNUMBER('Input_Meci'!G19)),INT('Input_Meci'!G19),0)</x:f>
        <x:v>0</x:v>
      </x:c>
      <x:c r="K171" s="2" t="n">
        <x:f>IF(OR(B171="",F171=""),0,IF(H171="HOME",COUNTIFS('Istoric_Nativ'!$B$6:$B$405,E171,'Istoric_Nativ'!$C$6:$C$405,F171,'Istoric_Nativ'!$E$6:$E$405,G171,'Istoric_Nativ'!$D$6:$D$405,"&lt;"&amp;J171,'Istoric_Nativ'!$P$6:$P$405,1),IF(H171="AWAY",COUNTIFS('Istoric_Nativ'!$B$6:$B$405,E171,'Istoric_Nativ'!$C$6:$C$405,F171,'Istoric_Nativ'!$F$6:$F$405,G171,'Istoric_Nativ'!$D$6:$D$405,"&lt;"&amp;J171,'Istoric_Nativ'!$P$6:$P$405,1),COUNTIFS('Istoric_Nativ'!$B$6:$B$405,E171,'Istoric_Nativ'!$C$6:$C$405,F171,'Istoric_Nativ'!$E$6:$E$405,G171,'Istoric_Nativ'!$D$6:$D$405,"&lt;"&amp;J171,'Istoric_Nativ'!$P$6:$P$405,1)+COUNTIFS('Istoric_Nativ'!$B$6:$B$405,E171,'Istoric_Nativ'!$C$6:$C$405,F171,'Istoric_Nativ'!$F$6:$F$405,G171,'Istoric_Nativ'!$D$6:$D$405,"&lt;"&amp;J171,'Istoric_Nativ'!$P$6:$P$405,1))))</x:f>
        <x:v>0</x:v>
      </x:c>
      <x:c r="L171" s="17" t="n">
        <x:f>IF(AND(B171&lt;&gt;"",I171="RECENT",K171&gt;0),LARGE(_xlfn._xlws.FILTER('Istoric_Nativ'!$D$6:$D$405,('Istoric_Nativ'!$B$6:$B$405=E171)*('Istoric_Nativ'!$C$6:$C$405=F171)*('Istoric_Nativ'!$P$6:$P$405=1)*('Istoric_Nativ'!$D$6:$D$405&lt;J171)*((('Istoric_Nativ'!$E$6:$E$405=G171)+('Istoric_Nativ'!$F$6:$F$405=G171))&gt;0)),MIN('Config_v6'!$B$54,K171)),0)</x:f>
        <x:v>0</x:v>
      </x:c>
      <x:c r="M171" s="2" t="n">
        <x:f>IF(OR(B171="",F171=""),0,IF(H171="HOME",COUNTIFS('Istoric_Nativ'!$B$6:$B$405,E171,'Istoric_Nativ'!$C$6:$C$405,F171,'Istoric_Nativ'!$E$6:$E$405,G171,'Istoric_Nativ'!$D$6:$D$405,"&lt;"&amp;J171,'Istoric_Nativ'!$P$6:$P$405,1,'Istoric_Nativ'!$D$6:$D$405,"&gt;="&amp;L171),IF(H171="AWAY",COUNTIFS('Istoric_Nativ'!$B$6:$B$405,E171,'Istoric_Nativ'!$C$6:$C$405,F171,'Istoric_Nativ'!$F$6:$F$405,G171,'Istoric_Nativ'!$D$6:$D$405,"&lt;"&amp;J171,'Istoric_Nativ'!$P$6:$P$405,1,'Istoric_Nativ'!$D$6:$D$405,"&gt;="&amp;L171),COUNTIFS('Istoric_Nativ'!$B$6:$B$405,E171,'Istoric_Nativ'!$C$6:$C$405,F171,'Istoric_Nativ'!$E$6:$E$405,G171,'Istoric_Nativ'!$D$6:$D$405,"&lt;"&amp;J171,'Istoric_Nativ'!$P$6:$P$405,1,'Istoric_Nativ'!$D$6:$D$405,"&gt;="&amp;L171)+COUNTIFS('Istoric_Nativ'!$B$6:$B$405,E171,'Istoric_Nativ'!$C$6:$C$405,F171,'Istoric_Nativ'!$F$6:$F$405,G171,'Istoric_Nativ'!$D$6:$D$405,"&lt;"&amp;J171,'Istoric_Nativ'!$P$6:$P$405,1,'Istoric_Nativ'!$D$6:$D$405,"&gt;="&amp;L171))))</x:f>
        <x:v>0</x:v>
      </x:c>
      <x:c r="N171" s="11" t="str">
        <x:f>IF(M171=0,"",IF(H171="HOME",SUMIFS('Istoric_Nativ'!$G$6:$G$405,'Istoric_Nativ'!$B$6:$B$405,E171,'Istoric_Nativ'!$C$6:$C$405,F171,'Istoric_Nativ'!$E$6:$E$405,G171,'Istoric_Nativ'!$D$6:$D$405,"&lt;"&amp;J171,'Istoric_Nativ'!$P$6:$P$405,1,'Istoric_Nativ'!$D$6:$D$405,"&gt;="&amp;L171),IF(H171="AWAY",SUMIFS('Istoric_Nativ'!$H$6:$H$405,'Istoric_Nativ'!$B$6:$B$405,E171,'Istoric_Nativ'!$C$6:$C$405,F171,'Istoric_Nativ'!$F$6:$F$405,G171,'Istoric_Nativ'!$D$6:$D$405,"&lt;"&amp;J171,'Istoric_Nativ'!$P$6:$P$405,1,'Istoric_Nativ'!$D$6:$D$405,"&gt;="&amp;L171),SUMIFS('Istoric_Nativ'!$G$6:$G$405,'Istoric_Nativ'!$B$6:$B$405,E171,'Istoric_Nativ'!$C$6:$C$405,F171,'Istoric_Nativ'!$E$6:$E$405,G171,'Istoric_Nativ'!$D$6:$D$405,"&lt;"&amp;J171,'Istoric_Nativ'!$P$6:$P$405,1,'Istoric_Nativ'!$D$6:$D$405,"&gt;="&amp;L171)+SUMIFS('Istoric_Nativ'!$H$6:$H$405,'Istoric_Nativ'!$B$6:$B$405,E171,'Istoric_Nativ'!$C$6:$C$405,F171,'Istoric_Nativ'!$F$6:$F$405,G171,'Istoric_Nativ'!$D$6:$D$405,"&lt;"&amp;J171,'Istoric_Nativ'!$P$6:$P$405,1,'Istoric_Nativ'!$D$6:$D$405,"&gt;="&amp;L171)))/M171)</x:f>
      </x:c>
      <x:c r="O171" s="11" t="str">
        <x:f>IF(M171=0,"",IF(H171="HOME",SUMIFS('Istoric_Nativ'!$H$6:$H$405,'Istoric_Nativ'!$B$6:$B$405,E171,'Istoric_Nativ'!$C$6:$C$405,F171,'Istoric_Nativ'!$E$6:$E$405,G171,'Istoric_Nativ'!$D$6:$D$405,"&lt;"&amp;J171,'Istoric_Nativ'!$P$6:$P$405,1,'Istoric_Nativ'!$D$6:$D$405,"&gt;="&amp;L171),IF(H171="AWAY",SUMIFS('Istoric_Nativ'!$G$6:$G$405,'Istoric_Nativ'!$B$6:$B$405,E171,'Istoric_Nativ'!$C$6:$C$405,F171,'Istoric_Nativ'!$F$6:$F$405,G171,'Istoric_Nativ'!$D$6:$D$405,"&lt;"&amp;J171,'Istoric_Nativ'!$P$6:$P$405,1,'Istoric_Nativ'!$D$6:$D$405,"&gt;="&amp;L171),SUMIFS('Istoric_Nativ'!$H$6:$H$405,'Istoric_Nativ'!$B$6:$B$405,E171,'Istoric_Nativ'!$C$6:$C$405,F171,'Istoric_Nativ'!$E$6:$E$405,G171,'Istoric_Nativ'!$D$6:$D$405,"&lt;"&amp;J171,'Istoric_Nativ'!$P$6:$P$405,1,'Istoric_Nativ'!$D$6:$D$405,"&gt;="&amp;L171)+SUMIFS('Istoric_Nativ'!$G$6:$G$405,'Istoric_Nativ'!$B$6:$B$405,E171,'Istoric_Nativ'!$C$6:$C$405,F171,'Istoric_Nativ'!$F$6:$F$405,G171,'Istoric_Nativ'!$D$6:$D$405,"&lt;"&amp;J171,'Istoric_Nativ'!$P$6:$P$405,1,'Istoric_Nativ'!$D$6:$D$405,"&gt;="&amp;L171)))/M171)</x:f>
      </x:c>
      <x:c r="P171" s="2" t="n">
        <x:f>'Config_v6'!$B$7</x:f>
        <x:v>10</x:v>
      </x:c>
      <x:c r="Q171" s="2" t="n">
        <x:f>IF(OR(B171="",F171=""),0,IFERROR(MATCH(E171&amp;"|"&amp;F171,SourceTable[Source_Key],0),0))</x:f>
        <x:v>0</x:v>
      </x:c>
      <x:c r="R171" s="2" t="str">
        <x:f>IF(B171="","",IF(F171="","UNUSED",IF(Q171=0,"NOT CHECKED",IF(COUNTIF(SourceTable[Source_Key],E171&amp;"|"&amp;F171)&lt;&gt;1,"SOURCE CONFLICT",IF(NOT(OR(INDEX(SourceTable[Status],MAX(1,Q171))="IMPORTED",INDEX(SourceTable[Status],MAX(1,Q171))="PARTIAL",INDEX(SourceTable[Status],MAX(1,Q171))="SOURCE CONFLICT")),"ACCESS BLOCKED",IF(OR(INDEX(SourceTable[Coverage],Q171)&lt;&gt;"FULL SEASON EXPORT",INDEX(SourceTable[URL],Q171)="",INDEX(SourceTable[SHA256],Q171)=""),"EVIDENCE INCOMPLETE",IF(AND('Input_Meci'!H19="LIVE",INDEX(SourceTable[Retrieved_UTC],Q171)&gt;'Input_Meci'!G19),"POST CUTOFF","CLOSED")))))))</x:f>
      </x:c>
      <x:c r="S171" s="2" t="n">
        <x:f>IF(OR(B171="",F171=""),0,COUNTIFS('Istoric_Nativ'!$B$6:$B$405,E171,'Istoric_Nativ'!$C$6:$C$405,F171,'Istoric_Nativ'!$E$6:$E$405,G171,'Istoric_Nativ'!$D$6:$D$405,"&lt;"&amp;J171,'Istoric_Nativ'!$O$6:$O$405,"INVALID")+COUNTIFS('Istoric_Nativ'!$B$6:$B$405,E171,'Istoric_Nativ'!$C$6:$C$405,F171,'Istoric_Nativ'!$E$6:$E$405,G171,'Istoric_Nativ'!$O$6:$O$405,"INVALID",'Istoric_Nativ'!$D$6:$D$405,"*")+COUNTIFS('Istoric_Nativ'!$B$6:$B$405,E171,'Istoric_Nativ'!$C$6:$C$405,F171,'Istoric_Nativ'!$E$6:$E$405,G171,'Istoric_Nativ'!$D$6:$D$405,"&lt;"&amp;J171,'Istoric_Nativ'!$O$6:$O$405,"SOURCE CONFLICT")+COUNTIFS('Istoric_Nativ'!$B$6:$B$405,E171,'Istoric_Nativ'!$C$6:$C$405,F171,'Istoric_Nativ'!$F$6:$F$405,G171,'Istoric_Nativ'!$D$6:$D$405,"&lt;"&amp;J171,'Istoric_Nativ'!$O$6:$O$405,"INVALID")+COUNTIFS('Istoric_Nativ'!$B$6:$B$405,E171,'Istoric_Nativ'!$C$6:$C$405,F171,'Istoric_Nativ'!$F$6:$F$405,G171,'Istoric_Nativ'!$O$6:$O$405,"INVALID",'Istoric_Nativ'!$D$6:$D$405,"*")+COUNTIFS('Istoric_Nativ'!$B$6:$B$405,E171,'Istoric_Nativ'!$C$6:$C$405,F171,'Istoric_Nativ'!$F$6:$F$405,G171,'Istoric_Nativ'!$D$6:$D$405,"&lt;"&amp;J171,'Istoric_Nativ'!$O$6:$O$405,"SOURCE CONFLICT"))</x:f>
        <x:v>0</x:v>
      </x:c>
      <x:c r="T171" s="2" t="str">
        <x:f>IF(B171="","",IF(R171&lt;&gt;"CLOSED",R171,IF(S171&gt;0,"NATIVE INPUT ISSUE",IF(M171=0,"NO HISTORY",IF(M171&lt;P171,"SMALL SAMPLE","DERIVED")))))</x:f>
      </x:c>
      <x:c r="U171" s="2" t="str">
        <x:f>IF(B171="","","NativeTable; "&amp;E171&amp;"; "&amp;F171&amp;"; "&amp;G171&amp;"; "&amp;H171&amp;"; before "&amp;TEXT(J171,"yyyy-mm-dd")&amp;IF(I171="RECENT","; from "&amp;TEXT(L171,"yyyy-mm-dd"),""))</x:f>
      </x:c>
    </x:row>
    <x:row r="172" ht="21" customHeight="1">
      <x:c r="A172" s="2" t="n">
        <x:v>14</x:v>
      </x:c>
      <x:c r="B172" s="2" t="str">
        <x:f>IF('Input_Meci'!A19="","",'Input_Meci'!A19)</x:f>
      </x:c>
      <x:c r="C172" s="2" t="str">
        <x:v>A</x:v>
      </x:c>
      <x:c r="D172" s="2" t="str">
        <x:v>PRIOR</x:v>
      </x:c>
      <x:c r="E172" s="2" t="str">
        <x:f>IF(B172="","",'Input_Meci'!B19)</x:f>
      </x:c>
      <x:c r="F172" s="2" t="str">
        <x:f>IF(B172="","",IF('Input_Meci'!K19="","",'Input_Meci'!K19))</x:f>
      </x:c>
      <x:c r="G172" s="2" t="str">
        <x:f>IF(B172="","",'Input_Meci'!E19)</x:f>
      </x:c>
      <x:c r="H172" s="2" t="str">
        <x:v>AWAY</x:v>
      </x:c>
      <x:c r="I172" s="2" t="str">
        <x:v>HA</x:v>
      </x:c>
      <x:c r="J172" s="9" t="n">
        <x:f>IF(AND(B172&lt;&gt;"",ISNUMBER('Input_Meci'!G19)),INT('Input_Meci'!G19),0)</x:f>
        <x:v>0</x:v>
      </x:c>
      <x:c r="K172" s="2" t="n">
        <x:f>IF(OR(B172="",F172=""),0,IF(H172="HOME",COUNTIFS('Istoric_Nativ'!$B$6:$B$405,E172,'Istoric_Nativ'!$C$6:$C$405,F172,'Istoric_Nativ'!$E$6:$E$405,G172,'Istoric_Nativ'!$D$6:$D$405,"&lt;"&amp;J172,'Istoric_Nativ'!$P$6:$P$405,1),IF(H172="AWAY",COUNTIFS('Istoric_Nativ'!$B$6:$B$405,E172,'Istoric_Nativ'!$C$6:$C$405,F172,'Istoric_Nativ'!$F$6:$F$405,G172,'Istoric_Nativ'!$D$6:$D$405,"&lt;"&amp;J172,'Istoric_Nativ'!$P$6:$P$405,1),COUNTIFS('Istoric_Nativ'!$B$6:$B$405,E172,'Istoric_Nativ'!$C$6:$C$405,F172,'Istoric_Nativ'!$E$6:$E$405,G172,'Istoric_Nativ'!$D$6:$D$405,"&lt;"&amp;J172,'Istoric_Nativ'!$P$6:$P$405,1)+COUNTIFS('Istoric_Nativ'!$B$6:$B$405,E172,'Istoric_Nativ'!$C$6:$C$405,F172,'Istoric_Nativ'!$F$6:$F$405,G172,'Istoric_Nativ'!$D$6:$D$405,"&lt;"&amp;J172,'Istoric_Nativ'!$P$6:$P$405,1))))</x:f>
        <x:v>0</x:v>
      </x:c>
      <x:c r="L172" s="17" t="n">
        <x:f>IF(AND(B172&lt;&gt;"",I172="RECENT",K172&gt;0),LARGE(_xlfn._xlws.FILTER('Istoric_Nativ'!$D$6:$D$405,('Istoric_Nativ'!$B$6:$B$405=E172)*('Istoric_Nativ'!$C$6:$C$405=F172)*('Istoric_Nativ'!$P$6:$P$405=1)*('Istoric_Nativ'!$D$6:$D$405&lt;J172)*((('Istoric_Nativ'!$E$6:$E$405=G172)+('Istoric_Nativ'!$F$6:$F$405=G172))&gt;0)),MIN('Config_v6'!$B$54,K172)),0)</x:f>
        <x:v>0</x:v>
      </x:c>
      <x:c r="M172" s="2" t="n">
        <x:f>IF(OR(B172="",F172=""),0,IF(H172="HOME",COUNTIFS('Istoric_Nativ'!$B$6:$B$405,E172,'Istoric_Nativ'!$C$6:$C$405,F172,'Istoric_Nativ'!$E$6:$E$405,G172,'Istoric_Nativ'!$D$6:$D$405,"&lt;"&amp;J172,'Istoric_Nativ'!$P$6:$P$405,1,'Istoric_Nativ'!$D$6:$D$405,"&gt;="&amp;L172),IF(H172="AWAY",COUNTIFS('Istoric_Nativ'!$B$6:$B$405,E172,'Istoric_Nativ'!$C$6:$C$405,F172,'Istoric_Nativ'!$F$6:$F$405,G172,'Istoric_Nativ'!$D$6:$D$405,"&lt;"&amp;J172,'Istoric_Nativ'!$P$6:$P$405,1,'Istoric_Nativ'!$D$6:$D$405,"&gt;="&amp;L172),COUNTIFS('Istoric_Nativ'!$B$6:$B$405,E172,'Istoric_Nativ'!$C$6:$C$405,F172,'Istoric_Nativ'!$E$6:$E$405,G172,'Istoric_Nativ'!$D$6:$D$405,"&lt;"&amp;J172,'Istoric_Nativ'!$P$6:$P$405,1,'Istoric_Nativ'!$D$6:$D$405,"&gt;="&amp;L172)+COUNTIFS('Istoric_Nativ'!$B$6:$B$405,E172,'Istoric_Nativ'!$C$6:$C$405,F172,'Istoric_Nativ'!$F$6:$F$405,G172,'Istoric_Nativ'!$D$6:$D$405,"&lt;"&amp;J172,'Istoric_Nativ'!$P$6:$P$405,1,'Istoric_Nativ'!$D$6:$D$405,"&gt;="&amp;L172))))</x:f>
        <x:v>0</x:v>
      </x:c>
      <x:c r="N172" s="11" t="str">
        <x:f>IF(M172=0,"",IF(H172="HOME",SUMIFS('Istoric_Nativ'!$G$6:$G$405,'Istoric_Nativ'!$B$6:$B$405,E172,'Istoric_Nativ'!$C$6:$C$405,F172,'Istoric_Nativ'!$E$6:$E$405,G172,'Istoric_Nativ'!$D$6:$D$405,"&lt;"&amp;J172,'Istoric_Nativ'!$P$6:$P$405,1,'Istoric_Nativ'!$D$6:$D$405,"&gt;="&amp;L172),IF(H172="AWAY",SUMIFS('Istoric_Nativ'!$H$6:$H$405,'Istoric_Nativ'!$B$6:$B$405,E172,'Istoric_Nativ'!$C$6:$C$405,F172,'Istoric_Nativ'!$F$6:$F$405,G172,'Istoric_Nativ'!$D$6:$D$405,"&lt;"&amp;J172,'Istoric_Nativ'!$P$6:$P$405,1,'Istoric_Nativ'!$D$6:$D$405,"&gt;="&amp;L172),SUMIFS('Istoric_Nativ'!$G$6:$G$405,'Istoric_Nativ'!$B$6:$B$405,E172,'Istoric_Nativ'!$C$6:$C$405,F172,'Istoric_Nativ'!$E$6:$E$405,G172,'Istoric_Nativ'!$D$6:$D$405,"&lt;"&amp;J172,'Istoric_Nativ'!$P$6:$P$405,1,'Istoric_Nativ'!$D$6:$D$405,"&gt;="&amp;L172)+SUMIFS('Istoric_Nativ'!$H$6:$H$405,'Istoric_Nativ'!$B$6:$B$405,E172,'Istoric_Nativ'!$C$6:$C$405,F172,'Istoric_Nativ'!$F$6:$F$405,G172,'Istoric_Nativ'!$D$6:$D$405,"&lt;"&amp;J172,'Istoric_Nativ'!$P$6:$P$405,1,'Istoric_Nativ'!$D$6:$D$405,"&gt;="&amp;L172)))/M172)</x:f>
      </x:c>
      <x:c r="O172" s="11" t="str">
        <x:f>IF(M172=0,"",IF(H172="HOME",SUMIFS('Istoric_Nativ'!$H$6:$H$405,'Istoric_Nativ'!$B$6:$B$405,E172,'Istoric_Nativ'!$C$6:$C$405,F172,'Istoric_Nativ'!$E$6:$E$405,G172,'Istoric_Nativ'!$D$6:$D$405,"&lt;"&amp;J172,'Istoric_Nativ'!$P$6:$P$405,1,'Istoric_Nativ'!$D$6:$D$405,"&gt;="&amp;L172),IF(H172="AWAY",SUMIFS('Istoric_Nativ'!$G$6:$G$405,'Istoric_Nativ'!$B$6:$B$405,E172,'Istoric_Nativ'!$C$6:$C$405,F172,'Istoric_Nativ'!$F$6:$F$405,G172,'Istoric_Nativ'!$D$6:$D$405,"&lt;"&amp;J172,'Istoric_Nativ'!$P$6:$P$405,1,'Istoric_Nativ'!$D$6:$D$405,"&gt;="&amp;L172),SUMIFS('Istoric_Nativ'!$H$6:$H$405,'Istoric_Nativ'!$B$6:$B$405,E172,'Istoric_Nativ'!$C$6:$C$405,F172,'Istoric_Nativ'!$E$6:$E$405,G172,'Istoric_Nativ'!$D$6:$D$405,"&lt;"&amp;J172,'Istoric_Nativ'!$P$6:$P$405,1,'Istoric_Nativ'!$D$6:$D$405,"&gt;="&amp;L172)+SUMIFS('Istoric_Nativ'!$G$6:$G$405,'Istoric_Nativ'!$B$6:$B$405,E172,'Istoric_Nativ'!$C$6:$C$405,F172,'Istoric_Nativ'!$F$6:$F$405,G172,'Istoric_Nativ'!$D$6:$D$405,"&lt;"&amp;J172,'Istoric_Nativ'!$P$6:$P$405,1,'Istoric_Nativ'!$D$6:$D$405,"&gt;="&amp;L172)))/M172)</x:f>
      </x:c>
      <x:c r="P172" s="2" t="n">
        <x:f>'Config_v6'!$B$8</x:f>
        <x:v>5</x:v>
      </x:c>
      <x:c r="Q172" s="2" t="n">
        <x:f>IF(OR(B172="",F172=""),0,IFERROR(MATCH(E172&amp;"|"&amp;F172,SourceTable[Source_Key],0),0))</x:f>
        <x:v>0</x:v>
      </x:c>
      <x:c r="R172" s="2" t="str">
        <x:f>IF(B172="","",IF(F172="","UNUSED",IF(Q172=0,"NOT CHECKED",IF(COUNTIF(SourceTable[Source_Key],E172&amp;"|"&amp;F172)&lt;&gt;1,"SOURCE CONFLICT",IF(NOT(OR(INDEX(SourceTable[Status],MAX(1,Q172))="IMPORTED",INDEX(SourceTable[Status],MAX(1,Q172))="PARTIAL",INDEX(SourceTable[Status],MAX(1,Q172))="SOURCE CONFLICT")),"ACCESS BLOCKED",IF(OR(INDEX(SourceTable[Coverage],Q172)&lt;&gt;"FULL SEASON EXPORT",INDEX(SourceTable[URL],Q172)="",INDEX(SourceTable[SHA256],Q172)=""),"EVIDENCE INCOMPLETE",IF(AND('Input_Meci'!H19="LIVE",INDEX(SourceTable[Retrieved_UTC],Q172)&gt;'Input_Meci'!G19),"POST CUTOFF","CLOSED")))))))</x:f>
      </x:c>
      <x:c r="S172" s="2" t="n">
        <x:f>IF(OR(B172="",F172=""),0,COUNTIFS('Istoric_Nativ'!$B$6:$B$405,E172,'Istoric_Nativ'!$C$6:$C$405,F172,'Istoric_Nativ'!$E$6:$E$405,G172,'Istoric_Nativ'!$D$6:$D$405,"&lt;"&amp;J172,'Istoric_Nativ'!$O$6:$O$405,"INVALID")+COUNTIFS('Istoric_Nativ'!$B$6:$B$405,E172,'Istoric_Nativ'!$C$6:$C$405,F172,'Istoric_Nativ'!$E$6:$E$405,G172,'Istoric_Nativ'!$O$6:$O$405,"INVALID",'Istoric_Nativ'!$D$6:$D$405,"*")+COUNTIFS('Istoric_Nativ'!$B$6:$B$405,E172,'Istoric_Nativ'!$C$6:$C$405,F172,'Istoric_Nativ'!$E$6:$E$405,G172,'Istoric_Nativ'!$D$6:$D$405,"&lt;"&amp;J172,'Istoric_Nativ'!$O$6:$O$405,"SOURCE CONFLICT")+COUNTIFS('Istoric_Nativ'!$B$6:$B$405,E172,'Istoric_Nativ'!$C$6:$C$405,F172,'Istoric_Nativ'!$F$6:$F$405,G172,'Istoric_Nativ'!$D$6:$D$405,"&lt;"&amp;J172,'Istoric_Nativ'!$O$6:$O$405,"INVALID")+COUNTIFS('Istoric_Nativ'!$B$6:$B$405,E172,'Istoric_Nativ'!$C$6:$C$405,F172,'Istoric_Nativ'!$F$6:$F$405,G172,'Istoric_Nativ'!$O$6:$O$405,"INVALID",'Istoric_Nativ'!$D$6:$D$405,"*")+COUNTIFS('Istoric_Nativ'!$B$6:$B$405,E172,'Istoric_Nativ'!$C$6:$C$405,F172,'Istoric_Nativ'!$F$6:$F$405,G172,'Istoric_Nativ'!$D$6:$D$405,"&lt;"&amp;J172,'Istoric_Nativ'!$O$6:$O$405,"SOURCE CONFLICT"))</x:f>
        <x:v>0</x:v>
      </x:c>
      <x:c r="T172" s="2" t="str">
        <x:f>IF(B172="","",IF(R172&lt;&gt;"CLOSED",R172,IF(S172&gt;0,"NATIVE INPUT ISSUE",IF(M172=0,"NO HISTORY",IF(M172&lt;P172,"SMALL SAMPLE","DERIVED")))))</x:f>
      </x:c>
      <x:c r="U172" s="2" t="str">
        <x:f>IF(B172="","","NativeTable; "&amp;E172&amp;"; "&amp;F172&amp;"; "&amp;G172&amp;"; "&amp;H172&amp;"; before "&amp;TEXT(J172,"yyyy-mm-dd")&amp;IF(I172="RECENT","; from "&amp;TEXT(L172,"yyyy-mm-dd"),""))</x:f>
      </x:c>
    </x:row>
    <x:row r="173" ht="21" customHeight="1">
      <x:c r="A173" s="2" t="n">
        <x:v>14</x:v>
      </x:c>
      <x:c r="B173" s="2" t="str">
        <x:f>IF('Input_Meci'!A19="","",'Input_Meci'!A19)</x:f>
      </x:c>
      <x:c r="C173" s="2" t="str">
        <x:v>A</x:v>
      </x:c>
      <x:c r="D173" s="2" t="str">
        <x:v>PRIOR</x:v>
      </x:c>
      <x:c r="E173" s="2" t="str">
        <x:f>IF(B173="","",'Input_Meci'!B19)</x:f>
      </x:c>
      <x:c r="F173" s="2" t="str">
        <x:f>IF(B173="","",IF('Input_Meci'!K19="","",'Input_Meci'!K19))</x:f>
      </x:c>
      <x:c r="G173" s="2" t="str">
        <x:f>IF(B173="","",'Input_Meci'!E19)</x:f>
      </x:c>
      <x:c r="H173" s="2" t="str">
        <x:v>ANY</x:v>
      </x:c>
      <x:c r="I173" s="2" t="str">
        <x:v>RECENT</x:v>
      </x:c>
      <x:c r="J173" s="9" t="n">
        <x:f>IF(AND(B173&lt;&gt;"",ISNUMBER('Input_Meci'!G19)),INT('Input_Meci'!G19),0)</x:f>
        <x:v>0</x:v>
      </x:c>
      <x:c r="K173" s="2" t="n">
        <x:f>IF(OR(B173="",F173=""),0,IF(H173="HOME",COUNTIFS('Istoric_Nativ'!$B$6:$B$405,E173,'Istoric_Nativ'!$C$6:$C$405,F173,'Istoric_Nativ'!$E$6:$E$405,G173,'Istoric_Nativ'!$D$6:$D$405,"&lt;"&amp;J173,'Istoric_Nativ'!$P$6:$P$405,1),IF(H173="AWAY",COUNTIFS('Istoric_Nativ'!$B$6:$B$405,E173,'Istoric_Nativ'!$C$6:$C$405,F173,'Istoric_Nativ'!$F$6:$F$405,G173,'Istoric_Nativ'!$D$6:$D$405,"&lt;"&amp;J173,'Istoric_Nativ'!$P$6:$P$405,1),COUNTIFS('Istoric_Nativ'!$B$6:$B$405,E173,'Istoric_Nativ'!$C$6:$C$405,F173,'Istoric_Nativ'!$E$6:$E$405,G173,'Istoric_Nativ'!$D$6:$D$405,"&lt;"&amp;J173,'Istoric_Nativ'!$P$6:$P$405,1)+COUNTIFS('Istoric_Nativ'!$B$6:$B$405,E173,'Istoric_Nativ'!$C$6:$C$405,F173,'Istoric_Nativ'!$F$6:$F$405,G173,'Istoric_Nativ'!$D$6:$D$405,"&lt;"&amp;J173,'Istoric_Nativ'!$P$6:$P$405,1))))</x:f>
        <x:v>0</x:v>
      </x:c>
      <x:c r="L173" s="17" t="n">
        <x:f>IF(AND(B173&lt;&gt;"",I173="RECENT",K173&gt;0),LARGE(_xlfn._xlws.FILTER('Istoric_Nativ'!$D$6:$D$405,('Istoric_Nativ'!$B$6:$B$405=E173)*('Istoric_Nativ'!$C$6:$C$405=F173)*('Istoric_Nativ'!$P$6:$P$405=1)*('Istoric_Nativ'!$D$6:$D$405&lt;J173)*((('Istoric_Nativ'!$E$6:$E$405=G173)+('Istoric_Nativ'!$F$6:$F$405=G173))&gt;0)),MIN('Config_v6'!$B$54,K173)),0)</x:f>
        <x:v>0</x:v>
      </x:c>
      <x:c r="M173" s="2" t="n">
        <x:f>IF(OR(B173="",F173=""),0,IF(H173="HOME",COUNTIFS('Istoric_Nativ'!$B$6:$B$405,E173,'Istoric_Nativ'!$C$6:$C$405,F173,'Istoric_Nativ'!$E$6:$E$405,G173,'Istoric_Nativ'!$D$6:$D$405,"&lt;"&amp;J173,'Istoric_Nativ'!$P$6:$P$405,1,'Istoric_Nativ'!$D$6:$D$405,"&gt;="&amp;L173),IF(H173="AWAY",COUNTIFS('Istoric_Nativ'!$B$6:$B$405,E173,'Istoric_Nativ'!$C$6:$C$405,F173,'Istoric_Nativ'!$F$6:$F$405,G173,'Istoric_Nativ'!$D$6:$D$405,"&lt;"&amp;J173,'Istoric_Nativ'!$P$6:$P$405,1,'Istoric_Nativ'!$D$6:$D$405,"&gt;="&amp;L173),COUNTIFS('Istoric_Nativ'!$B$6:$B$405,E173,'Istoric_Nativ'!$C$6:$C$405,F173,'Istoric_Nativ'!$E$6:$E$405,G173,'Istoric_Nativ'!$D$6:$D$405,"&lt;"&amp;J173,'Istoric_Nativ'!$P$6:$P$405,1,'Istoric_Nativ'!$D$6:$D$405,"&gt;="&amp;L173)+COUNTIFS('Istoric_Nativ'!$B$6:$B$405,E173,'Istoric_Nativ'!$C$6:$C$405,F173,'Istoric_Nativ'!$F$6:$F$405,G173,'Istoric_Nativ'!$D$6:$D$405,"&lt;"&amp;J173,'Istoric_Nativ'!$P$6:$P$405,1,'Istoric_Nativ'!$D$6:$D$405,"&gt;="&amp;L173))))</x:f>
        <x:v>0</x:v>
      </x:c>
      <x:c r="N173" s="11" t="str">
        <x:f>IF(M173=0,"",IF(H173="HOME",SUMIFS('Istoric_Nativ'!$G$6:$G$405,'Istoric_Nativ'!$B$6:$B$405,E173,'Istoric_Nativ'!$C$6:$C$405,F173,'Istoric_Nativ'!$E$6:$E$405,G173,'Istoric_Nativ'!$D$6:$D$405,"&lt;"&amp;J173,'Istoric_Nativ'!$P$6:$P$405,1,'Istoric_Nativ'!$D$6:$D$405,"&gt;="&amp;L173),IF(H173="AWAY",SUMIFS('Istoric_Nativ'!$H$6:$H$405,'Istoric_Nativ'!$B$6:$B$405,E173,'Istoric_Nativ'!$C$6:$C$405,F173,'Istoric_Nativ'!$F$6:$F$405,G173,'Istoric_Nativ'!$D$6:$D$405,"&lt;"&amp;J173,'Istoric_Nativ'!$P$6:$P$405,1,'Istoric_Nativ'!$D$6:$D$405,"&gt;="&amp;L173),SUMIFS('Istoric_Nativ'!$G$6:$G$405,'Istoric_Nativ'!$B$6:$B$405,E173,'Istoric_Nativ'!$C$6:$C$405,F173,'Istoric_Nativ'!$E$6:$E$405,G173,'Istoric_Nativ'!$D$6:$D$405,"&lt;"&amp;J173,'Istoric_Nativ'!$P$6:$P$405,1,'Istoric_Nativ'!$D$6:$D$405,"&gt;="&amp;L173)+SUMIFS('Istoric_Nativ'!$H$6:$H$405,'Istoric_Nativ'!$B$6:$B$405,E173,'Istoric_Nativ'!$C$6:$C$405,F173,'Istoric_Nativ'!$F$6:$F$405,G173,'Istoric_Nativ'!$D$6:$D$405,"&lt;"&amp;J173,'Istoric_Nativ'!$P$6:$P$405,1,'Istoric_Nativ'!$D$6:$D$405,"&gt;="&amp;L173)))/M173)</x:f>
      </x:c>
      <x:c r="O173" s="11" t="str">
        <x:f>IF(M173=0,"",IF(H173="HOME",SUMIFS('Istoric_Nativ'!$H$6:$H$405,'Istoric_Nativ'!$B$6:$B$405,E173,'Istoric_Nativ'!$C$6:$C$405,F173,'Istoric_Nativ'!$E$6:$E$405,G173,'Istoric_Nativ'!$D$6:$D$405,"&lt;"&amp;J173,'Istoric_Nativ'!$P$6:$P$405,1,'Istoric_Nativ'!$D$6:$D$405,"&gt;="&amp;L173),IF(H173="AWAY",SUMIFS('Istoric_Nativ'!$G$6:$G$405,'Istoric_Nativ'!$B$6:$B$405,E173,'Istoric_Nativ'!$C$6:$C$405,F173,'Istoric_Nativ'!$F$6:$F$405,G173,'Istoric_Nativ'!$D$6:$D$405,"&lt;"&amp;J173,'Istoric_Nativ'!$P$6:$P$405,1,'Istoric_Nativ'!$D$6:$D$405,"&gt;="&amp;L173),SUMIFS('Istoric_Nativ'!$H$6:$H$405,'Istoric_Nativ'!$B$6:$B$405,E173,'Istoric_Nativ'!$C$6:$C$405,F173,'Istoric_Nativ'!$E$6:$E$405,G173,'Istoric_Nativ'!$D$6:$D$405,"&lt;"&amp;J173,'Istoric_Nativ'!$P$6:$P$405,1,'Istoric_Nativ'!$D$6:$D$405,"&gt;="&amp;L173)+SUMIFS('Istoric_Nativ'!$G$6:$G$405,'Istoric_Nativ'!$B$6:$B$405,E173,'Istoric_Nativ'!$C$6:$C$405,F173,'Istoric_Nativ'!$F$6:$F$405,G173,'Istoric_Nativ'!$D$6:$D$405,"&lt;"&amp;J173,'Istoric_Nativ'!$P$6:$P$405,1,'Istoric_Nativ'!$D$6:$D$405,"&gt;="&amp;L173)))/M173)</x:f>
      </x:c>
      <x:c r="P173" s="2" t="n">
        <x:f>'Config_v6'!$B$9</x:f>
        <x:v>3</x:v>
      </x:c>
      <x:c r="Q173" s="2" t="n">
        <x:f>IF(OR(B173="",F173=""),0,IFERROR(MATCH(E173&amp;"|"&amp;F173,SourceTable[Source_Key],0),0))</x:f>
        <x:v>0</x:v>
      </x:c>
      <x:c r="R173" s="2" t="str">
        <x:f>IF(B173="","",IF(F173="","UNUSED",IF(Q173=0,"NOT CHECKED",IF(COUNTIF(SourceTable[Source_Key],E173&amp;"|"&amp;F173)&lt;&gt;1,"SOURCE CONFLICT",IF(NOT(OR(INDEX(SourceTable[Status],MAX(1,Q173))="IMPORTED",INDEX(SourceTable[Status],MAX(1,Q173))="PARTIAL",INDEX(SourceTable[Status],MAX(1,Q173))="SOURCE CONFLICT")),"ACCESS BLOCKED",IF(OR(INDEX(SourceTable[Coverage],Q173)&lt;&gt;"FULL SEASON EXPORT",INDEX(SourceTable[URL],Q173)="",INDEX(SourceTable[SHA256],Q173)=""),"EVIDENCE INCOMPLETE",IF(AND('Input_Meci'!H19="LIVE",INDEX(SourceTable[Retrieved_UTC],Q173)&gt;'Input_Meci'!G19),"POST CUTOFF","CLOSED")))))))</x:f>
      </x:c>
      <x:c r="S173" s="2" t="n">
        <x:f>IF(OR(B173="",F173=""),0,COUNTIFS('Istoric_Nativ'!$B$6:$B$405,E173,'Istoric_Nativ'!$C$6:$C$405,F173,'Istoric_Nativ'!$E$6:$E$405,G173,'Istoric_Nativ'!$D$6:$D$405,"&lt;"&amp;J173,'Istoric_Nativ'!$O$6:$O$405,"INVALID")+COUNTIFS('Istoric_Nativ'!$B$6:$B$405,E173,'Istoric_Nativ'!$C$6:$C$405,F173,'Istoric_Nativ'!$E$6:$E$405,G173,'Istoric_Nativ'!$O$6:$O$405,"INVALID",'Istoric_Nativ'!$D$6:$D$405,"*")+COUNTIFS('Istoric_Nativ'!$B$6:$B$405,E173,'Istoric_Nativ'!$C$6:$C$405,F173,'Istoric_Nativ'!$E$6:$E$405,G173,'Istoric_Nativ'!$D$6:$D$405,"&lt;"&amp;J173,'Istoric_Nativ'!$O$6:$O$405,"SOURCE CONFLICT")+COUNTIFS('Istoric_Nativ'!$B$6:$B$405,E173,'Istoric_Nativ'!$C$6:$C$405,F173,'Istoric_Nativ'!$F$6:$F$405,G173,'Istoric_Nativ'!$D$6:$D$405,"&lt;"&amp;J173,'Istoric_Nativ'!$O$6:$O$405,"INVALID")+COUNTIFS('Istoric_Nativ'!$B$6:$B$405,E173,'Istoric_Nativ'!$C$6:$C$405,F173,'Istoric_Nativ'!$F$6:$F$405,G173,'Istoric_Nativ'!$O$6:$O$405,"INVALID",'Istoric_Nativ'!$D$6:$D$405,"*")+COUNTIFS('Istoric_Nativ'!$B$6:$B$405,E173,'Istoric_Nativ'!$C$6:$C$405,F173,'Istoric_Nativ'!$F$6:$F$405,G173,'Istoric_Nativ'!$D$6:$D$405,"&lt;"&amp;J173,'Istoric_Nativ'!$O$6:$O$405,"SOURCE CONFLICT"))</x:f>
        <x:v>0</x:v>
      </x:c>
      <x:c r="T173" s="2" t="str">
        <x:f>IF(B173="","",IF(R173&lt;&gt;"CLOSED",R173,IF(S173&gt;0,"NATIVE INPUT ISSUE",IF(M173=0,"NO HISTORY",IF(M173&lt;P173,"SMALL SAMPLE","DERIVED")))))</x:f>
      </x:c>
      <x:c r="U173" s="2" t="str">
        <x:f>IF(B173="","","NativeTable; "&amp;E173&amp;"; "&amp;F173&amp;"; "&amp;G173&amp;"; "&amp;H173&amp;"; before "&amp;TEXT(J173,"yyyy-mm-dd")&amp;IF(I173="RECENT","; from "&amp;TEXT(L173,"yyyy-mm-dd"),""))</x:f>
      </x:c>
    </x:row>
    <x:row r="174" ht="21" customHeight="1">
      <x:c r="A174" s="2" t="n">
        <x:v>15</x:v>
      </x:c>
      <x:c r="B174" s="2" t="str">
        <x:f>IF('Input_Meci'!A20="","",'Input_Meci'!A20)</x:f>
      </x:c>
      <x:c r="C174" s="2" t="str">
        <x:v>H</x:v>
      </x:c>
      <x:c r="D174" s="2" t="str">
        <x:v>CURRENT</x:v>
      </x:c>
      <x:c r="E174" s="2" t="str">
        <x:f>IF(B174="","",'Input_Meci'!B20)</x:f>
      </x:c>
      <x:c r="F174" s="2" t="str">
        <x:f>IF(B174="","",IF('Input_Meci'!C20="","",'Input_Meci'!C20))</x:f>
      </x:c>
      <x:c r="G174" s="2" t="str">
        <x:f>IF(B174="","",'Input_Meci'!D20)</x:f>
      </x:c>
      <x:c r="H174" s="2" t="str">
        <x:v>ANY</x:v>
      </x:c>
      <x:c r="I174" s="2" t="str">
        <x:v>SEASON</x:v>
      </x:c>
      <x:c r="J174" s="9" t="n">
        <x:f>IF(AND(B174&lt;&gt;"",ISNUMBER('Input_Meci'!G20)),INT('Input_Meci'!G20),0)</x:f>
        <x:v>0</x:v>
      </x:c>
      <x:c r="K174" s="2" t="n">
        <x:f>IF(OR(B174="",F174=""),0,IF(H174="HOME",COUNTIFS('Istoric_Nativ'!$B$6:$B$405,E174,'Istoric_Nativ'!$C$6:$C$405,F174,'Istoric_Nativ'!$E$6:$E$405,G174,'Istoric_Nativ'!$D$6:$D$405,"&lt;"&amp;J174,'Istoric_Nativ'!$P$6:$P$405,1),IF(H174="AWAY",COUNTIFS('Istoric_Nativ'!$B$6:$B$405,E174,'Istoric_Nativ'!$C$6:$C$405,F174,'Istoric_Nativ'!$F$6:$F$405,G174,'Istoric_Nativ'!$D$6:$D$405,"&lt;"&amp;J174,'Istoric_Nativ'!$P$6:$P$405,1),COUNTIFS('Istoric_Nativ'!$B$6:$B$405,E174,'Istoric_Nativ'!$C$6:$C$405,F174,'Istoric_Nativ'!$E$6:$E$405,G174,'Istoric_Nativ'!$D$6:$D$405,"&lt;"&amp;J174,'Istoric_Nativ'!$P$6:$P$405,1)+COUNTIFS('Istoric_Nativ'!$B$6:$B$405,E174,'Istoric_Nativ'!$C$6:$C$405,F174,'Istoric_Nativ'!$F$6:$F$405,G174,'Istoric_Nativ'!$D$6:$D$405,"&lt;"&amp;J174,'Istoric_Nativ'!$P$6:$P$405,1))))</x:f>
        <x:v>0</x:v>
      </x:c>
      <x:c r="L174" s="17" t="n">
        <x:f>IF(AND(B174&lt;&gt;"",I174="RECENT",K174&gt;0),LARGE(_xlfn._xlws.FILTER('Istoric_Nativ'!$D$6:$D$405,('Istoric_Nativ'!$B$6:$B$405=E174)*('Istoric_Nativ'!$C$6:$C$405=F174)*('Istoric_Nativ'!$P$6:$P$405=1)*('Istoric_Nativ'!$D$6:$D$405&lt;J174)*((('Istoric_Nativ'!$E$6:$E$405=G174)+('Istoric_Nativ'!$F$6:$F$405=G174))&gt;0)),MIN('Config_v6'!$B$54,K174)),0)</x:f>
        <x:v>0</x:v>
      </x:c>
      <x:c r="M174" s="2" t="n">
        <x:f>IF(OR(B174="",F174=""),0,IF(H174="HOME",COUNTIFS('Istoric_Nativ'!$B$6:$B$405,E174,'Istoric_Nativ'!$C$6:$C$405,F174,'Istoric_Nativ'!$E$6:$E$405,G174,'Istoric_Nativ'!$D$6:$D$405,"&lt;"&amp;J174,'Istoric_Nativ'!$P$6:$P$405,1,'Istoric_Nativ'!$D$6:$D$405,"&gt;="&amp;L174),IF(H174="AWAY",COUNTIFS('Istoric_Nativ'!$B$6:$B$405,E174,'Istoric_Nativ'!$C$6:$C$405,F174,'Istoric_Nativ'!$F$6:$F$405,G174,'Istoric_Nativ'!$D$6:$D$405,"&lt;"&amp;J174,'Istoric_Nativ'!$P$6:$P$405,1,'Istoric_Nativ'!$D$6:$D$405,"&gt;="&amp;L174),COUNTIFS('Istoric_Nativ'!$B$6:$B$405,E174,'Istoric_Nativ'!$C$6:$C$405,F174,'Istoric_Nativ'!$E$6:$E$405,G174,'Istoric_Nativ'!$D$6:$D$405,"&lt;"&amp;J174,'Istoric_Nativ'!$P$6:$P$405,1,'Istoric_Nativ'!$D$6:$D$405,"&gt;="&amp;L174)+COUNTIFS('Istoric_Nativ'!$B$6:$B$405,E174,'Istoric_Nativ'!$C$6:$C$405,F174,'Istoric_Nativ'!$F$6:$F$405,G174,'Istoric_Nativ'!$D$6:$D$405,"&lt;"&amp;J174,'Istoric_Nativ'!$P$6:$P$405,1,'Istoric_Nativ'!$D$6:$D$405,"&gt;="&amp;L174))))</x:f>
        <x:v>0</x:v>
      </x:c>
      <x:c r="N174" s="11" t="str">
        <x:f>IF(M174=0,"",IF(H174="HOME",SUMIFS('Istoric_Nativ'!$G$6:$G$405,'Istoric_Nativ'!$B$6:$B$405,E174,'Istoric_Nativ'!$C$6:$C$405,F174,'Istoric_Nativ'!$E$6:$E$405,G174,'Istoric_Nativ'!$D$6:$D$405,"&lt;"&amp;J174,'Istoric_Nativ'!$P$6:$P$405,1,'Istoric_Nativ'!$D$6:$D$405,"&gt;="&amp;L174),IF(H174="AWAY",SUMIFS('Istoric_Nativ'!$H$6:$H$405,'Istoric_Nativ'!$B$6:$B$405,E174,'Istoric_Nativ'!$C$6:$C$405,F174,'Istoric_Nativ'!$F$6:$F$405,G174,'Istoric_Nativ'!$D$6:$D$405,"&lt;"&amp;J174,'Istoric_Nativ'!$P$6:$P$405,1,'Istoric_Nativ'!$D$6:$D$405,"&gt;="&amp;L174),SUMIFS('Istoric_Nativ'!$G$6:$G$405,'Istoric_Nativ'!$B$6:$B$405,E174,'Istoric_Nativ'!$C$6:$C$405,F174,'Istoric_Nativ'!$E$6:$E$405,G174,'Istoric_Nativ'!$D$6:$D$405,"&lt;"&amp;J174,'Istoric_Nativ'!$P$6:$P$405,1,'Istoric_Nativ'!$D$6:$D$405,"&gt;="&amp;L174)+SUMIFS('Istoric_Nativ'!$H$6:$H$405,'Istoric_Nativ'!$B$6:$B$405,E174,'Istoric_Nativ'!$C$6:$C$405,F174,'Istoric_Nativ'!$F$6:$F$405,G174,'Istoric_Nativ'!$D$6:$D$405,"&lt;"&amp;J174,'Istoric_Nativ'!$P$6:$P$405,1,'Istoric_Nativ'!$D$6:$D$405,"&gt;="&amp;L174)))/M174)</x:f>
      </x:c>
      <x:c r="O174" s="11" t="str">
        <x:f>IF(M174=0,"",IF(H174="HOME",SUMIFS('Istoric_Nativ'!$H$6:$H$405,'Istoric_Nativ'!$B$6:$B$405,E174,'Istoric_Nativ'!$C$6:$C$405,F174,'Istoric_Nativ'!$E$6:$E$405,G174,'Istoric_Nativ'!$D$6:$D$405,"&lt;"&amp;J174,'Istoric_Nativ'!$P$6:$P$405,1,'Istoric_Nativ'!$D$6:$D$405,"&gt;="&amp;L174),IF(H174="AWAY",SUMIFS('Istoric_Nativ'!$G$6:$G$405,'Istoric_Nativ'!$B$6:$B$405,E174,'Istoric_Nativ'!$C$6:$C$405,F174,'Istoric_Nativ'!$F$6:$F$405,G174,'Istoric_Nativ'!$D$6:$D$405,"&lt;"&amp;J174,'Istoric_Nativ'!$P$6:$P$405,1,'Istoric_Nativ'!$D$6:$D$405,"&gt;="&amp;L174),SUMIFS('Istoric_Nativ'!$H$6:$H$405,'Istoric_Nativ'!$B$6:$B$405,E174,'Istoric_Nativ'!$C$6:$C$405,F174,'Istoric_Nativ'!$E$6:$E$405,G174,'Istoric_Nativ'!$D$6:$D$405,"&lt;"&amp;J174,'Istoric_Nativ'!$P$6:$P$405,1,'Istoric_Nativ'!$D$6:$D$405,"&gt;="&amp;L174)+SUMIFS('Istoric_Nativ'!$G$6:$G$405,'Istoric_Nativ'!$B$6:$B$405,E174,'Istoric_Nativ'!$C$6:$C$405,F174,'Istoric_Nativ'!$F$6:$F$405,G174,'Istoric_Nativ'!$D$6:$D$405,"&lt;"&amp;J174,'Istoric_Nativ'!$P$6:$P$405,1,'Istoric_Nativ'!$D$6:$D$405,"&gt;="&amp;L174)))/M174)</x:f>
      </x:c>
      <x:c r="P174" s="2" t="n">
        <x:f>'Config_v6'!$B$7</x:f>
        <x:v>10</x:v>
      </x:c>
      <x:c r="Q174" s="2" t="n">
        <x:f>IF(OR(B174="",F174=""),0,IFERROR(MATCH(E174&amp;"|"&amp;F174,SourceTable[Source_Key],0),0))</x:f>
        <x:v>0</x:v>
      </x:c>
      <x:c r="R174" s="2" t="str">
        <x:f>IF(B174="","",IF(F174="","UNUSED",IF(Q174=0,"NOT CHECKED",IF(COUNTIF(SourceTable[Source_Key],E174&amp;"|"&amp;F174)&lt;&gt;1,"SOURCE CONFLICT",IF(NOT(OR(INDEX(SourceTable[Status],MAX(1,Q174))="IMPORTED",INDEX(SourceTable[Status],MAX(1,Q174))="PARTIAL",INDEX(SourceTable[Status],MAX(1,Q174))="SOURCE CONFLICT")),"ACCESS BLOCKED",IF(OR(INDEX(SourceTable[Coverage],Q174)&lt;&gt;"FULL SEASON EXPORT",INDEX(SourceTable[URL],Q174)="",INDEX(SourceTable[SHA256],Q174)=""),"EVIDENCE INCOMPLETE",IF(AND('Input_Meci'!H20="LIVE",INDEX(SourceTable[Retrieved_UTC],Q174)&gt;'Input_Meci'!G20),"POST CUTOFF","CLOSED")))))))</x:f>
      </x:c>
      <x:c r="S174" s="2" t="n">
        <x:f>IF(OR(B174="",F174=""),0,COUNTIFS('Istoric_Nativ'!$B$6:$B$405,E174,'Istoric_Nativ'!$C$6:$C$405,F174,'Istoric_Nativ'!$E$6:$E$405,G174,'Istoric_Nativ'!$D$6:$D$405,"&lt;"&amp;J174,'Istoric_Nativ'!$O$6:$O$405,"INVALID")+COUNTIFS('Istoric_Nativ'!$B$6:$B$405,E174,'Istoric_Nativ'!$C$6:$C$405,F174,'Istoric_Nativ'!$E$6:$E$405,G174,'Istoric_Nativ'!$O$6:$O$405,"INVALID",'Istoric_Nativ'!$D$6:$D$405,"*")+COUNTIFS('Istoric_Nativ'!$B$6:$B$405,E174,'Istoric_Nativ'!$C$6:$C$405,F174,'Istoric_Nativ'!$E$6:$E$405,G174,'Istoric_Nativ'!$D$6:$D$405,"&lt;"&amp;J174,'Istoric_Nativ'!$O$6:$O$405,"SOURCE CONFLICT")+COUNTIFS('Istoric_Nativ'!$B$6:$B$405,E174,'Istoric_Nativ'!$C$6:$C$405,F174,'Istoric_Nativ'!$F$6:$F$405,G174,'Istoric_Nativ'!$D$6:$D$405,"&lt;"&amp;J174,'Istoric_Nativ'!$O$6:$O$405,"INVALID")+COUNTIFS('Istoric_Nativ'!$B$6:$B$405,E174,'Istoric_Nativ'!$C$6:$C$405,F174,'Istoric_Nativ'!$F$6:$F$405,G174,'Istoric_Nativ'!$O$6:$O$405,"INVALID",'Istoric_Nativ'!$D$6:$D$405,"*")+COUNTIFS('Istoric_Nativ'!$B$6:$B$405,E174,'Istoric_Nativ'!$C$6:$C$405,F174,'Istoric_Nativ'!$F$6:$F$405,G174,'Istoric_Nativ'!$D$6:$D$405,"&lt;"&amp;J174,'Istoric_Nativ'!$O$6:$O$405,"SOURCE CONFLICT"))</x:f>
        <x:v>0</x:v>
      </x:c>
      <x:c r="T174" s="2" t="str">
        <x:f>IF(B174="","",IF(R174&lt;&gt;"CLOSED",R174,IF(S174&gt;0,"NATIVE INPUT ISSUE",IF(M174=0,"NO HISTORY",IF(M174&lt;P174,"SMALL SAMPLE","DERIVED")))))</x:f>
      </x:c>
      <x:c r="U174" s="2" t="str">
        <x:f>IF(B174="","","NativeTable; "&amp;E174&amp;"; "&amp;F174&amp;"; "&amp;G174&amp;"; "&amp;H174&amp;"; before "&amp;TEXT(J174,"yyyy-mm-dd")&amp;IF(I174="RECENT","; from "&amp;TEXT(L174,"yyyy-mm-dd"),""))</x:f>
      </x:c>
    </x:row>
    <x:row r="175" ht="21" customHeight="1">
      <x:c r="A175" s="2" t="n">
        <x:v>15</x:v>
      </x:c>
      <x:c r="B175" s="2" t="str">
        <x:f>IF('Input_Meci'!A20="","",'Input_Meci'!A20)</x:f>
      </x:c>
      <x:c r="C175" s="2" t="str">
        <x:v>H</x:v>
      </x:c>
      <x:c r="D175" s="2" t="str">
        <x:v>CURRENT</x:v>
      </x:c>
      <x:c r="E175" s="2" t="str">
        <x:f>IF(B175="","",'Input_Meci'!B20)</x:f>
      </x:c>
      <x:c r="F175" s="2" t="str">
        <x:f>IF(B175="","",IF('Input_Meci'!C20="","",'Input_Meci'!C20))</x:f>
      </x:c>
      <x:c r="G175" s="2" t="str">
        <x:f>IF(B175="","",'Input_Meci'!D20)</x:f>
      </x:c>
      <x:c r="H175" s="2" t="str">
        <x:v>HOME</x:v>
      </x:c>
      <x:c r="I175" s="2" t="str">
        <x:v>HA</x:v>
      </x:c>
      <x:c r="J175" s="9" t="n">
        <x:f>IF(AND(B175&lt;&gt;"",ISNUMBER('Input_Meci'!G20)),INT('Input_Meci'!G20),0)</x:f>
        <x:v>0</x:v>
      </x:c>
      <x:c r="K175" s="2" t="n">
        <x:f>IF(OR(B175="",F175=""),0,IF(H175="HOME",COUNTIFS('Istoric_Nativ'!$B$6:$B$405,E175,'Istoric_Nativ'!$C$6:$C$405,F175,'Istoric_Nativ'!$E$6:$E$405,G175,'Istoric_Nativ'!$D$6:$D$405,"&lt;"&amp;J175,'Istoric_Nativ'!$P$6:$P$405,1),IF(H175="AWAY",COUNTIFS('Istoric_Nativ'!$B$6:$B$405,E175,'Istoric_Nativ'!$C$6:$C$405,F175,'Istoric_Nativ'!$F$6:$F$405,G175,'Istoric_Nativ'!$D$6:$D$405,"&lt;"&amp;J175,'Istoric_Nativ'!$P$6:$P$405,1),COUNTIFS('Istoric_Nativ'!$B$6:$B$405,E175,'Istoric_Nativ'!$C$6:$C$405,F175,'Istoric_Nativ'!$E$6:$E$405,G175,'Istoric_Nativ'!$D$6:$D$405,"&lt;"&amp;J175,'Istoric_Nativ'!$P$6:$P$405,1)+COUNTIFS('Istoric_Nativ'!$B$6:$B$405,E175,'Istoric_Nativ'!$C$6:$C$405,F175,'Istoric_Nativ'!$F$6:$F$405,G175,'Istoric_Nativ'!$D$6:$D$405,"&lt;"&amp;J175,'Istoric_Nativ'!$P$6:$P$405,1))))</x:f>
        <x:v>0</x:v>
      </x:c>
      <x:c r="L175" s="17" t="n">
        <x:f>IF(AND(B175&lt;&gt;"",I175="RECENT",K175&gt;0),LARGE(_xlfn._xlws.FILTER('Istoric_Nativ'!$D$6:$D$405,('Istoric_Nativ'!$B$6:$B$405=E175)*('Istoric_Nativ'!$C$6:$C$405=F175)*('Istoric_Nativ'!$P$6:$P$405=1)*('Istoric_Nativ'!$D$6:$D$405&lt;J175)*((('Istoric_Nativ'!$E$6:$E$405=G175)+('Istoric_Nativ'!$F$6:$F$405=G175))&gt;0)),MIN('Config_v6'!$B$54,K175)),0)</x:f>
        <x:v>0</x:v>
      </x:c>
      <x:c r="M175" s="2" t="n">
        <x:f>IF(OR(B175="",F175=""),0,IF(H175="HOME",COUNTIFS('Istoric_Nativ'!$B$6:$B$405,E175,'Istoric_Nativ'!$C$6:$C$405,F175,'Istoric_Nativ'!$E$6:$E$405,G175,'Istoric_Nativ'!$D$6:$D$405,"&lt;"&amp;J175,'Istoric_Nativ'!$P$6:$P$405,1,'Istoric_Nativ'!$D$6:$D$405,"&gt;="&amp;L175),IF(H175="AWAY",COUNTIFS('Istoric_Nativ'!$B$6:$B$405,E175,'Istoric_Nativ'!$C$6:$C$405,F175,'Istoric_Nativ'!$F$6:$F$405,G175,'Istoric_Nativ'!$D$6:$D$405,"&lt;"&amp;J175,'Istoric_Nativ'!$P$6:$P$405,1,'Istoric_Nativ'!$D$6:$D$405,"&gt;="&amp;L175),COUNTIFS('Istoric_Nativ'!$B$6:$B$405,E175,'Istoric_Nativ'!$C$6:$C$405,F175,'Istoric_Nativ'!$E$6:$E$405,G175,'Istoric_Nativ'!$D$6:$D$405,"&lt;"&amp;J175,'Istoric_Nativ'!$P$6:$P$405,1,'Istoric_Nativ'!$D$6:$D$405,"&gt;="&amp;L175)+COUNTIFS('Istoric_Nativ'!$B$6:$B$405,E175,'Istoric_Nativ'!$C$6:$C$405,F175,'Istoric_Nativ'!$F$6:$F$405,G175,'Istoric_Nativ'!$D$6:$D$405,"&lt;"&amp;J175,'Istoric_Nativ'!$P$6:$P$405,1,'Istoric_Nativ'!$D$6:$D$405,"&gt;="&amp;L175))))</x:f>
        <x:v>0</x:v>
      </x:c>
      <x:c r="N175" s="11" t="str">
        <x:f>IF(M175=0,"",IF(H175="HOME",SUMIFS('Istoric_Nativ'!$G$6:$G$405,'Istoric_Nativ'!$B$6:$B$405,E175,'Istoric_Nativ'!$C$6:$C$405,F175,'Istoric_Nativ'!$E$6:$E$405,G175,'Istoric_Nativ'!$D$6:$D$405,"&lt;"&amp;J175,'Istoric_Nativ'!$P$6:$P$405,1,'Istoric_Nativ'!$D$6:$D$405,"&gt;="&amp;L175),IF(H175="AWAY",SUMIFS('Istoric_Nativ'!$H$6:$H$405,'Istoric_Nativ'!$B$6:$B$405,E175,'Istoric_Nativ'!$C$6:$C$405,F175,'Istoric_Nativ'!$F$6:$F$405,G175,'Istoric_Nativ'!$D$6:$D$405,"&lt;"&amp;J175,'Istoric_Nativ'!$P$6:$P$405,1,'Istoric_Nativ'!$D$6:$D$405,"&gt;="&amp;L175),SUMIFS('Istoric_Nativ'!$G$6:$G$405,'Istoric_Nativ'!$B$6:$B$405,E175,'Istoric_Nativ'!$C$6:$C$405,F175,'Istoric_Nativ'!$E$6:$E$405,G175,'Istoric_Nativ'!$D$6:$D$405,"&lt;"&amp;J175,'Istoric_Nativ'!$P$6:$P$405,1,'Istoric_Nativ'!$D$6:$D$405,"&gt;="&amp;L175)+SUMIFS('Istoric_Nativ'!$H$6:$H$405,'Istoric_Nativ'!$B$6:$B$405,E175,'Istoric_Nativ'!$C$6:$C$405,F175,'Istoric_Nativ'!$F$6:$F$405,G175,'Istoric_Nativ'!$D$6:$D$405,"&lt;"&amp;J175,'Istoric_Nativ'!$P$6:$P$405,1,'Istoric_Nativ'!$D$6:$D$405,"&gt;="&amp;L175)))/M175)</x:f>
      </x:c>
      <x:c r="O175" s="11" t="str">
        <x:f>IF(M175=0,"",IF(H175="HOME",SUMIFS('Istoric_Nativ'!$H$6:$H$405,'Istoric_Nativ'!$B$6:$B$405,E175,'Istoric_Nativ'!$C$6:$C$405,F175,'Istoric_Nativ'!$E$6:$E$405,G175,'Istoric_Nativ'!$D$6:$D$405,"&lt;"&amp;J175,'Istoric_Nativ'!$P$6:$P$405,1,'Istoric_Nativ'!$D$6:$D$405,"&gt;="&amp;L175),IF(H175="AWAY",SUMIFS('Istoric_Nativ'!$G$6:$G$405,'Istoric_Nativ'!$B$6:$B$405,E175,'Istoric_Nativ'!$C$6:$C$405,F175,'Istoric_Nativ'!$F$6:$F$405,G175,'Istoric_Nativ'!$D$6:$D$405,"&lt;"&amp;J175,'Istoric_Nativ'!$P$6:$P$405,1,'Istoric_Nativ'!$D$6:$D$405,"&gt;="&amp;L175),SUMIFS('Istoric_Nativ'!$H$6:$H$405,'Istoric_Nativ'!$B$6:$B$405,E175,'Istoric_Nativ'!$C$6:$C$405,F175,'Istoric_Nativ'!$E$6:$E$405,G175,'Istoric_Nativ'!$D$6:$D$405,"&lt;"&amp;J175,'Istoric_Nativ'!$P$6:$P$405,1,'Istoric_Nativ'!$D$6:$D$405,"&gt;="&amp;L175)+SUMIFS('Istoric_Nativ'!$G$6:$G$405,'Istoric_Nativ'!$B$6:$B$405,E175,'Istoric_Nativ'!$C$6:$C$405,F175,'Istoric_Nativ'!$F$6:$F$405,G175,'Istoric_Nativ'!$D$6:$D$405,"&lt;"&amp;J175,'Istoric_Nativ'!$P$6:$P$405,1,'Istoric_Nativ'!$D$6:$D$405,"&gt;="&amp;L175)))/M175)</x:f>
      </x:c>
      <x:c r="P175" s="2" t="n">
        <x:f>'Config_v6'!$B$8</x:f>
        <x:v>5</x:v>
      </x:c>
      <x:c r="Q175" s="2" t="n">
        <x:f>IF(OR(B175="",F175=""),0,IFERROR(MATCH(E175&amp;"|"&amp;F175,SourceTable[Source_Key],0),0))</x:f>
        <x:v>0</x:v>
      </x:c>
      <x:c r="R175" s="2" t="str">
        <x:f>IF(B175="","",IF(F175="","UNUSED",IF(Q175=0,"NOT CHECKED",IF(COUNTIF(SourceTable[Source_Key],E175&amp;"|"&amp;F175)&lt;&gt;1,"SOURCE CONFLICT",IF(NOT(OR(INDEX(SourceTable[Status],MAX(1,Q175))="IMPORTED",INDEX(SourceTable[Status],MAX(1,Q175))="PARTIAL",INDEX(SourceTable[Status],MAX(1,Q175))="SOURCE CONFLICT")),"ACCESS BLOCKED",IF(OR(INDEX(SourceTable[Coverage],Q175)&lt;&gt;"FULL SEASON EXPORT",INDEX(SourceTable[URL],Q175)="",INDEX(SourceTable[SHA256],Q175)=""),"EVIDENCE INCOMPLETE",IF(AND('Input_Meci'!H20="LIVE",INDEX(SourceTable[Retrieved_UTC],Q175)&gt;'Input_Meci'!G20),"POST CUTOFF","CLOSED")))))))</x:f>
      </x:c>
      <x:c r="S175" s="2" t="n">
        <x:f>IF(OR(B175="",F175=""),0,COUNTIFS('Istoric_Nativ'!$B$6:$B$405,E175,'Istoric_Nativ'!$C$6:$C$405,F175,'Istoric_Nativ'!$E$6:$E$405,G175,'Istoric_Nativ'!$D$6:$D$405,"&lt;"&amp;J175,'Istoric_Nativ'!$O$6:$O$405,"INVALID")+COUNTIFS('Istoric_Nativ'!$B$6:$B$405,E175,'Istoric_Nativ'!$C$6:$C$405,F175,'Istoric_Nativ'!$E$6:$E$405,G175,'Istoric_Nativ'!$O$6:$O$405,"INVALID",'Istoric_Nativ'!$D$6:$D$405,"*")+COUNTIFS('Istoric_Nativ'!$B$6:$B$405,E175,'Istoric_Nativ'!$C$6:$C$405,F175,'Istoric_Nativ'!$E$6:$E$405,G175,'Istoric_Nativ'!$D$6:$D$405,"&lt;"&amp;J175,'Istoric_Nativ'!$O$6:$O$405,"SOURCE CONFLICT")+COUNTIFS('Istoric_Nativ'!$B$6:$B$405,E175,'Istoric_Nativ'!$C$6:$C$405,F175,'Istoric_Nativ'!$F$6:$F$405,G175,'Istoric_Nativ'!$D$6:$D$405,"&lt;"&amp;J175,'Istoric_Nativ'!$O$6:$O$405,"INVALID")+COUNTIFS('Istoric_Nativ'!$B$6:$B$405,E175,'Istoric_Nativ'!$C$6:$C$405,F175,'Istoric_Nativ'!$F$6:$F$405,G175,'Istoric_Nativ'!$O$6:$O$405,"INVALID",'Istoric_Nativ'!$D$6:$D$405,"*")+COUNTIFS('Istoric_Nativ'!$B$6:$B$405,E175,'Istoric_Nativ'!$C$6:$C$405,F175,'Istoric_Nativ'!$F$6:$F$405,G175,'Istoric_Nativ'!$D$6:$D$405,"&lt;"&amp;J175,'Istoric_Nativ'!$O$6:$O$405,"SOURCE CONFLICT"))</x:f>
        <x:v>0</x:v>
      </x:c>
      <x:c r="T175" s="2" t="str">
        <x:f>IF(B175="","",IF(R175&lt;&gt;"CLOSED",R175,IF(S175&gt;0,"NATIVE INPUT ISSUE",IF(M175=0,"NO HISTORY",IF(M175&lt;P175,"SMALL SAMPLE","DERIVED")))))</x:f>
      </x:c>
      <x:c r="U175" s="2" t="str">
        <x:f>IF(B175="","","NativeTable; "&amp;E175&amp;"; "&amp;F175&amp;"; "&amp;G175&amp;"; "&amp;H175&amp;"; before "&amp;TEXT(J175,"yyyy-mm-dd")&amp;IF(I175="RECENT","; from "&amp;TEXT(L175,"yyyy-mm-dd"),""))</x:f>
      </x:c>
    </x:row>
    <x:row r="176" ht="21" customHeight="1">
      <x:c r="A176" s="2" t="n">
        <x:v>15</x:v>
      </x:c>
      <x:c r="B176" s="2" t="str">
        <x:f>IF('Input_Meci'!A20="","",'Input_Meci'!A20)</x:f>
      </x:c>
      <x:c r="C176" s="2" t="str">
        <x:v>H</x:v>
      </x:c>
      <x:c r="D176" s="2" t="str">
        <x:v>CURRENT</x:v>
      </x:c>
      <x:c r="E176" s="2" t="str">
        <x:f>IF(B176="","",'Input_Meci'!B20)</x:f>
      </x:c>
      <x:c r="F176" s="2" t="str">
        <x:f>IF(B176="","",IF('Input_Meci'!C20="","",'Input_Meci'!C20))</x:f>
      </x:c>
      <x:c r="G176" s="2" t="str">
        <x:f>IF(B176="","",'Input_Meci'!D20)</x:f>
      </x:c>
      <x:c r="H176" s="2" t="str">
        <x:v>ANY</x:v>
      </x:c>
      <x:c r="I176" s="2" t="str">
        <x:v>RECENT</x:v>
      </x:c>
      <x:c r="J176" s="9" t="n">
        <x:f>IF(AND(B176&lt;&gt;"",ISNUMBER('Input_Meci'!G20)),INT('Input_Meci'!G20),0)</x:f>
        <x:v>0</x:v>
      </x:c>
      <x:c r="K176" s="2" t="n">
        <x:f>IF(OR(B176="",F176=""),0,IF(H176="HOME",COUNTIFS('Istoric_Nativ'!$B$6:$B$405,E176,'Istoric_Nativ'!$C$6:$C$405,F176,'Istoric_Nativ'!$E$6:$E$405,G176,'Istoric_Nativ'!$D$6:$D$405,"&lt;"&amp;J176,'Istoric_Nativ'!$P$6:$P$405,1),IF(H176="AWAY",COUNTIFS('Istoric_Nativ'!$B$6:$B$405,E176,'Istoric_Nativ'!$C$6:$C$405,F176,'Istoric_Nativ'!$F$6:$F$405,G176,'Istoric_Nativ'!$D$6:$D$405,"&lt;"&amp;J176,'Istoric_Nativ'!$P$6:$P$405,1),COUNTIFS('Istoric_Nativ'!$B$6:$B$405,E176,'Istoric_Nativ'!$C$6:$C$405,F176,'Istoric_Nativ'!$E$6:$E$405,G176,'Istoric_Nativ'!$D$6:$D$405,"&lt;"&amp;J176,'Istoric_Nativ'!$P$6:$P$405,1)+COUNTIFS('Istoric_Nativ'!$B$6:$B$405,E176,'Istoric_Nativ'!$C$6:$C$405,F176,'Istoric_Nativ'!$F$6:$F$405,G176,'Istoric_Nativ'!$D$6:$D$405,"&lt;"&amp;J176,'Istoric_Nativ'!$P$6:$P$405,1))))</x:f>
        <x:v>0</x:v>
      </x:c>
      <x:c r="L176" s="17" t="n">
        <x:f>IF(AND(B176&lt;&gt;"",I176="RECENT",K176&gt;0),LARGE(_xlfn._xlws.FILTER('Istoric_Nativ'!$D$6:$D$405,('Istoric_Nativ'!$B$6:$B$405=E176)*('Istoric_Nativ'!$C$6:$C$405=F176)*('Istoric_Nativ'!$P$6:$P$405=1)*('Istoric_Nativ'!$D$6:$D$405&lt;J176)*((('Istoric_Nativ'!$E$6:$E$405=G176)+('Istoric_Nativ'!$F$6:$F$405=G176))&gt;0)),MIN('Config_v6'!$B$54,K176)),0)</x:f>
        <x:v>0</x:v>
      </x:c>
      <x:c r="M176" s="2" t="n">
        <x:f>IF(OR(B176="",F176=""),0,IF(H176="HOME",COUNTIFS('Istoric_Nativ'!$B$6:$B$405,E176,'Istoric_Nativ'!$C$6:$C$405,F176,'Istoric_Nativ'!$E$6:$E$405,G176,'Istoric_Nativ'!$D$6:$D$405,"&lt;"&amp;J176,'Istoric_Nativ'!$P$6:$P$405,1,'Istoric_Nativ'!$D$6:$D$405,"&gt;="&amp;L176),IF(H176="AWAY",COUNTIFS('Istoric_Nativ'!$B$6:$B$405,E176,'Istoric_Nativ'!$C$6:$C$405,F176,'Istoric_Nativ'!$F$6:$F$405,G176,'Istoric_Nativ'!$D$6:$D$405,"&lt;"&amp;J176,'Istoric_Nativ'!$P$6:$P$405,1,'Istoric_Nativ'!$D$6:$D$405,"&gt;="&amp;L176),COUNTIFS('Istoric_Nativ'!$B$6:$B$405,E176,'Istoric_Nativ'!$C$6:$C$405,F176,'Istoric_Nativ'!$E$6:$E$405,G176,'Istoric_Nativ'!$D$6:$D$405,"&lt;"&amp;J176,'Istoric_Nativ'!$P$6:$P$405,1,'Istoric_Nativ'!$D$6:$D$405,"&gt;="&amp;L176)+COUNTIFS('Istoric_Nativ'!$B$6:$B$405,E176,'Istoric_Nativ'!$C$6:$C$405,F176,'Istoric_Nativ'!$F$6:$F$405,G176,'Istoric_Nativ'!$D$6:$D$405,"&lt;"&amp;J176,'Istoric_Nativ'!$P$6:$P$405,1,'Istoric_Nativ'!$D$6:$D$405,"&gt;="&amp;L176))))</x:f>
        <x:v>0</x:v>
      </x:c>
      <x:c r="N176" s="11" t="str">
        <x:f>IF(M176=0,"",IF(H176="HOME",SUMIFS('Istoric_Nativ'!$G$6:$G$405,'Istoric_Nativ'!$B$6:$B$405,E176,'Istoric_Nativ'!$C$6:$C$405,F176,'Istoric_Nativ'!$E$6:$E$405,G176,'Istoric_Nativ'!$D$6:$D$405,"&lt;"&amp;J176,'Istoric_Nativ'!$P$6:$P$405,1,'Istoric_Nativ'!$D$6:$D$405,"&gt;="&amp;L176),IF(H176="AWAY",SUMIFS('Istoric_Nativ'!$H$6:$H$405,'Istoric_Nativ'!$B$6:$B$405,E176,'Istoric_Nativ'!$C$6:$C$405,F176,'Istoric_Nativ'!$F$6:$F$405,G176,'Istoric_Nativ'!$D$6:$D$405,"&lt;"&amp;J176,'Istoric_Nativ'!$P$6:$P$405,1,'Istoric_Nativ'!$D$6:$D$405,"&gt;="&amp;L176),SUMIFS('Istoric_Nativ'!$G$6:$G$405,'Istoric_Nativ'!$B$6:$B$405,E176,'Istoric_Nativ'!$C$6:$C$405,F176,'Istoric_Nativ'!$E$6:$E$405,G176,'Istoric_Nativ'!$D$6:$D$405,"&lt;"&amp;J176,'Istoric_Nativ'!$P$6:$P$405,1,'Istoric_Nativ'!$D$6:$D$405,"&gt;="&amp;L176)+SUMIFS('Istoric_Nativ'!$H$6:$H$405,'Istoric_Nativ'!$B$6:$B$405,E176,'Istoric_Nativ'!$C$6:$C$405,F176,'Istoric_Nativ'!$F$6:$F$405,G176,'Istoric_Nativ'!$D$6:$D$405,"&lt;"&amp;J176,'Istoric_Nativ'!$P$6:$P$405,1,'Istoric_Nativ'!$D$6:$D$405,"&gt;="&amp;L176)))/M176)</x:f>
      </x:c>
      <x:c r="O176" s="11" t="str">
        <x:f>IF(M176=0,"",IF(H176="HOME",SUMIFS('Istoric_Nativ'!$H$6:$H$405,'Istoric_Nativ'!$B$6:$B$405,E176,'Istoric_Nativ'!$C$6:$C$405,F176,'Istoric_Nativ'!$E$6:$E$405,G176,'Istoric_Nativ'!$D$6:$D$405,"&lt;"&amp;J176,'Istoric_Nativ'!$P$6:$P$405,1,'Istoric_Nativ'!$D$6:$D$405,"&gt;="&amp;L176),IF(H176="AWAY",SUMIFS('Istoric_Nativ'!$G$6:$G$405,'Istoric_Nativ'!$B$6:$B$405,E176,'Istoric_Nativ'!$C$6:$C$405,F176,'Istoric_Nativ'!$F$6:$F$405,G176,'Istoric_Nativ'!$D$6:$D$405,"&lt;"&amp;J176,'Istoric_Nativ'!$P$6:$P$405,1,'Istoric_Nativ'!$D$6:$D$405,"&gt;="&amp;L176),SUMIFS('Istoric_Nativ'!$H$6:$H$405,'Istoric_Nativ'!$B$6:$B$405,E176,'Istoric_Nativ'!$C$6:$C$405,F176,'Istoric_Nativ'!$E$6:$E$405,G176,'Istoric_Nativ'!$D$6:$D$405,"&lt;"&amp;J176,'Istoric_Nativ'!$P$6:$P$405,1,'Istoric_Nativ'!$D$6:$D$405,"&gt;="&amp;L176)+SUMIFS('Istoric_Nativ'!$G$6:$G$405,'Istoric_Nativ'!$B$6:$B$405,E176,'Istoric_Nativ'!$C$6:$C$405,F176,'Istoric_Nativ'!$F$6:$F$405,G176,'Istoric_Nativ'!$D$6:$D$405,"&lt;"&amp;J176,'Istoric_Nativ'!$P$6:$P$405,1,'Istoric_Nativ'!$D$6:$D$405,"&gt;="&amp;L176)))/M176)</x:f>
      </x:c>
      <x:c r="P176" s="2" t="n">
        <x:f>'Config_v6'!$B$9</x:f>
        <x:v>3</x:v>
      </x:c>
      <x:c r="Q176" s="2" t="n">
        <x:f>IF(OR(B176="",F176=""),0,IFERROR(MATCH(E176&amp;"|"&amp;F176,SourceTable[Source_Key],0),0))</x:f>
        <x:v>0</x:v>
      </x:c>
      <x:c r="R176" s="2" t="str">
        <x:f>IF(B176="","",IF(F176="","UNUSED",IF(Q176=0,"NOT CHECKED",IF(COUNTIF(SourceTable[Source_Key],E176&amp;"|"&amp;F176)&lt;&gt;1,"SOURCE CONFLICT",IF(NOT(OR(INDEX(SourceTable[Status],MAX(1,Q176))="IMPORTED",INDEX(SourceTable[Status],MAX(1,Q176))="PARTIAL",INDEX(SourceTable[Status],MAX(1,Q176))="SOURCE CONFLICT")),"ACCESS BLOCKED",IF(OR(INDEX(SourceTable[Coverage],Q176)&lt;&gt;"FULL SEASON EXPORT",INDEX(SourceTable[URL],Q176)="",INDEX(SourceTable[SHA256],Q176)=""),"EVIDENCE INCOMPLETE",IF(AND('Input_Meci'!H20="LIVE",INDEX(SourceTable[Retrieved_UTC],Q176)&gt;'Input_Meci'!G20),"POST CUTOFF","CLOSED")))))))</x:f>
      </x:c>
      <x:c r="S176" s="2" t="n">
        <x:f>IF(OR(B176="",F176=""),0,COUNTIFS('Istoric_Nativ'!$B$6:$B$405,E176,'Istoric_Nativ'!$C$6:$C$405,F176,'Istoric_Nativ'!$E$6:$E$405,G176,'Istoric_Nativ'!$D$6:$D$405,"&lt;"&amp;J176,'Istoric_Nativ'!$O$6:$O$405,"INVALID")+COUNTIFS('Istoric_Nativ'!$B$6:$B$405,E176,'Istoric_Nativ'!$C$6:$C$405,F176,'Istoric_Nativ'!$E$6:$E$405,G176,'Istoric_Nativ'!$O$6:$O$405,"INVALID",'Istoric_Nativ'!$D$6:$D$405,"*")+COUNTIFS('Istoric_Nativ'!$B$6:$B$405,E176,'Istoric_Nativ'!$C$6:$C$405,F176,'Istoric_Nativ'!$E$6:$E$405,G176,'Istoric_Nativ'!$D$6:$D$405,"&lt;"&amp;J176,'Istoric_Nativ'!$O$6:$O$405,"SOURCE CONFLICT")+COUNTIFS('Istoric_Nativ'!$B$6:$B$405,E176,'Istoric_Nativ'!$C$6:$C$405,F176,'Istoric_Nativ'!$F$6:$F$405,G176,'Istoric_Nativ'!$D$6:$D$405,"&lt;"&amp;J176,'Istoric_Nativ'!$O$6:$O$405,"INVALID")+COUNTIFS('Istoric_Nativ'!$B$6:$B$405,E176,'Istoric_Nativ'!$C$6:$C$405,F176,'Istoric_Nativ'!$F$6:$F$405,G176,'Istoric_Nativ'!$O$6:$O$405,"INVALID",'Istoric_Nativ'!$D$6:$D$405,"*")+COUNTIFS('Istoric_Nativ'!$B$6:$B$405,E176,'Istoric_Nativ'!$C$6:$C$405,F176,'Istoric_Nativ'!$F$6:$F$405,G176,'Istoric_Nativ'!$D$6:$D$405,"&lt;"&amp;J176,'Istoric_Nativ'!$O$6:$O$405,"SOURCE CONFLICT"))</x:f>
        <x:v>0</x:v>
      </x:c>
      <x:c r="T176" s="2" t="str">
        <x:f>IF(B176="","",IF(R176&lt;&gt;"CLOSED",R176,IF(S176&gt;0,"NATIVE INPUT ISSUE",IF(M176=0,"NO HISTORY",IF(M176&lt;P176,"SMALL SAMPLE","DERIVED")))))</x:f>
      </x:c>
      <x:c r="U176" s="2" t="str">
        <x:f>IF(B176="","","NativeTable; "&amp;E176&amp;"; "&amp;F176&amp;"; "&amp;G176&amp;"; "&amp;H176&amp;"; before "&amp;TEXT(J176,"yyyy-mm-dd")&amp;IF(I176="RECENT","; from "&amp;TEXT(L176,"yyyy-mm-dd"),""))</x:f>
      </x:c>
    </x:row>
    <x:row r="177" ht="21" customHeight="1">
      <x:c r="A177" s="2" t="n">
        <x:v>15</x:v>
      </x:c>
      <x:c r="B177" s="2" t="str">
        <x:f>IF('Input_Meci'!A20="","",'Input_Meci'!A20)</x:f>
      </x:c>
      <x:c r="C177" s="2" t="str">
        <x:v>A</x:v>
      </x:c>
      <x:c r="D177" s="2" t="str">
        <x:v>CURRENT</x:v>
      </x:c>
      <x:c r="E177" s="2" t="str">
        <x:f>IF(B177="","",'Input_Meci'!B20)</x:f>
      </x:c>
      <x:c r="F177" s="2" t="str">
        <x:f>IF(B177="","",IF('Input_Meci'!C20="","",'Input_Meci'!C20))</x:f>
      </x:c>
      <x:c r="G177" s="2" t="str">
        <x:f>IF(B177="","",'Input_Meci'!E20)</x:f>
      </x:c>
      <x:c r="H177" s="2" t="str">
        <x:v>ANY</x:v>
      </x:c>
      <x:c r="I177" s="2" t="str">
        <x:v>SEASON</x:v>
      </x:c>
      <x:c r="J177" s="9" t="n">
        <x:f>IF(AND(B177&lt;&gt;"",ISNUMBER('Input_Meci'!G20)),INT('Input_Meci'!G20),0)</x:f>
        <x:v>0</x:v>
      </x:c>
      <x:c r="K177" s="2" t="n">
        <x:f>IF(OR(B177="",F177=""),0,IF(H177="HOME",COUNTIFS('Istoric_Nativ'!$B$6:$B$405,E177,'Istoric_Nativ'!$C$6:$C$405,F177,'Istoric_Nativ'!$E$6:$E$405,G177,'Istoric_Nativ'!$D$6:$D$405,"&lt;"&amp;J177,'Istoric_Nativ'!$P$6:$P$405,1),IF(H177="AWAY",COUNTIFS('Istoric_Nativ'!$B$6:$B$405,E177,'Istoric_Nativ'!$C$6:$C$405,F177,'Istoric_Nativ'!$F$6:$F$405,G177,'Istoric_Nativ'!$D$6:$D$405,"&lt;"&amp;J177,'Istoric_Nativ'!$P$6:$P$405,1),COUNTIFS('Istoric_Nativ'!$B$6:$B$405,E177,'Istoric_Nativ'!$C$6:$C$405,F177,'Istoric_Nativ'!$E$6:$E$405,G177,'Istoric_Nativ'!$D$6:$D$405,"&lt;"&amp;J177,'Istoric_Nativ'!$P$6:$P$405,1)+COUNTIFS('Istoric_Nativ'!$B$6:$B$405,E177,'Istoric_Nativ'!$C$6:$C$405,F177,'Istoric_Nativ'!$F$6:$F$405,G177,'Istoric_Nativ'!$D$6:$D$405,"&lt;"&amp;J177,'Istoric_Nativ'!$P$6:$P$405,1))))</x:f>
        <x:v>0</x:v>
      </x:c>
      <x:c r="L177" s="17" t="n">
        <x:f>IF(AND(B177&lt;&gt;"",I177="RECENT",K177&gt;0),LARGE(_xlfn._xlws.FILTER('Istoric_Nativ'!$D$6:$D$405,('Istoric_Nativ'!$B$6:$B$405=E177)*('Istoric_Nativ'!$C$6:$C$405=F177)*('Istoric_Nativ'!$P$6:$P$405=1)*('Istoric_Nativ'!$D$6:$D$405&lt;J177)*((('Istoric_Nativ'!$E$6:$E$405=G177)+('Istoric_Nativ'!$F$6:$F$405=G177))&gt;0)),MIN('Config_v6'!$B$54,K177)),0)</x:f>
        <x:v>0</x:v>
      </x:c>
      <x:c r="M177" s="2" t="n">
        <x:f>IF(OR(B177="",F177=""),0,IF(H177="HOME",COUNTIFS('Istoric_Nativ'!$B$6:$B$405,E177,'Istoric_Nativ'!$C$6:$C$405,F177,'Istoric_Nativ'!$E$6:$E$405,G177,'Istoric_Nativ'!$D$6:$D$405,"&lt;"&amp;J177,'Istoric_Nativ'!$P$6:$P$405,1,'Istoric_Nativ'!$D$6:$D$405,"&gt;="&amp;L177),IF(H177="AWAY",COUNTIFS('Istoric_Nativ'!$B$6:$B$405,E177,'Istoric_Nativ'!$C$6:$C$405,F177,'Istoric_Nativ'!$F$6:$F$405,G177,'Istoric_Nativ'!$D$6:$D$405,"&lt;"&amp;J177,'Istoric_Nativ'!$P$6:$P$405,1,'Istoric_Nativ'!$D$6:$D$405,"&gt;="&amp;L177),COUNTIFS('Istoric_Nativ'!$B$6:$B$405,E177,'Istoric_Nativ'!$C$6:$C$405,F177,'Istoric_Nativ'!$E$6:$E$405,G177,'Istoric_Nativ'!$D$6:$D$405,"&lt;"&amp;J177,'Istoric_Nativ'!$P$6:$P$405,1,'Istoric_Nativ'!$D$6:$D$405,"&gt;="&amp;L177)+COUNTIFS('Istoric_Nativ'!$B$6:$B$405,E177,'Istoric_Nativ'!$C$6:$C$405,F177,'Istoric_Nativ'!$F$6:$F$405,G177,'Istoric_Nativ'!$D$6:$D$405,"&lt;"&amp;J177,'Istoric_Nativ'!$P$6:$P$405,1,'Istoric_Nativ'!$D$6:$D$405,"&gt;="&amp;L177))))</x:f>
        <x:v>0</x:v>
      </x:c>
      <x:c r="N177" s="11" t="str">
        <x:f>IF(M177=0,"",IF(H177="HOME",SUMIFS('Istoric_Nativ'!$G$6:$G$405,'Istoric_Nativ'!$B$6:$B$405,E177,'Istoric_Nativ'!$C$6:$C$405,F177,'Istoric_Nativ'!$E$6:$E$405,G177,'Istoric_Nativ'!$D$6:$D$405,"&lt;"&amp;J177,'Istoric_Nativ'!$P$6:$P$405,1,'Istoric_Nativ'!$D$6:$D$405,"&gt;="&amp;L177),IF(H177="AWAY",SUMIFS('Istoric_Nativ'!$H$6:$H$405,'Istoric_Nativ'!$B$6:$B$405,E177,'Istoric_Nativ'!$C$6:$C$405,F177,'Istoric_Nativ'!$F$6:$F$405,G177,'Istoric_Nativ'!$D$6:$D$405,"&lt;"&amp;J177,'Istoric_Nativ'!$P$6:$P$405,1,'Istoric_Nativ'!$D$6:$D$405,"&gt;="&amp;L177),SUMIFS('Istoric_Nativ'!$G$6:$G$405,'Istoric_Nativ'!$B$6:$B$405,E177,'Istoric_Nativ'!$C$6:$C$405,F177,'Istoric_Nativ'!$E$6:$E$405,G177,'Istoric_Nativ'!$D$6:$D$405,"&lt;"&amp;J177,'Istoric_Nativ'!$P$6:$P$405,1,'Istoric_Nativ'!$D$6:$D$405,"&gt;="&amp;L177)+SUMIFS('Istoric_Nativ'!$H$6:$H$405,'Istoric_Nativ'!$B$6:$B$405,E177,'Istoric_Nativ'!$C$6:$C$405,F177,'Istoric_Nativ'!$F$6:$F$405,G177,'Istoric_Nativ'!$D$6:$D$405,"&lt;"&amp;J177,'Istoric_Nativ'!$P$6:$P$405,1,'Istoric_Nativ'!$D$6:$D$405,"&gt;="&amp;L177)))/M177)</x:f>
      </x:c>
      <x:c r="O177" s="11" t="str">
        <x:f>IF(M177=0,"",IF(H177="HOME",SUMIFS('Istoric_Nativ'!$H$6:$H$405,'Istoric_Nativ'!$B$6:$B$405,E177,'Istoric_Nativ'!$C$6:$C$405,F177,'Istoric_Nativ'!$E$6:$E$405,G177,'Istoric_Nativ'!$D$6:$D$405,"&lt;"&amp;J177,'Istoric_Nativ'!$P$6:$P$405,1,'Istoric_Nativ'!$D$6:$D$405,"&gt;="&amp;L177),IF(H177="AWAY",SUMIFS('Istoric_Nativ'!$G$6:$G$405,'Istoric_Nativ'!$B$6:$B$405,E177,'Istoric_Nativ'!$C$6:$C$405,F177,'Istoric_Nativ'!$F$6:$F$405,G177,'Istoric_Nativ'!$D$6:$D$405,"&lt;"&amp;J177,'Istoric_Nativ'!$P$6:$P$405,1,'Istoric_Nativ'!$D$6:$D$405,"&gt;="&amp;L177),SUMIFS('Istoric_Nativ'!$H$6:$H$405,'Istoric_Nativ'!$B$6:$B$405,E177,'Istoric_Nativ'!$C$6:$C$405,F177,'Istoric_Nativ'!$E$6:$E$405,G177,'Istoric_Nativ'!$D$6:$D$405,"&lt;"&amp;J177,'Istoric_Nativ'!$P$6:$P$405,1,'Istoric_Nativ'!$D$6:$D$405,"&gt;="&amp;L177)+SUMIFS('Istoric_Nativ'!$G$6:$G$405,'Istoric_Nativ'!$B$6:$B$405,E177,'Istoric_Nativ'!$C$6:$C$405,F177,'Istoric_Nativ'!$F$6:$F$405,G177,'Istoric_Nativ'!$D$6:$D$405,"&lt;"&amp;J177,'Istoric_Nativ'!$P$6:$P$405,1,'Istoric_Nativ'!$D$6:$D$405,"&gt;="&amp;L177)))/M177)</x:f>
      </x:c>
      <x:c r="P177" s="2" t="n">
        <x:f>'Config_v6'!$B$7</x:f>
        <x:v>10</x:v>
      </x:c>
      <x:c r="Q177" s="2" t="n">
        <x:f>IF(OR(B177="",F177=""),0,IFERROR(MATCH(E177&amp;"|"&amp;F177,SourceTable[Source_Key],0),0))</x:f>
        <x:v>0</x:v>
      </x:c>
      <x:c r="R177" s="2" t="str">
        <x:f>IF(B177="","",IF(F177="","UNUSED",IF(Q177=0,"NOT CHECKED",IF(COUNTIF(SourceTable[Source_Key],E177&amp;"|"&amp;F177)&lt;&gt;1,"SOURCE CONFLICT",IF(NOT(OR(INDEX(SourceTable[Status],MAX(1,Q177))="IMPORTED",INDEX(SourceTable[Status],MAX(1,Q177))="PARTIAL",INDEX(SourceTable[Status],MAX(1,Q177))="SOURCE CONFLICT")),"ACCESS BLOCKED",IF(OR(INDEX(SourceTable[Coverage],Q177)&lt;&gt;"FULL SEASON EXPORT",INDEX(SourceTable[URL],Q177)="",INDEX(SourceTable[SHA256],Q177)=""),"EVIDENCE INCOMPLETE",IF(AND('Input_Meci'!H20="LIVE",INDEX(SourceTable[Retrieved_UTC],Q177)&gt;'Input_Meci'!G20),"POST CUTOFF","CLOSED")))))))</x:f>
      </x:c>
      <x:c r="S177" s="2" t="n">
        <x:f>IF(OR(B177="",F177=""),0,COUNTIFS('Istoric_Nativ'!$B$6:$B$405,E177,'Istoric_Nativ'!$C$6:$C$405,F177,'Istoric_Nativ'!$E$6:$E$405,G177,'Istoric_Nativ'!$D$6:$D$405,"&lt;"&amp;J177,'Istoric_Nativ'!$O$6:$O$405,"INVALID")+COUNTIFS('Istoric_Nativ'!$B$6:$B$405,E177,'Istoric_Nativ'!$C$6:$C$405,F177,'Istoric_Nativ'!$E$6:$E$405,G177,'Istoric_Nativ'!$O$6:$O$405,"INVALID",'Istoric_Nativ'!$D$6:$D$405,"*")+COUNTIFS('Istoric_Nativ'!$B$6:$B$405,E177,'Istoric_Nativ'!$C$6:$C$405,F177,'Istoric_Nativ'!$E$6:$E$405,G177,'Istoric_Nativ'!$D$6:$D$405,"&lt;"&amp;J177,'Istoric_Nativ'!$O$6:$O$405,"SOURCE CONFLICT")+COUNTIFS('Istoric_Nativ'!$B$6:$B$405,E177,'Istoric_Nativ'!$C$6:$C$405,F177,'Istoric_Nativ'!$F$6:$F$405,G177,'Istoric_Nativ'!$D$6:$D$405,"&lt;"&amp;J177,'Istoric_Nativ'!$O$6:$O$405,"INVALID")+COUNTIFS('Istoric_Nativ'!$B$6:$B$405,E177,'Istoric_Nativ'!$C$6:$C$405,F177,'Istoric_Nativ'!$F$6:$F$405,G177,'Istoric_Nativ'!$O$6:$O$405,"INVALID",'Istoric_Nativ'!$D$6:$D$405,"*")+COUNTIFS('Istoric_Nativ'!$B$6:$B$405,E177,'Istoric_Nativ'!$C$6:$C$405,F177,'Istoric_Nativ'!$F$6:$F$405,G177,'Istoric_Nativ'!$D$6:$D$405,"&lt;"&amp;J177,'Istoric_Nativ'!$O$6:$O$405,"SOURCE CONFLICT"))</x:f>
        <x:v>0</x:v>
      </x:c>
      <x:c r="T177" s="2" t="str">
        <x:f>IF(B177="","",IF(R177&lt;&gt;"CLOSED",R177,IF(S177&gt;0,"NATIVE INPUT ISSUE",IF(M177=0,"NO HISTORY",IF(M177&lt;P177,"SMALL SAMPLE","DERIVED")))))</x:f>
      </x:c>
      <x:c r="U177" s="2" t="str">
        <x:f>IF(B177="","","NativeTable; "&amp;E177&amp;"; "&amp;F177&amp;"; "&amp;G177&amp;"; "&amp;H177&amp;"; before "&amp;TEXT(J177,"yyyy-mm-dd")&amp;IF(I177="RECENT","; from "&amp;TEXT(L177,"yyyy-mm-dd"),""))</x:f>
      </x:c>
    </x:row>
    <x:row r="178" ht="21" customHeight="1">
      <x:c r="A178" s="2" t="n">
        <x:v>15</x:v>
      </x:c>
      <x:c r="B178" s="2" t="str">
        <x:f>IF('Input_Meci'!A20="","",'Input_Meci'!A20)</x:f>
      </x:c>
      <x:c r="C178" s="2" t="str">
        <x:v>A</x:v>
      </x:c>
      <x:c r="D178" s="2" t="str">
        <x:v>CURRENT</x:v>
      </x:c>
      <x:c r="E178" s="2" t="str">
        <x:f>IF(B178="","",'Input_Meci'!B20)</x:f>
      </x:c>
      <x:c r="F178" s="2" t="str">
        <x:f>IF(B178="","",IF('Input_Meci'!C20="","",'Input_Meci'!C20))</x:f>
      </x:c>
      <x:c r="G178" s="2" t="str">
        <x:f>IF(B178="","",'Input_Meci'!E20)</x:f>
      </x:c>
      <x:c r="H178" s="2" t="str">
        <x:v>AWAY</x:v>
      </x:c>
      <x:c r="I178" s="2" t="str">
        <x:v>HA</x:v>
      </x:c>
      <x:c r="J178" s="9" t="n">
        <x:f>IF(AND(B178&lt;&gt;"",ISNUMBER('Input_Meci'!G20)),INT('Input_Meci'!G20),0)</x:f>
        <x:v>0</x:v>
      </x:c>
      <x:c r="K178" s="2" t="n">
        <x:f>IF(OR(B178="",F178=""),0,IF(H178="HOME",COUNTIFS('Istoric_Nativ'!$B$6:$B$405,E178,'Istoric_Nativ'!$C$6:$C$405,F178,'Istoric_Nativ'!$E$6:$E$405,G178,'Istoric_Nativ'!$D$6:$D$405,"&lt;"&amp;J178,'Istoric_Nativ'!$P$6:$P$405,1),IF(H178="AWAY",COUNTIFS('Istoric_Nativ'!$B$6:$B$405,E178,'Istoric_Nativ'!$C$6:$C$405,F178,'Istoric_Nativ'!$F$6:$F$405,G178,'Istoric_Nativ'!$D$6:$D$405,"&lt;"&amp;J178,'Istoric_Nativ'!$P$6:$P$405,1),COUNTIFS('Istoric_Nativ'!$B$6:$B$405,E178,'Istoric_Nativ'!$C$6:$C$405,F178,'Istoric_Nativ'!$E$6:$E$405,G178,'Istoric_Nativ'!$D$6:$D$405,"&lt;"&amp;J178,'Istoric_Nativ'!$P$6:$P$405,1)+COUNTIFS('Istoric_Nativ'!$B$6:$B$405,E178,'Istoric_Nativ'!$C$6:$C$405,F178,'Istoric_Nativ'!$F$6:$F$405,G178,'Istoric_Nativ'!$D$6:$D$405,"&lt;"&amp;J178,'Istoric_Nativ'!$P$6:$P$405,1))))</x:f>
        <x:v>0</x:v>
      </x:c>
      <x:c r="L178" s="17" t="n">
        <x:f>IF(AND(B178&lt;&gt;"",I178="RECENT",K178&gt;0),LARGE(_xlfn._xlws.FILTER('Istoric_Nativ'!$D$6:$D$405,('Istoric_Nativ'!$B$6:$B$405=E178)*('Istoric_Nativ'!$C$6:$C$405=F178)*('Istoric_Nativ'!$P$6:$P$405=1)*('Istoric_Nativ'!$D$6:$D$405&lt;J178)*((('Istoric_Nativ'!$E$6:$E$405=G178)+('Istoric_Nativ'!$F$6:$F$405=G178))&gt;0)),MIN('Config_v6'!$B$54,K178)),0)</x:f>
        <x:v>0</x:v>
      </x:c>
      <x:c r="M178" s="2" t="n">
        <x:f>IF(OR(B178="",F178=""),0,IF(H178="HOME",COUNTIFS('Istoric_Nativ'!$B$6:$B$405,E178,'Istoric_Nativ'!$C$6:$C$405,F178,'Istoric_Nativ'!$E$6:$E$405,G178,'Istoric_Nativ'!$D$6:$D$405,"&lt;"&amp;J178,'Istoric_Nativ'!$P$6:$P$405,1,'Istoric_Nativ'!$D$6:$D$405,"&gt;="&amp;L178),IF(H178="AWAY",COUNTIFS('Istoric_Nativ'!$B$6:$B$405,E178,'Istoric_Nativ'!$C$6:$C$405,F178,'Istoric_Nativ'!$F$6:$F$405,G178,'Istoric_Nativ'!$D$6:$D$405,"&lt;"&amp;J178,'Istoric_Nativ'!$P$6:$P$405,1,'Istoric_Nativ'!$D$6:$D$405,"&gt;="&amp;L178),COUNTIFS('Istoric_Nativ'!$B$6:$B$405,E178,'Istoric_Nativ'!$C$6:$C$405,F178,'Istoric_Nativ'!$E$6:$E$405,G178,'Istoric_Nativ'!$D$6:$D$405,"&lt;"&amp;J178,'Istoric_Nativ'!$P$6:$P$405,1,'Istoric_Nativ'!$D$6:$D$405,"&gt;="&amp;L178)+COUNTIFS('Istoric_Nativ'!$B$6:$B$405,E178,'Istoric_Nativ'!$C$6:$C$405,F178,'Istoric_Nativ'!$F$6:$F$405,G178,'Istoric_Nativ'!$D$6:$D$405,"&lt;"&amp;J178,'Istoric_Nativ'!$P$6:$P$405,1,'Istoric_Nativ'!$D$6:$D$405,"&gt;="&amp;L178))))</x:f>
        <x:v>0</x:v>
      </x:c>
      <x:c r="N178" s="11" t="str">
        <x:f>IF(M178=0,"",IF(H178="HOME",SUMIFS('Istoric_Nativ'!$G$6:$G$405,'Istoric_Nativ'!$B$6:$B$405,E178,'Istoric_Nativ'!$C$6:$C$405,F178,'Istoric_Nativ'!$E$6:$E$405,G178,'Istoric_Nativ'!$D$6:$D$405,"&lt;"&amp;J178,'Istoric_Nativ'!$P$6:$P$405,1,'Istoric_Nativ'!$D$6:$D$405,"&gt;="&amp;L178),IF(H178="AWAY",SUMIFS('Istoric_Nativ'!$H$6:$H$405,'Istoric_Nativ'!$B$6:$B$405,E178,'Istoric_Nativ'!$C$6:$C$405,F178,'Istoric_Nativ'!$F$6:$F$405,G178,'Istoric_Nativ'!$D$6:$D$405,"&lt;"&amp;J178,'Istoric_Nativ'!$P$6:$P$405,1,'Istoric_Nativ'!$D$6:$D$405,"&gt;="&amp;L178),SUMIFS('Istoric_Nativ'!$G$6:$G$405,'Istoric_Nativ'!$B$6:$B$405,E178,'Istoric_Nativ'!$C$6:$C$405,F178,'Istoric_Nativ'!$E$6:$E$405,G178,'Istoric_Nativ'!$D$6:$D$405,"&lt;"&amp;J178,'Istoric_Nativ'!$P$6:$P$405,1,'Istoric_Nativ'!$D$6:$D$405,"&gt;="&amp;L178)+SUMIFS('Istoric_Nativ'!$H$6:$H$405,'Istoric_Nativ'!$B$6:$B$405,E178,'Istoric_Nativ'!$C$6:$C$405,F178,'Istoric_Nativ'!$F$6:$F$405,G178,'Istoric_Nativ'!$D$6:$D$405,"&lt;"&amp;J178,'Istoric_Nativ'!$P$6:$P$405,1,'Istoric_Nativ'!$D$6:$D$405,"&gt;="&amp;L178)))/M178)</x:f>
      </x:c>
      <x:c r="O178" s="11" t="str">
        <x:f>IF(M178=0,"",IF(H178="HOME",SUMIFS('Istoric_Nativ'!$H$6:$H$405,'Istoric_Nativ'!$B$6:$B$405,E178,'Istoric_Nativ'!$C$6:$C$405,F178,'Istoric_Nativ'!$E$6:$E$405,G178,'Istoric_Nativ'!$D$6:$D$405,"&lt;"&amp;J178,'Istoric_Nativ'!$P$6:$P$405,1,'Istoric_Nativ'!$D$6:$D$405,"&gt;="&amp;L178),IF(H178="AWAY",SUMIFS('Istoric_Nativ'!$G$6:$G$405,'Istoric_Nativ'!$B$6:$B$405,E178,'Istoric_Nativ'!$C$6:$C$405,F178,'Istoric_Nativ'!$F$6:$F$405,G178,'Istoric_Nativ'!$D$6:$D$405,"&lt;"&amp;J178,'Istoric_Nativ'!$P$6:$P$405,1,'Istoric_Nativ'!$D$6:$D$405,"&gt;="&amp;L178),SUMIFS('Istoric_Nativ'!$H$6:$H$405,'Istoric_Nativ'!$B$6:$B$405,E178,'Istoric_Nativ'!$C$6:$C$405,F178,'Istoric_Nativ'!$E$6:$E$405,G178,'Istoric_Nativ'!$D$6:$D$405,"&lt;"&amp;J178,'Istoric_Nativ'!$P$6:$P$405,1,'Istoric_Nativ'!$D$6:$D$405,"&gt;="&amp;L178)+SUMIFS('Istoric_Nativ'!$G$6:$G$405,'Istoric_Nativ'!$B$6:$B$405,E178,'Istoric_Nativ'!$C$6:$C$405,F178,'Istoric_Nativ'!$F$6:$F$405,G178,'Istoric_Nativ'!$D$6:$D$405,"&lt;"&amp;J178,'Istoric_Nativ'!$P$6:$P$405,1,'Istoric_Nativ'!$D$6:$D$405,"&gt;="&amp;L178)))/M178)</x:f>
      </x:c>
      <x:c r="P178" s="2" t="n">
        <x:f>'Config_v6'!$B$8</x:f>
        <x:v>5</x:v>
      </x:c>
      <x:c r="Q178" s="2" t="n">
        <x:f>IF(OR(B178="",F178=""),0,IFERROR(MATCH(E178&amp;"|"&amp;F178,SourceTable[Source_Key],0),0))</x:f>
        <x:v>0</x:v>
      </x:c>
      <x:c r="R178" s="2" t="str">
        <x:f>IF(B178="","",IF(F178="","UNUSED",IF(Q178=0,"NOT CHECKED",IF(COUNTIF(SourceTable[Source_Key],E178&amp;"|"&amp;F178)&lt;&gt;1,"SOURCE CONFLICT",IF(NOT(OR(INDEX(SourceTable[Status],MAX(1,Q178))="IMPORTED",INDEX(SourceTable[Status],MAX(1,Q178))="PARTIAL",INDEX(SourceTable[Status],MAX(1,Q178))="SOURCE CONFLICT")),"ACCESS BLOCKED",IF(OR(INDEX(SourceTable[Coverage],Q178)&lt;&gt;"FULL SEASON EXPORT",INDEX(SourceTable[URL],Q178)="",INDEX(SourceTable[SHA256],Q178)=""),"EVIDENCE INCOMPLETE",IF(AND('Input_Meci'!H20="LIVE",INDEX(SourceTable[Retrieved_UTC],Q178)&gt;'Input_Meci'!G20),"POST CUTOFF","CLOSED")))))))</x:f>
      </x:c>
      <x:c r="S178" s="2" t="n">
        <x:f>IF(OR(B178="",F178=""),0,COUNTIFS('Istoric_Nativ'!$B$6:$B$405,E178,'Istoric_Nativ'!$C$6:$C$405,F178,'Istoric_Nativ'!$E$6:$E$405,G178,'Istoric_Nativ'!$D$6:$D$405,"&lt;"&amp;J178,'Istoric_Nativ'!$O$6:$O$405,"INVALID")+COUNTIFS('Istoric_Nativ'!$B$6:$B$405,E178,'Istoric_Nativ'!$C$6:$C$405,F178,'Istoric_Nativ'!$E$6:$E$405,G178,'Istoric_Nativ'!$O$6:$O$405,"INVALID",'Istoric_Nativ'!$D$6:$D$405,"*")+COUNTIFS('Istoric_Nativ'!$B$6:$B$405,E178,'Istoric_Nativ'!$C$6:$C$405,F178,'Istoric_Nativ'!$E$6:$E$405,G178,'Istoric_Nativ'!$D$6:$D$405,"&lt;"&amp;J178,'Istoric_Nativ'!$O$6:$O$405,"SOURCE CONFLICT")+COUNTIFS('Istoric_Nativ'!$B$6:$B$405,E178,'Istoric_Nativ'!$C$6:$C$405,F178,'Istoric_Nativ'!$F$6:$F$405,G178,'Istoric_Nativ'!$D$6:$D$405,"&lt;"&amp;J178,'Istoric_Nativ'!$O$6:$O$405,"INVALID")+COUNTIFS('Istoric_Nativ'!$B$6:$B$405,E178,'Istoric_Nativ'!$C$6:$C$405,F178,'Istoric_Nativ'!$F$6:$F$405,G178,'Istoric_Nativ'!$O$6:$O$405,"INVALID",'Istoric_Nativ'!$D$6:$D$405,"*")+COUNTIFS('Istoric_Nativ'!$B$6:$B$405,E178,'Istoric_Nativ'!$C$6:$C$405,F178,'Istoric_Nativ'!$F$6:$F$405,G178,'Istoric_Nativ'!$D$6:$D$405,"&lt;"&amp;J178,'Istoric_Nativ'!$O$6:$O$405,"SOURCE CONFLICT"))</x:f>
        <x:v>0</x:v>
      </x:c>
      <x:c r="T178" s="2" t="str">
        <x:f>IF(B178="","",IF(R178&lt;&gt;"CLOSED",R178,IF(S178&gt;0,"NATIVE INPUT ISSUE",IF(M178=0,"NO HISTORY",IF(M178&lt;P178,"SMALL SAMPLE","DERIVED")))))</x:f>
      </x:c>
      <x:c r="U178" s="2" t="str">
        <x:f>IF(B178="","","NativeTable; "&amp;E178&amp;"; "&amp;F178&amp;"; "&amp;G178&amp;"; "&amp;H178&amp;"; before "&amp;TEXT(J178,"yyyy-mm-dd")&amp;IF(I178="RECENT","; from "&amp;TEXT(L178,"yyyy-mm-dd"),""))</x:f>
      </x:c>
    </x:row>
    <x:row r="179" ht="21" customHeight="1">
      <x:c r="A179" s="2" t="n">
        <x:v>15</x:v>
      </x:c>
      <x:c r="B179" s="2" t="str">
        <x:f>IF('Input_Meci'!A20="","",'Input_Meci'!A20)</x:f>
      </x:c>
      <x:c r="C179" s="2" t="str">
        <x:v>A</x:v>
      </x:c>
      <x:c r="D179" s="2" t="str">
        <x:v>CURRENT</x:v>
      </x:c>
      <x:c r="E179" s="2" t="str">
        <x:f>IF(B179="","",'Input_Meci'!B20)</x:f>
      </x:c>
      <x:c r="F179" s="2" t="str">
        <x:f>IF(B179="","",IF('Input_Meci'!C20="","",'Input_Meci'!C20))</x:f>
      </x:c>
      <x:c r="G179" s="2" t="str">
        <x:f>IF(B179="","",'Input_Meci'!E20)</x:f>
      </x:c>
      <x:c r="H179" s="2" t="str">
        <x:v>ANY</x:v>
      </x:c>
      <x:c r="I179" s="2" t="str">
        <x:v>RECENT</x:v>
      </x:c>
      <x:c r="J179" s="9" t="n">
        <x:f>IF(AND(B179&lt;&gt;"",ISNUMBER('Input_Meci'!G20)),INT('Input_Meci'!G20),0)</x:f>
        <x:v>0</x:v>
      </x:c>
      <x:c r="K179" s="2" t="n">
        <x:f>IF(OR(B179="",F179=""),0,IF(H179="HOME",COUNTIFS('Istoric_Nativ'!$B$6:$B$405,E179,'Istoric_Nativ'!$C$6:$C$405,F179,'Istoric_Nativ'!$E$6:$E$405,G179,'Istoric_Nativ'!$D$6:$D$405,"&lt;"&amp;J179,'Istoric_Nativ'!$P$6:$P$405,1),IF(H179="AWAY",COUNTIFS('Istoric_Nativ'!$B$6:$B$405,E179,'Istoric_Nativ'!$C$6:$C$405,F179,'Istoric_Nativ'!$F$6:$F$405,G179,'Istoric_Nativ'!$D$6:$D$405,"&lt;"&amp;J179,'Istoric_Nativ'!$P$6:$P$405,1),COUNTIFS('Istoric_Nativ'!$B$6:$B$405,E179,'Istoric_Nativ'!$C$6:$C$405,F179,'Istoric_Nativ'!$E$6:$E$405,G179,'Istoric_Nativ'!$D$6:$D$405,"&lt;"&amp;J179,'Istoric_Nativ'!$P$6:$P$405,1)+COUNTIFS('Istoric_Nativ'!$B$6:$B$405,E179,'Istoric_Nativ'!$C$6:$C$405,F179,'Istoric_Nativ'!$F$6:$F$405,G179,'Istoric_Nativ'!$D$6:$D$405,"&lt;"&amp;J179,'Istoric_Nativ'!$P$6:$P$405,1))))</x:f>
        <x:v>0</x:v>
      </x:c>
      <x:c r="L179" s="17" t="n">
        <x:f>IF(AND(B179&lt;&gt;"",I179="RECENT",K179&gt;0),LARGE(_xlfn._xlws.FILTER('Istoric_Nativ'!$D$6:$D$405,('Istoric_Nativ'!$B$6:$B$405=E179)*('Istoric_Nativ'!$C$6:$C$405=F179)*('Istoric_Nativ'!$P$6:$P$405=1)*('Istoric_Nativ'!$D$6:$D$405&lt;J179)*((('Istoric_Nativ'!$E$6:$E$405=G179)+('Istoric_Nativ'!$F$6:$F$405=G179))&gt;0)),MIN('Config_v6'!$B$54,K179)),0)</x:f>
        <x:v>0</x:v>
      </x:c>
      <x:c r="M179" s="2" t="n">
        <x:f>IF(OR(B179="",F179=""),0,IF(H179="HOME",COUNTIFS('Istoric_Nativ'!$B$6:$B$405,E179,'Istoric_Nativ'!$C$6:$C$405,F179,'Istoric_Nativ'!$E$6:$E$405,G179,'Istoric_Nativ'!$D$6:$D$405,"&lt;"&amp;J179,'Istoric_Nativ'!$P$6:$P$405,1,'Istoric_Nativ'!$D$6:$D$405,"&gt;="&amp;L179),IF(H179="AWAY",COUNTIFS('Istoric_Nativ'!$B$6:$B$405,E179,'Istoric_Nativ'!$C$6:$C$405,F179,'Istoric_Nativ'!$F$6:$F$405,G179,'Istoric_Nativ'!$D$6:$D$405,"&lt;"&amp;J179,'Istoric_Nativ'!$P$6:$P$405,1,'Istoric_Nativ'!$D$6:$D$405,"&gt;="&amp;L179),COUNTIFS('Istoric_Nativ'!$B$6:$B$405,E179,'Istoric_Nativ'!$C$6:$C$405,F179,'Istoric_Nativ'!$E$6:$E$405,G179,'Istoric_Nativ'!$D$6:$D$405,"&lt;"&amp;J179,'Istoric_Nativ'!$P$6:$P$405,1,'Istoric_Nativ'!$D$6:$D$405,"&gt;="&amp;L179)+COUNTIFS('Istoric_Nativ'!$B$6:$B$405,E179,'Istoric_Nativ'!$C$6:$C$405,F179,'Istoric_Nativ'!$F$6:$F$405,G179,'Istoric_Nativ'!$D$6:$D$405,"&lt;"&amp;J179,'Istoric_Nativ'!$P$6:$P$405,1,'Istoric_Nativ'!$D$6:$D$405,"&gt;="&amp;L179))))</x:f>
        <x:v>0</x:v>
      </x:c>
      <x:c r="N179" s="11" t="str">
        <x:f>IF(M179=0,"",IF(H179="HOME",SUMIFS('Istoric_Nativ'!$G$6:$G$405,'Istoric_Nativ'!$B$6:$B$405,E179,'Istoric_Nativ'!$C$6:$C$405,F179,'Istoric_Nativ'!$E$6:$E$405,G179,'Istoric_Nativ'!$D$6:$D$405,"&lt;"&amp;J179,'Istoric_Nativ'!$P$6:$P$405,1,'Istoric_Nativ'!$D$6:$D$405,"&gt;="&amp;L179),IF(H179="AWAY",SUMIFS('Istoric_Nativ'!$H$6:$H$405,'Istoric_Nativ'!$B$6:$B$405,E179,'Istoric_Nativ'!$C$6:$C$405,F179,'Istoric_Nativ'!$F$6:$F$405,G179,'Istoric_Nativ'!$D$6:$D$405,"&lt;"&amp;J179,'Istoric_Nativ'!$P$6:$P$405,1,'Istoric_Nativ'!$D$6:$D$405,"&gt;="&amp;L179),SUMIFS('Istoric_Nativ'!$G$6:$G$405,'Istoric_Nativ'!$B$6:$B$405,E179,'Istoric_Nativ'!$C$6:$C$405,F179,'Istoric_Nativ'!$E$6:$E$405,G179,'Istoric_Nativ'!$D$6:$D$405,"&lt;"&amp;J179,'Istoric_Nativ'!$P$6:$P$405,1,'Istoric_Nativ'!$D$6:$D$405,"&gt;="&amp;L179)+SUMIFS('Istoric_Nativ'!$H$6:$H$405,'Istoric_Nativ'!$B$6:$B$405,E179,'Istoric_Nativ'!$C$6:$C$405,F179,'Istoric_Nativ'!$F$6:$F$405,G179,'Istoric_Nativ'!$D$6:$D$405,"&lt;"&amp;J179,'Istoric_Nativ'!$P$6:$P$405,1,'Istoric_Nativ'!$D$6:$D$405,"&gt;="&amp;L179)))/M179)</x:f>
      </x:c>
      <x:c r="O179" s="11" t="str">
        <x:f>IF(M179=0,"",IF(H179="HOME",SUMIFS('Istoric_Nativ'!$H$6:$H$405,'Istoric_Nativ'!$B$6:$B$405,E179,'Istoric_Nativ'!$C$6:$C$405,F179,'Istoric_Nativ'!$E$6:$E$405,G179,'Istoric_Nativ'!$D$6:$D$405,"&lt;"&amp;J179,'Istoric_Nativ'!$P$6:$P$405,1,'Istoric_Nativ'!$D$6:$D$405,"&gt;="&amp;L179),IF(H179="AWAY",SUMIFS('Istoric_Nativ'!$G$6:$G$405,'Istoric_Nativ'!$B$6:$B$405,E179,'Istoric_Nativ'!$C$6:$C$405,F179,'Istoric_Nativ'!$F$6:$F$405,G179,'Istoric_Nativ'!$D$6:$D$405,"&lt;"&amp;J179,'Istoric_Nativ'!$P$6:$P$405,1,'Istoric_Nativ'!$D$6:$D$405,"&gt;="&amp;L179),SUMIFS('Istoric_Nativ'!$H$6:$H$405,'Istoric_Nativ'!$B$6:$B$405,E179,'Istoric_Nativ'!$C$6:$C$405,F179,'Istoric_Nativ'!$E$6:$E$405,G179,'Istoric_Nativ'!$D$6:$D$405,"&lt;"&amp;J179,'Istoric_Nativ'!$P$6:$P$405,1,'Istoric_Nativ'!$D$6:$D$405,"&gt;="&amp;L179)+SUMIFS('Istoric_Nativ'!$G$6:$G$405,'Istoric_Nativ'!$B$6:$B$405,E179,'Istoric_Nativ'!$C$6:$C$405,F179,'Istoric_Nativ'!$F$6:$F$405,G179,'Istoric_Nativ'!$D$6:$D$405,"&lt;"&amp;J179,'Istoric_Nativ'!$P$6:$P$405,1,'Istoric_Nativ'!$D$6:$D$405,"&gt;="&amp;L179)))/M179)</x:f>
      </x:c>
      <x:c r="P179" s="2" t="n">
        <x:f>'Config_v6'!$B$9</x:f>
        <x:v>3</x:v>
      </x:c>
      <x:c r="Q179" s="2" t="n">
        <x:f>IF(OR(B179="",F179=""),0,IFERROR(MATCH(E179&amp;"|"&amp;F179,SourceTable[Source_Key],0),0))</x:f>
        <x:v>0</x:v>
      </x:c>
      <x:c r="R179" s="2" t="str">
        <x:f>IF(B179="","",IF(F179="","UNUSED",IF(Q179=0,"NOT CHECKED",IF(COUNTIF(SourceTable[Source_Key],E179&amp;"|"&amp;F179)&lt;&gt;1,"SOURCE CONFLICT",IF(NOT(OR(INDEX(SourceTable[Status],MAX(1,Q179))="IMPORTED",INDEX(SourceTable[Status],MAX(1,Q179))="PARTIAL",INDEX(SourceTable[Status],MAX(1,Q179))="SOURCE CONFLICT")),"ACCESS BLOCKED",IF(OR(INDEX(SourceTable[Coverage],Q179)&lt;&gt;"FULL SEASON EXPORT",INDEX(SourceTable[URL],Q179)="",INDEX(SourceTable[SHA256],Q179)=""),"EVIDENCE INCOMPLETE",IF(AND('Input_Meci'!H20="LIVE",INDEX(SourceTable[Retrieved_UTC],Q179)&gt;'Input_Meci'!G20),"POST CUTOFF","CLOSED")))))))</x:f>
      </x:c>
      <x:c r="S179" s="2" t="n">
        <x:f>IF(OR(B179="",F179=""),0,COUNTIFS('Istoric_Nativ'!$B$6:$B$405,E179,'Istoric_Nativ'!$C$6:$C$405,F179,'Istoric_Nativ'!$E$6:$E$405,G179,'Istoric_Nativ'!$D$6:$D$405,"&lt;"&amp;J179,'Istoric_Nativ'!$O$6:$O$405,"INVALID")+COUNTIFS('Istoric_Nativ'!$B$6:$B$405,E179,'Istoric_Nativ'!$C$6:$C$405,F179,'Istoric_Nativ'!$E$6:$E$405,G179,'Istoric_Nativ'!$O$6:$O$405,"INVALID",'Istoric_Nativ'!$D$6:$D$405,"*")+COUNTIFS('Istoric_Nativ'!$B$6:$B$405,E179,'Istoric_Nativ'!$C$6:$C$405,F179,'Istoric_Nativ'!$E$6:$E$405,G179,'Istoric_Nativ'!$D$6:$D$405,"&lt;"&amp;J179,'Istoric_Nativ'!$O$6:$O$405,"SOURCE CONFLICT")+COUNTIFS('Istoric_Nativ'!$B$6:$B$405,E179,'Istoric_Nativ'!$C$6:$C$405,F179,'Istoric_Nativ'!$F$6:$F$405,G179,'Istoric_Nativ'!$D$6:$D$405,"&lt;"&amp;J179,'Istoric_Nativ'!$O$6:$O$405,"INVALID")+COUNTIFS('Istoric_Nativ'!$B$6:$B$405,E179,'Istoric_Nativ'!$C$6:$C$405,F179,'Istoric_Nativ'!$F$6:$F$405,G179,'Istoric_Nativ'!$O$6:$O$405,"INVALID",'Istoric_Nativ'!$D$6:$D$405,"*")+COUNTIFS('Istoric_Nativ'!$B$6:$B$405,E179,'Istoric_Nativ'!$C$6:$C$405,F179,'Istoric_Nativ'!$F$6:$F$405,G179,'Istoric_Nativ'!$D$6:$D$405,"&lt;"&amp;J179,'Istoric_Nativ'!$O$6:$O$405,"SOURCE CONFLICT"))</x:f>
        <x:v>0</x:v>
      </x:c>
      <x:c r="T179" s="2" t="str">
        <x:f>IF(B179="","",IF(R179&lt;&gt;"CLOSED",R179,IF(S179&gt;0,"NATIVE INPUT ISSUE",IF(M179=0,"NO HISTORY",IF(M179&lt;P179,"SMALL SAMPLE","DERIVED")))))</x:f>
      </x:c>
      <x:c r="U179" s="2" t="str">
        <x:f>IF(B179="","","NativeTable; "&amp;E179&amp;"; "&amp;F179&amp;"; "&amp;G179&amp;"; "&amp;H179&amp;"; before "&amp;TEXT(J179,"yyyy-mm-dd")&amp;IF(I179="RECENT","; from "&amp;TEXT(L179,"yyyy-mm-dd"),""))</x:f>
      </x:c>
    </x:row>
    <x:row r="180" ht="21" customHeight="1">
      <x:c r="A180" s="2" t="n">
        <x:v>15</x:v>
      </x:c>
      <x:c r="B180" s="2" t="str">
        <x:f>IF('Input_Meci'!A20="","",'Input_Meci'!A20)</x:f>
      </x:c>
      <x:c r="C180" s="2" t="str">
        <x:v>H</x:v>
      </x:c>
      <x:c r="D180" s="2" t="str">
        <x:v>PRIOR</x:v>
      </x:c>
      <x:c r="E180" s="2" t="str">
        <x:f>IF(B180="","",'Input_Meci'!B20)</x:f>
      </x:c>
      <x:c r="F180" s="2" t="str">
        <x:f>IF(B180="","",IF('Input_Meci'!K20="","",'Input_Meci'!K20))</x:f>
      </x:c>
      <x:c r="G180" s="2" t="str">
        <x:f>IF(B180="","",'Input_Meci'!D20)</x:f>
      </x:c>
      <x:c r="H180" s="2" t="str">
        <x:v>ANY</x:v>
      </x:c>
      <x:c r="I180" s="2" t="str">
        <x:v>SEASON</x:v>
      </x:c>
      <x:c r="J180" s="9" t="n">
        <x:f>IF(AND(B180&lt;&gt;"",ISNUMBER('Input_Meci'!G20)),INT('Input_Meci'!G20),0)</x:f>
        <x:v>0</x:v>
      </x:c>
      <x:c r="K180" s="2" t="n">
        <x:f>IF(OR(B180="",F180=""),0,IF(H180="HOME",COUNTIFS('Istoric_Nativ'!$B$6:$B$405,E180,'Istoric_Nativ'!$C$6:$C$405,F180,'Istoric_Nativ'!$E$6:$E$405,G180,'Istoric_Nativ'!$D$6:$D$405,"&lt;"&amp;J180,'Istoric_Nativ'!$P$6:$P$405,1),IF(H180="AWAY",COUNTIFS('Istoric_Nativ'!$B$6:$B$405,E180,'Istoric_Nativ'!$C$6:$C$405,F180,'Istoric_Nativ'!$F$6:$F$405,G180,'Istoric_Nativ'!$D$6:$D$405,"&lt;"&amp;J180,'Istoric_Nativ'!$P$6:$P$405,1),COUNTIFS('Istoric_Nativ'!$B$6:$B$405,E180,'Istoric_Nativ'!$C$6:$C$405,F180,'Istoric_Nativ'!$E$6:$E$405,G180,'Istoric_Nativ'!$D$6:$D$405,"&lt;"&amp;J180,'Istoric_Nativ'!$P$6:$P$405,1)+COUNTIFS('Istoric_Nativ'!$B$6:$B$405,E180,'Istoric_Nativ'!$C$6:$C$405,F180,'Istoric_Nativ'!$F$6:$F$405,G180,'Istoric_Nativ'!$D$6:$D$405,"&lt;"&amp;J180,'Istoric_Nativ'!$P$6:$P$405,1))))</x:f>
        <x:v>0</x:v>
      </x:c>
      <x:c r="L180" s="17" t="n">
        <x:f>IF(AND(B180&lt;&gt;"",I180="RECENT",K180&gt;0),LARGE(_xlfn._xlws.FILTER('Istoric_Nativ'!$D$6:$D$405,('Istoric_Nativ'!$B$6:$B$405=E180)*('Istoric_Nativ'!$C$6:$C$405=F180)*('Istoric_Nativ'!$P$6:$P$405=1)*('Istoric_Nativ'!$D$6:$D$405&lt;J180)*((('Istoric_Nativ'!$E$6:$E$405=G180)+('Istoric_Nativ'!$F$6:$F$405=G180))&gt;0)),MIN('Config_v6'!$B$54,K180)),0)</x:f>
        <x:v>0</x:v>
      </x:c>
      <x:c r="M180" s="2" t="n">
        <x:f>IF(OR(B180="",F180=""),0,IF(H180="HOME",COUNTIFS('Istoric_Nativ'!$B$6:$B$405,E180,'Istoric_Nativ'!$C$6:$C$405,F180,'Istoric_Nativ'!$E$6:$E$405,G180,'Istoric_Nativ'!$D$6:$D$405,"&lt;"&amp;J180,'Istoric_Nativ'!$P$6:$P$405,1,'Istoric_Nativ'!$D$6:$D$405,"&gt;="&amp;L180),IF(H180="AWAY",COUNTIFS('Istoric_Nativ'!$B$6:$B$405,E180,'Istoric_Nativ'!$C$6:$C$405,F180,'Istoric_Nativ'!$F$6:$F$405,G180,'Istoric_Nativ'!$D$6:$D$405,"&lt;"&amp;J180,'Istoric_Nativ'!$P$6:$P$405,1,'Istoric_Nativ'!$D$6:$D$405,"&gt;="&amp;L180),COUNTIFS('Istoric_Nativ'!$B$6:$B$405,E180,'Istoric_Nativ'!$C$6:$C$405,F180,'Istoric_Nativ'!$E$6:$E$405,G180,'Istoric_Nativ'!$D$6:$D$405,"&lt;"&amp;J180,'Istoric_Nativ'!$P$6:$P$405,1,'Istoric_Nativ'!$D$6:$D$405,"&gt;="&amp;L180)+COUNTIFS('Istoric_Nativ'!$B$6:$B$405,E180,'Istoric_Nativ'!$C$6:$C$405,F180,'Istoric_Nativ'!$F$6:$F$405,G180,'Istoric_Nativ'!$D$6:$D$405,"&lt;"&amp;J180,'Istoric_Nativ'!$P$6:$P$405,1,'Istoric_Nativ'!$D$6:$D$405,"&gt;="&amp;L180))))</x:f>
        <x:v>0</x:v>
      </x:c>
      <x:c r="N180" s="11" t="str">
        <x:f>IF(M180=0,"",IF(H180="HOME",SUMIFS('Istoric_Nativ'!$G$6:$G$405,'Istoric_Nativ'!$B$6:$B$405,E180,'Istoric_Nativ'!$C$6:$C$405,F180,'Istoric_Nativ'!$E$6:$E$405,G180,'Istoric_Nativ'!$D$6:$D$405,"&lt;"&amp;J180,'Istoric_Nativ'!$P$6:$P$405,1,'Istoric_Nativ'!$D$6:$D$405,"&gt;="&amp;L180),IF(H180="AWAY",SUMIFS('Istoric_Nativ'!$H$6:$H$405,'Istoric_Nativ'!$B$6:$B$405,E180,'Istoric_Nativ'!$C$6:$C$405,F180,'Istoric_Nativ'!$F$6:$F$405,G180,'Istoric_Nativ'!$D$6:$D$405,"&lt;"&amp;J180,'Istoric_Nativ'!$P$6:$P$405,1,'Istoric_Nativ'!$D$6:$D$405,"&gt;="&amp;L180),SUMIFS('Istoric_Nativ'!$G$6:$G$405,'Istoric_Nativ'!$B$6:$B$405,E180,'Istoric_Nativ'!$C$6:$C$405,F180,'Istoric_Nativ'!$E$6:$E$405,G180,'Istoric_Nativ'!$D$6:$D$405,"&lt;"&amp;J180,'Istoric_Nativ'!$P$6:$P$405,1,'Istoric_Nativ'!$D$6:$D$405,"&gt;="&amp;L180)+SUMIFS('Istoric_Nativ'!$H$6:$H$405,'Istoric_Nativ'!$B$6:$B$405,E180,'Istoric_Nativ'!$C$6:$C$405,F180,'Istoric_Nativ'!$F$6:$F$405,G180,'Istoric_Nativ'!$D$6:$D$405,"&lt;"&amp;J180,'Istoric_Nativ'!$P$6:$P$405,1,'Istoric_Nativ'!$D$6:$D$405,"&gt;="&amp;L180)))/M180)</x:f>
      </x:c>
      <x:c r="O180" s="11" t="str">
        <x:f>IF(M180=0,"",IF(H180="HOME",SUMIFS('Istoric_Nativ'!$H$6:$H$405,'Istoric_Nativ'!$B$6:$B$405,E180,'Istoric_Nativ'!$C$6:$C$405,F180,'Istoric_Nativ'!$E$6:$E$405,G180,'Istoric_Nativ'!$D$6:$D$405,"&lt;"&amp;J180,'Istoric_Nativ'!$P$6:$P$405,1,'Istoric_Nativ'!$D$6:$D$405,"&gt;="&amp;L180),IF(H180="AWAY",SUMIFS('Istoric_Nativ'!$G$6:$G$405,'Istoric_Nativ'!$B$6:$B$405,E180,'Istoric_Nativ'!$C$6:$C$405,F180,'Istoric_Nativ'!$F$6:$F$405,G180,'Istoric_Nativ'!$D$6:$D$405,"&lt;"&amp;J180,'Istoric_Nativ'!$P$6:$P$405,1,'Istoric_Nativ'!$D$6:$D$405,"&gt;="&amp;L180),SUMIFS('Istoric_Nativ'!$H$6:$H$405,'Istoric_Nativ'!$B$6:$B$405,E180,'Istoric_Nativ'!$C$6:$C$405,F180,'Istoric_Nativ'!$E$6:$E$405,G180,'Istoric_Nativ'!$D$6:$D$405,"&lt;"&amp;J180,'Istoric_Nativ'!$P$6:$P$405,1,'Istoric_Nativ'!$D$6:$D$405,"&gt;="&amp;L180)+SUMIFS('Istoric_Nativ'!$G$6:$G$405,'Istoric_Nativ'!$B$6:$B$405,E180,'Istoric_Nativ'!$C$6:$C$405,F180,'Istoric_Nativ'!$F$6:$F$405,G180,'Istoric_Nativ'!$D$6:$D$405,"&lt;"&amp;J180,'Istoric_Nativ'!$P$6:$P$405,1,'Istoric_Nativ'!$D$6:$D$405,"&gt;="&amp;L180)))/M180)</x:f>
      </x:c>
      <x:c r="P180" s="2" t="n">
        <x:f>'Config_v6'!$B$7</x:f>
        <x:v>10</x:v>
      </x:c>
      <x:c r="Q180" s="2" t="n">
        <x:f>IF(OR(B180="",F180=""),0,IFERROR(MATCH(E180&amp;"|"&amp;F180,SourceTable[Source_Key],0),0))</x:f>
        <x:v>0</x:v>
      </x:c>
      <x:c r="R180" s="2" t="str">
        <x:f>IF(B180="","",IF(F180="","UNUSED",IF(Q180=0,"NOT CHECKED",IF(COUNTIF(SourceTable[Source_Key],E180&amp;"|"&amp;F180)&lt;&gt;1,"SOURCE CONFLICT",IF(NOT(OR(INDEX(SourceTable[Status],MAX(1,Q180))="IMPORTED",INDEX(SourceTable[Status],MAX(1,Q180))="PARTIAL",INDEX(SourceTable[Status],MAX(1,Q180))="SOURCE CONFLICT")),"ACCESS BLOCKED",IF(OR(INDEX(SourceTable[Coverage],Q180)&lt;&gt;"FULL SEASON EXPORT",INDEX(SourceTable[URL],Q180)="",INDEX(SourceTable[SHA256],Q180)=""),"EVIDENCE INCOMPLETE",IF(AND('Input_Meci'!H20="LIVE",INDEX(SourceTable[Retrieved_UTC],Q180)&gt;'Input_Meci'!G20),"POST CUTOFF","CLOSED")))))))</x:f>
      </x:c>
      <x:c r="S180" s="2" t="n">
        <x:f>IF(OR(B180="",F180=""),0,COUNTIFS('Istoric_Nativ'!$B$6:$B$405,E180,'Istoric_Nativ'!$C$6:$C$405,F180,'Istoric_Nativ'!$E$6:$E$405,G180,'Istoric_Nativ'!$D$6:$D$405,"&lt;"&amp;J180,'Istoric_Nativ'!$O$6:$O$405,"INVALID")+COUNTIFS('Istoric_Nativ'!$B$6:$B$405,E180,'Istoric_Nativ'!$C$6:$C$405,F180,'Istoric_Nativ'!$E$6:$E$405,G180,'Istoric_Nativ'!$O$6:$O$405,"INVALID",'Istoric_Nativ'!$D$6:$D$405,"*")+COUNTIFS('Istoric_Nativ'!$B$6:$B$405,E180,'Istoric_Nativ'!$C$6:$C$405,F180,'Istoric_Nativ'!$E$6:$E$405,G180,'Istoric_Nativ'!$D$6:$D$405,"&lt;"&amp;J180,'Istoric_Nativ'!$O$6:$O$405,"SOURCE CONFLICT")+COUNTIFS('Istoric_Nativ'!$B$6:$B$405,E180,'Istoric_Nativ'!$C$6:$C$405,F180,'Istoric_Nativ'!$F$6:$F$405,G180,'Istoric_Nativ'!$D$6:$D$405,"&lt;"&amp;J180,'Istoric_Nativ'!$O$6:$O$405,"INVALID")+COUNTIFS('Istoric_Nativ'!$B$6:$B$405,E180,'Istoric_Nativ'!$C$6:$C$405,F180,'Istoric_Nativ'!$F$6:$F$405,G180,'Istoric_Nativ'!$O$6:$O$405,"INVALID",'Istoric_Nativ'!$D$6:$D$405,"*")+COUNTIFS('Istoric_Nativ'!$B$6:$B$405,E180,'Istoric_Nativ'!$C$6:$C$405,F180,'Istoric_Nativ'!$F$6:$F$405,G180,'Istoric_Nativ'!$D$6:$D$405,"&lt;"&amp;J180,'Istoric_Nativ'!$O$6:$O$405,"SOURCE CONFLICT"))</x:f>
        <x:v>0</x:v>
      </x:c>
      <x:c r="T180" s="2" t="str">
        <x:f>IF(B180="","",IF(R180&lt;&gt;"CLOSED",R180,IF(S180&gt;0,"NATIVE INPUT ISSUE",IF(M180=0,"NO HISTORY",IF(M180&lt;P180,"SMALL SAMPLE","DERIVED")))))</x:f>
      </x:c>
      <x:c r="U180" s="2" t="str">
        <x:f>IF(B180="","","NativeTable; "&amp;E180&amp;"; "&amp;F180&amp;"; "&amp;G180&amp;"; "&amp;H180&amp;"; before "&amp;TEXT(J180,"yyyy-mm-dd")&amp;IF(I180="RECENT","; from "&amp;TEXT(L180,"yyyy-mm-dd"),""))</x:f>
      </x:c>
    </x:row>
    <x:row r="181" ht="21" customHeight="1">
      <x:c r="A181" s="2" t="n">
        <x:v>15</x:v>
      </x:c>
      <x:c r="B181" s="2" t="str">
        <x:f>IF('Input_Meci'!A20="","",'Input_Meci'!A20)</x:f>
      </x:c>
      <x:c r="C181" s="2" t="str">
        <x:v>H</x:v>
      </x:c>
      <x:c r="D181" s="2" t="str">
        <x:v>PRIOR</x:v>
      </x:c>
      <x:c r="E181" s="2" t="str">
        <x:f>IF(B181="","",'Input_Meci'!B20)</x:f>
      </x:c>
      <x:c r="F181" s="2" t="str">
        <x:f>IF(B181="","",IF('Input_Meci'!K20="","",'Input_Meci'!K20))</x:f>
      </x:c>
      <x:c r="G181" s="2" t="str">
        <x:f>IF(B181="","",'Input_Meci'!D20)</x:f>
      </x:c>
      <x:c r="H181" s="2" t="str">
        <x:v>HOME</x:v>
      </x:c>
      <x:c r="I181" s="2" t="str">
        <x:v>HA</x:v>
      </x:c>
      <x:c r="J181" s="9" t="n">
        <x:f>IF(AND(B181&lt;&gt;"",ISNUMBER('Input_Meci'!G20)),INT('Input_Meci'!G20),0)</x:f>
        <x:v>0</x:v>
      </x:c>
      <x:c r="K181" s="2" t="n">
        <x:f>IF(OR(B181="",F181=""),0,IF(H181="HOME",COUNTIFS('Istoric_Nativ'!$B$6:$B$405,E181,'Istoric_Nativ'!$C$6:$C$405,F181,'Istoric_Nativ'!$E$6:$E$405,G181,'Istoric_Nativ'!$D$6:$D$405,"&lt;"&amp;J181,'Istoric_Nativ'!$P$6:$P$405,1),IF(H181="AWAY",COUNTIFS('Istoric_Nativ'!$B$6:$B$405,E181,'Istoric_Nativ'!$C$6:$C$405,F181,'Istoric_Nativ'!$F$6:$F$405,G181,'Istoric_Nativ'!$D$6:$D$405,"&lt;"&amp;J181,'Istoric_Nativ'!$P$6:$P$405,1),COUNTIFS('Istoric_Nativ'!$B$6:$B$405,E181,'Istoric_Nativ'!$C$6:$C$405,F181,'Istoric_Nativ'!$E$6:$E$405,G181,'Istoric_Nativ'!$D$6:$D$405,"&lt;"&amp;J181,'Istoric_Nativ'!$P$6:$P$405,1)+COUNTIFS('Istoric_Nativ'!$B$6:$B$405,E181,'Istoric_Nativ'!$C$6:$C$405,F181,'Istoric_Nativ'!$F$6:$F$405,G181,'Istoric_Nativ'!$D$6:$D$405,"&lt;"&amp;J181,'Istoric_Nativ'!$P$6:$P$405,1))))</x:f>
        <x:v>0</x:v>
      </x:c>
      <x:c r="L181" s="17" t="n">
        <x:f>IF(AND(B181&lt;&gt;"",I181="RECENT",K181&gt;0),LARGE(_xlfn._xlws.FILTER('Istoric_Nativ'!$D$6:$D$405,('Istoric_Nativ'!$B$6:$B$405=E181)*('Istoric_Nativ'!$C$6:$C$405=F181)*('Istoric_Nativ'!$P$6:$P$405=1)*('Istoric_Nativ'!$D$6:$D$405&lt;J181)*((('Istoric_Nativ'!$E$6:$E$405=G181)+('Istoric_Nativ'!$F$6:$F$405=G181))&gt;0)),MIN('Config_v6'!$B$54,K181)),0)</x:f>
        <x:v>0</x:v>
      </x:c>
      <x:c r="M181" s="2" t="n">
        <x:f>IF(OR(B181="",F181=""),0,IF(H181="HOME",COUNTIFS('Istoric_Nativ'!$B$6:$B$405,E181,'Istoric_Nativ'!$C$6:$C$405,F181,'Istoric_Nativ'!$E$6:$E$405,G181,'Istoric_Nativ'!$D$6:$D$405,"&lt;"&amp;J181,'Istoric_Nativ'!$P$6:$P$405,1,'Istoric_Nativ'!$D$6:$D$405,"&gt;="&amp;L181),IF(H181="AWAY",COUNTIFS('Istoric_Nativ'!$B$6:$B$405,E181,'Istoric_Nativ'!$C$6:$C$405,F181,'Istoric_Nativ'!$F$6:$F$405,G181,'Istoric_Nativ'!$D$6:$D$405,"&lt;"&amp;J181,'Istoric_Nativ'!$P$6:$P$405,1,'Istoric_Nativ'!$D$6:$D$405,"&gt;="&amp;L181),COUNTIFS('Istoric_Nativ'!$B$6:$B$405,E181,'Istoric_Nativ'!$C$6:$C$405,F181,'Istoric_Nativ'!$E$6:$E$405,G181,'Istoric_Nativ'!$D$6:$D$405,"&lt;"&amp;J181,'Istoric_Nativ'!$P$6:$P$405,1,'Istoric_Nativ'!$D$6:$D$405,"&gt;="&amp;L181)+COUNTIFS('Istoric_Nativ'!$B$6:$B$405,E181,'Istoric_Nativ'!$C$6:$C$405,F181,'Istoric_Nativ'!$F$6:$F$405,G181,'Istoric_Nativ'!$D$6:$D$405,"&lt;"&amp;J181,'Istoric_Nativ'!$P$6:$P$405,1,'Istoric_Nativ'!$D$6:$D$405,"&gt;="&amp;L181))))</x:f>
        <x:v>0</x:v>
      </x:c>
      <x:c r="N181" s="11" t="str">
        <x:f>IF(M181=0,"",IF(H181="HOME",SUMIFS('Istoric_Nativ'!$G$6:$G$405,'Istoric_Nativ'!$B$6:$B$405,E181,'Istoric_Nativ'!$C$6:$C$405,F181,'Istoric_Nativ'!$E$6:$E$405,G181,'Istoric_Nativ'!$D$6:$D$405,"&lt;"&amp;J181,'Istoric_Nativ'!$P$6:$P$405,1,'Istoric_Nativ'!$D$6:$D$405,"&gt;="&amp;L181),IF(H181="AWAY",SUMIFS('Istoric_Nativ'!$H$6:$H$405,'Istoric_Nativ'!$B$6:$B$405,E181,'Istoric_Nativ'!$C$6:$C$405,F181,'Istoric_Nativ'!$F$6:$F$405,G181,'Istoric_Nativ'!$D$6:$D$405,"&lt;"&amp;J181,'Istoric_Nativ'!$P$6:$P$405,1,'Istoric_Nativ'!$D$6:$D$405,"&gt;="&amp;L181),SUMIFS('Istoric_Nativ'!$G$6:$G$405,'Istoric_Nativ'!$B$6:$B$405,E181,'Istoric_Nativ'!$C$6:$C$405,F181,'Istoric_Nativ'!$E$6:$E$405,G181,'Istoric_Nativ'!$D$6:$D$405,"&lt;"&amp;J181,'Istoric_Nativ'!$P$6:$P$405,1,'Istoric_Nativ'!$D$6:$D$405,"&gt;="&amp;L181)+SUMIFS('Istoric_Nativ'!$H$6:$H$405,'Istoric_Nativ'!$B$6:$B$405,E181,'Istoric_Nativ'!$C$6:$C$405,F181,'Istoric_Nativ'!$F$6:$F$405,G181,'Istoric_Nativ'!$D$6:$D$405,"&lt;"&amp;J181,'Istoric_Nativ'!$P$6:$P$405,1,'Istoric_Nativ'!$D$6:$D$405,"&gt;="&amp;L181)))/M181)</x:f>
      </x:c>
      <x:c r="O181" s="11" t="str">
        <x:f>IF(M181=0,"",IF(H181="HOME",SUMIFS('Istoric_Nativ'!$H$6:$H$405,'Istoric_Nativ'!$B$6:$B$405,E181,'Istoric_Nativ'!$C$6:$C$405,F181,'Istoric_Nativ'!$E$6:$E$405,G181,'Istoric_Nativ'!$D$6:$D$405,"&lt;"&amp;J181,'Istoric_Nativ'!$P$6:$P$405,1,'Istoric_Nativ'!$D$6:$D$405,"&gt;="&amp;L181),IF(H181="AWAY",SUMIFS('Istoric_Nativ'!$G$6:$G$405,'Istoric_Nativ'!$B$6:$B$405,E181,'Istoric_Nativ'!$C$6:$C$405,F181,'Istoric_Nativ'!$F$6:$F$405,G181,'Istoric_Nativ'!$D$6:$D$405,"&lt;"&amp;J181,'Istoric_Nativ'!$P$6:$P$405,1,'Istoric_Nativ'!$D$6:$D$405,"&gt;="&amp;L181),SUMIFS('Istoric_Nativ'!$H$6:$H$405,'Istoric_Nativ'!$B$6:$B$405,E181,'Istoric_Nativ'!$C$6:$C$405,F181,'Istoric_Nativ'!$E$6:$E$405,G181,'Istoric_Nativ'!$D$6:$D$405,"&lt;"&amp;J181,'Istoric_Nativ'!$P$6:$P$405,1,'Istoric_Nativ'!$D$6:$D$405,"&gt;="&amp;L181)+SUMIFS('Istoric_Nativ'!$G$6:$G$405,'Istoric_Nativ'!$B$6:$B$405,E181,'Istoric_Nativ'!$C$6:$C$405,F181,'Istoric_Nativ'!$F$6:$F$405,G181,'Istoric_Nativ'!$D$6:$D$405,"&lt;"&amp;J181,'Istoric_Nativ'!$P$6:$P$405,1,'Istoric_Nativ'!$D$6:$D$405,"&gt;="&amp;L181)))/M181)</x:f>
      </x:c>
      <x:c r="P181" s="2" t="n">
        <x:f>'Config_v6'!$B$8</x:f>
        <x:v>5</x:v>
      </x:c>
      <x:c r="Q181" s="2" t="n">
        <x:f>IF(OR(B181="",F181=""),0,IFERROR(MATCH(E181&amp;"|"&amp;F181,SourceTable[Source_Key],0),0))</x:f>
        <x:v>0</x:v>
      </x:c>
      <x:c r="R181" s="2" t="str">
        <x:f>IF(B181="","",IF(F181="","UNUSED",IF(Q181=0,"NOT CHECKED",IF(COUNTIF(SourceTable[Source_Key],E181&amp;"|"&amp;F181)&lt;&gt;1,"SOURCE CONFLICT",IF(NOT(OR(INDEX(SourceTable[Status],MAX(1,Q181))="IMPORTED",INDEX(SourceTable[Status],MAX(1,Q181))="PARTIAL",INDEX(SourceTable[Status],MAX(1,Q181))="SOURCE CONFLICT")),"ACCESS BLOCKED",IF(OR(INDEX(SourceTable[Coverage],Q181)&lt;&gt;"FULL SEASON EXPORT",INDEX(SourceTable[URL],Q181)="",INDEX(SourceTable[SHA256],Q181)=""),"EVIDENCE INCOMPLETE",IF(AND('Input_Meci'!H20="LIVE",INDEX(SourceTable[Retrieved_UTC],Q181)&gt;'Input_Meci'!G20),"POST CUTOFF","CLOSED")))))))</x:f>
      </x:c>
      <x:c r="S181" s="2" t="n">
        <x:f>IF(OR(B181="",F181=""),0,COUNTIFS('Istoric_Nativ'!$B$6:$B$405,E181,'Istoric_Nativ'!$C$6:$C$405,F181,'Istoric_Nativ'!$E$6:$E$405,G181,'Istoric_Nativ'!$D$6:$D$405,"&lt;"&amp;J181,'Istoric_Nativ'!$O$6:$O$405,"INVALID")+COUNTIFS('Istoric_Nativ'!$B$6:$B$405,E181,'Istoric_Nativ'!$C$6:$C$405,F181,'Istoric_Nativ'!$E$6:$E$405,G181,'Istoric_Nativ'!$O$6:$O$405,"INVALID",'Istoric_Nativ'!$D$6:$D$405,"*")+COUNTIFS('Istoric_Nativ'!$B$6:$B$405,E181,'Istoric_Nativ'!$C$6:$C$405,F181,'Istoric_Nativ'!$E$6:$E$405,G181,'Istoric_Nativ'!$D$6:$D$405,"&lt;"&amp;J181,'Istoric_Nativ'!$O$6:$O$405,"SOURCE CONFLICT")+COUNTIFS('Istoric_Nativ'!$B$6:$B$405,E181,'Istoric_Nativ'!$C$6:$C$405,F181,'Istoric_Nativ'!$F$6:$F$405,G181,'Istoric_Nativ'!$D$6:$D$405,"&lt;"&amp;J181,'Istoric_Nativ'!$O$6:$O$405,"INVALID")+COUNTIFS('Istoric_Nativ'!$B$6:$B$405,E181,'Istoric_Nativ'!$C$6:$C$405,F181,'Istoric_Nativ'!$F$6:$F$405,G181,'Istoric_Nativ'!$O$6:$O$405,"INVALID",'Istoric_Nativ'!$D$6:$D$405,"*")+COUNTIFS('Istoric_Nativ'!$B$6:$B$405,E181,'Istoric_Nativ'!$C$6:$C$405,F181,'Istoric_Nativ'!$F$6:$F$405,G181,'Istoric_Nativ'!$D$6:$D$405,"&lt;"&amp;J181,'Istoric_Nativ'!$O$6:$O$405,"SOURCE CONFLICT"))</x:f>
        <x:v>0</x:v>
      </x:c>
      <x:c r="T181" s="2" t="str">
        <x:f>IF(B181="","",IF(R181&lt;&gt;"CLOSED",R181,IF(S181&gt;0,"NATIVE INPUT ISSUE",IF(M181=0,"NO HISTORY",IF(M181&lt;P181,"SMALL SAMPLE","DERIVED")))))</x:f>
      </x:c>
      <x:c r="U181" s="2" t="str">
        <x:f>IF(B181="","","NativeTable; "&amp;E181&amp;"; "&amp;F181&amp;"; "&amp;G181&amp;"; "&amp;H181&amp;"; before "&amp;TEXT(J181,"yyyy-mm-dd")&amp;IF(I181="RECENT","; from "&amp;TEXT(L181,"yyyy-mm-dd"),""))</x:f>
      </x:c>
    </x:row>
    <x:row r="182" ht="21" customHeight="1">
      <x:c r="A182" s="2" t="n">
        <x:v>15</x:v>
      </x:c>
      <x:c r="B182" s="2" t="str">
        <x:f>IF('Input_Meci'!A20="","",'Input_Meci'!A20)</x:f>
      </x:c>
      <x:c r="C182" s="2" t="str">
        <x:v>H</x:v>
      </x:c>
      <x:c r="D182" s="2" t="str">
        <x:v>PRIOR</x:v>
      </x:c>
      <x:c r="E182" s="2" t="str">
        <x:f>IF(B182="","",'Input_Meci'!B20)</x:f>
      </x:c>
      <x:c r="F182" s="2" t="str">
        <x:f>IF(B182="","",IF('Input_Meci'!K20="","",'Input_Meci'!K20))</x:f>
      </x:c>
      <x:c r="G182" s="2" t="str">
        <x:f>IF(B182="","",'Input_Meci'!D20)</x:f>
      </x:c>
      <x:c r="H182" s="2" t="str">
        <x:v>ANY</x:v>
      </x:c>
      <x:c r="I182" s="2" t="str">
        <x:v>RECENT</x:v>
      </x:c>
      <x:c r="J182" s="9" t="n">
        <x:f>IF(AND(B182&lt;&gt;"",ISNUMBER('Input_Meci'!G20)),INT('Input_Meci'!G20),0)</x:f>
        <x:v>0</x:v>
      </x:c>
      <x:c r="K182" s="2" t="n">
        <x:f>IF(OR(B182="",F182=""),0,IF(H182="HOME",COUNTIFS('Istoric_Nativ'!$B$6:$B$405,E182,'Istoric_Nativ'!$C$6:$C$405,F182,'Istoric_Nativ'!$E$6:$E$405,G182,'Istoric_Nativ'!$D$6:$D$405,"&lt;"&amp;J182,'Istoric_Nativ'!$P$6:$P$405,1),IF(H182="AWAY",COUNTIFS('Istoric_Nativ'!$B$6:$B$405,E182,'Istoric_Nativ'!$C$6:$C$405,F182,'Istoric_Nativ'!$F$6:$F$405,G182,'Istoric_Nativ'!$D$6:$D$405,"&lt;"&amp;J182,'Istoric_Nativ'!$P$6:$P$405,1),COUNTIFS('Istoric_Nativ'!$B$6:$B$405,E182,'Istoric_Nativ'!$C$6:$C$405,F182,'Istoric_Nativ'!$E$6:$E$405,G182,'Istoric_Nativ'!$D$6:$D$405,"&lt;"&amp;J182,'Istoric_Nativ'!$P$6:$P$405,1)+COUNTIFS('Istoric_Nativ'!$B$6:$B$405,E182,'Istoric_Nativ'!$C$6:$C$405,F182,'Istoric_Nativ'!$F$6:$F$405,G182,'Istoric_Nativ'!$D$6:$D$405,"&lt;"&amp;J182,'Istoric_Nativ'!$P$6:$P$405,1))))</x:f>
        <x:v>0</x:v>
      </x:c>
      <x:c r="L182" s="17" t="n">
        <x:f>IF(AND(B182&lt;&gt;"",I182="RECENT",K182&gt;0),LARGE(_xlfn._xlws.FILTER('Istoric_Nativ'!$D$6:$D$405,('Istoric_Nativ'!$B$6:$B$405=E182)*('Istoric_Nativ'!$C$6:$C$405=F182)*('Istoric_Nativ'!$P$6:$P$405=1)*('Istoric_Nativ'!$D$6:$D$405&lt;J182)*((('Istoric_Nativ'!$E$6:$E$405=G182)+('Istoric_Nativ'!$F$6:$F$405=G182))&gt;0)),MIN('Config_v6'!$B$54,K182)),0)</x:f>
        <x:v>0</x:v>
      </x:c>
      <x:c r="M182" s="2" t="n">
        <x:f>IF(OR(B182="",F182=""),0,IF(H182="HOME",COUNTIFS('Istoric_Nativ'!$B$6:$B$405,E182,'Istoric_Nativ'!$C$6:$C$405,F182,'Istoric_Nativ'!$E$6:$E$405,G182,'Istoric_Nativ'!$D$6:$D$405,"&lt;"&amp;J182,'Istoric_Nativ'!$P$6:$P$405,1,'Istoric_Nativ'!$D$6:$D$405,"&gt;="&amp;L182),IF(H182="AWAY",COUNTIFS('Istoric_Nativ'!$B$6:$B$405,E182,'Istoric_Nativ'!$C$6:$C$405,F182,'Istoric_Nativ'!$F$6:$F$405,G182,'Istoric_Nativ'!$D$6:$D$405,"&lt;"&amp;J182,'Istoric_Nativ'!$P$6:$P$405,1,'Istoric_Nativ'!$D$6:$D$405,"&gt;="&amp;L182),COUNTIFS('Istoric_Nativ'!$B$6:$B$405,E182,'Istoric_Nativ'!$C$6:$C$405,F182,'Istoric_Nativ'!$E$6:$E$405,G182,'Istoric_Nativ'!$D$6:$D$405,"&lt;"&amp;J182,'Istoric_Nativ'!$P$6:$P$405,1,'Istoric_Nativ'!$D$6:$D$405,"&gt;="&amp;L182)+COUNTIFS('Istoric_Nativ'!$B$6:$B$405,E182,'Istoric_Nativ'!$C$6:$C$405,F182,'Istoric_Nativ'!$F$6:$F$405,G182,'Istoric_Nativ'!$D$6:$D$405,"&lt;"&amp;J182,'Istoric_Nativ'!$P$6:$P$405,1,'Istoric_Nativ'!$D$6:$D$405,"&gt;="&amp;L182))))</x:f>
        <x:v>0</x:v>
      </x:c>
      <x:c r="N182" s="11" t="str">
        <x:f>IF(M182=0,"",IF(H182="HOME",SUMIFS('Istoric_Nativ'!$G$6:$G$405,'Istoric_Nativ'!$B$6:$B$405,E182,'Istoric_Nativ'!$C$6:$C$405,F182,'Istoric_Nativ'!$E$6:$E$405,G182,'Istoric_Nativ'!$D$6:$D$405,"&lt;"&amp;J182,'Istoric_Nativ'!$P$6:$P$405,1,'Istoric_Nativ'!$D$6:$D$405,"&gt;="&amp;L182),IF(H182="AWAY",SUMIFS('Istoric_Nativ'!$H$6:$H$405,'Istoric_Nativ'!$B$6:$B$405,E182,'Istoric_Nativ'!$C$6:$C$405,F182,'Istoric_Nativ'!$F$6:$F$405,G182,'Istoric_Nativ'!$D$6:$D$405,"&lt;"&amp;J182,'Istoric_Nativ'!$P$6:$P$405,1,'Istoric_Nativ'!$D$6:$D$405,"&gt;="&amp;L182),SUMIFS('Istoric_Nativ'!$G$6:$G$405,'Istoric_Nativ'!$B$6:$B$405,E182,'Istoric_Nativ'!$C$6:$C$405,F182,'Istoric_Nativ'!$E$6:$E$405,G182,'Istoric_Nativ'!$D$6:$D$405,"&lt;"&amp;J182,'Istoric_Nativ'!$P$6:$P$405,1,'Istoric_Nativ'!$D$6:$D$405,"&gt;="&amp;L182)+SUMIFS('Istoric_Nativ'!$H$6:$H$405,'Istoric_Nativ'!$B$6:$B$405,E182,'Istoric_Nativ'!$C$6:$C$405,F182,'Istoric_Nativ'!$F$6:$F$405,G182,'Istoric_Nativ'!$D$6:$D$405,"&lt;"&amp;J182,'Istoric_Nativ'!$P$6:$P$405,1,'Istoric_Nativ'!$D$6:$D$405,"&gt;="&amp;L182)))/M182)</x:f>
      </x:c>
      <x:c r="O182" s="11" t="str">
        <x:f>IF(M182=0,"",IF(H182="HOME",SUMIFS('Istoric_Nativ'!$H$6:$H$405,'Istoric_Nativ'!$B$6:$B$405,E182,'Istoric_Nativ'!$C$6:$C$405,F182,'Istoric_Nativ'!$E$6:$E$405,G182,'Istoric_Nativ'!$D$6:$D$405,"&lt;"&amp;J182,'Istoric_Nativ'!$P$6:$P$405,1,'Istoric_Nativ'!$D$6:$D$405,"&gt;="&amp;L182),IF(H182="AWAY",SUMIFS('Istoric_Nativ'!$G$6:$G$405,'Istoric_Nativ'!$B$6:$B$405,E182,'Istoric_Nativ'!$C$6:$C$405,F182,'Istoric_Nativ'!$F$6:$F$405,G182,'Istoric_Nativ'!$D$6:$D$405,"&lt;"&amp;J182,'Istoric_Nativ'!$P$6:$P$405,1,'Istoric_Nativ'!$D$6:$D$405,"&gt;="&amp;L182),SUMIFS('Istoric_Nativ'!$H$6:$H$405,'Istoric_Nativ'!$B$6:$B$405,E182,'Istoric_Nativ'!$C$6:$C$405,F182,'Istoric_Nativ'!$E$6:$E$405,G182,'Istoric_Nativ'!$D$6:$D$405,"&lt;"&amp;J182,'Istoric_Nativ'!$P$6:$P$405,1,'Istoric_Nativ'!$D$6:$D$405,"&gt;="&amp;L182)+SUMIFS('Istoric_Nativ'!$G$6:$G$405,'Istoric_Nativ'!$B$6:$B$405,E182,'Istoric_Nativ'!$C$6:$C$405,F182,'Istoric_Nativ'!$F$6:$F$405,G182,'Istoric_Nativ'!$D$6:$D$405,"&lt;"&amp;J182,'Istoric_Nativ'!$P$6:$P$405,1,'Istoric_Nativ'!$D$6:$D$405,"&gt;="&amp;L182)))/M182)</x:f>
      </x:c>
      <x:c r="P182" s="2" t="n">
        <x:f>'Config_v6'!$B$9</x:f>
        <x:v>3</x:v>
      </x:c>
      <x:c r="Q182" s="2" t="n">
        <x:f>IF(OR(B182="",F182=""),0,IFERROR(MATCH(E182&amp;"|"&amp;F182,SourceTable[Source_Key],0),0))</x:f>
        <x:v>0</x:v>
      </x:c>
      <x:c r="R182" s="2" t="str">
        <x:f>IF(B182="","",IF(F182="","UNUSED",IF(Q182=0,"NOT CHECKED",IF(COUNTIF(SourceTable[Source_Key],E182&amp;"|"&amp;F182)&lt;&gt;1,"SOURCE CONFLICT",IF(NOT(OR(INDEX(SourceTable[Status],MAX(1,Q182))="IMPORTED",INDEX(SourceTable[Status],MAX(1,Q182))="PARTIAL",INDEX(SourceTable[Status],MAX(1,Q182))="SOURCE CONFLICT")),"ACCESS BLOCKED",IF(OR(INDEX(SourceTable[Coverage],Q182)&lt;&gt;"FULL SEASON EXPORT",INDEX(SourceTable[URL],Q182)="",INDEX(SourceTable[SHA256],Q182)=""),"EVIDENCE INCOMPLETE",IF(AND('Input_Meci'!H20="LIVE",INDEX(SourceTable[Retrieved_UTC],Q182)&gt;'Input_Meci'!G20),"POST CUTOFF","CLOSED")))))))</x:f>
      </x:c>
      <x:c r="S182" s="2" t="n">
        <x:f>IF(OR(B182="",F182=""),0,COUNTIFS('Istoric_Nativ'!$B$6:$B$405,E182,'Istoric_Nativ'!$C$6:$C$405,F182,'Istoric_Nativ'!$E$6:$E$405,G182,'Istoric_Nativ'!$D$6:$D$405,"&lt;"&amp;J182,'Istoric_Nativ'!$O$6:$O$405,"INVALID")+COUNTIFS('Istoric_Nativ'!$B$6:$B$405,E182,'Istoric_Nativ'!$C$6:$C$405,F182,'Istoric_Nativ'!$E$6:$E$405,G182,'Istoric_Nativ'!$O$6:$O$405,"INVALID",'Istoric_Nativ'!$D$6:$D$405,"*")+COUNTIFS('Istoric_Nativ'!$B$6:$B$405,E182,'Istoric_Nativ'!$C$6:$C$405,F182,'Istoric_Nativ'!$E$6:$E$405,G182,'Istoric_Nativ'!$D$6:$D$405,"&lt;"&amp;J182,'Istoric_Nativ'!$O$6:$O$405,"SOURCE CONFLICT")+COUNTIFS('Istoric_Nativ'!$B$6:$B$405,E182,'Istoric_Nativ'!$C$6:$C$405,F182,'Istoric_Nativ'!$F$6:$F$405,G182,'Istoric_Nativ'!$D$6:$D$405,"&lt;"&amp;J182,'Istoric_Nativ'!$O$6:$O$405,"INVALID")+COUNTIFS('Istoric_Nativ'!$B$6:$B$405,E182,'Istoric_Nativ'!$C$6:$C$405,F182,'Istoric_Nativ'!$F$6:$F$405,G182,'Istoric_Nativ'!$O$6:$O$405,"INVALID",'Istoric_Nativ'!$D$6:$D$405,"*")+COUNTIFS('Istoric_Nativ'!$B$6:$B$405,E182,'Istoric_Nativ'!$C$6:$C$405,F182,'Istoric_Nativ'!$F$6:$F$405,G182,'Istoric_Nativ'!$D$6:$D$405,"&lt;"&amp;J182,'Istoric_Nativ'!$O$6:$O$405,"SOURCE CONFLICT"))</x:f>
        <x:v>0</x:v>
      </x:c>
      <x:c r="T182" s="2" t="str">
        <x:f>IF(B182="","",IF(R182&lt;&gt;"CLOSED",R182,IF(S182&gt;0,"NATIVE INPUT ISSUE",IF(M182=0,"NO HISTORY",IF(M182&lt;P182,"SMALL SAMPLE","DERIVED")))))</x:f>
      </x:c>
      <x:c r="U182" s="2" t="str">
        <x:f>IF(B182="","","NativeTable; "&amp;E182&amp;"; "&amp;F182&amp;"; "&amp;G182&amp;"; "&amp;H182&amp;"; before "&amp;TEXT(J182,"yyyy-mm-dd")&amp;IF(I182="RECENT","; from "&amp;TEXT(L182,"yyyy-mm-dd"),""))</x:f>
      </x:c>
    </x:row>
    <x:row r="183" ht="21" customHeight="1">
      <x:c r="A183" s="2" t="n">
        <x:v>15</x:v>
      </x:c>
      <x:c r="B183" s="2" t="str">
        <x:f>IF('Input_Meci'!A20="","",'Input_Meci'!A20)</x:f>
      </x:c>
      <x:c r="C183" s="2" t="str">
        <x:v>A</x:v>
      </x:c>
      <x:c r="D183" s="2" t="str">
        <x:v>PRIOR</x:v>
      </x:c>
      <x:c r="E183" s="2" t="str">
        <x:f>IF(B183="","",'Input_Meci'!B20)</x:f>
      </x:c>
      <x:c r="F183" s="2" t="str">
        <x:f>IF(B183="","",IF('Input_Meci'!K20="","",'Input_Meci'!K20))</x:f>
      </x:c>
      <x:c r="G183" s="2" t="str">
        <x:f>IF(B183="","",'Input_Meci'!E20)</x:f>
      </x:c>
      <x:c r="H183" s="2" t="str">
        <x:v>ANY</x:v>
      </x:c>
      <x:c r="I183" s="2" t="str">
        <x:v>SEASON</x:v>
      </x:c>
      <x:c r="J183" s="9" t="n">
        <x:f>IF(AND(B183&lt;&gt;"",ISNUMBER('Input_Meci'!G20)),INT('Input_Meci'!G20),0)</x:f>
        <x:v>0</x:v>
      </x:c>
      <x:c r="K183" s="2" t="n">
        <x:f>IF(OR(B183="",F183=""),0,IF(H183="HOME",COUNTIFS('Istoric_Nativ'!$B$6:$B$405,E183,'Istoric_Nativ'!$C$6:$C$405,F183,'Istoric_Nativ'!$E$6:$E$405,G183,'Istoric_Nativ'!$D$6:$D$405,"&lt;"&amp;J183,'Istoric_Nativ'!$P$6:$P$405,1),IF(H183="AWAY",COUNTIFS('Istoric_Nativ'!$B$6:$B$405,E183,'Istoric_Nativ'!$C$6:$C$405,F183,'Istoric_Nativ'!$F$6:$F$405,G183,'Istoric_Nativ'!$D$6:$D$405,"&lt;"&amp;J183,'Istoric_Nativ'!$P$6:$P$405,1),COUNTIFS('Istoric_Nativ'!$B$6:$B$405,E183,'Istoric_Nativ'!$C$6:$C$405,F183,'Istoric_Nativ'!$E$6:$E$405,G183,'Istoric_Nativ'!$D$6:$D$405,"&lt;"&amp;J183,'Istoric_Nativ'!$P$6:$P$405,1)+COUNTIFS('Istoric_Nativ'!$B$6:$B$405,E183,'Istoric_Nativ'!$C$6:$C$405,F183,'Istoric_Nativ'!$F$6:$F$405,G183,'Istoric_Nativ'!$D$6:$D$405,"&lt;"&amp;J183,'Istoric_Nativ'!$P$6:$P$405,1))))</x:f>
        <x:v>0</x:v>
      </x:c>
      <x:c r="L183" s="17" t="n">
        <x:f>IF(AND(B183&lt;&gt;"",I183="RECENT",K183&gt;0),LARGE(_xlfn._xlws.FILTER('Istoric_Nativ'!$D$6:$D$405,('Istoric_Nativ'!$B$6:$B$405=E183)*('Istoric_Nativ'!$C$6:$C$405=F183)*('Istoric_Nativ'!$P$6:$P$405=1)*('Istoric_Nativ'!$D$6:$D$405&lt;J183)*((('Istoric_Nativ'!$E$6:$E$405=G183)+('Istoric_Nativ'!$F$6:$F$405=G183))&gt;0)),MIN('Config_v6'!$B$54,K183)),0)</x:f>
        <x:v>0</x:v>
      </x:c>
      <x:c r="M183" s="2" t="n">
        <x:f>IF(OR(B183="",F183=""),0,IF(H183="HOME",COUNTIFS('Istoric_Nativ'!$B$6:$B$405,E183,'Istoric_Nativ'!$C$6:$C$405,F183,'Istoric_Nativ'!$E$6:$E$405,G183,'Istoric_Nativ'!$D$6:$D$405,"&lt;"&amp;J183,'Istoric_Nativ'!$P$6:$P$405,1,'Istoric_Nativ'!$D$6:$D$405,"&gt;="&amp;L183),IF(H183="AWAY",COUNTIFS('Istoric_Nativ'!$B$6:$B$405,E183,'Istoric_Nativ'!$C$6:$C$405,F183,'Istoric_Nativ'!$F$6:$F$405,G183,'Istoric_Nativ'!$D$6:$D$405,"&lt;"&amp;J183,'Istoric_Nativ'!$P$6:$P$405,1,'Istoric_Nativ'!$D$6:$D$405,"&gt;="&amp;L183),COUNTIFS('Istoric_Nativ'!$B$6:$B$405,E183,'Istoric_Nativ'!$C$6:$C$405,F183,'Istoric_Nativ'!$E$6:$E$405,G183,'Istoric_Nativ'!$D$6:$D$405,"&lt;"&amp;J183,'Istoric_Nativ'!$P$6:$P$405,1,'Istoric_Nativ'!$D$6:$D$405,"&gt;="&amp;L183)+COUNTIFS('Istoric_Nativ'!$B$6:$B$405,E183,'Istoric_Nativ'!$C$6:$C$405,F183,'Istoric_Nativ'!$F$6:$F$405,G183,'Istoric_Nativ'!$D$6:$D$405,"&lt;"&amp;J183,'Istoric_Nativ'!$P$6:$P$405,1,'Istoric_Nativ'!$D$6:$D$405,"&gt;="&amp;L183))))</x:f>
        <x:v>0</x:v>
      </x:c>
      <x:c r="N183" s="11" t="str">
        <x:f>IF(M183=0,"",IF(H183="HOME",SUMIFS('Istoric_Nativ'!$G$6:$G$405,'Istoric_Nativ'!$B$6:$B$405,E183,'Istoric_Nativ'!$C$6:$C$405,F183,'Istoric_Nativ'!$E$6:$E$405,G183,'Istoric_Nativ'!$D$6:$D$405,"&lt;"&amp;J183,'Istoric_Nativ'!$P$6:$P$405,1,'Istoric_Nativ'!$D$6:$D$405,"&gt;="&amp;L183),IF(H183="AWAY",SUMIFS('Istoric_Nativ'!$H$6:$H$405,'Istoric_Nativ'!$B$6:$B$405,E183,'Istoric_Nativ'!$C$6:$C$405,F183,'Istoric_Nativ'!$F$6:$F$405,G183,'Istoric_Nativ'!$D$6:$D$405,"&lt;"&amp;J183,'Istoric_Nativ'!$P$6:$P$405,1,'Istoric_Nativ'!$D$6:$D$405,"&gt;="&amp;L183),SUMIFS('Istoric_Nativ'!$G$6:$G$405,'Istoric_Nativ'!$B$6:$B$405,E183,'Istoric_Nativ'!$C$6:$C$405,F183,'Istoric_Nativ'!$E$6:$E$405,G183,'Istoric_Nativ'!$D$6:$D$405,"&lt;"&amp;J183,'Istoric_Nativ'!$P$6:$P$405,1,'Istoric_Nativ'!$D$6:$D$405,"&gt;="&amp;L183)+SUMIFS('Istoric_Nativ'!$H$6:$H$405,'Istoric_Nativ'!$B$6:$B$405,E183,'Istoric_Nativ'!$C$6:$C$405,F183,'Istoric_Nativ'!$F$6:$F$405,G183,'Istoric_Nativ'!$D$6:$D$405,"&lt;"&amp;J183,'Istoric_Nativ'!$P$6:$P$405,1,'Istoric_Nativ'!$D$6:$D$405,"&gt;="&amp;L183)))/M183)</x:f>
      </x:c>
      <x:c r="O183" s="11" t="str">
        <x:f>IF(M183=0,"",IF(H183="HOME",SUMIFS('Istoric_Nativ'!$H$6:$H$405,'Istoric_Nativ'!$B$6:$B$405,E183,'Istoric_Nativ'!$C$6:$C$405,F183,'Istoric_Nativ'!$E$6:$E$405,G183,'Istoric_Nativ'!$D$6:$D$405,"&lt;"&amp;J183,'Istoric_Nativ'!$P$6:$P$405,1,'Istoric_Nativ'!$D$6:$D$405,"&gt;="&amp;L183),IF(H183="AWAY",SUMIFS('Istoric_Nativ'!$G$6:$G$405,'Istoric_Nativ'!$B$6:$B$405,E183,'Istoric_Nativ'!$C$6:$C$405,F183,'Istoric_Nativ'!$F$6:$F$405,G183,'Istoric_Nativ'!$D$6:$D$405,"&lt;"&amp;J183,'Istoric_Nativ'!$P$6:$P$405,1,'Istoric_Nativ'!$D$6:$D$405,"&gt;="&amp;L183),SUMIFS('Istoric_Nativ'!$H$6:$H$405,'Istoric_Nativ'!$B$6:$B$405,E183,'Istoric_Nativ'!$C$6:$C$405,F183,'Istoric_Nativ'!$E$6:$E$405,G183,'Istoric_Nativ'!$D$6:$D$405,"&lt;"&amp;J183,'Istoric_Nativ'!$P$6:$P$405,1,'Istoric_Nativ'!$D$6:$D$405,"&gt;="&amp;L183)+SUMIFS('Istoric_Nativ'!$G$6:$G$405,'Istoric_Nativ'!$B$6:$B$405,E183,'Istoric_Nativ'!$C$6:$C$405,F183,'Istoric_Nativ'!$F$6:$F$405,G183,'Istoric_Nativ'!$D$6:$D$405,"&lt;"&amp;J183,'Istoric_Nativ'!$P$6:$P$405,1,'Istoric_Nativ'!$D$6:$D$405,"&gt;="&amp;L183)))/M183)</x:f>
      </x:c>
      <x:c r="P183" s="2" t="n">
        <x:f>'Config_v6'!$B$7</x:f>
        <x:v>10</x:v>
      </x:c>
      <x:c r="Q183" s="2" t="n">
        <x:f>IF(OR(B183="",F183=""),0,IFERROR(MATCH(E183&amp;"|"&amp;F183,SourceTable[Source_Key],0),0))</x:f>
        <x:v>0</x:v>
      </x:c>
      <x:c r="R183" s="2" t="str">
        <x:f>IF(B183="","",IF(F183="","UNUSED",IF(Q183=0,"NOT CHECKED",IF(COUNTIF(SourceTable[Source_Key],E183&amp;"|"&amp;F183)&lt;&gt;1,"SOURCE CONFLICT",IF(NOT(OR(INDEX(SourceTable[Status],MAX(1,Q183))="IMPORTED",INDEX(SourceTable[Status],MAX(1,Q183))="PARTIAL",INDEX(SourceTable[Status],MAX(1,Q183))="SOURCE CONFLICT")),"ACCESS BLOCKED",IF(OR(INDEX(SourceTable[Coverage],Q183)&lt;&gt;"FULL SEASON EXPORT",INDEX(SourceTable[URL],Q183)="",INDEX(SourceTable[SHA256],Q183)=""),"EVIDENCE INCOMPLETE",IF(AND('Input_Meci'!H20="LIVE",INDEX(SourceTable[Retrieved_UTC],Q183)&gt;'Input_Meci'!G20),"POST CUTOFF","CLOSED")))))))</x:f>
      </x:c>
      <x:c r="S183" s="2" t="n">
        <x:f>IF(OR(B183="",F183=""),0,COUNTIFS('Istoric_Nativ'!$B$6:$B$405,E183,'Istoric_Nativ'!$C$6:$C$405,F183,'Istoric_Nativ'!$E$6:$E$405,G183,'Istoric_Nativ'!$D$6:$D$405,"&lt;"&amp;J183,'Istoric_Nativ'!$O$6:$O$405,"INVALID")+COUNTIFS('Istoric_Nativ'!$B$6:$B$405,E183,'Istoric_Nativ'!$C$6:$C$405,F183,'Istoric_Nativ'!$E$6:$E$405,G183,'Istoric_Nativ'!$O$6:$O$405,"INVALID",'Istoric_Nativ'!$D$6:$D$405,"*")+COUNTIFS('Istoric_Nativ'!$B$6:$B$405,E183,'Istoric_Nativ'!$C$6:$C$405,F183,'Istoric_Nativ'!$E$6:$E$405,G183,'Istoric_Nativ'!$D$6:$D$405,"&lt;"&amp;J183,'Istoric_Nativ'!$O$6:$O$405,"SOURCE CONFLICT")+COUNTIFS('Istoric_Nativ'!$B$6:$B$405,E183,'Istoric_Nativ'!$C$6:$C$405,F183,'Istoric_Nativ'!$F$6:$F$405,G183,'Istoric_Nativ'!$D$6:$D$405,"&lt;"&amp;J183,'Istoric_Nativ'!$O$6:$O$405,"INVALID")+COUNTIFS('Istoric_Nativ'!$B$6:$B$405,E183,'Istoric_Nativ'!$C$6:$C$405,F183,'Istoric_Nativ'!$F$6:$F$405,G183,'Istoric_Nativ'!$O$6:$O$405,"INVALID",'Istoric_Nativ'!$D$6:$D$405,"*")+COUNTIFS('Istoric_Nativ'!$B$6:$B$405,E183,'Istoric_Nativ'!$C$6:$C$405,F183,'Istoric_Nativ'!$F$6:$F$405,G183,'Istoric_Nativ'!$D$6:$D$405,"&lt;"&amp;J183,'Istoric_Nativ'!$O$6:$O$405,"SOURCE CONFLICT"))</x:f>
        <x:v>0</x:v>
      </x:c>
      <x:c r="T183" s="2" t="str">
        <x:f>IF(B183="","",IF(R183&lt;&gt;"CLOSED",R183,IF(S183&gt;0,"NATIVE INPUT ISSUE",IF(M183=0,"NO HISTORY",IF(M183&lt;P183,"SMALL SAMPLE","DERIVED")))))</x:f>
      </x:c>
      <x:c r="U183" s="2" t="str">
        <x:f>IF(B183="","","NativeTable; "&amp;E183&amp;"; "&amp;F183&amp;"; "&amp;G183&amp;"; "&amp;H183&amp;"; before "&amp;TEXT(J183,"yyyy-mm-dd")&amp;IF(I183="RECENT","; from "&amp;TEXT(L183,"yyyy-mm-dd"),""))</x:f>
      </x:c>
    </x:row>
    <x:row r="184" ht="21" customHeight="1">
      <x:c r="A184" s="2" t="n">
        <x:v>15</x:v>
      </x:c>
      <x:c r="B184" s="2" t="str">
        <x:f>IF('Input_Meci'!A20="","",'Input_Meci'!A20)</x:f>
      </x:c>
      <x:c r="C184" s="2" t="str">
        <x:v>A</x:v>
      </x:c>
      <x:c r="D184" s="2" t="str">
        <x:v>PRIOR</x:v>
      </x:c>
      <x:c r="E184" s="2" t="str">
        <x:f>IF(B184="","",'Input_Meci'!B20)</x:f>
      </x:c>
      <x:c r="F184" s="2" t="str">
        <x:f>IF(B184="","",IF('Input_Meci'!K20="","",'Input_Meci'!K20))</x:f>
      </x:c>
      <x:c r="G184" s="2" t="str">
        <x:f>IF(B184="","",'Input_Meci'!E20)</x:f>
      </x:c>
      <x:c r="H184" s="2" t="str">
        <x:v>AWAY</x:v>
      </x:c>
      <x:c r="I184" s="2" t="str">
        <x:v>HA</x:v>
      </x:c>
      <x:c r="J184" s="9" t="n">
        <x:f>IF(AND(B184&lt;&gt;"",ISNUMBER('Input_Meci'!G20)),INT('Input_Meci'!G20),0)</x:f>
        <x:v>0</x:v>
      </x:c>
      <x:c r="K184" s="2" t="n">
        <x:f>IF(OR(B184="",F184=""),0,IF(H184="HOME",COUNTIFS('Istoric_Nativ'!$B$6:$B$405,E184,'Istoric_Nativ'!$C$6:$C$405,F184,'Istoric_Nativ'!$E$6:$E$405,G184,'Istoric_Nativ'!$D$6:$D$405,"&lt;"&amp;J184,'Istoric_Nativ'!$P$6:$P$405,1),IF(H184="AWAY",COUNTIFS('Istoric_Nativ'!$B$6:$B$405,E184,'Istoric_Nativ'!$C$6:$C$405,F184,'Istoric_Nativ'!$F$6:$F$405,G184,'Istoric_Nativ'!$D$6:$D$405,"&lt;"&amp;J184,'Istoric_Nativ'!$P$6:$P$405,1),COUNTIFS('Istoric_Nativ'!$B$6:$B$405,E184,'Istoric_Nativ'!$C$6:$C$405,F184,'Istoric_Nativ'!$E$6:$E$405,G184,'Istoric_Nativ'!$D$6:$D$405,"&lt;"&amp;J184,'Istoric_Nativ'!$P$6:$P$405,1)+COUNTIFS('Istoric_Nativ'!$B$6:$B$405,E184,'Istoric_Nativ'!$C$6:$C$405,F184,'Istoric_Nativ'!$F$6:$F$405,G184,'Istoric_Nativ'!$D$6:$D$405,"&lt;"&amp;J184,'Istoric_Nativ'!$P$6:$P$405,1))))</x:f>
        <x:v>0</x:v>
      </x:c>
      <x:c r="L184" s="17" t="n">
        <x:f>IF(AND(B184&lt;&gt;"",I184="RECENT",K184&gt;0),LARGE(_xlfn._xlws.FILTER('Istoric_Nativ'!$D$6:$D$405,('Istoric_Nativ'!$B$6:$B$405=E184)*('Istoric_Nativ'!$C$6:$C$405=F184)*('Istoric_Nativ'!$P$6:$P$405=1)*('Istoric_Nativ'!$D$6:$D$405&lt;J184)*((('Istoric_Nativ'!$E$6:$E$405=G184)+('Istoric_Nativ'!$F$6:$F$405=G184))&gt;0)),MIN('Config_v6'!$B$54,K184)),0)</x:f>
        <x:v>0</x:v>
      </x:c>
      <x:c r="M184" s="2" t="n">
        <x:f>IF(OR(B184="",F184=""),0,IF(H184="HOME",COUNTIFS('Istoric_Nativ'!$B$6:$B$405,E184,'Istoric_Nativ'!$C$6:$C$405,F184,'Istoric_Nativ'!$E$6:$E$405,G184,'Istoric_Nativ'!$D$6:$D$405,"&lt;"&amp;J184,'Istoric_Nativ'!$P$6:$P$405,1,'Istoric_Nativ'!$D$6:$D$405,"&gt;="&amp;L184),IF(H184="AWAY",COUNTIFS('Istoric_Nativ'!$B$6:$B$405,E184,'Istoric_Nativ'!$C$6:$C$405,F184,'Istoric_Nativ'!$F$6:$F$405,G184,'Istoric_Nativ'!$D$6:$D$405,"&lt;"&amp;J184,'Istoric_Nativ'!$P$6:$P$405,1,'Istoric_Nativ'!$D$6:$D$405,"&gt;="&amp;L184),COUNTIFS('Istoric_Nativ'!$B$6:$B$405,E184,'Istoric_Nativ'!$C$6:$C$405,F184,'Istoric_Nativ'!$E$6:$E$405,G184,'Istoric_Nativ'!$D$6:$D$405,"&lt;"&amp;J184,'Istoric_Nativ'!$P$6:$P$405,1,'Istoric_Nativ'!$D$6:$D$405,"&gt;="&amp;L184)+COUNTIFS('Istoric_Nativ'!$B$6:$B$405,E184,'Istoric_Nativ'!$C$6:$C$405,F184,'Istoric_Nativ'!$F$6:$F$405,G184,'Istoric_Nativ'!$D$6:$D$405,"&lt;"&amp;J184,'Istoric_Nativ'!$P$6:$P$405,1,'Istoric_Nativ'!$D$6:$D$405,"&gt;="&amp;L184))))</x:f>
        <x:v>0</x:v>
      </x:c>
      <x:c r="N184" s="11" t="str">
        <x:f>IF(M184=0,"",IF(H184="HOME",SUMIFS('Istoric_Nativ'!$G$6:$G$405,'Istoric_Nativ'!$B$6:$B$405,E184,'Istoric_Nativ'!$C$6:$C$405,F184,'Istoric_Nativ'!$E$6:$E$405,G184,'Istoric_Nativ'!$D$6:$D$405,"&lt;"&amp;J184,'Istoric_Nativ'!$P$6:$P$405,1,'Istoric_Nativ'!$D$6:$D$405,"&gt;="&amp;L184),IF(H184="AWAY",SUMIFS('Istoric_Nativ'!$H$6:$H$405,'Istoric_Nativ'!$B$6:$B$405,E184,'Istoric_Nativ'!$C$6:$C$405,F184,'Istoric_Nativ'!$F$6:$F$405,G184,'Istoric_Nativ'!$D$6:$D$405,"&lt;"&amp;J184,'Istoric_Nativ'!$P$6:$P$405,1,'Istoric_Nativ'!$D$6:$D$405,"&gt;="&amp;L184),SUMIFS('Istoric_Nativ'!$G$6:$G$405,'Istoric_Nativ'!$B$6:$B$405,E184,'Istoric_Nativ'!$C$6:$C$405,F184,'Istoric_Nativ'!$E$6:$E$405,G184,'Istoric_Nativ'!$D$6:$D$405,"&lt;"&amp;J184,'Istoric_Nativ'!$P$6:$P$405,1,'Istoric_Nativ'!$D$6:$D$405,"&gt;="&amp;L184)+SUMIFS('Istoric_Nativ'!$H$6:$H$405,'Istoric_Nativ'!$B$6:$B$405,E184,'Istoric_Nativ'!$C$6:$C$405,F184,'Istoric_Nativ'!$F$6:$F$405,G184,'Istoric_Nativ'!$D$6:$D$405,"&lt;"&amp;J184,'Istoric_Nativ'!$P$6:$P$405,1,'Istoric_Nativ'!$D$6:$D$405,"&gt;="&amp;L184)))/M184)</x:f>
      </x:c>
      <x:c r="O184" s="11" t="str">
        <x:f>IF(M184=0,"",IF(H184="HOME",SUMIFS('Istoric_Nativ'!$H$6:$H$405,'Istoric_Nativ'!$B$6:$B$405,E184,'Istoric_Nativ'!$C$6:$C$405,F184,'Istoric_Nativ'!$E$6:$E$405,G184,'Istoric_Nativ'!$D$6:$D$405,"&lt;"&amp;J184,'Istoric_Nativ'!$P$6:$P$405,1,'Istoric_Nativ'!$D$6:$D$405,"&gt;="&amp;L184),IF(H184="AWAY",SUMIFS('Istoric_Nativ'!$G$6:$G$405,'Istoric_Nativ'!$B$6:$B$405,E184,'Istoric_Nativ'!$C$6:$C$405,F184,'Istoric_Nativ'!$F$6:$F$405,G184,'Istoric_Nativ'!$D$6:$D$405,"&lt;"&amp;J184,'Istoric_Nativ'!$P$6:$P$405,1,'Istoric_Nativ'!$D$6:$D$405,"&gt;="&amp;L184),SUMIFS('Istoric_Nativ'!$H$6:$H$405,'Istoric_Nativ'!$B$6:$B$405,E184,'Istoric_Nativ'!$C$6:$C$405,F184,'Istoric_Nativ'!$E$6:$E$405,G184,'Istoric_Nativ'!$D$6:$D$405,"&lt;"&amp;J184,'Istoric_Nativ'!$P$6:$P$405,1,'Istoric_Nativ'!$D$6:$D$405,"&gt;="&amp;L184)+SUMIFS('Istoric_Nativ'!$G$6:$G$405,'Istoric_Nativ'!$B$6:$B$405,E184,'Istoric_Nativ'!$C$6:$C$405,F184,'Istoric_Nativ'!$F$6:$F$405,G184,'Istoric_Nativ'!$D$6:$D$405,"&lt;"&amp;J184,'Istoric_Nativ'!$P$6:$P$405,1,'Istoric_Nativ'!$D$6:$D$405,"&gt;="&amp;L184)))/M184)</x:f>
      </x:c>
      <x:c r="P184" s="2" t="n">
        <x:f>'Config_v6'!$B$8</x:f>
        <x:v>5</x:v>
      </x:c>
      <x:c r="Q184" s="2" t="n">
        <x:f>IF(OR(B184="",F184=""),0,IFERROR(MATCH(E184&amp;"|"&amp;F184,SourceTable[Source_Key],0),0))</x:f>
        <x:v>0</x:v>
      </x:c>
      <x:c r="R184" s="2" t="str">
        <x:f>IF(B184="","",IF(F184="","UNUSED",IF(Q184=0,"NOT CHECKED",IF(COUNTIF(SourceTable[Source_Key],E184&amp;"|"&amp;F184)&lt;&gt;1,"SOURCE CONFLICT",IF(NOT(OR(INDEX(SourceTable[Status],MAX(1,Q184))="IMPORTED",INDEX(SourceTable[Status],MAX(1,Q184))="PARTIAL",INDEX(SourceTable[Status],MAX(1,Q184))="SOURCE CONFLICT")),"ACCESS BLOCKED",IF(OR(INDEX(SourceTable[Coverage],Q184)&lt;&gt;"FULL SEASON EXPORT",INDEX(SourceTable[URL],Q184)="",INDEX(SourceTable[SHA256],Q184)=""),"EVIDENCE INCOMPLETE",IF(AND('Input_Meci'!H20="LIVE",INDEX(SourceTable[Retrieved_UTC],Q184)&gt;'Input_Meci'!G20),"POST CUTOFF","CLOSED")))))))</x:f>
      </x:c>
      <x:c r="S184" s="2" t="n">
        <x:f>IF(OR(B184="",F184=""),0,COUNTIFS('Istoric_Nativ'!$B$6:$B$405,E184,'Istoric_Nativ'!$C$6:$C$405,F184,'Istoric_Nativ'!$E$6:$E$405,G184,'Istoric_Nativ'!$D$6:$D$405,"&lt;"&amp;J184,'Istoric_Nativ'!$O$6:$O$405,"INVALID")+COUNTIFS('Istoric_Nativ'!$B$6:$B$405,E184,'Istoric_Nativ'!$C$6:$C$405,F184,'Istoric_Nativ'!$E$6:$E$405,G184,'Istoric_Nativ'!$O$6:$O$405,"INVALID",'Istoric_Nativ'!$D$6:$D$405,"*")+COUNTIFS('Istoric_Nativ'!$B$6:$B$405,E184,'Istoric_Nativ'!$C$6:$C$405,F184,'Istoric_Nativ'!$E$6:$E$405,G184,'Istoric_Nativ'!$D$6:$D$405,"&lt;"&amp;J184,'Istoric_Nativ'!$O$6:$O$405,"SOURCE CONFLICT")+COUNTIFS('Istoric_Nativ'!$B$6:$B$405,E184,'Istoric_Nativ'!$C$6:$C$405,F184,'Istoric_Nativ'!$F$6:$F$405,G184,'Istoric_Nativ'!$D$6:$D$405,"&lt;"&amp;J184,'Istoric_Nativ'!$O$6:$O$405,"INVALID")+COUNTIFS('Istoric_Nativ'!$B$6:$B$405,E184,'Istoric_Nativ'!$C$6:$C$405,F184,'Istoric_Nativ'!$F$6:$F$405,G184,'Istoric_Nativ'!$O$6:$O$405,"INVALID",'Istoric_Nativ'!$D$6:$D$405,"*")+COUNTIFS('Istoric_Nativ'!$B$6:$B$405,E184,'Istoric_Nativ'!$C$6:$C$405,F184,'Istoric_Nativ'!$F$6:$F$405,G184,'Istoric_Nativ'!$D$6:$D$405,"&lt;"&amp;J184,'Istoric_Nativ'!$O$6:$O$405,"SOURCE CONFLICT"))</x:f>
        <x:v>0</x:v>
      </x:c>
      <x:c r="T184" s="2" t="str">
        <x:f>IF(B184="","",IF(R184&lt;&gt;"CLOSED",R184,IF(S184&gt;0,"NATIVE INPUT ISSUE",IF(M184=0,"NO HISTORY",IF(M184&lt;P184,"SMALL SAMPLE","DERIVED")))))</x:f>
      </x:c>
      <x:c r="U184" s="2" t="str">
        <x:f>IF(B184="","","NativeTable; "&amp;E184&amp;"; "&amp;F184&amp;"; "&amp;G184&amp;"; "&amp;H184&amp;"; before "&amp;TEXT(J184,"yyyy-mm-dd")&amp;IF(I184="RECENT","; from "&amp;TEXT(L184,"yyyy-mm-dd"),""))</x:f>
      </x:c>
    </x:row>
    <x:row r="185" ht="21" customHeight="1">
      <x:c r="A185" s="2" t="n">
        <x:v>15</x:v>
      </x:c>
      <x:c r="B185" s="2" t="str">
        <x:f>IF('Input_Meci'!A20="","",'Input_Meci'!A20)</x:f>
      </x:c>
      <x:c r="C185" s="2" t="str">
        <x:v>A</x:v>
      </x:c>
      <x:c r="D185" s="2" t="str">
        <x:v>PRIOR</x:v>
      </x:c>
      <x:c r="E185" s="2" t="str">
        <x:f>IF(B185="","",'Input_Meci'!B20)</x:f>
      </x:c>
      <x:c r="F185" s="2" t="str">
        <x:f>IF(B185="","",IF('Input_Meci'!K20="","",'Input_Meci'!K20))</x:f>
      </x:c>
      <x:c r="G185" s="2" t="str">
        <x:f>IF(B185="","",'Input_Meci'!E20)</x:f>
      </x:c>
      <x:c r="H185" s="2" t="str">
        <x:v>ANY</x:v>
      </x:c>
      <x:c r="I185" s="2" t="str">
        <x:v>RECENT</x:v>
      </x:c>
      <x:c r="J185" s="9" t="n">
        <x:f>IF(AND(B185&lt;&gt;"",ISNUMBER('Input_Meci'!G20)),INT('Input_Meci'!G20),0)</x:f>
        <x:v>0</x:v>
      </x:c>
      <x:c r="K185" s="2" t="n">
        <x:f>IF(OR(B185="",F185=""),0,IF(H185="HOME",COUNTIFS('Istoric_Nativ'!$B$6:$B$405,E185,'Istoric_Nativ'!$C$6:$C$405,F185,'Istoric_Nativ'!$E$6:$E$405,G185,'Istoric_Nativ'!$D$6:$D$405,"&lt;"&amp;J185,'Istoric_Nativ'!$P$6:$P$405,1),IF(H185="AWAY",COUNTIFS('Istoric_Nativ'!$B$6:$B$405,E185,'Istoric_Nativ'!$C$6:$C$405,F185,'Istoric_Nativ'!$F$6:$F$405,G185,'Istoric_Nativ'!$D$6:$D$405,"&lt;"&amp;J185,'Istoric_Nativ'!$P$6:$P$405,1),COUNTIFS('Istoric_Nativ'!$B$6:$B$405,E185,'Istoric_Nativ'!$C$6:$C$405,F185,'Istoric_Nativ'!$E$6:$E$405,G185,'Istoric_Nativ'!$D$6:$D$405,"&lt;"&amp;J185,'Istoric_Nativ'!$P$6:$P$405,1)+COUNTIFS('Istoric_Nativ'!$B$6:$B$405,E185,'Istoric_Nativ'!$C$6:$C$405,F185,'Istoric_Nativ'!$F$6:$F$405,G185,'Istoric_Nativ'!$D$6:$D$405,"&lt;"&amp;J185,'Istoric_Nativ'!$P$6:$P$405,1))))</x:f>
        <x:v>0</x:v>
      </x:c>
      <x:c r="L185" s="17" t="n">
        <x:f>IF(AND(B185&lt;&gt;"",I185="RECENT",K185&gt;0),LARGE(_xlfn._xlws.FILTER('Istoric_Nativ'!$D$6:$D$405,('Istoric_Nativ'!$B$6:$B$405=E185)*('Istoric_Nativ'!$C$6:$C$405=F185)*('Istoric_Nativ'!$P$6:$P$405=1)*('Istoric_Nativ'!$D$6:$D$405&lt;J185)*((('Istoric_Nativ'!$E$6:$E$405=G185)+('Istoric_Nativ'!$F$6:$F$405=G185))&gt;0)),MIN('Config_v6'!$B$54,K185)),0)</x:f>
        <x:v>0</x:v>
      </x:c>
      <x:c r="M185" s="2" t="n">
        <x:f>IF(OR(B185="",F185=""),0,IF(H185="HOME",COUNTIFS('Istoric_Nativ'!$B$6:$B$405,E185,'Istoric_Nativ'!$C$6:$C$405,F185,'Istoric_Nativ'!$E$6:$E$405,G185,'Istoric_Nativ'!$D$6:$D$405,"&lt;"&amp;J185,'Istoric_Nativ'!$P$6:$P$405,1,'Istoric_Nativ'!$D$6:$D$405,"&gt;="&amp;L185),IF(H185="AWAY",COUNTIFS('Istoric_Nativ'!$B$6:$B$405,E185,'Istoric_Nativ'!$C$6:$C$405,F185,'Istoric_Nativ'!$F$6:$F$405,G185,'Istoric_Nativ'!$D$6:$D$405,"&lt;"&amp;J185,'Istoric_Nativ'!$P$6:$P$405,1,'Istoric_Nativ'!$D$6:$D$405,"&gt;="&amp;L185),COUNTIFS('Istoric_Nativ'!$B$6:$B$405,E185,'Istoric_Nativ'!$C$6:$C$405,F185,'Istoric_Nativ'!$E$6:$E$405,G185,'Istoric_Nativ'!$D$6:$D$405,"&lt;"&amp;J185,'Istoric_Nativ'!$P$6:$P$405,1,'Istoric_Nativ'!$D$6:$D$405,"&gt;="&amp;L185)+COUNTIFS('Istoric_Nativ'!$B$6:$B$405,E185,'Istoric_Nativ'!$C$6:$C$405,F185,'Istoric_Nativ'!$F$6:$F$405,G185,'Istoric_Nativ'!$D$6:$D$405,"&lt;"&amp;J185,'Istoric_Nativ'!$P$6:$P$405,1,'Istoric_Nativ'!$D$6:$D$405,"&gt;="&amp;L185))))</x:f>
        <x:v>0</x:v>
      </x:c>
      <x:c r="N185" s="11" t="str">
        <x:f>IF(M185=0,"",IF(H185="HOME",SUMIFS('Istoric_Nativ'!$G$6:$G$405,'Istoric_Nativ'!$B$6:$B$405,E185,'Istoric_Nativ'!$C$6:$C$405,F185,'Istoric_Nativ'!$E$6:$E$405,G185,'Istoric_Nativ'!$D$6:$D$405,"&lt;"&amp;J185,'Istoric_Nativ'!$P$6:$P$405,1,'Istoric_Nativ'!$D$6:$D$405,"&gt;="&amp;L185),IF(H185="AWAY",SUMIFS('Istoric_Nativ'!$H$6:$H$405,'Istoric_Nativ'!$B$6:$B$405,E185,'Istoric_Nativ'!$C$6:$C$405,F185,'Istoric_Nativ'!$F$6:$F$405,G185,'Istoric_Nativ'!$D$6:$D$405,"&lt;"&amp;J185,'Istoric_Nativ'!$P$6:$P$405,1,'Istoric_Nativ'!$D$6:$D$405,"&gt;="&amp;L185),SUMIFS('Istoric_Nativ'!$G$6:$G$405,'Istoric_Nativ'!$B$6:$B$405,E185,'Istoric_Nativ'!$C$6:$C$405,F185,'Istoric_Nativ'!$E$6:$E$405,G185,'Istoric_Nativ'!$D$6:$D$405,"&lt;"&amp;J185,'Istoric_Nativ'!$P$6:$P$405,1,'Istoric_Nativ'!$D$6:$D$405,"&gt;="&amp;L185)+SUMIFS('Istoric_Nativ'!$H$6:$H$405,'Istoric_Nativ'!$B$6:$B$405,E185,'Istoric_Nativ'!$C$6:$C$405,F185,'Istoric_Nativ'!$F$6:$F$405,G185,'Istoric_Nativ'!$D$6:$D$405,"&lt;"&amp;J185,'Istoric_Nativ'!$P$6:$P$405,1,'Istoric_Nativ'!$D$6:$D$405,"&gt;="&amp;L185)))/M185)</x:f>
      </x:c>
      <x:c r="O185" s="11" t="str">
        <x:f>IF(M185=0,"",IF(H185="HOME",SUMIFS('Istoric_Nativ'!$H$6:$H$405,'Istoric_Nativ'!$B$6:$B$405,E185,'Istoric_Nativ'!$C$6:$C$405,F185,'Istoric_Nativ'!$E$6:$E$405,G185,'Istoric_Nativ'!$D$6:$D$405,"&lt;"&amp;J185,'Istoric_Nativ'!$P$6:$P$405,1,'Istoric_Nativ'!$D$6:$D$405,"&gt;="&amp;L185),IF(H185="AWAY",SUMIFS('Istoric_Nativ'!$G$6:$G$405,'Istoric_Nativ'!$B$6:$B$405,E185,'Istoric_Nativ'!$C$6:$C$405,F185,'Istoric_Nativ'!$F$6:$F$405,G185,'Istoric_Nativ'!$D$6:$D$405,"&lt;"&amp;J185,'Istoric_Nativ'!$P$6:$P$405,1,'Istoric_Nativ'!$D$6:$D$405,"&gt;="&amp;L185),SUMIFS('Istoric_Nativ'!$H$6:$H$405,'Istoric_Nativ'!$B$6:$B$405,E185,'Istoric_Nativ'!$C$6:$C$405,F185,'Istoric_Nativ'!$E$6:$E$405,G185,'Istoric_Nativ'!$D$6:$D$405,"&lt;"&amp;J185,'Istoric_Nativ'!$P$6:$P$405,1,'Istoric_Nativ'!$D$6:$D$405,"&gt;="&amp;L185)+SUMIFS('Istoric_Nativ'!$G$6:$G$405,'Istoric_Nativ'!$B$6:$B$405,E185,'Istoric_Nativ'!$C$6:$C$405,F185,'Istoric_Nativ'!$F$6:$F$405,G185,'Istoric_Nativ'!$D$6:$D$405,"&lt;"&amp;J185,'Istoric_Nativ'!$P$6:$P$405,1,'Istoric_Nativ'!$D$6:$D$405,"&gt;="&amp;L185)))/M185)</x:f>
      </x:c>
      <x:c r="P185" s="2" t="n">
        <x:f>'Config_v6'!$B$9</x:f>
        <x:v>3</x:v>
      </x:c>
      <x:c r="Q185" s="2" t="n">
        <x:f>IF(OR(B185="",F185=""),0,IFERROR(MATCH(E185&amp;"|"&amp;F185,SourceTable[Source_Key],0),0))</x:f>
        <x:v>0</x:v>
      </x:c>
      <x:c r="R185" s="2" t="str">
        <x:f>IF(B185="","",IF(F185="","UNUSED",IF(Q185=0,"NOT CHECKED",IF(COUNTIF(SourceTable[Source_Key],E185&amp;"|"&amp;F185)&lt;&gt;1,"SOURCE CONFLICT",IF(NOT(OR(INDEX(SourceTable[Status],MAX(1,Q185))="IMPORTED",INDEX(SourceTable[Status],MAX(1,Q185))="PARTIAL",INDEX(SourceTable[Status],MAX(1,Q185))="SOURCE CONFLICT")),"ACCESS BLOCKED",IF(OR(INDEX(SourceTable[Coverage],Q185)&lt;&gt;"FULL SEASON EXPORT",INDEX(SourceTable[URL],Q185)="",INDEX(SourceTable[SHA256],Q185)=""),"EVIDENCE INCOMPLETE",IF(AND('Input_Meci'!H20="LIVE",INDEX(SourceTable[Retrieved_UTC],Q185)&gt;'Input_Meci'!G20),"POST CUTOFF","CLOSED")))))))</x:f>
      </x:c>
      <x:c r="S185" s="2" t="n">
        <x:f>IF(OR(B185="",F185=""),0,COUNTIFS('Istoric_Nativ'!$B$6:$B$405,E185,'Istoric_Nativ'!$C$6:$C$405,F185,'Istoric_Nativ'!$E$6:$E$405,G185,'Istoric_Nativ'!$D$6:$D$405,"&lt;"&amp;J185,'Istoric_Nativ'!$O$6:$O$405,"INVALID")+COUNTIFS('Istoric_Nativ'!$B$6:$B$405,E185,'Istoric_Nativ'!$C$6:$C$405,F185,'Istoric_Nativ'!$E$6:$E$405,G185,'Istoric_Nativ'!$O$6:$O$405,"INVALID",'Istoric_Nativ'!$D$6:$D$405,"*")+COUNTIFS('Istoric_Nativ'!$B$6:$B$405,E185,'Istoric_Nativ'!$C$6:$C$405,F185,'Istoric_Nativ'!$E$6:$E$405,G185,'Istoric_Nativ'!$D$6:$D$405,"&lt;"&amp;J185,'Istoric_Nativ'!$O$6:$O$405,"SOURCE CONFLICT")+COUNTIFS('Istoric_Nativ'!$B$6:$B$405,E185,'Istoric_Nativ'!$C$6:$C$405,F185,'Istoric_Nativ'!$F$6:$F$405,G185,'Istoric_Nativ'!$D$6:$D$405,"&lt;"&amp;J185,'Istoric_Nativ'!$O$6:$O$405,"INVALID")+COUNTIFS('Istoric_Nativ'!$B$6:$B$405,E185,'Istoric_Nativ'!$C$6:$C$405,F185,'Istoric_Nativ'!$F$6:$F$405,G185,'Istoric_Nativ'!$O$6:$O$405,"INVALID",'Istoric_Nativ'!$D$6:$D$405,"*")+COUNTIFS('Istoric_Nativ'!$B$6:$B$405,E185,'Istoric_Nativ'!$C$6:$C$405,F185,'Istoric_Nativ'!$F$6:$F$405,G185,'Istoric_Nativ'!$D$6:$D$405,"&lt;"&amp;J185,'Istoric_Nativ'!$O$6:$O$405,"SOURCE CONFLICT"))</x:f>
        <x:v>0</x:v>
      </x:c>
      <x:c r="T185" s="2" t="str">
        <x:f>IF(B185="","",IF(R185&lt;&gt;"CLOSED",R185,IF(S185&gt;0,"NATIVE INPUT ISSUE",IF(M185=0,"NO HISTORY",IF(M185&lt;P185,"SMALL SAMPLE","DERIVED")))))</x:f>
      </x:c>
      <x:c r="U185" s="2" t="str">
        <x:f>IF(B185="","","NativeTable; "&amp;E185&amp;"; "&amp;F185&amp;"; "&amp;G185&amp;"; "&amp;H185&amp;"; before "&amp;TEXT(J185,"yyyy-mm-dd")&amp;IF(I185="RECENT","; from "&amp;TEXT(L185,"yyyy-mm-dd"),""))</x:f>
      </x:c>
    </x:row>
    <x:row r="186" ht="21" customHeight="1">
      <x:c r="A186" s="2" t="n">
        <x:v>16</x:v>
      </x:c>
      <x:c r="B186" s="2" t="str">
        <x:f>IF('Input_Meci'!A21="","",'Input_Meci'!A21)</x:f>
      </x:c>
      <x:c r="C186" s="2" t="str">
        <x:v>H</x:v>
      </x:c>
      <x:c r="D186" s="2" t="str">
        <x:v>CURRENT</x:v>
      </x:c>
      <x:c r="E186" s="2" t="str">
        <x:f>IF(B186="","",'Input_Meci'!B21)</x:f>
      </x:c>
      <x:c r="F186" s="2" t="str">
        <x:f>IF(B186="","",IF('Input_Meci'!C21="","",'Input_Meci'!C21))</x:f>
      </x:c>
      <x:c r="G186" s="2" t="str">
        <x:f>IF(B186="","",'Input_Meci'!D21)</x:f>
      </x:c>
      <x:c r="H186" s="2" t="str">
        <x:v>ANY</x:v>
      </x:c>
      <x:c r="I186" s="2" t="str">
        <x:v>SEASON</x:v>
      </x:c>
      <x:c r="J186" s="9" t="n">
        <x:f>IF(AND(B186&lt;&gt;"",ISNUMBER('Input_Meci'!G21)),INT('Input_Meci'!G21),0)</x:f>
        <x:v>0</x:v>
      </x:c>
      <x:c r="K186" s="2" t="n">
        <x:f>IF(OR(B186="",F186=""),0,IF(H186="HOME",COUNTIFS('Istoric_Nativ'!$B$6:$B$405,E186,'Istoric_Nativ'!$C$6:$C$405,F186,'Istoric_Nativ'!$E$6:$E$405,G186,'Istoric_Nativ'!$D$6:$D$405,"&lt;"&amp;J186,'Istoric_Nativ'!$P$6:$P$405,1),IF(H186="AWAY",COUNTIFS('Istoric_Nativ'!$B$6:$B$405,E186,'Istoric_Nativ'!$C$6:$C$405,F186,'Istoric_Nativ'!$F$6:$F$405,G186,'Istoric_Nativ'!$D$6:$D$405,"&lt;"&amp;J186,'Istoric_Nativ'!$P$6:$P$405,1),COUNTIFS('Istoric_Nativ'!$B$6:$B$405,E186,'Istoric_Nativ'!$C$6:$C$405,F186,'Istoric_Nativ'!$E$6:$E$405,G186,'Istoric_Nativ'!$D$6:$D$405,"&lt;"&amp;J186,'Istoric_Nativ'!$P$6:$P$405,1)+COUNTIFS('Istoric_Nativ'!$B$6:$B$405,E186,'Istoric_Nativ'!$C$6:$C$405,F186,'Istoric_Nativ'!$F$6:$F$405,G186,'Istoric_Nativ'!$D$6:$D$405,"&lt;"&amp;J186,'Istoric_Nativ'!$P$6:$P$405,1))))</x:f>
        <x:v>0</x:v>
      </x:c>
      <x:c r="L186" s="17" t="n">
        <x:f>IF(AND(B186&lt;&gt;"",I186="RECENT",K186&gt;0),LARGE(_xlfn._xlws.FILTER('Istoric_Nativ'!$D$6:$D$405,('Istoric_Nativ'!$B$6:$B$405=E186)*('Istoric_Nativ'!$C$6:$C$405=F186)*('Istoric_Nativ'!$P$6:$P$405=1)*('Istoric_Nativ'!$D$6:$D$405&lt;J186)*((('Istoric_Nativ'!$E$6:$E$405=G186)+('Istoric_Nativ'!$F$6:$F$405=G186))&gt;0)),MIN('Config_v6'!$B$54,K186)),0)</x:f>
        <x:v>0</x:v>
      </x:c>
      <x:c r="M186" s="2" t="n">
        <x:f>IF(OR(B186="",F186=""),0,IF(H186="HOME",COUNTIFS('Istoric_Nativ'!$B$6:$B$405,E186,'Istoric_Nativ'!$C$6:$C$405,F186,'Istoric_Nativ'!$E$6:$E$405,G186,'Istoric_Nativ'!$D$6:$D$405,"&lt;"&amp;J186,'Istoric_Nativ'!$P$6:$P$405,1,'Istoric_Nativ'!$D$6:$D$405,"&gt;="&amp;L186),IF(H186="AWAY",COUNTIFS('Istoric_Nativ'!$B$6:$B$405,E186,'Istoric_Nativ'!$C$6:$C$405,F186,'Istoric_Nativ'!$F$6:$F$405,G186,'Istoric_Nativ'!$D$6:$D$405,"&lt;"&amp;J186,'Istoric_Nativ'!$P$6:$P$405,1,'Istoric_Nativ'!$D$6:$D$405,"&gt;="&amp;L186),COUNTIFS('Istoric_Nativ'!$B$6:$B$405,E186,'Istoric_Nativ'!$C$6:$C$405,F186,'Istoric_Nativ'!$E$6:$E$405,G186,'Istoric_Nativ'!$D$6:$D$405,"&lt;"&amp;J186,'Istoric_Nativ'!$P$6:$P$405,1,'Istoric_Nativ'!$D$6:$D$405,"&gt;="&amp;L186)+COUNTIFS('Istoric_Nativ'!$B$6:$B$405,E186,'Istoric_Nativ'!$C$6:$C$405,F186,'Istoric_Nativ'!$F$6:$F$405,G186,'Istoric_Nativ'!$D$6:$D$405,"&lt;"&amp;J186,'Istoric_Nativ'!$P$6:$P$405,1,'Istoric_Nativ'!$D$6:$D$405,"&gt;="&amp;L186))))</x:f>
        <x:v>0</x:v>
      </x:c>
      <x:c r="N186" s="11" t="str">
        <x:f>IF(M186=0,"",IF(H186="HOME",SUMIFS('Istoric_Nativ'!$G$6:$G$405,'Istoric_Nativ'!$B$6:$B$405,E186,'Istoric_Nativ'!$C$6:$C$405,F186,'Istoric_Nativ'!$E$6:$E$405,G186,'Istoric_Nativ'!$D$6:$D$405,"&lt;"&amp;J186,'Istoric_Nativ'!$P$6:$P$405,1,'Istoric_Nativ'!$D$6:$D$405,"&gt;="&amp;L186),IF(H186="AWAY",SUMIFS('Istoric_Nativ'!$H$6:$H$405,'Istoric_Nativ'!$B$6:$B$405,E186,'Istoric_Nativ'!$C$6:$C$405,F186,'Istoric_Nativ'!$F$6:$F$405,G186,'Istoric_Nativ'!$D$6:$D$405,"&lt;"&amp;J186,'Istoric_Nativ'!$P$6:$P$405,1,'Istoric_Nativ'!$D$6:$D$405,"&gt;="&amp;L186),SUMIFS('Istoric_Nativ'!$G$6:$G$405,'Istoric_Nativ'!$B$6:$B$405,E186,'Istoric_Nativ'!$C$6:$C$405,F186,'Istoric_Nativ'!$E$6:$E$405,G186,'Istoric_Nativ'!$D$6:$D$405,"&lt;"&amp;J186,'Istoric_Nativ'!$P$6:$P$405,1,'Istoric_Nativ'!$D$6:$D$405,"&gt;="&amp;L186)+SUMIFS('Istoric_Nativ'!$H$6:$H$405,'Istoric_Nativ'!$B$6:$B$405,E186,'Istoric_Nativ'!$C$6:$C$405,F186,'Istoric_Nativ'!$F$6:$F$405,G186,'Istoric_Nativ'!$D$6:$D$405,"&lt;"&amp;J186,'Istoric_Nativ'!$P$6:$P$405,1,'Istoric_Nativ'!$D$6:$D$405,"&gt;="&amp;L186)))/M186)</x:f>
      </x:c>
      <x:c r="O186" s="11" t="str">
        <x:f>IF(M186=0,"",IF(H186="HOME",SUMIFS('Istoric_Nativ'!$H$6:$H$405,'Istoric_Nativ'!$B$6:$B$405,E186,'Istoric_Nativ'!$C$6:$C$405,F186,'Istoric_Nativ'!$E$6:$E$405,G186,'Istoric_Nativ'!$D$6:$D$405,"&lt;"&amp;J186,'Istoric_Nativ'!$P$6:$P$405,1,'Istoric_Nativ'!$D$6:$D$405,"&gt;="&amp;L186),IF(H186="AWAY",SUMIFS('Istoric_Nativ'!$G$6:$G$405,'Istoric_Nativ'!$B$6:$B$405,E186,'Istoric_Nativ'!$C$6:$C$405,F186,'Istoric_Nativ'!$F$6:$F$405,G186,'Istoric_Nativ'!$D$6:$D$405,"&lt;"&amp;J186,'Istoric_Nativ'!$P$6:$P$405,1,'Istoric_Nativ'!$D$6:$D$405,"&gt;="&amp;L186),SUMIFS('Istoric_Nativ'!$H$6:$H$405,'Istoric_Nativ'!$B$6:$B$405,E186,'Istoric_Nativ'!$C$6:$C$405,F186,'Istoric_Nativ'!$E$6:$E$405,G186,'Istoric_Nativ'!$D$6:$D$405,"&lt;"&amp;J186,'Istoric_Nativ'!$P$6:$P$405,1,'Istoric_Nativ'!$D$6:$D$405,"&gt;="&amp;L186)+SUMIFS('Istoric_Nativ'!$G$6:$G$405,'Istoric_Nativ'!$B$6:$B$405,E186,'Istoric_Nativ'!$C$6:$C$405,F186,'Istoric_Nativ'!$F$6:$F$405,G186,'Istoric_Nativ'!$D$6:$D$405,"&lt;"&amp;J186,'Istoric_Nativ'!$P$6:$P$405,1,'Istoric_Nativ'!$D$6:$D$405,"&gt;="&amp;L186)))/M186)</x:f>
      </x:c>
      <x:c r="P186" s="2" t="n">
        <x:f>'Config_v6'!$B$7</x:f>
        <x:v>10</x:v>
      </x:c>
      <x:c r="Q186" s="2" t="n">
        <x:f>IF(OR(B186="",F186=""),0,IFERROR(MATCH(E186&amp;"|"&amp;F186,SourceTable[Source_Key],0),0))</x:f>
        <x:v>0</x:v>
      </x:c>
      <x:c r="R186" s="2" t="str">
        <x:f>IF(B186="","",IF(F186="","UNUSED",IF(Q186=0,"NOT CHECKED",IF(COUNTIF(SourceTable[Source_Key],E186&amp;"|"&amp;F186)&lt;&gt;1,"SOURCE CONFLICT",IF(NOT(OR(INDEX(SourceTable[Status],MAX(1,Q186))="IMPORTED",INDEX(SourceTable[Status],MAX(1,Q186))="PARTIAL",INDEX(SourceTable[Status],MAX(1,Q186))="SOURCE CONFLICT")),"ACCESS BLOCKED",IF(OR(INDEX(SourceTable[Coverage],Q186)&lt;&gt;"FULL SEASON EXPORT",INDEX(SourceTable[URL],Q186)="",INDEX(SourceTable[SHA256],Q186)=""),"EVIDENCE INCOMPLETE",IF(AND('Input_Meci'!H21="LIVE",INDEX(SourceTable[Retrieved_UTC],Q186)&gt;'Input_Meci'!G21),"POST CUTOFF","CLOSED")))))))</x:f>
      </x:c>
      <x:c r="S186" s="2" t="n">
        <x:f>IF(OR(B186="",F186=""),0,COUNTIFS('Istoric_Nativ'!$B$6:$B$405,E186,'Istoric_Nativ'!$C$6:$C$405,F186,'Istoric_Nativ'!$E$6:$E$405,G186,'Istoric_Nativ'!$D$6:$D$405,"&lt;"&amp;J186,'Istoric_Nativ'!$O$6:$O$405,"INVALID")+COUNTIFS('Istoric_Nativ'!$B$6:$B$405,E186,'Istoric_Nativ'!$C$6:$C$405,F186,'Istoric_Nativ'!$E$6:$E$405,G186,'Istoric_Nativ'!$O$6:$O$405,"INVALID",'Istoric_Nativ'!$D$6:$D$405,"*")+COUNTIFS('Istoric_Nativ'!$B$6:$B$405,E186,'Istoric_Nativ'!$C$6:$C$405,F186,'Istoric_Nativ'!$E$6:$E$405,G186,'Istoric_Nativ'!$D$6:$D$405,"&lt;"&amp;J186,'Istoric_Nativ'!$O$6:$O$405,"SOURCE CONFLICT")+COUNTIFS('Istoric_Nativ'!$B$6:$B$405,E186,'Istoric_Nativ'!$C$6:$C$405,F186,'Istoric_Nativ'!$F$6:$F$405,G186,'Istoric_Nativ'!$D$6:$D$405,"&lt;"&amp;J186,'Istoric_Nativ'!$O$6:$O$405,"INVALID")+COUNTIFS('Istoric_Nativ'!$B$6:$B$405,E186,'Istoric_Nativ'!$C$6:$C$405,F186,'Istoric_Nativ'!$F$6:$F$405,G186,'Istoric_Nativ'!$O$6:$O$405,"INVALID",'Istoric_Nativ'!$D$6:$D$405,"*")+COUNTIFS('Istoric_Nativ'!$B$6:$B$405,E186,'Istoric_Nativ'!$C$6:$C$405,F186,'Istoric_Nativ'!$F$6:$F$405,G186,'Istoric_Nativ'!$D$6:$D$405,"&lt;"&amp;J186,'Istoric_Nativ'!$O$6:$O$405,"SOURCE CONFLICT"))</x:f>
        <x:v>0</x:v>
      </x:c>
      <x:c r="T186" s="2" t="str">
        <x:f>IF(B186="","",IF(R186&lt;&gt;"CLOSED",R186,IF(S186&gt;0,"NATIVE INPUT ISSUE",IF(M186=0,"NO HISTORY",IF(M186&lt;P186,"SMALL SAMPLE","DERIVED")))))</x:f>
      </x:c>
      <x:c r="U186" s="2" t="str">
        <x:f>IF(B186="","","NativeTable; "&amp;E186&amp;"; "&amp;F186&amp;"; "&amp;G186&amp;"; "&amp;H186&amp;"; before "&amp;TEXT(J186,"yyyy-mm-dd")&amp;IF(I186="RECENT","; from "&amp;TEXT(L186,"yyyy-mm-dd"),""))</x:f>
      </x:c>
    </x:row>
    <x:row r="187" ht="21" customHeight="1">
      <x:c r="A187" s="2" t="n">
        <x:v>16</x:v>
      </x:c>
      <x:c r="B187" s="2" t="str">
        <x:f>IF('Input_Meci'!A21="","",'Input_Meci'!A21)</x:f>
      </x:c>
      <x:c r="C187" s="2" t="str">
        <x:v>H</x:v>
      </x:c>
      <x:c r="D187" s="2" t="str">
        <x:v>CURRENT</x:v>
      </x:c>
      <x:c r="E187" s="2" t="str">
        <x:f>IF(B187="","",'Input_Meci'!B21)</x:f>
      </x:c>
      <x:c r="F187" s="2" t="str">
        <x:f>IF(B187="","",IF('Input_Meci'!C21="","",'Input_Meci'!C21))</x:f>
      </x:c>
      <x:c r="G187" s="2" t="str">
        <x:f>IF(B187="","",'Input_Meci'!D21)</x:f>
      </x:c>
      <x:c r="H187" s="2" t="str">
        <x:v>HOME</x:v>
      </x:c>
      <x:c r="I187" s="2" t="str">
        <x:v>HA</x:v>
      </x:c>
      <x:c r="J187" s="9" t="n">
        <x:f>IF(AND(B187&lt;&gt;"",ISNUMBER('Input_Meci'!G21)),INT('Input_Meci'!G21),0)</x:f>
        <x:v>0</x:v>
      </x:c>
      <x:c r="K187" s="2" t="n">
        <x:f>IF(OR(B187="",F187=""),0,IF(H187="HOME",COUNTIFS('Istoric_Nativ'!$B$6:$B$405,E187,'Istoric_Nativ'!$C$6:$C$405,F187,'Istoric_Nativ'!$E$6:$E$405,G187,'Istoric_Nativ'!$D$6:$D$405,"&lt;"&amp;J187,'Istoric_Nativ'!$P$6:$P$405,1),IF(H187="AWAY",COUNTIFS('Istoric_Nativ'!$B$6:$B$405,E187,'Istoric_Nativ'!$C$6:$C$405,F187,'Istoric_Nativ'!$F$6:$F$405,G187,'Istoric_Nativ'!$D$6:$D$405,"&lt;"&amp;J187,'Istoric_Nativ'!$P$6:$P$405,1),COUNTIFS('Istoric_Nativ'!$B$6:$B$405,E187,'Istoric_Nativ'!$C$6:$C$405,F187,'Istoric_Nativ'!$E$6:$E$405,G187,'Istoric_Nativ'!$D$6:$D$405,"&lt;"&amp;J187,'Istoric_Nativ'!$P$6:$P$405,1)+COUNTIFS('Istoric_Nativ'!$B$6:$B$405,E187,'Istoric_Nativ'!$C$6:$C$405,F187,'Istoric_Nativ'!$F$6:$F$405,G187,'Istoric_Nativ'!$D$6:$D$405,"&lt;"&amp;J187,'Istoric_Nativ'!$P$6:$P$405,1))))</x:f>
        <x:v>0</x:v>
      </x:c>
      <x:c r="L187" s="17" t="n">
        <x:f>IF(AND(B187&lt;&gt;"",I187="RECENT",K187&gt;0),LARGE(_xlfn._xlws.FILTER('Istoric_Nativ'!$D$6:$D$405,('Istoric_Nativ'!$B$6:$B$405=E187)*('Istoric_Nativ'!$C$6:$C$405=F187)*('Istoric_Nativ'!$P$6:$P$405=1)*('Istoric_Nativ'!$D$6:$D$405&lt;J187)*((('Istoric_Nativ'!$E$6:$E$405=G187)+('Istoric_Nativ'!$F$6:$F$405=G187))&gt;0)),MIN('Config_v6'!$B$54,K187)),0)</x:f>
        <x:v>0</x:v>
      </x:c>
      <x:c r="M187" s="2" t="n">
        <x:f>IF(OR(B187="",F187=""),0,IF(H187="HOME",COUNTIFS('Istoric_Nativ'!$B$6:$B$405,E187,'Istoric_Nativ'!$C$6:$C$405,F187,'Istoric_Nativ'!$E$6:$E$405,G187,'Istoric_Nativ'!$D$6:$D$405,"&lt;"&amp;J187,'Istoric_Nativ'!$P$6:$P$405,1,'Istoric_Nativ'!$D$6:$D$405,"&gt;="&amp;L187),IF(H187="AWAY",COUNTIFS('Istoric_Nativ'!$B$6:$B$405,E187,'Istoric_Nativ'!$C$6:$C$405,F187,'Istoric_Nativ'!$F$6:$F$405,G187,'Istoric_Nativ'!$D$6:$D$405,"&lt;"&amp;J187,'Istoric_Nativ'!$P$6:$P$405,1,'Istoric_Nativ'!$D$6:$D$405,"&gt;="&amp;L187),COUNTIFS('Istoric_Nativ'!$B$6:$B$405,E187,'Istoric_Nativ'!$C$6:$C$405,F187,'Istoric_Nativ'!$E$6:$E$405,G187,'Istoric_Nativ'!$D$6:$D$405,"&lt;"&amp;J187,'Istoric_Nativ'!$P$6:$P$405,1,'Istoric_Nativ'!$D$6:$D$405,"&gt;="&amp;L187)+COUNTIFS('Istoric_Nativ'!$B$6:$B$405,E187,'Istoric_Nativ'!$C$6:$C$405,F187,'Istoric_Nativ'!$F$6:$F$405,G187,'Istoric_Nativ'!$D$6:$D$405,"&lt;"&amp;J187,'Istoric_Nativ'!$P$6:$P$405,1,'Istoric_Nativ'!$D$6:$D$405,"&gt;="&amp;L187))))</x:f>
        <x:v>0</x:v>
      </x:c>
      <x:c r="N187" s="11" t="str">
        <x:f>IF(M187=0,"",IF(H187="HOME",SUMIFS('Istoric_Nativ'!$G$6:$G$405,'Istoric_Nativ'!$B$6:$B$405,E187,'Istoric_Nativ'!$C$6:$C$405,F187,'Istoric_Nativ'!$E$6:$E$405,G187,'Istoric_Nativ'!$D$6:$D$405,"&lt;"&amp;J187,'Istoric_Nativ'!$P$6:$P$405,1,'Istoric_Nativ'!$D$6:$D$405,"&gt;="&amp;L187),IF(H187="AWAY",SUMIFS('Istoric_Nativ'!$H$6:$H$405,'Istoric_Nativ'!$B$6:$B$405,E187,'Istoric_Nativ'!$C$6:$C$405,F187,'Istoric_Nativ'!$F$6:$F$405,G187,'Istoric_Nativ'!$D$6:$D$405,"&lt;"&amp;J187,'Istoric_Nativ'!$P$6:$P$405,1,'Istoric_Nativ'!$D$6:$D$405,"&gt;="&amp;L187),SUMIFS('Istoric_Nativ'!$G$6:$G$405,'Istoric_Nativ'!$B$6:$B$405,E187,'Istoric_Nativ'!$C$6:$C$405,F187,'Istoric_Nativ'!$E$6:$E$405,G187,'Istoric_Nativ'!$D$6:$D$405,"&lt;"&amp;J187,'Istoric_Nativ'!$P$6:$P$405,1,'Istoric_Nativ'!$D$6:$D$405,"&gt;="&amp;L187)+SUMIFS('Istoric_Nativ'!$H$6:$H$405,'Istoric_Nativ'!$B$6:$B$405,E187,'Istoric_Nativ'!$C$6:$C$405,F187,'Istoric_Nativ'!$F$6:$F$405,G187,'Istoric_Nativ'!$D$6:$D$405,"&lt;"&amp;J187,'Istoric_Nativ'!$P$6:$P$405,1,'Istoric_Nativ'!$D$6:$D$405,"&gt;="&amp;L187)))/M187)</x:f>
      </x:c>
      <x:c r="O187" s="11" t="str">
        <x:f>IF(M187=0,"",IF(H187="HOME",SUMIFS('Istoric_Nativ'!$H$6:$H$405,'Istoric_Nativ'!$B$6:$B$405,E187,'Istoric_Nativ'!$C$6:$C$405,F187,'Istoric_Nativ'!$E$6:$E$405,G187,'Istoric_Nativ'!$D$6:$D$405,"&lt;"&amp;J187,'Istoric_Nativ'!$P$6:$P$405,1,'Istoric_Nativ'!$D$6:$D$405,"&gt;="&amp;L187),IF(H187="AWAY",SUMIFS('Istoric_Nativ'!$G$6:$G$405,'Istoric_Nativ'!$B$6:$B$405,E187,'Istoric_Nativ'!$C$6:$C$405,F187,'Istoric_Nativ'!$F$6:$F$405,G187,'Istoric_Nativ'!$D$6:$D$405,"&lt;"&amp;J187,'Istoric_Nativ'!$P$6:$P$405,1,'Istoric_Nativ'!$D$6:$D$405,"&gt;="&amp;L187),SUMIFS('Istoric_Nativ'!$H$6:$H$405,'Istoric_Nativ'!$B$6:$B$405,E187,'Istoric_Nativ'!$C$6:$C$405,F187,'Istoric_Nativ'!$E$6:$E$405,G187,'Istoric_Nativ'!$D$6:$D$405,"&lt;"&amp;J187,'Istoric_Nativ'!$P$6:$P$405,1,'Istoric_Nativ'!$D$6:$D$405,"&gt;="&amp;L187)+SUMIFS('Istoric_Nativ'!$G$6:$G$405,'Istoric_Nativ'!$B$6:$B$405,E187,'Istoric_Nativ'!$C$6:$C$405,F187,'Istoric_Nativ'!$F$6:$F$405,G187,'Istoric_Nativ'!$D$6:$D$405,"&lt;"&amp;J187,'Istoric_Nativ'!$P$6:$P$405,1,'Istoric_Nativ'!$D$6:$D$405,"&gt;="&amp;L187)))/M187)</x:f>
      </x:c>
      <x:c r="P187" s="2" t="n">
        <x:f>'Config_v6'!$B$8</x:f>
        <x:v>5</x:v>
      </x:c>
      <x:c r="Q187" s="2" t="n">
        <x:f>IF(OR(B187="",F187=""),0,IFERROR(MATCH(E187&amp;"|"&amp;F187,SourceTable[Source_Key],0),0))</x:f>
        <x:v>0</x:v>
      </x:c>
      <x:c r="R187" s="2" t="str">
        <x:f>IF(B187="","",IF(F187="","UNUSED",IF(Q187=0,"NOT CHECKED",IF(COUNTIF(SourceTable[Source_Key],E187&amp;"|"&amp;F187)&lt;&gt;1,"SOURCE CONFLICT",IF(NOT(OR(INDEX(SourceTable[Status],MAX(1,Q187))="IMPORTED",INDEX(SourceTable[Status],MAX(1,Q187))="PARTIAL",INDEX(SourceTable[Status],MAX(1,Q187))="SOURCE CONFLICT")),"ACCESS BLOCKED",IF(OR(INDEX(SourceTable[Coverage],Q187)&lt;&gt;"FULL SEASON EXPORT",INDEX(SourceTable[URL],Q187)="",INDEX(SourceTable[SHA256],Q187)=""),"EVIDENCE INCOMPLETE",IF(AND('Input_Meci'!H21="LIVE",INDEX(SourceTable[Retrieved_UTC],Q187)&gt;'Input_Meci'!G21),"POST CUTOFF","CLOSED")))))))</x:f>
      </x:c>
      <x:c r="S187" s="2" t="n">
        <x:f>IF(OR(B187="",F187=""),0,COUNTIFS('Istoric_Nativ'!$B$6:$B$405,E187,'Istoric_Nativ'!$C$6:$C$405,F187,'Istoric_Nativ'!$E$6:$E$405,G187,'Istoric_Nativ'!$D$6:$D$405,"&lt;"&amp;J187,'Istoric_Nativ'!$O$6:$O$405,"INVALID")+COUNTIFS('Istoric_Nativ'!$B$6:$B$405,E187,'Istoric_Nativ'!$C$6:$C$405,F187,'Istoric_Nativ'!$E$6:$E$405,G187,'Istoric_Nativ'!$O$6:$O$405,"INVALID",'Istoric_Nativ'!$D$6:$D$405,"*")+COUNTIFS('Istoric_Nativ'!$B$6:$B$405,E187,'Istoric_Nativ'!$C$6:$C$405,F187,'Istoric_Nativ'!$E$6:$E$405,G187,'Istoric_Nativ'!$D$6:$D$405,"&lt;"&amp;J187,'Istoric_Nativ'!$O$6:$O$405,"SOURCE CONFLICT")+COUNTIFS('Istoric_Nativ'!$B$6:$B$405,E187,'Istoric_Nativ'!$C$6:$C$405,F187,'Istoric_Nativ'!$F$6:$F$405,G187,'Istoric_Nativ'!$D$6:$D$405,"&lt;"&amp;J187,'Istoric_Nativ'!$O$6:$O$405,"INVALID")+COUNTIFS('Istoric_Nativ'!$B$6:$B$405,E187,'Istoric_Nativ'!$C$6:$C$405,F187,'Istoric_Nativ'!$F$6:$F$405,G187,'Istoric_Nativ'!$O$6:$O$405,"INVALID",'Istoric_Nativ'!$D$6:$D$405,"*")+COUNTIFS('Istoric_Nativ'!$B$6:$B$405,E187,'Istoric_Nativ'!$C$6:$C$405,F187,'Istoric_Nativ'!$F$6:$F$405,G187,'Istoric_Nativ'!$D$6:$D$405,"&lt;"&amp;J187,'Istoric_Nativ'!$O$6:$O$405,"SOURCE CONFLICT"))</x:f>
        <x:v>0</x:v>
      </x:c>
      <x:c r="T187" s="2" t="str">
        <x:f>IF(B187="","",IF(R187&lt;&gt;"CLOSED",R187,IF(S187&gt;0,"NATIVE INPUT ISSUE",IF(M187=0,"NO HISTORY",IF(M187&lt;P187,"SMALL SAMPLE","DERIVED")))))</x:f>
      </x:c>
      <x:c r="U187" s="2" t="str">
        <x:f>IF(B187="","","NativeTable; "&amp;E187&amp;"; "&amp;F187&amp;"; "&amp;G187&amp;"; "&amp;H187&amp;"; before "&amp;TEXT(J187,"yyyy-mm-dd")&amp;IF(I187="RECENT","; from "&amp;TEXT(L187,"yyyy-mm-dd"),""))</x:f>
      </x:c>
    </x:row>
    <x:row r="188" ht="21" customHeight="1">
      <x:c r="A188" s="2" t="n">
        <x:v>16</x:v>
      </x:c>
      <x:c r="B188" s="2" t="str">
        <x:f>IF('Input_Meci'!A21="","",'Input_Meci'!A21)</x:f>
      </x:c>
      <x:c r="C188" s="2" t="str">
        <x:v>H</x:v>
      </x:c>
      <x:c r="D188" s="2" t="str">
        <x:v>CURRENT</x:v>
      </x:c>
      <x:c r="E188" s="2" t="str">
        <x:f>IF(B188="","",'Input_Meci'!B21)</x:f>
      </x:c>
      <x:c r="F188" s="2" t="str">
        <x:f>IF(B188="","",IF('Input_Meci'!C21="","",'Input_Meci'!C21))</x:f>
      </x:c>
      <x:c r="G188" s="2" t="str">
        <x:f>IF(B188="","",'Input_Meci'!D21)</x:f>
      </x:c>
      <x:c r="H188" s="2" t="str">
        <x:v>ANY</x:v>
      </x:c>
      <x:c r="I188" s="2" t="str">
        <x:v>RECENT</x:v>
      </x:c>
      <x:c r="J188" s="9" t="n">
        <x:f>IF(AND(B188&lt;&gt;"",ISNUMBER('Input_Meci'!G21)),INT('Input_Meci'!G21),0)</x:f>
        <x:v>0</x:v>
      </x:c>
      <x:c r="K188" s="2" t="n">
        <x:f>IF(OR(B188="",F188=""),0,IF(H188="HOME",COUNTIFS('Istoric_Nativ'!$B$6:$B$405,E188,'Istoric_Nativ'!$C$6:$C$405,F188,'Istoric_Nativ'!$E$6:$E$405,G188,'Istoric_Nativ'!$D$6:$D$405,"&lt;"&amp;J188,'Istoric_Nativ'!$P$6:$P$405,1),IF(H188="AWAY",COUNTIFS('Istoric_Nativ'!$B$6:$B$405,E188,'Istoric_Nativ'!$C$6:$C$405,F188,'Istoric_Nativ'!$F$6:$F$405,G188,'Istoric_Nativ'!$D$6:$D$405,"&lt;"&amp;J188,'Istoric_Nativ'!$P$6:$P$405,1),COUNTIFS('Istoric_Nativ'!$B$6:$B$405,E188,'Istoric_Nativ'!$C$6:$C$405,F188,'Istoric_Nativ'!$E$6:$E$405,G188,'Istoric_Nativ'!$D$6:$D$405,"&lt;"&amp;J188,'Istoric_Nativ'!$P$6:$P$405,1)+COUNTIFS('Istoric_Nativ'!$B$6:$B$405,E188,'Istoric_Nativ'!$C$6:$C$405,F188,'Istoric_Nativ'!$F$6:$F$405,G188,'Istoric_Nativ'!$D$6:$D$405,"&lt;"&amp;J188,'Istoric_Nativ'!$P$6:$P$405,1))))</x:f>
        <x:v>0</x:v>
      </x:c>
      <x:c r="L188" s="17" t="n">
        <x:f>IF(AND(B188&lt;&gt;"",I188="RECENT",K188&gt;0),LARGE(_xlfn._xlws.FILTER('Istoric_Nativ'!$D$6:$D$405,('Istoric_Nativ'!$B$6:$B$405=E188)*('Istoric_Nativ'!$C$6:$C$405=F188)*('Istoric_Nativ'!$P$6:$P$405=1)*('Istoric_Nativ'!$D$6:$D$405&lt;J188)*((('Istoric_Nativ'!$E$6:$E$405=G188)+('Istoric_Nativ'!$F$6:$F$405=G188))&gt;0)),MIN('Config_v6'!$B$54,K188)),0)</x:f>
        <x:v>0</x:v>
      </x:c>
      <x:c r="M188" s="2" t="n">
        <x:f>IF(OR(B188="",F188=""),0,IF(H188="HOME",COUNTIFS('Istoric_Nativ'!$B$6:$B$405,E188,'Istoric_Nativ'!$C$6:$C$405,F188,'Istoric_Nativ'!$E$6:$E$405,G188,'Istoric_Nativ'!$D$6:$D$405,"&lt;"&amp;J188,'Istoric_Nativ'!$P$6:$P$405,1,'Istoric_Nativ'!$D$6:$D$405,"&gt;="&amp;L188),IF(H188="AWAY",COUNTIFS('Istoric_Nativ'!$B$6:$B$405,E188,'Istoric_Nativ'!$C$6:$C$405,F188,'Istoric_Nativ'!$F$6:$F$405,G188,'Istoric_Nativ'!$D$6:$D$405,"&lt;"&amp;J188,'Istoric_Nativ'!$P$6:$P$405,1,'Istoric_Nativ'!$D$6:$D$405,"&gt;="&amp;L188),COUNTIFS('Istoric_Nativ'!$B$6:$B$405,E188,'Istoric_Nativ'!$C$6:$C$405,F188,'Istoric_Nativ'!$E$6:$E$405,G188,'Istoric_Nativ'!$D$6:$D$405,"&lt;"&amp;J188,'Istoric_Nativ'!$P$6:$P$405,1,'Istoric_Nativ'!$D$6:$D$405,"&gt;="&amp;L188)+COUNTIFS('Istoric_Nativ'!$B$6:$B$405,E188,'Istoric_Nativ'!$C$6:$C$405,F188,'Istoric_Nativ'!$F$6:$F$405,G188,'Istoric_Nativ'!$D$6:$D$405,"&lt;"&amp;J188,'Istoric_Nativ'!$P$6:$P$405,1,'Istoric_Nativ'!$D$6:$D$405,"&gt;="&amp;L188))))</x:f>
        <x:v>0</x:v>
      </x:c>
      <x:c r="N188" s="11" t="str">
        <x:f>IF(M188=0,"",IF(H188="HOME",SUMIFS('Istoric_Nativ'!$G$6:$G$405,'Istoric_Nativ'!$B$6:$B$405,E188,'Istoric_Nativ'!$C$6:$C$405,F188,'Istoric_Nativ'!$E$6:$E$405,G188,'Istoric_Nativ'!$D$6:$D$405,"&lt;"&amp;J188,'Istoric_Nativ'!$P$6:$P$405,1,'Istoric_Nativ'!$D$6:$D$405,"&gt;="&amp;L188),IF(H188="AWAY",SUMIFS('Istoric_Nativ'!$H$6:$H$405,'Istoric_Nativ'!$B$6:$B$405,E188,'Istoric_Nativ'!$C$6:$C$405,F188,'Istoric_Nativ'!$F$6:$F$405,G188,'Istoric_Nativ'!$D$6:$D$405,"&lt;"&amp;J188,'Istoric_Nativ'!$P$6:$P$405,1,'Istoric_Nativ'!$D$6:$D$405,"&gt;="&amp;L188),SUMIFS('Istoric_Nativ'!$G$6:$G$405,'Istoric_Nativ'!$B$6:$B$405,E188,'Istoric_Nativ'!$C$6:$C$405,F188,'Istoric_Nativ'!$E$6:$E$405,G188,'Istoric_Nativ'!$D$6:$D$405,"&lt;"&amp;J188,'Istoric_Nativ'!$P$6:$P$405,1,'Istoric_Nativ'!$D$6:$D$405,"&gt;="&amp;L188)+SUMIFS('Istoric_Nativ'!$H$6:$H$405,'Istoric_Nativ'!$B$6:$B$405,E188,'Istoric_Nativ'!$C$6:$C$405,F188,'Istoric_Nativ'!$F$6:$F$405,G188,'Istoric_Nativ'!$D$6:$D$405,"&lt;"&amp;J188,'Istoric_Nativ'!$P$6:$P$405,1,'Istoric_Nativ'!$D$6:$D$405,"&gt;="&amp;L188)))/M188)</x:f>
      </x:c>
      <x:c r="O188" s="11" t="str">
        <x:f>IF(M188=0,"",IF(H188="HOME",SUMIFS('Istoric_Nativ'!$H$6:$H$405,'Istoric_Nativ'!$B$6:$B$405,E188,'Istoric_Nativ'!$C$6:$C$405,F188,'Istoric_Nativ'!$E$6:$E$405,G188,'Istoric_Nativ'!$D$6:$D$405,"&lt;"&amp;J188,'Istoric_Nativ'!$P$6:$P$405,1,'Istoric_Nativ'!$D$6:$D$405,"&gt;="&amp;L188),IF(H188="AWAY",SUMIFS('Istoric_Nativ'!$G$6:$G$405,'Istoric_Nativ'!$B$6:$B$405,E188,'Istoric_Nativ'!$C$6:$C$405,F188,'Istoric_Nativ'!$F$6:$F$405,G188,'Istoric_Nativ'!$D$6:$D$405,"&lt;"&amp;J188,'Istoric_Nativ'!$P$6:$P$405,1,'Istoric_Nativ'!$D$6:$D$405,"&gt;="&amp;L188),SUMIFS('Istoric_Nativ'!$H$6:$H$405,'Istoric_Nativ'!$B$6:$B$405,E188,'Istoric_Nativ'!$C$6:$C$405,F188,'Istoric_Nativ'!$E$6:$E$405,G188,'Istoric_Nativ'!$D$6:$D$405,"&lt;"&amp;J188,'Istoric_Nativ'!$P$6:$P$405,1,'Istoric_Nativ'!$D$6:$D$405,"&gt;="&amp;L188)+SUMIFS('Istoric_Nativ'!$G$6:$G$405,'Istoric_Nativ'!$B$6:$B$405,E188,'Istoric_Nativ'!$C$6:$C$405,F188,'Istoric_Nativ'!$F$6:$F$405,G188,'Istoric_Nativ'!$D$6:$D$405,"&lt;"&amp;J188,'Istoric_Nativ'!$P$6:$P$405,1,'Istoric_Nativ'!$D$6:$D$405,"&gt;="&amp;L188)))/M188)</x:f>
      </x:c>
      <x:c r="P188" s="2" t="n">
        <x:f>'Config_v6'!$B$9</x:f>
        <x:v>3</x:v>
      </x:c>
      <x:c r="Q188" s="2" t="n">
        <x:f>IF(OR(B188="",F188=""),0,IFERROR(MATCH(E188&amp;"|"&amp;F188,SourceTable[Source_Key],0),0))</x:f>
        <x:v>0</x:v>
      </x:c>
      <x:c r="R188" s="2" t="str">
        <x:f>IF(B188="","",IF(F188="","UNUSED",IF(Q188=0,"NOT CHECKED",IF(COUNTIF(SourceTable[Source_Key],E188&amp;"|"&amp;F188)&lt;&gt;1,"SOURCE CONFLICT",IF(NOT(OR(INDEX(SourceTable[Status],MAX(1,Q188))="IMPORTED",INDEX(SourceTable[Status],MAX(1,Q188))="PARTIAL",INDEX(SourceTable[Status],MAX(1,Q188))="SOURCE CONFLICT")),"ACCESS BLOCKED",IF(OR(INDEX(SourceTable[Coverage],Q188)&lt;&gt;"FULL SEASON EXPORT",INDEX(SourceTable[URL],Q188)="",INDEX(SourceTable[SHA256],Q188)=""),"EVIDENCE INCOMPLETE",IF(AND('Input_Meci'!H21="LIVE",INDEX(SourceTable[Retrieved_UTC],Q188)&gt;'Input_Meci'!G21),"POST CUTOFF","CLOSED")))))))</x:f>
      </x:c>
      <x:c r="S188" s="2" t="n">
        <x:f>IF(OR(B188="",F188=""),0,COUNTIFS('Istoric_Nativ'!$B$6:$B$405,E188,'Istoric_Nativ'!$C$6:$C$405,F188,'Istoric_Nativ'!$E$6:$E$405,G188,'Istoric_Nativ'!$D$6:$D$405,"&lt;"&amp;J188,'Istoric_Nativ'!$O$6:$O$405,"INVALID")+COUNTIFS('Istoric_Nativ'!$B$6:$B$405,E188,'Istoric_Nativ'!$C$6:$C$405,F188,'Istoric_Nativ'!$E$6:$E$405,G188,'Istoric_Nativ'!$O$6:$O$405,"INVALID",'Istoric_Nativ'!$D$6:$D$405,"*")+COUNTIFS('Istoric_Nativ'!$B$6:$B$405,E188,'Istoric_Nativ'!$C$6:$C$405,F188,'Istoric_Nativ'!$E$6:$E$405,G188,'Istoric_Nativ'!$D$6:$D$405,"&lt;"&amp;J188,'Istoric_Nativ'!$O$6:$O$405,"SOURCE CONFLICT")+COUNTIFS('Istoric_Nativ'!$B$6:$B$405,E188,'Istoric_Nativ'!$C$6:$C$405,F188,'Istoric_Nativ'!$F$6:$F$405,G188,'Istoric_Nativ'!$D$6:$D$405,"&lt;"&amp;J188,'Istoric_Nativ'!$O$6:$O$405,"INVALID")+COUNTIFS('Istoric_Nativ'!$B$6:$B$405,E188,'Istoric_Nativ'!$C$6:$C$405,F188,'Istoric_Nativ'!$F$6:$F$405,G188,'Istoric_Nativ'!$O$6:$O$405,"INVALID",'Istoric_Nativ'!$D$6:$D$405,"*")+COUNTIFS('Istoric_Nativ'!$B$6:$B$405,E188,'Istoric_Nativ'!$C$6:$C$405,F188,'Istoric_Nativ'!$F$6:$F$405,G188,'Istoric_Nativ'!$D$6:$D$405,"&lt;"&amp;J188,'Istoric_Nativ'!$O$6:$O$405,"SOURCE CONFLICT"))</x:f>
        <x:v>0</x:v>
      </x:c>
      <x:c r="T188" s="2" t="str">
        <x:f>IF(B188="","",IF(R188&lt;&gt;"CLOSED",R188,IF(S188&gt;0,"NATIVE INPUT ISSUE",IF(M188=0,"NO HISTORY",IF(M188&lt;P188,"SMALL SAMPLE","DERIVED")))))</x:f>
      </x:c>
      <x:c r="U188" s="2" t="str">
        <x:f>IF(B188="","","NativeTable; "&amp;E188&amp;"; "&amp;F188&amp;"; "&amp;G188&amp;"; "&amp;H188&amp;"; before "&amp;TEXT(J188,"yyyy-mm-dd")&amp;IF(I188="RECENT","; from "&amp;TEXT(L188,"yyyy-mm-dd"),""))</x:f>
      </x:c>
    </x:row>
    <x:row r="189" ht="21" customHeight="1">
      <x:c r="A189" s="2" t="n">
        <x:v>16</x:v>
      </x:c>
      <x:c r="B189" s="2" t="str">
        <x:f>IF('Input_Meci'!A21="","",'Input_Meci'!A21)</x:f>
      </x:c>
      <x:c r="C189" s="2" t="str">
        <x:v>A</x:v>
      </x:c>
      <x:c r="D189" s="2" t="str">
        <x:v>CURRENT</x:v>
      </x:c>
      <x:c r="E189" s="2" t="str">
        <x:f>IF(B189="","",'Input_Meci'!B21)</x:f>
      </x:c>
      <x:c r="F189" s="2" t="str">
        <x:f>IF(B189="","",IF('Input_Meci'!C21="","",'Input_Meci'!C21))</x:f>
      </x:c>
      <x:c r="G189" s="2" t="str">
        <x:f>IF(B189="","",'Input_Meci'!E21)</x:f>
      </x:c>
      <x:c r="H189" s="2" t="str">
        <x:v>ANY</x:v>
      </x:c>
      <x:c r="I189" s="2" t="str">
        <x:v>SEASON</x:v>
      </x:c>
      <x:c r="J189" s="9" t="n">
        <x:f>IF(AND(B189&lt;&gt;"",ISNUMBER('Input_Meci'!G21)),INT('Input_Meci'!G21),0)</x:f>
        <x:v>0</x:v>
      </x:c>
      <x:c r="K189" s="2" t="n">
        <x:f>IF(OR(B189="",F189=""),0,IF(H189="HOME",COUNTIFS('Istoric_Nativ'!$B$6:$B$405,E189,'Istoric_Nativ'!$C$6:$C$405,F189,'Istoric_Nativ'!$E$6:$E$405,G189,'Istoric_Nativ'!$D$6:$D$405,"&lt;"&amp;J189,'Istoric_Nativ'!$P$6:$P$405,1),IF(H189="AWAY",COUNTIFS('Istoric_Nativ'!$B$6:$B$405,E189,'Istoric_Nativ'!$C$6:$C$405,F189,'Istoric_Nativ'!$F$6:$F$405,G189,'Istoric_Nativ'!$D$6:$D$405,"&lt;"&amp;J189,'Istoric_Nativ'!$P$6:$P$405,1),COUNTIFS('Istoric_Nativ'!$B$6:$B$405,E189,'Istoric_Nativ'!$C$6:$C$405,F189,'Istoric_Nativ'!$E$6:$E$405,G189,'Istoric_Nativ'!$D$6:$D$405,"&lt;"&amp;J189,'Istoric_Nativ'!$P$6:$P$405,1)+COUNTIFS('Istoric_Nativ'!$B$6:$B$405,E189,'Istoric_Nativ'!$C$6:$C$405,F189,'Istoric_Nativ'!$F$6:$F$405,G189,'Istoric_Nativ'!$D$6:$D$405,"&lt;"&amp;J189,'Istoric_Nativ'!$P$6:$P$405,1))))</x:f>
        <x:v>0</x:v>
      </x:c>
      <x:c r="L189" s="17" t="n">
        <x:f>IF(AND(B189&lt;&gt;"",I189="RECENT",K189&gt;0),LARGE(_xlfn._xlws.FILTER('Istoric_Nativ'!$D$6:$D$405,('Istoric_Nativ'!$B$6:$B$405=E189)*('Istoric_Nativ'!$C$6:$C$405=F189)*('Istoric_Nativ'!$P$6:$P$405=1)*('Istoric_Nativ'!$D$6:$D$405&lt;J189)*((('Istoric_Nativ'!$E$6:$E$405=G189)+('Istoric_Nativ'!$F$6:$F$405=G189))&gt;0)),MIN('Config_v6'!$B$54,K189)),0)</x:f>
        <x:v>0</x:v>
      </x:c>
      <x:c r="M189" s="2" t="n">
        <x:f>IF(OR(B189="",F189=""),0,IF(H189="HOME",COUNTIFS('Istoric_Nativ'!$B$6:$B$405,E189,'Istoric_Nativ'!$C$6:$C$405,F189,'Istoric_Nativ'!$E$6:$E$405,G189,'Istoric_Nativ'!$D$6:$D$405,"&lt;"&amp;J189,'Istoric_Nativ'!$P$6:$P$405,1,'Istoric_Nativ'!$D$6:$D$405,"&gt;="&amp;L189),IF(H189="AWAY",COUNTIFS('Istoric_Nativ'!$B$6:$B$405,E189,'Istoric_Nativ'!$C$6:$C$405,F189,'Istoric_Nativ'!$F$6:$F$405,G189,'Istoric_Nativ'!$D$6:$D$405,"&lt;"&amp;J189,'Istoric_Nativ'!$P$6:$P$405,1,'Istoric_Nativ'!$D$6:$D$405,"&gt;="&amp;L189),COUNTIFS('Istoric_Nativ'!$B$6:$B$405,E189,'Istoric_Nativ'!$C$6:$C$405,F189,'Istoric_Nativ'!$E$6:$E$405,G189,'Istoric_Nativ'!$D$6:$D$405,"&lt;"&amp;J189,'Istoric_Nativ'!$P$6:$P$405,1,'Istoric_Nativ'!$D$6:$D$405,"&gt;="&amp;L189)+COUNTIFS('Istoric_Nativ'!$B$6:$B$405,E189,'Istoric_Nativ'!$C$6:$C$405,F189,'Istoric_Nativ'!$F$6:$F$405,G189,'Istoric_Nativ'!$D$6:$D$405,"&lt;"&amp;J189,'Istoric_Nativ'!$P$6:$P$405,1,'Istoric_Nativ'!$D$6:$D$405,"&gt;="&amp;L189))))</x:f>
        <x:v>0</x:v>
      </x:c>
      <x:c r="N189" s="11" t="str">
        <x:f>IF(M189=0,"",IF(H189="HOME",SUMIFS('Istoric_Nativ'!$G$6:$G$405,'Istoric_Nativ'!$B$6:$B$405,E189,'Istoric_Nativ'!$C$6:$C$405,F189,'Istoric_Nativ'!$E$6:$E$405,G189,'Istoric_Nativ'!$D$6:$D$405,"&lt;"&amp;J189,'Istoric_Nativ'!$P$6:$P$405,1,'Istoric_Nativ'!$D$6:$D$405,"&gt;="&amp;L189),IF(H189="AWAY",SUMIFS('Istoric_Nativ'!$H$6:$H$405,'Istoric_Nativ'!$B$6:$B$405,E189,'Istoric_Nativ'!$C$6:$C$405,F189,'Istoric_Nativ'!$F$6:$F$405,G189,'Istoric_Nativ'!$D$6:$D$405,"&lt;"&amp;J189,'Istoric_Nativ'!$P$6:$P$405,1,'Istoric_Nativ'!$D$6:$D$405,"&gt;="&amp;L189),SUMIFS('Istoric_Nativ'!$G$6:$G$405,'Istoric_Nativ'!$B$6:$B$405,E189,'Istoric_Nativ'!$C$6:$C$405,F189,'Istoric_Nativ'!$E$6:$E$405,G189,'Istoric_Nativ'!$D$6:$D$405,"&lt;"&amp;J189,'Istoric_Nativ'!$P$6:$P$405,1,'Istoric_Nativ'!$D$6:$D$405,"&gt;="&amp;L189)+SUMIFS('Istoric_Nativ'!$H$6:$H$405,'Istoric_Nativ'!$B$6:$B$405,E189,'Istoric_Nativ'!$C$6:$C$405,F189,'Istoric_Nativ'!$F$6:$F$405,G189,'Istoric_Nativ'!$D$6:$D$405,"&lt;"&amp;J189,'Istoric_Nativ'!$P$6:$P$405,1,'Istoric_Nativ'!$D$6:$D$405,"&gt;="&amp;L189)))/M189)</x:f>
      </x:c>
      <x:c r="O189" s="11" t="str">
        <x:f>IF(M189=0,"",IF(H189="HOME",SUMIFS('Istoric_Nativ'!$H$6:$H$405,'Istoric_Nativ'!$B$6:$B$405,E189,'Istoric_Nativ'!$C$6:$C$405,F189,'Istoric_Nativ'!$E$6:$E$405,G189,'Istoric_Nativ'!$D$6:$D$405,"&lt;"&amp;J189,'Istoric_Nativ'!$P$6:$P$405,1,'Istoric_Nativ'!$D$6:$D$405,"&gt;="&amp;L189),IF(H189="AWAY",SUMIFS('Istoric_Nativ'!$G$6:$G$405,'Istoric_Nativ'!$B$6:$B$405,E189,'Istoric_Nativ'!$C$6:$C$405,F189,'Istoric_Nativ'!$F$6:$F$405,G189,'Istoric_Nativ'!$D$6:$D$405,"&lt;"&amp;J189,'Istoric_Nativ'!$P$6:$P$405,1,'Istoric_Nativ'!$D$6:$D$405,"&gt;="&amp;L189),SUMIFS('Istoric_Nativ'!$H$6:$H$405,'Istoric_Nativ'!$B$6:$B$405,E189,'Istoric_Nativ'!$C$6:$C$405,F189,'Istoric_Nativ'!$E$6:$E$405,G189,'Istoric_Nativ'!$D$6:$D$405,"&lt;"&amp;J189,'Istoric_Nativ'!$P$6:$P$405,1,'Istoric_Nativ'!$D$6:$D$405,"&gt;="&amp;L189)+SUMIFS('Istoric_Nativ'!$G$6:$G$405,'Istoric_Nativ'!$B$6:$B$405,E189,'Istoric_Nativ'!$C$6:$C$405,F189,'Istoric_Nativ'!$F$6:$F$405,G189,'Istoric_Nativ'!$D$6:$D$405,"&lt;"&amp;J189,'Istoric_Nativ'!$P$6:$P$405,1,'Istoric_Nativ'!$D$6:$D$405,"&gt;="&amp;L189)))/M189)</x:f>
      </x:c>
      <x:c r="P189" s="2" t="n">
        <x:f>'Config_v6'!$B$7</x:f>
        <x:v>10</x:v>
      </x:c>
      <x:c r="Q189" s="2" t="n">
        <x:f>IF(OR(B189="",F189=""),0,IFERROR(MATCH(E189&amp;"|"&amp;F189,SourceTable[Source_Key],0),0))</x:f>
        <x:v>0</x:v>
      </x:c>
      <x:c r="R189" s="2" t="str">
        <x:f>IF(B189="","",IF(F189="","UNUSED",IF(Q189=0,"NOT CHECKED",IF(COUNTIF(SourceTable[Source_Key],E189&amp;"|"&amp;F189)&lt;&gt;1,"SOURCE CONFLICT",IF(NOT(OR(INDEX(SourceTable[Status],MAX(1,Q189))="IMPORTED",INDEX(SourceTable[Status],MAX(1,Q189))="PARTIAL",INDEX(SourceTable[Status],MAX(1,Q189))="SOURCE CONFLICT")),"ACCESS BLOCKED",IF(OR(INDEX(SourceTable[Coverage],Q189)&lt;&gt;"FULL SEASON EXPORT",INDEX(SourceTable[URL],Q189)="",INDEX(SourceTable[SHA256],Q189)=""),"EVIDENCE INCOMPLETE",IF(AND('Input_Meci'!H21="LIVE",INDEX(SourceTable[Retrieved_UTC],Q189)&gt;'Input_Meci'!G21),"POST CUTOFF","CLOSED")))))))</x:f>
      </x:c>
      <x:c r="S189" s="2" t="n">
        <x:f>IF(OR(B189="",F189=""),0,COUNTIFS('Istoric_Nativ'!$B$6:$B$405,E189,'Istoric_Nativ'!$C$6:$C$405,F189,'Istoric_Nativ'!$E$6:$E$405,G189,'Istoric_Nativ'!$D$6:$D$405,"&lt;"&amp;J189,'Istoric_Nativ'!$O$6:$O$405,"INVALID")+COUNTIFS('Istoric_Nativ'!$B$6:$B$405,E189,'Istoric_Nativ'!$C$6:$C$405,F189,'Istoric_Nativ'!$E$6:$E$405,G189,'Istoric_Nativ'!$O$6:$O$405,"INVALID",'Istoric_Nativ'!$D$6:$D$405,"*")+COUNTIFS('Istoric_Nativ'!$B$6:$B$405,E189,'Istoric_Nativ'!$C$6:$C$405,F189,'Istoric_Nativ'!$E$6:$E$405,G189,'Istoric_Nativ'!$D$6:$D$405,"&lt;"&amp;J189,'Istoric_Nativ'!$O$6:$O$405,"SOURCE CONFLICT")+COUNTIFS('Istoric_Nativ'!$B$6:$B$405,E189,'Istoric_Nativ'!$C$6:$C$405,F189,'Istoric_Nativ'!$F$6:$F$405,G189,'Istoric_Nativ'!$D$6:$D$405,"&lt;"&amp;J189,'Istoric_Nativ'!$O$6:$O$405,"INVALID")+COUNTIFS('Istoric_Nativ'!$B$6:$B$405,E189,'Istoric_Nativ'!$C$6:$C$405,F189,'Istoric_Nativ'!$F$6:$F$405,G189,'Istoric_Nativ'!$O$6:$O$405,"INVALID",'Istoric_Nativ'!$D$6:$D$405,"*")+COUNTIFS('Istoric_Nativ'!$B$6:$B$405,E189,'Istoric_Nativ'!$C$6:$C$405,F189,'Istoric_Nativ'!$F$6:$F$405,G189,'Istoric_Nativ'!$D$6:$D$405,"&lt;"&amp;J189,'Istoric_Nativ'!$O$6:$O$405,"SOURCE CONFLICT"))</x:f>
        <x:v>0</x:v>
      </x:c>
      <x:c r="T189" s="2" t="str">
        <x:f>IF(B189="","",IF(R189&lt;&gt;"CLOSED",R189,IF(S189&gt;0,"NATIVE INPUT ISSUE",IF(M189=0,"NO HISTORY",IF(M189&lt;P189,"SMALL SAMPLE","DERIVED")))))</x:f>
      </x:c>
      <x:c r="U189" s="2" t="str">
        <x:f>IF(B189="","","NativeTable; "&amp;E189&amp;"; "&amp;F189&amp;"; "&amp;G189&amp;"; "&amp;H189&amp;"; before "&amp;TEXT(J189,"yyyy-mm-dd")&amp;IF(I189="RECENT","; from "&amp;TEXT(L189,"yyyy-mm-dd"),""))</x:f>
      </x:c>
    </x:row>
    <x:row r="190" ht="21" customHeight="1">
      <x:c r="A190" s="2" t="n">
        <x:v>16</x:v>
      </x:c>
      <x:c r="B190" s="2" t="str">
        <x:f>IF('Input_Meci'!A21="","",'Input_Meci'!A21)</x:f>
      </x:c>
      <x:c r="C190" s="2" t="str">
        <x:v>A</x:v>
      </x:c>
      <x:c r="D190" s="2" t="str">
        <x:v>CURRENT</x:v>
      </x:c>
      <x:c r="E190" s="2" t="str">
        <x:f>IF(B190="","",'Input_Meci'!B21)</x:f>
      </x:c>
      <x:c r="F190" s="2" t="str">
        <x:f>IF(B190="","",IF('Input_Meci'!C21="","",'Input_Meci'!C21))</x:f>
      </x:c>
      <x:c r="G190" s="2" t="str">
        <x:f>IF(B190="","",'Input_Meci'!E21)</x:f>
      </x:c>
      <x:c r="H190" s="2" t="str">
        <x:v>AWAY</x:v>
      </x:c>
      <x:c r="I190" s="2" t="str">
        <x:v>HA</x:v>
      </x:c>
      <x:c r="J190" s="9" t="n">
        <x:f>IF(AND(B190&lt;&gt;"",ISNUMBER('Input_Meci'!G21)),INT('Input_Meci'!G21),0)</x:f>
        <x:v>0</x:v>
      </x:c>
      <x:c r="K190" s="2" t="n">
        <x:f>IF(OR(B190="",F190=""),0,IF(H190="HOME",COUNTIFS('Istoric_Nativ'!$B$6:$B$405,E190,'Istoric_Nativ'!$C$6:$C$405,F190,'Istoric_Nativ'!$E$6:$E$405,G190,'Istoric_Nativ'!$D$6:$D$405,"&lt;"&amp;J190,'Istoric_Nativ'!$P$6:$P$405,1),IF(H190="AWAY",COUNTIFS('Istoric_Nativ'!$B$6:$B$405,E190,'Istoric_Nativ'!$C$6:$C$405,F190,'Istoric_Nativ'!$F$6:$F$405,G190,'Istoric_Nativ'!$D$6:$D$405,"&lt;"&amp;J190,'Istoric_Nativ'!$P$6:$P$405,1),COUNTIFS('Istoric_Nativ'!$B$6:$B$405,E190,'Istoric_Nativ'!$C$6:$C$405,F190,'Istoric_Nativ'!$E$6:$E$405,G190,'Istoric_Nativ'!$D$6:$D$405,"&lt;"&amp;J190,'Istoric_Nativ'!$P$6:$P$405,1)+COUNTIFS('Istoric_Nativ'!$B$6:$B$405,E190,'Istoric_Nativ'!$C$6:$C$405,F190,'Istoric_Nativ'!$F$6:$F$405,G190,'Istoric_Nativ'!$D$6:$D$405,"&lt;"&amp;J190,'Istoric_Nativ'!$P$6:$P$405,1))))</x:f>
        <x:v>0</x:v>
      </x:c>
      <x:c r="L190" s="17" t="n">
        <x:f>IF(AND(B190&lt;&gt;"",I190="RECENT",K190&gt;0),LARGE(_xlfn._xlws.FILTER('Istoric_Nativ'!$D$6:$D$405,('Istoric_Nativ'!$B$6:$B$405=E190)*('Istoric_Nativ'!$C$6:$C$405=F190)*('Istoric_Nativ'!$P$6:$P$405=1)*('Istoric_Nativ'!$D$6:$D$405&lt;J190)*((('Istoric_Nativ'!$E$6:$E$405=G190)+('Istoric_Nativ'!$F$6:$F$405=G190))&gt;0)),MIN('Config_v6'!$B$54,K190)),0)</x:f>
        <x:v>0</x:v>
      </x:c>
      <x:c r="M190" s="2" t="n">
        <x:f>IF(OR(B190="",F190=""),0,IF(H190="HOME",COUNTIFS('Istoric_Nativ'!$B$6:$B$405,E190,'Istoric_Nativ'!$C$6:$C$405,F190,'Istoric_Nativ'!$E$6:$E$405,G190,'Istoric_Nativ'!$D$6:$D$405,"&lt;"&amp;J190,'Istoric_Nativ'!$P$6:$P$405,1,'Istoric_Nativ'!$D$6:$D$405,"&gt;="&amp;L190),IF(H190="AWAY",COUNTIFS('Istoric_Nativ'!$B$6:$B$405,E190,'Istoric_Nativ'!$C$6:$C$405,F190,'Istoric_Nativ'!$F$6:$F$405,G190,'Istoric_Nativ'!$D$6:$D$405,"&lt;"&amp;J190,'Istoric_Nativ'!$P$6:$P$405,1,'Istoric_Nativ'!$D$6:$D$405,"&gt;="&amp;L190),COUNTIFS('Istoric_Nativ'!$B$6:$B$405,E190,'Istoric_Nativ'!$C$6:$C$405,F190,'Istoric_Nativ'!$E$6:$E$405,G190,'Istoric_Nativ'!$D$6:$D$405,"&lt;"&amp;J190,'Istoric_Nativ'!$P$6:$P$405,1,'Istoric_Nativ'!$D$6:$D$405,"&gt;="&amp;L190)+COUNTIFS('Istoric_Nativ'!$B$6:$B$405,E190,'Istoric_Nativ'!$C$6:$C$405,F190,'Istoric_Nativ'!$F$6:$F$405,G190,'Istoric_Nativ'!$D$6:$D$405,"&lt;"&amp;J190,'Istoric_Nativ'!$P$6:$P$405,1,'Istoric_Nativ'!$D$6:$D$405,"&gt;="&amp;L190))))</x:f>
        <x:v>0</x:v>
      </x:c>
      <x:c r="N190" s="11" t="str">
        <x:f>IF(M190=0,"",IF(H190="HOME",SUMIFS('Istoric_Nativ'!$G$6:$G$405,'Istoric_Nativ'!$B$6:$B$405,E190,'Istoric_Nativ'!$C$6:$C$405,F190,'Istoric_Nativ'!$E$6:$E$405,G190,'Istoric_Nativ'!$D$6:$D$405,"&lt;"&amp;J190,'Istoric_Nativ'!$P$6:$P$405,1,'Istoric_Nativ'!$D$6:$D$405,"&gt;="&amp;L190),IF(H190="AWAY",SUMIFS('Istoric_Nativ'!$H$6:$H$405,'Istoric_Nativ'!$B$6:$B$405,E190,'Istoric_Nativ'!$C$6:$C$405,F190,'Istoric_Nativ'!$F$6:$F$405,G190,'Istoric_Nativ'!$D$6:$D$405,"&lt;"&amp;J190,'Istoric_Nativ'!$P$6:$P$405,1,'Istoric_Nativ'!$D$6:$D$405,"&gt;="&amp;L190),SUMIFS('Istoric_Nativ'!$G$6:$G$405,'Istoric_Nativ'!$B$6:$B$405,E190,'Istoric_Nativ'!$C$6:$C$405,F190,'Istoric_Nativ'!$E$6:$E$405,G190,'Istoric_Nativ'!$D$6:$D$405,"&lt;"&amp;J190,'Istoric_Nativ'!$P$6:$P$405,1,'Istoric_Nativ'!$D$6:$D$405,"&gt;="&amp;L190)+SUMIFS('Istoric_Nativ'!$H$6:$H$405,'Istoric_Nativ'!$B$6:$B$405,E190,'Istoric_Nativ'!$C$6:$C$405,F190,'Istoric_Nativ'!$F$6:$F$405,G190,'Istoric_Nativ'!$D$6:$D$405,"&lt;"&amp;J190,'Istoric_Nativ'!$P$6:$P$405,1,'Istoric_Nativ'!$D$6:$D$405,"&gt;="&amp;L190)))/M190)</x:f>
      </x:c>
      <x:c r="O190" s="11" t="str">
        <x:f>IF(M190=0,"",IF(H190="HOME",SUMIFS('Istoric_Nativ'!$H$6:$H$405,'Istoric_Nativ'!$B$6:$B$405,E190,'Istoric_Nativ'!$C$6:$C$405,F190,'Istoric_Nativ'!$E$6:$E$405,G190,'Istoric_Nativ'!$D$6:$D$405,"&lt;"&amp;J190,'Istoric_Nativ'!$P$6:$P$405,1,'Istoric_Nativ'!$D$6:$D$405,"&gt;="&amp;L190),IF(H190="AWAY",SUMIFS('Istoric_Nativ'!$G$6:$G$405,'Istoric_Nativ'!$B$6:$B$405,E190,'Istoric_Nativ'!$C$6:$C$405,F190,'Istoric_Nativ'!$F$6:$F$405,G190,'Istoric_Nativ'!$D$6:$D$405,"&lt;"&amp;J190,'Istoric_Nativ'!$P$6:$P$405,1,'Istoric_Nativ'!$D$6:$D$405,"&gt;="&amp;L190),SUMIFS('Istoric_Nativ'!$H$6:$H$405,'Istoric_Nativ'!$B$6:$B$405,E190,'Istoric_Nativ'!$C$6:$C$405,F190,'Istoric_Nativ'!$E$6:$E$405,G190,'Istoric_Nativ'!$D$6:$D$405,"&lt;"&amp;J190,'Istoric_Nativ'!$P$6:$P$405,1,'Istoric_Nativ'!$D$6:$D$405,"&gt;="&amp;L190)+SUMIFS('Istoric_Nativ'!$G$6:$G$405,'Istoric_Nativ'!$B$6:$B$405,E190,'Istoric_Nativ'!$C$6:$C$405,F190,'Istoric_Nativ'!$F$6:$F$405,G190,'Istoric_Nativ'!$D$6:$D$405,"&lt;"&amp;J190,'Istoric_Nativ'!$P$6:$P$405,1,'Istoric_Nativ'!$D$6:$D$405,"&gt;="&amp;L190)))/M190)</x:f>
      </x:c>
      <x:c r="P190" s="2" t="n">
        <x:f>'Config_v6'!$B$8</x:f>
        <x:v>5</x:v>
      </x:c>
      <x:c r="Q190" s="2" t="n">
        <x:f>IF(OR(B190="",F190=""),0,IFERROR(MATCH(E190&amp;"|"&amp;F190,SourceTable[Source_Key],0),0))</x:f>
        <x:v>0</x:v>
      </x:c>
      <x:c r="R190" s="2" t="str">
        <x:f>IF(B190="","",IF(F190="","UNUSED",IF(Q190=0,"NOT CHECKED",IF(COUNTIF(SourceTable[Source_Key],E190&amp;"|"&amp;F190)&lt;&gt;1,"SOURCE CONFLICT",IF(NOT(OR(INDEX(SourceTable[Status],MAX(1,Q190))="IMPORTED",INDEX(SourceTable[Status],MAX(1,Q190))="PARTIAL",INDEX(SourceTable[Status],MAX(1,Q190))="SOURCE CONFLICT")),"ACCESS BLOCKED",IF(OR(INDEX(SourceTable[Coverage],Q190)&lt;&gt;"FULL SEASON EXPORT",INDEX(SourceTable[URL],Q190)="",INDEX(SourceTable[SHA256],Q190)=""),"EVIDENCE INCOMPLETE",IF(AND('Input_Meci'!H21="LIVE",INDEX(SourceTable[Retrieved_UTC],Q190)&gt;'Input_Meci'!G21),"POST CUTOFF","CLOSED")))))))</x:f>
      </x:c>
      <x:c r="S190" s="2" t="n">
        <x:f>IF(OR(B190="",F190=""),0,COUNTIFS('Istoric_Nativ'!$B$6:$B$405,E190,'Istoric_Nativ'!$C$6:$C$405,F190,'Istoric_Nativ'!$E$6:$E$405,G190,'Istoric_Nativ'!$D$6:$D$405,"&lt;"&amp;J190,'Istoric_Nativ'!$O$6:$O$405,"INVALID")+COUNTIFS('Istoric_Nativ'!$B$6:$B$405,E190,'Istoric_Nativ'!$C$6:$C$405,F190,'Istoric_Nativ'!$E$6:$E$405,G190,'Istoric_Nativ'!$O$6:$O$405,"INVALID",'Istoric_Nativ'!$D$6:$D$405,"*")+COUNTIFS('Istoric_Nativ'!$B$6:$B$405,E190,'Istoric_Nativ'!$C$6:$C$405,F190,'Istoric_Nativ'!$E$6:$E$405,G190,'Istoric_Nativ'!$D$6:$D$405,"&lt;"&amp;J190,'Istoric_Nativ'!$O$6:$O$405,"SOURCE CONFLICT")+COUNTIFS('Istoric_Nativ'!$B$6:$B$405,E190,'Istoric_Nativ'!$C$6:$C$405,F190,'Istoric_Nativ'!$F$6:$F$405,G190,'Istoric_Nativ'!$D$6:$D$405,"&lt;"&amp;J190,'Istoric_Nativ'!$O$6:$O$405,"INVALID")+COUNTIFS('Istoric_Nativ'!$B$6:$B$405,E190,'Istoric_Nativ'!$C$6:$C$405,F190,'Istoric_Nativ'!$F$6:$F$405,G190,'Istoric_Nativ'!$O$6:$O$405,"INVALID",'Istoric_Nativ'!$D$6:$D$405,"*")+COUNTIFS('Istoric_Nativ'!$B$6:$B$405,E190,'Istoric_Nativ'!$C$6:$C$405,F190,'Istoric_Nativ'!$F$6:$F$405,G190,'Istoric_Nativ'!$D$6:$D$405,"&lt;"&amp;J190,'Istoric_Nativ'!$O$6:$O$405,"SOURCE CONFLICT"))</x:f>
        <x:v>0</x:v>
      </x:c>
      <x:c r="T190" s="2" t="str">
        <x:f>IF(B190="","",IF(R190&lt;&gt;"CLOSED",R190,IF(S190&gt;0,"NATIVE INPUT ISSUE",IF(M190=0,"NO HISTORY",IF(M190&lt;P190,"SMALL SAMPLE","DERIVED")))))</x:f>
      </x:c>
      <x:c r="U190" s="2" t="str">
        <x:f>IF(B190="","","NativeTable; "&amp;E190&amp;"; "&amp;F190&amp;"; "&amp;G190&amp;"; "&amp;H190&amp;"; before "&amp;TEXT(J190,"yyyy-mm-dd")&amp;IF(I190="RECENT","; from "&amp;TEXT(L190,"yyyy-mm-dd"),""))</x:f>
      </x:c>
    </x:row>
    <x:row r="191" ht="21" customHeight="1">
      <x:c r="A191" s="2" t="n">
        <x:v>16</x:v>
      </x:c>
      <x:c r="B191" s="2" t="str">
        <x:f>IF('Input_Meci'!A21="","",'Input_Meci'!A21)</x:f>
      </x:c>
      <x:c r="C191" s="2" t="str">
        <x:v>A</x:v>
      </x:c>
      <x:c r="D191" s="2" t="str">
        <x:v>CURRENT</x:v>
      </x:c>
      <x:c r="E191" s="2" t="str">
        <x:f>IF(B191="","",'Input_Meci'!B21)</x:f>
      </x:c>
      <x:c r="F191" s="2" t="str">
        <x:f>IF(B191="","",IF('Input_Meci'!C21="","",'Input_Meci'!C21))</x:f>
      </x:c>
      <x:c r="G191" s="2" t="str">
        <x:f>IF(B191="","",'Input_Meci'!E21)</x:f>
      </x:c>
      <x:c r="H191" s="2" t="str">
        <x:v>ANY</x:v>
      </x:c>
      <x:c r="I191" s="2" t="str">
        <x:v>RECENT</x:v>
      </x:c>
      <x:c r="J191" s="9" t="n">
        <x:f>IF(AND(B191&lt;&gt;"",ISNUMBER('Input_Meci'!G21)),INT('Input_Meci'!G21),0)</x:f>
        <x:v>0</x:v>
      </x:c>
      <x:c r="K191" s="2" t="n">
        <x:f>IF(OR(B191="",F191=""),0,IF(H191="HOME",COUNTIFS('Istoric_Nativ'!$B$6:$B$405,E191,'Istoric_Nativ'!$C$6:$C$405,F191,'Istoric_Nativ'!$E$6:$E$405,G191,'Istoric_Nativ'!$D$6:$D$405,"&lt;"&amp;J191,'Istoric_Nativ'!$P$6:$P$405,1),IF(H191="AWAY",COUNTIFS('Istoric_Nativ'!$B$6:$B$405,E191,'Istoric_Nativ'!$C$6:$C$405,F191,'Istoric_Nativ'!$F$6:$F$405,G191,'Istoric_Nativ'!$D$6:$D$405,"&lt;"&amp;J191,'Istoric_Nativ'!$P$6:$P$405,1),COUNTIFS('Istoric_Nativ'!$B$6:$B$405,E191,'Istoric_Nativ'!$C$6:$C$405,F191,'Istoric_Nativ'!$E$6:$E$405,G191,'Istoric_Nativ'!$D$6:$D$405,"&lt;"&amp;J191,'Istoric_Nativ'!$P$6:$P$405,1)+COUNTIFS('Istoric_Nativ'!$B$6:$B$405,E191,'Istoric_Nativ'!$C$6:$C$405,F191,'Istoric_Nativ'!$F$6:$F$405,G191,'Istoric_Nativ'!$D$6:$D$405,"&lt;"&amp;J191,'Istoric_Nativ'!$P$6:$P$405,1))))</x:f>
        <x:v>0</x:v>
      </x:c>
      <x:c r="L191" s="17" t="n">
        <x:f>IF(AND(B191&lt;&gt;"",I191="RECENT",K191&gt;0),LARGE(_xlfn._xlws.FILTER('Istoric_Nativ'!$D$6:$D$405,('Istoric_Nativ'!$B$6:$B$405=E191)*('Istoric_Nativ'!$C$6:$C$405=F191)*('Istoric_Nativ'!$P$6:$P$405=1)*('Istoric_Nativ'!$D$6:$D$405&lt;J191)*((('Istoric_Nativ'!$E$6:$E$405=G191)+('Istoric_Nativ'!$F$6:$F$405=G191))&gt;0)),MIN('Config_v6'!$B$54,K191)),0)</x:f>
        <x:v>0</x:v>
      </x:c>
      <x:c r="M191" s="2" t="n">
        <x:f>IF(OR(B191="",F191=""),0,IF(H191="HOME",COUNTIFS('Istoric_Nativ'!$B$6:$B$405,E191,'Istoric_Nativ'!$C$6:$C$405,F191,'Istoric_Nativ'!$E$6:$E$405,G191,'Istoric_Nativ'!$D$6:$D$405,"&lt;"&amp;J191,'Istoric_Nativ'!$P$6:$P$405,1,'Istoric_Nativ'!$D$6:$D$405,"&gt;="&amp;L191),IF(H191="AWAY",COUNTIFS('Istoric_Nativ'!$B$6:$B$405,E191,'Istoric_Nativ'!$C$6:$C$405,F191,'Istoric_Nativ'!$F$6:$F$405,G191,'Istoric_Nativ'!$D$6:$D$405,"&lt;"&amp;J191,'Istoric_Nativ'!$P$6:$P$405,1,'Istoric_Nativ'!$D$6:$D$405,"&gt;="&amp;L191),COUNTIFS('Istoric_Nativ'!$B$6:$B$405,E191,'Istoric_Nativ'!$C$6:$C$405,F191,'Istoric_Nativ'!$E$6:$E$405,G191,'Istoric_Nativ'!$D$6:$D$405,"&lt;"&amp;J191,'Istoric_Nativ'!$P$6:$P$405,1,'Istoric_Nativ'!$D$6:$D$405,"&gt;="&amp;L191)+COUNTIFS('Istoric_Nativ'!$B$6:$B$405,E191,'Istoric_Nativ'!$C$6:$C$405,F191,'Istoric_Nativ'!$F$6:$F$405,G191,'Istoric_Nativ'!$D$6:$D$405,"&lt;"&amp;J191,'Istoric_Nativ'!$P$6:$P$405,1,'Istoric_Nativ'!$D$6:$D$405,"&gt;="&amp;L191))))</x:f>
        <x:v>0</x:v>
      </x:c>
      <x:c r="N191" s="11" t="str">
        <x:f>IF(M191=0,"",IF(H191="HOME",SUMIFS('Istoric_Nativ'!$G$6:$G$405,'Istoric_Nativ'!$B$6:$B$405,E191,'Istoric_Nativ'!$C$6:$C$405,F191,'Istoric_Nativ'!$E$6:$E$405,G191,'Istoric_Nativ'!$D$6:$D$405,"&lt;"&amp;J191,'Istoric_Nativ'!$P$6:$P$405,1,'Istoric_Nativ'!$D$6:$D$405,"&gt;="&amp;L191),IF(H191="AWAY",SUMIFS('Istoric_Nativ'!$H$6:$H$405,'Istoric_Nativ'!$B$6:$B$405,E191,'Istoric_Nativ'!$C$6:$C$405,F191,'Istoric_Nativ'!$F$6:$F$405,G191,'Istoric_Nativ'!$D$6:$D$405,"&lt;"&amp;J191,'Istoric_Nativ'!$P$6:$P$405,1,'Istoric_Nativ'!$D$6:$D$405,"&gt;="&amp;L191),SUMIFS('Istoric_Nativ'!$G$6:$G$405,'Istoric_Nativ'!$B$6:$B$405,E191,'Istoric_Nativ'!$C$6:$C$405,F191,'Istoric_Nativ'!$E$6:$E$405,G191,'Istoric_Nativ'!$D$6:$D$405,"&lt;"&amp;J191,'Istoric_Nativ'!$P$6:$P$405,1,'Istoric_Nativ'!$D$6:$D$405,"&gt;="&amp;L191)+SUMIFS('Istoric_Nativ'!$H$6:$H$405,'Istoric_Nativ'!$B$6:$B$405,E191,'Istoric_Nativ'!$C$6:$C$405,F191,'Istoric_Nativ'!$F$6:$F$405,G191,'Istoric_Nativ'!$D$6:$D$405,"&lt;"&amp;J191,'Istoric_Nativ'!$P$6:$P$405,1,'Istoric_Nativ'!$D$6:$D$405,"&gt;="&amp;L191)))/M191)</x:f>
      </x:c>
      <x:c r="O191" s="11" t="str">
        <x:f>IF(M191=0,"",IF(H191="HOME",SUMIFS('Istoric_Nativ'!$H$6:$H$405,'Istoric_Nativ'!$B$6:$B$405,E191,'Istoric_Nativ'!$C$6:$C$405,F191,'Istoric_Nativ'!$E$6:$E$405,G191,'Istoric_Nativ'!$D$6:$D$405,"&lt;"&amp;J191,'Istoric_Nativ'!$P$6:$P$405,1,'Istoric_Nativ'!$D$6:$D$405,"&gt;="&amp;L191),IF(H191="AWAY",SUMIFS('Istoric_Nativ'!$G$6:$G$405,'Istoric_Nativ'!$B$6:$B$405,E191,'Istoric_Nativ'!$C$6:$C$405,F191,'Istoric_Nativ'!$F$6:$F$405,G191,'Istoric_Nativ'!$D$6:$D$405,"&lt;"&amp;J191,'Istoric_Nativ'!$P$6:$P$405,1,'Istoric_Nativ'!$D$6:$D$405,"&gt;="&amp;L191),SUMIFS('Istoric_Nativ'!$H$6:$H$405,'Istoric_Nativ'!$B$6:$B$405,E191,'Istoric_Nativ'!$C$6:$C$405,F191,'Istoric_Nativ'!$E$6:$E$405,G191,'Istoric_Nativ'!$D$6:$D$405,"&lt;"&amp;J191,'Istoric_Nativ'!$P$6:$P$405,1,'Istoric_Nativ'!$D$6:$D$405,"&gt;="&amp;L191)+SUMIFS('Istoric_Nativ'!$G$6:$G$405,'Istoric_Nativ'!$B$6:$B$405,E191,'Istoric_Nativ'!$C$6:$C$405,F191,'Istoric_Nativ'!$F$6:$F$405,G191,'Istoric_Nativ'!$D$6:$D$405,"&lt;"&amp;J191,'Istoric_Nativ'!$P$6:$P$405,1,'Istoric_Nativ'!$D$6:$D$405,"&gt;="&amp;L191)))/M191)</x:f>
      </x:c>
      <x:c r="P191" s="2" t="n">
        <x:f>'Config_v6'!$B$9</x:f>
        <x:v>3</x:v>
      </x:c>
      <x:c r="Q191" s="2" t="n">
        <x:f>IF(OR(B191="",F191=""),0,IFERROR(MATCH(E191&amp;"|"&amp;F191,SourceTable[Source_Key],0),0))</x:f>
        <x:v>0</x:v>
      </x:c>
      <x:c r="R191" s="2" t="str">
        <x:f>IF(B191="","",IF(F191="","UNUSED",IF(Q191=0,"NOT CHECKED",IF(COUNTIF(SourceTable[Source_Key],E191&amp;"|"&amp;F191)&lt;&gt;1,"SOURCE CONFLICT",IF(NOT(OR(INDEX(SourceTable[Status],MAX(1,Q191))="IMPORTED",INDEX(SourceTable[Status],MAX(1,Q191))="PARTIAL",INDEX(SourceTable[Status],MAX(1,Q191))="SOURCE CONFLICT")),"ACCESS BLOCKED",IF(OR(INDEX(SourceTable[Coverage],Q191)&lt;&gt;"FULL SEASON EXPORT",INDEX(SourceTable[URL],Q191)="",INDEX(SourceTable[SHA256],Q191)=""),"EVIDENCE INCOMPLETE",IF(AND('Input_Meci'!H21="LIVE",INDEX(SourceTable[Retrieved_UTC],Q191)&gt;'Input_Meci'!G21),"POST CUTOFF","CLOSED")))))))</x:f>
      </x:c>
      <x:c r="S191" s="2" t="n">
        <x:f>IF(OR(B191="",F191=""),0,COUNTIFS('Istoric_Nativ'!$B$6:$B$405,E191,'Istoric_Nativ'!$C$6:$C$405,F191,'Istoric_Nativ'!$E$6:$E$405,G191,'Istoric_Nativ'!$D$6:$D$405,"&lt;"&amp;J191,'Istoric_Nativ'!$O$6:$O$405,"INVALID")+COUNTIFS('Istoric_Nativ'!$B$6:$B$405,E191,'Istoric_Nativ'!$C$6:$C$405,F191,'Istoric_Nativ'!$E$6:$E$405,G191,'Istoric_Nativ'!$O$6:$O$405,"INVALID",'Istoric_Nativ'!$D$6:$D$405,"*")+COUNTIFS('Istoric_Nativ'!$B$6:$B$405,E191,'Istoric_Nativ'!$C$6:$C$405,F191,'Istoric_Nativ'!$E$6:$E$405,G191,'Istoric_Nativ'!$D$6:$D$405,"&lt;"&amp;J191,'Istoric_Nativ'!$O$6:$O$405,"SOURCE CONFLICT")+COUNTIFS('Istoric_Nativ'!$B$6:$B$405,E191,'Istoric_Nativ'!$C$6:$C$405,F191,'Istoric_Nativ'!$F$6:$F$405,G191,'Istoric_Nativ'!$D$6:$D$405,"&lt;"&amp;J191,'Istoric_Nativ'!$O$6:$O$405,"INVALID")+COUNTIFS('Istoric_Nativ'!$B$6:$B$405,E191,'Istoric_Nativ'!$C$6:$C$405,F191,'Istoric_Nativ'!$F$6:$F$405,G191,'Istoric_Nativ'!$O$6:$O$405,"INVALID",'Istoric_Nativ'!$D$6:$D$405,"*")+COUNTIFS('Istoric_Nativ'!$B$6:$B$405,E191,'Istoric_Nativ'!$C$6:$C$405,F191,'Istoric_Nativ'!$F$6:$F$405,G191,'Istoric_Nativ'!$D$6:$D$405,"&lt;"&amp;J191,'Istoric_Nativ'!$O$6:$O$405,"SOURCE CONFLICT"))</x:f>
        <x:v>0</x:v>
      </x:c>
      <x:c r="T191" s="2" t="str">
        <x:f>IF(B191="","",IF(R191&lt;&gt;"CLOSED",R191,IF(S191&gt;0,"NATIVE INPUT ISSUE",IF(M191=0,"NO HISTORY",IF(M191&lt;P191,"SMALL SAMPLE","DERIVED")))))</x:f>
      </x:c>
      <x:c r="U191" s="2" t="str">
        <x:f>IF(B191="","","NativeTable; "&amp;E191&amp;"; "&amp;F191&amp;"; "&amp;G191&amp;"; "&amp;H191&amp;"; before "&amp;TEXT(J191,"yyyy-mm-dd")&amp;IF(I191="RECENT","; from "&amp;TEXT(L191,"yyyy-mm-dd"),""))</x:f>
      </x:c>
    </x:row>
    <x:row r="192" ht="21" customHeight="1">
      <x:c r="A192" s="2" t="n">
        <x:v>16</x:v>
      </x:c>
      <x:c r="B192" s="2" t="str">
        <x:f>IF('Input_Meci'!A21="","",'Input_Meci'!A21)</x:f>
      </x:c>
      <x:c r="C192" s="2" t="str">
        <x:v>H</x:v>
      </x:c>
      <x:c r="D192" s="2" t="str">
        <x:v>PRIOR</x:v>
      </x:c>
      <x:c r="E192" s="2" t="str">
        <x:f>IF(B192="","",'Input_Meci'!B21)</x:f>
      </x:c>
      <x:c r="F192" s="2" t="str">
        <x:f>IF(B192="","",IF('Input_Meci'!K21="","",'Input_Meci'!K21))</x:f>
      </x:c>
      <x:c r="G192" s="2" t="str">
        <x:f>IF(B192="","",'Input_Meci'!D21)</x:f>
      </x:c>
      <x:c r="H192" s="2" t="str">
        <x:v>ANY</x:v>
      </x:c>
      <x:c r="I192" s="2" t="str">
        <x:v>SEASON</x:v>
      </x:c>
      <x:c r="J192" s="9" t="n">
        <x:f>IF(AND(B192&lt;&gt;"",ISNUMBER('Input_Meci'!G21)),INT('Input_Meci'!G21),0)</x:f>
        <x:v>0</x:v>
      </x:c>
      <x:c r="K192" s="2" t="n">
        <x:f>IF(OR(B192="",F192=""),0,IF(H192="HOME",COUNTIFS('Istoric_Nativ'!$B$6:$B$405,E192,'Istoric_Nativ'!$C$6:$C$405,F192,'Istoric_Nativ'!$E$6:$E$405,G192,'Istoric_Nativ'!$D$6:$D$405,"&lt;"&amp;J192,'Istoric_Nativ'!$P$6:$P$405,1),IF(H192="AWAY",COUNTIFS('Istoric_Nativ'!$B$6:$B$405,E192,'Istoric_Nativ'!$C$6:$C$405,F192,'Istoric_Nativ'!$F$6:$F$405,G192,'Istoric_Nativ'!$D$6:$D$405,"&lt;"&amp;J192,'Istoric_Nativ'!$P$6:$P$405,1),COUNTIFS('Istoric_Nativ'!$B$6:$B$405,E192,'Istoric_Nativ'!$C$6:$C$405,F192,'Istoric_Nativ'!$E$6:$E$405,G192,'Istoric_Nativ'!$D$6:$D$405,"&lt;"&amp;J192,'Istoric_Nativ'!$P$6:$P$405,1)+COUNTIFS('Istoric_Nativ'!$B$6:$B$405,E192,'Istoric_Nativ'!$C$6:$C$405,F192,'Istoric_Nativ'!$F$6:$F$405,G192,'Istoric_Nativ'!$D$6:$D$405,"&lt;"&amp;J192,'Istoric_Nativ'!$P$6:$P$405,1))))</x:f>
        <x:v>0</x:v>
      </x:c>
      <x:c r="L192" s="17" t="n">
        <x:f>IF(AND(B192&lt;&gt;"",I192="RECENT",K192&gt;0),LARGE(_xlfn._xlws.FILTER('Istoric_Nativ'!$D$6:$D$405,('Istoric_Nativ'!$B$6:$B$405=E192)*('Istoric_Nativ'!$C$6:$C$405=F192)*('Istoric_Nativ'!$P$6:$P$405=1)*('Istoric_Nativ'!$D$6:$D$405&lt;J192)*((('Istoric_Nativ'!$E$6:$E$405=G192)+('Istoric_Nativ'!$F$6:$F$405=G192))&gt;0)),MIN('Config_v6'!$B$54,K192)),0)</x:f>
        <x:v>0</x:v>
      </x:c>
      <x:c r="M192" s="2" t="n">
        <x:f>IF(OR(B192="",F192=""),0,IF(H192="HOME",COUNTIFS('Istoric_Nativ'!$B$6:$B$405,E192,'Istoric_Nativ'!$C$6:$C$405,F192,'Istoric_Nativ'!$E$6:$E$405,G192,'Istoric_Nativ'!$D$6:$D$405,"&lt;"&amp;J192,'Istoric_Nativ'!$P$6:$P$405,1,'Istoric_Nativ'!$D$6:$D$405,"&gt;="&amp;L192),IF(H192="AWAY",COUNTIFS('Istoric_Nativ'!$B$6:$B$405,E192,'Istoric_Nativ'!$C$6:$C$405,F192,'Istoric_Nativ'!$F$6:$F$405,G192,'Istoric_Nativ'!$D$6:$D$405,"&lt;"&amp;J192,'Istoric_Nativ'!$P$6:$P$405,1,'Istoric_Nativ'!$D$6:$D$405,"&gt;="&amp;L192),COUNTIFS('Istoric_Nativ'!$B$6:$B$405,E192,'Istoric_Nativ'!$C$6:$C$405,F192,'Istoric_Nativ'!$E$6:$E$405,G192,'Istoric_Nativ'!$D$6:$D$405,"&lt;"&amp;J192,'Istoric_Nativ'!$P$6:$P$405,1,'Istoric_Nativ'!$D$6:$D$405,"&gt;="&amp;L192)+COUNTIFS('Istoric_Nativ'!$B$6:$B$405,E192,'Istoric_Nativ'!$C$6:$C$405,F192,'Istoric_Nativ'!$F$6:$F$405,G192,'Istoric_Nativ'!$D$6:$D$405,"&lt;"&amp;J192,'Istoric_Nativ'!$P$6:$P$405,1,'Istoric_Nativ'!$D$6:$D$405,"&gt;="&amp;L192))))</x:f>
        <x:v>0</x:v>
      </x:c>
      <x:c r="N192" s="11" t="str">
        <x:f>IF(M192=0,"",IF(H192="HOME",SUMIFS('Istoric_Nativ'!$G$6:$G$405,'Istoric_Nativ'!$B$6:$B$405,E192,'Istoric_Nativ'!$C$6:$C$405,F192,'Istoric_Nativ'!$E$6:$E$405,G192,'Istoric_Nativ'!$D$6:$D$405,"&lt;"&amp;J192,'Istoric_Nativ'!$P$6:$P$405,1,'Istoric_Nativ'!$D$6:$D$405,"&gt;="&amp;L192),IF(H192="AWAY",SUMIFS('Istoric_Nativ'!$H$6:$H$405,'Istoric_Nativ'!$B$6:$B$405,E192,'Istoric_Nativ'!$C$6:$C$405,F192,'Istoric_Nativ'!$F$6:$F$405,G192,'Istoric_Nativ'!$D$6:$D$405,"&lt;"&amp;J192,'Istoric_Nativ'!$P$6:$P$405,1,'Istoric_Nativ'!$D$6:$D$405,"&gt;="&amp;L192),SUMIFS('Istoric_Nativ'!$G$6:$G$405,'Istoric_Nativ'!$B$6:$B$405,E192,'Istoric_Nativ'!$C$6:$C$405,F192,'Istoric_Nativ'!$E$6:$E$405,G192,'Istoric_Nativ'!$D$6:$D$405,"&lt;"&amp;J192,'Istoric_Nativ'!$P$6:$P$405,1,'Istoric_Nativ'!$D$6:$D$405,"&gt;="&amp;L192)+SUMIFS('Istoric_Nativ'!$H$6:$H$405,'Istoric_Nativ'!$B$6:$B$405,E192,'Istoric_Nativ'!$C$6:$C$405,F192,'Istoric_Nativ'!$F$6:$F$405,G192,'Istoric_Nativ'!$D$6:$D$405,"&lt;"&amp;J192,'Istoric_Nativ'!$P$6:$P$405,1,'Istoric_Nativ'!$D$6:$D$405,"&gt;="&amp;L192)))/M192)</x:f>
      </x:c>
      <x:c r="O192" s="11" t="str">
        <x:f>IF(M192=0,"",IF(H192="HOME",SUMIFS('Istoric_Nativ'!$H$6:$H$405,'Istoric_Nativ'!$B$6:$B$405,E192,'Istoric_Nativ'!$C$6:$C$405,F192,'Istoric_Nativ'!$E$6:$E$405,G192,'Istoric_Nativ'!$D$6:$D$405,"&lt;"&amp;J192,'Istoric_Nativ'!$P$6:$P$405,1,'Istoric_Nativ'!$D$6:$D$405,"&gt;="&amp;L192),IF(H192="AWAY",SUMIFS('Istoric_Nativ'!$G$6:$G$405,'Istoric_Nativ'!$B$6:$B$405,E192,'Istoric_Nativ'!$C$6:$C$405,F192,'Istoric_Nativ'!$F$6:$F$405,G192,'Istoric_Nativ'!$D$6:$D$405,"&lt;"&amp;J192,'Istoric_Nativ'!$P$6:$P$405,1,'Istoric_Nativ'!$D$6:$D$405,"&gt;="&amp;L192),SUMIFS('Istoric_Nativ'!$H$6:$H$405,'Istoric_Nativ'!$B$6:$B$405,E192,'Istoric_Nativ'!$C$6:$C$405,F192,'Istoric_Nativ'!$E$6:$E$405,G192,'Istoric_Nativ'!$D$6:$D$405,"&lt;"&amp;J192,'Istoric_Nativ'!$P$6:$P$405,1,'Istoric_Nativ'!$D$6:$D$405,"&gt;="&amp;L192)+SUMIFS('Istoric_Nativ'!$G$6:$G$405,'Istoric_Nativ'!$B$6:$B$405,E192,'Istoric_Nativ'!$C$6:$C$405,F192,'Istoric_Nativ'!$F$6:$F$405,G192,'Istoric_Nativ'!$D$6:$D$405,"&lt;"&amp;J192,'Istoric_Nativ'!$P$6:$P$405,1,'Istoric_Nativ'!$D$6:$D$405,"&gt;="&amp;L192)))/M192)</x:f>
      </x:c>
      <x:c r="P192" s="2" t="n">
        <x:f>'Config_v6'!$B$7</x:f>
        <x:v>10</x:v>
      </x:c>
      <x:c r="Q192" s="2" t="n">
        <x:f>IF(OR(B192="",F192=""),0,IFERROR(MATCH(E192&amp;"|"&amp;F192,SourceTable[Source_Key],0),0))</x:f>
        <x:v>0</x:v>
      </x:c>
      <x:c r="R192" s="2" t="str">
        <x:f>IF(B192="","",IF(F192="","UNUSED",IF(Q192=0,"NOT CHECKED",IF(COUNTIF(SourceTable[Source_Key],E192&amp;"|"&amp;F192)&lt;&gt;1,"SOURCE CONFLICT",IF(NOT(OR(INDEX(SourceTable[Status],MAX(1,Q192))="IMPORTED",INDEX(SourceTable[Status],MAX(1,Q192))="PARTIAL",INDEX(SourceTable[Status],MAX(1,Q192))="SOURCE CONFLICT")),"ACCESS BLOCKED",IF(OR(INDEX(SourceTable[Coverage],Q192)&lt;&gt;"FULL SEASON EXPORT",INDEX(SourceTable[URL],Q192)="",INDEX(SourceTable[SHA256],Q192)=""),"EVIDENCE INCOMPLETE",IF(AND('Input_Meci'!H21="LIVE",INDEX(SourceTable[Retrieved_UTC],Q192)&gt;'Input_Meci'!G21),"POST CUTOFF","CLOSED")))))))</x:f>
      </x:c>
      <x:c r="S192" s="2" t="n">
        <x:f>IF(OR(B192="",F192=""),0,COUNTIFS('Istoric_Nativ'!$B$6:$B$405,E192,'Istoric_Nativ'!$C$6:$C$405,F192,'Istoric_Nativ'!$E$6:$E$405,G192,'Istoric_Nativ'!$D$6:$D$405,"&lt;"&amp;J192,'Istoric_Nativ'!$O$6:$O$405,"INVALID")+COUNTIFS('Istoric_Nativ'!$B$6:$B$405,E192,'Istoric_Nativ'!$C$6:$C$405,F192,'Istoric_Nativ'!$E$6:$E$405,G192,'Istoric_Nativ'!$O$6:$O$405,"INVALID",'Istoric_Nativ'!$D$6:$D$405,"*")+COUNTIFS('Istoric_Nativ'!$B$6:$B$405,E192,'Istoric_Nativ'!$C$6:$C$405,F192,'Istoric_Nativ'!$E$6:$E$405,G192,'Istoric_Nativ'!$D$6:$D$405,"&lt;"&amp;J192,'Istoric_Nativ'!$O$6:$O$405,"SOURCE CONFLICT")+COUNTIFS('Istoric_Nativ'!$B$6:$B$405,E192,'Istoric_Nativ'!$C$6:$C$405,F192,'Istoric_Nativ'!$F$6:$F$405,G192,'Istoric_Nativ'!$D$6:$D$405,"&lt;"&amp;J192,'Istoric_Nativ'!$O$6:$O$405,"INVALID")+COUNTIFS('Istoric_Nativ'!$B$6:$B$405,E192,'Istoric_Nativ'!$C$6:$C$405,F192,'Istoric_Nativ'!$F$6:$F$405,G192,'Istoric_Nativ'!$O$6:$O$405,"INVALID",'Istoric_Nativ'!$D$6:$D$405,"*")+COUNTIFS('Istoric_Nativ'!$B$6:$B$405,E192,'Istoric_Nativ'!$C$6:$C$405,F192,'Istoric_Nativ'!$F$6:$F$405,G192,'Istoric_Nativ'!$D$6:$D$405,"&lt;"&amp;J192,'Istoric_Nativ'!$O$6:$O$405,"SOURCE CONFLICT"))</x:f>
        <x:v>0</x:v>
      </x:c>
      <x:c r="T192" s="2" t="str">
        <x:f>IF(B192="","",IF(R192&lt;&gt;"CLOSED",R192,IF(S192&gt;0,"NATIVE INPUT ISSUE",IF(M192=0,"NO HISTORY",IF(M192&lt;P192,"SMALL SAMPLE","DERIVED")))))</x:f>
      </x:c>
      <x:c r="U192" s="2" t="str">
        <x:f>IF(B192="","","NativeTable; "&amp;E192&amp;"; "&amp;F192&amp;"; "&amp;G192&amp;"; "&amp;H192&amp;"; before "&amp;TEXT(J192,"yyyy-mm-dd")&amp;IF(I192="RECENT","; from "&amp;TEXT(L192,"yyyy-mm-dd"),""))</x:f>
      </x:c>
    </x:row>
    <x:row r="193" ht="21" customHeight="1">
      <x:c r="A193" s="2" t="n">
        <x:v>16</x:v>
      </x:c>
      <x:c r="B193" s="2" t="str">
        <x:f>IF('Input_Meci'!A21="","",'Input_Meci'!A21)</x:f>
      </x:c>
      <x:c r="C193" s="2" t="str">
        <x:v>H</x:v>
      </x:c>
      <x:c r="D193" s="2" t="str">
        <x:v>PRIOR</x:v>
      </x:c>
      <x:c r="E193" s="2" t="str">
        <x:f>IF(B193="","",'Input_Meci'!B21)</x:f>
      </x:c>
      <x:c r="F193" s="2" t="str">
        <x:f>IF(B193="","",IF('Input_Meci'!K21="","",'Input_Meci'!K21))</x:f>
      </x:c>
      <x:c r="G193" s="2" t="str">
        <x:f>IF(B193="","",'Input_Meci'!D21)</x:f>
      </x:c>
      <x:c r="H193" s="2" t="str">
        <x:v>HOME</x:v>
      </x:c>
      <x:c r="I193" s="2" t="str">
        <x:v>HA</x:v>
      </x:c>
      <x:c r="J193" s="9" t="n">
        <x:f>IF(AND(B193&lt;&gt;"",ISNUMBER('Input_Meci'!G21)),INT('Input_Meci'!G21),0)</x:f>
        <x:v>0</x:v>
      </x:c>
      <x:c r="K193" s="2" t="n">
        <x:f>IF(OR(B193="",F193=""),0,IF(H193="HOME",COUNTIFS('Istoric_Nativ'!$B$6:$B$405,E193,'Istoric_Nativ'!$C$6:$C$405,F193,'Istoric_Nativ'!$E$6:$E$405,G193,'Istoric_Nativ'!$D$6:$D$405,"&lt;"&amp;J193,'Istoric_Nativ'!$P$6:$P$405,1),IF(H193="AWAY",COUNTIFS('Istoric_Nativ'!$B$6:$B$405,E193,'Istoric_Nativ'!$C$6:$C$405,F193,'Istoric_Nativ'!$F$6:$F$405,G193,'Istoric_Nativ'!$D$6:$D$405,"&lt;"&amp;J193,'Istoric_Nativ'!$P$6:$P$405,1),COUNTIFS('Istoric_Nativ'!$B$6:$B$405,E193,'Istoric_Nativ'!$C$6:$C$405,F193,'Istoric_Nativ'!$E$6:$E$405,G193,'Istoric_Nativ'!$D$6:$D$405,"&lt;"&amp;J193,'Istoric_Nativ'!$P$6:$P$405,1)+COUNTIFS('Istoric_Nativ'!$B$6:$B$405,E193,'Istoric_Nativ'!$C$6:$C$405,F193,'Istoric_Nativ'!$F$6:$F$405,G193,'Istoric_Nativ'!$D$6:$D$405,"&lt;"&amp;J193,'Istoric_Nativ'!$P$6:$P$405,1))))</x:f>
        <x:v>0</x:v>
      </x:c>
      <x:c r="L193" s="17" t="n">
        <x:f>IF(AND(B193&lt;&gt;"",I193="RECENT",K193&gt;0),LARGE(_xlfn._xlws.FILTER('Istoric_Nativ'!$D$6:$D$405,('Istoric_Nativ'!$B$6:$B$405=E193)*('Istoric_Nativ'!$C$6:$C$405=F193)*('Istoric_Nativ'!$P$6:$P$405=1)*('Istoric_Nativ'!$D$6:$D$405&lt;J193)*((('Istoric_Nativ'!$E$6:$E$405=G193)+('Istoric_Nativ'!$F$6:$F$405=G193))&gt;0)),MIN('Config_v6'!$B$54,K193)),0)</x:f>
        <x:v>0</x:v>
      </x:c>
      <x:c r="M193" s="2" t="n">
        <x:f>IF(OR(B193="",F193=""),0,IF(H193="HOME",COUNTIFS('Istoric_Nativ'!$B$6:$B$405,E193,'Istoric_Nativ'!$C$6:$C$405,F193,'Istoric_Nativ'!$E$6:$E$405,G193,'Istoric_Nativ'!$D$6:$D$405,"&lt;"&amp;J193,'Istoric_Nativ'!$P$6:$P$405,1,'Istoric_Nativ'!$D$6:$D$405,"&gt;="&amp;L193),IF(H193="AWAY",COUNTIFS('Istoric_Nativ'!$B$6:$B$405,E193,'Istoric_Nativ'!$C$6:$C$405,F193,'Istoric_Nativ'!$F$6:$F$405,G193,'Istoric_Nativ'!$D$6:$D$405,"&lt;"&amp;J193,'Istoric_Nativ'!$P$6:$P$405,1,'Istoric_Nativ'!$D$6:$D$405,"&gt;="&amp;L193),COUNTIFS('Istoric_Nativ'!$B$6:$B$405,E193,'Istoric_Nativ'!$C$6:$C$405,F193,'Istoric_Nativ'!$E$6:$E$405,G193,'Istoric_Nativ'!$D$6:$D$405,"&lt;"&amp;J193,'Istoric_Nativ'!$P$6:$P$405,1,'Istoric_Nativ'!$D$6:$D$405,"&gt;="&amp;L193)+COUNTIFS('Istoric_Nativ'!$B$6:$B$405,E193,'Istoric_Nativ'!$C$6:$C$405,F193,'Istoric_Nativ'!$F$6:$F$405,G193,'Istoric_Nativ'!$D$6:$D$405,"&lt;"&amp;J193,'Istoric_Nativ'!$P$6:$P$405,1,'Istoric_Nativ'!$D$6:$D$405,"&gt;="&amp;L193))))</x:f>
        <x:v>0</x:v>
      </x:c>
      <x:c r="N193" s="11" t="str">
        <x:f>IF(M193=0,"",IF(H193="HOME",SUMIFS('Istoric_Nativ'!$G$6:$G$405,'Istoric_Nativ'!$B$6:$B$405,E193,'Istoric_Nativ'!$C$6:$C$405,F193,'Istoric_Nativ'!$E$6:$E$405,G193,'Istoric_Nativ'!$D$6:$D$405,"&lt;"&amp;J193,'Istoric_Nativ'!$P$6:$P$405,1,'Istoric_Nativ'!$D$6:$D$405,"&gt;="&amp;L193),IF(H193="AWAY",SUMIFS('Istoric_Nativ'!$H$6:$H$405,'Istoric_Nativ'!$B$6:$B$405,E193,'Istoric_Nativ'!$C$6:$C$405,F193,'Istoric_Nativ'!$F$6:$F$405,G193,'Istoric_Nativ'!$D$6:$D$405,"&lt;"&amp;J193,'Istoric_Nativ'!$P$6:$P$405,1,'Istoric_Nativ'!$D$6:$D$405,"&gt;="&amp;L193),SUMIFS('Istoric_Nativ'!$G$6:$G$405,'Istoric_Nativ'!$B$6:$B$405,E193,'Istoric_Nativ'!$C$6:$C$405,F193,'Istoric_Nativ'!$E$6:$E$405,G193,'Istoric_Nativ'!$D$6:$D$405,"&lt;"&amp;J193,'Istoric_Nativ'!$P$6:$P$405,1,'Istoric_Nativ'!$D$6:$D$405,"&gt;="&amp;L193)+SUMIFS('Istoric_Nativ'!$H$6:$H$405,'Istoric_Nativ'!$B$6:$B$405,E193,'Istoric_Nativ'!$C$6:$C$405,F193,'Istoric_Nativ'!$F$6:$F$405,G193,'Istoric_Nativ'!$D$6:$D$405,"&lt;"&amp;J193,'Istoric_Nativ'!$P$6:$P$405,1,'Istoric_Nativ'!$D$6:$D$405,"&gt;="&amp;L193)))/M193)</x:f>
      </x:c>
      <x:c r="O193" s="11" t="str">
        <x:f>IF(M193=0,"",IF(H193="HOME",SUMIFS('Istoric_Nativ'!$H$6:$H$405,'Istoric_Nativ'!$B$6:$B$405,E193,'Istoric_Nativ'!$C$6:$C$405,F193,'Istoric_Nativ'!$E$6:$E$405,G193,'Istoric_Nativ'!$D$6:$D$405,"&lt;"&amp;J193,'Istoric_Nativ'!$P$6:$P$405,1,'Istoric_Nativ'!$D$6:$D$405,"&gt;="&amp;L193),IF(H193="AWAY",SUMIFS('Istoric_Nativ'!$G$6:$G$405,'Istoric_Nativ'!$B$6:$B$405,E193,'Istoric_Nativ'!$C$6:$C$405,F193,'Istoric_Nativ'!$F$6:$F$405,G193,'Istoric_Nativ'!$D$6:$D$405,"&lt;"&amp;J193,'Istoric_Nativ'!$P$6:$P$405,1,'Istoric_Nativ'!$D$6:$D$405,"&gt;="&amp;L193),SUMIFS('Istoric_Nativ'!$H$6:$H$405,'Istoric_Nativ'!$B$6:$B$405,E193,'Istoric_Nativ'!$C$6:$C$405,F193,'Istoric_Nativ'!$E$6:$E$405,G193,'Istoric_Nativ'!$D$6:$D$405,"&lt;"&amp;J193,'Istoric_Nativ'!$P$6:$P$405,1,'Istoric_Nativ'!$D$6:$D$405,"&gt;="&amp;L193)+SUMIFS('Istoric_Nativ'!$G$6:$G$405,'Istoric_Nativ'!$B$6:$B$405,E193,'Istoric_Nativ'!$C$6:$C$405,F193,'Istoric_Nativ'!$F$6:$F$405,G193,'Istoric_Nativ'!$D$6:$D$405,"&lt;"&amp;J193,'Istoric_Nativ'!$P$6:$P$405,1,'Istoric_Nativ'!$D$6:$D$405,"&gt;="&amp;L193)))/M193)</x:f>
      </x:c>
      <x:c r="P193" s="2" t="n">
        <x:f>'Config_v6'!$B$8</x:f>
        <x:v>5</x:v>
      </x:c>
      <x:c r="Q193" s="2" t="n">
        <x:f>IF(OR(B193="",F193=""),0,IFERROR(MATCH(E193&amp;"|"&amp;F193,SourceTable[Source_Key],0),0))</x:f>
        <x:v>0</x:v>
      </x:c>
      <x:c r="R193" s="2" t="str">
        <x:f>IF(B193="","",IF(F193="","UNUSED",IF(Q193=0,"NOT CHECKED",IF(COUNTIF(SourceTable[Source_Key],E193&amp;"|"&amp;F193)&lt;&gt;1,"SOURCE CONFLICT",IF(NOT(OR(INDEX(SourceTable[Status],MAX(1,Q193))="IMPORTED",INDEX(SourceTable[Status],MAX(1,Q193))="PARTIAL",INDEX(SourceTable[Status],MAX(1,Q193))="SOURCE CONFLICT")),"ACCESS BLOCKED",IF(OR(INDEX(SourceTable[Coverage],Q193)&lt;&gt;"FULL SEASON EXPORT",INDEX(SourceTable[URL],Q193)="",INDEX(SourceTable[SHA256],Q193)=""),"EVIDENCE INCOMPLETE",IF(AND('Input_Meci'!H21="LIVE",INDEX(SourceTable[Retrieved_UTC],Q193)&gt;'Input_Meci'!G21),"POST CUTOFF","CLOSED")))))))</x:f>
      </x:c>
      <x:c r="S193" s="2" t="n">
        <x:f>IF(OR(B193="",F193=""),0,COUNTIFS('Istoric_Nativ'!$B$6:$B$405,E193,'Istoric_Nativ'!$C$6:$C$405,F193,'Istoric_Nativ'!$E$6:$E$405,G193,'Istoric_Nativ'!$D$6:$D$405,"&lt;"&amp;J193,'Istoric_Nativ'!$O$6:$O$405,"INVALID")+COUNTIFS('Istoric_Nativ'!$B$6:$B$405,E193,'Istoric_Nativ'!$C$6:$C$405,F193,'Istoric_Nativ'!$E$6:$E$405,G193,'Istoric_Nativ'!$O$6:$O$405,"INVALID",'Istoric_Nativ'!$D$6:$D$405,"*")+COUNTIFS('Istoric_Nativ'!$B$6:$B$405,E193,'Istoric_Nativ'!$C$6:$C$405,F193,'Istoric_Nativ'!$E$6:$E$405,G193,'Istoric_Nativ'!$D$6:$D$405,"&lt;"&amp;J193,'Istoric_Nativ'!$O$6:$O$405,"SOURCE CONFLICT")+COUNTIFS('Istoric_Nativ'!$B$6:$B$405,E193,'Istoric_Nativ'!$C$6:$C$405,F193,'Istoric_Nativ'!$F$6:$F$405,G193,'Istoric_Nativ'!$D$6:$D$405,"&lt;"&amp;J193,'Istoric_Nativ'!$O$6:$O$405,"INVALID")+COUNTIFS('Istoric_Nativ'!$B$6:$B$405,E193,'Istoric_Nativ'!$C$6:$C$405,F193,'Istoric_Nativ'!$F$6:$F$405,G193,'Istoric_Nativ'!$O$6:$O$405,"INVALID",'Istoric_Nativ'!$D$6:$D$405,"*")+COUNTIFS('Istoric_Nativ'!$B$6:$B$405,E193,'Istoric_Nativ'!$C$6:$C$405,F193,'Istoric_Nativ'!$F$6:$F$405,G193,'Istoric_Nativ'!$D$6:$D$405,"&lt;"&amp;J193,'Istoric_Nativ'!$O$6:$O$405,"SOURCE CONFLICT"))</x:f>
        <x:v>0</x:v>
      </x:c>
      <x:c r="T193" s="2" t="str">
        <x:f>IF(B193="","",IF(R193&lt;&gt;"CLOSED",R193,IF(S193&gt;0,"NATIVE INPUT ISSUE",IF(M193=0,"NO HISTORY",IF(M193&lt;P193,"SMALL SAMPLE","DERIVED")))))</x:f>
      </x:c>
      <x:c r="U193" s="2" t="str">
        <x:f>IF(B193="","","NativeTable; "&amp;E193&amp;"; "&amp;F193&amp;"; "&amp;G193&amp;"; "&amp;H193&amp;"; before "&amp;TEXT(J193,"yyyy-mm-dd")&amp;IF(I193="RECENT","; from "&amp;TEXT(L193,"yyyy-mm-dd"),""))</x:f>
      </x:c>
    </x:row>
    <x:row r="194" ht="21" customHeight="1">
      <x:c r="A194" s="2" t="n">
        <x:v>16</x:v>
      </x:c>
      <x:c r="B194" s="2" t="str">
        <x:f>IF('Input_Meci'!A21="","",'Input_Meci'!A21)</x:f>
      </x:c>
      <x:c r="C194" s="2" t="str">
        <x:v>H</x:v>
      </x:c>
      <x:c r="D194" s="2" t="str">
        <x:v>PRIOR</x:v>
      </x:c>
      <x:c r="E194" s="2" t="str">
        <x:f>IF(B194="","",'Input_Meci'!B21)</x:f>
      </x:c>
      <x:c r="F194" s="2" t="str">
        <x:f>IF(B194="","",IF('Input_Meci'!K21="","",'Input_Meci'!K21))</x:f>
      </x:c>
      <x:c r="G194" s="2" t="str">
        <x:f>IF(B194="","",'Input_Meci'!D21)</x:f>
      </x:c>
      <x:c r="H194" s="2" t="str">
        <x:v>ANY</x:v>
      </x:c>
      <x:c r="I194" s="2" t="str">
        <x:v>RECENT</x:v>
      </x:c>
      <x:c r="J194" s="9" t="n">
        <x:f>IF(AND(B194&lt;&gt;"",ISNUMBER('Input_Meci'!G21)),INT('Input_Meci'!G21),0)</x:f>
        <x:v>0</x:v>
      </x:c>
      <x:c r="K194" s="2" t="n">
        <x:f>IF(OR(B194="",F194=""),0,IF(H194="HOME",COUNTIFS('Istoric_Nativ'!$B$6:$B$405,E194,'Istoric_Nativ'!$C$6:$C$405,F194,'Istoric_Nativ'!$E$6:$E$405,G194,'Istoric_Nativ'!$D$6:$D$405,"&lt;"&amp;J194,'Istoric_Nativ'!$P$6:$P$405,1),IF(H194="AWAY",COUNTIFS('Istoric_Nativ'!$B$6:$B$405,E194,'Istoric_Nativ'!$C$6:$C$405,F194,'Istoric_Nativ'!$F$6:$F$405,G194,'Istoric_Nativ'!$D$6:$D$405,"&lt;"&amp;J194,'Istoric_Nativ'!$P$6:$P$405,1),COUNTIFS('Istoric_Nativ'!$B$6:$B$405,E194,'Istoric_Nativ'!$C$6:$C$405,F194,'Istoric_Nativ'!$E$6:$E$405,G194,'Istoric_Nativ'!$D$6:$D$405,"&lt;"&amp;J194,'Istoric_Nativ'!$P$6:$P$405,1)+COUNTIFS('Istoric_Nativ'!$B$6:$B$405,E194,'Istoric_Nativ'!$C$6:$C$405,F194,'Istoric_Nativ'!$F$6:$F$405,G194,'Istoric_Nativ'!$D$6:$D$405,"&lt;"&amp;J194,'Istoric_Nativ'!$P$6:$P$405,1))))</x:f>
        <x:v>0</x:v>
      </x:c>
      <x:c r="L194" s="17" t="n">
        <x:f>IF(AND(B194&lt;&gt;"",I194="RECENT",K194&gt;0),LARGE(_xlfn._xlws.FILTER('Istoric_Nativ'!$D$6:$D$405,('Istoric_Nativ'!$B$6:$B$405=E194)*('Istoric_Nativ'!$C$6:$C$405=F194)*('Istoric_Nativ'!$P$6:$P$405=1)*('Istoric_Nativ'!$D$6:$D$405&lt;J194)*((('Istoric_Nativ'!$E$6:$E$405=G194)+('Istoric_Nativ'!$F$6:$F$405=G194))&gt;0)),MIN('Config_v6'!$B$54,K194)),0)</x:f>
        <x:v>0</x:v>
      </x:c>
      <x:c r="M194" s="2" t="n">
        <x:f>IF(OR(B194="",F194=""),0,IF(H194="HOME",COUNTIFS('Istoric_Nativ'!$B$6:$B$405,E194,'Istoric_Nativ'!$C$6:$C$405,F194,'Istoric_Nativ'!$E$6:$E$405,G194,'Istoric_Nativ'!$D$6:$D$405,"&lt;"&amp;J194,'Istoric_Nativ'!$P$6:$P$405,1,'Istoric_Nativ'!$D$6:$D$405,"&gt;="&amp;L194),IF(H194="AWAY",COUNTIFS('Istoric_Nativ'!$B$6:$B$405,E194,'Istoric_Nativ'!$C$6:$C$405,F194,'Istoric_Nativ'!$F$6:$F$405,G194,'Istoric_Nativ'!$D$6:$D$405,"&lt;"&amp;J194,'Istoric_Nativ'!$P$6:$P$405,1,'Istoric_Nativ'!$D$6:$D$405,"&gt;="&amp;L194),COUNTIFS('Istoric_Nativ'!$B$6:$B$405,E194,'Istoric_Nativ'!$C$6:$C$405,F194,'Istoric_Nativ'!$E$6:$E$405,G194,'Istoric_Nativ'!$D$6:$D$405,"&lt;"&amp;J194,'Istoric_Nativ'!$P$6:$P$405,1,'Istoric_Nativ'!$D$6:$D$405,"&gt;="&amp;L194)+COUNTIFS('Istoric_Nativ'!$B$6:$B$405,E194,'Istoric_Nativ'!$C$6:$C$405,F194,'Istoric_Nativ'!$F$6:$F$405,G194,'Istoric_Nativ'!$D$6:$D$405,"&lt;"&amp;J194,'Istoric_Nativ'!$P$6:$P$405,1,'Istoric_Nativ'!$D$6:$D$405,"&gt;="&amp;L194))))</x:f>
        <x:v>0</x:v>
      </x:c>
      <x:c r="N194" s="11" t="str">
        <x:f>IF(M194=0,"",IF(H194="HOME",SUMIFS('Istoric_Nativ'!$G$6:$G$405,'Istoric_Nativ'!$B$6:$B$405,E194,'Istoric_Nativ'!$C$6:$C$405,F194,'Istoric_Nativ'!$E$6:$E$405,G194,'Istoric_Nativ'!$D$6:$D$405,"&lt;"&amp;J194,'Istoric_Nativ'!$P$6:$P$405,1,'Istoric_Nativ'!$D$6:$D$405,"&gt;="&amp;L194),IF(H194="AWAY",SUMIFS('Istoric_Nativ'!$H$6:$H$405,'Istoric_Nativ'!$B$6:$B$405,E194,'Istoric_Nativ'!$C$6:$C$405,F194,'Istoric_Nativ'!$F$6:$F$405,G194,'Istoric_Nativ'!$D$6:$D$405,"&lt;"&amp;J194,'Istoric_Nativ'!$P$6:$P$405,1,'Istoric_Nativ'!$D$6:$D$405,"&gt;="&amp;L194),SUMIFS('Istoric_Nativ'!$G$6:$G$405,'Istoric_Nativ'!$B$6:$B$405,E194,'Istoric_Nativ'!$C$6:$C$405,F194,'Istoric_Nativ'!$E$6:$E$405,G194,'Istoric_Nativ'!$D$6:$D$405,"&lt;"&amp;J194,'Istoric_Nativ'!$P$6:$P$405,1,'Istoric_Nativ'!$D$6:$D$405,"&gt;="&amp;L194)+SUMIFS('Istoric_Nativ'!$H$6:$H$405,'Istoric_Nativ'!$B$6:$B$405,E194,'Istoric_Nativ'!$C$6:$C$405,F194,'Istoric_Nativ'!$F$6:$F$405,G194,'Istoric_Nativ'!$D$6:$D$405,"&lt;"&amp;J194,'Istoric_Nativ'!$P$6:$P$405,1,'Istoric_Nativ'!$D$6:$D$405,"&gt;="&amp;L194)))/M194)</x:f>
      </x:c>
      <x:c r="O194" s="11" t="str">
        <x:f>IF(M194=0,"",IF(H194="HOME",SUMIFS('Istoric_Nativ'!$H$6:$H$405,'Istoric_Nativ'!$B$6:$B$405,E194,'Istoric_Nativ'!$C$6:$C$405,F194,'Istoric_Nativ'!$E$6:$E$405,G194,'Istoric_Nativ'!$D$6:$D$405,"&lt;"&amp;J194,'Istoric_Nativ'!$P$6:$P$405,1,'Istoric_Nativ'!$D$6:$D$405,"&gt;="&amp;L194),IF(H194="AWAY",SUMIFS('Istoric_Nativ'!$G$6:$G$405,'Istoric_Nativ'!$B$6:$B$405,E194,'Istoric_Nativ'!$C$6:$C$405,F194,'Istoric_Nativ'!$F$6:$F$405,G194,'Istoric_Nativ'!$D$6:$D$405,"&lt;"&amp;J194,'Istoric_Nativ'!$P$6:$P$405,1,'Istoric_Nativ'!$D$6:$D$405,"&gt;="&amp;L194),SUMIFS('Istoric_Nativ'!$H$6:$H$405,'Istoric_Nativ'!$B$6:$B$405,E194,'Istoric_Nativ'!$C$6:$C$405,F194,'Istoric_Nativ'!$E$6:$E$405,G194,'Istoric_Nativ'!$D$6:$D$405,"&lt;"&amp;J194,'Istoric_Nativ'!$P$6:$P$405,1,'Istoric_Nativ'!$D$6:$D$405,"&gt;="&amp;L194)+SUMIFS('Istoric_Nativ'!$G$6:$G$405,'Istoric_Nativ'!$B$6:$B$405,E194,'Istoric_Nativ'!$C$6:$C$405,F194,'Istoric_Nativ'!$F$6:$F$405,G194,'Istoric_Nativ'!$D$6:$D$405,"&lt;"&amp;J194,'Istoric_Nativ'!$P$6:$P$405,1,'Istoric_Nativ'!$D$6:$D$405,"&gt;="&amp;L194)))/M194)</x:f>
      </x:c>
      <x:c r="P194" s="2" t="n">
        <x:f>'Config_v6'!$B$9</x:f>
        <x:v>3</x:v>
      </x:c>
      <x:c r="Q194" s="2" t="n">
        <x:f>IF(OR(B194="",F194=""),0,IFERROR(MATCH(E194&amp;"|"&amp;F194,SourceTable[Source_Key],0),0))</x:f>
        <x:v>0</x:v>
      </x:c>
      <x:c r="R194" s="2" t="str">
        <x:f>IF(B194="","",IF(F194="","UNUSED",IF(Q194=0,"NOT CHECKED",IF(COUNTIF(SourceTable[Source_Key],E194&amp;"|"&amp;F194)&lt;&gt;1,"SOURCE CONFLICT",IF(NOT(OR(INDEX(SourceTable[Status],MAX(1,Q194))="IMPORTED",INDEX(SourceTable[Status],MAX(1,Q194))="PARTIAL",INDEX(SourceTable[Status],MAX(1,Q194))="SOURCE CONFLICT")),"ACCESS BLOCKED",IF(OR(INDEX(SourceTable[Coverage],Q194)&lt;&gt;"FULL SEASON EXPORT",INDEX(SourceTable[URL],Q194)="",INDEX(SourceTable[SHA256],Q194)=""),"EVIDENCE INCOMPLETE",IF(AND('Input_Meci'!H21="LIVE",INDEX(SourceTable[Retrieved_UTC],Q194)&gt;'Input_Meci'!G21),"POST CUTOFF","CLOSED")))))))</x:f>
      </x:c>
      <x:c r="S194" s="2" t="n">
        <x:f>IF(OR(B194="",F194=""),0,COUNTIFS('Istoric_Nativ'!$B$6:$B$405,E194,'Istoric_Nativ'!$C$6:$C$405,F194,'Istoric_Nativ'!$E$6:$E$405,G194,'Istoric_Nativ'!$D$6:$D$405,"&lt;"&amp;J194,'Istoric_Nativ'!$O$6:$O$405,"INVALID")+COUNTIFS('Istoric_Nativ'!$B$6:$B$405,E194,'Istoric_Nativ'!$C$6:$C$405,F194,'Istoric_Nativ'!$E$6:$E$405,G194,'Istoric_Nativ'!$O$6:$O$405,"INVALID",'Istoric_Nativ'!$D$6:$D$405,"*")+COUNTIFS('Istoric_Nativ'!$B$6:$B$405,E194,'Istoric_Nativ'!$C$6:$C$405,F194,'Istoric_Nativ'!$E$6:$E$405,G194,'Istoric_Nativ'!$D$6:$D$405,"&lt;"&amp;J194,'Istoric_Nativ'!$O$6:$O$405,"SOURCE CONFLICT")+COUNTIFS('Istoric_Nativ'!$B$6:$B$405,E194,'Istoric_Nativ'!$C$6:$C$405,F194,'Istoric_Nativ'!$F$6:$F$405,G194,'Istoric_Nativ'!$D$6:$D$405,"&lt;"&amp;J194,'Istoric_Nativ'!$O$6:$O$405,"INVALID")+COUNTIFS('Istoric_Nativ'!$B$6:$B$405,E194,'Istoric_Nativ'!$C$6:$C$405,F194,'Istoric_Nativ'!$F$6:$F$405,G194,'Istoric_Nativ'!$O$6:$O$405,"INVALID",'Istoric_Nativ'!$D$6:$D$405,"*")+COUNTIFS('Istoric_Nativ'!$B$6:$B$405,E194,'Istoric_Nativ'!$C$6:$C$405,F194,'Istoric_Nativ'!$F$6:$F$405,G194,'Istoric_Nativ'!$D$6:$D$405,"&lt;"&amp;J194,'Istoric_Nativ'!$O$6:$O$405,"SOURCE CONFLICT"))</x:f>
        <x:v>0</x:v>
      </x:c>
      <x:c r="T194" s="2" t="str">
        <x:f>IF(B194="","",IF(R194&lt;&gt;"CLOSED",R194,IF(S194&gt;0,"NATIVE INPUT ISSUE",IF(M194=0,"NO HISTORY",IF(M194&lt;P194,"SMALL SAMPLE","DERIVED")))))</x:f>
      </x:c>
      <x:c r="U194" s="2" t="str">
        <x:f>IF(B194="","","NativeTable; "&amp;E194&amp;"; "&amp;F194&amp;"; "&amp;G194&amp;"; "&amp;H194&amp;"; before "&amp;TEXT(J194,"yyyy-mm-dd")&amp;IF(I194="RECENT","; from "&amp;TEXT(L194,"yyyy-mm-dd"),""))</x:f>
      </x:c>
    </x:row>
    <x:row r="195" ht="21" customHeight="1">
      <x:c r="A195" s="2" t="n">
        <x:v>16</x:v>
      </x:c>
      <x:c r="B195" s="2" t="str">
        <x:f>IF('Input_Meci'!A21="","",'Input_Meci'!A21)</x:f>
      </x:c>
      <x:c r="C195" s="2" t="str">
        <x:v>A</x:v>
      </x:c>
      <x:c r="D195" s="2" t="str">
        <x:v>PRIOR</x:v>
      </x:c>
      <x:c r="E195" s="2" t="str">
        <x:f>IF(B195="","",'Input_Meci'!B21)</x:f>
      </x:c>
      <x:c r="F195" s="2" t="str">
        <x:f>IF(B195="","",IF('Input_Meci'!K21="","",'Input_Meci'!K21))</x:f>
      </x:c>
      <x:c r="G195" s="2" t="str">
        <x:f>IF(B195="","",'Input_Meci'!E21)</x:f>
      </x:c>
      <x:c r="H195" s="2" t="str">
        <x:v>ANY</x:v>
      </x:c>
      <x:c r="I195" s="2" t="str">
        <x:v>SEASON</x:v>
      </x:c>
      <x:c r="J195" s="9" t="n">
        <x:f>IF(AND(B195&lt;&gt;"",ISNUMBER('Input_Meci'!G21)),INT('Input_Meci'!G21),0)</x:f>
        <x:v>0</x:v>
      </x:c>
      <x:c r="K195" s="2" t="n">
        <x:f>IF(OR(B195="",F195=""),0,IF(H195="HOME",COUNTIFS('Istoric_Nativ'!$B$6:$B$405,E195,'Istoric_Nativ'!$C$6:$C$405,F195,'Istoric_Nativ'!$E$6:$E$405,G195,'Istoric_Nativ'!$D$6:$D$405,"&lt;"&amp;J195,'Istoric_Nativ'!$P$6:$P$405,1),IF(H195="AWAY",COUNTIFS('Istoric_Nativ'!$B$6:$B$405,E195,'Istoric_Nativ'!$C$6:$C$405,F195,'Istoric_Nativ'!$F$6:$F$405,G195,'Istoric_Nativ'!$D$6:$D$405,"&lt;"&amp;J195,'Istoric_Nativ'!$P$6:$P$405,1),COUNTIFS('Istoric_Nativ'!$B$6:$B$405,E195,'Istoric_Nativ'!$C$6:$C$405,F195,'Istoric_Nativ'!$E$6:$E$405,G195,'Istoric_Nativ'!$D$6:$D$405,"&lt;"&amp;J195,'Istoric_Nativ'!$P$6:$P$405,1)+COUNTIFS('Istoric_Nativ'!$B$6:$B$405,E195,'Istoric_Nativ'!$C$6:$C$405,F195,'Istoric_Nativ'!$F$6:$F$405,G195,'Istoric_Nativ'!$D$6:$D$405,"&lt;"&amp;J195,'Istoric_Nativ'!$P$6:$P$405,1))))</x:f>
        <x:v>0</x:v>
      </x:c>
      <x:c r="L195" s="17" t="n">
        <x:f>IF(AND(B195&lt;&gt;"",I195="RECENT",K195&gt;0),LARGE(_xlfn._xlws.FILTER('Istoric_Nativ'!$D$6:$D$405,('Istoric_Nativ'!$B$6:$B$405=E195)*('Istoric_Nativ'!$C$6:$C$405=F195)*('Istoric_Nativ'!$P$6:$P$405=1)*('Istoric_Nativ'!$D$6:$D$405&lt;J195)*((('Istoric_Nativ'!$E$6:$E$405=G195)+('Istoric_Nativ'!$F$6:$F$405=G195))&gt;0)),MIN('Config_v6'!$B$54,K195)),0)</x:f>
        <x:v>0</x:v>
      </x:c>
      <x:c r="M195" s="2" t="n">
        <x:f>IF(OR(B195="",F195=""),0,IF(H195="HOME",COUNTIFS('Istoric_Nativ'!$B$6:$B$405,E195,'Istoric_Nativ'!$C$6:$C$405,F195,'Istoric_Nativ'!$E$6:$E$405,G195,'Istoric_Nativ'!$D$6:$D$405,"&lt;"&amp;J195,'Istoric_Nativ'!$P$6:$P$405,1,'Istoric_Nativ'!$D$6:$D$405,"&gt;="&amp;L195),IF(H195="AWAY",COUNTIFS('Istoric_Nativ'!$B$6:$B$405,E195,'Istoric_Nativ'!$C$6:$C$405,F195,'Istoric_Nativ'!$F$6:$F$405,G195,'Istoric_Nativ'!$D$6:$D$405,"&lt;"&amp;J195,'Istoric_Nativ'!$P$6:$P$405,1,'Istoric_Nativ'!$D$6:$D$405,"&gt;="&amp;L195),COUNTIFS('Istoric_Nativ'!$B$6:$B$405,E195,'Istoric_Nativ'!$C$6:$C$405,F195,'Istoric_Nativ'!$E$6:$E$405,G195,'Istoric_Nativ'!$D$6:$D$405,"&lt;"&amp;J195,'Istoric_Nativ'!$P$6:$P$405,1,'Istoric_Nativ'!$D$6:$D$405,"&gt;="&amp;L195)+COUNTIFS('Istoric_Nativ'!$B$6:$B$405,E195,'Istoric_Nativ'!$C$6:$C$405,F195,'Istoric_Nativ'!$F$6:$F$405,G195,'Istoric_Nativ'!$D$6:$D$405,"&lt;"&amp;J195,'Istoric_Nativ'!$P$6:$P$405,1,'Istoric_Nativ'!$D$6:$D$405,"&gt;="&amp;L195))))</x:f>
        <x:v>0</x:v>
      </x:c>
      <x:c r="N195" s="11" t="str">
        <x:f>IF(M195=0,"",IF(H195="HOME",SUMIFS('Istoric_Nativ'!$G$6:$G$405,'Istoric_Nativ'!$B$6:$B$405,E195,'Istoric_Nativ'!$C$6:$C$405,F195,'Istoric_Nativ'!$E$6:$E$405,G195,'Istoric_Nativ'!$D$6:$D$405,"&lt;"&amp;J195,'Istoric_Nativ'!$P$6:$P$405,1,'Istoric_Nativ'!$D$6:$D$405,"&gt;="&amp;L195),IF(H195="AWAY",SUMIFS('Istoric_Nativ'!$H$6:$H$405,'Istoric_Nativ'!$B$6:$B$405,E195,'Istoric_Nativ'!$C$6:$C$405,F195,'Istoric_Nativ'!$F$6:$F$405,G195,'Istoric_Nativ'!$D$6:$D$405,"&lt;"&amp;J195,'Istoric_Nativ'!$P$6:$P$405,1,'Istoric_Nativ'!$D$6:$D$405,"&gt;="&amp;L195),SUMIFS('Istoric_Nativ'!$G$6:$G$405,'Istoric_Nativ'!$B$6:$B$405,E195,'Istoric_Nativ'!$C$6:$C$405,F195,'Istoric_Nativ'!$E$6:$E$405,G195,'Istoric_Nativ'!$D$6:$D$405,"&lt;"&amp;J195,'Istoric_Nativ'!$P$6:$P$405,1,'Istoric_Nativ'!$D$6:$D$405,"&gt;="&amp;L195)+SUMIFS('Istoric_Nativ'!$H$6:$H$405,'Istoric_Nativ'!$B$6:$B$405,E195,'Istoric_Nativ'!$C$6:$C$405,F195,'Istoric_Nativ'!$F$6:$F$405,G195,'Istoric_Nativ'!$D$6:$D$405,"&lt;"&amp;J195,'Istoric_Nativ'!$P$6:$P$405,1,'Istoric_Nativ'!$D$6:$D$405,"&gt;="&amp;L195)))/M195)</x:f>
      </x:c>
      <x:c r="O195" s="11" t="str">
        <x:f>IF(M195=0,"",IF(H195="HOME",SUMIFS('Istoric_Nativ'!$H$6:$H$405,'Istoric_Nativ'!$B$6:$B$405,E195,'Istoric_Nativ'!$C$6:$C$405,F195,'Istoric_Nativ'!$E$6:$E$405,G195,'Istoric_Nativ'!$D$6:$D$405,"&lt;"&amp;J195,'Istoric_Nativ'!$P$6:$P$405,1,'Istoric_Nativ'!$D$6:$D$405,"&gt;="&amp;L195),IF(H195="AWAY",SUMIFS('Istoric_Nativ'!$G$6:$G$405,'Istoric_Nativ'!$B$6:$B$405,E195,'Istoric_Nativ'!$C$6:$C$405,F195,'Istoric_Nativ'!$F$6:$F$405,G195,'Istoric_Nativ'!$D$6:$D$405,"&lt;"&amp;J195,'Istoric_Nativ'!$P$6:$P$405,1,'Istoric_Nativ'!$D$6:$D$405,"&gt;="&amp;L195),SUMIFS('Istoric_Nativ'!$H$6:$H$405,'Istoric_Nativ'!$B$6:$B$405,E195,'Istoric_Nativ'!$C$6:$C$405,F195,'Istoric_Nativ'!$E$6:$E$405,G195,'Istoric_Nativ'!$D$6:$D$405,"&lt;"&amp;J195,'Istoric_Nativ'!$P$6:$P$405,1,'Istoric_Nativ'!$D$6:$D$405,"&gt;="&amp;L195)+SUMIFS('Istoric_Nativ'!$G$6:$G$405,'Istoric_Nativ'!$B$6:$B$405,E195,'Istoric_Nativ'!$C$6:$C$405,F195,'Istoric_Nativ'!$F$6:$F$405,G195,'Istoric_Nativ'!$D$6:$D$405,"&lt;"&amp;J195,'Istoric_Nativ'!$P$6:$P$405,1,'Istoric_Nativ'!$D$6:$D$405,"&gt;="&amp;L195)))/M195)</x:f>
      </x:c>
      <x:c r="P195" s="2" t="n">
        <x:f>'Config_v6'!$B$7</x:f>
        <x:v>10</x:v>
      </x:c>
      <x:c r="Q195" s="2" t="n">
        <x:f>IF(OR(B195="",F195=""),0,IFERROR(MATCH(E195&amp;"|"&amp;F195,SourceTable[Source_Key],0),0))</x:f>
        <x:v>0</x:v>
      </x:c>
      <x:c r="R195" s="2" t="str">
        <x:f>IF(B195="","",IF(F195="","UNUSED",IF(Q195=0,"NOT CHECKED",IF(COUNTIF(SourceTable[Source_Key],E195&amp;"|"&amp;F195)&lt;&gt;1,"SOURCE CONFLICT",IF(NOT(OR(INDEX(SourceTable[Status],MAX(1,Q195))="IMPORTED",INDEX(SourceTable[Status],MAX(1,Q195))="PARTIAL",INDEX(SourceTable[Status],MAX(1,Q195))="SOURCE CONFLICT")),"ACCESS BLOCKED",IF(OR(INDEX(SourceTable[Coverage],Q195)&lt;&gt;"FULL SEASON EXPORT",INDEX(SourceTable[URL],Q195)="",INDEX(SourceTable[SHA256],Q195)=""),"EVIDENCE INCOMPLETE",IF(AND('Input_Meci'!H21="LIVE",INDEX(SourceTable[Retrieved_UTC],Q195)&gt;'Input_Meci'!G21),"POST CUTOFF","CLOSED")))))))</x:f>
      </x:c>
      <x:c r="S195" s="2" t="n">
        <x:f>IF(OR(B195="",F195=""),0,COUNTIFS('Istoric_Nativ'!$B$6:$B$405,E195,'Istoric_Nativ'!$C$6:$C$405,F195,'Istoric_Nativ'!$E$6:$E$405,G195,'Istoric_Nativ'!$D$6:$D$405,"&lt;"&amp;J195,'Istoric_Nativ'!$O$6:$O$405,"INVALID")+COUNTIFS('Istoric_Nativ'!$B$6:$B$405,E195,'Istoric_Nativ'!$C$6:$C$405,F195,'Istoric_Nativ'!$E$6:$E$405,G195,'Istoric_Nativ'!$O$6:$O$405,"INVALID",'Istoric_Nativ'!$D$6:$D$405,"*")+COUNTIFS('Istoric_Nativ'!$B$6:$B$405,E195,'Istoric_Nativ'!$C$6:$C$405,F195,'Istoric_Nativ'!$E$6:$E$405,G195,'Istoric_Nativ'!$D$6:$D$405,"&lt;"&amp;J195,'Istoric_Nativ'!$O$6:$O$405,"SOURCE CONFLICT")+COUNTIFS('Istoric_Nativ'!$B$6:$B$405,E195,'Istoric_Nativ'!$C$6:$C$405,F195,'Istoric_Nativ'!$F$6:$F$405,G195,'Istoric_Nativ'!$D$6:$D$405,"&lt;"&amp;J195,'Istoric_Nativ'!$O$6:$O$405,"INVALID")+COUNTIFS('Istoric_Nativ'!$B$6:$B$405,E195,'Istoric_Nativ'!$C$6:$C$405,F195,'Istoric_Nativ'!$F$6:$F$405,G195,'Istoric_Nativ'!$O$6:$O$405,"INVALID",'Istoric_Nativ'!$D$6:$D$405,"*")+COUNTIFS('Istoric_Nativ'!$B$6:$B$405,E195,'Istoric_Nativ'!$C$6:$C$405,F195,'Istoric_Nativ'!$F$6:$F$405,G195,'Istoric_Nativ'!$D$6:$D$405,"&lt;"&amp;J195,'Istoric_Nativ'!$O$6:$O$405,"SOURCE CONFLICT"))</x:f>
        <x:v>0</x:v>
      </x:c>
      <x:c r="T195" s="2" t="str">
        <x:f>IF(B195="","",IF(R195&lt;&gt;"CLOSED",R195,IF(S195&gt;0,"NATIVE INPUT ISSUE",IF(M195=0,"NO HISTORY",IF(M195&lt;P195,"SMALL SAMPLE","DERIVED")))))</x:f>
      </x:c>
      <x:c r="U195" s="2" t="str">
        <x:f>IF(B195="","","NativeTable; "&amp;E195&amp;"; "&amp;F195&amp;"; "&amp;G195&amp;"; "&amp;H195&amp;"; before "&amp;TEXT(J195,"yyyy-mm-dd")&amp;IF(I195="RECENT","; from "&amp;TEXT(L195,"yyyy-mm-dd"),""))</x:f>
      </x:c>
    </x:row>
    <x:row r="196" ht="21" customHeight="1">
      <x:c r="A196" s="2" t="n">
        <x:v>16</x:v>
      </x:c>
      <x:c r="B196" s="2" t="str">
        <x:f>IF('Input_Meci'!A21="","",'Input_Meci'!A21)</x:f>
      </x:c>
      <x:c r="C196" s="2" t="str">
        <x:v>A</x:v>
      </x:c>
      <x:c r="D196" s="2" t="str">
        <x:v>PRIOR</x:v>
      </x:c>
      <x:c r="E196" s="2" t="str">
        <x:f>IF(B196="","",'Input_Meci'!B21)</x:f>
      </x:c>
      <x:c r="F196" s="2" t="str">
        <x:f>IF(B196="","",IF('Input_Meci'!K21="","",'Input_Meci'!K21))</x:f>
      </x:c>
      <x:c r="G196" s="2" t="str">
        <x:f>IF(B196="","",'Input_Meci'!E21)</x:f>
      </x:c>
      <x:c r="H196" s="2" t="str">
        <x:v>AWAY</x:v>
      </x:c>
      <x:c r="I196" s="2" t="str">
        <x:v>HA</x:v>
      </x:c>
      <x:c r="J196" s="9" t="n">
        <x:f>IF(AND(B196&lt;&gt;"",ISNUMBER('Input_Meci'!G21)),INT('Input_Meci'!G21),0)</x:f>
        <x:v>0</x:v>
      </x:c>
      <x:c r="K196" s="2" t="n">
        <x:f>IF(OR(B196="",F196=""),0,IF(H196="HOME",COUNTIFS('Istoric_Nativ'!$B$6:$B$405,E196,'Istoric_Nativ'!$C$6:$C$405,F196,'Istoric_Nativ'!$E$6:$E$405,G196,'Istoric_Nativ'!$D$6:$D$405,"&lt;"&amp;J196,'Istoric_Nativ'!$P$6:$P$405,1),IF(H196="AWAY",COUNTIFS('Istoric_Nativ'!$B$6:$B$405,E196,'Istoric_Nativ'!$C$6:$C$405,F196,'Istoric_Nativ'!$F$6:$F$405,G196,'Istoric_Nativ'!$D$6:$D$405,"&lt;"&amp;J196,'Istoric_Nativ'!$P$6:$P$405,1),COUNTIFS('Istoric_Nativ'!$B$6:$B$405,E196,'Istoric_Nativ'!$C$6:$C$405,F196,'Istoric_Nativ'!$E$6:$E$405,G196,'Istoric_Nativ'!$D$6:$D$405,"&lt;"&amp;J196,'Istoric_Nativ'!$P$6:$P$405,1)+COUNTIFS('Istoric_Nativ'!$B$6:$B$405,E196,'Istoric_Nativ'!$C$6:$C$405,F196,'Istoric_Nativ'!$F$6:$F$405,G196,'Istoric_Nativ'!$D$6:$D$405,"&lt;"&amp;J196,'Istoric_Nativ'!$P$6:$P$405,1))))</x:f>
        <x:v>0</x:v>
      </x:c>
      <x:c r="L196" s="17" t="n">
        <x:f>IF(AND(B196&lt;&gt;"",I196="RECENT",K196&gt;0),LARGE(_xlfn._xlws.FILTER('Istoric_Nativ'!$D$6:$D$405,('Istoric_Nativ'!$B$6:$B$405=E196)*('Istoric_Nativ'!$C$6:$C$405=F196)*('Istoric_Nativ'!$P$6:$P$405=1)*('Istoric_Nativ'!$D$6:$D$405&lt;J196)*((('Istoric_Nativ'!$E$6:$E$405=G196)+('Istoric_Nativ'!$F$6:$F$405=G196))&gt;0)),MIN('Config_v6'!$B$54,K196)),0)</x:f>
        <x:v>0</x:v>
      </x:c>
      <x:c r="M196" s="2" t="n">
        <x:f>IF(OR(B196="",F196=""),0,IF(H196="HOME",COUNTIFS('Istoric_Nativ'!$B$6:$B$405,E196,'Istoric_Nativ'!$C$6:$C$405,F196,'Istoric_Nativ'!$E$6:$E$405,G196,'Istoric_Nativ'!$D$6:$D$405,"&lt;"&amp;J196,'Istoric_Nativ'!$P$6:$P$405,1,'Istoric_Nativ'!$D$6:$D$405,"&gt;="&amp;L196),IF(H196="AWAY",COUNTIFS('Istoric_Nativ'!$B$6:$B$405,E196,'Istoric_Nativ'!$C$6:$C$405,F196,'Istoric_Nativ'!$F$6:$F$405,G196,'Istoric_Nativ'!$D$6:$D$405,"&lt;"&amp;J196,'Istoric_Nativ'!$P$6:$P$405,1,'Istoric_Nativ'!$D$6:$D$405,"&gt;="&amp;L196),COUNTIFS('Istoric_Nativ'!$B$6:$B$405,E196,'Istoric_Nativ'!$C$6:$C$405,F196,'Istoric_Nativ'!$E$6:$E$405,G196,'Istoric_Nativ'!$D$6:$D$405,"&lt;"&amp;J196,'Istoric_Nativ'!$P$6:$P$405,1,'Istoric_Nativ'!$D$6:$D$405,"&gt;="&amp;L196)+COUNTIFS('Istoric_Nativ'!$B$6:$B$405,E196,'Istoric_Nativ'!$C$6:$C$405,F196,'Istoric_Nativ'!$F$6:$F$405,G196,'Istoric_Nativ'!$D$6:$D$405,"&lt;"&amp;J196,'Istoric_Nativ'!$P$6:$P$405,1,'Istoric_Nativ'!$D$6:$D$405,"&gt;="&amp;L196))))</x:f>
        <x:v>0</x:v>
      </x:c>
      <x:c r="N196" s="11" t="str">
        <x:f>IF(M196=0,"",IF(H196="HOME",SUMIFS('Istoric_Nativ'!$G$6:$G$405,'Istoric_Nativ'!$B$6:$B$405,E196,'Istoric_Nativ'!$C$6:$C$405,F196,'Istoric_Nativ'!$E$6:$E$405,G196,'Istoric_Nativ'!$D$6:$D$405,"&lt;"&amp;J196,'Istoric_Nativ'!$P$6:$P$405,1,'Istoric_Nativ'!$D$6:$D$405,"&gt;="&amp;L196),IF(H196="AWAY",SUMIFS('Istoric_Nativ'!$H$6:$H$405,'Istoric_Nativ'!$B$6:$B$405,E196,'Istoric_Nativ'!$C$6:$C$405,F196,'Istoric_Nativ'!$F$6:$F$405,G196,'Istoric_Nativ'!$D$6:$D$405,"&lt;"&amp;J196,'Istoric_Nativ'!$P$6:$P$405,1,'Istoric_Nativ'!$D$6:$D$405,"&gt;="&amp;L196),SUMIFS('Istoric_Nativ'!$G$6:$G$405,'Istoric_Nativ'!$B$6:$B$405,E196,'Istoric_Nativ'!$C$6:$C$405,F196,'Istoric_Nativ'!$E$6:$E$405,G196,'Istoric_Nativ'!$D$6:$D$405,"&lt;"&amp;J196,'Istoric_Nativ'!$P$6:$P$405,1,'Istoric_Nativ'!$D$6:$D$405,"&gt;="&amp;L196)+SUMIFS('Istoric_Nativ'!$H$6:$H$405,'Istoric_Nativ'!$B$6:$B$405,E196,'Istoric_Nativ'!$C$6:$C$405,F196,'Istoric_Nativ'!$F$6:$F$405,G196,'Istoric_Nativ'!$D$6:$D$405,"&lt;"&amp;J196,'Istoric_Nativ'!$P$6:$P$405,1,'Istoric_Nativ'!$D$6:$D$405,"&gt;="&amp;L196)))/M196)</x:f>
      </x:c>
      <x:c r="O196" s="11" t="str">
        <x:f>IF(M196=0,"",IF(H196="HOME",SUMIFS('Istoric_Nativ'!$H$6:$H$405,'Istoric_Nativ'!$B$6:$B$405,E196,'Istoric_Nativ'!$C$6:$C$405,F196,'Istoric_Nativ'!$E$6:$E$405,G196,'Istoric_Nativ'!$D$6:$D$405,"&lt;"&amp;J196,'Istoric_Nativ'!$P$6:$P$405,1,'Istoric_Nativ'!$D$6:$D$405,"&gt;="&amp;L196),IF(H196="AWAY",SUMIFS('Istoric_Nativ'!$G$6:$G$405,'Istoric_Nativ'!$B$6:$B$405,E196,'Istoric_Nativ'!$C$6:$C$405,F196,'Istoric_Nativ'!$F$6:$F$405,G196,'Istoric_Nativ'!$D$6:$D$405,"&lt;"&amp;J196,'Istoric_Nativ'!$P$6:$P$405,1,'Istoric_Nativ'!$D$6:$D$405,"&gt;="&amp;L196),SUMIFS('Istoric_Nativ'!$H$6:$H$405,'Istoric_Nativ'!$B$6:$B$405,E196,'Istoric_Nativ'!$C$6:$C$405,F196,'Istoric_Nativ'!$E$6:$E$405,G196,'Istoric_Nativ'!$D$6:$D$405,"&lt;"&amp;J196,'Istoric_Nativ'!$P$6:$P$405,1,'Istoric_Nativ'!$D$6:$D$405,"&gt;="&amp;L196)+SUMIFS('Istoric_Nativ'!$G$6:$G$405,'Istoric_Nativ'!$B$6:$B$405,E196,'Istoric_Nativ'!$C$6:$C$405,F196,'Istoric_Nativ'!$F$6:$F$405,G196,'Istoric_Nativ'!$D$6:$D$405,"&lt;"&amp;J196,'Istoric_Nativ'!$P$6:$P$405,1,'Istoric_Nativ'!$D$6:$D$405,"&gt;="&amp;L196)))/M196)</x:f>
      </x:c>
      <x:c r="P196" s="2" t="n">
        <x:f>'Config_v6'!$B$8</x:f>
        <x:v>5</x:v>
      </x:c>
      <x:c r="Q196" s="2" t="n">
        <x:f>IF(OR(B196="",F196=""),0,IFERROR(MATCH(E196&amp;"|"&amp;F196,SourceTable[Source_Key],0),0))</x:f>
        <x:v>0</x:v>
      </x:c>
      <x:c r="R196" s="2" t="str">
        <x:f>IF(B196="","",IF(F196="","UNUSED",IF(Q196=0,"NOT CHECKED",IF(COUNTIF(SourceTable[Source_Key],E196&amp;"|"&amp;F196)&lt;&gt;1,"SOURCE CONFLICT",IF(NOT(OR(INDEX(SourceTable[Status],MAX(1,Q196))="IMPORTED",INDEX(SourceTable[Status],MAX(1,Q196))="PARTIAL",INDEX(SourceTable[Status],MAX(1,Q196))="SOURCE CONFLICT")),"ACCESS BLOCKED",IF(OR(INDEX(SourceTable[Coverage],Q196)&lt;&gt;"FULL SEASON EXPORT",INDEX(SourceTable[URL],Q196)="",INDEX(SourceTable[SHA256],Q196)=""),"EVIDENCE INCOMPLETE",IF(AND('Input_Meci'!H21="LIVE",INDEX(SourceTable[Retrieved_UTC],Q196)&gt;'Input_Meci'!G21),"POST CUTOFF","CLOSED")))))))</x:f>
      </x:c>
      <x:c r="S196" s="2" t="n">
        <x:f>IF(OR(B196="",F196=""),0,COUNTIFS('Istoric_Nativ'!$B$6:$B$405,E196,'Istoric_Nativ'!$C$6:$C$405,F196,'Istoric_Nativ'!$E$6:$E$405,G196,'Istoric_Nativ'!$D$6:$D$405,"&lt;"&amp;J196,'Istoric_Nativ'!$O$6:$O$405,"INVALID")+COUNTIFS('Istoric_Nativ'!$B$6:$B$405,E196,'Istoric_Nativ'!$C$6:$C$405,F196,'Istoric_Nativ'!$E$6:$E$405,G196,'Istoric_Nativ'!$O$6:$O$405,"INVALID",'Istoric_Nativ'!$D$6:$D$405,"*")+COUNTIFS('Istoric_Nativ'!$B$6:$B$405,E196,'Istoric_Nativ'!$C$6:$C$405,F196,'Istoric_Nativ'!$E$6:$E$405,G196,'Istoric_Nativ'!$D$6:$D$405,"&lt;"&amp;J196,'Istoric_Nativ'!$O$6:$O$405,"SOURCE CONFLICT")+COUNTIFS('Istoric_Nativ'!$B$6:$B$405,E196,'Istoric_Nativ'!$C$6:$C$405,F196,'Istoric_Nativ'!$F$6:$F$405,G196,'Istoric_Nativ'!$D$6:$D$405,"&lt;"&amp;J196,'Istoric_Nativ'!$O$6:$O$405,"INVALID")+COUNTIFS('Istoric_Nativ'!$B$6:$B$405,E196,'Istoric_Nativ'!$C$6:$C$405,F196,'Istoric_Nativ'!$F$6:$F$405,G196,'Istoric_Nativ'!$O$6:$O$405,"INVALID",'Istoric_Nativ'!$D$6:$D$405,"*")+COUNTIFS('Istoric_Nativ'!$B$6:$B$405,E196,'Istoric_Nativ'!$C$6:$C$405,F196,'Istoric_Nativ'!$F$6:$F$405,G196,'Istoric_Nativ'!$D$6:$D$405,"&lt;"&amp;J196,'Istoric_Nativ'!$O$6:$O$405,"SOURCE CONFLICT"))</x:f>
        <x:v>0</x:v>
      </x:c>
      <x:c r="T196" s="2" t="str">
        <x:f>IF(B196="","",IF(R196&lt;&gt;"CLOSED",R196,IF(S196&gt;0,"NATIVE INPUT ISSUE",IF(M196=0,"NO HISTORY",IF(M196&lt;P196,"SMALL SAMPLE","DERIVED")))))</x:f>
      </x:c>
      <x:c r="U196" s="2" t="str">
        <x:f>IF(B196="","","NativeTable; "&amp;E196&amp;"; "&amp;F196&amp;"; "&amp;G196&amp;"; "&amp;H196&amp;"; before "&amp;TEXT(J196,"yyyy-mm-dd")&amp;IF(I196="RECENT","; from "&amp;TEXT(L196,"yyyy-mm-dd"),""))</x:f>
      </x:c>
    </x:row>
    <x:row r="197" ht="21" customHeight="1">
      <x:c r="A197" s="2" t="n">
        <x:v>16</x:v>
      </x:c>
      <x:c r="B197" s="2" t="str">
        <x:f>IF('Input_Meci'!A21="","",'Input_Meci'!A21)</x:f>
      </x:c>
      <x:c r="C197" s="2" t="str">
        <x:v>A</x:v>
      </x:c>
      <x:c r="D197" s="2" t="str">
        <x:v>PRIOR</x:v>
      </x:c>
      <x:c r="E197" s="2" t="str">
        <x:f>IF(B197="","",'Input_Meci'!B21)</x:f>
      </x:c>
      <x:c r="F197" s="2" t="str">
        <x:f>IF(B197="","",IF('Input_Meci'!K21="","",'Input_Meci'!K21))</x:f>
      </x:c>
      <x:c r="G197" s="2" t="str">
        <x:f>IF(B197="","",'Input_Meci'!E21)</x:f>
      </x:c>
      <x:c r="H197" s="2" t="str">
        <x:v>ANY</x:v>
      </x:c>
      <x:c r="I197" s="2" t="str">
        <x:v>RECENT</x:v>
      </x:c>
      <x:c r="J197" s="9" t="n">
        <x:f>IF(AND(B197&lt;&gt;"",ISNUMBER('Input_Meci'!G21)),INT('Input_Meci'!G21),0)</x:f>
        <x:v>0</x:v>
      </x:c>
      <x:c r="K197" s="2" t="n">
        <x:f>IF(OR(B197="",F197=""),0,IF(H197="HOME",COUNTIFS('Istoric_Nativ'!$B$6:$B$405,E197,'Istoric_Nativ'!$C$6:$C$405,F197,'Istoric_Nativ'!$E$6:$E$405,G197,'Istoric_Nativ'!$D$6:$D$405,"&lt;"&amp;J197,'Istoric_Nativ'!$P$6:$P$405,1),IF(H197="AWAY",COUNTIFS('Istoric_Nativ'!$B$6:$B$405,E197,'Istoric_Nativ'!$C$6:$C$405,F197,'Istoric_Nativ'!$F$6:$F$405,G197,'Istoric_Nativ'!$D$6:$D$405,"&lt;"&amp;J197,'Istoric_Nativ'!$P$6:$P$405,1),COUNTIFS('Istoric_Nativ'!$B$6:$B$405,E197,'Istoric_Nativ'!$C$6:$C$405,F197,'Istoric_Nativ'!$E$6:$E$405,G197,'Istoric_Nativ'!$D$6:$D$405,"&lt;"&amp;J197,'Istoric_Nativ'!$P$6:$P$405,1)+COUNTIFS('Istoric_Nativ'!$B$6:$B$405,E197,'Istoric_Nativ'!$C$6:$C$405,F197,'Istoric_Nativ'!$F$6:$F$405,G197,'Istoric_Nativ'!$D$6:$D$405,"&lt;"&amp;J197,'Istoric_Nativ'!$P$6:$P$405,1))))</x:f>
        <x:v>0</x:v>
      </x:c>
      <x:c r="L197" s="17" t="n">
        <x:f>IF(AND(B197&lt;&gt;"",I197="RECENT",K197&gt;0),LARGE(_xlfn._xlws.FILTER('Istoric_Nativ'!$D$6:$D$405,('Istoric_Nativ'!$B$6:$B$405=E197)*('Istoric_Nativ'!$C$6:$C$405=F197)*('Istoric_Nativ'!$P$6:$P$405=1)*('Istoric_Nativ'!$D$6:$D$405&lt;J197)*((('Istoric_Nativ'!$E$6:$E$405=G197)+('Istoric_Nativ'!$F$6:$F$405=G197))&gt;0)),MIN('Config_v6'!$B$54,K197)),0)</x:f>
        <x:v>0</x:v>
      </x:c>
      <x:c r="M197" s="2" t="n">
        <x:f>IF(OR(B197="",F197=""),0,IF(H197="HOME",COUNTIFS('Istoric_Nativ'!$B$6:$B$405,E197,'Istoric_Nativ'!$C$6:$C$405,F197,'Istoric_Nativ'!$E$6:$E$405,G197,'Istoric_Nativ'!$D$6:$D$405,"&lt;"&amp;J197,'Istoric_Nativ'!$P$6:$P$405,1,'Istoric_Nativ'!$D$6:$D$405,"&gt;="&amp;L197),IF(H197="AWAY",COUNTIFS('Istoric_Nativ'!$B$6:$B$405,E197,'Istoric_Nativ'!$C$6:$C$405,F197,'Istoric_Nativ'!$F$6:$F$405,G197,'Istoric_Nativ'!$D$6:$D$405,"&lt;"&amp;J197,'Istoric_Nativ'!$P$6:$P$405,1,'Istoric_Nativ'!$D$6:$D$405,"&gt;="&amp;L197),COUNTIFS('Istoric_Nativ'!$B$6:$B$405,E197,'Istoric_Nativ'!$C$6:$C$405,F197,'Istoric_Nativ'!$E$6:$E$405,G197,'Istoric_Nativ'!$D$6:$D$405,"&lt;"&amp;J197,'Istoric_Nativ'!$P$6:$P$405,1,'Istoric_Nativ'!$D$6:$D$405,"&gt;="&amp;L197)+COUNTIFS('Istoric_Nativ'!$B$6:$B$405,E197,'Istoric_Nativ'!$C$6:$C$405,F197,'Istoric_Nativ'!$F$6:$F$405,G197,'Istoric_Nativ'!$D$6:$D$405,"&lt;"&amp;J197,'Istoric_Nativ'!$P$6:$P$405,1,'Istoric_Nativ'!$D$6:$D$405,"&gt;="&amp;L197))))</x:f>
        <x:v>0</x:v>
      </x:c>
      <x:c r="N197" s="11" t="str">
        <x:f>IF(M197=0,"",IF(H197="HOME",SUMIFS('Istoric_Nativ'!$G$6:$G$405,'Istoric_Nativ'!$B$6:$B$405,E197,'Istoric_Nativ'!$C$6:$C$405,F197,'Istoric_Nativ'!$E$6:$E$405,G197,'Istoric_Nativ'!$D$6:$D$405,"&lt;"&amp;J197,'Istoric_Nativ'!$P$6:$P$405,1,'Istoric_Nativ'!$D$6:$D$405,"&gt;="&amp;L197),IF(H197="AWAY",SUMIFS('Istoric_Nativ'!$H$6:$H$405,'Istoric_Nativ'!$B$6:$B$405,E197,'Istoric_Nativ'!$C$6:$C$405,F197,'Istoric_Nativ'!$F$6:$F$405,G197,'Istoric_Nativ'!$D$6:$D$405,"&lt;"&amp;J197,'Istoric_Nativ'!$P$6:$P$405,1,'Istoric_Nativ'!$D$6:$D$405,"&gt;="&amp;L197),SUMIFS('Istoric_Nativ'!$G$6:$G$405,'Istoric_Nativ'!$B$6:$B$405,E197,'Istoric_Nativ'!$C$6:$C$405,F197,'Istoric_Nativ'!$E$6:$E$405,G197,'Istoric_Nativ'!$D$6:$D$405,"&lt;"&amp;J197,'Istoric_Nativ'!$P$6:$P$405,1,'Istoric_Nativ'!$D$6:$D$405,"&gt;="&amp;L197)+SUMIFS('Istoric_Nativ'!$H$6:$H$405,'Istoric_Nativ'!$B$6:$B$405,E197,'Istoric_Nativ'!$C$6:$C$405,F197,'Istoric_Nativ'!$F$6:$F$405,G197,'Istoric_Nativ'!$D$6:$D$405,"&lt;"&amp;J197,'Istoric_Nativ'!$P$6:$P$405,1,'Istoric_Nativ'!$D$6:$D$405,"&gt;="&amp;L197)))/M197)</x:f>
      </x:c>
      <x:c r="O197" s="11" t="str">
        <x:f>IF(M197=0,"",IF(H197="HOME",SUMIFS('Istoric_Nativ'!$H$6:$H$405,'Istoric_Nativ'!$B$6:$B$405,E197,'Istoric_Nativ'!$C$6:$C$405,F197,'Istoric_Nativ'!$E$6:$E$405,G197,'Istoric_Nativ'!$D$6:$D$405,"&lt;"&amp;J197,'Istoric_Nativ'!$P$6:$P$405,1,'Istoric_Nativ'!$D$6:$D$405,"&gt;="&amp;L197),IF(H197="AWAY",SUMIFS('Istoric_Nativ'!$G$6:$G$405,'Istoric_Nativ'!$B$6:$B$405,E197,'Istoric_Nativ'!$C$6:$C$405,F197,'Istoric_Nativ'!$F$6:$F$405,G197,'Istoric_Nativ'!$D$6:$D$405,"&lt;"&amp;J197,'Istoric_Nativ'!$P$6:$P$405,1,'Istoric_Nativ'!$D$6:$D$405,"&gt;="&amp;L197),SUMIFS('Istoric_Nativ'!$H$6:$H$405,'Istoric_Nativ'!$B$6:$B$405,E197,'Istoric_Nativ'!$C$6:$C$405,F197,'Istoric_Nativ'!$E$6:$E$405,G197,'Istoric_Nativ'!$D$6:$D$405,"&lt;"&amp;J197,'Istoric_Nativ'!$P$6:$P$405,1,'Istoric_Nativ'!$D$6:$D$405,"&gt;="&amp;L197)+SUMIFS('Istoric_Nativ'!$G$6:$G$405,'Istoric_Nativ'!$B$6:$B$405,E197,'Istoric_Nativ'!$C$6:$C$405,F197,'Istoric_Nativ'!$F$6:$F$405,G197,'Istoric_Nativ'!$D$6:$D$405,"&lt;"&amp;J197,'Istoric_Nativ'!$P$6:$P$405,1,'Istoric_Nativ'!$D$6:$D$405,"&gt;="&amp;L197)))/M197)</x:f>
      </x:c>
      <x:c r="P197" s="2" t="n">
        <x:f>'Config_v6'!$B$9</x:f>
        <x:v>3</x:v>
      </x:c>
      <x:c r="Q197" s="2" t="n">
        <x:f>IF(OR(B197="",F197=""),0,IFERROR(MATCH(E197&amp;"|"&amp;F197,SourceTable[Source_Key],0),0))</x:f>
        <x:v>0</x:v>
      </x:c>
      <x:c r="R197" s="2" t="str">
        <x:f>IF(B197="","",IF(F197="","UNUSED",IF(Q197=0,"NOT CHECKED",IF(COUNTIF(SourceTable[Source_Key],E197&amp;"|"&amp;F197)&lt;&gt;1,"SOURCE CONFLICT",IF(NOT(OR(INDEX(SourceTable[Status],MAX(1,Q197))="IMPORTED",INDEX(SourceTable[Status],MAX(1,Q197))="PARTIAL",INDEX(SourceTable[Status],MAX(1,Q197))="SOURCE CONFLICT")),"ACCESS BLOCKED",IF(OR(INDEX(SourceTable[Coverage],Q197)&lt;&gt;"FULL SEASON EXPORT",INDEX(SourceTable[URL],Q197)="",INDEX(SourceTable[SHA256],Q197)=""),"EVIDENCE INCOMPLETE",IF(AND('Input_Meci'!H21="LIVE",INDEX(SourceTable[Retrieved_UTC],Q197)&gt;'Input_Meci'!G21),"POST CUTOFF","CLOSED")))))))</x:f>
      </x:c>
      <x:c r="S197" s="2" t="n">
        <x:f>IF(OR(B197="",F197=""),0,COUNTIFS('Istoric_Nativ'!$B$6:$B$405,E197,'Istoric_Nativ'!$C$6:$C$405,F197,'Istoric_Nativ'!$E$6:$E$405,G197,'Istoric_Nativ'!$D$6:$D$405,"&lt;"&amp;J197,'Istoric_Nativ'!$O$6:$O$405,"INVALID")+COUNTIFS('Istoric_Nativ'!$B$6:$B$405,E197,'Istoric_Nativ'!$C$6:$C$405,F197,'Istoric_Nativ'!$E$6:$E$405,G197,'Istoric_Nativ'!$O$6:$O$405,"INVALID",'Istoric_Nativ'!$D$6:$D$405,"*")+COUNTIFS('Istoric_Nativ'!$B$6:$B$405,E197,'Istoric_Nativ'!$C$6:$C$405,F197,'Istoric_Nativ'!$E$6:$E$405,G197,'Istoric_Nativ'!$D$6:$D$405,"&lt;"&amp;J197,'Istoric_Nativ'!$O$6:$O$405,"SOURCE CONFLICT")+COUNTIFS('Istoric_Nativ'!$B$6:$B$405,E197,'Istoric_Nativ'!$C$6:$C$405,F197,'Istoric_Nativ'!$F$6:$F$405,G197,'Istoric_Nativ'!$D$6:$D$405,"&lt;"&amp;J197,'Istoric_Nativ'!$O$6:$O$405,"INVALID")+COUNTIFS('Istoric_Nativ'!$B$6:$B$405,E197,'Istoric_Nativ'!$C$6:$C$405,F197,'Istoric_Nativ'!$F$6:$F$405,G197,'Istoric_Nativ'!$O$6:$O$405,"INVALID",'Istoric_Nativ'!$D$6:$D$405,"*")+COUNTIFS('Istoric_Nativ'!$B$6:$B$405,E197,'Istoric_Nativ'!$C$6:$C$405,F197,'Istoric_Nativ'!$F$6:$F$405,G197,'Istoric_Nativ'!$D$6:$D$405,"&lt;"&amp;J197,'Istoric_Nativ'!$O$6:$O$405,"SOURCE CONFLICT"))</x:f>
        <x:v>0</x:v>
      </x:c>
      <x:c r="T197" s="2" t="str">
        <x:f>IF(B197="","",IF(R197&lt;&gt;"CLOSED",R197,IF(S197&gt;0,"NATIVE INPUT ISSUE",IF(M197=0,"NO HISTORY",IF(M197&lt;P197,"SMALL SAMPLE","DERIVED")))))</x:f>
      </x:c>
      <x:c r="U197" s="2" t="str">
        <x:f>IF(B197="","","NativeTable; "&amp;E197&amp;"; "&amp;F197&amp;"; "&amp;G197&amp;"; "&amp;H197&amp;"; before "&amp;TEXT(J197,"yyyy-mm-dd")&amp;IF(I197="RECENT","; from "&amp;TEXT(L197,"yyyy-mm-dd"),""))</x:f>
      </x:c>
    </x:row>
    <x:row r="198" ht="21" customHeight="1">
      <x:c r="A198" s="2" t="n">
        <x:v>17</x:v>
      </x:c>
      <x:c r="B198" s="2" t="str">
        <x:f>IF('Input_Meci'!A22="","",'Input_Meci'!A22)</x:f>
      </x:c>
      <x:c r="C198" s="2" t="str">
        <x:v>H</x:v>
      </x:c>
      <x:c r="D198" s="2" t="str">
        <x:v>CURRENT</x:v>
      </x:c>
      <x:c r="E198" s="2" t="str">
        <x:f>IF(B198="","",'Input_Meci'!B22)</x:f>
      </x:c>
      <x:c r="F198" s="2" t="str">
        <x:f>IF(B198="","",IF('Input_Meci'!C22="","",'Input_Meci'!C22))</x:f>
      </x:c>
      <x:c r="G198" s="2" t="str">
        <x:f>IF(B198="","",'Input_Meci'!D22)</x:f>
      </x:c>
      <x:c r="H198" s="2" t="str">
        <x:v>ANY</x:v>
      </x:c>
      <x:c r="I198" s="2" t="str">
        <x:v>SEASON</x:v>
      </x:c>
      <x:c r="J198" s="9" t="n">
        <x:f>IF(AND(B198&lt;&gt;"",ISNUMBER('Input_Meci'!G22)),INT('Input_Meci'!G22),0)</x:f>
        <x:v>0</x:v>
      </x:c>
      <x:c r="K198" s="2" t="n">
        <x:f>IF(OR(B198="",F198=""),0,IF(H198="HOME",COUNTIFS('Istoric_Nativ'!$B$6:$B$405,E198,'Istoric_Nativ'!$C$6:$C$405,F198,'Istoric_Nativ'!$E$6:$E$405,G198,'Istoric_Nativ'!$D$6:$D$405,"&lt;"&amp;J198,'Istoric_Nativ'!$P$6:$P$405,1),IF(H198="AWAY",COUNTIFS('Istoric_Nativ'!$B$6:$B$405,E198,'Istoric_Nativ'!$C$6:$C$405,F198,'Istoric_Nativ'!$F$6:$F$405,G198,'Istoric_Nativ'!$D$6:$D$405,"&lt;"&amp;J198,'Istoric_Nativ'!$P$6:$P$405,1),COUNTIFS('Istoric_Nativ'!$B$6:$B$405,E198,'Istoric_Nativ'!$C$6:$C$405,F198,'Istoric_Nativ'!$E$6:$E$405,G198,'Istoric_Nativ'!$D$6:$D$405,"&lt;"&amp;J198,'Istoric_Nativ'!$P$6:$P$405,1)+COUNTIFS('Istoric_Nativ'!$B$6:$B$405,E198,'Istoric_Nativ'!$C$6:$C$405,F198,'Istoric_Nativ'!$F$6:$F$405,G198,'Istoric_Nativ'!$D$6:$D$405,"&lt;"&amp;J198,'Istoric_Nativ'!$P$6:$P$405,1))))</x:f>
        <x:v>0</x:v>
      </x:c>
      <x:c r="L198" s="17" t="n">
        <x:f>IF(AND(B198&lt;&gt;"",I198="RECENT",K198&gt;0),LARGE(_xlfn._xlws.FILTER('Istoric_Nativ'!$D$6:$D$405,('Istoric_Nativ'!$B$6:$B$405=E198)*('Istoric_Nativ'!$C$6:$C$405=F198)*('Istoric_Nativ'!$P$6:$P$405=1)*('Istoric_Nativ'!$D$6:$D$405&lt;J198)*((('Istoric_Nativ'!$E$6:$E$405=G198)+('Istoric_Nativ'!$F$6:$F$405=G198))&gt;0)),MIN('Config_v6'!$B$54,K198)),0)</x:f>
        <x:v>0</x:v>
      </x:c>
      <x:c r="M198" s="2" t="n">
        <x:f>IF(OR(B198="",F198=""),0,IF(H198="HOME",COUNTIFS('Istoric_Nativ'!$B$6:$B$405,E198,'Istoric_Nativ'!$C$6:$C$405,F198,'Istoric_Nativ'!$E$6:$E$405,G198,'Istoric_Nativ'!$D$6:$D$405,"&lt;"&amp;J198,'Istoric_Nativ'!$P$6:$P$405,1,'Istoric_Nativ'!$D$6:$D$405,"&gt;="&amp;L198),IF(H198="AWAY",COUNTIFS('Istoric_Nativ'!$B$6:$B$405,E198,'Istoric_Nativ'!$C$6:$C$405,F198,'Istoric_Nativ'!$F$6:$F$405,G198,'Istoric_Nativ'!$D$6:$D$405,"&lt;"&amp;J198,'Istoric_Nativ'!$P$6:$P$405,1,'Istoric_Nativ'!$D$6:$D$405,"&gt;="&amp;L198),COUNTIFS('Istoric_Nativ'!$B$6:$B$405,E198,'Istoric_Nativ'!$C$6:$C$405,F198,'Istoric_Nativ'!$E$6:$E$405,G198,'Istoric_Nativ'!$D$6:$D$405,"&lt;"&amp;J198,'Istoric_Nativ'!$P$6:$P$405,1,'Istoric_Nativ'!$D$6:$D$405,"&gt;="&amp;L198)+COUNTIFS('Istoric_Nativ'!$B$6:$B$405,E198,'Istoric_Nativ'!$C$6:$C$405,F198,'Istoric_Nativ'!$F$6:$F$405,G198,'Istoric_Nativ'!$D$6:$D$405,"&lt;"&amp;J198,'Istoric_Nativ'!$P$6:$P$405,1,'Istoric_Nativ'!$D$6:$D$405,"&gt;="&amp;L198))))</x:f>
        <x:v>0</x:v>
      </x:c>
      <x:c r="N198" s="11" t="str">
        <x:f>IF(M198=0,"",IF(H198="HOME",SUMIFS('Istoric_Nativ'!$G$6:$G$405,'Istoric_Nativ'!$B$6:$B$405,E198,'Istoric_Nativ'!$C$6:$C$405,F198,'Istoric_Nativ'!$E$6:$E$405,G198,'Istoric_Nativ'!$D$6:$D$405,"&lt;"&amp;J198,'Istoric_Nativ'!$P$6:$P$405,1,'Istoric_Nativ'!$D$6:$D$405,"&gt;="&amp;L198),IF(H198="AWAY",SUMIFS('Istoric_Nativ'!$H$6:$H$405,'Istoric_Nativ'!$B$6:$B$405,E198,'Istoric_Nativ'!$C$6:$C$405,F198,'Istoric_Nativ'!$F$6:$F$405,G198,'Istoric_Nativ'!$D$6:$D$405,"&lt;"&amp;J198,'Istoric_Nativ'!$P$6:$P$405,1,'Istoric_Nativ'!$D$6:$D$405,"&gt;="&amp;L198),SUMIFS('Istoric_Nativ'!$G$6:$G$405,'Istoric_Nativ'!$B$6:$B$405,E198,'Istoric_Nativ'!$C$6:$C$405,F198,'Istoric_Nativ'!$E$6:$E$405,G198,'Istoric_Nativ'!$D$6:$D$405,"&lt;"&amp;J198,'Istoric_Nativ'!$P$6:$P$405,1,'Istoric_Nativ'!$D$6:$D$405,"&gt;="&amp;L198)+SUMIFS('Istoric_Nativ'!$H$6:$H$405,'Istoric_Nativ'!$B$6:$B$405,E198,'Istoric_Nativ'!$C$6:$C$405,F198,'Istoric_Nativ'!$F$6:$F$405,G198,'Istoric_Nativ'!$D$6:$D$405,"&lt;"&amp;J198,'Istoric_Nativ'!$P$6:$P$405,1,'Istoric_Nativ'!$D$6:$D$405,"&gt;="&amp;L198)))/M198)</x:f>
      </x:c>
      <x:c r="O198" s="11" t="str">
        <x:f>IF(M198=0,"",IF(H198="HOME",SUMIFS('Istoric_Nativ'!$H$6:$H$405,'Istoric_Nativ'!$B$6:$B$405,E198,'Istoric_Nativ'!$C$6:$C$405,F198,'Istoric_Nativ'!$E$6:$E$405,G198,'Istoric_Nativ'!$D$6:$D$405,"&lt;"&amp;J198,'Istoric_Nativ'!$P$6:$P$405,1,'Istoric_Nativ'!$D$6:$D$405,"&gt;="&amp;L198),IF(H198="AWAY",SUMIFS('Istoric_Nativ'!$G$6:$G$405,'Istoric_Nativ'!$B$6:$B$405,E198,'Istoric_Nativ'!$C$6:$C$405,F198,'Istoric_Nativ'!$F$6:$F$405,G198,'Istoric_Nativ'!$D$6:$D$405,"&lt;"&amp;J198,'Istoric_Nativ'!$P$6:$P$405,1,'Istoric_Nativ'!$D$6:$D$405,"&gt;="&amp;L198),SUMIFS('Istoric_Nativ'!$H$6:$H$405,'Istoric_Nativ'!$B$6:$B$405,E198,'Istoric_Nativ'!$C$6:$C$405,F198,'Istoric_Nativ'!$E$6:$E$405,G198,'Istoric_Nativ'!$D$6:$D$405,"&lt;"&amp;J198,'Istoric_Nativ'!$P$6:$P$405,1,'Istoric_Nativ'!$D$6:$D$405,"&gt;="&amp;L198)+SUMIFS('Istoric_Nativ'!$G$6:$G$405,'Istoric_Nativ'!$B$6:$B$405,E198,'Istoric_Nativ'!$C$6:$C$405,F198,'Istoric_Nativ'!$F$6:$F$405,G198,'Istoric_Nativ'!$D$6:$D$405,"&lt;"&amp;J198,'Istoric_Nativ'!$P$6:$P$405,1,'Istoric_Nativ'!$D$6:$D$405,"&gt;="&amp;L198)))/M198)</x:f>
      </x:c>
      <x:c r="P198" s="2" t="n">
        <x:f>'Config_v6'!$B$7</x:f>
        <x:v>10</x:v>
      </x:c>
      <x:c r="Q198" s="2" t="n">
        <x:f>IF(OR(B198="",F198=""),0,IFERROR(MATCH(E198&amp;"|"&amp;F198,SourceTable[Source_Key],0),0))</x:f>
        <x:v>0</x:v>
      </x:c>
      <x:c r="R198" s="2" t="str">
        <x:f>IF(B198="","",IF(F198="","UNUSED",IF(Q198=0,"NOT CHECKED",IF(COUNTIF(SourceTable[Source_Key],E198&amp;"|"&amp;F198)&lt;&gt;1,"SOURCE CONFLICT",IF(NOT(OR(INDEX(SourceTable[Status],MAX(1,Q198))="IMPORTED",INDEX(SourceTable[Status],MAX(1,Q198))="PARTIAL",INDEX(SourceTable[Status],MAX(1,Q198))="SOURCE CONFLICT")),"ACCESS BLOCKED",IF(OR(INDEX(SourceTable[Coverage],Q198)&lt;&gt;"FULL SEASON EXPORT",INDEX(SourceTable[URL],Q198)="",INDEX(SourceTable[SHA256],Q198)=""),"EVIDENCE INCOMPLETE",IF(AND('Input_Meci'!H22="LIVE",INDEX(SourceTable[Retrieved_UTC],Q198)&gt;'Input_Meci'!G22),"POST CUTOFF","CLOSED")))))))</x:f>
      </x:c>
      <x:c r="S198" s="2" t="n">
        <x:f>IF(OR(B198="",F198=""),0,COUNTIFS('Istoric_Nativ'!$B$6:$B$405,E198,'Istoric_Nativ'!$C$6:$C$405,F198,'Istoric_Nativ'!$E$6:$E$405,G198,'Istoric_Nativ'!$D$6:$D$405,"&lt;"&amp;J198,'Istoric_Nativ'!$O$6:$O$405,"INVALID")+COUNTIFS('Istoric_Nativ'!$B$6:$B$405,E198,'Istoric_Nativ'!$C$6:$C$405,F198,'Istoric_Nativ'!$E$6:$E$405,G198,'Istoric_Nativ'!$O$6:$O$405,"INVALID",'Istoric_Nativ'!$D$6:$D$405,"*")+COUNTIFS('Istoric_Nativ'!$B$6:$B$405,E198,'Istoric_Nativ'!$C$6:$C$405,F198,'Istoric_Nativ'!$E$6:$E$405,G198,'Istoric_Nativ'!$D$6:$D$405,"&lt;"&amp;J198,'Istoric_Nativ'!$O$6:$O$405,"SOURCE CONFLICT")+COUNTIFS('Istoric_Nativ'!$B$6:$B$405,E198,'Istoric_Nativ'!$C$6:$C$405,F198,'Istoric_Nativ'!$F$6:$F$405,G198,'Istoric_Nativ'!$D$6:$D$405,"&lt;"&amp;J198,'Istoric_Nativ'!$O$6:$O$405,"INVALID")+COUNTIFS('Istoric_Nativ'!$B$6:$B$405,E198,'Istoric_Nativ'!$C$6:$C$405,F198,'Istoric_Nativ'!$F$6:$F$405,G198,'Istoric_Nativ'!$O$6:$O$405,"INVALID",'Istoric_Nativ'!$D$6:$D$405,"*")+COUNTIFS('Istoric_Nativ'!$B$6:$B$405,E198,'Istoric_Nativ'!$C$6:$C$405,F198,'Istoric_Nativ'!$F$6:$F$405,G198,'Istoric_Nativ'!$D$6:$D$405,"&lt;"&amp;J198,'Istoric_Nativ'!$O$6:$O$405,"SOURCE CONFLICT"))</x:f>
        <x:v>0</x:v>
      </x:c>
      <x:c r="T198" s="2" t="str">
        <x:f>IF(B198="","",IF(R198&lt;&gt;"CLOSED",R198,IF(S198&gt;0,"NATIVE INPUT ISSUE",IF(M198=0,"NO HISTORY",IF(M198&lt;P198,"SMALL SAMPLE","DERIVED")))))</x:f>
      </x:c>
      <x:c r="U198" s="2" t="str">
        <x:f>IF(B198="","","NativeTable; "&amp;E198&amp;"; "&amp;F198&amp;"; "&amp;G198&amp;"; "&amp;H198&amp;"; before "&amp;TEXT(J198,"yyyy-mm-dd")&amp;IF(I198="RECENT","; from "&amp;TEXT(L198,"yyyy-mm-dd"),""))</x:f>
      </x:c>
    </x:row>
    <x:row r="199" ht="21" customHeight="1">
      <x:c r="A199" s="2" t="n">
        <x:v>17</x:v>
      </x:c>
      <x:c r="B199" s="2" t="str">
        <x:f>IF('Input_Meci'!A22="","",'Input_Meci'!A22)</x:f>
      </x:c>
      <x:c r="C199" s="2" t="str">
        <x:v>H</x:v>
      </x:c>
      <x:c r="D199" s="2" t="str">
        <x:v>CURRENT</x:v>
      </x:c>
      <x:c r="E199" s="2" t="str">
        <x:f>IF(B199="","",'Input_Meci'!B22)</x:f>
      </x:c>
      <x:c r="F199" s="2" t="str">
        <x:f>IF(B199="","",IF('Input_Meci'!C22="","",'Input_Meci'!C22))</x:f>
      </x:c>
      <x:c r="G199" s="2" t="str">
        <x:f>IF(B199="","",'Input_Meci'!D22)</x:f>
      </x:c>
      <x:c r="H199" s="2" t="str">
        <x:v>HOME</x:v>
      </x:c>
      <x:c r="I199" s="2" t="str">
        <x:v>HA</x:v>
      </x:c>
      <x:c r="J199" s="9" t="n">
        <x:f>IF(AND(B199&lt;&gt;"",ISNUMBER('Input_Meci'!G22)),INT('Input_Meci'!G22),0)</x:f>
        <x:v>0</x:v>
      </x:c>
      <x:c r="K199" s="2" t="n">
        <x:f>IF(OR(B199="",F199=""),0,IF(H199="HOME",COUNTIFS('Istoric_Nativ'!$B$6:$B$405,E199,'Istoric_Nativ'!$C$6:$C$405,F199,'Istoric_Nativ'!$E$6:$E$405,G199,'Istoric_Nativ'!$D$6:$D$405,"&lt;"&amp;J199,'Istoric_Nativ'!$P$6:$P$405,1),IF(H199="AWAY",COUNTIFS('Istoric_Nativ'!$B$6:$B$405,E199,'Istoric_Nativ'!$C$6:$C$405,F199,'Istoric_Nativ'!$F$6:$F$405,G199,'Istoric_Nativ'!$D$6:$D$405,"&lt;"&amp;J199,'Istoric_Nativ'!$P$6:$P$405,1),COUNTIFS('Istoric_Nativ'!$B$6:$B$405,E199,'Istoric_Nativ'!$C$6:$C$405,F199,'Istoric_Nativ'!$E$6:$E$405,G199,'Istoric_Nativ'!$D$6:$D$405,"&lt;"&amp;J199,'Istoric_Nativ'!$P$6:$P$405,1)+COUNTIFS('Istoric_Nativ'!$B$6:$B$405,E199,'Istoric_Nativ'!$C$6:$C$405,F199,'Istoric_Nativ'!$F$6:$F$405,G199,'Istoric_Nativ'!$D$6:$D$405,"&lt;"&amp;J199,'Istoric_Nativ'!$P$6:$P$405,1))))</x:f>
        <x:v>0</x:v>
      </x:c>
      <x:c r="L199" s="17" t="n">
        <x:f>IF(AND(B199&lt;&gt;"",I199="RECENT",K199&gt;0),LARGE(_xlfn._xlws.FILTER('Istoric_Nativ'!$D$6:$D$405,('Istoric_Nativ'!$B$6:$B$405=E199)*('Istoric_Nativ'!$C$6:$C$405=F199)*('Istoric_Nativ'!$P$6:$P$405=1)*('Istoric_Nativ'!$D$6:$D$405&lt;J199)*((('Istoric_Nativ'!$E$6:$E$405=G199)+('Istoric_Nativ'!$F$6:$F$405=G199))&gt;0)),MIN('Config_v6'!$B$54,K199)),0)</x:f>
        <x:v>0</x:v>
      </x:c>
      <x:c r="M199" s="2" t="n">
        <x:f>IF(OR(B199="",F199=""),0,IF(H199="HOME",COUNTIFS('Istoric_Nativ'!$B$6:$B$405,E199,'Istoric_Nativ'!$C$6:$C$405,F199,'Istoric_Nativ'!$E$6:$E$405,G199,'Istoric_Nativ'!$D$6:$D$405,"&lt;"&amp;J199,'Istoric_Nativ'!$P$6:$P$405,1,'Istoric_Nativ'!$D$6:$D$405,"&gt;="&amp;L199),IF(H199="AWAY",COUNTIFS('Istoric_Nativ'!$B$6:$B$405,E199,'Istoric_Nativ'!$C$6:$C$405,F199,'Istoric_Nativ'!$F$6:$F$405,G199,'Istoric_Nativ'!$D$6:$D$405,"&lt;"&amp;J199,'Istoric_Nativ'!$P$6:$P$405,1,'Istoric_Nativ'!$D$6:$D$405,"&gt;="&amp;L199),COUNTIFS('Istoric_Nativ'!$B$6:$B$405,E199,'Istoric_Nativ'!$C$6:$C$405,F199,'Istoric_Nativ'!$E$6:$E$405,G199,'Istoric_Nativ'!$D$6:$D$405,"&lt;"&amp;J199,'Istoric_Nativ'!$P$6:$P$405,1,'Istoric_Nativ'!$D$6:$D$405,"&gt;="&amp;L199)+COUNTIFS('Istoric_Nativ'!$B$6:$B$405,E199,'Istoric_Nativ'!$C$6:$C$405,F199,'Istoric_Nativ'!$F$6:$F$405,G199,'Istoric_Nativ'!$D$6:$D$405,"&lt;"&amp;J199,'Istoric_Nativ'!$P$6:$P$405,1,'Istoric_Nativ'!$D$6:$D$405,"&gt;="&amp;L199))))</x:f>
        <x:v>0</x:v>
      </x:c>
      <x:c r="N199" s="11" t="str">
        <x:f>IF(M199=0,"",IF(H199="HOME",SUMIFS('Istoric_Nativ'!$G$6:$G$405,'Istoric_Nativ'!$B$6:$B$405,E199,'Istoric_Nativ'!$C$6:$C$405,F199,'Istoric_Nativ'!$E$6:$E$405,G199,'Istoric_Nativ'!$D$6:$D$405,"&lt;"&amp;J199,'Istoric_Nativ'!$P$6:$P$405,1,'Istoric_Nativ'!$D$6:$D$405,"&gt;="&amp;L199),IF(H199="AWAY",SUMIFS('Istoric_Nativ'!$H$6:$H$405,'Istoric_Nativ'!$B$6:$B$405,E199,'Istoric_Nativ'!$C$6:$C$405,F199,'Istoric_Nativ'!$F$6:$F$405,G199,'Istoric_Nativ'!$D$6:$D$405,"&lt;"&amp;J199,'Istoric_Nativ'!$P$6:$P$405,1,'Istoric_Nativ'!$D$6:$D$405,"&gt;="&amp;L199),SUMIFS('Istoric_Nativ'!$G$6:$G$405,'Istoric_Nativ'!$B$6:$B$405,E199,'Istoric_Nativ'!$C$6:$C$405,F199,'Istoric_Nativ'!$E$6:$E$405,G199,'Istoric_Nativ'!$D$6:$D$405,"&lt;"&amp;J199,'Istoric_Nativ'!$P$6:$P$405,1,'Istoric_Nativ'!$D$6:$D$405,"&gt;="&amp;L199)+SUMIFS('Istoric_Nativ'!$H$6:$H$405,'Istoric_Nativ'!$B$6:$B$405,E199,'Istoric_Nativ'!$C$6:$C$405,F199,'Istoric_Nativ'!$F$6:$F$405,G199,'Istoric_Nativ'!$D$6:$D$405,"&lt;"&amp;J199,'Istoric_Nativ'!$P$6:$P$405,1,'Istoric_Nativ'!$D$6:$D$405,"&gt;="&amp;L199)))/M199)</x:f>
      </x:c>
      <x:c r="O199" s="11" t="str">
        <x:f>IF(M199=0,"",IF(H199="HOME",SUMIFS('Istoric_Nativ'!$H$6:$H$405,'Istoric_Nativ'!$B$6:$B$405,E199,'Istoric_Nativ'!$C$6:$C$405,F199,'Istoric_Nativ'!$E$6:$E$405,G199,'Istoric_Nativ'!$D$6:$D$405,"&lt;"&amp;J199,'Istoric_Nativ'!$P$6:$P$405,1,'Istoric_Nativ'!$D$6:$D$405,"&gt;="&amp;L199),IF(H199="AWAY",SUMIFS('Istoric_Nativ'!$G$6:$G$405,'Istoric_Nativ'!$B$6:$B$405,E199,'Istoric_Nativ'!$C$6:$C$405,F199,'Istoric_Nativ'!$F$6:$F$405,G199,'Istoric_Nativ'!$D$6:$D$405,"&lt;"&amp;J199,'Istoric_Nativ'!$P$6:$P$405,1,'Istoric_Nativ'!$D$6:$D$405,"&gt;="&amp;L199),SUMIFS('Istoric_Nativ'!$H$6:$H$405,'Istoric_Nativ'!$B$6:$B$405,E199,'Istoric_Nativ'!$C$6:$C$405,F199,'Istoric_Nativ'!$E$6:$E$405,G199,'Istoric_Nativ'!$D$6:$D$405,"&lt;"&amp;J199,'Istoric_Nativ'!$P$6:$P$405,1,'Istoric_Nativ'!$D$6:$D$405,"&gt;="&amp;L199)+SUMIFS('Istoric_Nativ'!$G$6:$G$405,'Istoric_Nativ'!$B$6:$B$405,E199,'Istoric_Nativ'!$C$6:$C$405,F199,'Istoric_Nativ'!$F$6:$F$405,G199,'Istoric_Nativ'!$D$6:$D$405,"&lt;"&amp;J199,'Istoric_Nativ'!$P$6:$P$405,1,'Istoric_Nativ'!$D$6:$D$405,"&gt;="&amp;L199)))/M199)</x:f>
      </x:c>
      <x:c r="P199" s="2" t="n">
        <x:f>'Config_v6'!$B$8</x:f>
        <x:v>5</x:v>
      </x:c>
      <x:c r="Q199" s="2" t="n">
        <x:f>IF(OR(B199="",F199=""),0,IFERROR(MATCH(E199&amp;"|"&amp;F199,SourceTable[Source_Key],0),0))</x:f>
        <x:v>0</x:v>
      </x:c>
      <x:c r="R199" s="2" t="str">
        <x:f>IF(B199="","",IF(F199="","UNUSED",IF(Q199=0,"NOT CHECKED",IF(COUNTIF(SourceTable[Source_Key],E199&amp;"|"&amp;F199)&lt;&gt;1,"SOURCE CONFLICT",IF(NOT(OR(INDEX(SourceTable[Status],MAX(1,Q199))="IMPORTED",INDEX(SourceTable[Status],MAX(1,Q199))="PARTIAL",INDEX(SourceTable[Status],MAX(1,Q199))="SOURCE CONFLICT")),"ACCESS BLOCKED",IF(OR(INDEX(SourceTable[Coverage],Q199)&lt;&gt;"FULL SEASON EXPORT",INDEX(SourceTable[URL],Q199)="",INDEX(SourceTable[SHA256],Q199)=""),"EVIDENCE INCOMPLETE",IF(AND('Input_Meci'!H22="LIVE",INDEX(SourceTable[Retrieved_UTC],Q199)&gt;'Input_Meci'!G22),"POST CUTOFF","CLOSED")))))))</x:f>
      </x:c>
      <x:c r="S199" s="2" t="n">
        <x:f>IF(OR(B199="",F199=""),0,COUNTIFS('Istoric_Nativ'!$B$6:$B$405,E199,'Istoric_Nativ'!$C$6:$C$405,F199,'Istoric_Nativ'!$E$6:$E$405,G199,'Istoric_Nativ'!$D$6:$D$405,"&lt;"&amp;J199,'Istoric_Nativ'!$O$6:$O$405,"INVALID")+COUNTIFS('Istoric_Nativ'!$B$6:$B$405,E199,'Istoric_Nativ'!$C$6:$C$405,F199,'Istoric_Nativ'!$E$6:$E$405,G199,'Istoric_Nativ'!$O$6:$O$405,"INVALID",'Istoric_Nativ'!$D$6:$D$405,"*")+COUNTIFS('Istoric_Nativ'!$B$6:$B$405,E199,'Istoric_Nativ'!$C$6:$C$405,F199,'Istoric_Nativ'!$E$6:$E$405,G199,'Istoric_Nativ'!$D$6:$D$405,"&lt;"&amp;J199,'Istoric_Nativ'!$O$6:$O$405,"SOURCE CONFLICT")+COUNTIFS('Istoric_Nativ'!$B$6:$B$405,E199,'Istoric_Nativ'!$C$6:$C$405,F199,'Istoric_Nativ'!$F$6:$F$405,G199,'Istoric_Nativ'!$D$6:$D$405,"&lt;"&amp;J199,'Istoric_Nativ'!$O$6:$O$405,"INVALID")+COUNTIFS('Istoric_Nativ'!$B$6:$B$405,E199,'Istoric_Nativ'!$C$6:$C$405,F199,'Istoric_Nativ'!$F$6:$F$405,G199,'Istoric_Nativ'!$O$6:$O$405,"INVALID",'Istoric_Nativ'!$D$6:$D$405,"*")+COUNTIFS('Istoric_Nativ'!$B$6:$B$405,E199,'Istoric_Nativ'!$C$6:$C$405,F199,'Istoric_Nativ'!$F$6:$F$405,G199,'Istoric_Nativ'!$D$6:$D$405,"&lt;"&amp;J199,'Istoric_Nativ'!$O$6:$O$405,"SOURCE CONFLICT"))</x:f>
        <x:v>0</x:v>
      </x:c>
      <x:c r="T199" s="2" t="str">
        <x:f>IF(B199="","",IF(R199&lt;&gt;"CLOSED",R199,IF(S199&gt;0,"NATIVE INPUT ISSUE",IF(M199=0,"NO HISTORY",IF(M199&lt;P199,"SMALL SAMPLE","DERIVED")))))</x:f>
      </x:c>
      <x:c r="U199" s="2" t="str">
        <x:f>IF(B199="","","NativeTable; "&amp;E199&amp;"; "&amp;F199&amp;"; "&amp;G199&amp;"; "&amp;H199&amp;"; before "&amp;TEXT(J199,"yyyy-mm-dd")&amp;IF(I199="RECENT","; from "&amp;TEXT(L199,"yyyy-mm-dd"),""))</x:f>
      </x:c>
    </x:row>
    <x:row r="200" ht="21" customHeight="1">
      <x:c r="A200" s="2" t="n">
        <x:v>17</x:v>
      </x:c>
      <x:c r="B200" s="2" t="str">
        <x:f>IF('Input_Meci'!A22="","",'Input_Meci'!A22)</x:f>
      </x:c>
      <x:c r="C200" s="2" t="str">
        <x:v>H</x:v>
      </x:c>
      <x:c r="D200" s="2" t="str">
        <x:v>CURRENT</x:v>
      </x:c>
      <x:c r="E200" s="2" t="str">
        <x:f>IF(B200="","",'Input_Meci'!B22)</x:f>
      </x:c>
      <x:c r="F200" s="2" t="str">
        <x:f>IF(B200="","",IF('Input_Meci'!C22="","",'Input_Meci'!C22))</x:f>
      </x:c>
      <x:c r="G200" s="2" t="str">
        <x:f>IF(B200="","",'Input_Meci'!D22)</x:f>
      </x:c>
      <x:c r="H200" s="2" t="str">
        <x:v>ANY</x:v>
      </x:c>
      <x:c r="I200" s="2" t="str">
        <x:v>RECENT</x:v>
      </x:c>
      <x:c r="J200" s="9" t="n">
        <x:f>IF(AND(B200&lt;&gt;"",ISNUMBER('Input_Meci'!G22)),INT('Input_Meci'!G22),0)</x:f>
        <x:v>0</x:v>
      </x:c>
      <x:c r="K200" s="2" t="n">
        <x:f>IF(OR(B200="",F200=""),0,IF(H200="HOME",COUNTIFS('Istoric_Nativ'!$B$6:$B$405,E200,'Istoric_Nativ'!$C$6:$C$405,F200,'Istoric_Nativ'!$E$6:$E$405,G200,'Istoric_Nativ'!$D$6:$D$405,"&lt;"&amp;J200,'Istoric_Nativ'!$P$6:$P$405,1),IF(H200="AWAY",COUNTIFS('Istoric_Nativ'!$B$6:$B$405,E200,'Istoric_Nativ'!$C$6:$C$405,F200,'Istoric_Nativ'!$F$6:$F$405,G200,'Istoric_Nativ'!$D$6:$D$405,"&lt;"&amp;J200,'Istoric_Nativ'!$P$6:$P$405,1),COUNTIFS('Istoric_Nativ'!$B$6:$B$405,E200,'Istoric_Nativ'!$C$6:$C$405,F200,'Istoric_Nativ'!$E$6:$E$405,G200,'Istoric_Nativ'!$D$6:$D$405,"&lt;"&amp;J200,'Istoric_Nativ'!$P$6:$P$405,1)+COUNTIFS('Istoric_Nativ'!$B$6:$B$405,E200,'Istoric_Nativ'!$C$6:$C$405,F200,'Istoric_Nativ'!$F$6:$F$405,G200,'Istoric_Nativ'!$D$6:$D$405,"&lt;"&amp;J200,'Istoric_Nativ'!$P$6:$P$405,1))))</x:f>
        <x:v>0</x:v>
      </x:c>
      <x:c r="L200" s="17" t="n">
        <x:f>IF(AND(B200&lt;&gt;"",I200="RECENT",K200&gt;0),LARGE(_xlfn._xlws.FILTER('Istoric_Nativ'!$D$6:$D$405,('Istoric_Nativ'!$B$6:$B$405=E200)*('Istoric_Nativ'!$C$6:$C$405=F200)*('Istoric_Nativ'!$P$6:$P$405=1)*('Istoric_Nativ'!$D$6:$D$405&lt;J200)*((('Istoric_Nativ'!$E$6:$E$405=G200)+('Istoric_Nativ'!$F$6:$F$405=G200))&gt;0)),MIN('Config_v6'!$B$54,K200)),0)</x:f>
        <x:v>0</x:v>
      </x:c>
      <x:c r="M200" s="2" t="n">
        <x:f>IF(OR(B200="",F200=""),0,IF(H200="HOME",COUNTIFS('Istoric_Nativ'!$B$6:$B$405,E200,'Istoric_Nativ'!$C$6:$C$405,F200,'Istoric_Nativ'!$E$6:$E$405,G200,'Istoric_Nativ'!$D$6:$D$405,"&lt;"&amp;J200,'Istoric_Nativ'!$P$6:$P$405,1,'Istoric_Nativ'!$D$6:$D$405,"&gt;="&amp;L200),IF(H200="AWAY",COUNTIFS('Istoric_Nativ'!$B$6:$B$405,E200,'Istoric_Nativ'!$C$6:$C$405,F200,'Istoric_Nativ'!$F$6:$F$405,G200,'Istoric_Nativ'!$D$6:$D$405,"&lt;"&amp;J200,'Istoric_Nativ'!$P$6:$P$405,1,'Istoric_Nativ'!$D$6:$D$405,"&gt;="&amp;L200),COUNTIFS('Istoric_Nativ'!$B$6:$B$405,E200,'Istoric_Nativ'!$C$6:$C$405,F200,'Istoric_Nativ'!$E$6:$E$405,G200,'Istoric_Nativ'!$D$6:$D$405,"&lt;"&amp;J200,'Istoric_Nativ'!$P$6:$P$405,1,'Istoric_Nativ'!$D$6:$D$405,"&gt;="&amp;L200)+COUNTIFS('Istoric_Nativ'!$B$6:$B$405,E200,'Istoric_Nativ'!$C$6:$C$405,F200,'Istoric_Nativ'!$F$6:$F$405,G200,'Istoric_Nativ'!$D$6:$D$405,"&lt;"&amp;J200,'Istoric_Nativ'!$P$6:$P$405,1,'Istoric_Nativ'!$D$6:$D$405,"&gt;="&amp;L200))))</x:f>
        <x:v>0</x:v>
      </x:c>
      <x:c r="N200" s="11" t="str">
        <x:f>IF(M200=0,"",IF(H200="HOME",SUMIFS('Istoric_Nativ'!$G$6:$G$405,'Istoric_Nativ'!$B$6:$B$405,E200,'Istoric_Nativ'!$C$6:$C$405,F200,'Istoric_Nativ'!$E$6:$E$405,G200,'Istoric_Nativ'!$D$6:$D$405,"&lt;"&amp;J200,'Istoric_Nativ'!$P$6:$P$405,1,'Istoric_Nativ'!$D$6:$D$405,"&gt;="&amp;L200),IF(H200="AWAY",SUMIFS('Istoric_Nativ'!$H$6:$H$405,'Istoric_Nativ'!$B$6:$B$405,E200,'Istoric_Nativ'!$C$6:$C$405,F200,'Istoric_Nativ'!$F$6:$F$405,G200,'Istoric_Nativ'!$D$6:$D$405,"&lt;"&amp;J200,'Istoric_Nativ'!$P$6:$P$405,1,'Istoric_Nativ'!$D$6:$D$405,"&gt;="&amp;L200),SUMIFS('Istoric_Nativ'!$G$6:$G$405,'Istoric_Nativ'!$B$6:$B$405,E200,'Istoric_Nativ'!$C$6:$C$405,F200,'Istoric_Nativ'!$E$6:$E$405,G200,'Istoric_Nativ'!$D$6:$D$405,"&lt;"&amp;J200,'Istoric_Nativ'!$P$6:$P$405,1,'Istoric_Nativ'!$D$6:$D$405,"&gt;="&amp;L200)+SUMIFS('Istoric_Nativ'!$H$6:$H$405,'Istoric_Nativ'!$B$6:$B$405,E200,'Istoric_Nativ'!$C$6:$C$405,F200,'Istoric_Nativ'!$F$6:$F$405,G200,'Istoric_Nativ'!$D$6:$D$405,"&lt;"&amp;J200,'Istoric_Nativ'!$P$6:$P$405,1,'Istoric_Nativ'!$D$6:$D$405,"&gt;="&amp;L200)))/M200)</x:f>
      </x:c>
      <x:c r="O200" s="11" t="str">
        <x:f>IF(M200=0,"",IF(H200="HOME",SUMIFS('Istoric_Nativ'!$H$6:$H$405,'Istoric_Nativ'!$B$6:$B$405,E200,'Istoric_Nativ'!$C$6:$C$405,F200,'Istoric_Nativ'!$E$6:$E$405,G200,'Istoric_Nativ'!$D$6:$D$405,"&lt;"&amp;J200,'Istoric_Nativ'!$P$6:$P$405,1,'Istoric_Nativ'!$D$6:$D$405,"&gt;="&amp;L200),IF(H200="AWAY",SUMIFS('Istoric_Nativ'!$G$6:$G$405,'Istoric_Nativ'!$B$6:$B$405,E200,'Istoric_Nativ'!$C$6:$C$405,F200,'Istoric_Nativ'!$F$6:$F$405,G200,'Istoric_Nativ'!$D$6:$D$405,"&lt;"&amp;J200,'Istoric_Nativ'!$P$6:$P$405,1,'Istoric_Nativ'!$D$6:$D$405,"&gt;="&amp;L200),SUMIFS('Istoric_Nativ'!$H$6:$H$405,'Istoric_Nativ'!$B$6:$B$405,E200,'Istoric_Nativ'!$C$6:$C$405,F200,'Istoric_Nativ'!$E$6:$E$405,G200,'Istoric_Nativ'!$D$6:$D$405,"&lt;"&amp;J200,'Istoric_Nativ'!$P$6:$P$405,1,'Istoric_Nativ'!$D$6:$D$405,"&gt;="&amp;L200)+SUMIFS('Istoric_Nativ'!$G$6:$G$405,'Istoric_Nativ'!$B$6:$B$405,E200,'Istoric_Nativ'!$C$6:$C$405,F200,'Istoric_Nativ'!$F$6:$F$405,G200,'Istoric_Nativ'!$D$6:$D$405,"&lt;"&amp;J200,'Istoric_Nativ'!$P$6:$P$405,1,'Istoric_Nativ'!$D$6:$D$405,"&gt;="&amp;L200)))/M200)</x:f>
      </x:c>
      <x:c r="P200" s="2" t="n">
        <x:f>'Config_v6'!$B$9</x:f>
        <x:v>3</x:v>
      </x:c>
      <x:c r="Q200" s="2" t="n">
        <x:f>IF(OR(B200="",F200=""),0,IFERROR(MATCH(E200&amp;"|"&amp;F200,SourceTable[Source_Key],0),0))</x:f>
        <x:v>0</x:v>
      </x:c>
      <x:c r="R200" s="2" t="str">
        <x:f>IF(B200="","",IF(F200="","UNUSED",IF(Q200=0,"NOT CHECKED",IF(COUNTIF(SourceTable[Source_Key],E200&amp;"|"&amp;F200)&lt;&gt;1,"SOURCE CONFLICT",IF(NOT(OR(INDEX(SourceTable[Status],MAX(1,Q200))="IMPORTED",INDEX(SourceTable[Status],MAX(1,Q200))="PARTIAL",INDEX(SourceTable[Status],MAX(1,Q200))="SOURCE CONFLICT")),"ACCESS BLOCKED",IF(OR(INDEX(SourceTable[Coverage],Q200)&lt;&gt;"FULL SEASON EXPORT",INDEX(SourceTable[URL],Q200)="",INDEX(SourceTable[SHA256],Q200)=""),"EVIDENCE INCOMPLETE",IF(AND('Input_Meci'!H22="LIVE",INDEX(SourceTable[Retrieved_UTC],Q200)&gt;'Input_Meci'!G22),"POST CUTOFF","CLOSED")))))))</x:f>
      </x:c>
      <x:c r="S200" s="2" t="n">
        <x:f>IF(OR(B200="",F200=""),0,COUNTIFS('Istoric_Nativ'!$B$6:$B$405,E200,'Istoric_Nativ'!$C$6:$C$405,F200,'Istoric_Nativ'!$E$6:$E$405,G200,'Istoric_Nativ'!$D$6:$D$405,"&lt;"&amp;J200,'Istoric_Nativ'!$O$6:$O$405,"INVALID")+COUNTIFS('Istoric_Nativ'!$B$6:$B$405,E200,'Istoric_Nativ'!$C$6:$C$405,F200,'Istoric_Nativ'!$E$6:$E$405,G200,'Istoric_Nativ'!$O$6:$O$405,"INVALID",'Istoric_Nativ'!$D$6:$D$405,"*")+COUNTIFS('Istoric_Nativ'!$B$6:$B$405,E200,'Istoric_Nativ'!$C$6:$C$405,F200,'Istoric_Nativ'!$E$6:$E$405,G200,'Istoric_Nativ'!$D$6:$D$405,"&lt;"&amp;J200,'Istoric_Nativ'!$O$6:$O$405,"SOURCE CONFLICT")+COUNTIFS('Istoric_Nativ'!$B$6:$B$405,E200,'Istoric_Nativ'!$C$6:$C$405,F200,'Istoric_Nativ'!$F$6:$F$405,G200,'Istoric_Nativ'!$D$6:$D$405,"&lt;"&amp;J200,'Istoric_Nativ'!$O$6:$O$405,"INVALID")+COUNTIFS('Istoric_Nativ'!$B$6:$B$405,E200,'Istoric_Nativ'!$C$6:$C$405,F200,'Istoric_Nativ'!$F$6:$F$405,G200,'Istoric_Nativ'!$O$6:$O$405,"INVALID",'Istoric_Nativ'!$D$6:$D$405,"*")+COUNTIFS('Istoric_Nativ'!$B$6:$B$405,E200,'Istoric_Nativ'!$C$6:$C$405,F200,'Istoric_Nativ'!$F$6:$F$405,G200,'Istoric_Nativ'!$D$6:$D$405,"&lt;"&amp;J200,'Istoric_Nativ'!$O$6:$O$405,"SOURCE CONFLICT"))</x:f>
        <x:v>0</x:v>
      </x:c>
      <x:c r="T200" s="2" t="str">
        <x:f>IF(B200="","",IF(R200&lt;&gt;"CLOSED",R200,IF(S200&gt;0,"NATIVE INPUT ISSUE",IF(M200=0,"NO HISTORY",IF(M200&lt;P200,"SMALL SAMPLE","DERIVED")))))</x:f>
      </x:c>
      <x:c r="U200" s="2" t="str">
        <x:f>IF(B200="","","NativeTable; "&amp;E200&amp;"; "&amp;F200&amp;"; "&amp;G200&amp;"; "&amp;H200&amp;"; before "&amp;TEXT(J200,"yyyy-mm-dd")&amp;IF(I200="RECENT","; from "&amp;TEXT(L200,"yyyy-mm-dd"),""))</x:f>
      </x:c>
    </x:row>
    <x:row r="201" ht="21" customHeight="1">
      <x:c r="A201" s="2" t="n">
        <x:v>17</x:v>
      </x:c>
      <x:c r="B201" s="2" t="str">
        <x:f>IF('Input_Meci'!A22="","",'Input_Meci'!A22)</x:f>
      </x:c>
      <x:c r="C201" s="2" t="str">
        <x:v>A</x:v>
      </x:c>
      <x:c r="D201" s="2" t="str">
        <x:v>CURRENT</x:v>
      </x:c>
      <x:c r="E201" s="2" t="str">
        <x:f>IF(B201="","",'Input_Meci'!B22)</x:f>
      </x:c>
      <x:c r="F201" s="2" t="str">
        <x:f>IF(B201="","",IF('Input_Meci'!C22="","",'Input_Meci'!C22))</x:f>
      </x:c>
      <x:c r="G201" s="2" t="str">
        <x:f>IF(B201="","",'Input_Meci'!E22)</x:f>
      </x:c>
      <x:c r="H201" s="2" t="str">
        <x:v>ANY</x:v>
      </x:c>
      <x:c r="I201" s="2" t="str">
        <x:v>SEASON</x:v>
      </x:c>
      <x:c r="J201" s="9" t="n">
        <x:f>IF(AND(B201&lt;&gt;"",ISNUMBER('Input_Meci'!G22)),INT('Input_Meci'!G22),0)</x:f>
        <x:v>0</x:v>
      </x:c>
      <x:c r="K201" s="2" t="n">
        <x:f>IF(OR(B201="",F201=""),0,IF(H201="HOME",COUNTIFS('Istoric_Nativ'!$B$6:$B$405,E201,'Istoric_Nativ'!$C$6:$C$405,F201,'Istoric_Nativ'!$E$6:$E$405,G201,'Istoric_Nativ'!$D$6:$D$405,"&lt;"&amp;J201,'Istoric_Nativ'!$P$6:$P$405,1),IF(H201="AWAY",COUNTIFS('Istoric_Nativ'!$B$6:$B$405,E201,'Istoric_Nativ'!$C$6:$C$405,F201,'Istoric_Nativ'!$F$6:$F$405,G201,'Istoric_Nativ'!$D$6:$D$405,"&lt;"&amp;J201,'Istoric_Nativ'!$P$6:$P$405,1),COUNTIFS('Istoric_Nativ'!$B$6:$B$405,E201,'Istoric_Nativ'!$C$6:$C$405,F201,'Istoric_Nativ'!$E$6:$E$405,G201,'Istoric_Nativ'!$D$6:$D$405,"&lt;"&amp;J201,'Istoric_Nativ'!$P$6:$P$405,1)+COUNTIFS('Istoric_Nativ'!$B$6:$B$405,E201,'Istoric_Nativ'!$C$6:$C$405,F201,'Istoric_Nativ'!$F$6:$F$405,G201,'Istoric_Nativ'!$D$6:$D$405,"&lt;"&amp;J201,'Istoric_Nativ'!$P$6:$P$405,1))))</x:f>
        <x:v>0</x:v>
      </x:c>
      <x:c r="L201" s="17" t="n">
        <x:f>IF(AND(B201&lt;&gt;"",I201="RECENT",K201&gt;0),LARGE(_xlfn._xlws.FILTER('Istoric_Nativ'!$D$6:$D$405,('Istoric_Nativ'!$B$6:$B$405=E201)*('Istoric_Nativ'!$C$6:$C$405=F201)*('Istoric_Nativ'!$P$6:$P$405=1)*('Istoric_Nativ'!$D$6:$D$405&lt;J201)*((('Istoric_Nativ'!$E$6:$E$405=G201)+('Istoric_Nativ'!$F$6:$F$405=G201))&gt;0)),MIN('Config_v6'!$B$54,K201)),0)</x:f>
        <x:v>0</x:v>
      </x:c>
      <x:c r="M201" s="2" t="n">
        <x:f>IF(OR(B201="",F201=""),0,IF(H201="HOME",COUNTIFS('Istoric_Nativ'!$B$6:$B$405,E201,'Istoric_Nativ'!$C$6:$C$405,F201,'Istoric_Nativ'!$E$6:$E$405,G201,'Istoric_Nativ'!$D$6:$D$405,"&lt;"&amp;J201,'Istoric_Nativ'!$P$6:$P$405,1,'Istoric_Nativ'!$D$6:$D$405,"&gt;="&amp;L201),IF(H201="AWAY",COUNTIFS('Istoric_Nativ'!$B$6:$B$405,E201,'Istoric_Nativ'!$C$6:$C$405,F201,'Istoric_Nativ'!$F$6:$F$405,G201,'Istoric_Nativ'!$D$6:$D$405,"&lt;"&amp;J201,'Istoric_Nativ'!$P$6:$P$405,1,'Istoric_Nativ'!$D$6:$D$405,"&gt;="&amp;L201),COUNTIFS('Istoric_Nativ'!$B$6:$B$405,E201,'Istoric_Nativ'!$C$6:$C$405,F201,'Istoric_Nativ'!$E$6:$E$405,G201,'Istoric_Nativ'!$D$6:$D$405,"&lt;"&amp;J201,'Istoric_Nativ'!$P$6:$P$405,1,'Istoric_Nativ'!$D$6:$D$405,"&gt;="&amp;L201)+COUNTIFS('Istoric_Nativ'!$B$6:$B$405,E201,'Istoric_Nativ'!$C$6:$C$405,F201,'Istoric_Nativ'!$F$6:$F$405,G201,'Istoric_Nativ'!$D$6:$D$405,"&lt;"&amp;J201,'Istoric_Nativ'!$P$6:$P$405,1,'Istoric_Nativ'!$D$6:$D$405,"&gt;="&amp;L201))))</x:f>
        <x:v>0</x:v>
      </x:c>
      <x:c r="N201" s="11" t="str">
        <x:f>IF(M201=0,"",IF(H201="HOME",SUMIFS('Istoric_Nativ'!$G$6:$G$405,'Istoric_Nativ'!$B$6:$B$405,E201,'Istoric_Nativ'!$C$6:$C$405,F201,'Istoric_Nativ'!$E$6:$E$405,G201,'Istoric_Nativ'!$D$6:$D$405,"&lt;"&amp;J201,'Istoric_Nativ'!$P$6:$P$405,1,'Istoric_Nativ'!$D$6:$D$405,"&gt;="&amp;L201),IF(H201="AWAY",SUMIFS('Istoric_Nativ'!$H$6:$H$405,'Istoric_Nativ'!$B$6:$B$405,E201,'Istoric_Nativ'!$C$6:$C$405,F201,'Istoric_Nativ'!$F$6:$F$405,G201,'Istoric_Nativ'!$D$6:$D$405,"&lt;"&amp;J201,'Istoric_Nativ'!$P$6:$P$405,1,'Istoric_Nativ'!$D$6:$D$405,"&gt;="&amp;L201),SUMIFS('Istoric_Nativ'!$G$6:$G$405,'Istoric_Nativ'!$B$6:$B$405,E201,'Istoric_Nativ'!$C$6:$C$405,F201,'Istoric_Nativ'!$E$6:$E$405,G201,'Istoric_Nativ'!$D$6:$D$405,"&lt;"&amp;J201,'Istoric_Nativ'!$P$6:$P$405,1,'Istoric_Nativ'!$D$6:$D$405,"&gt;="&amp;L201)+SUMIFS('Istoric_Nativ'!$H$6:$H$405,'Istoric_Nativ'!$B$6:$B$405,E201,'Istoric_Nativ'!$C$6:$C$405,F201,'Istoric_Nativ'!$F$6:$F$405,G201,'Istoric_Nativ'!$D$6:$D$405,"&lt;"&amp;J201,'Istoric_Nativ'!$P$6:$P$405,1,'Istoric_Nativ'!$D$6:$D$405,"&gt;="&amp;L201)))/M201)</x:f>
      </x:c>
      <x:c r="O201" s="11" t="str">
        <x:f>IF(M201=0,"",IF(H201="HOME",SUMIFS('Istoric_Nativ'!$H$6:$H$405,'Istoric_Nativ'!$B$6:$B$405,E201,'Istoric_Nativ'!$C$6:$C$405,F201,'Istoric_Nativ'!$E$6:$E$405,G201,'Istoric_Nativ'!$D$6:$D$405,"&lt;"&amp;J201,'Istoric_Nativ'!$P$6:$P$405,1,'Istoric_Nativ'!$D$6:$D$405,"&gt;="&amp;L201),IF(H201="AWAY",SUMIFS('Istoric_Nativ'!$G$6:$G$405,'Istoric_Nativ'!$B$6:$B$405,E201,'Istoric_Nativ'!$C$6:$C$405,F201,'Istoric_Nativ'!$F$6:$F$405,G201,'Istoric_Nativ'!$D$6:$D$405,"&lt;"&amp;J201,'Istoric_Nativ'!$P$6:$P$405,1,'Istoric_Nativ'!$D$6:$D$405,"&gt;="&amp;L201),SUMIFS('Istoric_Nativ'!$H$6:$H$405,'Istoric_Nativ'!$B$6:$B$405,E201,'Istoric_Nativ'!$C$6:$C$405,F201,'Istoric_Nativ'!$E$6:$E$405,G201,'Istoric_Nativ'!$D$6:$D$405,"&lt;"&amp;J201,'Istoric_Nativ'!$P$6:$P$405,1,'Istoric_Nativ'!$D$6:$D$405,"&gt;="&amp;L201)+SUMIFS('Istoric_Nativ'!$G$6:$G$405,'Istoric_Nativ'!$B$6:$B$405,E201,'Istoric_Nativ'!$C$6:$C$405,F201,'Istoric_Nativ'!$F$6:$F$405,G201,'Istoric_Nativ'!$D$6:$D$405,"&lt;"&amp;J201,'Istoric_Nativ'!$P$6:$P$405,1,'Istoric_Nativ'!$D$6:$D$405,"&gt;="&amp;L201)))/M201)</x:f>
      </x:c>
      <x:c r="P201" s="2" t="n">
        <x:f>'Config_v6'!$B$7</x:f>
        <x:v>10</x:v>
      </x:c>
      <x:c r="Q201" s="2" t="n">
        <x:f>IF(OR(B201="",F201=""),0,IFERROR(MATCH(E201&amp;"|"&amp;F201,SourceTable[Source_Key],0),0))</x:f>
        <x:v>0</x:v>
      </x:c>
      <x:c r="R201" s="2" t="str">
        <x:f>IF(B201="","",IF(F201="","UNUSED",IF(Q201=0,"NOT CHECKED",IF(COUNTIF(SourceTable[Source_Key],E201&amp;"|"&amp;F201)&lt;&gt;1,"SOURCE CONFLICT",IF(NOT(OR(INDEX(SourceTable[Status],MAX(1,Q201))="IMPORTED",INDEX(SourceTable[Status],MAX(1,Q201))="PARTIAL",INDEX(SourceTable[Status],MAX(1,Q201))="SOURCE CONFLICT")),"ACCESS BLOCKED",IF(OR(INDEX(SourceTable[Coverage],Q201)&lt;&gt;"FULL SEASON EXPORT",INDEX(SourceTable[URL],Q201)="",INDEX(SourceTable[SHA256],Q201)=""),"EVIDENCE INCOMPLETE",IF(AND('Input_Meci'!H22="LIVE",INDEX(SourceTable[Retrieved_UTC],Q201)&gt;'Input_Meci'!G22),"POST CUTOFF","CLOSED")))))))</x:f>
      </x:c>
      <x:c r="S201" s="2" t="n">
        <x:f>IF(OR(B201="",F201=""),0,COUNTIFS('Istoric_Nativ'!$B$6:$B$405,E201,'Istoric_Nativ'!$C$6:$C$405,F201,'Istoric_Nativ'!$E$6:$E$405,G201,'Istoric_Nativ'!$D$6:$D$405,"&lt;"&amp;J201,'Istoric_Nativ'!$O$6:$O$405,"INVALID")+COUNTIFS('Istoric_Nativ'!$B$6:$B$405,E201,'Istoric_Nativ'!$C$6:$C$405,F201,'Istoric_Nativ'!$E$6:$E$405,G201,'Istoric_Nativ'!$O$6:$O$405,"INVALID",'Istoric_Nativ'!$D$6:$D$405,"*")+COUNTIFS('Istoric_Nativ'!$B$6:$B$405,E201,'Istoric_Nativ'!$C$6:$C$405,F201,'Istoric_Nativ'!$E$6:$E$405,G201,'Istoric_Nativ'!$D$6:$D$405,"&lt;"&amp;J201,'Istoric_Nativ'!$O$6:$O$405,"SOURCE CONFLICT")+COUNTIFS('Istoric_Nativ'!$B$6:$B$405,E201,'Istoric_Nativ'!$C$6:$C$405,F201,'Istoric_Nativ'!$F$6:$F$405,G201,'Istoric_Nativ'!$D$6:$D$405,"&lt;"&amp;J201,'Istoric_Nativ'!$O$6:$O$405,"INVALID")+COUNTIFS('Istoric_Nativ'!$B$6:$B$405,E201,'Istoric_Nativ'!$C$6:$C$405,F201,'Istoric_Nativ'!$F$6:$F$405,G201,'Istoric_Nativ'!$O$6:$O$405,"INVALID",'Istoric_Nativ'!$D$6:$D$405,"*")+COUNTIFS('Istoric_Nativ'!$B$6:$B$405,E201,'Istoric_Nativ'!$C$6:$C$405,F201,'Istoric_Nativ'!$F$6:$F$405,G201,'Istoric_Nativ'!$D$6:$D$405,"&lt;"&amp;J201,'Istoric_Nativ'!$O$6:$O$405,"SOURCE CONFLICT"))</x:f>
        <x:v>0</x:v>
      </x:c>
      <x:c r="T201" s="2" t="str">
        <x:f>IF(B201="","",IF(R201&lt;&gt;"CLOSED",R201,IF(S201&gt;0,"NATIVE INPUT ISSUE",IF(M201=0,"NO HISTORY",IF(M201&lt;P201,"SMALL SAMPLE","DERIVED")))))</x:f>
      </x:c>
      <x:c r="U201" s="2" t="str">
        <x:f>IF(B201="","","NativeTable; "&amp;E201&amp;"; "&amp;F201&amp;"; "&amp;G201&amp;"; "&amp;H201&amp;"; before "&amp;TEXT(J201,"yyyy-mm-dd")&amp;IF(I201="RECENT","; from "&amp;TEXT(L201,"yyyy-mm-dd"),""))</x:f>
      </x:c>
    </x:row>
    <x:row r="202" ht="21" customHeight="1">
      <x:c r="A202" s="2" t="n">
        <x:v>17</x:v>
      </x:c>
      <x:c r="B202" s="2" t="str">
        <x:f>IF('Input_Meci'!A22="","",'Input_Meci'!A22)</x:f>
      </x:c>
      <x:c r="C202" s="2" t="str">
        <x:v>A</x:v>
      </x:c>
      <x:c r="D202" s="2" t="str">
        <x:v>CURRENT</x:v>
      </x:c>
      <x:c r="E202" s="2" t="str">
        <x:f>IF(B202="","",'Input_Meci'!B22)</x:f>
      </x:c>
      <x:c r="F202" s="2" t="str">
        <x:f>IF(B202="","",IF('Input_Meci'!C22="","",'Input_Meci'!C22))</x:f>
      </x:c>
      <x:c r="G202" s="2" t="str">
        <x:f>IF(B202="","",'Input_Meci'!E22)</x:f>
      </x:c>
      <x:c r="H202" s="2" t="str">
        <x:v>AWAY</x:v>
      </x:c>
      <x:c r="I202" s="2" t="str">
        <x:v>HA</x:v>
      </x:c>
      <x:c r="J202" s="9" t="n">
        <x:f>IF(AND(B202&lt;&gt;"",ISNUMBER('Input_Meci'!G22)),INT('Input_Meci'!G22),0)</x:f>
        <x:v>0</x:v>
      </x:c>
      <x:c r="K202" s="2" t="n">
        <x:f>IF(OR(B202="",F202=""),0,IF(H202="HOME",COUNTIFS('Istoric_Nativ'!$B$6:$B$405,E202,'Istoric_Nativ'!$C$6:$C$405,F202,'Istoric_Nativ'!$E$6:$E$405,G202,'Istoric_Nativ'!$D$6:$D$405,"&lt;"&amp;J202,'Istoric_Nativ'!$P$6:$P$405,1),IF(H202="AWAY",COUNTIFS('Istoric_Nativ'!$B$6:$B$405,E202,'Istoric_Nativ'!$C$6:$C$405,F202,'Istoric_Nativ'!$F$6:$F$405,G202,'Istoric_Nativ'!$D$6:$D$405,"&lt;"&amp;J202,'Istoric_Nativ'!$P$6:$P$405,1),COUNTIFS('Istoric_Nativ'!$B$6:$B$405,E202,'Istoric_Nativ'!$C$6:$C$405,F202,'Istoric_Nativ'!$E$6:$E$405,G202,'Istoric_Nativ'!$D$6:$D$405,"&lt;"&amp;J202,'Istoric_Nativ'!$P$6:$P$405,1)+COUNTIFS('Istoric_Nativ'!$B$6:$B$405,E202,'Istoric_Nativ'!$C$6:$C$405,F202,'Istoric_Nativ'!$F$6:$F$405,G202,'Istoric_Nativ'!$D$6:$D$405,"&lt;"&amp;J202,'Istoric_Nativ'!$P$6:$P$405,1))))</x:f>
        <x:v>0</x:v>
      </x:c>
      <x:c r="L202" s="17" t="n">
        <x:f>IF(AND(B202&lt;&gt;"",I202="RECENT",K202&gt;0),LARGE(_xlfn._xlws.FILTER('Istoric_Nativ'!$D$6:$D$405,('Istoric_Nativ'!$B$6:$B$405=E202)*('Istoric_Nativ'!$C$6:$C$405=F202)*('Istoric_Nativ'!$P$6:$P$405=1)*('Istoric_Nativ'!$D$6:$D$405&lt;J202)*((('Istoric_Nativ'!$E$6:$E$405=G202)+('Istoric_Nativ'!$F$6:$F$405=G202))&gt;0)),MIN('Config_v6'!$B$54,K202)),0)</x:f>
        <x:v>0</x:v>
      </x:c>
      <x:c r="M202" s="2" t="n">
        <x:f>IF(OR(B202="",F202=""),0,IF(H202="HOME",COUNTIFS('Istoric_Nativ'!$B$6:$B$405,E202,'Istoric_Nativ'!$C$6:$C$405,F202,'Istoric_Nativ'!$E$6:$E$405,G202,'Istoric_Nativ'!$D$6:$D$405,"&lt;"&amp;J202,'Istoric_Nativ'!$P$6:$P$405,1,'Istoric_Nativ'!$D$6:$D$405,"&gt;="&amp;L202),IF(H202="AWAY",COUNTIFS('Istoric_Nativ'!$B$6:$B$405,E202,'Istoric_Nativ'!$C$6:$C$405,F202,'Istoric_Nativ'!$F$6:$F$405,G202,'Istoric_Nativ'!$D$6:$D$405,"&lt;"&amp;J202,'Istoric_Nativ'!$P$6:$P$405,1,'Istoric_Nativ'!$D$6:$D$405,"&gt;="&amp;L202),COUNTIFS('Istoric_Nativ'!$B$6:$B$405,E202,'Istoric_Nativ'!$C$6:$C$405,F202,'Istoric_Nativ'!$E$6:$E$405,G202,'Istoric_Nativ'!$D$6:$D$405,"&lt;"&amp;J202,'Istoric_Nativ'!$P$6:$P$405,1,'Istoric_Nativ'!$D$6:$D$405,"&gt;="&amp;L202)+COUNTIFS('Istoric_Nativ'!$B$6:$B$405,E202,'Istoric_Nativ'!$C$6:$C$405,F202,'Istoric_Nativ'!$F$6:$F$405,G202,'Istoric_Nativ'!$D$6:$D$405,"&lt;"&amp;J202,'Istoric_Nativ'!$P$6:$P$405,1,'Istoric_Nativ'!$D$6:$D$405,"&gt;="&amp;L202))))</x:f>
        <x:v>0</x:v>
      </x:c>
      <x:c r="N202" s="11" t="str">
        <x:f>IF(M202=0,"",IF(H202="HOME",SUMIFS('Istoric_Nativ'!$G$6:$G$405,'Istoric_Nativ'!$B$6:$B$405,E202,'Istoric_Nativ'!$C$6:$C$405,F202,'Istoric_Nativ'!$E$6:$E$405,G202,'Istoric_Nativ'!$D$6:$D$405,"&lt;"&amp;J202,'Istoric_Nativ'!$P$6:$P$405,1,'Istoric_Nativ'!$D$6:$D$405,"&gt;="&amp;L202),IF(H202="AWAY",SUMIFS('Istoric_Nativ'!$H$6:$H$405,'Istoric_Nativ'!$B$6:$B$405,E202,'Istoric_Nativ'!$C$6:$C$405,F202,'Istoric_Nativ'!$F$6:$F$405,G202,'Istoric_Nativ'!$D$6:$D$405,"&lt;"&amp;J202,'Istoric_Nativ'!$P$6:$P$405,1,'Istoric_Nativ'!$D$6:$D$405,"&gt;="&amp;L202),SUMIFS('Istoric_Nativ'!$G$6:$G$405,'Istoric_Nativ'!$B$6:$B$405,E202,'Istoric_Nativ'!$C$6:$C$405,F202,'Istoric_Nativ'!$E$6:$E$405,G202,'Istoric_Nativ'!$D$6:$D$405,"&lt;"&amp;J202,'Istoric_Nativ'!$P$6:$P$405,1,'Istoric_Nativ'!$D$6:$D$405,"&gt;="&amp;L202)+SUMIFS('Istoric_Nativ'!$H$6:$H$405,'Istoric_Nativ'!$B$6:$B$405,E202,'Istoric_Nativ'!$C$6:$C$405,F202,'Istoric_Nativ'!$F$6:$F$405,G202,'Istoric_Nativ'!$D$6:$D$405,"&lt;"&amp;J202,'Istoric_Nativ'!$P$6:$P$405,1,'Istoric_Nativ'!$D$6:$D$405,"&gt;="&amp;L202)))/M202)</x:f>
      </x:c>
      <x:c r="O202" s="11" t="str">
        <x:f>IF(M202=0,"",IF(H202="HOME",SUMIFS('Istoric_Nativ'!$H$6:$H$405,'Istoric_Nativ'!$B$6:$B$405,E202,'Istoric_Nativ'!$C$6:$C$405,F202,'Istoric_Nativ'!$E$6:$E$405,G202,'Istoric_Nativ'!$D$6:$D$405,"&lt;"&amp;J202,'Istoric_Nativ'!$P$6:$P$405,1,'Istoric_Nativ'!$D$6:$D$405,"&gt;="&amp;L202),IF(H202="AWAY",SUMIFS('Istoric_Nativ'!$G$6:$G$405,'Istoric_Nativ'!$B$6:$B$405,E202,'Istoric_Nativ'!$C$6:$C$405,F202,'Istoric_Nativ'!$F$6:$F$405,G202,'Istoric_Nativ'!$D$6:$D$405,"&lt;"&amp;J202,'Istoric_Nativ'!$P$6:$P$405,1,'Istoric_Nativ'!$D$6:$D$405,"&gt;="&amp;L202),SUMIFS('Istoric_Nativ'!$H$6:$H$405,'Istoric_Nativ'!$B$6:$B$405,E202,'Istoric_Nativ'!$C$6:$C$405,F202,'Istoric_Nativ'!$E$6:$E$405,G202,'Istoric_Nativ'!$D$6:$D$405,"&lt;"&amp;J202,'Istoric_Nativ'!$P$6:$P$405,1,'Istoric_Nativ'!$D$6:$D$405,"&gt;="&amp;L202)+SUMIFS('Istoric_Nativ'!$G$6:$G$405,'Istoric_Nativ'!$B$6:$B$405,E202,'Istoric_Nativ'!$C$6:$C$405,F202,'Istoric_Nativ'!$F$6:$F$405,G202,'Istoric_Nativ'!$D$6:$D$405,"&lt;"&amp;J202,'Istoric_Nativ'!$P$6:$P$405,1,'Istoric_Nativ'!$D$6:$D$405,"&gt;="&amp;L202)))/M202)</x:f>
      </x:c>
      <x:c r="P202" s="2" t="n">
        <x:f>'Config_v6'!$B$8</x:f>
        <x:v>5</x:v>
      </x:c>
      <x:c r="Q202" s="2" t="n">
        <x:f>IF(OR(B202="",F202=""),0,IFERROR(MATCH(E202&amp;"|"&amp;F202,SourceTable[Source_Key],0),0))</x:f>
        <x:v>0</x:v>
      </x:c>
      <x:c r="R202" s="2" t="str">
        <x:f>IF(B202="","",IF(F202="","UNUSED",IF(Q202=0,"NOT CHECKED",IF(COUNTIF(SourceTable[Source_Key],E202&amp;"|"&amp;F202)&lt;&gt;1,"SOURCE CONFLICT",IF(NOT(OR(INDEX(SourceTable[Status],MAX(1,Q202))="IMPORTED",INDEX(SourceTable[Status],MAX(1,Q202))="PARTIAL",INDEX(SourceTable[Status],MAX(1,Q202))="SOURCE CONFLICT")),"ACCESS BLOCKED",IF(OR(INDEX(SourceTable[Coverage],Q202)&lt;&gt;"FULL SEASON EXPORT",INDEX(SourceTable[URL],Q202)="",INDEX(SourceTable[SHA256],Q202)=""),"EVIDENCE INCOMPLETE",IF(AND('Input_Meci'!H22="LIVE",INDEX(SourceTable[Retrieved_UTC],Q202)&gt;'Input_Meci'!G22),"POST CUTOFF","CLOSED")))))))</x:f>
      </x:c>
      <x:c r="S202" s="2" t="n">
        <x:f>IF(OR(B202="",F202=""),0,COUNTIFS('Istoric_Nativ'!$B$6:$B$405,E202,'Istoric_Nativ'!$C$6:$C$405,F202,'Istoric_Nativ'!$E$6:$E$405,G202,'Istoric_Nativ'!$D$6:$D$405,"&lt;"&amp;J202,'Istoric_Nativ'!$O$6:$O$405,"INVALID")+COUNTIFS('Istoric_Nativ'!$B$6:$B$405,E202,'Istoric_Nativ'!$C$6:$C$405,F202,'Istoric_Nativ'!$E$6:$E$405,G202,'Istoric_Nativ'!$O$6:$O$405,"INVALID",'Istoric_Nativ'!$D$6:$D$405,"*")+COUNTIFS('Istoric_Nativ'!$B$6:$B$405,E202,'Istoric_Nativ'!$C$6:$C$405,F202,'Istoric_Nativ'!$E$6:$E$405,G202,'Istoric_Nativ'!$D$6:$D$405,"&lt;"&amp;J202,'Istoric_Nativ'!$O$6:$O$405,"SOURCE CONFLICT")+COUNTIFS('Istoric_Nativ'!$B$6:$B$405,E202,'Istoric_Nativ'!$C$6:$C$405,F202,'Istoric_Nativ'!$F$6:$F$405,G202,'Istoric_Nativ'!$D$6:$D$405,"&lt;"&amp;J202,'Istoric_Nativ'!$O$6:$O$405,"INVALID")+COUNTIFS('Istoric_Nativ'!$B$6:$B$405,E202,'Istoric_Nativ'!$C$6:$C$405,F202,'Istoric_Nativ'!$F$6:$F$405,G202,'Istoric_Nativ'!$O$6:$O$405,"INVALID",'Istoric_Nativ'!$D$6:$D$405,"*")+COUNTIFS('Istoric_Nativ'!$B$6:$B$405,E202,'Istoric_Nativ'!$C$6:$C$405,F202,'Istoric_Nativ'!$F$6:$F$405,G202,'Istoric_Nativ'!$D$6:$D$405,"&lt;"&amp;J202,'Istoric_Nativ'!$O$6:$O$405,"SOURCE CONFLICT"))</x:f>
        <x:v>0</x:v>
      </x:c>
      <x:c r="T202" s="2" t="str">
        <x:f>IF(B202="","",IF(R202&lt;&gt;"CLOSED",R202,IF(S202&gt;0,"NATIVE INPUT ISSUE",IF(M202=0,"NO HISTORY",IF(M202&lt;P202,"SMALL SAMPLE","DERIVED")))))</x:f>
      </x:c>
      <x:c r="U202" s="2" t="str">
        <x:f>IF(B202="","","NativeTable; "&amp;E202&amp;"; "&amp;F202&amp;"; "&amp;G202&amp;"; "&amp;H202&amp;"; before "&amp;TEXT(J202,"yyyy-mm-dd")&amp;IF(I202="RECENT","; from "&amp;TEXT(L202,"yyyy-mm-dd"),""))</x:f>
      </x:c>
    </x:row>
    <x:row r="203" ht="21" customHeight="1">
      <x:c r="A203" s="2" t="n">
        <x:v>17</x:v>
      </x:c>
      <x:c r="B203" s="2" t="str">
        <x:f>IF('Input_Meci'!A22="","",'Input_Meci'!A22)</x:f>
      </x:c>
      <x:c r="C203" s="2" t="str">
        <x:v>A</x:v>
      </x:c>
      <x:c r="D203" s="2" t="str">
        <x:v>CURRENT</x:v>
      </x:c>
      <x:c r="E203" s="2" t="str">
        <x:f>IF(B203="","",'Input_Meci'!B22)</x:f>
      </x:c>
      <x:c r="F203" s="2" t="str">
        <x:f>IF(B203="","",IF('Input_Meci'!C22="","",'Input_Meci'!C22))</x:f>
      </x:c>
      <x:c r="G203" s="2" t="str">
        <x:f>IF(B203="","",'Input_Meci'!E22)</x:f>
      </x:c>
      <x:c r="H203" s="2" t="str">
        <x:v>ANY</x:v>
      </x:c>
      <x:c r="I203" s="2" t="str">
        <x:v>RECENT</x:v>
      </x:c>
      <x:c r="J203" s="9" t="n">
        <x:f>IF(AND(B203&lt;&gt;"",ISNUMBER('Input_Meci'!G22)),INT('Input_Meci'!G22),0)</x:f>
        <x:v>0</x:v>
      </x:c>
      <x:c r="K203" s="2" t="n">
        <x:f>IF(OR(B203="",F203=""),0,IF(H203="HOME",COUNTIFS('Istoric_Nativ'!$B$6:$B$405,E203,'Istoric_Nativ'!$C$6:$C$405,F203,'Istoric_Nativ'!$E$6:$E$405,G203,'Istoric_Nativ'!$D$6:$D$405,"&lt;"&amp;J203,'Istoric_Nativ'!$P$6:$P$405,1),IF(H203="AWAY",COUNTIFS('Istoric_Nativ'!$B$6:$B$405,E203,'Istoric_Nativ'!$C$6:$C$405,F203,'Istoric_Nativ'!$F$6:$F$405,G203,'Istoric_Nativ'!$D$6:$D$405,"&lt;"&amp;J203,'Istoric_Nativ'!$P$6:$P$405,1),COUNTIFS('Istoric_Nativ'!$B$6:$B$405,E203,'Istoric_Nativ'!$C$6:$C$405,F203,'Istoric_Nativ'!$E$6:$E$405,G203,'Istoric_Nativ'!$D$6:$D$405,"&lt;"&amp;J203,'Istoric_Nativ'!$P$6:$P$405,1)+COUNTIFS('Istoric_Nativ'!$B$6:$B$405,E203,'Istoric_Nativ'!$C$6:$C$405,F203,'Istoric_Nativ'!$F$6:$F$405,G203,'Istoric_Nativ'!$D$6:$D$405,"&lt;"&amp;J203,'Istoric_Nativ'!$P$6:$P$405,1))))</x:f>
        <x:v>0</x:v>
      </x:c>
      <x:c r="L203" s="17" t="n">
        <x:f>IF(AND(B203&lt;&gt;"",I203="RECENT",K203&gt;0),LARGE(_xlfn._xlws.FILTER('Istoric_Nativ'!$D$6:$D$405,('Istoric_Nativ'!$B$6:$B$405=E203)*('Istoric_Nativ'!$C$6:$C$405=F203)*('Istoric_Nativ'!$P$6:$P$405=1)*('Istoric_Nativ'!$D$6:$D$405&lt;J203)*((('Istoric_Nativ'!$E$6:$E$405=G203)+('Istoric_Nativ'!$F$6:$F$405=G203))&gt;0)),MIN('Config_v6'!$B$54,K203)),0)</x:f>
        <x:v>0</x:v>
      </x:c>
      <x:c r="M203" s="2" t="n">
        <x:f>IF(OR(B203="",F203=""),0,IF(H203="HOME",COUNTIFS('Istoric_Nativ'!$B$6:$B$405,E203,'Istoric_Nativ'!$C$6:$C$405,F203,'Istoric_Nativ'!$E$6:$E$405,G203,'Istoric_Nativ'!$D$6:$D$405,"&lt;"&amp;J203,'Istoric_Nativ'!$P$6:$P$405,1,'Istoric_Nativ'!$D$6:$D$405,"&gt;="&amp;L203),IF(H203="AWAY",COUNTIFS('Istoric_Nativ'!$B$6:$B$405,E203,'Istoric_Nativ'!$C$6:$C$405,F203,'Istoric_Nativ'!$F$6:$F$405,G203,'Istoric_Nativ'!$D$6:$D$405,"&lt;"&amp;J203,'Istoric_Nativ'!$P$6:$P$405,1,'Istoric_Nativ'!$D$6:$D$405,"&gt;="&amp;L203),COUNTIFS('Istoric_Nativ'!$B$6:$B$405,E203,'Istoric_Nativ'!$C$6:$C$405,F203,'Istoric_Nativ'!$E$6:$E$405,G203,'Istoric_Nativ'!$D$6:$D$405,"&lt;"&amp;J203,'Istoric_Nativ'!$P$6:$P$405,1,'Istoric_Nativ'!$D$6:$D$405,"&gt;="&amp;L203)+COUNTIFS('Istoric_Nativ'!$B$6:$B$405,E203,'Istoric_Nativ'!$C$6:$C$405,F203,'Istoric_Nativ'!$F$6:$F$405,G203,'Istoric_Nativ'!$D$6:$D$405,"&lt;"&amp;J203,'Istoric_Nativ'!$P$6:$P$405,1,'Istoric_Nativ'!$D$6:$D$405,"&gt;="&amp;L203))))</x:f>
        <x:v>0</x:v>
      </x:c>
      <x:c r="N203" s="11" t="str">
        <x:f>IF(M203=0,"",IF(H203="HOME",SUMIFS('Istoric_Nativ'!$G$6:$G$405,'Istoric_Nativ'!$B$6:$B$405,E203,'Istoric_Nativ'!$C$6:$C$405,F203,'Istoric_Nativ'!$E$6:$E$405,G203,'Istoric_Nativ'!$D$6:$D$405,"&lt;"&amp;J203,'Istoric_Nativ'!$P$6:$P$405,1,'Istoric_Nativ'!$D$6:$D$405,"&gt;="&amp;L203),IF(H203="AWAY",SUMIFS('Istoric_Nativ'!$H$6:$H$405,'Istoric_Nativ'!$B$6:$B$405,E203,'Istoric_Nativ'!$C$6:$C$405,F203,'Istoric_Nativ'!$F$6:$F$405,G203,'Istoric_Nativ'!$D$6:$D$405,"&lt;"&amp;J203,'Istoric_Nativ'!$P$6:$P$405,1,'Istoric_Nativ'!$D$6:$D$405,"&gt;="&amp;L203),SUMIFS('Istoric_Nativ'!$G$6:$G$405,'Istoric_Nativ'!$B$6:$B$405,E203,'Istoric_Nativ'!$C$6:$C$405,F203,'Istoric_Nativ'!$E$6:$E$405,G203,'Istoric_Nativ'!$D$6:$D$405,"&lt;"&amp;J203,'Istoric_Nativ'!$P$6:$P$405,1,'Istoric_Nativ'!$D$6:$D$405,"&gt;="&amp;L203)+SUMIFS('Istoric_Nativ'!$H$6:$H$405,'Istoric_Nativ'!$B$6:$B$405,E203,'Istoric_Nativ'!$C$6:$C$405,F203,'Istoric_Nativ'!$F$6:$F$405,G203,'Istoric_Nativ'!$D$6:$D$405,"&lt;"&amp;J203,'Istoric_Nativ'!$P$6:$P$405,1,'Istoric_Nativ'!$D$6:$D$405,"&gt;="&amp;L203)))/M203)</x:f>
      </x:c>
      <x:c r="O203" s="11" t="str">
        <x:f>IF(M203=0,"",IF(H203="HOME",SUMIFS('Istoric_Nativ'!$H$6:$H$405,'Istoric_Nativ'!$B$6:$B$405,E203,'Istoric_Nativ'!$C$6:$C$405,F203,'Istoric_Nativ'!$E$6:$E$405,G203,'Istoric_Nativ'!$D$6:$D$405,"&lt;"&amp;J203,'Istoric_Nativ'!$P$6:$P$405,1,'Istoric_Nativ'!$D$6:$D$405,"&gt;="&amp;L203),IF(H203="AWAY",SUMIFS('Istoric_Nativ'!$G$6:$G$405,'Istoric_Nativ'!$B$6:$B$405,E203,'Istoric_Nativ'!$C$6:$C$405,F203,'Istoric_Nativ'!$F$6:$F$405,G203,'Istoric_Nativ'!$D$6:$D$405,"&lt;"&amp;J203,'Istoric_Nativ'!$P$6:$P$405,1,'Istoric_Nativ'!$D$6:$D$405,"&gt;="&amp;L203),SUMIFS('Istoric_Nativ'!$H$6:$H$405,'Istoric_Nativ'!$B$6:$B$405,E203,'Istoric_Nativ'!$C$6:$C$405,F203,'Istoric_Nativ'!$E$6:$E$405,G203,'Istoric_Nativ'!$D$6:$D$405,"&lt;"&amp;J203,'Istoric_Nativ'!$P$6:$P$405,1,'Istoric_Nativ'!$D$6:$D$405,"&gt;="&amp;L203)+SUMIFS('Istoric_Nativ'!$G$6:$G$405,'Istoric_Nativ'!$B$6:$B$405,E203,'Istoric_Nativ'!$C$6:$C$405,F203,'Istoric_Nativ'!$F$6:$F$405,G203,'Istoric_Nativ'!$D$6:$D$405,"&lt;"&amp;J203,'Istoric_Nativ'!$P$6:$P$405,1,'Istoric_Nativ'!$D$6:$D$405,"&gt;="&amp;L203)))/M203)</x:f>
      </x:c>
      <x:c r="P203" s="2" t="n">
        <x:f>'Config_v6'!$B$9</x:f>
        <x:v>3</x:v>
      </x:c>
      <x:c r="Q203" s="2" t="n">
        <x:f>IF(OR(B203="",F203=""),0,IFERROR(MATCH(E203&amp;"|"&amp;F203,SourceTable[Source_Key],0),0))</x:f>
        <x:v>0</x:v>
      </x:c>
      <x:c r="R203" s="2" t="str">
        <x:f>IF(B203="","",IF(F203="","UNUSED",IF(Q203=0,"NOT CHECKED",IF(COUNTIF(SourceTable[Source_Key],E203&amp;"|"&amp;F203)&lt;&gt;1,"SOURCE CONFLICT",IF(NOT(OR(INDEX(SourceTable[Status],MAX(1,Q203))="IMPORTED",INDEX(SourceTable[Status],MAX(1,Q203))="PARTIAL",INDEX(SourceTable[Status],MAX(1,Q203))="SOURCE CONFLICT")),"ACCESS BLOCKED",IF(OR(INDEX(SourceTable[Coverage],Q203)&lt;&gt;"FULL SEASON EXPORT",INDEX(SourceTable[URL],Q203)="",INDEX(SourceTable[SHA256],Q203)=""),"EVIDENCE INCOMPLETE",IF(AND('Input_Meci'!H22="LIVE",INDEX(SourceTable[Retrieved_UTC],Q203)&gt;'Input_Meci'!G22),"POST CUTOFF","CLOSED")))))))</x:f>
      </x:c>
      <x:c r="S203" s="2" t="n">
        <x:f>IF(OR(B203="",F203=""),0,COUNTIFS('Istoric_Nativ'!$B$6:$B$405,E203,'Istoric_Nativ'!$C$6:$C$405,F203,'Istoric_Nativ'!$E$6:$E$405,G203,'Istoric_Nativ'!$D$6:$D$405,"&lt;"&amp;J203,'Istoric_Nativ'!$O$6:$O$405,"INVALID")+COUNTIFS('Istoric_Nativ'!$B$6:$B$405,E203,'Istoric_Nativ'!$C$6:$C$405,F203,'Istoric_Nativ'!$E$6:$E$405,G203,'Istoric_Nativ'!$O$6:$O$405,"INVALID",'Istoric_Nativ'!$D$6:$D$405,"*")+COUNTIFS('Istoric_Nativ'!$B$6:$B$405,E203,'Istoric_Nativ'!$C$6:$C$405,F203,'Istoric_Nativ'!$E$6:$E$405,G203,'Istoric_Nativ'!$D$6:$D$405,"&lt;"&amp;J203,'Istoric_Nativ'!$O$6:$O$405,"SOURCE CONFLICT")+COUNTIFS('Istoric_Nativ'!$B$6:$B$405,E203,'Istoric_Nativ'!$C$6:$C$405,F203,'Istoric_Nativ'!$F$6:$F$405,G203,'Istoric_Nativ'!$D$6:$D$405,"&lt;"&amp;J203,'Istoric_Nativ'!$O$6:$O$405,"INVALID")+COUNTIFS('Istoric_Nativ'!$B$6:$B$405,E203,'Istoric_Nativ'!$C$6:$C$405,F203,'Istoric_Nativ'!$F$6:$F$405,G203,'Istoric_Nativ'!$O$6:$O$405,"INVALID",'Istoric_Nativ'!$D$6:$D$405,"*")+COUNTIFS('Istoric_Nativ'!$B$6:$B$405,E203,'Istoric_Nativ'!$C$6:$C$405,F203,'Istoric_Nativ'!$F$6:$F$405,G203,'Istoric_Nativ'!$D$6:$D$405,"&lt;"&amp;J203,'Istoric_Nativ'!$O$6:$O$405,"SOURCE CONFLICT"))</x:f>
        <x:v>0</x:v>
      </x:c>
      <x:c r="T203" s="2" t="str">
        <x:f>IF(B203="","",IF(R203&lt;&gt;"CLOSED",R203,IF(S203&gt;0,"NATIVE INPUT ISSUE",IF(M203=0,"NO HISTORY",IF(M203&lt;P203,"SMALL SAMPLE","DERIVED")))))</x:f>
      </x:c>
      <x:c r="U203" s="2" t="str">
        <x:f>IF(B203="","","NativeTable; "&amp;E203&amp;"; "&amp;F203&amp;"; "&amp;G203&amp;"; "&amp;H203&amp;"; before "&amp;TEXT(J203,"yyyy-mm-dd")&amp;IF(I203="RECENT","; from "&amp;TEXT(L203,"yyyy-mm-dd"),""))</x:f>
      </x:c>
    </x:row>
    <x:row r="204" ht="21" customHeight="1">
      <x:c r="A204" s="2" t="n">
        <x:v>17</x:v>
      </x:c>
      <x:c r="B204" s="2" t="str">
        <x:f>IF('Input_Meci'!A22="","",'Input_Meci'!A22)</x:f>
      </x:c>
      <x:c r="C204" s="2" t="str">
        <x:v>H</x:v>
      </x:c>
      <x:c r="D204" s="2" t="str">
        <x:v>PRIOR</x:v>
      </x:c>
      <x:c r="E204" s="2" t="str">
        <x:f>IF(B204="","",'Input_Meci'!B22)</x:f>
      </x:c>
      <x:c r="F204" s="2" t="str">
        <x:f>IF(B204="","",IF('Input_Meci'!K22="","",'Input_Meci'!K22))</x:f>
      </x:c>
      <x:c r="G204" s="2" t="str">
        <x:f>IF(B204="","",'Input_Meci'!D22)</x:f>
      </x:c>
      <x:c r="H204" s="2" t="str">
        <x:v>ANY</x:v>
      </x:c>
      <x:c r="I204" s="2" t="str">
        <x:v>SEASON</x:v>
      </x:c>
      <x:c r="J204" s="9" t="n">
        <x:f>IF(AND(B204&lt;&gt;"",ISNUMBER('Input_Meci'!G22)),INT('Input_Meci'!G22),0)</x:f>
        <x:v>0</x:v>
      </x:c>
      <x:c r="K204" s="2" t="n">
        <x:f>IF(OR(B204="",F204=""),0,IF(H204="HOME",COUNTIFS('Istoric_Nativ'!$B$6:$B$405,E204,'Istoric_Nativ'!$C$6:$C$405,F204,'Istoric_Nativ'!$E$6:$E$405,G204,'Istoric_Nativ'!$D$6:$D$405,"&lt;"&amp;J204,'Istoric_Nativ'!$P$6:$P$405,1),IF(H204="AWAY",COUNTIFS('Istoric_Nativ'!$B$6:$B$405,E204,'Istoric_Nativ'!$C$6:$C$405,F204,'Istoric_Nativ'!$F$6:$F$405,G204,'Istoric_Nativ'!$D$6:$D$405,"&lt;"&amp;J204,'Istoric_Nativ'!$P$6:$P$405,1),COUNTIFS('Istoric_Nativ'!$B$6:$B$405,E204,'Istoric_Nativ'!$C$6:$C$405,F204,'Istoric_Nativ'!$E$6:$E$405,G204,'Istoric_Nativ'!$D$6:$D$405,"&lt;"&amp;J204,'Istoric_Nativ'!$P$6:$P$405,1)+COUNTIFS('Istoric_Nativ'!$B$6:$B$405,E204,'Istoric_Nativ'!$C$6:$C$405,F204,'Istoric_Nativ'!$F$6:$F$405,G204,'Istoric_Nativ'!$D$6:$D$405,"&lt;"&amp;J204,'Istoric_Nativ'!$P$6:$P$405,1))))</x:f>
        <x:v>0</x:v>
      </x:c>
      <x:c r="L204" s="17" t="n">
        <x:f>IF(AND(B204&lt;&gt;"",I204="RECENT",K204&gt;0),LARGE(_xlfn._xlws.FILTER('Istoric_Nativ'!$D$6:$D$405,('Istoric_Nativ'!$B$6:$B$405=E204)*('Istoric_Nativ'!$C$6:$C$405=F204)*('Istoric_Nativ'!$P$6:$P$405=1)*('Istoric_Nativ'!$D$6:$D$405&lt;J204)*((('Istoric_Nativ'!$E$6:$E$405=G204)+('Istoric_Nativ'!$F$6:$F$405=G204))&gt;0)),MIN('Config_v6'!$B$54,K204)),0)</x:f>
        <x:v>0</x:v>
      </x:c>
      <x:c r="M204" s="2" t="n">
        <x:f>IF(OR(B204="",F204=""),0,IF(H204="HOME",COUNTIFS('Istoric_Nativ'!$B$6:$B$405,E204,'Istoric_Nativ'!$C$6:$C$405,F204,'Istoric_Nativ'!$E$6:$E$405,G204,'Istoric_Nativ'!$D$6:$D$405,"&lt;"&amp;J204,'Istoric_Nativ'!$P$6:$P$405,1,'Istoric_Nativ'!$D$6:$D$405,"&gt;="&amp;L204),IF(H204="AWAY",COUNTIFS('Istoric_Nativ'!$B$6:$B$405,E204,'Istoric_Nativ'!$C$6:$C$405,F204,'Istoric_Nativ'!$F$6:$F$405,G204,'Istoric_Nativ'!$D$6:$D$405,"&lt;"&amp;J204,'Istoric_Nativ'!$P$6:$P$405,1,'Istoric_Nativ'!$D$6:$D$405,"&gt;="&amp;L204),COUNTIFS('Istoric_Nativ'!$B$6:$B$405,E204,'Istoric_Nativ'!$C$6:$C$405,F204,'Istoric_Nativ'!$E$6:$E$405,G204,'Istoric_Nativ'!$D$6:$D$405,"&lt;"&amp;J204,'Istoric_Nativ'!$P$6:$P$405,1,'Istoric_Nativ'!$D$6:$D$405,"&gt;="&amp;L204)+COUNTIFS('Istoric_Nativ'!$B$6:$B$405,E204,'Istoric_Nativ'!$C$6:$C$405,F204,'Istoric_Nativ'!$F$6:$F$405,G204,'Istoric_Nativ'!$D$6:$D$405,"&lt;"&amp;J204,'Istoric_Nativ'!$P$6:$P$405,1,'Istoric_Nativ'!$D$6:$D$405,"&gt;="&amp;L204))))</x:f>
        <x:v>0</x:v>
      </x:c>
      <x:c r="N204" s="11" t="str">
        <x:f>IF(M204=0,"",IF(H204="HOME",SUMIFS('Istoric_Nativ'!$G$6:$G$405,'Istoric_Nativ'!$B$6:$B$405,E204,'Istoric_Nativ'!$C$6:$C$405,F204,'Istoric_Nativ'!$E$6:$E$405,G204,'Istoric_Nativ'!$D$6:$D$405,"&lt;"&amp;J204,'Istoric_Nativ'!$P$6:$P$405,1,'Istoric_Nativ'!$D$6:$D$405,"&gt;="&amp;L204),IF(H204="AWAY",SUMIFS('Istoric_Nativ'!$H$6:$H$405,'Istoric_Nativ'!$B$6:$B$405,E204,'Istoric_Nativ'!$C$6:$C$405,F204,'Istoric_Nativ'!$F$6:$F$405,G204,'Istoric_Nativ'!$D$6:$D$405,"&lt;"&amp;J204,'Istoric_Nativ'!$P$6:$P$405,1,'Istoric_Nativ'!$D$6:$D$405,"&gt;="&amp;L204),SUMIFS('Istoric_Nativ'!$G$6:$G$405,'Istoric_Nativ'!$B$6:$B$405,E204,'Istoric_Nativ'!$C$6:$C$405,F204,'Istoric_Nativ'!$E$6:$E$405,G204,'Istoric_Nativ'!$D$6:$D$405,"&lt;"&amp;J204,'Istoric_Nativ'!$P$6:$P$405,1,'Istoric_Nativ'!$D$6:$D$405,"&gt;="&amp;L204)+SUMIFS('Istoric_Nativ'!$H$6:$H$405,'Istoric_Nativ'!$B$6:$B$405,E204,'Istoric_Nativ'!$C$6:$C$405,F204,'Istoric_Nativ'!$F$6:$F$405,G204,'Istoric_Nativ'!$D$6:$D$405,"&lt;"&amp;J204,'Istoric_Nativ'!$P$6:$P$405,1,'Istoric_Nativ'!$D$6:$D$405,"&gt;="&amp;L204)))/M204)</x:f>
      </x:c>
      <x:c r="O204" s="11" t="str">
        <x:f>IF(M204=0,"",IF(H204="HOME",SUMIFS('Istoric_Nativ'!$H$6:$H$405,'Istoric_Nativ'!$B$6:$B$405,E204,'Istoric_Nativ'!$C$6:$C$405,F204,'Istoric_Nativ'!$E$6:$E$405,G204,'Istoric_Nativ'!$D$6:$D$405,"&lt;"&amp;J204,'Istoric_Nativ'!$P$6:$P$405,1,'Istoric_Nativ'!$D$6:$D$405,"&gt;="&amp;L204),IF(H204="AWAY",SUMIFS('Istoric_Nativ'!$G$6:$G$405,'Istoric_Nativ'!$B$6:$B$405,E204,'Istoric_Nativ'!$C$6:$C$405,F204,'Istoric_Nativ'!$F$6:$F$405,G204,'Istoric_Nativ'!$D$6:$D$405,"&lt;"&amp;J204,'Istoric_Nativ'!$P$6:$P$405,1,'Istoric_Nativ'!$D$6:$D$405,"&gt;="&amp;L204),SUMIFS('Istoric_Nativ'!$H$6:$H$405,'Istoric_Nativ'!$B$6:$B$405,E204,'Istoric_Nativ'!$C$6:$C$405,F204,'Istoric_Nativ'!$E$6:$E$405,G204,'Istoric_Nativ'!$D$6:$D$405,"&lt;"&amp;J204,'Istoric_Nativ'!$P$6:$P$405,1,'Istoric_Nativ'!$D$6:$D$405,"&gt;="&amp;L204)+SUMIFS('Istoric_Nativ'!$G$6:$G$405,'Istoric_Nativ'!$B$6:$B$405,E204,'Istoric_Nativ'!$C$6:$C$405,F204,'Istoric_Nativ'!$F$6:$F$405,G204,'Istoric_Nativ'!$D$6:$D$405,"&lt;"&amp;J204,'Istoric_Nativ'!$P$6:$P$405,1,'Istoric_Nativ'!$D$6:$D$405,"&gt;="&amp;L204)))/M204)</x:f>
      </x:c>
      <x:c r="P204" s="2" t="n">
        <x:f>'Config_v6'!$B$7</x:f>
        <x:v>10</x:v>
      </x:c>
      <x:c r="Q204" s="2" t="n">
        <x:f>IF(OR(B204="",F204=""),0,IFERROR(MATCH(E204&amp;"|"&amp;F204,SourceTable[Source_Key],0),0))</x:f>
        <x:v>0</x:v>
      </x:c>
      <x:c r="R204" s="2" t="str">
        <x:f>IF(B204="","",IF(F204="","UNUSED",IF(Q204=0,"NOT CHECKED",IF(COUNTIF(SourceTable[Source_Key],E204&amp;"|"&amp;F204)&lt;&gt;1,"SOURCE CONFLICT",IF(NOT(OR(INDEX(SourceTable[Status],MAX(1,Q204))="IMPORTED",INDEX(SourceTable[Status],MAX(1,Q204))="PARTIAL",INDEX(SourceTable[Status],MAX(1,Q204))="SOURCE CONFLICT")),"ACCESS BLOCKED",IF(OR(INDEX(SourceTable[Coverage],Q204)&lt;&gt;"FULL SEASON EXPORT",INDEX(SourceTable[URL],Q204)="",INDEX(SourceTable[SHA256],Q204)=""),"EVIDENCE INCOMPLETE",IF(AND('Input_Meci'!H22="LIVE",INDEX(SourceTable[Retrieved_UTC],Q204)&gt;'Input_Meci'!G22),"POST CUTOFF","CLOSED")))))))</x:f>
      </x:c>
      <x:c r="S204" s="2" t="n">
        <x:f>IF(OR(B204="",F204=""),0,COUNTIFS('Istoric_Nativ'!$B$6:$B$405,E204,'Istoric_Nativ'!$C$6:$C$405,F204,'Istoric_Nativ'!$E$6:$E$405,G204,'Istoric_Nativ'!$D$6:$D$405,"&lt;"&amp;J204,'Istoric_Nativ'!$O$6:$O$405,"INVALID")+COUNTIFS('Istoric_Nativ'!$B$6:$B$405,E204,'Istoric_Nativ'!$C$6:$C$405,F204,'Istoric_Nativ'!$E$6:$E$405,G204,'Istoric_Nativ'!$O$6:$O$405,"INVALID",'Istoric_Nativ'!$D$6:$D$405,"*")+COUNTIFS('Istoric_Nativ'!$B$6:$B$405,E204,'Istoric_Nativ'!$C$6:$C$405,F204,'Istoric_Nativ'!$E$6:$E$405,G204,'Istoric_Nativ'!$D$6:$D$405,"&lt;"&amp;J204,'Istoric_Nativ'!$O$6:$O$405,"SOURCE CONFLICT")+COUNTIFS('Istoric_Nativ'!$B$6:$B$405,E204,'Istoric_Nativ'!$C$6:$C$405,F204,'Istoric_Nativ'!$F$6:$F$405,G204,'Istoric_Nativ'!$D$6:$D$405,"&lt;"&amp;J204,'Istoric_Nativ'!$O$6:$O$405,"INVALID")+COUNTIFS('Istoric_Nativ'!$B$6:$B$405,E204,'Istoric_Nativ'!$C$6:$C$405,F204,'Istoric_Nativ'!$F$6:$F$405,G204,'Istoric_Nativ'!$O$6:$O$405,"INVALID",'Istoric_Nativ'!$D$6:$D$405,"*")+COUNTIFS('Istoric_Nativ'!$B$6:$B$405,E204,'Istoric_Nativ'!$C$6:$C$405,F204,'Istoric_Nativ'!$F$6:$F$405,G204,'Istoric_Nativ'!$D$6:$D$405,"&lt;"&amp;J204,'Istoric_Nativ'!$O$6:$O$405,"SOURCE CONFLICT"))</x:f>
        <x:v>0</x:v>
      </x:c>
      <x:c r="T204" s="2" t="str">
        <x:f>IF(B204="","",IF(R204&lt;&gt;"CLOSED",R204,IF(S204&gt;0,"NATIVE INPUT ISSUE",IF(M204=0,"NO HISTORY",IF(M204&lt;P204,"SMALL SAMPLE","DERIVED")))))</x:f>
      </x:c>
      <x:c r="U204" s="2" t="str">
        <x:f>IF(B204="","","NativeTable; "&amp;E204&amp;"; "&amp;F204&amp;"; "&amp;G204&amp;"; "&amp;H204&amp;"; before "&amp;TEXT(J204,"yyyy-mm-dd")&amp;IF(I204="RECENT","; from "&amp;TEXT(L204,"yyyy-mm-dd"),""))</x:f>
      </x:c>
    </x:row>
    <x:row r="205" ht="21" customHeight="1">
      <x:c r="A205" s="2" t="n">
        <x:v>17</x:v>
      </x:c>
      <x:c r="B205" s="2" t="str">
        <x:f>IF('Input_Meci'!A22="","",'Input_Meci'!A22)</x:f>
      </x:c>
      <x:c r="C205" s="2" t="str">
        <x:v>H</x:v>
      </x:c>
      <x:c r="D205" s="2" t="str">
        <x:v>PRIOR</x:v>
      </x:c>
      <x:c r="E205" s="2" t="str">
        <x:f>IF(B205="","",'Input_Meci'!B22)</x:f>
      </x:c>
      <x:c r="F205" s="2" t="str">
        <x:f>IF(B205="","",IF('Input_Meci'!K22="","",'Input_Meci'!K22))</x:f>
      </x:c>
      <x:c r="G205" s="2" t="str">
        <x:f>IF(B205="","",'Input_Meci'!D22)</x:f>
      </x:c>
      <x:c r="H205" s="2" t="str">
        <x:v>HOME</x:v>
      </x:c>
      <x:c r="I205" s="2" t="str">
        <x:v>HA</x:v>
      </x:c>
      <x:c r="J205" s="9" t="n">
        <x:f>IF(AND(B205&lt;&gt;"",ISNUMBER('Input_Meci'!G22)),INT('Input_Meci'!G22),0)</x:f>
        <x:v>0</x:v>
      </x:c>
      <x:c r="K205" s="2" t="n">
        <x:f>IF(OR(B205="",F205=""),0,IF(H205="HOME",COUNTIFS('Istoric_Nativ'!$B$6:$B$405,E205,'Istoric_Nativ'!$C$6:$C$405,F205,'Istoric_Nativ'!$E$6:$E$405,G205,'Istoric_Nativ'!$D$6:$D$405,"&lt;"&amp;J205,'Istoric_Nativ'!$P$6:$P$405,1),IF(H205="AWAY",COUNTIFS('Istoric_Nativ'!$B$6:$B$405,E205,'Istoric_Nativ'!$C$6:$C$405,F205,'Istoric_Nativ'!$F$6:$F$405,G205,'Istoric_Nativ'!$D$6:$D$405,"&lt;"&amp;J205,'Istoric_Nativ'!$P$6:$P$405,1),COUNTIFS('Istoric_Nativ'!$B$6:$B$405,E205,'Istoric_Nativ'!$C$6:$C$405,F205,'Istoric_Nativ'!$E$6:$E$405,G205,'Istoric_Nativ'!$D$6:$D$405,"&lt;"&amp;J205,'Istoric_Nativ'!$P$6:$P$405,1)+COUNTIFS('Istoric_Nativ'!$B$6:$B$405,E205,'Istoric_Nativ'!$C$6:$C$405,F205,'Istoric_Nativ'!$F$6:$F$405,G205,'Istoric_Nativ'!$D$6:$D$405,"&lt;"&amp;J205,'Istoric_Nativ'!$P$6:$P$405,1))))</x:f>
        <x:v>0</x:v>
      </x:c>
      <x:c r="L205" s="17" t="n">
        <x:f>IF(AND(B205&lt;&gt;"",I205="RECENT",K205&gt;0),LARGE(_xlfn._xlws.FILTER('Istoric_Nativ'!$D$6:$D$405,('Istoric_Nativ'!$B$6:$B$405=E205)*('Istoric_Nativ'!$C$6:$C$405=F205)*('Istoric_Nativ'!$P$6:$P$405=1)*('Istoric_Nativ'!$D$6:$D$405&lt;J205)*((('Istoric_Nativ'!$E$6:$E$405=G205)+('Istoric_Nativ'!$F$6:$F$405=G205))&gt;0)),MIN('Config_v6'!$B$54,K205)),0)</x:f>
        <x:v>0</x:v>
      </x:c>
      <x:c r="M205" s="2" t="n">
        <x:f>IF(OR(B205="",F205=""),0,IF(H205="HOME",COUNTIFS('Istoric_Nativ'!$B$6:$B$405,E205,'Istoric_Nativ'!$C$6:$C$405,F205,'Istoric_Nativ'!$E$6:$E$405,G205,'Istoric_Nativ'!$D$6:$D$405,"&lt;"&amp;J205,'Istoric_Nativ'!$P$6:$P$405,1,'Istoric_Nativ'!$D$6:$D$405,"&gt;="&amp;L205),IF(H205="AWAY",COUNTIFS('Istoric_Nativ'!$B$6:$B$405,E205,'Istoric_Nativ'!$C$6:$C$405,F205,'Istoric_Nativ'!$F$6:$F$405,G205,'Istoric_Nativ'!$D$6:$D$405,"&lt;"&amp;J205,'Istoric_Nativ'!$P$6:$P$405,1,'Istoric_Nativ'!$D$6:$D$405,"&gt;="&amp;L205),COUNTIFS('Istoric_Nativ'!$B$6:$B$405,E205,'Istoric_Nativ'!$C$6:$C$405,F205,'Istoric_Nativ'!$E$6:$E$405,G205,'Istoric_Nativ'!$D$6:$D$405,"&lt;"&amp;J205,'Istoric_Nativ'!$P$6:$P$405,1,'Istoric_Nativ'!$D$6:$D$405,"&gt;="&amp;L205)+COUNTIFS('Istoric_Nativ'!$B$6:$B$405,E205,'Istoric_Nativ'!$C$6:$C$405,F205,'Istoric_Nativ'!$F$6:$F$405,G205,'Istoric_Nativ'!$D$6:$D$405,"&lt;"&amp;J205,'Istoric_Nativ'!$P$6:$P$405,1,'Istoric_Nativ'!$D$6:$D$405,"&gt;="&amp;L205))))</x:f>
        <x:v>0</x:v>
      </x:c>
      <x:c r="N205" s="11" t="str">
        <x:f>IF(M205=0,"",IF(H205="HOME",SUMIFS('Istoric_Nativ'!$G$6:$G$405,'Istoric_Nativ'!$B$6:$B$405,E205,'Istoric_Nativ'!$C$6:$C$405,F205,'Istoric_Nativ'!$E$6:$E$405,G205,'Istoric_Nativ'!$D$6:$D$405,"&lt;"&amp;J205,'Istoric_Nativ'!$P$6:$P$405,1,'Istoric_Nativ'!$D$6:$D$405,"&gt;="&amp;L205),IF(H205="AWAY",SUMIFS('Istoric_Nativ'!$H$6:$H$405,'Istoric_Nativ'!$B$6:$B$405,E205,'Istoric_Nativ'!$C$6:$C$405,F205,'Istoric_Nativ'!$F$6:$F$405,G205,'Istoric_Nativ'!$D$6:$D$405,"&lt;"&amp;J205,'Istoric_Nativ'!$P$6:$P$405,1,'Istoric_Nativ'!$D$6:$D$405,"&gt;="&amp;L205),SUMIFS('Istoric_Nativ'!$G$6:$G$405,'Istoric_Nativ'!$B$6:$B$405,E205,'Istoric_Nativ'!$C$6:$C$405,F205,'Istoric_Nativ'!$E$6:$E$405,G205,'Istoric_Nativ'!$D$6:$D$405,"&lt;"&amp;J205,'Istoric_Nativ'!$P$6:$P$405,1,'Istoric_Nativ'!$D$6:$D$405,"&gt;="&amp;L205)+SUMIFS('Istoric_Nativ'!$H$6:$H$405,'Istoric_Nativ'!$B$6:$B$405,E205,'Istoric_Nativ'!$C$6:$C$405,F205,'Istoric_Nativ'!$F$6:$F$405,G205,'Istoric_Nativ'!$D$6:$D$405,"&lt;"&amp;J205,'Istoric_Nativ'!$P$6:$P$405,1,'Istoric_Nativ'!$D$6:$D$405,"&gt;="&amp;L205)))/M205)</x:f>
      </x:c>
      <x:c r="O205" s="11" t="str">
        <x:f>IF(M205=0,"",IF(H205="HOME",SUMIFS('Istoric_Nativ'!$H$6:$H$405,'Istoric_Nativ'!$B$6:$B$405,E205,'Istoric_Nativ'!$C$6:$C$405,F205,'Istoric_Nativ'!$E$6:$E$405,G205,'Istoric_Nativ'!$D$6:$D$405,"&lt;"&amp;J205,'Istoric_Nativ'!$P$6:$P$405,1,'Istoric_Nativ'!$D$6:$D$405,"&gt;="&amp;L205),IF(H205="AWAY",SUMIFS('Istoric_Nativ'!$G$6:$G$405,'Istoric_Nativ'!$B$6:$B$405,E205,'Istoric_Nativ'!$C$6:$C$405,F205,'Istoric_Nativ'!$F$6:$F$405,G205,'Istoric_Nativ'!$D$6:$D$405,"&lt;"&amp;J205,'Istoric_Nativ'!$P$6:$P$405,1,'Istoric_Nativ'!$D$6:$D$405,"&gt;="&amp;L205),SUMIFS('Istoric_Nativ'!$H$6:$H$405,'Istoric_Nativ'!$B$6:$B$405,E205,'Istoric_Nativ'!$C$6:$C$405,F205,'Istoric_Nativ'!$E$6:$E$405,G205,'Istoric_Nativ'!$D$6:$D$405,"&lt;"&amp;J205,'Istoric_Nativ'!$P$6:$P$405,1,'Istoric_Nativ'!$D$6:$D$405,"&gt;="&amp;L205)+SUMIFS('Istoric_Nativ'!$G$6:$G$405,'Istoric_Nativ'!$B$6:$B$405,E205,'Istoric_Nativ'!$C$6:$C$405,F205,'Istoric_Nativ'!$F$6:$F$405,G205,'Istoric_Nativ'!$D$6:$D$405,"&lt;"&amp;J205,'Istoric_Nativ'!$P$6:$P$405,1,'Istoric_Nativ'!$D$6:$D$405,"&gt;="&amp;L205)))/M205)</x:f>
      </x:c>
      <x:c r="P205" s="2" t="n">
        <x:f>'Config_v6'!$B$8</x:f>
        <x:v>5</x:v>
      </x:c>
      <x:c r="Q205" s="2" t="n">
        <x:f>IF(OR(B205="",F205=""),0,IFERROR(MATCH(E205&amp;"|"&amp;F205,SourceTable[Source_Key],0),0))</x:f>
        <x:v>0</x:v>
      </x:c>
      <x:c r="R205" s="2" t="str">
        <x:f>IF(B205="","",IF(F205="","UNUSED",IF(Q205=0,"NOT CHECKED",IF(COUNTIF(SourceTable[Source_Key],E205&amp;"|"&amp;F205)&lt;&gt;1,"SOURCE CONFLICT",IF(NOT(OR(INDEX(SourceTable[Status],MAX(1,Q205))="IMPORTED",INDEX(SourceTable[Status],MAX(1,Q205))="PARTIAL",INDEX(SourceTable[Status],MAX(1,Q205))="SOURCE CONFLICT")),"ACCESS BLOCKED",IF(OR(INDEX(SourceTable[Coverage],Q205)&lt;&gt;"FULL SEASON EXPORT",INDEX(SourceTable[URL],Q205)="",INDEX(SourceTable[SHA256],Q205)=""),"EVIDENCE INCOMPLETE",IF(AND('Input_Meci'!H22="LIVE",INDEX(SourceTable[Retrieved_UTC],Q205)&gt;'Input_Meci'!G22),"POST CUTOFF","CLOSED")))))))</x:f>
      </x:c>
      <x:c r="S205" s="2" t="n">
        <x:f>IF(OR(B205="",F205=""),0,COUNTIFS('Istoric_Nativ'!$B$6:$B$405,E205,'Istoric_Nativ'!$C$6:$C$405,F205,'Istoric_Nativ'!$E$6:$E$405,G205,'Istoric_Nativ'!$D$6:$D$405,"&lt;"&amp;J205,'Istoric_Nativ'!$O$6:$O$405,"INVALID")+COUNTIFS('Istoric_Nativ'!$B$6:$B$405,E205,'Istoric_Nativ'!$C$6:$C$405,F205,'Istoric_Nativ'!$E$6:$E$405,G205,'Istoric_Nativ'!$O$6:$O$405,"INVALID",'Istoric_Nativ'!$D$6:$D$405,"*")+COUNTIFS('Istoric_Nativ'!$B$6:$B$405,E205,'Istoric_Nativ'!$C$6:$C$405,F205,'Istoric_Nativ'!$E$6:$E$405,G205,'Istoric_Nativ'!$D$6:$D$405,"&lt;"&amp;J205,'Istoric_Nativ'!$O$6:$O$405,"SOURCE CONFLICT")+COUNTIFS('Istoric_Nativ'!$B$6:$B$405,E205,'Istoric_Nativ'!$C$6:$C$405,F205,'Istoric_Nativ'!$F$6:$F$405,G205,'Istoric_Nativ'!$D$6:$D$405,"&lt;"&amp;J205,'Istoric_Nativ'!$O$6:$O$405,"INVALID")+COUNTIFS('Istoric_Nativ'!$B$6:$B$405,E205,'Istoric_Nativ'!$C$6:$C$405,F205,'Istoric_Nativ'!$F$6:$F$405,G205,'Istoric_Nativ'!$O$6:$O$405,"INVALID",'Istoric_Nativ'!$D$6:$D$405,"*")+COUNTIFS('Istoric_Nativ'!$B$6:$B$405,E205,'Istoric_Nativ'!$C$6:$C$405,F205,'Istoric_Nativ'!$F$6:$F$405,G205,'Istoric_Nativ'!$D$6:$D$405,"&lt;"&amp;J205,'Istoric_Nativ'!$O$6:$O$405,"SOURCE CONFLICT"))</x:f>
        <x:v>0</x:v>
      </x:c>
      <x:c r="T205" s="2" t="str">
        <x:f>IF(B205="","",IF(R205&lt;&gt;"CLOSED",R205,IF(S205&gt;0,"NATIVE INPUT ISSUE",IF(M205=0,"NO HISTORY",IF(M205&lt;P205,"SMALL SAMPLE","DERIVED")))))</x:f>
      </x:c>
      <x:c r="U205" s="2" t="str">
        <x:f>IF(B205="","","NativeTable; "&amp;E205&amp;"; "&amp;F205&amp;"; "&amp;G205&amp;"; "&amp;H205&amp;"; before "&amp;TEXT(J205,"yyyy-mm-dd")&amp;IF(I205="RECENT","; from "&amp;TEXT(L205,"yyyy-mm-dd"),""))</x:f>
      </x:c>
    </x:row>
    <x:row r="206" ht="21" customHeight="1">
      <x:c r="A206" s="2" t="n">
        <x:v>17</x:v>
      </x:c>
      <x:c r="B206" s="2" t="str">
        <x:f>IF('Input_Meci'!A22="","",'Input_Meci'!A22)</x:f>
      </x:c>
      <x:c r="C206" s="2" t="str">
        <x:v>H</x:v>
      </x:c>
      <x:c r="D206" s="2" t="str">
        <x:v>PRIOR</x:v>
      </x:c>
      <x:c r="E206" s="2" t="str">
        <x:f>IF(B206="","",'Input_Meci'!B22)</x:f>
      </x:c>
      <x:c r="F206" s="2" t="str">
        <x:f>IF(B206="","",IF('Input_Meci'!K22="","",'Input_Meci'!K22))</x:f>
      </x:c>
      <x:c r="G206" s="2" t="str">
        <x:f>IF(B206="","",'Input_Meci'!D22)</x:f>
      </x:c>
      <x:c r="H206" s="2" t="str">
        <x:v>ANY</x:v>
      </x:c>
      <x:c r="I206" s="2" t="str">
        <x:v>RECENT</x:v>
      </x:c>
      <x:c r="J206" s="9" t="n">
        <x:f>IF(AND(B206&lt;&gt;"",ISNUMBER('Input_Meci'!G22)),INT('Input_Meci'!G22),0)</x:f>
        <x:v>0</x:v>
      </x:c>
      <x:c r="K206" s="2" t="n">
        <x:f>IF(OR(B206="",F206=""),0,IF(H206="HOME",COUNTIFS('Istoric_Nativ'!$B$6:$B$405,E206,'Istoric_Nativ'!$C$6:$C$405,F206,'Istoric_Nativ'!$E$6:$E$405,G206,'Istoric_Nativ'!$D$6:$D$405,"&lt;"&amp;J206,'Istoric_Nativ'!$P$6:$P$405,1),IF(H206="AWAY",COUNTIFS('Istoric_Nativ'!$B$6:$B$405,E206,'Istoric_Nativ'!$C$6:$C$405,F206,'Istoric_Nativ'!$F$6:$F$405,G206,'Istoric_Nativ'!$D$6:$D$405,"&lt;"&amp;J206,'Istoric_Nativ'!$P$6:$P$405,1),COUNTIFS('Istoric_Nativ'!$B$6:$B$405,E206,'Istoric_Nativ'!$C$6:$C$405,F206,'Istoric_Nativ'!$E$6:$E$405,G206,'Istoric_Nativ'!$D$6:$D$405,"&lt;"&amp;J206,'Istoric_Nativ'!$P$6:$P$405,1)+COUNTIFS('Istoric_Nativ'!$B$6:$B$405,E206,'Istoric_Nativ'!$C$6:$C$405,F206,'Istoric_Nativ'!$F$6:$F$405,G206,'Istoric_Nativ'!$D$6:$D$405,"&lt;"&amp;J206,'Istoric_Nativ'!$P$6:$P$405,1))))</x:f>
        <x:v>0</x:v>
      </x:c>
      <x:c r="L206" s="17" t="n">
        <x:f>IF(AND(B206&lt;&gt;"",I206="RECENT",K206&gt;0),LARGE(_xlfn._xlws.FILTER('Istoric_Nativ'!$D$6:$D$405,('Istoric_Nativ'!$B$6:$B$405=E206)*('Istoric_Nativ'!$C$6:$C$405=F206)*('Istoric_Nativ'!$P$6:$P$405=1)*('Istoric_Nativ'!$D$6:$D$405&lt;J206)*((('Istoric_Nativ'!$E$6:$E$405=G206)+('Istoric_Nativ'!$F$6:$F$405=G206))&gt;0)),MIN('Config_v6'!$B$54,K206)),0)</x:f>
        <x:v>0</x:v>
      </x:c>
      <x:c r="M206" s="2" t="n">
        <x:f>IF(OR(B206="",F206=""),0,IF(H206="HOME",COUNTIFS('Istoric_Nativ'!$B$6:$B$405,E206,'Istoric_Nativ'!$C$6:$C$405,F206,'Istoric_Nativ'!$E$6:$E$405,G206,'Istoric_Nativ'!$D$6:$D$405,"&lt;"&amp;J206,'Istoric_Nativ'!$P$6:$P$405,1,'Istoric_Nativ'!$D$6:$D$405,"&gt;="&amp;L206),IF(H206="AWAY",COUNTIFS('Istoric_Nativ'!$B$6:$B$405,E206,'Istoric_Nativ'!$C$6:$C$405,F206,'Istoric_Nativ'!$F$6:$F$405,G206,'Istoric_Nativ'!$D$6:$D$405,"&lt;"&amp;J206,'Istoric_Nativ'!$P$6:$P$405,1,'Istoric_Nativ'!$D$6:$D$405,"&gt;="&amp;L206),COUNTIFS('Istoric_Nativ'!$B$6:$B$405,E206,'Istoric_Nativ'!$C$6:$C$405,F206,'Istoric_Nativ'!$E$6:$E$405,G206,'Istoric_Nativ'!$D$6:$D$405,"&lt;"&amp;J206,'Istoric_Nativ'!$P$6:$P$405,1,'Istoric_Nativ'!$D$6:$D$405,"&gt;="&amp;L206)+COUNTIFS('Istoric_Nativ'!$B$6:$B$405,E206,'Istoric_Nativ'!$C$6:$C$405,F206,'Istoric_Nativ'!$F$6:$F$405,G206,'Istoric_Nativ'!$D$6:$D$405,"&lt;"&amp;J206,'Istoric_Nativ'!$P$6:$P$405,1,'Istoric_Nativ'!$D$6:$D$405,"&gt;="&amp;L206))))</x:f>
        <x:v>0</x:v>
      </x:c>
      <x:c r="N206" s="11" t="str">
        <x:f>IF(M206=0,"",IF(H206="HOME",SUMIFS('Istoric_Nativ'!$G$6:$G$405,'Istoric_Nativ'!$B$6:$B$405,E206,'Istoric_Nativ'!$C$6:$C$405,F206,'Istoric_Nativ'!$E$6:$E$405,G206,'Istoric_Nativ'!$D$6:$D$405,"&lt;"&amp;J206,'Istoric_Nativ'!$P$6:$P$405,1,'Istoric_Nativ'!$D$6:$D$405,"&gt;="&amp;L206),IF(H206="AWAY",SUMIFS('Istoric_Nativ'!$H$6:$H$405,'Istoric_Nativ'!$B$6:$B$405,E206,'Istoric_Nativ'!$C$6:$C$405,F206,'Istoric_Nativ'!$F$6:$F$405,G206,'Istoric_Nativ'!$D$6:$D$405,"&lt;"&amp;J206,'Istoric_Nativ'!$P$6:$P$405,1,'Istoric_Nativ'!$D$6:$D$405,"&gt;="&amp;L206),SUMIFS('Istoric_Nativ'!$G$6:$G$405,'Istoric_Nativ'!$B$6:$B$405,E206,'Istoric_Nativ'!$C$6:$C$405,F206,'Istoric_Nativ'!$E$6:$E$405,G206,'Istoric_Nativ'!$D$6:$D$405,"&lt;"&amp;J206,'Istoric_Nativ'!$P$6:$P$405,1,'Istoric_Nativ'!$D$6:$D$405,"&gt;="&amp;L206)+SUMIFS('Istoric_Nativ'!$H$6:$H$405,'Istoric_Nativ'!$B$6:$B$405,E206,'Istoric_Nativ'!$C$6:$C$405,F206,'Istoric_Nativ'!$F$6:$F$405,G206,'Istoric_Nativ'!$D$6:$D$405,"&lt;"&amp;J206,'Istoric_Nativ'!$P$6:$P$405,1,'Istoric_Nativ'!$D$6:$D$405,"&gt;="&amp;L206)))/M206)</x:f>
      </x:c>
      <x:c r="O206" s="11" t="str">
        <x:f>IF(M206=0,"",IF(H206="HOME",SUMIFS('Istoric_Nativ'!$H$6:$H$405,'Istoric_Nativ'!$B$6:$B$405,E206,'Istoric_Nativ'!$C$6:$C$405,F206,'Istoric_Nativ'!$E$6:$E$405,G206,'Istoric_Nativ'!$D$6:$D$405,"&lt;"&amp;J206,'Istoric_Nativ'!$P$6:$P$405,1,'Istoric_Nativ'!$D$6:$D$405,"&gt;="&amp;L206),IF(H206="AWAY",SUMIFS('Istoric_Nativ'!$G$6:$G$405,'Istoric_Nativ'!$B$6:$B$405,E206,'Istoric_Nativ'!$C$6:$C$405,F206,'Istoric_Nativ'!$F$6:$F$405,G206,'Istoric_Nativ'!$D$6:$D$405,"&lt;"&amp;J206,'Istoric_Nativ'!$P$6:$P$405,1,'Istoric_Nativ'!$D$6:$D$405,"&gt;="&amp;L206),SUMIFS('Istoric_Nativ'!$H$6:$H$405,'Istoric_Nativ'!$B$6:$B$405,E206,'Istoric_Nativ'!$C$6:$C$405,F206,'Istoric_Nativ'!$E$6:$E$405,G206,'Istoric_Nativ'!$D$6:$D$405,"&lt;"&amp;J206,'Istoric_Nativ'!$P$6:$P$405,1,'Istoric_Nativ'!$D$6:$D$405,"&gt;="&amp;L206)+SUMIFS('Istoric_Nativ'!$G$6:$G$405,'Istoric_Nativ'!$B$6:$B$405,E206,'Istoric_Nativ'!$C$6:$C$405,F206,'Istoric_Nativ'!$F$6:$F$405,G206,'Istoric_Nativ'!$D$6:$D$405,"&lt;"&amp;J206,'Istoric_Nativ'!$P$6:$P$405,1,'Istoric_Nativ'!$D$6:$D$405,"&gt;="&amp;L206)))/M206)</x:f>
      </x:c>
      <x:c r="P206" s="2" t="n">
        <x:f>'Config_v6'!$B$9</x:f>
        <x:v>3</x:v>
      </x:c>
      <x:c r="Q206" s="2" t="n">
        <x:f>IF(OR(B206="",F206=""),0,IFERROR(MATCH(E206&amp;"|"&amp;F206,SourceTable[Source_Key],0),0))</x:f>
        <x:v>0</x:v>
      </x:c>
      <x:c r="R206" s="2" t="str">
        <x:f>IF(B206="","",IF(F206="","UNUSED",IF(Q206=0,"NOT CHECKED",IF(COUNTIF(SourceTable[Source_Key],E206&amp;"|"&amp;F206)&lt;&gt;1,"SOURCE CONFLICT",IF(NOT(OR(INDEX(SourceTable[Status],MAX(1,Q206))="IMPORTED",INDEX(SourceTable[Status],MAX(1,Q206))="PARTIAL",INDEX(SourceTable[Status],MAX(1,Q206))="SOURCE CONFLICT")),"ACCESS BLOCKED",IF(OR(INDEX(SourceTable[Coverage],Q206)&lt;&gt;"FULL SEASON EXPORT",INDEX(SourceTable[URL],Q206)="",INDEX(SourceTable[SHA256],Q206)=""),"EVIDENCE INCOMPLETE",IF(AND('Input_Meci'!H22="LIVE",INDEX(SourceTable[Retrieved_UTC],Q206)&gt;'Input_Meci'!G22),"POST CUTOFF","CLOSED")))))))</x:f>
      </x:c>
      <x:c r="S206" s="2" t="n">
        <x:f>IF(OR(B206="",F206=""),0,COUNTIFS('Istoric_Nativ'!$B$6:$B$405,E206,'Istoric_Nativ'!$C$6:$C$405,F206,'Istoric_Nativ'!$E$6:$E$405,G206,'Istoric_Nativ'!$D$6:$D$405,"&lt;"&amp;J206,'Istoric_Nativ'!$O$6:$O$405,"INVALID")+COUNTIFS('Istoric_Nativ'!$B$6:$B$405,E206,'Istoric_Nativ'!$C$6:$C$405,F206,'Istoric_Nativ'!$E$6:$E$405,G206,'Istoric_Nativ'!$O$6:$O$405,"INVALID",'Istoric_Nativ'!$D$6:$D$405,"*")+COUNTIFS('Istoric_Nativ'!$B$6:$B$405,E206,'Istoric_Nativ'!$C$6:$C$405,F206,'Istoric_Nativ'!$E$6:$E$405,G206,'Istoric_Nativ'!$D$6:$D$405,"&lt;"&amp;J206,'Istoric_Nativ'!$O$6:$O$405,"SOURCE CONFLICT")+COUNTIFS('Istoric_Nativ'!$B$6:$B$405,E206,'Istoric_Nativ'!$C$6:$C$405,F206,'Istoric_Nativ'!$F$6:$F$405,G206,'Istoric_Nativ'!$D$6:$D$405,"&lt;"&amp;J206,'Istoric_Nativ'!$O$6:$O$405,"INVALID")+COUNTIFS('Istoric_Nativ'!$B$6:$B$405,E206,'Istoric_Nativ'!$C$6:$C$405,F206,'Istoric_Nativ'!$F$6:$F$405,G206,'Istoric_Nativ'!$O$6:$O$405,"INVALID",'Istoric_Nativ'!$D$6:$D$405,"*")+COUNTIFS('Istoric_Nativ'!$B$6:$B$405,E206,'Istoric_Nativ'!$C$6:$C$405,F206,'Istoric_Nativ'!$F$6:$F$405,G206,'Istoric_Nativ'!$D$6:$D$405,"&lt;"&amp;J206,'Istoric_Nativ'!$O$6:$O$405,"SOURCE CONFLICT"))</x:f>
        <x:v>0</x:v>
      </x:c>
      <x:c r="T206" s="2" t="str">
        <x:f>IF(B206="","",IF(R206&lt;&gt;"CLOSED",R206,IF(S206&gt;0,"NATIVE INPUT ISSUE",IF(M206=0,"NO HISTORY",IF(M206&lt;P206,"SMALL SAMPLE","DERIVED")))))</x:f>
      </x:c>
      <x:c r="U206" s="2" t="str">
        <x:f>IF(B206="","","NativeTable; "&amp;E206&amp;"; "&amp;F206&amp;"; "&amp;G206&amp;"; "&amp;H206&amp;"; before "&amp;TEXT(J206,"yyyy-mm-dd")&amp;IF(I206="RECENT","; from "&amp;TEXT(L206,"yyyy-mm-dd"),""))</x:f>
      </x:c>
    </x:row>
    <x:row r="207" ht="21" customHeight="1">
      <x:c r="A207" s="2" t="n">
        <x:v>17</x:v>
      </x:c>
      <x:c r="B207" s="2" t="str">
        <x:f>IF('Input_Meci'!A22="","",'Input_Meci'!A22)</x:f>
      </x:c>
      <x:c r="C207" s="2" t="str">
        <x:v>A</x:v>
      </x:c>
      <x:c r="D207" s="2" t="str">
        <x:v>PRIOR</x:v>
      </x:c>
      <x:c r="E207" s="2" t="str">
        <x:f>IF(B207="","",'Input_Meci'!B22)</x:f>
      </x:c>
      <x:c r="F207" s="2" t="str">
        <x:f>IF(B207="","",IF('Input_Meci'!K22="","",'Input_Meci'!K22))</x:f>
      </x:c>
      <x:c r="G207" s="2" t="str">
        <x:f>IF(B207="","",'Input_Meci'!E22)</x:f>
      </x:c>
      <x:c r="H207" s="2" t="str">
        <x:v>ANY</x:v>
      </x:c>
      <x:c r="I207" s="2" t="str">
        <x:v>SEASON</x:v>
      </x:c>
      <x:c r="J207" s="9" t="n">
        <x:f>IF(AND(B207&lt;&gt;"",ISNUMBER('Input_Meci'!G22)),INT('Input_Meci'!G22),0)</x:f>
        <x:v>0</x:v>
      </x:c>
      <x:c r="K207" s="2" t="n">
        <x:f>IF(OR(B207="",F207=""),0,IF(H207="HOME",COUNTIFS('Istoric_Nativ'!$B$6:$B$405,E207,'Istoric_Nativ'!$C$6:$C$405,F207,'Istoric_Nativ'!$E$6:$E$405,G207,'Istoric_Nativ'!$D$6:$D$405,"&lt;"&amp;J207,'Istoric_Nativ'!$P$6:$P$405,1),IF(H207="AWAY",COUNTIFS('Istoric_Nativ'!$B$6:$B$405,E207,'Istoric_Nativ'!$C$6:$C$405,F207,'Istoric_Nativ'!$F$6:$F$405,G207,'Istoric_Nativ'!$D$6:$D$405,"&lt;"&amp;J207,'Istoric_Nativ'!$P$6:$P$405,1),COUNTIFS('Istoric_Nativ'!$B$6:$B$405,E207,'Istoric_Nativ'!$C$6:$C$405,F207,'Istoric_Nativ'!$E$6:$E$405,G207,'Istoric_Nativ'!$D$6:$D$405,"&lt;"&amp;J207,'Istoric_Nativ'!$P$6:$P$405,1)+COUNTIFS('Istoric_Nativ'!$B$6:$B$405,E207,'Istoric_Nativ'!$C$6:$C$405,F207,'Istoric_Nativ'!$F$6:$F$405,G207,'Istoric_Nativ'!$D$6:$D$405,"&lt;"&amp;J207,'Istoric_Nativ'!$P$6:$P$405,1))))</x:f>
        <x:v>0</x:v>
      </x:c>
      <x:c r="L207" s="17" t="n">
        <x:f>IF(AND(B207&lt;&gt;"",I207="RECENT",K207&gt;0),LARGE(_xlfn._xlws.FILTER('Istoric_Nativ'!$D$6:$D$405,('Istoric_Nativ'!$B$6:$B$405=E207)*('Istoric_Nativ'!$C$6:$C$405=F207)*('Istoric_Nativ'!$P$6:$P$405=1)*('Istoric_Nativ'!$D$6:$D$405&lt;J207)*((('Istoric_Nativ'!$E$6:$E$405=G207)+('Istoric_Nativ'!$F$6:$F$405=G207))&gt;0)),MIN('Config_v6'!$B$54,K207)),0)</x:f>
        <x:v>0</x:v>
      </x:c>
      <x:c r="M207" s="2" t="n">
        <x:f>IF(OR(B207="",F207=""),0,IF(H207="HOME",COUNTIFS('Istoric_Nativ'!$B$6:$B$405,E207,'Istoric_Nativ'!$C$6:$C$405,F207,'Istoric_Nativ'!$E$6:$E$405,G207,'Istoric_Nativ'!$D$6:$D$405,"&lt;"&amp;J207,'Istoric_Nativ'!$P$6:$P$405,1,'Istoric_Nativ'!$D$6:$D$405,"&gt;="&amp;L207),IF(H207="AWAY",COUNTIFS('Istoric_Nativ'!$B$6:$B$405,E207,'Istoric_Nativ'!$C$6:$C$405,F207,'Istoric_Nativ'!$F$6:$F$405,G207,'Istoric_Nativ'!$D$6:$D$405,"&lt;"&amp;J207,'Istoric_Nativ'!$P$6:$P$405,1,'Istoric_Nativ'!$D$6:$D$405,"&gt;="&amp;L207),COUNTIFS('Istoric_Nativ'!$B$6:$B$405,E207,'Istoric_Nativ'!$C$6:$C$405,F207,'Istoric_Nativ'!$E$6:$E$405,G207,'Istoric_Nativ'!$D$6:$D$405,"&lt;"&amp;J207,'Istoric_Nativ'!$P$6:$P$405,1,'Istoric_Nativ'!$D$6:$D$405,"&gt;="&amp;L207)+COUNTIFS('Istoric_Nativ'!$B$6:$B$405,E207,'Istoric_Nativ'!$C$6:$C$405,F207,'Istoric_Nativ'!$F$6:$F$405,G207,'Istoric_Nativ'!$D$6:$D$405,"&lt;"&amp;J207,'Istoric_Nativ'!$P$6:$P$405,1,'Istoric_Nativ'!$D$6:$D$405,"&gt;="&amp;L207))))</x:f>
        <x:v>0</x:v>
      </x:c>
      <x:c r="N207" s="11" t="str">
        <x:f>IF(M207=0,"",IF(H207="HOME",SUMIFS('Istoric_Nativ'!$G$6:$G$405,'Istoric_Nativ'!$B$6:$B$405,E207,'Istoric_Nativ'!$C$6:$C$405,F207,'Istoric_Nativ'!$E$6:$E$405,G207,'Istoric_Nativ'!$D$6:$D$405,"&lt;"&amp;J207,'Istoric_Nativ'!$P$6:$P$405,1,'Istoric_Nativ'!$D$6:$D$405,"&gt;="&amp;L207),IF(H207="AWAY",SUMIFS('Istoric_Nativ'!$H$6:$H$405,'Istoric_Nativ'!$B$6:$B$405,E207,'Istoric_Nativ'!$C$6:$C$405,F207,'Istoric_Nativ'!$F$6:$F$405,G207,'Istoric_Nativ'!$D$6:$D$405,"&lt;"&amp;J207,'Istoric_Nativ'!$P$6:$P$405,1,'Istoric_Nativ'!$D$6:$D$405,"&gt;="&amp;L207),SUMIFS('Istoric_Nativ'!$G$6:$G$405,'Istoric_Nativ'!$B$6:$B$405,E207,'Istoric_Nativ'!$C$6:$C$405,F207,'Istoric_Nativ'!$E$6:$E$405,G207,'Istoric_Nativ'!$D$6:$D$405,"&lt;"&amp;J207,'Istoric_Nativ'!$P$6:$P$405,1,'Istoric_Nativ'!$D$6:$D$405,"&gt;="&amp;L207)+SUMIFS('Istoric_Nativ'!$H$6:$H$405,'Istoric_Nativ'!$B$6:$B$405,E207,'Istoric_Nativ'!$C$6:$C$405,F207,'Istoric_Nativ'!$F$6:$F$405,G207,'Istoric_Nativ'!$D$6:$D$405,"&lt;"&amp;J207,'Istoric_Nativ'!$P$6:$P$405,1,'Istoric_Nativ'!$D$6:$D$405,"&gt;="&amp;L207)))/M207)</x:f>
      </x:c>
      <x:c r="O207" s="11" t="str">
        <x:f>IF(M207=0,"",IF(H207="HOME",SUMIFS('Istoric_Nativ'!$H$6:$H$405,'Istoric_Nativ'!$B$6:$B$405,E207,'Istoric_Nativ'!$C$6:$C$405,F207,'Istoric_Nativ'!$E$6:$E$405,G207,'Istoric_Nativ'!$D$6:$D$405,"&lt;"&amp;J207,'Istoric_Nativ'!$P$6:$P$405,1,'Istoric_Nativ'!$D$6:$D$405,"&gt;="&amp;L207),IF(H207="AWAY",SUMIFS('Istoric_Nativ'!$G$6:$G$405,'Istoric_Nativ'!$B$6:$B$405,E207,'Istoric_Nativ'!$C$6:$C$405,F207,'Istoric_Nativ'!$F$6:$F$405,G207,'Istoric_Nativ'!$D$6:$D$405,"&lt;"&amp;J207,'Istoric_Nativ'!$P$6:$P$405,1,'Istoric_Nativ'!$D$6:$D$405,"&gt;="&amp;L207),SUMIFS('Istoric_Nativ'!$H$6:$H$405,'Istoric_Nativ'!$B$6:$B$405,E207,'Istoric_Nativ'!$C$6:$C$405,F207,'Istoric_Nativ'!$E$6:$E$405,G207,'Istoric_Nativ'!$D$6:$D$405,"&lt;"&amp;J207,'Istoric_Nativ'!$P$6:$P$405,1,'Istoric_Nativ'!$D$6:$D$405,"&gt;="&amp;L207)+SUMIFS('Istoric_Nativ'!$G$6:$G$405,'Istoric_Nativ'!$B$6:$B$405,E207,'Istoric_Nativ'!$C$6:$C$405,F207,'Istoric_Nativ'!$F$6:$F$405,G207,'Istoric_Nativ'!$D$6:$D$405,"&lt;"&amp;J207,'Istoric_Nativ'!$P$6:$P$405,1,'Istoric_Nativ'!$D$6:$D$405,"&gt;="&amp;L207)))/M207)</x:f>
      </x:c>
      <x:c r="P207" s="2" t="n">
        <x:f>'Config_v6'!$B$7</x:f>
        <x:v>10</x:v>
      </x:c>
      <x:c r="Q207" s="2" t="n">
        <x:f>IF(OR(B207="",F207=""),0,IFERROR(MATCH(E207&amp;"|"&amp;F207,SourceTable[Source_Key],0),0))</x:f>
        <x:v>0</x:v>
      </x:c>
      <x:c r="R207" s="2" t="str">
        <x:f>IF(B207="","",IF(F207="","UNUSED",IF(Q207=0,"NOT CHECKED",IF(COUNTIF(SourceTable[Source_Key],E207&amp;"|"&amp;F207)&lt;&gt;1,"SOURCE CONFLICT",IF(NOT(OR(INDEX(SourceTable[Status],MAX(1,Q207))="IMPORTED",INDEX(SourceTable[Status],MAX(1,Q207))="PARTIAL",INDEX(SourceTable[Status],MAX(1,Q207))="SOURCE CONFLICT")),"ACCESS BLOCKED",IF(OR(INDEX(SourceTable[Coverage],Q207)&lt;&gt;"FULL SEASON EXPORT",INDEX(SourceTable[URL],Q207)="",INDEX(SourceTable[SHA256],Q207)=""),"EVIDENCE INCOMPLETE",IF(AND('Input_Meci'!H22="LIVE",INDEX(SourceTable[Retrieved_UTC],Q207)&gt;'Input_Meci'!G22),"POST CUTOFF","CLOSED")))))))</x:f>
      </x:c>
      <x:c r="S207" s="2" t="n">
        <x:f>IF(OR(B207="",F207=""),0,COUNTIFS('Istoric_Nativ'!$B$6:$B$405,E207,'Istoric_Nativ'!$C$6:$C$405,F207,'Istoric_Nativ'!$E$6:$E$405,G207,'Istoric_Nativ'!$D$6:$D$405,"&lt;"&amp;J207,'Istoric_Nativ'!$O$6:$O$405,"INVALID")+COUNTIFS('Istoric_Nativ'!$B$6:$B$405,E207,'Istoric_Nativ'!$C$6:$C$405,F207,'Istoric_Nativ'!$E$6:$E$405,G207,'Istoric_Nativ'!$O$6:$O$405,"INVALID",'Istoric_Nativ'!$D$6:$D$405,"*")+COUNTIFS('Istoric_Nativ'!$B$6:$B$405,E207,'Istoric_Nativ'!$C$6:$C$405,F207,'Istoric_Nativ'!$E$6:$E$405,G207,'Istoric_Nativ'!$D$6:$D$405,"&lt;"&amp;J207,'Istoric_Nativ'!$O$6:$O$405,"SOURCE CONFLICT")+COUNTIFS('Istoric_Nativ'!$B$6:$B$405,E207,'Istoric_Nativ'!$C$6:$C$405,F207,'Istoric_Nativ'!$F$6:$F$405,G207,'Istoric_Nativ'!$D$6:$D$405,"&lt;"&amp;J207,'Istoric_Nativ'!$O$6:$O$405,"INVALID")+COUNTIFS('Istoric_Nativ'!$B$6:$B$405,E207,'Istoric_Nativ'!$C$6:$C$405,F207,'Istoric_Nativ'!$F$6:$F$405,G207,'Istoric_Nativ'!$O$6:$O$405,"INVALID",'Istoric_Nativ'!$D$6:$D$405,"*")+COUNTIFS('Istoric_Nativ'!$B$6:$B$405,E207,'Istoric_Nativ'!$C$6:$C$405,F207,'Istoric_Nativ'!$F$6:$F$405,G207,'Istoric_Nativ'!$D$6:$D$405,"&lt;"&amp;J207,'Istoric_Nativ'!$O$6:$O$405,"SOURCE CONFLICT"))</x:f>
        <x:v>0</x:v>
      </x:c>
      <x:c r="T207" s="2" t="str">
        <x:f>IF(B207="","",IF(R207&lt;&gt;"CLOSED",R207,IF(S207&gt;0,"NATIVE INPUT ISSUE",IF(M207=0,"NO HISTORY",IF(M207&lt;P207,"SMALL SAMPLE","DERIVED")))))</x:f>
      </x:c>
      <x:c r="U207" s="2" t="str">
        <x:f>IF(B207="","","NativeTable; "&amp;E207&amp;"; "&amp;F207&amp;"; "&amp;G207&amp;"; "&amp;H207&amp;"; before "&amp;TEXT(J207,"yyyy-mm-dd")&amp;IF(I207="RECENT","; from "&amp;TEXT(L207,"yyyy-mm-dd"),""))</x:f>
      </x:c>
    </x:row>
    <x:row r="208" ht="21" customHeight="1">
      <x:c r="A208" s="2" t="n">
        <x:v>17</x:v>
      </x:c>
      <x:c r="B208" s="2" t="str">
        <x:f>IF('Input_Meci'!A22="","",'Input_Meci'!A22)</x:f>
      </x:c>
      <x:c r="C208" s="2" t="str">
        <x:v>A</x:v>
      </x:c>
      <x:c r="D208" s="2" t="str">
        <x:v>PRIOR</x:v>
      </x:c>
      <x:c r="E208" s="2" t="str">
        <x:f>IF(B208="","",'Input_Meci'!B22)</x:f>
      </x:c>
      <x:c r="F208" s="2" t="str">
        <x:f>IF(B208="","",IF('Input_Meci'!K22="","",'Input_Meci'!K22))</x:f>
      </x:c>
      <x:c r="G208" s="2" t="str">
        <x:f>IF(B208="","",'Input_Meci'!E22)</x:f>
      </x:c>
      <x:c r="H208" s="2" t="str">
        <x:v>AWAY</x:v>
      </x:c>
      <x:c r="I208" s="2" t="str">
        <x:v>HA</x:v>
      </x:c>
      <x:c r="J208" s="9" t="n">
        <x:f>IF(AND(B208&lt;&gt;"",ISNUMBER('Input_Meci'!G22)),INT('Input_Meci'!G22),0)</x:f>
        <x:v>0</x:v>
      </x:c>
      <x:c r="K208" s="2" t="n">
        <x:f>IF(OR(B208="",F208=""),0,IF(H208="HOME",COUNTIFS('Istoric_Nativ'!$B$6:$B$405,E208,'Istoric_Nativ'!$C$6:$C$405,F208,'Istoric_Nativ'!$E$6:$E$405,G208,'Istoric_Nativ'!$D$6:$D$405,"&lt;"&amp;J208,'Istoric_Nativ'!$P$6:$P$405,1),IF(H208="AWAY",COUNTIFS('Istoric_Nativ'!$B$6:$B$405,E208,'Istoric_Nativ'!$C$6:$C$405,F208,'Istoric_Nativ'!$F$6:$F$405,G208,'Istoric_Nativ'!$D$6:$D$405,"&lt;"&amp;J208,'Istoric_Nativ'!$P$6:$P$405,1),COUNTIFS('Istoric_Nativ'!$B$6:$B$405,E208,'Istoric_Nativ'!$C$6:$C$405,F208,'Istoric_Nativ'!$E$6:$E$405,G208,'Istoric_Nativ'!$D$6:$D$405,"&lt;"&amp;J208,'Istoric_Nativ'!$P$6:$P$405,1)+COUNTIFS('Istoric_Nativ'!$B$6:$B$405,E208,'Istoric_Nativ'!$C$6:$C$405,F208,'Istoric_Nativ'!$F$6:$F$405,G208,'Istoric_Nativ'!$D$6:$D$405,"&lt;"&amp;J208,'Istoric_Nativ'!$P$6:$P$405,1))))</x:f>
        <x:v>0</x:v>
      </x:c>
      <x:c r="L208" s="17" t="n">
        <x:f>IF(AND(B208&lt;&gt;"",I208="RECENT",K208&gt;0),LARGE(_xlfn._xlws.FILTER('Istoric_Nativ'!$D$6:$D$405,('Istoric_Nativ'!$B$6:$B$405=E208)*('Istoric_Nativ'!$C$6:$C$405=F208)*('Istoric_Nativ'!$P$6:$P$405=1)*('Istoric_Nativ'!$D$6:$D$405&lt;J208)*((('Istoric_Nativ'!$E$6:$E$405=G208)+('Istoric_Nativ'!$F$6:$F$405=G208))&gt;0)),MIN('Config_v6'!$B$54,K208)),0)</x:f>
        <x:v>0</x:v>
      </x:c>
      <x:c r="M208" s="2" t="n">
        <x:f>IF(OR(B208="",F208=""),0,IF(H208="HOME",COUNTIFS('Istoric_Nativ'!$B$6:$B$405,E208,'Istoric_Nativ'!$C$6:$C$405,F208,'Istoric_Nativ'!$E$6:$E$405,G208,'Istoric_Nativ'!$D$6:$D$405,"&lt;"&amp;J208,'Istoric_Nativ'!$P$6:$P$405,1,'Istoric_Nativ'!$D$6:$D$405,"&gt;="&amp;L208),IF(H208="AWAY",COUNTIFS('Istoric_Nativ'!$B$6:$B$405,E208,'Istoric_Nativ'!$C$6:$C$405,F208,'Istoric_Nativ'!$F$6:$F$405,G208,'Istoric_Nativ'!$D$6:$D$405,"&lt;"&amp;J208,'Istoric_Nativ'!$P$6:$P$405,1,'Istoric_Nativ'!$D$6:$D$405,"&gt;="&amp;L208),COUNTIFS('Istoric_Nativ'!$B$6:$B$405,E208,'Istoric_Nativ'!$C$6:$C$405,F208,'Istoric_Nativ'!$E$6:$E$405,G208,'Istoric_Nativ'!$D$6:$D$405,"&lt;"&amp;J208,'Istoric_Nativ'!$P$6:$P$405,1,'Istoric_Nativ'!$D$6:$D$405,"&gt;="&amp;L208)+COUNTIFS('Istoric_Nativ'!$B$6:$B$405,E208,'Istoric_Nativ'!$C$6:$C$405,F208,'Istoric_Nativ'!$F$6:$F$405,G208,'Istoric_Nativ'!$D$6:$D$405,"&lt;"&amp;J208,'Istoric_Nativ'!$P$6:$P$405,1,'Istoric_Nativ'!$D$6:$D$405,"&gt;="&amp;L208))))</x:f>
        <x:v>0</x:v>
      </x:c>
      <x:c r="N208" s="11" t="str">
        <x:f>IF(M208=0,"",IF(H208="HOME",SUMIFS('Istoric_Nativ'!$G$6:$G$405,'Istoric_Nativ'!$B$6:$B$405,E208,'Istoric_Nativ'!$C$6:$C$405,F208,'Istoric_Nativ'!$E$6:$E$405,G208,'Istoric_Nativ'!$D$6:$D$405,"&lt;"&amp;J208,'Istoric_Nativ'!$P$6:$P$405,1,'Istoric_Nativ'!$D$6:$D$405,"&gt;="&amp;L208),IF(H208="AWAY",SUMIFS('Istoric_Nativ'!$H$6:$H$405,'Istoric_Nativ'!$B$6:$B$405,E208,'Istoric_Nativ'!$C$6:$C$405,F208,'Istoric_Nativ'!$F$6:$F$405,G208,'Istoric_Nativ'!$D$6:$D$405,"&lt;"&amp;J208,'Istoric_Nativ'!$P$6:$P$405,1,'Istoric_Nativ'!$D$6:$D$405,"&gt;="&amp;L208),SUMIFS('Istoric_Nativ'!$G$6:$G$405,'Istoric_Nativ'!$B$6:$B$405,E208,'Istoric_Nativ'!$C$6:$C$405,F208,'Istoric_Nativ'!$E$6:$E$405,G208,'Istoric_Nativ'!$D$6:$D$405,"&lt;"&amp;J208,'Istoric_Nativ'!$P$6:$P$405,1,'Istoric_Nativ'!$D$6:$D$405,"&gt;="&amp;L208)+SUMIFS('Istoric_Nativ'!$H$6:$H$405,'Istoric_Nativ'!$B$6:$B$405,E208,'Istoric_Nativ'!$C$6:$C$405,F208,'Istoric_Nativ'!$F$6:$F$405,G208,'Istoric_Nativ'!$D$6:$D$405,"&lt;"&amp;J208,'Istoric_Nativ'!$P$6:$P$405,1,'Istoric_Nativ'!$D$6:$D$405,"&gt;="&amp;L208)))/M208)</x:f>
      </x:c>
      <x:c r="O208" s="11" t="str">
        <x:f>IF(M208=0,"",IF(H208="HOME",SUMIFS('Istoric_Nativ'!$H$6:$H$405,'Istoric_Nativ'!$B$6:$B$405,E208,'Istoric_Nativ'!$C$6:$C$405,F208,'Istoric_Nativ'!$E$6:$E$405,G208,'Istoric_Nativ'!$D$6:$D$405,"&lt;"&amp;J208,'Istoric_Nativ'!$P$6:$P$405,1,'Istoric_Nativ'!$D$6:$D$405,"&gt;="&amp;L208),IF(H208="AWAY",SUMIFS('Istoric_Nativ'!$G$6:$G$405,'Istoric_Nativ'!$B$6:$B$405,E208,'Istoric_Nativ'!$C$6:$C$405,F208,'Istoric_Nativ'!$F$6:$F$405,G208,'Istoric_Nativ'!$D$6:$D$405,"&lt;"&amp;J208,'Istoric_Nativ'!$P$6:$P$405,1,'Istoric_Nativ'!$D$6:$D$405,"&gt;="&amp;L208),SUMIFS('Istoric_Nativ'!$H$6:$H$405,'Istoric_Nativ'!$B$6:$B$405,E208,'Istoric_Nativ'!$C$6:$C$405,F208,'Istoric_Nativ'!$E$6:$E$405,G208,'Istoric_Nativ'!$D$6:$D$405,"&lt;"&amp;J208,'Istoric_Nativ'!$P$6:$P$405,1,'Istoric_Nativ'!$D$6:$D$405,"&gt;="&amp;L208)+SUMIFS('Istoric_Nativ'!$G$6:$G$405,'Istoric_Nativ'!$B$6:$B$405,E208,'Istoric_Nativ'!$C$6:$C$405,F208,'Istoric_Nativ'!$F$6:$F$405,G208,'Istoric_Nativ'!$D$6:$D$405,"&lt;"&amp;J208,'Istoric_Nativ'!$P$6:$P$405,1,'Istoric_Nativ'!$D$6:$D$405,"&gt;="&amp;L208)))/M208)</x:f>
      </x:c>
      <x:c r="P208" s="2" t="n">
        <x:f>'Config_v6'!$B$8</x:f>
        <x:v>5</x:v>
      </x:c>
      <x:c r="Q208" s="2" t="n">
        <x:f>IF(OR(B208="",F208=""),0,IFERROR(MATCH(E208&amp;"|"&amp;F208,SourceTable[Source_Key],0),0))</x:f>
        <x:v>0</x:v>
      </x:c>
      <x:c r="R208" s="2" t="str">
        <x:f>IF(B208="","",IF(F208="","UNUSED",IF(Q208=0,"NOT CHECKED",IF(COUNTIF(SourceTable[Source_Key],E208&amp;"|"&amp;F208)&lt;&gt;1,"SOURCE CONFLICT",IF(NOT(OR(INDEX(SourceTable[Status],MAX(1,Q208))="IMPORTED",INDEX(SourceTable[Status],MAX(1,Q208))="PARTIAL",INDEX(SourceTable[Status],MAX(1,Q208))="SOURCE CONFLICT")),"ACCESS BLOCKED",IF(OR(INDEX(SourceTable[Coverage],Q208)&lt;&gt;"FULL SEASON EXPORT",INDEX(SourceTable[URL],Q208)="",INDEX(SourceTable[SHA256],Q208)=""),"EVIDENCE INCOMPLETE",IF(AND('Input_Meci'!H22="LIVE",INDEX(SourceTable[Retrieved_UTC],Q208)&gt;'Input_Meci'!G22),"POST CUTOFF","CLOSED")))))))</x:f>
      </x:c>
      <x:c r="S208" s="2" t="n">
        <x:f>IF(OR(B208="",F208=""),0,COUNTIFS('Istoric_Nativ'!$B$6:$B$405,E208,'Istoric_Nativ'!$C$6:$C$405,F208,'Istoric_Nativ'!$E$6:$E$405,G208,'Istoric_Nativ'!$D$6:$D$405,"&lt;"&amp;J208,'Istoric_Nativ'!$O$6:$O$405,"INVALID")+COUNTIFS('Istoric_Nativ'!$B$6:$B$405,E208,'Istoric_Nativ'!$C$6:$C$405,F208,'Istoric_Nativ'!$E$6:$E$405,G208,'Istoric_Nativ'!$O$6:$O$405,"INVALID",'Istoric_Nativ'!$D$6:$D$405,"*")+COUNTIFS('Istoric_Nativ'!$B$6:$B$405,E208,'Istoric_Nativ'!$C$6:$C$405,F208,'Istoric_Nativ'!$E$6:$E$405,G208,'Istoric_Nativ'!$D$6:$D$405,"&lt;"&amp;J208,'Istoric_Nativ'!$O$6:$O$405,"SOURCE CONFLICT")+COUNTIFS('Istoric_Nativ'!$B$6:$B$405,E208,'Istoric_Nativ'!$C$6:$C$405,F208,'Istoric_Nativ'!$F$6:$F$405,G208,'Istoric_Nativ'!$D$6:$D$405,"&lt;"&amp;J208,'Istoric_Nativ'!$O$6:$O$405,"INVALID")+COUNTIFS('Istoric_Nativ'!$B$6:$B$405,E208,'Istoric_Nativ'!$C$6:$C$405,F208,'Istoric_Nativ'!$F$6:$F$405,G208,'Istoric_Nativ'!$O$6:$O$405,"INVALID",'Istoric_Nativ'!$D$6:$D$405,"*")+COUNTIFS('Istoric_Nativ'!$B$6:$B$405,E208,'Istoric_Nativ'!$C$6:$C$405,F208,'Istoric_Nativ'!$F$6:$F$405,G208,'Istoric_Nativ'!$D$6:$D$405,"&lt;"&amp;J208,'Istoric_Nativ'!$O$6:$O$405,"SOURCE CONFLICT"))</x:f>
        <x:v>0</x:v>
      </x:c>
      <x:c r="T208" s="2" t="str">
        <x:f>IF(B208="","",IF(R208&lt;&gt;"CLOSED",R208,IF(S208&gt;0,"NATIVE INPUT ISSUE",IF(M208=0,"NO HISTORY",IF(M208&lt;P208,"SMALL SAMPLE","DERIVED")))))</x:f>
      </x:c>
      <x:c r="U208" s="2" t="str">
        <x:f>IF(B208="","","NativeTable; "&amp;E208&amp;"; "&amp;F208&amp;"; "&amp;G208&amp;"; "&amp;H208&amp;"; before "&amp;TEXT(J208,"yyyy-mm-dd")&amp;IF(I208="RECENT","; from "&amp;TEXT(L208,"yyyy-mm-dd"),""))</x:f>
      </x:c>
    </x:row>
    <x:row r="209" ht="21" customHeight="1">
      <x:c r="A209" s="2" t="n">
        <x:v>17</x:v>
      </x:c>
      <x:c r="B209" s="2" t="str">
        <x:f>IF('Input_Meci'!A22="","",'Input_Meci'!A22)</x:f>
      </x:c>
      <x:c r="C209" s="2" t="str">
        <x:v>A</x:v>
      </x:c>
      <x:c r="D209" s="2" t="str">
        <x:v>PRIOR</x:v>
      </x:c>
      <x:c r="E209" s="2" t="str">
        <x:f>IF(B209="","",'Input_Meci'!B22)</x:f>
      </x:c>
      <x:c r="F209" s="2" t="str">
        <x:f>IF(B209="","",IF('Input_Meci'!K22="","",'Input_Meci'!K22))</x:f>
      </x:c>
      <x:c r="G209" s="2" t="str">
        <x:f>IF(B209="","",'Input_Meci'!E22)</x:f>
      </x:c>
      <x:c r="H209" s="2" t="str">
        <x:v>ANY</x:v>
      </x:c>
      <x:c r="I209" s="2" t="str">
        <x:v>RECENT</x:v>
      </x:c>
      <x:c r="J209" s="9" t="n">
        <x:f>IF(AND(B209&lt;&gt;"",ISNUMBER('Input_Meci'!G22)),INT('Input_Meci'!G22),0)</x:f>
        <x:v>0</x:v>
      </x:c>
      <x:c r="K209" s="2" t="n">
        <x:f>IF(OR(B209="",F209=""),0,IF(H209="HOME",COUNTIFS('Istoric_Nativ'!$B$6:$B$405,E209,'Istoric_Nativ'!$C$6:$C$405,F209,'Istoric_Nativ'!$E$6:$E$405,G209,'Istoric_Nativ'!$D$6:$D$405,"&lt;"&amp;J209,'Istoric_Nativ'!$P$6:$P$405,1),IF(H209="AWAY",COUNTIFS('Istoric_Nativ'!$B$6:$B$405,E209,'Istoric_Nativ'!$C$6:$C$405,F209,'Istoric_Nativ'!$F$6:$F$405,G209,'Istoric_Nativ'!$D$6:$D$405,"&lt;"&amp;J209,'Istoric_Nativ'!$P$6:$P$405,1),COUNTIFS('Istoric_Nativ'!$B$6:$B$405,E209,'Istoric_Nativ'!$C$6:$C$405,F209,'Istoric_Nativ'!$E$6:$E$405,G209,'Istoric_Nativ'!$D$6:$D$405,"&lt;"&amp;J209,'Istoric_Nativ'!$P$6:$P$405,1)+COUNTIFS('Istoric_Nativ'!$B$6:$B$405,E209,'Istoric_Nativ'!$C$6:$C$405,F209,'Istoric_Nativ'!$F$6:$F$405,G209,'Istoric_Nativ'!$D$6:$D$405,"&lt;"&amp;J209,'Istoric_Nativ'!$P$6:$P$405,1))))</x:f>
        <x:v>0</x:v>
      </x:c>
      <x:c r="L209" s="17" t="n">
        <x:f>IF(AND(B209&lt;&gt;"",I209="RECENT",K209&gt;0),LARGE(_xlfn._xlws.FILTER('Istoric_Nativ'!$D$6:$D$405,('Istoric_Nativ'!$B$6:$B$405=E209)*('Istoric_Nativ'!$C$6:$C$405=F209)*('Istoric_Nativ'!$P$6:$P$405=1)*('Istoric_Nativ'!$D$6:$D$405&lt;J209)*((('Istoric_Nativ'!$E$6:$E$405=G209)+('Istoric_Nativ'!$F$6:$F$405=G209))&gt;0)),MIN('Config_v6'!$B$54,K209)),0)</x:f>
        <x:v>0</x:v>
      </x:c>
      <x:c r="M209" s="2" t="n">
        <x:f>IF(OR(B209="",F209=""),0,IF(H209="HOME",COUNTIFS('Istoric_Nativ'!$B$6:$B$405,E209,'Istoric_Nativ'!$C$6:$C$405,F209,'Istoric_Nativ'!$E$6:$E$405,G209,'Istoric_Nativ'!$D$6:$D$405,"&lt;"&amp;J209,'Istoric_Nativ'!$P$6:$P$405,1,'Istoric_Nativ'!$D$6:$D$405,"&gt;="&amp;L209),IF(H209="AWAY",COUNTIFS('Istoric_Nativ'!$B$6:$B$405,E209,'Istoric_Nativ'!$C$6:$C$405,F209,'Istoric_Nativ'!$F$6:$F$405,G209,'Istoric_Nativ'!$D$6:$D$405,"&lt;"&amp;J209,'Istoric_Nativ'!$P$6:$P$405,1,'Istoric_Nativ'!$D$6:$D$405,"&gt;="&amp;L209),COUNTIFS('Istoric_Nativ'!$B$6:$B$405,E209,'Istoric_Nativ'!$C$6:$C$405,F209,'Istoric_Nativ'!$E$6:$E$405,G209,'Istoric_Nativ'!$D$6:$D$405,"&lt;"&amp;J209,'Istoric_Nativ'!$P$6:$P$405,1,'Istoric_Nativ'!$D$6:$D$405,"&gt;="&amp;L209)+COUNTIFS('Istoric_Nativ'!$B$6:$B$405,E209,'Istoric_Nativ'!$C$6:$C$405,F209,'Istoric_Nativ'!$F$6:$F$405,G209,'Istoric_Nativ'!$D$6:$D$405,"&lt;"&amp;J209,'Istoric_Nativ'!$P$6:$P$405,1,'Istoric_Nativ'!$D$6:$D$405,"&gt;="&amp;L209))))</x:f>
        <x:v>0</x:v>
      </x:c>
      <x:c r="N209" s="11" t="str">
        <x:f>IF(M209=0,"",IF(H209="HOME",SUMIFS('Istoric_Nativ'!$G$6:$G$405,'Istoric_Nativ'!$B$6:$B$405,E209,'Istoric_Nativ'!$C$6:$C$405,F209,'Istoric_Nativ'!$E$6:$E$405,G209,'Istoric_Nativ'!$D$6:$D$405,"&lt;"&amp;J209,'Istoric_Nativ'!$P$6:$P$405,1,'Istoric_Nativ'!$D$6:$D$405,"&gt;="&amp;L209),IF(H209="AWAY",SUMIFS('Istoric_Nativ'!$H$6:$H$405,'Istoric_Nativ'!$B$6:$B$405,E209,'Istoric_Nativ'!$C$6:$C$405,F209,'Istoric_Nativ'!$F$6:$F$405,G209,'Istoric_Nativ'!$D$6:$D$405,"&lt;"&amp;J209,'Istoric_Nativ'!$P$6:$P$405,1,'Istoric_Nativ'!$D$6:$D$405,"&gt;="&amp;L209),SUMIFS('Istoric_Nativ'!$G$6:$G$405,'Istoric_Nativ'!$B$6:$B$405,E209,'Istoric_Nativ'!$C$6:$C$405,F209,'Istoric_Nativ'!$E$6:$E$405,G209,'Istoric_Nativ'!$D$6:$D$405,"&lt;"&amp;J209,'Istoric_Nativ'!$P$6:$P$405,1,'Istoric_Nativ'!$D$6:$D$405,"&gt;="&amp;L209)+SUMIFS('Istoric_Nativ'!$H$6:$H$405,'Istoric_Nativ'!$B$6:$B$405,E209,'Istoric_Nativ'!$C$6:$C$405,F209,'Istoric_Nativ'!$F$6:$F$405,G209,'Istoric_Nativ'!$D$6:$D$405,"&lt;"&amp;J209,'Istoric_Nativ'!$P$6:$P$405,1,'Istoric_Nativ'!$D$6:$D$405,"&gt;="&amp;L209)))/M209)</x:f>
      </x:c>
      <x:c r="O209" s="11" t="str">
        <x:f>IF(M209=0,"",IF(H209="HOME",SUMIFS('Istoric_Nativ'!$H$6:$H$405,'Istoric_Nativ'!$B$6:$B$405,E209,'Istoric_Nativ'!$C$6:$C$405,F209,'Istoric_Nativ'!$E$6:$E$405,G209,'Istoric_Nativ'!$D$6:$D$405,"&lt;"&amp;J209,'Istoric_Nativ'!$P$6:$P$405,1,'Istoric_Nativ'!$D$6:$D$405,"&gt;="&amp;L209),IF(H209="AWAY",SUMIFS('Istoric_Nativ'!$G$6:$G$405,'Istoric_Nativ'!$B$6:$B$405,E209,'Istoric_Nativ'!$C$6:$C$405,F209,'Istoric_Nativ'!$F$6:$F$405,G209,'Istoric_Nativ'!$D$6:$D$405,"&lt;"&amp;J209,'Istoric_Nativ'!$P$6:$P$405,1,'Istoric_Nativ'!$D$6:$D$405,"&gt;="&amp;L209),SUMIFS('Istoric_Nativ'!$H$6:$H$405,'Istoric_Nativ'!$B$6:$B$405,E209,'Istoric_Nativ'!$C$6:$C$405,F209,'Istoric_Nativ'!$E$6:$E$405,G209,'Istoric_Nativ'!$D$6:$D$405,"&lt;"&amp;J209,'Istoric_Nativ'!$P$6:$P$405,1,'Istoric_Nativ'!$D$6:$D$405,"&gt;="&amp;L209)+SUMIFS('Istoric_Nativ'!$G$6:$G$405,'Istoric_Nativ'!$B$6:$B$405,E209,'Istoric_Nativ'!$C$6:$C$405,F209,'Istoric_Nativ'!$F$6:$F$405,G209,'Istoric_Nativ'!$D$6:$D$405,"&lt;"&amp;J209,'Istoric_Nativ'!$P$6:$P$405,1,'Istoric_Nativ'!$D$6:$D$405,"&gt;="&amp;L209)))/M209)</x:f>
      </x:c>
      <x:c r="P209" s="2" t="n">
        <x:f>'Config_v6'!$B$9</x:f>
        <x:v>3</x:v>
      </x:c>
      <x:c r="Q209" s="2" t="n">
        <x:f>IF(OR(B209="",F209=""),0,IFERROR(MATCH(E209&amp;"|"&amp;F209,SourceTable[Source_Key],0),0))</x:f>
        <x:v>0</x:v>
      </x:c>
      <x:c r="R209" s="2" t="str">
        <x:f>IF(B209="","",IF(F209="","UNUSED",IF(Q209=0,"NOT CHECKED",IF(COUNTIF(SourceTable[Source_Key],E209&amp;"|"&amp;F209)&lt;&gt;1,"SOURCE CONFLICT",IF(NOT(OR(INDEX(SourceTable[Status],MAX(1,Q209))="IMPORTED",INDEX(SourceTable[Status],MAX(1,Q209))="PARTIAL",INDEX(SourceTable[Status],MAX(1,Q209))="SOURCE CONFLICT")),"ACCESS BLOCKED",IF(OR(INDEX(SourceTable[Coverage],Q209)&lt;&gt;"FULL SEASON EXPORT",INDEX(SourceTable[URL],Q209)="",INDEX(SourceTable[SHA256],Q209)=""),"EVIDENCE INCOMPLETE",IF(AND('Input_Meci'!H22="LIVE",INDEX(SourceTable[Retrieved_UTC],Q209)&gt;'Input_Meci'!G22),"POST CUTOFF","CLOSED")))))))</x:f>
      </x:c>
      <x:c r="S209" s="2" t="n">
        <x:f>IF(OR(B209="",F209=""),0,COUNTIFS('Istoric_Nativ'!$B$6:$B$405,E209,'Istoric_Nativ'!$C$6:$C$405,F209,'Istoric_Nativ'!$E$6:$E$405,G209,'Istoric_Nativ'!$D$6:$D$405,"&lt;"&amp;J209,'Istoric_Nativ'!$O$6:$O$405,"INVALID")+COUNTIFS('Istoric_Nativ'!$B$6:$B$405,E209,'Istoric_Nativ'!$C$6:$C$405,F209,'Istoric_Nativ'!$E$6:$E$405,G209,'Istoric_Nativ'!$O$6:$O$405,"INVALID",'Istoric_Nativ'!$D$6:$D$405,"*")+COUNTIFS('Istoric_Nativ'!$B$6:$B$405,E209,'Istoric_Nativ'!$C$6:$C$405,F209,'Istoric_Nativ'!$E$6:$E$405,G209,'Istoric_Nativ'!$D$6:$D$405,"&lt;"&amp;J209,'Istoric_Nativ'!$O$6:$O$405,"SOURCE CONFLICT")+COUNTIFS('Istoric_Nativ'!$B$6:$B$405,E209,'Istoric_Nativ'!$C$6:$C$405,F209,'Istoric_Nativ'!$F$6:$F$405,G209,'Istoric_Nativ'!$D$6:$D$405,"&lt;"&amp;J209,'Istoric_Nativ'!$O$6:$O$405,"INVALID")+COUNTIFS('Istoric_Nativ'!$B$6:$B$405,E209,'Istoric_Nativ'!$C$6:$C$405,F209,'Istoric_Nativ'!$F$6:$F$405,G209,'Istoric_Nativ'!$O$6:$O$405,"INVALID",'Istoric_Nativ'!$D$6:$D$405,"*")+COUNTIFS('Istoric_Nativ'!$B$6:$B$405,E209,'Istoric_Nativ'!$C$6:$C$405,F209,'Istoric_Nativ'!$F$6:$F$405,G209,'Istoric_Nativ'!$D$6:$D$405,"&lt;"&amp;J209,'Istoric_Nativ'!$O$6:$O$405,"SOURCE CONFLICT"))</x:f>
        <x:v>0</x:v>
      </x:c>
      <x:c r="T209" s="2" t="str">
        <x:f>IF(B209="","",IF(R209&lt;&gt;"CLOSED",R209,IF(S209&gt;0,"NATIVE INPUT ISSUE",IF(M209=0,"NO HISTORY",IF(M209&lt;P209,"SMALL SAMPLE","DERIVED")))))</x:f>
      </x:c>
      <x:c r="U209" s="2" t="str">
        <x:f>IF(B209="","","NativeTable; "&amp;E209&amp;"; "&amp;F209&amp;"; "&amp;G209&amp;"; "&amp;H209&amp;"; before "&amp;TEXT(J209,"yyyy-mm-dd")&amp;IF(I209="RECENT","; from "&amp;TEXT(L209,"yyyy-mm-dd"),""))</x:f>
      </x:c>
    </x:row>
    <x:row r="210" ht="21" customHeight="1">
      <x:c r="A210" s="2" t="n">
        <x:v>18</x:v>
      </x:c>
      <x:c r="B210" s="2" t="str">
        <x:f>IF('Input_Meci'!A23="","",'Input_Meci'!A23)</x:f>
      </x:c>
      <x:c r="C210" s="2" t="str">
        <x:v>H</x:v>
      </x:c>
      <x:c r="D210" s="2" t="str">
        <x:v>CURRENT</x:v>
      </x:c>
      <x:c r="E210" s="2" t="str">
        <x:f>IF(B210="","",'Input_Meci'!B23)</x:f>
      </x:c>
      <x:c r="F210" s="2" t="str">
        <x:f>IF(B210="","",IF('Input_Meci'!C23="","",'Input_Meci'!C23))</x:f>
      </x:c>
      <x:c r="G210" s="2" t="str">
        <x:f>IF(B210="","",'Input_Meci'!D23)</x:f>
      </x:c>
      <x:c r="H210" s="2" t="str">
        <x:v>ANY</x:v>
      </x:c>
      <x:c r="I210" s="2" t="str">
        <x:v>SEASON</x:v>
      </x:c>
      <x:c r="J210" s="9" t="n">
        <x:f>IF(AND(B210&lt;&gt;"",ISNUMBER('Input_Meci'!G23)),INT('Input_Meci'!G23),0)</x:f>
        <x:v>0</x:v>
      </x:c>
      <x:c r="K210" s="2" t="n">
        <x:f>IF(OR(B210="",F210=""),0,IF(H210="HOME",COUNTIFS('Istoric_Nativ'!$B$6:$B$405,E210,'Istoric_Nativ'!$C$6:$C$405,F210,'Istoric_Nativ'!$E$6:$E$405,G210,'Istoric_Nativ'!$D$6:$D$405,"&lt;"&amp;J210,'Istoric_Nativ'!$P$6:$P$405,1),IF(H210="AWAY",COUNTIFS('Istoric_Nativ'!$B$6:$B$405,E210,'Istoric_Nativ'!$C$6:$C$405,F210,'Istoric_Nativ'!$F$6:$F$405,G210,'Istoric_Nativ'!$D$6:$D$405,"&lt;"&amp;J210,'Istoric_Nativ'!$P$6:$P$405,1),COUNTIFS('Istoric_Nativ'!$B$6:$B$405,E210,'Istoric_Nativ'!$C$6:$C$405,F210,'Istoric_Nativ'!$E$6:$E$405,G210,'Istoric_Nativ'!$D$6:$D$405,"&lt;"&amp;J210,'Istoric_Nativ'!$P$6:$P$405,1)+COUNTIFS('Istoric_Nativ'!$B$6:$B$405,E210,'Istoric_Nativ'!$C$6:$C$405,F210,'Istoric_Nativ'!$F$6:$F$405,G210,'Istoric_Nativ'!$D$6:$D$405,"&lt;"&amp;J210,'Istoric_Nativ'!$P$6:$P$405,1))))</x:f>
        <x:v>0</x:v>
      </x:c>
      <x:c r="L210" s="17" t="n">
        <x:f>IF(AND(B210&lt;&gt;"",I210="RECENT",K210&gt;0),LARGE(_xlfn._xlws.FILTER('Istoric_Nativ'!$D$6:$D$405,('Istoric_Nativ'!$B$6:$B$405=E210)*('Istoric_Nativ'!$C$6:$C$405=F210)*('Istoric_Nativ'!$P$6:$P$405=1)*('Istoric_Nativ'!$D$6:$D$405&lt;J210)*((('Istoric_Nativ'!$E$6:$E$405=G210)+('Istoric_Nativ'!$F$6:$F$405=G210))&gt;0)),MIN('Config_v6'!$B$54,K210)),0)</x:f>
        <x:v>0</x:v>
      </x:c>
      <x:c r="M210" s="2" t="n">
        <x:f>IF(OR(B210="",F210=""),0,IF(H210="HOME",COUNTIFS('Istoric_Nativ'!$B$6:$B$405,E210,'Istoric_Nativ'!$C$6:$C$405,F210,'Istoric_Nativ'!$E$6:$E$405,G210,'Istoric_Nativ'!$D$6:$D$405,"&lt;"&amp;J210,'Istoric_Nativ'!$P$6:$P$405,1,'Istoric_Nativ'!$D$6:$D$405,"&gt;="&amp;L210),IF(H210="AWAY",COUNTIFS('Istoric_Nativ'!$B$6:$B$405,E210,'Istoric_Nativ'!$C$6:$C$405,F210,'Istoric_Nativ'!$F$6:$F$405,G210,'Istoric_Nativ'!$D$6:$D$405,"&lt;"&amp;J210,'Istoric_Nativ'!$P$6:$P$405,1,'Istoric_Nativ'!$D$6:$D$405,"&gt;="&amp;L210),COUNTIFS('Istoric_Nativ'!$B$6:$B$405,E210,'Istoric_Nativ'!$C$6:$C$405,F210,'Istoric_Nativ'!$E$6:$E$405,G210,'Istoric_Nativ'!$D$6:$D$405,"&lt;"&amp;J210,'Istoric_Nativ'!$P$6:$P$405,1,'Istoric_Nativ'!$D$6:$D$405,"&gt;="&amp;L210)+COUNTIFS('Istoric_Nativ'!$B$6:$B$405,E210,'Istoric_Nativ'!$C$6:$C$405,F210,'Istoric_Nativ'!$F$6:$F$405,G210,'Istoric_Nativ'!$D$6:$D$405,"&lt;"&amp;J210,'Istoric_Nativ'!$P$6:$P$405,1,'Istoric_Nativ'!$D$6:$D$405,"&gt;="&amp;L210))))</x:f>
        <x:v>0</x:v>
      </x:c>
      <x:c r="N210" s="11" t="str">
        <x:f>IF(M210=0,"",IF(H210="HOME",SUMIFS('Istoric_Nativ'!$G$6:$G$405,'Istoric_Nativ'!$B$6:$B$405,E210,'Istoric_Nativ'!$C$6:$C$405,F210,'Istoric_Nativ'!$E$6:$E$405,G210,'Istoric_Nativ'!$D$6:$D$405,"&lt;"&amp;J210,'Istoric_Nativ'!$P$6:$P$405,1,'Istoric_Nativ'!$D$6:$D$405,"&gt;="&amp;L210),IF(H210="AWAY",SUMIFS('Istoric_Nativ'!$H$6:$H$405,'Istoric_Nativ'!$B$6:$B$405,E210,'Istoric_Nativ'!$C$6:$C$405,F210,'Istoric_Nativ'!$F$6:$F$405,G210,'Istoric_Nativ'!$D$6:$D$405,"&lt;"&amp;J210,'Istoric_Nativ'!$P$6:$P$405,1,'Istoric_Nativ'!$D$6:$D$405,"&gt;="&amp;L210),SUMIFS('Istoric_Nativ'!$G$6:$G$405,'Istoric_Nativ'!$B$6:$B$405,E210,'Istoric_Nativ'!$C$6:$C$405,F210,'Istoric_Nativ'!$E$6:$E$405,G210,'Istoric_Nativ'!$D$6:$D$405,"&lt;"&amp;J210,'Istoric_Nativ'!$P$6:$P$405,1,'Istoric_Nativ'!$D$6:$D$405,"&gt;="&amp;L210)+SUMIFS('Istoric_Nativ'!$H$6:$H$405,'Istoric_Nativ'!$B$6:$B$405,E210,'Istoric_Nativ'!$C$6:$C$405,F210,'Istoric_Nativ'!$F$6:$F$405,G210,'Istoric_Nativ'!$D$6:$D$405,"&lt;"&amp;J210,'Istoric_Nativ'!$P$6:$P$405,1,'Istoric_Nativ'!$D$6:$D$405,"&gt;="&amp;L210)))/M210)</x:f>
      </x:c>
      <x:c r="O210" s="11" t="str">
        <x:f>IF(M210=0,"",IF(H210="HOME",SUMIFS('Istoric_Nativ'!$H$6:$H$405,'Istoric_Nativ'!$B$6:$B$405,E210,'Istoric_Nativ'!$C$6:$C$405,F210,'Istoric_Nativ'!$E$6:$E$405,G210,'Istoric_Nativ'!$D$6:$D$405,"&lt;"&amp;J210,'Istoric_Nativ'!$P$6:$P$405,1,'Istoric_Nativ'!$D$6:$D$405,"&gt;="&amp;L210),IF(H210="AWAY",SUMIFS('Istoric_Nativ'!$G$6:$G$405,'Istoric_Nativ'!$B$6:$B$405,E210,'Istoric_Nativ'!$C$6:$C$405,F210,'Istoric_Nativ'!$F$6:$F$405,G210,'Istoric_Nativ'!$D$6:$D$405,"&lt;"&amp;J210,'Istoric_Nativ'!$P$6:$P$405,1,'Istoric_Nativ'!$D$6:$D$405,"&gt;="&amp;L210),SUMIFS('Istoric_Nativ'!$H$6:$H$405,'Istoric_Nativ'!$B$6:$B$405,E210,'Istoric_Nativ'!$C$6:$C$405,F210,'Istoric_Nativ'!$E$6:$E$405,G210,'Istoric_Nativ'!$D$6:$D$405,"&lt;"&amp;J210,'Istoric_Nativ'!$P$6:$P$405,1,'Istoric_Nativ'!$D$6:$D$405,"&gt;="&amp;L210)+SUMIFS('Istoric_Nativ'!$G$6:$G$405,'Istoric_Nativ'!$B$6:$B$405,E210,'Istoric_Nativ'!$C$6:$C$405,F210,'Istoric_Nativ'!$F$6:$F$405,G210,'Istoric_Nativ'!$D$6:$D$405,"&lt;"&amp;J210,'Istoric_Nativ'!$P$6:$P$405,1,'Istoric_Nativ'!$D$6:$D$405,"&gt;="&amp;L210)))/M210)</x:f>
      </x:c>
      <x:c r="P210" s="2" t="n">
        <x:f>'Config_v6'!$B$7</x:f>
        <x:v>10</x:v>
      </x:c>
      <x:c r="Q210" s="2" t="n">
        <x:f>IF(OR(B210="",F210=""),0,IFERROR(MATCH(E210&amp;"|"&amp;F210,SourceTable[Source_Key],0),0))</x:f>
        <x:v>0</x:v>
      </x:c>
      <x:c r="R210" s="2" t="str">
        <x:f>IF(B210="","",IF(F210="","UNUSED",IF(Q210=0,"NOT CHECKED",IF(COUNTIF(SourceTable[Source_Key],E210&amp;"|"&amp;F210)&lt;&gt;1,"SOURCE CONFLICT",IF(NOT(OR(INDEX(SourceTable[Status],MAX(1,Q210))="IMPORTED",INDEX(SourceTable[Status],MAX(1,Q210))="PARTIAL",INDEX(SourceTable[Status],MAX(1,Q210))="SOURCE CONFLICT")),"ACCESS BLOCKED",IF(OR(INDEX(SourceTable[Coverage],Q210)&lt;&gt;"FULL SEASON EXPORT",INDEX(SourceTable[URL],Q210)="",INDEX(SourceTable[SHA256],Q210)=""),"EVIDENCE INCOMPLETE",IF(AND('Input_Meci'!H23="LIVE",INDEX(SourceTable[Retrieved_UTC],Q210)&gt;'Input_Meci'!G23),"POST CUTOFF","CLOSED")))))))</x:f>
      </x:c>
      <x:c r="S210" s="2" t="n">
        <x:f>IF(OR(B210="",F210=""),0,COUNTIFS('Istoric_Nativ'!$B$6:$B$405,E210,'Istoric_Nativ'!$C$6:$C$405,F210,'Istoric_Nativ'!$E$6:$E$405,G210,'Istoric_Nativ'!$D$6:$D$405,"&lt;"&amp;J210,'Istoric_Nativ'!$O$6:$O$405,"INVALID")+COUNTIFS('Istoric_Nativ'!$B$6:$B$405,E210,'Istoric_Nativ'!$C$6:$C$405,F210,'Istoric_Nativ'!$E$6:$E$405,G210,'Istoric_Nativ'!$O$6:$O$405,"INVALID",'Istoric_Nativ'!$D$6:$D$405,"*")+COUNTIFS('Istoric_Nativ'!$B$6:$B$405,E210,'Istoric_Nativ'!$C$6:$C$405,F210,'Istoric_Nativ'!$E$6:$E$405,G210,'Istoric_Nativ'!$D$6:$D$405,"&lt;"&amp;J210,'Istoric_Nativ'!$O$6:$O$405,"SOURCE CONFLICT")+COUNTIFS('Istoric_Nativ'!$B$6:$B$405,E210,'Istoric_Nativ'!$C$6:$C$405,F210,'Istoric_Nativ'!$F$6:$F$405,G210,'Istoric_Nativ'!$D$6:$D$405,"&lt;"&amp;J210,'Istoric_Nativ'!$O$6:$O$405,"INVALID")+COUNTIFS('Istoric_Nativ'!$B$6:$B$405,E210,'Istoric_Nativ'!$C$6:$C$405,F210,'Istoric_Nativ'!$F$6:$F$405,G210,'Istoric_Nativ'!$O$6:$O$405,"INVALID",'Istoric_Nativ'!$D$6:$D$405,"*")+COUNTIFS('Istoric_Nativ'!$B$6:$B$405,E210,'Istoric_Nativ'!$C$6:$C$405,F210,'Istoric_Nativ'!$F$6:$F$405,G210,'Istoric_Nativ'!$D$6:$D$405,"&lt;"&amp;J210,'Istoric_Nativ'!$O$6:$O$405,"SOURCE CONFLICT"))</x:f>
        <x:v>0</x:v>
      </x:c>
      <x:c r="T210" s="2" t="str">
        <x:f>IF(B210="","",IF(R210&lt;&gt;"CLOSED",R210,IF(S210&gt;0,"NATIVE INPUT ISSUE",IF(M210=0,"NO HISTORY",IF(M210&lt;P210,"SMALL SAMPLE","DERIVED")))))</x:f>
      </x:c>
      <x:c r="U210" s="2" t="str">
        <x:f>IF(B210="","","NativeTable; "&amp;E210&amp;"; "&amp;F210&amp;"; "&amp;G210&amp;"; "&amp;H210&amp;"; before "&amp;TEXT(J210,"yyyy-mm-dd")&amp;IF(I210="RECENT","; from "&amp;TEXT(L210,"yyyy-mm-dd"),""))</x:f>
      </x:c>
    </x:row>
    <x:row r="211" ht="21" customHeight="1">
      <x:c r="A211" s="2" t="n">
        <x:v>18</x:v>
      </x:c>
      <x:c r="B211" s="2" t="str">
        <x:f>IF('Input_Meci'!A23="","",'Input_Meci'!A23)</x:f>
      </x:c>
      <x:c r="C211" s="2" t="str">
        <x:v>H</x:v>
      </x:c>
      <x:c r="D211" s="2" t="str">
        <x:v>CURRENT</x:v>
      </x:c>
      <x:c r="E211" s="2" t="str">
        <x:f>IF(B211="","",'Input_Meci'!B23)</x:f>
      </x:c>
      <x:c r="F211" s="2" t="str">
        <x:f>IF(B211="","",IF('Input_Meci'!C23="","",'Input_Meci'!C23))</x:f>
      </x:c>
      <x:c r="G211" s="2" t="str">
        <x:f>IF(B211="","",'Input_Meci'!D23)</x:f>
      </x:c>
      <x:c r="H211" s="2" t="str">
        <x:v>HOME</x:v>
      </x:c>
      <x:c r="I211" s="2" t="str">
        <x:v>HA</x:v>
      </x:c>
      <x:c r="J211" s="9" t="n">
        <x:f>IF(AND(B211&lt;&gt;"",ISNUMBER('Input_Meci'!G23)),INT('Input_Meci'!G23),0)</x:f>
        <x:v>0</x:v>
      </x:c>
      <x:c r="K211" s="2" t="n">
        <x:f>IF(OR(B211="",F211=""),0,IF(H211="HOME",COUNTIFS('Istoric_Nativ'!$B$6:$B$405,E211,'Istoric_Nativ'!$C$6:$C$405,F211,'Istoric_Nativ'!$E$6:$E$405,G211,'Istoric_Nativ'!$D$6:$D$405,"&lt;"&amp;J211,'Istoric_Nativ'!$P$6:$P$405,1),IF(H211="AWAY",COUNTIFS('Istoric_Nativ'!$B$6:$B$405,E211,'Istoric_Nativ'!$C$6:$C$405,F211,'Istoric_Nativ'!$F$6:$F$405,G211,'Istoric_Nativ'!$D$6:$D$405,"&lt;"&amp;J211,'Istoric_Nativ'!$P$6:$P$405,1),COUNTIFS('Istoric_Nativ'!$B$6:$B$405,E211,'Istoric_Nativ'!$C$6:$C$405,F211,'Istoric_Nativ'!$E$6:$E$405,G211,'Istoric_Nativ'!$D$6:$D$405,"&lt;"&amp;J211,'Istoric_Nativ'!$P$6:$P$405,1)+COUNTIFS('Istoric_Nativ'!$B$6:$B$405,E211,'Istoric_Nativ'!$C$6:$C$405,F211,'Istoric_Nativ'!$F$6:$F$405,G211,'Istoric_Nativ'!$D$6:$D$405,"&lt;"&amp;J211,'Istoric_Nativ'!$P$6:$P$405,1))))</x:f>
        <x:v>0</x:v>
      </x:c>
      <x:c r="L211" s="17" t="n">
        <x:f>IF(AND(B211&lt;&gt;"",I211="RECENT",K211&gt;0),LARGE(_xlfn._xlws.FILTER('Istoric_Nativ'!$D$6:$D$405,('Istoric_Nativ'!$B$6:$B$405=E211)*('Istoric_Nativ'!$C$6:$C$405=F211)*('Istoric_Nativ'!$P$6:$P$405=1)*('Istoric_Nativ'!$D$6:$D$405&lt;J211)*((('Istoric_Nativ'!$E$6:$E$405=G211)+('Istoric_Nativ'!$F$6:$F$405=G211))&gt;0)),MIN('Config_v6'!$B$54,K211)),0)</x:f>
        <x:v>0</x:v>
      </x:c>
      <x:c r="M211" s="2" t="n">
        <x:f>IF(OR(B211="",F211=""),0,IF(H211="HOME",COUNTIFS('Istoric_Nativ'!$B$6:$B$405,E211,'Istoric_Nativ'!$C$6:$C$405,F211,'Istoric_Nativ'!$E$6:$E$405,G211,'Istoric_Nativ'!$D$6:$D$405,"&lt;"&amp;J211,'Istoric_Nativ'!$P$6:$P$405,1,'Istoric_Nativ'!$D$6:$D$405,"&gt;="&amp;L211),IF(H211="AWAY",COUNTIFS('Istoric_Nativ'!$B$6:$B$405,E211,'Istoric_Nativ'!$C$6:$C$405,F211,'Istoric_Nativ'!$F$6:$F$405,G211,'Istoric_Nativ'!$D$6:$D$405,"&lt;"&amp;J211,'Istoric_Nativ'!$P$6:$P$405,1,'Istoric_Nativ'!$D$6:$D$405,"&gt;="&amp;L211),COUNTIFS('Istoric_Nativ'!$B$6:$B$405,E211,'Istoric_Nativ'!$C$6:$C$405,F211,'Istoric_Nativ'!$E$6:$E$405,G211,'Istoric_Nativ'!$D$6:$D$405,"&lt;"&amp;J211,'Istoric_Nativ'!$P$6:$P$405,1,'Istoric_Nativ'!$D$6:$D$405,"&gt;="&amp;L211)+COUNTIFS('Istoric_Nativ'!$B$6:$B$405,E211,'Istoric_Nativ'!$C$6:$C$405,F211,'Istoric_Nativ'!$F$6:$F$405,G211,'Istoric_Nativ'!$D$6:$D$405,"&lt;"&amp;J211,'Istoric_Nativ'!$P$6:$P$405,1,'Istoric_Nativ'!$D$6:$D$405,"&gt;="&amp;L211))))</x:f>
        <x:v>0</x:v>
      </x:c>
      <x:c r="N211" s="11" t="str">
        <x:f>IF(M211=0,"",IF(H211="HOME",SUMIFS('Istoric_Nativ'!$G$6:$G$405,'Istoric_Nativ'!$B$6:$B$405,E211,'Istoric_Nativ'!$C$6:$C$405,F211,'Istoric_Nativ'!$E$6:$E$405,G211,'Istoric_Nativ'!$D$6:$D$405,"&lt;"&amp;J211,'Istoric_Nativ'!$P$6:$P$405,1,'Istoric_Nativ'!$D$6:$D$405,"&gt;="&amp;L211),IF(H211="AWAY",SUMIFS('Istoric_Nativ'!$H$6:$H$405,'Istoric_Nativ'!$B$6:$B$405,E211,'Istoric_Nativ'!$C$6:$C$405,F211,'Istoric_Nativ'!$F$6:$F$405,G211,'Istoric_Nativ'!$D$6:$D$405,"&lt;"&amp;J211,'Istoric_Nativ'!$P$6:$P$405,1,'Istoric_Nativ'!$D$6:$D$405,"&gt;="&amp;L211),SUMIFS('Istoric_Nativ'!$G$6:$G$405,'Istoric_Nativ'!$B$6:$B$405,E211,'Istoric_Nativ'!$C$6:$C$405,F211,'Istoric_Nativ'!$E$6:$E$405,G211,'Istoric_Nativ'!$D$6:$D$405,"&lt;"&amp;J211,'Istoric_Nativ'!$P$6:$P$405,1,'Istoric_Nativ'!$D$6:$D$405,"&gt;="&amp;L211)+SUMIFS('Istoric_Nativ'!$H$6:$H$405,'Istoric_Nativ'!$B$6:$B$405,E211,'Istoric_Nativ'!$C$6:$C$405,F211,'Istoric_Nativ'!$F$6:$F$405,G211,'Istoric_Nativ'!$D$6:$D$405,"&lt;"&amp;J211,'Istoric_Nativ'!$P$6:$P$405,1,'Istoric_Nativ'!$D$6:$D$405,"&gt;="&amp;L211)))/M211)</x:f>
      </x:c>
      <x:c r="O211" s="11" t="str">
        <x:f>IF(M211=0,"",IF(H211="HOME",SUMIFS('Istoric_Nativ'!$H$6:$H$405,'Istoric_Nativ'!$B$6:$B$405,E211,'Istoric_Nativ'!$C$6:$C$405,F211,'Istoric_Nativ'!$E$6:$E$405,G211,'Istoric_Nativ'!$D$6:$D$405,"&lt;"&amp;J211,'Istoric_Nativ'!$P$6:$P$405,1,'Istoric_Nativ'!$D$6:$D$405,"&gt;="&amp;L211),IF(H211="AWAY",SUMIFS('Istoric_Nativ'!$G$6:$G$405,'Istoric_Nativ'!$B$6:$B$405,E211,'Istoric_Nativ'!$C$6:$C$405,F211,'Istoric_Nativ'!$F$6:$F$405,G211,'Istoric_Nativ'!$D$6:$D$405,"&lt;"&amp;J211,'Istoric_Nativ'!$P$6:$P$405,1,'Istoric_Nativ'!$D$6:$D$405,"&gt;="&amp;L211),SUMIFS('Istoric_Nativ'!$H$6:$H$405,'Istoric_Nativ'!$B$6:$B$405,E211,'Istoric_Nativ'!$C$6:$C$405,F211,'Istoric_Nativ'!$E$6:$E$405,G211,'Istoric_Nativ'!$D$6:$D$405,"&lt;"&amp;J211,'Istoric_Nativ'!$P$6:$P$405,1,'Istoric_Nativ'!$D$6:$D$405,"&gt;="&amp;L211)+SUMIFS('Istoric_Nativ'!$G$6:$G$405,'Istoric_Nativ'!$B$6:$B$405,E211,'Istoric_Nativ'!$C$6:$C$405,F211,'Istoric_Nativ'!$F$6:$F$405,G211,'Istoric_Nativ'!$D$6:$D$405,"&lt;"&amp;J211,'Istoric_Nativ'!$P$6:$P$405,1,'Istoric_Nativ'!$D$6:$D$405,"&gt;="&amp;L211)))/M211)</x:f>
      </x:c>
      <x:c r="P211" s="2" t="n">
        <x:f>'Config_v6'!$B$8</x:f>
        <x:v>5</x:v>
      </x:c>
      <x:c r="Q211" s="2" t="n">
        <x:f>IF(OR(B211="",F211=""),0,IFERROR(MATCH(E211&amp;"|"&amp;F211,SourceTable[Source_Key],0),0))</x:f>
        <x:v>0</x:v>
      </x:c>
      <x:c r="R211" s="2" t="str">
        <x:f>IF(B211="","",IF(F211="","UNUSED",IF(Q211=0,"NOT CHECKED",IF(COUNTIF(SourceTable[Source_Key],E211&amp;"|"&amp;F211)&lt;&gt;1,"SOURCE CONFLICT",IF(NOT(OR(INDEX(SourceTable[Status],MAX(1,Q211))="IMPORTED",INDEX(SourceTable[Status],MAX(1,Q211))="PARTIAL",INDEX(SourceTable[Status],MAX(1,Q211))="SOURCE CONFLICT")),"ACCESS BLOCKED",IF(OR(INDEX(SourceTable[Coverage],Q211)&lt;&gt;"FULL SEASON EXPORT",INDEX(SourceTable[URL],Q211)="",INDEX(SourceTable[SHA256],Q211)=""),"EVIDENCE INCOMPLETE",IF(AND('Input_Meci'!H23="LIVE",INDEX(SourceTable[Retrieved_UTC],Q211)&gt;'Input_Meci'!G23),"POST CUTOFF","CLOSED")))))))</x:f>
      </x:c>
      <x:c r="S211" s="2" t="n">
        <x:f>IF(OR(B211="",F211=""),0,COUNTIFS('Istoric_Nativ'!$B$6:$B$405,E211,'Istoric_Nativ'!$C$6:$C$405,F211,'Istoric_Nativ'!$E$6:$E$405,G211,'Istoric_Nativ'!$D$6:$D$405,"&lt;"&amp;J211,'Istoric_Nativ'!$O$6:$O$405,"INVALID")+COUNTIFS('Istoric_Nativ'!$B$6:$B$405,E211,'Istoric_Nativ'!$C$6:$C$405,F211,'Istoric_Nativ'!$E$6:$E$405,G211,'Istoric_Nativ'!$O$6:$O$405,"INVALID",'Istoric_Nativ'!$D$6:$D$405,"*")+COUNTIFS('Istoric_Nativ'!$B$6:$B$405,E211,'Istoric_Nativ'!$C$6:$C$405,F211,'Istoric_Nativ'!$E$6:$E$405,G211,'Istoric_Nativ'!$D$6:$D$405,"&lt;"&amp;J211,'Istoric_Nativ'!$O$6:$O$405,"SOURCE CONFLICT")+COUNTIFS('Istoric_Nativ'!$B$6:$B$405,E211,'Istoric_Nativ'!$C$6:$C$405,F211,'Istoric_Nativ'!$F$6:$F$405,G211,'Istoric_Nativ'!$D$6:$D$405,"&lt;"&amp;J211,'Istoric_Nativ'!$O$6:$O$405,"INVALID")+COUNTIFS('Istoric_Nativ'!$B$6:$B$405,E211,'Istoric_Nativ'!$C$6:$C$405,F211,'Istoric_Nativ'!$F$6:$F$405,G211,'Istoric_Nativ'!$O$6:$O$405,"INVALID",'Istoric_Nativ'!$D$6:$D$405,"*")+COUNTIFS('Istoric_Nativ'!$B$6:$B$405,E211,'Istoric_Nativ'!$C$6:$C$405,F211,'Istoric_Nativ'!$F$6:$F$405,G211,'Istoric_Nativ'!$D$6:$D$405,"&lt;"&amp;J211,'Istoric_Nativ'!$O$6:$O$405,"SOURCE CONFLICT"))</x:f>
        <x:v>0</x:v>
      </x:c>
      <x:c r="T211" s="2" t="str">
        <x:f>IF(B211="","",IF(R211&lt;&gt;"CLOSED",R211,IF(S211&gt;0,"NATIVE INPUT ISSUE",IF(M211=0,"NO HISTORY",IF(M211&lt;P211,"SMALL SAMPLE","DERIVED")))))</x:f>
      </x:c>
      <x:c r="U211" s="2" t="str">
        <x:f>IF(B211="","","NativeTable; "&amp;E211&amp;"; "&amp;F211&amp;"; "&amp;G211&amp;"; "&amp;H211&amp;"; before "&amp;TEXT(J211,"yyyy-mm-dd")&amp;IF(I211="RECENT","; from "&amp;TEXT(L211,"yyyy-mm-dd"),""))</x:f>
      </x:c>
    </x:row>
    <x:row r="212" ht="21" customHeight="1">
      <x:c r="A212" s="2" t="n">
        <x:v>18</x:v>
      </x:c>
      <x:c r="B212" s="2" t="str">
        <x:f>IF('Input_Meci'!A23="","",'Input_Meci'!A23)</x:f>
      </x:c>
      <x:c r="C212" s="2" t="str">
        <x:v>H</x:v>
      </x:c>
      <x:c r="D212" s="2" t="str">
        <x:v>CURRENT</x:v>
      </x:c>
      <x:c r="E212" s="2" t="str">
        <x:f>IF(B212="","",'Input_Meci'!B23)</x:f>
      </x:c>
      <x:c r="F212" s="2" t="str">
        <x:f>IF(B212="","",IF('Input_Meci'!C23="","",'Input_Meci'!C23))</x:f>
      </x:c>
      <x:c r="G212" s="2" t="str">
        <x:f>IF(B212="","",'Input_Meci'!D23)</x:f>
      </x:c>
      <x:c r="H212" s="2" t="str">
        <x:v>ANY</x:v>
      </x:c>
      <x:c r="I212" s="2" t="str">
        <x:v>RECENT</x:v>
      </x:c>
      <x:c r="J212" s="9" t="n">
        <x:f>IF(AND(B212&lt;&gt;"",ISNUMBER('Input_Meci'!G23)),INT('Input_Meci'!G23),0)</x:f>
        <x:v>0</x:v>
      </x:c>
      <x:c r="K212" s="2" t="n">
        <x:f>IF(OR(B212="",F212=""),0,IF(H212="HOME",COUNTIFS('Istoric_Nativ'!$B$6:$B$405,E212,'Istoric_Nativ'!$C$6:$C$405,F212,'Istoric_Nativ'!$E$6:$E$405,G212,'Istoric_Nativ'!$D$6:$D$405,"&lt;"&amp;J212,'Istoric_Nativ'!$P$6:$P$405,1),IF(H212="AWAY",COUNTIFS('Istoric_Nativ'!$B$6:$B$405,E212,'Istoric_Nativ'!$C$6:$C$405,F212,'Istoric_Nativ'!$F$6:$F$405,G212,'Istoric_Nativ'!$D$6:$D$405,"&lt;"&amp;J212,'Istoric_Nativ'!$P$6:$P$405,1),COUNTIFS('Istoric_Nativ'!$B$6:$B$405,E212,'Istoric_Nativ'!$C$6:$C$405,F212,'Istoric_Nativ'!$E$6:$E$405,G212,'Istoric_Nativ'!$D$6:$D$405,"&lt;"&amp;J212,'Istoric_Nativ'!$P$6:$P$405,1)+COUNTIFS('Istoric_Nativ'!$B$6:$B$405,E212,'Istoric_Nativ'!$C$6:$C$405,F212,'Istoric_Nativ'!$F$6:$F$405,G212,'Istoric_Nativ'!$D$6:$D$405,"&lt;"&amp;J212,'Istoric_Nativ'!$P$6:$P$405,1))))</x:f>
        <x:v>0</x:v>
      </x:c>
      <x:c r="L212" s="17" t="n">
        <x:f>IF(AND(B212&lt;&gt;"",I212="RECENT",K212&gt;0),LARGE(_xlfn._xlws.FILTER('Istoric_Nativ'!$D$6:$D$405,('Istoric_Nativ'!$B$6:$B$405=E212)*('Istoric_Nativ'!$C$6:$C$405=F212)*('Istoric_Nativ'!$P$6:$P$405=1)*('Istoric_Nativ'!$D$6:$D$405&lt;J212)*((('Istoric_Nativ'!$E$6:$E$405=G212)+('Istoric_Nativ'!$F$6:$F$405=G212))&gt;0)),MIN('Config_v6'!$B$54,K212)),0)</x:f>
        <x:v>0</x:v>
      </x:c>
      <x:c r="M212" s="2" t="n">
        <x:f>IF(OR(B212="",F212=""),0,IF(H212="HOME",COUNTIFS('Istoric_Nativ'!$B$6:$B$405,E212,'Istoric_Nativ'!$C$6:$C$405,F212,'Istoric_Nativ'!$E$6:$E$405,G212,'Istoric_Nativ'!$D$6:$D$405,"&lt;"&amp;J212,'Istoric_Nativ'!$P$6:$P$405,1,'Istoric_Nativ'!$D$6:$D$405,"&gt;="&amp;L212),IF(H212="AWAY",COUNTIFS('Istoric_Nativ'!$B$6:$B$405,E212,'Istoric_Nativ'!$C$6:$C$405,F212,'Istoric_Nativ'!$F$6:$F$405,G212,'Istoric_Nativ'!$D$6:$D$405,"&lt;"&amp;J212,'Istoric_Nativ'!$P$6:$P$405,1,'Istoric_Nativ'!$D$6:$D$405,"&gt;="&amp;L212),COUNTIFS('Istoric_Nativ'!$B$6:$B$405,E212,'Istoric_Nativ'!$C$6:$C$405,F212,'Istoric_Nativ'!$E$6:$E$405,G212,'Istoric_Nativ'!$D$6:$D$405,"&lt;"&amp;J212,'Istoric_Nativ'!$P$6:$P$405,1,'Istoric_Nativ'!$D$6:$D$405,"&gt;="&amp;L212)+COUNTIFS('Istoric_Nativ'!$B$6:$B$405,E212,'Istoric_Nativ'!$C$6:$C$405,F212,'Istoric_Nativ'!$F$6:$F$405,G212,'Istoric_Nativ'!$D$6:$D$405,"&lt;"&amp;J212,'Istoric_Nativ'!$P$6:$P$405,1,'Istoric_Nativ'!$D$6:$D$405,"&gt;="&amp;L212))))</x:f>
        <x:v>0</x:v>
      </x:c>
      <x:c r="N212" s="11" t="str">
        <x:f>IF(M212=0,"",IF(H212="HOME",SUMIFS('Istoric_Nativ'!$G$6:$G$405,'Istoric_Nativ'!$B$6:$B$405,E212,'Istoric_Nativ'!$C$6:$C$405,F212,'Istoric_Nativ'!$E$6:$E$405,G212,'Istoric_Nativ'!$D$6:$D$405,"&lt;"&amp;J212,'Istoric_Nativ'!$P$6:$P$405,1,'Istoric_Nativ'!$D$6:$D$405,"&gt;="&amp;L212),IF(H212="AWAY",SUMIFS('Istoric_Nativ'!$H$6:$H$405,'Istoric_Nativ'!$B$6:$B$405,E212,'Istoric_Nativ'!$C$6:$C$405,F212,'Istoric_Nativ'!$F$6:$F$405,G212,'Istoric_Nativ'!$D$6:$D$405,"&lt;"&amp;J212,'Istoric_Nativ'!$P$6:$P$405,1,'Istoric_Nativ'!$D$6:$D$405,"&gt;="&amp;L212),SUMIFS('Istoric_Nativ'!$G$6:$G$405,'Istoric_Nativ'!$B$6:$B$405,E212,'Istoric_Nativ'!$C$6:$C$405,F212,'Istoric_Nativ'!$E$6:$E$405,G212,'Istoric_Nativ'!$D$6:$D$405,"&lt;"&amp;J212,'Istoric_Nativ'!$P$6:$P$405,1,'Istoric_Nativ'!$D$6:$D$405,"&gt;="&amp;L212)+SUMIFS('Istoric_Nativ'!$H$6:$H$405,'Istoric_Nativ'!$B$6:$B$405,E212,'Istoric_Nativ'!$C$6:$C$405,F212,'Istoric_Nativ'!$F$6:$F$405,G212,'Istoric_Nativ'!$D$6:$D$405,"&lt;"&amp;J212,'Istoric_Nativ'!$P$6:$P$405,1,'Istoric_Nativ'!$D$6:$D$405,"&gt;="&amp;L212)))/M212)</x:f>
      </x:c>
      <x:c r="O212" s="11" t="str">
        <x:f>IF(M212=0,"",IF(H212="HOME",SUMIFS('Istoric_Nativ'!$H$6:$H$405,'Istoric_Nativ'!$B$6:$B$405,E212,'Istoric_Nativ'!$C$6:$C$405,F212,'Istoric_Nativ'!$E$6:$E$405,G212,'Istoric_Nativ'!$D$6:$D$405,"&lt;"&amp;J212,'Istoric_Nativ'!$P$6:$P$405,1,'Istoric_Nativ'!$D$6:$D$405,"&gt;="&amp;L212),IF(H212="AWAY",SUMIFS('Istoric_Nativ'!$G$6:$G$405,'Istoric_Nativ'!$B$6:$B$405,E212,'Istoric_Nativ'!$C$6:$C$405,F212,'Istoric_Nativ'!$F$6:$F$405,G212,'Istoric_Nativ'!$D$6:$D$405,"&lt;"&amp;J212,'Istoric_Nativ'!$P$6:$P$405,1,'Istoric_Nativ'!$D$6:$D$405,"&gt;="&amp;L212),SUMIFS('Istoric_Nativ'!$H$6:$H$405,'Istoric_Nativ'!$B$6:$B$405,E212,'Istoric_Nativ'!$C$6:$C$405,F212,'Istoric_Nativ'!$E$6:$E$405,G212,'Istoric_Nativ'!$D$6:$D$405,"&lt;"&amp;J212,'Istoric_Nativ'!$P$6:$P$405,1,'Istoric_Nativ'!$D$6:$D$405,"&gt;="&amp;L212)+SUMIFS('Istoric_Nativ'!$G$6:$G$405,'Istoric_Nativ'!$B$6:$B$405,E212,'Istoric_Nativ'!$C$6:$C$405,F212,'Istoric_Nativ'!$F$6:$F$405,G212,'Istoric_Nativ'!$D$6:$D$405,"&lt;"&amp;J212,'Istoric_Nativ'!$P$6:$P$405,1,'Istoric_Nativ'!$D$6:$D$405,"&gt;="&amp;L212)))/M212)</x:f>
      </x:c>
      <x:c r="P212" s="2" t="n">
        <x:f>'Config_v6'!$B$9</x:f>
        <x:v>3</x:v>
      </x:c>
      <x:c r="Q212" s="2" t="n">
        <x:f>IF(OR(B212="",F212=""),0,IFERROR(MATCH(E212&amp;"|"&amp;F212,SourceTable[Source_Key],0),0))</x:f>
        <x:v>0</x:v>
      </x:c>
      <x:c r="R212" s="2" t="str">
        <x:f>IF(B212="","",IF(F212="","UNUSED",IF(Q212=0,"NOT CHECKED",IF(COUNTIF(SourceTable[Source_Key],E212&amp;"|"&amp;F212)&lt;&gt;1,"SOURCE CONFLICT",IF(NOT(OR(INDEX(SourceTable[Status],MAX(1,Q212))="IMPORTED",INDEX(SourceTable[Status],MAX(1,Q212))="PARTIAL",INDEX(SourceTable[Status],MAX(1,Q212))="SOURCE CONFLICT")),"ACCESS BLOCKED",IF(OR(INDEX(SourceTable[Coverage],Q212)&lt;&gt;"FULL SEASON EXPORT",INDEX(SourceTable[URL],Q212)="",INDEX(SourceTable[SHA256],Q212)=""),"EVIDENCE INCOMPLETE",IF(AND('Input_Meci'!H23="LIVE",INDEX(SourceTable[Retrieved_UTC],Q212)&gt;'Input_Meci'!G23),"POST CUTOFF","CLOSED")))))))</x:f>
      </x:c>
      <x:c r="S212" s="2" t="n">
        <x:f>IF(OR(B212="",F212=""),0,COUNTIFS('Istoric_Nativ'!$B$6:$B$405,E212,'Istoric_Nativ'!$C$6:$C$405,F212,'Istoric_Nativ'!$E$6:$E$405,G212,'Istoric_Nativ'!$D$6:$D$405,"&lt;"&amp;J212,'Istoric_Nativ'!$O$6:$O$405,"INVALID")+COUNTIFS('Istoric_Nativ'!$B$6:$B$405,E212,'Istoric_Nativ'!$C$6:$C$405,F212,'Istoric_Nativ'!$E$6:$E$405,G212,'Istoric_Nativ'!$O$6:$O$405,"INVALID",'Istoric_Nativ'!$D$6:$D$405,"*")+COUNTIFS('Istoric_Nativ'!$B$6:$B$405,E212,'Istoric_Nativ'!$C$6:$C$405,F212,'Istoric_Nativ'!$E$6:$E$405,G212,'Istoric_Nativ'!$D$6:$D$405,"&lt;"&amp;J212,'Istoric_Nativ'!$O$6:$O$405,"SOURCE CONFLICT")+COUNTIFS('Istoric_Nativ'!$B$6:$B$405,E212,'Istoric_Nativ'!$C$6:$C$405,F212,'Istoric_Nativ'!$F$6:$F$405,G212,'Istoric_Nativ'!$D$6:$D$405,"&lt;"&amp;J212,'Istoric_Nativ'!$O$6:$O$405,"INVALID")+COUNTIFS('Istoric_Nativ'!$B$6:$B$405,E212,'Istoric_Nativ'!$C$6:$C$405,F212,'Istoric_Nativ'!$F$6:$F$405,G212,'Istoric_Nativ'!$O$6:$O$405,"INVALID",'Istoric_Nativ'!$D$6:$D$405,"*")+COUNTIFS('Istoric_Nativ'!$B$6:$B$405,E212,'Istoric_Nativ'!$C$6:$C$405,F212,'Istoric_Nativ'!$F$6:$F$405,G212,'Istoric_Nativ'!$D$6:$D$405,"&lt;"&amp;J212,'Istoric_Nativ'!$O$6:$O$405,"SOURCE CONFLICT"))</x:f>
        <x:v>0</x:v>
      </x:c>
      <x:c r="T212" s="2" t="str">
        <x:f>IF(B212="","",IF(R212&lt;&gt;"CLOSED",R212,IF(S212&gt;0,"NATIVE INPUT ISSUE",IF(M212=0,"NO HISTORY",IF(M212&lt;P212,"SMALL SAMPLE","DERIVED")))))</x:f>
      </x:c>
      <x:c r="U212" s="2" t="str">
        <x:f>IF(B212="","","NativeTable; "&amp;E212&amp;"; "&amp;F212&amp;"; "&amp;G212&amp;"; "&amp;H212&amp;"; before "&amp;TEXT(J212,"yyyy-mm-dd")&amp;IF(I212="RECENT","; from "&amp;TEXT(L212,"yyyy-mm-dd"),""))</x:f>
      </x:c>
    </x:row>
    <x:row r="213" ht="21" customHeight="1">
      <x:c r="A213" s="2" t="n">
        <x:v>18</x:v>
      </x:c>
      <x:c r="B213" s="2" t="str">
        <x:f>IF('Input_Meci'!A23="","",'Input_Meci'!A23)</x:f>
      </x:c>
      <x:c r="C213" s="2" t="str">
        <x:v>A</x:v>
      </x:c>
      <x:c r="D213" s="2" t="str">
        <x:v>CURRENT</x:v>
      </x:c>
      <x:c r="E213" s="2" t="str">
        <x:f>IF(B213="","",'Input_Meci'!B23)</x:f>
      </x:c>
      <x:c r="F213" s="2" t="str">
        <x:f>IF(B213="","",IF('Input_Meci'!C23="","",'Input_Meci'!C23))</x:f>
      </x:c>
      <x:c r="G213" s="2" t="str">
        <x:f>IF(B213="","",'Input_Meci'!E23)</x:f>
      </x:c>
      <x:c r="H213" s="2" t="str">
        <x:v>ANY</x:v>
      </x:c>
      <x:c r="I213" s="2" t="str">
        <x:v>SEASON</x:v>
      </x:c>
      <x:c r="J213" s="9" t="n">
        <x:f>IF(AND(B213&lt;&gt;"",ISNUMBER('Input_Meci'!G23)),INT('Input_Meci'!G23),0)</x:f>
        <x:v>0</x:v>
      </x:c>
      <x:c r="K213" s="2" t="n">
        <x:f>IF(OR(B213="",F213=""),0,IF(H213="HOME",COUNTIFS('Istoric_Nativ'!$B$6:$B$405,E213,'Istoric_Nativ'!$C$6:$C$405,F213,'Istoric_Nativ'!$E$6:$E$405,G213,'Istoric_Nativ'!$D$6:$D$405,"&lt;"&amp;J213,'Istoric_Nativ'!$P$6:$P$405,1),IF(H213="AWAY",COUNTIFS('Istoric_Nativ'!$B$6:$B$405,E213,'Istoric_Nativ'!$C$6:$C$405,F213,'Istoric_Nativ'!$F$6:$F$405,G213,'Istoric_Nativ'!$D$6:$D$405,"&lt;"&amp;J213,'Istoric_Nativ'!$P$6:$P$405,1),COUNTIFS('Istoric_Nativ'!$B$6:$B$405,E213,'Istoric_Nativ'!$C$6:$C$405,F213,'Istoric_Nativ'!$E$6:$E$405,G213,'Istoric_Nativ'!$D$6:$D$405,"&lt;"&amp;J213,'Istoric_Nativ'!$P$6:$P$405,1)+COUNTIFS('Istoric_Nativ'!$B$6:$B$405,E213,'Istoric_Nativ'!$C$6:$C$405,F213,'Istoric_Nativ'!$F$6:$F$405,G213,'Istoric_Nativ'!$D$6:$D$405,"&lt;"&amp;J213,'Istoric_Nativ'!$P$6:$P$405,1))))</x:f>
        <x:v>0</x:v>
      </x:c>
      <x:c r="L213" s="17" t="n">
        <x:f>IF(AND(B213&lt;&gt;"",I213="RECENT",K213&gt;0),LARGE(_xlfn._xlws.FILTER('Istoric_Nativ'!$D$6:$D$405,('Istoric_Nativ'!$B$6:$B$405=E213)*('Istoric_Nativ'!$C$6:$C$405=F213)*('Istoric_Nativ'!$P$6:$P$405=1)*('Istoric_Nativ'!$D$6:$D$405&lt;J213)*((('Istoric_Nativ'!$E$6:$E$405=G213)+('Istoric_Nativ'!$F$6:$F$405=G213))&gt;0)),MIN('Config_v6'!$B$54,K213)),0)</x:f>
        <x:v>0</x:v>
      </x:c>
      <x:c r="M213" s="2" t="n">
        <x:f>IF(OR(B213="",F213=""),0,IF(H213="HOME",COUNTIFS('Istoric_Nativ'!$B$6:$B$405,E213,'Istoric_Nativ'!$C$6:$C$405,F213,'Istoric_Nativ'!$E$6:$E$405,G213,'Istoric_Nativ'!$D$6:$D$405,"&lt;"&amp;J213,'Istoric_Nativ'!$P$6:$P$405,1,'Istoric_Nativ'!$D$6:$D$405,"&gt;="&amp;L213),IF(H213="AWAY",COUNTIFS('Istoric_Nativ'!$B$6:$B$405,E213,'Istoric_Nativ'!$C$6:$C$405,F213,'Istoric_Nativ'!$F$6:$F$405,G213,'Istoric_Nativ'!$D$6:$D$405,"&lt;"&amp;J213,'Istoric_Nativ'!$P$6:$P$405,1,'Istoric_Nativ'!$D$6:$D$405,"&gt;="&amp;L213),COUNTIFS('Istoric_Nativ'!$B$6:$B$405,E213,'Istoric_Nativ'!$C$6:$C$405,F213,'Istoric_Nativ'!$E$6:$E$405,G213,'Istoric_Nativ'!$D$6:$D$405,"&lt;"&amp;J213,'Istoric_Nativ'!$P$6:$P$405,1,'Istoric_Nativ'!$D$6:$D$405,"&gt;="&amp;L213)+COUNTIFS('Istoric_Nativ'!$B$6:$B$405,E213,'Istoric_Nativ'!$C$6:$C$405,F213,'Istoric_Nativ'!$F$6:$F$405,G213,'Istoric_Nativ'!$D$6:$D$405,"&lt;"&amp;J213,'Istoric_Nativ'!$P$6:$P$405,1,'Istoric_Nativ'!$D$6:$D$405,"&gt;="&amp;L213))))</x:f>
        <x:v>0</x:v>
      </x:c>
      <x:c r="N213" s="11" t="str">
        <x:f>IF(M213=0,"",IF(H213="HOME",SUMIFS('Istoric_Nativ'!$G$6:$G$405,'Istoric_Nativ'!$B$6:$B$405,E213,'Istoric_Nativ'!$C$6:$C$405,F213,'Istoric_Nativ'!$E$6:$E$405,G213,'Istoric_Nativ'!$D$6:$D$405,"&lt;"&amp;J213,'Istoric_Nativ'!$P$6:$P$405,1,'Istoric_Nativ'!$D$6:$D$405,"&gt;="&amp;L213),IF(H213="AWAY",SUMIFS('Istoric_Nativ'!$H$6:$H$405,'Istoric_Nativ'!$B$6:$B$405,E213,'Istoric_Nativ'!$C$6:$C$405,F213,'Istoric_Nativ'!$F$6:$F$405,G213,'Istoric_Nativ'!$D$6:$D$405,"&lt;"&amp;J213,'Istoric_Nativ'!$P$6:$P$405,1,'Istoric_Nativ'!$D$6:$D$405,"&gt;="&amp;L213),SUMIFS('Istoric_Nativ'!$G$6:$G$405,'Istoric_Nativ'!$B$6:$B$405,E213,'Istoric_Nativ'!$C$6:$C$405,F213,'Istoric_Nativ'!$E$6:$E$405,G213,'Istoric_Nativ'!$D$6:$D$405,"&lt;"&amp;J213,'Istoric_Nativ'!$P$6:$P$405,1,'Istoric_Nativ'!$D$6:$D$405,"&gt;="&amp;L213)+SUMIFS('Istoric_Nativ'!$H$6:$H$405,'Istoric_Nativ'!$B$6:$B$405,E213,'Istoric_Nativ'!$C$6:$C$405,F213,'Istoric_Nativ'!$F$6:$F$405,G213,'Istoric_Nativ'!$D$6:$D$405,"&lt;"&amp;J213,'Istoric_Nativ'!$P$6:$P$405,1,'Istoric_Nativ'!$D$6:$D$405,"&gt;="&amp;L213)))/M213)</x:f>
      </x:c>
      <x:c r="O213" s="11" t="str">
        <x:f>IF(M213=0,"",IF(H213="HOME",SUMIFS('Istoric_Nativ'!$H$6:$H$405,'Istoric_Nativ'!$B$6:$B$405,E213,'Istoric_Nativ'!$C$6:$C$405,F213,'Istoric_Nativ'!$E$6:$E$405,G213,'Istoric_Nativ'!$D$6:$D$405,"&lt;"&amp;J213,'Istoric_Nativ'!$P$6:$P$405,1,'Istoric_Nativ'!$D$6:$D$405,"&gt;="&amp;L213),IF(H213="AWAY",SUMIFS('Istoric_Nativ'!$G$6:$G$405,'Istoric_Nativ'!$B$6:$B$405,E213,'Istoric_Nativ'!$C$6:$C$405,F213,'Istoric_Nativ'!$F$6:$F$405,G213,'Istoric_Nativ'!$D$6:$D$405,"&lt;"&amp;J213,'Istoric_Nativ'!$P$6:$P$405,1,'Istoric_Nativ'!$D$6:$D$405,"&gt;="&amp;L213),SUMIFS('Istoric_Nativ'!$H$6:$H$405,'Istoric_Nativ'!$B$6:$B$405,E213,'Istoric_Nativ'!$C$6:$C$405,F213,'Istoric_Nativ'!$E$6:$E$405,G213,'Istoric_Nativ'!$D$6:$D$405,"&lt;"&amp;J213,'Istoric_Nativ'!$P$6:$P$405,1,'Istoric_Nativ'!$D$6:$D$405,"&gt;="&amp;L213)+SUMIFS('Istoric_Nativ'!$G$6:$G$405,'Istoric_Nativ'!$B$6:$B$405,E213,'Istoric_Nativ'!$C$6:$C$405,F213,'Istoric_Nativ'!$F$6:$F$405,G213,'Istoric_Nativ'!$D$6:$D$405,"&lt;"&amp;J213,'Istoric_Nativ'!$P$6:$P$405,1,'Istoric_Nativ'!$D$6:$D$405,"&gt;="&amp;L213)))/M213)</x:f>
      </x:c>
      <x:c r="P213" s="2" t="n">
        <x:f>'Config_v6'!$B$7</x:f>
        <x:v>10</x:v>
      </x:c>
      <x:c r="Q213" s="2" t="n">
        <x:f>IF(OR(B213="",F213=""),0,IFERROR(MATCH(E213&amp;"|"&amp;F213,SourceTable[Source_Key],0),0))</x:f>
        <x:v>0</x:v>
      </x:c>
      <x:c r="R213" s="2" t="str">
        <x:f>IF(B213="","",IF(F213="","UNUSED",IF(Q213=0,"NOT CHECKED",IF(COUNTIF(SourceTable[Source_Key],E213&amp;"|"&amp;F213)&lt;&gt;1,"SOURCE CONFLICT",IF(NOT(OR(INDEX(SourceTable[Status],MAX(1,Q213))="IMPORTED",INDEX(SourceTable[Status],MAX(1,Q213))="PARTIAL",INDEX(SourceTable[Status],MAX(1,Q213))="SOURCE CONFLICT")),"ACCESS BLOCKED",IF(OR(INDEX(SourceTable[Coverage],Q213)&lt;&gt;"FULL SEASON EXPORT",INDEX(SourceTable[URL],Q213)="",INDEX(SourceTable[SHA256],Q213)=""),"EVIDENCE INCOMPLETE",IF(AND('Input_Meci'!H23="LIVE",INDEX(SourceTable[Retrieved_UTC],Q213)&gt;'Input_Meci'!G23),"POST CUTOFF","CLOSED")))))))</x:f>
      </x:c>
      <x:c r="S213" s="2" t="n">
        <x:f>IF(OR(B213="",F213=""),0,COUNTIFS('Istoric_Nativ'!$B$6:$B$405,E213,'Istoric_Nativ'!$C$6:$C$405,F213,'Istoric_Nativ'!$E$6:$E$405,G213,'Istoric_Nativ'!$D$6:$D$405,"&lt;"&amp;J213,'Istoric_Nativ'!$O$6:$O$405,"INVALID")+COUNTIFS('Istoric_Nativ'!$B$6:$B$405,E213,'Istoric_Nativ'!$C$6:$C$405,F213,'Istoric_Nativ'!$E$6:$E$405,G213,'Istoric_Nativ'!$O$6:$O$405,"INVALID",'Istoric_Nativ'!$D$6:$D$405,"*")+COUNTIFS('Istoric_Nativ'!$B$6:$B$405,E213,'Istoric_Nativ'!$C$6:$C$405,F213,'Istoric_Nativ'!$E$6:$E$405,G213,'Istoric_Nativ'!$D$6:$D$405,"&lt;"&amp;J213,'Istoric_Nativ'!$O$6:$O$405,"SOURCE CONFLICT")+COUNTIFS('Istoric_Nativ'!$B$6:$B$405,E213,'Istoric_Nativ'!$C$6:$C$405,F213,'Istoric_Nativ'!$F$6:$F$405,G213,'Istoric_Nativ'!$D$6:$D$405,"&lt;"&amp;J213,'Istoric_Nativ'!$O$6:$O$405,"INVALID")+COUNTIFS('Istoric_Nativ'!$B$6:$B$405,E213,'Istoric_Nativ'!$C$6:$C$405,F213,'Istoric_Nativ'!$F$6:$F$405,G213,'Istoric_Nativ'!$O$6:$O$405,"INVALID",'Istoric_Nativ'!$D$6:$D$405,"*")+COUNTIFS('Istoric_Nativ'!$B$6:$B$405,E213,'Istoric_Nativ'!$C$6:$C$405,F213,'Istoric_Nativ'!$F$6:$F$405,G213,'Istoric_Nativ'!$D$6:$D$405,"&lt;"&amp;J213,'Istoric_Nativ'!$O$6:$O$405,"SOURCE CONFLICT"))</x:f>
        <x:v>0</x:v>
      </x:c>
      <x:c r="T213" s="2" t="str">
        <x:f>IF(B213="","",IF(R213&lt;&gt;"CLOSED",R213,IF(S213&gt;0,"NATIVE INPUT ISSUE",IF(M213=0,"NO HISTORY",IF(M213&lt;P213,"SMALL SAMPLE","DERIVED")))))</x:f>
      </x:c>
      <x:c r="U213" s="2" t="str">
        <x:f>IF(B213="","","NativeTable; "&amp;E213&amp;"; "&amp;F213&amp;"; "&amp;G213&amp;"; "&amp;H213&amp;"; before "&amp;TEXT(J213,"yyyy-mm-dd")&amp;IF(I213="RECENT","; from "&amp;TEXT(L213,"yyyy-mm-dd"),""))</x:f>
      </x:c>
    </x:row>
    <x:row r="214" ht="21" customHeight="1">
      <x:c r="A214" s="2" t="n">
        <x:v>18</x:v>
      </x:c>
      <x:c r="B214" s="2" t="str">
        <x:f>IF('Input_Meci'!A23="","",'Input_Meci'!A23)</x:f>
      </x:c>
      <x:c r="C214" s="2" t="str">
        <x:v>A</x:v>
      </x:c>
      <x:c r="D214" s="2" t="str">
        <x:v>CURRENT</x:v>
      </x:c>
      <x:c r="E214" s="2" t="str">
        <x:f>IF(B214="","",'Input_Meci'!B23)</x:f>
      </x:c>
      <x:c r="F214" s="2" t="str">
        <x:f>IF(B214="","",IF('Input_Meci'!C23="","",'Input_Meci'!C23))</x:f>
      </x:c>
      <x:c r="G214" s="2" t="str">
        <x:f>IF(B214="","",'Input_Meci'!E23)</x:f>
      </x:c>
      <x:c r="H214" s="2" t="str">
        <x:v>AWAY</x:v>
      </x:c>
      <x:c r="I214" s="2" t="str">
        <x:v>HA</x:v>
      </x:c>
      <x:c r="J214" s="9" t="n">
        <x:f>IF(AND(B214&lt;&gt;"",ISNUMBER('Input_Meci'!G23)),INT('Input_Meci'!G23),0)</x:f>
        <x:v>0</x:v>
      </x:c>
      <x:c r="K214" s="2" t="n">
        <x:f>IF(OR(B214="",F214=""),0,IF(H214="HOME",COUNTIFS('Istoric_Nativ'!$B$6:$B$405,E214,'Istoric_Nativ'!$C$6:$C$405,F214,'Istoric_Nativ'!$E$6:$E$405,G214,'Istoric_Nativ'!$D$6:$D$405,"&lt;"&amp;J214,'Istoric_Nativ'!$P$6:$P$405,1),IF(H214="AWAY",COUNTIFS('Istoric_Nativ'!$B$6:$B$405,E214,'Istoric_Nativ'!$C$6:$C$405,F214,'Istoric_Nativ'!$F$6:$F$405,G214,'Istoric_Nativ'!$D$6:$D$405,"&lt;"&amp;J214,'Istoric_Nativ'!$P$6:$P$405,1),COUNTIFS('Istoric_Nativ'!$B$6:$B$405,E214,'Istoric_Nativ'!$C$6:$C$405,F214,'Istoric_Nativ'!$E$6:$E$405,G214,'Istoric_Nativ'!$D$6:$D$405,"&lt;"&amp;J214,'Istoric_Nativ'!$P$6:$P$405,1)+COUNTIFS('Istoric_Nativ'!$B$6:$B$405,E214,'Istoric_Nativ'!$C$6:$C$405,F214,'Istoric_Nativ'!$F$6:$F$405,G214,'Istoric_Nativ'!$D$6:$D$405,"&lt;"&amp;J214,'Istoric_Nativ'!$P$6:$P$405,1))))</x:f>
        <x:v>0</x:v>
      </x:c>
      <x:c r="L214" s="17" t="n">
        <x:f>IF(AND(B214&lt;&gt;"",I214="RECENT",K214&gt;0),LARGE(_xlfn._xlws.FILTER('Istoric_Nativ'!$D$6:$D$405,('Istoric_Nativ'!$B$6:$B$405=E214)*('Istoric_Nativ'!$C$6:$C$405=F214)*('Istoric_Nativ'!$P$6:$P$405=1)*('Istoric_Nativ'!$D$6:$D$405&lt;J214)*((('Istoric_Nativ'!$E$6:$E$405=G214)+('Istoric_Nativ'!$F$6:$F$405=G214))&gt;0)),MIN('Config_v6'!$B$54,K214)),0)</x:f>
        <x:v>0</x:v>
      </x:c>
      <x:c r="M214" s="2" t="n">
        <x:f>IF(OR(B214="",F214=""),0,IF(H214="HOME",COUNTIFS('Istoric_Nativ'!$B$6:$B$405,E214,'Istoric_Nativ'!$C$6:$C$405,F214,'Istoric_Nativ'!$E$6:$E$405,G214,'Istoric_Nativ'!$D$6:$D$405,"&lt;"&amp;J214,'Istoric_Nativ'!$P$6:$P$405,1,'Istoric_Nativ'!$D$6:$D$405,"&gt;="&amp;L214),IF(H214="AWAY",COUNTIFS('Istoric_Nativ'!$B$6:$B$405,E214,'Istoric_Nativ'!$C$6:$C$405,F214,'Istoric_Nativ'!$F$6:$F$405,G214,'Istoric_Nativ'!$D$6:$D$405,"&lt;"&amp;J214,'Istoric_Nativ'!$P$6:$P$405,1,'Istoric_Nativ'!$D$6:$D$405,"&gt;="&amp;L214),COUNTIFS('Istoric_Nativ'!$B$6:$B$405,E214,'Istoric_Nativ'!$C$6:$C$405,F214,'Istoric_Nativ'!$E$6:$E$405,G214,'Istoric_Nativ'!$D$6:$D$405,"&lt;"&amp;J214,'Istoric_Nativ'!$P$6:$P$405,1,'Istoric_Nativ'!$D$6:$D$405,"&gt;="&amp;L214)+COUNTIFS('Istoric_Nativ'!$B$6:$B$405,E214,'Istoric_Nativ'!$C$6:$C$405,F214,'Istoric_Nativ'!$F$6:$F$405,G214,'Istoric_Nativ'!$D$6:$D$405,"&lt;"&amp;J214,'Istoric_Nativ'!$P$6:$P$405,1,'Istoric_Nativ'!$D$6:$D$405,"&gt;="&amp;L214))))</x:f>
        <x:v>0</x:v>
      </x:c>
      <x:c r="N214" s="11" t="str">
        <x:f>IF(M214=0,"",IF(H214="HOME",SUMIFS('Istoric_Nativ'!$G$6:$G$405,'Istoric_Nativ'!$B$6:$B$405,E214,'Istoric_Nativ'!$C$6:$C$405,F214,'Istoric_Nativ'!$E$6:$E$405,G214,'Istoric_Nativ'!$D$6:$D$405,"&lt;"&amp;J214,'Istoric_Nativ'!$P$6:$P$405,1,'Istoric_Nativ'!$D$6:$D$405,"&gt;="&amp;L214),IF(H214="AWAY",SUMIFS('Istoric_Nativ'!$H$6:$H$405,'Istoric_Nativ'!$B$6:$B$405,E214,'Istoric_Nativ'!$C$6:$C$405,F214,'Istoric_Nativ'!$F$6:$F$405,G214,'Istoric_Nativ'!$D$6:$D$405,"&lt;"&amp;J214,'Istoric_Nativ'!$P$6:$P$405,1,'Istoric_Nativ'!$D$6:$D$405,"&gt;="&amp;L214),SUMIFS('Istoric_Nativ'!$G$6:$G$405,'Istoric_Nativ'!$B$6:$B$405,E214,'Istoric_Nativ'!$C$6:$C$405,F214,'Istoric_Nativ'!$E$6:$E$405,G214,'Istoric_Nativ'!$D$6:$D$405,"&lt;"&amp;J214,'Istoric_Nativ'!$P$6:$P$405,1,'Istoric_Nativ'!$D$6:$D$405,"&gt;="&amp;L214)+SUMIFS('Istoric_Nativ'!$H$6:$H$405,'Istoric_Nativ'!$B$6:$B$405,E214,'Istoric_Nativ'!$C$6:$C$405,F214,'Istoric_Nativ'!$F$6:$F$405,G214,'Istoric_Nativ'!$D$6:$D$405,"&lt;"&amp;J214,'Istoric_Nativ'!$P$6:$P$405,1,'Istoric_Nativ'!$D$6:$D$405,"&gt;="&amp;L214)))/M214)</x:f>
      </x:c>
      <x:c r="O214" s="11" t="str">
        <x:f>IF(M214=0,"",IF(H214="HOME",SUMIFS('Istoric_Nativ'!$H$6:$H$405,'Istoric_Nativ'!$B$6:$B$405,E214,'Istoric_Nativ'!$C$6:$C$405,F214,'Istoric_Nativ'!$E$6:$E$405,G214,'Istoric_Nativ'!$D$6:$D$405,"&lt;"&amp;J214,'Istoric_Nativ'!$P$6:$P$405,1,'Istoric_Nativ'!$D$6:$D$405,"&gt;="&amp;L214),IF(H214="AWAY",SUMIFS('Istoric_Nativ'!$G$6:$G$405,'Istoric_Nativ'!$B$6:$B$405,E214,'Istoric_Nativ'!$C$6:$C$405,F214,'Istoric_Nativ'!$F$6:$F$405,G214,'Istoric_Nativ'!$D$6:$D$405,"&lt;"&amp;J214,'Istoric_Nativ'!$P$6:$P$405,1,'Istoric_Nativ'!$D$6:$D$405,"&gt;="&amp;L214),SUMIFS('Istoric_Nativ'!$H$6:$H$405,'Istoric_Nativ'!$B$6:$B$405,E214,'Istoric_Nativ'!$C$6:$C$405,F214,'Istoric_Nativ'!$E$6:$E$405,G214,'Istoric_Nativ'!$D$6:$D$405,"&lt;"&amp;J214,'Istoric_Nativ'!$P$6:$P$405,1,'Istoric_Nativ'!$D$6:$D$405,"&gt;="&amp;L214)+SUMIFS('Istoric_Nativ'!$G$6:$G$405,'Istoric_Nativ'!$B$6:$B$405,E214,'Istoric_Nativ'!$C$6:$C$405,F214,'Istoric_Nativ'!$F$6:$F$405,G214,'Istoric_Nativ'!$D$6:$D$405,"&lt;"&amp;J214,'Istoric_Nativ'!$P$6:$P$405,1,'Istoric_Nativ'!$D$6:$D$405,"&gt;="&amp;L214)))/M214)</x:f>
      </x:c>
      <x:c r="P214" s="2" t="n">
        <x:f>'Config_v6'!$B$8</x:f>
        <x:v>5</x:v>
      </x:c>
      <x:c r="Q214" s="2" t="n">
        <x:f>IF(OR(B214="",F214=""),0,IFERROR(MATCH(E214&amp;"|"&amp;F214,SourceTable[Source_Key],0),0))</x:f>
        <x:v>0</x:v>
      </x:c>
      <x:c r="R214" s="2" t="str">
        <x:f>IF(B214="","",IF(F214="","UNUSED",IF(Q214=0,"NOT CHECKED",IF(COUNTIF(SourceTable[Source_Key],E214&amp;"|"&amp;F214)&lt;&gt;1,"SOURCE CONFLICT",IF(NOT(OR(INDEX(SourceTable[Status],MAX(1,Q214))="IMPORTED",INDEX(SourceTable[Status],MAX(1,Q214))="PARTIAL",INDEX(SourceTable[Status],MAX(1,Q214))="SOURCE CONFLICT")),"ACCESS BLOCKED",IF(OR(INDEX(SourceTable[Coverage],Q214)&lt;&gt;"FULL SEASON EXPORT",INDEX(SourceTable[URL],Q214)="",INDEX(SourceTable[SHA256],Q214)=""),"EVIDENCE INCOMPLETE",IF(AND('Input_Meci'!H23="LIVE",INDEX(SourceTable[Retrieved_UTC],Q214)&gt;'Input_Meci'!G23),"POST CUTOFF","CLOSED")))))))</x:f>
      </x:c>
      <x:c r="S214" s="2" t="n">
        <x:f>IF(OR(B214="",F214=""),0,COUNTIFS('Istoric_Nativ'!$B$6:$B$405,E214,'Istoric_Nativ'!$C$6:$C$405,F214,'Istoric_Nativ'!$E$6:$E$405,G214,'Istoric_Nativ'!$D$6:$D$405,"&lt;"&amp;J214,'Istoric_Nativ'!$O$6:$O$405,"INVALID")+COUNTIFS('Istoric_Nativ'!$B$6:$B$405,E214,'Istoric_Nativ'!$C$6:$C$405,F214,'Istoric_Nativ'!$E$6:$E$405,G214,'Istoric_Nativ'!$O$6:$O$405,"INVALID",'Istoric_Nativ'!$D$6:$D$405,"*")+COUNTIFS('Istoric_Nativ'!$B$6:$B$405,E214,'Istoric_Nativ'!$C$6:$C$405,F214,'Istoric_Nativ'!$E$6:$E$405,G214,'Istoric_Nativ'!$D$6:$D$405,"&lt;"&amp;J214,'Istoric_Nativ'!$O$6:$O$405,"SOURCE CONFLICT")+COUNTIFS('Istoric_Nativ'!$B$6:$B$405,E214,'Istoric_Nativ'!$C$6:$C$405,F214,'Istoric_Nativ'!$F$6:$F$405,G214,'Istoric_Nativ'!$D$6:$D$405,"&lt;"&amp;J214,'Istoric_Nativ'!$O$6:$O$405,"INVALID")+COUNTIFS('Istoric_Nativ'!$B$6:$B$405,E214,'Istoric_Nativ'!$C$6:$C$405,F214,'Istoric_Nativ'!$F$6:$F$405,G214,'Istoric_Nativ'!$O$6:$O$405,"INVALID",'Istoric_Nativ'!$D$6:$D$405,"*")+COUNTIFS('Istoric_Nativ'!$B$6:$B$405,E214,'Istoric_Nativ'!$C$6:$C$405,F214,'Istoric_Nativ'!$F$6:$F$405,G214,'Istoric_Nativ'!$D$6:$D$405,"&lt;"&amp;J214,'Istoric_Nativ'!$O$6:$O$405,"SOURCE CONFLICT"))</x:f>
        <x:v>0</x:v>
      </x:c>
      <x:c r="T214" s="2" t="str">
        <x:f>IF(B214="","",IF(R214&lt;&gt;"CLOSED",R214,IF(S214&gt;0,"NATIVE INPUT ISSUE",IF(M214=0,"NO HISTORY",IF(M214&lt;P214,"SMALL SAMPLE","DERIVED")))))</x:f>
      </x:c>
      <x:c r="U214" s="2" t="str">
        <x:f>IF(B214="","","NativeTable; "&amp;E214&amp;"; "&amp;F214&amp;"; "&amp;G214&amp;"; "&amp;H214&amp;"; before "&amp;TEXT(J214,"yyyy-mm-dd")&amp;IF(I214="RECENT","; from "&amp;TEXT(L214,"yyyy-mm-dd"),""))</x:f>
      </x:c>
    </x:row>
    <x:row r="215" ht="21" customHeight="1">
      <x:c r="A215" s="2" t="n">
        <x:v>18</x:v>
      </x:c>
      <x:c r="B215" s="2" t="str">
        <x:f>IF('Input_Meci'!A23="","",'Input_Meci'!A23)</x:f>
      </x:c>
      <x:c r="C215" s="2" t="str">
        <x:v>A</x:v>
      </x:c>
      <x:c r="D215" s="2" t="str">
        <x:v>CURRENT</x:v>
      </x:c>
      <x:c r="E215" s="2" t="str">
        <x:f>IF(B215="","",'Input_Meci'!B23)</x:f>
      </x:c>
      <x:c r="F215" s="2" t="str">
        <x:f>IF(B215="","",IF('Input_Meci'!C23="","",'Input_Meci'!C23))</x:f>
      </x:c>
      <x:c r="G215" s="2" t="str">
        <x:f>IF(B215="","",'Input_Meci'!E23)</x:f>
      </x:c>
      <x:c r="H215" s="2" t="str">
        <x:v>ANY</x:v>
      </x:c>
      <x:c r="I215" s="2" t="str">
        <x:v>RECENT</x:v>
      </x:c>
      <x:c r="J215" s="9" t="n">
        <x:f>IF(AND(B215&lt;&gt;"",ISNUMBER('Input_Meci'!G23)),INT('Input_Meci'!G23),0)</x:f>
        <x:v>0</x:v>
      </x:c>
      <x:c r="K215" s="2" t="n">
        <x:f>IF(OR(B215="",F215=""),0,IF(H215="HOME",COUNTIFS('Istoric_Nativ'!$B$6:$B$405,E215,'Istoric_Nativ'!$C$6:$C$405,F215,'Istoric_Nativ'!$E$6:$E$405,G215,'Istoric_Nativ'!$D$6:$D$405,"&lt;"&amp;J215,'Istoric_Nativ'!$P$6:$P$405,1),IF(H215="AWAY",COUNTIFS('Istoric_Nativ'!$B$6:$B$405,E215,'Istoric_Nativ'!$C$6:$C$405,F215,'Istoric_Nativ'!$F$6:$F$405,G215,'Istoric_Nativ'!$D$6:$D$405,"&lt;"&amp;J215,'Istoric_Nativ'!$P$6:$P$405,1),COUNTIFS('Istoric_Nativ'!$B$6:$B$405,E215,'Istoric_Nativ'!$C$6:$C$405,F215,'Istoric_Nativ'!$E$6:$E$405,G215,'Istoric_Nativ'!$D$6:$D$405,"&lt;"&amp;J215,'Istoric_Nativ'!$P$6:$P$405,1)+COUNTIFS('Istoric_Nativ'!$B$6:$B$405,E215,'Istoric_Nativ'!$C$6:$C$405,F215,'Istoric_Nativ'!$F$6:$F$405,G215,'Istoric_Nativ'!$D$6:$D$405,"&lt;"&amp;J215,'Istoric_Nativ'!$P$6:$P$405,1))))</x:f>
        <x:v>0</x:v>
      </x:c>
      <x:c r="L215" s="17" t="n">
        <x:f>IF(AND(B215&lt;&gt;"",I215="RECENT",K215&gt;0),LARGE(_xlfn._xlws.FILTER('Istoric_Nativ'!$D$6:$D$405,('Istoric_Nativ'!$B$6:$B$405=E215)*('Istoric_Nativ'!$C$6:$C$405=F215)*('Istoric_Nativ'!$P$6:$P$405=1)*('Istoric_Nativ'!$D$6:$D$405&lt;J215)*((('Istoric_Nativ'!$E$6:$E$405=G215)+('Istoric_Nativ'!$F$6:$F$405=G215))&gt;0)),MIN('Config_v6'!$B$54,K215)),0)</x:f>
        <x:v>0</x:v>
      </x:c>
      <x:c r="M215" s="2" t="n">
        <x:f>IF(OR(B215="",F215=""),0,IF(H215="HOME",COUNTIFS('Istoric_Nativ'!$B$6:$B$405,E215,'Istoric_Nativ'!$C$6:$C$405,F215,'Istoric_Nativ'!$E$6:$E$405,G215,'Istoric_Nativ'!$D$6:$D$405,"&lt;"&amp;J215,'Istoric_Nativ'!$P$6:$P$405,1,'Istoric_Nativ'!$D$6:$D$405,"&gt;="&amp;L215),IF(H215="AWAY",COUNTIFS('Istoric_Nativ'!$B$6:$B$405,E215,'Istoric_Nativ'!$C$6:$C$405,F215,'Istoric_Nativ'!$F$6:$F$405,G215,'Istoric_Nativ'!$D$6:$D$405,"&lt;"&amp;J215,'Istoric_Nativ'!$P$6:$P$405,1,'Istoric_Nativ'!$D$6:$D$405,"&gt;="&amp;L215),COUNTIFS('Istoric_Nativ'!$B$6:$B$405,E215,'Istoric_Nativ'!$C$6:$C$405,F215,'Istoric_Nativ'!$E$6:$E$405,G215,'Istoric_Nativ'!$D$6:$D$405,"&lt;"&amp;J215,'Istoric_Nativ'!$P$6:$P$405,1,'Istoric_Nativ'!$D$6:$D$405,"&gt;="&amp;L215)+COUNTIFS('Istoric_Nativ'!$B$6:$B$405,E215,'Istoric_Nativ'!$C$6:$C$405,F215,'Istoric_Nativ'!$F$6:$F$405,G215,'Istoric_Nativ'!$D$6:$D$405,"&lt;"&amp;J215,'Istoric_Nativ'!$P$6:$P$405,1,'Istoric_Nativ'!$D$6:$D$405,"&gt;="&amp;L215))))</x:f>
        <x:v>0</x:v>
      </x:c>
      <x:c r="N215" s="11" t="str">
        <x:f>IF(M215=0,"",IF(H215="HOME",SUMIFS('Istoric_Nativ'!$G$6:$G$405,'Istoric_Nativ'!$B$6:$B$405,E215,'Istoric_Nativ'!$C$6:$C$405,F215,'Istoric_Nativ'!$E$6:$E$405,G215,'Istoric_Nativ'!$D$6:$D$405,"&lt;"&amp;J215,'Istoric_Nativ'!$P$6:$P$405,1,'Istoric_Nativ'!$D$6:$D$405,"&gt;="&amp;L215),IF(H215="AWAY",SUMIFS('Istoric_Nativ'!$H$6:$H$405,'Istoric_Nativ'!$B$6:$B$405,E215,'Istoric_Nativ'!$C$6:$C$405,F215,'Istoric_Nativ'!$F$6:$F$405,G215,'Istoric_Nativ'!$D$6:$D$405,"&lt;"&amp;J215,'Istoric_Nativ'!$P$6:$P$405,1,'Istoric_Nativ'!$D$6:$D$405,"&gt;="&amp;L215),SUMIFS('Istoric_Nativ'!$G$6:$G$405,'Istoric_Nativ'!$B$6:$B$405,E215,'Istoric_Nativ'!$C$6:$C$405,F215,'Istoric_Nativ'!$E$6:$E$405,G215,'Istoric_Nativ'!$D$6:$D$405,"&lt;"&amp;J215,'Istoric_Nativ'!$P$6:$P$405,1,'Istoric_Nativ'!$D$6:$D$405,"&gt;="&amp;L215)+SUMIFS('Istoric_Nativ'!$H$6:$H$405,'Istoric_Nativ'!$B$6:$B$405,E215,'Istoric_Nativ'!$C$6:$C$405,F215,'Istoric_Nativ'!$F$6:$F$405,G215,'Istoric_Nativ'!$D$6:$D$405,"&lt;"&amp;J215,'Istoric_Nativ'!$P$6:$P$405,1,'Istoric_Nativ'!$D$6:$D$405,"&gt;="&amp;L215)))/M215)</x:f>
      </x:c>
      <x:c r="O215" s="11" t="str">
        <x:f>IF(M215=0,"",IF(H215="HOME",SUMIFS('Istoric_Nativ'!$H$6:$H$405,'Istoric_Nativ'!$B$6:$B$405,E215,'Istoric_Nativ'!$C$6:$C$405,F215,'Istoric_Nativ'!$E$6:$E$405,G215,'Istoric_Nativ'!$D$6:$D$405,"&lt;"&amp;J215,'Istoric_Nativ'!$P$6:$P$405,1,'Istoric_Nativ'!$D$6:$D$405,"&gt;="&amp;L215),IF(H215="AWAY",SUMIFS('Istoric_Nativ'!$G$6:$G$405,'Istoric_Nativ'!$B$6:$B$405,E215,'Istoric_Nativ'!$C$6:$C$405,F215,'Istoric_Nativ'!$F$6:$F$405,G215,'Istoric_Nativ'!$D$6:$D$405,"&lt;"&amp;J215,'Istoric_Nativ'!$P$6:$P$405,1,'Istoric_Nativ'!$D$6:$D$405,"&gt;="&amp;L215),SUMIFS('Istoric_Nativ'!$H$6:$H$405,'Istoric_Nativ'!$B$6:$B$405,E215,'Istoric_Nativ'!$C$6:$C$405,F215,'Istoric_Nativ'!$E$6:$E$405,G215,'Istoric_Nativ'!$D$6:$D$405,"&lt;"&amp;J215,'Istoric_Nativ'!$P$6:$P$405,1,'Istoric_Nativ'!$D$6:$D$405,"&gt;="&amp;L215)+SUMIFS('Istoric_Nativ'!$G$6:$G$405,'Istoric_Nativ'!$B$6:$B$405,E215,'Istoric_Nativ'!$C$6:$C$405,F215,'Istoric_Nativ'!$F$6:$F$405,G215,'Istoric_Nativ'!$D$6:$D$405,"&lt;"&amp;J215,'Istoric_Nativ'!$P$6:$P$405,1,'Istoric_Nativ'!$D$6:$D$405,"&gt;="&amp;L215)))/M215)</x:f>
      </x:c>
      <x:c r="P215" s="2" t="n">
        <x:f>'Config_v6'!$B$9</x:f>
        <x:v>3</x:v>
      </x:c>
      <x:c r="Q215" s="2" t="n">
        <x:f>IF(OR(B215="",F215=""),0,IFERROR(MATCH(E215&amp;"|"&amp;F215,SourceTable[Source_Key],0),0))</x:f>
        <x:v>0</x:v>
      </x:c>
      <x:c r="R215" s="2" t="str">
        <x:f>IF(B215="","",IF(F215="","UNUSED",IF(Q215=0,"NOT CHECKED",IF(COUNTIF(SourceTable[Source_Key],E215&amp;"|"&amp;F215)&lt;&gt;1,"SOURCE CONFLICT",IF(NOT(OR(INDEX(SourceTable[Status],MAX(1,Q215))="IMPORTED",INDEX(SourceTable[Status],MAX(1,Q215))="PARTIAL",INDEX(SourceTable[Status],MAX(1,Q215))="SOURCE CONFLICT")),"ACCESS BLOCKED",IF(OR(INDEX(SourceTable[Coverage],Q215)&lt;&gt;"FULL SEASON EXPORT",INDEX(SourceTable[URL],Q215)="",INDEX(SourceTable[SHA256],Q215)=""),"EVIDENCE INCOMPLETE",IF(AND('Input_Meci'!H23="LIVE",INDEX(SourceTable[Retrieved_UTC],Q215)&gt;'Input_Meci'!G23),"POST CUTOFF","CLOSED")))))))</x:f>
      </x:c>
      <x:c r="S215" s="2" t="n">
        <x:f>IF(OR(B215="",F215=""),0,COUNTIFS('Istoric_Nativ'!$B$6:$B$405,E215,'Istoric_Nativ'!$C$6:$C$405,F215,'Istoric_Nativ'!$E$6:$E$405,G215,'Istoric_Nativ'!$D$6:$D$405,"&lt;"&amp;J215,'Istoric_Nativ'!$O$6:$O$405,"INVALID")+COUNTIFS('Istoric_Nativ'!$B$6:$B$405,E215,'Istoric_Nativ'!$C$6:$C$405,F215,'Istoric_Nativ'!$E$6:$E$405,G215,'Istoric_Nativ'!$O$6:$O$405,"INVALID",'Istoric_Nativ'!$D$6:$D$405,"*")+COUNTIFS('Istoric_Nativ'!$B$6:$B$405,E215,'Istoric_Nativ'!$C$6:$C$405,F215,'Istoric_Nativ'!$E$6:$E$405,G215,'Istoric_Nativ'!$D$6:$D$405,"&lt;"&amp;J215,'Istoric_Nativ'!$O$6:$O$405,"SOURCE CONFLICT")+COUNTIFS('Istoric_Nativ'!$B$6:$B$405,E215,'Istoric_Nativ'!$C$6:$C$405,F215,'Istoric_Nativ'!$F$6:$F$405,G215,'Istoric_Nativ'!$D$6:$D$405,"&lt;"&amp;J215,'Istoric_Nativ'!$O$6:$O$405,"INVALID")+COUNTIFS('Istoric_Nativ'!$B$6:$B$405,E215,'Istoric_Nativ'!$C$6:$C$405,F215,'Istoric_Nativ'!$F$6:$F$405,G215,'Istoric_Nativ'!$O$6:$O$405,"INVALID",'Istoric_Nativ'!$D$6:$D$405,"*")+COUNTIFS('Istoric_Nativ'!$B$6:$B$405,E215,'Istoric_Nativ'!$C$6:$C$405,F215,'Istoric_Nativ'!$F$6:$F$405,G215,'Istoric_Nativ'!$D$6:$D$405,"&lt;"&amp;J215,'Istoric_Nativ'!$O$6:$O$405,"SOURCE CONFLICT"))</x:f>
        <x:v>0</x:v>
      </x:c>
      <x:c r="T215" s="2" t="str">
        <x:f>IF(B215="","",IF(R215&lt;&gt;"CLOSED",R215,IF(S215&gt;0,"NATIVE INPUT ISSUE",IF(M215=0,"NO HISTORY",IF(M215&lt;P215,"SMALL SAMPLE","DERIVED")))))</x:f>
      </x:c>
      <x:c r="U215" s="2" t="str">
        <x:f>IF(B215="","","NativeTable; "&amp;E215&amp;"; "&amp;F215&amp;"; "&amp;G215&amp;"; "&amp;H215&amp;"; before "&amp;TEXT(J215,"yyyy-mm-dd")&amp;IF(I215="RECENT","; from "&amp;TEXT(L215,"yyyy-mm-dd"),""))</x:f>
      </x:c>
    </x:row>
    <x:row r="216" ht="21" customHeight="1">
      <x:c r="A216" s="2" t="n">
        <x:v>18</x:v>
      </x:c>
      <x:c r="B216" s="2" t="str">
        <x:f>IF('Input_Meci'!A23="","",'Input_Meci'!A23)</x:f>
      </x:c>
      <x:c r="C216" s="2" t="str">
        <x:v>H</x:v>
      </x:c>
      <x:c r="D216" s="2" t="str">
        <x:v>PRIOR</x:v>
      </x:c>
      <x:c r="E216" s="2" t="str">
        <x:f>IF(B216="","",'Input_Meci'!B23)</x:f>
      </x:c>
      <x:c r="F216" s="2" t="str">
        <x:f>IF(B216="","",IF('Input_Meci'!K23="","",'Input_Meci'!K23))</x:f>
      </x:c>
      <x:c r="G216" s="2" t="str">
        <x:f>IF(B216="","",'Input_Meci'!D23)</x:f>
      </x:c>
      <x:c r="H216" s="2" t="str">
        <x:v>ANY</x:v>
      </x:c>
      <x:c r="I216" s="2" t="str">
        <x:v>SEASON</x:v>
      </x:c>
      <x:c r="J216" s="9" t="n">
        <x:f>IF(AND(B216&lt;&gt;"",ISNUMBER('Input_Meci'!G23)),INT('Input_Meci'!G23),0)</x:f>
        <x:v>0</x:v>
      </x:c>
      <x:c r="K216" s="2" t="n">
        <x:f>IF(OR(B216="",F216=""),0,IF(H216="HOME",COUNTIFS('Istoric_Nativ'!$B$6:$B$405,E216,'Istoric_Nativ'!$C$6:$C$405,F216,'Istoric_Nativ'!$E$6:$E$405,G216,'Istoric_Nativ'!$D$6:$D$405,"&lt;"&amp;J216,'Istoric_Nativ'!$P$6:$P$405,1),IF(H216="AWAY",COUNTIFS('Istoric_Nativ'!$B$6:$B$405,E216,'Istoric_Nativ'!$C$6:$C$405,F216,'Istoric_Nativ'!$F$6:$F$405,G216,'Istoric_Nativ'!$D$6:$D$405,"&lt;"&amp;J216,'Istoric_Nativ'!$P$6:$P$405,1),COUNTIFS('Istoric_Nativ'!$B$6:$B$405,E216,'Istoric_Nativ'!$C$6:$C$405,F216,'Istoric_Nativ'!$E$6:$E$405,G216,'Istoric_Nativ'!$D$6:$D$405,"&lt;"&amp;J216,'Istoric_Nativ'!$P$6:$P$405,1)+COUNTIFS('Istoric_Nativ'!$B$6:$B$405,E216,'Istoric_Nativ'!$C$6:$C$405,F216,'Istoric_Nativ'!$F$6:$F$405,G216,'Istoric_Nativ'!$D$6:$D$405,"&lt;"&amp;J216,'Istoric_Nativ'!$P$6:$P$405,1))))</x:f>
        <x:v>0</x:v>
      </x:c>
      <x:c r="L216" s="17" t="n">
        <x:f>IF(AND(B216&lt;&gt;"",I216="RECENT",K216&gt;0),LARGE(_xlfn._xlws.FILTER('Istoric_Nativ'!$D$6:$D$405,('Istoric_Nativ'!$B$6:$B$405=E216)*('Istoric_Nativ'!$C$6:$C$405=F216)*('Istoric_Nativ'!$P$6:$P$405=1)*('Istoric_Nativ'!$D$6:$D$405&lt;J216)*((('Istoric_Nativ'!$E$6:$E$405=G216)+('Istoric_Nativ'!$F$6:$F$405=G216))&gt;0)),MIN('Config_v6'!$B$54,K216)),0)</x:f>
        <x:v>0</x:v>
      </x:c>
      <x:c r="M216" s="2" t="n">
        <x:f>IF(OR(B216="",F216=""),0,IF(H216="HOME",COUNTIFS('Istoric_Nativ'!$B$6:$B$405,E216,'Istoric_Nativ'!$C$6:$C$405,F216,'Istoric_Nativ'!$E$6:$E$405,G216,'Istoric_Nativ'!$D$6:$D$405,"&lt;"&amp;J216,'Istoric_Nativ'!$P$6:$P$405,1,'Istoric_Nativ'!$D$6:$D$405,"&gt;="&amp;L216),IF(H216="AWAY",COUNTIFS('Istoric_Nativ'!$B$6:$B$405,E216,'Istoric_Nativ'!$C$6:$C$405,F216,'Istoric_Nativ'!$F$6:$F$405,G216,'Istoric_Nativ'!$D$6:$D$405,"&lt;"&amp;J216,'Istoric_Nativ'!$P$6:$P$405,1,'Istoric_Nativ'!$D$6:$D$405,"&gt;="&amp;L216),COUNTIFS('Istoric_Nativ'!$B$6:$B$405,E216,'Istoric_Nativ'!$C$6:$C$405,F216,'Istoric_Nativ'!$E$6:$E$405,G216,'Istoric_Nativ'!$D$6:$D$405,"&lt;"&amp;J216,'Istoric_Nativ'!$P$6:$P$405,1,'Istoric_Nativ'!$D$6:$D$405,"&gt;="&amp;L216)+COUNTIFS('Istoric_Nativ'!$B$6:$B$405,E216,'Istoric_Nativ'!$C$6:$C$405,F216,'Istoric_Nativ'!$F$6:$F$405,G216,'Istoric_Nativ'!$D$6:$D$405,"&lt;"&amp;J216,'Istoric_Nativ'!$P$6:$P$405,1,'Istoric_Nativ'!$D$6:$D$405,"&gt;="&amp;L216))))</x:f>
        <x:v>0</x:v>
      </x:c>
      <x:c r="N216" s="11" t="str">
        <x:f>IF(M216=0,"",IF(H216="HOME",SUMIFS('Istoric_Nativ'!$G$6:$G$405,'Istoric_Nativ'!$B$6:$B$405,E216,'Istoric_Nativ'!$C$6:$C$405,F216,'Istoric_Nativ'!$E$6:$E$405,G216,'Istoric_Nativ'!$D$6:$D$405,"&lt;"&amp;J216,'Istoric_Nativ'!$P$6:$P$405,1,'Istoric_Nativ'!$D$6:$D$405,"&gt;="&amp;L216),IF(H216="AWAY",SUMIFS('Istoric_Nativ'!$H$6:$H$405,'Istoric_Nativ'!$B$6:$B$405,E216,'Istoric_Nativ'!$C$6:$C$405,F216,'Istoric_Nativ'!$F$6:$F$405,G216,'Istoric_Nativ'!$D$6:$D$405,"&lt;"&amp;J216,'Istoric_Nativ'!$P$6:$P$405,1,'Istoric_Nativ'!$D$6:$D$405,"&gt;="&amp;L216),SUMIFS('Istoric_Nativ'!$G$6:$G$405,'Istoric_Nativ'!$B$6:$B$405,E216,'Istoric_Nativ'!$C$6:$C$405,F216,'Istoric_Nativ'!$E$6:$E$405,G216,'Istoric_Nativ'!$D$6:$D$405,"&lt;"&amp;J216,'Istoric_Nativ'!$P$6:$P$405,1,'Istoric_Nativ'!$D$6:$D$405,"&gt;="&amp;L216)+SUMIFS('Istoric_Nativ'!$H$6:$H$405,'Istoric_Nativ'!$B$6:$B$405,E216,'Istoric_Nativ'!$C$6:$C$405,F216,'Istoric_Nativ'!$F$6:$F$405,G216,'Istoric_Nativ'!$D$6:$D$405,"&lt;"&amp;J216,'Istoric_Nativ'!$P$6:$P$405,1,'Istoric_Nativ'!$D$6:$D$405,"&gt;="&amp;L216)))/M216)</x:f>
      </x:c>
      <x:c r="O216" s="11" t="str">
        <x:f>IF(M216=0,"",IF(H216="HOME",SUMIFS('Istoric_Nativ'!$H$6:$H$405,'Istoric_Nativ'!$B$6:$B$405,E216,'Istoric_Nativ'!$C$6:$C$405,F216,'Istoric_Nativ'!$E$6:$E$405,G216,'Istoric_Nativ'!$D$6:$D$405,"&lt;"&amp;J216,'Istoric_Nativ'!$P$6:$P$405,1,'Istoric_Nativ'!$D$6:$D$405,"&gt;="&amp;L216),IF(H216="AWAY",SUMIFS('Istoric_Nativ'!$G$6:$G$405,'Istoric_Nativ'!$B$6:$B$405,E216,'Istoric_Nativ'!$C$6:$C$405,F216,'Istoric_Nativ'!$F$6:$F$405,G216,'Istoric_Nativ'!$D$6:$D$405,"&lt;"&amp;J216,'Istoric_Nativ'!$P$6:$P$405,1,'Istoric_Nativ'!$D$6:$D$405,"&gt;="&amp;L216),SUMIFS('Istoric_Nativ'!$H$6:$H$405,'Istoric_Nativ'!$B$6:$B$405,E216,'Istoric_Nativ'!$C$6:$C$405,F216,'Istoric_Nativ'!$E$6:$E$405,G216,'Istoric_Nativ'!$D$6:$D$405,"&lt;"&amp;J216,'Istoric_Nativ'!$P$6:$P$405,1,'Istoric_Nativ'!$D$6:$D$405,"&gt;="&amp;L216)+SUMIFS('Istoric_Nativ'!$G$6:$G$405,'Istoric_Nativ'!$B$6:$B$405,E216,'Istoric_Nativ'!$C$6:$C$405,F216,'Istoric_Nativ'!$F$6:$F$405,G216,'Istoric_Nativ'!$D$6:$D$405,"&lt;"&amp;J216,'Istoric_Nativ'!$P$6:$P$405,1,'Istoric_Nativ'!$D$6:$D$405,"&gt;="&amp;L216)))/M216)</x:f>
      </x:c>
      <x:c r="P216" s="2" t="n">
        <x:f>'Config_v6'!$B$7</x:f>
        <x:v>10</x:v>
      </x:c>
      <x:c r="Q216" s="2" t="n">
        <x:f>IF(OR(B216="",F216=""),0,IFERROR(MATCH(E216&amp;"|"&amp;F216,SourceTable[Source_Key],0),0))</x:f>
        <x:v>0</x:v>
      </x:c>
      <x:c r="R216" s="2" t="str">
        <x:f>IF(B216="","",IF(F216="","UNUSED",IF(Q216=0,"NOT CHECKED",IF(COUNTIF(SourceTable[Source_Key],E216&amp;"|"&amp;F216)&lt;&gt;1,"SOURCE CONFLICT",IF(NOT(OR(INDEX(SourceTable[Status],MAX(1,Q216))="IMPORTED",INDEX(SourceTable[Status],MAX(1,Q216))="PARTIAL",INDEX(SourceTable[Status],MAX(1,Q216))="SOURCE CONFLICT")),"ACCESS BLOCKED",IF(OR(INDEX(SourceTable[Coverage],Q216)&lt;&gt;"FULL SEASON EXPORT",INDEX(SourceTable[URL],Q216)="",INDEX(SourceTable[SHA256],Q216)=""),"EVIDENCE INCOMPLETE",IF(AND('Input_Meci'!H23="LIVE",INDEX(SourceTable[Retrieved_UTC],Q216)&gt;'Input_Meci'!G23),"POST CUTOFF","CLOSED")))))))</x:f>
      </x:c>
      <x:c r="S216" s="2" t="n">
        <x:f>IF(OR(B216="",F216=""),0,COUNTIFS('Istoric_Nativ'!$B$6:$B$405,E216,'Istoric_Nativ'!$C$6:$C$405,F216,'Istoric_Nativ'!$E$6:$E$405,G216,'Istoric_Nativ'!$D$6:$D$405,"&lt;"&amp;J216,'Istoric_Nativ'!$O$6:$O$405,"INVALID")+COUNTIFS('Istoric_Nativ'!$B$6:$B$405,E216,'Istoric_Nativ'!$C$6:$C$405,F216,'Istoric_Nativ'!$E$6:$E$405,G216,'Istoric_Nativ'!$O$6:$O$405,"INVALID",'Istoric_Nativ'!$D$6:$D$405,"*")+COUNTIFS('Istoric_Nativ'!$B$6:$B$405,E216,'Istoric_Nativ'!$C$6:$C$405,F216,'Istoric_Nativ'!$E$6:$E$405,G216,'Istoric_Nativ'!$D$6:$D$405,"&lt;"&amp;J216,'Istoric_Nativ'!$O$6:$O$405,"SOURCE CONFLICT")+COUNTIFS('Istoric_Nativ'!$B$6:$B$405,E216,'Istoric_Nativ'!$C$6:$C$405,F216,'Istoric_Nativ'!$F$6:$F$405,G216,'Istoric_Nativ'!$D$6:$D$405,"&lt;"&amp;J216,'Istoric_Nativ'!$O$6:$O$405,"INVALID")+COUNTIFS('Istoric_Nativ'!$B$6:$B$405,E216,'Istoric_Nativ'!$C$6:$C$405,F216,'Istoric_Nativ'!$F$6:$F$405,G216,'Istoric_Nativ'!$O$6:$O$405,"INVALID",'Istoric_Nativ'!$D$6:$D$405,"*")+COUNTIFS('Istoric_Nativ'!$B$6:$B$405,E216,'Istoric_Nativ'!$C$6:$C$405,F216,'Istoric_Nativ'!$F$6:$F$405,G216,'Istoric_Nativ'!$D$6:$D$405,"&lt;"&amp;J216,'Istoric_Nativ'!$O$6:$O$405,"SOURCE CONFLICT"))</x:f>
        <x:v>0</x:v>
      </x:c>
      <x:c r="T216" s="2" t="str">
        <x:f>IF(B216="","",IF(R216&lt;&gt;"CLOSED",R216,IF(S216&gt;0,"NATIVE INPUT ISSUE",IF(M216=0,"NO HISTORY",IF(M216&lt;P216,"SMALL SAMPLE","DERIVED")))))</x:f>
      </x:c>
      <x:c r="U216" s="2" t="str">
        <x:f>IF(B216="","","NativeTable; "&amp;E216&amp;"; "&amp;F216&amp;"; "&amp;G216&amp;"; "&amp;H216&amp;"; before "&amp;TEXT(J216,"yyyy-mm-dd")&amp;IF(I216="RECENT","; from "&amp;TEXT(L216,"yyyy-mm-dd"),""))</x:f>
      </x:c>
    </x:row>
    <x:row r="217" ht="21" customHeight="1">
      <x:c r="A217" s="2" t="n">
        <x:v>18</x:v>
      </x:c>
      <x:c r="B217" s="2" t="str">
        <x:f>IF('Input_Meci'!A23="","",'Input_Meci'!A23)</x:f>
      </x:c>
      <x:c r="C217" s="2" t="str">
        <x:v>H</x:v>
      </x:c>
      <x:c r="D217" s="2" t="str">
        <x:v>PRIOR</x:v>
      </x:c>
      <x:c r="E217" s="2" t="str">
        <x:f>IF(B217="","",'Input_Meci'!B23)</x:f>
      </x:c>
      <x:c r="F217" s="2" t="str">
        <x:f>IF(B217="","",IF('Input_Meci'!K23="","",'Input_Meci'!K23))</x:f>
      </x:c>
      <x:c r="G217" s="2" t="str">
        <x:f>IF(B217="","",'Input_Meci'!D23)</x:f>
      </x:c>
      <x:c r="H217" s="2" t="str">
        <x:v>HOME</x:v>
      </x:c>
      <x:c r="I217" s="2" t="str">
        <x:v>HA</x:v>
      </x:c>
      <x:c r="J217" s="9" t="n">
        <x:f>IF(AND(B217&lt;&gt;"",ISNUMBER('Input_Meci'!G23)),INT('Input_Meci'!G23),0)</x:f>
        <x:v>0</x:v>
      </x:c>
      <x:c r="K217" s="2" t="n">
        <x:f>IF(OR(B217="",F217=""),0,IF(H217="HOME",COUNTIFS('Istoric_Nativ'!$B$6:$B$405,E217,'Istoric_Nativ'!$C$6:$C$405,F217,'Istoric_Nativ'!$E$6:$E$405,G217,'Istoric_Nativ'!$D$6:$D$405,"&lt;"&amp;J217,'Istoric_Nativ'!$P$6:$P$405,1),IF(H217="AWAY",COUNTIFS('Istoric_Nativ'!$B$6:$B$405,E217,'Istoric_Nativ'!$C$6:$C$405,F217,'Istoric_Nativ'!$F$6:$F$405,G217,'Istoric_Nativ'!$D$6:$D$405,"&lt;"&amp;J217,'Istoric_Nativ'!$P$6:$P$405,1),COUNTIFS('Istoric_Nativ'!$B$6:$B$405,E217,'Istoric_Nativ'!$C$6:$C$405,F217,'Istoric_Nativ'!$E$6:$E$405,G217,'Istoric_Nativ'!$D$6:$D$405,"&lt;"&amp;J217,'Istoric_Nativ'!$P$6:$P$405,1)+COUNTIFS('Istoric_Nativ'!$B$6:$B$405,E217,'Istoric_Nativ'!$C$6:$C$405,F217,'Istoric_Nativ'!$F$6:$F$405,G217,'Istoric_Nativ'!$D$6:$D$405,"&lt;"&amp;J217,'Istoric_Nativ'!$P$6:$P$405,1))))</x:f>
        <x:v>0</x:v>
      </x:c>
      <x:c r="L217" s="17" t="n">
        <x:f>IF(AND(B217&lt;&gt;"",I217="RECENT",K217&gt;0),LARGE(_xlfn._xlws.FILTER('Istoric_Nativ'!$D$6:$D$405,('Istoric_Nativ'!$B$6:$B$405=E217)*('Istoric_Nativ'!$C$6:$C$405=F217)*('Istoric_Nativ'!$P$6:$P$405=1)*('Istoric_Nativ'!$D$6:$D$405&lt;J217)*((('Istoric_Nativ'!$E$6:$E$405=G217)+('Istoric_Nativ'!$F$6:$F$405=G217))&gt;0)),MIN('Config_v6'!$B$54,K217)),0)</x:f>
        <x:v>0</x:v>
      </x:c>
      <x:c r="M217" s="2" t="n">
        <x:f>IF(OR(B217="",F217=""),0,IF(H217="HOME",COUNTIFS('Istoric_Nativ'!$B$6:$B$405,E217,'Istoric_Nativ'!$C$6:$C$405,F217,'Istoric_Nativ'!$E$6:$E$405,G217,'Istoric_Nativ'!$D$6:$D$405,"&lt;"&amp;J217,'Istoric_Nativ'!$P$6:$P$405,1,'Istoric_Nativ'!$D$6:$D$405,"&gt;="&amp;L217),IF(H217="AWAY",COUNTIFS('Istoric_Nativ'!$B$6:$B$405,E217,'Istoric_Nativ'!$C$6:$C$405,F217,'Istoric_Nativ'!$F$6:$F$405,G217,'Istoric_Nativ'!$D$6:$D$405,"&lt;"&amp;J217,'Istoric_Nativ'!$P$6:$P$405,1,'Istoric_Nativ'!$D$6:$D$405,"&gt;="&amp;L217),COUNTIFS('Istoric_Nativ'!$B$6:$B$405,E217,'Istoric_Nativ'!$C$6:$C$405,F217,'Istoric_Nativ'!$E$6:$E$405,G217,'Istoric_Nativ'!$D$6:$D$405,"&lt;"&amp;J217,'Istoric_Nativ'!$P$6:$P$405,1,'Istoric_Nativ'!$D$6:$D$405,"&gt;="&amp;L217)+COUNTIFS('Istoric_Nativ'!$B$6:$B$405,E217,'Istoric_Nativ'!$C$6:$C$405,F217,'Istoric_Nativ'!$F$6:$F$405,G217,'Istoric_Nativ'!$D$6:$D$405,"&lt;"&amp;J217,'Istoric_Nativ'!$P$6:$P$405,1,'Istoric_Nativ'!$D$6:$D$405,"&gt;="&amp;L217))))</x:f>
        <x:v>0</x:v>
      </x:c>
      <x:c r="N217" s="11" t="str">
        <x:f>IF(M217=0,"",IF(H217="HOME",SUMIFS('Istoric_Nativ'!$G$6:$G$405,'Istoric_Nativ'!$B$6:$B$405,E217,'Istoric_Nativ'!$C$6:$C$405,F217,'Istoric_Nativ'!$E$6:$E$405,G217,'Istoric_Nativ'!$D$6:$D$405,"&lt;"&amp;J217,'Istoric_Nativ'!$P$6:$P$405,1,'Istoric_Nativ'!$D$6:$D$405,"&gt;="&amp;L217),IF(H217="AWAY",SUMIFS('Istoric_Nativ'!$H$6:$H$405,'Istoric_Nativ'!$B$6:$B$405,E217,'Istoric_Nativ'!$C$6:$C$405,F217,'Istoric_Nativ'!$F$6:$F$405,G217,'Istoric_Nativ'!$D$6:$D$405,"&lt;"&amp;J217,'Istoric_Nativ'!$P$6:$P$405,1,'Istoric_Nativ'!$D$6:$D$405,"&gt;="&amp;L217),SUMIFS('Istoric_Nativ'!$G$6:$G$405,'Istoric_Nativ'!$B$6:$B$405,E217,'Istoric_Nativ'!$C$6:$C$405,F217,'Istoric_Nativ'!$E$6:$E$405,G217,'Istoric_Nativ'!$D$6:$D$405,"&lt;"&amp;J217,'Istoric_Nativ'!$P$6:$P$405,1,'Istoric_Nativ'!$D$6:$D$405,"&gt;="&amp;L217)+SUMIFS('Istoric_Nativ'!$H$6:$H$405,'Istoric_Nativ'!$B$6:$B$405,E217,'Istoric_Nativ'!$C$6:$C$405,F217,'Istoric_Nativ'!$F$6:$F$405,G217,'Istoric_Nativ'!$D$6:$D$405,"&lt;"&amp;J217,'Istoric_Nativ'!$P$6:$P$405,1,'Istoric_Nativ'!$D$6:$D$405,"&gt;="&amp;L217)))/M217)</x:f>
      </x:c>
      <x:c r="O217" s="11" t="str">
        <x:f>IF(M217=0,"",IF(H217="HOME",SUMIFS('Istoric_Nativ'!$H$6:$H$405,'Istoric_Nativ'!$B$6:$B$405,E217,'Istoric_Nativ'!$C$6:$C$405,F217,'Istoric_Nativ'!$E$6:$E$405,G217,'Istoric_Nativ'!$D$6:$D$405,"&lt;"&amp;J217,'Istoric_Nativ'!$P$6:$P$405,1,'Istoric_Nativ'!$D$6:$D$405,"&gt;="&amp;L217),IF(H217="AWAY",SUMIFS('Istoric_Nativ'!$G$6:$G$405,'Istoric_Nativ'!$B$6:$B$405,E217,'Istoric_Nativ'!$C$6:$C$405,F217,'Istoric_Nativ'!$F$6:$F$405,G217,'Istoric_Nativ'!$D$6:$D$405,"&lt;"&amp;J217,'Istoric_Nativ'!$P$6:$P$405,1,'Istoric_Nativ'!$D$6:$D$405,"&gt;="&amp;L217),SUMIFS('Istoric_Nativ'!$H$6:$H$405,'Istoric_Nativ'!$B$6:$B$405,E217,'Istoric_Nativ'!$C$6:$C$405,F217,'Istoric_Nativ'!$E$6:$E$405,G217,'Istoric_Nativ'!$D$6:$D$405,"&lt;"&amp;J217,'Istoric_Nativ'!$P$6:$P$405,1,'Istoric_Nativ'!$D$6:$D$405,"&gt;="&amp;L217)+SUMIFS('Istoric_Nativ'!$G$6:$G$405,'Istoric_Nativ'!$B$6:$B$405,E217,'Istoric_Nativ'!$C$6:$C$405,F217,'Istoric_Nativ'!$F$6:$F$405,G217,'Istoric_Nativ'!$D$6:$D$405,"&lt;"&amp;J217,'Istoric_Nativ'!$P$6:$P$405,1,'Istoric_Nativ'!$D$6:$D$405,"&gt;="&amp;L217)))/M217)</x:f>
      </x:c>
      <x:c r="P217" s="2" t="n">
        <x:f>'Config_v6'!$B$8</x:f>
        <x:v>5</x:v>
      </x:c>
      <x:c r="Q217" s="2" t="n">
        <x:f>IF(OR(B217="",F217=""),0,IFERROR(MATCH(E217&amp;"|"&amp;F217,SourceTable[Source_Key],0),0))</x:f>
        <x:v>0</x:v>
      </x:c>
      <x:c r="R217" s="2" t="str">
        <x:f>IF(B217="","",IF(F217="","UNUSED",IF(Q217=0,"NOT CHECKED",IF(COUNTIF(SourceTable[Source_Key],E217&amp;"|"&amp;F217)&lt;&gt;1,"SOURCE CONFLICT",IF(NOT(OR(INDEX(SourceTable[Status],MAX(1,Q217))="IMPORTED",INDEX(SourceTable[Status],MAX(1,Q217))="PARTIAL",INDEX(SourceTable[Status],MAX(1,Q217))="SOURCE CONFLICT")),"ACCESS BLOCKED",IF(OR(INDEX(SourceTable[Coverage],Q217)&lt;&gt;"FULL SEASON EXPORT",INDEX(SourceTable[URL],Q217)="",INDEX(SourceTable[SHA256],Q217)=""),"EVIDENCE INCOMPLETE",IF(AND('Input_Meci'!H23="LIVE",INDEX(SourceTable[Retrieved_UTC],Q217)&gt;'Input_Meci'!G23),"POST CUTOFF","CLOSED")))))))</x:f>
      </x:c>
      <x:c r="S217" s="2" t="n">
        <x:f>IF(OR(B217="",F217=""),0,COUNTIFS('Istoric_Nativ'!$B$6:$B$405,E217,'Istoric_Nativ'!$C$6:$C$405,F217,'Istoric_Nativ'!$E$6:$E$405,G217,'Istoric_Nativ'!$D$6:$D$405,"&lt;"&amp;J217,'Istoric_Nativ'!$O$6:$O$405,"INVALID")+COUNTIFS('Istoric_Nativ'!$B$6:$B$405,E217,'Istoric_Nativ'!$C$6:$C$405,F217,'Istoric_Nativ'!$E$6:$E$405,G217,'Istoric_Nativ'!$O$6:$O$405,"INVALID",'Istoric_Nativ'!$D$6:$D$405,"*")+COUNTIFS('Istoric_Nativ'!$B$6:$B$405,E217,'Istoric_Nativ'!$C$6:$C$405,F217,'Istoric_Nativ'!$E$6:$E$405,G217,'Istoric_Nativ'!$D$6:$D$405,"&lt;"&amp;J217,'Istoric_Nativ'!$O$6:$O$405,"SOURCE CONFLICT")+COUNTIFS('Istoric_Nativ'!$B$6:$B$405,E217,'Istoric_Nativ'!$C$6:$C$405,F217,'Istoric_Nativ'!$F$6:$F$405,G217,'Istoric_Nativ'!$D$6:$D$405,"&lt;"&amp;J217,'Istoric_Nativ'!$O$6:$O$405,"INVALID")+COUNTIFS('Istoric_Nativ'!$B$6:$B$405,E217,'Istoric_Nativ'!$C$6:$C$405,F217,'Istoric_Nativ'!$F$6:$F$405,G217,'Istoric_Nativ'!$O$6:$O$405,"INVALID",'Istoric_Nativ'!$D$6:$D$405,"*")+COUNTIFS('Istoric_Nativ'!$B$6:$B$405,E217,'Istoric_Nativ'!$C$6:$C$405,F217,'Istoric_Nativ'!$F$6:$F$405,G217,'Istoric_Nativ'!$D$6:$D$405,"&lt;"&amp;J217,'Istoric_Nativ'!$O$6:$O$405,"SOURCE CONFLICT"))</x:f>
        <x:v>0</x:v>
      </x:c>
      <x:c r="T217" s="2" t="str">
        <x:f>IF(B217="","",IF(R217&lt;&gt;"CLOSED",R217,IF(S217&gt;0,"NATIVE INPUT ISSUE",IF(M217=0,"NO HISTORY",IF(M217&lt;P217,"SMALL SAMPLE","DERIVED")))))</x:f>
      </x:c>
      <x:c r="U217" s="2" t="str">
        <x:f>IF(B217="","","NativeTable; "&amp;E217&amp;"; "&amp;F217&amp;"; "&amp;G217&amp;"; "&amp;H217&amp;"; before "&amp;TEXT(J217,"yyyy-mm-dd")&amp;IF(I217="RECENT","; from "&amp;TEXT(L217,"yyyy-mm-dd"),""))</x:f>
      </x:c>
    </x:row>
    <x:row r="218" ht="21" customHeight="1">
      <x:c r="A218" s="2" t="n">
        <x:v>18</x:v>
      </x:c>
      <x:c r="B218" s="2" t="str">
        <x:f>IF('Input_Meci'!A23="","",'Input_Meci'!A23)</x:f>
      </x:c>
      <x:c r="C218" s="2" t="str">
        <x:v>H</x:v>
      </x:c>
      <x:c r="D218" s="2" t="str">
        <x:v>PRIOR</x:v>
      </x:c>
      <x:c r="E218" s="2" t="str">
        <x:f>IF(B218="","",'Input_Meci'!B23)</x:f>
      </x:c>
      <x:c r="F218" s="2" t="str">
        <x:f>IF(B218="","",IF('Input_Meci'!K23="","",'Input_Meci'!K23))</x:f>
      </x:c>
      <x:c r="G218" s="2" t="str">
        <x:f>IF(B218="","",'Input_Meci'!D23)</x:f>
      </x:c>
      <x:c r="H218" s="2" t="str">
        <x:v>ANY</x:v>
      </x:c>
      <x:c r="I218" s="2" t="str">
        <x:v>RECENT</x:v>
      </x:c>
      <x:c r="J218" s="9" t="n">
        <x:f>IF(AND(B218&lt;&gt;"",ISNUMBER('Input_Meci'!G23)),INT('Input_Meci'!G23),0)</x:f>
        <x:v>0</x:v>
      </x:c>
      <x:c r="K218" s="2" t="n">
        <x:f>IF(OR(B218="",F218=""),0,IF(H218="HOME",COUNTIFS('Istoric_Nativ'!$B$6:$B$405,E218,'Istoric_Nativ'!$C$6:$C$405,F218,'Istoric_Nativ'!$E$6:$E$405,G218,'Istoric_Nativ'!$D$6:$D$405,"&lt;"&amp;J218,'Istoric_Nativ'!$P$6:$P$405,1),IF(H218="AWAY",COUNTIFS('Istoric_Nativ'!$B$6:$B$405,E218,'Istoric_Nativ'!$C$6:$C$405,F218,'Istoric_Nativ'!$F$6:$F$405,G218,'Istoric_Nativ'!$D$6:$D$405,"&lt;"&amp;J218,'Istoric_Nativ'!$P$6:$P$405,1),COUNTIFS('Istoric_Nativ'!$B$6:$B$405,E218,'Istoric_Nativ'!$C$6:$C$405,F218,'Istoric_Nativ'!$E$6:$E$405,G218,'Istoric_Nativ'!$D$6:$D$405,"&lt;"&amp;J218,'Istoric_Nativ'!$P$6:$P$405,1)+COUNTIFS('Istoric_Nativ'!$B$6:$B$405,E218,'Istoric_Nativ'!$C$6:$C$405,F218,'Istoric_Nativ'!$F$6:$F$405,G218,'Istoric_Nativ'!$D$6:$D$405,"&lt;"&amp;J218,'Istoric_Nativ'!$P$6:$P$405,1))))</x:f>
        <x:v>0</x:v>
      </x:c>
      <x:c r="L218" s="17" t="n">
        <x:f>IF(AND(B218&lt;&gt;"",I218="RECENT",K218&gt;0),LARGE(_xlfn._xlws.FILTER('Istoric_Nativ'!$D$6:$D$405,('Istoric_Nativ'!$B$6:$B$405=E218)*('Istoric_Nativ'!$C$6:$C$405=F218)*('Istoric_Nativ'!$P$6:$P$405=1)*('Istoric_Nativ'!$D$6:$D$405&lt;J218)*((('Istoric_Nativ'!$E$6:$E$405=G218)+('Istoric_Nativ'!$F$6:$F$405=G218))&gt;0)),MIN('Config_v6'!$B$54,K218)),0)</x:f>
        <x:v>0</x:v>
      </x:c>
      <x:c r="M218" s="2" t="n">
        <x:f>IF(OR(B218="",F218=""),0,IF(H218="HOME",COUNTIFS('Istoric_Nativ'!$B$6:$B$405,E218,'Istoric_Nativ'!$C$6:$C$405,F218,'Istoric_Nativ'!$E$6:$E$405,G218,'Istoric_Nativ'!$D$6:$D$405,"&lt;"&amp;J218,'Istoric_Nativ'!$P$6:$P$405,1,'Istoric_Nativ'!$D$6:$D$405,"&gt;="&amp;L218),IF(H218="AWAY",COUNTIFS('Istoric_Nativ'!$B$6:$B$405,E218,'Istoric_Nativ'!$C$6:$C$405,F218,'Istoric_Nativ'!$F$6:$F$405,G218,'Istoric_Nativ'!$D$6:$D$405,"&lt;"&amp;J218,'Istoric_Nativ'!$P$6:$P$405,1,'Istoric_Nativ'!$D$6:$D$405,"&gt;="&amp;L218),COUNTIFS('Istoric_Nativ'!$B$6:$B$405,E218,'Istoric_Nativ'!$C$6:$C$405,F218,'Istoric_Nativ'!$E$6:$E$405,G218,'Istoric_Nativ'!$D$6:$D$405,"&lt;"&amp;J218,'Istoric_Nativ'!$P$6:$P$405,1,'Istoric_Nativ'!$D$6:$D$405,"&gt;="&amp;L218)+COUNTIFS('Istoric_Nativ'!$B$6:$B$405,E218,'Istoric_Nativ'!$C$6:$C$405,F218,'Istoric_Nativ'!$F$6:$F$405,G218,'Istoric_Nativ'!$D$6:$D$405,"&lt;"&amp;J218,'Istoric_Nativ'!$P$6:$P$405,1,'Istoric_Nativ'!$D$6:$D$405,"&gt;="&amp;L218))))</x:f>
        <x:v>0</x:v>
      </x:c>
      <x:c r="N218" s="11" t="str">
        <x:f>IF(M218=0,"",IF(H218="HOME",SUMIFS('Istoric_Nativ'!$G$6:$G$405,'Istoric_Nativ'!$B$6:$B$405,E218,'Istoric_Nativ'!$C$6:$C$405,F218,'Istoric_Nativ'!$E$6:$E$405,G218,'Istoric_Nativ'!$D$6:$D$405,"&lt;"&amp;J218,'Istoric_Nativ'!$P$6:$P$405,1,'Istoric_Nativ'!$D$6:$D$405,"&gt;="&amp;L218),IF(H218="AWAY",SUMIFS('Istoric_Nativ'!$H$6:$H$405,'Istoric_Nativ'!$B$6:$B$405,E218,'Istoric_Nativ'!$C$6:$C$405,F218,'Istoric_Nativ'!$F$6:$F$405,G218,'Istoric_Nativ'!$D$6:$D$405,"&lt;"&amp;J218,'Istoric_Nativ'!$P$6:$P$405,1,'Istoric_Nativ'!$D$6:$D$405,"&gt;="&amp;L218),SUMIFS('Istoric_Nativ'!$G$6:$G$405,'Istoric_Nativ'!$B$6:$B$405,E218,'Istoric_Nativ'!$C$6:$C$405,F218,'Istoric_Nativ'!$E$6:$E$405,G218,'Istoric_Nativ'!$D$6:$D$405,"&lt;"&amp;J218,'Istoric_Nativ'!$P$6:$P$405,1,'Istoric_Nativ'!$D$6:$D$405,"&gt;="&amp;L218)+SUMIFS('Istoric_Nativ'!$H$6:$H$405,'Istoric_Nativ'!$B$6:$B$405,E218,'Istoric_Nativ'!$C$6:$C$405,F218,'Istoric_Nativ'!$F$6:$F$405,G218,'Istoric_Nativ'!$D$6:$D$405,"&lt;"&amp;J218,'Istoric_Nativ'!$P$6:$P$405,1,'Istoric_Nativ'!$D$6:$D$405,"&gt;="&amp;L218)))/M218)</x:f>
      </x:c>
      <x:c r="O218" s="11" t="str">
        <x:f>IF(M218=0,"",IF(H218="HOME",SUMIFS('Istoric_Nativ'!$H$6:$H$405,'Istoric_Nativ'!$B$6:$B$405,E218,'Istoric_Nativ'!$C$6:$C$405,F218,'Istoric_Nativ'!$E$6:$E$405,G218,'Istoric_Nativ'!$D$6:$D$405,"&lt;"&amp;J218,'Istoric_Nativ'!$P$6:$P$405,1,'Istoric_Nativ'!$D$6:$D$405,"&gt;="&amp;L218),IF(H218="AWAY",SUMIFS('Istoric_Nativ'!$G$6:$G$405,'Istoric_Nativ'!$B$6:$B$405,E218,'Istoric_Nativ'!$C$6:$C$405,F218,'Istoric_Nativ'!$F$6:$F$405,G218,'Istoric_Nativ'!$D$6:$D$405,"&lt;"&amp;J218,'Istoric_Nativ'!$P$6:$P$405,1,'Istoric_Nativ'!$D$6:$D$405,"&gt;="&amp;L218),SUMIFS('Istoric_Nativ'!$H$6:$H$405,'Istoric_Nativ'!$B$6:$B$405,E218,'Istoric_Nativ'!$C$6:$C$405,F218,'Istoric_Nativ'!$E$6:$E$405,G218,'Istoric_Nativ'!$D$6:$D$405,"&lt;"&amp;J218,'Istoric_Nativ'!$P$6:$P$405,1,'Istoric_Nativ'!$D$6:$D$405,"&gt;="&amp;L218)+SUMIFS('Istoric_Nativ'!$G$6:$G$405,'Istoric_Nativ'!$B$6:$B$405,E218,'Istoric_Nativ'!$C$6:$C$405,F218,'Istoric_Nativ'!$F$6:$F$405,G218,'Istoric_Nativ'!$D$6:$D$405,"&lt;"&amp;J218,'Istoric_Nativ'!$P$6:$P$405,1,'Istoric_Nativ'!$D$6:$D$405,"&gt;="&amp;L218)))/M218)</x:f>
      </x:c>
      <x:c r="P218" s="2" t="n">
        <x:f>'Config_v6'!$B$9</x:f>
        <x:v>3</x:v>
      </x:c>
      <x:c r="Q218" s="2" t="n">
        <x:f>IF(OR(B218="",F218=""),0,IFERROR(MATCH(E218&amp;"|"&amp;F218,SourceTable[Source_Key],0),0))</x:f>
        <x:v>0</x:v>
      </x:c>
      <x:c r="R218" s="2" t="str">
        <x:f>IF(B218="","",IF(F218="","UNUSED",IF(Q218=0,"NOT CHECKED",IF(COUNTIF(SourceTable[Source_Key],E218&amp;"|"&amp;F218)&lt;&gt;1,"SOURCE CONFLICT",IF(NOT(OR(INDEX(SourceTable[Status],MAX(1,Q218))="IMPORTED",INDEX(SourceTable[Status],MAX(1,Q218))="PARTIAL",INDEX(SourceTable[Status],MAX(1,Q218))="SOURCE CONFLICT")),"ACCESS BLOCKED",IF(OR(INDEX(SourceTable[Coverage],Q218)&lt;&gt;"FULL SEASON EXPORT",INDEX(SourceTable[URL],Q218)="",INDEX(SourceTable[SHA256],Q218)=""),"EVIDENCE INCOMPLETE",IF(AND('Input_Meci'!H23="LIVE",INDEX(SourceTable[Retrieved_UTC],Q218)&gt;'Input_Meci'!G23),"POST CUTOFF","CLOSED")))))))</x:f>
      </x:c>
      <x:c r="S218" s="2" t="n">
        <x:f>IF(OR(B218="",F218=""),0,COUNTIFS('Istoric_Nativ'!$B$6:$B$405,E218,'Istoric_Nativ'!$C$6:$C$405,F218,'Istoric_Nativ'!$E$6:$E$405,G218,'Istoric_Nativ'!$D$6:$D$405,"&lt;"&amp;J218,'Istoric_Nativ'!$O$6:$O$405,"INVALID")+COUNTIFS('Istoric_Nativ'!$B$6:$B$405,E218,'Istoric_Nativ'!$C$6:$C$405,F218,'Istoric_Nativ'!$E$6:$E$405,G218,'Istoric_Nativ'!$O$6:$O$405,"INVALID",'Istoric_Nativ'!$D$6:$D$405,"*")+COUNTIFS('Istoric_Nativ'!$B$6:$B$405,E218,'Istoric_Nativ'!$C$6:$C$405,F218,'Istoric_Nativ'!$E$6:$E$405,G218,'Istoric_Nativ'!$D$6:$D$405,"&lt;"&amp;J218,'Istoric_Nativ'!$O$6:$O$405,"SOURCE CONFLICT")+COUNTIFS('Istoric_Nativ'!$B$6:$B$405,E218,'Istoric_Nativ'!$C$6:$C$405,F218,'Istoric_Nativ'!$F$6:$F$405,G218,'Istoric_Nativ'!$D$6:$D$405,"&lt;"&amp;J218,'Istoric_Nativ'!$O$6:$O$405,"INVALID")+COUNTIFS('Istoric_Nativ'!$B$6:$B$405,E218,'Istoric_Nativ'!$C$6:$C$405,F218,'Istoric_Nativ'!$F$6:$F$405,G218,'Istoric_Nativ'!$O$6:$O$405,"INVALID",'Istoric_Nativ'!$D$6:$D$405,"*")+COUNTIFS('Istoric_Nativ'!$B$6:$B$405,E218,'Istoric_Nativ'!$C$6:$C$405,F218,'Istoric_Nativ'!$F$6:$F$405,G218,'Istoric_Nativ'!$D$6:$D$405,"&lt;"&amp;J218,'Istoric_Nativ'!$O$6:$O$405,"SOURCE CONFLICT"))</x:f>
        <x:v>0</x:v>
      </x:c>
      <x:c r="T218" s="2" t="str">
        <x:f>IF(B218="","",IF(R218&lt;&gt;"CLOSED",R218,IF(S218&gt;0,"NATIVE INPUT ISSUE",IF(M218=0,"NO HISTORY",IF(M218&lt;P218,"SMALL SAMPLE","DERIVED")))))</x:f>
      </x:c>
      <x:c r="U218" s="2" t="str">
        <x:f>IF(B218="","","NativeTable; "&amp;E218&amp;"; "&amp;F218&amp;"; "&amp;G218&amp;"; "&amp;H218&amp;"; before "&amp;TEXT(J218,"yyyy-mm-dd")&amp;IF(I218="RECENT","; from "&amp;TEXT(L218,"yyyy-mm-dd"),""))</x:f>
      </x:c>
    </x:row>
    <x:row r="219" ht="21" customHeight="1">
      <x:c r="A219" s="2" t="n">
        <x:v>18</x:v>
      </x:c>
      <x:c r="B219" s="2" t="str">
        <x:f>IF('Input_Meci'!A23="","",'Input_Meci'!A23)</x:f>
      </x:c>
      <x:c r="C219" s="2" t="str">
        <x:v>A</x:v>
      </x:c>
      <x:c r="D219" s="2" t="str">
        <x:v>PRIOR</x:v>
      </x:c>
      <x:c r="E219" s="2" t="str">
        <x:f>IF(B219="","",'Input_Meci'!B23)</x:f>
      </x:c>
      <x:c r="F219" s="2" t="str">
        <x:f>IF(B219="","",IF('Input_Meci'!K23="","",'Input_Meci'!K23))</x:f>
      </x:c>
      <x:c r="G219" s="2" t="str">
        <x:f>IF(B219="","",'Input_Meci'!E23)</x:f>
      </x:c>
      <x:c r="H219" s="2" t="str">
        <x:v>ANY</x:v>
      </x:c>
      <x:c r="I219" s="2" t="str">
        <x:v>SEASON</x:v>
      </x:c>
      <x:c r="J219" s="9" t="n">
        <x:f>IF(AND(B219&lt;&gt;"",ISNUMBER('Input_Meci'!G23)),INT('Input_Meci'!G23),0)</x:f>
        <x:v>0</x:v>
      </x:c>
      <x:c r="K219" s="2" t="n">
        <x:f>IF(OR(B219="",F219=""),0,IF(H219="HOME",COUNTIFS('Istoric_Nativ'!$B$6:$B$405,E219,'Istoric_Nativ'!$C$6:$C$405,F219,'Istoric_Nativ'!$E$6:$E$405,G219,'Istoric_Nativ'!$D$6:$D$405,"&lt;"&amp;J219,'Istoric_Nativ'!$P$6:$P$405,1),IF(H219="AWAY",COUNTIFS('Istoric_Nativ'!$B$6:$B$405,E219,'Istoric_Nativ'!$C$6:$C$405,F219,'Istoric_Nativ'!$F$6:$F$405,G219,'Istoric_Nativ'!$D$6:$D$405,"&lt;"&amp;J219,'Istoric_Nativ'!$P$6:$P$405,1),COUNTIFS('Istoric_Nativ'!$B$6:$B$405,E219,'Istoric_Nativ'!$C$6:$C$405,F219,'Istoric_Nativ'!$E$6:$E$405,G219,'Istoric_Nativ'!$D$6:$D$405,"&lt;"&amp;J219,'Istoric_Nativ'!$P$6:$P$405,1)+COUNTIFS('Istoric_Nativ'!$B$6:$B$405,E219,'Istoric_Nativ'!$C$6:$C$405,F219,'Istoric_Nativ'!$F$6:$F$405,G219,'Istoric_Nativ'!$D$6:$D$405,"&lt;"&amp;J219,'Istoric_Nativ'!$P$6:$P$405,1))))</x:f>
        <x:v>0</x:v>
      </x:c>
      <x:c r="L219" s="17" t="n">
        <x:f>IF(AND(B219&lt;&gt;"",I219="RECENT",K219&gt;0),LARGE(_xlfn._xlws.FILTER('Istoric_Nativ'!$D$6:$D$405,('Istoric_Nativ'!$B$6:$B$405=E219)*('Istoric_Nativ'!$C$6:$C$405=F219)*('Istoric_Nativ'!$P$6:$P$405=1)*('Istoric_Nativ'!$D$6:$D$405&lt;J219)*((('Istoric_Nativ'!$E$6:$E$405=G219)+('Istoric_Nativ'!$F$6:$F$405=G219))&gt;0)),MIN('Config_v6'!$B$54,K219)),0)</x:f>
        <x:v>0</x:v>
      </x:c>
      <x:c r="M219" s="2" t="n">
        <x:f>IF(OR(B219="",F219=""),0,IF(H219="HOME",COUNTIFS('Istoric_Nativ'!$B$6:$B$405,E219,'Istoric_Nativ'!$C$6:$C$405,F219,'Istoric_Nativ'!$E$6:$E$405,G219,'Istoric_Nativ'!$D$6:$D$405,"&lt;"&amp;J219,'Istoric_Nativ'!$P$6:$P$405,1,'Istoric_Nativ'!$D$6:$D$405,"&gt;="&amp;L219),IF(H219="AWAY",COUNTIFS('Istoric_Nativ'!$B$6:$B$405,E219,'Istoric_Nativ'!$C$6:$C$405,F219,'Istoric_Nativ'!$F$6:$F$405,G219,'Istoric_Nativ'!$D$6:$D$405,"&lt;"&amp;J219,'Istoric_Nativ'!$P$6:$P$405,1,'Istoric_Nativ'!$D$6:$D$405,"&gt;="&amp;L219),COUNTIFS('Istoric_Nativ'!$B$6:$B$405,E219,'Istoric_Nativ'!$C$6:$C$405,F219,'Istoric_Nativ'!$E$6:$E$405,G219,'Istoric_Nativ'!$D$6:$D$405,"&lt;"&amp;J219,'Istoric_Nativ'!$P$6:$P$405,1,'Istoric_Nativ'!$D$6:$D$405,"&gt;="&amp;L219)+COUNTIFS('Istoric_Nativ'!$B$6:$B$405,E219,'Istoric_Nativ'!$C$6:$C$405,F219,'Istoric_Nativ'!$F$6:$F$405,G219,'Istoric_Nativ'!$D$6:$D$405,"&lt;"&amp;J219,'Istoric_Nativ'!$P$6:$P$405,1,'Istoric_Nativ'!$D$6:$D$405,"&gt;="&amp;L219))))</x:f>
        <x:v>0</x:v>
      </x:c>
      <x:c r="N219" s="11" t="str">
        <x:f>IF(M219=0,"",IF(H219="HOME",SUMIFS('Istoric_Nativ'!$G$6:$G$405,'Istoric_Nativ'!$B$6:$B$405,E219,'Istoric_Nativ'!$C$6:$C$405,F219,'Istoric_Nativ'!$E$6:$E$405,G219,'Istoric_Nativ'!$D$6:$D$405,"&lt;"&amp;J219,'Istoric_Nativ'!$P$6:$P$405,1,'Istoric_Nativ'!$D$6:$D$405,"&gt;="&amp;L219),IF(H219="AWAY",SUMIFS('Istoric_Nativ'!$H$6:$H$405,'Istoric_Nativ'!$B$6:$B$405,E219,'Istoric_Nativ'!$C$6:$C$405,F219,'Istoric_Nativ'!$F$6:$F$405,G219,'Istoric_Nativ'!$D$6:$D$405,"&lt;"&amp;J219,'Istoric_Nativ'!$P$6:$P$405,1,'Istoric_Nativ'!$D$6:$D$405,"&gt;="&amp;L219),SUMIFS('Istoric_Nativ'!$G$6:$G$405,'Istoric_Nativ'!$B$6:$B$405,E219,'Istoric_Nativ'!$C$6:$C$405,F219,'Istoric_Nativ'!$E$6:$E$405,G219,'Istoric_Nativ'!$D$6:$D$405,"&lt;"&amp;J219,'Istoric_Nativ'!$P$6:$P$405,1,'Istoric_Nativ'!$D$6:$D$405,"&gt;="&amp;L219)+SUMIFS('Istoric_Nativ'!$H$6:$H$405,'Istoric_Nativ'!$B$6:$B$405,E219,'Istoric_Nativ'!$C$6:$C$405,F219,'Istoric_Nativ'!$F$6:$F$405,G219,'Istoric_Nativ'!$D$6:$D$405,"&lt;"&amp;J219,'Istoric_Nativ'!$P$6:$P$405,1,'Istoric_Nativ'!$D$6:$D$405,"&gt;="&amp;L219)))/M219)</x:f>
      </x:c>
      <x:c r="O219" s="11" t="str">
        <x:f>IF(M219=0,"",IF(H219="HOME",SUMIFS('Istoric_Nativ'!$H$6:$H$405,'Istoric_Nativ'!$B$6:$B$405,E219,'Istoric_Nativ'!$C$6:$C$405,F219,'Istoric_Nativ'!$E$6:$E$405,G219,'Istoric_Nativ'!$D$6:$D$405,"&lt;"&amp;J219,'Istoric_Nativ'!$P$6:$P$405,1,'Istoric_Nativ'!$D$6:$D$405,"&gt;="&amp;L219),IF(H219="AWAY",SUMIFS('Istoric_Nativ'!$G$6:$G$405,'Istoric_Nativ'!$B$6:$B$405,E219,'Istoric_Nativ'!$C$6:$C$405,F219,'Istoric_Nativ'!$F$6:$F$405,G219,'Istoric_Nativ'!$D$6:$D$405,"&lt;"&amp;J219,'Istoric_Nativ'!$P$6:$P$405,1,'Istoric_Nativ'!$D$6:$D$405,"&gt;="&amp;L219),SUMIFS('Istoric_Nativ'!$H$6:$H$405,'Istoric_Nativ'!$B$6:$B$405,E219,'Istoric_Nativ'!$C$6:$C$405,F219,'Istoric_Nativ'!$E$6:$E$405,G219,'Istoric_Nativ'!$D$6:$D$405,"&lt;"&amp;J219,'Istoric_Nativ'!$P$6:$P$405,1,'Istoric_Nativ'!$D$6:$D$405,"&gt;="&amp;L219)+SUMIFS('Istoric_Nativ'!$G$6:$G$405,'Istoric_Nativ'!$B$6:$B$405,E219,'Istoric_Nativ'!$C$6:$C$405,F219,'Istoric_Nativ'!$F$6:$F$405,G219,'Istoric_Nativ'!$D$6:$D$405,"&lt;"&amp;J219,'Istoric_Nativ'!$P$6:$P$405,1,'Istoric_Nativ'!$D$6:$D$405,"&gt;="&amp;L219)))/M219)</x:f>
      </x:c>
      <x:c r="P219" s="2" t="n">
        <x:f>'Config_v6'!$B$7</x:f>
        <x:v>10</x:v>
      </x:c>
      <x:c r="Q219" s="2" t="n">
        <x:f>IF(OR(B219="",F219=""),0,IFERROR(MATCH(E219&amp;"|"&amp;F219,SourceTable[Source_Key],0),0))</x:f>
        <x:v>0</x:v>
      </x:c>
      <x:c r="R219" s="2" t="str">
        <x:f>IF(B219="","",IF(F219="","UNUSED",IF(Q219=0,"NOT CHECKED",IF(COUNTIF(SourceTable[Source_Key],E219&amp;"|"&amp;F219)&lt;&gt;1,"SOURCE CONFLICT",IF(NOT(OR(INDEX(SourceTable[Status],MAX(1,Q219))="IMPORTED",INDEX(SourceTable[Status],MAX(1,Q219))="PARTIAL",INDEX(SourceTable[Status],MAX(1,Q219))="SOURCE CONFLICT")),"ACCESS BLOCKED",IF(OR(INDEX(SourceTable[Coverage],Q219)&lt;&gt;"FULL SEASON EXPORT",INDEX(SourceTable[URL],Q219)="",INDEX(SourceTable[SHA256],Q219)=""),"EVIDENCE INCOMPLETE",IF(AND('Input_Meci'!H23="LIVE",INDEX(SourceTable[Retrieved_UTC],Q219)&gt;'Input_Meci'!G23),"POST CUTOFF","CLOSED")))))))</x:f>
      </x:c>
      <x:c r="S219" s="2" t="n">
        <x:f>IF(OR(B219="",F219=""),0,COUNTIFS('Istoric_Nativ'!$B$6:$B$405,E219,'Istoric_Nativ'!$C$6:$C$405,F219,'Istoric_Nativ'!$E$6:$E$405,G219,'Istoric_Nativ'!$D$6:$D$405,"&lt;"&amp;J219,'Istoric_Nativ'!$O$6:$O$405,"INVALID")+COUNTIFS('Istoric_Nativ'!$B$6:$B$405,E219,'Istoric_Nativ'!$C$6:$C$405,F219,'Istoric_Nativ'!$E$6:$E$405,G219,'Istoric_Nativ'!$O$6:$O$405,"INVALID",'Istoric_Nativ'!$D$6:$D$405,"*")+COUNTIFS('Istoric_Nativ'!$B$6:$B$405,E219,'Istoric_Nativ'!$C$6:$C$405,F219,'Istoric_Nativ'!$E$6:$E$405,G219,'Istoric_Nativ'!$D$6:$D$405,"&lt;"&amp;J219,'Istoric_Nativ'!$O$6:$O$405,"SOURCE CONFLICT")+COUNTIFS('Istoric_Nativ'!$B$6:$B$405,E219,'Istoric_Nativ'!$C$6:$C$405,F219,'Istoric_Nativ'!$F$6:$F$405,G219,'Istoric_Nativ'!$D$6:$D$405,"&lt;"&amp;J219,'Istoric_Nativ'!$O$6:$O$405,"INVALID")+COUNTIFS('Istoric_Nativ'!$B$6:$B$405,E219,'Istoric_Nativ'!$C$6:$C$405,F219,'Istoric_Nativ'!$F$6:$F$405,G219,'Istoric_Nativ'!$O$6:$O$405,"INVALID",'Istoric_Nativ'!$D$6:$D$405,"*")+COUNTIFS('Istoric_Nativ'!$B$6:$B$405,E219,'Istoric_Nativ'!$C$6:$C$405,F219,'Istoric_Nativ'!$F$6:$F$405,G219,'Istoric_Nativ'!$D$6:$D$405,"&lt;"&amp;J219,'Istoric_Nativ'!$O$6:$O$405,"SOURCE CONFLICT"))</x:f>
        <x:v>0</x:v>
      </x:c>
      <x:c r="T219" s="2" t="str">
        <x:f>IF(B219="","",IF(R219&lt;&gt;"CLOSED",R219,IF(S219&gt;0,"NATIVE INPUT ISSUE",IF(M219=0,"NO HISTORY",IF(M219&lt;P219,"SMALL SAMPLE","DERIVED")))))</x:f>
      </x:c>
      <x:c r="U219" s="2" t="str">
        <x:f>IF(B219="","","NativeTable; "&amp;E219&amp;"; "&amp;F219&amp;"; "&amp;G219&amp;"; "&amp;H219&amp;"; before "&amp;TEXT(J219,"yyyy-mm-dd")&amp;IF(I219="RECENT","; from "&amp;TEXT(L219,"yyyy-mm-dd"),""))</x:f>
      </x:c>
    </x:row>
    <x:row r="220" ht="21" customHeight="1">
      <x:c r="A220" s="2" t="n">
        <x:v>18</x:v>
      </x:c>
      <x:c r="B220" s="2" t="str">
        <x:f>IF('Input_Meci'!A23="","",'Input_Meci'!A23)</x:f>
      </x:c>
      <x:c r="C220" s="2" t="str">
        <x:v>A</x:v>
      </x:c>
      <x:c r="D220" s="2" t="str">
        <x:v>PRIOR</x:v>
      </x:c>
      <x:c r="E220" s="2" t="str">
        <x:f>IF(B220="","",'Input_Meci'!B23)</x:f>
      </x:c>
      <x:c r="F220" s="2" t="str">
        <x:f>IF(B220="","",IF('Input_Meci'!K23="","",'Input_Meci'!K23))</x:f>
      </x:c>
      <x:c r="G220" s="2" t="str">
        <x:f>IF(B220="","",'Input_Meci'!E23)</x:f>
      </x:c>
      <x:c r="H220" s="2" t="str">
        <x:v>AWAY</x:v>
      </x:c>
      <x:c r="I220" s="2" t="str">
        <x:v>HA</x:v>
      </x:c>
      <x:c r="J220" s="9" t="n">
        <x:f>IF(AND(B220&lt;&gt;"",ISNUMBER('Input_Meci'!G23)),INT('Input_Meci'!G23),0)</x:f>
        <x:v>0</x:v>
      </x:c>
      <x:c r="K220" s="2" t="n">
        <x:f>IF(OR(B220="",F220=""),0,IF(H220="HOME",COUNTIFS('Istoric_Nativ'!$B$6:$B$405,E220,'Istoric_Nativ'!$C$6:$C$405,F220,'Istoric_Nativ'!$E$6:$E$405,G220,'Istoric_Nativ'!$D$6:$D$405,"&lt;"&amp;J220,'Istoric_Nativ'!$P$6:$P$405,1),IF(H220="AWAY",COUNTIFS('Istoric_Nativ'!$B$6:$B$405,E220,'Istoric_Nativ'!$C$6:$C$405,F220,'Istoric_Nativ'!$F$6:$F$405,G220,'Istoric_Nativ'!$D$6:$D$405,"&lt;"&amp;J220,'Istoric_Nativ'!$P$6:$P$405,1),COUNTIFS('Istoric_Nativ'!$B$6:$B$405,E220,'Istoric_Nativ'!$C$6:$C$405,F220,'Istoric_Nativ'!$E$6:$E$405,G220,'Istoric_Nativ'!$D$6:$D$405,"&lt;"&amp;J220,'Istoric_Nativ'!$P$6:$P$405,1)+COUNTIFS('Istoric_Nativ'!$B$6:$B$405,E220,'Istoric_Nativ'!$C$6:$C$405,F220,'Istoric_Nativ'!$F$6:$F$405,G220,'Istoric_Nativ'!$D$6:$D$405,"&lt;"&amp;J220,'Istoric_Nativ'!$P$6:$P$405,1))))</x:f>
        <x:v>0</x:v>
      </x:c>
      <x:c r="L220" s="17" t="n">
        <x:f>IF(AND(B220&lt;&gt;"",I220="RECENT",K220&gt;0),LARGE(_xlfn._xlws.FILTER('Istoric_Nativ'!$D$6:$D$405,('Istoric_Nativ'!$B$6:$B$405=E220)*('Istoric_Nativ'!$C$6:$C$405=F220)*('Istoric_Nativ'!$P$6:$P$405=1)*('Istoric_Nativ'!$D$6:$D$405&lt;J220)*((('Istoric_Nativ'!$E$6:$E$405=G220)+('Istoric_Nativ'!$F$6:$F$405=G220))&gt;0)),MIN('Config_v6'!$B$54,K220)),0)</x:f>
        <x:v>0</x:v>
      </x:c>
      <x:c r="M220" s="2" t="n">
        <x:f>IF(OR(B220="",F220=""),0,IF(H220="HOME",COUNTIFS('Istoric_Nativ'!$B$6:$B$405,E220,'Istoric_Nativ'!$C$6:$C$405,F220,'Istoric_Nativ'!$E$6:$E$405,G220,'Istoric_Nativ'!$D$6:$D$405,"&lt;"&amp;J220,'Istoric_Nativ'!$P$6:$P$405,1,'Istoric_Nativ'!$D$6:$D$405,"&gt;="&amp;L220),IF(H220="AWAY",COUNTIFS('Istoric_Nativ'!$B$6:$B$405,E220,'Istoric_Nativ'!$C$6:$C$405,F220,'Istoric_Nativ'!$F$6:$F$405,G220,'Istoric_Nativ'!$D$6:$D$405,"&lt;"&amp;J220,'Istoric_Nativ'!$P$6:$P$405,1,'Istoric_Nativ'!$D$6:$D$405,"&gt;="&amp;L220),COUNTIFS('Istoric_Nativ'!$B$6:$B$405,E220,'Istoric_Nativ'!$C$6:$C$405,F220,'Istoric_Nativ'!$E$6:$E$405,G220,'Istoric_Nativ'!$D$6:$D$405,"&lt;"&amp;J220,'Istoric_Nativ'!$P$6:$P$405,1,'Istoric_Nativ'!$D$6:$D$405,"&gt;="&amp;L220)+COUNTIFS('Istoric_Nativ'!$B$6:$B$405,E220,'Istoric_Nativ'!$C$6:$C$405,F220,'Istoric_Nativ'!$F$6:$F$405,G220,'Istoric_Nativ'!$D$6:$D$405,"&lt;"&amp;J220,'Istoric_Nativ'!$P$6:$P$405,1,'Istoric_Nativ'!$D$6:$D$405,"&gt;="&amp;L220))))</x:f>
        <x:v>0</x:v>
      </x:c>
      <x:c r="N220" s="11" t="str">
        <x:f>IF(M220=0,"",IF(H220="HOME",SUMIFS('Istoric_Nativ'!$G$6:$G$405,'Istoric_Nativ'!$B$6:$B$405,E220,'Istoric_Nativ'!$C$6:$C$405,F220,'Istoric_Nativ'!$E$6:$E$405,G220,'Istoric_Nativ'!$D$6:$D$405,"&lt;"&amp;J220,'Istoric_Nativ'!$P$6:$P$405,1,'Istoric_Nativ'!$D$6:$D$405,"&gt;="&amp;L220),IF(H220="AWAY",SUMIFS('Istoric_Nativ'!$H$6:$H$405,'Istoric_Nativ'!$B$6:$B$405,E220,'Istoric_Nativ'!$C$6:$C$405,F220,'Istoric_Nativ'!$F$6:$F$405,G220,'Istoric_Nativ'!$D$6:$D$405,"&lt;"&amp;J220,'Istoric_Nativ'!$P$6:$P$405,1,'Istoric_Nativ'!$D$6:$D$405,"&gt;="&amp;L220),SUMIFS('Istoric_Nativ'!$G$6:$G$405,'Istoric_Nativ'!$B$6:$B$405,E220,'Istoric_Nativ'!$C$6:$C$405,F220,'Istoric_Nativ'!$E$6:$E$405,G220,'Istoric_Nativ'!$D$6:$D$405,"&lt;"&amp;J220,'Istoric_Nativ'!$P$6:$P$405,1,'Istoric_Nativ'!$D$6:$D$405,"&gt;="&amp;L220)+SUMIFS('Istoric_Nativ'!$H$6:$H$405,'Istoric_Nativ'!$B$6:$B$405,E220,'Istoric_Nativ'!$C$6:$C$405,F220,'Istoric_Nativ'!$F$6:$F$405,G220,'Istoric_Nativ'!$D$6:$D$405,"&lt;"&amp;J220,'Istoric_Nativ'!$P$6:$P$405,1,'Istoric_Nativ'!$D$6:$D$405,"&gt;="&amp;L220)))/M220)</x:f>
      </x:c>
      <x:c r="O220" s="11" t="str">
        <x:f>IF(M220=0,"",IF(H220="HOME",SUMIFS('Istoric_Nativ'!$H$6:$H$405,'Istoric_Nativ'!$B$6:$B$405,E220,'Istoric_Nativ'!$C$6:$C$405,F220,'Istoric_Nativ'!$E$6:$E$405,G220,'Istoric_Nativ'!$D$6:$D$405,"&lt;"&amp;J220,'Istoric_Nativ'!$P$6:$P$405,1,'Istoric_Nativ'!$D$6:$D$405,"&gt;="&amp;L220),IF(H220="AWAY",SUMIFS('Istoric_Nativ'!$G$6:$G$405,'Istoric_Nativ'!$B$6:$B$405,E220,'Istoric_Nativ'!$C$6:$C$405,F220,'Istoric_Nativ'!$F$6:$F$405,G220,'Istoric_Nativ'!$D$6:$D$405,"&lt;"&amp;J220,'Istoric_Nativ'!$P$6:$P$405,1,'Istoric_Nativ'!$D$6:$D$405,"&gt;="&amp;L220),SUMIFS('Istoric_Nativ'!$H$6:$H$405,'Istoric_Nativ'!$B$6:$B$405,E220,'Istoric_Nativ'!$C$6:$C$405,F220,'Istoric_Nativ'!$E$6:$E$405,G220,'Istoric_Nativ'!$D$6:$D$405,"&lt;"&amp;J220,'Istoric_Nativ'!$P$6:$P$405,1,'Istoric_Nativ'!$D$6:$D$405,"&gt;="&amp;L220)+SUMIFS('Istoric_Nativ'!$G$6:$G$405,'Istoric_Nativ'!$B$6:$B$405,E220,'Istoric_Nativ'!$C$6:$C$405,F220,'Istoric_Nativ'!$F$6:$F$405,G220,'Istoric_Nativ'!$D$6:$D$405,"&lt;"&amp;J220,'Istoric_Nativ'!$P$6:$P$405,1,'Istoric_Nativ'!$D$6:$D$405,"&gt;="&amp;L220)))/M220)</x:f>
      </x:c>
      <x:c r="P220" s="2" t="n">
        <x:f>'Config_v6'!$B$8</x:f>
        <x:v>5</x:v>
      </x:c>
      <x:c r="Q220" s="2" t="n">
        <x:f>IF(OR(B220="",F220=""),0,IFERROR(MATCH(E220&amp;"|"&amp;F220,SourceTable[Source_Key],0),0))</x:f>
        <x:v>0</x:v>
      </x:c>
      <x:c r="R220" s="2" t="str">
        <x:f>IF(B220="","",IF(F220="","UNUSED",IF(Q220=0,"NOT CHECKED",IF(COUNTIF(SourceTable[Source_Key],E220&amp;"|"&amp;F220)&lt;&gt;1,"SOURCE CONFLICT",IF(NOT(OR(INDEX(SourceTable[Status],MAX(1,Q220))="IMPORTED",INDEX(SourceTable[Status],MAX(1,Q220))="PARTIAL",INDEX(SourceTable[Status],MAX(1,Q220))="SOURCE CONFLICT")),"ACCESS BLOCKED",IF(OR(INDEX(SourceTable[Coverage],Q220)&lt;&gt;"FULL SEASON EXPORT",INDEX(SourceTable[URL],Q220)="",INDEX(SourceTable[SHA256],Q220)=""),"EVIDENCE INCOMPLETE",IF(AND('Input_Meci'!H23="LIVE",INDEX(SourceTable[Retrieved_UTC],Q220)&gt;'Input_Meci'!G23),"POST CUTOFF","CLOSED")))))))</x:f>
      </x:c>
      <x:c r="S220" s="2" t="n">
        <x:f>IF(OR(B220="",F220=""),0,COUNTIFS('Istoric_Nativ'!$B$6:$B$405,E220,'Istoric_Nativ'!$C$6:$C$405,F220,'Istoric_Nativ'!$E$6:$E$405,G220,'Istoric_Nativ'!$D$6:$D$405,"&lt;"&amp;J220,'Istoric_Nativ'!$O$6:$O$405,"INVALID")+COUNTIFS('Istoric_Nativ'!$B$6:$B$405,E220,'Istoric_Nativ'!$C$6:$C$405,F220,'Istoric_Nativ'!$E$6:$E$405,G220,'Istoric_Nativ'!$O$6:$O$405,"INVALID",'Istoric_Nativ'!$D$6:$D$405,"*")+COUNTIFS('Istoric_Nativ'!$B$6:$B$405,E220,'Istoric_Nativ'!$C$6:$C$405,F220,'Istoric_Nativ'!$E$6:$E$405,G220,'Istoric_Nativ'!$D$6:$D$405,"&lt;"&amp;J220,'Istoric_Nativ'!$O$6:$O$405,"SOURCE CONFLICT")+COUNTIFS('Istoric_Nativ'!$B$6:$B$405,E220,'Istoric_Nativ'!$C$6:$C$405,F220,'Istoric_Nativ'!$F$6:$F$405,G220,'Istoric_Nativ'!$D$6:$D$405,"&lt;"&amp;J220,'Istoric_Nativ'!$O$6:$O$405,"INVALID")+COUNTIFS('Istoric_Nativ'!$B$6:$B$405,E220,'Istoric_Nativ'!$C$6:$C$405,F220,'Istoric_Nativ'!$F$6:$F$405,G220,'Istoric_Nativ'!$O$6:$O$405,"INVALID",'Istoric_Nativ'!$D$6:$D$405,"*")+COUNTIFS('Istoric_Nativ'!$B$6:$B$405,E220,'Istoric_Nativ'!$C$6:$C$405,F220,'Istoric_Nativ'!$F$6:$F$405,G220,'Istoric_Nativ'!$D$6:$D$405,"&lt;"&amp;J220,'Istoric_Nativ'!$O$6:$O$405,"SOURCE CONFLICT"))</x:f>
        <x:v>0</x:v>
      </x:c>
      <x:c r="T220" s="2" t="str">
        <x:f>IF(B220="","",IF(R220&lt;&gt;"CLOSED",R220,IF(S220&gt;0,"NATIVE INPUT ISSUE",IF(M220=0,"NO HISTORY",IF(M220&lt;P220,"SMALL SAMPLE","DERIVED")))))</x:f>
      </x:c>
      <x:c r="U220" s="2" t="str">
        <x:f>IF(B220="","","NativeTable; "&amp;E220&amp;"; "&amp;F220&amp;"; "&amp;G220&amp;"; "&amp;H220&amp;"; before "&amp;TEXT(J220,"yyyy-mm-dd")&amp;IF(I220="RECENT","; from "&amp;TEXT(L220,"yyyy-mm-dd"),""))</x:f>
      </x:c>
    </x:row>
    <x:row r="221" ht="21" customHeight="1">
      <x:c r="A221" s="2" t="n">
        <x:v>18</x:v>
      </x:c>
      <x:c r="B221" s="2" t="str">
        <x:f>IF('Input_Meci'!A23="","",'Input_Meci'!A23)</x:f>
      </x:c>
      <x:c r="C221" s="2" t="str">
        <x:v>A</x:v>
      </x:c>
      <x:c r="D221" s="2" t="str">
        <x:v>PRIOR</x:v>
      </x:c>
      <x:c r="E221" s="2" t="str">
        <x:f>IF(B221="","",'Input_Meci'!B23)</x:f>
      </x:c>
      <x:c r="F221" s="2" t="str">
        <x:f>IF(B221="","",IF('Input_Meci'!K23="","",'Input_Meci'!K23))</x:f>
      </x:c>
      <x:c r="G221" s="2" t="str">
        <x:f>IF(B221="","",'Input_Meci'!E23)</x:f>
      </x:c>
      <x:c r="H221" s="2" t="str">
        <x:v>ANY</x:v>
      </x:c>
      <x:c r="I221" s="2" t="str">
        <x:v>RECENT</x:v>
      </x:c>
      <x:c r="J221" s="9" t="n">
        <x:f>IF(AND(B221&lt;&gt;"",ISNUMBER('Input_Meci'!G23)),INT('Input_Meci'!G23),0)</x:f>
        <x:v>0</x:v>
      </x:c>
      <x:c r="K221" s="2" t="n">
        <x:f>IF(OR(B221="",F221=""),0,IF(H221="HOME",COUNTIFS('Istoric_Nativ'!$B$6:$B$405,E221,'Istoric_Nativ'!$C$6:$C$405,F221,'Istoric_Nativ'!$E$6:$E$405,G221,'Istoric_Nativ'!$D$6:$D$405,"&lt;"&amp;J221,'Istoric_Nativ'!$P$6:$P$405,1),IF(H221="AWAY",COUNTIFS('Istoric_Nativ'!$B$6:$B$405,E221,'Istoric_Nativ'!$C$6:$C$405,F221,'Istoric_Nativ'!$F$6:$F$405,G221,'Istoric_Nativ'!$D$6:$D$405,"&lt;"&amp;J221,'Istoric_Nativ'!$P$6:$P$405,1),COUNTIFS('Istoric_Nativ'!$B$6:$B$405,E221,'Istoric_Nativ'!$C$6:$C$405,F221,'Istoric_Nativ'!$E$6:$E$405,G221,'Istoric_Nativ'!$D$6:$D$405,"&lt;"&amp;J221,'Istoric_Nativ'!$P$6:$P$405,1)+COUNTIFS('Istoric_Nativ'!$B$6:$B$405,E221,'Istoric_Nativ'!$C$6:$C$405,F221,'Istoric_Nativ'!$F$6:$F$405,G221,'Istoric_Nativ'!$D$6:$D$405,"&lt;"&amp;J221,'Istoric_Nativ'!$P$6:$P$405,1))))</x:f>
        <x:v>0</x:v>
      </x:c>
      <x:c r="L221" s="17" t="n">
        <x:f>IF(AND(B221&lt;&gt;"",I221="RECENT",K221&gt;0),LARGE(_xlfn._xlws.FILTER('Istoric_Nativ'!$D$6:$D$405,('Istoric_Nativ'!$B$6:$B$405=E221)*('Istoric_Nativ'!$C$6:$C$405=F221)*('Istoric_Nativ'!$P$6:$P$405=1)*('Istoric_Nativ'!$D$6:$D$405&lt;J221)*((('Istoric_Nativ'!$E$6:$E$405=G221)+('Istoric_Nativ'!$F$6:$F$405=G221))&gt;0)),MIN('Config_v6'!$B$54,K221)),0)</x:f>
        <x:v>0</x:v>
      </x:c>
      <x:c r="M221" s="2" t="n">
        <x:f>IF(OR(B221="",F221=""),0,IF(H221="HOME",COUNTIFS('Istoric_Nativ'!$B$6:$B$405,E221,'Istoric_Nativ'!$C$6:$C$405,F221,'Istoric_Nativ'!$E$6:$E$405,G221,'Istoric_Nativ'!$D$6:$D$405,"&lt;"&amp;J221,'Istoric_Nativ'!$P$6:$P$405,1,'Istoric_Nativ'!$D$6:$D$405,"&gt;="&amp;L221),IF(H221="AWAY",COUNTIFS('Istoric_Nativ'!$B$6:$B$405,E221,'Istoric_Nativ'!$C$6:$C$405,F221,'Istoric_Nativ'!$F$6:$F$405,G221,'Istoric_Nativ'!$D$6:$D$405,"&lt;"&amp;J221,'Istoric_Nativ'!$P$6:$P$405,1,'Istoric_Nativ'!$D$6:$D$405,"&gt;="&amp;L221),COUNTIFS('Istoric_Nativ'!$B$6:$B$405,E221,'Istoric_Nativ'!$C$6:$C$405,F221,'Istoric_Nativ'!$E$6:$E$405,G221,'Istoric_Nativ'!$D$6:$D$405,"&lt;"&amp;J221,'Istoric_Nativ'!$P$6:$P$405,1,'Istoric_Nativ'!$D$6:$D$405,"&gt;="&amp;L221)+COUNTIFS('Istoric_Nativ'!$B$6:$B$405,E221,'Istoric_Nativ'!$C$6:$C$405,F221,'Istoric_Nativ'!$F$6:$F$405,G221,'Istoric_Nativ'!$D$6:$D$405,"&lt;"&amp;J221,'Istoric_Nativ'!$P$6:$P$405,1,'Istoric_Nativ'!$D$6:$D$405,"&gt;="&amp;L221))))</x:f>
        <x:v>0</x:v>
      </x:c>
      <x:c r="N221" s="11" t="str">
        <x:f>IF(M221=0,"",IF(H221="HOME",SUMIFS('Istoric_Nativ'!$G$6:$G$405,'Istoric_Nativ'!$B$6:$B$405,E221,'Istoric_Nativ'!$C$6:$C$405,F221,'Istoric_Nativ'!$E$6:$E$405,G221,'Istoric_Nativ'!$D$6:$D$405,"&lt;"&amp;J221,'Istoric_Nativ'!$P$6:$P$405,1,'Istoric_Nativ'!$D$6:$D$405,"&gt;="&amp;L221),IF(H221="AWAY",SUMIFS('Istoric_Nativ'!$H$6:$H$405,'Istoric_Nativ'!$B$6:$B$405,E221,'Istoric_Nativ'!$C$6:$C$405,F221,'Istoric_Nativ'!$F$6:$F$405,G221,'Istoric_Nativ'!$D$6:$D$405,"&lt;"&amp;J221,'Istoric_Nativ'!$P$6:$P$405,1,'Istoric_Nativ'!$D$6:$D$405,"&gt;="&amp;L221),SUMIFS('Istoric_Nativ'!$G$6:$G$405,'Istoric_Nativ'!$B$6:$B$405,E221,'Istoric_Nativ'!$C$6:$C$405,F221,'Istoric_Nativ'!$E$6:$E$405,G221,'Istoric_Nativ'!$D$6:$D$405,"&lt;"&amp;J221,'Istoric_Nativ'!$P$6:$P$405,1,'Istoric_Nativ'!$D$6:$D$405,"&gt;="&amp;L221)+SUMIFS('Istoric_Nativ'!$H$6:$H$405,'Istoric_Nativ'!$B$6:$B$405,E221,'Istoric_Nativ'!$C$6:$C$405,F221,'Istoric_Nativ'!$F$6:$F$405,G221,'Istoric_Nativ'!$D$6:$D$405,"&lt;"&amp;J221,'Istoric_Nativ'!$P$6:$P$405,1,'Istoric_Nativ'!$D$6:$D$405,"&gt;="&amp;L221)))/M221)</x:f>
      </x:c>
      <x:c r="O221" s="11" t="str">
        <x:f>IF(M221=0,"",IF(H221="HOME",SUMIFS('Istoric_Nativ'!$H$6:$H$405,'Istoric_Nativ'!$B$6:$B$405,E221,'Istoric_Nativ'!$C$6:$C$405,F221,'Istoric_Nativ'!$E$6:$E$405,G221,'Istoric_Nativ'!$D$6:$D$405,"&lt;"&amp;J221,'Istoric_Nativ'!$P$6:$P$405,1,'Istoric_Nativ'!$D$6:$D$405,"&gt;="&amp;L221),IF(H221="AWAY",SUMIFS('Istoric_Nativ'!$G$6:$G$405,'Istoric_Nativ'!$B$6:$B$405,E221,'Istoric_Nativ'!$C$6:$C$405,F221,'Istoric_Nativ'!$F$6:$F$405,G221,'Istoric_Nativ'!$D$6:$D$405,"&lt;"&amp;J221,'Istoric_Nativ'!$P$6:$P$405,1,'Istoric_Nativ'!$D$6:$D$405,"&gt;="&amp;L221),SUMIFS('Istoric_Nativ'!$H$6:$H$405,'Istoric_Nativ'!$B$6:$B$405,E221,'Istoric_Nativ'!$C$6:$C$405,F221,'Istoric_Nativ'!$E$6:$E$405,G221,'Istoric_Nativ'!$D$6:$D$405,"&lt;"&amp;J221,'Istoric_Nativ'!$P$6:$P$405,1,'Istoric_Nativ'!$D$6:$D$405,"&gt;="&amp;L221)+SUMIFS('Istoric_Nativ'!$G$6:$G$405,'Istoric_Nativ'!$B$6:$B$405,E221,'Istoric_Nativ'!$C$6:$C$405,F221,'Istoric_Nativ'!$F$6:$F$405,G221,'Istoric_Nativ'!$D$6:$D$405,"&lt;"&amp;J221,'Istoric_Nativ'!$P$6:$P$405,1,'Istoric_Nativ'!$D$6:$D$405,"&gt;="&amp;L221)))/M221)</x:f>
      </x:c>
      <x:c r="P221" s="2" t="n">
        <x:f>'Config_v6'!$B$9</x:f>
        <x:v>3</x:v>
      </x:c>
      <x:c r="Q221" s="2" t="n">
        <x:f>IF(OR(B221="",F221=""),0,IFERROR(MATCH(E221&amp;"|"&amp;F221,SourceTable[Source_Key],0),0))</x:f>
        <x:v>0</x:v>
      </x:c>
      <x:c r="R221" s="2" t="str">
        <x:f>IF(B221="","",IF(F221="","UNUSED",IF(Q221=0,"NOT CHECKED",IF(COUNTIF(SourceTable[Source_Key],E221&amp;"|"&amp;F221)&lt;&gt;1,"SOURCE CONFLICT",IF(NOT(OR(INDEX(SourceTable[Status],MAX(1,Q221))="IMPORTED",INDEX(SourceTable[Status],MAX(1,Q221))="PARTIAL",INDEX(SourceTable[Status],MAX(1,Q221))="SOURCE CONFLICT")),"ACCESS BLOCKED",IF(OR(INDEX(SourceTable[Coverage],Q221)&lt;&gt;"FULL SEASON EXPORT",INDEX(SourceTable[URL],Q221)="",INDEX(SourceTable[SHA256],Q221)=""),"EVIDENCE INCOMPLETE",IF(AND('Input_Meci'!H23="LIVE",INDEX(SourceTable[Retrieved_UTC],Q221)&gt;'Input_Meci'!G23),"POST CUTOFF","CLOSED")))))))</x:f>
      </x:c>
      <x:c r="S221" s="2" t="n">
        <x:f>IF(OR(B221="",F221=""),0,COUNTIFS('Istoric_Nativ'!$B$6:$B$405,E221,'Istoric_Nativ'!$C$6:$C$405,F221,'Istoric_Nativ'!$E$6:$E$405,G221,'Istoric_Nativ'!$D$6:$D$405,"&lt;"&amp;J221,'Istoric_Nativ'!$O$6:$O$405,"INVALID")+COUNTIFS('Istoric_Nativ'!$B$6:$B$405,E221,'Istoric_Nativ'!$C$6:$C$405,F221,'Istoric_Nativ'!$E$6:$E$405,G221,'Istoric_Nativ'!$O$6:$O$405,"INVALID",'Istoric_Nativ'!$D$6:$D$405,"*")+COUNTIFS('Istoric_Nativ'!$B$6:$B$405,E221,'Istoric_Nativ'!$C$6:$C$405,F221,'Istoric_Nativ'!$E$6:$E$405,G221,'Istoric_Nativ'!$D$6:$D$405,"&lt;"&amp;J221,'Istoric_Nativ'!$O$6:$O$405,"SOURCE CONFLICT")+COUNTIFS('Istoric_Nativ'!$B$6:$B$405,E221,'Istoric_Nativ'!$C$6:$C$405,F221,'Istoric_Nativ'!$F$6:$F$405,G221,'Istoric_Nativ'!$D$6:$D$405,"&lt;"&amp;J221,'Istoric_Nativ'!$O$6:$O$405,"INVALID")+COUNTIFS('Istoric_Nativ'!$B$6:$B$405,E221,'Istoric_Nativ'!$C$6:$C$405,F221,'Istoric_Nativ'!$F$6:$F$405,G221,'Istoric_Nativ'!$O$6:$O$405,"INVALID",'Istoric_Nativ'!$D$6:$D$405,"*")+COUNTIFS('Istoric_Nativ'!$B$6:$B$405,E221,'Istoric_Nativ'!$C$6:$C$405,F221,'Istoric_Nativ'!$F$6:$F$405,G221,'Istoric_Nativ'!$D$6:$D$405,"&lt;"&amp;J221,'Istoric_Nativ'!$O$6:$O$405,"SOURCE CONFLICT"))</x:f>
        <x:v>0</x:v>
      </x:c>
      <x:c r="T221" s="2" t="str">
        <x:f>IF(B221="","",IF(R221&lt;&gt;"CLOSED",R221,IF(S221&gt;0,"NATIVE INPUT ISSUE",IF(M221=0,"NO HISTORY",IF(M221&lt;P221,"SMALL SAMPLE","DERIVED")))))</x:f>
      </x:c>
      <x:c r="U221" s="2" t="str">
        <x:f>IF(B221="","","NativeTable; "&amp;E221&amp;"; "&amp;F221&amp;"; "&amp;G221&amp;"; "&amp;H221&amp;"; before "&amp;TEXT(J221,"yyyy-mm-dd")&amp;IF(I221="RECENT","; from "&amp;TEXT(L221,"yyyy-mm-dd"),""))</x:f>
      </x:c>
    </x:row>
    <x:row r="222" ht="21" customHeight="1">
      <x:c r="A222" s="2" t="n">
        <x:v>19</x:v>
      </x:c>
      <x:c r="B222" s="2" t="str">
        <x:f>IF('Input_Meci'!A24="","",'Input_Meci'!A24)</x:f>
      </x:c>
      <x:c r="C222" s="2" t="str">
        <x:v>H</x:v>
      </x:c>
      <x:c r="D222" s="2" t="str">
        <x:v>CURRENT</x:v>
      </x:c>
      <x:c r="E222" s="2" t="str">
        <x:f>IF(B222="","",'Input_Meci'!B24)</x:f>
      </x:c>
      <x:c r="F222" s="2" t="str">
        <x:f>IF(B222="","",IF('Input_Meci'!C24="","",'Input_Meci'!C24))</x:f>
      </x:c>
      <x:c r="G222" s="2" t="str">
        <x:f>IF(B222="","",'Input_Meci'!D24)</x:f>
      </x:c>
      <x:c r="H222" s="2" t="str">
        <x:v>ANY</x:v>
      </x:c>
      <x:c r="I222" s="2" t="str">
        <x:v>SEASON</x:v>
      </x:c>
      <x:c r="J222" s="9" t="n">
        <x:f>IF(AND(B222&lt;&gt;"",ISNUMBER('Input_Meci'!G24)),INT('Input_Meci'!G24),0)</x:f>
        <x:v>0</x:v>
      </x:c>
      <x:c r="K222" s="2" t="n">
        <x:f>IF(OR(B222="",F222=""),0,IF(H222="HOME",COUNTIFS('Istoric_Nativ'!$B$6:$B$405,E222,'Istoric_Nativ'!$C$6:$C$405,F222,'Istoric_Nativ'!$E$6:$E$405,G222,'Istoric_Nativ'!$D$6:$D$405,"&lt;"&amp;J222,'Istoric_Nativ'!$P$6:$P$405,1),IF(H222="AWAY",COUNTIFS('Istoric_Nativ'!$B$6:$B$405,E222,'Istoric_Nativ'!$C$6:$C$405,F222,'Istoric_Nativ'!$F$6:$F$405,G222,'Istoric_Nativ'!$D$6:$D$405,"&lt;"&amp;J222,'Istoric_Nativ'!$P$6:$P$405,1),COUNTIFS('Istoric_Nativ'!$B$6:$B$405,E222,'Istoric_Nativ'!$C$6:$C$405,F222,'Istoric_Nativ'!$E$6:$E$405,G222,'Istoric_Nativ'!$D$6:$D$405,"&lt;"&amp;J222,'Istoric_Nativ'!$P$6:$P$405,1)+COUNTIFS('Istoric_Nativ'!$B$6:$B$405,E222,'Istoric_Nativ'!$C$6:$C$405,F222,'Istoric_Nativ'!$F$6:$F$405,G222,'Istoric_Nativ'!$D$6:$D$405,"&lt;"&amp;J222,'Istoric_Nativ'!$P$6:$P$405,1))))</x:f>
        <x:v>0</x:v>
      </x:c>
      <x:c r="L222" s="17" t="n">
        <x:f>IF(AND(B222&lt;&gt;"",I222="RECENT",K222&gt;0),LARGE(_xlfn._xlws.FILTER('Istoric_Nativ'!$D$6:$D$405,('Istoric_Nativ'!$B$6:$B$405=E222)*('Istoric_Nativ'!$C$6:$C$405=F222)*('Istoric_Nativ'!$P$6:$P$405=1)*('Istoric_Nativ'!$D$6:$D$405&lt;J222)*((('Istoric_Nativ'!$E$6:$E$405=G222)+('Istoric_Nativ'!$F$6:$F$405=G222))&gt;0)),MIN('Config_v6'!$B$54,K222)),0)</x:f>
        <x:v>0</x:v>
      </x:c>
      <x:c r="M222" s="2" t="n">
        <x:f>IF(OR(B222="",F222=""),0,IF(H222="HOME",COUNTIFS('Istoric_Nativ'!$B$6:$B$405,E222,'Istoric_Nativ'!$C$6:$C$405,F222,'Istoric_Nativ'!$E$6:$E$405,G222,'Istoric_Nativ'!$D$6:$D$405,"&lt;"&amp;J222,'Istoric_Nativ'!$P$6:$P$405,1,'Istoric_Nativ'!$D$6:$D$405,"&gt;="&amp;L222),IF(H222="AWAY",COUNTIFS('Istoric_Nativ'!$B$6:$B$405,E222,'Istoric_Nativ'!$C$6:$C$405,F222,'Istoric_Nativ'!$F$6:$F$405,G222,'Istoric_Nativ'!$D$6:$D$405,"&lt;"&amp;J222,'Istoric_Nativ'!$P$6:$P$405,1,'Istoric_Nativ'!$D$6:$D$405,"&gt;="&amp;L222),COUNTIFS('Istoric_Nativ'!$B$6:$B$405,E222,'Istoric_Nativ'!$C$6:$C$405,F222,'Istoric_Nativ'!$E$6:$E$405,G222,'Istoric_Nativ'!$D$6:$D$405,"&lt;"&amp;J222,'Istoric_Nativ'!$P$6:$P$405,1,'Istoric_Nativ'!$D$6:$D$405,"&gt;="&amp;L222)+COUNTIFS('Istoric_Nativ'!$B$6:$B$405,E222,'Istoric_Nativ'!$C$6:$C$405,F222,'Istoric_Nativ'!$F$6:$F$405,G222,'Istoric_Nativ'!$D$6:$D$405,"&lt;"&amp;J222,'Istoric_Nativ'!$P$6:$P$405,1,'Istoric_Nativ'!$D$6:$D$405,"&gt;="&amp;L222))))</x:f>
        <x:v>0</x:v>
      </x:c>
      <x:c r="N222" s="11" t="str">
        <x:f>IF(M222=0,"",IF(H222="HOME",SUMIFS('Istoric_Nativ'!$G$6:$G$405,'Istoric_Nativ'!$B$6:$B$405,E222,'Istoric_Nativ'!$C$6:$C$405,F222,'Istoric_Nativ'!$E$6:$E$405,G222,'Istoric_Nativ'!$D$6:$D$405,"&lt;"&amp;J222,'Istoric_Nativ'!$P$6:$P$405,1,'Istoric_Nativ'!$D$6:$D$405,"&gt;="&amp;L222),IF(H222="AWAY",SUMIFS('Istoric_Nativ'!$H$6:$H$405,'Istoric_Nativ'!$B$6:$B$405,E222,'Istoric_Nativ'!$C$6:$C$405,F222,'Istoric_Nativ'!$F$6:$F$405,G222,'Istoric_Nativ'!$D$6:$D$405,"&lt;"&amp;J222,'Istoric_Nativ'!$P$6:$P$405,1,'Istoric_Nativ'!$D$6:$D$405,"&gt;="&amp;L222),SUMIFS('Istoric_Nativ'!$G$6:$G$405,'Istoric_Nativ'!$B$6:$B$405,E222,'Istoric_Nativ'!$C$6:$C$405,F222,'Istoric_Nativ'!$E$6:$E$405,G222,'Istoric_Nativ'!$D$6:$D$405,"&lt;"&amp;J222,'Istoric_Nativ'!$P$6:$P$405,1,'Istoric_Nativ'!$D$6:$D$405,"&gt;="&amp;L222)+SUMIFS('Istoric_Nativ'!$H$6:$H$405,'Istoric_Nativ'!$B$6:$B$405,E222,'Istoric_Nativ'!$C$6:$C$405,F222,'Istoric_Nativ'!$F$6:$F$405,G222,'Istoric_Nativ'!$D$6:$D$405,"&lt;"&amp;J222,'Istoric_Nativ'!$P$6:$P$405,1,'Istoric_Nativ'!$D$6:$D$405,"&gt;="&amp;L222)))/M222)</x:f>
      </x:c>
      <x:c r="O222" s="11" t="str">
        <x:f>IF(M222=0,"",IF(H222="HOME",SUMIFS('Istoric_Nativ'!$H$6:$H$405,'Istoric_Nativ'!$B$6:$B$405,E222,'Istoric_Nativ'!$C$6:$C$405,F222,'Istoric_Nativ'!$E$6:$E$405,G222,'Istoric_Nativ'!$D$6:$D$405,"&lt;"&amp;J222,'Istoric_Nativ'!$P$6:$P$405,1,'Istoric_Nativ'!$D$6:$D$405,"&gt;="&amp;L222),IF(H222="AWAY",SUMIFS('Istoric_Nativ'!$G$6:$G$405,'Istoric_Nativ'!$B$6:$B$405,E222,'Istoric_Nativ'!$C$6:$C$405,F222,'Istoric_Nativ'!$F$6:$F$405,G222,'Istoric_Nativ'!$D$6:$D$405,"&lt;"&amp;J222,'Istoric_Nativ'!$P$6:$P$405,1,'Istoric_Nativ'!$D$6:$D$405,"&gt;="&amp;L222),SUMIFS('Istoric_Nativ'!$H$6:$H$405,'Istoric_Nativ'!$B$6:$B$405,E222,'Istoric_Nativ'!$C$6:$C$405,F222,'Istoric_Nativ'!$E$6:$E$405,G222,'Istoric_Nativ'!$D$6:$D$405,"&lt;"&amp;J222,'Istoric_Nativ'!$P$6:$P$405,1,'Istoric_Nativ'!$D$6:$D$405,"&gt;="&amp;L222)+SUMIFS('Istoric_Nativ'!$G$6:$G$405,'Istoric_Nativ'!$B$6:$B$405,E222,'Istoric_Nativ'!$C$6:$C$405,F222,'Istoric_Nativ'!$F$6:$F$405,G222,'Istoric_Nativ'!$D$6:$D$405,"&lt;"&amp;J222,'Istoric_Nativ'!$P$6:$P$405,1,'Istoric_Nativ'!$D$6:$D$405,"&gt;="&amp;L222)))/M222)</x:f>
      </x:c>
      <x:c r="P222" s="2" t="n">
        <x:f>'Config_v6'!$B$7</x:f>
        <x:v>10</x:v>
      </x:c>
      <x:c r="Q222" s="2" t="n">
        <x:f>IF(OR(B222="",F222=""),0,IFERROR(MATCH(E222&amp;"|"&amp;F222,SourceTable[Source_Key],0),0))</x:f>
        <x:v>0</x:v>
      </x:c>
      <x:c r="R222" s="2" t="str">
        <x:f>IF(B222="","",IF(F222="","UNUSED",IF(Q222=0,"NOT CHECKED",IF(COUNTIF(SourceTable[Source_Key],E222&amp;"|"&amp;F222)&lt;&gt;1,"SOURCE CONFLICT",IF(NOT(OR(INDEX(SourceTable[Status],MAX(1,Q222))="IMPORTED",INDEX(SourceTable[Status],MAX(1,Q222))="PARTIAL",INDEX(SourceTable[Status],MAX(1,Q222))="SOURCE CONFLICT")),"ACCESS BLOCKED",IF(OR(INDEX(SourceTable[Coverage],Q222)&lt;&gt;"FULL SEASON EXPORT",INDEX(SourceTable[URL],Q222)="",INDEX(SourceTable[SHA256],Q222)=""),"EVIDENCE INCOMPLETE",IF(AND('Input_Meci'!H24="LIVE",INDEX(SourceTable[Retrieved_UTC],Q222)&gt;'Input_Meci'!G24),"POST CUTOFF","CLOSED")))))))</x:f>
      </x:c>
      <x:c r="S222" s="2" t="n">
        <x:f>IF(OR(B222="",F222=""),0,COUNTIFS('Istoric_Nativ'!$B$6:$B$405,E222,'Istoric_Nativ'!$C$6:$C$405,F222,'Istoric_Nativ'!$E$6:$E$405,G222,'Istoric_Nativ'!$D$6:$D$405,"&lt;"&amp;J222,'Istoric_Nativ'!$O$6:$O$405,"INVALID")+COUNTIFS('Istoric_Nativ'!$B$6:$B$405,E222,'Istoric_Nativ'!$C$6:$C$405,F222,'Istoric_Nativ'!$E$6:$E$405,G222,'Istoric_Nativ'!$O$6:$O$405,"INVALID",'Istoric_Nativ'!$D$6:$D$405,"*")+COUNTIFS('Istoric_Nativ'!$B$6:$B$405,E222,'Istoric_Nativ'!$C$6:$C$405,F222,'Istoric_Nativ'!$E$6:$E$405,G222,'Istoric_Nativ'!$D$6:$D$405,"&lt;"&amp;J222,'Istoric_Nativ'!$O$6:$O$405,"SOURCE CONFLICT")+COUNTIFS('Istoric_Nativ'!$B$6:$B$405,E222,'Istoric_Nativ'!$C$6:$C$405,F222,'Istoric_Nativ'!$F$6:$F$405,G222,'Istoric_Nativ'!$D$6:$D$405,"&lt;"&amp;J222,'Istoric_Nativ'!$O$6:$O$405,"INVALID")+COUNTIFS('Istoric_Nativ'!$B$6:$B$405,E222,'Istoric_Nativ'!$C$6:$C$405,F222,'Istoric_Nativ'!$F$6:$F$405,G222,'Istoric_Nativ'!$O$6:$O$405,"INVALID",'Istoric_Nativ'!$D$6:$D$405,"*")+COUNTIFS('Istoric_Nativ'!$B$6:$B$405,E222,'Istoric_Nativ'!$C$6:$C$405,F222,'Istoric_Nativ'!$F$6:$F$405,G222,'Istoric_Nativ'!$D$6:$D$405,"&lt;"&amp;J222,'Istoric_Nativ'!$O$6:$O$405,"SOURCE CONFLICT"))</x:f>
        <x:v>0</x:v>
      </x:c>
      <x:c r="T222" s="2" t="str">
        <x:f>IF(B222="","",IF(R222&lt;&gt;"CLOSED",R222,IF(S222&gt;0,"NATIVE INPUT ISSUE",IF(M222=0,"NO HISTORY",IF(M222&lt;P222,"SMALL SAMPLE","DERIVED")))))</x:f>
      </x:c>
      <x:c r="U222" s="2" t="str">
        <x:f>IF(B222="","","NativeTable; "&amp;E222&amp;"; "&amp;F222&amp;"; "&amp;G222&amp;"; "&amp;H222&amp;"; before "&amp;TEXT(J222,"yyyy-mm-dd")&amp;IF(I222="RECENT","; from "&amp;TEXT(L222,"yyyy-mm-dd"),""))</x:f>
      </x:c>
    </x:row>
    <x:row r="223" ht="21" customHeight="1">
      <x:c r="A223" s="2" t="n">
        <x:v>19</x:v>
      </x:c>
      <x:c r="B223" s="2" t="str">
        <x:f>IF('Input_Meci'!A24="","",'Input_Meci'!A24)</x:f>
      </x:c>
      <x:c r="C223" s="2" t="str">
        <x:v>H</x:v>
      </x:c>
      <x:c r="D223" s="2" t="str">
        <x:v>CURRENT</x:v>
      </x:c>
      <x:c r="E223" s="2" t="str">
        <x:f>IF(B223="","",'Input_Meci'!B24)</x:f>
      </x:c>
      <x:c r="F223" s="2" t="str">
        <x:f>IF(B223="","",IF('Input_Meci'!C24="","",'Input_Meci'!C24))</x:f>
      </x:c>
      <x:c r="G223" s="2" t="str">
        <x:f>IF(B223="","",'Input_Meci'!D24)</x:f>
      </x:c>
      <x:c r="H223" s="2" t="str">
        <x:v>HOME</x:v>
      </x:c>
      <x:c r="I223" s="2" t="str">
        <x:v>HA</x:v>
      </x:c>
      <x:c r="J223" s="9" t="n">
        <x:f>IF(AND(B223&lt;&gt;"",ISNUMBER('Input_Meci'!G24)),INT('Input_Meci'!G24),0)</x:f>
        <x:v>0</x:v>
      </x:c>
      <x:c r="K223" s="2" t="n">
        <x:f>IF(OR(B223="",F223=""),0,IF(H223="HOME",COUNTIFS('Istoric_Nativ'!$B$6:$B$405,E223,'Istoric_Nativ'!$C$6:$C$405,F223,'Istoric_Nativ'!$E$6:$E$405,G223,'Istoric_Nativ'!$D$6:$D$405,"&lt;"&amp;J223,'Istoric_Nativ'!$P$6:$P$405,1),IF(H223="AWAY",COUNTIFS('Istoric_Nativ'!$B$6:$B$405,E223,'Istoric_Nativ'!$C$6:$C$405,F223,'Istoric_Nativ'!$F$6:$F$405,G223,'Istoric_Nativ'!$D$6:$D$405,"&lt;"&amp;J223,'Istoric_Nativ'!$P$6:$P$405,1),COUNTIFS('Istoric_Nativ'!$B$6:$B$405,E223,'Istoric_Nativ'!$C$6:$C$405,F223,'Istoric_Nativ'!$E$6:$E$405,G223,'Istoric_Nativ'!$D$6:$D$405,"&lt;"&amp;J223,'Istoric_Nativ'!$P$6:$P$405,1)+COUNTIFS('Istoric_Nativ'!$B$6:$B$405,E223,'Istoric_Nativ'!$C$6:$C$405,F223,'Istoric_Nativ'!$F$6:$F$405,G223,'Istoric_Nativ'!$D$6:$D$405,"&lt;"&amp;J223,'Istoric_Nativ'!$P$6:$P$405,1))))</x:f>
        <x:v>0</x:v>
      </x:c>
      <x:c r="L223" s="17" t="n">
        <x:f>IF(AND(B223&lt;&gt;"",I223="RECENT",K223&gt;0),LARGE(_xlfn._xlws.FILTER('Istoric_Nativ'!$D$6:$D$405,('Istoric_Nativ'!$B$6:$B$405=E223)*('Istoric_Nativ'!$C$6:$C$405=F223)*('Istoric_Nativ'!$P$6:$P$405=1)*('Istoric_Nativ'!$D$6:$D$405&lt;J223)*((('Istoric_Nativ'!$E$6:$E$405=G223)+('Istoric_Nativ'!$F$6:$F$405=G223))&gt;0)),MIN('Config_v6'!$B$54,K223)),0)</x:f>
        <x:v>0</x:v>
      </x:c>
      <x:c r="M223" s="2" t="n">
        <x:f>IF(OR(B223="",F223=""),0,IF(H223="HOME",COUNTIFS('Istoric_Nativ'!$B$6:$B$405,E223,'Istoric_Nativ'!$C$6:$C$405,F223,'Istoric_Nativ'!$E$6:$E$405,G223,'Istoric_Nativ'!$D$6:$D$405,"&lt;"&amp;J223,'Istoric_Nativ'!$P$6:$P$405,1,'Istoric_Nativ'!$D$6:$D$405,"&gt;="&amp;L223),IF(H223="AWAY",COUNTIFS('Istoric_Nativ'!$B$6:$B$405,E223,'Istoric_Nativ'!$C$6:$C$405,F223,'Istoric_Nativ'!$F$6:$F$405,G223,'Istoric_Nativ'!$D$6:$D$405,"&lt;"&amp;J223,'Istoric_Nativ'!$P$6:$P$405,1,'Istoric_Nativ'!$D$6:$D$405,"&gt;="&amp;L223),COUNTIFS('Istoric_Nativ'!$B$6:$B$405,E223,'Istoric_Nativ'!$C$6:$C$405,F223,'Istoric_Nativ'!$E$6:$E$405,G223,'Istoric_Nativ'!$D$6:$D$405,"&lt;"&amp;J223,'Istoric_Nativ'!$P$6:$P$405,1,'Istoric_Nativ'!$D$6:$D$405,"&gt;="&amp;L223)+COUNTIFS('Istoric_Nativ'!$B$6:$B$405,E223,'Istoric_Nativ'!$C$6:$C$405,F223,'Istoric_Nativ'!$F$6:$F$405,G223,'Istoric_Nativ'!$D$6:$D$405,"&lt;"&amp;J223,'Istoric_Nativ'!$P$6:$P$405,1,'Istoric_Nativ'!$D$6:$D$405,"&gt;="&amp;L223))))</x:f>
        <x:v>0</x:v>
      </x:c>
      <x:c r="N223" s="11" t="str">
        <x:f>IF(M223=0,"",IF(H223="HOME",SUMIFS('Istoric_Nativ'!$G$6:$G$405,'Istoric_Nativ'!$B$6:$B$405,E223,'Istoric_Nativ'!$C$6:$C$405,F223,'Istoric_Nativ'!$E$6:$E$405,G223,'Istoric_Nativ'!$D$6:$D$405,"&lt;"&amp;J223,'Istoric_Nativ'!$P$6:$P$405,1,'Istoric_Nativ'!$D$6:$D$405,"&gt;="&amp;L223),IF(H223="AWAY",SUMIFS('Istoric_Nativ'!$H$6:$H$405,'Istoric_Nativ'!$B$6:$B$405,E223,'Istoric_Nativ'!$C$6:$C$405,F223,'Istoric_Nativ'!$F$6:$F$405,G223,'Istoric_Nativ'!$D$6:$D$405,"&lt;"&amp;J223,'Istoric_Nativ'!$P$6:$P$405,1,'Istoric_Nativ'!$D$6:$D$405,"&gt;="&amp;L223),SUMIFS('Istoric_Nativ'!$G$6:$G$405,'Istoric_Nativ'!$B$6:$B$405,E223,'Istoric_Nativ'!$C$6:$C$405,F223,'Istoric_Nativ'!$E$6:$E$405,G223,'Istoric_Nativ'!$D$6:$D$405,"&lt;"&amp;J223,'Istoric_Nativ'!$P$6:$P$405,1,'Istoric_Nativ'!$D$6:$D$405,"&gt;="&amp;L223)+SUMIFS('Istoric_Nativ'!$H$6:$H$405,'Istoric_Nativ'!$B$6:$B$405,E223,'Istoric_Nativ'!$C$6:$C$405,F223,'Istoric_Nativ'!$F$6:$F$405,G223,'Istoric_Nativ'!$D$6:$D$405,"&lt;"&amp;J223,'Istoric_Nativ'!$P$6:$P$405,1,'Istoric_Nativ'!$D$6:$D$405,"&gt;="&amp;L223)))/M223)</x:f>
      </x:c>
      <x:c r="O223" s="11" t="str">
        <x:f>IF(M223=0,"",IF(H223="HOME",SUMIFS('Istoric_Nativ'!$H$6:$H$405,'Istoric_Nativ'!$B$6:$B$405,E223,'Istoric_Nativ'!$C$6:$C$405,F223,'Istoric_Nativ'!$E$6:$E$405,G223,'Istoric_Nativ'!$D$6:$D$405,"&lt;"&amp;J223,'Istoric_Nativ'!$P$6:$P$405,1,'Istoric_Nativ'!$D$6:$D$405,"&gt;="&amp;L223),IF(H223="AWAY",SUMIFS('Istoric_Nativ'!$G$6:$G$405,'Istoric_Nativ'!$B$6:$B$405,E223,'Istoric_Nativ'!$C$6:$C$405,F223,'Istoric_Nativ'!$F$6:$F$405,G223,'Istoric_Nativ'!$D$6:$D$405,"&lt;"&amp;J223,'Istoric_Nativ'!$P$6:$P$405,1,'Istoric_Nativ'!$D$6:$D$405,"&gt;="&amp;L223),SUMIFS('Istoric_Nativ'!$H$6:$H$405,'Istoric_Nativ'!$B$6:$B$405,E223,'Istoric_Nativ'!$C$6:$C$405,F223,'Istoric_Nativ'!$E$6:$E$405,G223,'Istoric_Nativ'!$D$6:$D$405,"&lt;"&amp;J223,'Istoric_Nativ'!$P$6:$P$405,1,'Istoric_Nativ'!$D$6:$D$405,"&gt;="&amp;L223)+SUMIFS('Istoric_Nativ'!$G$6:$G$405,'Istoric_Nativ'!$B$6:$B$405,E223,'Istoric_Nativ'!$C$6:$C$405,F223,'Istoric_Nativ'!$F$6:$F$405,G223,'Istoric_Nativ'!$D$6:$D$405,"&lt;"&amp;J223,'Istoric_Nativ'!$P$6:$P$405,1,'Istoric_Nativ'!$D$6:$D$405,"&gt;="&amp;L223)))/M223)</x:f>
      </x:c>
      <x:c r="P223" s="2" t="n">
        <x:f>'Config_v6'!$B$8</x:f>
        <x:v>5</x:v>
      </x:c>
      <x:c r="Q223" s="2" t="n">
        <x:f>IF(OR(B223="",F223=""),0,IFERROR(MATCH(E223&amp;"|"&amp;F223,SourceTable[Source_Key],0),0))</x:f>
        <x:v>0</x:v>
      </x:c>
      <x:c r="R223" s="2" t="str">
        <x:f>IF(B223="","",IF(F223="","UNUSED",IF(Q223=0,"NOT CHECKED",IF(COUNTIF(SourceTable[Source_Key],E223&amp;"|"&amp;F223)&lt;&gt;1,"SOURCE CONFLICT",IF(NOT(OR(INDEX(SourceTable[Status],MAX(1,Q223))="IMPORTED",INDEX(SourceTable[Status],MAX(1,Q223))="PARTIAL",INDEX(SourceTable[Status],MAX(1,Q223))="SOURCE CONFLICT")),"ACCESS BLOCKED",IF(OR(INDEX(SourceTable[Coverage],Q223)&lt;&gt;"FULL SEASON EXPORT",INDEX(SourceTable[URL],Q223)="",INDEX(SourceTable[SHA256],Q223)=""),"EVIDENCE INCOMPLETE",IF(AND('Input_Meci'!H24="LIVE",INDEX(SourceTable[Retrieved_UTC],Q223)&gt;'Input_Meci'!G24),"POST CUTOFF","CLOSED")))))))</x:f>
      </x:c>
      <x:c r="S223" s="2" t="n">
        <x:f>IF(OR(B223="",F223=""),0,COUNTIFS('Istoric_Nativ'!$B$6:$B$405,E223,'Istoric_Nativ'!$C$6:$C$405,F223,'Istoric_Nativ'!$E$6:$E$405,G223,'Istoric_Nativ'!$D$6:$D$405,"&lt;"&amp;J223,'Istoric_Nativ'!$O$6:$O$405,"INVALID")+COUNTIFS('Istoric_Nativ'!$B$6:$B$405,E223,'Istoric_Nativ'!$C$6:$C$405,F223,'Istoric_Nativ'!$E$6:$E$405,G223,'Istoric_Nativ'!$O$6:$O$405,"INVALID",'Istoric_Nativ'!$D$6:$D$405,"*")+COUNTIFS('Istoric_Nativ'!$B$6:$B$405,E223,'Istoric_Nativ'!$C$6:$C$405,F223,'Istoric_Nativ'!$E$6:$E$405,G223,'Istoric_Nativ'!$D$6:$D$405,"&lt;"&amp;J223,'Istoric_Nativ'!$O$6:$O$405,"SOURCE CONFLICT")+COUNTIFS('Istoric_Nativ'!$B$6:$B$405,E223,'Istoric_Nativ'!$C$6:$C$405,F223,'Istoric_Nativ'!$F$6:$F$405,G223,'Istoric_Nativ'!$D$6:$D$405,"&lt;"&amp;J223,'Istoric_Nativ'!$O$6:$O$405,"INVALID")+COUNTIFS('Istoric_Nativ'!$B$6:$B$405,E223,'Istoric_Nativ'!$C$6:$C$405,F223,'Istoric_Nativ'!$F$6:$F$405,G223,'Istoric_Nativ'!$O$6:$O$405,"INVALID",'Istoric_Nativ'!$D$6:$D$405,"*")+COUNTIFS('Istoric_Nativ'!$B$6:$B$405,E223,'Istoric_Nativ'!$C$6:$C$405,F223,'Istoric_Nativ'!$F$6:$F$405,G223,'Istoric_Nativ'!$D$6:$D$405,"&lt;"&amp;J223,'Istoric_Nativ'!$O$6:$O$405,"SOURCE CONFLICT"))</x:f>
        <x:v>0</x:v>
      </x:c>
      <x:c r="T223" s="2" t="str">
        <x:f>IF(B223="","",IF(R223&lt;&gt;"CLOSED",R223,IF(S223&gt;0,"NATIVE INPUT ISSUE",IF(M223=0,"NO HISTORY",IF(M223&lt;P223,"SMALL SAMPLE","DERIVED")))))</x:f>
      </x:c>
      <x:c r="U223" s="2" t="str">
        <x:f>IF(B223="","","NativeTable; "&amp;E223&amp;"; "&amp;F223&amp;"; "&amp;G223&amp;"; "&amp;H223&amp;"; before "&amp;TEXT(J223,"yyyy-mm-dd")&amp;IF(I223="RECENT","; from "&amp;TEXT(L223,"yyyy-mm-dd"),""))</x:f>
      </x:c>
    </x:row>
    <x:row r="224" ht="21" customHeight="1">
      <x:c r="A224" s="2" t="n">
        <x:v>19</x:v>
      </x:c>
      <x:c r="B224" s="2" t="str">
        <x:f>IF('Input_Meci'!A24="","",'Input_Meci'!A24)</x:f>
      </x:c>
      <x:c r="C224" s="2" t="str">
        <x:v>H</x:v>
      </x:c>
      <x:c r="D224" s="2" t="str">
        <x:v>CURRENT</x:v>
      </x:c>
      <x:c r="E224" s="2" t="str">
        <x:f>IF(B224="","",'Input_Meci'!B24)</x:f>
      </x:c>
      <x:c r="F224" s="2" t="str">
        <x:f>IF(B224="","",IF('Input_Meci'!C24="","",'Input_Meci'!C24))</x:f>
      </x:c>
      <x:c r="G224" s="2" t="str">
        <x:f>IF(B224="","",'Input_Meci'!D24)</x:f>
      </x:c>
      <x:c r="H224" s="2" t="str">
        <x:v>ANY</x:v>
      </x:c>
      <x:c r="I224" s="2" t="str">
        <x:v>RECENT</x:v>
      </x:c>
      <x:c r="J224" s="9" t="n">
        <x:f>IF(AND(B224&lt;&gt;"",ISNUMBER('Input_Meci'!G24)),INT('Input_Meci'!G24),0)</x:f>
        <x:v>0</x:v>
      </x:c>
      <x:c r="K224" s="2" t="n">
        <x:f>IF(OR(B224="",F224=""),0,IF(H224="HOME",COUNTIFS('Istoric_Nativ'!$B$6:$B$405,E224,'Istoric_Nativ'!$C$6:$C$405,F224,'Istoric_Nativ'!$E$6:$E$405,G224,'Istoric_Nativ'!$D$6:$D$405,"&lt;"&amp;J224,'Istoric_Nativ'!$P$6:$P$405,1),IF(H224="AWAY",COUNTIFS('Istoric_Nativ'!$B$6:$B$405,E224,'Istoric_Nativ'!$C$6:$C$405,F224,'Istoric_Nativ'!$F$6:$F$405,G224,'Istoric_Nativ'!$D$6:$D$405,"&lt;"&amp;J224,'Istoric_Nativ'!$P$6:$P$405,1),COUNTIFS('Istoric_Nativ'!$B$6:$B$405,E224,'Istoric_Nativ'!$C$6:$C$405,F224,'Istoric_Nativ'!$E$6:$E$405,G224,'Istoric_Nativ'!$D$6:$D$405,"&lt;"&amp;J224,'Istoric_Nativ'!$P$6:$P$405,1)+COUNTIFS('Istoric_Nativ'!$B$6:$B$405,E224,'Istoric_Nativ'!$C$6:$C$405,F224,'Istoric_Nativ'!$F$6:$F$405,G224,'Istoric_Nativ'!$D$6:$D$405,"&lt;"&amp;J224,'Istoric_Nativ'!$P$6:$P$405,1))))</x:f>
        <x:v>0</x:v>
      </x:c>
      <x:c r="L224" s="17" t="n">
        <x:f>IF(AND(B224&lt;&gt;"",I224="RECENT",K224&gt;0),LARGE(_xlfn._xlws.FILTER('Istoric_Nativ'!$D$6:$D$405,('Istoric_Nativ'!$B$6:$B$405=E224)*('Istoric_Nativ'!$C$6:$C$405=F224)*('Istoric_Nativ'!$P$6:$P$405=1)*('Istoric_Nativ'!$D$6:$D$405&lt;J224)*((('Istoric_Nativ'!$E$6:$E$405=G224)+('Istoric_Nativ'!$F$6:$F$405=G224))&gt;0)),MIN('Config_v6'!$B$54,K224)),0)</x:f>
        <x:v>0</x:v>
      </x:c>
      <x:c r="M224" s="2" t="n">
        <x:f>IF(OR(B224="",F224=""),0,IF(H224="HOME",COUNTIFS('Istoric_Nativ'!$B$6:$B$405,E224,'Istoric_Nativ'!$C$6:$C$405,F224,'Istoric_Nativ'!$E$6:$E$405,G224,'Istoric_Nativ'!$D$6:$D$405,"&lt;"&amp;J224,'Istoric_Nativ'!$P$6:$P$405,1,'Istoric_Nativ'!$D$6:$D$405,"&gt;="&amp;L224),IF(H224="AWAY",COUNTIFS('Istoric_Nativ'!$B$6:$B$405,E224,'Istoric_Nativ'!$C$6:$C$405,F224,'Istoric_Nativ'!$F$6:$F$405,G224,'Istoric_Nativ'!$D$6:$D$405,"&lt;"&amp;J224,'Istoric_Nativ'!$P$6:$P$405,1,'Istoric_Nativ'!$D$6:$D$405,"&gt;="&amp;L224),COUNTIFS('Istoric_Nativ'!$B$6:$B$405,E224,'Istoric_Nativ'!$C$6:$C$405,F224,'Istoric_Nativ'!$E$6:$E$405,G224,'Istoric_Nativ'!$D$6:$D$405,"&lt;"&amp;J224,'Istoric_Nativ'!$P$6:$P$405,1,'Istoric_Nativ'!$D$6:$D$405,"&gt;="&amp;L224)+COUNTIFS('Istoric_Nativ'!$B$6:$B$405,E224,'Istoric_Nativ'!$C$6:$C$405,F224,'Istoric_Nativ'!$F$6:$F$405,G224,'Istoric_Nativ'!$D$6:$D$405,"&lt;"&amp;J224,'Istoric_Nativ'!$P$6:$P$405,1,'Istoric_Nativ'!$D$6:$D$405,"&gt;="&amp;L224))))</x:f>
        <x:v>0</x:v>
      </x:c>
      <x:c r="N224" s="11" t="str">
        <x:f>IF(M224=0,"",IF(H224="HOME",SUMIFS('Istoric_Nativ'!$G$6:$G$405,'Istoric_Nativ'!$B$6:$B$405,E224,'Istoric_Nativ'!$C$6:$C$405,F224,'Istoric_Nativ'!$E$6:$E$405,G224,'Istoric_Nativ'!$D$6:$D$405,"&lt;"&amp;J224,'Istoric_Nativ'!$P$6:$P$405,1,'Istoric_Nativ'!$D$6:$D$405,"&gt;="&amp;L224),IF(H224="AWAY",SUMIFS('Istoric_Nativ'!$H$6:$H$405,'Istoric_Nativ'!$B$6:$B$405,E224,'Istoric_Nativ'!$C$6:$C$405,F224,'Istoric_Nativ'!$F$6:$F$405,G224,'Istoric_Nativ'!$D$6:$D$405,"&lt;"&amp;J224,'Istoric_Nativ'!$P$6:$P$405,1,'Istoric_Nativ'!$D$6:$D$405,"&gt;="&amp;L224),SUMIFS('Istoric_Nativ'!$G$6:$G$405,'Istoric_Nativ'!$B$6:$B$405,E224,'Istoric_Nativ'!$C$6:$C$405,F224,'Istoric_Nativ'!$E$6:$E$405,G224,'Istoric_Nativ'!$D$6:$D$405,"&lt;"&amp;J224,'Istoric_Nativ'!$P$6:$P$405,1,'Istoric_Nativ'!$D$6:$D$405,"&gt;="&amp;L224)+SUMIFS('Istoric_Nativ'!$H$6:$H$405,'Istoric_Nativ'!$B$6:$B$405,E224,'Istoric_Nativ'!$C$6:$C$405,F224,'Istoric_Nativ'!$F$6:$F$405,G224,'Istoric_Nativ'!$D$6:$D$405,"&lt;"&amp;J224,'Istoric_Nativ'!$P$6:$P$405,1,'Istoric_Nativ'!$D$6:$D$405,"&gt;="&amp;L224)))/M224)</x:f>
      </x:c>
      <x:c r="O224" s="11" t="str">
        <x:f>IF(M224=0,"",IF(H224="HOME",SUMIFS('Istoric_Nativ'!$H$6:$H$405,'Istoric_Nativ'!$B$6:$B$405,E224,'Istoric_Nativ'!$C$6:$C$405,F224,'Istoric_Nativ'!$E$6:$E$405,G224,'Istoric_Nativ'!$D$6:$D$405,"&lt;"&amp;J224,'Istoric_Nativ'!$P$6:$P$405,1,'Istoric_Nativ'!$D$6:$D$405,"&gt;="&amp;L224),IF(H224="AWAY",SUMIFS('Istoric_Nativ'!$G$6:$G$405,'Istoric_Nativ'!$B$6:$B$405,E224,'Istoric_Nativ'!$C$6:$C$405,F224,'Istoric_Nativ'!$F$6:$F$405,G224,'Istoric_Nativ'!$D$6:$D$405,"&lt;"&amp;J224,'Istoric_Nativ'!$P$6:$P$405,1,'Istoric_Nativ'!$D$6:$D$405,"&gt;="&amp;L224),SUMIFS('Istoric_Nativ'!$H$6:$H$405,'Istoric_Nativ'!$B$6:$B$405,E224,'Istoric_Nativ'!$C$6:$C$405,F224,'Istoric_Nativ'!$E$6:$E$405,G224,'Istoric_Nativ'!$D$6:$D$405,"&lt;"&amp;J224,'Istoric_Nativ'!$P$6:$P$405,1,'Istoric_Nativ'!$D$6:$D$405,"&gt;="&amp;L224)+SUMIFS('Istoric_Nativ'!$G$6:$G$405,'Istoric_Nativ'!$B$6:$B$405,E224,'Istoric_Nativ'!$C$6:$C$405,F224,'Istoric_Nativ'!$F$6:$F$405,G224,'Istoric_Nativ'!$D$6:$D$405,"&lt;"&amp;J224,'Istoric_Nativ'!$P$6:$P$405,1,'Istoric_Nativ'!$D$6:$D$405,"&gt;="&amp;L224)))/M224)</x:f>
      </x:c>
      <x:c r="P224" s="2" t="n">
        <x:f>'Config_v6'!$B$9</x:f>
        <x:v>3</x:v>
      </x:c>
      <x:c r="Q224" s="2" t="n">
        <x:f>IF(OR(B224="",F224=""),0,IFERROR(MATCH(E224&amp;"|"&amp;F224,SourceTable[Source_Key],0),0))</x:f>
        <x:v>0</x:v>
      </x:c>
      <x:c r="R224" s="2" t="str">
        <x:f>IF(B224="","",IF(F224="","UNUSED",IF(Q224=0,"NOT CHECKED",IF(COUNTIF(SourceTable[Source_Key],E224&amp;"|"&amp;F224)&lt;&gt;1,"SOURCE CONFLICT",IF(NOT(OR(INDEX(SourceTable[Status],MAX(1,Q224))="IMPORTED",INDEX(SourceTable[Status],MAX(1,Q224))="PARTIAL",INDEX(SourceTable[Status],MAX(1,Q224))="SOURCE CONFLICT")),"ACCESS BLOCKED",IF(OR(INDEX(SourceTable[Coverage],Q224)&lt;&gt;"FULL SEASON EXPORT",INDEX(SourceTable[URL],Q224)="",INDEX(SourceTable[SHA256],Q224)=""),"EVIDENCE INCOMPLETE",IF(AND('Input_Meci'!H24="LIVE",INDEX(SourceTable[Retrieved_UTC],Q224)&gt;'Input_Meci'!G24),"POST CUTOFF","CLOSED")))))))</x:f>
      </x:c>
      <x:c r="S224" s="2" t="n">
        <x:f>IF(OR(B224="",F224=""),0,COUNTIFS('Istoric_Nativ'!$B$6:$B$405,E224,'Istoric_Nativ'!$C$6:$C$405,F224,'Istoric_Nativ'!$E$6:$E$405,G224,'Istoric_Nativ'!$D$6:$D$405,"&lt;"&amp;J224,'Istoric_Nativ'!$O$6:$O$405,"INVALID")+COUNTIFS('Istoric_Nativ'!$B$6:$B$405,E224,'Istoric_Nativ'!$C$6:$C$405,F224,'Istoric_Nativ'!$E$6:$E$405,G224,'Istoric_Nativ'!$O$6:$O$405,"INVALID",'Istoric_Nativ'!$D$6:$D$405,"*")+COUNTIFS('Istoric_Nativ'!$B$6:$B$405,E224,'Istoric_Nativ'!$C$6:$C$405,F224,'Istoric_Nativ'!$E$6:$E$405,G224,'Istoric_Nativ'!$D$6:$D$405,"&lt;"&amp;J224,'Istoric_Nativ'!$O$6:$O$405,"SOURCE CONFLICT")+COUNTIFS('Istoric_Nativ'!$B$6:$B$405,E224,'Istoric_Nativ'!$C$6:$C$405,F224,'Istoric_Nativ'!$F$6:$F$405,G224,'Istoric_Nativ'!$D$6:$D$405,"&lt;"&amp;J224,'Istoric_Nativ'!$O$6:$O$405,"INVALID")+COUNTIFS('Istoric_Nativ'!$B$6:$B$405,E224,'Istoric_Nativ'!$C$6:$C$405,F224,'Istoric_Nativ'!$F$6:$F$405,G224,'Istoric_Nativ'!$O$6:$O$405,"INVALID",'Istoric_Nativ'!$D$6:$D$405,"*")+COUNTIFS('Istoric_Nativ'!$B$6:$B$405,E224,'Istoric_Nativ'!$C$6:$C$405,F224,'Istoric_Nativ'!$F$6:$F$405,G224,'Istoric_Nativ'!$D$6:$D$405,"&lt;"&amp;J224,'Istoric_Nativ'!$O$6:$O$405,"SOURCE CONFLICT"))</x:f>
        <x:v>0</x:v>
      </x:c>
      <x:c r="T224" s="2" t="str">
        <x:f>IF(B224="","",IF(R224&lt;&gt;"CLOSED",R224,IF(S224&gt;0,"NATIVE INPUT ISSUE",IF(M224=0,"NO HISTORY",IF(M224&lt;P224,"SMALL SAMPLE","DERIVED")))))</x:f>
      </x:c>
      <x:c r="U224" s="2" t="str">
        <x:f>IF(B224="","","NativeTable; "&amp;E224&amp;"; "&amp;F224&amp;"; "&amp;G224&amp;"; "&amp;H224&amp;"; before "&amp;TEXT(J224,"yyyy-mm-dd")&amp;IF(I224="RECENT","; from "&amp;TEXT(L224,"yyyy-mm-dd"),""))</x:f>
      </x:c>
    </x:row>
    <x:row r="225" ht="21" customHeight="1">
      <x:c r="A225" s="2" t="n">
        <x:v>19</x:v>
      </x:c>
      <x:c r="B225" s="2" t="str">
        <x:f>IF('Input_Meci'!A24="","",'Input_Meci'!A24)</x:f>
      </x:c>
      <x:c r="C225" s="2" t="str">
        <x:v>A</x:v>
      </x:c>
      <x:c r="D225" s="2" t="str">
        <x:v>CURRENT</x:v>
      </x:c>
      <x:c r="E225" s="2" t="str">
        <x:f>IF(B225="","",'Input_Meci'!B24)</x:f>
      </x:c>
      <x:c r="F225" s="2" t="str">
        <x:f>IF(B225="","",IF('Input_Meci'!C24="","",'Input_Meci'!C24))</x:f>
      </x:c>
      <x:c r="G225" s="2" t="str">
        <x:f>IF(B225="","",'Input_Meci'!E24)</x:f>
      </x:c>
      <x:c r="H225" s="2" t="str">
        <x:v>ANY</x:v>
      </x:c>
      <x:c r="I225" s="2" t="str">
        <x:v>SEASON</x:v>
      </x:c>
      <x:c r="J225" s="9" t="n">
        <x:f>IF(AND(B225&lt;&gt;"",ISNUMBER('Input_Meci'!G24)),INT('Input_Meci'!G24),0)</x:f>
        <x:v>0</x:v>
      </x:c>
      <x:c r="K225" s="2" t="n">
        <x:f>IF(OR(B225="",F225=""),0,IF(H225="HOME",COUNTIFS('Istoric_Nativ'!$B$6:$B$405,E225,'Istoric_Nativ'!$C$6:$C$405,F225,'Istoric_Nativ'!$E$6:$E$405,G225,'Istoric_Nativ'!$D$6:$D$405,"&lt;"&amp;J225,'Istoric_Nativ'!$P$6:$P$405,1),IF(H225="AWAY",COUNTIFS('Istoric_Nativ'!$B$6:$B$405,E225,'Istoric_Nativ'!$C$6:$C$405,F225,'Istoric_Nativ'!$F$6:$F$405,G225,'Istoric_Nativ'!$D$6:$D$405,"&lt;"&amp;J225,'Istoric_Nativ'!$P$6:$P$405,1),COUNTIFS('Istoric_Nativ'!$B$6:$B$405,E225,'Istoric_Nativ'!$C$6:$C$405,F225,'Istoric_Nativ'!$E$6:$E$405,G225,'Istoric_Nativ'!$D$6:$D$405,"&lt;"&amp;J225,'Istoric_Nativ'!$P$6:$P$405,1)+COUNTIFS('Istoric_Nativ'!$B$6:$B$405,E225,'Istoric_Nativ'!$C$6:$C$405,F225,'Istoric_Nativ'!$F$6:$F$405,G225,'Istoric_Nativ'!$D$6:$D$405,"&lt;"&amp;J225,'Istoric_Nativ'!$P$6:$P$405,1))))</x:f>
        <x:v>0</x:v>
      </x:c>
      <x:c r="L225" s="17" t="n">
        <x:f>IF(AND(B225&lt;&gt;"",I225="RECENT",K225&gt;0),LARGE(_xlfn._xlws.FILTER('Istoric_Nativ'!$D$6:$D$405,('Istoric_Nativ'!$B$6:$B$405=E225)*('Istoric_Nativ'!$C$6:$C$405=F225)*('Istoric_Nativ'!$P$6:$P$405=1)*('Istoric_Nativ'!$D$6:$D$405&lt;J225)*((('Istoric_Nativ'!$E$6:$E$405=G225)+('Istoric_Nativ'!$F$6:$F$405=G225))&gt;0)),MIN('Config_v6'!$B$54,K225)),0)</x:f>
        <x:v>0</x:v>
      </x:c>
      <x:c r="M225" s="2" t="n">
        <x:f>IF(OR(B225="",F225=""),0,IF(H225="HOME",COUNTIFS('Istoric_Nativ'!$B$6:$B$405,E225,'Istoric_Nativ'!$C$6:$C$405,F225,'Istoric_Nativ'!$E$6:$E$405,G225,'Istoric_Nativ'!$D$6:$D$405,"&lt;"&amp;J225,'Istoric_Nativ'!$P$6:$P$405,1,'Istoric_Nativ'!$D$6:$D$405,"&gt;="&amp;L225),IF(H225="AWAY",COUNTIFS('Istoric_Nativ'!$B$6:$B$405,E225,'Istoric_Nativ'!$C$6:$C$405,F225,'Istoric_Nativ'!$F$6:$F$405,G225,'Istoric_Nativ'!$D$6:$D$405,"&lt;"&amp;J225,'Istoric_Nativ'!$P$6:$P$405,1,'Istoric_Nativ'!$D$6:$D$405,"&gt;="&amp;L225),COUNTIFS('Istoric_Nativ'!$B$6:$B$405,E225,'Istoric_Nativ'!$C$6:$C$405,F225,'Istoric_Nativ'!$E$6:$E$405,G225,'Istoric_Nativ'!$D$6:$D$405,"&lt;"&amp;J225,'Istoric_Nativ'!$P$6:$P$405,1,'Istoric_Nativ'!$D$6:$D$405,"&gt;="&amp;L225)+COUNTIFS('Istoric_Nativ'!$B$6:$B$405,E225,'Istoric_Nativ'!$C$6:$C$405,F225,'Istoric_Nativ'!$F$6:$F$405,G225,'Istoric_Nativ'!$D$6:$D$405,"&lt;"&amp;J225,'Istoric_Nativ'!$P$6:$P$405,1,'Istoric_Nativ'!$D$6:$D$405,"&gt;="&amp;L225))))</x:f>
        <x:v>0</x:v>
      </x:c>
      <x:c r="N225" s="11" t="str">
        <x:f>IF(M225=0,"",IF(H225="HOME",SUMIFS('Istoric_Nativ'!$G$6:$G$405,'Istoric_Nativ'!$B$6:$B$405,E225,'Istoric_Nativ'!$C$6:$C$405,F225,'Istoric_Nativ'!$E$6:$E$405,G225,'Istoric_Nativ'!$D$6:$D$405,"&lt;"&amp;J225,'Istoric_Nativ'!$P$6:$P$405,1,'Istoric_Nativ'!$D$6:$D$405,"&gt;="&amp;L225),IF(H225="AWAY",SUMIFS('Istoric_Nativ'!$H$6:$H$405,'Istoric_Nativ'!$B$6:$B$405,E225,'Istoric_Nativ'!$C$6:$C$405,F225,'Istoric_Nativ'!$F$6:$F$405,G225,'Istoric_Nativ'!$D$6:$D$405,"&lt;"&amp;J225,'Istoric_Nativ'!$P$6:$P$405,1,'Istoric_Nativ'!$D$6:$D$405,"&gt;="&amp;L225),SUMIFS('Istoric_Nativ'!$G$6:$G$405,'Istoric_Nativ'!$B$6:$B$405,E225,'Istoric_Nativ'!$C$6:$C$405,F225,'Istoric_Nativ'!$E$6:$E$405,G225,'Istoric_Nativ'!$D$6:$D$405,"&lt;"&amp;J225,'Istoric_Nativ'!$P$6:$P$405,1,'Istoric_Nativ'!$D$6:$D$405,"&gt;="&amp;L225)+SUMIFS('Istoric_Nativ'!$H$6:$H$405,'Istoric_Nativ'!$B$6:$B$405,E225,'Istoric_Nativ'!$C$6:$C$405,F225,'Istoric_Nativ'!$F$6:$F$405,G225,'Istoric_Nativ'!$D$6:$D$405,"&lt;"&amp;J225,'Istoric_Nativ'!$P$6:$P$405,1,'Istoric_Nativ'!$D$6:$D$405,"&gt;="&amp;L225)))/M225)</x:f>
      </x:c>
      <x:c r="O225" s="11" t="str">
        <x:f>IF(M225=0,"",IF(H225="HOME",SUMIFS('Istoric_Nativ'!$H$6:$H$405,'Istoric_Nativ'!$B$6:$B$405,E225,'Istoric_Nativ'!$C$6:$C$405,F225,'Istoric_Nativ'!$E$6:$E$405,G225,'Istoric_Nativ'!$D$6:$D$405,"&lt;"&amp;J225,'Istoric_Nativ'!$P$6:$P$405,1,'Istoric_Nativ'!$D$6:$D$405,"&gt;="&amp;L225),IF(H225="AWAY",SUMIFS('Istoric_Nativ'!$G$6:$G$405,'Istoric_Nativ'!$B$6:$B$405,E225,'Istoric_Nativ'!$C$6:$C$405,F225,'Istoric_Nativ'!$F$6:$F$405,G225,'Istoric_Nativ'!$D$6:$D$405,"&lt;"&amp;J225,'Istoric_Nativ'!$P$6:$P$405,1,'Istoric_Nativ'!$D$6:$D$405,"&gt;="&amp;L225),SUMIFS('Istoric_Nativ'!$H$6:$H$405,'Istoric_Nativ'!$B$6:$B$405,E225,'Istoric_Nativ'!$C$6:$C$405,F225,'Istoric_Nativ'!$E$6:$E$405,G225,'Istoric_Nativ'!$D$6:$D$405,"&lt;"&amp;J225,'Istoric_Nativ'!$P$6:$P$405,1,'Istoric_Nativ'!$D$6:$D$405,"&gt;="&amp;L225)+SUMIFS('Istoric_Nativ'!$G$6:$G$405,'Istoric_Nativ'!$B$6:$B$405,E225,'Istoric_Nativ'!$C$6:$C$405,F225,'Istoric_Nativ'!$F$6:$F$405,G225,'Istoric_Nativ'!$D$6:$D$405,"&lt;"&amp;J225,'Istoric_Nativ'!$P$6:$P$405,1,'Istoric_Nativ'!$D$6:$D$405,"&gt;="&amp;L225)))/M225)</x:f>
      </x:c>
      <x:c r="P225" s="2" t="n">
        <x:f>'Config_v6'!$B$7</x:f>
        <x:v>10</x:v>
      </x:c>
      <x:c r="Q225" s="2" t="n">
        <x:f>IF(OR(B225="",F225=""),0,IFERROR(MATCH(E225&amp;"|"&amp;F225,SourceTable[Source_Key],0),0))</x:f>
        <x:v>0</x:v>
      </x:c>
      <x:c r="R225" s="2" t="str">
        <x:f>IF(B225="","",IF(F225="","UNUSED",IF(Q225=0,"NOT CHECKED",IF(COUNTIF(SourceTable[Source_Key],E225&amp;"|"&amp;F225)&lt;&gt;1,"SOURCE CONFLICT",IF(NOT(OR(INDEX(SourceTable[Status],MAX(1,Q225))="IMPORTED",INDEX(SourceTable[Status],MAX(1,Q225))="PARTIAL",INDEX(SourceTable[Status],MAX(1,Q225))="SOURCE CONFLICT")),"ACCESS BLOCKED",IF(OR(INDEX(SourceTable[Coverage],Q225)&lt;&gt;"FULL SEASON EXPORT",INDEX(SourceTable[URL],Q225)="",INDEX(SourceTable[SHA256],Q225)=""),"EVIDENCE INCOMPLETE",IF(AND('Input_Meci'!H24="LIVE",INDEX(SourceTable[Retrieved_UTC],Q225)&gt;'Input_Meci'!G24),"POST CUTOFF","CLOSED")))))))</x:f>
      </x:c>
      <x:c r="S225" s="2" t="n">
        <x:f>IF(OR(B225="",F225=""),0,COUNTIFS('Istoric_Nativ'!$B$6:$B$405,E225,'Istoric_Nativ'!$C$6:$C$405,F225,'Istoric_Nativ'!$E$6:$E$405,G225,'Istoric_Nativ'!$D$6:$D$405,"&lt;"&amp;J225,'Istoric_Nativ'!$O$6:$O$405,"INVALID")+COUNTIFS('Istoric_Nativ'!$B$6:$B$405,E225,'Istoric_Nativ'!$C$6:$C$405,F225,'Istoric_Nativ'!$E$6:$E$405,G225,'Istoric_Nativ'!$O$6:$O$405,"INVALID",'Istoric_Nativ'!$D$6:$D$405,"*")+COUNTIFS('Istoric_Nativ'!$B$6:$B$405,E225,'Istoric_Nativ'!$C$6:$C$405,F225,'Istoric_Nativ'!$E$6:$E$405,G225,'Istoric_Nativ'!$D$6:$D$405,"&lt;"&amp;J225,'Istoric_Nativ'!$O$6:$O$405,"SOURCE CONFLICT")+COUNTIFS('Istoric_Nativ'!$B$6:$B$405,E225,'Istoric_Nativ'!$C$6:$C$405,F225,'Istoric_Nativ'!$F$6:$F$405,G225,'Istoric_Nativ'!$D$6:$D$405,"&lt;"&amp;J225,'Istoric_Nativ'!$O$6:$O$405,"INVALID")+COUNTIFS('Istoric_Nativ'!$B$6:$B$405,E225,'Istoric_Nativ'!$C$6:$C$405,F225,'Istoric_Nativ'!$F$6:$F$405,G225,'Istoric_Nativ'!$O$6:$O$405,"INVALID",'Istoric_Nativ'!$D$6:$D$405,"*")+COUNTIFS('Istoric_Nativ'!$B$6:$B$405,E225,'Istoric_Nativ'!$C$6:$C$405,F225,'Istoric_Nativ'!$F$6:$F$405,G225,'Istoric_Nativ'!$D$6:$D$405,"&lt;"&amp;J225,'Istoric_Nativ'!$O$6:$O$405,"SOURCE CONFLICT"))</x:f>
        <x:v>0</x:v>
      </x:c>
      <x:c r="T225" s="2" t="str">
        <x:f>IF(B225="","",IF(R225&lt;&gt;"CLOSED",R225,IF(S225&gt;0,"NATIVE INPUT ISSUE",IF(M225=0,"NO HISTORY",IF(M225&lt;P225,"SMALL SAMPLE","DERIVED")))))</x:f>
      </x:c>
      <x:c r="U225" s="2" t="str">
        <x:f>IF(B225="","","NativeTable; "&amp;E225&amp;"; "&amp;F225&amp;"; "&amp;G225&amp;"; "&amp;H225&amp;"; before "&amp;TEXT(J225,"yyyy-mm-dd")&amp;IF(I225="RECENT","; from "&amp;TEXT(L225,"yyyy-mm-dd"),""))</x:f>
      </x:c>
    </x:row>
    <x:row r="226" ht="21" customHeight="1">
      <x:c r="A226" s="2" t="n">
        <x:v>19</x:v>
      </x:c>
      <x:c r="B226" s="2" t="str">
        <x:f>IF('Input_Meci'!A24="","",'Input_Meci'!A24)</x:f>
      </x:c>
      <x:c r="C226" s="2" t="str">
        <x:v>A</x:v>
      </x:c>
      <x:c r="D226" s="2" t="str">
        <x:v>CURRENT</x:v>
      </x:c>
      <x:c r="E226" s="2" t="str">
        <x:f>IF(B226="","",'Input_Meci'!B24)</x:f>
      </x:c>
      <x:c r="F226" s="2" t="str">
        <x:f>IF(B226="","",IF('Input_Meci'!C24="","",'Input_Meci'!C24))</x:f>
      </x:c>
      <x:c r="G226" s="2" t="str">
        <x:f>IF(B226="","",'Input_Meci'!E24)</x:f>
      </x:c>
      <x:c r="H226" s="2" t="str">
        <x:v>AWAY</x:v>
      </x:c>
      <x:c r="I226" s="2" t="str">
        <x:v>HA</x:v>
      </x:c>
      <x:c r="J226" s="9" t="n">
        <x:f>IF(AND(B226&lt;&gt;"",ISNUMBER('Input_Meci'!G24)),INT('Input_Meci'!G24),0)</x:f>
        <x:v>0</x:v>
      </x:c>
      <x:c r="K226" s="2" t="n">
        <x:f>IF(OR(B226="",F226=""),0,IF(H226="HOME",COUNTIFS('Istoric_Nativ'!$B$6:$B$405,E226,'Istoric_Nativ'!$C$6:$C$405,F226,'Istoric_Nativ'!$E$6:$E$405,G226,'Istoric_Nativ'!$D$6:$D$405,"&lt;"&amp;J226,'Istoric_Nativ'!$P$6:$P$405,1),IF(H226="AWAY",COUNTIFS('Istoric_Nativ'!$B$6:$B$405,E226,'Istoric_Nativ'!$C$6:$C$405,F226,'Istoric_Nativ'!$F$6:$F$405,G226,'Istoric_Nativ'!$D$6:$D$405,"&lt;"&amp;J226,'Istoric_Nativ'!$P$6:$P$405,1),COUNTIFS('Istoric_Nativ'!$B$6:$B$405,E226,'Istoric_Nativ'!$C$6:$C$405,F226,'Istoric_Nativ'!$E$6:$E$405,G226,'Istoric_Nativ'!$D$6:$D$405,"&lt;"&amp;J226,'Istoric_Nativ'!$P$6:$P$405,1)+COUNTIFS('Istoric_Nativ'!$B$6:$B$405,E226,'Istoric_Nativ'!$C$6:$C$405,F226,'Istoric_Nativ'!$F$6:$F$405,G226,'Istoric_Nativ'!$D$6:$D$405,"&lt;"&amp;J226,'Istoric_Nativ'!$P$6:$P$405,1))))</x:f>
        <x:v>0</x:v>
      </x:c>
      <x:c r="L226" s="17" t="n">
        <x:f>IF(AND(B226&lt;&gt;"",I226="RECENT",K226&gt;0),LARGE(_xlfn._xlws.FILTER('Istoric_Nativ'!$D$6:$D$405,('Istoric_Nativ'!$B$6:$B$405=E226)*('Istoric_Nativ'!$C$6:$C$405=F226)*('Istoric_Nativ'!$P$6:$P$405=1)*('Istoric_Nativ'!$D$6:$D$405&lt;J226)*((('Istoric_Nativ'!$E$6:$E$405=G226)+('Istoric_Nativ'!$F$6:$F$405=G226))&gt;0)),MIN('Config_v6'!$B$54,K226)),0)</x:f>
        <x:v>0</x:v>
      </x:c>
      <x:c r="M226" s="2" t="n">
        <x:f>IF(OR(B226="",F226=""),0,IF(H226="HOME",COUNTIFS('Istoric_Nativ'!$B$6:$B$405,E226,'Istoric_Nativ'!$C$6:$C$405,F226,'Istoric_Nativ'!$E$6:$E$405,G226,'Istoric_Nativ'!$D$6:$D$405,"&lt;"&amp;J226,'Istoric_Nativ'!$P$6:$P$405,1,'Istoric_Nativ'!$D$6:$D$405,"&gt;="&amp;L226),IF(H226="AWAY",COUNTIFS('Istoric_Nativ'!$B$6:$B$405,E226,'Istoric_Nativ'!$C$6:$C$405,F226,'Istoric_Nativ'!$F$6:$F$405,G226,'Istoric_Nativ'!$D$6:$D$405,"&lt;"&amp;J226,'Istoric_Nativ'!$P$6:$P$405,1,'Istoric_Nativ'!$D$6:$D$405,"&gt;="&amp;L226),COUNTIFS('Istoric_Nativ'!$B$6:$B$405,E226,'Istoric_Nativ'!$C$6:$C$405,F226,'Istoric_Nativ'!$E$6:$E$405,G226,'Istoric_Nativ'!$D$6:$D$405,"&lt;"&amp;J226,'Istoric_Nativ'!$P$6:$P$405,1,'Istoric_Nativ'!$D$6:$D$405,"&gt;="&amp;L226)+COUNTIFS('Istoric_Nativ'!$B$6:$B$405,E226,'Istoric_Nativ'!$C$6:$C$405,F226,'Istoric_Nativ'!$F$6:$F$405,G226,'Istoric_Nativ'!$D$6:$D$405,"&lt;"&amp;J226,'Istoric_Nativ'!$P$6:$P$405,1,'Istoric_Nativ'!$D$6:$D$405,"&gt;="&amp;L226))))</x:f>
        <x:v>0</x:v>
      </x:c>
      <x:c r="N226" s="11" t="str">
        <x:f>IF(M226=0,"",IF(H226="HOME",SUMIFS('Istoric_Nativ'!$G$6:$G$405,'Istoric_Nativ'!$B$6:$B$405,E226,'Istoric_Nativ'!$C$6:$C$405,F226,'Istoric_Nativ'!$E$6:$E$405,G226,'Istoric_Nativ'!$D$6:$D$405,"&lt;"&amp;J226,'Istoric_Nativ'!$P$6:$P$405,1,'Istoric_Nativ'!$D$6:$D$405,"&gt;="&amp;L226),IF(H226="AWAY",SUMIFS('Istoric_Nativ'!$H$6:$H$405,'Istoric_Nativ'!$B$6:$B$405,E226,'Istoric_Nativ'!$C$6:$C$405,F226,'Istoric_Nativ'!$F$6:$F$405,G226,'Istoric_Nativ'!$D$6:$D$405,"&lt;"&amp;J226,'Istoric_Nativ'!$P$6:$P$405,1,'Istoric_Nativ'!$D$6:$D$405,"&gt;="&amp;L226),SUMIFS('Istoric_Nativ'!$G$6:$G$405,'Istoric_Nativ'!$B$6:$B$405,E226,'Istoric_Nativ'!$C$6:$C$405,F226,'Istoric_Nativ'!$E$6:$E$405,G226,'Istoric_Nativ'!$D$6:$D$405,"&lt;"&amp;J226,'Istoric_Nativ'!$P$6:$P$405,1,'Istoric_Nativ'!$D$6:$D$405,"&gt;="&amp;L226)+SUMIFS('Istoric_Nativ'!$H$6:$H$405,'Istoric_Nativ'!$B$6:$B$405,E226,'Istoric_Nativ'!$C$6:$C$405,F226,'Istoric_Nativ'!$F$6:$F$405,G226,'Istoric_Nativ'!$D$6:$D$405,"&lt;"&amp;J226,'Istoric_Nativ'!$P$6:$P$405,1,'Istoric_Nativ'!$D$6:$D$405,"&gt;="&amp;L226)))/M226)</x:f>
      </x:c>
      <x:c r="O226" s="11" t="str">
        <x:f>IF(M226=0,"",IF(H226="HOME",SUMIFS('Istoric_Nativ'!$H$6:$H$405,'Istoric_Nativ'!$B$6:$B$405,E226,'Istoric_Nativ'!$C$6:$C$405,F226,'Istoric_Nativ'!$E$6:$E$405,G226,'Istoric_Nativ'!$D$6:$D$405,"&lt;"&amp;J226,'Istoric_Nativ'!$P$6:$P$405,1,'Istoric_Nativ'!$D$6:$D$405,"&gt;="&amp;L226),IF(H226="AWAY",SUMIFS('Istoric_Nativ'!$G$6:$G$405,'Istoric_Nativ'!$B$6:$B$405,E226,'Istoric_Nativ'!$C$6:$C$405,F226,'Istoric_Nativ'!$F$6:$F$405,G226,'Istoric_Nativ'!$D$6:$D$405,"&lt;"&amp;J226,'Istoric_Nativ'!$P$6:$P$405,1,'Istoric_Nativ'!$D$6:$D$405,"&gt;="&amp;L226),SUMIFS('Istoric_Nativ'!$H$6:$H$405,'Istoric_Nativ'!$B$6:$B$405,E226,'Istoric_Nativ'!$C$6:$C$405,F226,'Istoric_Nativ'!$E$6:$E$405,G226,'Istoric_Nativ'!$D$6:$D$405,"&lt;"&amp;J226,'Istoric_Nativ'!$P$6:$P$405,1,'Istoric_Nativ'!$D$6:$D$405,"&gt;="&amp;L226)+SUMIFS('Istoric_Nativ'!$G$6:$G$405,'Istoric_Nativ'!$B$6:$B$405,E226,'Istoric_Nativ'!$C$6:$C$405,F226,'Istoric_Nativ'!$F$6:$F$405,G226,'Istoric_Nativ'!$D$6:$D$405,"&lt;"&amp;J226,'Istoric_Nativ'!$P$6:$P$405,1,'Istoric_Nativ'!$D$6:$D$405,"&gt;="&amp;L226)))/M226)</x:f>
      </x:c>
      <x:c r="P226" s="2" t="n">
        <x:f>'Config_v6'!$B$8</x:f>
        <x:v>5</x:v>
      </x:c>
      <x:c r="Q226" s="2" t="n">
        <x:f>IF(OR(B226="",F226=""),0,IFERROR(MATCH(E226&amp;"|"&amp;F226,SourceTable[Source_Key],0),0))</x:f>
        <x:v>0</x:v>
      </x:c>
      <x:c r="R226" s="2" t="str">
        <x:f>IF(B226="","",IF(F226="","UNUSED",IF(Q226=0,"NOT CHECKED",IF(COUNTIF(SourceTable[Source_Key],E226&amp;"|"&amp;F226)&lt;&gt;1,"SOURCE CONFLICT",IF(NOT(OR(INDEX(SourceTable[Status],MAX(1,Q226))="IMPORTED",INDEX(SourceTable[Status],MAX(1,Q226))="PARTIAL",INDEX(SourceTable[Status],MAX(1,Q226))="SOURCE CONFLICT")),"ACCESS BLOCKED",IF(OR(INDEX(SourceTable[Coverage],Q226)&lt;&gt;"FULL SEASON EXPORT",INDEX(SourceTable[URL],Q226)="",INDEX(SourceTable[SHA256],Q226)=""),"EVIDENCE INCOMPLETE",IF(AND('Input_Meci'!H24="LIVE",INDEX(SourceTable[Retrieved_UTC],Q226)&gt;'Input_Meci'!G24),"POST CUTOFF","CLOSED")))))))</x:f>
      </x:c>
      <x:c r="S226" s="2" t="n">
        <x:f>IF(OR(B226="",F226=""),0,COUNTIFS('Istoric_Nativ'!$B$6:$B$405,E226,'Istoric_Nativ'!$C$6:$C$405,F226,'Istoric_Nativ'!$E$6:$E$405,G226,'Istoric_Nativ'!$D$6:$D$405,"&lt;"&amp;J226,'Istoric_Nativ'!$O$6:$O$405,"INVALID")+COUNTIFS('Istoric_Nativ'!$B$6:$B$405,E226,'Istoric_Nativ'!$C$6:$C$405,F226,'Istoric_Nativ'!$E$6:$E$405,G226,'Istoric_Nativ'!$O$6:$O$405,"INVALID",'Istoric_Nativ'!$D$6:$D$405,"*")+COUNTIFS('Istoric_Nativ'!$B$6:$B$405,E226,'Istoric_Nativ'!$C$6:$C$405,F226,'Istoric_Nativ'!$E$6:$E$405,G226,'Istoric_Nativ'!$D$6:$D$405,"&lt;"&amp;J226,'Istoric_Nativ'!$O$6:$O$405,"SOURCE CONFLICT")+COUNTIFS('Istoric_Nativ'!$B$6:$B$405,E226,'Istoric_Nativ'!$C$6:$C$405,F226,'Istoric_Nativ'!$F$6:$F$405,G226,'Istoric_Nativ'!$D$6:$D$405,"&lt;"&amp;J226,'Istoric_Nativ'!$O$6:$O$405,"INVALID")+COUNTIFS('Istoric_Nativ'!$B$6:$B$405,E226,'Istoric_Nativ'!$C$6:$C$405,F226,'Istoric_Nativ'!$F$6:$F$405,G226,'Istoric_Nativ'!$O$6:$O$405,"INVALID",'Istoric_Nativ'!$D$6:$D$405,"*")+COUNTIFS('Istoric_Nativ'!$B$6:$B$405,E226,'Istoric_Nativ'!$C$6:$C$405,F226,'Istoric_Nativ'!$F$6:$F$405,G226,'Istoric_Nativ'!$D$6:$D$405,"&lt;"&amp;J226,'Istoric_Nativ'!$O$6:$O$405,"SOURCE CONFLICT"))</x:f>
        <x:v>0</x:v>
      </x:c>
      <x:c r="T226" s="2" t="str">
        <x:f>IF(B226="","",IF(R226&lt;&gt;"CLOSED",R226,IF(S226&gt;0,"NATIVE INPUT ISSUE",IF(M226=0,"NO HISTORY",IF(M226&lt;P226,"SMALL SAMPLE","DERIVED")))))</x:f>
      </x:c>
      <x:c r="U226" s="2" t="str">
        <x:f>IF(B226="","","NativeTable; "&amp;E226&amp;"; "&amp;F226&amp;"; "&amp;G226&amp;"; "&amp;H226&amp;"; before "&amp;TEXT(J226,"yyyy-mm-dd")&amp;IF(I226="RECENT","; from "&amp;TEXT(L226,"yyyy-mm-dd"),""))</x:f>
      </x:c>
    </x:row>
    <x:row r="227" ht="21" customHeight="1">
      <x:c r="A227" s="2" t="n">
        <x:v>19</x:v>
      </x:c>
      <x:c r="B227" s="2" t="str">
        <x:f>IF('Input_Meci'!A24="","",'Input_Meci'!A24)</x:f>
      </x:c>
      <x:c r="C227" s="2" t="str">
        <x:v>A</x:v>
      </x:c>
      <x:c r="D227" s="2" t="str">
        <x:v>CURRENT</x:v>
      </x:c>
      <x:c r="E227" s="2" t="str">
        <x:f>IF(B227="","",'Input_Meci'!B24)</x:f>
      </x:c>
      <x:c r="F227" s="2" t="str">
        <x:f>IF(B227="","",IF('Input_Meci'!C24="","",'Input_Meci'!C24))</x:f>
      </x:c>
      <x:c r="G227" s="2" t="str">
        <x:f>IF(B227="","",'Input_Meci'!E24)</x:f>
      </x:c>
      <x:c r="H227" s="2" t="str">
        <x:v>ANY</x:v>
      </x:c>
      <x:c r="I227" s="2" t="str">
        <x:v>RECENT</x:v>
      </x:c>
      <x:c r="J227" s="9" t="n">
        <x:f>IF(AND(B227&lt;&gt;"",ISNUMBER('Input_Meci'!G24)),INT('Input_Meci'!G24),0)</x:f>
        <x:v>0</x:v>
      </x:c>
      <x:c r="K227" s="2" t="n">
        <x:f>IF(OR(B227="",F227=""),0,IF(H227="HOME",COUNTIFS('Istoric_Nativ'!$B$6:$B$405,E227,'Istoric_Nativ'!$C$6:$C$405,F227,'Istoric_Nativ'!$E$6:$E$405,G227,'Istoric_Nativ'!$D$6:$D$405,"&lt;"&amp;J227,'Istoric_Nativ'!$P$6:$P$405,1),IF(H227="AWAY",COUNTIFS('Istoric_Nativ'!$B$6:$B$405,E227,'Istoric_Nativ'!$C$6:$C$405,F227,'Istoric_Nativ'!$F$6:$F$405,G227,'Istoric_Nativ'!$D$6:$D$405,"&lt;"&amp;J227,'Istoric_Nativ'!$P$6:$P$405,1),COUNTIFS('Istoric_Nativ'!$B$6:$B$405,E227,'Istoric_Nativ'!$C$6:$C$405,F227,'Istoric_Nativ'!$E$6:$E$405,G227,'Istoric_Nativ'!$D$6:$D$405,"&lt;"&amp;J227,'Istoric_Nativ'!$P$6:$P$405,1)+COUNTIFS('Istoric_Nativ'!$B$6:$B$405,E227,'Istoric_Nativ'!$C$6:$C$405,F227,'Istoric_Nativ'!$F$6:$F$405,G227,'Istoric_Nativ'!$D$6:$D$405,"&lt;"&amp;J227,'Istoric_Nativ'!$P$6:$P$405,1))))</x:f>
        <x:v>0</x:v>
      </x:c>
      <x:c r="L227" s="17" t="n">
        <x:f>IF(AND(B227&lt;&gt;"",I227="RECENT",K227&gt;0),LARGE(_xlfn._xlws.FILTER('Istoric_Nativ'!$D$6:$D$405,('Istoric_Nativ'!$B$6:$B$405=E227)*('Istoric_Nativ'!$C$6:$C$405=F227)*('Istoric_Nativ'!$P$6:$P$405=1)*('Istoric_Nativ'!$D$6:$D$405&lt;J227)*((('Istoric_Nativ'!$E$6:$E$405=G227)+('Istoric_Nativ'!$F$6:$F$405=G227))&gt;0)),MIN('Config_v6'!$B$54,K227)),0)</x:f>
        <x:v>0</x:v>
      </x:c>
      <x:c r="M227" s="2" t="n">
        <x:f>IF(OR(B227="",F227=""),0,IF(H227="HOME",COUNTIFS('Istoric_Nativ'!$B$6:$B$405,E227,'Istoric_Nativ'!$C$6:$C$405,F227,'Istoric_Nativ'!$E$6:$E$405,G227,'Istoric_Nativ'!$D$6:$D$405,"&lt;"&amp;J227,'Istoric_Nativ'!$P$6:$P$405,1,'Istoric_Nativ'!$D$6:$D$405,"&gt;="&amp;L227),IF(H227="AWAY",COUNTIFS('Istoric_Nativ'!$B$6:$B$405,E227,'Istoric_Nativ'!$C$6:$C$405,F227,'Istoric_Nativ'!$F$6:$F$405,G227,'Istoric_Nativ'!$D$6:$D$405,"&lt;"&amp;J227,'Istoric_Nativ'!$P$6:$P$405,1,'Istoric_Nativ'!$D$6:$D$405,"&gt;="&amp;L227),COUNTIFS('Istoric_Nativ'!$B$6:$B$405,E227,'Istoric_Nativ'!$C$6:$C$405,F227,'Istoric_Nativ'!$E$6:$E$405,G227,'Istoric_Nativ'!$D$6:$D$405,"&lt;"&amp;J227,'Istoric_Nativ'!$P$6:$P$405,1,'Istoric_Nativ'!$D$6:$D$405,"&gt;="&amp;L227)+COUNTIFS('Istoric_Nativ'!$B$6:$B$405,E227,'Istoric_Nativ'!$C$6:$C$405,F227,'Istoric_Nativ'!$F$6:$F$405,G227,'Istoric_Nativ'!$D$6:$D$405,"&lt;"&amp;J227,'Istoric_Nativ'!$P$6:$P$405,1,'Istoric_Nativ'!$D$6:$D$405,"&gt;="&amp;L227))))</x:f>
        <x:v>0</x:v>
      </x:c>
      <x:c r="N227" s="11" t="str">
        <x:f>IF(M227=0,"",IF(H227="HOME",SUMIFS('Istoric_Nativ'!$G$6:$G$405,'Istoric_Nativ'!$B$6:$B$405,E227,'Istoric_Nativ'!$C$6:$C$405,F227,'Istoric_Nativ'!$E$6:$E$405,G227,'Istoric_Nativ'!$D$6:$D$405,"&lt;"&amp;J227,'Istoric_Nativ'!$P$6:$P$405,1,'Istoric_Nativ'!$D$6:$D$405,"&gt;="&amp;L227),IF(H227="AWAY",SUMIFS('Istoric_Nativ'!$H$6:$H$405,'Istoric_Nativ'!$B$6:$B$405,E227,'Istoric_Nativ'!$C$6:$C$405,F227,'Istoric_Nativ'!$F$6:$F$405,G227,'Istoric_Nativ'!$D$6:$D$405,"&lt;"&amp;J227,'Istoric_Nativ'!$P$6:$P$405,1,'Istoric_Nativ'!$D$6:$D$405,"&gt;="&amp;L227),SUMIFS('Istoric_Nativ'!$G$6:$G$405,'Istoric_Nativ'!$B$6:$B$405,E227,'Istoric_Nativ'!$C$6:$C$405,F227,'Istoric_Nativ'!$E$6:$E$405,G227,'Istoric_Nativ'!$D$6:$D$405,"&lt;"&amp;J227,'Istoric_Nativ'!$P$6:$P$405,1,'Istoric_Nativ'!$D$6:$D$405,"&gt;="&amp;L227)+SUMIFS('Istoric_Nativ'!$H$6:$H$405,'Istoric_Nativ'!$B$6:$B$405,E227,'Istoric_Nativ'!$C$6:$C$405,F227,'Istoric_Nativ'!$F$6:$F$405,G227,'Istoric_Nativ'!$D$6:$D$405,"&lt;"&amp;J227,'Istoric_Nativ'!$P$6:$P$405,1,'Istoric_Nativ'!$D$6:$D$405,"&gt;="&amp;L227)))/M227)</x:f>
      </x:c>
      <x:c r="O227" s="11" t="str">
        <x:f>IF(M227=0,"",IF(H227="HOME",SUMIFS('Istoric_Nativ'!$H$6:$H$405,'Istoric_Nativ'!$B$6:$B$405,E227,'Istoric_Nativ'!$C$6:$C$405,F227,'Istoric_Nativ'!$E$6:$E$405,G227,'Istoric_Nativ'!$D$6:$D$405,"&lt;"&amp;J227,'Istoric_Nativ'!$P$6:$P$405,1,'Istoric_Nativ'!$D$6:$D$405,"&gt;="&amp;L227),IF(H227="AWAY",SUMIFS('Istoric_Nativ'!$G$6:$G$405,'Istoric_Nativ'!$B$6:$B$405,E227,'Istoric_Nativ'!$C$6:$C$405,F227,'Istoric_Nativ'!$F$6:$F$405,G227,'Istoric_Nativ'!$D$6:$D$405,"&lt;"&amp;J227,'Istoric_Nativ'!$P$6:$P$405,1,'Istoric_Nativ'!$D$6:$D$405,"&gt;="&amp;L227),SUMIFS('Istoric_Nativ'!$H$6:$H$405,'Istoric_Nativ'!$B$6:$B$405,E227,'Istoric_Nativ'!$C$6:$C$405,F227,'Istoric_Nativ'!$E$6:$E$405,G227,'Istoric_Nativ'!$D$6:$D$405,"&lt;"&amp;J227,'Istoric_Nativ'!$P$6:$P$405,1,'Istoric_Nativ'!$D$6:$D$405,"&gt;="&amp;L227)+SUMIFS('Istoric_Nativ'!$G$6:$G$405,'Istoric_Nativ'!$B$6:$B$405,E227,'Istoric_Nativ'!$C$6:$C$405,F227,'Istoric_Nativ'!$F$6:$F$405,G227,'Istoric_Nativ'!$D$6:$D$405,"&lt;"&amp;J227,'Istoric_Nativ'!$P$6:$P$405,1,'Istoric_Nativ'!$D$6:$D$405,"&gt;="&amp;L227)))/M227)</x:f>
      </x:c>
      <x:c r="P227" s="2" t="n">
        <x:f>'Config_v6'!$B$9</x:f>
        <x:v>3</x:v>
      </x:c>
      <x:c r="Q227" s="2" t="n">
        <x:f>IF(OR(B227="",F227=""),0,IFERROR(MATCH(E227&amp;"|"&amp;F227,SourceTable[Source_Key],0),0))</x:f>
        <x:v>0</x:v>
      </x:c>
      <x:c r="R227" s="2" t="str">
        <x:f>IF(B227="","",IF(F227="","UNUSED",IF(Q227=0,"NOT CHECKED",IF(COUNTIF(SourceTable[Source_Key],E227&amp;"|"&amp;F227)&lt;&gt;1,"SOURCE CONFLICT",IF(NOT(OR(INDEX(SourceTable[Status],MAX(1,Q227))="IMPORTED",INDEX(SourceTable[Status],MAX(1,Q227))="PARTIAL",INDEX(SourceTable[Status],MAX(1,Q227))="SOURCE CONFLICT")),"ACCESS BLOCKED",IF(OR(INDEX(SourceTable[Coverage],Q227)&lt;&gt;"FULL SEASON EXPORT",INDEX(SourceTable[URL],Q227)="",INDEX(SourceTable[SHA256],Q227)=""),"EVIDENCE INCOMPLETE",IF(AND('Input_Meci'!H24="LIVE",INDEX(SourceTable[Retrieved_UTC],Q227)&gt;'Input_Meci'!G24),"POST CUTOFF","CLOSED")))))))</x:f>
      </x:c>
      <x:c r="S227" s="2" t="n">
        <x:f>IF(OR(B227="",F227=""),0,COUNTIFS('Istoric_Nativ'!$B$6:$B$405,E227,'Istoric_Nativ'!$C$6:$C$405,F227,'Istoric_Nativ'!$E$6:$E$405,G227,'Istoric_Nativ'!$D$6:$D$405,"&lt;"&amp;J227,'Istoric_Nativ'!$O$6:$O$405,"INVALID")+COUNTIFS('Istoric_Nativ'!$B$6:$B$405,E227,'Istoric_Nativ'!$C$6:$C$405,F227,'Istoric_Nativ'!$E$6:$E$405,G227,'Istoric_Nativ'!$O$6:$O$405,"INVALID",'Istoric_Nativ'!$D$6:$D$405,"*")+COUNTIFS('Istoric_Nativ'!$B$6:$B$405,E227,'Istoric_Nativ'!$C$6:$C$405,F227,'Istoric_Nativ'!$E$6:$E$405,G227,'Istoric_Nativ'!$D$6:$D$405,"&lt;"&amp;J227,'Istoric_Nativ'!$O$6:$O$405,"SOURCE CONFLICT")+COUNTIFS('Istoric_Nativ'!$B$6:$B$405,E227,'Istoric_Nativ'!$C$6:$C$405,F227,'Istoric_Nativ'!$F$6:$F$405,G227,'Istoric_Nativ'!$D$6:$D$405,"&lt;"&amp;J227,'Istoric_Nativ'!$O$6:$O$405,"INVALID")+COUNTIFS('Istoric_Nativ'!$B$6:$B$405,E227,'Istoric_Nativ'!$C$6:$C$405,F227,'Istoric_Nativ'!$F$6:$F$405,G227,'Istoric_Nativ'!$O$6:$O$405,"INVALID",'Istoric_Nativ'!$D$6:$D$405,"*")+COUNTIFS('Istoric_Nativ'!$B$6:$B$405,E227,'Istoric_Nativ'!$C$6:$C$405,F227,'Istoric_Nativ'!$F$6:$F$405,G227,'Istoric_Nativ'!$D$6:$D$405,"&lt;"&amp;J227,'Istoric_Nativ'!$O$6:$O$405,"SOURCE CONFLICT"))</x:f>
        <x:v>0</x:v>
      </x:c>
      <x:c r="T227" s="2" t="str">
        <x:f>IF(B227="","",IF(R227&lt;&gt;"CLOSED",R227,IF(S227&gt;0,"NATIVE INPUT ISSUE",IF(M227=0,"NO HISTORY",IF(M227&lt;P227,"SMALL SAMPLE","DERIVED")))))</x:f>
      </x:c>
      <x:c r="U227" s="2" t="str">
        <x:f>IF(B227="","","NativeTable; "&amp;E227&amp;"; "&amp;F227&amp;"; "&amp;G227&amp;"; "&amp;H227&amp;"; before "&amp;TEXT(J227,"yyyy-mm-dd")&amp;IF(I227="RECENT","; from "&amp;TEXT(L227,"yyyy-mm-dd"),""))</x:f>
      </x:c>
    </x:row>
    <x:row r="228" ht="21" customHeight="1">
      <x:c r="A228" s="2" t="n">
        <x:v>19</x:v>
      </x:c>
      <x:c r="B228" s="2" t="str">
        <x:f>IF('Input_Meci'!A24="","",'Input_Meci'!A24)</x:f>
      </x:c>
      <x:c r="C228" s="2" t="str">
        <x:v>H</x:v>
      </x:c>
      <x:c r="D228" s="2" t="str">
        <x:v>PRIOR</x:v>
      </x:c>
      <x:c r="E228" s="2" t="str">
        <x:f>IF(B228="","",'Input_Meci'!B24)</x:f>
      </x:c>
      <x:c r="F228" s="2" t="str">
        <x:f>IF(B228="","",IF('Input_Meci'!K24="","",'Input_Meci'!K24))</x:f>
      </x:c>
      <x:c r="G228" s="2" t="str">
        <x:f>IF(B228="","",'Input_Meci'!D24)</x:f>
      </x:c>
      <x:c r="H228" s="2" t="str">
        <x:v>ANY</x:v>
      </x:c>
      <x:c r="I228" s="2" t="str">
        <x:v>SEASON</x:v>
      </x:c>
      <x:c r="J228" s="9" t="n">
        <x:f>IF(AND(B228&lt;&gt;"",ISNUMBER('Input_Meci'!G24)),INT('Input_Meci'!G24),0)</x:f>
        <x:v>0</x:v>
      </x:c>
      <x:c r="K228" s="2" t="n">
        <x:f>IF(OR(B228="",F228=""),0,IF(H228="HOME",COUNTIFS('Istoric_Nativ'!$B$6:$B$405,E228,'Istoric_Nativ'!$C$6:$C$405,F228,'Istoric_Nativ'!$E$6:$E$405,G228,'Istoric_Nativ'!$D$6:$D$405,"&lt;"&amp;J228,'Istoric_Nativ'!$P$6:$P$405,1),IF(H228="AWAY",COUNTIFS('Istoric_Nativ'!$B$6:$B$405,E228,'Istoric_Nativ'!$C$6:$C$405,F228,'Istoric_Nativ'!$F$6:$F$405,G228,'Istoric_Nativ'!$D$6:$D$405,"&lt;"&amp;J228,'Istoric_Nativ'!$P$6:$P$405,1),COUNTIFS('Istoric_Nativ'!$B$6:$B$405,E228,'Istoric_Nativ'!$C$6:$C$405,F228,'Istoric_Nativ'!$E$6:$E$405,G228,'Istoric_Nativ'!$D$6:$D$405,"&lt;"&amp;J228,'Istoric_Nativ'!$P$6:$P$405,1)+COUNTIFS('Istoric_Nativ'!$B$6:$B$405,E228,'Istoric_Nativ'!$C$6:$C$405,F228,'Istoric_Nativ'!$F$6:$F$405,G228,'Istoric_Nativ'!$D$6:$D$405,"&lt;"&amp;J228,'Istoric_Nativ'!$P$6:$P$405,1))))</x:f>
        <x:v>0</x:v>
      </x:c>
      <x:c r="L228" s="17" t="n">
        <x:f>IF(AND(B228&lt;&gt;"",I228="RECENT",K228&gt;0),LARGE(_xlfn._xlws.FILTER('Istoric_Nativ'!$D$6:$D$405,('Istoric_Nativ'!$B$6:$B$405=E228)*('Istoric_Nativ'!$C$6:$C$405=F228)*('Istoric_Nativ'!$P$6:$P$405=1)*('Istoric_Nativ'!$D$6:$D$405&lt;J228)*((('Istoric_Nativ'!$E$6:$E$405=G228)+('Istoric_Nativ'!$F$6:$F$405=G228))&gt;0)),MIN('Config_v6'!$B$54,K228)),0)</x:f>
        <x:v>0</x:v>
      </x:c>
      <x:c r="M228" s="2" t="n">
        <x:f>IF(OR(B228="",F228=""),0,IF(H228="HOME",COUNTIFS('Istoric_Nativ'!$B$6:$B$405,E228,'Istoric_Nativ'!$C$6:$C$405,F228,'Istoric_Nativ'!$E$6:$E$405,G228,'Istoric_Nativ'!$D$6:$D$405,"&lt;"&amp;J228,'Istoric_Nativ'!$P$6:$P$405,1,'Istoric_Nativ'!$D$6:$D$405,"&gt;="&amp;L228),IF(H228="AWAY",COUNTIFS('Istoric_Nativ'!$B$6:$B$405,E228,'Istoric_Nativ'!$C$6:$C$405,F228,'Istoric_Nativ'!$F$6:$F$405,G228,'Istoric_Nativ'!$D$6:$D$405,"&lt;"&amp;J228,'Istoric_Nativ'!$P$6:$P$405,1,'Istoric_Nativ'!$D$6:$D$405,"&gt;="&amp;L228),COUNTIFS('Istoric_Nativ'!$B$6:$B$405,E228,'Istoric_Nativ'!$C$6:$C$405,F228,'Istoric_Nativ'!$E$6:$E$405,G228,'Istoric_Nativ'!$D$6:$D$405,"&lt;"&amp;J228,'Istoric_Nativ'!$P$6:$P$405,1,'Istoric_Nativ'!$D$6:$D$405,"&gt;="&amp;L228)+COUNTIFS('Istoric_Nativ'!$B$6:$B$405,E228,'Istoric_Nativ'!$C$6:$C$405,F228,'Istoric_Nativ'!$F$6:$F$405,G228,'Istoric_Nativ'!$D$6:$D$405,"&lt;"&amp;J228,'Istoric_Nativ'!$P$6:$P$405,1,'Istoric_Nativ'!$D$6:$D$405,"&gt;="&amp;L228))))</x:f>
        <x:v>0</x:v>
      </x:c>
      <x:c r="N228" s="11" t="str">
        <x:f>IF(M228=0,"",IF(H228="HOME",SUMIFS('Istoric_Nativ'!$G$6:$G$405,'Istoric_Nativ'!$B$6:$B$405,E228,'Istoric_Nativ'!$C$6:$C$405,F228,'Istoric_Nativ'!$E$6:$E$405,G228,'Istoric_Nativ'!$D$6:$D$405,"&lt;"&amp;J228,'Istoric_Nativ'!$P$6:$P$405,1,'Istoric_Nativ'!$D$6:$D$405,"&gt;="&amp;L228),IF(H228="AWAY",SUMIFS('Istoric_Nativ'!$H$6:$H$405,'Istoric_Nativ'!$B$6:$B$405,E228,'Istoric_Nativ'!$C$6:$C$405,F228,'Istoric_Nativ'!$F$6:$F$405,G228,'Istoric_Nativ'!$D$6:$D$405,"&lt;"&amp;J228,'Istoric_Nativ'!$P$6:$P$405,1,'Istoric_Nativ'!$D$6:$D$405,"&gt;="&amp;L228),SUMIFS('Istoric_Nativ'!$G$6:$G$405,'Istoric_Nativ'!$B$6:$B$405,E228,'Istoric_Nativ'!$C$6:$C$405,F228,'Istoric_Nativ'!$E$6:$E$405,G228,'Istoric_Nativ'!$D$6:$D$405,"&lt;"&amp;J228,'Istoric_Nativ'!$P$6:$P$405,1,'Istoric_Nativ'!$D$6:$D$405,"&gt;="&amp;L228)+SUMIFS('Istoric_Nativ'!$H$6:$H$405,'Istoric_Nativ'!$B$6:$B$405,E228,'Istoric_Nativ'!$C$6:$C$405,F228,'Istoric_Nativ'!$F$6:$F$405,G228,'Istoric_Nativ'!$D$6:$D$405,"&lt;"&amp;J228,'Istoric_Nativ'!$P$6:$P$405,1,'Istoric_Nativ'!$D$6:$D$405,"&gt;="&amp;L228)))/M228)</x:f>
      </x:c>
      <x:c r="O228" s="11" t="str">
        <x:f>IF(M228=0,"",IF(H228="HOME",SUMIFS('Istoric_Nativ'!$H$6:$H$405,'Istoric_Nativ'!$B$6:$B$405,E228,'Istoric_Nativ'!$C$6:$C$405,F228,'Istoric_Nativ'!$E$6:$E$405,G228,'Istoric_Nativ'!$D$6:$D$405,"&lt;"&amp;J228,'Istoric_Nativ'!$P$6:$P$405,1,'Istoric_Nativ'!$D$6:$D$405,"&gt;="&amp;L228),IF(H228="AWAY",SUMIFS('Istoric_Nativ'!$G$6:$G$405,'Istoric_Nativ'!$B$6:$B$405,E228,'Istoric_Nativ'!$C$6:$C$405,F228,'Istoric_Nativ'!$F$6:$F$405,G228,'Istoric_Nativ'!$D$6:$D$405,"&lt;"&amp;J228,'Istoric_Nativ'!$P$6:$P$405,1,'Istoric_Nativ'!$D$6:$D$405,"&gt;="&amp;L228),SUMIFS('Istoric_Nativ'!$H$6:$H$405,'Istoric_Nativ'!$B$6:$B$405,E228,'Istoric_Nativ'!$C$6:$C$405,F228,'Istoric_Nativ'!$E$6:$E$405,G228,'Istoric_Nativ'!$D$6:$D$405,"&lt;"&amp;J228,'Istoric_Nativ'!$P$6:$P$405,1,'Istoric_Nativ'!$D$6:$D$405,"&gt;="&amp;L228)+SUMIFS('Istoric_Nativ'!$G$6:$G$405,'Istoric_Nativ'!$B$6:$B$405,E228,'Istoric_Nativ'!$C$6:$C$405,F228,'Istoric_Nativ'!$F$6:$F$405,G228,'Istoric_Nativ'!$D$6:$D$405,"&lt;"&amp;J228,'Istoric_Nativ'!$P$6:$P$405,1,'Istoric_Nativ'!$D$6:$D$405,"&gt;="&amp;L228)))/M228)</x:f>
      </x:c>
      <x:c r="P228" s="2" t="n">
        <x:f>'Config_v6'!$B$7</x:f>
        <x:v>10</x:v>
      </x:c>
      <x:c r="Q228" s="2" t="n">
        <x:f>IF(OR(B228="",F228=""),0,IFERROR(MATCH(E228&amp;"|"&amp;F228,SourceTable[Source_Key],0),0))</x:f>
        <x:v>0</x:v>
      </x:c>
      <x:c r="R228" s="2" t="str">
        <x:f>IF(B228="","",IF(F228="","UNUSED",IF(Q228=0,"NOT CHECKED",IF(COUNTIF(SourceTable[Source_Key],E228&amp;"|"&amp;F228)&lt;&gt;1,"SOURCE CONFLICT",IF(NOT(OR(INDEX(SourceTable[Status],MAX(1,Q228))="IMPORTED",INDEX(SourceTable[Status],MAX(1,Q228))="PARTIAL",INDEX(SourceTable[Status],MAX(1,Q228))="SOURCE CONFLICT")),"ACCESS BLOCKED",IF(OR(INDEX(SourceTable[Coverage],Q228)&lt;&gt;"FULL SEASON EXPORT",INDEX(SourceTable[URL],Q228)="",INDEX(SourceTable[SHA256],Q228)=""),"EVIDENCE INCOMPLETE",IF(AND('Input_Meci'!H24="LIVE",INDEX(SourceTable[Retrieved_UTC],Q228)&gt;'Input_Meci'!G24),"POST CUTOFF","CLOSED")))))))</x:f>
      </x:c>
      <x:c r="S228" s="2" t="n">
        <x:f>IF(OR(B228="",F228=""),0,COUNTIFS('Istoric_Nativ'!$B$6:$B$405,E228,'Istoric_Nativ'!$C$6:$C$405,F228,'Istoric_Nativ'!$E$6:$E$405,G228,'Istoric_Nativ'!$D$6:$D$405,"&lt;"&amp;J228,'Istoric_Nativ'!$O$6:$O$405,"INVALID")+COUNTIFS('Istoric_Nativ'!$B$6:$B$405,E228,'Istoric_Nativ'!$C$6:$C$405,F228,'Istoric_Nativ'!$E$6:$E$405,G228,'Istoric_Nativ'!$O$6:$O$405,"INVALID",'Istoric_Nativ'!$D$6:$D$405,"*")+COUNTIFS('Istoric_Nativ'!$B$6:$B$405,E228,'Istoric_Nativ'!$C$6:$C$405,F228,'Istoric_Nativ'!$E$6:$E$405,G228,'Istoric_Nativ'!$D$6:$D$405,"&lt;"&amp;J228,'Istoric_Nativ'!$O$6:$O$405,"SOURCE CONFLICT")+COUNTIFS('Istoric_Nativ'!$B$6:$B$405,E228,'Istoric_Nativ'!$C$6:$C$405,F228,'Istoric_Nativ'!$F$6:$F$405,G228,'Istoric_Nativ'!$D$6:$D$405,"&lt;"&amp;J228,'Istoric_Nativ'!$O$6:$O$405,"INVALID")+COUNTIFS('Istoric_Nativ'!$B$6:$B$405,E228,'Istoric_Nativ'!$C$6:$C$405,F228,'Istoric_Nativ'!$F$6:$F$405,G228,'Istoric_Nativ'!$O$6:$O$405,"INVALID",'Istoric_Nativ'!$D$6:$D$405,"*")+COUNTIFS('Istoric_Nativ'!$B$6:$B$405,E228,'Istoric_Nativ'!$C$6:$C$405,F228,'Istoric_Nativ'!$F$6:$F$405,G228,'Istoric_Nativ'!$D$6:$D$405,"&lt;"&amp;J228,'Istoric_Nativ'!$O$6:$O$405,"SOURCE CONFLICT"))</x:f>
        <x:v>0</x:v>
      </x:c>
      <x:c r="T228" s="2" t="str">
        <x:f>IF(B228="","",IF(R228&lt;&gt;"CLOSED",R228,IF(S228&gt;0,"NATIVE INPUT ISSUE",IF(M228=0,"NO HISTORY",IF(M228&lt;P228,"SMALL SAMPLE","DERIVED")))))</x:f>
      </x:c>
      <x:c r="U228" s="2" t="str">
        <x:f>IF(B228="","","NativeTable; "&amp;E228&amp;"; "&amp;F228&amp;"; "&amp;G228&amp;"; "&amp;H228&amp;"; before "&amp;TEXT(J228,"yyyy-mm-dd")&amp;IF(I228="RECENT","; from "&amp;TEXT(L228,"yyyy-mm-dd"),""))</x:f>
      </x:c>
    </x:row>
    <x:row r="229" ht="21" customHeight="1">
      <x:c r="A229" s="2" t="n">
        <x:v>19</x:v>
      </x:c>
      <x:c r="B229" s="2" t="str">
        <x:f>IF('Input_Meci'!A24="","",'Input_Meci'!A24)</x:f>
      </x:c>
      <x:c r="C229" s="2" t="str">
        <x:v>H</x:v>
      </x:c>
      <x:c r="D229" s="2" t="str">
        <x:v>PRIOR</x:v>
      </x:c>
      <x:c r="E229" s="2" t="str">
        <x:f>IF(B229="","",'Input_Meci'!B24)</x:f>
      </x:c>
      <x:c r="F229" s="2" t="str">
        <x:f>IF(B229="","",IF('Input_Meci'!K24="","",'Input_Meci'!K24))</x:f>
      </x:c>
      <x:c r="G229" s="2" t="str">
        <x:f>IF(B229="","",'Input_Meci'!D24)</x:f>
      </x:c>
      <x:c r="H229" s="2" t="str">
        <x:v>HOME</x:v>
      </x:c>
      <x:c r="I229" s="2" t="str">
        <x:v>HA</x:v>
      </x:c>
      <x:c r="J229" s="9" t="n">
        <x:f>IF(AND(B229&lt;&gt;"",ISNUMBER('Input_Meci'!G24)),INT('Input_Meci'!G24),0)</x:f>
        <x:v>0</x:v>
      </x:c>
      <x:c r="K229" s="2" t="n">
        <x:f>IF(OR(B229="",F229=""),0,IF(H229="HOME",COUNTIFS('Istoric_Nativ'!$B$6:$B$405,E229,'Istoric_Nativ'!$C$6:$C$405,F229,'Istoric_Nativ'!$E$6:$E$405,G229,'Istoric_Nativ'!$D$6:$D$405,"&lt;"&amp;J229,'Istoric_Nativ'!$P$6:$P$405,1),IF(H229="AWAY",COUNTIFS('Istoric_Nativ'!$B$6:$B$405,E229,'Istoric_Nativ'!$C$6:$C$405,F229,'Istoric_Nativ'!$F$6:$F$405,G229,'Istoric_Nativ'!$D$6:$D$405,"&lt;"&amp;J229,'Istoric_Nativ'!$P$6:$P$405,1),COUNTIFS('Istoric_Nativ'!$B$6:$B$405,E229,'Istoric_Nativ'!$C$6:$C$405,F229,'Istoric_Nativ'!$E$6:$E$405,G229,'Istoric_Nativ'!$D$6:$D$405,"&lt;"&amp;J229,'Istoric_Nativ'!$P$6:$P$405,1)+COUNTIFS('Istoric_Nativ'!$B$6:$B$405,E229,'Istoric_Nativ'!$C$6:$C$405,F229,'Istoric_Nativ'!$F$6:$F$405,G229,'Istoric_Nativ'!$D$6:$D$405,"&lt;"&amp;J229,'Istoric_Nativ'!$P$6:$P$405,1))))</x:f>
        <x:v>0</x:v>
      </x:c>
      <x:c r="L229" s="17" t="n">
        <x:f>IF(AND(B229&lt;&gt;"",I229="RECENT",K229&gt;0),LARGE(_xlfn._xlws.FILTER('Istoric_Nativ'!$D$6:$D$405,('Istoric_Nativ'!$B$6:$B$405=E229)*('Istoric_Nativ'!$C$6:$C$405=F229)*('Istoric_Nativ'!$P$6:$P$405=1)*('Istoric_Nativ'!$D$6:$D$405&lt;J229)*((('Istoric_Nativ'!$E$6:$E$405=G229)+('Istoric_Nativ'!$F$6:$F$405=G229))&gt;0)),MIN('Config_v6'!$B$54,K229)),0)</x:f>
        <x:v>0</x:v>
      </x:c>
      <x:c r="M229" s="2" t="n">
        <x:f>IF(OR(B229="",F229=""),0,IF(H229="HOME",COUNTIFS('Istoric_Nativ'!$B$6:$B$405,E229,'Istoric_Nativ'!$C$6:$C$405,F229,'Istoric_Nativ'!$E$6:$E$405,G229,'Istoric_Nativ'!$D$6:$D$405,"&lt;"&amp;J229,'Istoric_Nativ'!$P$6:$P$405,1,'Istoric_Nativ'!$D$6:$D$405,"&gt;="&amp;L229),IF(H229="AWAY",COUNTIFS('Istoric_Nativ'!$B$6:$B$405,E229,'Istoric_Nativ'!$C$6:$C$405,F229,'Istoric_Nativ'!$F$6:$F$405,G229,'Istoric_Nativ'!$D$6:$D$405,"&lt;"&amp;J229,'Istoric_Nativ'!$P$6:$P$405,1,'Istoric_Nativ'!$D$6:$D$405,"&gt;="&amp;L229),COUNTIFS('Istoric_Nativ'!$B$6:$B$405,E229,'Istoric_Nativ'!$C$6:$C$405,F229,'Istoric_Nativ'!$E$6:$E$405,G229,'Istoric_Nativ'!$D$6:$D$405,"&lt;"&amp;J229,'Istoric_Nativ'!$P$6:$P$405,1,'Istoric_Nativ'!$D$6:$D$405,"&gt;="&amp;L229)+COUNTIFS('Istoric_Nativ'!$B$6:$B$405,E229,'Istoric_Nativ'!$C$6:$C$405,F229,'Istoric_Nativ'!$F$6:$F$405,G229,'Istoric_Nativ'!$D$6:$D$405,"&lt;"&amp;J229,'Istoric_Nativ'!$P$6:$P$405,1,'Istoric_Nativ'!$D$6:$D$405,"&gt;="&amp;L229))))</x:f>
        <x:v>0</x:v>
      </x:c>
      <x:c r="N229" s="11" t="str">
        <x:f>IF(M229=0,"",IF(H229="HOME",SUMIFS('Istoric_Nativ'!$G$6:$G$405,'Istoric_Nativ'!$B$6:$B$405,E229,'Istoric_Nativ'!$C$6:$C$405,F229,'Istoric_Nativ'!$E$6:$E$405,G229,'Istoric_Nativ'!$D$6:$D$405,"&lt;"&amp;J229,'Istoric_Nativ'!$P$6:$P$405,1,'Istoric_Nativ'!$D$6:$D$405,"&gt;="&amp;L229),IF(H229="AWAY",SUMIFS('Istoric_Nativ'!$H$6:$H$405,'Istoric_Nativ'!$B$6:$B$405,E229,'Istoric_Nativ'!$C$6:$C$405,F229,'Istoric_Nativ'!$F$6:$F$405,G229,'Istoric_Nativ'!$D$6:$D$405,"&lt;"&amp;J229,'Istoric_Nativ'!$P$6:$P$405,1,'Istoric_Nativ'!$D$6:$D$405,"&gt;="&amp;L229),SUMIFS('Istoric_Nativ'!$G$6:$G$405,'Istoric_Nativ'!$B$6:$B$405,E229,'Istoric_Nativ'!$C$6:$C$405,F229,'Istoric_Nativ'!$E$6:$E$405,G229,'Istoric_Nativ'!$D$6:$D$405,"&lt;"&amp;J229,'Istoric_Nativ'!$P$6:$P$405,1,'Istoric_Nativ'!$D$6:$D$405,"&gt;="&amp;L229)+SUMIFS('Istoric_Nativ'!$H$6:$H$405,'Istoric_Nativ'!$B$6:$B$405,E229,'Istoric_Nativ'!$C$6:$C$405,F229,'Istoric_Nativ'!$F$6:$F$405,G229,'Istoric_Nativ'!$D$6:$D$405,"&lt;"&amp;J229,'Istoric_Nativ'!$P$6:$P$405,1,'Istoric_Nativ'!$D$6:$D$405,"&gt;="&amp;L229)))/M229)</x:f>
      </x:c>
      <x:c r="O229" s="11" t="str">
        <x:f>IF(M229=0,"",IF(H229="HOME",SUMIFS('Istoric_Nativ'!$H$6:$H$405,'Istoric_Nativ'!$B$6:$B$405,E229,'Istoric_Nativ'!$C$6:$C$405,F229,'Istoric_Nativ'!$E$6:$E$405,G229,'Istoric_Nativ'!$D$6:$D$405,"&lt;"&amp;J229,'Istoric_Nativ'!$P$6:$P$405,1,'Istoric_Nativ'!$D$6:$D$405,"&gt;="&amp;L229),IF(H229="AWAY",SUMIFS('Istoric_Nativ'!$G$6:$G$405,'Istoric_Nativ'!$B$6:$B$405,E229,'Istoric_Nativ'!$C$6:$C$405,F229,'Istoric_Nativ'!$F$6:$F$405,G229,'Istoric_Nativ'!$D$6:$D$405,"&lt;"&amp;J229,'Istoric_Nativ'!$P$6:$P$405,1,'Istoric_Nativ'!$D$6:$D$405,"&gt;="&amp;L229),SUMIFS('Istoric_Nativ'!$H$6:$H$405,'Istoric_Nativ'!$B$6:$B$405,E229,'Istoric_Nativ'!$C$6:$C$405,F229,'Istoric_Nativ'!$E$6:$E$405,G229,'Istoric_Nativ'!$D$6:$D$405,"&lt;"&amp;J229,'Istoric_Nativ'!$P$6:$P$405,1,'Istoric_Nativ'!$D$6:$D$405,"&gt;="&amp;L229)+SUMIFS('Istoric_Nativ'!$G$6:$G$405,'Istoric_Nativ'!$B$6:$B$405,E229,'Istoric_Nativ'!$C$6:$C$405,F229,'Istoric_Nativ'!$F$6:$F$405,G229,'Istoric_Nativ'!$D$6:$D$405,"&lt;"&amp;J229,'Istoric_Nativ'!$P$6:$P$405,1,'Istoric_Nativ'!$D$6:$D$405,"&gt;="&amp;L229)))/M229)</x:f>
      </x:c>
      <x:c r="P229" s="2" t="n">
        <x:f>'Config_v6'!$B$8</x:f>
        <x:v>5</x:v>
      </x:c>
      <x:c r="Q229" s="2" t="n">
        <x:f>IF(OR(B229="",F229=""),0,IFERROR(MATCH(E229&amp;"|"&amp;F229,SourceTable[Source_Key],0),0))</x:f>
        <x:v>0</x:v>
      </x:c>
      <x:c r="R229" s="2" t="str">
        <x:f>IF(B229="","",IF(F229="","UNUSED",IF(Q229=0,"NOT CHECKED",IF(COUNTIF(SourceTable[Source_Key],E229&amp;"|"&amp;F229)&lt;&gt;1,"SOURCE CONFLICT",IF(NOT(OR(INDEX(SourceTable[Status],MAX(1,Q229))="IMPORTED",INDEX(SourceTable[Status],MAX(1,Q229))="PARTIAL",INDEX(SourceTable[Status],MAX(1,Q229))="SOURCE CONFLICT")),"ACCESS BLOCKED",IF(OR(INDEX(SourceTable[Coverage],Q229)&lt;&gt;"FULL SEASON EXPORT",INDEX(SourceTable[URL],Q229)="",INDEX(SourceTable[SHA256],Q229)=""),"EVIDENCE INCOMPLETE",IF(AND('Input_Meci'!H24="LIVE",INDEX(SourceTable[Retrieved_UTC],Q229)&gt;'Input_Meci'!G24),"POST CUTOFF","CLOSED")))))))</x:f>
      </x:c>
      <x:c r="S229" s="2" t="n">
        <x:f>IF(OR(B229="",F229=""),0,COUNTIFS('Istoric_Nativ'!$B$6:$B$405,E229,'Istoric_Nativ'!$C$6:$C$405,F229,'Istoric_Nativ'!$E$6:$E$405,G229,'Istoric_Nativ'!$D$6:$D$405,"&lt;"&amp;J229,'Istoric_Nativ'!$O$6:$O$405,"INVALID")+COUNTIFS('Istoric_Nativ'!$B$6:$B$405,E229,'Istoric_Nativ'!$C$6:$C$405,F229,'Istoric_Nativ'!$E$6:$E$405,G229,'Istoric_Nativ'!$O$6:$O$405,"INVALID",'Istoric_Nativ'!$D$6:$D$405,"*")+COUNTIFS('Istoric_Nativ'!$B$6:$B$405,E229,'Istoric_Nativ'!$C$6:$C$405,F229,'Istoric_Nativ'!$E$6:$E$405,G229,'Istoric_Nativ'!$D$6:$D$405,"&lt;"&amp;J229,'Istoric_Nativ'!$O$6:$O$405,"SOURCE CONFLICT")+COUNTIFS('Istoric_Nativ'!$B$6:$B$405,E229,'Istoric_Nativ'!$C$6:$C$405,F229,'Istoric_Nativ'!$F$6:$F$405,G229,'Istoric_Nativ'!$D$6:$D$405,"&lt;"&amp;J229,'Istoric_Nativ'!$O$6:$O$405,"INVALID")+COUNTIFS('Istoric_Nativ'!$B$6:$B$405,E229,'Istoric_Nativ'!$C$6:$C$405,F229,'Istoric_Nativ'!$F$6:$F$405,G229,'Istoric_Nativ'!$O$6:$O$405,"INVALID",'Istoric_Nativ'!$D$6:$D$405,"*")+COUNTIFS('Istoric_Nativ'!$B$6:$B$405,E229,'Istoric_Nativ'!$C$6:$C$405,F229,'Istoric_Nativ'!$F$6:$F$405,G229,'Istoric_Nativ'!$D$6:$D$405,"&lt;"&amp;J229,'Istoric_Nativ'!$O$6:$O$405,"SOURCE CONFLICT"))</x:f>
        <x:v>0</x:v>
      </x:c>
      <x:c r="T229" s="2" t="str">
        <x:f>IF(B229="","",IF(R229&lt;&gt;"CLOSED",R229,IF(S229&gt;0,"NATIVE INPUT ISSUE",IF(M229=0,"NO HISTORY",IF(M229&lt;P229,"SMALL SAMPLE","DERIVED")))))</x:f>
      </x:c>
      <x:c r="U229" s="2" t="str">
        <x:f>IF(B229="","","NativeTable; "&amp;E229&amp;"; "&amp;F229&amp;"; "&amp;G229&amp;"; "&amp;H229&amp;"; before "&amp;TEXT(J229,"yyyy-mm-dd")&amp;IF(I229="RECENT","; from "&amp;TEXT(L229,"yyyy-mm-dd"),""))</x:f>
      </x:c>
    </x:row>
    <x:row r="230" ht="21" customHeight="1">
      <x:c r="A230" s="2" t="n">
        <x:v>19</x:v>
      </x:c>
      <x:c r="B230" s="2" t="str">
        <x:f>IF('Input_Meci'!A24="","",'Input_Meci'!A24)</x:f>
      </x:c>
      <x:c r="C230" s="2" t="str">
        <x:v>H</x:v>
      </x:c>
      <x:c r="D230" s="2" t="str">
        <x:v>PRIOR</x:v>
      </x:c>
      <x:c r="E230" s="2" t="str">
        <x:f>IF(B230="","",'Input_Meci'!B24)</x:f>
      </x:c>
      <x:c r="F230" s="2" t="str">
        <x:f>IF(B230="","",IF('Input_Meci'!K24="","",'Input_Meci'!K24))</x:f>
      </x:c>
      <x:c r="G230" s="2" t="str">
        <x:f>IF(B230="","",'Input_Meci'!D24)</x:f>
      </x:c>
      <x:c r="H230" s="2" t="str">
        <x:v>ANY</x:v>
      </x:c>
      <x:c r="I230" s="2" t="str">
        <x:v>RECENT</x:v>
      </x:c>
      <x:c r="J230" s="9" t="n">
        <x:f>IF(AND(B230&lt;&gt;"",ISNUMBER('Input_Meci'!G24)),INT('Input_Meci'!G24),0)</x:f>
        <x:v>0</x:v>
      </x:c>
      <x:c r="K230" s="2" t="n">
        <x:f>IF(OR(B230="",F230=""),0,IF(H230="HOME",COUNTIFS('Istoric_Nativ'!$B$6:$B$405,E230,'Istoric_Nativ'!$C$6:$C$405,F230,'Istoric_Nativ'!$E$6:$E$405,G230,'Istoric_Nativ'!$D$6:$D$405,"&lt;"&amp;J230,'Istoric_Nativ'!$P$6:$P$405,1),IF(H230="AWAY",COUNTIFS('Istoric_Nativ'!$B$6:$B$405,E230,'Istoric_Nativ'!$C$6:$C$405,F230,'Istoric_Nativ'!$F$6:$F$405,G230,'Istoric_Nativ'!$D$6:$D$405,"&lt;"&amp;J230,'Istoric_Nativ'!$P$6:$P$405,1),COUNTIFS('Istoric_Nativ'!$B$6:$B$405,E230,'Istoric_Nativ'!$C$6:$C$405,F230,'Istoric_Nativ'!$E$6:$E$405,G230,'Istoric_Nativ'!$D$6:$D$405,"&lt;"&amp;J230,'Istoric_Nativ'!$P$6:$P$405,1)+COUNTIFS('Istoric_Nativ'!$B$6:$B$405,E230,'Istoric_Nativ'!$C$6:$C$405,F230,'Istoric_Nativ'!$F$6:$F$405,G230,'Istoric_Nativ'!$D$6:$D$405,"&lt;"&amp;J230,'Istoric_Nativ'!$P$6:$P$405,1))))</x:f>
        <x:v>0</x:v>
      </x:c>
      <x:c r="L230" s="17" t="n">
        <x:f>IF(AND(B230&lt;&gt;"",I230="RECENT",K230&gt;0),LARGE(_xlfn._xlws.FILTER('Istoric_Nativ'!$D$6:$D$405,('Istoric_Nativ'!$B$6:$B$405=E230)*('Istoric_Nativ'!$C$6:$C$405=F230)*('Istoric_Nativ'!$P$6:$P$405=1)*('Istoric_Nativ'!$D$6:$D$405&lt;J230)*((('Istoric_Nativ'!$E$6:$E$405=G230)+('Istoric_Nativ'!$F$6:$F$405=G230))&gt;0)),MIN('Config_v6'!$B$54,K230)),0)</x:f>
        <x:v>0</x:v>
      </x:c>
      <x:c r="M230" s="2" t="n">
        <x:f>IF(OR(B230="",F230=""),0,IF(H230="HOME",COUNTIFS('Istoric_Nativ'!$B$6:$B$405,E230,'Istoric_Nativ'!$C$6:$C$405,F230,'Istoric_Nativ'!$E$6:$E$405,G230,'Istoric_Nativ'!$D$6:$D$405,"&lt;"&amp;J230,'Istoric_Nativ'!$P$6:$P$405,1,'Istoric_Nativ'!$D$6:$D$405,"&gt;="&amp;L230),IF(H230="AWAY",COUNTIFS('Istoric_Nativ'!$B$6:$B$405,E230,'Istoric_Nativ'!$C$6:$C$405,F230,'Istoric_Nativ'!$F$6:$F$405,G230,'Istoric_Nativ'!$D$6:$D$405,"&lt;"&amp;J230,'Istoric_Nativ'!$P$6:$P$405,1,'Istoric_Nativ'!$D$6:$D$405,"&gt;="&amp;L230),COUNTIFS('Istoric_Nativ'!$B$6:$B$405,E230,'Istoric_Nativ'!$C$6:$C$405,F230,'Istoric_Nativ'!$E$6:$E$405,G230,'Istoric_Nativ'!$D$6:$D$405,"&lt;"&amp;J230,'Istoric_Nativ'!$P$6:$P$405,1,'Istoric_Nativ'!$D$6:$D$405,"&gt;="&amp;L230)+COUNTIFS('Istoric_Nativ'!$B$6:$B$405,E230,'Istoric_Nativ'!$C$6:$C$405,F230,'Istoric_Nativ'!$F$6:$F$405,G230,'Istoric_Nativ'!$D$6:$D$405,"&lt;"&amp;J230,'Istoric_Nativ'!$P$6:$P$405,1,'Istoric_Nativ'!$D$6:$D$405,"&gt;="&amp;L230))))</x:f>
        <x:v>0</x:v>
      </x:c>
      <x:c r="N230" s="11" t="str">
        <x:f>IF(M230=0,"",IF(H230="HOME",SUMIFS('Istoric_Nativ'!$G$6:$G$405,'Istoric_Nativ'!$B$6:$B$405,E230,'Istoric_Nativ'!$C$6:$C$405,F230,'Istoric_Nativ'!$E$6:$E$405,G230,'Istoric_Nativ'!$D$6:$D$405,"&lt;"&amp;J230,'Istoric_Nativ'!$P$6:$P$405,1,'Istoric_Nativ'!$D$6:$D$405,"&gt;="&amp;L230),IF(H230="AWAY",SUMIFS('Istoric_Nativ'!$H$6:$H$405,'Istoric_Nativ'!$B$6:$B$405,E230,'Istoric_Nativ'!$C$6:$C$405,F230,'Istoric_Nativ'!$F$6:$F$405,G230,'Istoric_Nativ'!$D$6:$D$405,"&lt;"&amp;J230,'Istoric_Nativ'!$P$6:$P$405,1,'Istoric_Nativ'!$D$6:$D$405,"&gt;="&amp;L230),SUMIFS('Istoric_Nativ'!$G$6:$G$405,'Istoric_Nativ'!$B$6:$B$405,E230,'Istoric_Nativ'!$C$6:$C$405,F230,'Istoric_Nativ'!$E$6:$E$405,G230,'Istoric_Nativ'!$D$6:$D$405,"&lt;"&amp;J230,'Istoric_Nativ'!$P$6:$P$405,1,'Istoric_Nativ'!$D$6:$D$405,"&gt;="&amp;L230)+SUMIFS('Istoric_Nativ'!$H$6:$H$405,'Istoric_Nativ'!$B$6:$B$405,E230,'Istoric_Nativ'!$C$6:$C$405,F230,'Istoric_Nativ'!$F$6:$F$405,G230,'Istoric_Nativ'!$D$6:$D$405,"&lt;"&amp;J230,'Istoric_Nativ'!$P$6:$P$405,1,'Istoric_Nativ'!$D$6:$D$405,"&gt;="&amp;L230)))/M230)</x:f>
      </x:c>
      <x:c r="O230" s="11" t="str">
        <x:f>IF(M230=0,"",IF(H230="HOME",SUMIFS('Istoric_Nativ'!$H$6:$H$405,'Istoric_Nativ'!$B$6:$B$405,E230,'Istoric_Nativ'!$C$6:$C$405,F230,'Istoric_Nativ'!$E$6:$E$405,G230,'Istoric_Nativ'!$D$6:$D$405,"&lt;"&amp;J230,'Istoric_Nativ'!$P$6:$P$405,1,'Istoric_Nativ'!$D$6:$D$405,"&gt;="&amp;L230),IF(H230="AWAY",SUMIFS('Istoric_Nativ'!$G$6:$G$405,'Istoric_Nativ'!$B$6:$B$405,E230,'Istoric_Nativ'!$C$6:$C$405,F230,'Istoric_Nativ'!$F$6:$F$405,G230,'Istoric_Nativ'!$D$6:$D$405,"&lt;"&amp;J230,'Istoric_Nativ'!$P$6:$P$405,1,'Istoric_Nativ'!$D$6:$D$405,"&gt;="&amp;L230),SUMIFS('Istoric_Nativ'!$H$6:$H$405,'Istoric_Nativ'!$B$6:$B$405,E230,'Istoric_Nativ'!$C$6:$C$405,F230,'Istoric_Nativ'!$E$6:$E$405,G230,'Istoric_Nativ'!$D$6:$D$405,"&lt;"&amp;J230,'Istoric_Nativ'!$P$6:$P$405,1,'Istoric_Nativ'!$D$6:$D$405,"&gt;="&amp;L230)+SUMIFS('Istoric_Nativ'!$G$6:$G$405,'Istoric_Nativ'!$B$6:$B$405,E230,'Istoric_Nativ'!$C$6:$C$405,F230,'Istoric_Nativ'!$F$6:$F$405,G230,'Istoric_Nativ'!$D$6:$D$405,"&lt;"&amp;J230,'Istoric_Nativ'!$P$6:$P$405,1,'Istoric_Nativ'!$D$6:$D$405,"&gt;="&amp;L230)))/M230)</x:f>
      </x:c>
      <x:c r="P230" s="2" t="n">
        <x:f>'Config_v6'!$B$9</x:f>
        <x:v>3</x:v>
      </x:c>
      <x:c r="Q230" s="2" t="n">
        <x:f>IF(OR(B230="",F230=""),0,IFERROR(MATCH(E230&amp;"|"&amp;F230,SourceTable[Source_Key],0),0))</x:f>
        <x:v>0</x:v>
      </x:c>
      <x:c r="R230" s="2" t="str">
        <x:f>IF(B230="","",IF(F230="","UNUSED",IF(Q230=0,"NOT CHECKED",IF(COUNTIF(SourceTable[Source_Key],E230&amp;"|"&amp;F230)&lt;&gt;1,"SOURCE CONFLICT",IF(NOT(OR(INDEX(SourceTable[Status],MAX(1,Q230))="IMPORTED",INDEX(SourceTable[Status],MAX(1,Q230))="PARTIAL",INDEX(SourceTable[Status],MAX(1,Q230))="SOURCE CONFLICT")),"ACCESS BLOCKED",IF(OR(INDEX(SourceTable[Coverage],Q230)&lt;&gt;"FULL SEASON EXPORT",INDEX(SourceTable[URL],Q230)="",INDEX(SourceTable[SHA256],Q230)=""),"EVIDENCE INCOMPLETE",IF(AND('Input_Meci'!H24="LIVE",INDEX(SourceTable[Retrieved_UTC],Q230)&gt;'Input_Meci'!G24),"POST CUTOFF","CLOSED")))))))</x:f>
      </x:c>
      <x:c r="S230" s="2" t="n">
        <x:f>IF(OR(B230="",F230=""),0,COUNTIFS('Istoric_Nativ'!$B$6:$B$405,E230,'Istoric_Nativ'!$C$6:$C$405,F230,'Istoric_Nativ'!$E$6:$E$405,G230,'Istoric_Nativ'!$D$6:$D$405,"&lt;"&amp;J230,'Istoric_Nativ'!$O$6:$O$405,"INVALID")+COUNTIFS('Istoric_Nativ'!$B$6:$B$405,E230,'Istoric_Nativ'!$C$6:$C$405,F230,'Istoric_Nativ'!$E$6:$E$405,G230,'Istoric_Nativ'!$O$6:$O$405,"INVALID",'Istoric_Nativ'!$D$6:$D$405,"*")+COUNTIFS('Istoric_Nativ'!$B$6:$B$405,E230,'Istoric_Nativ'!$C$6:$C$405,F230,'Istoric_Nativ'!$E$6:$E$405,G230,'Istoric_Nativ'!$D$6:$D$405,"&lt;"&amp;J230,'Istoric_Nativ'!$O$6:$O$405,"SOURCE CONFLICT")+COUNTIFS('Istoric_Nativ'!$B$6:$B$405,E230,'Istoric_Nativ'!$C$6:$C$405,F230,'Istoric_Nativ'!$F$6:$F$405,G230,'Istoric_Nativ'!$D$6:$D$405,"&lt;"&amp;J230,'Istoric_Nativ'!$O$6:$O$405,"INVALID")+COUNTIFS('Istoric_Nativ'!$B$6:$B$405,E230,'Istoric_Nativ'!$C$6:$C$405,F230,'Istoric_Nativ'!$F$6:$F$405,G230,'Istoric_Nativ'!$O$6:$O$405,"INVALID",'Istoric_Nativ'!$D$6:$D$405,"*")+COUNTIFS('Istoric_Nativ'!$B$6:$B$405,E230,'Istoric_Nativ'!$C$6:$C$405,F230,'Istoric_Nativ'!$F$6:$F$405,G230,'Istoric_Nativ'!$D$6:$D$405,"&lt;"&amp;J230,'Istoric_Nativ'!$O$6:$O$405,"SOURCE CONFLICT"))</x:f>
        <x:v>0</x:v>
      </x:c>
      <x:c r="T230" s="2" t="str">
        <x:f>IF(B230="","",IF(R230&lt;&gt;"CLOSED",R230,IF(S230&gt;0,"NATIVE INPUT ISSUE",IF(M230=0,"NO HISTORY",IF(M230&lt;P230,"SMALL SAMPLE","DERIVED")))))</x:f>
      </x:c>
      <x:c r="U230" s="2" t="str">
        <x:f>IF(B230="","","NativeTable; "&amp;E230&amp;"; "&amp;F230&amp;"; "&amp;G230&amp;"; "&amp;H230&amp;"; before "&amp;TEXT(J230,"yyyy-mm-dd")&amp;IF(I230="RECENT","; from "&amp;TEXT(L230,"yyyy-mm-dd"),""))</x:f>
      </x:c>
    </x:row>
    <x:row r="231" ht="21" customHeight="1">
      <x:c r="A231" s="2" t="n">
        <x:v>19</x:v>
      </x:c>
      <x:c r="B231" s="2" t="str">
        <x:f>IF('Input_Meci'!A24="","",'Input_Meci'!A24)</x:f>
      </x:c>
      <x:c r="C231" s="2" t="str">
        <x:v>A</x:v>
      </x:c>
      <x:c r="D231" s="2" t="str">
        <x:v>PRIOR</x:v>
      </x:c>
      <x:c r="E231" s="2" t="str">
        <x:f>IF(B231="","",'Input_Meci'!B24)</x:f>
      </x:c>
      <x:c r="F231" s="2" t="str">
        <x:f>IF(B231="","",IF('Input_Meci'!K24="","",'Input_Meci'!K24))</x:f>
      </x:c>
      <x:c r="G231" s="2" t="str">
        <x:f>IF(B231="","",'Input_Meci'!E24)</x:f>
      </x:c>
      <x:c r="H231" s="2" t="str">
        <x:v>ANY</x:v>
      </x:c>
      <x:c r="I231" s="2" t="str">
        <x:v>SEASON</x:v>
      </x:c>
      <x:c r="J231" s="9" t="n">
        <x:f>IF(AND(B231&lt;&gt;"",ISNUMBER('Input_Meci'!G24)),INT('Input_Meci'!G24),0)</x:f>
        <x:v>0</x:v>
      </x:c>
      <x:c r="K231" s="2" t="n">
        <x:f>IF(OR(B231="",F231=""),0,IF(H231="HOME",COUNTIFS('Istoric_Nativ'!$B$6:$B$405,E231,'Istoric_Nativ'!$C$6:$C$405,F231,'Istoric_Nativ'!$E$6:$E$405,G231,'Istoric_Nativ'!$D$6:$D$405,"&lt;"&amp;J231,'Istoric_Nativ'!$P$6:$P$405,1),IF(H231="AWAY",COUNTIFS('Istoric_Nativ'!$B$6:$B$405,E231,'Istoric_Nativ'!$C$6:$C$405,F231,'Istoric_Nativ'!$F$6:$F$405,G231,'Istoric_Nativ'!$D$6:$D$405,"&lt;"&amp;J231,'Istoric_Nativ'!$P$6:$P$405,1),COUNTIFS('Istoric_Nativ'!$B$6:$B$405,E231,'Istoric_Nativ'!$C$6:$C$405,F231,'Istoric_Nativ'!$E$6:$E$405,G231,'Istoric_Nativ'!$D$6:$D$405,"&lt;"&amp;J231,'Istoric_Nativ'!$P$6:$P$405,1)+COUNTIFS('Istoric_Nativ'!$B$6:$B$405,E231,'Istoric_Nativ'!$C$6:$C$405,F231,'Istoric_Nativ'!$F$6:$F$405,G231,'Istoric_Nativ'!$D$6:$D$405,"&lt;"&amp;J231,'Istoric_Nativ'!$P$6:$P$405,1))))</x:f>
        <x:v>0</x:v>
      </x:c>
      <x:c r="L231" s="17" t="n">
        <x:f>IF(AND(B231&lt;&gt;"",I231="RECENT",K231&gt;0),LARGE(_xlfn._xlws.FILTER('Istoric_Nativ'!$D$6:$D$405,('Istoric_Nativ'!$B$6:$B$405=E231)*('Istoric_Nativ'!$C$6:$C$405=F231)*('Istoric_Nativ'!$P$6:$P$405=1)*('Istoric_Nativ'!$D$6:$D$405&lt;J231)*((('Istoric_Nativ'!$E$6:$E$405=G231)+('Istoric_Nativ'!$F$6:$F$405=G231))&gt;0)),MIN('Config_v6'!$B$54,K231)),0)</x:f>
        <x:v>0</x:v>
      </x:c>
      <x:c r="M231" s="2" t="n">
        <x:f>IF(OR(B231="",F231=""),0,IF(H231="HOME",COUNTIFS('Istoric_Nativ'!$B$6:$B$405,E231,'Istoric_Nativ'!$C$6:$C$405,F231,'Istoric_Nativ'!$E$6:$E$405,G231,'Istoric_Nativ'!$D$6:$D$405,"&lt;"&amp;J231,'Istoric_Nativ'!$P$6:$P$405,1,'Istoric_Nativ'!$D$6:$D$405,"&gt;="&amp;L231),IF(H231="AWAY",COUNTIFS('Istoric_Nativ'!$B$6:$B$405,E231,'Istoric_Nativ'!$C$6:$C$405,F231,'Istoric_Nativ'!$F$6:$F$405,G231,'Istoric_Nativ'!$D$6:$D$405,"&lt;"&amp;J231,'Istoric_Nativ'!$P$6:$P$405,1,'Istoric_Nativ'!$D$6:$D$405,"&gt;="&amp;L231),COUNTIFS('Istoric_Nativ'!$B$6:$B$405,E231,'Istoric_Nativ'!$C$6:$C$405,F231,'Istoric_Nativ'!$E$6:$E$405,G231,'Istoric_Nativ'!$D$6:$D$405,"&lt;"&amp;J231,'Istoric_Nativ'!$P$6:$P$405,1,'Istoric_Nativ'!$D$6:$D$405,"&gt;="&amp;L231)+COUNTIFS('Istoric_Nativ'!$B$6:$B$405,E231,'Istoric_Nativ'!$C$6:$C$405,F231,'Istoric_Nativ'!$F$6:$F$405,G231,'Istoric_Nativ'!$D$6:$D$405,"&lt;"&amp;J231,'Istoric_Nativ'!$P$6:$P$405,1,'Istoric_Nativ'!$D$6:$D$405,"&gt;="&amp;L231))))</x:f>
        <x:v>0</x:v>
      </x:c>
      <x:c r="N231" s="11" t="str">
        <x:f>IF(M231=0,"",IF(H231="HOME",SUMIFS('Istoric_Nativ'!$G$6:$G$405,'Istoric_Nativ'!$B$6:$B$405,E231,'Istoric_Nativ'!$C$6:$C$405,F231,'Istoric_Nativ'!$E$6:$E$405,G231,'Istoric_Nativ'!$D$6:$D$405,"&lt;"&amp;J231,'Istoric_Nativ'!$P$6:$P$405,1,'Istoric_Nativ'!$D$6:$D$405,"&gt;="&amp;L231),IF(H231="AWAY",SUMIFS('Istoric_Nativ'!$H$6:$H$405,'Istoric_Nativ'!$B$6:$B$405,E231,'Istoric_Nativ'!$C$6:$C$405,F231,'Istoric_Nativ'!$F$6:$F$405,G231,'Istoric_Nativ'!$D$6:$D$405,"&lt;"&amp;J231,'Istoric_Nativ'!$P$6:$P$405,1,'Istoric_Nativ'!$D$6:$D$405,"&gt;="&amp;L231),SUMIFS('Istoric_Nativ'!$G$6:$G$405,'Istoric_Nativ'!$B$6:$B$405,E231,'Istoric_Nativ'!$C$6:$C$405,F231,'Istoric_Nativ'!$E$6:$E$405,G231,'Istoric_Nativ'!$D$6:$D$405,"&lt;"&amp;J231,'Istoric_Nativ'!$P$6:$P$405,1,'Istoric_Nativ'!$D$6:$D$405,"&gt;="&amp;L231)+SUMIFS('Istoric_Nativ'!$H$6:$H$405,'Istoric_Nativ'!$B$6:$B$405,E231,'Istoric_Nativ'!$C$6:$C$405,F231,'Istoric_Nativ'!$F$6:$F$405,G231,'Istoric_Nativ'!$D$6:$D$405,"&lt;"&amp;J231,'Istoric_Nativ'!$P$6:$P$405,1,'Istoric_Nativ'!$D$6:$D$405,"&gt;="&amp;L231)))/M231)</x:f>
      </x:c>
      <x:c r="O231" s="11" t="str">
        <x:f>IF(M231=0,"",IF(H231="HOME",SUMIFS('Istoric_Nativ'!$H$6:$H$405,'Istoric_Nativ'!$B$6:$B$405,E231,'Istoric_Nativ'!$C$6:$C$405,F231,'Istoric_Nativ'!$E$6:$E$405,G231,'Istoric_Nativ'!$D$6:$D$405,"&lt;"&amp;J231,'Istoric_Nativ'!$P$6:$P$405,1,'Istoric_Nativ'!$D$6:$D$405,"&gt;="&amp;L231),IF(H231="AWAY",SUMIFS('Istoric_Nativ'!$G$6:$G$405,'Istoric_Nativ'!$B$6:$B$405,E231,'Istoric_Nativ'!$C$6:$C$405,F231,'Istoric_Nativ'!$F$6:$F$405,G231,'Istoric_Nativ'!$D$6:$D$405,"&lt;"&amp;J231,'Istoric_Nativ'!$P$6:$P$405,1,'Istoric_Nativ'!$D$6:$D$405,"&gt;="&amp;L231),SUMIFS('Istoric_Nativ'!$H$6:$H$405,'Istoric_Nativ'!$B$6:$B$405,E231,'Istoric_Nativ'!$C$6:$C$405,F231,'Istoric_Nativ'!$E$6:$E$405,G231,'Istoric_Nativ'!$D$6:$D$405,"&lt;"&amp;J231,'Istoric_Nativ'!$P$6:$P$405,1,'Istoric_Nativ'!$D$6:$D$405,"&gt;="&amp;L231)+SUMIFS('Istoric_Nativ'!$G$6:$G$405,'Istoric_Nativ'!$B$6:$B$405,E231,'Istoric_Nativ'!$C$6:$C$405,F231,'Istoric_Nativ'!$F$6:$F$405,G231,'Istoric_Nativ'!$D$6:$D$405,"&lt;"&amp;J231,'Istoric_Nativ'!$P$6:$P$405,1,'Istoric_Nativ'!$D$6:$D$405,"&gt;="&amp;L231)))/M231)</x:f>
      </x:c>
      <x:c r="P231" s="2" t="n">
        <x:f>'Config_v6'!$B$7</x:f>
        <x:v>10</x:v>
      </x:c>
      <x:c r="Q231" s="2" t="n">
        <x:f>IF(OR(B231="",F231=""),0,IFERROR(MATCH(E231&amp;"|"&amp;F231,SourceTable[Source_Key],0),0))</x:f>
        <x:v>0</x:v>
      </x:c>
      <x:c r="R231" s="2" t="str">
        <x:f>IF(B231="","",IF(F231="","UNUSED",IF(Q231=0,"NOT CHECKED",IF(COUNTIF(SourceTable[Source_Key],E231&amp;"|"&amp;F231)&lt;&gt;1,"SOURCE CONFLICT",IF(NOT(OR(INDEX(SourceTable[Status],MAX(1,Q231))="IMPORTED",INDEX(SourceTable[Status],MAX(1,Q231))="PARTIAL",INDEX(SourceTable[Status],MAX(1,Q231))="SOURCE CONFLICT")),"ACCESS BLOCKED",IF(OR(INDEX(SourceTable[Coverage],Q231)&lt;&gt;"FULL SEASON EXPORT",INDEX(SourceTable[URL],Q231)="",INDEX(SourceTable[SHA256],Q231)=""),"EVIDENCE INCOMPLETE",IF(AND('Input_Meci'!H24="LIVE",INDEX(SourceTable[Retrieved_UTC],Q231)&gt;'Input_Meci'!G24),"POST CUTOFF","CLOSED")))))))</x:f>
      </x:c>
      <x:c r="S231" s="2" t="n">
        <x:f>IF(OR(B231="",F231=""),0,COUNTIFS('Istoric_Nativ'!$B$6:$B$405,E231,'Istoric_Nativ'!$C$6:$C$405,F231,'Istoric_Nativ'!$E$6:$E$405,G231,'Istoric_Nativ'!$D$6:$D$405,"&lt;"&amp;J231,'Istoric_Nativ'!$O$6:$O$405,"INVALID")+COUNTIFS('Istoric_Nativ'!$B$6:$B$405,E231,'Istoric_Nativ'!$C$6:$C$405,F231,'Istoric_Nativ'!$E$6:$E$405,G231,'Istoric_Nativ'!$O$6:$O$405,"INVALID",'Istoric_Nativ'!$D$6:$D$405,"*")+COUNTIFS('Istoric_Nativ'!$B$6:$B$405,E231,'Istoric_Nativ'!$C$6:$C$405,F231,'Istoric_Nativ'!$E$6:$E$405,G231,'Istoric_Nativ'!$D$6:$D$405,"&lt;"&amp;J231,'Istoric_Nativ'!$O$6:$O$405,"SOURCE CONFLICT")+COUNTIFS('Istoric_Nativ'!$B$6:$B$405,E231,'Istoric_Nativ'!$C$6:$C$405,F231,'Istoric_Nativ'!$F$6:$F$405,G231,'Istoric_Nativ'!$D$6:$D$405,"&lt;"&amp;J231,'Istoric_Nativ'!$O$6:$O$405,"INVALID")+COUNTIFS('Istoric_Nativ'!$B$6:$B$405,E231,'Istoric_Nativ'!$C$6:$C$405,F231,'Istoric_Nativ'!$F$6:$F$405,G231,'Istoric_Nativ'!$O$6:$O$405,"INVALID",'Istoric_Nativ'!$D$6:$D$405,"*")+COUNTIFS('Istoric_Nativ'!$B$6:$B$405,E231,'Istoric_Nativ'!$C$6:$C$405,F231,'Istoric_Nativ'!$F$6:$F$405,G231,'Istoric_Nativ'!$D$6:$D$405,"&lt;"&amp;J231,'Istoric_Nativ'!$O$6:$O$405,"SOURCE CONFLICT"))</x:f>
        <x:v>0</x:v>
      </x:c>
      <x:c r="T231" s="2" t="str">
        <x:f>IF(B231="","",IF(R231&lt;&gt;"CLOSED",R231,IF(S231&gt;0,"NATIVE INPUT ISSUE",IF(M231=0,"NO HISTORY",IF(M231&lt;P231,"SMALL SAMPLE","DERIVED")))))</x:f>
      </x:c>
      <x:c r="U231" s="2" t="str">
        <x:f>IF(B231="","","NativeTable; "&amp;E231&amp;"; "&amp;F231&amp;"; "&amp;G231&amp;"; "&amp;H231&amp;"; before "&amp;TEXT(J231,"yyyy-mm-dd")&amp;IF(I231="RECENT","; from "&amp;TEXT(L231,"yyyy-mm-dd"),""))</x:f>
      </x:c>
    </x:row>
    <x:row r="232" ht="21" customHeight="1">
      <x:c r="A232" s="2" t="n">
        <x:v>19</x:v>
      </x:c>
      <x:c r="B232" s="2" t="str">
        <x:f>IF('Input_Meci'!A24="","",'Input_Meci'!A24)</x:f>
      </x:c>
      <x:c r="C232" s="2" t="str">
        <x:v>A</x:v>
      </x:c>
      <x:c r="D232" s="2" t="str">
        <x:v>PRIOR</x:v>
      </x:c>
      <x:c r="E232" s="2" t="str">
        <x:f>IF(B232="","",'Input_Meci'!B24)</x:f>
      </x:c>
      <x:c r="F232" s="2" t="str">
        <x:f>IF(B232="","",IF('Input_Meci'!K24="","",'Input_Meci'!K24))</x:f>
      </x:c>
      <x:c r="G232" s="2" t="str">
        <x:f>IF(B232="","",'Input_Meci'!E24)</x:f>
      </x:c>
      <x:c r="H232" s="2" t="str">
        <x:v>AWAY</x:v>
      </x:c>
      <x:c r="I232" s="2" t="str">
        <x:v>HA</x:v>
      </x:c>
      <x:c r="J232" s="9" t="n">
        <x:f>IF(AND(B232&lt;&gt;"",ISNUMBER('Input_Meci'!G24)),INT('Input_Meci'!G24),0)</x:f>
        <x:v>0</x:v>
      </x:c>
      <x:c r="K232" s="2" t="n">
        <x:f>IF(OR(B232="",F232=""),0,IF(H232="HOME",COUNTIFS('Istoric_Nativ'!$B$6:$B$405,E232,'Istoric_Nativ'!$C$6:$C$405,F232,'Istoric_Nativ'!$E$6:$E$405,G232,'Istoric_Nativ'!$D$6:$D$405,"&lt;"&amp;J232,'Istoric_Nativ'!$P$6:$P$405,1),IF(H232="AWAY",COUNTIFS('Istoric_Nativ'!$B$6:$B$405,E232,'Istoric_Nativ'!$C$6:$C$405,F232,'Istoric_Nativ'!$F$6:$F$405,G232,'Istoric_Nativ'!$D$6:$D$405,"&lt;"&amp;J232,'Istoric_Nativ'!$P$6:$P$405,1),COUNTIFS('Istoric_Nativ'!$B$6:$B$405,E232,'Istoric_Nativ'!$C$6:$C$405,F232,'Istoric_Nativ'!$E$6:$E$405,G232,'Istoric_Nativ'!$D$6:$D$405,"&lt;"&amp;J232,'Istoric_Nativ'!$P$6:$P$405,1)+COUNTIFS('Istoric_Nativ'!$B$6:$B$405,E232,'Istoric_Nativ'!$C$6:$C$405,F232,'Istoric_Nativ'!$F$6:$F$405,G232,'Istoric_Nativ'!$D$6:$D$405,"&lt;"&amp;J232,'Istoric_Nativ'!$P$6:$P$405,1))))</x:f>
        <x:v>0</x:v>
      </x:c>
      <x:c r="L232" s="17" t="n">
        <x:f>IF(AND(B232&lt;&gt;"",I232="RECENT",K232&gt;0),LARGE(_xlfn._xlws.FILTER('Istoric_Nativ'!$D$6:$D$405,('Istoric_Nativ'!$B$6:$B$405=E232)*('Istoric_Nativ'!$C$6:$C$405=F232)*('Istoric_Nativ'!$P$6:$P$405=1)*('Istoric_Nativ'!$D$6:$D$405&lt;J232)*((('Istoric_Nativ'!$E$6:$E$405=G232)+('Istoric_Nativ'!$F$6:$F$405=G232))&gt;0)),MIN('Config_v6'!$B$54,K232)),0)</x:f>
        <x:v>0</x:v>
      </x:c>
      <x:c r="M232" s="2" t="n">
        <x:f>IF(OR(B232="",F232=""),0,IF(H232="HOME",COUNTIFS('Istoric_Nativ'!$B$6:$B$405,E232,'Istoric_Nativ'!$C$6:$C$405,F232,'Istoric_Nativ'!$E$6:$E$405,G232,'Istoric_Nativ'!$D$6:$D$405,"&lt;"&amp;J232,'Istoric_Nativ'!$P$6:$P$405,1,'Istoric_Nativ'!$D$6:$D$405,"&gt;="&amp;L232),IF(H232="AWAY",COUNTIFS('Istoric_Nativ'!$B$6:$B$405,E232,'Istoric_Nativ'!$C$6:$C$405,F232,'Istoric_Nativ'!$F$6:$F$405,G232,'Istoric_Nativ'!$D$6:$D$405,"&lt;"&amp;J232,'Istoric_Nativ'!$P$6:$P$405,1,'Istoric_Nativ'!$D$6:$D$405,"&gt;="&amp;L232),COUNTIFS('Istoric_Nativ'!$B$6:$B$405,E232,'Istoric_Nativ'!$C$6:$C$405,F232,'Istoric_Nativ'!$E$6:$E$405,G232,'Istoric_Nativ'!$D$6:$D$405,"&lt;"&amp;J232,'Istoric_Nativ'!$P$6:$P$405,1,'Istoric_Nativ'!$D$6:$D$405,"&gt;="&amp;L232)+COUNTIFS('Istoric_Nativ'!$B$6:$B$405,E232,'Istoric_Nativ'!$C$6:$C$405,F232,'Istoric_Nativ'!$F$6:$F$405,G232,'Istoric_Nativ'!$D$6:$D$405,"&lt;"&amp;J232,'Istoric_Nativ'!$P$6:$P$405,1,'Istoric_Nativ'!$D$6:$D$405,"&gt;="&amp;L232))))</x:f>
        <x:v>0</x:v>
      </x:c>
      <x:c r="N232" s="11" t="str">
        <x:f>IF(M232=0,"",IF(H232="HOME",SUMIFS('Istoric_Nativ'!$G$6:$G$405,'Istoric_Nativ'!$B$6:$B$405,E232,'Istoric_Nativ'!$C$6:$C$405,F232,'Istoric_Nativ'!$E$6:$E$405,G232,'Istoric_Nativ'!$D$6:$D$405,"&lt;"&amp;J232,'Istoric_Nativ'!$P$6:$P$405,1,'Istoric_Nativ'!$D$6:$D$405,"&gt;="&amp;L232),IF(H232="AWAY",SUMIFS('Istoric_Nativ'!$H$6:$H$405,'Istoric_Nativ'!$B$6:$B$405,E232,'Istoric_Nativ'!$C$6:$C$405,F232,'Istoric_Nativ'!$F$6:$F$405,G232,'Istoric_Nativ'!$D$6:$D$405,"&lt;"&amp;J232,'Istoric_Nativ'!$P$6:$P$405,1,'Istoric_Nativ'!$D$6:$D$405,"&gt;="&amp;L232),SUMIFS('Istoric_Nativ'!$G$6:$G$405,'Istoric_Nativ'!$B$6:$B$405,E232,'Istoric_Nativ'!$C$6:$C$405,F232,'Istoric_Nativ'!$E$6:$E$405,G232,'Istoric_Nativ'!$D$6:$D$405,"&lt;"&amp;J232,'Istoric_Nativ'!$P$6:$P$405,1,'Istoric_Nativ'!$D$6:$D$405,"&gt;="&amp;L232)+SUMIFS('Istoric_Nativ'!$H$6:$H$405,'Istoric_Nativ'!$B$6:$B$405,E232,'Istoric_Nativ'!$C$6:$C$405,F232,'Istoric_Nativ'!$F$6:$F$405,G232,'Istoric_Nativ'!$D$6:$D$405,"&lt;"&amp;J232,'Istoric_Nativ'!$P$6:$P$405,1,'Istoric_Nativ'!$D$6:$D$405,"&gt;="&amp;L232)))/M232)</x:f>
      </x:c>
      <x:c r="O232" s="11" t="str">
        <x:f>IF(M232=0,"",IF(H232="HOME",SUMIFS('Istoric_Nativ'!$H$6:$H$405,'Istoric_Nativ'!$B$6:$B$405,E232,'Istoric_Nativ'!$C$6:$C$405,F232,'Istoric_Nativ'!$E$6:$E$405,G232,'Istoric_Nativ'!$D$6:$D$405,"&lt;"&amp;J232,'Istoric_Nativ'!$P$6:$P$405,1,'Istoric_Nativ'!$D$6:$D$405,"&gt;="&amp;L232),IF(H232="AWAY",SUMIFS('Istoric_Nativ'!$G$6:$G$405,'Istoric_Nativ'!$B$6:$B$405,E232,'Istoric_Nativ'!$C$6:$C$405,F232,'Istoric_Nativ'!$F$6:$F$405,G232,'Istoric_Nativ'!$D$6:$D$405,"&lt;"&amp;J232,'Istoric_Nativ'!$P$6:$P$405,1,'Istoric_Nativ'!$D$6:$D$405,"&gt;="&amp;L232),SUMIFS('Istoric_Nativ'!$H$6:$H$405,'Istoric_Nativ'!$B$6:$B$405,E232,'Istoric_Nativ'!$C$6:$C$405,F232,'Istoric_Nativ'!$E$6:$E$405,G232,'Istoric_Nativ'!$D$6:$D$405,"&lt;"&amp;J232,'Istoric_Nativ'!$P$6:$P$405,1,'Istoric_Nativ'!$D$6:$D$405,"&gt;="&amp;L232)+SUMIFS('Istoric_Nativ'!$G$6:$G$405,'Istoric_Nativ'!$B$6:$B$405,E232,'Istoric_Nativ'!$C$6:$C$405,F232,'Istoric_Nativ'!$F$6:$F$405,G232,'Istoric_Nativ'!$D$6:$D$405,"&lt;"&amp;J232,'Istoric_Nativ'!$P$6:$P$405,1,'Istoric_Nativ'!$D$6:$D$405,"&gt;="&amp;L232)))/M232)</x:f>
      </x:c>
      <x:c r="P232" s="2" t="n">
        <x:f>'Config_v6'!$B$8</x:f>
        <x:v>5</x:v>
      </x:c>
      <x:c r="Q232" s="2" t="n">
        <x:f>IF(OR(B232="",F232=""),0,IFERROR(MATCH(E232&amp;"|"&amp;F232,SourceTable[Source_Key],0),0))</x:f>
        <x:v>0</x:v>
      </x:c>
      <x:c r="R232" s="2" t="str">
        <x:f>IF(B232="","",IF(F232="","UNUSED",IF(Q232=0,"NOT CHECKED",IF(COUNTIF(SourceTable[Source_Key],E232&amp;"|"&amp;F232)&lt;&gt;1,"SOURCE CONFLICT",IF(NOT(OR(INDEX(SourceTable[Status],MAX(1,Q232))="IMPORTED",INDEX(SourceTable[Status],MAX(1,Q232))="PARTIAL",INDEX(SourceTable[Status],MAX(1,Q232))="SOURCE CONFLICT")),"ACCESS BLOCKED",IF(OR(INDEX(SourceTable[Coverage],Q232)&lt;&gt;"FULL SEASON EXPORT",INDEX(SourceTable[URL],Q232)="",INDEX(SourceTable[SHA256],Q232)=""),"EVIDENCE INCOMPLETE",IF(AND('Input_Meci'!H24="LIVE",INDEX(SourceTable[Retrieved_UTC],Q232)&gt;'Input_Meci'!G24),"POST CUTOFF","CLOSED")))))))</x:f>
      </x:c>
      <x:c r="S232" s="2" t="n">
        <x:f>IF(OR(B232="",F232=""),0,COUNTIFS('Istoric_Nativ'!$B$6:$B$405,E232,'Istoric_Nativ'!$C$6:$C$405,F232,'Istoric_Nativ'!$E$6:$E$405,G232,'Istoric_Nativ'!$D$6:$D$405,"&lt;"&amp;J232,'Istoric_Nativ'!$O$6:$O$405,"INVALID")+COUNTIFS('Istoric_Nativ'!$B$6:$B$405,E232,'Istoric_Nativ'!$C$6:$C$405,F232,'Istoric_Nativ'!$E$6:$E$405,G232,'Istoric_Nativ'!$O$6:$O$405,"INVALID",'Istoric_Nativ'!$D$6:$D$405,"*")+COUNTIFS('Istoric_Nativ'!$B$6:$B$405,E232,'Istoric_Nativ'!$C$6:$C$405,F232,'Istoric_Nativ'!$E$6:$E$405,G232,'Istoric_Nativ'!$D$6:$D$405,"&lt;"&amp;J232,'Istoric_Nativ'!$O$6:$O$405,"SOURCE CONFLICT")+COUNTIFS('Istoric_Nativ'!$B$6:$B$405,E232,'Istoric_Nativ'!$C$6:$C$405,F232,'Istoric_Nativ'!$F$6:$F$405,G232,'Istoric_Nativ'!$D$6:$D$405,"&lt;"&amp;J232,'Istoric_Nativ'!$O$6:$O$405,"INVALID")+COUNTIFS('Istoric_Nativ'!$B$6:$B$405,E232,'Istoric_Nativ'!$C$6:$C$405,F232,'Istoric_Nativ'!$F$6:$F$405,G232,'Istoric_Nativ'!$O$6:$O$405,"INVALID",'Istoric_Nativ'!$D$6:$D$405,"*")+COUNTIFS('Istoric_Nativ'!$B$6:$B$405,E232,'Istoric_Nativ'!$C$6:$C$405,F232,'Istoric_Nativ'!$F$6:$F$405,G232,'Istoric_Nativ'!$D$6:$D$405,"&lt;"&amp;J232,'Istoric_Nativ'!$O$6:$O$405,"SOURCE CONFLICT"))</x:f>
        <x:v>0</x:v>
      </x:c>
      <x:c r="T232" s="2" t="str">
        <x:f>IF(B232="","",IF(R232&lt;&gt;"CLOSED",R232,IF(S232&gt;0,"NATIVE INPUT ISSUE",IF(M232=0,"NO HISTORY",IF(M232&lt;P232,"SMALL SAMPLE","DERIVED")))))</x:f>
      </x:c>
      <x:c r="U232" s="2" t="str">
        <x:f>IF(B232="","","NativeTable; "&amp;E232&amp;"; "&amp;F232&amp;"; "&amp;G232&amp;"; "&amp;H232&amp;"; before "&amp;TEXT(J232,"yyyy-mm-dd")&amp;IF(I232="RECENT","; from "&amp;TEXT(L232,"yyyy-mm-dd"),""))</x:f>
      </x:c>
    </x:row>
    <x:row r="233" ht="21" customHeight="1">
      <x:c r="A233" s="2" t="n">
        <x:v>19</x:v>
      </x:c>
      <x:c r="B233" s="2" t="str">
        <x:f>IF('Input_Meci'!A24="","",'Input_Meci'!A24)</x:f>
      </x:c>
      <x:c r="C233" s="2" t="str">
        <x:v>A</x:v>
      </x:c>
      <x:c r="D233" s="2" t="str">
        <x:v>PRIOR</x:v>
      </x:c>
      <x:c r="E233" s="2" t="str">
        <x:f>IF(B233="","",'Input_Meci'!B24)</x:f>
      </x:c>
      <x:c r="F233" s="2" t="str">
        <x:f>IF(B233="","",IF('Input_Meci'!K24="","",'Input_Meci'!K24))</x:f>
      </x:c>
      <x:c r="G233" s="2" t="str">
        <x:f>IF(B233="","",'Input_Meci'!E24)</x:f>
      </x:c>
      <x:c r="H233" s="2" t="str">
        <x:v>ANY</x:v>
      </x:c>
      <x:c r="I233" s="2" t="str">
        <x:v>RECENT</x:v>
      </x:c>
      <x:c r="J233" s="9" t="n">
        <x:f>IF(AND(B233&lt;&gt;"",ISNUMBER('Input_Meci'!G24)),INT('Input_Meci'!G24),0)</x:f>
        <x:v>0</x:v>
      </x:c>
      <x:c r="K233" s="2" t="n">
        <x:f>IF(OR(B233="",F233=""),0,IF(H233="HOME",COUNTIFS('Istoric_Nativ'!$B$6:$B$405,E233,'Istoric_Nativ'!$C$6:$C$405,F233,'Istoric_Nativ'!$E$6:$E$405,G233,'Istoric_Nativ'!$D$6:$D$405,"&lt;"&amp;J233,'Istoric_Nativ'!$P$6:$P$405,1),IF(H233="AWAY",COUNTIFS('Istoric_Nativ'!$B$6:$B$405,E233,'Istoric_Nativ'!$C$6:$C$405,F233,'Istoric_Nativ'!$F$6:$F$405,G233,'Istoric_Nativ'!$D$6:$D$405,"&lt;"&amp;J233,'Istoric_Nativ'!$P$6:$P$405,1),COUNTIFS('Istoric_Nativ'!$B$6:$B$405,E233,'Istoric_Nativ'!$C$6:$C$405,F233,'Istoric_Nativ'!$E$6:$E$405,G233,'Istoric_Nativ'!$D$6:$D$405,"&lt;"&amp;J233,'Istoric_Nativ'!$P$6:$P$405,1)+COUNTIFS('Istoric_Nativ'!$B$6:$B$405,E233,'Istoric_Nativ'!$C$6:$C$405,F233,'Istoric_Nativ'!$F$6:$F$405,G233,'Istoric_Nativ'!$D$6:$D$405,"&lt;"&amp;J233,'Istoric_Nativ'!$P$6:$P$405,1))))</x:f>
        <x:v>0</x:v>
      </x:c>
      <x:c r="L233" s="17" t="n">
        <x:f>IF(AND(B233&lt;&gt;"",I233="RECENT",K233&gt;0),LARGE(_xlfn._xlws.FILTER('Istoric_Nativ'!$D$6:$D$405,('Istoric_Nativ'!$B$6:$B$405=E233)*('Istoric_Nativ'!$C$6:$C$405=F233)*('Istoric_Nativ'!$P$6:$P$405=1)*('Istoric_Nativ'!$D$6:$D$405&lt;J233)*((('Istoric_Nativ'!$E$6:$E$405=G233)+('Istoric_Nativ'!$F$6:$F$405=G233))&gt;0)),MIN('Config_v6'!$B$54,K233)),0)</x:f>
        <x:v>0</x:v>
      </x:c>
      <x:c r="M233" s="2" t="n">
        <x:f>IF(OR(B233="",F233=""),0,IF(H233="HOME",COUNTIFS('Istoric_Nativ'!$B$6:$B$405,E233,'Istoric_Nativ'!$C$6:$C$405,F233,'Istoric_Nativ'!$E$6:$E$405,G233,'Istoric_Nativ'!$D$6:$D$405,"&lt;"&amp;J233,'Istoric_Nativ'!$P$6:$P$405,1,'Istoric_Nativ'!$D$6:$D$405,"&gt;="&amp;L233),IF(H233="AWAY",COUNTIFS('Istoric_Nativ'!$B$6:$B$405,E233,'Istoric_Nativ'!$C$6:$C$405,F233,'Istoric_Nativ'!$F$6:$F$405,G233,'Istoric_Nativ'!$D$6:$D$405,"&lt;"&amp;J233,'Istoric_Nativ'!$P$6:$P$405,1,'Istoric_Nativ'!$D$6:$D$405,"&gt;="&amp;L233),COUNTIFS('Istoric_Nativ'!$B$6:$B$405,E233,'Istoric_Nativ'!$C$6:$C$405,F233,'Istoric_Nativ'!$E$6:$E$405,G233,'Istoric_Nativ'!$D$6:$D$405,"&lt;"&amp;J233,'Istoric_Nativ'!$P$6:$P$405,1,'Istoric_Nativ'!$D$6:$D$405,"&gt;="&amp;L233)+COUNTIFS('Istoric_Nativ'!$B$6:$B$405,E233,'Istoric_Nativ'!$C$6:$C$405,F233,'Istoric_Nativ'!$F$6:$F$405,G233,'Istoric_Nativ'!$D$6:$D$405,"&lt;"&amp;J233,'Istoric_Nativ'!$P$6:$P$405,1,'Istoric_Nativ'!$D$6:$D$405,"&gt;="&amp;L233))))</x:f>
        <x:v>0</x:v>
      </x:c>
      <x:c r="N233" s="11" t="str">
        <x:f>IF(M233=0,"",IF(H233="HOME",SUMIFS('Istoric_Nativ'!$G$6:$G$405,'Istoric_Nativ'!$B$6:$B$405,E233,'Istoric_Nativ'!$C$6:$C$405,F233,'Istoric_Nativ'!$E$6:$E$405,G233,'Istoric_Nativ'!$D$6:$D$405,"&lt;"&amp;J233,'Istoric_Nativ'!$P$6:$P$405,1,'Istoric_Nativ'!$D$6:$D$405,"&gt;="&amp;L233),IF(H233="AWAY",SUMIFS('Istoric_Nativ'!$H$6:$H$405,'Istoric_Nativ'!$B$6:$B$405,E233,'Istoric_Nativ'!$C$6:$C$405,F233,'Istoric_Nativ'!$F$6:$F$405,G233,'Istoric_Nativ'!$D$6:$D$405,"&lt;"&amp;J233,'Istoric_Nativ'!$P$6:$P$405,1,'Istoric_Nativ'!$D$6:$D$405,"&gt;="&amp;L233),SUMIFS('Istoric_Nativ'!$G$6:$G$405,'Istoric_Nativ'!$B$6:$B$405,E233,'Istoric_Nativ'!$C$6:$C$405,F233,'Istoric_Nativ'!$E$6:$E$405,G233,'Istoric_Nativ'!$D$6:$D$405,"&lt;"&amp;J233,'Istoric_Nativ'!$P$6:$P$405,1,'Istoric_Nativ'!$D$6:$D$405,"&gt;="&amp;L233)+SUMIFS('Istoric_Nativ'!$H$6:$H$405,'Istoric_Nativ'!$B$6:$B$405,E233,'Istoric_Nativ'!$C$6:$C$405,F233,'Istoric_Nativ'!$F$6:$F$405,G233,'Istoric_Nativ'!$D$6:$D$405,"&lt;"&amp;J233,'Istoric_Nativ'!$P$6:$P$405,1,'Istoric_Nativ'!$D$6:$D$405,"&gt;="&amp;L233)))/M233)</x:f>
      </x:c>
      <x:c r="O233" s="11" t="str">
        <x:f>IF(M233=0,"",IF(H233="HOME",SUMIFS('Istoric_Nativ'!$H$6:$H$405,'Istoric_Nativ'!$B$6:$B$405,E233,'Istoric_Nativ'!$C$6:$C$405,F233,'Istoric_Nativ'!$E$6:$E$405,G233,'Istoric_Nativ'!$D$6:$D$405,"&lt;"&amp;J233,'Istoric_Nativ'!$P$6:$P$405,1,'Istoric_Nativ'!$D$6:$D$405,"&gt;="&amp;L233),IF(H233="AWAY",SUMIFS('Istoric_Nativ'!$G$6:$G$405,'Istoric_Nativ'!$B$6:$B$405,E233,'Istoric_Nativ'!$C$6:$C$405,F233,'Istoric_Nativ'!$F$6:$F$405,G233,'Istoric_Nativ'!$D$6:$D$405,"&lt;"&amp;J233,'Istoric_Nativ'!$P$6:$P$405,1,'Istoric_Nativ'!$D$6:$D$405,"&gt;="&amp;L233),SUMIFS('Istoric_Nativ'!$H$6:$H$405,'Istoric_Nativ'!$B$6:$B$405,E233,'Istoric_Nativ'!$C$6:$C$405,F233,'Istoric_Nativ'!$E$6:$E$405,G233,'Istoric_Nativ'!$D$6:$D$405,"&lt;"&amp;J233,'Istoric_Nativ'!$P$6:$P$405,1,'Istoric_Nativ'!$D$6:$D$405,"&gt;="&amp;L233)+SUMIFS('Istoric_Nativ'!$G$6:$G$405,'Istoric_Nativ'!$B$6:$B$405,E233,'Istoric_Nativ'!$C$6:$C$405,F233,'Istoric_Nativ'!$F$6:$F$405,G233,'Istoric_Nativ'!$D$6:$D$405,"&lt;"&amp;J233,'Istoric_Nativ'!$P$6:$P$405,1,'Istoric_Nativ'!$D$6:$D$405,"&gt;="&amp;L233)))/M233)</x:f>
      </x:c>
      <x:c r="P233" s="2" t="n">
        <x:f>'Config_v6'!$B$9</x:f>
        <x:v>3</x:v>
      </x:c>
      <x:c r="Q233" s="2" t="n">
        <x:f>IF(OR(B233="",F233=""),0,IFERROR(MATCH(E233&amp;"|"&amp;F233,SourceTable[Source_Key],0),0))</x:f>
        <x:v>0</x:v>
      </x:c>
      <x:c r="R233" s="2" t="str">
        <x:f>IF(B233="","",IF(F233="","UNUSED",IF(Q233=0,"NOT CHECKED",IF(COUNTIF(SourceTable[Source_Key],E233&amp;"|"&amp;F233)&lt;&gt;1,"SOURCE CONFLICT",IF(NOT(OR(INDEX(SourceTable[Status],MAX(1,Q233))="IMPORTED",INDEX(SourceTable[Status],MAX(1,Q233))="PARTIAL",INDEX(SourceTable[Status],MAX(1,Q233))="SOURCE CONFLICT")),"ACCESS BLOCKED",IF(OR(INDEX(SourceTable[Coverage],Q233)&lt;&gt;"FULL SEASON EXPORT",INDEX(SourceTable[URL],Q233)="",INDEX(SourceTable[SHA256],Q233)=""),"EVIDENCE INCOMPLETE",IF(AND('Input_Meci'!H24="LIVE",INDEX(SourceTable[Retrieved_UTC],Q233)&gt;'Input_Meci'!G24),"POST CUTOFF","CLOSED")))))))</x:f>
      </x:c>
      <x:c r="S233" s="2" t="n">
        <x:f>IF(OR(B233="",F233=""),0,COUNTIFS('Istoric_Nativ'!$B$6:$B$405,E233,'Istoric_Nativ'!$C$6:$C$405,F233,'Istoric_Nativ'!$E$6:$E$405,G233,'Istoric_Nativ'!$D$6:$D$405,"&lt;"&amp;J233,'Istoric_Nativ'!$O$6:$O$405,"INVALID")+COUNTIFS('Istoric_Nativ'!$B$6:$B$405,E233,'Istoric_Nativ'!$C$6:$C$405,F233,'Istoric_Nativ'!$E$6:$E$405,G233,'Istoric_Nativ'!$O$6:$O$405,"INVALID",'Istoric_Nativ'!$D$6:$D$405,"*")+COUNTIFS('Istoric_Nativ'!$B$6:$B$405,E233,'Istoric_Nativ'!$C$6:$C$405,F233,'Istoric_Nativ'!$E$6:$E$405,G233,'Istoric_Nativ'!$D$6:$D$405,"&lt;"&amp;J233,'Istoric_Nativ'!$O$6:$O$405,"SOURCE CONFLICT")+COUNTIFS('Istoric_Nativ'!$B$6:$B$405,E233,'Istoric_Nativ'!$C$6:$C$405,F233,'Istoric_Nativ'!$F$6:$F$405,G233,'Istoric_Nativ'!$D$6:$D$405,"&lt;"&amp;J233,'Istoric_Nativ'!$O$6:$O$405,"INVALID")+COUNTIFS('Istoric_Nativ'!$B$6:$B$405,E233,'Istoric_Nativ'!$C$6:$C$405,F233,'Istoric_Nativ'!$F$6:$F$405,G233,'Istoric_Nativ'!$O$6:$O$405,"INVALID",'Istoric_Nativ'!$D$6:$D$405,"*")+COUNTIFS('Istoric_Nativ'!$B$6:$B$405,E233,'Istoric_Nativ'!$C$6:$C$405,F233,'Istoric_Nativ'!$F$6:$F$405,G233,'Istoric_Nativ'!$D$6:$D$405,"&lt;"&amp;J233,'Istoric_Nativ'!$O$6:$O$405,"SOURCE CONFLICT"))</x:f>
        <x:v>0</x:v>
      </x:c>
      <x:c r="T233" s="2" t="str">
        <x:f>IF(B233="","",IF(R233&lt;&gt;"CLOSED",R233,IF(S233&gt;0,"NATIVE INPUT ISSUE",IF(M233=0,"NO HISTORY",IF(M233&lt;P233,"SMALL SAMPLE","DERIVED")))))</x:f>
      </x:c>
      <x:c r="U233" s="2" t="str">
        <x:f>IF(B233="","","NativeTable; "&amp;E233&amp;"; "&amp;F233&amp;"; "&amp;G233&amp;"; "&amp;H233&amp;"; before "&amp;TEXT(J233,"yyyy-mm-dd")&amp;IF(I233="RECENT","; from "&amp;TEXT(L233,"yyyy-mm-dd"),""))</x:f>
      </x:c>
    </x:row>
    <x:row r="234" ht="21" customHeight="1">
      <x:c r="A234" s="2" t="n">
        <x:v>20</x:v>
      </x:c>
      <x:c r="B234" s="2" t="str">
        <x:f>IF('Input_Meci'!A25="","",'Input_Meci'!A25)</x:f>
      </x:c>
      <x:c r="C234" s="2" t="str">
        <x:v>H</x:v>
      </x:c>
      <x:c r="D234" s="2" t="str">
        <x:v>CURRENT</x:v>
      </x:c>
      <x:c r="E234" s="2" t="str">
        <x:f>IF(B234="","",'Input_Meci'!B25)</x:f>
      </x:c>
      <x:c r="F234" s="2" t="str">
        <x:f>IF(B234="","",IF('Input_Meci'!C25="","",'Input_Meci'!C25))</x:f>
      </x:c>
      <x:c r="G234" s="2" t="str">
        <x:f>IF(B234="","",'Input_Meci'!D25)</x:f>
      </x:c>
      <x:c r="H234" s="2" t="str">
        <x:v>ANY</x:v>
      </x:c>
      <x:c r="I234" s="2" t="str">
        <x:v>SEASON</x:v>
      </x:c>
      <x:c r="J234" s="9" t="n">
        <x:f>IF(AND(B234&lt;&gt;"",ISNUMBER('Input_Meci'!G25)),INT('Input_Meci'!G25),0)</x:f>
        <x:v>0</x:v>
      </x:c>
      <x:c r="K234" s="2" t="n">
        <x:f>IF(OR(B234="",F234=""),0,IF(H234="HOME",COUNTIFS('Istoric_Nativ'!$B$6:$B$405,E234,'Istoric_Nativ'!$C$6:$C$405,F234,'Istoric_Nativ'!$E$6:$E$405,G234,'Istoric_Nativ'!$D$6:$D$405,"&lt;"&amp;J234,'Istoric_Nativ'!$P$6:$P$405,1),IF(H234="AWAY",COUNTIFS('Istoric_Nativ'!$B$6:$B$405,E234,'Istoric_Nativ'!$C$6:$C$405,F234,'Istoric_Nativ'!$F$6:$F$405,G234,'Istoric_Nativ'!$D$6:$D$405,"&lt;"&amp;J234,'Istoric_Nativ'!$P$6:$P$405,1),COUNTIFS('Istoric_Nativ'!$B$6:$B$405,E234,'Istoric_Nativ'!$C$6:$C$405,F234,'Istoric_Nativ'!$E$6:$E$405,G234,'Istoric_Nativ'!$D$6:$D$405,"&lt;"&amp;J234,'Istoric_Nativ'!$P$6:$P$405,1)+COUNTIFS('Istoric_Nativ'!$B$6:$B$405,E234,'Istoric_Nativ'!$C$6:$C$405,F234,'Istoric_Nativ'!$F$6:$F$405,G234,'Istoric_Nativ'!$D$6:$D$405,"&lt;"&amp;J234,'Istoric_Nativ'!$P$6:$P$405,1))))</x:f>
        <x:v>0</x:v>
      </x:c>
      <x:c r="L234" s="17" t="n">
        <x:f>IF(AND(B234&lt;&gt;"",I234="RECENT",K234&gt;0),LARGE(_xlfn._xlws.FILTER('Istoric_Nativ'!$D$6:$D$405,('Istoric_Nativ'!$B$6:$B$405=E234)*('Istoric_Nativ'!$C$6:$C$405=F234)*('Istoric_Nativ'!$P$6:$P$405=1)*('Istoric_Nativ'!$D$6:$D$405&lt;J234)*((('Istoric_Nativ'!$E$6:$E$405=G234)+('Istoric_Nativ'!$F$6:$F$405=G234))&gt;0)),MIN('Config_v6'!$B$54,K234)),0)</x:f>
        <x:v>0</x:v>
      </x:c>
      <x:c r="M234" s="2" t="n">
        <x:f>IF(OR(B234="",F234=""),0,IF(H234="HOME",COUNTIFS('Istoric_Nativ'!$B$6:$B$405,E234,'Istoric_Nativ'!$C$6:$C$405,F234,'Istoric_Nativ'!$E$6:$E$405,G234,'Istoric_Nativ'!$D$6:$D$405,"&lt;"&amp;J234,'Istoric_Nativ'!$P$6:$P$405,1,'Istoric_Nativ'!$D$6:$D$405,"&gt;="&amp;L234),IF(H234="AWAY",COUNTIFS('Istoric_Nativ'!$B$6:$B$405,E234,'Istoric_Nativ'!$C$6:$C$405,F234,'Istoric_Nativ'!$F$6:$F$405,G234,'Istoric_Nativ'!$D$6:$D$405,"&lt;"&amp;J234,'Istoric_Nativ'!$P$6:$P$405,1,'Istoric_Nativ'!$D$6:$D$405,"&gt;="&amp;L234),COUNTIFS('Istoric_Nativ'!$B$6:$B$405,E234,'Istoric_Nativ'!$C$6:$C$405,F234,'Istoric_Nativ'!$E$6:$E$405,G234,'Istoric_Nativ'!$D$6:$D$405,"&lt;"&amp;J234,'Istoric_Nativ'!$P$6:$P$405,1,'Istoric_Nativ'!$D$6:$D$405,"&gt;="&amp;L234)+COUNTIFS('Istoric_Nativ'!$B$6:$B$405,E234,'Istoric_Nativ'!$C$6:$C$405,F234,'Istoric_Nativ'!$F$6:$F$405,G234,'Istoric_Nativ'!$D$6:$D$405,"&lt;"&amp;J234,'Istoric_Nativ'!$P$6:$P$405,1,'Istoric_Nativ'!$D$6:$D$405,"&gt;="&amp;L234))))</x:f>
        <x:v>0</x:v>
      </x:c>
      <x:c r="N234" s="11" t="str">
        <x:f>IF(M234=0,"",IF(H234="HOME",SUMIFS('Istoric_Nativ'!$G$6:$G$405,'Istoric_Nativ'!$B$6:$B$405,E234,'Istoric_Nativ'!$C$6:$C$405,F234,'Istoric_Nativ'!$E$6:$E$405,G234,'Istoric_Nativ'!$D$6:$D$405,"&lt;"&amp;J234,'Istoric_Nativ'!$P$6:$P$405,1,'Istoric_Nativ'!$D$6:$D$405,"&gt;="&amp;L234),IF(H234="AWAY",SUMIFS('Istoric_Nativ'!$H$6:$H$405,'Istoric_Nativ'!$B$6:$B$405,E234,'Istoric_Nativ'!$C$6:$C$405,F234,'Istoric_Nativ'!$F$6:$F$405,G234,'Istoric_Nativ'!$D$6:$D$405,"&lt;"&amp;J234,'Istoric_Nativ'!$P$6:$P$405,1,'Istoric_Nativ'!$D$6:$D$405,"&gt;="&amp;L234),SUMIFS('Istoric_Nativ'!$G$6:$G$405,'Istoric_Nativ'!$B$6:$B$405,E234,'Istoric_Nativ'!$C$6:$C$405,F234,'Istoric_Nativ'!$E$6:$E$405,G234,'Istoric_Nativ'!$D$6:$D$405,"&lt;"&amp;J234,'Istoric_Nativ'!$P$6:$P$405,1,'Istoric_Nativ'!$D$6:$D$405,"&gt;="&amp;L234)+SUMIFS('Istoric_Nativ'!$H$6:$H$405,'Istoric_Nativ'!$B$6:$B$405,E234,'Istoric_Nativ'!$C$6:$C$405,F234,'Istoric_Nativ'!$F$6:$F$405,G234,'Istoric_Nativ'!$D$6:$D$405,"&lt;"&amp;J234,'Istoric_Nativ'!$P$6:$P$405,1,'Istoric_Nativ'!$D$6:$D$405,"&gt;="&amp;L234)))/M234)</x:f>
      </x:c>
      <x:c r="O234" s="11" t="str">
        <x:f>IF(M234=0,"",IF(H234="HOME",SUMIFS('Istoric_Nativ'!$H$6:$H$405,'Istoric_Nativ'!$B$6:$B$405,E234,'Istoric_Nativ'!$C$6:$C$405,F234,'Istoric_Nativ'!$E$6:$E$405,G234,'Istoric_Nativ'!$D$6:$D$405,"&lt;"&amp;J234,'Istoric_Nativ'!$P$6:$P$405,1,'Istoric_Nativ'!$D$6:$D$405,"&gt;="&amp;L234),IF(H234="AWAY",SUMIFS('Istoric_Nativ'!$G$6:$G$405,'Istoric_Nativ'!$B$6:$B$405,E234,'Istoric_Nativ'!$C$6:$C$405,F234,'Istoric_Nativ'!$F$6:$F$405,G234,'Istoric_Nativ'!$D$6:$D$405,"&lt;"&amp;J234,'Istoric_Nativ'!$P$6:$P$405,1,'Istoric_Nativ'!$D$6:$D$405,"&gt;="&amp;L234),SUMIFS('Istoric_Nativ'!$H$6:$H$405,'Istoric_Nativ'!$B$6:$B$405,E234,'Istoric_Nativ'!$C$6:$C$405,F234,'Istoric_Nativ'!$E$6:$E$405,G234,'Istoric_Nativ'!$D$6:$D$405,"&lt;"&amp;J234,'Istoric_Nativ'!$P$6:$P$405,1,'Istoric_Nativ'!$D$6:$D$405,"&gt;="&amp;L234)+SUMIFS('Istoric_Nativ'!$G$6:$G$405,'Istoric_Nativ'!$B$6:$B$405,E234,'Istoric_Nativ'!$C$6:$C$405,F234,'Istoric_Nativ'!$F$6:$F$405,G234,'Istoric_Nativ'!$D$6:$D$405,"&lt;"&amp;J234,'Istoric_Nativ'!$P$6:$P$405,1,'Istoric_Nativ'!$D$6:$D$405,"&gt;="&amp;L234)))/M234)</x:f>
      </x:c>
      <x:c r="P234" s="2" t="n">
        <x:f>'Config_v6'!$B$7</x:f>
        <x:v>10</x:v>
      </x:c>
      <x:c r="Q234" s="2" t="n">
        <x:f>IF(OR(B234="",F234=""),0,IFERROR(MATCH(E234&amp;"|"&amp;F234,SourceTable[Source_Key],0),0))</x:f>
        <x:v>0</x:v>
      </x:c>
      <x:c r="R234" s="2" t="str">
        <x:f>IF(B234="","",IF(F234="","UNUSED",IF(Q234=0,"NOT CHECKED",IF(COUNTIF(SourceTable[Source_Key],E234&amp;"|"&amp;F234)&lt;&gt;1,"SOURCE CONFLICT",IF(NOT(OR(INDEX(SourceTable[Status],MAX(1,Q234))="IMPORTED",INDEX(SourceTable[Status],MAX(1,Q234))="PARTIAL",INDEX(SourceTable[Status],MAX(1,Q234))="SOURCE CONFLICT")),"ACCESS BLOCKED",IF(OR(INDEX(SourceTable[Coverage],Q234)&lt;&gt;"FULL SEASON EXPORT",INDEX(SourceTable[URL],Q234)="",INDEX(SourceTable[SHA256],Q234)=""),"EVIDENCE INCOMPLETE",IF(AND('Input_Meci'!H25="LIVE",INDEX(SourceTable[Retrieved_UTC],Q234)&gt;'Input_Meci'!G25),"POST CUTOFF","CLOSED")))))))</x:f>
      </x:c>
      <x:c r="S234" s="2" t="n">
        <x:f>IF(OR(B234="",F234=""),0,COUNTIFS('Istoric_Nativ'!$B$6:$B$405,E234,'Istoric_Nativ'!$C$6:$C$405,F234,'Istoric_Nativ'!$E$6:$E$405,G234,'Istoric_Nativ'!$D$6:$D$405,"&lt;"&amp;J234,'Istoric_Nativ'!$O$6:$O$405,"INVALID")+COUNTIFS('Istoric_Nativ'!$B$6:$B$405,E234,'Istoric_Nativ'!$C$6:$C$405,F234,'Istoric_Nativ'!$E$6:$E$405,G234,'Istoric_Nativ'!$O$6:$O$405,"INVALID",'Istoric_Nativ'!$D$6:$D$405,"*")+COUNTIFS('Istoric_Nativ'!$B$6:$B$405,E234,'Istoric_Nativ'!$C$6:$C$405,F234,'Istoric_Nativ'!$E$6:$E$405,G234,'Istoric_Nativ'!$D$6:$D$405,"&lt;"&amp;J234,'Istoric_Nativ'!$O$6:$O$405,"SOURCE CONFLICT")+COUNTIFS('Istoric_Nativ'!$B$6:$B$405,E234,'Istoric_Nativ'!$C$6:$C$405,F234,'Istoric_Nativ'!$F$6:$F$405,G234,'Istoric_Nativ'!$D$6:$D$405,"&lt;"&amp;J234,'Istoric_Nativ'!$O$6:$O$405,"INVALID")+COUNTIFS('Istoric_Nativ'!$B$6:$B$405,E234,'Istoric_Nativ'!$C$6:$C$405,F234,'Istoric_Nativ'!$F$6:$F$405,G234,'Istoric_Nativ'!$O$6:$O$405,"INVALID",'Istoric_Nativ'!$D$6:$D$405,"*")+COUNTIFS('Istoric_Nativ'!$B$6:$B$405,E234,'Istoric_Nativ'!$C$6:$C$405,F234,'Istoric_Nativ'!$F$6:$F$405,G234,'Istoric_Nativ'!$D$6:$D$405,"&lt;"&amp;J234,'Istoric_Nativ'!$O$6:$O$405,"SOURCE CONFLICT"))</x:f>
        <x:v>0</x:v>
      </x:c>
      <x:c r="T234" s="2" t="str">
        <x:f>IF(B234="","",IF(R234&lt;&gt;"CLOSED",R234,IF(S234&gt;0,"NATIVE INPUT ISSUE",IF(M234=0,"NO HISTORY",IF(M234&lt;P234,"SMALL SAMPLE","DERIVED")))))</x:f>
      </x:c>
      <x:c r="U234" s="2" t="str">
        <x:f>IF(B234="","","NativeTable; "&amp;E234&amp;"; "&amp;F234&amp;"; "&amp;G234&amp;"; "&amp;H234&amp;"; before "&amp;TEXT(J234,"yyyy-mm-dd")&amp;IF(I234="RECENT","; from "&amp;TEXT(L234,"yyyy-mm-dd"),""))</x:f>
      </x:c>
    </x:row>
    <x:row r="235" ht="21" customHeight="1">
      <x:c r="A235" s="2" t="n">
        <x:v>20</x:v>
      </x:c>
      <x:c r="B235" s="2" t="str">
        <x:f>IF('Input_Meci'!A25="","",'Input_Meci'!A25)</x:f>
      </x:c>
      <x:c r="C235" s="2" t="str">
        <x:v>H</x:v>
      </x:c>
      <x:c r="D235" s="2" t="str">
        <x:v>CURRENT</x:v>
      </x:c>
      <x:c r="E235" s="2" t="str">
        <x:f>IF(B235="","",'Input_Meci'!B25)</x:f>
      </x:c>
      <x:c r="F235" s="2" t="str">
        <x:f>IF(B235="","",IF('Input_Meci'!C25="","",'Input_Meci'!C25))</x:f>
      </x:c>
      <x:c r="G235" s="2" t="str">
        <x:f>IF(B235="","",'Input_Meci'!D25)</x:f>
      </x:c>
      <x:c r="H235" s="2" t="str">
        <x:v>HOME</x:v>
      </x:c>
      <x:c r="I235" s="2" t="str">
        <x:v>HA</x:v>
      </x:c>
      <x:c r="J235" s="9" t="n">
        <x:f>IF(AND(B235&lt;&gt;"",ISNUMBER('Input_Meci'!G25)),INT('Input_Meci'!G25),0)</x:f>
        <x:v>0</x:v>
      </x:c>
      <x:c r="K235" s="2" t="n">
        <x:f>IF(OR(B235="",F235=""),0,IF(H235="HOME",COUNTIFS('Istoric_Nativ'!$B$6:$B$405,E235,'Istoric_Nativ'!$C$6:$C$405,F235,'Istoric_Nativ'!$E$6:$E$405,G235,'Istoric_Nativ'!$D$6:$D$405,"&lt;"&amp;J235,'Istoric_Nativ'!$P$6:$P$405,1),IF(H235="AWAY",COUNTIFS('Istoric_Nativ'!$B$6:$B$405,E235,'Istoric_Nativ'!$C$6:$C$405,F235,'Istoric_Nativ'!$F$6:$F$405,G235,'Istoric_Nativ'!$D$6:$D$405,"&lt;"&amp;J235,'Istoric_Nativ'!$P$6:$P$405,1),COUNTIFS('Istoric_Nativ'!$B$6:$B$405,E235,'Istoric_Nativ'!$C$6:$C$405,F235,'Istoric_Nativ'!$E$6:$E$405,G235,'Istoric_Nativ'!$D$6:$D$405,"&lt;"&amp;J235,'Istoric_Nativ'!$P$6:$P$405,1)+COUNTIFS('Istoric_Nativ'!$B$6:$B$405,E235,'Istoric_Nativ'!$C$6:$C$405,F235,'Istoric_Nativ'!$F$6:$F$405,G235,'Istoric_Nativ'!$D$6:$D$405,"&lt;"&amp;J235,'Istoric_Nativ'!$P$6:$P$405,1))))</x:f>
        <x:v>0</x:v>
      </x:c>
      <x:c r="L235" s="17" t="n">
        <x:f>IF(AND(B235&lt;&gt;"",I235="RECENT",K235&gt;0),LARGE(_xlfn._xlws.FILTER('Istoric_Nativ'!$D$6:$D$405,('Istoric_Nativ'!$B$6:$B$405=E235)*('Istoric_Nativ'!$C$6:$C$405=F235)*('Istoric_Nativ'!$P$6:$P$405=1)*('Istoric_Nativ'!$D$6:$D$405&lt;J235)*((('Istoric_Nativ'!$E$6:$E$405=G235)+('Istoric_Nativ'!$F$6:$F$405=G235))&gt;0)),MIN('Config_v6'!$B$54,K235)),0)</x:f>
        <x:v>0</x:v>
      </x:c>
      <x:c r="M235" s="2" t="n">
        <x:f>IF(OR(B235="",F235=""),0,IF(H235="HOME",COUNTIFS('Istoric_Nativ'!$B$6:$B$405,E235,'Istoric_Nativ'!$C$6:$C$405,F235,'Istoric_Nativ'!$E$6:$E$405,G235,'Istoric_Nativ'!$D$6:$D$405,"&lt;"&amp;J235,'Istoric_Nativ'!$P$6:$P$405,1,'Istoric_Nativ'!$D$6:$D$405,"&gt;="&amp;L235),IF(H235="AWAY",COUNTIFS('Istoric_Nativ'!$B$6:$B$405,E235,'Istoric_Nativ'!$C$6:$C$405,F235,'Istoric_Nativ'!$F$6:$F$405,G235,'Istoric_Nativ'!$D$6:$D$405,"&lt;"&amp;J235,'Istoric_Nativ'!$P$6:$P$405,1,'Istoric_Nativ'!$D$6:$D$405,"&gt;="&amp;L235),COUNTIFS('Istoric_Nativ'!$B$6:$B$405,E235,'Istoric_Nativ'!$C$6:$C$405,F235,'Istoric_Nativ'!$E$6:$E$405,G235,'Istoric_Nativ'!$D$6:$D$405,"&lt;"&amp;J235,'Istoric_Nativ'!$P$6:$P$405,1,'Istoric_Nativ'!$D$6:$D$405,"&gt;="&amp;L235)+COUNTIFS('Istoric_Nativ'!$B$6:$B$405,E235,'Istoric_Nativ'!$C$6:$C$405,F235,'Istoric_Nativ'!$F$6:$F$405,G235,'Istoric_Nativ'!$D$6:$D$405,"&lt;"&amp;J235,'Istoric_Nativ'!$P$6:$P$405,1,'Istoric_Nativ'!$D$6:$D$405,"&gt;="&amp;L235))))</x:f>
        <x:v>0</x:v>
      </x:c>
      <x:c r="N235" s="11" t="str">
        <x:f>IF(M235=0,"",IF(H235="HOME",SUMIFS('Istoric_Nativ'!$G$6:$G$405,'Istoric_Nativ'!$B$6:$B$405,E235,'Istoric_Nativ'!$C$6:$C$405,F235,'Istoric_Nativ'!$E$6:$E$405,G235,'Istoric_Nativ'!$D$6:$D$405,"&lt;"&amp;J235,'Istoric_Nativ'!$P$6:$P$405,1,'Istoric_Nativ'!$D$6:$D$405,"&gt;="&amp;L235),IF(H235="AWAY",SUMIFS('Istoric_Nativ'!$H$6:$H$405,'Istoric_Nativ'!$B$6:$B$405,E235,'Istoric_Nativ'!$C$6:$C$405,F235,'Istoric_Nativ'!$F$6:$F$405,G235,'Istoric_Nativ'!$D$6:$D$405,"&lt;"&amp;J235,'Istoric_Nativ'!$P$6:$P$405,1,'Istoric_Nativ'!$D$6:$D$405,"&gt;="&amp;L235),SUMIFS('Istoric_Nativ'!$G$6:$G$405,'Istoric_Nativ'!$B$6:$B$405,E235,'Istoric_Nativ'!$C$6:$C$405,F235,'Istoric_Nativ'!$E$6:$E$405,G235,'Istoric_Nativ'!$D$6:$D$405,"&lt;"&amp;J235,'Istoric_Nativ'!$P$6:$P$405,1,'Istoric_Nativ'!$D$6:$D$405,"&gt;="&amp;L235)+SUMIFS('Istoric_Nativ'!$H$6:$H$405,'Istoric_Nativ'!$B$6:$B$405,E235,'Istoric_Nativ'!$C$6:$C$405,F235,'Istoric_Nativ'!$F$6:$F$405,G235,'Istoric_Nativ'!$D$6:$D$405,"&lt;"&amp;J235,'Istoric_Nativ'!$P$6:$P$405,1,'Istoric_Nativ'!$D$6:$D$405,"&gt;="&amp;L235)))/M235)</x:f>
      </x:c>
      <x:c r="O235" s="11" t="str">
        <x:f>IF(M235=0,"",IF(H235="HOME",SUMIFS('Istoric_Nativ'!$H$6:$H$405,'Istoric_Nativ'!$B$6:$B$405,E235,'Istoric_Nativ'!$C$6:$C$405,F235,'Istoric_Nativ'!$E$6:$E$405,G235,'Istoric_Nativ'!$D$6:$D$405,"&lt;"&amp;J235,'Istoric_Nativ'!$P$6:$P$405,1,'Istoric_Nativ'!$D$6:$D$405,"&gt;="&amp;L235),IF(H235="AWAY",SUMIFS('Istoric_Nativ'!$G$6:$G$405,'Istoric_Nativ'!$B$6:$B$405,E235,'Istoric_Nativ'!$C$6:$C$405,F235,'Istoric_Nativ'!$F$6:$F$405,G235,'Istoric_Nativ'!$D$6:$D$405,"&lt;"&amp;J235,'Istoric_Nativ'!$P$6:$P$405,1,'Istoric_Nativ'!$D$6:$D$405,"&gt;="&amp;L235),SUMIFS('Istoric_Nativ'!$H$6:$H$405,'Istoric_Nativ'!$B$6:$B$405,E235,'Istoric_Nativ'!$C$6:$C$405,F235,'Istoric_Nativ'!$E$6:$E$405,G235,'Istoric_Nativ'!$D$6:$D$405,"&lt;"&amp;J235,'Istoric_Nativ'!$P$6:$P$405,1,'Istoric_Nativ'!$D$6:$D$405,"&gt;="&amp;L235)+SUMIFS('Istoric_Nativ'!$G$6:$G$405,'Istoric_Nativ'!$B$6:$B$405,E235,'Istoric_Nativ'!$C$6:$C$405,F235,'Istoric_Nativ'!$F$6:$F$405,G235,'Istoric_Nativ'!$D$6:$D$405,"&lt;"&amp;J235,'Istoric_Nativ'!$P$6:$P$405,1,'Istoric_Nativ'!$D$6:$D$405,"&gt;="&amp;L235)))/M235)</x:f>
      </x:c>
      <x:c r="P235" s="2" t="n">
        <x:f>'Config_v6'!$B$8</x:f>
        <x:v>5</x:v>
      </x:c>
      <x:c r="Q235" s="2" t="n">
        <x:f>IF(OR(B235="",F235=""),0,IFERROR(MATCH(E235&amp;"|"&amp;F235,SourceTable[Source_Key],0),0))</x:f>
        <x:v>0</x:v>
      </x:c>
      <x:c r="R235" s="2" t="str">
        <x:f>IF(B235="","",IF(F235="","UNUSED",IF(Q235=0,"NOT CHECKED",IF(COUNTIF(SourceTable[Source_Key],E235&amp;"|"&amp;F235)&lt;&gt;1,"SOURCE CONFLICT",IF(NOT(OR(INDEX(SourceTable[Status],MAX(1,Q235))="IMPORTED",INDEX(SourceTable[Status],MAX(1,Q235))="PARTIAL",INDEX(SourceTable[Status],MAX(1,Q235))="SOURCE CONFLICT")),"ACCESS BLOCKED",IF(OR(INDEX(SourceTable[Coverage],Q235)&lt;&gt;"FULL SEASON EXPORT",INDEX(SourceTable[URL],Q235)="",INDEX(SourceTable[SHA256],Q235)=""),"EVIDENCE INCOMPLETE",IF(AND('Input_Meci'!H25="LIVE",INDEX(SourceTable[Retrieved_UTC],Q235)&gt;'Input_Meci'!G25),"POST CUTOFF","CLOSED")))))))</x:f>
      </x:c>
      <x:c r="S235" s="2" t="n">
        <x:f>IF(OR(B235="",F235=""),0,COUNTIFS('Istoric_Nativ'!$B$6:$B$405,E235,'Istoric_Nativ'!$C$6:$C$405,F235,'Istoric_Nativ'!$E$6:$E$405,G235,'Istoric_Nativ'!$D$6:$D$405,"&lt;"&amp;J235,'Istoric_Nativ'!$O$6:$O$405,"INVALID")+COUNTIFS('Istoric_Nativ'!$B$6:$B$405,E235,'Istoric_Nativ'!$C$6:$C$405,F235,'Istoric_Nativ'!$E$6:$E$405,G235,'Istoric_Nativ'!$O$6:$O$405,"INVALID",'Istoric_Nativ'!$D$6:$D$405,"*")+COUNTIFS('Istoric_Nativ'!$B$6:$B$405,E235,'Istoric_Nativ'!$C$6:$C$405,F235,'Istoric_Nativ'!$E$6:$E$405,G235,'Istoric_Nativ'!$D$6:$D$405,"&lt;"&amp;J235,'Istoric_Nativ'!$O$6:$O$405,"SOURCE CONFLICT")+COUNTIFS('Istoric_Nativ'!$B$6:$B$405,E235,'Istoric_Nativ'!$C$6:$C$405,F235,'Istoric_Nativ'!$F$6:$F$405,G235,'Istoric_Nativ'!$D$6:$D$405,"&lt;"&amp;J235,'Istoric_Nativ'!$O$6:$O$405,"INVALID")+COUNTIFS('Istoric_Nativ'!$B$6:$B$405,E235,'Istoric_Nativ'!$C$6:$C$405,F235,'Istoric_Nativ'!$F$6:$F$405,G235,'Istoric_Nativ'!$O$6:$O$405,"INVALID",'Istoric_Nativ'!$D$6:$D$405,"*")+COUNTIFS('Istoric_Nativ'!$B$6:$B$405,E235,'Istoric_Nativ'!$C$6:$C$405,F235,'Istoric_Nativ'!$F$6:$F$405,G235,'Istoric_Nativ'!$D$6:$D$405,"&lt;"&amp;J235,'Istoric_Nativ'!$O$6:$O$405,"SOURCE CONFLICT"))</x:f>
        <x:v>0</x:v>
      </x:c>
      <x:c r="T235" s="2" t="str">
        <x:f>IF(B235="","",IF(R235&lt;&gt;"CLOSED",R235,IF(S235&gt;0,"NATIVE INPUT ISSUE",IF(M235=0,"NO HISTORY",IF(M235&lt;P235,"SMALL SAMPLE","DERIVED")))))</x:f>
      </x:c>
      <x:c r="U235" s="2" t="str">
        <x:f>IF(B235="","","NativeTable; "&amp;E235&amp;"; "&amp;F235&amp;"; "&amp;G235&amp;"; "&amp;H235&amp;"; before "&amp;TEXT(J235,"yyyy-mm-dd")&amp;IF(I235="RECENT","; from "&amp;TEXT(L235,"yyyy-mm-dd"),""))</x:f>
      </x:c>
    </x:row>
    <x:row r="236" ht="21" customHeight="1">
      <x:c r="A236" s="2" t="n">
        <x:v>20</x:v>
      </x:c>
      <x:c r="B236" s="2" t="str">
        <x:f>IF('Input_Meci'!A25="","",'Input_Meci'!A25)</x:f>
      </x:c>
      <x:c r="C236" s="2" t="str">
        <x:v>H</x:v>
      </x:c>
      <x:c r="D236" s="2" t="str">
        <x:v>CURRENT</x:v>
      </x:c>
      <x:c r="E236" s="2" t="str">
        <x:f>IF(B236="","",'Input_Meci'!B25)</x:f>
      </x:c>
      <x:c r="F236" s="2" t="str">
        <x:f>IF(B236="","",IF('Input_Meci'!C25="","",'Input_Meci'!C25))</x:f>
      </x:c>
      <x:c r="G236" s="2" t="str">
        <x:f>IF(B236="","",'Input_Meci'!D25)</x:f>
      </x:c>
      <x:c r="H236" s="2" t="str">
        <x:v>ANY</x:v>
      </x:c>
      <x:c r="I236" s="2" t="str">
        <x:v>RECENT</x:v>
      </x:c>
      <x:c r="J236" s="9" t="n">
        <x:f>IF(AND(B236&lt;&gt;"",ISNUMBER('Input_Meci'!G25)),INT('Input_Meci'!G25),0)</x:f>
        <x:v>0</x:v>
      </x:c>
      <x:c r="K236" s="2" t="n">
        <x:f>IF(OR(B236="",F236=""),0,IF(H236="HOME",COUNTIFS('Istoric_Nativ'!$B$6:$B$405,E236,'Istoric_Nativ'!$C$6:$C$405,F236,'Istoric_Nativ'!$E$6:$E$405,G236,'Istoric_Nativ'!$D$6:$D$405,"&lt;"&amp;J236,'Istoric_Nativ'!$P$6:$P$405,1),IF(H236="AWAY",COUNTIFS('Istoric_Nativ'!$B$6:$B$405,E236,'Istoric_Nativ'!$C$6:$C$405,F236,'Istoric_Nativ'!$F$6:$F$405,G236,'Istoric_Nativ'!$D$6:$D$405,"&lt;"&amp;J236,'Istoric_Nativ'!$P$6:$P$405,1),COUNTIFS('Istoric_Nativ'!$B$6:$B$405,E236,'Istoric_Nativ'!$C$6:$C$405,F236,'Istoric_Nativ'!$E$6:$E$405,G236,'Istoric_Nativ'!$D$6:$D$405,"&lt;"&amp;J236,'Istoric_Nativ'!$P$6:$P$405,1)+COUNTIFS('Istoric_Nativ'!$B$6:$B$405,E236,'Istoric_Nativ'!$C$6:$C$405,F236,'Istoric_Nativ'!$F$6:$F$405,G236,'Istoric_Nativ'!$D$6:$D$405,"&lt;"&amp;J236,'Istoric_Nativ'!$P$6:$P$405,1))))</x:f>
        <x:v>0</x:v>
      </x:c>
      <x:c r="L236" s="17" t="n">
        <x:f>IF(AND(B236&lt;&gt;"",I236="RECENT",K236&gt;0),LARGE(_xlfn._xlws.FILTER('Istoric_Nativ'!$D$6:$D$405,('Istoric_Nativ'!$B$6:$B$405=E236)*('Istoric_Nativ'!$C$6:$C$405=F236)*('Istoric_Nativ'!$P$6:$P$405=1)*('Istoric_Nativ'!$D$6:$D$405&lt;J236)*((('Istoric_Nativ'!$E$6:$E$405=G236)+('Istoric_Nativ'!$F$6:$F$405=G236))&gt;0)),MIN('Config_v6'!$B$54,K236)),0)</x:f>
        <x:v>0</x:v>
      </x:c>
      <x:c r="M236" s="2" t="n">
        <x:f>IF(OR(B236="",F236=""),0,IF(H236="HOME",COUNTIFS('Istoric_Nativ'!$B$6:$B$405,E236,'Istoric_Nativ'!$C$6:$C$405,F236,'Istoric_Nativ'!$E$6:$E$405,G236,'Istoric_Nativ'!$D$6:$D$405,"&lt;"&amp;J236,'Istoric_Nativ'!$P$6:$P$405,1,'Istoric_Nativ'!$D$6:$D$405,"&gt;="&amp;L236),IF(H236="AWAY",COUNTIFS('Istoric_Nativ'!$B$6:$B$405,E236,'Istoric_Nativ'!$C$6:$C$405,F236,'Istoric_Nativ'!$F$6:$F$405,G236,'Istoric_Nativ'!$D$6:$D$405,"&lt;"&amp;J236,'Istoric_Nativ'!$P$6:$P$405,1,'Istoric_Nativ'!$D$6:$D$405,"&gt;="&amp;L236),COUNTIFS('Istoric_Nativ'!$B$6:$B$405,E236,'Istoric_Nativ'!$C$6:$C$405,F236,'Istoric_Nativ'!$E$6:$E$405,G236,'Istoric_Nativ'!$D$6:$D$405,"&lt;"&amp;J236,'Istoric_Nativ'!$P$6:$P$405,1,'Istoric_Nativ'!$D$6:$D$405,"&gt;="&amp;L236)+COUNTIFS('Istoric_Nativ'!$B$6:$B$405,E236,'Istoric_Nativ'!$C$6:$C$405,F236,'Istoric_Nativ'!$F$6:$F$405,G236,'Istoric_Nativ'!$D$6:$D$405,"&lt;"&amp;J236,'Istoric_Nativ'!$P$6:$P$405,1,'Istoric_Nativ'!$D$6:$D$405,"&gt;="&amp;L236))))</x:f>
        <x:v>0</x:v>
      </x:c>
      <x:c r="N236" s="11" t="str">
        <x:f>IF(M236=0,"",IF(H236="HOME",SUMIFS('Istoric_Nativ'!$G$6:$G$405,'Istoric_Nativ'!$B$6:$B$405,E236,'Istoric_Nativ'!$C$6:$C$405,F236,'Istoric_Nativ'!$E$6:$E$405,G236,'Istoric_Nativ'!$D$6:$D$405,"&lt;"&amp;J236,'Istoric_Nativ'!$P$6:$P$405,1,'Istoric_Nativ'!$D$6:$D$405,"&gt;="&amp;L236),IF(H236="AWAY",SUMIFS('Istoric_Nativ'!$H$6:$H$405,'Istoric_Nativ'!$B$6:$B$405,E236,'Istoric_Nativ'!$C$6:$C$405,F236,'Istoric_Nativ'!$F$6:$F$405,G236,'Istoric_Nativ'!$D$6:$D$405,"&lt;"&amp;J236,'Istoric_Nativ'!$P$6:$P$405,1,'Istoric_Nativ'!$D$6:$D$405,"&gt;="&amp;L236),SUMIFS('Istoric_Nativ'!$G$6:$G$405,'Istoric_Nativ'!$B$6:$B$405,E236,'Istoric_Nativ'!$C$6:$C$405,F236,'Istoric_Nativ'!$E$6:$E$405,G236,'Istoric_Nativ'!$D$6:$D$405,"&lt;"&amp;J236,'Istoric_Nativ'!$P$6:$P$405,1,'Istoric_Nativ'!$D$6:$D$405,"&gt;="&amp;L236)+SUMIFS('Istoric_Nativ'!$H$6:$H$405,'Istoric_Nativ'!$B$6:$B$405,E236,'Istoric_Nativ'!$C$6:$C$405,F236,'Istoric_Nativ'!$F$6:$F$405,G236,'Istoric_Nativ'!$D$6:$D$405,"&lt;"&amp;J236,'Istoric_Nativ'!$P$6:$P$405,1,'Istoric_Nativ'!$D$6:$D$405,"&gt;="&amp;L236)))/M236)</x:f>
      </x:c>
      <x:c r="O236" s="11" t="str">
        <x:f>IF(M236=0,"",IF(H236="HOME",SUMIFS('Istoric_Nativ'!$H$6:$H$405,'Istoric_Nativ'!$B$6:$B$405,E236,'Istoric_Nativ'!$C$6:$C$405,F236,'Istoric_Nativ'!$E$6:$E$405,G236,'Istoric_Nativ'!$D$6:$D$405,"&lt;"&amp;J236,'Istoric_Nativ'!$P$6:$P$405,1,'Istoric_Nativ'!$D$6:$D$405,"&gt;="&amp;L236),IF(H236="AWAY",SUMIFS('Istoric_Nativ'!$G$6:$G$405,'Istoric_Nativ'!$B$6:$B$405,E236,'Istoric_Nativ'!$C$6:$C$405,F236,'Istoric_Nativ'!$F$6:$F$405,G236,'Istoric_Nativ'!$D$6:$D$405,"&lt;"&amp;J236,'Istoric_Nativ'!$P$6:$P$405,1,'Istoric_Nativ'!$D$6:$D$405,"&gt;="&amp;L236),SUMIFS('Istoric_Nativ'!$H$6:$H$405,'Istoric_Nativ'!$B$6:$B$405,E236,'Istoric_Nativ'!$C$6:$C$405,F236,'Istoric_Nativ'!$E$6:$E$405,G236,'Istoric_Nativ'!$D$6:$D$405,"&lt;"&amp;J236,'Istoric_Nativ'!$P$6:$P$405,1,'Istoric_Nativ'!$D$6:$D$405,"&gt;="&amp;L236)+SUMIFS('Istoric_Nativ'!$G$6:$G$405,'Istoric_Nativ'!$B$6:$B$405,E236,'Istoric_Nativ'!$C$6:$C$405,F236,'Istoric_Nativ'!$F$6:$F$405,G236,'Istoric_Nativ'!$D$6:$D$405,"&lt;"&amp;J236,'Istoric_Nativ'!$P$6:$P$405,1,'Istoric_Nativ'!$D$6:$D$405,"&gt;="&amp;L236)))/M236)</x:f>
      </x:c>
      <x:c r="P236" s="2" t="n">
        <x:f>'Config_v6'!$B$9</x:f>
        <x:v>3</x:v>
      </x:c>
      <x:c r="Q236" s="2" t="n">
        <x:f>IF(OR(B236="",F236=""),0,IFERROR(MATCH(E236&amp;"|"&amp;F236,SourceTable[Source_Key],0),0))</x:f>
        <x:v>0</x:v>
      </x:c>
      <x:c r="R236" s="2" t="str">
        <x:f>IF(B236="","",IF(F236="","UNUSED",IF(Q236=0,"NOT CHECKED",IF(COUNTIF(SourceTable[Source_Key],E236&amp;"|"&amp;F236)&lt;&gt;1,"SOURCE CONFLICT",IF(NOT(OR(INDEX(SourceTable[Status],MAX(1,Q236))="IMPORTED",INDEX(SourceTable[Status],MAX(1,Q236))="PARTIAL",INDEX(SourceTable[Status],MAX(1,Q236))="SOURCE CONFLICT")),"ACCESS BLOCKED",IF(OR(INDEX(SourceTable[Coverage],Q236)&lt;&gt;"FULL SEASON EXPORT",INDEX(SourceTable[URL],Q236)="",INDEX(SourceTable[SHA256],Q236)=""),"EVIDENCE INCOMPLETE",IF(AND('Input_Meci'!H25="LIVE",INDEX(SourceTable[Retrieved_UTC],Q236)&gt;'Input_Meci'!G25),"POST CUTOFF","CLOSED")))))))</x:f>
      </x:c>
      <x:c r="S236" s="2" t="n">
        <x:f>IF(OR(B236="",F236=""),0,COUNTIFS('Istoric_Nativ'!$B$6:$B$405,E236,'Istoric_Nativ'!$C$6:$C$405,F236,'Istoric_Nativ'!$E$6:$E$405,G236,'Istoric_Nativ'!$D$6:$D$405,"&lt;"&amp;J236,'Istoric_Nativ'!$O$6:$O$405,"INVALID")+COUNTIFS('Istoric_Nativ'!$B$6:$B$405,E236,'Istoric_Nativ'!$C$6:$C$405,F236,'Istoric_Nativ'!$E$6:$E$405,G236,'Istoric_Nativ'!$O$6:$O$405,"INVALID",'Istoric_Nativ'!$D$6:$D$405,"*")+COUNTIFS('Istoric_Nativ'!$B$6:$B$405,E236,'Istoric_Nativ'!$C$6:$C$405,F236,'Istoric_Nativ'!$E$6:$E$405,G236,'Istoric_Nativ'!$D$6:$D$405,"&lt;"&amp;J236,'Istoric_Nativ'!$O$6:$O$405,"SOURCE CONFLICT")+COUNTIFS('Istoric_Nativ'!$B$6:$B$405,E236,'Istoric_Nativ'!$C$6:$C$405,F236,'Istoric_Nativ'!$F$6:$F$405,G236,'Istoric_Nativ'!$D$6:$D$405,"&lt;"&amp;J236,'Istoric_Nativ'!$O$6:$O$405,"INVALID")+COUNTIFS('Istoric_Nativ'!$B$6:$B$405,E236,'Istoric_Nativ'!$C$6:$C$405,F236,'Istoric_Nativ'!$F$6:$F$405,G236,'Istoric_Nativ'!$O$6:$O$405,"INVALID",'Istoric_Nativ'!$D$6:$D$405,"*")+COUNTIFS('Istoric_Nativ'!$B$6:$B$405,E236,'Istoric_Nativ'!$C$6:$C$405,F236,'Istoric_Nativ'!$F$6:$F$405,G236,'Istoric_Nativ'!$D$6:$D$405,"&lt;"&amp;J236,'Istoric_Nativ'!$O$6:$O$405,"SOURCE CONFLICT"))</x:f>
        <x:v>0</x:v>
      </x:c>
      <x:c r="T236" s="2" t="str">
        <x:f>IF(B236="","",IF(R236&lt;&gt;"CLOSED",R236,IF(S236&gt;0,"NATIVE INPUT ISSUE",IF(M236=0,"NO HISTORY",IF(M236&lt;P236,"SMALL SAMPLE","DERIVED")))))</x:f>
      </x:c>
      <x:c r="U236" s="2" t="str">
        <x:f>IF(B236="","","NativeTable; "&amp;E236&amp;"; "&amp;F236&amp;"; "&amp;G236&amp;"; "&amp;H236&amp;"; before "&amp;TEXT(J236,"yyyy-mm-dd")&amp;IF(I236="RECENT","; from "&amp;TEXT(L236,"yyyy-mm-dd"),""))</x:f>
      </x:c>
    </x:row>
    <x:row r="237" ht="21" customHeight="1">
      <x:c r="A237" s="2" t="n">
        <x:v>20</x:v>
      </x:c>
      <x:c r="B237" s="2" t="str">
        <x:f>IF('Input_Meci'!A25="","",'Input_Meci'!A25)</x:f>
      </x:c>
      <x:c r="C237" s="2" t="str">
        <x:v>A</x:v>
      </x:c>
      <x:c r="D237" s="2" t="str">
        <x:v>CURRENT</x:v>
      </x:c>
      <x:c r="E237" s="2" t="str">
        <x:f>IF(B237="","",'Input_Meci'!B25)</x:f>
      </x:c>
      <x:c r="F237" s="2" t="str">
        <x:f>IF(B237="","",IF('Input_Meci'!C25="","",'Input_Meci'!C25))</x:f>
      </x:c>
      <x:c r="G237" s="2" t="str">
        <x:f>IF(B237="","",'Input_Meci'!E25)</x:f>
      </x:c>
      <x:c r="H237" s="2" t="str">
        <x:v>ANY</x:v>
      </x:c>
      <x:c r="I237" s="2" t="str">
        <x:v>SEASON</x:v>
      </x:c>
      <x:c r="J237" s="9" t="n">
        <x:f>IF(AND(B237&lt;&gt;"",ISNUMBER('Input_Meci'!G25)),INT('Input_Meci'!G25),0)</x:f>
        <x:v>0</x:v>
      </x:c>
      <x:c r="K237" s="2" t="n">
        <x:f>IF(OR(B237="",F237=""),0,IF(H237="HOME",COUNTIFS('Istoric_Nativ'!$B$6:$B$405,E237,'Istoric_Nativ'!$C$6:$C$405,F237,'Istoric_Nativ'!$E$6:$E$405,G237,'Istoric_Nativ'!$D$6:$D$405,"&lt;"&amp;J237,'Istoric_Nativ'!$P$6:$P$405,1),IF(H237="AWAY",COUNTIFS('Istoric_Nativ'!$B$6:$B$405,E237,'Istoric_Nativ'!$C$6:$C$405,F237,'Istoric_Nativ'!$F$6:$F$405,G237,'Istoric_Nativ'!$D$6:$D$405,"&lt;"&amp;J237,'Istoric_Nativ'!$P$6:$P$405,1),COUNTIFS('Istoric_Nativ'!$B$6:$B$405,E237,'Istoric_Nativ'!$C$6:$C$405,F237,'Istoric_Nativ'!$E$6:$E$405,G237,'Istoric_Nativ'!$D$6:$D$405,"&lt;"&amp;J237,'Istoric_Nativ'!$P$6:$P$405,1)+COUNTIFS('Istoric_Nativ'!$B$6:$B$405,E237,'Istoric_Nativ'!$C$6:$C$405,F237,'Istoric_Nativ'!$F$6:$F$405,G237,'Istoric_Nativ'!$D$6:$D$405,"&lt;"&amp;J237,'Istoric_Nativ'!$P$6:$P$405,1))))</x:f>
        <x:v>0</x:v>
      </x:c>
      <x:c r="L237" s="17" t="n">
        <x:f>IF(AND(B237&lt;&gt;"",I237="RECENT",K237&gt;0),LARGE(_xlfn._xlws.FILTER('Istoric_Nativ'!$D$6:$D$405,('Istoric_Nativ'!$B$6:$B$405=E237)*('Istoric_Nativ'!$C$6:$C$405=F237)*('Istoric_Nativ'!$P$6:$P$405=1)*('Istoric_Nativ'!$D$6:$D$405&lt;J237)*((('Istoric_Nativ'!$E$6:$E$405=G237)+('Istoric_Nativ'!$F$6:$F$405=G237))&gt;0)),MIN('Config_v6'!$B$54,K237)),0)</x:f>
        <x:v>0</x:v>
      </x:c>
      <x:c r="M237" s="2" t="n">
        <x:f>IF(OR(B237="",F237=""),0,IF(H237="HOME",COUNTIFS('Istoric_Nativ'!$B$6:$B$405,E237,'Istoric_Nativ'!$C$6:$C$405,F237,'Istoric_Nativ'!$E$6:$E$405,G237,'Istoric_Nativ'!$D$6:$D$405,"&lt;"&amp;J237,'Istoric_Nativ'!$P$6:$P$405,1,'Istoric_Nativ'!$D$6:$D$405,"&gt;="&amp;L237),IF(H237="AWAY",COUNTIFS('Istoric_Nativ'!$B$6:$B$405,E237,'Istoric_Nativ'!$C$6:$C$405,F237,'Istoric_Nativ'!$F$6:$F$405,G237,'Istoric_Nativ'!$D$6:$D$405,"&lt;"&amp;J237,'Istoric_Nativ'!$P$6:$P$405,1,'Istoric_Nativ'!$D$6:$D$405,"&gt;="&amp;L237),COUNTIFS('Istoric_Nativ'!$B$6:$B$405,E237,'Istoric_Nativ'!$C$6:$C$405,F237,'Istoric_Nativ'!$E$6:$E$405,G237,'Istoric_Nativ'!$D$6:$D$405,"&lt;"&amp;J237,'Istoric_Nativ'!$P$6:$P$405,1,'Istoric_Nativ'!$D$6:$D$405,"&gt;="&amp;L237)+COUNTIFS('Istoric_Nativ'!$B$6:$B$405,E237,'Istoric_Nativ'!$C$6:$C$405,F237,'Istoric_Nativ'!$F$6:$F$405,G237,'Istoric_Nativ'!$D$6:$D$405,"&lt;"&amp;J237,'Istoric_Nativ'!$P$6:$P$405,1,'Istoric_Nativ'!$D$6:$D$405,"&gt;="&amp;L237))))</x:f>
        <x:v>0</x:v>
      </x:c>
      <x:c r="N237" s="11" t="str">
        <x:f>IF(M237=0,"",IF(H237="HOME",SUMIFS('Istoric_Nativ'!$G$6:$G$405,'Istoric_Nativ'!$B$6:$B$405,E237,'Istoric_Nativ'!$C$6:$C$405,F237,'Istoric_Nativ'!$E$6:$E$405,G237,'Istoric_Nativ'!$D$6:$D$405,"&lt;"&amp;J237,'Istoric_Nativ'!$P$6:$P$405,1,'Istoric_Nativ'!$D$6:$D$405,"&gt;="&amp;L237),IF(H237="AWAY",SUMIFS('Istoric_Nativ'!$H$6:$H$405,'Istoric_Nativ'!$B$6:$B$405,E237,'Istoric_Nativ'!$C$6:$C$405,F237,'Istoric_Nativ'!$F$6:$F$405,G237,'Istoric_Nativ'!$D$6:$D$405,"&lt;"&amp;J237,'Istoric_Nativ'!$P$6:$P$405,1,'Istoric_Nativ'!$D$6:$D$405,"&gt;="&amp;L237),SUMIFS('Istoric_Nativ'!$G$6:$G$405,'Istoric_Nativ'!$B$6:$B$405,E237,'Istoric_Nativ'!$C$6:$C$405,F237,'Istoric_Nativ'!$E$6:$E$405,G237,'Istoric_Nativ'!$D$6:$D$405,"&lt;"&amp;J237,'Istoric_Nativ'!$P$6:$P$405,1,'Istoric_Nativ'!$D$6:$D$405,"&gt;="&amp;L237)+SUMIFS('Istoric_Nativ'!$H$6:$H$405,'Istoric_Nativ'!$B$6:$B$405,E237,'Istoric_Nativ'!$C$6:$C$405,F237,'Istoric_Nativ'!$F$6:$F$405,G237,'Istoric_Nativ'!$D$6:$D$405,"&lt;"&amp;J237,'Istoric_Nativ'!$P$6:$P$405,1,'Istoric_Nativ'!$D$6:$D$405,"&gt;="&amp;L237)))/M237)</x:f>
      </x:c>
      <x:c r="O237" s="11" t="str">
        <x:f>IF(M237=0,"",IF(H237="HOME",SUMIFS('Istoric_Nativ'!$H$6:$H$405,'Istoric_Nativ'!$B$6:$B$405,E237,'Istoric_Nativ'!$C$6:$C$405,F237,'Istoric_Nativ'!$E$6:$E$405,G237,'Istoric_Nativ'!$D$6:$D$405,"&lt;"&amp;J237,'Istoric_Nativ'!$P$6:$P$405,1,'Istoric_Nativ'!$D$6:$D$405,"&gt;="&amp;L237),IF(H237="AWAY",SUMIFS('Istoric_Nativ'!$G$6:$G$405,'Istoric_Nativ'!$B$6:$B$405,E237,'Istoric_Nativ'!$C$6:$C$405,F237,'Istoric_Nativ'!$F$6:$F$405,G237,'Istoric_Nativ'!$D$6:$D$405,"&lt;"&amp;J237,'Istoric_Nativ'!$P$6:$P$405,1,'Istoric_Nativ'!$D$6:$D$405,"&gt;="&amp;L237),SUMIFS('Istoric_Nativ'!$H$6:$H$405,'Istoric_Nativ'!$B$6:$B$405,E237,'Istoric_Nativ'!$C$6:$C$405,F237,'Istoric_Nativ'!$E$6:$E$405,G237,'Istoric_Nativ'!$D$6:$D$405,"&lt;"&amp;J237,'Istoric_Nativ'!$P$6:$P$405,1,'Istoric_Nativ'!$D$6:$D$405,"&gt;="&amp;L237)+SUMIFS('Istoric_Nativ'!$G$6:$G$405,'Istoric_Nativ'!$B$6:$B$405,E237,'Istoric_Nativ'!$C$6:$C$405,F237,'Istoric_Nativ'!$F$6:$F$405,G237,'Istoric_Nativ'!$D$6:$D$405,"&lt;"&amp;J237,'Istoric_Nativ'!$P$6:$P$405,1,'Istoric_Nativ'!$D$6:$D$405,"&gt;="&amp;L237)))/M237)</x:f>
      </x:c>
      <x:c r="P237" s="2" t="n">
        <x:f>'Config_v6'!$B$7</x:f>
        <x:v>10</x:v>
      </x:c>
      <x:c r="Q237" s="2" t="n">
        <x:f>IF(OR(B237="",F237=""),0,IFERROR(MATCH(E237&amp;"|"&amp;F237,SourceTable[Source_Key],0),0))</x:f>
        <x:v>0</x:v>
      </x:c>
      <x:c r="R237" s="2" t="str">
        <x:f>IF(B237="","",IF(F237="","UNUSED",IF(Q237=0,"NOT CHECKED",IF(COUNTIF(SourceTable[Source_Key],E237&amp;"|"&amp;F237)&lt;&gt;1,"SOURCE CONFLICT",IF(NOT(OR(INDEX(SourceTable[Status],MAX(1,Q237))="IMPORTED",INDEX(SourceTable[Status],MAX(1,Q237))="PARTIAL",INDEX(SourceTable[Status],MAX(1,Q237))="SOURCE CONFLICT")),"ACCESS BLOCKED",IF(OR(INDEX(SourceTable[Coverage],Q237)&lt;&gt;"FULL SEASON EXPORT",INDEX(SourceTable[URL],Q237)="",INDEX(SourceTable[SHA256],Q237)=""),"EVIDENCE INCOMPLETE",IF(AND('Input_Meci'!H25="LIVE",INDEX(SourceTable[Retrieved_UTC],Q237)&gt;'Input_Meci'!G25),"POST CUTOFF","CLOSED")))))))</x:f>
      </x:c>
      <x:c r="S237" s="2" t="n">
        <x:f>IF(OR(B237="",F237=""),0,COUNTIFS('Istoric_Nativ'!$B$6:$B$405,E237,'Istoric_Nativ'!$C$6:$C$405,F237,'Istoric_Nativ'!$E$6:$E$405,G237,'Istoric_Nativ'!$D$6:$D$405,"&lt;"&amp;J237,'Istoric_Nativ'!$O$6:$O$405,"INVALID")+COUNTIFS('Istoric_Nativ'!$B$6:$B$405,E237,'Istoric_Nativ'!$C$6:$C$405,F237,'Istoric_Nativ'!$E$6:$E$405,G237,'Istoric_Nativ'!$O$6:$O$405,"INVALID",'Istoric_Nativ'!$D$6:$D$405,"*")+COUNTIFS('Istoric_Nativ'!$B$6:$B$405,E237,'Istoric_Nativ'!$C$6:$C$405,F237,'Istoric_Nativ'!$E$6:$E$405,G237,'Istoric_Nativ'!$D$6:$D$405,"&lt;"&amp;J237,'Istoric_Nativ'!$O$6:$O$405,"SOURCE CONFLICT")+COUNTIFS('Istoric_Nativ'!$B$6:$B$405,E237,'Istoric_Nativ'!$C$6:$C$405,F237,'Istoric_Nativ'!$F$6:$F$405,G237,'Istoric_Nativ'!$D$6:$D$405,"&lt;"&amp;J237,'Istoric_Nativ'!$O$6:$O$405,"INVALID")+COUNTIFS('Istoric_Nativ'!$B$6:$B$405,E237,'Istoric_Nativ'!$C$6:$C$405,F237,'Istoric_Nativ'!$F$6:$F$405,G237,'Istoric_Nativ'!$O$6:$O$405,"INVALID",'Istoric_Nativ'!$D$6:$D$405,"*")+COUNTIFS('Istoric_Nativ'!$B$6:$B$405,E237,'Istoric_Nativ'!$C$6:$C$405,F237,'Istoric_Nativ'!$F$6:$F$405,G237,'Istoric_Nativ'!$D$6:$D$405,"&lt;"&amp;J237,'Istoric_Nativ'!$O$6:$O$405,"SOURCE CONFLICT"))</x:f>
        <x:v>0</x:v>
      </x:c>
      <x:c r="T237" s="2" t="str">
        <x:f>IF(B237="","",IF(R237&lt;&gt;"CLOSED",R237,IF(S237&gt;0,"NATIVE INPUT ISSUE",IF(M237=0,"NO HISTORY",IF(M237&lt;P237,"SMALL SAMPLE","DERIVED")))))</x:f>
      </x:c>
      <x:c r="U237" s="2" t="str">
        <x:f>IF(B237="","","NativeTable; "&amp;E237&amp;"; "&amp;F237&amp;"; "&amp;G237&amp;"; "&amp;H237&amp;"; before "&amp;TEXT(J237,"yyyy-mm-dd")&amp;IF(I237="RECENT","; from "&amp;TEXT(L237,"yyyy-mm-dd"),""))</x:f>
      </x:c>
    </x:row>
    <x:row r="238" ht="21" customHeight="1">
      <x:c r="A238" s="2" t="n">
        <x:v>20</x:v>
      </x:c>
      <x:c r="B238" s="2" t="str">
        <x:f>IF('Input_Meci'!A25="","",'Input_Meci'!A25)</x:f>
      </x:c>
      <x:c r="C238" s="2" t="str">
        <x:v>A</x:v>
      </x:c>
      <x:c r="D238" s="2" t="str">
        <x:v>CURRENT</x:v>
      </x:c>
      <x:c r="E238" s="2" t="str">
        <x:f>IF(B238="","",'Input_Meci'!B25)</x:f>
      </x:c>
      <x:c r="F238" s="2" t="str">
        <x:f>IF(B238="","",IF('Input_Meci'!C25="","",'Input_Meci'!C25))</x:f>
      </x:c>
      <x:c r="G238" s="2" t="str">
        <x:f>IF(B238="","",'Input_Meci'!E25)</x:f>
      </x:c>
      <x:c r="H238" s="2" t="str">
        <x:v>AWAY</x:v>
      </x:c>
      <x:c r="I238" s="2" t="str">
        <x:v>HA</x:v>
      </x:c>
      <x:c r="J238" s="9" t="n">
        <x:f>IF(AND(B238&lt;&gt;"",ISNUMBER('Input_Meci'!G25)),INT('Input_Meci'!G25),0)</x:f>
        <x:v>0</x:v>
      </x:c>
      <x:c r="K238" s="2" t="n">
        <x:f>IF(OR(B238="",F238=""),0,IF(H238="HOME",COUNTIFS('Istoric_Nativ'!$B$6:$B$405,E238,'Istoric_Nativ'!$C$6:$C$405,F238,'Istoric_Nativ'!$E$6:$E$405,G238,'Istoric_Nativ'!$D$6:$D$405,"&lt;"&amp;J238,'Istoric_Nativ'!$P$6:$P$405,1),IF(H238="AWAY",COUNTIFS('Istoric_Nativ'!$B$6:$B$405,E238,'Istoric_Nativ'!$C$6:$C$405,F238,'Istoric_Nativ'!$F$6:$F$405,G238,'Istoric_Nativ'!$D$6:$D$405,"&lt;"&amp;J238,'Istoric_Nativ'!$P$6:$P$405,1),COUNTIFS('Istoric_Nativ'!$B$6:$B$405,E238,'Istoric_Nativ'!$C$6:$C$405,F238,'Istoric_Nativ'!$E$6:$E$405,G238,'Istoric_Nativ'!$D$6:$D$405,"&lt;"&amp;J238,'Istoric_Nativ'!$P$6:$P$405,1)+COUNTIFS('Istoric_Nativ'!$B$6:$B$405,E238,'Istoric_Nativ'!$C$6:$C$405,F238,'Istoric_Nativ'!$F$6:$F$405,G238,'Istoric_Nativ'!$D$6:$D$405,"&lt;"&amp;J238,'Istoric_Nativ'!$P$6:$P$405,1))))</x:f>
        <x:v>0</x:v>
      </x:c>
      <x:c r="L238" s="17" t="n">
        <x:f>IF(AND(B238&lt;&gt;"",I238="RECENT",K238&gt;0),LARGE(_xlfn._xlws.FILTER('Istoric_Nativ'!$D$6:$D$405,('Istoric_Nativ'!$B$6:$B$405=E238)*('Istoric_Nativ'!$C$6:$C$405=F238)*('Istoric_Nativ'!$P$6:$P$405=1)*('Istoric_Nativ'!$D$6:$D$405&lt;J238)*((('Istoric_Nativ'!$E$6:$E$405=G238)+('Istoric_Nativ'!$F$6:$F$405=G238))&gt;0)),MIN('Config_v6'!$B$54,K238)),0)</x:f>
        <x:v>0</x:v>
      </x:c>
      <x:c r="M238" s="2" t="n">
        <x:f>IF(OR(B238="",F238=""),0,IF(H238="HOME",COUNTIFS('Istoric_Nativ'!$B$6:$B$405,E238,'Istoric_Nativ'!$C$6:$C$405,F238,'Istoric_Nativ'!$E$6:$E$405,G238,'Istoric_Nativ'!$D$6:$D$405,"&lt;"&amp;J238,'Istoric_Nativ'!$P$6:$P$405,1,'Istoric_Nativ'!$D$6:$D$405,"&gt;="&amp;L238),IF(H238="AWAY",COUNTIFS('Istoric_Nativ'!$B$6:$B$405,E238,'Istoric_Nativ'!$C$6:$C$405,F238,'Istoric_Nativ'!$F$6:$F$405,G238,'Istoric_Nativ'!$D$6:$D$405,"&lt;"&amp;J238,'Istoric_Nativ'!$P$6:$P$405,1,'Istoric_Nativ'!$D$6:$D$405,"&gt;="&amp;L238),COUNTIFS('Istoric_Nativ'!$B$6:$B$405,E238,'Istoric_Nativ'!$C$6:$C$405,F238,'Istoric_Nativ'!$E$6:$E$405,G238,'Istoric_Nativ'!$D$6:$D$405,"&lt;"&amp;J238,'Istoric_Nativ'!$P$6:$P$405,1,'Istoric_Nativ'!$D$6:$D$405,"&gt;="&amp;L238)+COUNTIFS('Istoric_Nativ'!$B$6:$B$405,E238,'Istoric_Nativ'!$C$6:$C$405,F238,'Istoric_Nativ'!$F$6:$F$405,G238,'Istoric_Nativ'!$D$6:$D$405,"&lt;"&amp;J238,'Istoric_Nativ'!$P$6:$P$405,1,'Istoric_Nativ'!$D$6:$D$405,"&gt;="&amp;L238))))</x:f>
        <x:v>0</x:v>
      </x:c>
      <x:c r="N238" s="11" t="str">
        <x:f>IF(M238=0,"",IF(H238="HOME",SUMIFS('Istoric_Nativ'!$G$6:$G$405,'Istoric_Nativ'!$B$6:$B$405,E238,'Istoric_Nativ'!$C$6:$C$405,F238,'Istoric_Nativ'!$E$6:$E$405,G238,'Istoric_Nativ'!$D$6:$D$405,"&lt;"&amp;J238,'Istoric_Nativ'!$P$6:$P$405,1,'Istoric_Nativ'!$D$6:$D$405,"&gt;="&amp;L238),IF(H238="AWAY",SUMIFS('Istoric_Nativ'!$H$6:$H$405,'Istoric_Nativ'!$B$6:$B$405,E238,'Istoric_Nativ'!$C$6:$C$405,F238,'Istoric_Nativ'!$F$6:$F$405,G238,'Istoric_Nativ'!$D$6:$D$405,"&lt;"&amp;J238,'Istoric_Nativ'!$P$6:$P$405,1,'Istoric_Nativ'!$D$6:$D$405,"&gt;="&amp;L238),SUMIFS('Istoric_Nativ'!$G$6:$G$405,'Istoric_Nativ'!$B$6:$B$405,E238,'Istoric_Nativ'!$C$6:$C$405,F238,'Istoric_Nativ'!$E$6:$E$405,G238,'Istoric_Nativ'!$D$6:$D$405,"&lt;"&amp;J238,'Istoric_Nativ'!$P$6:$P$405,1,'Istoric_Nativ'!$D$6:$D$405,"&gt;="&amp;L238)+SUMIFS('Istoric_Nativ'!$H$6:$H$405,'Istoric_Nativ'!$B$6:$B$405,E238,'Istoric_Nativ'!$C$6:$C$405,F238,'Istoric_Nativ'!$F$6:$F$405,G238,'Istoric_Nativ'!$D$6:$D$405,"&lt;"&amp;J238,'Istoric_Nativ'!$P$6:$P$405,1,'Istoric_Nativ'!$D$6:$D$405,"&gt;="&amp;L238)))/M238)</x:f>
      </x:c>
      <x:c r="O238" s="11" t="str">
        <x:f>IF(M238=0,"",IF(H238="HOME",SUMIFS('Istoric_Nativ'!$H$6:$H$405,'Istoric_Nativ'!$B$6:$B$405,E238,'Istoric_Nativ'!$C$6:$C$405,F238,'Istoric_Nativ'!$E$6:$E$405,G238,'Istoric_Nativ'!$D$6:$D$405,"&lt;"&amp;J238,'Istoric_Nativ'!$P$6:$P$405,1,'Istoric_Nativ'!$D$6:$D$405,"&gt;="&amp;L238),IF(H238="AWAY",SUMIFS('Istoric_Nativ'!$G$6:$G$405,'Istoric_Nativ'!$B$6:$B$405,E238,'Istoric_Nativ'!$C$6:$C$405,F238,'Istoric_Nativ'!$F$6:$F$405,G238,'Istoric_Nativ'!$D$6:$D$405,"&lt;"&amp;J238,'Istoric_Nativ'!$P$6:$P$405,1,'Istoric_Nativ'!$D$6:$D$405,"&gt;="&amp;L238),SUMIFS('Istoric_Nativ'!$H$6:$H$405,'Istoric_Nativ'!$B$6:$B$405,E238,'Istoric_Nativ'!$C$6:$C$405,F238,'Istoric_Nativ'!$E$6:$E$405,G238,'Istoric_Nativ'!$D$6:$D$405,"&lt;"&amp;J238,'Istoric_Nativ'!$P$6:$P$405,1,'Istoric_Nativ'!$D$6:$D$405,"&gt;="&amp;L238)+SUMIFS('Istoric_Nativ'!$G$6:$G$405,'Istoric_Nativ'!$B$6:$B$405,E238,'Istoric_Nativ'!$C$6:$C$405,F238,'Istoric_Nativ'!$F$6:$F$405,G238,'Istoric_Nativ'!$D$6:$D$405,"&lt;"&amp;J238,'Istoric_Nativ'!$P$6:$P$405,1,'Istoric_Nativ'!$D$6:$D$405,"&gt;="&amp;L238)))/M238)</x:f>
      </x:c>
      <x:c r="P238" s="2" t="n">
        <x:f>'Config_v6'!$B$8</x:f>
        <x:v>5</x:v>
      </x:c>
      <x:c r="Q238" s="2" t="n">
        <x:f>IF(OR(B238="",F238=""),0,IFERROR(MATCH(E238&amp;"|"&amp;F238,SourceTable[Source_Key],0),0))</x:f>
        <x:v>0</x:v>
      </x:c>
      <x:c r="R238" s="2" t="str">
        <x:f>IF(B238="","",IF(F238="","UNUSED",IF(Q238=0,"NOT CHECKED",IF(COUNTIF(SourceTable[Source_Key],E238&amp;"|"&amp;F238)&lt;&gt;1,"SOURCE CONFLICT",IF(NOT(OR(INDEX(SourceTable[Status],MAX(1,Q238))="IMPORTED",INDEX(SourceTable[Status],MAX(1,Q238))="PARTIAL",INDEX(SourceTable[Status],MAX(1,Q238))="SOURCE CONFLICT")),"ACCESS BLOCKED",IF(OR(INDEX(SourceTable[Coverage],Q238)&lt;&gt;"FULL SEASON EXPORT",INDEX(SourceTable[URL],Q238)="",INDEX(SourceTable[SHA256],Q238)=""),"EVIDENCE INCOMPLETE",IF(AND('Input_Meci'!H25="LIVE",INDEX(SourceTable[Retrieved_UTC],Q238)&gt;'Input_Meci'!G25),"POST CUTOFF","CLOSED")))))))</x:f>
      </x:c>
      <x:c r="S238" s="2" t="n">
        <x:f>IF(OR(B238="",F238=""),0,COUNTIFS('Istoric_Nativ'!$B$6:$B$405,E238,'Istoric_Nativ'!$C$6:$C$405,F238,'Istoric_Nativ'!$E$6:$E$405,G238,'Istoric_Nativ'!$D$6:$D$405,"&lt;"&amp;J238,'Istoric_Nativ'!$O$6:$O$405,"INVALID")+COUNTIFS('Istoric_Nativ'!$B$6:$B$405,E238,'Istoric_Nativ'!$C$6:$C$405,F238,'Istoric_Nativ'!$E$6:$E$405,G238,'Istoric_Nativ'!$O$6:$O$405,"INVALID",'Istoric_Nativ'!$D$6:$D$405,"*")+COUNTIFS('Istoric_Nativ'!$B$6:$B$405,E238,'Istoric_Nativ'!$C$6:$C$405,F238,'Istoric_Nativ'!$E$6:$E$405,G238,'Istoric_Nativ'!$D$6:$D$405,"&lt;"&amp;J238,'Istoric_Nativ'!$O$6:$O$405,"SOURCE CONFLICT")+COUNTIFS('Istoric_Nativ'!$B$6:$B$405,E238,'Istoric_Nativ'!$C$6:$C$405,F238,'Istoric_Nativ'!$F$6:$F$405,G238,'Istoric_Nativ'!$D$6:$D$405,"&lt;"&amp;J238,'Istoric_Nativ'!$O$6:$O$405,"INVALID")+COUNTIFS('Istoric_Nativ'!$B$6:$B$405,E238,'Istoric_Nativ'!$C$6:$C$405,F238,'Istoric_Nativ'!$F$6:$F$405,G238,'Istoric_Nativ'!$O$6:$O$405,"INVALID",'Istoric_Nativ'!$D$6:$D$405,"*")+COUNTIFS('Istoric_Nativ'!$B$6:$B$405,E238,'Istoric_Nativ'!$C$6:$C$405,F238,'Istoric_Nativ'!$F$6:$F$405,G238,'Istoric_Nativ'!$D$6:$D$405,"&lt;"&amp;J238,'Istoric_Nativ'!$O$6:$O$405,"SOURCE CONFLICT"))</x:f>
        <x:v>0</x:v>
      </x:c>
      <x:c r="T238" s="2" t="str">
        <x:f>IF(B238="","",IF(R238&lt;&gt;"CLOSED",R238,IF(S238&gt;0,"NATIVE INPUT ISSUE",IF(M238=0,"NO HISTORY",IF(M238&lt;P238,"SMALL SAMPLE","DERIVED")))))</x:f>
      </x:c>
      <x:c r="U238" s="2" t="str">
        <x:f>IF(B238="","","NativeTable; "&amp;E238&amp;"; "&amp;F238&amp;"; "&amp;G238&amp;"; "&amp;H238&amp;"; before "&amp;TEXT(J238,"yyyy-mm-dd")&amp;IF(I238="RECENT","; from "&amp;TEXT(L238,"yyyy-mm-dd"),""))</x:f>
      </x:c>
    </x:row>
    <x:row r="239" ht="21" customHeight="1">
      <x:c r="A239" s="2" t="n">
        <x:v>20</x:v>
      </x:c>
      <x:c r="B239" s="2" t="str">
        <x:f>IF('Input_Meci'!A25="","",'Input_Meci'!A25)</x:f>
      </x:c>
      <x:c r="C239" s="2" t="str">
        <x:v>A</x:v>
      </x:c>
      <x:c r="D239" s="2" t="str">
        <x:v>CURRENT</x:v>
      </x:c>
      <x:c r="E239" s="2" t="str">
        <x:f>IF(B239="","",'Input_Meci'!B25)</x:f>
      </x:c>
      <x:c r="F239" s="2" t="str">
        <x:f>IF(B239="","",IF('Input_Meci'!C25="","",'Input_Meci'!C25))</x:f>
      </x:c>
      <x:c r="G239" s="2" t="str">
        <x:f>IF(B239="","",'Input_Meci'!E25)</x:f>
      </x:c>
      <x:c r="H239" s="2" t="str">
        <x:v>ANY</x:v>
      </x:c>
      <x:c r="I239" s="2" t="str">
        <x:v>RECENT</x:v>
      </x:c>
      <x:c r="J239" s="9" t="n">
        <x:f>IF(AND(B239&lt;&gt;"",ISNUMBER('Input_Meci'!G25)),INT('Input_Meci'!G25),0)</x:f>
        <x:v>0</x:v>
      </x:c>
      <x:c r="K239" s="2" t="n">
        <x:f>IF(OR(B239="",F239=""),0,IF(H239="HOME",COUNTIFS('Istoric_Nativ'!$B$6:$B$405,E239,'Istoric_Nativ'!$C$6:$C$405,F239,'Istoric_Nativ'!$E$6:$E$405,G239,'Istoric_Nativ'!$D$6:$D$405,"&lt;"&amp;J239,'Istoric_Nativ'!$P$6:$P$405,1),IF(H239="AWAY",COUNTIFS('Istoric_Nativ'!$B$6:$B$405,E239,'Istoric_Nativ'!$C$6:$C$405,F239,'Istoric_Nativ'!$F$6:$F$405,G239,'Istoric_Nativ'!$D$6:$D$405,"&lt;"&amp;J239,'Istoric_Nativ'!$P$6:$P$405,1),COUNTIFS('Istoric_Nativ'!$B$6:$B$405,E239,'Istoric_Nativ'!$C$6:$C$405,F239,'Istoric_Nativ'!$E$6:$E$405,G239,'Istoric_Nativ'!$D$6:$D$405,"&lt;"&amp;J239,'Istoric_Nativ'!$P$6:$P$405,1)+COUNTIFS('Istoric_Nativ'!$B$6:$B$405,E239,'Istoric_Nativ'!$C$6:$C$405,F239,'Istoric_Nativ'!$F$6:$F$405,G239,'Istoric_Nativ'!$D$6:$D$405,"&lt;"&amp;J239,'Istoric_Nativ'!$P$6:$P$405,1))))</x:f>
        <x:v>0</x:v>
      </x:c>
      <x:c r="L239" s="17" t="n">
        <x:f>IF(AND(B239&lt;&gt;"",I239="RECENT",K239&gt;0),LARGE(_xlfn._xlws.FILTER('Istoric_Nativ'!$D$6:$D$405,('Istoric_Nativ'!$B$6:$B$405=E239)*('Istoric_Nativ'!$C$6:$C$405=F239)*('Istoric_Nativ'!$P$6:$P$405=1)*('Istoric_Nativ'!$D$6:$D$405&lt;J239)*((('Istoric_Nativ'!$E$6:$E$405=G239)+('Istoric_Nativ'!$F$6:$F$405=G239))&gt;0)),MIN('Config_v6'!$B$54,K239)),0)</x:f>
        <x:v>0</x:v>
      </x:c>
      <x:c r="M239" s="2" t="n">
        <x:f>IF(OR(B239="",F239=""),0,IF(H239="HOME",COUNTIFS('Istoric_Nativ'!$B$6:$B$405,E239,'Istoric_Nativ'!$C$6:$C$405,F239,'Istoric_Nativ'!$E$6:$E$405,G239,'Istoric_Nativ'!$D$6:$D$405,"&lt;"&amp;J239,'Istoric_Nativ'!$P$6:$P$405,1,'Istoric_Nativ'!$D$6:$D$405,"&gt;="&amp;L239),IF(H239="AWAY",COUNTIFS('Istoric_Nativ'!$B$6:$B$405,E239,'Istoric_Nativ'!$C$6:$C$405,F239,'Istoric_Nativ'!$F$6:$F$405,G239,'Istoric_Nativ'!$D$6:$D$405,"&lt;"&amp;J239,'Istoric_Nativ'!$P$6:$P$405,1,'Istoric_Nativ'!$D$6:$D$405,"&gt;="&amp;L239),COUNTIFS('Istoric_Nativ'!$B$6:$B$405,E239,'Istoric_Nativ'!$C$6:$C$405,F239,'Istoric_Nativ'!$E$6:$E$405,G239,'Istoric_Nativ'!$D$6:$D$405,"&lt;"&amp;J239,'Istoric_Nativ'!$P$6:$P$405,1,'Istoric_Nativ'!$D$6:$D$405,"&gt;="&amp;L239)+COUNTIFS('Istoric_Nativ'!$B$6:$B$405,E239,'Istoric_Nativ'!$C$6:$C$405,F239,'Istoric_Nativ'!$F$6:$F$405,G239,'Istoric_Nativ'!$D$6:$D$405,"&lt;"&amp;J239,'Istoric_Nativ'!$P$6:$P$405,1,'Istoric_Nativ'!$D$6:$D$405,"&gt;="&amp;L239))))</x:f>
        <x:v>0</x:v>
      </x:c>
      <x:c r="N239" s="11" t="str">
        <x:f>IF(M239=0,"",IF(H239="HOME",SUMIFS('Istoric_Nativ'!$G$6:$G$405,'Istoric_Nativ'!$B$6:$B$405,E239,'Istoric_Nativ'!$C$6:$C$405,F239,'Istoric_Nativ'!$E$6:$E$405,G239,'Istoric_Nativ'!$D$6:$D$405,"&lt;"&amp;J239,'Istoric_Nativ'!$P$6:$P$405,1,'Istoric_Nativ'!$D$6:$D$405,"&gt;="&amp;L239),IF(H239="AWAY",SUMIFS('Istoric_Nativ'!$H$6:$H$405,'Istoric_Nativ'!$B$6:$B$405,E239,'Istoric_Nativ'!$C$6:$C$405,F239,'Istoric_Nativ'!$F$6:$F$405,G239,'Istoric_Nativ'!$D$6:$D$405,"&lt;"&amp;J239,'Istoric_Nativ'!$P$6:$P$405,1,'Istoric_Nativ'!$D$6:$D$405,"&gt;="&amp;L239),SUMIFS('Istoric_Nativ'!$G$6:$G$405,'Istoric_Nativ'!$B$6:$B$405,E239,'Istoric_Nativ'!$C$6:$C$405,F239,'Istoric_Nativ'!$E$6:$E$405,G239,'Istoric_Nativ'!$D$6:$D$405,"&lt;"&amp;J239,'Istoric_Nativ'!$P$6:$P$405,1,'Istoric_Nativ'!$D$6:$D$405,"&gt;="&amp;L239)+SUMIFS('Istoric_Nativ'!$H$6:$H$405,'Istoric_Nativ'!$B$6:$B$405,E239,'Istoric_Nativ'!$C$6:$C$405,F239,'Istoric_Nativ'!$F$6:$F$405,G239,'Istoric_Nativ'!$D$6:$D$405,"&lt;"&amp;J239,'Istoric_Nativ'!$P$6:$P$405,1,'Istoric_Nativ'!$D$6:$D$405,"&gt;="&amp;L239)))/M239)</x:f>
      </x:c>
      <x:c r="O239" s="11" t="str">
        <x:f>IF(M239=0,"",IF(H239="HOME",SUMIFS('Istoric_Nativ'!$H$6:$H$405,'Istoric_Nativ'!$B$6:$B$405,E239,'Istoric_Nativ'!$C$6:$C$405,F239,'Istoric_Nativ'!$E$6:$E$405,G239,'Istoric_Nativ'!$D$6:$D$405,"&lt;"&amp;J239,'Istoric_Nativ'!$P$6:$P$405,1,'Istoric_Nativ'!$D$6:$D$405,"&gt;="&amp;L239),IF(H239="AWAY",SUMIFS('Istoric_Nativ'!$G$6:$G$405,'Istoric_Nativ'!$B$6:$B$405,E239,'Istoric_Nativ'!$C$6:$C$405,F239,'Istoric_Nativ'!$F$6:$F$405,G239,'Istoric_Nativ'!$D$6:$D$405,"&lt;"&amp;J239,'Istoric_Nativ'!$P$6:$P$405,1,'Istoric_Nativ'!$D$6:$D$405,"&gt;="&amp;L239),SUMIFS('Istoric_Nativ'!$H$6:$H$405,'Istoric_Nativ'!$B$6:$B$405,E239,'Istoric_Nativ'!$C$6:$C$405,F239,'Istoric_Nativ'!$E$6:$E$405,G239,'Istoric_Nativ'!$D$6:$D$405,"&lt;"&amp;J239,'Istoric_Nativ'!$P$6:$P$405,1,'Istoric_Nativ'!$D$6:$D$405,"&gt;="&amp;L239)+SUMIFS('Istoric_Nativ'!$G$6:$G$405,'Istoric_Nativ'!$B$6:$B$405,E239,'Istoric_Nativ'!$C$6:$C$405,F239,'Istoric_Nativ'!$F$6:$F$405,G239,'Istoric_Nativ'!$D$6:$D$405,"&lt;"&amp;J239,'Istoric_Nativ'!$P$6:$P$405,1,'Istoric_Nativ'!$D$6:$D$405,"&gt;="&amp;L239)))/M239)</x:f>
      </x:c>
      <x:c r="P239" s="2" t="n">
        <x:f>'Config_v6'!$B$9</x:f>
        <x:v>3</x:v>
      </x:c>
      <x:c r="Q239" s="2" t="n">
        <x:f>IF(OR(B239="",F239=""),0,IFERROR(MATCH(E239&amp;"|"&amp;F239,SourceTable[Source_Key],0),0))</x:f>
        <x:v>0</x:v>
      </x:c>
      <x:c r="R239" s="2" t="str">
        <x:f>IF(B239="","",IF(F239="","UNUSED",IF(Q239=0,"NOT CHECKED",IF(COUNTIF(SourceTable[Source_Key],E239&amp;"|"&amp;F239)&lt;&gt;1,"SOURCE CONFLICT",IF(NOT(OR(INDEX(SourceTable[Status],MAX(1,Q239))="IMPORTED",INDEX(SourceTable[Status],MAX(1,Q239))="PARTIAL",INDEX(SourceTable[Status],MAX(1,Q239))="SOURCE CONFLICT")),"ACCESS BLOCKED",IF(OR(INDEX(SourceTable[Coverage],Q239)&lt;&gt;"FULL SEASON EXPORT",INDEX(SourceTable[URL],Q239)="",INDEX(SourceTable[SHA256],Q239)=""),"EVIDENCE INCOMPLETE",IF(AND('Input_Meci'!H25="LIVE",INDEX(SourceTable[Retrieved_UTC],Q239)&gt;'Input_Meci'!G25),"POST CUTOFF","CLOSED")))))))</x:f>
      </x:c>
      <x:c r="S239" s="2" t="n">
        <x:f>IF(OR(B239="",F239=""),0,COUNTIFS('Istoric_Nativ'!$B$6:$B$405,E239,'Istoric_Nativ'!$C$6:$C$405,F239,'Istoric_Nativ'!$E$6:$E$405,G239,'Istoric_Nativ'!$D$6:$D$405,"&lt;"&amp;J239,'Istoric_Nativ'!$O$6:$O$405,"INVALID")+COUNTIFS('Istoric_Nativ'!$B$6:$B$405,E239,'Istoric_Nativ'!$C$6:$C$405,F239,'Istoric_Nativ'!$E$6:$E$405,G239,'Istoric_Nativ'!$O$6:$O$405,"INVALID",'Istoric_Nativ'!$D$6:$D$405,"*")+COUNTIFS('Istoric_Nativ'!$B$6:$B$405,E239,'Istoric_Nativ'!$C$6:$C$405,F239,'Istoric_Nativ'!$E$6:$E$405,G239,'Istoric_Nativ'!$D$6:$D$405,"&lt;"&amp;J239,'Istoric_Nativ'!$O$6:$O$405,"SOURCE CONFLICT")+COUNTIFS('Istoric_Nativ'!$B$6:$B$405,E239,'Istoric_Nativ'!$C$6:$C$405,F239,'Istoric_Nativ'!$F$6:$F$405,G239,'Istoric_Nativ'!$D$6:$D$405,"&lt;"&amp;J239,'Istoric_Nativ'!$O$6:$O$405,"INVALID")+COUNTIFS('Istoric_Nativ'!$B$6:$B$405,E239,'Istoric_Nativ'!$C$6:$C$405,F239,'Istoric_Nativ'!$F$6:$F$405,G239,'Istoric_Nativ'!$O$6:$O$405,"INVALID",'Istoric_Nativ'!$D$6:$D$405,"*")+COUNTIFS('Istoric_Nativ'!$B$6:$B$405,E239,'Istoric_Nativ'!$C$6:$C$405,F239,'Istoric_Nativ'!$F$6:$F$405,G239,'Istoric_Nativ'!$D$6:$D$405,"&lt;"&amp;J239,'Istoric_Nativ'!$O$6:$O$405,"SOURCE CONFLICT"))</x:f>
        <x:v>0</x:v>
      </x:c>
      <x:c r="T239" s="2" t="str">
        <x:f>IF(B239="","",IF(R239&lt;&gt;"CLOSED",R239,IF(S239&gt;0,"NATIVE INPUT ISSUE",IF(M239=0,"NO HISTORY",IF(M239&lt;P239,"SMALL SAMPLE","DERIVED")))))</x:f>
      </x:c>
      <x:c r="U239" s="2" t="str">
        <x:f>IF(B239="","","NativeTable; "&amp;E239&amp;"; "&amp;F239&amp;"; "&amp;G239&amp;"; "&amp;H239&amp;"; before "&amp;TEXT(J239,"yyyy-mm-dd")&amp;IF(I239="RECENT","; from "&amp;TEXT(L239,"yyyy-mm-dd"),""))</x:f>
      </x:c>
    </x:row>
    <x:row r="240" ht="21" customHeight="1">
      <x:c r="A240" s="2" t="n">
        <x:v>20</x:v>
      </x:c>
      <x:c r="B240" s="2" t="str">
        <x:f>IF('Input_Meci'!A25="","",'Input_Meci'!A25)</x:f>
      </x:c>
      <x:c r="C240" s="2" t="str">
        <x:v>H</x:v>
      </x:c>
      <x:c r="D240" s="2" t="str">
        <x:v>PRIOR</x:v>
      </x:c>
      <x:c r="E240" s="2" t="str">
        <x:f>IF(B240="","",'Input_Meci'!B25)</x:f>
      </x:c>
      <x:c r="F240" s="2" t="str">
        <x:f>IF(B240="","",IF('Input_Meci'!K25="","",'Input_Meci'!K25))</x:f>
      </x:c>
      <x:c r="G240" s="2" t="str">
        <x:f>IF(B240="","",'Input_Meci'!D25)</x:f>
      </x:c>
      <x:c r="H240" s="2" t="str">
        <x:v>ANY</x:v>
      </x:c>
      <x:c r="I240" s="2" t="str">
        <x:v>SEASON</x:v>
      </x:c>
      <x:c r="J240" s="9" t="n">
        <x:f>IF(AND(B240&lt;&gt;"",ISNUMBER('Input_Meci'!G25)),INT('Input_Meci'!G25),0)</x:f>
        <x:v>0</x:v>
      </x:c>
      <x:c r="K240" s="2" t="n">
        <x:f>IF(OR(B240="",F240=""),0,IF(H240="HOME",COUNTIFS('Istoric_Nativ'!$B$6:$B$405,E240,'Istoric_Nativ'!$C$6:$C$405,F240,'Istoric_Nativ'!$E$6:$E$405,G240,'Istoric_Nativ'!$D$6:$D$405,"&lt;"&amp;J240,'Istoric_Nativ'!$P$6:$P$405,1),IF(H240="AWAY",COUNTIFS('Istoric_Nativ'!$B$6:$B$405,E240,'Istoric_Nativ'!$C$6:$C$405,F240,'Istoric_Nativ'!$F$6:$F$405,G240,'Istoric_Nativ'!$D$6:$D$405,"&lt;"&amp;J240,'Istoric_Nativ'!$P$6:$P$405,1),COUNTIFS('Istoric_Nativ'!$B$6:$B$405,E240,'Istoric_Nativ'!$C$6:$C$405,F240,'Istoric_Nativ'!$E$6:$E$405,G240,'Istoric_Nativ'!$D$6:$D$405,"&lt;"&amp;J240,'Istoric_Nativ'!$P$6:$P$405,1)+COUNTIFS('Istoric_Nativ'!$B$6:$B$405,E240,'Istoric_Nativ'!$C$6:$C$405,F240,'Istoric_Nativ'!$F$6:$F$405,G240,'Istoric_Nativ'!$D$6:$D$405,"&lt;"&amp;J240,'Istoric_Nativ'!$P$6:$P$405,1))))</x:f>
        <x:v>0</x:v>
      </x:c>
      <x:c r="L240" s="17" t="n">
        <x:f>IF(AND(B240&lt;&gt;"",I240="RECENT",K240&gt;0),LARGE(_xlfn._xlws.FILTER('Istoric_Nativ'!$D$6:$D$405,('Istoric_Nativ'!$B$6:$B$405=E240)*('Istoric_Nativ'!$C$6:$C$405=F240)*('Istoric_Nativ'!$P$6:$P$405=1)*('Istoric_Nativ'!$D$6:$D$405&lt;J240)*((('Istoric_Nativ'!$E$6:$E$405=G240)+('Istoric_Nativ'!$F$6:$F$405=G240))&gt;0)),MIN('Config_v6'!$B$54,K240)),0)</x:f>
        <x:v>0</x:v>
      </x:c>
      <x:c r="M240" s="2" t="n">
        <x:f>IF(OR(B240="",F240=""),0,IF(H240="HOME",COUNTIFS('Istoric_Nativ'!$B$6:$B$405,E240,'Istoric_Nativ'!$C$6:$C$405,F240,'Istoric_Nativ'!$E$6:$E$405,G240,'Istoric_Nativ'!$D$6:$D$405,"&lt;"&amp;J240,'Istoric_Nativ'!$P$6:$P$405,1,'Istoric_Nativ'!$D$6:$D$405,"&gt;="&amp;L240),IF(H240="AWAY",COUNTIFS('Istoric_Nativ'!$B$6:$B$405,E240,'Istoric_Nativ'!$C$6:$C$405,F240,'Istoric_Nativ'!$F$6:$F$405,G240,'Istoric_Nativ'!$D$6:$D$405,"&lt;"&amp;J240,'Istoric_Nativ'!$P$6:$P$405,1,'Istoric_Nativ'!$D$6:$D$405,"&gt;="&amp;L240),COUNTIFS('Istoric_Nativ'!$B$6:$B$405,E240,'Istoric_Nativ'!$C$6:$C$405,F240,'Istoric_Nativ'!$E$6:$E$405,G240,'Istoric_Nativ'!$D$6:$D$405,"&lt;"&amp;J240,'Istoric_Nativ'!$P$6:$P$405,1,'Istoric_Nativ'!$D$6:$D$405,"&gt;="&amp;L240)+COUNTIFS('Istoric_Nativ'!$B$6:$B$405,E240,'Istoric_Nativ'!$C$6:$C$405,F240,'Istoric_Nativ'!$F$6:$F$405,G240,'Istoric_Nativ'!$D$6:$D$405,"&lt;"&amp;J240,'Istoric_Nativ'!$P$6:$P$405,1,'Istoric_Nativ'!$D$6:$D$405,"&gt;="&amp;L240))))</x:f>
        <x:v>0</x:v>
      </x:c>
      <x:c r="N240" s="11" t="str">
        <x:f>IF(M240=0,"",IF(H240="HOME",SUMIFS('Istoric_Nativ'!$G$6:$G$405,'Istoric_Nativ'!$B$6:$B$405,E240,'Istoric_Nativ'!$C$6:$C$405,F240,'Istoric_Nativ'!$E$6:$E$405,G240,'Istoric_Nativ'!$D$6:$D$405,"&lt;"&amp;J240,'Istoric_Nativ'!$P$6:$P$405,1,'Istoric_Nativ'!$D$6:$D$405,"&gt;="&amp;L240),IF(H240="AWAY",SUMIFS('Istoric_Nativ'!$H$6:$H$405,'Istoric_Nativ'!$B$6:$B$405,E240,'Istoric_Nativ'!$C$6:$C$405,F240,'Istoric_Nativ'!$F$6:$F$405,G240,'Istoric_Nativ'!$D$6:$D$405,"&lt;"&amp;J240,'Istoric_Nativ'!$P$6:$P$405,1,'Istoric_Nativ'!$D$6:$D$405,"&gt;="&amp;L240),SUMIFS('Istoric_Nativ'!$G$6:$G$405,'Istoric_Nativ'!$B$6:$B$405,E240,'Istoric_Nativ'!$C$6:$C$405,F240,'Istoric_Nativ'!$E$6:$E$405,G240,'Istoric_Nativ'!$D$6:$D$405,"&lt;"&amp;J240,'Istoric_Nativ'!$P$6:$P$405,1,'Istoric_Nativ'!$D$6:$D$405,"&gt;="&amp;L240)+SUMIFS('Istoric_Nativ'!$H$6:$H$405,'Istoric_Nativ'!$B$6:$B$405,E240,'Istoric_Nativ'!$C$6:$C$405,F240,'Istoric_Nativ'!$F$6:$F$405,G240,'Istoric_Nativ'!$D$6:$D$405,"&lt;"&amp;J240,'Istoric_Nativ'!$P$6:$P$405,1,'Istoric_Nativ'!$D$6:$D$405,"&gt;="&amp;L240)))/M240)</x:f>
      </x:c>
      <x:c r="O240" s="11" t="str">
        <x:f>IF(M240=0,"",IF(H240="HOME",SUMIFS('Istoric_Nativ'!$H$6:$H$405,'Istoric_Nativ'!$B$6:$B$405,E240,'Istoric_Nativ'!$C$6:$C$405,F240,'Istoric_Nativ'!$E$6:$E$405,G240,'Istoric_Nativ'!$D$6:$D$405,"&lt;"&amp;J240,'Istoric_Nativ'!$P$6:$P$405,1,'Istoric_Nativ'!$D$6:$D$405,"&gt;="&amp;L240),IF(H240="AWAY",SUMIFS('Istoric_Nativ'!$G$6:$G$405,'Istoric_Nativ'!$B$6:$B$405,E240,'Istoric_Nativ'!$C$6:$C$405,F240,'Istoric_Nativ'!$F$6:$F$405,G240,'Istoric_Nativ'!$D$6:$D$405,"&lt;"&amp;J240,'Istoric_Nativ'!$P$6:$P$405,1,'Istoric_Nativ'!$D$6:$D$405,"&gt;="&amp;L240),SUMIFS('Istoric_Nativ'!$H$6:$H$405,'Istoric_Nativ'!$B$6:$B$405,E240,'Istoric_Nativ'!$C$6:$C$405,F240,'Istoric_Nativ'!$E$6:$E$405,G240,'Istoric_Nativ'!$D$6:$D$405,"&lt;"&amp;J240,'Istoric_Nativ'!$P$6:$P$405,1,'Istoric_Nativ'!$D$6:$D$405,"&gt;="&amp;L240)+SUMIFS('Istoric_Nativ'!$G$6:$G$405,'Istoric_Nativ'!$B$6:$B$405,E240,'Istoric_Nativ'!$C$6:$C$405,F240,'Istoric_Nativ'!$F$6:$F$405,G240,'Istoric_Nativ'!$D$6:$D$405,"&lt;"&amp;J240,'Istoric_Nativ'!$P$6:$P$405,1,'Istoric_Nativ'!$D$6:$D$405,"&gt;="&amp;L240)))/M240)</x:f>
      </x:c>
      <x:c r="P240" s="2" t="n">
        <x:f>'Config_v6'!$B$7</x:f>
        <x:v>10</x:v>
      </x:c>
      <x:c r="Q240" s="2" t="n">
        <x:f>IF(OR(B240="",F240=""),0,IFERROR(MATCH(E240&amp;"|"&amp;F240,SourceTable[Source_Key],0),0))</x:f>
        <x:v>0</x:v>
      </x:c>
      <x:c r="R240" s="2" t="str">
        <x:f>IF(B240="","",IF(F240="","UNUSED",IF(Q240=0,"NOT CHECKED",IF(COUNTIF(SourceTable[Source_Key],E240&amp;"|"&amp;F240)&lt;&gt;1,"SOURCE CONFLICT",IF(NOT(OR(INDEX(SourceTable[Status],MAX(1,Q240))="IMPORTED",INDEX(SourceTable[Status],MAX(1,Q240))="PARTIAL",INDEX(SourceTable[Status],MAX(1,Q240))="SOURCE CONFLICT")),"ACCESS BLOCKED",IF(OR(INDEX(SourceTable[Coverage],Q240)&lt;&gt;"FULL SEASON EXPORT",INDEX(SourceTable[URL],Q240)="",INDEX(SourceTable[SHA256],Q240)=""),"EVIDENCE INCOMPLETE",IF(AND('Input_Meci'!H25="LIVE",INDEX(SourceTable[Retrieved_UTC],Q240)&gt;'Input_Meci'!G25),"POST CUTOFF","CLOSED")))))))</x:f>
      </x:c>
      <x:c r="S240" s="2" t="n">
        <x:f>IF(OR(B240="",F240=""),0,COUNTIFS('Istoric_Nativ'!$B$6:$B$405,E240,'Istoric_Nativ'!$C$6:$C$405,F240,'Istoric_Nativ'!$E$6:$E$405,G240,'Istoric_Nativ'!$D$6:$D$405,"&lt;"&amp;J240,'Istoric_Nativ'!$O$6:$O$405,"INVALID")+COUNTIFS('Istoric_Nativ'!$B$6:$B$405,E240,'Istoric_Nativ'!$C$6:$C$405,F240,'Istoric_Nativ'!$E$6:$E$405,G240,'Istoric_Nativ'!$O$6:$O$405,"INVALID",'Istoric_Nativ'!$D$6:$D$405,"*")+COUNTIFS('Istoric_Nativ'!$B$6:$B$405,E240,'Istoric_Nativ'!$C$6:$C$405,F240,'Istoric_Nativ'!$E$6:$E$405,G240,'Istoric_Nativ'!$D$6:$D$405,"&lt;"&amp;J240,'Istoric_Nativ'!$O$6:$O$405,"SOURCE CONFLICT")+COUNTIFS('Istoric_Nativ'!$B$6:$B$405,E240,'Istoric_Nativ'!$C$6:$C$405,F240,'Istoric_Nativ'!$F$6:$F$405,G240,'Istoric_Nativ'!$D$6:$D$405,"&lt;"&amp;J240,'Istoric_Nativ'!$O$6:$O$405,"INVALID")+COUNTIFS('Istoric_Nativ'!$B$6:$B$405,E240,'Istoric_Nativ'!$C$6:$C$405,F240,'Istoric_Nativ'!$F$6:$F$405,G240,'Istoric_Nativ'!$O$6:$O$405,"INVALID",'Istoric_Nativ'!$D$6:$D$405,"*")+COUNTIFS('Istoric_Nativ'!$B$6:$B$405,E240,'Istoric_Nativ'!$C$6:$C$405,F240,'Istoric_Nativ'!$F$6:$F$405,G240,'Istoric_Nativ'!$D$6:$D$405,"&lt;"&amp;J240,'Istoric_Nativ'!$O$6:$O$405,"SOURCE CONFLICT"))</x:f>
        <x:v>0</x:v>
      </x:c>
      <x:c r="T240" s="2" t="str">
        <x:f>IF(B240="","",IF(R240&lt;&gt;"CLOSED",R240,IF(S240&gt;0,"NATIVE INPUT ISSUE",IF(M240=0,"NO HISTORY",IF(M240&lt;P240,"SMALL SAMPLE","DERIVED")))))</x:f>
      </x:c>
      <x:c r="U240" s="2" t="str">
        <x:f>IF(B240="","","NativeTable; "&amp;E240&amp;"; "&amp;F240&amp;"; "&amp;G240&amp;"; "&amp;H240&amp;"; before "&amp;TEXT(J240,"yyyy-mm-dd")&amp;IF(I240="RECENT","; from "&amp;TEXT(L240,"yyyy-mm-dd"),""))</x:f>
      </x:c>
    </x:row>
    <x:row r="241" ht="21" customHeight="1">
      <x:c r="A241" s="2" t="n">
        <x:v>20</x:v>
      </x:c>
      <x:c r="B241" s="2" t="str">
        <x:f>IF('Input_Meci'!A25="","",'Input_Meci'!A25)</x:f>
      </x:c>
      <x:c r="C241" s="2" t="str">
        <x:v>H</x:v>
      </x:c>
      <x:c r="D241" s="2" t="str">
        <x:v>PRIOR</x:v>
      </x:c>
      <x:c r="E241" s="2" t="str">
        <x:f>IF(B241="","",'Input_Meci'!B25)</x:f>
      </x:c>
      <x:c r="F241" s="2" t="str">
        <x:f>IF(B241="","",IF('Input_Meci'!K25="","",'Input_Meci'!K25))</x:f>
      </x:c>
      <x:c r="G241" s="2" t="str">
        <x:f>IF(B241="","",'Input_Meci'!D25)</x:f>
      </x:c>
      <x:c r="H241" s="2" t="str">
        <x:v>HOME</x:v>
      </x:c>
      <x:c r="I241" s="2" t="str">
        <x:v>HA</x:v>
      </x:c>
      <x:c r="J241" s="9" t="n">
        <x:f>IF(AND(B241&lt;&gt;"",ISNUMBER('Input_Meci'!G25)),INT('Input_Meci'!G25),0)</x:f>
        <x:v>0</x:v>
      </x:c>
      <x:c r="K241" s="2" t="n">
        <x:f>IF(OR(B241="",F241=""),0,IF(H241="HOME",COUNTIFS('Istoric_Nativ'!$B$6:$B$405,E241,'Istoric_Nativ'!$C$6:$C$405,F241,'Istoric_Nativ'!$E$6:$E$405,G241,'Istoric_Nativ'!$D$6:$D$405,"&lt;"&amp;J241,'Istoric_Nativ'!$P$6:$P$405,1),IF(H241="AWAY",COUNTIFS('Istoric_Nativ'!$B$6:$B$405,E241,'Istoric_Nativ'!$C$6:$C$405,F241,'Istoric_Nativ'!$F$6:$F$405,G241,'Istoric_Nativ'!$D$6:$D$405,"&lt;"&amp;J241,'Istoric_Nativ'!$P$6:$P$405,1),COUNTIFS('Istoric_Nativ'!$B$6:$B$405,E241,'Istoric_Nativ'!$C$6:$C$405,F241,'Istoric_Nativ'!$E$6:$E$405,G241,'Istoric_Nativ'!$D$6:$D$405,"&lt;"&amp;J241,'Istoric_Nativ'!$P$6:$P$405,1)+COUNTIFS('Istoric_Nativ'!$B$6:$B$405,E241,'Istoric_Nativ'!$C$6:$C$405,F241,'Istoric_Nativ'!$F$6:$F$405,G241,'Istoric_Nativ'!$D$6:$D$405,"&lt;"&amp;J241,'Istoric_Nativ'!$P$6:$P$405,1))))</x:f>
        <x:v>0</x:v>
      </x:c>
      <x:c r="L241" s="17" t="n">
        <x:f>IF(AND(B241&lt;&gt;"",I241="RECENT",K241&gt;0),LARGE(_xlfn._xlws.FILTER('Istoric_Nativ'!$D$6:$D$405,('Istoric_Nativ'!$B$6:$B$405=E241)*('Istoric_Nativ'!$C$6:$C$405=F241)*('Istoric_Nativ'!$P$6:$P$405=1)*('Istoric_Nativ'!$D$6:$D$405&lt;J241)*((('Istoric_Nativ'!$E$6:$E$405=G241)+('Istoric_Nativ'!$F$6:$F$405=G241))&gt;0)),MIN('Config_v6'!$B$54,K241)),0)</x:f>
        <x:v>0</x:v>
      </x:c>
      <x:c r="M241" s="2" t="n">
        <x:f>IF(OR(B241="",F241=""),0,IF(H241="HOME",COUNTIFS('Istoric_Nativ'!$B$6:$B$405,E241,'Istoric_Nativ'!$C$6:$C$405,F241,'Istoric_Nativ'!$E$6:$E$405,G241,'Istoric_Nativ'!$D$6:$D$405,"&lt;"&amp;J241,'Istoric_Nativ'!$P$6:$P$405,1,'Istoric_Nativ'!$D$6:$D$405,"&gt;="&amp;L241),IF(H241="AWAY",COUNTIFS('Istoric_Nativ'!$B$6:$B$405,E241,'Istoric_Nativ'!$C$6:$C$405,F241,'Istoric_Nativ'!$F$6:$F$405,G241,'Istoric_Nativ'!$D$6:$D$405,"&lt;"&amp;J241,'Istoric_Nativ'!$P$6:$P$405,1,'Istoric_Nativ'!$D$6:$D$405,"&gt;="&amp;L241),COUNTIFS('Istoric_Nativ'!$B$6:$B$405,E241,'Istoric_Nativ'!$C$6:$C$405,F241,'Istoric_Nativ'!$E$6:$E$405,G241,'Istoric_Nativ'!$D$6:$D$405,"&lt;"&amp;J241,'Istoric_Nativ'!$P$6:$P$405,1,'Istoric_Nativ'!$D$6:$D$405,"&gt;="&amp;L241)+COUNTIFS('Istoric_Nativ'!$B$6:$B$405,E241,'Istoric_Nativ'!$C$6:$C$405,F241,'Istoric_Nativ'!$F$6:$F$405,G241,'Istoric_Nativ'!$D$6:$D$405,"&lt;"&amp;J241,'Istoric_Nativ'!$P$6:$P$405,1,'Istoric_Nativ'!$D$6:$D$405,"&gt;="&amp;L241))))</x:f>
        <x:v>0</x:v>
      </x:c>
      <x:c r="N241" s="11" t="str">
        <x:f>IF(M241=0,"",IF(H241="HOME",SUMIFS('Istoric_Nativ'!$G$6:$G$405,'Istoric_Nativ'!$B$6:$B$405,E241,'Istoric_Nativ'!$C$6:$C$405,F241,'Istoric_Nativ'!$E$6:$E$405,G241,'Istoric_Nativ'!$D$6:$D$405,"&lt;"&amp;J241,'Istoric_Nativ'!$P$6:$P$405,1,'Istoric_Nativ'!$D$6:$D$405,"&gt;="&amp;L241),IF(H241="AWAY",SUMIFS('Istoric_Nativ'!$H$6:$H$405,'Istoric_Nativ'!$B$6:$B$405,E241,'Istoric_Nativ'!$C$6:$C$405,F241,'Istoric_Nativ'!$F$6:$F$405,G241,'Istoric_Nativ'!$D$6:$D$405,"&lt;"&amp;J241,'Istoric_Nativ'!$P$6:$P$405,1,'Istoric_Nativ'!$D$6:$D$405,"&gt;="&amp;L241),SUMIFS('Istoric_Nativ'!$G$6:$G$405,'Istoric_Nativ'!$B$6:$B$405,E241,'Istoric_Nativ'!$C$6:$C$405,F241,'Istoric_Nativ'!$E$6:$E$405,G241,'Istoric_Nativ'!$D$6:$D$405,"&lt;"&amp;J241,'Istoric_Nativ'!$P$6:$P$405,1,'Istoric_Nativ'!$D$6:$D$405,"&gt;="&amp;L241)+SUMIFS('Istoric_Nativ'!$H$6:$H$405,'Istoric_Nativ'!$B$6:$B$405,E241,'Istoric_Nativ'!$C$6:$C$405,F241,'Istoric_Nativ'!$F$6:$F$405,G241,'Istoric_Nativ'!$D$6:$D$405,"&lt;"&amp;J241,'Istoric_Nativ'!$P$6:$P$405,1,'Istoric_Nativ'!$D$6:$D$405,"&gt;="&amp;L241)))/M241)</x:f>
      </x:c>
      <x:c r="O241" s="11" t="str">
        <x:f>IF(M241=0,"",IF(H241="HOME",SUMIFS('Istoric_Nativ'!$H$6:$H$405,'Istoric_Nativ'!$B$6:$B$405,E241,'Istoric_Nativ'!$C$6:$C$405,F241,'Istoric_Nativ'!$E$6:$E$405,G241,'Istoric_Nativ'!$D$6:$D$405,"&lt;"&amp;J241,'Istoric_Nativ'!$P$6:$P$405,1,'Istoric_Nativ'!$D$6:$D$405,"&gt;="&amp;L241),IF(H241="AWAY",SUMIFS('Istoric_Nativ'!$G$6:$G$405,'Istoric_Nativ'!$B$6:$B$405,E241,'Istoric_Nativ'!$C$6:$C$405,F241,'Istoric_Nativ'!$F$6:$F$405,G241,'Istoric_Nativ'!$D$6:$D$405,"&lt;"&amp;J241,'Istoric_Nativ'!$P$6:$P$405,1,'Istoric_Nativ'!$D$6:$D$405,"&gt;="&amp;L241),SUMIFS('Istoric_Nativ'!$H$6:$H$405,'Istoric_Nativ'!$B$6:$B$405,E241,'Istoric_Nativ'!$C$6:$C$405,F241,'Istoric_Nativ'!$E$6:$E$405,G241,'Istoric_Nativ'!$D$6:$D$405,"&lt;"&amp;J241,'Istoric_Nativ'!$P$6:$P$405,1,'Istoric_Nativ'!$D$6:$D$405,"&gt;="&amp;L241)+SUMIFS('Istoric_Nativ'!$G$6:$G$405,'Istoric_Nativ'!$B$6:$B$405,E241,'Istoric_Nativ'!$C$6:$C$405,F241,'Istoric_Nativ'!$F$6:$F$405,G241,'Istoric_Nativ'!$D$6:$D$405,"&lt;"&amp;J241,'Istoric_Nativ'!$P$6:$P$405,1,'Istoric_Nativ'!$D$6:$D$405,"&gt;="&amp;L241)))/M241)</x:f>
      </x:c>
      <x:c r="P241" s="2" t="n">
        <x:f>'Config_v6'!$B$8</x:f>
        <x:v>5</x:v>
      </x:c>
      <x:c r="Q241" s="2" t="n">
        <x:f>IF(OR(B241="",F241=""),0,IFERROR(MATCH(E241&amp;"|"&amp;F241,SourceTable[Source_Key],0),0))</x:f>
        <x:v>0</x:v>
      </x:c>
      <x:c r="R241" s="2" t="str">
        <x:f>IF(B241="","",IF(F241="","UNUSED",IF(Q241=0,"NOT CHECKED",IF(COUNTIF(SourceTable[Source_Key],E241&amp;"|"&amp;F241)&lt;&gt;1,"SOURCE CONFLICT",IF(NOT(OR(INDEX(SourceTable[Status],MAX(1,Q241))="IMPORTED",INDEX(SourceTable[Status],MAX(1,Q241))="PARTIAL",INDEX(SourceTable[Status],MAX(1,Q241))="SOURCE CONFLICT")),"ACCESS BLOCKED",IF(OR(INDEX(SourceTable[Coverage],Q241)&lt;&gt;"FULL SEASON EXPORT",INDEX(SourceTable[URL],Q241)="",INDEX(SourceTable[SHA256],Q241)=""),"EVIDENCE INCOMPLETE",IF(AND('Input_Meci'!H25="LIVE",INDEX(SourceTable[Retrieved_UTC],Q241)&gt;'Input_Meci'!G25),"POST CUTOFF","CLOSED")))))))</x:f>
      </x:c>
      <x:c r="S241" s="2" t="n">
        <x:f>IF(OR(B241="",F241=""),0,COUNTIFS('Istoric_Nativ'!$B$6:$B$405,E241,'Istoric_Nativ'!$C$6:$C$405,F241,'Istoric_Nativ'!$E$6:$E$405,G241,'Istoric_Nativ'!$D$6:$D$405,"&lt;"&amp;J241,'Istoric_Nativ'!$O$6:$O$405,"INVALID")+COUNTIFS('Istoric_Nativ'!$B$6:$B$405,E241,'Istoric_Nativ'!$C$6:$C$405,F241,'Istoric_Nativ'!$E$6:$E$405,G241,'Istoric_Nativ'!$O$6:$O$405,"INVALID",'Istoric_Nativ'!$D$6:$D$405,"*")+COUNTIFS('Istoric_Nativ'!$B$6:$B$405,E241,'Istoric_Nativ'!$C$6:$C$405,F241,'Istoric_Nativ'!$E$6:$E$405,G241,'Istoric_Nativ'!$D$6:$D$405,"&lt;"&amp;J241,'Istoric_Nativ'!$O$6:$O$405,"SOURCE CONFLICT")+COUNTIFS('Istoric_Nativ'!$B$6:$B$405,E241,'Istoric_Nativ'!$C$6:$C$405,F241,'Istoric_Nativ'!$F$6:$F$405,G241,'Istoric_Nativ'!$D$6:$D$405,"&lt;"&amp;J241,'Istoric_Nativ'!$O$6:$O$405,"INVALID")+COUNTIFS('Istoric_Nativ'!$B$6:$B$405,E241,'Istoric_Nativ'!$C$6:$C$405,F241,'Istoric_Nativ'!$F$6:$F$405,G241,'Istoric_Nativ'!$O$6:$O$405,"INVALID",'Istoric_Nativ'!$D$6:$D$405,"*")+COUNTIFS('Istoric_Nativ'!$B$6:$B$405,E241,'Istoric_Nativ'!$C$6:$C$405,F241,'Istoric_Nativ'!$F$6:$F$405,G241,'Istoric_Nativ'!$D$6:$D$405,"&lt;"&amp;J241,'Istoric_Nativ'!$O$6:$O$405,"SOURCE CONFLICT"))</x:f>
        <x:v>0</x:v>
      </x:c>
      <x:c r="T241" s="2" t="str">
        <x:f>IF(B241="","",IF(R241&lt;&gt;"CLOSED",R241,IF(S241&gt;0,"NATIVE INPUT ISSUE",IF(M241=0,"NO HISTORY",IF(M241&lt;P241,"SMALL SAMPLE","DERIVED")))))</x:f>
      </x:c>
      <x:c r="U241" s="2" t="str">
        <x:f>IF(B241="","","NativeTable; "&amp;E241&amp;"; "&amp;F241&amp;"; "&amp;G241&amp;"; "&amp;H241&amp;"; before "&amp;TEXT(J241,"yyyy-mm-dd")&amp;IF(I241="RECENT","; from "&amp;TEXT(L241,"yyyy-mm-dd"),""))</x:f>
      </x:c>
    </x:row>
    <x:row r="242" ht="21" customHeight="1">
      <x:c r="A242" s="2" t="n">
        <x:v>20</x:v>
      </x:c>
      <x:c r="B242" s="2" t="str">
        <x:f>IF('Input_Meci'!A25="","",'Input_Meci'!A25)</x:f>
      </x:c>
      <x:c r="C242" s="2" t="str">
        <x:v>H</x:v>
      </x:c>
      <x:c r="D242" s="2" t="str">
        <x:v>PRIOR</x:v>
      </x:c>
      <x:c r="E242" s="2" t="str">
        <x:f>IF(B242="","",'Input_Meci'!B25)</x:f>
      </x:c>
      <x:c r="F242" s="2" t="str">
        <x:f>IF(B242="","",IF('Input_Meci'!K25="","",'Input_Meci'!K25))</x:f>
      </x:c>
      <x:c r="G242" s="2" t="str">
        <x:f>IF(B242="","",'Input_Meci'!D25)</x:f>
      </x:c>
      <x:c r="H242" s="2" t="str">
        <x:v>ANY</x:v>
      </x:c>
      <x:c r="I242" s="2" t="str">
        <x:v>RECENT</x:v>
      </x:c>
      <x:c r="J242" s="9" t="n">
        <x:f>IF(AND(B242&lt;&gt;"",ISNUMBER('Input_Meci'!G25)),INT('Input_Meci'!G25),0)</x:f>
        <x:v>0</x:v>
      </x:c>
      <x:c r="K242" s="2" t="n">
        <x:f>IF(OR(B242="",F242=""),0,IF(H242="HOME",COUNTIFS('Istoric_Nativ'!$B$6:$B$405,E242,'Istoric_Nativ'!$C$6:$C$405,F242,'Istoric_Nativ'!$E$6:$E$405,G242,'Istoric_Nativ'!$D$6:$D$405,"&lt;"&amp;J242,'Istoric_Nativ'!$P$6:$P$405,1),IF(H242="AWAY",COUNTIFS('Istoric_Nativ'!$B$6:$B$405,E242,'Istoric_Nativ'!$C$6:$C$405,F242,'Istoric_Nativ'!$F$6:$F$405,G242,'Istoric_Nativ'!$D$6:$D$405,"&lt;"&amp;J242,'Istoric_Nativ'!$P$6:$P$405,1),COUNTIFS('Istoric_Nativ'!$B$6:$B$405,E242,'Istoric_Nativ'!$C$6:$C$405,F242,'Istoric_Nativ'!$E$6:$E$405,G242,'Istoric_Nativ'!$D$6:$D$405,"&lt;"&amp;J242,'Istoric_Nativ'!$P$6:$P$405,1)+COUNTIFS('Istoric_Nativ'!$B$6:$B$405,E242,'Istoric_Nativ'!$C$6:$C$405,F242,'Istoric_Nativ'!$F$6:$F$405,G242,'Istoric_Nativ'!$D$6:$D$405,"&lt;"&amp;J242,'Istoric_Nativ'!$P$6:$P$405,1))))</x:f>
        <x:v>0</x:v>
      </x:c>
      <x:c r="L242" s="17" t="n">
        <x:f>IF(AND(B242&lt;&gt;"",I242="RECENT",K242&gt;0),LARGE(_xlfn._xlws.FILTER('Istoric_Nativ'!$D$6:$D$405,('Istoric_Nativ'!$B$6:$B$405=E242)*('Istoric_Nativ'!$C$6:$C$405=F242)*('Istoric_Nativ'!$P$6:$P$405=1)*('Istoric_Nativ'!$D$6:$D$405&lt;J242)*((('Istoric_Nativ'!$E$6:$E$405=G242)+('Istoric_Nativ'!$F$6:$F$405=G242))&gt;0)),MIN('Config_v6'!$B$54,K242)),0)</x:f>
        <x:v>0</x:v>
      </x:c>
      <x:c r="M242" s="2" t="n">
        <x:f>IF(OR(B242="",F242=""),0,IF(H242="HOME",COUNTIFS('Istoric_Nativ'!$B$6:$B$405,E242,'Istoric_Nativ'!$C$6:$C$405,F242,'Istoric_Nativ'!$E$6:$E$405,G242,'Istoric_Nativ'!$D$6:$D$405,"&lt;"&amp;J242,'Istoric_Nativ'!$P$6:$P$405,1,'Istoric_Nativ'!$D$6:$D$405,"&gt;="&amp;L242),IF(H242="AWAY",COUNTIFS('Istoric_Nativ'!$B$6:$B$405,E242,'Istoric_Nativ'!$C$6:$C$405,F242,'Istoric_Nativ'!$F$6:$F$405,G242,'Istoric_Nativ'!$D$6:$D$405,"&lt;"&amp;J242,'Istoric_Nativ'!$P$6:$P$405,1,'Istoric_Nativ'!$D$6:$D$405,"&gt;="&amp;L242),COUNTIFS('Istoric_Nativ'!$B$6:$B$405,E242,'Istoric_Nativ'!$C$6:$C$405,F242,'Istoric_Nativ'!$E$6:$E$405,G242,'Istoric_Nativ'!$D$6:$D$405,"&lt;"&amp;J242,'Istoric_Nativ'!$P$6:$P$405,1,'Istoric_Nativ'!$D$6:$D$405,"&gt;="&amp;L242)+COUNTIFS('Istoric_Nativ'!$B$6:$B$405,E242,'Istoric_Nativ'!$C$6:$C$405,F242,'Istoric_Nativ'!$F$6:$F$405,G242,'Istoric_Nativ'!$D$6:$D$405,"&lt;"&amp;J242,'Istoric_Nativ'!$P$6:$P$405,1,'Istoric_Nativ'!$D$6:$D$405,"&gt;="&amp;L242))))</x:f>
        <x:v>0</x:v>
      </x:c>
      <x:c r="N242" s="11" t="str">
        <x:f>IF(M242=0,"",IF(H242="HOME",SUMIFS('Istoric_Nativ'!$G$6:$G$405,'Istoric_Nativ'!$B$6:$B$405,E242,'Istoric_Nativ'!$C$6:$C$405,F242,'Istoric_Nativ'!$E$6:$E$405,G242,'Istoric_Nativ'!$D$6:$D$405,"&lt;"&amp;J242,'Istoric_Nativ'!$P$6:$P$405,1,'Istoric_Nativ'!$D$6:$D$405,"&gt;="&amp;L242),IF(H242="AWAY",SUMIFS('Istoric_Nativ'!$H$6:$H$405,'Istoric_Nativ'!$B$6:$B$405,E242,'Istoric_Nativ'!$C$6:$C$405,F242,'Istoric_Nativ'!$F$6:$F$405,G242,'Istoric_Nativ'!$D$6:$D$405,"&lt;"&amp;J242,'Istoric_Nativ'!$P$6:$P$405,1,'Istoric_Nativ'!$D$6:$D$405,"&gt;="&amp;L242),SUMIFS('Istoric_Nativ'!$G$6:$G$405,'Istoric_Nativ'!$B$6:$B$405,E242,'Istoric_Nativ'!$C$6:$C$405,F242,'Istoric_Nativ'!$E$6:$E$405,G242,'Istoric_Nativ'!$D$6:$D$405,"&lt;"&amp;J242,'Istoric_Nativ'!$P$6:$P$405,1,'Istoric_Nativ'!$D$6:$D$405,"&gt;="&amp;L242)+SUMIFS('Istoric_Nativ'!$H$6:$H$405,'Istoric_Nativ'!$B$6:$B$405,E242,'Istoric_Nativ'!$C$6:$C$405,F242,'Istoric_Nativ'!$F$6:$F$405,G242,'Istoric_Nativ'!$D$6:$D$405,"&lt;"&amp;J242,'Istoric_Nativ'!$P$6:$P$405,1,'Istoric_Nativ'!$D$6:$D$405,"&gt;="&amp;L242)))/M242)</x:f>
      </x:c>
      <x:c r="O242" s="11" t="str">
        <x:f>IF(M242=0,"",IF(H242="HOME",SUMIFS('Istoric_Nativ'!$H$6:$H$405,'Istoric_Nativ'!$B$6:$B$405,E242,'Istoric_Nativ'!$C$6:$C$405,F242,'Istoric_Nativ'!$E$6:$E$405,G242,'Istoric_Nativ'!$D$6:$D$405,"&lt;"&amp;J242,'Istoric_Nativ'!$P$6:$P$405,1,'Istoric_Nativ'!$D$6:$D$405,"&gt;="&amp;L242),IF(H242="AWAY",SUMIFS('Istoric_Nativ'!$G$6:$G$405,'Istoric_Nativ'!$B$6:$B$405,E242,'Istoric_Nativ'!$C$6:$C$405,F242,'Istoric_Nativ'!$F$6:$F$405,G242,'Istoric_Nativ'!$D$6:$D$405,"&lt;"&amp;J242,'Istoric_Nativ'!$P$6:$P$405,1,'Istoric_Nativ'!$D$6:$D$405,"&gt;="&amp;L242),SUMIFS('Istoric_Nativ'!$H$6:$H$405,'Istoric_Nativ'!$B$6:$B$405,E242,'Istoric_Nativ'!$C$6:$C$405,F242,'Istoric_Nativ'!$E$6:$E$405,G242,'Istoric_Nativ'!$D$6:$D$405,"&lt;"&amp;J242,'Istoric_Nativ'!$P$6:$P$405,1,'Istoric_Nativ'!$D$6:$D$405,"&gt;="&amp;L242)+SUMIFS('Istoric_Nativ'!$G$6:$G$405,'Istoric_Nativ'!$B$6:$B$405,E242,'Istoric_Nativ'!$C$6:$C$405,F242,'Istoric_Nativ'!$F$6:$F$405,G242,'Istoric_Nativ'!$D$6:$D$405,"&lt;"&amp;J242,'Istoric_Nativ'!$P$6:$P$405,1,'Istoric_Nativ'!$D$6:$D$405,"&gt;="&amp;L242)))/M242)</x:f>
      </x:c>
      <x:c r="P242" s="2" t="n">
        <x:f>'Config_v6'!$B$9</x:f>
        <x:v>3</x:v>
      </x:c>
      <x:c r="Q242" s="2" t="n">
        <x:f>IF(OR(B242="",F242=""),0,IFERROR(MATCH(E242&amp;"|"&amp;F242,SourceTable[Source_Key],0),0))</x:f>
        <x:v>0</x:v>
      </x:c>
      <x:c r="R242" s="2" t="str">
        <x:f>IF(B242="","",IF(F242="","UNUSED",IF(Q242=0,"NOT CHECKED",IF(COUNTIF(SourceTable[Source_Key],E242&amp;"|"&amp;F242)&lt;&gt;1,"SOURCE CONFLICT",IF(NOT(OR(INDEX(SourceTable[Status],MAX(1,Q242))="IMPORTED",INDEX(SourceTable[Status],MAX(1,Q242))="PARTIAL",INDEX(SourceTable[Status],MAX(1,Q242))="SOURCE CONFLICT")),"ACCESS BLOCKED",IF(OR(INDEX(SourceTable[Coverage],Q242)&lt;&gt;"FULL SEASON EXPORT",INDEX(SourceTable[URL],Q242)="",INDEX(SourceTable[SHA256],Q242)=""),"EVIDENCE INCOMPLETE",IF(AND('Input_Meci'!H25="LIVE",INDEX(SourceTable[Retrieved_UTC],Q242)&gt;'Input_Meci'!G25),"POST CUTOFF","CLOSED")))))))</x:f>
      </x:c>
      <x:c r="S242" s="2" t="n">
        <x:f>IF(OR(B242="",F242=""),0,COUNTIFS('Istoric_Nativ'!$B$6:$B$405,E242,'Istoric_Nativ'!$C$6:$C$405,F242,'Istoric_Nativ'!$E$6:$E$405,G242,'Istoric_Nativ'!$D$6:$D$405,"&lt;"&amp;J242,'Istoric_Nativ'!$O$6:$O$405,"INVALID")+COUNTIFS('Istoric_Nativ'!$B$6:$B$405,E242,'Istoric_Nativ'!$C$6:$C$405,F242,'Istoric_Nativ'!$E$6:$E$405,G242,'Istoric_Nativ'!$O$6:$O$405,"INVALID",'Istoric_Nativ'!$D$6:$D$405,"*")+COUNTIFS('Istoric_Nativ'!$B$6:$B$405,E242,'Istoric_Nativ'!$C$6:$C$405,F242,'Istoric_Nativ'!$E$6:$E$405,G242,'Istoric_Nativ'!$D$6:$D$405,"&lt;"&amp;J242,'Istoric_Nativ'!$O$6:$O$405,"SOURCE CONFLICT")+COUNTIFS('Istoric_Nativ'!$B$6:$B$405,E242,'Istoric_Nativ'!$C$6:$C$405,F242,'Istoric_Nativ'!$F$6:$F$405,G242,'Istoric_Nativ'!$D$6:$D$405,"&lt;"&amp;J242,'Istoric_Nativ'!$O$6:$O$405,"INVALID")+COUNTIFS('Istoric_Nativ'!$B$6:$B$405,E242,'Istoric_Nativ'!$C$6:$C$405,F242,'Istoric_Nativ'!$F$6:$F$405,G242,'Istoric_Nativ'!$O$6:$O$405,"INVALID",'Istoric_Nativ'!$D$6:$D$405,"*")+COUNTIFS('Istoric_Nativ'!$B$6:$B$405,E242,'Istoric_Nativ'!$C$6:$C$405,F242,'Istoric_Nativ'!$F$6:$F$405,G242,'Istoric_Nativ'!$D$6:$D$405,"&lt;"&amp;J242,'Istoric_Nativ'!$O$6:$O$405,"SOURCE CONFLICT"))</x:f>
        <x:v>0</x:v>
      </x:c>
      <x:c r="T242" s="2" t="str">
        <x:f>IF(B242="","",IF(R242&lt;&gt;"CLOSED",R242,IF(S242&gt;0,"NATIVE INPUT ISSUE",IF(M242=0,"NO HISTORY",IF(M242&lt;P242,"SMALL SAMPLE","DERIVED")))))</x:f>
      </x:c>
      <x:c r="U242" s="2" t="str">
        <x:f>IF(B242="","","NativeTable; "&amp;E242&amp;"; "&amp;F242&amp;"; "&amp;G242&amp;"; "&amp;H242&amp;"; before "&amp;TEXT(J242,"yyyy-mm-dd")&amp;IF(I242="RECENT","; from "&amp;TEXT(L242,"yyyy-mm-dd"),""))</x:f>
      </x:c>
    </x:row>
    <x:row r="243" ht="21" customHeight="1">
      <x:c r="A243" s="2" t="n">
        <x:v>20</x:v>
      </x:c>
      <x:c r="B243" s="2" t="str">
        <x:f>IF('Input_Meci'!A25="","",'Input_Meci'!A25)</x:f>
      </x:c>
      <x:c r="C243" s="2" t="str">
        <x:v>A</x:v>
      </x:c>
      <x:c r="D243" s="2" t="str">
        <x:v>PRIOR</x:v>
      </x:c>
      <x:c r="E243" s="2" t="str">
        <x:f>IF(B243="","",'Input_Meci'!B25)</x:f>
      </x:c>
      <x:c r="F243" s="2" t="str">
        <x:f>IF(B243="","",IF('Input_Meci'!K25="","",'Input_Meci'!K25))</x:f>
      </x:c>
      <x:c r="G243" s="2" t="str">
        <x:f>IF(B243="","",'Input_Meci'!E25)</x:f>
      </x:c>
      <x:c r="H243" s="2" t="str">
        <x:v>ANY</x:v>
      </x:c>
      <x:c r="I243" s="2" t="str">
        <x:v>SEASON</x:v>
      </x:c>
      <x:c r="J243" s="9" t="n">
        <x:f>IF(AND(B243&lt;&gt;"",ISNUMBER('Input_Meci'!G25)),INT('Input_Meci'!G25),0)</x:f>
        <x:v>0</x:v>
      </x:c>
      <x:c r="K243" s="2" t="n">
        <x:f>IF(OR(B243="",F243=""),0,IF(H243="HOME",COUNTIFS('Istoric_Nativ'!$B$6:$B$405,E243,'Istoric_Nativ'!$C$6:$C$405,F243,'Istoric_Nativ'!$E$6:$E$405,G243,'Istoric_Nativ'!$D$6:$D$405,"&lt;"&amp;J243,'Istoric_Nativ'!$P$6:$P$405,1),IF(H243="AWAY",COUNTIFS('Istoric_Nativ'!$B$6:$B$405,E243,'Istoric_Nativ'!$C$6:$C$405,F243,'Istoric_Nativ'!$F$6:$F$405,G243,'Istoric_Nativ'!$D$6:$D$405,"&lt;"&amp;J243,'Istoric_Nativ'!$P$6:$P$405,1),COUNTIFS('Istoric_Nativ'!$B$6:$B$405,E243,'Istoric_Nativ'!$C$6:$C$405,F243,'Istoric_Nativ'!$E$6:$E$405,G243,'Istoric_Nativ'!$D$6:$D$405,"&lt;"&amp;J243,'Istoric_Nativ'!$P$6:$P$405,1)+COUNTIFS('Istoric_Nativ'!$B$6:$B$405,E243,'Istoric_Nativ'!$C$6:$C$405,F243,'Istoric_Nativ'!$F$6:$F$405,G243,'Istoric_Nativ'!$D$6:$D$405,"&lt;"&amp;J243,'Istoric_Nativ'!$P$6:$P$405,1))))</x:f>
        <x:v>0</x:v>
      </x:c>
      <x:c r="L243" s="17" t="n">
        <x:f>IF(AND(B243&lt;&gt;"",I243="RECENT",K243&gt;0),LARGE(_xlfn._xlws.FILTER('Istoric_Nativ'!$D$6:$D$405,('Istoric_Nativ'!$B$6:$B$405=E243)*('Istoric_Nativ'!$C$6:$C$405=F243)*('Istoric_Nativ'!$P$6:$P$405=1)*('Istoric_Nativ'!$D$6:$D$405&lt;J243)*((('Istoric_Nativ'!$E$6:$E$405=G243)+('Istoric_Nativ'!$F$6:$F$405=G243))&gt;0)),MIN('Config_v6'!$B$54,K243)),0)</x:f>
        <x:v>0</x:v>
      </x:c>
      <x:c r="M243" s="2" t="n">
        <x:f>IF(OR(B243="",F243=""),0,IF(H243="HOME",COUNTIFS('Istoric_Nativ'!$B$6:$B$405,E243,'Istoric_Nativ'!$C$6:$C$405,F243,'Istoric_Nativ'!$E$6:$E$405,G243,'Istoric_Nativ'!$D$6:$D$405,"&lt;"&amp;J243,'Istoric_Nativ'!$P$6:$P$405,1,'Istoric_Nativ'!$D$6:$D$405,"&gt;="&amp;L243),IF(H243="AWAY",COUNTIFS('Istoric_Nativ'!$B$6:$B$405,E243,'Istoric_Nativ'!$C$6:$C$405,F243,'Istoric_Nativ'!$F$6:$F$405,G243,'Istoric_Nativ'!$D$6:$D$405,"&lt;"&amp;J243,'Istoric_Nativ'!$P$6:$P$405,1,'Istoric_Nativ'!$D$6:$D$405,"&gt;="&amp;L243),COUNTIFS('Istoric_Nativ'!$B$6:$B$405,E243,'Istoric_Nativ'!$C$6:$C$405,F243,'Istoric_Nativ'!$E$6:$E$405,G243,'Istoric_Nativ'!$D$6:$D$405,"&lt;"&amp;J243,'Istoric_Nativ'!$P$6:$P$405,1,'Istoric_Nativ'!$D$6:$D$405,"&gt;="&amp;L243)+COUNTIFS('Istoric_Nativ'!$B$6:$B$405,E243,'Istoric_Nativ'!$C$6:$C$405,F243,'Istoric_Nativ'!$F$6:$F$405,G243,'Istoric_Nativ'!$D$6:$D$405,"&lt;"&amp;J243,'Istoric_Nativ'!$P$6:$P$405,1,'Istoric_Nativ'!$D$6:$D$405,"&gt;="&amp;L243))))</x:f>
        <x:v>0</x:v>
      </x:c>
      <x:c r="N243" s="11" t="str">
        <x:f>IF(M243=0,"",IF(H243="HOME",SUMIFS('Istoric_Nativ'!$G$6:$G$405,'Istoric_Nativ'!$B$6:$B$405,E243,'Istoric_Nativ'!$C$6:$C$405,F243,'Istoric_Nativ'!$E$6:$E$405,G243,'Istoric_Nativ'!$D$6:$D$405,"&lt;"&amp;J243,'Istoric_Nativ'!$P$6:$P$405,1,'Istoric_Nativ'!$D$6:$D$405,"&gt;="&amp;L243),IF(H243="AWAY",SUMIFS('Istoric_Nativ'!$H$6:$H$405,'Istoric_Nativ'!$B$6:$B$405,E243,'Istoric_Nativ'!$C$6:$C$405,F243,'Istoric_Nativ'!$F$6:$F$405,G243,'Istoric_Nativ'!$D$6:$D$405,"&lt;"&amp;J243,'Istoric_Nativ'!$P$6:$P$405,1,'Istoric_Nativ'!$D$6:$D$405,"&gt;="&amp;L243),SUMIFS('Istoric_Nativ'!$G$6:$G$405,'Istoric_Nativ'!$B$6:$B$405,E243,'Istoric_Nativ'!$C$6:$C$405,F243,'Istoric_Nativ'!$E$6:$E$405,G243,'Istoric_Nativ'!$D$6:$D$405,"&lt;"&amp;J243,'Istoric_Nativ'!$P$6:$P$405,1,'Istoric_Nativ'!$D$6:$D$405,"&gt;="&amp;L243)+SUMIFS('Istoric_Nativ'!$H$6:$H$405,'Istoric_Nativ'!$B$6:$B$405,E243,'Istoric_Nativ'!$C$6:$C$405,F243,'Istoric_Nativ'!$F$6:$F$405,G243,'Istoric_Nativ'!$D$6:$D$405,"&lt;"&amp;J243,'Istoric_Nativ'!$P$6:$P$405,1,'Istoric_Nativ'!$D$6:$D$405,"&gt;="&amp;L243)))/M243)</x:f>
      </x:c>
      <x:c r="O243" s="11" t="str">
        <x:f>IF(M243=0,"",IF(H243="HOME",SUMIFS('Istoric_Nativ'!$H$6:$H$405,'Istoric_Nativ'!$B$6:$B$405,E243,'Istoric_Nativ'!$C$6:$C$405,F243,'Istoric_Nativ'!$E$6:$E$405,G243,'Istoric_Nativ'!$D$6:$D$405,"&lt;"&amp;J243,'Istoric_Nativ'!$P$6:$P$405,1,'Istoric_Nativ'!$D$6:$D$405,"&gt;="&amp;L243),IF(H243="AWAY",SUMIFS('Istoric_Nativ'!$G$6:$G$405,'Istoric_Nativ'!$B$6:$B$405,E243,'Istoric_Nativ'!$C$6:$C$405,F243,'Istoric_Nativ'!$F$6:$F$405,G243,'Istoric_Nativ'!$D$6:$D$405,"&lt;"&amp;J243,'Istoric_Nativ'!$P$6:$P$405,1,'Istoric_Nativ'!$D$6:$D$405,"&gt;="&amp;L243),SUMIFS('Istoric_Nativ'!$H$6:$H$405,'Istoric_Nativ'!$B$6:$B$405,E243,'Istoric_Nativ'!$C$6:$C$405,F243,'Istoric_Nativ'!$E$6:$E$405,G243,'Istoric_Nativ'!$D$6:$D$405,"&lt;"&amp;J243,'Istoric_Nativ'!$P$6:$P$405,1,'Istoric_Nativ'!$D$6:$D$405,"&gt;="&amp;L243)+SUMIFS('Istoric_Nativ'!$G$6:$G$405,'Istoric_Nativ'!$B$6:$B$405,E243,'Istoric_Nativ'!$C$6:$C$405,F243,'Istoric_Nativ'!$F$6:$F$405,G243,'Istoric_Nativ'!$D$6:$D$405,"&lt;"&amp;J243,'Istoric_Nativ'!$P$6:$P$405,1,'Istoric_Nativ'!$D$6:$D$405,"&gt;="&amp;L243)))/M243)</x:f>
      </x:c>
      <x:c r="P243" s="2" t="n">
        <x:f>'Config_v6'!$B$7</x:f>
        <x:v>10</x:v>
      </x:c>
      <x:c r="Q243" s="2" t="n">
        <x:f>IF(OR(B243="",F243=""),0,IFERROR(MATCH(E243&amp;"|"&amp;F243,SourceTable[Source_Key],0),0))</x:f>
        <x:v>0</x:v>
      </x:c>
      <x:c r="R243" s="2" t="str">
        <x:f>IF(B243="","",IF(F243="","UNUSED",IF(Q243=0,"NOT CHECKED",IF(COUNTIF(SourceTable[Source_Key],E243&amp;"|"&amp;F243)&lt;&gt;1,"SOURCE CONFLICT",IF(NOT(OR(INDEX(SourceTable[Status],MAX(1,Q243))="IMPORTED",INDEX(SourceTable[Status],MAX(1,Q243))="PARTIAL",INDEX(SourceTable[Status],MAX(1,Q243))="SOURCE CONFLICT")),"ACCESS BLOCKED",IF(OR(INDEX(SourceTable[Coverage],Q243)&lt;&gt;"FULL SEASON EXPORT",INDEX(SourceTable[URL],Q243)="",INDEX(SourceTable[SHA256],Q243)=""),"EVIDENCE INCOMPLETE",IF(AND('Input_Meci'!H25="LIVE",INDEX(SourceTable[Retrieved_UTC],Q243)&gt;'Input_Meci'!G25),"POST CUTOFF","CLOSED")))))))</x:f>
      </x:c>
      <x:c r="S243" s="2" t="n">
        <x:f>IF(OR(B243="",F243=""),0,COUNTIFS('Istoric_Nativ'!$B$6:$B$405,E243,'Istoric_Nativ'!$C$6:$C$405,F243,'Istoric_Nativ'!$E$6:$E$405,G243,'Istoric_Nativ'!$D$6:$D$405,"&lt;"&amp;J243,'Istoric_Nativ'!$O$6:$O$405,"INVALID")+COUNTIFS('Istoric_Nativ'!$B$6:$B$405,E243,'Istoric_Nativ'!$C$6:$C$405,F243,'Istoric_Nativ'!$E$6:$E$405,G243,'Istoric_Nativ'!$O$6:$O$405,"INVALID",'Istoric_Nativ'!$D$6:$D$405,"*")+COUNTIFS('Istoric_Nativ'!$B$6:$B$405,E243,'Istoric_Nativ'!$C$6:$C$405,F243,'Istoric_Nativ'!$E$6:$E$405,G243,'Istoric_Nativ'!$D$6:$D$405,"&lt;"&amp;J243,'Istoric_Nativ'!$O$6:$O$405,"SOURCE CONFLICT")+COUNTIFS('Istoric_Nativ'!$B$6:$B$405,E243,'Istoric_Nativ'!$C$6:$C$405,F243,'Istoric_Nativ'!$F$6:$F$405,G243,'Istoric_Nativ'!$D$6:$D$405,"&lt;"&amp;J243,'Istoric_Nativ'!$O$6:$O$405,"INVALID")+COUNTIFS('Istoric_Nativ'!$B$6:$B$405,E243,'Istoric_Nativ'!$C$6:$C$405,F243,'Istoric_Nativ'!$F$6:$F$405,G243,'Istoric_Nativ'!$O$6:$O$405,"INVALID",'Istoric_Nativ'!$D$6:$D$405,"*")+COUNTIFS('Istoric_Nativ'!$B$6:$B$405,E243,'Istoric_Nativ'!$C$6:$C$405,F243,'Istoric_Nativ'!$F$6:$F$405,G243,'Istoric_Nativ'!$D$6:$D$405,"&lt;"&amp;J243,'Istoric_Nativ'!$O$6:$O$405,"SOURCE CONFLICT"))</x:f>
        <x:v>0</x:v>
      </x:c>
      <x:c r="T243" s="2" t="str">
        <x:f>IF(B243="","",IF(R243&lt;&gt;"CLOSED",R243,IF(S243&gt;0,"NATIVE INPUT ISSUE",IF(M243=0,"NO HISTORY",IF(M243&lt;P243,"SMALL SAMPLE","DERIVED")))))</x:f>
      </x:c>
      <x:c r="U243" s="2" t="str">
        <x:f>IF(B243="","","NativeTable; "&amp;E243&amp;"; "&amp;F243&amp;"; "&amp;G243&amp;"; "&amp;H243&amp;"; before "&amp;TEXT(J243,"yyyy-mm-dd")&amp;IF(I243="RECENT","; from "&amp;TEXT(L243,"yyyy-mm-dd"),""))</x:f>
      </x:c>
    </x:row>
    <x:row r="244" ht="21" customHeight="1">
      <x:c r="A244" s="2" t="n">
        <x:v>20</x:v>
      </x:c>
      <x:c r="B244" s="2" t="str">
        <x:f>IF('Input_Meci'!A25="","",'Input_Meci'!A25)</x:f>
      </x:c>
      <x:c r="C244" s="2" t="str">
        <x:v>A</x:v>
      </x:c>
      <x:c r="D244" s="2" t="str">
        <x:v>PRIOR</x:v>
      </x:c>
      <x:c r="E244" s="2" t="str">
        <x:f>IF(B244="","",'Input_Meci'!B25)</x:f>
      </x:c>
      <x:c r="F244" s="2" t="str">
        <x:f>IF(B244="","",IF('Input_Meci'!K25="","",'Input_Meci'!K25))</x:f>
      </x:c>
      <x:c r="G244" s="2" t="str">
        <x:f>IF(B244="","",'Input_Meci'!E25)</x:f>
      </x:c>
      <x:c r="H244" s="2" t="str">
        <x:v>AWAY</x:v>
      </x:c>
      <x:c r="I244" s="2" t="str">
        <x:v>HA</x:v>
      </x:c>
      <x:c r="J244" s="9" t="n">
        <x:f>IF(AND(B244&lt;&gt;"",ISNUMBER('Input_Meci'!G25)),INT('Input_Meci'!G25),0)</x:f>
        <x:v>0</x:v>
      </x:c>
      <x:c r="K244" s="2" t="n">
        <x:f>IF(OR(B244="",F244=""),0,IF(H244="HOME",COUNTIFS('Istoric_Nativ'!$B$6:$B$405,E244,'Istoric_Nativ'!$C$6:$C$405,F244,'Istoric_Nativ'!$E$6:$E$405,G244,'Istoric_Nativ'!$D$6:$D$405,"&lt;"&amp;J244,'Istoric_Nativ'!$P$6:$P$405,1),IF(H244="AWAY",COUNTIFS('Istoric_Nativ'!$B$6:$B$405,E244,'Istoric_Nativ'!$C$6:$C$405,F244,'Istoric_Nativ'!$F$6:$F$405,G244,'Istoric_Nativ'!$D$6:$D$405,"&lt;"&amp;J244,'Istoric_Nativ'!$P$6:$P$405,1),COUNTIFS('Istoric_Nativ'!$B$6:$B$405,E244,'Istoric_Nativ'!$C$6:$C$405,F244,'Istoric_Nativ'!$E$6:$E$405,G244,'Istoric_Nativ'!$D$6:$D$405,"&lt;"&amp;J244,'Istoric_Nativ'!$P$6:$P$405,1)+COUNTIFS('Istoric_Nativ'!$B$6:$B$405,E244,'Istoric_Nativ'!$C$6:$C$405,F244,'Istoric_Nativ'!$F$6:$F$405,G244,'Istoric_Nativ'!$D$6:$D$405,"&lt;"&amp;J244,'Istoric_Nativ'!$P$6:$P$405,1))))</x:f>
        <x:v>0</x:v>
      </x:c>
      <x:c r="L244" s="17" t="n">
        <x:f>IF(AND(B244&lt;&gt;"",I244="RECENT",K244&gt;0),LARGE(_xlfn._xlws.FILTER('Istoric_Nativ'!$D$6:$D$405,('Istoric_Nativ'!$B$6:$B$405=E244)*('Istoric_Nativ'!$C$6:$C$405=F244)*('Istoric_Nativ'!$P$6:$P$405=1)*('Istoric_Nativ'!$D$6:$D$405&lt;J244)*((('Istoric_Nativ'!$E$6:$E$405=G244)+('Istoric_Nativ'!$F$6:$F$405=G244))&gt;0)),MIN('Config_v6'!$B$54,K244)),0)</x:f>
        <x:v>0</x:v>
      </x:c>
      <x:c r="M244" s="2" t="n">
        <x:f>IF(OR(B244="",F244=""),0,IF(H244="HOME",COUNTIFS('Istoric_Nativ'!$B$6:$B$405,E244,'Istoric_Nativ'!$C$6:$C$405,F244,'Istoric_Nativ'!$E$6:$E$405,G244,'Istoric_Nativ'!$D$6:$D$405,"&lt;"&amp;J244,'Istoric_Nativ'!$P$6:$P$405,1,'Istoric_Nativ'!$D$6:$D$405,"&gt;="&amp;L244),IF(H244="AWAY",COUNTIFS('Istoric_Nativ'!$B$6:$B$405,E244,'Istoric_Nativ'!$C$6:$C$405,F244,'Istoric_Nativ'!$F$6:$F$405,G244,'Istoric_Nativ'!$D$6:$D$405,"&lt;"&amp;J244,'Istoric_Nativ'!$P$6:$P$405,1,'Istoric_Nativ'!$D$6:$D$405,"&gt;="&amp;L244),COUNTIFS('Istoric_Nativ'!$B$6:$B$405,E244,'Istoric_Nativ'!$C$6:$C$405,F244,'Istoric_Nativ'!$E$6:$E$405,G244,'Istoric_Nativ'!$D$6:$D$405,"&lt;"&amp;J244,'Istoric_Nativ'!$P$6:$P$405,1,'Istoric_Nativ'!$D$6:$D$405,"&gt;="&amp;L244)+COUNTIFS('Istoric_Nativ'!$B$6:$B$405,E244,'Istoric_Nativ'!$C$6:$C$405,F244,'Istoric_Nativ'!$F$6:$F$405,G244,'Istoric_Nativ'!$D$6:$D$405,"&lt;"&amp;J244,'Istoric_Nativ'!$P$6:$P$405,1,'Istoric_Nativ'!$D$6:$D$405,"&gt;="&amp;L244))))</x:f>
        <x:v>0</x:v>
      </x:c>
      <x:c r="N244" s="11" t="str">
        <x:f>IF(M244=0,"",IF(H244="HOME",SUMIFS('Istoric_Nativ'!$G$6:$G$405,'Istoric_Nativ'!$B$6:$B$405,E244,'Istoric_Nativ'!$C$6:$C$405,F244,'Istoric_Nativ'!$E$6:$E$405,G244,'Istoric_Nativ'!$D$6:$D$405,"&lt;"&amp;J244,'Istoric_Nativ'!$P$6:$P$405,1,'Istoric_Nativ'!$D$6:$D$405,"&gt;="&amp;L244),IF(H244="AWAY",SUMIFS('Istoric_Nativ'!$H$6:$H$405,'Istoric_Nativ'!$B$6:$B$405,E244,'Istoric_Nativ'!$C$6:$C$405,F244,'Istoric_Nativ'!$F$6:$F$405,G244,'Istoric_Nativ'!$D$6:$D$405,"&lt;"&amp;J244,'Istoric_Nativ'!$P$6:$P$405,1,'Istoric_Nativ'!$D$6:$D$405,"&gt;="&amp;L244),SUMIFS('Istoric_Nativ'!$G$6:$G$405,'Istoric_Nativ'!$B$6:$B$405,E244,'Istoric_Nativ'!$C$6:$C$405,F244,'Istoric_Nativ'!$E$6:$E$405,G244,'Istoric_Nativ'!$D$6:$D$405,"&lt;"&amp;J244,'Istoric_Nativ'!$P$6:$P$405,1,'Istoric_Nativ'!$D$6:$D$405,"&gt;="&amp;L244)+SUMIFS('Istoric_Nativ'!$H$6:$H$405,'Istoric_Nativ'!$B$6:$B$405,E244,'Istoric_Nativ'!$C$6:$C$405,F244,'Istoric_Nativ'!$F$6:$F$405,G244,'Istoric_Nativ'!$D$6:$D$405,"&lt;"&amp;J244,'Istoric_Nativ'!$P$6:$P$405,1,'Istoric_Nativ'!$D$6:$D$405,"&gt;="&amp;L244)))/M244)</x:f>
      </x:c>
      <x:c r="O244" s="11" t="str">
        <x:f>IF(M244=0,"",IF(H244="HOME",SUMIFS('Istoric_Nativ'!$H$6:$H$405,'Istoric_Nativ'!$B$6:$B$405,E244,'Istoric_Nativ'!$C$6:$C$405,F244,'Istoric_Nativ'!$E$6:$E$405,G244,'Istoric_Nativ'!$D$6:$D$405,"&lt;"&amp;J244,'Istoric_Nativ'!$P$6:$P$405,1,'Istoric_Nativ'!$D$6:$D$405,"&gt;="&amp;L244),IF(H244="AWAY",SUMIFS('Istoric_Nativ'!$G$6:$G$405,'Istoric_Nativ'!$B$6:$B$405,E244,'Istoric_Nativ'!$C$6:$C$405,F244,'Istoric_Nativ'!$F$6:$F$405,G244,'Istoric_Nativ'!$D$6:$D$405,"&lt;"&amp;J244,'Istoric_Nativ'!$P$6:$P$405,1,'Istoric_Nativ'!$D$6:$D$405,"&gt;="&amp;L244),SUMIFS('Istoric_Nativ'!$H$6:$H$405,'Istoric_Nativ'!$B$6:$B$405,E244,'Istoric_Nativ'!$C$6:$C$405,F244,'Istoric_Nativ'!$E$6:$E$405,G244,'Istoric_Nativ'!$D$6:$D$405,"&lt;"&amp;J244,'Istoric_Nativ'!$P$6:$P$405,1,'Istoric_Nativ'!$D$6:$D$405,"&gt;="&amp;L244)+SUMIFS('Istoric_Nativ'!$G$6:$G$405,'Istoric_Nativ'!$B$6:$B$405,E244,'Istoric_Nativ'!$C$6:$C$405,F244,'Istoric_Nativ'!$F$6:$F$405,G244,'Istoric_Nativ'!$D$6:$D$405,"&lt;"&amp;J244,'Istoric_Nativ'!$P$6:$P$405,1,'Istoric_Nativ'!$D$6:$D$405,"&gt;="&amp;L244)))/M244)</x:f>
      </x:c>
      <x:c r="P244" s="2" t="n">
        <x:f>'Config_v6'!$B$8</x:f>
        <x:v>5</x:v>
      </x:c>
      <x:c r="Q244" s="2" t="n">
        <x:f>IF(OR(B244="",F244=""),0,IFERROR(MATCH(E244&amp;"|"&amp;F244,SourceTable[Source_Key],0),0))</x:f>
        <x:v>0</x:v>
      </x:c>
      <x:c r="R244" s="2" t="str">
        <x:f>IF(B244="","",IF(F244="","UNUSED",IF(Q244=0,"NOT CHECKED",IF(COUNTIF(SourceTable[Source_Key],E244&amp;"|"&amp;F244)&lt;&gt;1,"SOURCE CONFLICT",IF(NOT(OR(INDEX(SourceTable[Status],MAX(1,Q244))="IMPORTED",INDEX(SourceTable[Status],MAX(1,Q244))="PARTIAL",INDEX(SourceTable[Status],MAX(1,Q244))="SOURCE CONFLICT")),"ACCESS BLOCKED",IF(OR(INDEX(SourceTable[Coverage],Q244)&lt;&gt;"FULL SEASON EXPORT",INDEX(SourceTable[URL],Q244)="",INDEX(SourceTable[SHA256],Q244)=""),"EVIDENCE INCOMPLETE",IF(AND('Input_Meci'!H25="LIVE",INDEX(SourceTable[Retrieved_UTC],Q244)&gt;'Input_Meci'!G25),"POST CUTOFF","CLOSED")))))))</x:f>
      </x:c>
      <x:c r="S244" s="2" t="n">
        <x:f>IF(OR(B244="",F244=""),0,COUNTIFS('Istoric_Nativ'!$B$6:$B$405,E244,'Istoric_Nativ'!$C$6:$C$405,F244,'Istoric_Nativ'!$E$6:$E$405,G244,'Istoric_Nativ'!$D$6:$D$405,"&lt;"&amp;J244,'Istoric_Nativ'!$O$6:$O$405,"INVALID")+COUNTIFS('Istoric_Nativ'!$B$6:$B$405,E244,'Istoric_Nativ'!$C$6:$C$405,F244,'Istoric_Nativ'!$E$6:$E$405,G244,'Istoric_Nativ'!$O$6:$O$405,"INVALID",'Istoric_Nativ'!$D$6:$D$405,"*")+COUNTIFS('Istoric_Nativ'!$B$6:$B$405,E244,'Istoric_Nativ'!$C$6:$C$405,F244,'Istoric_Nativ'!$E$6:$E$405,G244,'Istoric_Nativ'!$D$6:$D$405,"&lt;"&amp;J244,'Istoric_Nativ'!$O$6:$O$405,"SOURCE CONFLICT")+COUNTIFS('Istoric_Nativ'!$B$6:$B$405,E244,'Istoric_Nativ'!$C$6:$C$405,F244,'Istoric_Nativ'!$F$6:$F$405,G244,'Istoric_Nativ'!$D$6:$D$405,"&lt;"&amp;J244,'Istoric_Nativ'!$O$6:$O$405,"INVALID")+COUNTIFS('Istoric_Nativ'!$B$6:$B$405,E244,'Istoric_Nativ'!$C$6:$C$405,F244,'Istoric_Nativ'!$F$6:$F$405,G244,'Istoric_Nativ'!$O$6:$O$405,"INVALID",'Istoric_Nativ'!$D$6:$D$405,"*")+COUNTIFS('Istoric_Nativ'!$B$6:$B$405,E244,'Istoric_Nativ'!$C$6:$C$405,F244,'Istoric_Nativ'!$F$6:$F$405,G244,'Istoric_Nativ'!$D$6:$D$405,"&lt;"&amp;J244,'Istoric_Nativ'!$O$6:$O$405,"SOURCE CONFLICT"))</x:f>
        <x:v>0</x:v>
      </x:c>
      <x:c r="T244" s="2" t="str">
        <x:f>IF(B244="","",IF(R244&lt;&gt;"CLOSED",R244,IF(S244&gt;0,"NATIVE INPUT ISSUE",IF(M244=0,"NO HISTORY",IF(M244&lt;P244,"SMALL SAMPLE","DERIVED")))))</x:f>
      </x:c>
      <x:c r="U244" s="2" t="str">
        <x:f>IF(B244="","","NativeTable; "&amp;E244&amp;"; "&amp;F244&amp;"; "&amp;G244&amp;"; "&amp;H244&amp;"; before "&amp;TEXT(J244,"yyyy-mm-dd")&amp;IF(I244="RECENT","; from "&amp;TEXT(L244,"yyyy-mm-dd"),""))</x:f>
      </x:c>
    </x:row>
    <x:row r="245" ht="21" customHeight="1">
      <x:c r="A245" s="2" t="n">
        <x:v>20</x:v>
      </x:c>
      <x:c r="B245" s="2" t="str">
        <x:f>IF('Input_Meci'!A25="","",'Input_Meci'!A25)</x:f>
      </x:c>
      <x:c r="C245" s="2" t="str">
        <x:v>A</x:v>
      </x:c>
      <x:c r="D245" s="2" t="str">
        <x:v>PRIOR</x:v>
      </x:c>
      <x:c r="E245" s="2" t="str">
        <x:f>IF(B245="","",'Input_Meci'!B25)</x:f>
      </x:c>
      <x:c r="F245" s="2" t="str">
        <x:f>IF(B245="","",IF('Input_Meci'!K25="","",'Input_Meci'!K25))</x:f>
      </x:c>
      <x:c r="G245" s="2" t="str">
        <x:f>IF(B245="","",'Input_Meci'!E25)</x:f>
      </x:c>
      <x:c r="H245" s="2" t="str">
        <x:v>ANY</x:v>
      </x:c>
      <x:c r="I245" s="2" t="str">
        <x:v>RECENT</x:v>
      </x:c>
      <x:c r="J245" s="9" t="n">
        <x:f>IF(AND(B245&lt;&gt;"",ISNUMBER('Input_Meci'!G25)),INT('Input_Meci'!G25),0)</x:f>
        <x:v>0</x:v>
      </x:c>
      <x:c r="K245" s="2" t="n">
        <x:f>IF(OR(B245="",F245=""),0,IF(H245="HOME",COUNTIFS('Istoric_Nativ'!$B$6:$B$405,E245,'Istoric_Nativ'!$C$6:$C$405,F245,'Istoric_Nativ'!$E$6:$E$405,G245,'Istoric_Nativ'!$D$6:$D$405,"&lt;"&amp;J245,'Istoric_Nativ'!$P$6:$P$405,1),IF(H245="AWAY",COUNTIFS('Istoric_Nativ'!$B$6:$B$405,E245,'Istoric_Nativ'!$C$6:$C$405,F245,'Istoric_Nativ'!$F$6:$F$405,G245,'Istoric_Nativ'!$D$6:$D$405,"&lt;"&amp;J245,'Istoric_Nativ'!$P$6:$P$405,1),COUNTIFS('Istoric_Nativ'!$B$6:$B$405,E245,'Istoric_Nativ'!$C$6:$C$405,F245,'Istoric_Nativ'!$E$6:$E$405,G245,'Istoric_Nativ'!$D$6:$D$405,"&lt;"&amp;J245,'Istoric_Nativ'!$P$6:$P$405,1)+COUNTIFS('Istoric_Nativ'!$B$6:$B$405,E245,'Istoric_Nativ'!$C$6:$C$405,F245,'Istoric_Nativ'!$F$6:$F$405,G245,'Istoric_Nativ'!$D$6:$D$405,"&lt;"&amp;J245,'Istoric_Nativ'!$P$6:$P$405,1))))</x:f>
        <x:v>0</x:v>
      </x:c>
      <x:c r="L245" s="17" t="n">
        <x:f>IF(AND(B245&lt;&gt;"",I245="RECENT",K245&gt;0),LARGE(_xlfn._xlws.FILTER('Istoric_Nativ'!$D$6:$D$405,('Istoric_Nativ'!$B$6:$B$405=E245)*('Istoric_Nativ'!$C$6:$C$405=F245)*('Istoric_Nativ'!$P$6:$P$405=1)*('Istoric_Nativ'!$D$6:$D$405&lt;J245)*((('Istoric_Nativ'!$E$6:$E$405=G245)+('Istoric_Nativ'!$F$6:$F$405=G245))&gt;0)),MIN('Config_v6'!$B$54,K245)),0)</x:f>
        <x:v>0</x:v>
      </x:c>
      <x:c r="M245" s="2" t="n">
        <x:f>IF(OR(B245="",F245=""),0,IF(H245="HOME",COUNTIFS('Istoric_Nativ'!$B$6:$B$405,E245,'Istoric_Nativ'!$C$6:$C$405,F245,'Istoric_Nativ'!$E$6:$E$405,G245,'Istoric_Nativ'!$D$6:$D$405,"&lt;"&amp;J245,'Istoric_Nativ'!$P$6:$P$405,1,'Istoric_Nativ'!$D$6:$D$405,"&gt;="&amp;L245),IF(H245="AWAY",COUNTIFS('Istoric_Nativ'!$B$6:$B$405,E245,'Istoric_Nativ'!$C$6:$C$405,F245,'Istoric_Nativ'!$F$6:$F$405,G245,'Istoric_Nativ'!$D$6:$D$405,"&lt;"&amp;J245,'Istoric_Nativ'!$P$6:$P$405,1,'Istoric_Nativ'!$D$6:$D$405,"&gt;="&amp;L245),COUNTIFS('Istoric_Nativ'!$B$6:$B$405,E245,'Istoric_Nativ'!$C$6:$C$405,F245,'Istoric_Nativ'!$E$6:$E$405,G245,'Istoric_Nativ'!$D$6:$D$405,"&lt;"&amp;J245,'Istoric_Nativ'!$P$6:$P$405,1,'Istoric_Nativ'!$D$6:$D$405,"&gt;="&amp;L245)+COUNTIFS('Istoric_Nativ'!$B$6:$B$405,E245,'Istoric_Nativ'!$C$6:$C$405,F245,'Istoric_Nativ'!$F$6:$F$405,G245,'Istoric_Nativ'!$D$6:$D$405,"&lt;"&amp;J245,'Istoric_Nativ'!$P$6:$P$405,1,'Istoric_Nativ'!$D$6:$D$405,"&gt;="&amp;L245))))</x:f>
        <x:v>0</x:v>
      </x:c>
      <x:c r="N245" s="11" t="str">
        <x:f>IF(M245=0,"",IF(H245="HOME",SUMIFS('Istoric_Nativ'!$G$6:$G$405,'Istoric_Nativ'!$B$6:$B$405,E245,'Istoric_Nativ'!$C$6:$C$405,F245,'Istoric_Nativ'!$E$6:$E$405,G245,'Istoric_Nativ'!$D$6:$D$405,"&lt;"&amp;J245,'Istoric_Nativ'!$P$6:$P$405,1,'Istoric_Nativ'!$D$6:$D$405,"&gt;="&amp;L245),IF(H245="AWAY",SUMIFS('Istoric_Nativ'!$H$6:$H$405,'Istoric_Nativ'!$B$6:$B$405,E245,'Istoric_Nativ'!$C$6:$C$405,F245,'Istoric_Nativ'!$F$6:$F$405,G245,'Istoric_Nativ'!$D$6:$D$405,"&lt;"&amp;J245,'Istoric_Nativ'!$P$6:$P$405,1,'Istoric_Nativ'!$D$6:$D$405,"&gt;="&amp;L245),SUMIFS('Istoric_Nativ'!$G$6:$G$405,'Istoric_Nativ'!$B$6:$B$405,E245,'Istoric_Nativ'!$C$6:$C$405,F245,'Istoric_Nativ'!$E$6:$E$405,G245,'Istoric_Nativ'!$D$6:$D$405,"&lt;"&amp;J245,'Istoric_Nativ'!$P$6:$P$405,1,'Istoric_Nativ'!$D$6:$D$405,"&gt;="&amp;L245)+SUMIFS('Istoric_Nativ'!$H$6:$H$405,'Istoric_Nativ'!$B$6:$B$405,E245,'Istoric_Nativ'!$C$6:$C$405,F245,'Istoric_Nativ'!$F$6:$F$405,G245,'Istoric_Nativ'!$D$6:$D$405,"&lt;"&amp;J245,'Istoric_Nativ'!$P$6:$P$405,1,'Istoric_Nativ'!$D$6:$D$405,"&gt;="&amp;L245)))/M245)</x:f>
      </x:c>
      <x:c r="O245" s="11" t="str">
        <x:f>IF(M245=0,"",IF(H245="HOME",SUMIFS('Istoric_Nativ'!$H$6:$H$405,'Istoric_Nativ'!$B$6:$B$405,E245,'Istoric_Nativ'!$C$6:$C$405,F245,'Istoric_Nativ'!$E$6:$E$405,G245,'Istoric_Nativ'!$D$6:$D$405,"&lt;"&amp;J245,'Istoric_Nativ'!$P$6:$P$405,1,'Istoric_Nativ'!$D$6:$D$405,"&gt;="&amp;L245),IF(H245="AWAY",SUMIFS('Istoric_Nativ'!$G$6:$G$405,'Istoric_Nativ'!$B$6:$B$405,E245,'Istoric_Nativ'!$C$6:$C$405,F245,'Istoric_Nativ'!$F$6:$F$405,G245,'Istoric_Nativ'!$D$6:$D$405,"&lt;"&amp;J245,'Istoric_Nativ'!$P$6:$P$405,1,'Istoric_Nativ'!$D$6:$D$405,"&gt;="&amp;L245),SUMIFS('Istoric_Nativ'!$H$6:$H$405,'Istoric_Nativ'!$B$6:$B$405,E245,'Istoric_Nativ'!$C$6:$C$405,F245,'Istoric_Nativ'!$E$6:$E$405,G245,'Istoric_Nativ'!$D$6:$D$405,"&lt;"&amp;J245,'Istoric_Nativ'!$P$6:$P$405,1,'Istoric_Nativ'!$D$6:$D$405,"&gt;="&amp;L245)+SUMIFS('Istoric_Nativ'!$G$6:$G$405,'Istoric_Nativ'!$B$6:$B$405,E245,'Istoric_Nativ'!$C$6:$C$405,F245,'Istoric_Nativ'!$F$6:$F$405,G245,'Istoric_Nativ'!$D$6:$D$405,"&lt;"&amp;J245,'Istoric_Nativ'!$P$6:$P$405,1,'Istoric_Nativ'!$D$6:$D$405,"&gt;="&amp;L245)))/M245)</x:f>
      </x:c>
      <x:c r="P245" s="2" t="n">
        <x:f>'Config_v6'!$B$9</x:f>
        <x:v>3</x:v>
      </x:c>
      <x:c r="Q245" s="2" t="n">
        <x:f>IF(OR(B245="",F245=""),0,IFERROR(MATCH(E245&amp;"|"&amp;F245,SourceTable[Source_Key],0),0))</x:f>
        <x:v>0</x:v>
      </x:c>
      <x:c r="R245" s="2" t="str">
        <x:f>IF(B245="","",IF(F245="","UNUSED",IF(Q245=0,"NOT CHECKED",IF(COUNTIF(SourceTable[Source_Key],E245&amp;"|"&amp;F245)&lt;&gt;1,"SOURCE CONFLICT",IF(NOT(OR(INDEX(SourceTable[Status],MAX(1,Q245))="IMPORTED",INDEX(SourceTable[Status],MAX(1,Q245))="PARTIAL",INDEX(SourceTable[Status],MAX(1,Q245))="SOURCE CONFLICT")),"ACCESS BLOCKED",IF(OR(INDEX(SourceTable[Coverage],Q245)&lt;&gt;"FULL SEASON EXPORT",INDEX(SourceTable[URL],Q245)="",INDEX(SourceTable[SHA256],Q245)=""),"EVIDENCE INCOMPLETE",IF(AND('Input_Meci'!H25="LIVE",INDEX(SourceTable[Retrieved_UTC],Q245)&gt;'Input_Meci'!G25),"POST CUTOFF","CLOSED")))))))</x:f>
      </x:c>
      <x:c r="S245" s="2" t="n">
        <x:f>IF(OR(B245="",F245=""),0,COUNTIFS('Istoric_Nativ'!$B$6:$B$405,E245,'Istoric_Nativ'!$C$6:$C$405,F245,'Istoric_Nativ'!$E$6:$E$405,G245,'Istoric_Nativ'!$D$6:$D$405,"&lt;"&amp;J245,'Istoric_Nativ'!$O$6:$O$405,"INVALID")+COUNTIFS('Istoric_Nativ'!$B$6:$B$405,E245,'Istoric_Nativ'!$C$6:$C$405,F245,'Istoric_Nativ'!$E$6:$E$405,G245,'Istoric_Nativ'!$O$6:$O$405,"INVALID",'Istoric_Nativ'!$D$6:$D$405,"*")+COUNTIFS('Istoric_Nativ'!$B$6:$B$405,E245,'Istoric_Nativ'!$C$6:$C$405,F245,'Istoric_Nativ'!$E$6:$E$405,G245,'Istoric_Nativ'!$D$6:$D$405,"&lt;"&amp;J245,'Istoric_Nativ'!$O$6:$O$405,"SOURCE CONFLICT")+COUNTIFS('Istoric_Nativ'!$B$6:$B$405,E245,'Istoric_Nativ'!$C$6:$C$405,F245,'Istoric_Nativ'!$F$6:$F$405,G245,'Istoric_Nativ'!$D$6:$D$405,"&lt;"&amp;J245,'Istoric_Nativ'!$O$6:$O$405,"INVALID")+COUNTIFS('Istoric_Nativ'!$B$6:$B$405,E245,'Istoric_Nativ'!$C$6:$C$405,F245,'Istoric_Nativ'!$F$6:$F$405,G245,'Istoric_Nativ'!$O$6:$O$405,"INVALID",'Istoric_Nativ'!$D$6:$D$405,"*")+COUNTIFS('Istoric_Nativ'!$B$6:$B$405,E245,'Istoric_Nativ'!$C$6:$C$405,F245,'Istoric_Nativ'!$F$6:$F$405,G245,'Istoric_Nativ'!$D$6:$D$405,"&lt;"&amp;J245,'Istoric_Nativ'!$O$6:$O$405,"SOURCE CONFLICT"))</x:f>
        <x:v>0</x:v>
      </x:c>
      <x:c r="T245" s="2" t="str">
        <x:f>IF(B245="","",IF(R245&lt;&gt;"CLOSED",R245,IF(S245&gt;0,"NATIVE INPUT ISSUE",IF(M245=0,"NO HISTORY",IF(M245&lt;P245,"SMALL SAMPLE","DERIVED")))))</x:f>
      </x:c>
      <x:c r="U245" s="2" t="str">
        <x:f>IF(B245="","","NativeTable; "&amp;E245&amp;"; "&amp;F245&amp;"; "&amp;G245&amp;"; "&amp;H245&amp;"; before "&amp;TEXT(J245,"yyyy-mm-dd")&amp;IF(I245="RECENT","; from "&amp;TEXT(L245,"yyyy-mm-dd"),""))</x:f>
      </x:c>
    </x:row>
    <x:row r="246" ht="21" customHeight="1">
      <x:c r="A246" s="2" t="n">
        <x:v>21</x:v>
      </x:c>
      <x:c r="B246" s="2" t="str">
        <x:f>IF('Input_Meci'!A26="","",'Input_Meci'!A26)</x:f>
      </x:c>
      <x:c r="C246" s="2" t="str">
        <x:v>H</x:v>
      </x:c>
      <x:c r="D246" s="2" t="str">
        <x:v>CURRENT</x:v>
      </x:c>
      <x:c r="E246" s="2" t="str">
        <x:f>IF(B246="","",'Input_Meci'!B26)</x:f>
      </x:c>
      <x:c r="F246" s="2" t="str">
        <x:f>IF(B246="","",IF('Input_Meci'!C26="","",'Input_Meci'!C26))</x:f>
      </x:c>
      <x:c r="G246" s="2" t="str">
        <x:f>IF(B246="","",'Input_Meci'!D26)</x:f>
      </x:c>
      <x:c r="H246" s="2" t="str">
        <x:v>ANY</x:v>
      </x:c>
      <x:c r="I246" s="2" t="str">
        <x:v>SEASON</x:v>
      </x:c>
      <x:c r="J246" s="9" t="n">
        <x:f>IF(AND(B246&lt;&gt;"",ISNUMBER('Input_Meci'!G26)),INT('Input_Meci'!G26),0)</x:f>
        <x:v>0</x:v>
      </x:c>
      <x:c r="K246" s="2" t="n">
        <x:f>IF(OR(B246="",F246=""),0,IF(H246="HOME",COUNTIFS('Istoric_Nativ'!$B$6:$B$405,E246,'Istoric_Nativ'!$C$6:$C$405,F246,'Istoric_Nativ'!$E$6:$E$405,G246,'Istoric_Nativ'!$D$6:$D$405,"&lt;"&amp;J246,'Istoric_Nativ'!$P$6:$P$405,1),IF(H246="AWAY",COUNTIFS('Istoric_Nativ'!$B$6:$B$405,E246,'Istoric_Nativ'!$C$6:$C$405,F246,'Istoric_Nativ'!$F$6:$F$405,G246,'Istoric_Nativ'!$D$6:$D$405,"&lt;"&amp;J246,'Istoric_Nativ'!$P$6:$P$405,1),COUNTIFS('Istoric_Nativ'!$B$6:$B$405,E246,'Istoric_Nativ'!$C$6:$C$405,F246,'Istoric_Nativ'!$E$6:$E$405,G246,'Istoric_Nativ'!$D$6:$D$405,"&lt;"&amp;J246,'Istoric_Nativ'!$P$6:$P$405,1)+COUNTIFS('Istoric_Nativ'!$B$6:$B$405,E246,'Istoric_Nativ'!$C$6:$C$405,F246,'Istoric_Nativ'!$F$6:$F$405,G246,'Istoric_Nativ'!$D$6:$D$405,"&lt;"&amp;J246,'Istoric_Nativ'!$P$6:$P$405,1))))</x:f>
        <x:v>0</x:v>
      </x:c>
      <x:c r="L246" s="17" t="n">
        <x:f>IF(AND(B246&lt;&gt;"",I246="RECENT",K246&gt;0),LARGE(_xlfn._xlws.FILTER('Istoric_Nativ'!$D$6:$D$405,('Istoric_Nativ'!$B$6:$B$405=E246)*('Istoric_Nativ'!$C$6:$C$405=F246)*('Istoric_Nativ'!$P$6:$P$405=1)*('Istoric_Nativ'!$D$6:$D$405&lt;J246)*((('Istoric_Nativ'!$E$6:$E$405=G246)+('Istoric_Nativ'!$F$6:$F$405=G246))&gt;0)),MIN('Config_v6'!$B$54,K246)),0)</x:f>
        <x:v>0</x:v>
      </x:c>
      <x:c r="M246" s="2" t="n">
        <x:f>IF(OR(B246="",F246=""),0,IF(H246="HOME",COUNTIFS('Istoric_Nativ'!$B$6:$B$405,E246,'Istoric_Nativ'!$C$6:$C$405,F246,'Istoric_Nativ'!$E$6:$E$405,G246,'Istoric_Nativ'!$D$6:$D$405,"&lt;"&amp;J246,'Istoric_Nativ'!$P$6:$P$405,1,'Istoric_Nativ'!$D$6:$D$405,"&gt;="&amp;L246),IF(H246="AWAY",COUNTIFS('Istoric_Nativ'!$B$6:$B$405,E246,'Istoric_Nativ'!$C$6:$C$405,F246,'Istoric_Nativ'!$F$6:$F$405,G246,'Istoric_Nativ'!$D$6:$D$405,"&lt;"&amp;J246,'Istoric_Nativ'!$P$6:$P$405,1,'Istoric_Nativ'!$D$6:$D$405,"&gt;="&amp;L246),COUNTIFS('Istoric_Nativ'!$B$6:$B$405,E246,'Istoric_Nativ'!$C$6:$C$405,F246,'Istoric_Nativ'!$E$6:$E$405,G246,'Istoric_Nativ'!$D$6:$D$405,"&lt;"&amp;J246,'Istoric_Nativ'!$P$6:$P$405,1,'Istoric_Nativ'!$D$6:$D$405,"&gt;="&amp;L246)+COUNTIFS('Istoric_Nativ'!$B$6:$B$405,E246,'Istoric_Nativ'!$C$6:$C$405,F246,'Istoric_Nativ'!$F$6:$F$405,G246,'Istoric_Nativ'!$D$6:$D$405,"&lt;"&amp;J246,'Istoric_Nativ'!$P$6:$P$405,1,'Istoric_Nativ'!$D$6:$D$405,"&gt;="&amp;L246))))</x:f>
        <x:v>0</x:v>
      </x:c>
      <x:c r="N246" s="11" t="str">
        <x:f>IF(M246=0,"",IF(H246="HOME",SUMIFS('Istoric_Nativ'!$G$6:$G$405,'Istoric_Nativ'!$B$6:$B$405,E246,'Istoric_Nativ'!$C$6:$C$405,F246,'Istoric_Nativ'!$E$6:$E$405,G246,'Istoric_Nativ'!$D$6:$D$405,"&lt;"&amp;J246,'Istoric_Nativ'!$P$6:$P$405,1,'Istoric_Nativ'!$D$6:$D$405,"&gt;="&amp;L246),IF(H246="AWAY",SUMIFS('Istoric_Nativ'!$H$6:$H$405,'Istoric_Nativ'!$B$6:$B$405,E246,'Istoric_Nativ'!$C$6:$C$405,F246,'Istoric_Nativ'!$F$6:$F$405,G246,'Istoric_Nativ'!$D$6:$D$405,"&lt;"&amp;J246,'Istoric_Nativ'!$P$6:$P$405,1,'Istoric_Nativ'!$D$6:$D$405,"&gt;="&amp;L246),SUMIFS('Istoric_Nativ'!$G$6:$G$405,'Istoric_Nativ'!$B$6:$B$405,E246,'Istoric_Nativ'!$C$6:$C$405,F246,'Istoric_Nativ'!$E$6:$E$405,G246,'Istoric_Nativ'!$D$6:$D$405,"&lt;"&amp;J246,'Istoric_Nativ'!$P$6:$P$405,1,'Istoric_Nativ'!$D$6:$D$405,"&gt;="&amp;L246)+SUMIFS('Istoric_Nativ'!$H$6:$H$405,'Istoric_Nativ'!$B$6:$B$405,E246,'Istoric_Nativ'!$C$6:$C$405,F246,'Istoric_Nativ'!$F$6:$F$405,G246,'Istoric_Nativ'!$D$6:$D$405,"&lt;"&amp;J246,'Istoric_Nativ'!$P$6:$P$405,1,'Istoric_Nativ'!$D$6:$D$405,"&gt;="&amp;L246)))/M246)</x:f>
      </x:c>
      <x:c r="O246" s="11" t="str">
        <x:f>IF(M246=0,"",IF(H246="HOME",SUMIFS('Istoric_Nativ'!$H$6:$H$405,'Istoric_Nativ'!$B$6:$B$405,E246,'Istoric_Nativ'!$C$6:$C$405,F246,'Istoric_Nativ'!$E$6:$E$405,G246,'Istoric_Nativ'!$D$6:$D$405,"&lt;"&amp;J246,'Istoric_Nativ'!$P$6:$P$405,1,'Istoric_Nativ'!$D$6:$D$405,"&gt;="&amp;L246),IF(H246="AWAY",SUMIFS('Istoric_Nativ'!$G$6:$G$405,'Istoric_Nativ'!$B$6:$B$405,E246,'Istoric_Nativ'!$C$6:$C$405,F246,'Istoric_Nativ'!$F$6:$F$405,G246,'Istoric_Nativ'!$D$6:$D$405,"&lt;"&amp;J246,'Istoric_Nativ'!$P$6:$P$405,1,'Istoric_Nativ'!$D$6:$D$405,"&gt;="&amp;L246),SUMIFS('Istoric_Nativ'!$H$6:$H$405,'Istoric_Nativ'!$B$6:$B$405,E246,'Istoric_Nativ'!$C$6:$C$405,F246,'Istoric_Nativ'!$E$6:$E$405,G246,'Istoric_Nativ'!$D$6:$D$405,"&lt;"&amp;J246,'Istoric_Nativ'!$P$6:$P$405,1,'Istoric_Nativ'!$D$6:$D$405,"&gt;="&amp;L246)+SUMIFS('Istoric_Nativ'!$G$6:$G$405,'Istoric_Nativ'!$B$6:$B$405,E246,'Istoric_Nativ'!$C$6:$C$405,F246,'Istoric_Nativ'!$F$6:$F$405,G246,'Istoric_Nativ'!$D$6:$D$405,"&lt;"&amp;J246,'Istoric_Nativ'!$P$6:$P$405,1,'Istoric_Nativ'!$D$6:$D$405,"&gt;="&amp;L246)))/M246)</x:f>
      </x:c>
      <x:c r="P246" s="2" t="n">
        <x:f>'Config_v6'!$B$7</x:f>
        <x:v>10</x:v>
      </x:c>
      <x:c r="Q246" s="2" t="n">
        <x:f>IF(OR(B246="",F246=""),0,IFERROR(MATCH(E246&amp;"|"&amp;F246,SourceTable[Source_Key],0),0))</x:f>
        <x:v>0</x:v>
      </x:c>
      <x:c r="R246" s="2" t="str">
        <x:f>IF(B246="","",IF(F246="","UNUSED",IF(Q246=0,"NOT CHECKED",IF(COUNTIF(SourceTable[Source_Key],E246&amp;"|"&amp;F246)&lt;&gt;1,"SOURCE CONFLICT",IF(NOT(OR(INDEX(SourceTable[Status],MAX(1,Q246))="IMPORTED",INDEX(SourceTable[Status],MAX(1,Q246))="PARTIAL",INDEX(SourceTable[Status],MAX(1,Q246))="SOURCE CONFLICT")),"ACCESS BLOCKED",IF(OR(INDEX(SourceTable[Coverage],Q246)&lt;&gt;"FULL SEASON EXPORT",INDEX(SourceTable[URL],Q246)="",INDEX(SourceTable[SHA256],Q246)=""),"EVIDENCE INCOMPLETE",IF(AND('Input_Meci'!H26="LIVE",INDEX(SourceTable[Retrieved_UTC],Q246)&gt;'Input_Meci'!G26),"POST CUTOFF","CLOSED")))))))</x:f>
      </x:c>
      <x:c r="S246" s="2" t="n">
        <x:f>IF(OR(B246="",F246=""),0,COUNTIFS('Istoric_Nativ'!$B$6:$B$405,E246,'Istoric_Nativ'!$C$6:$C$405,F246,'Istoric_Nativ'!$E$6:$E$405,G246,'Istoric_Nativ'!$D$6:$D$405,"&lt;"&amp;J246,'Istoric_Nativ'!$O$6:$O$405,"INVALID")+COUNTIFS('Istoric_Nativ'!$B$6:$B$405,E246,'Istoric_Nativ'!$C$6:$C$405,F246,'Istoric_Nativ'!$E$6:$E$405,G246,'Istoric_Nativ'!$O$6:$O$405,"INVALID",'Istoric_Nativ'!$D$6:$D$405,"*")+COUNTIFS('Istoric_Nativ'!$B$6:$B$405,E246,'Istoric_Nativ'!$C$6:$C$405,F246,'Istoric_Nativ'!$E$6:$E$405,G246,'Istoric_Nativ'!$D$6:$D$405,"&lt;"&amp;J246,'Istoric_Nativ'!$O$6:$O$405,"SOURCE CONFLICT")+COUNTIFS('Istoric_Nativ'!$B$6:$B$405,E246,'Istoric_Nativ'!$C$6:$C$405,F246,'Istoric_Nativ'!$F$6:$F$405,G246,'Istoric_Nativ'!$D$6:$D$405,"&lt;"&amp;J246,'Istoric_Nativ'!$O$6:$O$405,"INVALID")+COUNTIFS('Istoric_Nativ'!$B$6:$B$405,E246,'Istoric_Nativ'!$C$6:$C$405,F246,'Istoric_Nativ'!$F$6:$F$405,G246,'Istoric_Nativ'!$O$6:$O$405,"INVALID",'Istoric_Nativ'!$D$6:$D$405,"*")+COUNTIFS('Istoric_Nativ'!$B$6:$B$405,E246,'Istoric_Nativ'!$C$6:$C$405,F246,'Istoric_Nativ'!$F$6:$F$405,G246,'Istoric_Nativ'!$D$6:$D$405,"&lt;"&amp;J246,'Istoric_Nativ'!$O$6:$O$405,"SOURCE CONFLICT"))</x:f>
        <x:v>0</x:v>
      </x:c>
      <x:c r="T246" s="2" t="str">
        <x:f>IF(B246="","",IF(R246&lt;&gt;"CLOSED",R246,IF(S246&gt;0,"NATIVE INPUT ISSUE",IF(M246=0,"NO HISTORY",IF(M246&lt;P246,"SMALL SAMPLE","DERIVED")))))</x:f>
      </x:c>
      <x:c r="U246" s="2" t="str">
        <x:f>IF(B246="","","NativeTable; "&amp;E246&amp;"; "&amp;F246&amp;"; "&amp;G246&amp;"; "&amp;H246&amp;"; before "&amp;TEXT(J246,"yyyy-mm-dd")&amp;IF(I246="RECENT","; from "&amp;TEXT(L246,"yyyy-mm-dd"),""))</x:f>
      </x:c>
    </x:row>
    <x:row r="247" ht="21" customHeight="1">
      <x:c r="A247" s="2" t="n">
        <x:v>21</x:v>
      </x:c>
      <x:c r="B247" s="2" t="str">
        <x:f>IF('Input_Meci'!A26="","",'Input_Meci'!A26)</x:f>
      </x:c>
      <x:c r="C247" s="2" t="str">
        <x:v>H</x:v>
      </x:c>
      <x:c r="D247" s="2" t="str">
        <x:v>CURRENT</x:v>
      </x:c>
      <x:c r="E247" s="2" t="str">
        <x:f>IF(B247="","",'Input_Meci'!B26)</x:f>
      </x:c>
      <x:c r="F247" s="2" t="str">
        <x:f>IF(B247="","",IF('Input_Meci'!C26="","",'Input_Meci'!C26))</x:f>
      </x:c>
      <x:c r="G247" s="2" t="str">
        <x:f>IF(B247="","",'Input_Meci'!D26)</x:f>
      </x:c>
      <x:c r="H247" s="2" t="str">
        <x:v>HOME</x:v>
      </x:c>
      <x:c r="I247" s="2" t="str">
        <x:v>HA</x:v>
      </x:c>
      <x:c r="J247" s="9" t="n">
        <x:f>IF(AND(B247&lt;&gt;"",ISNUMBER('Input_Meci'!G26)),INT('Input_Meci'!G26),0)</x:f>
        <x:v>0</x:v>
      </x:c>
      <x:c r="K247" s="2" t="n">
        <x:f>IF(OR(B247="",F247=""),0,IF(H247="HOME",COUNTIFS('Istoric_Nativ'!$B$6:$B$405,E247,'Istoric_Nativ'!$C$6:$C$405,F247,'Istoric_Nativ'!$E$6:$E$405,G247,'Istoric_Nativ'!$D$6:$D$405,"&lt;"&amp;J247,'Istoric_Nativ'!$P$6:$P$405,1),IF(H247="AWAY",COUNTIFS('Istoric_Nativ'!$B$6:$B$405,E247,'Istoric_Nativ'!$C$6:$C$405,F247,'Istoric_Nativ'!$F$6:$F$405,G247,'Istoric_Nativ'!$D$6:$D$405,"&lt;"&amp;J247,'Istoric_Nativ'!$P$6:$P$405,1),COUNTIFS('Istoric_Nativ'!$B$6:$B$405,E247,'Istoric_Nativ'!$C$6:$C$405,F247,'Istoric_Nativ'!$E$6:$E$405,G247,'Istoric_Nativ'!$D$6:$D$405,"&lt;"&amp;J247,'Istoric_Nativ'!$P$6:$P$405,1)+COUNTIFS('Istoric_Nativ'!$B$6:$B$405,E247,'Istoric_Nativ'!$C$6:$C$405,F247,'Istoric_Nativ'!$F$6:$F$405,G247,'Istoric_Nativ'!$D$6:$D$405,"&lt;"&amp;J247,'Istoric_Nativ'!$P$6:$P$405,1))))</x:f>
        <x:v>0</x:v>
      </x:c>
      <x:c r="L247" s="17" t="n">
        <x:f>IF(AND(B247&lt;&gt;"",I247="RECENT",K247&gt;0),LARGE(_xlfn._xlws.FILTER('Istoric_Nativ'!$D$6:$D$405,('Istoric_Nativ'!$B$6:$B$405=E247)*('Istoric_Nativ'!$C$6:$C$405=F247)*('Istoric_Nativ'!$P$6:$P$405=1)*('Istoric_Nativ'!$D$6:$D$405&lt;J247)*((('Istoric_Nativ'!$E$6:$E$405=G247)+('Istoric_Nativ'!$F$6:$F$405=G247))&gt;0)),MIN('Config_v6'!$B$54,K247)),0)</x:f>
        <x:v>0</x:v>
      </x:c>
      <x:c r="M247" s="2" t="n">
        <x:f>IF(OR(B247="",F247=""),0,IF(H247="HOME",COUNTIFS('Istoric_Nativ'!$B$6:$B$405,E247,'Istoric_Nativ'!$C$6:$C$405,F247,'Istoric_Nativ'!$E$6:$E$405,G247,'Istoric_Nativ'!$D$6:$D$405,"&lt;"&amp;J247,'Istoric_Nativ'!$P$6:$P$405,1,'Istoric_Nativ'!$D$6:$D$405,"&gt;="&amp;L247),IF(H247="AWAY",COUNTIFS('Istoric_Nativ'!$B$6:$B$405,E247,'Istoric_Nativ'!$C$6:$C$405,F247,'Istoric_Nativ'!$F$6:$F$405,G247,'Istoric_Nativ'!$D$6:$D$405,"&lt;"&amp;J247,'Istoric_Nativ'!$P$6:$P$405,1,'Istoric_Nativ'!$D$6:$D$405,"&gt;="&amp;L247),COUNTIFS('Istoric_Nativ'!$B$6:$B$405,E247,'Istoric_Nativ'!$C$6:$C$405,F247,'Istoric_Nativ'!$E$6:$E$405,G247,'Istoric_Nativ'!$D$6:$D$405,"&lt;"&amp;J247,'Istoric_Nativ'!$P$6:$P$405,1,'Istoric_Nativ'!$D$6:$D$405,"&gt;="&amp;L247)+COUNTIFS('Istoric_Nativ'!$B$6:$B$405,E247,'Istoric_Nativ'!$C$6:$C$405,F247,'Istoric_Nativ'!$F$6:$F$405,G247,'Istoric_Nativ'!$D$6:$D$405,"&lt;"&amp;J247,'Istoric_Nativ'!$P$6:$P$405,1,'Istoric_Nativ'!$D$6:$D$405,"&gt;="&amp;L247))))</x:f>
        <x:v>0</x:v>
      </x:c>
      <x:c r="N247" s="11" t="str">
        <x:f>IF(M247=0,"",IF(H247="HOME",SUMIFS('Istoric_Nativ'!$G$6:$G$405,'Istoric_Nativ'!$B$6:$B$405,E247,'Istoric_Nativ'!$C$6:$C$405,F247,'Istoric_Nativ'!$E$6:$E$405,G247,'Istoric_Nativ'!$D$6:$D$405,"&lt;"&amp;J247,'Istoric_Nativ'!$P$6:$P$405,1,'Istoric_Nativ'!$D$6:$D$405,"&gt;="&amp;L247),IF(H247="AWAY",SUMIFS('Istoric_Nativ'!$H$6:$H$405,'Istoric_Nativ'!$B$6:$B$405,E247,'Istoric_Nativ'!$C$6:$C$405,F247,'Istoric_Nativ'!$F$6:$F$405,G247,'Istoric_Nativ'!$D$6:$D$405,"&lt;"&amp;J247,'Istoric_Nativ'!$P$6:$P$405,1,'Istoric_Nativ'!$D$6:$D$405,"&gt;="&amp;L247),SUMIFS('Istoric_Nativ'!$G$6:$G$405,'Istoric_Nativ'!$B$6:$B$405,E247,'Istoric_Nativ'!$C$6:$C$405,F247,'Istoric_Nativ'!$E$6:$E$405,G247,'Istoric_Nativ'!$D$6:$D$405,"&lt;"&amp;J247,'Istoric_Nativ'!$P$6:$P$405,1,'Istoric_Nativ'!$D$6:$D$405,"&gt;="&amp;L247)+SUMIFS('Istoric_Nativ'!$H$6:$H$405,'Istoric_Nativ'!$B$6:$B$405,E247,'Istoric_Nativ'!$C$6:$C$405,F247,'Istoric_Nativ'!$F$6:$F$405,G247,'Istoric_Nativ'!$D$6:$D$405,"&lt;"&amp;J247,'Istoric_Nativ'!$P$6:$P$405,1,'Istoric_Nativ'!$D$6:$D$405,"&gt;="&amp;L247)))/M247)</x:f>
      </x:c>
      <x:c r="O247" s="11" t="str">
        <x:f>IF(M247=0,"",IF(H247="HOME",SUMIFS('Istoric_Nativ'!$H$6:$H$405,'Istoric_Nativ'!$B$6:$B$405,E247,'Istoric_Nativ'!$C$6:$C$405,F247,'Istoric_Nativ'!$E$6:$E$405,G247,'Istoric_Nativ'!$D$6:$D$405,"&lt;"&amp;J247,'Istoric_Nativ'!$P$6:$P$405,1,'Istoric_Nativ'!$D$6:$D$405,"&gt;="&amp;L247),IF(H247="AWAY",SUMIFS('Istoric_Nativ'!$G$6:$G$405,'Istoric_Nativ'!$B$6:$B$405,E247,'Istoric_Nativ'!$C$6:$C$405,F247,'Istoric_Nativ'!$F$6:$F$405,G247,'Istoric_Nativ'!$D$6:$D$405,"&lt;"&amp;J247,'Istoric_Nativ'!$P$6:$P$405,1,'Istoric_Nativ'!$D$6:$D$405,"&gt;="&amp;L247),SUMIFS('Istoric_Nativ'!$H$6:$H$405,'Istoric_Nativ'!$B$6:$B$405,E247,'Istoric_Nativ'!$C$6:$C$405,F247,'Istoric_Nativ'!$E$6:$E$405,G247,'Istoric_Nativ'!$D$6:$D$405,"&lt;"&amp;J247,'Istoric_Nativ'!$P$6:$P$405,1,'Istoric_Nativ'!$D$6:$D$405,"&gt;="&amp;L247)+SUMIFS('Istoric_Nativ'!$G$6:$G$405,'Istoric_Nativ'!$B$6:$B$405,E247,'Istoric_Nativ'!$C$6:$C$405,F247,'Istoric_Nativ'!$F$6:$F$405,G247,'Istoric_Nativ'!$D$6:$D$405,"&lt;"&amp;J247,'Istoric_Nativ'!$P$6:$P$405,1,'Istoric_Nativ'!$D$6:$D$405,"&gt;="&amp;L247)))/M247)</x:f>
      </x:c>
      <x:c r="P247" s="2" t="n">
        <x:f>'Config_v6'!$B$8</x:f>
        <x:v>5</x:v>
      </x:c>
      <x:c r="Q247" s="2" t="n">
        <x:f>IF(OR(B247="",F247=""),0,IFERROR(MATCH(E247&amp;"|"&amp;F247,SourceTable[Source_Key],0),0))</x:f>
        <x:v>0</x:v>
      </x:c>
      <x:c r="R247" s="2" t="str">
        <x:f>IF(B247="","",IF(F247="","UNUSED",IF(Q247=0,"NOT CHECKED",IF(COUNTIF(SourceTable[Source_Key],E247&amp;"|"&amp;F247)&lt;&gt;1,"SOURCE CONFLICT",IF(NOT(OR(INDEX(SourceTable[Status],MAX(1,Q247))="IMPORTED",INDEX(SourceTable[Status],MAX(1,Q247))="PARTIAL",INDEX(SourceTable[Status],MAX(1,Q247))="SOURCE CONFLICT")),"ACCESS BLOCKED",IF(OR(INDEX(SourceTable[Coverage],Q247)&lt;&gt;"FULL SEASON EXPORT",INDEX(SourceTable[URL],Q247)="",INDEX(SourceTable[SHA256],Q247)=""),"EVIDENCE INCOMPLETE",IF(AND('Input_Meci'!H26="LIVE",INDEX(SourceTable[Retrieved_UTC],Q247)&gt;'Input_Meci'!G26),"POST CUTOFF","CLOSED")))))))</x:f>
      </x:c>
      <x:c r="S247" s="2" t="n">
        <x:f>IF(OR(B247="",F247=""),0,COUNTIFS('Istoric_Nativ'!$B$6:$B$405,E247,'Istoric_Nativ'!$C$6:$C$405,F247,'Istoric_Nativ'!$E$6:$E$405,G247,'Istoric_Nativ'!$D$6:$D$405,"&lt;"&amp;J247,'Istoric_Nativ'!$O$6:$O$405,"INVALID")+COUNTIFS('Istoric_Nativ'!$B$6:$B$405,E247,'Istoric_Nativ'!$C$6:$C$405,F247,'Istoric_Nativ'!$E$6:$E$405,G247,'Istoric_Nativ'!$O$6:$O$405,"INVALID",'Istoric_Nativ'!$D$6:$D$405,"*")+COUNTIFS('Istoric_Nativ'!$B$6:$B$405,E247,'Istoric_Nativ'!$C$6:$C$405,F247,'Istoric_Nativ'!$E$6:$E$405,G247,'Istoric_Nativ'!$D$6:$D$405,"&lt;"&amp;J247,'Istoric_Nativ'!$O$6:$O$405,"SOURCE CONFLICT")+COUNTIFS('Istoric_Nativ'!$B$6:$B$405,E247,'Istoric_Nativ'!$C$6:$C$405,F247,'Istoric_Nativ'!$F$6:$F$405,G247,'Istoric_Nativ'!$D$6:$D$405,"&lt;"&amp;J247,'Istoric_Nativ'!$O$6:$O$405,"INVALID")+COUNTIFS('Istoric_Nativ'!$B$6:$B$405,E247,'Istoric_Nativ'!$C$6:$C$405,F247,'Istoric_Nativ'!$F$6:$F$405,G247,'Istoric_Nativ'!$O$6:$O$405,"INVALID",'Istoric_Nativ'!$D$6:$D$405,"*")+COUNTIFS('Istoric_Nativ'!$B$6:$B$405,E247,'Istoric_Nativ'!$C$6:$C$405,F247,'Istoric_Nativ'!$F$6:$F$405,G247,'Istoric_Nativ'!$D$6:$D$405,"&lt;"&amp;J247,'Istoric_Nativ'!$O$6:$O$405,"SOURCE CONFLICT"))</x:f>
        <x:v>0</x:v>
      </x:c>
      <x:c r="T247" s="2" t="str">
        <x:f>IF(B247="","",IF(R247&lt;&gt;"CLOSED",R247,IF(S247&gt;0,"NATIVE INPUT ISSUE",IF(M247=0,"NO HISTORY",IF(M247&lt;P247,"SMALL SAMPLE","DERIVED")))))</x:f>
      </x:c>
      <x:c r="U247" s="2" t="str">
        <x:f>IF(B247="","","NativeTable; "&amp;E247&amp;"; "&amp;F247&amp;"; "&amp;G247&amp;"; "&amp;H247&amp;"; before "&amp;TEXT(J247,"yyyy-mm-dd")&amp;IF(I247="RECENT","; from "&amp;TEXT(L247,"yyyy-mm-dd"),""))</x:f>
      </x:c>
    </x:row>
    <x:row r="248" ht="21" customHeight="1">
      <x:c r="A248" s="2" t="n">
        <x:v>21</x:v>
      </x:c>
      <x:c r="B248" s="2" t="str">
        <x:f>IF('Input_Meci'!A26="","",'Input_Meci'!A26)</x:f>
      </x:c>
      <x:c r="C248" s="2" t="str">
        <x:v>H</x:v>
      </x:c>
      <x:c r="D248" s="2" t="str">
        <x:v>CURRENT</x:v>
      </x:c>
      <x:c r="E248" s="2" t="str">
        <x:f>IF(B248="","",'Input_Meci'!B26)</x:f>
      </x:c>
      <x:c r="F248" s="2" t="str">
        <x:f>IF(B248="","",IF('Input_Meci'!C26="","",'Input_Meci'!C26))</x:f>
      </x:c>
      <x:c r="G248" s="2" t="str">
        <x:f>IF(B248="","",'Input_Meci'!D26)</x:f>
      </x:c>
      <x:c r="H248" s="2" t="str">
        <x:v>ANY</x:v>
      </x:c>
      <x:c r="I248" s="2" t="str">
        <x:v>RECENT</x:v>
      </x:c>
      <x:c r="J248" s="9" t="n">
        <x:f>IF(AND(B248&lt;&gt;"",ISNUMBER('Input_Meci'!G26)),INT('Input_Meci'!G26),0)</x:f>
        <x:v>0</x:v>
      </x:c>
      <x:c r="K248" s="2" t="n">
        <x:f>IF(OR(B248="",F248=""),0,IF(H248="HOME",COUNTIFS('Istoric_Nativ'!$B$6:$B$405,E248,'Istoric_Nativ'!$C$6:$C$405,F248,'Istoric_Nativ'!$E$6:$E$405,G248,'Istoric_Nativ'!$D$6:$D$405,"&lt;"&amp;J248,'Istoric_Nativ'!$P$6:$P$405,1),IF(H248="AWAY",COUNTIFS('Istoric_Nativ'!$B$6:$B$405,E248,'Istoric_Nativ'!$C$6:$C$405,F248,'Istoric_Nativ'!$F$6:$F$405,G248,'Istoric_Nativ'!$D$6:$D$405,"&lt;"&amp;J248,'Istoric_Nativ'!$P$6:$P$405,1),COUNTIFS('Istoric_Nativ'!$B$6:$B$405,E248,'Istoric_Nativ'!$C$6:$C$405,F248,'Istoric_Nativ'!$E$6:$E$405,G248,'Istoric_Nativ'!$D$6:$D$405,"&lt;"&amp;J248,'Istoric_Nativ'!$P$6:$P$405,1)+COUNTIFS('Istoric_Nativ'!$B$6:$B$405,E248,'Istoric_Nativ'!$C$6:$C$405,F248,'Istoric_Nativ'!$F$6:$F$405,G248,'Istoric_Nativ'!$D$6:$D$405,"&lt;"&amp;J248,'Istoric_Nativ'!$P$6:$P$405,1))))</x:f>
        <x:v>0</x:v>
      </x:c>
      <x:c r="L248" s="17" t="n">
        <x:f>IF(AND(B248&lt;&gt;"",I248="RECENT",K248&gt;0),LARGE(_xlfn._xlws.FILTER('Istoric_Nativ'!$D$6:$D$405,('Istoric_Nativ'!$B$6:$B$405=E248)*('Istoric_Nativ'!$C$6:$C$405=F248)*('Istoric_Nativ'!$P$6:$P$405=1)*('Istoric_Nativ'!$D$6:$D$405&lt;J248)*((('Istoric_Nativ'!$E$6:$E$405=G248)+('Istoric_Nativ'!$F$6:$F$405=G248))&gt;0)),MIN('Config_v6'!$B$54,K248)),0)</x:f>
        <x:v>0</x:v>
      </x:c>
      <x:c r="M248" s="2" t="n">
        <x:f>IF(OR(B248="",F248=""),0,IF(H248="HOME",COUNTIFS('Istoric_Nativ'!$B$6:$B$405,E248,'Istoric_Nativ'!$C$6:$C$405,F248,'Istoric_Nativ'!$E$6:$E$405,G248,'Istoric_Nativ'!$D$6:$D$405,"&lt;"&amp;J248,'Istoric_Nativ'!$P$6:$P$405,1,'Istoric_Nativ'!$D$6:$D$405,"&gt;="&amp;L248),IF(H248="AWAY",COUNTIFS('Istoric_Nativ'!$B$6:$B$405,E248,'Istoric_Nativ'!$C$6:$C$405,F248,'Istoric_Nativ'!$F$6:$F$405,G248,'Istoric_Nativ'!$D$6:$D$405,"&lt;"&amp;J248,'Istoric_Nativ'!$P$6:$P$405,1,'Istoric_Nativ'!$D$6:$D$405,"&gt;="&amp;L248),COUNTIFS('Istoric_Nativ'!$B$6:$B$405,E248,'Istoric_Nativ'!$C$6:$C$405,F248,'Istoric_Nativ'!$E$6:$E$405,G248,'Istoric_Nativ'!$D$6:$D$405,"&lt;"&amp;J248,'Istoric_Nativ'!$P$6:$P$405,1,'Istoric_Nativ'!$D$6:$D$405,"&gt;="&amp;L248)+COUNTIFS('Istoric_Nativ'!$B$6:$B$405,E248,'Istoric_Nativ'!$C$6:$C$405,F248,'Istoric_Nativ'!$F$6:$F$405,G248,'Istoric_Nativ'!$D$6:$D$405,"&lt;"&amp;J248,'Istoric_Nativ'!$P$6:$P$405,1,'Istoric_Nativ'!$D$6:$D$405,"&gt;="&amp;L248))))</x:f>
        <x:v>0</x:v>
      </x:c>
      <x:c r="N248" s="11" t="str">
        <x:f>IF(M248=0,"",IF(H248="HOME",SUMIFS('Istoric_Nativ'!$G$6:$G$405,'Istoric_Nativ'!$B$6:$B$405,E248,'Istoric_Nativ'!$C$6:$C$405,F248,'Istoric_Nativ'!$E$6:$E$405,G248,'Istoric_Nativ'!$D$6:$D$405,"&lt;"&amp;J248,'Istoric_Nativ'!$P$6:$P$405,1,'Istoric_Nativ'!$D$6:$D$405,"&gt;="&amp;L248),IF(H248="AWAY",SUMIFS('Istoric_Nativ'!$H$6:$H$405,'Istoric_Nativ'!$B$6:$B$405,E248,'Istoric_Nativ'!$C$6:$C$405,F248,'Istoric_Nativ'!$F$6:$F$405,G248,'Istoric_Nativ'!$D$6:$D$405,"&lt;"&amp;J248,'Istoric_Nativ'!$P$6:$P$405,1,'Istoric_Nativ'!$D$6:$D$405,"&gt;="&amp;L248),SUMIFS('Istoric_Nativ'!$G$6:$G$405,'Istoric_Nativ'!$B$6:$B$405,E248,'Istoric_Nativ'!$C$6:$C$405,F248,'Istoric_Nativ'!$E$6:$E$405,G248,'Istoric_Nativ'!$D$6:$D$405,"&lt;"&amp;J248,'Istoric_Nativ'!$P$6:$P$405,1,'Istoric_Nativ'!$D$6:$D$405,"&gt;="&amp;L248)+SUMIFS('Istoric_Nativ'!$H$6:$H$405,'Istoric_Nativ'!$B$6:$B$405,E248,'Istoric_Nativ'!$C$6:$C$405,F248,'Istoric_Nativ'!$F$6:$F$405,G248,'Istoric_Nativ'!$D$6:$D$405,"&lt;"&amp;J248,'Istoric_Nativ'!$P$6:$P$405,1,'Istoric_Nativ'!$D$6:$D$405,"&gt;="&amp;L248)))/M248)</x:f>
      </x:c>
      <x:c r="O248" s="11" t="str">
        <x:f>IF(M248=0,"",IF(H248="HOME",SUMIFS('Istoric_Nativ'!$H$6:$H$405,'Istoric_Nativ'!$B$6:$B$405,E248,'Istoric_Nativ'!$C$6:$C$405,F248,'Istoric_Nativ'!$E$6:$E$405,G248,'Istoric_Nativ'!$D$6:$D$405,"&lt;"&amp;J248,'Istoric_Nativ'!$P$6:$P$405,1,'Istoric_Nativ'!$D$6:$D$405,"&gt;="&amp;L248),IF(H248="AWAY",SUMIFS('Istoric_Nativ'!$G$6:$G$405,'Istoric_Nativ'!$B$6:$B$405,E248,'Istoric_Nativ'!$C$6:$C$405,F248,'Istoric_Nativ'!$F$6:$F$405,G248,'Istoric_Nativ'!$D$6:$D$405,"&lt;"&amp;J248,'Istoric_Nativ'!$P$6:$P$405,1,'Istoric_Nativ'!$D$6:$D$405,"&gt;="&amp;L248),SUMIFS('Istoric_Nativ'!$H$6:$H$405,'Istoric_Nativ'!$B$6:$B$405,E248,'Istoric_Nativ'!$C$6:$C$405,F248,'Istoric_Nativ'!$E$6:$E$405,G248,'Istoric_Nativ'!$D$6:$D$405,"&lt;"&amp;J248,'Istoric_Nativ'!$P$6:$P$405,1,'Istoric_Nativ'!$D$6:$D$405,"&gt;="&amp;L248)+SUMIFS('Istoric_Nativ'!$G$6:$G$405,'Istoric_Nativ'!$B$6:$B$405,E248,'Istoric_Nativ'!$C$6:$C$405,F248,'Istoric_Nativ'!$F$6:$F$405,G248,'Istoric_Nativ'!$D$6:$D$405,"&lt;"&amp;J248,'Istoric_Nativ'!$P$6:$P$405,1,'Istoric_Nativ'!$D$6:$D$405,"&gt;="&amp;L248)))/M248)</x:f>
      </x:c>
      <x:c r="P248" s="2" t="n">
        <x:f>'Config_v6'!$B$9</x:f>
        <x:v>3</x:v>
      </x:c>
      <x:c r="Q248" s="2" t="n">
        <x:f>IF(OR(B248="",F248=""),0,IFERROR(MATCH(E248&amp;"|"&amp;F248,SourceTable[Source_Key],0),0))</x:f>
        <x:v>0</x:v>
      </x:c>
      <x:c r="R248" s="2" t="str">
        <x:f>IF(B248="","",IF(F248="","UNUSED",IF(Q248=0,"NOT CHECKED",IF(COUNTIF(SourceTable[Source_Key],E248&amp;"|"&amp;F248)&lt;&gt;1,"SOURCE CONFLICT",IF(NOT(OR(INDEX(SourceTable[Status],MAX(1,Q248))="IMPORTED",INDEX(SourceTable[Status],MAX(1,Q248))="PARTIAL",INDEX(SourceTable[Status],MAX(1,Q248))="SOURCE CONFLICT")),"ACCESS BLOCKED",IF(OR(INDEX(SourceTable[Coverage],Q248)&lt;&gt;"FULL SEASON EXPORT",INDEX(SourceTable[URL],Q248)="",INDEX(SourceTable[SHA256],Q248)=""),"EVIDENCE INCOMPLETE",IF(AND('Input_Meci'!H26="LIVE",INDEX(SourceTable[Retrieved_UTC],Q248)&gt;'Input_Meci'!G26),"POST CUTOFF","CLOSED")))))))</x:f>
      </x:c>
      <x:c r="S248" s="2" t="n">
        <x:f>IF(OR(B248="",F248=""),0,COUNTIFS('Istoric_Nativ'!$B$6:$B$405,E248,'Istoric_Nativ'!$C$6:$C$405,F248,'Istoric_Nativ'!$E$6:$E$405,G248,'Istoric_Nativ'!$D$6:$D$405,"&lt;"&amp;J248,'Istoric_Nativ'!$O$6:$O$405,"INVALID")+COUNTIFS('Istoric_Nativ'!$B$6:$B$405,E248,'Istoric_Nativ'!$C$6:$C$405,F248,'Istoric_Nativ'!$E$6:$E$405,G248,'Istoric_Nativ'!$O$6:$O$405,"INVALID",'Istoric_Nativ'!$D$6:$D$405,"*")+COUNTIFS('Istoric_Nativ'!$B$6:$B$405,E248,'Istoric_Nativ'!$C$6:$C$405,F248,'Istoric_Nativ'!$E$6:$E$405,G248,'Istoric_Nativ'!$D$6:$D$405,"&lt;"&amp;J248,'Istoric_Nativ'!$O$6:$O$405,"SOURCE CONFLICT")+COUNTIFS('Istoric_Nativ'!$B$6:$B$405,E248,'Istoric_Nativ'!$C$6:$C$405,F248,'Istoric_Nativ'!$F$6:$F$405,G248,'Istoric_Nativ'!$D$6:$D$405,"&lt;"&amp;J248,'Istoric_Nativ'!$O$6:$O$405,"INVALID")+COUNTIFS('Istoric_Nativ'!$B$6:$B$405,E248,'Istoric_Nativ'!$C$6:$C$405,F248,'Istoric_Nativ'!$F$6:$F$405,G248,'Istoric_Nativ'!$O$6:$O$405,"INVALID",'Istoric_Nativ'!$D$6:$D$405,"*")+COUNTIFS('Istoric_Nativ'!$B$6:$B$405,E248,'Istoric_Nativ'!$C$6:$C$405,F248,'Istoric_Nativ'!$F$6:$F$405,G248,'Istoric_Nativ'!$D$6:$D$405,"&lt;"&amp;J248,'Istoric_Nativ'!$O$6:$O$405,"SOURCE CONFLICT"))</x:f>
        <x:v>0</x:v>
      </x:c>
      <x:c r="T248" s="2" t="str">
        <x:f>IF(B248="","",IF(R248&lt;&gt;"CLOSED",R248,IF(S248&gt;0,"NATIVE INPUT ISSUE",IF(M248=0,"NO HISTORY",IF(M248&lt;P248,"SMALL SAMPLE","DERIVED")))))</x:f>
      </x:c>
      <x:c r="U248" s="2" t="str">
        <x:f>IF(B248="","","NativeTable; "&amp;E248&amp;"; "&amp;F248&amp;"; "&amp;G248&amp;"; "&amp;H248&amp;"; before "&amp;TEXT(J248,"yyyy-mm-dd")&amp;IF(I248="RECENT","; from "&amp;TEXT(L248,"yyyy-mm-dd"),""))</x:f>
      </x:c>
    </x:row>
    <x:row r="249" ht="21" customHeight="1">
      <x:c r="A249" s="2" t="n">
        <x:v>21</x:v>
      </x:c>
      <x:c r="B249" s="2" t="str">
        <x:f>IF('Input_Meci'!A26="","",'Input_Meci'!A26)</x:f>
      </x:c>
      <x:c r="C249" s="2" t="str">
        <x:v>A</x:v>
      </x:c>
      <x:c r="D249" s="2" t="str">
        <x:v>CURRENT</x:v>
      </x:c>
      <x:c r="E249" s="2" t="str">
        <x:f>IF(B249="","",'Input_Meci'!B26)</x:f>
      </x:c>
      <x:c r="F249" s="2" t="str">
        <x:f>IF(B249="","",IF('Input_Meci'!C26="","",'Input_Meci'!C26))</x:f>
      </x:c>
      <x:c r="G249" s="2" t="str">
        <x:f>IF(B249="","",'Input_Meci'!E26)</x:f>
      </x:c>
      <x:c r="H249" s="2" t="str">
        <x:v>ANY</x:v>
      </x:c>
      <x:c r="I249" s="2" t="str">
        <x:v>SEASON</x:v>
      </x:c>
      <x:c r="J249" s="9" t="n">
        <x:f>IF(AND(B249&lt;&gt;"",ISNUMBER('Input_Meci'!G26)),INT('Input_Meci'!G26),0)</x:f>
        <x:v>0</x:v>
      </x:c>
      <x:c r="K249" s="2" t="n">
        <x:f>IF(OR(B249="",F249=""),0,IF(H249="HOME",COUNTIFS('Istoric_Nativ'!$B$6:$B$405,E249,'Istoric_Nativ'!$C$6:$C$405,F249,'Istoric_Nativ'!$E$6:$E$405,G249,'Istoric_Nativ'!$D$6:$D$405,"&lt;"&amp;J249,'Istoric_Nativ'!$P$6:$P$405,1),IF(H249="AWAY",COUNTIFS('Istoric_Nativ'!$B$6:$B$405,E249,'Istoric_Nativ'!$C$6:$C$405,F249,'Istoric_Nativ'!$F$6:$F$405,G249,'Istoric_Nativ'!$D$6:$D$405,"&lt;"&amp;J249,'Istoric_Nativ'!$P$6:$P$405,1),COUNTIFS('Istoric_Nativ'!$B$6:$B$405,E249,'Istoric_Nativ'!$C$6:$C$405,F249,'Istoric_Nativ'!$E$6:$E$405,G249,'Istoric_Nativ'!$D$6:$D$405,"&lt;"&amp;J249,'Istoric_Nativ'!$P$6:$P$405,1)+COUNTIFS('Istoric_Nativ'!$B$6:$B$405,E249,'Istoric_Nativ'!$C$6:$C$405,F249,'Istoric_Nativ'!$F$6:$F$405,G249,'Istoric_Nativ'!$D$6:$D$405,"&lt;"&amp;J249,'Istoric_Nativ'!$P$6:$P$405,1))))</x:f>
        <x:v>0</x:v>
      </x:c>
      <x:c r="L249" s="17" t="n">
        <x:f>IF(AND(B249&lt;&gt;"",I249="RECENT",K249&gt;0),LARGE(_xlfn._xlws.FILTER('Istoric_Nativ'!$D$6:$D$405,('Istoric_Nativ'!$B$6:$B$405=E249)*('Istoric_Nativ'!$C$6:$C$405=F249)*('Istoric_Nativ'!$P$6:$P$405=1)*('Istoric_Nativ'!$D$6:$D$405&lt;J249)*((('Istoric_Nativ'!$E$6:$E$405=G249)+('Istoric_Nativ'!$F$6:$F$405=G249))&gt;0)),MIN('Config_v6'!$B$54,K249)),0)</x:f>
        <x:v>0</x:v>
      </x:c>
      <x:c r="M249" s="2" t="n">
        <x:f>IF(OR(B249="",F249=""),0,IF(H249="HOME",COUNTIFS('Istoric_Nativ'!$B$6:$B$405,E249,'Istoric_Nativ'!$C$6:$C$405,F249,'Istoric_Nativ'!$E$6:$E$405,G249,'Istoric_Nativ'!$D$6:$D$405,"&lt;"&amp;J249,'Istoric_Nativ'!$P$6:$P$405,1,'Istoric_Nativ'!$D$6:$D$405,"&gt;="&amp;L249),IF(H249="AWAY",COUNTIFS('Istoric_Nativ'!$B$6:$B$405,E249,'Istoric_Nativ'!$C$6:$C$405,F249,'Istoric_Nativ'!$F$6:$F$405,G249,'Istoric_Nativ'!$D$6:$D$405,"&lt;"&amp;J249,'Istoric_Nativ'!$P$6:$P$405,1,'Istoric_Nativ'!$D$6:$D$405,"&gt;="&amp;L249),COUNTIFS('Istoric_Nativ'!$B$6:$B$405,E249,'Istoric_Nativ'!$C$6:$C$405,F249,'Istoric_Nativ'!$E$6:$E$405,G249,'Istoric_Nativ'!$D$6:$D$405,"&lt;"&amp;J249,'Istoric_Nativ'!$P$6:$P$405,1,'Istoric_Nativ'!$D$6:$D$405,"&gt;="&amp;L249)+COUNTIFS('Istoric_Nativ'!$B$6:$B$405,E249,'Istoric_Nativ'!$C$6:$C$405,F249,'Istoric_Nativ'!$F$6:$F$405,G249,'Istoric_Nativ'!$D$6:$D$405,"&lt;"&amp;J249,'Istoric_Nativ'!$P$6:$P$405,1,'Istoric_Nativ'!$D$6:$D$405,"&gt;="&amp;L249))))</x:f>
        <x:v>0</x:v>
      </x:c>
      <x:c r="N249" s="11" t="str">
        <x:f>IF(M249=0,"",IF(H249="HOME",SUMIFS('Istoric_Nativ'!$G$6:$G$405,'Istoric_Nativ'!$B$6:$B$405,E249,'Istoric_Nativ'!$C$6:$C$405,F249,'Istoric_Nativ'!$E$6:$E$405,G249,'Istoric_Nativ'!$D$6:$D$405,"&lt;"&amp;J249,'Istoric_Nativ'!$P$6:$P$405,1,'Istoric_Nativ'!$D$6:$D$405,"&gt;="&amp;L249),IF(H249="AWAY",SUMIFS('Istoric_Nativ'!$H$6:$H$405,'Istoric_Nativ'!$B$6:$B$405,E249,'Istoric_Nativ'!$C$6:$C$405,F249,'Istoric_Nativ'!$F$6:$F$405,G249,'Istoric_Nativ'!$D$6:$D$405,"&lt;"&amp;J249,'Istoric_Nativ'!$P$6:$P$405,1,'Istoric_Nativ'!$D$6:$D$405,"&gt;="&amp;L249),SUMIFS('Istoric_Nativ'!$G$6:$G$405,'Istoric_Nativ'!$B$6:$B$405,E249,'Istoric_Nativ'!$C$6:$C$405,F249,'Istoric_Nativ'!$E$6:$E$405,G249,'Istoric_Nativ'!$D$6:$D$405,"&lt;"&amp;J249,'Istoric_Nativ'!$P$6:$P$405,1,'Istoric_Nativ'!$D$6:$D$405,"&gt;="&amp;L249)+SUMIFS('Istoric_Nativ'!$H$6:$H$405,'Istoric_Nativ'!$B$6:$B$405,E249,'Istoric_Nativ'!$C$6:$C$405,F249,'Istoric_Nativ'!$F$6:$F$405,G249,'Istoric_Nativ'!$D$6:$D$405,"&lt;"&amp;J249,'Istoric_Nativ'!$P$6:$P$405,1,'Istoric_Nativ'!$D$6:$D$405,"&gt;="&amp;L249)))/M249)</x:f>
      </x:c>
      <x:c r="O249" s="11" t="str">
        <x:f>IF(M249=0,"",IF(H249="HOME",SUMIFS('Istoric_Nativ'!$H$6:$H$405,'Istoric_Nativ'!$B$6:$B$405,E249,'Istoric_Nativ'!$C$6:$C$405,F249,'Istoric_Nativ'!$E$6:$E$405,G249,'Istoric_Nativ'!$D$6:$D$405,"&lt;"&amp;J249,'Istoric_Nativ'!$P$6:$P$405,1,'Istoric_Nativ'!$D$6:$D$405,"&gt;="&amp;L249),IF(H249="AWAY",SUMIFS('Istoric_Nativ'!$G$6:$G$405,'Istoric_Nativ'!$B$6:$B$405,E249,'Istoric_Nativ'!$C$6:$C$405,F249,'Istoric_Nativ'!$F$6:$F$405,G249,'Istoric_Nativ'!$D$6:$D$405,"&lt;"&amp;J249,'Istoric_Nativ'!$P$6:$P$405,1,'Istoric_Nativ'!$D$6:$D$405,"&gt;="&amp;L249),SUMIFS('Istoric_Nativ'!$H$6:$H$405,'Istoric_Nativ'!$B$6:$B$405,E249,'Istoric_Nativ'!$C$6:$C$405,F249,'Istoric_Nativ'!$E$6:$E$405,G249,'Istoric_Nativ'!$D$6:$D$405,"&lt;"&amp;J249,'Istoric_Nativ'!$P$6:$P$405,1,'Istoric_Nativ'!$D$6:$D$405,"&gt;="&amp;L249)+SUMIFS('Istoric_Nativ'!$G$6:$G$405,'Istoric_Nativ'!$B$6:$B$405,E249,'Istoric_Nativ'!$C$6:$C$405,F249,'Istoric_Nativ'!$F$6:$F$405,G249,'Istoric_Nativ'!$D$6:$D$405,"&lt;"&amp;J249,'Istoric_Nativ'!$P$6:$P$405,1,'Istoric_Nativ'!$D$6:$D$405,"&gt;="&amp;L249)))/M249)</x:f>
      </x:c>
      <x:c r="P249" s="2" t="n">
        <x:f>'Config_v6'!$B$7</x:f>
        <x:v>10</x:v>
      </x:c>
      <x:c r="Q249" s="2" t="n">
        <x:f>IF(OR(B249="",F249=""),0,IFERROR(MATCH(E249&amp;"|"&amp;F249,SourceTable[Source_Key],0),0))</x:f>
        <x:v>0</x:v>
      </x:c>
      <x:c r="R249" s="2" t="str">
        <x:f>IF(B249="","",IF(F249="","UNUSED",IF(Q249=0,"NOT CHECKED",IF(COUNTIF(SourceTable[Source_Key],E249&amp;"|"&amp;F249)&lt;&gt;1,"SOURCE CONFLICT",IF(NOT(OR(INDEX(SourceTable[Status],MAX(1,Q249))="IMPORTED",INDEX(SourceTable[Status],MAX(1,Q249))="PARTIAL",INDEX(SourceTable[Status],MAX(1,Q249))="SOURCE CONFLICT")),"ACCESS BLOCKED",IF(OR(INDEX(SourceTable[Coverage],Q249)&lt;&gt;"FULL SEASON EXPORT",INDEX(SourceTable[URL],Q249)="",INDEX(SourceTable[SHA256],Q249)=""),"EVIDENCE INCOMPLETE",IF(AND('Input_Meci'!H26="LIVE",INDEX(SourceTable[Retrieved_UTC],Q249)&gt;'Input_Meci'!G26),"POST CUTOFF","CLOSED")))))))</x:f>
      </x:c>
      <x:c r="S249" s="2" t="n">
        <x:f>IF(OR(B249="",F249=""),0,COUNTIFS('Istoric_Nativ'!$B$6:$B$405,E249,'Istoric_Nativ'!$C$6:$C$405,F249,'Istoric_Nativ'!$E$6:$E$405,G249,'Istoric_Nativ'!$D$6:$D$405,"&lt;"&amp;J249,'Istoric_Nativ'!$O$6:$O$405,"INVALID")+COUNTIFS('Istoric_Nativ'!$B$6:$B$405,E249,'Istoric_Nativ'!$C$6:$C$405,F249,'Istoric_Nativ'!$E$6:$E$405,G249,'Istoric_Nativ'!$O$6:$O$405,"INVALID",'Istoric_Nativ'!$D$6:$D$405,"*")+COUNTIFS('Istoric_Nativ'!$B$6:$B$405,E249,'Istoric_Nativ'!$C$6:$C$405,F249,'Istoric_Nativ'!$E$6:$E$405,G249,'Istoric_Nativ'!$D$6:$D$405,"&lt;"&amp;J249,'Istoric_Nativ'!$O$6:$O$405,"SOURCE CONFLICT")+COUNTIFS('Istoric_Nativ'!$B$6:$B$405,E249,'Istoric_Nativ'!$C$6:$C$405,F249,'Istoric_Nativ'!$F$6:$F$405,G249,'Istoric_Nativ'!$D$6:$D$405,"&lt;"&amp;J249,'Istoric_Nativ'!$O$6:$O$405,"INVALID")+COUNTIFS('Istoric_Nativ'!$B$6:$B$405,E249,'Istoric_Nativ'!$C$6:$C$405,F249,'Istoric_Nativ'!$F$6:$F$405,G249,'Istoric_Nativ'!$O$6:$O$405,"INVALID",'Istoric_Nativ'!$D$6:$D$405,"*")+COUNTIFS('Istoric_Nativ'!$B$6:$B$405,E249,'Istoric_Nativ'!$C$6:$C$405,F249,'Istoric_Nativ'!$F$6:$F$405,G249,'Istoric_Nativ'!$D$6:$D$405,"&lt;"&amp;J249,'Istoric_Nativ'!$O$6:$O$405,"SOURCE CONFLICT"))</x:f>
        <x:v>0</x:v>
      </x:c>
      <x:c r="T249" s="2" t="str">
        <x:f>IF(B249="","",IF(R249&lt;&gt;"CLOSED",R249,IF(S249&gt;0,"NATIVE INPUT ISSUE",IF(M249=0,"NO HISTORY",IF(M249&lt;P249,"SMALL SAMPLE","DERIVED")))))</x:f>
      </x:c>
      <x:c r="U249" s="2" t="str">
        <x:f>IF(B249="","","NativeTable; "&amp;E249&amp;"; "&amp;F249&amp;"; "&amp;G249&amp;"; "&amp;H249&amp;"; before "&amp;TEXT(J249,"yyyy-mm-dd")&amp;IF(I249="RECENT","; from "&amp;TEXT(L249,"yyyy-mm-dd"),""))</x:f>
      </x:c>
    </x:row>
    <x:row r="250" ht="21" customHeight="1">
      <x:c r="A250" s="2" t="n">
        <x:v>21</x:v>
      </x:c>
      <x:c r="B250" s="2" t="str">
        <x:f>IF('Input_Meci'!A26="","",'Input_Meci'!A26)</x:f>
      </x:c>
      <x:c r="C250" s="2" t="str">
        <x:v>A</x:v>
      </x:c>
      <x:c r="D250" s="2" t="str">
        <x:v>CURRENT</x:v>
      </x:c>
      <x:c r="E250" s="2" t="str">
        <x:f>IF(B250="","",'Input_Meci'!B26)</x:f>
      </x:c>
      <x:c r="F250" s="2" t="str">
        <x:f>IF(B250="","",IF('Input_Meci'!C26="","",'Input_Meci'!C26))</x:f>
      </x:c>
      <x:c r="G250" s="2" t="str">
        <x:f>IF(B250="","",'Input_Meci'!E26)</x:f>
      </x:c>
      <x:c r="H250" s="2" t="str">
        <x:v>AWAY</x:v>
      </x:c>
      <x:c r="I250" s="2" t="str">
        <x:v>HA</x:v>
      </x:c>
      <x:c r="J250" s="9" t="n">
        <x:f>IF(AND(B250&lt;&gt;"",ISNUMBER('Input_Meci'!G26)),INT('Input_Meci'!G26),0)</x:f>
        <x:v>0</x:v>
      </x:c>
      <x:c r="K250" s="2" t="n">
        <x:f>IF(OR(B250="",F250=""),0,IF(H250="HOME",COUNTIFS('Istoric_Nativ'!$B$6:$B$405,E250,'Istoric_Nativ'!$C$6:$C$405,F250,'Istoric_Nativ'!$E$6:$E$405,G250,'Istoric_Nativ'!$D$6:$D$405,"&lt;"&amp;J250,'Istoric_Nativ'!$P$6:$P$405,1),IF(H250="AWAY",COUNTIFS('Istoric_Nativ'!$B$6:$B$405,E250,'Istoric_Nativ'!$C$6:$C$405,F250,'Istoric_Nativ'!$F$6:$F$405,G250,'Istoric_Nativ'!$D$6:$D$405,"&lt;"&amp;J250,'Istoric_Nativ'!$P$6:$P$405,1),COUNTIFS('Istoric_Nativ'!$B$6:$B$405,E250,'Istoric_Nativ'!$C$6:$C$405,F250,'Istoric_Nativ'!$E$6:$E$405,G250,'Istoric_Nativ'!$D$6:$D$405,"&lt;"&amp;J250,'Istoric_Nativ'!$P$6:$P$405,1)+COUNTIFS('Istoric_Nativ'!$B$6:$B$405,E250,'Istoric_Nativ'!$C$6:$C$405,F250,'Istoric_Nativ'!$F$6:$F$405,G250,'Istoric_Nativ'!$D$6:$D$405,"&lt;"&amp;J250,'Istoric_Nativ'!$P$6:$P$405,1))))</x:f>
        <x:v>0</x:v>
      </x:c>
      <x:c r="L250" s="17" t="n">
        <x:f>IF(AND(B250&lt;&gt;"",I250="RECENT",K250&gt;0),LARGE(_xlfn._xlws.FILTER('Istoric_Nativ'!$D$6:$D$405,('Istoric_Nativ'!$B$6:$B$405=E250)*('Istoric_Nativ'!$C$6:$C$405=F250)*('Istoric_Nativ'!$P$6:$P$405=1)*('Istoric_Nativ'!$D$6:$D$405&lt;J250)*((('Istoric_Nativ'!$E$6:$E$405=G250)+('Istoric_Nativ'!$F$6:$F$405=G250))&gt;0)),MIN('Config_v6'!$B$54,K250)),0)</x:f>
        <x:v>0</x:v>
      </x:c>
      <x:c r="M250" s="2" t="n">
        <x:f>IF(OR(B250="",F250=""),0,IF(H250="HOME",COUNTIFS('Istoric_Nativ'!$B$6:$B$405,E250,'Istoric_Nativ'!$C$6:$C$405,F250,'Istoric_Nativ'!$E$6:$E$405,G250,'Istoric_Nativ'!$D$6:$D$405,"&lt;"&amp;J250,'Istoric_Nativ'!$P$6:$P$405,1,'Istoric_Nativ'!$D$6:$D$405,"&gt;="&amp;L250),IF(H250="AWAY",COUNTIFS('Istoric_Nativ'!$B$6:$B$405,E250,'Istoric_Nativ'!$C$6:$C$405,F250,'Istoric_Nativ'!$F$6:$F$405,G250,'Istoric_Nativ'!$D$6:$D$405,"&lt;"&amp;J250,'Istoric_Nativ'!$P$6:$P$405,1,'Istoric_Nativ'!$D$6:$D$405,"&gt;="&amp;L250),COUNTIFS('Istoric_Nativ'!$B$6:$B$405,E250,'Istoric_Nativ'!$C$6:$C$405,F250,'Istoric_Nativ'!$E$6:$E$405,G250,'Istoric_Nativ'!$D$6:$D$405,"&lt;"&amp;J250,'Istoric_Nativ'!$P$6:$P$405,1,'Istoric_Nativ'!$D$6:$D$405,"&gt;="&amp;L250)+COUNTIFS('Istoric_Nativ'!$B$6:$B$405,E250,'Istoric_Nativ'!$C$6:$C$405,F250,'Istoric_Nativ'!$F$6:$F$405,G250,'Istoric_Nativ'!$D$6:$D$405,"&lt;"&amp;J250,'Istoric_Nativ'!$P$6:$P$405,1,'Istoric_Nativ'!$D$6:$D$405,"&gt;="&amp;L250))))</x:f>
        <x:v>0</x:v>
      </x:c>
      <x:c r="N250" s="11" t="str">
        <x:f>IF(M250=0,"",IF(H250="HOME",SUMIFS('Istoric_Nativ'!$G$6:$G$405,'Istoric_Nativ'!$B$6:$B$405,E250,'Istoric_Nativ'!$C$6:$C$405,F250,'Istoric_Nativ'!$E$6:$E$405,G250,'Istoric_Nativ'!$D$6:$D$405,"&lt;"&amp;J250,'Istoric_Nativ'!$P$6:$P$405,1,'Istoric_Nativ'!$D$6:$D$405,"&gt;="&amp;L250),IF(H250="AWAY",SUMIFS('Istoric_Nativ'!$H$6:$H$405,'Istoric_Nativ'!$B$6:$B$405,E250,'Istoric_Nativ'!$C$6:$C$405,F250,'Istoric_Nativ'!$F$6:$F$405,G250,'Istoric_Nativ'!$D$6:$D$405,"&lt;"&amp;J250,'Istoric_Nativ'!$P$6:$P$405,1,'Istoric_Nativ'!$D$6:$D$405,"&gt;="&amp;L250),SUMIFS('Istoric_Nativ'!$G$6:$G$405,'Istoric_Nativ'!$B$6:$B$405,E250,'Istoric_Nativ'!$C$6:$C$405,F250,'Istoric_Nativ'!$E$6:$E$405,G250,'Istoric_Nativ'!$D$6:$D$405,"&lt;"&amp;J250,'Istoric_Nativ'!$P$6:$P$405,1,'Istoric_Nativ'!$D$6:$D$405,"&gt;="&amp;L250)+SUMIFS('Istoric_Nativ'!$H$6:$H$405,'Istoric_Nativ'!$B$6:$B$405,E250,'Istoric_Nativ'!$C$6:$C$405,F250,'Istoric_Nativ'!$F$6:$F$405,G250,'Istoric_Nativ'!$D$6:$D$405,"&lt;"&amp;J250,'Istoric_Nativ'!$P$6:$P$405,1,'Istoric_Nativ'!$D$6:$D$405,"&gt;="&amp;L250)))/M250)</x:f>
      </x:c>
      <x:c r="O250" s="11" t="str">
        <x:f>IF(M250=0,"",IF(H250="HOME",SUMIFS('Istoric_Nativ'!$H$6:$H$405,'Istoric_Nativ'!$B$6:$B$405,E250,'Istoric_Nativ'!$C$6:$C$405,F250,'Istoric_Nativ'!$E$6:$E$405,G250,'Istoric_Nativ'!$D$6:$D$405,"&lt;"&amp;J250,'Istoric_Nativ'!$P$6:$P$405,1,'Istoric_Nativ'!$D$6:$D$405,"&gt;="&amp;L250),IF(H250="AWAY",SUMIFS('Istoric_Nativ'!$G$6:$G$405,'Istoric_Nativ'!$B$6:$B$405,E250,'Istoric_Nativ'!$C$6:$C$405,F250,'Istoric_Nativ'!$F$6:$F$405,G250,'Istoric_Nativ'!$D$6:$D$405,"&lt;"&amp;J250,'Istoric_Nativ'!$P$6:$P$405,1,'Istoric_Nativ'!$D$6:$D$405,"&gt;="&amp;L250),SUMIFS('Istoric_Nativ'!$H$6:$H$405,'Istoric_Nativ'!$B$6:$B$405,E250,'Istoric_Nativ'!$C$6:$C$405,F250,'Istoric_Nativ'!$E$6:$E$405,G250,'Istoric_Nativ'!$D$6:$D$405,"&lt;"&amp;J250,'Istoric_Nativ'!$P$6:$P$405,1,'Istoric_Nativ'!$D$6:$D$405,"&gt;="&amp;L250)+SUMIFS('Istoric_Nativ'!$G$6:$G$405,'Istoric_Nativ'!$B$6:$B$405,E250,'Istoric_Nativ'!$C$6:$C$405,F250,'Istoric_Nativ'!$F$6:$F$405,G250,'Istoric_Nativ'!$D$6:$D$405,"&lt;"&amp;J250,'Istoric_Nativ'!$P$6:$P$405,1,'Istoric_Nativ'!$D$6:$D$405,"&gt;="&amp;L250)))/M250)</x:f>
      </x:c>
      <x:c r="P250" s="2" t="n">
        <x:f>'Config_v6'!$B$8</x:f>
        <x:v>5</x:v>
      </x:c>
      <x:c r="Q250" s="2" t="n">
        <x:f>IF(OR(B250="",F250=""),0,IFERROR(MATCH(E250&amp;"|"&amp;F250,SourceTable[Source_Key],0),0))</x:f>
        <x:v>0</x:v>
      </x:c>
      <x:c r="R250" s="2" t="str">
        <x:f>IF(B250="","",IF(F250="","UNUSED",IF(Q250=0,"NOT CHECKED",IF(COUNTIF(SourceTable[Source_Key],E250&amp;"|"&amp;F250)&lt;&gt;1,"SOURCE CONFLICT",IF(NOT(OR(INDEX(SourceTable[Status],MAX(1,Q250))="IMPORTED",INDEX(SourceTable[Status],MAX(1,Q250))="PARTIAL",INDEX(SourceTable[Status],MAX(1,Q250))="SOURCE CONFLICT")),"ACCESS BLOCKED",IF(OR(INDEX(SourceTable[Coverage],Q250)&lt;&gt;"FULL SEASON EXPORT",INDEX(SourceTable[URL],Q250)="",INDEX(SourceTable[SHA256],Q250)=""),"EVIDENCE INCOMPLETE",IF(AND('Input_Meci'!H26="LIVE",INDEX(SourceTable[Retrieved_UTC],Q250)&gt;'Input_Meci'!G26),"POST CUTOFF","CLOSED")))))))</x:f>
      </x:c>
      <x:c r="S250" s="2" t="n">
        <x:f>IF(OR(B250="",F250=""),0,COUNTIFS('Istoric_Nativ'!$B$6:$B$405,E250,'Istoric_Nativ'!$C$6:$C$405,F250,'Istoric_Nativ'!$E$6:$E$405,G250,'Istoric_Nativ'!$D$6:$D$405,"&lt;"&amp;J250,'Istoric_Nativ'!$O$6:$O$405,"INVALID")+COUNTIFS('Istoric_Nativ'!$B$6:$B$405,E250,'Istoric_Nativ'!$C$6:$C$405,F250,'Istoric_Nativ'!$E$6:$E$405,G250,'Istoric_Nativ'!$O$6:$O$405,"INVALID",'Istoric_Nativ'!$D$6:$D$405,"*")+COUNTIFS('Istoric_Nativ'!$B$6:$B$405,E250,'Istoric_Nativ'!$C$6:$C$405,F250,'Istoric_Nativ'!$E$6:$E$405,G250,'Istoric_Nativ'!$D$6:$D$405,"&lt;"&amp;J250,'Istoric_Nativ'!$O$6:$O$405,"SOURCE CONFLICT")+COUNTIFS('Istoric_Nativ'!$B$6:$B$405,E250,'Istoric_Nativ'!$C$6:$C$405,F250,'Istoric_Nativ'!$F$6:$F$405,G250,'Istoric_Nativ'!$D$6:$D$405,"&lt;"&amp;J250,'Istoric_Nativ'!$O$6:$O$405,"INVALID")+COUNTIFS('Istoric_Nativ'!$B$6:$B$405,E250,'Istoric_Nativ'!$C$6:$C$405,F250,'Istoric_Nativ'!$F$6:$F$405,G250,'Istoric_Nativ'!$O$6:$O$405,"INVALID",'Istoric_Nativ'!$D$6:$D$405,"*")+COUNTIFS('Istoric_Nativ'!$B$6:$B$405,E250,'Istoric_Nativ'!$C$6:$C$405,F250,'Istoric_Nativ'!$F$6:$F$405,G250,'Istoric_Nativ'!$D$6:$D$405,"&lt;"&amp;J250,'Istoric_Nativ'!$O$6:$O$405,"SOURCE CONFLICT"))</x:f>
        <x:v>0</x:v>
      </x:c>
      <x:c r="T250" s="2" t="str">
        <x:f>IF(B250="","",IF(R250&lt;&gt;"CLOSED",R250,IF(S250&gt;0,"NATIVE INPUT ISSUE",IF(M250=0,"NO HISTORY",IF(M250&lt;P250,"SMALL SAMPLE","DERIVED")))))</x:f>
      </x:c>
      <x:c r="U250" s="2" t="str">
        <x:f>IF(B250="","","NativeTable; "&amp;E250&amp;"; "&amp;F250&amp;"; "&amp;G250&amp;"; "&amp;H250&amp;"; before "&amp;TEXT(J250,"yyyy-mm-dd")&amp;IF(I250="RECENT","; from "&amp;TEXT(L250,"yyyy-mm-dd"),""))</x:f>
      </x:c>
    </x:row>
    <x:row r="251" ht="21" customHeight="1">
      <x:c r="A251" s="2" t="n">
        <x:v>21</x:v>
      </x:c>
      <x:c r="B251" s="2" t="str">
        <x:f>IF('Input_Meci'!A26="","",'Input_Meci'!A26)</x:f>
      </x:c>
      <x:c r="C251" s="2" t="str">
        <x:v>A</x:v>
      </x:c>
      <x:c r="D251" s="2" t="str">
        <x:v>CURRENT</x:v>
      </x:c>
      <x:c r="E251" s="2" t="str">
        <x:f>IF(B251="","",'Input_Meci'!B26)</x:f>
      </x:c>
      <x:c r="F251" s="2" t="str">
        <x:f>IF(B251="","",IF('Input_Meci'!C26="","",'Input_Meci'!C26))</x:f>
      </x:c>
      <x:c r="G251" s="2" t="str">
        <x:f>IF(B251="","",'Input_Meci'!E26)</x:f>
      </x:c>
      <x:c r="H251" s="2" t="str">
        <x:v>ANY</x:v>
      </x:c>
      <x:c r="I251" s="2" t="str">
        <x:v>RECENT</x:v>
      </x:c>
      <x:c r="J251" s="9" t="n">
        <x:f>IF(AND(B251&lt;&gt;"",ISNUMBER('Input_Meci'!G26)),INT('Input_Meci'!G26),0)</x:f>
        <x:v>0</x:v>
      </x:c>
      <x:c r="K251" s="2" t="n">
        <x:f>IF(OR(B251="",F251=""),0,IF(H251="HOME",COUNTIFS('Istoric_Nativ'!$B$6:$B$405,E251,'Istoric_Nativ'!$C$6:$C$405,F251,'Istoric_Nativ'!$E$6:$E$405,G251,'Istoric_Nativ'!$D$6:$D$405,"&lt;"&amp;J251,'Istoric_Nativ'!$P$6:$P$405,1),IF(H251="AWAY",COUNTIFS('Istoric_Nativ'!$B$6:$B$405,E251,'Istoric_Nativ'!$C$6:$C$405,F251,'Istoric_Nativ'!$F$6:$F$405,G251,'Istoric_Nativ'!$D$6:$D$405,"&lt;"&amp;J251,'Istoric_Nativ'!$P$6:$P$405,1),COUNTIFS('Istoric_Nativ'!$B$6:$B$405,E251,'Istoric_Nativ'!$C$6:$C$405,F251,'Istoric_Nativ'!$E$6:$E$405,G251,'Istoric_Nativ'!$D$6:$D$405,"&lt;"&amp;J251,'Istoric_Nativ'!$P$6:$P$405,1)+COUNTIFS('Istoric_Nativ'!$B$6:$B$405,E251,'Istoric_Nativ'!$C$6:$C$405,F251,'Istoric_Nativ'!$F$6:$F$405,G251,'Istoric_Nativ'!$D$6:$D$405,"&lt;"&amp;J251,'Istoric_Nativ'!$P$6:$P$405,1))))</x:f>
        <x:v>0</x:v>
      </x:c>
      <x:c r="L251" s="17" t="n">
        <x:f>IF(AND(B251&lt;&gt;"",I251="RECENT",K251&gt;0),LARGE(_xlfn._xlws.FILTER('Istoric_Nativ'!$D$6:$D$405,('Istoric_Nativ'!$B$6:$B$405=E251)*('Istoric_Nativ'!$C$6:$C$405=F251)*('Istoric_Nativ'!$P$6:$P$405=1)*('Istoric_Nativ'!$D$6:$D$405&lt;J251)*((('Istoric_Nativ'!$E$6:$E$405=G251)+('Istoric_Nativ'!$F$6:$F$405=G251))&gt;0)),MIN('Config_v6'!$B$54,K251)),0)</x:f>
        <x:v>0</x:v>
      </x:c>
      <x:c r="M251" s="2" t="n">
        <x:f>IF(OR(B251="",F251=""),0,IF(H251="HOME",COUNTIFS('Istoric_Nativ'!$B$6:$B$405,E251,'Istoric_Nativ'!$C$6:$C$405,F251,'Istoric_Nativ'!$E$6:$E$405,G251,'Istoric_Nativ'!$D$6:$D$405,"&lt;"&amp;J251,'Istoric_Nativ'!$P$6:$P$405,1,'Istoric_Nativ'!$D$6:$D$405,"&gt;="&amp;L251),IF(H251="AWAY",COUNTIFS('Istoric_Nativ'!$B$6:$B$405,E251,'Istoric_Nativ'!$C$6:$C$405,F251,'Istoric_Nativ'!$F$6:$F$405,G251,'Istoric_Nativ'!$D$6:$D$405,"&lt;"&amp;J251,'Istoric_Nativ'!$P$6:$P$405,1,'Istoric_Nativ'!$D$6:$D$405,"&gt;="&amp;L251),COUNTIFS('Istoric_Nativ'!$B$6:$B$405,E251,'Istoric_Nativ'!$C$6:$C$405,F251,'Istoric_Nativ'!$E$6:$E$405,G251,'Istoric_Nativ'!$D$6:$D$405,"&lt;"&amp;J251,'Istoric_Nativ'!$P$6:$P$405,1,'Istoric_Nativ'!$D$6:$D$405,"&gt;="&amp;L251)+COUNTIFS('Istoric_Nativ'!$B$6:$B$405,E251,'Istoric_Nativ'!$C$6:$C$405,F251,'Istoric_Nativ'!$F$6:$F$405,G251,'Istoric_Nativ'!$D$6:$D$405,"&lt;"&amp;J251,'Istoric_Nativ'!$P$6:$P$405,1,'Istoric_Nativ'!$D$6:$D$405,"&gt;="&amp;L251))))</x:f>
        <x:v>0</x:v>
      </x:c>
      <x:c r="N251" s="11" t="str">
        <x:f>IF(M251=0,"",IF(H251="HOME",SUMIFS('Istoric_Nativ'!$G$6:$G$405,'Istoric_Nativ'!$B$6:$B$405,E251,'Istoric_Nativ'!$C$6:$C$405,F251,'Istoric_Nativ'!$E$6:$E$405,G251,'Istoric_Nativ'!$D$6:$D$405,"&lt;"&amp;J251,'Istoric_Nativ'!$P$6:$P$405,1,'Istoric_Nativ'!$D$6:$D$405,"&gt;="&amp;L251),IF(H251="AWAY",SUMIFS('Istoric_Nativ'!$H$6:$H$405,'Istoric_Nativ'!$B$6:$B$405,E251,'Istoric_Nativ'!$C$6:$C$405,F251,'Istoric_Nativ'!$F$6:$F$405,G251,'Istoric_Nativ'!$D$6:$D$405,"&lt;"&amp;J251,'Istoric_Nativ'!$P$6:$P$405,1,'Istoric_Nativ'!$D$6:$D$405,"&gt;="&amp;L251),SUMIFS('Istoric_Nativ'!$G$6:$G$405,'Istoric_Nativ'!$B$6:$B$405,E251,'Istoric_Nativ'!$C$6:$C$405,F251,'Istoric_Nativ'!$E$6:$E$405,G251,'Istoric_Nativ'!$D$6:$D$405,"&lt;"&amp;J251,'Istoric_Nativ'!$P$6:$P$405,1,'Istoric_Nativ'!$D$6:$D$405,"&gt;="&amp;L251)+SUMIFS('Istoric_Nativ'!$H$6:$H$405,'Istoric_Nativ'!$B$6:$B$405,E251,'Istoric_Nativ'!$C$6:$C$405,F251,'Istoric_Nativ'!$F$6:$F$405,G251,'Istoric_Nativ'!$D$6:$D$405,"&lt;"&amp;J251,'Istoric_Nativ'!$P$6:$P$405,1,'Istoric_Nativ'!$D$6:$D$405,"&gt;="&amp;L251)))/M251)</x:f>
      </x:c>
      <x:c r="O251" s="11" t="str">
        <x:f>IF(M251=0,"",IF(H251="HOME",SUMIFS('Istoric_Nativ'!$H$6:$H$405,'Istoric_Nativ'!$B$6:$B$405,E251,'Istoric_Nativ'!$C$6:$C$405,F251,'Istoric_Nativ'!$E$6:$E$405,G251,'Istoric_Nativ'!$D$6:$D$405,"&lt;"&amp;J251,'Istoric_Nativ'!$P$6:$P$405,1,'Istoric_Nativ'!$D$6:$D$405,"&gt;="&amp;L251),IF(H251="AWAY",SUMIFS('Istoric_Nativ'!$G$6:$G$405,'Istoric_Nativ'!$B$6:$B$405,E251,'Istoric_Nativ'!$C$6:$C$405,F251,'Istoric_Nativ'!$F$6:$F$405,G251,'Istoric_Nativ'!$D$6:$D$405,"&lt;"&amp;J251,'Istoric_Nativ'!$P$6:$P$405,1,'Istoric_Nativ'!$D$6:$D$405,"&gt;="&amp;L251),SUMIFS('Istoric_Nativ'!$H$6:$H$405,'Istoric_Nativ'!$B$6:$B$405,E251,'Istoric_Nativ'!$C$6:$C$405,F251,'Istoric_Nativ'!$E$6:$E$405,G251,'Istoric_Nativ'!$D$6:$D$405,"&lt;"&amp;J251,'Istoric_Nativ'!$P$6:$P$405,1,'Istoric_Nativ'!$D$6:$D$405,"&gt;="&amp;L251)+SUMIFS('Istoric_Nativ'!$G$6:$G$405,'Istoric_Nativ'!$B$6:$B$405,E251,'Istoric_Nativ'!$C$6:$C$405,F251,'Istoric_Nativ'!$F$6:$F$405,G251,'Istoric_Nativ'!$D$6:$D$405,"&lt;"&amp;J251,'Istoric_Nativ'!$P$6:$P$405,1,'Istoric_Nativ'!$D$6:$D$405,"&gt;="&amp;L251)))/M251)</x:f>
      </x:c>
      <x:c r="P251" s="2" t="n">
        <x:f>'Config_v6'!$B$9</x:f>
        <x:v>3</x:v>
      </x:c>
      <x:c r="Q251" s="2" t="n">
        <x:f>IF(OR(B251="",F251=""),0,IFERROR(MATCH(E251&amp;"|"&amp;F251,SourceTable[Source_Key],0),0))</x:f>
        <x:v>0</x:v>
      </x:c>
      <x:c r="R251" s="2" t="str">
        <x:f>IF(B251="","",IF(F251="","UNUSED",IF(Q251=0,"NOT CHECKED",IF(COUNTIF(SourceTable[Source_Key],E251&amp;"|"&amp;F251)&lt;&gt;1,"SOURCE CONFLICT",IF(NOT(OR(INDEX(SourceTable[Status],MAX(1,Q251))="IMPORTED",INDEX(SourceTable[Status],MAX(1,Q251))="PARTIAL",INDEX(SourceTable[Status],MAX(1,Q251))="SOURCE CONFLICT")),"ACCESS BLOCKED",IF(OR(INDEX(SourceTable[Coverage],Q251)&lt;&gt;"FULL SEASON EXPORT",INDEX(SourceTable[URL],Q251)="",INDEX(SourceTable[SHA256],Q251)=""),"EVIDENCE INCOMPLETE",IF(AND('Input_Meci'!H26="LIVE",INDEX(SourceTable[Retrieved_UTC],Q251)&gt;'Input_Meci'!G26),"POST CUTOFF","CLOSED")))))))</x:f>
      </x:c>
      <x:c r="S251" s="2" t="n">
        <x:f>IF(OR(B251="",F251=""),0,COUNTIFS('Istoric_Nativ'!$B$6:$B$405,E251,'Istoric_Nativ'!$C$6:$C$405,F251,'Istoric_Nativ'!$E$6:$E$405,G251,'Istoric_Nativ'!$D$6:$D$405,"&lt;"&amp;J251,'Istoric_Nativ'!$O$6:$O$405,"INVALID")+COUNTIFS('Istoric_Nativ'!$B$6:$B$405,E251,'Istoric_Nativ'!$C$6:$C$405,F251,'Istoric_Nativ'!$E$6:$E$405,G251,'Istoric_Nativ'!$O$6:$O$405,"INVALID",'Istoric_Nativ'!$D$6:$D$405,"*")+COUNTIFS('Istoric_Nativ'!$B$6:$B$405,E251,'Istoric_Nativ'!$C$6:$C$405,F251,'Istoric_Nativ'!$E$6:$E$405,G251,'Istoric_Nativ'!$D$6:$D$405,"&lt;"&amp;J251,'Istoric_Nativ'!$O$6:$O$405,"SOURCE CONFLICT")+COUNTIFS('Istoric_Nativ'!$B$6:$B$405,E251,'Istoric_Nativ'!$C$6:$C$405,F251,'Istoric_Nativ'!$F$6:$F$405,G251,'Istoric_Nativ'!$D$6:$D$405,"&lt;"&amp;J251,'Istoric_Nativ'!$O$6:$O$405,"INVALID")+COUNTIFS('Istoric_Nativ'!$B$6:$B$405,E251,'Istoric_Nativ'!$C$6:$C$405,F251,'Istoric_Nativ'!$F$6:$F$405,G251,'Istoric_Nativ'!$O$6:$O$405,"INVALID",'Istoric_Nativ'!$D$6:$D$405,"*")+COUNTIFS('Istoric_Nativ'!$B$6:$B$405,E251,'Istoric_Nativ'!$C$6:$C$405,F251,'Istoric_Nativ'!$F$6:$F$405,G251,'Istoric_Nativ'!$D$6:$D$405,"&lt;"&amp;J251,'Istoric_Nativ'!$O$6:$O$405,"SOURCE CONFLICT"))</x:f>
        <x:v>0</x:v>
      </x:c>
      <x:c r="T251" s="2" t="str">
        <x:f>IF(B251="","",IF(R251&lt;&gt;"CLOSED",R251,IF(S251&gt;0,"NATIVE INPUT ISSUE",IF(M251=0,"NO HISTORY",IF(M251&lt;P251,"SMALL SAMPLE","DERIVED")))))</x:f>
      </x:c>
      <x:c r="U251" s="2" t="str">
        <x:f>IF(B251="","","NativeTable; "&amp;E251&amp;"; "&amp;F251&amp;"; "&amp;G251&amp;"; "&amp;H251&amp;"; before "&amp;TEXT(J251,"yyyy-mm-dd")&amp;IF(I251="RECENT","; from "&amp;TEXT(L251,"yyyy-mm-dd"),""))</x:f>
      </x:c>
    </x:row>
    <x:row r="252" ht="21" customHeight="1">
      <x:c r="A252" s="2" t="n">
        <x:v>21</x:v>
      </x:c>
      <x:c r="B252" s="2" t="str">
        <x:f>IF('Input_Meci'!A26="","",'Input_Meci'!A26)</x:f>
      </x:c>
      <x:c r="C252" s="2" t="str">
        <x:v>H</x:v>
      </x:c>
      <x:c r="D252" s="2" t="str">
        <x:v>PRIOR</x:v>
      </x:c>
      <x:c r="E252" s="2" t="str">
        <x:f>IF(B252="","",'Input_Meci'!B26)</x:f>
      </x:c>
      <x:c r="F252" s="2" t="str">
        <x:f>IF(B252="","",IF('Input_Meci'!K26="","",'Input_Meci'!K26))</x:f>
      </x:c>
      <x:c r="G252" s="2" t="str">
        <x:f>IF(B252="","",'Input_Meci'!D26)</x:f>
      </x:c>
      <x:c r="H252" s="2" t="str">
        <x:v>ANY</x:v>
      </x:c>
      <x:c r="I252" s="2" t="str">
        <x:v>SEASON</x:v>
      </x:c>
      <x:c r="J252" s="9" t="n">
        <x:f>IF(AND(B252&lt;&gt;"",ISNUMBER('Input_Meci'!G26)),INT('Input_Meci'!G26),0)</x:f>
        <x:v>0</x:v>
      </x:c>
      <x:c r="K252" s="2" t="n">
        <x:f>IF(OR(B252="",F252=""),0,IF(H252="HOME",COUNTIFS('Istoric_Nativ'!$B$6:$B$405,E252,'Istoric_Nativ'!$C$6:$C$405,F252,'Istoric_Nativ'!$E$6:$E$405,G252,'Istoric_Nativ'!$D$6:$D$405,"&lt;"&amp;J252,'Istoric_Nativ'!$P$6:$P$405,1),IF(H252="AWAY",COUNTIFS('Istoric_Nativ'!$B$6:$B$405,E252,'Istoric_Nativ'!$C$6:$C$405,F252,'Istoric_Nativ'!$F$6:$F$405,G252,'Istoric_Nativ'!$D$6:$D$405,"&lt;"&amp;J252,'Istoric_Nativ'!$P$6:$P$405,1),COUNTIFS('Istoric_Nativ'!$B$6:$B$405,E252,'Istoric_Nativ'!$C$6:$C$405,F252,'Istoric_Nativ'!$E$6:$E$405,G252,'Istoric_Nativ'!$D$6:$D$405,"&lt;"&amp;J252,'Istoric_Nativ'!$P$6:$P$405,1)+COUNTIFS('Istoric_Nativ'!$B$6:$B$405,E252,'Istoric_Nativ'!$C$6:$C$405,F252,'Istoric_Nativ'!$F$6:$F$405,G252,'Istoric_Nativ'!$D$6:$D$405,"&lt;"&amp;J252,'Istoric_Nativ'!$P$6:$P$405,1))))</x:f>
        <x:v>0</x:v>
      </x:c>
      <x:c r="L252" s="17" t="n">
        <x:f>IF(AND(B252&lt;&gt;"",I252="RECENT",K252&gt;0),LARGE(_xlfn._xlws.FILTER('Istoric_Nativ'!$D$6:$D$405,('Istoric_Nativ'!$B$6:$B$405=E252)*('Istoric_Nativ'!$C$6:$C$405=F252)*('Istoric_Nativ'!$P$6:$P$405=1)*('Istoric_Nativ'!$D$6:$D$405&lt;J252)*((('Istoric_Nativ'!$E$6:$E$405=G252)+('Istoric_Nativ'!$F$6:$F$405=G252))&gt;0)),MIN('Config_v6'!$B$54,K252)),0)</x:f>
        <x:v>0</x:v>
      </x:c>
      <x:c r="M252" s="2" t="n">
        <x:f>IF(OR(B252="",F252=""),0,IF(H252="HOME",COUNTIFS('Istoric_Nativ'!$B$6:$B$405,E252,'Istoric_Nativ'!$C$6:$C$405,F252,'Istoric_Nativ'!$E$6:$E$405,G252,'Istoric_Nativ'!$D$6:$D$405,"&lt;"&amp;J252,'Istoric_Nativ'!$P$6:$P$405,1,'Istoric_Nativ'!$D$6:$D$405,"&gt;="&amp;L252),IF(H252="AWAY",COUNTIFS('Istoric_Nativ'!$B$6:$B$405,E252,'Istoric_Nativ'!$C$6:$C$405,F252,'Istoric_Nativ'!$F$6:$F$405,G252,'Istoric_Nativ'!$D$6:$D$405,"&lt;"&amp;J252,'Istoric_Nativ'!$P$6:$P$405,1,'Istoric_Nativ'!$D$6:$D$405,"&gt;="&amp;L252),COUNTIFS('Istoric_Nativ'!$B$6:$B$405,E252,'Istoric_Nativ'!$C$6:$C$405,F252,'Istoric_Nativ'!$E$6:$E$405,G252,'Istoric_Nativ'!$D$6:$D$405,"&lt;"&amp;J252,'Istoric_Nativ'!$P$6:$P$405,1,'Istoric_Nativ'!$D$6:$D$405,"&gt;="&amp;L252)+COUNTIFS('Istoric_Nativ'!$B$6:$B$405,E252,'Istoric_Nativ'!$C$6:$C$405,F252,'Istoric_Nativ'!$F$6:$F$405,G252,'Istoric_Nativ'!$D$6:$D$405,"&lt;"&amp;J252,'Istoric_Nativ'!$P$6:$P$405,1,'Istoric_Nativ'!$D$6:$D$405,"&gt;="&amp;L252))))</x:f>
        <x:v>0</x:v>
      </x:c>
      <x:c r="N252" s="11" t="str">
        <x:f>IF(M252=0,"",IF(H252="HOME",SUMIFS('Istoric_Nativ'!$G$6:$G$405,'Istoric_Nativ'!$B$6:$B$405,E252,'Istoric_Nativ'!$C$6:$C$405,F252,'Istoric_Nativ'!$E$6:$E$405,G252,'Istoric_Nativ'!$D$6:$D$405,"&lt;"&amp;J252,'Istoric_Nativ'!$P$6:$P$405,1,'Istoric_Nativ'!$D$6:$D$405,"&gt;="&amp;L252),IF(H252="AWAY",SUMIFS('Istoric_Nativ'!$H$6:$H$405,'Istoric_Nativ'!$B$6:$B$405,E252,'Istoric_Nativ'!$C$6:$C$405,F252,'Istoric_Nativ'!$F$6:$F$405,G252,'Istoric_Nativ'!$D$6:$D$405,"&lt;"&amp;J252,'Istoric_Nativ'!$P$6:$P$405,1,'Istoric_Nativ'!$D$6:$D$405,"&gt;="&amp;L252),SUMIFS('Istoric_Nativ'!$G$6:$G$405,'Istoric_Nativ'!$B$6:$B$405,E252,'Istoric_Nativ'!$C$6:$C$405,F252,'Istoric_Nativ'!$E$6:$E$405,G252,'Istoric_Nativ'!$D$6:$D$405,"&lt;"&amp;J252,'Istoric_Nativ'!$P$6:$P$405,1,'Istoric_Nativ'!$D$6:$D$405,"&gt;="&amp;L252)+SUMIFS('Istoric_Nativ'!$H$6:$H$405,'Istoric_Nativ'!$B$6:$B$405,E252,'Istoric_Nativ'!$C$6:$C$405,F252,'Istoric_Nativ'!$F$6:$F$405,G252,'Istoric_Nativ'!$D$6:$D$405,"&lt;"&amp;J252,'Istoric_Nativ'!$P$6:$P$405,1,'Istoric_Nativ'!$D$6:$D$405,"&gt;="&amp;L252)))/M252)</x:f>
      </x:c>
      <x:c r="O252" s="11" t="str">
        <x:f>IF(M252=0,"",IF(H252="HOME",SUMIFS('Istoric_Nativ'!$H$6:$H$405,'Istoric_Nativ'!$B$6:$B$405,E252,'Istoric_Nativ'!$C$6:$C$405,F252,'Istoric_Nativ'!$E$6:$E$405,G252,'Istoric_Nativ'!$D$6:$D$405,"&lt;"&amp;J252,'Istoric_Nativ'!$P$6:$P$405,1,'Istoric_Nativ'!$D$6:$D$405,"&gt;="&amp;L252),IF(H252="AWAY",SUMIFS('Istoric_Nativ'!$G$6:$G$405,'Istoric_Nativ'!$B$6:$B$405,E252,'Istoric_Nativ'!$C$6:$C$405,F252,'Istoric_Nativ'!$F$6:$F$405,G252,'Istoric_Nativ'!$D$6:$D$405,"&lt;"&amp;J252,'Istoric_Nativ'!$P$6:$P$405,1,'Istoric_Nativ'!$D$6:$D$405,"&gt;="&amp;L252),SUMIFS('Istoric_Nativ'!$H$6:$H$405,'Istoric_Nativ'!$B$6:$B$405,E252,'Istoric_Nativ'!$C$6:$C$405,F252,'Istoric_Nativ'!$E$6:$E$405,G252,'Istoric_Nativ'!$D$6:$D$405,"&lt;"&amp;J252,'Istoric_Nativ'!$P$6:$P$405,1,'Istoric_Nativ'!$D$6:$D$405,"&gt;="&amp;L252)+SUMIFS('Istoric_Nativ'!$G$6:$G$405,'Istoric_Nativ'!$B$6:$B$405,E252,'Istoric_Nativ'!$C$6:$C$405,F252,'Istoric_Nativ'!$F$6:$F$405,G252,'Istoric_Nativ'!$D$6:$D$405,"&lt;"&amp;J252,'Istoric_Nativ'!$P$6:$P$405,1,'Istoric_Nativ'!$D$6:$D$405,"&gt;="&amp;L252)))/M252)</x:f>
      </x:c>
      <x:c r="P252" s="2" t="n">
        <x:f>'Config_v6'!$B$7</x:f>
        <x:v>10</x:v>
      </x:c>
      <x:c r="Q252" s="2" t="n">
        <x:f>IF(OR(B252="",F252=""),0,IFERROR(MATCH(E252&amp;"|"&amp;F252,SourceTable[Source_Key],0),0))</x:f>
        <x:v>0</x:v>
      </x:c>
      <x:c r="R252" s="2" t="str">
        <x:f>IF(B252="","",IF(F252="","UNUSED",IF(Q252=0,"NOT CHECKED",IF(COUNTIF(SourceTable[Source_Key],E252&amp;"|"&amp;F252)&lt;&gt;1,"SOURCE CONFLICT",IF(NOT(OR(INDEX(SourceTable[Status],MAX(1,Q252))="IMPORTED",INDEX(SourceTable[Status],MAX(1,Q252))="PARTIAL",INDEX(SourceTable[Status],MAX(1,Q252))="SOURCE CONFLICT")),"ACCESS BLOCKED",IF(OR(INDEX(SourceTable[Coverage],Q252)&lt;&gt;"FULL SEASON EXPORT",INDEX(SourceTable[URL],Q252)="",INDEX(SourceTable[SHA256],Q252)=""),"EVIDENCE INCOMPLETE",IF(AND('Input_Meci'!H26="LIVE",INDEX(SourceTable[Retrieved_UTC],Q252)&gt;'Input_Meci'!G26),"POST CUTOFF","CLOSED")))))))</x:f>
      </x:c>
      <x:c r="S252" s="2" t="n">
        <x:f>IF(OR(B252="",F252=""),0,COUNTIFS('Istoric_Nativ'!$B$6:$B$405,E252,'Istoric_Nativ'!$C$6:$C$405,F252,'Istoric_Nativ'!$E$6:$E$405,G252,'Istoric_Nativ'!$D$6:$D$405,"&lt;"&amp;J252,'Istoric_Nativ'!$O$6:$O$405,"INVALID")+COUNTIFS('Istoric_Nativ'!$B$6:$B$405,E252,'Istoric_Nativ'!$C$6:$C$405,F252,'Istoric_Nativ'!$E$6:$E$405,G252,'Istoric_Nativ'!$O$6:$O$405,"INVALID",'Istoric_Nativ'!$D$6:$D$405,"*")+COUNTIFS('Istoric_Nativ'!$B$6:$B$405,E252,'Istoric_Nativ'!$C$6:$C$405,F252,'Istoric_Nativ'!$E$6:$E$405,G252,'Istoric_Nativ'!$D$6:$D$405,"&lt;"&amp;J252,'Istoric_Nativ'!$O$6:$O$405,"SOURCE CONFLICT")+COUNTIFS('Istoric_Nativ'!$B$6:$B$405,E252,'Istoric_Nativ'!$C$6:$C$405,F252,'Istoric_Nativ'!$F$6:$F$405,G252,'Istoric_Nativ'!$D$6:$D$405,"&lt;"&amp;J252,'Istoric_Nativ'!$O$6:$O$405,"INVALID")+COUNTIFS('Istoric_Nativ'!$B$6:$B$405,E252,'Istoric_Nativ'!$C$6:$C$405,F252,'Istoric_Nativ'!$F$6:$F$405,G252,'Istoric_Nativ'!$O$6:$O$405,"INVALID",'Istoric_Nativ'!$D$6:$D$405,"*")+COUNTIFS('Istoric_Nativ'!$B$6:$B$405,E252,'Istoric_Nativ'!$C$6:$C$405,F252,'Istoric_Nativ'!$F$6:$F$405,G252,'Istoric_Nativ'!$D$6:$D$405,"&lt;"&amp;J252,'Istoric_Nativ'!$O$6:$O$405,"SOURCE CONFLICT"))</x:f>
        <x:v>0</x:v>
      </x:c>
      <x:c r="T252" s="2" t="str">
        <x:f>IF(B252="","",IF(R252&lt;&gt;"CLOSED",R252,IF(S252&gt;0,"NATIVE INPUT ISSUE",IF(M252=0,"NO HISTORY",IF(M252&lt;P252,"SMALL SAMPLE","DERIVED")))))</x:f>
      </x:c>
      <x:c r="U252" s="2" t="str">
        <x:f>IF(B252="","","NativeTable; "&amp;E252&amp;"; "&amp;F252&amp;"; "&amp;G252&amp;"; "&amp;H252&amp;"; before "&amp;TEXT(J252,"yyyy-mm-dd")&amp;IF(I252="RECENT","; from "&amp;TEXT(L252,"yyyy-mm-dd"),""))</x:f>
      </x:c>
    </x:row>
    <x:row r="253" ht="21" customHeight="1">
      <x:c r="A253" s="2" t="n">
        <x:v>21</x:v>
      </x:c>
      <x:c r="B253" s="2" t="str">
        <x:f>IF('Input_Meci'!A26="","",'Input_Meci'!A26)</x:f>
      </x:c>
      <x:c r="C253" s="2" t="str">
        <x:v>H</x:v>
      </x:c>
      <x:c r="D253" s="2" t="str">
        <x:v>PRIOR</x:v>
      </x:c>
      <x:c r="E253" s="2" t="str">
        <x:f>IF(B253="","",'Input_Meci'!B26)</x:f>
      </x:c>
      <x:c r="F253" s="2" t="str">
        <x:f>IF(B253="","",IF('Input_Meci'!K26="","",'Input_Meci'!K26))</x:f>
      </x:c>
      <x:c r="G253" s="2" t="str">
        <x:f>IF(B253="","",'Input_Meci'!D26)</x:f>
      </x:c>
      <x:c r="H253" s="2" t="str">
        <x:v>HOME</x:v>
      </x:c>
      <x:c r="I253" s="2" t="str">
        <x:v>HA</x:v>
      </x:c>
      <x:c r="J253" s="9" t="n">
        <x:f>IF(AND(B253&lt;&gt;"",ISNUMBER('Input_Meci'!G26)),INT('Input_Meci'!G26),0)</x:f>
        <x:v>0</x:v>
      </x:c>
      <x:c r="K253" s="2" t="n">
        <x:f>IF(OR(B253="",F253=""),0,IF(H253="HOME",COUNTIFS('Istoric_Nativ'!$B$6:$B$405,E253,'Istoric_Nativ'!$C$6:$C$405,F253,'Istoric_Nativ'!$E$6:$E$405,G253,'Istoric_Nativ'!$D$6:$D$405,"&lt;"&amp;J253,'Istoric_Nativ'!$P$6:$P$405,1),IF(H253="AWAY",COUNTIFS('Istoric_Nativ'!$B$6:$B$405,E253,'Istoric_Nativ'!$C$6:$C$405,F253,'Istoric_Nativ'!$F$6:$F$405,G253,'Istoric_Nativ'!$D$6:$D$405,"&lt;"&amp;J253,'Istoric_Nativ'!$P$6:$P$405,1),COUNTIFS('Istoric_Nativ'!$B$6:$B$405,E253,'Istoric_Nativ'!$C$6:$C$405,F253,'Istoric_Nativ'!$E$6:$E$405,G253,'Istoric_Nativ'!$D$6:$D$405,"&lt;"&amp;J253,'Istoric_Nativ'!$P$6:$P$405,1)+COUNTIFS('Istoric_Nativ'!$B$6:$B$405,E253,'Istoric_Nativ'!$C$6:$C$405,F253,'Istoric_Nativ'!$F$6:$F$405,G253,'Istoric_Nativ'!$D$6:$D$405,"&lt;"&amp;J253,'Istoric_Nativ'!$P$6:$P$405,1))))</x:f>
        <x:v>0</x:v>
      </x:c>
      <x:c r="L253" s="17" t="n">
        <x:f>IF(AND(B253&lt;&gt;"",I253="RECENT",K253&gt;0),LARGE(_xlfn._xlws.FILTER('Istoric_Nativ'!$D$6:$D$405,('Istoric_Nativ'!$B$6:$B$405=E253)*('Istoric_Nativ'!$C$6:$C$405=F253)*('Istoric_Nativ'!$P$6:$P$405=1)*('Istoric_Nativ'!$D$6:$D$405&lt;J253)*((('Istoric_Nativ'!$E$6:$E$405=G253)+('Istoric_Nativ'!$F$6:$F$405=G253))&gt;0)),MIN('Config_v6'!$B$54,K253)),0)</x:f>
        <x:v>0</x:v>
      </x:c>
      <x:c r="M253" s="2" t="n">
        <x:f>IF(OR(B253="",F253=""),0,IF(H253="HOME",COUNTIFS('Istoric_Nativ'!$B$6:$B$405,E253,'Istoric_Nativ'!$C$6:$C$405,F253,'Istoric_Nativ'!$E$6:$E$405,G253,'Istoric_Nativ'!$D$6:$D$405,"&lt;"&amp;J253,'Istoric_Nativ'!$P$6:$P$405,1,'Istoric_Nativ'!$D$6:$D$405,"&gt;="&amp;L253),IF(H253="AWAY",COUNTIFS('Istoric_Nativ'!$B$6:$B$405,E253,'Istoric_Nativ'!$C$6:$C$405,F253,'Istoric_Nativ'!$F$6:$F$405,G253,'Istoric_Nativ'!$D$6:$D$405,"&lt;"&amp;J253,'Istoric_Nativ'!$P$6:$P$405,1,'Istoric_Nativ'!$D$6:$D$405,"&gt;="&amp;L253),COUNTIFS('Istoric_Nativ'!$B$6:$B$405,E253,'Istoric_Nativ'!$C$6:$C$405,F253,'Istoric_Nativ'!$E$6:$E$405,G253,'Istoric_Nativ'!$D$6:$D$405,"&lt;"&amp;J253,'Istoric_Nativ'!$P$6:$P$405,1,'Istoric_Nativ'!$D$6:$D$405,"&gt;="&amp;L253)+COUNTIFS('Istoric_Nativ'!$B$6:$B$405,E253,'Istoric_Nativ'!$C$6:$C$405,F253,'Istoric_Nativ'!$F$6:$F$405,G253,'Istoric_Nativ'!$D$6:$D$405,"&lt;"&amp;J253,'Istoric_Nativ'!$P$6:$P$405,1,'Istoric_Nativ'!$D$6:$D$405,"&gt;="&amp;L253))))</x:f>
        <x:v>0</x:v>
      </x:c>
      <x:c r="N253" s="11" t="str">
        <x:f>IF(M253=0,"",IF(H253="HOME",SUMIFS('Istoric_Nativ'!$G$6:$G$405,'Istoric_Nativ'!$B$6:$B$405,E253,'Istoric_Nativ'!$C$6:$C$405,F253,'Istoric_Nativ'!$E$6:$E$405,G253,'Istoric_Nativ'!$D$6:$D$405,"&lt;"&amp;J253,'Istoric_Nativ'!$P$6:$P$405,1,'Istoric_Nativ'!$D$6:$D$405,"&gt;="&amp;L253),IF(H253="AWAY",SUMIFS('Istoric_Nativ'!$H$6:$H$405,'Istoric_Nativ'!$B$6:$B$405,E253,'Istoric_Nativ'!$C$6:$C$405,F253,'Istoric_Nativ'!$F$6:$F$405,G253,'Istoric_Nativ'!$D$6:$D$405,"&lt;"&amp;J253,'Istoric_Nativ'!$P$6:$P$405,1,'Istoric_Nativ'!$D$6:$D$405,"&gt;="&amp;L253),SUMIFS('Istoric_Nativ'!$G$6:$G$405,'Istoric_Nativ'!$B$6:$B$405,E253,'Istoric_Nativ'!$C$6:$C$405,F253,'Istoric_Nativ'!$E$6:$E$405,G253,'Istoric_Nativ'!$D$6:$D$405,"&lt;"&amp;J253,'Istoric_Nativ'!$P$6:$P$405,1,'Istoric_Nativ'!$D$6:$D$405,"&gt;="&amp;L253)+SUMIFS('Istoric_Nativ'!$H$6:$H$405,'Istoric_Nativ'!$B$6:$B$405,E253,'Istoric_Nativ'!$C$6:$C$405,F253,'Istoric_Nativ'!$F$6:$F$405,G253,'Istoric_Nativ'!$D$6:$D$405,"&lt;"&amp;J253,'Istoric_Nativ'!$P$6:$P$405,1,'Istoric_Nativ'!$D$6:$D$405,"&gt;="&amp;L253)))/M253)</x:f>
      </x:c>
      <x:c r="O253" s="11" t="str">
        <x:f>IF(M253=0,"",IF(H253="HOME",SUMIFS('Istoric_Nativ'!$H$6:$H$405,'Istoric_Nativ'!$B$6:$B$405,E253,'Istoric_Nativ'!$C$6:$C$405,F253,'Istoric_Nativ'!$E$6:$E$405,G253,'Istoric_Nativ'!$D$6:$D$405,"&lt;"&amp;J253,'Istoric_Nativ'!$P$6:$P$405,1,'Istoric_Nativ'!$D$6:$D$405,"&gt;="&amp;L253),IF(H253="AWAY",SUMIFS('Istoric_Nativ'!$G$6:$G$405,'Istoric_Nativ'!$B$6:$B$405,E253,'Istoric_Nativ'!$C$6:$C$405,F253,'Istoric_Nativ'!$F$6:$F$405,G253,'Istoric_Nativ'!$D$6:$D$405,"&lt;"&amp;J253,'Istoric_Nativ'!$P$6:$P$405,1,'Istoric_Nativ'!$D$6:$D$405,"&gt;="&amp;L253),SUMIFS('Istoric_Nativ'!$H$6:$H$405,'Istoric_Nativ'!$B$6:$B$405,E253,'Istoric_Nativ'!$C$6:$C$405,F253,'Istoric_Nativ'!$E$6:$E$405,G253,'Istoric_Nativ'!$D$6:$D$405,"&lt;"&amp;J253,'Istoric_Nativ'!$P$6:$P$405,1,'Istoric_Nativ'!$D$6:$D$405,"&gt;="&amp;L253)+SUMIFS('Istoric_Nativ'!$G$6:$G$405,'Istoric_Nativ'!$B$6:$B$405,E253,'Istoric_Nativ'!$C$6:$C$405,F253,'Istoric_Nativ'!$F$6:$F$405,G253,'Istoric_Nativ'!$D$6:$D$405,"&lt;"&amp;J253,'Istoric_Nativ'!$P$6:$P$405,1,'Istoric_Nativ'!$D$6:$D$405,"&gt;="&amp;L253)))/M253)</x:f>
      </x:c>
      <x:c r="P253" s="2" t="n">
        <x:f>'Config_v6'!$B$8</x:f>
        <x:v>5</x:v>
      </x:c>
      <x:c r="Q253" s="2" t="n">
        <x:f>IF(OR(B253="",F253=""),0,IFERROR(MATCH(E253&amp;"|"&amp;F253,SourceTable[Source_Key],0),0))</x:f>
        <x:v>0</x:v>
      </x:c>
      <x:c r="R253" s="2" t="str">
        <x:f>IF(B253="","",IF(F253="","UNUSED",IF(Q253=0,"NOT CHECKED",IF(COUNTIF(SourceTable[Source_Key],E253&amp;"|"&amp;F253)&lt;&gt;1,"SOURCE CONFLICT",IF(NOT(OR(INDEX(SourceTable[Status],MAX(1,Q253))="IMPORTED",INDEX(SourceTable[Status],MAX(1,Q253))="PARTIAL",INDEX(SourceTable[Status],MAX(1,Q253))="SOURCE CONFLICT")),"ACCESS BLOCKED",IF(OR(INDEX(SourceTable[Coverage],Q253)&lt;&gt;"FULL SEASON EXPORT",INDEX(SourceTable[URL],Q253)="",INDEX(SourceTable[SHA256],Q253)=""),"EVIDENCE INCOMPLETE",IF(AND('Input_Meci'!H26="LIVE",INDEX(SourceTable[Retrieved_UTC],Q253)&gt;'Input_Meci'!G26),"POST CUTOFF","CLOSED")))))))</x:f>
      </x:c>
      <x:c r="S253" s="2" t="n">
        <x:f>IF(OR(B253="",F253=""),0,COUNTIFS('Istoric_Nativ'!$B$6:$B$405,E253,'Istoric_Nativ'!$C$6:$C$405,F253,'Istoric_Nativ'!$E$6:$E$405,G253,'Istoric_Nativ'!$D$6:$D$405,"&lt;"&amp;J253,'Istoric_Nativ'!$O$6:$O$405,"INVALID")+COUNTIFS('Istoric_Nativ'!$B$6:$B$405,E253,'Istoric_Nativ'!$C$6:$C$405,F253,'Istoric_Nativ'!$E$6:$E$405,G253,'Istoric_Nativ'!$O$6:$O$405,"INVALID",'Istoric_Nativ'!$D$6:$D$405,"*")+COUNTIFS('Istoric_Nativ'!$B$6:$B$405,E253,'Istoric_Nativ'!$C$6:$C$405,F253,'Istoric_Nativ'!$E$6:$E$405,G253,'Istoric_Nativ'!$D$6:$D$405,"&lt;"&amp;J253,'Istoric_Nativ'!$O$6:$O$405,"SOURCE CONFLICT")+COUNTIFS('Istoric_Nativ'!$B$6:$B$405,E253,'Istoric_Nativ'!$C$6:$C$405,F253,'Istoric_Nativ'!$F$6:$F$405,G253,'Istoric_Nativ'!$D$6:$D$405,"&lt;"&amp;J253,'Istoric_Nativ'!$O$6:$O$405,"INVALID")+COUNTIFS('Istoric_Nativ'!$B$6:$B$405,E253,'Istoric_Nativ'!$C$6:$C$405,F253,'Istoric_Nativ'!$F$6:$F$405,G253,'Istoric_Nativ'!$O$6:$O$405,"INVALID",'Istoric_Nativ'!$D$6:$D$405,"*")+COUNTIFS('Istoric_Nativ'!$B$6:$B$405,E253,'Istoric_Nativ'!$C$6:$C$405,F253,'Istoric_Nativ'!$F$6:$F$405,G253,'Istoric_Nativ'!$D$6:$D$405,"&lt;"&amp;J253,'Istoric_Nativ'!$O$6:$O$405,"SOURCE CONFLICT"))</x:f>
        <x:v>0</x:v>
      </x:c>
      <x:c r="T253" s="2" t="str">
        <x:f>IF(B253="","",IF(R253&lt;&gt;"CLOSED",R253,IF(S253&gt;0,"NATIVE INPUT ISSUE",IF(M253=0,"NO HISTORY",IF(M253&lt;P253,"SMALL SAMPLE","DERIVED")))))</x:f>
      </x:c>
      <x:c r="U253" s="2" t="str">
        <x:f>IF(B253="","","NativeTable; "&amp;E253&amp;"; "&amp;F253&amp;"; "&amp;G253&amp;"; "&amp;H253&amp;"; before "&amp;TEXT(J253,"yyyy-mm-dd")&amp;IF(I253="RECENT","; from "&amp;TEXT(L253,"yyyy-mm-dd"),""))</x:f>
      </x:c>
    </x:row>
    <x:row r="254" ht="21" customHeight="1">
      <x:c r="A254" s="2" t="n">
        <x:v>21</x:v>
      </x:c>
      <x:c r="B254" s="2" t="str">
        <x:f>IF('Input_Meci'!A26="","",'Input_Meci'!A26)</x:f>
      </x:c>
      <x:c r="C254" s="2" t="str">
        <x:v>H</x:v>
      </x:c>
      <x:c r="D254" s="2" t="str">
        <x:v>PRIOR</x:v>
      </x:c>
      <x:c r="E254" s="2" t="str">
        <x:f>IF(B254="","",'Input_Meci'!B26)</x:f>
      </x:c>
      <x:c r="F254" s="2" t="str">
        <x:f>IF(B254="","",IF('Input_Meci'!K26="","",'Input_Meci'!K26))</x:f>
      </x:c>
      <x:c r="G254" s="2" t="str">
        <x:f>IF(B254="","",'Input_Meci'!D26)</x:f>
      </x:c>
      <x:c r="H254" s="2" t="str">
        <x:v>ANY</x:v>
      </x:c>
      <x:c r="I254" s="2" t="str">
        <x:v>RECENT</x:v>
      </x:c>
      <x:c r="J254" s="9" t="n">
        <x:f>IF(AND(B254&lt;&gt;"",ISNUMBER('Input_Meci'!G26)),INT('Input_Meci'!G26),0)</x:f>
        <x:v>0</x:v>
      </x:c>
      <x:c r="K254" s="2" t="n">
        <x:f>IF(OR(B254="",F254=""),0,IF(H254="HOME",COUNTIFS('Istoric_Nativ'!$B$6:$B$405,E254,'Istoric_Nativ'!$C$6:$C$405,F254,'Istoric_Nativ'!$E$6:$E$405,G254,'Istoric_Nativ'!$D$6:$D$405,"&lt;"&amp;J254,'Istoric_Nativ'!$P$6:$P$405,1),IF(H254="AWAY",COUNTIFS('Istoric_Nativ'!$B$6:$B$405,E254,'Istoric_Nativ'!$C$6:$C$405,F254,'Istoric_Nativ'!$F$6:$F$405,G254,'Istoric_Nativ'!$D$6:$D$405,"&lt;"&amp;J254,'Istoric_Nativ'!$P$6:$P$405,1),COUNTIFS('Istoric_Nativ'!$B$6:$B$405,E254,'Istoric_Nativ'!$C$6:$C$405,F254,'Istoric_Nativ'!$E$6:$E$405,G254,'Istoric_Nativ'!$D$6:$D$405,"&lt;"&amp;J254,'Istoric_Nativ'!$P$6:$P$405,1)+COUNTIFS('Istoric_Nativ'!$B$6:$B$405,E254,'Istoric_Nativ'!$C$6:$C$405,F254,'Istoric_Nativ'!$F$6:$F$405,G254,'Istoric_Nativ'!$D$6:$D$405,"&lt;"&amp;J254,'Istoric_Nativ'!$P$6:$P$405,1))))</x:f>
        <x:v>0</x:v>
      </x:c>
      <x:c r="L254" s="17" t="n">
        <x:f>IF(AND(B254&lt;&gt;"",I254="RECENT",K254&gt;0),LARGE(_xlfn._xlws.FILTER('Istoric_Nativ'!$D$6:$D$405,('Istoric_Nativ'!$B$6:$B$405=E254)*('Istoric_Nativ'!$C$6:$C$405=F254)*('Istoric_Nativ'!$P$6:$P$405=1)*('Istoric_Nativ'!$D$6:$D$405&lt;J254)*((('Istoric_Nativ'!$E$6:$E$405=G254)+('Istoric_Nativ'!$F$6:$F$405=G254))&gt;0)),MIN('Config_v6'!$B$54,K254)),0)</x:f>
        <x:v>0</x:v>
      </x:c>
      <x:c r="M254" s="2" t="n">
        <x:f>IF(OR(B254="",F254=""),0,IF(H254="HOME",COUNTIFS('Istoric_Nativ'!$B$6:$B$405,E254,'Istoric_Nativ'!$C$6:$C$405,F254,'Istoric_Nativ'!$E$6:$E$405,G254,'Istoric_Nativ'!$D$6:$D$405,"&lt;"&amp;J254,'Istoric_Nativ'!$P$6:$P$405,1,'Istoric_Nativ'!$D$6:$D$405,"&gt;="&amp;L254),IF(H254="AWAY",COUNTIFS('Istoric_Nativ'!$B$6:$B$405,E254,'Istoric_Nativ'!$C$6:$C$405,F254,'Istoric_Nativ'!$F$6:$F$405,G254,'Istoric_Nativ'!$D$6:$D$405,"&lt;"&amp;J254,'Istoric_Nativ'!$P$6:$P$405,1,'Istoric_Nativ'!$D$6:$D$405,"&gt;="&amp;L254),COUNTIFS('Istoric_Nativ'!$B$6:$B$405,E254,'Istoric_Nativ'!$C$6:$C$405,F254,'Istoric_Nativ'!$E$6:$E$405,G254,'Istoric_Nativ'!$D$6:$D$405,"&lt;"&amp;J254,'Istoric_Nativ'!$P$6:$P$405,1,'Istoric_Nativ'!$D$6:$D$405,"&gt;="&amp;L254)+COUNTIFS('Istoric_Nativ'!$B$6:$B$405,E254,'Istoric_Nativ'!$C$6:$C$405,F254,'Istoric_Nativ'!$F$6:$F$405,G254,'Istoric_Nativ'!$D$6:$D$405,"&lt;"&amp;J254,'Istoric_Nativ'!$P$6:$P$405,1,'Istoric_Nativ'!$D$6:$D$405,"&gt;="&amp;L254))))</x:f>
        <x:v>0</x:v>
      </x:c>
      <x:c r="N254" s="11" t="str">
        <x:f>IF(M254=0,"",IF(H254="HOME",SUMIFS('Istoric_Nativ'!$G$6:$G$405,'Istoric_Nativ'!$B$6:$B$405,E254,'Istoric_Nativ'!$C$6:$C$405,F254,'Istoric_Nativ'!$E$6:$E$405,G254,'Istoric_Nativ'!$D$6:$D$405,"&lt;"&amp;J254,'Istoric_Nativ'!$P$6:$P$405,1,'Istoric_Nativ'!$D$6:$D$405,"&gt;="&amp;L254),IF(H254="AWAY",SUMIFS('Istoric_Nativ'!$H$6:$H$405,'Istoric_Nativ'!$B$6:$B$405,E254,'Istoric_Nativ'!$C$6:$C$405,F254,'Istoric_Nativ'!$F$6:$F$405,G254,'Istoric_Nativ'!$D$6:$D$405,"&lt;"&amp;J254,'Istoric_Nativ'!$P$6:$P$405,1,'Istoric_Nativ'!$D$6:$D$405,"&gt;="&amp;L254),SUMIFS('Istoric_Nativ'!$G$6:$G$405,'Istoric_Nativ'!$B$6:$B$405,E254,'Istoric_Nativ'!$C$6:$C$405,F254,'Istoric_Nativ'!$E$6:$E$405,G254,'Istoric_Nativ'!$D$6:$D$405,"&lt;"&amp;J254,'Istoric_Nativ'!$P$6:$P$405,1,'Istoric_Nativ'!$D$6:$D$405,"&gt;="&amp;L254)+SUMIFS('Istoric_Nativ'!$H$6:$H$405,'Istoric_Nativ'!$B$6:$B$405,E254,'Istoric_Nativ'!$C$6:$C$405,F254,'Istoric_Nativ'!$F$6:$F$405,G254,'Istoric_Nativ'!$D$6:$D$405,"&lt;"&amp;J254,'Istoric_Nativ'!$P$6:$P$405,1,'Istoric_Nativ'!$D$6:$D$405,"&gt;="&amp;L254)))/M254)</x:f>
      </x:c>
      <x:c r="O254" s="11" t="str">
        <x:f>IF(M254=0,"",IF(H254="HOME",SUMIFS('Istoric_Nativ'!$H$6:$H$405,'Istoric_Nativ'!$B$6:$B$405,E254,'Istoric_Nativ'!$C$6:$C$405,F254,'Istoric_Nativ'!$E$6:$E$405,G254,'Istoric_Nativ'!$D$6:$D$405,"&lt;"&amp;J254,'Istoric_Nativ'!$P$6:$P$405,1,'Istoric_Nativ'!$D$6:$D$405,"&gt;="&amp;L254),IF(H254="AWAY",SUMIFS('Istoric_Nativ'!$G$6:$G$405,'Istoric_Nativ'!$B$6:$B$405,E254,'Istoric_Nativ'!$C$6:$C$405,F254,'Istoric_Nativ'!$F$6:$F$405,G254,'Istoric_Nativ'!$D$6:$D$405,"&lt;"&amp;J254,'Istoric_Nativ'!$P$6:$P$405,1,'Istoric_Nativ'!$D$6:$D$405,"&gt;="&amp;L254),SUMIFS('Istoric_Nativ'!$H$6:$H$405,'Istoric_Nativ'!$B$6:$B$405,E254,'Istoric_Nativ'!$C$6:$C$405,F254,'Istoric_Nativ'!$E$6:$E$405,G254,'Istoric_Nativ'!$D$6:$D$405,"&lt;"&amp;J254,'Istoric_Nativ'!$P$6:$P$405,1,'Istoric_Nativ'!$D$6:$D$405,"&gt;="&amp;L254)+SUMIFS('Istoric_Nativ'!$G$6:$G$405,'Istoric_Nativ'!$B$6:$B$405,E254,'Istoric_Nativ'!$C$6:$C$405,F254,'Istoric_Nativ'!$F$6:$F$405,G254,'Istoric_Nativ'!$D$6:$D$405,"&lt;"&amp;J254,'Istoric_Nativ'!$P$6:$P$405,1,'Istoric_Nativ'!$D$6:$D$405,"&gt;="&amp;L254)))/M254)</x:f>
      </x:c>
      <x:c r="P254" s="2" t="n">
        <x:f>'Config_v6'!$B$9</x:f>
        <x:v>3</x:v>
      </x:c>
      <x:c r="Q254" s="2" t="n">
        <x:f>IF(OR(B254="",F254=""),0,IFERROR(MATCH(E254&amp;"|"&amp;F254,SourceTable[Source_Key],0),0))</x:f>
        <x:v>0</x:v>
      </x:c>
      <x:c r="R254" s="2" t="str">
        <x:f>IF(B254="","",IF(F254="","UNUSED",IF(Q254=0,"NOT CHECKED",IF(COUNTIF(SourceTable[Source_Key],E254&amp;"|"&amp;F254)&lt;&gt;1,"SOURCE CONFLICT",IF(NOT(OR(INDEX(SourceTable[Status],MAX(1,Q254))="IMPORTED",INDEX(SourceTable[Status],MAX(1,Q254))="PARTIAL",INDEX(SourceTable[Status],MAX(1,Q254))="SOURCE CONFLICT")),"ACCESS BLOCKED",IF(OR(INDEX(SourceTable[Coverage],Q254)&lt;&gt;"FULL SEASON EXPORT",INDEX(SourceTable[URL],Q254)="",INDEX(SourceTable[SHA256],Q254)=""),"EVIDENCE INCOMPLETE",IF(AND('Input_Meci'!H26="LIVE",INDEX(SourceTable[Retrieved_UTC],Q254)&gt;'Input_Meci'!G26),"POST CUTOFF","CLOSED")))))))</x:f>
      </x:c>
      <x:c r="S254" s="2" t="n">
        <x:f>IF(OR(B254="",F254=""),0,COUNTIFS('Istoric_Nativ'!$B$6:$B$405,E254,'Istoric_Nativ'!$C$6:$C$405,F254,'Istoric_Nativ'!$E$6:$E$405,G254,'Istoric_Nativ'!$D$6:$D$405,"&lt;"&amp;J254,'Istoric_Nativ'!$O$6:$O$405,"INVALID")+COUNTIFS('Istoric_Nativ'!$B$6:$B$405,E254,'Istoric_Nativ'!$C$6:$C$405,F254,'Istoric_Nativ'!$E$6:$E$405,G254,'Istoric_Nativ'!$O$6:$O$405,"INVALID",'Istoric_Nativ'!$D$6:$D$405,"*")+COUNTIFS('Istoric_Nativ'!$B$6:$B$405,E254,'Istoric_Nativ'!$C$6:$C$405,F254,'Istoric_Nativ'!$E$6:$E$405,G254,'Istoric_Nativ'!$D$6:$D$405,"&lt;"&amp;J254,'Istoric_Nativ'!$O$6:$O$405,"SOURCE CONFLICT")+COUNTIFS('Istoric_Nativ'!$B$6:$B$405,E254,'Istoric_Nativ'!$C$6:$C$405,F254,'Istoric_Nativ'!$F$6:$F$405,G254,'Istoric_Nativ'!$D$6:$D$405,"&lt;"&amp;J254,'Istoric_Nativ'!$O$6:$O$405,"INVALID")+COUNTIFS('Istoric_Nativ'!$B$6:$B$405,E254,'Istoric_Nativ'!$C$6:$C$405,F254,'Istoric_Nativ'!$F$6:$F$405,G254,'Istoric_Nativ'!$O$6:$O$405,"INVALID",'Istoric_Nativ'!$D$6:$D$405,"*")+COUNTIFS('Istoric_Nativ'!$B$6:$B$405,E254,'Istoric_Nativ'!$C$6:$C$405,F254,'Istoric_Nativ'!$F$6:$F$405,G254,'Istoric_Nativ'!$D$6:$D$405,"&lt;"&amp;J254,'Istoric_Nativ'!$O$6:$O$405,"SOURCE CONFLICT"))</x:f>
        <x:v>0</x:v>
      </x:c>
      <x:c r="T254" s="2" t="str">
        <x:f>IF(B254="","",IF(R254&lt;&gt;"CLOSED",R254,IF(S254&gt;0,"NATIVE INPUT ISSUE",IF(M254=0,"NO HISTORY",IF(M254&lt;P254,"SMALL SAMPLE","DERIVED")))))</x:f>
      </x:c>
      <x:c r="U254" s="2" t="str">
        <x:f>IF(B254="","","NativeTable; "&amp;E254&amp;"; "&amp;F254&amp;"; "&amp;G254&amp;"; "&amp;H254&amp;"; before "&amp;TEXT(J254,"yyyy-mm-dd")&amp;IF(I254="RECENT","; from "&amp;TEXT(L254,"yyyy-mm-dd"),""))</x:f>
      </x:c>
    </x:row>
    <x:row r="255" ht="21" customHeight="1">
      <x:c r="A255" s="2" t="n">
        <x:v>21</x:v>
      </x:c>
      <x:c r="B255" s="2" t="str">
        <x:f>IF('Input_Meci'!A26="","",'Input_Meci'!A26)</x:f>
      </x:c>
      <x:c r="C255" s="2" t="str">
        <x:v>A</x:v>
      </x:c>
      <x:c r="D255" s="2" t="str">
        <x:v>PRIOR</x:v>
      </x:c>
      <x:c r="E255" s="2" t="str">
        <x:f>IF(B255="","",'Input_Meci'!B26)</x:f>
      </x:c>
      <x:c r="F255" s="2" t="str">
        <x:f>IF(B255="","",IF('Input_Meci'!K26="","",'Input_Meci'!K26))</x:f>
      </x:c>
      <x:c r="G255" s="2" t="str">
        <x:f>IF(B255="","",'Input_Meci'!E26)</x:f>
      </x:c>
      <x:c r="H255" s="2" t="str">
        <x:v>ANY</x:v>
      </x:c>
      <x:c r="I255" s="2" t="str">
        <x:v>SEASON</x:v>
      </x:c>
      <x:c r="J255" s="9" t="n">
        <x:f>IF(AND(B255&lt;&gt;"",ISNUMBER('Input_Meci'!G26)),INT('Input_Meci'!G26),0)</x:f>
        <x:v>0</x:v>
      </x:c>
      <x:c r="K255" s="2" t="n">
        <x:f>IF(OR(B255="",F255=""),0,IF(H255="HOME",COUNTIFS('Istoric_Nativ'!$B$6:$B$405,E255,'Istoric_Nativ'!$C$6:$C$405,F255,'Istoric_Nativ'!$E$6:$E$405,G255,'Istoric_Nativ'!$D$6:$D$405,"&lt;"&amp;J255,'Istoric_Nativ'!$P$6:$P$405,1),IF(H255="AWAY",COUNTIFS('Istoric_Nativ'!$B$6:$B$405,E255,'Istoric_Nativ'!$C$6:$C$405,F255,'Istoric_Nativ'!$F$6:$F$405,G255,'Istoric_Nativ'!$D$6:$D$405,"&lt;"&amp;J255,'Istoric_Nativ'!$P$6:$P$405,1),COUNTIFS('Istoric_Nativ'!$B$6:$B$405,E255,'Istoric_Nativ'!$C$6:$C$405,F255,'Istoric_Nativ'!$E$6:$E$405,G255,'Istoric_Nativ'!$D$6:$D$405,"&lt;"&amp;J255,'Istoric_Nativ'!$P$6:$P$405,1)+COUNTIFS('Istoric_Nativ'!$B$6:$B$405,E255,'Istoric_Nativ'!$C$6:$C$405,F255,'Istoric_Nativ'!$F$6:$F$405,G255,'Istoric_Nativ'!$D$6:$D$405,"&lt;"&amp;J255,'Istoric_Nativ'!$P$6:$P$405,1))))</x:f>
        <x:v>0</x:v>
      </x:c>
      <x:c r="L255" s="17" t="n">
        <x:f>IF(AND(B255&lt;&gt;"",I255="RECENT",K255&gt;0),LARGE(_xlfn._xlws.FILTER('Istoric_Nativ'!$D$6:$D$405,('Istoric_Nativ'!$B$6:$B$405=E255)*('Istoric_Nativ'!$C$6:$C$405=F255)*('Istoric_Nativ'!$P$6:$P$405=1)*('Istoric_Nativ'!$D$6:$D$405&lt;J255)*((('Istoric_Nativ'!$E$6:$E$405=G255)+('Istoric_Nativ'!$F$6:$F$405=G255))&gt;0)),MIN('Config_v6'!$B$54,K255)),0)</x:f>
        <x:v>0</x:v>
      </x:c>
      <x:c r="M255" s="2" t="n">
        <x:f>IF(OR(B255="",F255=""),0,IF(H255="HOME",COUNTIFS('Istoric_Nativ'!$B$6:$B$405,E255,'Istoric_Nativ'!$C$6:$C$405,F255,'Istoric_Nativ'!$E$6:$E$405,G255,'Istoric_Nativ'!$D$6:$D$405,"&lt;"&amp;J255,'Istoric_Nativ'!$P$6:$P$405,1,'Istoric_Nativ'!$D$6:$D$405,"&gt;="&amp;L255),IF(H255="AWAY",COUNTIFS('Istoric_Nativ'!$B$6:$B$405,E255,'Istoric_Nativ'!$C$6:$C$405,F255,'Istoric_Nativ'!$F$6:$F$405,G255,'Istoric_Nativ'!$D$6:$D$405,"&lt;"&amp;J255,'Istoric_Nativ'!$P$6:$P$405,1,'Istoric_Nativ'!$D$6:$D$405,"&gt;="&amp;L255),COUNTIFS('Istoric_Nativ'!$B$6:$B$405,E255,'Istoric_Nativ'!$C$6:$C$405,F255,'Istoric_Nativ'!$E$6:$E$405,G255,'Istoric_Nativ'!$D$6:$D$405,"&lt;"&amp;J255,'Istoric_Nativ'!$P$6:$P$405,1,'Istoric_Nativ'!$D$6:$D$405,"&gt;="&amp;L255)+COUNTIFS('Istoric_Nativ'!$B$6:$B$405,E255,'Istoric_Nativ'!$C$6:$C$405,F255,'Istoric_Nativ'!$F$6:$F$405,G255,'Istoric_Nativ'!$D$6:$D$405,"&lt;"&amp;J255,'Istoric_Nativ'!$P$6:$P$405,1,'Istoric_Nativ'!$D$6:$D$405,"&gt;="&amp;L255))))</x:f>
        <x:v>0</x:v>
      </x:c>
      <x:c r="N255" s="11" t="str">
        <x:f>IF(M255=0,"",IF(H255="HOME",SUMIFS('Istoric_Nativ'!$G$6:$G$405,'Istoric_Nativ'!$B$6:$B$405,E255,'Istoric_Nativ'!$C$6:$C$405,F255,'Istoric_Nativ'!$E$6:$E$405,G255,'Istoric_Nativ'!$D$6:$D$405,"&lt;"&amp;J255,'Istoric_Nativ'!$P$6:$P$405,1,'Istoric_Nativ'!$D$6:$D$405,"&gt;="&amp;L255),IF(H255="AWAY",SUMIFS('Istoric_Nativ'!$H$6:$H$405,'Istoric_Nativ'!$B$6:$B$405,E255,'Istoric_Nativ'!$C$6:$C$405,F255,'Istoric_Nativ'!$F$6:$F$405,G255,'Istoric_Nativ'!$D$6:$D$405,"&lt;"&amp;J255,'Istoric_Nativ'!$P$6:$P$405,1,'Istoric_Nativ'!$D$6:$D$405,"&gt;="&amp;L255),SUMIFS('Istoric_Nativ'!$G$6:$G$405,'Istoric_Nativ'!$B$6:$B$405,E255,'Istoric_Nativ'!$C$6:$C$405,F255,'Istoric_Nativ'!$E$6:$E$405,G255,'Istoric_Nativ'!$D$6:$D$405,"&lt;"&amp;J255,'Istoric_Nativ'!$P$6:$P$405,1,'Istoric_Nativ'!$D$6:$D$405,"&gt;="&amp;L255)+SUMIFS('Istoric_Nativ'!$H$6:$H$405,'Istoric_Nativ'!$B$6:$B$405,E255,'Istoric_Nativ'!$C$6:$C$405,F255,'Istoric_Nativ'!$F$6:$F$405,G255,'Istoric_Nativ'!$D$6:$D$405,"&lt;"&amp;J255,'Istoric_Nativ'!$P$6:$P$405,1,'Istoric_Nativ'!$D$6:$D$405,"&gt;="&amp;L255)))/M255)</x:f>
      </x:c>
      <x:c r="O255" s="11" t="str">
        <x:f>IF(M255=0,"",IF(H255="HOME",SUMIFS('Istoric_Nativ'!$H$6:$H$405,'Istoric_Nativ'!$B$6:$B$405,E255,'Istoric_Nativ'!$C$6:$C$405,F255,'Istoric_Nativ'!$E$6:$E$405,G255,'Istoric_Nativ'!$D$6:$D$405,"&lt;"&amp;J255,'Istoric_Nativ'!$P$6:$P$405,1,'Istoric_Nativ'!$D$6:$D$405,"&gt;="&amp;L255),IF(H255="AWAY",SUMIFS('Istoric_Nativ'!$G$6:$G$405,'Istoric_Nativ'!$B$6:$B$405,E255,'Istoric_Nativ'!$C$6:$C$405,F255,'Istoric_Nativ'!$F$6:$F$405,G255,'Istoric_Nativ'!$D$6:$D$405,"&lt;"&amp;J255,'Istoric_Nativ'!$P$6:$P$405,1,'Istoric_Nativ'!$D$6:$D$405,"&gt;="&amp;L255),SUMIFS('Istoric_Nativ'!$H$6:$H$405,'Istoric_Nativ'!$B$6:$B$405,E255,'Istoric_Nativ'!$C$6:$C$405,F255,'Istoric_Nativ'!$E$6:$E$405,G255,'Istoric_Nativ'!$D$6:$D$405,"&lt;"&amp;J255,'Istoric_Nativ'!$P$6:$P$405,1,'Istoric_Nativ'!$D$6:$D$405,"&gt;="&amp;L255)+SUMIFS('Istoric_Nativ'!$G$6:$G$405,'Istoric_Nativ'!$B$6:$B$405,E255,'Istoric_Nativ'!$C$6:$C$405,F255,'Istoric_Nativ'!$F$6:$F$405,G255,'Istoric_Nativ'!$D$6:$D$405,"&lt;"&amp;J255,'Istoric_Nativ'!$P$6:$P$405,1,'Istoric_Nativ'!$D$6:$D$405,"&gt;="&amp;L255)))/M255)</x:f>
      </x:c>
      <x:c r="P255" s="2" t="n">
        <x:f>'Config_v6'!$B$7</x:f>
        <x:v>10</x:v>
      </x:c>
      <x:c r="Q255" s="2" t="n">
        <x:f>IF(OR(B255="",F255=""),0,IFERROR(MATCH(E255&amp;"|"&amp;F255,SourceTable[Source_Key],0),0))</x:f>
        <x:v>0</x:v>
      </x:c>
      <x:c r="R255" s="2" t="str">
        <x:f>IF(B255="","",IF(F255="","UNUSED",IF(Q255=0,"NOT CHECKED",IF(COUNTIF(SourceTable[Source_Key],E255&amp;"|"&amp;F255)&lt;&gt;1,"SOURCE CONFLICT",IF(NOT(OR(INDEX(SourceTable[Status],MAX(1,Q255))="IMPORTED",INDEX(SourceTable[Status],MAX(1,Q255))="PARTIAL",INDEX(SourceTable[Status],MAX(1,Q255))="SOURCE CONFLICT")),"ACCESS BLOCKED",IF(OR(INDEX(SourceTable[Coverage],Q255)&lt;&gt;"FULL SEASON EXPORT",INDEX(SourceTable[URL],Q255)="",INDEX(SourceTable[SHA256],Q255)=""),"EVIDENCE INCOMPLETE",IF(AND('Input_Meci'!H26="LIVE",INDEX(SourceTable[Retrieved_UTC],Q255)&gt;'Input_Meci'!G26),"POST CUTOFF","CLOSED")))))))</x:f>
      </x:c>
      <x:c r="S255" s="2" t="n">
        <x:f>IF(OR(B255="",F255=""),0,COUNTIFS('Istoric_Nativ'!$B$6:$B$405,E255,'Istoric_Nativ'!$C$6:$C$405,F255,'Istoric_Nativ'!$E$6:$E$405,G255,'Istoric_Nativ'!$D$6:$D$405,"&lt;"&amp;J255,'Istoric_Nativ'!$O$6:$O$405,"INVALID")+COUNTIFS('Istoric_Nativ'!$B$6:$B$405,E255,'Istoric_Nativ'!$C$6:$C$405,F255,'Istoric_Nativ'!$E$6:$E$405,G255,'Istoric_Nativ'!$O$6:$O$405,"INVALID",'Istoric_Nativ'!$D$6:$D$405,"*")+COUNTIFS('Istoric_Nativ'!$B$6:$B$405,E255,'Istoric_Nativ'!$C$6:$C$405,F255,'Istoric_Nativ'!$E$6:$E$405,G255,'Istoric_Nativ'!$D$6:$D$405,"&lt;"&amp;J255,'Istoric_Nativ'!$O$6:$O$405,"SOURCE CONFLICT")+COUNTIFS('Istoric_Nativ'!$B$6:$B$405,E255,'Istoric_Nativ'!$C$6:$C$405,F255,'Istoric_Nativ'!$F$6:$F$405,G255,'Istoric_Nativ'!$D$6:$D$405,"&lt;"&amp;J255,'Istoric_Nativ'!$O$6:$O$405,"INVALID")+COUNTIFS('Istoric_Nativ'!$B$6:$B$405,E255,'Istoric_Nativ'!$C$6:$C$405,F255,'Istoric_Nativ'!$F$6:$F$405,G255,'Istoric_Nativ'!$O$6:$O$405,"INVALID",'Istoric_Nativ'!$D$6:$D$405,"*")+COUNTIFS('Istoric_Nativ'!$B$6:$B$405,E255,'Istoric_Nativ'!$C$6:$C$405,F255,'Istoric_Nativ'!$F$6:$F$405,G255,'Istoric_Nativ'!$D$6:$D$405,"&lt;"&amp;J255,'Istoric_Nativ'!$O$6:$O$405,"SOURCE CONFLICT"))</x:f>
        <x:v>0</x:v>
      </x:c>
      <x:c r="T255" s="2" t="str">
        <x:f>IF(B255="","",IF(R255&lt;&gt;"CLOSED",R255,IF(S255&gt;0,"NATIVE INPUT ISSUE",IF(M255=0,"NO HISTORY",IF(M255&lt;P255,"SMALL SAMPLE","DERIVED")))))</x:f>
      </x:c>
      <x:c r="U255" s="2" t="str">
        <x:f>IF(B255="","","NativeTable; "&amp;E255&amp;"; "&amp;F255&amp;"; "&amp;G255&amp;"; "&amp;H255&amp;"; before "&amp;TEXT(J255,"yyyy-mm-dd")&amp;IF(I255="RECENT","; from "&amp;TEXT(L255,"yyyy-mm-dd"),""))</x:f>
      </x:c>
    </x:row>
    <x:row r="256" ht="21" customHeight="1">
      <x:c r="A256" s="2" t="n">
        <x:v>21</x:v>
      </x:c>
      <x:c r="B256" s="2" t="str">
        <x:f>IF('Input_Meci'!A26="","",'Input_Meci'!A26)</x:f>
      </x:c>
      <x:c r="C256" s="2" t="str">
        <x:v>A</x:v>
      </x:c>
      <x:c r="D256" s="2" t="str">
        <x:v>PRIOR</x:v>
      </x:c>
      <x:c r="E256" s="2" t="str">
        <x:f>IF(B256="","",'Input_Meci'!B26)</x:f>
      </x:c>
      <x:c r="F256" s="2" t="str">
        <x:f>IF(B256="","",IF('Input_Meci'!K26="","",'Input_Meci'!K26))</x:f>
      </x:c>
      <x:c r="G256" s="2" t="str">
        <x:f>IF(B256="","",'Input_Meci'!E26)</x:f>
      </x:c>
      <x:c r="H256" s="2" t="str">
        <x:v>AWAY</x:v>
      </x:c>
      <x:c r="I256" s="2" t="str">
        <x:v>HA</x:v>
      </x:c>
      <x:c r="J256" s="9" t="n">
        <x:f>IF(AND(B256&lt;&gt;"",ISNUMBER('Input_Meci'!G26)),INT('Input_Meci'!G26),0)</x:f>
        <x:v>0</x:v>
      </x:c>
      <x:c r="K256" s="2" t="n">
        <x:f>IF(OR(B256="",F256=""),0,IF(H256="HOME",COUNTIFS('Istoric_Nativ'!$B$6:$B$405,E256,'Istoric_Nativ'!$C$6:$C$405,F256,'Istoric_Nativ'!$E$6:$E$405,G256,'Istoric_Nativ'!$D$6:$D$405,"&lt;"&amp;J256,'Istoric_Nativ'!$P$6:$P$405,1),IF(H256="AWAY",COUNTIFS('Istoric_Nativ'!$B$6:$B$405,E256,'Istoric_Nativ'!$C$6:$C$405,F256,'Istoric_Nativ'!$F$6:$F$405,G256,'Istoric_Nativ'!$D$6:$D$405,"&lt;"&amp;J256,'Istoric_Nativ'!$P$6:$P$405,1),COUNTIFS('Istoric_Nativ'!$B$6:$B$405,E256,'Istoric_Nativ'!$C$6:$C$405,F256,'Istoric_Nativ'!$E$6:$E$405,G256,'Istoric_Nativ'!$D$6:$D$405,"&lt;"&amp;J256,'Istoric_Nativ'!$P$6:$P$405,1)+COUNTIFS('Istoric_Nativ'!$B$6:$B$405,E256,'Istoric_Nativ'!$C$6:$C$405,F256,'Istoric_Nativ'!$F$6:$F$405,G256,'Istoric_Nativ'!$D$6:$D$405,"&lt;"&amp;J256,'Istoric_Nativ'!$P$6:$P$405,1))))</x:f>
        <x:v>0</x:v>
      </x:c>
      <x:c r="L256" s="17" t="n">
        <x:f>IF(AND(B256&lt;&gt;"",I256="RECENT",K256&gt;0),LARGE(_xlfn._xlws.FILTER('Istoric_Nativ'!$D$6:$D$405,('Istoric_Nativ'!$B$6:$B$405=E256)*('Istoric_Nativ'!$C$6:$C$405=F256)*('Istoric_Nativ'!$P$6:$P$405=1)*('Istoric_Nativ'!$D$6:$D$405&lt;J256)*((('Istoric_Nativ'!$E$6:$E$405=G256)+('Istoric_Nativ'!$F$6:$F$405=G256))&gt;0)),MIN('Config_v6'!$B$54,K256)),0)</x:f>
        <x:v>0</x:v>
      </x:c>
      <x:c r="M256" s="2" t="n">
        <x:f>IF(OR(B256="",F256=""),0,IF(H256="HOME",COUNTIFS('Istoric_Nativ'!$B$6:$B$405,E256,'Istoric_Nativ'!$C$6:$C$405,F256,'Istoric_Nativ'!$E$6:$E$405,G256,'Istoric_Nativ'!$D$6:$D$405,"&lt;"&amp;J256,'Istoric_Nativ'!$P$6:$P$405,1,'Istoric_Nativ'!$D$6:$D$405,"&gt;="&amp;L256),IF(H256="AWAY",COUNTIFS('Istoric_Nativ'!$B$6:$B$405,E256,'Istoric_Nativ'!$C$6:$C$405,F256,'Istoric_Nativ'!$F$6:$F$405,G256,'Istoric_Nativ'!$D$6:$D$405,"&lt;"&amp;J256,'Istoric_Nativ'!$P$6:$P$405,1,'Istoric_Nativ'!$D$6:$D$405,"&gt;="&amp;L256),COUNTIFS('Istoric_Nativ'!$B$6:$B$405,E256,'Istoric_Nativ'!$C$6:$C$405,F256,'Istoric_Nativ'!$E$6:$E$405,G256,'Istoric_Nativ'!$D$6:$D$405,"&lt;"&amp;J256,'Istoric_Nativ'!$P$6:$P$405,1,'Istoric_Nativ'!$D$6:$D$405,"&gt;="&amp;L256)+COUNTIFS('Istoric_Nativ'!$B$6:$B$405,E256,'Istoric_Nativ'!$C$6:$C$405,F256,'Istoric_Nativ'!$F$6:$F$405,G256,'Istoric_Nativ'!$D$6:$D$405,"&lt;"&amp;J256,'Istoric_Nativ'!$P$6:$P$405,1,'Istoric_Nativ'!$D$6:$D$405,"&gt;="&amp;L256))))</x:f>
        <x:v>0</x:v>
      </x:c>
      <x:c r="N256" s="11" t="str">
        <x:f>IF(M256=0,"",IF(H256="HOME",SUMIFS('Istoric_Nativ'!$G$6:$G$405,'Istoric_Nativ'!$B$6:$B$405,E256,'Istoric_Nativ'!$C$6:$C$405,F256,'Istoric_Nativ'!$E$6:$E$405,G256,'Istoric_Nativ'!$D$6:$D$405,"&lt;"&amp;J256,'Istoric_Nativ'!$P$6:$P$405,1,'Istoric_Nativ'!$D$6:$D$405,"&gt;="&amp;L256),IF(H256="AWAY",SUMIFS('Istoric_Nativ'!$H$6:$H$405,'Istoric_Nativ'!$B$6:$B$405,E256,'Istoric_Nativ'!$C$6:$C$405,F256,'Istoric_Nativ'!$F$6:$F$405,G256,'Istoric_Nativ'!$D$6:$D$405,"&lt;"&amp;J256,'Istoric_Nativ'!$P$6:$P$405,1,'Istoric_Nativ'!$D$6:$D$405,"&gt;="&amp;L256),SUMIFS('Istoric_Nativ'!$G$6:$G$405,'Istoric_Nativ'!$B$6:$B$405,E256,'Istoric_Nativ'!$C$6:$C$405,F256,'Istoric_Nativ'!$E$6:$E$405,G256,'Istoric_Nativ'!$D$6:$D$405,"&lt;"&amp;J256,'Istoric_Nativ'!$P$6:$P$405,1,'Istoric_Nativ'!$D$6:$D$405,"&gt;="&amp;L256)+SUMIFS('Istoric_Nativ'!$H$6:$H$405,'Istoric_Nativ'!$B$6:$B$405,E256,'Istoric_Nativ'!$C$6:$C$405,F256,'Istoric_Nativ'!$F$6:$F$405,G256,'Istoric_Nativ'!$D$6:$D$405,"&lt;"&amp;J256,'Istoric_Nativ'!$P$6:$P$405,1,'Istoric_Nativ'!$D$6:$D$405,"&gt;="&amp;L256)))/M256)</x:f>
      </x:c>
      <x:c r="O256" s="11" t="str">
        <x:f>IF(M256=0,"",IF(H256="HOME",SUMIFS('Istoric_Nativ'!$H$6:$H$405,'Istoric_Nativ'!$B$6:$B$405,E256,'Istoric_Nativ'!$C$6:$C$405,F256,'Istoric_Nativ'!$E$6:$E$405,G256,'Istoric_Nativ'!$D$6:$D$405,"&lt;"&amp;J256,'Istoric_Nativ'!$P$6:$P$405,1,'Istoric_Nativ'!$D$6:$D$405,"&gt;="&amp;L256),IF(H256="AWAY",SUMIFS('Istoric_Nativ'!$G$6:$G$405,'Istoric_Nativ'!$B$6:$B$405,E256,'Istoric_Nativ'!$C$6:$C$405,F256,'Istoric_Nativ'!$F$6:$F$405,G256,'Istoric_Nativ'!$D$6:$D$405,"&lt;"&amp;J256,'Istoric_Nativ'!$P$6:$P$405,1,'Istoric_Nativ'!$D$6:$D$405,"&gt;="&amp;L256),SUMIFS('Istoric_Nativ'!$H$6:$H$405,'Istoric_Nativ'!$B$6:$B$405,E256,'Istoric_Nativ'!$C$6:$C$405,F256,'Istoric_Nativ'!$E$6:$E$405,G256,'Istoric_Nativ'!$D$6:$D$405,"&lt;"&amp;J256,'Istoric_Nativ'!$P$6:$P$405,1,'Istoric_Nativ'!$D$6:$D$405,"&gt;="&amp;L256)+SUMIFS('Istoric_Nativ'!$G$6:$G$405,'Istoric_Nativ'!$B$6:$B$405,E256,'Istoric_Nativ'!$C$6:$C$405,F256,'Istoric_Nativ'!$F$6:$F$405,G256,'Istoric_Nativ'!$D$6:$D$405,"&lt;"&amp;J256,'Istoric_Nativ'!$P$6:$P$405,1,'Istoric_Nativ'!$D$6:$D$405,"&gt;="&amp;L256)))/M256)</x:f>
      </x:c>
      <x:c r="P256" s="2" t="n">
        <x:f>'Config_v6'!$B$8</x:f>
        <x:v>5</x:v>
      </x:c>
      <x:c r="Q256" s="2" t="n">
        <x:f>IF(OR(B256="",F256=""),0,IFERROR(MATCH(E256&amp;"|"&amp;F256,SourceTable[Source_Key],0),0))</x:f>
        <x:v>0</x:v>
      </x:c>
      <x:c r="R256" s="2" t="str">
        <x:f>IF(B256="","",IF(F256="","UNUSED",IF(Q256=0,"NOT CHECKED",IF(COUNTIF(SourceTable[Source_Key],E256&amp;"|"&amp;F256)&lt;&gt;1,"SOURCE CONFLICT",IF(NOT(OR(INDEX(SourceTable[Status],MAX(1,Q256))="IMPORTED",INDEX(SourceTable[Status],MAX(1,Q256))="PARTIAL",INDEX(SourceTable[Status],MAX(1,Q256))="SOURCE CONFLICT")),"ACCESS BLOCKED",IF(OR(INDEX(SourceTable[Coverage],Q256)&lt;&gt;"FULL SEASON EXPORT",INDEX(SourceTable[URL],Q256)="",INDEX(SourceTable[SHA256],Q256)=""),"EVIDENCE INCOMPLETE",IF(AND('Input_Meci'!H26="LIVE",INDEX(SourceTable[Retrieved_UTC],Q256)&gt;'Input_Meci'!G26),"POST CUTOFF","CLOSED")))))))</x:f>
      </x:c>
      <x:c r="S256" s="2" t="n">
        <x:f>IF(OR(B256="",F256=""),0,COUNTIFS('Istoric_Nativ'!$B$6:$B$405,E256,'Istoric_Nativ'!$C$6:$C$405,F256,'Istoric_Nativ'!$E$6:$E$405,G256,'Istoric_Nativ'!$D$6:$D$405,"&lt;"&amp;J256,'Istoric_Nativ'!$O$6:$O$405,"INVALID")+COUNTIFS('Istoric_Nativ'!$B$6:$B$405,E256,'Istoric_Nativ'!$C$6:$C$405,F256,'Istoric_Nativ'!$E$6:$E$405,G256,'Istoric_Nativ'!$O$6:$O$405,"INVALID",'Istoric_Nativ'!$D$6:$D$405,"*")+COUNTIFS('Istoric_Nativ'!$B$6:$B$405,E256,'Istoric_Nativ'!$C$6:$C$405,F256,'Istoric_Nativ'!$E$6:$E$405,G256,'Istoric_Nativ'!$D$6:$D$405,"&lt;"&amp;J256,'Istoric_Nativ'!$O$6:$O$405,"SOURCE CONFLICT")+COUNTIFS('Istoric_Nativ'!$B$6:$B$405,E256,'Istoric_Nativ'!$C$6:$C$405,F256,'Istoric_Nativ'!$F$6:$F$405,G256,'Istoric_Nativ'!$D$6:$D$405,"&lt;"&amp;J256,'Istoric_Nativ'!$O$6:$O$405,"INVALID")+COUNTIFS('Istoric_Nativ'!$B$6:$B$405,E256,'Istoric_Nativ'!$C$6:$C$405,F256,'Istoric_Nativ'!$F$6:$F$405,G256,'Istoric_Nativ'!$O$6:$O$405,"INVALID",'Istoric_Nativ'!$D$6:$D$405,"*")+COUNTIFS('Istoric_Nativ'!$B$6:$B$405,E256,'Istoric_Nativ'!$C$6:$C$405,F256,'Istoric_Nativ'!$F$6:$F$405,G256,'Istoric_Nativ'!$D$6:$D$405,"&lt;"&amp;J256,'Istoric_Nativ'!$O$6:$O$405,"SOURCE CONFLICT"))</x:f>
        <x:v>0</x:v>
      </x:c>
      <x:c r="T256" s="2" t="str">
        <x:f>IF(B256="","",IF(R256&lt;&gt;"CLOSED",R256,IF(S256&gt;0,"NATIVE INPUT ISSUE",IF(M256=0,"NO HISTORY",IF(M256&lt;P256,"SMALL SAMPLE","DERIVED")))))</x:f>
      </x:c>
      <x:c r="U256" s="2" t="str">
        <x:f>IF(B256="","","NativeTable; "&amp;E256&amp;"; "&amp;F256&amp;"; "&amp;G256&amp;"; "&amp;H256&amp;"; before "&amp;TEXT(J256,"yyyy-mm-dd")&amp;IF(I256="RECENT","; from "&amp;TEXT(L256,"yyyy-mm-dd"),""))</x:f>
      </x:c>
    </x:row>
    <x:row r="257" ht="21" customHeight="1">
      <x:c r="A257" s="2" t="n">
        <x:v>21</x:v>
      </x:c>
      <x:c r="B257" s="2" t="str">
        <x:f>IF('Input_Meci'!A26="","",'Input_Meci'!A26)</x:f>
      </x:c>
      <x:c r="C257" s="2" t="str">
        <x:v>A</x:v>
      </x:c>
      <x:c r="D257" s="2" t="str">
        <x:v>PRIOR</x:v>
      </x:c>
      <x:c r="E257" s="2" t="str">
        <x:f>IF(B257="","",'Input_Meci'!B26)</x:f>
      </x:c>
      <x:c r="F257" s="2" t="str">
        <x:f>IF(B257="","",IF('Input_Meci'!K26="","",'Input_Meci'!K26))</x:f>
      </x:c>
      <x:c r="G257" s="2" t="str">
        <x:f>IF(B257="","",'Input_Meci'!E26)</x:f>
      </x:c>
      <x:c r="H257" s="2" t="str">
        <x:v>ANY</x:v>
      </x:c>
      <x:c r="I257" s="2" t="str">
        <x:v>RECENT</x:v>
      </x:c>
      <x:c r="J257" s="9" t="n">
        <x:f>IF(AND(B257&lt;&gt;"",ISNUMBER('Input_Meci'!G26)),INT('Input_Meci'!G26),0)</x:f>
        <x:v>0</x:v>
      </x:c>
      <x:c r="K257" s="2" t="n">
        <x:f>IF(OR(B257="",F257=""),0,IF(H257="HOME",COUNTIFS('Istoric_Nativ'!$B$6:$B$405,E257,'Istoric_Nativ'!$C$6:$C$405,F257,'Istoric_Nativ'!$E$6:$E$405,G257,'Istoric_Nativ'!$D$6:$D$405,"&lt;"&amp;J257,'Istoric_Nativ'!$P$6:$P$405,1),IF(H257="AWAY",COUNTIFS('Istoric_Nativ'!$B$6:$B$405,E257,'Istoric_Nativ'!$C$6:$C$405,F257,'Istoric_Nativ'!$F$6:$F$405,G257,'Istoric_Nativ'!$D$6:$D$405,"&lt;"&amp;J257,'Istoric_Nativ'!$P$6:$P$405,1),COUNTIFS('Istoric_Nativ'!$B$6:$B$405,E257,'Istoric_Nativ'!$C$6:$C$405,F257,'Istoric_Nativ'!$E$6:$E$405,G257,'Istoric_Nativ'!$D$6:$D$405,"&lt;"&amp;J257,'Istoric_Nativ'!$P$6:$P$405,1)+COUNTIFS('Istoric_Nativ'!$B$6:$B$405,E257,'Istoric_Nativ'!$C$6:$C$405,F257,'Istoric_Nativ'!$F$6:$F$405,G257,'Istoric_Nativ'!$D$6:$D$405,"&lt;"&amp;J257,'Istoric_Nativ'!$P$6:$P$405,1))))</x:f>
        <x:v>0</x:v>
      </x:c>
      <x:c r="L257" s="17" t="n">
        <x:f>IF(AND(B257&lt;&gt;"",I257="RECENT",K257&gt;0),LARGE(_xlfn._xlws.FILTER('Istoric_Nativ'!$D$6:$D$405,('Istoric_Nativ'!$B$6:$B$405=E257)*('Istoric_Nativ'!$C$6:$C$405=F257)*('Istoric_Nativ'!$P$6:$P$405=1)*('Istoric_Nativ'!$D$6:$D$405&lt;J257)*((('Istoric_Nativ'!$E$6:$E$405=G257)+('Istoric_Nativ'!$F$6:$F$405=G257))&gt;0)),MIN('Config_v6'!$B$54,K257)),0)</x:f>
        <x:v>0</x:v>
      </x:c>
      <x:c r="M257" s="2" t="n">
        <x:f>IF(OR(B257="",F257=""),0,IF(H257="HOME",COUNTIFS('Istoric_Nativ'!$B$6:$B$405,E257,'Istoric_Nativ'!$C$6:$C$405,F257,'Istoric_Nativ'!$E$6:$E$405,G257,'Istoric_Nativ'!$D$6:$D$405,"&lt;"&amp;J257,'Istoric_Nativ'!$P$6:$P$405,1,'Istoric_Nativ'!$D$6:$D$405,"&gt;="&amp;L257),IF(H257="AWAY",COUNTIFS('Istoric_Nativ'!$B$6:$B$405,E257,'Istoric_Nativ'!$C$6:$C$405,F257,'Istoric_Nativ'!$F$6:$F$405,G257,'Istoric_Nativ'!$D$6:$D$405,"&lt;"&amp;J257,'Istoric_Nativ'!$P$6:$P$405,1,'Istoric_Nativ'!$D$6:$D$405,"&gt;="&amp;L257),COUNTIFS('Istoric_Nativ'!$B$6:$B$405,E257,'Istoric_Nativ'!$C$6:$C$405,F257,'Istoric_Nativ'!$E$6:$E$405,G257,'Istoric_Nativ'!$D$6:$D$405,"&lt;"&amp;J257,'Istoric_Nativ'!$P$6:$P$405,1,'Istoric_Nativ'!$D$6:$D$405,"&gt;="&amp;L257)+COUNTIFS('Istoric_Nativ'!$B$6:$B$405,E257,'Istoric_Nativ'!$C$6:$C$405,F257,'Istoric_Nativ'!$F$6:$F$405,G257,'Istoric_Nativ'!$D$6:$D$405,"&lt;"&amp;J257,'Istoric_Nativ'!$P$6:$P$405,1,'Istoric_Nativ'!$D$6:$D$405,"&gt;="&amp;L257))))</x:f>
        <x:v>0</x:v>
      </x:c>
      <x:c r="N257" s="11" t="str">
        <x:f>IF(M257=0,"",IF(H257="HOME",SUMIFS('Istoric_Nativ'!$G$6:$G$405,'Istoric_Nativ'!$B$6:$B$405,E257,'Istoric_Nativ'!$C$6:$C$405,F257,'Istoric_Nativ'!$E$6:$E$405,G257,'Istoric_Nativ'!$D$6:$D$405,"&lt;"&amp;J257,'Istoric_Nativ'!$P$6:$P$405,1,'Istoric_Nativ'!$D$6:$D$405,"&gt;="&amp;L257),IF(H257="AWAY",SUMIFS('Istoric_Nativ'!$H$6:$H$405,'Istoric_Nativ'!$B$6:$B$405,E257,'Istoric_Nativ'!$C$6:$C$405,F257,'Istoric_Nativ'!$F$6:$F$405,G257,'Istoric_Nativ'!$D$6:$D$405,"&lt;"&amp;J257,'Istoric_Nativ'!$P$6:$P$405,1,'Istoric_Nativ'!$D$6:$D$405,"&gt;="&amp;L257),SUMIFS('Istoric_Nativ'!$G$6:$G$405,'Istoric_Nativ'!$B$6:$B$405,E257,'Istoric_Nativ'!$C$6:$C$405,F257,'Istoric_Nativ'!$E$6:$E$405,G257,'Istoric_Nativ'!$D$6:$D$405,"&lt;"&amp;J257,'Istoric_Nativ'!$P$6:$P$405,1,'Istoric_Nativ'!$D$6:$D$405,"&gt;="&amp;L257)+SUMIFS('Istoric_Nativ'!$H$6:$H$405,'Istoric_Nativ'!$B$6:$B$405,E257,'Istoric_Nativ'!$C$6:$C$405,F257,'Istoric_Nativ'!$F$6:$F$405,G257,'Istoric_Nativ'!$D$6:$D$405,"&lt;"&amp;J257,'Istoric_Nativ'!$P$6:$P$405,1,'Istoric_Nativ'!$D$6:$D$405,"&gt;="&amp;L257)))/M257)</x:f>
      </x:c>
      <x:c r="O257" s="11" t="str">
        <x:f>IF(M257=0,"",IF(H257="HOME",SUMIFS('Istoric_Nativ'!$H$6:$H$405,'Istoric_Nativ'!$B$6:$B$405,E257,'Istoric_Nativ'!$C$6:$C$405,F257,'Istoric_Nativ'!$E$6:$E$405,G257,'Istoric_Nativ'!$D$6:$D$405,"&lt;"&amp;J257,'Istoric_Nativ'!$P$6:$P$405,1,'Istoric_Nativ'!$D$6:$D$405,"&gt;="&amp;L257),IF(H257="AWAY",SUMIFS('Istoric_Nativ'!$G$6:$G$405,'Istoric_Nativ'!$B$6:$B$405,E257,'Istoric_Nativ'!$C$6:$C$405,F257,'Istoric_Nativ'!$F$6:$F$405,G257,'Istoric_Nativ'!$D$6:$D$405,"&lt;"&amp;J257,'Istoric_Nativ'!$P$6:$P$405,1,'Istoric_Nativ'!$D$6:$D$405,"&gt;="&amp;L257),SUMIFS('Istoric_Nativ'!$H$6:$H$405,'Istoric_Nativ'!$B$6:$B$405,E257,'Istoric_Nativ'!$C$6:$C$405,F257,'Istoric_Nativ'!$E$6:$E$405,G257,'Istoric_Nativ'!$D$6:$D$405,"&lt;"&amp;J257,'Istoric_Nativ'!$P$6:$P$405,1,'Istoric_Nativ'!$D$6:$D$405,"&gt;="&amp;L257)+SUMIFS('Istoric_Nativ'!$G$6:$G$405,'Istoric_Nativ'!$B$6:$B$405,E257,'Istoric_Nativ'!$C$6:$C$405,F257,'Istoric_Nativ'!$F$6:$F$405,G257,'Istoric_Nativ'!$D$6:$D$405,"&lt;"&amp;J257,'Istoric_Nativ'!$P$6:$P$405,1,'Istoric_Nativ'!$D$6:$D$405,"&gt;="&amp;L257)))/M257)</x:f>
      </x:c>
      <x:c r="P257" s="2" t="n">
        <x:f>'Config_v6'!$B$9</x:f>
        <x:v>3</x:v>
      </x:c>
      <x:c r="Q257" s="2" t="n">
        <x:f>IF(OR(B257="",F257=""),0,IFERROR(MATCH(E257&amp;"|"&amp;F257,SourceTable[Source_Key],0),0))</x:f>
        <x:v>0</x:v>
      </x:c>
      <x:c r="R257" s="2" t="str">
        <x:f>IF(B257="","",IF(F257="","UNUSED",IF(Q257=0,"NOT CHECKED",IF(COUNTIF(SourceTable[Source_Key],E257&amp;"|"&amp;F257)&lt;&gt;1,"SOURCE CONFLICT",IF(NOT(OR(INDEX(SourceTable[Status],MAX(1,Q257))="IMPORTED",INDEX(SourceTable[Status],MAX(1,Q257))="PARTIAL",INDEX(SourceTable[Status],MAX(1,Q257))="SOURCE CONFLICT")),"ACCESS BLOCKED",IF(OR(INDEX(SourceTable[Coverage],Q257)&lt;&gt;"FULL SEASON EXPORT",INDEX(SourceTable[URL],Q257)="",INDEX(SourceTable[SHA256],Q257)=""),"EVIDENCE INCOMPLETE",IF(AND('Input_Meci'!H26="LIVE",INDEX(SourceTable[Retrieved_UTC],Q257)&gt;'Input_Meci'!G26),"POST CUTOFF","CLOSED")))))))</x:f>
      </x:c>
      <x:c r="S257" s="2" t="n">
        <x:f>IF(OR(B257="",F257=""),0,COUNTIFS('Istoric_Nativ'!$B$6:$B$405,E257,'Istoric_Nativ'!$C$6:$C$405,F257,'Istoric_Nativ'!$E$6:$E$405,G257,'Istoric_Nativ'!$D$6:$D$405,"&lt;"&amp;J257,'Istoric_Nativ'!$O$6:$O$405,"INVALID")+COUNTIFS('Istoric_Nativ'!$B$6:$B$405,E257,'Istoric_Nativ'!$C$6:$C$405,F257,'Istoric_Nativ'!$E$6:$E$405,G257,'Istoric_Nativ'!$O$6:$O$405,"INVALID",'Istoric_Nativ'!$D$6:$D$405,"*")+COUNTIFS('Istoric_Nativ'!$B$6:$B$405,E257,'Istoric_Nativ'!$C$6:$C$405,F257,'Istoric_Nativ'!$E$6:$E$405,G257,'Istoric_Nativ'!$D$6:$D$405,"&lt;"&amp;J257,'Istoric_Nativ'!$O$6:$O$405,"SOURCE CONFLICT")+COUNTIFS('Istoric_Nativ'!$B$6:$B$405,E257,'Istoric_Nativ'!$C$6:$C$405,F257,'Istoric_Nativ'!$F$6:$F$405,G257,'Istoric_Nativ'!$D$6:$D$405,"&lt;"&amp;J257,'Istoric_Nativ'!$O$6:$O$405,"INVALID")+COUNTIFS('Istoric_Nativ'!$B$6:$B$405,E257,'Istoric_Nativ'!$C$6:$C$405,F257,'Istoric_Nativ'!$F$6:$F$405,G257,'Istoric_Nativ'!$O$6:$O$405,"INVALID",'Istoric_Nativ'!$D$6:$D$405,"*")+COUNTIFS('Istoric_Nativ'!$B$6:$B$405,E257,'Istoric_Nativ'!$C$6:$C$405,F257,'Istoric_Nativ'!$F$6:$F$405,G257,'Istoric_Nativ'!$D$6:$D$405,"&lt;"&amp;J257,'Istoric_Nativ'!$O$6:$O$405,"SOURCE CONFLICT"))</x:f>
        <x:v>0</x:v>
      </x:c>
      <x:c r="T257" s="2" t="str">
        <x:f>IF(B257="","",IF(R257&lt;&gt;"CLOSED",R257,IF(S257&gt;0,"NATIVE INPUT ISSUE",IF(M257=0,"NO HISTORY",IF(M257&lt;P257,"SMALL SAMPLE","DERIVED")))))</x:f>
      </x:c>
      <x:c r="U257" s="2" t="str">
        <x:f>IF(B257="","","NativeTable; "&amp;E257&amp;"; "&amp;F257&amp;"; "&amp;G257&amp;"; "&amp;H257&amp;"; before "&amp;TEXT(J257,"yyyy-mm-dd")&amp;IF(I257="RECENT","; from "&amp;TEXT(L257,"yyyy-mm-dd"),""))</x:f>
      </x:c>
    </x:row>
    <x:row r="258" ht="21" customHeight="1">
      <x:c r="A258" s="2" t="n">
        <x:v>22</x:v>
      </x:c>
      <x:c r="B258" s="2" t="str">
        <x:f>IF('Input_Meci'!A27="","",'Input_Meci'!A27)</x:f>
      </x:c>
      <x:c r="C258" s="2" t="str">
        <x:v>H</x:v>
      </x:c>
      <x:c r="D258" s="2" t="str">
        <x:v>CURRENT</x:v>
      </x:c>
      <x:c r="E258" s="2" t="str">
        <x:f>IF(B258="","",'Input_Meci'!B27)</x:f>
      </x:c>
      <x:c r="F258" s="2" t="str">
        <x:f>IF(B258="","",IF('Input_Meci'!C27="","",'Input_Meci'!C27))</x:f>
      </x:c>
      <x:c r="G258" s="2" t="str">
        <x:f>IF(B258="","",'Input_Meci'!D27)</x:f>
      </x:c>
      <x:c r="H258" s="2" t="str">
        <x:v>ANY</x:v>
      </x:c>
      <x:c r="I258" s="2" t="str">
        <x:v>SEASON</x:v>
      </x:c>
      <x:c r="J258" s="9" t="n">
        <x:f>IF(AND(B258&lt;&gt;"",ISNUMBER('Input_Meci'!G27)),INT('Input_Meci'!G27),0)</x:f>
        <x:v>0</x:v>
      </x:c>
      <x:c r="K258" s="2" t="n">
        <x:f>IF(OR(B258="",F258=""),0,IF(H258="HOME",COUNTIFS('Istoric_Nativ'!$B$6:$B$405,E258,'Istoric_Nativ'!$C$6:$C$405,F258,'Istoric_Nativ'!$E$6:$E$405,G258,'Istoric_Nativ'!$D$6:$D$405,"&lt;"&amp;J258,'Istoric_Nativ'!$P$6:$P$405,1),IF(H258="AWAY",COUNTIFS('Istoric_Nativ'!$B$6:$B$405,E258,'Istoric_Nativ'!$C$6:$C$405,F258,'Istoric_Nativ'!$F$6:$F$405,G258,'Istoric_Nativ'!$D$6:$D$405,"&lt;"&amp;J258,'Istoric_Nativ'!$P$6:$P$405,1),COUNTIFS('Istoric_Nativ'!$B$6:$B$405,E258,'Istoric_Nativ'!$C$6:$C$405,F258,'Istoric_Nativ'!$E$6:$E$405,G258,'Istoric_Nativ'!$D$6:$D$405,"&lt;"&amp;J258,'Istoric_Nativ'!$P$6:$P$405,1)+COUNTIFS('Istoric_Nativ'!$B$6:$B$405,E258,'Istoric_Nativ'!$C$6:$C$405,F258,'Istoric_Nativ'!$F$6:$F$405,G258,'Istoric_Nativ'!$D$6:$D$405,"&lt;"&amp;J258,'Istoric_Nativ'!$P$6:$P$405,1))))</x:f>
        <x:v>0</x:v>
      </x:c>
      <x:c r="L258" s="17" t="n">
        <x:f>IF(AND(B258&lt;&gt;"",I258="RECENT",K258&gt;0),LARGE(_xlfn._xlws.FILTER('Istoric_Nativ'!$D$6:$D$405,('Istoric_Nativ'!$B$6:$B$405=E258)*('Istoric_Nativ'!$C$6:$C$405=F258)*('Istoric_Nativ'!$P$6:$P$405=1)*('Istoric_Nativ'!$D$6:$D$405&lt;J258)*((('Istoric_Nativ'!$E$6:$E$405=G258)+('Istoric_Nativ'!$F$6:$F$405=G258))&gt;0)),MIN('Config_v6'!$B$54,K258)),0)</x:f>
        <x:v>0</x:v>
      </x:c>
      <x:c r="M258" s="2" t="n">
        <x:f>IF(OR(B258="",F258=""),0,IF(H258="HOME",COUNTIFS('Istoric_Nativ'!$B$6:$B$405,E258,'Istoric_Nativ'!$C$6:$C$405,F258,'Istoric_Nativ'!$E$6:$E$405,G258,'Istoric_Nativ'!$D$6:$D$405,"&lt;"&amp;J258,'Istoric_Nativ'!$P$6:$P$405,1,'Istoric_Nativ'!$D$6:$D$405,"&gt;="&amp;L258),IF(H258="AWAY",COUNTIFS('Istoric_Nativ'!$B$6:$B$405,E258,'Istoric_Nativ'!$C$6:$C$405,F258,'Istoric_Nativ'!$F$6:$F$405,G258,'Istoric_Nativ'!$D$6:$D$405,"&lt;"&amp;J258,'Istoric_Nativ'!$P$6:$P$405,1,'Istoric_Nativ'!$D$6:$D$405,"&gt;="&amp;L258),COUNTIFS('Istoric_Nativ'!$B$6:$B$405,E258,'Istoric_Nativ'!$C$6:$C$405,F258,'Istoric_Nativ'!$E$6:$E$405,G258,'Istoric_Nativ'!$D$6:$D$405,"&lt;"&amp;J258,'Istoric_Nativ'!$P$6:$P$405,1,'Istoric_Nativ'!$D$6:$D$405,"&gt;="&amp;L258)+COUNTIFS('Istoric_Nativ'!$B$6:$B$405,E258,'Istoric_Nativ'!$C$6:$C$405,F258,'Istoric_Nativ'!$F$6:$F$405,G258,'Istoric_Nativ'!$D$6:$D$405,"&lt;"&amp;J258,'Istoric_Nativ'!$P$6:$P$405,1,'Istoric_Nativ'!$D$6:$D$405,"&gt;="&amp;L258))))</x:f>
        <x:v>0</x:v>
      </x:c>
      <x:c r="N258" s="11" t="str">
        <x:f>IF(M258=0,"",IF(H258="HOME",SUMIFS('Istoric_Nativ'!$G$6:$G$405,'Istoric_Nativ'!$B$6:$B$405,E258,'Istoric_Nativ'!$C$6:$C$405,F258,'Istoric_Nativ'!$E$6:$E$405,G258,'Istoric_Nativ'!$D$6:$D$405,"&lt;"&amp;J258,'Istoric_Nativ'!$P$6:$P$405,1,'Istoric_Nativ'!$D$6:$D$405,"&gt;="&amp;L258),IF(H258="AWAY",SUMIFS('Istoric_Nativ'!$H$6:$H$405,'Istoric_Nativ'!$B$6:$B$405,E258,'Istoric_Nativ'!$C$6:$C$405,F258,'Istoric_Nativ'!$F$6:$F$405,G258,'Istoric_Nativ'!$D$6:$D$405,"&lt;"&amp;J258,'Istoric_Nativ'!$P$6:$P$405,1,'Istoric_Nativ'!$D$6:$D$405,"&gt;="&amp;L258),SUMIFS('Istoric_Nativ'!$G$6:$G$405,'Istoric_Nativ'!$B$6:$B$405,E258,'Istoric_Nativ'!$C$6:$C$405,F258,'Istoric_Nativ'!$E$6:$E$405,G258,'Istoric_Nativ'!$D$6:$D$405,"&lt;"&amp;J258,'Istoric_Nativ'!$P$6:$P$405,1,'Istoric_Nativ'!$D$6:$D$405,"&gt;="&amp;L258)+SUMIFS('Istoric_Nativ'!$H$6:$H$405,'Istoric_Nativ'!$B$6:$B$405,E258,'Istoric_Nativ'!$C$6:$C$405,F258,'Istoric_Nativ'!$F$6:$F$405,G258,'Istoric_Nativ'!$D$6:$D$405,"&lt;"&amp;J258,'Istoric_Nativ'!$P$6:$P$405,1,'Istoric_Nativ'!$D$6:$D$405,"&gt;="&amp;L258)))/M258)</x:f>
      </x:c>
      <x:c r="O258" s="11" t="str">
        <x:f>IF(M258=0,"",IF(H258="HOME",SUMIFS('Istoric_Nativ'!$H$6:$H$405,'Istoric_Nativ'!$B$6:$B$405,E258,'Istoric_Nativ'!$C$6:$C$405,F258,'Istoric_Nativ'!$E$6:$E$405,G258,'Istoric_Nativ'!$D$6:$D$405,"&lt;"&amp;J258,'Istoric_Nativ'!$P$6:$P$405,1,'Istoric_Nativ'!$D$6:$D$405,"&gt;="&amp;L258),IF(H258="AWAY",SUMIFS('Istoric_Nativ'!$G$6:$G$405,'Istoric_Nativ'!$B$6:$B$405,E258,'Istoric_Nativ'!$C$6:$C$405,F258,'Istoric_Nativ'!$F$6:$F$405,G258,'Istoric_Nativ'!$D$6:$D$405,"&lt;"&amp;J258,'Istoric_Nativ'!$P$6:$P$405,1,'Istoric_Nativ'!$D$6:$D$405,"&gt;="&amp;L258),SUMIFS('Istoric_Nativ'!$H$6:$H$405,'Istoric_Nativ'!$B$6:$B$405,E258,'Istoric_Nativ'!$C$6:$C$405,F258,'Istoric_Nativ'!$E$6:$E$405,G258,'Istoric_Nativ'!$D$6:$D$405,"&lt;"&amp;J258,'Istoric_Nativ'!$P$6:$P$405,1,'Istoric_Nativ'!$D$6:$D$405,"&gt;="&amp;L258)+SUMIFS('Istoric_Nativ'!$G$6:$G$405,'Istoric_Nativ'!$B$6:$B$405,E258,'Istoric_Nativ'!$C$6:$C$405,F258,'Istoric_Nativ'!$F$6:$F$405,G258,'Istoric_Nativ'!$D$6:$D$405,"&lt;"&amp;J258,'Istoric_Nativ'!$P$6:$P$405,1,'Istoric_Nativ'!$D$6:$D$405,"&gt;="&amp;L258)))/M258)</x:f>
      </x:c>
      <x:c r="P258" s="2" t="n">
        <x:f>'Config_v6'!$B$7</x:f>
        <x:v>10</x:v>
      </x:c>
      <x:c r="Q258" s="2" t="n">
        <x:f>IF(OR(B258="",F258=""),0,IFERROR(MATCH(E258&amp;"|"&amp;F258,SourceTable[Source_Key],0),0))</x:f>
        <x:v>0</x:v>
      </x:c>
      <x:c r="R258" s="2" t="str">
        <x:f>IF(B258="","",IF(F258="","UNUSED",IF(Q258=0,"NOT CHECKED",IF(COUNTIF(SourceTable[Source_Key],E258&amp;"|"&amp;F258)&lt;&gt;1,"SOURCE CONFLICT",IF(NOT(OR(INDEX(SourceTable[Status],MAX(1,Q258))="IMPORTED",INDEX(SourceTable[Status],MAX(1,Q258))="PARTIAL",INDEX(SourceTable[Status],MAX(1,Q258))="SOURCE CONFLICT")),"ACCESS BLOCKED",IF(OR(INDEX(SourceTable[Coverage],Q258)&lt;&gt;"FULL SEASON EXPORT",INDEX(SourceTable[URL],Q258)="",INDEX(SourceTable[SHA256],Q258)=""),"EVIDENCE INCOMPLETE",IF(AND('Input_Meci'!H27="LIVE",INDEX(SourceTable[Retrieved_UTC],Q258)&gt;'Input_Meci'!G27),"POST CUTOFF","CLOSED")))))))</x:f>
      </x:c>
      <x:c r="S258" s="2" t="n">
        <x:f>IF(OR(B258="",F258=""),0,COUNTIFS('Istoric_Nativ'!$B$6:$B$405,E258,'Istoric_Nativ'!$C$6:$C$405,F258,'Istoric_Nativ'!$E$6:$E$405,G258,'Istoric_Nativ'!$D$6:$D$405,"&lt;"&amp;J258,'Istoric_Nativ'!$O$6:$O$405,"INVALID")+COUNTIFS('Istoric_Nativ'!$B$6:$B$405,E258,'Istoric_Nativ'!$C$6:$C$405,F258,'Istoric_Nativ'!$E$6:$E$405,G258,'Istoric_Nativ'!$O$6:$O$405,"INVALID",'Istoric_Nativ'!$D$6:$D$405,"*")+COUNTIFS('Istoric_Nativ'!$B$6:$B$405,E258,'Istoric_Nativ'!$C$6:$C$405,F258,'Istoric_Nativ'!$E$6:$E$405,G258,'Istoric_Nativ'!$D$6:$D$405,"&lt;"&amp;J258,'Istoric_Nativ'!$O$6:$O$405,"SOURCE CONFLICT")+COUNTIFS('Istoric_Nativ'!$B$6:$B$405,E258,'Istoric_Nativ'!$C$6:$C$405,F258,'Istoric_Nativ'!$F$6:$F$405,G258,'Istoric_Nativ'!$D$6:$D$405,"&lt;"&amp;J258,'Istoric_Nativ'!$O$6:$O$405,"INVALID")+COUNTIFS('Istoric_Nativ'!$B$6:$B$405,E258,'Istoric_Nativ'!$C$6:$C$405,F258,'Istoric_Nativ'!$F$6:$F$405,G258,'Istoric_Nativ'!$O$6:$O$405,"INVALID",'Istoric_Nativ'!$D$6:$D$405,"*")+COUNTIFS('Istoric_Nativ'!$B$6:$B$405,E258,'Istoric_Nativ'!$C$6:$C$405,F258,'Istoric_Nativ'!$F$6:$F$405,G258,'Istoric_Nativ'!$D$6:$D$405,"&lt;"&amp;J258,'Istoric_Nativ'!$O$6:$O$405,"SOURCE CONFLICT"))</x:f>
        <x:v>0</x:v>
      </x:c>
      <x:c r="T258" s="2" t="str">
        <x:f>IF(B258="","",IF(R258&lt;&gt;"CLOSED",R258,IF(S258&gt;0,"NATIVE INPUT ISSUE",IF(M258=0,"NO HISTORY",IF(M258&lt;P258,"SMALL SAMPLE","DERIVED")))))</x:f>
      </x:c>
      <x:c r="U258" s="2" t="str">
        <x:f>IF(B258="","","NativeTable; "&amp;E258&amp;"; "&amp;F258&amp;"; "&amp;G258&amp;"; "&amp;H258&amp;"; before "&amp;TEXT(J258,"yyyy-mm-dd")&amp;IF(I258="RECENT","; from "&amp;TEXT(L258,"yyyy-mm-dd"),""))</x:f>
      </x:c>
    </x:row>
    <x:row r="259" ht="21" customHeight="1">
      <x:c r="A259" s="2" t="n">
        <x:v>22</x:v>
      </x:c>
      <x:c r="B259" s="2" t="str">
        <x:f>IF('Input_Meci'!A27="","",'Input_Meci'!A27)</x:f>
      </x:c>
      <x:c r="C259" s="2" t="str">
        <x:v>H</x:v>
      </x:c>
      <x:c r="D259" s="2" t="str">
        <x:v>CURRENT</x:v>
      </x:c>
      <x:c r="E259" s="2" t="str">
        <x:f>IF(B259="","",'Input_Meci'!B27)</x:f>
      </x:c>
      <x:c r="F259" s="2" t="str">
        <x:f>IF(B259="","",IF('Input_Meci'!C27="","",'Input_Meci'!C27))</x:f>
      </x:c>
      <x:c r="G259" s="2" t="str">
        <x:f>IF(B259="","",'Input_Meci'!D27)</x:f>
      </x:c>
      <x:c r="H259" s="2" t="str">
        <x:v>HOME</x:v>
      </x:c>
      <x:c r="I259" s="2" t="str">
        <x:v>HA</x:v>
      </x:c>
      <x:c r="J259" s="9" t="n">
        <x:f>IF(AND(B259&lt;&gt;"",ISNUMBER('Input_Meci'!G27)),INT('Input_Meci'!G27),0)</x:f>
        <x:v>0</x:v>
      </x:c>
      <x:c r="K259" s="2" t="n">
        <x:f>IF(OR(B259="",F259=""),0,IF(H259="HOME",COUNTIFS('Istoric_Nativ'!$B$6:$B$405,E259,'Istoric_Nativ'!$C$6:$C$405,F259,'Istoric_Nativ'!$E$6:$E$405,G259,'Istoric_Nativ'!$D$6:$D$405,"&lt;"&amp;J259,'Istoric_Nativ'!$P$6:$P$405,1),IF(H259="AWAY",COUNTIFS('Istoric_Nativ'!$B$6:$B$405,E259,'Istoric_Nativ'!$C$6:$C$405,F259,'Istoric_Nativ'!$F$6:$F$405,G259,'Istoric_Nativ'!$D$6:$D$405,"&lt;"&amp;J259,'Istoric_Nativ'!$P$6:$P$405,1),COUNTIFS('Istoric_Nativ'!$B$6:$B$405,E259,'Istoric_Nativ'!$C$6:$C$405,F259,'Istoric_Nativ'!$E$6:$E$405,G259,'Istoric_Nativ'!$D$6:$D$405,"&lt;"&amp;J259,'Istoric_Nativ'!$P$6:$P$405,1)+COUNTIFS('Istoric_Nativ'!$B$6:$B$405,E259,'Istoric_Nativ'!$C$6:$C$405,F259,'Istoric_Nativ'!$F$6:$F$405,G259,'Istoric_Nativ'!$D$6:$D$405,"&lt;"&amp;J259,'Istoric_Nativ'!$P$6:$P$405,1))))</x:f>
        <x:v>0</x:v>
      </x:c>
      <x:c r="L259" s="17" t="n">
        <x:f>IF(AND(B259&lt;&gt;"",I259="RECENT",K259&gt;0),LARGE(_xlfn._xlws.FILTER('Istoric_Nativ'!$D$6:$D$405,('Istoric_Nativ'!$B$6:$B$405=E259)*('Istoric_Nativ'!$C$6:$C$405=F259)*('Istoric_Nativ'!$P$6:$P$405=1)*('Istoric_Nativ'!$D$6:$D$405&lt;J259)*((('Istoric_Nativ'!$E$6:$E$405=G259)+('Istoric_Nativ'!$F$6:$F$405=G259))&gt;0)),MIN('Config_v6'!$B$54,K259)),0)</x:f>
        <x:v>0</x:v>
      </x:c>
      <x:c r="M259" s="2" t="n">
        <x:f>IF(OR(B259="",F259=""),0,IF(H259="HOME",COUNTIFS('Istoric_Nativ'!$B$6:$B$405,E259,'Istoric_Nativ'!$C$6:$C$405,F259,'Istoric_Nativ'!$E$6:$E$405,G259,'Istoric_Nativ'!$D$6:$D$405,"&lt;"&amp;J259,'Istoric_Nativ'!$P$6:$P$405,1,'Istoric_Nativ'!$D$6:$D$405,"&gt;="&amp;L259),IF(H259="AWAY",COUNTIFS('Istoric_Nativ'!$B$6:$B$405,E259,'Istoric_Nativ'!$C$6:$C$405,F259,'Istoric_Nativ'!$F$6:$F$405,G259,'Istoric_Nativ'!$D$6:$D$405,"&lt;"&amp;J259,'Istoric_Nativ'!$P$6:$P$405,1,'Istoric_Nativ'!$D$6:$D$405,"&gt;="&amp;L259),COUNTIFS('Istoric_Nativ'!$B$6:$B$405,E259,'Istoric_Nativ'!$C$6:$C$405,F259,'Istoric_Nativ'!$E$6:$E$405,G259,'Istoric_Nativ'!$D$6:$D$405,"&lt;"&amp;J259,'Istoric_Nativ'!$P$6:$P$405,1,'Istoric_Nativ'!$D$6:$D$405,"&gt;="&amp;L259)+COUNTIFS('Istoric_Nativ'!$B$6:$B$405,E259,'Istoric_Nativ'!$C$6:$C$405,F259,'Istoric_Nativ'!$F$6:$F$405,G259,'Istoric_Nativ'!$D$6:$D$405,"&lt;"&amp;J259,'Istoric_Nativ'!$P$6:$P$405,1,'Istoric_Nativ'!$D$6:$D$405,"&gt;="&amp;L259))))</x:f>
        <x:v>0</x:v>
      </x:c>
      <x:c r="N259" s="11" t="str">
        <x:f>IF(M259=0,"",IF(H259="HOME",SUMIFS('Istoric_Nativ'!$G$6:$G$405,'Istoric_Nativ'!$B$6:$B$405,E259,'Istoric_Nativ'!$C$6:$C$405,F259,'Istoric_Nativ'!$E$6:$E$405,G259,'Istoric_Nativ'!$D$6:$D$405,"&lt;"&amp;J259,'Istoric_Nativ'!$P$6:$P$405,1,'Istoric_Nativ'!$D$6:$D$405,"&gt;="&amp;L259),IF(H259="AWAY",SUMIFS('Istoric_Nativ'!$H$6:$H$405,'Istoric_Nativ'!$B$6:$B$405,E259,'Istoric_Nativ'!$C$6:$C$405,F259,'Istoric_Nativ'!$F$6:$F$405,G259,'Istoric_Nativ'!$D$6:$D$405,"&lt;"&amp;J259,'Istoric_Nativ'!$P$6:$P$405,1,'Istoric_Nativ'!$D$6:$D$405,"&gt;="&amp;L259),SUMIFS('Istoric_Nativ'!$G$6:$G$405,'Istoric_Nativ'!$B$6:$B$405,E259,'Istoric_Nativ'!$C$6:$C$405,F259,'Istoric_Nativ'!$E$6:$E$405,G259,'Istoric_Nativ'!$D$6:$D$405,"&lt;"&amp;J259,'Istoric_Nativ'!$P$6:$P$405,1,'Istoric_Nativ'!$D$6:$D$405,"&gt;="&amp;L259)+SUMIFS('Istoric_Nativ'!$H$6:$H$405,'Istoric_Nativ'!$B$6:$B$405,E259,'Istoric_Nativ'!$C$6:$C$405,F259,'Istoric_Nativ'!$F$6:$F$405,G259,'Istoric_Nativ'!$D$6:$D$405,"&lt;"&amp;J259,'Istoric_Nativ'!$P$6:$P$405,1,'Istoric_Nativ'!$D$6:$D$405,"&gt;="&amp;L259)))/M259)</x:f>
      </x:c>
      <x:c r="O259" s="11" t="str">
        <x:f>IF(M259=0,"",IF(H259="HOME",SUMIFS('Istoric_Nativ'!$H$6:$H$405,'Istoric_Nativ'!$B$6:$B$405,E259,'Istoric_Nativ'!$C$6:$C$405,F259,'Istoric_Nativ'!$E$6:$E$405,G259,'Istoric_Nativ'!$D$6:$D$405,"&lt;"&amp;J259,'Istoric_Nativ'!$P$6:$P$405,1,'Istoric_Nativ'!$D$6:$D$405,"&gt;="&amp;L259),IF(H259="AWAY",SUMIFS('Istoric_Nativ'!$G$6:$G$405,'Istoric_Nativ'!$B$6:$B$405,E259,'Istoric_Nativ'!$C$6:$C$405,F259,'Istoric_Nativ'!$F$6:$F$405,G259,'Istoric_Nativ'!$D$6:$D$405,"&lt;"&amp;J259,'Istoric_Nativ'!$P$6:$P$405,1,'Istoric_Nativ'!$D$6:$D$405,"&gt;="&amp;L259),SUMIFS('Istoric_Nativ'!$H$6:$H$405,'Istoric_Nativ'!$B$6:$B$405,E259,'Istoric_Nativ'!$C$6:$C$405,F259,'Istoric_Nativ'!$E$6:$E$405,G259,'Istoric_Nativ'!$D$6:$D$405,"&lt;"&amp;J259,'Istoric_Nativ'!$P$6:$P$405,1,'Istoric_Nativ'!$D$6:$D$405,"&gt;="&amp;L259)+SUMIFS('Istoric_Nativ'!$G$6:$G$405,'Istoric_Nativ'!$B$6:$B$405,E259,'Istoric_Nativ'!$C$6:$C$405,F259,'Istoric_Nativ'!$F$6:$F$405,G259,'Istoric_Nativ'!$D$6:$D$405,"&lt;"&amp;J259,'Istoric_Nativ'!$P$6:$P$405,1,'Istoric_Nativ'!$D$6:$D$405,"&gt;="&amp;L259)))/M259)</x:f>
      </x:c>
      <x:c r="P259" s="2" t="n">
        <x:f>'Config_v6'!$B$8</x:f>
        <x:v>5</x:v>
      </x:c>
      <x:c r="Q259" s="2" t="n">
        <x:f>IF(OR(B259="",F259=""),0,IFERROR(MATCH(E259&amp;"|"&amp;F259,SourceTable[Source_Key],0),0))</x:f>
        <x:v>0</x:v>
      </x:c>
      <x:c r="R259" s="2" t="str">
        <x:f>IF(B259="","",IF(F259="","UNUSED",IF(Q259=0,"NOT CHECKED",IF(COUNTIF(SourceTable[Source_Key],E259&amp;"|"&amp;F259)&lt;&gt;1,"SOURCE CONFLICT",IF(NOT(OR(INDEX(SourceTable[Status],MAX(1,Q259))="IMPORTED",INDEX(SourceTable[Status],MAX(1,Q259))="PARTIAL",INDEX(SourceTable[Status],MAX(1,Q259))="SOURCE CONFLICT")),"ACCESS BLOCKED",IF(OR(INDEX(SourceTable[Coverage],Q259)&lt;&gt;"FULL SEASON EXPORT",INDEX(SourceTable[URL],Q259)="",INDEX(SourceTable[SHA256],Q259)=""),"EVIDENCE INCOMPLETE",IF(AND('Input_Meci'!H27="LIVE",INDEX(SourceTable[Retrieved_UTC],Q259)&gt;'Input_Meci'!G27),"POST CUTOFF","CLOSED")))))))</x:f>
      </x:c>
      <x:c r="S259" s="2" t="n">
        <x:f>IF(OR(B259="",F259=""),0,COUNTIFS('Istoric_Nativ'!$B$6:$B$405,E259,'Istoric_Nativ'!$C$6:$C$405,F259,'Istoric_Nativ'!$E$6:$E$405,G259,'Istoric_Nativ'!$D$6:$D$405,"&lt;"&amp;J259,'Istoric_Nativ'!$O$6:$O$405,"INVALID")+COUNTIFS('Istoric_Nativ'!$B$6:$B$405,E259,'Istoric_Nativ'!$C$6:$C$405,F259,'Istoric_Nativ'!$E$6:$E$405,G259,'Istoric_Nativ'!$O$6:$O$405,"INVALID",'Istoric_Nativ'!$D$6:$D$405,"*")+COUNTIFS('Istoric_Nativ'!$B$6:$B$405,E259,'Istoric_Nativ'!$C$6:$C$405,F259,'Istoric_Nativ'!$E$6:$E$405,G259,'Istoric_Nativ'!$D$6:$D$405,"&lt;"&amp;J259,'Istoric_Nativ'!$O$6:$O$405,"SOURCE CONFLICT")+COUNTIFS('Istoric_Nativ'!$B$6:$B$405,E259,'Istoric_Nativ'!$C$6:$C$405,F259,'Istoric_Nativ'!$F$6:$F$405,G259,'Istoric_Nativ'!$D$6:$D$405,"&lt;"&amp;J259,'Istoric_Nativ'!$O$6:$O$405,"INVALID")+COUNTIFS('Istoric_Nativ'!$B$6:$B$405,E259,'Istoric_Nativ'!$C$6:$C$405,F259,'Istoric_Nativ'!$F$6:$F$405,G259,'Istoric_Nativ'!$O$6:$O$405,"INVALID",'Istoric_Nativ'!$D$6:$D$405,"*")+COUNTIFS('Istoric_Nativ'!$B$6:$B$405,E259,'Istoric_Nativ'!$C$6:$C$405,F259,'Istoric_Nativ'!$F$6:$F$405,G259,'Istoric_Nativ'!$D$6:$D$405,"&lt;"&amp;J259,'Istoric_Nativ'!$O$6:$O$405,"SOURCE CONFLICT"))</x:f>
        <x:v>0</x:v>
      </x:c>
      <x:c r="T259" s="2" t="str">
        <x:f>IF(B259="","",IF(R259&lt;&gt;"CLOSED",R259,IF(S259&gt;0,"NATIVE INPUT ISSUE",IF(M259=0,"NO HISTORY",IF(M259&lt;P259,"SMALL SAMPLE","DERIVED")))))</x:f>
      </x:c>
      <x:c r="U259" s="2" t="str">
        <x:f>IF(B259="","","NativeTable; "&amp;E259&amp;"; "&amp;F259&amp;"; "&amp;G259&amp;"; "&amp;H259&amp;"; before "&amp;TEXT(J259,"yyyy-mm-dd")&amp;IF(I259="RECENT","; from "&amp;TEXT(L259,"yyyy-mm-dd"),""))</x:f>
      </x:c>
    </x:row>
    <x:row r="260" ht="21" customHeight="1">
      <x:c r="A260" s="2" t="n">
        <x:v>22</x:v>
      </x:c>
      <x:c r="B260" s="2" t="str">
        <x:f>IF('Input_Meci'!A27="","",'Input_Meci'!A27)</x:f>
      </x:c>
      <x:c r="C260" s="2" t="str">
        <x:v>H</x:v>
      </x:c>
      <x:c r="D260" s="2" t="str">
        <x:v>CURRENT</x:v>
      </x:c>
      <x:c r="E260" s="2" t="str">
        <x:f>IF(B260="","",'Input_Meci'!B27)</x:f>
      </x:c>
      <x:c r="F260" s="2" t="str">
        <x:f>IF(B260="","",IF('Input_Meci'!C27="","",'Input_Meci'!C27))</x:f>
      </x:c>
      <x:c r="G260" s="2" t="str">
        <x:f>IF(B260="","",'Input_Meci'!D27)</x:f>
      </x:c>
      <x:c r="H260" s="2" t="str">
        <x:v>ANY</x:v>
      </x:c>
      <x:c r="I260" s="2" t="str">
        <x:v>RECENT</x:v>
      </x:c>
      <x:c r="J260" s="9" t="n">
        <x:f>IF(AND(B260&lt;&gt;"",ISNUMBER('Input_Meci'!G27)),INT('Input_Meci'!G27),0)</x:f>
        <x:v>0</x:v>
      </x:c>
      <x:c r="K260" s="2" t="n">
        <x:f>IF(OR(B260="",F260=""),0,IF(H260="HOME",COUNTIFS('Istoric_Nativ'!$B$6:$B$405,E260,'Istoric_Nativ'!$C$6:$C$405,F260,'Istoric_Nativ'!$E$6:$E$405,G260,'Istoric_Nativ'!$D$6:$D$405,"&lt;"&amp;J260,'Istoric_Nativ'!$P$6:$P$405,1),IF(H260="AWAY",COUNTIFS('Istoric_Nativ'!$B$6:$B$405,E260,'Istoric_Nativ'!$C$6:$C$405,F260,'Istoric_Nativ'!$F$6:$F$405,G260,'Istoric_Nativ'!$D$6:$D$405,"&lt;"&amp;J260,'Istoric_Nativ'!$P$6:$P$405,1),COUNTIFS('Istoric_Nativ'!$B$6:$B$405,E260,'Istoric_Nativ'!$C$6:$C$405,F260,'Istoric_Nativ'!$E$6:$E$405,G260,'Istoric_Nativ'!$D$6:$D$405,"&lt;"&amp;J260,'Istoric_Nativ'!$P$6:$P$405,1)+COUNTIFS('Istoric_Nativ'!$B$6:$B$405,E260,'Istoric_Nativ'!$C$6:$C$405,F260,'Istoric_Nativ'!$F$6:$F$405,G260,'Istoric_Nativ'!$D$6:$D$405,"&lt;"&amp;J260,'Istoric_Nativ'!$P$6:$P$405,1))))</x:f>
        <x:v>0</x:v>
      </x:c>
      <x:c r="L260" s="17" t="n">
        <x:f>IF(AND(B260&lt;&gt;"",I260="RECENT",K260&gt;0),LARGE(_xlfn._xlws.FILTER('Istoric_Nativ'!$D$6:$D$405,('Istoric_Nativ'!$B$6:$B$405=E260)*('Istoric_Nativ'!$C$6:$C$405=F260)*('Istoric_Nativ'!$P$6:$P$405=1)*('Istoric_Nativ'!$D$6:$D$405&lt;J260)*((('Istoric_Nativ'!$E$6:$E$405=G260)+('Istoric_Nativ'!$F$6:$F$405=G260))&gt;0)),MIN('Config_v6'!$B$54,K260)),0)</x:f>
        <x:v>0</x:v>
      </x:c>
      <x:c r="M260" s="2" t="n">
        <x:f>IF(OR(B260="",F260=""),0,IF(H260="HOME",COUNTIFS('Istoric_Nativ'!$B$6:$B$405,E260,'Istoric_Nativ'!$C$6:$C$405,F260,'Istoric_Nativ'!$E$6:$E$405,G260,'Istoric_Nativ'!$D$6:$D$405,"&lt;"&amp;J260,'Istoric_Nativ'!$P$6:$P$405,1,'Istoric_Nativ'!$D$6:$D$405,"&gt;="&amp;L260),IF(H260="AWAY",COUNTIFS('Istoric_Nativ'!$B$6:$B$405,E260,'Istoric_Nativ'!$C$6:$C$405,F260,'Istoric_Nativ'!$F$6:$F$405,G260,'Istoric_Nativ'!$D$6:$D$405,"&lt;"&amp;J260,'Istoric_Nativ'!$P$6:$P$405,1,'Istoric_Nativ'!$D$6:$D$405,"&gt;="&amp;L260),COUNTIFS('Istoric_Nativ'!$B$6:$B$405,E260,'Istoric_Nativ'!$C$6:$C$405,F260,'Istoric_Nativ'!$E$6:$E$405,G260,'Istoric_Nativ'!$D$6:$D$405,"&lt;"&amp;J260,'Istoric_Nativ'!$P$6:$P$405,1,'Istoric_Nativ'!$D$6:$D$405,"&gt;="&amp;L260)+COUNTIFS('Istoric_Nativ'!$B$6:$B$405,E260,'Istoric_Nativ'!$C$6:$C$405,F260,'Istoric_Nativ'!$F$6:$F$405,G260,'Istoric_Nativ'!$D$6:$D$405,"&lt;"&amp;J260,'Istoric_Nativ'!$P$6:$P$405,1,'Istoric_Nativ'!$D$6:$D$405,"&gt;="&amp;L260))))</x:f>
        <x:v>0</x:v>
      </x:c>
      <x:c r="N260" s="11" t="str">
        <x:f>IF(M260=0,"",IF(H260="HOME",SUMIFS('Istoric_Nativ'!$G$6:$G$405,'Istoric_Nativ'!$B$6:$B$405,E260,'Istoric_Nativ'!$C$6:$C$405,F260,'Istoric_Nativ'!$E$6:$E$405,G260,'Istoric_Nativ'!$D$6:$D$405,"&lt;"&amp;J260,'Istoric_Nativ'!$P$6:$P$405,1,'Istoric_Nativ'!$D$6:$D$405,"&gt;="&amp;L260),IF(H260="AWAY",SUMIFS('Istoric_Nativ'!$H$6:$H$405,'Istoric_Nativ'!$B$6:$B$405,E260,'Istoric_Nativ'!$C$6:$C$405,F260,'Istoric_Nativ'!$F$6:$F$405,G260,'Istoric_Nativ'!$D$6:$D$405,"&lt;"&amp;J260,'Istoric_Nativ'!$P$6:$P$405,1,'Istoric_Nativ'!$D$6:$D$405,"&gt;="&amp;L260),SUMIFS('Istoric_Nativ'!$G$6:$G$405,'Istoric_Nativ'!$B$6:$B$405,E260,'Istoric_Nativ'!$C$6:$C$405,F260,'Istoric_Nativ'!$E$6:$E$405,G260,'Istoric_Nativ'!$D$6:$D$405,"&lt;"&amp;J260,'Istoric_Nativ'!$P$6:$P$405,1,'Istoric_Nativ'!$D$6:$D$405,"&gt;="&amp;L260)+SUMIFS('Istoric_Nativ'!$H$6:$H$405,'Istoric_Nativ'!$B$6:$B$405,E260,'Istoric_Nativ'!$C$6:$C$405,F260,'Istoric_Nativ'!$F$6:$F$405,G260,'Istoric_Nativ'!$D$6:$D$405,"&lt;"&amp;J260,'Istoric_Nativ'!$P$6:$P$405,1,'Istoric_Nativ'!$D$6:$D$405,"&gt;="&amp;L260)))/M260)</x:f>
      </x:c>
      <x:c r="O260" s="11" t="str">
        <x:f>IF(M260=0,"",IF(H260="HOME",SUMIFS('Istoric_Nativ'!$H$6:$H$405,'Istoric_Nativ'!$B$6:$B$405,E260,'Istoric_Nativ'!$C$6:$C$405,F260,'Istoric_Nativ'!$E$6:$E$405,G260,'Istoric_Nativ'!$D$6:$D$405,"&lt;"&amp;J260,'Istoric_Nativ'!$P$6:$P$405,1,'Istoric_Nativ'!$D$6:$D$405,"&gt;="&amp;L260),IF(H260="AWAY",SUMIFS('Istoric_Nativ'!$G$6:$G$405,'Istoric_Nativ'!$B$6:$B$405,E260,'Istoric_Nativ'!$C$6:$C$405,F260,'Istoric_Nativ'!$F$6:$F$405,G260,'Istoric_Nativ'!$D$6:$D$405,"&lt;"&amp;J260,'Istoric_Nativ'!$P$6:$P$405,1,'Istoric_Nativ'!$D$6:$D$405,"&gt;="&amp;L260),SUMIFS('Istoric_Nativ'!$H$6:$H$405,'Istoric_Nativ'!$B$6:$B$405,E260,'Istoric_Nativ'!$C$6:$C$405,F260,'Istoric_Nativ'!$E$6:$E$405,G260,'Istoric_Nativ'!$D$6:$D$405,"&lt;"&amp;J260,'Istoric_Nativ'!$P$6:$P$405,1,'Istoric_Nativ'!$D$6:$D$405,"&gt;="&amp;L260)+SUMIFS('Istoric_Nativ'!$G$6:$G$405,'Istoric_Nativ'!$B$6:$B$405,E260,'Istoric_Nativ'!$C$6:$C$405,F260,'Istoric_Nativ'!$F$6:$F$405,G260,'Istoric_Nativ'!$D$6:$D$405,"&lt;"&amp;J260,'Istoric_Nativ'!$P$6:$P$405,1,'Istoric_Nativ'!$D$6:$D$405,"&gt;="&amp;L260)))/M260)</x:f>
      </x:c>
      <x:c r="P260" s="2" t="n">
        <x:f>'Config_v6'!$B$9</x:f>
        <x:v>3</x:v>
      </x:c>
      <x:c r="Q260" s="2" t="n">
        <x:f>IF(OR(B260="",F260=""),0,IFERROR(MATCH(E260&amp;"|"&amp;F260,SourceTable[Source_Key],0),0))</x:f>
        <x:v>0</x:v>
      </x:c>
      <x:c r="R260" s="2" t="str">
        <x:f>IF(B260="","",IF(F260="","UNUSED",IF(Q260=0,"NOT CHECKED",IF(COUNTIF(SourceTable[Source_Key],E260&amp;"|"&amp;F260)&lt;&gt;1,"SOURCE CONFLICT",IF(NOT(OR(INDEX(SourceTable[Status],MAX(1,Q260))="IMPORTED",INDEX(SourceTable[Status],MAX(1,Q260))="PARTIAL",INDEX(SourceTable[Status],MAX(1,Q260))="SOURCE CONFLICT")),"ACCESS BLOCKED",IF(OR(INDEX(SourceTable[Coverage],Q260)&lt;&gt;"FULL SEASON EXPORT",INDEX(SourceTable[URL],Q260)="",INDEX(SourceTable[SHA256],Q260)=""),"EVIDENCE INCOMPLETE",IF(AND('Input_Meci'!H27="LIVE",INDEX(SourceTable[Retrieved_UTC],Q260)&gt;'Input_Meci'!G27),"POST CUTOFF","CLOSED")))))))</x:f>
      </x:c>
      <x:c r="S260" s="2" t="n">
        <x:f>IF(OR(B260="",F260=""),0,COUNTIFS('Istoric_Nativ'!$B$6:$B$405,E260,'Istoric_Nativ'!$C$6:$C$405,F260,'Istoric_Nativ'!$E$6:$E$405,G260,'Istoric_Nativ'!$D$6:$D$405,"&lt;"&amp;J260,'Istoric_Nativ'!$O$6:$O$405,"INVALID")+COUNTIFS('Istoric_Nativ'!$B$6:$B$405,E260,'Istoric_Nativ'!$C$6:$C$405,F260,'Istoric_Nativ'!$E$6:$E$405,G260,'Istoric_Nativ'!$O$6:$O$405,"INVALID",'Istoric_Nativ'!$D$6:$D$405,"*")+COUNTIFS('Istoric_Nativ'!$B$6:$B$405,E260,'Istoric_Nativ'!$C$6:$C$405,F260,'Istoric_Nativ'!$E$6:$E$405,G260,'Istoric_Nativ'!$D$6:$D$405,"&lt;"&amp;J260,'Istoric_Nativ'!$O$6:$O$405,"SOURCE CONFLICT")+COUNTIFS('Istoric_Nativ'!$B$6:$B$405,E260,'Istoric_Nativ'!$C$6:$C$405,F260,'Istoric_Nativ'!$F$6:$F$405,G260,'Istoric_Nativ'!$D$6:$D$405,"&lt;"&amp;J260,'Istoric_Nativ'!$O$6:$O$405,"INVALID")+COUNTIFS('Istoric_Nativ'!$B$6:$B$405,E260,'Istoric_Nativ'!$C$6:$C$405,F260,'Istoric_Nativ'!$F$6:$F$405,G260,'Istoric_Nativ'!$O$6:$O$405,"INVALID",'Istoric_Nativ'!$D$6:$D$405,"*")+COUNTIFS('Istoric_Nativ'!$B$6:$B$405,E260,'Istoric_Nativ'!$C$6:$C$405,F260,'Istoric_Nativ'!$F$6:$F$405,G260,'Istoric_Nativ'!$D$6:$D$405,"&lt;"&amp;J260,'Istoric_Nativ'!$O$6:$O$405,"SOURCE CONFLICT"))</x:f>
        <x:v>0</x:v>
      </x:c>
      <x:c r="T260" s="2" t="str">
        <x:f>IF(B260="","",IF(R260&lt;&gt;"CLOSED",R260,IF(S260&gt;0,"NATIVE INPUT ISSUE",IF(M260=0,"NO HISTORY",IF(M260&lt;P260,"SMALL SAMPLE","DERIVED")))))</x:f>
      </x:c>
      <x:c r="U260" s="2" t="str">
        <x:f>IF(B260="","","NativeTable; "&amp;E260&amp;"; "&amp;F260&amp;"; "&amp;G260&amp;"; "&amp;H260&amp;"; before "&amp;TEXT(J260,"yyyy-mm-dd")&amp;IF(I260="RECENT","; from "&amp;TEXT(L260,"yyyy-mm-dd"),""))</x:f>
      </x:c>
    </x:row>
    <x:row r="261" ht="21" customHeight="1">
      <x:c r="A261" s="2" t="n">
        <x:v>22</x:v>
      </x:c>
      <x:c r="B261" s="2" t="str">
        <x:f>IF('Input_Meci'!A27="","",'Input_Meci'!A27)</x:f>
      </x:c>
      <x:c r="C261" s="2" t="str">
        <x:v>A</x:v>
      </x:c>
      <x:c r="D261" s="2" t="str">
        <x:v>CURRENT</x:v>
      </x:c>
      <x:c r="E261" s="2" t="str">
        <x:f>IF(B261="","",'Input_Meci'!B27)</x:f>
      </x:c>
      <x:c r="F261" s="2" t="str">
        <x:f>IF(B261="","",IF('Input_Meci'!C27="","",'Input_Meci'!C27))</x:f>
      </x:c>
      <x:c r="G261" s="2" t="str">
        <x:f>IF(B261="","",'Input_Meci'!E27)</x:f>
      </x:c>
      <x:c r="H261" s="2" t="str">
        <x:v>ANY</x:v>
      </x:c>
      <x:c r="I261" s="2" t="str">
        <x:v>SEASON</x:v>
      </x:c>
      <x:c r="J261" s="9" t="n">
        <x:f>IF(AND(B261&lt;&gt;"",ISNUMBER('Input_Meci'!G27)),INT('Input_Meci'!G27),0)</x:f>
        <x:v>0</x:v>
      </x:c>
      <x:c r="K261" s="2" t="n">
        <x:f>IF(OR(B261="",F261=""),0,IF(H261="HOME",COUNTIFS('Istoric_Nativ'!$B$6:$B$405,E261,'Istoric_Nativ'!$C$6:$C$405,F261,'Istoric_Nativ'!$E$6:$E$405,G261,'Istoric_Nativ'!$D$6:$D$405,"&lt;"&amp;J261,'Istoric_Nativ'!$P$6:$P$405,1),IF(H261="AWAY",COUNTIFS('Istoric_Nativ'!$B$6:$B$405,E261,'Istoric_Nativ'!$C$6:$C$405,F261,'Istoric_Nativ'!$F$6:$F$405,G261,'Istoric_Nativ'!$D$6:$D$405,"&lt;"&amp;J261,'Istoric_Nativ'!$P$6:$P$405,1),COUNTIFS('Istoric_Nativ'!$B$6:$B$405,E261,'Istoric_Nativ'!$C$6:$C$405,F261,'Istoric_Nativ'!$E$6:$E$405,G261,'Istoric_Nativ'!$D$6:$D$405,"&lt;"&amp;J261,'Istoric_Nativ'!$P$6:$P$405,1)+COUNTIFS('Istoric_Nativ'!$B$6:$B$405,E261,'Istoric_Nativ'!$C$6:$C$405,F261,'Istoric_Nativ'!$F$6:$F$405,G261,'Istoric_Nativ'!$D$6:$D$405,"&lt;"&amp;J261,'Istoric_Nativ'!$P$6:$P$405,1))))</x:f>
        <x:v>0</x:v>
      </x:c>
      <x:c r="L261" s="17" t="n">
        <x:f>IF(AND(B261&lt;&gt;"",I261="RECENT",K261&gt;0),LARGE(_xlfn._xlws.FILTER('Istoric_Nativ'!$D$6:$D$405,('Istoric_Nativ'!$B$6:$B$405=E261)*('Istoric_Nativ'!$C$6:$C$405=F261)*('Istoric_Nativ'!$P$6:$P$405=1)*('Istoric_Nativ'!$D$6:$D$405&lt;J261)*((('Istoric_Nativ'!$E$6:$E$405=G261)+('Istoric_Nativ'!$F$6:$F$405=G261))&gt;0)),MIN('Config_v6'!$B$54,K261)),0)</x:f>
        <x:v>0</x:v>
      </x:c>
      <x:c r="M261" s="2" t="n">
        <x:f>IF(OR(B261="",F261=""),0,IF(H261="HOME",COUNTIFS('Istoric_Nativ'!$B$6:$B$405,E261,'Istoric_Nativ'!$C$6:$C$405,F261,'Istoric_Nativ'!$E$6:$E$405,G261,'Istoric_Nativ'!$D$6:$D$405,"&lt;"&amp;J261,'Istoric_Nativ'!$P$6:$P$405,1,'Istoric_Nativ'!$D$6:$D$405,"&gt;="&amp;L261),IF(H261="AWAY",COUNTIFS('Istoric_Nativ'!$B$6:$B$405,E261,'Istoric_Nativ'!$C$6:$C$405,F261,'Istoric_Nativ'!$F$6:$F$405,G261,'Istoric_Nativ'!$D$6:$D$405,"&lt;"&amp;J261,'Istoric_Nativ'!$P$6:$P$405,1,'Istoric_Nativ'!$D$6:$D$405,"&gt;="&amp;L261),COUNTIFS('Istoric_Nativ'!$B$6:$B$405,E261,'Istoric_Nativ'!$C$6:$C$405,F261,'Istoric_Nativ'!$E$6:$E$405,G261,'Istoric_Nativ'!$D$6:$D$405,"&lt;"&amp;J261,'Istoric_Nativ'!$P$6:$P$405,1,'Istoric_Nativ'!$D$6:$D$405,"&gt;="&amp;L261)+COUNTIFS('Istoric_Nativ'!$B$6:$B$405,E261,'Istoric_Nativ'!$C$6:$C$405,F261,'Istoric_Nativ'!$F$6:$F$405,G261,'Istoric_Nativ'!$D$6:$D$405,"&lt;"&amp;J261,'Istoric_Nativ'!$P$6:$P$405,1,'Istoric_Nativ'!$D$6:$D$405,"&gt;="&amp;L261))))</x:f>
        <x:v>0</x:v>
      </x:c>
      <x:c r="N261" s="11" t="str">
        <x:f>IF(M261=0,"",IF(H261="HOME",SUMIFS('Istoric_Nativ'!$G$6:$G$405,'Istoric_Nativ'!$B$6:$B$405,E261,'Istoric_Nativ'!$C$6:$C$405,F261,'Istoric_Nativ'!$E$6:$E$405,G261,'Istoric_Nativ'!$D$6:$D$405,"&lt;"&amp;J261,'Istoric_Nativ'!$P$6:$P$405,1,'Istoric_Nativ'!$D$6:$D$405,"&gt;="&amp;L261),IF(H261="AWAY",SUMIFS('Istoric_Nativ'!$H$6:$H$405,'Istoric_Nativ'!$B$6:$B$405,E261,'Istoric_Nativ'!$C$6:$C$405,F261,'Istoric_Nativ'!$F$6:$F$405,G261,'Istoric_Nativ'!$D$6:$D$405,"&lt;"&amp;J261,'Istoric_Nativ'!$P$6:$P$405,1,'Istoric_Nativ'!$D$6:$D$405,"&gt;="&amp;L261),SUMIFS('Istoric_Nativ'!$G$6:$G$405,'Istoric_Nativ'!$B$6:$B$405,E261,'Istoric_Nativ'!$C$6:$C$405,F261,'Istoric_Nativ'!$E$6:$E$405,G261,'Istoric_Nativ'!$D$6:$D$405,"&lt;"&amp;J261,'Istoric_Nativ'!$P$6:$P$405,1,'Istoric_Nativ'!$D$6:$D$405,"&gt;="&amp;L261)+SUMIFS('Istoric_Nativ'!$H$6:$H$405,'Istoric_Nativ'!$B$6:$B$405,E261,'Istoric_Nativ'!$C$6:$C$405,F261,'Istoric_Nativ'!$F$6:$F$405,G261,'Istoric_Nativ'!$D$6:$D$405,"&lt;"&amp;J261,'Istoric_Nativ'!$P$6:$P$405,1,'Istoric_Nativ'!$D$6:$D$405,"&gt;="&amp;L261)))/M261)</x:f>
      </x:c>
      <x:c r="O261" s="11" t="str">
        <x:f>IF(M261=0,"",IF(H261="HOME",SUMIFS('Istoric_Nativ'!$H$6:$H$405,'Istoric_Nativ'!$B$6:$B$405,E261,'Istoric_Nativ'!$C$6:$C$405,F261,'Istoric_Nativ'!$E$6:$E$405,G261,'Istoric_Nativ'!$D$6:$D$405,"&lt;"&amp;J261,'Istoric_Nativ'!$P$6:$P$405,1,'Istoric_Nativ'!$D$6:$D$405,"&gt;="&amp;L261),IF(H261="AWAY",SUMIFS('Istoric_Nativ'!$G$6:$G$405,'Istoric_Nativ'!$B$6:$B$405,E261,'Istoric_Nativ'!$C$6:$C$405,F261,'Istoric_Nativ'!$F$6:$F$405,G261,'Istoric_Nativ'!$D$6:$D$405,"&lt;"&amp;J261,'Istoric_Nativ'!$P$6:$P$405,1,'Istoric_Nativ'!$D$6:$D$405,"&gt;="&amp;L261),SUMIFS('Istoric_Nativ'!$H$6:$H$405,'Istoric_Nativ'!$B$6:$B$405,E261,'Istoric_Nativ'!$C$6:$C$405,F261,'Istoric_Nativ'!$E$6:$E$405,G261,'Istoric_Nativ'!$D$6:$D$405,"&lt;"&amp;J261,'Istoric_Nativ'!$P$6:$P$405,1,'Istoric_Nativ'!$D$6:$D$405,"&gt;="&amp;L261)+SUMIFS('Istoric_Nativ'!$G$6:$G$405,'Istoric_Nativ'!$B$6:$B$405,E261,'Istoric_Nativ'!$C$6:$C$405,F261,'Istoric_Nativ'!$F$6:$F$405,G261,'Istoric_Nativ'!$D$6:$D$405,"&lt;"&amp;J261,'Istoric_Nativ'!$P$6:$P$405,1,'Istoric_Nativ'!$D$6:$D$405,"&gt;="&amp;L261)))/M261)</x:f>
      </x:c>
      <x:c r="P261" s="2" t="n">
        <x:f>'Config_v6'!$B$7</x:f>
        <x:v>10</x:v>
      </x:c>
      <x:c r="Q261" s="2" t="n">
        <x:f>IF(OR(B261="",F261=""),0,IFERROR(MATCH(E261&amp;"|"&amp;F261,SourceTable[Source_Key],0),0))</x:f>
        <x:v>0</x:v>
      </x:c>
      <x:c r="R261" s="2" t="str">
        <x:f>IF(B261="","",IF(F261="","UNUSED",IF(Q261=0,"NOT CHECKED",IF(COUNTIF(SourceTable[Source_Key],E261&amp;"|"&amp;F261)&lt;&gt;1,"SOURCE CONFLICT",IF(NOT(OR(INDEX(SourceTable[Status],MAX(1,Q261))="IMPORTED",INDEX(SourceTable[Status],MAX(1,Q261))="PARTIAL",INDEX(SourceTable[Status],MAX(1,Q261))="SOURCE CONFLICT")),"ACCESS BLOCKED",IF(OR(INDEX(SourceTable[Coverage],Q261)&lt;&gt;"FULL SEASON EXPORT",INDEX(SourceTable[URL],Q261)="",INDEX(SourceTable[SHA256],Q261)=""),"EVIDENCE INCOMPLETE",IF(AND('Input_Meci'!H27="LIVE",INDEX(SourceTable[Retrieved_UTC],Q261)&gt;'Input_Meci'!G27),"POST CUTOFF","CLOSED")))))))</x:f>
      </x:c>
      <x:c r="S261" s="2" t="n">
        <x:f>IF(OR(B261="",F261=""),0,COUNTIFS('Istoric_Nativ'!$B$6:$B$405,E261,'Istoric_Nativ'!$C$6:$C$405,F261,'Istoric_Nativ'!$E$6:$E$405,G261,'Istoric_Nativ'!$D$6:$D$405,"&lt;"&amp;J261,'Istoric_Nativ'!$O$6:$O$405,"INVALID")+COUNTIFS('Istoric_Nativ'!$B$6:$B$405,E261,'Istoric_Nativ'!$C$6:$C$405,F261,'Istoric_Nativ'!$E$6:$E$405,G261,'Istoric_Nativ'!$O$6:$O$405,"INVALID",'Istoric_Nativ'!$D$6:$D$405,"*")+COUNTIFS('Istoric_Nativ'!$B$6:$B$405,E261,'Istoric_Nativ'!$C$6:$C$405,F261,'Istoric_Nativ'!$E$6:$E$405,G261,'Istoric_Nativ'!$D$6:$D$405,"&lt;"&amp;J261,'Istoric_Nativ'!$O$6:$O$405,"SOURCE CONFLICT")+COUNTIFS('Istoric_Nativ'!$B$6:$B$405,E261,'Istoric_Nativ'!$C$6:$C$405,F261,'Istoric_Nativ'!$F$6:$F$405,G261,'Istoric_Nativ'!$D$6:$D$405,"&lt;"&amp;J261,'Istoric_Nativ'!$O$6:$O$405,"INVALID")+COUNTIFS('Istoric_Nativ'!$B$6:$B$405,E261,'Istoric_Nativ'!$C$6:$C$405,F261,'Istoric_Nativ'!$F$6:$F$405,G261,'Istoric_Nativ'!$O$6:$O$405,"INVALID",'Istoric_Nativ'!$D$6:$D$405,"*")+COUNTIFS('Istoric_Nativ'!$B$6:$B$405,E261,'Istoric_Nativ'!$C$6:$C$405,F261,'Istoric_Nativ'!$F$6:$F$405,G261,'Istoric_Nativ'!$D$6:$D$405,"&lt;"&amp;J261,'Istoric_Nativ'!$O$6:$O$405,"SOURCE CONFLICT"))</x:f>
        <x:v>0</x:v>
      </x:c>
      <x:c r="T261" s="2" t="str">
        <x:f>IF(B261="","",IF(R261&lt;&gt;"CLOSED",R261,IF(S261&gt;0,"NATIVE INPUT ISSUE",IF(M261=0,"NO HISTORY",IF(M261&lt;P261,"SMALL SAMPLE","DERIVED")))))</x:f>
      </x:c>
      <x:c r="U261" s="2" t="str">
        <x:f>IF(B261="","","NativeTable; "&amp;E261&amp;"; "&amp;F261&amp;"; "&amp;G261&amp;"; "&amp;H261&amp;"; before "&amp;TEXT(J261,"yyyy-mm-dd")&amp;IF(I261="RECENT","; from "&amp;TEXT(L261,"yyyy-mm-dd"),""))</x:f>
      </x:c>
    </x:row>
    <x:row r="262" ht="21" customHeight="1">
      <x:c r="A262" s="2" t="n">
        <x:v>22</x:v>
      </x:c>
      <x:c r="B262" s="2" t="str">
        <x:f>IF('Input_Meci'!A27="","",'Input_Meci'!A27)</x:f>
      </x:c>
      <x:c r="C262" s="2" t="str">
        <x:v>A</x:v>
      </x:c>
      <x:c r="D262" s="2" t="str">
        <x:v>CURRENT</x:v>
      </x:c>
      <x:c r="E262" s="2" t="str">
        <x:f>IF(B262="","",'Input_Meci'!B27)</x:f>
      </x:c>
      <x:c r="F262" s="2" t="str">
        <x:f>IF(B262="","",IF('Input_Meci'!C27="","",'Input_Meci'!C27))</x:f>
      </x:c>
      <x:c r="G262" s="2" t="str">
        <x:f>IF(B262="","",'Input_Meci'!E27)</x:f>
      </x:c>
      <x:c r="H262" s="2" t="str">
        <x:v>AWAY</x:v>
      </x:c>
      <x:c r="I262" s="2" t="str">
        <x:v>HA</x:v>
      </x:c>
      <x:c r="J262" s="9" t="n">
        <x:f>IF(AND(B262&lt;&gt;"",ISNUMBER('Input_Meci'!G27)),INT('Input_Meci'!G27),0)</x:f>
        <x:v>0</x:v>
      </x:c>
      <x:c r="K262" s="2" t="n">
        <x:f>IF(OR(B262="",F262=""),0,IF(H262="HOME",COUNTIFS('Istoric_Nativ'!$B$6:$B$405,E262,'Istoric_Nativ'!$C$6:$C$405,F262,'Istoric_Nativ'!$E$6:$E$405,G262,'Istoric_Nativ'!$D$6:$D$405,"&lt;"&amp;J262,'Istoric_Nativ'!$P$6:$P$405,1),IF(H262="AWAY",COUNTIFS('Istoric_Nativ'!$B$6:$B$405,E262,'Istoric_Nativ'!$C$6:$C$405,F262,'Istoric_Nativ'!$F$6:$F$405,G262,'Istoric_Nativ'!$D$6:$D$405,"&lt;"&amp;J262,'Istoric_Nativ'!$P$6:$P$405,1),COUNTIFS('Istoric_Nativ'!$B$6:$B$405,E262,'Istoric_Nativ'!$C$6:$C$405,F262,'Istoric_Nativ'!$E$6:$E$405,G262,'Istoric_Nativ'!$D$6:$D$405,"&lt;"&amp;J262,'Istoric_Nativ'!$P$6:$P$405,1)+COUNTIFS('Istoric_Nativ'!$B$6:$B$405,E262,'Istoric_Nativ'!$C$6:$C$405,F262,'Istoric_Nativ'!$F$6:$F$405,G262,'Istoric_Nativ'!$D$6:$D$405,"&lt;"&amp;J262,'Istoric_Nativ'!$P$6:$P$405,1))))</x:f>
        <x:v>0</x:v>
      </x:c>
      <x:c r="L262" s="17" t="n">
        <x:f>IF(AND(B262&lt;&gt;"",I262="RECENT",K262&gt;0),LARGE(_xlfn._xlws.FILTER('Istoric_Nativ'!$D$6:$D$405,('Istoric_Nativ'!$B$6:$B$405=E262)*('Istoric_Nativ'!$C$6:$C$405=F262)*('Istoric_Nativ'!$P$6:$P$405=1)*('Istoric_Nativ'!$D$6:$D$405&lt;J262)*((('Istoric_Nativ'!$E$6:$E$405=G262)+('Istoric_Nativ'!$F$6:$F$405=G262))&gt;0)),MIN('Config_v6'!$B$54,K262)),0)</x:f>
        <x:v>0</x:v>
      </x:c>
      <x:c r="M262" s="2" t="n">
        <x:f>IF(OR(B262="",F262=""),0,IF(H262="HOME",COUNTIFS('Istoric_Nativ'!$B$6:$B$405,E262,'Istoric_Nativ'!$C$6:$C$405,F262,'Istoric_Nativ'!$E$6:$E$405,G262,'Istoric_Nativ'!$D$6:$D$405,"&lt;"&amp;J262,'Istoric_Nativ'!$P$6:$P$405,1,'Istoric_Nativ'!$D$6:$D$405,"&gt;="&amp;L262),IF(H262="AWAY",COUNTIFS('Istoric_Nativ'!$B$6:$B$405,E262,'Istoric_Nativ'!$C$6:$C$405,F262,'Istoric_Nativ'!$F$6:$F$405,G262,'Istoric_Nativ'!$D$6:$D$405,"&lt;"&amp;J262,'Istoric_Nativ'!$P$6:$P$405,1,'Istoric_Nativ'!$D$6:$D$405,"&gt;="&amp;L262),COUNTIFS('Istoric_Nativ'!$B$6:$B$405,E262,'Istoric_Nativ'!$C$6:$C$405,F262,'Istoric_Nativ'!$E$6:$E$405,G262,'Istoric_Nativ'!$D$6:$D$405,"&lt;"&amp;J262,'Istoric_Nativ'!$P$6:$P$405,1,'Istoric_Nativ'!$D$6:$D$405,"&gt;="&amp;L262)+COUNTIFS('Istoric_Nativ'!$B$6:$B$405,E262,'Istoric_Nativ'!$C$6:$C$405,F262,'Istoric_Nativ'!$F$6:$F$405,G262,'Istoric_Nativ'!$D$6:$D$405,"&lt;"&amp;J262,'Istoric_Nativ'!$P$6:$P$405,1,'Istoric_Nativ'!$D$6:$D$405,"&gt;="&amp;L262))))</x:f>
        <x:v>0</x:v>
      </x:c>
      <x:c r="N262" s="11" t="str">
        <x:f>IF(M262=0,"",IF(H262="HOME",SUMIFS('Istoric_Nativ'!$G$6:$G$405,'Istoric_Nativ'!$B$6:$B$405,E262,'Istoric_Nativ'!$C$6:$C$405,F262,'Istoric_Nativ'!$E$6:$E$405,G262,'Istoric_Nativ'!$D$6:$D$405,"&lt;"&amp;J262,'Istoric_Nativ'!$P$6:$P$405,1,'Istoric_Nativ'!$D$6:$D$405,"&gt;="&amp;L262),IF(H262="AWAY",SUMIFS('Istoric_Nativ'!$H$6:$H$405,'Istoric_Nativ'!$B$6:$B$405,E262,'Istoric_Nativ'!$C$6:$C$405,F262,'Istoric_Nativ'!$F$6:$F$405,G262,'Istoric_Nativ'!$D$6:$D$405,"&lt;"&amp;J262,'Istoric_Nativ'!$P$6:$P$405,1,'Istoric_Nativ'!$D$6:$D$405,"&gt;="&amp;L262),SUMIFS('Istoric_Nativ'!$G$6:$G$405,'Istoric_Nativ'!$B$6:$B$405,E262,'Istoric_Nativ'!$C$6:$C$405,F262,'Istoric_Nativ'!$E$6:$E$405,G262,'Istoric_Nativ'!$D$6:$D$405,"&lt;"&amp;J262,'Istoric_Nativ'!$P$6:$P$405,1,'Istoric_Nativ'!$D$6:$D$405,"&gt;="&amp;L262)+SUMIFS('Istoric_Nativ'!$H$6:$H$405,'Istoric_Nativ'!$B$6:$B$405,E262,'Istoric_Nativ'!$C$6:$C$405,F262,'Istoric_Nativ'!$F$6:$F$405,G262,'Istoric_Nativ'!$D$6:$D$405,"&lt;"&amp;J262,'Istoric_Nativ'!$P$6:$P$405,1,'Istoric_Nativ'!$D$6:$D$405,"&gt;="&amp;L262)))/M262)</x:f>
      </x:c>
      <x:c r="O262" s="11" t="str">
        <x:f>IF(M262=0,"",IF(H262="HOME",SUMIFS('Istoric_Nativ'!$H$6:$H$405,'Istoric_Nativ'!$B$6:$B$405,E262,'Istoric_Nativ'!$C$6:$C$405,F262,'Istoric_Nativ'!$E$6:$E$405,G262,'Istoric_Nativ'!$D$6:$D$405,"&lt;"&amp;J262,'Istoric_Nativ'!$P$6:$P$405,1,'Istoric_Nativ'!$D$6:$D$405,"&gt;="&amp;L262),IF(H262="AWAY",SUMIFS('Istoric_Nativ'!$G$6:$G$405,'Istoric_Nativ'!$B$6:$B$405,E262,'Istoric_Nativ'!$C$6:$C$405,F262,'Istoric_Nativ'!$F$6:$F$405,G262,'Istoric_Nativ'!$D$6:$D$405,"&lt;"&amp;J262,'Istoric_Nativ'!$P$6:$P$405,1,'Istoric_Nativ'!$D$6:$D$405,"&gt;="&amp;L262),SUMIFS('Istoric_Nativ'!$H$6:$H$405,'Istoric_Nativ'!$B$6:$B$405,E262,'Istoric_Nativ'!$C$6:$C$405,F262,'Istoric_Nativ'!$E$6:$E$405,G262,'Istoric_Nativ'!$D$6:$D$405,"&lt;"&amp;J262,'Istoric_Nativ'!$P$6:$P$405,1,'Istoric_Nativ'!$D$6:$D$405,"&gt;="&amp;L262)+SUMIFS('Istoric_Nativ'!$G$6:$G$405,'Istoric_Nativ'!$B$6:$B$405,E262,'Istoric_Nativ'!$C$6:$C$405,F262,'Istoric_Nativ'!$F$6:$F$405,G262,'Istoric_Nativ'!$D$6:$D$405,"&lt;"&amp;J262,'Istoric_Nativ'!$P$6:$P$405,1,'Istoric_Nativ'!$D$6:$D$405,"&gt;="&amp;L262)))/M262)</x:f>
      </x:c>
      <x:c r="P262" s="2" t="n">
        <x:f>'Config_v6'!$B$8</x:f>
        <x:v>5</x:v>
      </x:c>
      <x:c r="Q262" s="2" t="n">
        <x:f>IF(OR(B262="",F262=""),0,IFERROR(MATCH(E262&amp;"|"&amp;F262,SourceTable[Source_Key],0),0))</x:f>
        <x:v>0</x:v>
      </x:c>
      <x:c r="R262" s="2" t="str">
        <x:f>IF(B262="","",IF(F262="","UNUSED",IF(Q262=0,"NOT CHECKED",IF(COUNTIF(SourceTable[Source_Key],E262&amp;"|"&amp;F262)&lt;&gt;1,"SOURCE CONFLICT",IF(NOT(OR(INDEX(SourceTable[Status],MAX(1,Q262))="IMPORTED",INDEX(SourceTable[Status],MAX(1,Q262))="PARTIAL",INDEX(SourceTable[Status],MAX(1,Q262))="SOURCE CONFLICT")),"ACCESS BLOCKED",IF(OR(INDEX(SourceTable[Coverage],Q262)&lt;&gt;"FULL SEASON EXPORT",INDEX(SourceTable[URL],Q262)="",INDEX(SourceTable[SHA256],Q262)=""),"EVIDENCE INCOMPLETE",IF(AND('Input_Meci'!H27="LIVE",INDEX(SourceTable[Retrieved_UTC],Q262)&gt;'Input_Meci'!G27),"POST CUTOFF","CLOSED")))))))</x:f>
      </x:c>
      <x:c r="S262" s="2" t="n">
        <x:f>IF(OR(B262="",F262=""),0,COUNTIFS('Istoric_Nativ'!$B$6:$B$405,E262,'Istoric_Nativ'!$C$6:$C$405,F262,'Istoric_Nativ'!$E$6:$E$405,G262,'Istoric_Nativ'!$D$6:$D$405,"&lt;"&amp;J262,'Istoric_Nativ'!$O$6:$O$405,"INVALID")+COUNTIFS('Istoric_Nativ'!$B$6:$B$405,E262,'Istoric_Nativ'!$C$6:$C$405,F262,'Istoric_Nativ'!$E$6:$E$405,G262,'Istoric_Nativ'!$O$6:$O$405,"INVALID",'Istoric_Nativ'!$D$6:$D$405,"*")+COUNTIFS('Istoric_Nativ'!$B$6:$B$405,E262,'Istoric_Nativ'!$C$6:$C$405,F262,'Istoric_Nativ'!$E$6:$E$405,G262,'Istoric_Nativ'!$D$6:$D$405,"&lt;"&amp;J262,'Istoric_Nativ'!$O$6:$O$405,"SOURCE CONFLICT")+COUNTIFS('Istoric_Nativ'!$B$6:$B$405,E262,'Istoric_Nativ'!$C$6:$C$405,F262,'Istoric_Nativ'!$F$6:$F$405,G262,'Istoric_Nativ'!$D$6:$D$405,"&lt;"&amp;J262,'Istoric_Nativ'!$O$6:$O$405,"INVALID")+COUNTIFS('Istoric_Nativ'!$B$6:$B$405,E262,'Istoric_Nativ'!$C$6:$C$405,F262,'Istoric_Nativ'!$F$6:$F$405,G262,'Istoric_Nativ'!$O$6:$O$405,"INVALID",'Istoric_Nativ'!$D$6:$D$405,"*")+COUNTIFS('Istoric_Nativ'!$B$6:$B$405,E262,'Istoric_Nativ'!$C$6:$C$405,F262,'Istoric_Nativ'!$F$6:$F$405,G262,'Istoric_Nativ'!$D$6:$D$405,"&lt;"&amp;J262,'Istoric_Nativ'!$O$6:$O$405,"SOURCE CONFLICT"))</x:f>
        <x:v>0</x:v>
      </x:c>
      <x:c r="T262" s="2" t="str">
        <x:f>IF(B262="","",IF(R262&lt;&gt;"CLOSED",R262,IF(S262&gt;0,"NATIVE INPUT ISSUE",IF(M262=0,"NO HISTORY",IF(M262&lt;P262,"SMALL SAMPLE","DERIVED")))))</x:f>
      </x:c>
      <x:c r="U262" s="2" t="str">
        <x:f>IF(B262="","","NativeTable; "&amp;E262&amp;"; "&amp;F262&amp;"; "&amp;G262&amp;"; "&amp;H262&amp;"; before "&amp;TEXT(J262,"yyyy-mm-dd")&amp;IF(I262="RECENT","; from "&amp;TEXT(L262,"yyyy-mm-dd"),""))</x:f>
      </x:c>
    </x:row>
    <x:row r="263" ht="21" customHeight="1">
      <x:c r="A263" s="2" t="n">
        <x:v>22</x:v>
      </x:c>
      <x:c r="B263" s="2" t="str">
        <x:f>IF('Input_Meci'!A27="","",'Input_Meci'!A27)</x:f>
      </x:c>
      <x:c r="C263" s="2" t="str">
        <x:v>A</x:v>
      </x:c>
      <x:c r="D263" s="2" t="str">
        <x:v>CURRENT</x:v>
      </x:c>
      <x:c r="E263" s="2" t="str">
        <x:f>IF(B263="","",'Input_Meci'!B27)</x:f>
      </x:c>
      <x:c r="F263" s="2" t="str">
        <x:f>IF(B263="","",IF('Input_Meci'!C27="","",'Input_Meci'!C27))</x:f>
      </x:c>
      <x:c r="G263" s="2" t="str">
        <x:f>IF(B263="","",'Input_Meci'!E27)</x:f>
      </x:c>
      <x:c r="H263" s="2" t="str">
        <x:v>ANY</x:v>
      </x:c>
      <x:c r="I263" s="2" t="str">
        <x:v>RECENT</x:v>
      </x:c>
      <x:c r="J263" s="9" t="n">
        <x:f>IF(AND(B263&lt;&gt;"",ISNUMBER('Input_Meci'!G27)),INT('Input_Meci'!G27),0)</x:f>
        <x:v>0</x:v>
      </x:c>
      <x:c r="K263" s="2" t="n">
        <x:f>IF(OR(B263="",F263=""),0,IF(H263="HOME",COUNTIFS('Istoric_Nativ'!$B$6:$B$405,E263,'Istoric_Nativ'!$C$6:$C$405,F263,'Istoric_Nativ'!$E$6:$E$405,G263,'Istoric_Nativ'!$D$6:$D$405,"&lt;"&amp;J263,'Istoric_Nativ'!$P$6:$P$405,1),IF(H263="AWAY",COUNTIFS('Istoric_Nativ'!$B$6:$B$405,E263,'Istoric_Nativ'!$C$6:$C$405,F263,'Istoric_Nativ'!$F$6:$F$405,G263,'Istoric_Nativ'!$D$6:$D$405,"&lt;"&amp;J263,'Istoric_Nativ'!$P$6:$P$405,1),COUNTIFS('Istoric_Nativ'!$B$6:$B$405,E263,'Istoric_Nativ'!$C$6:$C$405,F263,'Istoric_Nativ'!$E$6:$E$405,G263,'Istoric_Nativ'!$D$6:$D$405,"&lt;"&amp;J263,'Istoric_Nativ'!$P$6:$P$405,1)+COUNTIFS('Istoric_Nativ'!$B$6:$B$405,E263,'Istoric_Nativ'!$C$6:$C$405,F263,'Istoric_Nativ'!$F$6:$F$405,G263,'Istoric_Nativ'!$D$6:$D$405,"&lt;"&amp;J263,'Istoric_Nativ'!$P$6:$P$405,1))))</x:f>
        <x:v>0</x:v>
      </x:c>
      <x:c r="L263" s="17" t="n">
        <x:f>IF(AND(B263&lt;&gt;"",I263="RECENT",K263&gt;0),LARGE(_xlfn._xlws.FILTER('Istoric_Nativ'!$D$6:$D$405,('Istoric_Nativ'!$B$6:$B$405=E263)*('Istoric_Nativ'!$C$6:$C$405=F263)*('Istoric_Nativ'!$P$6:$P$405=1)*('Istoric_Nativ'!$D$6:$D$405&lt;J263)*((('Istoric_Nativ'!$E$6:$E$405=G263)+('Istoric_Nativ'!$F$6:$F$405=G263))&gt;0)),MIN('Config_v6'!$B$54,K263)),0)</x:f>
        <x:v>0</x:v>
      </x:c>
      <x:c r="M263" s="2" t="n">
        <x:f>IF(OR(B263="",F263=""),0,IF(H263="HOME",COUNTIFS('Istoric_Nativ'!$B$6:$B$405,E263,'Istoric_Nativ'!$C$6:$C$405,F263,'Istoric_Nativ'!$E$6:$E$405,G263,'Istoric_Nativ'!$D$6:$D$405,"&lt;"&amp;J263,'Istoric_Nativ'!$P$6:$P$405,1,'Istoric_Nativ'!$D$6:$D$405,"&gt;="&amp;L263),IF(H263="AWAY",COUNTIFS('Istoric_Nativ'!$B$6:$B$405,E263,'Istoric_Nativ'!$C$6:$C$405,F263,'Istoric_Nativ'!$F$6:$F$405,G263,'Istoric_Nativ'!$D$6:$D$405,"&lt;"&amp;J263,'Istoric_Nativ'!$P$6:$P$405,1,'Istoric_Nativ'!$D$6:$D$405,"&gt;="&amp;L263),COUNTIFS('Istoric_Nativ'!$B$6:$B$405,E263,'Istoric_Nativ'!$C$6:$C$405,F263,'Istoric_Nativ'!$E$6:$E$405,G263,'Istoric_Nativ'!$D$6:$D$405,"&lt;"&amp;J263,'Istoric_Nativ'!$P$6:$P$405,1,'Istoric_Nativ'!$D$6:$D$405,"&gt;="&amp;L263)+COUNTIFS('Istoric_Nativ'!$B$6:$B$405,E263,'Istoric_Nativ'!$C$6:$C$405,F263,'Istoric_Nativ'!$F$6:$F$405,G263,'Istoric_Nativ'!$D$6:$D$405,"&lt;"&amp;J263,'Istoric_Nativ'!$P$6:$P$405,1,'Istoric_Nativ'!$D$6:$D$405,"&gt;="&amp;L263))))</x:f>
        <x:v>0</x:v>
      </x:c>
      <x:c r="N263" s="11" t="str">
        <x:f>IF(M263=0,"",IF(H263="HOME",SUMIFS('Istoric_Nativ'!$G$6:$G$405,'Istoric_Nativ'!$B$6:$B$405,E263,'Istoric_Nativ'!$C$6:$C$405,F263,'Istoric_Nativ'!$E$6:$E$405,G263,'Istoric_Nativ'!$D$6:$D$405,"&lt;"&amp;J263,'Istoric_Nativ'!$P$6:$P$405,1,'Istoric_Nativ'!$D$6:$D$405,"&gt;="&amp;L263),IF(H263="AWAY",SUMIFS('Istoric_Nativ'!$H$6:$H$405,'Istoric_Nativ'!$B$6:$B$405,E263,'Istoric_Nativ'!$C$6:$C$405,F263,'Istoric_Nativ'!$F$6:$F$405,G263,'Istoric_Nativ'!$D$6:$D$405,"&lt;"&amp;J263,'Istoric_Nativ'!$P$6:$P$405,1,'Istoric_Nativ'!$D$6:$D$405,"&gt;="&amp;L263),SUMIFS('Istoric_Nativ'!$G$6:$G$405,'Istoric_Nativ'!$B$6:$B$405,E263,'Istoric_Nativ'!$C$6:$C$405,F263,'Istoric_Nativ'!$E$6:$E$405,G263,'Istoric_Nativ'!$D$6:$D$405,"&lt;"&amp;J263,'Istoric_Nativ'!$P$6:$P$405,1,'Istoric_Nativ'!$D$6:$D$405,"&gt;="&amp;L263)+SUMIFS('Istoric_Nativ'!$H$6:$H$405,'Istoric_Nativ'!$B$6:$B$405,E263,'Istoric_Nativ'!$C$6:$C$405,F263,'Istoric_Nativ'!$F$6:$F$405,G263,'Istoric_Nativ'!$D$6:$D$405,"&lt;"&amp;J263,'Istoric_Nativ'!$P$6:$P$405,1,'Istoric_Nativ'!$D$6:$D$405,"&gt;="&amp;L263)))/M263)</x:f>
      </x:c>
      <x:c r="O263" s="11" t="str">
        <x:f>IF(M263=0,"",IF(H263="HOME",SUMIFS('Istoric_Nativ'!$H$6:$H$405,'Istoric_Nativ'!$B$6:$B$405,E263,'Istoric_Nativ'!$C$6:$C$405,F263,'Istoric_Nativ'!$E$6:$E$405,G263,'Istoric_Nativ'!$D$6:$D$405,"&lt;"&amp;J263,'Istoric_Nativ'!$P$6:$P$405,1,'Istoric_Nativ'!$D$6:$D$405,"&gt;="&amp;L263),IF(H263="AWAY",SUMIFS('Istoric_Nativ'!$G$6:$G$405,'Istoric_Nativ'!$B$6:$B$405,E263,'Istoric_Nativ'!$C$6:$C$405,F263,'Istoric_Nativ'!$F$6:$F$405,G263,'Istoric_Nativ'!$D$6:$D$405,"&lt;"&amp;J263,'Istoric_Nativ'!$P$6:$P$405,1,'Istoric_Nativ'!$D$6:$D$405,"&gt;="&amp;L263),SUMIFS('Istoric_Nativ'!$H$6:$H$405,'Istoric_Nativ'!$B$6:$B$405,E263,'Istoric_Nativ'!$C$6:$C$405,F263,'Istoric_Nativ'!$E$6:$E$405,G263,'Istoric_Nativ'!$D$6:$D$405,"&lt;"&amp;J263,'Istoric_Nativ'!$P$6:$P$405,1,'Istoric_Nativ'!$D$6:$D$405,"&gt;="&amp;L263)+SUMIFS('Istoric_Nativ'!$G$6:$G$405,'Istoric_Nativ'!$B$6:$B$405,E263,'Istoric_Nativ'!$C$6:$C$405,F263,'Istoric_Nativ'!$F$6:$F$405,G263,'Istoric_Nativ'!$D$6:$D$405,"&lt;"&amp;J263,'Istoric_Nativ'!$P$6:$P$405,1,'Istoric_Nativ'!$D$6:$D$405,"&gt;="&amp;L263)))/M263)</x:f>
      </x:c>
      <x:c r="P263" s="2" t="n">
        <x:f>'Config_v6'!$B$9</x:f>
        <x:v>3</x:v>
      </x:c>
      <x:c r="Q263" s="2" t="n">
        <x:f>IF(OR(B263="",F263=""),0,IFERROR(MATCH(E263&amp;"|"&amp;F263,SourceTable[Source_Key],0),0))</x:f>
        <x:v>0</x:v>
      </x:c>
      <x:c r="R263" s="2" t="str">
        <x:f>IF(B263="","",IF(F263="","UNUSED",IF(Q263=0,"NOT CHECKED",IF(COUNTIF(SourceTable[Source_Key],E263&amp;"|"&amp;F263)&lt;&gt;1,"SOURCE CONFLICT",IF(NOT(OR(INDEX(SourceTable[Status],MAX(1,Q263))="IMPORTED",INDEX(SourceTable[Status],MAX(1,Q263))="PARTIAL",INDEX(SourceTable[Status],MAX(1,Q263))="SOURCE CONFLICT")),"ACCESS BLOCKED",IF(OR(INDEX(SourceTable[Coverage],Q263)&lt;&gt;"FULL SEASON EXPORT",INDEX(SourceTable[URL],Q263)="",INDEX(SourceTable[SHA256],Q263)=""),"EVIDENCE INCOMPLETE",IF(AND('Input_Meci'!H27="LIVE",INDEX(SourceTable[Retrieved_UTC],Q263)&gt;'Input_Meci'!G27),"POST CUTOFF","CLOSED")))))))</x:f>
      </x:c>
      <x:c r="S263" s="2" t="n">
        <x:f>IF(OR(B263="",F263=""),0,COUNTIFS('Istoric_Nativ'!$B$6:$B$405,E263,'Istoric_Nativ'!$C$6:$C$405,F263,'Istoric_Nativ'!$E$6:$E$405,G263,'Istoric_Nativ'!$D$6:$D$405,"&lt;"&amp;J263,'Istoric_Nativ'!$O$6:$O$405,"INVALID")+COUNTIFS('Istoric_Nativ'!$B$6:$B$405,E263,'Istoric_Nativ'!$C$6:$C$405,F263,'Istoric_Nativ'!$E$6:$E$405,G263,'Istoric_Nativ'!$O$6:$O$405,"INVALID",'Istoric_Nativ'!$D$6:$D$405,"*")+COUNTIFS('Istoric_Nativ'!$B$6:$B$405,E263,'Istoric_Nativ'!$C$6:$C$405,F263,'Istoric_Nativ'!$E$6:$E$405,G263,'Istoric_Nativ'!$D$6:$D$405,"&lt;"&amp;J263,'Istoric_Nativ'!$O$6:$O$405,"SOURCE CONFLICT")+COUNTIFS('Istoric_Nativ'!$B$6:$B$405,E263,'Istoric_Nativ'!$C$6:$C$405,F263,'Istoric_Nativ'!$F$6:$F$405,G263,'Istoric_Nativ'!$D$6:$D$405,"&lt;"&amp;J263,'Istoric_Nativ'!$O$6:$O$405,"INVALID")+COUNTIFS('Istoric_Nativ'!$B$6:$B$405,E263,'Istoric_Nativ'!$C$6:$C$405,F263,'Istoric_Nativ'!$F$6:$F$405,G263,'Istoric_Nativ'!$O$6:$O$405,"INVALID",'Istoric_Nativ'!$D$6:$D$405,"*")+COUNTIFS('Istoric_Nativ'!$B$6:$B$405,E263,'Istoric_Nativ'!$C$6:$C$405,F263,'Istoric_Nativ'!$F$6:$F$405,G263,'Istoric_Nativ'!$D$6:$D$405,"&lt;"&amp;J263,'Istoric_Nativ'!$O$6:$O$405,"SOURCE CONFLICT"))</x:f>
        <x:v>0</x:v>
      </x:c>
      <x:c r="T263" s="2" t="str">
        <x:f>IF(B263="","",IF(R263&lt;&gt;"CLOSED",R263,IF(S263&gt;0,"NATIVE INPUT ISSUE",IF(M263=0,"NO HISTORY",IF(M263&lt;P263,"SMALL SAMPLE","DERIVED")))))</x:f>
      </x:c>
      <x:c r="U263" s="2" t="str">
        <x:f>IF(B263="","","NativeTable; "&amp;E263&amp;"; "&amp;F263&amp;"; "&amp;G263&amp;"; "&amp;H263&amp;"; before "&amp;TEXT(J263,"yyyy-mm-dd")&amp;IF(I263="RECENT","; from "&amp;TEXT(L263,"yyyy-mm-dd"),""))</x:f>
      </x:c>
    </x:row>
    <x:row r="264" ht="21" customHeight="1">
      <x:c r="A264" s="2" t="n">
        <x:v>22</x:v>
      </x:c>
      <x:c r="B264" s="2" t="str">
        <x:f>IF('Input_Meci'!A27="","",'Input_Meci'!A27)</x:f>
      </x:c>
      <x:c r="C264" s="2" t="str">
        <x:v>H</x:v>
      </x:c>
      <x:c r="D264" s="2" t="str">
        <x:v>PRIOR</x:v>
      </x:c>
      <x:c r="E264" s="2" t="str">
        <x:f>IF(B264="","",'Input_Meci'!B27)</x:f>
      </x:c>
      <x:c r="F264" s="2" t="str">
        <x:f>IF(B264="","",IF('Input_Meci'!K27="","",'Input_Meci'!K27))</x:f>
      </x:c>
      <x:c r="G264" s="2" t="str">
        <x:f>IF(B264="","",'Input_Meci'!D27)</x:f>
      </x:c>
      <x:c r="H264" s="2" t="str">
        <x:v>ANY</x:v>
      </x:c>
      <x:c r="I264" s="2" t="str">
        <x:v>SEASON</x:v>
      </x:c>
      <x:c r="J264" s="9" t="n">
        <x:f>IF(AND(B264&lt;&gt;"",ISNUMBER('Input_Meci'!G27)),INT('Input_Meci'!G27),0)</x:f>
        <x:v>0</x:v>
      </x:c>
      <x:c r="K264" s="2" t="n">
        <x:f>IF(OR(B264="",F264=""),0,IF(H264="HOME",COUNTIFS('Istoric_Nativ'!$B$6:$B$405,E264,'Istoric_Nativ'!$C$6:$C$405,F264,'Istoric_Nativ'!$E$6:$E$405,G264,'Istoric_Nativ'!$D$6:$D$405,"&lt;"&amp;J264,'Istoric_Nativ'!$P$6:$P$405,1),IF(H264="AWAY",COUNTIFS('Istoric_Nativ'!$B$6:$B$405,E264,'Istoric_Nativ'!$C$6:$C$405,F264,'Istoric_Nativ'!$F$6:$F$405,G264,'Istoric_Nativ'!$D$6:$D$405,"&lt;"&amp;J264,'Istoric_Nativ'!$P$6:$P$405,1),COUNTIFS('Istoric_Nativ'!$B$6:$B$405,E264,'Istoric_Nativ'!$C$6:$C$405,F264,'Istoric_Nativ'!$E$6:$E$405,G264,'Istoric_Nativ'!$D$6:$D$405,"&lt;"&amp;J264,'Istoric_Nativ'!$P$6:$P$405,1)+COUNTIFS('Istoric_Nativ'!$B$6:$B$405,E264,'Istoric_Nativ'!$C$6:$C$405,F264,'Istoric_Nativ'!$F$6:$F$405,G264,'Istoric_Nativ'!$D$6:$D$405,"&lt;"&amp;J264,'Istoric_Nativ'!$P$6:$P$405,1))))</x:f>
        <x:v>0</x:v>
      </x:c>
      <x:c r="L264" s="17" t="n">
        <x:f>IF(AND(B264&lt;&gt;"",I264="RECENT",K264&gt;0),LARGE(_xlfn._xlws.FILTER('Istoric_Nativ'!$D$6:$D$405,('Istoric_Nativ'!$B$6:$B$405=E264)*('Istoric_Nativ'!$C$6:$C$405=F264)*('Istoric_Nativ'!$P$6:$P$405=1)*('Istoric_Nativ'!$D$6:$D$405&lt;J264)*((('Istoric_Nativ'!$E$6:$E$405=G264)+('Istoric_Nativ'!$F$6:$F$405=G264))&gt;0)),MIN('Config_v6'!$B$54,K264)),0)</x:f>
        <x:v>0</x:v>
      </x:c>
      <x:c r="M264" s="2" t="n">
        <x:f>IF(OR(B264="",F264=""),0,IF(H264="HOME",COUNTIFS('Istoric_Nativ'!$B$6:$B$405,E264,'Istoric_Nativ'!$C$6:$C$405,F264,'Istoric_Nativ'!$E$6:$E$405,G264,'Istoric_Nativ'!$D$6:$D$405,"&lt;"&amp;J264,'Istoric_Nativ'!$P$6:$P$405,1,'Istoric_Nativ'!$D$6:$D$405,"&gt;="&amp;L264),IF(H264="AWAY",COUNTIFS('Istoric_Nativ'!$B$6:$B$405,E264,'Istoric_Nativ'!$C$6:$C$405,F264,'Istoric_Nativ'!$F$6:$F$405,G264,'Istoric_Nativ'!$D$6:$D$405,"&lt;"&amp;J264,'Istoric_Nativ'!$P$6:$P$405,1,'Istoric_Nativ'!$D$6:$D$405,"&gt;="&amp;L264),COUNTIFS('Istoric_Nativ'!$B$6:$B$405,E264,'Istoric_Nativ'!$C$6:$C$405,F264,'Istoric_Nativ'!$E$6:$E$405,G264,'Istoric_Nativ'!$D$6:$D$405,"&lt;"&amp;J264,'Istoric_Nativ'!$P$6:$P$405,1,'Istoric_Nativ'!$D$6:$D$405,"&gt;="&amp;L264)+COUNTIFS('Istoric_Nativ'!$B$6:$B$405,E264,'Istoric_Nativ'!$C$6:$C$405,F264,'Istoric_Nativ'!$F$6:$F$405,G264,'Istoric_Nativ'!$D$6:$D$405,"&lt;"&amp;J264,'Istoric_Nativ'!$P$6:$P$405,1,'Istoric_Nativ'!$D$6:$D$405,"&gt;="&amp;L264))))</x:f>
        <x:v>0</x:v>
      </x:c>
      <x:c r="N264" s="11" t="str">
        <x:f>IF(M264=0,"",IF(H264="HOME",SUMIFS('Istoric_Nativ'!$G$6:$G$405,'Istoric_Nativ'!$B$6:$B$405,E264,'Istoric_Nativ'!$C$6:$C$405,F264,'Istoric_Nativ'!$E$6:$E$405,G264,'Istoric_Nativ'!$D$6:$D$405,"&lt;"&amp;J264,'Istoric_Nativ'!$P$6:$P$405,1,'Istoric_Nativ'!$D$6:$D$405,"&gt;="&amp;L264),IF(H264="AWAY",SUMIFS('Istoric_Nativ'!$H$6:$H$405,'Istoric_Nativ'!$B$6:$B$405,E264,'Istoric_Nativ'!$C$6:$C$405,F264,'Istoric_Nativ'!$F$6:$F$405,G264,'Istoric_Nativ'!$D$6:$D$405,"&lt;"&amp;J264,'Istoric_Nativ'!$P$6:$P$405,1,'Istoric_Nativ'!$D$6:$D$405,"&gt;="&amp;L264),SUMIFS('Istoric_Nativ'!$G$6:$G$405,'Istoric_Nativ'!$B$6:$B$405,E264,'Istoric_Nativ'!$C$6:$C$405,F264,'Istoric_Nativ'!$E$6:$E$405,G264,'Istoric_Nativ'!$D$6:$D$405,"&lt;"&amp;J264,'Istoric_Nativ'!$P$6:$P$405,1,'Istoric_Nativ'!$D$6:$D$405,"&gt;="&amp;L264)+SUMIFS('Istoric_Nativ'!$H$6:$H$405,'Istoric_Nativ'!$B$6:$B$405,E264,'Istoric_Nativ'!$C$6:$C$405,F264,'Istoric_Nativ'!$F$6:$F$405,G264,'Istoric_Nativ'!$D$6:$D$405,"&lt;"&amp;J264,'Istoric_Nativ'!$P$6:$P$405,1,'Istoric_Nativ'!$D$6:$D$405,"&gt;="&amp;L264)))/M264)</x:f>
      </x:c>
      <x:c r="O264" s="11" t="str">
        <x:f>IF(M264=0,"",IF(H264="HOME",SUMIFS('Istoric_Nativ'!$H$6:$H$405,'Istoric_Nativ'!$B$6:$B$405,E264,'Istoric_Nativ'!$C$6:$C$405,F264,'Istoric_Nativ'!$E$6:$E$405,G264,'Istoric_Nativ'!$D$6:$D$405,"&lt;"&amp;J264,'Istoric_Nativ'!$P$6:$P$405,1,'Istoric_Nativ'!$D$6:$D$405,"&gt;="&amp;L264),IF(H264="AWAY",SUMIFS('Istoric_Nativ'!$G$6:$G$405,'Istoric_Nativ'!$B$6:$B$405,E264,'Istoric_Nativ'!$C$6:$C$405,F264,'Istoric_Nativ'!$F$6:$F$405,G264,'Istoric_Nativ'!$D$6:$D$405,"&lt;"&amp;J264,'Istoric_Nativ'!$P$6:$P$405,1,'Istoric_Nativ'!$D$6:$D$405,"&gt;="&amp;L264),SUMIFS('Istoric_Nativ'!$H$6:$H$405,'Istoric_Nativ'!$B$6:$B$405,E264,'Istoric_Nativ'!$C$6:$C$405,F264,'Istoric_Nativ'!$E$6:$E$405,G264,'Istoric_Nativ'!$D$6:$D$405,"&lt;"&amp;J264,'Istoric_Nativ'!$P$6:$P$405,1,'Istoric_Nativ'!$D$6:$D$405,"&gt;="&amp;L264)+SUMIFS('Istoric_Nativ'!$G$6:$G$405,'Istoric_Nativ'!$B$6:$B$405,E264,'Istoric_Nativ'!$C$6:$C$405,F264,'Istoric_Nativ'!$F$6:$F$405,G264,'Istoric_Nativ'!$D$6:$D$405,"&lt;"&amp;J264,'Istoric_Nativ'!$P$6:$P$405,1,'Istoric_Nativ'!$D$6:$D$405,"&gt;="&amp;L264)))/M264)</x:f>
      </x:c>
      <x:c r="P264" s="2" t="n">
        <x:f>'Config_v6'!$B$7</x:f>
        <x:v>10</x:v>
      </x:c>
      <x:c r="Q264" s="2" t="n">
        <x:f>IF(OR(B264="",F264=""),0,IFERROR(MATCH(E264&amp;"|"&amp;F264,SourceTable[Source_Key],0),0))</x:f>
        <x:v>0</x:v>
      </x:c>
      <x:c r="R264" s="2" t="str">
        <x:f>IF(B264="","",IF(F264="","UNUSED",IF(Q264=0,"NOT CHECKED",IF(COUNTIF(SourceTable[Source_Key],E264&amp;"|"&amp;F264)&lt;&gt;1,"SOURCE CONFLICT",IF(NOT(OR(INDEX(SourceTable[Status],MAX(1,Q264))="IMPORTED",INDEX(SourceTable[Status],MAX(1,Q264))="PARTIAL",INDEX(SourceTable[Status],MAX(1,Q264))="SOURCE CONFLICT")),"ACCESS BLOCKED",IF(OR(INDEX(SourceTable[Coverage],Q264)&lt;&gt;"FULL SEASON EXPORT",INDEX(SourceTable[URL],Q264)="",INDEX(SourceTable[SHA256],Q264)=""),"EVIDENCE INCOMPLETE",IF(AND('Input_Meci'!H27="LIVE",INDEX(SourceTable[Retrieved_UTC],Q264)&gt;'Input_Meci'!G27),"POST CUTOFF","CLOSED")))))))</x:f>
      </x:c>
      <x:c r="S264" s="2" t="n">
        <x:f>IF(OR(B264="",F264=""),0,COUNTIFS('Istoric_Nativ'!$B$6:$B$405,E264,'Istoric_Nativ'!$C$6:$C$405,F264,'Istoric_Nativ'!$E$6:$E$405,G264,'Istoric_Nativ'!$D$6:$D$405,"&lt;"&amp;J264,'Istoric_Nativ'!$O$6:$O$405,"INVALID")+COUNTIFS('Istoric_Nativ'!$B$6:$B$405,E264,'Istoric_Nativ'!$C$6:$C$405,F264,'Istoric_Nativ'!$E$6:$E$405,G264,'Istoric_Nativ'!$O$6:$O$405,"INVALID",'Istoric_Nativ'!$D$6:$D$405,"*")+COUNTIFS('Istoric_Nativ'!$B$6:$B$405,E264,'Istoric_Nativ'!$C$6:$C$405,F264,'Istoric_Nativ'!$E$6:$E$405,G264,'Istoric_Nativ'!$D$6:$D$405,"&lt;"&amp;J264,'Istoric_Nativ'!$O$6:$O$405,"SOURCE CONFLICT")+COUNTIFS('Istoric_Nativ'!$B$6:$B$405,E264,'Istoric_Nativ'!$C$6:$C$405,F264,'Istoric_Nativ'!$F$6:$F$405,G264,'Istoric_Nativ'!$D$6:$D$405,"&lt;"&amp;J264,'Istoric_Nativ'!$O$6:$O$405,"INVALID")+COUNTIFS('Istoric_Nativ'!$B$6:$B$405,E264,'Istoric_Nativ'!$C$6:$C$405,F264,'Istoric_Nativ'!$F$6:$F$405,G264,'Istoric_Nativ'!$O$6:$O$405,"INVALID",'Istoric_Nativ'!$D$6:$D$405,"*")+COUNTIFS('Istoric_Nativ'!$B$6:$B$405,E264,'Istoric_Nativ'!$C$6:$C$405,F264,'Istoric_Nativ'!$F$6:$F$405,G264,'Istoric_Nativ'!$D$6:$D$405,"&lt;"&amp;J264,'Istoric_Nativ'!$O$6:$O$405,"SOURCE CONFLICT"))</x:f>
        <x:v>0</x:v>
      </x:c>
      <x:c r="T264" s="2" t="str">
        <x:f>IF(B264="","",IF(R264&lt;&gt;"CLOSED",R264,IF(S264&gt;0,"NATIVE INPUT ISSUE",IF(M264=0,"NO HISTORY",IF(M264&lt;P264,"SMALL SAMPLE","DERIVED")))))</x:f>
      </x:c>
      <x:c r="U264" s="2" t="str">
        <x:f>IF(B264="","","NativeTable; "&amp;E264&amp;"; "&amp;F264&amp;"; "&amp;G264&amp;"; "&amp;H264&amp;"; before "&amp;TEXT(J264,"yyyy-mm-dd")&amp;IF(I264="RECENT","; from "&amp;TEXT(L264,"yyyy-mm-dd"),""))</x:f>
      </x:c>
    </x:row>
    <x:row r="265" ht="21" customHeight="1">
      <x:c r="A265" s="2" t="n">
        <x:v>22</x:v>
      </x:c>
      <x:c r="B265" s="2" t="str">
        <x:f>IF('Input_Meci'!A27="","",'Input_Meci'!A27)</x:f>
      </x:c>
      <x:c r="C265" s="2" t="str">
        <x:v>H</x:v>
      </x:c>
      <x:c r="D265" s="2" t="str">
        <x:v>PRIOR</x:v>
      </x:c>
      <x:c r="E265" s="2" t="str">
        <x:f>IF(B265="","",'Input_Meci'!B27)</x:f>
      </x:c>
      <x:c r="F265" s="2" t="str">
        <x:f>IF(B265="","",IF('Input_Meci'!K27="","",'Input_Meci'!K27))</x:f>
      </x:c>
      <x:c r="G265" s="2" t="str">
        <x:f>IF(B265="","",'Input_Meci'!D27)</x:f>
      </x:c>
      <x:c r="H265" s="2" t="str">
        <x:v>HOME</x:v>
      </x:c>
      <x:c r="I265" s="2" t="str">
        <x:v>HA</x:v>
      </x:c>
      <x:c r="J265" s="9" t="n">
        <x:f>IF(AND(B265&lt;&gt;"",ISNUMBER('Input_Meci'!G27)),INT('Input_Meci'!G27),0)</x:f>
        <x:v>0</x:v>
      </x:c>
      <x:c r="K265" s="2" t="n">
        <x:f>IF(OR(B265="",F265=""),0,IF(H265="HOME",COUNTIFS('Istoric_Nativ'!$B$6:$B$405,E265,'Istoric_Nativ'!$C$6:$C$405,F265,'Istoric_Nativ'!$E$6:$E$405,G265,'Istoric_Nativ'!$D$6:$D$405,"&lt;"&amp;J265,'Istoric_Nativ'!$P$6:$P$405,1),IF(H265="AWAY",COUNTIFS('Istoric_Nativ'!$B$6:$B$405,E265,'Istoric_Nativ'!$C$6:$C$405,F265,'Istoric_Nativ'!$F$6:$F$405,G265,'Istoric_Nativ'!$D$6:$D$405,"&lt;"&amp;J265,'Istoric_Nativ'!$P$6:$P$405,1),COUNTIFS('Istoric_Nativ'!$B$6:$B$405,E265,'Istoric_Nativ'!$C$6:$C$405,F265,'Istoric_Nativ'!$E$6:$E$405,G265,'Istoric_Nativ'!$D$6:$D$405,"&lt;"&amp;J265,'Istoric_Nativ'!$P$6:$P$405,1)+COUNTIFS('Istoric_Nativ'!$B$6:$B$405,E265,'Istoric_Nativ'!$C$6:$C$405,F265,'Istoric_Nativ'!$F$6:$F$405,G265,'Istoric_Nativ'!$D$6:$D$405,"&lt;"&amp;J265,'Istoric_Nativ'!$P$6:$P$405,1))))</x:f>
        <x:v>0</x:v>
      </x:c>
      <x:c r="L265" s="17" t="n">
        <x:f>IF(AND(B265&lt;&gt;"",I265="RECENT",K265&gt;0),LARGE(_xlfn._xlws.FILTER('Istoric_Nativ'!$D$6:$D$405,('Istoric_Nativ'!$B$6:$B$405=E265)*('Istoric_Nativ'!$C$6:$C$405=F265)*('Istoric_Nativ'!$P$6:$P$405=1)*('Istoric_Nativ'!$D$6:$D$405&lt;J265)*((('Istoric_Nativ'!$E$6:$E$405=G265)+('Istoric_Nativ'!$F$6:$F$405=G265))&gt;0)),MIN('Config_v6'!$B$54,K265)),0)</x:f>
        <x:v>0</x:v>
      </x:c>
      <x:c r="M265" s="2" t="n">
        <x:f>IF(OR(B265="",F265=""),0,IF(H265="HOME",COUNTIFS('Istoric_Nativ'!$B$6:$B$405,E265,'Istoric_Nativ'!$C$6:$C$405,F265,'Istoric_Nativ'!$E$6:$E$405,G265,'Istoric_Nativ'!$D$6:$D$405,"&lt;"&amp;J265,'Istoric_Nativ'!$P$6:$P$405,1,'Istoric_Nativ'!$D$6:$D$405,"&gt;="&amp;L265),IF(H265="AWAY",COUNTIFS('Istoric_Nativ'!$B$6:$B$405,E265,'Istoric_Nativ'!$C$6:$C$405,F265,'Istoric_Nativ'!$F$6:$F$405,G265,'Istoric_Nativ'!$D$6:$D$405,"&lt;"&amp;J265,'Istoric_Nativ'!$P$6:$P$405,1,'Istoric_Nativ'!$D$6:$D$405,"&gt;="&amp;L265),COUNTIFS('Istoric_Nativ'!$B$6:$B$405,E265,'Istoric_Nativ'!$C$6:$C$405,F265,'Istoric_Nativ'!$E$6:$E$405,G265,'Istoric_Nativ'!$D$6:$D$405,"&lt;"&amp;J265,'Istoric_Nativ'!$P$6:$P$405,1,'Istoric_Nativ'!$D$6:$D$405,"&gt;="&amp;L265)+COUNTIFS('Istoric_Nativ'!$B$6:$B$405,E265,'Istoric_Nativ'!$C$6:$C$405,F265,'Istoric_Nativ'!$F$6:$F$405,G265,'Istoric_Nativ'!$D$6:$D$405,"&lt;"&amp;J265,'Istoric_Nativ'!$P$6:$P$405,1,'Istoric_Nativ'!$D$6:$D$405,"&gt;="&amp;L265))))</x:f>
        <x:v>0</x:v>
      </x:c>
      <x:c r="N265" s="11" t="str">
        <x:f>IF(M265=0,"",IF(H265="HOME",SUMIFS('Istoric_Nativ'!$G$6:$G$405,'Istoric_Nativ'!$B$6:$B$405,E265,'Istoric_Nativ'!$C$6:$C$405,F265,'Istoric_Nativ'!$E$6:$E$405,G265,'Istoric_Nativ'!$D$6:$D$405,"&lt;"&amp;J265,'Istoric_Nativ'!$P$6:$P$405,1,'Istoric_Nativ'!$D$6:$D$405,"&gt;="&amp;L265),IF(H265="AWAY",SUMIFS('Istoric_Nativ'!$H$6:$H$405,'Istoric_Nativ'!$B$6:$B$405,E265,'Istoric_Nativ'!$C$6:$C$405,F265,'Istoric_Nativ'!$F$6:$F$405,G265,'Istoric_Nativ'!$D$6:$D$405,"&lt;"&amp;J265,'Istoric_Nativ'!$P$6:$P$405,1,'Istoric_Nativ'!$D$6:$D$405,"&gt;="&amp;L265),SUMIFS('Istoric_Nativ'!$G$6:$G$405,'Istoric_Nativ'!$B$6:$B$405,E265,'Istoric_Nativ'!$C$6:$C$405,F265,'Istoric_Nativ'!$E$6:$E$405,G265,'Istoric_Nativ'!$D$6:$D$405,"&lt;"&amp;J265,'Istoric_Nativ'!$P$6:$P$405,1,'Istoric_Nativ'!$D$6:$D$405,"&gt;="&amp;L265)+SUMIFS('Istoric_Nativ'!$H$6:$H$405,'Istoric_Nativ'!$B$6:$B$405,E265,'Istoric_Nativ'!$C$6:$C$405,F265,'Istoric_Nativ'!$F$6:$F$405,G265,'Istoric_Nativ'!$D$6:$D$405,"&lt;"&amp;J265,'Istoric_Nativ'!$P$6:$P$405,1,'Istoric_Nativ'!$D$6:$D$405,"&gt;="&amp;L265)))/M265)</x:f>
      </x:c>
      <x:c r="O265" s="11" t="str">
        <x:f>IF(M265=0,"",IF(H265="HOME",SUMIFS('Istoric_Nativ'!$H$6:$H$405,'Istoric_Nativ'!$B$6:$B$405,E265,'Istoric_Nativ'!$C$6:$C$405,F265,'Istoric_Nativ'!$E$6:$E$405,G265,'Istoric_Nativ'!$D$6:$D$405,"&lt;"&amp;J265,'Istoric_Nativ'!$P$6:$P$405,1,'Istoric_Nativ'!$D$6:$D$405,"&gt;="&amp;L265),IF(H265="AWAY",SUMIFS('Istoric_Nativ'!$G$6:$G$405,'Istoric_Nativ'!$B$6:$B$405,E265,'Istoric_Nativ'!$C$6:$C$405,F265,'Istoric_Nativ'!$F$6:$F$405,G265,'Istoric_Nativ'!$D$6:$D$405,"&lt;"&amp;J265,'Istoric_Nativ'!$P$6:$P$405,1,'Istoric_Nativ'!$D$6:$D$405,"&gt;="&amp;L265),SUMIFS('Istoric_Nativ'!$H$6:$H$405,'Istoric_Nativ'!$B$6:$B$405,E265,'Istoric_Nativ'!$C$6:$C$405,F265,'Istoric_Nativ'!$E$6:$E$405,G265,'Istoric_Nativ'!$D$6:$D$405,"&lt;"&amp;J265,'Istoric_Nativ'!$P$6:$P$405,1,'Istoric_Nativ'!$D$6:$D$405,"&gt;="&amp;L265)+SUMIFS('Istoric_Nativ'!$G$6:$G$405,'Istoric_Nativ'!$B$6:$B$405,E265,'Istoric_Nativ'!$C$6:$C$405,F265,'Istoric_Nativ'!$F$6:$F$405,G265,'Istoric_Nativ'!$D$6:$D$405,"&lt;"&amp;J265,'Istoric_Nativ'!$P$6:$P$405,1,'Istoric_Nativ'!$D$6:$D$405,"&gt;="&amp;L265)))/M265)</x:f>
      </x:c>
      <x:c r="P265" s="2" t="n">
        <x:f>'Config_v6'!$B$8</x:f>
        <x:v>5</x:v>
      </x:c>
      <x:c r="Q265" s="2" t="n">
        <x:f>IF(OR(B265="",F265=""),0,IFERROR(MATCH(E265&amp;"|"&amp;F265,SourceTable[Source_Key],0),0))</x:f>
        <x:v>0</x:v>
      </x:c>
      <x:c r="R265" s="2" t="str">
        <x:f>IF(B265="","",IF(F265="","UNUSED",IF(Q265=0,"NOT CHECKED",IF(COUNTIF(SourceTable[Source_Key],E265&amp;"|"&amp;F265)&lt;&gt;1,"SOURCE CONFLICT",IF(NOT(OR(INDEX(SourceTable[Status],MAX(1,Q265))="IMPORTED",INDEX(SourceTable[Status],MAX(1,Q265))="PARTIAL",INDEX(SourceTable[Status],MAX(1,Q265))="SOURCE CONFLICT")),"ACCESS BLOCKED",IF(OR(INDEX(SourceTable[Coverage],Q265)&lt;&gt;"FULL SEASON EXPORT",INDEX(SourceTable[URL],Q265)="",INDEX(SourceTable[SHA256],Q265)=""),"EVIDENCE INCOMPLETE",IF(AND('Input_Meci'!H27="LIVE",INDEX(SourceTable[Retrieved_UTC],Q265)&gt;'Input_Meci'!G27),"POST CUTOFF","CLOSED")))))))</x:f>
      </x:c>
      <x:c r="S265" s="2" t="n">
        <x:f>IF(OR(B265="",F265=""),0,COUNTIFS('Istoric_Nativ'!$B$6:$B$405,E265,'Istoric_Nativ'!$C$6:$C$405,F265,'Istoric_Nativ'!$E$6:$E$405,G265,'Istoric_Nativ'!$D$6:$D$405,"&lt;"&amp;J265,'Istoric_Nativ'!$O$6:$O$405,"INVALID")+COUNTIFS('Istoric_Nativ'!$B$6:$B$405,E265,'Istoric_Nativ'!$C$6:$C$405,F265,'Istoric_Nativ'!$E$6:$E$405,G265,'Istoric_Nativ'!$O$6:$O$405,"INVALID",'Istoric_Nativ'!$D$6:$D$405,"*")+COUNTIFS('Istoric_Nativ'!$B$6:$B$405,E265,'Istoric_Nativ'!$C$6:$C$405,F265,'Istoric_Nativ'!$E$6:$E$405,G265,'Istoric_Nativ'!$D$6:$D$405,"&lt;"&amp;J265,'Istoric_Nativ'!$O$6:$O$405,"SOURCE CONFLICT")+COUNTIFS('Istoric_Nativ'!$B$6:$B$405,E265,'Istoric_Nativ'!$C$6:$C$405,F265,'Istoric_Nativ'!$F$6:$F$405,G265,'Istoric_Nativ'!$D$6:$D$405,"&lt;"&amp;J265,'Istoric_Nativ'!$O$6:$O$405,"INVALID")+COUNTIFS('Istoric_Nativ'!$B$6:$B$405,E265,'Istoric_Nativ'!$C$6:$C$405,F265,'Istoric_Nativ'!$F$6:$F$405,G265,'Istoric_Nativ'!$O$6:$O$405,"INVALID",'Istoric_Nativ'!$D$6:$D$405,"*")+COUNTIFS('Istoric_Nativ'!$B$6:$B$405,E265,'Istoric_Nativ'!$C$6:$C$405,F265,'Istoric_Nativ'!$F$6:$F$405,G265,'Istoric_Nativ'!$D$6:$D$405,"&lt;"&amp;J265,'Istoric_Nativ'!$O$6:$O$405,"SOURCE CONFLICT"))</x:f>
        <x:v>0</x:v>
      </x:c>
      <x:c r="T265" s="2" t="str">
        <x:f>IF(B265="","",IF(R265&lt;&gt;"CLOSED",R265,IF(S265&gt;0,"NATIVE INPUT ISSUE",IF(M265=0,"NO HISTORY",IF(M265&lt;P265,"SMALL SAMPLE","DERIVED")))))</x:f>
      </x:c>
      <x:c r="U265" s="2" t="str">
        <x:f>IF(B265="","","NativeTable; "&amp;E265&amp;"; "&amp;F265&amp;"; "&amp;G265&amp;"; "&amp;H265&amp;"; before "&amp;TEXT(J265,"yyyy-mm-dd")&amp;IF(I265="RECENT","; from "&amp;TEXT(L265,"yyyy-mm-dd"),""))</x:f>
      </x:c>
    </x:row>
    <x:row r="266" ht="21" customHeight="1">
      <x:c r="A266" s="2" t="n">
        <x:v>22</x:v>
      </x:c>
      <x:c r="B266" s="2" t="str">
        <x:f>IF('Input_Meci'!A27="","",'Input_Meci'!A27)</x:f>
      </x:c>
      <x:c r="C266" s="2" t="str">
        <x:v>H</x:v>
      </x:c>
      <x:c r="D266" s="2" t="str">
        <x:v>PRIOR</x:v>
      </x:c>
      <x:c r="E266" s="2" t="str">
        <x:f>IF(B266="","",'Input_Meci'!B27)</x:f>
      </x:c>
      <x:c r="F266" s="2" t="str">
        <x:f>IF(B266="","",IF('Input_Meci'!K27="","",'Input_Meci'!K27))</x:f>
      </x:c>
      <x:c r="G266" s="2" t="str">
        <x:f>IF(B266="","",'Input_Meci'!D27)</x:f>
      </x:c>
      <x:c r="H266" s="2" t="str">
        <x:v>ANY</x:v>
      </x:c>
      <x:c r="I266" s="2" t="str">
        <x:v>RECENT</x:v>
      </x:c>
      <x:c r="J266" s="9" t="n">
        <x:f>IF(AND(B266&lt;&gt;"",ISNUMBER('Input_Meci'!G27)),INT('Input_Meci'!G27),0)</x:f>
        <x:v>0</x:v>
      </x:c>
      <x:c r="K266" s="2" t="n">
        <x:f>IF(OR(B266="",F266=""),0,IF(H266="HOME",COUNTIFS('Istoric_Nativ'!$B$6:$B$405,E266,'Istoric_Nativ'!$C$6:$C$405,F266,'Istoric_Nativ'!$E$6:$E$405,G266,'Istoric_Nativ'!$D$6:$D$405,"&lt;"&amp;J266,'Istoric_Nativ'!$P$6:$P$405,1),IF(H266="AWAY",COUNTIFS('Istoric_Nativ'!$B$6:$B$405,E266,'Istoric_Nativ'!$C$6:$C$405,F266,'Istoric_Nativ'!$F$6:$F$405,G266,'Istoric_Nativ'!$D$6:$D$405,"&lt;"&amp;J266,'Istoric_Nativ'!$P$6:$P$405,1),COUNTIFS('Istoric_Nativ'!$B$6:$B$405,E266,'Istoric_Nativ'!$C$6:$C$405,F266,'Istoric_Nativ'!$E$6:$E$405,G266,'Istoric_Nativ'!$D$6:$D$405,"&lt;"&amp;J266,'Istoric_Nativ'!$P$6:$P$405,1)+COUNTIFS('Istoric_Nativ'!$B$6:$B$405,E266,'Istoric_Nativ'!$C$6:$C$405,F266,'Istoric_Nativ'!$F$6:$F$405,G266,'Istoric_Nativ'!$D$6:$D$405,"&lt;"&amp;J266,'Istoric_Nativ'!$P$6:$P$405,1))))</x:f>
        <x:v>0</x:v>
      </x:c>
      <x:c r="L266" s="17" t="n">
        <x:f>IF(AND(B266&lt;&gt;"",I266="RECENT",K266&gt;0),LARGE(_xlfn._xlws.FILTER('Istoric_Nativ'!$D$6:$D$405,('Istoric_Nativ'!$B$6:$B$405=E266)*('Istoric_Nativ'!$C$6:$C$405=F266)*('Istoric_Nativ'!$P$6:$P$405=1)*('Istoric_Nativ'!$D$6:$D$405&lt;J266)*((('Istoric_Nativ'!$E$6:$E$405=G266)+('Istoric_Nativ'!$F$6:$F$405=G266))&gt;0)),MIN('Config_v6'!$B$54,K266)),0)</x:f>
        <x:v>0</x:v>
      </x:c>
      <x:c r="M266" s="2" t="n">
        <x:f>IF(OR(B266="",F266=""),0,IF(H266="HOME",COUNTIFS('Istoric_Nativ'!$B$6:$B$405,E266,'Istoric_Nativ'!$C$6:$C$405,F266,'Istoric_Nativ'!$E$6:$E$405,G266,'Istoric_Nativ'!$D$6:$D$405,"&lt;"&amp;J266,'Istoric_Nativ'!$P$6:$P$405,1,'Istoric_Nativ'!$D$6:$D$405,"&gt;="&amp;L266),IF(H266="AWAY",COUNTIFS('Istoric_Nativ'!$B$6:$B$405,E266,'Istoric_Nativ'!$C$6:$C$405,F266,'Istoric_Nativ'!$F$6:$F$405,G266,'Istoric_Nativ'!$D$6:$D$405,"&lt;"&amp;J266,'Istoric_Nativ'!$P$6:$P$405,1,'Istoric_Nativ'!$D$6:$D$405,"&gt;="&amp;L266),COUNTIFS('Istoric_Nativ'!$B$6:$B$405,E266,'Istoric_Nativ'!$C$6:$C$405,F266,'Istoric_Nativ'!$E$6:$E$405,G266,'Istoric_Nativ'!$D$6:$D$405,"&lt;"&amp;J266,'Istoric_Nativ'!$P$6:$P$405,1,'Istoric_Nativ'!$D$6:$D$405,"&gt;="&amp;L266)+COUNTIFS('Istoric_Nativ'!$B$6:$B$405,E266,'Istoric_Nativ'!$C$6:$C$405,F266,'Istoric_Nativ'!$F$6:$F$405,G266,'Istoric_Nativ'!$D$6:$D$405,"&lt;"&amp;J266,'Istoric_Nativ'!$P$6:$P$405,1,'Istoric_Nativ'!$D$6:$D$405,"&gt;="&amp;L266))))</x:f>
        <x:v>0</x:v>
      </x:c>
      <x:c r="N266" s="11" t="str">
        <x:f>IF(M266=0,"",IF(H266="HOME",SUMIFS('Istoric_Nativ'!$G$6:$G$405,'Istoric_Nativ'!$B$6:$B$405,E266,'Istoric_Nativ'!$C$6:$C$405,F266,'Istoric_Nativ'!$E$6:$E$405,G266,'Istoric_Nativ'!$D$6:$D$405,"&lt;"&amp;J266,'Istoric_Nativ'!$P$6:$P$405,1,'Istoric_Nativ'!$D$6:$D$405,"&gt;="&amp;L266),IF(H266="AWAY",SUMIFS('Istoric_Nativ'!$H$6:$H$405,'Istoric_Nativ'!$B$6:$B$405,E266,'Istoric_Nativ'!$C$6:$C$405,F266,'Istoric_Nativ'!$F$6:$F$405,G266,'Istoric_Nativ'!$D$6:$D$405,"&lt;"&amp;J266,'Istoric_Nativ'!$P$6:$P$405,1,'Istoric_Nativ'!$D$6:$D$405,"&gt;="&amp;L266),SUMIFS('Istoric_Nativ'!$G$6:$G$405,'Istoric_Nativ'!$B$6:$B$405,E266,'Istoric_Nativ'!$C$6:$C$405,F266,'Istoric_Nativ'!$E$6:$E$405,G266,'Istoric_Nativ'!$D$6:$D$405,"&lt;"&amp;J266,'Istoric_Nativ'!$P$6:$P$405,1,'Istoric_Nativ'!$D$6:$D$405,"&gt;="&amp;L266)+SUMIFS('Istoric_Nativ'!$H$6:$H$405,'Istoric_Nativ'!$B$6:$B$405,E266,'Istoric_Nativ'!$C$6:$C$405,F266,'Istoric_Nativ'!$F$6:$F$405,G266,'Istoric_Nativ'!$D$6:$D$405,"&lt;"&amp;J266,'Istoric_Nativ'!$P$6:$P$405,1,'Istoric_Nativ'!$D$6:$D$405,"&gt;="&amp;L266)))/M266)</x:f>
      </x:c>
      <x:c r="O266" s="11" t="str">
        <x:f>IF(M266=0,"",IF(H266="HOME",SUMIFS('Istoric_Nativ'!$H$6:$H$405,'Istoric_Nativ'!$B$6:$B$405,E266,'Istoric_Nativ'!$C$6:$C$405,F266,'Istoric_Nativ'!$E$6:$E$405,G266,'Istoric_Nativ'!$D$6:$D$405,"&lt;"&amp;J266,'Istoric_Nativ'!$P$6:$P$405,1,'Istoric_Nativ'!$D$6:$D$405,"&gt;="&amp;L266),IF(H266="AWAY",SUMIFS('Istoric_Nativ'!$G$6:$G$405,'Istoric_Nativ'!$B$6:$B$405,E266,'Istoric_Nativ'!$C$6:$C$405,F266,'Istoric_Nativ'!$F$6:$F$405,G266,'Istoric_Nativ'!$D$6:$D$405,"&lt;"&amp;J266,'Istoric_Nativ'!$P$6:$P$405,1,'Istoric_Nativ'!$D$6:$D$405,"&gt;="&amp;L266),SUMIFS('Istoric_Nativ'!$H$6:$H$405,'Istoric_Nativ'!$B$6:$B$405,E266,'Istoric_Nativ'!$C$6:$C$405,F266,'Istoric_Nativ'!$E$6:$E$405,G266,'Istoric_Nativ'!$D$6:$D$405,"&lt;"&amp;J266,'Istoric_Nativ'!$P$6:$P$405,1,'Istoric_Nativ'!$D$6:$D$405,"&gt;="&amp;L266)+SUMIFS('Istoric_Nativ'!$G$6:$G$405,'Istoric_Nativ'!$B$6:$B$405,E266,'Istoric_Nativ'!$C$6:$C$405,F266,'Istoric_Nativ'!$F$6:$F$405,G266,'Istoric_Nativ'!$D$6:$D$405,"&lt;"&amp;J266,'Istoric_Nativ'!$P$6:$P$405,1,'Istoric_Nativ'!$D$6:$D$405,"&gt;="&amp;L266)))/M266)</x:f>
      </x:c>
      <x:c r="P266" s="2" t="n">
        <x:f>'Config_v6'!$B$9</x:f>
        <x:v>3</x:v>
      </x:c>
      <x:c r="Q266" s="2" t="n">
        <x:f>IF(OR(B266="",F266=""),0,IFERROR(MATCH(E266&amp;"|"&amp;F266,SourceTable[Source_Key],0),0))</x:f>
        <x:v>0</x:v>
      </x:c>
      <x:c r="R266" s="2" t="str">
        <x:f>IF(B266="","",IF(F266="","UNUSED",IF(Q266=0,"NOT CHECKED",IF(COUNTIF(SourceTable[Source_Key],E266&amp;"|"&amp;F266)&lt;&gt;1,"SOURCE CONFLICT",IF(NOT(OR(INDEX(SourceTable[Status],MAX(1,Q266))="IMPORTED",INDEX(SourceTable[Status],MAX(1,Q266))="PARTIAL",INDEX(SourceTable[Status],MAX(1,Q266))="SOURCE CONFLICT")),"ACCESS BLOCKED",IF(OR(INDEX(SourceTable[Coverage],Q266)&lt;&gt;"FULL SEASON EXPORT",INDEX(SourceTable[URL],Q266)="",INDEX(SourceTable[SHA256],Q266)=""),"EVIDENCE INCOMPLETE",IF(AND('Input_Meci'!H27="LIVE",INDEX(SourceTable[Retrieved_UTC],Q266)&gt;'Input_Meci'!G27),"POST CUTOFF","CLOSED")))))))</x:f>
      </x:c>
      <x:c r="S266" s="2" t="n">
        <x:f>IF(OR(B266="",F266=""),0,COUNTIFS('Istoric_Nativ'!$B$6:$B$405,E266,'Istoric_Nativ'!$C$6:$C$405,F266,'Istoric_Nativ'!$E$6:$E$405,G266,'Istoric_Nativ'!$D$6:$D$405,"&lt;"&amp;J266,'Istoric_Nativ'!$O$6:$O$405,"INVALID")+COUNTIFS('Istoric_Nativ'!$B$6:$B$405,E266,'Istoric_Nativ'!$C$6:$C$405,F266,'Istoric_Nativ'!$E$6:$E$405,G266,'Istoric_Nativ'!$O$6:$O$405,"INVALID",'Istoric_Nativ'!$D$6:$D$405,"*")+COUNTIFS('Istoric_Nativ'!$B$6:$B$405,E266,'Istoric_Nativ'!$C$6:$C$405,F266,'Istoric_Nativ'!$E$6:$E$405,G266,'Istoric_Nativ'!$D$6:$D$405,"&lt;"&amp;J266,'Istoric_Nativ'!$O$6:$O$405,"SOURCE CONFLICT")+COUNTIFS('Istoric_Nativ'!$B$6:$B$405,E266,'Istoric_Nativ'!$C$6:$C$405,F266,'Istoric_Nativ'!$F$6:$F$405,G266,'Istoric_Nativ'!$D$6:$D$405,"&lt;"&amp;J266,'Istoric_Nativ'!$O$6:$O$405,"INVALID")+COUNTIFS('Istoric_Nativ'!$B$6:$B$405,E266,'Istoric_Nativ'!$C$6:$C$405,F266,'Istoric_Nativ'!$F$6:$F$405,G266,'Istoric_Nativ'!$O$6:$O$405,"INVALID",'Istoric_Nativ'!$D$6:$D$405,"*")+COUNTIFS('Istoric_Nativ'!$B$6:$B$405,E266,'Istoric_Nativ'!$C$6:$C$405,F266,'Istoric_Nativ'!$F$6:$F$405,G266,'Istoric_Nativ'!$D$6:$D$405,"&lt;"&amp;J266,'Istoric_Nativ'!$O$6:$O$405,"SOURCE CONFLICT"))</x:f>
        <x:v>0</x:v>
      </x:c>
      <x:c r="T266" s="2" t="str">
        <x:f>IF(B266="","",IF(R266&lt;&gt;"CLOSED",R266,IF(S266&gt;0,"NATIVE INPUT ISSUE",IF(M266=0,"NO HISTORY",IF(M266&lt;P266,"SMALL SAMPLE","DERIVED")))))</x:f>
      </x:c>
      <x:c r="U266" s="2" t="str">
        <x:f>IF(B266="","","NativeTable; "&amp;E266&amp;"; "&amp;F266&amp;"; "&amp;G266&amp;"; "&amp;H266&amp;"; before "&amp;TEXT(J266,"yyyy-mm-dd")&amp;IF(I266="RECENT","; from "&amp;TEXT(L266,"yyyy-mm-dd"),""))</x:f>
      </x:c>
    </x:row>
    <x:row r="267" ht="21" customHeight="1">
      <x:c r="A267" s="2" t="n">
        <x:v>22</x:v>
      </x:c>
      <x:c r="B267" s="2" t="str">
        <x:f>IF('Input_Meci'!A27="","",'Input_Meci'!A27)</x:f>
      </x:c>
      <x:c r="C267" s="2" t="str">
        <x:v>A</x:v>
      </x:c>
      <x:c r="D267" s="2" t="str">
        <x:v>PRIOR</x:v>
      </x:c>
      <x:c r="E267" s="2" t="str">
        <x:f>IF(B267="","",'Input_Meci'!B27)</x:f>
      </x:c>
      <x:c r="F267" s="2" t="str">
        <x:f>IF(B267="","",IF('Input_Meci'!K27="","",'Input_Meci'!K27))</x:f>
      </x:c>
      <x:c r="G267" s="2" t="str">
        <x:f>IF(B267="","",'Input_Meci'!E27)</x:f>
      </x:c>
      <x:c r="H267" s="2" t="str">
        <x:v>ANY</x:v>
      </x:c>
      <x:c r="I267" s="2" t="str">
        <x:v>SEASON</x:v>
      </x:c>
      <x:c r="J267" s="9" t="n">
        <x:f>IF(AND(B267&lt;&gt;"",ISNUMBER('Input_Meci'!G27)),INT('Input_Meci'!G27),0)</x:f>
        <x:v>0</x:v>
      </x:c>
      <x:c r="K267" s="2" t="n">
        <x:f>IF(OR(B267="",F267=""),0,IF(H267="HOME",COUNTIFS('Istoric_Nativ'!$B$6:$B$405,E267,'Istoric_Nativ'!$C$6:$C$405,F267,'Istoric_Nativ'!$E$6:$E$405,G267,'Istoric_Nativ'!$D$6:$D$405,"&lt;"&amp;J267,'Istoric_Nativ'!$P$6:$P$405,1),IF(H267="AWAY",COUNTIFS('Istoric_Nativ'!$B$6:$B$405,E267,'Istoric_Nativ'!$C$6:$C$405,F267,'Istoric_Nativ'!$F$6:$F$405,G267,'Istoric_Nativ'!$D$6:$D$405,"&lt;"&amp;J267,'Istoric_Nativ'!$P$6:$P$405,1),COUNTIFS('Istoric_Nativ'!$B$6:$B$405,E267,'Istoric_Nativ'!$C$6:$C$405,F267,'Istoric_Nativ'!$E$6:$E$405,G267,'Istoric_Nativ'!$D$6:$D$405,"&lt;"&amp;J267,'Istoric_Nativ'!$P$6:$P$405,1)+COUNTIFS('Istoric_Nativ'!$B$6:$B$405,E267,'Istoric_Nativ'!$C$6:$C$405,F267,'Istoric_Nativ'!$F$6:$F$405,G267,'Istoric_Nativ'!$D$6:$D$405,"&lt;"&amp;J267,'Istoric_Nativ'!$P$6:$P$405,1))))</x:f>
        <x:v>0</x:v>
      </x:c>
      <x:c r="L267" s="17" t="n">
        <x:f>IF(AND(B267&lt;&gt;"",I267="RECENT",K267&gt;0),LARGE(_xlfn._xlws.FILTER('Istoric_Nativ'!$D$6:$D$405,('Istoric_Nativ'!$B$6:$B$405=E267)*('Istoric_Nativ'!$C$6:$C$405=F267)*('Istoric_Nativ'!$P$6:$P$405=1)*('Istoric_Nativ'!$D$6:$D$405&lt;J267)*((('Istoric_Nativ'!$E$6:$E$405=G267)+('Istoric_Nativ'!$F$6:$F$405=G267))&gt;0)),MIN('Config_v6'!$B$54,K267)),0)</x:f>
        <x:v>0</x:v>
      </x:c>
      <x:c r="M267" s="2" t="n">
        <x:f>IF(OR(B267="",F267=""),0,IF(H267="HOME",COUNTIFS('Istoric_Nativ'!$B$6:$B$405,E267,'Istoric_Nativ'!$C$6:$C$405,F267,'Istoric_Nativ'!$E$6:$E$405,G267,'Istoric_Nativ'!$D$6:$D$405,"&lt;"&amp;J267,'Istoric_Nativ'!$P$6:$P$405,1,'Istoric_Nativ'!$D$6:$D$405,"&gt;="&amp;L267),IF(H267="AWAY",COUNTIFS('Istoric_Nativ'!$B$6:$B$405,E267,'Istoric_Nativ'!$C$6:$C$405,F267,'Istoric_Nativ'!$F$6:$F$405,G267,'Istoric_Nativ'!$D$6:$D$405,"&lt;"&amp;J267,'Istoric_Nativ'!$P$6:$P$405,1,'Istoric_Nativ'!$D$6:$D$405,"&gt;="&amp;L267),COUNTIFS('Istoric_Nativ'!$B$6:$B$405,E267,'Istoric_Nativ'!$C$6:$C$405,F267,'Istoric_Nativ'!$E$6:$E$405,G267,'Istoric_Nativ'!$D$6:$D$405,"&lt;"&amp;J267,'Istoric_Nativ'!$P$6:$P$405,1,'Istoric_Nativ'!$D$6:$D$405,"&gt;="&amp;L267)+COUNTIFS('Istoric_Nativ'!$B$6:$B$405,E267,'Istoric_Nativ'!$C$6:$C$405,F267,'Istoric_Nativ'!$F$6:$F$405,G267,'Istoric_Nativ'!$D$6:$D$405,"&lt;"&amp;J267,'Istoric_Nativ'!$P$6:$P$405,1,'Istoric_Nativ'!$D$6:$D$405,"&gt;="&amp;L267))))</x:f>
        <x:v>0</x:v>
      </x:c>
      <x:c r="N267" s="11" t="str">
        <x:f>IF(M267=0,"",IF(H267="HOME",SUMIFS('Istoric_Nativ'!$G$6:$G$405,'Istoric_Nativ'!$B$6:$B$405,E267,'Istoric_Nativ'!$C$6:$C$405,F267,'Istoric_Nativ'!$E$6:$E$405,G267,'Istoric_Nativ'!$D$6:$D$405,"&lt;"&amp;J267,'Istoric_Nativ'!$P$6:$P$405,1,'Istoric_Nativ'!$D$6:$D$405,"&gt;="&amp;L267),IF(H267="AWAY",SUMIFS('Istoric_Nativ'!$H$6:$H$405,'Istoric_Nativ'!$B$6:$B$405,E267,'Istoric_Nativ'!$C$6:$C$405,F267,'Istoric_Nativ'!$F$6:$F$405,G267,'Istoric_Nativ'!$D$6:$D$405,"&lt;"&amp;J267,'Istoric_Nativ'!$P$6:$P$405,1,'Istoric_Nativ'!$D$6:$D$405,"&gt;="&amp;L267),SUMIFS('Istoric_Nativ'!$G$6:$G$405,'Istoric_Nativ'!$B$6:$B$405,E267,'Istoric_Nativ'!$C$6:$C$405,F267,'Istoric_Nativ'!$E$6:$E$405,G267,'Istoric_Nativ'!$D$6:$D$405,"&lt;"&amp;J267,'Istoric_Nativ'!$P$6:$P$405,1,'Istoric_Nativ'!$D$6:$D$405,"&gt;="&amp;L267)+SUMIFS('Istoric_Nativ'!$H$6:$H$405,'Istoric_Nativ'!$B$6:$B$405,E267,'Istoric_Nativ'!$C$6:$C$405,F267,'Istoric_Nativ'!$F$6:$F$405,G267,'Istoric_Nativ'!$D$6:$D$405,"&lt;"&amp;J267,'Istoric_Nativ'!$P$6:$P$405,1,'Istoric_Nativ'!$D$6:$D$405,"&gt;="&amp;L267)))/M267)</x:f>
      </x:c>
      <x:c r="O267" s="11" t="str">
        <x:f>IF(M267=0,"",IF(H267="HOME",SUMIFS('Istoric_Nativ'!$H$6:$H$405,'Istoric_Nativ'!$B$6:$B$405,E267,'Istoric_Nativ'!$C$6:$C$405,F267,'Istoric_Nativ'!$E$6:$E$405,G267,'Istoric_Nativ'!$D$6:$D$405,"&lt;"&amp;J267,'Istoric_Nativ'!$P$6:$P$405,1,'Istoric_Nativ'!$D$6:$D$405,"&gt;="&amp;L267),IF(H267="AWAY",SUMIFS('Istoric_Nativ'!$G$6:$G$405,'Istoric_Nativ'!$B$6:$B$405,E267,'Istoric_Nativ'!$C$6:$C$405,F267,'Istoric_Nativ'!$F$6:$F$405,G267,'Istoric_Nativ'!$D$6:$D$405,"&lt;"&amp;J267,'Istoric_Nativ'!$P$6:$P$405,1,'Istoric_Nativ'!$D$6:$D$405,"&gt;="&amp;L267),SUMIFS('Istoric_Nativ'!$H$6:$H$405,'Istoric_Nativ'!$B$6:$B$405,E267,'Istoric_Nativ'!$C$6:$C$405,F267,'Istoric_Nativ'!$E$6:$E$405,G267,'Istoric_Nativ'!$D$6:$D$405,"&lt;"&amp;J267,'Istoric_Nativ'!$P$6:$P$405,1,'Istoric_Nativ'!$D$6:$D$405,"&gt;="&amp;L267)+SUMIFS('Istoric_Nativ'!$G$6:$G$405,'Istoric_Nativ'!$B$6:$B$405,E267,'Istoric_Nativ'!$C$6:$C$405,F267,'Istoric_Nativ'!$F$6:$F$405,G267,'Istoric_Nativ'!$D$6:$D$405,"&lt;"&amp;J267,'Istoric_Nativ'!$P$6:$P$405,1,'Istoric_Nativ'!$D$6:$D$405,"&gt;="&amp;L267)))/M267)</x:f>
      </x:c>
      <x:c r="P267" s="2" t="n">
        <x:f>'Config_v6'!$B$7</x:f>
        <x:v>10</x:v>
      </x:c>
      <x:c r="Q267" s="2" t="n">
        <x:f>IF(OR(B267="",F267=""),0,IFERROR(MATCH(E267&amp;"|"&amp;F267,SourceTable[Source_Key],0),0))</x:f>
        <x:v>0</x:v>
      </x:c>
      <x:c r="R267" s="2" t="str">
        <x:f>IF(B267="","",IF(F267="","UNUSED",IF(Q267=0,"NOT CHECKED",IF(COUNTIF(SourceTable[Source_Key],E267&amp;"|"&amp;F267)&lt;&gt;1,"SOURCE CONFLICT",IF(NOT(OR(INDEX(SourceTable[Status],MAX(1,Q267))="IMPORTED",INDEX(SourceTable[Status],MAX(1,Q267))="PARTIAL",INDEX(SourceTable[Status],MAX(1,Q267))="SOURCE CONFLICT")),"ACCESS BLOCKED",IF(OR(INDEX(SourceTable[Coverage],Q267)&lt;&gt;"FULL SEASON EXPORT",INDEX(SourceTable[URL],Q267)="",INDEX(SourceTable[SHA256],Q267)=""),"EVIDENCE INCOMPLETE",IF(AND('Input_Meci'!H27="LIVE",INDEX(SourceTable[Retrieved_UTC],Q267)&gt;'Input_Meci'!G27),"POST CUTOFF","CLOSED")))))))</x:f>
      </x:c>
      <x:c r="S267" s="2" t="n">
        <x:f>IF(OR(B267="",F267=""),0,COUNTIFS('Istoric_Nativ'!$B$6:$B$405,E267,'Istoric_Nativ'!$C$6:$C$405,F267,'Istoric_Nativ'!$E$6:$E$405,G267,'Istoric_Nativ'!$D$6:$D$405,"&lt;"&amp;J267,'Istoric_Nativ'!$O$6:$O$405,"INVALID")+COUNTIFS('Istoric_Nativ'!$B$6:$B$405,E267,'Istoric_Nativ'!$C$6:$C$405,F267,'Istoric_Nativ'!$E$6:$E$405,G267,'Istoric_Nativ'!$O$6:$O$405,"INVALID",'Istoric_Nativ'!$D$6:$D$405,"*")+COUNTIFS('Istoric_Nativ'!$B$6:$B$405,E267,'Istoric_Nativ'!$C$6:$C$405,F267,'Istoric_Nativ'!$E$6:$E$405,G267,'Istoric_Nativ'!$D$6:$D$405,"&lt;"&amp;J267,'Istoric_Nativ'!$O$6:$O$405,"SOURCE CONFLICT")+COUNTIFS('Istoric_Nativ'!$B$6:$B$405,E267,'Istoric_Nativ'!$C$6:$C$405,F267,'Istoric_Nativ'!$F$6:$F$405,G267,'Istoric_Nativ'!$D$6:$D$405,"&lt;"&amp;J267,'Istoric_Nativ'!$O$6:$O$405,"INVALID")+COUNTIFS('Istoric_Nativ'!$B$6:$B$405,E267,'Istoric_Nativ'!$C$6:$C$405,F267,'Istoric_Nativ'!$F$6:$F$405,G267,'Istoric_Nativ'!$O$6:$O$405,"INVALID",'Istoric_Nativ'!$D$6:$D$405,"*")+COUNTIFS('Istoric_Nativ'!$B$6:$B$405,E267,'Istoric_Nativ'!$C$6:$C$405,F267,'Istoric_Nativ'!$F$6:$F$405,G267,'Istoric_Nativ'!$D$6:$D$405,"&lt;"&amp;J267,'Istoric_Nativ'!$O$6:$O$405,"SOURCE CONFLICT"))</x:f>
        <x:v>0</x:v>
      </x:c>
      <x:c r="T267" s="2" t="str">
        <x:f>IF(B267="","",IF(R267&lt;&gt;"CLOSED",R267,IF(S267&gt;0,"NATIVE INPUT ISSUE",IF(M267=0,"NO HISTORY",IF(M267&lt;P267,"SMALL SAMPLE","DERIVED")))))</x:f>
      </x:c>
      <x:c r="U267" s="2" t="str">
        <x:f>IF(B267="","","NativeTable; "&amp;E267&amp;"; "&amp;F267&amp;"; "&amp;G267&amp;"; "&amp;H267&amp;"; before "&amp;TEXT(J267,"yyyy-mm-dd")&amp;IF(I267="RECENT","; from "&amp;TEXT(L267,"yyyy-mm-dd"),""))</x:f>
      </x:c>
    </x:row>
    <x:row r="268" ht="21" customHeight="1">
      <x:c r="A268" s="2" t="n">
        <x:v>22</x:v>
      </x:c>
      <x:c r="B268" s="2" t="str">
        <x:f>IF('Input_Meci'!A27="","",'Input_Meci'!A27)</x:f>
      </x:c>
      <x:c r="C268" s="2" t="str">
        <x:v>A</x:v>
      </x:c>
      <x:c r="D268" s="2" t="str">
        <x:v>PRIOR</x:v>
      </x:c>
      <x:c r="E268" s="2" t="str">
        <x:f>IF(B268="","",'Input_Meci'!B27)</x:f>
      </x:c>
      <x:c r="F268" s="2" t="str">
        <x:f>IF(B268="","",IF('Input_Meci'!K27="","",'Input_Meci'!K27))</x:f>
      </x:c>
      <x:c r="G268" s="2" t="str">
        <x:f>IF(B268="","",'Input_Meci'!E27)</x:f>
      </x:c>
      <x:c r="H268" s="2" t="str">
        <x:v>AWAY</x:v>
      </x:c>
      <x:c r="I268" s="2" t="str">
        <x:v>HA</x:v>
      </x:c>
      <x:c r="J268" s="9" t="n">
        <x:f>IF(AND(B268&lt;&gt;"",ISNUMBER('Input_Meci'!G27)),INT('Input_Meci'!G27),0)</x:f>
        <x:v>0</x:v>
      </x:c>
      <x:c r="K268" s="2" t="n">
        <x:f>IF(OR(B268="",F268=""),0,IF(H268="HOME",COUNTIFS('Istoric_Nativ'!$B$6:$B$405,E268,'Istoric_Nativ'!$C$6:$C$405,F268,'Istoric_Nativ'!$E$6:$E$405,G268,'Istoric_Nativ'!$D$6:$D$405,"&lt;"&amp;J268,'Istoric_Nativ'!$P$6:$P$405,1),IF(H268="AWAY",COUNTIFS('Istoric_Nativ'!$B$6:$B$405,E268,'Istoric_Nativ'!$C$6:$C$405,F268,'Istoric_Nativ'!$F$6:$F$405,G268,'Istoric_Nativ'!$D$6:$D$405,"&lt;"&amp;J268,'Istoric_Nativ'!$P$6:$P$405,1),COUNTIFS('Istoric_Nativ'!$B$6:$B$405,E268,'Istoric_Nativ'!$C$6:$C$405,F268,'Istoric_Nativ'!$E$6:$E$405,G268,'Istoric_Nativ'!$D$6:$D$405,"&lt;"&amp;J268,'Istoric_Nativ'!$P$6:$P$405,1)+COUNTIFS('Istoric_Nativ'!$B$6:$B$405,E268,'Istoric_Nativ'!$C$6:$C$405,F268,'Istoric_Nativ'!$F$6:$F$405,G268,'Istoric_Nativ'!$D$6:$D$405,"&lt;"&amp;J268,'Istoric_Nativ'!$P$6:$P$405,1))))</x:f>
        <x:v>0</x:v>
      </x:c>
      <x:c r="L268" s="17" t="n">
        <x:f>IF(AND(B268&lt;&gt;"",I268="RECENT",K268&gt;0),LARGE(_xlfn._xlws.FILTER('Istoric_Nativ'!$D$6:$D$405,('Istoric_Nativ'!$B$6:$B$405=E268)*('Istoric_Nativ'!$C$6:$C$405=F268)*('Istoric_Nativ'!$P$6:$P$405=1)*('Istoric_Nativ'!$D$6:$D$405&lt;J268)*((('Istoric_Nativ'!$E$6:$E$405=G268)+('Istoric_Nativ'!$F$6:$F$405=G268))&gt;0)),MIN('Config_v6'!$B$54,K268)),0)</x:f>
        <x:v>0</x:v>
      </x:c>
      <x:c r="M268" s="2" t="n">
        <x:f>IF(OR(B268="",F268=""),0,IF(H268="HOME",COUNTIFS('Istoric_Nativ'!$B$6:$B$405,E268,'Istoric_Nativ'!$C$6:$C$405,F268,'Istoric_Nativ'!$E$6:$E$405,G268,'Istoric_Nativ'!$D$6:$D$405,"&lt;"&amp;J268,'Istoric_Nativ'!$P$6:$P$405,1,'Istoric_Nativ'!$D$6:$D$405,"&gt;="&amp;L268),IF(H268="AWAY",COUNTIFS('Istoric_Nativ'!$B$6:$B$405,E268,'Istoric_Nativ'!$C$6:$C$405,F268,'Istoric_Nativ'!$F$6:$F$405,G268,'Istoric_Nativ'!$D$6:$D$405,"&lt;"&amp;J268,'Istoric_Nativ'!$P$6:$P$405,1,'Istoric_Nativ'!$D$6:$D$405,"&gt;="&amp;L268),COUNTIFS('Istoric_Nativ'!$B$6:$B$405,E268,'Istoric_Nativ'!$C$6:$C$405,F268,'Istoric_Nativ'!$E$6:$E$405,G268,'Istoric_Nativ'!$D$6:$D$405,"&lt;"&amp;J268,'Istoric_Nativ'!$P$6:$P$405,1,'Istoric_Nativ'!$D$6:$D$405,"&gt;="&amp;L268)+COUNTIFS('Istoric_Nativ'!$B$6:$B$405,E268,'Istoric_Nativ'!$C$6:$C$405,F268,'Istoric_Nativ'!$F$6:$F$405,G268,'Istoric_Nativ'!$D$6:$D$405,"&lt;"&amp;J268,'Istoric_Nativ'!$P$6:$P$405,1,'Istoric_Nativ'!$D$6:$D$405,"&gt;="&amp;L268))))</x:f>
        <x:v>0</x:v>
      </x:c>
      <x:c r="N268" s="11" t="str">
        <x:f>IF(M268=0,"",IF(H268="HOME",SUMIFS('Istoric_Nativ'!$G$6:$G$405,'Istoric_Nativ'!$B$6:$B$405,E268,'Istoric_Nativ'!$C$6:$C$405,F268,'Istoric_Nativ'!$E$6:$E$405,G268,'Istoric_Nativ'!$D$6:$D$405,"&lt;"&amp;J268,'Istoric_Nativ'!$P$6:$P$405,1,'Istoric_Nativ'!$D$6:$D$405,"&gt;="&amp;L268),IF(H268="AWAY",SUMIFS('Istoric_Nativ'!$H$6:$H$405,'Istoric_Nativ'!$B$6:$B$405,E268,'Istoric_Nativ'!$C$6:$C$405,F268,'Istoric_Nativ'!$F$6:$F$405,G268,'Istoric_Nativ'!$D$6:$D$405,"&lt;"&amp;J268,'Istoric_Nativ'!$P$6:$P$405,1,'Istoric_Nativ'!$D$6:$D$405,"&gt;="&amp;L268),SUMIFS('Istoric_Nativ'!$G$6:$G$405,'Istoric_Nativ'!$B$6:$B$405,E268,'Istoric_Nativ'!$C$6:$C$405,F268,'Istoric_Nativ'!$E$6:$E$405,G268,'Istoric_Nativ'!$D$6:$D$405,"&lt;"&amp;J268,'Istoric_Nativ'!$P$6:$P$405,1,'Istoric_Nativ'!$D$6:$D$405,"&gt;="&amp;L268)+SUMIFS('Istoric_Nativ'!$H$6:$H$405,'Istoric_Nativ'!$B$6:$B$405,E268,'Istoric_Nativ'!$C$6:$C$405,F268,'Istoric_Nativ'!$F$6:$F$405,G268,'Istoric_Nativ'!$D$6:$D$405,"&lt;"&amp;J268,'Istoric_Nativ'!$P$6:$P$405,1,'Istoric_Nativ'!$D$6:$D$405,"&gt;="&amp;L268)))/M268)</x:f>
      </x:c>
      <x:c r="O268" s="11" t="str">
        <x:f>IF(M268=0,"",IF(H268="HOME",SUMIFS('Istoric_Nativ'!$H$6:$H$405,'Istoric_Nativ'!$B$6:$B$405,E268,'Istoric_Nativ'!$C$6:$C$405,F268,'Istoric_Nativ'!$E$6:$E$405,G268,'Istoric_Nativ'!$D$6:$D$405,"&lt;"&amp;J268,'Istoric_Nativ'!$P$6:$P$405,1,'Istoric_Nativ'!$D$6:$D$405,"&gt;="&amp;L268),IF(H268="AWAY",SUMIFS('Istoric_Nativ'!$G$6:$G$405,'Istoric_Nativ'!$B$6:$B$405,E268,'Istoric_Nativ'!$C$6:$C$405,F268,'Istoric_Nativ'!$F$6:$F$405,G268,'Istoric_Nativ'!$D$6:$D$405,"&lt;"&amp;J268,'Istoric_Nativ'!$P$6:$P$405,1,'Istoric_Nativ'!$D$6:$D$405,"&gt;="&amp;L268),SUMIFS('Istoric_Nativ'!$H$6:$H$405,'Istoric_Nativ'!$B$6:$B$405,E268,'Istoric_Nativ'!$C$6:$C$405,F268,'Istoric_Nativ'!$E$6:$E$405,G268,'Istoric_Nativ'!$D$6:$D$405,"&lt;"&amp;J268,'Istoric_Nativ'!$P$6:$P$405,1,'Istoric_Nativ'!$D$6:$D$405,"&gt;="&amp;L268)+SUMIFS('Istoric_Nativ'!$G$6:$G$405,'Istoric_Nativ'!$B$6:$B$405,E268,'Istoric_Nativ'!$C$6:$C$405,F268,'Istoric_Nativ'!$F$6:$F$405,G268,'Istoric_Nativ'!$D$6:$D$405,"&lt;"&amp;J268,'Istoric_Nativ'!$P$6:$P$405,1,'Istoric_Nativ'!$D$6:$D$405,"&gt;="&amp;L268)))/M268)</x:f>
      </x:c>
      <x:c r="P268" s="2" t="n">
        <x:f>'Config_v6'!$B$8</x:f>
        <x:v>5</x:v>
      </x:c>
      <x:c r="Q268" s="2" t="n">
        <x:f>IF(OR(B268="",F268=""),0,IFERROR(MATCH(E268&amp;"|"&amp;F268,SourceTable[Source_Key],0),0))</x:f>
        <x:v>0</x:v>
      </x:c>
      <x:c r="R268" s="2" t="str">
        <x:f>IF(B268="","",IF(F268="","UNUSED",IF(Q268=0,"NOT CHECKED",IF(COUNTIF(SourceTable[Source_Key],E268&amp;"|"&amp;F268)&lt;&gt;1,"SOURCE CONFLICT",IF(NOT(OR(INDEX(SourceTable[Status],MAX(1,Q268))="IMPORTED",INDEX(SourceTable[Status],MAX(1,Q268))="PARTIAL",INDEX(SourceTable[Status],MAX(1,Q268))="SOURCE CONFLICT")),"ACCESS BLOCKED",IF(OR(INDEX(SourceTable[Coverage],Q268)&lt;&gt;"FULL SEASON EXPORT",INDEX(SourceTable[URL],Q268)="",INDEX(SourceTable[SHA256],Q268)=""),"EVIDENCE INCOMPLETE",IF(AND('Input_Meci'!H27="LIVE",INDEX(SourceTable[Retrieved_UTC],Q268)&gt;'Input_Meci'!G27),"POST CUTOFF","CLOSED")))))))</x:f>
      </x:c>
      <x:c r="S268" s="2" t="n">
        <x:f>IF(OR(B268="",F268=""),0,COUNTIFS('Istoric_Nativ'!$B$6:$B$405,E268,'Istoric_Nativ'!$C$6:$C$405,F268,'Istoric_Nativ'!$E$6:$E$405,G268,'Istoric_Nativ'!$D$6:$D$405,"&lt;"&amp;J268,'Istoric_Nativ'!$O$6:$O$405,"INVALID")+COUNTIFS('Istoric_Nativ'!$B$6:$B$405,E268,'Istoric_Nativ'!$C$6:$C$405,F268,'Istoric_Nativ'!$E$6:$E$405,G268,'Istoric_Nativ'!$O$6:$O$405,"INVALID",'Istoric_Nativ'!$D$6:$D$405,"*")+COUNTIFS('Istoric_Nativ'!$B$6:$B$405,E268,'Istoric_Nativ'!$C$6:$C$405,F268,'Istoric_Nativ'!$E$6:$E$405,G268,'Istoric_Nativ'!$D$6:$D$405,"&lt;"&amp;J268,'Istoric_Nativ'!$O$6:$O$405,"SOURCE CONFLICT")+COUNTIFS('Istoric_Nativ'!$B$6:$B$405,E268,'Istoric_Nativ'!$C$6:$C$405,F268,'Istoric_Nativ'!$F$6:$F$405,G268,'Istoric_Nativ'!$D$6:$D$405,"&lt;"&amp;J268,'Istoric_Nativ'!$O$6:$O$405,"INVALID")+COUNTIFS('Istoric_Nativ'!$B$6:$B$405,E268,'Istoric_Nativ'!$C$6:$C$405,F268,'Istoric_Nativ'!$F$6:$F$405,G268,'Istoric_Nativ'!$O$6:$O$405,"INVALID",'Istoric_Nativ'!$D$6:$D$405,"*")+COUNTIFS('Istoric_Nativ'!$B$6:$B$405,E268,'Istoric_Nativ'!$C$6:$C$405,F268,'Istoric_Nativ'!$F$6:$F$405,G268,'Istoric_Nativ'!$D$6:$D$405,"&lt;"&amp;J268,'Istoric_Nativ'!$O$6:$O$405,"SOURCE CONFLICT"))</x:f>
        <x:v>0</x:v>
      </x:c>
      <x:c r="T268" s="2" t="str">
        <x:f>IF(B268="","",IF(R268&lt;&gt;"CLOSED",R268,IF(S268&gt;0,"NATIVE INPUT ISSUE",IF(M268=0,"NO HISTORY",IF(M268&lt;P268,"SMALL SAMPLE","DERIVED")))))</x:f>
      </x:c>
      <x:c r="U268" s="2" t="str">
        <x:f>IF(B268="","","NativeTable; "&amp;E268&amp;"; "&amp;F268&amp;"; "&amp;G268&amp;"; "&amp;H268&amp;"; before "&amp;TEXT(J268,"yyyy-mm-dd")&amp;IF(I268="RECENT","; from "&amp;TEXT(L268,"yyyy-mm-dd"),""))</x:f>
      </x:c>
    </x:row>
    <x:row r="269" ht="21" customHeight="1">
      <x:c r="A269" s="2" t="n">
        <x:v>22</x:v>
      </x:c>
      <x:c r="B269" s="2" t="str">
        <x:f>IF('Input_Meci'!A27="","",'Input_Meci'!A27)</x:f>
      </x:c>
      <x:c r="C269" s="2" t="str">
        <x:v>A</x:v>
      </x:c>
      <x:c r="D269" s="2" t="str">
        <x:v>PRIOR</x:v>
      </x:c>
      <x:c r="E269" s="2" t="str">
        <x:f>IF(B269="","",'Input_Meci'!B27)</x:f>
      </x:c>
      <x:c r="F269" s="2" t="str">
        <x:f>IF(B269="","",IF('Input_Meci'!K27="","",'Input_Meci'!K27))</x:f>
      </x:c>
      <x:c r="G269" s="2" t="str">
        <x:f>IF(B269="","",'Input_Meci'!E27)</x:f>
      </x:c>
      <x:c r="H269" s="2" t="str">
        <x:v>ANY</x:v>
      </x:c>
      <x:c r="I269" s="2" t="str">
        <x:v>RECENT</x:v>
      </x:c>
      <x:c r="J269" s="9" t="n">
        <x:f>IF(AND(B269&lt;&gt;"",ISNUMBER('Input_Meci'!G27)),INT('Input_Meci'!G27),0)</x:f>
        <x:v>0</x:v>
      </x:c>
      <x:c r="K269" s="2" t="n">
        <x:f>IF(OR(B269="",F269=""),0,IF(H269="HOME",COUNTIFS('Istoric_Nativ'!$B$6:$B$405,E269,'Istoric_Nativ'!$C$6:$C$405,F269,'Istoric_Nativ'!$E$6:$E$405,G269,'Istoric_Nativ'!$D$6:$D$405,"&lt;"&amp;J269,'Istoric_Nativ'!$P$6:$P$405,1),IF(H269="AWAY",COUNTIFS('Istoric_Nativ'!$B$6:$B$405,E269,'Istoric_Nativ'!$C$6:$C$405,F269,'Istoric_Nativ'!$F$6:$F$405,G269,'Istoric_Nativ'!$D$6:$D$405,"&lt;"&amp;J269,'Istoric_Nativ'!$P$6:$P$405,1),COUNTIFS('Istoric_Nativ'!$B$6:$B$405,E269,'Istoric_Nativ'!$C$6:$C$405,F269,'Istoric_Nativ'!$E$6:$E$405,G269,'Istoric_Nativ'!$D$6:$D$405,"&lt;"&amp;J269,'Istoric_Nativ'!$P$6:$P$405,1)+COUNTIFS('Istoric_Nativ'!$B$6:$B$405,E269,'Istoric_Nativ'!$C$6:$C$405,F269,'Istoric_Nativ'!$F$6:$F$405,G269,'Istoric_Nativ'!$D$6:$D$405,"&lt;"&amp;J269,'Istoric_Nativ'!$P$6:$P$405,1))))</x:f>
        <x:v>0</x:v>
      </x:c>
      <x:c r="L269" s="17" t="n">
        <x:f>IF(AND(B269&lt;&gt;"",I269="RECENT",K269&gt;0),LARGE(_xlfn._xlws.FILTER('Istoric_Nativ'!$D$6:$D$405,('Istoric_Nativ'!$B$6:$B$405=E269)*('Istoric_Nativ'!$C$6:$C$405=F269)*('Istoric_Nativ'!$P$6:$P$405=1)*('Istoric_Nativ'!$D$6:$D$405&lt;J269)*((('Istoric_Nativ'!$E$6:$E$405=G269)+('Istoric_Nativ'!$F$6:$F$405=G269))&gt;0)),MIN('Config_v6'!$B$54,K269)),0)</x:f>
        <x:v>0</x:v>
      </x:c>
      <x:c r="M269" s="2" t="n">
        <x:f>IF(OR(B269="",F269=""),0,IF(H269="HOME",COUNTIFS('Istoric_Nativ'!$B$6:$B$405,E269,'Istoric_Nativ'!$C$6:$C$405,F269,'Istoric_Nativ'!$E$6:$E$405,G269,'Istoric_Nativ'!$D$6:$D$405,"&lt;"&amp;J269,'Istoric_Nativ'!$P$6:$P$405,1,'Istoric_Nativ'!$D$6:$D$405,"&gt;="&amp;L269),IF(H269="AWAY",COUNTIFS('Istoric_Nativ'!$B$6:$B$405,E269,'Istoric_Nativ'!$C$6:$C$405,F269,'Istoric_Nativ'!$F$6:$F$405,G269,'Istoric_Nativ'!$D$6:$D$405,"&lt;"&amp;J269,'Istoric_Nativ'!$P$6:$P$405,1,'Istoric_Nativ'!$D$6:$D$405,"&gt;="&amp;L269),COUNTIFS('Istoric_Nativ'!$B$6:$B$405,E269,'Istoric_Nativ'!$C$6:$C$405,F269,'Istoric_Nativ'!$E$6:$E$405,G269,'Istoric_Nativ'!$D$6:$D$405,"&lt;"&amp;J269,'Istoric_Nativ'!$P$6:$P$405,1,'Istoric_Nativ'!$D$6:$D$405,"&gt;="&amp;L269)+COUNTIFS('Istoric_Nativ'!$B$6:$B$405,E269,'Istoric_Nativ'!$C$6:$C$405,F269,'Istoric_Nativ'!$F$6:$F$405,G269,'Istoric_Nativ'!$D$6:$D$405,"&lt;"&amp;J269,'Istoric_Nativ'!$P$6:$P$405,1,'Istoric_Nativ'!$D$6:$D$405,"&gt;="&amp;L269))))</x:f>
        <x:v>0</x:v>
      </x:c>
      <x:c r="N269" s="11" t="str">
        <x:f>IF(M269=0,"",IF(H269="HOME",SUMIFS('Istoric_Nativ'!$G$6:$G$405,'Istoric_Nativ'!$B$6:$B$405,E269,'Istoric_Nativ'!$C$6:$C$405,F269,'Istoric_Nativ'!$E$6:$E$405,G269,'Istoric_Nativ'!$D$6:$D$405,"&lt;"&amp;J269,'Istoric_Nativ'!$P$6:$P$405,1,'Istoric_Nativ'!$D$6:$D$405,"&gt;="&amp;L269),IF(H269="AWAY",SUMIFS('Istoric_Nativ'!$H$6:$H$405,'Istoric_Nativ'!$B$6:$B$405,E269,'Istoric_Nativ'!$C$6:$C$405,F269,'Istoric_Nativ'!$F$6:$F$405,G269,'Istoric_Nativ'!$D$6:$D$405,"&lt;"&amp;J269,'Istoric_Nativ'!$P$6:$P$405,1,'Istoric_Nativ'!$D$6:$D$405,"&gt;="&amp;L269),SUMIFS('Istoric_Nativ'!$G$6:$G$405,'Istoric_Nativ'!$B$6:$B$405,E269,'Istoric_Nativ'!$C$6:$C$405,F269,'Istoric_Nativ'!$E$6:$E$405,G269,'Istoric_Nativ'!$D$6:$D$405,"&lt;"&amp;J269,'Istoric_Nativ'!$P$6:$P$405,1,'Istoric_Nativ'!$D$6:$D$405,"&gt;="&amp;L269)+SUMIFS('Istoric_Nativ'!$H$6:$H$405,'Istoric_Nativ'!$B$6:$B$405,E269,'Istoric_Nativ'!$C$6:$C$405,F269,'Istoric_Nativ'!$F$6:$F$405,G269,'Istoric_Nativ'!$D$6:$D$405,"&lt;"&amp;J269,'Istoric_Nativ'!$P$6:$P$405,1,'Istoric_Nativ'!$D$6:$D$405,"&gt;="&amp;L269)))/M269)</x:f>
      </x:c>
      <x:c r="O269" s="11" t="str">
        <x:f>IF(M269=0,"",IF(H269="HOME",SUMIFS('Istoric_Nativ'!$H$6:$H$405,'Istoric_Nativ'!$B$6:$B$405,E269,'Istoric_Nativ'!$C$6:$C$405,F269,'Istoric_Nativ'!$E$6:$E$405,G269,'Istoric_Nativ'!$D$6:$D$405,"&lt;"&amp;J269,'Istoric_Nativ'!$P$6:$P$405,1,'Istoric_Nativ'!$D$6:$D$405,"&gt;="&amp;L269),IF(H269="AWAY",SUMIFS('Istoric_Nativ'!$G$6:$G$405,'Istoric_Nativ'!$B$6:$B$405,E269,'Istoric_Nativ'!$C$6:$C$405,F269,'Istoric_Nativ'!$F$6:$F$405,G269,'Istoric_Nativ'!$D$6:$D$405,"&lt;"&amp;J269,'Istoric_Nativ'!$P$6:$P$405,1,'Istoric_Nativ'!$D$6:$D$405,"&gt;="&amp;L269),SUMIFS('Istoric_Nativ'!$H$6:$H$405,'Istoric_Nativ'!$B$6:$B$405,E269,'Istoric_Nativ'!$C$6:$C$405,F269,'Istoric_Nativ'!$E$6:$E$405,G269,'Istoric_Nativ'!$D$6:$D$405,"&lt;"&amp;J269,'Istoric_Nativ'!$P$6:$P$405,1,'Istoric_Nativ'!$D$6:$D$405,"&gt;="&amp;L269)+SUMIFS('Istoric_Nativ'!$G$6:$G$405,'Istoric_Nativ'!$B$6:$B$405,E269,'Istoric_Nativ'!$C$6:$C$405,F269,'Istoric_Nativ'!$F$6:$F$405,G269,'Istoric_Nativ'!$D$6:$D$405,"&lt;"&amp;J269,'Istoric_Nativ'!$P$6:$P$405,1,'Istoric_Nativ'!$D$6:$D$405,"&gt;="&amp;L269)))/M269)</x:f>
      </x:c>
      <x:c r="P269" s="2" t="n">
        <x:f>'Config_v6'!$B$9</x:f>
        <x:v>3</x:v>
      </x:c>
      <x:c r="Q269" s="2" t="n">
        <x:f>IF(OR(B269="",F269=""),0,IFERROR(MATCH(E269&amp;"|"&amp;F269,SourceTable[Source_Key],0),0))</x:f>
        <x:v>0</x:v>
      </x:c>
      <x:c r="R269" s="2" t="str">
        <x:f>IF(B269="","",IF(F269="","UNUSED",IF(Q269=0,"NOT CHECKED",IF(COUNTIF(SourceTable[Source_Key],E269&amp;"|"&amp;F269)&lt;&gt;1,"SOURCE CONFLICT",IF(NOT(OR(INDEX(SourceTable[Status],MAX(1,Q269))="IMPORTED",INDEX(SourceTable[Status],MAX(1,Q269))="PARTIAL",INDEX(SourceTable[Status],MAX(1,Q269))="SOURCE CONFLICT")),"ACCESS BLOCKED",IF(OR(INDEX(SourceTable[Coverage],Q269)&lt;&gt;"FULL SEASON EXPORT",INDEX(SourceTable[URL],Q269)="",INDEX(SourceTable[SHA256],Q269)=""),"EVIDENCE INCOMPLETE",IF(AND('Input_Meci'!H27="LIVE",INDEX(SourceTable[Retrieved_UTC],Q269)&gt;'Input_Meci'!G27),"POST CUTOFF","CLOSED")))))))</x:f>
      </x:c>
      <x:c r="S269" s="2" t="n">
        <x:f>IF(OR(B269="",F269=""),0,COUNTIFS('Istoric_Nativ'!$B$6:$B$405,E269,'Istoric_Nativ'!$C$6:$C$405,F269,'Istoric_Nativ'!$E$6:$E$405,G269,'Istoric_Nativ'!$D$6:$D$405,"&lt;"&amp;J269,'Istoric_Nativ'!$O$6:$O$405,"INVALID")+COUNTIFS('Istoric_Nativ'!$B$6:$B$405,E269,'Istoric_Nativ'!$C$6:$C$405,F269,'Istoric_Nativ'!$E$6:$E$405,G269,'Istoric_Nativ'!$O$6:$O$405,"INVALID",'Istoric_Nativ'!$D$6:$D$405,"*")+COUNTIFS('Istoric_Nativ'!$B$6:$B$405,E269,'Istoric_Nativ'!$C$6:$C$405,F269,'Istoric_Nativ'!$E$6:$E$405,G269,'Istoric_Nativ'!$D$6:$D$405,"&lt;"&amp;J269,'Istoric_Nativ'!$O$6:$O$405,"SOURCE CONFLICT")+COUNTIFS('Istoric_Nativ'!$B$6:$B$405,E269,'Istoric_Nativ'!$C$6:$C$405,F269,'Istoric_Nativ'!$F$6:$F$405,G269,'Istoric_Nativ'!$D$6:$D$405,"&lt;"&amp;J269,'Istoric_Nativ'!$O$6:$O$405,"INVALID")+COUNTIFS('Istoric_Nativ'!$B$6:$B$405,E269,'Istoric_Nativ'!$C$6:$C$405,F269,'Istoric_Nativ'!$F$6:$F$405,G269,'Istoric_Nativ'!$O$6:$O$405,"INVALID",'Istoric_Nativ'!$D$6:$D$405,"*")+COUNTIFS('Istoric_Nativ'!$B$6:$B$405,E269,'Istoric_Nativ'!$C$6:$C$405,F269,'Istoric_Nativ'!$F$6:$F$405,G269,'Istoric_Nativ'!$D$6:$D$405,"&lt;"&amp;J269,'Istoric_Nativ'!$O$6:$O$405,"SOURCE CONFLICT"))</x:f>
        <x:v>0</x:v>
      </x:c>
      <x:c r="T269" s="2" t="str">
        <x:f>IF(B269="","",IF(R269&lt;&gt;"CLOSED",R269,IF(S269&gt;0,"NATIVE INPUT ISSUE",IF(M269=0,"NO HISTORY",IF(M269&lt;P269,"SMALL SAMPLE","DERIVED")))))</x:f>
      </x:c>
      <x:c r="U269" s="2" t="str">
        <x:f>IF(B269="","","NativeTable; "&amp;E269&amp;"; "&amp;F269&amp;"; "&amp;G269&amp;"; "&amp;H269&amp;"; before "&amp;TEXT(J269,"yyyy-mm-dd")&amp;IF(I269="RECENT","; from "&amp;TEXT(L269,"yyyy-mm-dd"),""))</x:f>
      </x:c>
    </x:row>
    <x:row r="270" ht="21" customHeight="1">
      <x:c r="A270" s="2" t="n">
        <x:v>23</x:v>
      </x:c>
      <x:c r="B270" s="2" t="str">
        <x:f>IF('Input_Meci'!A28="","",'Input_Meci'!A28)</x:f>
      </x:c>
      <x:c r="C270" s="2" t="str">
        <x:v>H</x:v>
      </x:c>
      <x:c r="D270" s="2" t="str">
        <x:v>CURRENT</x:v>
      </x:c>
      <x:c r="E270" s="2" t="str">
        <x:f>IF(B270="","",'Input_Meci'!B28)</x:f>
      </x:c>
      <x:c r="F270" s="2" t="str">
        <x:f>IF(B270="","",IF('Input_Meci'!C28="","",'Input_Meci'!C28))</x:f>
      </x:c>
      <x:c r="G270" s="2" t="str">
        <x:f>IF(B270="","",'Input_Meci'!D28)</x:f>
      </x:c>
      <x:c r="H270" s="2" t="str">
        <x:v>ANY</x:v>
      </x:c>
      <x:c r="I270" s="2" t="str">
        <x:v>SEASON</x:v>
      </x:c>
      <x:c r="J270" s="9" t="n">
        <x:f>IF(AND(B270&lt;&gt;"",ISNUMBER('Input_Meci'!G28)),INT('Input_Meci'!G28),0)</x:f>
        <x:v>0</x:v>
      </x:c>
      <x:c r="K270" s="2" t="n">
        <x:f>IF(OR(B270="",F270=""),0,IF(H270="HOME",COUNTIFS('Istoric_Nativ'!$B$6:$B$405,E270,'Istoric_Nativ'!$C$6:$C$405,F270,'Istoric_Nativ'!$E$6:$E$405,G270,'Istoric_Nativ'!$D$6:$D$405,"&lt;"&amp;J270,'Istoric_Nativ'!$P$6:$P$405,1),IF(H270="AWAY",COUNTIFS('Istoric_Nativ'!$B$6:$B$405,E270,'Istoric_Nativ'!$C$6:$C$405,F270,'Istoric_Nativ'!$F$6:$F$405,G270,'Istoric_Nativ'!$D$6:$D$405,"&lt;"&amp;J270,'Istoric_Nativ'!$P$6:$P$405,1),COUNTIFS('Istoric_Nativ'!$B$6:$B$405,E270,'Istoric_Nativ'!$C$6:$C$405,F270,'Istoric_Nativ'!$E$6:$E$405,G270,'Istoric_Nativ'!$D$6:$D$405,"&lt;"&amp;J270,'Istoric_Nativ'!$P$6:$P$405,1)+COUNTIFS('Istoric_Nativ'!$B$6:$B$405,E270,'Istoric_Nativ'!$C$6:$C$405,F270,'Istoric_Nativ'!$F$6:$F$405,G270,'Istoric_Nativ'!$D$6:$D$405,"&lt;"&amp;J270,'Istoric_Nativ'!$P$6:$P$405,1))))</x:f>
        <x:v>0</x:v>
      </x:c>
      <x:c r="L270" s="17" t="n">
        <x:f>IF(AND(B270&lt;&gt;"",I270="RECENT",K270&gt;0),LARGE(_xlfn._xlws.FILTER('Istoric_Nativ'!$D$6:$D$405,('Istoric_Nativ'!$B$6:$B$405=E270)*('Istoric_Nativ'!$C$6:$C$405=F270)*('Istoric_Nativ'!$P$6:$P$405=1)*('Istoric_Nativ'!$D$6:$D$405&lt;J270)*((('Istoric_Nativ'!$E$6:$E$405=G270)+('Istoric_Nativ'!$F$6:$F$405=G270))&gt;0)),MIN('Config_v6'!$B$54,K270)),0)</x:f>
        <x:v>0</x:v>
      </x:c>
      <x:c r="M270" s="2" t="n">
        <x:f>IF(OR(B270="",F270=""),0,IF(H270="HOME",COUNTIFS('Istoric_Nativ'!$B$6:$B$405,E270,'Istoric_Nativ'!$C$6:$C$405,F270,'Istoric_Nativ'!$E$6:$E$405,G270,'Istoric_Nativ'!$D$6:$D$405,"&lt;"&amp;J270,'Istoric_Nativ'!$P$6:$P$405,1,'Istoric_Nativ'!$D$6:$D$405,"&gt;="&amp;L270),IF(H270="AWAY",COUNTIFS('Istoric_Nativ'!$B$6:$B$405,E270,'Istoric_Nativ'!$C$6:$C$405,F270,'Istoric_Nativ'!$F$6:$F$405,G270,'Istoric_Nativ'!$D$6:$D$405,"&lt;"&amp;J270,'Istoric_Nativ'!$P$6:$P$405,1,'Istoric_Nativ'!$D$6:$D$405,"&gt;="&amp;L270),COUNTIFS('Istoric_Nativ'!$B$6:$B$405,E270,'Istoric_Nativ'!$C$6:$C$405,F270,'Istoric_Nativ'!$E$6:$E$405,G270,'Istoric_Nativ'!$D$6:$D$405,"&lt;"&amp;J270,'Istoric_Nativ'!$P$6:$P$405,1,'Istoric_Nativ'!$D$6:$D$405,"&gt;="&amp;L270)+COUNTIFS('Istoric_Nativ'!$B$6:$B$405,E270,'Istoric_Nativ'!$C$6:$C$405,F270,'Istoric_Nativ'!$F$6:$F$405,G270,'Istoric_Nativ'!$D$6:$D$405,"&lt;"&amp;J270,'Istoric_Nativ'!$P$6:$P$405,1,'Istoric_Nativ'!$D$6:$D$405,"&gt;="&amp;L270))))</x:f>
        <x:v>0</x:v>
      </x:c>
      <x:c r="N270" s="11" t="str">
        <x:f>IF(M270=0,"",IF(H270="HOME",SUMIFS('Istoric_Nativ'!$G$6:$G$405,'Istoric_Nativ'!$B$6:$B$405,E270,'Istoric_Nativ'!$C$6:$C$405,F270,'Istoric_Nativ'!$E$6:$E$405,G270,'Istoric_Nativ'!$D$6:$D$405,"&lt;"&amp;J270,'Istoric_Nativ'!$P$6:$P$405,1,'Istoric_Nativ'!$D$6:$D$405,"&gt;="&amp;L270),IF(H270="AWAY",SUMIFS('Istoric_Nativ'!$H$6:$H$405,'Istoric_Nativ'!$B$6:$B$405,E270,'Istoric_Nativ'!$C$6:$C$405,F270,'Istoric_Nativ'!$F$6:$F$405,G270,'Istoric_Nativ'!$D$6:$D$405,"&lt;"&amp;J270,'Istoric_Nativ'!$P$6:$P$405,1,'Istoric_Nativ'!$D$6:$D$405,"&gt;="&amp;L270),SUMIFS('Istoric_Nativ'!$G$6:$G$405,'Istoric_Nativ'!$B$6:$B$405,E270,'Istoric_Nativ'!$C$6:$C$405,F270,'Istoric_Nativ'!$E$6:$E$405,G270,'Istoric_Nativ'!$D$6:$D$405,"&lt;"&amp;J270,'Istoric_Nativ'!$P$6:$P$405,1,'Istoric_Nativ'!$D$6:$D$405,"&gt;="&amp;L270)+SUMIFS('Istoric_Nativ'!$H$6:$H$405,'Istoric_Nativ'!$B$6:$B$405,E270,'Istoric_Nativ'!$C$6:$C$405,F270,'Istoric_Nativ'!$F$6:$F$405,G270,'Istoric_Nativ'!$D$6:$D$405,"&lt;"&amp;J270,'Istoric_Nativ'!$P$6:$P$405,1,'Istoric_Nativ'!$D$6:$D$405,"&gt;="&amp;L270)))/M270)</x:f>
      </x:c>
      <x:c r="O270" s="11" t="str">
        <x:f>IF(M270=0,"",IF(H270="HOME",SUMIFS('Istoric_Nativ'!$H$6:$H$405,'Istoric_Nativ'!$B$6:$B$405,E270,'Istoric_Nativ'!$C$6:$C$405,F270,'Istoric_Nativ'!$E$6:$E$405,G270,'Istoric_Nativ'!$D$6:$D$405,"&lt;"&amp;J270,'Istoric_Nativ'!$P$6:$P$405,1,'Istoric_Nativ'!$D$6:$D$405,"&gt;="&amp;L270),IF(H270="AWAY",SUMIFS('Istoric_Nativ'!$G$6:$G$405,'Istoric_Nativ'!$B$6:$B$405,E270,'Istoric_Nativ'!$C$6:$C$405,F270,'Istoric_Nativ'!$F$6:$F$405,G270,'Istoric_Nativ'!$D$6:$D$405,"&lt;"&amp;J270,'Istoric_Nativ'!$P$6:$P$405,1,'Istoric_Nativ'!$D$6:$D$405,"&gt;="&amp;L270),SUMIFS('Istoric_Nativ'!$H$6:$H$405,'Istoric_Nativ'!$B$6:$B$405,E270,'Istoric_Nativ'!$C$6:$C$405,F270,'Istoric_Nativ'!$E$6:$E$405,G270,'Istoric_Nativ'!$D$6:$D$405,"&lt;"&amp;J270,'Istoric_Nativ'!$P$6:$P$405,1,'Istoric_Nativ'!$D$6:$D$405,"&gt;="&amp;L270)+SUMIFS('Istoric_Nativ'!$G$6:$G$405,'Istoric_Nativ'!$B$6:$B$405,E270,'Istoric_Nativ'!$C$6:$C$405,F270,'Istoric_Nativ'!$F$6:$F$405,G270,'Istoric_Nativ'!$D$6:$D$405,"&lt;"&amp;J270,'Istoric_Nativ'!$P$6:$P$405,1,'Istoric_Nativ'!$D$6:$D$405,"&gt;="&amp;L270)))/M270)</x:f>
      </x:c>
      <x:c r="P270" s="2" t="n">
        <x:f>'Config_v6'!$B$7</x:f>
        <x:v>10</x:v>
      </x:c>
      <x:c r="Q270" s="2" t="n">
        <x:f>IF(OR(B270="",F270=""),0,IFERROR(MATCH(E270&amp;"|"&amp;F270,SourceTable[Source_Key],0),0))</x:f>
        <x:v>0</x:v>
      </x:c>
      <x:c r="R270" s="2" t="str">
        <x:f>IF(B270="","",IF(F270="","UNUSED",IF(Q270=0,"NOT CHECKED",IF(COUNTIF(SourceTable[Source_Key],E270&amp;"|"&amp;F270)&lt;&gt;1,"SOURCE CONFLICT",IF(NOT(OR(INDEX(SourceTable[Status],MAX(1,Q270))="IMPORTED",INDEX(SourceTable[Status],MAX(1,Q270))="PARTIAL",INDEX(SourceTable[Status],MAX(1,Q270))="SOURCE CONFLICT")),"ACCESS BLOCKED",IF(OR(INDEX(SourceTable[Coverage],Q270)&lt;&gt;"FULL SEASON EXPORT",INDEX(SourceTable[URL],Q270)="",INDEX(SourceTable[SHA256],Q270)=""),"EVIDENCE INCOMPLETE",IF(AND('Input_Meci'!H28="LIVE",INDEX(SourceTable[Retrieved_UTC],Q270)&gt;'Input_Meci'!G28),"POST CUTOFF","CLOSED")))))))</x:f>
      </x:c>
      <x:c r="S270" s="2" t="n">
        <x:f>IF(OR(B270="",F270=""),0,COUNTIFS('Istoric_Nativ'!$B$6:$B$405,E270,'Istoric_Nativ'!$C$6:$C$405,F270,'Istoric_Nativ'!$E$6:$E$405,G270,'Istoric_Nativ'!$D$6:$D$405,"&lt;"&amp;J270,'Istoric_Nativ'!$O$6:$O$405,"INVALID")+COUNTIFS('Istoric_Nativ'!$B$6:$B$405,E270,'Istoric_Nativ'!$C$6:$C$405,F270,'Istoric_Nativ'!$E$6:$E$405,G270,'Istoric_Nativ'!$O$6:$O$405,"INVALID",'Istoric_Nativ'!$D$6:$D$405,"*")+COUNTIFS('Istoric_Nativ'!$B$6:$B$405,E270,'Istoric_Nativ'!$C$6:$C$405,F270,'Istoric_Nativ'!$E$6:$E$405,G270,'Istoric_Nativ'!$D$6:$D$405,"&lt;"&amp;J270,'Istoric_Nativ'!$O$6:$O$405,"SOURCE CONFLICT")+COUNTIFS('Istoric_Nativ'!$B$6:$B$405,E270,'Istoric_Nativ'!$C$6:$C$405,F270,'Istoric_Nativ'!$F$6:$F$405,G270,'Istoric_Nativ'!$D$6:$D$405,"&lt;"&amp;J270,'Istoric_Nativ'!$O$6:$O$405,"INVALID")+COUNTIFS('Istoric_Nativ'!$B$6:$B$405,E270,'Istoric_Nativ'!$C$6:$C$405,F270,'Istoric_Nativ'!$F$6:$F$405,G270,'Istoric_Nativ'!$O$6:$O$405,"INVALID",'Istoric_Nativ'!$D$6:$D$405,"*")+COUNTIFS('Istoric_Nativ'!$B$6:$B$405,E270,'Istoric_Nativ'!$C$6:$C$405,F270,'Istoric_Nativ'!$F$6:$F$405,G270,'Istoric_Nativ'!$D$6:$D$405,"&lt;"&amp;J270,'Istoric_Nativ'!$O$6:$O$405,"SOURCE CONFLICT"))</x:f>
        <x:v>0</x:v>
      </x:c>
      <x:c r="T270" s="2" t="str">
        <x:f>IF(B270="","",IF(R270&lt;&gt;"CLOSED",R270,IF(S270&gt;0,"NATIVE INPUT ISSUE",IF(M270=0,"NO HISTORY",IF(M270&lt;P270,"SMALL SAMPLE","DERIVED")))))</x:f>
      </x:c>
      <x:c r="U270" s="2" t="str">
        <x:f>IF(B270="","","NativeTable; "&amp;E270&amp;"; "&amp;F270&amp;"; "&amp;G270&amp;"; "&amp;H270&amp;"; before "&amp;TEXT(J270,"yyyy-mm-dd")&amp;IF(I270="RECENT","; from "&amp;TEXT(L270,"yyyy-mm-dd"),""))</x:f>
      </x:c>
    </x:row>
    <x:row r="271" ht="21" customHeight="1">
      <x:c r="A271" s="2" t="n">
        <x:v>23</x:v>
      </x:c>
      <x:c r="B271" s="2" t="str">
        <x:f>IF('Input_Meci'!A28="","",'Input_Meci'!A28)</x:f>
      </x:c>
      <x:c r="C271" s="2" t="str">
        <x:v>H</x:v>
      </x:c>
      <x:c r="D271" s="2" t="str">
        <x:v>CURRENT</x:v>
      </x:c>
      <x:c r="E271" s="2" t="str">
        <x:f>IF(B271="","",'Input_Meci'!B28)</x:f>
      </x:c>
      <x:c r="F271" s="2" t="str">
        <x:f>IF(B271="","",IF('Input_Meci'!C28="","",'Input_Meci'!C28))</x:f>
      </x:c>
      <x:c r="G271" s="2" t="str">
        <x:f>IF(B271="","",'Input_Meci'!D28)</x:f>
      </x:c>
      <x:c r="H271" s="2" t="str">
        <x:v>HOME</x:v>
      </x:c>
      <x:c r="I271" s="2" t="str">
        <x:v>HA</x:v>
      </x:c>
      <x:c r="J271" s="9" t="n">
        <x:f>IF(AND(B271&lt;&gt;"",ISNUMBER('Input_Meci'!G28)),INT('Input_Meci'!G28),0)</x:f>
        <x:v>0</x:v>
      </x:c>
      <x:c r="K271" s="2" t="n">
        <x:f>IF(OR(B271="",F271=""),0,IF(H271="HOME",COUNTIFS('Istoric_Nativ'!$B$6:$B$405,E271,'Istoric_Nativ'!$C$6:$C$405,F271,'Istoric_Nativ'!$E$6:$E$405,G271,'Istoric_Nativ'!$D$6:$D$405,"&lt;"&amp;J271,'Istoric_Nativ'!$P$6:$P$405,1),IF(H271="AWAY",COUNTIFS('Istoric_Nativ'!$B$6:$B$405,E271,'Istoric_Nativ'!$C$6:$C$405,F271,'Istoric_Nativ'!$F$6:$F$405,G271,'Istoric_Nativ'!$D$6:$D$405,"&lt;"&amp;J271,'Istoric_Nativ'!$P$6:$P$405,1),COUNTIFS('Istoric_Nativ'!$B$6:$B$405,E271,'Istoric_Nativ'!$C$6:$C$405,F271,'Istoric_Nativ'!$E$6:$E$405,G271,'Istoric_Nativ'!$D$6:$D$405,"&lt;"&amp;J271,'Istoric_Nativ'!$P$6:$P$405,1)+COUNTIFS('Istoric_Nativ'!$B$6:$B$405,E271,'Istoric_Nativ'!$C$6:$C$405,F271,'Istoric_Nativ'!$F$6:$F$405,G271,'Istoric_Nativ'!$D$6:$D$405,"&lt;"&amp;J271,'Istoric_Nativ'!$P$6:$P$405,1))))</x:f>
        <x:v>0</x:v>
      </x:c>
      <x:c r="L271" s="17" t="n">
        <x:f>IF(AND(B271&lt;&gt;"",I271="RECENT",K271&gt;0),LARGE(_xlfn._xlws.FILTER('Istoric_Nativ'!$D$6:$D$405,('Istoric_Nativ'!$B$6:$B$405=E271)*('Istoric_Nativ'!$C$6:$C$405=F271)*('Istoric_Nativ'!$P$6:$P$405=1)*('Istoric_Nativ'!$D$6:$D$405&lt;J271)*((('Istoric_Nativ'!$E$6:$E$405=G271)+('Istoric_Nativ'!$F$6:$F$405=G271))&gt;0)),MIN('Config_v6'!$B$54,K271)),0)</x:f>
        <x:v>0</x:v>
      </x:c>
      <x:c r="M271" s="2" t="n">
        <x:f>IF(OR(B271="",F271=""),0,IF(H271="HOME",COUNTIFS('Istoric_Nativ'!$B$6:$B$405,E271,'Istoric_Nativ'!$C$6:$C$405,F271,'Istoric_Nativ'!$E$6:$E$405,G271,'Istoric_Nativ'!$D$6:$D$405,"&lt;"&amp;J271,'Istoric_Nativ'!$P$6:$P$405,1,'Istoric_Nativ'!$D$6:$D$405,"&gt;="&amp;L271),IF(H271="AWAY",COUNTIFS('Istoric_Nativ'!$B$6:$B$405,E271,'Istoric_Nativ'!$C$6:$C$405,F271,'Istoric_Nativ'!$F$6:$F$405,G271,'Istoric_Nativ'!$D$6:$D$405,"&lt;"&amp;J271,'Istoric_Nativ'!$P$6:$P$405,1,'Istoric_Nativ'!$D$6:$D$405,"&gt;="&amp;L271),COUNTIFS('Istoric_Nativ'!$B$6:$B$405,E271,'Istoric_Nativ'!$C$6:$C$405,F271,'Istoric_Nativ'!$E$6:$E$405,G271,'Istoric_Nativ'!$D$6:$D$405,"&lt;"&amp;J271,'Istoric_Nativ'!$P$6:$P$405,1,'Istoric_Nativ'!$D$6:$D$405,"&gt;="&amp;L271)+COUNTIFS('Istoric_Nativ'!$B$6:$B$405,E271,'Istoric_Nativ'!$C$6:$C$405,F271,'Istoric_Nativ'!$F$6:$F$405,G271,'Istoric_Nativ'!$D$6:$D$405,"&lt;"&amp;J271,'Istoric_Nativ'!$P$6:$P$405,1,'Istoric_Nativ'!$D$6:$D$405,"&gt;="&amp;L271))))</x:f>
        <x:v>0</x:v>
      </x:c>
      <x:c r="N271" s="11" t="str">
        <x:f>IF(M271=0,"",IF(H271="HOME",SUMIFS('Istoric_Nativ'!$G$6:$G$405,'Istoric_Nativ'!$B$6:$B$405,E271,'Istoric_Nativ'!$C$6:$C$405,F271,'Istoric_Nativ'!$E$6:$E$405,G271,'Istoric_Nativ'!$D$6:$D$405,"&lt;"&amp;J271,'Istoric_Nativ'!$P$6:$P$405,1,'Istoric_Nativ'!$D$6:$D$405,"&gt;="&amp;L271),IF(H271="AWAY",SUMIFS('Istoric_Nativ'!$H$6:$H$405,'Istoric_Nativ'!$B$6:$B$405,E271,'Istoric_Nativ'!$C$6:$C$405,F271,'Istoric_Nativ'!$F$6:$F$405,G271,'Istoric_Nativ'!$D$6:$D$405,"&lt;"&amp;J271,'Istoric_Nativ'!$P$6:$P$405,1,'Istoric_Nativ'!$D$6:$D$405,"&gt;="&amp;L271),SUMIFS('Istoric_Nativ'!$G$6:$G$405,'Istoric_Nativ'!$B$6:$B$405,E271,'Istoric_Nativ'!$C$6:$C$405,F271,'Istoric_Nativ'!$E$6:$E$405,G271,'Istoric_Nativ'!$D$6:$D$405,"&lt;"&amp;J271,'Istoric_Nativ'!$P$6:$P$405,1,'Istoric_Nativ'!$D$6:$D$405,"&gt;="&amp;L271)+SUMIFS('Istoric_Nativ'!$H$6:$H$405,'Istoric_Nativ'!$B$6:$B$405,E271,'Istoric_Nativ'!$C$6:$C$405,F271,'Istoric_Nativ'!$F$6:$F$405,G271,'Istoric_Nativ'!$D$6:$D$405,"&lt;"&amp;J271,'Istoric_Nativ'!$P$6:$P$405,1,'Istoric_Nativ'!$D$6:$D$405,"&gt;="&amp;L271)))/M271)</x:f>
      </x:c>
      <x:c r="O271" s="11" t="str">
        <x:f>IF(M271=0,"",IF(H271="HOME",SUMIFS('Istoric_Nativ'!$H$6:$H$405,'Istoric_Nativ'!$B$6:$B$405,E271,'Istoric_Nativ'!$C$6:$C$405,F271,'Istoric_Nativ'!$E$6:$E$405,G271,'Istoric_Nativ'!$D$6:$D$405,"&lt;"&amp;J271,'Istoric_Nativ'!$P$6:$P$405,1,'Istoric_Nativ'!$D$6:$D$405,"&gt;="&amp;L271),IF(H271="AWAY",SUMIFS('Istoric_Nativ'!$G$6:$G$405,'Istoric_Nativ'!$B$6:$B$405,E271,'Istoric_Nativ'!$C$6:$C$405,F271,'Istoric_Nativ'!$F$6:$F$405,G271,'Istoric_Nativ'!$D$6:$D$405,"&lt;"&amp;J271,'Istoric_Nativ'!$P$6:$P$405,1,'Istoric_Nativ'!$D$6:$D$405,"&gt;="&amp;L271),SUMIFS('Istoric_Nativ'!$H$6:$H$405,'Istoric_Nativ'!$B$6:$B$405,E271,'Istoric_Nativ'!$C$6:$C$405,F271,'Istoric_Nativ'!$E$6:$E$405,G271,'Istoric_Nativ'!$D$6:$D$405,"&lt;"&amp;J271,'Istoric_Nativ'!$P$6:$P$405,1,'Istoric_Nativ'!$D$6:$D$405,"&gt;="&amp;L271)+SUMIFS('Istoric_Nativ'!$G$6:$G$405,'Istoric_Nativ'!$B$6:$B$405,E271,'Istoric_Nativ'!$C$6:$C$405,F271,'Istoric_Nativ'!$F$6:$F$405,G271,'Istoric_Nativ'!$D$6:$D$405,"&lt;"&amp;J271,'Istoric_Nativ'!$P$6:$P$405,1,'Istoric_Nativ'!$D$6:$D$405,"&gt;="&amp;L271)))/M271)</x:f>
      </x:c>
      <x:c r="P271" s="2" t="n">
        <x:f>'Config_v6'!$B$8</x:f>
        <x:v>5</x:v>
      </x:c>
      <x:c r="Q271" s="2" t="n">
        <x:f>IF(OR(B271="",F271=""),0,IFERROR(MATCH(E271&amp;"|"&amp;F271,SourceTable[Source_Key],0),0))</x:f>
        <x:v>0</x:v>
      </x:c>
      <x:c r="R271" s="2" t="str">
        <x:f>IF(B271="","",IF(F271="","UNUSED",IF(Q271=0,"NOT CHECKED",IF(COUNTIF(SourceTable[Source_Key],E271&amp;"|"&amp;F271)&lt;&gt;1,"SOURCE CONFLICT",IF(NOT(OR(INDEX(SourceTable[Status],MAX(1,Q271))="IMPORTED",INDEX(SourceTable[Status],MAX(1,Q271))="PARTIAL",INDEX(SourceTable[Status],MAX(1,Q271))="SOURCE CONFLICT")),"ACCESS BLOCKED",IF(OR(INDEX(SourceTable[Coverage],Q271)&lt;&gt;"FULL SEASON EXPORT",INDEX(SourceTable[URL],Q271)="",INDEX(SourceTable[SHA256],Q271)=""),"EVIDENCE INCOMPLETE",IF(AND('Input_Meci'!H28="LIVE",INDEX(SourceTable[Retrieved_UTC],Q271)&gt;'Input_Meci'!G28),"POST CUTOFF","CLOSED")))))))</x:f>
      </x:c>
      <x:c r="S271" s="2" t="n">
        <x:f>IF(OR(B271="",F271=""),0,COUNTIFS('Istoric_Nativ'!$B$6:$B$405,E271,'Istoric_Nativ'!$C$6:$C$405,F271,'Istoric_Nativ'!$E$6:$E$405,G271,'Istoric_Nativ'!$D$6:$D$405,"&lt;"&amp;J271,'Istoric_Nativ'!$O$6:$O$405,"INVALID")+COUNTIFS('Istoric_Nativ'!$B$6:$B$405,E271,'Istoric_Nativ'!$C$6:$C$405,F271,'Istoric_Nativ'!$E$6:$E$405,G271,'Istoric_Nativ'!$O$6:$O$405,"INVALID",'Istoric_Nativ'!$D$6:$D$405,"*")+COUNTIFS('Istoric_Nativ'!$B$6:$B$405,E271,'Istoric_Nativ'!$C$6:$C$405,F271,'Istoric_Nativ'!$E$6:$E$405,G271,'Istoric_Nativ'!$D$6:$D$405,"&lt;"&amp;J271,'Istoric_Nativ'!$O$6:$O$405,"SOURCE CONFLICT")+COUNTIFS('Istoric_Nativ'!$B$6:$B$405,E271,'Istoric_Nativ'!$C$6:$C$405,F271,'Istoric_Nativ'!$F$6:$F$405,G271,'Istoric_Nativ'!$D$6:$D$405,"&lt;"&amp;J271,'Istoric_Nativ'!$O$6:$O$405,"INVALID")+COUNTIFS('Istoric_Nativ'!$B$6:$B$405,E271,'Istoric_Nativ'!$C$6:$C$405,F271,'Istoric_Nativ'!$F$6:$F$405,G271,'Istoric_Nativ'!$O$6:$O$405,"INVALID",'Istoric_Nativ'!$D$6:$D$405,"*")+COUNTIFS('Istoric_Nativ'!$B$6:$B$405,E271,'Istoric_Nativ'!$C$6:$C$405,F271,'Istoric_Nativ'!$F$6:$F$405,G271,'Istoric_Nativ'!$D$6:$D$405,"&lt;"&amp;J271,'Istoric_Nativ'!$O$6:$O$405,"SOURCE CONFLICT"))</x:f>
        <x:v>0</x:v>
      </x:c>
      <x:c r="T271" s="2" t="str">
        <x:f>IF(B271="","",IF(R271&lt;&gt;"CLOSED",R271,IF(S271&gt;0,"NATIVE INPUT ISSUE",IF(M271=0,"NO HISTORY",IF(M271&lt;P271,"SMALL SAMPLE","DERIVED")))))</x:f>
      </x:c>
      <x:c r="U271" s="2" t="str">
        <x:f>IF(B271="","","NativeTable; "&amp;E271&amp;"; "&amp;F271&amp;"; "&amp;G271&amp;"; "&amp;H271&amp;"; before "&amp;TEXT(J271,"yyyy-mm-dd")&amp;IF(I271="RECENT","; from "&amp;TEXT(L271,"yyyy-mm-dd"),""))</x:f>
      </x:c>
    </x:row>
    <x:row r="272" ht="21" customHeight="1">
      <x:c r="A272" s="2" t="n">
        <x:v>23</x:v>
      </x:c>
      <x:c r="B272" s="2" t="str">
        <x:f>IF('Input_Meci'!A28="","",'Input_Meci'!A28)</x:f>
      </x:c>
      <x:c r="C272" s="2" t="str">
        <x:v>H</x:v>
      </x:c>
      <x:c r="D272" s="2" t="str">
        <x:v>CURRENT</x:v>
      </x:c>
      <x:c r="E272" s="2" t="str">
        <x:f>IF(B272="","",'Input_Meci'!B28)</x:f>
      </x:c>
      <x:c r="F272" s="2" t="str">
        <x:f>IF(B272="","",IF('Input_Meci'!C28="","",'Input_Meci'!C28))</x:f>
      </x:c>
      <x:c r="G272" s="2" t="str">
        <x:f>IF(B272="","",'Input_Meci'!D28)</x:f>
      </x:c>
      <x:c r="H272" s="2" t="str">
        <x:v>ANY</x:v>
      </x:c>
      <x:c r="I272" s="2" t="str">
        <x:v>RECENT</x:v>
      </x:c>
      <x:c r="J272" s="9" t="n">
        <x:f>IF(AND(B272&lt;&gt;"",ISNUMBER('Input_Meci'!G28)),INT('Input_Meci'!G28),0)</x:f>
        <x:v>0</x:v>
      </x:c>
      <x:c r="K272" s="2" t="n">
        <x:f>IF(OR(B272="",F272=""),0,IF(H272="HOME",COUNTIFS('Istoric_Nativ'!$B$6:$B$405,E272,'Istoric_Nativ'!$C$6:$C$405,F272,'Istoric_Nativ'!$E$6:$E$405,G272,'Istoric_Nativ'!$D$6:$D$405,"&lt;"&amp;J272,'Istoric_Nativ'!$P$6:$P$405,1),IF(H272="AWAY",COUNTIFS('Istoric_Nativ'!$B$6:$B$405,E272,'Istoric_Nativ'!$C$6:$C$405,F272,'Istoric_Nativ'!$F$6:$F$405,G272,'Istoric_Nativ'!$D$6:$D$405,"&lt;"&amp;J272,'Istoric_Nativ'!$P$6:$P$405,1),COUNTIFS('Istoric_Nativ'!$B$6:$B$405,E272,'Istoric_Nativ'!$C$6:$C$405,F272,'Istoric_Nativ'!$E$6:$E$405,G272,'Istoric_Nativ'!$D$6:$D$405,"&lt;"&amp;J272,'Istoric_Nativ'!$P$6:$P$405,1)+COUNTIFS('Istoric_Nativ'!$B$6:$B$405,E272,'Istoric_Nativ'!$C$6:$C$405,F272,'Istoric_Nativ'!$F$6:$F$405,G272,'Istoric_Nativ'!$D$6:$D$405,"&lt;"&amp;J272,'Istoric_Nativ'!$P$6:$P$405,1))))</x:f>
        <x:v>0</x:v>
      </x:c>
      <x:c r="L272" s="17" t="n">
        <x:f>IF(AND(B272&lt;&gt;"",I272="RECENT",K272&gt;0),LARGE(_xlfn._xlws.FILTER('Istoric_Nativ'!$D$6:$D$405,('Istoric_Nativ'!$B$6:$B$405=E272)*('Istoric_Nativ'!$C$6:$C$405=F272)*('Istoric_Nativ'!$P$6:$P$405=1)*('Istoric_Nativ'!$D$6:$D$405&lt;J272)*((('Istoric_Nativ'!$E$6:$E$405=G272)+('Istoric_Nativ'!$F$6:$F$405=G272))&gt;0)),MIN('Config_v6'!$B$54,K272)),0)</x:f>
        <x:v>0</x:v>
      </x:c>
      <x:c r="M272" s="2" t="n">
        <x:f>IF(OR(B272="",F272=""),0,IF(H272="HOME",COUNTIFS('Istoric_Nativ'!$B$6:$B$405,E272,'Istoric_Nativ'!$C$6:$C$405,F272,'Istoric_Nativ'!$E$6:$E$405,G272,'Istoric_Nativ'!$D$6:$D$405,"&lt;"&amp;J272,'Istoric_Nativ'!$P$6:$P$405,1,'Istoric_Nativ'!$D$6:$D$405,"&gt;="&amp;L272),IF(H272="AWAY",COUNTIFS('Istoric_Nativ'!$B$6:$B$405,E272,'Istoric_Nativ'!$C$6:$C$405,F272,'Istoric_Nativ'!$F$6:$F$405,G272,'Istoric_Nativ'!$D$6:$D$405,"&lt;"&amp;J272,'Istoric_Nativ'!$P$6:$P$405,1,'Istoric_Nativ'!$D$6:$D$405,"&gt;="&amp;L272),COUNTIFS('Istoric_Nativ'!$B$6:$B$405,E272,'Istoric_Nativ'!$C$6:$C$405,F272,'Istoric_Nativ'!$E$6:$E$405,G272,'Istoric_Nativ'!$D$6:$D$405,"&lt;"&amp;J272,'Istoric_Nativ'!$P$6:$P$405,1,'Istoric_Nativ'!$D$6:$D$405,"&gt;="&amp;L272)+COUNTIFS('Istoric_Nativ'!$B$6:$B$405,E272,'Istoric_Nativ'!$C$6:$C$405,F272,'Istoric_Nativ'!$F$6:$F$405,G272,'Istoric_Nativ'!$D$6:$D$405,"&lt;"&amp;J272,'Istoric_Nativ'!$P$6:$P$405,1,'Istoric_Nativ'!$D$6:$D$405,"&gt;="&amp;L272))))</x:f>
        <x:v>0</x:v>
      </x:c>
      <x:c r="N272" s="11" t="str">
        <x:f>IF(M272=0,"",IF(H272="HOME",SUMIFS('Istoric_Nativ'!$G$6:$G$405,'Istoric_Nativ'!$B$6:$B$405,E272,'Istoric_Nativ'!$C$6:$C$405,F272,'Istoric_Nativ'!$E$6:$E$405,G272,'Istoric_Nativ'!$D$6:$D$405,"&lt;"&amp;J272,'Istoric_Nativ'!$P$6:$P$405,1,'Istoric_Nativ'!$D$6:$D$405,"&gt;="&amp;L272),IF(H272="AWAY",SUMIFS('Istoric_Nativ'!$H$6:$H$405,'Istoric_Nativ'!$B$6:$B$405,E272,'Istoric_Nativ'!$C$6:$C$405,F272,'Istoric_Nativ'!$F$6:$F$405,G272,'Istoric_Nativ'!$D$6:$D$405,"&lt;"&amp;J272,'Istoric_Nativ'!$P$6:$P$405,1,'Istoric_Nativ'!$D$6:$D$405,"&gt;="&amp;L272),SUMIFS('Istoric_Nativ'!$G$6:$G$405,'Istoric_Nativ'!$B$6:$B$405,E272,'Istoric_Nativ'!$C$6:$C$405,F272,'Istoric_Nativ'!$E$6:$E$405,G272,'Istoric_Nativ'!$D$6:$D$405,"&lt;"&amp;J272,'Istoric_Nativ'!$P$6:$P$405,1,'Istoric_Nativ'!$D$6:$D$405,"&gt;="&amp;L272)+SUMIFS('Istoric_Nativ'!$H$6:$H$405,'Istoric_Nativ'!$B$6:$B$405,E272,'Istoric_Nativ'!$C$6:$C$405,F272,'Istoric_Nativ'!$F$6:$F$405,G272,'Istoric_Nativ'!$D$6:$D$405,"&lt;"&amp;J272,'Istoric_Nativ'!$P$6:$P$405,1,'Istoric_Nativ'!$D$6:$D$405,"&gt;="&amp;L272)))/M272)</x:f>
      </x:c>
      <x:c r="O272" s="11" t="str">
        <x:f>IF(M272=0,"",IF(H272="HOME",SUMIFS('Istoric_Nativ'!$H$6:$H$405,'Istoric_Nativ'!$B$6:$B$405,E272,'Istoric_Nativ'!$C$6:$C$405,F272,'Istoric_Nativ'!$E$6:$E$405,G272,'Istoric_Nativ'!$D$6:$D$405,"&lt;"&amp;J272,'Istoric_Nativ'!$P$6:$P$405,1,'Istoric_Nativ'!$D$6:$D$405,"&gt;="&amp;L272),IF(H272="AWAY",SUMIFS('Istoric_Nativ'!$G$6:$G$405,'Istoric_Nativ'!$B$6:$B$405,E272,'Istoric_Nativ'!$C$6:$C$405,F272,'Istoric_Nativ'!$F$6:$F$405,G272,'Istoric_Nativ'!$D$6:$D$405,"&lt;"&amp;J272,'Istoric_Nativ'!$P$6:$P$405,1,'Istoric_Nativ'!$D$6:$D$405,"&gt;="&amp;L272),SUMIFS('Istoric_Nativ'!$H$6:$H$405,'Istoric_Nativ'!$B$6:$B$405,E272,'Istoric_Nativ'!$C$6:$C$405,F272,'Istoric_Nativ'!$E$6:$E$405,G272,'Istoric_Nativ'!$D$6:$D$405,"&lt;"&amp;J272,'Istoric_Nativ'!$P$6:$P$405,1,'Istoric_Nativ'!$D$6:$D$405,"&gt;="&amp;L272)+SUMIFS('Istoric_Nativ'!$G$6:$G$405,'Istoric_Nativ'!$B$6:$B$405,E272,'Istoric_Nativ'!$C$6:$C$405,F272,'Istoric_Nativ'!$F$6:$F$405,G272,'Istoric_Nativ'!$D$6:$D$405,"&lt;"&amp;J272,'Istoric_Nativ'!$P$6:$P$405,1,'Istoric_Nativ'!$D$6:$D$405,"&gt;="&amp;L272)))/M272)</x:f>
      </x:c>
      <x:c r="P272" s="2" t="n">
        <x:f>'Config_v6'!$B$9</x:f>
        <x:v>3</x:v>
      </x:c>
      <x:c r="Q272" s="2" t="n">
        <x:f>IF(OR(B272="",F272=""),0,IFERROR(MATCH(E272&amp;"|"&amp;F272,SourceTable[Source_Key],0),0))</x:f>
        <x:v>0</x:v>
      </x:c>
      <x:c r="R272" s="2" t="str">
        <x:f>IF(B272="","",IF(F272="","UNUSED",IF(Q272=0,"NOT CHECKED",IF(COUNTIF(SourceTable[Source_Key],E272&amp;"|"&amp;F272)&lt;&gt;1,"SOURCE CONFLICT",IF(NOT(OR(INDEX(SourceTable[Status],MAX(1,Q272))="IMPORTED",INDEX(SourceTable[Status],MAX(1,Q272))="PARTIAL",INDEX(SourceTable[Status],MAX(1,Q272))="SOURCE CONFLICT")),"ACCESS BLOCKED",IF(OR(INDEX(SourceTable[Coverage],Q272)&lt;&gt;"FULL SEASON EXPORT",INDEX(SourceTable[URL],Q272)="",INDEX(SourceTable[SHA256],Q272)=""),"EVIDENCE INCOMPLETE",IF(AND('Input_Meci'!H28="LIVE",INDEX(SourceTable[Retrieved_UTC],Q272)&gt;'Input_Meci'!G28),"POST CUTOFF","CLOSED")))))))</x:f>
      </x:c>
      <x:c r="S272" s="2" t="n">
        <x:f>IF(OR(B272="",F272=""),0,COUNTIFS('Istoric_Nativ'!$B$6:$B$405,E272,'Istoric_Nativ'!$C$6:$C$405,F272,'Istoric_Nativ'!$E$6:$E$405,G272,'Istoric_Nativ'!$D$6:$D$405,"&lt;"&amp;J272,'Istoric_Nativ'!$O$6:$O$405,"INVALID")+COUNTIFS('Istoric_Nativ'!$B$6:$B$405,E272,'Istoric_Nativ'!$C$6:$C$405,F272,'Istoric_Nativ'!$E$6:$E$405,G272,'Istoric_Nativ'!$O$6:$O$405,"INVALID",'Istoric_Nativ'!$D$6:$D$405,"*")+COUNTIFS('Istoric_Nativ'!$B$6:$B$405,E272,'Istoric_Nativ'!$C$6:$C$405,F272,'Istoric_Nativ'!$E$6:$E$405,G272,'Istoric_Nativ'!$D$6:$D$405,"&lt;"&amp;J272,'Istoric_Nativ'!$O$6:$O$405,"SOURCE CONFLICT")+COUNTIFS('Istoric_Nativ'!$B$6:$B$405,E272,'Istoric_Nativ'!$C$6:$C$405,F272,'Istoric_Nativ'!$F$6:$F$405,G272,'Istoric_Nativ'!$D$6:$D$405,"&lt;"&amp;J272,'Istoric_Nativ'!$O$6:$O$405,"INVALID")+COUNTIFS('Istoric_Nativ'!$B$6:$B$405,E272,'Istoric_Nativ'!$C$6:$C$405,F272,'Istoric_Nativ'!$F$6:$F$405,G272,'Istoric_Nativ'!$O$6:$O$405,"INVALID",'Istoric_Nativ'!$D$6:$D$405,"*")+COUNTIFS('Istoric_Nativ'!$B$6:$B$405,E272,'Istoric_Nativ'!$C$6:$C$405,F272,'Istoric_Nativ'!$F$6:$F$405,G272,'Istoric_Nativ'!$D$6:$D$405,"&lt;"&amp;J272,'Istoric_Nativ'!$O$6:$O$405,"SOURCE CONFLICT"))</x:f>
        <x:v>0</x:v>
      </x:c>
      <x:c r="T272" s="2" t="str">
        <x:f>IF(B272="","",IF(R272&lt;&gt;"CLOSED",R272,IF(S272&gt;0,"NATIVE INPUT ISSUE",IF(M272=0,"NO HISTORY",IF(M272&lt;P272,"SMALL SAMPLE","DERIVED")))))</x:f>
      </x:c>
      <x:c r="U272" s="2" t="str">
        <x:f>IF(B272="","","NativeTable; "&amp;E272&amp;"; "&amp;F272&amp;"; "&amp;G272&amp;"; "&amp;H272&amp;"; before "&amp;TEXT(J272,"yyyy-mm-dd")&amp;IF(I272="RECENT","; from "&amp;TEXT(L272,"yyyy-mm-dd"),""))</x:f>
      </x:c>
    </x:row>
    <x:row r="273" ht="21" customHeight="1">
      <x:c r="A273" s="2" t="n">
        <x:v>23</x:v>
      </x:c>
      <x:c r="B273" s="2" t="str">
        <x:f>IF('Input_Meci'!A28="","",'Input_Meci'!A28)</x:f>
      </x:c>
      <x:c r="C273" s="2" t="str">
        <x:v>A</x:v>
      </x:c>
      <x:c r="D273" s="2" t="str">
        <x:v>CURRENT</x:v>
      </x:c>
      <x:c r="E273" s="2" t="str">
        <x:f>IF(B273="","",'Input_Meci'!B28)</x:f>
      </x:c>
      <x:c r="F273" s="2" t="str">
        <x:f>IF(B273="","",IF('Input_Meci'!C28="","",'Input_Meci'!C28))</x:f>
      </x:c>
      <x:c r="G273" s="2" t="str">
        <x:f>IF(B273="","",'Input_Meci'!E28)</x:f>
      </x:c>
      <x:c r="H273" s="2" t="str">
        <x:v>ANY</x:v>
      </x:c>
      <x:c r="I273" s="2" t="str">
        <x:v>SEASON</x:v>
      </x:c>
      <x:c r="J273" s="9" t="n">
        <x:f>IF(AND(B273&lt;&gt;"",ISNUMBER('Input_Meci'!G28)),INT('Input_Meci'!G28),0)</x:f>
        <x:v>0</x:v>
      </x:c>
      <x:c r="K273" s="2" t="n">
        <x:f>IF(OR(B273="",F273=""),0,IF(H273="HOME",COUNTIFS('Istoric_Nativ'!$B$6:$B$405,E273,'Istoric_Nativ'!$C$6:$C$405,F273,'Istoric_Nativ'!$E$6:$E$405,G273,'Istoric_Nativ'!$D$6:$D$405,"&lt;"&amp;J273,'Istoric_Nativ'!$P$6:$P$405,1),IF(H273="AWAY",COUNTIFS('Istoric_Nativ'!$B$6:$B$405,E273,'Istoric_Nativ'!$C$6:$C$405,F273,'Istoric_Nativ'!$F$6:$F$405,G273,'Istoric_Nativ'!$D$6:$D$405,"&lt;"&amp;J273,'Istoric_Nativ'!$P$6:$P$405,1),COUNTIFS('Istoric_Nativ'!$B$6:$B$405,E273,'Istoric_Nativ'!$C$6:$C$405,F273,'Istoric_Nativ'!$E$6:$E$405,G273,'Istoric_Nativ'!$D$6:$D$405,"&lt;"&amp;J273,'Istoric_Nativ'!$P$6:$P$405,1)+COUNTIFS('Istoric_Nativ'!$B$6:$B$405,E273,'Istoric_Nativ'!$C$6:$C$405,F273,'Istoric_Nativ'!$F$6:$F$405,G273,'Istoric_Nativ'!$D$6:$D$405,"&lt;"&amp;J273,'Istoric_Nativ'!$P$6:$P$405,1))))</x:f>
        <x:v>0</x:v>
      </x:c>
      <x:c r="L273" s="17" t="n">
        <x:f>IF(AND(B273&lt;&gt;"",I273="RECENT",K273&gt;0),LARGE(_xlfn._xlws.FILTER('Istoric_Nativ'!$D$6:$D$405,('Istoric_Nativ'!$B$6:$B$405=E273)*('Istoric_Nativ'!$C$6:$C$405=F273)*('Istoric_Nativ'!$P$6:$P$405=1)*('Istoric_Nativ'!$D$6:$D$405&lt;J273)*((('Istoric_Nativ'!$E$6:$E$405=G273)+('Istoric_Nativ'!$F$6:$F$405=G273))&gt;0)),MIN('Config_v6'!$B$54,K273)),0)</x:f>
        <x:v>0</x:v>
      </x:c>
      <x:c r="M273" s="2" t="n">
        <x:f>IF(OR(B273="",F273=""),0,IF(H273="HOME",COUNTIFS('Istoric_Nativ'!$B$6:$B$405,E273,'Istoric_Nativ'!$C$6:$C$405,F273,'Istoric_Nativ'!$E$6:$E$405,G273,'Istoric_Nativ'!$D$6:$D$405,"&lt;"&amp;J273,'Istoric_Nativ'!$P$6:$P$405,1,'Istoric_Nativ'!$D$6:$D$405,"&gt;="&amp;L273),IF(H273="AWAY",COUNTIFS('Istoric_Nativ'!$B$6:$B$405,E273,'Istoric_Nativ'!$C$6:$C$405,F273,'Istoric_Nativ'!$F$6:$F$405,G273,'Istoric_Nativ'!$D$6:$D$405,"&lt;"&amp;J273,'Istoric_Nativ'!$P$6:$P$405,1,'Istoric_Nativ'!$D$6:$D$405,"&gt;="&amp;L273),COUNTIFS('Istoric_Nativ'!$B$6:$B$405,E273,'Istoric_Nativ'!$C$6:$C$405,F273,'Istoric_Nativ'!$E$6:$E$405,G273,'Istoric_Nativ'!$D$6:$D$405,"&lt;"&amp;J273,'Istoric_Nativ'!$P$6:$P$405,1,'Istoric_Nativ'!$D$6:$D$405,"&gt;="&amp;L273)+COUNTIFS('Istoric_Nativ'!$B$6:$B$405,E273,'Istoric_Nativ'!$C$6:$C$405,F273,'Istoric_Nativ'!$F$6:$F$405,G273,'Istoric_Nativ'!$D$6:$D$405,"&lt;"&amp;J273,'Istoric_Nativ'!$P$6:$P$405,1,'Istoric_Nativ'!$D$6:$D$405,"&gt;="&amp;L273))))</x:f>
        <x:v>0</x:v>
      </x:c>
      <x:c r="N273" s="11" t="str">
        <x:f>IF(M273=0,"",IF(H273="HOME",SUMIFS('Istoric_Nativ'!$G$6:$G$405,'Istoric_Nativ'!$B$6:$B$405,E273,'Istoric_Nativ'!$C$6:$C$405,F273,'Istoric_Nativ'!$E$6:$E$405,G273,'Istoric_Nativ'!$D$6:$D$405,"&lt;"&amp;J273,'Istoric_Nativ'!$P$6:$P$405,1,'Istoric_Nativ'!$D$6:$D$405,"&gt;="&amp;L273),IF(H273="AWAY",SUMIFS('Istoric_Nativ'!$H$6:$H$405,'Istoric_Nativ'!$B$6:$B$405,E273,'Istoric_Nativ'!$C$6:$C$405,F273,'Istoric_Nativ'!$F$6:$F$405,G273,'Istoric_Nativ'!$D$6:$D$405,"&lt;"&amp;J273,'Istoric_Nativ'!$P$6:$P$405,1,'Istoric_Nativ'!$D$6:$D$405,"&gt;="&amp;L273),SUMIFS('Istoric_Nativ'!$G$6:$G$405,'Istoric_Nativ'!$B$6:$B$405,E273,'Istoric_Nativ'!$C$6:$C$405,F273,'Istoric_Nativ'!$E$6:$E$405,G273,'Istoric_Nativ'!$D$6:$D$405,"&lt;"&amp;J273,'Istoric_Nativ'!$P$6:$P$405,1,'Istoric_Nativ'!$D$6:$D$405,"&gt;="&amp;L273)+SUMIFS('Istoric_Nativ'!$H$6:$H$405,'Istoric_Nativ'!$B$6:$B$405,E273,'Istoric_Nativ'!$C$6:$C$405,F273,'Istoric_Nativ'!$F$6:$F$405,G273,'Istoric_Nativ'!$D$6:$D$405,"&lt;"&amp;J273,'Istoric_Nativ'!$P$6:$P$405,1,'Istoric_Nativ'!$D$6:$D$405,"&gt;="&amp;L273)))/M273)</x:f>
      </x:c>
      <x:c r="O273" s="11" t="str">
        <x:f>IF(M273=0,"",IF(H273="HOME",SUMIFS('Istoric_Nativ'!$H$6:$H$405,'Istoric_Nativ'!$B$6:$B$405,E273,'Istoric_Nativ'!$C$6:$C$405,F273,'Istoric_Nativ'!$E$6:$E$405,G273,'Istoric_Nativ'!$D$6:$D$405,"&lt;"&amp;J273,'Istoric_Nativ'!$P$6:$P$405,1,'Istoric_Nativ'!$D$6:$D$405,"&gt;="&amp;L273),IF(H273="AWAY",SUMIFS('Istoric_Nativ'!$G$6:$G$405,'Istoric_Nativ'!$B$6:$B$405,E273,'Istoric_Nativ'!$C$6:$C$405,F273,'Istoric_Nativ'!$F$6:$F$405,G273,'Istoric_Nativ'!$D$6:$D$405,"&lt;"&amp;J273,'Istoric_Nativ'!$P$6:$P$405,1,'Istoric_Nativ'!$D$6:$D$405,"&gt;="&amp;L273),SUMIFS('Istoric_Nativ'!$H$6:$H$405,'Istoric_Nativ'!$B$6:$B$405,E273,'Istoric_Nativ'!$C$6:$C$405,F273,'Istoric_Nativ'!$E$6:$E$405,G273,'Istoric_Nativ'!$D$6:$D$405,"&lt;"&amp;J273,'Istoric_Nativ'!$P$6:$P$405,1,'Istoric_Nativ'!$D$6:$D$405,"&gt;="&amp;L273)+SUMIFS('Istoric_Nativ'!$G$6:$G$405,'Istoric_Nativ'!$B$6:$B$405,E273,'Istoric_Nativ'!$C$6:$C$405,F273,'Istoric_Nativ'!$F$6:$F$405,G273,'Istoric_Nativ'!$D$6:$D$405,"&lt;"&amp;J273,'Istoric_Nativ'!$P$6:$P$405,1,'Istoric_Nativ'!$D$6:$D$405,"&gt;="&amp;L273)))/M273)</x:f>
      </x:c>
      <x:c r="P273" s="2" t="n">
        <x:f>'Config_v6'!$B$7</x:f>
        <x:v>10</x:v>
      </x:c>
      <x:c r="Q273" s="2" t="n">
        <x:f>IF(OR(B273="",F273=""),0,IFERROR(MATCH(E273&amp;"|"&amp;F273,SourceTable[Source_Key],0),0))</x:f>
        <x:v>0</x:v>
      </x:c>
      <x:c r="R273" s="2" t="str">
        <x:f>IF(B273="","",IF(F273="","UNUSED",IF(Q273=0,"NOT CHECKED",IF(COUNTIF(SourceTable[Source_Key],E273&amp;"|"&amp;F273)&lt;&gt;1,"SOURCE CONFLICT",IF(NOT(OR(INDEX(SourceTable[Status],MAX(1,Q273))="IMPORTED",INDEX(SourceTable[Status],MAX(1,Q273))="PARTIAL",INDEX(SourceTable[Status],MAX(1,Q273))="SOURCE CONFLICT")),"ACCESS BLOCKED",IF(OR(INDEX(SourceTable[Coverage],Q273)&lt;&gt;"FULL SEASON EXPORT",INDEX(SourceTable[URL],Q273)="",INDEX(SourceTable[SHA256],Q273)=""),"EVIDENCE INCOMPLETE",IF(AND('Input_Meci'!H28="LIVE",INDEX(SourceTable[Retrieved_UTC],Q273)&gt;'Input_Meci'!G28),"POST CUTOFF","CLOSED")))))))</x:f>
      </x:c>
      <x:c r="S273" s="2" t="n">
        <x:f>IF(OR(B273="",F273=""),0,COUNTIFS('Istoric_Nativ'!$B$6:$B$405,E273,'Istoric_Nativ'!$C$6:$C$405,F273,'Istoric_Nativ'!$E$6:$E$405,G273,'Istoric_Nativ'!$D$6:$D$405,"&lt;"&amp;J273,'Istoric_Nativ'!$O$6:$O$405,"INVALID")+COUNTIFS('Istoric_Nativ'!$B$6:$B$405,E273,'Istoric_Nativ'!$C$6:$C$405,F273,'Istoric_Nativ'!$E$6:$E$405,G273,'Istoric_Nativ'!$O$6:$O$405,"INVALID",'Istoric_Nativ'!$D$6:$D$405,"*")+COUNTIFS('Istoric_Nativ'!$B$6:$B$405,E273,'Istoric_Nativ'!$C$6:$C$405,F273,'Istoric_Nativ'!$E$6:$E$405,G273,'Istoric_Nativ'!$D$6:$D$405,"&lt;"&amp;J273,'Istoric_Nativ'!$O$6:$O$405,"SOURCE CONFLICT")+COUNTIFS('Istoric_Nativ'!$B$6:$B$405,E273,'Istoric_Nativ'!$C$6:$C$405,F273,'Istoric_Nativ'!$F$6:$F$405,G273,'Istoric_Nativ'!$D$6:$D$405,"&lt;"&amp;J273,'Istoric_Nativ'!$O$6:$O$405,"INVALID")+COUNTIFS('Istoric_Nativ'!$B$6:$B$405,E273,'Istoric_Nativ'!$C$6:$C$405,F273,'Istoric_Nativ'!$F$6:$F$405,G273,'Istoric_Nativ'!$O$6:$O$405,"INVALID",'Istoric_Nativ'!$D$6:$D$405,"*")+COUNTIFS('Istoric_Nativ'!$B$6:$B$405,E273,'Istoric_Nativ'!$C$6:$C$405,F273,'Istoric_Nativ'!$F$6:$F$405,G273,'Istoric_Nativ'!$D$6:$D$405,"&lt;"&amp;J273,'Istoric_Nativ'!$O$6:$O$405,"SOURCE CONFLICT"))</x:f>
        <x:v>0</x:v>
      </x:c>
      <x:c r="T273" s="2" t="str">
        <x:f>IF(B273="","",IF(R273&lt;&gt;"CLOSED",R273,IF(S273&gt;0,"NATIVE INPUT ISSUE",IF(M273=0,"NO HISTORY",IF(M273&lt;P273,"SMALL SAMPLE","DERIVED")))))</x:f>
      </x:c>
      <x:c r="U273" s="2" t="str">
        <x:f>IF(B273="","","NativeTable; "&amp;E273&amp;"; "&amp;F273&amp;"; "&amp;G273&amp;"; "&amp;H273&amp;"; before "&amp;TEXT(J273,"yyyy-mm-dd")&amp;IF(I273="RECENT","; from "&amp;TEXT(L273,"yyyy-mm-dd"),""))</x:f>
      </x:c>
    </x:row>
    <x:row r="274" ht="21" customHeight="1">
      <x:c r="A274" s="2" t="n">
        <x:v>23</x:v>
      </x:c>
      <x:c r="B274" s="2" t="str">
        <x:f>IF('Input_Meci'!A28="","",'Input_Meci'!A28)</x:f>
      </x:c>
      <x:c r="C274" s="2" t="str">
        <x:v>A</x:v>
      </x:c>
      <x:c r="D274" s="2" t="str">
        <x:v>CURRENT</x:v>
      </x:c>
      <x:c r="E274" s="2" t="str">
        <x:f>IF(B274="","",'Input_Meci'!B28)</x:f>
      </x:c>
      <x:c r="F274" s="2" t="str">
        <x:f>IF(B274="","",IF('Input_Meci'!C28="","",'Input_Meci'!C28))</x:f>
      </x:c>
      <x:c r="G274" s="2" t="str">
        <x:f>IF(B274="","",'Input_Meci'!E28)</x:f>
      </x:c>
      <x:c r="H274" s="2" t="str">
        <x:v>AWAY</x:v>
      </x:c>
      <x:c r="I274" s="2" t="str">
        <x:v>HA</x:v>
      </x:c>
      <x:c r="J274" s="9" t="n">
        <x:f>IF(AND(B274&lt;&gt;"",ISNUMBER('Input_Meci'!G28)),INT('Input_Meci'!G28),0)</x:f>
        <x:v>0</x:v>
      </x:c>
      <x:c r="K274" s="2" t="n">
        <x:f>IF(OR(B274="",F274=""),0,IF(H274="HOME",COUNTIFS('Istoric_Nativ'!$B$6:$B$405,E274,'Istoric_Nativ'!$C$6:$C$405,F274,'Istoric_Nativ'!$E$6:$E$405,G274,'Istoric_Nativ'!$D$6:$D$405,"&lt;"&amp;J274,'Istoric_Nativ'!$P$6:$P$405,1),IF(H274="AWAY",COUNTIFS('Istoric_Nativ'!$B$6:$B$405,E274,'Istoric_Nativ'!$C$6:$C$405,F274,'Istoric_Nativ'!$F$6:$F$405,G274,'Istoric_Nativ'!$D$6:$D$405,"&lt;"&amp;J274,'Istoric_Nativ'!$P$6:$P$405,1),COUNTIFS('Istoric_Nativ'!$B$6:$B$405,E274,'Istoric_Nativ'!$C$6:$C$405,F274,'Istoric_Nativ'!$E$6:$E$405,G274,'Istoric_Nativ'!$D$6:$D$405,"&lt;"&amp;J274,'Istoric_Nativ'!$P$6:$P$405,1)+COUNTIFS('Istoric_Nativ'!$B$6:$B$405,E274,'Istoric_Nativ'!$C$6:$C$405,F274,'Istoric_Nativ'!$F$6:$F$405,G274,'Istoric_Nativ'!$D$6:$D$405,"&lt;"&amp;J274,'Istoric_Nativ'!$P$6:$P$405,1))))</x:f>
        <x:v>0</x:v>
      </x:c>
      <x:c r="L274" s="17" t="n">
        <x:f>IF(AND(B274&lt;&gt;"",I274="RECENT",K274&gt;0),LARGE(_xlfn._xlws.FILTER('Istoric_Nativ'!$D$6:$D$405,('Istoric_Nativ'!$B$6:$B$405=E274)*('Istoric_Nativ'!$C$6:$C$405=F274)*('Istoric_Nativ'!$P$6:$P$405=1)*('Istoric_Nativ'!$D$6:$D$405&lt;J274)*((('Istoric_Nativ'!$E$6:$E$405=G274)+('Istoric_Nativ'!$F$6:$F$405=G274))&gt;0)),MIN('Config_v6'!$B$54,K274)),0)</x:f>
        <x:v>0</x:v>
      </x:c>
      <x:c r="M274" s="2" t="n">
        <x:f>IF(OR(B274="",F274=""),0,IF(H274="HOME",COUNTIFS('Istoric_Nativ'!$B$6:$B$405,E274,'Istoric_Nativ'!$C$6:$C$405,F274,'Istoric_Nativ'!$E$6:$E$405,G274,'Istoric_Nativ'!$D$6:$D$405,"&lt;"&amp;J274,'Istoric_Nativ'!$P$6:$P$405,1,'Istoric_Nativ'!$D$6:$D$405,"&gt;="&amp;L274),IF(H274="AWAY",COUNTIFS('Istoric_Nativ'!$B$6:$B$405,E274,'Istoric_Nativ'!$C$6:$C$405,F274,'Istoric_Nativ'!$F$6:$F$405,G274,'Istoric_Nativ'!$D$6:$D$405,"&lt;"&amp;J274,'Istoric_Nativ'!$P$6:$P$405,1,'Istoric_Nativ'!$D$6:$D$405,"&gt;="&amp;L274),COUNTIFS('Istoric_Nativ'!$B$6:$B$405,E274,'Istoric_Nativ'!$C$6:$C$405,F274,'Istoric_Nativ'!$E$6:$E$405,G274,'Istoric_Nativ'!$D$6:$D$405,"&lt;"&amp;J274,'Istoric_Nativ'!$P$6:$P$405,1,'Istoric_Nativ'!$D$6:$D$405,"&gt;="&amp;L274)+COUNTIFS('Istoric_Nativ'!$B$6:$B$405,E274,'Istoric_Nativ'!$C$6:$C$405,F274,'Istoric_Nativ'!$F$6:$F$405,G274,'Istoric_Nativ'!$D$6:$D$405,"&lt;"&amp;J274,'Istoric_Nativ'!$P$6:$P$405,1,'Istoric_Nativ'!$D$6:$D$405,"&gt;="&amp;L274))))</x:f>
        <x:v>0</x:v>
      </x:c>
      <x:c r="N274" s="11" t="str">
        <x:f>IF(M274=0,"",IF(H274="HOME",SUMIFS('Istoric_Nativ'!$G$6:$G$405,'Istoric_Nativ'!$B$6:$B$405,E274,'Istoric_Nativ'!$C$6:$C$405,F274,'Istoric_Nativ'!$E$6:$E$405,G274,'Istoric_Nativ'!$D$6:$D$405,"&lt;"&amp;J274,'Istoric_Nativ'!$P$6:$P$405,1,'Istoric_Nativ'!$D$6:$D$405,"&gt;="&amp;L274),IF(H274="AWAY",SUMIFS('Istoric_Nativ'!$H$6:$H$405,'Istoric_Nativ'!$B$6:$B$405,E274,'Istoric_Nativ'!$C$6:$C$405,F274,'Istoric_Nativ'!$F$6:$F$405,G274,'Istoric_Nativ'!$D$6:$D$405,"&lt;"&amp;J274,'Istoric_Nativ'!$P$6:$P$405,1,'Istoric_Nativ'!$D$6:$D$405,"&gt;="&amp;L274),SUMIFS('Istoric_Nativ'!$G$6:$G$405,'Istoric_Nativ'!$B$6:$B$405,E274,'Istoric_Nativ'!$C$6:$C$405,F274,'Istoric_Nativ'!$E$6:$E$405,G274,'Istoric_Nativ'!$D$6:$D$405,"&lt;"&amp;J274,'Istoric_Nativ'!$P$6:$P$405,1,'Istoric_Nativ'!$D$6:$D$405,"&gt;="&amp;L274)+SUMIFS('Istoric_Nativ'!$H$6:$H$405,'Istoric_Nativ'!$B$6:$B$405,E274,'Istoric_Nativ'!$C$6:$C$405,F274,'Istoric_Nativ'!$F$6:$F$405,G274,'Istoric_Nativ'!$D$6:$D$405,"&lt;"&amp;J274,'Istoric_Nativ'!$P$6:$P$405,1,'Istoric_Nativ'!$D$6:$D$405,"&gt;="&amp;L274)))/M274)</x:f>
      </x:c>
      <x:c r="O274" s="11" t="str">
        <x:f>IF(M274=0,"",IF(H274="HOME",SUMIFS('Istoric_Nativ'!$H$6:$H$405,'Istoric_Nativ'!$B$6:$B$405,E274,'Istoric_Nativ'!$C$6:$C$405,F274,'Istoric_Nativ'!$E$6:$E$405,G274,'Istoric_Nativ'!$D$6:$D$405,"&lt;"&amp;J274,'Istoric_Nativ'!$P$6:$P$405,1,'Istoric_Nativ'!$D$6:$D$405,"&gt;="&amp;L274),IF(H274="AWAY",SUMIFS('Istoric_Nativ'!$G$6:$G$405,'Istoric_Nativ'!$B$6:$B$405,E274,'Istoric_Nativ'!$C$6:$C$405,F274,'Istoric_Nativ'!$F$6:$F$405,G274,'Istoric_Nativ'!$D$6:$D$405,"&lt;"&amp;J274,'Istoric_Nativ'!$P$6:$P$405,1,'Istoric_Nativ'!$D$6:$D$405,"&gt;="&amp;L274),SUMIFS('Istoric_Nativ'!$H$6:$H$405,'Istoric_Nativ'!$B$6:$B$405,E274,'Istoric_Nativ'!$C$6:$C$405,F274,'Istoric_Nativ'!$E$6:$E$405,G274,'Istoric_Nativ'!$D$6:$D$405,"&lt;"&amp;J274,'Istoric_Nativ'!$P$6:$P$405,1,'Istoric_Nativ'!$D$6:$D$405,"&gt;="&amp;L274)+SUMIFS('Istoric_Nativ'!$G$6:$G$405,'Istoric_Nativ'!$B$6:$B$405,E274,'Istoric_Nativ'!$C$6:$C$405,F274,'Istoric_Nativ'!$F$6:$F$405,G274,'Istoric_Nativ'!$D$6:$D$405,"&lt;"&amp;J274,'Istoric_Nativ'!$P$6:$P$405,1,'Istoric_Nativ'!$D$6:$D$405,"&gt;="&amp;L274)))/M274)</x:f>
      </x:c>
      <x:c r="P274" s="2" t="n">
        <x:f>'Config_v6'!$B$8</x:f>
        <x:v>5</x:v>
      </x:c>
      <x:c r="Q274" s="2" t="n">
        <x:f>IF(OR(B274="",F274=""),0,IFERROR(MATCH(E274&amp;"|"&amp;F274,SourceTable[Source_Key],0),0))</x:f>
        <x:v>0</x:v>
      </x:c>
      <x:c r="R274" s="2" t="str">
        <x:f>IF(B274="","",IF(F274="","UNUSED",IF(Q274=0,"NOT CHECKED",IF(COUNTIF(SourceTable[Source_Key],E274&amp;"|"&amp;F274)&lt;&gt;1,"SOURCE CONFLICT",IF(NOT(OR(INDEX(SourceTable[Status],MAX(1,Q274))="IMPORTED",INDEX(SourceTable[Status],MAX(1,Q274))="PARTIAL",INDEX(SourceTable[Status],MAX(1,Q274))="SOURCE CONFLICT")),"ACCESS BLOCKED",IF(OR(INDEX(SourceTable[Coverage],Q274)&lt;&gt;"FULL SEASON EXPORT",INDEX(SourceTable[URL],Q274)="",INDEX(SourceTable[SHA256],Q274)=""),"EVIDENCE INCOMPLETE",IF(AND('Input_Meci'!H28="LIVE",INDEX(SourceTable[Retrieved_UTC],Q274)&gt;'Input_Meci'!G28),"POST CUTOFF","CLOSED")))))))</x:f>
      </x:c>
      <x:c r="S274" s="2" t="n">
        <x:f>IF(OR(B274="",F274=""),0,COUNTIFS('Istoric_Nativ'!$B$6:$B$405,E274,'Istoric_Nativ'!$C$6:$C$405,F274,'Istoric_Nativ'!$E$6:$E$405,G274,'Istoric_Nativ'!$D$6:$D$405,"&lt;"&amp;J274,'Istoric_Nativ'!$O$6:$O$405,"INVALID")+COUNTIFS('Istoric_Nativ'!$B$6:$B$405,E274,'Istoric_Nativ'!$C$6:$C$405,F274,'Istoric_Nativ'!$E$6:$E$405,G274,'Istoric_Nativ'!$O$6:$O$405,"INVALID",'Istoric_Nativ'!$D$6:$D$405,"*")+COUNTIFS('Istoric_Nativ'!$B$6:$B$405,E274,'Istoric_Nativ'!$C$6:$C$405,F274,'Istoric_Nativ'!$E$6:$E$405,G274,'Istoric_Nativ'!$D$6:$D$405,"&lt;"&amp;J274,'Istoric_Nativ'!$O$6:$O$405,"SOURCE CONFLICT")+COUNTIFS('Istoric_Nativ'!$B$6:$B$405,E274,'Istoric_Nativ'!$C$6:$C$405,F274,'Istoric_Nativ'!$F$6:$F$405,G274,'Istoric_Nativ'!$D$6:$D$405,"&lt;"&amp;J274,'Istoric_Nativ'!$O$6:$O$405,"INVALID")+COUNTIFS('Istoric_Nativ'!$B$6:$B$405,E274,'Istoric_Nativ'!$C$6:$C$405,F274,'Istoric_Nativ'!$F$6:$F$405,G274,'Istoric_Nativ'!$O$6:$O$405,"INVALID",'Istoric_Nativ'!$D$6:$D$405,"*")+COUNTIFS('Istoric_Nativ'!$B$6:$B$405,E274,'Istoric_Nativ'!$C$6:$C$405,F274,'Istoric_Nativ'!$F$6:$F$405,G274,'Istoric_Nativ'!$D$6:$D$405,"&lt;"&amp;J274,'Istoric_Nativ'!$O$6:$O$405,"SOURCE CONFLICT"))</x:f>
        <x:v>0</x:v>
      </x:c>
      <x:c r="T274" s="2" t="str">
        <x:f>IF(B274="","",IF(R274&lt;&gt;"CLOSED",R274,IF(S274&gt;0,"NATIVE INPUT ISSUE",IF(M274=0,"NO HISTORY",IF(M274&lt;P274,"SMALL SAMPLE","DERIVED")))))</x:f>
      </x:c>
      <x:c r="U274" s="2" t="str">
        <x:f>IF(B274="","","NativeTable; "&amp;E274&amp;"; "&amp;F274&amp;"; "&amp;G274&amp;"; "&amp;H274&amp;"; before "&amp;TEXT(J274,"yyyy-mm-dd")&amp;IF(I274="RECENT","; from "&amp;TEXT(L274,"yyyy-mm-dd"),""))</x:f>
      </x:c>
    </x:row>
    <x:row r="275" ht="21" customHeight="1">
      <x:c r="A275" s="2" t="n">
        <x:v>23</x:v>
      </x:c>
      <x:c r="B275" s="2" t="str">
        <x:f>IF('Input_Meci'!A28="","",'Input_Meci'!A28)</x:f>
      </x:c>
      <x:c r="C275" s="2" t="str">
        <x:v>A</x:v>
      </x:c>
      <x:c r="D275" s="2" t="str">
        <x:v>CURRENT</x:v>
      </x:c>
      <x:c r="E275" s="2" t="str">
        <x:f>IF(B275="","",'Input_Meci'!B28)</x:f>
      </x:c>
      <x:c r="F275" s="2" t="str">
        <x:f>IF(B275="","",IF('Input_Meci'!C28="","",'Input_Meci'!C28))</x:f>
      </x:c>
      <x:c r="G275" s="2" t="str">
        <x:f>IF(B275="","",'Input_Meci'!E28)</x:f>
      </x:c>
      <x:c r="H275" s="2" t="str">
        <x:v>ANY</x:v>
      </x:c>
      <x:c r="I275" s="2" t="str">
        <x:v>RECENT</x:v>
      </x:c>
      <x:c r="J275" s="9" t="n">
        <x:f>IF(AND(B275&lt;&gt;"",ISNUMBER('Input_Meci'!G28)),INT('Input_Meci'!G28),0)</x:f>
        <x:v>0</x:v>
      </x:c>
      <x:c r="K275" s="2" t="n">
        <x:f>IF(OR(B275="",F275=""),0,IF(H275="HOME",COUNTIFS('Istoric_Nativ'!$B$6:$B$405,E275,'Istoric_Nativ'!$C$6:$C$405,F275,'Istoric_Nativ'!$E$6:$E$405,G275,'Istoric_Nativ'!$D$6:$D$405,"&lt;"&amp;J275,'Istoric_Nativ'!$P$6:$P$405,1),IF(H275="AWAY",COUNTIFS('Istoric_Nativ'!$B$6:$B$405,E275,'Istoric_Nativ'!$C$6:$C$405,F275,'Istoric_Nativ'!$F$6:$F$405,G275,'Istoric_Nativ'!$D$6:$D$405,"&lt;"&amp;J275,'Istoric_Nativ'!$P$6:$P$405,1),COUNTIFS('Istoric_Nativ'!$B$6:$B$405,E275,'Istoric_Nativ'!$C$6:$C$405,F275,'Istoric_Nativ'!$E$6:$E$405,G275,'Istoric_Nativ'!$D$6:$D$405,"&lt;"&amp;J275,'Istoric_Nativ'!$P$6:$P$405,1)+COUNTIFS('Istoric_Nativ'!$B$6:$B$405,E275,'Istoric_Nativ'!$C$6:$C$405,F275,'Istoric_Nativ'!$F$6:$F$405,G275,'Istoric_Nativ'!$D$6:$D$405,"&lt;"&amp;J275,'Istoric_Nativ'!$P$6:$P$405,1))))</x:f>
        <x:v>0</x:v>
      </x:c>
      <x:c r="L275" s="17" t="n">
        <x:f>IF(AND(B275&lt;&gt;"",I275="RECENT",K275&gt;0),LARGE(_xlfn._xlws.FILTER('Istoric_Nativ'!$D$6:$D$405,('Istoric_Nativ'!$B$6:$B$405=E275)*('Istoric_Nativ'!$C$6:$C$405=F275)*('Istoric_Nativ'!$P$6:$P$405=1)*('Istoric_Nativ'!$D$6:$D$405&lt;J275)*((('Istoric_Nativ'!$E$6:$E$405=G275)+('Istoric_Nativ'!$F$6:$F$405=G275))&gt;0)),MIN('Config_v6'!$B$54,K275)),0)</x:f>
        <x:v>0</x:v>
      </x:c>
      <x:c r="M275" s="2" t="n">
        <x:f>IF(OR(B275="",F275=""),0,IF(H275="HOME",COUNTIFS('Istoric_Nativ'!$B$6:$B$405,E275,'Istoric_Nativ'!$C$6:$C$405,F275,'Istoric_Nativ'!$E$6:$E$405,G275,'Istoric_Nativ'!$D$6:$D$405,"&lt;"&amp;J275,'Istoric_Nativ'!$P$6:$P$405,1,'Istoric_Nativ'!$D$6:$D$405,"&gt;="&amp;L275),IF(H275="AWAY",COUNTIFS('Istoric_Nativ'!$B$6:$B$405,E275,'Istoric_Nativ'!$C$6:$C$405,F275,'Istoric_Nativ'!$F$6:$F$405,G275,'Istoric_Nativ'!$D$6:$D$405,"&lt;"&amp;J275,'Istoric_Nativ'!$P$6:$P$405,1,'Istoric_Nativ'!$D$6:$D$405,"&gt;="&amp;L275),COUNTIFS('Istoric_Nativ'!$B$6:$B$405,E275,'Istoric_Nativ'!$C$6:$C$405,F275,'Istoric_Nativ'!$E$6:$E$405,G275,'Istoric_Nativ'!$D$6:$D$405,"&lt;"&amp;J275,'Istoric_Nativ'!$P$6:$P$405,1,'Istoric_Nativ'!$D$6:$D$405,"&gt;="&amp;L275)+COUNTIFS('Istoric_Nativ'!$B$6:$B$405,E275,'Istoric_Nativ'!$C$6:$C$405,F275,'Istoric_Nativ'!$F$6:$F$405,G275,'Istoric_Nativ'!$D$6:$D$405,"&lt;"&amp;J275,'Istoric_Nativ'!$P$6:$P$405,1,'Istoric_Nativ'!$D$6:$D$405,"&gt;="&amp;L275))))</x:f>
        <x:v>0</x:v>
      </x:c>
      <x:c r="N275" s="11" t="str">
        <x:f>IF(M275=0,"",IF(H275="HOME",SUMIFS('Istoric_Nativ'!$G$6:$G$405,'Istoric_Nativ'!$B$6:$B$405,E275,'Istoric_Nativ'!$C$6:$C$405,F275,'Istoric_Nativ'!$E$6:$E$405,G275,'Istoric_Nativ'!$D$6:$D$405,"&lt;"&amp;J275,'Istoric_Nativ'!$P$6:$P$405,1,'Istoric_Nativ'!$D$6:$D$405,"&gt;="&amp;L275),IF(H275="AWAY",SUMIFS('Istoric_Nativ'!$H$6:$H$405,'Istoric_Nativ'!$B$6:$B$405,E275,'Istoric_Nativ'!$C$6:$C$405,F275,'Istoric_Nativ'!$F$6:$F$405,G275,'Istoric_Nativ'!$D$6:$D$405,"&lt;"&amp;J275,'Istoric_Nativ'!$P$6:$P$405,1,'Istoric_Nativ'!$D$6:$D$405,"&gt;="&amp;L275),SUMIFS('Istoric_Nativ'!$G$6:$G$405,'Istoric_Nativ'!$B$6:$B$405,E275,'Istoric_Nativ'!$C$6:$C$405,F275,'Istoric_Nativ'!$E$6:$E$405,G275,'Istoric_Nativ'!$D$6:$D$405,"&lt;"&amp;J275,'Istoric_Nativ'!$P$6:$P$405,1,'Istoric_Nativ'!$D$6:$D$405,"&gt;="&amp;L275)+SUMIFS('Istoric_Nativ'!$H$6:$H$405,'Istoric_Nativ'!$B$6:$B$405,E275,'Istoric_Nativ'!$C$6:$C$405,F275,'Istoric_Nativ'!$F$6:$F$405,G275,'Istoric_Nativ'!$D$6:$D$405,"&lt;"&amp;J275,'Istoric_Nativ'!$P$6:$P$405,1,'Istoric_Nativ'!$D$6:$D$405,"&gt;="&amp;L275)))/M275)</x:f>
      </x:c>
      <x:c r="O275" s="11" t="str">
        <x:f>IF(M275=0,"",IF(H275="HOME",SUMIFS('Istoric_Nativ'!$H$6:$H$405,'Istoric_Nativ'!$B$6:$B$405,E275,'Istoric_Nativ'!$C$6:$C$405,F275,'Istoric_Nativ'!$E$6:$E$405,G275,'Istoric_Nativ'!$D$6:$D$405,"&lt;"&amp;J275,'Istoric_Nativ'!$P$6:$P$405,1,'Istoric_Nativ'!$D$6:$D$405,"&gt;="&amp;L275),IF(H275="AWAY",SUMIFS('Istoric_Nativ'!$G$6:$G$405,'Istoric_Nativ'!$B$6:$B$405,E275,'Istoric_Nativ'!$C$6:$C$405,F275,'Istoric_Nativ'!$F$6:$F$405,G275,'Istoric_Nativ'!$D$6:$D$405,"&lt;"&amp;J275,'Istoric_Nativ'!$P$6:$P$405,1,'Istoric_Nativ'!$D$6:$D$405,"&gt;="&amp;L275),SUMIFS('Istoric_Nativ'!$H$6:$H$405,'Istoric_Nativ'!$B$6:$B$405,E275,'Istoric_Nativ'!$C$6:$C$405,F275,'Istoric_Nativ'!$E$6:$E$405,G275,'Istoric_Nativ'!$D$6:$D$405,"&lt;"&amp;J275,'Istoric_Nativ'!$P$6:$P$405,1,'Istoric_Nativ'!$D$6:$D$405,"&gt;="&amp;L275)+SUMIFS('Istoric_Nativ'!$G$6:$G$405,'Istoric_Nativ'!$B$6:$B$405,E275,'Istoric_Nativ'!$C$6:$C$405,F275,'Istoric_Nativ'!$F$6:$F$405,G275,'Istoric_Nativ'!$D$6:$D$405,"&lt;"&amp;J275,'Istoric_Nativ'!$P$6:$P$405,1,'Istoric_Nativ'!$D$6:$D$405,"&gt;="&amp;L275)))/M275)</x:f>
      </x:c>
      <x:c r="P275" s="2" t="n">
        <x:f>'Config_v6'!$B$9</x:f>
        <x:v>3</x:v>
      </x:c>
      <x:c r="Q275" s="2" t="n">
        <x:f>IF(OR(B275="",F275=""),0,IFERROR(MATCH(E275&amp;"|"&amp;F275,SourceTable[Source_Key],0),0))</x:f>
        <x:v>0</x:v>
      </x:c>
      <x:c r="R275" s="2" t="str">
        <x:f>IF(B275="","",IF(F275="","UNUSED",IF(Q275=0,"NOT CHECKED",IF(COUNTIF(SourceTable[Source_Key],E275&amp;"|"&amp;F275)&lt;&gt;1,"SOURCE CONFLICT",IF(NOT(OR(INDEX(SourceTable[Status],MAX(1,Q275))="IMPORTED",INDEX(SourceTable[Status],MAX(1,Q275))="PARTIAL",INDEX(SourceTable[Status],MAX(1,Q275))="SOURCE CONFLICT")),"ACCESS BLOCKED",IF(OR(INDEX(SourceTable[Coverage],Q275)&lt;&gt;"FULL SEASON EXPORT",INDEX(SourceTable[URL],Q275)="",INDEX(SourceTable[SHA256],Q275)=""),"EVIDENCE INCOMPLETE",IF(AND('Input_Meci'!H28="LIVE",INDEX(SourceTable[Retrieved_UTC],Q275)&gt;'Input_Meci'!G28),"POST CUTOFF","CLOSED")))))))</x:f>
      </x:c>
      <x:c r="S275" s="2" t="n">
        <x:f>IF(OR(B275="",F275=""),0,COUNTIFS('Istoric_Nativ'!$B$6:$B$405,E275,'Istoric_Nativ'!$C$6:$C$405,F275,'Istoric_Nativ'!$E$6:$E$405,G275,'Istoric_Nativ'!$D$6:$D$405,"&lt;"&amp;J275,'Istoric_Nativ'!$O$6:$O$405,"INVALID")+COUNTIFS('Istoric_Nativ'!$B$6:$B$405,E275,'Istoric_Nativ'!$C$6:$C$405,F275,'Istoric_Nativ'!$E$6:$E$405,G275,'Istoric_Nativ'!$O$6:$O$405,"INVALID",'Istoric_Nativ'!$D$6:$D$405,"*")+COUNTIFS('Istoric_Nativ'!$B$6:$B$405,E275,'Istoric_Nativ'!$C$6:$C$405,F275,'Istoric_Nativ'!$E$6:$E$405,G275,'Istoric_Nativ'!$D$6:$D$405,"&lt;"&amp;J275,'Istoric_Nativ'!$O$6:$O$405,"SOURCE CONFLICT")+COUNTIFS('Istoric_Nativ'!$B$6:$B$405,E275,'Istoric_Nativ'!$C$6:$C$405,F275,'Istoric_Nativ'!$F$6:$F$405,G275,'Istoric_Nativ'!$D$6:$D$405,"&lt;"&amp;J275,'Istoric_Nativ'!$O$6:$O$405,"INVALID")+COUNTIFS('Istoric_Nativ'!$B$6:$B$405,E275,'Istoric_Nativ'!$C$6:$C$405,F275,'Istoric_Nativ'!$F$6:$F$405,G275,'Istoric_Nativ'!$O$6:$O$405,"INVALID",'Istoric_Nativ'!$D$6:$D$405,"*")+COUNTIFS('Istoric_Nativ'!$B$6:$B$405,E275,'Istoric_Nativ'!$C$6:$C$405,F275,'Istoric_Nativ'!$F$6:$F$405,G275,'Istoric_Nativ'!$D$6:$D$405,"&lt;"&amp;J275,'Istoric_Nativ'!$O$6:$O$405,"SOURCE CONFLICT"))</x:f>
        <x:v>0</x:v>
      </x:c>
      <x:c r="T275" s="2" t="str">
        <x:f>IF(B275="","",IF(R275&lt;&gt;"CLOSED",R275,IF(S275&gt;0,"NATIVE INPUT ISSUE",IF(M275=0,"NO HISTORY",IF(M275&lt;P275,"SMALL SAMPLE","DERIVED")))))</x:f>
      </x:c>
      <x:c r="U275" s="2" t="str">
        <x:f>IF(B275="","","NativeTable; "&amp;E275&amp;"; "&amp;F275&amp;"; "&amp;G275&amp;"; "&amp;H275&amp;"; before "&amp;TEXT(J275,"yyyy-mm-dd")&amp;IF(I275="RECENT","; from "&amp;TEXT(L275,"yyyy-mm-dd"),""))</x:f>
      </x:c>
    </x:row>
    <x:row r="276" ht="21" customHeight="1">
      <x:c r="A276" s="2" t="n">
        <x:v>23</x:v>
      </x:c>
      <x:c r="B276" s="2" t="str">
        <x:f>IF('Input_Meci'!A28="","",'Input_Meci'!A28)</x:f>
      </x:c>
      <x:c r="C276" s="2" t="str">
        <x:v>H</x:v>
      </x:c>
      <x:c r="D276" s="2" t="str">
        <x:v>PRIOR</x:v>
      </x:c>
      <x:c r="E276" s="2" t="str">
        <x:f>IF(B276="","",'Input_Meci'!B28)</x:f>
      </x:c>
      <x:c r="F276" s="2" t="str">
        <x:f>IF(B276="","",IF('Input_Meci'!K28="","",'Input_Meci'!K28))</x:f>
      </x:c>
      <x:c r="G276" s="2" t="str">
        <x:f>IF(B276="","",'Input_Meci'!D28)</x:f>
      </x:c>
      <x:c r="H276" s="2" t="str">
        <x:v>ANY</x:v>
      </x:c>
      <x:c r="I276" s="2" t="str">
        <x:v>SEASON</x:v>
      </x:c>
      <x:c r="J276" s="9" t="n">
        <x:f>IF(AND(B276&lt;&gt;"",ISNUMBER('Input_Meci'!G28)),INT('Input_Meci'!G28),0)</x:f>
        <x:v>0</x:v>
      </x:c>
      <x:c r="K276" s="2" t="n">
        <x:f>IF(OR(B276="",F276=""),0,IF(H276="HOME",COUNTIFS('Istoric_Nativ'!$B$6:$B$405,E276,'Istoric_Nativ'!$C$6:$C$405,F276,'Istoric_Nativ'!$E$6:$E$405,G276,'Istoric_Nativ'!$D$6:$D$405,"&lt;"&amp;J276,'Istoric_Nativ'!$P$6:$P$405,1),IF(H276="AWAY",COUNTIFS('Istoric_Nativ'!$B$6:$B$405,E276,'Istoric_Nativ'!$C$6:$C$405,F276,'Istoric_Nativ'!$F$6:$F$405,G276,'Istoric_Nativ'!$D$6:$D$405,"&lt;"&amp;J276,'Istoric_Nativ'!$P$6:$P$405,1),COUNTIFS('Istoric_Nativ'!$B$6:$B$405,E276,'Istoric_Nativ'!$C$6:$C$405,F276,'Istoric_Nativ'!$E$6:$E$405,G276,'Istoric_Nativ'!$D$6:$D$405,"&lt;"&amp;J276,'Istoric_Nativ'!$P$6:$P$405,1)+COUNTIFS('Istoric_Nativ'!$B$6:$B$405,E276,'Istoric_Nativ'!$C$6:$C$405,F276,'Istoric_Nativ'!$F$6:$F$405,G276,'Istoric_Nativ'!$D$6:$D$405,"&lt;"&amp;J276,'Istoric_Nativ'!$P$6:$P$405,1))))</x:f>
        <x:v>0</x:v>
      </x:c>
      <x:c r="L276" s="17" t="n">
        <x:f>IF(AND(B276&lt;&gt;"",I276="RECENT",K276&gt;0),LARGE(_xlfn._xlws.FILTER('Istoric_Nativ'!$D$6:$D$405,('Istoric_Nativ'!$B$6:$B$405=E276)*('Istoric_Nativ'!$C$6:$C$405=F276)*('Istoric_Nativ'!$P$6:$P$405=1)*('Istoric_Nativ'!$D$6:$D$405&lt;J276)*((('Istoric_Nativ'!$E$6:$E$405=G276)+('Istoric_Nativ'!$F$6:$F$405=G276))&gt;0)),MIN('Config_v6'!$B$54,K276)),0)</x:f>
        <x:v>0</x:v>
      </x:c>
      <x:c r="M276" s="2" t="n">
        <x:f>IF(OR(B276="",F276=""),0,IF(H276="HOME",COUNTIFS('Istoric_Nativ'!$B$6:$B$405,E276,'Istoric_Nativ'!$C$6:$C$405,F276,'Istoric_Nativ'!$E$6:$E$405,G276,'Istoric_Nativ'!$D$6:$D$405,"&lt;"&amp;J276,'Istoric_Nativ'!$P$6:$P$405,1,'Istoric_Nativ'!$D$6:$D$405,"&gt;="&amp;L276),IF(H276="AWAY",COUNTIFS('Istoric_Nativ'!$B$6:$B$405,E276,'Istoric_Nativ'!$C$6:$C$405,F276,'Istoric_Nativ'!$F$6:$F$405,G276,'Istoric_Nativ'!$D$6:$D$405,"&lt;"&amp;J276,'Istoric_Nativ'!$P$6:$P$405,1,'Istoric_Nativ'!$D$6:$D$405,"&gt;="&amp;L276),COUNTIFS('Istoric_Nativ'!$B$6:$B$405,E276,'Istoric_Nativ'!$C$6:$C$405,F276,'Istoric_Nativ'!$E$6:$E$405,G276,'Istoric_Nativ'!$D$6:$D$405,"&lt;"&amp;J276,'Istoric_Nativ'!$P$6:$P$405,1,'Istoric_Nativ'!$D$6:$D$405,"&gt;="&amp;L276)+COUNTIFS('Istoric_Nativ'!$B$6:$B$405,E276,'Istoric_Nativ'!$C$6:$C$405,F276,'Istoric_Nativ'!$F$6:$F$405,G276,'Istoric_Nativ'!$D$6:$D$405,"&lt;"&amp;J276,'Istoric_Nativ'!$P$6:$P$405,1,'Istoric_Nativ'!$D$6:$D$405,"&gt;="&amp;L276))))</x:f>
        <x:v>0</x:v>
      </x:c>
      <x:c r="N276" s="11" t="str">
        <x:f>IF(M276=0,"",IF(H276="HOME",SUMIFS('Istoric_Nativ'!$G$6:$G$405,'Istoric_Nativ'!$B$6:$B$405,E276,'Istoric_Nativ'!$C$6:$C$405,F276,'Istoric_Nativ'!$E$6:$E$405,G276,'Istoric_Nativ'!$D$6:$D$405,"&lt;"&amp;J276,'Istoric_Nativ'!$P$6:$P$405,1,'Istoric_Nativ'!$D$6:$D$405,"&gt;="&amp;L276),IF(H276="AWAY",SUMIFS('Istoric_Nativ'!$H$6:$H$405,'Istoric_Nativ'!$B$6:$B$405,E276,'Istoric_Nativ'!$C$6:$C$405,F276,'Istoric_Nativ'!$F$6:$F$405,G276,'Istoric_Nativ'!$D$6:$D$405,"&lt;"&amp;J276,'Istoric_Nativ'!$P$6:$P$405,1,'Istoric_Nativ'!$D$6:$D$405,"&gt;="&amp;L276),SUMIFS('Istoric_Nativ'!$G$6:$G$405,'Istoric_Nativ'!$B$6:$B$405,E276,'Istoric_Nativ'!$C$6:$C$405,F276,'Istoric_Nativ'!$E$6:$E$405,G276,'Istoric_Nativ'!$D$6:$D$405,"&lt;"&amp;J276,'Istoric_Nativ'!$P$6:$P$405,1,'Istoric_Nativ'!$D$6:$D$405,"&gt;="&amp;L276)+SUMIFS('Istoric_Nativ'!$H$6:$H$405,'Istoric_Nativ'!$B$6:$B$405,E276,'Istoric_Nativ'!$C$6:$C$405,F276,'Istoric_Nativ'!$F$6:$F$405,G276,'Istoric_Nativ'!$D$6:$D$405,"&lt;"&amp;J276,'Istoric_Nativ'!$P$6:$P$405,1,'Istoric_Nativ'!$D$6:$D$405,"&gt;="&amp;L276)))/M276)</x:f>
      </x:c>
      <x:c r="O276" s="11" t="str">
        <x:f>IF(M276=0,"",IF(H276="HOME",SUMIFS('Istoric_Nativ'!$H$6:$H$405,'Istoric_Nativ'!$B$6:$B$405,E276,'Istoric_Nativ'!$C$6:$C$405,F276,'Istoric_Nativ'!$E$6:$E$405,G276,'Istoric_Nativ'!$D$6:$D$405,"&lt;"&amp;J276,'Istoric_Nativ'!$P$6:$P$405,1,'Istoric_Nativ'!$D$6:$D$405,"&gt;="&amp;L276),IF(H276="AWAY",SUMIFS('Istoric_Nativ'!$G$6:$G$405,'Istoric_Nativ'!$B$6:$B$405,E276,'Istoric_Nativ'!$C$6:$C$405,F276,'Istoric_Nativ'!$F$6:$F$405,G276,'Istoric_Nativ'!$D$6:$D$405,"&lt;"&amp;J276,'Istoric_Nativ'!$P$6:$P$405,1,'Istoric_Nativ'!$D$6:$D$405,"&gt;="&amp;L276),SUMIFS('Istoric_Nativ'!$H$6:$H$405,'Istoric_Nativ'!$B$6:$B$405,E276,'Istoric_Nativ'!$C$6:$C$405,F276,'Istoric_Nativ'!$E$6:$E$405,G276,'Istoric_Nativ'!$D$6:$D$405,"&lt;"&amp;J276,'Istoric_Nativ'!$P$6:$P$405,1,'Istoric_Nativ'!$D$6:$D$405,"&gt;="&amp;L276)+SUMIFS('Istoric_Nativ'!$G$6:$G$405,'Istoric_Nativ'!$B$6:$B$405,E276,'Istoric_Nativ'!$C$6:$C$405,F276,'Istoric_Nativ'!$F$6:$F$405,G276,'Istoric_Nativ'!$D$6:$D$405,"&lt;"&amp;J276,'Istoric_Nativ'!$P$6:$P$405,1,'Istoric_Nativ'!$D$6:$D$405,"&gt;="&amp;L276)))/M276)</x:f>
      </x:c>
      <x:c r="P276" s="2" t="n">
        <x:f>'Config_v6'!$B$7</x:f>
        <x:v>10</x:v>
      </x:c>
      <x:c r="Q276" s="2" t="n">
        <x:f>IF(OR(B276="",F276=""),0,IFERROR(MATCH(E276&amp;"|"&amp;F276,SourceTable[Source_Key],0),0))</x:f>
        <x:v>0</x:v>
      </x:c>
      <x:c r="R276" s="2" t="str">
        <x:f>IF(B276="","",IF(F276="","UNUSED",IF(Q276=0,"NOT CHECKED",IF(COUNTIF(SourceTable[Source_Key],E276&amp;"|"&amp;F276)&lt;&gt;1,"SOURCE CONFLICT",IF(NOT(OR(INDEX(SourceTable[Status],MAX(1,Q276))="IMPORTED",INDEX(SourceTable[Status],MAX(1,Q276))="PARTIAL",INDEX(SourceTable[Status],MAX(1,Q276))="SOURCE CONFLICT")),"ACCESS BLOCKED",IF(OR(INDEX(SourceTable[Coverage],Q276)&lt;&gt;"FULL SEASON EXPORT",INDEX(SourceTable[URL],Q276)="",INDEX(SourceTable[SHA256],Q276)=""),"EVIDENCE INCOMPLETE",IF(AND('Input_Meci'!H28="LIVE",INDEX(SourceTable[Retrieved_UTC],Q276)&gt;'Input_Meci'!G28),"POST CUTOFF","CLOSED")))))))</x:f>
      </x:c>
      <x:c r="S276" s="2" t="n">
        <x:f>IF(OR(B276="",F276=""),0,COUNTIFS('Istoric_Nativ'!$B$6:$B$405,E276,'Istoric_Nativ'!$C$6:$C$405,F276,'Istoric_Nativ'!$E$6:$E$405,G276,'Istoric_Nativ'!$D$6:$D$405,"&lt;"&amp;J276,'Istoric_Nativ'!$O$6:$O$405,"INVALID")+COUNTIFS('Istoric_Nativ'!$B$6:$B$405,E276,'Istoric_Nativ'!$C$6:$C$405,F276,'Istoric_Nativ'!$E$6:$E$405,G276,'Istoric_Nativ'!$O$6:$O$405,"INVALID",'Istoric_Nativ'!$D$6:$D$405,"*")+COUNTIFS('Istoric_Nativ'!$B$6:$B$405,E276,'Istoric_Nativ'!$C$6:$C$405,F276,'Istoric_Nativ'!$E$6:$E$405,G276,'Istoric_Nativ'!$D$6:$D$405,"&lt;"&amp;J276,'Istoric_Nativ'!$O$6:$O$405,"SOURCE CONFLICT")+COUNTIFS('Istoric_Nativ'!$B$6:$B$405,E276,'Istoric_Nativ'!$C$6:$C$405,F276,'Istoric_Nativ'!$F$6:$F$405,G276,'Istoric_Nativ'!$D$6:$D$405,"&lt;"&amp;J276,'Istoric_Nativ'!$O$6:$O$405,"INVALID")+COUNTIFS('Istoric_Nativ'!$B$6:$B$405,E276,'Istoric_Nativ'!$C$6:$C$405,F276,'Istoric_Nativ'!$F$6:$F$405,G276,'Istoric_Nativ'!$O$6:$O$405,"INVALID",'Istoric_Nativ'!$D$6:$D$405,"*")+COUNTIFS('Istoric_Nativ'!$B$6:$B$405,E276,'Istoric_Nativ'!$C$6:$C$405,F276,'Istoric_Nativ'!$F$6:$F$405,G276,'Istoric_Nativ'!$D$6:$D$405,"&lt;"&amp;J276,'Istoric_Nativ'!$O$6:$O$405,"SOURCE CONFLICT"))</x:f>
        <x:v>0</x:v>
      </x:c>
      <x:c r="T276" s="2" t="str">
        <x:f>IF(B276="","",IF(R276&lt;&gt;"CLOSED",R276,IF(S276&gt;0,"NATIVE INPUT ISSUE",IF(M276=0,"NO HISTORY",IF(M276&lt;P276,"SMALL SAMPLE","DERIVED")))))</x:f>
      </x:c>
      <x:c r="U276" s="2" t="str">
        <x:f>IF(B276="","","NativeTable; "&amp;E276&amp;"; "&amp;F276&amp;"; "&amp;G276&amp;"; "&amp;H276&amp;"; before "&amp;TEXT(J276,"yyyy-mm-dd")&amp;IF(I276="RECENT","; from "&amp;TEXT(L276,"yyyy-mm-dd"),""))</x:f>
      </x:c>
    </x:row>
    <x:row r="277" ht="21" customHeight="1">
      <x:c r="A277" s="2" t="n">
        <x:v>23</x:v>
      </x:c>
      <x:c r="B277" s="2" t="str">
        <x:f>IF('Input_Meci'!A28="","",'Input_Meci'!A28)</x:f>
      </x:c>
      <x:c r="C277" s="2" t="str">
        <x:v>H</x:v>
      </x:c>
      <x:c r="D277" s="2" t="str">
        <x:v>PRIOR</x:v>
      </x:c>
      <x:c r="E277" s="2" t="str">
        <x:f>IF(B277="","",'Input_Meci'!B28)</x:f>
      </x:c>
      <x:c r="F277" s="2" t="str">
        <x:f>IF(B277="","",IF('Input_Meci'!K28="","",'Input_Meci'!K28))</x:f>
      </x:c>
      <x:c r="G277" s="2" t="str">
        <x:f>IF(B277="","",'Input_Meci'!D28)</x:f>
      </x:c>
      <x:c r="H277" s="2" t="str">
        <x:v>HOME</x:v>
      </x:c>
      <x:c r="I277" s="2" t="str">
        <x:v>HA</x:v>
      </x:c>
      <x:c r="J277" s="9" t="n">
        <x:f>IF(AND(B277&lt;&gt;"",ISNUMBER('Input_Meci'!G28)),INT('Input_Meci'!G28),0)</x:f>
        <x:v>0</x:v>
      </x:c>
      <x:c r="K277" s="2" t="n">
        <x:f>IF(OR(B277="",F277=""),0,IF(H277="HOME",COUNTIFS('Istoric_Nativ'!$B$6:$B$405,E277,'Istoric_Nativ'!$C$6:$C$405,F277,'Istoric_Nativ'!$E$6:$E$405,G277,'Istoric_Nativ'!$D$6:$D$405,"&lt;"&amp;J277,'Istoric_Nativ'!$P$6:$P$405,1),IF(H277="AWAY",COUNTIFS('Istoric_Nativ'!$B$6:$B$405,E277,'Istoric_Nativ'!$C$6:$C$405,F277,'Istoric_Nativ'!$F$6:$F$405,G277,'Istoric_Nativ'!$D$6:$D$405,"&lt;"&amp;J277,'Istoric_Nativ'!$P$6:$P$405,1),COUNTIFS('Istoric_Nativ'!$B$6:$B$405,E277,'Istoric_Nativ'!$C$6:$C$405,F277,'Istoric_Nativ'!$E$6:$E$405,G277,'Istoric_Nativ'!$D$6:$D$405,"&lt;"&amp;J277,'Istoric_Nativ'!$P$6:$P$405,1)+COUNTIFS('Istoric_Nativ'!$B$6:$B$405,E277,'Istoric_Nativ'!$C$6:$C$405,F277,'Istoric_Nativ'!$F$6:$F$405,G277,'Istoric_Nativ'!$D$6:$D$405,"&lt;"&amp;J277,'Istoric_Nativ'!$P$6:$P$405,1))))</x:f>
        <x:v>0</x:v>
      </x:c>
      <x:c r="L277" s="17" t="n">
        <x:f>IF(AND(B277&lt;&gt;"",I277="RECENT",K277&gt;0),LARGE(_xlfn._xlws.FILTER('Istoric_Nativ'!$D$6:$D$405,('Istoric_Nativ'!$B$6:$B$405=E277)*('Istoric_Nativ'!$C$6:$C$405=F277)*('Istoric_Nativ'!$P$6:$P$405=1)*('Istoric_Nativ'!$D$6:$D$405&lt;J277)*((('Istoric_Nativ'!$E$6:$E$405=G277)+('Istoric_Nativ'!$F$6:$F$405=G277))&gt;0)),MIN('Config_v6'!$B$54,K277)),0)</x:f>
        <x:v>0</x:v>
      </x:c>
      <x:c r="M277" s="2" t="n">
        <x:f>IF(OR(B277="",F277=""),0,IF(H277="HOME",COUNTIFS('Istoric_Nativ'!$B$6:$B$405,E277,'Istoric_Nativ'!$C$6:$C$405,F277,'Istoric_Nativ'!$E$6:$E$405,G277,'Istoric_Nativ'!$D$6:$D$405,"&lt;"&amp;J277,'Istoric_Nativ'!$P$6:$P$405,1,'Istoric_Nativ'!$D$6:$D$405,"&gt;="&amp;L277),IF(H277="AWAY",COUNTIFS('Istoric_Nativ'!$B$6:$B$405,E277,'Istoric_Nativ'!$C$6:$C$405,F277,'Istoric_Nativ'!$F$6:$F$405,G277,'Istoric_Nativ'!$D$6:$D$405,"&lt;"&amp;J277,'Istoric_Nativ'!$P$6:$P$405,1,'Istoric_Nativ'!$D$6:$D$405,"&gt;="&amp;L277),COUNTIFS('Istoric_Nativ'!$B$6:$B$405,E277,'Istoric_Nativ'!$C$6:$C$405,F277,'Istoric_Nativ'!$E$6:$E$405,G277,'Istoric_Nativ'!$D$6:$D$405,"&lt;"&amp;J277,'Istoric_Nativ'!$P$6:$P$405,1,'Istoric_Nativ'!$D$6:$D$405,"&gt;="&amp;L277)+COUNTIFS('Istoric_Nativ'!$B$6:$B$405,E277,'Istoric_Nativ'!$C$6:$C$405,F277,'Istoric_Nativ'!$F$6:$F$405,G277,'Istoric_Nativ'!$D$6:$D$405,"&lt;"&amp;J277,'Istoric_Nativ'!$P$6:$P$405,1,'Istoric_Nativ'!$D$6:$D$405,"&gt;="&amp;L277))))</x:f>
        <x:v>0</x:v>
      </x:c>
      <x:c r="N277" s="11" t="str">
        <x:f>IF(M277=0,"",IF(H277="HOME",SUMIFS('Istoric_Nativ'!$G$6:$G$405,'Istoric_Nativ'!$B$6:$B$405,E277,'Istoric_Nativ'!$C$6:$C$405,F277,'Istoric_Nativ'!$E$6:$E$405,G277,'Istoric_Nativ'!$D$6:$D$405,"&lt;"&amp;J277,'Istoric_Nativ'!$P$6:$P$405,1,'Istoric_Nativ'!$D$6:$D$405,"&gt;="&amp;L277),IF(H277="AWAY",SUMIFS('Istoric_Nativ'!$H$6:$H$405,'Istoric_Nativ'!$B$6:$B$405,E277,'Istoric_Nativ'!$C$6:$C$405,F277,'Istoric_Nativ'!$F$6:$F$405,G277,'Istoric_Nativ'!$D$6:$D$405,"&lt;"&amp;J277,'Istoric_Nativ'!$P$6:$P$405,1,'Istoric_Nativ'!$D$6:$D$405,"&gt;="&amp;L277),SUMIFS('Istoric_Nativ'!$G$6:$G$405,'Istoric_Nativ'!$B$6:$B$405,E277,'Istoric_Nativ'!$C$6:$C$405,F277,'Istoric_Nativ'!$E$6:$E$405,G277,'Istoric_Nativ'!$D$6:$D$405,"&lt;"&amp;J277,'Istoric_Nativ'!$P$6:$P$405,1,'Istoric_Nativ'!$D$6:$D$405,"&gt;="&amp;L277)+SUMIFS('Istoric_Nativ'!$H$6:$H$405,'Istoric_Nativ'!$B$6:$B$405,E277,'Istoric_Nativ'!$C$6:$C$405,F277,'Istoric_Nativ'!$F$6:$F$405,G277,'Istoric_Nativ'!$D$6:$D$405,"&lt;"&amp;J277,'Istoric_Nativ'!$P$6:$P$405,1,'Istoric_Nativ'!$D$6:$D$405,"&gt;="&amp;L277)))/M277)</x:f>
      </x:c>
      <x:c r="O277" s="11" t="str">
        <x:f>IF(M277=0,"",IF(H277="HOME",SUMIFS('Istoric_Nativ'!$H$6:$H$405,'Istoric_Nativ'!$B$6:$B$405,E277,'Istoric_Nativ'!$C$6:$C$405,F277,'Istoric_Nativ'!$E$6:$E$405,G277,'Istoric_Nativ'!$D$6:$D$405,"&lt;"&amp;J277,'Istoric_Nativ'!$P$6:$P$405,1,'Istoric_Nativ'!$D$6:$D$405,"&gt;="&amp;L277),IF(H277="AWAY",SUMIFS('Istoric_Nativ'!$G$6:$G$405,'Istoric_Nativ'!$B$6:$B$405,E277,'Istoric_Nativ'!$C$6:$C$405,F277,'Istoric_Nativ'!$F$6:$F$405,G277,'Istoric_Nativ'!$D$6:$D$405,"&lt;"&amp;J277,'Istoric_Nativ'!$P$6:$P$405,1,'Istoric_Nativ'!$D$6:$D$405,"&gt;="&amp;L277),SUMIFS('Istoric_Nativ'!$H$6:$H$405,'Istoric_Nativ'!$B$6:$B$405,E277,'Istoric_Nativ'!$C$6:$C$405,F277,'Istoric_Nativ'!$E$6:$E$405,G277,'Istoric_Nativ'!$D$6:$D$405,"&lt;"&amp;J277,'Istoric_Nativ'!$P$6:$P$405,1,'Istoric_Nativ'!$D$6:$D$405,"&gt;="&amp;L277)+SUMIFS('Istoric_Nativ'!$G$6:$G$405,'Istoric_Nativ'!$B$6:$B$405,E277,'Istoric_Nativ'!$C$6:$C$405,F277,'Istoric_Nativ'!$F$6:$F$405,G277,'Istoric_Nativ'!$D$6:$D$405,"&lt;"&amp;J277,'Istoric_Nativ'!$P$6:$P$405,1,'Istoric_Nativ'!$D$6:$D$405,"&gt;="&amp;L277)))/M277)</x:f>
      </x:c>
      <x:c r="P277" s="2" t="n">
        <x:f>'Config_v6'!$B$8</x:f>
        <x:v>5</x:v>
      </x:c>
      <x:c r="Q277" s="2" t="n">
        <x:f>IF(OR(B277="",F277=""),0,IFERROR(MATCH(E277&amp;"|"&amp;F277,SourceTable[Source_Key],0),0))</x:f>
        <x:v>0</x:v>
      </x:c>
      <x:c r="R277" s="2" t="str">
        <x:f>IF(B277="","",IF(F277="","UNUSED",IF(Q277=0,"NOT CHECKED",IF(COUNTIF(SourceTable[Source_Key],E277&amp;"|"&amp;F277)&lt;&gt;1,"SOURCE CONFLICT",IF(NOT(OR(INDEX(SourceTable[Status],MAX(1,Q277))="IMPORTED",INDEX(SourceTable[Status],MAX(1,Q277))="PARTIAL",INDEX(SourceTable[Status],MAX(1,Q277))="SOURCE CONFLICT")),"ACCESS BLOCKED",IF(OR(INDEX(SourceTable[Coverage],Q277)&lt;&gt;"FULL SEASON EXPORT",INDEX(SourceTable[URL],Q277)="",INDEX(SourceTable[SHA256],Q277)=""),"EVIDENCE INCOMPLETE",IF(AND('Input_Meci'!H28="LIVE",INDEX(SourceTable[Retrieved_UTC],Q277)&gt;'Input_Meci'!G28),"POST CUTOFF","CLOSED")))))))</x:f>
      </x:c>
      <x:c r="S277" s="2" t="n">
        <x:f>IF(OR(B277="",F277=""),0,COUNTIFS('Istoric_Nativ'!$B$6:$B$405,E277,'Istoric_Nativ'!$C$6:$C$405,F277,'Istoric_Nativ'!$E$6:$E$405,G277,'Istoric_Nativ'!$D$6:$D$405,"&lt;"&amp;J277,'Istoric_Nativ'!$O$6:$O$405,"INVALID")+COUNTIFS('Istoric_Nativ'!$B$6:$B$405,E277,'Istoric_Nativ'!$C$6:$C$405,F277,'Istoric_Nativ'!$E$6:$E$405,G277,'Istoric_Nativ'!$O$6:$O$405,"INVALID",'Istoric_Nativ'!$D$6:$D$405,"*")+COUNTIFS('Istoric_Nativ'!$B$6:$B$405,E277,'Istoric_Nativ'!$C$6:$C$405,F277,'Istoric_Nativ'!$E$6:$E$405,G277,'Istoric_Nativ'!$D$6:$D$405,"&lt;"&amp;J277,'Istoric_Nativ'!$O$6:$O$405,"SOURCE CONFLICT")+COUNTIFS('Istoric_Nativ'!$B$6:$B$405,E277,'Istoric_Nativ'!$C$6:$C$405,F277,'Istoric_Nativ'!$F$6:$F$405,G277,'Istoric_Nativ'!$D$6:$D$405,"&lt;"&amp;J277,'Istoric_Nativ'!$O$6:$O$405,"INVALID")+COUNTIFS('Istoric_Nativ'!$B$6:$B$405,E277,'Istoric_Nativ'!$C$6:$C$405,F277,'Istoric_Nativ'!$F$6:$F$405,G277,'Istoric_Nativ'!$O$6:$O$405,"INVALID",'Istoric_Nativ'!$D$6:$D$405,"*")+COUNTIFS('Istoric_Nativ'!$B$6:$B$405,E277,'Istoric_Nativ'!$C$6:$C$405,F277,'Istoric_Nativ'!$F$6:$F$405,G277,'Istoric_Nativ'!$D$6:$D$405,"&lt;"&amp;J277,'Istoric_Nativ'!$O$6:$O$405,"SOURCE CONFLICT"))</x:f>
        <x:v>0</x:v>
      </x:c>
      <x:c r="T277" s="2" t="str">
        <x:f>IF(B277="","",IF(R277&lt;&gt;"CLOSED",R277,IF(S277&gt;0,"NATIVE INPUT ISSUE",IF(M277=0,"NO HISTORY",IF(M277&lt;P277,"SMALL SAMPLE","DERIVED")))))</x:f>
      </x:c>
      <x:c r="U277" s="2" t="str">
        <x:f>IF(B277="","","NativeTable; "&amp;E277&amp;"; "&amp;F277&amp;"; "&amp;G277&amp;"; "&amp;H277&amp;"; before "&amp;TEXT(J277,"yyyy-mm-dd")&amp;IF(I277="RECENT","; from "&amp;TEXT(L277,"yyyy-mm-dd"),""))</x:f>
      </x:c>
    </x:row>
    <x:row r="278" ht="21" customHeight="1">
      <x:c r="A278" s="2" t="n">
        <x:v>23</x:v>
      </x:c>
      <x:c r="B278" s="2" t="str">
        <x:f>IF('Input_Meci'!A28="","",'Input_Meci'!A28)</x:f>
      </x:c>
      <x:c r="C278" s="2" t="str">
        <x:v>H</x:v>
      </x:c>
      <x:c r="D278" s="2" t="str">
        <x:v>PRIOR</x:v>
      </x:c>
      <x:c r="E278" s="2" t="str">
        <x:f>IF(B278="","",'Input_Meci'!B28)</x:f>
      </x:c>
      <x:c r="F278" s="2" t="str">
        <x:f>IF(B278="","",IF('Input_Meci'!K28="","",'Input_Meci'!K28))</x:f>
      </x:c>
      <x:c r="G278" s="2" t="str">
        <x:f>IF(B278="","",'Input_Meci'!D28)</x:f>
      </x:c>
      <x:c r="H278" s="2" t="str">
        <x:v>ANY</x:v>
      </x:c>
      <x:c r="I278" s="2" t="str">
        <x:v>RECENT</x:v>
      </x:c>
      <x:c r="J278" s="9" t="n">
        <x:f>IF(AND(B278&lt;&gt;"",ISNUMBER('Input_Meci'!G28)),INT('Input_Meci'!G28),0)</x:f>
        <x:v>0</x:v>
      </x:c>
      <x:c r="K278" s="2" t="n">
        <x:f>IF(OR(B278="",F278=""),0,IF(H278="HOME",COUNTIFS('Istoric_Nativ'!$B$6:$B$405,E278,'Istoric_Nativ'!$C$6:$C$405,F278,'Istoric_Nativ'!$E$6:$E$405,G278,'Istoric_Nativ'!$D$6:$D$405,"&lt;"&amp;J278,'Istoric_Nativ'!$P$6:$P$405,1),IF(H278="AWAY",COUNTIFS('Istoric_Nativ'!$B$6:$B$405,E278,'Istoric_Nativ'!$C$6:$C$405,F278,'Istoric_Nativ'!$F$6:$F$405,G278,'Istoric_Nativ'!$D$6:$D$405,"&lt;"&amp;J278,'Istoric_Nativ'!$P$6:$P$405,1),COUNTIFS('Istoric_Nativ'!$B$6:$B$405,E278,'Istoric_Nativ'!$C$6:$C$405,F278,'Istoric_Nativ'!$E$6:$E$405,G278,'Istoric_Nativ'!$D$6:$D$405,"&lt;"&amp;J278,'Istoric_Nativ'!$P$6:$P$405,1)+COUNTIFS('Istoric_Nativ'!$B$6:$B$405,E278,'Istoric_Nativ'!$C$6:$C$405,F278,'Istoric_Nativ'!$F$6:$F$405,G278,'Istoric_Nativ'!$D$6:$D$405,"&lt;"&amp;J278,'Istoric_Nativ'!$P$6:$P$405,1))))</x:f>
        <x:v>0</x:v>
      </x:c>
      <x:c r="L278" s="17" t="n">
        <x:f>IF(AND(B278&lt;&gt;"",I278="RECENT",K278&gt;0),LARGE(_xlfn._xlws.FILTER('Istoric_Nativ'!$D$6:$D$405,('Istoric_Nativ'!$B$6:$B$405=E278)*('Istoric_Nativ'!$C$6:$C$405=F278)*('Istoric_Nativ'!$P$6:$P$405=1)*('Istoric_Nativ'!$D$6:$D$405&lt;J278)*((('Istoric_Nativ'!$E$6:$E$405=G278)+('Istoric_Nativ'!$F$6:$F$405=G278))&gt;0)),MIN('Config_v6'!$B$54,K278)),0)</x:f>
        <x:v>0</x:v>
      </x:c>
      <x:c r="M278" s="2" t="n">
        <x:f>IF(OR(B278="",F278=""),0,IF(H278="HOME",COUNTIFS('Istoric_Nativ'!$B$6:$B$405,E278,'Istoric_Nativ'!$C$6:$C$405,F278,'Istoric_Nativ'!$E$6:$E$405,G278,'Istoric_Nativ'!$D$6:$D$405,"&lt;"&amp;J278,'Istoric_Nativ'!$P$6:$P$405,1,'Istoric_Nativ'!$D$6:$D$405,"&gt;="&amp;L278),IF(H278="AWAY",COUNTIFS('Istoric_Nativ'!$B$6:$B$405,E278,'Istoric_Nativ'!$C$6:$C$405,F278,'Istoric_Nativ'!$F$6:$F$405,G278,'Istoric_Nativ'!$D$6:$D$405,"&lt;"&amp;J278,'Istoric_Nativ'!$P$6:$P$405,1,'Istoric_Nativ'!$D$6:$D$405,"&gt;="&amp;L278),COUNTIFS('Istoric_Nativ'!$B$6:$B$405,E278,'Istoric_Nativ'!$C$6:$C$405,F278,'Istoric_Nativ'!$E$6:$E$405,G278,'Istoric_Nativ'!$D$6:$D$405,"&lt;"&amp;J278,'Istoric_Nativ'!$P$6:$P$405,1,'Istoric_Nativ'!$D$6:$D$405,"&gt;="&amp;L278)+COUNTIFS('Istoric_Nativ'!$B$6:$B$405,E278,'Istoric_Nativ'!$C$6:$C$405,F278,'Istoric_Nativ'!$F$6:$F$405,G278,'Istoric_Nativ'!$D$6:$D$405,"&lt;"&amp;J278,'Istoric_Nativ'!$P$6:$P$405,1,'Istoric_Nativ'!$D$6:$D$405,"&gt;="&amp;L278))))</x:f>
        <x:v>0</x:v>
      </x:c>
      <x:c r="N278" s="11" t="str">
        <x:f>IF(M278=0,"",IF(H278="HOME",SUMIFS('Istoric_Nativ'!$G$6:$G$405,'Istoric_Nativ'!$B$6:$B$405,E278,'Istoric_Nativ'!$C$6:$C$405,F278,'Istoric_Nativ'!$E$6:$E$405,G278,'Istoric_Nativ'!$D$6:$D$405,"&lt;"&amp;J278,'Istoric_Nativ'!$P$6:$P$405,1,'Istoric_Nativ'!$D$6:$D$405,"&gt;="&amp;L278),IF(H278="AWAY",SUMIFS('Istoric_Nativ'!$H$6:$H$405,'Istoric_Nativ'!$B$6:$B$405,E278,'Istoric_Nativ'!$C$6:$C$405,F278,'Istoric_Nativ'!$F$6:$F$405,G278,'Istoric_Nativ'!$D$6:$D$405,"&lt;"&amp;J278,'Istoric_Nativ'!$P$6:$P$405,1,'Istoric_Nativ'!$D$6:$D$405,"&gt;="&amp;L278),SUMIFS('Istoric_Nativ'!$G$6:$G$405,'Istoric_Nativ'!$B$6:$B$405,E278,'Istoric_Nativ'!$C$6:$C$405,F278,'Istoric_Nativ'!$E$6:$E$405,G278,'Istoric_Nativ'!$D$6:$D$405,"&lt;"&amp;J278,'Istoric_Nativ'!$P$6:$P$405,1,'Istoric_Nativ'!$D$6:$D$405,"&gt;="&amp;L278)+SUMIFS('Istoric_Nativ'!$H$6:$H$405,'Istoric_Nativ'!$B$6:$B$405,E278,'Istoric_Nativ'!$C$6:$C$405,F278,'Istoric_Nativ'!$F$6:$F$405,G278,'Istoric_Nativ'!$D$6:$D$405,"&lt;"&amp;J278,'Istoric_Nativ'!$P$6:$P$405,1,'Istoric_Nativ'!$D$6:$D$405,"&gt;="&amp;L278)))/M278)</x:f>
      </x:c>
      <x:c r="O278" s="11" t="str">
        <x:f>IF(M278=0,"",IF(H278="HOME",SUMIFS('Istoric_Nativ'!$H$6:$H$405,'Istoric_Nativ'!$B$6:$B$405,E278,'Istoric_Nativ'!$C$6:$C$405,F278,'Istoric_Nativ'!$E$6:$E$405,G278,'Istoric_Nativ'!$D$6:$D$405,"&lt;"&amp;J278,'Istoric_Nativ'!$P$6:$P$405,1,'Istoric_Nativ'!$D$6:$D$405,"&gt;="&amp;L278),IF(H278="AWAY",SUMIFS('Istoric_Nativ'!$G$6:$G$405,'Istoric_Nativ'!$B$6:$B$405,E278,'Istoric_Nativ'!$C$6:$C$405,F278,'Istoric_Nativ'!$F$6:$F$405,G278,'Istoric_Nativ'!$D$6:$D$405,"&lt;"&amp;J278,'Istoric_Nativ'!$P$6:$P$405,1,'Istoric_Nativ'!$D$6:$D$405,"&gt;="&amp;L278),SUMIFS('Istoric_Nativ'!$H$6:$H$405,'Istoric_Nativ'!$B$6:$B$405,E278,'Istoric_Nativ'!$C$6:$C$405,F278,'Istoric_Nativ'!$E$6:$E$405,G278,'Istoric_Nativ'!$D$6:$D$405,"&lt;"&amp;J278,'Istoric_Nativ'!$P$6:$P$405,1,'Istoric_Nativ'!$D$6:$D$405,"&gt;="&amp;L278)+SUMIFS('Istoric_Nativ'!$G$6:$G$405,'Istoric_Nativ'!$B$6:$B$405,E278,'Istoric_Nativ'!$C$6:$C$405,F278,'Istoric_Nativ'!$F$6:$F$405,G278,'Istoric_Nativ'!$D$6:$D$405,"&lt;"&amp;J278,'Istoric_Nativ'!$P$6:$P$405,1,'Istoric_Nativ'!$D$6:$D$405,"&gt;="&amp;L278)))/M278)</x:f>
      </x:c>
      <x:c r="P278" s="2" t="n">
        <x:f>'Config_v6'!$B$9</x:f>
        <x:v>3</x:v>
      </x:c>
      <x:c r="Q278" s="2" t="n">
        <x:f>IF(OR(B278="",F278=""),0,IFERROR(MATCH(E278&amp;"|"&amp;F278,SourceTable[Source_Key],0),0))</x:f>
        <x:v>0</x:v>
      </x:c>
      <x:c r="R278" s="2" t="str">
        <x:f>IF(B278="","",IF(F278="","UNUSED",IF(Q278=0,"NOT CHECKED",IF(COUNTIF(SourceTable[Source_Key],E278&amp;"|"&amp;F278)&lt;&gt;1,"SOURCE CONFLICT",IF(NOT(OR(INDEX(SourceTable[Status],MAX(1,Q278))="IMPORTED",INDEX(SourceTable[Status],MAX(1,Q278))="PARTIAL",INDEX(SourceTable[Status],MAX(1,Q278))="SOURCE CONFLICT")),"ACCESS BLOCKED",IF(OR(INDEX(SourceTable[Coverage],Q278)&lt;&gt;"FULL SEASON EXPORT",INDEX(SourceTable[URL],Q278)="",INDEX(SourceTable[SHA256],Q278)=""),"EVIDENCE INCOMPLETE",IF(AND('Input_Meci'!H28="LIVE",INDEX(SourceTable[Retrieved_UTC],Q278)&gt;'Input_Meci'!G28),"POST CUTOFF","CLOSED")))))))</x:f>
      </x:c>
      <x:c r="S278" s="2" t="n">
        <x:f>IF(OR(B278="",F278=""),0,COUNTIFS('Istoric_Nativ'!$B$6:$B$405,E278,'Istoric_Nativ'!$C$6:$C$405,F278,'Istoric_Nativ'!$E$6:$E$405,G278,'Istoric_Nativ'!$D$6:$D$405,"&lt;"&amp;J278,'Istoric_Nativ'!$O$6:$O$405,"INVALID")+COUNTIFS('Istoric_Nativ'!$B$6:$B$405,E278,'Istoric_Nativ'!$C$6:$C$405,F278,'Istoric_Nativ'!$E$6:$E$405,G278,'Istoric_Nativ'!$O$6:$O$405,"INVALID",'Istoric_Nativ'!$D$6:$D$405,"*")+COUNTIFS('Istoric_Nativ'!$B$6:$B$405,E278,'Istoric_Nativ'!$C$6:$C$405,F278,'Istoric_Nativ'!$E$6:$E$405,G278,'Istoric_Nativ'!$D$6:$D$405,"&lt;"&amp;J278,'Istoric_Nativ'!$O$6:$O$405,"SOURCE CONFLICT")+COUNTIFS('Istoric_Nativ'!$B$6:$B$405,E278,'Istoric_Nativ'!$C$6:$C$405,F278,'Istoric_Nativ'!$F$6:$F$405,G278,'Istoric_Nativ'!$D$6:$D$405,"&lt;"&amp;J278,'Istoric_Nativ'!$O$6:$O$405,"INVALID")+COUNTIFS('Istoric_Nativ'!$B$6:$B$405,E278,'Istoric_Nativ'!$C$6:$C$405,F278,'Istoric_Nativ'!$F$6:$F$405,G278,'Istoric_Nativ'!$O$6:$O$405,"INVALID",'Istoric_Nativ'!$D$6:$D$405,"*")+COUNTIFS('Istoric_Nativ'!$B$6:$B$405,E278,'Istoric_Nativ'!$C$6:$C$405,F278,'Istoric_Nativ'!$F$6:$F$405,G278,'Istoric_Nativ'!$D$6:$D$405,"&lt;"&amp;J278,'Istoric_Nativ'!$O$6:$O$405,"SOURCE CONFLICT"))</x:f>
        <x:v>0</x:v>
      </x:c>
      <x:c r="T278" s="2" t="str">
        <x:f>IF(B278="","",IF(R278&lt;&gt;"CLOSED",R278,IF(S278&gt;0,"NATIVE INPUT ISSUE",IF(M278=0,"NO HISTORY",IF(M278&lt;P278,"SMALL SAMPLE","DERIVED")))))</x:f>
      </x:c>
      <x:c r="U278" s="2" t="str">
        <x:f>IF(B278="","","NativeTable; "&amp;E278&amp;"; "&amp;F278&amp;"; "&amp;G278&amp;"; "&amp;H278&amp;"; before "&amp;TEXT(J278,"yyyy-mm-dd")&amp;IF(I278="RECENT","; from "&amp;TEXT(L278,"yyyy-mm-dd"),""))</x:f>
      </x:c>
    </x:row>
    <x:row r="279" ht="21" customHeight="1">
      <x:c r="A279" s="2" t="n">
        <x:v>23</x:v>
      </x:c>
      <x:c r="B279" s="2" t="str">
        <x:f>IF('Input_Meci'!A28="","",'Input_Meci'!A28)</x:f>
      </x:c>
      <x:c r="C279" s="2" t="str">
        <x:v>A</x:v>
      </x:c>
      <x:c r="D279" s="2" t="str">
        <x:v>PRIOR</x:v>
      </x:c>
      <x:c r="E279" s="2" t="str">
        <x:f>IF(B279="","",'Input_Meci'!B28)</x:f>
      </x:c>
      <x:c r="F279" s="2" t="str">
        <x:f>IF(B279="","",IF('Input_Meci'!K28="","",'Input_Meci'!K28))</x:f>
      </x:c>
      <x:c r="G279" s="2" t="str">
        <x:f>IF(B279="","",'Input_Meci'!E28)</x:f>
      </x:c>
      <x:c r="H279" s="2" t="str">
        <x:v>ANY</x:v>
      </x:c>
      <x:c r="I279" s="2" t="str">
        <x:v>SEASON</x:v>
      </x:c>
      <x:c r="J279" s="9" t="n">
        <x:f>IF(AND(B279&lt;&gt;"",ISNUMBER('Input_Meci'!G28)),INT('Input_Meci'!G28),0)</x:f>
        <x:v>0</x:v>
      </x:c>
      <x:c r="K279" s="2" t="n">
        <x:f>IF(OR(B279="",F279=""),0,IF(H279="HOME",COUNTIFS('Istoric_Nativ'!$B$6:$B$405,E279,'Istoric_Nativ'!$C$6:$C$405,F279,'Istoric_Nativ'!$E$6:$E$405,G279,'Istoric_Nativ'!$D$6:$D$405,"&lt;"&amp;J279,'Istoric_Nativ'!$P$6:$P$405,1),IF(H279="AWAY",COUNTIFS('Istoric_Nativ'!$B$6:$B$405,E279,'Istoric_Nativ'!$C$6:$C$405,F279,'Istoric_Nativ'!$F$6:$F$405,G279,'Istoric_Nativ'!$D$6:$D$405,"&lt;"&amp;J279,'Istoric_Nativ'!$P$6:$P$405,1),COUNTIFS('Istoric_Nativ'!$B$6:$B$405,E279,'Istoric_Nativ'!$C$6:$C$405,F279,'Istoric_Nativ'!$E$6:$E$405,G279,'Istoric_Nativ'!$D$6:$D$405,"&lt;"&amp;J279,'Istoric_Nativ'!$P$6:$P$405,1)+COUNTIFS('Istoric_Nativ'!$B$6:$B$405,E279,'Istoric_Nativ'!$C$6:$C$405,F279,'Istoric_Nativ'!$F$6:$F$405,G279,'Istoric_Nativ'!$D$6:$D$405,"&lt;"&amp;J279,'Istoric_Nativ'!$P$6:$P$405,1))))</x:f>
        <x:v>0</x:v>
      </x:c>
      <x:c r="L279" s="17" t="n">
        <x:f>IF(AND(B279&lt;&gt;"",I279="RECENT",K279&gt;0),LARGE(_xlfn._xlws.FILTER('Istoric_Nativ'!$D$6:$D$405,('Istoric_Nativ'!$B$6:$B$405=E279)*('Istoric_Nativ'!$C$6:$C$405=F279)*('Istoric_Nativ'!$P$6:$P$405=1)*('Istoric_Nativ'!$D$6:$D$405&lt;J279)*((('Istoric_Nativ'!$E$6:$E$405=G279)+('Istoric_Nativ'!$F$6:$F$405=G279))&gt;0)),MIN('Config_v6'!$B$54,K279)),0)</x:f>
        <x:v>0</x:v>
      </x:c>
      <x:c r="M279" s="2" t="n">
        <x:f>IF(OR(B279="",F279=""),0,IF(H279="HOME",COUNTIFS('Istoric_Nativ'!$B$6:$B$405,E279,'Istoric_Nativ'!$C$6:$C$405,F279,'Istoric_Nativ'!$E$6:$E$405,G279,'Istoric_Nativ'!$D$6:$D$405,"&lt;"&amp;J279,'Istoric_Nativ'!$P$6:$P$405,1,'Istoric_Nativ'!$D$6:$D$405,"&gt;="&amp;L279),IF(H279="AWAY",COUNTIFS('Istoric_Nativ'!$B$6:$B$405,E279,'Istoric_Nativ'!$C$6:$C$405,F279,'Istoric_Nativ'!$F$6:$F$405,G279,'Istoric_Nativ'!$D$6:$D$405,"&lt;"&amp;J279,'Istoric_Nativ'!$P$6:$P$405,1,'Istoric_Nativ'!$D$6:$D$405,"&gt;="&amp;L279),COUNTIFS('Istoric_Nativ'!$B$6:$B$405,E279,'Istoric_Nativ'!$C$6:$C$405,F279,'Istoric_Nativ'!$E$6:$E$405,G279,'Istoric_Nativ'!$D$6:$D$405,"&lt;"&amp;J279,'Istoric_Nativ'!$P$6:$P$405,1,'Istoric_Nativ'!$D$6:$D$405,"&gt;="&amp;L279)+COUNTIFS('Istoric_Nativ'!$B$6:$B$405,E279,'Istoric_Nativ'!$C$6:$C$405,F279,'Istoric_Nativ'!$F$6:$F$405,G279,'Istoric_Nativ'!$D$6:$D$405,"&lt;"&amp;J279,'Istoric_Nativ'!$P$6:$P$405,1,'Istoric_Nativ'!$D$6:$D$405,"&gt;="&amp;L279))))</x:f>
        <x:v>0</x:v>
      </x:c>
      <x:c r="N279" s="11" t="str">
        <x:f>IF(M279=0,"",IF(H279="HOME",SUMIFS('Istoric_Nativ'!$G$6:$G$405,'Istoric_Nativ'!$B$6:$B$405,E279,'Istoric_Nativ'!$C$6:$C$405,F279,'Istoric_Nativ'!$E$6:$E$405,G279,'Istoric_Nativ'!$D$6:$D$405,"&lt;"&amp;J279,'Istoric_Nativ'!$P$6:$P$405,1,'Istoric_Nativ'!$D$6:$D$405,"&gt;="&amp;L279),IF(H279="AWAY",SUMIFS('Istoric_Nativ'!$H$6:$H$405,'Istoric_Nativ'!$B$6:$B$405,E279,'Istoric_Nativ'!$C$6:$C$405,F279,'Istoric_Nativ'!$F$6:$F$405,G279,'Istoric_Nativ'!$D$6:$D$405,"&lt;"&amp;J279,'Istoric_Nativ'!$P$6:$P$405,1,'Istoric_Nativ'!$D$6:$D$405,"&gt;="&amp;L279),SUMIFS('Istoric_Nativ'!$G$6:$G$405,'Istoric_Nativ'!$B$6:$B$405,E279,'Istoric_Nativ'!$C$6:$C$405,F279,'Istoric_Nativ'!$E$6:$E$405,G279,'Istoric_Nativ'!$D$6:$D$405,"&lt;"&amp;J279,'Istoric_Nativ'!$P$6:$P$405,1,'Istoric_Nativ'!$D$6:$D$405,"&gt;="&amp;L279)+SUMIFS('Istoric_Nativ'!$H$6:$H$405,'Istoric_Nativ'!$B$6:$B$405,E279,'Istoric_Nativ'!$C$6:$C$405,F279,'Istoric_Nativ'!$F$6:$F$405,G279,'Istoric_Nativ'!$D$6:$D$405,"&lt;"&amp;J279,'Istoric_Nativ'!$P$6:$P$405,1,'Istoric_Nativ'!$D$6:$D$405,"&gt;="&amp;L279)))/M279)</x:f>
      </x:c>
      <x:c r="O279" s="11" t="str">
        <x:f>IF(M279=0,"",IF(H279="HOME",SUMIFS('Istoric_Nativ'!$H$6:$H$405,'Istoric_Nativ'!$B$6:$B$405,E279,'Istoric_Nativ'!$C$6:$C$405,F279,'Istoric_Nativ'!$E$6:$E$405,G279,'Istoric_Nativ'!$D$6:$D$405,"&lt;"&amp;J279,'Istoric_Nativ'!$P$6:$P$405,1,'Istoric_Nativ'!$D$6:$D$405,"&gt;="&amp;L279),IF(H279="AWAY",SUMIFS('Istoric_Nativ'!$G$6:$G$405,'Istoric_Nativ'!$B$6:$B$405,E279,'Istoric_Nativ'!$C$6:$C$405,F279,'Istoric_Nativ'!$F$6:$F$405,G279,'Istoric_Nativ'!$D$6:$D$405,"&lt;"&amp;J279,'Istoric_Nativ'!$P$6:$P$405,1,'Istoric_Nativ'!$D$6:$D$405,"&gt;="&amp;L279),SUMIFS('Istoric_Nativ'!$H$6:$H$405,'Istoric_Nativ'!$B$6:$B$405,E279,'Istoric_Nativ'!$C$6:$C$405,F279,'Istoric_Nativ'!$E$6:$E$405,G279,'Istoric_Nativ'!$D$6:$D$405,"&lt;"&amp;J279,'Istoric_Nativ'!$P$6:$P$405,1,'Istoric_Nativ'!$D$6:$D$405,"&gt;="&amp;L279)+SUMIFS('Istoric_Nativ'!$G$6:$G$405,'Istoric_Nativ'!$B$6:$B$405,E279,'Istoric_Nativ'!$C$6:$C$405,F279,'Istoric_Nativ'!$F$6:$F$405,G279,'Istoric_Nativ'!$D$6:$D$405,"&lt;"&amp;J279,'Istoric_Nativ'!$P$6:$P$405,1,'Istoric_Nativ'!$D$6:$D$405,"&gt;="&amp;L279)))/M279)</x:f>
      </x:c>
      <x:c r="P279" s="2" t="n">
        <x:f>'Config_v6'!$B$7</x:f>
        <x:v>10</x:v>
      </x:c>
      <x:c r="Q279" s="2" t="n">
        <x:f>IF(OR(B279="",F279=""),0,IFERROR(MATCH(E279&amp;"|"&amp;F279,SourceTable[Source_Key],0),0))</x:f>
        <x:v>0</x:v>
      </x:c>
      <x:c r="R279" s="2" t="str">
        <x:f>IF(B279="","",IF(F279="","UNUSED",IF(Q279=0,"NOT CHECKED",IF(COUNTIF(SourceTable[Source_Key],E279&amp;"|"&amp;F279)&lt;&gt;1,"SOURCE CONFLICT",IF(NOT(OR(INDEX(SourceTable[Status],MAX(1,Q279))="IMPORTED",INDEX(SourceTable[Status],MAX(1,Q279))="PARTIAL",INDEX(SourceTable[Status],MAX(1,Q279))="SOURCE CONFLICT")),"ACCESS BLOCKED",IF(OR(INDEX(SourceTable[Coverage],Q279)&lt;&gt;"FULL SEASON EXPORT",INDEX(SourceTable[URL],Q279)="",INDEX(SourceTable[SHA256],Q279)=""),"EVIDENCE INCOMPLETE",IF(AND('Input_Meci'!H28="LIVE",INDEX(SourceTable[Retrieved_UTC],Q279)&gt;'Input_Meci'!G28),"POST CUTOFF","CLOSED")))))))</x:f>
      </x:c>
      <x:c r="S279" s="2" t="n">
        <x:f>IF(OR(B279="",F279=""),0,COUNTIFS('Istoric_Nativ'!$B$6:$B$405,E279,'Istoric_Nativ'!$C$6:$C$405,F279,'Istoric_Nativ'!$E$6:$E$405,G279,'Istoric_Nativ'!$D$6:$D$405,"&lt;"&amp;J279,'Istoric_Nativ'!$O$6:$O$405,"INVALID")+COUNTIFS('Istoric_Nativ'!$B$6:$B$405,E279,'Istoric_Nativ'!$C$6:$C$405,F279,'Istoric_Nativ'!$E$6:$E$405,G279,'Istoric_Nativ'!$O$6:$O$405,"INVALID",'Istoric_Nativ'!$D$6:$D$405,"*")+COUNTIFS('Istoric_Nativ'!$B$6:$B$405,E279,'Istoric_Nativ'!$C$6:$C$405,F279,'Istoric_Nativ'!$E$6:$E$405,G279,'Istoric_Nativ'!$D$6:$D$405,"&lt;"&amp;J279,'Istoric_Nativ'!$O$6:$O$405,"SOURCE CONFLICT")+COUNTIFS('Istoric_Nativ'!$B$6:$B$405,E279,'Istoric_Nativ'!$C$6:$C$405,F279,'Istoric_Nativ'!$F$6:$F$405,G279,'Istoric_Nativ'!$D$6:$D$405,"&lt;"&amp;J279,'Istoric_Nativ'!$O$6:$O$405,"INVALID")+COUNTIFS('Istoric_Nativ'!$B$6:$B$405,E279,'Istoric_Nativ'!$C$6:$C$405,F279,'Istoric_Nativ'!$F$6:$F$405,G279,'Istoric_Nativ'!$O$6:$O$405,"INVALID",'Istoric_Nativ'!$D$6:$D$405,"*")+COUNTIFS('Istoric_Nativ'!$B$6:$B$405,E279,'Istoric_Nativ'!$C$6:$C$405,F279,'Istoric_Nativ'!$F$6:$F$405,G279,'Istoric_Nativ'!$D$6:$D$405,"&lt;"&amp;J279,'Istoric_Nativ'!$O$6:$O$405,"SOURCE CONFLICT"))</x:f>
        <x:v>0</x:v>
      </x:c>
      <x:c r="T279" s="2" t="str">
        <x:f>IF(B279="","",IF(R279&lt;&gt;"CLOSED",R279,IF(S279&gt;0,"NATIVE INPUT ISSUE",IF(M279=0,"NO HISTORY",IF(M279&lt;P279,"SMALL SAMPLE","DERIVED")))))</x:f>
      </x:c>
      <x:c r="U279" s="2" t="str">
        <x:f>IF(B279="","","NativeTable; "&amp;E279&amp;"; "&amp;F279&amp;"; "&amp;G279&amp;"; "&amp;H279&amp;"; before "&amp;TEXT(J279,"yyyy-mm-dd")&amp;IF(I279="RECENT","; from "&amp;TEXT(L279,"yyyy-mm-dd"),""))</x:f>
      </x:c>
    </x:row>
    <x:row r="280" ht="21" customHeight="1">
      <x:c r="A280" s="2" t="n">
        <x:v>23</x:v>
      </x:c>
      <x:c r="B280" s="2" t="str">
        <x:f>IF('Input_Meci'!A28="","",'Input_Meci'!A28)</x:f>
      </x:c>
      <x:c r="C280" s="2" t="str">
        <x:v>A</x:v>
      </x:c>
      <x:c r="D280" s="2" t="str">
        <x:v>PRIOR</x:v>
      </x:c>
      <x:c r="E280" s="2" t="str">
        <x:f>IF(B280="","",'Input_Meci'!B28)</x:f>
      </x:c>
      <x:c r="F280" s="2" t="str">
        <x:f>IF(B280="","",IF('Input_Meci'!K28="","",'Input_Meci'!K28))</x:f>
      </x:c>
      <x:c r="G280" s="2" t="str">
        <x:f>IF(B280="","",'Input_Meci'!E28)</x:f>
      </x:c>
      <x:c r="H280" s="2" t="str">
        <x:v>AWAY</x:v>
      </x:c>
      <x:c r="I280" s="2" t="str">
        <x:v>HA</x:v>
      </x:c>
      <x:c r="J280" s="9" t="n">
        <x:f>IF(AND(B280&lt;&gt;"",ISNUMBER('Input_Meci'!G28)),INT('Input_Meci'!G28),0)</x:f>
        <x:v>0</x:v>
      </x:c>
      <x:c r="K280" s="2" t="n">
        <x:f>IF(OR(B280="",F280=""),0,IF(H280="HOME",COUNTIFS('Istoric_Nativ'!$B$6:$B$405,E280,'Istoric_Nativ'!$C$6:$C$405,F280,'Istoric_Nativ'!$E$6:$E$405,G280,'Istoric_Nativ'!$D$6:$D$405,"&lt;"&amp;J280,'Istoric_Nativ'!$P$6:$P$405,1),IF(H280="AWAY",COUNTIFS('Istoric_Nativ'!$B$6:$B$405,E280,'Istoric_Nativ'!$C$6:$C$405,F280,'Istoric_Nativ'!$F$6:$F$405,G280,'Istoric_Nativ'!$D$6:$D$405,"&lt;"&amp;J280,'Istoric_Nativ'!$P$6:$P$405,1),COUNTIFS('Istoric_Nativ'!$B$6:$B$405,E280,'Istoric_Nativ'!$C$6:$C$405,F280,'Istoric_Nativ'!$E$6:$E$405,G280,'Istoric_Nativ'!$D$6:$D$405,"&lt;"&amp;J280,'Istoric_Nativ'!$P$6:$P$405,1)+COUNTIFS('Istoric_Nativ'!$B$6:$B$405,E280,'Istoric_Nativ'!$C$6:$C$405,F280,'Istoric_Nativ'!$F$6:$F$405,G280,'Istoric_Nativ'!$D$6:$D$405,"&lt;"&amp;J280,'Istoric_Nativ'!$P$6:$P$405,1))))</x:f>
        <x:v>0</x:v>
      </x:c>
      <x:c r="L280" s="17" t="n">
        <x:f>IF(AND(B280&lt;&gt;"",I280="RECENT",K280&gt;0),LARGE(_xlfn._xlws.FILTER('Istoric_Nativ'!$D$6:$D$405,('Istoric_Nativ'!$B$6:$B$405=E280)*('Istoric_Nativ'!$C$6:$C$405=F280)*('Istoric_Nativ'!$P$6:$P$405=1)*('Istoric_Nativ'!$D$6:$D$405&lt;J280)*((('Istoric_Nativ'!$E$6:$E$405=G280)+('Istoric_Nativ'!$F$6:$F$405=G280))&gt;0)),MIN('Config_v6'!$B$54,K280)),0)</x:f>
        <x:v>0</x:v>
      </x:c>
      <x:c r="M280" s="2" t="n">
        <x:f>IF(OR(B280="",F280=""),0,IF(H280="HOME",COUNTIFS('Istoric_Nativ'!$B$6:$B$405,E280,'Istoric_Nativ'!$C$6:$C$405,F280,'Istoric_Nativ'!$E$6:$E$405,G280,'Istoric_Nativ'!$D$6:$D$405,"&lt;"&amp;J280,'Istoric_Nativ'!$P$6:$P$405,1,'Istoric_Nativ'!$D$6:$D$405,"&gt;="&amp;L280),IF(H280="AWAY",COUNTIFS('Istoric_Nativ'!$B$6:$B$405,E280,'Istoric_Nativ'!$C$6:$C$405,F280,'Istoric_Nativ'!$F$6:$F$405,G280,'Istoric_Nativ'!$D$6:$D$405,"&lt;"&amp;J280,'Istoric_Nativ'!$P$6:$P$405,1,'Istoric_Nativ'!$D$6:$D$405,"&gt;="&amp;L280),COUNTIFS('Istoric_Nativ'!$B$6:$B$405,E280,'Istoric_Nativ'!$C$6:$C$405,F280,'Istoric_Nativ'!$E$6:$E$405,G280,'Istoric_Nativ'!$D$6:$D$405,"&lt;"&amp;J280,'Istoric_Nativ'!$P$6:$P$405,1,'Istoric_Nativ'!$D$6:$D$405,"&gt;="&amp;L280)+COUNTIFS('Istoric_Nativ'!$B$6:$B$405,E280,'Istoric_Nativ'!$C$6:$C$405,F280,'Istoric_Nativ'!$F$6:$F$405,G280,'Istoric_Nativ'!$D$6:$D$405,"&lt;"&amp;J280,'Istoric_Nativ'!$P$6:$P$405,1,'Istoric_Nativ'!$D$6:$D$405,"&gt;="&amp;L280))))</x:f>
        <x:v>0</x:v>
      </x:c>
      <x:c r="N280" s="11" t="str">
        <x:f>IF(M280=0,"",IF(H280="HOME",SUMIFS('Istoric_Nativ'!$G$6:$G$405,'Istoric_Nativ'!$B$6:$B$405,E280,'Istoric_Nativ'!$C$6:$C$405,F280,'Istoric_Nativ'!$E$6:$E$405,G280,'Istoric_Nativ'!$D$6:$D$405,"&lt;"&amp;J280,'Istoric_Nativ'!$P$6:$P$405,1,'Istoric_Nativ'!$D$6:$D$405,"&gt;="&amp;L280),IF(H280="AWAY",SUMIFS('Istoric_Nativ'!$H$6:$H$405,'Istoric_Nativ'!$B$6:$B$405,E280,'Istoric_Nativ'!$C$6:$C$405,F280,'Istoric_Nativ'!$F$6:$F$405,G280,'Istoric_Nativ'!$D$6:$D$405,"&lt;"&amp;J280,'Istoric_Nativ'!$P$6:$P$405,1,'Istoric_Nativ'!$D$6:$D$405,"&gt;="&amp;L280),SUMIFS('Istoric_Nativ'!$G$6:$G$405,'Istoric_Nativ'!$B$6:$B$405,E280,'Istoric_Nativ'!$C$6:$C$405,F280,'Istoric_Nativ'!$E$6:$E$405,G280,'Istoric_Nativ'!$D$6:$D$405,"&lt;"&amp;J280,'Istoric_Nativ'!$P$6:$P$405,1,'Istoric_Nativ'!$D$6:$D$405,"&gt;="&amp;L280)+SUMIFS('Istoric_Nativ'!$H$6:$H$405,'Istoric_Nativ'!$B$6:$B$405,E280,'Istoric_Nativ'!$C$6:$C$405,F280,'Istoric_Nativ'!$F$6:$F$405,G280,'Istoric_Nativ'!$D$6:$D$405,"&lt;"&amp;J280,'Istoric_Nativ'!$P$6:$P$405,1,'Istoric_Nativ'!$D$6:$D$405,"&gt;="&amp;L280)))/M280)</x:f>
      </x:c>
      <x:c r="O280" s="11" t="str">
        <x:f>IF(M280=0,"",IF(H280="HOME",SUMIFS('Istoric_Nativ'!$H$6:$H$405,'Istoric_Nativ'!$B$6:$B$405,E280,'Istoric_Nativ'!$C$6:$C$405,F280,'Istoric_Nativ'!$E$6:$E$405,G280,'Istoric_Nativ'!$D$6:$D$405,"&lt;"&amp;J280,'Istoric_Nativ'!$P$6:$P$405,1,'Istoric_Nativ'!$D$6:$D$405,"&gt;="&amp;L280),IF(H280="AWAY",SUMIFS('Istoric_Nativ'!$G$6:$G$405,'Istoric_Nativ'!$B$6:$B$405,E280,'Istoric_Nativ'!$C$6:$C$405,F280,'Istoric_Nativ'!$F$6:$F$405,G280,'Istoric_Nativ'!$D$6:$D$405,"&lt;"&amp;J280,'Istoric_Nativ'!$P$6:$P$405,1,'Istoric_Nativ'!$D$6:$D$405,"&gt;="&amp;L280),SUMIFS('Istoric_Nativ'!$H$6:$H$405,'Istoric_Nativ'!$B$6:$B$405,E280,'Istoric_Nativ'!$C$6:$C$405,F280,'Istoric_Nativ'!$E$6:$E$405,G280,'Istoric_Nativ'!$D$6:$D$405,"&lt;"&amp;J280,'Istoric_Nativ'!$P$6:$P$405,1,'Istoric_Nativ'!$D$6:$D$405,"&gt;="&amp;L280)+SUMIFS('Istoric_Nativ'!$G$6:$G$405,'Istoric_Nativ'!$B$6:$B$405,E280,'Istoric_Nativ'!$C$6:$C$405,F280,'Istoric_Nativ'!$F$6:$F$405,G280,'Istoric_Nativ'!$D$6:$D$405,"&lt;"&amp;J280,'Istoric_Nativ'!$P$6:$P$405,1,'Istoric_Nativ'!$D$6:$D$405,"&gt;="&amp;L280)))/M280)</x:f>
      </x:c>
      <x:c r="P280" s="2" t="n">
        <x:f>'Config_v6'!$B$8</x:f>
        <x:v>5</x:v>
      </x:c>
      <x:c r="Q280" s="2" t="n">
        <x:f>IF(OR(B280="",F280=""),0,IFERROR(MATCH(E280&amp;"|"&amp;F280,SourceTable[Source_Key],0),0))</x:f>
        <x:v>0</x:v>
      </x:c>
      <x:c r="R280" s="2" t="str">
        <x:f>IF(B280="","",IF(F280="","UNUSED",IF(Q280=0,"NOT CHECKED",IF(COUNTIF(SourceTable[Source_Key],E280&amp;"|"&amp;F280)&lt;&gt;1,"SOURCE CONFLICT",IF(NOT(OR(INDEX(SourceTable[Status],MAX(1,Q280))="IMPORTED",INDEX(SourceTable[Status],MAX(1,Q280))="PARTIAL",INDEX(SourceTable[Status],MAX(1,Q280))="SOURCE CONFLICT")),"ACCESS BLOCKED",IF(OR(INDEX(SourceTable[Coverage],Q280)&lt;&gt;"FULL SEASON EXPORT",INDEX(SourceTable[URL],Q280)="",INDEX(SourceTable[SHA256],Q280)=""),"EVIDENCE INCOMPLETE",IF(AND('Input_Meci'!H28="LIVE",INDEX(SourceTable[Retrieved_UTC],Q280)&gt;'Input_Meci'!G28),"POST CUTOFF","CLOSED")))))))</x:f>
      </x:c>
      <x:c r="S280" s="2" t="n">
        <x:f>IF(OR(B280="",F280=""),0,COUNTIFS('Istoric_Nativ'!$B$6:$B$405,E280,'Istoric_Nativ'!$C$6:$C$405,F280,'Istoric_Nativ'!$E$6:$E$405,G280,'Istoric_Nativ'!$D$6:$D$405,"&lt;"&amp;J280,'Istoric_Nativ'!$O$6:$O$405,"INVALID")+COUNTIFS('Istoric_Nativ'!$B$6:$B$405,E280,'Istoric_Nativ'!$C$6:$C$405,F280,'Istoric_Nativ'!$E$6:$E$405,G280,'Istoric_Nativ'!$O$6:$O$405,"INVALID",'Istoric_Nativ'!$D$6:$D$405,"*")+COUNTIFS('Istoric_Nativ'!$B$6:$B$405,E280,'Istoric_Nativ'!$C$6:$C$405,F280,'Istoric_Nativ'!$E$6:$E$405,G280,'Istoric_Nativ'!$D$6:$D$405,"&lt;"&amp;J280,'Istoric_Nativ'!$O$6:$O$405,"SOURCE CONFLICT")+COUNTIFS('Istoric_Nativ'!$B$6:$B$405,E280,'Istoric_Nativ'!$C$6:$C$405,F280,'Istoric_Nativ'!$F$6:$F$405,G280,'Istoric_Nativ'!$D$6:$D$405,"&lt;"&amp;J280,'Istoric_Nativ'!$O$6:$O$405,"INVALID")+COUNTIFS('Istoric_Nativ'!$B$6:$B$405,E280,'Istoric_Nativ'!$C$6:$C$405,F280,'Istoric_Nativ'!$F$6:$F$405,G280,'Istoric_Nativ'!$O$6:$O$405,"INVALID",'Istoric_Nativ'!$D$6:$D$405,"*")+COUNTIFS('Istoric_Nativ'!$B$6:$B$405,E280,'Istoric_Nativ'!$C$6:$C$405,F280,'Istoric_Nativ'!$F$6:$F$405,G280,'Istoric_Nativ'!$D$6:$D$405,"&lt;"&amp;J280,'Istoric_Nativ'!$O$6:$O$405,"SOURCE CONFLICT"))</x:f>
        <x:v>0</x:v>
      </x:c>
      <x:c r="T280" s="2" t="str">
        <x:f>IF(B280="","",IF(R280&lt;&gt;"CLOSED",R280,IF(S280&gt;0,"NATIVE INPUT ISSUE",IF(M280=0,"NO HISTORY",IF(M280&lt;P280,"SMALL SAMPLE","DERIVED")))))</x:f>
      </x:c>
      <x:c r="U280" s="2" t="str">
        <x:f>IF(B280="","","NativeTable; "&amp;E280&amp;"; "&amp;F280&amp;"; "&amp;G280&amp;"; "&amp;H280&amp;"; before "&amp;TEXT(J280,"yyyy-mm-dd")&amp;IF(I280="RECENT","; from "&amp;TEXT(L280,"yyyy-mm-dd"),""))</x:f>
      </x:c>
    </x:row>
    <x:row r="281" ht="21" customHeight="1">
      <x:c r="A281" s="2" t="n">
        <x:v>23</x:v>
      </x:c>
      <x:c r="B281" s="2" t="str">
        <x:f>IF('Input_Meci'!A28="","",'Input_Meci'!A28)</x:f>
      </x:c>
      <x:c r="C281" s="2" t="str">
        <x:v>A</x:v>
      </x:c>
      <x:c r="D281" s="2" t="str">
        <x:v>PRIOR</x:v>
      </x:c>
      <x:c r="E281" s="2" t="str">
        <x:f>IF(B281="","",'Input_Meci'!B28)</x:f>
      </x:c>
      <x:c r="F281" s="2" t="str">
        <x:f>IF(B281="","",IF('Input_Meci'!K28="","",'Input_Meci'!K28))</x:f>
      </x:c>
      <x:c r="G281" s="2" t="str">
        <x:f>IF(B281="","",'Input_Meci'!E28)</x:f>
      </x:c>
      <x:c r="H281" s="2" t="str">
        <x:v>ANY</x:v>
      </x:c>
      <x:c r="I281" s="2" t="str">
        <x:v>RECENT</x:v>
      </x:c>
      <x:c r="J281" s="9" t="n">
        <x:f>IF(AND(B281&lt;&gt;"",ISNUMBER('Input_Meci'!G28)),INT('Input_Meci'!G28),0)</x:f>
        <x:v>0</x:v>
      </x:c>
      <x:c r="K281" s="2" t="n">
        <x:f>IF(OR(B281="",F281=""),0,IF(H281="HOME",COUNTIFS('Istoric_Nativ'!$B$6:$B$405,E281,'Istoric_Nativ'!$C$6:$C$405,F281,'Istoric_Nativ'!$E$6:$E$405,G281,'Istoric_Nativ'!$D$6:$D$405,"&lt;"&amp;J281,'Istoric_Nativ'!$P$6:$P$405,1),IF(H281="AWAY",COUNTIFS('Istoric_Nativ'!$B$6:$B$405,E281,'Istoric_Nativ'!$C$6:$C$405,F281,'Istoric_Nativ'!$F$6:$F$405,G281,'Istoric_Nativ'!$D$6:$D$405,"&lt;"&amp;J281,'Istoric_Nativ'!$P$6:$P$405,1),COUNTIFS('Istoric_Nativ'!$B$6:$B$405,E281,'Istoric_Nativ'!$C$6:$C$405,F281,'Istoric_Nativ'!$E$6:$E$405,G281,'Istoric_Nativ'!$D$6:$D$405,"&lt;"&amp;J281,'Istoric_Nativ'!$P$6:$P$405,1)+COUNTIFS('Istoric_Nativ'!$B$6:$B$405,E281,'Istoric_Nativ'!$C$6:$C$405,F281,'Istoric_Nativ'!$F$6:$F$405,G281,'Istoric_Nativ'!$D$6:$D$405,"&lt;"&amp;J281,'Istoric_Nativ'!$P$6:$P$405,1))))</x:f>
        <x:v>0</x:v>
      </x:c>
      <x:c r="L281" s="17" t="n">
        <x:f>IF(AND(B281&lt;&gt;"",I281="RECENT",K281&gt;0),LARGE(_xlfn._xlws.FILTER('Istoric_Nativ'!$D$6:$D$405,('Istoric_Nativ'!$B$6:$B$405=E281)*('Istoric_Nativ'!$C$6:$C$405=F281)*('Istoric_Nativ'!$P$6:$P$405=1)*('Istoric_Nativ'!$D$6:$D$405&lt;J281)*((('Istoric_Nativ'!$E$6:$E$405=G281)+('Istoric_Nativ'!$F$6:$F$405=G281))&gt;0)),MIN('Config_v6'!$B$54,K281)),0)</x:f>
        <x:v>0</x:v>
      </x:c>
      <x:c r="M281" s="2" t="n">
        <x:f>IF(OR(B281="",F281=""),0,IF(H281="HOME",COUNTIFS('Istoric_Nativ'!$B$6:$B$405,E281,'Istoric_Nativ'!$C$6:$C$405,F281,'Istoric_Nativ'!$E$6:$E$405,G281,'Istoric_Nativ'!$D$6:$D$405,"&lt;"&amp;J281,'Istoric_Nativ'!$P$6:$P$405,1,'Istoric_Nativ'!$D$6:$D$405,"&gt;="&amp;L281),IF(H281="AWAY",COUNTIFS('Istoric_Nativ'!$B$6:$B$405,E281,'Istoric_Nativ'!$C$6:$C$405,F281,'Istoric_Nativ'!$F$6:$F$405,G281,'Istoric_Nativ'!$D$6:$D$405,"&lt;"&amp;J281,'Istoric_Nativ'!$P$6:$P$405,1,'Istoric_Nativ'!$D$6:$D$405,"&gt;="&amp;L281),COUNTIFS('Istoric_Nativ'!$B$6:$B$405,E281,'Istoric_Nativ'!$C$6:$C$405,F281,'Istoric_Nativ'!$E$6:$E$405,G281,'Istoric_Nativ'!$D$6:$D$405,"&lt;"&amp;J281,'Istoric_Nativ'!$P$6:$P$405,1,'Istoric_Nativ'!$D$6:$D$405,"&gt;="&amp;L281)+COUNTIFS('Istoric_Nativ'!$B$6:$B$405,E281,'Istoric_Nativ'!$C$6:$C$405,F281,'Istoric_Nativ'!$F$6:$F$405,G281,'Istoric_Nativ'!$D$6:$D$405,"&lt;"&amp;J281,'Istoric_Nativ'!$P$6:$P$405,1,'Istoric_Nativ'!$D$6:$D$405,"&gt;="&amp;L281))))</x:f>
        <x:v>0</x:v>
      </x:c>
      <x:c r="N281" s="11" t="str">
        <x:f>IF(M281=0,"",IF(H281="HOME",SUMIFS('Istoric_Nativ'!$G$6:$G$405,'Istoric_Nativ'!$B$6:$B$405,E281,'Istoric_Nativ'!$C$6:$C$405,F281,'Istoric_Nativ'!$E$6:$E$405,G281,'Istoric_Nativ'!$D$6:$D$405,"&lt;"&amp;J281,'Istoric_Nativ'!$P$6:$P$405,1,'Istoric_Nativ'!$D$6:$D$405,"&gt;="&amp;L281),IF(H281="AWAY",SUMIFS('Istoric_Nativ'!$H$6:$H$405,'Istoric_Nativ'!$B$6:$B$405,E281,'Istoric_Nativ'!$C$6:$C$405,F281,'Istoric_Nativ'!$F$6:$F$405,G281,'Istoric_Nativ'!$D$6:$D$405,"&lt;"&amp;J281,'Istoric_Nativ'!$P$6:$P$405,1,'Istoric_Nativ'!$D$6:$D$405,"&gt;="&amp;L281),SUMIFS('Istoric_Nativ'!$G$6:$G$405,'Istoric_Nativ'!$B$6:$B$405,E281,'Istoric_Nativ'!$C$6:$C$405,F281,'Istoric_Nativ'!$E$6:$E$405,G281,'Istoric_Nativ'!$D$6:$D$405,"&lt;"&amp;J281,'Istoric_Nativ'!$P$6:$P$405,1,'Istoric_Nativ'!$D$6:$D$405,"&gt;="&amp;L281)+SUMIFS('Istoric_Nativ'!$H$6:$H$405,'Istoric_Nativ'!$B$6:$B$405,E281,'Istoric_Nativ'!$C$6:$C$405,F281,'Istoric_Nativ'!$F$6:$F$405,G281,'Istoric_Nativ'!$D$6:$D$405,"&lt;"&amp;J281,'Istoric_Nativ'!$P$6:$P$405,1,'Istoric_Nativ'!$D$6:$D$405,"&gt;="&amp;L281)))/M281)</x:f>
      </x:c>
      <x:c r="O281" s="11" t="str">
        <x:f>IF(M281=0,"",IF(H281="HOME",SUMIFS('Istoric_Nativ'!$H$6:$H$405,'Istoric_Nativ'!$B$6:$B$405,E281,'Istoric_Nativ'!$C$6:$C$405,F281,'Istoric_Nativ'!$E$6:$E$405,G281,'Istoric_Nativ'!$D$6:$D$405,"&lt;"&amp;J281,'Istoric_Nativ'!$P$6:$P$405,1,'Istoric_Nativ'!$D$6:$D$405,"&gt;="&amp;L281),IF(H281="AWAY",SUMIFS('Istoric_Nativ'!$G$6:$G$405,'Istoric_Nativ'!$B$6:$B$405,E281,'Istoric_Nativ'!$C$6:$C$405,F281,'Istoric_Nativ'!$F$6:$F$405,G281,'Istoric_Nativ'!$D$6:$D$405,"&lt;"&amp;J281,'Istoric_Nativ'!$P$6:$P$405,1,'Istoric_Nativ'!$D$6:$D$405,"&gt;="&amp;L281),SUMIFS('Istoric_Nativ'!$H$6:$H$405,'Istoric_Nativ'!$B$6:$B$405,E281,'Istoric_Nativ'!$C$6:$C$405,F281,'Istoric_Nativ'!$E$6:$E$405,G281,'Istoric_Nativ'!$D$6:$D$405,"&lt;"&amp;J281,'Istoric_Nativ'!$P$6:$P$405,1,'Istoric_Nativ'!$D$6:$D$405,"&gt;="&amp;L281)+SUMIFS('Istoric_Nativ'!$G$6:$G$405,'Istoric_Nativ'!$B$6:$B$405,E281,'Istoric_Nativ'!$C$6:$C$405,F281,'Istoric_Nativ'!$F$6:$F$405,G281,'Istoric_Nativ'!$D$6:$D$405,"&lt;"&amp;J281,'Istoric_Nativ'!$P$6:$P$405,1,'Istoric_Nativ'!$D$6:$D$405,"&gt;="&amp;L281)))/M281)</x:f>
      </x:c>
      <x:c r="P281" s="2" t="n">
        <x:f>'Config_v6'!$B$9</x:f>
        <x:v>3</x:v>
      </x:c>
      <x:c r="Q281" s="2" t="n">
        <x:f>IF(OR(B281="",F281=""),0,IFERROR(MATCH(E281&amp;"|"&amp;F281,SourceTable[Source_Key],0),0))</x:f>
        <x:v>0</x:v>
      </x:c>
      <x:c r="R281" s="2" t="str">
        <x:f>IF(B281="","",IF(F281="","UNUSED",IF(Q281=0,"NOT CHECKED",IF(COUNTIF(SourceTable[Source_Key],E281&amp;"|"&amp;F281)&lt;&gt;1,"SOURCE CONFLICT",IF(NOT(OR(INDEX(SourceTable[Status],MAX(1,Q281))="IMPORTED",INDEX(SourceTable[Status],MAX(1,Q281))="PARTIAL",INDEX(SourceTable[Status],MAX(1,Q281))="SOURCE CONFLICT")),"ACCESS BLOCKED",IF(OR(INDEX(SourceTable[Coverage],Q281)&lt;&gt;"FULL SEASON EXPORT",INDEX(SourceTable[URL],Q281)="",INDEX(SourceTable[SHA256],Q281)=""),"EVIDENCE INCOMPLETE",IF(AND('Input_Meci'!H28="LIVE",INDEX(SourceTable[Retrieved_UTC],Q281)&gt;'Input_Meci'!G28),"POST CUTOFF","CLOSED")))))))</x:f>
      </x:c>
      <x:c r="S281" s="2" t="n">
        <x:f>IF(OR(B281="",F281=""),0,COUNTIFS('Istoric_Nativ'!$B$6:$B$405,E281,'Istoric_Nativ'!$C$6:$C$405,F281,'Istoric_Nativ'!$E$6:$E$405,G281,'Istoric_Nativ'!$D$6:$D$405,"&lt;"&amp;J281,'Istoric_Nativ'!$O$6:$O$405,"INVALID")+COUNTIFS('Istoric_Nativ'!$B$6:$B$405,E281,'Istoric_Nativ'!$C$6:$C$405,F281,'Istoric_Nativ'!$E$6:$E$405,G281,'Istoric_Nativ'!$O$6:$O$405,"INVALID",'Istoric_Nativ'!$D$6:$D$405,"*")+COUNTIFS('Istoric_Nativ'!$B$6:$B$405,E281,'Istoric_Nativ'!$C$6:$C$405,F281,'Istoric_Nativ'!$E$6:$E$405,G281,'Istoric_Nativ'!$D$6:$D$405,"&lt;"&amp;J281,'Istoric_Nativ'!$O$6:$O$405,"SOURCE CONFLICT")+COUNTIFS('Istoric_Nativ'!$B$6:$B$405,E281,'Istoric_Nativ'!$C$6:$C$405,F281,'Istoric_Nativ'!$F$6:$F$405,G281,'Istoric_Nativ'!$D$6:$D$405,"&lt;"&amp;J281,'Istoric_Nativ'!$O$6:$O$405,"INVALID")+COUNTIFS('Istoric_Nativ'!$B$6:$B$405,E281,'Istoric_Nativ'!$C$6:$C$405,F281,'Istoric_Nativ'!$F$6:$F$405,G281,'Istoric_Nativ'!$O$6:$O$405,"INVALID",'Istoric_Nativ'!$D$6:$D$405,"*")+COUNTIFS('Istoric_Nativ'!$B$6:$B$405,E281,'Istoric_Nativ'!$C$6:$C$405,F281,'Istoric_Nativ'!$F$6:$F$405,G281,'Istoric_Nativ'!$D$6:$D$405,"&lt;"&amp;J281,'Istoric_Nativ'!$O$6:$O$405,"SOURCE CONFLICT"))</x:f>
        <x:v>0</x:v>
      </x:c>
      <x:c r="T281" s="2" t="str">
        <x:f>IF(B281="","",IF(R281&lt;&gt;"CLOSED",R281,IF(S281&gt;0,"NATIVE INPUT ISSUE",IF(M281=0,"NO HISTORY",IF(M281&lt;P281,"SMALL SAMPLE","DERIVED")))))</x:f>
      </x:c>
      <x:c r="U281" s="2" t="str">
        <x:f>IF(B281="","","NativeTable; "&amp;E281&amp;"; "&amp;F281&amp;"; "&amp;G281&amp;"; "&amp;H281&amp;"; before "&amp;TEXT(J281,"yyyy-mm-dd")&amp;IF(I281="RECENT","; from "&amp;TEXT(L281,"yyyy-mm-dd"),""))</x:f>
      </x:c>
    </x:row>
    <x:row r="282" ht="21" customHeight="1">
      <x:c r="A282" s="2" t="n">
        <x:v>24</x:v>
      </x:c>
      <x:c r="B282" s="2" t="str">
        <x:f>IF('Input_Meci'!A29="","",'Input_Meci'!A29)</x:f>
      </x:c>
      <x:c r="C282" s="2" t="str">
        <x:v>H</x:v>
      </x:c>
      <x:c r="D282" s="2" t="str">
        <x:v>CURRENT</x:v>
      </x:c>
      <x:c r="E282" s="2" t="str">
        <x:f>IF(B282="","",'Input_Meci'!B29)</x:f>
      </x:c>
      <x:c r="F282" s="2" t="str">
        <x:f>IF(B282="","",IF('Input_Meci'!C29="","",'Input_Meci'!C29))</x:f>
      </x:c>
      <x:c r="G282" s="2" t="str">
        <x:f>IF(B282="","",'Input_Meci'!D29)</x:f>
      </x:c>
      <x:c r="H282" s="2" t="str">
        <x:v>ANY</x:v>
      </x:c>
      <x:c r="I282" s="2" t="str">
        <x:v>SEASON</x:v>
      </x:c>
      <x:c r="J282" s="9" t="n">
        <x:f>IF(AND(B282&lt;&gt;"",ISNUMBER('Input_Meci'!G29)),INT('Input_Meci'!G29),0)</x:f>
        <x:v>0</x:v>
      </x:c>
      <x:c r="K282" s="2" t="n">
        <x:f>IF(OR(B282="",F282=""),0,IF(H282="HOME",COUNTIFS('Istoric_Nativ'!$B$6:$B$405,E282,'Istoric_Nativ'!$C$6:$C$405,F282,'Istoric_Nativ'!$E$6:$E$405,G282,'Istoric_Nativ'!$D$6:$D$405,"&lt;"&amp;J282,'Istoric_Nativ'!$P$6:$P$405,1),IF(H282="AWAY",COUNTIFS('Istoric_Nativ'!$B$6:$B$405,E282,'Istoric_Nativ'!$C$6:$C$405,F282,'Istoric_Nativ'!$F$6:$F$405,G282,'Istoric_Nativ'!$D$6:$D$405,"&lt;"&amp;J282,'Istoric_Nativ'!$P$6:$P$405,1),COUNTIFS('Istoric_Nativ'!$B$6:$B$405,E282,'Istoric_Nativ'!$C$6:$C$405,F282,'Istoric_Nativ'!$E$6:$E$405,G282,'Istoric_Nativ'!$D$6:$D$405,"&lt;"&amp;J282,'Istoric_Nativ'!$P$6:$P$405,1)+COUNTIFS('Istoric_Nativ'!$B$6:$B$405,E282,'Istoric_Nativ'!$C$6:$C$405,F282,'Istoric_Nativ'!$F$6:$F$405,G282,'Istoric_Nativ'!$D$6:$D$405,"&lt;"&amp;J282,'Istoric_Nativ'!$P$6:$P$405,1))))</x:f>
        <x:v>0</x:v>
      </x:c>
      <x:c r="L282" s="17" t="n">
        <x:f>IF(AND(B282&lt;&gt;"",I282="RECENT",K282&gt;0),LARGE(_xlfn._xlws.FILTER('Istoric_Nativ'!$D$6:$D$405,('Istoric_Nativ'!$B$6:$B$405=E282)*('Istoric_Nativ'!$C$6:$C$405=F282)*('Istoric_Nativ'!$P$6:$P$405=1)*('Istoric_Nativ'!$D$6:$D$405&lt;J282)*((('Istoric_Nativ'!$E$6:$E$405=G282)+('Istoric_Nativ'!$F$6:$F$405=G282))&gt;0)),MIN('Config_v6'!$B$54,K282)),0)</x:f>
        <x:v>0</x:v>
      </x:c>
      <x:c r="M282" s="2" t="n">
        <x:f>IF(OR(B282="",F282=""),0,IF(H282="HOME",COUNTIFS('Istoric_Nativ'!$B$6:$B$405,E282,'Istoric_Nativ'!$C$6:$C$405,F282,'Istoric_Nativ'!$E$6:$E$405,G282,'Istoric_Nativ'!$D$6:$D$405,"&lt;"&amp;J282,'Istoric_Nativ'!$P$6:$P$405,1,'Istoric_Nativ'!$D$6:$D$405,"&gt;="&amp;L282),IF(H282="AWAY",COUNTIFS('Istoric_Nativ'!$B$6:$B$405,E282,'Istoric_Nativ'!$C$6:$C$405,F282,'Istoric_Nativ'!$F$6:$F$405,G282,'Istoric_Nativ'!$D$6:$D$405,"&lt;"&amp;J282,'Istoric_Nativ'!$P$6:$P$405,1,'Istoric_Nativ'!$D$6:$D$405,"&gt;="&amp;L282),COUNTIFS('Istoric_Nativ'!$B$6:$B$405,E282,'Istoric_Nativ'!$C$6:$C$405,F282,'Istoric_Nativ'!$E$6:$E$405,G282,'Istoric_Nativ'!$D$6:$D$405,"&lt;"&amp;J282,'Istoric_Nativ'!$P$6:$P$405,1,'Istoric_Nativ'!$D$6:$D$405,"&gt;="&amp;L282)+COUNTIFS('Istoric_Nativ'!$B$6:$B$405,E282,'Istoric_Nativ'!$C$6:$C$405,F282,'Istoric_Nativ'!$F$6:$F$405,G282,'Istoric_Nativ'!$D$6:$D$405,"&lt;"&amp;J282,'Istoric_Nativ'!$P$6:$P$405,1,'Istoric_Nativ'!$D$6:$D$405,"&gt;="&amp;L282))))</x:f>
        <x:v>0</x:v>
      </x:c>
      <x:c r="N282" s="11" t="str">
        <x:f>IF(M282=0,"",IF(H282="HOME",SUMIFS('Istoric_Nativ'!$G$6:$G$405,'Istoric_Nativ'!$B$6:$B$405,E282,'Istoric_Nativ'!$C$6:$C$405,F282,'Istoric_Nativ'!$E$6:$E$405,G282,'Istoric_Nativ'!$D$6:$D$405,"&lt;"&amp;J282,'Istoric_Nativ'!$P$6:$P$405,1,'Istoric_Nativ'!$D$6:$D$405,"&gt;="&amp;L282),IF(H282="AWAY",SUMIFS('Istoric_Nativ'!$H$6:$H$405,'Istoric_Nativ'!$B$6:$B$405,E282,'Istoric_Nativ'!$C$6:$C$405,F282,'Istoric_Nativ'!$F$6:$F$405,G282,'Istoric_Nativ'!$D$6:$D$405,"&lt;"&amp;J282,'Istoric_Nativ'!$P$6:$P$405,1,'Istoric_Nativ'!$D$6:$D$405,"&gt;="&amp;L282),SUMIFS('Istoric_Nativ'!$G$6:$G$405,'Istoric_Nativ'!$B$6:$B$405,E282,'Istoric_Nativ'!$C$6:$C$405,F282,'Istoric_Nativ'!$E$6:$E$405,G282,'Istoric_Nativ'!$D$6:$D$405,"&lt;"&amp;J282,'Istoric_Nativ'!$P$6:$P$405,1,'Istoric_Nativ'!$D$6:$D$405,"&gt;="&amp;L282)+SUMIFS('Istoric_Nativ'!$H$6:$H$405,'Istoric_Nativ'!$B$6:$B$405,E282,'Istoric_Nativ'!$C$6:$C$405,F282,'Istoric_Nativ'!$F$6:$F$405,G282,'Istoric_Nativ'!$D$6:$D$405,"&lt;"&amp;J282,'Istoric_Nativ'!$P$6:$P$405,1,'Istoric_Nativ'!$D$6:$D$405,"&gt;="&amp;L282)))/M282)</x:f>
      </x:c>
      <x:c r="O282" s="11" t="str">
        <x:f>IF(M282=0,"",IF(H282="HOME",SUMIFS('Istoric_Nativ'!$H$6:$H$405,'Istoric_Nativ'!$B$6:$B$405,E282,'Istoric_Nativ'!$C$6:$C$405,F282,'Istoric_Nativ'!$E$6:$E$405,G282,'Istoric_Nativ'!$D$6:$D$405,"&lt;"&amp;J282,'Istoric_Nativ'!$P$6:$P$405,1,'Istoric_Nativ'!$D$6:$D$405,"&gt;="&amp;L282),IF(H282="AWAY",SUMIFS('Istoric_Nativ'!$G$6:$G$405,'Istoric_Nativ'!$B$6:$B$405,E282,'Istoric_Nativ'!$C$6:$C$405,F282,'Istoric_Nativ'!$F$6:$F$405,G282,'Istoric_Nativ'!$D$6:$D$405,"&lt;"&amp;J282,'Istoric_Nativ'!$P$6:$P$405,1,'Istoric_Nativ'!$D$6:$D$405,"&gt;="&amp;L282),SUMIFS('Istoric_Nativ'!$H$6:$H$405,'Istoric_Nativ'!$B$6:$B$405,E282,'Istoric_Nativ'!$C$6:$C$405,F282,'Istoric_Nativ'!$E$6:$E$405,G282,'Istoric_Nativ'!$D$6:$D$405,"&lt;"&amp;J282,'Istoric_Nativ'!$P$6:$P$405,1,'Istoric_Nativ'!$D$6:$D$405,"&gt;="&amp;L282)+SUMIFS('Istoric_Nativ'!$G$6:$G$405,'Istoric_Nativ'!$B$6:$B$405,E282,'Istoric_Nativ'!$C$6:$C$405,F282,'Istoric_Nativ'!$F$6:$F$405,G282,'Istoric_Nativ'!$D$6:$D$405,"&lt;"&amp;J282,'Istoric_Nativ'!$P$6:$P$405,1,'Istoric_Nativ'!$D$6:$D$405,"&gt;="&amp;L282)))/M282)</x:f>
      </x:c>
      <x:c r="P282" s="2" t="n">
        <x:f>'Config_v6'!$B$7</x:f>
        <x:v>10</x:v>
      </x:c>
      <x:c r="Q282" s="2" t="n">
        <x:f>IF(OR(B282="",F282=""),0,IFERROR(MATCH(E282&amp;"|"&amp;F282,SourceTable[Source_Key],0),0))</x:f>
        <x:v>0</x:v>
      </x:c>
      <x:c r="R282" s="2" t="str">
        <x:f>IF(B282="","",IF(F282="","UNUSED",IF(Q282=0,"NOT CHECKED",IF(COUNTIF(SourceTable[Source_Key],E282&amp;"|"&amp;F282)&lt;&gt;1,"SOURCE CONFLICT",IF(NOT(OR(INDEX(SourceTable[Status],MAX(1,Q282))="IMPORTED",INDEX(SourceTable[Status],MAX(1,Q282))="PARTIAL",INDEX(SourceTable[Status],MAX(1,Q282))="SOURCE CONFLICT")),"ACCESS BLOCKED",IF(OR(INDEX(SourceTable[Coverage],Q282)&lt;&gt;"FULL SEASON EXPORT",INDEX(SourceTable[URL],Q282)="",INDEX(SourceTable[SHA256],Q282)=""),"EVIDENCE INCOMPLETE",IF(AND('Input_Meci'!H29="LIVE",INDEX(SourceTable[Retrieved_UTC],Q282)&gt;'Input_Meci'!G29),"POST CUTOFF","CLOSED")))))))</x:f>
      </x:c>
      <x:c r="S282" s="2" t="n">
        <x:f>IF(OR(B282="",F282=""),0,COUNTIFS('Istoric_Nativ'!$B$6:$B$405,E282,'Istoric_Nativ'!$C$6:$C$405,F282,'Istoric_Nativ'!$E$6:$E$405,G282,'Istoric_Nativ'!$D$6:$D$405,"&lt;"&amp;J282,'Istoric_Nativ'!$O$6:$O$405,"INVALID")+COUNTIFS('Istoric_Nativ'!$B$6:$B$405,E282,'Istoric_Nativ'!$C$6:$C$405,F282,'Istoric_Nativ'!$E$6:$E$405,G282,'Istoric_Nativ'!$O$6:$O$405,"INVALID",'Istoric_Nativ'!$D$6:$D$405,"*")+COUNTIFS('Istoric_Nativ'!$B$6:$B$405,E282,'Istoric_Nativ'!$C$6:$C$405,F282,'Istoric_Nativ'!$E$6:$E$405,G282,'Istoric_Nativ'!$D$6:$D$405,"&lt;"&amp;J282,'Istoric_Nativ'!$O$6:$O$405,"SOURCE CONFLICT")+COUNTIFS('Istoric_Nativ'!$B$6:$B$405,E282,'Istoric_Nativ'!$C$6:$C$405,F282,'Istoric_Nativ'!$F$6:$F$405,G282,'Istoric_Nativ'!$D$6:$D$405,"&lt;"&amp;J282,'Istoric_Nativ'!$O$6:$O$405,"INVALID")+COUNTIFS('Istoric_Nativ'!$B$6:$B$405,E282,'Istoric_Nativ'!$C$6:$C$405,F282,'Istoric_Nativ'!$F$6:$F$405,G282,'Istoric_Nativ'!$O$6:$O$405,"INVALID",'Istoric_Nativ'!$D$6:$D$405,"*")+COUNTIFS('Istoric_Nativ'!$B$6:$B$405,E282,'Istoric_Nativ'!$C$6:$C$405,F282,'Istoric_Nativ'!$F$6:$F$405,G282,'Istoric_Nativ'!$D$6:$D$405,"&lt;"&amp;J282,'Istoric_Nativ'!$O$6:$O$405,"SOURCE CONFLICT"))</x:f>
        <x:v>0</x:v>
      </x:c>
      <x:c r="T282" s="2" t="str">
        <x:f>IF(B282="","",IF(R282&lt;&gt;"CLOSED",R282,IF(S282&gt;0,"NATIVE INPUT ISSUE",IF(M282=0,"NO HISTORY",IF(M282&lt;P282,"SMALL SAMPLE","DERIVED")))))</x:f>
      </x:c>
      <x:c r="U282" s="2" t="str">
        <x:f>IF(B282="","","NativeTable; "&amp;E282&amp;"; "&amp;F282&amp;"; "&amp;G282&amp;"; "&amp;H282&amp;"; before "&amp;TEXT(J282,"yyyy-mm-dd")&amp;IF(I282="RECENT","; from "&amp;TEXT(L282,"yyyy-mm-dd"),""))</x:f>
      </x:c>
    </x:row>
    <x:row r="283" ht="21" customHeight="1">
      <x:c r="A283" s="2" t="n">
        <x:v>24</x:v>
      </x:c>
      <x:c r="B283" s="2" t="str">
        <x:f>IF('Input_Meci'!A29="","",'Input_Meci'!A29)</x:f>
      </x:c>
      <x:c r="C283" s="2" t="str">
        <x:v>H</x:v>
      </x:c>
      <x:c r="D283" s="2" t="str">
        <x:v>CURRENT</x:v>
      </x:c>
      <x:c r="E283" s="2" t="str">
        <x:f>IF(B283="","",'Input_Meci'!B29)</x:f>
      </x:c>
      <x:c r="F283" s="2" t="str">
        <x:f>IF(B283="","",IF('Input_Meci'!C29="","",'Input_Meci'!C29))</x:f>
      </x:c>
      <x:c r="G283" s="2" t="str">
        <x:f>IF(B283="","",'Input_Meci'!D29)</x:f>
      </x:c>
      <x:c r="H283" s="2" t="str">
        <x:v>HOME</x:v>
      </x:c>
      <x:c r="I283" s="2" t="str">
        <x:v>HA</x:v>
      </x:c>
      <x:c r="J283" s="9" t="n">
        <x:f>IF(AND(B283&lt;&gt;"",ISNUMBER('Input_Meci'!G29)),INT('Input_Meci'!G29),0)</x:f>
        <x:v>0</x:v>
      </x:c>
      <x:c r="K283" s="2" t="n">
        <x:f>IF(OR(B283="",F283=""),0,IF(H283="HOME",COUNTIFS('Istoric_Nativ'!$B$6:$B$405,E283,'Istoric_Nativ'!$C$6:$C$405,F283,'Istoric_Nativ'!$E$6:$E$405,G283,'Istoric_Nativ'!$D$6:$D$405,"&lt;"&amp;J283,'Istoric_Nativ'!$P$6:$P$405,1),IF(H283="AWAY",COUNTIFS('Istoric_Nativ'!$B$6:$B$405,E283,'Istoric_Nativ'!$C$6:$C$405,F283,'Istoric_Nativ'!$F$6:$F$405,G283,'Istoric_Nativ'!$D$6:$D$405,"&lt;"&amp;J283,'Istoric_Nativ'!$P$6:$P$405,1),COUNTIFS('Istoric_Nativ'!$B$6:$B$405,E283,'Istoric_Nativ'!$C$6:$C$405,F283,'Istoric_Nativ'!$E$6:$E$405,G283,'Istoric_Nativ'!$D$6:$D$405,"&lt;"&amp;J283,'Istoric_Nativ'!$P$6:$P$405,1)+COUNTIFS('Istoric_Nativ'!$B$6:$B$405,E283,'Istoric_Nativ'!$C$6:$C$405,F283,'Istoric_Nativ'!$F$6:$F$405,G283,'Istoric_Nativ'!$D$6:$D$405,"&lt;"&amp;J283,'Istoric_Nativ'!$P$6:$P$405,1))))</x:f>
        <x:v>0</x:v>
      </x:c>
      <x:c r="L283" s="17" t="n">
        <x:f>IF(AND(B283&lt;&gt;"",I283="RECENT",K283&gt;0),LARGE(_xlfn._xlws.FILTER('Istoric_Nativ'!$D$6:$D$405,('Istoric_Nativ'!$B$6:$B$405=E283)*('Istoric_Nativ'!$C$6:$C$405=F283)*('Istoric_Nativ'!$P$6:$P$405=1)*('Istoric_Nativ'!$D$6:$D$405&lt;J283)*((('Istoric_Nativ'!$E$6:$E$405=G283)+('Istoric_Nativ'!$F$6:$F$405=G283))&gt;0)),MIN('Config_v6'!$B$54,K283)),0)</x:f>
        <x:v>0</x:v>
      </x:c>
      <x:c r="M283" s="2" t="n">
        <x:f>IF(OR(B283="",F283=""),0,IF(H283="HOME",COUNTIFS('Istoric_Nativ'!$B$6:$B$405,E283,'Istoric_Nativ'!$C$6:$C$405,F283,'Istoric_Nativ'!$E$6:$E$405,G283,'Istoric_Nativ'!$D$6:$D$405,"&lt;"&amp;J283,'Istoric_Nativ'!$P$6:$P$405,1,'Istoric_Nativ'!$D$6:$D$405,"&gt;="&amp;L283),IF(H283="AWAY",COUNTIFS('Istoric_Nativ'!$B$6:$B$405,E283,'Istoric_Nativ'!$C$6:$C$405,F283,'Istoric_Nativ'!$F$6:$F$405,G283,'Istoric_Nativ'!$D$6:$D$405,"&lt;"&amp;J283,'Istoric_Nativ'!$P$6:$P$405,1,'Istoric_Nativ'!$D$6:$D$405,"&gt;="&amp;L283),COUNTIFS('Istoric_Nativ'!$B$6:$B$405,E283,'Istoric_Nativ'!$C$6:$C$405,F283,'Istoric_Nativ'!$E$6:$E$405,G283,'Istoric_Nativ'!$D$6:$D$405,"&lt;"&amp;J283,'Istoric_Nativ'!$P$6:$P$405,1,'Istoric_Nativ'!$D$6:$D$405,"&gt;="&amp;L283)+COUNTIFS('Istoric_Nativ'!$B$6:$B$405,E283,'Istoric_Nativ'!$C$6:$C$405,F283,'Istoric_Nativ'!$F$6:$F$405,G283,'Istoric_Nativ'!$D$6:$D$405,"&lt;"&amp;J283,'Istoric_Nativ'!$P$6:$P$405,1,'Istoric_Nativ'!$D$6:$D$405,"&gt;="&amp;L283))))</x:f>
        <x:v>0</x:v>
      </x:c>
      <x:c r="N283" s="11" t="str">
        <x:f>IF(M283=0,"",IF(H283="HOME",SUMIFS('Istoric_Nativ'!$G$6:$G$405,'Istoric_Nativ'!$B$6:$B$405,E283,'Istoric_Nativ'!$C$6:$C$405,F283,'Istoric_Nativ'!$E$6:$E$405,G283,'Istoric_Nativ'!$D$6:$D$405,"&lt;"&amp;J283,'Istoric_Nativ'!$P$6:$P$405,1,'Istoric_Nativ'!$D$6:$D$405,"&gt;="&amp;L283),IF(H283="AWAY",SUMIFS('Istoric_Nativ'!$H$6:$H$405,'Istoric_Nativ'!$B$6:$B$405,E283,'Istoric_Nativ'!$C$6:$C$405,F283,'Istoric_Nativ'!$F$6:$F$405,G283,'Istoric_Nativ'!$D$6:$D$405,"&lt;"&amp;J283,'Istoric_Nativ'!$P$6:$P$405,1,'Istoric_Nativ'!$D$6:$D$405,"&gt;="&amp;L283),SUMIFS('Istoric_Nativ'!$G$6:$G$405,'Istoric_Nativ'!$B$6:$B$405,E283,'Istoric_Nativ'!$C$6:$C$405,F283,'Istoric_Nativ'!$E$6:$E$405,G283,'Istoric_Nativ'!$D$6:$D$405,"&lt;"&amp;J283,'Istoric_Nativ'!$P$6:$P$405,1,'Istoric_Nativ'!$D$6:$D$405,"&gt;="&amp;L283)+SUMIFS('Istoric_Nativ'!$H$6:$H$405,'Istoric_Nativ'!$B$6:$B$405,E283,'Istoric_Nativ'!$C$6:$C$405,F283,'Istoric_Nativ'!$F$6:$F$405,G283,'Istoric_Nativ'!$D$6:$D$405,"&lt;"&amp;J283,'Istoric_Nativ'!$P$6:$P$405,1,'Istoric_Nativ'!$D$6:$D$405,"&gt;="&amp;L283)))/M283)</x:f>
      </x:c>
      <x:c r="O283" s="11" t="str">
        <x:f>IF(M283=0,"",IF(H283="HOME",SUMIFS('Istoric_Nativ'!$H$6:$H$405,'Istoric_Nativ'!$B$6:$B$405,E283,'Istoric_Nativ'!$C$6:$C$405,F283,'Istoric_Nativ'!$E$6:$E$405,G283,'Istoric_Nativ'!$D$6:$D$405,"&lt;"&amp;J283,'Istoric_Nativ'!$P$6:$P$405,1,'Istoric_Nativ'!$D$6:$D$405,"&gt;="&amp;L283),IF(H283="AWAY",SUMIFS('Istoric_Nativ'!$G$6:$G$405,'Istoric_Nativ'!$B$6:$B$405,E283,'Istoric_Nativ'!$C$6:$C$405,F283,'Istoric_Nativ'!$F$6:$F$405,G283,'Istoric_Nativ'!$D$6:$D$405,"&lt;"&amp;J283,'Istoric_Nativ'!$P$6:$P$405,1,'Istoric_Nativ'!$D$6:$D$405,"&gt;="&amp;L283),SUMIFS('Istoric_Nativ'!$H$6:$H$405,'Istoric_Nativ'!$B$6:$B$405,E283,'Istoric_Nativ'!$C$6:$C$405,F283,'Istoric_Nativ'!$E$6:$E$405,G283,'Istoric_Nativ'!$D$6:$D$405,"&lt;"&amp;J283,'Istoric_Nativ'!$P$6:$P$405,1,'Istoric_Nativ'!$D$6:$D$405,"&gt;="&amp;L283)+SUMIFS('Istoric_Nativ'!$G$6:$G$405,'Istoric_Nativ'!$B$6:$B$405,E283,'Istoric_Nativ'!$C$6:$C$405,F283,'Istoric_Nativ'!$F$6:$F$405,G283,'Istoric_Nativ'!$D$6:$D$405,"&lt;"&amp;J283,'Istoric_Nativ'!$P$6:$P$405,1,'Istoric_Nativ'!$D$6:$D$405,"&gt;="&amp;L283)))/M283)</x:f>
      </x:c>
      <x:c r="P283" s="2" t="n">
        <x:f>'Config_v6'!$B$8</x:f>
        <x:v>5</x:v>
      </x:c>
      <x:c r="Q283" s="2" t="n">
        <x:f>IF(OR(B283="",F283=""),0,IFERROR(MATCH(E283&amp;"|"&amp;F283,SourceTable[Source_Key],0),0))</x:f>
        <x:v>0</x:v>
      </x:c>
      <x:c r="R283" s="2" t="str">
        <x:f>IF(B283="","",IF(F283="","UNUSED",IF(Q283=0,"NOT CHECKED",IF(COUNTIF(SourceTable[Source_Key],E283&amp;"|"&amp;F283)&lt;&gt;1,"SOURCE CONFLICT",IF(NOT(OR(INDEX(SourceTable[Status],MAX(1,Q283))="IMPORTED",INDEX(SourceTable[Status],MAX(1,Q283))="PARTIAL",INDEX(SourceTable[Status],MAX(1,Q283))="SOURCE CONFLICT")),"ACCESS BLOCKED",IF(OR(INDEX(SourceTable[Coverage],Q283)&lt;&gt;"FULL SEASON EXPORT",INDEX(SourceTable[URL],Q283)="",INDEX(SourceTable[SHA256],Q283)=""),"EVIDENCE INCOMPLETE",IF(AND('Input_Meci'!H29="LIVE",INDEX(SourceTable[Retrieved_UTC],Q283)&gt;'Input_Meci'!G29),"POST CUTOFF","CLOSED")))))))</x:f>
      </x:c>
      <x:c r="S283" s="2" t="n">
        <x:f>IF(OR(B283="",F283=""),0,COUNTIFS('Istoric_Nativ'!$B$6:$B$405,E283,'Istoric_Nativ'!$C$6:$C$405,F283,'Istoric_Nativ'!$E$6:$E$405,G283,'Istoric_Nativ'!$D$6:$D$405,"&lt;"&amp;J283,'Istoric_Nativ'!$O$6:$O$405,"INVALID")+COUNTIFS('Istoric_Nativ'!$B$6:$B$405,E283,'Istoric_Nativ'!$C$6:$C$405,F283,'Istoric_Nativ'!$E$6:$E$405,G283,'Istoric_Nativ'!$O$6:$O$405,"INVALID",'Istoric_Nativ'!$D$6:$D$405,"*")+COUNTIFS('Istoric_Nativ'!$B$6:$B$405,E283,'Istoric_Nativ'!$C$6:$C$405,F283,'Istoric_Nativ'!$E$6:$E$405,G283,'Istoric_Nativ'!$D$6:$D$405,"&lt;"&amp;J283,'Istoric_Nativ'!$O$6:$O$405,"SOURCE CONFLICT")+COUNTIFS('Istoric_Nativ'!$B$6:$B$405,E283,'Istoric_Nativ'!$C$6:$C$405,F283,'Istoric_Nativ'!$F$6:$F$405,G283,'Istoric_Nativ'!$D$6:$D$405,"&lt;"&amp;J283,'Istoric_Nativ'!$O$6:$O$405,"INVALID")+COUNTIFS('Istoric_Nativ'!$B$6:$B$405,E283,'Istoric_Nativ'!$C$6:$C$405,F283,'Istoric_Nativ'!$F$6:$F$405,G283,'Istoric_Nativ'!$O$6:$O$405,"INVALID",'Istoric_Nativ'!$D$6:$D$405,"*")+COUNTIFS('Istoric_Nativ'!$B$6:$B$405,E283,'Istoric_Nativ'!$C$6:$C$405,F283,'Istoric_Nativ'!$F$6:$F$405,G283,'Istoric_Nativ'!$D$6:$D$405,"&lt;"&amp;J283,'Istoric_Nativ'!$O$6:$O$405,"SOURCE CONFLICT"))</x:f>
        <x:v>0</x:v>
      </x:c>
      <x:c r="T283" s="2" t="str">
        <x:f>IF(B283="","",IF(R283&lt;&gt;"CLOSED",R283,IF(S283&gt;0,"NATIVE INPUT ISSUE",IF(M283=0,"NO HISTORY",IF(M283&lt;P283,"SMALL SAMPLE","DERIVED")))))</x:f>
      </x:c>
      <x:c r="U283" s="2" t="str">
        <x:f>IF(B283="","","NativeTable; "&amp;E283&amp;"; "&amp;F283&amp;"; "&amp;G283&amp;"; "&amp;H283&amp;"; before "&amp;TEXT(J283,"yyyy-mm-dd")&amp;IF(I283="RECENT","; from "&amp;TEXT(L283,"yyyy-mm-dd"),""))</x:f>
      </x:c>
    </x:row>
    <x:row r="284" ht="21" customHeight="1">
      <x:c r="A284" s="2" t="n">
        <x:v>24</x:v>
      </x:c>
      <x:c r="B284" s="2" t="str">
        <x:f>IF('Input_Meci'!A29="","",'Input_Meci'!A29)</x:f>
      </x:c>
      <x:c r="C284" s="2" t="str">
        <x:v>H</x:v>
      </x:c>
      <x:c r="D284" s="2" t="str">
        <x:v>CURRENT</x:v>
      </x:c>
      <x:c r="E284" s="2" t="str">
        <x:f>IF(B284="","",'Input_Meci'!B29)</x:f>
      </x:c>
      <x:c r="F284" s="2" t="str">
        <x:f>IF(B284="","",IF('Input_Meci'!C29="","",'Input_Meci'!C29))</x:f>
      </x:c>
      <x:c r="G284" s="2" t="str">
        <x:f>IF(B284="","",'Input_Meci'!D29)</x:f>
      </x:c>
      <x:c r="H284" s="2" t="str">
        <x:v>ANY</x:v>
      </x:c>
      <x:c r="I284" s="2" t="str">
        <x:v>RECENT</x:v>
      </x:c>
      <x:c r="J284" s="9" t="n">
        <x:f>IF(AND(B284&lt;&gt;"",ISNUMBER('Input_Meci'!G29)),INT('Input_Meci'!G29),0)</x:f>
        <x:v>0</x:v>
      </x:c>
      <x:c r="K284" s="2" t="n">
        <x:f>IF(OR(B284="",F284=""),0,IF(H284="HOME",COUNTIFS('Istoric_Nativ'!$B$6:$B$405,E284,'Istoric_Nativ'!$C$6:$C$405,F284,'Istoric_Nativ'!$E$6:$E$405,G284,'Istoric_Nativ'!$D$6:$D$405,"&lt;"&amp;J284,'Istoric_Nativ'!$P$6:$P$405,1),IF(H284="AWAY",COUNTIFS('Istoric_Nativ'!$B$6:$B$405,E284,'Istoric_Nativ'!$C$6:$C$405,F284,'Istoric_Nativ'!$F$6:$F$405,G284,'Istoric_Nativ'!$D$6:$D$405,"&lt;"&amp;J284,'Istoric_Nativ'!$P$6:$P$405,1),COUNTIFS('Istoric_Nativ'!$B$6:$B$405,E284,'Istoric_Nativ'!$C$6:$C$405,F284,'Istoric_Nativ'!$E$6:$E$405,G284,'Istoric_Nativ'!$D$6:$D$405,"&lt;"&amp;J284,'Istoric_Nativ'!$P$6:$P$405,1)+COUNTIFS('Istoric_Nativ'!$B$6:$B$405,E284,'Istoric_Nativ'!$C$6:$C$405,F284,'Istoric_Nativ'!$F$6:$F$405,G284,'Istoric_Nativ'!$D$6:$D$405,"&lt;"&amp;J284,'Istoric_Nativ'!$P$6:$P$405,1))))</x:f>
        <x:v>0</x:v>
      </x:c>
      <x:c r="L284" s="17" t="n">
        <x:f>IF(AND(B284&lt;&gt;"",I284="RECENT",K284&gt;0),LARGE(_xlfn._xlws.FILTER('Istoric_Nativ'!$D$6:$D$405,('Istoric_Nativ'!$B$6:$B$405=E284)*('Istoric_Nativ'!$C$6:$C$405=F284)*('Istoric_Nativ'!$P$6:$P$405=1)*('Istoric_Nativ'!$D$6:$D$405&lt;J284)*((('Istoric_Nativ'!$E$6:$E$405=G284)+('Istoric_Nativ'!$F$6:$F$405=G284))&gt;0)),MIN('Config_v6'!$B$54,K284)),0)</x:f>
        <x:v>0</x:v>
      </x:c>
      <x:c r="M284" s="2" t="n">
        <x:f>IF(OR(B284="",F284=""),0,IF(H284="HOME",COUNTIFS('Istoric_Nativ'!$B$6:$B$405,E284,'Istoric_Nativ'!$C$6:$C$405,F284,'Istoric_Nativ'!$E$6:$E$405,G284,'Istoric_Nativ'!$D$6:$D$405,"&lt;"&amp;J284,'Istoric_Nativ'!$P$6:$P$405,1,'Istoric_Nativ'!$D$6:$D$405,"&gt;="&amp;L284),IF(H284="AWAY",COUNTIFS('Istoric_Nativ'!$B$6:$B$405,E284,'Istoric_Nativ'!$C$6:$C$405,F284,'Istoric_Nativ'!$F$6:$F$405,G284,'Istoric_Nativ'!$D$6:$D$405,"&lt;"&amp;J284,'Istoric_Nativ'!$P$6:$P$405,1,'Istoric_Nativ'!$D$6:$D$405,"&gt;="&amp;L284),COUNTIFS('Istoric_Nativ'!$B$6:$B$405,E284,'Istoric_Nativ'!$C$6:$C$405,F284,'Istoric_Nativ'!$E$6:$E$405,G284,'Istoric_Nativ'!$D$6:$D$405,"&lt;"&amp;J284,'Istoric_Nativ'!$P$6:$P$405,1,'Istoric_Nativ'!$D$6:$D$405,"&gt;="&amp;L284)+COUNTIFS('Istoric_Nativ'!$B$6:$B$405,E284,'Istoric_Nativ'!$C$6:$C$405,F284,'Istoric_Nativ'!$F$6:$F$405,G284,'Istoric_Nativ'!$D$6:$D$405,"&lt;"&amp;J284,'Istoric_Nativ'!$P$6:$P$405,1,'Istoric_Nativ'!$D$6:$D$405,"&gt;="&amp;L284))))</x:f>
        <x:v>0</x:v>
      </x:c>
      <x:c r="N284" s="11" t="str">
        <x:f>IF(M284=0,"",IF(H284="HOME",SUMIFS('Istoric_Nativ'!$G$6:$G$405,'Istoric_Nativ'!$B$6:$B$405,E284,'Istoric_Nativ'!$C$6:$C$405,F284,'Istoric_Nativ'!$E$6:$E$405,G284,'Istoric_Nativ'!$D$6:$D$405,"&lt;"&amp;J284,'Istoric_Nativ'!$P$6:$P$405,1,'Istoric_Nativ'!$D$6:$D$405,"&gt;="&amp;L284),IF(H284="AWAY",SUMIFS('Istoric_Nativ'!$H$6:$H$405,'Istoric_Nativ'!$B$6:$B$405,E284,'Istoric_Nativ'!$C$6:$C$405,F284,'Istoric_Nativ'!$F$6:$F$405,G284,'Istoric_Nativ'!$D$6:$D$405,"&lt;"&amp;J284,'Istoric_Nativ'!$P$6:$P$405,1,'Istoric_Nativ'!$D$6:$D$405,"&gt;="&amp;L284),SUMIFS('Istoric_Nativ'!$G$6:$G$405,'Istoric_Nativ'!$B$6:$B$405,E284,'Istoric_Nativ'!$C$6:$C$405,F284,'Istoric_Nativ'!$E$6:$E$405,G284,'Istoric_Nativ'!$D$6:$D$405,"&lt;"&amp;J284,'Istoric_Nativ'!$P$6:$P$405,1,'Istoric_Nativ'!$D$6:$D$405,"&gt;="&amp;L284)+SUMIFS('Istoric_Nativ'!$H$6:$H$405,'Istoric_Nativ'!$B$6:$B$405,E284,'Istoric_Nativ'!$C$6:$C$405,F284,'Istoric_Nativ'!$F$6:$F$405,G284,'Istoric_Nativ'!$D$6:$D$405,"&lt;"&amp;J284,'Istoric_Nativ'!$P$6:$P$405,1,'Istoric_Nativ'!$D$6:$D$405,"&gt;="&amp;L284)))/M284)</x:f>
      </x:c>
      <x:c r="O284" s="11" t="str">
        <x:f>IF(M284=0,"",IF(H284="HOME",SUMIFS('Istoric_Nativ'!$H$6:$H$405,'Istoric_Nativ'!$B$6:$B$405,E284,'Istoric_Nativ'!$C$6:$C$405,F284,'Istoric_Nativ'!$E$6:$E$405,G284,'Istoric_Nativ'!$D$6:$D$405,"&lt;"&amp;J284,'Istoric_Nativ'!$P$6:$P$405,1,'Istoric_Nativ'!$D$6:$D$405,"&gt;="&amp;L284),IF(H284="AWAY",SUMIFS('Istoric_Nativ'!$G$6:$G$405,'Istoric_Nativ'!$B$6:$B$405,E284,'Istoric_Nativ'!$C$6:$C$405,F284,'Istoric_Nativ'!$F$6:$F$405,G284,'Istoric_Nativ'!$D$6:$D$405,"&lt;"&amp;J284,'Istoric_Nativ'!$P$6:$P$405,1,'Istoric_Nativ'!$D$6:$D$405,"&gt;="&amp;L284),SUMIFS('Istoric_Nativ'!$H$6:$H$405,'Istoric_Nativ'!$B$6:$B$405,E284,'Istoric_Nativ'!$C$6:$C$405,F284,'Istoric_Nativ'!$E$6:$E$405,G284,'Istoric_Nativ'!$D$6:$D$405,"&lt;"&amp;J284,'Istoric_Nativ'!$P$6:$P$405,1,'Istoric_Nativ'!$D$6:$D$405,"&gt;="&amp;L284)+SUMIFS('Istoric_Nativ'!$G$6:$G$405,'Istoric_Nativ'!$B$6:$B$405,E284,'Istoric_Nativ'!$C$6:$C$405,F284,'Istoric_Nativ'!$F$6:$F$405,G284,'Istoric_Nativ'!$D$6:$D$405,"&lt;"&amp;J284,'Istoric_Nativ'!$P$6:$P$405,1,'Istoric_Nativ'!$D$6:$D$405,"&gt;="&amp;L284)))/M284)</x:f>
      </x:c>
      <x:c r="P284" s="2" t="n">
        <x:f>'Config_v6'!$B$9</x:f>
        <x:v>3</x:v>
      </x:c>
      <x:c r="Q284" s="2" t="n">
        <x:f>IF(OR(B284="",F284=""),0,IFERROR(MATCH(E284&amp;"|"&amp;F284,SourceTable[Source_Key],0),0))</x:f>
        <x:v>0</x:v>
      </x:c>
      <x:c r="R284" s="2" t="str">
        <x:f>IF(B284="","",IF(F284="","UNUSED",IF(Q284=0,"NOT CHECKED",IF(COUNTIF(SourceTable[Source_Key],E284&amp;"|"&amp;F284)&lt;&gt;1,"SOURCE CONFLICT",IF(NOT(OR(INDEX(SourceTable[Status],MAX(1,Q284))="IMPORTED",INDEX(SourceTable[Status],MAX(1,Q284))="PARTIAL",INDEX(SourceTable[Status],MAX(1,Q284))="SOURCE CONFLICT")),"ACCESS BLOCKED",IF(OR(INDEX(SourceTable[Coverage],Q284)&lt;&gt;"FULL SEASON EXPORT",INDEX(SourceTable[URL],Q284)="",INDEX(SourceTable[SHA256],Q284)=""),"EVIDENCE INCOMPLETE",IF(AND('Input_Meci'!H29="LIVE",INDEX(SourceTable[Retrieved_UTC],Q284)&gt;'Input_Meci'!G29),"POST CUTOFF","CLOSED")))))))</x:f>
      </x:c>
      <x:c r="S284" s="2" t="n">
        <x:f>IF(OR(B284="",F284=""),0,COUNTIFS('Istoric_Nativ'!$B$6:$B$405,E284,'Istoric_Nativ'!$C$6:$C$405,F284,'Istoric_Nativ'!$E$6:$E$405,G284,'Istoric_Nativ'!$D$6:$D$405,"&lt;"&amp;J284,'Istoric_Nativ'!$O$6:$O$405,"INVALID")+COUNTIFS('Istoric_Nativ'!$B$6:$B$405,E284,'Istoric_Nativ'!$C$6:$C$405,F284,'Istoric_Nativ'!$E$6:$E$405,G284,'Istoric_Nativ'!$O$6:$O$405,"INVALID",'Istoric_Nativ'!$D$6:$D$405,"*")+COUNTIFS('Istoric_Nativ'!$B$6:$B$405,E284,'Istoric_Nativ'!$C$6:$C$405,F284,'Istoric_Nativ'!$E$6:$E$405,G284,'Istoric_Nativ'!$D$6:$D$405,"&lt;"&amp;J284,'Istoric_Nativ'!$O$6:$O$405,"SOURCE CONFLICT")+COUNTIFS('Istoric_Nativ'!$B$6:$B$405,E284,'Istoric_Nativ'!$C$6:$C$405,F284,'Istoric_Nativ'!$F$6:$F$405,G284,'Istoric_Nativ'!$D$6:$D$405,"&lt;"&amp;J284,'Istoric_Nativ'!$O$6:$O$405,"INVALID")+COUNTIFS('Istoric_Nativ'!$B$6:$B$405,E284,'Istoric_Nativ'!$C$6:$C$405,F284,'Istoric_Nativ'!$F$6:$F$405,G284,'Istoric_Nativ'!$O$6:$O$405,"INVALID",'Istoric_Nativ'!$D$6:$D$405,"*")+COUNTIFS('Istoric_Nativ'!$B$6:$B$405,E284,'Istoric_Nativ'!$C$6:$C$405,F284,'Istoric_Nativ'!$F$6:$F$405,G284,'Istoric_Nativ'!$D$6:$D$405,"&lt;"&amp;J284,'Istoric_Nativ'!$O$6:$O$405,"SOURCE CONFLICT"))</x:f>
        <x:v>0</x:v>
      </x:c>
      <x:c r="T284" s="2" t="str">
        <x:f>IF(B284="","",IF(R284&lt;&gt;"CLOSED",R284,IF(S284&gt;0,"NATIVE INPUT ISSUE",IF(M284=0,"NO HISTORY",IF(M284&lt;P284,"SMALL SAMPLE","DERIVED")))))</x:f>
      </x:c>
      <x:c r="U284" s="2" t="str">
        <x:f>IF(B284="","","NativeTable; "&amp;E284&amp;"; "&amp;F284&amp;"; "&amp;G284&amp;"; "&amp;H284&amp;"; before "&amp;TEXT(J284,"yyyy-mm-dd")&amp;IF(I284="RECENT","; from "&amp;TEXT(L284,"yyyy-mm-dd"),""))</x:f>
      </x:c>
    </x:row>
    <x:row r="285" ht="21" customHeight="1">
      <x:c r="A285" s="2" t="n">
        <x:v>24</x:v>
      </x:c>
      <x:c r="B285" s="2" t="str">
        <x:f>IF('Input_Meci'!A29="","",'Input_Meci'!A29)</x:f>
      </x:c>
      <x:c r="C285" s="2" t="str">
        <x:v>A</x:v>
      </x:c>
      <x:c r="D285" s="2" t="str">
        <x:v>CURRENT</x:v>
      </x:c>
      <x:c r="E285" s="2" t="str">
        <x:f>IF(B285="","",'Input_Meci'!B29)</x:f>
      </x:c>
      <x:c r="F285" s="2" t="str">
        <x:f>IF(B285="","",IF('Input_Meci'!C29="","",'Input_Meci'!C29))</x:f>
      </x:c>
      <x:c r="G285" s="2" t="str">
        <x:f>IF(B285="","",'Input_Meci'!E29)</x:f>
      </x:c>
      <x:c r="H285" s="2" t="str">
        <x:v>ANY</x:v>
      </x:c>
      <x:c r="I285" s="2" t="str">
        <x:v>SEASON</x:v>
      </x:c>
      <x:c r="J285" s="9" t="n">
        <x:f>IF(AND(B285&lt;&gt;"",ISNUMBER('Input_Meci'!G29)),INT('Input_Meci'!G29),0)</x:f>
        <x:v>0</x:v>
      </x:c>
      <x:c r="K285" s="2" t="n">
        <x:f>IF(OR(B285="",F285=""),0,IF(H285="HOME",COUNTIFS('Istoric_Nativ'!$B$6:$B$405,E285,'Istoric_Nativ'!$C$6:$C$405,F285,'Istoric_Nativ'!$E$6:$E$405,G285,'Istoric_Nativ'!$D$6:$D$405,"&lt;"&amp;J285,'Istoric_Nativ'!$P$6:$P$405,1),IF(H285="AWAY",COUNTIFS('Istoric_Nativ'!$B$6:$B$405,E285,'Istoric_Nativ'!$C$6:$C$405,F285,'Istoric_Nativ'!$F$6:$F$405,G285,'Istoric_Nativ'!$D$6:$D$405,"&lt;"&amp;J285,'Istoric_Nativ'!$P$6:$P$405,1),COUNTIFS('Istoric_Nativ'!$B$6:$B$405,E285,'Istoric_Nativ'!$C$6:$C$405,F285,'Istoric_Nativ'!$E$6:$E$405,G285,'Istoric_Nativ'!$D$6:$D$405,"&lt;"&amp;J285,'Istoric_Nativ'!$P$6:$P$405,1)+COUNTIFS('Istoric_Nativ'!$B$6:$B$405,E285,'Istoric_Nativ'!$C$6:$C$405,F285,'Istoric_Nativ'!$F$6:$F$405,G285,'Istoric_Nativ'!$D$6:$D$405,"&lt;"&amp;J285,'Istoric_Nativ'!$P$6:$P$405,1))))</x:f>
        <x:v>0</x:v>
      </x:c>
      <x:c r="L285" s="17" t="n">
        <x:f>IF(AND(B285&lt;&gt;"",I285="RECENT",K285&gt;0),LARGE(_xlfn._xlws.FILTER('Istoric_Nativ'!$D$6:$D$405,('Istoric_Nativ'!$B$6:$B$405=E285)*('Istoric_Nativ'!$C$6:$C$405=F285)*('Istoric_Nativ'!$P$6:$P$405=1)*('Istoric_Nativ'!$D$6:$D$405&lt;J285)*((('Istoric_Nativ'!$E$6:$E$405=G285)+('Istoric_Nativ'!$F$6:$F$405=G285))&gt;0)),MIN('Config_v6'!$B$54,K285)),0)</x:f>
        <x:v>0</x:v>
      </x:c>
      <x:c r="M285" s="2" t="n">
        <x:f>IF(OR(B285="",F285=""),0,IF(H285="HOME",COUNTIFS('Istoric_Nativ'!$B$6:$B$405,E285,'Istoric_Nativ'!$C$6:$C$405,F285,'Istoric_Nativ'!$E$6:$E$405,G285,'Istoric_Nativ'!$D$6:$D$405,"&lt;"&amp;J285,'Istoric_Nativ'!$P$6:$P$405,1,'Istoric_Nativ'!$D$6:$D$405,"&gt;="&amp;L285),IF(H285="AWAY",COUNTIFS('Istoric_Nativ'!$B$6:$B$405,E285,'Istoric_Nativ'!$C$6:$C$405,F285,'Istoric_Nativ'!$F$6:$F$405,G285,'Istoric_Nativ'!$D$6:$D$405,"&lt;"&amp;J285,'Istoric_Nativ'!$P$6:$P$405,1,'Istoric_Nativ'!$D$6:$D$405,"&gt;="&amp;L285),COUNTIFS('Istoric_Nativ'!$B$6:$B$405,E285,'Istoric_Nativ'!$C$6:$C$405,F285,'Istoric_Nativ'!$E$6:$E$405,G285,'Istoric_Nativ'!$D$6:$D$405,"&lt;"&amp;J285,'Istoric_Nativ'!$P$6:$P$405,1,'Istoric_Nativ'!$D$6:$D$405,"&gt;="&amp;L285)+COUNTIFS('Istoric_Nativ'!$B$6:$B$405,E285,'Istoric_Nativ'!$C$6:$C$405,F285,'Istoric_Nativ'!$F$6:$F$405,G285,'Istoric_Nativ'!$D$6:$D$405,"&lt;"&amp;J285,'Istoric_Nativ'!$P$6:$P$405,1,'Istoric_Nativ'!$D$6:$D$405,"&gt;="&amp;L285))))</x:f>
        <x:v>0</x:v>
      </x:c>
      <x:c r="N285" s="11" t="str">
        <x:f>IF(M285=0,"",IF(H285="HOME",SUMIFS('Istoric_Nativ'!$G$6:$G$405,'Istoric_Nativ'!$B$6:$B$405,E285,'Istoric_Nativ'!$C$6:$C$405,F285,'Istoric_Nativ'!$E$6:$E$405,G285,'Istoric_Nativ'!$D$6:$D$405,"&lt;"&amp;J285,'Istoric_Nativ'!$P$6:$P$405,1,'Istoric_Nativ'!$D$6:$D$405,"&gt;="&amp;L285),IF(H285="AWAY",SUMIFS('Istoric_Nativ'!$H$6:$H$405,'Istoric_Nativ'!$B$6:$B$405,E285,'Istoric_Nativ'!$C$6:$C$405,F285,'Istoric_Nativ'!$F$6:$F$405,G285,'Istoric_Nativ'!$D$6:$D$405,"&lt;"&amp;J285,'Istoric_Nativ'!$P$6:$P$405,1,'Istoric_Nativ'!$D$6:$D$405,"&gt;="&amp;L285),SUMIFS('Istoric_Nativ'!$G$6:$G$405,'Istoric_Nativ'!$B$6:$B$405,E285,'Istoric_Nativ'!$C$6:$C$405,F285,'Istoric_Nativ'!$E$6:$E$405,G285,'Istoric_Nativ'!$D$6:$D$405,"&lt;"&amp;J285,'Istoric_Nativ'!$P$6:$P$405,1,'Istoric_Nativ'!$D$6:$D$405,"&gt;="&amp;L285)+SUMIFS('Istoric_Nativ'!$H$6:$H$405,'Istoric_Nativ'!$B$6:$B$405,E285,'Istoric_Nativ'!$C$6:$C$405,F285,'Istoric_Nativ'!$F$6:$F$405,G285,'Istoric_Nativ'!$D$6:$D$405,"&lt;"&amp;J285,'Istoric_Nativ'!$P$6:$P$405,1,'Istoric_Nativ'!$D$6:$D$405,"&gt;="&amp;L285)))/M285)</x:f>
      </x:c>
      <x:c r="O285" s="11" t="str">
        <x:f>IF(M285=0,"",IF(H285="HOME",SUMIFS('Istoric_Nativ'!$H$6:$H$405,'Istoric_Nativ'!$B$6:$B$405,E285,'Istoric_Nativ'!$C$6:$C$405,F285,'Istoric_Nativ'!$E$6:$E$405,G285,'Istoric_Nativ'!$D$6:$D$405,"&lt;"&amp;J285,'Istoric_Nativ'!$P$6:$P$405,1,'Istoric_Nativ'!$D$6:$D$405,"&gt;="&amp;L285),IF(H285="AWAY",SUMIFS('Istoric_Nativ'!$G$6:$G$405,'Istoric_Nativ'!$B$6:$B$405,E285,'Istoric_Nativ'!$C$6:$C$405,F285,'Istoric_Nativ'!$F$6:$F$405,G285,'Istoric_Nativ'!$D$6:$D$405,"&lt;"&amp;J285,'Istoric_Nativ'!$P$6:$P$405,1,'Istoric_Nativ'!$D$6:$D$405,"&gt;="&amp;L285),SUMIFS('Istoric_Nativ'!$H$6:$H$405,'Istoric_Nativ'!$B$6:$B$405,E285,'Istoric_Nativ'!$C$6:$C$405,F285,'Istoric_Nativ'!$E$6:$E$405,G285,'Istoric_Nativ'!$D$6:$D$405,"&lt;"&amp;J285,'Istoric_Nativ'!$P$6:$P$405,1,'Istoric_Nativ'!$D$6:$D$405,"&gt;="&amp;L285)+SUMIFS('Istoric_Nativ'!$G$6:$G$405,'Istoric_Nativ'!$B$6:$B$405,E285,'Istoric_Nativ'!$C$6:$C$405,F285,'Istoric_Nativ'!$F$6:$F$405,G285,'Istoric_Nativ'!$D$6:$D$405,"&lt;"&amp;J285,'Istoric_Nativ'!$P$6:$P$405,1,'Istoric_Nativ'!$D$6:$D$405,"&gt;="&amp;L285)))/M285)</x:f>
      </x:c>
      <x:c r="P285" s="2" t="n">
        <x:f>'Config_v6'!$B$7</x:f>
        <x:v>10</x:v>
      </x:c>
      <x:c r="Q285" s="2" t="n">
        <x:f>IF(OR(B285="",F285=""),0,IFERROR(MATCH(E285&amp;"|"&amp;F285,SourceTable[Source_Key],0),0))</x:f>
        <x:v>0</x:v>
      </x:c>
      <x:c r="R285" s="2" t="str">
        <x:f>IF(B285="","",IF(F285="","UNUSED",IF(Q285=0,"NOT CHECKED",IF(COUNTIF(SourceTable[Source_Key],E285&amp;"|"&amp;F285)&lt;&gt;1,"SOURCE CONFLICT",IF(NOT(OR(INDEX(SourceTable[Status],MAX(1,Q285))="IMPORTED",INDEX(SourceTable[Status],MAX(1,Q285))="PARTIAL",INDEX(SourceTable[Status],MAX(1,Q285))="SOURCE CONFLICT")),"ACCESS BLOCKED",IF(OR(INDEX(SourceTable[Coverage],Q285)&lt;&gt;"FULL SEASON EXPORT",INDEX(SourceTable[URL],Q285)="",INDEX(SourceTable[SHA256],Q285)=""),"EVIDENCE INCOMPLETE",IF(AND('Input_Meci'!H29="LIVE",INDEX(SourceTable[Retrieved_UTC],Q285)&gt;'Input_Meci'!G29),"POST CUTOFF","CLOSED")))))))</x:f>
      </x:c>
      <x:c r="S285" s="2" t="n">
        <x:f>IF(OR(B285="",F285=""),0,COUNTIFS('Istoric_Nativ'!$B$6:$B$405,E285,'Istoric_Nativ'!$C$6:$C$405,F285,'Istoric_Nativ'!$E$6:$E$405,G285,'Istoric_Nativ'!$D$6:$D$405,"&lt;"&amp;J285,'Istoric_Nativ'!$O$6:$O$405,"INVALID")+COUNTIFS('Istoric_Nativ'!$B$6:$B$405,E285,'Istoric_Nativ'!$C$6:$C$405,F285,'Istoric_Nativ'!$E$6:$E$405,G285,'Istoric_Nativ'!$O$6:$O$405,"INVALID",'Istoric_Nativ'!$D$6:$D$405,"*")+COUNTIFS('Istoric_Nativ'!$B$6:$B$405,E285,'Istoric_Nativ'!$C$6:$C$405,F285,'Istoric_Nativ'!$E$6:$E$405,G285,'Istoric_Nativ'!$D$6:$D$405,"&lt;"&amp;J285,'Istoric_Nativ'!$O$6:$O$405,"SOURCE CONFLICT")+COUNTIFS('Istoric_Nativ'!$B$6:$B$405,E285,'Istoric_Nativ'!$C$6:$C$405,F285,'Istoric_Nativ'!$F$6:$F$405,G285,'Istoric_Nativ'!$D$6:$D$405,"&lt;"&amp;J285,'Istoric_Nativ'!$O$6:$O$405,"INVALID")+COUNTIFS('Istoric_Nativ'!$B$6:$B$405,E285,'Istoric_Nativ'!$C$6:$C$405,F285,'Istoric_Nativ'!$F$6:$F$405,G285,'Istoric_Nativ'!$O$6:$O$405,"INVALID",'Istoric_Nativ'!$D$6:$D$405,"*")+COUNTIFS('Istoric_Nativ'!$B$6:$B$405,E285,'Istoric_Nativ'!$C$6:$C$405,F285,'Istoric_Nativ'!$F$6:$F$405,G285,'Istoric_Nativ'!$D$6:$D$405,"&lt;"&amp;J285,'Istoric_Nativ'!$O$6:$O$405,"SOURCE CONFLICT"))</x:f>
        <x:v>0</x:v>
      </x:c>
      <x:c r="T285" s="2" t="str">
        <x:f>IF(B285="","",IF(R285&lt;&gt;"CLOSED",R285,IF(S285&gt;0,"NATIVE INPUT ISSUE",IF(M285=0,"NO HISTORY",IF(M285&lt;P285,"SMALL SAMPLE","DERIVED")))))</x:f>
      </x:c>
      <x:c r="U285" s="2" t="str">
        <x:f>IF(B285="","","NativeTable; "&amp;E285&amp;"; "&amp;F285&amp;"; "&amp;G285&amp;"; "&amp;H285&amp;"; before "&amp;TEXT(J285,"yyyy-mm-dd")&amp;IF(I285="RECENT","; from "&amp;TEXT(L285,"yyyy-mm-dd"),""))</x:f>
      </x:c>
    </x:row>
    <x:row r="286" ht="21" customHeight="1">
      <x:c r="A286" s="2" t="n">
        <x:v>24</x:v>
      </x:c>
      <x:c r="B286" s="2" t="str">
        <x:f>IF('Input_Meci'!A29="","",'Input_Meci'!A29)</x:f>
      </x:c>
      <x:c r="C286" s="2" t="str">
        <x:v>A</x:v>
      </x:c>
      <x:c r="D286" s="2" t="str">
        <x:v>CURRENT</x:v>
      </x:c>
      <x:c r="E286" s="2" t="str">
        <x:f>IF(B286="","",'Input_Meci'!B29)</x:f>
      </x:c>
      <x:c r="F286" s="2" t="str">
        <x:f>IF(B286="","",IF('Input_Meci'!C29="","",'Input_Meci'!C29))</x:f>
      </x:c>
      <x:c r="G286" s="2" t="str">
        <x:f>IF(B286="","",'Input_Meci'!E29)</x:f>
      </x:c>
      <x:c r="H286" s="2" t="str">
        <x:v>AWAY</x:v>
      </x:c>
      <x:c r="I286" s="2" t="str">
        <x:v>HA</x:v>
      </x:c>
      <x:c r="J286" s="9" t="n">
        <x:f>IF(AND(B286&lt;&gt;"",ISNUMBER('Input_Meci'!G29)),INT('Input_Meci'!G29),0)</x:f>
        <x:v>0</x:v>
      </x:c>
      <x:c r="K286" s="2" t="n">
        <x:f>IF(OR(B286="",F286=""),0,IF(H286="HOME",COUNTIFS('Istoric_Nativ'!$B$6:$B$405,E286,'Istoric_Nativ'!$C$6:$C$405,F286,'Istoric_Nativ'!$E$6:$E$405,G286,'Istoric_Nativ'!$D$6:$D$405,"&lt;"&amp;J286,'Istoric_Nativ'!$P$6:$P$405,1),IF(H286="AWAY",COUNTIFS('Istoric_Nativ'!$B$6:$B$405,E286,'Istoric_Nativ'!$C$6:$C$405,F286,'Istoric_Nativ'!$F$6:$F$405,G286,'Istoric_Nativ'!$D$6:$D$405,"&lt;"&amp;J286,'Istoric_Nativ'!$P$6:$P$405,1),COUNTIFS('Istoric_Nativ'!$B$6:$B$405,E286,'Istoric_Nativ'!$C$6:$C$405,F286,'Istoric_Nativ'!$E$6:$E$405,G286,'Istoric_Nativ'!$D$6:$D$405,"&lt;"&amp;J286,'Istoric_Nativ'!$P$6:$P$405,1)+COUNTIFS('Istoric_Nativ'!$B$6:$B$405,E286,'Istoric_Nativ'!$C$6:$C$405,F286,'Istoric_Nativ'!$F$6:$F$405,G286,'Istoric_Nativ'!$D$6:$D$405,"&lt;"&amp;J286,'Istoric_Nativ'!$P$6:$P$405,1))))</x:f>
        <x:v>0</x:v>
      </x:c>
      <x:c r="L286" s="17" t="n">
        <x:f>IF(AND(B286&lt;&gt;"",I286="RECENT",K286&gt;0),LARGE(_xlfn._xlws.FILTER('Istoric_Nativ'!$D$6:$D$405,('Istoric_Nativ'!$B$6:$B$405=E286)*('Istoric_Nativ'!$C$6:$C$405=F286)*('Istoric_Nativ'!$P$6:$P$405=1)*('Istoric_Nativ'!$D$6:$D$405&lt;J286)*((('Istoric_Nativ'!$E$6:$E$405=G286)+('Istoric_Nativ'!$F$6:$F$405=G286))&gt;0)),MIN('Config_v6'!$B$54,K286)),0)</x:f>
        <x:v>0</x:v>
      </x:c>
      <x:c r="M286" s="2" t="n">
        <x:f>IF(OR(B286="",F286=""),0,IF(H286="HOME",COUNTIFS('Istoric_Nativ'!$B$6:$B$405,E286,'Istoric_Nativ'!$C$6:$C$405,F286,'Istoric_Nativ'!$E$6:$E$405,G286,'Istoric_Nativ'!$D$6:$D$405,"&lt;"&amp;J286,'Istoric_Nativ'!$P$6:$P$405,1,'Istoric_Nativ'!$D$6:$D$405,"&gt;="&amp;L286),IF(H286="AWAY",COUNTIFS('Istoric_Nativ'!$B$6:$B$405,E286,'Istoric_Nativ'!$C$6:$C$405,F286,'Istoric_Nativ'!$F$6:$F$405,G286,'Istoric_Nativ'!$D$6:$D$405,"&lt;"&amp;J286,'Istoric_Nativ'!$P$6:$P$405,1,'Istoric_Nativ'!$D$6:$D$405,"&gt;="&amp;L286),COUNTIFS('Istoric_Nativ'!$B$6:$B$405,E286,'Istoric_Nativ'!$C$6:$C$405,F286,'Istoric_Nativ'!$E$6:$E$405,G286,'Istoric_Nativ'!$D$6:$D$405,"&lt;"&amp;J286,'Istoric_Nativ'!$P$6:$P$405,1,'Istoric_Nativ'!$D$6:$D$405,"&gt;="&amp;L286)+COUNTIFS('Istoric_Nativ'!$B$6:$B$405,E286,'Istoric_Nativ'!$C$6:$C$405,F286,'Istoric_Nativ'!$F$6:$F$405,G286,'Istoric_Nativ'!$D$6:$D$405,"&lt;"&amp;J286,'Istoric_Nativ'!$P$6:$P$405,1,'Istoric_Nativ'!$D$6:$D$405,"&gt;="&amp;L286))))</x:f>
        <x:v>0</x:v>
      </x:c>
      <x:c r="N286" s="11" t="str">
        <x:f>IF(M286=0,"",IF(H286="HOME",SUMIFS('Istoric_Nativ'!$G$6:$G$405,'Istoric_Nativ'!$B$6:$B$405,E286,'Istoric_Nativ'!$C$6:$C$405,F286,'Istoric_Nativ'!$E$6:$E$405,G286,'Istoric_Nativ'!$D$6:$D$405,"&lt;"&amp;J286,'Istoric_Nativ'!$P$6:$P$405,1,'Istoric_Nativ'!$D$6:$D$405,"&gt;="&amp;L286),IF(H286="AWAY",SUMIFS('Istoric_Nativ'!$H$6:$H$405,'Istoric_Nativ'!$B$6:$B$405,E286,'Istoric_Nativ'!$C$6:$C$405,F286,'Istoric_Nativ'!$F$6:$F$405,G286,'Istoric_Nativ'!$D$6:$D$405,"&lt;"&amp;J286,'Istoric_Nativ'!$P$6:$P$405,1,'Istoric_Nativ'!$D$6:$D$405,"&gt;="&amp;L286),SUMIFS('Istoric_Nativ'!$G$6:$G$405,'Istoric_Nativ'!$B$6:$B$405,E286,'Istoric_Nativ'!$C$6:$C$405,F286,'Istoric_Nativ'!$E$6:$E$405,G286,'Istoric_Nativ'!$D$6:$D$405,"&lt;"&amp;J286,'Istoric_Nativ'!$P$6:$P$405,1,'Istoric_Nativ'!$D$6:$D$405,"&gt;="&amp;L286)+SUMIFS('Istoric_Nativ'!$H$6:$H$405,'Istoric_Nativ'!$B$6:$B$405,E286,'Istoric_Nativ'!$C$6:$C$405,F286,'Istoric_Nativ'!$F$6:$F$405,G286,'Istoric_Nativ'!$D$6:$D$405,"&lt;"&amp;J286,'Istoric_Nativ'!$P$6:$P$405,1,'Istoric_Nativ'!$D$6:$D$405,"&gt;="&amp;L286)))/M286)</x:f>
      </x:c>
      <x:c r="O286" s="11" t="str">
        <x:f>IF(M286=0,"",IF(H286="HOME",SUMIFS('Istoric_Nativ'!$H$6:$H$405,'Istoric_Nativ'!$B$6:$B$405,E286,'Istoric_Nativ'!$C$6:$C$405,F286,'Istoric_Nativ'!$E$6:$E$405,G286,'Istoric_Nativ'!$D$6:$D$405,"&lt;"&amp;J286,'Istoric_Nativ'!$P$6:$P$405,1,'Istoric_Nativ'!$D$6:$D$405,"&gt;="&amp;L286),IF(H286="AWAY",SUMIFS('Istoric_Nativ'!$G$6:$G$405,'Istoric_Nativ'!$B$6:$B$405,E286,'Istoric_Nativ'!$C$6:$C$405,F286,'Istoric_Nativ'!$F$6:$F$405,G286,'Istoric_Nativ'!$D$6:$D$405,"&lt;"&amp;J286,'Istoric_Nativ'!$P$6:$P$405,1,'Istoric_Nativ'!$D$6:$D$405,"&gt;="&amp;L286),SUMIFS('Istoric_Nativ'!$H$6:$H$405,'Istoric_Nativ'!$B$6:$B$405,E286,'Istoric_Nativ'!$C$6:$C$405,F286,'Istoric_Nativ'!$E$6:$E$405,G286,'Istoric_Nativ'!$D$6:$D$405,"&lt;"&amp;J286,'Istoric_Nativ'!$P$6:$P$405,1,'Istoric_Nativ'!$D$6:$D$405,"&gt;="&amp;L286)+SUMIFS('Istoric_Nativ'!$G$6:$G$405,'Istoric_Nativ'!$B$6:$B$405,E286,'Istoric_Nativ'!$C$6:$C$405,F286,'Istoric_Nativ'!$F$6:$F$405,G286,'Istoric_Nativ'!$D$6:$D$405,"&lt;"&amp;J286,'Istoric_Nativ'!$P$6:$P$405,1,'Istoric_Nativ'!$D$6:$D$405,"&gt;="&amp;L286)))/M286)</x:f>
      </x:c>
      <x:c r="P286" s="2" t="n">
        <x:f>'Config_v6'!$B$8</x:f>
        <x:v>5</x:v>
      </x:c>
      <x:c r="Q286" s="2" t="n">
        <x:f>IF(OR(B286="",F286=""),0,IFERROR(MATCH(E286&amp;"|"&amp;F286,SourceTable[Source_Key],0),0))</x:f>
        <x:v>0</x:v>
      </x:c>
      <x:c r="R286" s="2" t="str">
        <x:f>IF(B286="","",IF(F286="","UNUSED",IF(Q286=0,"NOT CHECKED",IF(COUNTIF(SourceTable[Source_Key],E286&amp;"|"&amp;F286)&lt;&gt;1,"SOURCE CONFLICT",IF(NOT(OR(INDEX(SourceTable[Status],MAX(1,Q286))="IMPORTED",INDEX(SourceTable[Status],MAX(1,Q286))="PARTIAL",INDEX(SourceTable[Status],MAX(1,Q286))="SOURCE CONFLICT")),"ACCESS BLOCKED",IF(OR(INDEX(SourceTable[Coverage],Q286)&lt;&gt;"FULL SEASON EXPORT",INDEX(SourceTable[URL],Q286)="",INDEX(SourceTable[SHA256],Q286)=""),"EVIDENCE INCOMPLETE",IF(AND('Input_Meci'!H29="LIVE",INDEX(SourceTable[Retrieved_UTC],Q286)&gt;'Input_Meci'!G29),"POST CUTOFF","CLOSED")))))))</x:f>
      </x:c>
      <x:c r="S286" s="2" t="n">
        <x:f>IF(OR(B286="",F286=""),0,COUNTIFS('Istoric_Nativ'!$B$6:$B$405,E286,'Istoric_Nativ'!$C$6:$C$405,F286,'Istoric_Nativ'!$E$6:$E$405,G286,'Istoric_Nativ'!$D$6:$D$405,"&lt;"&amp;J286,'Istoric_Nativ'!$O$6:$O$405,"INVALID")+COUNTIFS('Istoric_Nativ'!$B$6:$B$405,E286,'Istoric_Nativ'!$C$6:$C$405,F286,'Istoric_Nativ'!$E$6:$E$405,G286,'Istoric_Nativ'!$O$6:$O$405,"INVALID",'Istoric_Nativ'!$D$6:$D$405,"*")+COUNTIFS('Istoric_Nativ'!$B$6:$B$405,E286,'Istoric_Nativ'!$C$6:$C$405,F286,'Istoric_Nativ'!$E$6:$E$405,G286,'Istoric_Nativ'!$D$6:$D$405,"&lt;"&amp;J286,'Istoric_Nativ'!$O$6:$O$405,"SOURCE CONFLICT")+COUNTIFS('Istoric_Nativ'!$B$6:$B$405,E286,'Istoric_Nativ'!$C$6:$C$405,F286,'Istoric_Nativ'!$F$6:$F$405,G286,'Istoric_Nativ'!$D$6:$D$405,"&lt;"&amp;J286,'Istoric_Nativ'!$O$6:$O$405,"INVALID")+COUNTIFS('Istoric_Nativ'!$B$6:$B$405,E286,'Istoric_Nativ'!$C$6:$C$405,F286,'Istoric_Nativ'!$F$6:$F$405,G286,'Istoric_Nativ'!$O$6:$O$405,"INVALID",'Istoric_Nativ'!$D$6:$D$405,"*")+COUNTIFS('Istoric_Nativ'!$B$6:$B$405,E286,'Istoric_Nativ'!$C$6:$C$405,F286,'Istoric_Nativ'!$F$6:$F$405,G286,'Istoric_Nativ'!$D$6:$D$405,"&lt;"&amp;J286,'Istoric_Nativ'!$O$6:$O$405,"SOURCE CONFLICT"))</x:f>
        <x:v>0</x:v>
      </x:c>
      <x:c r="T286" s="2" t="str">
        <x:f>IF(B286="","",IF(R286&lt;&gt;"CLOSED",R286,IF(S286&gt;0,"NATIVE INPUT ISSUE",IF(M286=0,"NO HISTORY",IF(M286&lt;P286,"SMALL SAMPLE","DERIVED")))))</x:f>
      </x:c>
      <x:c r="U286" s="2" t="str">
        <x:f>IF(B286="","","NativeTable; "&amp;E286&amp;"; "&amp;F286&amp;"; "&amp;G286&amp;"; "&amp;H286&amp;"; before "&amp;TEXT(J286,"yyyy-mm-dd")&amp;IF(I286="RECENT","; from "&amp;TEXT(L286,"yyyy-mm-dd"),""))</x:f>
      </x:c>
    </x:row>
    <x:row r="287" ht="21" customHeight="1">
      <x:c r="A287" s="2" t="n">
        <x:v>24</x:v>
      </x:c>
      <x:c r="B287" s="2" t="str">
        <x:f>IF('Input_Meci'!A29="","",'Input_Meci'!A29)</x:f>
      </x:c>
      <x:c r="C287" s="2" t="str">
        <x:v>A</x:v>
      </x:c>
      <x:c r="D287" s="2" t="str">
        <x:v>CURRENT</x:v>
      </x:c>
      <x:c r="E287" s="2" t="str">
        <x:f>IF(B287="","",'Input_Meci'!B29)</x:f>
      </x:c>
      <x:c r="F287" s="2" t="str">
        <x:f>IF(B287="","",IF('Input_Meci'!C29="","",'Input_Meci'!C29))</x:f>
      </x:c>
      <x:c r="G287" s="2" t="str">
        <x:f>IF(B287="","",'Input_Meci'!E29)</x:f>
      </x:c>
      <x:c r="H287" s="2" t="str">
        <x:v>ANY</x:v>
      </x:c>
      <x:c r="I287" s="2" t="str">
        <x:v>RECENT</x:v>
      </x:c>
      <x:c r="J287" s="9" t="n">
        <x:f>IF(AND(B287&lt;&gt;"",ISNUMBER('Input_Meci'!G29)),INT('Input_Meci'!G29),0)</x:f>
        <x:v>0</x:v>
      </x:c>
      <x:c r="K287" s="2" t="n">
        <x:f>IF(OR(B287="",F287=""),0,IF(H287="HOME",COUNTIFS('Istoric_Nativ'!$B$6:$B$405,E287,'Istoric_Nativ'!$C$6:$C$405,F287,'Istoric_Nativ'!$E$6:$E$405,G287,'Istoric_Nativ'!$D$6:$D$405,"&lt;"&amp;J287,'Istoric_Nativ'!$P$6:$P$405,1),IF(H287="AWAY",COUNTIFS('Istoric_Nativ'!$B$6:$B$405,E287,'Istoric_Nativ'!$C$6:$C$405,F287,'Istoric_Nativ'!$F$6:$F$405,G287,'Istoric_Nativ'!$D$6:$D$405,"&lt;"&amp;J287,'Istoric_Nativ'!$P$6:$P$405,1),COUNTIFS('Istoric_Nativ'!$B$6:$B$405,E287,'Istoric_Nativ'!$C$6:$C$405,F287,'Istoric_Nativ'!$E$6:$E$405,G287,'Istoric_Nativ'!$D$6:$D$405,"&lt;"&amp;J287,'Istoric_Nativ'!$P$6:$P$405,1)+COUNTIFS('Istoric_Nativ'!$B$6:$B$405,E287,'Istoric_Nativ'!$C$6:$C$405,F287,'Istoric_Nativ'!$F$6:$F$405,G287,'Istoric_Nativ'!$D$6:$D$405,"&lt;"&amp;J287,'Istoric_Nativ'!$P$6:$P$405,1))))</x:f>
        <x:v>0</x:v>
      </x:c>
      <x:c r="L287" s="17" t="n">
        <x:f>IF(AND(B287&lt;&gt;"",I287="RECENT",K287&gt;0),LARGE(_xlfn._xlws.FILTER('Istoric_Nativ'!$D$6:$D$405,('Istoric_Nativ'!$B$6:$B$405=E287)*('Istoric_Nativ'!$C$6:$C$405=F287)*('Istoric_Nativ'!$P$6:$P$405=1)*('Istoric_Nativ'!$D$6:$D$405&lt;J287)*((('Istoric_Nativ'!$E$6:$E$405=G287)+('Istoric_Nativ'!$F$6:$F$405=G287))&gt;0)),MIN('Config_v6'!$B$54,K287)),0)</x:f>
        <x:v>0</x:v>
      </x:c>
      <x:c r="M287" s="2" t="n">
        <x:f>IF(OR(B287="",F287=""),0,IF(H287="HOME",COUNTIFS('Istoric_Nativ'!$B$6:$B$405,E287,'Istoric_Nativ'!$C$6:$C$405,F287,'Istoric_Nativ'!$E$6:$E$405,G287,'Istoric_Nativ'!$D$6:$D$405,"&lt;"&amp;J287,'Istoric_Nativ'!$P$6:$P$405,1,'Istoric_Nativ'!$D$6:$D$405,"&gt;="&amp;L287),IF(H287="AWAY",COUNTIFS('Istoric_Nativ'!$B$6:$B$405,E287,'Istoric_Nativ'!$C$6:$C$405,F287,'Istoric_Nativ'!$F$6:$F$405,G287,'Istoric_Nativ'!$D$6:$D$405,"&lt;"&amp;J287,'Istoric_Nativ'!$P$6:$P$405,1,'Istoric_Nativ'!$D$6:$D$405,"&gt;="&amp;L287),COUNTIFS('Istoric_Nativ'!$B$6:$B$405,E287,'Istoric_Nativ'!$C$6:$C$405,F287,'Istoric_Nativ'!$E$6:$E$405,G287,'Istoric_Nativ'!$D$6:$D$405,"&lt;"&amp;J287,'Istoric_Nativ'!$P$6:$P$405,1,'Istoric_Nativ'!$D$6:$D$405,"&gt;="&amp;L287)+COUNTIFS('Istoric_Nativ'!$B$6:$B$405,E287,'Istoric_Nativ'!$C$6:$C$405,F287,'Istoric_Nativ'!$F$6:$F$405,G287,'Istoric_Nativ'!$D$6:$D$405,"&lt;"&amp;J287,'Istoric_Nativ'!$P$6:$P$405,1,'Istoric_Nativ'!$D$6:$D$405,"&gt;="&amp;L287))))</x:f>
        <x:v>0</x:v>
      </x:c>
      <x:c r="N287" s="11" t="str">
        <x:f>IF(M287=0,"",IF(H287="HOME",SUMIFS('Istoric_Nativ'!$G$6:$G$405,'Istoric_Nativ'!$B$6:$B$405,E287,'Istoric_Nativ'!$C$6:$C$405,F287,'Istoric_Nativ'!$E$6:$E$405,G287,'Istoric_Nativ'!$D$6:$D$405,"&lt;"&amp;J287,'Istoric_Nativ'!$P$6:$P$405,1,'Istoric_Nativ'!$D$6:$D$405,"&gt;="&amp;L287),IF(H287="AWAY",SUMIFS('Istoric_Nativ'!$H$6:$H$405,'Istoric_Nativ'!$B$6:$B$405,E287,'Istoric_Nativ'!$C$6:$C$405,F287,'Istoric_Nativ'!$F$6:$F$405,G287,'Istoric_Nativ'!$D$6:$D$405,"&lt;"&amp;J287,'Istoric_Nativ'!$P$6:$P$405,1,'Istoric_Nativ'!$D$6:$D$405,"&gt;="&amp;L287),SUMIFS('Istoric_Nativ'!$G$6:$G$405,'Istoric_Nativ'!$B$6:$B$405,E287,'Istoric_Nativ'!$C$6:$C$405,F287,'Istoric_Nativ'!$E$6:$E$405,G287,'Istoric_Nativ'!$D$6:$D$405,"&lt;"&amp;J287,'Istoric_Nativ'!$P$6:$P$405,1,'Istoric_Nativ'!$D$6:$D$405,"&gt;="&amp;L287)+SUMIFS('Istoric_Nativ'!$H$6:$H$405,'Istoric_Nativ'!$B$6:$B$405,E287,'Istoric_Nativ'!$C$6:$C$405,F287,'Istoric_Nativ'!$F$6:$F$405,G287,'Istoric_Nativ'!$D$6:$D$405,"&lt;"&amp;J287,'Istoric_Nativ'!$P$6:$P$405,1,'Istoric_Nativ'!$D$6:$D$405,"&gt;="&amp;L287)))/M287)</x:f>
      </x:c>
      <x:c r="O287" s="11" t="str">
        <x:f>IF(M287=0,"",IF(H287="HOME",SUMIFS('Istoric_Nativ'!$H$6:$H$405,'Istoric_Nativ'!$B$6:$B$405,E287,'Istoric_Nativ'!$C$6:$C$405,F287,'Istoric_Nativ'!$E$6:$E$405,G287,'Istoric_Nativ'!$D$6:$D$405,"&lt;"&amp;J287,'Istoric_Nativ'!$P$6:$P$405,1,'Istoric_Nativ'!$D$6:$D$405,"&gt;="&amp;L287),IF(H287="AWAY",SUMIFS('Istoric_Nativ'!$G$6:$G$405,'Istoric_Nativ'!$B$6:$B$405,E287,'Istoric_Nativ'!$C$6:$C$405,F287,'Istoric_Nativ'!$F$6:$F$405,G287,'Istoric_Nativ'!$D$6:$D$405,"&lt;"&amp;J287,'Istoric_Nativ'!$P$6:$P$405,1,'Istoric_Nativ'!$D$6:$D$405,"&gt;="&amp;L287),SUMIFS('Istoric_Nativ'!$H$6:$H$405,'Istoric_Nativ'!$B$6:$B$405,E287,'Istoric_Nativ'!$C$6:$C$405,F287,'Istoric_Nativ'!$E$6:$E$405,G287,'Istoric_Nativ'!$D$6:$D$405,"&lt;"&amp;J287,'Istoric_Nativ'!$P$6:$P$405,1,'Istoric_Nativ'!$D$6:$D$405,"&gt;="&amp;L287)+SUMIFS('Istoric_Nativ'!$G$6:$G$405,'Istoric_Nativ'!$B$6:$B$405,E287,'Istoric_Nativ'!$C$6:$C$405,F287,'Istoric_Nativ'!$F$6:$F$405,G287,'Istoric_Nativ'!$D$6:$D$405,"&lt;"&amp;J287,'Istoric_Nativ'!$P$6:$P$405,1,'Istoric_Nativ'!$D$6:$D$405,"&gt;="&amp;L287)))/M287)</x:f>
      </x:c>
      <x:c r="P287" s="2" t="n">
        <x:f>'Config_v6'!$B$9</x:f>
        <x:v>3</x:v>
      </x:c>
      <x:c r="Q287" s="2" t="n">
        <x:f>IF(OR(B287="",F287=""),0,IFERROR(MATCH(E287&amp;"|"&amp;F287,SourceTable[Source_Key],0),0))</x:f>
        <x:v>0</x:v>
      </x:c>
      <x:c r="R287" s="2" t="str">
        <x:f>IF(B287="","",IF(F287="","UNUSED",IF(Q287=0,"NOT CHECKED",IF(COUNTIF(SourceTable[Source_Key],E287&amp;"|"&amp;F287)&lt;&gt;1,"SOURCE CONFLICT",IF(NOT(OR(INDEX(SourceTable[Status],MAX(1,Q287))="IMPORTED",INDEX(SourceTable[Status],MAX(1,Q287))="PARTIAL",INDEX(SourceTable[Status],MAX(1,Q287))="SOURCE CONFLICT")),"ACCESS BLOCKED",IF(OR(INDEX(SourceTable[Coverage],Q287)&lt;&gt;"FULL SEASON EXPORT",INDEX(SourceTable[URL],Q287)="",INDEX(SourceTable[SHA256],Q287)=""),"EVIDENCE INCOMPLETE",IF(AND('Input_Meci'!H29="LIVE",INDEX(SourceTable[Retrieved_UTC],Q287)&gt;'Input_Meci'!G29),"POST CUTOFF","CLOSED")))))))</x:f>
      </x:c>
      <x:c r="S287" s="2" t="n">
        <x:f>IF(OR(B287="",F287=""),0,COUNTIFS('Istoric_Nativ'!$B$6:$B$405,E287,'Istoric_Nativ'!$C$6:$C$405,F287,'Istoric_Nativ'!$E$6:$E$405,G287,'Istoric_Nativ'!$D$6:$D$405,"&lt;"&amp;J287,'Istoric_Nativ'!$O$6:$O$405,"INVALID")+COUNTIFS('Istoric_Nativ'!$B$6:$B$405,E287,'Istoric_Nativ'!$C$6:$C$405,F287,'Istoric_Nativ'!$E$6:$E$405,G287,'Istoric_Nativ'!$O$6:$O$405,"INVALID",'Istoric_Nativ'!$D$6:$D$405,"*")+COUNTIFS('Istoric_Nativ'!$B$6:$B$405,E287,'Istoric_Nativ'!$C$6:$C$405,F287,'Istoric_Nativ'!$E$6:$E$405,G287,'Istoric_Nativ'!$D$6:$D$405,"&lt;"&amp;J287,'Istoric_Nativ'!$O$6:$O$405,"SOURCE CONFLICT")+COUNTIFS('Istoric_Nativ'!$B$6:$B$405,E287,'Istoric_Nativ'!$C$6:$C$405,F287,'Istoric_Nativ'!$F$6:$F$405,G287,'Istoric_Nativ'!$D$6:$D$405,"&lt;"&amp;J287,'Istoric_Nativ'!$O$6:$O$405,"INVALID")+COUNTIFS('Istoric_Nativ'!$B$6:$B$405,E287,'Istoric_Nativ'!$C$6:$C$405,F287,'Istoric_Nativ'!$F$6:$F$405,G287,'Istoric_Nativ'!$O$6:$O$405,"INVALID",'Istoric_Nativ'!$D$6:$D$405,"*")+COUNTIFS('Istoric_Nativ'!$B$6:$B$405,E287,'Istoric_Nativ'!$C$6:$C$405,F287,'Istoric_Nativ'!$F$6:$F$405,G287,'Istoric_Nativ'!$D$6:$D$405,"&lt;"&amp;J287,'Istoric_Nativ'!$O$6:$O$405,"SOURCE CONFLICT"))</x:f>
        <x:v>0</x:v>
      </x:c>
      <x:c r="T287" s="2" t="str">
        <x:f>IF(B287="","",IF(R287&lt;&gt;"CLOSED",R287,IF(S287&gt;0,"NATIVE INPUT ISSUE",IF(M287=0,"NO HISTORY",IF(M287&lt;P287,"SMALL SAMPLE","DERIVED")))))</x:f>
      </x:c>
      <x:c r="U287" s="2" t="str">
        <x:f>IF(B287="","","NativeTable; "&amp;E287&amp;"; "&amp;F287&amp;"; "&amp;G287&amp;"; "&amp;H287&amp;"; before "&amp;TEXT(J287,"yyyy-mm-dd")&amp;IF(I287="RECENT","; from "&amp;TEXT(L287,"yyyy-mm-dd"),""))</x:f>
      </x:c>
    </x:row>
    <x:row r="288" ht="21" customHeight="1">
      <x:c r="A288" s="2" t="n">
        <x:v>24</x:v>
      </x:c>
      <x:c r="B288" s="2" t="str">
        <x:f>IF('Input_Meci'!A29="","",'Input_Meci'!A29)</x:f>
      </x:c>
      <x:c r="C288" s="2" t="str">
        <x:v>H</x:v>
      </x:c>
      <x:c r="D288" s="2" t="str">
        <x:v>PRIOR</x:v>
      </x:c>
      <x:c r="E288" s="2" t="str">
        <x:f>IF(B288="","",'Input_Meci'!B29)</x:f>
      </x:c>
      <x:c r="F288" s="2" t="str">
        <x:f>IF(B288="","",IF('Input_Meci'!K29="","",'Input_Meci'!K29))</x:f>
      </x:c>
      <x:c r="G288" s="2" t="str">
        <x:f>IF(B288="","",'Input_Meci'!D29)</x:f>
      </x:c>
      <x:c r="H288" s="2" t="str">
        <x:v>ANY</x:v>
      </x:c>
      <x:c r="I288" s="2" t="str">
        <x:v>SEASON</x:v>
      </x:c>
      <x:c r="J288" s="9" t="n">
        <x:f>IF(AND(B288&lt;&gt;"",ISNUMBER('Input_Meci'!G29)),INT('Input_Meci'!G29),0)</x:f>
        <x:v>0</x:v>
      </x:c>
      <x:c r="K288" s="2" t="n">
        <x:f>IF(OR(B288="",F288=""),0,IF(H288="HOME",COUNTIFS('Istoric_Nativ'!$B$6:$B$405,E288,'Istoric_Nativ'!$C$6:$C$405,F288,'Istoric_Nativ'!$E$6:$E$405,G288,'Istoric_Nativ'!$D$6:$D$405,"&lt;"&amp;J288,'Istoric_Nativ'!$P$6:$P$405,1),IF(H288="AWAY",COUNTIFS('Istoric_Nativ'!$B$6:$B$405,E288,'Istoric_Nativ'!$C$6:$C$405,F288,'Istoric_Nativ'!$F$6:$F$405,G288,'Istoric_Nativ'!$D$6:$D$405,"&lt;"&amp;J288,'Istoric_Nativ'!$P$6:$P$405,1),COUNTIFS('Istoric_Nativ'!$B$6:$B$405,E288,'Istoric_Nativ'!$C$6:$C$405,F288,'Istoric_Nativ'!$E$6:$E$405,G288,'Istoric_Nativ'!$D$6:$D$405,"&lt;"&amp;J288,'Istoric_Nativ'!$P$6:$P$405,1)+COUNTIFS('Istoric_Nativ'!$B$6:$B$405,E288,'Istoric_Nativ'!$C$6:$C$405,F288,'Istoric_Nativ'!$F$6:$F$405,G288,'Istoric_Nativ'!$D$6:$D$405,"&lt;"&amp;J288,'Istoric_Nativ'!$P$6:$P$405,1))))</x:f>
        <x:v>0</x:v>
      </x:c>
      <x:c r="L288" s="17" t="n">
        <x:f>IF(AND(B288&lt;&gt;"",I288="RECENT",K288&gt;0),LARGE(_xlfn._xlws.FILTER('Istoric_Nativ'!$D$6:$D$405,('Istoric_Nativ'!$B$6:$B$405=E288)*('Istoric_Nativ'!$C$6:$C$405=F288)*('Istoric_Nativ'!$P$6:$P$405=1)*('Istoric_Nativ'!$D$6:$D$405&lt;J288)*((('Istoric_Nativ'!$E$6:$E$405=G288)+('Istoric_Nativ'!$F$6:$F$405=G288))&gt;0)),MIN('Config_v6'!$B$54,K288)),0)</x:f>
        <x:v>0</x:v>
      </x:c>
      <x:c r="M288" s="2" t="n">
        <x:f>IF(OR(B288="",F288=""),0,IF(H288="HOME",COUNTIFS('Istoric_Nativ'!$B$6:$B$405,E288,'Istoric_Nativ'!$C$6:$C$405,F288,'Istoric_Nativ'!$E$6:$E$405,G288,'Istoric_Nativ'!$D$6:$D$405,"&lt;"&amp;J288,'Istoric_Nativ'!$P$6:$P$405,1,'Istoric_Nativ'!$D$6:$D$405,"&gt;="&amp;L288),IF(H288="AWAY",COUNTIFS('Istoric_Nativ'!$B$6:$B$405,E288,'Istoric_Nativ'!$C$6:$C$405,F288,'Istoric_Nativ'!$F$6:$F$405,G288,'Istoric_Nativ'!$D$6:$D$405,"&lt;"&amp;J288,'Istoric_Nativ'!$P$6:$P$405,1,'Istoric_Nativ'!$D$6:$D$405,"&gt;="&amp;L288),COUNTIFS('Istoric_Nativ'!$B$6:$B$405,E288,'Istoric_Nativ'!$C$6:$C$405,F288,'Istoric_Nativ'!$E$6:$E$405,G288,'Istoric_Nativ'!$D$6:$D$405,"&lt;"&amp;J288,'Istoric_Nativ'!$P$6:$P$405,1,'Istoric_Nativ'!$D$6:$D$405,"&gt;="&amp;L288)+COUNTIFS('Istoric_Nativ'!$B$6:$B$405,E288,'Istoric_Nativ'!$C$6:$C$405,F288,'Istoric_Nativ'!$F$6:$F$405,G288,'Istoric_Nativ'!$D$6:$D$405,"&lt;"&amp;J288,'Istoric_Nativ'!$P$6:$P$405,1,'Istoric_Nativ'!$D$6:$D$405,"&gt;="&amp;L288))))</x:f>
        <x:v>0</x:v>
      </x:c>
      <x:c r="N288" s="11" t="str">
        <x:f>IF(M288=0,"",IF(H288="HOME",SUMIFS('Istoric_Nativ'!$G$6:$G$405,'Istoric_Nativ'!$B$6:$B$405,E288,'Istoric_Nativ'!$C$6:$C$405,F288,'Istoric_Nativ'!$E$6:$E$405,G288,'Istoric_Nativ'!$D$6:$D$405,"&lt;"&amp;J288,'Istoric_Nativ'!$P$6:$P$405,1,'Istoric_Nativ'!$D$6:$D$405,"&gt;="&amp;L288),IF(H288="AWAY",SUMIFS('Istoric_Nativ'!$H$6:$H$405,'Istoric_Nativ'!$B$6:$B$405,E288,'Istoric_Nativ'!$C$6:$C$405,F288,'Istoric_Nativ'!$F$6:$F$405,G288,'Istoric_Nativ'!$D$6:$D$405,"&lt;"&amp;J288,'Istoric_Nativ'!$P$6:$P$405,1,'Istoric_Nativ'!$D$6:$D$405,"&gt;="&amp;L288),SUMIFS('Istoric_Nativ'!$G$6:$G$405,'Istoric_Nativ'!$B$6:$B$405,E288,'Istoric_Nativ'!$C$6:$C$405,F288,'Istoric_Nativ'!$E$6:$E$405,G288,'Istoric_Nativ'!$D$6:$D$405,"&lt;"&amp;J288,'Istoric_Nativ'!$P$6:$P$405,1,'Istoric_Nativ'!$D$6:$D$405,"&gt;="&amp;L288)+SUMIFS('Istoric_Nativ'!$H$6:$H$405,'Istoric_Nativ'!$B$6:$B$405,E288,'Istoric_Nativ'!$C$6:$C$405,F288,'Istoric_Nativ'!$F$6:$F$405,G288,'Istoric_Nativ'!$D$6:$D$405,"&lt;"&amp;J288,'Istoric_Nativ'!$P$6:$P$405,1,'Istoric_Nativ'!$D$6:$D$405,"&gt;="&amp;L288)))/M288)</x:f>
      </x:c>
      <x:c r="O288" s="11" t="str">
        <x:f>IF(M288=0,"",IF(H288="HOME",SUMIFS('Istoric_Nativ'!$H$6:$H$405,'Istoric_Nativ'!$B$6:$B$405,E288,'Istoric_Nativ'!$C$6:$C$405,F288,'Istoric_Nativ'!$E$6:$E$405,G288,'Istoric_Nativ'!$D$6:$D$405,"&lt;"&amp;J288,'Istoric_Nativ'!$P$6:$P$405,1,'Istoric_Nativ'!$D$6:$D$405,"&gt;="&amp;L288),IF(H288="AWAY",SUMIFS('Istoric_Nativ'!$G$6:$G$405,'Istoric_Nativ'!$B$6:$B$405,E288,'Istoric_Nativ'!$C$6:$C$405,F288,'Istoric_Nativ'!$F$6:$F$405,G288,'Istoric_Nativ'!$D$6:$D$405,"&lt;"&amp;J288,'Istoric_Nativ'!$P$6:$P$405,1,'Istoric_Nativ'!$D$6:$D$405,"&gt;="&amp;L288),SUMIFS('Istoric_Nativ'!$H$6:$H$405,'Istoric_Nativ'!$B$6:$B$405,E288,'Istoric_Nativ'!$C$6:$C$405,F288,'Istoric_Nativ'!$E$6:$E$405,G288,'Istoric_Nativ'!$D$6:$D$405,"&lt;"&amp;J288,'Istoric_Nativ'!$P$6:$P$405,1,'Istoric_Nativ'!$D$6:$D$405,"&gt;="&amp;L288)+SUMIFS('Istoric_Nativ'!$G$6:$G$405,'Istoric_Nativ'!$B$6:$B$405,E288,'Istoric_Nativ'!$C$6:$C$405,F288,'Istoric_Nativ'!$F$6:$F$405,G288,'Istoric_Nativ'!$D$6:$D$405,"&lt;"&amp;J288,'Istoric_Nativ'!$P$6:$P$405,1,'Istoric_Nativ'!$D$6:$D$405,"&gt;="&amp;L288)))/M288)</x:f>
      </x:c>
      <x:c r="P288" s="2" t="n">
        <x:f>'Config_v6'!$B$7</x:f>
        <x:v>10</x:v>
      </x:c>
      <x:c r="Q288" s="2" t="n">
        <x:f>IF(OR(B288="",F288=""),0,IFERROR(MATCH(E288&amp;"|"&amp;F288,SourceTable[Source_Key],0),0))</x:f>
        <x:v>0</x:v>
      </x:c>
      <x:c r="R288" s="2" t="str">
        <x:f>IF(B288="","",IF(F288="","UNUSED",IF(Q288=0,"NOT CHECKED",IF(COUNTIF(SourceTable[Source_Key],E288&amp;"|"&amp;F288)&lt;&gt;1,"SOURCE CONFLICT",IF(NOT(OR(INDEX(SourceTable[Status],MAX(1,Q288))="IMPORTED",INDEX(SourceTable[Status],MAX(1,Q288))="PARTIAL",INDEX(SourceTable[Status],MAX(1,Q288))="SOURCE CONFLICT")),"ACCESS BLOCKED",IF(OR(INDEX(SourceTable[Coverage],Q288)&lt;&gt;"FULL SEASON EXPORT",INDEX(SourceTable[URL],Q288)="",INDEX(SourceTable[SHA256],Q288)=""),"EVIDENCE INCOMPLETE",IF(AND('Input_Meci'!H29="LIVE",INDEX(SourceTable[Retrieved_UTC],Q288)&gt;'Input_Meci'!G29),"POST CUTOFF","CLOSED")))))))</x:f>
      </x:c>
      <x:c r="S288" s="2" t="n">
        <x:f>IF(OR(B288="",F288=""),0,COUNTIFS('Istoric_Nativ'!$B$6:$B$405,E288,'Istoric_Nativ'!$C$6:$C$405,F288,'Istoric_Nativ'!$E$6:$E$405,G288,'Istoric_Nativ'!$D$6:$D$405,"&lt;"&amp;J288,'Istoric_Nativ'!$O$6:$O$405,"INVALID")+COUNTIFS('Istoric_Nativ'!$B$6:$B$405,E288,'Istoric_Nativ'!$C$6:$C$405,F288,'Istoric_Nativ'!$E$6:$E$405,G288,'Istoric_Nativ'!$O$6:$O$405,"INVALID",'Istoric_Nativ'!$D$6:$D$405,"*")+COUNTIFS('Istoric_Nativ'!$B$6:$B$405,E288,'Istoric_Nativ'!$C$6:$C$405,F288,'Istoric_Nativ'!$E$6:$E$405,G288,'Istoric_Nativ'!$D$6:$D$405,"&lt;"&amp;J288,'Istoric_Nativ'!$O$6:$O$405,"SOURCE CONFLICT")+COUNTIFS('Istoric_Nativ'!$B$6:$B$405,E288,'Istoric_Nativ'!$C$6:$C$405,F288,'Istoric_Nativ'!$F$6:$F$405,G288,'Istoric_Nativ'!$D$6:$D$405,"&lt;"&amp;J288,'Istoric_Nativ'!$O$6:$O$405,"INVALID")+COUNTIFS('Istoric_Nativ'!$B$6:$B$405,E288,'Istoric_Nativ'!$C$6:$C$405,F288,'Istoric_Nativ'!$F$6:$F$405,G288,'Istoric_Nativ'!$O$6:$O$405,"INVALID",'Istoric_Nativ'!$D$6:$D$405,"*")+COUNTIFS('Istoric_Nativ'!$B$6:$B$405,E288,'Istoric_Nativ'!$C$6:$C$405,F288,'Istoric_Nativ'!$F$6:$F$405,G288,'Istoric_Nativ'!$D$6:$D$405,"&lt;"&amp;J288,'Istoric_Nativ'!$O$6:$O$405,"SOURCE CONFLICT"))</x:f>
        <x:v>0</x:v>
      </x:c>
      <x:c r="T288" s="2" t="str">
        <x:f>IF(B288="","",IF(R288&lt;&gt;"CLOSED",R288,IF(S288&gt;0,"NATIVE INPUT ISSUE",IF(M288=0,"NO HISTORY",IF(M288&lt;P288,"SMALL SAMPLE","DERIVED")))))</x:f>
      </x:c>
      <x:c r="U288" s="2" t="str">
        <x:f>IF(B288="","","NativeTable; "&amp;E288&amp;"; "&amp;F288&amp;"; "&amp;G288&amp;"; "&amp;H288&amp;"; before "&amp;TEXT(J288,"yyyy-mm-dd")&amp;IF(I288="RECENT","; from "&amp;TEXT(L288,"yyyy-mm-dd"),""))</x:f>
      </x:c>
    </x:row>
    <x:row r="289" ht="21" customHeight="1">
      <x:c r="A289" s="2" t="n">
        <x:v>24</x:v>
      </x:c>
      <x:c r="B289" s="2" t="str">
        <x:f>IF('Input_Meci'!A29="","",'Input_Meci'!A29)</x:f>
      </x:c>
      <x:c r="C289" s="2" t="str">
        <x:v>H</x:v>
      </x:c>
      <x:c r="D289" s="2" t="str">
        <x:v>PRIOR</x:v>
      </x:c>
      <x:c r="E289" s="2" t="str">
        <x:f>IF(B289="","",'Input_Meci'!B29)</x:f>
      </x:c>
      <x:c r="F289" s="2" t="str">
        <x:f>IF(B289="","",IF('Input_Meci'!K29="","",'Input_Meci'!K29))</x:f>
      </x:c>
      <x:c r="G289" s="2" t="str">
        <x:f>IF(B289="","",'Input_Meci'!D29)</x:f>
      </x:c>
      <x:c r="H289" s="2" t="str">
        <x:v>HOME</x:v>
      </x:c>
      <x:c r="I289" s="2" t="str">
        <x:v>HA</x:v>
      </x:c>
      <x:c r="J289" s="9" t="n">
        <x:f>IF(AND(B289&lt;&gt;"",ISNUMBER('Input_Meci'!G29)),INT('Input_Meci'!G29),0)</x:f>
        <x:v>0</x:v>
      </x:c>
      <x:c r="K289" s="2" t="n">
        <x:f>IF(OR(B289="",F289=""),0,IF(H289="HOME",COUNTIFS('Istoric_Nativ'!$B$6:$B$405,E289,'Istoric_Nativ'!$C$6:$C$405,F289,'Istoric_Nativ'!$E$6:$E$405,G289,'Istoric_Nativ'!$D$6:$D$405,"&lt;"&amp;J289,'Istoric_Nativ'!$P$6:$P$405,1),IF(H289="AWAY",COUNTIFS('Istoric_Nativ'!$B$6:$B$405,E289,'Istoric_Nativ'!$C$6:$C$405,F289,'Istoric_Nativ'!$F$6:$F$405,G289,'Istoric_Nativ'!$D$6:$D$405,"&lt;"&amp;J289,'Istoric_Nativ'!$P$6:$P$405,1),COUNTIFS('Istoric_Nativ'!$B$6:$B$405,E289,'Istoric_Nativ'!$C$6:$C$405,F289,'Istoric_Nativ'!$E$6:$E$405,G289,'Istoric_Nativ'!$D$6:$D$405,"&lt;"&amp;J289,'Istoric_Nativ'!$P$6:$P$405,1)+COUNTIFS('Istoric_Nativ'!$B$6:$B$405,E289,'Istoric_Nativ'!$C$6:$C$405,F289,'Istoric_Nativ'!$F$6:$F$405,G289,'Istoric_Nativ'!$D$6:$D$405,"&lt;"&amp;J289,'Istoric_Nativ'!$P$6:$P$405,1))))</x:f>
        <x:v>0</x:v>
      </x:c>
      <x:c r="L289" s="17" t="n">
        <x:f>IF(AND(B289&lt;&gt;"",I289="RECENT",K289&gt;0),LARGE(_xlfn._xlws.FILTER('Istoric_Nativ'!$D$6:$D$405,('Istoric_Nativ'!$B$6:$B$405=E289)*('Istoric_Nativ'!$C$6:$C$405=F289)*('Istoric_Nativ'!$P$6:$P$405=1)*('Istoric_Nativ'!$D$6:$D$405&lt;J289)*((('Istoric_Nativ'!$E$6:$E$405=G289)+('Istoric_Nativ'!$F$6:$F$405=G289))&gt;0)),MIN('Config_v6'!$B$54,K289)),0)</x:f>
        <x:v>0</x:v>
      </x:c>
      <x:c r="M289" s="2" t="n">
        <x:f>IF(OR(B289="",F289=""),0,IF(H289="HOME",COUNTIFS('Istoric_Nativ'!$B$6:$B$405,E289,'Istoric_Nativ'!$C$6:$C$405,F289,'Istoric_Nativ'!$E$6:$E$405,G289,'Istoric_Nativ'!$D$6:$D$405,"&lt;"&amp;J289,'Istoric_Nativ'!$P$6:$P$405,1,'Istoric_Nativ'!$D$6:$D$405,"&gt;="&amp;L289),IF(H289="AWAY",COUNTIFS('Istoric_Nativ'!$B$6:$B$405,E289,'Istoric_Nativ'!$C$6:$C$405,F289,'Istoric_Nativ'!$F$6:$F$405,G289,'Istoric_Nativ'!$D$6:$D$405,"&lt;"&amp;J289,'Istoric_Nativ'!$P$6:$P$405,1,'Istoric_Nativ'!$D$6:$D$405,"&gt;="&amp;L289),COUNTIFS('Istoric_Nativ'!$B$6:$B$405,E289,'Istoric_Nativ'!$C$6:$C$405,F289,'Istoric_Nativ'!$E$6:$E$405,G289,'Istoric_Nativ'!$D$6:$D$405,"&lt;"&amp;J289,'Istoric_Nativ'!$P$6:$P$405,1,'Istoric_Nativ'!$D$6:$D$405,"&gt;="&amp;L289)+COUNTIFS('Istoric_Nativ'!$B$6:$B$405,E289,'Istoric_Nativ'!$C$6:$C$405,F289,'Istoric_Nativ'!$F$6:$F$405,G289,'Istoric_Nativ'!$D$6:$D$405,"&lt;"&amp;J289,'Istoric_Nativ'!$P$6:$P$405,1,'Istoric_Nativ'!$D$6:$D$405,"&gt;="&amp;L289))))</x:f>
        <x:v>0</x:v>
      </x:c>
      <x:c r="N289" s="11" t="str">
        <x:f>IF(M289=0,"",IF(H289="HOME",SUMIFS('Istoric_Nativ'!$G$6:$G$405,'Istoric_Nativ'!$B$6:$B$405,E289,'Istoric_Nativ'!$C$6:$C$405,F289,'Istoric_Nativ'!$E$6:$E$405,G289,'Istoric_Nativ'!$D$6:$D$405,"&lt;"&amp;J289,'Istoric_Nativ'!$P$6:$P$405,1,'Istoric_Nativ'!$D$6:$D$405,"&gt;="&amp;L289),IF(H289="AWAY",SUMIFS('Istoric_Nativ'!$H$6:$H$405,'Istoric_Nativ'!$B$6:$B$405,E289,'Istoric_Nativ'!$C$6:$C$405,F289,'Istoric_Nativ'!$F$6:$F$405,G289,'Istoric_Nativ'!$D$6:$D$405,"&lt;"&amp;J289,'Istoric_Nativ'!$P$6:$P$405,1,'Istoric_Nativ'!$D$6:$D$405,"&gt;="&amp;L289),SUMIFS('Istoric_Nativ'!$G$6:$G$405,'Istoric_Nativ'!$B$6:$B$405,E289,'Istoric_Nativ'!$C$6:$C$405,F289,'Istoric_Nativ'!$E$6:$E$405,G289,'Istoric_Nativ'!$D$6:$D$405,"&lt;"&amp;J289,'Istoric_Nativ'!$P$6:$P$405,1,'Istoric_Nativ'!$D$6:$D$405,"&gt;="&amp;L289)+SUMIFS('Istoric_Nativ'!$H$6:$H$405,'Istoric_Nativ'!$B$6:$B$405,E289,'Istoric_Nativ'!$C$6:$C$405,F289,'Istoric_Nativ'!$F$6:$F$405,G289,'Istoric_Nativ'!$D$6:$D$405,"&lt;"&amp;J289,'Istoric_Nativ'!$P$6:$P$405,1,'Istoric_Nativ'!$D$6:$D$405,"&gt;="&amp;L289)))/M289)</x:f>
      </x:c>
      <x:c r="O289" s="11" t="str">
        <x:f>IF(M289=0,"",IF(H289="HOME",SUMIFS('Istoric_Nativ'!$H$6:$H$405,'Istoric_Nativ'!$B$6:$B$405,E289,'Istoric_Nativ'!$C$6:$C$405,F289,'Istoric_Nativ'!$E$6:$E$405,G289,'Istoric_Nativ'!$D$6:$D$405,"&lt;"&amp;J289,'Istoric_Nativ'!$P$6:$P$405,1,'Istoric_Nativ'!$D$6:$D$405,"&gt;="&amp;L289),IF(H289="AWAY",SUMIFS('Istoric_Nativ'!$G$6:$G$405,'Istoric_Nativ'!$B$6:$B$405,E289,'Istoric_Nativ'!$C$6:$C$405,F289,'Istoric_Nativ'!$F$6:$F$405,G289,'Istoric_Nativ'!$D$6:$D$405,"&lt;"&amp;J289,'Istoric_Nativ'!$P$6:$P$405,1,'Istoric_Nativ'!$D$6:$D$405,"&gt;="&amp;L289),SUMIFS('Istoric_Nativ'!$H$6:$H$405,'Istoric_Nativ'!$B$6:$B$405,E289,'Istoric_Nativ'!$C$6:$C$405,F289,'Istoric_Nativ'!$E$6:$E$405,G289,'Istoric_Nativ'!$D$6:$D$405,"&lt;"&amp;J289,'Istoric_Nativ'!$P$6:$P$405,1,'Istoric_Nativ'!$D$6:$D$405,"&gt;="&amp;L289)+SUMIFS('Istoric_Nativ'!$G$6:$G$405,'Istoric_Nativ'!$B$6:$B$405,E289,'Istoric_Nativ'!$C$6:$C$405,F289,'Istoric_Nativ'!$F$6:$F$405,G289,'Istoric_Nativ'!$D$6:$D$405,"&lt;"&amp;J289,'Istoric_Nativ'!$P$6:$P$405,1,'Istoric_Nativ'!$D$6:$D$405,"&gt;="&amp;L289)))/M289)</x:f>
      </x:c>
      <x:c r="P289" s="2" t="n">
        <x:f>'Config_v6'!$B$8</x:f>
        <x:v>5</x:v>
      </x:c>
      <x:c r="Q289" s="2" t="n">
        <x:f>IF(OR(B289="",F289=""),0,IFERROR(MATCH(E289&amp;"|"&amp;F289,SourceTable[Source_Key],0),0))</x:f>
        <x:v>0</x:v>
      </x:c>
      <x:c r="R289" s="2" t="str">
        <x:f>IF(B289="","",IF(F289="","UNUSED",IF(Q289=0,"NOT CHECKED",IF(COUNTIF(SourceTable[Source_Key],E289&amp;"|"&amp;F289)&lt;&gt;1,"SOURCE CONFLICT",IF(NOT(OR(INDEX(SourceTable[Status],MAX(1,Q289))="IMPORTED",INDEX(SourceTable[Status],MAX(1,Q289))="PARTIAL",INDEX(SourceTable[Status],MAX(1,Q289))="SOURCE CONFLICT")),"ACCESS BLOCKED",IF(OR(INDEX(SourceTable[Coverage],Q289)&lt;&gt;"FULL SEASON EXPORT",INDEX(SourceTable[URL],Q289)="",INDEX(SourceTable[SHA256],Q289)=""),"EVIDENCE INCOMPLETE",IF(AND('Input_Meci'!H29="LIVE",INDEX(SourceTable[Retrieved_UTC],Q289)&gt;'Input_Meci'!G29),"POST CUTOFF","CLOSED")))))))</x:f>
      </x:c>
      <x:c r="S289" s="2" t="n">
        <x:f>IF(OR(B289="",F289=""),0,COUNTIFS('Istoric_Nativ'!$B$6:$B$405,E289,'Istoric_Nativ'!$C$6:$C$405,F289,'Istoric_Nativ'!$E$6:$E$405,G289,'Istoric_Nativ'!$D$6:$D$405,"&lt;"&amp;J289,'Istoric_Nativ'!$O$6:$O$405,"INVALID")+COUNTIFS('Istoric_Nativ'!$B$6:$B$405,E289,'Istoric_Nativ'!$C$6:$C$405,F289,'Istoric_Nativ'!$E$6:$E$405,G289,'Istoric_Nativ'!$O$6:$O$405,"INVALID",'Istoric_Nativ'!$D$6:$D$405,"*")+COUNTIFS('Istoric_Nativ'!$B$6:$B$405,E289,'Istoric_Nativ'!$C$6:$C$405,F289,'Istoric_Nativ'!$E$6:$E$405,G289,'Istoric_Nativ'!$D$6:$D$405,"&lt;"&amp;J289,'Istoric_Nativ'!$O$6:$O$405,"SOURCE CONFLICT")+COUNTIFS('Istoric_Nativ'!$B$6:$B$405,E289,'Istoric_Nativ'!$C$6:$C$405,F289,'Istoric_Nativ'!$F$6:$F$405,G289,'Istoric_Nativ'!$D$6:$D$405,"&lt;"&amp;J289,'Istoric_Nativ'!$O$6:$O$405,"INVALID")+COUNTIFS('Istoric_Nativ'!$B$6:$B$405,E289,'Istoric_Nativ'!$C$6:$C$405,F289,'Istoric_Nativ'!$F$6:$F$405,G289,'Istoric_Nativ'!$O$6:$O$405,"INVALID",'Istoric_Nativ'!$D$6:$D$405,"*")+COUNTIFS('Istoric_Nativ'!$B$6:$B$405,E289,'Istoric_Nativ'!$C$6:$C$405,F289,'Istoric_Nativ'!$F$6:$F$405,G289,'Istoric_Nativ'!$D$6:$D$405,"&lt;"&amp;J289,'Istoric_Nativ'!$O$6:$O$405,"SOURCE CONFLICT"))</x:f>
        <x:v>0</x:v>
      </x:c>
      <x:c r="T289" s="2" t="str">
        <x:f>IF(B289="","",IF(R289&lt;&gt;"CLOSED",R289,IF(S289&gt;0,"NATIVE INPUT ISSUE",IF(M289=0,"NO HISTORY",IF(M289&lt;P289,"SMALL SAMPLE","DERIVED")))))</x:f>
      </x:c>
      <x:c r="U289" s="2" t="str">
        <x:f>IF(B289="","","NativeTable; "&amp;E289&amp;"; "&amp;F289&amp;"; "&amp;G289&amp;"; "&amp;H289&amp;"; before "&amp;TEXT(J289,"yyyy-mm-dd")&amp;IF(I289="RECENT","; from "&amp;TEXT(L289,"yyyy-mm-dd"),""))</x:f>
      </x:c>
    </x:row>
    <x:row r="290" ht="21" customHeight="1">
      <x:c r="A290" s="2" t="n">
        <x:v>24</x:v>
      </x:c>
      <x:c r="B290" s="2" t="str">
        <x:f>IF('Input_Meci'!A29="","",'Input_Meci'!A29)</x:f>
      </x:c>
      <x:c r="C290" s="2" t="str">
        <x:v>H</x:v>
      </x:c>
      <x:c r="D290" s="2" t="str">
        <x:v>PRIOR</x:v>
      </x:c>
      <x:c r="E290" s="2" t="str">
        <x:f>IF(B290="","",'Input_Meci'!B29)</x:f>
      </x:c>
      <x:c r="F290" s="2" t="str">
        <x:f>IF(B290="","",IF('Input_Meci'!K29="","",'Input_Meci'!K29))</x:f>
      </x:c>
      <x:c r="G290" s="2" t="str">
        <x:f>IF(B290="","",'Input_Meci'!D29)</x:f>
      </x:c>
      <x:c r="H290" s="2" t="str">
        <x:v>ANY</x:v>
      </x:c>
      <x:c r="I290" s="2" t="str">
        <x:v>RECENT</x:v>
      </x:c>
      <x:c r="J290" s="9" t="n">
        <x:f>IF(AND(B290&lt;&gt;"",ISNUMBER('Input_Meci'!G29)),INT('Input_Meci'!G29),0)</x:f>
        <x:v>0</x:v>
      </x:c>
      <x:c r="K290" s="2" t="n">
        <x:f>IF(OR(B290="",F290=""),0,IF(H290="HOME",COUNTIFS('Istoric_Nativ'!$B$6:$B$405,E290,'Istoric_Nativ'!$C$6:$C$405,F290,'Istoric_Nativ'!$E$6:$E$405,G290,'Istoric_Nativ'!$D$6:$D$405,"&lt;"&amp;J290,'Istoric_Nativ'!$P$6:$P$405,1),IF(H290="AWAY",COUNTIFS('Istoric_Nativ'!$B$6:$B$405,E290,'Istoric_Nativ'!$C$6:$C$405,F290,'Istoric_Nativ'!$F$6:$F$405,G290,'Istoric_Nativ'!$D$6:$D$405,"&lt;"&amp;J290,'Istoric_Nativ'!$P$6:$P$405,1),COUNTIFS('Istoric_Nativ'!$B$6:$B$405,E290,'Istoric_Nativ'!$C$6:$C$405,F290,'Istoric_Nativ'!$E$6:$E$405,G290,'Istoric_Nativ'!$D$6:$D$405,"&lt;"&amp;J290,'Istoric_Nativ'!$P$6:$P$405,1)+COUNTIFS('Istoric_Nativ'!$B$6:$B$405,E290,'Istoric_Nativ'!$C$6:$C$405,F290,'Istoric_Nativ'!$F$6:$F$405,G290,'Istoric_Nativ'!$D$6:$D$405,"&lt;"&amp;J290,'Istoric_Nativ'!$P$6:$P$405,1))))</x:f>
        <x:v>0</x:v>
      </x:c>
      <x:c r="L290" s="17" t="n">
        <x:f>IF(AND(B290&lt;&gt;"",I290="RECENT",K290&gt;0),LARGE(_xlfn._xlws.FILTER('Istoric_Nativ'!$D$6:$D$405,('Istoric_Nativ'!$B$6:$B$405=E290)*('Istoric_Nativ'!$C$6:$C$405=F290)*('Istoric_Nativ'!$P$6:$P$405=1)*('Istoric_Nativ'!$D$6:$D$405&lt;J290)*((('Istoric_Nativ'!$E$6:$E$405=G290)+('Istoric_Nativ'!$F$6:$F$405=G290))&gt;0)),MIN('Config_v6'!$B$54,K290)),0)</x:f>
        <x:v>0</x:v>
      </x:c>
      <x:c r="M290" s="2" t="n">
        <x:f>IF(OR(B290="",F290=""),0,IF(H290="HOME",COUNTIFS('Istoric_Nativ'!$B$6:$B$405,E290,'Istoric_Nativ'!$C$6:$C$405,F290,'Istoric_Nativ'!$E$6:$E$405,G290,'Istoric_Nativ'!$D$6:$D$405,"&lt;"&amp;J290,'Istoric_Nativ'!$P$6:$P$405,1,'Istoric_Nativ'!$D$6:$D$405,"&gt;="&amp;L290),IF(H290="AWAY",COUNTIFS('Istoric_Nativ'!$B$6:$B$405,E290,'Istoric_Nativ'!$C$6:$C$405,F290,'Istoric_Nativ'!$F$6:$F$405,G290,'Istoric_Nativ'!$D$6:$D$405,"&lt;"&amp;J290,'Istoric_Nativ'!$P$6:$P$405,1,'Istoric_Nativ'!$D$6:$D$405,"&gt;="&amp;L290),COUNTIFS('Istoric_Nativ'!$B$6:$B$405,E290,'Istoric_Nativ'!$C$6:$C$405,F290,'Istoric_Nativ'!$E$6:$E$405,G290,'Istoric_Nativ'!$D$6:$D$405,"&lt;"&amp;J290,'Istoric_Nativ'!$P$6:$P$405,1,'Istoric_Nativ'!$D$6:$D$405,"&gt;="&amp;L290)+COUNTIFS('Istoric_Nativ'!$B$6:$B$405,E290,'Istoric_Nativ'!$C$6:$C$405,F290,'Istoric_Nativ'!$F$6:$F$405,G290,'Istoric_Nativ'!$D$6:$D$405,"&lt;"&amp;J290,'Istoric_Nativ'!$P$6:$P$405,1,'Istoric_Nativ'!$D$6:$D$405,"&gt;="&amp;L290))))</x:f>
        <x:v>0</x:v>
      </x:c>
      <x:c r="N290" s="11" t="str">
        <x:f>IF(M290=0,"",IF(H290="HOME",SUMIFS('Istoric_Nativ'!$G$6:$G$405,'Istoric_Nativ'!$B$6:$B$405,E290,'Istoric_Nativ'!$C$6:$C$405,F290,'Istoric_Nativ'!$E$6:$E$405,G290,'Istoric_Nativ'!$D$6:$D$405,"&lt;"&amp;J290,'Istoric_Nativ'!$P$6:$P$405,1,'Istoric_Nativ'!$D$6:$D$405,"&gt;="&amp;L290),IF(H290="AWAY",SUMIFS('Istoric_Nativ'!$H$6:$H$405,'Istoric_Nativ'!$B$6:$B$405,E290,'Istoric_Nativ'!$C$6:$C$405,F290,'Istoric_Nativ'!$F$6:$F$405,G290,'Istoric_Nativ'!$D$6:$D$405,"&lt;"&amp;J290,'Istoric_Nativ'!$P$6:$P$405,1,'Istoric_Nativ'!$D$6:$D$405,"&gt;="&amp;L290),SUMIFS('Istoric_Nativ'!$G$6:$G$405,'Istoric_Nativ'!$B$6:$B$405,E290,'Istoric_Nativ'!$C$6:$C$405,F290,'Istoric_Nativ'!$E$6:$E$405,G290,'Istoric_Nativ'!$D$6:$D$405,"&lt;"&amp;J290,'Istoric_Nativ'!$P$6:$P$405,1,'Istoric_Nativ'!$D$6:$D$405,"&gt;="&amp;L290)+SUMIFS('Istoric_Nativ'!$H$6:$H$405,'Istoric_Nativ'!$B$6:$B$405,E290,'Istoric_Nativ'!$C$6:$C$405,F290,'Istoric_Nativ'!$F$6:$F$405,G290,'Istoric_Nativ'!$D$6:$D$405,"&lt;"&amp;J290,'Istoric_Nativ'!$P$6:$P$405,1,'Istoric_Nativ'!$D$6:$D$405,"&gt;="&amp;L290)))/M290)</x:f>
      </x:c>
      <x:c r="O290" s="11" t="str">
        <x:f>IF(M290=0,"",IF(H290="HOME",SUMIFS('Istoric_Nativ'!$H$6:$H$405,'Istoric_Nativ'!$B$6:$B$405,E290,'Istoric_Nativ'!$C$6:$C$405,F290,'Istoric_Nativ'!$E$6:$E$405,G290,'Istoric_Nativ'!$D$6:$D$405,"&lt;"&amp;J290,'Istoric_Nativ'!$P$6:$P$405,1,'Istoric_Nativ'!$D$6:$D$405,"&gt;="&amp;L290),IF(H290="AWAY",SUMIFS('Istoric_Nativ'!$G$6:$G$405,'Istoric_Nativ'!$B$6:$B$405,E290,'Istoric_Nativ'!$C$6:$C$405,F290,'Istoric_Nativ'!$F$6:$F$405,G290,'Istoric_Nativ'!$D$6:$D$405,"&lt;"&amp;J290,'Istoric_Nativ'!$P$6:$P$405,1,'Istoric_Nativ'!$D$6:$D$405,"&gt;="&amp;L290),SUMIFS('Istoric_Nativ'!$H$6:$H$405,'Istoric_Nativ'!$B$6:$B$405,E290,'Istoric_Nativ'!$C$6:$C$405,F290,'Istoric_Nativ'!$E$6:$E$405,G290,'Istoric_Nativ'!$D$6:$D$405,"&lt;"&amp;J290,'Istoric_Nativ'!$P$6:$P$405,1,'Istoric_Nativ'!$D$6:$D$405,"&gt;="&amp;L290)+SUMIFS('Istoric_Nativ'!$G$6:$G$405,'Istoric_Nativ'!$B$6:$B$405,E290,'Istoric_Nativ'!$C$6:$C$405,F290,'Istoric_Nativ'!$F$6:$F$405,G290,'Istoric_Nativ'!$D$6:$D$405,"&lt;"&amp;J290,'Istoric_Nativ'!$P$6:$P$405,1,'Istoric_Nativ'!$D$6:$D$405,"&gt;="&amp;L290)))/M290)</x:f>
      </x:c>
      <x:c r="P290" s="2" t="n">
        <x:f>'Config_v6'!$B$9</x:f>
        <x:v>3</x:v>
      </x:c>
      <x:c r="Q290" s="2" t="n">
        <x:f>IF(OR(B290="",F290=""),0,IFERROR(MATCH(E290&amp;"|"&amp;F290,SourceTable[Source_Key],0),0))</x:f>
        <x:v>0</x:v>
      </x:c>
      <x:c r="R290" s="2" t="str">
        <x:f>IF(B290="","",IF(F290="","UNUSED",IF(Q290=0,"NOT CHECKED",IF(COUNTIF(SourceTable[Source_Key],E290&amp;"|"&amp;F290)&lt;&gt;1,"SOURCE CONFLICT",IF(NOT(OR(INDEX(SourceTable[Status],MAX(1,Q290))="IMPORTED",INDEX(SourceTable[Status],MAX(1,Q290))="PARTIAL",INDEX(SourceTable[Status],MAX(1,Q290))="SOURCE CONFLICT")),"ACCESS BLOCKED",IF(OR(INDEX(SourceTable[Coverage],Q290)&lt;&gt;"FULL SEASON EXPORT",INDEX(SourceTable[URL],Q290)="",INDEX(SourceTable[SHA256],Q290)=""),"EVIDENCE INCOMPLETE",IF(AND('Input_Meci'!H29="LIVE",INDEX(SourceTable[Retrieved_UTC],Q290)&gt;'Input_Meci'!G29),"POST CUTOFF","CLOSED")))))))</x:f>
      </x:c>
      <x:c r="S290" s="2" t="n">
        <x:f>IF(OR(B290="",F290=""),0,COUNTIFS('Istoric_Nativ'!$B$6:$B$405,E290,'Istoric_Nativ'!$C$6:$C$405,F290,'Istoric_Nativ'!$E$6:$E$405,G290,'Istoric_Nativ'!$D$6:$D$405,"&lt;"&amp;J290,'Istoric_Nativ'!$O$6:$O$405,"INVALID")+COUNTIFS('Istoric_Nativ'!$B$6:$B$405,E290,'Istoric_Nativ'!$C$6:$C$405,F290,'Istoric_Nativ'!$E$6:$E$405,G290,'Istoric_Nativ'!$O$6:$O$405,"INVALID",'Istoric_Nativ'!$D$6:$D$405,"*")+COUNTIFS('Istoric_Nativ'!$B$6:$B$405,E290,'Istoric_Nativ'!$C$6:$C$405,F290,'Istoric_Nativ'!$E$6:$E$405,G290,'Istoric_Nativ'!$D$6:$D$405,"&lt;"&amp;J290,'Istoric_Nativ'!$O$6:$O$405,"SOURCE CONFLICT")+COUNTIFS('Istoric_Nativ'!$B$6:$B$405,E290,'Istoric_Nativ'!$C$6:$C$405,F290,'Istoric_Nativ'!$F$6:$F$405,G290,'Istoric_Nativ'!$D$6:$D$405,"&lt;"&amp;J290,'Istoric_Nativ'!$O$6:$O$405,"INVALID")+COUNTIFS('Istoric_Nativ'!$B$6:$B$405,E290,'Istoric_Nativ'!$C$6:$C$405,F290,'Istoric_Nativ'!$F$6:$F$405,G290,'Istoric_Nativ'!$O$6:$O$405,"INVALID",'Istoric_Nativ'!$D$6:$D$405,"*")+COUNTIFS('Istoric_Nativ'!$B$6:$B$405,E290,'Istoric_Nativ'!$C$6:$C$405,F290,'Istoric_Nativ'!$F$6:$F$405,G290,'Istoric_Nativ'!$D$6:$D$405,"&lt;"&amp;J290,'Istoric_Nativ'!$O$6:$O$405,"SOURCE CONFLICT"))</x:f>
        <x:v>0</x:v>
      </x:c>
      <x:c r="T290" s="2" t="str">
        <x:f>IF(B290="","",IF(R290&lt;&gt;"CLOSED",R290,IF(S290&gt;0,"NATIVE INPUT ISSUE",IF(M290=0,"NO HISTORY",IF(M290&lt;P290,"SMALL SAMPLE","DERIVED")))))</x:f>
      </x:c>
      <x:c r="U290" s="2" t="str">
        <x:f>IF(B290="","","NativeTable; "&amp;E290&amp;"; "&amp;F290&amp;"; "&amp;G290&amp;"; "&amp;H290&amp;"; before "&amp;TEXT(J290,"yyyy-mm-dd")&amp;IF(I290="RECENT","; from "&amp;TEXT(L290,"yyyy-mm-dd"),""))</x:f>
      </x:c>
    </x:row>
    <x:row r="291" ht="21" customHeight="1">
      <x:c r="A291" s="2" t="n">
        <x:v>24</x:v>
      </x:c>
      <x:c r="B291" s="2" t="str">
        <x:f>IF('Input_Meci'!A29="","",'Input_Meci'!A29)</x:f>
      </x:c>
      <x:c r="C291" s="2" t="str">
        <x:v>A</x:v>
      </x:c>
      <x:c r="D291" s="2" t="str">
        <x:v>PRIOR</x:v>
      </x:c>
      <x:c r="E291" s="2" t="str">
        <x:f>IF(B291="","",'Input_Meci'!B29)</x:f>
      </x:c>
      <x:c r="F291" s="2" t="str">
        <x:f>IF(B291="","",IF('Input_Meci'!K29="","",'Input_Meci'!K29))</x:f>
      </x:c>
      <x:c r="G291" s="2" t="str">
        <x:f>IF(B291="","",'Input_Meci'!E29)</x:f>
      </x:c>
      <x:c r="H291" s="2" t="str">
        <x:v>ANY</x:v>
      </x:c>
      <x:c r="I291" s="2" t="str">
        <x:v>SEASON</x:v>
      </x:c>
      <x:c r="J291" s="9" t="n">
        <x:f>IF(AND(B291&lt;&gt;"",ISNUMBER('Input_Meci'!G29)),INT('Input_Meci'!G29),0)</x:f>
        <x:v>0</x:v>
      </x:c>
      <x:c r="K291" s="2" t="n">
        <x:f>IF(OR(B291="",F291=""),0,IF(H291="HOME",COUNTIFS('Istoric_Nativ'!$B$6:$B$405,E291,'Istoric_Nativ'!$C$6:$C$405,F291,'Istoric_Nativ'!$E$6:$E$405,G291,'Istoric_Nativ'!$D$6:$D$405,"&lt;"&amp;J291,'Istoric_Nativ'!$P$6:$P$405,1),IF(H291="AWAY",COUNTIFS('Istoric_Nativ'!$B$6:$B$405,E291,'Istoric_Nativ'!$C$6:$C$405,F291,'Istoric_Nativ'!$F$6:$F$405,G291,'Istoric_Nativ'!$D$6:$D$405,"&lt;"&amp;J291,'Istoric_Nativ'!$P$6:$P$405,1),COUNTIFS('Istoric_Nativ'!$B$6:$B$405,E291,'Istoric_Nativ'!$C$6:$C$405,F291,'Istoric_Nativ'!$E$6:$E$405,G291,'Istoric_Nativ'!$D$6:$D$405,"&lt;"&amp;J291,'Istoric_Nativ'!$P$6:$P$405,1)+COUNTIFS('Istoric_Nativ'!$B$6:$B$405,E291,'Istoric_Nativ'!$C$6:$C$405,F291,'Istoric_Nativ'!$F$6:$F$405,G291,'Istoric_Nativ'!$D$6:$D$405,"&lt;"&amp;J291,'Istoric_Nativ'!$P$6:$P$405,1))))</x:f>
        <x:v>0</x:v>
      </x:c>
      <x:c r="L291" s="17" t="n">
        <x:f>IF(AND(B291&lt;&gt;"",I291="RECENT",K291&gt;0),LARGE(_xlfn._xlws.FILTER('Istoric_Nativ'!$D$6:$D$405,('Istoric_Nativ'!$B$6:$B$405=E291)*('Istoric_Nativ'!$C$6:$C$405=F291)*('Istoric_Nativ'!$P$6:$P$405=1)*('Istoric_Nativ'!$D$6:$D$405&lt;J291)*((('Istoric_Nativ'!$E$6:$E$405=G291)+('Istoric_Nativ'!$F$6:$F$405=G291))&gt;0)),MIN('Config_v6'!$B$54,K291)),0)</x:f>
        <x:v>0</x:v>
      </x:c>
      <x:c r="M291" s="2" t="n">
        <x:f>IF(OR(B291="",F291=""),0,IF(H291="HOME",COUNTIFS('Istoric_Nativ'!$B$6:$B$405,E291,'Istoric_Nativ'!$C$6:$C$405,F291,'Istoric_Nativ'!$E$6:$E$405,G291,'Istoric_Nativ'!$D$6:$D$405,"&lt;"&amp;J291,'Istoric_Nativ'!$P$6:$P$405,1,'Istoric_Nativ'!$D$6:$D$405,"&gt;="&amp;L291),IF(H291="AWAY",COUNTIFS('Istoric_Nativ'!$B$6:$B$405,E291,'Istoric_Nativ'!$C$6:$C$405,F291,'Istoric_Nativ'!$F$6:$F$405,G291,'Istoric_Nativ'!$D$6:$D$405,"&lt;"&amp;J291,'Istoric_Nativ'!$P$6:$P$405,1,'Istoric_Nativ'!$D$6:$D$405,"&gt;="&amp;L291),COUNTIFS('Istoric_Nativ'!$B$6:$B$405,E291,'Istoric_Nativ'!$C$6:$C$405,F291,'Istoric_Nativ'!$E$6:$E$405,G291,'Istoric_Nativ'!$D$6:$D$405,"&lt;"&amp;J291,'Istoric_Nativ'!$P$6:$P$405,1,'Istoric_Nativ'!$D$6:$D$405,"&gt;="&amp;L291)+COUNTIFS('Istoric_Nativ'!$B$6:$B$405,E291,'Istoric_Nativ'!$C$6:$C$405,F291,'Istoric_Nativ'!$F$6:$F$405,G291,'Istoric_Nativ'!$D$6:$D$405,"&lt;"&amp;J291,'Istoric_Nativ'!$P$6:$P$405,1,'Istoric_Nativ'!$D$6:$D$405,"&gt;="&amp;L291))))</x:f>
        <x:v>0</x:v>
      </x:c>
      <x:c r="N291" s="11" t="str">
        <x:f>IF(M291=0,"",IF(H291="HOME",SUMIFS('Istoric_Nativ'!$G$6:$G$405,'Istoric_Nativ'!$B$6:$B$405,E291,'Istoric_Nativ'!$C$6:$C$405,F291,'Istoric_Nativ'!$E$6:$E$405,G291,'Istoric_Nativ'!$D$6:$D$405,"&lt;"&amp;J291,'Istoric_Nativ'!$P$6:$P$405,1,'Istoric_Nativ'!$D$6:$D$405,"&gt;="&amp;L291),IF(H291="AWAY",SUMIFS('Istoric_Nativ'!$H$6:$H$405,'Istoric_Nativ'!$B$6:$B$405,E291,'Istoric_Nativ'!$C$6:$C$405,F291,'Istoric_Nativ'!$F$6:$F$405,G291,'Istoric_Nativ'!$D$6:$D$405,"&lt;"&amp;J291,'Istoric_Nativ'!$P$6:$P$405,1,'Istoric_Nativ'!$D$6:$D$405,"&gt;="&amp;L291),SUMIFS('Istoric_Nativ'!$G$6:$G$405,'Istoric_Nativ'!$B$6:$B$405,E291,'Istoric_Nativ'!$C$6:$C$405,F291,'Istoric_Nativ'!$E$6:$E$405,G291,'Istoric_Nativ'!$D$6:$D$405,"&lt;"&amp;J291,'Istoric_Nativ'!$P$6:$P$405,1,'Istoric_Nativ'!$D$6:$D$405,"&gt;="&amp;L291)+SUMIFS('Istoric_Nativ'!$H$6:$H$405,'Istoric_Nativ'!$B$6:$B$405,E291,'Istoric_Nativ'!$C$6:$C$405,F291,'Istoric_Nativ'!$F$6:$F$405,G291,'Istoric_Nativ'!$D$6:$D$405,"&lt;"&amp;J291,'Istoric_Nativ'!$P$6:$P$405,1,'Istoric_Nativ'!$D$6:$D$405,"&gt;="&amp;L291)))/M291)</x:f>
      </x:c>
      <x:c r="O291" s="11" t="str">
        <x:f>IF(M291=0,"",IF(H291="HOME",SUMIFS('Istoric_Nativ'!$H$6:$H$405,'Istoric_Nativ'!$B$6:$B$405,E291,'Istoric_Nativ'!$C$6:$C$405,F291,'Istoric_Nativ'!$E$6:$E$405,G291,'Istoric_Nativ'!$D$6:$D$405,"&lt;"&amp;J291,'Istoric_Nativ'!$P$6:$P$405,1,'Istoric_Nativ'!$D$6:$D$405,"&gt;="&amp;L291),IF(H291="AWAY",SUMIFS('Istoric_Nativ'!$G$6:$G$405,'Istoric_Nativ'!$B$6:$B$405,E291,'Istoric_Nativ'!$C$6:$C$405,F291,'Istoric_Nativ'!$F$6:$F$405,G291,'Istoric_Nativ'!$D$6:$D$405,"&lt;"&amp;J291,'Istoric_Nativ'!$P$6:$P$405,1,'Istoric_Nativ'!$D$6:$D$405,"&gt;="&amp;L291),SUMIFS('Istoric_Nativ'!$H$6:$H$405,'Istoric_Nativ'!$B$6:$B$405,E291,'Istoric_Nativ'!$C$6:$C$405,F291,'Istoric_Nativ'!$E$6:$E$405,G291,'Istoric_Nativ'!$D$6:$D$405,"&lt;"&amp;J291,'Istoric_Nativ'!$P$6:$P$405,1,'Istoric_Nativ'!$D$6:$D$405,"&gt;="&amp;L291)+SUMIFS('Istoric_Nativ'!$G$6:$G$405,'Istoric_Nativ'!$B$6:$B$405,E291,'Istoric_Nativ'!$C$6:$C$405,F291,'Istoric_Nativ'!$F$6:$F$405,G291,'Istoric_Nativ'!$D$6:$D$405,"&lt;"&amp;J291,'Istoric_Nativ'!$P$6:$P$405,1,'Istoric_Nativ'!$D$6:$D$405,"&gt;="&amp;L291)))/M291)</x:f>
      </x:c>
      <x:c r="P291" s="2" t="n">
        <x:f>'Config_v6'!$B$7</x:f>
        <x:v>10</x:v>
      </x:c>
      <x:c r="Q291" s="2" t="n">
        <x:f>IF(OR(B291="",F291=""),0,IFERROR(MATCH(E291&amp;"|"&amp;F291,SourceTable[Source_Key],0),0))</x:f>
        <x:v>0</x:v>
      </x:c>
      <x:c r="R291" s="2" t="str">
        <x:f>IF(B291="","",IF(F291="","UNUSED",IF(Q291=0,"NOT CHECKED",IF(COUNTIF(SourceTable[Source_Key],E291&amp;"|"&amp;F291)&lt;&gt;1,"SOURCE CONFLICT",IF(NOT(OR(INDEX(SourceTable[Status],MAX(1,Q291))="IMPORTED",INDEX(SourceTable[Status],MAX(1,Q291))="PARTIAL",INDEX(SourceTable[Status],MAX(1,Q291))="SOURCE CONFLICT")),"ACCESS BLOCKED",IF(OR(INDEX(SourceTable[Coverage],Q291)&lt;&gt;"FULL SEASON EXPORT",INDEX(SourceTable[URL],Q291)="",INDEX(SourceTable[SHA256],Q291)=""),"EVIDENCE INCOMPLETE",IF(AND('Input_Meci'!H29="LIVE",INDEX(SourceTable[Retrieved_UTC],Q291)&gt;'Input_Meci'!G29),"POST CUTOFF","CLOSED")))))))</x:f>
      </x:c>
      <x:c r="S291" s="2" t="n">
        <x:f>IF(OR(B291="",F291=""),0,COUNTIFS('Istoric_Nativ'!$B$6:$B$405,E291,'Istoric_Nativ'!$C$6:$C$405,F291,'Istoric_Nativ'!$E$6:$E$405,G291,'Istoric_Nativ'!$D$6:$D$405,"&lt;"&amp;J291,'Istoric_Nativ'!$O$6:$O$405,"INVALID")+COUNTIFS('Istoric_Nativ'!$B$6:$B$405,E291,'Istoric_Nativ'!$C$6:$C$405,F291,'Istoric_Nativ'!$E$6:$E$405,G291,'Istoric_Nativ'!$O$6:$O$405,"INVALID",'Istoric_Nativ'!$D$6:$D$405,"*")+COUNTIFS('Istoric_Nativ'!$B$6:$B$405,E291,'Istoric_Nativ'!$C$6:$C$405,F291,'Istoric_Nativ'!$E$6:$E$405,G291,'Istoric_Nativ'!$D$6:$D$405,"&lt;"&amp;J291,'Istoric_Nativ'!$O$6:$O$405,"SOURCE CONFLICT")+COUNTIFS('Istoric_Nativ'!$B$6:$B$405,E291,'Istoric_Nativ'!$C$6:$C$405,F291,'Istoric_Nativ'!$F$6:$F$405,G291,'Istoric_Nativ'!$D$6:$D$405,"&lt;"&amp;J291,'Istoric_Nativ'!$O$6:$O$405,"INVALID")+COUNTIFS('Istoric_Nativ'!$B$6:$B$405,E291,'Istoric_Nativ'!$C$6:$C$405,F291,'Istoric_Nativ'!$F$6:$F$405,G291,'Istoric_Nativ'!$O$6:$O$405,"INVALID",'Istoric_Nativ'!$D$6:$D$405,"*")+COUNTIFS('Istoric_Nativ'!$B$6:$B$405,E291,'Istoric_Nativ'!$C$6:$C$405,F291,'Istoric_Nativ'!$F$6:$F$405,G291,'Istoric_Nativ'!$D$6:$D$405,"&lt;"&amp;J291,'Istoric_Nativ'!$O$6:$O$405,"SOURCE CONFLICT"))</x:f>
        <x:v>0</x:v>
      </x:c>
      <x:c r="T291" s="2" t="str">
        <x:f>IF(B291="","",IF(R291&lt;&gt;"CLOSED",R291,IF(S291&gt;0,"NATIVE INPUT ISSUE",IF(M291=0,"NO HISTORY",IF(M291&lt;P291,"SMALL SAMPLE","DERIVED")))))</x:f>
      </x:c>
      <x:c r="U291" s="2" t="str">
        <x:f>IF(B291="","","NativeTable; "&amp;E291&amp;"; "&amp;F291&amp;"; "&amp;G291&amp;"; "&amp;H291&amp;"; before "&amp;TEXT(J291,"yyyy-mm-dd")&amp;IF(I291="RECENT","; from "&amp;TEXT(L291,"yyyy-mm-dd"),""))</x:f>
      </x:c>
    </x:row>
    <x:row r="292" ht="21" customHeight="1">
      <x:c r="A292" s="2" t="n">
        <x:v>24</x:v>
      </x:c>
      <x:c r="B292" s="2" t="str">
        <x:f>IF('Input_Meci'!A29="","",'Input_Meci'!A29)</x:f>
      </x:c>
      <x:c r="C292" s="2" t="str">
        <x:v>A</x:v>
      </x:c>
      <x:c r="D292" s="2" t="str">
        <x:v>PRIOR</x:v>
      </x:c>
      <x:c r="E292" s="2" t="str">
        <x:f>IF(B292="","",'Input_Meci'!B29)</x:f>
      </x:c>
      <x:c r="F292" s="2" t="str">
        <x:f>IF(B292="","",IF('Input_Meci'!K29="","",'Input_Meci'!K29))</x:f>
      </x:c>
      <x:c r="G292" s="2" t="str">
        <x:f>IF(B292="","",'Input_Meci'!E29)</x:f>
      </x:c>
      <x:c r="H292" s="2" t="str">
        <x:v>AWAY</x:v>
      </x:c>
      <x:c r="I292" s="2" t="str">
        <x:v>HA</x:v>
      </x:c>
      <x:c r="J292" s="9" t="n">
        <x:f>IF(AND(B292&lt;&gt;"",ISNUMBER('Input_Meci'!G29)),INT('Input_Meci'!G29),0)</x:f>
        <x:v>0</x:v>
      </x:c>
      <x:c r="K292" s="2" t="n">
        <x:f>IF(OR(B292="",F292=""),0,IF(H292="HOME",COUNTIFS('Istoric_Nativ'!$B$6:$B$405,E292,'Istoric_Nativ'!$C$6:$C$405,F292,'Istoric_Nativ'!$E$6:$E$405,G292,'Istoric_Nativ'!$D$6:$D$405,"&lt;"&amp;J292,'Istoric_Nativ'!$P$6:$P$405,1),IF(H292="AWAY",COUNTIFS('Istoric_Nativ'!$B$6:$B$405,E292,'Istoric_Nativ'!$C$6:$C$405,F292,'Istoric_Nativ'!$F$6:$F$405,G292,'Istoric_Nativ'!$D$6:$D$405,"&lt;"&amp;J292,'Istoric_Nativ'!$P$6:$P$405,1),COUNTIFS('Istoric_Nativ'!$B$6:$B$405,E292,'Istoric_Nativ'!$C$6:$C$405,F292,'Istoric_Nativ'!$E$6:$E$405,G292,'Istoric_Nativ'!$D$6:$D$405,"&lt;"&amp;J292,'Istoric_Nativ'!$P$6:$P$405,1)+COUNTIFS('Istoric_Nativ'!$B$6:$B$405,E292,'Istoric_Nativ'!$C$6:$C$405,F292,'Istoric_Nativ'!$F$6:$F$405,G292,'Istoric_Nativ'!$D$6:$D$405,"&lt;"&amp;J292,'Istoric_Nativ'!$P$6:$P$405,1))))</x:f>
        <x:v>0</x:v>
      </x:c>
      <x:c r="L292" s="17" t="n">
        <x:f>IF(AND(B292&lt;&gt;"",I292="RECENT",K292&gt;0),LARGE(_xlfn._xlws.FILTER('Istoric_Nativ'!$D$6:$D$405,('Istoric_Nativ'!$B$6:$B$405=E292)*('Istoric_Nativ'!$C$6:$C$405=F292)*('Istoric_Nativ'!$P$6:$P$405=1)*('Istoric_Nativ'!$D$6:$D$405&lt;J292)*((('Istoric_Nativ'!$E$6:$E$405=G292)+('Istoric_Nativ'!$F$6:$F$405=G292))&gt;0)),MIN('Config_v6'!$B$54,K292)),0)</x:f>
        <x:v>0</x:v>
      </x:c>
      <x:c r="M292" s="2" t="n">
        <x:f>IF(OR(B292="",F292=""),0,IF(H292="HOME",COUNTIFS('Istoric_Nativ'!$B$6:$B$405,E292,'Istoric_Nativ'!$C$6:$C$405,F292,'Istoric_Nativ'!$E$6:$E$405,G292,'Istoric_Nativ'!$D$6:$D$405,"&lt;"&amp;J292,'Istoric_Nativ'!$P$6:$P$405,1,'Istoric_Nativ'!$D$6:$D$405,"&gt;="&amp;L292),IF(H292="AWAY",COUNTIFS('Istoric_Nativ'!$B$6:$B$405,E292,'Istoric_Nativ'!$C$6:$C$405,F292,'Istoric_Nativ'!$F$6:$F$405,G292,'Istoric_Nativ'!$D$6:$D$405,"&lt;"&amp;J292,'Istoric_Nativ'!$P$6:$P$405,1,'Istoric_Nativ'!$D$6:$D$405,"&gt;="&amp;L292),COUNTIFS('Istoric_Nativ'!$B$6:$B$405,E292,'Istoric_Nativ'!$C$6:$C$405,F292,'Istoric_Nativ'!$E$6:$E$405,G292,'Istoric_Nativ'!$D$6:$D$405,"&lt;"&amp;J292,'Istoric_Nativ'!$P$6:$P$405,1,'Istoric_Nativ'!$D$6:$D$405,"&gt;="&amp;L292)+COUNTIFS('Istoric_Nativ'!$B$6:$B$405,E292,'Istoric_Nativ'!$C$6:$C$405,F292,'Istoric_Nativ'!$F$6:$F$405,G292,'Istoric_Nativ'!$D$6:$D$405,"&lt;"&amp;J292,'Istoric_Nativ'!$P$6:$P$405,1,'Istoric_Nativ'!$D$6:$D$405,"&gt;="&amp;L292))))</x:f>
        <x:v>0</x:v>
      </x:c>
      <x:c r="N292" s="11" t="str">
        <x:f>IF(M292=0,"",IF(H292="HOME",SUMIFS('Istoric_Nativ'!$G$6:$G$405,'Istoric_Nativ'!$B$6:$B$405,E292,'Istoric_Nativ'!$C$6:$C$405,F292,'Istoric_Nativ'!$E$6:$E$405,G292,'Istoric_Nativ'!$D$6:$D$405,"&lt;"&amp;J292,'Istoric_Nativ'!$P$6:$P$405,1,'Istoric_Nativ'!$D$6:$D$405,"&gt;="&amp;L292),IF(H292="AWAY",SUMIFS('Istoric_Nativ'!$H$6:$H$405,'Istoric_Nativ'!$B$6:$B$405,E292,'Istoric_Nativ'!$C$6:$C$405,F292,'Istoric_Nativ'!$F$6:$F$405,G292,'Istoric_Nativ'!$D$6:$D$405,"&lt;"&amp;J292,'Istoric_Nativ'!$P$6:$P$405,1,'Istoric_Nativ'!$D$6:$D$405,"&gt;="&amp;L292),SUMIFS('Istoric_Nativ'!$G$6:$G$405,'Istoric_Nativ'!$B$6:$B$405,E292,'Istoric_Nativ'!$C$6:$C$405,F292,'Istoric_Nativ'!$E$6:$E$405,G292,'Istoric_Nativ'!$D$6:$D$405,"&lt;"&amp;J292,'Istoric_Nativ'!$P$6:$P$405,1,'Istoric_Nativ'!$D$6:$D$405,"&gt;="&amp;L292)+SUMIFS('Istoric_Nativ'!$H$6:$H$405,'Istoric_Nativ'!$B$6:$B$405,E292,'Istoric_Nativ'!$C$6:$C$405,F292,'Istoric_Nativ'!$F$6:$F$405,G292,'Istoric_Nativ'!$D$6:$D$405,"&lt;"&amp;J292,'Istoric_Nativ'!$P$6:$P$405,1,'Istoric_Nativ'!$D$6:$D$405,"&gt;="&amp;L292)))/M292)</x:f>
      </x:c>
      <x:c r="O292" s="11" t="str">
        <x:f>IF(M292=0,"",IF(H292="HOME",SUMIFS('Istoric_Nativ'!$H$6:$H$405,'Istoric_Nativ'!$B$6:$B$405,E292,'Istoric_Nativ'!$C$6:$C$405,F292,'Istoric_Nativ'!$E$6:$E$405,G292,'Istoric_Nativ'!$D$6:$D$405,"&lt;"&amp;J292,'Istoric_Nativ'!$P$6:$P$405,1,'Istoric_Nativ'!$D$6:$D$405,"&gt;="&amp;L292),IF(H292="AWAY",SUMIFS('Istoric_Nativ'!$G$6:$G$405,'Istoric_Nativ'!$B$6:$B$405,E292,'Istoric_Nativ'!$C$6:$C$405,F292,'Istoric_Nativ'!$F$6:$F$405,G292,'Istoric_Nativ'!$D$6:$D$405,"&lt;"&amp;J292,'Istoric_Nativ'!$P$6:$P$405,1,'Istoric_Nativ'!$D$6:$D$405,"&gt;="&amp;L292),SUMIFS('Istoric_Nativ'!$H$6:$H$405,'Istoric_Nativ'!$B$6:$B$405,E292,'Istoric_Nativ'!$C$6:$C$405,F292,'Istoric_Nativ'!$E$6:$E$405,G292,'Istoric_Nativ'!$D$6:$D$405,"&lt;"&amp;J292,'Istoric_Nativ'!$P$6:$P$405,1,'Istoric_Nativ'!$D$6:$D$405,"&gt;="&amp;L292)+SUMIFS('Istoric_Nativ'!$G$6:$G$405,'Istoric_Nativ'!$B$6:$B$405,E292,'Istoric_Nativ'!$C$6:$C$405,F292,'Istoric_Nativ'!$F$6:$F$405,G292,'Istoric_Nativ'!$D$6:$D$405,"&lt;"&amp;J292,'Istoric_Nativ'!$P$6:$P$405,1,'Istoric_Nativ'!$D$6:$D$405,"&gt;="&amp;L292)))/M292)</x:f>
      </x:c>
      <x:c r="P292" s="2" t="n">
        <x:f>'Config_v6'!$B$8</x:f>
        <x:v>5</x:v>
      </x:c>
      <x:c r="Q292" s="2" t="n">
        <x:f>IF(OR(B292="",F292=""),0,IFERROR(MATCH(E292&amp;"|"&amp;F292,SourceTable[Source_Key],0),0))</x:f>
        <x:v>0</x:v>
      </x:c>
      <x:c r="R292" s="2" t="str">
        <x:f>IF(B292="","",IF(F292="","UNUSED",IF(Q292=0,"NOT CHECKED",IF(COUNTIF(SourceTable[Source_Key],E292&amp;"|"&amp;F292)&lt;&gt;1,"SOURCE CONFLICT",IF(NOT(OR(INDEX(SourceTable[Status],MAX(1,Q292))="IMPORTED",INDEX(SourceTable[Status],MAX(1,Q292))="PARTIAL",INDEX(SourceTable[Status],MAX(1,Q292))="SOURCE CONFLICT")),"ACCESS BLOCKED",IF(OR(INDEX(SourceTable[Coverage],Q292)&lt;&gt;"FULL SEASON EXPORT",INDEX(SourceTable[URL],Q292)="",INDEX(SourceTable[SHA256],Q292)=""),"EVIDENCE INCOMPLETE",IF(AND('Input_Meci'!H29="LIVE",INDEX(SourceTable[Retrieved_UTC],Q292)&gt;'Input_Meci'!G29),"POST CUTOFF","CLOSED")))))))</x:f>
      </x:c>
      <x:c r="S292" s="2" t="n">
        <x:f>IF(OR(B292="",F292=""),0,COUNTIFS('Istoric_Nativ'!$B$6:$B$405,E292,'Istoric_Nativ'!$C$6:$C$405,F292,'Istoric_Nativ'!$E$6:$E$405,G292,'Istoric_Nativ'!$D$6:$D$405,"&lt;"&amp;J292,'Istoric_Nativ'!$O$6:$O$405,"INVALID")+COUNTIFS('Istoric_Nativ'!$B$6:$B$405,E292,'Istoric_Nativ'!$C$6:$C$405,F292,'Istoric_Nativ'!$E$6:$E$405,G292,'Istoric_Nativ'!$O$6:$O$405,"INVALID",'Istoric_Nativ'!$D$6:$D$405,"*")+COUNTIFS('Istoric_Nativ'!$B$6:$B$405,E292,'Istoric_Nativ'!$C$6:$C$405,F292,'Istoric_Nativ'!$E$6:$E$405,G292,'Istoric_Nativ'!$D$6:$D$405,"&lt;"&amp;J292,'Istoric_Nativ'!$O$6:$O$405,"SOURCE CONFLICT")+COUNTIFS('Istoric_Nativ'!$B$6:$B$405,E292,'Istoric_Nativ'!$C$6:$C$405,F292,'Istoric_Nativ'!$F$6:$F$405,G292,'Istoric_Nativ'!$D$6:$D$405,"&lt;"&amp;J292,'Istoric_Nativ'!$O$6:$O$405,"INVALID")+COUNTIFS('Istoric_Nativ'!$B$6:$B$405,E292,'Istoric_Nativ'!$C$6:$C$405,F292,'Istoric_Nativ'!$F$6:$F$405,G292,'Istoric_Nativ'!$O$6:$O$405,"INVALID",'Istoric_Nativ'!$D$6:$D$405,"*")+COUNTIFS('Istoric_Nativ'!$B$6:$B$405,E292,'Istoric_Nativ'!$C$6:$C$405,F292,'Istoric_Nativ'!$F$6:$F$405,G292,'Istoric_Nativ'!$D$6:$D$405,"&lt;"&amp;J292,'Istoric_Nativ'!$O$6:$O$405,"SOURCE CONFLICT"))</x:f>
        <x:v>0</x:v>
      </x:c>
      <x:c r="T292" s="2" t="str">
        <x:f>IF(B292="","",IF(R292&lt;&gt;"CLOSED",R292,IF(S292&gt;0,"NATIVE INPUT ISSUE",IF(M292=0,"NO HISTORY",IF(M292&lt;P292,"SMALL SAMPLE","DERIVED")))))</x:f>
      </x:c>
      <x:c r="U292" s="2" t="str">
        <x:f>IF(B292="","","NativeTable; "&amp;E292&amp;"; "&amp;F292&amp;"; "&amp;G292&amp;"; "&amp;H292&amp;"; before "&amp;TEXT(J292,"yyyy-mm-dd")&amp;IF(I292="RECENT","; from "&amp;TEXT(L292,"yyyy-mm-dd"),""))</x:f>
      </x:c>
    </x:row>
    <x:row r="293" ht="21" customHeight="1">
      <x:c r="A293" s="2" t="n">
        <x:v>24</x:v>
      </x:c>
      <x:c r="B293" s="2" t="str">
        <x:f>IF('Input_Meci'!A29="","",'Input_Meci'!A29)</x:f>
      </x:c>
      <x:c r="C293" s="2" t="str">
        <x:v>A</x:v>
      </x:c>
      <x:c r="D293" s="2" t="str">
        <x:v>PRIOR</x:v>
      </x:c>
      <x:c r="E293" s="2" t="str">
        <x:f>IF(B293="","",'Input_Meci'!B29)</x:f>
      </x:c>
      <x:c r="F293" s="2" t="str">
        <x:f>IF(B293="","",IF('Input_Meci'!K29="","",'Input_Meci'!K29))</x:f>
      </x:c>
      <x:c r="G293" s="2" t="str">
        <x:f>IF(B293="","",'Input_Meci'!E29)</x:f>
      </x:c>
      <x:c r="H293" s="2" t="str">
        <x:v>ANY</x:v>
      </x:c>
      <x:c r="I293" s="2" t="str">
        <x:v>RECENT</x:v>
      </x:c>
      <x:c r="J293" s="9" t="n">
        <x:f>IF(AND(B293&lt;&gt;"",ISNUMBER('Input_Meci'!G29)),INT('Input_Meci'!G29),0)</x:f>
        <x:v>0</x:v>
      </x:c>
      <x:c r="K293" s="2" t="n">
        <x:f>IF(OR(B293="",F293=""),0,IF(H293="HOME",COUNTIFS('Istoric_Nativ'!$B$6:$B$405,E293,'Istoric_Nativ'!$C$6:$C$405,F293,'Istoric_Nativ'!$E$6:$E$405,G293,'Istoric_Nativ'!$D$6:$D$405,"&lt;"&amp;J293,'Istoric_Nativ'!$P$6:$P$405,1),IF(H293="AWAY",COUNTIFS('Istoric_Nativ'!$B$6:$B$405,E293,'Istoric_Nativ'!$C$6:$C$405,F293,'Istoric_Nativ'!$F$6:$F$405,G293,'Istoric_Nativ'!$D$6:$D$405,"&lt;"&amp;J293,'Istoric_Nativ'!$P$6:$P$405,1),COUNTIFS('Istoric_Nativ'!$B$6:$B$405,E293,'Istoric_Nativ'!$C$6:$C$405,F293,'Istoric_Nativ'!$E$6:$E$405,G293,'Istoric_Nativ'!$D$6:$D$405,"&lt;"&amp;J293,'Istoric_Nativ'!$P$6:$P$405,1)+COUNTIFS('Istoric_Nativ'!$B$6:$B$405,E293,'Istoric_Nativ'!$C$6:$C$405,F293,'Istoric_Nativ'!$F$6:$F$405,G293,'Istoric_Nativ'!$D$6:$D$405,"&lt;"&amp;J293,'Istoric_Nativ'!$P$6:$P$405,1))))</x:f>
        <x:v>0</x:v>
      </x:c>
      <x:c r="L293" s="17" t="n">
        <x:f>IF(AND(B293&lt;&gt;"",I293="RECENT",K293&gt;0),LARGE(_xlfn._xlws.FILTER('Istoric_Nativ'!$D$6:$D$405,('Istoric_Nativ'!$B$6:$B$405=E293)*('Istoric_Nativ'!$C$6:$C$405=F293)*('Istoric_Nativ'!$P$6:$P$405=1)*('Istoric_Nativ'!$D$6:$D$405&lt;J293)*((('Istoric_Nativ'!$E$6:$E$405=G293)+('Istoric_Nativ'!$F$6:$F$405=G293))&gt;0)),MIN('Config_v6'!$B$54,K293)),0)</x:f>
        <x:v>0</x:v>
      </x:c>
      <x:c r="M293" s="2" t="n">
        <x:f>IF(OR(B293="",F293=""),0,IF(H293="HOME",COUNTIFS('Istoric_Nativ'!$B$6:$B$405,E293,'Istoric_Nativ'!$C$6:$C$405,F293,'Istoric_Nativ'!$E$6:$E$405,G293,'Istoric_Nativ'!$D$6:$D$405,"&lt;"&amp;J293,'Istoric_Nativ'!$P$6:$P$405,1,'Istoric_Nativ'!$D$6:$D$405,"&gt;="&amp;L293),IF(H293="AWAY",COUNTIFS('Istoric_Nativ'!$B$6:$B$405,E293,'Istoric_Nativ'!$C$6:$C$405,F293,'Istoric_Nativ'!$F$6:$F$405,G293,'Istoric_Nativ'!$D$6:$D$405,"&lt;"&amp;J293,'Istoric_Nativ'!$P$6:$P$405,1,'Istoric_Nativ'!$D$6:$D$405,"&gt;="&amp;L293),COUNTIFS('Istoric_Nativ'!$B$6:$B$405,E293,'Istoric_Nativ'!$C$6:$C$405,F293,'Istoric_Nativ'!$E$6:$E$405,G293,'Istoric_Nativ'!$D$6:$D$405,"&lt;"&amp;J293,'Istoric_Nativ'!$P$6:$P$405,1,'Istoric_Nativ'!$D$6:$D$405,"&gt;="&amp;L293)+COUNTIFS('Istoric_Nativ'!$B$6:$B$405,E293,'Istoric_Nativ'!$C$6:$C$405,F293,'Istoric_Nativ'!$F$6:$F$405,G293,'Istoric_Nativ'!$D$6:$D$405,"&lt;"&amp;J293,'Istoric_Nativ'!$P$6:$P$405,1,'Istoric_Nativ'!$D$6:$D$405,"&gt;="&amp;L293))))</x:f>
        <x:v>0</x:v>
      </x:c>
      <x:c r="N293" s="11" t="str">
        <x:f>IF(M293=0,"",IF(H293="HOME",SUMIFS('Istoric_Nativ'!$G$6:$G$405,'Istoric_Nativ'!$B$6:$B$405,E293,'Istoric_Nativ'!$C$6:$C$405,F293,'Istoric_Nativ'!$E$6:$E$405,G293,'Istoric_Nativ'!$D$6:$D$405,"&lt;"&amp;J293,'Istoric_Nativ'!$P$6:$P$405,1,'Istoric_Nativ'!$D$6:$D$405,"&gt;="&amp;L293),IF(H293="AWAY",SUMIFS('Istoric_Nativ'!$H$6:$H$405,'Istoric_Nativ'!$B$6:$B$405,E293,'Istoric_Nativ'!$C$6:$C$405,F293,'Istoric_Nativ'!$F$6:$F$405,G293,'Istoric_Nativ'!$D$6:$D$405,"&lt;"&amp;J293,'Istoric_Nativ'!$P$6:$P$405,1,'Istoric_Nativ'!$D$6:$D$405,"&gt;="&amp;L293),SUMIFS('Istoric_Nativ'!$G$6:$G$405,'Istoric_Nativ'!$B$6:$B$405,E293,'Istoric_Nativ'!$C$6:$C$405,F293,'Istoric_Nativ'!$E$6:$E$405,G293,'Istoric_Nativ'!$D$6:$D$405,"&lt;"&amp;J293,'Istoric_Nativ'!$P$6:$P$405,1,'Istoric_Nativ'!$D$6:$D$405,"&gt;="&amp;L293)+SUMIFS('Istoric_Nativ'!$H$6:$H$405,'Istoric_Nativ'!$B$6:$B$405,E293,'Istoric_Nativ'!$C$6:$C$405,F293,'Istoric_Nativ'!$F$6:$F$405,G293,'Istoric_Nativ'!$D$6:$D$405,"&lt;"&amp;J293,'Istoric_Nativ'!$P$6:$P$405,1,'Istoric_Nativ'!$D$6:$D$405,"&gt;="&amp;L293)))/M293)</x:f>
      </x:c>
      <x:c r="O293" s="11" t="str">
        <x:f>IF(M293=0,"",IF(H293="HOME",SUMIFS('Istoric_Nativ'!$H$6:$H$405,'Istoric_Nativ'!$B$6:$B$405,E293,'Istoric_Nativ'!$C$6:$C$405,F293,'Istoric_Nativ'!$E$6:$E$405,G293,'Istoric_Nativ'!$D$6:$D$405,"&lt;"&amp;J293,'Istoric_Nativ'!$P$6:$P$405,1,'Istoric_Nativ'!$D$6:$D$405,"&gt;="&amp;L293),IF(H293="AWAY",SUMIFS('Istoric_Nativ'!$G$6:$G$405,'Istoric_Nativ'!$B$6:$B$405,E293,'Istoric_Nativ'!$C$6:$C$405,F293,'Istoric_Nativ'!$F$6:$F$405,G293,'Istoric_Nativ'!$D$6:$D$405,"&lt;"&amp;J293,'Istoric_Nativ'!$P$6:$P$405,1,'Istoric_Nativ'!$D$6:$D$405,"&gt;="&amp;L293),SUMIFS('Istoric_Nativ'!$H$6:$H$405,'Istoric_Nativ'!$B$6:$B$405,E293,'Istoric_Nativ'!$C$6:$C$405,F293,'Istoric_Nativ'!$E$6:$E$405,G293,'Istoric_Nativ'!$D$6:$D$405,"&lt;"&amp;J293,'Istoric_Nativ'!$P$6:$P$405,1,'Istoric_Nativ'!$D$6:$D$405,"&gt;="&amp;L293)+SUMIFS('Istoric_Nativ'!$G$6:$G$405,'Istoric_Nativ'!$B$6:$B$405,E293,'Istoric_Nativ'!$C$6:$C$405,F293,'Istoric_Nativ'!$F$6:$F$405,G293,'Istoric_Nativ'!$D$6:$D$405,"&lt;"&amp;J293,'Istoric_Nativ'!$P$6:$P$405,1,'Istoric_Nativ'!$D$6:$D$405,"&gt;="&amp;L293)))/M293)</x:f>
      </x:c>
      <x:c r="P293" s="2" t="n">
        <x:f>'Config_v6'!$B$9</x:f>
        <x:v>3</x:v>
      </x:c>
      <x:c r="Q293" s="2" t="n">
        <x:f>IF(OR(B293="",F293=""),0,IFERROR(MATCH(E293&amp;"|"&amp;F293,SourceTable[Source_Key],0),0))</x:f>
        <x:v>0</x:v>
      </x:c>
      <x:c r="R293" s="2" t="str">
        <x:f>IF(B293="","",IF(F293="","UNUSED",IF(Q293=0,"NOT CHECKED",IF(COUNTIF(SourceTable[Source_Key],E293&amp;"|"&amp;F293)&lt;&gt;1,"SOURCE CONFLICT",IF(NOT(OR(INDEX(SourceTable[Status],MAX(1,Q293))="IMPORTED",INDEX(SourceTable[Status],MAX(1,Q293))="PARTIAL",INDEX(SourceTable[Status],MAX(1,Q293))="SOURCE CONFLICT")),"ACCESS BLOCKED",IF(OR(INDEX(SourceTable[Coverage],Q293)&lt;&gt;"FULL SEASON EXPORT",INDEX(SourceTable[URL],Q293)="",INDEX(SourceTable[SHA256],Q293)=""),"EVIDENCE INCOMPLETE",IF(AND('Input_Meci'!H29="LIVE",INDEX(SourceTable[Retrieved_UTC],Q293)&gt;'Input_Meci'!G29),"POST CUTOFF","CLOSED")))))))</x:f>
      </x:c>
      <x:c r="S293" s="2" t="n">
        <x:f>IF(OR(B293="",F293=""),0,COUNTIFS('Istoric_Nativ'!$B$6:$B$405,E293,'Istoric_Nativ'!$C$6:$C$405,F293,'Istoric_Nativ'!$E$6:$E$405,G293,'Istoric_Nativ'!$D$6:$D$405,"&lt;"&amp;J293,'Istoric_Nativ'!$O$6:$O$405,"INVALID")+COUNTIFS('Istoric_Nativ'!$B$6:$B$405,E293,'Istoric_Nativ'!$C$6:$C$405,F293,'Istoric_Nativ'!$E$6:$E$405,G293,'Istoric_Nativ'!$O$6:$O$405,"INVALID",'Istoric_Nativ'!$D$6:$D$405,"*")+COUNTIFS('Istoric_Nativ'!$B$6:$B$405,E293,'Istoric_Nativ'!$C$6:$C$405,F293,'Istoric_Nativ'!$E$6:$E$405,G293,'Istoric_Nativ'!$D$6:$D$405,"&lt;"&amp;J293,'Istoric_Nativ'!$O$6:$O$405,"SOURCE CONFLICT")+COUNTIFS('Istoric_Nativ'!$B$6:$B$405,E293,'Istoric_Nativ'!$C$6:$C$405,F293,'Istoric_Nativ'!$F$6:$F$405,G293,'Istoric_Nativ'!$D$6:$D$405,"&lt;"&amp;J293,'Istoric_Nativ'!$O$6:$O$405,"INVALID")+COUNTIFS('Istoric_Nativ'!$B$6:$B$405,E293,'Istoric_Nativ'!$C$6:$C$405,F293,'Istoric_Nativ'!$F$6:$F$405,G293,'Istoric_Nativ'!$O$6:$O$405,"INVALID",'Istoric_Nativ'!$D$6:$D$405,"*")+COUNTIFS('Istoric_Nativ'!$B$6:$B$405,E293,'Istoric_Nativ'!$C$6:$C$405,F293,'Istoric_Nativ'!$F$6:$F$405,G293,'Istoric_Nativ'!$D$6:$D$405,"&lt;"&amp;J293,'Istoric_Nativ'!$O$6:$O$405,"SOURCE CONFLICT"))</x:f>
        <x:v>0</x:v>
      </x:c>
      <x:c r="T293" s="2" t="str">
        <x:f>IF(B293="","",IF(R293&lt;&gt;"CLOSED",R293,IF(S293&gt;0,"NATIVE INPUT ISSUE",IF(M293=0,"NO HISTORY",IF(M293&lt;P293,"SMALL SAMPLE","DERIVED")))))</x:f>
      </x:c>
      <x:c r="U293" s="2" t="str">
        <x:f>IF(B293="","","NativeTable; "&amp;E293&amp;"; "&amp;F293&amp;"; "&amp;G293&amp;"; "&amp;H293&amp;"; before "&amp;TEXT(J293,"yyyy-mm-dd")&amp;IF(I293="RECENT","; from "&amp;TEXT(L293,"yyyy-mm-dd"),""))</x:f>
      </x:c>
    </x:row>
    <x:row r="294" ht="21" customHeight="1">
      <x:c r="A294" s="2" t="n">
        <x:v>25</x:v>
      </x:c>
      <x:c r="B294" s="2" t="str">
        <x:f>IF('Input_Meci'!A30="","",'Input_Meci'!A30)</x:f>
      </x:c>
      <x:c r="C294" s="2" t="str">
        <x:v>H</x:v>
      </x:c>
      <x:c r="D294" s="2" t="str">
        <x:v>CURRENT</x:v>
      </x:c>
      <x:c r="E294" s="2" t="str">
        <x:f>IF(B294="","",'Input_Meci'!B30)</x:f>
      </x:c>
      <x:c r="F294" s="2" t="str">
        <x:f>IF(B294="","",IF('Input_Meci'!C30="","",'Input_Meci'!C30))</x:f>
      </x:c>
      <x:c r="G294" s="2" t="str">
        <x:f>IF(B294="","",'Input_Meci'!D30)</x:f>
      </x:c>
      <x:c r="H294" s="2" t="str">
        <x:v>ANY</x:v>
      </x:c>
      <x:c r="I294" s="2" t="str">
        <x:v>SEASON</x:v>
      </x:c>
      <x:c r="J294" s="9" t="n">
        <x:f>IF(AND(B294&lt;&gt;"",ISNUMBER('Input_Meci'!G30)),INT('Input_Meci'!G30),0)</x:f>
        <x:v>0</x:v>
      </x:c>
      <x:c r="K294" s="2" t="n">
        <x:f>IF(OR(B294="",F294=""),0,IF(H294="HOME",COUNTIFS('Istoric_Nativ'!$B$6:$B$405,E294,'Istoric_Nativ'!$C$6:$C$405,F294,'Istoric_Nativ'!$E$6:$E$405,G294,'Istoric_Nativ'!$D$6:$D$405,"&lt;"&amp;J294,'Istoric_Nativ'!$P$6:$P$405,1),IF(H294="AWAY",COUNTIFS('Istoric_Nativ'!$B$6:$B$405,E294,'Istoric_Nativ'!$C$6:$C$405,F294,'Istoric_Nativ'!$F$6:$F$405,G294,'Istoric_Nativ'!$D$6:$D$405,"&lt;"&amp;J294,'Istoric_Nativ'!$P$6:$P$405,1),COUNTIFS('Istoric_Nativ'!$B$6:$B$405,E294,'Istoric_Nativ'!$C$6:$C$405,F294,'Istoric_Nativ'!$E$6:$E$405,G294,'Istoric_Nativ'!$D$6:$D$405,"&lt;"&amp;J294,'Istoric_Nativ'!$P$6:$P$405,1)+COUNTIFS('Istoric_Nativ'!$B$6:$B$405,E294,'Istoric_Nativ'!$C$6:$C$405,F294,'Istoric_Nativ'!$F$6:$F$405,G294,'Istoric_Nativ'!$D$6:$D$405,"&lt;"&amp;J294,'Istoric_Nativ'!$P$6:$P$405,1))))</x:f>
        <x:v>0</x:v>
      </x:c>
      <x:c r="L294" s="17" t="n">
        <x:f>IF(AND(B294&lt;&gt;"",I294="RECENT",K294&gt;0),LARGE(_xlfn._xlws.FILTER('Istoric_Nativ'!$D$6:$D$405,('Istoric_Nativ'!$B$6:$B$405=E294)*('Istoric_Nativ'!$C$6:$C$405=F294)*('Istoric_Nativ'!$P$6:$P$405=1)*('Istoric_Nativ'!$D$6:$D$405&lt;J294)*((('Istoric_Nativ'!$E$6:$E$405=G294)+('Istoric_Nativ'!$F$6:$F$405=G294))&gt;0)),MIN('Config_v6'!$B$54,K294)),0)</x:f>
        <x:v>0</x:v>
      </x:c>
      <x:c r="M294" s="2" t="n">
        <x:f>IF(OR(B294="",F294=""),0,IF(H294="HOME",COUNTIFS('Istoric_Nativ'!$B$6:$B$405,E294,'Istoric_Nativ'!$C$6:$C$405,F294,'Istoric_Nativ'!$E$6:$E$405,G294,'Istoric_Nativ'!$D$6:$D$405,"&lt;"&amp;J294,'Istoric_Nativ'!$P$6:$P$405,1,'Istoric_Nativ'!$D$6:$D$405,"&gt;="&amp;L294),IF(H294="AWAY",COUNTIFS('Istoric_Nativ'!$B$6:$B$405,E294,'Istoric_Nativ'!$C$6:$C$405,F294,'Istoric_Nativ'!$F$6:$F$405,G294,'Istoric_Nativ'!$D$6:$D$405,"&lt;"&amp;J294,'Istoric_Nativ'!$P$6:$P$405,1,'Istoric_Nativ'!$D$6:$D$405,"&gt;="&amp;L294),COUNTIFS('Istoric_Nativ'!$B$6:$B$405,E294,'Istoric_Nativ'!$C$6:$C$405,F294,'Istoric_Nativ'!$E$6:$E$405,G294,'Istoric_Nativ'!$D$6:$D$405,"&lt;"&amp;J294,'Istoric_Nativ'!$P$6:$P$405,1,'Istoric_Nativ'!$D$6:$D$405,"&gt;="&amp;L294)+COUNTIFS('Istoric_Nativ'!$B$6:$B$405,E294,'Istoric_Nativ'!$C$6:$C$405,F294,'Istoric_Nativ'!$F$6:$F$405,G294,'Istoric_Nativ'!$D$6:$D$405,"&lt;"&amp;J294,'Istoric_Nativ'!$P$6:$P$405,1,'Istoric_Nativ'!$D$6:$D$405,"&gt;="&amp;L294))))</x:f>
        <x:v>0</x:v>
      </x:c>
      <x:c r="N294" s="11" t="str">
        <x:f>IF(M294=0,"",IF(H294="HOME",SUMIFS('Istoric_Nativ'!$G$6:$G$405,'Istoric_Nativ'!$B$6:$B$405,E294,'Istoric_Nativ'!$C$6:$C$405,F294,'Istoric_Nativ'!$E$6:$E$405,G294,'Istoric_Nativ'!$D$6:$D$405,"&lt;"&amp;J294,'Istoric_Nativ'!$P$6:$P$405,1,'Istoric_Nativ'!$D$6:$D$405,"&gt;="&amp;L294),IF(H294="AWAY",SUMIFS('Istoric_Nativ'!$H$6:$H$405,'Istoric_Nativ'!$B$6:$B$405,E294,'Istoric_Nativ'!$C$6:$C$405,F294,'Istoric_Nativ'!$F$6:$F$405,G294,'Istoric_Nativ'!$D$6:$D$405,"&lt;"&amp;J294,'Istoric_Nativ'!$P$6:$P$405,1,'Istoric_Nativ'!$D$6:$D$405,"&gt;="&amp;L294),SUMIFS('Istoric_Nativ'!$G$6:$G$405,'Istoric_Nativ'!$B$6:$B$405,E294,'Istoric_Nativ'!$C$6:$C$405,F294,'Istoric_Nativ'!$E$6:$E$405,G294,'Istoric_Nativ'!$D$6:$D$405,"&lt;"&amp;J294,'Istoric_Nativ'!$P$6:$P$405,1,'Istoric_Nativ'!$D$6:$D$405,"&gt;="&amp;L294)+SUMIFS('Istoric_Nativ'!$H$6:$H$405,'Istoric_Nativ'!$B$6:$B$405,E294,'Istoric_Nativ'!$C$6:$C$405,F294,'Istoric_Nativ'!$F$6:$F$405,G294,'Istoric_Nativ'!$D$6:$D$405,"&lt;"&amp;J294,'Istoric_Nativ'!$P$6:$P$405,1,'Istoric_Nativ'!$D$6:$D$405,"&gt;="&amp;L294)))/M294)</x:f>
      </x:c>
      <x:c r="O294" s="11" t="str">
        <x:f>IF(M294=0,"",IF(H294="HOME",SUMIFS('Istoric_Nativ'!$H$6:$H$405,'Istoric_Nativ'!$B$6:$B$405,E294,'Istoric_Nativ'!$C$6:$C$405,F294,'Istoric_Nativ'!$E$6:$E$405,G294,'Istoric_Nativ'!$D$6:$D$405,"&lt;"&amp;J294,'Istoric_Nativ'!$P$6:$P$405,1,'Istoric_Nativ'!$D$6:$D$405,"&gt;="&amp;L294),IF(H294="AWAY",SUMIFS('Istoric_Nativ'!$G$6:$G$405,'Istoric_Nativ'!$B$6:$B$405,E294,'Istoric_Nativ'!$C$6:$C$405,F294,'Istoric_Nativ'!$F$6:$F$405,G294,'Istoric_Nativ'!$D$6:$D$405,"&lt;"&amp;J294,'Istoric_Nativ'!$P$6:$P$405,1,'Istoric_Nativ'!$D$6:$D$405,"&gt;="&amp;L294),SUMIFS('Istoric_Nativ'!$H$6:$H$405,'Istoric_Nativ'!$B$6:$B$405,E294,'Istoric_Nativ'!$C$6:$C$405,F294,'Istoric_Nativ'!$E$6:$E$405,G294,'Istoric_Nativ'!$D$6:$D$405,"&lt;"&amp;J294,'Istoric_Nativ'!$P$6:$P$405,1,'Istoric_Nativ'!$D$6:$D$405,"&gt;="&amp;L294)+SUMIFS('Istoric_Nativ'!$G$6:$G$405,'Istoric_Nativ'!$B$6:$B$405,E294,'Istoric_Nativ'!$C$6:$C$405,F294,'Istoric_Nativ'!$F$6:$F$405,G294,'Istoric_Nativ'!$D$6:$D$405,"&lt;"&amp;J294,'Istoric_Nativ'!$P$6:$P$405,1,'Istoric_Nativ'!$D$6:$D$405,"&gt;="&amp;L294)))/M294)</x:f>
      </x:c>
      <x:c r="P294" s="2" t="n">
        <x:f>'Config_v6'!$B$7</x:f>
        <x:v>10</x:v>
      </x:c>
      <x:c r="Q294" s="2" t="n">
        <x:f>IF(OR(B294="",F294=""),0,IFERROR(MATCH(E294&amp;"|"&amp;F294,SourceTable[Source_Key],0),0))</x:f>
        <x:v>0</x:v>
      </x:c>
      <x:c r="R294" s="2" t="str">
        <x:f>IF(B294="","",IF(F294="","UNUSED",IF(Q294=0,"NOT CHECKED",IF(COUNTIF(SourceTable[Source_Key],E294&amp;"|"&amp;F294)&lt;&gt;1,"SOURCE CONFLICT",IF(NOT(OR(INDEX(SourceTable[Status],MAX(1,Q294))="IMPORTED",INDEX(SourceTable[Status],MAX(1,Q294))="PARTIAL",INDEX(SourceTable[Status],MAX(1,Q294))="SOURCE CONFLICT")),"ACCESS BLOCKED",IF(OR(INDEX(SourceTable[Coverage],Q294)&lt;&gt;"FULL SEASON EXPORT",INDEX(SourceTable[URL],Q294)="",INDEX(SourceTable[SHA256],Q294)=""),"EVIDENCE INCOMPLETE",IF(AND('Input_Meci'!H30="LIVE",INDEX(SourceTable[Retrieved_UTC],Q294)&gt;'Input_Meci'!G30),"POST CUTOFF","CLOSED")))))))</x:f>
      </x:c>
      <x:c r="S294" s="2" t="n">
        <x:f>IF(OR(B294="",F294=""),0,COUNTIFS('Istoric_Nativ'!$B$6:$B$405,E294,'Istoric_Nativ'!$C$6:$C$405,F294,'Istoric_Nativ'!$E$6:$E$405,G294,'Istoric_Nativ'!$D$6:$D$405,"&lt;"&amp;J294,'Istoric_Nativ'!$O$6:$O$405,"INVALID")+COUNTIFS('Istoric_Nativ'!$B$6:$B$405,E294,'Istoric_Nativ'!$C$6:$C$405,F294,'Istoric_Nativ'!$E$6:$E$405,G294,'Istoric_Nativ'!$O$6:$O$405,"INVALID",'Istoric_Nativ'!$D$6:$D$405,"*")+COUNTIFS('Istoric_Nativ'!$B$6:$B$405,E294,'Istoric_Nativ'!$C$6:$C$405,F294,'Istoric_Nativ'!$E$6:$E$405,G294,'Istoric_Nativ'!$D$6:$D$405,"&lt;"&amp;J294,'Istoric_Nativ'!$O$6:$O$405,"SOURCE CONFLICT")+COUNTIFS('Istoric_Nativ'!$B$6:$B$405,E294,'Istoric_Nativ'!$C$6:$C$405,F294,'Istoric_Nativ'!$F$6:$F$405,G294,'Istoric_Nativ'!$D$6:$D$405,"&lt;"&amp;J294,'Istoric_Nativ'!$O$6:$O$405,"INVALID")+COUNTIFS('Istoric_Nativ'!$B$6:$B$405,E294,'Istoric_Nativ'!$C$6:$C$405,F294,'Istoric_Nativ'!$F$6:$F$405,G294,'Istoric_Nativ'!$O$6:$O$405,"INVALID",'Istoric_Nativ'!$D$6:$D$405,"*")+COUNTIFS('Istoric_Nativ'!$B$6:$B$405,E294,'Istoric_Nativ'!$C$6:$C$405,F294,'Istoric_Nativ'!$F$6:$F$405,G294,'Istoric_Nativ'!$D$6:$D$405,"&lt;"&amp;J294,'Istoric_Nativ'!$O$6:$O$405,"SOURCE CONFLICT"))</x:f>
        <x:v>0</x:v>
      </x:c>
      <x:c r="T294" s="2" t="str">
        <x:f>IF(B294="","",IF(R294&lt;&gt;"CLOSED",R294,IF(S294&gt;0,"NATIVE INPUT ISSUE",IF(M294=0,"NO HISTORY",IF(M294&lt;P294,"SMALL SAMPLE","DERIVED")))))</x:f>
      </x:c>
      <x:c r="U294" s="2" t="str">
        <x:f>IF(B294="","","NativeTable; "&amp;E294&amp;"; "&amp;F294&amp;"; "&amp;G294&amp;"; "&amp;H294&amp;"; before "&amp;TEXT(J294,"yyyy-mm-dd")&amp;IF(I294="RECENT","; from "&amp;TEXT(L294,"yyyy-mm-dd"),""))</x:f>
      </x:c>
    </x:row>
    <x:row r="295" ht="21" customHeight="1">
      <x:c r="A295" s="2" t="n">
        <x:v>25</x:v>
      </x:c>
      <x:c r="B295" s="2" t="str">
        <x:f>IF('Input_Meci'!A30="","",'Input_Meci'!A30)</x:f>
      </x:c>
      <x:c r="C295" s="2" t="str">
        <x:v>H</x:v>
      </x:c>
      <x:c r="D295" s="2" t="str">
        <x:v>CURRENT</x:v>
      </x:c>
      <x:c r="E295" s="2" t="str">
        <x:f>IF(B295="","",'Input_Meci'!B30)</x:f>
      </x:c>
      <x:c r="F295" s="2" t="str">
        <x:f>IF(B295="","",IF('Input_Meci'!C30="","",'Input_Meci'!C30))</x:f>
      </x:c>
      <x:c r="G295" s="2" t="str">
        <x:f>IF(B295="","",'Input_Meci'!D30)</x:f>
      </x:c>
      <x:c r="H295" s="2" t="str">
        <x:v>HOME</x:v>
      </x:c>
      <x:c r="I295" s="2" t="str">
        <x:v>HA</x:v>
      </x:c>
      <x:c r="J295" s="9" t="n">
        <x:f>IF(AND(B295&lt;&gt;"",ISNUMBER('Input_Meci'!G30)),INT('Input_Meci'!G30),0)</x:f>
        <x:v>0</x:v>
      </x:c>
      <x:c r="K295" s="2" t="n">
        <x:f>IF(OR(B295="",F295=""),0,IF(H295="HOME",COUNTIFS('Istoric_Nativ'!$B$6:$B$405,E295,'Istoric_Nativ'!$C$6:$C$405,F295,'Istoric_Nativ'!$E$6:$E$405,G295,'Istoric_Nativ'!$D$6:$D$405,"&lt;"&amp;J295,'Istoric_Nativ'!$P$6:$P$405,1),IF(H295="AWAY",COUNTIFS('Istoric_Nativ'!$B$6:$B$405,E295,'Istoric_Nativ'!$C$6:$C$405,F295,'Istoric_Nativ'!$F$6:$F$405,G295,'Istoric_Nativ'!$D$6:$D$405,"&lt;"&amp;J295,'Istoric_Nativ'!$P$6:$P$405,1),COUNTIFS('Istoric_Nativ'!$B$6:$B$405,E295,'Istoric_Nativ'!$C$6:$C$405,F295,'Istoric_Nativ'!$E$6:$E$405,G295,'Istoric_Nativ'!$D$6:$D$405,"&lt;"&amp;J295,'Istoric_Nativ'!$P$6:$P$405,1)+COUNTIFS('Istoric_Nativ'!$B$6:$B$405,E295,'Istoric_Nativ'!$C$6:$C$405,F295,'Istoric_Nativ'!$F$6:$F$405,G295,'Istoric_Nativ'!$D$6:$D$405,"&lt;"&amp;J295,'Istoric_Nativ'!$P$6:$P$405,1))))</x:f>
        <x:v>0</x:v>
      </x:c>
      <x:c r="L295" s="17" t="n">
        <x:f>IF(AND(B295&lt;&gt;"",I295="RECENT",K295&gt;0),LARGE(_xlfn._xlws.FILTER('Istoric_Nativ'!$D$6:$D$405,('Istoric_Nativ'!$B$6:$B$405=E295)*('Istoric_Nativ'!$C$6:$C$405=F295)*('Istoric_Nativ'!$P$6:$P$405=1)*('Istoric_Nativ'!$D$6:$D$405&lt;J295)*((('Istoric_Nativ'!$E$6:$E$405=G295)+('Istoric_Nativ'!$F$6:$F$405=G295))&gt;0)),MIN('Config_v6'!$B$54,K295)),0)</x:f>
        <x:v>0</x:v>
      </x:c>
      <x:c r="M295" s="2" t="n">
        <x:f>IF(OR(B295="",F295=""),0,IF(H295="HOME",COUNTIFS('Istoric_Nativ'!$B$6:$B$405,E295,'Istoric_Nativ'!$C$6:$C$405,F295,'Istoric_Nativ'!$E$6:$E$405,G295,'Istoric_Nativ'!$D$6:$D$405,"&lt;"&amp;J295,'Istoric_Nativ'!$P$6:$P$405,1,'Istoric_Nativ'!$D$6:$D$405,"&gt;="&amp;L295),IF(H295="AWAY",COUNTIFS('Istoric_Nativ'!$B$6:$B$405,E295,'Istoric_Nativ'!$C$6:$C$405,F295,'Istoric_Nativ'!$F$6:$F$405,G295,'Istoric_Nativ'!$D$6:$D$405,"&lt;"&amp;J295,'Istoric_Nativ'!$P$6:$P$405,1,'Istoric_Nativ'!$D$6:$D$405,"&gt;="&amp;L295),COUNTIFS('Istoric_Nativ'!$B$6:$B$405,E295,'Istoric_Nativ'!$C$6:$C$405,F295,'Istoric_Nativ'!$E$6:$E$405,G295,'Istoric_Nativ'!$D$6:$D$405,"&lt;"&amp;J295,'Istoric_Nativ'!$P$6:$P$405,1,'Istoric_Nativ'!$D$6:$D$405,"&gt;="&amp;L295)+COUNTIFS('Istoric_Nativ'!$B$6:$B$405,E295,'Istoric_Nativ'!$C$6:$C$405,F295,'Istoric_Nativ'!$F$6:$F$405,G295,'Istoric_Nativ'!$D$6:$D$405,"&lt;"&amp;J295,'Istoric_Nativ'!$P$6:$P$405,1,'Istoric_Nativ'!$D$6:$D$405,"&gt;="&amp;L295))))</x:f>
        <x:v>0</x:v>
      </x:c>
      <x:c r="N295" s="11" t="str">
        <x:f>IF(M295=0,"",IF(H295="HOME",SUMIFS('Istoric_Nativ'!$G$6:$G$405,'Istoric_Nativ'!$B$6:$B$405,E295,'Istoric_Nativ'!$C$6:$C$405,F295,'Istoric_Nativ'!$E$6:$E$405,G295,'Istoric_Nativ'!$D$6:$D$405,"&lt;"&amp;J295,'Istoric_Nativ'!$P$6:$P$405,1,'Istoric_Nativ'!$D$6:$D$405,"&gt;="&amp;L295),IF(H295="AWAY",SUMIFS('Istoric_Nativ'!$H$6:$H$405,'Istoric_Nativ'!$B$6:$B$405,E295,'Istoric_Nativ'!$C$6:$C$405,F295,'Istoric_Nativ'!$F$6:$F$405,G295,'Istoric_Nativ'!$D$6:$D$405,"&lt;"&amp;J295,'Istoric_Nativ'!$P$6:$P$405,1,'Istoric_Nativ'!$D$6:$D$405,"&gt;="&amp;L295),SUMIFS('Istoric_Nativ'!$G$6:$G$405,'Istoric_Nativ'!$B$6:$B$405,E295,'Istoric_Nativ'!$C$6:$C$405,F295,'Istoric_Nativ'!$E$6:$E$405,G295,'Istoric_Nativ'!$D$6:$D$405,"&lt;"&amp;J295,'Istoric_Nativ'!$P$6:$P$405,1,'Istoric_Nativ'!$D$6:$D$405,"&gt;="&amp;L295)+SUMIFS('Istoric_Nativ'!$H$6:$H$405,'Istoric_Nativ'!$B$6:$B$405,E295,'Istoric_Nativ'!$C$6:$C$405,F295,'Istoric_Nativ'!$F$6:$F$405,G295,'Istoric_Nativ'!$D$6:$D$405,"&lt;"&amp;J295,'Istoric_Nativ'!$P$6:$P$405,1,'Istoric_Nativ'!$D$6:$D$405,"&gt;="&amp;L295)))/M295)</x:f>
      </x:c>
      <x:c r="O295" s="11" t="str">
        <x:f>IF(M295=0,"",IF(H295="HOME",SUMIFS('Istoric_Nativ'!$H$6:$H$405,'Istoric_Nativ'!$B$6:$B$405,E295,'Istoric_Nativ'!$C$6:$C$405,F295,'Istoric_Nativ'!$E$6:$E$405,G295,'Istoric_Nativ'!$D$6:$D$405,"&lt;"&amp;J295,'Istoric_Nativ'!$P$6:$P$405,1,'Istoric_Nativ'!$D$6:$D$405,"&gt;="&amp;L295),IF(H295="AWAY",SUMIFS('Istoric_Nativ'!$G$6:$G$405,'Istoric_Nativ'!$B$6:$B$405,E295,'Istoric_Nativ'!$C$6:$C$405,F295,'Istoric_Nativ'!$F$6:$F$405,G295,'Istoric_Nativ'!$D$6:$D$405,"&lt;"&amp;J295,'Istoric_Nativ'!$P$6:$P$405,1,'Istoric_Nativ'!$D$6:$D$405,"&gt;="&amp;L295),SUMIFS('Istoric_Nativ'!$H$6:$H$405,'Istoric_Nativ'!$B$6:$B$405,E295,'Istoric_Nativ'!$C$6:$C$405,F295,'Istoric_Nativ'!$E$6:$E$405,G295,'Istoric_Nativ'!$D$6:$D$405,"&lt;"&amp;J295,'Istoric_Nativ'!$P$6:$P$405,1,'Istoric_Nativ'!$D$6:$D$405,"&gt;="&amp;L295)+SUMIFS('Istoric_Nativ'!$G$6:$G$405,'Istoric_Nativ'!$B$6:$B$405,E295,'Istoric_Nativ'!$C$6:$C$405,F295,'Istoric_Nativ'!$F$6:$F$405,G295,'Istoric_Nativ'!$D$6:$D$405,"&lt;"&amp;J295,'Istoric_Nativ'!$P$6:$P$405,1,'Istoric_Nativ'!$D$6:$D$405,"&gt;="&amp;L295)))/M295)</x:f>
      </x:c>
      <x:c r="P295" s="2" t="n">
        <x:f>'Config_v6'!$B$8</x:f>
        <x:v>5</x:v>
      </x:c>
      <x:c r="Q295" s="2" t="n">
        <x:f>IF(OR(B295="",F295=""),0,IFERROR(MATCH(E295&amp;"|"&amp;F295,SourceTable[Source_Key],0),0))</x:f>
        <x:v>0</x:v>
      </x:c>
      <x:c r="R295" s="2" t="str">
        <x:f>IF(B295="","",IF(F295="","UNUSED",IF(Q295=0,"NOT CHECKED",IF(COUNTIF(SourceTable[Source_Key],E295&amp;"|"&amp;F295)&lt;&gt;1,"SOURCE CONFLICT",IF(NOT(OR(INDEX(SourceTable[Status],MAX(1,Q295))="IMPORTED",INDEX(SourceTable[Status],MAX(1,Q295))="PARTIAL",INDEX(SourceTable[Status],MAX(1,Q295))="SOURCE CONFLICT")),"ACCESS BLOCKED",IF(OR(INDEX(SourceTable[Coverage],Q295)&lt;&gt;"FULL SEASON EXPORT",INDEX(SourceTable[URL],Q295)="",INDEX(SourceTable[SHA256],Q295)=""),"EVIDENCE INCOMPLETE",IF(AND('Input_Meci'!H30="LIVE",INDEX(SourceTable[Retrieved_UTC],Q295)&gt;'Input_Meci'!G30),"POST CUTOFF","CLOSED")))))))</x:f>
      </x:c>
      <x:c r="S295" s="2" t="n">
        <x:f>IF(OR(B295="",F295=""),0,COUNTIFS('Istoric_Nativ'!$B$6:$B$405,E295,'Istoric_Nativ'!$C$6:$C$405,F295,'Istoric_Nativ'!$E$6:$E$405,G295,'Istoric_Nativ'!$D$6:$D$405,"&lt;"&amp;J295,'Istoric_Nativ'!$O$6:$O$405,"INVALID")+COUNTIFS('Istoric_Nativ'!$B$6:$B$405,E295,'Istoric_Nativ'!$C$6:$C$405,F295,'Istoric_Nativ'!$E$6:$E$405,G295,'Istoric_Nativ'!$O$6:$O$405,"INVALID",'Istoric_Nativ'!$D$6:$D$405,"*")+COUNTIFS('Istoric_Nativ'!$B$6:$B$405,E295,'Istoric_Nativ'!$C$6:$C$405,F295,'Istoric_Nativ'!$E$6:$E$405,G295,'Istoric_Nativ'!$D$6:$D$405,"&lt;"&amp;J295,'Istoric_Nativ'!$O$6:$O$405,"SOURCE CONFLICT")+COUNTIFS('Istoric_Nativ'!$B$6:$B$405,E295,'Istoric_Nativ'!$C$6:$C$405,F295,'Istoric_Nativ'!$F$6:$F$405,G295,'Istoric_Nativ'!$D$6:$D$405,"&lt;"&amp;J295,'Istoric_Nativ'!$O$6:$O$405,"INVALID")+COUNTIFS('Istoric_Nativ'!$B$6:$B$405,E295,'Istoric_Nativ'!$C$6:$C$405,F295,'Istoric_Nativ'!$F$6:$F$405,G295,'Istoric_Nativ'!$O$6:$O$405,"INVALID",'Istoric_Nativ'!$D$6:$D$405,"*")+COUNTIFS('Istoric_Nativ'!$B$6:$B$405,E295,'Istoric_Nativ'!$C$6:$C$405,F295,'Istoric_Nativ'!$F$6:$F$405,G295,'Istoric_Nativ'!$D$6:$D$405,"&lt;"&amp;J295,'Istoric_Nativ'!$O$6:$O$405,"SOURCE CONFLICT"))</x:f>
        <x:v>0</x:v>
      </x:c>
      <x:c r="T295" s="2" t="str">
        <x:f>IF(B295="","",IF(R295&lt;&gt;"CLOSED",R295,IF(S295&gt;0,"NATIVE INPUT ISSUE",IF(M295=0,"NO HISTORY",IF(M295&lt;P295,"SMALL SAMPLE","DERIVED")))))</x:f>
      </x:c>
      <x:c r="U295" s="2" t="str">
        <x:f>IF(B295="","","NativeTable; "&amp;E295&amp;"; "&amp;F295&amp;"; "&amp;G295&amp;"; "&amp;H295&amp;"; before "&amp;TEXT(J295,"yyyy-mm-dd")&amp;IF(I295="RECENT","; from "&amp;TEXT(L295,"yyyy-mm-dd"),""))</x:f>
      </x:c>
    </x:row>
    <x:row r="296" ht="21" customHeight="1">
      <x:c r="A296" s="2" t="n">
        <x:v>25</x:v>
      </x:c>
      <x:c r="B296" s="2" t="str">
        <x:f>IF('Input_Meci'!A30="","",'Input_Meci'!A30)</x:f>
      </x:c>
      <x:c r="C296" s="2" t="str">
        <x:v>H</x:v>
      </x:c>
      <x:c r="D296" s="2" t="str">
        <x:v>CURRENT</x:v>
      </x:c>
      <x:c r="E296" s="2" t="str">
        <x:f>IF(B296="","",'Input_Meci'!B30)</x:f>
      </x:c>
      <x:c r="F296" s="2" t="str">
        <x:f>IF(B296="","",IF('Input_Meci'!C30="","",'Input_Meci'!C30))</x:f>
      </x:c>
      <x:c r="G296" s="2" t="str">
        <x:f>IF(B296="","",'Input_Meci'!D30)</x:f>
      </x:c>
      <x:c r="H296" s="2" t="str">
        <x:v>ANY</x:v>
      </x:c>
      <x:c r="I296" s="2" t="str">
        <x:v>RECENT</x:v>
      </x:c>
      <x:c r="J296" s="9" t="n">
        <x:f>IF(AND(B296&lt;&gt;"",ISNUMBER('Input_Meci'!G30)),INT('Input_Meci'!G30),0)</x:f>
        <x:v>0</x:v>
      </x:c>
      <x:c r="K296" s="2" t="n">
        <x:f>IF(OR(B296="",F296=""),0,IF(H296="HOME",COUNTIFS('Istoric_Nativ'!$B$6:$B$405,E296,'Istoric_Nativ'!$C$6:$C$405,F296,'Istoric_Nativ'!$E$6:$E$405,G296,'Istoric_Nativ'!$D$6:$D$405,"&lt;"&amp;J296,'Istoric_Nativ'!$P$6:$P$405,1),IF(H296="AWAY",COUNTIFS('Istoric_Nativ'!$B$6:$B$405,E296,'Istoric_Nativ'!$C$6:$C$405,F296,'Istoric_Nativ'!$F$6:$F$405,G296,'Istoric_Nativ'!$D$6:$D$405,"&lt;"&amp;J296,'Istoric_Nativ'!$P$6:$P$405,1),COUNTIFS('Istoric_Nativ'!$B$6:$B$405,E296,'Istoric_Nativ'!$C$6:$C$405,F296,'Istoric_Nativ'!$E$6:$E$405,G296,'Istoric_Nativ'!$D$6:$D$405,"&lt;"&amp;J296,'Istoric_Nativ'!$P$6:$P$405,1)+COUNTIFS('Istoric_Nativ'!$B$6:$B$405,E296,'Istoric_Nativ'!$C$6:$C$405,F296,'Istoric_Nativ'!$F$6:$F$405,G296,'Istoric_Nativ'!$D$6:$D$405,"&lt;"&amp;J296,'Istoric_Nativ'!$P$6:$P$405,1))))</x:f>
        <x:v>0</x:v>
      </x:c>
      <x:c r="L296" s="17" t="n">
        <x:f>IF(AND(B296&lt;&gt;"",I296="RECENT",K296&gt;0),LARGE(_xlfn._xlws.FILTER('Istoric_Nativ'!$D$6:$D$405,('Istoric_Nativ'!$B$6:$B$405=E296)*('Istoric_Nativ'!$C$6:$C$405=F296)*('Istoric_Nativ'!$P$6:$P$405=1)*('Istoric_Nativ'!$D$6:$D$405&lt;J296)*((('Istoric_Nativ'!$E$6:$E$405=G296)+('Istoric_Nativ'!$F$6:$F$405=G296))&gt;0)),MIN('Config_v6'!$B$54,K296)),0)</x:f>
        <x:v>0</x:v>
      </x:c>
      <x:c r="M296" s="2" t="n">
        <x:f>IF(OR(B296="",F296=""),0,IF(H296="HOME",COUNTIFS('Istoric_Nativ'!$B$6:$B$405,E296,'Istoric_Nativ'!$C$6:$C$405,F296,'Istoric_Nativ'!$E$6:$E$405,G296,'Istoric_Nativ'!$D$6:$D$405,"&lt;"&amp;J296,'Istoric_Nativ'!$P$6:$P$405,1,'Istoric_Nativ'!$D$6:$D$405,"&gt;="&amp;L296),IF(H296="AWAY",COUNTIFS('Istoric_Nativ'!$B$6:$B$405,E296,'Istoric_Nativ'!$C$6:$C$405,F296,'Istoric_Nativ'!$F$6:$F$405,G296,'Istoric_Nativ'!$D$6:$D$405,"&lt;"&amp;J296,'Istoric_Nativ'!$P$6:$P$405,1,'Istoric_Nativ'!$D$6:$D$405,"&gt;="&amp;L296),COUNTIFS('Istoric_Nativ'!$B$6:$B$405,E296,'Istoric_Nativ'!$C$6:$C$405,F296,'Istoric_Nativ'!$E$6:$E$405,G296,'Istoric_Nativ'!$D$6:$D$405,"&lt;"&amp;J296,'Istoric_Nativ'!$P$6:$P$405,1,'Istoric_Nativ'!$D$6:$D$405,"&gt;="&amp;L296)+COUNTIFS('Istoric_Nativ'!$B$6:$B$405,E296,'Istoric_Nativ'!$C$6:$C$405,F296,'Istoric_Nativ'!$F$6:$F$405,G296,'Istoric_Nativ'!$D$6:$D$405,"&lt;"&amp;J296,'Istoric_Nativ'!$P$6:$P$405,1,'Istoric_Nativ'!$D$6:$D$405,"&gt;="&amp;L296))))</x:f>
        <x:v>0</x:v>
      </x:c>
      <x:c r="N296" s="11" t="str">
        <x:f>IF(M296=0,"",IF(H296="HOME",SUMIFS('Istoric_Nativ'!$G$6:$G$405,'Istoric_Nativ'!$B$6:$B$405,E296,'Istoric_Nativ'!$C$6:$C$405,F296,'Istoric_Nativ'!$E$6:$E$405,G296,'Istoric_Nativ'!$D$6:$D$405,"&lt;"&amp;J296,'Istoric_Nativ'!$P$6:$P$405,1,'Istoric_Nativ'!$D$6:$D$405,"&gt;="&amp;L296),IF(H296="AWAY",SUMIFS('Istoric_Nativ'!$H$6:$H$405,'Istoric_Nativ'!$B$6:$B$405,E296,'Istoric_Nativ'!$C$6:$C$405,F296,'Istoric_Nativ'!$F$6:$F$405,G296,'Istoric_Nativ'!$D$6:$D$405,"&lt;"&amp;J296,'Istoric_Nativ'!$P$6:$P$405,1,'Istoric_Nativ'!$D$6:$D$405,"&gt;="&amp;L296),SUMIFS('Istoric_Nativ'!$G$6:$G$405,'Istoric_Nativ'!$B$6:$B$405,E296,'Istoric_Nativ'!$C$6:$C$405,F296,'Istoric_Nativ'!$E$6:$E$405,G296,'Istoric_Nativ'!$D$6:$D$405,"&lt;"&amp;J296,'Istoric_Nativ'!$P$6:$P$405,1,'Istoric_Nativ'!$D$6:$D$405,"&gt;="&amp;L296)+SUMIFS('Istoric_Nativ'!$H$6:$H$405,'Istoric_Nativ'!$B$6:$B$405,E296,'Istoric_Nativ'!$C$6:$C$405,F296,'Istoric_Nativ'!$F$6:$F$405,G296,'Istoric_Nativ'!$D$6:$D$405,"&lt;"&amp;J296,'Istoric_Nativ'!$P$6:$P$405,1,'Istoric_Nativ'!$D$6:$D$405,"&gt;="&amp;L296)))/M296)</x:f>
      </x:c>
      <x:c r="O296" s="11" t="str">
        <x:f>IF(M296=0,"",IF(H296="HOME",SUMIFS('Istoric_Nativ'!$H$6:$H$405,'Istoric_Nativ'!$B$6:$B$405,E296,'Istoric_Nativ'!$C$6:$C$405,F296,'Istoric_Nativ'!$E$6:$E$405,G296,'Istoric_Nativ'!$D$6:$D$405,"&lt;"&amp;J296,'Istoric_Nativ'!$P$6:$P$405,1,'Istoric_Nativ'!$D$6:$D$405,"&gt;="&amp;L296),IF(H296="AWAY",SUMIFS('Istoric_Nativ'!$G$6:$G$405,'Istoric_Nativ'!$B$6:$B$405,E296,'Istoric_Nativ'!$C$6:$C$405,F296,'Istoric_Nativ'!$F$6:$F$405,G296,'Istoric_Nativ'!$D$6:$D$405,"&lt;"&amp;J296,'Istoric_Nativ'!$P$6:$P$405,1,'Istoric_Nativ'!$D$6:$D$405,"&gt;="&amp;L296),SUMIFS('Istoric_Nativ'!$H$6:$H$405,'Istoric_Nativ'!$B$6:$B$405,E296,'Istoric_Nativ'!$C$6:$C$405,F296,'Istoric_Nativ'!$E$6:$E$405,G296,'Istoric_Nativ'!$D$6:$D$405,"&lt;"&amp;J296,'Istoric_Nativ'!$P$6:$P$405,1,'Istoric_Nativ'!$D$6:$D$405,"&gt;="&amp;L296)+SUMIFS('Istoric_Nativ'!$G$6:$G$405,'Istoric_Nativ'!$B$6:$B$405,E296,'Istoric_Nativ'!$C$6:$C$405,F296,'Istoric_Nativ'!$F$6:$F$405,G296,'Istoric_Nativ'!$D$6:$D$405,"&lt;"&amp;J296,'Istoric_Nativ'!$P$6:$P$405,1,'Istoric_Nativ'!$D$6:$D$405,"&gt;="&amp;L296)))/M296)</x:f>
      </x:c>
      <x:c r="P296" s="2" t="n">
        <x:f>'Config_v6'!$B$9</x:f>
        <x:v>3</x:v>
      </x:c>
      <x:c r="Q296" s="2" t="n">
        <x:f>IF(OR(B296="",F296=""),0,IFERROR(MATCH(E296&amp;"|"&amp;F296,SourceTable[Source_Key],0),0))</x:f>
        <x:v>0</x:v>
      </x:c>
      <x:c r="R296" s="2" t="str">
        <x:f>IF(B296="","",IF(F296="","UNUSED",IF(Q296=0,"NOT CHECKED",IF(COUNTIF(SourceTable[Source_Key],E296&amp;"|"&amp;F296)&lt;&gt;1,"SOURCE CONFLICT",IF(NOT(OR(INDEX(SourceTable[Status],MAX(1,Q296))="IMPORTED",INDEX(SourceTable[Status],MAX(1,Q296))="PARTIAL",INDEX(SourceTable[Status],MAX(1,Q296))="SOURCE CONFLICT")),"ACCESS BLOCKED",IF(OR(INDEX(SourceTable[Coverage],Q296)&lt;&gt;"FULL SEASON EXPORT",INDEX(SourceTable[URL],Q296)="",INDEX(SourceTable[SHA256],Q296)=""),"EVIDENCE INCOMPLETE",IF(AND('Input_Meci'!H30="LIVE",INDEX(SourceTable[Retrieved_UTC],Q296)&gt;'Input_Meci'!G30),"POST CUTOFF","CLOSED")))))))</x:f>
      </x:c>
      <x:c r="S296" s="2" t="n">
        <x:f>IF(OR(B296="",F296=""),0,COUNTIFS('Istoric_Nativ'!$B$6:$B$405,E296,'Istoric_Nativ'!$C$6:$C$405,F296,'Istoric_Nativ'!$E$6:$E$405,G296,'Istoric_Nativ'!$D$6:$D$405,"&lt;"&amp;J296,'Istoric_Nativ'!$O$6:$O$405,"INVALID")+COUNTIFS('Istoric_Nativ'!$B$6:$B$405,E296,'Istoric_Nativ'!$C$6:$C$405,F296,'Istoric_Nativ'!$E$6:$E$405,G296,'Istoric_Nativ'!$O$6:$O$405,"INVALID",'Istoric_Nativ'!$D$6:$D$405,"*")+COUNTIFS('Istoric_Nativ'!$B$6:$B$405,E296,'Istoric_Nativ'!$C$6:$C$405,F296,'Istoric_Nativ'!$E$6:$E$405,G296,'Istoric_Nativ'!$D$6:$D$405,"&lt;"&amp;J296,'Istoric_Nativ'!$O$6:$O$405,"SOURCE CONFLICT")+COUNTIFS('Istoric_Nativ'!$B$6:$B$405,E296,'Istoric_Nativ'!$C$6:$C$405,F296,'Istoric_Nativ'!$F$6:$F$405,G296,'Istoric_Nativ'!$D$6:$D$405,"&lt;"&amp;J296,'Istoric_Nativ'!$O$6:$O$405,"INVALID")+COUNTIFS('Istoric_Nativ'!$B$6:$B$405,E296,'Istoric_Nativ'!$C$6:$C$405,F296,'Istoric_Nativ'!$F$6:$F$405,G296,'Istoric_Nativ'!$O$6:$O$405,"INVALID",'Istoric_Nativ'!$D$6:$D$405,"*")+COUNTIFS('Istoric_Nativ'!$B$6:$B$405,E296,'Istoric_Nativ'!$C$6:$C$405,F296,'Istoric_Nativ'!$F$6:$F$405,G296,'Istoric_Nativ'!$D$6:$D$405,"&lt;"&amp;J296,'Istoric_Nativ'!$O$6:$O$405,"SOURCE CONFLICT"))</x:f>
        <x:v>0</x:v>
      </x:c>
      <x:c r="T296" s="2" t="str">
        <x:f>IF(B296="","",IF(R296&lt;&gt;"CLOSED",R296,IF(S296&gt;0,"NATIVE INPUT ISSUE",IF(M296=0,"NO HISTORY",IF(M296&lt;P296,"SMALL SAMPLE","DERIVED")))))</x:f>
      </x:c>
      <x:c r="U296" s="2" t="str">
        <x:f>IF(B296="","","NativeTable; "&amp;E296&amp;"; "&amp;F296&amp;"; "&amp;G296&amp;"; "&amp;H296&amp;"; before "&amp;TEXT(J296,"yyyy-mm-dd")&amp;IF(I296="RECENT","; from "&amp;TEXT(L296,"yyyy-mm-dd"),""))</x:f>
      </x:c>
    </x:row>
    <x:row r="297" ht="21" customHeight="1">
      <x:c r="A297" s="2" t="n">
        <x:v>25</x:v>
      </x:c>
      <x:c r="B297" s="2" t="str">
        <x:f>IF('Input_Meci'!A30="","",'Input_Meci'!A30)</x:f>
      </x:c>
      <x:c r="C297" s="2" t="str">
        <x:v>A</x:v>
      </x:c>
      <x:c r="D297" s="2" t="str">
        <x:v>CURRENT</x:v>
      </x:c>
      <x:c r="E297" s="2" t="str">
        <x:f>IF(B297="","",'Input_Meci'!B30)</x:f>
      </x:c>
      <x:c r="F297" s="2" t="str">
        <x:f>IF(B297="","",IF('Input_Meci'!C30="","",'Input_Meci'!C30))</x:f>
      </x:c>
      <x:c r="G297" s="2" t="str">
        <x:f>IF(B297="","",'Input_Meci'!E30)</x:f>
      </x:c>
      <x:c r="H297" s="2" t="str">
        <x:v>ANY</x:v>
      </x:c>
      <x:c r="I297" s="2" t="str">
        <x:v>SEASON</x:v>
      </x:c>
      <x:c r="J297" s="9" t="n">
        <x:f>IF(AND(B297&lt;&gt;"",ISNUMBER('Input_Meci'!G30)),INT('Input_Meci'!G30),0)</x:f>
        <x:v>0</x:v>
      </x:c>
      <x:c r="K297" s="2" t="n">
        <x:f>IF(OR(B297="",F297=""),0,IF(H297="HOME",COUNTIFS('Istoric_Nativ'!$B$6:$B$405,E297,'Istoric_Nativ'!$C$6:$C$405,F297,'Istoric_Nativ'!$E$6:$E$405,G297,'Istoric_Nativ'!$D$6:$D$405,"&lt;"&amp;J297,'Istoric_Nativ'!$P$6:$P$405,1),IF(H297="AWAY",COUNTIFS('Istoric_Nativ'!$B$6:$B$405,E297,'Istoric_Nativ'!$C$6:$C$405,F297,'Istoric_Nativ'!$F$6:$F$405,G297,'Istoric_Nativ'!$D$6:$D$405,"&lt;"&amp;J297,'Istoric_Nativ'!$P$6:$P$405,1),COUNTIFS('Istoric_Nativ'!$B$6:$B$405,E297,'Istoric_Nativ'!$C$6:$C$405,F297,'Istoric_Nativ'!$E$6:$E$405,G297,'Istoric_Nativ'!$D$6:$D$405,"&lt;"&amp;J297,'Istoric_Nativ'!$P$6:$P$405,1)+COUNTIFS('Istoric_Nativ'!$B$6:$B$405,E297,'Istoric_Nativ'!$C$6:$C$405,F297,'Istoric_Nativ'!$F$6:$F$405,G297,'Istoric_Nativ'!$D$6:$D$405,"&lt;"&amp;J297,'Istoric_Nativ'!$P$6:$P$405,1))))</x:f>
        <x:v>0</x:v>
      </x:c>
      <x:c r="L297" s="17" t="n">
        <x:f>IF(AND(B297&lt;&gt;"",I297="RECENT",K297&gt;0),LARGE(_xlfn._xlws.FILTER('Istoric_Nativ'!$D$6:$D$405,('Istoric_Nativ'!$B$6:$B$405=E297)*('Istoric_Nativ'!$C$6:$C$405=F297)*('Istoric_Nativ'!$P$6:$P$405=1)*('Istoric_Nativ'!$D$6:$D$405&lt;J297)*((('Istoric_Nativ'!$E$6:$E$405=G297)+('Istoric_Nativ'!$F$6:$F$405=G297))&gt;0)),MIN('Config_v6'!$B$54,K297)),0)</x:f>
        <x:v>0</x:v>
      </x:c>
      <x:c r="M297" s="2" t="n">
        <x:f>IF(OR(B297="",F297=""),0,IF(H297="HOME",COUNTIFS('Istoric_Nativ'!$B$6:$B$405,E297,'Istoric_Nativ'!$C$6:$C$405,F297,'Istoric_Nativ'!$E$6:$E$405,G297,'Istoric_Nativ'!$D$6:$D$405,"&lt;"&amp;J297,'Istoric_Nativ'!$P$6:$P$405,1,'Istoric_Nativ'!$D$6:$D$405,"&gt;="&amp;L297),IF(H297="AWAY",COUNTIFS('Istoric_Nativ'!$B$6:$B$405,E297,'Istoric_Nativ'!$C$6:$C$405,F297,'Istoric_Nativ'!$F$6:$F$405,G297,'Istoric_Nativ'!$D$6:$D$405,"&lt;"&amp;J297,'Istoric_Nativ'!$P$6:$P$405,1,'Istoric_Nativ'!$D$6:$D$405,"&gt;="&amp;L297),COUNTIFS('Istoric_Nativ'!$B$6:$B$405,E297,'Istoric_Nativ'!$C$6:$C$405,F297,'Istoric_Nativ'!$E$6:$E$405,G297,'Istoric_Nativ'!$D$6:$D$405,"&lt;"&amp;J297,'Istoric_Nativ'!$P$6:$P$405,1,'Istoric_Nativ'!$D$6:$D$405,"&gt;="&amp;L297)+COUNTIFS('Istoric_Nativ'!$B$6:$B$405,E297,'Istoric_Nativ'!$C$6:$C$405,F297,'Istoric_Nativ'!$F$6:$F$405,G297,'Istoric_Nativ'!$D$6:$D$405,"&lt;"&amp;J297,'Istoric_Nativ'!$P$6:$P$405,1,'Istoric_Nativ'!$D$6:$D$405,"&gt;="&amp;L297))))</x:f>
        <x:v>0</x:v>
      </x:c>
      <x:c r="N297" s="11" t="str">
        <x:f>IF(M297=0,"",IF(H297="HOME",SUMIFS('Istoric_Nativ'!$G$6:$G$405,'Istoric_Nativ'!$B$6:$B$405,E297,'Istoric_Nativ'!$C$6:$C$405,F297,'Istoric_Nativ'!$E$6:$E$405,G297,'Istoric_Nativ'!$D$6:$D$405,"&lt;"&amp;J297,'Istoric_Nativ'!$P$6:$P$405,1,'Istoric_Nativ'!$D$6:$D$405,"&gt;="&amp;L297),IF(H297="AWAY",SUMIFS('Istoric_Nativ'!$H$6:$H$405,'Istoric_Nativ'!$B$6:$B$405,E297,'Istoric_Nativ'!$C$6:$C$405,F297,'Istoric_Nativ'!$F$6:$F$405,G297,'Istoric_Nativ'!$D$6:$D$405,"&lt;"&amp;J297,'Istoric_Nativ'!$P$6:$P$405,1,'Istoric_Nativ'!$D$6:$D$405,"&gt;="&amp;L297),SUMIFS('Istoric_Nativ'!$G$6:$G$405,'Istoric_Nativ'!$B$6:$B$405,E297,'Istoric_Nativ'!$C$6:$C$405,F297,'Istoric_Nativ'!$E$6:$E$405,G297,'Istoric_Nativ'!$D$6:$D$405,"&lt;"&amp;J297,'Istoric_Nativ'!$P$6:$P$405,1,'Istoric_Nativ'!$D$6:$D$405,"&gt;="&amp;L297)+SUMIFS('Istoric_Nativ'!$H$6:$H$405,'Istoric_Nativ'!$B$6:$B$405,E297,'Istoric_Nativ'!$C$6:$C$405,F297,'Istoric_Nativ'!$F$6:$F$405,G297,'Istoric_Nativ'!$D$6:$D$405,"&lt;"&amp;J297,'Istoric_Nativ'!$P$6:$P$405,1,'Istoric_Nativ'!$D$6:$D$405,"&gt;="&amp;L297)))/M297)</x:f>
      </x:c>
      <x:c r="O297" s="11" t="str">
        <x:f>IF(M297=0,"",IF(H297="HOME",SUMIFS('Istoric_Nativ'!$H$6:$H$405,'Istoric_Nativ'!$B$6:$B$405,E297,'Istoric_Nativ'!$C$6:$C$405,F297,'Istoric_Nativ'!$E$6:$E$405,G297,'Istoric_Nativ'!$D$6:$D$405,"&lt;"&amp;J297,'Istoric_Nativ'!$P$6:$P$405,1,'Istoric_Nativ'!$D$6:$D$405,"&gt;="&amp;L297),IF(H297="AWAY",SUMIFS('Istoric_Nativ'!$G$6:$G$405,'Istoric_Nativ'!$B$6:$B$405,E297,'Istoric_Nativ'!$C$6:$C$405,F297,'Istoric_Nativ'!$F$6:$F$405,G297,'Istoric_Nativ'!$D$6:$D$405,"&lt;"&amp;J297,'Istoric_Nativ'!$P$6:$P$405,1,'Istoric_Nativ'!$D$6:$D$405,"&gt;="&amp;L297),SUMIFS('Istoric_Nativ'!$H$6:$H$405,'Istoric_Nativ'!$B$6:$B$405,E297,'Istoric_Nativ'!$C$6:$C$405,F297,'Istoric_Nativ'!$E$6:$E$405,G297,'Istoric_Nativ'!$D$6:$D$405,"&lt;"&amp;J297,'Istoric_Nativ'!$P$6:$P$405,1,'Istoric_Nativ'!$D$6:$D$405,"&gt;="&amp;L297)+SUMIFS('Istoric_Nativ'!$G$6:$G$405,'Istoric_Nativ'!$B$6:$B$405,E297,'Istoric_Nativ'!$C$6:$C$405,F297,'Istoric_Nativ'!$F$6:$F$405,G297,'Istoric_Nativ'!$D$6:$D$405,"&lt;"&amp;J297,'Istoric_Nativ'!$P$6:$P$405,1,'Istoric_Nativ'!$D$6:$D$405,"&gt;="&amp;L297)))/M297)</x:f>
      </x:c>
      <x:c r="P297" s="2" t="n">
        <x:f>'Config_v6'!$B$7</x:f>
        <x:v>10</x:v>
      </x:c>
      <x:c r="Q297" s="2" t="n">
        <x:f>IF(OR(B297="",F297=""),0,IFERROR(MATCH(E297&amp;"|"&amp;F297,SourceTable[Source_Key],0),0))</x:f>
        <x:v>0</x:v>
      </x:c>
      <x:c r="R297" s="2" t="str">
        <x:f>IF(B297="","",IF(F297="","UNUSED",IF(Q297=0,"NOT CHECKED",IF(COUNTIF(SourceTable[Source_Key],E297&amp;"|"&amp;F297)&lt;&gt;1,"SOURCE CONFLICT",IF(NOT(OR(INDEX(SourceTable[Status],MAX(1,Q297))="IMPORTED",INDEX(SourceTable[Status],MAX(1,Q297))="PARTIAL",INDEX(SourceTable[Status],MAX(1,Q297))="SOURCE CONFLICT")),"ACCESS BLOCKED",IF(OR(INDEX(SourceTable[Coverage],Q297)&lt;&gt;"FULL SEASON EXPORT",INDEX(SourceTable[URL],Q297)="",INDEX(SourceTable[SHA256],Q297)=""),"EVIDENCE INCOMPLETE",IF(AND('Input_Meci'!H30="LIVE",INDEX(SourceTable[Retrieved_UTC],Q297)&gt;'Input_Meci'!G30),"POST CUTOFF","CLOSED")))))))</x:f>
      </x:c>
      <x:c r="S297" s="2" t="n">
        <x:f>IF(OR(B297="",F297=""),0,COUNTIFS('Istoric_Nativ'!$B$6:$B$405,E297,'Istoric_Nativ'!$C$6:$C$405,F297,'Istoric_Nativ'!$E$6:$E$405,G297,'Istoric_Nativ'!$D$6:$D$405,"&lt;"&amp;J297,'Istoric_Nativ'!$O$6:$O$405,"INVALID")+COUNTIFS('Istoric_Nativ'!$B$6:$B$405,E297,'Istoric_Nativ'!$C$6:$C$405,F297,'Istoric_Nativ'!$E$6:$E$405,G297,'Istoric_Nativ'!$O$6:$O$405,"INVALID",'Istoric_Nativ'!$D$6:$D$405,"*")+COUNTIFS('Istoric_Nativ'!$B$6:$B$405,E297,'Istoric_Nativ'!$C$6:$C$405,F297,'Istoric_Nativ'!$E$6:$E$405,G297,'Istoric_Nativ'!$D$6:$D$405,"&lt;"&amp;J297,'Istoric_Nativ'!$O$6:$O$405,"SOURCE CONFLICT")+COUNTIFS('Istoric_Nativ'!$B$6:$B$405,E297,'Istoric_Nativ'!$C$6:$C$405,F297,'Istoric_Nativ'!$F$6:$F$405,G297,'Istoric_Nativ'!$D$6:$D$405,"&lt;"&amp;J297,'Istoric_Nativ'!$O$6:$O$405,"INVALID")+COUNTIFS('Istoric_Nativ'!$B$6:$B$405,E297,'Istoric_Nativ'!$C$6:$C$405,F297,'Istoric_Nativ'!$F$6:$F$405,G297,'Istoric_Nativ'!$O$6:$O$405,"INVALID",'Istoric_Nativ'!$D$6:$D$405,"*")+COUNTIFS('Istoric_Nativ'!$B$6:$B$405,E297,'Istoric_Nativ'!$C$6:$C$405,F297,'Istoric_Nativ'!$F$6:$F$405,G297,'Istoric_Nativ'!$D$6:$D$405,"&lt;"&amp;J297,'Istoric_Nativ'!$O$6:$O$405,"SOURCE CONFLICT"))</x:f>
        <x:v>0</x:v>
      </x:c>
      <x:c r="T297" s="2" t="str">
        <x:f>IF(B297="","",IF(R297&lt;&gt;"CLOSED",R297,IF(S297&gt;0,"NATIVE INPUT ISSUE",IF(M297=0,"NO HISTORY",IF(M297&lt;P297,"SMALL SAMPLE","DERIVED")))))</x:f>
      </x:c>
      <x:c r="U297" s="2" t="str">
        <x:f>IF(B297="","","NativeTable; "&amp;E297&amp;"; "&amp;F297&amp;"; "&amp;G297&amp;"; "&amp;H297&amp;"; before "&amp;TEXT(J297,"yyyy-mm-dd")&amp;IF(I297="RECENT","; from "&amp;TEXT(L297,"yyyy-mm-dd"),""))</x:f>
      </x:c>
    </x:row>
    <x:row r="298" ht="21" customHeight="1">
      <x:c r="A298" s="2" t="n">
        <x:v>25</x:v>
      </x:c>
      <x:c r="B298" s="2" t="str">
        <x:f>IF('Input_Meci'!A30="","",'Input_Meci'!A30)</x:f>
      </x:c>
      <x:c r="C298" s="2" t="str">
        <x:v>A</x:v>
      </x:c>
      <x:c r="D298" s="2" t="str">
        <x:v>CURRENT</x:v>
      </x:c>
      <x:c r="E298" s="2" t="str">
        <x:f>IF(B298="","",'Input_Meci'!B30)</x:f>
      </x:c>
      <x:c r="F298" s="2" t="str">
        <x:f>IF(B298="","",IF('Input_Meci'!C30="","",'Input_Meci'!C30))</x:f>
      </x:c>
      <x:c r="G298" s="2" t="str">
        <x:f>IF(B298="","",'Input_Meci'!E30)</x:f>
      </x:c>
      <x:c r="H298" s="2" t="str">
        <x:v>AWAY</x:v>
      </x:c>
      <x:c r="I298" s="2" t="str">
        <x:v>HA</x:v>
      </x:c>
      <x:c r="J298" s="9" t="n">
        <x:f>IF(AND(B298&lt;&gt;"",ISNUMBER('Input_Meci'!G30)),INT('Input_Meci'!G30),0)</x:f>
        <x:v>0</x:v>
      </x:c>
      <x:c r="K298" s="2" t="n">
        <x:f>IF(OR(B298="",F298=""),0,IF(H298="HOME",COUNTIFS('Istoric_Nativ'!$B$6:$B$405,E298,'Istoric_Nativ'!$C$6:$C$405,F298,'Istoric_Nativ'!$E$6:$E$405,G298,'Istoric_Nativ'!$D$6:$D$405,"&lt;"&amp;J298,'Istoric_Nativ'!$P$6:$P$405,1),IF(H298="AWAY",COUNTIFS('Istoric_Nativ'!$B$6:$B$405,E298,'Istoric_Nativ'!$C$6:$C$405,F298,'Istoric_Nativ'!$F$6:$F$405,G298,'Istoric_Nativ'!$D$6:$D$405,"&lt;"&amp;J298,'Istoric_Nativ'!$P$6:$P$405,1),COUNTIFS('Istoric_Nativ'!$B$6:$B$405,E298,'Istoric_Nativ'!$C$6:$C$405,F298,'Istoric_Nativ'!$E$6:$E$405,G298,'Istoric_Nativ'!$D$6:$D$405,"&lt;"&amp;J298,'Istoric_Nativ'!$P$6:$P$405,1)+COUNTIFS('Istoric_Nativ'!$B$6:$B$405,E298,'Istoric_Nativ'!$C$6:$C$405,F298,'Istoric_Nativ'!$F$6:$F$405,G298,'Istoric_Nativ'!$D$6:$D$405,"&lt;"&amp;J298,'Istoric_Nativ'!$P$6:$P$405,1))))</x:f>
        <x:v>0</x:v>
      </x:c>
      <x:c r="L298" s="17" t="n">
        <x:f>IF(AND(B298&lt;&gt;"",I298="RECENT",K298&gt;0),LARGE(_xlfn._xlws.FILTER('Istoric_Nativ'!$D$6:$D$405,('Istoric_Nativ'!$B$6:$B$405=E298)*('Istoric_Nativ'!$C$6:$C$405=F298)*('Istoric_Nativ'!$P$6:$P$405=1)*('Istoric_Nativ'!$D$6:$D$405&lt;J298)*((('Istoric_Nativ'!$E$6:$E$405=G298)+('Istoric_Nativ'!$F$6:$F$405=G298))&gt;0)),MIN('Config_v6'!$B$54,K298)),0)</x:f>
        <x:v>0</x:v>
      </x:c>
      <x:c r="M298" s="2" t="n">
        <x:f>IF(OR(B298="",F298=""),0,IF(H298="HOME",COUNTIFS('Istoric_Nativ'!$B$6:$B$405,E298,'Istoric_Nativ'!$C$6:$C$405,F298,'Istoric_Nativ'!$E$6:$E$405,G298,'Istoric_Nativ'!$D$6:$D$405,"&lt;"&amp;J298,'Istoric_Nativ'!$P$6:$P$405,1,'Istoric_Nativ'!$D$6:$D$405,"&gt;="&amp;L298),IF(H298="AWAY",COUNTIFS('Istoric_Nativ'!$B$6:$B$405,E298,'Istoric_Nativ'!$C$6:$C$405,F298,'Istoric_Nativ'!$F$6:$F$405,G298,'Istoric_Nativ'!$D$6:$D$405,"&lt;"&amp;J298,'Istoric_Nativ'!$P$6:$P$405,1,'Istoric_Nativ'!$D$6:$D$405,"&gt;="&amp;L298),COUNTIFS('Istoric_Nativ'!$B$6:$B$405,E298,'Istoric_Nativ'!$C$6:$C$405,F298,'Istoric_Nativ'!$E$6:$E$405,G298,'Istoric_Nativ'!$D$6:$D$405,"&lt;"&amp;J298,'Istoric_Nativ'!$P$6:$P$405,1,'Istoric_Nativ'!$D$6:$D$405,"&gt;="&amp;L298)+COUNTIFS('Istoric_Nativ'!$B$6:$B$405,E298,'Istoric_Nativ'!$C$6:$C$405,F298,'Istoric_Nativ'!$F$6:$F$405,G298,'Istoric_Nativ'!$D$6:$D$405,"&lt;"&amp;J298,'Istoric_Nativ'!$P$6:$P$405,1,'Istoric_Nativ'!$D$6:$D$405,"&gt;="&amp;L298))))</x:f>
        <x:v>0</x:v>
      </x:c>
      <x:c r="N298" s="11" t="str">
        <x:f>IF(M298=0,"",IF(H298="HOME",SUMIFS('Istoric_Nativ'!$G$6:$G$405,'Istoric_Nativ'!$B$6:$B$405,E298,'Istoric_Nativ'!$C$6:$C$405,F298,'Istoric_Nativ'!$E$6:$E$405,G298,'Istoric_Nativ'!$D$6:$D$405,"&lt;"&amp;J298,'Istoric_Nativ'!$P$6:$P$405,1,'Istoric_Nativ'!$D$6:$D$405,"&gt;="&amp;L298),IF(H298="AWAY",SUMIFS('Istoric_Nativ'!$H$6:$H$405,'Istoric_Nativ'!$B$6:$B$405,E298,'Istoric_Nativ'!$C$6:$C$405,F298,'Istoric_Nativ'!$F$6:$F$405,G298,'Istoric_Nativ'!$D$6:$D$405,"&lt;"&amp;J298,'Istoric_Nativ'!$P$6:$P$405,1,'Istoric_Nativ'!$D$6:$D$405,"&gt;="&amp;L298),SUMIFS('Istoric_Nativ'!$G$6:$G$405,'Istoric_Nativ'!$B$6:$B$405,E298,'Istoric_Nativ'!$C$6:$C$405,F298,'Istoric_Nativ'!$E$6:$E$405,G298,'Istoric_Nativ'!$D$6:$D$405,"&lt;"&amp;J298,'Istoric_Nativ'!$P$6:$P$405,1,'Istoric_Nativ'!$D$6:$D$405,"&gt;="&amp;L298)+SUMIFS('Istoric_Nativ'!$H$6:$H$405,'Istoric_Nativ'!$B$6:$B$405,E298,'Istoric_Nativ'!$C$6:$C$405,F298,'Istoric_Nativ'!$F$6:$F$405,G298,'Istoric_Nativ'!$D$6:$D$405,"&lt;"&amp;J298,'Istoric_Nativ'!$P$6:$P$405,1,'Istoric_Nativ'!$D$6:$D$405,"&gt;="&amp;L298)))/M298)</x:f>
      </x:c>
      <x:c r="O298" s="11" t="str">
        <x:f>IF(M298=0,"",IF(H298="HOME",SUMIFS('Istoric_Nativ'!$H$6:$H$405,'Istoric_Nativ'!$B$6:$B$405,E298,'Istoric_Nativ'!$C$6:$C$405,F298,'Istoric_Nativ'!$E$6:$E$405,G298,'Istoric_Nativ'!$D$6:$D$405,"&lt;"&amp;J298,'Istoric_Nativ'!$P$6:$P$405,1,'Istoric_Nativ'!$D$6:$D$405,"&gt;="&amp;L298),IF(H298="AWAY",SUMIFS('Istoric_Nativ'!$G$6:$G$405,'Istoric_Nativ'!$B$6:$B$405,E298,'Istoric_Nativ'!$C$6:$C$405,F298,'Istoric_Nativ'!$F$6:$F$405,G298,'Istoric_Nativ'!$D$6:$D$405,"&lt;"&amp;J298,'Istoric_Nativ'!$P$6:$P$405,1,'Istoric_Nativ'!$D$6:$D$405,"&gt;="&amp;L298),SUMIFS('Istoric_Nativ'!$H$6:$H$405,'Istoric_Nativ'!$B$6:$B$405,E298,'Istoric_Nativ'!$C$6:$C$405,F298,'Istoric_Nativ'!$E$6:$E$405,G298,'Istoric_Nativ'!$D$6:$D$405,"&lt;"&amp;J298,'Istoric_Nativ'!$P$6:$P$405,1,'Istoric_Nativ'!$D$6:$D$405,"&gt;="&amp;L298)+SUMIFS('Istoric_Nativ'!$G$6:$G$405,'Istoric_Nativ'!$B$6:$B$405,E298,'Istoric_Nativ'!$C$6:$C$405,F298,'Istoric_Nativ'!$F$6:$F$405,G298,'Istoric_Nativ'!$D$6:$D$405,"&lt;"&amp;J298,'Istoric_Nativ'!$P$6:$P$405,1,'Istoric_Nativ'!$D$6:$D$405,"&gt;="&amp;L298)))/M298)</x:f>
      </x:c>
      <x:c r="P298" s="2" t="n">
        <x:f>'Config_v6'!$B$8</x:f>
        <x:v>5</x:v>
      </x:c>
      <x:c r="Q298" s="2" t="n">
        <x:f>IF(OR(B298="",F298=""),0,IFERROR(MATCH(E298&amp;"|"&amp;F298,SourceTable[Source_Key],0),0))</x:f>
        <x:v>0</x:v>
      </x:c>
      <x:c r="R298" s="2" t="str">
        <x:f>IF(B298="","",IF(F298="","UNUSED",IF(Q298=0,"NOT CHECKED",IF(COUNTIF(SourceTable[Source_Key],E298&amp;"|"&amp;F298)&lt;&gt;1,"SOURCE CONFLICT",IF(NOT(OR(INDEX(SourceTable[Status],MAX(1,Q298))="IMPORTED",INDEX(SourceTable[Status],MAX(1,Q298))="PARTIAL",INDEX(SourceTable[Status],MAX(1,Q298))="SOURCE CONFLICT")),"ACCESS BLOCKED",IF(OR(INDEX(SourceTable[Coverage],Q298)&lt;&gt;"FULL SEASON EXPORT",INDEX(SourceTable[URL],Q298)="",INDEX(SourceTable[SHA256],Q298)=""),"EVIDENCE INCOMPLETE",IF(AND('Input_Meci'!H30="LIVE",INDEX(SourceTable[Retrieved_UTC],Q298)&gt;'Input_Meci'!G30),"POST CUTOFF","CLOSED")))))))</x:f>
      </x:c>
      <x:c r="S298" s="2" t="n">
        <x:f>IF(OR(B298="",F298=""),0,COUNTIFS('Istoric_Nativ'!$B$6:$B$405,E298,'Istoric_Nativ'!$C$6:$C$405,F298,'Istoric_Nativ'!$E$6:$E$405,G298,'Istoric_Nativ'!$D$6:$D$405,"&lt;"&amp;J298,'Istoric_Nativ'!$O$6:$O$405,"INVALID")+COUNTIFS('Istoric_Nativ'!$B$6:$B$405,E298,'Istoric_Nativ'!$C$6:$C$405,F298,'Istoric_Nativ'!$E$6:$E$405,G298,'Istoric_Nativ'!$O$6:$O$405,"INVALID",'Istoric_Nativ'!$D$6:$D$405,"*")+COUNTIFS('Istoric_Nativ'!$B$6:$B$405,E298,'Istoric_Nativ'!$C$6:$C$405,F298,'Istoric_Nativ'!$E$6:$E$405,G298,'Istoric_Nativ'!$D$6:$D$405,"&lt;"&amp;J298,'Istoric_Nativ'!$O$6:$O$405,"SOURCE CONFLICT")+COUNTIFS('Istoric_Nativ'!$B$6:$B$405,E298,'Istoric_Nativ'!$C$6:$C$405,F298,'Istoric_Nativ'!$F$6:$F$405,G298,'Istoric_Nativ'!$D$6:$D$405,"&lt;"&amp;J298,'Istoric_Nativ'!$O$6:$O$405,"INVALID")+COUNTIFS('Istoric_Nativ'!$B$6:$B$405,E298,'Istoric_Nativ'!$C$6:$C$405,F298,'Istoric_Nativ'!$F$6:$F$405,G298,'Istoric_Nativ'!$O$6:$O$405,"INVALID",'Istoric_Nativ'!$D$6:$D$405,"*")+COUNTIFS('Istoric_Nativ'!$B$6:$B$405,E298,'Istoric_Nativ'!$C$6:$C$405,F298,'Istoric_Nativ'!$F$6:$F$405,G298,'Istoric_Nativ'!$D$6:$D$405,"&lt;"&amp;J298,'Istoric_Nativ'!$O$6:$O$405,"SOURCE CONFLICT"))</x:f>
        <x:v>0</x:v>
      </x:c>
      <x:c r="T298" s="2" t="str">
        <x:f>IF(B298="","",IF(R298&lt;&gt;"CLOSED",R298,IF(S298&gt;0,"NATIVE INPUT ISSUE",IF(M298=0,"NO HISTORY",IF(M298&lt;P298,"SMALL SAMPLE","DERIVED")))))</x:f>
      </x:c>
      <x:c r="U298" s="2" t="str">
        <x:f>IF(B298="","","NativeTable; "&amp;E298&amp;"; "&amp;F298&amp;"; "&amp;G298&amp;"; "&amp;H298&amp;"; before "&amp;TEXT(J298,"yyyy-mm-dd")&amp;IF(I298="RECENT","; from "&amp;TEXT(L298,"yyyy-mm-dd"),""))</x:f>
      </x:c>
    </x:row>
    <x:row r="299" ht="21" customHeight="1">
      <x:c r="A299" s="2" t="n">
        <x:v>25</x:v>
      </x:c>
      <x:c r="B299" s="2" t="str">
        <x:f>IF('Input_Meci'!A30="","",'Input_Meci'!A30)</x:f>
      </x:c>
      <x:c r="C299" s="2" t="str">
        <x:v>A</x:v>
      </x:c>
      <x:c r="D299" s="2" t="str">
        <x:v>CURRENT</x:v>
      </x:c>
      <x:c r="E299" s="2" t="str">
        <x:f>IF(B299="","",'Input_Meci'!B30)</x:f>
      </x:c>
      <x:c r="F299" s="2" t="str">
        <x:f>IF(B299="","",IF('Input_Meci'!C30="","",'Input_Meci'!C30))</x:f>
      </x:c>
      <x:c r="G299" s="2" t="str">
        <x:f>IF(B299="","",'Input_Meci'!E30)</x:f>
      </x:c>
      <x:c r="H299" s="2" t="str">
        <x:v>ANY</x:v>
      </x:c>
      <x:c r="I299" s="2" t="str">
        <x:v>RECENT</x:v>
      </x:c>
      <x:c r="J299" s="9" t="n">
        <x:f>IF(AND(B299&lt;&gt;"",ISNUMBER('Input_Meci'!G30)),INT('Input_Meci'!G30),0)</x:f>
        <x:v>0</x:v>
      </x:c>
      <x:c r="K299" s="2" t="n">
        <x:f>IF(OR(B299="",F299=""),0,IF(H299="HOME",COUNTIFS('Istoric_Nativ'!$B$6:$B$405,E299,'Istoric_Nativ'!$C$6:$C$405,F299,'Istoric_Nativ'!$E$6:$E$405,G299,'Istoric_Nativ'!$D$6:$D$405,"&lt;"&amp;J299,'Istoric_Nativ'!$P$6:$P$405,1),IF(H299="AWAY",COUNTIFS('Istoric_Nativ'!$B$6:$B$405,E299,'Istoric_Nativ'!$C$6:$C$405,F299,'Istoric_Nativ'!$F$6:$F$405,G299,'Istoric_Nativ'!$D$6:$D$405,"&lt;"&amp;J299,'Istoric_Nativ'!$P$6:$P$405,1),COUNTIFS('Istoric_Nativ'!$B$6:$B$405,E299,'Istoric_Nativ'!$C$6:$C$405,F299,'Istoric_Nativ'!$E$6:$E$405,G299,'Istoric_Nativ'!$D$6:$D$405,"&lt;"&amp;J299,'Istoric_Nativ'!$P$6:$P$405,1)+COUNTIFS('Istoric_Nativ'!$B$6:$B$405,E299,'Istoric_Nativ'!$C$6:$C$405,F299,'Istoric_Nativ'!$F$6:$F$405,G299,'Istoric_Nativ'!$D$6:$D$405,"&lt;"&amp;J299,'Istoric_Nativ'!$P$6:$P$405,1))))</x:f>
        <x:v>0</x:v>
      </x:c>
      <x:c r="L299" s="17" t="n">
        <x:f>IF(AND(B299&lt;&gt;"",I299="RECENT",K299&gt;0),LARGE(_xlfn._xlws.FILTER('Istoric_Nativ'!$D$6:$D$405,('Istoric_Nativ'!$B$6:$B$405=E299)*('Istoric_Nativ'!$C$6:$C$405=F299)*('Istoric_Nativ'!$P$6:$P$405=1)*('Istoric_Nativ'!$D$6:$D$405&lt;J299)*((('Istoric_Nativ'!$E$6:$E$405=G299)+('Istoric_Nativ'!$F$6:$F$405=G299))&gt;0)),MIN('Config_v6'!$B$54,K299)),0)</x:f>
        <x:v>0</x:v>
      </x:c>
      <x:c r="M299" s="2" t="n">
        <x:f>IF(OR(B299="",F299=""),0,IF(H299="HOME",COUNTIFS('Istoric_Nativ'!$B$6:$B$405,E299,'Istoric_Nativ'!$C$6:$C$405,F299,'Istoric_Nativ'!$E$6:$E$405,G299,'Istoric_Nativ'!$D$6:$D$405,"&lt;"&amp;J299,'Istoric_Nativ'!$P$6:$P$405,1,'Istoric_Nativ'!$D$6:$D$405,"&gt;="&amp;L299),IF(H299="AWAY",COUNTIFS('Istoric_Nativ'!$B$6:$B$405,E299,'Istoric_Nativ'!$C$6:$C$405,F299,'Istoric_Nativ'!$F$6:$F$405,G299,'Istoric_Nativ'!$D$6:$D$405,"&lt;"&amp;J299,'Istoric_Nativ'!$P$6:$P$405,1,'Istoric_Nativ'!$D$6:$D$405,"&gt;="&amp;L299),COUNTIFS('Istoric_Nativ'!$B$6:$B$405,E299,'Istoric_Nativ'!$C$6:$C$405,F299,'Istoric_Nativ'!$E$6:$E$405,G299,'Istoric_Nativ'!$D$6:$D$405,"&lt;"&amp;J299,'Istoric_Nativ'!$P$6:$P$405,1,'Istoric_Nativ'!$D$6:$D$405,"&gt;="&amp;L299)+COUNTIFS('Istoric_Nativ'!$B$6:$B$405,E299,'Istoric_Nativ'!$C$6:$C$405,F299,'Istoric_Nativ'!$F$6:$F$405,G299,'Istoric_Nativ'!$D$6:$D$405,"&lt;"&amp;J299,'Istoric_Nativ'!$P$6:$P$405,1,'Istoric_Nativ'!$D$6:$D$405,"&gt;="&amp;L299))))</x:f>
        <x:v>0</x:v>
      </x:c>
      <x:c r="N299" s="11" t="str">
        <x:f>IF(M299=0,"",IF(H299="HOME",SUMIFS('Istoric_Nativ'!$G$6:$G$405,'Istoric_Nativ'!$B$6:$B$405,E299,'Istoric_Nativ'!$C$6:$C$405,F299,'Istoric_Nativ'!$E$6:$E$405,G299,'Istoric_Nativ'!$D$6:$D$405,"&lt;"&amp;J299,'Istoric_Nativ'!$P$6:$P$405,1,'Istoric_Nativ'!$D$6:$D$405,"&gt;="&amp;L299),IF(H299="AWAY",SUMIFS('Istoric_Nativ'!$H$6:$H$405,'Istoric_Nativ'!$B$6:$B$405,E299,'Istoric_Nativ'!$C$6:$C$405,F299,'Istoric_Nativ'!$F$6:$F$405,G299,'Istoric_Nativ'!$D$6:$D$405,"&lt;"&amp;J299,'Istoric_Nativ'!$P$6:$P$405,1,'Istoric_Nativ'!$D$6:$D$405,"&gt;="&amp;L299),SUMIFS('Istoric_Nativ'!$G$6:$G$405,'Istoric_Nativ'!$B$6:$B$405,E299,'Istoric_Nativ'!$C$6:$C$405,F299,'Istoric_Nativ'!$E$6:$E$405,G299,'Istoric_Nativ'!$D$6:$D$405,"&lt;"&amp;J299,'Istoric_Nativ'!$P$6:$P$405,1,'Istoric_Nativ'!$D$6:$D$405,"&gt;="&amp;L299)+SUMIFS('Istoric_Nativ'!$H$6:$H$405,'Istoric_Nativ'!$B$6:$B$405,E299,'Istoric_Nativ'!$C$6:$C$405,F299,'Istoric_Nativ'!$F$6:$F$405,G299,'Istoric_Nativ'!$D$6:$D$405,"&lt;"&amp;J299,'Istoric_Nativ'!$P$6:$P$405,1,'Istoric_Nativ'!$D$6:$D$405,"&gt;="&amp;L299)))/M299)</x:f>
      </x:c>
      <x:c r="O299" s="11" t="str">
        <x:f>IF(M299=0,"",IF(H299="HOME",SUMIFS('Istoric_Nativ'!$H$6:$H$405,'Istoric_Nativ'!$B$6:$B$405,E299,'Istoric_Nativ'!$C$6:$C$405,F299,'Istoric_Nativ'!$E$6:$E$405,G299,'Istoric_Nativ'!$D$6:$D$405,"&lt;"&amp;J299,'Istoric_Nativ'!$P$6:$P$405,1,'Istoric_Nativ'!$D$6:$D$405,"&gt;="&amp;L299),IF(H299="AWAY",SUMIFS('Istoric_Nativ'!$G$6:$G$405,'Istoric_Nativ'!$B$6:$B$405,E299,'Istoric_Nativ'!$C$6:$C$405,F299,'Istoric_Nativ'!$F$6:$F$405,G299,'Istoric_Nativ'!$D$6:$D$405,"&lt;"&amp;J299,'Istoric_Nativ'!$P$6:$P$405,1,'Istoric_Nativ'!$D$6:$D$405,"&gt;="&amp;L299),SUMIFS('Istoric_Nativ'!$H$6:$H$405,'Istoric_Nativ'!$B$6:$B$405,E299,'Istoric_Nativ'!$C$6:$C$405,F299,'Istoric_Nativ'!$E$6:$E$405,G299,'Istoric_Nativ'!$D$6:$D$405,"&lt;"&amp;J299,'Istoric_Nativ'!$P$6:$P$405,1,'Istoric_Nativ'!$D$6:$D$405,"&gt;="&amp;L299)+SUMIFS('Istoric_Nativ'!$G$6:$G$405,'Istoric_Nativ'!$B$6:$B$405,E299,'Istoric_Nativ'!$C$6:$C$405,F299,'Istoric_Nativ'!$F$6:$F$405,G299,'Istoric_Nativ'!$D$6:$D$405,"&lt;"&amp;J299,'Istoric_Nativ'!$P$6:$P$405,1,'Istoric_Nativ'!$D$6:$D$405,"&gt;="&amp;L299)))/M299)</x:f>
      </x:c>
      <x:c r="P299" s="2" t="n">
        <x:f>'Config_v6'!$B$9</x:f>
        <x:v>3</x:v>
      </x:c>
      <x:c r="Q299" s="2" t="n">
        <x:f>IF(OR(B299="",F299=""),0,IFERROR(MATCH(E299&amp;"|"&amp;F299,SourceTable[Source_Key],0),0))</x:f>
        <x:v>0</x:v>
      </x:c>
      <x:c r="R299" s="2" t="str">
        <x:f>IF(B299="","",IF(F299="","UNUSED",IF(Q299=0,"NOT CHECKED",IF(COUNTIF(SourceTable[Source_Key],E299&amp;"|"&amp;F299)&lt;&gt;1,"SOURCE CONFLICT",IF(NOT(OR(INDEX(SourceTable[Status],MAX(1,Q299))="IMPORTED",INDEX(SourceTable[Status],MAX(1,Q299))="PARTIAL",INDEX(SourceTable[Status],MAX(1,Q299))="SOURCE CONFLICT")),"ACCESS BLOCKED",IF(OR(INDEX(SourceTable[Coverage],Q299)&lt;&gt;"FULL SEASON EXPORT",INDEX(SourceTable[URL],Q299)="",INDEX(SourceTable[SHA256],Q299)=""),"EVIDENCE INCOMPLETE",IF(AND('Input_Meci'!H30="LIVE",INDEX(SourceTable[Retrieved_UTC],Q299)&gt;'Input_Meci'!G30),"POST CUTOFF","CLOSED")))))))</x:f>
      </x:c>
      <x:c r="S299" s="2" t="n">
        <x:f>IF(OR(B299="",F299=""),0,COUNTIFS('Istoric_Nativ'!$B$6:$B$405,E299,'Istoric_Nativ'!$C$6:$C$405,F299,'Istoric_Nativ'!$E$6:$E$405,G299,'Istoric_Nativ'!$D$6:$D$405,"&lt;"&amp;J299,'Istoric_Nativ'!$O$6:$O$405,"INVALID")+COUNTIFS('Istoric_Nativ'!$B$6:$B$405,E299,'Istoric_Nativ'!$C$6:$C$405,F299,'Istoric_Nativ'!$E$6:$E$405,G299,'Istoric_Nativ'!$O$6:$O$405,"INVALID",'Istoric_Nativ'!$D$6:$D$405,"*")+COUNTIFS('Istoric_Nativ'!$B$6:$B$405,E299,'Istoric_Nativ'!$C$6:$C$405,F299,'Istoric_Nativ'!$E$6:$E$405,G299,'Istoric_Nativ'!$D$6:$D$405,"&lt;"&amp;J299,'Istoric_Nativ'!$O$6:$O$405,"SOURCE CONFLICT")+COUNTIFS('Istoric_Nativ'!$B$6:$B$405,E299,'Istoric_Nativ'!$C$6:$C$405,F299,'Istoric_Nativ'!$F$6:$F$405,G299,'Istoric_Nativ'!$D$6:$D$405,"&lt;"&amp;J299,'Istoric_Nativ'!$O$6:$O$405,"INVALID")+COUNTIFS('Istoric_Nativ'!$B$6:$B$405,E299,'Istoric_Nativ'!$C$6:$C$405,F299,'Istoric_Nativ'!$F$6:$F$405,G299,'Istoric_Nativ'!$O$6:$O$405,"INVALID",'Istoric_Nativ'!$D$6:$D$405,"*")+COUNTIFS('Istoric_Nativ'!$B$6:$B$405,E299,'Istoric_Nativ'!$C$6:$C$405,F299,'Istoric_Nativ'!$F$6:$F$405,G299,'Istoric_Nativ'!$D$6:$D$405,"&lt;"&amp;J299,'Istoric_Nativ'!$O$6:$O$405,"SOURCE CONFLICT"))</x:f>
        <x:v>0</x:v>
      </x:c>
      <x:c r="T299" s="2" t="str">
        <x:f>IF(B299="","",IF(R299&lt;&gt;"CLOSED",R299,IF(S299&gt;0,"NATIVE INPUT ISSUE",IF(M299=0,"NO HISTORY",IF(M299&lt;P299,"SMALL SAMPLE","DERIVED")))))</x:f>
      </x:c>
      <x:c r="U299" s="2" t="str">
        <x:f>IF(B299="","","NativeTable; "&amp;E299&amp;"; "&amp;F299&amp;"; "&amp;G299&amp;"; "&amp;H299&amp;"; before "&amp;TEXT(J299,"yyyy-mm-dd")&amp;IF(I299="RECENT","; from "&amp;TEXT(L299,"yyyy-mm-dd"),""))</x:f>
      </x:c>
    </x:row>
    <x:row r="300" ht="21" customHeight="1">
      <x:c r="A300" s="2" t="n">
        <x:v>25</x:v>
      </x:c>
      <x:c r="B300" s="2" t="str">
        <x:f>IF('Input_Meci'!A30="","",'Input_Meci'!A30)</x:f>
      </x:c>
      <x:c r="C300" s="2" t="str">
        <x:v>H</x:v>
      </x:c>
      <x:c r="D300" s="2" t="str">
        <x:v>PRIOR</x:v>
      </x:c>
      <x:c r="E300" s="2" t="str">
        <x:f>IF(B300="","",'Input_Meci'!B30)</x:f>
      </x:c>
      <x:c r="F300" s="2" t="str">
        <x:f>IF(B300="","",IF('Input_Meci'!K30="","",'Input_Meci'!K30))</x:f>
      </x:c>
      <x:c r="G300" s="2" t="str">
        <x:f>IF(B300="","",'Input_Meci'!D30)</x:f>
      </x:c>
      <x:c r="H300" s="2" t="str">
        <x:v>ANY</x:v>
      </x:c>
      <x:c r="I300" s="2" t="str">
        <x:v>SEASON</x:v>
      </x:c>
      <x:c r="J300" s="9" t="n">
        <x:f>IF(AND(B300&lt;&gt;"",ISNUMBER('Input_Meci'!G30)),INT('Input_Meci'!G30),0)</x:f>
        <x:v>0</x:v>
      </x:c>
      <x:c r="K300" s="2" t="n">
        <x:f>IF(OR(B300="",F300=""),0,IF(H300="HOME",COUNTIFS('Istoric_Nativ'!$B$6:$B$405,E300,'Istoric_Nativ'!$C$6:$C$405,F300,'Istoric_Nativ'!$E$6:$E$405,G300,'Istoric_Nativ'!$D$6:$D$405,"&lt;"&amp;J300,'Istoric_Nativ'!$P$6:$P$405,1),IF(H300="AWAY",COUNTIFS('Istoric_Nativ'!$B$6:$B$405,E300,'Istoric_Nativ'!$C$6:$C$405,F300,'Istoric_Nativ'!$F$6:$F$405,G300,'Istoric_Nativ'!$D$6:$D$405,"&lt;"&amp;J300,'Istoric_Nativ'!$P$6:$P$405,1),COUNTIFS('Istoric_Nativ'!$B$6:$B$405,E300,'Istoric_Nativ'!$C$6:$C$405,F300,'Istoric_Nativ'!$E$6:$E$405,G300,'Istoric_Nativ'!$D$6:$D$405,"&lt;"&amp;J300,'Istoric_Nativ'!$P$6:$P$405,1)+COUNTIFS('Istoric_Nativ'!$B$6:$B$405,E300,'Istoric_Nativ'!$C$6:$C$405,F300,'Istoric_Nativ'!$F$6:$F$405,G300,'Istoric_Nativ'!$D$6:$D$405,"&lt;"&amp;J300,'Istoric_Nativ'!$P$6:$P$405,1))))</x:f>
        <x:v>0</x:v>
      </x:c>
      <x:c r="L300" s="17" t="n">
        <x:f>IF(AND(B300&lt;&gt;"",I300="RECENT",K300&gt;0),LARGE(_xlfn._xlws.FILTER('Istoric_Nativ'!$D$6:$D$405,('Istoric_Nativ'!$B$6:$B$405=E300)*('Istoric_Nativ'!$C$6:$C$405=F300)*('Istoric_Nativ'!$P$6:$P$405=1)*('Istoric_Nativ'!$D$6:$D$405&lt;J300)*((('Istoric_Nativ'!$E$6:$E$405=G300)+('Istoric_Nativ'!$F$6:$F$405=G300))&gt;0)),MIN('Config_v6'!$B$54,K300)),0)</x:f>
        <x:v>0</x:v>
      </x:c>
      <x:c r="M300" s="2" t="n">
        <x:f>IF(OR(B300="",F300=""),0,IF(H300="HOME",COUNTIFS('Istoric_Nativ'!$B$6:$B$405,E300,'Istoric_Nativ'!$C$6:$C$405,F300,'Istoric_Nativ'!$E$6:$E$405,G300,'Istoric_Nativ'!$D$6:$D$405,"&lt;"&amp;J300,'Istoric_Nativ'!$P$6:$P$405,1,'Istoric_Nativ'!$D$6:$D$405,"&gt;="&amp;L300),IF(H300="AWAY",COUNTIFS('Istoric_Nativ'!$B$6:$B$405,E300,'Istoric_Nativ'!$C$6:$C$405,F300,'Istoric_Nativ'!$F$6:$F$405,G300,'Istoric_Nativ'!$D$6:$D$405,"&lt;"&amp;J300,'Istoric_Nativ'!$P$6:$P$405,1,'Istoric_Nativ'!$D$6:$D$405,"&gt;="&amp;L300),COUNTIFS('Istoric_Nativ'!$B$6:$B$405,E300,'Istoric_Nativ'!$C$6:$C$405,F300,'Istoric_Nativ'!$E$6:$E$405,G300,'Istoric_Nativ'!$D$6:$D$405,"&lt;"&amp;J300,'Istoric_Nativ'!$P$6:$P$405,1,'Istoric_Nativ'!$D$6:$D$405,"&gt;="&amp;L300)+COUNTIFS('Istoric_Nativ'!$B$6:$B$405,E300,'Istoric_Nativ'!$C$6:$C$405,F300,'Istoric_Nativ'!$F$6:$F$405,G300,'Istoric_Nativ'!$D$6:$D$405,"&lt;"&amp;J300,'Istoric_Nativ'!$P$6:$P$405,1,'Istoric_Nativ'!$D$6:$D$405,"&gt;="&amp;L300))))</x:f>
        <x:v>0</x:v>
      </x:c>
      <x:c r="N300" s="11" t="str">
        <x:f>IF(M300=0,"",IF(H300="HOME",SUMIFS('Istoric_Nativ'!$G$6:$G$405,'Istoric_Nativ'!$B$6:$B$405,E300,'Istoric_Nativ'!$C$6:$C$405,F300,'Istoric_Nativ'!$E$6:$E$405,G300,'Istoric_Nativ'!$D$6:$D$405,"&lt;"&amp;J300,'Istoric_Nativ'!$P$6:$P$405,1,'Istoric_Nativ'!$D$6:$D$405,"&gt;="&amp;L300),IF(H300="AWAY",SUMIFS('Istoric_Nativ'!$H$6:$H$405,'Istoric_Nativ'!$B$6:$B$405,E300,'Istoric_Nativ'!$C$6:$C$405,F300,'Istoric_Nativ'!$F$6:$F$405,G300,'Istoric_Nativ'!$D$6:$D$405,"&lt;"&amp;J300,'Istoric_Nativ'!$P$6:$P$405,1,'Istoric_Nativ'!$D$6:$D$405,"&gt;="&amp;L300),SUMIFS('Istoric_Nativ'!$G$6:$G$405,'Istoric_Nativ'!$B$6:$B$405,E300,'Istoric_Nativ'!$C$6:$C$405,F300,'Istoric_Nativ'!$E$6:$E$405,G300,'Istoric_Nativ'!$D$6:$D$405,"&lt;"&amp;J300,'Istoric_Nativ'!$P$6:$P$405,1,'Istoric_Nativ'!$D$6:$D$405,"&gt;="&amp;L300)+SUMIFS('Istoric_Nativ'!$H$6:$H$405,'Istoric_Nativ'!$B$6:$B$405,E300,'Istoric_Nativ'!$C$6:$C$405,F300,'Istoric_Nativ'!$F$6:$F$405,G300,'Istoric_Nativ'!$D$6:$D$405,"&lt;"&amp;J300,'Istoric_Nativ'!$P$6:$P$405,1,'Istoric_Nativ'!$D$6:$D$405,"&gt;="&amp;L300)))/M300)</x:f>
      </x:c>
      <x:c r="O300" s="11" t="str">
        <x:f>IF(M300=0,"",IF(H300="HOME",SUMIFS('Istoric_Nativ'!$H$6:$H$405,'Istoric_Nativ'!$B$6:$B$405,E300,'Istoric_Nativ'!$C$6:$C$405,F300,'Istoric_Nativ'!$E$6:$E$405,G300,'Istoric_Nativ'!$D$6:$D$405,"&lt;"&amp;J300,'Istoric_Nativ'!$P$6:$P$405,1,'Istoric_Nativ'!$D$6:$D$405,"&gt;="&amp;L300),IF(H300="AWAY",SUMIFS('Istoric_Nativ'!$G$6:$G$405,'Istoric_Nativ'!$B$6:$B$405,E300,'Istoric_Nativ'!$C$6:$C$405,F300,'Istoric_Nativ'!$F$6:$F$405,G300,'Istoric_Nativ'!$D$6:$D$405,"&lt;"&amp;J300,'Istoric_Nativ'!$P$6:$P$405,1,'Istoric_Nativ'!$D$6:$D$405,"&gt;="&amp;L300),SUMIFS('Istoric_Nativ'!$H$6:$H$405,'Istoric_Nativ'!$B$6:$B$405,E300,'Istoric_Nativ'!$C$6:$C$405,F300,'Istoric_Nativ'!$E$6:$E$405,G300,'Istoric_Nativ'!$D$6:$D$405,"&lt;"&amp;J300,'Istoric_Nativ'!$P$6:$P$405,1,'Istoric_Nativ'!$D$6:$D$405,"&gt;="&amp;L300)+SUMIFS('Istoric_Nativ'!$G$6:$G$405,'Istoric_Nativ'!$B$6:$B$405,E300,'Istoric_Nativ'!$C$6:$C$405,F300,'Istoric_Nativ'!$F$6:$F$405,G300,'Istoric_Nativ'!$D$6:$D$405,"&lt;"&amp;J300,'Istoric_Nativ'!$P$6:$P$405,1,'Istoric_Nativ'!$D$6:$D$405,"&gt;="&amp;L300)))/M300)</x:f>
      </x:c>
      <x:c r="P300" s="2" t="n">
        <x:f>'Config_v6'!$B$7</x:f>
        <x:v>10</x:v>
      </x:c>
      <x:c r="Q300" s="2" t="n">
        <x:f>IF(OR(B300="",F300=""),0,IFERROR(MATCH(E300&amp;"|"&amp;F300,SourceTable[Source_Key],0),0))</x:f>
        <x:v>0</x:v>
      </x:c>
      <x:c r="R300" s="2" t="str">
        <x:f>IF(B300="","",IF(F300="","UNUSED",IF(Q300=0,"NOT CHECKED",IF(COUNTIF(SourceTable[Source_Key],E300&amp;"|"&amp;F300)&lt;&gt;1,"SOURCE CONFLICT",IF(NOT(OR(INDEX(SourceTable[Status],MAX(1,Q300))="IMPORTED",INDEX(SourceTable[Status],MAX(1,Q300))="PARTIAL",INDEX(SourceTable[Status],MAX(1,Q300))="SOURCE CONFLICT")),"ACCESS BLOCKED",IF(OR(INDEX(SourceTable[Coverage],Q300)&lt;&gt;"FULL SEASON EXPORT",INDEX(SourceTable[URL],Q300)="",INDEX(SourceTable[SHA256],Q300)=""),"EVIDENCE INCOMPLETE",IF(AND('Input_Meci'!H30="LIVE",INDEX(SourceTable[Retrieved_UTC],Q300)&gt;'Input_Meci'!G30),"POST CUTOFF","CLOSED")))))))</x:f>
      </x:c>
      <x:c r="S300" s="2" t="n">
        <x:f>IF(OR(B300="",F300=""),0,COUNTIFS('Istoric_Nativ'!$B$6:$B$405,E300,'Istoric_Nativ'!$C$6:$C$405,F300,'Istoric_Nativ'!$E$6:$E$405,G300,'Istoric_Nativ'!$D$6:$D$405,"&lt;"&amp;J300,'Istoric_Nativ'!$O$6:$O$405,"INVALID")+COUNTIFS('Istoric_Nativ'!$B$6:$B$405,E300,'Istoric_Nativ'!$C$6:$C$405,F300,'Istoric_Nativ'!$E$6:$E$405,G300,'Istoric_Nativ'!$O$6:$O$405,"INVALID",'Istoric_Nativ'!$D$6:$D$405,"*")+COUNTIFS('Istoric_Nativ'!$B$6:$B$405,E300,'Istoric_Nativ'!$C$6:$C$405,F300,'Istoric_Nativ'!$E$6:$E$405,G300,'Istoric_Nativ'!$D$6:$D$405,"&lt;"&amp;J300,'Istoric_Nativ'!$O$6:$O$405,"SOURCE CONFLICT")+COUNTIFS('Istoric_Nativ'!$B$6:$B$405,E300,'Istoric_Nativ'!$C$6:$C$405,F300,'Istoric_Nativ'!$F$6:$F$405,G300,'Istoric_Nativ'!$D$6:$D$405,"&lt;"&amp;J300,'Istoric_Nativ'!$O$6:$O$405,"INVALID")+COUNTIFS('Istoric_Nativ'!$B$6:$B$405,E300,'Istoric_Nativ'!$C$6:$C$405,F300,'Istoric_Nativ'!$F$6:$F$405,G300,'Istoric_Nativ'!$O$6:$O$405,"INVALID",'Istoric_Nativ'!$D$6:$D$405,"*")+COUNTIFS('Istoric_Nativ'!$B$6:$B$405,E300,'Istoric_Nativ'!$C$6:$C$405,F300,'Istoric_Nativ'!$F$6:$F$405,G300,'Istoric_Nativ'!$D$6:$D$405,"&lt;"&amp;J300,'Istoric_Nativ'!$O$6:$O$405,"SOURCE CONFLICT"))</x:f>
        <x:v>0</x:v>
      </x:c>
      <x:c r="T300" s="2" t="str">
        <x:f>IF(B300="","",IF(R300&lt;&gt;"CLOSED",R300,IF(S300&gt;0,"NATIVE INPUT ISSUE",IF(M300=0,"NO HISTORY",IF(M300&lt;P300,"SMALL SAMPLE","DERIVED")))))</x:f>
      </x:c>
      <x:c r="U300" s="2" t="str">
        <x:f>IF(B300="","","NativeTable; "&amp;E300&amp;"; "&amp;F300&amp;"; "&amp;G300&amp;"; "&amp;H300&amp;"; before "&amp;TEXT(J300,"yyyy-mm-dd")&amp;IF(I300="RECENT","; from "&amp;TEXT(L300,"yyyy-mm-dd"),""))</x:f>
      </x:c>
    </x:row>
    <x:row r="301" ht="21" customHeight="1">
      <x:c r="A301" s="2" t="n">
        <x:v>25</x:v>
      </x:c>
      <x:c r="B301" s="2" t="str">
        <x:f>IF('Input_Meci'!A30="","",'Input_Meci'!A30)</x:f>
      </x:c>
      <x:c r="C301" s="2" t="str">
        <x:v>H</x:v>
      </x:c>
      <x:c r="D301" s="2" t="str">
        <x:v>PRIOR</x:v>
      </x:c>
      <x:c r="E301" s="2" t="str">
        <x:f>IF(B301="","",'Input_Meci'!B30)</x:f>
      </x:c>
      <x:c r="F301" s="2" t="str">
        <x:f>IF(B301="","",IF('Input_Meci'!K30="","",'Input_Meci'!K30))</x:f>
      </x:c>
      <x:c r="G301" s="2" t="str">
        <x:f>IF(B301="","",'Input_Meci'!D30)</x:f>
      </x:c>
      <x:c r="H301" s="2" t="str">
        <x:v>HOME</x:v>
      </x:c>
      <x:c r="I301" s="2" t="str">
        <x:v>HA</x:v>
      </x:c>
      <x:c r="J301" s="9" t="n">
        <x:f>IF(AND(B301&lt;&gt;"",ISNUMBER('Input_Meci'!G30)),INT('Input_Meci'!G30),0)</x:f>
        <x:v>0</x:v>
      </x:c>
      <x:c r="K301" s="2" t="n">
        <x:f>IF(OR(B301="",F301=""),0,IF(H301="HOME",COUNTIFS('Istoric_Nativ'!$B$6:$B$405,E301,'Istoric_Nativ'!$C$6:$C$405,F301,'Istoric_Nativ'!$E$6:$E$405,G301,'Istoric_Nativ'!$D$6:$D$405,"&lt;"&amp;J301,'Istoric_Nativ'!$P$6:$P$405,1),IF(H301="AWAY",COUNTIFS('Istoric_Nativ'!$B$6:$B$405,E301,'Istoric_Nativ'!$C$6:$C$405,F301,'Istoric_Nativ'!$F$6:$F$405,G301,'Istoric_Nativ'!$D$6:$D$405,"&lt;"&amp;J301,'Istoric_Nativ'!$P$6:$P$405,1),COUNTIFS('Istoric_Nativ'!$B$6:$B$405,E301,'Istoric_Nativ'!$C$6:$C$405,F301,'Istoric_Nativ'!$E$6:$E$405,G301,'Istoric_Nativ'!$D$6:$D$405,"&lt;"&amp;J301,'Istoric_Nativ'!$P$6:$P$405,1)+COUNTIFS('Istoric_Nativ'!$B$6:$B$405,E301,'Istoric_Nativ'!$C$6:$C$405,F301,'Istoric_Nativ'!$F$6:$F$405,G301,'Istoric_Nativ'!$D$6:$D$405,"&lt;"&amp;J301,'Istoric_Nativ'!$P$6:$P$405,1))))</x:f>
        <x:v>0</x:v>
      </x:c>
      <x:c r="L301" s="17" t="n">
        <x:f>IF(AND(B301&lt;&gt;"",I301="RECENT",K301&gt;0),LARGE(_xlfn._xlws.FILTER('Istoric_Nativ'!$D$6:$D$405,('Istoric_Nativ'!$B$6:$B$405=E301)*('Istoric_Nativ'!$C$6:$C$405=F301)*('Istoric_Nativ'!$P$6:$P$405=1)*('Istoric_Nativ'!$D$6:$D$405&lt;J301)*((('Istoric_Nativ'!$E$6:$E$405=G301)+('Istoric_Nativ'!$F$6:$F$405=G301))&gt;0)),MIN('Config_v6'!$B$54,K301)),0)</x:f>
        <x:v>0</x:v>
      </x:c>
      <x:c r="M301" s="2" t="n">
        <x:f>IF(OR(B301="",F301=""),0,IF(H301="HOME",COUNTIFS('Istoric_Nativ'!$B$6:$B$405,E301,'Istoric_Nativ'!$C$6:$C$405,F301,'Istoric_Nativ'!$E$6:$E$405,G301,'Istoric_Nativ'!$D$6:$D$405,"&lt;"&amp;J301,'Istoric_Nativ'!$P$6:$P$405,1,'Istoric_Nativ'!$D$6:$D$405,"&gt;="&amp;L301),IF(H301="AWAY",COUNTIFS('Istoric_Nativ'!$B$6:$B$405,E301,'Istoric_Nativ'!$C$6:$C$405,F301,'Istoric_Nativ'!$F$6:$F$405,G301,'Istoric_Nativ'!$D$6:$D$405,"&lt;"&amp;J301,'Istoric_Nativ'!$P$6:$P$405,1,'Istoric_Nativ'!$D$6:$D$405,"&gt;="&amp;L301),COUNTIFS('Istoric_Nativ'!$B$6:$B$405,E301,'Istoric_Nativ'!$C$6:$C$405,F301,'Istoric_Nativ'!$E$6:$E$405,G301,'Istoric_Nativ'!$D$6:$D$405,"&lt;"&amp;J301,'Istoric_Nativ'!$P$6:$P$405,1,'Istoric_Nativ'!$D$6:$D$405,"&gt;="&amp;L301)+COUNTIFS('Istoric_Nativ'!$B$6:$B$405,E301,'Istoric_Nativ'!$C$6:$C$405,F301,'Istoric_Nativ'!$F$6:$F$405,G301,'Istoric_Nativ'!$D$6:$D$405,"&lt;"&amp;J301,'Istoric_Nativ'!$P$6:$P$405,1,'Istoric_Nativ'!$D$6:$D$405,"&gt;="&amp;L301))))</x:f>
        <x:v>0</x:v>
      </x:c>
      <x:c r="N301" s="11" t="str">
        <x:f>IF(M301=0,"",IF(H301="HOME",SUMIFS('Istoric_Nativ'!$G$6:$G$405,'Istoric_Nativ'!$B$6:$B$405,E301,'Istoric_Nativ'!$C$6:$C$405,F301,'Istoric_Nativ'!$E$6:$E$405,G301,'Istoric_Nativ'!$D$6:$D$405,"&lt;"&amp;J301,'Istoric_Nativ'!$P$6:$P$405,1,'Istoric_Nativ'!$D$6:$D$405,"&gt;="&amp;L301),IF(H301="AWAY",SUMIFS('Istoric_Nativ'!$H$6:$H$405,'Istoric_Nativ'!$B$6:$B$405,E301,'Istoric_Nativ'!$C$6:$C$405,F301,'Istoric_Nativ'!$F$6:$F$405,G301,'Istoric_Nativ'!$D$6:$D$405,"&lt;"&amp;J301,'Istoric_Nativ'!$P$6:$P$405,1,'Istoric_Nativ'!$D$6:$D$405,"&gt;="&amp;L301),SUMIFS('Istoric_Nativ'!$G$6:$G$405,'Istoric_Nativ'!$B$6:$B$405,E301,'Istoric_Nativ'!$C$6:$C$405,F301,'Istoric_Nativ'!$E$6:$E$405,G301,'Istoric_Nativ'!$D$6:$D$405,"&lt;"&amp;J301,'Istoric_Nativ'!$P$6:$P$405,1,'Istoric_Nativ'!$D$6:$D$405,"&gt;="&amp;L301)+SUMIFS('Istoric_Nativ'!$H$6:$H$405,'Istoric_Nativ'!$B$6:$B$405,E301,'Istoric_Nativ'!$C$6:$C$405,F301,'Istoric_Nativ'!$F$6:$F$405,G301,'Istoric_Nativ'!$D$6:$D$405,"&lt;"&amp;J301,'Istoric_Nativ'!$P$6:$P$405,1,'Istoric_Nativ'!$D$6:$D$405,"&gt;="&amp;L301)))/M301)</x:f>
      </x:c>
      <x:c r="O301" s="11" t="str">
        <x:f>IF(M301=0,"",IF(H301="HOME",SUMIFS('Istoric_Nativ'!$H$6:$H$405,'Istoric_Nativ'!$B$6:$B$405,E301,'Istoric_Nativ'!$C$6:$C$405,F301,'Istoric_Nativ'!$E$6:$E$405,G301,'Istoric_Nativ'!$D$6:$D$405,"&lt;"&amp;J301,'Istoric_Nativ'!$P$6:$P$405,1,'Istoric_Nativ'!$D$6:$D$405,"&gt;="&amp;L301),IF(H301="AWAY",SUMIFS('Istoric_Nativ'!$G$6:$G$405,'Istoric_Nativ'!$B$6:$B$405,E301,'Istoric_Nativ'!$C$6:$C$405,F301,'Istoric_Nativ'!$F$6:$F$405,G301,'Istoric_Nativ'!$D$6:$D$405,"&lt;"&amp;J301,'Istoric_Nativ'!$P$6:$P$405,1,'Istoric_Nativ'!$D$6:$D$405,"&gt;="&amp;L301),SUMIFS('Istoric_Nativ'!$H$6:$H$405,'Istoric_Nativ'!$B$6:$B$405,E301,'Istoric_Nativ'!$C$6:$C$405,F301,'Istoric_Nativ'!$E$6:$E$405,G301,'Istoric_Nativ'!$D$6:$D$405,"&lt;"&amp;J301,'Istoric_Nativ'!$P$6:$P$405,1,'Istoric_Nativ'!$D$6:$D$405,"&gt;="&amp;L301)+SUMIFS('Istoric_Nativ'!$G$6:$G$405,'Istoric_Nativ'!$B$6:$B$405,E301,'Istoric_Nativ'!$C$6:$C$405,F301,'Istoric_Nativ'!$F$6:$F$405,G301,'Istoric_Nativ'!$D$6:$D$405,"&lt;"&amp;J301,'Istoric_Nativ'!$P$6:$P$405,1,'Istoric_Nativ'!$D$6:$D$405,"&gt;="&amp;L301)))/M301)</x:f>
      </x:c>
      <x:c r="P301" s="2" t="n">
        <x:f>'Config_v6'!$B$8</x:f>
        <x:v>5</x:v>
      </x:c>
      <x:c r="Q301" s="2" t="n">
        <x:f>IF(OR(B301="",F301=""),0,IFERROR(MATCH(E301&amp;"|"&amp;F301,SourceTable[Source_Key],0),0))</x:f>
        <x:v>0</x:v>
      </x:c>
      <x:c r="R301" s="2" t="str">
        <x:f>IF(B301="","",IF(F301="","UNUSED",IF(Q301=0,"NOT CHECKED",IF(COUNTIF(SourceTable[Source_Key],E301&amp;"|"&amp;F301)&lt;&gt;1,"SOURCE CONFLICT",IF(NOT(OR(INDEX(SourceTable[Status],MAX(1,Q301))="IMPORTED",INDEX(SourceTable[Status],MAX(1,Q301))="PARTIAL",INDEX(SourceTable[Status],MAX(1,Q301))="SOURCE CONFLICT")),"ACCESS BLOCKED",IF(OR(INDEX(SourceTable[Coverage],Q301)&lt;&gt;"FULL SEASON EXPORT",INDEX(SourceTable[URL],Q301)="",INDEX(SourceTable[SHA256],Q301)=""),"EVIDENCE INCOMPLETE",IF(AND('Input_Meci'!H30="LIVE",INDEX(SourceTable[Retrieved_UTC],Q301)&gt;'Input_Meci'!G30),"POST CUTOFF","CLOSED")))))))</x:f>
      </x:c>
      <x:c r="S301" s="2" t="n">
        <x:f>IF(OR(B301="",F301=""),0,COUNTIFS('Istoric_Nativ'!$B$6:$B$405,E301,'Istoric_Nativ'!$C$6:$C$405,F301,'Istoric_Nativ'!$E$6:$E$405,G301,'Istoric_Nativ'!$D$6:$D$405,"&lt;"&amp;J301,'Istoric_Nativ'!$O$6:$O$405,"INVALID")+COUNTIFS('Istoric_Nativ'!$B$6:$B$405,E301,'Istoric_Nativ'!$C$6:$C$405,F301,'Istoric_Nativ'!$E$6:$E$405,G301,'Istoric_Nativ'!$O$6:$O$405,"INVALID",'Istoric_Nativ'!$D$6:$D$405,"*")+COUNTIFS('Istoric_Nativ'!$B$6:$B$405,E301,'Istoric_Nativ'!$C$6:$C$405,F301,'Istoric_Nativ'!$E$6:$E$405,G301,'Istoric_Nativ'!$D$6:$D$405,"&lt;"&amp;J301,'Istoric_Nativ'!$O$6:$O$405,"SOURCE CONFLICT")+COUNTIFS('Istoric_Nativ'!$B$6:$B$405,E301,'Istoric_Nativ'!$C$6:$C$405,F301,'Istoric_Nativ'!$F$6:$F$405,G301,'Istoric_Nativ'!$D$6:$D$405,"&lt;"&amp;J301,'Istoric_Nativ'!$O$6:$O$405,"INVALID")+COUNTIFS('Istoric_Nativ'!$B$6:$B$405,E301,'Istoric_Nativ'!$C$6:$C$405,F301,'Istoric_Nativ'!$F$6:$F$405,G301,'Istoric_Nativ'!$O$6:$O$405,"INVALID",'Istoric_Nativ'!$D$6:$D$405,"*")+COUNTIFS('Istoric_Nativ'!$B$6:$B$405,E301,'Istoric_Nativ'!$C$6:$C$405,F301,'Istoric_Nativ'!$F$6:$F$405,G301,'Istoric_Nativ'!$D$6:$D$405,"&lt;"&amp;J301,'Istoric_Nativ'!$O$6:$O$405,"SOURCE CONFLICT"))</x:f>
        <x:v>0</x:v>
      </x:c>
      <x:c r="T301" s="2" t="str">
        <x:f>IF(B301="","",IF(R301&lt;&gt;"CLOSED",R301,IF(S301&gt;0,"NATIVE INPUT ISSUE",IF(M301=0,"NO HISTORY",IF(M301&lt;P301,"SMALL SAMPLE","DERIVED")))))</x:f>
      </x:c>
      <x:c r="U301" s="2" t="str">
        <x:f>IF(B301="","","NativeTable; "&amp;E301&amp;"; "&amp;F301&amp;"; "&amp;G301&amp;"; "&amp;H301&amp;"; before "&amp;TEXT(J301,"yyyy-mm-dd")&amp;IF(I301="RECENT","; from "&amp;TEXT(L301,"yyyy-mm-dd"),""))</x:f>
      </x:c>
    </x:row>
    <x:row r="302" ht="21" customHeight="1">
      <x:c r="A302" s="2" t="n">
        <x:v>25</x:v>
      </x:c>
      <x:c r="B302" s="2" t="str">
        <x:f>IF('Input_Meci'!A30="","",'Input_Meci'!A30)</x:f>
      </x:c>
      <x:c r="C302" s="2" t="str">
        <x:v>H</x:v>
      </x:c>
      <x:c r="D302" s="2" t="str">
        <x:v>PRIOR</x:v>
      </x:c>
      <x:c r="E302" s="2" t="str">
        <x:f>IF(B302="","",'Input_Meci'!B30)</x:f>
      </x:c>
      <x:c r="F302" s="2" t="str">
        <x:f>IF(B302="","",IF('Input_Meci'!K30="","",'Input_Meci'!K30))</x:f>
      </x:c>
      <x:c r="G302" s="2" t="str">
        <x:f>IF(B302="","",'Input_Meci'!D30)</x:f>
      </x:c>
      <x:c r="H302" s="2" t="str">
        <x:v>ANY</x:v>
      </x:c>
      <x:c r="I302" s="2" t="str">
        <x:v>RECENT</x:v>
      </x:c>
      <x:c r="J302" s="9" t="n">
        <x:f>IF(AND(B302&lt;&gt;"",ISNUMBER('Input_Meci'!G30)),INT('Input_Meci'!G30),0)</x:f>
        <x:v>0</x:v>
      </x:c>
      <x:c r="K302" s="2" t="n">
        <x:f>IF(OR(B302="",F302=""),0,IF(H302="HOME",COUNTIFS('Istoric_Nativ'!$B$6:$B$405,E302,'Istoric_Nativ'!$C$6:$C$405,F302,'Istoric_Nativ'!$E$6:$E$405,G302,'Istoric_Nativ'!$D$6:$D$405,"&lt;"&amp;J302,'Istoric_Nativ'!$P$6:$P$405,1),IF(H302="AWAY",COUNTIFS('Istoric_Nativ'!$B$6:$B$405,E302,'Istoric_Nativ'!$C$6:$C$405,F302,'Istoric_Nativ'!$F$6:$F$405,G302,'Istoric_Nativ'!$D$6:$D$405,"&lt;"&amp;J302,'Istoric_Nativ'!$P$6:$P$405,1),COUNTIFS('Istoric_Nativ'!$B$6:$B$405,E302,'Istoric_Nativ'!$C$6:$C$405,F302,'Istoric_Nativ'!$E$6:$E$405,G302,'Istoric_Nativ'!$D$6:$D$405,"&lt;"&amp;J302,'Istoric_Nativ'!$P$6:$P$405,1)+COUNTIFS('Istoric_Nativ'!$B$6:$B$405,E302,'Istoric_Nativ'!$C$6:$C$405,F302,'Istoric_Nativ'!$F$6:$F$405,G302,'Istoric_Nativ'!$D$6:$D$405,"&lt;"&amp;J302,'Istoric_Nativ'!$P$6:$P$405,1))))</x:f>
        <x:v>0</x:v>
      </x:c>
      <x:c r="L302" s="17" t="n">
        <x:f>IF(AND(B302&lt;&gt;"",I302="RECENT",K302&gt;0),LARGE(_xlfn._xlws.FILTER('Istoric_Nativ'!$D$6:$D$405,('Istoric_Nativ'!$B$6:$B$405=E302)*('Istoric_Nativ'!$C$6:$C$405=F302)*('Istoric_Nativ'!$P$6:$P$405=1)*('Istoric_Nativ'!$D$6:$D$405&lt;J302)*((('Istoric_Nativ'!$E$6:$E$405=G302)+('Istoric_Nativ'!$F$6:$F$405=G302))&gt;0)),MIN('Config_v6'!$B$54,K302)),0)</x:f>
        <x:v>0</x:v>
      </x:c>
      <x:c r="M302" s="2" t="n">
        <x:f>IF(OR(B302="",F302=""),0,IF(H302="HOME",COUNTIFS('Istoric_Nativ'!$B$6:$B$405,E302,'Istoric_Nativ'!$C$6:$C$405,F302,'Istoric_Nativ'!$E$6:$E$405,G302,'Istoric_Nativ'!$D$6:$D$405,"&lt;"&amp;J302,'Istoric_Nativ'!$P$6:$P$405,1,'Istoric_Nativ'!$D$6:$D$405,"&gt;="&amp;L302),IF(H302="AWAY",COUNTIFS('Istoric_Nativ'!$B$6:$B$405,E302,'Istoric_Nativ'!$C$6:$C$405,F302,'Istoric_Nativ'!$F$6:$F$405,G302,'Istoric_Nativ'!$D$6:$D$405,"&lt;"&amp;J302,'Istoric_Nativ'!$P$6:$P$405,1,'Istoric_Nativ'!$D$6:$D$405,"&gt;="&amp;L302),COUNTIFS('Istoric_Nativ'!$B$6:$B$405,E302,'Istoric_Nativ'!$C$6:$C$405,F302,'Istoric_Nativ'!$E$6:$E$405,G302,'Istoric_Nativ'!$D$6:$D$405,"&lt;"&amp;J302,'Istoric_Nativ'!$P$6:$P$405,1,'Istoric_Nativ'!$D$6:$D$405,"&gt;="&amp;L302)+COUNTIFS('Istoric_Nativ'!$B$6:$B$405,E302,'Istoric_Nativ'!$C$6:$C$405,F302,'Istoric_Nativ'!$F$6:$F$405,G302,'Istoric_Nativ'!$D$6:$D$405,"&lt;"&amp;J302,'Istoric_Nativ'!$P$6:$P$405,1,'Istoric_Nativ'!$D$6:$D$405,"&gt;="&amp;L302))))</x:f>
        <x:v>0</x:v>
      </x:c>
      <x:c r="N302" s="11" t="str">
        <x:f>IF(M302=0,"",IF(H302="HOME",SUMIFS('Istoric_Nativ'!$G$6:$G$405,'Istoric_Nativ'!$B$6:$B$405,E302,'Istoric_Nativ'!$C$6:$C$405,F302,'Istoric_Nativ'!$E$6:$E$405,G302,'Istoric_Nativ'!$D$6:$D$405,"&lt;"&amp;J302,'Istoric_Nativ'!$P$6:$P$405,1,'Istoric_Nativ'!$D$6:$D$405,"&gt;="&amp;L302),IF(H302="AWAY",SUMIFS('Istoric_Nativ'!$H$6:$H$405,'Istoric_Nativ'!$B$6:$B$405,E302,'Istoric_Nativ'!$C$6:$C$405,F302,'Istoric_Nativ'!$F$6:$F$405,G302,'Istoric_Nativ'!$D$6:$D$405,"&lt;"&amp;J302,'Istoric_Nativ'!$P$6:$P$405,1,'Istoric_Nativ'!$D$6:$D$405,"&gt;="&amp;L302),SUMIFS('Istoric_Nativ'!$G$6:$G$405,'Istoric_Nativ'!$B$6:$B$405,E302,'Istoric_Nativ'!$C$6:$C$405,F302,'Istoric_Nativ'!$E$6:$E$405,G302,'Istoric_Nativ'!$D$6:$D$405,"&lt;"&amp;J302,'Istoric_Nativ'!$P$6:$P$405,1,'Istoric_Nativ'!$D$6:$D$405,"&gt;="&amp;L302)+SUMIFS('Istoric_Nativ'!$H$6:$H$405,'Istoric_Nativ'!$B$6:$B$405,E302,'Istoric_Nativ'!$C$6:$C$405,F302,'Istoric_Nativ'!$F$6:$F$405,G302,'Istoric_Nativ'!$D$6:$D$405,"&lt;"&amp;J302,'Istoric_Nativ'!$P$6:$P$405,1,'Istoric_Nativ'!$D$6:$D$405,"&gt;="&amp;L302)))/M302)</x:f>
      </x:c>
      <x:c r="O302" s="11" t="str">
        <x:f>IF(M302=0,"",IF(H302="HOME",SUMIFS('Istoric_Nativ'!$H$6:$H$405,'Istoric_Nativ'!$B$6:$B$405,E302,'Istoric_Nativ'!$C$6:$C$405,F302,'Istoric_Nativ'!$E$6:$E$405,G302,'Istoric_Nativ'!$D$6:$D$405,"&lt;"&amp;J302,'Istoric_Nativ'!$P$6:$P$405,1,'Istoric_Nativ'!$D$6:$D$405,"&gt;="&amp;L302),IF(H302="AWAY",SUMIFS('Istoric_Nativ'!$G$6:$G$405,'Istoric_Nativ'!$B$6:$B$405,E302,'Istoric_Nativ'!$C$6:$C$405,F302,'Istoric_Nativ'!$F$6:$F$405,G302,'Istoric_Nativ'!$D$6:$D$405,"&lt;"&amp;J302,'Istoric_Nativ'!$P$6:$P$405,1,'Istoric_Nativ'!$D$6:$D$405,"&gt;="&amp;L302),SUMIFS('Istoric_Nativ'!$H$6:$H$405,'Istoric_Nativ'!$B$6:$B$405,E302,'Istoric_Nativ'!$C$6:$C$405,F302,'Istoric_Nativ'!$E$6:$E$405,G302,'Istoric_Nativ'!$D$6:$D$405,"&lt;"&amp;J302,'Istoric_Nativ'!$P$6:$P$405,1,'Istoric_Nativ'!$D$6:$D$405,"&gt;="&amp;L302)+SUMIFS('Istoric_Nativ'!$G$6:$G$405,'Istoric_Nativ'!$B$6:$B$405,E302,'Istoric_Nativ'!$C$6:$C$405,F302,'Istoric_Nativ'!$F$6:$F$405,G302,'Istoric_Nativ'!$D$6:$D$405,"&lt;"&amp;J302,'Istoric_Nativ'!$P$6:$P$405,1,'Istoric_Nativ'!$D$6:$D$405,"&gt;="&amp;L302)))/M302)</x:f>
      </x:c>
      <x:c r="P302" s="2" t="n">
        <x:f>'Config_v6'!$B$9</x:f>
        <x:v>3</x:v>
      </x:c>
      <x:c r="Q302" s="2" t="n">
        <x:f>IF(OR(B302="",F302=""),0,IFERROR(MATCH(E302&amp;"|"&amp;F302,SourceTable[Source_Key],0),0))</x:f>
        <x:v>0</x:v>
      </x:c>
      <x:c r="R302" s="2" t="str">
        <x:f>IF(B302="","",IF(F302="","UNUSED",IF(Q302=0,"NOT CHECKED",IF(COUNTIF(SourceTable[Source_Key],E302&amp;"|"&amp;F302)&lt;&gt;1,"SOURCE CONFLICT",IF(NOT(OR(INDEX(SourceTable[Status],MAX(1,Q302))="IMPORTED",INDEX(SourceTable[Status],MAX(1,Q302))="PARTIAL",INDEX(SourceTable[Status],MAX(1,Q302))="SOURCE CONFLICT")),"ACCESS BLOCKED",IF(OR(INDEX(SourceTable[Coverage],Q302)&lt;&gt;"FULL SEASON EXPORT",INDEX(SourceTable[URL],Q302)="",INDEX(SourceTable[SHA256],Q302)=""),"EVIDENCE INCOMPLETE",IF(AND('Input_Meci'!H30="LIVE",INDEX(SourceTable[Retrieved_UTC],Q302)&gt;'Input_Meci'!G30),"POST CUTOFF","CLOSED")))))))</x:f>
      </x:c>
      <x:c r="S302" s="2" t="n">
        <x:f>IF(OR(B302="",F302=""),0,COUNTIFS('Istoric_Nativ'!$B$6:$B$405,E302,'Istoric_Nativ'!$C$6:$C$405,F302,'Istoric_Nativ'!$E$6:$E$405,G302,'Istoric_Nativ'!$D$6:$D$405,"&lt;"&amp;J302,'Istoric_Nativ'!$O$6:$O$405,"INVALID")+COUNTIFS('Istoric_Nativ'!$B$6:$B$405,E302,'Istoric_Nativ'!$C$6:$C$405,F302,'Istoric_Nativ'!$E$6:$E$405,G302,'Istoric_Nativ'!$O$6:$O$405,"INVALID",'Istoric_Nativ'!$D$6:$D$405,"*")+COUNTIFS('Istoric_Nativ'!$B$6:$B$405,E302,'Istoric_Nativ'!$C$6:$C$405,F302,'Istoric_Nativ'!$E$6:$E$405,G302,'Istoric_Nativ'!$D$6:$D$405,"&lt;"&amp;J302,'Istoric_Nativ'!$O$6:$O$405,"SOURCE CONFLICT")+COUNTIFS('Istoric_Nativ'!$B$6:$B$405,E302,'Istoric_Nativ'!$C$6:$C$405,F302,'Istoric_Nativ'!$F$6:$F$405,G302,'Istoric_Nativ'!$D$6:$D$405,"&lt;"&amp;J302,'Istoric_Nativ'!$O$6:$O$405,"INVALID")+COUNTIFS('Istoric_Nativ'!$B$6:$B$405,E302,'Istoric_Nativ'!$C$6:$C$405,F302,'Istoric_Nativ'!$F$6:$F$405,G302,'Istoric_Nativ'!$O$6:$O$405,"INVALID",'Istoric_Nativ'!$D$6:$D$405,"*")+COUNTIFS('Istoric_Nativ'!$B$6:$B$405,E302,'Istoric_Nativ'!$C$6:$C$405,F302,'Istoric_Nativ'!$F$6:$F$405,G302,'Istoric_Nativ'!$D$6:$D$405,"&lt;"&amp;J302,'Istoric_Nativ'!$O$6:$O$405,"SOURCE CONFLICT"))</x:f>
        <x:v>0</x:v>
      </x:c>
      <x:c r="T302" s="2" t="str">
        <x:f>IF(B302="","",IF(R302&lt;&gt;"CLOSED",R302,IF(S302&gt;0,"NATIVE INPUT ISSUE",IF(M302=0,"NO HISTORY",IF(M302&lt;P302,"SMALL SAMPLE","DERIVED")))))</x:f>
      </x:c>
      <x:c r="U302" s="2" t="str">
        <x:f>IF(B302="","","NativeTable; "&amp;E302&amp;"; "&amp;F302&amp;"; "&amp;G302&amp;"; "&amp;H302&amp;"; before "&amp;TEXT(J302,"yyyy-mm-dd")&amp;IF(I302="RECENT","; from "&amp;TEXT(L302,"yyyy-mm-dd"),""))</x:f>
      </x:c>
    </x:row>
    <x:row r="303" ht="21" customHeight="1">
      <x:c r="A303" s="2" t="n">
        <x:v>25</x:v>
      </x:c>
      <x:c r="B303" s="2" t="str">
        <x:f>IF('Input_Meci'!A30="","",'Input_Meci'!A30)</x:f>
      </x:c>
      <x:c r="C303" s="2" t="str">
        <x:v>A</x:v>
      </x:c>
      <x:c r="D303" s="2" t="str">
        <x:v>PRIOR</x:v>
      </x:c>
      <x:c r="E303" s="2" t="str">
        <x:f>IF(B303="","",'Input_Meci'!B30)</x:f>
      </x:c>
      <x:c r="F303" s="2" t="str">
        <x:f>IF(B303="","",IF('Input_Meci'!K30="","",'Input_Meci'!K30))</x:f>
      </x:c>
      <x:c r="G303" s="2" t="str">
        <x:f>IF(B303="","",'Input_Meci'!E30)</x:f>
      </x:c>
      <x:c r="H303" s="2" t="str">
        <x:v>ANY</x:v>
      </x:c>
      <x:c r="I303" s="2" t="str">
        <x:v>SEASON</x:v>
      </x:c>
      <x:c r="J303" s="9" t="n">
        <x:f>IF(AND(B303&lt;&gt;"",ISNUMBER('Input_Meci'!G30)),INT('Input_Meci'!G30),0)</x:f>
        <x:v>0</x:v>
      </x:c>
      <x:c r="K303" s="2" t="n">
        <x:f>IF(OR(B303="",F303=""),0,IF(H303="HOME",COUNTIFS('Istoric_Nativ'!$B$6:$B$405,E303,'Istoric_Nativ'!$C$6:$C$405,F303,'Istoric_Nativ'!$E$6:$E$405,G303,'Istoric_Nativ'!$D$6:$D$405,"&lt;"&amp;J303,'Istoric_Nativ'!$P$6:$P$405,1),IF(H303="AWAY",COUNTIFS('Istoric_Nativ'!$B$6:$B$405,E303,'Istoric_Nativ'!$C$6:$C$405,F303,'Istoric_Nativ'!$F$6:$F$405,G303,'Istoric_Nativ'!$D$6:$D$405,"&lt;"&amp;J303,'Istoric_Nativ'!$P$6:$P$405,1),COUNTIFS('Istoric_Nativ'!$B$6:$B$405,E303,'Istoric_Nativ'!$C$6:$C$405,F303,'Istoric_Nativ'!$E$6:$E$405,G303,'Istoric_Nativ'!$D$6:$D$405,"&lt;"&amp;J303,'Istoric_Nativ'!$P$6:$P$405,1)+COUNTIFS('Istoric_Nativ'!$B$6:$B$405,E303,'Istoric_Nativ'!$C$6:$C$405,F303,'Istoric_Nativ'!$F$6:$F$405,G303,'Istoric_Nativ'!$D$6:$D$405,"&lt;"&amp;J303,'Istoric_Nativ'!$P$6:$P$405,1))))</x:f>
        <x:v>0</x:v>
      </x:c>
      <x:c r="L303" s="17" t="n">
        <x:f>IF(AND(B303&lt;&gt;"",I303="RECENT",K303&gt;0),LARGE(_xlfn._xlws.FILTER('Istoric_Nativ'!$D$6:$D$405,('Istoric_Nativ'!$B$6:$B$405=E303)*('Istoric_Nativ'!$C$6:$C$405=F303)*('Istoric_Nativ'!$P$6:$P$405=1)*('Istoric_Nativ'!$D$6:$D$405&lt;J303)*((('Istoric_Nativ'!$E$6:$E$405=G303)+('Istoric_Nativ'!$F$6:$F$405=G303))&gt;0)),MIN('Config_v6'!$B$54,K303)),0)</x:f>
        <x:v>0</x:v>
      </x:c>
      <x:c r="M303" s="2" t="n">
        <x:f>IF(OR(B303="",F303=""),0,IF(H303="HOME",COUNTIFS('Istoric_Nativ'!$B$6:$B$405,E303,'Istoric_Nativ'!$C$6:$C$405,F303,'Istoric_Nativ'!$E$6:$E$405,G303,'Istoric_Nativ'!$D$6:$D$405,"&lt;"&amp;J303,'Istoric_Nativ'!$P$6:$P$405,1,'Istoric_Nativ'!$D$6:$D$405,"&gt;="&amp;L303),IF(H303="AWAY",COUNTIFS('Istoric_Nativ'!$B$6:$B$405,E303,'Istoric_Nativ'!$C$6:$C$405,F303,'Istoric_Nativ'!$F$6:$F$405,G303,'Istoric_Nativ'!$D$6:$D$405,"&lt;"&amp;J303,'Istoric_Nativ'!$P$6:$P$405,1,'Istoric_Nativ'!$D$6:$D$405,"&gt;="&amp;L303),COUNTIFS('Istoric_Nativ'!$B$6:$B$405,E303,'Istoric_Nativ'!$C$6:$C$405,F303,'Istoric_Nativ'!$E$6:$E$405,G303,'Istoric_Nativ'!$D$6:$D$405,"&lt;"&amp;J303,'Istoric_Nativ'!$P$6:$P$405,1,'Istoric_Nativ'!$D$6:$D$405,"&gt;="&amp;L303)+COUNTIFS('Istoric_Nativ'!$B$6:$B$405,E303,'Istoric_Nativ'!$C$6:$C$405,F303,'Istoric_Nativ'!$F$6:$F$405,G303,'Istoric_Nativ'!$D$6:$D$405,"&lt;"&amp;J303,'Istoric_Nativ'!$P$6:$P$405,1,'Istoric_Nativ'!$D$6:$D$405,"&gt;="&amp;L303))))</x:f>
        <x:v>0</x:v>
      </x:c>
      <x:c r="N303" s="11" t="str">
        <x:f>IF(M303=0,"",IF(H303="HOME",SUMIFS('Istoric_Nativ'!$G$6:$G$405,'Istoric_Nativ'!$B$6:$B$405,E303,'Istoric_Nativ'!$C$6:$C$405,F303,'Istoric_Nativ'!$E$6:$E$405,G303,'Istoric_Nativ'!$D$6:$D$405,"&lt;"&amp;J303,'Istoric_Nativ'!$P$6:$P$405,1,'Istoric_Nativ'!$D$6:$D$405,"&gt;="&amp;L303),IF(H303="AWAY",SUMIFS('Istoric_Nativ'!$H$6:$H$405,'Istoric_Nativ'!$B$6:$B$405,E303,'Istoric_Nativ'!$C$6:$C$405,F303,'Istoric_Nativ'!$F$6:$F$405,G303,'Istoric_Nativ'!$D$6:$D$405,"&lt;"&amp;J303,'Istoric_Nativ'!$P$6:$P$405,1,'Istoric_Nativ'!$D$6:$D$405,"&gt;="&amp;L303),SUMIFS('Istoric_Nativ'!$G$6:$G$405,'Istoric_Nativ'!$B$6:$B$405,E303,'Istoric_Nativ'!$C$6:$C$405,F303,'Istoric_Nativ'!$E$6:$E$405,G303,'Istoric_Nativ'!$D$6:$D$405,"&lt;"&amp;J303,'Istoric_Nativ'!$P$6:$P$405,1,'Istoric_Nativ'!$D$6:$D$405,"&gt;="&amp;L303)+SUMIFS('Istoric_Nativ'!$H$6:$H$405,'Istoric_Nativ'!$B$6:$B$405,E303,'Istoric_Nativ'!$C$6:$C$405,F303,'Istoric_Nativ'!$F$6:$F$405,G303,'Istoric_Nativ'!$D$6:$D$405,"&lt;"&amp;J303,'Istoric_Nativ'!$P$6:$P$405,1,'Istoric_Nativ'!$D$6:$D$405,"&gt;="&amp;L303)))/M303)</x:f>
      </x:c>
      <x:c r="O303" s="11" t="str">
        <x:f>IF(M303=0,"",IF(H303="HOME",SUMIFS('Istoric_Nativ'!$H$6:$H$405,'Istoric_Nativ'!$B$6:$B$405,E303,'Istoric_Nativ'!$C$6:$C$405,F303,'Istoric_Nativ'!$E$6:$E$405,G303,'Istoric_Nativ'!$D$6:$D$405,"&lt;"&amp;J303,'Istoric_Nativ'!$P$6:$P$405,1,'Istoric_Nativ'!$D$6:$D$405,"&gt;="&amp;L303),IF(H303="AWAY",SUMIFS('Istoric_Nativ'!$G$6:$G$405,'Istoric_Nativ'!$B$6:$B$405,E303,'Istoric_Nativ'!$C$6:$C$405,F303,'Istoric_Nativ'!$F$6:$F$405,G303,'Istoric_Nativ'!$D$6:$D$405,"&lt;"&amp;J303,'Istoric_Nativ'!$P$6:$P$405,1,'Istoric_Nativ'!$D$6:$D$405,"&gt;="&amp;L303),SUMIFS('Istoric_Nativ'!$H$6:$H$405,'Istoric_Nativ'!$B$6:$B$405,E303,'Istoric_Nativ'!$C$6:$C$405,F303,'Istoric_Nativ'!$E$6:$E$405,G303,'Istoric_Nativ'!$D$6:$D$405,"&lt;"&amp;J303,'Istoric_Nativ'!$P$6:$P$405,1,'Istoric_Nativ'!$D$6:$D$405,"&gt;="&amp;L303)+SUMIFS('Istoric_Nativ'!$G$6:$G$405,'Istoric_Nativ'!$B$6:$B$405,E303,'Istoric_Nativ'!$C$6:$C$405,F303,'Istoric_Nativ'!$F$6:$F$405,G303,'Istoric_Nativ'!$D$6:$D$405,"&lt;"&amp;J303,'Istoric_Nativ'!$P$6:$P$405,1,'Istoric_Nativ'!$D$6:$D$405,"&gt;="&amp;L303)))/M303)</x:f>
      </x:c>
      <x:c r="P303" s="2" t="n">
        <x:f>'Config_v6'!$B$7</x:f>
        <x:v>10</x:v>
      </x:c>
      <x:c r="Q303" s="2" t="n">
        <x:f>IF(OR(B303="",F303=""),0,IFERROR(MATCH(E303&amp;"|"&amp;F303,SourceTable[Source_Key],0),0))</x:f>
        <x:v>0</x:v>
      </x:c>
      <x:c r="R303" s="2" t="str">
        <x:f>IF(B303="","",IF(F303="","UNUSED",IF(Q303=0,"NOT CHECKED",IF(COUNTIF(SourceTable[Source_Key],E303&amp;"|"&amp;F303)&lt;&gt;1,"SOURCE CONFLICT",IF(NOT(OR(INDEX(SourceTable[Status],MAX(1,Q303))="IMPORTED",INDEX(SourceTable[Status],MAX(1,Q303))="PARTIAL",INDEX(SourceTable[Status],MAX(1,Q303))="SOURCE CONFLICT")),"ACCESS BLOCKED",IF(OR(INDEX(SourceTable[Coverage],Q303)&lt;&gt;"FULL SEASON EXPORT",INDEX(SourceTable[URL],Q303)="",INDEX(SourceTable[SHA256],Q303)=""),"EVIDENCE INCOMPLETE",IF(AND('Input_Meci'!H30="LIVE",INDEX(SourceTable[Retrieved_UTC],Q303)&gt;'Input_Meci'!G30),"POST CUTOFF","CLOSED")))))))</x:f>
      </x:c>
      <x:c r="S303" s="2" t="n">
        <x:f>IF(OR(B303="",F303=""),0,COUNTIFS('Istoric_Nativ'!$B$6:$B$405,E303,'Istoric_Nativ'!$C$6:$C$405,F303,'Istoric_Nativ'!$E$6:$E$405,G303,'Istoric_Nativ'!$D$6:$D$405,"&lt;"&amp;J303,'Istoric_Nativ'!$O$6:$O$405,"INVALID")+COUNTIFS('Istoric_Nativ'!$B$6:$B$405,E303,'Istoric_Nativ'!$C$6:$C$405,F303,'Istoric_Nativ'!$E$6:$E$405,G303,'Istoric_Nativ'!$O$6:$O$405,"INVALID",'Istoric_Nativ'!$D$6:$D$405,"*")+COUNTIFS('Istoric_Nativ'!$B$6:$B$405,E303,'Istoric_Nativ'!$C$6:$C$405,F303,'Istoric_Nativ'!$E$6:$E$405,G303,'Istoric_Nativ'!$D$6:$D$405,"&lt;"&amp;J303,'Istoric_Nativ'!$O$6:$O$405,"SOURCE CONFLICT")+COUNTIFS('Istoric_Nativ'!$B$6:$B$405,E303,'Istoric_Nativ'!$C$6:$C$405,F303,'Istoric_Nativ'!$F$6:$F$405,G303,'Istoric_Nativ'!$D$6:$D$405,"&lt;"&amp;J303,'Istoric_Nativ'!$O$6:$O$405,"INVALID")+COUNTIFS('Istoric_Nativ'!$B$6:$B$405,E303,'Istoric_Nativ'!$C$6:$C$405,F303,'Istoric_Nativ'!$F$6:$F$405,G303,'Istoric_Nativ'!$O$6:$O$405,"INVALID",'Istoric_Nativ'!$D$6:$D$405,"*")+COUNTIFS('Istoric_Nativ'!$B$6:$B$405,E303,'Istoric_Nativ'!$C$6:$C$405,F303,'Istoric_Nativ'!$F$6:$F$405,G303,'Istoric_Nativ'!$D$6:$D$405,"&lt;"&amp;J303,'Istoric_Nativ'!$O$6:$O$405,"SOURCE CONFLICT"))</x:f>
        <x:v>0</x:v>
      </x:c>
      <x:c r="T303" s="2" t="str">
        <x:f>IF(B303="","",IF(R303&lt;&gt;"CLOSED",R303,IF(S303&gt;0,"NATIVE INPUT ISSUE",IF(M303=0,"NO HISTORY",IF(M303&lt;P303,"SMALL SAMPLE","DERIVED")))))</x:f>
      </x:c>
      <x:c r="U303" s="2" t="str">
        <x:f>IF(B303="","","NativeTable; "&amp;E303&amp;"; "&amp;F303&amp;"; "&amp;G303&amp;"; "&amp;H303&amp;"; before "&amp;TEXT(J303,"yyyy-mm-dd")&amp;IF(I303="RECENT","; from "&amp;TEXT(L303,"yyyy-mm-dd"),""))</x:f>
      </x:c>
    </x:row>
    <x:row r="304" ht="21" customHeight="1">
      <x:c r="A304" s="2" t="n">
        <x:v>25</x:v>
      </x:c>
      <x:c r="B304" s="2" t="str">
        <x:f>IF('Input_Meci'!A30="","",'Input_Meci'!A30)</x:f>
      </x:c>
      <x:c r="C304" s="2" t="str">
        <x:v>A</x:v>
      </x:c>
      <x:c r="D304" s="2" t="str">
        <x:v>PRIOR</x:v>
      </x:c>
      <x:c r="E304" s="2" t="str">
        <x:f>IF(B304="","",'Input_Meci'!B30)</x:f>
      </x:c>
      <x:c r="F304" s="2" t="str">
        <x:f>IF(B304="","",IF('Input_Meci'!K30="","",'Input_Meci'!K30))</x:f>
      </x:c>
      <x:c r="G304" s="2" t="str">
        <x:f>IF(B304="","",'Input_Meci'!E30)</x:f>
      </x:c>
      <x:c r="H304" s="2" t="str">
        <x:v>AWAY</x:v>
      </x:c>
      <x:c r="I304" s="2" t="str">
        <x:v>HA</x:v>
      </x:c>
      <x:c r="J304" s="9" t="n">
        <x:f>IF(AND(B304&lt;&gt;"",ISNUMBER('Input_Meci'!G30)),INT('Input_Meci'!G30),0)</x:f>
        <x:v>0</x:v>
      </x:c>
      <x:c r="K304" s="2" t="n">
        <x:f>IF(OR(B304="",F304=""),0,IF(H304="HOME",COUNTIFS('Istoric_Nativ'!$B$6:$B$405,E304,'Istoric_Nativ'!$C$6:$C$405,F304,'Istoric_Nativ'!$E$6:$E$405,G304,'Istoric_Nativ'!$D$6:$D$405,"&lt;"&amp;J304,'Istoric_Nativ'!$P$6:$P$405,1),IF(H304="AWAY",COUNTIFS('Istoric_Nativ'!$B$6:$B$405,E304,'Istoric_Nativ'!$C$6:$C$405,F304,'Istoric_Nativ'!$F$6:$F$405,G304,'Istoric_Nativ'!$D$6:$D$405,"&lt;"&amp;J304,'Istoric_Nativ'!$P$6:$P$405,1),COUNTIFS('Istoric_Nativ'!$B$6:$B$405,E304,'Istoric_Nativ'!$C$6:$C$405,F304,'Istoric_Nativ'!$E$6:$E$405,G304,'Istoric_Nativ'!$D$6:$D$405,"&lt;"&amp;J304,'Istoric_Nativ'!$P$6:$P$405,1)+COUNTIFS('Istoric_Nativ'!$B$6:$B$405,E304,'Istoric_Nativ'!$C$6:$C$405,F304,'Istoric_Nativ'!$F$6:$F$405,G304,'Istoric_Nativ'!$D$6:$D$405,"&lt;"&amp;J304,'Istoric_Nativ'!$P$6:$P$405,1))))</x:f>
        <x:v>0</x:v>
      </x:c>
      <x:c r="L304" s="17" t="n">
        <x:f>IF(AND(B304&lt;&gt;"",I304="RECENT",K304&gt;0),LARGE(_xlfn._xlws.FILTER('Istoric_Nativ'!$D$6:$D$405,('Istoric_Nativ'!$B$6:$B$405=E304)*('Istoric_Nativ'!$C$6:$C$405=F304)*('Istoric_Nativ'!$P$6:$P$405=1)*('Istoric_Nativ'!$D$6:$D$405&lt;J304)*((('Istoric_Nativ'!$E$6:$E$405=G304)+('Istoric_Nativ'!$F$6:$F$405=G304))&gt;0)),MIN('Config_v6'!$B$54,K304)),0)</x:f>
        <x:v>0</x:v>
      </x:c>
      <x:c r="M304" s="2" t="n">
        <x:f>IF(OR(B304="",F304=""),0,IF(H304="HOME",COUNTIFS('Istoric_Nativ'!$B$6:$B$405,E304,'Istoric_Nativ'!$C$6:$C$405,F304,'Istoric_Nativ'!$E$6:$E$405,G304,'Istoric_Nativ'!$D$6:$D$405,"&lt;"&amp;J304,'Istoric_Nativ'!$P$6:$P$405,1,'Istoric_Nativ'!$D$6:$D$405,"&gt;="&amp;L304),IF(H304="AWAY",COUNTIFS('Istoric_Nativ'!$B$6:$B$405,E304,'Istoric_Nativ'!$C$6:$C$405,F304,'Istoric_Nativ'!$F$6:$F$405,G304,'Istoric_Nativ'!$D$6:$D$405,"&lt;"&amp;J304,'Istoric_Nativ'!$P$6:$P$405,1,'Istoric_Nativ'!$D$6:$D$405,"&gt;="&amp;L304),COUNTIFS('Istoric_Nativ'!$B$6:$B$405,E304,'Istoric_Nativ'!$C$6:$C$405,F304,'Istoric_Nativ'!$E$6:$E$405,G304,'Istoric_Nativ'!$D$6:$D$405,"&lt;"&amp;J304,'Istoric_Nativ'!$P$6:$P$405,1,'Istoric_Nativ'!$D$6:$D$405,"&gt;="&amp;L304)+COUNTIFS('Istoric_Nativ'!$B$6:$B$405,E304,'Istoric_Nativ'!$C$6:$C$405,F304,'Istoric_Nativ'!$F$6:$F$405,G304,'Istoric_Nativ'!$D$6:$D$405,"&lt;"&amp;J304,'Istoric_Nativ'!$P$6:$P$405,1,'Istoric_Nativ'!$D$6:$D$405,"&gt;="&amp;L304))))</x:f>
        <x:v>0</x:v>
      </x:c>
      <x:c r="N304" s="11" t="str">
        <x:f>IF(M304=0,"",IF(H304="HOME",SUMIFS('Istoric_Nativ'!$G$6:$G$405,'Istoric_Nativ'!$B$6:$B$405,E304,'Istoric_Nativ'!$C$6:$C$405,F304,'Istoric_Nativ'!$E$6:$E$405,G304,'Istoric_Nativ'!$D$6:$D$405,"&lt;"&amp;J304,'Istoric_Nativ'!$P$6:$P$405,1,'Istoric_Nativ'!$D$6:$D$405,"&gt;="&amp;L304),IF(H304="AWAY",SUMIFS('Istoric_Nativ'!$H$6:$H$405,'Istoric_Nativ'!$B$6:$B$405,E304,'Istoric_Nativ'!$C$6:$C$405,F304,'Istoric_Nativ'!$F$6:$F$405,G304,'Istoric_Nativ'!$D$6:$D$405,"&lt;"&amp;J304,'Istoric_Nativ'!$P$6:$P$405,1,'Istoric_Nativ'!$D$6:$D$405,"&gt;="&amp;L304),SUMIFS('Istoric_Nativ'!$G$6:$G$405,'Istoric_Nativ'!$B$6:$B$405,E304,'Istoric_Nativ'!$C$6:$C$405,F304,'Istoric_Nativ'!$E$6:$E$405,G304,'Istoric_Nativ'!$D$6:$D$405,"&lt;"&amp;J304,'Istoric_Nativ'!$P$6:$P$405,1,'Istoric_Nativ'!$D$6:$D$405,"&gt;="&amp;L304)+SUMIFS('Istoric_Nativ'!$H$6:$H$405,'Istoric_Nativ'!$B$6:$B$405,E304,'Istoric_Nativ'!$C$6:$C$405,F304,'Istoric_Nativ'!$F$6:$F$405,G304,'Istoric_Nativ'!$D$6:$D$405,"&lt;"&amp;J304,'Istoric_Nativ'!$P$6:$P$405,1,'Istoric_Nativ'!$D$6:$D$405,"&gt;="&amp;L304)))/M304)</x:f>
      </x:c>
      <x:c r="O304" s="11" t="str">
        <x:f>IF(M304=0,"",IF(H304="HOME",SUMIFS('Istoric_Nativ'!$H$6:$H$405,'Istoric_Nativ'!$B$6:$B$405,E304,'Istoric_Nativ'!$C$6:$C$405,F304,'Istoric_Nativ'!$E$6:$E$405,G304,'Istoric_Nativ'!$D$6:$D$405,"&lt;"&amp;J304,'Istoric_Nativ'!$P$6:$P$405,1,'Istoric_Nativ'!$D$6:$D$405,"&gt;="&amp;L304),IF(H304="AWAY",SUMIFS('Istoric_Nativ'!$G$6:$G$405,'Istoric_Nativ'!$B$6:$B$405,E304,'Istoric_Nativ'!$C$6:$C$405,F304,'Istoric_Nativ'!$F$6:$F$405,G304,'Istoric_Nativ'!$D$6:$D$405,"&lt;"&amp;J304,'Istoric_Nativ'!$P$6:$P$405,1,'Istoric_Nativ'!$D$6:$D$405,"&gt;="&amp;L304),SUMIFS('Istoric_Nativ'!$H$6:$H$405,'Istoric_Nativ'!$B$6:$B$405,E304,'Istoric_Nativ'!$C$6:$C$405,F304,'Istoric_Nativ'!$E$6:$E$405,G304,'Istoric_Nativ'!$D$6:$D$405,"&lt;"&amp;J304,'Istoric_Nativ'!$P$6:$P$405,1,'Istoric_Nativ'!$D$6:$D$405,"&gt;="&amp;L304)+SUMIFS('Istoric_Nativ'!$G$6:$G$405,'Istoric_Nativ'!$B$6:$B$405,E304,'Istoric_Nativ'!$C$6:$C$405,F304,'Istoric_Nativ'!$F$6:$F$405,G304,'Istoric_Nativ'!$D$6:$D$405,"&lt;"&amp;J304,'Istoric_Nativ'!$P$6:$P$405,1,'Istoric_Nativ'!$D$6:$D$405,"&gt;="&amp;L304)))/M304)</x:f>
      </x:c>
      <x:c r="P304" s="2" t="n">
        <x:f>'Config_v6'!$B$8</x:f>
        <x:v>5</x:v>
      </x:c>
      <x:c r="Q304" s="2" t="n">
        <x:f>IF(OR(B304="",F304=""),0,IFERROR(MATCH(E304&amp;"|"&amp;F304,SourceTable[Source_Key],0),0))</x:f>
        <x:v>0</x:v>
      </x:c>
      <x:c r="R304" s="2" t="str">
        <x:f>IF(B304="","",IF(F304="","UNUSED",IF(Q304=0,"NOT CHECKED",IF(COUNTIF(SourceTable[Source_Key],E304&amp;"|"&amp;F304)&lt;&gt;1,"SOURCE CONFLICT",IF(NOT(OR(INDEX(SourceTable[Status],MAX(1,Q304))="IMPORTED",INDEX(SourceTable[Status],MAX(1,Q304))="PARTIAL",INDEX(SourceTable[Status],MAX(1,Q304))="SOURCE CONFLICT")),"ACCESS BLOCKED",IF(OR(INDEX(SourceTable[Coverage],Q304)&lt;&gt;"FULL SEASON EXPORT",INDEX(SourceTable[URL],Q304)="",INDEX(SourceTable[SHA256],Q304)=""),"EVIDENCE INCOMPLETE",IF(AND('Input_Meci'!H30="LIVE",INDEX(SourceTable[Retrieved_UTC],Q304)&gt;'Input_Meci'!G30),"POST CUTOFF","CLOSED")))))))</x:f>
      </x:c>
      <x:c r="S304" s="2" t="n">
        <x:f>IF(OR(B304="",F304=""),0,COUNTIFS('Istoric_Nativ'!$B$6:$B$405,E304,'Istoric_Nativ'!$C$6:$C$405,F304,'Istoric_Nativ'!$E$6:$E$405,G304,'Istoric_Nativ'!$D$6:$D$405,"&lt;"&amp;J304,'Istoric_Nativ'!$O$6:$O$405,"INVALID")+COUNTIFS('Istoric_Nativ'!$B$6:$B$405,E304,'Istoric_Nativ'!$C$6:$C$405,F304,'Istoric_Nativ'!$E$6:$E$405,G304,'Istoric_Nativ'!$O$6:$O$405,"INVALID",'Istoric_Nativ'!$D$6:$D$405,"*")+COUNTIFS('Istoric_Nativ'!$B$6:$B$405,E304,'Istoric_Nativ'!$C$6:$C$405,F304,'Istoric_Nativ'!$E$6:$E$405,G304,'Istoric_Nativ'!$D$6:$D$405,"&lt;"&amp;J304,'Istoric_Nativ'!$O$6:$O$405,"SOURCE CONFLICT")+COUNTIFS('Istoric_Nativ'!$B$6:$B$405,E304,'Istoric_Nativ'!$C$6:$C$405,F304,'Istoric_Nativ'!$F$6:$F$405,G304,'Istoric_Nativ'!$D$6:$D$405,"&lt;"&amp;J304,'Istoric_Nativ'!$O$6:$O$405,"INVALID")+COUNTIFS('Istoric_Nativ'!$B$6:$B$405,E304,'Istoric_Nativ'!$C$6:$C$405,F304,'Istoric_Nativ'!$F$6:$F$405,G304,'Istoric_Nativ'!$O$6:$O$405,"INVALID",'Istoric_Nativ'!$D$6:$D$405,"*")+COUNTIFS('Istoric_Nativ'!$B$6:$B$405,E304,'Istoric_Nativ'!$C$6:$C$405,F304,'Istoric_Nativ'!$F$6:$F$405,G304,'Istoric_Nativ'!$D$6:$D$405,"&lt;"&amp;J304,'Istoric_Nativ'!$O$6:$O$405,"SOURCE CONFLICT"))</x:f>
        <x:v>0</x:v>
      </x:c>
      <x:c r="T304" s="2" t="str">
        <x:f>IF(B304="","",IF(R304&lt;&gt;"CLOSED",R304,IF(S304&gt;0,"NATIVE INPUT ISSUE",IF(M304=0,"NO HISTORY",IF(M304&lt;P304,"SMALL SAMPLE","DERIVED")))))</x:f>
      </x:c>
      <x:c r="U304" s="2" t="str">
        <x:f>IF(B304="","","NativeTable; "&amp;E304&amp;"; "&amp;F304&amp;"; "&amp;G304&amp;"; "&amp;H304&amp;"; before "&amp;TEXT(J304,"yyyy-mm-dd")&amp;IF(I304="RECENT","; from "&amp;TEXT(L304,"yyyy-mm-dd"),""))</x:f>
      </x:c>
    </x:row>
    <x:row r="305" ht="21" customHeight="1">
      <x:c r="A305" s="2" t="n">
        <x:v>25</x:v>
      </x:c>
      <x:c r="B305" s="2" t="str">
        <x:f>IF('Input_Meci'!A30="","",'Input_Meci'!A30)</x:f>
      </x:c>
      <x:c r="C305" s="2" t="str">
        <x:v>A</x:v>
      </x:c>
      <x:c r="D305" s="2" t="str">
        <x:v>PRIOR</x:v>
      </x:c>
      <x:c r="E305" s="2" t="str">
        <x:f>IF(B305="","",'Input_Meci'!B30)</x:f>
      </x:c>
      <x:c r="F305" s="2" t="str">
        <x:f>IF(B305="","",IF('Input_Meci'!K30="","",'Input_Meci'!K30))</x:f>
      </x:c>
      <x:c r="G305" s="2" t="str">
        <x:f>IF(B305="","",'Input_Meci'!E30)</x:f>
      </x:c>
      <x:c r="H305" s="2" t="str">
        <x:v>ANY</x:v>
      </x:c>
      <x:c r="I305" s="2" t="str">
        <x:v>RECENT</x:v>
      </x:c>
      <x:c r="J305" s="9" t="n">
        <x:f>IF(AND(B305&lt;&gt;"",ISNUMBER('Input_Meci'!G30)),INT('Input_Meci'!G30),0)</x:f>
        <x:v>0</x:v>
      </x:c>
      <x:c r="K305" s="2" t="n">
        <x:f>IF(OR(B305="",F305=""),0,IF(H305="HOME",COUNTIFS('Istoric_Nativ'!$B$6:$B$405,E305,'Istoric_Nativ'!$C$6:$C$405,F305,'Istoric_Nativ'!$E$6:$E$405,G305,'Istoric_Nativ'!$D$6:$D$405,"&lt;"&amp;J305,'Istoric_Nativ'!$P$6:$P$405,1),IF(H305="AWAY",COUNTIFS('Istoric_Nativ'!$B$6:$B$405,E305,'Istoric_Nativ'!$C$6:$C$405,F305,'Istoric_Nativ'!$F$6:$F$405,G305,'Istoric_Nativ'!$D$6:$D$405,"&lt;"&amp;J305,'Istoric_Nativ'!$P$6:$P$405,1),COUNTIFS('Istoric_Nativ'!$B$6:$B$405,E305,'Istoric_Nativ'!$C$6:$C$405,F305,'Istoric_Nativ'!$E$6:$E$405,G305,'Istoric_Nativ'!$D$6:$D$405,"&lt;"&amp;J305,'Istoric_Nativ'!$P$6:$P$405,1)+COUNTIFS('Istoric_Nativ'!$B$6:$B$405,E305,'Istoric_Nativ'!$C$6:$C$405,F305,'Istoric_Nativ'!$F$6:$F$405,G305,'Istoric_Nativ'!$D$6:$D$405,"&lt;"&amp;J305,'Istoric_Nativ'!$P$6:$P$405,1))))</x:f>
        <x:v>0</x:v>
      </x:c>
      <x:c r="L305" s="17" t="n">
        <x:f>IF(AND(B305&lt;&gt;"",I305="RECENT",K305&gt;0),LARGE(_xlfn._xlws.FILTER('Istoric_Nativ'!$D$6:$D$405,('Istoric_Nativ'!$B$6:$B$405=E305)*('Istoric_Nativ'!$C$6:$C$405=F305)*('Istoric_Nativ'!$P$6:$P$405=1)*('Istoric_Nativ'!$D$6:$D$405&lt;J305)*((('Istoric_Nativ'!$E$6:$E$405=G305)+('Istoric_Nativ'!$F$6:$F$405=G305))&gt;0)),MIN('Config_v6'!$B$54,K305)),0)</x:f>
        <x:v>0</x:v>
      </x:c>
      <x:c r="M305" s="2" t="n">
        <x:f>IF(OR(B305="",F305=""),0,IF(H305="HOME",COUNTIFS('Istoric_Nativ'!$B$6:$B$405,E305,'Istoric_Nativ'!$C$6:$C$405,F305,'Istoric_Nativ'!$E$6:$E$405,G305,'Istoric_Nativ'!$D$6:$D$405,"&lt;"&amp;J305,'Istoric_Nativ'!$P$6:$P$405,1,'Istoric_Nativ'!$D$6:$D$405,"&gt;="&amp;L305),IF(H305="AWAY",COUNTIFS('Istoric_Nativ'!$B$6:$B$405,E305,'Istoric_Nativ'!$C$6:$C$405,F305,'Istoric_Nativ'!$F$6:$F$405,G305,'Istoric_Nativ'!$D$6:$D$405,"&lt;"&amp;J305,'Istoric_Nativ'!$P$6:$P$405,1,'Istoric_Nativ'!$D$6:$D$405,"&gt;="&amp;L305),COUNTIFS('Istoric_Nativ'!$B$6:$B$405,E305,'Istoric_Nativ'!$C$6:$C$405,F305,'Istoric_Nativ'!$E$6:$E$405,G305,'Istoric_Nativ'!$D$6:$D$405,"&lt;"&amp;J305,'Istoric_Nativ'!$P$6:$P$405,1,'Istoric_Nativ'!$D$6:$D$405,"&gt;="&amp;L305)+COUNTIFS('Istoric_Nativ'!$B$6:$B$405,E305,'Istoric_Nativ'!$C$6:$C$405,F305,'Istoric_Nativ'!$F$6:$F$405,G305,'Istoric_Nativ'!$D$6:$D$405,"&lt;"&amp;J305,'Istoric_Nativ'!$P$6:$P$405,1,'Istoric_Nativ'!$D$6:$D$405,"&gt;="&amp;L305))))</x:f>
        <x:v>0</x:v>
      </x:c>
      <x:c r="N305" s="11" t="str">
        <x:f>IF(M305=0,"",IF(H305="HOME",SUMIFS('Istoric_Nativ'!$G$6:$G$405,'Istoric_Nativ'!$B$6:$B$405,E305,'Istoric_Nativ'!$C$6:$C$405,F305,'Istoric_Nativ'!$E$6:$E$405,G305,'Istoric_Nativ'!$D$6:$D$405,"&lt;"&amp;J305,'Istoric_Nativ'!$P$6:$P$405,1,'Istoric_Nativ'!$D$6:$D$405,"&gt;="&amp;L305),IF(H305="AWAY",SUMIFS('Istoric_Nativ'!$H$6:$H$405,'Istoric_Nativ'!$B$6:$B$405,E305,'Istoric_Nativ'!$C$6:$C$405,F305,'Istoric_Nativ'!$F$6:$F$405,G305,'Istoric_Nativ'!$D$6:$D$405,"&lt;"&amp;J305,'Istoric_Nativ'!$P$6:$P$405,1,'Istoric_Nativ'!$D$6:$D$405,"&gt;="&amp;L305),SUMIFS('Istoric_Nativ'!$G$6:$G$405,'Istoric_Nativ'!$B$6:$B$405,E305,'Istoric_Nativ'!$C$6:$C$405,F305,'Istoric_Nativ'!$E$6:$E$405,G305,'Istoric_Nativ'!$D$6:$D$405,"&lt;"&amp;J305,'Istoric_Nativ'!$P$6:$P$405,1,'Istoric_Nativ'!$D$6:$D$405,"&gt;="&amp;L305)+SUMIFS('Istoric_Nativ'!$H$6:$H$405,'Istoric_Nativ'!$B$6:$B$405,E305,'Istoric_Nativ'!$C$6:$C$405,F305,'Istoric_Nativ'!$F$6:$F$405,G305,'Istoric_Nativ'!$D$6:$D$405,"&lt;"&amp;J305,'Istoric_Nativ'!$P$6:$P$405,1,'Istoric_Nativ'!$D$6:$D$405,"&gt;="&amp;L305)))/M305)</x:f>
      </x:c>
      <x:c r="O305" s="11" t="str">
        <x:f>IF(M305=0,"",IF(H305="HOME",SUMIFS('Istoric_Nativ'!$H$6:$H$405,'Istoric_Nativ'!$B$6:$B$405,E305,'Istoric_Nativ'!$C$6:$C$405,F305,'Istoric_Nativ'!$E$6:$E$405,G305,'Istoric_Nativ'!$D$6:$D$405,"&lt;"&amp;J305,'Istoric_Nativ'!$P$6:$P$405,1,'Istoric_Nativ'!$D$6:$D$405,"&gt;="&amp;L305),IF(H305="AWAY",SUMIFS('Istoric_Nativ'!$G$6:$G$405,'Istoric_Nativ'!$B$6:$B$405,E305,'Istoric_Nativ'!$C$6:$C$405,F305,'Istoric_Nativ'!$F$6:$F$405,G305,'Istoric_Nativ'!$D$6:$D$405,"&lt;"&amp;J305,'Istoric_Nativ'!$P$6:$P$405,1,'Istoric_Nativ'!$D$6:$D$405,"&gt;="&amp;L305),SUMIFS('Istoric_Nativ'!$H$6:$H$405,'Istoric_Nativ'!$B$6:$B$405,E305,'Istoric_Nativ'!$C$6:$C$405,F305,'Istoric_Nativ'!$E$6:$E$405,G305,'Istoric_Nativ'!$D$6:$D$405,"&lt;"&amp;J305,'Istoric_Nativ'!$P$6:$P$405,1,'Istoric_Nativ'!$D$6:$D$405,"&gt;="&amp;L305)+SUMIFS('Istoric_Nativ'!$G$6:$G$405,'Istoric_Nativ'!$B$6:$B$405,E305,'Istoric_Nativ'!$C$6:$C$405,F305,'Istoric_Nativ'!$F$6:$F$405,G305,'Istoric_Nativ'!$D$6:$D$405,"&lt;"&amp;J305,'Istoric_Nativ'!$P$6:$P$405,1,'Istoric_Nativ'!$D$6:$D$405,"&gt;="&amp;L305)))/M305)</x:f>
      </x:c>
      <x:c r="P305" s="2" t="n">
        <x:f>'Config_v6'!$B$9</x:f>
        <x:v>3</x:v>
      </x:c>
      <x:c r="Q305" s="2" t="n">
        <x:f>IF(OR(B305="",F305=""),0,IFERROR(MATCH(E305&amp;"|"&amp;F305,SourceTable[Source_Key],0),0))</x:f>
        <x:v>0</x:v>
      </x:c>
      <x:c r="R305" s="2" t="str">
        <x:f>IF(B305="","",IF(F305="","UNUSED",IF(Q305=0,"NOT CHECKED",IF(COUNTIF(SourceTable[Source_Key],E305&amp;"|"&amp;F305)&lt;&gt;1,"SOURCE CONFLICT",IF(NOT(OR(INDEX(SourceTable[Status],MAX(1,Q305))="IMPORTED",INDEX(SourceTable[Status],MAX(1,Q305))="PARTIAL",INDEX(SourceTable[Status],MAX(1,Q305))="SOURCE CONFLICT")),"ACCESS BLOCKED",IF(OR(INDEX(SourceTable[Coverage],Q305)&lt;&gt;"FULL SEASON EXPORT",INDEX(SourceTable[URL],Q305)="",INDEX(SourceTable[SHA256],Q305)=""),"EVIDENCE INCOMPLETE",IF(AND('Input_Meci'!H30="LIVE",INDEX(SourceTable[Retrieved_UTC],Q305)&gt;'Input_Meci'!G30),"POST CUTOFF","CLOSED")))))))</x:f>
      </x:c>
      <x:c r="S305" s="2" t="n">
        <x:f>IF(OR(B305="",F305=""),0,COUNTIFS('Istoric_Nativ'!$B$6:$B$405,E305,'Istoric_Nativ'!$C$6:$C$405,F305,'Istoric_Nativ'!$E$6:$E$405,G305,'Istoric_Nativ'!$D$6:$D$405,"&lt;"&amp;J305,'Istoric_Nativ'!$O$6:$O$405,"INVALID")+COUNTIFS('Istoric_Nativ'!$B$6:$B$405,E305,'Istoric_Nativ'!$C$6:$C$405,F305,'Istoric_Nativ'!$E$6:$E$405,G305,'Istoric_Nativ'!$O$6:$O$405,"INVALID",'Istoric_Nativ'!$D$6:$D$405,"*")+COUNTIFS('Istoric_Nativ'!$B$6:$B$405,E305,'Istoric_Nativ'!$C$6:$C$405,F305,'Istoric_Nativ'!$E$6:$E$405,G305,'Istoric_Nativ'!$D$6:$D$405,"&lt;"&amp;J305,'Istoric_Nativ'!$O$6:$O$405,"SOURCE CONFLICT")+COUNTIFS('Istoric_Nativ'!$B$6:$B$405,E305,'Istoric_Nativ'!$C$6:$C$405,F305,'Istoric_Nativ'!$F$6:$F$405,G305,'Istoric_Nativ'!$D$6:$D$405,"&lt;"&amp;J305,'Istoric_Nativ'!$O$6:$O$405,"INVALID")+COUNTIFS('Istoric_Nativ'!$B$6:$B$405,E305,'Istoric_Nativ'!$C$6:$C$405,F305,'Istoric_Nativ'!$F$6:$F$405,G305,'Istoric_Nativ'!$O$6:$O$405,"INVALID",'Istoric_Nativ'!$D$6:$D$405,"*")+COUNTIFS('Istoric_Nativ'!$B$6:$B$405,E305,'Istoric_Nativ'!$C$6:$C$405,F305,'Istoric_Nativ'!$F$6:$F$405,G305,'Istoric_Nativ'!$D$6:$D$405,"&lt;"&amp;J305,'Istoric_Nativ'!$O$6:$O$405,"SOURCE CONFLICT"))</x:f>
        <x:v>0</x:v>
      </x:c>
      <x:c r="T305" s="2" t="str">
        <x:f>IF(B305="","",IF(R305&lt;&gt;"CLOSED",R305,IF(S305&gt;0,"NATIVE INPUT ISSUE",IF(M305=0,"NO HISTORY",IF(M305&lt;P305,"SMALL SAMPLE","DERIVED")))))</x:f>
      </x:c>
      <x:c r="U305" s="2" t="str">
        <x:f>IF(B305="","","NativeTable; "&amp;E305&amp;"; "&amp;F305&amp;"; "&amp;G305&amp;"; "&amp;H305&amp;"; before "&amp;TEXT(J305,"yyyy-mm-dd")&amp;IF(I305="RECENT","; from "&amp;TEXT(L305,"yyyy-mm-dd"),""))</x:f>
      </x:c>
    </x:row>
    <x:row r="306" ht="21" customHeight="1">
      <x:c r="A306" s="2" t="n">
        <x:v>26</x:v>
      </x:c>
      <x:c r="B306" s="2" t="str">
        <x:f>IF('Input_Meci'!A31="","",'Input_Meci'!A31)</x:f>
      </x:c>
      <x:c r="C306" s="2" t="str">
        <x:v>H</x:v>
      </x:c>
      <x:c r="D306" s="2" t="str">
        <x:v>CURRENT</x:v>
      </x:c>
      <x:c r="E306" s="2" t="str">
        <x:f>IF(B306="","",'Input_Meci'!B31)</x:f>
      </x:c>
      <x:c r="F306" s="2" t="str">
        <x:f>IF(B306="","",IF('Input_Meci'!C31="","",'Input_Meci'!C31))</x:f>
      </x:c>
      <x:c r="G306" s="2" t="str">
        <x:f>IF(B306="","",'Input_Meci'!D31)</x:f>
      </x:c>
      <x:c r="H306" s="2" t="str">
        <x:v>ANY</x:v>
      </x:c>
      <x:c r="I306" s="2" t="str">
        <x:v>SEASON</x:v>
      </x:c>
      <x:c r="J306" s="9" t="n">
        <x:f>IF(AND(B306&lt;&gt;"",ISNUMBER('Input_Meci'!G31)),INT('Input_Meci'!G31),0)</x:f>
        <x:v>0</x:v>
      </x:c>
      <x:c r="K306" s="2" t="n">
        <x:f>IF(OR(B306="",F306=""),0,IF(H306="HOME",COUNTIFS('Istoric_Nativ'!$B$6:$B$405,E306,'Istoric_Nativ'!$C$6:$C$405,F306,'Istoric_Nativ'!$E$6:$E$405,G306,'Istoric_Nativ'!$D$6:$D$405,"&lt;"&amp;J306,'Istoric_Nativ'!$P$6:$P$405,1),IF(H306="AWAY",COUNTIFS('Istoric_Nativ'!$B$6:$B$405,E306,'Istoric_Nativ'!$C$6:$C$405,F306,'Istoric_Nativ'!$F$6:$F$405,G306,'Istoric_Nativ'!$D$6:$D$405,"&lt;"&amp;J306,'Istoric_Nativ'!$P$6:$P$405,1),COUNTIFS('Istoric_Nativ'!$B$6:$B$405,E306,'Istoric_Nativ'!$C$6:$C$405,F306,'Istoric_Nativ'!$E$6:$E$405,G306,'Istoric_Nativ'!$D$6:$D$405,"&lt;"&amp;J306,'Istoric_Nativ'!$P$6:$P$405,1)+COUNTIFS('Istoric_Nativ'!$B$6:$B$405,E306,'Istoric_Nativ'!$C$6:$C$405,F306,'Istoric_Nativ'!$F$6:$F$405,G306,'Istoric_Nativ'!$D$6:$D$405,"&lt;"&amp;J306,'Istoric_Nativ'!$P$6:$P$405,1))))</x:f>
        <x:v>0</x:v>
      </x:c>
      <x:c r="L306" s="17" t="n">
        <x:f>IF(AND(B306&lt;&gt;"",I306="RECENT",K306&gt;0),LARGE(_xlfn._xlws.FILTER('Istoric_Nativ'!$D$6:$D$405,('Istoric_Nativ'!$B$6:$B$405=E306)*('Istoric_Nativ'!$C$6:$C$405=F306)*('Istoric_Nativ'!$P$6:$P$405=1)*('Istoric_Nativ'!$D$6:$D$405&lt;J306)*((('Istoric_Nativ'!$E$6:$E$405=G306)+('Istoric_Nativ'!$F$6:$F$405=G306))&gt;0)),MIN('Config_v6'!$B$54,K306)),0)</x:f>
        <x:v>0</x:v>
      </x:c>
      <x:c r="M306" s="2" t="n">
        <x:f>IF(OR(B306="",F306=""),0,IF(H306="HOME",COUNTIFS('Istoric_Nativ'!$B$6:$B$405,E306,'Istoric_Nativ'!$C$6:$C$405,F306,'Istoric_Nativ'!$E$6:$E$405,G306,'Istoric_Nativ'!$D$6:$D$405,"&lt;"&amp;J306,'Istoric_Nativ'!$P$6:$P$405,1,'Istoric_Nativ'!$D$6:$D$405,"&gt;="&amp;L306),IF(H306="AWAY",COUNTIFS('Istoric_Nativ'!$B$6:$B$405,E306,'Istoric_Nativ'!$C$6:$C$405,F306,'Istoric_Nativ'!$F$6:$F$405,G306,'Istoric_Nativ'!$D$6:$D$405,"&lt;"&amp;J306,'Istoric_Nativ'!$P$6:$P$405,1,'Istoric_Nativ'!$D$6:$D$405,"&gt;="&amp;L306),COUNTIFS('Istoric_Nativ'!$B$6:$B$405,E306,'Istoric_Nativ'!$C$6:$C$405,F306,'Istoric_Nativ'!$E$6:$E$405,G306,'Istoric_Nativ'!$D$6:$D$405,"&lt;"&amp;J306,'Istoric_Nativ'!$P$6:$P$405,1,'Istoric_Nativ'!$D$6:$D$405,"&gt;="&amp;L306)+COUNTIFS('Istoric_Nativ'!$B$6:$B$405,E306,'Istoric_Nativ'!$C$6:$C$405,F306,'Istoric_Nativ'!$F$6:$F$405,G306,'Istoric_Nativ'!$D$6:$D$405,"&lt;"&amp;J306,'Istoric_Nativ'!$P$6:$P$405,1,'Istoric_Nativ'!$D$6:$D$405,"&gt;="&amp;L306))))</x:f>
        <x:v>0</x:v>
      </x:c>
      <x:c r="N306" s="11" t="str">
        <x:f>IF(M306=0,"",IF(H306="HOME",SUMIFS('Istoric_Nativ'!$G$6:$G$405,'Istoric_Nativ'!$B$6:$B$405,E306,'Istoric_Nativ'!$C$6:$C$405,F306,'Istoric_Nativ'!$E$6:$E$405,G306,'Istoric_Nativ'!$D$6:$D$405,"&lt;"&amp;J306,'Istoric_Nativ'!$P$6:$P$405,1,'Istoric_Nativ'!$D$6:$D$405,"&gt;="&amp;L306),IF(H306="AWAY",SUMIFS('Istoric_Nativ'!$H$6:$H$405,'Istoric_Nativ'!$B$6:$B$405,E306,'Istoric_Nativ'!$C$6:$C$405,F306,'Istoric_Nativ'!$F$6:$F$405,G306,'Istoric_Nativ'!$D$6:$D$405,"&lt;"&amp;J306,'Istoric_Nativ'!$P$6:$P$405,1,'Istoric_Nativ'!$D$6:$D$405,"&gt;="&amp;L306),SUMIFS('Istoric_Nativ'!$G$6:$G$405,'Istoric_Nativ'!$B$6:$B$405,E306,'Istoric_Nativ'!$C$6:$C$405,F306,'Istoric_Nativ'!$E$6:$E$405,G306,'Istoric_Nativ'!$D$6:$D$405,"&lt;"&amp;J306,'Istoric_Nativ'!$P$6:$P$405,1,'Istoric_Nativ'!$D$6:$D$405,"&gt;="&amp;L306)+SUMIFS('Istoric_Nativ'!$H$6:$H$405,'Istoric_Nativ'!$B$6:$B$405,E306,'Istoric_Nativ'!$C$6:$C$405,F306,'Istoric_Nativ'!$F$6:$F$405,G306,'Istoric_Nativ'!$D$6:$D$405,"&lt;"&amp;J306,'Istoric_Nativ'!$P$6:$P$405,1,'Istoric_Nativ'!$D$6:$D$405,"&gt;="&amp;L306)))/M306)</x:f>
      </x:c>
      <x:c r="O306" s="11" t="str">
        <x:f>IF(M306=0,"",IF(H306="HOME",SUMIFS('Istoric_Nativ'!$H$6:$H$405,'Istoric_Nativ'!$B$6:$B$405,E306,'Istoric_Nativ'!$C$6:$C$405,F306,'Istoric_Nativ'!$E$6:$E$405,G306,'Istoric_Nativ'!$D$6:$D$405,"&lt;"&amp;J306,'Istoric_Nativ'!$P$6:$P$405,1,'Istoric_Nativ'!$D$6:$D$405,"&gt;="&amp;L306),IF(H306="AWAY",SUMIFS('Istoric_Nativ'!$G$6:$G$405,'Istoric_Nativ'!$B$6:$B$405,E306,'Istoric_Nativ'!$C$6:$C$405,F306,'Istoric_Nativ'!$F$6:$F$405,G306,'Istoric_Nativ'!$D$6:$D$405,"&lt;"&amp;J306,'Istoric_Nativ'!$P$6:$P$405,1,'Istoric_Nativ'!$D$6:$D$405,"&gt;="&amp;L306),SUMIFS('Istoric_Nativ'!$H$6:$H$405,'Istoric_Nativ'!$B$6:$B$405,E306,'Istoric_Nativ'!$C$6:$C$405,F306,'Istoric_Nativ'!$E$6:$E$405,G306,'Istoric_Nativ'!$D$6:$D$405,"&lt;"&amp;J306,'Istoric_Nativ'!$P$6:$P$405,1,'Istoric_Nativ'!$D$6:$D$405,"&gt;="&amp;L306)+SUMIFS('Istoric_Nativ'!$G$6:$G$405,'Istoric_Nativ'!$B$6:$B$405,E306,'Istoric_Nativ'!$C$6:$C$405,F306,'Istoric_Nativ'!$F$6:$F$405,G306,'Istoric_Nativ'!$D$6:$D$405,"&lt;"&amp;J306,'Istoric_Nativ'!$P$6:$P$405,1,'Istoric_Nativ'!$D$6:$D$405,"&gt;="&amp;L306)))/M306)</x:f>
      </x:c>
      <x:c r="P306" s="2" t="n">
        <x:f>'Config_v6'!$B$7</x:f>
        <x:v>10</x:v>
      </x:c>
      <x:c r="Q306" s="2" t="n">
        <x:f>IF(OR(B306="",F306=""),0,IFERROR(MATCH(E306&amp;"|"&amp;F306,SourceTable[Source_Key],0),0))</x:f>
        <x:v>0</x:v>
      </x:c>
      <x:c r="R306" s="2" t="str">
        <x:f>IF(B306="","",IF(F306="","UNUSED",IF(Q306=0,"NOT CHECKED",IF(COUNTIF(SourceTable[Source_Key],E306&amp;"|"&amp;F306)&lt;&gt;1,"SOURCE CONFLICT",IF(NOT(OR(INDEX(SourceTable[Status],MAX(1,Q306))="IMPORTED",INDEX(SourceTable[Status],MAX(1,Q306))="PARTIAL",INDEX(SourceTable[Status],MAX(1,Q306))="SOURCE CONFLICT")),"ACCESS BLOCKED",IF(OR(INDEX(SourceTable[Coverage],Q306)&lt;&gt;"FULL SEASON EXPORT",INDEX(SourceTable[URL],Q306)="",INDEX(SourceTable[SHA256],Q306)=""),"EVIDENCE INCOMPLETE",IF(AND('Input_Meci'!H31="LIVE",INDEX(SourceTable[Retrieved_UTC],Q306)&gt;'Input_Meci'!G31),"POST CUTOFF","CLOSED")))))))</x:f>
      </x:c>
      <x:c r="S306" s="2" t="n">
        <x:f>IF(OR(B306="",F306=""),0,COUNTIFS('Istoric_Nativ'!$B$6:$B$405,E306,'Istoric_Nativ'!$C$6:$C$405,F306,'Istoric_Nativ'!$E$6:$E$405,G306,'Istoric_Nativ'!$D$6:$D$405,"&lt;"&amp;J306,'Istoric_Nativ'!$O$6:$O$405,"INVALID")+COUNTIFS('Istoric_Nativ'!$B$6:$B$405,E306,'Istoric_Nativ'!$C$6:$C$405,F306,'Istoric_Nativ'!$E$6:$E$405,G306,'Istoric_Nativ'!$O$6:$O$405,"INVALID",'Istoric_Nativ'!$D$6:$D$405,"*")+COUNTIFS('Istoric_Nativ'!$B$6:$B$405,E306,'Istoric_Nativ'!$C$6:$C$405,F306,'Istoric_Nativ'!$E$6:$E$405,G306,'Istoric_Nativ'!$D$6:$D$405,"&lt;"&amp;J306,'Istoric_Nativ'!$O$6:$O$405,"SOURCE CONFLICT")+COUNTIFS('Istoric_Nativ'!$B$6:$B$405,E306,'Istoric_Nativ'!$C$6:$C$405,F306,'Istoric_Nativ'!$F$6:$F$405,G306,'Istoric_Nativ'!$D$6:$D$405,"&lt;"&amp;J306,'Istoric_Nativ'!$O$6:$O$405,"INVALID")+COUNTIFS('Istoric_Nativ'!$B$6:$B$405,E306,'Istoric_Nativ'!$C$6:$C$405,F306,'Istoric_Nativ'!$F$6:$F$405,G306,'Istoric_Nativ'!$O$6:$O$405,"INVALID",'Istoric_Nativ'!$D$6:$D$405,"*")+COUNTIFS('Istoric_Nativ'!$B$6:$B$405,E306,'Istoric_Nativ'!$C$6:$C$405,F306,'Istoric_Nativ'!$F$6:$F$405,G306,'Istoric_Nativ'!$D$6:$D$405,"&lt;"&amp;J306,'Istoric_Nativ'!$O$6:$O$405,"SOURCE CONFLICT"))</x:f>
        <x:v>0</x:v>
      </x:c>
      <x:c r="T306" s="2" t="str">
        <x:f>IF(B306="","",IF(R306&lt;&gt;"CLOSED",R306,IF(S306&gt;0,"NATIVE INPUT ISSUE",IF(M306=0,"NO HISTORY",IF(M306&lt;P306,"SMALL SAMPLE","DERIVED")))))</x:f>
      </x:c>
      <x:c r="U306" s="2" t="str">
        <x:f>IF(B306="","","NativeTable; "&amp;E306&amp;"; "&amp;F306&amp;"; "&amp;G306&amp;"; "&amp;H306&amp;"; before "&amp;TEXT(J306,"yyyy-mm-dd")&amp;IF(I306="RECENT","; from "&amp;TEXT(L306,"yyyy-mm-dd"),""))</x:f>
      </x:c>
    </x:row>
    <x:row r="307" ht="21" customHeight="1">
      <x:c r="A307" s="2" t="n">
        <x:v>26</x:v>
      </x:c>
      <x:c r="B307" s="2" t="str">
        <x:f>IF('Input_Meci'!A31="","",'Input_Meci'!A31)</x:f>
      </x:c>
      <x:c r="C307" s="2" t="str">
        <x:v>H</x:v>
      </x:c>
      <x:c r="D307" s="2" t="str">
        <x:v>CURRENT</x:v>
      </x:c>
      <x:c r="E307" s="2" t="str">
        <x:f>IF(B307="","",'Input_Meci'!B31)</x:f>
      </x:c>
      <x:c r="F307" s="2" t="str">
        <x:f>IF(B307="","",IF('Input_Meci'!C31="","",'Input_Meci'!C31))</x:f>
      </x:c>
      <x:c r="G307" s="2" t="str">
        <x:f>IF(B307="","",'Input_Meci'!D31)</x:f>
      </x:c>
      <x:c r="H307" s="2" t="str">
        <x:v>HOME</x:v>
      </x:c>
      <x:c r="I307" s="2" t="str">
        <x:v>HA</x:v>
      </x:c>
      <x:c r="J307" s="9" t="n">
        <x:f>IF(AND(B307&lt;&gt;"",ISNUMBER('Input_Meci'!G31)),INT('Input_Meci'!G31),0)</x:f>
        <x:v>0</x:v>
      </x:c>
      <x:c r="K307" s="2" t="n">
        <x:f>IF(OR(B307="",F307=""),0,IF(H307="HOME",COUNTIFS('Istoric_Nativ'!$B$6:$B$405,E307,'Istoric_Nativ'!$C$6:$C$405,F307,'Istoric_Nativ'!$E$6:$E$405,G307,'Istoric_Nativ'!$D$6:$D$405,"&lt;"&amp;J307,'Istoric_Nativ'!$P$6:$P$405,1),IF(H307="AWAY",COUNTIFS('Istoric_Nativ'!$B$6:$B$405,E307,'Istoric_Nativ'!$C$6:$C$405,F307,'Istoric_Nativ'!$F$6:$F$405,G307,'Istoric_Nativ'!$D$6:$D$405,"&lt;"&amp;J307,'Istoric_Nativ'!$P$6:$P$405,1),COUNTIFS('Istoric_Nativ'!$B$6:$B$405,E307,'Istoric_Nativ'!$C$6:$C$405,F307,'Istoric_Nativ'!$E$6:$E$405,G307,'Istoric_Nativ'!$D$6:$D$405,"&lt;"&amp;J307,'Istoric_Nativ'!$P$6:$P$405,1)+COUNTIFS('Istoric_Nativ'!$B$6:$B$405,E307,'Istoric_Nativ'!$C$6:$C$405,F307,'Istoric_Nativ'!$F$6:$F$405,G307,'Istoric_Nativ'!$D$6:$D$405,"&lt;"&amp;J307,'Istoric_Nativ'!$P$6:$P$405,1))))</x:f>
        <x:v>0</x:v>
      </x:c>
      <x:c r="L307" s="17" t="n">
        <x:f>IF(AND(B307&lt;&gt;"",I307="RECENT",K307&gt;0),LARGE(_xlfn._xlws.FILTER('Istoric_Nativ'!$D$6:$D$405,('Istoric_Nativ'!$B$6:$B$405=E307)*('Istoric_Nativ'!$C$6:$C$405=F307)*('Istoric_Nativ'!$P$6:$P$405=1)*('Istoric_Nativ'!$D$6:$D$405&lt;J307)*((('Istoric_Nativ'!$E$6:$E$405=G307)+('Istoric_Nativ'!$F$6:$F$405=G307))&gt;0)),MIN('Config_v6'!$B$54,K307)),0)</x:f>
        <x:v>0</x:v>
      </x:c>
      <x:c r="M307" s="2" t="n">
        <x:f>IF(OR(B307="",F307=""),0,IF(H307="HOME",COUNTIFS('Istoric_Nativ'!$B$6:$B$405,E307,'Istoric_Nativ'!$C$6:$C$405,F307,'Istoric_Nativ'!$E$6:$E$405,G307,'Istoric_Nativ'!$D$6:$D$405,"&lt;"&amp;J307,'Istoric_Nativ'!$P$6:$P$405,1,'Istoric_Nativ'!$D$6:$D$405,"&gt;="&amp;L307),IF(H307="AWAY",COUNTIFS('Istoric_Nativ'!$B$6:$B$405,E307,'Istoric_Nativ'!$C$6:$C$405,F307,'Istoric_Nativ'!$F$6:$F$405,G307,'Istoric_Nativ'!$D$6:$D$405,"&lt;"&amp;J307,'Istoric_Nativ'!$P$6:$P$405,1,'Istoric_Nativ'!$D$6:$D$405,"&gt;="&amp;L307),COUNTIFS('Istoric_Nativ'!$B$6:$B$405,E307,'Istoric_Nativ'!$C$6:$C$405,F307,'Istoric_Nativ'!$E$6:$E$405,G307,'Istoric_Nativ'!$D$6:$D$405,"&lt;"&amp;J307,'Istoric_Nativ'!$P$6:$P$405,1,'Istoric_Nativ'!$D$6:$D$405,"&gt;="&amp;L307)+COUNTIFS('Istoric_Nativ'!$B$6:$B$405,E307,'Istoric_Nativ'!$C$6:$C$405,F307,'Istoric_Nativ'!$F$6:$F$405,G307,'Istoric_Nativ'!$D$6:$D$405,"&lt;"&amp;J307,'Istoric_Nativ'!$P$6:$P$405,1,'Istoric_Nativ'!$D$6:$D$405,"&gt;="&amp;L307))))</x:f>
        <x:v>0</x:v>
      </x:c>
      <x:c r="N307" s="11" t="str">
        <x:f>IF(M307=0,"",IF(H307="HOME",SUMIFS('Istoric_Nativ'!$G$6:$G$405,'Istoric_Nativ'!$B$6:$B$405,E307,'Istoric_Nativ'!$C$6:$C$405,F307,'Istoric_Nativ'!$E$6:$E$405,G307,'Istoric_Nativ'!$D$6:$D$405,"&lt;"&amp;J307,'Istoric_Nativ'!$P$6:$P$405,1,'Istoric_Nativ'!$D$6:$D$405,"&gt;="&amp;L307),IF(H307="AWAY",SUMIFS('Istoric_Nativ'!$H$6:$H$405,'Istoric_Nativ'!$B$6:$B$405,E307,'Istoric_Nativ'!$C$6:$C$405,F307,'Istoric_Nativ'!$F$6:$F$405,G307,'Istoric_Nativ'!$D$6:$D$405,"&lt;"&amp;J307,'Istoric_Nativ'!$P$6:$P$405,1,'Istoric_Nativ'!$D$6:$D$405,"&gt;="&amp;L307),SUMIFS('Istoric_Nativ'!$G$6:$G$405,'Istoric_Nativ'!$B$6:$B$405,E307,'Istoric_Nativ'!$C$6:$C$405,F307,'Istoric_Nativ'!$E$6:$E$405,G307,'Istoric_Nativ'!$D$6:$D$405,"&lt;"&amp;J307,'Istoric_Nativ'!$P$6:$P$405,1,'Istoric_Nativ'!$D$6:$D$405,"&gt;="&amp;L307)+SUMIFS('Istoric_Nativ'!$H$6:$H$405,'Istoric_Nativ'!$B$6:$B$405,E307,'Istoric_Nativ'!$C$6:$C$405,F307,'Istoric_Nativ'!$F$6:$F$405,G307,'Istoric_Nativ'!$D$6:$D$405,"&lt;"&amp;J307,'Istoric_Nativ'!$P$6:$P$405,1,'Istoric_Nativ'!$D$6:$D$405,"&gt;="&amp;L307)))/M307)</x:f>
      </x:c>
      <x:c r="O307" s="11" t="str">
        <x:f>IF(M307=0,"",IF(H307="HOME",SUMIFS('Istoric_Nativ'!$H$6:$H$405,'Istoric_Nativ'!$B$6:$B$405,E307,'Istoric_Nativ'!$C$6:$C$405,F307,'Istoric_Nativ'!$E$6:$E$405,G307,'Istoric_Nativ'!$D$6:$D$405,"&lt;"&amp;J307,'Istoric_Nativ'!$P$6:$P$405,1,'Istoric_Nativ'!$D$6:$D$405,"&gt;="&amp;L307),IF(H307="AWAY",SUMIFS('Istoric_Nativ'!$G$6:$G$405,'Istoric_Nativ'!$B$6:$B$405,E307,'Istoric_Nativ'!$C$6:$C$405,F307,'Istoric_Nativ'!$F$6:$F$405,G307,'Istoric_Nativ'!$D$6:$D$405,"&lt;"&amp;J307,'Istoric_Nativ'!$P$6:$P$405,1,'Istoric_Nativ'!$D$6:$D$405,"&gt;="&amp;L307),SUMIFS('Istoric_Nativ'!$H$6:$H$405,'Istoric_Nativ'!$B$6:$B$405,E307,'Istoric_Nativ'!$C$6:$C$405,F307,'Istoric_Nativ'!$E$6:$E$405,G307,'Istoric_Nativ'!$D$6:$D$405,"&lt;"&amp;J307,'Istoric_Nativ'!$P$6:$P$405,1,'Istoric_Nativ'!$D$6:$D$405,"&gt;="&amp;L307)+SUMIFS('Istoric_Nativ'!$G$6:$G$405,'Istoric_Nativ'!$B$6:$B$405,E307,'Istoric_Nativ'!$C$6:$C$405,F307,'Istoric_Nativ'!$F$6:$F$405,G307,'Istoric_Nativ'!$D$6:$D$405,"&lt;"&amp;J307,'Istoric_Nativ'!$P$6:$P$405,1,'Istoric_Nativ'!$D$6:$D$405,"&gt;="&amp;L307)))/M307)</x:f>
      </x:c>
      <x:c r="P307" s="2" t="n">
        <x:f>'Config_v6'!$B$8</x:f>
        <x:v>5</x:v>
      </x:c>
      <x:c r="Q307" s="2" t="n">
        <x:f>IF(OR(B307="",F307=""),0,IFERROR(MATCH(E307&amp;"|"&amp;F307,SourceTable[Source_Key],0),0))</x:f>
        <x:v>0</x:v>
      </x:c>
      <x:c r="R307" s="2" t="str">
        <x:f>IF(B307="","",IF(F307="","UNUSED",IF(Q307=0,"NOT CHECKED",IF(COUNTIF(SourceTable[Source_Key],E307&amp;"|"&amp;F307)&lt;&gt;1,"SOURCE CONFLICT",IF(NOT(OR(INDEX(SourceTable[Status],MAX(1,Q307))="IMPORTED",INDEX(SourceTable[Status],MAX(1,Q307))="PARTIAL",INDEX(SourceTable[Status],MAX(1,Q307))="SOURCE CONFLICT")),"ACCESS BLOCKED",IF(OR(INDEX(SourceTable[Coverage],Q307)&lt;&gt;"FULL SEASON EXPORT",INDEX(SourceTable[URL],Q307)="",INDEX(SourceTable[SHA256],Q307)=""),"EVIDENCE INCOMPLETE",IF(AND('Input_Meci'!H31="LIVE",INDEX(SourceTable[Retrieved_UTC],Q307)&gt;'Input_Meci'!G31),"POST CUTOFF","CLOSED")))))))</x:f>
      </x:c>
      <x:c r="S307" s="2" t="n">
        <x:f>IF(OR(B307="",F307=""),0,COUNTIFS('Istoric_Nativ'!$B$6:$B$405,E307,'Istoric_Nativ'!$C$6:$C$405,F307,'Istoric_Nativ'!$E$6:$E$405,G307,'Istoric_Nativ'!$D$6:$D$405,"&lt;"&amp;J307,'Istoric_Nativ'!$O$6:$O$405,"INVALID")+COUNTIFS('Istoric_Nativ'!$B$6:$B$405,E307,'Istoric_Nativ'!$C$6:$C$405,F307,'Istoric_Nativ'!$E$6:$E$405,G307,'Istoric_Nativ'!$O$6:$O$405,"INVALID",'Istoric_Nativ'!$D$6:$D$405,"*")+COUNTIFS('Istoric_Nativ'!$B$6:$B$405,E307,'Istoric_Nativ'!$C$6:$C$405,F307,'Istoric_Nativ'!$E$6:$E$405,G307,'Istoric_Nativ'!$D$6:$D$405,"&lt;"&amp;J307,'Istoric_Nativ'!$O$6:$O$405,"SOURCE CONFLICT")+COUNTIFS('Istoric_Nativ'!$B$6:$B$405,E307,'Istoric_Nativ'!$C$6:$C$405,F307,'Istoric_Nativ'!$F$6:$F$405,G307,'Istoric_Nativ'!$D$6:$D$405,"&lt;"&amp;J307,'Istoric_Nativ'!$O$6:$O$405,"INVALID")+COUNTIFS('Istoric_Nativ'!$B$6:$B$405,E307,'Istoric_Nativ'!$C$6:$C$405,F307,'Istoric_Nativ'!$F$6:$F$405,G307,'Istoric_Nativ'!$O$6:$O$405,"INVALID",'Istoric_Nativ'!$D$6:$D$405,"*")+COUNTIFS('Istoric_Nativ'!$B$6:$B$405,E307,'Istoric_Nativ'!$C$6:$C$405,F307,'Istoric_Nativ'!$F$6:$F$405,G307,'Istoric_Nativ'!$D$6:$D$405,"&lt;"&amp;J307,'Istoric_Nativ'!$O$6:$O$405,"SOURCE CONFLICT"))</x:f>
        <x:v>0</x:v>
      </x:c>
      <x:c r="T307" s="2" t="str">
        <x:f>IF(B307="","",IF(R307&lt;&gt;"CLOSED",R307,IF(S307&gt;0,"NATIVE INPUT ISSUE",IF(M307=0,"NO HISTORY",IF(M307&lt;P307,"SMALL SAMPLE","DERIVED")))))</x:f>
      </x:c>
      <x:c r="U307" s="2" t="str">
        <x:f>IF(B307="","","NativeTable; "&amp;E307&amp;"; "&amp;F307&amp;"; "&amp;G307&amp;"; "&amp;H307&amp;"; before "&amp;TEXT(J307,"yyyy-mm-dd")&amp;IF(I307="RECENT","; from "&amp;TEXT(L307,"yyyy-mm-dd"),""))</x:f>
      </x:c>
    </x:row>
    <x:row r="308" ht="21" customHeight="1">
      <x:c r="A308" s="2" t="n">
        <x:v>26</x:v>
      </x:c>
      <x:c r="B308" s="2" t="str">
        <x:f>IF('Input_Meci'!A31="","",'Input_Meci'!A31)</x:f>
      </x:c>
      <x:c r="C308" s="2" t="str">
        <x:v>H</x:v>
      </x:c>
      <x:c r="D308" s="2" t="str">
        <x:v>CURRENT</x:v>
      </x:c>
      <x:c r="E308" s="2" t="str">
        <x:f>IF(B308="","",'Input_Meci'!B31)</x:f>
      </x:c>
      <x:c r="F308" s="2" t="str">
        <x:f>IF(B308="","",IF('Input_Meci'!C31="","",'Input_Meci'!C31))</x:f>
      </x:c>
      <x:c r="G308" s="2" t="str">
        <x:f>IF(B308="","",'Input_Meci'!D31)</x:f>
      </x:c>
      <x:c r="H308" s="2" t="str">
        <x:v>ANY</x:v>
      </x:c>
      <x:c r="I308" s="2" t="str">
        <x:v>RECENT</x:v>
      </x:c>
      <x:c r="J308" s="9" t="n">
        <x:f>IF(AND(B308&lt;&gt;"",ISNUMBER('Input_Meci'!G31)),INT('Input_Meci'!G31),0)</x:f>
        <x:v>0</x:v>
      </x:c>
      <x:c r="K308" s="2" t="n">
        <x:f>IF(OR(B308="",F308=""),0,IF(H308="HOME",COUNTIFS('Istoric_Nativ'!$B$6:$B$405,E308,'Istoric_Nativ'!$C$6:$C$405,F308,'Istoric_Nativ'!$E$6:$E$405,G308,'Istoric_Nativ'!$D$6:$D$405,"&lt;"&amp;J308,'Istoric_Nativ'!$P$6:$P$405,1),IF(H308="AWAY",COUNTIFS('Istoric_Nativ'!$B$6:$B$405,E308,'Istoric_Nativ'!$C$6:$C$405,F308,'Istoric_Nativ'!$F$6:$F$405,G308,'Istoric_Nativ'!$D$6:$D$405,"&lt;"&amp;J308,'Istoric_Nativ'!$P$6:$P$405,1),COUNTIFS('Istoric_Nativ'!$B$6:$B$405,E308,'Istoric_Nativ'!$C$6:$C$405,F308,'Istoric_Nativ'!$E$6:$E$405,G308,'Istoric_Nativ'!$D$6:$D$405,"&lt;"&amp;J308,'Istoric_Nativ'!$P$6:$P$405,1)+COUNTIFS('Istoric_Nativ'!$B$6:$B$405,E308,'Istoric_Nativ'!$C$6:$C$405,F308,'Istoric_Nativ'!$F$6:$F$405,G308,'Istoric_Nativ'!$D$6:$D$405,"&lt;"&amp;J308,'Istoric_Nativ'!$P$6:$P$405,1))))</x:f>
        <x:v>0</x:v>
      </x:c>
      <x:c r="L308" s="17" t="n">
        <x:f>IF(AND(B308&lt;&gt;"",I308="RECENT",K308&gt;0),LARGE(_xlfn._xlws.FILTER('Istoric_Nativ'!$D$6:$D$405,('Istoric_Nativ'!$B$6:$B$405=E308)*('Istoric_Nativ'!$C$6:$C$405=F308)*('Istoric_Nativ'!$P$6:$P$405=1)*('Istoric_Nativ'!$D$6:$D$405&lt;J308)*((('Istoric_Nativ'!$E$6:$E$405=G308)+('Istoric_Nativ'!$F$6:$F$405=G308))&gt;0)),MIN('Config_v6'!$B$54,K308)),0)</x:f>
        <x:v>0</x:v>
      </x:c>
      <x:c r="M308" s="2" t="n">
        <x:f>IF(OR(B308="",F308=""),0,IF(H308="HOME",COUNTIFS('Istoric_Nativ'!$B$6:$B$405,E308,'Istoric_Nativ'!$C$6:$C$405,F308,'Istoric_Nativ'!$E$6:$E$405,G308,'Istoric_Nativ'!$D$6:$D$405,"&lt;"&amp;J308,'Istoric_Nativ'!$P$6:$P$405,1,'Istoric_Nativ'!$D$6:$D$405,"&gt;="&amp;L308),IF(H308="AWAY",COUNTIFS('Istoric_Nativ'!$B$6:$B$405,E308,'Istoric_Nativ'!$C$6:$C$405,F308,'Istoric_Nativ'!$F$6:$F$405,G308,'Istoric_Nativ'!$D$6:$D$405,"&lt;"&amp;J308,'Istoric_Nativ'!$P$6:$P$405,1,'Istoric_Nativ'!$D$6:$D$405,"&gt;="&amp;L308),COUNTIFS('Istoric_Nativ'!$B$6:$B$405,E308,'Istoric_Nativ'!$C$6:$C$405,F308,'Istoric_Nativ'!$E$6:$E$405,G308,'Istoric_Nativ'!$D$6:$D$405,"&lt;"&amp;J308,'Istoric_Nativ'!$P$6:$P$405,1,'Istoric_Nativ'!$D$6:$D$405,"&gt;="&amp;L308)+COUNTIFS('Istoric_Nativ'!$B$6:$B$405,E308,'Istoric_Nativ'!$C$6:$C$405,F308,'Istoric_Nativ'!$F$6:$F$405,G308,'Istoric_Nativ'!$D$6:$D$405,"&lt;"&amp;J308,'Istoric_Nativ'!$P$6:$P$405,1,'Istoric_Nativ'!$D$6:$D$405,"&gt;="&amp;L308))))</x:f>
        <x:v>0</x:v>
      </x:c>
      <x:c r="N308" s="11" t="str">
        <x:f>IF(M308=0,"",IF(H308="HOME",SUMIFS('Istoric_Nativ'!$G$6:$G$405,'Istoric_Nativ'!$B$6:$B$405,E308,'Istoric_Nativ'!$C$6:$C$405,F308,'Istoric_Nativ'!$E$6:$E$405,G308,'Istoric_Nativ'!$D$6:$D$405,"&lt;"&amp;J308,'Istoric_Nativ'!$P$6:$P$405,1,'Istoric_Nativ'!$D$6:$D$405,"&gt;="&amp;L308),IF(H308="AWAY",SUMIFS('Istoric_Nativ'!$H$6:$H$405,'Istoric_Nativ'!$B$6:$B$405,E308,'Istoric_Nativ'!$C$6:$C$405,F308,'Istoric_Nativ'!$F$6:$F$405,G308,'Istoric_Nativ'!$D$6:$D$405,"&lt;"&amp;J308,'Istoric_Nativ'!$P$6:$P$405,1,'Istoric_Nativ'!$D$6:$D$405,"&gt;="&amp;L308),SUMIFS('Istoric_Nativ'!$G$6:$G$405,'Istoric_Nativ'!$B$6:$B$405,E308,'Istoric_Nativ'!$C$6:$C$405,F308,'Istoric_Nativ'!$E$6:$E$405,G308,'Istoric_Nativ'!$D$6:$D$405,"&lt;"&amp;J308,'Istoric_Nativ'!$P$6:$P$405,1,'Istoric_Nativ'!$D$6:$D$405,"&gt;="&amp;L308)+SUMIFS('Istoric_Nativ'!$H$6:$H$405,'Istoric_Nativ'!$B$6:$B$405,E308,'Istoric_Nativ'!$C$6:$C$405,F308,'Istoric_Nativ'!$F$6:$F$405,G308,'Istoric_Nativ'!$D$6:$D$405,"&lt;"&amp;J308,'Istoric_Nativ'!$P$6:$P$405,1,'Istoric_Nativ'!$D$6:$D$405,"&gt;="&amp;L308)))/M308)</x:f>
      </x:c>
      <x:c r="O308" s="11" t="str">
        <x:f>IF(M308=0,"",IF(H308="HOME",SUMIFS('Istoric_Nativ'!$H$6:$H$405,'Istoric_Nativ'!$B$6:$B$405,E308,'Istoric_Nativ'!$C$6:$C$405,F308,'Istoric_Nativ'!$E$6:$E$405,G308,'Istoric_Nativ'!$D$6:$D$405,"&lt;"&amp;J308,'Istoric_Nativ'!$P$6:$P$405,1,'Istoric_Nativ'!$D$6:$D$405,"&gt;="&amp;L308),IF(H308="AWAY",SUMIFS('Istoric_Nativ'!$G$6:$G$405,'Istoric_Nativ'!$B$6:$B$405,E308,'Istoric_Nativ'!$C$6:$C$405,F308,'Istoric_Nativ'!$F$6:$F$405,G308,'Istoric_Nativ'!$D$6:$D$405,"&lt;"&amp;J308,'Istoric_Nativ'!$P$6:$P$405,1,'Istoric_Nativ'!$D$6:$D$405,"&gt;="&amp;L308),SUMIFS('Istoric_Nativ'!$H$6:$H$405,'Istoric_Nativ'!$B$6:$B$405,E308,'Istoric_Nativ'!$C$6:$C$405,F308,'Istoric_Nativ'!$E$6:$E$405,G308,'Istoric_Nativ'!$D$6:$D$405,"&lt;"&amp;J308,'Istoric_Nativ'!$P$6:$P$405,1,'Istoric_Nativ'!$D$6:$D$405,"&gt;="&amp;L308)+SUMIFS('Istoric_Nativ'!$G$6:$G$405,'Istoric_Nativ'!$B$6:$B$405,E308,'Istoric_Nativ'!$C$6:$C$405,F308,'Istoric_Nativ'!$F$6:$F$405,G308,'Istoric_Nativ'!$D$6:$D$405,"&lt;"&amp;J308,'Istoric_Nativ'!$P$6:$P$405,1,'Istoric_Nativ'!$D$6:$D$405,"&gt;="&amp;L308)))/M308)</x:f>
      </x:c>
      <x:c r="P308" s="2" t="n">
        <x:f>'Config_v6'!$B$9</x:f>
        <x:v>3</x:v>
      </x:c>
      <x:c r="Q308" s="2" t="n">
        <x:f>IF(OR(B308="",F308=""),0,IFERROR(MATCH(E308&amp;"|"&amp;F308,SourceTable[Source_Key],0),0))</x:f>
        <x:v>0</x:v>
      </x:c>
      <x:c r="R308" s="2" t="str">
        <x:f>IF(B308="","",IF(F308="","UNUSED",IF(Q308=0,"NOT CHECKED",IF(COUNTIF(SourceTable[Source_Key],E308&amp;"|"&amp;F308)&lt;&gt;1,"SOURCE CONFLICT",IF(NOT(OR(INDEX(SourceTable[Status],MAX(1,Q308))="IMPORTED",INDEX(SourceTable[Status],MAX(1,Q308))="PARTIAL",INDEX(SourceTable[Status],MAX(1,Q308))="SOURCE CONFLICT")),"ACCESS BLOCKED",IF(OR(INDEX(SourceTable[Coverage],Q308)&lt;&gt;"FULL SEASON EXPORT",INDEX(SourceTable[URL],Q308)="",INDEX(SourceTable[SHA256],Q308)=""),"EVIDENCE INCOMPLETE",IF(AND('Input_Meci'!H31="LIVE",INDEX(SourceTable[Retrieved_UTC],Q308)&gt;'Input_Meci'!G31),"POST CUTOFF","CLOSED")))))))</x:f>
      </x:c>
      <x:c r="S308" s="2" t="n">
        <x:f>IF(OR(B308="",F308=""),0,COUNTIFS('Istoric_Nativ'!$B$6:$B$405,E308,'Istoric_Nativ'!$C$6:$C$405,F308,'Istoric_Nativ'!$E$6:$E$405,G308,'Istoric_Nativ'!$D$6:$D$405,"&lt;"&amp;J308,'Istoric_Nativ'!$O$6:$O$405,"INVALID")+COUNTIFS('Istoric_Nativ'!$B$6:$B$405,E308,'Istoric_Nativ'!$C$6:$C$405,F308,'Istoric_Nativ'!$E$6:$E$405,G308,'Istoric_Nativ'!$O$6:$O$405,"INVALID",'Istoric_Nativ'!$D$6:$D$405,"*")+COUNTIFS('Istoric_Nativ'!$B$6:$B$405,E308,'Istoric_Nativ'!$C$6:$C$405,F308,'Istoric_Nativ'!$E$6:$E$405,G308,'Istoric_Nativ'!$D$6:$D$405,"&lt;"&amp;J308,'Istoric_Nativ'!$O$6:$O$405,"SOURCE CONFLICT")+COUNTIFS('Istoric_Nativ'!$B$6:$B$405,E308,'Istoric_Nativ'!$C$6:$C$405,F308,'Istoric_Nativ'!$F$6:$F$405,G308,'Istoric_Nativ'!$D$6:$D$405,"&lt;"&amp;J308,'Istoric_Nativ'!$O$6:$O$405,"INVALID")+COUNTIFS('Istoric_Nativ'!$B$6:$B$405,E308,'Istoric_Nativ'!$C$6:$C$405,F308,'Istoric_Nativ'!$F$6:$F$405,G308,'Istoric_Nativ'!$O$6:$O$405,"INVALID",'Istoric_Nativ'!$D$6:$D$405,"*")+COUNTIFS('Istoric_Nativ'!$B$6:$B$405,E308,'Istoric_Nativ'!$C$6:$C$405,F308,'Istoric_Nativ'!$F$6:$F$405,G308,'Istoric_Nativ'!$D$6:$D$405,"&lt;"&amp;J308,'Istoric_Nativ'!$O$6:$O$405,"SOURCE CONFLICT"))</x:f>
        <x:v>0</x:v>
      </x:c>
      <x:c r="T308" s="2" t="str">
        <x:f>IF(B308="","",IF(R308&lt;&gt;"CLOSED",R308,IF(S308&gt;0,"NATIVE INPUT ISSUE",IF(M308=0,"NO HISTORY",IF(M308&lt;P308,"SMALL SAMPLE","DERIVED")))))</x:f>
      </x:c>
      <x:c r="U308" s="2" t="str">
        <x:f>IF(B308="","","NativeTable; "&amp;E308&amp;"; "&amp;F308&amp;"; "&amp;G308&amp;"; "&amp;H308&amp;"; before "&amp;TEXT(J308,"yyyy-mm-dd")&amp;IF(I308="RECENT","; from "&amp;TEXT(L308,"yyyy-mm-dd"),""))</x:f>
      </x:c>
    </x:row>
    <x:row r="309" ht="21" customHeight="1">
      <x:c r="A309" s="2" t="n">
        <x:v>26</x:v>
      </x:c>
      <x:c r="B309" s="2" t="str">
        <x:f>IF('Input_Meci'!A31="","",'Input_Meci'!A31)</x:f>
      </x:c>
      <x:c r="C309" s="2" t="str">
        <x:v>A</x:v>
      </x:c>
      <x:c r="D309" s="2" t="str">
        <x:v>CURRENT</x:v>
      </x:c>
      <x:c r="E309" s="2" t="str">
        <x:f>IF(B309="","",'Input_Meci'!B31)</x:f>
      </x:c>
      <x:c r="F309" s="2" t="str">
        <x:f>IF(B309="","",IF('Input_Meci'!C31="","",'Input_Meci'!C31))</x:f>
      </x:c>
      <x:c r="G309" s="2" t="str">
        <x:f>IF(B309="","",'Input_Meci'!E31)</x:f>
      </x:c>
      <x:c r="H309" s="2" t="str">
        <x:v>ANY</x:v>
      </x:c>
      <x:c r="I309" s="2" t="str">
        <x:v>SEASON</x:v>
      </x:c>
      <x:c r="J309" s="9" t="n">
        <x:f>IF(AND(B309&lt;&gt;"",ISNUMBER('Input_Meci'!G31)),INT('Input_Meci'!G31),0)</x:f>
        <x:v>0</x:v>
      </x:c>
      <x:c r="K309" s="2" t="n">
        <x:f>IF(OR(B309="",F309=""),0,IF(H309="HOME",COUNTIFS('Istoric_Nativ'!$B$6:$B$405,E309,'Istoric_Nativ'!$C$6:$C$405,F309,'Istoric_Nativ'!$E$6:$E$405,G309,'Istoric_Nativ'!$D$6:$D$405,"&lt;"&amp;J309,'Istoric_Nativ'!$P$6:$P$405,1),IF(H309="AWAY",COUNTIFS('Istoric_Nativ'!$B$6:$B$405,E309,'Istoric_Nativ'!$C$6:$C$405,F309,'Istoric_Nativ'!$F$6:$F$405,G309,'Istoric_Nativ'!$D$6:$D$405,"&lt;"&amp;J309,'Istoric_Nativ'!$P$6:$P$405,1),COUNTIFS('Istoric_Nativ'!$B$6:$B$405,E309,'Istoric_Nativ'!$C$6:$C$405,F309,'Istoric_Nativ'!$E$6:$E$405,G309,'Istoric_Nativ'!$D$6:$D$405,"&lt;"&amp;J309,'Istoric_Nativ'!$P$6:$P$405,1)+COUNTIFS('Istoric_Nativ'!$B$6:$B$405,E309,'Istoric_Nativ'!$C$6:$C$405,F309,'Istoric_Nativ'!$F$6:$F$405,G309,'Istoric_Nativ'!$D$6:$D$405,"&lt;"&amp;J309,'Istoric_Nativ'!$P$6:$P$405,1))))</x:f>
        <x:v>0</x:v>
      </x:c>
      <x:c r="L309" s="17" t="n">
        <x:f>IF(AND(B309&lt;&gt;"",I309="RECENT",K309&gt;0),LARGE(_xlfn._xlws.FILTER('Istoric_Nativ'!$D$6:$D$405,('Istoric_Nativ'!$B$6:$B$405=E309)*('Istoric_Nativ'!$C$6:$C$405=F309)*('Istoric_Nativ'!$P$6:$P$405=1)*('Istoric_Nativ'!$D$6:$D$405&lt;J309)*((('Istoric_Nativ'!$E$6:$E$405=G309)+('Istoric_Nativ'!$F$6:$F$405=G309))&gt;0)),MIN('Config_v6'!$B$54,K309)),0)</x:f>
        <x:v>0</x:v>
      </x:c>
      <x:c r="M309" s="2" t="n">
        <x:f>IF(OR(B309="",F309=""),0,IF(H309="HOME",COUNTIFS('Istoric_Nativ'!$B$6:$B$405,E309,'Istoric_Nativ'!$C$6:$C$405,F309,'Istoric_Nativ'!$E$6:$E$405,G309,'Istoric_Nativ'!$D$6:$D$405,"&lt;"&amp;J309,'Istoric_Nativ'!$P$6:$P$405,1,'Istoric_Nativ'!$D$6:$D$405,"&gt;="&amp;L309),IF(H309="AWAY",COUNTIFS('Istoric_Nativ'!$B$6:$B$405,E309,'Istoric_Nativ'!$C$6:$C$405,F309,'Istoric_Nativ'!$F$6:$F$405,G309,'Istoric_Nativ'!$D$6:$D$405,"&lt;"&amp;J309,'Istoric_Nativ'!$P$6:$P$405,1,'Istoric_Nativ'!$D$6:$D$405,"&gt;="&amp;L309),COUNTIFS('Istoric_Nativ'!$B$6:$B$405,E309,'Istoric_Nativ'!$C$6:$C$405,F309,'Istoric_Nativ'!$E$6:$E$405,G309,'Istoric_Nativ'!$D$6:$D$405,"&lt;"&amp;J309,'Istoric_Nativ'!$P$6:$P$405,1,'Istoric_Nativ'!$D$6:$D$405,"&gt;="&amp;L309)+COUNTIFS('Istoric_Nativ'!$B$6:$B$405,E309,'Istoric_Nativ'!$C$6:$C$405,F309,'Istoric_Nativ'!$F$6:$F$405,G309,'Istoric_Nativ'!$D$6:$D$405,"&lt;"&amp;J309,'Istoric_Nativ'!$P$6:$P$405,1,'Istoric_Nativ'!$D$6:$D$405,"&gt;="&amp;L309))))</x:f>
        <x:v>0</x:v>
      </x:c>
      <x:c r="N309" s="11" t="str">
        <x:f>IF(M309=0,"",IF(H309="HOME",SUMIFS('Istoric_Nativ'!$G$6:$G$405,'Istoric_Nativ'!$B$6:$B$405,E309,'Istoric_Nativ'!$C$6:$C$405,F309,'Istoric_Nativ'!$E$6:$E$405,G309,'Istoric_Nativ'!$D$6:$D$405,"&lt;"&amp;J309,'Istoric_Nativ'!$P$6:$P$405,1,'Istoric_Nativ'!$D$6:$D$405,"&gt;="&amp;L309),IF(H309="AWAY",SUMIFS('Istoric_Nativ'!$H$6:$H$405,'Istoric_Nativ'!$B$6:$B$405,E309,'Istoric_Nativ'!$C$6:$C$405,F309,'Istoric_Nativ'!$F$6:$F$405,G309,'Istoric_Nativ'!$D$6:$D$405,"&lt;"&amp;J309,'Istoric_Nativ'!$P$6:$P$405,1,'Istoric_Nativ'!$D$6:$D$405,"&gt;="&amp;L309),SUMIFS('Istoric_Nativ'!$G$6:$G$405,'Istoric_Nativ'!$B$6:$B$405,E309,'Istoric_Nativ'!$C$6:$C$405,F309,'Istoric_Nativ'!$E$6:$E$405,G309,'Istoric_Nativ'!$D$6:$D$405,"&lt;"&amp;J309,'Istoric_Nativ'!$P$6:$P$405,1,'Istoric_Nativ'!$D$6:$D$405,"&gt;="&amp;L309)+SUMIFS('Istoric_Nativ'!$H$6:$H$405,'Istoric_Nativ'!$B$6:$B$405,E309,'Istoric_Nativ'!$C$6:$C$405,F309,'Istoric_Nativ'!$F$6:$F$405,G309,'Istoric_Nativ'!$D$6:$D$405,"&lt;"&amp;J309,'Istoric_Nativ'!$P$6:$P$405,1,'Istoric_Nativ'!$D$6:$D$405,"&gt;="&amp;L309)))/M309)</x:f>
      </x:c>
      <x:c r="O309" s="11" t="str">
        <x:f>IF(M309=0,"",IF(H309="HOME",SUMIFS('Istoric_Nativ'!$H$6:$H$405,'Istoric_Nativ'!$B$6:$B$405,E309,'Istoric_Nativ'!$C$6:$C$405,F309,'Istoric_Nativ'!$E$6:$E$405,G309,'Istoric_Nativ'!$D$6:$D$405,"&lt;"&amp;J309,'Istoric_Nativ'!$P$6:$P$405,1,'Istoric_Nativ'!$D$6:$D$405,"&gt;="&amp;L309),IF(H309="AWAY",SUMIFS('Istoric_Nativ'!$G$6:$G$405,'Istoric_Nativ'!$B$6:$B$405,E309,'Istoric_Nativ'!$C$6:$C$405,F309,'Istoric_Nativ'!$F$6:$F$405,G309,'Istoric_Nativ'!$D$6:$D$405,"&lt;"&amp;J309,'Istoric_Nativ'!$P$6:$P$405,1,'Istoric_Nativ'!$D$6:$D$405,"&gt;="&amp;L309),SUMIFS('Istoric_Nativ'!$H$6:$H$405,'Istoric_Nativ'!$B$6:$B$405,E309,'Istoric_Nativ'!$C$6:$C$405,F309,'Istoric_Nativ'!$E$6:$E$405,G309,'Istoric_Nativ'!$D$6:$D$405,"&lt;"&amp;J309,'Istoric_Nativ'!$P$6:$P$405,1,'Istoric_Nativ'!$D$6:$D$405,"&gt;="&amp;L309)+SUMIFS('Istoric_Nativ'!$G$6:$G$405,'Istoric_Nativ'!$B$6:$B$405,E309,'Istoric_Nativ'!$C$6:$C$405,F309,'Istoric_Nativ'!$F$6:$F$405,G309,'Istoric_Nativ'!$D$6:$D$405,"&lt;"&amp;J309,'Istoric_Nativ'!$P$6:$P$405,1,'Istoric_Nativ'!$D$6:$D$405,"&gt;="&amp;L309)))/M309)</x:f>
      </x:c>
      <x:c r="P309" s="2" t="n">
        <x:f>'Config_v6'!$B$7</x:f>
        <x:v>10</x:v>
      </x:c>
      <x:c r="Q309" s="2" t="n">
        <x:f>IF(OR(B309="",F309=""),0,IFERROR(MATCH(E309&amp;"|"&amp;F309,SourceTable[Source_Key],0),0))</x:f>
        <x:v>0</x:v>
      </x:c>
      <x:c r="R309" s="2" t="str">
        <x:f>IF(B309="","",IF(F309="","UNUSED",IF(Q309=0,"NOT CHECKED",IF(COUNTIF(SourceTable[Source_Key],E309&amp;"|"&amp;F309)&lt;&gt;1,"SOURCE CONFLICT",IF(NOT(OR(INDEX(SourceTable[Status],MAX(1,Q309))="IMPORTED",INDEX(SourceTable[Status],MAX(1,Q309))="PARTIAL",INDEX(SourceTable[Status],MAX(1,Q309))="SOURCE CONFLICT")),"ACCESS BLOCKED",IF(OR(INDEX(SourceTable[Coverage],Q309)&lt;&gt;"FULL SEASON EXPORT",INDEX(SourceTable[URL],Q309)="",INDEX(SourceTable[SHA256],Q309)=""),"EVIDENCE INCOMPLETE",IF(AND('Input_Meci'!H31="LIVE",INDEX(SourceTable[Retrieved_UTC],Q309)&gt;'Input_Meci'!G31),"POST CUTOFF","CLOSED")))))))</x:f>
      </x:c>
      <x:c r="S309" s="2" t="n">
        <x:f>IF(OR(B309="",F309=""),0,COUNTIFS('Istoric_Nativ'!$B$6:$B$405,E309,'Istoric_Nativ'!$C$6:$C$405,F309,'Istoric_Nativ'!$E$6:$E$405,G309,'Istoric_Nativ'!$D$6:$D$405,"&lt;"&amp;J309,'Istoric_Nativ'!$O$6:$O$405,"INVALID")+COUNTIFS('Istoric_Nativ'!$B$6:$B$405,E309,'Istoric_Nativ'!$C$6:$C$405,F309,'Istoric_Nativ'!$E$6:$E$405,G309,'Istoric_Nativ'!$O$6:$O$405,"INVALID",'Istoric_Nativ'!$D$6:$D$405,"*")+COUNTIFS('Istoric_Nativ'!$B$6:$B$405,E309,'Istoric_Nativ'!$C$6:$C$405,F309,'Istoric_Nativ'!$E$6:$E$405,G309,'Istoric_Nativ'!$D$6:$D$405,"&lt;"&amp;J309,'Istoric_Nativ'!$O$6:$O$405,"SOURCE CONFLICT")+COUNTIFS('Istoric_Nativ'!$B$6:$B$405,E309,'Istoric_Nativ'!$C$6:$C$405,F309,'Istoric_Nativ'!$F$6:$F$405,G309,'Istoric_Nativ'!$D$6:$D$405,"&lt;"&amp;J309,'Istoric_Nativ'!$O$6:$O$405,"INVALID")+COUNTIFS('Istoric_Nativ'!$B$6:$B$405,E309,'Istoric_Nativ'!$C$6:$C$405,F309,'Istoric_Nativ'!$F$6:$F$405,G309,'Istoric_Nativ'!$O$6:$O$405,"INVALID",'Istoric_Nativ'!$D$6:$D$405,"*")+COUNTIFS('Istoric_Nativ'!$B$6:$B$405,E309,'Istoric_Nativ'!$C$6:$C$405,F309,'Istoric_Nativ'!$F$6:$F$405,G309,'Istoric_Nativ'!$D$6:$D$405,"&lt;"&amp;J309,'Istoric_Nativ'!$O$6:$O$405,"SOURCE CONFLICT"))</x:f>
        <x:v>0</x:v>
      </x:c>
      <x:c r="T309" s="2" t="str">
        <x:f>IF(B309="","",IF(R309&lt;&gt;"CLOSED",R309,IF(S309&gt;0,"NATIVE INPUT ISSUE",IF(M309=0,"NO HISTORY",IF(M309&lt;P309,"SMALL SAMPLE","DERIVED")))))</x:f>
      </x:c>
      <x:c r="U309" s="2" t="str">
        <x:f>IF(B309="","","NativeTable; "&amp;E309&amp;"; "&amp;F309&amp;"; "&amp;G309&amp;"; "&amp;H309&amp;"; before "&amp;TEXT(J309,"yyyy-mm-dd")&amp;IF(I309="RECENT","; from "&amp;TEXT(L309,"yyyy-mm-dd"),""))</x:f>
      </x:c>
    </x:row>
    <x:row r="310" ht="21" customHeight="1">
      <x:c r="A310" s="2" t="n">
        <x:v>26</x:v>
      </x:c>
      <x:c r="B310" s="2" t="str">
        <x:f>IF('Input_Meci'!A31="","",'Input_Meci'!A31)</x:f>
      </x:c>
      <x:c r="C310" s="2" t="str">
        <x:v>A</x:v>
      </x:c>
      <x:c r="D310" s="2" t="str">
        <x:v>CURRENT</x:v>
      </x:c>
      <x:c r="E310" s="2" t="str">
        <x:f>IF(B310="","",'Input_Meci'!B31)</x:f>
      </x:c>
      <x:c r="F310" s="2" t="str">
        <x:f>IF(B310="","",IF('Input_Meci'!C31="","",'Input_Meci'!C31))</x:f>
      </x:c>
      <x:c r="G310" s="2" t="str">
        <x:f>IF(B310="","",'Input_Meci'!E31)</x:f>
      </x:c>
      <x:c r="H310" s="2" t="str">
        <x:v>AWAY</x:v>
      </x:c>
      <x:c r="I310" s="2" t="str">
        <x:v>HA</x:v>
      </x:c>
      <x:c r="J310" s="9" t="n">
        <x:f>IF(AND(B310&lt;&gt;"",ISNUMBER('Input_Meci'!G31)),INT('Input_Meci'!G31),0)</x:f>
        <x:v>0</x:v>
      </x:c>
      <x:c r="K310" s="2" t="n">
        <x:f>IF(OR(B310="",F310=""),0,IF(H310="HOME",COUNTIFS('Istoric_Nativ'!$B$6:$B$405,E310,'Istoric_Nativ'!$C$6:$C$405,F310,'Istoric_Nativ'!$E$6:$E$405,G310,'Istoric_Nativ'!$D$6:$D$405,"&lt;"&amp;J310,'Istoric_Nativ'!$P$6:$P$405,1),IF(H310="AWAY",COUNTIFS('Istoric_Nativ'!$B$6:$B$405,E310,'Istoric_Nativ'!$C$6:$C$405,F310,'Istoric_Nativ'!$F$6:$F$405,G310,'Istoric_Nativ'!$D$6:$D$405,"&lt;"&amp;J310,'Istoric_Nativ'!$P$6:$P$405,1),COUNTIFS('Istoric_Nativ'!$B$6:$B$405,E310,'Istoric_Nativ'!$C$6:$C$405,F310,'Istoric_Nativ'!$E$6:$E$405,G310,'Istoric_Nativ'!$D$6:$D$405,"&lt;"&amp;J310,'Istoric_Nativ'!$P$6:$P$405,1)+COUNTIFS('Istoric_Nativ'!$B$6:$B$405,E310,'Istoric_Nativ'!$C$6:$C$405,F310,'Istoric_Nativ'!$F$6:$F$405,G310,'Istoric_Nativ'!$D$6:$D$405,"&lt;"&amp;J310,'Istoric_Nativ'!$P$6:$P$405,1))))</x:f>
        <x:v>0</x:v>
      </x:c>
      <x:c r="L310" s="17" t="n">
        <x:f>IF(AND(B310&lt;&gt;"",I310="RECENT",K310&gt;0),LARGE(_xlfn._xlws.FILTER('Istoric_Nativ'!$D$6:$D$405,('Istoric_Nativ'!$B$6:$B$405=E310)*('Istoric_Nativ'!$C$6:$C$405=F310)*('Istoric_Nativ'!$P$6:$P$405=1)*('Istoric_Nativ'!$D$6:$D$405&lt;J310)*((('Istoric_Nativ'!$E$6:$E$405=G310)+('Istoric_Nativ'!$F$6:$F$405=G310))&gt;0)),MIN('Config_v6'!$B$54,K310)),0)</x:f>
        <x:v>0</x:v>
      </x:c>
      <x:c r="M310" s="2" t="n">
        <x:f>IF(OR(B310="",F310=""),0,IF(H310="HOME",COUNTIFS('Istoric_Nativ'!$B$6:$B$405,E310,'Istoric_Nativ'!$C$6:$C$405,F310,'Istoric_Nativ'!$E$6:$E$405,G310,'Istoric_Nativ'!$D$6:$D$405,"&lt;"&amp;J310,'Istoric_Nativ'!$P$6:$P$405,1,'Istoric_Nativ'!$D$6:$D$405,"&gt;="&amp;L310),IF(H310="AWAY",COUNTIFS('Istoric_Nativ'!$B$6:$B$405,E310,'Istoric_Nativ'!$C$6:$C$405,F310,'Istoric_Nativ'!$F$6:$F$405,G310,'Istoric_Nativ'!$D$6:$D$405,"&lt;"&amp;J310,'Istoric_Nativ'!$P$6:$P$405,1,'Istoric_Nativ'!$D$6:$D$405,"&gt;="&amp;L310),COUNTIFS('Istoric_Nativ'!$B$6:$B$405,E310,'Istoric_Nativ'!$C$6:$C$405,F310,'Istoric_Nativ'!$E$6:$E$405,G310,'Istoric_Nativ'!$D$6:$D$405,"&lt;"&amp;J310,'Istoric_Nativ'!$P$6:$P$405,1,'Istoric_Nativ'!$D$6:$D$405,"&gt;="&amp;L310)+COUNTIFS('Istoric_Nativ'!$B$6:$B$405,E310,'Istoric_Nativ'!$C$6:$C$405,F310,'Istoric_Nativ'!$F$6:$F$405,G310,'Istoric_Nativ'!$D$6:$D$405,"&lt;"&amp;J310,'Istoric_Nativ'!$P$6:$P$405,1,'Istoric_Nativ'!$D$6:$D$405,"&gt;="&amp;L310))))</x:f>
        <x:v>0</x:v>
      </x:c>
      <x:c r="N310" s="11" t="str">
        <x:f>IF(M310=0,"",IF(H310="HOME",SUMIFS('Istoric_Nativ'!$G$6:$G$405,'Istoric_Nativ'!$B$6:$B$405,E310,'Istoric_Nativ'!$C$6:$C$405,F310,'Istoric_Nativ'!$E$6:$E$405,G310,'Istoric_Nativ'!$D$6:$D$405,"&lt;"&amp;J310,'Istoric_Nativ'!$P$6:$P$405,1,'Istoric_Nativ'!$D$6:$D$405,"&gt;="&amp;L310),IF(H310="AWAY",SUMIFS('Istoric_Nativ'!$H$6:$H$405,'Istoric_Nativ'!$B$6:$B$405,E310,'Istoric_Nativ'!$C$6:$C$405,F310,'Istoric_Nativ'!$F$6:$F$405,G310,'Istoric_Nativ'!$D$6:$D$405,"&lt;"&amp;J310,'Istoric_Nativ'!$P$6:$P$405,1,'Istoric_Nativ'!$D$6:$D$405,"&gt;="&amp;L310),SUMIFS('Istoric_Nativ'!$G$6:$G$405,'Istoric_Nativ'!$B$6:$B$405,E310,'Istoric_Nativ'!$C$6:$C$405,F310,'Istoric_Nativ'!$E$6:$E$405,G310,'Istoric_Nativ'!$D$6:$D$405,"&lt;"&amp;J310,'Istoric_Nativ'!$P$6:$P$405,1,'Istoric_Nativ'!$D$6:$D$405,"&gt;="&amp;L310)+SUMIFS('Istoric_Nativ'!$H$6:$H$405,'Istoric_Nativ'!$B$6:$B$405,E310,'Istoric_Nativ'!$C$6:$C$405,F310,'Istoric_Nativ'!$F$6:$F$405,G310,'Istoric_Nativ'!$D$6:$D$405,"&lt;"&amp;J310,'Istoric_Nativ'!$P$6:$P$405,1,'Istoric_Nativ'!$D$6:$D$405,"&gt;="&amp;L310)))/M310)</x:f>
      </x:c>
      <x:c r="O310" s="11" t="str">
        <x:f>IF(M310=0,"",IF(H310="HOME",SUMIFS('Istoric_Nativ'!$H$6:$H$405,'Istoric_Nativ'!$B$6:$B$405,E310,'Istoric_Nativ'!$C$6:$C$405,F310,'Istoric_Nativ'!$E$6:$E$405,G310,'Istoric_Nativ'!$D$6:$D$405,"&lt;"&amp;J310,'Istoric_Nativ'!$P$6:$P$405,1,'Istoric_Nativ'!$D$6:$D$405,"&gt;="&amp;L310),IF(H310="AWAY",SUMIFS('Istoric_Nativ'!$G$6:$G$405,'Istoric_Nativ'!$B$6:$B$405,E310,'Istoric_Nativ'!$C$6:$C$405,F310,'Istoric_Nativ'!$F$6:$F$405,G310,'Istoric_Nativ'!$D$6:$D$405,"&lt;"&amp;J310,'Istoric_Nativ'!$P$6:$P$405,1,'Istoric_Nativ'!$D$6:$D$405,"&gt;="&amp;L310),SUMIFS('Istoric_Nativ'!$H$6:$H$405,'Istoric_Nativ'!$B$6:$B$405,E310,'Istoric_Nativ'!$C$6:$C$405,F310,'Istoric_Nativ'!$E$6:$E$405,G310,'Istoric_Nativ'!$D$6:$D$405,"&lt;"&amp;J310,'Istoric_Nativ'!$P$6:$P$405,1,'Istoric_Nativ'!$D$6:$D$405,"&gt;="&amp;L310)+SUMIFS('Istoric_Nativ'!$G$6:$G$405,'Istoric_Nativ'!$B$6:$B$405,E310,'Istoric_Nativ'!$C$6:$C$405,F310,'Istoric_Nativ'!$F$6:$F$405,G310,'Istoric_Nativ'!$D$6:$D$405,"&lt;"&amp;J310,'Istoric_Nativ'!$P$6:$P$405,1,'Istoric_Nativ'!$D$6:$D$405,"&gt;="&amp;L310)))/M310)</x:f>
      </x:c>
      <x:c r="P310" s="2" t="n">
        <x:f>'Config_v6'!$B$8</x:f>
        <x:v>5</x:v>
      </x:c>
      <x:c r="Q310" s="2" t="n">
        <x:f>IF(OR(B310="",F310=""),0,IFERROR(MATCH(E310&amp;"|"&amp;F310,SourceTable[Source_Key],0),0))</x:f>
        <x:v>0</x:v>
      </x:c>
      <x:c r="R310" s="2" t="str">
        <x:f>IF(B310="","",IF(F310="","UNUSED",IF(Q310=0,"NOT CHECKED",IF(COUNTIF(SourceTable[Source_Key],E310&amp;"|"&amp;F310)&lt;&gt;1,"SOURCE CONFLICT",IF(NOT(OR(INDEX(SourceTable[Status],MAX(1,Q310))="IMPORTED",INDEX(SourceTable[Status],MAX(1,Q310))="PARTIAL",INDEX(SourceTable[Status],MAX(1,Q310))="SOURCE CONFLICT")),"ACCESS BLOCKED",IF(OR(INDEX(SourceTable[Coverage],Q310)&lt;&gt;"FULL SEASON EXPORT",INDEX(SourceTable[URL],Q310)="",INDEX(SourceTable[SHA256],Q310)=""),"EVIDENCE INCOMPLETE",IF(AND('Input_Meci'!H31="LIVE",INDEX(SourceTable[Retrieved_UTC],Q310)&gt;'Input_Meci'!G31),"POST CUTOFF","CLOSED")))))))</x:f>
      </x:c>
      <x:c r="S310" s="2" t="n">
        <x:f>IF(OR(B310="",F310=""),0,COUNTIFS('Istoric_Nativ'!$B$6:$B$405,E310,'Istoric_Nativ'!$C$6:$C$405,F310,'Istoric_Nativ'!$E$6:$E$405,G310,'Istoric_Nativ'!$D$6:$D$405,"&lt;"&amp;J310,'Istoric_Nativ'!$O$6:$O$405,"INVALID")+COUNTIFS('Istoric_Nativ'!$B$6:$B$405,E310,'Istoric_Nativ'!$C$6:$C$405,F310,'Istoric_Nativ'!$E$6:$E$405,G310,'Istoric_Nativ'!$O$6:$O$405,"INVALID",'Istoric_Nativ'!$D$6:$D$405,"*")+COUNTIFS('Istoric_Nativ'!$B$6:$B$405,E310,'Istoric_Nativ'!$C$6:$C$405,F310,'Istoric_Nativ'!$E$6:$E$405,G310,'Istoric_Nativ'!$D$6:$D$405,"&lt;"&amp;J310,'Istoric_Nativ'!$O$6:$O$405,"SOURCE CONFLICT")+COUNTIFS('Istoric_Nativ'!$B$6:$B$405,E310,'Istoric_Nativ'!$C$6:$C$405,F310,'Istoric_Nativ'!$F$6:$F$405,G310,'Istoric_Nativ'!$D$6:$D$405,"&lt;"&amp;J310,'Istoric_Nativ'!$O$6:$O$405,"INVALID")+COUNTIFS('Istoric_Nativ'!$B$6:$B$405,E310,'Istoric_Nativ'!$C$6:$C$405,F310,'Istoric_Nativ'!$F$6:$F$405,G310,'Istoric_Nativ'!$O$6:$O$405,"INVALID",'Istoric_Nativ'!$D$6:$D$405,"*")+COUNTIFS('Istoric_Nativ'!$B$6:$B$405,E310,'Istoric_Nativ'!$C$6:$C$405,F310,'Istoric_Nativ'!$F$6:$F$405,G310,'Istoric_Nativ'!$D$6:$D$405,"&lt;"&amp;J310,'Istoric_Nativ'!$O$6:$O$405,"SOURCE CONFLICT"))</x:f>
        <x:v>0</x:v>
      </x:c>
      <x:c r="T310" s="2" t="str">
        <x:f>IF(B310="","",IF(R310&lt;&gt;"CLOSED",R310,IF(S310&gt;0,"NATIVE INPUT ISSUE",IF(M310=0,"NO HISTORY",IF(M310&lt;P310,"SMALL SAMPLE","DERIVED")))))</x:f>
      </x:c>
      <x:c r="U310" s="2" t="str">
        <x:f>IF(B310="","","NativeTable; "&amp;E310&amp;"; "&amp;F310&amp;"; "&amp;G310&amp;"; "&amp;H310&amp;"; before "&amp;TEXT(J310,"yyyy-mm-dd")&amp;IF(I310="RECENT","; from "&amp;TEXT(L310,"yyyy-mm-dd"),""))</x:f>
      </x:c>
    </x:row>
    <x:row r="311" ht="21" customHeight="1">
      <x:c r="A311" s="2" t="n">
        <x:v>26</x:v>
      </x:c>
      <x:c r="B311" s="2" t="str">
        <x:f>IF('Input_Meci'!A31="","",'Input_Meci'!A31)</x:f>
      </x:c>
      <x:c r="C311" s="2" t="str">
        <x:v>A</x:v>
      </x:c>
      <x:c r="D311" s="2" t="str">
        <x:v>CURRENT</x:v>
      </x:c>
      <x:c r="E311" s="2" t="str">
        <x:f>IF(B311="","",'Input_Meci'!B31)</x:f>
      </x:c>
      <x:c r="F311" s="2" t="str">
        <x:f>IF(B311="","",IF('Input_Meci'!C31="","",'Input_Meci'!C31))</x:f>
      </x:c>
      <x:c r="G311" s="2" t="str">
        <x:f>IF(B311="","",'Input_Meci'!E31)</x:f>
      </x:c>
      <x:c r="H311" s="2" t="str">
        <x:v>ANY</x:v>
      </x:c>
      <x:c r="I311" s="2" t="str">
        <x:v>RECENT</x:v>
      </x:c>
      <x:c r="J311" s="9" t="n">
        <x:f>IF(AND(B311&lt;&gt;"",ISNUMBER('Input_Meci'!G31)),INT('Input_Meci'!G31),0)</x:f>
        <x:v>0</x:v>
      </x:c>
      <x:c r="K311" s="2" t="n">
        <x:f>IF(OR(B311="",F311=""),0,IF(H311="HOME",COUNTIFS('Istoric_Nativ'!$B$6:$B$405,E311,'Istoric_Nativ'!$C$6:$C$405,F311,'Istoric_Nativ'!$E$6:$E$405,G311,'Istoric_Nativ'!$D$6:$D$405,"&lt;"&amp;J311,'Istoric_Nativ'!$P$6:$P$405,1),IF(H311="AWAY",COUNTIFS('Istoric_Nativ'!$B$6:$B$405,E311,'Istoric_Nativ'!$C$6:$C$405,F311,'Istoric_Nativ'!$F$6:$F$405,G311,'Istoric_Nativ'!$D$6:$D$405,"&lt;"&amp;J311,'Istoric_Nativ'!$P$6:$P$405,1),COUNTIFS('Istoric_Nativ'!$B$6:$B$405,E311,'Istoric_Nativ'!$C$6:$C$405,F311,'Istoric_Nativ'!$E$6:$E$405,G311,'Istoric_Nativ'!$D$6:$D$405,"&lt;"&amp;J311,'Istoric_Nativ'!$P$6:$P$405,1)+COUNTIFS('Istoric_Nativ'!$B$6:$B$405,E311,'Istoric_Nativ'!$C$6:$C$405,F311,'Istoric_Nativ'!$F$6:$F$405,G311,'Istoric_Nativ'!$D$6:$D$405,"&lt;"&amp;J311,'Istoric_Nativ'!$P$6:$P$405,1))))</x:f>
        <x:v>0</x:v>
      </x:c>
      <x:c r="L311" s="17" t="n">
        <x:f>IF(AND(B311&lt;&gt;"",I311="RECENT",K311&gt;0),LARGE(_xlfn._xlws.FILTER('Istoric_Nativ'!$D$6:$D$405,('Istoric_Nativ'!$B$6:$B$405=E311)*('Istoric_Nativ'!$C$6:$C$405=F311)*('Istoric_Nativ'!$P$6:$P$405=1)*('Istoric_Nativ'!$D$6:$D$405&lt;J311)*((('Istoric_Nativ'!$E$6:$E$405=G311)+('Istoric_Nativ'!$F$6:$F$405=G311))&gt;0)),MIN('Config_v6'!$B$54,K311)),0)</x:f>
        <x:v>0</x:v>
      </x:c>
      <x:c r="M311" s="2" t="n">
        <x:f>IF(OR(B311="",F311=""),0,IF(H311="HOME",COUNTIFS('Istoric_Nativ'!$B$6:$B$405,E311,'Istoric_Nativ'!$C$6:$C$405,F311,'Istoric_Nativ'!$E$6:$E$405,G311,'Istoric_Nativ'!$D$6:$D$405,"&lt;"&amp;J311,'Istoric_Nativ'!$P$6:$P$405,1,'Istoric_Nativ'!$D$6:$D$405,"&gt;="&amp;L311),IF(H311="AWAY",COUNTIFS('Istoric_Nativ'!$B$6:$B$405,E311,'Istoric_Nativ'!$C$6:$C$405,F311,'Istoric_Nativ'!$F$6:$F$405,G311,'Istoric_Nativ'!$D$6:$D$405,"&lt;"&amp;J311,'Istoric_Nativ'!$P$6:$P$405,1,'Istoric_Nativ'!$D$6:$D$405,"&gt;="&amp;L311),COUNTIFS('Istoric_Nativ'!$B$6:$B$405,E311,'Istoric_Nativ'!$C$6:$C$405,F311,'Istoric_Nativ'!$E$6:$E$405,G311,'Istoric_Nativ'!$D$6:$D$405,"&lt;"&amp;J311,'Istoric_Nativ'!$P$6:$P$405,1,'Istoric_Nativ'!$D$6:$D$405,"&gt;="&amp;L311)+COUNTIFS('Istoric_Nativ'!$B$6:$B$405,E311,'Istoric_Nativ'!$C$6:$C$405,F311,'Istoric_Nativ'!$F$6:$F$405,G311,'Istoric_Nativ'!$D$6:$D$405,"&lt;"&amp;J311,'Istoric_Nativ'!$P$6:$P$405,1,'Istoric_Nativ'!$D$6:$D$405,"&gt;="&amp;L311))))</x:f>
        <x:v>0</x:v>
      </x:c>
      <x:c r="N311" s="11" t="str">
        <x:f>IF(M311=0,"",IF(H311="HOME",SUMIFS('Istoric_Nativ'!$G$6:$G$405,'Istoric_Nativ'!$B$6:$B$405,E311,'Istoric_Nativ'!$C$6:$C$405,F311,'Istoric_Nativ'!$E$6:$E$405,G311,'Istoric_Nativ'!$D$6:$D$405,"&lt;"&amp;J311,'Istoric_Nativ'!$P$6:$P$405,1,'Istoric_Nativ'!$D$6:$D$405,"&gt;="&amp;L311),IF(H311="AWAY",SUMIFS('Istoric_Nativ'!$H$6:$H$405,'Istoric_Nativ'!$B$6:$B$405,E311,'Istoric_Nativ'!$C$6:$C$405,F311,'Istoric_Nativ'!$F$6:$F$405,G311,'Istoric_Nativ'!$D$6:$D$405,"&lt;"&amp;J311,'Istoric_Nativ'!$P$6:$P$405,1,'Istoric_Nativ'!$D$6:$D$405,"&gt;="&amp;L311),SUMIFS('Istoric_Nativ'!$G$6:$G$405,'Istoric_Nativ'!$B$6:$B$405,E311,'Istoric_Nativ'!$C$6:$C$405,F311,'Istoric_Nativ'!$E$6:$E$405,G311,'Istoric_Nativ'!$D$6:$D$405,"&lt;"&amp;J311,'Istoric_Nativ'!$P$6:$P$405,1,'Istoric_Nativ'!$D$6:$D$405,"&gt;="&amp;L311)+SUMIFS('Istoric_Nativ'!$H$6:$H$405,'Istoric_Nativ'!$B$6:$B$405,E311,'Istoric_Nativ'!$C$6:$C$405,F311,'Istoric_Nativ'!$F$6:$F$405,G311,'Istoric_Nativ'!$D$6:$D$405,"&lt;"&amp;J311,'Istoric_Nativ'!$P$6:$P$405,1,'Istoric_Nativ'!$D$6:$D$405,"&gt;="&amp;L311)))/M311)</x:f>
      </x:c>
      <x:c r="O311" s="11" t="str">
        <x:f>IF(M311=0,"",IF(H311="HOME",SUMIFS('Istoric_Nativ'!$H$6:$H$405,'Istoric_Nativ'!$B$6:$B$405,E311,'Istoric_Nativ'!$C$6:$C$405,F311,'Istoric_Nativ'!$E$6:$E$405,G311,'Istoric_Nativ'!$D$6:$D$405,"&lt;"&amp;J311,'Istoric_Nativ'!$P$6:$P$405,1,'Istoric_Nativ'!$D$6:$D$405,"&gt;="&amp;L311),IF(H311="AWAY",SUMIFS('Istoric_Nativ'!$G$6:$G$405,'Istoric_Nativ'!$B$6:$B$405,E311,'Istoric_Nativ'!$C$6:$C$405,F311,'Istoric_Nativ'!$F$6:$F$405,G311,'Istoric_Nativ'!$D$6:$D$405,"&lt;"&amp;J311,'Istoric_Nativ'!$P$6:$P$405,1,'Istoric_Nativ'!$D$6:$D$405,"&gt;="&amp;L311),SUMIFS('Istoric_Nativ'!$H$6:$H$405,'Istoric_Nativ'!$B$6:$B$405,E311,'Istoric_Nativ'!$C$6:$C$405,F311,'Istoric_Nativ'!$E$6:$E$405,G311,'Istoric_Nativ'!$D$6:$D$405,"&lt;"&amp;J311,'Istoric_Nativ'!$P$6:$P$405,1,'Istoric_Nativ'!$D$6:$D$405,"&gt;="&amp;L311)+SUMIFS('Istoric_Nativ'!$G$6:$G$405,'Istoric_Nativ'!$B$6:$B$405,E311,'Istoric_Nativ'!$C$6:$C$405,F311,'Istoric_Nativ'!$F$6:$F$405,G311,'Istoric_Nativ'!$D$6:$D$405,"&lt;"&amp;J311,'Istoric_Nativ'!$P$6:$P$405,1,'Istoric_Nativ'!$D$6:$D$405,"&gt;="&amp;L311)))/M311)</x:f>
      </x:c>
      <x:c r="P311" s="2" t="n">
        <x:f>'Config_v6'!$B$9</x:f>
        <x:v>3</x:v>
      </x:c>
      <x:c r="Q311" s="2" t="n">
        <x:f>IF(OR(B311="",F311=""),0,IFERROR(MATCH(E311&amp;"|"&amp;F311,SourceTable[Source_Key],0),0))</x:f>
        <x:v>0</x:v>
      </x:c>
      <x:c r="R311" s="2" t="str">
        <x:f>IF(B311="","",IF(F311="","UNUSED",IF(Q311=0,"NOT CHECKED",IF(COUNTIF(SourceTable[Source_Key],E311&amp;"|"&amp;F311)&lt;&gt;1,"SOURCE CONFLICT",IF(NOT(OR(INDEX(SourceTable[Status],MAX(1,Q311))="IMPORTED",INDEX(SourceTable[Status],MAX(1,Q311))="PARTIAL",INDEX(SourceTable[Status],MAX(1,Q311))="SOURCE CONFLICT")),"ACCESS BLOCKED",IF(OR(INDEX(SourceTable[Coverage],Q311)&lt;&gt;"FULL SEASON EXPORT",INDEX(SourceTable[URL],Q311)="",INDEX(SourceTable[SHA256],Q311)=""),"EVIDENCE INCOMPLETE",IF(AND('Input_Meci'!H31="LIVE",INDEX(SourceTable[Retrieved_UTC],Q311)&gt;'Input_Meci'!G31),"POST CUTOFF","CLOSED")))))))</x:f>
      </x:c>
      <x:c r="S311" s="2" t="n">
        <x:f>IF(OR(B311="",F311=""),0,COUNTIFS('Istoric_Nativ'!$B$6:$B$405,E311,'Istoric_Nativ'!$C$6:$C$405,F311,'Istoric_Nativ'!$E$6:$E$405,G311,'Istoric_Nativ'!$D$6:$D$405,"&lt;"&amp;J311,'Istoric_Nativ'!$O$6:$O$405,"INVALID")+COUNTIFS('Istoric_Nativ'!$B$6:$B$405,E311,'Istoric_Nativ'!$C$6:$C$405,F311,'Istoric_Nativ'!$E$6:$E$405,G311,'Istoric_Nativ'!$O$6:$O$405,"INVALID",'Istoric_Nativ'!$D$6:$D$405,"*")+COUNTIFS('Istoric_Nativ'!$B$6:$B$405,E311,'Istoric_Nativ'!$C$6:$C$405,F311,'Istoric_Nativ'!$E$6:$E$405,G311,'Istoric_Nativ'!$D$6:$D$405,"&lt;"&amp;J311,'Istoric_Nativ'!$O$6:$O$405,"SOURCE CONFLICT")+COUNTIFS('Istoric_Nativ'!$B$6:$B$405,E311,'Istoric_Nativ'!$C$6:$C$405,F311,'Istoric_Nativ'!$F$6:$F$405,G311,'Istoric_Nativ'!$D$6:$D$405,"&lt;"&amp;J311,'Istoric_Nativ'!$O$6:$O$405,"INVALID")+COUNTIFS('Istoric_Nativ'!$B$6:$B$405,E311,'Istoric_Nativ'!$C$6:$C$405,F311,'Istoric_Nativ'!$F$6:$F$405,G311,'Istoric_Nativ'!$O$6:$O$405,"INVALID",'Istoric_Nativ'!$D$6:$D$405,"*")+COUNTIFS('Istoric_Nativ'!$B$6:$B$405,E311,'Istoric_Nativ'!$C$6:$C$405,F311,'Istoric_Nativ'!$F$6:$F$405,G311,'Istoric_Nativ'!$D$6:$D$405,"&lt;"&amp;J311,'Istoric_Nativ'!$O$6:$O$405,"SOURCE CONFLICT"))</x:f>
        <x:v>0</x:v>
      </x:c>
      <x:c r="T311" s="2" t="str">
        <x:f>IF(B311="","",IF(R311&lt;&gt;"CLOSED",R311,IF(S311&gt;0,"NATIVE INPUT ISSUE",IF(M311=0,"NO HISTORY",IF(M311&lt;P311,"SMALL SAMPLE","DERIVED")))))</x:f>
      </x:c>
      <x:c r="U311" s="2" t="str">
        <x:f>IF(B311="","","NativeTable; "&amp;E311&amp;"; "&amp;F311&amp;"; "&amp;G311&amp;"; "&amp;H311&amp;"; before "&amp;TEXT(J311,"yyyy-mm-dd")&amp;IF(I311="RECENT","; from "&amp;TEXT(L311,"yyyy-mm-dd"),""))</x:f>
      </x:c>
    </x:row>
    <x:row r="312" ht="21" customHeight="1">
      <x:c r="A312" s="2" t="n">
        <x:v>26</x:v>
      </x:c>
      <x:c r="B312" s="2" t="str">
        <x:f>IF('Input_Meci'!A31="","",'Input_Meci'!A31)</x:f>
      </x:c>
      <x:c r="C312" s="2" t="str">
        <x:v>H</x:v>
      </x:c>
      <x:c r="D312" s="2" t="str">
        <x:v>PRIOR</x:v>
      </x:c>
      <x:c r="E312" s="2" t="str">
        <x:f>IF(B312="","",'Input_Meci'!B31)</x:f>
      </x:c>
      <x:c r="F312" s="2" t="str">
        <x:f>IF(B312="","",IF('Input_Meci'!K31="","",'Input_Meci'!K31))</x:f>
      </x:c>
      <x:c r="G312" s="2" t="str">
        <x:f>IF(B312="","",'Input_Meci'!D31)</x:f>
      </x:c>
      <x:c r="H312" s="2" t="str">
        <x:v>ANY</x:v>
      </x:c>
      <x:c r="I312" s="2" t="str">
        <x:v>SEASON</x:v>
      </x:c>
      <x:c r="J312" s="9" t="n">
        <x:f>IF(AND(B312&lt;&gt;"",ISNUMBER('Input_Meci'!G31)),INT('Input_Meci'!G31),0)</x:f>
        <x:v>0</x:v>
      </x:c>
      <x:c r="K312" s="2" t="n">
        <x:f>IF(OR(B312="",F312=""),0,IF(H312="HOME",COUNTIFS('Istoric_Nativ'!$B$6:$B$405,E312,'Istoric_Nativ'!$C$6:$C$405,F312,'Istoric_Nativ'!$E$6:$E$405,G312,'Istoric_Nativ'!$D$6:$D$405,"&lt;"&amp;J312,'Istoric_Nativ'!$P$6:$P$405,1),IF(H312="AWAY",COUNTIFS('Istoric_Nativ'!$B$6:$B$405,E312,'Istoric_Nativ'!$C$6:$C$405,F312,'Istoric_Nativ'!$F$6:$F$405,G312,'Istoric_Nativ'!$D$6:$D$405,"&lt;"&amp;J312,'Istoric_Nativ'!$P$6:$P$405,1),COUNTIFS('Istoric_Nativ'!$B$6:$B$405,E312,'Istoric_Nativ'!$C$6:$C$405,F312,'Istoric_Nativ'!$E$6:$E$405,G312,'Istoric_Nativ'!$D$6:$D$405,"&lt;"&amp;J312,'Istoric_Nativ'!$P$6:$P$405,1)+COUNTIFS('Istoric_Nativ'!$B$6:$B$405,E312,'Istoric_Nativ'!$C$6:$C$405,F312,'Istoric_Nativ'!$F$6:$F$405,G312,'Istoric_Nativ'!$D$6:$D$405,"&lt;"&amp;J312,'Istoric_Nativ'!$P$6:$P$405,1))))</x:f>
        <x:v>0</x:v>
      </x:c>
      <x:c r="L312" s="17" t="n">
        <x:f>IF(AND(B312&lt;&gt;"",I312="RECENT",K312&gt;0),LARGE(_xlfn._xlws.FILTER('Istoric_Nativ'!$D$6:$D$405,('Istoric_Nativ'!$B$6:$B$405=E312)*('Istoric_Nativ'!$C$6:$C$405=F312)*('Istoric_Nativ'!$P$6:$P$405=1)*('Istoric_Nativ'!$D$6:$D$405&lt;J312)*((('Istoric_Nativ'!$E$6:$E$405=G312)+('Istoric_Nativ'!$F$6:$F$405=G312))&gt;0)),MIN('Config_v6'!$B$54,K312)),0)</x:f>
        <x:v>0</x:v>
      </x:c>
      <x:c r="M312" s="2" t="n">
        <x:f>IF(OR(B312="",F312=""),0,IF(H312="HOME",COUNTIFS('Istoric_Nativ'!$B$6:$B$405,E312,'Istoric_Nativ'!$C$6:$C$405,F312,'Istoric_Nativ'!$E$6:$E$405,G312,'Istoric_Nativ'!$D$6:$D$405,"&lt;"&amp;J312,'Istoric_Nativ'!$P$6:$P$405,1,'Istoric_Nativ'!$D$6:$D$405,"&gt;="&amp;L312),IF(H312="AWAY",COUNTIFS('Istoric_Nativ'!$B$6:$B$405,E312,'Istoric_Nativ'!$C$6:$C$405,F312,'Istoric_Nativ'!$F$6:$F$405,G312,'Istoric_Nativ'!$D$6:$D$405,"&lt;"&amp;J312,'Istoric_Nativ'!$P$6:$P$405,1,'Istoric_Nativ'!$D$6:$D$405,"&gt;="&amp;L312),COUNTIFS('Istoric_Nativ'!$B$6:$B$405,E312,'Istoric_Nativ'!$C$6:$C$405,F312,'Istoric_Nativ'!$E$6:$E$405,G312,'Istoric_Nativ'!$D$6:$D$405,"&lt;"&amp;J312,'Istoric_Nativ'!$P$6:$P$405,1,'Istoric_Nativ'!$D$6:$D$405,"&gt;="&amp;L312)+COUNTIFS('Istoric_Nativ'!$B$6:$B$405,E312,'Istoric_Nativ'!$C$6:$C$405,F312,'Istoric_Nativ'!$F$6:$F$405,G312,'Istoric_Nativ'!$D$6:$D$405,"&lt;"&amp;J312,'Istoric_Nativ'!$P$6:$P$405,1,'Istoric_Nativ'!$D$6:$D$405,"&gt;="&amp;L312))))</x:f>
        <x:v>0</x:v>
      </x:c>
      <x:c r="N312" s="11" t="str">
        <x:f>IF(M312=0,"",IF(H312="HOME",SUMIFS('Istoric_Nativ'!$G$6:$G$405,'Istoric_Nativ'!$B$6:$B$405,E312,'Istoric_Nativ'!$C$6:$C$405,F312,'Istoric_Nativ'!$E$6:$E$405,G312,'Istoric_Nativ'!$D$6:$D$405,"&lt;"&amp;J312,'Istoric_Nativ'!$P$6:$P$405,1,'Istoric_Nativ'!$D$6:$D$405,"&gt;="&amp;L312),IF(H312="AWAY",SUMIFS('Istoric_Nativ'!$H$6:$H$405,'Istoric_Nativ'!$B$6:$B$405,E312,'Istoric_Nativ'!$C$6:$C$405,F312,'Istoric_Nativ'!$F$6:$F$405,G312,'Istoric_Nativ'!$D$6:$D$405,"&lt;"&amp;J312,'Istoric_Nativ'!$P$6:$P$405,1,'Istoric_Nativ'!$D$6:$D$405,"&gt;="&amp;L312),SUMIFS('Istoric_Nativ'!$G$6:$G$405,'Istoric_Nativ'!$B$6:$B$405,E312,'Istoric_Nativ'!$C$6:$C$405,F312,'Istoric_Nativ'!$E$6:$E$405,G312,'Istoric_Nativ'!$D$6:$D$405,"&lt;"&amp;J312,'Istoric_Nativ'!$P$6:$P$405,1,'Istoric_Nativ'!$D$6:$D$405,"&gt;="&amp;L312)+SUMIFS('Istoric_Nativ'!$H$6:$H$405,'Istoric_Nativ'!$B$6:$B$405,E312,'Istoric_Nativ'!$C$6:$C$405,F312,'Istoric_Nativ'!$F$6:$F$405,G312,'Istoric_Nativ'!$D$6:$D$405,"&lt;"&amp;J312,'Istoric_Nativ'!$P$6:$P$405,1,'Istoric_Nativ'!$D$6:$D$405,"&gt;="&amp;L312)))/M312)</x:f>
      </x:c>
      <x:c r="O312" s="11" t="str">
        <x:f>IF(M312=0,"",IF(H312="HOME",SUMIFS('Istoric_Nativ'!$H$6:$H$405,'Istoric_Nativ'!$B$6:$B$405,E312,'Istoric_Nativ'!$C$6:$C$405,F312,'Istoric_Nativ'!$E$6:$E$405,G312,'Istoric_Nativ'!$D$6:$D$405,"&lt;"&amp;J312,'Istoric_Nativ'!$P$6:$P$405,1,'Istoric_Nativ'!$D$6:$D$405,"&gt;="&amp;L312),IF(H312="AWAY",SUMIFS('Istoric_Nativ'!$G$6:$G$405,'Istoric_Nativ'!$B$6:$B$405,E312,'Istoric_Nativ'!$C$6:$C$405,F312,'Istoric_Nativ'!$F$6:$F$405,G312,'Istoric_Nativ'!$D$6:$D$405,"&lt;"&amp;J312,'Istoric_Nativ'!$P$6:$P$405,1,'Istoric_Nativ'!$D$6:$D$405,"&gt;="&amp;L312),SUMIFS('Istoric_Nativ'!$H$6:$H$405,'Istoric_Nativ'!$B$6:$B$405,E312,'Istoric_Nativ'!$C$6:$C$405,F312,'Istoric_Nativ'!$E$6:$E$405,G312,'Istoric_Nativ'!$D$6:$D$405,"&lt;"&amp;J312,'Istoric_Nativ'!$P$6:$P$405,1,'Istoric_Nativ'!$D$6:$D$405,"&gt;="&amp;L312)+SUMIFS('Istoric_Nativ'!$G$6:$G$405,'Istoric_Nativ'!$B$6:$B$405,E312,'Istoric_Nativ'!$C$6:$C$405,F312,'Istoric_Nativ'!$F$6:$F$405,G312,'Istoric_Nativ'!$D$6:$D$405,"&lt;"&amp;J312,'Istoric_Nativ'!$P$6:$P$405,1,'Istoric_Nativ'!$D$6:$D$405,"&gt;="&amp;L312)))/M312)</x:f>
      </x:c>
      <x:c r="P312" s="2" t="n">
        <x:f>'Config_v6'!$B$7</x:f>
        <x:v>10</x:v>
      </x:c>
      <x:c r="Q312" s="2" t="n">
        <x:f>IF(OR(B312="",F312=""),0,IFERROR(MATCH(E312&amp;"|"&amp;F312,SourceTable[Source_Key],0),0))</x:f>
        <x:v>0</x:v>
      </x:c>
      <x:c r="R312" s="2" t="str">
        <x:f>IF(B312="","",IF(F312="","UNUSED",IF(Q312=0,"NOT CHECKED",IF(COUNTIF(SourceTable[Source_Key],E312&amp;"|"&amp;F312)&lt;&gt;1,"SOURCE CONFLICT",IF(NOT(OR(INDEX(SourceTable[Status],MAX(1,Q312))="IMPORTED",INDEX(SourceTable[Status],MAX(1,Q312))="PARTIAL",INDEX(SourceTable[Status],MAX(1,Q312))="SOURCE CONFLICT")),"ACCESS BLOCKED",IF(OR(INDEX(SourceTable[Coverage],Q312)&lt;&gt;"FULL SEASON EXPORT",INDEX(SourceTable[URL],Q312)="",INDEX(SourceTable[SHA256],Q312)=""),"EVIDENCE INCOMPLETE",IF(AND('Input_Meci'!H31="LIVE",INDEX(SourceTable[Retrieved_UTC],Q312)&gt;'Input_Meci'!G31),"POST CUTOFF","CLOSED")))))))</x:f>
      </x:c>
      <x:c r="S312" s="2" t="n">
        <x:f>IF(OR(B312="",F312=""),0,COUNTIFS('Istoric_Nativ'!$B$6:$B$405,E312,'Istoric_Nativ'!$C$6:$C$405,F312,'Istoric_Nativ'!$E$6:$E$405,G312,'Istoric_Nativ'!$D$6:$D$405,"&lt;"&amp;J312,'Istoric_Nativ'!$O$6:$O$405,"INVALID")+COUNTIFS('Istoric_Nativ'!$B$6:$B$405,E312,'Istoric_Nativ'!$C$6:$C$405,F312,'Istoric_Nativ'!$E$6:$E$405,G312,'Istoric_Nativ'!$O$6:$O$405,"INVALID",'Istoric_Nativ'!$D$6:$D$405,"*")+COUNTIFS('Istoric_Nativ'!$B$6:$B$405,E312,'Istoric_Nativ'!$C$6:$C$405,F312,'Istoric_Nativ'!$E$6:$E$405,G312,'Istoric_Nativ'!$D$6:$D$405,"&lt;"&amp;J312,'Istoric_Nativ'!$O$6:$O$405,"SOURCE CONFLICT")+COUNTIFS('Istoric_Nativ'!$B$6:$B$405,E312,'Istoric_Nativ'!$C$6:$C$405,F312,'Istoric_Nativ'!$F$6:$F$405,G312,'Istoric_Nativ'!$D$6:$D$405,"&lt;"&amp;J312,'Istoric_Nativ'!$O$6:$O$405,"INVALID")+COUNTIFS('Istoric_Nativ'!$B$6:$B$405,E312,'Istoric_Nativ'!$C$6:$C$405,F312,'Istoric_Nativ'!$F$6:$F$405,G312,'Istoric_Nativ'!$O$6:$O$405,"INVALID",'Istoric_Nativ'!$D$6:$D$405,"*")+COUNTIFS('Istoric_Nativ'!$B$6:$B$405,E312,'Istoric_Nativ'!$C$6:$C$405,F312,'Istoric_Nativ'!$F$6:$F$405,G312,'Istoric_Nativ'!$D$6:$D$405,"&lt;"&amp;J312,'Istoric_Nativ'!$O$6:$O$405,"SOURCE CONFLICT"))</x:f>
        <x:v>0</x:v>
      </x:c>
      <x:c r="T312" s="2" t="str">
        <x:f>IF(B312="","",IF(R312&lt;&gt;"CLOSED",R312,IF(S312&gt;0,"NATIVE INPUT ISSUE",IF(M312=0,"NO HISTORY",IF(M312&lt;P312,"SMALL SAMPLE","DERIVED")))))</x:f>
      </x:c>
      <x:c r="U312" s="2" t="str">
        <x:f>IF(B312="","","NativeTable; "&amp;E312&amp;"; "&amp;F312&amp;"; "&amp;G312&amp;"; "&amp;H312&amp;"; before "&amp;TEXT(J312,"yyyy-mm-dd")&amp;IF(I312="RECENT","; from "&amp;TEXT(L312,"yyyy-mm-dd"),""))</x:f>
      </x:c>
    </x:row>
    <x:row r="313" ht="21" customHeight="1">
      <x:c r="A313" s="2" t="n">
        <x:v>26</x:v>
      </x:c>
      <x:c r="B313" s="2" t="str">
        <x:f>IF('Input_Meci'!A31="","",'Input_Meci'!A31)</x:f>
      </x:c>
      <x:c r="C313" s="2" t="str">
        <x:v>H</x:v>
      </x:c>
      <x:c r="D313" s="2" t="str">
        <x:v>PRIOR</x:v>
      </x:c>
      <x:c r="E313" s="2" t="str">
        <x:f>IF(B313="","",'Input_Meci'!B31)</x:f>
      </x:c>
      <x:c r="F313" s="2" t="str">
        <x:f>IF(B313="","",IF('Input_Meci'!K31="","",'Input_Meci'!K31))</x:f>
      </x:c>
      <x:c r="G313" s="2" t="str">
        <x:f>IF(B313="","",'Input_Meci'!D31)</x:f>
      </x:c>
      <x:c r="H313" s="2" t="str">
        <x:v>HOME</x:v>
      </x:c>
      <x:c r="I313" s="2" t="str">
        <x:v>HA</x:v>
      </x:c>
      <x:c r="J313" s="9" t="n">
        <x:f>IF(AND(B313&lt;&gt;"",ISNUMBER('Input_Meci'!G31)),INT('Input_Meci'!G31),0)</x:f>
        <x:v>0</x:v>
      </x:c>
      <x:c r="K313" s="2" t="n">
        <x:f>IF(OR(B313="",F313=""),0,IF(H313="HOME",COUNTIFS('Istoric_Nativ'!$B$6:$B$405,E313,'Istoric_Nativ'!$C$6:$C$405,F313,'Istoric_Nativ'!$E$6:$E$405,G313,'Istoric_Nativ'!$D$6:$D$405,"&lt;"&amp;J313,'Istoric_Nativ'!$P$6:$P$405,1),IF(H313="AWAY",COUNTIFS('Istoric_Nativ'!$B$6:$B$405,E313,'Istoric_Nativ'!$C$6:$C$405,F313,'Istoric_Nativ'!$F$6:$F$405,G313,'Istoric_Nativ'!$D$6:$D$405,"&lt;"&amp;J313,'Istoric_Nativ'!$P$6:$P$405,1),COUNTIFS('Istoric_Nativ'!$B$6:$B$405,E313,'Istoric_Nativ'!$C$6:$C$405,F313,'Istoric_Nativ'!$E$6:$E$405,G313,'Istoric_Nativ'!$D$6:$D$405,"&lt;"&amp;J313,'Istoric_Nativ'!$P$6:$P$405,1)+COUNTIFS('Istoric_Nativ'!$B$6:$B$405,E313,'Istoric_Nativ'!$C$6:$C$405,F313,'Istoric_Nativ'!$F$6:$F$405,G313,'Istoric_Nativ'!$D$6:$D$405,"&lt;"&amp;J313,'Istoric_Nativ'!$P$6:$P$405,1))))</x:f>
        <x:v>0</x:v>
      </x:c>
      <x:c r="L313" s="17" t="n">
        <x:f>IF(AND(B313&lt;&gt;"",I313="RECENT",K313&gt;0),LARGE(_xlfn._xlws.FILTER('Istoric_Nativ'!$D$6:$D$405,('Istoric_Nativ'!$B$6:$B$405=E313)*('Istoric_Nativ'!$C$6:$C$405=F313)*('Istoric_Nativ'!$P$6:$P$405=1)*('Istoric_Nativ'!$D$6:$D$405&lt;J313)*((('Istoric_Nativ'!$E$6:$E$405=G313)+('Istoric_Nativ'!$F$6:$F$405=G313))&gt;0)),MIN('Config_v6'!$B$54,K313)),0)</x:f>
        <x:v>0</x:v>
      </x:c>
      <x:c r="M313" s="2" t="n">
        <x:f>IF(OR(B313="",F313=""),0,IF(H313="HOME",COUNTIFS('Istoric_Nativ'!$B$6:$B$405,E313,'Istoric_Nativ'!$C$6:$C$405,F313,'Istoric_Nativ'!$E$6:$E$405,G313,'Istoric_Nativ'!$D$6:$D$405,"&lt;"&amp;J313,'Istoric_Nativ'!$P$6:$P$405,1,'Istoric_Nativ'!$D$6:$D$405,"&gt;="&amp;L313),IF(H313="AWAY",COUNTIFS('Istoric_Nativ'!$B$6:$B$405,E313,'Istoric_Nativ'!$C$6:$C$405,F313,'Istoric_Nativ'!$F$6:$F$405,G313,'Istoric_Nativ'!$D$6:$D$405,"&lt;"&amp;J313,'Istoric_Nativ'!$P$6:$P$405,1,'Istoric_Nativ'!$D$6:$D$405,"&gt;="&amp;L313),COUNTIFS('Istoric_Nativ'!$B$6:$B$405,E313,'Istoric_Nativ'!$C$6:$C$405,F313,'Istoric_Nativ'!$E$6:$E$405,G313,'Istoric_Nativ'!$D$6:$D$405,"&lt;"&amp;J313,'Istoric_Nativ'!$P$6:$P$405,1,'Istoric_Nativ'!$D$6:$D$405,"&gt;="&amp;L313)+COUNTIFS('Istoric_Nativ'!$B$6:$B$405,E313,'Istoric_Nativ'!$C$6:$C$405,F313,'Istoric_Nativ'!$F$6:$F$405,G313,'Istoric_Nativ'!$D$6:$D$405,"&lt;"&amp;J313,'Istoric_Nativ'!$P$6:$P$405,1,'Istoric_Nativ'!$D$6:$D$405,"&gt;="&amp;L313))))</x:f>
        <x:v>0</x:v>
      </x:c>
      <x:c r="N313" s="11" t="str">
        <x:f>IF(M313=0,"",IF(H313="HOME",SUMIFS('Istoric_Nativ'!$G$6:$G$405,'Istoric_Nativ'!$B$6:$B$405,E313,'Istoric_Nativ'!$C$6:$C$405,F313,'Istoric_Nativ'!$E$6:$E$405,G313,'Istoric_Nativ'!$D$6:$D$405,"&lt;"&amp;J313,'Istoric_Nativ'!$P$6:$P$405,1,'Istoric_Nativ'!$D$6:$D$405,"&gt;="&amp;L313),IF(H313="AWAY",SUMIFS('Istoric_Nativ'!$H$6:$H$405,'Istoric_Nativ'!$B$6:$B$405,E313,'Istoric_Nativ'!$C$6:$C$405,F313,'Istoric_Nativ'!$F$6:$F$405,G313,'Istoric_Nativ'!$D$6:$D$405,"&lt;"&amp;J313,'Istoric_Nativ'!$P$6:$P$405,1,'Istoric_Nativ'!$D$6:$D$405,"&gt;="&amp;L313),SUMIFS('Istoric_Nativ'!$G$6:$G$405,'Istoric_Nativ'!$B$6:$B$405,E313,'Istoric_Nativ'!$C$6:$C$405,F313,'Istoric_Nativ'!$E$6:$E$405,G313,'Istoric_Nativ'!$D$6:$D$405,"&lt;"&amp;J313,'Istoric_Nativ'!$P$6:$P$405,1,'Istoric_Nativ'!$D$6:$D$405,"&gt;="&amp;L313)+SUMIFS('Istoric_Nativ'!$H$6:$H$405,'Istoric_Nativ'!$B$6:$B$405,E313,'Istoric_Nativ'!$C$6:$C$405,F313,'Istoric_Nativ'!$F$6:$F$405,G313,'Istoric_Nativ'!$D$6:$D$405,"&lt;"&amp;J313,'Istoric_Nativ'!$P$6:$P$405,1,'Istoric_Nativ'!$D$6:$D$405,"&gt;="&amp;L313)))/M313)</x:f>
      </x:c>
      <x:c r="O313" s="11" t="str">
        <x:f>IF(M313=0,"",IF(H313="HOME",SUMIFS('Istoric_Nativ'!$H$6:$H$405,'Istoric_Nativ'!$B$6:$B$405,E313,'Istoric_Nativ'!$C$6:$C$405,F313,'Istoric_Nativ'!$E$6:$E$405,G313,'Istoric_Nativ'!$D$6:$D$405,"&lt;"&amp;J313,'Istoric_Nativ'!$P$6:$P$405,1,'Istoric_Nativ'!$D$6:$D$405,"&gt;="&amp;L313),IF(H313="AWAY",SUMIFS('Istoric_Nativ'!$G$6:$G$405,'Istoric_Nativ'!$B$6:$B$405,E313,'Istoric_Nativ'!$C$6:$C$405,F313,'Istoric_Nativ'!$F$6:$F$405,G313,'Istoric_Nativ'!$D$6:$D$405,"&lt;"&amp;J313,'Istoric_Nativ'!$P$6:$P$405,1,'Istoric_Nativ'!$D$6:$D$405,"&gt;="&amp;L313),SUMIFS('Istoric_Nativ'!$H$6:$H$405,'Istoric_Nativ'!$B$6:$B$405,E313,'Istoric_Nativ'!$C$6:$C$405,F313,'Istoric_Nativ'!$E$6:$E$405,G313,'Istoric_Nativ'!$D$6:$D$405,"&lt;"&amp;J313,'Istoric_Nativ'!$P$6:$P$405,1,'Istoric_Nativ'!$D$6:$D$405,"&gt;="&amp;L313)+SUMIFS('Istoric_Nativ'!$G$6:$G$405,'Istoric_Nativ'!$B$6:$B$405,E313,'Istoric_Nativ'!$C$6:$C$405,F313,'Istoric_Nativ'!$F$6:$F$405,G313,'Istoric_Nativ'!$D$6:$D$405,"&lt;"&amp;J313,'Istoric_Nativ'!$P$6:$P$405,1,'Istoric_Nativ'!$D$6:$D$405,"&gt;="&amp;L313)))/M313)</x:f>
      </x:c>
      <x:c r="P313" s="2" t="n">
        <x:f>'Config_v6'!$B$8</x:f>
        <x:v>5</x:v>
      </x:c>
      <x:c r="Q313" s="2" t="n">
        <x:f>IF(OR(B313="",F313=""),0,IFERROR(MATCH(E313&amp;"|"&amp;F313,SourceTable[Source_Key],0),0))</x:f>
        <x:v>0</x:v>
      </x:c>
      <x:c r="R313" s="2" t="str">
        <x:f>IF(B313="","",IF(F313="","UNUSED",IF(Q313=0,"NOT CHECKED",IF(COUNTIF(SourceTable[Source_Key],E313&amp;"|"&amp;F313)&lt;&gt;1,"SOURCE CONFLICT",IF(NOT(OR(INDEX(SourceTable[Status],MAX(1,Q313))="IMPORTED",INDEX(SourceTable[Status],MAX(1,Q313))="PARTIAL",INDEX(SourceTable[Status],MAX(1,Q313))="SOURCE CONFLICT")),"ACCESS BLOCKED",IF(OR(INDEX(SourceTable[Coverage],Q313)&lt;&gt;"FULL SEASON EXPORT",INDEX(SourceTable[URL],Q313)="",INDEX(SourceTable[SHA256],Q313)=""),"EVIDENCE INCOMPLETE",IF(AND('Input_Meci'!H31="LIVE",INDEX(SourceTable[Retrieved_UTC],Q313)&gt;'Input_Meci'!G31),"POST CUTOFF","CLOSED")))))))</x:f>
      </x:c>
      <x:c r="S313" s="2" t="n">
        <x:f>IF(OR(B313="",F313=""),0,COUNTIFS('Istoric_Nativ'!$B$6:$B$405,E313,'Istoric_Nativ'!$C$6:$C$405,F313,'Istoric_Nativ'!$E$6:$E$405,G313,'Istoric_Nativ'!$D$6:$D$405,"&lt;"&amp;J313,'Istoric_Nativ'!$O$6:$O$405,"INVALID")+COUNTIFS('Istoric_Nativ'!$B$6:$B$405,E313,'Istoric_Nativ'!$C$6:$C$405,F313,'Istoric_Nativ'!$E$6:$E$405,G313,'Istoric_Nativ'!$O$6:$O$405,"INVALID",'Istoric_Nativ'!$D$6:$D$405,"*")+COUNTIFS('Istoric_Nativ'!$B$6:$B$405,E313,'Istoric_Nativ'!$C$6:$C$405,F313,'Istoric_Nativ'!$E$6:$E$405,G313,'Istoric_Nativ'!$D$6:$D$405,"&lt;"&amp;J313,'Istoric_Nativ'!$O$6:$O$405,"SOURCE CONFLICT")+COUNTIFS('Istoric_Nativ'!$B$6:$B$405,E313,'Istoric_Nativ'!$C$6:$C$405,F313,'Istoric_Nativ'!$F$6:$F$405,G313,'Istoric_Nativ'!$D$6:$D$405,"&lt;"&amp;J313,'Istoric_Nativ'!$O$6:$O$405,"INVALID")+COUNTIFS('Istoric_Nativ'!$B$6:$B$405,E313,'Istoric_Nativ'!$C$6:$C$405,F313,'Istoric_Nativ'!$F$6:$F$405,G313,'Istoric_Nativ'!$O$6:$O$405,"INVALID",'Istoric_Nativ'!$D$6:$D$405,"*")+COUNTIFS('Istoric_Nativ'!$B$6:$B$405,E313,'Istoric_Nativ'!$C$6:$C$405,F313,'Istoric_Nativ'!$F$6:$F$405,G313,'Istoric_Nativ'!$D$6:$D$405,"&lt;"&amp;J313,'Istoric_Nativ'!$O$6:$O$405,"SOURCE CONFLICT"))</x:f>
        <x:v>0</x:v>
      </x:c>
      <x:c r="T313" s="2" t="str">
        <x:f>IF(B313="","",IF(R313&lt;&gt;"CLOSED",R313,IF(S313&gt;0,"NATIVE INPUT ISSUE",IF(M313=0,"NO HISTORY",IF(M313&lt;P313,"SMALL SAMPLE","DERIVED")))))</x:f>
      </x:c>
      <x:c r="U313" s="2" t="str">
        <x:f>IF(B313="","","NativeTable; "&amp;E313&amp;"; "&amp;F313&amp;"; "&amp;G313&amp;"; "&amp;H313&amp;"; before "&amp;TEXT(J313,"yyyy-mm-dd")&amp;IF(I313="RECENT","; from "&amp;TEXT(L313,"yyyy-mm-dd"),""))</x:f>
      </x:c>
    </x:row>
    <x:row r="314" ht="21" customHeight="1">
      <x:c r="A314" s="2" t="n">
        <x:v>26</x:v>
      </x:c>
      <x:c r="B314" s="2" t="str">
        <x:f>IF('Input_Meci'!A31="","",'Input_Meci'!A31)</x:f>
      </x:c>
      <x:c r="C314" s="2" t="str">
        <x:v>H</x:v>
      </x:c>
      <x:c r="D314" s="2" t="str">
        <x:v>PRIOR</x:v>
      </x:c>
      <x:c r="E314" s="2" t="str">
        <x:f>IF(B314="","",'Input_Meci'!B31)</x:f>
      </x:c>
      <x:c r="F314" s="2" t="str">
        <x:f>IF(B314="","",IF('Input_Meci'!K31="","",'Input_Meci'!K31))</x:f>
      </x:c>
      <x:c r="G314" s="2" t="str">
        <x:f>IF(B314="","",'Input_Meci'!D31)</x:f>
      </x:c>
      <x:c r="H314" s="2" t="str">
        <x:v>ANY</x:v>
      </x:c>
      <x:c r="I314" s="2" t="str">
        <x:v>RECENT</x:v>
      </x:c>
      <x:c r="J314" s="9" t="n">
        <x:f>IF(AND(B314&lt;&gt;"",ISNUMBER('Input_Meci'!G31)),INT('Input_Meci'!G31),0)</x:f>
        <x:v>0</x:v>
      </x:c>
      <x:c r="K314" s="2" t="n">
        <x:f>IF(OR(B314="",F314=""),0,IF(H314="HOME",COUNTIFS('Istoric_Nativ'!$B$6:$B$405,E314,'Istoric_Nativ'!$C$6:$C$405,F314,'Istoric_Nativ'!$E$6:$E$405,G314,'Istoric_Nativ'!$D$6:$D$405,"&lt;"&amp;J314,'Istoric_Nativ'!$P$6:$P$405,1),IF(H314="AWAY",COUNTIFS('Istoric_Nativ'!$B$6:$B$405,E314,'Istoric_Nativ'!$C$6:$C$405,F314,'Istoric_Nativ'!$F$6:$F$405,G314,'Istoric_Nativ'!$D$6:$D$405,"&lt;"&amp;J314,'Istoric_Nativ'!$P$6:$P$405,1),COUNTIFS('Istoric_Nativ'!$B$6:$B$405,E314,'Istoric_Nativ'!$C$6:$C$405,F314,'Istoric_Nativ'!$E$6:$E$405,G314,'Istoric_Nativ'!$D$6:$D$405,"&lt;"&amp;J314,'Istoric_Nativ'!$P$6:$P$405,1)+COUNTIFS('Istoric_Nativ'!$B$6:$B$405,E314,'Istoric_Nativ'!$C$6:$C$405,F314,'Istoric_Nativ'!$F$6:$F$405,G314,'Istoric_Nativ'!$D$6:$D$405,"&lt;"&amp;J314,'Istoric_Nativ'!$P$6:$P$405,1))))</x:f>
        <x:v>0</x:v>
      </x:c>
      <x:c r="L314" s="17" t="n">
        <x:f>IF(AND(B314&lt;&gt;"",I314="RECENT",K314&gt;0),LARGE(_xlfn._xlws.FILTER('Istoric_Nativ'!$D$6:$D$405,('Istoric_Nativ'!$B$6:$B$405=E314)*('Istoric_Nativ'!$C$6:$C$405=F314)*('Istoric_Nativ'!$P$6:$P$405=1)*('Istoric_Nativ'!$D$6:$D$405&lt;J314)*((('Istoric_Nativ'!$E$6:$E$405=G314)+('Istoric_Nativ'!$F$6:$F$405=G314))&gt;0)),MIN('Config_v6'!$B$54,K314)),0)</x:f>
        <x:v>0</x:v>
      </x:c>
      <x:c r="M314" s="2" t="n">
        <x:f>IF(OR(B314="",F314=""),0,IF(H314="HOME",COUNTIFS('Istoric_Nativ'!$B$6:$B$405,E314,'Istoric_Nativ'!$C$6:$C$405,F314,'Istoric_Nativ'!$E$6:$E$405,G314,'Istoric_Nativ'!$D$6:$D$405,"&lt;"&amp;J314,'Istoric_Nativ'!$P$6:$P$405,1,'Istoric_Nativ'!$D$6:$D$405,"&gt;="&amp;L314),IF(H314="AWAY",COUNTIFS('Istoric_Nativ'!$B$6:$B$405,E314,'Istoric_Nativ'!$C$6:$C$405,F314,'Istoric_Nativ'!$F$6:$F$405,G314,'Istoric_Nativ'!$D$6:$D$405,"&lt;"&amp;J314,'Istoric_Nativ'!$P$6:$P$405,1,'Istoric_Nativ'!$D$6:$D$405,"&gt;="&amp;L314),COUNTIFS('Istoric_Nativ'!$B$6:$B$405,E314,'Istoric_Nativ'!$C$6:$C$405,F314,'Istoric_Nativ'!$E$6:$E$405,G314,'Istoric_Nativ'!$D$6:$D$405,"&lt;"&amp;J314,'Istoric_Nativ'!$P$6:$P$405,1,'Istoric_Nativ'!$D$6:$D$405,"&gt;="&amp;L314)+COUNTIFS('Istoric_Nativ'!$B$6:$B$405,E314,'Istoric_Nativ'!$C$6:$C$405,F314,'Istoric_Nativ'!$F$6:$F$405,G314,'Istoric_Nativ'!$D$6:$D$405,"&lt;"&amp;J314,'Istoric_Nativ'!$P$6:$P$405,1,'Istoric_Nativ'!$D$6:$D$405,"&gt;="&amp;L314))))</x:f>
        <x:v>0</x:v>
      </x:c>
      <x:c r="N314" s="11" t="str">
        <x:f>IF(M314=0,"",IF(H314="HOME",SUMIFS('Istoric_Nativ'!$G$6:$G$405,'Istoric_Nativ'!$B$6:$B$405,E314,'Istoric_Nativ'!$C$6:$C$405,F314,'Istoric_Nativ'!$E$6:$E$405,G314,'Istoric_Nativ'!$D$6:$D$405,"&lt;"&amp;J314,'Istoric_Nativ'!$P$6:$P$405,1,'Istoric_Nativ'!$D$6:$D$405,"&gt;="&amp;L314),IF(H314="AWAY",SUMIFS('Istoric_Nativ'!$H$6:$H$405,'Istoric_Nativ'!$B$6:$B$405,E314,'Istoric_Nativ'!$C$6:$C$405,F314,'Istoric_Nativ'!$F$6:$F$405,G314,'Istoric_Nativ'!$D$6:$D$405,"&lt;"&amp;J314,'Istoric_Nativ'!$P$6:$P$405,1,'Istoric_Nativ'!$D$6:$D$405,"&gt;="&amp;L314),SUMIFS('Istoric_Nativ'!$G$6:$G$405,'Istoric_Nativ'!$B$6:$B$405,E314,'Istoric_Nativ'!$C$6:$C$405,F314,'Istoric_Nativ'!$E$6:$E$405,G314,'Istoric_Nativ'!$D$6:$D$405,"&lt;"&amp;J314,'Istoric_Nativ'!$P$6:$P$405,1,'Istoric_Nativ'!$D$6:$D$405,"&gt;="&amp;L314)+SUMIFS('Istoric_Nativ'!$H$6:$H$405,'Istoric_Nativ'!$B$6:$B$405,E314,'Istoric_Nativ'!$C$6:$C$405,F314,'Istoric_Nativ'!$F$6:$F$405,G314,'Istoric_Nativ'!$D$6:$D$405,"&lt;"&amp;J314,'Istoric_Nativ'!$P$6:$P$405,1,'Istoric_Nativ'!$D$6:$D$405,"&gt;="&amp;L314)))/M314)</x:f>
      </x:c>
      <x:c r="O314" s="11" t="str">
        <x:f>IF(M314=0,"",IF(H314="HOME",SUMIFS('Istoric_Nativ'!$H$6:$H$405,'Istoric_Nativ'!$B$6:$B$405,E314,'Istoric_Nativ'!$C$6:$C$405,F314,'Istoric_Nativ'!$E$6:$E$405,G314,'Istoric_Nativ'!$D$6:$D$405,"&lt;"&amp;J314,'Istoric_Nativ'!$P$6:$P$405,1,'Istoric_Nativ'!$D$6:$D$405,"&gt;="&amp;L314),IF(H314="AWAY",SUMIFS('Istoric_Nativ'!$G$6:$G$405,'Istoric_Nativ'!$B$6:$B$405,E314,'Istoric_Nativ'!$C$6:$C$405,F314,'Istoric_Nativ'!$F$6:$F$405,G314,'Istoric_Nativ'!$D$6:$D$405,"&lt;"&amp;J314,'Istoric_Nativ'!$P$6:$P$405,1,'Istoric_Nativ'!$D$6:$D$405,"&gt;="&amp;L314),SUMIFS('Istoric_Nativ'!$H$6:$H$405,'Istoric_Nativ'!$B$6:$B$405,E314,'Istoric_Nativ'!$C$6:$C$405,F314,'Istoric_Nativ'!$E$6:$E$405,G314,'Istoric_Nativ'!$D$6:$D$405,"&lt;"&amp;J314,'Istoric_Nativ'!$P$6:$P$405,1,'Istoric_Nativ'!$D$6:$D$405,"&gt;="&amp;L314)+SUMIFS('Istoric_Nativ'!$G$6:$G$405,'Istoric_Nativ'!$B$6:$B$405,E314,'Istoric_Nativ'!$C$6:$C$405,F314,'Istoric_Nativ'!$F$6:$F$405,G314,'Istoric_Nativ'!$D$6:$D$405,"&lt;"&amp;J314,'Istoric_Nativ'!$P$6:$P$405,1,'Istoric_Nativ'!$D$6:$D$405,"&gt;="&amp;L314)))/M314)</x:f>
      </x:c>
      <x:c r="P314" s="2" t="n">
        <x:f>'Config_v6'!$B$9</x:f>
        <x:v>3</x:v>
      </x:c>
      <x:c r="Q314" s="2" t="n">
        <x:f>IF(OR(B314="",F314=""),0,IFERROR(MATCH(E314&amp;"|"&amp;F314,SourceTable[Source_Key],0),0))</x:f>
        <x:v>0</x:v>
      </x:c>
      <x:c r="R314" s="2" t="str">
        <x:f>IF(B314="","",IF(F314="","UNUSED",IF(Q314=0,"NOT CHECKED",IF(COUNTIF(SourceTable[Source_Key],E314&amp;"|"&amp;F314)&lt;&gt;1,"SOURCE CONFLICT",IF(NOT(OR(INDEX(SourceTable[Status],MAX(1,Q314))="IMPORTED",INDEX(SourceTable[Status],MAX(1,Q314))="PARTIAL",INDEX(SourceTable[Status],MAX(1,Q314))="SOURCE CONFLICT")),"ACCESS BLOCKED",IF(OR(INDEX(SourceTable[Coverage],Q314)&lt;&gt;"FULL SEASON EXPORT",INDEX(SourceTable[URL],Q314)="",INDEX(SourceTable[SHA256],Q314)=""),"EVIDENCE INCOMPLETE",IF(AND('Input_Meci'!H31="LIVE",INDEX(SourceTable[Retrieved_UTC],Q314)&gt;'Input_Meci'!G31),"POST CUTOFF","CLOSED")))))))</x:f>
      </x:c>
      <x:c r="S314" s="2" t="n">
        <x:f>IF(OR(B314="",F314=""),0,COUNTIFS('Istoric_Nativ'!$B$6:$B$405,E314,'Istoric_Nativ'!$C$6:$C$405,F314,'Istoric_Nativ'!$E$6:$E$405,G314,'Istoric_Nativ'!$D$6:$D$405,"&lt;"&amp;J314,'Istoric_Nativ'!$O$6:$O$405,"INVALID")+COUNTIFS('Istoric_Nativ'!$B$6:$B$405,E314,'Istoric_Nativ'!$C$6:$C$405,F314,'Istoric_Nativ'!$E$6:$E$405,G314,'Istoric_Nativ'!$O$6:$O$405,"INVALID",'Istoric_Nativ'!$D$6:$D$405,"*")+COUNTIFS('Istoric_Nativ'!$B$6:$B$405,E314,'Istoric_Nativ'!$C$6:$C$405,F314,'Istoric_Nativ'!$E$6:$E$405,G314,'Istoric_Nativ'!$D$6:$D$405,"&lt;"&amp;J314,'Istoric_Nativ'!$O$6:$O$405,"SOURCE CONFLICT")+COUNTIFS('Istoric_Nativ'!$B$6:$B$405,E314,'Istoric_Nativ'!$C$6:$C$405,F314,'Istoric_Nativ'!$F$6:$F$405,G314,'Istoric_Nativ'!$D$6:$D$405,"&lt;"&amp;J314,'Istoric_Nativ'!$O$6:$O$405,"INVALID")+COUNTIFS('Istoric_Nativ'!$B$6:$B$405,E314,'Istoric_Nativ'!$C$6:$C$405,F314,'Istoric_Nativ'!$F$6:$F$405,G314,'Istoric_Nativ'!$O$6:$O$405,"INVALID",'Istoric_Nativ'!$D$6:$D$405,"*")+COUNTIFS('Istoric_Nativ'!$B$6:$B$405,E314,'Istoric_Nativ'!$C$6:$C$405,F314,'Istoric_Nativ'!$F$6:$F$405,G314,'Istoric_Nativ'!$D$6:$D$405,"&lt;"&amp;J314,'Istoric_Nativ'!$O$6:$O$405,"SOURCE CONFLICT"))</x:f>
        <x:v>0</x:v>
      </x:c>
      <x:c r="T314" s="2" t="str">
        <x:f>IF(B314="","",IF(R314&lt;&gt;"CLOSED",R314,IF(S314&gt;0,"NATIVE INPUT ISSUE",IF(M314=0,"NO HISTORY",IF(M314&lt;P314,"SMALL SAMPLE","DERIVED")))))</x:f>
      </x:c>
      <x:c r="U314" s="2" t="str">
        <x:f>IF(B314="","","NativeTable; "&amp;E314&amp;"; "&amp;F314&amp;"; "&amp;G314&amp;"; "&amp;H314&amp;"; before "&amp;TEXT(J314,"yyyy-mm-dd")&amp;IF(I314="RECENT","; from "&amp;TEXT(L314,"yyyy-mm-dd"),""))</x:f>
      </x:c>
    </x:row>
    <x:row r="315" ht="21" customHeight="1">
      <x:c r="A315" s="2" t="n">
        <x:v>26</x:v>
      </x:c>
      <x:c r="B315" s="2" t="str">
        <x:f>IF('Input_Meci'!A31="","",'Input_Meci'!A31)</x:f>
      </x:c>
      <x:c r="C315" s="2" t="str">
        <x:v>A</x:v>
      </x:c>
      <x:c r="D315" s="2" t="str">
        <x:v>PRIOR</x:v>
      </x:c>
      <x:c r="E315" s="2" t="str">
        <x:f>IF(B315="","",'Input_Meci'!B31)</x:f>
      </x:c>
      <x:c r="F315" s="2" t="str">
        <x:f>IF(B315="","",IF('Input_Meci'!K31="","",'Input_Meci'!K31))</x:f>
      </x:c>
      <x:c r="G315" s="2" t="str">
        <x:f>IF(B315="","",'Input_Meci'!E31)</x:f>
      </x:c>
      <x:c r="H315" s="2" t="str">
        <x:v>ANY</x:v>
      </x:c>
      <x:c r="I315" s="2" t="str">
        <x:v>SEASON</x:v>
      </x:c>
      <x:c r="J315" s="9" t="n">
        <x:f>IF(AND(B315&lt;&gt;"",ISNUMBER('Input_Meci'!G31)),INT('Input_Meci'!G31),0)</x:f>
        <x:v>0</x:v>
      </x:c>
      <x:c r="K315" s="2" t="n">
        <x:f>IF(OR(B315="",F315=""),0,IF(H315="HOME",COUNTIFS('Istoric_Nativ'!$B$6:$B$405,E315,'Istoric_Nativ'!$C$6:$C$405,F315,'Istoric_Nativ'!$E$6:$E$405,G315,'Istoric_Nativ'!$D$6:$D$405,"&lt;"&amp;J315,'Istoric_Nativ'!$P$6:$P$405,1),IF(H315="AWAY",COUNTIFS('Istoric_Nativ'!$B$6:$B$405,E315,'Istoric_Nativ'!$C$6:$C$405,F315,'Istoric_Nativ'!$F$6:$F$405,G315,'Istoric_Nativ'!$D$6:$D$405,"&lt;"&amp;J315,'Istoric_Nativ'!$P$6:$P$405,1),COUNTIFS('Istoric_Nativ'!$B$6:$B$405,E315,'Istoric_Nativ'!$C$6:$C$405,F315,'Istoric_Nativ'!$E$6:$E$405,G315,'Istoric_Nativ'!$D$6:$D$405,"&lt;"&amp;J315,'Istoric_Nativ'!$P$6:$P$405,1)+COUNTIFS('Istoric_Nativ'!$B$6:$B$405,E315,'Istoric_Nativ'!$C$6:$C$405,F315,'Istoric_Nativ'!$F$6:$F$405,G315,'Istoric_Nativ'!$D$6:$D$405,"&lt;"&amp;J315,'Istoric_Nativ'!$P$6:$P$405,1))))</x:f>
        <x:v>0</x:v>
      </x:c>
      <x:c r="L315" s="17" t="n">
        <x:f>IF(AND(B315&lt;&gt;"",I315="RECENT",K315&gt;0),LARGE(_xlfn._xlws.FILTER('Istoric_Nativ'!$D$6:$D$405,('Istoric_Nativ'!$B$6:$B$405=E315)*('Istoric_Nativ'!$C$6:$C$405=F315)*('Istoric_Nativ'!$P$6:$P$405=1)*('Istoric_Nativ'!$D$6:$D$405&lt;J315)*((('Istoric_Nativ'!$E$6:$E$405=G315)+('Istoric_Nativ'!$F$6:$F$405=G315))&gt;0)),MIN('Config_v6'!$B$54,K315)),0)</x:f>
        <x:v>0</x:v>
      </x:c>
      <x:c r="M315" s="2" t="n">
        <x:f>IF(OR(B315="",F315=""),0,IF(H315="HOME",COUNTIFS('Istoric_Nativ'!$B$6:$B$405,E315,'Istoric_Nativ'!$C$6:$C$405,F315,'Istoric_Nativ'!$E$6:$E$405,G315,'Istoric_Nativ'!$D$6:$D$405,"&lt;"&amp;J315,'Istoric_Nativ'!$P$6:$P$405,1,'Istoric_Nativ'!$D$6:$D$405,"&gt;="&amp;L315),IF(H315="AWAY",COUNTIFS('Istoric_Nativ'!$B$6:$B$405,E315,'Istoric_Nativ'!$C$6:$C$405,F315,'Istoric_Nativ'!$F$6:$F$405,G315,'Istoric_Nativ'!$D$6:$D$405,"&lt;"&amp;J315,'Istoric_Nativ'!$P$6:$P$405,1,'Istoric_Nativ'!$D$6:$D$405,"&gt;="&amp;L315),COUNTIFS('Istoric_Nativ'!$B$6:$B$405,E315,'Istoric_Nativ'!$C$6:$C$405,F315,'Istoric_Nativ'!$E$6:$E$405,G315,'Istoric_Nativ'!$D$6:$D$405,"&lt;"&amp;J315,'Istoric_Nativ'!$P$6:$P$405,1,'Istoric_Nativ'!$D$6:$D$405,"&gt;="&amp;L315)+COUNTIFS('Istoric_Nativ'!$B$6:$B$405,E315,'Istoric_Nativ'!$C$6:$C$405,F315,'Istoric_Nativ'!$F$6:$F$405,G315,'Istoric_Nativ'!$D$6:$D$405,"&lt;"&amp;J315,'Istoric_Nativ'!$P$6:$P$405,1,'Istoric_Nativ'!$D$6:$D$405,"&gt;="&amp;L315))))</x:f>
        <x:v>0</x:v>
      </x:c>
      <x:c r="N315" s="11" t="str">
        <x:f>IF(M315=0,"",IF(H315="HOME",SUMIFS('Istoric_Nativ'!$G$6:$G$405,'Istoric_Nativ'!$B$6:$B$405,E315,'Istoric_Nativ'!$C$6:$C$405,F315,'Istoric_Nativ'!$E$6:$E$405,G315,'Istoric_Nativ'!$D$6:$D$405,"&lt;"&amp;J315,'Istoric_Nativ'!$P$6:$P$405,1,'Istoric_Nativ'!$D$6:$D$405,"&gt;="&amp;L315),IF(H315="AWAY",SUMIFS('Istoric_Nativ'!$H$6:$H$405,'Istoric_Nativ'!$B$6:$B$405,E315,'Istoric_Nativ'!$C$6:$C$405,F315,'Istoric_Nativ'!$F$6:$F$405,G315,'Istoric_Nativ'!$D$6:$D$405,"&lt;"&amp;J315,'Istoric_Nativ'!$P$6:$P$405,1,'Istoric_Nativ'!$D$6:$D$405,"&gt;="&amp;L315),SUMIFS('Istoric_Nativ'!$G$6:$G$405,'Istoric_Nativ'!$B$6:$B$405,E315,'Istoric_Nativ'!$C$6:$C$405,F315,'Istoric_Nativ'!$E$6:$E$405,G315,'Istoric_Nativ'!$D$6:$D$405,"&lt;"&amp;J315,'Istoric_Nativ'!$P$6:$P$405,1,'Istoric_Nativ'!$D$6:$D$405,"&gt;="&amp;L315)+SUMIFS('Istoric_Nativ'!$H$6:$H$405,'Istoric_Nativ'!$B$6:$B$405,E315,'Istoric_Nativ'!$C$6:$C$405,F315,'Istoric_Nativ'!$F$6:$F$405,G315,'Istoric_Nativ'!$D$6:$D$405,"&lt;"&amp;J315,'Istoric_Nativ'!$P$6:$P$405,1,'Istoric_Nativ'!$D$6:$D$405,"&gt;="&amp;L315)))/M315)</x:f>
      </x:c>
      <x:c r="O315" s="11" t="str">
        <x:f>IF(M315=0,"",IF(H315="HOME",SUMIFS('Istoric_Nativ'!$H$6:$H$405,'Istoric_Nativ'!$B$6:$B$405,E315,'Istoric_Nativ'!$C$6:$C$405,F315,'Istoric_Nativ'!$E$6:$E$405,G315,'Istoric_Nativ'!$D$6:$D$405,"&lt;"&amp;J315,'Istoric_Nativ'!$P$6:$P$405,1,'Istoric_Nativ'!$D$6:$D$405,"&gt;="&amp;L315),IF(H315="AWAY",SUMIFS('Istoric_Nativ'!$G$6:$G$405,'Istoric_Nativ'!$B$6:$B$405,E315,'Istoric_Nativ'!$C$6:$C$405,F315,'Istoric_Nativ'!$F$6:$F$405,G315,'Istoric_Nativ'!$D$6:$D$405,"&lt;"&amp;J315,'Istoric_Nativ'!$P$6:$P$405,1,'Istoric_Nativ'!$D$6:$D$405,"&gt;="&amp;L315),SUMIFS('Istoric_Nativ'!$H$6:$H$405,'Istoric_Nativ'!$B$6:$B$405,E315,'Istoric_Nativ'!$C$6:$C$405,F315,'Istoric_Nativ'!$E$6:$E$405,G315,'Istoric_Nativ'!$D$6:$D$405,"&lt;"&amp;J315,'Istoric_Nativ'!$P$6:$P$405,1,'Istoric_Nativ'!$D$6:$D$405,"&gt;="&amp;L315)+SUMIFS('Istoric_Nativ'!$G$6:$G$405,'Istoric_Nativ'!$B$6:$B$405,E315,'Istoric_Nativ'!$C$6:$C$405,F315,'Istoric_Nativ'!$F$6:$F$405,G315,'Istoric_Nativ'!$D$6:$D$405,"&lt;"&amp;J315,'Istoric_Nativ'!$P$6:$P$405,1,'Istoric_Nativ'!$D$6:$D$405,"&gt;="&amp;L315)))/M315)</x:f>
      </x:c>
      <x:c r="P315" s="2" t="n">
        <x:f>'Config_v6'!$B$7</x:f>
        <x:v>10</x:v>
      </x:c>
      <x:c r="Q315" s="2" t="n">
        <x:f>IF(OR(B315="",F315=""),0,IFERROR(MATCH(E315&amp;"|"&amp;F315,SourceTable[Source_Key],0),0))</x:f>
        <x:v>0</x:v>
      </x:c>
      <x:c r="R315" s="2" t="str">
        <x:f>IF(B315="","",IF(F315="","UNUSED",IF(Q315=0,"NOT CHECKED",IF(COUNTIF(SourceTable[Source_Key],E315&amp;"|"&amp;F315)&lt;&gt;1,"SOURCE CONFLICT",IF(NOT(OR(INDEX(SourceTable[Status],MAX(1,Q315))="IMPORTED",INDEX(SourceTable[Status],MAX(1,Q315))="PARTIAL",INDEX(SourceTable[Status],MAX(1,Q315))="SOURCE CONFLICT")),"ACCESS BLOCKED",IF(OR(INDEX(SourceTable[Coverage],Q315)&lt;&gt;"FULL SEASON EXPORT",INDEX(SourceTable[URL],Q315)="",INDEX(SourceTable[SHA256],Q315)=""),"EVIDENCE INCOMPLETE",IF(AND('Input_Meci'!H31="LIVE",INDEX(SourceTable[Retrieved_UTC],Q315)&gt;'Input_Meci'!G31),"POST CUTOFF","CLOSED")))))))</x:f>
      </x:c>
      <x:c r="S315" s="2" t="n">
        <x:f>IF(OR(B315="",F315=""),0,COUNTIFS('Istoric_Nativ'!$B$6:$B$405,E315,'Istoric_Nativ'!$C$6:$C$405,F315,'Istoric_Nativ'!$E$6:$E$405,G315,'Istoric_Nativ'!$D$6:$D$405,"&lt;"&amp;J315,'Istoric_Nativ'!$O$6:$O$405,"INVALID")+COUNTIFS('Istoric_Nativ'!$B$6:$B$405,E315,'Istoric_Nativ'!$C$6:$C$405,F315,'Istoric_Nativ'!$E$6:$E$405,G315,'Istoric_Nativ'!$O$6:$O$405,"INVALID",'Istoric_Nativ'!$D$6:$D$405,"*")+COUNTIFS('Istoric_Nativ'!$B$6:$B$405,E315,'Istoric_Nativ'!$C$6:$C$405,F315,'Istoric_Nativ'!$E$6:$E$405,G315,'Istoric_Nativ'!$D$6:$D$405,"&lt;"&amp;J315,'Istoric_Nativ'!$O$6:$O$405,"SOURCE CONFLICT")+COUNTIFS('Istoric_Nativ'!$B$6:$B$405,E315,'Istoric_Nativ'!$C$6:$C$405,F315,'Istoric_Nativ'!$F$6:$F$405,G315,'Istoric_Nativ'!$D$6:$D$405,"&lt;"&amp;J315,'Istoric_Nativ'!$O$6:$O$405,"INVALID")+COUNTIFS('Istoric_Nativ'!$B$6:$B$405,E315,'Istoric_Nativ'!$C$6:$C$405,F315,'Istoric_Nativ'!$F$6:$F$405,G315,'Istoric_Nativ'!$O$6:$O$405,"INVALID",'Istoric_Nativ'!$D$6:$D$405,"*")+COUNTIFS('Istoric_Nativ'!$B$6:$B$405,E315,'Istoric_Nativ'!$C$6:$C$405,F315,'Istoric_Nativ'!$F$6:$F$405,G315,'Istoric_Nativ'!$D$6:$D$405,"&lt;"&amp;J315,'Istoric_Nativ'!$O$6:$O$405,"SOURCE CONFLICT"))</x:f>
        <x:v>0</x:v>
      </x:c>
      <x:c r="T315" s="2" t="str">
        <x:f>IF(B315="","",IF(R315&lt;&gt;"CLOSED",R315,IF(S315&gt;0,"NATIVE INPUT ISSUE",IF(M315=0,"NO HISTORY",IF(M315&lt;P315,"SMALL SAMPLE","DERIVED")))))</x:f>
      </x:c>
      <x:c r="U315" s="2" t="str">
        <x:f>IF(B315="","","NativeTable; "&amp;E315&amp;"; "&amp;F315&amp;"; "&amp;G315&amp;"; "&amp;H315&amp;"; before "&amp;TEXT(J315,"yyyy-mm-dd")&amp;IF(I315="RECENT","; from "&amp;TEXT(L315,"yyyy-mm-dd"),""))</x:f>
      </x:c>
    </x:row>
    <x:row r="316" ht="21" customHeight="1">
      <x:c r="A316" s="2" t="n">
        <x:v>26</x:v>
      </x:c>
      <x:c r="B316" s="2" t="str">
        <x:f>IF('Input_Meci'!A31="","",'Input_Meci'!A31)</x:f>
      </x:c>
      <x:c r="C316" s="2" t="str">
        <x:v>A</x:v>
      </x:c>
      <x:c r="D316" s="2" t="str">
        <x:v>PRIOR</x:v>
      </x:c>
      <x:c r="E316" s="2" t="str">
        <x:f>IF(B316="","",'Input_Meci'!B31)</x:f>
      </x:c>
      <x:c r="F316" s="2" t="str">
        <x:f>IF(B316="","",IF('Input_Meci'!K31="","",'Input_Meci'!K31))</x:f>
      </x:c>
      <x:c r="G316" s="2" t="str">
        <x:f>IF(B316="","",'Input_Meci'!E31)</x:f>
      </x:c>
      <x:c r="H316" s="2" t="str">
        <x:v>AWAY</x:v>
      </x:c>
      <x:c r="I316" s="2" t="str">
        <x:v>HA</x:v>
      </x:c>
      <x:c r="J316" s="9" t="n">
        <x:f>IF(AND(B316&lt;&gt;"",ISNUMBER('Input_Meci'!G31)),INT('Input_Meci'!G31),0)</x:f>
        <x:v>0</x:v>
      </x:c>
      <x:c r="K316" s="2" t="n">
        <x:f>IF(OR(B316="",F316=""),0,IF(H316="HOME",COUNTIFS('Istoric_Nativ'!$B$6:$B$405,E316,'Istoric_Nativ'!$C$6:$C$405,F316,'Istoric_Nativ'!$E$6:$E$405,G316,'Istoric_Nativ'!$D$6:$D$405,"&lt;"&amp;J316,'Istoric_Nativ'!$P$6:$P$405,1),IF(H316="AWAY",COUNTIFS('Istoric_Nativ'!$B$6:$B$405,E316,'Istoric_Nativ'!$C$6:$C$405,F316,'Istoric_Nativ'!$F$6:$F$405,G316,'Istoric_Nativ'!$D$6:$D$405,"&lt;"&amp;J316,'Istoric_Nativ'!$P$6:$P$405,1),COUNTIFS('Istoric_Nativ'!$B$6:$B$405,E316,'Istoric_Nativ'!$C$6:$C$405,F316,'Istoric_Nativ'!$E$6:$E$405,G316,'Istoric_Nativ'!$D$6:$D$405,"&lt;"&amp;J316,'Istoric_Nativ'!$P$6:$P$405,1)+COUNTIFS('Istoric_Nativ'!$B$6:$B$405,E316,'Istoric_Nativ'!$C$6:$C$405,F316,'Istoric_Nativ'!$F$6:$F$405,G316,'Istoric_Nativ'!$D$6:$D$405,"&lt;"&amp;J316,'Istoric_Nativ'!$P$6:$P$405,1))))</x:f>
        <x:v>0</x:v>
      </x:c>
      <x:c r="L316" s="17" t="n">
        <x:f>IF(AND(B316&lt;&gt;"",I316="RECENT",K316&gt;0),LARGE(_xlfn._xlws.FILTER('Istoric_Nativ'!$D$6:$D$405,('Istoric_Nativ'!$B$6:$B$405=E316)*('Istoric_Nativ'!$C$6:$C$405=F316)*('Istoric_Nativ'!$P$6:$P$405=1)*('Istoric_Nativ'!$D$6:$D$405&lt;J316)*((('Istoric_Nativ'!$E$6:$E$405=G316)+('Istoric_Nativ'!$F$6:$F$405=G316))&gt;0)),MIN('Config_v6'!$B$54,K316)),0)</x:f>
        <x:v>0</x:v>
      </x:c>
      <x:c r="M316" s="2" t="n">
        <x:f>IF(OR(B316="",F316=""),0,IF(H316="HOME",COUNTIFS('Istoric_Nativ'!$B$6:$B$405,E316,'Istoric_Nativ'!$C$6:$C$405,F316,'Istoric_Nativ'!$E$6:$E$405,G316,'Istoric_Nativ'!$D$6:$D$405,"&lt;"&amp;J316,'Istoric_Nativ'!$P$6:$P$405,1,'Istoric_Nativ'!$D$6:$D$405,"&gt;="&amp;L316),IF(H316="AWAY",COUNTIFS('Istoric_Nativ'!$B$6:$B$405,E316,'Istoric_Nativ'!$C$6:$C$405,F316,'Istoric_Nativ'!$F$6:$F$405,G316,'Istoric_Nativ'!$D$6:$D$405,"&lt;"&amp;J316,'Istoric_Nativ'!$P$6:$P$405,1,'Istoric_Nativ'!$D$6:$D$405,"&gt;="&amp;L316),COUNTIFS('Istoric_Nativ'!$B$6:$B$405,E316,'Istoric_Nativ'!$C$6:$C$405,F316,'Istoric_Nativ'!$E$6:$E$405,G316,'Istoric_Nativ'!$D$6:$D$405,"&lt;"&amp;J316,'Istoric_Nativ'!$P$6:$P$405,1,'Istoric_Nativ'!$D$6:$D$405,"&gt;="&amp;L316)+COUNTIFS('Istoric_Nativ'!$B$6:$B$405,E316,'Istoric_Nativ'!$C$6:$C$405,F316,'Istoric_Nativ'!$F$6:$F$405,G316,'Istoric_Nativ'!$D$6:$D$405,"&lt;"&amp;J316,'Istoric_Nativ'!$P$6:$P$405,1,'Istoric_Nativ'!$D$6:$D$405,"&gt;="&amp;L316))))</x:f>
        <x:v>0</x:v>
      </x:c>
      <x:c r="N316" s="11" t="str">
        <x:f>IF(M316=0,"",IF(H316="HOME",SUMIFS('Istoric_Nativ'!$G$6:$G$405,'Istoric_Nativ'!$B$6:$B$405,E316,'Istoric_Nativ'!$C$6:$C$405,F316,'Istoric_Nativ'!$E$6:$E$405,G316,'Istoric_Nativ'!$D$6:$D$405,"&lt;"&amp;J316,'Istoric_Nativ'!$P$6:$P$405,1,'Istoric_Nativ'!$D$6:$D$405,"&gt;="&amp;L316),IF(H316="AWAY",SUMIFS('Istoric_Nativ'!$H$6:$H$405,'Istoric_Nativ'!$B$6:$B$405,E316,'Istoric_Nativ'!$C$6:$C$405,F316,'Istoric_Nativ'!$F$6:$F$405,G316,'Istoric_Nativ'!$D$6:$D$405,"&lt;"&amp;J316,'Istoric_Nativ'!$P$6:$P$405,1,'Istoric_Nativ'!$D$6:$D$405,"&gt;="&amp;L316),SUMIFS('Istoric_Nativ'!$G$6:$G$405,'Istoric_Nativ'!$B$6:$B$405,E316,'Istoric_Nativ'!$C$6:$C$405,F316,'Istoric_Nativ'!$E$6:$E$405,G316,'Istoric_Nativ'!$D$6:$D$405,"&lt;"&amp;J316,'Istoric_Nativ'!$P$6:$P$405,1,'Istoric_Nativ'!$D$6:$D$405,"&gt;="&amp;L316)+SUMIFS('Istoric_Nativ'!$H$6:$H$405,'Istoric_Nativ'!$B$6:$B$405,E316,'Istoric_Nativ'!$C$6:$C$405,F316,'Istoric_Nativ'!$F$6:$F$405,G316,'Istoric_Nativ'!$D$6:$D$405,"&lt;"&amp;J316,'Istoric_Nativ'!$P$6:$P$405,1,'Istoric_Nativ'!$D$6:$D$405,"&gt;="&amp;L316)))/M316)</x:f>
      </x:c>
      <x:c r="O316" s="11" t="str">
        <x:f>IF(M316=0,"",IF(H316="HOME",SUMIFS('Istoric_Nativ'!$H$6:$H$405,'Istoric_Nativ'!$B$6:$B$405,E316,'Istoric_Nativ'!$C$6:$C$405,F316,'Istoric_Nativ'!$E$6:$E$405,G316,'Istoric_Nativ'!$D$6:$D$405,"&lt;"&amp;J316,'Istoric_Nativ'!$P$6:$P$405,1,'Istoric_Nativ'!$D$6:$D$405,"&gt;="&amp;L316),IF(H316="AWAY",SUMIFS('Istoric_Nativ'!$G$6:$G$405,'Istoric_Nativ'!$B$6:$B$405,E316,'Istoric_Nativ'!$C$6:$C$405,F316,'Istoric_Nativ'!$F$6:$F$405,G316,'Istoric_Nativ'!$D$6:$D$405,"&lt;"&amp;J316,'Istoric_Nativ'!$P$6:$P$405,1,'Istoric_Nativ'!$D$6:$D$405,"&gt;="&amp;L316),SUMIFS('Istoric_Nativ'!$H$6:$H$405,'Istoric_Nativ'!$B$6:$B$405,E316,'Istoric_Nativ'!$C$6:$C$405,F316,'Istoric_Nativ'!$E$6:$E$405,G316,'Istoric_Nativ'!$D$6:$D$405,"&lt;"&amp;J316,'Istoric_Nativ'!$P$6:$P$405,1,'Istoric_Nativ'!$D$6:$D$405,"&gt;="&amp;L316)+SUMIFS('Istoric_Nativ'!$G$6:$G$405,'Istoric_Nativ'!$B$6:$B$405,E316,'Istoric_Nativ'!$C$6:$C$405,F316,'Istoric_Nativ'!$F$6:$F$405,G316,'Istoric_Nativ'!$D$6:$D$405,"&lt;"&amp;J316,'Istoric_Nativ'!$P$6:$P$405,1,'Istoric_Nativ'!$D$6:$D$405,"&gt;="&amp;L316)))/M316)</x:f>
      </x:c>
      <x:c r="P316" s="2" t="n">
        <x:f>'Config_v6'!$B$8</x:f>
        <x:v>5</x:v>
      </x:c>
      <x:c r="Q316" s="2" t="n">
        <x:f>IF(OR(B316="",F316=""),0,IFERROR(MATCH(E316&amp;"|"&amp;F316,SourceTable[Source_Key],0),0))</x:f>
        <x:v>0</x:v>
      </x:c>
      <x:c r="R316" s="2" t="str">
        <x:f>IF(B316="","",IF(F316="","UNUSED",IF(Q316=0,"NOT CHECKED",IF(COUNTIF(SourceTable[Source_Key],E316&amp;"|"&amp;F316)&lt;&gt;1,"SOURCE CONFLICT",IF(NOT(OR(INDEX(SourceTable[Status],MAX(1,Q316))="IMPORTED",INDEX(SourceTable[Status],MAX(1,Q316))="PARTIAL",INDEX(SourceTable[Status],MAX(1,Q316))="SOURCE CONFLICT")),"ACCESS BLOCKED",IF(OR(INDEX(SourceTable[Coverage],Q316)&lt;&gt;"FULL SEASON EXPORT",INDEX(SourceTable[URL],Q316)="",INDEX(SourceTable[SHA256],Q316)=""),"EVIDENCE INCOMPLETE",IF(AND('Input_Meci'!H31="LIVE",INDEX(SourceTable[Retrieved_UTC],Q316)&gt;'Input_Meci'!G31),"POST CUTOFF","CLOSED")))))))</x:f>
      </x:c>
      <x:c r="S316" s="2" t="n">
        <x:f>IF(OR(B316="",F316=""),0,COUNTIFS('Istoric_Nativ'!$B$6:$B$405,E316,'Istoric_Nativ'!$C$6:$C$405,F316,'Istoric_Nativ'!$E$6:$E$405,G316,'Istoric_Nativ'!$D$6:$D$405,"&lt;"&amp;J316,'Istoric_Nativ'!$O$6:$O$405,"INVALID")+COUNTIFS('Istoric_Nativ'!$B$6:$B$405,E316,'Istoric_Nativ'!$C$6:$C$405,F316,'Istoric_Nativ'!$E$6:$E$405,G316,'Istoric_Nativ'!$O$6:$O$405,"INVALID",'Istoric_Nativ'!$D$6:$D$405,"*")+COUNTIFS('Istoric_Nativ'!$B$6:$B$405,E316,'Istoric_Nativ'!$C$6:$C$405,F316,'Istoric_Nativ'!$E$6:$E$405,G316,'Istoric_Nativ'!$D$6:$D$405,"&lt;"&amp;J316,'Istoric_Nativ'!$O$6:$O$405,"SOURCE CONFLICT")+COUNTIFS('Istoric_Nativ'!$B$6:$B$405,E316,'Istoric_Nativ'!$C$6:$C$405,F316,'Istoric_Nativ'!$F$6:$F$405,G316,'Istoric_Nativ'!$D$6:$D$405,"&lt;"&amp;J316,'Istoric_Nativ'!$O$6:$O$405,"INVALID")+COUNTIFS('Istoric_Nativ'!$B$6:$B$405,E316,'Istoric_Nativ'!$C$6:$C$405,F316,'Istoric_Nativ'!$F$6:$F$405,G316,'Istoric_Nativ'!$O$6:$O$405,"INVALID",'Istoric_Nativ'!$D$6:$D$405,"*")+COUNTIFS('Istoric_Nativ'!$B$6:$B$405,E316,'Istoric_Nativ'!$C$6:$C$405,F316,'Istoric_Nativ'!$F$6:$F$405,G316,'Istoric_Nativ'!$D$6:$D$405,"&lt;"&amp;J316,'Istoric_Nativ'!$O$6:$O$405,"SOURCE CONFLICT"))</x:f>
        <x:v>0</x:v>
      </x:c>
      <x:c r="T316" s="2" t="str">
        <x:f>IF(B316="","",IF(R316&lt;&gt;"CLOSED",R316,IF(S316&gt;0,"NATIVE INPUT ISSUE",IF(M316=0,"NO HISTORY",IF(M316&lt;P316,"SMALL SAMPLE","DERIVED")))))</x:f>
      </x:c>
      <x:c r="U316" s="2" t="str">
        <x:f>IF(B316="","","NativeTable; "&amp;E316&amp;"; "&amp;F316&amp;"; "&amp;G316&amp;"; "&amp;H316&amp;"; before "&amp;TEXT(J316,"yyyy-mm-dd")&amp;IF(I316="RECENT","; from "&amp;TEXT(L316,"yyyy-mm-dd"),""))</x:f>
      </x:c>
    </x:row>
    <x:row r="317" ht="21" customHeight="1">
      <x:c r="A317" s="2" t="n">
        <x:v>26</x:v>
      </x:c>
      <x:c r="B317" s="2" t="str">
        <x:f>IF('Input_Meci'!A31="","",'Input_Meci'!A31)</x:f>
      </x:c>
      <x:c r="C317" s="2" t="str">
        <x:v>A</x:v>
      </x:c>
      <x:c r="D317" s="2" t="str">
        <x:v>PRIOR</x:v>
      </x:c>
      <x:c r="E317" s="2" t="str">
        <x:f>IF(B317="","",'Input_Meci'!B31)</x:f>
      </x:c>
      <x:c r="F317" s="2" t="str">
        <x:f>IF(B317="","",IF('Input_Meci'!K31="","",'Input_Meci'!K31))</x:f>
      </x:c>
      <x:c r="G317" s="2" t="str">
        <x:f>IF(B317="","",'Input_Meci'!E31)</x:f>
      </x:c>
      <x:c r="H317" s="2" t="str">
        <x:v>ANY</x:v>
      </x:c>
      <x:c r="I317" s="2" t="str">
        <x:v>RECENT</x:v>
      </x:c>
      <x:c r="J317" s="9" t="n">
        <x:f>IF(AND(B317&lt;&gt;"",ISNUMBER('Input_Meci'!G31)),INT('Input_Meci'!G31),0)</x:f>
        <x:v>0</x:v>
      </x:c>
      <x:c r="K317" s="2" t="n">
        <x:f>IF(OR(B317="",F317=""),0,IF(H317="HOME",COUNTIFS('Istoric_Nativ'!$B$6:$B$405,E317,'Istoric_Nativ'!$C$6:$C$405,F317,'Istoric_Nativ'!$E$6:$E$405,G317,'Istoric_Nativ'!$D$6:$D$405,"&lt;"&amp;J317,'Istoric_Nativ'!$P$6:$P$405,1),IF(H317="AWAY",COUNTIFS('Istoric_Nativ'!$B$6:$B$405,E317,'Istoric_Nativ'!$C$6:$C$405,F317,'Istoric_Nativ'!$F$6:$F$405,G317,'Istoric_Nativ'!$D$6:$D$405,"&lt;"&amp;J317,'Istoric_Nativ'!$P$6:$P$405,1),COUNTIFS('Istoric_Nativ'!$B$6:$B$405,E317,'Istoric_Nativ'!$C$6:$C$405,F317,'Istoric_Nativ'!$E$6:$E$405,G317,'Istoric_Nativ'!$D$6:$D$405,"&lt;"&amp;J317,'Istoric_Nativ'!$P$6:$P$405,1)+COUNTIFS('Istoric_Nativ'!$B$6:$B$405,E317,'Istoric_Nativ'!$C$6:$C$405,F317,'Istoric_Nativ'!$F$6:$F$405,G317,'Istoric_Nativ'!$D$6:$D$405,"&lt;"&amp;J317,'Istoric_Nativ'!$P$6:$P$405,1))))</x:f>
        <x:v>0</x:v>
      </x:c>
      <x:c r="L317" s="17" t="n">
        <x:f>IF(AND(B317&lt;&gt;"",I317="RECENT",K317&gt;0),LARGE(_xlfn._xlws.FILTER('Istoric_Nativ'!$D$6:$D$405,('Istoric_Nativ'!$B$6:$B$405=E317)*('Istoric_Nativ'!$C$6:$C$405=F317)*('Istoric_Nativ'!$P$6:$P$405=1)*('Istoric_Nativ'!$D$6:$D$405&lt;J317)*((('Istoric_Nativ'!$E$6:$E$405=G317)+('Istoric_Nativ'!$F$6:$F$405=G317))&gt;0)),MIN('Config_v6'!$B$54,K317)),0)</x:f>
        <x:v>0</x:v>
      </x:c>
      <x:c r="M317" s="2" t="n">
        <x:f>IF(OR(B317="",F317=""),0,IF(H317="HOME",COUNTIFS('Istoric_Nativ'!$B$6:$B$405,E317,'Istoric_Nativ'!$C$6:$C$405,F317,'Istoric_Nativ'!$E$6:$E$405,G317,'Istoric_Nativ'!$D$6:$D$405,"&lt;"&amp;J317,'Istoric_Nativ'!$P$6:$P$405,1,'Istoric_Nativ'!$D$6:$D$405,"&gt;="&amp;L317),IF(H317="AWAY",COUNTIFS('Istoric_Nativ'!$B$6:$B$405,E317,'Istoric_Nativ'!$C$6:$C$405,F317,'Istoric_Nativ'!$F$6:$F$405,G317,'Istoric_Nativ'!$D$6:$D$405,"&lt;"&amp;J317,'Istoric_Nativ'!$P$6:$P$405,1,'Istoric_Nativ'!$D$6:$D$405,"&gt;="&amp;L317),COUNTIFS('Istoric_Nativ'!$B$6:$B$405,E317,'Istoric_Nativ'!$C$6:$C$405,F317,'Istoric_Nativ'!$E$6:$E$405,G317,'Istoric_Nativ'!$D$6:$D$405,"&lt;"&amp;J317,'Istoric_Nativ'!$P$6:$P$405,1,'Istoric_Nativ'!$D$6:$D$405,"&gt;="&amp;L317)+COUNTIFS('Istoric_Nativ'!$B$6:$B$405,E317,'Istoric_Nativ'!$C$6:$C$405,F317,'Istoric_Nativ'!$F$6:$F$405,G317,'Istoric_Nativ'!$D$6:$D$405,"&lt;"&amp;J317,'Istoric_Nativ'!$P$6:$P$405,1,'Istoric_Nativ'!$D$6:$D$405,"&gt;="&amp;L317))))</x:f>
        <x:v>0</x:v>
      </x:c>
      <x:c r="N317" s="11" t="str">
        <x:f>IF(M317=0,"",IF(H317="HOME",SUMIFS('Istoric_Nativ'!$G$6:$G$405,'Istoric_Nativ'!$B$6:$B$405,E317,'Istoric_Nativ'!$C$6:$C$405,F317,'Istoric_Nativ'!$E$6:$E$405,G317,'Istoric_Nativ'!$D$6:$D$405,"&lt;"&amp;J317,'Istoric_Nativ'!$P$6:$P$405,1,'Istoric_Nativ'!$D$6:$D$405,"&gt;="&amp;L317),IF(H317="AWAY",SUMIFS('Istoric_Nativ'!$H$6:$H$405,'Istoric_Nativ'!$B$6:$B$405,E317,'Istoric_Nativ'!$C$6:$C$405,F317,'Istoric_Nativ'!$F$6:$F$405,G317,'Istoric_Nativ'!$D$6:$D$405,"&lt;"&amp;J317,'Istoric_Nativ'!$P$6:$P$405,1,'Istoric_Nativ'!$D$6:$D$405,"&gt;="&amp;L317),SUMIFS('Istoric_Nativ'!$G$6:$G$405,'Istoric_Nativ'!$B$6:$B$405,E317,'Istoric_Nativ'!$C$6:$C$405,F317,'Istoric_Nativ'!$E$6:$E$405,G317,'Istoric_Nativ'!$D$6:$D$405,"&lt;"&amp;J317,'Istoric_Nativ'!$P$6:$P$405,1,'Istoric_Nativ'!$D$6:$D$405,"&gt;="&amp;L317)+SUMIFS('Istoric_Nativ'!$H$6:$H$405,'Istoric_Nativ'!$B$6:$B$405,E317,'Istoric_Nativ'!$C$6:$C$405,F317,'Istoric_Nativ'!$F$6:$F$405,G317,'Istoric_Nativ'!$D$6:$D$405,"&lt;"&amp;J317,'Istoric_Nativ'!$P$6:$P$405,1,'Istoric_Nativ'!$D$6:$D$405,"&gt;="&amp;L317)))/M317)</x:f>
      </x:c>
      <x:c r="O317" s="11" t="str">
        <x:f>IF(M317=0,"",IF(H317="HOME",SUMIFS('Istoric_Nativ'!$H$6:$H$405,'Istoric_Nativ'!$B$6:$B$405,E317,'Istoric_Nativ'!$C$6:$C$405,F317,'Istoric_Nativ'!$E$6:$E$405,G317,'Istoric_Nativ'!$D$6:$D$405,"&lt;"&amp;J317,'Istoric_Nativ'!$P$6:$P$405,1,'Istoric_Nativ'!$D$6:$D$405,"&gt;="&amp;L317),IF(H317="AWAY",SUMIFS('Istoric_Nativ'!$G$6:$G$405,'Istoric_Nativ'!$B$6:$B$405,E317,'Istoric_Nativ'!$C$6:$C$405,F317,'Istoric_Nativ'!$F$6:$F$405,G317,'Istoric_Nativ'!$D$6:$D$405,"&lt;"&amp;J317,'Istoric_Nativ'!$P$6:$P$405,1,'Istoric_Nativ'!$D$6:$D$405,"&gt;="&amp;L317),SUMIFS('Istoric_Nativ'!$H$6:$H$405,'Istoric_Nativ'!$B$6:$B$405,E317,'Istoric_Nativ'!$C$6:$C$405,F317,'Istoric_Nativ'!$E$6:$E$405,G317,'Istoric_Nativ'!$D$6:$D$405,"&lt;"&amp;J317,'Istoric_Nativ'!$P$6:$P$405,1,'Istoric_Nativ'!$D$6:$D$405,"&gt;="&amp;L317)+SUMIFS('Istoric_Nativ'!$G$6:$G$405,'Istoric_Nativ'!$B$6:$B$405,E317,'Istoric_Nativ'!$C$6:$C$405,F317,'Istoric_Nativ'!$F$6:$F$405,G317,'Istoric_Nativ'!$D$6:$D$405,"&lt;"&amp;J317,'Istoric_Nativ'!$P$6:$P$405,1,'Istoric_Nativ'!$D$6:$D$405,"&gt;="&amp;L317)))/M317)</x:f>
      </x:c>
      <x:c r="P317" s="2" t="n">
        <x:f>'Config_v6'!$B$9</x:f>
        <x:v>3</x:v>
      </x:c>
      <x:c r="Q317" s="2" t="n">
        <x:f>IF(OR(B317="",F317=""),0,IFERROR(MATCH(E317&amp;"|"&amp;F317,SourceTable[Source_Key],0),0))</x:f>
        <x:v>0</x:v>
      </x:c>
      <x:c r="R317" s="2" t="str">
        <x:f>IF(B317="","",IF(F317="","UNUSED",IF(Q317=0,"NOT CHECKED",IF(COUNTIF(SourceTable[Source_Key],E317&amp;"|"&amp;F317)&lt;&gt;1,"SOURCE CONFLICT",IF(NOT(OR(INDEX(SourceTable[Status],MAX(1,Q317))="IMPORTED",INDEX(SourceTable[Status],MAX(1,Q317))="PARTIAL",INDEX(SourceTable[Status],MAX(1,Q317))="SOURCE CONFLICT")),"ACCESS BLOCKED",IF(OR(INDEX(SourceTable[Coverage],Q317)&lt;&gt;"FULL SEASON EXPORT",INDEX(SourceTable[URL],Q317)="",INDEX(SourceTable[SHA256],Q317)=""),"EVIDENCE INCOMPLETE",IF(AND('Input_Meci'!H31="LIVE",INDEX(SourceTable[Retrieved_UTC],Q317)&gt;'Input_Meci'!G31),"POST CUTOFF","CLOSED")))))))</x:f>
      </x:c>
      <x:c r="S317" s="2" t="n">
        <x:f>IF(OR(B317="",F317=""),0,COUNTIFS('Istoric_Nativ'!$B$6:$B$405,E317,'Istoric_Nativ'!$C$6:$C$405,F317,'Istoric_Nativ'!$E$6:$E$405,G317,'Istoric_Nativ'!$D$6:$D$405,"&lt;"&amp;J317,'Istoric_Nativ'!$O$6:$O$405,"INVALID")+COUNTIFS('Istoric_Nativ'!$B$6:$B$405,E317,'Istoric_Nativ'!$C$6:$C$405,F317,'Istoric_Nativ'!$E$6:$E$405,G317,'Istoric_Nativ'!$O$6:$O$405,"INVALID",'Istoric_Nativ'!$D$6:$D$405,"*")+COUNTIFS('Istoric_Nativ'!$B$6:$B$405,E317,'Istoric_Nativ'!$C$6:$C$405,F317,'Istoric_Nativ'!$E$6:$E$405,G317,'Istoric_Nativ'!$D$6:$D$405,"&lt;"&amp;J317,'Istoric_Nativ'!$O$6:$O$405,"SOURCE CONFLICT")+COUNTIFS('Istoric_Nativ'!$B$6:$B$405,E317,'Istoric_Nativ'!$C$6:$C$405,F317,'Istoric_Nativ'!$F$6:$F$405,G317,'Istoric_Nativ'!$D$6:$D$405,"&lt;"&amp;J317,'Istoric_Nativ'!$O$6:$O$405,"INVALID")+COUNTIFS('Istoric_Nativ'!$B$6:$B$405,E317,'Istoric_Nativ'!$C$6:$C$405,F317,'Istoric_Nativ'!$F$6:$F$405,G317,'Istoric_Nativ'!$O$6:$O$405,"INVALID",'Istoric_Nativ'!$D$6:$D$405,"*")+COUNTIFS('Istoric_Nativ'!$B$6:$B$405,E317,'Istoric_Nativ'!$C$6:$C$405,F317,'Istoric_Nativ'!$F$6:$F$405,G317,'Istoric_Nativ'!$D$6:$D$405,"&lt;"&amp;J317,'Istoric_Nativ'!$O$6:$O$405,"SOURCE CONFLICT"))</x:f>
        <x:v>0</x:v>
      </x:c>
      <x:c r="T317" s="2" t="str">
        <x:f>IF(B317="","",IF(R317&lt;&gt;"CLOSED",R317,IF(S317&gt;0,"NATIVE INPUT ISSUE",IF(M317=0,"NO HISTORY",IF(M317&lt;P317,"SMALL SAMPLE","DERIVED")))))</x:f>
      </x:c>
      <x:c r="U317" s="2" t="str">
        <x:f>IF(B317="","","NativeTable; "&amp;E317&amp;"; "&amp;F317&amp;"; "&amp;G317&amp;"; "&amp;H317&amp;"; before "&amp;TEXT(J317,"yyyy-mm-dd")&amp;IF(I317="RECENT","; from "&amp;TEXT(L317,"yyyy-mm-dd"),""))</x:f>
      </x:c>
    </x:row>
    <x:row r="318" ht="21" customHeight="1">
      <x:c r="A318" s="2" t="n">
        <x:v>27</x:v>
      </x:c>
      <x:c r="B318" s="2" t="str">
        <x:f>IF('Input_Meci'!A32="","",'Input_Meci'!A32)</x:f>
      </x:c>
      <x:c r="C318" s="2" t="str">
        <x:v>H</x:v>
      </x:c>
      <x:c r="D318" s="2" t="str">
        <x:v>CURRENT</x:v>
      </x:c>
      <x:c r="E318" s="2" t="str">
        <x:f>IF(B318="","",'Input_Meci'!B32)</x:f>
      </x:c>
      <x:c r="F318" s="2" t="str">
        <x:f>IF(B318="","",IF('Input_Meci'!C32="","",'Input_Meci'!C32))</x:f>
      </x:c>
      <x:c r="G318" s="2" t="str">
        <x:f>IF(B318="","",'Input_Meci'!D32)</x:f>
      </x:c>
      <x:c r="H318" s="2" t="str">
        <x:v>ANY</x:v>
      </x:c>
      <x:c r="I318" s="2" t="str">
        <x:v>SEASON</x:v>
      </x:c>
      <x:c r="J318" s="9" t="n">
        <x:f>IF(AND(B318&lt;&gt;"",ISNUMBER('Input_Meci'!G32)),INT('Input_Meci'!G32),0)</x:f>
        <x:v>0</x:v>
      </x:c>
      <x:c r="K318" s="2" t="n">
        <x:f>IF(OR(B318="",F318=""),0,IF(H318="HOME",COUNTIFS('Istoric_Nativ'!$B$6:$B$405,E318,'Istoric_Nativ'!$C$6:$C$405,F318,'Istoric_Nativ'!$E$6:$E$405,G318,'Istoric_Nativ'!$D$6:$D$405,"&lt;"&amp;J318,'Istoric_Nativ'!$P$6:$P$405,1),IF(H318="AWAY",COUNTIFS('Istoric_Nativ'!$B$6:$B$405,E318,'Istoric_Nativ'!$C$6:$C$405,F318,'Istoric_Nativ'!$F$6:$F$405,G318,'Istoric_Nativ'!$D$6:$D$405,"&lt;"&amp;J318,'Istoric_Nativ'!$P$6:$P$405,1),COUNTIFS('Istoric_Nativ'!$B$6:$B$405,E318,'Istoric_Nativ'!$C$6:$C$405,F318,'Istoric_Nativ'!$E$6:$E$405,G318,'Istoric_Nativ'!$D$6:$D$405,"&lt;"&amp;J318,'Istoric_Nativ'!$P$6:$P$405,1)+COUNTIFS('Istoric_Nativ'!$B$6:$B$405,E318,'Istoric_Nativ'!$C$6:$C$405,F318,'Istoric_Nativ'!$F$6:$F$405,G318,'Istoric_Nativ'!$D$6:$D$405,"&lt;"&amp;J318,'Istoric_Nativ'!$P$6:$P$405,1))))</x:f>
        <x:v>0</x:v>
      </x:c>
      <x:c r="L318" s="17" t="n">
        <x:f>IF(AND(B318&lt;&gt;"",I318="RECENT",K318&gt;0),LARGE(_xlfn._xlws.FILTER('Istoric_Nativ'!$D$6:$D$405,('Istoric_Nativ'!$B$6:$B$405=E318)*('Istoric_Nativ'!$C$6:$C$405=F318)*('Istoric_Nativ'!$P$6:$P$405=1)*('Istoric_Nativ'!$D$6:$D$405&lt;J318)*((('Istoric_Nativ'!$E$6:$E$405=G318)+('Istoric_Nativ'!$F$6:$F$405=G318))&gt;0)),MIN('Config_v6'!$B$54,K318)),0)</x:f>
        <x:v>0</x:v>
      </x:c>
      <x:c r="M318" s="2" t="n">
        <x:f>IF(OR(B318="",F318=""),0,IF(H318="HOME",COUNTIFS('Istoric_Nativ'!$B$6:$B$405,E318,'Istoric_Nativ'!$C$6:$C$405,F318,'Istoric_Nativ'!$E$6:$E$405,G318,'Istoric_Nativ'!$D$6:$D$405,"&lt;"&amp;J318,'Istoric_Nativ'!$P$6:$P$405,1,'Istoric_Nativ'!$D$6:$D$405,"&gt;="&amp;L318),IF(H318="AWAY",COUNTIFS('Istoric_Nativ'!$B$6:$B$405,E318,'Istoric_Nativ'!$C$6:$C$405,F318,'Istoric_Nativ'!$F$6:$F$405,G318,'Istoric_Nativ'!$D$6:$D$405,"&lt;"&amp;J318,'Istoric_Nativ'!$P$6:$P$405,1,'Istoric_Nativ'!$D$6:$D$405,"&gt;="&amp;L318),COUNTIFS('Istoric_Nativ'!$B$6:$B$405,E318,'Istoric_Nativ'!$C$6:$C$405,F318,'Istoric_Nativ'!$E$6:$E$405,G318,'Istoric_Nativ'!$D$6:$D$405,"&lt;"&amp;J318,'Istoric_Nativ'!$P$6:$P$405,1,'Istoric_Nativ'!$D$6:$D$405,"&gt;="&amp;L318)+COUNTIFS('Istoric_Nativ'!$B$6:$B$405,E318,'Istoric_Nativ'!$C$6:$C$405,F318,'Istoric_Nativ'!$F$6:$F$405,G318,'Istoric_Nativ'!$D$6:$D$405,"&lt;"&amp;J318,'Istoric_Nativ'!$P$6:$P$405,1,'Istoric_Nativ'!$D$6:$D$405,"&gt;="&amp;L318))))</x:f>
        <x:v>0</x:v>
      </x:c>
      <x:c r="N318" s="11" t="str">
        <x:f>IF(M318=0,"",IF(H318="HOME",SUMIFS('Istoric_Nativ'!$G$6:$G$405,'Istoric_Nativ'!$B$6:$B$405,E318,'Istoric_Nativ'!$C$6:$C$405,F318,'Istoric_Nativ'!$E$6:$E$405,G318,'Istoric_Nativ'!$D$6:$D$405,"&lt;"&amp;J318,'Istoric_Nativ'!$P$6:$P$405,1,'Istoric_Nativ'!$D$6:$D$405,"&gt;="&amp;L318),IF(H318="AWAY",SUMIFS('Istoric_Nativ'!$H$6:$H$405,'Istoric_Nativ'!$B$6:$B$405,E318,'Istoric_Nativ'!$C$6:$C$405,F318,'Istoric_Nativ'!$F$6:$F$405,G318,'Istoric_Nativ'!$D$6:$D$405,"&lt;"&amp;J318,'Istoric_Nativ'!$P$6:$P$405,1,'Istoric_Nativ'!$D$6:$D$405,"&gt;="&amp;L318),SUMIFS('Istoric_Nativ'!$G$6:$G$405,'Istoric_Nativ'!$B$6:$B$405,E318,'Istoric_Nativ'!$C$6:$C$405,F318,'Istoric_Nativ'!$E$6:$E$405,G318,'Istoric_Nativ'!$D$6:$D$405,"&lt;"&amp;J318,'Istoric_Nativ'!$P$6:$P$405,1,'Istoric_Nativ'!$D$6:$D$405,"&gt;="&amp;L318)+SUMIFS('Istoric_Nativ'!$H$6:$H$405,'Istoric_Nativ'!$B$6:$B$405,E318,'Istoric_Nativ'!$C$6:$C$405,F318,'Istoric_Nativ'!$F$6:$F$405,G318,'Istoric_Nativ'!$D$6:$D$405,"&lt;"&amp;J318,'Istoric_Nativ'!$P$6:$P$405,1,'Istoric_Nativ'!$D$6:$D$405,"&gt;="&amp;L318)))/M318)</x:f>
      </x:c>
      <x:c r="O318" s="11" t="str">
        <x:f>IF(M318=0,"",IF(H318="HOME",SUMIFS('Istoric_Nativ'!$H$6:$H$405,'Istoric_Nativ'!$B$6:$B$405,E318,'Istoric_Nativ'!$C$6:$C$405,F318,'Istoric_Nativ'!$E$6:$E$405,G318,'Istoric_Nativ'!$D$6:$D$405,"&lt;"&amp;J318,'Istoric_Nativ'!$P$6:$P$405,1,'Istoric_Nativ'!$D$6:$D$405,"&gt;="&amp;L318),IF(H318="AWAY",SUMIFS('Istoric_Nativ'!$G$6:$G$405,'Istoric_Nativ'!$B$6:$B$405,E318,'Istoric_Nativ'!$C$6:$C$405,F318,'Istoric_Nativ'!$F$6:$F$405,G318,'Istoric_Nativ'!$D$6:$D$405,"&lt;"&amp;J318,'Istoric_Nativ'!$P$6:$P$405,1,'Istoric_Nativ'!$D$6:$D$405,"&gt;="&amp;L318),SUMIFS('Istoric_Nativ'!$H$6:$H$405,'Istoric_Nativ'!$B$6:$B$405,E318,'Istoric_Nativ'!$C$6:$C$405,F318,'Istoric_Nativ'!$E$6:$E$405,G318,'Istoric_Nativ'!$D$6:$D$405,"&lt;"&amp;J318,'Istoric_Nativ'!$P$6:$P$405,1,'Istoric_Nativ'!$D$6:$D$405,"&gt;="&amp;L318)+SUMIFS('Istoric_Nativ'!$G$6:$G$405,'Istoric_Nativ'!$B$6:$B$405,E318,'Istoric_Nativ'!$C$6:$C$405,F318,'Istoric_Nativ'!$F$6:$F$405,G318,'Istoric_Nativ'!$D$6:$D$405,"&lt;"&amp;J318,'Istoric_Nativ'!$P$6:$P$405,1,'Istoric_Nativ'!$D$6:$D$405,"&gt;="&amp;L318)))/M318)</x:f>
      </x:c>
      <x:c r="P318" s="2" t="n">
        <x:f>'Config_v6'!$B$7</x:f>
        <x:v>10</x:v>
      </x:c>
      <x:c r="Q318" s="2" t="n">
        <x:f>IF(OR(B318="",F318=""),0,IFERROR(MATCH(E318&amp;"|"&amp;F318,SourceTable[Source_Key],0),0))</x:f>
        <x:v>0</x:v>
      </x:c>
      <x:c r="R318" s="2" t="str">
        <x:f>IF(B318="","",IF(F318="","UNUSED",IF(Q318=0,"NOT CHECKED",IF(COUNTIF(SourceTable[Source_Key],E318&amp;"|"&amp;F318)&lt;&gt;1,"SOURCE CONFLICT",IF(NOT(OR(INDEX(SourceTable[Status],MAX(1,Q318))="IMPORTED",INDEX(SourceTable[Status],MAX(1,Q318))="PARTIAL",INDEX(SourceTable[Status],MAX(1,Q318))="SOURCE CONFLICT")),"ACCESS BLOCKED",IF(OR(INDEX(SourceTable[Coverage],Q318)&lt;&gt;"FULL SEASON EXPORT",INDEX(SourceTable[URL],Q318)="",INDEX(SourceTable[SHA256],Q318)=""),"EVIDENCE INCOMPLETE",IF(AND('Input_Meci'!H32="LIVE",INDEX(SourceTable[Retrieved_UTC],Q318)&gt;'Input_Meci'!G32),"POST CUTOFF","CLOSED")))))))</x:f>
      </x:c>
      <x:c r="S318" s="2" t="n">
        <x:f>IF(OR(B318="",F318=""),0,COUNTIFS('Istoric_Nativ'!$B$6:$B$405,E318,'Istoric_Nativ'!$C$6:$C$405,F318,'Istoric_Nativ'!$E$6:$E$405,G318,'Istoric_Nativ'!$D$6:$D$405,"&lt;"&amp;J318,'Istoric_Nativ'!$O$6:$O$405,"INVALID")+COUNTIFS('Istoric_Nativ'!$B$6:$B$405,E318,'Istoric_Nativ'!$C$6:$C$405,F318,'Istoric_Nativ'!$E$6:$E$405,G318,'Istoric_Nativ'!$O$6:$O$405,"INVALID",'Istoric_Nativ'!$D$6:$D$405,"*")+COUNTIFS('Istoric_Nativ'!$B$6:$B$405,E318,'Istoric_Nativ'!$C$6:$C$405,F318,'Istoric_Nativ'!$E$6:$E$405,G318,'Istoric_Nativ'!$D$6:$D$405,"&lt;"&amp;J318,'Istoric_Nativ'!$O$6:$O$405,"SOURCE CONFLICT")+COUNTIFS('Istoric_Nativ'!$B$6:$B$405,E318,'Istoric_Nativ'!$C$6:$C$405,F318,'Istoric_Nativ'!$F$6:$F$405,G318,'Istoric_Nativ'!$D$6:$D$405,"&lt;"&amp;J318,'Istoric_Nativ'!$O$6:$O$405,"INVALID")+COUNTIFS('Istoric_Nativ'!$B$6:$B$405,E318,'Istoric_Nativ'!$C$6:$C$405,F318,'Istoric_Nativ'!$F$6:$F$405,G318,'Istoric_Nativ'!$O$6:$O$405,"INVALID",'Istoric_Nativ'!$D$6:$D$405,"*")+COUNTIFS('Istoric_Nativ'!$B$6:$B$405,E318,'Istoric_Nativ'!$C$6:$C$405,F318,'Istoric_Nativ'!$F$6:$F$405,G318,'Istoric_Nativ'!$D$6:$D$405,"&lt;"&amp;J318,'Istoric_Nativ'!$O$6:$O$405,"SOURCE CONFLICT"))</x:f>
        <x:v>0</x:v>
      </x:c>
      <x:c r="T318" s="2" t="str">
        <x:f>IF(B318="","",IF(R318&lt;&gt;"CLOSED",R318,IF(S318&gt;0,"NATIVE INPUT ISSUE",IF(M318=0,"NO HISTORY",IF(M318&lt;P318,"SMALL SAMPLE","DERIVED")))))</x:f>
      </x:c>
      <x:c r="U318" s="2" t="str">
        <x:f>IF(B318="","","NativeTable; "&amp;E318&amp;"; "&amp;F318&amp;"; "&amp;G318&amp;"; "&amp;H318&amp;"; before "&amp;TEXT(J318,"yyyy-mm-dd")&amp;IF(I318="RECENT","; from "&amp;TEXT(L318,"yyyy-mm-dd"),""))</x:f>
      </x:c>
    </x:row>
    <x:row r="319" ht="21" customHeight="1">
      <x:c r="A319" s="2" t="n">
        <x:v>27</x:v>
      </x:c>
      <x:c r="B319" s="2" t="str">
        <x:f>IF('Input_Meci'!A32="","",'Input_Meci'!A32)</x:f>
      </x:c>
      <x:c r="C319" s="2" t="str">
        <x:v>H</x:v>
      </x:c>
      <x:c r="D319" s="2" t="str">
        <x:v>CURRENT</x:v>
      </x:c>
      <x:c r="E319" s="2" t="str">
        <x:f>IF(B319="","",'Input_Meci'!B32)</x:f>
      </x:c>
      <x:c r="F319" s="2" t="str">
        <x:f>IF(B319="","",IF('Input_Meci'!C32="","",'Input_Meci'!C32))</x:f>
      </x:c>
      <x:c r="G319" s="2" t="str">
        <x:f>IF(B319="","",'Input_Meci'!D32)</x:f>
      </x:c>
      <x:c r="H319" s="2" t="str">
        <x:v>HOME</x:v>
      </x:c>
      <x:c r="I319" s="2" t="str">
        <x:v>HA</x:v>
      </x:c>
      <x:c r="J319" s="9" t="n">
        <x:f>IF(AND(B319&lt;&gt;"",ISNUMBER('Input_Meci'!G32)),INT('Input_Meci'!G32),0)</x:f>
        <x:v>0</x:v>
      </x:c>
      <x:c r="K319" s="2" t="n">
        <x:f>IF(OR(B319="",F319=""),0,IF(H319="HOME",COUNTIFS('Istoric_Nativ'!$B$6:$B$405,E319,'Istoric_Nativ'!$C$6:$C$405,F319,'Istoric_Nativ'!$E$6:$E$405,G319,'Istoric_Nativ'!$D$6:$D$405,"&lt;"&amp;J319,'Istoric_Nativ'!$P$6:$P$405,1),IF(H319="AWAY",COUNTIFS('Istoric_Nativ'!$B$6:$B$405,E319,'Istoric_Nativ'!$C$6:$C$405,F319,'Istoric_Nativ'!$F$6:$F$405,G319,'Istoric_Nativ'!$D$6:$D$405,"&lt;"&amp;J319,'Istoric_Nativ'!$P$6:$P$405,1),COUNTIFS('Istoric_Nativ'!$B$6:$B$405,E319,'Istoric_Nativ'!$C$6:$C$405,F319,'Istoric_Nativ'!$E$6:$E$405,G319,'Istoric_Nativ'!$D$6:$D$405,"&lt;"&amp;J319,'Istoric_Nativ'!$P$6:$P$405,1)+COUNTIFS('Istoric_Nativ'!$B$6:$B$405,E319,'Istoric_Nativ'!$C$6:$C$405,F319,'Istoric_Nativ'!$F$6:$F$405,G319,'Istoric_Nativ'!$D$6:$D$405,"&lt;"&amp;J319,'Istoric_Nativ'!$P$6:$P$405,1))))</x:f>
        <x:v>0</x:v>
      </x:c>
      <x:c r="L319" s="17" t="n">
        <x:f>IF(AND(B319&lt;&gt;"",I319="RECENT",K319&gt;0),LARGE(_xlfn._xlws.FILTER('Istoric_Nativ'!$D$6:$D$405,('Istoric_Nativ'!$B$6:$B$405=E319)*('Istoric_Nativ'!$C$6:$C$405=F319)*('Istoric_Nativ'!$P$6:$P$405=1)*('Istoric_Nativ'!$D$6:$D$405&lt;J319)*((('Istoric_Nativ'!$E$6:$E$405=G319)+('Istoric_Nativ'!$F$6:$F$405=G319))&gt;0)),MIN('Config_v6'!$B$54,K319)),0)</x:f>
        <x:v>0</x:v>
      </x:c>
      <x:c r="M319" s="2" t="n">
        <x:f>IF(OR(B319="",F319=""),0,IF(H319="HOME",COUNTIFS('Istoric_Nativ'!$B$6:$B$405,E319,'Istoric_Nativ'!$C$6:$C$405,F319,'Istoric_Nativ'!$E$6:$E$405,G319,'Istoric_Nativ'!$D$6:$D$405,"&lt;"&amp;J319,'Istoric_Nativ'!$P$6:$P$405,1,'Istoric_Nativ'!$D$6:$D$405,"&gt;="&amp;L319),IF(H319="AWAY",COUNTIFS('Istoric_Nativ'!$B$6:$B$405,E319,'Istoric_Nativ'!$C$6:$C$405,F319,'Istoric_Nativ'!$F$6:$F$405,G319,'Istoric_Nativ'!$D$6:$D$405,"&lt;"&amp;J319,'Istoric_Nativ'!$P$6:$P$405,1,'Istoric_Nativ'!$D$6:$D$405,"&gt;="&amp;L319),COUNTIFS('Istoric_Nativ'!$B$6:$B$405,E319,'Istoric_Nativ'!$C$6:$C$405,F319,'Istoric_Nativ'!$E$6:$E$405,G319,'Istoric_Nativ'!$D$6:$D$405,"&lt;"&amp;J319,'Istoric_Nativ'!$P$6:$P$405,1,'Istoric_Nativ'!$D$6:$D$405,"&gt;="&amp;L319)+COUNTIFS('Istoric_Nativ'!$B$6:$B$405,E319,'Istoric_Nativ'!$C$6:$C$405,F319,'Istoric_Nativ'!$F$6:$F$405,G319,'Istoric_Nativ'!$D$6:$D$405,"&lt;"&amp;J319,'Istoric_Nativ'!$P$6:$P$405,1,'Istoric_Nativ'!$D$6:$D$405,"&gt;="&amp;L319))))</x:f>
        <x:v>0</x:v>
      </x:c>
      <x:c r="N319" s="11" t="str">
        <x:f>IF(M319=0,"",IF(H319="HOME",SUMIFS('Istoric_Nativ'!$G$6:$G$405,'Istoric_Nativ'!$B$6:$B$405,E319,'Istoric_Nativ'!$C$6:$C$405,F319,'Istoric_Nativ'!$E$6:$E$405,G319,'Istoric_Nativ'!$D$6:$D$405,"&lt;"&amp;J319,'Istoric_Nativ'!$P$6:$P$405,1,'Istoric_Nativ'!$D$6:$D$405,"&gt;="&amp;L319),IF(H319="AWAY",SUMIFS('Istoric_Nativ'!$H$6:$H$405,'Istoric_Nativ'!$B$6:$B$405,E319,'Istoric_Nativ'!$C$6:$C$405,F319,'Istoric_Nativ'!$F$6:$F$405,G319,'Istoric_Nativ'!$D$6:$D$405,"&lt;"&amp;J319,'Istoric_Nativ'!$P$6:$P$405,1,'Istoric_Nativ'!$D$6:$D$405,"&gt;="&amp;L319),SUMIFS('Istoric_Nativ'!$G$6:$G$405,'Istoric_Nativ'!$B$6:$B$405,E319,'Istoric_Nativ'!$C$6:$C$405,F319,'Istoric_Nativ'!$E$6:$E$405,G319,'Istoric_Nativ'!$D$6:$D$405,"&lt;"&amp;J319,'Istoric_Nativ'!$P$6:$P$405,1,'Istoric_Nativ'!$D$6:$D$405,"&gt;="&amp;L319)+SUMIFS('Istoric_Nativ'!$H$6:$H$405,'Istoric_Nativ'!$B$6:$B$405,E319,'Istoric_Nativ'!$C$6:$C$405,F319,'Istoric_Nativ'!$F$6:$F$405,G319,'Istoric_Nativ'!$D$6:$D$405,"&lt;"&amp;J319,'Istoric_Nativ'!$P$6:$P$405,1,'Istoric_Nativ'!$D$6:$D$405,"&gt;="&amp;L319)))/M319)</x:f>
      </x:c>
      <x:c r="O319" s="11" t="str">
        <x:f>IF(M319=0,"",IF(H319="HOME",SUMIFS('Istoric_Nativ'!$H$6:$H$405,'Istoric_Nativ'!$B$6:$B$405,E319,'Istoric_Nativ'!$C$6:$C$405,F319,'Istoric_Nativ'!$E$6:$E$405,G319,'Istoric_Nativ'!$D$6:$D$405,"&lt;"&amp;J319,'Istoric_Nativ'!$P$6:$P$405,1,'Istoric_Nativ'!$D$6:$D$405,"&gt;="&amp;L319),IF(H319="AWAY",SUMIFS('Istoric_Nativ'!$G$6:$G$405,'Istoric_Nativ'!$B$6:$B$405,E319,'Istoric_Nativ'!$C$6:$C$405,F319,'Istoric_Nativ'!$F$6:$F$405,G319,'Istoric_Nativ'!$D$6:$D$405,"&lt;"&amp;J319,'Istoric_Nativ'!$P$6:$P$405,1,'Istoric_Nativ'!$D$6:$D$405,"&gt;="&amp;L319),SUMIFS('Istoric_Nativ'!$H$6:$H$405,'Istoric_Nativ'!$B$6:$B$405,E319,'Istoric_Nativ'!$C$6:$C$405,F319,'Istoric_Nativ'!$E$6:$E$405,G319,'Istoric_Nativ'!$D$6:$D$405,"&lt;"&amp;J319,'Istoric_Nativ'!$P$6:$P$405,1,'Istoric_Nativ'!$D$6:$D$405,"&gt;="&amp;L319)+SUMIFS('Istoric_Nativ'!$G$6:$G$405,'Istoric_Nativ'!$B$6:$B$405,E319,'Istoric_Nativ'!$C$6:$C$405,F319,'Istoric_Nativ'!$F$6:$F$405,G319,'Istoric_Nativ'!$D$6:$D$405,"&lt;"&amp;J319,'Istoric_Nativ'!$P$6:$P$405,1,'Istoric_Nativ'!$D$6:$D$405,"&gt;="&amp;L319)))/M319)</x:f>
      </x:c>
      <x:c r="P319" s="2" t="n">
        <x:f>'Config_v6'!$B$8</x:f>
        <x:v>5</x:v>
      </x:c>
      <x:c r="Q319" s="2" t="n">
        <x:f>IF(OR(B319="",F319=""),0,IFERROR(MATCH(E319&amp;"|"&amp;F319,SourceTable[Source_Key],0),0))</x:f>
        <x:v>0</x:v>
      </x:c>
      <x:c r="R319" s="2" t="str">
        <x:f>IF(B319="","",IF(F319="","UNUSED",IF(Q319=0,"NOT CHECKED",IF(COUNTIF(SourceTable[Source_Key],E319&amp;"|"&amp;F319)&lt;&gt;1,"SOURCE CONFLICT",IF(NOT(OR(INDEX(SourceTable[Status],MAX(1,Q319))="IMPORTED",INDEX(SourceTable[Status],MAX(1,Q319))="PARTIAL",INDEX(SourceTable[Status],MAX(1,Q319))="SOURCE CONFLICT")),"ACCESS BLOCKED",IF(OR(INDEX(SourceTable[Coverage],Q319)&lt;&gt;"FULL SEASON EXPORT",INDEX(SourceTable[URL],Q319)="",INDEX(SourceTable[SHA256],Q319)=""),"EVIDENCE INCOMPLETE",IF(AND('Input_Meci'!H32="LIVE",INDEX(SourceTable[Retrieved_UTC],Q319)&gt;'Input_Meci'!G32),"POST CUTOFF","CLOSED")))))))</x:f>
      </x:c>
      <x:c r="S319" s="2" t="n">
        <x:f>IF(OR(B319="",F319=""),0,COUNTIFS('Istoric_Nativ'!$B$6:$B$405,E319,'Istoric_Nativ'!$C$6:$C$405,F319,'Istoric_Nativ'!$E$6:$E$405,G319,'Istoric_Nativ'!$D$6:$D$405,"&lt;"&amp;J319,'Istoric_Nativ'!$O$6:$O$405,"INVALID")+COUNTIFS('Istoric_Nativ'!$B$6:$B$405,E319,'Istoric_Nativ'!$C$6:$C$405,F319,'Istoric_Nativ'!$E$6:$E$405,G319,'Istoric_Nativ'!$O$6:$O$405,"INVALID",'Istoric_Nativ'!$D$6:$D$405,"*")+COUNTIFS('Istoric_Nativ'!$B$6:$B$405,E319,'Istoric_Nativ'!$C$6:$C$405,F319,'Istoric_Nativ'!$E$6:$E$405,G319,'Istoric_Nativ'!$D$6:$D$405,"&lt;"&amp;J319,'Istoric_Nativ'!$O$6:$O$405,"SOURCE CONFLICT")+COUNTIFS('Istoric_Nativ'!$B$6:$B$405,E319,'Istoric_Nativ'!$C$6:$C$405,F319,'Istoric_Nativ'!$F$6:$F$405,G319,'Istoric_Nativ'!$D$6:$D$405,"&lt;"&amp;J319,'Istoric_Nativ'!$O$6:$O$405,"INVALID")+COUNTIFS('Istoric_Nativ'!$B$6:$B$405,E319,'Istoric_Nativ'!$C$6:$C$405,F319,'Istoric_Nativ'!$F$6:$F$405,G319,'Istoric_Nativ'!$O$6:$O$405,"INVALID",'Istoric_Nativ'!$D$6:$D$405,"*")+COUNTIFS('Istoric_Nativ'!$B$6:$B$405,E319,'Istoric_Nativ'!$C$6:$C$405,F319,'Istoric_Nativ'!$F$6:$F$405,G319,'Istoric_Nativ'!$D$6:$D$405,"&lt;"&amp;J319,'Istoric_Nativ'!$O$6:$O$405,"SOURCE CONFLICT"))</x:f>
        <x:v>0</x:v>
      </x:c>
      <x:c r="T319" s="2" t="str">
        <x:f>IF(B319="","",IF(R319&lt;&gt;"CLOSED",R319,IF(S319&gt;0,"NATIVE INPUT ISSUE",IF(M319=0,"NO HISTORY",IF(M319&lt;P319,"SMALL SAMPLE","DERIVED")))))</x:f>
      </x:c>
      <x:c r="U319" s="2" t="str">
        <x:f>IF(B319="","","NativeTable; "&amp;E319&amp;"; "&amp;F319&amp;"; "&amp;G319&amp;"; "&amp;H319&amp;"; before "&amp;TEXT(J319,"yyyy-mm-dd")&amp;IF(I319="RECENT","; from "&amp;TEXT(L319,"yyyy-mm-dd"),""))</x:f>
      </x:c>
    </x:row>
    <x:row r="320" ht="21" customHeight="1">
      <x:c r="A320" s="2" t="n">
        <x:v>27</x:v>
      </x:c>
      <x:c r="B320" s="2" t="str">
        <x:f>IF('Input_Meci'!A32="","",'Input_Meci'!A32)</x:f>
      </x:c>
      <x:c r="C320" s="2" t="str">
        <x:v>H</x:v>
      </x:c>
      <x:c r="D320" s="2" t="str">
        <x:v>CURRENT</x:v>
      </x:c>
      <x:c r="E320" s="2" t="str">
        <x:f>IF(B320="","",'Input_Meci'!B32)</x:f>
      </x:c>
      <x:c r="F320" s="2" t="str">
        <x:f>IF(B320="","",IF('Input_Meci'!C32="","",'Input_Meci'!C32))</x:f>
      </x:c>
      <x:c r="G320" s="2" t="str">
        <x:f>IF(B320="","",'Input_Meci'!D32)</x:f>
      </x:c>
      <x:c r="H320" s="2" t="str">
        <x:v>ANY</x:v>
      </x:c>
      <x:c r="I320" s="2" t="str">
        <x:v>RECENT</x:v>
      </x:c>
      <x:c r="J320" s="9" t="n">
        <x:f>IF(AND(B320&lt;&gt;"",ISNUMBER('Input_Meci'!G32)),INT('Input_Meci'!G32),0)</x:f>
        <x:v>0</x:v>
      </x:c>
      <x:c r="K320" s="2" t="n">
        <x:f>IF(OR(B320="",F320=""),0,IF(H320="HOME",COUNTIFS('Istoric_Nativ'!$B$6:$B$405,E320,'Istoric_Nativ'!$C$6:$C$405,F320,'Istoric_Nativ'!$E$6:$E$405,G320,'Istoric_Nativ'!$D$6:$D$405,"&lt;"&amp;J320,'Istoric_Nativ'!$P$6:$P$405,1),IF(H320="AWAY",COUNTIFS('Istoric_Nativ'!$B$6:$B$405,E320,'Istoric_Nativ'!$C$6:$C$405,F320,'Istoric_Nativ'!$F$6:$F$405,G320,'Istoric_Nativ'!$D$6:$D$405,"&lt;"&amp;J320,'Istoric_Nativ'!$P$6:$P$405,1),COUNTIFS('Istoric_Nativ'!$B$6:$B$405,E320,'Istoric_Nativ'!$C$6:$C$405,F320,'Istoric_Nativ'!$E$6:$E$405,G320,'Istoric_Nativ'!$D$6:$D$405,"&lt;"&amp;J320,'Istoric_Nativ'!$P$6:$P$405,1)+COUNTIFS('Istoric_Nativ'!$B$6:$B$405,E320,'Istoric_Nativ'!$C$6:$C$405,F320,'Istoric_Nativ'!$F$6:$F$405,G320,'Istoric_Nativ'!$D$6:$D$405,"&lt;"&amp;J320,'Istoric_Nativ'!$P$6:$P$405,1))))</x:f>
        <x:v>0</x:v>
      </x:c>
      <x:c r="L320" s="17" t="n">
        <x:f>IF(AND(B320&lt;&gt;"",I320="RECENT",K320&gt;0),LARGE(_xlfn._xlws.FILTER('Istoric_Nativ'!$D$6:$D$405,('Istoric_Nativ'!$B$6:$B$405=E320)*('Istoric_Nativ'!$C$6:$C$405=F320)*('Istoric_Nativ'!$P$6:$P$405=1)*('Istoric_Nativ'!$D$6:$D$405&lt;J320)*((('Istoric_Nativ'!$E$6:$E$405=G320)+('Istoric_Nativ'!$F$6:$F$405=G320))&gt;0)),MIN('Config_v6'!$B$54,K320)),0)</x:f>
        <x:v>0</x:v>
      </x:c>
      <x:c r="M320" s="2" t="n">
        <x:f>IF(OR(B320="",F320=""),0,IF(H320="HOME",COUNTIFS('Istoric_Nativ'!$B$6:$B$405,E320,'Istoric_Nativ'!$C$6:$C$405,F320,'Istoric_Nativ'!$E$6:$E$405,G320,'Istoric_Nativ'!$D$6:$D$405,"&lt;"&amp;J320,'Istoric_Nativ'!$P$6:$P$405,1,'Istoric_Nativ'!$D$6:$D$405,"&gt;="&amp;L320),IF(H320="AWAY",COUNTIFS('Istoric_Nativ'!$B$6:$B$405,E320,'Istoric_Nativ'!$C$6:$C$405,F320,'Istoric_Nativ'!$F$6:$F$405,G320,'Istoric_Nativ'!$D$6:$D$405,"&lt;"&amp;J320,'Istoric_Nativ'!$P$6:$P$405,1,'Istoric_Nativ'!$D$6:$D$405,"&gt;="&amp;L320),COUNTIFS('Istoric_Nativ'!$B$6:$B$405,E320,'Istoric_Nativ'!$C$6:$C$405,F320,'Istoric_Nativ'!$E$6:$E$405,G320,'Istoric_Nativ'!$D$6:$D$405,"&lt;"&amp;J320,'Istoric_Nativ'!$P$6:$P$405,1,'Istoric_Nativ'!$D$6:$D$405,"&gt;="&amp;L320)+COUNTIFS('Istoric_Nativ'!$B$6:$B$405,E320,'Istoric_Nativ'!$C$6:$C$405,F320,'Istoric_Nativ'!$F$6:$F$405,G320,'Istoric_Nativ'!$D$6:$D$405,"&lt;"&amp;J320,'Istoric_Nativ'!$P$6:$P$405,1,'Istoric_Nativ'!$D$6:$D$405,"&gt;="&amp;L320))))</x:f>
        <x:v>0</x:v>
      </x:c>
      <x:c r="N320" s="11" t="str">
        <x:f>IF(M320=0,"",IF(H320="HOME",SUMIFS('Istoric_Nativ'!$G$6:$G$405,'Istoric_Nativ'!$B$6:$B$405,E320,'Istoric_Nativ'!$C$6:$C$405,F320,'Istoric_Nativ'!$E$6:$E$405,G320,'Istoric_Nativ'!$D$6:$D$405,"&lt;"&amp;J320,'Istoric_Nativ'!$P$6:$P$405,1,'Istoric_Nativ'!$D$6:$D$405,"&gt;="&amp;L320),IF(H320="AWAY",SUMIFS('Istoric_Nativ'!$H$6:$H$405,'Istoric_Nativ'!$B$6:$B$405,E320,'Istoric_Nativ'!$C$6:$C$405,F320,'Istoric_Nativ'!$F$6:$F$405,G320,'Istoric_Nativ'!$D$6:$D$405,"&lt;"&amp;J320,'Istoric_Nativ'!$P$6:$P$405,1,'Istoric_Nativ'!$D$6:$D$405,"&gt;="&amp;L320),SUMIFS('Istoric_Nativ'!$G$6:$G$405,'Istoric_Nativ'!$B$6:$B$405,E320,'Istoric_Nativ'!$C$6:$C$405,F320,'Istoric_Nativ'!$E$6:$E$405,G320,'Istoric_Nativ'!$D$6:$D$405,"&lt;"&amp;J320,'Istoric_Nativ'!$P$6:$P$405,1,'Istoric_Nativ'!$D$6:$D$405,"&gt;="&amp;L320)+SUMIFS('Istoric_Nativ'!$H$6:$H$405,'Istoric_Nativ'!$B$6:$B$405,E320,'Istoric_Nativ'!$C$6:$C$405,F320,'Istoric_Nativ'!$F$6:$F$405,G320,'Istoric_Nativ'!$D$6:$D$405,"&lt;"&amp;J320,'Istoric_Nativ'!$P$6:$P$405,1,'Istoric_Nativ'!$D$6:$D$405,"&gt;="&amp;L320)))/M320)</x:f>
      </x:c>
      <x:c r="O320" s="11" t="str">
        <x:f>IF(M320=0,"",IF(H320="HOME",SUMIFS('Istoric_Nativ'!$H$6:$H$405,'Istoric_Nativ'!$B$6:$B$405,E320,'Istoric_Nativ'!$C$6:$C$405,F320,'Istoric_Nativ'!$E$6:$E$405,G320,'Istoric_Nativ'!$D$6:$D$405,"&lt;"&amp;J320,'Istoric_Nativ'!$P$6:$P$405,1,'Istoric_Nativ'!$D$6:$D$405,"&gt;="&amp;L320),IF(H320="AWAY",SUMIFS('Istoric_Nativ'!$G$6:$G$405,'Istoric_Nativ'!$B$6:$B$405,E320,'Istoric_Nativ'!$C$6:$C$405,F320,'Istoric_Nativ'!$F$6:$F$405,G320,'Istoric_Nativ'!$D$6:$D$405,"&lt;"&amp;J320,'Istoric_Nativ'!$P$6:$P$405,1,'Istoric_Nativ'!$D$6:$D$405,"&gt;="&amp;L320),SUMIFS('Istoric_Nativ'!$H$6:$H$405,'Istoric_Nativ'!$B$6:$B$405,E320,'Istoric_Nativ'!$C$6:$C$405,F320,'Istoric_Nativ'!$E$6:$E$405,G320,'Istoric_Nativ'!$D$6:$D$405,"&lt;"&amp;J320,'Istoric_Nativ'!$P$6:$P$405,1,'Istoric_Nativ'!$D$6:$D$405,"&gt;="&amp;L320)+SUMIFS('Istoric_Nativ'!$G$6:$G$405,'Istoric_Nativ'!$B$6:$B$405,E320,'Istoric_Nativ'!$C$6:$C$405,F320,'Istoric_Nativ'!$F$6:$F$405,G320,'Istoric_Nativ'!$D$6:$D$405,"&lt;"&amp;J320,'Istoric_Nativ'!$P$6:$P$405,1,'Istoric_Nativ'!$D$6:$D$405,"&gt;="&amp;L320)))/M320)</x:f>
      </x:c>
      <x:c r="P320" s="2" t="n">
        <x:f>'Config_v6'!$B$9</x:f>
        <x:v>3</x:v>
      </x:c>
      <x:c r="Q320" s="2" t="n">
        <x:f>IF(OR(B320="",F320=""),0,IFERROR(MATCH(E320&amp;"|"&amp;F320,SourceTable[Source_Key],0),0))</x:f>
        <x:v>0</x:v>
      </x:c>
      <x:c r="R320" s="2" t="str">
        <x:f>IF(B320="","",IF(F320="","UNUSED",IF(Q320=0,"NOT CHECKED",IF(COUNTIF(SourceTable[Source_Key],E320&amp;"|"&amp;F320)&lt;&gt;1,"SOURCE CONFLICT",IF(NOT(OR(INDEX(SourceTable[Status],MAX(1,Q320))="IMPORTED",INDEX(SourceTable[Status],MAX(1,Q320))="PARTIAL",INDEX(SourceTable[Status],MAX(1,Q320))="SOURCE CONFLICT")),"ACCESS BLOCKED",IF(OR(INDEX(SourceTable[Coverage],Q320)&lt;&gt;"FULL SEASON EXPORT",INDEX(SourceTable[URL],Q320)="",INDEX(SourceTable[SHA256],Q320)=""),"EVIDENCE INCOMPLETE",IF(AND('Input_Meci'!H32="LIVE",INDEX(SourceTable[Retrieved_UTC],Q320)&gt;'Input_Meci'!G32),"POST CUTOFF","CLOSED")))))))</x:f>
      </x:c>
      <x:c r="S320" s="2" t="n">
        <x:f>IF(OR(B320="",F320=""),0,COUNTIFS('Istoric_Nativ'!$B$6:$B$405,E320,'Istoric_Nativ'!$C$6:$C$405,F320,'Istoric_Nativ'!$E$6:$E$405,G320,'Istoric_Nativ'!$D$6:$D$405,"&lt;"&amp;J320,'Istoric_Nativ'!$O$6:$O$405,"INVALID")+COUNTIFS('Istoric_Nativ'!$B$6:$B$405,E320,'Istoric_Nativ'!$C$6:$C$405,F320,'Istoric_Nativ'!$E$6:$E$405,G320,'Istoric_Nativ'!$O$6:$O$405,"INVALID",'Istoric_Nativ'!$D$6:$D$405,"*")+COUNTIFS('Istoric_Nativ'!$B$6:$B$405,E320,'Istoric_Nativ'!$C$6:$C$405,F320,'Istoric_Nativ'!$E$6:$E$405,G320,'Istoric_Nativ'!$D$6:$D$405,"&lt;"&amp;J320,'Istoric_Nativ'!$O$6:$O$405,"SOURCE CONFLICT")+COUNTIFS('Istoric_Nativ'!$B$6:$B$405,E320,'Istoric_Nativ'!$C$6:$C$405,F320,'Istoric_Nativ'!$F$6:$F$405,G320,'Istoric_Nativ'!$D$6:$D$405,"&lt;"&amp;J320,'Istoric_Nativ'!$O$6:$O$405,"INVALID")+COUNTIFS('Istoric_Nativ'!$B$6:$B$405,E320,'Istoric_Nativ'!$C$6:$C$405,F320,'Istoric_Nativ'!$F$6:$F$405,G320,'Istoric_Nativ'!$O$6:$O$405,"INVALID",'Istoric_Nativ'!$D$6:$D$405,"*")+COUNTIFS('Istoric_Nativ'!$B$6:$B$405,E320,'Istoric_Nativ'!$C$6:$C$405,F320,'Istoric_Nativ'!$F$6:$F$405,G320,'Istoric_Nativ'!$D$6:$D$405,"&lt;"&amp;J320,'Istoric_Nativ'!$O$6:$O$405,"SOURCE CONFLICT"))</x:f>
        <x:v>0</x:v>
      </x:c>
      <x:c r="T320" s="2" t="str">
        <x:f>IF(B320="","",IF(R320&lt;&gt;"CLOSED",R320,IF(S320&gt;0,"NATIVE INPUT ISSUE",IF(M320=0,"NO HISTORY",IF(M320&lt;P320,"SMALL SAMPLE","DERIVED")))))</x:f>
      </x:c>
      <x:c r="U320" s="2" t="str">
        <x:f>IF(B320="","","NativeTable; "&amp;E320&amp;"; "&amp;F320&amp;"; "&amp;G320&amp;"; "&amp;H320&amp;"; before "&amp;TEXT(J320,"yyyy-mm-dd")&amp;IF(I320="RECENT","; from "&amp;TEXT(L320,"yyyy-mm-dd"),""))</x:f>
      </x:c>
    </x:row>
    <x:row r="321" ht="21" customHeight="1">
      <x:c r="A321" s="2" t="n">
        <x:v>27</x:v>
      </x:c>
      <x:c r="B321" s="2" t="str">
        <x:f>IF('Input_Meci'!A32="","",'Input_Meci'!A32)</x:f>
      </x:c>
      <x:c r="C321" s="2" t="str">
        <x:v>A</x:v>
      </x:c>
      <x:c r="D321" s="2" t="str">
        <x:v>CURRENT</x:v>
      </x:c>
      <x:c r="E321" s="2" t="str">
        <x:f>IF(B321="","",'Input_Meci'!B32)</x:f>
      </x:c>
      <x:c r="F321" s="2" t="str">
        <x:f>IF(B321="","",IF('Input_Meci'!C32="","",'Input_Meci'!C32))</x:f>
      </x:c>
      <x:c r="G321" s="2" t="str">
        <x:f>IF(B321="","",'Input_Meci'!E32)</x:f>
      </x:c>
      <x:c r="H321" s="2" t="str">
        <x:v>ANY</x:v>
      </x:c>
      <x:c r="I321" s="2" t="str">
        <x:v>SEASON</x:v>
      </x:c>
      <x:c r="J321" s="9" t="n">
        <x:f>IF(AND(B321&lt;&gt;"",ISNUMBER('Input_Meci'!G32)),INT('Input_Meci'!G32),0)</x:f>
        <x:v>0</x:v>
      </x:c>
      <x:c r="K321" s="2" t="n">
        <x:f>IF(OR(B321="",F321=""),0,IF(H321="HOME",COUNTIFS('Istoric_Nativ'!$B$6:$B$405,E321,'Istoric_Nativ'!$C$6:$C$405,F321,'Istoric_Nativ'!$E$6:$E$405,G321,'Istoric_Nativ'!$D$6:$D$405,"&lt;"&amp;J321,'Istoric_Nativ'!$P$6:$P$405,1),IF(H321="AWAY",COUNTIFS('Istoric_Nativ'!$B$6:$B$405,E321,'Istoric_Nativ'!$C$6:$C$405,F321,'Istoric_Nativ'!$F$6:$F$405,G321,'Istoric_Nativ'!$D$6:$D$405,"&lt;"&amp;J321,'Istoric_Nativ'!$P$6:$P$405,1),COUNTIFS('Istoric_Nativ'!$B$6:$B$405,E321,'Istoric_Nativ'!$C$6:$C$405,F321,'Istoric_Nativ'!$E$6:$E$405,G321,'Istoric_Nativ'!$D$6:$D$405,"&lt;"&amp;J321,'Istoric_Nativ'!$P$6:$P$405,1)+COUNTIFS('Istoric_Nativ'!$B$6:$B$405,E321,'Istoric_Nativ'!$C$6:$C$405,F321,'Istoric_Nativ'!$F$6:$F$405,G321,'Istoric_Nativ'!$D$6:$D$405,"&lt;"&amp;J321,'Istoric_Nativ'!$P$6:$P$405,1))))</x:f>
        <x:v>0</x:v>
      </x:c>
      <x:c r="L321" s="17" t="n">
        <x:f>IF(AND(B321&lt;&gt;"",I321="RECENT",K321&gt;0),LARGE(_xlfn._xlws.FILTER('Istoric_Nativ'!$D$6:$D$405,('Istoric_Nativ'!$B$6:$B$405=E321)*('Istoric_Nativ'!$C$6:$C$405=F321)*('Istoric_Nativ'!$P$6:$P$405=1)*('Istoric_Nativ'!$D$6:$D$405&lt;J321)*((('Istoric_Nativ'!$E$6:$E$405=G321)+('Istoric_Nativ'!$F$6:$F$405=G321))&gt;0)),MIN('Config_v6'!$B$54,K321)),0)</x:f>
        <x:v>0</x:v>
      </x:c>
      <x:c r="M321" s="2" t="n">
        <x:f>IF(OR(B321="",F321=""),0,IF(H321="HOME",COUNTIFS('Istoric_Nativ'!$B$6:$B$405,E321,'Istoric_Nativ'!$C$6:$C$405,F321,'Istoric_Nativ'!$E$6:$E$405,G321,'Istoric_Nativ'!$D$6:$D$405,"&lt;"&amp;J321,'Istoric_Nativ'!$P$6:$P$405,1,'Istoric_Nativ'!$D$6:$D$405,"&gt;="&amp;L321),IF(H321="AWAY",COUNTIFS('Istoric_Nativ'!$B$6:$B$405,E321,'Istoric_Nativ'!$C$6:$C$405,F321,'Istoric_Nativ'!$F$6:$F$405,G321,'Istoric_Nativ'!$D$6:$D$405,"&lt;"&amp;J321,'Istoric_Nativ'!$P$6:$P$405,1,'Istoric_Nativ'!$D$6:$D$405,"&gt;="&amp;L321),COUNTIFS('Istoric_Nativ'!$B$6:$B$405,E321,'Istoric_Nativ'!$C$6:$C$405,F321,'Istoric_Nativ'!$E$6:$E$405,G321,'Istoric_Nativ'!$D$6:$D$405,"&lt;"&amp;J321,'Istoric_Nativ'!$P$6:$P$405,1,'Istoric_Nativ'!$D$6:$D$405,"&gt;="&amp;L321)+COUNTIFS('Istoric_Nativ'!$B$6:$B$405,E321,'Istoric_Nativ'!$C$6:$C$405,F321,'Istoric_Nativ'!$F$6:$F$405,G321,'Istoric_Nativ'!$D$6:$D$405,"&lt;"&amp;J321,'Istoric_Nativ'!$P$6:$P$405,1,'Istoric_Nativ'!$D$6:$D$405,"&gt;="&amp;L321))))</x:f>
        <x:v>0</x:v>
      </x:c>
      <x:c r="N321" s="11" t="str">
        <x:f>IF(M321=0,"",IF(H321="HOME",SUMIFS('Istoric_Nativ'!$G$6:$G$405,'Istoric_Nativ'!$B$6:$B$405,E321,'Istoric_Nativ'!$C$6:$C$405,F321,'Istoric_Nativ'!$E$6:$E$405,G321,'Istoric_Nativ'!$D$6:$D$405,"&lt;"&amp;J321,'Istoric_Nativ'!$P$6:$P$405,1,'Istoric_Nativ'!$D$6:$D$405,"&gt;="&amp;L321),IF(H321="AWAY",SUMIFS('Istoric_Nativ'!$H$6:$H$405,'Istoric_Nativ'!$B$6:$B$405,E321,'Istoric_Nativ'!$C$6:$C$405,F321,'Istoric_Nativ'!$F$6:$F$405,G321,'Istoric_Nativ'!$D$6:$D$405,"&lt;"&amp;J321,'Istoric_Nativ'!$P$6:$P$405,1,'Istoric_Nativ'!$D$6:$D$405,"&gt;="&amp;L321),SUMIFS('Istoric_Nativ'!$G$6:$G$405,'Istoric_Nativ'!$B$6:$B$405,E321,'Istoric_Nativ'!$C$6:$C$405,F321,'Istoric_Nativ'!$E$6:$E$405,G321,'Istoric_Nativ'!$D$6:$D$405,"&lt;"&amp;J321,'Istoric_Nativ'!$P$6:$P$405,1,'Istoric_Nativ'!$D$6:$D$405,"&gt;="&amp;L321)+SUMIFS('Istoric_Nativ'!$H$6:$H$405,'Istoric_Nativ'!$B$6:$B$405,E321,'Istoric_Nativ'!$C$6:$C$405,F321,'Istoric_Nativ'!$F$6:$F$405,G321,'Istoric_Nativ'!$D$6:$D$405,"&lt;"&amp;J321,'Istoric_Nativ'!$P$6:$P$405,1,'Istoric_Nativ'!$D$6:$D$405,"&gt;="&amp;L321)))/M321)</x:f>
      </x:c>
      <x:c r="O321" s="11" t="str">
        <x:f>IF(M321=0,"",IF(H321="HOME",SUMIFS('Istoric_Nativ'!$H$6:$H$405,'Istoric_Nativ'!$B$6:$B$405,E321,'Istoric_Nativ'!$C$6:$C$405,F321,'Istoric_Nativ'!$E$6:$E$405,G321,'Istoric_Nativ'!$D$6:$D$405,"&lt;"&amp;J321,'Istoric_Nativ'!$P$6:$P$405,1,'Istoric_Nativ'!$D$6:$D$405,"&gt;="&amp;L321),IF(H321="AWAY",SUMIFS('Istoric_Nativ'!$G$6:$G$405,'Istoric_Nativ'!$B$6:$B$405,E321,'Istoric_Nativ'!$C$6:$C$405,F321,'Istoric_Nativ'!$F$6:$F$405,G321,'Istoric_Nativ'!$D$6:$D$405,"&lt;"&amp;J321,'Istoric_Nativ'!$P$6:$P$405,1,'Istoric_Nativ'!$D$6:$D$405,"&gt;="&amp;L321),SUMIFS('Istoric_Nativ'!$H$6:$H$405,'Istoric_Nativ'!$B$6:$B$405,E321,'Istoric_Nativ'!$C$6:$C$405,F321,'Istoric_Nativ'!$E$6:$E$405,G321,'Istoric_Nativ'!$D$6:$D$405,"&lt;"&amp;J321,'Istoric_Nativ'!$P$6:$P$405,1,'Istoric_Nativ'!$D$6:$D$405,"&gt;="&amp;L321)+SUMIFS('Istoric_Nativ'!$G$6:$G$405,'Istoric_Nativ'!$B$6:$B$405,E321,'Istoric_Nativ'!$C$6:$C$405,F321,'Istoric_Nativ'!$F$6:$F$405,G321,'Istoric_Nativ'!$D$6:$D$405,"&lt;"&amp;J321,'Istoric_Nativ'!$P$6:$P$405,1,'Istoric_Nativ'!$D$6:$D$405,"&gt;="&amp;L321)))/M321)</x:f>
      </x:c>
      <x:c r="P321" s="2" t="n">
        <x:f>'Config_v6'!$B$7</x:f>
        <x:v>10</x:v>
      </x:c>
      <x:c r="Q321" s="2" t="n">
        <x:f>IF(OR(B321="",F321=""),0,IFERROR(MATCH(E321&amp;"|"&amp;F321,SourceTable[Source_Key],0),0))</x:f>
        <x:v>0</x:v>
      </x:c>
      <x:c r="R321" s="2" t="str">
        <x:f>IF(B321="","",IF(F321="","UNUSED",IF(Q321=0,"NOT CHECKED",IF(COUNTIF(SourceTable[Source_Key],E321&amp;"|"&amp;F321)&lt;&gt;1,"SOURCE CONFLICT",IF(NOT(OR(INDEX(SourceTable[Status],MAX(1,Q321))="IMPORTED",INDEX(SourceTable[Status],MAX(1,Q321))="PARTIAL",INDEX(SourceTable[Status],MAX(1,Q321))="SOURCE CONFLICT")),"ACCESS BLOCKED",IF(OR(INDEX(SourceTable[Coverage],Q321)&lt;&gt;"FULL SEASON EXPORT",INDEX(SourceTable[URL],Q321)="",INDEX(SourceTable[SHA256],Q321)=""),"EVIDENCE INCOMPLETE",IF(AND('Input_Meci'!H32="LIVE",INDEX(SourceTable[Retrieved_UTC],Q321)&gt;'Input_Meci'!G32),"POST CUTOFF","CLOSED")))))))</x:f>
      </x:c>
      <x:c r="S321" s="2" t="n">
        <x:f>IF(OR(B321="",F321=""),0,COUNTIFS('Istoric_Nativ'!$B$6:$B$405,E321,'Istoric_Nativ'!$C$6:$C$405,F321,'Istoric_Nativ'!$E$6:$E$405,G321,'Istoric_Nativ'!$D$6:$D$405,"&lt;"&amp;J321,'Istoric_Nativ'!$O$6:$O$405,"INVALID")+COUNTIFS('Istoric_Nativ'!$B$6:$B$405,E321,'Istoric_Nativ'!$C$6:$C$405,F321,'Istoric_Nativ'!$E$6:$E$405,G321,'Istoric_Nativ'!$O$6:$O$405,"INVALID",'Istoric_Nativ'!$D$6:$D$405,"*")+COUNTIFS('Istoric_Nativ'!$B$6:$B$405,E321,'Istoric_Nativ'!$C$6:$C$405,F321,'Istoric_Nativ'!$E$6:$E$405,G321,'Istoric_Nativ'!$D$6:$D$405,"&lt;"&amp;J321,'Istoric_Nativ'!$O$6:$O$405,"SOURCE CONFLICT")+COUNTIFS('Istoric_Nativ'!$B$6:$B$405,E321,'Istoric_Nativ'!$C$6:$C$405,F321,'Istoric_Nativ'!$F$6:$F$405,G321,'Istoric_Nativ'!$D$6:$D$405,"&lt;"&amp;J321,'Istoric_Nativ'!$O$6:$O$405,"INVALID")+COUNTIFS('Istoric_Nativ'!$B$6:$B$405,E321,'Istoric_Nativ'!$C$6:$C$405,F321,'Istoric_Nativ'!$F$6:$F$405,G321,'Istoric_Nativ'!$O$6:$O$405,"INVALID",'Istoric_Nativ'!$D$6:$D$405,"*")+COUNTIFS('Istoric_Nativ'!$B$6:$B$405,E321,'Istoric_Nativ'!$C$6:$C$405,F321,'Istoric_Nativ'!$F$6:$F$405,G321,'Istoric_Nativ'!$D$6:$D$405,"&lt;"&amp;J321,'Istoric_Nativ'!$O$6:$O$405,"SOURCE CONFLICT"))</x:f>
        <x:v>0</x:v>
      </x:c>
      <x:c r="T321" s="2" t="str">
        <x:f>IF(B321="","",IF(R321&lt;&gt;"CLOSED",R321,IF(S321&gt;0,"NATIVE INPUT ISSUE",IF(M321=0,"NO HISTORY",IF(M321&lt;P321,"SMALL SAMPLE","DERIVED")))))</x:f>
      </x:c>
      <x:c r="U321" s="2" t="str">
        <x:f>IF(B321="","","NativeTable; "&amp;E321&amp;"; "&amp;F321&amp;"; "&amp;G321&amp;"; "&amp;H321&amp;"; before "&amp;TEXT(J321,"yyyy-mm-dd")&amp;IF(I321="RECENT","; from "&amp;TEXT(L321,"yyyy-mm-dd"),""))</x:f>
      </x:c>
    </x:row>
    <x:row r="322" ht="21" customHeight="1">
      <x:c r="A322" s="2" t="n">
        <x:v>27</x:v>
      </x:c>
      <x:c r="B322" s="2" t="str">
        <x:f>IF('Input_Meci'!A32="","",'Input_Meci'!A32)</x:f>
      </x:c>
      <x:c r="C322" s="2" t="str">
        <x:v>A</x:v>
      </x:c>
      <x:c r="D322" s="2" t="str">
        <x:v>CURRENT</x:v>
      </x:c>
      <x:c r="E322" s="2" t="str">
        <x:f>IF(B322="","",'Input_Meci'!B32)</x:f>
      </x:c>
      <x:c r="F322" s="2" t="str">
        <x:f>IF(B322="","",IF('Input_Meci'!C32="","",'Input_Meci'!C32))</x:f>
      </x:c>
      <x:c r="G322" s="2" t="str">
        <x:f>IF(B322="","",'Input_Meci'!E32)</x:f>
      </x:c>
      <x:c r="H322" s="2" t="str">
        <x:v>AWAY</x:v>
      </x:c>
      <x:c r="I322" s="2" t="str">
        <x:v>HA</x:v>
      </x:c>
      <x:c r="J322" s="9" t="n">
        <x:f>IF(AND(B322&lt;&gt;"",ISNUMBER('Input_Meci'!G32)),INT('Input_Meci'!G32),0)</x:f>
        <x:v>0</x:v>
      </x:c>
      <x:c r="K322" s="2" t="n">
        <x:f>IF(OR(B322="",F322=""),0,IF(H322="HOME",COUNTIFS('Istoric_Nativ'!$B$6:$B$405,E322,'Istoric_Nativ'!$C$6:$C$405,F322,'Istoric_Nativ'!$E$6:$E$405,G322,'Istoric_Nativ'!$D$6:$D$405,"&lt;"&amp;J322,'Istoric_Nativ'!$P$6:$P$405,1),IF(H322="AWAY",COUNTIFS('Istoric_Nativ'!$B$6:$B$405,E322,'Istoric_Nativ'!$C$6:$C$405,F322,'Istoric_Nativ'!$F$6:$F$405,G322,'Istoric_Nativ'!$D$6:$D$405,"&lt;"&amp;J322,'Istoric_Nativ'!$P$6:$P$405,1),COUNTIFS('Istoric_Nativ'!$B$6:$B$405,E322,'Istoric_Nativ'!$C$6:$C$405,F322,'Istoric_Nativ'!$E$6:$E$405,G322,'Istoric_Nativ'!$D$6:$D$405,"&lt;"&amp;J322,'Istoric_Nativ'!$P$6:$P$405,1)+COUNTIFS('Istoric_Nativ'!$B$6:$B$405,E322,'Istoric_Nativ'!$C$6:$C$405,F322,'Istoric_Nativ'!$F$6:$F$405,G322,'Istoric_Nativ'!$D$6:$D$405,"&lt;"&amp;J322,'Istoric_Nativ'!$P$6:$P$405,1))))</x:f>
        <x:v>0</x:v>
      </x:c>
      <x:c r="L322" s="17" t="n">
        <x:f>IF(AND(B322&lt;&gt;"",I322="RECENT",K322&gt;0),LARGE(_xlfn._xlws.FILTER('Istoric_Nativ'!$D$6:$D$405,('Istoric_Nativ'!$B$6:$B$405=E322)*('Istoric_Nativ'!$C$6:$C$405=F322)*('Istoric_Nativ'!$P$6:$P$405=1)*('Istoric_Nativ'!$D$6:$D$405&lt;J322)*((('Istoric_Nativ'!$E$6:$E$405=G322)+('Istoric_Nativ'!$F$6:$F$405=G322))&gt;0)),MIN('Config_v6'!$B$54,K322)),0)</x:f>
        <x:v>0</x:v>
      </x:c>
      <x:c r="M322" s="2" t="n">
        <x:f>IF(OR(B322="",F322=""),0,IF(H322="HOME",COUNTIFS('Istoric_Nativ'!$B$6:$B$405,E322,'Istoric_Nativ'!$C$6:$C$405,F322,'Istoric_Nativ'!$E$6:$E$405,G322,'Istoric_Nativ'!$D$6:$D$405,"&lt;"&amp;J322,'Istoric_Nativ'!$P$6:$P$405,1,'Istoric_Nativ'!$D$6:$D$405,"&gt;="&amp;L322),IF(H322="AWAY",COUNTIFS('Istoric_Nativ'!$B$6:$B$405,E322,'Istoric_Nativ'!$C$6:$C$405,F322,'Istoric_Nativ'!$F$6:$F$405,G322,'Istoric_Nativ'!$D$6:$D$405,"&lt;"&amp;J322,'Istoric_Nativ'!$P$6:$P$405,1,'Istoric_Nativ'!$D$6:$D$405,"&gt;="&amp;L322),COUNTIFS('Istoric_Nativ'!$B$6:$B$405,E322,'Istoric_Nativ'!$C$6:$C$405,F322,'Istoric_Nativ'!$E$6:$E$405,G322,'Istoric_Nativ'!$D$6:$D$405,"&lt;"&amp;J322,'Istoric_Nativ'!$P$6:$P$405,1,'Istoric_Nativ'!$D$6:$D$405,"&gt;="&amp;L322)+COUNTIFS('Istoric_Nativ'!$B$6:$B$405,E322,'Istoric_Nativ'!$C$6:$C$405,F322,'Istoric_Nativ'!$F$6:$F$405,G322,'Istoric_Nativ'!$D$6:$D$405,"&lt;"&amp;J322,'Istoric_Nativ'!$P$6:$P$405,1,'Istoric_Nativ'!$D$6:$D$405,"&gt;="&amp;L322))))</x:f>
        <x:v>0</x:v>
      </x:c>
      <x:c r="N322" s="11" t="str">
        <x:f>IF(M322=0,"",IF(H322="HOME",SUMIFS('Istoric_Nativ'!$G$6:$G$405,'Istoric_Nativ'!$B$6:$B$405,E322,'Istoric_Nativ'!$C$6:$C$405,F322,'Istoric_Nativ'!$E$6:$E$405,G322,'Istoric_Nativ'!$D$6:$D$405,"&lt;"&amp;J322,'Istoric_Nativ'!$P$6:$P$405,1,'Istoric_Nativ'!$D$6:$D$405,"&gt;="&amp;L322),IF(H322="AWAY",SUMIFS('Istoric_Nativ'!$H$6:$H$405,'Istoric_Nativ'!$B$6:$B$405,E322,'Istoric_Nativ'!$C$6:$C$405,F322,'Istoric_Nativ'!$F$6:$F$405,G322,'Istoric_Nativ'!$D$6:$D$405,"&lt;"&amp;J322,'Istoric_Nativ'!$P$6:$P$405,1,'Istoric_Nativ'!$D$6:$D$405,"&gt;="&amp;L322),SUMIFS('Istoric_Nativ'!$G$6:$G$405,'Istoric_Nativ'!$B$6:$B$405,E322,'Istoric_Nativ'!$C$6:$C$405,F322,'Istoric_Nativ'!$E$6:$E$405,G322,'Istoric_Nativ'!$D$6:$D$405,"&lt;"&amp;J322,'Istoric_Nativ'!$P$6:$P$405,1,'Istoric_Nativ'!$D$6:$D$405,"&gt;="&amp;L322)+SUMIFS('Istoric_Nativ'!$H$6:$H$405,'Istoric_Nativ'!$B$6:$B$405,E322,'Istoric_Nativ'!$C$6:$C$405,F322,'Istoric_Nativ'!$F$6:$F$405,G322,'Istoric_Nativ'!$D$6:$D$405,"&lt;"&amp;J322,'Istoric_Nativ'!$P$6:$P$405,1,'Istoric_Nativ'!$D$6:$D$405,"&gt;="&amp;L322)))/M322)</x:f>
      </x:c>
      <x:c r="O322" s="11" t="str">
        <x:f>IF(M322=0,"",IF(H322="HOME",SUMIFS('Istoric_Nativ'!$H$6:$H$405,'Istoric_Nativ'!$B$6:$B$405,E322,'Istoric_Nativ'!$C$6:$C$405,F322,'Istoric_Nativ'!$E$6:$E$405,G322,'Istoric_Nativ'!$D$6:$D$405,"&lt;"&amp;J322,'Istoric_Nativ'!$P$6:$P$405,1,'Istoric_Nativ'!$D$6:$D$405,"&gt;="&amp;L322),IF(H322="AWAY",SUMIFS('Istoric_Nativ'!$G$6:$G$405,'Istoric_Nativ'!$B$6:$B$405,E322,'Istoric_Nativ'!$C$6:$C$405,F322,'Istoric_Nativ'!$F$6:$F$405,G322,'Istoric_Nativ'!$D$6:$D$405,"&lt;"&amp;J322,'Istoric_Nativ'!$P$6:$P$405,1,'Istoric_Nativ'!$D$6:$D$405,"&gt;="&amp;L322),SUMIFS('Istoric_Nativ'!$H$6:$H$405,'Istoric_Nativ'!$B$6:$B$405,E322,'Istoric_Nativ'!$C$6:$C$405,F322,'Istoric_Nativ'!$E$6:$E$405,G322,'Istoric_Nativ'!$D$6:$D$405,"&lt;"&amp;J322,'Istoric_Nativ'!$P$6:$P$405,1,'Istoric_Nativ'!$D$6:$D$405,"&gt;="&amp;L322)+SUMIFS('Istoric_Nativ'!$G$6:$G$405,'Istoric_Nativ'!$B$6:$B$405,E322,'Istoric_Nativ'!$C$6:$C$405,F322,'Istoric_Nativ'!$F$6:$F$405,G322,'Istoric_Nativ'!$D$6:$D$405,"&lt;"&amp;J322,'Istoric_Nativ'!$P$6:$P$405,1,'Istoric_Nativ'!$D$6:$D$405,"&gt;="&amp;L322)))/M322)</x:f>
      </x:c>
      <x:c r="P322" s="2" t="n">
        <x:f>'Config_v6'!$B$8</x:f>
        <x:v>5</x:v>
      </x:c>
      <x:c r="Q322" s="2" t="n">
        <x:f>IF(OR(B322="",F322=""),0,IFERROR(MATCH(E322&amp;"|"&amp;F322,SourceTable[Source_Key],0),0))</x:f>
        <x:v>0</x:v>
      </x:c>
      <x:c r="R322" s="2" t="str">
        <x:f>IF(B322="","",IF(F322="","UNUSED",IF(Q322=0,"NOT CHECKED",IF(COUNTIF(SourceTable[Source_Key],E322&amp;"|"&amp;F322)&lt;&gt;1,"SOURCE CONFLICT",IF(NOT(OR(INDEX(SourceTable[Status],MAX(1,Q322))="IMPORTED",INDEX(SourceTable[Status],MAX(1,Q322))="PARTIAL",INDEX(SourceTable[Status],MAX(1,Q322))="SOURCE CONFLICT")),"ACCESS BLOCKED",IF(OR(INDEX(SourceTable[Coverage],Q322)&lt;&gt;"FULL SEASON EXPORT",INDEX(SourceTable[URL],Q322)="",INDEX(SourceTable[SHA256],Q322)=""),"EVIDENCE INCOMPLETE",IF(AND('Input_Meci'!H32="LIVE",INDEX(SourceTable[Retrieved_UTC],Q322)&gt;'Input_Meci'!G32),"POST CUTOFF","CLOSED")))))))</x:f>
      </x:c>
      <x:c r="S322" s="2" t="n">
        <x:f>IF(OR(B322="",F322=""),0,COUNTIFS('Istoric_Nativ'!$B$6:$B$405,E322,'Istoric_Nativ'!$C$6:$C$405,F322,'Istoric_Nativ'!$E$6:$E$405,G322,'Istoric_Nativ'!$D$6:$D$405,"&lt;"&amp;J322,'Istoric_Nativ'!$O$6:$O$405,"INVALID")+COUNTIFS('Istoric_Nativ'!$B$6:$B$405,E322,'Istoric_Nativ'!$C$6:$C$405,F322,'Istoric_Nativ'!$E$6:$E$405,G322,'Istoric_Nativ'!$O$6:$O$405,"INVALID",'Istoric_Nativ'!$D$6:$D$405,"*")+COUNTIFS('Istoric_Nativ'!$B$6:$B$405,E322,'Istoric_Nativ'!$C$6:$C$405,F322,'Istoric_Nativ'!$E$6:$E$405,G322,'Istoric_Nativ'!$D$6:$D$405,"&lt;"&amp;J322,'Istoric_Nativ'!$O$6:$O$405,"SOURCE CONFLICT")+COUNTIFS('Istoric_Nativ'!$B$6:$B$405,E322,'Istoric_Nativ'!$C$6:$C$405,F322,'Istoric_Nativ'!$F$6:$F$405,G322,'Istoric_Nativ'!$D$6:$D$405,"&lt;"&amp;J322,'Istoric_Nativ'!$O$6:$O$405,"INVALID")+COUNTIFS('Istoric_Nativ'!$B$6:$B$405,E322,'Istoric_Nativ'!$C$6:$C$405,F322,'Istoric_Nativ'!$F$6:$F$405,G322,'Istoric_Nativ'!$O$6:$O$405,"INVALID",'Istoric_Nativ'!$D$6:$D$405,"*")+COUNTIFS('Istoric_Nativ'!$B$6:$B$405,E322,'Istoric_Nativ'!$C$6:$C$405,F322,'Istoric_Nativ'!$F$6:$F$405,G322,'Istoric_Nativ'!$D$6:$D$405,"&lt;"&amp;J322,'Istoric_Nativ'!$O$6:$O$405,"SOURCE CONFLICT"))</x:f>
        <x:v>0</x:v>
      </x:c>
      <x:c r="T322" s="2" t="str">
        <x:f>IF(B322="","",IF(R322&lt;&gt;"CLOSED",R322,IF(S322&gt;0,"NATIVE INPUT ISSUE",IF(M322=0,"NO HISTORY",IF(M322&lt;P322,"SMALL SAMPLE","DERIVED")))))</x:f>
      </x:c>
      <x:c r="U322" s="2" t="str">
        <x:f>IF(B322="","","NativeTable; "&amp;E322&amp;"; "&amp;F322&amp;"; "&amp;G322&amp;"; "&amp;H322&amp;"; before "&amp;TEXT(J322,"yyyy-mm-dd")&amp;IF(I322="RECENT","; from "&amp;TEXT(L322,"yyyy-mm-dd"),""))</x:f>
      </x:c>
    </x:row>
    <x:row r="323" ht="21" customHeight="1">
      <x:c r="A323" s="2" t="n">
        <x:v>27</x:v>
      </x:c>
      <x:c r="B323" s="2" t="str">
        <x:f>IF('Input_Meci'!A32="","",'Input_Meci'!A32)</x:f>
      </x:c>
      <x:c r="C323" s="2" t="str">
        <x:v>A</x:v>
      </x:c>
      <x:c r="D323" s="2" t="str">
        <x:v>CURRENT</x:v>
      </x:c>
      <x:c r="E323" s="2" t="str">
        <x:f>IF(B323="","",'Input_Meci'!B32)</x:f>
      </x:c>
      <x:c r="F323" s="2" t="str">
        <x:f>IF(B323="","",IF('Input_Meci'!C32="","",'Input_Meci'!C32))</x:f>
      </x:c>
      <x:c r="G323" s="2" t="str">
        <x:f>IF(B323="","",'Input_Meci'!E32)</x:f>
      </x:c>
      <x:c r="H323" s="2" t="str">
        <x:v>ANY</x:v>
      </x:c>
      <x:c r="I323" s="2" t="str">
        <x:v>RECENT</x:v>
      </x:c>
      <x:c r="J323" s="9" t="n">
        <x:f>IF(AND(B323&lt;&gt;"",ISNUMBER('Input_Meci'!G32)),INT('Input_Meci'!G32),0)</x:f>
        <x:v>0</x:v>
      </x:c>
      <x:c r="K323" s="2" t="n">
        <x:f>IF(OR(B323="",F323=""),0,IF(H323="HOME",COUNTIFS('Istoric_Nativ'!$B$6:$B$405,E323,'Istoric_Nativ'!$C$6:$C$405,F323,'Istoric_Nativ'!$E$6:$E$405,G323,'Istoric_Nativ'!$D$6:$D$405,"&lt;"&amp;J323,'Istoric_Nativ'!$P$6:$P$405,1),IF(H323="AWAY",COUNTIFS('Istoric_Nativ'!$B$6:$B$405,E323,'Istoric_Nativ'!$C$6:$C$405,F323,'Istoric_Nativ'!$F$6:$F$405,G323,'Istoric_Nativ'!$D$6:$D$405,"&lt;"&amp;J323,'Istoric_Nativ'!$P$6:$P$405,1),COUNTIFS('Istoric_Nativ'!$B$6:$B$405,E323,'Istoric_Nativ'!$C$6:$C$405,F323,'Istoric_Nativ'!$E$6:$E$405,G323,'Istoric_Nativ'!$D$6:$D$405,"&lt;"&amp;J323,'Istoric_Nativ'!$P$6:$P$405,1)+COUNTIFS('Istoric_Nativ'!$B$6:$B$405,E323,'Istoric_Nativ'!$C$6:$C$405,F323,'Istoric_Nativ'!$F$6:$F$405,G323,'Istoric_Nativ'!$D$6:$D$405,"&lt;"&amp;J323,'Istoric_Nativ'!$P$6:$P$405,1))))</x:f>
        <x:v>0</x:v>
      </x:c>
      <x:c r="L323" s="17" t="n">
        <x:f>IF(AND(B323&lt;&gt;"",I323="RECENT",K323&gt;0),LARGE(_xlfn._xlws.FILTER('Istoric_Nativ'!$D$6:$D$405,('Istoric_Nativ'!$B$6:$B$405=E323)*('Istoric_Nativ'!$C$6:$C$405=F323)*('Istoric_Nativ'!$P$6:$P$405=1)*('Istoric_Nativ'!$D$6:$D$405&lt;J323)*((('Istoric_Nativ'!$E$6:$E$405=G323)+('Istoric_Nativ'!$F$6:$F$405=G323))&gt;0)),MIN('Config_v6'!$B$54,K323)),0)</x:f>
        <x:v>0</x:v>
      </x:c>
      <x:c r="M323" s="2" t="n">
        <x:f>IF(OR(B323="",F323=""),0,IF(H323="HOME",COUNTIFS('Istoric_Nativ'!$B$6:$B$405,E323,'Istoric_Nativ'!$C$6:$C$405,F323,'Istoric_Nativ'!$E$6:$E$405,G323,'Istoric_Nativ'!$D$6:$D$405,"&lt;"&amp;J323,'Istoric_Nativ'!$P$6:$P$405,1,'Istoric_Nativ'!$D$6:$D$405,"&gt;="&amp;L323),IF(H323="AWAY",COUNTIFS('Istoric_Nativ'!$B$6:$B$405,E323,'Istoric_Nativ'!$C$6:$C$405,F323,'Istoric_Nativ'!$F$6:$F$405,G323,'Istoric_Nativ'!$D$6:$D$405,"&lt;"&amp;J323,'Istoric_Nativ'!$P$6:$P$405,1,'Istoric_Nativ'!$D$6:$D$405,"&gt;="&amp;L323),COUNTIFS('Istoric_Nativ'!$B$6:$B$405,E323,'Istoric_Nativ'!$C$6:$C$405,F323,'Istoric_Nativ'!$E$6:$E$405,G323,'Istoric_Nativ'!$D$6:$D$405,"&lt;"&amp;J323,'Istoric_Nativ'!$P$6:$P$405,1,'Istoric_Nativ'!$D$6:$D$405,"&gt;="&amp;L323)+COUNTIFS('Istoric_Nativ'!$B$6:$B$405,E323,'Istoric_Nativ'!$C$6:$C$405,F323,'Istoric_Nativ'!$F$6:$F$405,G323,'Istoric_Nativ'!$D$6:$D$405,"&lt;"&amp;J323,'Istoric_Nativ'!$P$6:$P$405,1,'Istoric_Nativ'!$D$6:$D$405,"&gt;="&amp;L323))))</x:f>
        <x:v>0</x:v>
      </x:c>
      <x:c r="N323" s="11" t="str">
        <x:f>IF(M323=0,"",IF(H323="HOME",SUMIFS('Istoric_Nativ'!$G$6:$G$405,'Istoric_Nativ'!$B$6:$B$405,E323,'Istoric_Nativ'!$C$6:$C$405,F323,'Istoric_Nativ'!$E$6:$E$405,G323,'Istoric_Nativ'!$D$6:$D$405,"&lt;"&amp;J323,'Istoric_Nativ'!$P$6:$P$405,1,'Istoric_Nativ'!$D$6:$D$405,"&gt;="&amp;L323),IF(H323="AWAY",SUMIFS('Istoric_Nativ'!$H$6:$H$405,'Istoric_Nativ'!$B$6:$B$405,E323,'Istoric_Nativ'!$C$6:$C$405,F323,'Istoric_Nativ'!$F$6:$F$405,G323,'Istoric_Nativ'!$D$6:$D$405,"&lt;"&amp;J323,'Istoric_Nativ'!$P$6:$P$405,1,'Istoric_Nativ'!$D$6:$D$405,"&gt;="&amp;L323),SUMIFS('Istoric_Nativ'!$G$6:$G$405,'Istoric_Nativ'!$B$6:$B$405,E323,'Istoric_Nativ'!$C$6:$C$405,F323,'Istoric_Nativ'!$E$6:$E$405,G323,'Istoric_Nativ'!$D$6:$D$405,"&lt;"&amp;J323,'Istoric_Nativ'!$P$6:$P$405,1,'Istoric_Nativ'!$D$6:$D$405,"&gt;="&amp;L323)+SUMIFS('Istoric_Nativ'!$H$6:$H$405,'Istoric_Nativ'!$B$6:$B$405,E323,'Istoric_Nativ'!$C$6:$C$405,F323,'Istoric_Nativ'!$F$6:$F$405,G323,'Istoric_Nativ'!$D$6:$D$405,"&lt;"&amp;J323,'Istoric_Nativ'!$P$6:$P$405,1,'Istoric_Nativ'!$D$6:$D$405,"&gt;="&amp;L323)))/M323)</x:f>
      </x:c>
      <x:c r="O323" s="11" t="str">
        <x:f>IF(M323=0,"",IF(H323="HOME",SUMIFS('Istoric_Nativ'!$H$6:$H$405,'Istoric_Nativ'!$B$6:$B$405,E323,'Istoric_Nativ'!$C$6:$C$405,F323,'Istoric_Nativ'!$E$6:$E$405,G323,'Istoric_Nativ'!$D$6:$D$405,"&lt;"&amp;J323,'Istoric_Nativ'!$P$6:$P$405,1,'Istoric_Nativ'!$D$6:$D$405,"&gt;="&amp;L323),IF(H323="AWAY",SUMIFS('Istoric_Nativ'!$G$6:$G$405,'Istoric_Nativ'!$B$6:$B$405,E323,'Istoric_Nativ'!$C$6:$C$405,F323,'Istoric_Nativ'!$F$6:$F$405,G323,'Istoric_Nativ'!$D$6:$D$405,"&lt;"&amp;J323,'Istoric_Nativ'!$P$6:$P$405,1,'Istoric_Nativ'!$D$6:$D$405,"&gt;="&amp;L323),SUMIFS('Istoric_Nativ'!$H$6:$H$405,'Istoric_Nativ'!$B$6:$B$405,E323,'Istoric_Nativ'!$C$6:$C$405,F323,'Istoric_Nativ'!$E$6:$E$405,G323,'Istoric_Nativ'!$D$6:$D$405,"&lt;"&amp;J323,'Istoric_Nativ'!$P$6:$P$405,1,'Istoric_Nativ'!$D$6:$D$405,"&gt;="&amp;L323)+SUMIFS('Istoric_Nativ'!$G$6:$G$405,'Istoric_Nativ'!$B$6:$B$405,E323,'Istoric_Nativ'!$C$6:$C$405,F323,'Istoric_Nativ'!$F$6:$F$405,G323,'Istoric_Nativ'!$D$6:$D$405,"&lt;"&amp;J323,'Istoric_Nativ'!$P$6:$P$405,1,'Istoric_Nativ'!$D$6:$D$405,"&gt;="&amp;L323)))/M323)</x:f>
      </x:c>
      <x:c r="P323" s="2" t="n">
        <x:f>'Config_v6'!$B$9</x:f>
        <x:v>3</x:v>
      </x:c>
      <x:c r="Q323" s="2" t="n">
        <x:f>IF(OR(B323="",F323=""),0,IFERROR(MATCH(E323&amp;"|"&amp;F323,SourceTable[Source_Key],0),0))</x:f>
        <x:v>0</x:v>
      </x:c>
      <x:c r="R323" s="2" t="str">
        <x:f>IF(B323="","",IF(F323="","UNUSED",IF(Q323=0,"NOT CHECKED",IF(COUNTIF(SourceTable[Source_Key],E323&amp;"|"&amp;F323)&lt;&gt;1,"SOURCE CONFLICT",IF(NOT(OR(INDEX(SourceTable[Status],MAX(1,Q323))="IMPORTED",INDEX(SourceTable[Status],MAX(1,Q323))="PARTIAL",INDEX(SourceTable[Status],MAX(1,Q323))="SOURCE CONFLICT")),"ACCESS BLOCKED",IF(OR(INDEX(SourceTable[Coverage],Q323)&lt;&gt;"FULL SEASON EXPORT",INDEX(SourceTable[URL],Q323)="",INDEX(SourceTable[SHA256],Q323)=""),"EVIDENCE INCOMPLETE",IF(AND('Input_Meci'!H32="LIVE",INDEX(SourceTable[Retrieved_UTC],Q323)&gt;'Input_Meci'!G32),"POST CUTOFF","CLOSED")))))))</x:f>
      </x:c>
      <x:c r="S323" s="2" t="n">
        <x:f>IF(OR(B323="",F323=""),0,COUNTIFS('Istoric_Nativ'!$B$6:$B$405,E323,'Istoric_Nativ'!$C$6:$C$405,F323,'Istoric_Nativ'!$E$6:$E$405,G323,'Istoric_Nativ'!$D$6:$D$405,"&lt;"&amp;J323,'Istoric_Nativ'!$O$6:$O$405,"INVALID")+COUNTIFS('Istoric_Nativ'!$B$6:$B$405,E323,'Istoric_Nativ'!$C$6:$C$405,F323,'Istoric_Nativ'!$E$6:$E$405,G323,'Istoric_Nativ'!$O$6:$O$405,"INVALID",'Istoric_Nativ'!$D$6:$D$405,"*")+COUNTIFS('Istoric_Nativ'!$B$6:$B$405,E323,'Istoric_Nativ'!$C$6:$C$405,F323,'Istoric_Nativ'!$E$6:$E$405,G323,'Istoric_Nativ'!$D$6:$D$405,"&lt;"&amp;J323,'Istoric_Nativ'!$O$6:$O$405,"SOURCE CONFLICT")+COUNTIFS('Istoric_Nativ'!$B$6:$B$405,E323,'Istoric_Nativ'!$C$6:$C$405,F323,'Istoric_Nativ'!$F$6:$F$405,G323,'Istoric_Nativ'!$D$6:$D$405,"&lt;"&amp;J323,'Istoric_Nativ'!$O$6:$O$405,"INVALID")+COUNTIFS('Istoric_Nativ'!$B$6:$B$405,E323,'Istoric_Nativ'!$C$6:$C$405,F323,'Istoric_Nativ'!$F$6:$F$405,G323,'Istoric_Nativ'!$O$6:$O$405,"INVALID",'Istoric_Nativ'!$D$6:$D$405,"*")+COUNTIFS('Istoric_Nativ'!$B$6:$B$405,E323,'Istoric_Nativ'!$C$6:$C$405,F323,'Istoric_Nativ'!$F$6:$F$405,G323,'Istoric_Nativ'!$D$6:$D$405,"&lt;"&amp;J323,'Istoric_Nativ'!$O$6:$O$405,"SOURCE CONFLICT"))</x:f>
        <x:v>0</x:v>
      </x:c>
      <x:c r="T323" s="2" t="str">
        <x:f>IF(B323="","",IF(R323&lt;&gt;"CLOSED",R323,IF(S323&gt;0,"NATIVE INPUT ISSUE",IF(M323=0,"NO HISTORY",IF(M323&lt;P323,"SMALL SAMPLE","DERIVED")))))</x:f>
      </x:c>
      <x:c r="U323" s="2" t="str">
        <x:f>IF(B323="","","NativeTable; "&amp;E323&amp;"; "&amp;F323&amp;"; "&amp;G323&amp;"; "&amp;H323&amp;"; before "&amp;TEXT(J323,"yyyy-mm-dd")&amp;IF(I323="RECENT","; from "&amp;TEXT(L323,"yyyy-mm-dd"),""))</x:f>
      </x:c>
    </x:row>
    <x:row r="324" ht="21" customHeight="1">
      <x:c r="A324" s="2" t="n">
        <x:v>27</x:v>
      </x:c>
      <x:c r="B324" s="2" t="str">
        <x:f>IF('Input_Meci'!A32="","",'Input_Meci'!A32)</x:f>
      </x:c>
      <x:c r="C324" s="2" t="str">
        <x:v>H</x:v>
      </x:c>
      <x:c r="D324" s="2" t="str">
        <x:v>PRIOR</x:v>
      </x:c>
      <x:c r="E324" s="2" t="str">
        <x:f>IF(B324="","",'Input_Meci'!B32)</x:f>
      </x:c>
      <x:c r="F324" s="2" t="str">
        <x:f>IF(B324="","",IF('Input_Meci'!K32="","",'Input_Meci'!K32))</x:f>
      </x:c>
      <x:c r="G324" s="2" t="str">
        <x:f>IF(B324="","",'Input_Meci'!D32)</x:f>
      </x:c>
      <x:c r="H324" s="2" t="str">
        <x:v>ANY</x:v>
      </x:c>
      <x:c r="I324" s="2" t="str">
        <x:v>SEASON</x:v>
      </x:c>
      <x:c r="J324" s="9" t="n">
        <x:f>IF(AND(B324&lt;&gt;"",ISNUMBER('Input_Meci'!G32)),INT('Input_Meci'!G32),0)</x:f>
        <x:v>0</x:v>
      </x:c>
      <x:c r="K324" s="2" t="n">
        <x:f>IF(OR(B324="",F324=""),0,IF(H324="HOME",COUNTIFS('Istoric_Nativ'!$B$6:$B$405,E324,'Istoric_Nativ'!$C$6:$C$405,F324,'Istoric_Nativ'!$E$6:$E$405,G324,'Istoric_Nativ'!$D$6:$D$405,"&lt;"&amp;J324,'Istoric_Nativ'!$P$6:$P$405,1),IF(H324="AWAY",COUNTIFS('Istoric_Nativ'!$B$6:$B$405,E324,'Istoric_Nativ'!$C$6:$C$405,F324,'Istoric_Nativ'!$F$6:$F$405,G324,'Istoric_Nativ'!$D$6:$D$405,"&lt;"&amp;J324,'Istoric_Nativ'!$P$6:$P$405,1),COUNTIFS('Istoric_Nativ'!$B$6:$B$405,E324,'Istoric_Nativ'!$C$6:$C$405,F324,'Istoric_Nativ'!$E$6:$E$405,G324,'Istoric_Nativ'!$D$6:$D$405,"&lt;"&amp;J324,'Istoric_Nativ'!$P$6:$P$405,1)+COUNTIFS('Istoric_Nativ'!$B$6:$B$405,E324,'Istoric_Nativ'!$C$6:$C$405,F324,'Istoric_Nativ'!$F$6:$F$405,G324,'Istoric_Nativ'!$D$6:$D$405,"&lt;"&amp;J324,'Istoric_Nativ'!$P$6:$P$405,1))))</x:f>
        <x:v>0</x:v>
      </x:c>
      <x:c r="L324" s="17" t="n">
        <x:f>IF(AND(B324&lt;&gt;"",I324="RECENT",K324&gt;0),LARGE(_xlfn._xlws.FILTER('Istoric_Nativ'!$D$6:$D$405,('Istoric_Nativ'!$B$6:$B$405=E324)*('Istoric_Nativ'!$C$6:$C$405=F324)*('Istoric_Nativ'!$P$6:$P$405=1)*('Istoric_Nativ'!$D$6:$D$405&lt;J324)*((('Istoric_Nativ'!$E$6:$E$405=G324)+('Istoric_Nativ'!$F$6:$F$405=G324))&gt;0)),MIN('Config_v6'!$B$54,K324)),0)</x:f>
        <x:v>0</x:v>
      </x:c>
      <x:c r="M324" s="2" t="n">
        <x:f>IF(OR(B324="",F324=""),0,IF(H324="HOME",COUNTIFS('Istoric_Nativ'!$B$6:$B$405,E324,'Istoric_Nativ'!$C$6:$C$405,F324,'Istoric_Nativ'!$E$6:$E$405,G324,'Istoric_Nativ'!$D$6:$D$405,"&lt;"&amp;J324,'Istoric_Nativ'!$P$6:$P$405,1,'Istoric_Nativ'!$D$6:$D$405,"&gt;="&amp;L324),IF(H324="AWAY",COUNTIFS('Istoric_Nativ'!$B$6:$B$405,E324,'Istoric_Nativ'!$C$6:$C$405,F324,'Istoric_Nativ'!$F$6:$F$405,G324,'Istoric_Nativ'!$D$6:$D$405,"&lt;"&amp;J324,'Istoric_Nativ'!$P$6:$P$405,1,'Istoric_Nativ'!$D$6:$D$405,"&gt;="&amp;L324),COUNTIFS('Istoric_Nativ'!$B$6:$B$405,E324,'Istoric_Nativ'!$C$6:$C$405,F324,'Istoric_Nativ'!$E$6:$E$405,G324,'Istoric_Nativ'!$D$6:$D$405,"&lt;"&amp;J324,'Istoric_Nativ'!$P$6:$P$405,1,'Istoric_Nativ'!$D$6:$D$405,"&gt;="&amp;L324)+COUNTIFS('Istoric_Nativ'!$B$6:$B$405,E324,'Istoric_Nativ'!$C$6:$C$405,F324,'Istoric_Nativ'!$F$6:$F$405,G324,'Istoric_Nativ'!$D$6:$D$405,"&lt;"&amp;J324,'Istoric_Nativ'!$P$6:$P$405,1,'Istoric_Nativ'!$D$6:$D$405,"&gt;="&amp;L324))))</x:f>
        <x:v>0</x:v>
      </x:c>
      <x:c r="N324" s="11" t="str">
        <x:f>IF(M324=0,"",IF(H324="HOME",SUMIFS('Istoric_Nativ'!$G$6:$G$405,'Istoric_Nativ'!$B$6:$B$405,E324,'Istoric_Nativ'!$C$6:$C$405,F324,'Istoric_Nativ'!$E$6:$E$405,G324,'Istoric_Nativ'!$D$6:$D$405,"&lt;"&amp;J324,'Istoric_Nativ'!$P$6:$P$405,1,'Istoric_Nativ'!$D$6:$D$405,"&gt;="&amp;L324),IF(H324="AWAY",SUMIFS('Istoric_Nativ'!$H$6:$H$405,'Istoric_Nativ'!$B$6:$B$405,E324,'Istoric_Nativ'!$C$6:$C$405,F324,'Istoric_Nativ'!$F$6:$F$405,G324,'Istoric_Nativ'!$D$6:$D$405,"&lt;"&amp;J324,'Istoric_Nativ'!$P$6:$P$405,1,'Istoric_Nativ'!$D$6:$D$405,"&gt;="&amp;L324),SUMIFS('Istoric_Nativ'!$G$6:$G$405,'Istoric_Nativ'!$B$6:$B$405,E324,'Istoric_Nativ'!$C$6:$C$405,F324,'Istoric_Nativ'!$E$6:$E$405,G324,'Istoric_Nativ'!$D$6:$D$405,"&lt;"&amp;J324,'Istoric_Nativ'!$P$6:$P$405,1,'Istoric_Nativ'!$D$6:$D$405,"&gt;="&amp;L324)+SUMIFS('Istoric_Nativ'!$H$6:$H$405,'Istoric_Nativ'!$B$6:$B$405,E324,'Istoric_Nativ'!$C$6:$C$405,F324,'Istoric_Nativ'!$F$6:$F$405,G324,'Istoric_Nativ'!$D$6:$D$405,"&lt;"&amp;J324,'Istoric_Nativ'!$P$6:$P$405,1,'Istoric_Nativ'!$D$6:$D$405,"&gt;="&amp;L324)))/M324)</x:f>
      </x:c>
      <x:c r="O324" s="11" t="str">
        <x:f>IF(M324=0,"",IF(H324="HOME",SUMIFS('Istoric_Nativ'!$H$6:$H$405,'Istoric_Nativ'!$B$6:$B$405,E324,'Istoric_Nativ'!$C$6:$C$405,F324,'Istoric_Nativ'!$E$6:$E$405,G324,'Istoric_Nativ'!$D$6:$D$405,"&lt;"&amp;J324,'Istoric_Nativ'!$P$6:$P$405,1,'Istoric_Nativ'!$D$6:$D$405,"&gt;="&amp;L324),IF(H324="AWAY",SUMIFS('Istoric_Nativ'!$G$6:$G$405,'Istoric_Nativ'!$B$6:$B$405,E324,'Istoric_Nativ'!$C$6:$C$405,F324,'Istoric_Nativ'!$F$6:$F$405,G324,'Istoric_Nativ'!$D$6:$D$405,"&lt;"&amp;J324,'Istoric_Nativ'!$P$6:$P$405,1,'Istoric_Nativ'!$D$6:$D$405,"&gt;="&amp;L324),SUMIFS('Istoric_Nativ'!$H$6:$H$405,'Istoric_Nativ'!$B$6:$B$405,E324,'Istoric_Nativ'!$C$6:$C$405,F324,'Istoric_Nativ'!$E$6:$E$405,G324,'Istoric_Nativ'!$D$6:$D$405,"&lt;"&amp;J324,'Istoric_Nativ'!$P$6:$P$405,1,'Istoric_Nativ'!$D$6:$D$405,"&gt;="&amp;L324)+SUMIFS('Istoric_Nativ'!$G$6:$G$405,'Istoric_Nativ'!$B$6:$B$405,E324,'Istoric_Nativ'!$C$6:$C$405,F324,'Istoric_Nativ'!$F$6:$F$405,G324,'Istoric_Nativ'!$D$6:$D$405,"&lt;"&amp;J324,'Istoric_Nativ'!$P$6:$P$405,1,'Istoric_Nativ'!$D$6:$D$405,"&gt;="&amp;L324)))/M324)</x:f>
      </x:c>
      <x:c r="P324" s="2" t="n">
        <x:f>'Config_v6'!$B$7</x:f>
        <x:v>10</x:v>
      </x:c>
      <x:c r="Q324" s="2" t="n">
        <x:f>IF(OR(B324="",F324=""),0,IFERROR(MATCH(E324&amp;"|"&amp;F324,SourceTable[Source_Key],0),0))</x:f>
        <x:v>0</x:v>
      </x:c>
      <x:c r="R324" s="2" t="str">
        <x:f>IF(B324="","",IF(F324="","UNUSED",IF(Q324=0,"NOT CHECKED",IF(COUNTIF(SourceTable[Source_Key],E324&amp;"|"&amp;F324)&lt;&gt;1,"SOURCE CONFLICT",IF(NOT(OR(INDEX(SourceTable[Status],MAX(1,Q324))="IMPORTED",INDEX(SourceTable[Status],MAX(1,Q324))="PARTIAL",INDEX(SourceTable[Status],MAX(1,Q324))="SOURCE CONFLICT")),"ACCESS BLOCKED",IF(OR(INDEX(SourceTable[Coverage],Q324)&lt;&gt;"FULL SEASON EXPORT",INDEX(SourceTable[URL],Q324)="",INDEX(SourceTable[SHA256],Q324)=""),"EVIDENCE INCOMPLETE",IF(AND('Input_Meci'!H32="LIVE",INDEX(SourceTable[Retrieved_UTC],Q324)&gt;'Input_Meci'!G32),"POST CUTOFF","CLOSED")))))))</x:f>
      </x:c>
      <x:c r="S324" s="2" t="n">
        <x:f>IF(OR(B324="",F324=""),0,COUNTIFS('Istoric_Nativ'!$B$6:$B$405,E324,'Istoric_Nativ'!$C$6:$C$405,F324,'Istoric_Nativ'!$E$6:$E$405,G324,'Istoric_Nativ'!$D$6:$D$405,"&lt;"&amp;J324,'Istoric_Nativ'!$O$6:$O$405,"INVALID")+COUNTIFS('Istoric_Nativ'!$B$6:$B$405,E324,'Istoric_Nativ'!$C$6:$C$405,F324,'Istoric_Nativ'!$E$6:$E$405,G324,'Istoric_Nativ'!$O$6:$O$405,"INVALID",'Istoric_Nativ'!$D$6:$D$405,"*")+COUNTIFS('Istoric_Nativ'!$B$6:$B$405,E324,'Istoric_Nativ'!$C$6:$C$405,F324,'Istoric_Nativ'!$E$6:$E$405,G324,'Istoric_Nativ'!$D$6:$D$405,"&lt;"&amp;J324,'Istoric_Nativ'!$O$6:$O$405,"SOURCE CONFLICT")+COUNTIFS('Istoric_Nativ'!$B$6:$B$405,E324,'Istoric_Nativ'!$C$6:$C$405,F324,'Istoric_Nativ'!$F$6:$F$405,G324,'Istoric_Nativ'!$D$6:$D$405,"&lt;"&amp;J324,'Istoric_Nativ'!$O$6:$O$405,"INVALID")+COUNTIFS('Istoric_Nativ'!$B$6:$B$405,E324,'Istoric_Nativ'!$C$6:$C$405,F324,'Istoric_Nativ'!$F$6:$F$405,G324,'Istoric_Nativ'!$O$6:$O$405,"INVALID",'Istoric_Nativ'!$D$6:$D$405,"*")+COUNTIFS('Istoric_Nativ'!$B$6:$B$405,E324,'Istoric_Nativ'!$C$6:$C$405,F324,'Istoric_Nativ'!$F$6:$F$405,G324,'Istoric_Nativ'!$D$6:$D$405,"&lt;"&amp;J324,'Istoric_Nativ'!$O$6:$O$405,"SOURCE CONFLICT"))</x:f>
        <x:v>0</x:v>
      </x:c>
      <x:c r="T324" s="2" t="str">
        <x:f>IF(B324="","",IF(R324&lt;&gt;"CLOSED",R324,IF(S324&gt;0,"NATIVE INPUT ISSUE",IF(M324=0,"NO HISTORY",IF(M324&lt;P324,"SMALL SAMPLE","DERIVED")))))</x:f>
      </x:c>
      <x:c r="U324" s="2" t="str">
        <x:f>IF(B324="","","NativeTable; "&amp;E324&amp;"; "&amp;F324&amp;"; "&amp;G324&amp;"; "&amp;H324&amp;"; before "&amp;TEXT(J324,"yyyy-mm-dd")&amp;IF(I324="RECENT","; from "&amp;TEXT(L324,"yyyy-mm-dd"),""))</x:f>
      </x:c>
    </x:row>
    <x:row r="325" ht="21" customHeight="1">
      <x:c r="A325" s="2" t="n">
        <x:v>27</x:v>
      </x:c>
      <x:c r="B325" s="2" t="str">
        <x:f>IF('Input_Meci'!A32="","",'Input_Meci'!A32)</x:f>
      </x:c>
      <x:c r="C325" s="2" t="str">
        <x:v>H</x:v>
      </x:c>
      <x:c r="D325" s="2" t="str">
        <x:v>PRIOR</x:v>
      </x:c>
      <x:c r="E325" s="2" t="str">
        <x:f>IF(B325="","",'Input_Meci'!B32)</x:f>
      </x:c>
      <x:c r="F325" s="2" t="str">
        <x:f>IF(B325="","",IF('Input_Meci'!K32="","",'Input_Meci'!K32))</x:f>
      </x:c>
      <x:c r="G325" s="2" t="str">
        <x:f>IF(B325="","",'Input_Meci'!D32)</x:f>
      </x:c>
      <x:c r="H325" s="2" t="str">
        <x:v>HOME</x:v>
      </x:c>
      <x:c r="I325" s="2" t="str">
        <x:v>HA</x:v>
      </x:c>
      <x:c r="J325" s="9" t="n">
        <x:f>IF(AND(B325&lt;&gt;"",ISNUMBER('Input_Meci'!G32)),INT('Input_Meci'!G32),0)</x:f>
        <x:v>0</x:v>
      </x:c>
      <x:c r="K325" s="2" t="n">
        <x:f>IF(OR(B325="",F325=""),0,IF(H325="HOME",COUNTIFS('Istoric_Nativ'!$B$6:$B$405,E325,'Istoric_Nativ'!$C$6:$C$405,F325,'Istoric_Nativ'!$E$6:$E$405,G325,'Istoric_Nativ'!$D$6:$D$405,"&lt;"&amp;J325,'Istoric_Nativ'!$P$6:$P$405,1),IF(H325="AWAY",COUNTIFS('Istoric_Nativ'!$B$6:$B$405,E325,'Istoric_Nativ'!$C$6:$C$405,F325,'Istoric_Nativ'!$F$6:$F$405,G325,'Istoric_Nativ'!$D$6:$D$405,"&lt;"&amp;J325,'Istoric_Nativ'!$P$6:$P$405,1),COUNTIFS('Istoric_Nativ'!$B$6:$B$405,E325,'Istoric_Nativ'!$C$6:$C$405,F325,'Istoric_Nativ'!$E$6:$E$405,G325,'Istoric_Nativ'!$D$6:$D$405,"&lt;"&amp;J325,'Istoric_Nativ'!$P$6:$P$405,1)+COUNTIFS('Istoric_Nativ'!$B$6:$B$405,E325,'Istoric_Nativ'!$C$6:$C$405,F325,'Istoric_Nativ'!$F$6:$F$405,G325,'Istoric_Nativ'!$D$6:$D$405,"&lt;"&amp;J325,'Istoric_Nativ'!$P$6:$P$405,1))))</x:f>
        <x:v>0</x:v>
      </x:c>
      <x:c r="L325" s="17" t="n">
        <x:f>IF(AND(B325&lt;&gt;"",I325="RECENT",K325&gt;0),LARGE(_xlfn._xlws.FILTER('Istoric_Nativ'!$D$6:$D$405,('Istoric_Nativ'!$B$6:$B$405=E325)*('Istoric_Nativ'!$C$6:$C$405=F325)*('Istoric_Nativ'!$P$6:$P$405=1)*('Istoric_Nativ'!$D$6:$D$405&lt;J325)*((('Istoric_Nativ'!$E$6:$E$405=G325)+('Istoric_Nativ'!$F$6:$F$405=G325))&gt;0)),MIN('Config_v6'!$B$54,K325)),0)</x:f>
        <x:v>0</x:v>
      </x:c>
      <x:c r="M325" s="2" t="n">
        <x:f>IF(OR(B325="",F325=""),0,IF(H325="HOME",COUNTIFS('Istoric_Nativ'!$B$6:$B$405,E325,'Istoric_Nativ'!$C$6:$C$405,F325,'Istoric_Nativ'!$E$6:$E$405,G325,'Istoric_Nativ'!$D$6:$D$405,"&lt;"&amp;J325,'Istoric_Nativ'!$P$6:$P$405,1,'Istoric_Nativ'!$D$6:$D$405,"&gt;="&amp;L325),IF(H325="AWAY",COUNTIFS('Istoric_Nativ'!$B$6:$B$405,E325,'Istoric_Nativ'!$C$6:$C$405,F325,'Istoric_Nativ'!$F$6:$F$405,G325,'Istoric_Nativ'!$D$6:$D$405,"&lt;"&amp;J325,'Istoric_Nativ'!$P$6:$P$405,1,'Istoric_Nativ'!$D$6:$D$405,"&gt;="&amp;L325),COUNTIFS('Istoric_Nativ'!$B$6:$B$405,E325,'Istoric_Nativ'!$C$6:$C$405,F325,'Istoric_Nativ'!$E$6:$E$405,G325,'Istoric_Nativ'!$D$6:$D$405,"&lt;"&amp;J325,'Istoric_Nativ'!$P$6:$P$405,1,'Istoric_Nativ'!$D$6:$D$405,"&gt;="&amp;L325)+COUNTIFS('Istoric_Nativ'!$B$6:$B$405,E325,'Istoric_Nativ'!$C$6:$C$405,F325,'Istoric_Nativ'!$F$6:$F$405,G325,'Istoric_Nativ'!$D$6:$D$405,"&lt;"&amp;J325,'Istoric_Nativ'!$P$6:$P$405,1,'Istoric_Nativ'!$D$6:$D$405,"&gt;="&amp;L325))))</x:f>
        <x:v>0</x:v>
      </x:c>
      <x:c r="N325" s="11" t="str">
        <x:f>IF(M325=0,"",IF(H325="HOME",SUMIFS('Istoric_Nativ'!$G$6:$G$405,'Istoric_Nativ'!$B$6:$B$405,E325,'Istoric_Nativ'!$C$6:$C$405,F325,'Istoric_Nativ'!$E$6:$E$405,G325,'Istoric_Nativ'!$D$6:$D$405,"&lt;"&amp;J325,'Istoric_Nativ'!$P$6:$P$405,1,'Istoric_Nativ'!$D$6:$D$405,"&gt;="&amp;L325),IF(H325="AWAY",SUMIFS('Istoric_Nativ'!$H$6:$H$405,'Istoric_Nativ'!$B$6:$B$405,E325,'Istoric_Nativ'!$C$6:$C$405,F325,'Istoric_Nativ'!$F$6:$F$405,G325,'Istoric_Nativ'!$D$6:$D$405,"&lt;"&amp;J325,'Istoric_Nativ'!$P$6:$P$405,1,'Istoric_Nativ'!$D$6:$D$405,"&gt;="&amp;L325),SUMIFS('Istoric_Nativ'!$G$6:$G$405,'Istoric_Nativ'!$B$6:$B$405,E325,'Istoric_Nativ'!$C$6:$C$405,F325,'Istoric_Nativ'!$E$6:$E$405,G325,'Istoric_Nativ'!$D$6:$D$405,"&lt;"&amp;J325,'Istoric_Nativ'!$P$6:$P$405,1,'Istoric_Nativ'!$D$6:$D$405,"&gt;="&amp;L325)+SUMIFS('Istoric_Nativ'!$H$6:$H$405,'Istoric_Nativ'!$B$6:$B$405,E325,'Istoric_Nativ'!$C$6:$C$405,F325,'Istoric_Nativ'!$F$6:$F$405,G325,'Istoric_Nativ'!$D$6:$D$405,"&lt;"&amp;J325,'Istoric_Nativ'!$P$6:$P$405,1,'Istoric_Nativ'!$D$6:$D$405,"&gt;="&amp;L325)))/M325)</x:f>
      </x:c>
      <x:c r="O325" s="11" t="str">
        <x:f>IF(M325=0,"",IF(H325="HOME",SUMIFS('Istoric_Nativ'!$H$6:$H$405,'Istoric_Nativ'!$B$6:$B$405,E325,'Istoric_Nativ'!$C$6:$C$405,F325,'Istoric_Nativ'!$E$6:$E$405,G325,'Istoric_Nativ'!$D$6:$D$405,"&lt;"&amp;J325,'Istoric_Nativ'!$P$6:$P$405,1,'Istoric_Nativ'!$D$6:$D$405,"&gt;="&amp;L325),IF(H325="AWAY",SUMIFS('Istoric_Nativ'!$G$6:$G$405,'Istoric_Nativ'!$B$6:$B$405,E325,'Istoric_Nativ'!$C$6:$C$405,F325,'Istoric_Nativ'!$F$6:$F$405,G325,'Istoric_Nativ'!$D$6:$D$405,"&lt;"&amp;J325,'Istoric_Nativ'!$P$6:$P$405,1,'Istoric_Nativ'!$D$6:$D$405,"&gt;="&amp;L325),SUMIFS('Istoric_Nativ'!$H$6:$H$405,'Istoric_Nativ'!$B$6:$B$405,E325,'Istoric_Nativ'!$C$6:$C$405,F325,'Istoric_Nativ'!$E$6:$E$405,G325,'Istoric_Nativ'!$D$6:$D$405,"&lt;"&amp;J325,'Istoric_Nativ'!$P$6:$P$405,1,'Istoric_Nativ'!$D$6:$D$405,"&gt;="&amp;L325)+SUMIFS('Istoric_Nativ'!$G$6:$G$405,'Istoric_Nativ'!$B$6:$B$405,E325,'Istoric_Nativ'!$C$6:$C$405,F325,'Istoric_Nativ'!$F$6:$F$405,G325,'Istoric_Nativ'!$D$6:$D$405,"&lt;"&amp;J325,'Istoric_Nativ'!$P$6:$P$405,1,'Istoric_Nativ'!$D$6:$D$405,"&gt;="&amp;L325)))/M325)</x:f>
      </x:c>
      <x:c r="P325" s="2" t="n">
        <x:f>'Config_v6'!$B$8</x:f>
        <x:v>5</x:v>
      </x:c>
      <x:c r="Q325" s="2" t="n">
        <x:f>IF(OR(B325="",F325=""),0,IFERROR(MATCH(E325&amp;"|"&amp;F325,SourceTable[Source_Key],0),0))</x:f>
        <x:v>0</x:v>
      </x:c>
      <x:c r="R325" s="2" t="str">
        <x:f>IF(B325="","",IF(F325="","UNUSED",IF(Q325=0,"NOT CHECKED",IF(COUNTIF(SourceTable[Source_Key],E325&amp;"|"&amp;F325)&lt;&gt;1,"SOURCE CONFLICT",IF(NOT(OR(INDEX(SourceTable[Status],MAX(1,Q325))="IMPORTED",INDEX(SourceTable[Status],MAX(1,Q325))="PARTIAL",INDEX(SourceTable[Status],MAX(1,Q325))="SOURCE CONFLICT")),"ACCESS BLOCKED",IF(OR(INDEX(SourceTable[Coverage],Q325)&lt;&gt;"FULL SEASON EXPORT",INDEX(SourceTable[URL],Q325)="",INDEX(SourceTable[SHA256],Q325)=""),"EVIDENCE INCOMPLETE",IF(AND('Input_Meci'!H32="LIVE",INDEX(SourceTable[Retrieved_UTC],Q325)&gt;'Input_Meci'!G32),"POST CUTOFF","CLOSED")))))))</x:f>
      </x:c>
      <x:c r="S325" s="2" t="n">
        <x:f>IF(OR(B325="",F325=""),0,COUNTIFS('Istoric_Nativ'!$B$6:$B$405,E325,'Istoric_Nativ'!$C$6:$C$405,F325,'Istoric_Nativ'!$E$6:$E$405,G325,'Istoric_Nativ'!$D$6:$D$405,"&lt;"&amp;J325,'Istoric_Nativ'!$O$6:$O$405,"INVALID")+COUNTIFS('Istoric_Nativ'!$B$6:$B$405,E325,'Istoric_Nativ'!$C$6:$C$405,F325,'Istoric_Nativ'!$E$6:$E$405,G325,'Istoric_Nativ'!$O$6:$O$405,"INVALID",'Istoric_Nativ'!$D$6:$D$405,"*")+COUNTIFS('Istoric_Nativ'!$B$6:$B$405,E325,'Istoric_Nativ'!$C$6:$C$405,F325,'Istoric_Nativ'!$E$6:$E$405,G325,'Istoric_Nativ'!$D$6:$D$405,"&lt;"&amp;J325,'Istoric_Nativ'!$O$6:$O$405,"SOURCE CONFLICT")+COUNTIFS('Istoric_Nativ'!$B$6:$B$405,E325,'Istoric_Nativ'!$C$6:$C$405,F325,'Istoric_Nativ'!$F$6:$F$405,G325,'Istoric_Nativ'!$D$6:$D$405,"&lt;"&amp;J325,'Istoric_Nativ'!$O$6:$O$405,"INVALID")+COUNTIFS('Istoric_Nativ'!$B$6:$B$405,E325,'Istoric_Nativ'!$C$6:$C$405,F325,'Istoric_Nativ'!$F$6:$F$405,G325,'Istoric_Nativ'!$O$6:$O$405,"INVALID",'Istoric_Nativ'!$D$6:$D$405,"*")+COUNTIFS('Istoric_Nativ'!$B$6:$B$405,E325,'Istoric_Nativ'!$C$6:$C$405,F325,'Istoric_Nativ'!$F$6:$F$405,G325,'Istoric_Nativ'!$D$6:$D$405,"&lt;"&amp;J325,'Istoric_Nativ'!$O$6:$O$405,"SOURCE CONFLICT"))</x:f>
        <x:v>0</x:v>
      </x:c>
      <x:c r="T325" s="2" t="str">
        <x:f>IF(B325="","",IF(R325&lt;&gt;"CLOSED",R325,IF(S325&gt;0,"NATIVE INPUT ISSUE",IF(M325=0,"NO HISTORY",IF(M325&lt;P325,"SMALL SAMPLE","DERIVED")))))</x:f>
      </x:c>
      <x:c r="U325" s="2" t="str">
        <x:f>IF(B325="","","NativeTable; "&amp;E325&amp;"; "&amp;F325&amp;"; "&amp;G325&amp;"; "&amp;H325&amp;"; before "&amp;TEXT(J325,"yyyy-mm-dd")&amp;IF(I325="RECENT","; from "&amp;TEXT(L325,"yyyy-mm-dd"),""))</x:f>
      </x:c>
    </x:row>
    <x:row r="326" ht="21" customHeight="1">
      <x:c r="A326" s="2" t="n">
        <x:v>27</x:v>
      </x:c>
      <x:c r="B326" s="2" t="str">
        <x:f>IF('Input_Meci'!A32="","",'Input_Meci'!A32)</x:f>
      </x:c>
      <x:c r="C326" s="2" t="str">
        <x:v>H</x:v>
      </x:c>
      <x:c r="D326" s="2" t="str">
        <x:v>PRIOR</x:v>
      </x:c>
      <x:c r="E326" s="2" t="str">
        <x:f>IF(B326="","",'Input_Meci'!B32)</x:f>
      </x:c>
      <x:c r="F326" s="2" t="str">
        <x:f>IF(B326="","",IF('Input_Meci'!K32="","",'Input_Meci'!K32))</x:f>
      </x:c>
      <x:c r="G326" s="2" t="str">
        <x:f>IF(B326="","",'Input_Meci'!D32)</x:f>
      </x:c>
      <x:c r="H326" s="2" t="str">
        <x:v>ANY</x:v>
      </x:c>
      <x:c r="I326" s="2" t="str">
        <x:v>RECENT</x:v>
      </x:c>
      <x:c r="J326" s="9" t="n">
        <x:f>IF(AND(B326&lt;&gt;"",ISNUMBER('Input_Meci'!G32)),INT('Input_Meci'!G32),0)</x:f>
        <x:v>0</x:v>
      </x:c>
      <x:c r="K326" s="2" t="n">
        <x:f>IF(OR(B326="",F326=""),0,IF(H326="HOME",COUNTIFS('Istoric_Nativ'!$B$6:$B$405,E326,'Istoric_Nativ'!$C$6:$C$405,F326,'Istoric_Nativ'!$E$6:$E$405,G326,'Istoric_Nativ'!$D$6:$D$405,"&lt;"&amp;J326,'Istoric_Nativ'!$P$6:$P$405,1),IF(H326="AWAY",COUNTIFS('Istoric_Nativ'!$B$6:$B$405,E326,'Istoric_Nativ'!$C$6:$C$405,F326,'Istoric_Nativ'!$F$6:$F$405,G326,'Istoric_Nativ'!$D$6:$D$405,"&lt;"&amp;J326,'Istoric_Nativ'!$P$6:$P$405,1),COUNTIFS('Istoric_Nativ'!$B$6:$B$405,E326,'Istoric_Nativ'!$C$6:$C$405,F326,'Istoric_Nativ'!$E$6:$E$405,G326,'Istoric_Nativ'!$D$6:$D$405,"&lt;"&amp;J326,'Istoric_Nativ'!$P$6:$P$405,1)+COUNTIFS('Istoric_Nativ'!$B$6:$B$405,E326,'Istoric_Nativ'!$C$6:$C$405,F326,'Istoric_Nativ'!$F$6:$F$405,G326,'Istoric_Nativ'!$D$6:$D$405,"&lt;"&amp;J326,'Istoric_Nativ'!$P$6:$P$405,1))))</x:f>
        <x:v>0</x:v>
      </x:c>
      <x:c r="L326" s="17" t="n">
        <x:f>IF(AND(B326&lt;&gt;"",I326="RECENT",K326&gt;0),LARGE(_xlfn._xlws.FILTER('Istoric_Nativ'!$D$6:$D$405,('Istoric_Nativ'!$B$6:$B$405=E326)*('Istoric_Nativ'!$C$6:$C$405=F326)*('Istoric_Nativ'!$P$6:$P$405=1)*('Istoric_Nativ'!$D$6:$D$405&lt;J326)*((('Istoric_Nativ'!$E$6:$E$405=G326)+('Istoric_Nativ'!$F$6:$F$405=G326))&gt;0)),MIN('Config_v6'!$B$54,K326)),0)</x:f>
        <x:v>0</x:v>
      </x:c>
      <x:c r="M326" s="2" t="n">
        <x:f>IF(OR(B326="",F326=""),0,IF(H326="HOME",COUNTIFS('Istoric_Nativ'!$B$6:$B$405,E326,'Istoric_Nativ'!$C$6:$C$405,F326,'Istoric_Nativ'!$E$6:$E$405,G326,'Istoric_Nativ'!$D$6:$D$405,"&lt;"&amp;J326,'Istoric_Nativ'!$P$6:$P$405,1,'Istoric_Nativ'!$D$6:$D$405,"&gt;="&amp;L326),IF(H326="AWAY",COUNTIFS('Istoric_Nativ'!$B$6:$B$405,E326,'Istoric_Nativ'!$C$6:$C$405,F326,'Istoric_Nativ'!$F$6:$F$405,G326,'Istoric_Nativ'!$D$6:$D$405,"&lt;"&amp;J326,'Istoric_Nativ'!$P$6:$P$405,1,'Istoric_Nativ'!$D$6:$D$405,"&gt;="&amp;L326),COUNTIFS('Istoric_Nativ'!$B$6:$B$405,E326,'Istoric_Nativ'!$C$6:$C$405,F326,'Istoric_Nativ'!$E$6:$E$405,G326,'Istoric_Nativ'!$D$6:$D$405,"&lt;"&amp;J326,'Istoric_Nativ'!$P$6:$P$405,1,'Istoric_Nativ'!$D$6:$D$405,"&gt;="&amp;L326)+COUNTIFS('Istoric_Nativ'!$B$6:$B$405,E326,'Istoric_Nativ'!$C$6:$C$405,F326,'Istoric_Nativ'!$F$6:$F$405,G326,'Istoric_Nativ'!$D$6:$D$405,"&lt;"&amp;J326,'Istoric_Nativ'!$P$6:$P$405,1,'Istoric_Nativ'!$D$6:$D$405,"&gt;="&amp;L326))))</x:f>
        <x:v>0</x:v>
      </x:c>
      <x:c r="N326" s="11" t="str">
        <x:f>IF(M326=0,"",IF(H326="HOME",SUMIFS('Istoric_Nativ'!$G$6:$G$405,'Istoric_Nativ'!$B$6:$B$405,E326,'Istoric_Nativ'!$C$6:$C$405,F326,'Istoric_Nativ'!$E$6:$E$405,G326,'Istoric_Nativ'!$D$6:$D$405,"&lt;"&amp;J326,'Istoric_Nativ'!$P$6:$P$405,1,'Istoric_Nativ'!$D$6:$D$405,"&gt;="&amp;L326),IF(H326="AWAY",SUMIFS('Istoric_Nativ'!$H$6:$H$405,'Istoric_Nativ'!$B$6:$B$405,E326,'Istoric_Nativ'!$C$6:$C$405,F326,'Istoric_Nativ'!$F$6:$F$405,G326,'Istoric_Nativ'!$D$6:$D$405,"&lt;"&amp;J326,'Istoric_Nativ'!$P$6:$P$405,1,'Istoric_Nativ'!$D$6:$D$405,"&gt;="&amp;L326),SUMIFS('Istoric_Nativ'!$G$6:$G$405,'Istoric_Nativ'!$B$6:$B$405,E326,'Istoric_Nativ'!$C$6:$C$405,F326,'Istoric_Nativ'!$E$6:$E$405,G326,'Istoric_Nativ'!$D$6:$D$405,"&lt;"&amp;J326,'Istoric_Nativ'!$P$6:$P$405,1,'Istoric_Nativ'!$D$6:$D$405,"&gt;="&amp;L326)+SUMIFS('Istoric_Nativ'!$H$6:$H$405,'Istoric_Nativ'!$B$6:$B$405,E326,'Istoric_Nativ'!$C$6:$C$405,F326,'Istoric_Nativ'!$F$6:$F$405,G326,'Istoric_Nativ'!$D$6:$D$405,"&lt;"&amp;J326,'Istoric_Nativ'!$P$6:$P$405,1,'Istoric_Nativ'!$D$6:$D$405,"&gt;="&amp;L326)))/M326)</x:f>
      </x:c>
      <x:c r="O326" s="11" t="str">
        <x:f>IF(M326=0,"",IF(H326="HOME",SUMIFS('Istoric_Nativ'!$H$6:$H$405,'Istoric_Nativ'!$B$6:$B$405,E326,'Istoric_Nativ'!$C$6:$C$405,F326,'Istoric_Nativ'!$E$6:$E$405,G326,'Istoric_Nativ'!$D$6:$D$405,"&lt;"&amp;J326,'Istoric_Nativ'!$P$6:$P$405,1,'Istoric_Nativ'!$D$6:$D$405,"&gt;="&amp;L326),IF(H326="AWAY",SUMIFS('Istoric_Nativ'!$G$6:$G$405,'Istoric_Nativ'!$B$6:$B$405,E326,'Istoric_Nativ'!$C$6:$C$405,F326,'Istoric_Nativ'!$F$6:$F$405,G326,'Istoric_Nativ'!$D$6:$D$405,"&lt;"&amp;J326,'Istoric_Nativ'!$P$6:$P$405,1,'Istoric_Nativ'!$D$6:$D$405,"&gt;="&amp;L326),SUMIFS('Istoric_Nativ'!$H$6:$H$405,'Istoric_Nativ'!$B$6:$B$405,E326,'Istoric_Nativ'!$C$6:$C$405,F326,'Istoric_Nativ'!$E$6:$E$405,G326,'Istoric_Nativ'!$D$6:$D$405,"&lt;"&amp;J326,'Istoric_Nativ'!$P$6:$P$405,1,'Istoric_Nativ'!$D$6:$D$405,"&gt;="&amp;L326)+SUMIFS('Istoric_Nativ'!$G$6:$G$405,'Istoric_Nativ'!$B$6:$B$405,E326,'Istoric_Nativ'!$C$6:$C$405,F326,'Istoric_Nativ'!$F$6:$F$405,G326,'Istoric_Nativ'!$D$6:$D$405,"&lt;"&amp;J326,'Istoric_Nativ'!$P$6:$P$405,1,'Istoric_Nativ'!$D$6:$D$405,"&gt;="&amp;L326)))/M326)</x:f>
      </x:c>
      <x:c r="P326" s="2" t="n">
        <x:f>'Config_v6'!$B$9</x:f>
        <x:v>3</x:v>
      </x:c>
      <x:c r="Q326" s="2" t="n">
        <x:f>IF(OR(B326="",F326=""),0,IFERROR(MATCH(E326&amp;"|"&amp;F326,SourceTable[Source_Key],0),0))</x:f>
        <x:v>0</x:v>
      </x:c>
      <x:c r="R326" s="2" t="str">
        <x:f>IF(B326="","",IF(F326="","UNUSED",IF(Q326=0,"NOT CHECKED",IF(COUNTIF(SourceTable[Source_Key],E326&amp;"|"&amp;F326)&lt;&gt;1,"SOURCE CONFLICT",IF(NOT(OR(INDEX(SourceTable[Status],MAX(1,Q326))="IMPORTED",INDEX(SourceTable[Status],MAX(1,Q326))="PARTIAL",INDEX(SourceTable[Status],MAX(1,Q326))="SOURCE CONFLICT")),"ACCESS BLOCKED",IF(OR(INDEX(SourceTable[Coverage],Q326)&lt;&gt;"FULL SEASON EXPORT",INDEX(SourceTable[URL],Q326)="",INDEX(SourceTable[SHA256],Q326)=""),"EVIDENCE INCOMPLETE",IF(AND('Input_Meci'!H32="LIVE",INDEX(SourceTable[Retrieved_UTC],Q326)&gt;'Input_Meci'!G32),"POST CUTOFF","CLOSED")))))))</x:f>
      </x:c>
      <x:c r="S326" s="2" t="n">
        <x:f>IF(OR(B326="",F326=""),0,COUNTIFS('Istoric_Nativ'!$B$6:$B$405,E326,'Istoric_Nativ'!$C$6:$C$405,F326,'Istoric_Nativ'!$E$6:$E$405,G326,'Istoric_Nativ'!$D$6:$D$405,"&lt;"&amp;J326,'Istoric_Nativ'!$O$6:$O$405,"INVALID")+COUNTIFS('Istoric_Nativ'!$B$6:$B$405,E326,'Istoric_Nativ'!$C$6:$C$405,F326,'Istoric_Nativ'!$E$6:$E$405,G326,'Istoric_Nativ'!$O$6:$O$405,"INVALID",'Istoric_Nativ'!$D$6:$D$405,"*")+COUNTIFS('Istoric_Nativ'!$B$6:$B$405,E326,'Istoric_Nativ'!$C$6:$C$405,F326,'Istoric_Nativ'!$E$6:$E$405,G326,'Istoric_Nativ'!$D$6:$D$405,"&lt;"&amp;J326,'Istoric_Nativ'!$O$6:$O$405,"SOURCE CONFLICT")+COUNTIFS('Istoric_Nativ'!$B$6:$B$405,E326,'Istoric_Nativ'!$C$6:$C$405,F326,'Istoric_Nativ'!$F$6:$F$405,G326,'Istoric_Nativ'!$D$6:$D$405,"&lt;"&amp;J326,'Istoric_Nativ'!$O$6:$O$405,"INVALID")+COUNTIFS('Istoric_Nativ'!$B$6:$B$405,E326,'Istoric_Nativ'!$C$6:$C$405,F326,'Istoric_Nativ'!$F$6:$F$405,G326,'Istoric_Nativ'!$O$6:$O$405,"INVALID",'Istoric_Nativ'!$D$6:$D$405,"*")+COUNTIFS('Istoric_Nativ'!$B$6:$B$405,E326,'Istoric_Nativ'!$C$6:$C$405,F326,'Istoric_Nativ'!$F$6:$F$405,G326,'Istoric_Nativ'!$D$6:$D$405,"&lt;"&amp;J326,'Istoric_Nativ'!$O$6:$O$405,"SOURCE CONFLICT"))</x:f>
        <x:v>0</x:v>
      </x:c>
      <x:c r="T326" s="2" t="str">
        <x:f>IF(B326="","",IF(R326&lt;&gt;"CLOSED",R326,IF(S326&gt;0,"NATIVE INPUT ISSUE",IF(M326=0,"NO HISTORY",IF(M326&lt;P326,"SMALL SAMPLE","DERIVED")))))</x:f>
      </x:c>
      <x:c r="U326" s="2" t="str">
        <x:f>IF(B326="","","NativeTable; "&amp;E326&amp;"; "&amp;F326&amp;"; "&amp;G326&amp;"; "&amp;H326&amp;"; before "&amp;TEXT(J326,"yyyy-mm-dd")&amp;IF(I326="RECENT","; from "&amp;TEXT(L326,"yyyy-mm-dd"),""))</x:f>
      </x:c>
    </x:row>
    <x:row r="327" ht="21" customHeight="1">
      <x:c r="A327" s="2" t="n">
        <x:v>27</x:v>
      </x:c>
      <x:c r="B327" s="2" t="str">
        <x:f>IF('Input_Meci'!A32="","",'Input_Meci'!A32)</x:f>
      </x:c>
      <x:c r="C327" s="2" t="str">
        <x:v>A</x:v>
      </x:c>
      <x:c r="D327" s="2" t="str">
        <x:v>PRIOR</x:v>
      </x:c>
      <x:c r="E327" s="2" t="str">
        <x:f>IF(B327="","",'Input_Meci'!B32)</x:f>
      </x:c>
      <x:c r="F327" s="2" t="str">
        <x:f>IF(B327="","",IF('Input_Meci'!K32="","",'Input_Meci'!K32))</x:f>
      </x:c>
      <x:c r="G327" s="2" t="str">
        <x:f>IF(B327="","",'Input_Meci'!E32)</x:f>
      </x:c>
      <x:c r="H327" s="2" t="str">
        <x:v>ANY</x:v>
      </x:c>
      <x:c r="I327" s="2" t="str">
        <x:v>SEASON</x:v>
      </x:c>
      <x:c r="J327" s="9" t="n">
        <x:f>IF(AND(B327&lt;&gt;"",ISNUMBER('Input_Meci'!G32)),INT('Input_Meci'!G32),0)</x:f>
        <x:v>0</x:v>
      </x:c>
      <x:c r="K327" s="2" t="n">
        <x:f>IF(OR(B327="",F327=""),0,IF(H327="HOME",COUNTIFS('Istoric_Nativ'!$B$6:$B$405,E327,'Istoric_Nativ'!$C$6:$C$405,F327,'Istoric_Nativ'!$E$6:$E$405,G327,'Istoric_Nativ'!$D$6:$D$405,"&lt;"&amp;J327,'Istoric_Nativ'!$P$6:$P$405,1),IF(H327="AWAY",COUNTIFS('Istoric_Nativ'!$B$6:$B$405,E327,'Istoric_Nativ'!$C$6:$C$405,F327,'Istoric_Nativ'!$F$6:$F$405,G327,'Istoric_Nativ'!$D$6:$D$405,"&lt;"&amp;J327,'Istoric_Nativ'!$P$6:$P$405,1),COUNTIFS('Istoric_Nativ'!$B$6:$B$405,E327,'Istoric_Nativ'!$C$6:$C$405,F327,'Istoric_Nativ'!$E$6:$E$405,G327,'Istoric_Nativ'!$D$6:$D$405,"&lt;"&amp;J327,'Istoric_Nativ'!$P$6:$P$405,1)+COUNTIFS('Istoric_Nativ'!$B$6:$B$405,E327,'Istoric_Nativ'!$C$6:$C$405,F327,'Istoric_Nativ'!$F$6:$F$405,G327,'Istoric_Nativ'!$D$6:$D$405,"&lt;"&amp;J327,'Istoric_Nativ'!$P$6:$P$405,1))))</x:f>
        <x:v>0</x:v>
      </x:c>
      <x:c r="L327" s="17" t="n">
        <x:f>IF(AND(B327&lt;&gt;"",I327="RECENT",K327&gt;0),LARGE(_xlfn._xlws.FILTER('Istoric_Nativ'!$D$6:$D$405,('Istoric_Nativ'!$B$6:$B$405=E327)*('Istoric_Nativ'!$C$6:$C$405=F327)*('Istoric_Nativ'!$P$6:$P$405=1)*('Istoric_Nativ'!$D$6:$D$405&lt;J327)*((('Istoric_Nativ'!$E$6:$E$405=G327)+('Istoric_Nativ'!$F$6:$F$405=G327))&gt;0)),MIN('Config_v6'!$B$54,K327)),0)</x:f>
        <x:v>0</x:v>
      </x:c>
      <x:c r="M327" s="2" t="n">
        <x:f>IF(OR(B327="",F327=""),0,IF(H327="HOME",COUNTIFS('Istoric_Nativ'!$B$6:$B$405,E327,'Istoric_Nativ'!$C$6:$C$405,F327,'Istoric_Nativ'!$E$6:$E$405,G327,'Istoric_Nativ'!$D$6:$D$405,"&lt;"&amp;J327,'Istoric_Nativ'!$P$6:$P$405,1,'Istoric_Nativ'!$D$6:$D$405,"&gt;="&amp;L327),IF(H327="AWAY",COUNTIFS('Istoric_Nativ'!$B$6:$B$405,E327,'Istoric_Nativ'!$C$6:$C$405,F327,'Istoric_Nativ'!$F$6:$F$405,G327,'Istoric_Nativ'!$D$6:$D$405,"&lt;"&amp;J327,'Istoric_Nativ'!$P$6:$P$405,1,'Istoric_Nativ'!$D$6:$D$405,"&gt;="&amp;L327),COUNTIFS('Istoric_Nativ'!$B$6:$B$405,E327,'Istoric_Nativ'!$C$6:$C$405,F327,'Istoric_Nativ'!$E$6:$E$405,G327,'Istoric_Nativ'!$D$6:$D$405,"&lt;"&amp;J327,'Istoric_Nativ'!$P$6:$P$405,1,'Istoric_Nativ'!$D$6:$D$405,"&gt;="&amp;L327)+COUNTIFS('Istoric_Nativ'!$B$6:$B$405,E327,'Istoric_Nativ'!$C$6:$C$405,F327,'Istoric_Nativ'!$F$6:$F$405,G327,'Istoric_Nativ'!$D$6:$D$405,"&lt;"&amp;J327,'Istoric_Nativ'!$P$6:$P$405,1,'Istoric_Nativ'!$D$6:$D$405,"&gt;="&amp;L327))))</x:f>
        <x:v>0</x:v>
      </x:c>
      <x:c r="N327" s="11" t="str">
        <x:f>IF(M327=0,"",IF(H327="HOME",SUMIFS('Istoric_Nativ'!$G$6:$G$405,'Istoric_Nativ'!$B$6:$B$405,E327,'Istoric_Nativ'!$C$6:$C$405,F327,'Istoric_Nativ'!$E$6:$E$405,G327,'Istoric_Nativ'!$D$6:$D$405,"&lt;"&amp;J327,'Istoric_Nativ'!$P$6:$P$405,1,'Istoric_Nativ'!$D$6:$D$405,"&gt;="&amp;L327),IF(H327="AWAY",SUMIFS('Istoric_Nativ'!$H$6:$H$405,'Istoric_Nativ'!$B$6:$B$405,E327,'Istoric_Nativ'!$C$6:$C$405,F327,'Istoric_Nativ'!$F$6:$F$405,G327,'Istoric_Nativ'!$D$6:$D$405,"&lt;"&amp;J327,'Istoric_Nativ'!$P$6:$P$405,1,'Istoric_Nativ'!$D$6:$D$405,"&gt;="&amp;L327),SUMIFS('Istoric_Nativ'!$G$6:$G$405,'Istoric_Nativ'!$B$6:$B$405,E327,'Istoric_Nativ'!$C$6:$C$405,F327,'Istoric_Nativ'!$E$6:$E$405,G327,'Istoric_Nativ'!$D$6:$D$405,"&lt;"&amp;J327,'Istoric_Nativ'!$P$6:$P$405,1,'Istoric_Nativ'!$D$6:$D$405,"&gt;="&amp;L327)+SUMIFS('Istoric_Nativ'!$H$6:$H$405,'Istoric_Nativ'!$B$6:$B$405,E327,'Istoric_Nativ'!$C$6:$C$405,F327,'Istoric_Nativ'!$F$6:$F$405,G327,'Istoric_Nativ'!$D$6:$D$405,"&lt;"&amp;J327,'Istoric_Nativ'!$P$6:$P$405,1,'Istoric_Nativ'!$D$6:$D$405,"&gt;="&amp;L327)))/M327)</x:f>
      </x:c>
      <x:c r="O327" s="11" t="str">
        <x:f>IF(M327=0,"",IF(H327="HOME",SUMIFS('Istoric_Nativ'!$H$6:$H$405,'Istoric_Nativ'!$B$6:$B$405,E327,'Istoric_Nativ'!$C$6:$C$405,F327,'Istoric_Nativ'!$E$6:$E$405,G327,'Istoric_Nativ'!$D$6:$D$405,"&lt;"&amp;J327,'Istoric_Nativ'!$P$6:$P$405,1,'Istoric_Nativ'!$D$6:$D$405,"&gt;="&amp;L327),IF(H327="AWAY",SUMIFS('Istoric_Nativ'!$G$6:$G$405,'Istoric_Nativ'!$B$6:$B$405,E327,'Istoric_Nativ'!$C$6:$C$405,F327,'Istoric_Nativ'!$F$6:$F$405,G327,'Istoric_Nativ'!$D$6:$D$405,"&lt;"&amp;J327,'Istoric_Nativ'!$P$6:$P$405,1,'Istoric_Nativ'!$D$6:$D$405,"&gt;="&amp;L327),SUMIFS('Istoric_Nativ'!$H$6:$H$405,'Istoric_Nativ'!$B$6:$B$405,E327,'Istoric_Nativ'!$C$6:$C$405,F327,'Istoric_Nativ'!$E$6:$E$405,G327,'Istoric_Nativ'!$D$6:$D$405,"&lt;"&amp;J327,'Istoric_Nativ'!$P$6:$P$405,1,'Istoric_Nativ'!$D$6:$D$405,"&gt;="&amp;L327)+SUMIFS('Istoric_Nativ'!$G$6:$G$405,'Istoric_Nativ'!$B$6:$B$405,E327,'Istoric_Nativ'!$C$6:$C$405,F327,'Istoric_Nativ'!$F$6:$F$405,G327,'Istoric_Nativ'!$D$6:$D$405,"&lt;"&amp;J327,'Istoric_Nativ'!$P$6:$P$405,1,'Istoric_Nativ'!$D$6:$D$405,"&gt;="&amp;L327)))/M327)</x:f>
      </x:c>
      <x:c r="P327" s="2" t="n">
        <x:f>'Config_v6'!$B$7</x:f>
        <x:v>10</x:v>
      </x:c>
      <x:c r="Q327" s="2" t="n">
        <x:f>IF(OR(B327="",F327=""),0,IFERROR(MATCH(E327&amp;"|"&amp;F327,SourceTable[Source_Key],0),0))</x:f>
        <x:v>0</x:v>
      </x:c>
      <x:c r="R327" s="2" t="str">
        <x:f>IF(B327="","",IF(F327="","UNUSED",IF(Q327=0,"NOT CHECKED",IF(COUNTIF(SourceTable[Source_Key],E327&amp;"|"&amp;F327)&lt;&gt;1,"SOURCE CONFLICT",IF(NOT(OR(INDEX(SourceTable[Status],MAX(1,Q327))="IMPORTED",INDEX(SourceTable[Status],MAX(1,Q327))="PARTIAL",INDEX(SourceTable[Status],MAX(1,Q327))="SOURCE CONFLICT")),"ACCESS BLOCKED",IF(OR(INDEX(SourceTable[Coverage],Q327)&lt;&gt;"FULL SEASON EXPORT",INDEX(SourceTable[URL],Q327)="",INDEX(SourceTable[SHA256],Q327)=""),"EVIDENCE INCOMPLETE",IF(AND('Input_Meci'!H32="LIVE",INDEX(SourceTable[Retrieved_UTC],Q327)&gt;'Input_Meci'!G32),"POST CUTOFF","CLOSED")))))))</x:f>
      </x:c>
      <x:c r="S327" s="2" t="n">
        <x:f>IF(OR(B327="",F327=""),0,COUNTIFS('Istoric_Nativ'!$B$6:$B$405,E327,'Istoric_Nativ'!$C$6:$C$405,F327,'Istoric_Nativ'!$E$6:$E$405,G327,'Istoric_Nativ'!$D$6:$D$405,"&lt;"&amp;J327,'Istoric_Nativ'!$O$6:$O$405,"INVALID")+COUNTIFS('Istoric_Nativ'!$B$6:$B$405,E327,'Istoric_Nativ'!$C$6:$C$405,F327,'Istoric_Nativ'!$E$6:$E$405,G327,'Istoric_Nativ'!$O$6:$O$405,"INVALID",'Istoric_Nativ'!$D$6:$D$405,"*")+COUNTIFS('Istoric_Nativ'!$B$6:$B$405,E327,'Istoric_Nativ'!$C$6:$C$405,F327,'Istoric_Nativ'!$E$6:$E$405,G327,'Istoric_Nativ'!$D$6:$D$405,"&lt;"&amp;J327,'Istoric_Nativ'!$O$6:$O$405,"SOURCE CONFLICT")+COUNTIFS('Istoric_Nativ'!$B$6:$B$405,E327,'Istoric_Nativ'!$C$6:$C$405,F327,'Istoric_Nativ'!$F$6:$F$405,G327,'Istoric_Nativ'!$D$6:$D$405,"&lt;"&amp;J327,'Istoric_Nativ'!$O$6:$O$405,"INVALID")+COUNTIFS('Istoric_Nativ'!$B$6:$B$405,E327,'Istoric_Nativ'!$C$6:$C$405,F327,'Istoric_Nativ'!$F$6:$F$405,G327,'Istoric_Nativ'!$O$6:$O$405,"INVALID",'Istoric_Nativ'!$D$6:$D$405,"*")+COUNTIFS('Istoric_Nativ'!$B$6:$B$405,E327,'Istoric_Nativ'!$C$6:$C$405,F327,'Istoric_Nativ'!$F$6:$F$405,G327,'Istoric_Nativ'!$D$6:$D$405,"&lt;"&amp;J327,'Istoric_Nativ'!$O$6:$O$405,"SOURCE CONFLICT"))</x:f>
        <x:v>0</x:v>
      </x:c>
      <x:c r="T327" s="2" t="str">
        <x:f>IF(B327="","",IF(R327&lt;&gt;"CLOSED",R327,IF(S327&gt;0,"NATIVE INPUT ISSUE",IF(M327=0,"NO HISTORY",IF(M327&lt;P327,"SMALL SAMPLE","DERIVED")))))</x:f>
      </x:c>
      <x:c r="U327" s="2" t="str">
        <x:f>IF(B327="","","NativeTable; "&amp;E327&amp;"; "&amp;F327&amp;"; "&amp;G327&amp;"; "&amp;H327&amp;"; before "&amp;TEXT(J327,"yyyy-mm-dd")&amp;IF(I327="RECENT","; from "&amp;TEXT(L327,"yyyy-mm-dd"),""))</x:f>
      </x:c>
    </x:row>
    <x:row r="328" ht="21" customHeight="1">
      <x:c r="A328" s="2" t="n">
        <x:v>27</x:v>
      </x:c>
      <x:c r="B328" s="2" t="str">
        <x:f>IF('Input_Meci'!A32="","",'Input_Meci'!A32)</x:f>
      </x:c>
      <x:c r="C328" s="2" t="str">
        <x:v>A</x:v>
      </x:c>
      <x:c r="D328" s="2" t="str">
        <x:v>PRIOR</x:v>
      </x:c>
      <x:c r="E328" s="2" t="str">
        <x:f>IF(B328="","",'Input_Meci'!B32)</x:f>
      </x:c>
      <x:c r="F328" s="2" t="str">
        <x:f>IF(B328="","",IF('Input_Meci'!K32="","",'Input_Meci'!K32))</x:f>
      </x:c>
      <x:c r="G328" s="2" t="str">
        <x:f>IF(B328="","",'Input_Meci'!E32)</x:f>
      </x:c>
      <x:c r="H328" s="2" t="str">
        <x:v>AWAY</x:v>
      </x:c>
      <x:c r="I328" s="2" t="str">
        <x:v>HA</x:v>
      </x:c>
      <x:c r="J328" s="9" t="n">
        <x:f>IF(AND(B328&lt;&gt;"",ISNUMBER('Input_Meci'!G32)),INT('Input_Meci'!G32),0)</x:f>
        <x:v>0</x:v>
      </x:c>
      <x:c r="K328" s="2" t="n">
        <x:f>IF(OR(B328="",F328=""),0,IF(H328="HOME",COUNTIFS('Istoric_Nativ'!$B$6:$B$405,E328,'Istoric_Nativ'!$C$6:$C$405,F328,'Istoric_Nativ'!$E$6:$E$405,G328,'Istoric_Nativ'!$D$6:$D$405,"&lt;"&amp;J328,'Istoric_Nativ'!$P$6:$P$405,1),IF(H328="AWAY",COUNTIFS('Istoric_Nativ'!$B$6:$B$405,E328,'Istoric_Nativ'!$C$6:$C$405,F328,'Istoric_Nativ'!$F$6:$F$405,G328,'Istoric_Nativ'!$D$6:$D$405,"&lt;"&amp;J328,'Istoric_Nativ'!$P$6:$P$405,1),COUNTIFS('Istoric_Nativ'!$B$6:$B$405,E328,'Istoric_Nativ'!$C$6:$C$405,F328,'Istoric_Nativ'!$E$6:$E$405,G328,'Istoric_Nativ'!$D$6:$D$405,"&lt;"&amp;J328,'Istoric_Nativ'!$P$6:$P$405,1)+COUNTIFS('Istoric_Nativ'!$B$6:$B$405,E328,'Istoric_Nativ'!$C$6:$C$405,F328,'Istoric_Nativ'!$F$6:$F$405,G328,'Istoric_Nativ'!$D$6:$D$405,"&lt;"&amp;J328,'Istoric_Nativ'!$P$6:$P$405,1))))</x:f>
        <x:v>0</x:v>
      </x:c>
      <x:c r="L328" s="17" t="n">
        <x:f>IF(AND(B328&lt;&gt;"",I328="RECENT",K328&gt;0),LARGE(_xlfn._xlws.FILTER('Istoric_Nativ'!$D$6:$D$405,('Istoric_Nativ'!$B$6:$B$405=E328)*('Istoric_Nativ'!$C$6:$C$405=F328)*('Istoric_Nativ'!$P$6:$P$405=1)*('Istoric_Nativ'!$D$6:$D$405&lt;J328)*((('Istoric_Nativ'!$E$6:$E$405=G328)+('Istoric_Nativ'!$F$6:$F$405=G328))&gt;0)),MIN('Config_v6'!$B$54,K328)),0)</x:f>
        <x:v>0</x:v>
      </x:c>
      <x:c r="M328" s="2" t="n">
        <x:f>IF(OR(B328="",F328=""),0,IF(H328="HOME",COUNTIFS('Istoric_Nativ'!$B$6:$B$405,E328,'Istoric_Nativ'!$C$6:$C$405,F328,'Istoric_Nativ'!$E$6:$E$405,G328,'Istoric_Nativ'!$D$6:$D$405,"&lt;"&amp;J328,'Istoric_Nativ'!$P$6:$P$405,1,'Istoric_Nativ'!$D$6:$D$405,"&gt;="&amp;L328),IF(H328="AWAY",COUNTIFS('Istoric_Nativ'!$B$6:$B$405,E328,'Istoric_Nativ'!$C$6:$C$405,F328,'Istoric_Nativ'!$F$6:$F$405,G328,'Istoric_Nativ'!$D$6:$D$405,"&lt;"&amp;J328,'Istoric_Nativ'!$P$6:$P$405,1,'Istoric_Nativ'!$D$6:$D$405,"&gt;="&amp;L328),COUNTIFS('Istoric_Nativ'!$B$6:$B$405,E328,'Istoric_Nativ'!$C$6:$C$405,F328,'Istoric_Nativ'!$E$6:$E$405,G328,'Istoric_Nativ'!$D$6:$D$405,"&lt;"&amp;J328,'Istoric_Nativ'!$P$6:$P$405,1,'Istoric_Nativ'!$D$6:$D$405,"&gt;="&amp;L328)+COUNTIFS('Istoric_Nativ'!$B$6:$B$405,E328,'Istoric_Nativ'!$C$6:$C$405,F328,'Istoric_Nativ'!$F$6:$F$405,G328,'Istoric_Nativ'!$D$6:$D$405,"&lt;"&amp;J328,'Istoric_Nativ'!$P$6:$P$405,1,'Istoric_Nativ'!$D$6:$D$405,"&gt;="&amp;L328))))</x:f>
        <x:v>0</x:v>
      </x:c>
      <x:c r="N328" s="11" t="str">
        <x:f>IF(M328=0,"",IF(H328="HOME",SUMIFS('Istoric_Nativ'!$G$6:$G$405,'Istoric_Nativ'!$B$6:$B$405,E328,'Istoric_Nativ'!$C$6:$C$405,F328,'Istoric_Nativ'!$E$6:$E$405,G328,'Istoric_Nativ'!$D$6:$D$405,"&lt;"&amp;J328,'Istoric_Nativ'!$P$6:$P$405,1,'Istoric_Nativ'!$D$6:$D$405,"&gt;="&amp;L328),IF(H328="AWAY",SUMIFS('Istoric_Nativ'!$H$6:$H$405,'Istoric_Nativ'!$B$6:$B$405,E328,'Istoric_Nativ'!$C$6:$C$405,F328,'Istoric_Nativ'!$F$6:$F$405,G328,'Istoric_Nativ'!$D$6:$D$405,"&lt;"&amp;J328,'Istoric_Nativ'!$P$6:$P$405,1,'Istoric_Nativ'!$D$6:$D$405,"&gt;="&amp;L328),SUMIFS('Istoric_Nativ'!$G$6:$G$405,'Istoric_Nativ'!$B$6:$B$405,E328,'Istoric_Nativ'!$C$6:$C$405,F328,'Istoric_Nativ'!$E$6:$E$405,G328,'Istoric_Nativ'!$D$6:$D$405,"&lt;"&amp;J328,'Istoric_Nativ'!$P$6:$P$405,1,'Istoric_Nativ'!$D$6:$D$405,"&gt;="&amp;L328)+SUMIFS('Istoric_Nativ'!$H$6:$H$405,'Istoric_Nativ'!$B$6:$B$405,E328,'Istoric_Nativ'!$C$6:$C$405,F328,'Istoric_Nativ'!$F$6:$F$405,G328,'Istoric_Nativ'!$D$6:$D$405,"&lt;"&amp;J328,'Istoric_Nativ'!$P$6:$P$405,1,'Istoric_Nativ'!$D$6:$D$405,"&gt;="&amp;L328)))/M328)</x:f>
      </x:c>
      <x:c r="O328" s="11" t="str">
        <x:f>IF(M328=0,"",IF(H328="HOME",SUMIFS('Istoric_Nativ'!$H$6:$H$405,'Istoric_Nativ'!$B$6:$B$405,E328,'Istoric_Nativ'!$C$6:$C$405,F328,'Istoric_Nativ'!$E$6:$E$405,G328,'Istoric_Nativ'!$D$6:$D$405,"&lt;"&amp;J328,'Istoric_Nativ'!$P$6:$P$405,1,'Istoric_Nativ'!$D$6:$D$405,"&gt;="&amp;L328),IF(H328="AWAY",SUMIFS('Istoric_Nativ'!$G$6:$G$405,'Istoric_Nativ'!$B$6:$B$405,E328,'Istoric_Nativ'!$C$6:$C$405,F328,'Istoric_Nativ'!$F$6:$F$405,G328,'Istoric_Nativ'!$D$6:$D$405,"&lt;"&amp;J328,'Istoric_Nativ'!$P$6:$P$405,1,'Istoric_Nativ'!$D$6:$D$405,"&gt;="&amp;L328),SUMIFS('Istoric_Nativ'!$H$6:$H$405,'Istoric_Nativ'!$B$6:$B$405,E328,'Istoric_Nativ'!$C$6:$C$405,F328,'Istoric_Nativ'!$E$6:$E$405,G328,'Istoric_Nativ'!$D$6:$D$405,"&lt;"&amp;J328,'Istoric_Nativ'!$P$6:$P$405,1,'Istoric_Nativ'!$D$6:$D$405,"&gt;="&amp;L328)+SUMIFS('Istoric_Nativ'!$G$6:$G$405,'Istoric_Nativ'!$B$6:$B$405,E328,'Istoric_Nativ'!$C$6:$C$405,F328,'Istoric_Nativ'!$F$6:$F$405,G328,'Istoric_Nativ'!$D$6:$D$405,"&lt;"&amp;J328,'Istoric_Nativ'!$P$6:$P$405,1,'Istoric_Nativ'!$D$6:$D$405,"&gt;="&amp;L328)))/M328)</x:f>
      </x:c>
      <x:c r="P328" s="2" t="n">
        <x:f>'Config_v6'!$B$8</x:f>
        <x:v>5</x:v>
      </x:c>
      <x:c r="Q328" s="2" t="n">
        <x:f>IF(OR(B328="",F328=""),0,IFERROR(MATCH(E328&amp;"|"&amp;F328,SourceTable[Source_Key],0),0))</x:f>
        <x:v>0</x:v>
      </x:c>
      <x:c r="R328" s="2" t="str">
        <x:f>IF(B328="","",IF(F328="","UNUSED",IF(Q328=0,"NOT CHECKED",IF(COUNTIF(SourceTable[Source_Key],E328&amp;"|"&amp;F328)&lt;&gt;1,"SOURCE CONFLICT",IF(NOT(OR(INDEX(SourceTable[Status],MAX(1,Q328))="IMPORTED",INDEX(SourceTable[Status],MAX(1,Q328))="PARTIAL",INDEX(SourceTable[Status],MAX(1,Q328))="SOURCE CONFLICT")),"ACCESS BLOCKED",IF(OR(INDEX(SourceTable[Coverage],Q328)&lt;&gt;"FULL SEASON EXPORT",INDEX(SourceTable[URL],Q328)="",INDEX(SourceTable[SHA256],Q328)=""),"EVIDENCE INCOMPLETE",IF(AND('Input_Meci'!H32="LIVE",INDEX(SourceTable[Retrieved_UTC],Q328)&gt;'Input_Meci'!G32),"POST CUTOFF","CLOSED")))))))</x:f>
      </x:c>
      <x:c r="S328" s="2" t="n">
        <x:f>IF(OR(B328="",F328=""),0,COUNTIFS('Istoric_Nativ'!$B$6:$B$405,E328,'Istoric_Nativ'!$C$6:$C$405,F328,'Istoric_Nativ'!$E$6:$E$405,G328,'Istoric_Nativ'!$D$6:$D$405,"&lt;"&amp;J328,'Istoric_Nativ'!$O$6:$O$405,"INVALID")+COUNTIFS('Istoric_Nativ'!$B$6:$B$405,E328,'Istoric_Nativ'!$C$6:$C$405,F328,'Istoric_Nativ'!$E$6:$E$405,G328,'Istoric_Nativ'!$O$6:$O$405,"INVALID",'Istoric_Nativ'!$D$6:$D$405,"*")+COUNTIFS('Istoric_Nativ'!$B$6:$B$405,E328,'Istoric_Nativ'!$C$6:$C$405,F328,'Istoric_Nativ'!$E$6:$E$405,G328,'Istoric_Nativ'!$D$6:$D$405,"&lt;"&amp;J328,'Istoric_Nativ'!$O$6:$O$405,"SOURCE CONFLICT")+COUNTIFS('Istoric_Nativ'!$B$6:$B$405,E328,'Istoric_Nativ'!$C$6:$C$405,F328,'Istoric_Nativ'!$F$6:$F$405,G328,'Istoric_Nativ'!$D$6:$D$405,"&lt;"&amp;J328,'Istoric_Nativ'!$O$6:$O$405,"INVALID")+COUNTIFS('Istoric_Nativ'!$B$6:$B$405,E328,'Istoric_Nativ'!$C$6:$C$405,F328,'Istoric_Nativ'!$F$6:$F$405,G328,'Istoric_Nativ'!$O$6:$O$405,"INVALID",'Istoric_Nativ'!$D$6:$D$405,"*")+COUNTIFS('Istoric_Nativ'!$B$6:$B$405,E328,'Istoric_Nativ'!$C$6:$C$405,F328,'Istoric_Nativ'!$F$6:$F$405,G328,'Istoric_Nativ'!$D$6:$D$405,"&lt;"&amp;J328,'Istoric_Nativ'!$O$6:$O$405,"SOURCE CONFLICT"))</x:f>
        <x:v>0</x:v>
      </x:c>
      <x:c r="T328" s="2" t="str">
        <x:f>IF(B328="","",IF(R328&lt;&gt;"CLOSED",R328,IF(S328&gt;0,"NATIVE INPUT ISSUE",IF(M328=0,"NO HISTORY",IF(M328&lt;P328,"SMALL SAMPLE","DERIVED")))))</x:f>
      </x:c>
      <x:c r="U328" s="2" t="str">
        <x:f>IF(B328="","","NativeTable; "&amp;E328&amp;"; "&amp;F328&amp;"; "&amp;G328&amp;"; "&amp;H328&amp;"; before "&amp;TEXT(J328,"yyyy-mm-dd")&amp;IF(I328="RECENT","; from "&amp;TEXT(L328,"yyyy-mm-dd"),""))</x:f>
      </x:c>
    </x:row>
    <x:row r="329" ht="21" customHeight="1">
      <x:c r="A329" s="2" t="n">
        <x:v>27</x:v>
      </x:c>
      <x:c r="B329" s="2" t="str">
        <x:f>IF('Input_Meci'!A32="","",'Input_Meci'!A32)</x:f>
      </x:c>
      <x:c r="C329" s="2" t="str">
        <x:v>A</x:v>
      </x:c>
      <x:c r="D329" s="2" t="str">
        <x:v>PRIOR</x:v>
      </x:c>
      <x:c r="E329" s="2" t="str">
        <x:f>IF(B329="","",'Input_Meci'!B32)</x:f>
      </x:c>
      <x:c r="F329" s="2" t="str">
        <x:f>IF(B329="","",IF('Input_Meci'!K32="","",'Input_Meci'!K32))</x:f>
      </x:c>
      <x:c r="G329" s="2" t="str">
        <x:f>IF(B329="","",'Input_Meci'!E32)</x:f>
      </x:c>
      <x:c r="H329" s="2" t="str">
        <x:v>ANY</x:v>
      </x:c>
      <x:c r="I329" s="2" t="str">
        <x:v>RECENT</x:v>
      </x:c>
      <x:c r="J329" s="9" t="n">
        <x:f>IF(AND(B329&lt;&gt;"",ISNUMBER('Input_Meci'!G32)),INT('Input_Meci'!G32),0)</x:f>
        <x:v>0</x:v>
      </x:c>
      <x:c r="K329" s="2" t="n">
        <x:f>IF(OR(B329="",F329=""),0,IF(H329="HOME",COUNTIFS('Istoric_Nativ'!$B$6:$B$405,E329,'Istoric_Nativ'!$C$6:$C$405,F329,'Istoric_Nativ'!$E$6:$E$405,G329,'Istoric_Nativ'!$D$6:$D$405,"&lt;"&amp;J329,'Istoric_Nativ'!$P$6:$P$405,1),IF(H329="AWAY",COUNTIFS('Istoric_Nativ'!$B$6:$B$405,E329,'Istoric_Nativ'!$C$6:$C$405,F329,'Istoric_Nativ'!$F$6:$F$405,G329,'Istoric_Nativ'!$D$6:$D$405,"&lt;"&amp;J329,'Istoric_Nativ'!$P$6:$P$405,1),COUNTIFS('Istoric_Nativ'!$B$6:$B$405,E329,'Istoric_Nativ'!$C$6:$C$405,F329,'Istoric_Nativ'!$E$6:$E$405,G329,'Istoric_Nativ'!$D$6:$D$405,"&lt;"&amp;J329,'Istoric_Nativ'!$P$6:$P$405,1)+COUNTIFS('Istoric_Nativ'!$B$6:$B$405,E329,'Istoric_Nativ'!$C$6:$C$405,F329,'Istoric_Nativ'!$F$6:$F$405,G329,'Istoric_Nativ'!$D$6:$D$405,"&lt;"&amp;J329,'Istoric_Nativ'!$P$6:$P$405,1))))</x:f>
        <x:v>0</x:v>
      </x:c>
      <x:c r="L329" s="17" t="n">
        <x:f>IF(AND(B329&lt;&gt;"",I329="RECENT",K329&gt;0),LARGE(_xlfn._xlws.FILTER('Istoric_Nativ'!$D$6:$D$405,('Istoric_Nativ'!$B$6:$B$405=E329)*('Istoric_Nativ'!$C$6:$C$405=F329)*('Istoric_Nativ'!$P$6:$P$405=1)*('Istoric_Nativ'!$D$6:$D$405&lt;J329)*((('Istoric_Nativ'!$E$6:$E$405=G329)+('Istoric_Nativ'!$F$6:$F$405=G329))&gt;0)),MIN('Config_v6'!$B$54,K329)),0)</x:f>
        <x:v>0</x:v>
      </x:c>
      <x:c r="M329" s="2" t="n">
        <x:f>IF(OR(B329="",F329=""),0,IF(H329="HOME",COUNTIFS('Istoric_Nativ'!$B$6:$B$405,E329,'Istoric_Nativ'!$C$6:$C$405,F329,'Istoric_Nativ'!$E$6:$E$405,G329,'Istoric_Nativ'!$D$6:$D$405,"&lt;"&amp;J329,'Istoric_Nativ'!$P$6:$P$405,1,'Istoric_Nativ'!$D$6:$D$405,"&gt;="&amp;L329),IF(H329="AWAY",COUNTIFS('Istoric_Nativ'!$B$6:$B$405,E329,'Istoric_Nativ'!$C$6:$C$405,F329,'Istoric_Nativ'!$F$6:$F$405,G329,'Istoric_Nativ'!$D$6:$D$405,"&lt;"&amp;J329,'Istoric_Nativ'!$P$6:$P$405,1,'Istoric_Nativ'!$D$6:$D$405,"&gt;="&amp;L329),COUNTIFS('Istoric_Nativ'!$B$6:$B$405,E329,'Istoric_Nativ'!$C$6:$C$405,F329,'Istoric_Nativ'!$E$6:$E$405,G329,'Istoric_Nativ'!$D$6:$D$405,"&lt;"&amp;J329,'Istoric_Nativ'!$P$6:$P$405,1,'Istoric_Nativ'!$D$6:$D$405,"&gt;="&amp;L329)+COUNTIFS('Istoric_Nativ'!$B$6:$B$405,E329,'Istoric_Nativ'!$C$6:$C$405,F329,'Istoric_Nativ'!$F$6:$F$405,G329,'Istoric_Nativ'!$D$6:$D$405,"&lt;"&amp;J329,'Istoric_Nativ'!$P$6:$P$405,1,'Istoric_Nativ'!$D$6:$D$405,"&gt;="&amp;L329))))</x:f>
        <x:v>0</x:v>
      </x:c>
      <x:c r="N329" s="11" t="str">
        <x:f>IF(M329=0,"",IF(H329="HOME",SUMIFS('Istoric_Nativ'!$G$6:$G$405,'Istoric_Nativ'!$B$6:$B$405,E329,'Istoric_Nativ'!$C$6:$C$405,F329,'Istoric_Nativ'!$E$6:$E$405,G329,'Istoric_Nativ'!$D$6:$D$405,"&lt;"&amp;J329,'Istoric_Nativ'!$P$6:$P$405,1,'Istoric_Nativ'!$D$6:$D$405,"&gt;="&amp;L329),IF(H329="AWAY",SUMIFS('Istoric_Nativ'!$H$6:$H$405,'Istoric_Nativ'!$B$6:$B$405,E329,'Istoric_Nativ'!$C$6:$C$405,F329,'Istoric_Nativ'!$F$6:$F$405,G329,'Istoric_Nativ'!$D$6:$D$405,"&lt;"&amp;J329,'Istoric_Nativ'!$P$6:$P$405,1,'Istoric_Nativ'!$D$6:$D$405,"&gt;="&amp;L329),SUMIFS('Istoric_Nativ'!$G$6:$G$405,'Istoric_Nativ'!$B$6:$B$405,E329,'Istoric_Nativ'!$C$6:$C$405,F329,'Istoric_Nativ'!$E$6:$E$405,G329,'Istoric_Nativ'!$D$6:$D$405,"&lt;"&amp;J329,'Istoric_Nativ'!$P$6:$P$405,1,'Istoric_Nativ'!$D$6:$D$405,"&gt;="&amp;L329)+SUMIFS('Istoric_Nativ'!$H$6:$H$405,'Istoric_Nativ'!$B$6:$B$405,E329,'Istoric_Nativ'!$C$6:$C$405,F329,'Istoric_Nativ'!$F$6:$F$405,G329,'Istoric_Nativ'!$D$6:$D$405,"&lt;"&amp;J329,'Istoric_Nativ'!$P$6:$P$405,1,'Istoric_Nativ'!$D$6:$D$405,"&gt;="&amp;L329)))/M329)</x:f>
      </x:c>
      <x:c r="O329" s="11" t="str">
        <x:f>IF(M329=0,"",IF(H329="HOME",SUMIFS('Istoric_Nativ'!$H$6:$H$405,'Istoric_Nativ'!$B$6:$B$405,E329,'Istoric_Nativ'!$C$6:$C$405,F329,'Istoric_Nativ'!$E$6:$E$405,G329,'Istoric_Nativ'!$D$6:$D$405,"&lt;"&amp;J329,'Istoric_Nativ'!$P$6:$P$405,1,'Istoric_Nativ'!$D$6:$D$405,"&gt;="&amp;L329),IF(H329="AWAY",SUMIFS('Istoric_Nativ'!$G$6:$G$405,'Istoric_Nativ'!$B$6:$B$405,E329,'Istoric_Nativ'!$C$6:$C$405,F329,'Istoric_Nativ'!$F$6:$F$405,G329,'Istoric_Nativ'!$D$6:$D$405,"&lt;"&amp;J329,'Istoric_Nativ'!$P$6:$P$405,1,'Istoric_Nativ'!$D$6:$D$405,"&gt;="&amp;L329),SUMIFS('Istoric_Nativ'!$H$6:$H$405,'Istoric_Nativ'!$B$6:$B$405,E329,'Istoric_Nativ'!$C$6:$C$405,F329,'Istoric_Nativ'!$E$6:$E$405,G329,'Istoric_Nativ'!$D$6:$D$405,"&lt;"&amp;J329,'Istoric_Nativ'!$P$6:$P$405,1,'Istoric_Nativ'!$D$6:$D$405,"&gt;="&amp;L329)+SUMIFS('Istoric_Nativ'!$G$6:$G$405,'Istoric_Nativ'!$B$6:$B$405,E329,'Istoric_Nativ'!$C$6:$C$405,F329,'Istoric_Nativ'!$F$6:$F$405,G329,'Istoric_Nativ'!$D$6:$D$405,"&lt;"&amp;J329,'Istoric_Nativ'!$P$6:$P$405,1,'Istoric_Nativ'!$D$6:$D$405,"&gt;="&amp;L329)))/M329)</x:f>
      </x:c>
      <x:c r="P329" s="2" t="n">
        <x:f>'Config_v6'!$B$9</x:f>
        <x:v>3</x:v>
      </x:c>
      <x:c r="Q329" s="2" t="n">
        <x:f>IF(OR(B329="",F329=""),0,IFERROR(MATCH(E329&amp;"|"&amp;F329,SourceTable[Source_Key],0),0))</x:f>
        <x:v>0</x:v>
      </x:c>
      <x:c r="R329" s="2" t="str">
        <x:f>IF(B329="","",IF(F329="","UNUSED",IF(Q329=0,"NOT CHECKED",IF(COUNTIF(SourceTable[Source_Key],E329&amp;"|"&amp;F329)&lt;&gt;1,"SOURCE CONFLICT",IF(NOT(OR(INDEX(SourceTable[Status],MAX(1,Q329))="IMPORTED",INDEX(SourceTable[Status],MAX(1,Q329))="PARTIAL",INDEX(SourceTable[Status],MAX(1,Q329))="SOURCE CONFLICT")),"ACCESS BLOCKED",IF(OR(INDEX(SourceTable[Coverage],Q329)&lt;&gt;"FULL SEASON EXPORT",INDEX(SourceTable[URL],Q329)="",INDEX(SourceTable[SHA256],Q329)=""),"EVIDENCE INCOMPLETE",IF(AND('Input_Meci'!H32="LIVE",INDEX(SourceTable[Retrieved_UTC],Q329)&gt;'Input_Meci'!G32),"POST CUTOFF","CLOSED")))))))</x:f>
      </x:c>
      <x:c r="S329" s="2" t="n">
        <x:f>IF(OR(B329="",F329=""),0,COUNTIFS('Istoric_Nativ'!$B$6:$B$405,E329,'Istoric_Nativ'!$C$6:$C$405,F329,'Istoric_Nativ'!$E$6:$E$405,G329,'Istoric_Nativ'!$D$6:$D$405,"&lt;"&amp;J329,'Istoric_Nativ'!$O$6:$O$405,"INVALID")+COUNTIFS('Istoric_Nativ'!$B$6:$B$405,E329,'Istoric_Nativ'!$C$6:$C$405,F329,'Istoric_Nativ'!$E$6:$E$405,G329,'Istoric_Nativ'!$O$6:$O$405,"INVALID",'Istoric_Nativ'!$D$6:$D$405,"*")+COUNTIFS('Istoric_Nativ'!$B$6:$B$405,E329,'Istoric_Nativ'!$C$6:$C$405,F329,'Istoric_Nativ'!$E$6:$E$405,G329,'Istoric_Nativ'!$D$6:$D$405,"&lt;"&amp;J329,'Istoric_Nativ'!$O$6:$O$405,"SOURCE CONFLICT")+COUNTIFS('Istoric_Nativ'!$B$6:$B$405,E329,'Istoric_Nativ'!$C$6:$C$405,F329,'Istoric_Nativ'!$F$6:$F$405,G329,'Istoric_Nativ'!$D$6:$D$405,"&lt;"&amp;J329,'Istoric_Nativ'!$O$6:$O$405,"INVALID")+COUNTIFS('Istoric_Nativ'!$B$6:$B$405,E329,'Istoric_Nativ'!$C$6:$C$405,F329,'Istoric_Nativ'!$F$6:$F$405,G329,'Istoric_Nativ'!$O$6:$O$405,"INVALID",'Istoric_Nativ'!$D$6:$D$405,"*")+COUNTIFS('Istoric_Nativ'!$B$6:$B$405,E329,'Istoric_Nativ'!$C$6:$C$405,F329,'Istoric_Nativ'!$F$6:$F$405,G329,'Istoric_Nativ'!$D$6:$D$405,"&lt;"&amp;J329,'Istoric_Nativ'!$O$6:$O$405,"SOURCE CONFLICT"))</x:f>
        <x:v>0</x:v>
      </x:c>
      <x:c r="T329" s="2" t="str">
        <x:f>IF(B329="","",IF(R329&lt;&gt;"CLOSED",R329,IF(S329&gt;0,"NATIVE INPUT ISSUE",IF(M329=0,"NO HISTORY",IF(M329&lt;P329,"SMALL SAMPLE","DERIVED")))))</x:f>
      </x:c>
      <x:c r="U329" s="2" t="str">
        <x:f>IF(B329="","","NativeTable; "&amp;E329&amp;"; "&amp;F329&amp;"; "&amp;G329&amp;"; "&amp;H329&amp;"; before "&amp;TEXT(J329,"yyyy-mm-dd")&amp;IF(I329="RECENT","; from "&amp;TEXT(L329,"yyyy-mm-dd"),""))</x:f>
      </x:c>
    </x:row>
    <x:row r="330" ht="21" customHeight="1">
      <x:c r="A330" s="2" t="n">
        <x:v>28</x:v>
      </x:c>
      <x:c r="B330" s="2" t="str">
        <x:f>IF('Input_Meci'!A33="","",'Input_Meci'!A33)</x:f>
      </x:c>
      <x:c r="C330" s="2" t="str">
        <x:v>H</x:v>
      </x:c>
      <x:c r="D330" s="2" t="str">
        <x:v>CURRENT</x:v>
      </x:c>
      <x:c r="E330" s="2" t="str">
        <x:f>IF(B330="","",'Input_Meci'!B33)</x:f>
      </x:c>
      <x:c r="F330" s="2" t="str">
        <x:f>IF(B330="","",IF('Input_Meci'!C33="","",'Input_Meci'!C33))</x:f>
      </x:c>
      <x:c r="G330" s="2" t="str">
        <x:f>IF(B330="","",'Input_Meci'!D33)</x:f>
      </x:c>
      <x:c r="H330" s="2" t="str">
        <x:v>ANY</x:v>
      </x:c>
      <x:c r="I330" s="2" t="str">
        <x:v>SEASON</x:v>
      </x:c>
      <x:c r="J330" s="9" t="n">
        <x:f>IF(AND(B330&lt;&gt;"",ISNUMBER('Input_Meci'!G33)),INT('Input_Meci'!G33),0)</x:f>
        <x:v>0</x:v>
      </x:c>
      <x:c r="K330" s="2" t="n">
        <x:f>IF(OR(B330="",F330=""),0,IF(H330="HOME",COUNTIFS('Istoric_Nativ'!$B$6:$B$405,E330,'Istoric_Nativ'!$C$6:$C$405,F330,'Istoric_Nativ'!$E$6:$E$405,G330,'Istoric_Nativ'!$D$6:$D$405,"&lt;"&amp;J330,'Istoric_Nativ'!$P$6:$P$405,1),IF(H330="AWAY",COUNTIFS('Istoric_Nativ'!$B$6:$B$405,E330,'Istoric_Nativ'!$C$6:$C$405,F330,'Istoric_Nativ'!$F$6:$F$405,G330,'Istoric_Nativ'!$D$6:$D$405,"&lt;"&amp;J330,'Istoric_Nativ'!$P$6:$P$405,1),COUNTIFS('Istoric_Nativ'!$B$6:$B$405,E330,'Istoric_Nativ'!$C$6:$C$405,F330,'Istoric_Nativ'!$E$6:$E$405,G330,'Istoric_Nativ'!$D$6:$D$405,"&lt;"&amp;J330,'Istoric_Nativ'!$P$6:$P$405,1)+COUNTIFS('Istoric_Nativ'!$B$6:$B$405,E330,'Istoric_Nativ'!$C$6:$C$405,F330,'Istoric_Nativ'!$F$6:$F$405,G330,'Istoric_Nativ'!$D$6:$D$405,"&lt;"&amp;J330,'Istoric_Nativ'!$P$6:$P$405,1))))</x:f>
        <x:v>0</x:v>
      </x:c>
      <x:c r="L330" s="17" t="n">
        <x:f>IF(AND(B330&lt;&gt;"",I330="RECENT",K330&gt;0),LARGE(_xlfn._xlws.FILTER('Istoric_Nativ'!$D$6:$D$405,('Istoric_Nativ'!$B$6:$B$405=E330)*('Istoric_Nativ'!$C$6:$C$405=F330)*('Istoric_Nativ'!$P$6:$P$405=1)*('Istoric_Nativ'!$D$6:$D$405&lt;J330)*((('Istoric_Nativ'!$E$6:$E$405=G330)+('Istoric_Nativ'!$F$6:$F$405=G330))&gt;0)),MIN('Config_v6'!$B$54,K330)),0)</x:f>
        <x:v>0</x:v>
      </x:c>
      <x:c r="M330" s="2" t="n">
        <x:f>IF(OR(B330="",F330=""),0,IF(H330="HOME",COUNTIFS('Istoric_Nativ'!$B$6:$B$405,E330,'Istoric_Nativ'!$C$6:$C$405,F330,'Istoric_Nativ'!$E$6:$E$405,G330,'Istoric_Nativ'!$D$6:$D$405,"&lt;"&amp;J330,'Istoric_Nativ'!$P$6:$P$405,1,'Istoric_Nativ'!$D$6:$D$405,"&gt;="&amp;L330),IF(H330="AWAY",COUNTIFS('Istoric_Nativ'!$B$6:$B$405,E330,'Istoric_Nativ'!$C$6:$C$405,F330,'Istoric_Nativ'!$F$6:$F$405,G330,'Istoric_Nativ'!$D$6:$D$405,"&lt;"&amp;J330,'Istoric_Nativ'!$P$6:$P$405,1,'Istoric_Nativ'!$D$6:$D$405,"&gt;="&amp;L330),COUNTIFS('Istoric_Nativ'!$B$6:$B$405,E330,'Istoric_Nativ'!$C$6:$C$405,F330,'Istoric_Nativ'!$E$6:$E$405,G330,'Istoric_Nativ'!$D$6:$D$405,"&lt;"&amp;J330,'Istoric_Nativ'!$P$6:$P$405,1,'Istoric_Nativ'!$D$6:$D$405,"&gt;="&amp;L330)+COUNTIFS('Istoric_Nativ'!$B$6:$B$405,E330,'Istoric_Nativ'!$C$6:$C$405,F330,'Istoric_Nativ'!$F$6:$F$405,G330,'Istoric_Nativ'!$D$6:$D$405,"&lt;"&amp;J330,'Istoric_Nativ'!$P$6:$P$405,1,'Istoric_Nativ'!$D$6:$D$405,"&gt;="&amp;L330))))</x:f>
        <x:v>0</x:v>
      </x:c>
      <x:c r="N330" s="11" t="str">
        <x:f>IF(M330=0,"",IF(H330="HOME",SUMIFS('Istoric_Nativ'!$G$6:$G$405,'Istoric_Nativ'!$B$6:$B$405,E330,'Istoric_Nativ'!$C$6:$C$405,F330,'Istoric_Nativ'!$E$6:$E$405,G330,'Istoric_Nativ'!$D$6:$D$405,"&lt;"&amp;J330,'Istoric_Nativ'!$P$6:$P$405,1,'Istoric_Nativ'!$D$6:$D$405,"&gt;="&amp;L330),IF(H330="AWAY",SUMIFS('Istoric_Nativ'!$H$6:$H$405,'Istoric_Nativ'!$B$6:$B$405,E330,'Istoric_Nativ'!$C$6:$C$405,F330,'Istoric_Nativ'!$F$6:$F$405,G330,'Istoric_Nativ'!$D$6:$D$405,"&lt;"&amp;J330,'Istoric_Nativ'!$P$6:$P$405,1,'Istoric_Nativ'!$D$6:$D$405,"&gt;="&amp;L330),SUMIFS('Istoric_Nativ'!$G$6:$G$405,'Istoric_Nativ'!$B$6:$B$405,E330,'Istoric_Nativ'!$C$6:$C$405,F330,'Istoric_Nativ'!$E$6:$E$405,G330,'Istoric_Nativ'!$D$6:$D$405,"&lt;"&amp;J330,'Istoric_Nativ'!$P$6:$P$405,1,'Istoric_Nativ'!$D$6:$D$405,"&gt;="&amp;L330)+SUMIFS('Istoric_Nativ'!$H$6:$H$405,'Istoric_Nativ'!$B$6:$B$405,E330,'Istoric_Nativ'!$C$6:$C$405,F330,'Istoric_Nativ'!$F$6:$F$405,G330,'Istoric_Nativ'!$D$6:$D$405,"&lt;"&amp;J330,'Istoric_Nativ'!$P$6:$P$405,1,'Istoric_Nativ'!$D$6:$D$405,"&gt;="&amp;L330)))/M330)</x:f>
      </x:c>
      <x:c r="O330" s="11" t="str">
        <x:f>IF(M330=0,"",IF(H330="HOME",SUMIFS('Istoric_Nativ'!$H$6:$H$405,'Istoric_Nativ'!$B$6:$B$405,E330,'Istoric_Nativ'!$C$6:$C$405,F330,'Istoric_Nativ'!$E$6:$E$405,G330,'Istoric_Nativ'!$D$6:$D$405,"&lt;"&amp;J330,'Istoric_Nativ'!$P$6:$P$405,1,'Istoric_Nativ'!$D$6:$D$405,"&gt;="&amp;L330),IF(H330="AWAY",SUMIFS('Istoric_Nativ'!$G$6:$G$405,'Istoric_Nativ'!$B$6:$B$405,E330,'Istoric_Nativ'!$C$6:$C$405,F330,'Istoric_Nativ'!$F$6:$F$405,G330,'Istoric_Nativ'!$D$6:$D$405,"&lt;"&amp;J330,'Istoric_Nativ'!$P$6:$P$405,1,'Istoric_Nativ'!$D$6:$D$405,"&gt;="&amp;L330),SUMIFS('Istoric_Nativ'!$H$6:$H$405,'Istoric_Nativ'!$B$6:$B$405,E330,'Istoric_Nativ'!$C$6:$C$405,F330,'Istoric_Nativ'!$E$6:$E$405,G330,'Istoric_Nativ'!$D$6:$D$405,"&lt;"&amp;J330,'Istoric_Nativ'!$P$6:$P$405,1,'Istoric_Nativ'!$D$6:$D$405,"&gt;="&amp;L330)+SUMIFS('Istoric_Nativ'!$G$6:$G$405,'Istoric_Nativ'!$B$6:$B$405,E330,'Istoric_Nativ'!$C$6:$C$405,F330,'Istoric_Nativ'!$F$6:$F$405,G330,'Istoric_Nativ'!$D$6:$D$405,"&lt;"&amp;J330,'Istoric_Nativ'!$P$6:$P$405,1,'Istoric_Nativ'!$D$6:$D$405,"&gt;="&amp;L330)))/M330)</x:f>
      </x:c>
      <x:c r="P330" s="2" t="n">
        <x:f>'Config_v6'!$B$7</x:f>
        <x:v>10</x:v>
      </x:c>
      <x:c r="Q330" s="2" t="n">
        <x:f>IF(OR(B330="",F330=""),0,IFERROR(MATCH(E330&amp;"|"&amp;F330,SourceTable[Source_Key],0),0))</x:f>
        <x:v>0</x:v>
      </x:c>
      <x:c r="R330" s="2" t="str">
        <x:f>IF(B330="","",IF(F330="","UNUSED",IF(Q330=0,"NOT CHECKED",IF(COUNTIF(SourceTable[Source_Key],E330&amp;"|"&amp;F330)&lt;&gt;1,"SOURCE CONFLICT",IF(NOT(OR(INDEX(SourceTable[Status],MAX(1,Q330))="IMPORTED",INDEX(SourceTable[Status],MAX(1,Q330))="PARTIAL",INDEX(SourceTable[Status],MAX(1,Q330))="SOURCE CONFLICT")),"ACCESS BLOCKED",IF(OR(INDEX(SourceTable[Coverage],Q330)&lt;&gt;"FULL SEASON EXPORT",INDEX(SourceTable[URL],Q330)="",INDEX(SourceTable[SHA256],Q330)=""),"EVIDENCE INCOMPLETE",IF(AND('Input_Meci'!H33="LIVE",INDEX(SourceTable[Retrieved_UTC],Q330)&gt;'Input_Meci'!G33),"POST CUTOFF","CLOSED")))))))</x:f>
      </x:c>
      <x:c r="S330" s="2" t="n">
        <x:f>IF(OR(B330="",F330=""),0,COUNTIFS('Istoric_Nativ'!$B$6:$B$405,E330,'Istoric_Nativ'!$C$6:$C$405,F330,'Istoric_Nativ'!$E$6:$E$405,G330,'Istoric_Nativ'!$D$6:$D$405,"&lt;"&amp;J330,'Istoric_Nativ'!$O$6:$O$405,"INVALID")+COUNTIFS('Istoric_Nativ'!$B$6:$B$405,E330,'Istoric_Nativ'!$C$6:$C$405,F330,'Istoric_Nativ'!$E$6:$E$405,G330,'Istoric_Nativ'!$O$6:$O$405,"INVALID",'Istoric_Nativ'!$D$6:$D$405,"*")+COUNTIFS('Istoric_Nativ'!$B$6:$B$405,E330,'Istoric_Nativ'!$C$6:$C$405,F330,'Istoric_Nativ'!$E$6:$E$405,G330,'Istoric_Nativ'!$D$6:$D$405,"&lt;"&amp;J330,'Istoric_Nativ'!$O$6:$O$405,"SOURCE CONFLICT")+COUNTIFS('Istoric_Nativ'!$B$6:$B$405,E330,'Istoric_Nativ'!$C$6:$C$405,F330,'Istoric_Nativ'!$F$6:$F$405,G330,'Istoric_Nativ'!$D$6:$D$405,"&lt;"&amp;J330,'Istoric_Nativ'!$O$6:$O$405,"INVALID")+COUNTIFS('Istoric_Nativ'!$B$6:$B$405,E330,'Istoric_Nativ'!$C$6:$C$405,F330,'Istoric_Nativ'!$F$6:$F$405,G330,'Istoric_Nativ'!$O$6:$O$405,"INVALID",'Istoric_Nativ'!$D$6:$D$405,"*")+COUNTIFS('Istoric_Nativ'!$B$6:$B$405,E330,'Istoric_Nativ'!$C$6:$C$405,F330,'Istoric_Nativ'!$F$6:$F$405,G330,'Istoric_Nativ'!$D$6:$D$405,"&lt;"&amp;J330,'Istoric_Nativ'!$O$6:$O$405,"SOURCE CONFLICT"))</x:f>
        <x:v>0</x:v>
      </x:c>
      <x:c r="T330" s="2" t="str">
        <x:f>IF(B330="","",IF(R330&lt;&gt;"CLOSED",R330,IF(S330&gt;0,"NATIVE INPUT ISSUE",IF(M330=0,"NO HISTORY",IF(M330&lt;P330,"SMALL SAMPLE","DERIVED")))))</x:f>
      </x:c>
      <x:c r="U330" s="2" t="str">
        <x:f>IF(B330="","","NativeTable; "&amp;E330&amp;"; "&amp;F330&amp;"; "&amp;G330&amp;"; "&amp;H330&amp;"; before "&amp;TEXT(J330,"yyyy-mm-dd")&amp;IF(I330="RECENT","; from "&amp;TEXT(L330,"yyyy-mm-dd"),""))</x:f>
      </x:c>
    </x:row>
    <x:row r="331" ht="21" customHeight="1">
      <x:c r="A331" s="2" t="n">
        <x:v>28</x:v>
      </x:c>
      <x:c r="B331" s="2" t="str">
        <x:f>IF('Input_Meci'!A33="","",'Input_Meci'!A33)</x:f>
      </x:c>
      <x:c r="C331" s="2" t="str">
        <x:v>H</x:v>
      </x:c>
      <x:c r="D331" s="2" t="str">
        <x:v>CURRENT</x:v>
      </x:c>
      <x:c r="E331" s="2" t="str">
        <x:f>IF(B331="","",'Input_Meci'!B33)</x:f>
      </x:c>
      <x:c r="F331" s="2" t="str">
        <x:f>IF(B331="","",IF('Input_Meci'!C33="","",'Input_Meci'!C33))</x:f>
      </x:c>
      <x:c r="G331" s="2" t="str">
        <x:f>IF(B331="","",'Input_Meci'!D33)</x:f>
      </x:c>
      <x:c r="H331" s="2" t="str">
        <x:v>HOME</x:v>
      </x:c>
      <x:c r="I331" s="2" t="str">
        <x:v>HA</x:v>
      </x:c>
      <x:c r="J331" s="9" t="n">
        <x:f>IF(AND(B331&lt;&gt;"",ISNUMBER('Input_Meci'!G33)),INT('Input_Meci'!G33),0)</x:f>
        <x:v>0</x:v>
      </x:c>
      <x:c r="K331" s="2" t="n">
        <x:f>IF(OR(B331="",F331=""),0,IF(H331="HOME",COUNTIFS('Istoric_Nativ'!$B$6:$B$405,E331,'Istoric_Nativ'!$C$6:$C$405,F331,'Istoric_Nativ'!$E$6:$E$405,G331,'Istoric_Nativ'!$D$6:$D$405,"&lt;"&amp;J331,'Istoric_Nativ'!$P$6:$P$405,1),IF(H331="AWAY",COUNTIFS('Istoric_Nativ'!$B$6:$B$405,E331,'Istoric_Nativ'!$C$6:$C$405,F331,'Istoric_Nativ'!$F$6:$F$405,G331,'Istoric_Nativ'!$D$6:$D$405,"&lt;"&amp;J331,'Istoric_Nativ'!$P$6:$P$405,1),COUNTIFS('Istoric_Nativ'!$B$6:$B$405,E331,'Istoric_Nativ'!$C$6:$C$405,F331,'Istoric_Nativ'!$E$6:$E$405,G331,'Istoric_Nativ'!$D$6:$D$405,"&lt;"&amp;J331,'Istoric_Nativ'!$P$6:$P$405,1)+COUNTIFS('Istoric_Nativ'!$B$6:$B$405,E331,'Istoric_Nativ'!$C$6:$C$405,F331,'Istoric_Nativ'!$F$6:$F$405,G331,'Istoric_Nativ'!$D$6:$D$405,"&lt;"&amp;J331,'Istoric_Nativ'!$P$6:$P$405,1))))</x:f>
        <x:v>0</x:v>
      </x:c>
      <x:c r="L331" s="17" t="n">
        <x:f>IF(AND(B331&lt;&gt;"",I331="RECENT",K331&gt;0),LARGE(_xlfn._xlws.FILTER('Istoric_Nativ'!$D$6:$D$405,('Istoric_Nativ'!$B$6:$B$405=E331)*('Istoric_Nativ'!$C$6:$C$405=F331)*('Istoric_Nativ'!$P$6:$P$405=1)*('Istoric_Nativ'!$D$6:$D$405&lt;J331)*((('Istoric_Nativ'!$E$6:$E$405=G331)+('Istoric_Nativ'!$F$6:$F$405=G331))&gt;0)),MIN('Config_v6'!$B$54,K331)),0)</x:f>
        <x:v>0</x:v>
      </x:c>
      <x:c r="M331" s="2" t="n">
        <x:f>IF(OR(B331="",F331=""),0,IF(H331="HOME",COUNTIFS('Istoric_Nativ'!$B$6:$B$405,E331,'Istoric_Nativ'!$C$6:$C$405,F331,'Istoric_Nativ'!$E$6:$E$405,G331,'Istoric_Nativ'!$D$6:$D$405,"&lt;"&amp;J331,'Istoric_Nativ'!$P$6:$P$405,1,'Istoric_Nativ'!$D$6:$D$405,"&gt;="&amp;L331),IF(H331="AWAY",COUNTIFS('Istoric_Nativ'!$B$6:$B$405,E331,'Istoric_Nativ'!$C$6:$C$405,F331,'Istoric_Nativ'!$F$6:$F$405,G331,'Istoric_Nativ'!$D$6:$D$405,"&lt;"&amp;J331,'Istoric_Nativ'!$P$6:$P$405,1,'Istoric_Nativ'!$D$6:$D$405,"&gt;="&amp;L331),COUNTIFS('Istoric_Nativ'!$B$6:$B$405,E331,'Istoric_Nativ'!$C$6:$C$405,F331,'Istoric_Nativ'!$E$6:$E$405,G331,'Istoric_Nativ'!$D$6:$D$405,"&lt;"&amp;J331,'Istoric_Nativ'!$P$6:$P$405,1,'Istoric_Nativ'!$D$6:$D$405,"&gt;="&amp;L331)+COUNTIFS('Istoric_Nativ'!$B$6:$B$405,E331,'Istoric_Nativ'!$C$6:$C$405,F331,'Istoric_Nativ'!$F$6:$F$405,G331,'Istoric_Nativ'!$D$6:$D$405,"&lt;"&amp;J331,'Istoric_Nativ'!$P$6:$P$405,1,'Istoric_Nativ'!$D$6:$D$405,"&gt;="&amp;L331))))</x:f>
        <x:v>0</x:v>
      </x:c>
      <x:c r="N331" s="11" t="str">
        <x:f>IF(M331=0,"",IF(H331="HOME",SUMIFS('Istoric_Nativ'!$G$6:$G$405,'Istoric_Nativ'!$B$6:$B$405,E331,'Istoric_Nativ'!$C$6:$C$405,F331,'Istoric_Nativ'!$E$6:$E$405,G331,'Istoric_Nativ'!$D$6:$D$405,"&lt;"&amp;J331,'Istoric_Nativ'!$P$6:$P$405,1,'Istoric_Nativ'!$D$6:$D$405,"&gt;="&amp;L331),IF(H331="AWAY",SUMIFS('Istoric_Nativ'!$H$6:$H$405,'Istoric_Nativ'!$B$6:$B$405,E331,'Istoric_Nativ'!$C$6:$C$405,F331,'Istoric_Nativ'!$F$6:$F$405,G331,'Istoric_Nativ'!$D$6:$D$405,"&lt;"&amp;J331,'Istoric_Nativ'!$P$6:$P$405,1,'Istoric_Nativ'!$D$6:$D$405,"&gt;="&amp;L331),SUMIFS('Istoric_Nativ'!$G$6:$G$405,'Istoric_Nativ'!$B$6:$B$405,E331,'Istoric_Nativ'!$C$6:$C$405,F331,'Istoric_Nativ'!$E$6:$E$405,G331,'Istoric_Nativ'!$D$6:$D$405,"&lt;"&amp;J331,'Istoric_Nativ'!$P$6:$P$405,1,'Istoric_Nativ'!$D$6:$D$405,"&gt;="&amp;L331)+SUMIFS('Istoric_Nativ'!$H$6:$H$405,'Istoric_Nativ'!$B$6:$B$405,E331,'Istoric_Nativ'!$C$6:$C$405,F331,'Istoric_Nativ'!$F$6:$F$405,G331,'Istoric_Nativ'!$D$6:$D$405,"&lt;"&amp;J331,'Istoric_Nativ'!$P$6:$P$405,1,'Istoric_Nativ'!$D$6:$D$405,"&gt;="&amp;L331)))/M331)</x:f>
      </x:c>
      <x:c r="O331" s="11" t="str">
        <x:f>IF(M331=0,"",IF(H331="HOME",SUMIFS('Istoric_Nativ'!$H$6:$H$405,'Istoric_Nativ'!$B$6:$B$405,E331,'Istoric_Nativ'!$C$6:$C$405,F331,'Istoric_Nativ'!$E$6:$E$405,G331,'Istoric_Nativ'!$D$6:$D$405,"&lt;"&amp;J331,'Istoric_Nativ'!$P$6:$P$405,1,'Istoric_Nativ'!$D$6:$D$405,"&gt;="&amp;L331),IF(H331="AWAY",SUMIFS('Istoric_Nativ'!$G$6:$G$405,'Istoric_Nativ'!$B$6:$B$405,E331,'Istoric_Nativ'!$C$6:$C$405,F331,'Istoric_Nativ'!$F$6:$F$405,G331,'Istoric_Nativ'!$D$6:$D$405,"&lt;"&amp;J331,'Istoric_Nativ'!$P$6:$P$405,1,'Istoric_Nativ'!$D$6:$D$405,"&gt;="&amp;L331),SUMIFS('Istoric_Nativ'!$H$6:$H$405,'Istoric_Nativ'!$B$6:$B$405,E331,'Istoric_Nativ'!$C$6:$C$405,F331,'Istoric_Nativ'!$E$6:$E$405,G331,'Istoric_Nativ'!$D$6:$D$405,"&lt;"&amp;J331,'Istoric_Nativ'!$P$6:$P$405,1,'Istoric_Nativ'!$D$6:$D$405,"&gt;="&amp;L331)+SUMIFS('Istoric_Nativ'!$G$6:$G$405,'Istoric_Nativ'!$B$6:$B$405,E331,'Istoric_Nativ'!$C$6:$C$405,F331,'Istoric_Nativ'!$F$6:$F$405,G331,'Istoric_Nativ'!$D$6:$D$405,"&lt;"&amp;J331,'Istoric_Nativ'!$P$6:$P$405,1,'Istoric_Nativ'!$D$6:$D$405,"&gt;="&amp;L331)))/M331)</x:f>
      </x:c>
      <x:c r="P331" s="2" t="n">
        <x:f>'Config_v6'!$B$8</x:f>
        <x:v>5</x:v>
      </x:c>
      <x:c r="Q331" s="2" t="n">
        <x:f>IF(OR(B331="",F331=""),0,IFERROR(MATCH(E331&amp;"|"&amp;F331,SourceTable[Source_Key],0),0))</x:f>
        <x:v>0</x:v>
      </x:c>
      <x:c r="R331" s="2" t="str">
        <x:f>IF(B331="","",IF(F331="","UNUSED",IF(Q331=0,"NOT CHECKED",IF(COUNTIF(SourceTable[Source_Key],E331&amp;"|"&amp;F331)&lt;&gt;1,"SOURCE CONFLICT",IF(NOT(OR(INDEX(SourceTable[Status],MAX(1,Q331))="IMPORTED",INDEX(SourceTable[Status],MAX(1,Q331))="PARTIAL",INDEX(SourceTable[Status],MAX(1,Q331))="SOURCE CONFLICT")),"ACCESS BLOCKED",IF(OR(INDEX(SourceTable[Coverage],Q331)&lt;&gt;"FULL SEASON EXPORT",INDEX(SourceTable[URL],Q331)="",INDEX(SourceTable[SHA256],Q331)=""),"EVIDENCE INCOMPLETE",IF(AND('Input_Meci'!H33="LIVE",INDEX(SourceTable[Retrieved_UTC],Q331)&gt;'Input_Meci'!G33),"POST CUTOFF","CLOSED")))))))</x:f>
      </x:c>
      <x:c r="S331" s="2" t="n">
        <x:f>IF(OR(B331="",F331=""),0,COUNTIFS('Istoric_Nativ'!$B$6:$B$405,E331,'Istoric_Nativ'!$C$6:$C$405,F331,'Istoric_Nativ'!$E$6:$E$405,G331,'Istoric_Nativ'!$D$6:$D$405,"&lt;"&amp;J331,'Istoric_Nativ'!$O$6:$O$405,"INVALID")+COUNTIFS('Istoric_Nativ'!$B$6:$B$405,E331,'Istoric_Nativ'!$C$6:$C$405,F331,'Istoric_Nativ'!$E$6:$E$405,G331,'Istoric_Nativ'!$O$6:$O$405,"INVALID",'Istoric_Nativ'!$D$6:$D$405,"*")+COUNTIFS('Istoric_Nativ'!$B$6:$B$405,E331,'Istoric_Nativ'!$C$6:$C$405,F331,'Istoric_Nativ'!$E$6:$E$405,G331,'Istoric_Nativ'!$D$6:$D$405,"&lt;"&amp;J331,'Istoric_Nativ'!$O$6:$O$405,"SOURCE CONFLICT")+COUNTIFS('Istoric_Nativ'!$B$6:$B$405,E331,'Istoric_Nativ'!$C$6:$C$405,F331,'Istoric_Nativ'!$F$6:$F$405,G331,'Istoric_Nativ'!$D$6:$D$405,"&lt;"&amp;J331,'Istoric_Nativ'!$O$6:$O$405,"INVALID")+COUNTIFS('Istoric_Nativ'!$B$6:$B$405,E331,'Istoric_Nativ'!$C$6:$C$405,F331,'Istoric_Nativ'!$F$6:$F$405,G331,'Istoric_Nativ'!$O$6:$O$405,"INVALID",'Istoric_Nativ'!$D$6:$D$405,"*")+COUNTIFS('Istoric_Nativ'!$B$6:$B$405,E331,'Istoric_Nativ'!$C$6:$C$405,F331,'Istoric_Nativ'!$F$6:$F$405,G331,'Istoric_Nativ'!$D$6:$D$405,"&lt;"&amp;J331,'Istoric_Nativ'!$O$6:$O$405,"SOURCE CONFLICT"))</x:f>
        <x:v>0</x:v>
      </x:c>
      <x:c r="T331" s="2" t="str">
        <x:f>IF(B331="","",IF(R331&lt;&gt;"CLOSED",R331,IF(S331&gt;0,"NATIVE INPUT ISSUE",IF(M331=0,"NO HISTORY",IF(M331&lt;P331,"SMALL SAMPLE","DERIVED")))))</x:f>
      </x:c>
      <x:c r="U331" s="2" t="str">
        <x:f>IF(B331="","","NativeTable; "&amp;E331&amp;"; "&amp;F331&amp;"; "&amp;G331&amp;"; "&amp;H331&amp;"; before "&amp;TEXT(J331,"yyyy-mm-dd")&amp;IF(I331="RECENT","; from "&amp;TEXT(L331,"yyyy-mm-dd"),""))</x:f>
      </x:c>
    </x:row>
    <x:row r="332" ht="21" customHeight="1">
      <x:c r="A332" s="2" t="n">
        <x:v>28</x:v>
      </x:c>
      <x:c r="B332" s="2" t="str">
        <x:f>IF('Input_Meci'!A33="","",'Input_Meci'!A33)</x:f>
      </x:c>
      <x:c r="C332" s="2" t="str">
        <x:v>H</x:v>
      </x:c>
      <x:c r="D332" s="2" t="str">
        <x:v>CURRENT</x:v>
      </x:c>
      <x:c r="E332" s="2" t="str">
        <x:f>IF(B332="","",'Input_Meci'!B33)</x:f>
      </x:c>
      <x:c r="F332" s="2" t="str">
        <x:f>IF(B332="","",IF('Input_Meci'!C33="","",'Input_Meci'!C33))</x:f>
      </x:c>
      <x:c r="G332" s="2" t="str">
        <x:f>IF(B332="","",'Input_Meci'!D33)</x:f>
      </x:c>
      <x:c r="H332" s="2" t="str">
        <x:v>ANY</x:v>
      </x:c>
      <x:c r="I332" s="2" t="str">
        <x:v>RECENT</x:v>
      </x:c>
      <x:c r="J332" s="9" t="n">
        <x:f>IF(AND(B332&lt;&gt;"",ISNUMBER('Input_Meci'!G33)),INT('Input_Meci'!G33),0)</x:f>
        <x:v>0</x:v>
      </x:c>
      <x:c r="K332" s="2" t="n">
        <x:f>IF(OR(B332="",F332=""),0,IF(H332="HOME",COUNTIFS('Istoric_Nativ'!$B$6:$B$405,E332,'Istoric_Nativ'!$C$6:$C$405,F332,'Istoric_Nativ'!$E$6:$E$405,G332,'Istoric_Nativ'!$D$6:$D$405,"&lt;"&amp;J332,'Istoric_Nativ'!$P$6:$P$405,1),IF(H332="AWAY",COUNTIFS('Istoric_Nativ'!$B$6:$B$405,E332,'Istoric_Nativ'!$C$6:$C$405,F332,'Istoric_Nativ'!$F$6:$F$405,G332,'Istoric_Nativ'!$D$6:$D$405,"&lt;"&amp;J332,'Istoric_Nativ'!$P$6:$P$405,1),COUNTIFS('Istoric_Nativ'!$B$6:$B$405,E332,'Istoric_Nativ'!$C$6:$C$405,F332,'Istoric_Nativ'!$E$6:$E$405,G332,'Istoric_Nativ'!$D$6:$D$405,"&lt;"&amp;J332,'Istoric_Nativ'!$P$6:$P$405,1)+COUNTIFS('Istoric_Nativ'!$B$6:$B$405,E332,'Istoric_Nativ'!$C$6:$C$405,F332,'Istoric_Nativ'!$F$6:$F$405,G332,'Istoric_Nativ'!$D$6:$D$405,"&lt;"&amp;J332,'Istoric_Nativ'!$P$6:$P$405,1))))</x:f>
        <x:v>0</x:v>
      </x:c>
      <x:c r="L332" s="17" t="n">
        <x:f>IF(AND(B332&lt;&gt;"",I332="RECENT",K332&gt;0),LARGE(_xlfn._xlws.FILTER('Istoric_Nativ'!$D$6:$D$405,('Istoric_Nativ'!$B$6:$B$405=E332)*('Istoric_Nativ'!$C$6:$C$405=F332)*('Istoric_Nativ'!$P$6:$P$405=1)*('Istoric_Nativ'!$D$6:$D$405&lt;J332)*((('Istoric_Nativ'!$E$6:$E$405=G332)+('Istoric_Nativ'!$F$6:$F$405=G332))&gt;0)),MIN('Config_v6'!$B$54,K332)),0)</x:f>
        <x:v>0</x:v>
      </x:c>
      <x:c r="M332" s="2" t="n">
        <x:f>IF(OR(B332="",F332=""),0,IF(H332="HOME",COUNTIFS('Istoric_Nativ'!$B$6:$B$405,E332,'Istoric_Nativ'!$C$6:$C$405,F332,'Istoric_Nativ'!$E$6:$E$405,G332,'Istoric_Nativ'!$D$6:$D$405,"&lt;"&amp;J332,'Istoric_Nativ'!$P$6:$P$405,1,'Istoric_Nativ'!$D$6:$D$405,"&gt;="&amp;L332),IF(H332="AWAY",COUNTIFS('Istoric_Nativ'!$B$6:$B$405,E332,'Istoric_Nativ'!$C$6:$C$405,F332,'Istoric_Nativ'!$F$6:$F$405,G332,'Istoric_Nativ'!$D$6:$D$405,"&lt;"&amp;J332,'Istoric_Nativ'!$P$6:$P$405,1,'Istoric_Nativ'!$D$6:$D$405,"&gt;="&amp;L332),COUNTIFS('Istoric_Nativ'!$B$6:$B$405,E332,'Istoric_Nativ'!$C$6:$C$405,F332,'Istoric_Nativ'!$E$6:$E$405,G332,'Istoric_Nativ'!$D$6:$D$405,"&lt;"&amp;J332,'Istoric_Nativ'!$P$6:$P$405,1,'Istoric_Nativ'!$D$6:$D$405,"&gt;="&amp;L332)+COUNTIFS('Istoric_Nativ'!$B$6:$B$405,E332,'Istoric_Nativ'!$C$6:$C$405,F332,'Istoric_Nativ'!$F$6:$F$405,G332,'Istoric_Nativ'!$D$6:$D$405,"&lt;"&amp;J332,'Istoric_Nativ'!$P$6:$P$405,1,'Istoric_Nativ'!$D$6:$D$405,"&gt;="&amp;L332))))</x:f>
        <x:v>0</x:v>
      </x:c>
      <x:c r="N332" s="11" t="str">
        <x:f>IF(M332=0,"",IF(H332="HOME",SUMIFS('Istoric_Nativ'!$G$6:$G$405,'Istoric_Nativ'!$B$6:$B$405,E332,'Istoric_Nativ'!$C$6:$C$405,F332,'Istoric_Nativ'!$E$6:$E$405,G332,'Istoric_Nativ'!$D$6:$D$405,"&lt;"&amp;J332,'Istoric_Nativ'!$P$6:$P$405,1,'Istoric_Nativ'!$D$6:$D$405,"&gt;="&amp;L332),IF(H332="AWAY",SUMIFS('Istoric_Nativ'!$H$6:$H$405,'Istoric_Nativ'!$B$6:$B$405,E332,'Istoric_Nativ'!$C$6:$C$405,F332,'Istoric_Nativ'!$F$6:$F$405,G332,'Istoric_Nativ'!$D$6:$D$405,"&lt;"&amp;J332,'Istoric_Nativ'!$P$6:$P$405,1,'Istoric_Nativ'!$D$6:$D$405,"&gt;="&amp;L332),SUMIFS('Istoric_Nativ'!$G$6:$G$405,'Istoric_Nativ'!$B$6:$B$405,E332,'Istoric_Nativ'!$C$6:$C$405,F332,'Istoric_Nativ'!$E$6:$E$405,G332,'Istoric_Nativ'!$D$6:$D$405,"&lt;"&amp;J332,'Istoric_Nativ'!$P$6:$P$405,1,'Istoric_Nativ'!$D$6:$D$405,"&gt;="&amp;L332)+SUMIFS('Istoric_Nativ'!$H$6:$H$405,'Istoric_Nativ'!$B$6:$B$405,E332,'Istoric_Nativ'!$C$6:$C$405,F332,'Istoric_Nativ'!$F$6:$F$405,G332,'Istoric_Nativ'!$D$6:$D$405,"&lt;"&amp;J332,'Istoric_Nativ'!$P$6:$P$405,1,'Istoric_Nativ'!$D$6:$D$405,"&gt;="&amp;L332)))/M332)</x:f>
      </x:c>
      <x:c r="O332" s="11" t="str">
        <x:f>IF(M332=0,"",IF(H332="HOME",SUMIFS('Istoric_Nativ'!$H$6:$H$405,'Istoric_Nativ'!$B$6:$B$405,E332,'Istoric_Nativ'!$C$6:$C$405,F332,'Istoric_Nativ'!$E$6:$E$405,G332,'Istoric_Nativ'!$D$6:$D$405,"&lt;"&amp;J332,'Istoric_Nativ'!$P$6:$P$405,1,'Istoric_Nativ'!$D$6:$D$405,"&gt;="&amp;L332),IF(H332="AWAY",SUMIFS('Istoric_Nativ'!$G$6:$G$405,'Istoric_Nativ'!$B$6:$B$405,E332,'Istoric_Nativ'!$C$6:$C$405,F332,'Istoric_Nativ'!$F$6:$F$405,G332,'Istoric_Nativ'!$D$6:$D$405,"&lt;"&amp;J332,'Istoric_Nativ'!$P$6:$P$405,1,'Istoric_Nativ'!$D$6:$D$405,"&gt;="&amp;L332),SUMIFS('Istoric_Nativ'!$H$6:$H$405,'Istoric_Nativ'!$B$6:$B$405,E332,'Istoric_Nativ'!$C$6:$C$405,F332,'Istoric_Nativ'!$E$6:$E$405,G332,'Istoric_Nativ'!$D$6:$D$405,"&lt;"&amp;J332,'Istoric_Nativ'!$P$6:$P$405,1,'Istoric_Nativ'!$D$6:$D$405,"&gt;="&amp;L332)+SUMIFS('Istoric_Nativ'!$G$6:$G$405,'Istoric_Nativ'!$B$6:$B$405,E332,'Istoric_Nativ'!$C$6:$C$405,F332,'Istoric_Nativ'!$F$6:$F$405,G332,'Istoric_Nativ'!$D$6:$D$405,"&lt;"&amp;J332,'Istoric_Nativ'!$P$6:$P$405,1,'Istoric_Nativ'!$D$6:$D$405,"&gt;="&amp;L332)))/M332)</x:f>
      </x:c>
      <x:c r="P332" s="2" t="n">
        <x:f>'Config_v6'!$B$9</x:f>
        <x:v>3</x:v>
      </x:c>
      <x:c r="Q332" s="2" t="n">
        <x:f>IF(OR(B332="",F332=""),0,IFERROR(MATCH(E332&amp;"|"&amp;F332,SourceTable[Source_Key],0),0))</x:f>
        <x:v>0</x:v>
      </x:c>
      <x:c r="R332" s="2" t="str">
        <x:f>IF(B332="","",IF(F332="","UNUSED",IF(Q332=0,"NOT CHECKED",IF(COUNTIF(SourceTable[Source_Key],E332&amp;"|"&amp;F332)&lt;&gt;1,"SOURCE CONFLICT",IF(NOT(OR(INDEX(SourceTable[Status],MAX(1,Q332))="IMPORTED",INDEX(SourceTable[Status],MAX(1,Q332))="PARTIAL",INDEX(SourceTable[Status],MAX(1,Q332))="SOURCE CONFLICT")),"ACCESS BLOCKED",IF(OR(INDEX(SourceTable[Coverage],Q332)&lt;&gt;"FULL SEASON EXPORT",INDEX(SourceTable[URL],Q332)="",INDEX(SourceTable[SHA256],Q332)=""),"EVIDENCE INCOMPLETE",IF(AND('Input_Meci'!H33="LIVE",INDEX(SourceTable[Retrieved_UTC],Q332)&gt;'Input_Meci'!G33),"POST CUTOFF","CLOSED")))))))</x:f>
      </x:c>
      <x:c r="S332" s="2" t="n">
        <x:f>IF(OR(B332="",F332=""),0,COUNTIFS('Istoric_Nativ'!$B$6:$B$405,E332,'Istoric_Nativ'!$C$6:$C$405,F332,'Istoric_Nativ'!$E$6:$E$405,G332,'Istoric_Nativ'!$D$6:$D$405,"&lt;"&amp;J332,'Istoric_Nativ'!$O$6:$O$405,"INVALID")+COUNTIFS('Istoric_Nativ'!$B$6:$B$405,E332,'Istoric_Nativ'!$C$6:$C$405,F332,'Istoric_Nativ'!$E$6:$E$405,G332,'Istoric_Nativ'!$O$6:$O$405,"INVALID",'Istoric_Nativ'!$D$6:$D$405,"*")+COUNTIFS('Istoric_Nativ'!$B$6:$B$405,E332,'Istoric_Nativ'!$C$6:$C$405,F332,'Istoric_Nativ'!$E$6:$E$405,G332,'Istoric_Nativ'!$D$6:$D$405,"&lt;"&amp;J332,'Istoric_Nativ'!$O$6:$O$405,"SOURCE CONFLICT")+COUNTIFS('Istoric_Nativ'!$B$6:$B$405,E332,'Istoric_Nativ'!$C$6:$C$405,F332,'Istoric_Nativ'!$F$6:$F$405,G332,'Istoric_Nativ'!$D$6:$D$405,"&lt;"&amp;J332,'Istoric_Nativ'!$O$6:$O$405,"INVALID")+COUNTIFS('Istoric_Nativ'!$B$6:$B$405,E332,'Istoric_Nativ'!$C$6:$C$405,F332,'Istoric_Nativ'!$F$6:$F$405,G332,'Istoric_Nativ'!$O$6:$O$405,"INVALID",'Istoric_Nativ'!$D$6:$D$405,"*")+COUNTIFS('Istoric_Nativ'!$B$6:$B$405,E332,'Istoric_Nativ'!$C$6:$C$405,F332,'Istoric_Nativ'!$F$6:$F$405,G332,'Istoric_Nativ'!$D$6:$D$405,"&lt;"&amp;J332,'Istoric_Nativ'!$O$6:$O$405,"SOURCE CONFLICT"))</x:f>
        <x:v>0</x:v>
      </x:c>
      <x:c r="T332" s="2" t="str">
        <x:f>IF(B332="","",IF(R332&lt;&gt;"CLOSED",R332,IF(S332&gt;0,"NATIVE INPUT ISSUE",IF(M332=0,"NO HISTORY",IF(M332&lt;P332,"SMALL SAMPLE","DERIVED")))))</x:f>
      </x:c>
      <x:c r="U332" s="2" t="str">
        <x:f>IF(B332="","","NativeTable; "&amp;E332&amp;"; "&amp;F332&amp;"; "&amp;G332&amp;"; "&amp;H332&amp;"; before "&amp;TEXT(J332,"yyyy-mm-dd")&amp;IF(I332="RECENT","; from "&amp;TEXT(L332,"yyyy-mm-dd"),""))</x:f>
      </x:c>
    </x:row>
    <x:row r="333" ht="21" customHeight="1">
      <x:c r="A333" s="2" t="n">
        <x:v>28</x:v>
      </x:c>
      <x:c r="B333" s="2" t="str">
        <x:f>IF('Input_Meci'!A33="","",'Input_Meci'!A33)</x:f>
      </x:c>
      <x:c r="C333" s="2" t="str">
        <x:v>A</x:v>
      </x:c>
      <x:c r="D333" s="2" t="str">
        <x:v>CURRENT</x:v>
      </x:c>
      <x:c r="E333" s="2" t="str">
        <x:f>IF(B333="","",'Input_Meci'!B33)</x:f>
      </x:c>
      <x:c r="F333" s="2" t="str">
        <x:f>IF(B333="","",IF('Input_Meci'!C33="","",'Input_Meci'!C33))</x:f>
      </x:c>
      <x:c r="G333" s="2" t="str">
        <x:f>IF(B333="","",'Input_Meci'!E33)</x:f>
      </x:c>
      <x:c r="H333" s="2" t="str">
        <x:v>ANY</x:v>
      </x:c>
      <x:c r="I333" s="2" t="str">
        <x:v>SEASON</x:v>
      </x:c>
      <x:c r="J333" s="9" t="n">
        <x:f>IF(AND(B333&lt;&gt;"",ISNUMBER('Input_Meci'!G33)),INT('Input_Meci'!G33),0)</x:f>
        <x:v>0</x:v>
      </x:c>
      <x:c r="K333" s="2" t="n">
        <x:f>IF(OR(B333="",F333=""),0,IF(H333="HOME",COUNTIFS('Istoric_Nativ'!$B$6:$B$405,E333,'Istoric_Nativ'!$C$6:$C$405,F333,'Istoric_Nativ'!$E$6:$E$405,G333,'Istoric_Nativ'!$D$6:$D$405,"&lt;"&amp;J333,'Istoric_Nativ'!$P$6:$P$405,1),IF(H333="AWAY",COUNTIFS('Istoric_Nativ'!$B$6:$B$405,E333,'Istoric_Nativ'!$C$6:$C$405,F333,'Istoric_Nativ'!$F$6:$F$405,G333,'Istoric_Nativ'!$D$6:$D$405,"&lt;"&amp;J333,'Istoric_Nativ'!$P$6:$P$405,1),COUNTIFS('Istoric_Nativ'!$B$6:$B$405,E333,'Istoric_Nativ'!$C$6:$C$405,F333,'Istoric_Nativ'!$E$6:$E$405,G333,'Istoric_Nativ'!$D$6:$D$405,"&lt;"&amp;J333,'Istoric_Nativ'!$P$6:$P$405,1)+COUNTIFS('Istoric_Nativ'!$B$6:$B$405,E333,'Istoric_Nativ'!$C$6:$C$405,F333,'Istoric_Nativ'!$F$6:$F$405,G333,'Istoric_Nativ'!$D$6:$D$405,"&lt;"&amp;J333,'Istoric_Nativ'!$P$6:$P$405,1))))</x:f>
        <x:v>0</x:v>
      </x:c>
      <x:c r="L333" s="17" t="n">
        <x:f>IF(AND(B333&lt;&gt;"",I333="RECENT",K333&gt;0),LARGE(_xlfn._xlws.FILTER('Istoric_Nativ'!$D$6:$D$405,('Istoric_Nativ'!$B$6:$B$405=E333)*('Istoric_Nativ'!$C$6:$C$405=F333)*('Istoric_Nativ'!$P$6:$P$405=1)*('Istoric_Nativ'!$D$6:$D$405&lt;J333)*((('Istoric_Nativ'!$E$6:$E$405=G333)+('Istoric_Nativ'!$F$6:$F$405=G333))&gt;0)),MIN('Config_v6'!$B$54,K333)),0)</x:f>
        <x:v>0</x:v>
      </x:c>
      <x:c r="M333" s="2" t="n">
        <x:f>IF(OR(B333="",F333=""),0,IF(H333="HOME",COUNTIFS('Istoric_Nativ'!$B$6:$B$405,E333,'Istoric_Nativ'!$C$6:$C$405,F333,'Istoric_Nativ'!$E$6:$E$405,G333,'Istoric_Nativ'!$D$6:$D$405,"&lt;"&amp;J333,'Istoric_Nativ'!$P$6:$P$405,1,'Istoric_Nativ'!$D$6:$D$405,"&gt;="&amp;L333),IF(H333="AWAY",COUNTIFS('Istoric_Nativ'!$B$6:$B$405,E333,'Istoric_Nativ'!$C$6:$C$405,F333,'Istoric_Nativ'!$F$6:$F$405,G333,'Istoric_Nativ'!$D$6:$D$405,"&lt;"&amp;J333,'Istoric_Nativ'!$P$6:$P$405,1,'Istoric_Nativ'!$D$6:$D$405,"&gt;="&amp;L333),COUNTIFS('Istoric_Nativ'!$B$6:$B$405,E333,'Istoric_Nativ'!$C$6:$C$405,F333,'Istoric_Nativ'!$E$6:$E$405,G333,'Istoric_Nativ'!$D$6:$D$405,"&lt;"&amp;J333,'Istoric_Nativ'!$P$6:$P$405,1,'Istoric_Nativ'!$D$6:$D$405,"&gt;="&amp;L333)+COUNTIFS('Istoric_Nativ'!$B$6:$B$405,E333,'Istoric_Nativ'!$C$6:$C$405,F333,'Istoric_Nativ'!$F$6:$F$405,G333,'Istoric_Nativ'!$D$6:$D$405,"&lt;"&amp;J333,'Istoric_Nativ'!$P$6:$P$405,1,'Istoric_Nativ'!$D$6:$D$405,"&gt;="&amp;L333))))</x:f>
        <x:v>0</x:v>
      </x:c>
      <x:c r="N333" s="11" t="str">
        <x:f>IF(M333=0,"",IF(H333="HOME",SUMIFS('Istoric_Nativ'!$G$6:$G$405,'Istoric_Nativ'!$B$6:$B$405,E333,'Istoric_Nativ'!$C$6:$C$405,F333,'Istoric_Nativ'!$E$6:$E$405,G333,'Istoric_Nativ'!$D$6:$D$405,"&lt;"&amp;J333,'Istoric_Nativ'!$P$6:$P$405,1,'Istoric_Nativ'!$D$6:$D$405,"&gt;="&amp;L333),IF(H333="AWAY",SUMIFS('Istoric_Nativ'!$H$6:$H$405,'Istoric_Nativ'!$B$6:$B$405,E333,'Istoric_Nativ'!$C$6:$C$405,F333,'Istoric_Nativ'!$F$6:$F$405,G333,'Istoric_Nativ'!$D$6:$D$405,"&lt;"&amp;J333,'Istoric_Nativ'!$P$6:$P$405,1,'Istoric_Nativ'!$D$6:$D$405,"&gt;="&amp;L333),SUMIFS('Istoric_Nativ'!$G$6:$G$405,'Istoric_Nativ'!$B$6:$B$405,E333,'Istoric_Nativ'!$C$6:$C$405,F333,'Istoric_Nativ'!$E$6:$E$405,G333,'Istoric_Nativ'!$D$6:$D$405,"&lt;"&amp;J333,'Istoric_Nativ'!$P$6:$P$405,1,'Istoric_Nativ'!$D$6:$D$405,"&gt;="&amp;L333)+SUMIFS('Istoric_Nativ'!$H$6:$H$405,'Istoric_Nativ'!$B$6:$B$405,E333,'Istoric_Nativ'!$C$6:$C$405,F333,'Istoric_Nativ'!$F$6:$F$405,G333,'Istoric_Nativ'!$D$6:$D$405,"&lt;"&amp;J333,'Istoric_Nativ'!$P$6:$P$405,1,'Istoric_Nativ'!$D$6:$D$405,"&gt;="&amp;L333)))/M333)</x:f>
      </x:c>
      <x:c r="O333" s="11" t="str">
        <x:f>IF(M333=0,"",IF(H333="HOME",SUMIFS('Istoric_Nativ'!$H$6:$H$405,'Istoric_Nativ'!$B$6:$B$405,E333,'Istoric_Nativ'!$C$6:$C$405,F333,'Istoric_Nativ'!$E$6:$E$405,G333,'Istoric_Nativ'!$D$6:$D$405,"&lt;"&amp;J333,'Istoric_Nativ'!$P$6:$P$405,1,'Istoric_Nativ'!$D$6:$D$405,"&gt;="&amp;L333),IF(H333="AWAY",SUMIFS('Istoric_Nativ'!$G$6:$G$405,'Istoric_Nativ'!$B$6:$B$405,E333,'Istoric_Nativ'!$C$6:$C$405,F333,'Istoric_Nativ'!$F$6:$F$405,G333,'Istoric_Nativ'!$D$6:$D$405,"&lt;"&amp;J333,'Istoric_Nativ'!$P$6:$P$405,1,'Istoric_Nativ'!$D$6:$D$405,"&gt;="&amp;L333),SUMIFS('Istoric_Nativ'!$H$6:$H$405,'Istoric_Nativ'!$B$6:$B$405,E333,'Istoric_Nativ'!$C$6:$C$405,F333,'Istoric_Nativ'!$E$6:$E$405,G333,'Istoric_Nativ'!$D$6:$D$405,"&lt;"&amp;J333,'Istoric_Nativ'!$P$6:$P$405,1,'Istoric_Nativ'!$D$6:$D$405,"&gt;="&amp;L333)+SUMIFS('Istoric_Nativ'!$G$6:$G$405,'Istoric_Nativ'!$B$6:$B$405,E333,'Istoric_Nativ'!$C$6:$C$405,F333,'Istoric_Nativ'!$F$6:$F$405,G333,'Istoric_Nativ'!$D$6:$D$405,"&lt;"&amp;J333,'Istoric_Nativ'!$P$6:$P$405,1,'Istoric_Nativ'!$D$6:$D$405,"&gt;="&amp;L333)))/M333)</x:f>
      </x:c>
      <x:c r="P333" s="2" t="n">
        <x:f>'Config_v6'!$B$7</x:f>
        <x:v>10</x:v>
      </x:c>
      <x:c r="Q333" s="2" t="n">
        <x:f>IF(OR(B333="",F333=""),0,IFERROR(MATCH(E333&amp;"|"&amp;F333,SourceTable[Source_Key],0),0))</x:f>
        <x:v>0</x:v>
      </x:c>
      <x:c r="R333" s="2" t="str">
        <x:f>IF(B333="","",IF(F333="","UNUSED",IF(Q333=0,"NOT CHECKED",IF(COUNTIF(SourceTable[Source_Key],E333&amp;"|"&amp;F333)&lt;&gt;1,"SOURCE CONFLICT",IF(NOT(OR(INDEX(SourceTable[Status],MAX(1,Q333))="IMPORTED",INDEX(SourceTable[Status],MAX(1,Q333))="PARTIAL",INDEX(SourceTable[Status],MAX(1,Q333))="SOURCE CONFLICT")),"ACCESS BLOCKED",IF(OR(INDEX(SourceTable[Coverage],Q333)&lt;&gt;"FULL SEASON EXPORT",INDEX(SourceTable[URL],Q333)="",INDEX(SourceTable[SHA256],Q333)=""),"EVIDENCE INCOMPLETE",IF(AND('Input_Meci'!H33="LIVE",INDEX(SourceTable[Retrieved_UTC],Q333)&gt;'Input_Meci'!G33),"POST CUTOFF","CLOSED")))))))</x:f>
      </x:c>
      <x:c r="S333" s="2" t="n">
        <x:f>IF(OR(B333="",F333=""),0,COUNTIFS('Istoric_Nativ'!$B$6:$B$405,E333,'Istoric_Nativ'!$C$6:$C$405,F333,'Istoric_Nativ'!$E$6:$E$405,G333,'Istoric_Nativ'!$D$6:$D$405,"&lt;"&amp;J333,'Istoric_Nativ'!$O$6:$O$405,"INVALID")+COUNTIFS('Istoric_Nativ'!$B$6:$B$405,E333,'Istoric_Nativ'!$C$6:$C$405,F333,'Istoric_Nativ'!$E$6:$E$405,G333,'Istoric_Nativ'!$O$6:$O$405,"INVALID",'Istoric_Nativ'!$D$6:$D$405,"*")+COUNTIFS('Istoric_Nativ'!$B$6:$B$405,E333,'Istoric_Nativ'!$C$6:$C$405,F333,'Istoric_Nativ'!$E$6:$E$405,G333,'Istoric_Nativ'!$D$6:$D$405,"&lt;"&amp;J333,'Istoric_Nativ'!$O$6:$O$405,"SOURCE CONFLICT")+COUNTIFS('Istoric_Nativ'!$B$6:$B$405,E333,'Istoric_Nativ'!$C$6:$C$405,F333,'Istoric_Nativ'!$F$6:$F$405,G333,'Istoric_Nativ'!$D$6:$D$405,"&lt;"&amp;J333,'Istoric_Nativ'!$O$6:$O$405,"INVALID")+COUNTIFS('Istoric_Nativ'!$B$6:$B$405,E333,'Istoric_Nativ'!$C$6:$C$405,F333,'Istoric_Nativ'!$F$6:$F$405,G333,'Istoric_Nativ'!$O$6:$O$405,"INVALID",'Istoric_Nativ'!$D$6:$D$405,"*")+COUNTIFS('Istoric_Nativ'!$B$6:$B$405,E333,'Istoric_Nativ'!$C$6:$C$405,F333,'Istoric_Nativ'!$F$6:$F$405,G333,'Istoric_Nativ'!$D$6:$D$405,"&lt;"&amp;J333,'Istoric_Nativ'!$O$6:$O$405,"SOURCE CONFLICT"))</x:f>
        <x:v>0</x:v>
      </x:c>
      <x:c r="T333" s="2" t="str">
        <x:f>IF(B333="","",IF(R333&lt;&gt;"CLOSED",R333,IF(S333&gt;0,"NATIVE INPUT ISSUE",IF(M333=0,"NO HISTORY",IF(M333&lt;P333,"SMALL SAMPLE","DERIVED")))))</x:f>
      </x:c>
      <x:c r="U333" s="2" t="str">
        <x:f>IF(B333="","","NativeTable; "&amp;E333&amp;"; "&amp;F333&amp;"; "&amp;G333&amp;"; "&amp;H333&amp;"; before "&amp;TEXT(J333,"yyyy-mm-dd")&amp;IF(I333="RECENT","; from "&amp;TEXT(L333,"yyyy-mm-dd"),""))</x:f>
      </x:c>
    </x:row>
    <x:row r="334" ht="21" customHeight="1">
      <x:c r="A334" s="2" t="n">
        <x:v>28</x:v>
      </x:c>
      <x:c r="B334" s="2" t="str">
        <x:f>IF('Input_Meci'!A33="","",'Input_Meci'!A33)</x:f>
      </x:c>
      <x:c r="C334" s="2" t="str">
        <x:v>A</x:v>
      </x:c>
      <x:c r="D334" s="2" t="str">
        <x:v>CURRENT</x:v>
      </x:c>
      <x:c r="E334" s="2" t="str">
        <x:f>IF(B334="","",'Input_Meci'!B33)</x:f>
      </x:c>
      <x:c r="F334" s="2" t="str">
        <x:f>IF(B334="","",IF('Input_Meci'!C33="","",'Input_Meci'!C33))</x:f>
      </x:c>
      <x:c r="G334" s="2" t="str">
        <x:f>IF(B334="","",'Input_Meci'!E33)</x:f>
      </x:c>
      <x:c r="H334" s="2" t="str">
        <x:v>AWAY</x:v>
      </x:c>
      <x:c r="I334" s="2" t="str">
        <x:v>HA</x:v>
      </x:c>
      <x:c r="J334" s="9" t="n">
        <x:f>IF(AND(B334&lt;&gt;"",ISNUMBER('Input_Meci'!G33)),INT('Input_Meci'!G33),0)</x:f>
        <x:v>0</x:v>
      </x:c>
      <x:c r="K334" s="2" t="n">
        <x:f>IF(OR(B334="",F334=""),0,IF(H334="HOME",COUNTIFS('Istoric_Nativ'!$B$6:$B$405,E334,'Istoric_Nativ'!$C$6:$C$405,F334,'Istoric_Nativ'!$E$6:$E$405,G334,'Istoric_Nativ'!$D$6:$D$405,"&lt;"&amp;J334,'Istoric_Nativ'!$P$6:$P$405,1),IF(H334="AWAY",COUNTIFS('Istoric_Nativ'!$B$6:$B$405,E334,'Istoric_Nativ'!$C$6:$C$405,F334,'Istoric_Nativ'!$F$6:$F$405,G334,'Istoric_Nativ'!$D$6:$D$405,"&lt;"&amp;J334,'Istoric_Nativ'!$P$6:$P$405,1),COUNTIFS('Istoric_Nativ'!$B$6:$B$405,E334,'Istoric_Nativ'!$C$6:$C$405,F334,'Istoric_Nativ'!$E$6:$E$405,G334,'Istoric_Nativ'!$D$6:$D$405,"&lt;"&amp;J334,'Istoric_Nativ'!$P$6:$P$405,1)+COUNTIFS('Istoric_Nativ'!$B$6:$B$405,E334,'Istoric_Nativ'!$C$6:$C$405,F334,'Istoric_Nativ'!$F$6:$F$405,G334,'Istoric_Nativ'!$D$6:$D$405,"&lt;"&amp;J334,'Istoric_Nativ'!$P$6:$P$405,1))))</x:f>
        <x:v>0</x:v>
      </x:c>
      <x:c r="L334" s="17" t="n">
        <x:f>IF(AND(B334&lt;&gt;"",I334="RECENT",K334&gt;0),LARGE(_xlfn._xlws.FILTER('Istoric_Nativ'!$D$6:$D$405,('Istoric_Nativ'!$B$6:$B$405=E334)*('Istoric_Nativ'!$C$6:$C$405=F334)*('Istoric_Nativ'!$P$6:$P$405=1)*('Istoric_Nativ'!$D$6:$D$405&lt;J334)*((('Istoric_Nativ'!$E$6:$E$405=G334)+('Istoric_Nativ'!$F$6:$F$405=G334))&gt;0)),MIN('Config_v6'!$B$54,K334)),0)</x:f>
        <x:v>0</x:v>
      </x:c>
      <x:c r="M334" s="2" t="n">
        <x:f>IF(OR(B334="",F334=""),0,IF(H334="HOME",COUNTIFS('Istoric_Nativ'!$B$6:$B$405,E334,'Istoric_Nativ'!$C$6:$C$405,F334,'Istoric_Nativ'!$E$6:$E$405,G334,'Istoric_Nativ'!$D$6:$D$405,"&lt;"&amp;J334,'Istoric_Nativ'!$P$6:$P$405,1,'Istoric_Nativ'!$D$6:$D$405,"&gt;="&amp;L334),IF(H334="AWAY",COUNTIFS('Istoric_Nativ'!$B$6:$B$405,E334,'Istoric_Nativ'!$C$6:$C$405,F334,'Istoric_Nativ'!$F$6:$F$405,G334,'Istoric_Nativ'!$D$6:$D$405,"&lt;"&amp;J334,'Istoric_Nativ'!$P$6:$P$405,1,'Istoric_Nativ'!$D$6:$D$405,"&gt;="&amp;L334),COUNTIFS('Istoric_Nativ'!$B$6:$B$405,E334,'Istoric_Nativ'!$C$6:$C$405,F334,'Istoric_Nativ'!$E$6:$E$405,G334,'Istoric_Nativ'!$D$6:$D$405,"&lt;"&amp;J334,'Istoric_Nativ'!$P$6:$P$405,1,'Istoric_Nativ'!$D$6:$D$405,"&gt;="&amp;L334)+COUNTIFS('Istoric_Nativ'!$B$6:$B$405,E334,'Istoric_Nativ'!$C$6:$C$405,F334,'Istoric_Nativ'!$F$6:$F$405,G334,'Istoric_Nativ'!$D$6:$D$405,"&lt;"&amp;J334,'Istoric_Nativ'!$P$6:$P$405,1,'Istoric_Nativ'!$D$6:$D$405,"&gt;="&amp;L334))))</x:f>
        <x:v>0</x:v>
      </x:c>
      <x:c r="N334" s="11" t="str">
        <x:f>IF(M334=0,"",IF(H334="HOME",SUMIFS('Istoric_Nativ'!$G$6:$G$405,'Istoric_Nativ'!$B$6:$B$405,E334,'Istoric_Nativ'!$C$6:$C$405,F334,'Istoric_Nativ'!$E$6:$E$405,G334,'Istoric_Nativ'!$D$6:$D$405,"&lt;"&amp;J334,'Istoric_Nativ'!$P$6:$P$405,1,'Istoric_Nativ'!$D$6:$D$405,"&gt;="&amp;L334),IF(H334="AWAY",SUMIFS('Istoric_Nativ'!$H$6:$H$405,'Istoric_Nativ'!$B$6:$B$405,E334,'Istoric_Nativ'!$C$6:$C$405,F334,'Istoric_Nativ'!$F$6:$F$405,G334,'Istoric_Nativ'!$D$6:$D$405,"&lt;"&amp;J334,'Istoric_Nativ'!$P$6:$P$405,1,'Istoric_Nativ'!$D$6:$D$405,"&gt;="&amp;L334),SUMIFS('Istoric_Nativ'!$G$6:$G$405,'Istoric_Nativ'!$B$6:$B$405,E334,'Istoric_Nativ'!$C$6:$C$405,F334,'Istoric_Nativ'!$E$6:$E$405,G334,'Istoric_Nativ'!$D$6:$D$405,"&lt;"&amp;J334,'Istoric_Nativ'!$P$6:$P$405,1,'Istoric_Nativ'!$D$6:$D$405,"&gt;="&amp;L334)+SUMIFS('Istoric_Nativ'!$H$6:$H$405,'Istoric_Nativ'!$B$6:$B$405,E334,'Istoric_Nativ'!$C$6:$C$405,F334,'Istoric_Nativ'!$F$6:$F$405,G334,'Istoric_Nativ'!$D$6:$D$405,"&lt;"&amp;J334,'Istoric_Nativ'!$P$6:$P$405,1,'Istoric_Nativ'!$D$6:$D$405,"&gt;="&amp;L334)))/M334)</x:f>
      </x:c>
      <x:c r="O334" s="11" t="str">
        <x:f>IF(M334=0,"",IF(H334="HOME",SUMIFS('Istoric_Nativ'!$H$6:$H$405,'Istoric_Nativ'!$B$6:$B$405,E334,'Istoric_Nativ'!$C$6:$C$405,F334,'Istoric_Nativ'!$E$6:$E$405,G334,'Istoric_Nativ'!$D$6:$D$405,"&lt;"&amp;J334,'Istoric_Nativ'!$P$6:$P$405,1,'Istoric_Nativ'!$D$6:$D$405,"&gt;="&amp;L334),IF(H334="AWAY",SUMIFS('Istoric_Nativ'!$G$6:$G$405,'Istoric_Nativ'!$B$6:$B$405,E334,'Istoric_Nativ'!$C$6:$C$405,F334,'Istoric_Nativ'!$F$6:$F$405,G334,'Istoric_Nativ'!$D$6:$D$405,"&lt;"&amp;J334,'Istoric_Nativ'!$P$6:$P$405,1,'Istoric_Nativ'!$D$6:$D$405,"&gt;="&amp;L334),SUMIFS('Istoric_Nativ'!$H$6:$H$405,'Istoric_Nativ'!$B$6:$B$405,E334,'Istoric_Nativ'!$C$6:$C$405,F334,'Istoric_Nativ'!$E$6:$E$405,G334,'Istoric_Nativ'!$D$6:$D$405,"&lt;"&amp;J334,'Istoric_Nativ'!$P$6:$P$405,1,'Istoric_Nativ'!$D$6:$D$405,"&gt;="&amp;L334)+SUMIFS('Istoric_Nativ'!$G$6:$G$405,'Istoric_Nativ'!$B$6:$B$405,E334,'Istoric_Nativ'!$C$6:$C$405,F334,'Istoric_Nativ'!$F$6:$F$405,G334,'Istoric_Nativ'!$D$6:$D$405,"&lt;"&amp;J334,'Istoric_Nativ'!$P$6:$P$405,1,'Istoric_Nativ'!$D$6:$D$405,"&gt;="&amp;L334)))/M334)</x:f>
      </x:c>
      <x:c r="P334" s="2" t="n">
        <x:f>'Config_v6'!$B$8</x:f>
        <x:v>5</x:v>
      </x:c>
      <x:c r="Q334" s="2" t="n">
        <x:f>IF(OR(B334="",F334=""),0,IFERROR(MATCH(E334&amp;"|"&amp;F334,SourceTable[Source_Key],0),0))</x:f>
        <x:v>0</x:v>
      </x:c>
      <x:c r="R334" s="2" t="str">
        <x:f>IF(B334="","",IF(F334="","UNUSED",IF(Q334=0,"NOT CHECKED",IF(COUNTIF(SourceTable[Source_Key],E334&amp;"|"&amp;F334)&lt;&gt;1,"SOURCE CONFLICT",IF(NOT(OR(INDEX(SourceTable[Status],MAX(1,Q334))="IMPORTED",INDEX(SourceTable[Status],MAX(1,Q334))="PARTIAL",INDEX(SourceTable[Status],MAX(1,Q334))="SOURCE CONFLICT")),"ACCESS BLOCKED",IF(OR(INDEX(SourceTable[Coverage],Q334)&lt;&gt;"FULL SEASON EXPORT",INDEX(SourceTable[URL],Q334)="",INDEX(SourceTable[SHA256],Q334)=""),"EVIDENCE INCOMPLETE",IF(AND('Input_Meci'!H33="LIVE",INDEX(SourceTable[Retrieved_UTC],Q334)&gt;'Input_Meci'!G33),"POST CUTOFF","CLOSED")))))))</x:f>
      </x:c>
      <x:c r="S334" s="2" t="n">
        <x:f>IF(OR(B334="",F334=""),0,COUNTIFS('Istoric_Nativ'!$B$6:$B$405,E334,'Istoric_Nativ'!$C$6:$C$405,F334,'Istoric_Nativ'!$E$6:$E$405,G334,'Istoric_Nativ'!$D$6:$D$405,"&lt;"&amp;J334,'Istoric_Nativ'!$O$6:$O$405,"INVALID")+COUNTIFS('Istoric_Nativ'!$B$6:$B$405,E334,'Istoric_Nativ'!$C$6:$C$405,F334,'Istoric_Nativ'!$E$6:$E$405,G334,'Istoric_Nativ'!$O$6:$O$405,"INVALID",'Istoric_Nativ'!$D$6:$D$405,"*")+COUNTIFS('Istoric_Nativ'!$B$6:$B$405,E334,'Istoric_Nativ'!$C$6:$C$405,F334,'Istoric_Nativ'!$E$6:$E$405,G334,'Istoric_Nativ'!$D$6:$D$405,"&lt;"&amp;J334,'Istoric_Nativ'!$O$6:$O$405,"SOURCE CONFLICT")+COUNTIFS('Istoric_Nativ'!$B$6:$B$405,E334,'Istoric_Nativ'!$C$6:$C$405,F334,'Istoric_Nativ'!$F$6:$F$405,G334,'Istoric_Nativ'!$D$6:$D$405,"&lt;"&amp;J334,'Istoric_Nativ'!$O$6:$O$405,"INVALID")+COUNTIFS('Istoric_Nativ'!$B$6:$B$405,E334,'Istoric_Nativ'!$C$6:$C$405,F334,'Istoric_Nativ'!$F$6:$F$405,G334,'Istoric_Nativ'!$O$6:$O$405,"INVALID",'Istoric_Nativ'!$D$6:$D$405,"*")+COUNTIFS('Istoric_Nativ'!$B$6:$B$405,E334,'Istoric_Nativ'!$C$6:$C$405,F334,'Istoric_Nativ'!$F$6:$F$405,G334,'Istoric_Nativ'!$D$6:$D$405,"&lt;"&amp;J334,'Istoric_Nativ'!$O$6:$O$405,"SOURCE CONFLICT"))</x:f>
        <x:v>0</x:v>
      </x:c>
      <x:c r="T334" s="2" t="str">
        <x:f>IF(B334="","",IF(R334&lt;&gt;"CLOSED",R334,IF(S334&gt;0,"NATIVE INPUT ISSUE",IF(M334=0,"NO HISTORY",IF(M334&lt;P334,"SMALL SAMPLE","DERIVED")))))</x:f>
      </x:c>
      <x:c r="U334" s="2" t="str">
        <x:f>IF(B334="","","NativeTable; "&amp;E334&amp;"; "&amp;F334&amp;"; "&amp;G334&amp;"; "&amp;H334&amp;"; before "&amp;TEXT(J334,"yyyy-mm-dd")&amp;IF(I334="RECENT","; from "&amp;TEXT(L334,"yyyy-mm-dd"),""))</x:f>
      </x:c>
    </x:row>
    <x:row r="335" ht="21" customHeight="1">
      <x:c r="A335" s="2" t="n">
        <x:v>28</x:v>
      </x:c>
      <x:c r="B335" s="2" t="str">
        <x:f>IF('Input_Meci'!A33="","",'Input_Meci'!A33)</x:f>
      </x:c>
      <x:c r="C335" s="2" t="str">
        <x:v>A</x:v>
      </x:c>
      <x:c r="D335" s="2" t="str">
        <x:v>CURRENT</x:v>
      </x:c>
      <x:c r="E335" s="2" t="str">
        <x:f>IF(B335="","",'Input_Meci'!B33)</x:f>
      </x:c>
      <x:c r="F335" s="2" t="str">
        <x:f>IF(B335="","",IF('Input_Meci'!C33="","",'Input_Meci'!C33))</x:f>
      </x:c>
      <x:c r="G335" s="2" t="str">
        <x:f>IF(B335="","",'Input_Meci'!E33)</x:f>
      </x:c>
      <x:c r="H335" s="2" t="str">
        <x:v>ANY</x:v>
      </x:c>
      <x:c r="I335" s="2" t="str">
        <x:v>RECENT</x:v>
      </x:c>
      <x:c r="J335" s="9" t="n">
        <x:f>IF(AND(B335&lt;&gt;"",ISNUMBER('Input_Meci'!G33)),INT('Input_Meci'!G33),0)</x:f>
        <x:v>0</x:v>
      </x:c>
      <x:c r="K335" s="2" t="n">
        <x:f>IF(OR(B335="",F335=""),0,IF(H335="HOME",COUNTIFS('Istoric_Nativ'!$B$6:$B$405,E335,'Istoric_Nativ'!$C$6:$C$405,F335,'Istoric_Nativ'!$E$6:$E$405,G335,'Istoric_Nativ'!$D$6:$D$405,"&lt;"&amp;J335,'Istoric_Nativ'!$P$6:$P$405,1),IF(H335="AWAY",COUNTIFS('Istoric_Nativ'!$B$6:$B$405,E335,'Istoric_Nativ'!$C$6:$C$405,F335,'Istoric_Nativ'!$F$6:$F$405,G335,'Istoric_Nativ'!$D$6:$D$405,"&lt;"&amp;J335,'Istoric_Nativ'!$P$6:$P$405,1),COUNTIFS('Istoric_Nativ'!$B$6:$B$405,E335,'Istoric_Nativ'!$C$6:$C$405,F335,'Istoric_Nativ'!$E$6:$E$405,G335,'Istoric_Nativ'!$D$6:$D$405,"&lt;"&amp;J335,'Istoric_Nativ'!$P$6:$P$405,1)+COUNTIFS('Istoric_Nativ'!$B$6:$B$405,E335,'Istoric_Nativ'!$C$6:$C$405,F335,'Istoric_Nativ'!$F$6:$F$405,G335,'Istoric_Nativ'!$D$6:$D$405,"&lt;"&amp;J335,'Istoric_Nativ'!$P$6:$P$405,1))))</x:f>
        <x:v>0</x:v>
      </x:c>
      <x:c r="L335" s="17" t="n">
        <x:f>IF(AND(B335&lt;&gt;"",I335="RECENT",K335&gt;0),LARGE(_xlfn._xlws.FILTER('Istoric_Nativ'!$D$6:$D$405,('Istoric_Nativ'!$B$6:$B$405=E335)*('Istoric_Nativ'!$C$6:$C$405=F335)*('Istoric_Nativ'!$P$6:$P$405=1)*('Istoric_Nativ'!$D$6:$D$405&lt;J335)*((('Istoric_Nativ'!$E$6:$E$405=G335)+('Istoric_Nativ'!$F$6:$F$405=G335))&gt;0)),MIN('Config_v6'!$B$54,K335)),0)</x:f>
        <x:v>0</x:v>
      </x:c>
      <x:c r="M335" s="2" t="n">
        <x:f>IF(OR(B335="",F335=""),0,IF(H335="HOME",COUNTIFS('Istoric_Nativ'!$B$6:$B$405,E335,'Istoric_Nativ'!$C$6:$C$405,F335,'Istoric_Nativ'!$E$6:$E$405,G335,'Istoric_Nativ'!$D$6:$D$405,"&lt;"&amp;J335,'Istoric_Nativ'!$P$6:$P$405,1,'Istoric_Nativ'!$D$6:$D$405,"&gt;="&amp;L335),IF(H335="AWAY",COUNTIFS('Istoric_Nativ'!$B$6:$B$405,E335,'Istoric_Nativ'!$C$6:$C$405,F335,'Istoric_Nativ'!$F$6:$F$405,G335,'Istoric_Nativ'!$D$6:$D$405,"&lt;"&amp;J335,'Istoric_Nativ'!$P$6:$P$405,1,'Istoric_Nativ'!$D$6:$D$405,"&gt;="&amp;L335),COUNTIFS('Istoric_Nativ'!$B$6:$B$405,E335,'Istoric_Nativ'!$C$6:$C$405,F335,'Istoric_Nativ'!$E$6:$E$405,G335,'Istoric_Nativ'!$D$6:$D$405,"&lt;"&amp;J335,'Istoric_Nativ'!$P$6:$P$405,1,'Istoric_Nativ'!$D$6:$D$405,"&gt;="&amp;L335)+COUNTIFS('Istoric_Nativ'!$B$6:$B$405,E335,'Istoric_Nativ'!$C$6:$C$405,F335,'Istoric_Nativ'!$F$6:$F$405,G335,'Istoric_Nativ'!$D$6:$D$405,"&lt;"&amp;J335,'Istoric_Nativ'!$P$6:$P$405,1,'Istoric_Nativ'!$D$6:$D$405,"&gt;="&amp;L335))))</x:f>
        <x:v>0</x:v>
      </x:c>
      <x:c r="N335" s="11" t="str">
        <x:f>IF(M335=0,"",IF(H335="HOME",SUMIFS('Istoric_Nativ'!$G$6:$G$405,'Istoric_Nativ'!$B$6:$B$405,E335,'Istoric_Nativ'!$C$6:$C$405,F335,'Istoric_Nativ'!$E$6:$E$405,G335,'Istoric_Nativ'!$D$6:$D$405,"&lt;"&amp;J335,'Istoric_Nativ'!$P$6:$P$405,1,'Istoric_Nativ'!$D$6:$D$405,"&gt;="&amp;L335),IF(H335="AWAY",SUMIFS('Istoric_Nativ'!$H$6:$H$405,'Istoric_Nativ'!$B$6:$B$405,E335,'Istoric_Nativ'!$C$6:$C$405,F335,'Istoric_Nativ'!$F$6:$F$405,G335,'Istoric_Nativ'!$D$6:$D$405,"&lt;"&amp;J335,'Istoric_Nativ'!$P$6:$P$405,1,'Istoric_Nativ'!$D$6:$D$405,"&gt;="&amp;L335),SUMIFS('Istoric_Nativ'!$G$6:$G$405,'Istoric_Nativ'!$B$6:$B$405,E335,'Istoric_Nativ'!$C$6:$C$405,F335,'Istoric_Nativ'!$E$6:$E$405,G335,'Istoric_Nativ'!$D$6:$D$405,"&lt;"&amp;J335,'Istoric_Nativ'!$P$6:$P$405,1,'Istoric_Nativ'!$D$6:$D$405,"&gt;="&amp;L335)+SUMIFS('Istoric_Nativ'!$H$6:$H$405,'Istoric_Nativ'!$B$6:$B$405,E335,'Istoric_Nativ'!$C$6:$C$405,F335,'Istoric_Nativ'!$F$6:$F$405,G335,'Istoric_Nativ'!$D$6:$D$405,"&lt;"&amp;J335,'Istoric_Nativ'!$P$6:$P$405,1,'Istoric_Nativ'!$D$6:$D$405,"&gt;="&amp;L335)))/M335)</x:f>
      </x:c>
      <x:c r="O335" s="11" t="str">
        <x:f>IF(M335=0,"",IF(H335="HOME",SUMIFS('Istoric_Nativ'!$H$6:$H$405,'Istoric_Nativ'!$B$6:$B$405,E335,'Istoric_Nativ'!$C$6:$C$405,F335,'Istoric_Nativ'!$E$6:$E$405,G335,'Istoric_Nativ'!$D$6:$D$405,"&lt;"&amp;J335,'Istoric_Nativ'!$P$6:$P$405,1,'Istoric_Nativ'!$D$6:$D$405,"&gt;="&amp;L335),IF(H335="AWAY",SUMIFS('Istoric_Nativ'!$G$6:$G$405,'Istoric_Nativ'!$B$6:$B$405,E335,'Istoric_Nativ'!$C$6:$C$405,F335,'Istoric_Nativ'!$F$6:$F$405,G335,'Istoric_Nativ'!$D$6:$D$405,"&lt;"&amp;J335,'Istoric_Nativ'!$P$6:$P$405,1,'Istoric_Nativ'!$D$6:$D$405,"&gt;="&amp;L335),SUMIFS('Istoric_Nativ'!$H$6:$H$405,'Istoric_Nativ'!$B$6:$B$405,E335,'Istoric_Nativ'!$C$6:$C$405,F335,'Istoric_Nativ'!$E$6:$E$405,G335,'Istoric_Nativ'!$D$6:$D$405,"&lt;"&amp;J335,'Istoric_Nativ'!$P$6:$P$405,1,'Istoric_Nativ'!$D$6:$D$405,"&gt;="&amp;L335)+SUMIFS('Istoric_Nativ'!$G$6:$G$405,'Istoric_Nativ'!$B$6:$B$405,E335,'Istoric_Nativ'!$C$6:$C$405,F335,'Istoric_Nativ'!$F$6:$F$405,G335,'Istoric_Nativ'!$D$6:$D$405,"&lt;"&amp;J335,'Istoric_Nativ'!$P$6:$P$405,1,'Istoric_Nativ'!$D$6:$D$405,"&gt;="&amp;L335)))/M335)</x:f>
      </x:c>
      <x:c r="P335" s="2" t="n">
        <x:f>'Config_v6'!$B$9</x:f>
        <x:v>3</x:v>
      </x:c>
      <x:c r="Q335" s="2" t="n">
        <x:f>IF(OR(B335="",F335=""),0,IFERROR(MATCH(E335&amp;"|"&amp;F335,SourceTable[Source_Key],0),0))</x:f>
        <x:v>0</x:v>
      </x:c>
      <x:c r="R335" s="2" t="str">
        <x:f>IF(B335="","",IF(F335="","UNUSED",IF(Q335=0,"NOT CHECKED",IF(COUNTIF(SourceTable[Source_Key],E335&amp;"|"&amp;F335)&lt;&gt;1,"SOURCE CONFLICT",IF(NOT(OR(INDEX(SourceTable[Status],MAX(1,Q335))="IMPORTED",INDEX(SourceTable[Status],MAX(1,Q335))="PARTIAL",INDEX(SourceTable[Status],MAX(1,Q335))="SOURCE CONFLICT")),"ACCESS BLOCKED",IF(OR(INDEX(SourceTable[Coverage],Q335)&lt;&gt;"FULL SEASON EXPORT",INDEX(SourceTable[URL],Q335)="",INDEX(SourceTable[SHA256],Q335)=""),"EVIDENCE INCOMPLETE",IF(AND('Input_Meci'!H33="LIVE",INDEX(SourceTable[Retrieved_UTC],Q335)&gt;'Input_Meci'!G33),"POST CUTOFF","CLOSED")))))))</x:f>
      </x:c>
      <x:c r="S335" s="2" t="n">
        <x:f>IF(OR(B335="",F335=""),0,COUNTIFS('Istoric_Nativ'!$B$6:$B$405,E335,'Istoric_Nativ'!$C$6:$C$405,F335,'Istoric_Nativ'!$E$6:$E$405,G335,'Istoric_Nativ'!$D$6:$D$405,"&lt;"&amp;J335,'Istoric_Nativ'!$O$6:$O$405,"INVALID")+COUNTIFS('Istoric_Nativ'!$B$6:$B$405,E335,'Istoric_Nativ'!$C$6:$C$405,F335,'Istoric_Nativ'!$E$6:$E$405,G335,'Istoric_Nativ'!$O$6:$O$405,"INVALID",'Istoric_Nativ'!$D$6:$D$405,"*")+COUNTIFS('Istoric_Nativ'!$B$6:$B$405,E335,'Istoric_Nativ'!$C$6:$C$405,F335,'Istoric_Nativ'!$E$6:$E$405,G335,'Istoric_Nativ'!$D$6:$D$405,"&lt;"&amp;J335,'Istoric_Nativ'!$O$6:$O$405,"SOURCE CONFLICT")+COUNTIFS('Istoric_Nativ'!$B$6:$B$405,E335,'Istoric_Nativ'!$C$6:$C$405,F335,'Istoric_Nativ'!$F$6:$F$405,G335,'Istoric_Nativ'!$D$6:$D$405,"&lt;"&amp;J335,'Istoric_Nativ'!$O$6:$O$405,"INVALID")+COUNTIFS('Istoric_Nativ'!$B$6:$B$405,E335,'Istoric_Nativ'!$C$6:$C$405,F335,'Istoric_Nativ'!$F$6:$F$405,G335,'Istoric_Nativ'!$O$6:$O$405,"INVALID",'Istoric_Nativ'!$D$6:$D$405,"*")+COUNTIFS('Istoric_Nativ'!$B$6:$B$405,E335,'Istoric_Nativ'!$C$6:$C$405,F335,'Istoric_Nativ'!$F$6:$F$405,G335,'Istoric_Nativ'!$D$6:$D$405,"&lt;"&amp;J335,'Istoric_Nativ'!$O$6:$O$405,"SOURCE CONFLICT"))</x:f>
        <x:v>0</x:v>
      </x:c>
      <x:c r="T335" s="2" t="str">
        <x:f>IF(B335="","",IF(R335&lt;&gt;"CLOSED",R335,IF(S335&gt;0,"NATIVE INPUT ISSUE",IF(M335=0,"NO HISTORY",IF(M335&lt;P335,"SMALL SAMPLE","DERIVED")))))</x:f>
      </x:c>
      <x:c r="U335" s="2" t="str">
        <x:f>IF(B335="","","NativeTable; "&amp;E335&amp;"; "&amp;F335&amp;"; "&amp;G335&amp;"; "&amp;H335&amp;"; before "&amp;TEXT(J335,"yyyy-mm-dd")&amp;IF(I335="RECENT","; from "&amp;TEXT(L335,"yyyy-mm-dd"),""))</x:f>
      </x:c>
    </x:row>
    <x:row r="336" ht="21" customHeight="1">
      <x:c r="A336" s="2" t="n">
        <x:v>28</x:v>
      </x:c>
      <x:c r="B336" s="2" t="str">
        <x:f>IF('Input_Meci'!A33="","",'Input_Meci'!A33)</x:f>
      </x:c>
      <x:c r="C336" s="2" t="str">
        <x:v>H</x:v>
      </x:c>
      <x:c r="D336" s="2" t="str">
        <x:v>PRIOR</x:v>
      </x:c>
      <x:c r="E336" s="2" t="str">
        <x:f>IF(B336="","",'Input_Meci'!B33)</x:f>
      </x:c>
      <x:c r="F336" s="2" t="str">
        <x:f>IF(B336="","",IF('Input_Meci'!K33="","",'Input_Meci'!K33))</x:f>
      </x:c>
      <x:c r="G336" s="2" t="str">
        <x:f>IF(B336="","",'Input_Meci'!D33)</x:f>
      </x:c>
      <x:c r="H336" s="2" t="str">
        <x:v>ANY</x:v>
      </x:c>
      <x:c r="I336" s="2" t="str">
        <x:v>SEASON</x:v>
      </x:c>
      <x:c r="J336" s="9" t="n">
        <x:f>IF(AND(B336&lt;&gt;"",ISNUMBER('Input_Meci'!G33)),INT('Input_Meci'!G33),0)</x:f>
        <x:v>0</x:v>
      </x:c>
      <x:c r="K336" s="2" t="n">
        <x:f>IF(OR(B336="",F336=""),0,IF(H336="HOME",COUNTIFS('Istoric_Nativ'!$B$6:$B$405,E336,'Istoric_Nativ'!$C$6:$C$405,F336,'Istoric_Nativ'!$E$6:$E$405,G336,'Istoric_Nativ'!$D$6:$D$405,"&lt;"&amp;J336,'Istoric_Nativ'!$P$6:$P$405,1),IF(H336="AWAY",COUNTIFS('Istoric_Nativ'!$B$6:$B$405,E336,'Istoric_Nativ'!$C$6:$C$405,F336,'Istoric_Nativ'!$F$6:$F$405,G336,'Istoric_Nativ'!$D$6:$D$405,"&lt;"&amp;J336,'Istoric_Nativ'!$P$6:$P$405,1),COUNTIFS('Istoric_Nativ'!$B$6:$B$405,E336,'Istoric_Nativ'!$C$6:$C$405,F336,'Istoric_Nativ'!$E$6:$E$405,G336,'Istoric_Nativ'!$D$6:$D$405,"&lt;"&amp;J336,'Istoric_Nativ'!$P$6:$P$405,1)+COUNTIFS('Istoric_Nativ'!$B$6:$B$405,E336,'Istoric_Nativ'!$C$6:$C$405,F336,'Istoric_Nativ'!$F$6:$F$405,G336,'Istoric_Nativ'!$D$6:$D$405,"&lt;"&amp;J336,'Istoric_Nativ'!$P$6:$P$405,1))))</x:f>
        <x:v>0</x:v>
      </x:c>
      <x:c r="L336" s="17" t="n">
        <x:f>IF(AND(B336&lt;&gt;"",I336="RECENT",K336&gt;0),LARGE(_xlfn._xlws.FILTER('Istoric_Nativ'!$D$6:$D$405,('Istoric_Nativ'!$B$6:$B$405=E336)*('Istoric_Nativ'!$C$6:$C$405=F336)*('Istoric_Nativ'!$P$6:$P$405=1)*('Istoric_Nativ'!$D$6:$D$405&lt;J336)*((('Istoric_Nativ'!$E$6:$E$405=G336)+('Istoric_Nativ'!$F$6:$F$405=G336))&gt;0)),MIN('Config_v6'!$B$54,K336)),0)</x:f>
        <x:v>0</x:v>
      </x:c>
      <x:c r="M336" s="2" t="n">
        <x:f>IF(OR(B336="",F336=""),0,IF(H336="HOME",COUNTIFS('Istoric_Nativ'!$B$6:$B$405,E336,'Istoric_Nativ'!$C$6:$C$405,F336,'Istoric_Nativ'!$E$6:$E$405,G336,'Istoric_Nativ'!$D$6:$D$405,"&lt;"&amp;J336,'Istoric_Nativ'!$P$6:$P$405,1,'Istoric_Nativ'!$D$6:$D$405,"&gt;="&amp;L336),IF(H336="AWAY",COUNTIFS('Istoric_Nativ'!$B$6:$B$405,E336,'Istoric_Nativ'!$C$6:$C$405,F336,'Istoric_Nativ'!$F$6:$F$405,G336,'Istoric_Nativ'!$D$6:$D$405,"&lt;"&amp;J336,'Istoric_Nativ'!$P$6:$P$405,1,'Istoric_Nativ'!$D$6:$D$405,"&gt;="&amp;L336),COUNTIFS('Istoric_Nativ'!$B$6:$B$405,E336,'Istoric_Nativ'!$C$6:$C$405,F336,'Istoric_Nativ'!$E$6:$E$405,G336,'Istoric_Nativ'!$D$6:$D$405,"&lt;"&amp;J336,'Istoric_Nativ'!$P$6:$P$405,1,'Istoric_Nativ'!$D$6:$D$405,"&gt;="&amp;L336)+COUNTIFS('Istoric_Nativ'!$B$6:$B$405,E336,'Istoric_Nativ'!$C$6:$C$405,F336,'Istoric_Nativ'!$F$6:$F$405,G336,'Istoric_Nativ'!$D$6:$D$405,"&lt;"&amp;J336,'Istoric_Nativ'!$P$6:$P$405,1,'Istoric_Nativ'!$D$6:$D$405,"&gt;="&amp;L336))))</x:f>
        <x:v>0</x:v>
      </x:c>
      <x:c r="N336" s="11" t="str">
        <x:f>IF(M336=0,"",IF(H336="HOME",SUMIFS('Istoric_Nativ'!$G$6:$G$405,'Istoric_Nativ'!$B$6:$B$405,E336,'Istoric_Nativ'!$C$6:$C$405,F336,'Istoric_Nativ'!$E$6:$E$405,G336,'Istoric_Nativ'!$D$6:$D$405,"&lt;"&amp;J336,'Istoric_Nativ'!$P$6:$P$405,1,'Istoric_Nativ'!$D$6:$D$405,"&gt;="&amp;L336),IF(H336="AWAY",SUMIFS('Istoric_Nativ'!$H$6:$H$405,'Istoric_Nativ'!$B$6:$B$405,E336,'Istoric_Nativ'!$C$6:$C$405,F336,'Istoric_Nativ'!$F$6:$F$405,G336,'Istoric_Nativ'!$D$6:$D$405,"&lt;"&amp;J336,'Istoric_Nativ'!$P$6:$P$405,1,'Istoric_Nativ'!$D$6:$D$405,"&gt;="&amp;L336),SUMIFS('Istoric_Nativ'!$G$6:$G$405,'Istoric_Nativ'!$B$6:$B$405,E336,'Istoric_Nativ'!$C$6:$C$405,F336,'Istoric_Nativ'!$E$6:$E$405,G336,'Istoric_Nativ'!$D$6:$D$405,"&lt;"&amp;J336,'Istoric_Nativ'!$P$6:$P$405,1,'Istoric_Nativ'!$D$6:$D$405,"&gt;="&amp;L336)+SUMIFS('Istoric_Nativ'!$H$6:$H$405,'Istoric_Nativ'!$B$6:$B$405,E336,'Istoric_Nativ'!$C$6:$C$405,F336,'Istoric_Nativ'!$F$6:$F$405,G336,'Istoric_Nativ'!$D$6:$D$405,"&lt;"&amp;J336,'Istoric_Nativ'!$P$6:$P$405,1,'Istoric_Nativ'!$D$6:$D$405,"&gt;="&amp;L336)))/M336)</x:f>
      </x:c>
      <x:c r="O336" s="11" t="str">
        <x:f>IF(M336=0,"",IF(H336="HOME",SUMIFS('Istoric_Nativ'!$H$6:$H$405,'Istoric_Nativ'!$B$6:$B$405,E336,'Istoric_Nativ'!$C$6:$C$405,F336,'Istoric_Nativ'!$E$6:$E$405,G336,'Istoric_Nativ'!$D$6:$D$405,"&lt;"&amp;J336,'Istoric_Nativ'!$P$6:$P$405,1,'Istoric_Nativ'!$D$6:$D$405,"&gt;="&amp;L336),IF(H336="AWAY",SUMIFS('Istoric_Nativ'!$G$6:$G$405,'Istoric_Nativ'!$B$6:$B$405,E336,'Istoric_Nativ'!$C$6:$C$405,F336,'Istoric_Nativ'!$F$6:$F$405,G336,'Istoric_Nativ'!$D$6:$D$405,"&lt;"&amp;J336,'Istoric_Nativ'!$P$6:$P$405,1,'Istoric_Nativ'!$D$6:$D$405,"&gt;="&amp;L336),SUMIFS('Istoric_Nativ'!$H$6:$H$405,'Istoric_Nativ'!$B$6:$B$405,E336,'Istoric_Nativ'!$C$6:$C$405,F336,'Istoric_Nativ'!$E$6:$E$405,G336,'Istoric_Nativ'!$D$6:$D$405,"&lt;"&amp;J336,'Istoric_Nativ'!$P$6:$P$405,1,'Istoric_Nativ'!$D$6:$D$405,"&gt;="&amp;L336)+SUMIFS('Istoric_Nativ'!$G$6:$G$405,'Istoric_Nativ'!$B$6:$B$405,E336,'Istoric_Nativ'!$C$6:$C$405,F336,'Istoric_Nativ'!$F$6:$F$405,G336,'Istoric_Nativ'!$D$6:$D$405,"&lt;"&amp;J336,'Istoric_Nativ'!$P$6:$P$405,1,'Istoric_Nativ'!$D$6:$D$405,"&gt;="&amp;L336)))/M336)</x:f>
      </x:c>
      <x:c r="P336" s="2" t="n">
        <x:f>'Config_v6'!$B$7</x:f>
        <x:v>10</x:v>
      </x:c>
      <x:c r="Q336" s="2" t="n">
        <x:f>IF(OR(B336="",F336=""),0,IFERROR(MATCH(E336&amp;"|"&amp;F336,SourceTable[Source_Key],0),0))</x:f>
        <x:v>0</x:v>
      </x:c>
      <x:c r="R336" s="2" t="str">
        <x:f>IF(B336="","",IF(F336="","UNUSED",IF(Q336=0,"NOT CHECKED",IF(COUNTIF(SourceTable[Source_Key],E336&amp;"|"&amp;F336)&lt;&gt;1,"SOURCE CONFLICT",IF(NOT(OR(INDEX(SourceTable[Status],MAX(1,Q336))="IMPORTED",INDEX(SourceTable[Status],MAX(1,Q336))="PARTIAL",INDEX(SourceTable[Status],MAX(1,Q336))="SOURCE CONFLICT")),"ACCESS BLOCKED",IF(OR(INDEX(SourceTable[Coverage],Q336)&lt;&gt;"FULL SEASON EXPORT",INDEX(SourceTable[URL],Q336)="",INDEX(SourceTable[SHA256],Q336)=""),"EVIDENCE INCOMPLETE",IF(AND('Input_Meci'!H33="LIVE",INDEX(SourceTable[Retrieved_UTC],Q336)&gt;'Input_Meci'!G33),"POST CUTOFF","CLOSED")))))))</x:f>
      </x:c>
      <x:c r="S336" s="2" t="n">
        <x:f>IF(OR(B336="",F336=""),0,COUNTIFS('Istoric_Nativ'!$B$6:$B$405,E336,'Istoric_Nativ'!$C$6:$C$405,F336,'Istoric_Nativ'!$E$6:$E$405,G336,'Istoric_Nativ'!$D$6:$D$405,"&lt;"&amp;J336,'Istoric_Nativ'!$O$6:$O$405,"INVALID")+COUNTIFS('Istoric_Nativ'!$B$6:$B$405,E336,'Istoric_Nativ'!$C$6:$C$405,F336,'Istoric_Nativ'!$E$6:$E$405,G336,'Istoric_Nativ'!$O$6:$O$405,"INVALID",'Istoric_Nativ'!$D$6:$D$405,"*")+COUNTIFS('Istoric_Nativ'!$B$6:$B$405,E336,'Istoric_Nativ'!$C$6:$C$405,F336,'Istoric_Nativ'!$E$6:$E$405,G336,'Istoric_Nativ'!$D$6:$D$405,"&lt;"&amp;J336,'Istoric_Nativ'!$O$6:$O$405,"SOURCE CONFLICT")+COUNTIFS('Istoric_Nativ'!$B$6:$B$405,E336,'Istoric_Nativ'!$C$6:$C$405,F336,'Istoric_Nativ'!$F$6:$F$405,G336,'Istoric_Nativ'!$D$6:$D$405,"&lt;"&amp;J336,'Istoric_Nativ'!$O$6:$O$405,"INVALID")+COUNTIFS('Istoric_Nativ'!$B$6:$B$405,E336,'Istoric_Nativ'!$C$6:$C$405,F336,'Istoric_Nativ'!$F$6:$F$405,G336,'Istoric_Nativ'!$O$6:$O$405,"INVALID",'Istoric_Nativ'!$D$6:$D$405,"*")+COUNTIFS('Istoric_Nativ'!$B$6:$B$405,E336,'Istoric_Nativ'!$C$6:$C$405,F336,'Istoric_Nativ'!$F$6:$F$405,G336,'Istoric_Nativ'!$D$6:$D$405,"&lt;"&amp;J336,'Istoric_Nativ'!$O$6:$O$405,"SOURCE CONFLICT"))</x:f>
        <x:v>0</x:v>
      </x:c>
      <x:c r="T336" s="2" t="str">
        <x:f>IF(B336="","",IF(R336&lt;&gt;"CLOSED",R336,IF(S336&gt;0,"NATIVE INPUT ISSUE",IF(M336=0,"NO HISTORY",IF(M336&lt;P336,"SMALL SAMPLE","DERIVED")))))</x:f>
      </x:c>
      <x:c r="U336" s="2" t="str">
        <x:f>IF(B336="","","NativeTable; "&amp;E336&amp;"; "&amp;F336&amp;"; "&amp;G336&amp;"; "&amp;H336&amp;"; before "&amp;TEXT(J336,"yyyy-mm-dd")&amp;IF(I336="RECENT","; from "&amp;TEXT(L336,"yyyy-mm-dd"),""))</x:f>
      </x:c>
    </x:row>
    <x:row r="337" ht="21" customHeight="1">
      <x:c r="A337" s="2" t="n">
        <x:v>28</x:v>
      </x:c>
      <x:c r="B337" s="2" t="str">
        <x:f>IF('Input_Meci'!A33="","",'Input_Meci'!A33)</x:f>
      </x:c>
      <x:c r="C337" s="2" t="str">
        <x:v>H</x:v>
      </x:c>
      <x:c r="D337" s="2" t="str">
        <x:v>PRIOR</x:v>
      </x:c>
      <x:c r="E337" s="2" t="str">
        <x:f>IF(B337="","",'Input_Meci'!B33)</x:f>
      </x:c>
      <x:c r="F337" s="2" t="str">
        <x:f>IF(B337="","",IF('Input_Meci'!K33="","",'Input_Meci'!K33))</x:f>
      </x:c>
      <x:c r="G337" s="2" t="str">
        <x:f>IF(B337="","",'Input_Meci'!D33)</x:f>
      </x:c>
      <x:c r="H337" s="2" t="str">
        <x:v>HOME</x:v>
      </x:c>
      <x:c r="I337" s="2" t="str">
        <x:v>HA</x:v>
      </x:c>
      <x:c r="J337" s="9" t="n">
        <x:f>IF(AND(B337&lt;&gt;"",ISNUMBER('Input_Meci'!G33)),INT('Input_Meci'!G33),0)</x:f>
        <x:v>0</x:v>
      </x:c>
      <x:c r="K337" s="2" t="n">
        <x:f>IF(OR(B337="",F337=""),0,IF(H337="HOME",COUNTIFS('Istoric_Nativ'!$B$6:$B$405,E337,'Istoric_Nativ'!$C$6:$C$405,F337,'Istoric_Nativ'!$E$6:$E$405,G337,'Istoric_Nativ'!$D$6:$D$405,"&lt;"&amp;J337,'Istoric_Nativ'!$P$6:$P$405,1),IF(H337="AWAY",COUNTIFS('Istoric_Nativ'!$B$6:$B$405,E337,'Istoric_Nativ'!$C$6:$C$405,F337,'Istoric_Nativ'!$F$6:$F$405,G337,'Istoric_Nativ'!$D$6:$D$405,"&lt;"&amp;J337,'Istoric_Nativ'!$P$6:$P$405,1),COUNTIFS('Istoric_Nativ'!$B$6:$B$405,E337,'Istoric_Nativ'!$C$6:$C$405,F337,'Istoric_Nativ'!$E$6:$E$405,G337,'Istoric_Nativ'!$D$6:$D$405,"&lt;"&amp;J337,'Istoric_Nativ'!$P$6:$P$405,1)+COUNTIFS('Istoric_Nativ'!$B$6:$B$405,E337,'Istoric_Nativ'!$C$6:$C$405,F337,'Istoric_Nativ'!$F$6:$F$405,G337,'Istoric_Nativ'!$D$6:$D$405,"&lt;"&amp;J337,'Istoric_Nativ'!$P$6:$P$405,1))))</x:f>
        <x:v>0</x:v>
      </x:c>
      <x:c r="L337" s="17" t="n">
        <x:f>IF(AND(B337&lt;&gt;"",I337="RECENT",K337&gt;0),LARGE(_xlfn._xlws.FILTER('Istoric_Nativ'!$D$6:$D$405,('Istoric_Nativ'!$B$6:$B$405=E337)*('Istoric_Nativ'!$C$6:$C$405=F337)*('Istoric_Nativ'!$P$6:$P$405=1)*('Istoric_Nativ'!$D$6:$D$405&lt;J337)*((('Istoric_Nativ'!$E$6:$E$405=G337)+('Istoric_Nativ'!$F$6:$F$405=G337))&gt;0)),MIN('Config_v6'!$B$54,K337)),0)</x:f>
        <x:v>0</x:v>
      </x:c>
      <x:c r="M337" s="2" t="n">
        <x:f>IF(OR(B337="",F337=""),0,IF(H337="HOME",COUNTIFS('Istoric_Nativ'!$B$6:$B$405,E337,'Istoric_Nativ'!$C$6:$C$405,F337,'Istoric_Nativ'!$E$6:$E$405,G337,'Istoric_Nativ'!$D$6:$D$405,"&lt;"&amp;J337,'Istoric_Nativ'!$P$6:$P$405,1,'Istoric_Nativ'!$D$6:$D$405,"&gt;="&amp;L337),IF(H337="AWAY",COUNTIFS('Istoric_Nativ'!$B$6:$B$405,E337,'Istoric_Nativ'!$C$6:$C$405,F337,'Istoric_Nativ'!$F$6:$F$405,G337,'Istoric_Nativ'!$D$6:$D$405,"&lt;"&amp;J337,'Istoric_Nativ'!$P$6:$P$405,1,'Istoric_Nativ'!$D$6:$D$405,"&gt;="&amp;L337),COUNTIFS('Istoric_Nativ'!$B$6:$B$405,E337,'Istoric_Nativ'!$C$6:$C$405,F337,'Istoric_Nativ'!$E$6:$E$405,G337,'Istoric_Nativ'!$D$6:$D$405,"&lt;"&amp;J337,'Istoric_Nativ'!$P$6:$P$405,1,'Istoric_Nativ'!$D$6:$D$405,"&gt;="&amp;L337)+COUNTIFS('Istoric_Nativ'!$B$6:$B$405,E337,'Istoric_Nativ'!$C$6:$C$405,F337,'Istoric_Nativ'!$F$6:$F$405,G337,'Istoric_Nativ'!$D$6:$D$405,"&lt;"&amp;J337,'Istoric_Nativ'!$P$6:$P$405,1,'Istoric_Nativ'!$D$6:$D$405,"&gt;="&amp;L337))))</x:f>
        <x:v>0</x:v>
      </x:c>
      <x:c r="N337" s="11" t="str">
        <x:f>IF(M337=0,"",IF(H337="HOME",SUMIFS('Istoric_Nativ'!$G$6:$G$405,'Istoric_Nativ'!$B$6:$B$405,E337,'Istoric_Nativ'!$C$6:$C$405,F337,'Istoric_Nativ'!$E$6:$E$405,G337,'Istoric_Nativ'!$D$6:$D$405,"&lt;"&amp;J337,'Istoric_Nativ'!$P$6:$P$405,1,'Istoric_Nativ'!$D$6:$D$405,"&gt;="&amp;L337),IF(H337="AWAY",SUMIFS('Istoric_Nativ'!$H$6:$H$405,'Istoric_Nativ'!$B$6:$B$405,E337,'Istoric_Nativ'!$C$6:$C$405,F337,'Istoric_Nativ'!$F$6:$F$405,G337,'Istoric_Nativ'!$D$6:$D$405,"&lt;"&amp;J337,'Istoric_Nativ'!$P$6:$P$405,1,'Istoric_Nativ'!$D$6:$D$405,"&gt;="&amp;L337),SUMIFS('Istoric_Nativ'!$G$6:$G$405,'Istoric_Nativ'!$B$6:$B$405,E337,'Istoric_Nativ'!$C$6:$C$405,F337,'Istoric_Nativ'!$E$6:$E$405,G337,'Istoric_Nativ'!$D$6:$D$405,"&lt;"&amp;J337,'Istoric_Nativ'!$P$6:$P$405,1,'Istoric_Nativ'!$D$6:$D$405,"&gt;="&amp;L337)+SUMIFS('Istoric_Nativ'!$H$6:$H$405,'Istoric_Nativ'!$B$6:$B$405,E337,'Istoric_Nativ'!$C$6:$C$405,F337,'Istoric_Nativ'!$F$6:$F$405,G337,'Istoric_Nativ'!$D$6:$D$405,"&lt;"&amp;J337,'Istoric_Nativ'!$P$6:$P$405,1,'Istoric_Nativ'!$D$6:$D$405,"&gt;="&amp;L337)))/M337)</x:f>
      </x:c>
      <x:c r="O337" s="11" t="str">
        <x:f>IF(M337=0,"",IF(H337="HOME",SUMIFS('Istoric_Nativ'!$H$6:$H$405,'Istoric_Nativ'!$B$6:$B$405,E337,'Istoric_Nativ'!$C$6:$C$405,F337,'Istoric_Nativ'!$E$6:$E$405,G337,'Istoric_Nativ'!$D$6:$D$405,"&lt;"&amp;J337,'Istoric_Nativ'!$P$6:$P$405,1,'Istoric_Nativ'!$D$6:$D$405,"&gt;="&amp;L337),IF(H337="AWAY",SUMIFS('Istoric_Nativ'!$G$6:$G$405,'Istoric_Nativ'!$B$6:$B$405,E337,'Istoric_Nativ'!$C$6:$C$405,F337,'Istoric_Nativ'!$F$6:$F$405,G337,'Istoric_Nativ'!$D$6:$D$405,"&lt;"&amp;J337,'Istoric_Nativ'!$P$6:$P$405,1,'Istoric_Nativ'!$D$6:$D$405,"&gt;="&amp;L337),SUMIFS('Istoric_Nativ'!$H$6:$H$405,'Istoric_Nativ'!$B$6:$B$405,E337,'Istoric_Nativ'!$C$6:$C$405,F337,'Istoric_Nativ'!$E$6:$E$405,G337,'Istoric_Nativ'!$D$6:$D$405,"&lt;"&amp;J337,'Istoric_Nativ'!$P$6:$P$405,1,'Istoric_Nativ'!$D$6:$D$405,"&gt;="&amp;L337)+SUMIFS('Istoric_Nativ'!$G$6:$G$405,'Istoric_Nativ'!$B$6:$B$405,E337,'Istoric_Nativ'!$C$6:$C$405,F337,'Istoric_Nativ'!$F$6:$F$405,G337,'Istoric_Nativ'!$D$6:$D$405,"&lt;"&amp;J337,'Istoric_Nativ'!$P$6:$P$405,1,'Istoric_Nativ'!$D$6:$D$405,"&gt;="&amp;L337)))/M337)</x:f>
      </x:c>
      <x:c r="P337" s="2" t="n">
        <x:f>'Config_v6'!$B$8</x:f>
        <x:v>5</x:v>
      </x:c>
      <x:c r="Q337" s="2" t="n">
        <x:f>IF(OR(B337="",F337=""),0,IFERROR(MATCH(E337&amp;"|"&amp;F337,SourceTable[Source_Key],0),0))</x:f>
        <x:v>0</x:v>
      </x:c>
      <x:c r="R337" s="2" t="str">
        <x:f>IF(B337="","",IF(F337="","UNUSED",IF(Q337=0,"NOT CHECKED",IF(COUNTIF(SourceTable[Source_Key],E337&amp;"|"&amp;F337)&lt;&gt;1,"SOURCE CONFLICT",IF(NOT(OR(INDEX(SourceTable[Status],MAX(1,Q337))="IMPORTED",INDEX(SourceTable[Status],MAX(1,Q337))="PARTIAL",INDEX(SourceTable[Status],MAX(1,Q337))="SOURCE CONFLICT")),"ACCESS BLOCKED",IF(OR(INDEX(SourceTable[Coverage],Q337)&lt;&gt;"FULL SEASON EXPORT",INDEX(SourceTable[URL],Q337)="",INDEX(SourceTable[SHA256],Q337)=""),"EVIDENCE INCOMPLETE",IF(AND('Input_Meci'!H33="LIVE",INDEX(SourceTable[Retrieved_UTC],Q337)&gt;'Input_Meci'!G33),"POST CUTOFF","CLOSED")))))))</x:f>
      </x:c>
      <x:c r="S337" s="2" t="n">
        <x:f>IF(OR(B337="",F337=""),0,COUNTIFS('Istoric_Nativ'!$B$6:$B$405,E337,'Istoric_Nativ'!$C$6:$C$405,F337,'Istoric_Nativ'!$E$6:$E$405,G337,'Istoric_Nativ'!$D$6:$D$405,"&lt;"&amp;J337,'Istoric_Nativ'!$O$6:$O$405,"INVALID")+COUNTIFS('Istoric_Nativ'!$B$6:$B$405,E337,'Istoric_Nativ'!$C$6:$C$405,F337,'Istoric_Nativ'!$E$6:$E$405,G337,'Istoric_Nativ'!$O$6:$O$405,"INVALID",'Istoric_Nativ'!$D$6:$D$405,"*")+COUNTIFS('Istoric_Nativ'!$B$6:$B$405,E337,'Istoric_Nativ'!$C$6:$C$405,F337,'Istoric_Nativ'!$E$6:$E$405,G337,'Istoric_Nativ'!$D$6:$D$405,"&lt;"&amp;J337,'Istoric_Nativ'!$O$6:$O$405,"SOURCE CONFLICT")+COUNTIFS('Istoric_Nativ'!$B$6:$B$405,E337,'Istoric_Nativ'!$C$6:$C$405,F337,'Istoric_Nativ'!$F$6:$F$405,G337,'Istoric_Nativ'!$D$6:$D$405,"&lt;"&amp;J337,'Istoric_Nativ'!$O$6:$O$405,"INVALID")+COUNTIFS('Istoric_Nativ'!$B$6:$B$405,E337,'Istoric_Nativ'!$C$6:$C$405,F337,'Istoric_Nativ'!$F$6:$F$405,G337,'Istoric_Nativ'!$O$6:$O$405,"INVALID",'Istoric_Nativ'!$D$6:$D$405,"*")+COUNTIFS('Istoric_Nativ'!$B$6:$B$405,E337,'Istoric_Nativ'!$C$6:$C$405,F337,'Istoric_Nativ'!$F$6:$F$405,G337,'Istoric_Nativ'!$D$6:$D$405,"&lt;"&amp;J337,'Istoric_Nativ'!$O$6:$O$405,"SOURCE CONFLICT"))</x:f>
        <x:v>0</x:v>
      </x:c>
      <x:c r="T337" s="2" t="str">
        <x:f>IF(B337="","",IF(R337&lt;&gt;"CLOSED",R337,IF(S337&gt;0,"NATIVE INPUT ISSUE",IF(M337=0,"NO HISTORY",IF(M337&lt;P337,"SMALL SAMPLE","DERIVED")))))</x:f>
      </x:c>
      <x:c r="U337" s="2" t="str">
        <x:f>IF(B337="","","NativeTable; "&amp;E337&amp;"; "&amp;F337&amp;"; "&amp;G337&amp;"; "&amp;H337&amp;"; before "&amp;TEXT(J337,"yyyy-mm-dd")&amp;IF(I337="RECENT","; from "&amp;TEXT(L337,"yyyy-mm-dd"),""))</x:f>
      </x:c>
    </x:row>
    <x:row r="338" ht="21" customHeight="1">
      <x:c r="A338" s="2" t="n">
        <x:v>28</x:v>
      </x:c>
      <x:c r="B338" s="2" t="str">
        <x:f>IF('Input_Meci'!A33="","",'Input_Meci'!A33)</x:f>
      </x:c>
      <x:c r="C338" s="2" t="str">
        <x:v>H</x:v>
      </x:c>
      <x:c r="D338" s="2" t="str">
        <x:v>PRIOR</x:v>
      </x:c>
      <x:c r="E338" s="2" t="str">
        <x:f>IF(B338="","",'Input_Meci'!B33)</x:f>
      </x:c>
      <x:c r="F338" s="2" t="str">
        <x:f>IF(B338="","",IF('Input_Meci'!K33="","",'Input_Meci'!K33))</x:f>
      </x:c>
      <x:c r="G338" s="2" t="str">
        <x:f>IF(B338="","",'Input_Meci'!D33)</x:f>
      </x:c>
      <x:c r="H338" s="2" t="str">
        <x:v>ANY</x:v>
      </x:c>
      <x:c r="I338" s="2" t="str">
        <x:v>RECENT</x:v>
      </x:c>
      <x:c r="J338" s="9" t="n">
        <x:f>IF(AND(B338&lt;&gt;"",ISNUMBER('Input_Meci'!G33)),INT('Input_Meci'!G33),0)</x:f>
        <x:v>0</x:v>
      </x:c>
      <x:c r="K338" s="2" t="n">
        <x:f>IF(OR(B338="",F338=""),0,IF(H338="HOME",COUNTIFS('Istoric_Nativ'!$B$6:$B$405,E338,'Istoric_Nativ'!$C$6:$C$405,F338,'Istoric_Nativ'!$E$6:$E$405,G338,'Istoric_Nativ'!$D$6:$D$405,"&lt;"&amp;J338,'Istoric_Nativ'!$P$6:$P$405,1),IF(H338="AWAY",COUNTIFS('Istoric_Nativ'!$B$6:$B$405,E338,'Istoric_Nativ'!$C$6:$C$405,F338,'Istoric_Nativ'!$F$6:$F$405,G338,'Istoric_Nativ'!$D$6:$D$405,"&lt;"&amp;J338,'Istoric_Nativ'!$P$6:$P$405,1),COUNTIFS('Istoric_Nativ'!$B$6:$B$405,E338,'Istoric_Nativ'!$C$6:$C$405,F338,'Istoric_Nativ'!$E$6:$E$405,G338,'Istoric_Nativ'!$D$6:$D$405,"&lt;"&amp;J338,'Istoric_Nativ'!$P$6:$P$405,1)+COUNTIFS('Istoric_Nativ'!$B$6:$B$405,E338,'Istoric_Nativ'!$C$6:$C$405,F338,'Istoric_Nativ'!$F$6:$F$405,G338,'Istoric_Nativ'!$D$6:$D$405,"&lt;"&amp;J338,'Istoric_Nativ'!$P$6:$P$405,1))))</x:f>
        <x:v>0</x:v>
      </x:c>
      <x:c r="L338" s="17" t="n">
        <x:f>IF(AND(B338&lt;&gt;"",I338="RECENT",K338&gt;0),LARGE(_xlfn._xlws.FILTER('Istoric_Nativ'!$D$6:$D$405,('Istoric_Nativ'!$B$6:$B$405=E338)*('Istoric_Nativ'!$C$6:$C$405=F338)*('Istoric_Nativ'!$P$6:$P$405=1)*('Istoric_Nativ'!$D$6:$D$405&lt;J338)*((('Istoric_Nativ'!$E$6:$E$405=G338)+('Istoric_Nativ'!$F$6:$F$405=G338))&gt;0)),MIN('Config_v6'!$B$54,K338)),0)</x:f>
        <x:v>0</x:v>
      </x:c>
      <x:c r="M338" s="2" t="n">
        <x:f>IF(OR(B338="",F338=""),0,IF(H338="HOME",COUNTIFS('Istoric_Nativ'!$B$6:$B$405,E338,'Istoric_Nativ'!$C$6:$C$405,F338,'Istoric_Nativ'!$E$6:$E$405,G338,'Istoric_Nativ'!$D$6:$D$405,"&lt;"&amp;J338,'Istoric_Nativ'!$P$6:$P$405,1,'Istoric_Nativ'!$D$6:$D$405,"&gt;="&amp;L338),IF(H338="AWAY",COUNTIFS('Istoric_Nativ'!$B$6:$B$405,E338,'Istoric_Nativ'!$C$6:$C$405,F338,'Istoric_Nativ'!$F$6:$F$405,G338,'Istoric_Nativ'!$D$6:$D$405,"&lt;"&amp;J338,'Istoric_Nativ'!$P$6:$P$405,1,'Istoric_Nativ'!$D$6:$D$405,"&gt;="&amp;L338),COUNTIFS('Istoric_Nativ'!$B$6:$B$405,E338,'Istoric_Nativ'!$C$6:$C$405,F338,'Istoric_Nativ'!$E$6:$E$405,G338,'Istoric_Nativ'!$D$6:$D$405,"&lt;"&amp;J338,'Istoric_Nativ'!$P$6:$P$405,1,'Istoric_Nativ'!$D$6:$D$405,"&gt;="&amp;L338)+COUNTIFS('Istoric_Nativ'!$B$6:$B$405,E338,'Istoric_Nativ'!$C$6:$C$405,F338,'Istoric_Nativ'!$F$6:$F$405,G338,'Istoric_Nativ'!$D$6:$D$405,"&lt;"&amp;J338,'Istoric_Nativ'!$P$6:$P$405,1,'Istoric_Nativ'!$D$6:$D$405,"&gt;="&amp;L338))))</x:f>
        <x:v>0</x:v>
      </x:c>
      <x:c r="N338" s="11" t="str">
        <x:f>IF(M338=0,"",IF(H338="HOME",SUMIFS('Istoric_Nativ'!$G$6:$G$405,'Istoric_Nativ'!$B$6:$B$405,E338,'Istoric_Nativ'!$C$6:$C$405,F338,'Istoric_Nativ'!$E$6:$E$405,G338,'Istoric_Nativ'!$D$6:$D$405,"&lt;"&amp;J338,'Istoric_Nativ'!$P$6:$P$405,1,'Istoric_Nativ'!$D$6:$D$405,"&gt;="&amp;L338),IF(H338="AWAY",SUMIFS('Istoric_Nativ'!$H$6:$H$405,'Istoric_Nativ'!$B$6:$B$405,E338,'Istoric_Nativ'!$C$6:$C$405,F338,'Istoric_Nativ'!$F$6:$F$405,G338,'Istoric_Nativ'!$D$6:$D$405,"&lt;"&amp;J338,'Istoric_Nativ'!$P$6:$P$405,1,'Istoric_Nativ'!$D$6:$D$405,"&gt;="&amp;L338),SUMIFS('Istoric_Nativ'!$G$6:$G$405,'Istoric_Nativ'!$B$6:$B$405,E338,'Istoric_Nativ'!$C$6:$C$405,F338,'Istoric_Nativ'!$E$6:$E$405,G338,'Istoric_Nativ'!$D$6:$D$405,"&lt;"&amp;J338,'Istoric_Nativ'!$P$6:$P$405,1,'Istoric_Nativ'!$D$6:$D$405,"&gt;="&amp;L338)+SUMIFS('Istoric_Nativ'!$H$6:$H$405,'Istoric_Nativ'!$B$6:$B$405,E338,'Istoric_Nativ'!$C$6:$C$405,F338,'Istoric_Nativ'!$F$6:$F$405,G338,'Istoric_Nativ'!$D$6:$D$405,"&lt;"&amp;J338,'Istoric_Nativ'!$P$6:$P$405,1,'Istoric_Nativ'!$D$6:$D$405,"&gt;="&amp;L338)))/M338)</x:f>
      </x:c>
      <x:c r="O338" s="11" t="str">
        <x:f>IF(M338=0,"",IF(H338="HOME",SUMIFS('Istoric_Nativ'!$H$6:$H$405,'Istoric_Nativ'!$B$6:$B$405,E338,'Istoric_Nativ'!$C$6:$C$405,F338,'Istoric_Nativ'!$E$6:$E$405,G338,'Istoric_Nativ'!$D$6:$D$405,"&lt;"&amp;J338,'Istoric_Nativ'!$P$6:$P$405,1,'Istoric_Nativ'!$D$6:$D$405,"&gt;="&amp;L338),IF(H338="AWAY",SUMIFS('Istoric_Nativ'!$G$6:$G$405,'Istoric_Nativ'!$B$6:$B$405,E338,'Istoric_Nativ'!$C$6:$C$405,F338,'Istoric_Nativ'!$F$6:$F$405,G338,'Istoric_Nativ'!$D$6:$D$405,"&lt;"&amp;J338,'Istoric_Nativ'!$P$6:$P$405,1,'Istoric_Nativ'!$D$6:$D$405,"&gt;="&amp;L338),SUMIFS('Istoric_Nativ'!$H$6:$H$405,'Istoric_Nativ'!$B$6:$B$405,E338,'Istoric_Nativ'!$C$6:$C$405,F338,'Istoric_Nativ'!$E$6:$E$405,G338,'Istoric_Nativ'!$D$6:$D$405,"&lt;"&amp;J338,'Istoric_Nativ'!$P$6:$P$405,1,'Istoric_Nativ'!$D$6:$D$405,"&gt;="&amp;L338)+SUMIFS('Istoric_Nativ'!$G$6:$G$405,'Istoric_Nativ'!$B$6:$B$405,E338,'Istoric_Nativ'!$C$6:$C$405,F338,'Istoric_Nativ'!$F$6:$F$405,G338,'Istoric_Nativ'!$D$6:$D$405,"&lt;"&amp;J338,'Istoric_Nativ'!$P$6:$P$405,1,'Istoric_Nativ'!$D$6:$D$405,"&gt;="&amp;L338)))/M338)</x:f>
      </x:c>
      <x:c r="P338" s="2" t="n">
        <x:f>'Config_v6'!$B$9</x:f>
        <x:v>3</x:v>
      </x:c>
      <x:c r="Q338" s="2" t="n">
        <x:f>IF(OR(B338="",F338=""),0,IFERROR(MATCH(E338&amp;"|"&amp;F338,SourceTable[Source_Key],0),0))</x:f>
        <x:v>0</x:v>
      </x:c>
      <x:c r="R338" s="2" t="str">
        <x:f>IF(B338="","",IF(F338="","UNUSED",IF(Q338=0,"NOT CHECKED",IF(COUNTIF(SourceTable[Source_Key],E338&amp;"|"&amp;F338)&lt;&gt;1,"SOURCE CONFLICT",IF(NOT(OR(INDEX(SourceTable[Status],MAX(1,Q338))="IMPORTED",INDEX(SourceTable[Status],MAX(1,Q338))="PARTIAL",INDEX(SourceTable[Status],MAX(1,Q338))="SOURCE CONFLICT")),"ACCESS BLOCKED",IF(OR(INDEX(SourceTable[Coverage],Q338)&lt;&gt;"FULL SEASON EXPORT",INDEX(SourceTable[URL],Q338)="",INDEX(SourceTable[SHA256],Q338)=""),"EVIDENCE INCOMPLETE",IF(AND('Input_Meci'!H33="LIVE",INDEX(SourceTable[Retrieved_UTC],Q338)&gt;'Input_Meci'!G33),"POST CUTOFF","CLOSED")))))))</x:f>
      </x:c>
      <x:c r="S338" s="2" t="n">
        <x:f>IF(OR(B338="",F338=""),0,COUNTIFS('Istoric_Nativ'!$B$6:$B$405,E338,'Istoric_Nativ'!$C$6:$C$405,F338,'Istoric_Nativ'!$E$6:$E$405,G338,'Istoric_Nativ'!$D$6:$D$405,"&lt;"&amp;J338,'Istoric_Nativ'!$O$6:$O$405,"INVALID")+COUNTIFS('Istoric_Nativ'!$B$6:$B$405,E338,'Istoric_Nativ'!$C$6:$C$405,F338,'Istoric_Nativ'!$E$6:$E$405,G338,'Istoric_Nativ'!$O$6:$O$405,"INVALID",'Istoric_Nativ'!$D$6:$D$405,"*")+COUNTIFS('Istoric_Nativ'!$B$6:$B$405,E338,'Istoric_Nativ'!$C$6:$C$405,F338,'Istoric_Nativ'!$E$6:$E$405,G338,'Istoric_Nativ'!$D$6:$D$405,"&lt;"&amp;J338,'Istoric_Nativ'!$O$6:$O$405,"SOURCE CONFLICT")+COUNTIFS('Istoric_Nativ'!$B$6:$B$405,E338,'Istoric_Nativ'!$C$6:$C$405,F338,'Istoric_Nativ'!$F$6:$F$405,G338,'Istoric_Nativ'!$D$6:$D$405,"&lt;"&amp;J338,'Istoric_Nativ'!$O$6:$O$405,"INVALID")+COUNTIFS('Istoric_Nativ'!$B$6:$B$405,E338,'Istoric_Nativ'!$C$6:$C$405,F338,'Istoric_Nativ'!$F$6:$F$405,G338,'Istoric_Nativ'!$O$6:$O$405,"INVALID",'Istoric_Nativ'!$D$6:$D$405,"*")+COUNTIFS('Istoric_Nativ'!$B$6:$B$405,E338,'Istoric_Nativ'!$C$6:$C$405,F338,'Istoric_Nativ'!$F$6:$F$405,G338,'Istoric_Nativ'!$D$6:$D$405,"&lt;"&amp;J338,'Istoric_Nativ'!$O$6:$O$405,"SOURCE CONFLICT"))</x:f>
        <x:v>0</x:v>
      </x:c>
      <x:c r="T338" s="2" t="str">
        <x:f>IF(B338="","",IF(R338&lt;&gt;"CLOSED",R338,IF(S338&gt;0,"NATIVE INPUT ISSUE",IF(M338=0,"NO HISTORY",IF(M338&lt;P338,"SMALL SAMPLE","DERIVED")))))</x:f>
      </x:c>
      <x:c r="U338" s="2" t="str">
        <x:f>IF(B338="","","NativeTable; "&amp;E338&amp;"; "&amp;F338&amp;"; "&amp;G338&amp;"; "&amp;H338&amp;"; before "&amp;TEXT(J338,"yyyy-mm-dd")&amp;IF(I338="RECENT","; from "&amp;TEXT(L338,"yyyy-mm-dd"),""))</x:f>
      </x:c>
    </x:row>
    <x:row r="339" ht="21" customHeight="1">
      <x:c r="A339" s="2" t="n">
        <x:v>28</x:v>
      </x:c>
      <x:c r="B339" s="2" t="str">
        <x:f>IF('Input_Meci'!A33="","",'Input_Meci'!A33)</x:f>
      </x:c>
      <x:c r="C339" s="2" t="str">
        <x:v>A</x:v>
      </x:c>
      <x:c r="D339" s="2" t="str">
        <x:v>PRIOR</x:v>
      </x:c>
      <x:c r="E339" s="2" t="str">
        <x:f>IF(B339="","",'Input_Meci'!B33)</x:f>
      </x:c>
      <x:c r="F339" s="2" t="str">
        <x:f>IF(B339="","",IF('Input_Meci'!K33="","",'Input_Meci'!K33))</x:f>
      </x:c>
      <x:c r="G339" s="2" t="str">
        <x:f>IF(B339="","",'Input_Meci'!E33)</x:f>
      </x:c>
      <x:c r="H339" s="2" t="str">
        <x:v>ANY</x:v>
      </x:c>
      <x:c r="I339" s="2" t="str">
        <x:v>SEASON</x:v>
      </x:c>
      <x:c r="J339" s="9" t="n">
        <x:f>IF(AND(B339&lt;&gt;"",ISNUMBER('Input_Meci'!G33)),INT('Input_Meci'!G33),0)</x:f>
        <x:v>0</x:v>
      </x:c>
      <x:c r="K339" s="2" t="n">
        <x:f>IF(OR(B339="",F339=""),0,IF(H339="HOME",COUNTIFS('Istoric_Nativ'!$B$6:$B$405,E339,'Istoric_Nativ'!$C$6:$C$405,F339,'Istoric_Nativ'!$E$6:$E$405,G339,'Istoric_Nativ'!$D$6:$D$405,"&lt;"&amp;J339,'Istoric_Nativ'!$P$6:$P$405,1),IF(H339="AWAY",COUNTIFS('Istoric_Nativ'!$B$6:$B$405,E339,'Istoric_Nativ'!$C$6:$C$405,F339,'Istoric_Nativ'!$F$6:$F$405,G339,'Istoric_Nativ'!$D$6:$D$405,"&lt;"&amp;J339,'Istoric_Nativ'!$P$6:$P$405,1),COUNTIFS('Istoric_Nativ'!$B$6:$B$405,E339,'Istoric_Nativ'!$C$6:$C$405,F339,'Istoric_Nativ'!$E$6:$E$405,G339,'Istoric_Nativ'!$D$6:$D$405,"&lt;"&amp;J339,'Istoric_Nativ'!$P$6:$P$405,1)+COUNTIFS('Istoric_Nativ'!$B$6:$B$405,E339,'Istoric_Nativ'!$C$6:$C$405,F339,'Istoric_Nativ'!$F$6:$F$405,G339,'Istoric_Nativ'!$D$6:$D$405,"&lt;"&amp;J339,'Istoric_Nativ'!$P$6:$P$405,1))))</x:f>
        <x:v>0</x:v>
      </x:c>
      <x:c r="L339" s="17" t="n">
        <x:f>IF(AND(B339&lt;&gt;"",I339="RECENT",K339&gt;0),LARGE(_xlfn._xlws.FILTER('Istoric_Nativ'!$D$6:$D$405,('Istoric_Nativ'!$B$6:$B$405=E339)*('Istoric_Nativ'!$C$6:$C$405=F339)*('Istoric_Nativ'!$P$6:$P$405=1)*('Istoric_Nativ'!$D$6:$D$405&lt;J339)*((('Istoric_Nativ'!$E$6:$E$405=G339)+('Istoric_Nativ'!$F$6:$F$405=G339))&gt;0)),MIN('Config_v6'!$B$54,K339)),0)</x:f>
        <x:v>0</x:v>
      </x:c>
      <x:c r="M339" s="2" t="n">
        <x:f>IF(OR(B339="",F339=""),0,IF(H339="HOME",COUNTIFS('Istoric_Nativ'!$B$6:$B$405,E339,'Istoric_Nativ'!$C$6:$C$405,F339,'Istoric_Nativ'!$E$6:$E$405,G339,'Istoric_Nativ'!$D$6:$D$405,"&lt;"&amp;J339,'Istoric_Nativ'!$P$6:$P$405,1,'Istoric_Nativ'!$D$6:$D$405,"&gt;="&amp;L339),IF(H339="AWAY",COUNTIFS('Istoric_Nativ'!$B$6:$B$405,E339,'Istoric_Nativ'!$C$6:$C$405,F339,'Istoric_Nativ'!$F$6:$F$405,G339,'Istoric_Nativ'!$D$6:$D$405,"&lt;"&amp;J339,'Istoric_Nativ'!$P$6:$P$405,1,'Istoric_Nativ'!$D$6:$D$405,"&gt;="&amp;L339),COUNTIFS('Istoric_Nativ'!$B$6:$B$405,E339,'Istoric_Nativ'!$C$6:$C$405,F339,'Istoric_Nativ'!$E$6:$E$405,G339,'Istoric_Nativ'!$D$6:$D$405,"&lt;"&amp;J339,'Istoric_Nativ'!$P$6:$P$405,1,'Istoric_Nativ'!$D$6:$D$405,"&gt;="&amp;L339)+COUNTIFS('Istoric_Nativ'!$B$6:$B$405,E339,'Istoric_Nativ'!$C$6:$C$405,F339,'Istoric_Nativ'!$F$6:$F$405,G339,'Istoric_Nativ'!$D$6:$D$405,"&lt;"&amp;J339,'Istoric_Nativ'!$P$6:$P$405,1,'Istoric_Nativ'!$D$6:$D$405,"&gt;="&amp;L339))))</x:f>
        <x:v>0</x:v>
      </x:c>
      <x:c r="N339" s="11" t="str">
        <x:f>IF(M339=0,"",IF(H339="HOME",SUMIFS('Istoric_Nativ'!$G$6:$G$405,'Istoric_Nativ'!$B$6:$B$405,E339,'Istoric_Nativ'!$C$6:$C$405,F339,'Istoric_Nativ'!$E$6:$E$405,G339,'Istoric_Nativ'!$D$6:$D$405,"&lt;"&amp;J339,'Istoric_Nativ'!$P$6:$P$405,1,'Istoric_Nativ'!$D$6:$D$405,"&gt;="&amp;L339),IF(H339="AWAY",SUMIFS('Istoric_Nativ'!$H$6:$H$405,'Istoric_Nativ'!$B$6:$B$405,E339,'Istoric_Nativ'!$C$6:$C$405,F339,'Istoric_Nativ'!$F$6:$F$405,G339,'Istoric_Nativ'!$D$6:$D$405,"&lt;"&amp;J339,'Istoric_Nativ'!$P$6:$P$405,1,'Istoric_Nativ'!$D$6:$D$405,"&gt;="&amp;L339),SUMIFS('Istoric_Nativ'!$G$6:$G$405,'Istoric_Nativ'!$B$6:$B$405,E339,'Istoric_Nativ'!$C$6:$C$405,F339,'Istoric_Nativ'!$E$6:$E$405,G339,'Istoric_Nativ'!$D$6:$D$405,"&lt;"&amp;J339,'Istoric_Nativ'!$P$6:$P$405,1,'Istoric_Nativ'!$D$6:$D$405,"&gt;="&amp;L339)+SUMIFS('Istoric_Nativ'!$H$6:$H$405,'Istoric_Nativ'!$B$6:$B$405,E339,'Istoric_Nativ'!$C$6:$C$405,F339,'Istoric_Nativ'!$F$6:$F$405,G339,'Istoric_Nativ'!$D$6:$D$405,"&lt;"&amp;J339,'Istoric_Nativ'!$P$6:$P$405,1,'Istoric_Nativ'!$D$6:$D$405,"&gt;="&amp;L339)))/M339)</x:f>
      </x:c>
      <x:c r="O339" s="11" t="str">
        <x:f>IF(M339=0,"",IF(H339="HOME",SUMIFS('Istoric_Nativ'!$H$6:$H$405,'Istoric_Nativ'!$B$6:$B$405,E339,'Istoric_Nativ'!$C$6:$C$405,F339,'Istoric_Nativ'!$E$6:$E$405,G339,'Istoric_Nativ'!$D$6:$D$405,"&lt;"&amp;J339,'Istoric_Nativ'!$P$6:$P$405,1,'Istoric_Nativ'!$D$6:$D$405,"&gt;="&amp;L339),IF(H339="AWAY",SUMIFS('Istoric_Nativ'!$G$6:$G$405,'Istoric_Nativ'!$B$6:$B$405,E339,'Istoric_Nativ'!$C$6:$C$405,F339,'Istoric_Nativ'!$F$6:$F$405,G339,'Istoric_Nativ'!$D$6:$D$405,"&lt;"&amp;J339,'Istoric_Nativ'!$P$6:$P$405,1,'Istoric_Nativ'!$D$6:$D$405,"&gt;="&amp;L339),SUMIFS('Istoric_Nativ'!$H$6:$H$405,'Istoric_Nativ'!$B$6:$B$405,E339,'Istoric_Nativ'!$C$6:$C$405,F339,'Istoric_Nativ'!$E$6:$E$405,G339,'Istoric_Nativ'!$D$6:$D$405,"&lt;"&amp;J339,'Istoric_Nativ'!$P$6:$P$405,1,'Istoric_Nativ'!$D$6:$D$405,"&gt;="&amp;L339)+SUMIFS('Istoric_Nativ'!$G$6:$G$405,'Istoric_Nativ'!$B$6:$B$405,E339,'Istoric_Nativ'!$C$6:$C$405,F339,'Istoric_Nativ'!$F$6:$F$405,G339,'Istoric_Nativ'!$D$6:$D$405,"&lt;"&amp;J339,'Istoric_Nativ'!$P$6:$P$405,1,'Istoric_Nativ'!$D$6:$D$405,"&gt;="&amp;L339)))/M339)</x:f>
      </x:c>
      <x:c r="P339" s="2" t="n">
        <x:f>'Config_v6'!$B$7</x:f>
        <x:v>10</x:v>
      </x:c>
      <x:c r="Q339" s="2" t="n">
        <x:f>IF(OR(B339="",F339=""),0,IFERROR(MATCH(E339&amp;"|"&amp;F339,SourceTable[Source_Key],0),0))</x:f>
        <x:v>0</x:v>
      </x:c>
      <x:c r="R339" s="2" t="str">
        <x:f>IF(B339="","",IF(F339="","UNUSED",IF(Q339=0,"NOT CHECKED",IF(COUNTIF(SourceTable[Source_Key],E339&amp;"|"&amp;F339)&lt;&gt;1,"SOURCE CONFLICT",IF(NOT(OR(INDEX(SourceTable[Status],MAX(1,Q339))="IMPORTED",INDEX(SourceTable[Status],MAX(1,Q339))="PARTIAL",INDEX(SourceTable[Status],MAX(1,Q339))="SOURCE CONFLICT")),"ACCESS BLOCKED",IF(OR(INDEX(SourceTable[Coverage],Q339)&lt;&gt;"FULL SEASON EXPORT",INDEX(SourceTable[URL],Q339)="",INDEX(SourceTable[SHA256],Q339)=""),"EVIDENCE INCOMPLETE",IF(AND('Input_Meci'!H33="LIVE",INDEX(SourceTable[Retrieved_UTC],Q339)&gt;'Input_Meci'!G33),"POST CUTOFF","CLOSED")))))))</x:f>
      </x:c>
      <x:c r="S339" s="2" t="n">
        <x:f>IF(OR(B339="",F339=""),0,COUNTIFS('Istoric_Nativ'!$B$6:$B$405,E339,'Istoric_Nativ'!$C$6:$C$405,F339,'Istoric_Nativ'!$E$6:$E$405,G339,'Istoric_Nativ'!$D$6:$D$405,"&lt;"&amp;J339,'Istoric_Nativ'!$O$6:$O$405,"INVALID")+COUNTIFS('Istoric_Nativ'!$B$6:$B$405,E339,'Istoric_Nativ'!$C$6:$C$405,F339,'Istoric_Nativ'!$E$6:$E$405,G339,'Istoric_Nativ'!$O$6:$O$405,"INVALID",'Istoric_Nativ'!$D$6:$D$405,"*")+COUNTIFS('Istoric_Nativ'!$B$6:$B$405,E339,'Istoric_Nativ'!$C$6:$C$405,F339,'Istoric_Nativ'!$E$6:$E$405,G339,'Istoric_Nativ'!$D$6:$D$405,"&lt;"&amp;J339,'Istoric_Nativ'!$O$6:$O$405,"SOURCE CONFLICT")+COUNTIFS('Istoric_Nativ'!$B$6:$B$405,E339,'Istoric_Nativ'!$C$6:$C$405,F339,'Istoric_Nativ'!$F$6:$F$405,G339,'Istoric_Nativ'!$D$6:$D$405,"&lt;"&amp;J339,'Istoric_Nativ'!$O$6:$O$405,"INVALID")+COUNTIFS('Istoric_Nativ'!$B$6:$B$405,E339,'Istoric_Nativ'!$C$6:$C$405,F339,'Istoric_Nativ'!$F$6:$F$405,G339,'Istoric_Nativ'!$O$6:$O$405,"INVALID",'Istoric_Nativ'!$D$6:$D$405,"*")+COUNTIFS('Istoric_Nativ'!$B$6:$B$405,E339,'Istoric_Nativ'!$C$6:$C$405,F339,'Istoric_Nativ'!$F$6:$F$405,G339,'Istoric_Nativ'!$D$6:$D$405,"&lt;"&amp;J339,'Istoric_Nativ'!$O$6:$O$405,"SOURCE CONFLICT"))</x:f>
        <x:v>0</x:v>
      </x:c>
      <x:c r="T339" s="2" t="str">
        <x:f>IF(B339="","",IF(R339&lt;&gt;"CLOSED",R339,IF(S339&gt;0,"NATIVE INPUT ISSUE",IF(M339=0,"NO HISTORY",IF(M339&lt;P339,"SMALL SAMPLE","DERIVED")))))</x:f>
      </x:c>
      <x:c r="U339" s="2" t="str">
        <x:f>IF(B339="","","NativeTable; "&amp;E339&amp;"; "&amp;F339&amp;"; "&amp;G339&amp;"; "&amp;H339&amp;"; before "&amp;TEXT(J339,"yyyy-mm-dd")&amp;IF(I339="RECENT","; from "&amp;TEXT(L339,"yyyy-mm-dd"),""))</x:f>
      </x:c>
    </x:row>
    <x:row r="340" ht="21" customHeight="1">
      <x:c r="A340" s="2" t="n">
        <x:v>28</x:v>
      </x:c>
      <x:c r="B340" s="2" t="str">
        <x:f>IF('Input_Meci'!A33="","",'Input_Meci'!A33)</x:f>
      </x:c>
      <x:c r="C340" s="2" t="str">
        <x:v>A</x:v>
      </x:c>
      <x:c r="D340" s="2" t="str">
        <x:v>PRIOR</x:v>
      </x:c>
      <x:c r="E340" s="2" t="str">
        <x:f>IF(B340="","",'Input_Meci'!B33)</x:f>
      </x:c>
      <x:c r="F340" s="2" t="str">
        <x:f>IF(B340="","",IF('Input_Meci'!K33="","",'Input_Meci'!K33))</x:f>
      </x:c>
      <x:c r="G340" s="2" t="str">
        <x:f>IF(B340="","",'Input_Meci'!E33)</x:f>
      </x:c>
      <x:c r="H340" s="2" t="str">
        <x:v>AWAY</x:v>
      </x:c>
      <x:c r="I340" s="2" t="str">
        <x:v>HA</x:v>
      </x:c>
      <x:c r="J340" s="9" t="n">
        <x:f>IF(AND(B340&lt;&gt;"",ISNUMBER('Input_Meci'!G33)),INT('Input_Meci'!G33),0)</x:f>
        <x:v>0</x:v>
      </x:c>
      <x:c r="K340" s="2" t="n">
        <x:f>IF(OR(B340="",F340=""),0,IF(H340="HOME",COUNTIFS('Istoric_Nativ'!$B$6:$B$405,E340,'Istoric_Nativ'!$C$6:$C$405,F340,'Istoric_Nativ'!$E$6:$E$405,G340,'Istoric_Nativ'!$D$6:$D$405,"&lt;"&amp;J340,'Istoric_Nativ'!$P$6:$P$405,1),IF(H340="AWAY",COUNTIFS('Istoric_Nativ'!$B$6:$B$405,E340,'Istoric_Nativ'!$C$6:$C$405,F340,'Istoric_Nativ'!$F$6:$F$405,G340,'Istoric_Nativ'!$D$6:$D$405,"&lt;"&amp;J340,'Istoric_Nativ'!$P$6:$P$405,1),COUNTIFS('Istoric_Nativ'!$B$6:$B$405,E340,'Istoric_Nativ'!$C$6:$C$405,F340,'Istoric_Nativ'!$E$6:$E$405,G340,'Istoric_Nativ'!$D$6:$D$405,"&lt;"&amp;J340,'Istoric_Nativ'!$P$6:$P$405,1)+COUNTIFS('Istoric_Nativ'!$B$6:$B$405,E340,'Istoric_Nativ'!$C$6:$C$405,F340,'Istoric_Nativ'!$F$6:$F$405,G340,'Istoric_Nativ'!$D$6:$D$405,"&lt;"&amp;J340,'Istoric_Nativ'!$P$6:$P$405,1))))</x:f>
        <x:v>0</x:v>
      </x:c>
      <x:c r="L340" s="17" t="n">
        <x:f>IF(AND(B340&lt;&gt;"",I340="RECENT",K340&gt;0),LARGE(_xlfn._xlws.FILTER('Istoric_Nativ'!$D$6:$D$405,('Istoric_Nativ'!$B$6:$B$405=E340)*('Istoric_Nativ'!$C$6:$C$405=F340)*('Istoric_Nativ'!$P$6:$P$405=1)*('Istoric_Nativ'!$D$6:$D$405&lt;J340)*((('Istoric_Nativ'!$E$6:$E$405=G340)+('Istoric_Nativ'!$F$6:$F$405=G340))&gt;0)),MIN('Config_v6'!$B$54,K340)),0)</x:f>
        <x:v>0</x:v>
      </x:c>
      <x:c r="M340" s="2" t="n">
        <x:f>IF(OR(B340="",F340=""),0,IF(H340="HOME",COUNTIFS('Istoric_Nativ'!$B$6:$B$405,E340,'Istoric_Nativ'!$C$6:$C$405,F340,'Istoric_Nativ'!$E$6:$E$405,G340,'Istoric_Nativ'!$D$6:$D$405,"&lt;"&amp;J340,'Istoric_Nativ'!$P$6:$P$405,1,'Istoric_Nativ'!$D$6:$D$405,"&gt;="&amp;L340),IF(H340="AWAY",COUNTIFS('Istoric_Nativ'!$B$6:$B$405,E340,'Istoric_Nativ'!$C$6:$C$405,F340,'Istoric_Nativ'!$F$6:$F$405,G340,'Istoric_Nativ'!$D$6:$D$405,"&lt;"&amp;J340,'Istoric_Nativ'!$P$6:$P$405,1,'Istoric_Nativ'!$D$6:$D$405,"&gt;="&amp;L340),COUNTIFS('Istoric_Nativ'!$B$6:$B$405,E340,'Istoric_Nativ'!$C$6:$C$405,F340,'Istoric_Nativ'!$E$6:$E$405,G340,'Istoric_Nativ'!$D$6:$D$405,"&lt;"&amp;J340,'Istoric_Nativ'!$P$6:$P$405,1,'Istoric_Nativ'!$D$6:$D$405,"&gt;="&amp;L340)+COUNTIFS('Istoric_Nativ'!$B$6:$B$405,E340,'Istoric_Nativ'!$C$6:$C$405,F340,'Istoric_Nativ'!$F$6:$F$405,G340,'Istoric_Nativ'!$D$6:$D$405,"&lt;"&amp;J340,'Istoric_Nativ'!$P$6:$P$405,1,'Istoric_Nativ'!$D$6:$D$405,"&gt;="&amp;L340))))</x:f>
        <x:v>0</x:v>
      </x:c>
      <x:c r="N340" s="11" t="str">
        <x:f>IF(M340=0,"",IF(H340="HOME",SUMIFS('Istoric_Nativ'!$G$6:$G$405,'Istoric_Nativ'!$B$6:$B$405,E340,'Istoric_Nativ'!$C$6:$C$405,F340,'Istoric_Nativ'!$E$6:$E$405,G340,'Istoric_Nativ'!$D$6:$D$405,"&lt;"&amp;J340,'Istoric_Nativ'!$P$6:$P$405,1,'Istoric_Nativ'!$D$6:$D$405,"&gt;="&amp;L340),IF(H340="AWAY",SUMIFS('Istoric_Nativ'!$H$6:$H$405,'Istoric_Nativ'!$B$6:$B$405,E340,'Istoric_Nativ'!$C$6:$C$405,F340,'Istoric_Nativ'!$F$6:$F$405,G340,'Istoric_Nativ'!$D$6:$D$405,"&lt;"&amp;J340,'Istoric_Nativ'!$P$6:$P$405,1,'Istoric_Nativ'!$D$6:$D$405,"&gt;="&amp;L340),SUMIFS('Istoric_Nativ'!$G$6:$G$405,'Istoric_Nativ'!$B$6:$B$405,E340,'Istoric_Nativ'!$C$6:$C$405,F340,'Istoric_Nativ'!$E$6:$E$405,G340,'Istoric_Nativ'!$D$6:$D$405,"&lt;"&amp;J340,'Istoric_Nativ'!$P$6:$P$405,1,'Istoric_Nativ'!$D$6:$D$405,"&gt;="&amp;L340)+SUMIFS('Istoric_Nativ'!$H$6:$H$405,'Istoric_Nativ'!$B$6:$B$405,E340,'Istoric_Nativ'!$C$6:$C$405,F340,'Istoric_Nativ'!$F$6:$F$405,G340,'Istoric_Nativ'!$D$6:$D$405,"&lt;"&amp;J340,'Istoric_Nativ'!$P$6:$P$405,1,'Istoric_Nativ'!$D$6:$D$405,"&gt;="&amp;L340)))/M340)</x:f>
      </x:c>
      <x:c r="O340" s="11" t="str">
        <x:f>IF(M340=0,"",IF(H340="HOME",SUMIFS('Istoric_Nativ'!$H$6:$H$405,'Istoric_Nativ'!$B$6:$B$405,E340,'Istoric_Nativ'!$C$6:$C$405,F340,'Istoric_Nativ'!$E$6:$E$405,G340,'Istoric_Nativ'!$D$6:$D$405,"&lt;"&amp;J340,'Istoric_Nativ'!$P$6:$P$405,1,'Istoric_Nativ'!$D$6:$D$405,"&gt;="&amp;L340),IF(H340="AWAY",SUMIFS('Istoric_Nativ'!$G$6:$G$405,'Istoric_Nativ'!$B$6:$B$405,E340,'Istoric_Nativ'!$C$6:$C$405,F340,'Istoric_Nativ'!$F$6:$F$405,G340,'Istoric_Nativ'!$D$6:$D$405,"&lt;"&amp;J340,'Istoric_Nativ'!$P$6:$P$405,1,'Istoric_Nativ'!$D$6:$D$405,"&gt;="&amp;L340),SUMIFS('Istoric_Nativ'!$H$6:$H$405,'Istoric_Nativ'!$B$6:$B$405,E340,'Istoric_Nativ'!$C$6:$C$405,F340,'Istoric_Nativ'!$E$6:$E$405,G340,'Istoric_Nativ'!$D$6:$D$405,"&lt;"&amp;J340,'Istoric_Nativ'!$P$6:$P$405,1,'Istoric_Nativ'!$D$6:$D$405,"&gt;="&amp;L340)+SUMIFS('Istoric_Nativ'!$G$6:$G$405,'Istoric_Nativ'!$B$6:$B$405,E340,'Istoric_Nativ'!$C$6:$C$405,F340,'Istoric_Nativ'!$F$6:$F$405,G340,'Istoric_Nativ'!$D$6:$D$405,"&lt;"&amp;J340,'Istoric_Nativ'!$P$6:$P$405,1,'Istoric_Nativ'!$D$6:$D$405,"&gt;="&amp;L340)))/M340)</x:f>
      </x:c>
      <x:c r="P340" s="2" t="n">
        <x:f>'Config_v6'!$B$8</x:f>
        <x:v>5</x:v>
      </x:c>
      <x:c r="Q340" s="2" t="n">
        <x:f>IF(OR(B340="",F340=""),0,IFERROR(MATCH(E340&amp;"|"&amp;F340,SourceTable[Source_Key],0),0))</x:f>
        <x:v>0</x:v>
      </x:c>
      <x:c r="R340" s="2" t="str">
        <x:f>IF(B340="","",IF(F340="","UNUSED",IF(Q340=0,"NOT CHECKED",IF(COUNTIF(SourceTable[Source_Key],E340&amp;"|"&amp;F340)&lt;&gt;1,"SOURCE CONFLICT",IF(NOT(OR(INDEX(SourceTable[Status],MAX(1,Q340))="IMPORTED",INDEX(SourceTable[Status],MAX(1,Q340))="PARTIAL",INDEX(SourceTable[Status],MAX(1,Q340))="SOURCE CONFLICT")),"ACCESS BLOCKED",IF(OR(INDEX(SourceTable[Coverage],Q340)&lt;&gt;"FULL SEASON EXPORT",INDEX(SourceTable[URL],Q340)="",INDEX(SourceTable[SHA256],Q340)=""),"EVIDENCE INCOMPLETE",IF(AND('Input_Meci'!H33="LIVE",INDEX(SourceTable[Retrieved_UTC],Q340)&gt;'Input_Meci'!G33),"POST CUTOFF","CLOSED")))))))</x:f>
      </x:c>
      <x:c r="S340" s="2" t="n">
        <x:f>IF(OR(B340="",F340=""),0,COUNTIFS('Istoric_Nativ'!$B$6:$B$405,E340,'Istoric_Nativ'!$C$6:$C$405,F340,'Istoric_Nativ'!$E$6:$E$405,G340,'Istoric_Nativ'!$D$6:$D$405,"&lt;"&amp;J340,'Istoric_Nativ'!$O$6:$O$405,"INVALID")+COUNTIFS('Istoric_Nativ'!$B$6:$B$405,E340,'Istoric_Nativ'!$C$6:$C$405,F340,'Istoric_Nativ'!$E$6:$E$405,G340,'Istoric_Nativ'!$O$6:$O$405,"INVALID",'Istoric_Nativ'!$D$6:$D$405,"*")+COUNTIFS('Istoric_Nativ'!$B$6:$B$405,E340,'Istoric_Nativ'!$C$6:$C$405,F340,'Istoric_Nativ'!$E$6:$E$405,G340,'Istoric_Nativ'!$D$6:$D$405,"&lt;"&amp;J340,'Istoric_Nativ'!$O$6:$O$405,"SOURCE CONFLICT")+COUNTIFS('Istoric_Nativ'!$B$6:$B$405,E340,'Istoric_Nativ'!$C$6:$C$405,F340,'Istoric_Nativ'!$F$6:$F$405,G340,'Istoric_Nativ'!$D$6:$D$405,"&lt;"&amp;J340,'Istoric_Nativ'!$O$6:$O$405,"INVALID")+COUNTIFS('Istoric_Nativ'!$B$6:$B$405,E340,'Istoric_Nativ'!$C$6:$C$405,F340,'Istoric_Nativ'!$F$6:$F$405,G340,'Istoric_Nativ'!$O$6:$O$405,"INVALID",'Istoric_Nativ'!$D$6:$D$405,"*")+COUNTIFS('Istoric_Nativ'!$B$6:$B$405,E340,'Istoric_Nativ'!$C$6:$C$405,F340,'Istoric_Nativ'!$F$6:$F$405,G340,'Istoric_Nativ'!$D$6:$D$405,"&lt;"&amp;J340,'Istoric_Nativ'!$O$6:$O$405,"SOURCE CONFLICT"))</x:f>
        <x:v>0</x:v>
      </x:c>
      <x:c r="T340" s="2" t="str">
        <x:f>IF(B340="","",IF(R340&lt;&gt;"CLOSED",R340,IF(S340&gt;0,"NATIVE INPUT ISSUE",IF(M340=0,"NO HISTORY",IF(M340&lt;P340,"SMALL SAMPLE","DERIVED")))))</x:f>
      </x:c>
      <x:c r="U340" s="2" t="str">
        <x:f>IF(B340="","","NativeTable; "&amp;E340&amp;"; "&amp;F340&amp;"; "&amp;G340&amp;"; "&amp;H340&amp;"; before "&amp;TEXT(J340,"yyyy-mm-dd")&amp;IF(I340="RECENT","; from "&amp;TEXT(L340,"yyyy-mm-dd"),""))</x:f>
      </x:c>
    </x:row>
    <x:row r="341" ht="21" customHeight="1">
      <x:c r="A341" s="2" t="n">
        <x:v>28</x:v>
      </x:c>
      <x:c r="B341" s="2" t="str">
        <x:f>IF('Input_Meci'!A33="","",'Input_Meci'!A33)</x:f>
      </x:c>
      <x:c r="C341" s="2" t="str">
        <x:v>A</x:v>
      </x:c>
      <x:c r="D341" s="2" t="str">
        <x:v>PRIOR</x:v>
      </x:c>
      <x:c r="E341" s="2" t="str">
        <x:f>IF(B341="","",'Input_Meci'!B33)</x:f>
      </x:c>
      <x:c r="F341" s="2" t="str">
        <x:f>IF(B341="","",IF('Input_Meci'!K33="","",'Input_Meci'!K33))</x:f>
      </x:c>
      <x:c r="G341" s="2" t="str">
        <x:f>IF(B341="","",'Input_Meci'!E33)</x:f>
      </x:c>
      <x:c r="H341" s="2" t="str">
        <x:v>ANY</x:v>
      </x:c>
      <x:c r="I341" s="2" t="str">
        <x:v>RECENT</x:v>
      </x:c>
      <x:c r="J341" s="9" t="n">
        <x:f>IF(AND(B341&lt;&gt;"",ISNUMBER('Input_Meci'!G33)),INT('Input_Meci'!G33),0)</x:f>
        <x:v>0</x:v>
      </x:c>
      <x:c r="K341" s="2" t="n">
        <x:f>IF(OR(B341="",F341=""),0,IF(H341="HOME",COUNTIFS('Istoric_Nativ'!$B$6:$B$405,E341,'Istoric_Nativ'!$C$6:$C$405,F341,'Istoric_Nativ'!$E$6:$E$405,G341,'Istoric_Nativ'!$D$6:$D$405,"&lt;"&amp;J341,'Istoric_Nativ'!$P$6:$P$405,1),IF(H341="AWAY",COUNTIFS('Istoric_Nativ'!$B$6:$B$405,E341,'Istoric_Nativ'!$C$6:$C$405,F341,'Istoric_Nativ'!$F$6:$F$405,G341,'Istoric_Nativ'!$D$6:$D$405,"&lt;"&amp;J341,'Istoric_Nativ'!$P$6:$P$405,1),COUNTIFS('Istoric_Nativ'!$B$6:$B$405,E341,'Istoric_Nativ'!$C$6:$C$405,F341,'Istoric_Nativ'!$E$6:$E$405,G341,'Istoric_Nativ'!$D$6:$D$405,"&lt;"&amp;J341,'Istoric_Nativ'!$P$6:$P$405,1)+COUNTIFS('Istoric_Nativ'!$B$6:$B$405,E341,'Istoric_Nativ'!$C$6:$C$405,F341,'Istoric_Nativ'!$F$6:$F$405,G341,'Istoric_Nativ'!$D$6:$D$405,"&lt;"&amp;J341,'Istoric_Nativ'!$P$6:$P$405,1))))</x:f>
        <x:v>0</x:v>
      </x:c>
      <x:c r="L341" s="17" t="n">
        <x:f>IF(AND(B341&lt;&gt;"",I341="RECENT",K341&gt;0),LARGE(_xlfn._xlws.FILTER('Istoric_Nativ'!$D$6:$D$405,('Istoric_Nativ'!$B$6:$B$405=E341)*('Istoric_Nativ'!$C$6:$C$405=F341)*('Istoric_Nativ'!$P$6:$P$405=1)*('Istoric_Nativ'!$D$6:$D$405&lt;J341)*((('Istoric_Nativ'!$E$6:$E$405=G341)+('Istoric_Nativ'!$F$6:$F$405=G341))&gt;0)),MIN('Config_v6'!$B$54,K341)),0)</x:f>
        <x:v>0</x:v>
      </x:c>
      <x:c r="M341" s="2" t="n">
        <x:f>IF(OR(B341="",F341=""),0,IF(H341="HOME",COUNTIFS('Istoric_Nativ'!$B$6:$B$405,E341,'Istoric_Nativ'!$C$6:$C$405,F341,'Istoric_Nativ'!$E$6:$E$405,G341,'Istoric_Nativ'!$D$6:$D$405,"&lt;"&amp;J341,'Istoric_Nativ'!$P$6:$P$405,1,'Istoric_Nativ'!$D$6:$D$405,"&gt;="&amp;L341),IF(H341="AWAY",COUNTIFS('Istoric_Nativ'!$B$6:$B$405,E341,'Istoric_Nativ'!$C$6:$C$405,F341,'Istoric_Nativ'!$F$6:$F$405,G341,'Istoric_Nativ'!$D$6:$D$405,"&lt;"&amp;J341,'Istoric_Nativ'!$P$6:$P$405,1,'Istoric_Nativ'!$D$6:$D$405,"&gt;="&amp;L341),COUNTIFS('Istoric_Nativ'!$B$6:$B$405,E341,'Istoric_Nativ'!$C$6:$C$405,F341,'Istoric_Nativ'!$E$6:$E$405,G341,'Istoric_Nativ'!$D$6:$D$405,"&lt;"&amp;J341,'Istoric_Nativ'!$P$6:$P$405,1,'Istoric_Nativ'!$D$6:$D$405,"&gt;="&amp;L341)+COUNTIFS('Istoric_Nativ'!$B$6:$B$405,E341,'Istoric_Nativ'!$C$6:$C$405,F341,'Istoric_Nativ'!$F$6:$F$405,G341,'Istoric_Nativ'!$D$6:$D$405,"&lt;"&amp;J341,'Istoric_Nativ'!$P$6:$P$405,1,'Istoric_Nativ'!$D$6:$D$405,"&gt;="&amp;L341))))</x:f>
        <x:v>0</x:v>
      </x:c>
      <x:c r="N341" s="11" t="str">
        <x:f>IF(M341=0,"",IF(H341="HOME",SUMIFS('Istoric_Nativ'!$G$6:$G$405,'Istoric_Nativ'!$B$6:$B$405,E341,'Istoric_Nativ'!$C$6:$C$405,F341,'Istoric_Nativ'!$E$6:$E$405,G341,'Istoric_Nativ'!$D$6:$D$405,"&lt;"&amp;J341,'Istoric_Nativ'!$P$6:$P$405,1,'Istoric_Nativ'!$D$6:$D$405,"&gt;="&amp;L341),IF(H341="AWAY",SUMIFS('Istoric_Nativ'!$H$6:$H$405,'Istoric_Nativ'!$B$6:$B$405,E341,'Istoric_Nativ'!$C$6:$C$405,F341,'Istoric_Nativ'!$F$6:$F$405,G341,'Istoric_Nativ'!$D$6:$D$405,"&lt;"&amp;J341,'Istoric_Nativ'!$P$6:$P$405,1,'Istoric_Nativ'!$D$6:$D$405,"&gt;="&amp;L341),SUMIFS('Istoric_Nativ'!$G$6:$G$405,'Istoric_Nativ'!$B$6:$B$405,E341,'Istoric_Nativ'!$C$6:$C$405,F341,'Istoric_Nativ'!$E$6:$E$405,G341,'Istoric_Nativ'!$D$6:$D$405,"&lt;"&amp;J341,'Istoric_Nativ'!$P$6:$P$405,1,'Istoric_Nativ'!$D$6:$D$405,"&gt;="&amp;L341)+SUMIFS('Istoric_Nativ'!$H$6:$H$405,'Istoric_Nativ'!$B$6:$B$405,E341,'Istoric_Nativ'!$C$6:$C$405,F341,'Istoric_Nativ'!$F$6:$F$405,G341,'Istoric_Nativ'!$D$6:$D$405,"&lt;"&amp;J341,'Istoric_Nativ'!$P$6:$P$405,1,'Istoric_Nativ'!$D$6:$D$405,"&gt;="&amp;L341)))/M341)</x:f>
      </x:c>
      <x:c r="O341" s="11" t="str">
        <x:f>IF(M341=0,"",IF(H341="HOME",SUMIFS('Istoric_Nativ'!$H$6:$H$405,'Istoric_Nativ'!$B$6:$B$405,E341,'Istoric_Nativ'!$C$6:$C$405,F341,'Istoric_Nativ'!$E$6:$E$405,G341,'Istoric_Nativ'!$D$6:$D$405,"&lt;"&amp;J341,'Istoric_Nativ'!$P$6:$P$405,1,'Istoric_Nativ'!$D$6:$D$405,"&gt;="&amp;L341),IF(H341="AWAY",SUMIFS('Istoric_Nativ'!$G$6:$G$405,'Istoric_Nativ'!$B$6:$B$405,E341,'Istoric_Nativ'!$C$6:$C$405,F341,'Istoric_Nativ'!$F$6:$F$405,G341,'Istoric_Nativ'!$D$6:$D$405,"&lt;"&amp;J341,'Istoric_Nativ'!$P$6:$P$405,1,'Istoric_Nativ'!$D$6:$D$405,"&gt;="&amp;L341),SUMIFS('Istoric_Nativ'!$H$6:$H$405,'Istoric_Nativ'!$B$6:$B$405,E341,'Istoric_Nativ'!$C$6:$C$405,F341,'Istoric_Nativ'!$E$6:$E$405,G341,'Istoric_Nativ'!$D$6:$D$405,"&lt;"&amp;J341,'Istoric_Nativ'!$P$6:$P$405,1,'Istoric_Nativ'!$D$6:$D$405,"&gt;="&amp;L341)+SUMIFS('Istoric_Nativ'!$G$6:$G$405,'Istoric_Nativ'!$B$6:$B$405,E341,'Istoric_Nativ'!$C$6:$C$405,F341,'Istoric_Nativ'!$F$6:$F$405,G341,'Istoric_Nativ'!$D$6:$D$405,"&lt;"&amp;J341,'Istoric_Nativ'!$P$6:$P$405,1,'Istoric_Nativ'!$D$6:$D$405,"&gt;="&amp;L341)))/M341)</x:f>
      </x:c>
      <x:c r="P341" s="2" t="n">
        <x:f>'Config_v6'!$B$9</x:f>
        <x:v>3</x:v>
      </x:c>
      <x:c r="Q341" s="2" t="n">
        <x:f>IF(OR(B341="",F341=""),0,IFERROR(MATCH(E341&amp;"|"&amp;F341,SourceTable[Source_Key],0),0))</x:f>
        <x:v>0</x:v>
      </x:c>
      <x:c r="R341" s="2" t="str">
        <x:f>IF(B341="","",IF(F341="","UNUSED",IF(Q341=0,"NOT CHECKED",IF(COUNTIF(SourceTable[Source_Key],E341&amp;"|"&amp;F341)&lt;&gt;1,"SOURCE CONFLICT",IF(NOT(OR(INDEX(SourceTable[Status],MAX(1,Q341))="IMPORTED",INDEX(SourceTable[Status],MAX(1,Q341))="PARTIAL",INDEX(SourceTable[Status],MAX(1,Q341))="SOURCE CONFLICT")),"ACCESS BLOCKED",IF(OR(INDEX(SourceTable[Coverage],Q341)&lt;&gt;"FULL SEASON EXPORT",INDEX(SourceTable[URL],Q341)="",INDEX(SourceTable[SHA256],Q341)=""),"EVIDENCE INCOMPLETE",IF(AND('Input_Meci'!H33="LIVE",INDEX(SourceTable[Retrieved_UTC],Q341)&gt;'Input_Meci'!G33),"POST CUTOFF","CLOSED")))))))</x:f>
      </x:c>
      <x:c r="S341" s="2" t="n">
        <x:f>IF(OR(B341="",F341=""),0,COUNTIFS('Istoric_Nativ'!$B$6:$B$405,E341,'Istoric_Nativ'!$C$6:$C$405,F341,'Istoric_Nativ'!$E$6:$E$405,G341,'Istoric_Nativ'!$D$6:$D$405,"&lt;"&amp;J341,'Istoric_Nativ'!$O$6:$O$405,"INVALID")+COUNTIFS('Istoric_Nativ'!$B$6:$B$405,E341,'Istoric_Nativ'!$C$6:$C$405,F341,'Istoric_Nativ'!$E$6:$E$405,G341,'Istoric_Nativ'!$O$6:$O$405,"INVALID",'Istoric_Nativ'!$D$6:$D$405,"*")+COUNTIFS('Istoric_Nativ'!$B$6:$B$405,E341,'Istoric_Nativ'!$C$6:$C$405,F341,'Istoric_Nativ'!$E$6:$E$405,G341,'Istoric_Nativ'!$D$6:$D$405,"&lt;"&amp;J341,'Istoric_Nativ'!$O$6:$O$405,"SOURCE CONFLICT")+COUNTIFS('Istoric_Nativ'!$B$6:$B$405,E341,'Istoric_Nativ'!$C$6:$C$405,F341,'Istoric_Nativ'!$F$6:$F$405,G341,'Istoric_Nativ'!$D$6:$D$405,"&lt;"&amp;J341,'Istoric_Nativ'!$O$6:$O$405,"INVALID")+COUNTIFS('Istoric_Nativ'!$B$6:$B$405,E341,'Istoric_Nativ'!$C$6:$C$405,F341,'Istoric_Nativ'!$F$6:$F$405,G341,'Istoric_Nativ'!$O$6:$O$405,"INVALID",'Istoric_Nativ'!$D$6:$D$405,"*")+COUNTIFS('Istoric_Nativ'!$B$6:$B$405,E341,'Istoric_Nativ'!$C$6:$C$405,F341,'Istoric_Nativ'!$F$6:$F$405,G341,'Istoric_Nativ'!$D$6:$D$405,"&lt;"&amp;J341,'Istoric_Nativ'!$O$6:$O$405,"SOURCE CONFLICT"))</x:f>
        <x:v>0</x:v>
      </x:c>
      <x:c r="T341" s="2" t="str">
        <x:f>IF(B341="","",IF(R341&lt;&gt;"CLOSED",R341,IF(S341&gt;0,"NATIVE INPUT ISSUE",IF(M341=0,"NO HISTORY",IF(M341&lt;P341,"SMALL SAMPLE","DERIVED")))))</x:f>
      </x:c>
      <x:c r="U341" s="2" t="str">
        <x:f>IF(B341="","","NativeTable; "&amp;E341&amp;"; "&amp;F341&amp;"; "&amp;G341&amp;"; "&amp;H341&amp;"; before "&amp;TEXT(J341,"yyyy-mm-dd")&amp;IF(I341="RECENT","; from "&amp;TEXT(L341,"yyyy-mm-dd"),""))</x:f>
      </x:c>
    </x:row>
    <x:row r="342" ht="21" customHeight="1">
      <x:c r="A342" s="2" t="n">
        <x:v>29</x:v>
      </x:c>
      <x:c r="B342" s="2" t="str">
        <x:f>IF('Input_Meci'!A34="","",'Input_Meci'!A34)</x:f>
      </x:c>
      <x:c r="C342" s="2" t="str">
        <x:v>H</x:v>
      </x:c>
      <x:c r="D342" s="2" t="str">
        <x:v>CURRENT</x:v>
      </x:c>
      <x:c r="E342" s="2" t="str">
        <x:f>IF(B342="","",'Input_Meci'!B34)</x:f>
      </x:c>
      <x:c r="F342" s="2" t="str">
        <x:f>IF(B342="","",IF('Input_Meci'!C34="","",'Input_Meci'!C34))</x:f>
      </x:c>
      <x:c r="G342" s="2" t="str">
        <x:f>IF(B342="","",'Input_Meci'!D34)</x:f>
      </x:c>
      <x:c r="H342" s="2" t="str">
        <x:v>ANY</x:v>
      </x:c>
      <x:c r="I342" s="2" t="str">
        <x:v>SEASON</x:v>
      </x:c>
      <x:c r="J342" s="9" t="n">
        <x:f>IF(AND(B342&lt;&gt;"",ISNUMBER('Input_Meci'!G34)),INT('Input_Meci'!G34),0)</x:f>
        <x:v>0</x:v>
      </x:c>
      <x:c r="K342" s="2" t="n">
        <x:f>IF(OR(B342="",F342=""),0,IF(H342="HOME",COUNTIFS('Istoric_Nativ'!$B$6:$B$405,E342,'Istoric_Nativ'!$C$6:$C$405,F342,'Istoric_Nativ'!$E$6:$E$405,G342,'Istoric_Nativ'!$D$6:$D$405,"&lt;"&amp;J342,'Istoric_Nativ'!$P$6:$P$405,1),IF(H342="AWAY",COUNTIFS('Istoric_Nativ'!$B$6:$B$405,E342,'Istoric_Nativ'!$C$6:$C$405,F342,'Istoric_Nativ'!$F$6:$F$405,G342,'Istoric_Nativ'!$D$6:$D$405,"&lt;"&amp;J342,'Istoric_Nativ'!$P$6:$P$405,1),COUNTIFS('Istoric_Nativ'!$B$6:$B$405,E342,'Istoric_Nativ'!$C$6:$C$405,F342,'Istoric_Nativ'!$E$6:$E$405,G342,'Istoric_Nativ'!$D$6:$D$405,"&lt;"&amp;J342,'Istoric_Nativ'!$P$6:$P$405,1)+COUNTIFS('Istoric_Nativ'!$B$6:$B$405,E342,'Istoric_Nativ'!$C$6:$C$405,F342,'Istoric_Nativ'!$F$6:$F$405,G342,'Istoric_Nativ'!$D$6:$D$405,"&lt;"&amp;J342,'Istoric_Nativ'!$P$6:$P$405,1))))</x:f>
        <x:v>0</x:v>
      </x:c>
      <x:c r="L342" s="17" t="n">
        <x:f>IF(AND(B342&lt;&gt;"",I342="RECENT",K342&gt;0),LARGE(_xlfn._xlws.FILTER('Istoric_Nativ'!$D$6:$D$405,('Istoric_Nativ'!$B$6:$B$405=E342)*('Istoric_Nativ'!$C$6:$C$405=F342)*('Istoric_Nativ'!$P$6:$P$405=1)*('Istoric_Nativ'!$D$6:$D$405&lt;J342)*((('Istoric_Nativ'!$E$6:$E$405=G342)+('Istoric_Nativ'!$F$6:$F$405=G342))&gt;0)),MIN('Config_v6'!$B$54,K342)),0)</x:f>
        <x:v>0</x:v>
      </x:c>
      <x:c r="M342" s="2" t="n">
        <x:f>IF(OR(B342="",F342=""),0,IF(H342="HOME",COUNTIFS('Istoric_Nativ'!$B$6:$B$405,E342,'Istoric_Nativ'!$C$6:$C$405,F342,'Istoric_Nativ'!$E$6:$E$405,G342,'Istoric_Nativ'!$D$6:$D$405,"&lt;"&amp;J342,'Istoric_Nativ'!$P$6:$P$405,1,'Istoric_Nativ'!$D$6:$D$405,"&gt;="&amp;L342),IF(H342="AWAY",COUNTIFS('Istoric_Nativ'!$B$6:$B$405,E342,'Istoric_Nativ'!$C$6:$C$405,F342,'Istoric_Nativ'!$F$6:$F$405,G342,'Istoric_Nativ'!$D$6:$D$405,"&lt;"&amp;J342,'Istoric_Nativ'!$P$6:$P$405,1,'Istoric_Nativ'!$D$6:$D$405,"&gt;="&amp;L342),COUNTIFS('Istoric_Nativ'!$B$6:$B$405,E342,'Istoric_Nativ'!$C$6:$C$405,F342,'Istoric_Nativ'!$E$6:$E$405,G342,'Istoric_Nativ'!$D$6:$D$405,"&lt;"&amp;J342,'Istoric_Nativ'!$P$6:$P$405,1,'Istoric_Nativ'!$D$6:$D$405,"&gt;="&amp;L342)+COUNTIFS('Istoric_Nativ'!$B$6:$B$405,E342,'Istoric_Nativ'!$C$6:$C$405,F342,'Istoric_Nativ'!$F$6:$F$405,G342,'Istoric_Nativ'!$D$6:$D$405,"&lt;"&amp;J342,'Istoric_Nativ'!$P$6:$P$405,1,'Istoric_Nativ'!$D$6:$D$405,"&gt;="&amp;L342))))</x:f>
        <x:v>0</x:v>
      </x:c>
      <x:c r="N342" s="11" t="str">
        <x:f>IF(M342=0,"",IF(H342="HOME",SUMIFS('Istoric_Nativ'!$G$6:$G$405,'Istoric_Nativ'!$B$6:$B$405,E342,'Istoric_Nativ'!$C$6:$C$405,F342,'Istoric_Nativ'!$E$6:$E$405,G342,'Istoric_Nativ'!$D$6:$D$405,"&lt;"&amp;J342,'Istoric_Nativ'!$P$6:$P$405,1,'Istoric_Nativ'!$D$6:$D$405,"&gt;="&amp;L342),IF(H342="AWAY",SUMIFS('Istoric_Nativ'!$H$6:$H$405,'Istoric_Nativ'!$B$6:$B$405,E342,'Istoric_Nativ'!$C$6:$C$405,F342,'Istoric_Nativ'!$F$6:$F$405,G342,'Istoric_Nativ'!$D$6:$D$405,"&lt;"&amp;J342,'Istoric_Nativ'!$P$6:$P$405,1,'Istoric_Nativ'!$D$6:$D$405,"&gt;="&amp;L342),SUMIFS('Istoric_Nativ'!$G$6:$G$405,'Istoric_Nativ'!$B$6:$B$405,E342,'Istoric_Nativ'!$C$6:$C$405,F342,'Istoric_Nativ'!$E$6:$E$405,G342,'Istoric_Nativ'!$D$6:$D$405,"&lt;"&amp;J342,'Istoric_Nativ'!$P$6:$P$405,1,'Istoric_Nativ'!$D$6:$D$405,"&gt;="&amp;L342)+SUMIFS('Istoric_Nativ'!$H$6:$H$405,'Istoric_Nativ'!$B$6:$B$405,E342,'Istoric_Nativ'!$C$6:$C$405,F342,'Istoric_Nativ'!$F$6:$F$405,G342,'Istoric_Nativ'!$D$6:$D$405,"&lt;"&amp;J342,'Istoric_Nativ'!$P$6:$P$405,1,'Istoric_Nativ'!$D$6:$D$405,"&gt;="&amp;L342)))/M342)</x:f>
      </x:c>
      <x:c r="O342" s="11" t="str">
        <x:f>IF(M342=0,"",IF(H342="HOME",SUMIFS('Istoric_Nativ'!$H$6:$H$405,'Istoric_Nativ'!$B$6:$B$405,E342,'Istoric_Nativ'!$C$6:$C$405,F342,'Istoric_Nativ'!$E$6:$E$405,G342,'Istoric_Nativ'!$D$6:$D$405,"&lt;"&amp;J342,'Istoric_Nativ'!$P$6:$P$405,1,'Istoric_Nativ'!$D$6:$D$405,"&gt;="&amp;L342),IF(H342="AWAY",SUMIFS('Istoric_Nativ'!$G$6:$G$405,'Istoric_Nativ'!$B$6:$B$405,E342,'Istoric_Nativ'!$C$6:$C$405,F342,'Istoric_Nativ'!$F$6:$F$405,G342,'Istoric_Nativ'!$D$6:$D$405,"&lt;"&amp;J342,'Istoric_Nativ'!$P$6:$P$405,1,'Istoric_Nativ'!$D$6:$D$405,"&gt;="&amp;L342),SUMIFS('Istoric_Nativ'!$H$6:$H$405,'Istoric_Nativ'!$B$6:$B$405,E342,'Istoric_Nativ'!$C$6:$C$405,F342,'Istoric_Nativ'!$E$6:$E$405,G342,'Istoric_Nativ'!$D$6:$D$405,"&lt;"&amp;J342,'Istoric_Nativ'!$P$6:$P$405,1,'Istoric_Nativ'!$D$6:$D$405,"&gt;="&amp;L342)+SUMIFS('Istoric_Nativ'!$G$6:$G$405,'Istoric_Nativ'!$B$6:$B$405,E342,'Istoric_Nativ'!$C$6:$C$405,F342,'Istoric_Nativ'!$F$6:$F$405,G342,'Istoric_Nativ'!$D$6:$D$405,"&lt;"&amp;J342,'Istoric_Nativ'!$P$6:$P$405,1,'Istoric_Nativ'!$D$6:$D$405,"&gt;="&amp;L342)))/M342)</x:f>
      </x:c>
      <x:c r="P342" s="2" t="n">
        <x:f>'Config_v6'!$B$7</x:f>
        <x:v>10</x:v>
      </x:c>
      <x:c r="Q342" s="2" t="n">
        <x:f>IF(OR(B342="",F342=""),0,IFERROR(MATCH(E342&amp;"|"&amp;F342,SourceTable[Source_Key],0),0))</x:f>
        <x:v>0</x:v>
      </x:c>
      <x:c r="R342" s="2" t="str">
        <x:f>IF(B342="","",IF(F342="","UNUSED",IF(Q342=0,"NOT CHECKED",IF(COUNTIF(SourceTable[Source_Key],E342&amp;"|"&amp;F342)&lt;&gt;1,"SOURCE CONFLICT",IF(NOT(OR(INDEX(SourceTable[Status],MAX(1,Q342))="IMPORTED",INDEX(SourceTable[Status],MAX(1,Q342))="PARTIAL",INDEX(SourceTable[Status],MAX(1,Q342))="SOURCE CONFLICT")),"ACCESS BLOCKED",IF(OR(INDEX(SourceTable[Coverage],Q342)&lt;&gt;"FULL SEASON EXPORT",INDEX(SourceTable[URL],Q342)="",INDEX(SourceTable[SHA256],Q342)=""),"EVIDENCE INCOMPLETE",IF(AND('Input_Meci'!H34="LIVE",INDEX(SourceTable[Retrieved_UTC],Q342)&gt;'Input_Meci'!G34),"POST CUTOFF","CLOSED")))))))</x:f>
      </x:c>
      <x:c r="S342" s="2" t="n">
        <x:f>IF(OR(B342="",F342=""),0,COUNTIFS('Istoric_Nativ'!$B$6:$B$405,E342,'Istoric_Nativ'!$C$6:$C$405,F342,'Istoric_Nativ'!$E$6:$E$405,G342,'Istoric_Nativ'!$D$6:$D$405,"&lt;"&amp;J342,'Istoric_Nativ'!$O$6:$O$405,"INVALID")+COUNTIFS('Istoric_Nativ'!$B$6:$B$405,E342,'Istoric_Nativ'!$C$6:$C$405,F342,'Istoric_Nativ'!$E$6:$E$405,G342,'Istoric_Nativ'!$O$6:$O$405,"INVALID",'Istoric_Nativ'!$D$6:$D$405,"*")+COUNTIFS('Istoric_Nativ'!$B$6:$B$405,E342,'Istoric_Nativ'!$C$6:$C$405,F342,'Istoric_Nativ'!$E$6:$E$405,G342,'Istoric_Nativ'!$D$6:$D$405,"&lt;"&amp;J342,'Istoric_Nativ'!$O$6:$O$405,"SOURCE CONFLICT")+COUNTIFS('Istoric_Nativ'!$B$6:$B$405,E342,'Istoric_Nativ'!$C$6:$C$405,F342,'Istoric_Nativ'!$F$6:$F$405,G342,'Istoric_Nativ'!$D$6:$D$405,"&lt;"&amp;J342,'Istoric_Nativ'!$O$6:$O$405,"INVALID")+COUNTIFS('Istoric_Nativ'!$B$6:$B$405,E342,'Istoric_Nativ'!$C$6:$C$405,F342,'Istoric_Nativ'!$F$6:$F$405,G342,'Istoric_Nativ'!$O$6:$O$405,"INVALID",'Istoric_Nativ'!$D$6:$D$405,"*")+COUNTIFS('Istoric_Nativ'!$B$6:$B$405,E342,'Istoric_Nativ'!$C$6:$C$405,F342,'Istoric_Nativ'!$F$6:$F$405,G342,'Istoric_Nativ'!$D$6:$D$405,"&lt;"&amp;J342,'Istoric_Nativ'!$O$6:$O$405,"SOURCE CONFLICT"))</x:f>
        <x:v>0</x:v>
      </x:c>
      <x:c r="T342" s="2" t="str">
        <x:f>IF(B342="","",IF(R342&lt;&gt;"CLOSED",R342,IF(S342&gt;0,"NATIVE INPUT ISSUE",IF(M342=0,"NO HISTORY",IF(M342&lt;P342,"SMALL SAMPLE","DERIVED")))))</x:f>
      </x:c>
      <x:c r="U342" s="2" t="str">
        <x:f>IF(B342="","","NativeTable; "&amp;E342&amp;"; "&amp;F342&amp;"; "&amp;G342&amp;"; "&amp;H342&amp;"; before "&amp;TEXT(J342,"yyyy-mm-dd")&amp;IF(I342="RECENT","; from "&amp;TEXT(L342,"yyyy-mm-dd"),""))</x:f>
      </x:c>
    </x:row>
    <x:row r="343" ht="21" customHeight="1">
      <x:c r="A343" s="2" t="n">
        <x:v>29</x:v>
      </x:c>
      <x:c r="B343" s="2" t="str">
        <x:f>IF('Input_Meci'!A34="","",'Input_Meci'!A34)</x:f>
      </x:c>
      <x:c r="C343" s="2" t="str">
        <x:v>H</x:v>
      </x:c>
      <x:c r="D343" s="2" t="str">
        <x:v>CURRENT</x:v>
      </x:c>
      <x:c r="E343" s="2" t="str">
        <x:f>IF(B343="","",'Input_Meci'!B34)</x:f>
      </x:c>
      <x:c r="F343" s="2" t="str">
        <x:f>IF(B343="","",IF('Input_Meci'!C34="","",'Input_Meci'!C34))</x:f>
      </x:c>
      <x:c r="G343" s="2" t="str">
        <x:f>IF(B343="","",'Input_Meci'!D34)</x:f>
      </x:c>
      <x:c r="H343" s="2" t="str">
        <x:v>HOME</x:v>
      </x:c>
      <x:c r="I343" s="2" t="str">
        <x:v>HA</x:v>
      </x:c>
      <x:c r="J343" s="9" t="n">
        <x:f>IF(AND(B343&lt;&gt;"",ISNUMBER('Input_Meci'!G34)),INT('Input_Meci'!G34),0)</x:f>
        <x:v>0</x:v>
      </x:c>
      <x:c r="K343" s="2" t="n">
        <x:f>IF(OR(B343="",F343=""),0,IF(H343="HOME",COUNTIFS('Istoric_Nativ'!$B$6:$B$405,E343,'Istoric_Nativ'!$C$6:$C$405,F343,'Istoric_Nativ'!$E$6:$E$405,G343,'Istoric_Nativ'!$D$6:$D$405,"&lt;"&amp;J343,'Istoric_Nativ'!$P$6:$P$405,1),IF(H343="AWAY",COUNTIFS('Istoric_Nativ'!$B$6:$B$405,E343,'Istoric_Nativ'!$C$6:$C$405,F343,'Istoric_Nativ'!$F$6:$F$405,G343,'Istoric_Nativ'!$D$6:$D$405,"&lt;"&amp;J343,'Istoric_Nativ'!$P$6:$P$405,1),COUNTIFS('Istoric_Nativ'!$B$6:$B$405,E343,'Istoric_Nativ'!$C$6:$C$405,F343,'Istoric_Nativ'!$E$6:$E$405,G343,'Istoric_Nativ'!$D$6:$D$405,"&lt;"&amp;J343,'Istoric_Nativ'!$P$6:$P$405,1)+COUNTIFS('Istoric_Nativ'!$B$6:$B$405,E343,'Istoric_Nativ'!$C$6:$C$405,F343,'Istoric_Nativ'!$F$6:$F$405,G343,'Istoric_Nativ'!$D$6:$D$405,"&lt;"&amp;J343,'Istoric_Nativ'!$P$6:$P$405,1))))</x:f>
        <x:v>0</x:v>
      </x:c>
      <x:c r="L343" s="17" t="n">
        <x:f>IF(AND(B343&lt;&gt;"",I343="RECENT",K343&gt;0),LARGE(_xlfn._xlws.FILTER('Istoric_Nativ'!$D$6:$D$405,('Istoric_Nativ'!$B$6:$B$405=E343)*('Istoric_Nativ'!$C$6:$C$405=F343)*('Istoric_Nativ'!$P$6:$P$405=1)*('Istoric_Nativ'!$D$6:$D$405&lt;J343)*((('Istoric_Nativ'!$E$6:$E$405=G343)+('Istoric_Nativ'!$F$6:$F$405=G343))&gt;0)),MIN('Config_v6'!$B$54,K343)),0)</x:f>
        <x:v>0</x:v>
      </x:c>
      <x:c r="M343" s="2" t="n">
        <x:f>IF(OR(B343="",F343=""),0,IF(H343="HOME",COUNTIFS('Istoric_Nativ'!$B$6:$B$405,E343,'Istoric_Nativ'!$C$6:$C$405,F343,'Istoric_Nativ'!$E$6:$E$405,G343,'Istoric_Nativ'!$D$6:$D$405,"&lt;"&amp;J343,'Istoric_Nativ'!$P$6:$P$405,1,'Istoric_Nativ'!$D$6:$D$405,"&gt;="&amp;L343),IF(H343="AWAY",COUNTIFS('Istoric_Nativ'!$B$6:$B$405,E343,'Istoric_Nativ'!$C$6:$C$405,F343,'Istoric_Nativ'!$F$6:$F$405,G343,'Istoric_Nativ'!$D$6:$D$405,"&lt;"&amp;J343,'Istoric_Nativ'!$P$6:$P$405,1,'Istoric_Nativ'!$D$6:$D$405,"&gt;="&amp;L343),COUNTIFS('Istoric_Nativ'!$B$6:$B$405,E343,'Istoric_Nativ'!$C$6:$C$405,F343,'Istoric_Nativ'!$E$6:$E$405,G343,'Istoric_Nativ'!$D$6:$D$405,"&lt;"&amp;J343,'Istoric_Nativ'!$P$6:$P$405,1,'Istoric_Nativ'!$D$6:$D$405,"&gt;="&amp;L343)+COUNTIFS('Istoric_Nativ'!$B$6:$B$405,E343,'Istoric_Nativ'!$C$6:$C$405,F343,'Istoric_Nativ'!$F$6:$F$405,G343,'Istoric_Nativ'!$D$6:$D$405,"&lt;"&amp;J343,'Istoric_Nativ'!$P$6:$P$405,1,'Istoric_Nativ'!$D$6:$D$405,"&gt;="&amp;L343))))</x:f>
        <x:v>0</x:v>
      </x:c>
      <x:c r="N343" s="11" t="str">
        <x:f>IF(M343=0,"",IF(H343="HOME",SUMIFS('Istoric_Nativ'!$G$6:$G$405,'Istoric_Nativ'!$B$6:$B$405,E343,'Istoric_Nativ'!$C$6:$C$405,F343,'Istoric_Nativ'!$E$6:$E$405,G343,'Istoric_Nativ'!$D$6:$D$405,"&lt;"&amp;J343,'Istoric_Nativ'!$P$6:$P$405,1,'Istoric_Nativ'!$D$6:$D$405,"&gt;="&amp;L343),IF(H343="AWAY",SUMIFS('Istoric_Nativ'!$H$6:$H$405,'Istoric_Nativ'!$B$6:$B$405,E343,'Istoric_Nativ'!$C$6:$C$405,F343,'Istoric_Nativ'!$F$6:$F$405,G343,'Istoric_Nativ'!$D$6:$D$405,"&lt;"&amp;J343,'Istoric_Nativ'!$P$6:$P$405,1,'Istoric_Nativ'!$D$6:$D$405,"&gt;="&amp;L343),SUMIFS('Istoric_Nativ'!$G$6:$G$405,'Istoric_Nativ'!$B$6:$B$405,E343,'Istoric_Nativ'!$C$6:$C$405,F343,'Istoric_Nativ'!$E$6:$E$405,G343,'Istoric_Nativ'!$D$6:$D$405,"&lt;"&amp;J343,'Istoric_Nativ'!$P$6:$P$405,1,'Istoric_Nativ'!$D$6:$D$405,"&gt;="&amp;L343)+SUMIFS('Istoric_Nativ'!$H$6:$H$405,'Istoric_Nativ'!$B$6:$B$405,E343,'Istoric_Nativ'!$C$6:$C$405,F343,'Istoric_Nativ'!$F$6:$F$405,G343,'Istoric_Nativ'!$D$6:$D$405,"&lt;"&amp;J343,'Istoric_Nativ'!$P$6:$P$405,1,'Istoric_Nativ'!$D$6:$D$405,"&gt;="&amp;L343)))/M343)</x:f>
      </x:c>
      <x:c r="O343" s="11" t="str">
        <x:f>IF(M343=0,"",IF(H343="HOME",SUMIFS('Istoric_Nativ'!$H$6:$H$405,'Istoric_Nativ'!$B$6:$B$405,E343,'Istoric_Nativ'!$C$6:$C$405,F343,'Istoric_Nativ'!$E$6:$E$405,G343,'Istoric_Nativ'!$D$6:$D$405,"&lt;"&amp;J343,'Istoric_Nativ'!$P$6:$P$405,1,'Istoric_Nativ'!$D$6:$D$405,"&gt;="&amp;L343),IF(H343="AWAY",SUMIFS('Istoric_Nativ'!$G$6:$G$405,'Istoric_Nativ'!$B$6:$B$405,E343,'Istoric_Nativ'!$C$6:$C$405,F343,'Istoric_Nativ'!$F$6:$F$405,G343,'Istoric_Nativ'!$D$6:$D$405,"&lt;"&amp;J343,'Istoric_Nativ'!$P$6:$P$405,1,'Istoric_Nativ'!$D$6:$D$405,"&gt;="&amp;L343),SUMIFS('Istoric_Nativ'!$H$6:$H$405,'Istoric_Nativ'!$B$6:$B$405,E343,'Istoric_Nativ'!$C$6:$C$405,F343,'Istoric_Nativ'!$E$6:$E$405,G343,'Istoric_Nativ'!$D$6:$D$405,"&lt;"&amp;J343,'Istoric_Nativ'!$P$6:$P$405,1,'Istoric_Nativ'!$D$6:$D$405,"&gt;="&amp;L343)+SUMIFS('Istoric_Nativ'!$G$6:$G$405,'Istoric_Nativ'!$B$6:$B$405,E343,'Istoric_Nativ'!$C$6:$C$405,F343,'Istoric_Nativ'!$F$6:$F$405,G343,'Istoric_Nativ'!$D$6:$D$405,"&lt;"&amp;J343,'Istoric_Nativ'!$P$6:$P$405,1,'Istoric_Nativ'!$D$6:$D$405,"&gt;="&amp;L343)))/M343)</x:f>
      </x:c>
      <x:c r="P343" s="2" t="n">
        <x:f>'Config_v6'!$B$8</x:f>
        <x:v>5</x:v>
      </x:c>
      <x:c r="Q343" s="2" t="n">
        <x:f>IF(OR(B343="",F343=""),0,IFERROR(MATCH(E343&amp;"|"&amp;F343,SourceTable[Source_Key],0),0))</x:f>
        <x:v>0</x:v>
      </x:c>
      <x:c r="R343" s="2" t="str">
        <x:f>IF(B343="","",IF(F343="","UNUSED",IF(Q343=0,"NOT CHECKED",IF(COUNTIF(SourceTable[Source_Key],E343&amp;"|"&amp;F343)&lt;&gt;1,"SOURCE CONFLICT",IF(NOT(OR(INDEX(SourceTable[Status],MAX(1,Q343))="IMPORTED",INDEX(SourceTable[Status],MAX(1,Q343))="PARTIAL",INDEX(SourceTable[Status],MAX(1,Q343))="SOURCE CONFLICT")),"ACCESS BLOCKED",IF(OR(INDEX(SourceTable[Coverage],Q343)&lt;&gt;"FULL SEASON EXPORT",INDEX(SourceTable[URL],Q343)="",INDEX(SourceTable[SHA256],Q343)=""),"EVIDENCE INCOMPLETE",IF(AND('Input_Meci'!H34="LIVE",INDEX(SourceTable[Retrieved_UTC],Q343)&gt;'Input_Meci'!G34),"POST CUTOFF","CLOSED")))))))</x:f>
      </x:c>
      <x:c r="S343" s="2" t="n">
        <x:f>IF(OR(B343="",F343=""),0,COUNTIFS('Istoric_Nativ'!$B$6:$B$405,E343,'Istoric_Nativ'!$C$6:$C$405,F343,'Istoric_Nativ'!$E$6:$E$405,G343,'Istoric_Nativ'!$D$6:$D$405,"&lt;"&amp;J343,'Istoric_Nativ'!$O$6:$O$405,"INVALID")+COUNTIFS('Istoric_Nativ'!$B$6:$B$405,E343,'Istoric_Nativ'!$C$6:$C$405,F343,'Istoric_Nativ'!$E$6:$E$405,G343,'Istoric_Nativ'!$O$6:$O$405,"INVALID",'Istoric_Nativ'!$D$6:$D$405,"*")+COUNTIFS('Istoric_Nativ'!$B$6:$B$405,E343,'Istoric_Nativ'!$C$6:$C$405,F343,'Istoric_Nativ'!$E$6:$E$405,G343,'Istoric_Nativ'!$D$6:$D$405,"&lt;"&amp;J343,'Istoric_Nativ'!$O$6:$O$405,"SOURCE CONFLICT")+COUNTIFS('Istoric_Nativ'!$B$6:$B$405,E343,'Istoric_Nativ'!$C$6:$C$405,F343,'Istoric_Nativ'!$F$6:$F$405,G343,'Istoric_Nativ'!$D$6:$D$405,"&lt;"&amp;J343,'Istoric_Nativ'!$O$6:$O$405,"INVALID")+COUNTIFS('Istoric_Nativ'!$B$6:$B$405,E343,'Istoric_Nativ'!$C$6:$C$405,F343,'Istoric_Nativ'!$F$6:$F$405,G343,'Istoric_Nativ'!$O$6:$O$405,"INVALID",'Istoric_Nativ'!$D$6:$D$405,"*")+COUNTIFS('Istoric_Nativ'!$B$6:$B$405,E343,'Istoric_Nativ'!$C$6:$C$405,F343,'Istoric_Nativ'!$F$6:$F$405,G343,'Istoric_Nativ'!$D$6:$D$405,"&lt;"&amp;J343,'Istoric_Nativ'!$O$6:$O$405,"SOURCE CONFLICT"))</x:f>
        <x:v>0</x:v>
      </x:c>
      <x:c r="T343" s="2" t="str">
        <x:f>IF(B343="","",IF(R343&lt;&gt;"CLOSED",R343,IF(S343&gt;0,"NATIVE INPUT ISSUE",IF(M343=0,"NO HISTORY",IF(M343&lt;P343,"SMALL SAMPLE","DERIVED")))))</x:f>
      </x:c>
      <x:c r="U343" s="2" t="str">
        <x:f>IF(B343="","","NativeTable; "&amp;E343&amp;"; "&amp;F343&amp;"; "&amp;G343&amp;"; "&amp;H343&amp;"; before "&amp;TEXT(J343,"yyyy-mm-dd")&amp;IF(I343="RECENT","; from "&amp;TEXT(L343,"yyyy-mm-dd"),""))</x:f>
      </x:c>
    </x:row>
    <x:row r="344" ht="21" customHeight="1">
      <x:c r="A344" s="2" t="n">
        <x:v>29</x:v>
      </x:c>
      <x:c r="B344" s="2" t="str">
        <x:f>IF('Input_Meci'!A34="","",'Input_Meci'!A34)</x:f>
      </x:c>
      <x:c r="C344" s="2" t="str">
        <x:v>H</x:v>
      </x:c>
      <x:c r="D344" s="2" t="str">
        <x:v>CURRENT</x:v>
      </x:c>
      <x:c r="E344" s="2" t="str">
        <x:f>IF(B344="","",'Input_Meci'!B34)</x:f>
      </x:c>
      <x:c r="F344" s="2" t="str">
        <x:f>IF(B344="","",IF('Input_Meci'!C34="","",'Input_Meci'!C34))</x:f>
      </x:c>
      <x:c r="G344" s="2" t="str">
        <x:f>IF(B344="","",'Input_Meci'!D34)</x:f>
      </x:c>
      <x:c r="H344" s="2" t="str">
        <x:v>ANY</x:v>
      </x:c>
      <x:c r="I344" s="2" t="str">
        <x:v>RECENT</x:v>
      </x:c>
      <x:c r="J344" s="9" t="n">
        <x:f>IF(AND(B344&lt;&gt;"",ISNUMBER('Input_Meci'!G34)),INT('Input_Meci'!G34),0)</x:f>
        <x:v>0</x:v>
      </x:c>
      <x:c r="K344" s="2" t="n">
        <x:f>IF(OR(B344="",F344=""),0,IF(H344="HOME",COUNTIFS('Istoric_Nativ'!$B$6:$B$405,E344,'Istoric_Nativ'!$C$6:$C$405,F344,'Istoric_Nativ'!$E$6:$E$405,G344,'Istoric_Nativ'!$D$6:$D$405,"&lt;"&amp;J344,'Istoric_Nativ'!$P$6:$P$405,1),IF(H344="AWAY",COUNTIFS('Istoric_Nativ'!$B$6:$B$405,E344,'Istoric_Nativ'!$C$6:$C$405,F344,'Istoric_Nativ'!$F$6:$F$405,G344,'Istoric_Nativ'!$D$6:$D$405,"&lt;"&amp;J344,'Istoric_Nativ'!$P$6:$P$405,1),COUNTIFS('Istoric_Nativ'!$B$6:$B$405,E344,'Istoric_Nativ'!$C$6:$C$405,F344,'Istoric_Nativ'!$E$6:$E$405,G344,'Istoric_Nativ'!$D$6:$D$405,"&lt;"&amp;J344,'Istoric_Nativ'!$P$6:$P$405,1)+COUNTIFS('Istoric_Nativ'!$B$6:$B$405,E344,'Istoric_Nativ'!$C$6:$C$405,F344,'Istoric_Nativ'!$F$6:$F$405,G344,'Istoric_Nativ'!$D$6:$D$405,"&lt;"&amp;J344,'Istoric_Nativ'!$P$6:$P$405,1))))</x:f>
        <x:v>0</x:v>
      </x:c>
      <x:c r="L344" s="17" t="n">
        <x:f>IF(AND(B344&lt;&gt;"",I344="RECENT",K344&gt;0),LARGE(_xlfn._xlws.FILTER('Istoric_Nativ'!$D$6:$D$405,('Istoric_Nativ'!$B$6:$B$405=E344)*('Istoric_Nativ'!$C$6:$C$405=F344)*('Istoric_Nativ'!$P$6:$P$405=1)*('Istoric_Nativ'!$D$6:$D$405&lt;J344)*((('Istoric_Nativ'!$E$6:$E$405=G344)+('Istoric_Nativ'!$F$6:$F$405=G344))&gt;0)),MIN('Config_v6'!$B$54,K344)),0)</x:f>
        <x:v>0</x:v>
      </x:c>
      <x:c r="M344" s="2" t="n">
        <x:f>IF(OR(B344="",F344=""),0,IF(H344="HOME",COUNTIFS('Istoric_Nativ'!$B$6:$B$405,E344,'Istoric_Nativ'!$C$6:$C$405,F344,'Istoric_Nativ'!$E$6:$E$405,G344,'Istoric_Nativ'!$D$6:$D$405,"&lt;"&amp;J344,'Istoric_Nativ'!$P$6:$P$405,1,'Istoric_Nativ'!$D$6:$D$405,"&gt;="&amp;L344),IF(H344="AWAY",COUNTIFS('Istoric_Nativ'!$B$6:$B$405,E344,'Istoric_Nativ'!$C$6:$C$405,F344,'Istoric_Nativ'!$F$6:$F$405,G344,'Istoric_Nativ'!$D$6:$D$405,"&lt;"&amp;J344,'Istoric_Nativ'!$P$6:$P$405,1,'Istoric_Nativ'!$D$6:$D$405,"&gt;="&amp;L344),COUNTIFS('Istoric_Nativ'!$B$6:$B$405,E344,'Istoric_Nativ'!$C$6:$C$405,F344,'Istoric_Nativ'!$E$6:$E$405,G344,'Istoric_Nativ'!$D$6:$D$405,"&lt;"&amp;J344,'Istoric_Nativ'!$P$6:$P$405,1,'Istoric_Nativ'!$D$6:$D$405,"&gt;="&amp;L344)+COUNTIFS('Istoric_Nativ'!$B$6:$B$405,E344,'Istoric_Nativ'!$C$6:$C$405,F344,'Istoric_Nativ'!$F$6:$F$405,G344,'Istoric_Nativ'!$D$6:$D$405,"&lt;"&amp;J344,'Istoric_Nativ'!$P$6:$P$405,1,'Istoric_Nativ'!$D$6:$D$405,"&gt;="&amp;L344))))</x:f>
        <x:v>0</x:v>
      </x:c>
      <x:c r="N344" s="11" t="str">
        <x:f>IF(M344=0,"",IF(H344="HOME",SUMIFS('Istoric_Nativ'!$G$6:$G$405,'Istoric_Nativ'!$B$6:$B$405,E344,'Istoric_Nativ'!$C$6:$C$405,F344,'Istoric_Nativ'!$E$6:$E$405,G344,'Istoric_Nativ'!$D$6:$D$405,"&lt;"&amp;J344,'Istoric_Nativ'!$P$6:$P$405,1,'Istoric_Nativ'!$D$6:$D$405,"&gt;="&amp;L344),IF(H344="AWAY",SUMIFS('Istoric_Nativ'!$H$6:$H$405,'Istoric_Nativ'!$B$6:$B$405,E344,'Istoric_Nativ'!$C$6:$C$405,F344,'Istoric_Nativ'!$F$6:$F$405,G344,'Istoric_Nativ'!$D$6:$D$405,"&lt;"&amp;J344,'Istoric_Nativ'!$P$6:$P$405,1,'Istoric_Nativ'!$D$6:$D$405,"&gt;="&amp;L344),SUMIFS('Istoric_Nativ'!$G$6:$G$405,'Istoric_Nativ'!$B$6:$B$405,E344,'Istoric_Nativ'!$C$6:$C$405,F344,'Istoric_Nativ'!$E$6:$E$405,G344,'Istoric_Nativ'!$D$6:$D$405,"&lt;"&amp;J344,'Istoric_Nativ'!$P$6:$P$405,1,'Istoric_Nativ'!$D$6:$D$405,"&gt;="&amp;L344)+SUMIFS('Istoric_Nativ'!$H$6:$H$405,'Istoric_Nativ'!$B$6:$B$405,E344,'Istoric_Nativ'!$C$6:$C$405,F344,'Istoric_Nativ'!$F$6:$F$405,G344,'Istoric_Nativ'!$D$6:$D$405,"&lt;"&amp;J344,'Istoric_Nativ'!$P$6:$P$405,1,'Istoric_Nativ'!$D$6:$D$405,"&gt;="&amp;L344)))/M344)</x:f>
      </x:c>
      <x:c r="O344" s="11" t="str">
        <x:f>IF(M344=0,"",IF(H344="HOME",SUMIFS('Istoric_Nativ'!$H$6:$H$405,'Istoric_Nativ'!$B$6:$B$405,E344,'Istoric_Nativ'!$C$6:$C$405,F344,'Istoric_Nativ'!$E$6:$E$405,G344,'Istoric_Nativ'!$D$6:$D$405,"&lt;"&amp;J344,'Istoric_Nativ'!$P$6:$P$405,1,'Istoric_Nativ'!$D$6:$D$405,"&gt;="&amp;L344),IF(H344="AWAY",SUMIFS('Istoric_Nativ'!$G$6:$G$405,'Istoric_Nativ'!$B$6:$B$405,E344,'Istoric_Nativ'!$C$6:$C$405,F344,'Istoric_Nativ'!$F$6:$F$405,G344,'Istoric_Nativ'!$D$6:$D$405,"&lt;"&amp;J344,'Istoric_Nativ'!$P$6:$P$405,1,'Istoric_Nativ'!$D$6:$D$405,"&gt;="&amp;L344),SUMIFS('Istoric_Nativ'!$H$6:$H$405,'Istoric_Nativ'!$B$6:$B$405,E344,'Istoric_Nativ'!$C$6:$C$405,F344,'Istoric_Nativ'!$E$6:$E$405,G344,'Istoric_Nativ'!$D$6:$D$405,"&lt;"&amp;J344,'Istoric_Nativ'!$P$6:$P$405,1,'Istoric_Nativ'!$D$6:$D$405,"&gt;="&amp;L344)+SUMIFS('Istoric_Nativ'!$G$6:$G$405,'Istoric_Nativ'!$B$6:$B$405,E344,'Istoric_Nativ'!$C$6:$C$405,F344,'Istoric_Nativ'!$F$6:$F$405,G344,'Istoric_Nativ'!$D$6:$D$405,"&lt;"&amp;J344,'Istoric_Nativ'!$P$6:$P$405,1,'Istoric_Nativ'!$D$6:$D$405,"&gt;="&amp;L344)))/M344)</x:f>
      </x:c>
      <x:c r="P344" s="2" t="n">
        <x:f>'Config_v6'!$B$9</x:f>
        <x:v>3</x:v>
      </x:c>
      <x:c r="Q344" s="2" t="n">
        <x:f>IF(OR(B344="",F344=""),0,IFERROR(MATCH(E344&amp;"|"&amp;F344,SourceTable[Source_Key],0),0))</x:f>
        <x:v>0</x:v>
      </x:c>
      <x:c r="R344" s="2" t="str">
        <x:f>IF(B344="","",IF(F344="","UNUSED",IF(Q344=0,"NOT CHECKED",IF(COUNTIF(SourceTable[Source_Key],E344&amp;"|"&amp;F344)&lt;&gt;1,"SOURCE CONFLICT",IF(NOT(OR(INDEX(SourceTable[Status],MAX(1,Q344))="IMPORTED",INDEX(SourceTable[Status],MAX(1,Q344))="PARTIAL",INDEX(SourceTable[Status],MAX(1,Q344))="SOURCE CONFLICT")),"ACCESS BLOCKED",IF(OR(INDEX(SourceTable[Coverage],Q344)&lt;&gt;"FULL SEASON EXPORT",INDEX(SourceTable[URL],Q344)="",INDEX(SourceTable[SHA256],Q344)=""),"EVIDENCE INCOMPLETE",IF(AND('Input_Meci'!H34="LIVE",INDEX(SourceTable[Retrieved_UTC],Q344)&gt;'Input_Meci'!G34),"POST CUTOFF","CLOSED")))))))</x:f>
      </x:c>
      <x:c r="S344" s="2" t="n">
        <x:f>IF(OR(B344="",F344=""),0,COUNTIFS('Istoric_Nativ'!$B$6:$B$405,E344,'Istoric_Nativ'!$C$6:$C$405,F344,'Istoric_Nativ'!$E$6:$E$405,G344,'Istoric_Nativ'!$D$6:$D$405,"&lt;"&amp;J344,'Istoric_Nativ'!$O$6:$O$405,"INVALID")+COUNTIFS('Istoric_Nativ'!$B$6:$B$405,E344,'Istoric_Nativ'!$C$6:$C$405,F344,'Istoric_Nativ'!$E$6:$E$405,G344,'Istoric_Nativ'!$O$6:$O$405,"INVALID",'Istoric_Nativ'!$D$6:$D$405,"*")+COUNTIFS('Istoric_Nativ'!$B$6:$B$405,E344,'Istoric_Nativ'!$C$6:$C$405,F344,'Istoric_Nativ'!$E$6:$E$405,G344,'Istoric_Nativ'!$D$6:$D$405,"&lt;"&amp;J344,'Istoric_Nativ'!$O$6:$O$405,"SOURCE CONFLICT")+COUNTIFS('Istoric_Nativ'!$B$6:$B$405,E344,'Istoric_Nativ'!$C$6:$C$405,F344,'Istoric_Nativ'!$F$6:$F$405,G344,'Istoric_Nativ'!$D$6:$D$405,"&lt;"&amp;J344,'Istoric_Nativ'!$O$6:$O$405,"INVALID")+COUNTIFS('Istoric_Nativ'!$B$6:$B$405,E344,'Istoric_Nativ'!$C$6:$C$405,F344,'Istoric_Nativ'!$F$6:$F$405,G344,'Istoric_Nativ'!$O$6:$O$405,"INVALID",'Istoric_Nativ'!$D$6:$D$405,"*")+COUNTIFS('Istoric_Nativ'!$B$6:$B$405,E344,'Istoric_Nativ'!$C$6:$C$405,F344,'Istoric_Nativ'!$F$6:$F$405,G344,'Istoric_Nativ'!$D$6:$D$405,"&lt;"&amp;J344,'Istoric_Nativ'!$O$6:$O$405,"SOURCE CONFLICT"))</x:f>
        <x:v>0</x:v>
      </x:c>
      <x:c r="T344" s="2" t="str">
        <x:f>IF(B344="","",IF(R344&lt;&gt;"CLOSED",R344,IF(S344&gt;0,"NATIVE INPUT ISSUE",IF(M344=0,"NO HISTORY",IF(M344&lt;P344,"SMALL SAMPLE","DERIVED")))))</x:f>
      </x:c>
      <x:c r="U344" s="2" t="str">
        <x:f>IF(B344="","","NativeTable; "&amp;E344&amp;"; "&amp;F344&amp;"; "&amp;G344&amp;"; "&amp;H344&amp;"; before "&amp;TEXT(J344,"yyyy-mm-dd")&amp;IF(I344="RECENT","; from "&amp;TEXT(L344,"yyyy-mm-dd"),""))</x:f>
      </x:c>
    </x:row>
    <x:row r="345" ht="21" customHeight="1">
      <x:c r="A345" s="2" t="n">
        <x:v>29</x:v>
      </x:c>
      <x:c r="B345" s="2" t="str">
        <x:f>IF('Input_Meci'!A34="","",'Input_Meci'!A34)</x:f>
      </x:c>
      <x:c r="C345" s="2" t="str">
        <x:v>A</x:v>
      </x:c>
      <x:c r="D345" s="2" t="str">
        <x:v>CURRENT</x:v>
      </x:c>
      <x:c r="E345" s="2" t="str">
        <x:f>IF(B345="","",'Input_Meci'!B34)</x:f>
      </x:c>
      <x:c r="F345" s="2" t="str">
        <x:f>IF(B345="","",IF('Input_Meci'!C34="","",'Input_Meci'!C34))</x:f>
      </x:c>
      <x:c r="G345" s="2" t="str">
        <x:f>IF(B345="","",'Input_Meci'!E34)</x:f>
      </x:c>
      <x:c r="H345" s="2" t="str">
        <x:v>ANY</x:v>
      </x:c>
      <x:c r="I345" s="2" t="str">
        <x:v>SEASON</x:v>
      </x:c>
      <x:c r="J345" s="9" t="n">
        <x:f>IF(AND(B345&lt;&gt;"",ISNUMBER('Input_Meci'!G34)),INT('Input_Meci'!G34),0)</x:f>
        <x:v>0</x:v>
      </x:c>
      <x:c r="K345" s="2" t="n">
        <x:f>IF(OR(B345="",F345=""),0,IF(H345="HOME",COUNTIFS('Istoric_Nativ'!$B$6:$B$405,E345,'Istoric_Nativ'!$C$6:$C$405,F345,'Istoric_Nativ'!$E$6:$E$405,G345,'Istoric_Nativ'!$D$6:$D$405,"&lt;"&amp;J345,'Istoric_Nativ'!$P$6:$P$405,1),IF(H345="AWAY",COUNTIFS('Istoric_Nativ'!$B$6:$B$405,E345,'Istoric_Nativ'!$C$6:$C$405,F345,'Istoric_Nativ'!$F$6:$F$405,G345,'Istoric_Nativ'!$D$6:$D$405,"&lt;"&amp;J345,'Istoric_Nativ'!$P$6:$P$405,1),COUNTIFS('Istoric_Nativ'!$B$6:$B$405,E345,'Istoric_Nativ'!$C$6:$C$405,F345,'Istoric_Nativ'!$E$6:$E$405,G345,'Istoric_Nativ'!$D$6:$D$405,"&lt;"&amp;J345,'Istoric_Nativ'!$P$6:$P$405,1)+COUNTIFS('Istoric_Nativ'!$B$6:$B$405,E345,'Istoric_Nativ'!$C$6:$C$405,F345,'Istoric_Nativ'!$F$6:$F$405,G345,'Istoric_Nativ'!$D$6:$D$405,"&lt;"&amp;J345,'Istoric_Nativ'!$P$6:$P$405,1))))</x:f>
        <x:v>0</x:v>
      </x:c>
      <x:c r="L345" s="17" t="n">
        <x:f>IF(AND(B345&lt;&gt;"",I345="RECENT",K345&gt;0),LARGE(_xlfn._xlws.FILTER('Istoric_Nativ'!$D$6:$D$405,('Istoric_Nativ'!$B$6:$B$405=E345)*('Istoric_Nativ'!$C$6:$C$405=F345)*('Istoric_Nativ'!$P$6:$P$405=1)*('Istoric_Nativ'!$D$6:$D$405&lt;J345)*((('Istoric_Nativ'!$E$6:$E$405=G345)+('Istoric_Nativ'!$F$6:$F$405=G345))&gt;0)),MIN('Config_v6'!$B$54,K345)),0)</x:f>
        <x:v>0</x:v>
      </x:c>
      <x:c r="M345" s="2" t="n">
        <x:f>IF(OR(B345="",F345=""),0,IF(H345="HOME",COUNTIFS('Istoric_Nativ'!$B$6:$B$405,E345,'Istoric_Nativ'!$C$6:$C$405,F345,'Istoric_Nativ'!$E$6:$E$405,G345,'Istoric_Nativ'!$D$6:$D$405,"&lt;"&amp;J345,'Istoric_Nativ'!$P$6:$P$405,1,'Istoric_Nativ'!$D$6:$D$405,"&gt;="&amp;L345),IF(H345="AWAY",COUNTIFS('Istoric_Nativ'!$B$6:$B$405,E345,'Istoric_Nativ'!$C$6:$C$405,F345,'Istoric_Nativ'!$F$6:$F$405,G345,'Istoric_Nativ'!$D$6:$D$405,"&lt;"&amp;J345,'Istoric_Nativ'!$P$6:$P$405,1,'Istoric_Nativ'!$D$6:$D$405,"&gt;="&amp;L345),COUNTIFS('Istoric_Nativ'!$B$6:$B$405,E345,'Istoric_Nativ'!$C$6:$C$405,F345,'Istoric_Nativ'!$E$6:$E$405,G345,'Istoric_Nativ'!$D$6:$D$405,"&lt;"&amp;J345,'Istoric_Nativ'!$P$6:$P$405,1,'Istoric_Nativ'!$D$6:$D$405,"&gt;="&amp;L345)+COUNTIFS('Istoric_Nativ'!$B$6:$B$405,E345,'Istoric_Nativ'!$C$6:$C$405,F345,'Istoric_Nativ'!$F$6:$F$405,G345,'Istoric_Nativ'!$D$6:$D$405,"&lt;"&amp;J345,'Istoric_Nativ'!$P$6:$P$405,1,'Istoric_Nativ'!$D$6:$D$405,"&gt;="&amp;L345))))</x:f>
        <x:v>0</x:v>
      </x:c>
      <x:c r="N345" s="11" t="str">
        <x:f>IF(M345=0,"",IF(H345="HOME",SUMIFS('Istoric_Nativ'!$G$6:$G$405,'Istoric_Nativ'!$B$6:$B$405,E345,'Istoric_Nativ'!$C$6:$C$405,F345,'Istoric_Nativ'!$E$6:$E$405,G345,'Istoric_Nativ'!$D$6:$D$405,"&lt;"&amp;J345,'Istoric_Nativ'!$P$6:$P$405,1,'Istoric_Nativ'!$D$6:$D$405,"&gt;="&amp;L345),IF(H345="AWAY",SUMIFS('Istoric_Nativ'!$H$6:$H$405,'Istoric_Nativ'!$B$6:$B$405,E345,'Istoric_Nativ'!$C$6:$C$405,F345,'Istoric_Nativ'!$F$6:$F$405,G345,'Istoric_Nativ'!$D$6:$D$405,"&lt;"&amp;J345,'Istoric_Nativ'!$P$6:$P$405,1,'Istoric_Nativ'!$D$6:$D$405,"&gt;="&amp;L345),SUMIFS('Istoric_Nativ'!$G$6:$G$405,'Istoric_Nativ'!$B$6:$B$405,E345,'Istoric_Nativ'!$C$6:$C$405,F345,'Istoric_Nativ'!$E$6:$E$405,G345,'Istoric_Nativ'!$D$6:$D$405,"&lt;"&amp;J345,'Istoric_Nativ'!$P$6:$P$405,1,'Istoric_Nativ'!$D$6:$D$405,"&gt;="&amp;L345)+SUMIFS('Istoric_Nativ'!$H$6:$H$405,'Istoric_Nativ'!$B$6:$B$405,E345,'Istoric_Nativ'!$C$6:$C$405,F345,'Istoric_Nativ'!$F$6:$F$405,G345,'Istoric_Nativ'!$D$6:$D$405,"&lt;"&amp;J345,'Istoric_Nativ'!$P$6:$P$405,1,'Istoric_Nativ'!$D$6:$D$405,"&gt;="&amp;L345)))/M345)</x:f>
      </x:c>
      <x:c r="O345" s="11" t="str">
        <x:f>IF(M345=0,"",IF(H345="HOME",SUMIFS('Istoric_Nativ'!$H$6:$H$405,'Istoric_Nativ'!$B$6:$B$405,E345,'Istoric_Nativ'!$C$6:$C$405,F345,'Istoric_Nativ'!$E$6:$E$405,G345,'Istoric_Nativ'!$D$6:$D$405,"&lt;"&amp;J345,'Istoric_Nativ'!$P$6:$P$405,1,'Istoric_Nativ'!$D$6:$D$405,"&gt;="&amp;L345),IF(H345="AWAY",SUMIFS('Istoric_Nativ'!$G$6:$G$405,'Istoric_Nativ'!$B$6:$B$405,E345,'Istoric_Nativ'!$C$6:$C$405,F345,'Istoric_Nativ'!$F$6:$F$405,G345,'Istoric_Nativ'!$D$6:$D$405,"&lt;"&amp;J345,'Istoric_Nativ'!$P$6:$P$405,1,'Istoric_Nativ'!$D$6:$D$405,"&gt;="&amp;L345),SUMIFS('Istoric_Nativ'!$H$6:$H$405,'Istoric_Nativ'!$B$6:$B$405,E345,'Istoric_Nativ'!$C$6:$C$405,F345,'Istoric_Nativ'!$E$6:$E$405,G345,'Istoric_Nativ'!$D$6:$D$405,"&lt;"&amp;J345,'Istoric_Nativ'!$P$6:$P$405,1,'Istoric_Nativ'!$D$6:$D$405,"&gt;="&amp;L345)+SUMIFS('Istoric_Nativ'!$G$6:$G$405,'Istoric_Nativ'!$B$6:$B$405,E345,'Istoric_Nativ'!$C$6:$C$405,F345,'Istoric_Nativ'!$F$6:$F$405,G345,'Istoric_Nativ'!$D$6:$D$405,"&lt;"&amp;J345,'Istoric_Nativ'!$P$6:$P$405,1,'Istoric_Nativ'!$D$6:$D$405,"&gt;="&amp;L345)))/M345)</x:f>
      </x:c>
      <x:c r="P345" s="2" t="n">
        <x:f>'Config_v6'!$B$7</x:f>
        <x:v>10</x:v>
      </x:c>
      <x:c r="Q345" s="2" t="n">
        <x:f>IF(OR(B345="",F345=""),0,IFERROR(MATCH(E345&amp;"|"&amp;F345,SourceTable[Source_Key],0),0))</x:f>
        <x:v>0</x:v>
      </x:c>
      <x:c r="R345" s="2" t="str">
        <x:f>IF(B345="","",IF(F345="","UNUSED",IF(Q345=0,"NOT CHECKED",IF(COUNTIF(SourceTable[Source_Key],E345&amp;"|"&amp;F345)&lt;&gt;1,"SOURCE CONFLICT",IF(NOT(OR(INDEX(SourceTable[Status],MAX(1,Q345))="IMPORTED",INDEX(SourceTable[Status],MAX(1,Q345))="PARTIAL",INDEX(SourceTable[Status],MAX(1,Q345))="SOURCE CONFLICT")),"ACCESS BLOCKED",IF(OR(INDEX(SourceTable[Coverage],Q345)&lt;&gt;"FULL SEASON EXPORT",INDEX(SourceTable[URL],Q345)="",INDEX(SourceTable[SHA256],Q345)=""),"EVIDENCE INCOMPLETE",IF(AND('Input_Meci'!H34="LIVE",INDEX(SourceTable[Retrieved_UTC],Q345)&gt;'Input_Meci'!G34),"POST CUTOFF","CLOSED")))))))</x:f>
      </x:c>
      <x:c r="S345" s="2" t="n">
        <x:f>IF(OR(B345="",F345=""),0,COUNTIFS('Istoric_Nativ'!$B$6:$B$405,E345,'Istoric_Nativ'!$C$6:$C$405,F345,'Istoric_Nativ'!$E$6:$E$405,G345,'Istoric_Nativ'!$D$6:$D$405,"&lt;"&amp;J345,'Istoric_Nativ'!$O$6:$O$405,"INVALID")+COUNTIFS('Istoric_Nativ'!$B$6:$B$405,E345,'Istoric_Nativ'!$C$6:$C$405,F345,'Istoric_Nativ'!$E$6:$E$405,G345,'Istoric_Nativ'!$O$6:$O$405,"INVALID",'Istoric_Nativ'!$D$6:$D$405,"*")+COUNTIFS('Istoric_Nativ'!$B$6:$B$405,E345,'Istoric_Nativ'!$C$6:$C$405,F345,'Istoric_Nativ'!$E$6:$E$405,G345,'Istoric_Nativ'!$D$6:$D$405,"&lt;"&amp;J345,'Istoric_Nativ'!$O$6:$O$405,"SOURCE CONFLICT")+COUNTIFS('Istoric_Nativ'!$B$6:$B$405,E345,'Istoric_Nativ'!$C$6:$C$405,F345,'Istoric_Nativ'!$F$6:$F$405,G345,'Istoric_Nativ'!$D$6:$D$405,"&lt;"&amp;J345,'Istoric_Nativ'!$O$6:$O$405,"INVALID")+COUNTIFS('Istoric_Nativ'!$B$6:$B$405,E345,'Istoric_Nativ'!$C$6:$C$405,F345,'Istoric_Nativ'!$F$6:$F$405,G345,'Istoric_Nativ'!$O$6:$O$405,"INVALID",'Istoric_Nativ'!$D$6:$D$405,"*")+COUNTIFS('Istoric_Nativ'!$B$6:$B$405,E345,'Istoric_Nativ'!$C$6:$C$405,F345,'Istoric_Nativ'!$F$6:$F$405,G345,'Istoric_Nativ'!$D$6:$D$405,"&lt;"&amp;J345,'Istoric_Nativ'!$O$6:$O$405,"SOURCE CONFLICT"))</x:f>
        <x:v>0</x:v>
      </x:c>
      <x:c r="T345" s="2" t="str">
        <x:f>IF(B345="","",IF(R345&lt;&gt;"CLOSED",R345,IF(S345&gt;0,"NATIVE INPUT ISSUE",IF(M345=0,"NO HISTORY",IF(M345&lt;P345,"SMALL SAMPLE","DERIVED")))))</x:f>
      </x:c>
      <x:c r="U345" s="2" t="str">
        <x:f>IF(B345="","","NativeTable; "&amp;E345&amp;"; "&amp;F345&amp;"; "&amp;G345&amp;"; "&amp;H345&amp;"; before "&amp;TEXT(J345,"yyyy-mm-dd")&amp;IF(I345="RECENT","; from "&amp;TEXT(L345,"yyyy-mm-dd"),""))</x:f>
      </x:c>
    </x:row>
    <x:row r="346" ht="21" customHeight="1">
      <x:c r="A346" s="2" t="n">
        <x:v>29</x:v>
      </x:c>
      <x:c r="B346" s="2" t="str">
        <x:f>IF('Input_Meci'!A34="","",'Input_Meci'!A34)</x:f>
      </x:c>
      <x:c r="C346" s="2" t="str">
        <x:v>A</x:v>
      </x:c>
      <x:c r="D346" s="2" t="str">
        <x:v>CURRENT</x:v>
      </x:c>
      <x:c r="E346" s="2" t="str">
        <x:f>IF(B346="","",'Input_Meci'!B34)</x:f>
      </x:c>
      <x:c r="F346" s="2" t="str">
        <x:f>IF(B346="","",IF('Input_Meci'!C34="","",'Input_Meci'!C34))</x:f>
      </x:c>
      <x:c r="G346" s="2" t="str">
        <x:f>IF(B346="","",'Input_Meci'!E34)</x:f>
      </x:c>
      <x:c r="H346" s="2" t="str">
        <x:v>AWAY</x:v>
      </x:c>
      <x:c r="I346" s="2" t="str">
        <x:v>HA</x:v>
      </x:c>
      <x:c r="J346" s="9" t="n">
        <x:f>IF(AND(B346&lt;&gt;"",ISNUMBER('Input_Meci'!G34)),INT('Input_Meci'!G34),0)</x:f>
        <x:v>0</x:v>
      </x:c>
      <x:c r="K346" s="2" t="n">
        <x:f>IF(OR(B346="",F346=""),0,IF(H346="HOME",COUNTIFS('Istoric_Nativ'!$B$6:$B$405,E346,'Istoric_Nativ'!$C$6:$C$405,F346,'Istoric_Nativ'!$E$6:$E$405,G346,'Istoric_Nativ'!$D$6:$D$405,"&lt;"&amp;J346,'Istoric_Nativ'!$P$6:$P$405,1),IF(H346="AWAY",COUNTIFS('Istoric_Nativ'!$B$6:$B$405,E346,'Istoric_Nativ'!$C$6:$C$405,F346,'Istoric_Nativ'!$F$6:$F$405,G346,'Istoric_Nativ'!$D$6:$D$405,"&lt;"&amp;J346,'Istoric_Nativ'!$P$6:$P$405,1),COUNTIFS('Istoric_Nativ'!$B$6:$B$405,E346,'Istoric_Nativ'!$C$6:$C$405,F346,'Istoric_Nativ'!$E$6:$E$405,G346,'Istoric_Nativ'!$D$6:$D$405,"&lt;"&amp;J346,'Istoric_Nativ'!$P$6:$P$405,1)+COUNTIFS('Istoric_Nativ'!$B$6:$B$405,E346,'Istoric_Nativ'!$C$6:$C$405,F346,'Istoric_Nativ'!$F$6:$F$405,G346,'Istoric_Nativ'!$D$6:$D$405,"&lt;"&amp;J346,'Istoric_Nativ'!$P$6:$P$405,1))))</x:f>
        <x:v>0</x:v>
      </x:c>
      <x:c r="L346" s="17" t="n">
        <x:f>IF(AND(B346&lt;&gt;"",I346="RECENT",K346&gt;0),LARGE(_xlfn._xlws.FILTER('Istoric_Nativ'!$D$6:$D$405,('Istoric_Nativ'!$B$6:$B$405=E346)*('Istoric_Nativ'!$C$6:$C$405=F346)*('Istoric_Nativ'!$P$6:$P$405=1)*('Istoric_Nativ'!$D$6:$D$405&lt;J346)*((('Istoric_Nativ'!$E$6:$E$405=G346)+('Istoric_Nativ'!$F$6:$F$405=G346))&gt;0)),MIN('Config_v6'!$B$54,K346)),0)</x:f>
        <x:v>0</x:v>
      </x:c>
      <x:c r="M346" s="2" t="n">
        <x:f>IF(OR(B346="",F346=""),0,IF(H346="HOME",COUNTIFS('Istoric_Nativ'!$B$6:$B$405,E346,'Istoric_Nativ'!$C$6:$C$405,F346,'Istoric_Nativ'!$E$6:$E$405,G346,'Istoric_Nativ'!$D$6:$D$405,"&lt;"&amp;J346,'Istoric_Nativ'!$P$6:$P$405,1,'Istoric_Nativ'!$D$6:$D$405,"&gt;="&amp;L346),IF(H346="AWAY",COUNTIFS('Istoric_Nativ'!$B$6:$B$405,E346,'Istoric_Nativ'!$C$6:$C$405,F346,'Istoric_Nativ'!$F$6:$F$405,G346,'Istoric_Nativ'!$D$6:$D$405,"&lt;"&amp;J346,'Istoric_Nativ'!$P$6:$P$405,1,'Istoric_Nativ'!$D$6:$D$405,"&gt;="&amp;L346),COUNTIFS('Istoric_Nativ'!$B$6:$B$405,E346,'Istoric_Nativ'!$C$6:$C$405,F346,'Istoric_Nativ'!$E$6:$E$405,G346,'Istoric_Nativ'!$D$6:$D$405,"&lt;"&amp;J346,'Istoric_Nativ'!$P$6:$P$405,1,'Istoric_Nativ'!$D$6:$D$405,"&gt;="&amp;L346)+COUNTIFS('Istoric_Nativ'!$B$6:$B$405,E346,'Istoric_Nativ'!$C$6:$C$405,F346,'Istoric_Nativ'!$F$6:$F$405,G346,'Istoric_Nativ'!$D$6:$D$405,"&lt;"&amp;J346,'Istoric_Nativ'!$P$6:$P$405,1,'Istoric_Nativ'!$D$6:$D$405,"&gt;="&amp;L346))))</x:f>
        <x:v>0</x:v>
      </x:c>
      <x:c r="N346" s="11" t="str">
        <x:f>IF(M346=0,"",IF(H346="HOME",SUMIFS('Istoric_Nativ'!$G$6:$G$405,'Istoric_Nativ'!$B$6:$B$405,E346,'Istoric_Nativ'!$C$6:$C$405,F346,'Istoric_Nativ'!$E$6:$E$405,G346,'Istoric_Nativ'!$D$6:$D$405,"&lt;"&amp;J346,'Istoric_Nativ'!$P$6:$P$405,1,'Istoric_Nativ'!$D$6:$D$405,"&gt;="&amp;L346),IF(H346="AWAY",SUMIFS('Istoric_Nativ'!$H$6:$H$405,'Istoric_Nativ'!$B$6:$B$405,E346,'Istoric_Nativ'!$C$6:$C$405,F346,'Istoric_Nativ'!$F$6:$F$405,G346,'Istoric_Nativ'!$D$6:$D$405,"&lt;"&amp;J346,'Istoric_Nativ'!$P$6:$P$405,1,'Istoric_Nativ'!$D$6:$D$405,"&gt;="&amp;L346),SUMIFS('Istoric_Nativ'!$G$6:$G$405,'Istoric_Nativ'!$B$6:$B$405,E346,'Istoric_Nativ'!$C$6:$C$405,F346,'Istoric_Nativ'!$E$6:$E$405,G346,'Istoric_Nativ'!$D$6:$D$405,"&lt;"&amp;J346,'Istoric_Nativ'!$P$6:$P$405,1,'Istoric_Nativ'!$D$6:$D$405,"&gt;="&amp;L346)+SUMIFS('Istoric_Nativ'!$H$6:$H$405,'Istoric_Nativ'!$B$6:$B$405,E346,'Istoric_Nativ'!$C$6:$C$405,F346,'Istoric_Nativ'!$F$6:$F$405,G346,'Istoric_Nativ'!$D$6:$D$405,"&lt;"&amp;J346,'Istoric_Nativ'!$P$6:$P$405,1,'Istoric_Nativ'!$D$6:$D$405,"&gt;="&amp;L346)))/M346)</x:f>
      </x:c>
      <x:c r="O346" s="11" t="str">
        <x:f>IF(M346=0,"",IF(H346="HOME",SUMIFS('Istoric_Nativ'!$H$6:$H$405,'Istoric_Nativ'!$B$6:$B$405,E346,'Istoric_Nativ'!$C$6:$C$405,F346,'Istoric_Nativ'!$E$6:$E$405,G346,'Istoric_Nativ'!$D$6:$D$405,"&lt;"&amp;J346,'Istoric_Nativ'!$P$6:$P$405,1,'Istoric_Nativ'!$D$6:$D$405,"&gt;="&amp;L346),IF(H346="AWAY",SUMIFS('Istoric_Nativ'!$G$6:$G$405,'Istoric_Nativ'!$B$6:$B$405,E346,'Istoric_Nativ'!$C$6:$C$405,F346,'Istoric_Nativ'!$F$6:$F$405,G346,'Istoric_Nativ'!$D$6:$D$405,"&lt;"&amp;J346,'Istoric_Nativ'!$P$6:$P$405,1,'Istoric_Nativ'!$D$6:$D$405,"&gt;="&amp;L346),SUMIFS('Istoric_Nativ'!$H$6:$H$405,'Istoric_Nativ'!$B$6:$B$405,E346,'Istoric_Nativ'!$C$6:$C$405,F346,'Istoric_Nativ'!$E$6:$E$405,G346,'Istoric_Nativ'!$D$6:$D$405,"&lt;"&amp;J346,'Istoric_Nativ'!$P$6:$P$405,1,'Istoric_Nativ'!$D$6:$D$405,"&gt;="&amp;L346)+SUMIFS('Istoric_Nativ'!$G$6:$G$405,'Istoric_Nativ'!$B$6:$B$405,E346,'Istoric_Nativ'!$C$6:$C$405,F346,'Istoric_Nativ'!$F$6:$F$405,G346,'Istoric_Nativ'!$D$6:$D$405,"&lt;"&amp;J346,'Istoric_Nativ'!$P$6:$P$405,1,'Istoric_Nativ'!$D$6:$D$405,"&gt;="&amp;L346)))/M346)</x:f>
      </x:c>
      <x:c r="P346" s="2" t="n">
        <x:f>'Config_v6'!$B$8</x:f>
        <x:v>5</x:v>
      </x:c>
      <x:c r="Q346" s="2" t="n">
        <x:f>IF(OR(B346="",F346=""),0,IFERROR(MATCH(E346&amp;"|"&amp;F346,SourceTable[Source_Key],0),0))</x:f>
        <x:v>0</x:v>
      </x:c>
      <x:c r="R346" s="2" t="str">
        <x:f>IF(B346="","",IF(F346="","UNUSED",IF(Q346=0,"NOT CHECKED",IF(COUNTIF(SourceTable[Source_Key],E346&amp;"|"&amp;F346)&lt;&gt;1,"SOURCE CONFLICT",IF(NOT(OR(INDEX(SourceTable[Status],MAX(1,Q346))="IMPORTED",INDEX(SourceTable[Status],MAX(1,Q346))="PARTIAL",INDEX(SourceTable[Status],MAX(1,Q346))="SOURCE CONFLICT")),"ACCESS BLOCKED",IF(OR(INDEX(SourceTable[Coverage],Q346)&lt;&gt;"FULL SEASON EXPORT",INDEX(SourceTable[URL],Q346)="",INDEX(SourceTable[SHA256],Q346)=""),"EVIDENCE INCOMPLETE",IF(AND('Input_Meci'!H34="LIVE",INDEX(SourceTable[Retrieved_UTC],Q346)&gt;'Input_Meci'!G34),"POST CUTOFF","CLOSED")))))))</x:f>
      </x:c>
      <x:c r="S346" s="2" t="n">
        <x:f>IF(OR(B346="",F346=""),0,COUNTIFS('Istoric_Nativ'!$B$6:$B$405,E346,'Istoric_Nativ'!$C$6:$C$405,F346,'Istoric_Nativ'!$E$6:$E$405,G346,'Istoric_Nativ'!$D$6:$D$405,"&lt;"&amp;J346,'Istoric_Nativ'!$O$6:$O$405,"INVALID")+COUNTIFS('Istoric_Nativ'!$B$6:$B$405,E346,'Istoric_Nativ'!$C$6:$C$405,F346,'Istoric_Nativ'!$E$6:$E$405,G346,'Istoric_Nativ'!$O$6:$O$405,"INVALID",'Istoric_Nativ'!$D$6:$D$405,"*")+COUNTIFS('Istoric_Nativ'!$B$6:$B$405,E346,'Istoric_Nativ'!$C$6:$C$405,F346,'Istoric_Nativ'!$E$6:$E$405,G346,'Istoric_Nativ'!$D$6:$D$405,"&lt;"&amp;J346,'Istoric_Nativ'!$O$6:$O$405,"SOURCE CONFLICT")+COUNTIFS('Istoric_Nativ'!$B$6:$B$405,E346,'Istoric_Nativ'!$C$6:$C$405,F346,'Istoric_Nativ'!$F$6:$F$405,G346,'Istoric_Nativ'!$D$6:$D$405,"&lt;"&amp;J346,'Istoric_Nativ'!$O$6:$O$405,"INVALID")+COUNTIFS('Istoric_Nativ'!$B$6:$B$405,E346,'Istoric_Nativ'!$C$6:$C$405,F346,'Istoric_Nativ'!$F$6:$F$405,G346,'Istoric_Nativ'!$O$6:$O$405,"INVALID",'Istoric_Nativ'!$D$6:$D$405,"*")+COUNTIFS('Istoric_Nativ'!$B$6:$B$405,E346,'Istoric_Nativ'!$C$6:$C$405,F346,'Istoric_Nativ'!$F$6:$F$405,G346,'Istoric_Nativ'!$D$6:$D$405,"&lt;"&amp;J346,'Istoric_Nativ'!$O$6:$O$405,"SOURCE CONFLICT"))</x:f>
        <x:v>0</x:v>
      </x:c>
      <x:c r="T346" s="2" t="str">
        <x:f>IF(B346="","",IF(R346&lt;&gt;"CLOSED",R346,IF(S346&gt;0,"NATIVE INPUT ISSUE",IF(M346=0,"NO HISTORY",IF(M346&lt;P346,"SMALL SAMPLE","DERIVED")))))</x:f>
      </x:c>
      <x:c r="U346" s="2" t="str">
        <x:f>IF(B346="","","NativeTable; "&amp;E346&amp;"; "&amp;F346&amp;"; "&amp;G346&amp;"; "&amp;H346&amp;"; before "&amp;TEXT(J346,"yyyy-mm-dd")&amp;IF(I346="RECENT","; from "&amp;TEXT(L346,"yyyy-mm-dd"),""))</x:f>
      </x:c>
    </x:row>
    <x:row r="347" ht="21" customHeight="1">
      <x:c r="A347" s="2" t="n">
        <x:v>29</x:v>
      </x:c>
      <x:c r="B347" s="2" t="str">
        <x:f>IF('Input_Meci'!A34="","",'Input_Meci'!A34)</x:f>
      </x:c>
      <x:c r="C347" s="2" t="str">
        <x:v>A</x:v>
      </x:c>
      <x:c r="D347" s="2" t="str">
        <x:v>CURRENT</x:v>
      </x:c>
      <x:c r="E347" s="2" t="str">
        <x:f>IF(B347="","",'Input_Meci'!B34)</x:f>
      </x:c>
      <x:c r="F347" s="2" t="str">
        <x:f>IF(B347="","",IF('Input_Meci'!C34="","",'Input_Meci'!C34))</x:f>
      </x:c>
      <x:c r="G347" s="2" t="str">
        <x:f>IF(B347="","",'Input_Meci'!E34)</x:f>
      </x:c>
      <x:c r="H347" s="2" t="str">
        <x:v>ANY</x:v>
      </x:c>
      <x:c r="I347" s="2" t="str">
        <x:v>RECENT</x:v>
      </x:c>
      <x:c r="J347" s="9" t="n">
        <x:f>IF(AND(B347&lt;&gt;"",ISNUMBER('Input_Meci'!G34)),INT('Input_Meci'!G34),0)</x:f>
        <x:v>0</x:v>
      </x:c>
      <x:c r="K347" s="2" t="n">
        <x:f>IF(OR(B347="",F347=""),0,IF(H347="HOME",COUNTIFS('Istoric_Nativ'!$B$6:$B$405,E347,'Istoric_Nativ'!$C$6:$C$405,F347,'Istoric_Nativ'!$E$6:$E$405,G347,'Istoric_Nativ'!$D$6:$D$405,"&lt;"&amp;J347,'Istoric_Nativ'!$P$6:$P$405,1),IF(H347="AWAY",COUNTIFS('Istoric_Nativ'!$B$6:$B$405,E347,'Istoric_Nativ'!$C$6:$C$405,F347,'Istoric_Nativ'!$F$6:$F$405,G347,'Istoric_Nativ'!$D$6:$D$405,"&lt;"&amp;J347,'Istoric_Nativ'!$P$6:$P$405,1),COUNTIFS('Istoric_Nativ'!$B$6:$B$405,E347,'Istoric_Nativ'!$C$6:$C$405,F347,'Istoric_Nativ'!$E$6:$E$405,G347,'Istoric_Nativ'!$D$6:$D$405,"&lt;"&amp;J347,'Istoric_Nativ'!$P$6:$P$405,1)+COUNTIFS('Istoric_Nativ'!$B$6:$B$405,E347,'Istoric_Nativ'!$C$6:$C$405,F347,'Istoric_Nativ'!$F$6:$F$405,G347,'Istoric_Nativ'!$D$6:$D$405,"&lt;"&amp;J347,'Istoric_Nativ'!$P$6:$P$405,1))))</x:f>
        <x:v>0</x:v>
      </x:c>
      <x:c r="L347" s="17" t="n">
        <x:f>IF(AND(B347&lt;&gt;"",I347="RECENT",K347&gt;0),LARGE(_xlfn._xlws.FILTER('Istoric_Nativ'!$D$6:$D$405,('Istoric_Nativ'!$B$6:$B$405=E347)*('Istoric_Nativ'!$C$6:$C$405=F347)*('Istoric_Nativ'!$P$6:$P$405=1)*('Istoric_Nativ'!$D$6:$D$405&lt;J347)*((('Istoric_Nativ'!$E$6:$E$405=G347)+('Istoric_Nativ'!$F$6:$F$405=G347))&gt;0)),MIN('Config_v6'!$B$54,K347)),0)</x:f>
        <x:v>0</x:v>
      </x:c>
      <x:c r="M347" s="2" t="n">
        <x:f>IF(OR(B347="",F347=""),0,IF(H347="HOME",COUNTIFS('Istoric_Nativ'!$B$6:$B$405,E347,'Istoric_Nativ'!$C$6:$C$405,F347,'Istoric_Nativ'!$E$6:$E$405,G347,'Istoric_Nativ'!$D$6:$D$405,"&lt;"&amp;J347,'Istoric_Nativ'!$P$6:$P$405,1,'Istoric_Nativ'!$D$6:$D$405,"&gt;="&amp;L347),IF(H347="AWAY",COUNTIFS('Istoric_Nativ'!$B$6:$B$405,E347,'Istoric_Nativ'!$C$6:$C$405,F347,'Istoric_Nativ'!$F$6:$F$405,G347,'Istoric_Nativ'!$D$6:$D$405,"&lt;"&amp;J347,'Istoric_Nativ'!$P$6:$P$405,1,'Istoric_Nativ'!$D$6:$D$405,"&gt;="&amp;L347),COUNTIFS('Istoric_Nativ'!$B$6:$B$405,E347,'Istoric_Nativ'!$C$6:$C$405,F347,'Istoric_Nativ'!$E$6:$E$405,G347,'Istoric_Nativ'!$D$6:$D$405,"&lt;"&amp;J347,'Istoric_Nativ'!$P$6:$P$405,1,'Istoric_Nativ'!$D$6:$D$405,"&gt;="&amp;L347)+COUNTIFS('Istoric_Nativ'!$B$6:$B$405,E347,'Istoric_Nativ'!$C$6:$C$405,F347,'Istoric_Nativ'!$F$6:$F$405,G347,'Istoric_Nativ'!$D$6:$D$405,"&lt;"&amp;J347,'Istoric_Nativ'!$P$6:$P$405,1,'Istoric_Nativ'!$D$6:$D$405,"&gt;="&amp;L347))))</x:f>
        <x:v>0</x:v>
      </x:c>
      <x:c r="N347" s="11" t="str">
        <x:f>IF(M347=0,"",IF(H347="HOME",SUMIFS('Istoric_Nativ'!$G$6:$G$405,'Istoric_Nativ'!$B$6:$B$405,E347,'Istoric_Nativ'!$C$6:$C$405,F347,'Istoric_Nativ'!$E$6:$E$405,G347,'Istoric_Nativ'!$D$6:$D$405,"&lt;"&amp;J347,'Istoric_Nativ'!$P$6:$P$405,1,'Istoric_Nativ'!$D$6:$D$405,"&gt;="&amp;L347),IF(H347="AWAY",SUMIFS('Istoric_Nativ'!$H$6:$H$405,'Istoric_Nativ'!$B$6:$B$405,E347,'Istoric_Nativ'!$C$6:$C$405,F347,'Istoric_Nativ'!$F$6:$F$405,G347,'Istoric_Nativ'!$D$6:$D$405,"&lt;"&amp;J347,'Istoric_Nativ'!$P$6:$P$405,1,'Istoric_Nativ'!$D$6:$D$405,"&gt;="&amp;L347),SUMIFS('Istoric_Nativ'!$G$6:$G$405,'Istoric_Nativ'!$B$6:$B$405,E347,'Istoric_Nativ'!$C$6:$C$405,F347,'Istoric_Nativ'!$E$6:$E$405,G347,'Istoric_Nativ'!$D$6:$D$405,"&lt;"&amp;J347,'Istoric_Nativ'!$P$6:$P$405,1,'Istoric_Nativ'!$D$6:$D$405,"&gt;="&amp;L347)+SUMIFS('Istoric_Nativ'!$H$6:$H$405,'Istoric_Nativ'!$B$6:$B$405,E347,'Istoric_Nativ'!$C$6:$C$405,F347,'Istoric_Nativ'!$F$6:$F$405,G347,'Istoric_Nativ'!$D$6:$D$405,"&lt;"&amp;J347,'Istoric_Nativ'!$P$6:$P$405,1,'Istoric_Nativ'!$D$6:$D$405,"&gt;="&amp;L347)))/M347)</x:f>
      </x:c>
      <x:c r="O347" s="11" t="str">
        <x:f>IF(M347=0,"",IF(H347="HOME",SUMIFS('Istoric_Nativ'!$H$6:$H$405,'Istoric_Nativ'!$B$6:$B$405,E347,'Istoric_Nativ'!$C$6:$C$405,F347,'Istoric_Nativ'!$E$6:$E$405,G347,'Istoric_Nativ'!$D$6:$D$405,"&lt;"&amp;J347,'Istoric_Nativ'!$P$6:$P$405,1,'Istoric_Nativ'!$D$6:$D$405,"&gt;="&amp;L347),IF(H347="AWAY",SUMIFS('Istoric_Nativ'!$G$6:$G$405,'Istoric_Nativ'!$B$6:$B$405,E347,'Istoric_Nativ'!$C$6:$C$405,F347,'Istoric_Nativ'!$F$6:$F$405,G347,'Istoric_Nativ'!$D$6:$D$405,"&lt;"&amp;J347,'Istoric_Nativ'!$P$6:$P$405,1,'Istoric_Nativ'!$D$6:$D$405,"&gt;="&amp;L347),SUMIFS('Istoric_Nativ'!$H$6:$H$405,'Istoric_Nativ'!$B$6:$B$405,E347,'Istoric_Nativ'!$C$6:$C$405,F347,'Istoric_Nativ'!$E$6:$E$405,G347,'Istoric_Nativ'!$D$6:$D$405,"&lt;"&amp;J347,'Istoric_Nativ'!$P$6:$P$405,1,'Istoric_Nativ'!$D$6:$D$405,"&gt;="&amp;L347)+SUMIFS('Istoric_Nativ'!$G$6:$G$405,'Istoric_Nativ'!$B$6:$B$405,E347,'Istoric_Nativ'!$C$6:$C$405,F347,'Istoric_Nativ'!$F$6:$F$405,G347,'Istoric_Nativ'!$D$6:$D$405,"&lt;"&amp;J347,'Istoric_Nativ'!$P$6:$P$405,1,'Istoric_Nativ'!$D$6:$D$405,"&gt;="&amp;L347)))/M347)</x:f>
      </x:c>
      <x:c r="P347" s="2" t="n">
        <x:f>'Config_v6'!$B$9</x:f>
        <x:v>3</x:v>
      </x:c>
      <x:c r="Q347" s="2" t="n">
        <x:f>IF(OR(B347="",F347=""),0,IFERROR(MATCH(E347&amp;"|"&amp;F347,SourceTable[Source_Key],0),0))</x:f>
        <x:v>0</x:v>
      </x:c>
      <x:c r="R347" s="2" t="str">
        <x:f>IF(B347="","",IF(F347="","UNUSED",IF(Q347=0,"NOT CHECKED",IF(COUNTIF(SourceTable[Source_Key],E347&amp;"|"&amp;F347)&lt;&gt;1,"SOURCE CONFLICT",IF(NOT(OR(INDEX(SourceTable[Status],MAX(1,Q347))="IMPORTED",INDEX(SourceTable[Status],MAX(1,Q347))="PARTIAL",INDEX(SourceTable[Status],MAX(1,Q347))="SOURCE CONFLICT")),"ACCESS BLOCKED",IF(OR(INDEX(SourceTable[Coverage],Q347)&lt;&gt;"FULL SEASON EXPORT",INDEX(SourceTable[URL],Q347)="",INDEX(SourceTable[SHA256],Q347)=""),"EVIDENCE INCOMPLETE",IF(AND('Input_Meci'!H34="LIVE",INDEX(SourceTable[Retrieved_UTC],Q347)&gt;'Input_Meci'!G34),"POST CUTOFF","CLOSED")))))))</x:f>
      </x:c>
      <x:c r="S347" s="2" t="n">
        <x:f>IF(OR(B347="",F347=""),0,COUNTIFS('Istoric_Nativ'!$B$6:$B$405,E347,'Istoric_Nativ'!$C$6:$C$405,F347,'Istoric_Nativ'!$E$6:$E$405,G347,'Istoric_Nativ'!$D$6:$D$405,"&lt;"&amp;J347,'Istoric_Nativ'!$O$6:$O$405,"INVALID")+COUNTIFS('Istoric_Nativ'!$B$6:$B$405,E347,'Istoric_Nativ'!$C$6:$C$405,F347,'Istoric_Nativ'!$E$6:$E$405,G347,'Istoric_Nativ'!$O$6:$O$405,"INVALID",'Istoric_Nativ'!$D$6:$D$405,"*")+COUNTIFS('Istoric_Nativ'!$B$6:$B$405,E347,'Istoric_Nativ'!$C$6:$C$405,F347,'Istoric_Nativ'!$E$6:$E$405,G347,'Istoric_Nativ'!$D$6:$D$405,"&lt;"&amp;J347,'Istoric_Nativ'!$O$6:$O$405,"SOURCE CONFLICT")+COUNTIFS('Istoric_Nativ'!$B$6:$B$405,E347,'Istoric_Nativ'!$C$6:$C$405,F347,'Istoric_Nativ'!$F$6:$F$405,G347,'Istoric_Nativ'!$D$6:$D$405,"&lt;"&amp;J347,'Istoric_Nativ'!$O$6:$O$405,"INVALID")+COUNTIFS('Istoric_Nativ'!$B$6:$B$405,E347,'Istoric_Nativ'!$C$6:$C$405,F347,'Istoric_Nativ'!$F$6:$F$405,G347,'Istoric_Nativ'!$O$6:$O$405,"INVALID",'Istoric_Nativ'!$D$6:$D$405,"*")+COUNTIFS('Istoric_Nativ'!$B$6:$B$405,E347,'Istoric_Nativ'!$C$6:$C$405,F347,'Istoric_Nativ'!$F$6:$F$405,G347,'Istoric_Nativ'!$D$6:$D$405,"&lt;"&amp;J347,'Istoric_Nativ'!$O$6:$O$405,"SOURCE CONFLICT"))</x:f>
        <x:v>0</x:v>
      </x:c>
      <x:c r="T347" s="2" t="str">
        <x:f>IF(B347="","",IF(R347&lt;&gt;"CLOSED",R347,IF(S347&gt;0,"NATIVE INPUT ISSUE",IF(M347=0,"NO HISTORY",IF(M347&lt;P347,"SMALL SAMPLE","DERIVED")))))</x:f>
      </x:c>
      <x:c r="U347" s="2" t="str">
        <x:f>IF(B347="","","NativeTable; "&amp;E347&amp;"; "&amp;F347&amp;"; "&amp;G347&amp;"; "&amp;H347&amp;"; before "&amp;TEXT(J347,"yyyy-mm-dd")&amp;IF(I347="RECENT","; from "&amp;TEXT(L347,"yyyy-mm-dd"),""))</x:f>
      </x:c>
    </x:row>
    <x:row r="348" ht="21" customHeight="1">
      <x:c r="A348" s="2" t="n">
        <x:v>29</x:v>
      </x:c>
      <x:c r="B348" s="2" t="str">
        <x:f>IF('Input_Meci'!A34="","",'Input_Meci'!A34)</x:f>
      </x:c>
      <x:c r="C348" s="2" t="str">
        <x:v>H</x:v>
      </x:c>
      <x:c r="D348" s="2" t="str">
        <x:v>PRIOR</x:v>
      </x:c>
      <x:c r="E348" s="2" t="str">
        <x:f>IF(B348="","",'Input_Meci'!B34)</x:f>
      </x:c>
      <x:c r="F348" s="2" t="str">
        <x:f>IF(B348="","",IF('Input_Meci'!K34="","",'Input_Meci'!K34))</x:f>
      </x:c>
      <x:c r="G348" s="2" t="str">
        <x:f>IF(B348="","",'Input_Meci'!D34)</x:f>
      </x:c>
      <x:c r="H348" s="2" t="str">
        <x:v>ANY</x:v>
      </x:c>
      <x:c r="I348" s="2" t="str">
        <x:v>SEASON</x:v>
      </x:c>
      <x:c r="J348" s="9" t="n">
        <x:f>IF(AND(B348&lt;&gt;"",ISNUMBER('Input_Meci'!G34)),INT('Input_Meci'!G34),0)</x:f>
        <x:v>0</x:v>
      </x:c>
      <x:c r="K348" s="2" t="n">
        <x:f>IF(OR(B348="",F348=""),0,IF(H348="HOME",COUNTIFS('Istoric_Nativ'!$B$6:$B$405,E348,'Istoric_Nativ'!$C$6:$C$405,F348,'Istoric_Nativ'!$E$6:$E$405,G348,'Istoric_Nativ'!$D$6:$D$405,"&lt;"&amp;J348,'Istoric_Nativ'!$P$6:$P$405,1),IF(H348="AWAY",COUNTIFS('Istoric_Nativ'!$B$6:$B$405,E348,'Istoric_Nativ'!$C$6:$C$405,F348,'Istoric_Nativ'!$F$6:$F$405,G348,'Istoric_Nativ'!$D$6:$D$405,"&lt;"&amp;J348,'Istoric_Nativ'!$P$6:$P$405,1),COUNTIFS('Istoric_Nativ'!$B$6:$B$405,E348,'Istoric_Nativ'!$C$6:$C$405,F348,'Istoric_Nativ'!$E$6:$E$405,G348,'Istoric_Nativ'!$D$6:$D$405,"&lt;"&amp;J348,'Istoric_Nativ'!$P$6:$P$405,1)+COUNTIFS('Istoric_Nativ'!$B$6:$B$405,E348,'Istoric_Nativ'!$C$6:$C$405,F348,'Istoric_Nativ'!$F$6:$F$405,G348,'Istoric_Nativ'!$D$6:$D$405,"&lt;"&amp;J348,'Istoric_Nativ'!$P$6:$P$405,1))))</x:f>
        <x:v>0</x:v>
      </x:c>
      <x:c r="L348" s="17" t="n">
        <x:f>IF(AND(B348&lt;&gt;"",I348="RECENT",K348&gt;0),LARGE(_xlfn._xlws.FILTER('Istoric_Nativ'!$D$6:$D$405,('Istoric_Nativ'!$B$6:$B$405=E348)*('Istoric_Nativ'!$C$6:$C$405=F348)*('Istoric_Nativ'!$P$6:$P$405=1)*('Istoric_Nativ'!$D$6:$D$405&lt;J348)*((('Istoric_Nativ'!$E$6:$E$405=G348)+('Istoric_Nativ'!$F$6:$F$405=G348))&gt;0)),MIN('Config_v6'!$B$54,K348)),0)</x:f>
        <x:v>0</x:v>
      </x:c>
      <x:c r="M348" s="2" t="n">
        <x:f>IF(OR(B348="",F348=""),0,IF(H348="HOME",COUNTIFS('Istoric_Nativ'!$B$6:$B$405,E348,'Istoric_Nativ'!$C$6:$C$405,F348,'Istoric_Nativ'!$E$6:$E$405,G348,'Istoric_Nativ'!$D$6:$D$405,"&lt;"&amp;J348,'Istoric_Nativ'!$P$6:$P$405,1,'Istoric_Nativ'!$D$6:$D$405,"&gt;="&amp;L348),IF(H348="AWAY",COUNTIFS('Istoric_Nativ'!$B$6:$B$405,E348,'Istoric_Nativ'!$C$6:$C$405,F348,'Istoric_Nativ'!$F$6:$F$405,G348,'Istoric_Nativ'!$D$6:$D$405,"&lt;"&amp;J348,'Istoric_Nativ'!$P$6:$P$405,1,'Istoric_Nativ'!$D$6:$D$405,"&gt;="&amp;L348),COUNTIFS('Istoric_Nativ'!$B$6:$B$405,E348,'Istoric_Nativ'!$C$6:$C$405,F348,'Istoric_Nativ'!$E$6:$E$405,G348,'Istoric_Nativ'!$D$6:$D$405,"&lt;"&amp;J348,'Istoric_Nativ'!$P$6:$P$405,1,'Istoric_Nativ'!$D$6:$D$405,"&gt;="&amp;L348)+COUNTIFS('Istoric_Nativ'!$B$6:$B$405,E348,'Istoric_Nativ'!$C$6:$C$405,F348,'Istoric_Nativ'!$F$6:$F$405,G348,'Istoric_Nativ'!$D$6:$D$405,"&lt;"&amp;J348,'Istoric_Nativ'!$P$6:$P$405,1,'Istoric_Nativ'!$D$6:$D$405,"&gt;="&amp;L348))))</x:f>
        <x:v>0</x:v>
      </x:c>
      <x:c r="N348" s="11" t="str">
        <x:f>IF(M348=0,"",IF(H348="HOME",SUMIFS('Istoric_Nativ'!$G$6:$G$405,'Istoric_Nativ'!$B$6:$B$405,E348,'Istoric_Nativ'!$C$6:$C$405,F348,'Istoric_Nativ'!$E$6:$E$405,G348,'Istoric_Nativ'!$D$6:$D$405,"&lt;"&amp;J348,'Istoric_Nativ'!$P$6:$P$405,1,'Istoric_Nativ'!$D$6:$D$405,"&gt;="&amp;L348),IF(H348="AWAY",SUMIFS('Istoric_Nativ'!$H$6:$H$405,'Istoric_Nativ'!$B$6:$B$405,E348,'Istoric_Nativ'!$C$6:$C$405,F348,'Istoric_Nativ'!$F$6:$F$405,G348,'Istoric_Nativ'!$D$6:$D$405,"&lt;"&amp;J348,'Istoric_Nativ'!$P$6:$P$405,1,'Istoric_Nativ'!$D$6:$D$405,"&gt;="&amp;L348),SUMIFS('Istoric_Nativ'!$G$6:$G$405,'Istoric_Nativ'!$B$6:$B$405,E348,'Istoric_Nativ'!$C$6:$C$405,F348,'Istoric_Nativ'!$E$6:$E$405,G348,'Istoric_Nativ'!$D$6:$D$405,"&lt;"&amp;J348,'Istoric_Nativ'!$P$6:$P$405,1,'Istoric_Nativ'!$D$6:$D$405,"&gt;="&amp;L348)+SUMIFS('Istoric_Nativ'!$H$6:$H$405,'Istoric_Nativ'!$B$6:$B$405,E348,'Istoric_Nativ'!$C$6:$C$405,F348,'Istoric_Nativ'!$F$6:$F$405,G348,'Istoric_Nativ'!$D$6:$D$405,"&lt;"&amp;J348,'Istoric_Nativ'!$P$6:$P$405,1,'Istoric_Nativ'!$D$6:$D$405,"&gt;="&amp;L348)))/M348)</x:f>
      </x:c>
      <x:c r="O348" s="11" t="str">
        <x:f>IF(M348=0,"",IF(H348="HOME",SUMIFS('Istoric_Nativ'!$H$6:$H$405,'Istoric_Nativ'!$B$6:$B$405,E348,'Istoric_Nativ'!$C$6:$C$405,F348,'Istoric_Nativ'!$E$6:$E$405,G348,'Istoric_Nativ'!$D$6:$D$405,"&lt;"&amp;J348,'Istoric_Nativ'!$P$6:$P$405,1,'Istoric_Nativ'!$D$6:$D$405,"&gt;="&amp;L348),IF(H348="AWAY",SUMIFS('Istoric_Nativ'!$G$6:$G$405,'Istoric_Nativ'!$B$6:$B$405,E348,'Istoric_Nativ'!$C$6:$C$405,F348,'Istoric_Nativ'!$F$6:$F$405,G348,'Istoric_Nativ'!$D$6:$D$405,"&lt;"&amp;J348,'Istoric_Nativ'!$P$6:$P$405,1,'Istoric_Nativ'!$D$6:$D$405,"&gt;="&amp;L348),SUMIFS('Istoric_Nativ'!$H$6:$H$405,'Istoric_Nativ'!$B$6:$B$405,E348,'Istoric_Nativ'!$C$6:$C$405,F348,'Istoric_Nativ'!$E$6:$E$405,G348,'Istoric_Nativ'!$D$6:$D$405,"&lt;"&amp;J348,'Istoric_Nativ'!$P$6:$P$405,1,'Istoric_Nativ'!$D$6:$D$405,"&gt;="&amp;L348)+SUMIFS('Istoric_Nativ'!$G$6:$G$405,'Istoric_Nativ'!$B$6:$B$405,E348,'Istoric_Nativ'!$C$6:$C$405,F348,'Istoric_Nativ'!$F$6:$F$405,G348,'Istoric_Nativ'!$D$6:$D$405,"&lt;"&amp;J348,'Istoric_Nativ'!$P$6:$P$405,1,'Istoric_Nativ'!$D$6:$D$405,"&gt;="&amp;L348)))/M348)</x:f>
      </x:c>
      <x:c r="P348" s="2" t="n">
        <x:f>'Config_v6'!$B$7</x:f>
        <x:v>10</x:v>
      </x:c>
      <x:c r="Q348" s="2" t="n">
        <x:f>IF(OR(B348="",F348=""),0,IFERROR(MATCH(E348&amp;"|"&amp;F348,SourceTable[Source_Key],0),0))</x:f>
        <x:v>0</x:v>
      </x:c>
      <x:c r="R348" s="2" t="str">
        <x:f>IF(B348="","",IF(F348="","UNUSED",IF(Q348=0,"NOT CHECKED",IF(COUNTIF(SourceTable[Source_Key],E348&amp;"|"&amp;F348)&lt;&gt;1,"SOURCE CONFLICT",IF(NOT(OR(INDEX(SourceTable[Status],MAX(1,Q348))="IMPORTED",INDEX(SourceTable[Status],MAX(1,Q348))="PARTIAL",INDEX(SourceTable[Status],MAX(1,Q348))="SOURCE CONFLICT")),"ACCESS BLOCKED",IF(OR(INDEX(SourceTable[Coverage],Q348)&lt;&gt;"FULL SEASON EXPORT",INDEX(SourceTable[URL],Q348)="",INDEX(SourceTable[SHA256],Q348)=""),"EVIDENCE INCOMPLETE",IF(AND('Input_Meci'!H34="LIVE",INDEX(SourceTable[Retrieved_UTC],Q348)&gt;'Input_Meci'!G34),"POST CUTOFF","CLOSED")))))))</x:f>
      </x:c>
      <x:c r="S348" s="2" t="n">
        <x:f>IF(OR(B348="",F348=""),0,COUNTIFS('Istoric_Nativ'!$B$6:$B$405,E348,'Istoric_Nativ'!$C$6:$C$405,F348,'Istoric_Nativ'!$E$6:$E$405,G348,'Istoric_Nativ'!$D$6:$D$405,"&lt;"&amp;J348,'Istoric_Nativ'!$O$6:$O$405,"INVALID")+COUNTIFS('Istoric_Nativ'!$B$6:$B$405,E348,'Istoric_Nativ'!$C$6:$C$405,F348,'Istoric_Nativ'!$E$6:$E$405,G348,'Istoric_Nativ'!$O$6:$O$405,"INVALID",'Istoric_Nativ'!$D$6:$D$405,"*")+COUNTIFS('Istoric_Nativ'!$B$6:$B$405,E348,'Istoric_Nativ'!$C$6:$C$405,F348,'Istoric_Nativ'!$E$6:$E$405,G348,'Istoric_Nativ'!$D$6:$D$405,"&lt;"&amp;J348,'Istoric_Nativ'!$O$6:$O$405,"SOURCE CONFLICT")+COUNTIFS('Istoric_Nativ'!$B$6:$B$405,E348,'Istoric_Nativ'!$C$6:$C$405,F348,'Istoric_Nativ'!$F$6:$F$405,G348,'Istoric_Nativ'!$D$6:$D$405,"&lt;"&amp;J348,'Istoric_Nativ'!$O$6:$O$405,"INVALID")+COUNTIFS('Istoric_Nativ'!$B$6:$B$405,E348,'Istoric_Nativ'!$C$6:$C$405,F348,'Istoric_Nativ'!$F$6:$F$405,G348,'Istoric_Nativ'!$O$6:$O$405,"INVALID",'Istoric_Nativ'!$D$6:$D$405,"*")+COUNTIFS('Istoric_Nativ'!$B$6:$B$405,E348,'Istoric_Nativ'!$C$6:$C$405,F348,'Istoric_Nativ'!$F$6:$F$405,G348,'Istoric_Nativ'!$D$6:$D$405,"&lt;"&amp;J348,'Istoric_Nativ'!$O$6:$O$405,"SOURCE CONFLICT"))</x:f>
        <x:v>0</x:v>
      </x:c>
      <x:c r="T348" s="2" t="str">
        <x:f>IF(B348="","",IF(R348&lt;&gt;"CLOSED",R348,IF(S348&gt;0,"NATIVE INPUT ISSUE",IF(M348=0,"NO HISTORY",IF(M348&lt;P348,"SMALL SAMPLE","DERIVED")))))</x:f>
      </x:c>
      <x:c r="U348" s="2" t="str">
        <x:f>IF(B348="","","NativeTable; "&amp;E348&amp;"; "&amp;F348&amp;"; "&amp;G348&amp;"; "&amp;H348&amp;"; before "&amp;TEXT(J348,"yyyy-mm-dd")&amp;IF(I348="RECENT","; from "&amp;TEXT(L348,"yyyy-mm-dd"),""))</x:f>
      </x:c>
    </x:row>
    <x:row r="349" ht="21" customHeight="1">
      <x:c r="A349" s="2" t="n">
        <x:v>29</x:v>
      </x:c>
      <x:c r="B349" s="2" t="str">
        <x:f>IF('Input_Meci'!A34="","",'Input_Meci'!A34)</x:f>
      </x:c>
      <x:c r="C349" s="2" t="str">
        <x:v>H</x:v>
      </x:c>
      <x:c r="D349" s="2" t="str">
        <x:v>PRIOR</x:v>
      </x:c>
      <x:c r="E349" s="2" t="str">
        <x:f>IF(B349="","",'Input_Meci'!B34)</x:f>
      </x:c>
      <x:c r="F349" s="2" t="str">
        <x:f>IF(B349="","",IF('Input_Meci'!K34="","",'Input_Meci'!K34))</x:f>
      </x:c>
      <x:c r="G349" s="2" t="str">
        <x:f>IF(B349="","",'Input_Meci'!D34)</x:f>
      </x:c>
      <x:c r="H349" s="2" t="str">
        <x:v>HOME</x:v>
      </x:c>
      <x:c r="I349" s="2" t="str">
        <x:v>HA</x:v>
      </x:c>
      <x:c r="J349" s="9" t="n">
        <x:f>IF(AND(B349&lt;&gt;"",ISNUMBER('Input_Meci'!G34)),INT('Input_Meci'!G34),0)</x:f>
        <x:v>0</x:v>
      </x:c>
      <x:c r="K349" s="2" t="n">
        <x:f>IF(OR(B349="",F349=""),0,IF(H349="HOME",COUNTIFS('Istoric_Nativ'!$B$6:$B$405,E349,'Istoric_Nativ'!$C$6:$C$405,F349,'Istoric_Nativ'!$E$6:$E$405,G349,'Istoric_Nativ'!$D$6:$D$405,"&lt;"&amp;J349,'Istoric_Nativ'!$P$6:$P$405,1),IF(H349="AWAY",COUNTIFS('Istoric_Nativ'!$B$6:$B$405,E349,'Istoric_Nativ'!$C$6:$C$405,F349,'Istoric_Nativ'!$F$6:$F$405,G349,'Istoric_Nativ'!$D$6:$D$405,"&lt;"&amp;J349,'Istoric_Nativ'!$P$6:$P$405,1),COUNTIFS('Istoric_Nativ'!$B$6:$B$405,E349,'Istoric_Nativ'!$C$6:$C$405,F349,'Istoric_Nativ'!$E$6:$E$405,G349,'Istoric_Nativ'!$D$6:$D$405,"&lt;"&amp;J349,'Istoric_Nativ'!$P$6:$P$405,1)+COUNTIFS('Istoric_Nativ'!$B$6:$B$405,E349,'Istoric_Nativ'!$C$6:$C$405,F349,'Istoric_Nativ'!$F$6:$F$405,G349,'Istoric_Nativ'!$D$6:$D$405,"&lt;"&amp;J349,'Istoric_Nativ'!$P$6:$P$405,1))))</x:f>
        <x:v>0</x:v>
      </x:c>
      <x:c r="L349" s="17" t="n">
        <x:f>IF(AND(B349&lt;&gt;"",I349="RECENT",K349&gt;0),LARGE(_xlfn._xlws.FILTER('Istoric_Nativ'!$D$6:$D$405,('Istoric_Nativ'!$B$6:$B$405=E349)*('Istoric_Nativ'!$C$6:$C$405=F349)*('Istoric_Nativ'!$P$6:$P$405=1)*('Istoric_Nativ'!$D$6:$D$405&lt;J349)*((('Istoric_Nativ'!$E$6:$E$405=G349)+('Istoric_Nativ'!$F$6:$F$405=G349))&gt;0)),MIN('Config_v6'!$B$54,K349)),0)</x:f>
        <x:v>0</x:v>
      </x:c>
      <x:c r="M349" s="2" t="n">
        <x:f>IF(OR(B349="",F349=""),0,IF(H349="HOME",COUNTIFS('Istoric_Nativ'!$B$6:$B$405,E349,'Istoric_Nativ'!$C$6:$C$405,F349,'Istoric_Nativ'!$E$6:$E$405,G349,'Istoric_Nativ'!$D$6:$D$405,"&lt;"&amp;J349,'Istoric_Nativ'!$P$6:$P$405,1,'Istoric_Nativ'!$D$6:$D$405,"&gt;="&amp;L349),IF(H349="AWAY",COUNTIFS('Istoric_Nativ'!$B$6:$B$405,E349,'Istoric_Nativ'!$C$6:$C$405,F349,'Istoric_Nativ'!$F$6:$F$405,G349,'Istoric_Nativ'!$D$6:$D$405,"&lt;"&amp;J349,'Istoric_Nativ'!$P$6:$P$405,1,'Istoric_Nativ'!$D$6:$D$405,"&gt;="&amp;L349),COUNTIFS('Istoric_Nativ'!$B$6:$B$405,E349,'Istoric_Nativ'!$C$6:$C$405,F349,'Istoric_Nativ'!$E$6:$E$405,G349,'Istoric_Nativ'!$D$6:$D$405,"&lt;"&amp;J349,'Istoric_Nativ'!$P$6:$P$405,1,'Istoric_Nativ'!$D$6:$D$405,"&gt;="&amp;L349)+COUNTIFS('Istoric_Nativ'!$B$6:$B$405,E349,'Istoric_Nativ'!$C$6:$C$405,F349,'Istoric_Nativ'!$F$6:$F$405,G349,'Istoric_Nativ'!$D$6:$D$405,"&lt;"&amp;J349,'Istoric_Nativ'!$P$6:$P$405,1,'Istoric_Nativ'!$D$6:$D$405,"&gt;="&amp;L349))))</x:f>
        <x:v>0</x:v>
      </x:c>
      <x:c r="N349" s="11" t="str">
        <x:f>IF(M349=0,"",IF(H349="HOME",SUMIFS('Istoric_Nativ'!$G$6:$G$405,'Istoric_Nativ'!$B$6:$B$405,E349,'Istoric_Nativ'!$C$6:$C$405,F349,'Istoric_Nativ'!$E$6:$E$405,G349,'Istoric_Nativ'!$D$6:$D$405,"&lt;"&amp;J349,'Istoric_Nativ'!$P$6:$P$405,1,'Istoric_Nativ'!$D$6:$D$405,"&gt;="&amp;L349),IF(H349="AWAY",SUMIFS('Istoric_Nativ'!$H$6:$H$405,'Istoric_Nativ'!$B$6:$B$405,E349,'Istoric_Nativ'!$C$6:$C$405,F349,'Istoric_Nativ'!$F$6:$F$405,G349,'Istoric_Nativ'!$D$6:$D$405,"&lt;"&amp;J349,'Istoric_Nativ'!$P$6:$P$405,1,'Istoric_Nativ'!$D$6:$D$405,"&gt;="&amp;L349),SUMIFS('Istoric_Nativ'!$G$6:$G$405,'Istoric_Nativ'!$B$6:$B$405,E349,'Istoric_Nativ'!$C$6:$C$405,F349,'Istoric_Nativ'!$E$6:$E$405,G349,'Istoric_Nativ'!$D$6:$D$405,"&lt;"&amp;J349,'Istoric_Nativ'!$P$6:$P$405,1,'Istoric_Nativ'!$D$6:$D$405,"&gt;="&amp;L349)+SUMIFS('Istoric_Nativ'!$H$6:$H$405,'Istoric_Nativ'!$B$6:$B$405,E349,'Istoric_Nativ'!$C$6:$C$405,F349,'Istoric_Nativ'!$F$6:$F$405,G349,'Istoric_Nativ'!$D$6:$D$405,"&lt;"&amp;J349,'Istoric_Nativ'!$P$6:$P$405,1,'Istoric_Nativ'!$D$6:$D$405,"&gt;="&amp;L349)))/M349)</x:f>
      </x:c>
      <x:c r="O349" s="11" t="str">
        <x:f>IF(M349=0,"",IF(H349="HOME",SUMIFS('Istoric_Nativ'!$H$6:$H$405,'Istoric_Nativ'!$B$6:$B$405,E349,'Istoric_Nativ'!$C$6:$C$405,F349,'Istoric_Nativ'!$E$6:$E$405,G349,'Istoric_Nativ'!$D$6:$D$405,"&lt;"&amp;J349,'Istoric_Nativ'!$P$6:$P$405,1,'Istoric_Nativ'!$D$6:$D$405,"&gt;="&amp;L349),IF(H349="AWAY",SUMIFS('Istoric_Nativ'!$G$6:$G$405,'Istoric_Nativ'!$B$6:$B$405,E349,'Istoric_Nativ'!$C$6:$C$405,F349,'Istoric_Nativ'!$F$6:$F$405,G349,'Istoric_Nativ'!$D$6:$D$405,"&lt;"&amp;J349,'Istoric_Nativ'!$P$6:$P$405,1,'Istoric_Nativ'!$D$6:$D$405,"&gt;="&amp;L349),SUMIFS('Istoric_Nativ'!$H$6:$H$405,'Istoric_Nativ'!$B$6:$B$405,E349,'Istoric_Nativ'!$C$6:$C$405,F349,'Istoric_Nativ'!$E$6:$E$405,G349,'Istoric_Nativ'!$D$6:$D$405,"&lt;"&amp;J349,'Istoric_Nativ'!$P$6:$P$405,1,'Istoric_Nativ'!$D$6:$D$405,"&gt;="&amp;L349)+SUMIFS('Istoric_Nativ'!$G$6:$G$405,'Istoric_Nativ'!$B$6:$B$405,E349,'Istoric_Nativ'!$C$6:$C$405,F349,'Istoric_Nativ'!$F$6:$F$405,G349,'Istoric_Nativ'!$D$6:$D$405,"&lt;"&amp;J349,'Istoric_Nativ'!$P$6:$P$405,1,'Istoric_Nativ'!$D$6:$D$405,"&gt;="&amp;L349)))/M349)</x:f>
      </x:c>
      <x:c r="P349" s="2" t="n">
        <x:f>'Config_v6'!$B$8</x:f>
        <x:v>5</x:v>
      </x:c>
      <x:c r="Q349" s="2" t="n">
        <x:f>IF(OR(B349="",F349=""),0,IFERROR(MATCH(E349&amp;"|"&amp;F349,SourceTable[Source_Key],0),0))</x:f>
        <x:v>0</x:v>
      </x:c>
      <x:c r="R349" s="2" t="str">
        <x:f>IF(B349="","",IF(F349="","UNUSED",IF(Q349=0,"NOT CHECKED",IF(COUNTIF(SourceTable[Source_Key],E349&amp;"|"&amp;F349)&lt;&gt;1,"SOURCE CONFLICT",IF(NOT(OR(INDEX(SourceTable[Status],MAX(1,Q349))="IMPORTED",INDEX(SourceTable[Status],MAX(1,Q349))="PARTIAL",INDEX(SourceTable[Status],MAX(1,Q349))="SOURCE CONFLICT")),"ACCESS BLOCKED",IF(OR(INDEX(SourceTable[Coverage],Q349)&lt;&gt;"FULL SEASON EXPORT",INDEX(SourceTable[URL],Q349)="",INDEX(SourceTable[SHA256],Q349)=""),"EVIDENCE INCOMPLETE",IF(AND('Input_Meci'!H34="LIVE",INDEX(SourceTable[Retrieved_UTC],Q349)&gt;'Input_Meci'!G34),"POST CUTOFF","CLOSED")))))))</x:f>
      </x:c>
      <x:c r="S349" s="2" t="n">
        <x:f>IF(OR(B349="",F349=""),0,COUNTIFS('Istoric_Nativ'!$B$6:$B$405,E349,'Istoric_Nativ'!$C$6:$C$405,F349,'Istoric_Nativ'!$E$6:$E$405,G349,'Istoric_Nativ'!$D$6:$D$405,"&lt;"&amp;J349,'Istoric_Nativ'!$O$6:$O$405,"INVALID")+COUNTIFS('Istoric_Nativ'!$B$6:$B$405,E349,'Istoric_Nativ'!$C$6:$C$405,F349,'Istoric_Nativ'!$E$6:$E$405,G349,'Istoric_Nativ'!$O$6:$O$405,"INVALID",'Istoric_Nativ'!$D$6:$D$405,"*")+COUNTIFS('Istoric_Nativ'!$B$6:$B$405,E349,'Istoric_Nativ'!$C$6:$C$405,F349,'Istoric_Nativ'!$E$6:$E$405,G349,'Istoric_Nativ'!$D$6:$D$405,"&lt;"&amp;J349,'Istoric_Nativ'!$O$6:$O$405,"SOURCE CONFLICT")+COUNTIFS('Istoric_Nativ'!$B$6:$B$405,E349,'Istoric_Nativ'!$C$6:$C$405,F349,'Istoric_Nativ'!$F$6:$F$405,G349,'Istoric_Nativ'!$D$6:$D$405,"&lt;"&amp;J349,'Istoric_Nativ'!$O$6:$O$405,"INVALID")+COUNTIFS('Istoric_Nativ'!$B$6:$B$405,E349,'Istoric_Nativ'!$C$6:$C$405,F349,'Istoric_Nativ'!$F$6:$F$405,G349,'Istoric_Nativ'!$O$6:$O$405,"INVALID",'Istoric_Nativ'!$D$6:$D$405,"*")+COUNTIFS('Istoric_Nativ'!$B$6:$B$405,E349,'Istoric_Nativ'!$C$6:$C$405,F349,'Istoric_Nativ'!$F$6:$F$405,G349,'Istoric_Nativ'!$D$6:$D$405,"&lt;"&amp;J349,'Istoric_Nativ'!$O$6:$O$405,"SOURCE CONFLICT"))</x:f>
        <x:v>0</x:v>
      </x:c>
      <x:c r="T349" s="2" t="str">
        <x:f>IF(B349="","",IF(R349&lt;&gt;"CLOSED",R349,IF(S349&gt;0,"NATIVE INPUT ISSUE",IF(M349=0,"NO HISTORY",IF(M349&lt;P349,"SMALL SAMPLE","DERIVED")))))</x:f>
      </x:c>
      <x:c r="U349" s="2" t="str">
        <x:f>IF(B349="","","NativeTable; "&amp;E349&amp;"; "&amp;F349&amp;"; "&amp;G349&amp;"; "&amp;H349&amp;"; before "&amp;TEXT(J349,"yyyy-mm-dd")&amp;IF(I349="RECENT","; from "&amp;TEXT(L349,"yyyy-mm-dd"),""))</x:f>
      </x:c>
    </x:row>
    <x:row r="350" ht="21" customHeight="1">
      <x:c r="A350" s="2" t="n">
        <x:v>29</x:v>
      </x:c>
      <x:c r="B350" s="2" t="str">
        <x:f>IF('Input_Meci'!A34="","",'Input_Meci'!A34)</x:f>
      </x:c>
      <x:c r="C350" s="2" t="str">
        <x:v>H</x:v>
      </x:c>
      <x:c r="D350" s="2" t="str">
        <x:v>PRIOR</x:v>
      </x:c>
      <x:c r="E350" s="2" t="str">
        <x:f>IF(B350="","",'Input_Meci'!B34)</x:f>
      </x:c>
      <x:c r="F350" s="2" t="str">
        <x:f>IF(B350="","",IF('Input_Meci'!K34="","",'Input_Meci'!K34))</x:f>
      </x:c>
      <x:c r="G350" s="2" t="str">
        <x:f>IF(B350="","",'Input_Meci'!D34)</x:f>
      </x:c>
      <x:c r="H350" s="2" t="str">
        <x:v>ANY</x:v>
      </x:c>
      <x:c r="I350" s="2" t="str">
        <x:v>RECENT</x:v>
      </x:c>
      <x:c r="J350" s="9" t="n">
        <x:f>IF(AND(B350&lt;&gt;"",ISNUMBER('Input_Meci'!G34)),INT('Input_Meci'!G34),0)</x:f>
        <x:v>0</x:v>
      </x:c>
      <x:c r="K350" s="2" t="n">
        <x:f>IF(OR(B350="",F350=""),0,IF(H350="HOME",COUNTIFS('Istoric_Nativ'!$B$6:$B$405,E350,'Istoric_Nativ'!$C$6:$C$405,F350,'Istoric_Nativ'!$E$6:$E$405,G350,'Istoric_Nativ'!$D$6:$D$405,"&lt;"&amp;J350,'Istoric_Nativ'!$P$6:$P$405,1),IF(H350="AWAY",COUNTIFS('Istoric_Nativ'!$B$6:$B$405,E350,'Istoric_Nativ'!$C$6:$C$405,F350,'Istoric_Nativ'!$F$6:$F$405,G350,'Istoric_Nativ'!$D$6:$D$405,"&lt;"&amp;J350,'Istoric_Nativ'!$P$6:$P$405,1),COUNTIFS('Istoric_Nativ'!$B$6:$B$405,E350,'Istoric_Nativ'!$C$6:$C$405,F350,'Istoric_Nativ'!$E$6:$E$405,G350,'Istoric_Nativ'!$D$6:$D$405,"&lt;"&amp;J350,'Istoric_Nativ'!$P$6:$P$405,1)+COUNTIFS('Istoric_Nativ'!$B$6:$B$405,E350,'Istoric_Nativ'!$C$6:$C$405,F350,'Istoric_Nativ'!$F$6:$F$405,G350,'Istoric_Nativ'!$D$6:$D$405,"&lt;"&amp;J350,'Istoric_Nativ'!$P$6:$P$405,1))))</x:f>
        <x:v>0</x:v>
      </x:c>
      <x:c r="L350" s="17" t="n">
        <x:f>IF(AND(B350&lt;&gt;"",I350="RECENT",K350&gt;0),LARGE(_xlfn._xlws.FILTER('Istoric_Nativ'!$D$6:$D$405,('Istoric_Nativ'!$B$6:$B$405=E350)*('Istoric_Nativ'!$C$6:$C$405=F350)*('Istoric_Nativ'!$P$6:$P$405=1)*('Istoric_Nativ'!$D$6:$D$405&lt;J350)*((('Istoric_Nativ'!$E$6:$E$405=G350)+('Istoric_Nativ'!$F$6:$F$405=G350))&gt;0)),MIN('Config_v6'!$B$54,K350)),0)</x:f>
        <x:v>0</x:v>
      </x:c>
      <x:c r="M350" s="2" t="n">
        <x:f>IF(OR(B350="",F350=""),0,IF(H350="HOME",COUNTIFS('Istoric_Nativ'!$B$6:$B$405,E350,'Istoric_Nativ'!$C$6:$C$405,F350,'Istoric_Nativ'!$E$6:$E$405,G350,'Istoric_Nativ'!$D$6:$D$405,"&lt;"&amp;J350,'Istoric_Nativ'!$P$6:$P$405,1,'Istoric_Nativ'!$D$6:$D$405,"&gt;="&amp;L350),IF(H350="AWAY",COUNTIFS('Istoric_Nativ'!$B$6:$B$405,E350,'Istoric_Nativ'!$C$6:$C$405,F350,'Istoric_Nativ'!$F$6:$F$405,G350,'Istoric_Nativ'!$D$6:$D$405,"&lt;"&amp;J350,'Istoric_Nativ'!$P$6:$P$405,1,'Istoric_Nativ'!$D$6:$D$405,"&gt;="&amp;L350),COUNTIFS('Istoric_Nativ'!$B$6:$B$405,E350,'Istoric_Nativ'!$C$6:$C$405,F350,'Istoric_Nativ'!$E$6:$E$405,G350,'Istoric_Nativ'!$D$6:$D$405,"&lt;"&amp;J350,'Istoric_Nativ'!$P$6:$P$405,1,'Istoric_Nativ'!$D$6:$D$405,"&gt;="&amp;L350)+COUNTIFS('Istoric_Nativ'!$B$6:$B$405,E350,'Istoric_Nativ'!$C$6:$C$405,F350,'Istoric_Nativ'!$F$6:$F$405,G350,'Istoric_Nativ'!$D$6:$D$405,"&lt;"&amp;J350,'Istoric_Nativ'!$P$6:$P$405,1,'Istoric_Nativ'!$D$6:$D$405,"&gt;="&amp;L350))))</x:f>
        <x:v>0</x:v>
      </x:c>
      <x:c r="N350" s="11" t="str">
        <x:f>IF(M350=0,"",IF(H350="HOME",SUMIFS('Istoric_Nativ'!$G$6:$G$405,'Istoric_Nativ'!$B$6:$B$405,E350,'Istoric_Nativ'!$C$6:$C$405,F350,'Istoric_Nativ'!$E$6:$E$405,G350,'Istoric_Nativ'!$D$6:$D$405,"&lt;"&amp;J350,'Istoric_Nativ'!$P$6:$P$405,1,'Istoric_Nativ'!$D$6:$D$405,"&gt;="&amp;L350),IF(H350="AWAY",SUMIFS('Istoric_Nativ'!$H$6:$H$405,'Istoric_Nativ'!$B$6:$B$405,E350,'Istoric_Nativ'!$C$6:$C$405,F350,'Istoric_Nativ'!$F$6:$F$405,G350,'Istoric_Nativ'!$D$6:$D$405,"&lt;"&amp;J350,'Istoric_Nativ'!$P$6:$P$405,1,'Istoric_Nativ'!$D$6:$D$405,"&gt;="&amp;L350),SUMIFS('Istoric_Nativ'!$G$6:$G$405,'Istoric_Nativ'!$B$6:$B$405,E350,'Istoric_Nativ'!$C$6:$C$405,F350,'Istoric_Nativ'!$E$6:$E$405,G350,'Istoric_Nativ'!$D$6:$D$405,"&lt;"&amp;J350,'Istoric_Nativ'!$P$6:$P$405,1,'Istoric_Nativ'!$D$6:$D$405,"&gt;="&amp;L350)+SUMIFS('Istoric_Nativ'!$H$6:$H$405,'Istoric_Nativ'!$B$6:$B$405,E350,'Istoric_Nativ'!$C$6:$C$405,F350,'Istoric_Nativ'!$F$6:$F$405,G350,'Istoric_Nativ'!$D$6:$D$405,"&lt;"&amp;J350,'Istoric_Nativ'!$P$6:$P$405,1,'Istoric_Nativ'!$D$6:$D$405,"&gt;="&amp;L350)))/M350)</x:f>
      </x:c>
      <x:c r="O350" s="11" t="str">
        <x:f>IF(M350=0,"",IF(H350="HOME",SUMIFS('Istoric_Nativ'!$H$6:$H$405,'Istoric_Nativ'!$B$6:$B$405,E350,'Istoric_Nativ'!$C$6:$C$405,F350,'Istoric_Nativ'!$E$6:$E$405,G350,'Istoric_Nativ'!$D$6:$D$405,"&lt;"&amp;J350,'Istoric_Nativ'!$P$6:$P$405,1,'Istoric_Nativ'!$D$6:$D$405,"&gt;="&amp;L350),IF(H350="AWAY",SUMIFS('Istoric_Nativ'!$G$6:$G$405,'Istoric_Nativ'!$B$6:$B$405,E350,'Istoric_Nativ'!$C$6:$C$405,F350,'Istoric_Nativ'!$F$6:$F$405,G350,'Istoric_Nativ'!$D$6:$D$405,"&lt;"&amp;J350,'Istoric_Nativ'!$P$6:$P$405,1,'Istoric_Nativ'!$D$6:$D$405,"&gt;="&amp;L350),SUMIFS('Istoric_Nativ'!$H$6:$H$405,'Istoric_Nativ'!$B$6:$B$405,E350,'Istoric_Nativ'!$C$6:$C$405,F350,'Istoric_Nativ'!$E$6:$E$405,G350,'Istoric_Nativ'!$D$6:$D$405,"&lt;"&amp;J350,'Istoric_Nativ'!$P$6:$P$405,1,'Istoric_Nativ'!$D$6:$D$405,"&gt;="&amp;L350)+SUMIFS('Istoric_Nativ'!$G$6:$G$405,'Istoric_Nativ'!$B$6:$B$405,E350,'Istoric_Nativ'!$C$6:$C$405,F350,'Istoric_Nativ'!$F$6:$F$405,G350,'Istoric_Nativ'!$D$6:$D$405,"&lt;"&amp;J350,'Istoric_Nativ'!$P$6:$P$405,1,'Istoric_Nativ'!$D$6:$D$405,"&gt;="&amp;L350)))/M350)</x:f>
      </x:c>
      <x:c r="P350" s="2" t="n">
        <x:f>'Config_v6'!$B$9</x:f>
        <x:v>3</x:v>
      </x:c>
      <x:c r="Q350" s="2" t="n">
        <x:f>IF(OR(B350="",F350=""),0,IFERROR(MATCH(E350&amp;"|"&amp;F350,SourceTable[Source_Key],0),0))</x:f>
        <x:v>0</x:v>
      </x:c>
      <x:c r="R350" s="2" t="str">
        <x:f>IF(B350="","",IF(F350="","UNUSED",IF(Q350=0,"NOT CHECKED",IF(COUNTIF(SourceTable[Source_Key],E350&amp;"|"&amp;F350)&lt;&gt;1,"SOURCE CONFLICT",IF(NOT(OR(INDEX(SourceTable[Status],MAX(1,Q350))="IMPORTED",INDEX(SourceTable[Status],MAX(1,Q350))="PARTIAL",INDEX(SourceTable[Status],MAX(1,Q350))="SOURCE CONFLICT")),"ACCESS BLOCKED",IF(OR(INDEX(SourceTable[Coverage],Q350)&lt;&gt;"FULL SEASON EXPORT",INDEX(SourceTable[URL],Q350)="",INDEX(SourceTable[SHA256],Q350)=""),"EVIDENCE INCOMPLETE",IF(AND('Input_Meci'!H34="LIVE",INDEX(SourceTable[Retrieved_UTC],Q350)&gt;'Input_Meci'!G34),"POST CUTOFF","CLOSED")))))))</x:f>
      </x:c>
      <x:c r="S350" s="2" t="n">
        <x:f>IF(OR(B350="",F350=""),0,COUNTIFS('Istoric_Nativ'!$B$6:$B$405,E350,'Istoric_Nativ'!$C$6:$C$405,F350,'Istoric_Nativ'!$E$6:$E$405,G350,'Istoric_Nativ'!$D$6:$D$405,"&lt;"&amp;J350,'Istoric_Nativ'!$O$6:$O$405,"INVALID")+COUNTIFS('Istoric_Nativ'!$B$6:$B$405,E350,'Istoric_Nativ'!$C$6:$C$405,F350,'Istoric_Nativ'!$E$6:$E$405,G350,'Istoric_Nativ'!$O$6:$O$405,"INVALID",'Istoric_Nativ'!$D$6:$D$405,"*")+COUNTIFS('Istoric_Nativ'!$B$6:$B$405,E350,'Istoric_Nativ'!$C$6:$C$405,F350,'Istoric_Nativ'!$E$6:$E$405,G350,'Istoric_Nativ'!$D$6:$D$405,"&lt;"&amp;J350,'Istoric_Nativ'!$O$6:$O$405,"SOURCE CONFLICT")+COUNTIFS('Istoric_Nativ'!$B$6:$B$405,E350,'Istoric_Nativ'!$C$6:$C$405,F350,'Istoric_Nativ'!$F$6:$F$405,G350,'Istoric_Nativ'!$D$6:$D$405,"&lt;"&amp;J350,'Istoric_Nativ'!$O$6:$O$405,"INVALID")+COUNTIFS('Istoric_Nativ'!$B$6:$B$405,E350,'Istoric_Nativ'!$C$6:$C$405,F350,'Istoric_Nativ'!$F$6:$F$405,G350,'Istoric_Nativ'!$O$6:$O$405,"INVALID",'Istoric_Nativ'!$D$6:$D$405,"*")+COUNTIFS('Istoric_Nativ'!$B$6:$B$405,E350,'Istoric_Nativ'!$C$6:$C$405,F350,'Istoric_Nativ'!$F$6:$F$405,G350,'Istoric_Nativ'!$D$6:$D$405,"&lt;"&amp;J350,'Istoric_Nativ'!$O$6:$O$405,"SOURCE CONFLICT"))</x:f>
        <x:v>0</x:v>
      </x:c>
      <x:c r="T350" s="2" t="str">
        <x:f>IF(B350="","",IF(R350&lt;&gt;"CLOSED",R350,IF(S350&gt;0,"NATIVE INPUT ISSUE",IF(M350=0,"NO HISTORY",IF(M350&lt;P350,"SMALL SAMPLE","DERIVED")))))</x:f>
      </x:c>
      <x:c r="U350" s="2" t="str">
        <x:f>IF(B350="","","NativeTable; "&amp;E350&amp;"; "&amp;F350&amp;"; "&amp;G350&amp;"; "&amp;H350&amp;"; before "&amp;TEXT(J350,"yyyy-mm-dd")&amp;IF(I350="RECENT","; from "&amp;TEXT(L350,"yyyy-mm-dd"),""))</x:f>
      </x:c>
    </x:row>
    <x:row r="351" ht="21" customHeight="1">
      <x:c r="A351" s="2" t="n">
        <x:v>29</x:v>
      </x:c>
      <x:c r="B351" s="2" t="str">
        <x:f>IF('Input_Meci'!A34="","",'Input_Meci'!A34)</x:f>
      </x:c>
      <x:c r="C351" s="2" t="str">
        <x:v>A</x:v>
      </x:c>
      <x:c r="D351" s="2" t="str">
        <x:v>PRIOR</x:v>
      </x:c>
      <x:c r="E351" s="2" t="str">
        <x:f>IF(B351="","",'Input_Meci'!B34)</x:f>
      </x:c>
      <x:c r="F351" s="2" t="str">
        <x:f>IF(B351="","",IF('Input_Meci'!K34="","",'Input_Meci'!K34))</x:f>
      </x:c>
      <x:c r="G351" s="2" t="str">
        <x:f>IF(B351="","",'Input_Meci'!E34)</x:f>
      </x:c>
      <x:c r="H351" s="2" t="str">
        <x:v>ANY</x:v>
      </x:c>
      <x:c r="I351" s="2" t="str">
        <x:v>SEASON</x:v>
      </x:c>
      <x:c r="J351" s="9" t="n">
        <x:f>IF(AND(B351&lt;&gt;"",ISNUMBER('Input_Meci'!G34)),INT('Input_Meci'!G34),0)</x:f>
        <x:v>0</x:v>
      </x:c>
      <x:c r="K351" s="2" t="n">
        <x:f>IF(OR(B351="",F351=""),0,IF(H351="HOME",COUNTIFS('Istoric_Nativ'!$B$6:$B$405,E351,'Istoric_Nativ'!$C$6:$C$405,F351,'Istoric_Nativ'!$E$6:$E$405,G351,'Istoric_Nativ'!$D$6:$D$405,"&lt;"&amp;J351,'Istoric_Nativ'!$P$6:$P$405,1),IF(H351="AWAY",COUNTIFS('Istoric_Nativ'!$B$6:$B$405,E351,'Istoric_Nativ'!$C$6:$C$405,F351,'Istoric_Nativ'!$F$6:$F$405,G351,'Istoric_Nativ'!$D$6:$D$405,"&lt;"&amp;J351,'Istoric_Nativ'!$P$6:$P$405,1),COUNTIFS('Istoric_Nativ'!$B$6:$B$405,E351,'Istoric_Nativ'!$C$6:$C$405,F351,'Istoric_Nativ'!$E$6:$E$405,G351,'Istoric_Nativ'!$D$6:$D$405,"&lt;"&amp;J351,'Istoric_Nativ'!$P$6:$P$405,1)+COUNTIFS('Istoric_Nativ'!$B$6:$B$405,E351,'Istoric_Nativ'!$C$6:$C$405,F351,'Istoric_Nativ'!$F$6:$F$405,G351,'Istoric_Nativ'!$D$6:$D$405,"&lt;"&amp;J351,'Istoric_Nativ'!$P$6:$P$405,1))))</x:f>
        <x:v>0</x:v>
      </x:c>
      <x:c r="L351" s="17" t="n">
        <x:f>IF(AND(B351&lt;&gt;"",I351="RECENT",K351&gt;0),LARGE(_xlfn._xlws.FILTER('Istoric_Nativ'!$D$6:$D$405,('Istoric_Nativ'!$B$6:$B$405=E351)*('Istoric_Nativ'!$C$6:$C$405=F351)*('Istoric_Nativ'!$P$6:$P$405=1)*('Istoric_Nativ'!$D$6:$D$405&lt;J351)*((('Istoric_Nativ'!$E$6:$E$405=G351)+('Istoric_Nativ'!$F$6:$F$405=G351))&gt;0)),MIN('Config_v6'!$B$54,K351)),0)</x:f>
        <x:v>0</x:v>
      </x:c>
      <x:c r="M351" s="2" t="n">
        <x:f>IF(OR(B351="",F351=""),0,IF(H351="HOME",COUNTIFS('Istoric_Nativ'!$B$6:$B$405,E351,'Istoric_Nativ'!$C$6:$C$405,F351,'Istoric_Nativ'!$E$6:$E$405,G351,'Istoric_Nativ'!$D$6:$D$405,"&lt;"&amp;J351,'Istoric_Nativ'!$P$6:$P$405,1,'Istoric_Nativ'!$D$6:$D$405,"&gt;="&amp;L351),IF(H351="AWAY",COUNTIFS('Istoric_Nativ'!$B$6:$B$405,E351,'Istoric_Nativ'!$C$6:$C$405,F351,'Istoric_Nativ'!$F$6:$F$405,G351,'Istoric_Nativ'!$D$6:$D$405,"&lt;"&amp;J351,'Istoric_Nativ'!$P$6:$P$405,1,'Istoric_Nativ'!$D$6:$D$405,"&gt;="&amp;L351),COUNTIFS('Istoric_Nativ'!$B$6:$B$405,E351,'Istoric_Nativ'!$C$6:$C$405,F351,'Istoric_Nativ'!$E$6:$E$405,G351,'Istoric_Nativ'!$D$6:$D$405,"&lt;"&amp;J351,'Istoric_Nativ'!$P$6:$P$405,1,'Istoric_Nativ'!$D$6:$D$405,"&gt;="&amp;L351)+COUNTIFS('Istoric_Nativ'!$B$6:$B$405,E351,'Istoric_Nativ'!$C$6:$C$405,F351,'Istoric_Nativ'!$F$6:$F$405,G351,'Istoric_Nativ'!$D$6:$D$405,"&lt;"&amp;J351,'Istoric_Nativ'!$P$6:$P$405,1,'Istoric_Nativ'!$D$6:$D$405,"&gt;="&amp;L351))))</x:f>
        <x:v>0</x:v>
      </x:c>
      <x:c r="N351" s="11" t="str">
        <x:f>IF(M351=0,"",IF(H351="HOME",SUMIFS('Istoric_Nativ'!$G$6:$G$405,'Istoric_Nativ'!$B$6:$B$405,E351,'Istoric_Nativ'!$C$6:$C$405,F351,'Istoric_Nativ'!$E$6:$E$405,G351,'Istoric_Nativ'!$D$6:$D$405,"&lt;"&amp;J351,'Istoric_Nativ'!$P$6:$P$405,1,'Istoric_Nativ'!$D$6:$D$405,"&gt;="&amp;L351),IF(H351="AWAY",SUMIFS('Istoric_Nativ'!$H$6:$H$405,'Istoric_Nativ'!$B$6:$B$405,E351,'Istoric_Nativ'!$C$6:$C$405,F351,'Istoric_Nativ'!$F$6:$F$405,G351,'Istoric_Nativ'!$D$6:$D$405,"&lt;"&amp;J351,'Istoric_Nativ'!$P$6:$P$405,1,'Istoric_Nativ'!$D$6:$D$405,"&gt;="&amp;L351),SUMIFS('Istoric_Nativ'!$G$6:$G$405,'Istoric_Nativ'!$B$6:$B$405,E351,'Istoric_Nativ'!$C$6:$C$405,F351,'Istoric_Nativ'!$E$6:$E$405,G351,'Istoric_Nativ'!$D$6:$D$405,"&lt;"&amp;J351,'Istoric_Nativ'!$P$6:$P$405,1,'Istoric_Nativ'!$D$6:$D$405,"&gt;="&amp;L351)+SUMIFS('Istoric_Nativ'!$H$6:$H$405,'Istoric_Nativ'!$B$6:$B$405,E351,'Istoric_Nativ'!$C$6:$C$405,F351,'Istoric_Nativ'!$F$6:$F$405,G351,'Istoric_Nativ'!$D$6:$D$405,"&lt;"&amp;J351,'Istoric_Nativ'!$P$6:$P$405,1,'Istoric_Nativ'!$D$6:$D$405,"&gt;="&amp;L351)))/M351)</x:f>
      </x:c>
      <x:c r="O351" s="11" t="str">
        <x:f>IF(M351=0,"",IF(H351="HOME",SUMIFS('Istoric_Nativ'!$H$6:$H$405,'Istoric_Nativ'!$B$6:$B$405,E351,'Istoric_Nativ'!$C$6:$C$405,F351,'Istoric_Nativ'!$E$6:$E$405,G351,'Istoric_Nativ'!$D$6:$D$405,"&lt;"&amp;J351,'Istoric_Nativ'!$P$6:$P$405,1,'Istoric_Nativ'!$D$6:$D$405,"&gt;="&amp;L351),IF(H351="AWAY",SUMIFS('Istoric_Nativ'!$G$6:$G$405,'Istoric_Nativ'!$B$6:$B$405,E351,'Istoric_Nativ'!$C$6:$C$405,F351,'Istoric_Nativ'!$F$6:$F$405,G351,'Istoric_Nativ'!$D$6:$D$405,"&lt;"&amp;J351,'Istoric_Nativ'!$P$6:$P$405,1,'Istoric_Nativ'!$D$6:$D$405,"&gt;="&amp;L351),SUMIFS('Istoric_Nativ'!$H$6:$H$405,'Istoric_Nativ'!$B$6:$B$405,E351,'Istoric_Nativ'!$C$6:$C$405,F351,'Istoric_Nativ'!$E$6:$E$405,G351,'Istoric_Nativ'!$D$6:$D$405,"&lt;"&amp;J351,'Istoric_Nativ'!$P$6:$P$405,1,'Istoric_Nativ'!$D$6:$D$405,"&gt;="&amp;L351)+SUMIFS('Istoric_Nativ'!$G$6:$G$405,'Istoric_Nativ'!$B$6:$B$405,E351,'Istoric_Nativ'!$C$6:$C$405,F351,'Istoric_Nativ'!$F$6:$F$405,G351,'Istoric_Nativ'!$D$6:$D$405,"&lt;"&amp;J351,'Istoric_Nativ'!$P$6:$P$405,1,'Istoric_Nativ'!$D$6:$D$405,"&gt;="&amp;L351)))/M351)</x:f>
      </x:c>
      <x:c r="P351" s="2" t="n">
        <x:f>'Config_v6'!$B$7</x:f>
        <x:v>10</x:v>
      </x:c>
      <x:c r="Q351" s="2" t="n">
        <x:f>IF(OR(B351="",F351=""),0,IFERROR(MATCH(E351&amp;"|"&amp;F351,SourceTable[Source_Key],0),0))</x:f>
        <x:v>0</x:v>
      </x:c>
      <x:c r="R351" s="2" t="str">
        <x:f>IF(B351="","",IF(F351="","UNUSED",IF(Q351=0,"NOT CHECKED",IF(COUNTIF(SourceTable[Source_Key],E351&amp;"|"&amp;F351)&lt;&gt;1,"SOURCE CONFLICT",IF(NOT(OR(INDEX(SourceTable[Status],MAX(1,Q351))="IMPORTED",INDEX(SourceTable[Status],MAX(1,Q351))="PARTIAL",INDEX(SourceTable[Status],MAX(1,Q351))="SOURCE CONFLICT")),"ACCESS BLOCKED",IF(OR(INDEX(SourceTable[Coverage],Q351)&lt;&gt;"FULL SEASON EXPORT",INDEX(SourceTable[URL],Q351)="",INDEX(SourceTable[SHA256],Q351)=""),"EVIDENCE INCOMPLETE",IF(AND('Input_Meci'!H34="LIVE",INDEX(SourceTable[Retrieved_UTC],Q351)&gt;'Input_Meci'!G34),"POST CUTOFF","CLOSED")))))))</x:f>
      </x:c>
      <x:c r="S351" s="2" t="n">
        <x:f>IF(OR(B351="",F351=""),0,COUNTIFS('Istoric_Nativ'!$B$6:$B$405,E351,'Istoric_Nativ'!$C$6:$C$405,F351,'Istoric_Nativ'!$E$6:$E$405,G351,'Istoric_Nativ'!$D$6:$D$405,"&lt;"&amp;J351,'Istoric_Nativ'!$O$6:$O$405,"INVALID")+COUNTIFS('Istoric_Nativ'!$B$6:$B$405,E351,'Istoric_Nativ'!$C$6:$C$405,F351,'Istoric_Nativ'!$E$6:$E$405,G351,'Istoric_Nativ'!$O$6:$O$405,"INVALID",'Istoric_Nativ'!$D$6:$D$405,"*")+COUNTIFS('Istoric_Nativ'!$B$6:$B$405,E351,'Istoric_Nativ'!$C$6:$C$405,F351,'Istoric_Nativ'!$E$6:$E$405,G351,'Istoric_Nativ'!$D$6:$D$405,"&lt;"&amp;J351,'Istoric_Nativ'!$O$6:$O$405,"SOURCE CONFLICT")+COUNTIFS('Istoric_Nativ'!$B$6:$B$405,E351,'Istoric_Nativ'!$C$6:$C$405,F351,'Istoric_Nativ'!$F$6:$F$405,G351,'Istoric_Nativ'!$D$6:$D$405,"&lt;"&amp;J351,'Istoric_Nativ'!$O$6:$O$405,"INVALID")+COUNTIFS('Istoric_Nativ'!$B$6:$B$405,E351,'Istoric_Nativ'!$C$6:$C$405,F351,'Istoric_Nativ'!$F$6:$F$405,G351,'Istoric_Nativ'!$O$6:$O$405,"INVALID",'Istoric_Nativ'!$D$6:$D$405,"*")+COUNTIFS('Istoric_Nativ'!$B$6:$B$405,E351,'Istoric_Nativ'!$C$6:$C$405,F351,'Istoric_Nativ'!$F$6:$F$405,G351,'Istoric_Nativ'!$D$6:$D$405,"&lt;"&amp;J351,'Istoric_Nativ'!$O$6:$O$405,"SOURCE CONFLICT"))</x:f>
        <x:v>0</x:v>
      </x:c>
      <x:c r="T351" s="2" t="str">
        <x:f>IF(B351="","",IF(R351&lt;&gt;"CLOSED",R351,IF(S351&gt;0,"NATIVE INPUT ISSUE",IF(M351=0,"NO HISTORY",IF(M351&lt;P351,"SMALL SAMPLE","DERIVED")))))</x:f>
      </x:c>
      <x:c r="U351" s="2" t="str">
        <x:f>IF(B351="","","NativeTable; "&amp;E351&amp;"; "&amp;F351&amp;"; "&amp;G351&amp;"; "&amp;H351&amp;"; before "&amp;TEXT(J351,"yyyy-mm-dd")&amp;IF(I351="RECENT","; from "&amp;TEXT(L351,"yyyy-mm-dd"),""))</x:f>
      </x:c>
    </x:row>
    <x:row r="352" ht="21" customHeight="1">
      <x:c r="A352" s="2" t="n">
        <x:v>29</x:v>
      </x:c>
      <x:c r="B352" s="2" t="str">
        <x:f>IF('Input_Meci'!A34="","",'Input_Meci'!A34)</x:f>
      </x:c>
      <x:c r="C352" s="2" t="str">
        <x:v>A</x:v>
      </x:c>
      <x:c r="D352" s="2" t="str">
        <x:v>PRIOR</x:v>
      </x:c>
      <x:c r="E352" s="2" t="str">
        <x:f>IF(B352="","",'Input_Meci'!B34)</x:f>
      </x:c>
      <x:c r="F352" s="2" t="str">
        <x:f>IF(B352="","",IF('Input_Meci'!K34="","",'Input_Meci'!K34))</x:f>
      </x:c>
      <x:c r="G352" s="2" t="str">
        <x:f>IF(B352="","",'Input_Meci'!E34)</x:f>
      </x:c>
      <x:c r="H352" s="2" t="str">
        <x:v>AWAY</x:v>
      </x:c>
      <x:c r="I352" s="2" t="str">
        <x:v>HA</x:v>
      </x:c>
      <x:c r="J352" s="9" t="n">
        <x:f>IF(AND(B352&lt;&gt;"",ISNUMBER('Input_Meci'!G34)),INT('Input_Meci'!G34),0)</x:f>
        <x:v>0</x:v>
      </x:c>
      <x:c r="K352" s="2" t="n">
        <x:f>IF(OR(B352="",F352=""),0,IF(H352="HOME",COUNTIFS('Istoric_Nativ'!$B$6:$B$405,E352,'Istoric_Nativ'!$C$6:$C$405,F352,'Istoric_Nativ'!$E$6:$E$405,G352,'Istoric_Nativ'!$D$6:$D$405,"&lt;"&amp;J352,'Istoric_Nativ'!$P$6:$P$405,1),IF(H352="AWAY",COUNTIFS('Istoric_Nativ'!$B$6:$B$405,E352,'Istoric_Nativ'!$C$6:$C$405,F352,'Istoric_Nativ'!$F$6:$F$405,G352,'Istoric_Nativ'!$D$6:$D$405,"&lt;"&amp;J352,'Istoric_Nativ'!$P$6:$P$405,1),COUNTIFS('Istoric_Nativ'!$B$6:$B$405,E352,'Istoric_Nativ'!$C$6:$C$405,F352,'Istoric_Nativ'!$E$6:$E$405,G352,'Istoric_Nativ'!$D$6:$D$405,"&lt;"&amp;J352,'Istoric_Nativ'!$P$6:$P$405,1)+COUNTIFS('Istoric_Nativ'!$B$6:$B$405,E352,'Istoric_Nativ'!$C$6:$C$405,F352,'Istoric_Nativ'!$F$6:$F$405,G352,'Istoric_Nativ'!$D$6:$D$405,"&lt;"&amp;J352,'Istoric_Nativ'!$P$6:$P$405,1))))</x:f>
        <x:v>0</x:v>
      </x:c>
      <x:c r="L352" s="17" t="n">
        <x:f>IF(AND(B352&lt;&gt;"",I352="RECENT",K352&gt;0),LARGE(_xlfn._xlws.FILTER('Istoric_Nativ'!$D$6:$D$405,('Istoric_Nativ'!$B$6:$B$405=E352)*('Istoric_Nativ'!$C$6:$C$405=F352)*('Istoric_Nativ'!$P$6:$P$405=1)*('Istoric_Nativ'!$D$6:$D$405&lt;J352)*((('Istoric_Nativ'!$E$6:$E$405=G352)+('Istoric_Nativ'!$F$6:$F$405=G352))&gt;0)),MIN('Config_v6'!$B$54,K352)),0)</x:f>
        <x:v>0</x:v>
      </x:c>
      <x:c r="M352" s="2" t="n">
        <x:f>IF(OR(B352="",F352=""),0,IF(H352="HOME",COUNTIFS('Istoric_Nativ'!$B$6:$B$405,E352,'Istoric_Nativ'!$C$6:$C$405,F352,'Istoric_Nativ'!$E$6:$E$405,G352,'Istoric_Nativ'!$D$6:$D$405,"&lt;"&amp;J352,'Istoric_Nativ'!$P$6:$P$405,1,'Istoric_Nativ'!$D$6:$D$405,"&gt;="&amp;L352),IF(H352="AWAY",COUNTIFS('Istoric_Nativ'!$B$6:$B$405,E352,'Istoric_Nativ'!$C$6:$C$405,F352,'Istoric_Nativ'!$F$6:$F$405,G352,'Istoric_Nativ'!$D$6:$D$405,"&lt;"&amp;J352,'Istoric_Nativ'!$P$6:$P$405,1,'Istoric_Nativ'!$D$6:$D$405,"&gt;="&amp;L352),COUNTIFS('Istoric_Nativ'!$B$6:$B$405,E352,'Istoric_Nativ'!$C$6:$C$405,F352,'Istoric_Nativ'!$E$6:$E$405,G352,'Istoric_Nativ'!$D$6:$D$405,"&lt;"&amp;J352,'Istoric_Nativ'!$P$6:$P$405,1,'Istoric_Nativ'!$D$6:$D$405,"&gt;="&amp;L352)+COUNTIFS('Istoric_Nativ'!$B$6:$B$405,E352,'Istoric_Nativ'!$C$6:$C$405,F352,'Istoric_Nativ'!$F$6:$F$405,G352,'Istoric_Nativ'!$D$6:$D$405,"&lt;"&amp;J352,'Istoric_Nativ'!$P$6:$P$405,1,'Istoric_Nativ'!$D$6:$D$405,"&gt;="&amp;L352))))</x:f>
        <x:v>0</x:v>
      </x:c>
      <x:c r="N352" s="11" t="str">
        <x:f>IF(M352=0,"",IF(H352="HOME",SUMIFS('Istoric_Nativ'!$G$6:$G$405,'Istoric_Nativ'!$B$6:$B$405,E352,'Istoric_Nativ'!$C$6:$C$405,F352,'Istoric_Nativ'!$E$6:$E$405,G352,'Istoric_Nativ'!$D$6:$D$405,"&lt;"&amp;J352,'Istoric_Nativ'!$P$6:$P$405,1,'Istoric_Nativ'!$D$6:$D$405,"&gt;="&amp;L352),IF(H352="AWAY",SUMIFS('Istoric_Nativ'!$H$6:$H$405,'Istoric_Nativ'!$B$6:$B$405,E352,'Istoric_Nativ'!$C$6:$C$405,F352,'Istoric_Nativ'!$F$6:$F$405,G352,'Istoric_Nativ'!$D$6:$D$405,"&lt;"&amp;J352,'Istoric_Nativ'!$P$6:$P$405,1,'Istoric_Nativ'!$D$6:$D$405,"&gt;="&amp;L352),SUMIFS('Istoric_Nativ'!$G$6:$G$405,'Istoric_Nativ'!$B$6:$B$405,E352,'Istoric_Nativ'!$C$6:$C$405,F352,'Istoric_Nativ'!$E$6:$E$405,G352,'Istoric_Nativ'!$D$6:$D$405,"&lt;"&amp;J352,'Istoric_Nativ'!$P$6:$P$405,1,'Istoric_Nativ'!$D$6:$D$405,"&gt;="&amp;L352)+SUMIFS('Istoric_Nativ'!$H$6:$H$405,'Istoric_Nativ'!$B$6:$B$405,E352,'Istoric_Nativ'!$C$6:$C$405,F352,'Istoric_Nativ'!$F$6:$F$405,G352,'Istoric_Nativ'!$D$6:$D$405,"&lt;"&amp;J352,'Istoric_Nativ'!$P$6:$P$405,1,'Istoric_Nativ'!$D$6:$D$405,"&gt;="&amp;L352)))/M352)</x:f>
      </x:c>
      <x:c r="O352" s="11" t="str">
        <x:f>IF(M352=0,"",IF(H352="HOME",SUMIFS('Istoric_Nativ'!$H$6:$H$405,'Istoric_Nativ'!$B$6:$B$405,E352,'Istoric_Nativ'!$C$6:$C$405,F352,'Istoric_Nativ'!$E$6:$E$405,G352,'Istoric_Nativ'!$D$6:$D$405,"&lt;"&amp;J352,'Istoric_Nativ'!$P$6:$P$405,1,'Istoric_Nativ'!$D$6:$D$405,"&gt;="&amp;L352),IF(H352="AWAY",SUMIFS('Istoric_Nativ'!$G$6:$G$405,'Istoric_Nativ'!$B$6:$B$405,E352,'Istoric_Nativ'!$C$6:$C$405,F352,'Istoric_Nativ'!$F$6:$F$405,G352,'Istoric_Nativ'!$D$6:$D$405,"&lt;"&amp;J352,'Istoric_Nativ'!$P$6:$P$405,1,'Istoric_Nativ'!$D$6:$D$405,"&gt;="&amp;L352),SUMIFS('Istoric_Nativ'!$H$6:$H$405,'Istoric_Nativ'!$B$6:$B$405,E352,'Istoric_Nativ'!$C$6:$C$405,F352,'Istoric_Nativ'!$E$6:$E$405,G352,'Istoric_Nativ'!$D$6:$D$405,"&lt;"&amp;J352,'Istoric_Nativ'!$P$6:$P$405,1,'Istoric_Nativ'!$D$6:$D$405,"&gt;="&amp;L352)+SUMIFS('Istoric_Nativ'!$G$6:$G$405,'Istoric_Nativ'!$B$6:$B$405,E352,'Istoric_Nativ'!$C$6:$C$405,F352,'Istoric_Nativ'!$F$6:$F$405,G352,'Istoric_Nativ'!$D$6:$D$405,"&lt;"&amp;J352,'Istoric_Nativ'!$P$6:$P$405,1,'Istoric_Nativ'!$D$6:$D$405,"&gt;="&amp;L352)))/M352)</x:f>
      </x:c>
      <x:c r="P352" s="2" t="n">
        <x:f>'Config_v6'!$B$8</x:f>
        <x:v>5</x:v>
      </x:c>
      <x:c r="Q352" s="2" t="n">
        <x:f>IF(OR(B352="",F352=""),0,IFERROR(MATCH(E352&amp;"|"&amp;F352,SourceTable[Source_Key],0),0))</x:f>
        <x:v>0</x:v>
      </x:c>
      <x:c r="R352" s="2" t="str">
        <x:f>IF(B352="","",IF(F352="","UNUSED",IF(Q352=0,"NOT CHECKED",IF(COUNTIF(SourceTable[Source_Key],E352&amp;"|"&amp;F352)&lt;&gt;1,"SOURCE CONFLICT",IF(NOT(OR(INDEX(SourceTable[Status],MAX(1,Q352))="IMPORTED",INDEX(SourceTable[Status],MAX(1,Q352))="PARTIAL",INDEX(SourceTable[Status],MAX(1,Q352))="SOURCE CONFLICT")),"ACCESS BLOCKED",IF(OR(INDEX(SourceTable[Coverage],Q352)&lt;&gt;"FULL SEASON EXPORT",INDEX(SourceTable[URL],Q352)="",INDEX(SourceTable[SHA256],Q352)=""),"EVIDENCE INCOMPLETE",IF(AND('Input_Meci'!H34="LIVE",INDEX(SourceTable[Retrieved_UTC],Q352)&gt;'Input_Meci'!G34),"POST CUTOFF","CLOSED")))))))</x:f>
      </x:c>
      <x:c r="S352" s="2" t="n">
        <x:f>IF(OR(B352="",F352=""),0,COUNTIFS('Istoric_Nativ'!$B$6:$B$405,E352,'Istoric_Nativ'!$C$6:$C$405,F352,'Istoric_Nativ'!$E$6:$E$405,G352,'Istoric_Nativ'!$D$6:$D$405,"&lt;"&amp;J352,'Istoric_Nativ'!$O$6:$O$405,"INVALID")+COUNTIFS('Istoric_Nativ'!$B$6:$B$405,E352,'Istoric_Nativ'!$C$6:$C$405,F352,'Istoric_Nativ'!$E$6:$E$405,G352,'Istoric_Nativ'!$O$6:$O$405,"INVALID",'Istoric_Nativ'!$D$6:$D$405,"*")+COUNTIFS('Istoric_Nativ'!$B$6:$B$405,E352,'Istoric_Nativ'!$C$6:$C$405,F352,'Istoric_Nativ'!$E$6:$E$405,G352,'Istoric_Nativ'!$D$6:$D$405,"&lt;"&amp;J352,'Istoric_Nativ'!$O$6:$O$405,"SOURCE CONFLICT")+COUNTIFS('Istoric_Nativ'!$B$6:$B$405,E352,'Istoric_Nativ'!$C$6:$C$405,F352,'Istoric_Nativ'!$F$6:$F$405,G352,'Istoric_Nativ'!$D$6:$D$405,"&lt;"&amp;J352,'Istoric_Nativ'!$O$6:$O$405,"INVALID")+COUNTIFS('Istoric_Nativ'!$B$6:$B$405,E352,'Istoric_Nativ'!$C$6:$C$405,F352,'Istoric_Nativ'!$F$6:$F$405,G352,'Istoric_Nativ'!$O$6:$O$405,"INVALID",'Istoric_Nativ'!$D$6:$D$405,"*")+COUNTIFS('Istoric_Nativ'!$B$6:$B$405,E352,'Istoric_Nativ'!$C$6:$C$405,F352,'Istoric_Nativ'!$F$6:$F$405,G352,'Istoric_Nativ'!$D$6:$D$405,"&lt;"&amp;J352,'Istoric_Nativ'!$O$6:$O$405,"SOURCE CONFLICT"))</x:f>
        <x:v>0</x:v>
      </x:c>
      <x:c r="T352" s="2" t="str">
        <x:f>IF(B352="","",IF(R352&lt;&gt;"CLOSED",R352,IF(S352&gt;0,"NATIVE INPUT ISSUE",IF(M352=0,"NO HISTORY",IF(M352&lt;P352,"SMALL SAMPLE","DERIVED")))))</x:f>
      </x:c>
      <x:c r="U352" s="2" t="str">
        <x:f>IF(B352="","","NativeTable; "&amp;E352&amp;"; "&amp;F352&amp;"; "&amp;G352&amp;"; "&amp;H352&amp;"; before "&amp;TEXT(J352,"yyyy-mm-dd")&amp;IF(I352="RECENT","; from "&amp;TEXT(L352,"yyyy-mm-dd"),""))</x:f>
      </x:c>
    </x:row>
    <x:row r="353" ht="21" customHeight="1">
      <x:c r="A353" s="2" t="n">
        <x:v>29</x:v>
      </x:c>
      <x:c r="B353" s="2" t="str">
        <x:f>IF('Input_Meci'!A34="","",'Input_Meci'!A34)</x:f>
      </x:c>
      <x:c r="C353" s="2" t="str">
        <x:v>A</x:v>
      </x:c>
      <x:c r="D353" s="2" t="str">
        <x:v>PRIOR</x:v>
      </x:c>
      <x:c r="E353" s="2" t="str">
        <x:f>IF(B353="","",'Input_Meci'!B34)</x:f>
      </x:c>
      <x:c r="F353" s="2" t="str">
        <x:f>IF(B353="","",IF('Input_Meci'!K34="","",'Input_Meci'!K34))</x:f>
      </x:c>
      <x:c r="G353" s="2" t="str">
        <x:f>IF(B353="","",'Input_Meci'!E34)</x:f>
      </x:c>
      <x:c r="H353" s="2" t="str">
        <x:v>ANY</x:v>
      </x:c>
      <x:c r="I353" s="2" t="str">
        <x:v>RECENT</x:v>
      </x:c>
      <x:c r="J353" s="9" t="n">
        <x:f>IF(AND(B353&lt;&gt;"",ISNUMBER('Input_Meci'!G34)),INT('Input_Meci'!G34),0)</x:f>
        <x:v>0</x:v>
      </x:c>
      <x:c r="K353" s="2" t="n">
        <x:f>IF(OR(B353="",F353=""),0,IF(H353="HOME",COUNTIFS('Istoric_Nativ'!$B$6:$B$405,E353,'Istoric_Nativ'!$C$6:$C$405,F353,'Istoric_Nativ'!$E$6:$E$405,G353,'Istoric_Nativ'!$D$6:$D$405,"&lt;"&amp;J353,'Istoric_Nativ'!$P$6:$P$405,1),IF(H353="AWAY",COUNTIFS('Istoric_Nativ'!$B$6:$B$405,E353,'Istoric_Nativ'!$C$6:$C$405,F353,'Istoric_Nativ'!$F$6:$F$405,G353,'Istoric_Nativ'!$D$6:$D$405,"&lt;"&amp;J353,'Istoric_Nativ'!$P$6:$P$405,1),COUNTIFS('Istoric_Nativ'!$B$6:$B$405,E353,'Istoric_Nativ'!$C$6:$C$405,F353,'Istoric_Nativ'!$E$6:$E$405,G353,'Istoric_Nativ'!$D$6:$D$405,"&lt;"&amp;J353,'Istoric_Nativ'!$P$6:$P$405,1)+COUNTIFS('Istoric_Nativ'!$B$6:$B$405,E353,'Istoric_Nativ'!$C$6:$C$405,F353,'Istoric_Nativ'!$F$6:$F$405,G353,'Istoric_Nativ'!$D$6:$D$405,"&lt;"&amp;J353,'Istoric_Nativ'!$P$6:$P$405,1))))</x:f>
        <x:v>0</x:v>
      </x:c>
      <x:c r="L353" s="17" t="n">
        <x:f>IF(AND(B353&lt;&gt;"",I353="RECENT",K353&gt;0),LARGE(_xlfn._xlws.FILTER('Istoric_Nativ'!$D$6:$D$405,('Istoric_Nativ'!$B$6:$B$405=E353)*('Istoric_Nativ'!$C$6:$C$405=F353)*('Istoric_Nativ'!$P$6:$P$405=1)*('Istoric_Nativ'!$D$6:$D$405&lt;J353)*((('Istoric_Nativ'!$E$6:$E$405=G353)+('Istoric_Nativ'!$F$6:$F$405=G353))&gt;0)),MIN('Config_v6'!$B$54,K353)),0)</x:f>
        <x:v>0</x:v>
      </x:c>
      <x:c r="M353" s="2" t="n">
        <x:f>IF(OR(B353="",F353=""),0,IF(H353="HOME",COUNTIFS('Istoric_Nativ'!$B$6:$B$405,E353,'Istoric_Nativ'!$C$6:$C$405,F353,'Istoric_Nativ'!$E$6:$E$405,G353,'Istoric_Nativ'!$D$6:$D$405,"&lt;"&amp;J353,'Istoric_Nativ'!$P$6:$P$405,1,'Istoric_Nativ'!$D$6:$D$405,"&gt;="&amp;L353),IF(H353="AWAY",COUNTIFS('Istoric_Nativ'!$B$6:$B$405,E353,'Istoric_Nativ'!$C$6:$C$405,F353,'Istoric_Nativ'!$F$6:$F$405,G353,'Istoric_Nativ'!$D$6:$D$405,"&lt;"&amp;J353,'Istoric_Nativ'!$P$6:$P$405,1,'Istoric_Nativ'!$D$6:$D$405,"&gt;="&amp;L353),COUNTIFS('Istoric_Nativ'!$B$6:$B$405,E353,'Istoric_Nativ'!$C$6:$C$405,F353,'Istoric_Nativ'!$E$6:$E$405,G353,'Istoric_Nativ'!$D$6:$D$405,"&lt;"&amp;J353,'Istoric_Nativ'!$P$6:$P$405,1,'Istoric_Nativ'!$D$6:$D$405,"&gt;="&amp;L353)+COUNTIFS('Istoric_Nativ'!$B$6:$B$405,E353,'Istoric_Nativ'!$C$6:$C$405,F353,'Istoric_Nativ'!$F$6:$F$405,G353,'Istoric_Nativ'!$D$6:$D$405,"&lt;"&amp;J353,'Istoric_Nativ'!$P$6:$P$405,1,'Istoric_Nativ'!$D$6:$D$405,"&gt;="&amp;L353))))</x:f>
        <x:v>0</x:v>
      </x:c>
      <x:c r="N353" s="11" t="str">
        <x:f>IF(M353=0,"",IF(H353="HOME",SUMIFS('Istoric_Nativ'!$G$6:$G$405,'Istoric_Nativ'!$B$6:$B$405,E353,'Istoric_Nativ'!$C$6:$C$405,F353,'Istoric_Nativ'!$E$6:$E$405,G353,'Istoric_Nativ'!$D$6:$D$405,"&lt;"&amp;J353,'Istoric_Nativ'!$P$6:$P$405,1,'Istoric_Nativ'!$D$6:$D$405,"&gt;="&amp;L353),IF(H353="AWAY",SUMIFS('Istoric_Nativ'!$H$6:$H$405,'Istoric_Nativ'!$B$6:$B$405,E353,'Istoric_Nativ'!$C$6:$C$405,F353,'Istoric_Nativ'!$F$6:$F$405,G353,'Istoric_Nativ'!$D$6:$D$405,"&lt;"&amp;J353,'Istoric_Nativ'!$P$6:$P$405,1,'Istoric_Nativ'!$D$6:$D$405,"&gt;="&amp;L353),SUMIFS('Istoric_Nativ'!$G$6:$G$405,'Istoric_Nativ'!$B$6:$B$405,E353,'Istoric_Nativ'!$C$6:$C$405,F353,'Istoric_Nativ'!$E$6:$E$405,G353,'Istoric_Nativ'!$D$6:$D$405,"&lt;"&amp;J353,'Istoric_Nativ'!$P$6:$P$405,1,'Istoric_Nativ'!$D$6:$D$405,"&gt;="&amp;L353)+SUMIFS('Istoric_Nativ'!$H$6:$H$405,'Istoric_Nativ'!$B$6:$B$405,E353,'Istoric_Nativ'!$C$6:$C$405,F353,'Istoric_Nativ'!$F$6:$F$405,G353,'Istoric_Nativ'!$D$6:$D$405,"&lt;"&amp;J353,'Istoric_Nativ'!$P$6:$P$405,1,'Istoric_Nativ'!$D$6:$D$405,"&gt;="&amp;L353)))/M353)</x:f>
      </x:c>
      <x:c r="O353" s="11" t="str">
        <x:f>IF(M353=0,"",IF(H353="HOME",SUMIFS('Istoric_Nativ'!$H$6:$H$405,'Istoric_Nativ'!$B$6:$B$405,E353,'Istoric_Nativ'!$C$6:$C$405,F353,'Istoric_Nativ'!$E$6:$E$405,G353,'Istoric_Nativ'!$D$6:$D$405,"&lt;"&amp;J353,'Istoric_Nativ'!$P$6:$P$405,1,'Istoric_Nativ'!$D$6:$D$405,"&gt;="&amp;L353),IF(H353="AWAY",SUMIFS('Istoric_Nativ'!$G$6:$G$405,'Istoric_Nativ'!$B$6:$B$405,E353,'Istoric_Nativ'!$C$6:$C$405,F353,'Istoric_Nativ'!$F$6:$F$405,G353,'Istoric_Nativ'!$D$6:$D$405,"&lt;"&amp;J353,'Istoric_Nativ'!$P$6:$P$405,1,'Istoric_Nativ'!$D$6:$D$405,"&gt;="&amp;L353),SUMIFS('Istoric_Nativ'!$H$6:$H$405,'Istoric_Nativ'!$B$6:$B$405,E353,'Istoric_Nativ'!$C$6:$C$405,F353,'Istoric_Nativ'!$E$6:$E$405,G353,'Istoric_Nativ'!$D$6:$D$405,"&lt;"&amp;J353,'Istoric_Nativ'!$P$6:$P$405,1,'Istoric_Nativ'!$D$6:$D$405,"&gt;="&amp;L353)+SUMIFS('Istoric_Nativ'!$G$6:$G$405,'Istoric_Nativ'!$B$6:$B$405,E353,'Istoric_Nativ'!$C$6:$C$405,F353,'Istoric_Nativ'!$F$6:$F$405,G353,'Istoric_Nativ'!$D$6:$D$405,"&lt;"&amp;J353,'Istoric_Nativ'!$P$6:$P$405,1,'Istoric_Nativ'!$D$6:$D$405,"&gt;="&amp;L353)))/M353)</x:f>
      </x:c>
      <x:c r="P353" s="2" t="n">
        <x:f>'Config_v6'!$B$9</x:f>
        <x:v>3</x:v>
      </x:c>
      <x:c r="Q353" s="2" t="n">
        <x:f>IF(OR(B353="",F353=""),0,IFERROR(MATCH(E353&amp;"|"&amp;F353,SourceTable[Source_Key],0),0))</x:f>
        <x:v>0</x:v>
      </x:c>
      <x:c r="R353" s="2" t="str">
        <x:f>IF(B353="","",IF(F353="","UNUSED",IF(Q353=0,"NOT CHECKED",IF(COUNTIF(SourceTable[Source_Key],E353&amp;"|"&amp;F353)&lt;&gt;1,"SOURCE CONFLICT",IF(NOT(OR(INDEX(SourceTable[Status],MAX(1,Q353))="IMPORTED",INDEX(SourceTable[Status],MAX(1,Q353))="PARTIAL",INDEX(SourceTable[Status],MAX(1,Q353))="SOURCE CONFLICT")),"ACCESS BLOCKED",IF(OR(INDEX(SourceTable[Coverage],Q353)&lt;&gt;"FULL SEASON EXPORT",INDEX(SourceTable[URL],Q353)="",INDEX(SourceTable[SHA256],Q353)=""),"EVIDENCE INCOMPLETE",IF(AND('Input_Meci'!H34="LIVE",INDEX(SourceTable[Retrieved_UTC],Q353)&gt;'Input_Meci'!G34),"POST CUTOFF","CLOSED")))))))</x:f>
      </x:c>
      <x:c r="S353" s="2" t="n">
        <x:f>IF(OR(B353="",F353=""),0,COUNTIFS('Istoric_Nativ'!$B$6:$B$405,E353,'Istoric_Nativ'!$C$6:$C$405,F353,'Istoric_Nativ'!$E$6:$E$405,G353,'Istoric_Nativ'!$D$6:$D$405,"&lt;"&amp;J353,'Istoric_Nativ'!$O$6:$O$405,"INVALID")+COUNTIFS('Istoric_Nativ'!$B$6:$B$405,E353,'Istoric_Nativ'!$C$6:$C$405,F353,'Istoric_Nativ'!$E$6:$E$405,G353,'Istoric_Nativ'!$O$6:$O$405,"INVALID",'Istoric_Nativ'!$D$6:$D$405,"*")+COUNTIFS('Istoric_Nativ'!$B$6:$B$405,E353,'Istoric_Nativ'!$C$6:$C$405,F353,'Istoric_Nativ'!$E$6:$E$405,G353,'Istoric_Nativ'!$D$6:$D$405,"&lt;"&amp;J353,'Istoric_Nativ'!$O$6:$O$405,"SOURCE CONFLICT")+COUNTIFS('Istoric_Nativ'!$B$6:$B$405,E353,'Istoric_Nativ'!$C$6:$C$405,F353,'Istoric_Nativ'!$F$6:$F$405,G353,'Istoric_Nativ'!$D$6:$D$405,"&lt;"&amp;J353,'Istoric_Nativ'!$O$6:$O$405,"INVALID")+COUNTIFS('Istoric_Nativ'!$B$6:$B$405,E353,'Istoric_Nativ'!$C$6:$C$405,F353,'Istoric_Nativ'!$F$6:$F$405,G353,'Istoric_Nativ'!$O$6:$O$405,"INVALID",'Istoric_Nativ'!$D$6:$D$405,"*")+COUNTIFS('Istoric_Nativ'!$B$6:$B$405,E353,'Istoric_Nativ'!$C$6:$C$405,F353,'Istoric_Nativ'!$F$6:$F$405,G353,'Istoric_Nativ'!$D$6:$D$405,"&lt;"&amp;J353,'Istoric_Nativ'!$O$6:$O$405,"SOURCE CONFLICT"))</x:f>
        <x:v>0</x:v>
      </x:c>
      <x:c r="T353" s="2" t="str">
        <x:f>IF(B353="","",IF(R353&lt;&gt;"CLOSED",R353,IF(S353&gt;0,"NATIVE INPUT ISSUE",IF(M353=0,"NO HISTORY",IF(M353&lt;P353,"SMALL SAMPLE","DERIVED")))))</x:f>
      </x:c>
      <x:c r="U353" s="2" t="str">
        <x:f>IF(B353="","","NativeTable; "&amp;E353&amp;"; "&amp;F353&amp;"; "&amp;G353&amp;"; "&amp;H353&amp;"; before "&amp;TEXT(J353,"yyyy-mm-dd")&amp;IF(I353="RECENT","; from "&amp;TEXT(L353,"yyyy-mm-dd"),""))</x:f>
      </x:c>
    </x:row>
    <x:row r="354" ht="21" customHeight="1">
      <x:c r="A354" s="2" t="n">
        <x:v>30</x:v>
      </x:c>
      <x:c r="B354" s="2" t="str">
        <x:f>IF('Input_Meci'!A35="","",'Input_Meci'!A35)</x:f>
      </x:c>
      <x:c r="C354" s="2" t="str">
        <x:v>H</x:v>
      </x:c>
      <x:c r="D354" s="2" t="str">
        <x:v>CURRENT</x:v>
      </x:c>
      <x:c r="E354" s="2" t="str">
        <x:f>IF(B354="","",'Input_Meci'!B35)</x:f>
      </x:c>
      <x:c r="F354" s="2" t="str">
        <x:f>IF(B354="","",IF('Input_Meci'!C35="","",'Input_Meci'!C35))</x:f>
      </x:c>
      <x:c r="G354" s="2" t="str">
        <x:f>IF(B354="","",'Input_Meci'!D35)</x:f>
      </x:c>
      <x:c r="H354" s="2" t="str">
        <x:v>ANY</x:v>
      </x:c>
      <x:c r="I354" s="2" t="str">
        <x:v>SEASON</x:v>
      </x:c>
      <x:c r="J354" s="9" t="n">
        <x:f>IF(AND(B354&lt;&gt;"",ISNUMBER('Input_Meci'!G35)),INT('Input_Meci'!G35),0)</x:f>
        <x:v>0</x:v>
      </x:c>
      <x:c r="K354" s="2" t="n">
        <x:f>IF(OR(B354="",F354=""),0,IF(H354="HOME",COUNTIFS('Istoric_Nativ'!$B$6:$B$405,E354,'Istoric_Nativ'!$C$6:$C$405,F354,'Istoric_Nativ'!$E$6:$E$405,G354,'Istoric_Nativ'!$D$6:$D$405,"&lt;"&amp;J354,'Istoric_Nativ'!$P$6:$P$405,1),IF(H354="AWAY",COUNTIFS('Istoric_Nativ'!$B$6:$B$405,E354,'Istoric_Nativ'!$C$6:$C$405,F354,'Istoric_Nativ'!$F$6:$F$405,G354,'Istoric_Nativ'!$D$6:$D$405,"&lt;"&amp;J354,'Istoric_Nativ'!$P$6:$P$405,1),COUNTIFS('Istoric_Nativ'!$B$6:$B$405,E354,'Istoric_Nativ'!$C$6:$C$405,F354,'Istoric_Nativ'!$E$6:$E$405,G354,'Istoric_Nativ'!$D$6:$D$405,"&lt;"&amp;J354,'Istoric_Nativ'!$P$6:$P$405,1)+COUNTIFS('Istoric_Nativ'!$B$6:$B$405,E354,'Istoric_Nativ'!$C$6:$C$405,F354,'Istoric_Nativ'!$F$6:$F$405,G354,'Istoric_Nativ'!$D$6:$D$405,"&lt;"&amp;J354,'Istoric_Nativ'!$P$6:$P$405,1))))</x:f>
        <x:v>0</x:v>
      </x:c>
      <x:c r="L354" s="17" t="n">
        <x:f>IF(AND(B354&lt;&gt;"",I354="RECENT",K354&gt;0),LARGE(_xlfn._xlws.FILTER('Istoric_Nativ'!$D$6:$D$405,('Istoric_Nativ'!$B$6:$B$405=E354)*('Istoric_Nativ'!$C$6:$C$405=F354)*('Istoric_Nativ'!$P$6:$P$405=1)*('Istoric_Nativ'!$D$6:$D$405&lt;J354)*((('Istoric_Nativ'!$E$6:$E$405=G354)+('Istoric_Nativ'!$F$6:$F$405=G354))&gt;0)),MIN('Config_v6'!$B$54,K354)),0)</x:f>
        <x:v>0</x:v>
      </x:c>
      <x:c r="M354" s="2" t="n">
        <x:f>IF(OR(B354="",F354=""),0,IF(H354="HOME",COUNTIFS('Istoric_Nativ'!$B$6:$B$405,E354,'Istoric_Nativ'!$C$6:$C$405,F354,'Istoric_Nativ'!$E$6:$E$405,G354,'Istoric_Nativ'!$D$6:$D$405,"&lt;"&amp;J354,'Istoric_Nativ'!$P$6:$P$405,1,'Istoric_Nativ'!$D$6:$D$405,"&gt;="&amp;L354),IF(H354="AWAY",COUNTIFS('Istoric_Nativ'!$B$6:$B$405,E354,'Istoric_Nativ'!$C$6:$C$405,F354,'Istoric_Nativ'!$F$6:$F$405,G354,'Istoric_Nativ'!$D$6:$D$405,"&lt;"&amp;J354,'Istoric_Nativ'!$P$6:$P$405,1,'Istoric_Nativ'!$D$6:$D$405,"&gt;="&amp;L354),COUNTIFS('Istoric_Nativ'!$B$6:$B$405,E354,'Istoric_Nativ'!$C$6:$C$405,F354,'Istoric_Nativ'!$E$6:$E$405,G354,'Istoric_Nativ'!$D$6:$D$405,"&lt;"&amp;J354,'Istoric_Nativ'!$P$6:$P$405,1,'Istoric_Nativ'!$D$6:$D$405,"&gt;="&amp;L354)+COUNTIFS('Istoric_Nativ'!$B$6:$B$405,E354,'Istoric_Nativ'!$C$6:$C$405,F354,'Istoric_Nativ'!$F$6:$F$405,G354,'Istoric_Nativ'!$D$6:$D$405,"&lt;"&amp;J354,'Istoric_Nativ'!$P$6:$P$405,1,'Istoric_Nativ'!$D$6:$D$405,"&gt;="&amp;L354))))</x:f>
        <x:v>0</x:v>
      </x:c>
      <x:c r="N354" s="11" t="str">
        <x:f>IF(M354=0,"",IF(H354="HOME",SUMIFS('Istoric_Nativ'!$G$6:$G$405,'Istoric_Nativ'!$B$6:$B$405,E354,'Istoric_Nativ'!$C$6:$C$405,F354,'Istoric_Nativ'!$E$6:$E$405,G354,'Istoric_Nativ'!$D$6:$D$405,"&lt;"&amp;J354,'Istoric_Nativ'!$P$6:$P$405,1,'Istoric_Nativ'!$D$6:$D$405,"&gt;="&amp;L354),IF(H354="AWAY",SUMIFS('Istoric_Nativ'!$H$6:$H$405,'Istoric_Nativ'!$B$6:$B$405,E354,'Istoric_Nativ'!$C$6:$C$405,F354,'Istoric_Nativ'!$F$6:$F$405,G354,'Istoric_Nativ'!$D$6:$D$405,"&lt;"&amp;J354,'Istoric_Nativ'!$P$6:$P$405,1,'Istoric_Nativ'!$D$6:$D$405,"&gt;="&amp;L354),SUMIFS('Istoric_Nativ'!$G$6:$G$405,'Istoric_Nativ'!$B$6:$B$405,E354,'Istoric_Nativ'!$C$6:$C$405,F354,'Istoric_Nativ'!$E$6:$E$405,G354,'Istoric_Nativ'!$D$6:$D$405,"&lt;"&amp;J354,'Istoric_Nativ'!$P$6:$P$405,1,'Istoric_Nativ'!$D$6:$D$405,"&gt;="&amp;L354)+SUMIFS('Istoric_Nativ'!$H$6:$H$405,'Istoric_Nativ'!$B$6:$B$405,E354,'Istoric_Nativ'!$C$6:$C$405,F354,'Istoric_Nativ'!$F$6:$F$405,G354,'Istoric_Nativ'!$D$6:$D$405,"&lt;"&amp;J354,'Istoric_Nativ'!$P$6:$P$405,1,'Istoric_Nativ'!$D$6:$D$405,"&gt;="&amp;L354)))/M354)</x:f>
      </x:c>
      <x:c r="O354" s="11" t="str">
        <x:f>IF(M354=0,"",IF(H354="HOME",SUMIFS('Istoric_Nativ'!$H$6:$H$405,'Istoric_Nativ'!$B$6:$B$405,E354,'Istoric_Nativ'!$C$6:$C$405,F354,'Istoric_Nativ'!$E$6:$E$405,G354,'Istoric_Nativ'!$D$6:$D$405,"&lt;"&amp;J354,'Istoric_Nativ'!$P$6:$P$405,1,'Istoric_Nativ'!$D$6:$D$405,"&gt;="&amp;L354),IF(H354="AWAY",SUMIFS('Istoric_Nativ'!$G$6:$G$405,'Istoric_Nativ'!$B$6:$B$405,E354,'Istoric_Nativ'!$C$6:$C$405,F354,'Istoric_Nativ'!$F$6:$F$405,G354,'Istoric_Nativ'!$D$6:$D$405,"&lt;"&amp;J354,'Istoric_Nativ'!$P$6:$P$405,1,'Istoric_Nativ'!$D$6:$D$405,"&gt;="&amp;L354),SUMIFS('Istoric_Nativ'!$H$6:$H$405,'Istoric_Nativ'!$B$6:$B$405,E354,'Istoric_Nativ'!$C$6:$C$405,F354,'Istoric_Nativ'!$E$6:$E$405,G354,'Istoric_Nativ'!$D$6:$D$405,"&lt;"&amp;J354,'Istoric_Nativ'!$P$6:$P$405,1,'Istoric_Nativ'!$D$6:$D$405,"&gt;="&amp;L354)+SUMIFS('Istoric_Nativ'!$G$6:$G$405,'Istoric_Nativ'!$B$6:$B$405,E354,'Istoric_Nativ'!$C$6:$C$405,F354,'Istoric_Nativ'!$F$6:$F$405,G354,'Istoric_Nativ'!$D$6:$D$405,"&lt;"&amp;J354,'Istoric_Nativ'!$P$6:$P$405,1,'Istoric_Nativ'!$D$6:$D$405,"&gt;="&amp;L354)))/M354)</x:f>
      </x:c>
      <x:c r="P354" s="2" t="n">
        <x:f>'Config_v6'!$B$7</x:f>
        <x:v>10</x:v>
      </x:c>
      <x:c r="Q354" s="2" t="n">
        <x:f>IF(OR(B354="",F354=""),0,IFERROR(MATCH(E354&amp;"|"&amp;F354,SourceTable[Source_Key],0),0))</x:f>
        <x:v>0</x:v>
      </x:c>
      <x:c r="R354" s="2" t="str">
        <x:f>IF(B354="","",IF(F354="","UNUSED",IF(Q354=0,"NOT CHECKED",IF(COUNTIF(SourceTable[Source_Key],E354&amp;"|"&amp;F354)&lt;&gt;1,"SOURCE CONFLICT",IF(NOT(OR(INDEX(SourceTable[Status],MAX(1,Q354))="IMPORTED",INDEX(SourceTable[Status],MAX(1,Q354))="PARTIAL",INDEX(SourceTable[Status],MAX(1,Q354))="SOURCE CONFLICT")),"ACCESS BLOCKED",IF(OR(INDEX(SourceTable[Coverage],Q354)&lt;&gt;"FULL SEASON EXPORT",INDEX(SourceTable[URL],Q354)="",INDEX(SourceTable[SHA256],Q354)=""),"EVIDENCE INCOMPLETE",IF(AND('Input_Meci'!H35="LIVE",INDEX(SourceTable[Retrieved_UTC],Q354)&gt;'Input_Meci'!G35),"POST CUTOFF","CLOSED")))))))</x:f>
      </x:c>
      <x:c r="S354" s="2" t="n">
        <x:f>IF(OR(B354="",F354=""),0,COUNTIFS('Istoric_Nativ'!$B$6:$B$405,E354,'Istoric_Nativ'!$C$6:$C$405,F354,'Istoric_Nativ'!$E$6:$E$405,G354,'Istoric_Nativ'!$D$6:$D$405,"&lt;"&amp;J354,'Istoric_Nativ'!$O$6:$O$405,"INVALID")+COUNTIFS('Istoric_Nativ'!$B$6:$B$405,E354,'Istoric_Nativ'!$C$6:$C$405,F354,'Istoric_Nativ'!$E$6:$E$405,G354,'Istoric_Nativ'!$O$6:$O$405,"INVALID",'Istoric_Nativ'!$D$6:$D$405,"*")+COUNTIFS('Istoric_Nativ'!$B$6:$B$405,E354,'Istoric_Nativ'!$C$6:$C$405,F354,'Istoric_Nativ'!$E$6:$E$405,G354,'Istoric_Nativ'!$D$6:$D$405,"&lt;"&amp;J354,'Istoric_Nativ'!$O$6:$O$405,"SOURCE CONFLICT")+COUNTIFS('Istoric_Nativ'!$B$6:$B$405,E354,'Istoric_Nativ'!$C$6:$C$405,F354,'Istoric_Nativ'!$F$6:$F$405,G354,'Istoric_Nativ'!$D$6:$D$405,"&lt;"&amp;J354,'Istoric_Nativ'!$O$6:$O$405,"INVALID")+COUNTIFS('Istoric_Nativ'!$B$6:$B$405,E354,'Istoric_Nativ'!$C$6:$C$405,F354,'Istoric_Nativ'!$F$6:$F$405,G354,'Istoric_Nativ'!$O$6:$O$405,"INVALID",'Istoric_Nativ'!$D$6:$D$405,"*")+COUNTIFS('Istoric_Nativ'!$B$6:$B$405,E354,'Istoric_Nativ'!$C$6:$C$405,F354,'Istoric_Nativ'!$F$6:$F$405,G354,'Istoric_Nativ'!$D$6:$D$405,"&lt;"&amp;J354,'Istoric_Nativ'!$O$6:$O$405,"SOURCE CONFLICT"))</x:f>
        <x:v>0</x:v>
      </x:c>
      <x:c r="T354" s="2" t="str">
        <x:f>IF(B354="","",IF(R354&lt;&gt;"CLOSED",R354,IF(S354&gt;0,"NATIVE INPUT ISSUE",IF(M354=0,"NO HISTORY",IF(M354&lt;P354,"SMALL SAMPLE","DERIVED")))))</x:f>
      </x:c>
      <x:c r="U354" s="2" t="str">
        <x:f>IF(B354="","","NativeTable; "&amp;E354&amp;"; "&amp;F354&amp;"; "&amp;G354&amp;"; "&amp;H354&amp;"; before "&amp;TEXT(J354,"yyyy-mm-dd")&amp;IF(I354="RECENT","; from "&amp;TEXT(L354,"yyyy-mm-dd"),""))</x:f>
      </x:c>
    </x:row>
    <x:row r="355" ht="21" customHeight="1">
      <x:c r="A355" s="2" t="n">
        <x:v>30</x:v>
      </x:c>
      <x:c r="B355" s="2" t="str">
        <x:f>IF('Input_Meci'!A35="","",'Input_Meci'!A35)</x:f>
      </x:c>
      <x:c r="C355" s="2" t="str">
        <x:v>H</x:v>
      </x:c>
      <x:c r="D355" s="2" t="str">
        <x:v>CURRENT</x:v>
      </x:c>
      <x:c r="E355" s="2" t="str">
        <x:f>IF(B355="","",'Input_Meci'!B35)</x:f>
      </x:c>
      <x:c r="F355" s="2" t="str">
        <x:f>IF(B355="","",IF('Input_Meci'!C35="","",'Input_Meci'!C35))</x:f>
      </x:c>
      <x:c r="G355" s="2" t="str">
        <x:f>IF(B355="","",'Input_Meci'!D35)</x:f>
      </x:c>
      <x:c r="H355" s="2" t="str">
        <x:v>HOME</x:v>
      </x:c>
      <x:c r="I355" s="2" t="str">
        <x:v>HA</x:v>
      </x:c>
      <x:c r="J355" s="9" t="n">
        <x:f>IF(AND(B355&lt;&gt;"",ISNUMBER('Input_Meci'!G35)),INT('Input_Meci'!G35),0)</x:f>
        <x:v>0</x:v>
      </x:c>
      <x:c r="K355" s="2" t="n">
        <x:f>IF(OR(B355="",F355=""),0,IF(H355="HOME",COUNTIFS('Istoric_Nativ'!$B$6:$B$405,E355,'Istoric_Nativ'!$C$6:$C$405,F355,'Istoric_Nativ'!$E$6:$E$405,G355,'Istoric_Nativ'!$D$6:$D$405,"&lt;"&amp;J355,'Istoric_Nativ'!$P$6:$P$405,1),IF(H355="AWAY",COUNTIFS('Istoric_Nativ'!$B$6:$B$405,E355,'Istoric_Nativ'!$C$6:$C$405,F355,'Istoric_Nativ'!$F$6:$F$405,G355,'Istoric_Nativ'!$D$6:$D$405,"&lt;"&amp;J355,'Istoric_Nativ'!$P$6:$P$405,1),COUNTIFS('Istoric_Nativ'!$B$6:$B$405,E355,'Istoric_Nativ'!$C$6:$C$405,F355,'Istoric_Nativ'!$E$6:$E$405,G355,'Istoric_Nativ'!$D$6:$D$405,"&lt;"&amp;J355,'Istoric_Nativ'!$P$6:$P$405,1)+COUNTIFS('Istoric_Nativ'!$B$6:$B$405,E355,'Istoric_Nativ'!$C$6:$C$405,F355,'Istoric_Nativ'!$F$6:$F$405,G355,'Istoric_Nativ'!$D$6:$D$405,"&lt;"&amp;J355,'Istoric_Nativ'!$P$6:$P$405,1))))</x:f>
        <x:v>0</x:v>
      </x:c>
      <x:c r="L355" s="17" t="n">
        <x:f>IF(AND(B355&lt;&gt;"",I355="RECENT",K355&gt;0),LARGE(_xlfn._xlws.FILTER('Istoric_Nativ'!$D$6:$D$405,('Istoric_Nativ'!$B$6:$B$405=E355)*('Istoric_Nativ'!$C$6:$C$405=F355)*('Istoric_Nativ'!$P$6:$P$405=1)*('Istoric_Nativ'!$D$6:$D$405&lt;J355)*((('Istoric_Nativ'!$E$6:$E$405=G355)+('Istoric_Nativ'!$F$6:$F$405=G355))&gt;0)),MIN('Config_v6'!$B$54,K355)),0)</x:f>
        <x:v>0</x:v>
      </x:c>
      <x:c r="M355" s="2" t="n">
        <x:f>IF(OR(B355="",F355=""),0,IF(H355="HOME",COUNTIFS('Istoric_Nativ'!$B$6:$B$405,E355,'Istoric_Nativ'!$C$6:$C$405,F355,'Istoric_Nativ'!$E$6:$E$405,G355,'Istoric_Nativ'!$D$6:$D$405,"&lt;"&amp;J355,'Istoric_Nativ'!$P$6:$P$405,1,'Istoric_Nativ'!$D$6:$D$405,"&gt;="&amp;L355),IF(H355="AWAY",COUNTIFS('Istoric_Nativ'!$B$6:$B$405,E355,'Istoric_Nativ'!$C$6:$C$405,F355,'Istoric_Nativ'!$F$6:$F$405,G355,'Istoric_Nativ'!$D$6:$D$405,"&lt;"&amp;J355,'Istoric_Nativ'!$P$6:$P$405,1,'Istoric_Nativ'!$D$6:$D$405,"&gt;="&amp;L355),COUNTIFS('Istoric_Nativ'!$B$6:$B$405,E355,'Istoric_Nativ'!$C$6:$C$405,F355,'Istoric_Nativ'!$E$6:$E$405,G355,'Istoric_Nativ'!$D$6:$D$405,"&lt;"&amp;J355,'Istoric_Nativ'!$P$6:$P$405,1,'Istoric_Nativ'!$D$6:$D$405,"&gt;="&amp;L355)+COUNTIFS('Istoric_Nativ'!$B$6:$B$405,E355,'Istoric_Nativ'!$C$6:$C$405,F355,'Istoric_Nativ'!$F$6:$F$405,G355,'Istoric_Nativ'!$D$6:$D$405,"&lt;"&amp;J355,'Istoric_Nativ'!$P$6:$P$405,1,'Istoric_Nativ'!$D$6:$D$405,"&gt;="&amp;L355))))</x:f>
        <x:v>0</x:v>
      </x:c>
      <x:c r="N355" s="11" t="str">
        <x:f>IF(M355=0,"",IF(H355="HOME",SUMIFS('Istoric_Nativ'!$G$6:$G$405,'Istoric_Nativ'!$B$6:$B$405,E355,'Istoric_Nativ'!$C$6:$C$405,F355,'Istoric_Nativ'!$E$6:$E$405,G355,'Istoric_Nativ'!$D$6:$D$405,"&lt;"&amp;J355,'Istoric_Nativ'!$P$6:$P$405,1,'Istoric_Nativ'!$D$6:$D$405,"&gt;="&amp;L355),IF(H355="AWAY",SUMIFS('Istoric_Nativ'!$H$6:$H$405,'Istoric_Nativ'!$B$6:$B$405,E355,'Istoric_Nativ'!$C$6:$C$405,F355,'Istoric_Nativ'!$F$6:$F$405,G355,'Istoric_Nativ'!$D$6:$D$405,"&lt;"&amp;J355,'Istoric_Nativ'!$P$6:$P$405,1,'Istoric_Nativ'!$D$6:$D$405,"&gt;="&amp;L355),SUMIFS('Istoric_Nativ'!$G$6:$G$405,'Istoric_Nativ'!$B$6:$B$405,E355,'Istoric_Nativ'!$C$6:$C$405,F355,'Istoric_Nativ'!$E$6:$E$405,G355,'Istoric_Nativ'!$D$6:$D$405,"&lt;"&amp;J355,'Istoric_Nativ'!$P$6:$P$405,1,'Istoric_Nativ'!$D$6:$D$405,"&gt;="&amp;L355)+SUMIFS('Istoric_Nativ'!$H$6:$H$405,'Istoric_Nativ'!$B$6:$B$405,E355,'Istoric_Nativ'!$C$6:$C$405,F355,'Istoric_Nativ'!$F$6:$F$405,G355,'Istoric_Nativ'!$D$6:$D$405,"&lt;"&amp;J355,'Istoric_Nativ'!$P$6:$P$405,1,'Istoric_Nativ'!$D$6:$D$405,"&gt;="&amp;L355)))/M355)</x:f>
      </x:c>
      <x:c r="O355" s="11" t="str">
        <x:f>IF(M355=0,"",IF(H355="HOME",SUMIFS('Istoric_Nativ'!$H$6:$H$405,'Istoric_Nativ'!$B$6:$B$405,E355,'Istoric_Nativ'!$C$6:$C$405,F355,'Istoric_Nativ'!$E$6:$E$405,G355,'Istoric_Nativ'!$D$6:$D$405,"&lt;"&amp;J355,'Istoric_Nativ'!$P$6:$P$405,1,'Istoric_Nativ'!$D$6:$D$405,"&gt;="&amp;L355),IF(H355="AWAY",SUMIFS('Istoric_Nativ'!$G$6:$G$405,'Istoric_Nativ'!$B$6:$B$405,E355,'Istoric_Nativ'!$C$6:$C$405,F355,'Istoric_Nativ'!$F$6:$F$405,G355,'Istoric_Nativ'!$D$6:$D$405,"&lt;"&amp;J355,'Istoric_Nativ'!$P$6:$P$405,1,'Istoric_Nativ'!$D$6:$D$405,"&gt;="&amp;L355),SUMIFS('Istoric_Nativ'!$H$6:$H$405,'Istoric_Nativ'!$B$6:$B$405,E355,'Istoric_Nativ'!$C$6:$C$405,F355,'Istoric_Nativ'!$E$6:$E$405,G355,'Istoric_Nativ'!$D$6:$D$405,"&lt;"&amp;J355,'Istoric_Nativ'!$P$6:$P$405,1,'Istoric_Nativ'!$D$6:$D$405,"&gt;="&amp;L355)+SUMIFS('Istoric_Nativ'!$G$6:$G$405,'Istoric_Nativ'!$B$6:$B$405,E355,'Istoric_Nativ'!$C$6:$C$405,F355,'Istoric_Nativ'!$F$6:$F$405,G355,'Istoric_Nativ'!$D$6:$D$405,"&lt;"&amp;J355,'Istoric_Nativ'!$P$6:$P$405,1,'Istoric_Nativ'!$D$6:$D$405,"&gt;="&amp;L355)))/M355)</x:f>
      </x:c>
      <x:c r="P355" s="2" t="n">
        <x:f>'Config_v6'!$B$8</x:f>
        <x:v>5</x:v>
      </x:c>
      <x:c r="Q355" s="2" t="n">
        <x:f>IF(OR(B355="",F355=""),0,IFERROR(MATCH(E355&amp;"|"&amp;F355,SourceTable[Source_Key],0),0))</x:f>
        <x:v>0</x:v>
      </x:c>
      <x:c r="R355" s="2" t="str">
        <x:f>IF(B355="","",IF(F355="","UNUSED",IF(Q355=0,"NOT CHECKED",IF(COUNTIF(SourceTable[Source_Key],E355&amp;"|"&amp;F355)&lt;&gt;1,"SOURCE CONFLICT",IF(NOT(OR(INDEX(SourceTable[Status],MAX(1,Q355))="IMPORTED",INDEX(SourceTable[Status],MAX(1,Q355))="PARTIAL",INDEX(SourceTable[Status],MAX(1,Q355))="SOURCE CONFLICT")),"ACCESS BLOCKED",IF(OR(INDEX(SourceTable[Coverage],Q355)&lt;&gt;"FULL SEASON EXPORT",INDEX(SourceTable[URL],Q355)="",INDEX(SourceTable[SHA256],Q355)=""),"EVIDENCE INCOMPLETE",IF(AND('Input_Meci'!H35="LIVE",INDEX(SourceTable[Retrieved_UTC],Q355)&gt;'Input_Meci'!G35),"POST CUTOFF","CLOSED")))))))</x:f>
      </x:c>
      <x:c r="S355" s="2" t="n">
        <x:f>IF(OR(B355="",F355=""),0,COUNTIFS('Istoric_Nativ'!$B$6:$B$405,E355,'Istoric_Nativ'!$C$6:$C$405,F355,'Istoric_Nativ'!$E$6:$E$405,G355,'Istoric_Nativ'!$D$6:$D$405,"&lt;"&amp;J355,'Istoric_Nativ'!$O$6:$O$405,"INVALID")+COUNTIFS('Istoric_Nativ'!$B$6:$B$405,E355,'Istoric_Nativ'!$C$6:$C$405,F355,'Istoric_Nativ'!$E$6:$E$405,G355,'Istoric_Nativ'!$O$6:$O$405,"INVALID",'Istoric_Nativ'!$D$6:$D$405,"*")+COUNTIFS('Istoric_Nativ'!$B$6:$B$405,E355,'Istoric_Nativ'!$C$6:$C$405,F355,'Istoric_Nativ'!$E$6:$E$405,G355,'Istoric_Nativ'!$D$6:$D$405,"&lt;"&amp;J355,'Istoric_Nativ'!$O$6:$O$405,"SOURCE CONFLICT")+COUNTIFS('Istoric_Nativ'!$B$6:$B$405,E355,'Istoric_Nativ'!$C$6:$C$405,F355,'Istoric_Nativ'!$F$6:$F$405,G355,'Istoric_Nativ'!$D$6:$D$405,"&lt;"&amp;J355,'Istoric_Nativ'!$O$6:$O$405,"INVALID")+COUNTIFS('Istoric_Nativ'!$B$6:$B$405,E355,'Istoric_Nativ'!$C$6:$C$405,F355,'Istoric_Nativ'!$F$6:$F$405,G355,'Istoric_Nativ'!$O$6:$O$405,"INVALID",'Istoric_Nativ'!$D$6:$D$405,"*")+COUNTIFS('Istoric_Nativ'!$B$6:$B$405,E355,'Istoric_Nativ'!$C$6:$C$405,F355,'Istoric_Nativ'!$F$6:$F$405,G355,'Istoric_Nativ'!$D$6:$D$405,"&lt;"&amp;J355,'Istoric_Nativ'!$O$6:$O$405,"SOURCE CONFLICT"))</x:f>
        <x:v>0</x:v>
      </x:c>
      <x:c r="T355" s="2" t="str">
        <x:f>IF(B355="","",IF(R355&lt;&gt;"CLOSED",R355,IF(S355&gt;0,"NATIVE INPUT ISSUE",IF(M355=0,"NO HISTORY",IF(M355&lt;P355,"SMALL SAMPLE","DERIVED")))))</x:f>
      </x:c>
      <x:c r="U355" s="2" t="str">
        <x:f>IF(B355="","","NativeTable; "&amp;E355&amp;"; "&amp;F355&amp;"; "&amp;G355&amp;"; "&amp;H355&amp;"; before "&amp;TEXT(J355,"yyyy-mm-dd")&amp;IF(I355="RECENT","; from "&amp;TEXT(L355,"yyyy-mm-dd"),""))</x:f>
      </x:c>
    </x:row>
    <x:row r="356" ht="21" customHeight="1">
      <x:c r="A356" s="2" t="n">
        <x:v>30</x:v>
      </x:c>
      <x:c r="B356" s="2" t="str">
        <x:f>IF('Input_Meci'!A35="","",'Input_Meci'!A35)</x:f>
      </x:c>
      <x:c r="C356" s="2" t="str">
        <x:v>H</x:v>
      </x:c>
      <x:c r="D356" s="2" t="str">
        <x:v>CURRENT</x:v>
      </x:c>
      <x:c r="E356" s="2" t="str">
        <x:f>IF(B356="","",'Input_Meci'!B35)</x:f>
      </x:c>
      <x:c r="F356" s="2" t="str">
        <x:f>IF(B356="","",IF('Input_Meci'!C35="","",'Input_Meci'!C35))</x:f>
      </x:c>
      <x:c r="G356" s="2" t="str">
        <x:f>IF(B356="","",'Input_Meci'!D35)</x:f>
      </x:c>
      <x:c r="H356" s="2" t="str">
        <x:v>ANY</x:v>
      </x:c>
      <x:c r="I356" s="2" t="str">
        <x:v>RECENT</x:v>
      </x:c>
      <x:c r="J356" s="9" t="n">
        <x:f>IF(AND(B356&lt;&gt;"",ISNUMBER('Input_Meci'!G35)),INT('Input_Meci'!G35),0)</x:f>
        <x:v>0</x:v>
      </x:c>
      <x:c r="K356" s="2" t="n">
        <x:f>IF(OR(B356="",F356=""),0,IF(H356="HOME",COUNTIFS('Istoric_Nativ'!$B$6:$B$405,E356,'Istoric_Nativ'!$C$6:$C$405,F356,'Istoric_Nativ'!$E$6:$E$405,G356,'Istoric_Nativ'!$D$6:$D$405,"&lt;"&amp;J356,'Istoric_Nativ'!$P$6:$P$405,1),IF(H356="AWAY",COUNTIFS('Istoric_Nativ'!$B$6:$B$405,E356,'Istoric_Nativ'!$C$6:$C$405,F356,'Istoric_Nativ'!$F$6:$F$405,G356,'Istoric_Nativ'!$D$6:$D$405,"&lt;"&amp;J356,'Istoric_Nativ'!$P$6:$P$405,1),COUNTIFS('Istoric_Nativ'!$B$6:$B$405,E356,'Istoric_Nativ'!$C$6:$C$405,F356,'Istoric_Nativ'!$E$6:$E$405,G356,'Istoric_Nativ'!$D$6:$D$405,"&lt;"&amp;J356,'Istoric_Nativ'!$P$6:$P$405,1)+COUNTIFS('Istoric_Nativ'!$B$6:$B$405,E356,'Istoric_Nativ'!$C$6:$C$405,F356,'Istoric_Nativ'!$F$6:$F$405,G356,'Istoric_Nativ'!$D$6:$D$405,"&lt;"&amp;J356,'Istoric_Nativ'!$P$6:$P$405,1))))</x:f>
        <x:v>0</x:v>
      </x:c>
      <x:c r="L356" s="17" t="n">
        <x:f>IF(AND(B356&lt;&gt;"",I356="RECENT",K356&gt;0),LARGE(_xlfn._xlws.FILTER('Istoric_Nativ'!$D$6:$D$405,('Istoric_Nativ'!$B$6:$B$405=E356)*('Istoric_Nativ'!$C$6:$C$405=F356)*('Istoric_Nativ'!$P$6:$P$405=1)*('Istoric_Nativ'!$D$6:$D$405&lt;J356)*((('Istoric_Nativ'!$E$6:$E$405=G356)+('Istoric_Nativ'!$F$6:$F$405=G356))&gt;0)),MIN('Config_v6'!$B$54,K356)),0)</x:f>
        <x:v>0</x:v>
      </x:c>
      <x:c r="M356" s="2" t="n">
        <x:f>IF(OR(B356="",F356=""),0,IF(H356="HOME",COUNTIFS('Istoric_Nativ'!$B$6:$B$405,E356,'Istoric_Nativ'!$C$6:$C$405,F356,'Istoric_Nativ'!$E$6:$E$405,G356,'Istoric_Nativ'!$D$6:$D$405,"&lt;"&amp;J356,'Istoric_Nativ'!$P$6:$P$405,1,'Istoric_Nativ'!$D$6:$D$405,"&gt;="&amp;L356),IF(H356="AWAY",COUNTIFS('Istoric_Nativ'!$B$6:$B$405,E356,'Istoric_Nativ'!$C$6:$C$405,F356,'Istoric_Nativ'!$F$6:$F$405,G356,'Istoric_Nativ'!$D$6:$D$405,"&lt;"&amp;J356,'Istoric_Nativ'!$P$6:$P$405,1,'Istoric_Nativ'!$D$6:$D$405,"&gt;="&amp;L356),COUNTIFS('Istoric_Nativ'!$B$6:$B$405,E356,'Istoric_Nativ'!$C$6:$C$405,F356,'Istoric_Nativ'!$E$6:$E$405,G356,'Istoric_Nativ'!$D$6:$D$405,"&lt;"&amp;J356,'Istoric_Nativ'!$P$6:$P$405,1,'Istoric_Nativ'!$D$6:$D$405,"&gt;="&amp;L356)+COUNTIFS('Istoric_Nativ'!$B$6:$B$405,E356,'Istoric_Nativ'!$C$6:$C$405,F356,'Istoric_Nativ'!$F$6:$F$405,G356,'Istoric_Nativ'!$D$6:$D$405,"&lt;"&amp;J356,'Istoric_Nativ'!$P$6:$P$405,1,'Istoric_Nativ'!$D$6:$D$405,"&gt;="&amp;L356))))</x:f>
        <x:v>0</x:v>
      </x:c>
      <x:c r="N356" s="11" t="str">
        <x:f>IF(M356=0,"",IF(H356="HOME",SUMIFS('Istoric_Nativ'!$G$6:$G$405,'Istoric_Nativ'!$B$6:$B$405,E356,'Istoric_Nativ'!$C$6:$C$405,F356,'Istoric_Nativ'!$E$6:$E$405,G356,'Istoric_Nativ'!$D$6:$D$405,"&lt;"&amp;J356,'Istoric_Nativ'!$P$6:$P$405,1,'Istoric_Nativ'!$D$6:$D$405,"&gt;="&amp;L356),IF(H356="AWAY",SUMIFS('Istoric_Nativ'!$H$6:$H$405,'Istoric_Nativ'!$B$6:$B$405,E356,'Istoric_Nativ'!$C$6:$C$405,F356,'Istoric_Nativ'!$F$6:$F$405,G356,'Istoric_Nativ'!$D$6:$D$405,"&lt;"&amp;J356,'Istoric_Nativ'!$P$6:$P$405,1,'Istoric_Nativ'!$D$6:$D$405,"&gt;="&amp;L356),SUMIFS('Istoric_Nativ'!$G$6:$G$405,'Istoric_Nativ'!$B$6:$B$405,E356,'Istoric_Nativ'!$C$6:$C$405,F356,'Istoric_Nativ'!$E$6:$E$405,G356,'Istoric_Nativ'!$D$6:$D$405,"&lt;"&amp;J356,'Istoric_Nativ'!$P$6:$P$405,1,'Istoric_Nativ'!$D$6:$D$405,"&gt;="&amp;L356)+SUMIFS('Istoric_Nativ'!$H$6:$H$405,'Istoric_Nativ'!$B$6:$B$405,E356,'Istoric_Nativ'!$C$6:$C$405,F356,'Istoric_Nativ'!$F$6:$F$405,G356,'Istoric_Nativ'!$D$6:$D$405,"&lt;"&amp;J356,'Istoric_Nativ'!$P$6:$P$405,1,'Istoric_Nativ'!$D$6:$D$405,"&gt;="&amp;L356)))/M356)</x:f>
      </x:c>
      <x:c r="O356" s="11" t="str">
        <x:f>IF(M356=0,"",IF(H356="HOME",SUMIFS('Istoric_Nativ'!$H$6:$H$405,'Istoric_Nativ'!$B$6:$B$405,E356,'Istoric_Nativ'!$C$6:$C$405,F356,'Istoric_Nativ'!$E$6:$E$405,G356,'Istoric_Nativ'!$D$6:$D$405,"&lt;"&amp;J356,'Istoric_Nativ'!$P$6:$P$405,1,'Istoric_Nativ'!$D$6:$D$405,"&gt;="&amp;L356),IF(H356="AWAY",SUMIFS('Istoric_Nativ'!$G$6:$G$405,'Istoric_Nativ'!$B$6:$B$405,E356,'Istoric_Nativ'!$C$6:$C$405,F356,'Istoric_Nativ'!$F$6:$F$405,G356,'Istoric_Nativ'!$D$6:$D$405,"&lt;"&amp;J356,'Istoric_Nativ'!$P$6:$P$405,1,'Istoric_Nativ'!$D$6:$D$405,"&gt;="&amp;L356),SUMIFS('Istoric_Nativ'!$H$6:$H$405,'Istoric_Nativ'!$B$6:$B$405,E356,'Istoric_Nativ'!$C$6:$C$405,F356,'Istoric_Nativ'!$E$6:$E$405,G356,'Istoric_Nativ'!$D$6:$D$405,"&lt;"&amp;J356,'Istoric_Nativ'!$P$6:$P$405,1,'Istoric_Nativ'!$D$6:$D$405,"&gt;="&amp;L356)+SUMIFS('Istoric_Nativ'!$G$6:$G$405,'Istoric_Nativ'!$B$6:$B$405,E356,'Istoric_Nativ'!$C$6:$C$405,F356,'Istoric_Nativ'!$F$6:$F$405,G356,'Istoric_Nativ'!$D$6:$D$405,"&lt;"&amp;J356,'Istoric_Nativ'!$P$6:$P$405,1,'Istoric_Nativ'!$D$6:$D$405,"&gt;="&amp;L356)))/M356)</x:f>
      </x:c>
      <x:c r="P356" s="2" t="n">
        <x:f>'Config_v6'!$B$9</x:f>
        <x:v>3</x:v>
      </x:c>
      <x:c r="Q356" s="2" t="n">
        <x:f>IF(OR(B356="",F356=""),0,IFERROR(MATCH(E356&amp;"|"&amp;F356,SourceTable[Source_Key],0),0))</x:f>
        <x:v>0</x:v>
      </x:c>
      <x:c r="R356" s="2" t="str">
        <x:f>IF(B356="","",IF(F356="","UNUSED",IF(Q356=0,"NOT CHECKED",IF(COUNTIF(SourceTable[Source_Key],E356&amp;"|"&amp;F356)&lt;&gt;1,"SOURCE CONFLICT",IF(NOT(OR(INDEX(SourceTable[Status],MAX(1,Q356))="IMPORTED",INDEX(SourceTable[Status],MAX(1,Q356))="PARTIAL",INDEX(SourceTable[Status],MAX(1,Q356))="SOURCE CONFLICT")),"ACCESS BLOCKED",IF(OR(INDEX(SourceTable[Coverage],Q356)&lt;&gt;"FULL SEASON EXPORT",INDEX(SourceTable[URL],Q356)="",INDEX(SourceTable[SHA256],Q356)=""),"EVIDENCE INCOMPLETE",IF(AND('Input_Meci'!H35="LIVE",INDEX(SourceTable[Retrieved_UTC],Q356)&gt;'Input_Meci'!G35),"POST CUTOFF","CLOSED")))))))</x:f>
      </x:c>
      <x:c r="S356" s="2" t="n">
        <x:f>IF(OR(B356="",F356=""),0,COUNTIFS('Istoric_Nativ'!$B$6:$B$405,E356,'Istoric_Nativ'!$C$6:$C$405,F356,'Istoric_Nativ'!$E$6:$E$405,G356,'Istoric_Nativ'!$D$6:$D$405,"&lt;"&amp;J356,'Istoric_Nativ'!$O$6:$O$405,"INVALID")+COUNTIFS('Istoric_Nativ'!$B$6:$B$405,E356,'Istoric_Nativ'!$C$6:$C$405,F356,'Istoric_Nativ'!$E$6:$E$405,G356,'Istoric_Nativ'!$O$6:$O$405,"INVALID",'Istoric_Nativ'!$D$6:$D$405,"*")+COUNTIFS('Istoric_Nativ'!$B$6:$B$405,E356,'Istoric_Nativ'!$C$6:$C$405,F356,'Istoric_Nativ'!$E$6:$E$405,G356,'Istoric_Nativ'!$D$6:$D$405,"&lt;"&amp;J356,'Istoric_Nativ'!$O$6:$O$405,"SOURCE CONFLICT")+COUNTIFS('Istoric_Nativ'!$B$6:$B$405,E356,'Istoric_Nativ'!$C$6:$C$405,F356,'Istoric_Nativ'!$F$6:$F$405,G356,'Istoric_Nativ'!$D$6:$D$405,"&lt;"&amp;J356,'Istoric_Nativ'!$O$6:$O$405,"INVALID")+COUNTIFS('Istoric_Nativ'!$B$6:$B$405,E356,'Istoric_Nativ'!$C$6:$C$405,F356,'Istoric_Nativ'!$F$6:$F$405,G356,'Istoric_Nativ'!$O$6:$O$405,"INVALID",'Istoric_Nativ'!$D$6:$D$405,"*")+COUNTIFS('Istoric_Nativ'!$B$6:$B$405,E356,'Istoric_Nativ'!$C$6:$C$405,F356,'Istoric_Nativ'!$F$6:$F$405,G356,'Istoric_Nativ'!$D$6:$D$405,"&lt;"&amp;J356,'Istoric_Nativ'!$O$6:$O$405,"SOURCE CONFLICT"))</x:f>
        <x:v>0</x:v>
      </x:c>
      <x:c r="T356" s="2" t="str">
        <x:f>IF(B356="","",IF(R356&lt;&gt;"CLOSED",R356,IF(S356&gt;0,"NATIVE INPUT ISSUE",IF(M356=0,"NO HISTORY",IF(M356&lt;P356,"SMALL SAMPLE","DERIVED")))))</x:f>
      </x:c>
      <x:c r="U356" s="2" t="str">
        <x:f>IF(B356="","","NativeTable; "&amp;E356&amp;"; "&amp;F356&amp;"; "&amp;G356&amp;"; "&amp;H356&amp;"; before "&amp;TEXT(J356,"yyyy-mm-dd")&amp;IF(I356="RECENT","; from "&amp;TEXT(L356,"yyyy-mm-dd"),""))</x:f>
      </x:c>
    </x:row>
    <x:row r="357" ht="21" customHeight="1">
      <x:c r="A357" s="2" t="n">
        <x:v>30</x:v>
      </x:c>
      <x:c r="B357" s="2" t="str">
        <x:f>IF('Input_Meci'!A35="","",'Input_Meci'!A35)</x:f>
      </x:c>
      <x:c r="C357" s="2" t="str">
        <x:v>A</x:v>
      </x:c>
      <x:c r="D357" s="2" t="str">
        <x:v>CURRENT</x:v>
      </x:c>
      <x:c r="E357" s="2" t="str">
        <x:f>IF(B357="","",'Input_Meci'!B35)</x:f>
      </x:c>
      <x:c r="F357" s="2" t="str">
        <x:f>IF(B357="","",IF('Input_Meci'!C35="","",'Input_Meci'!C35))</x:f>
      </x:c>
      <x:c r="G357" s="2" t="str">
        <x:f>IF(B357="","",'Input_Meci'!E35)</x:f>
      </x:c>
      <x:c r="H357" s="2" t="str">
        <x:v>ANY</x:v>
      </x:c>
      <x:c r="I357" s="2" t="str">
        <x:v>SEASON</x:v>
      </x:c>
      <x:c r="J357" s="9" t="n">
        <x:f>IF(AND(B357&lt;&gt;"",ISNUMBER('Input_Meci'!G35)),INT('Input_Meci'!G35),0)</x:f>
        <x:v>0</x:v>
      </x:c>
      <x:c r="K357" s="2" t="n">
        <x:f>IF(OR(B357="",F357=""),0,IF(H357="HOME",COUNTIFS('Istoric_Nativ'!$B$6:$B$405,E357,'Istoric_Nativ'!$C$6:$C$405,F357,'Istoric_Nativ'!$E$6:$E$405,G357,'Istoric_Nativ'!$D$6:$D$405,"&lt;"&amp;J357,'Istoric_Nativ'!$P$6:$P$405,1),IF(H357="AWAY",COUNTIFS('Istoric_Nativ'!$B$6:$B$405,E357,'Istoric_Nativ'!$C$6:$C$405,F357,'Istoric_Nativ'!$F$6:$F$405,G357,'Istoric_Nativ'!$D$6:$D$405,"&lt;"&amp;J357,'Istoric_Nativ'!$P$6:$P$405,1),COUNTIFS('Istoric_Nativ'!$B$6:$B$405,E357,'Istoric_Nativ'!$C$6:$C$405,F357,'Istoric_Nativ'!$E$6:$E$405,G357,'Istoric_Nativ'!$D$6:$D$405,"&lt;"&amp;J357,'Istoric_Nativ'!$P$6:$P$405,1)+COUNTIFS('Istoric_Nativ'!$B$6:$B$405,E357,'Istoric_Nativ'!$C$6:$C$405,F357,'Istoric_Nativ'!$F$6:$F$405,G357,'Istoric_Nativ'!$D$6:$D$405,"&lt;"&amp;J357,'Istoric_Nativ'!$P$6:$P$405,1))))</x:f>
        <x:v>0</x:v>
      </x:c>
      <x:c r="L357" s="17" t="n">
        <x:f>IF(AND(B357&lt;&gt;"",I357="RECENT",K357&gt;0),LARGE(_xlfn._xlws.FILTER('Istoric_Nativ'!$D$6:$D$405,('Istoric_Nativ'!$B$6:$B$405=E357)*('Istoric_Nativ'!$C$6:$C$405=F357)*('Istoric_Nativ'!$P$6:$P$405=1)*('Istoric_Nativ'!$D$6:$D$405&lt;J357)*((('Istoric_Nativ'!$E$6:$E$405=G357)+('Istoric_Nativ'!$F$6:$F$405=G357))&gt;0)),MIN('Config_v6'!$B$54,K357)),0)</x:f>
        <x:v>0</x:v>
      </x:c>
      <x:c r="M357" s="2" t="n">
        <x:f>IF(OR(B357="",F357=""),0,IF(H357="HOME",COUNTIFS('Istoric_Nativ'!$B$6:$B$405,E357,'Istoric_Nativ'!$C$6:$C$405,F357,'Istoric_Nativ'!$E$6:$E$405,G357,'Istoric_Nativ'!$D$6:$D$405,"&lt;"&amp;J357,'Istoric_Nativ'!$P$6:$P$405,1,'Istoric_Nativ'!$D$6:$D$405,"&gt;="&amp;L357),IF(H357="AWAY",COUNTIFS('Istoric_Nativ'!$B$6:$B$405,E357,'Istoric_Nativ'!$C$6:$C$405,F357,'Istoric_Nativ'!$F$6:$F$405,G357,'Istoric_Nativ'!$D$6:$D$405,"&lt;"&amp;J357,'Istoric_Nativ'!$P$6:$P$405,1,'Istoric_Nativ'!$D$6:$D$405,"&gt;="&amp;L357),COUNTIFS('Istoric_Nativ'!$B$6:$B$405,E357,'Istoric_Nativ'!$C$6:$C$405,F357,'Istoric_Nativ'!$E$6:$E$405,G357,'Istoric_Nativ'!$D$6:$D$405,"&lt;"&amp;J357,'Istoric_Nativ'!$P$6:$P$405,1,'Istoric_Nativ'!$D$6:$D$405,"&gt;="&amp;L357)+COUNTIFS('Istoric_Nativ'!$B$6:$B$405,E357,'Istoric_Nativ'!$C$6:$C$405,F357,'Istoric_Nativ'!$F$6:$F$405,G357,'Istoric_Nativ'!$D$6:$D$405,"&lt;"&amp;J357,'Istoric_Nativ'!$P$6:$P$405,1,'Istoric_Nativ'!$D$6:$D$405,"&gt;="&amp;L357))))</x:f>
        <x:v>0</x:v>
      </x:c>
      <x:c r="N357" s="11" t="str">
        <x:f>IF(M357=0,"",IF(H357="HOME",SUMIFS('Istoric_Nativ'!$G$6:$G$405,'Istoric_Nativ'!$B$6:$B$405,E357,'Istoric_Nativ'!$C$6:$C$405,F357,'Istoric_Nativ'!$E$6:$E$405,G357,'Istoric_Nativ'!$D$6:$D$405,"&lt;"&amp;J357,'Istoric_Nativ'!$P$6:$P$405,1,'Istoric_Nativ'!$D$6:$D$405,"&gt;="&amp;L357),IF(H357="AWAY",SUMIFS('Istoric_Nativ'!$H$6:$H$405,'Istoric_Nativ'!$B$6:$B$405,E357,'Istoric_Nativ'!$C$6:$C$405,F357,'Istoric_Nativ'!$F$6:$F$405,G357,'Istoric_Nativ'!$D$6:$D$405,"&lt;"&amp;J357,'Istoric_Nativ'!$P$6:$P$405,1,'Istoric_Nativ'!$D$6:$D$405,"&gt;="&amp;L357),SUMIFS('Istoric_Nativ'!$G$6:$G$405,'Istoric_Nativ'!$B$6:$B$405,E357,'Istoric_Nativ'!$C$6:$C$405,F357,'Istoric_Nativ'!$E$6:$E$405,G357,'Istoric_Nativ'!$D$6:$D$405,"&lt;"&amp;J357,'Istoric_Nativ'!$P$6:$P$405,1,'Istoric_Nativ'!$D$6:$D$405,"&gt;="&amp;L357)+SUMIFS('Istoric_Nativ'!$H$6:$H$405,'Istoric_Nativ'!$B$6:$B$405,E357,'Istoric_Nativ'!$C$6:$C$405,F357,'Istoric_Nativ'!$F$6:$F$405,G357,'Istoric_Nativ'!$D$6:$D$405,"&lt;"&amp;J357,'Istoric_Nativ'!$P$6:$P$405,1,'Istoric_Nativ'!$D$6:$D$405,"&gt;="&amp;L357)))/M357)</x:f>
      </x:c>
      <x:c r="O357" s="11" t="str">
        <x:f>IF(M357=0,"",IF(H357="HOME",SUMIFS('Istoric_Nativ'!$H$6:$H$405,'Istoric_Nativ'!$B$6:$B$405,E357,'Istoric_Nativ'!$C$6:$C$405,F357,'Istoric_Nativ'!$E$6:$E$405,G357,'Istoric_Nativ'!$D$6:$D$405,"&lt;"&amp;J357,'Istoric_Nativ'!$P$6:$P$405,1,'Istoric_Nativ'!$D$6:$D$405,"&gt;="&amp;L357),IF(H357="AWAY",SUMIFS('Istoric_Nativ'!$G$6:$G$405,'Istoric_Nativ'!$B$6:$B$405,E357,'Istoric_Nativ'!$C$6:$C$405,F357,'Istoric_Nativ'!$F$6:$F$405,G357,'Istoric_Nativ'!$D$6:$D$405,"&lt;"&amp;J357,'Istoric_Nativ'!$P$6:$P$405,1,'Istoric_Nativ'!$D$6:$D$405,"&gt;="&amp;L357),SUMIFS('Istoric_Nativ'!$H$6:$H$405,'Istoric_Nativ'!$B$6:$B$405,E357,'Istoric_Nativ'!$C$6:$C$405,F357,'Istoric_Nativ'!$E$6:$E$405,G357,'Istoric_Nativ'!$D$6:$D$405,"&lt;"&amp;J357,'Istoric_Nativ'!$P$6:$P$405,1,'Istoric_Nativ'!$D$6:$D$405,"&gt;="&amp;L357)+SUMIFS('Istoric_Nativ'!$G$6:$G$405,'Istoric_Nativ'!$B$6:$B$405,E357,'Istoric_Nativ'!$C$6:$C$405,F357,'Istoric_Nativ'!$F$6:$F$405,G357,'Istoric_Nativ'!$D$6:$D$405,"&lt;"&amp;J357,'Istoric_Nativ'!$P$6:$P$405,1,'Istoric_Nativ'!$D$6:$D$405,"&gt;="&amp;L357)))/M357)</x:f>
      </x:c>
      <x:c r="P357" s="2" t="n">
        <x:f>'Config_v6'!$B$7</x:f>
        <x:v>10</x:v>
      </x:c>
      <x:c r="Q357" s="2" t="n">
        <x:f>IF(OR(B357="",F357=""),0,IFERROR(MATCH(E357&amp;"|"&amp;F357,SourceTable[Source_Key],0),0))</x:f>
        <x:v>0</x:v>
      </x:c>
      <x:c r="R357" s="2" t="str">
        <x:f>IF(B357="","",IF(F357="","UNUSED",IF(Q357=0,"NOT CHECKED",IF(COUNTIF(SourceTable[Source_Key],E357&amp;"|"&amp;F357)&lt;&gt;1,"SOURCE CONFLICT",IF(NOT(OR(INDEX(SourceTable[Status],MAX(1,Q357))="IMPORTED",INDEX(SourceTable[Status],MAX(1,Q357))="PARTIAL",INDEX(SourceTable[Status],MAX(1,Q357))="SOURCE CONFLICT")),"ACCESS BLOCKED",IF(OR(INDEX(SourceTable[Coverage],Q357)&lt;&gt;"FULL SEASON EXPORT",INDEX(SourceTable[URL],Q357)="",INDEX(SourceTable[SHA256],Q357)=""),"EVIDENCE INCOMPLETE",IF(AND('Input_Meci'!H35="LIVE",INDEX(SourceTable[Retrieved_UTC],Q357)&gt;'Input_Meci'!G35),"POST CUTOFF","CLOSED")))))))</x:f>
      </x:c>
      <x:c r="S357" s="2" t="n">
        <x:f>IF(OR(B357="",F357=""),0,COUNTIFS('Istoric_Nativ'!$B$6:$B$405,E357,'Istoric_Nativ'!$C$6:$C$405,F357,'Istoric_Nativ'!$E$6:$E$405,G357,'Istoric_Nativ'!$D$6:$D$405,"&lt;"&amp;J357,'Istoric_Nativ'!$O$6:$O$405,"INVALID")+COUNTIFS('Istoric_Nativ'!$B$6:$B$405,E357,'Istoric_Nativ'!$C$6:$C$405,F357,'Istoric_Nativ'!$E$6:$E$405,G357,'Istoric_Nativ'!$O$6:$O$405,"INVALID",'Istoric_Nativ'!$D$6:$D$405,"*")+COUNTIFS('Istoric_Nativ'!$B$6:$B$405,E357,'Istoric_Nativ'!$C$6:$C$405,F357,'Istoric_Nativ'!$E$6:$E$405,G357,'Istoric_Nativ'!$D$6:$D$405,"&lt;"&amp;J357,'Istoric_Nativ'!$O$6:$O$405,"SOURCE CONFLICT")+COUNTIFS('Istoric_Nativ'!$B$6:$B$405,E357,'Istoric_Nativ'!$C$6:$C$405,F357,'Istoric_Nativ'!$F$6:$F$405,G357,'Istoric_Nativ'!$D$6:$D$405,"&lt;"&amp;J357,'Istoric_Nativ'!$O$6:$O$405,"INVALID")+COUNTIFS('Istoric_Nativ'!$B$6:$B$405,E357,'Istoric_Nativ'!$C$6:$C$405,F357,'Istoric_Nativ'!$F$6:$F$405,G357,'Istoric_Nativ'!$O$6:$O$405,"INVALID",'Istoric_Nativ'!$D$6:$D$405,"*")+COUNTIFS('Istoric_Nativ'!$B$6:$B$405,E357,'Istoric_Nativ'!$C$6:$C$405,F357,'Istoric_Nativ'!$F$6:$F$405,G357,'Istoric_Nativ'!$D$6:$D$405,"&lt;"&amp;J357,'Istoric_Nativ'!$O$6:$O$405,"SOURCE CONFLICT"))</x:f>
        <x:v>0</x:v>
      </x:c>
      <x:c r="T357" s="2" t="str">
        <x:f>IF(B357="","",IF(R357&lt;&gt;"CLOSED",R357,IF(S357&gt;0,"NATIVE INPUT ISSUE",IF(M357=0,"NO HISTORY",IF(M357&lt;P357,"SMALL SAMPLE","DERIVED")))))</x:f>
      </x:c>
      <x:c r="U357" s="2" t="str">
        <x:f>IF(B357="","","NativeTable; "&amp;E357&amp;"; "&amp;F357&amp;"; "&amp;G357&amp;"; "&amp;H357&amp;"; before "&amp;TEXT(J357,"yyyy-mm-dd")&amp;IF(I357="RECENT","; from "&amp;TEXT(L357,"yyyy-mm-dd"),""))</x:f>
      </x:c>
    </x:row>
    <x:row r="358" ht="21" customHeight="1">
      <x:c r="A358" s="2" t="n">
        <x:v>30</x:v>
      </x:c>
      <x:c r="B358" s="2" t="str">
        <x:f>IF('Input_Meci'!A35="","",'Input_Meci'!A35)</x:f>
      </x:c>
      <x:c r="C358" s="2" t="str">
        <x:v>A</x:v>
      </x:c>
      <x:c r="D358" s="2" t="str">
        <x:v>CURRENT</x:v>
      </x:c>
      <x:c r="E358" s="2" t="str">
        <x:f>IF(B358="","",'Input_Meci'!B35)</x:f>
      </x:c>
      <x:c r="F358" s="2" t="str">
        <x:f>IF(B358="","",IF('Input_Meci'!C35="","",'Input_Meci'!C35))</x:f>
      </x:c>
      <x:c r="G358" s="2" t="str">
        <x:f>IF(B358="","",'Input_Meci'!E35)</x:f>
      </x:c>
      <x:c r="H358" s="2" t="str">
        <x:v>AWAY</x:v>
      </x:c>
      <x:c r="I358" s="2" t="str">
        <x:v>HA</x:v>
      </x:c>
      <x:c r="J358" s="9" t="n">
        <x:f>IF(AND(B358&lt;&gt;"",ISNUMBER('Input_Meci'!G35)),INT('Input_Meci'!G35),0)</x:f>
        <x:v>0</x:v>
      </x:c>
      <x:c r="K358" s="2" t="n">
        <x:f>IF(OR(B358="",F358=""),0,IF(H358="HOME",COUNTIFS('Istoric_Nativ'!$B$6:$B$405,E358,'Istoric_Nativ'!$C$6:$C$405,F358,'Istoric_Nativ'!$E$6:$E$405,G358,'Istoric_Nativ'!$D$6:$D$405,"&lt;"&amp;J358,'Istoric_Nativ'!$P$6:$P$405,1),IF(H358="AWAY",COUNTIFS('Istoric_Nativ'!$B$6:$B$405,E358,'Istoric_Nativ'!$C$6:$C$405,F358,'Istoric_Nativ'!$F$6:$F$405,G358,'Istoric_Nativ'!$D$6:$D$405,"&lt;"&amp;J358,'Istoric_Nativ'!$P$6:$P$405,1),COUNTIFS('Istoric_Nativ'!$B$6:$B$405,E358,'Istoric_Nativ'!$C$6:$C$405,F358,'Istoric_Nativ'!$E$6:$E$405,G358,'Istoric_Nativ'!$D$6:$D$405,"&lt;"&amp;J358,'Istoric_Nativ'!$P$6:$P$405,1)+COUNTIFS('Istoric_Nativ'!$B$6:$B$405,E358,'Istoric_Nativ'!$C$6:$C$405,F358,'Istoric_Nativ'!$F$6:$F$405,G358,'Istoric_Nativ'!$D$6:$D$405,"&lt;"&amp;J358,'Istoric_Nativ'!$P$6:$P$405,1))))</x:f>
        <x:v>0</x:v>
      </x:c>
      <x:c r="L358" s="17" t="n">
        <x:f>IF(AND(B358&lt;&gt;"",I358="RECENT",K358&gt;0),LARGE(_xlfn._xlws.FILTER('Istoric_Nativ'!$D$6:$D$405,('Istoric_Nativ'!$B$6:$B$405=E358)*('Istoric_Nativ'!$C$6:$C$405=F358)*('Istoric_Nativ'!$P$6:$P$405=1)*('Istoric_Nativ'!$D$6:$D$405&lt;J358)*((('Istoric_Nativ'!$E$6:$E$405=G358)+('Istoric_Nativ'!$F$6:$F$405=G358))&gt;0)),MIN('Config_v6'!$B$54,K358)),0)</x:f>
        <x:v>0</x:v>
      </x:c>
      <x:c r="M358" s="2" t="n">
        <x:f>IF(OR(B358="",F358=""),0,IF(H358="HOME",COUNTIFS('Istoric_Nativ'!$B$6:$B$405,E358,'Istoric_Nativ'!$C$6:$C$405,F358,'Istoric_Nativ'!$E$6:$E$405,G358,'Istoric_Nativ'!$D$6:$D$405,"&lt;"&amp;J358,'Istoric_Nativ'!$P$6:$P$405,1,'Istoric_Nativ'!$D$6:$D$405,"&gt;="&amp;L358),IF(H358="AWAY",COUNTIFS('Istoric_Nativ'!$B$6:$B$405,E358,'Istoric_Nativ'!$C$6:$C$405,F358,'Istoric_Nativ'!$F$6:$F$405,G358,'Istoric_Nativ'!$D$6:$D$405,"&lt;"&amp;J358,'Istoric_Nativ'!$P$6:$P$405,1,'Istoric_Nativ'!$D$6:$D$405,"&gt;="&amp;L358),COUNTIFS('Istoric_Nativ'!$B$6:$B$405,E358,'Istoric_Nativ'!$C$6:$C$405,F358,'Istoric_Nativ'!$E$6:$E$405,G358,'Istoric_Nativ'!$D$6:$D$405,"&lt;"&amp;J358,'Istoric_Nativ'!$P$6:$P$405,1,'Istoric_Nativ'!$D$6:$D$405,"&gt;="&amp;L358)+COUNTIFS('Istoric_Nativ'!$B$6:$B$405,E358,'Istoric_Nativ'!$C$6:$C$405,F358,'Istoric_Nativ'!$F$6:$F$405,G358,'Istoric_Nativ'!$D$6:$D$405,"&lt;"&amp;J358,'Istoric_Nativ'!$P$6:$P$405,1,'Istoric_Nativ'!$D$6:$D$405,"&gt;="&amp;L358))))</x:f>
        <x:v>0</x:v>
      </x:c>
      <x:c r="N358" s="11" t="str">
        <x:f>IF(M358=0,"",IF(H358="HOME",SUMIFS('Istoric_Nativ'!$G$6:$G$405,'Istoric_Nativ'!$B$6:$B$405,E358,'Istoric_Nativ'!$C$6:$C$405,F358,'Istoric_Nativ'!$E$6:$E$405,G358,'Istoric_Nativ'!$D$6:$D$405,"&lt;"&amp;J358,'Istoric_Nativ'!$P$6:$P$405,1,'Istoric_Nativ'!$D$6:$D$405,"&gt;="&amp;L358),IF(H358="AWAY",SUMIFS('Istoric_Nativ'!$H$6:$H$405,'Istoric_Nativ'!$B$6:$B$405,E358,'Istoric_Nativ'!$C$6:$C$405,F358,'Istoric_Nativ'!$F$6:$F$405,G358,'Istoric_Nativ'!$D$6:$D$405,"&lt;"&amp;J358,'Istoric_Nativ'!$P$6:$P$405,1,'Istoric_Nativ'!$D$6:$D$405,"&gt;="&amp;L358),SUMIFS('Istoric_Nativ'!$G$6:$G$405,'Istoric_Nativ'!$B$6:$B$405,E358,'Istoric_Nativ'!$C$6:$C$405,F358,'Istoric_Nativ'!$E$6:$E$405,G358,'Istoric_Nativ'!$D$6:$D$405,"&lt;"&amp;J358,'Istoric_Nativ'!$P$6:$P$405,1,'Istoric_Nativ'!$D$6:$D$405,"&gt;="&amp;L358)+SUMIFS('Istoric_Nativ'!$H$6:$H$405,'Istoric_Nativ'!$B$6:$B$405,E358,'Istoric_Nativ'!$C$6:$C$405,F358,'Istoric_Nativ'!$F$6:$F$405,G358,'Istoric_Nativ'!$D$6:$D$405,"&lt;"&amp;J358,'Istoric_Nativ'!$P$6:$P$405,1,'Istoric_Nativ'!$D$6:$D$405,"&gt;="&amp;L358)))/M358)</x:f>
      </x:c>
      <x:c r="O358" s="11" t="str">
        <x:f>IF(M358=0,"",IF(H358="HOME",SUMIFS('Istoric_Nativ'!$H$6:$H$405,'Istoric_Nativ'!$B$6:$B$405,E358,'Istoric_Nativ'!$C$6:$C$405,F358,'Istoric_Nativ'!$E$6:$E$405,G358,'Istoric_Nativ'!$D$6:$D$405,"&lt;"&amp;J358,'Istoric_Nativ'!$P$6:$P$405,1,'Istoric_Nativ'!$D$6:$D$405,"&gt;="&amp;L358),IF(H358="AWAY",SUMIFS('Istoric_Nativ'!$G$6:$G$405,'Istoric_Nativ'!$B$6:$B$405,E358,'Istoric_Nativ'!$C$6:$C$405,F358,'Istoric_Nativ'!$F$6:$F$405,G358,'Istoric_Nativ'!$D$6:$D$405,"&lt;"&amp;J358,'Istoric_Nativ'!$P$6:$P$405,1,'Istoric_Nativ'!$D$6:$D$405,"&gt;="&amp;L358),SUMIFS('Istoric_Nativ'!$H$6:$H$405,'Istoric_Nativ'!$B$6:$B$405,E358,'Istoric_Nativ'!$C$6:$C$405,F358,'Istoric_Nativ'!$E$6:$E$405,G358,'Istoric_Nativ'!$D$6:$D$405,"&lt;"&amp;J358,'Istoric_Nativ'!$P$6:$P$405,1,'Istoric_Nativ'!$D$6:$D$405,"&gt;="&amp;L358)+SUMIFS('Istoric_Nativ'!$G$6:$G$405,'Istoric_Nativ'!$B$6:$B$405,E358,'Istoric_Nativ'!$C$6:$C$405,F358,'Istoric_Nativ'!$F$6:$F$405,G358,'Istoric_Nativ'!$D$6:$D$405,"&lt;"&amp;J358,'Istoric_Nativ'!$P$6:$P$405,1,'Istoric_Nativ'!$D$6:$D$405,"&gt;="&amp;L358)))/M358)</x:f>
      </x:c>
      <x:c r="P358" s="2" t="n">
        <x:f>'Config_v6'!$B$8</x:f>
        <x:v>5</x:v>
      </x:c>
      <x:c r="Q358" s="2" t="n">
        <x:f>IF(OR(B358="",F358=""),0,IFERROR(MATCH(E358&amp;"|"&amp;F358,SourceTable[Source_Key],0),0))</x:f>
        <x:v>0</x:v>
      </x:c>
      <x:c r="R358" s="2" t="str">
        <x:f>IF(B358="","",IF(F358="","UNUSED",IF(Q358=0,"NOT CHECKED",IF(COUNTIF(SourceTable[Source_Key],E358&amp;"|"&amp;F358)&lt;&gt;1,"SOURCE CONFLICT",IF(NOT(OR(INDEX(SourceTable[Status],MAX(1,Q358))="IMPORTED",INDEX(SourceTable[Status],MAX(1,Q358))="PARTIAL",INDEX(SourceTable[Status],MAX(1,Q358))="SOURCE CONFLICT")),"ACCESS BLOCKED",IF(OR(INDEX(SourceTable[Coverage],Q358)&lt;&gt;"FULL SEASON EXPORT",INDEX(SourceTable[URL],Q358)="",INDEX(SourceTable[SHA256],Q358)=""),"EVIDENCE INCOMPLETE",IF(AND('Input_Meci'!H35="LIVE",INDEX(SourceTable[Retrieved_UTC],Q358)&gt;'Input_Meci'!G35),"POST CUTOFF","CLOSED")))))))</x:f>
      </x:c>
      <x:c r="S358" s="2" t="n">
        <x:f>IF(OR(B358="",F358=""),0,COUNTIFS('Istoric_Nativ'!$B$6:$B$405,E358,'Istoric_Nativ'!$C$6:$C$405,F358,'Istoric_Nativ'!$E$6:$E$405,G358,'Istoric_Nativ'!$D$6:$D$405,"&lt;"&amp;J358,'Istoric_Nativ'!$O$6:$O$405,"INVALID")+COUNTIFS('Istoric_Nativ'!$B$6:$B$405,E358,'Istoric_Nativ'!$C$6:$C$405,F358,'Istoric_Nativ'!$E$6:$E$405,G358,'Istoric_Nativ'!$O$6:$O$405,"INVALID",'Istoric_Nativ'!$D$6:$D$405,"*")+COUNTIFS('Istoric_Nativ'!$B$6:$B$405,E358,'Istoric_Nativ'!$C$6:$C$405,F358,'Istoric_Nativ'!$E$6:$E$405,G358,'Istoric_Nativ'!$D$6:$D$405,"&lt;"&amp;J358,'Istoric_Nativ'!$O$6:$O$405,"SOURCE CONFLICT")+COUNTIFS('Istoric_Nativ'!$B$6:$B$405,E358,'Istoric_Nativ'!$C$6:$C$405,F358,'Istoric_Nativ'!$F$6:$F$405,G358,'Istoric_Nativ'!$D$6:$D$405,"&lt;"&amp;J358,'Istoric_Nativ'!$O$6:$O$405,"INVALID")+COUNTIFS('Istoric_Nativ'!$B$6:$B$405,E358,'Istoric_Nativ'!$C$6:$C$405,F358,'Istoric_Nativ'!$F$6:$F$405,G358,'Istoric_Nativ'!$O$6:$O$405,"INVALID",'Istoric_Nativ'!$D$6:$D$405,"*")+COUNTIFS('Istoric_Nativ'!$B$6:$B$405,E358,'Istoric_Nativ'!$C$6:$C$405,F358,'Istoric_Nativ'!$F$6:$F$405,G358,'Istoric_Nativ'!$D$6:$D$405,"&lt;"&amp;J358,'Istoric_Nativ'!$O$6:$O$405,"SOURCE CONFLICT"))</x:f>
        <x:v>0</x:v>
      </x:c>
      <x:c r="T358" s="2" t="str">
        <x:f>IF(B358="","",IF(R358&lt;&gt;"CLOSED",R358,IF(S358&gt;0,"NATIVE INPUT ISSUE",IF(M358=0,"NO HISTORY",IF(M358&lt;P358,"SMALL SAMPLE","DERIVED")))))</x:f>
      </x:c>
      <x:c r="U358" s="2" t="str">
        <x:f>IF(B358="","","NativeTable; "&amp;E358&amp;"; "&amp;F358&amp;"; "&amp;G358&amp;"; "&amp;H358&amp;"; before "&amp;TEXT(J358,"yyyy-mm-dd")&amp;IF(I358="RECENT","; from "&amp;TEXT(L358,"yyyy-mm-dd"),""))</x:f>
      </x:c>
    </x:row>
    <x:row r="359" ht="21" customHeight="1">
      <x:c r="A359" s="2" t="n">
        <x:v>30</x:v>
      </x:c>
      <x:c r="B359" s="2" t="str">
        <x:f>IF('Input_Meci'!A35="","",'Input_Meci'!A35)</x:f>
      </x:c>
      <x:c r="C359" s="2" t="str">
        <x:v>A</x:v>
      </x:c>
      <x:c r="D359" s="2" t="str">
        <x:v>CURRENT</x:v>
      </x:c>
      <x:c r="E359" s="2" t="str">
        <x:f>IF(B359="","",'Input_Meci'!B35)</x:f>
      </x:c>
      <x:c r="F359" s="2" t="str">
        <x:f>IF(B359="","",IF('Input_Meci'!C35="","",'Input_Meci'!C35))</x:f>
      </x:c>
      <x:c r="G359" s="2" t="str">
        <x:f>IF(B359="","",'Input_Meci'!E35)</x:f>
      </x:c>
      <x:c r="H359" s="2" t="str">
        <x:v>ANY</x:v>
      </x:c>
      <x:c r="I359" s="2" t="str">
        <x:v>RECENT</x:v>
      </x:c>
      <x:c r="J359" s="9" t="n">
        <x:f>IF(AND(B359&lt;&gt;"",ISNUMBER('Input_Meci'!G35)),INT('Input_Meci'!G35),0)</x:f>
        <x:v>0</x:v>
      </x:c>
      <x:c r="K359" s="2" t="n">
        <x:f>IF(OR(B359="",F359=""),0,IF(H359="HOME",COUNTIFS('Istoric_Nativ'!$B$6:$B$405,E359,'Istoric_Nativ'!$C$6:$C$405,F359,'Istoric_Nativ'!$E$6:$E$405,G359,'Istoric_Nativ'!$D$6:$D$405,"&lt;"&amp;J359,'Istoric_Nativ'!$P$6:$P$405,1),IF(H359="AWAY",COUNTIFS('Istoric_Nativ'!$B$6:$B$405,E359,'Istoric_Nativ'!$C$6:$C$405,F359,'Istoric_Nativ'!$F$6:$F$405,G359,'Istoric_Nativ'!$D$6:$D$405,"&lt;"&amp;J359,'Istoric_Nativ'!$P$6:$P$405,1),COUNTIFS('Istoric_Nativ'!$B$6:$B$405,E359,'Istoric_Nativ'!$C$6:$C$405,F359,'Istoric_Nativ'!$E$6:$E$405,G359,'Istoric_Nativ'!$D$6:$D$405,"&lt;"&amp;J359,'Istoric_Nativ'!$P$6:$P$405,1)+COUNTIFS('Istoric_Nativ'!$B$6:$B$405,E359,'Istoric_Nativ'!$C$6:$C$405,F359,'Istoric_Nativ'!$F$6:$F$405,G359,'Istoric_Nativ'!$D$6:$D$405,"&lt;"&amp;J359,'Istoric_Nativ'!$P$6:$P$405,1))))</x:f>
        <x:v>0</x:v>
      </x:c>
      <x:c r="L359" s="17" t="n">
        <x:f>IF(AND(B359&lt;&gt;"",I359="RECENT",K359&gt;0),LARGE(_xlfn._xlws.FILTER('Istoric_Nativ'!$D$6:$D$405,('Istoric_Nativ'!$B$6:$B$405=E359)*('Istoric_Nativ'!$C$6:$C$405=F359)*('Istoric_Nativ'!$P$6:$P$405=1)*('Istoric_Nativ'!$D$6:$D$405&lt;J359)*((('Istoric_Nativ'!$E$6:$E$405=G359)+('Istoric_Nativ'!$F$6:$F$405=G359))&gt;0)),MIN('Config_v6'!$B$54,K359)),0)</x:f>
        <x:v>0</x:v>
      </x:c>
      <x:c r="M359" s="2" t="n">
        <x:f>IF(OR(B359="",F359=""),0,IF(H359="HOME",COUNTIFS('Istoric_Nativ'!$B$6:$B$405,E359,'Istoric_Nativ'!$C$6:$C$405,F359,'Istoric_Nativ'!$E$6:$E$405,G359,'Istoric_Nativ'!$D$6:$D$405,"&lt;"&amp;J359,'Istoric_Nativ'!$P$6:$P$405,1,'Istoric_Nativ'!$D$6:$D$405,"&gt;="&amp;L359),IF(H359="AWAY",COUNTIFS('Istoric_Nativ'!$B$6:$B$405,E359,'Istoric_Nativ'!$C$6:$C$405,F359,'Istoric_Nativ'!$F$6:$F$405,G359,'Istoric_Nativ'!$D$6:$D$405,"&lt;"&amp;J359,'Istoric_Nativ'!$P$6:$P$405,1,'Istoric_Nativ'!$D$6:$D$405,"&gt;="&amp;L359),COUNTIFS('Istoric_Nativ'!$B$6:$B$405,E359,'Istoric_Nativ'!$C$6:$C$405,F359,'Istoric_Nativ'!$E$6:$E$405,G359,'Istoric_Nativ'!$D$6:$D$405,"&lt;"&amp;J359,'Istoric_Nativ'!$P$6:$P$405,1,'Istoric_Nativ'!$D$6:$D$405,"&gt;="&amp;L359)+COUNTIFS('Istoric_Nativ'!$B$6:$B$405,E359,'Istoric_Nativ'!$C$6:$C$405,F359,'Istoric_Nativ'!$F$6:$F$405,G359,'Istoric_Nativ'!$D$6:$D$405,"&lt;"&amp;J359,'Istoric_Nativ'!$P$6:$P$405,1,'Istoric_Nativ'!$D$6:$D$405,"&gt;="&amp;L359))))</x:f>
        <x:v>0</x:v>
      </x:c>
      <x:c r="N359" s="11" t="str">
        <x:f>IF(M359=0,"",IF(H359="HOME",SUMIFS('Istoric_Nativ'!$G$6:$G$405,'Istoric_Nativ'!$B$6:$B$405,E359,'Istoric_Nativ'!$C$6:$C$405,F359,'Istoric_Nativ'!$E$6:$E$405,G359,'Istoric_Nativ'!$D$6:$D$405,"&lt;"&amp;J359,'Istoric_Nativ'!$P$6:$P$405,1,'Istoric_Nativ'!$D$6:$D$405,"&gt;="&amp;L359),IF(H359="AWAY",SUMIFS('Istoric_Nativ'!$H$6:$H$405,'Istoric_Nativ'!$B$6:$B$405,E359,'Istoric_Nativ'!$C$6:$C$405,F359,'Istoric_Nativ'!$F$6:$F$405,G359,'Istoric_Nativ'!$D$6:$D$405,"&lt;"&amp;J359,'Istoric_Nativ'!$P$6:$P$405,1,'Istoric_Nativ'!$D$6:$D$405,"&gt;="&amp;L359),SUMIFS('Istoric_Nativ'!$G$6:$G$405,'Istoric_Nativ'!$B$6:$B$405,E359,'Istoric_Nativ'!$C$6:$C$405,F359,'Istoric_Nativ'!$E$6:$E$405,G359,'Istoric_Nativ'!$D$6:$D$405,"&lt;"&amp;J359,'Istoric_Nativ'!$P$6:$P$405,1,'Istoric_Nativ'!$D$6:$D$405,"&gt;="&amp;L359)+SUMIFS('Istoric_Nativ'!$H$6:$H$405,'Istoric_Nativ'!$B$6:$B$405,E359,'Istoric_Nativ'!$C$6:$C$405,F359,'Istoric_Nativ'!$F$6:$F$405,G359,'Istoric_Nativ'!$D$6:$D$405,"&lt;"&amp;J359,'Istoric_Nativ'!$P$6:$P$405,1,'Istoric_Nativ'!$D$6:$D$405,"&gt;="&amp;L359)))/M359)</x:f>
      </x:c>
      <x:c r="O359" s="11" t="str">
        <x:f>IF(M359=0,"",IF(H359="HOME",SUMIFS('Istoric_Nativ'!$H$6:$H$405,'Istoric_Nativ'!$B$6:$B$405,E359,'Istoric_Nativ'!$C$6:$C$405,F359,'Istoric_Nativ'!$E$6:$E$405,G359,'Istoric_Nativ'!$D$6:$D$405,"&lt;"&amp;J359,'Istoric_Nativ'!$P$6:$P$405,1,'Istoric_Nativ'!$D$6:$D$405,"&gt;="&amp;L359),IF(H359="AWAY",SUMIFS('Istoric_Nativ'!$G$6:$G$405,'Istoric_Nativ'!$B$6:$B$405,E359,'Istoric_Nativ'!$C$6:$C$405,F359,'Istoric_Nativ'!$F$6:$F$405,G359,'Istoric_Nativ'!$D$6:$D$405,"&lt;"&amp;J359,'Istoric_Nativ'!$P$6:$P$405,1,'Istoric_Nativ'!$D$6:$D$405,"&gt;="&amp;L359),SUMIFS('Istoric_Nativ'!$H$6:$H$405,'Istoric_Nativ'!$B$6:$B$405,E359,'Istoric_Nativ'!$C$6:$C$405,F359,'Istoric_Nativ'!$E$6:$E$405,G359,'Istoric_Nativ'!$D$6:$D$405,"&lt;"&amp;J359,'Istoric_Nativ'!$P$6:$P$405,1,'Istoric_Nativ'!$D$6:$D$405,"&gt;="&amp;L359)+SUMIFS('Istoric_Nativ'!$G$6:$G$405,'Istoric_Nativ'!$B$6:$B$405,E359,'Istoric_Nativ'!$C$6:$C$405,F359,'Istoric_Nativ'!$F$6:$F$405,G359,'Istoric_Nativ'!$D$6:$D$405,"&lt;"&amp;J359,'Istoric_Nativ'!$P$6:$P$405,1,'Istoric_Nativ'!$D$6:$D$405,"&gt;="&amp;L359)))/M359)</x:f>
      </x:c>
      <x:c r="P359" s="2" t="n">
        <x:f>'Config_v6'!$B$9</x:f>
        <x:v>3</x:v>
      </x:c>
      <x:c r="Q359" s="2" t="n">
        <x:f>IF(OR(B359="",F359=""),0,IFERROR(MATCH(E359&amp;"|"&amp;F359,SourceTable[Source_Key],0),0))</x:f>
        <x:v>0</x:v>
      </x:c>
      <x:c r="R359" s="2" t="str">
        <x:f>IF(B359="","",IF(F359="","UNUSED",IF(Q359=0,"NOT CHECKED",IF(COUNTIF(SourceTable[Source_Key],E359&amp;"|"&amp;F359)&lt;&gt;1,"SOURCE CONFLICT",IF(NOT(OR(INDEX(SourceTable[Status],MAX(1,Q359))="IMPORTED",INDEX(SourceTable[Status],MAX(1,Q359))="PARTIAL",INDEX(SourceTable[Status],MAX(1,Q359))="SOURCE CONFLICT")),"ACCESS BLOCKED",IF(OR(INDEX(SourceTable[Coverage],Q359)&lt;&gt;"FULL SEASON EXPORT",INDEX(SourceTable[URL],Q359)="",INDEX(SourceTable[SHA256],Q359)=""),"EVIDENCE INCOMPLETE",IF(AND('Input_Meci'!H35="LIVE",INDEX(SourceTable[Retrieved_UTC],Q359)&gt;'Input_Meci'!G35),"POST CUTOFF","CLOSED")))))))</x:f>
      </x:c>
      <x:c r="S359" s="2" t="n">
        <x:f>IF(OR(B359="",F359=""),0,COUNTIFS('Istoric_Nativ'!$B$6:$B$405,E359,'Istoric_Nativ'!$C$6:$C$405,F359,'Istoric_Nativ'!$E$6:$E$405,G359,'Istoric_Nativ'!$D$6:$D$405,"&lt;"&amp;J359,'Istoric_Nativ'!$O$6:$O$405,"INVALID")+COUNTIFS('Istoric_Nativ'!$B$6:$B$405,E359,'Istoric_Nativ'!$C$6:$C$405,F359,'Istoric_Nativ'!$E$6:$E$405,G359,'Istoric_Nativ'!$O$6:$O$405,"INVALID",'Istoric_Nativ'!$D$6:$D$405,"*")+COUNTIFS('Istoric_Nativ'!$B$6:$B$405,E359,'Istoric_Nativ'!$C$6:$C$405,F359,'Istoric_Nativ'!$E$6:$E$405,G359,'Istoric_Nativ'!$D$6:$D$405,"&lt;"&amp;J359,'Istoric_Nativ'!$O$6:$O$405,"SOURCE CONFLICT")+COUNTIFS('Istoric_Nativ'!$B$6:$B$405,E359,'Istoric_Nativ'!$C$6:$C$405,F359,'Istoric_Nativ'!$F$6:$F$405,G359,'Istoric_Nativ'!$D$6:$D$405,"&lt;"&amp;J359,'Istoric_Nativ'!$O$6:$O$405,"INVALID")+COUNTIFS('Istoric_Nativ'!$B$6:$B$405,E359,'Istoric_Nativ'!$C$6:$C$405,F359,'Istoric_Nativ'!$F$6:$F$405,G359,'Istoric_Nativ'!$O$6:$O$405,"INVALID",'Istoric_Nativ'!$D$6:$D$405,"*")+COUNTIFS('Istoric_Nativ'!$B$6:$B$405,E359,'Istoric_Nativ'!$C$6:$C$405,F359,'Istoric_Nativ'!$F$6:$F$405,G359,'Istoric_Nativ'!$D$6:$D$405,"&lt;"&amp;J359,'Istoric_Nativ'!$O$6:$O$405,"SOURCE CONFLICT"))</x:f>
        <x:v>0</x:v>
      </x:c>
      <x:c r="T359" s="2" t="str">
        <x:f>IF(B359="","",IF(R359&lt;&gt;"CLOSED",R359,IF(S359&gt;0,"NATIVE INPUT ISSUE",IF(M359=0,"NO HISTORY",IF(M359&lt;P359,"SMALL SAMPLE","DERIVED")))))</x:f>
      </x:c>
      <x:c r="U359" s="2" t="str">
        <x:f>IF(B359="","","NativeTable; "&amp;E359&amp;"; "&amp;F359&amp;"; "&amp;G359&amp;"; "&amp;H359&amp;"; before "&amp;TEXT(J359,"yyyy-mm-dd")&amp;IF(I359="RECENT","; from "&amp;TEXT(L359,"yyyy-mm-dd"),""))</x:f>
      </x:c>
    </x:row>
    <x:row r="360" ht="21" customHeight="1">
      <x:c r="A360" s="2" t="n">
        <x:v>30</x:v>
      </x:c>
      <x:c r="B360" s="2" t="str">
        <x:f>IF('Input_Meci'!A35="","",'Input_Meci'!A35)</x:f>
      </x:c>
      <x:c r="C360" s="2" t="str">
        <x:v>H</x:v>
      </x:c>
      <x:c r="D360" s="2" t="str">
        <x:v>PRIOR</x:v>
      </x:c>
      <x:c r="E360" s="2" t="str">
        <x:f>IF(B360="","",'Input_Meci'!B35)</x:f>
      </x:c>
      <x:c r="F360" s="2" t="str">
        <x:f>IF(B360="","",IF('Input_Meci'!K35="","",'Input_Meci'!K35))</x:f>
      </x:c>
      <x:c r="G360" s="2" t="str">
        <x:f>IF(B360="","",'Input_Meci'!D35)</x:f>
      </x:c>
      <x:c r="H360" s="2" t="str">
        <x:v>ANY</x:v>
      </x:c>
      <x:c r="I360" s="2" t="str">
        <x:v>SEASON</x:v>
      </x:c>
      <x:c r="J360" s="9" t="n">
        <x:f>IF(AND(B360&lt;&gt;"",ISNUMBER('Input_Meci'!G35)),INT('Input_Meci'!G35),0)</x:f>
        <x:v>0</x:v>
      </x:c>
      <x:c r="K360" s="2" t="n">
        <x:f>IF(OR(B360="",F360=""),0,IF(H360="HOME",COUNTIFS('Istoric_Nativ'!$B$6:$B$405,E360,'Istoric_Nativ'!$C$6:$C$405,F360,'Istoric_Nativ'!$E$6:$E$405,G360,'Istoric_Nativ'!$D$6:$D$405,"&lt;"&amp;J360,'Istoric_Nativ'!$P$6:$P$405,1),IF(H360="AWAY",COUNTIFS('Istoric_Nativ'!$B$6:$B$405,E360,'Istoric_Nativ'!$C$6:$C$405,F360,'Istoric_Nativ'!$F$6:$F$405,G360,'Istoric_Nativ'!$D$6:$D$405,"&lt;"&amp;J360,'Istoric_Nativ'!$P$6:$P$405,1),COUNTIFS('Istoric_Nativ'!$B$6:$B$405,E360,'Istoric_Nativ'!$C$6:$C$405,F360,'Istoric_Nativ'!$E$6:$E$405,G360,'Istoric_Nativ'!$D$6:$D$405,"&lt;"&amp;J360,'Istoric_Nativ'!$P$6:$P$405,1)+COUNTIFS('Istoric_Nativ'!$B$6:$B$405,E360,'Istoric_Nativ'!$C$6:$C$405,F360,'Istoric_Nativ'!$F$6:$F$405,G360,'Istoric_Nativ'!$D$6:$D$405,"&lt;"&amp;J360,'Istoric_Nativ'!$P$6:$P$405,1))))</x:f>
        <x:v>0</x:v>
      </x:c>
      <x:c r="L360" s="17" t="n">
        <x:f>IF(AND(B360&lt;&gt;"",I360="RECENT",K360&gt;0),LARGE(_xlfn._xlws.FILTER('Istoric_Nativ'!$D$6:$D$405,('Istoric_Nativ'!$B$6:$B$405=E360)*('Istoric_Nativ'!$C$6:$C$405=F360)*('Istoric_Nativ'!$P$6:$P$405=1)*('Istoric_Nativ'!$D$6:$D$405&lt;J360)*((('Istoric_Nativ'!$E$6:$E$405=G360)+('Istoric_Nativ'!$F$6:$F$405=G360))&gt;0)),MIN('Config_v6'!$B$54,K360)),0)</x:f>
        <x:v>0</x:v>
      </x:c>
      <x:c r="M360" s="2" t="n">
        <x:f>IF(OR(B360="",F360=""),0,IF(H360="HOME",COUNTIFS('Istoric_Nativ'!$B$6:$B$405,E360,'Istoric_Nativ'!$C$6:$C$405,F360,'Istoric_Nativ'!$E$6:$E$405,G360,'Istoric_Nativ'!$D$6:$D$405,"&lt;"&amp;J360,'Istoric_Nativ'!$P$6:$P$405,1,'Istoric_Nativ'!$D$6:$D$405,"&gt;="&amp;L360),IF(H360="AWAY",COUNTIFS('Istoric_Nativ'!$B$6:$B$405,E360,'Istoric_Nativ'!$C$6:$C$405,F360,'Istoric_Nativ'!$F$6:$F$405,G360,'Istoric_Nativ'!$D$6:$D$405,"&lt;"&amp;J360,'Istoric_Nativ'!$P$6:$P$405,1,'Istoric_Nativ'!$D$6:$D$405,"&gt;="&amp;L360),COUNTIFS('Istoric_Nativ'!$B$6:$B$405,E360,'Istoric_Nativ'!$C$6:$C$405,F360,'Istoric_Nativ'!$E$6:$E$405,G360,'Istoric_Nativ'!$D$6:$D$405,"&lt;"&amp;J360,'Istoric_Nativ'!$P$6:$P$405,1,'Istoric_Nativ'!$D$6:$D$405,"&gt;="&amp;L360)+COUNTIFS('Istoric_Nativ'!$B$6:$B$405,E360,'Istoric_Nativ'!$C$6:$C$405,F360,'Istoric_Nativ'!$F$6:$F$405,G360,'Istoric_Nativ'!$D$6:$D$405,"&lt;"&amp;J360,'Istoric_Nativ'!$P$6:$P$405,1,'Istoric_Nativ'!$D$6:$D$405,"&gt;="&amp;L360))))</x:f>
        <x:v>0</x:v>
      </x:c>
      <x:c r="N360" s="11" t="str">
        <x:f>IF(M360=0,"",IF(H360="HOME",SUMIFS('Istoric_Nativ'!$G$6:$G$405,'Istoric_Nativ'!$B$6:$B$405,E360,'Istoric_Nativ'!$C$6:$C$405,F360,'Istoric_Nativ'!$E$6:$E$405,G360,'Istoric_Nativ'!$D$6:$D$405,"&lt;"&amp;J360,'Istoric_Nativ'!$P$6:$P$405,1,'Istoric_Nativ'!$D$6:$D$405,"&gt;="&amp;L360),IF(H360="AWAY",SUMIFS('Istoric_Nativ'!$H$6:$H$405,'Istoric_Nativ'!$B$6:$B$405,E360,'Istoric_Nativ'!$C$6:$C$405,F360,'Istoric_Nativ'!$F$6:$F$405,G360,'Istoric_Nativ'!$D$6:$D$405,"&lt;"&amp;J360,'Istoric_Nativ'!$P$6:$P$405,1,'Istoric_Nativ'!$D$6:$D$405,"&gt;="&amp;L360),SUMIFS('Istoric_Nativ'!$G$6:$G$405,'Istoric_Nativ'!$B$6:$B$405,E360,'Istoric_Nativ'!$C$6:$C$405,F360,'Istoric_Nativ'!$E$6:$E$405,G360,'Istoric_Nativ'!$D$6:$D$405,"&lt;"&amp;J360,'Istoric_Nativ'!$P$6:$P$405,1,'Istoric_Nativ'!$D$6:$D$405,"&gt;="&amp;L360)+SUMIFS('Istoric_Nativ'!$H$6:$H$405,'Istoric_Nativ'!$B$6:$B$405,E360,'Istoric_Nativ'!$C$6:$C$405,F360,'Istoric_Nativ'!$F$6:$F$405,G360,'Istoric_Nativ'!$D$6:$D$405,"&lt;"&amp;J360,'Istoric_Nativ'!$P$6:$P$405,1,'Istoric_Nativ'!$D$6:$D$405,"&gt;="&amp;L360)))/M360)</x:f>
      </x:c>
      <x:c r="O360" s="11" t="str">
        <x:f>IF(M360=0,"",IF(H360="HOME",SUMIFS('Istoric_Nativ'!$H$6:$H$405,'Istoric_Nativ'!$B$6:$B$405,E360,'Istoric_Nativ'!$C$6:$C$405,F360,'Istoric_Nativ'!$E$6:$E$405,G360,'Istoric_Nativ'!$D$6:$D$405,"&lt;"&amp;J360,'Istoric_Nativ'!$P$6:$P$405,1,'Istoric_Nativ'!$D$6:$D$405,"&gt;="&amp;L360),IF(H360="AWAY",SUMIFS('Istoric_Nativ'!$G$6:$G$405,'Istoric_Nativ'!$B$6:$B$405,E360,'Istoric_Nativ'!$C$6:$C$405,F360,'Istoric_Nativ'!$F$6:$F$405,G360,'Istoric_Nativ'!$D$6:$D$405,"&lt;"&amp;J360,'Istoric_Nativ'!$P$6:$P$405,1,'Istoric_Nativ'!$D$6:$D$405,"&gt;="&amp;L360),SUMIFS('Istoric_Nativ'!$H$6:$H$405,'Istoric_Nativ'!$B$6:$B$405,E360,'Istoric_Nativ'!$C$6:$C$405,F360,'Istoric_Nativ'!$E$6:$E$405,G360,'Istoric_Nativ'!$D$6:$D$405,"&lt;"&amp;J360,'Istoric_Nativ'!$P$6:$P$405,1,'Istoric_Nativ'!$D$6:$D$405,"&gt;="&amp;L360)+SUMIFS('Istoric_Nativ'!$G$6:$G$405,'Istoric_Nativ'!$B$6:$B$405,E360,'Istoric_Nativ'!$C$6:$C$405,F360,'Istoric_Nativ'!$F$6:$F$405,G360,'Istoric_Nativ'!$D$6:$D$405,"&lt;"&amp;J360,'Istoric_Nativ'!$P$6:$P$405,1,'Istoric_Nativ'!$D$6:$D$405,"&gt;="&amp;L360)))/M360)</x:f>
      </x:c>
      <x:c r="P360" s="2" t="n">
        <x:f>'Config_v6'!$B$7</x:f>
        <x:v>10</x:v>
      </x:c>
      <x:c r="Q360" s="2" t="n">
        <x:f>IF(OR(B360="",F360=""),0,IFERROR(MATCH(E360&amp;"|"&amp;F360,SourceTable[Source_Key],0),0))</x:f>
        <x:v>0</x:v>
      </x:c>
      <x:c r="R360" s="2" t="str">
        <x:f>IF(B360="","",IF(F360="","UNUSED",IF(Q360=0,"NOT CHECKED",IF(COUNTIF(SourceTable[Source_Key],E360&amp;"|"&amp;F360)&lt;&gt;1,"SOURCE CONFLICT",IF(NOT(OR(INDEX(SourceTable[Status],MAX(1,Q360))="IMPORTED",INDEX(SourceTable[Status],MAX(1,Q360))="PARTIAL",INDEX(SourceTable[Status],MAX(1,Q360))="SOURCE CONFLICT")),"ACCESS BLOCKED",IF(OR(INDEX(SourceTable[Coverage],Q360)&lt;&gt;"FULL SEASON EXPORT",INDEX(SourceTable[URL],Q360)="",INDEX(SourceTable[SHA256],Q360)=""),"EVIDENCE INCOMPLETE",IF(AND('Input_Meci'!H35="LIVE",INDEX(SourceTable[Retrieved_UTC],Q360)&gt;'Input_Meci'!G35),"POST CUTOFF","CLOSED")))))))</x:f>
      </x:c>
      <x:c r="S360" s="2" t="n">
        <x:f>IF(OR(B360="",F360=""),0,COUNTIFS('Istoric_Nativ'!$B$6:$B$405,E360,'Istoric_Nativ'!$C$6:$C$405,F360,'Istoric_Nativ'!$E$6:$E$405,G360,'Istoric_Nativ'!$D$6:$D$405,"&lt;"&amp;J360,'Istoric_Nativ'!$O$6:$O$405,"INVALID")+COUNTIFS('Istoric_Nativ'!$B$6:$B$405,E360,'Istoric_Nativ'!$C$6:$C$405,F360,'Istoric_Nativ'!$E$6:$E$405,G360,'Istoric_Nativ'!$O$6:$O$405,"INVALID",'Istoric_Nativ'!$D$6:$D$405,"*")+COUNTIFS('Istoric_Nativ'!$B$6:$B$405,E360,'Istoric_Nativ'!$C$6:$C$405,F360,'Istoric_Nativ'!$E$6:$E$405,G360,'Istoric_Nativ'!$D$6:$D$405,"&lt;"&amp;J360,'Istoric_Nativ'!$O$6:$O$405,"SOURCE CONFLICT")+COUNTIFS('Istoric_Nativ'!$B$6:$B$405,E360,'Istoric_Nativ'!$C$6:$C$405,F360,'Istoric_Nativ'!$F$6:$F$405,G360,'Istoric_Nativ'!$D$6:$D$405,"&lt;"&amp;J360,'Istoric_Nativ'!$O$6:$O$405,"INVALID")+COUNTIFS('Istoric_Nativ'!$B$6:$B$405,E360,'Istoric_Nativ'!$C$6:$C$405,F360,'Istoric_Nativ'!$F$6:$F$405,G360,'Istoric_Nativ'!$O$6:$O$405,"INVALID",'Istoric_Nativ'!$D$6:$D$405,"*")+COUNTIFS('Istoric_Nativ'!$B$6:$B$405,E360,'Istoric_Nativ'!$C$6:$C$405,F360,'Istoric_Nativ'!$F$6:$F$405,G360,'Istoric_Nativ'!$D$6:$D$405,"&lt;"&amp;J360,'Istoric_Nativ'!$O$6:$O$405,"SOURCE CONFLICT"))</x:f>
        <x:v>0</x:v>
      </x:c>
      <x:c r="T360" s="2" t="str">
        <x:f>IF(B360="","",IF(R360&lt;&gt;"CLOSED",R360,IF(S360&gt;0,"NATIVE INPUT ISSUE",IF(M360=0,"NO HISTORY",IF(M360&lt;P360,"SMALL SAMPLE","DERIVED")))))</x:f>
      </x:c>
      <x:c r="U360" s="2" t="str">
        <x:f>IF(B360="","","NativeTable; "&amp;E360&amp;"; "&amp;F360&amp;"; "&amp;G360&amp;"; "&amp;H360&amp;"; before "&amp;TEXT(J360,"yyyy-mm-dd")&amp;IF(I360="RECENT","; from "&amp;TEXT(L360,"yyyy-mm-dd"),""))</x:f>
      </x:c>
    </x:row>
    <x:row r="361" ht="21" customHeight="1">
      <x:c r="A361" s="2" t="n">
        <x:v>30</x:v>
      </x:c>
      <x:c r="B361" s="2" t="str">
        <x:f>IF('Input_Meci'!A35="","",'Input_Meci'!A35)</x:f>
      </x:c>
      <x:c r="C361" s="2" t="str">
        <x:v>H</x:v>
      </x:c>
      <x:c r="D361" s="2" t="str">
        <x:v>PRIOR</x:v>
      </x:c>
      <x:c r="E361" s="2" t="str">
        <x:f>IF(B361="","",'Input_Meci'!B35)</x:f>
      </x:c>
      <x:c r="F361" s="2" t="str">
        <x:f>IF(B361="","",IF('Input_Meci'!K35="","",'Input_Meci'!K35))</x:f>
      </x:c>
      <x:c r="G361" s="2" t="str">
        <x:f>IF(B361="","",'Input_Meci'!D35)</x:f>
      </x:c>
      <x:c r="H361" s="2" t="str">
        <x:v>HOME</x:v>
      </x:c>
      <x:c r="I361" s="2" t="str">
        <x:v>HA</x:v>
      </x:c>
      <x:c r="J361" s="9" t="n">
        <x:f>IF(AND(B361&lt;&gt;"",ISNUMBER('Input_Meci'!G35)),INT('Input_Meci'!G35),0)</x:f>
        <x:v>0</x:v>
      </x:c>
      <x:c r="K361" s="2" t="n">
        <x:f>IF(OR(B361="",F361=""),0,IF(H361="HOME",COUNTIFS('Istoric_Nativ'!$B$6:$B$405,E361,'Istoric_Nativ'!$C$6:$C$405,F361,'Istoric_Nativ'!$E$6:$E$405,G361,'Istoric_Nativ'!$D$6:$D$405,"&lt;"&amp;J361,'Istoric_Nativ'!$P$6:$P$405,1),IF(H361="AWAY",COUNTIFS('Istoric_Nativ'!$B$6:$B$405,E361,'Istoric_Nativ'!$C$6:$C$405,F361,'Istoric_Nativ'!$F$6:$F$405,G361,'Istoric_Nativ'!$D$6:$D$405,"&lt;"&amp;J361,'Istoric_Nativ'!$P$6:$P$405,1),COUNTIFS('Istoric_Nativ'!$B$6:$B$405,E361,'Istoric_Nativ'!$C$6:$C$405,F361,'Istoric_Nativ'!$E$6:$E$405,G361,'Istoric_Nativ'!$D$6:$D$405,"&lt;"&amp;J361,'Istoric_Nativ'!$P$6:$P$405,1)+COUNTIFS('Istoric_Nativ'!$B$6:$B$405,E361,'Istoric_Nativ'!$C$6:$C$405,F361,'Istoric_Nativ'!$F$6:$F$405,G361,'Istoric_Nativ'!$D$6:$D$405,"&lt;"&amp;J361,'Istoric_Nativ'!$P$6:$P$405,1))))</x:f>
        <x:v>0</x:v>
      </x:c>
      <x:c r="L361" s="17" t="n">
        <x:f>IF(AND(B361&lt;&gt;"",I361="RECENT",K361&gt;0),LARGE(_xlfn._xlws.FILTER('Istoric_Nativ'!$D$6:$D$405,('Istoric_Nativ'!$B$6:$B$405=E361)*('Istoric_Nativ'!$C$6:$C$405=F361)*('Istoric_Nativ'!$P$6:$P$405=1)*('Istoric_Nativ'!$D$6:$D$405&lt;J361)*((('Istoric_Nativ'!$E$6:$E$405=G361)+('Istoric_Nativ'!$F$6:$F$405=G361))&gt;0)),MIN('Config_v6'!$B$54,K361)),0)</x:f>
        <x:v>0</x:v>
      </x:c>
      <x:c r="M361" s="2" t="n">
        <x:f>IF(OR(B361="",F361=""),0,IF(H361="HOME",COUNTIFS('Istoric_Nativ'!$B$6:$B$405,E361,'Istoric_Nativ'!$C$6:$C$405,F361,'Istoric_Nativ'!$E$6:$E$405,G361,'Istoric_Nativ'!$D$6:$D$405,"&lt;"&amp;J361,'Istoric_Nativ'!$P$6:$P$405,1,'Istoric_Nativ'!$D$6:$D$405,"&gt;="&amp;L361),IF(H361="AWAY",COUNTIFS('Istoric_Nativ'!$B$6:$B$405,E361,'Istoric_Nativ'!$C$6:$C$405,F361,'Istoric_Nativ'!$F$6:$F$405,G361,'Istoric_Nativ'!$D$6:$D$405,"&lt;"&amp;J361,'Istoric_Nativ'!$P$6:$P$405,1,'Istoric_Nativ'!$D$6:$D$405,"&gt;="&amp;L361),COUNTIFS('Istoric_Nativ'!$B$6:$B$405,E361,'Istoric_Nativ'!$C$6:$C$405,F361,'Istoric_Nativ'!$E$6:$E$405,G361,'Istoric_Nativ'!$D$6:$D$405,"&lt;"&amp;J361,'Istoric_Nativ'!$P$6:$P$405,1,'Istoric_Nativ'!$D$6:$D$405,"&gt;="&amp;L361)+COUNTIFS('Istoric_Nativ'!$B$6:$B$405,E361,'Istoric_Nativ'!$C$6:$C$405,F361,'Istoric_Nativ'!$F$6:$F$405,G361,'Istoric_Nativ'!$D$6:$D$405,"&lt;"&amp;J361,'Istoric_Nativ'!$P$6:$P$405,1,'Istoric_Nativ'!$D$6:$D$405,"&gt;="&amp;L361))))</x:f>
        <x:v>0</x:v>
      </x:c>
      <x:c r="N361" s="11" t="str">
        <x:f>IF(M361=0,"",IF(H361="HOME",SUMIFS('Istoric_Nativ'!$G$6:$G$405,'Istoric_Nativ'!$B$6:$B$405,E361,'Istoric_Nativ'!$C$6:$C$405,F361,'Istoric_Nativ'!$E$6:$E$405,G361,'Istoric_Nativ'!$D$6:$D$405,"&lt;"&amp;J361,'Istoric_Nativ'!$P$6:$P$405,1,'Istoric_Nativ'!$D$6:$D$405,"&gt;="&amp;L361),IF(H361="AWAY",SUMIFS('Istoric_Nativ'!$H$6:$H$405,'Istoric_Nativ'!$B$6:$B$405,E361,'Istoric_Nativ'!$C$6:$C$405,F361,'Istoric_Nativ'!$F$6:$F$405,G361,'Istoric_Nativ'!$D$6:$D$405,"&lt;"&amp;J361,'Istoric_Nativ'!$P$6:$P$405,1,'Istoric_Nativ'!$D$6:$D$405,"&gt;="&amp;L361),SUMIFS('Istoric_Nativ'!$G$6:$G$405,'Istoric_Nativ'!$B$6:$B$405,E361,'Istoric_Nativ'!$C$6:$C$405,F361,'Istoric_Nativ'!$E$6:$E$405,G361,'Istoric_Nativ'!$D$6:$D$405,"&lt;"&amp;J361,'Istoric_Nativ'!$P$6:$P$405,1,'Istoric_Nativ'!$D$6:$D$405,"&gt;="&amp;L361)+SUMIFS('Istoric_Nativ'!$H$6:$H$405,'Istoric_Nativ'!$B$6:$B$405,E361,'Istoric_Nativ'!$C$6:$C$405,F361,'Istoric_Nativ'!$F$6:$F$405,G361,'Istoric_Nativ'!$D$6:$D$405,"&lt;"&amp;J361,'Istoric_Nativ'!$P$6:$P$405,1,'Istoric_Nativ'!$D$6:$D$405,"&gt;="&amp;L361)))/M361)</x:f>
      </x:c>
      <x:c r="O361" s="11" t="str">
        <x:f>IF(M361=0,"",IF(H361="HOME",SUMIFS('Istoric_Nativ'!$H$6:$H$405,'Istoric_Nativ'!$B$6:$B$405,E361,'Istoric_Nativ'!$C$6:$C$405,F361,'Istoric_Nativ'!$E$6:$E$405,G361,'Istoric_Nativ'!$D$6:$D$405,"&lt;"&amp;J361,'Istoric_Nativ'!$P$6:$P$405,1,'Istoric_Nativ'!$D$6:$D$405,"&gt;="&amp;L361),IF(H361="AWAY",SUMIFS('Istoric_Nativ'!$G$6:$G$405,'Istoric_Nativ'!$B$6:$B$405,E361,'Istoric_Nativ'!$C$6:$C$405,F361,'Istoric_Nativ'!$F$6:$F$405,G361,'Istoric_Nativ'!$D$6:$D$405,"&lt;"&amp;J361,'Istoric_Nativ'!$P$6:$P$405,1,'Istoric_Nativ'!$D$6:$D$405,"&gt;="&amp;L361),SUMIFS('Istoric_Nativ'!$H$6:$H$405,'Istoric_Nativ'!$B$6:$B$405,E361,'Istoric_Nativ'!$C$6:$C$405,F361,'Istoric_Nativ'!$E$6:$E$405,G361,'Istoric_Nativ'!$D$6:$D$405,"&lt;"&amp;J361,'Istoric_Nativ'!$P$6:$P$405,1,'Istoric_Nativ'!$D$6:$D$405,"&gt;="&amp;L361)+SUMIFS('Istoric_Nativ'!$G$6:$G$405,'Istoric_Nativ'!$B$6:$B$405,E361,'Istoric_Nativ'!$C$6:$C$405,F361,'Istoric_Nativ'!$F$6:$F$405,G361,'Istoric_Nativ'!$D$6:$D$405,"&lt;"&amp;J361,'Istoric_Nativ'!$P$6:$P$405,1,'Istoric_Nativ'!$D$6:$D$405,"&gt;="&amp;L361)))/M361)</x:f>
      </x:c>
      <x:c r="P361" s="2" t="n">
        <x:f>'Config_v6'!$B$8</x:f>
        <x:v>5</x:v>
      </x:c>
      <x:c r="Q361" s="2" t="n">
        <x:f>IF(OR(B361="",F361=""),0,IFERROR(MATCH(E361&amp;"|"&amp;F361,SourceTable[Source_Key],0),0))</x:f>
        <x:v>0</x:v>
      </x:c>
      <x:c r="R361" s="2" t="str">
        <x:f>IF(B361="","",IF(F361="","UNUSED",IF(Q361=0,"NOT CHECKED",IF(COUNTIF(SourceTable[Source_Key],E361&amp;"|"&amp;F361)&lt;&gt;1,"SOURCE CONFLICT",IF(NOT(OR(INDEX(SourceTable[Status],MAX(1,Q361))="IMPORTED",INDEX(SourceTable[Status],MAX(1,Q361))="PARTIAL",INDEX(SourceTable[Status],MAX(1,Q361))="SOURCE CONFLICT")),"ACCESS BLOCKED",IF(OR(INDEX(SourceTable[Coverage],Q361)&lt;&gt;"FULL SEASON EXPORT",INDEX(SourceTable[URL],Q361)="",INDEX(SourceTable[SHA256],Q361)=""),"EVIDENCE INCOMPLETE",IF(AND('Input_Meci'!H35="LIVE",INDEX(SourceTable[Retrieved_UTC],Q361)&gt;'Input_Meci'!G35),"POST CUTOFF","CLOSED")))))))</x:f>
      </x:c>
      <x:c r="S361" s="2" t="n">
        <x:f>IF(OR(B361="",F361=""),0,COUNTIFS('Istoric_Nativ'!$B$6:$B$405,E361,'Istoric_Nativ'!$C$6:$C$405,F361,'Istoric_Nativ'!$E$6:$E$405,G361,'Istoric_Nativ'!$D$6:$D$405,"&lt;"&amp;J361,'Istoric_Nativ'!$O$6:$O$405,"INVALID")+COUNTIFS('Istoric_Nativ'!$B$6:$B$405,E361,'Istoric_Nativ'!$C$6:$C$405,F361,'Istoric_Nativ'!$E$6:$E$405,G361,'Istoric_Nativ'!$O$6:$O$405,"INVALID",'Istoric_Nativ'!$D$6:$D$405,"*")+COUNTIFS('Istoric_Nativ'!$B$6:$B$405,E361,'Istoric_Nativ'!$C$6:$C$405,F361,'Istoric_Nativ'!$E$6:$E$405,G361,'Istoric_Nativ'!$D$6:$D$405,"&lt;"&amp;J361,'Istoric_Nativ'!$O$6:$O$405,"SOURCE CONFLICT")+COUNTIFS('Istoric_Nativ'!$B$6:$B$405,E361,'Istoric_Nativ'!$C$6:$C$405,F361,'Istoric_Nativ'!$F$6:$F$405,G361,'Istoric_Nativ'!$D$6:$D$405,"&lt;"&amp;J361,'Istoric_Nativ'!$O$6:$O$405,"INVALID")+COUNTIFS('Istoric_Nativ'!$B$6:$B$405,E361,'Istoric_Nativ'!$C$6:$C$405,F361,'Istoric_Nativ'!$F$6:$F$405,G361,'Istoric_Nativ'!$O$6:$O$405,"INVALID",'Istoric_Nativ'!$D$6:$D$405,"*")+COUNTIFS('Istoric_Nativ'!$B$6:$B$405,E361,'Istoric_Nativ'!$C$6:$C$405,F361,'Istoric_Nativ'!$F$6:$F$405,G361,'Istoric_Nativ'!$D$6:$D$405,"&lt;"&amp;J361,'Istoric_Nativ'!$O$6:$O$405,"SOURCE CONFLICT"))</x:f>
        <x:v>0</x:v>
      </x:c>
      <x:c r="T361" s="2" t="str">
        <x:f>IF(B361="","",IF(R361&lt;&gt;"CLOSED",R361,IF(S361&gt;0,"NATIVE INPUT ISSUE",IF(M361=0,"NO HISTORY",IF(M361&lt;P361,"SMALL SAMPLE","DERIVED")))))</x:f>
      </x:c>
      <x:c r="U361" s="2" t="str">
        <x:f>IF(B361="","","NativeTable; "&amp;E361&amp;"; "&amp;F361&amp;"; "&amp;G361&amp;"; "&amp;H361&amp;"; before "&amp;TEXT(J361,"yyyy-mm-dd")&amp;IF(I361="RECENT","; from "&amp;TEXT(L361,"yyyy-mm-dd"),""))</x:f>
      </x:c>
    </x:row>
    <x:row r="362" ht="21" customHeight="1">
      <x:c r="A362" s="2" t="n">
        <x:v>30</x:v>
      </x:c>
      <x:c r="B362" s="2" t="str">
        <x:f>IF('Input_Meci'!A35="","",'Input_Meci'!A35)</x:f>
      </x:c>
      <x:c r="C362" s="2" t="str">
        <x:v>H</x:v>
      </x:c>
      <x:c r="D362" s="2" t="str">
        <x:v>PRIOR</x:v>
      </x:c>
      <x:c r="E362" s="2" t="str">
        <x:f>IF(B362="","",'Input_Meci'!B35)</x:f>
      </x:c>
      <x:c r="F362" s="2" t="str">
        <x:f>IF(B362="","",IF('Input_Meci'!K35="","",'Input_Meci'!K35))</x:f>
      </x:c>
      <x:c r="G362" s="2" t="str">
        <x:f>IF(B362="","",'Input_Meci'!D35)</x:f>
      </x:c>
      <x:c r="H362" s="2" t="str">
        <x:v>ANY</x:v>
      </x:c>
      <x:c r="I362" s="2" t="str">
        <x:v>RECENT</x:v>
      </x:c>
      <x:c r="J362" s="9" t="n">
        <x:f>IF(AND(B362&lt;&gt;"",ISNUMBER('Input_Meci'!G35)),INT('Input_Meci'!G35),0)</x:f>
        <x:v>0</x:v>
      </x:c>
      <x:c r="K362" s="2" t="n">
        <x:f>IF(OR(B362="",F362=""),0,IF(H362="HOME",COUNTIFS('Istoric_Nativ'!$B$6:$B$405,E362,'Istoric_Nativ'!$C$6:$C$405,F362,'Istoric_Nativ'!$E$6:$E$405,G362,'Istoric_Nativ'!$D$6:$D$405,"&lt;"&amp;J362,'Istoric_Nativ'!$P$6:$P$405,1),IF(H362="AWAY",COUNTIFS('Istoric_Nativ'!$B$6:$B$405,E362,'Istoric_Nativ'!$C$6:$C$405,F362,'Istoric_Nativ'!$F$6:$F$405,G362,'Istoric_Nativ'!$D$6:$D$405,"&lt;"&amp;J362,'Istoric_Nativ'!$P$6:$P$405,1),COUNTIFS('Istoric_Nativ'!$B$6:$B$405,E362,'Istoric_Nativ'!$C$6:$C$405,F362,'Istoric_Nativ'!$E$6:$E$405,G362,'Istoric_Nativ'!$D$6:$D$405,"&lt;"&amp;J362,'Istoric_Nativ'!$P$6:$P$405,1)+COUNTIFS('Istoric_Nativ'!$B$6:$B$405,E362,'Istoric_Nativ'!$C$6:$C$405,F362,'Istoric_Nativ'!$F$6:$F$405,G362,'Istoric_Nativ'!$D$6:$D$405,"&lt;"&amp;J362,'Istoric_Nativ'!$P$6:$P$405,1))))</x:f>
        <x:v>0</x:v>
      </x:c>
      <x:c r="L362" s="17" t="n">
        <x:f>IF(AND(B362&lt;&gt;"",I362="RECENT",K362&gt;0),LARGE(_xlfn._xlws.FILTER('Istoric_Nativ'!$D$6:$D$405,('Istoric_Nativ'!$B$6:$B$405=E362)*('Istoric_Nativ'!$C$6:$C$405=F362)*('Istoric_Nativ'!$P$6:$P$405=1)*('Istoric_Nativ'!$D$6:$D$405&lt;J362)*((('Istoric_Nativ'!$E$6:$E$405=G362)+('Istoric_Nativ'!$F$6:$F$405=G362))&gt;0)),MIN('Config_v6'!$B$54,K362)),0)</x:f>
        <x:v>0</x:v>
      </x:c>
      <x:c r="M362" s="2" t="n">
        <x:f>IF(OR(B362="",F362=""),0,IF(H362="HOME",COUNTIFS('Istoric_Nativ'!$B$6:$B$405,E362,'Istoric_Nativ'!$C$6:$C$405,F362,'Istoric_Nativ'!$E$6:$E$405,G362,'Istoric_Nativ'!$D$6:$D$405,"&lt;"&amp;J362,'Istoric_Nativ'!$P$6:$P$405,1,'Istoric_Nativ'!$D$6:$D$405,"&gt;="&amp;L362),IF(H362="AWAY",COUNTIFS('Istoric_Nativ'!$B$6:$B$405,E362,'Istoric_Nativ'!$C$6:$C$405,F362,'Istoric_Nativ'!$F$6:$F$405,G362,'Istoric_Nativ'!$D$6:$D$405,"&lt;"&amp;J362,'Istoric_Nativ'!$P$6:$P$405,1,'Istoric_Nativ'!$D$6:$D$405,"&gt;="&amp;L362),COUNTIFS('Istoric_Nativ'!$B$6:$B$405,E362,'Istoric_Nativ'!$C$6:$C$405,F362,'Istoric_Nativ'!$E$6:$E$405,G362,'Istoric_Nativ'!$D$6:$D$405,"&lt;"&amp;J362,'Istoric_Nativ'!$P$6:$P$405,1,'Istoric_Nativ'!$D$6:$D$405,"&gt;="&amp;L362)+COUNTIFS('Istoric_Nativ'!$B$6:$B$405,E362,'Istoric_Nativ'!$C$6:$C$405,F362,'Istoric_Nativ'!$F$6:$F$405,G362,'Istoric_Nativ'!$D$6:$D$405,"&lt;"&amp;J362,'Istoric_Nativ'!$P$6:$P$405,1,'Istoric_Nativ'!$D$6:$D$405,"&gt;="&amp;L362))))</x:f>
        <x:v>0</x:v>
      </x:c>
      <x:c r="N362" s="11" t="str">
        <x:f>IF(M362=0,"",IF(H362="HOME",SUMIFS('Istoric_Nativ'!$G$6:$G$405,'Istoric_Nativ'!$B$6:$B$405,E362,'Istoric_Nativ'!$C$6:$C$405,F362,'Istoric_Nativ'!$E$6:$E$405,G362,'Istoric_Nativ'!$D$6:$D$405,"&lt;"&amp;J362,'Istoric_Nativ'!$P$6:$P$405,1,'Istoric_Nativ'!$D$6:$D$405,"&gt;="&amp;L362),IF(H362="AWAY",SUMIFS('Istoric_Nativ'!$H$6:$H$405,'Istoric_Nativ'!$B$6:$B$405,E362,'Istoric_Nativ'!$C$6:$C$405,F362,'Istoric_Nativ'!$F$6:$F$405,G362,'Istoric_Nativ'!$D$6:$D$405,"&lt;"&amp;J362,'Istoric_Nativ'!$P$6:$P$405,1,'Istoric_Nativ'!$D$6:$D$405,"&gt;="&amp;L362),SUMIFS('Istoric_Nativ'!$G$6:$G$405,'Istoric_Nativ'!$B$6:$B$405,E362,'Istoric_Nativ'!$C$6:$C$405,F362,'Istoric_Nativ'!$E$6:$E$405,G362,'Istoric_Nativ'!$D$6:$D$405,"&lt;"&amp;J362,'Istoric_Nativ'!$P$6:$P$405,1,'Istoric_Nativ'!$D$6:$D$405,"&gt;="&amp;L362)+SUMIFS('Istoric_Nativ'!$H$6:$H$405,'Istoric_Nativ'!$B$6:$B$405,E362,'Istoric_Nativ'!$C$6:$C$405,F362,'Istoric_Nativ'!$F$6:$F$405,G362,'Istoric_Nativ'!$D$6:$D$405,"&lt;"&amp;J362,'Istoric_Nativ'!$P$6:$P$405,1,'Istoric_Nativ'!$D$6:$D$405,"&gt;="&amp;L362)))/M362)</x:f>
      </x:c>
      <x:c r="O362" s="11" t="str">
        <x:f>IF(M362=0,"",IF(H362="HOME",SUMIFS('Istoric_Nativ'!$H$6:$H$405,'Istoric_Nativ'!$B$6:$B$405,E362,'Istoric_Nativ'!$C$6:$C$405,F362,'Istoric_Nativ'!$E$6:$E$405,G362,'Istoric_Nativ'!$D$6:$D$405,"&lt;"&amp;J362,'Istoric_Nativ'!$P$6:$P$405,1,'Istoric_Nativ'!$D$6:$D$405,"&gt;="&amp;L362),IF(H362="AWAY",SUMIFS('Istoric_Nativ'!$G$6:$G$405,'Istoric_Nativ'!$B$6:$B$405,E362,'Istoric_Nativ'!$C$6:$C$405,F362,'Istoric_Nativ'!$F$6:$F$405,G362,'Istoric_Nativ'!$D$6:$D$405,"&lt;"&amp;J362,'Istoric_Nativ'!$P$6:$P$405,1,'Istoric_Nativ'!$D$6:$D$405,"&gt;="&amp;L362),SUMIFS('Istoric_Nativ'!$H$6:$H$405,'Istoric_Nativ'!$B$6:$B$405,E362,'Istoric_Nativ'!$C$6:$C$405,F362,'Istoric_Nativ'!$E$6:$E$405,G362,'Istoric_Nativ'!$D$6:$D$405,"&lt;"&amp;J362,'Istoric_Nativ'!$P$6:$P$405,1,'Istoric_Nativ'!$D$6:$D$405,"&gt;="&amp;L362)+SUMIFS('Istoric_Nativ'!$G$6:$G$405,'Istoric_Nativ'!$B$6:$B$405,E362,'Istoric_Nativ'!$C$6:$C$405,F362,'Istoric_Nativ'!$F$6:$F$405,G362,'Istoric_Nativ'!$D$6:$D$405,"&lt;"&amp;J362,'Istoric_Nativ'!$P$6:$P$405,1,'Istoric_Nativ'!$D$6:$D$405,"&gt;="&amp;L362)))/M362)</x:f>
      </x:c>
      <x:c r="P362" s="2" t="n">
        <x:f>'Config_v6'!$B$9</x:f>
        <x:v>3</x:v>
      </x:c>
      <x:c r="Q362" s="2" t="n">
        <x:f>IF(OR(B362="",F362=""),0,IFERROR(MATCH(E362&amp;"|"&amp;F362,SourceTable[Source_Key],0),0))</x:f>
        <x:v>0</x:v>
      </x:c>
      <x:c r="R362" s="2" t="str">
        <x:f>IF(B362="","",IF(F362="","UNUSED",IF(Q362=0,"NOT CHECKED",IF(COUNTIF(SourceTable[Source_Key],E362&amp;"|"&amp;F362)&lt;&gt;1,"SOURCE CONFLICT",IF(NOT(OR(INDEX(SourceTable[Status],MAX(1,Q362))="IMPORTED",INDEX(SourceTable[Status],MAX(1,Q362))="PARTIAL",INDEX(SourceTable[Status],MAX(1,Q362))="SOURCE CONFLICT")),"ACCESS BLOCKED",IF(OR(INDEX(SourceTable[Coverage],Q362)&lt;&gt;"FULL SEASON EXPORT",INDEX(SourceTable[URL],Q362)="",INDEX(SourceTable[SHA256],Q362)=""),"EVIDENCE INCOMPLETE",IF(AND('Input_Meci'!H35="LIVE",INDEX(SourceTable[Retrieved_UTC],Q362)&gt;'Input_Meci'!G35),"POST CUTOFF","CLOSED")))))))</x:f>
      </x:c>
      <x:c r="S362" s="2" t="n">
        <x:f>IF(OR(B362="",F362=""),0,COUNTIFS('Istoric_Nativ'!$B$6:$B$405,E362,'Istoric_Nativ'!$C$6:$C$405,F362,'Istoric_Nativ'!$E$6:$E$405,G362,'Istoric_Nativ'!$D$6:$D$405,"&lt;"&amp;J362,'Istoric_Nativ'!$O$6:$O$405,"INVALID")+COUNTIFS('Istoric_Nativ'!$B$6:$B$405,E362,'Istoric_Nativ'!$C$6:$C$405,F362,'Istoric_Nativ'!$E$6:$E$405,G362,'Istoric_Nativ'!$O$6:$O$405,"INVALID",'Istoric_Nativ'!$D$6:$D$405,"*")+COUNTIFS('Istoric_Nativ'!$B$6:$B$405,E362,'Istoric_Nativ'!$C$6:$C$405,F362,'Istoric_Nativ'!$E$6:$E$405,G362,'Istoric_Nativ'!$D$6:$D$405,"&lt;"&amp;J362,'Istoric_Nativ'!$O$6:$O$405,"SOURCE CONFLICT")+COUNTIFS('Istoric_Nativ'!$B$6:$B$405,E362,'Istoric_Nativ'!$C$6:$C$405,F362,'Istoric_Nativ'!$F$6:$F$405,G362,'Istoric_Nativ'!$D$6:$D$405,"&lt;"&amp;J362,'Istoric_Nativ'!$O$6:$O$405,"INVALID")+COUNTIFS('Istoric_Nativ'!$B$6:$B$405,E362,'Istoric_Nativ'!$C$6:$C$405,F362,'Istoric_Nativ'!$F$6:$F$405,G362,'Istoric_Nativ'!$O$6:$O$405,"INVALID",'Istoric_Nativ'!$D$6:$D$405,"*")+COUNTIFS('Istoric_Nativ'!$B$6:$B$405,E362,'Istoric_Nativ'!$C$6:$C$405,F362,'Istoric_Nativ'!$F$6:$F$405,G362,'Istoric_Nativ'!$D$6:$D$405,"&lt;"&amp;J362,'Istoric_Nativ'!$O$6:$O$405,"SOURCE CONFLICT"))</x:f>
        <x:v>0</x:v>
      </x:c>
      <x:c r="T362" s="2" t="str">
        <x:f>IF(B362="","",IF(R362&lt;&gt;"CLOSED",R362,IF(S362&gt;0,"NATIVE INPUT ISSUE",IF(M362=0,"NO HISTORY",IF(M362&lt;P362,"SMALL SAMPLE","DERIVED")))))</x:f>
      </x:c>
      <x:c r="U362" s="2" t="str">
        <x:f>IF(B362="","","NativeTable; "&amp;E362&amp;"; "&amp;F362&amp;"; "&amp;G362&amp;"; "&amp;H362&amp;"; before "&amp;TEXT(J362,"yyyy-mm-dd")&amp;IF(I362="RECENT","; from "&amp;TEXT(L362,"yyyy-mm-dd"),""))</x:f>
      </x:c>
    </x:row>
    <x:row r="363" ht="21" customHeight="1">
      <x:c r="A363" s="2" t="n">
        <x:v>30</x:v>
      </x:c>
      <x:c r="B363" s="2" t="str">
        <x:f>IF('Input_Meci'!A35="","",'Input_Meci'!A35)</x:f>
      </x:c>
      <x:c r="C363" s="2" t="str">
        <x:v>A</x:v>
      </x:c>
      <x:c r="D363" s="2" t="str">
        <x:v>PRIOR</x:v>
      </x:c>
      <x:c r="E363" s="2" t="str">
        <x:f>IF(B363="","",'Input_Meci'!B35)</x:f>
      </x:c>
      <x:c r="F363" s="2" t="str">
        <x:f>IF(B363="","",IF('Input_Meci'!K35="","",'Input_Meci'!K35))</x:f>
      </x:c>
      <x:c r="G363" s="2" t="str">
        <x:f>IF(B363="","",'Input_Meci'!E35)</x:f>
      </x:c>
      <x:c r="H363" s="2" t="str">
        <x:v>ANY</x:v>
      </x:c>
      <x:c r="I363" s="2" t="str">
        <x:v>SEASON</x:v>
      </x:c>
      <x:c r="J363" s="9" t="n">
        <x:f>IF(AND(B363&lt;&gt;"",ISNUMBER('Input_Meci'!G35)),INT('Input_Meci'!G35),0)</x:f>
        <x:v>0</x:v>
      </x:c>
      <x:c r="K363" s="2" t="n">
        <x:f>IF(OR(B363="",F363=""),0,IF(H363="HOME",COUNTIFS('Istoric_Nativ'!$B$6:$B$405,E363,'Istoric_Nativ'!$C$6:$C$405,F363,'Istoric_Nativ'!$E$6:$E$405,G363,'Istoric_Nativ'!$D$6:$D$405,"&lt;"&amp;J363,'Istoric_Nativ'!$P$6:$P$405,1),IF(H363="AWAY",COUNTIFS('Istoric_Nativ'!$B$6:$B$405,E363,'Istoric_Nativ'!$C$6:$C$405,F363,'Istoric_Nativ'!$F$6:$F$405,G363,'Istoric_Nativ'!$D$6:$D$405,"&lt;"&amp;J363,'Istoric_Nativ'!$P$6:$P$405,1),COUNTIFS('Istoric_Nativ'!$B$6:$B$405,E363,'Istoric_Nativ'!$C$6:$C$405,F363,'Istoric_Nativ'!$E$6:$E$405,G363,'Istoric_Nativ'!$D$6:$D$405,"&lt;"&amp;J363,'Istoric_Nativ'!$P$6:$P$405,1)+COUNTIFS('Istoric_Nativ'!$B$6:$B$405,E363,'Istoric_Nativ'!$C$6:$C$405,F363,'Istoric_Nativ'!$F$6:$F$405,G363,'Istoric_Nativ'!$D$6:$D$405,"&lt;"&amp;J363,'Istoric_Nativ'!$P$6:$P$405,1))))</x:f>
        <x:v>0</x:v>
      </x:c>
      <x:c r="L363" s="17" t="n">
        <x:f>IF(AND(B363&lt;&gt;"",I363="RECENT",K363&gt;0),LARGE(_xlfn._xlws.FILTER('Istoric_Nativ'!$D$6:$D$405,('Istoric_Nativ'!$B$6:$B$405=E363)*('Istoric_Nativ'!$C$6:$C$405=F363)*('Istoric_Nativ'!$P$6:$P$405=1)*('Istoric_Nativ'!$D$6:$D$405&lt;J363)*((('Istoric_Nativ'!$E$6:$E$405=G363)+('Istoric_Nativ'!$F$6:$F$405=G363))&gt;0)),MIN('Config_v6'!$B$54,K363)),0)</x:f>
        <x:v>0</x:v>
      </x:c>
      <x:c r="M363" s="2" t="n">
        <x:f>IF(OR(B363="",F363=""),0,IF(H363="HOME",COUNTIFS('Istoric_Nativ'!$B$6:$B$405,E363,'Istoric_Nativ'!$C$6:$C$405,F363,'Istoric_Nativ'!$E$6:$E$405,G363,'Istoric_Nativ'!$D$6:$D$405,"&lt;"&amp;J363,'Istoric_Nativ'!$P$6:$P$405,1,'Istoric_Nativ'!$D$6:$D$405,"&gt;="&amp;L363),IF(H363="AWAY",COUNTIFS('Istoric_Nativ'!$B$6:$B$405,E363,'Istoric_Nativ'!$C$6:$C$405,F363,'Istoric_Nativ'!$F$6:$F$405,G363,'Istoric_Nativ'!$D$6:$D$405,"&lt;"&amp;J363,'Istoric_Nativ'!$P$6:$P$405,1,'Istoric_Nativ'!$D$6:$D$405,"&gt;="&amp;L363),COUNTIFS('Istoric_Nativ'!$B$6:$B$405,E363,'Istoric_Nativ'!$C$6:$C$405,F363,'Istoric_Nativ'!$E$6:$E$405,G363,'Istoric_Nativ'!$D$6:$D$405,"&lt;"&amp;J363,'Istoric_Nativ'!$P$6:$P$405,1,'Istoric_Nativ'!$D$6:$D$405,"&gt;="&amp;L363)+COUNTIFS('Istoric_Nativ'!$B$6:$B$405,E363,'Istoric_Nativ'!$C$6:$C$405,F363,'Istoric_Nativ'!$F$6:$F$405,G363,'Istoric_Nativ'!$D$6:$D$405,"&lt;"&amp;J363,'Istoric_Nativ'!$P$6:$P$405,1,'Istoric_Nativ'!$D$6:$D$405,"&gt;="&amp;L363))))</x:f>
        <x:v>0</x:v>
      </x:c>
      <x:c r="N363" s="11" t="str">
        <x:f>IF(M363=0,"",IF(H363="HOME",SUMIFS('Istoric_Nativ'!$G$6:$G$405,'Istoric_Nativ'!$B$6:$B$405,E363,'Istoric_Nativ'!$C$6:$C$405,F363,'Istoric_Nativ'!$E$6:$E$405,G363,'Istoric_Nativ'!$D$6:$D$405,"&lt;"&amp;J363,'Istoric_Nativ'!$P$6:$P$405,1,'Istoric_Nativ'!$D$6:$D$405,"&gt;="&amp;L363),IF(H363="AWAY",SUMIFS('Istoric_Nativ'!$H$6:$H$405,'Istoric_Nativ'!$B$6:$B$405,E363,'Istoric_Nativ'!$C$6:$C$405,F363,'Istoric_Nativ'!$F$6:$F$405,G363,'Istoric_Nativ'!$D$6:$D$405,"&lt;"&amp;J363,'Istoric_Nativ'!$P$6:$P$405,1,'Istoric_Nativ'!$D$6:$D$405,"&gt;="&amp;L363),SUMIFS('Istoric_Nativ'!$G$6:$G$405,'Istoric_Nativ'!$B$6:$B$405,E363,'Istoric_Nativ'!$C$6:$C$405,F363,'Istoric_Nativ'!$E$6:$E$405,G363,'Istoric_Nativ'!$D$6:$D$405,"&lt;"&amp;J363,'Istoric_Nativ'!$P$6:$P$405,1,'Istoric_Nativ'!$D$6:$D$405,"&gt;="&amp;L363)+SUMIFS('Istoric_Nativ'!$H$6:$H$405,'Istoric_Nativ'!$B$6:$B$405,E363,'Istoric_Nativ'!$C$6:$C$405,F363,'Istoric_Nativ'!$F$6:$F$405,G363,'Istoric_Nativ'!$D$6:$D$405,"&lt;"&amp;J363,'Istoric_Nativ'!$P$6:$P$405,1,'Istoric_Nativ'!$D$6:$D$405,"&gt;="&amp;L363)))/M363)</x:f>
      </x:c>
      <x:c r="O363" s="11" t="str">
        <x:f>IF(M363=0,"",IF(H363="HOME",SUMIFS('Istoric_Nativ'!$H$6:$H$405,'Istoric_Nativ'!$B$6:$B$405,E363,'Istoric_Nativ'!$C$6:$C$405,F363,'Istoric_Nativ'!$E$6:$E$405,G363,'Istoric_Nativ'!$D$6:$D$405,"&lt;"&amp;J363,'Istoric_Nativ'!$P$6:$P$405,1,'Istoric_Nativ'!$D$6:$D$405,"&gt;="&amp;L363),IF(H363="AWAY",SUMIFS('Istoric_Nativ'!$G$6:$G$405,'Istoric_Nativ'!$B$6:$B$405,E363,'Istoric_Nativ'!$C$6:$C$405,F363,'Istoric_Nativ'!$F$6:$F$405,G363,'Istoric_Nativ'!$D$6:$D$405,"&lt;"&amp;J363,'Istoric_Nativ'!$P$6:$P$405,1,'Istoric_Nativ'!$D$6:$D$405,"&gt;="&amp;L363),SUMIFS('Istoric_Nativ'!$H$6:$H$405,'Istoric_Nativ'!$B$6:$B$405,E363,'Istoric_Nativ'!$C$6:$C$405,F363,'Istoric_Nativ'!$E$6:$E$405,G363,'Istoric_Nativ'!$D$6:$D$405,"&lt;"&amp;J363,'Istoric_Nativ'!$P$6:$P$405,1,'Istoric_Nativ'!$D$6:$D$405,"&gt;="&amp;L363)+SUMIFS('Istoric_Nativ'!$G$6:$G$405,'Istoric_Nativ'!$B$6:$B$405,E363,'Istoric_Nativ'!$C$6:$C$405,F363,'Istoric_Nativ'!$F$6:$F$405,G363,'Istoric_Nativ'!$D$6:$D$405,"&lt;"&amp;J363,'Istoric_Nativ'!$P$6:$P$405,1,'Istoric_Nativ'!$D$6:$D$405,"&gt;="&amp;L363)))/M363)</x:f>
      </x:c>
      <x:c r="P363" s="2" t="n">
        <x:f>'Config_v6'!$B$7</x:f>
        <x:v>10</x:v>
      </x:c>
      <x:c r="Q363" s="2" t="n">
        <x:f>IF(OR(B363="",F363=""),0,IFERROR(MATCH(E363&amp;"|"&amp;F363,SourceTable[Source_Key],0),0))</x:f>
        <x:v>0</x:v>
      </x:c>
      <x:c r="R363" s="2" t="str">
        <x:f>IF(B363="","",IF(F363="","UNUSED",IF(Q363=0,"NOT CHECKED",IF(COUNTIF(SourceTable[Source_Key],E363&amp;"|"&amp;F363)&lt;&gt;1,"SOURCE CONFLICT",IF(NOT(OR(INDEX(SourceTable[Status],MAX(1,Q363))="IMPORTED",INDEX(SourceTable[Status],MAX(1,Q363))="PARTIAL",INDEX(SourceTable[Status],MAX(1,Q363))="SOURCE CONFLICT")),"ACCESS BLOCKED",IF(OR(INDEX(SourceTable[Coverage],Q363)&lt;&gt;"FULL SEASON EXPORT",INDEX(SourceTable[URL],Q363)="",INDEX(SourceTable[SHA256],Q363)=""),"EVIDENCE INCOMPLETE",IF(AND('Input_Meci'!H35="LIVE",INDEX(SourceTable[Retrieved_UTC],Q363)&gt;'Input_Meci'!G35),"POST CUTOFF","CLOSED")))))))</x:f>
      </x:c>
      <x:c r="S363" s="2" t="n">
        <x:f>IF(OR(B363="",F363=""),0,COUNTIFS('Istoric_Nativ'!$B$6:$B$405,E363,'Istoric_Nativ'!$C$6:$C$405,F363,'Istoric_Nativ'!$E$6:$E$405,G363,'Istoric_Nativ'!$D$6:$D$405,"&lt;"&amp;J363,'Istoric_Nativ'!$O$6:$O$405,"INVALID")+COUNTIFS('Istoric_Nativ'!$B$6:$B$405,E363,'Istoric_Nativ'!$C$6:$C$405,F363,'Istoric_Nativ'!$E$6:$E$405,G363,'Istoric_Nativ'!$O$6:$O$405,"INVALID",'Istoric_Nativ'!$D$6:$D$405,"*")+COUNTIFS('Istoric_Nativ'!$B$6:$B$405,E363,'Istoric_Nativ'!$C$6:$C$405,F363,'Istoric_Nativ'!$E$6:$E$405,G363,'Istoric_Nativ'!$D$6:$D$405,"&lt;"&amp;J363,'Istoric_Nativ'!$O$6:$O$405,"SOURCE CONFLICT")+COUNTIFS('Istoric_Nativ'!$B$6:$B$405,E363,'Istoric_Nativ'!$C$6:$C$405,F363,'Istoric_Nativ'!$F$6:$F$405,G363,'Istoric_Nativ'!$D$6:$D$405,"&lt;"&amp;J363,'Istoric_Nativ'!$O$6:$O$405,"INVALID")+COUNTIFS('Istoric_Nativ'!$B$6:$B$405,E363,'Istoric_Nativ'!$C$6:$C$405,F363,'Istoric_Nativ'!$F$6:$F$405,G363,'Istoric_Nativ'!$O$6:$O$405,"INVALID",'Istoric_Nativ'!$D$6:$D$405,"*")+COUNTIFS('Istoric_Nativ'!$B$6:$B$405,E363,'Istoric_Nativ'!$C$6:$C$405,F363,'Istoric_Nativ'!$F$6:$F$405,G363,'Istoric_Nativ'!$D$6:$D$405,"&lt;"&amp;J363,'Istoric_Nativ'!$O$6:$O$405,"SOURCE CONFLICT"))</x:f>
        <x:v>0</x:v>
      </x:c>
      <x:c r="T363" s="2" t="str">
        <x:f>IF(B363="","",IF(R363&lt;&gt;"CLOSED",R363,IF(S363&gt;0,"NATIVE INPUT ISSUE",IF(M363=0,"NO HISTORY",IF(M363&lt;P363,"SMALL SAMPLE","DERIVED")))))</x:f>
      </x:c>
      <x:c r="U363" s="2" t="str">
        <x:f>IF(B363="","","NativeTable; "&amp;E363&amp;"; "&amp;F363&amp;"; "&amp;G363&amp;"; "&amp;H363&amp;"; before "&amp;TEXT(J363,"yyyy-mm-dd")&amp;IF(I363="RECENT","; from "&amp;TEXT(L363,"yyyy-mm-dd"),""))</x:f>
      </x:c>
    </x:row>
    <x:row r="364" ht="21" customHeight="1">
      <x:c r="A364" s="2" t="n">
        <x:v>30</x:v>
      </x:c>
      <x:c r="B364" s="2" t="str">
        <x:f>IF('Input_Meci'!A35="","",'Input_Meci'!A35)</x:f>
      </x:c>
      <x:c r="C364" s="2" t="str">
        <x:v>A</x:v>
      </x:c>
      <x:c r="D364" s="2" t="str">
        <x:v>PRIOR</x:v>
      </x:c>
      <x:c r="E364" s="2" t="str">
        <x:f>IF(B364="","",'Input_Meci'!B35)</x:f>
      </x:c>
      <x:c r="F364" s="2" t="str">
        <x:f>IF(B364="","",IF('Input_Meci'!K35="","",'Input_Meci'!K35))</x:f>
      </x:c>
      <x:c r="G364" s="2" t="str">
        <x:f>IF(B364="","",'Input_Meci'!E35)</x:f>
      </x:c>
      <x:c r="H364" s="2" t="str">
        <x:v>AWAY</x:v>
      </x:c>
      <x:c r="I364" s="2" t="str">
        <x:v>HA</x:v>
      </x:c>
      <x:c r="J364" s="9" t="n">
        <x:f>IF(AND(B364&lt;&gt;"",ISNUMBER('Input_Meci'!G35)),INT('Input_Meci'!G35),0)</x:f>
        <x:v>0</x:v>
      </x:c>
      <x:c r="K364" s="2" t="n">
        <x:f>IF(OR(B364="",F364=""),0,IF(H364="HOME",COUNTIFS('Istoric_Nativ'!$B$6:$B$405,E364,'Istoric_Nativ'!$C$6:$C$405,F364,'Istoric_Nativ'!$E$6:$E$405,G364,'Istoric_Nativ'!$D$6:$D$405,"&lt;"&amp;J364,'Istoric_Nativ'!$P$6:$P$405,1),IF(H364="AWAY",COUNTIFS('Istoric_Nativ'!$B$6:$B$405,E364,'Istoric_Nativ'!$C$6:$C$405,F364,'Istoric_Nativ'!$F$6:$F$405,G364,'Istoric_Nativ'!$D$6:$D$405,"&lt;"&amp;J364,'Istoric_Nativ'!$P$6:$P$405,1),COUNTIFS('Istoric_Nativ'!$B$6:$B$405,E364,'Istoric_Nativ'!$C$6:$C$405,F364,'Istoric_Nativ'!$E$6:$E$405,G364,'Istoric_Nativ'!$D$6:$D$405,"&lt;"&amp;J364,'Istoric_Nativ'!$P$6:$P$405,1)+COUNTIFS('Istoric_Nativ'!$B$6:$B$405,E364,'Istoric_Nativ'!$C$6:$C$405,F364,'Istoric_Nativ'!$F$6:$F$405,G364,'Istoric_Nativ'!$D$6:$D$405,"&lt;"&amp;J364,'Istoric_Nativ'!$P$6:$P$405,1))))</x:f>
        <x:v>0</x:v>
      </x:c>
      <x:c r="L364" s="17" t="n">
        <x:f>IF(AND(B364&lt;&gt;"",I364="RECENT",K364&gt;0),LARGE(_xlfn._xlws.FILTER('Istoric_Nativ'!$D$6:$D$405,('Istoric_Nativ'!$B$6:$B$405=E364)*('Istoric_Nativ'!$C$6:$C$405=F364)*('Istoric_Nativ'!$P$6:$P$405=1)*('Istoric_Nativ'!$D$6:$D$405&lt;J364)*((('Istoric_Nativ'!$E$6:$E$405=G364)+('Istoric_Nativ'!$F$6:$F$405=G364))&gt;0)),MIN('Config_v6'!$B$54,K364)),0)</x:f>
        <x:v>0</x:v>
      </x:c>
      <x:c r="M364" s="2" t="n">
        <x:f>IF(OR(B364="",F364=""),0,IF(H364="HOME",COUNTIFS('Istoric_Nativ'!$B$6:$B$405,E364,'Istoric_Nativ'!$C$6:$C$405,F364,'Istoric_Nativ'!$E$6:$E$405,G364,'Istoric_Nativ'!$D$6:$D$405,"&lt;"&amp;J364,'Istoric_Nativ'!$P$6:$P$405,1,'Istoric_Nativ'!$D$6:$D$405,"&gt;="&amp;L364),IF(H364="AWAY",COUNTIFS('Istoric_Nativ'!$B$6:$B$405,E364,'Istoric_Nativ'!$C$6:$C$405,F364,'Istoric_Nativ'!$F$6:$F$405,G364,'Istoric_Nativ'!$D$6:$D$405,"&lt;"&amp;J364,'Istoric_Nativ'!$P$6:$P$405,1,'Istoric_Nativ'!$D$6:$D$405,"&gt;="&amp;L364),COUNTIFS('Istoric_Nativ'!$B$6:$B$405,E364,'Istoric_Nativ'!$C$6:$C$405,F364,'Istoric_Nativ'!$E$6:$E$405,G364,'Istoric_Nativ'!$D$6:$D$405,"&lt;"&amp;J364,'Istoric_Nativ'!$P$6:$P$405,1,'Istoric_Nativ'!$D$6:$D$405,"&gt;="&amp;L364)+COUNTIFS('Istoric_Nativ'!$B$6:$B$405,E364,'Istoric_Nativ'!$C$6:$C$405,F364,'Istoric_Nativ'!$F$6:$F$405,G364,'Istoric_Nativ'!$D$6:$D$405,"&lt;"&amp;J364,'Istoric_Nativ'!$P$6:$P$405,1,'Istoric_Nativ'!$D$6:$D$405,"&gt;="&amp;L364))))</x:f>
        <x:v>0</x:v>
      </x:c>
      <x:c r="N364" s="11" t="str">
        <x:f>IF(M364=0,"",IF(H364="HOME",SUMIFS('Istoric_Nativ'!$G$6:$G$405,'Istoric_Nativ'!$B$6:$B$405,E364,'Istoric_Nativ'!$C$6:$C$405,F364,'Istoric_Nativ'!$E$6:$E$405,G364,'Istoric_Nativ'!$D$6:$D$405,"&lt;"&amp;J364,'Istoric_Nativ'!$P$6:$P$405,1,'Istoric_Nativ'!$D$6:$D$405,"&gt;="&amp;L364),IF(H364="AWAY",SUMIFS('Istoric_Nativ'!$H$6:$H$405,'Istoric_Nativ'!$B$6:$B$405,E364,'Istoric_Nativ'!$C$6:$C$405,F364,'Istoric_Nativ'!$F$6:$F$405,G364,'Istoric_Nativ'!$D$6:$D$405,"&lt;"&amp;J364,'Istoric_Nativ'!$P$6:$P$405,1,'Istoric_Nativ'!$D$6:$D$405,"&gt;="&amp;L364),SUMIFS('Istoric_Nativ'!$G$6:$G$405,'Istoric_Nativ'!$B$6:$B$405,E364,'Istoric_Nativ'!$C$6:$C$405,F364,'Istoric_Nativ'!$E$6:$E$405,G364,'Istoric_Nativ'!$D$6:$D$405,"&lt;"&amp;J364,'Istoric_Nativ'!$P$6:$P$405,1,'Istoric_Nativ'!$D$6:$D$405,"&gt;="&amp;L364)+SUMIFS('Istoric_Nativ'!$H$6:$H$405,'Istoric_Nativ'!$B$6:$B$405,E364,'Istoric_Nativ'!$C$6:$C$405,F364,'Istoric_Nativ'!$F$6:$F$405,G364,'Istoric_Nativ'!$D$6:$D$405,"&lt;"&amp;J364,'Istoric_Nativ'!$P$6:$P$405,1,'Istoric_Nativ'!$D$6:$D$405,"&gt;="&amp;L364)))/M364)</x:f>
      </x:c>
      <x:c r="O364" s="11" t="str">
        <x:f>IF(M364=0,"",IF(H364="HOME",SUMIFS('Istoric_Nativ'!$H$6:$H$405,'Istoric_Nativ'!$B$6:$B$405,E364,'Istoric_Nativ'!$C$6:$C$405,F364,'Istoric_Nativ'!$E$6:$E$405,G364,'Istoric_Nativ'!$D$6:$D$405,"&lt;"&amp;J364,'Istoric_Nativ'!$P$6:$P$405,1,'Istoric_Nativ'!$D$6:$D$405,"&gt;="&amp;L364),IF(H364="AWAY",SUMIFS('Istoric_Nativ'!$G$6:$G$405,'Istoric_Nativ'!$B$6:$B$405,E364,'Istoric_Nativ'!$C$6:$C$405,F364,'Istoric_Nativ'!$F$6:$F$405,G364,'Istoric_Nativ'!$D$6:$D$405,"&lt;"&amp;J364,'Istoric_Nativ'!$P$6:$P$405,1,'Istoric_Nativ'!$D$6:$D$405,"&gt;="&amp;L364),SUMIFS('Istoric_Nativ'!$H$6:$H$405,'Istoric_Nativ'!$B$6:$B$405,E364,'Istoric_Nativ'!$C$6:$C$405,F364,'Istoric_Nativ'!$E$6:$E$405,G364,'Istoric_Nativ'!$D$6:$D$405,"&lt;"&amp;J364,'Istoric_Nativ'!$P$6:$P$405,1,'Istoric_Nativ'!$D$6:$D$405,"&gt;="&amp;L364)+SUMIFS('Istoric_Nativ'!$G$6:$G$405,'Istoric_Nativ'!$B$6:$B$405,E364,'Istoric_Nativ'!$C$6:$C$405,F364,'Istoric_Nativ'!$F$6:$F$405,G364,'Istoric_Nativ'!$D$6:$D$405,"&lt;"&amp;J364,'Istoric_Nativ'!$P$6:$P$405,1,'Istoric_Nativ'!$D$6:$D$405,"&gt;="&amp;L364)))/M364)</x:f>
      </x:c>
      <x:c r="P364" s="2" t="n">
        <x:f>'Config_v6'!$B$8</x:f>
        <x:v>5</x:v>
      </x:c>
      <x:c r="Q364" s="2" t="n">
        <x:f>IF(OR(B364="",F364=""),0,IFERROR(MATCH(E364&amp;"|"&amp;F364,SourceTable[Source_Key],0),0))</x:f>
        <x:v>0</x:v>
      </x:c>
      <x:c r="R364" s="2" t="str">
        <x:f>IF(B364="","",IF(F364="","UNUSED",IF(Q364=0,"NOT CHECKED",IF(COUNTIF(SourceTable[Source_Key],E364&amp;"|"&amp;F364)&lt;&gt;1,"SOURCE CONFLICT",IF(NOT(OR(INDEX(SourceTable[Status],MAX(1,Q364))="IMPORTED",INDEX(SourceTable[Status],MAX(1,Q364))="PARTIAL",INDEX(SourceTable[Status],MAX(1,Q364))="SOURCE CONFLICT")),"ACCESS BLOCKED",IF(OR(INDEX(SourceTable[Coverage],Q364)&lt;&gt;"FULL SEASON EXPORT",INDEX(SourceTable[URL],Q364)="",INDEX(SourceTable[SHA256],Q364)=""),"EVIDENCE INCOMPLETE",IF(AND('Input_Meci'!H35="LIVE",INDEX(SourceTable[Retrieved_UTC],Q364)&gt;'Input_Meci'!G35),"POST CUTOFF","CLOSED")))))))</x:f>
      </x:c>
      <x:c r="S364" s="2" t="n">
        <x:f>IF(OR(B364="",F364=""),0,COUNTIFS('Istoric_Nativ'!$B$6:$B$405,E364,'Istoric_Nativ'!$C$6:$C$405,F364,'Istoric_Nativ'!$E$6:$E$405,G364,'Istoric_Nativ'!$D$6:$D$405,"&lt;"&amp;J364,'Istoric_Nativ'!$O$6:$O$405,"INVALID")+COUNTIFS('Istoric_Nativ'!$B$6:$B$405,E364,'Istoric_Nativ'!$C$6:$C$405,F364,'Istoric_Nativ'!$E$6:$E$405,G364,'Istoric_Nativ'!$O$6:$O$405,"INVALID",'Istoric_Nativ'!$D$6:$D$405,"*")+COUNTIFS('Istoric_Nativ'!$B$6:$B$405,E364,'Istoric_Nativ'!$C$6:$C$405,F364,'Istoric_Nativ'!$E$6:$E$405,G364,'Istoric_Nativ'!$D$6:$D$405,"&lt;"&amp;J364,'Istoric_Nativ'!$O$6:$O$405,"SOURCE CONFLICT")+COUNTIFS('Istoric_Nativ'!$B$6:$B$405,E364,'Istoric_Nativ'!$C$6:$C$405,F364,'Istoric_Nativ'!$F$6:$F$405,G364,'Istoric_Nativ'!$D$6:$D$405,"&lt;"&amp;J364,'Istoric_Nativ'!$O$6:$O$405,"INVALID")+COUNTIFS('Istoric_Nativ'!$B$6:$B$405,E364,'Istoric_Nativ'!$C$6:$C$405,F364,'Istoric_Nativ'!$F$6:$F$405,G364,'Istoric_Nativ'!$O$6:$O$405,"INVALID",'Istoric_Nativ'!$D$6:$D$405,"*")+COUNTIFS('Istoric_Nativ'!$B$6:$B$405,E364,'Istoric_Nativ'!$C$6:$C$405,F364,'Istoric_Nativ'!$F$6:$F$405,G364,'Istoric_Nativ'!$D$6:$D$405,"&lt;"&amp;J364,'Istoric_Nativ'!$O$6:$O$405,"SOURCE CONFLICT"))</x:f>
        <x:v>0</x:v>
      </x:c>
      <x:c r="T364" s="2" t="str">
        <x:f>IF(B364="","",IF(R364&lt;&gt;"CLOSED",R364,IF(S364&gt;0,"NATIVE INPUT ISSUE",IF(M364=0,"NO HISTORY",IF(M364&lt;P364,"SMALL SAMPLE","DERIVED")))))</x:f>
      </x:c>
      <x:c r="U364" s="2" t="str">
        <x:f>IF(B364="","","NativeTable; "&amp;E364&amp;"; "&amp;F364&amp;"; "&amp;G364&amp;"; "&amp;H364&amp;"; before "&amp;TEXT(J364,"yyyy-mm-dd")&amp;IF(I364="RECENT","; from "&amp;TEXT(L364,"yyyy-mm-dd"),""))</x:f>
      </x:c>
    </x:row>
    <x:row r="365" ht="21" customHeight="1">
      <x:c r="A365" s="2" t="n">
        <x:v>30</x:v>
      </x:c>
      <x:c r="B365" s="2" t="str">
        <x:f>IF('Input_Meci'!A35="","",'Input_Meci'!A35)</x:f>
      </x:c>
      <x:c r="C365" s="2" t="str">
        <x:v>A</x:v>
      </x:c>
      <x:c r="D365" s="2" t="str">
        <x:v>PRIOR</x:v>
      </x:c>
      <x:c r="E365" s="2" t="str">
        <x:f>IF(B365="","",'Input_Meci'!B35)</x:f>
      </x:c>
      <x:c r="F365" s="2" t="str">
        <x:f>IF(B365="","",IF('Input_Meci'!K35="","",'Input_Meci'!K35))</x:f>
      </x:c>
      <x:c r="G365" s="2" t="str">
        <x:f>IF(B365="","",'Input_Meci'!E35)</x:f>
      </x:c>
      <x:c r="H365" s="2" t="str">
        <x:v>ANY</x:v>
      </x:c>
      <x:c r="I365" s="2" t="str">
        <x:v>RECENT</x:v>
      </x:c>
      <x:c r="J365" s="9" t="n">
        <x:f>IF(AND(B365&lt;&gt;"",ISNUMBER('Input_Meci'!G35)),INT('Input_Meci'!G35),0)</x:f>
        <x:v>0</x:v>
      </x:c>
      <x:c r="K365" s="2" t="n">
        <x:f>IF(OR(B365="",F365=""),0,IF(H365="HOME",COUNTIFS('Istoric_Nativ'!$B$6:$B$405,E365,'Istoric_Nativ'!$C$6:$C$405,F365,'Istoric_Nativ'!$E$6:$E$405,G365,'Istoric_Nativ'!$D$6:$D$405,"&lt;"&amp;J365,'Istoric_Nativ'!$P$6:$P$405,1),IF(H365="AWAY",COUNTIFS('Istoric_Nativ'!$B$6:$B$405,E365,'Istoric_Nativ'!$C$6:$C$405,F365,'Istoric_Nativ'!$F$6:$F$405,G365,'Istoric_Nativ'!$D$6:$D$405,"&lt;"&amp;J365,'Istoric_Nativ'!$P$6:$P$405,1),COUNTIFS('Istoric_Nativ'!$B$6:$B$405,E365,'Istoric_Nativ'!$C$6:$C$405,F365,'Istoric_Nativ'!$E$6:$E$405,G365,'Istoric_Nativ'!$D$6:$D$405,"&lt;"&amp;J365,'Istoric_Nativ'!$P$6:$P$405,1)+COUNTIFS('Istoric_Nativ'!$B$6:$B$405,E365,'Istoric_Nativ'!$C$6:$C$405,F365,'Istoric_Nativ'!$F$6:$F$405,G365,'Istoric_Nativ'!$D$6:$D$405,"&lt;"&amp;J365,'Istoric_Nativ'!$P$6:$P$405,1))))</x:f>
        <x:v>0</x:v>
      </x:c>
      <x:c r="L365" s="17" t="n">
        <x:f>IF(AND(B365&lt;&gt;"",I365="RECENT",K365&gt;0),LARGE(_xlfn._xlws.FILTER('Istoric_Nativ'!$D$6:$D$405,('Istoric_Nativ'!$B$6:$B$405=E365)*('Istoric_Nativ'!$C$6:$C$405=F365)*('Istoric_Nativ'!$P$6:$P$405=1)*('Istoric_Nativ'!$D$6:$D$405&lt;J365)*((('Istoric_Nativ'!$E$6:$E$405=G365)+('Istoric_Nativ'!$F$6:$F$405=G365))&gt;0)),MIN('Config_v6'!$B$54,K365)),0)</x:f>
        <x:v>0</x:v>
      </x:c>
      <x:c r="M365" s="2" t="n">
        <x:f>IF(OR(B365="",F365=""),0,IF(H365="HOME",COUNTIFS('Istoric_Nativ'!$B$6:$B$405,E365,'Istoric_Nativ'!$C$6:$C$405,F365,'Istoric_Nativ'!$E$6:$E$405,G365,'Istoric_Nativ'!$D$6:$D$405,"&lt;"&amp;J365,'Istoric_Nativ'!$P$6:$P$405,1,'Istoric_Nativ'!$D$6:$D$405,"&gt;="&amp;L365),IF(H365="AWAY",COUNTIFS('Istoric_Nativ'!$B$6:$B$405,E365,'Istoric_Nativ'!$C$6:$C$405,F365,'Istoric_Nativ'!$F$6:$F$405,G365,'Istoric_Nativ'!$D$6:$D$405,"&lt;"&amp;J365,'Istoric_Nativ'!$P$6:$P$405,1,'Istoric_Nativ'!$D$6:$D$405,"&gt;="&amp;L365),COUNTIFS('Istoric_Nativ'!$B$6:$B$405,E365,'Istoric_Nativ'!$C$6:$C$405,F365,'Istoric_Nativ'!$E$6:$E$405,G365,'Istoric_Nativ'!$D$6:$D$405,"&lt;"&amp;J365,'Istoric_Nativ'!$P$6:$P$405,1,'Istoric_Nativ'!$D$6:$D$405,"&gt;="&amp;L365)+COUNTIFS('Istoric_Nativ'!$B$6:$B$405,E365,'Istoric_Nativ'!$C$6:$C$405,F365,'Istoric_Nativ'!$F$6:$F$405,G365,'Istoric_Nativ'!$D$6:$D$405,"&lt;"&amp;J365,'Istoric_Nativ'!$P$6:$P$405,1,'Istoric_Nativ'!$D$6:$D$405,"&gt;="&amp;L365))))</x:f>
        <x:v>0</x:v>
      </x:c>
      <x:c r="N365" s="11" t="str">
        <x:f>IF(M365=0,"",IF(H365="HOME",SUMIFS('Istoric_Nativ'!$G$6:$G$405,'Istoric_Nativ'!$B$6:$B$405,E365,'Istoric_Nativ'!$C$6:$C$405,F365,'Istoric_Nativ'!$E$6:$E$405,G365,'Istoric_Nativ'!$D$6:$D$405,"&lt;"&amp;J365,'Istoric_Nativ'!$P$6:$P$405,1,'Istoric_Nativ'!$D$6:$D$405,"&gt;="&amp;L365),IF(H365="AWAY",SUMIFS('Istoric_Nativ'!$H$6:$H$405,'Istoric_Nativ'!$B$6:$B$405,E365,'Istoric_Nativ'!$C$6:$C$405,F365,'Istoric_Nativ'!$F$6:$F$405,G365,'Istoric_Nativ'!$D$6:$D$405,"&lt;"&amp;J365,'Istoric_Nativ'!$P$6:$P$405,1,'Istoric_Nativ'!$D$6:$D$405,"&gt;="&amp;L365),SUMIFS('Istoric_Nativ'!$G$6:$G$405,'Istoric_Nativ'!$B$6:$B$405,E365,'Istoric_Nativ'!$C$6:$C$405,F365,'Istoric_Nativ'!$E$6:$E$405,G365,'Istoric_Nativ'!$D$6:$D$405,"&lt;"&amp;J365,'Istoric_Nativ'!$P$6:$P$405,1,'Istoric_Nativ'!$D$6:$D$405,"&gt;="&amp;L365)+SUMIFS('Istoric_Nativ'!$H$6:$H$405,'Istoric_Nativ'!$B$6:$B$405,E365,'Istoric_Nativ'!$C$6:$C$405,F365,'Istoric_Nativ'!$F$6:$F$405,G365,'Istoric_Nativ'!$D$6:$D$405,"&lt;"&amp;J365,'Istoric_Nativ'!$P$6:$P$405,1,'Istoric_Nativ'!$D$6:$D$405,"&gt;="&amp;L365)))/M365)</x:f>
      </x:c>
      <x:c r="O365" s="11" t="str">
        <x:f>IF(M365=0,"",IF(H365="HOME",SUMIFS('Istoric_Nativ'!$H$6:$H$405,'Istoric_Nativ'!$B$6:$B$405,E365,'Istoric_Nativ'!$C$6:$C$405,F365,'Istoric_Nativ'!$E$6:$E$405,G365,'Istoric_Nativ'!$D$6:$D$405,"&lt;"&amp;J365,'Istoric_Nativ'!$P$6:$P$405,1,'Istoric_Nativ'!$D$6:$D$405,"&gt;="&amp;L365),IF(H365="AWAY",SUMIFS('Istoric_Nativ'!$G$6:$G$405,'Istoric_Nativ'!$B$6:$B$405,E365,'Istoric_Nativ'!$C$6:$C$405,F365,'Istoric_Nativ'!$F$6:$F$405,G365,'Istoric_Nativ'!$D$6:$D$405,"&lt;"&amp;J365,'Istoric_Nativ'!$P$6:$P$405,1,'Istoric_Nativ'!$D$6:$D$405,"&gt;="&amp;L365),SUMIFS('Istoric_Nativ'!$H$6:$H$405,'Istoric_Nativ'!$B$6:$B$405,E365,'Istoric_Nativ'!$C$6:$C$405,F365,'Istoric_Nativ'!$E$6:$E$405,G365,'Istoric_Nativ'!$D$6:$D$405,"&lt;"&amp;J365,'Istoric_Nativ'!$P$6:$P$405,1,'Istoric_Nativ'!$D$6:$D$405,"&gt;="&amp;L365)+SUMIFS('Istoric_Nativ'!$G$6:$G$405,'Istoric_Nativ'!$B$6:$B$405,E365,'Istoric_Nativ'!$C$6:$C$405,F365,'Istoric_Nativ'!$F$6:$F$405,G365,'Istoric_Nativ'!$D$6:$D$405,"&lt;"&amp;J365,'Istoric_Nativ'!$P$6:$P$405,1,'Istoric_Nativ'!$D$6:$D$405,"&gt;="&amp;L365)))/M365)</x:f>
      </x:c>
      <x:c r="P365" s="2" t="n">
        <x:f>'Config_v6'!$B$9</x:f>
        <x:v>3</x:v>
      </x:c>
      <x:c r="Q365" s="2" t="n">
        <x:f>IF(OR(B365="",F365=""),0,IFERROR(MATCH(E365&amp;"|"&amp;F365,SourceTable[Source_Key],0),0))</x:f>
        <x:v>0</x:v>
      </x:c>
      <x:c r="R365" s="2" t="str">
        <x:f>IF(B365="","",IF(F365="","UNUSED",IF(Q365=0,"NOT CHECKED",IF(COUNTIF(SourceTable[Source_Key],E365&amp;"|"&amp;F365)&lt;&gt;1,"SOURCE CONFLICT",IF(NOT(OR(INDEX(SourceTable[Status],MAX(1,Q365))="IMPORTED",INDEX(SourceTable[Status],MAX(1,Q365))="PARTIAL",INDEX(SourceTable[Status],MAX(1,Q365))="SOURCE CONFLICT")),"ACCESS BLOCKED",IF(OR(INDEX(SourceTable[Coverage],Q365)&lt;&gt;"FULL SEASON EXPORT",INDEX(SourceTable[URL],Q365)="",INDEX(SourceTable[SHA256],Q365)=""),"EVIDENCE INCOMPLETE",IF(AND('Input_Meci'!H35="LIVE",INDEX(SourceTable[Retrieved_UTC],Q365)&gt;'Input_Meci'!G35),"POST CUTOFF","CLOSED")))))))</x:f>
      </x:c>
      <x:c r="S365" s="2" t="n">
        <x:f>IF(OR(B365="",F365=""),0,COUNTIFS('Istoric_Nativ'!$B$6:$B$405,E365,'Istoric_Nativ'!$C$6:$C$405,F365,'Istoric_Nativ'!$E$6:$E$405,G365,'Istoric_Nativ'!$D$6:$D$405,"&lt;"&amp;J365,'Istoric_Nativ'!$O$6:$O$405,"INVALID")+COUNTIFS('Istoric_Nativ'!$B$6:$B$405,E365,'Istoric_Nativ'!$C$6:$C$405,F365,'Istoric_Nativ'!$E$6:$E$405,G365,'Istoric_Nativ'!$O$6:$O$405,"INVALID",'Istoric_Nativ'!$D$6:$D$405,"*")+COUNTIFS('Istoric_Nativ'!$B$6:$B$405,E365,'Istoric_Nativ'!$C$6:$C$405,F365,'Istoric_Nativ'!$E$6:$E$405,G365,'Istoric_Nativ'!$D$6:$D$405,"&lt;"&amp;J365,'Istoric_Nativ'!$O$6:$O$405,"SOURCE CONFLICT")+COUNTIFS('Istoric_Nativ'!$B$6:$B$405,E365,'Istoric_Nativ'!$C$6:$C$405,F365,'Istoric_Nativ'!$F$6:$F$405,G365,'Istoric_Nativ'!$D$6:$D$405,"&lt;"&amp;J365,'Istoric_Nativ'!$O$6:$O$405,"INVALID")+COUNTIFS('Istoric_Nativ'!$B$6:$B$405,E365,'Istoric_Nativ'!$C$6:$C$405,F365,'Istoric_Nativ'!$F$6:$F$405,G365,'Istoric_Nativ'!$O$6:$O$405,"INVALID",'Istoric_Nativ'!$D$6:$D$405,"*")+COUNTIFS('Istoric_Nativ'!$B$6:$B$405,E365,'Istoric_Nativ'!$C$6:$C$405,F365,'Istoric_Nativ'!$F$6:$F$405,G365,'Istoric_Nativ'!$D$6:$D$405,"&lt;"&amp;J365,'Istoric_Nativ'!$O$6:$O$405,"SOURCE CONFLICT"))</x:f>
        <x:v>0</x:v>
      </x:c>
      <x:c r="T365" s="2" t="str">
        <x:f>IF(B365="","",IF(R365&lt;&gt;"CLOSED",R365,IF(S365&gt;0,"NATIVE INPUT ISSUE",IF(M365=0,"NO HISTORY",IF(M365&lt;P365,"SMALL SAMPLE","DERIVED")))))</x:f>
      </x:c>
      <x:c r="U365" s="2" t="str">
        <x:f>IF(B365="","","NativeTable; "&amp;E365&amp;"; "&amp;F365&amp;"; "&amp;G365&amp;"; "&amp;H365&amp;"; before "&amp;TEXT(J365,"yyyy-mm-dd")&amp;IF(I365="RECENT","; from "&amp;TEXT(L365,"yyyy-mm-dd"),""))</x:f>
      </x:c>
    </x:row>
    <x:row r="366" ht="21" customHeight="1">
      <x:c r="A366" s="2" t="n">
        <x:v>31</x:v>
      </x:c>
      <x:c r="B366" s="2" t="str">
        <x:f>IF('Input_Meci'!A36="","",'Input_Meci'!A36)</x:f>
      </x:c>
      <x:c r="C366" s="2" t="str">
        <x:v>H</x:v>
      </x:c>
      <x:c r="D366" s="2" t="str">
        <x:v>CURRENT</x:v>
      </x:c>
      <x:c r="E366" s="2" t="str">
        <x:f>IF(B366="","",'Input_Meci'!B36)</x:f>
      </x:c>
      <x:c r="F366" s="2" t="str">
        <x:f>IF(B366="","",IF('Input_Meci'!C36="","",'Input_Meci'!C36))</x:f>
      </x:c>
      <x:c r="G366" s="2" t="str">
        <x:f>IF(B366="","",'Input_Meci'!D36)</x:f>
      </x:c>
      <x:c r="H366" s="2" t="str">
        <x:v>ANY</x:v>
      </x:c>
      <x:c r="I366" s="2" t="str">
        <x:v>SEASON</x:v>
      </x:c>
      <x:c r="J366" s="9" t="n">
        <x:f>IF(AND(B366&lt;&gt;"",ISNUMBER('Input_Meci'!G36)),INT('Input_Meci'!G36),0)</x:f>
        <x:v>0</x:v>
      </x:c>
      <x:c r="K366" s="2" t="n">
        <x:f>IF(OR(B366="",F366=""),0,IF(H366="HOME",COUNTIFS('Istoric_Nativ'!$B$6:$B$405,E366,'Istoric_Nativ'!$C$6:$C$405,F366,'Istoric_Nativ'!$E$6:$E$405,G366,'Istoric_Nativ'!$D$6:$D$405,"&lt;"&amp;J366,'Istoric_Nativ'!$P$6:$P$405,1),IF(H366="AWAY",COUNTIFS('Istoric_Nativ'!$B$6:$B$405,E366,'Istoric_Nativ'!$C$6:$C$405,F366,'Istoric_Nativ'!$F$6:$F$405,G366,'Istoric_Nativ'!$D$6:$D$405,"&lt;"&amp;J366,'Istoric_Nativ'!$P$6:$P$405,1),COUNTIFS('Istoric_Nativ'!$B$6:$B$405,E366,'Istoric_Nativ'!$C$6:$C$405,F366,'Istoric_Nativ'!$E$6:$E$405,G366,'Istoric_Nativ'!$D$6:$D$405,"&lt;"&amp;J366,'Istoric_Nativ'!$P$6:$P$405,1)+COUNTIFS('Istoric_Nativ'!$B$6:$B$405,E366,'Istoric_Nativ'!$C$6:$C$405,F366,'Istoric_Nativ'!$F$6:$F$405,G366,'Istoric_Nativ'!$D$6:$D$405,"&lt;"&amp;J366,'Istoric_Nativ'!$P$6:$P$405,1))))</x:f>
        <x:v>0</x:v>
      </x:c>
      <x:c r="L366" s="17" t="n">
        <x:f>IF(AND(B366&lt;&gt;"",I366="RECENT",K366&gt;0),LARGE(_xlfn._xlws.FILTER('Istoric_Nativ'!$D$6:$D$405,('Istoric_Nativ'!$B$6:$B$405=E366)*('Istoric_Nativ'!$C$6:$C$405=F366)*('Istoric_Nativ'!$P$6:$P$405=1)*('Istoric_Nativ'!$D$6:$D$405&lt;J366)*((('Istoric_Nativ'!$E$6:$E$405=G366)+('Istoric_Nativ'!$F$6:$F$405=G366))&gt;0)),MIN('Config_v6'!$B$54,K366)),0)</x:f>
        <x:v>0</x:v>
      </x:c>
      <x:c r="M366" s="2" t="n">
        <x:f>IF(OR(B366="",F366=""),0,IF(H366="HOME",COUNTIFS('Istoric_Nativ'!$B$6:$B$405,E366,'Istoric_Nativ'!$C$6:$C$405,F366,'Istoric_Nativ'!$E$6:$E$405,G366,'Istoric_Nativ'!$D$6:$D$405,"&lt;"&amp;J366,'Istoric_Nativ'!$P$6:$P$405,1,'Istoric_Nativ'!$D$6:$D$405,"&gt;="&amp;L366),IF(H366="AWAY",COUNTIFS('Istoric_Nativ'!$B$6:$B$405,E366,'Istoric_Nativ'!$C$6:$C$405,F366,'Istoric_Nativ'!$F$6:$F$405,G366,'Istoric_Nativ'!$D$6:$D$405,"&lt;"&amp;J366,'Istoric_Nativ'!$P$6:$P$405,1,'Istoric_Nativ'!$D$6:$D$405,"&gt;="&amp;L366),COUNTIFS('Istoric_Nativ'!$B$6:$B$405,E366,'Istoric_Nativ'!$C$6:$C$405,F366,'Istoric_Nativ'!$E$6:$E$405,G366,'Istoric_Nativ'!$D$6:$D$405,"&lt;"&amp;J366,'Istoric_Nativ'!$P$6:$P$405,1,'Istoric_Nativ'!$D$6:$D$405,"&gt;="&amp;L366)+COUNTIFS('Istoric_Nativ'!$B$6:$B$405,E366,'Istoric_Nativ'!$C$6:$C$405,F366,'Istoric_Nativ'!$F$6:$F$405,G366,'Istoric_Nativ'!$D$6:$D$405,"&lt;"&amp;J366,'Istoric_Nativ'!$P$6:$P$405,1,'Istoric_Nativ'!$D$6:$D$405,"&gt;="&amp;L366))))</x:f>
        <x:v>0</x:v>
      </x:c>
      <x:c r="N366" s="11" t="str">
        <x:f>IF(M366=0,"",IF(H366="HOME",SUMIFS('Istoric_Nativ'!$G$6:$G$405,'Istoric_Nativ'!$B$6:$B$405,E366,'Istoric_Nativ'!$C$6:$C$405,F366,'Istoric_Nativ'!$E$6:$E$405,G366,'Istoric_Nativ'!$D$6:$D$405,"&lt;"&amp;J366,'Istoric_Nativ'!$P$6:$P$405,1,'Istoric_Nativ'!$D$6:$D$405,"&gt;="&amp;L366),IF(H366="AWAY",SUMIFS('Istoric_Nativ'!$H$6:$H$405,'Istoric_Nativ'!$B$6:$B$405,E366,'Istoric_Nativ'!$C$6:$C$405,F366,'Istoric_Nativ'!$F$6:$F$405,G366,'Istoric_Nativ'!$D$6:$D$405,"&lt;"&amp;J366,'Istoric_Nativ'!$P$6:$P$405,1,'Istoric_Nativ'!$D$6:$D$405,"&gt;="&amp;L366),SUMIFS('Istoric_Nativ'!$G$6:$G$405,'Istoric_Nativ'!$B$6:$B$405,E366,'Istoric_Nativ'!$C$6:$C$405,F366,'Istoric_Nativ'!$E$6:$E$405,G366,'Istoric_Nativ'!$D$6:$D$405,"&lt;"&amp;J366,'Istoric_Nativ'!$P$6:$P$405,1,'Istoric_Nativ'!$D$6:$D$405,"&gt;="&amp;L366)+SUMIFS('Istoric_Nativ'!$H$6:$H$405,'Istoric_Nativ'!$B$6:$B$405,E366,'Istoric_Nativ'!$C$6:$C$405,F366,'Istoric_Nativ'!$F$6:$F$405,G366,'Istoric_Nativ'!$D$6:$D$405,"&lt;"&amp;J366,'Istoric_Nativ'!$P$6:$P$405,1,'Istoric_Nativ'!$D$6:$D$405,"&gt;="&amp;L366)))/M366)</x:f>
      </x:c>
      <x:c r="O366" s="11" t="str">
        <x:f>IF(M366=0,"",IF(H366="HOME",SUMIFS('Istoric_Nativ'!$H$6:$H$405,'Istoric_Nativ'!$B$6:$B$405,E366,'Istoric_Nativ'!$C$6:$C$405,F366,'Istoric_Nativ'!$E$6:$E$405,G366,'Istoric_Nativ'!$D$6:$D$405,"&lt;"&amp;J366,'Istoric_Nativ'!$P$6:$P$405,1,'Istoric_Nativ'!$D$6:$D$405,"&gt;="&amp;L366),IF(H366="AWAY",SUMIFS('Istoric_Nativ'!$G$6:$G$405,'Istoric_Nativ'!$B$6:$B$405,E366,'Istoric_Nativ'!$C$6:$C$405,F366,'Istoric_Nativ'!$F$6:$F$405,G366,'Istoric_Nativ'!$D$6:$D$405,"&lt;"&amp;J366,'Istoric_Nativ'!$P$6:$P$405,1,'Istoric_Nativ'!$D$6:$D$405,"&gt;="&amp;L366),SUMIFS('Istoric_Nativ'!$H$6:$H$405,'Istoric_Nativ'!$B$6:$B$405,E366,'Istoric_Nativ'!$C$6:$C$405,F366,'Istoric_Nativ'!$E$6:$E$405,G366,'Istoric_Nativ'!$D$6:$D$405,"&lt;"&amp;J366,'Istoric_Nativ'!$P$6:$P$405,1,'Istoric_Nativ'!$D$6:$D$405,"&gt;="&amp;L366)+SUMIFS('Istoric_Nativ'!$G$6:$G$405,'Istoric_Nativ'!$B$6:$B$405,E366,'Istoric_Nativ'!$C$6:$C$405,F366,'Istoric_Nativ'!$F$6:$F$405,G366,'Istoric_Nativ'!$D$6:$D$405,"&lt;"&amp;J366,'Istoric_Nativ'!$P$6:$P$405,1,'Istoric_Nativ'!$D$6:$D$405,"&gt;="&amp;L366)))/M366)</x:f>
      </x:c>
      <x:c r="P366" s="2" t="n">
        <x:f>'Config_v6'!$B$7</x:f>
        <x:v>10</x:v>
      </x:c>
      <x:c r="Q366" s="2" t="n">
        <x:f>IF(OR(B366="",F366=""),0,IFERROR(MATCH(E366&amp;"|"&amp;F366,SourceTable[Source_Key],0),0))</x:f>
        <x:v>0</x:v>
      </x:c>
      <x:c r="R366" s="2" t="str">
        <x:f>IF(B366="","",IF(F366="","UNUSED",IF(Q366=0,"NOT CHECKED",IF(COUNTIF(SourceTable[Source_Key],E366&amp;"|"&amp;F366)&lt;&gt;1,"SOURCE CONFLICT",IF(NOT(OR(INDEX(SourceTable[Status],MAX(1,Q366))="IMPORTED",INDEX(SourceTable[Status],MAX(1,Q366))="PARTIAL",INDEX(SourceTable[Status],MAX(1,Q366))="SOURCE CONFLICT")),"ACCESS BLOCKED",IF(OR(INDEX(SourceTable[Coverage],Q366)&lt;&gt;"FULL SEASON EXPORT",INDEX(SourceTable[URL],Q366)="",INDEX(SourceTable[SHA256],Q366)=""),"EVIDENCE INCOMPLETE",IF(AND('Input_Meci'!H36="LIVE",INDEX(SourceTable[Retrieved_UTC],Q366)&gt;'Input_Meci'!G36),"POST CUTOFF","CLOSED")))))))</x:f>
      </x:c>
      <x:c r="S366" s="2" t="n">
        <x:f>IF(OR(B366="",F366=""),0,COUNTIFS('Istoric_Nativ'!$B$6:$B$405,E366,'Istoric_Nativ'!$C$6:$C$405,F366,'Istoric_Nativ'!$E$6:$E$405,G366,'Istoric_Nativ'!$D$6:$D$405,"&lt;"&amp;J366,'Istoric_Nativ'!$O$6:$O$405,"INVALID")+COUNTIFS('Istoric_Nativ'!$B$6:$B$405,E366,'Istoric_Nativ'!$C$6:$C$405,F366,'Istoric_Nativ'!$E$6:$E$405,G366,'Istoric_Nativ'!$O$6:$O$405,"INVALID",'Istoric_Nativ'!$D$6:$D$405,"*")+COUNTIFS('Istoric_Nativ'!$B$6:$B$405,E366,'Istoric_Nativ'!$C$6:$C$405,F366,'Istoric_Nativ'!$E$6:$E$405,G366,'Istoric_Nativ'!$D$6:$D$405,"&lt;"&amp;J366,'Istoric_Nativ'!$O$6:$O$405,"SOURCE CONFLICT")+COUNTIFS('Istoric_Nativ'!$B$6:$B$405,E366,'Istoric_Nativ'!$C$6:$C$405,F366,'Istoric_Nativ'!$F$6:$F$405,G366,'Istoric_Nativ'!$D$6:$D$405,"&lt;"&amp;J366,'Istoric_Nativ'!$O$6:$O$405,"INVALID")+COUNTIFS('Istoric_Nativ'!$B$6:$B$405,E366,'Istoric_Nativ'!$C$6:$C$405,F366,'Istoric_Nativ'!$F$6:$F$405,G366,'Istoric_Nativ'!$O$6:$O$405,"INVALID",'Istoric_Nativ'!$D$6:$D$405,"*")+COUNTIFS('Istoric_Nativ'!$B$6:$B$405,E366,'Istoric_Nativ'!$C$6:$C$405,F366,'Istoric_Nativ'!$F$6:$F$405,G366,'Istoric_Nativ'!$D$6:$D$405,"&lt;"&amp;J366,'Istoric_Nativ'!$O$6:$O$405,"SOURCE CONFLICT"))</x:f>
        <x:v>0</x:v>
      </x:c>
      <x:c r="T366" s="2" t="str">
        <x:f>IF(B366="","",IF(R366&lt;&gt;"CLOSED",R366,IF(S366&gt;0,"NATIVE INPUT ISSUE",IF(M366=0,"NO HISTORY",IF(M366&lt;P366,"SMALL SAMPLE","DERIVED")))))</x:f>
      </x:c>
      <x:c r="U366" s="2" t="str">
        <x:f>IF(B366="","","NativeTable; "&amp;E366&amp;"; "&amp;F366&amp;"; "&amp;G366&amp;"; "&amp;H366&amp;"; before "&amp;TEXT(J366,"yyyy-mm-dd")&amp;IF(I366="RECENT","; from "&amp;TEXT(L366,"yyyy-mm-dd"),""))</x:f>
      </x:c>
    </x:row>
    <x:row r="367" ht="21" customHeight="1">
      <x:c r="A367" s="2" t="n">
        <x:v>31</x:v>
      </x:c>
      <x:c r="B367" s="2" t="str">
        <x:f>IF('Input_Meci'!A36="","",'Input_Meci'!A36)</x:f>
      </x:c>
      <x:c r="C367" s="2" t="str">
        <x:v>H</x:v>
      </x:c>
      <x:c r="D367" s="2" t="str">
        <x:v>CURRENT</x:v>
      </x:c>
      <x:c r="E367" s="2" t="str">
        <x:f>IF(B367="","",'Input_Meci'!B36)</x:f>
      </x:c>
      <x:c r="F367" s="2" t="str">
        <x:f>IF(B367="","",IF('Input_Meci'!C36="","",'Input_Meci'!C36))</x:f>
      </x:c>
      <x:c r="G367" s="2" t="str">
        <x:f>IF(B367="","",'Input_Meci'!D36)</x:f>
      </x:c>
      <x:c r="H367" s="2" t="str">
        <x:v>HOME</x:v>
      </x:c>
      <x:c r="I367" s="2" t="str">
        <x:v>HA</x:v>
      </x:c>
      <x:c r="J367" s="9" t="n">
        <x:f>IF(AND(B367&lt;&gt;"",ISNUMBER('Input_Meci'!G36)),INT('Input_Meci'!G36),0)</x:f>
        <x:v>0</x:v>
      </x:c>
      <x:c r="K367" s="2" t="n">
        <x:f>IF(OR(B367="",F367=""),0,IF(H367="HOME",COUNTIFS('Istoric_Nativ'!$B$6:$B$405,E367,'Istoric_Nativ'!$C$6:$C$405,F367,'Istoric_Nativ'!$E$6:$E$405,G367,'Istoric_Nativ'!$D$6:$D$405,"&lt;"&amp;J367,'Istoric_Nativ'!$P$6:$P$405,1),IF(H367="AWAY",COUNTIFS('Istoric_Nativ'!$B$6:$B$405,E367,'Istoric_Nativ'!$C$6:$C$405,F367,'Istoric_Nativ'!$F$6:$F$405,G367,'Istoric_Nativ'!$D$6:$D$405,"&lt;"&amp;J367,'Istoric_Nativ'!$P$6:$P$405,1),COUNTIFS('Istoric_Nativ'!$B$6:$B$405,E367,'Istoric_Nativ'!$C$6:$C$405,F367,'Istoric_Nativ'!$E$6:$E$405,G367,'Istoric_Nativ'!$D$6:$D$405,"&lt;"&amp;J367,'Istoric_Nativ'!$P$6:$P$405,1)+COUNTIFS('Istoric_Nativ'!$B$6:$B$405,E367,'Istoric_Nativ'!$C$6:$C$405,F367,'Istoric_Nativ'!$F$6:$F$405,G367,'Istoric_Nativ'!$D$6:$D$405,"&lt;"&amp;J367,'Istoric_Nativ'!$P$6:$P$405,1))))</x:f>
        <x:v>0</x:v>
      </x:c>
      <x:c r="L367" s="17" t="n">
        <x:f>IF(AND(B367&lt;&gt;"",I367="RECENT",K367&gt;0),LARGE(_xlfn._xlws.FILTER('Istoric_Nativ'!$D$6:$D$405,('Istoric_Nativ'!$B$6:$B$405=E367)*('Istoric_Nativ'!$C$6:$C$405=F367)*('Istoric_Nativ'!$P$6:$P$405=1)*('Istoric_Nativ'!$D$6:$D$405&lt;J367)*((('Istoric_Nativ'!$E$6:$E$405=G367)+('Istoric_Nativ'!$F$6:$F$405=G367))&gt;0)),MIN('Config_v6'!$B$54,K367)),0)</x:f>
        <x:v>0</x:v>
      </x:c>
      <x:c r="M367" s="2" t="n">
        <x:f>IF(OR(B367="",F367=""),0,IF(H367="HOME",COUNTIFS('Istoric_Nativ'!$B$6:$B$405,E367,'Istoric_Nativ'!$C$6:$C$405,F367,'Istoric_Nativ'!$E$6:$E$405,G367,'Istoric_Nativ'!$D$6:$D$405,"&lt;"&amp;J367,'Istoric_Nativ'!$P$6:$P$405,1,'Istoric_Nativ'!$D$6:$D$405,"&gt;="&amp;L367),IF(H367="AWAY",COUNTIFS('Istoric_Nativ'!$B$6:$B$405,E367,'Istoric_Nativ'!$C$6:$C$405,F367,'Istoric_Nativ'!$F$6:$F$405,G367,'Istoric_Nativ'!$D$6:$D$405,"&lt;"&amp;J367,'Istoric_Nativ'!$P$6:$P$405,1,'Istoric_Nativ'!$D$6:$D$405,"&gt;="&amp;L367),COUNTIFS('Istoric_Nativ'!$B$6:$B$405,E367,'Istoric_Nativ'!$C$6:$C$405,F367,'Istoric_Nativ'!$E$6:$E$405,G367,'Istoric_Nativ'!$D$6:$D$405,"&lt;"&amp;J367,'Istoric_Nativ'!$P$6:$P$405,1,'Istoric_Nativ'!$D$6:$D$405,"&gt;="&amp;L367)+COUNTIFS('Istoric_Nativ'!$B$6:$B$405,E367,'Istoric_Nativ'!$C$6:$C$405,F367,'Istoric_Nativ'!$F$6:$F$405,G367,'Istoric_Nativ'!$D$6:$D$405,"&lt;"&amp;J367,'Istoric_Nativ'!$P$6:$P$405,1,'Istoric_Nativ'!$D$6:$D$405,"&gt;="&amp;L367))))</x:f>
        <x:v>0</x:v>
      </x:c>
      <x:c r="N367" s="11" t="str">
        <x:f>IF(M367=0,"",IF(H367="HOME",SUMIFS('Istoric_Nativ'!$G$6:$G$405,'Istoric_Nativ'!$B$6:$B$405,E367,'Istoric_Nativ'!$C$6:$C$405,F367,'Istoric_Nativ'!$E$6:$E$405,G367,'Istoric_Nativ'!$D$6:$D$405,"&lt;"&amp;J367,'Istoric_Nativ'!$P$6:$P$405,1,'Istoric_Nativ'!$D$6:$D$405,"&gt;="&amp;L367),IF(H367="AWAY",SUMIFS('Istoric_Nativ'!$H$6:$H$405,'Istoric_Nativ'!$B$6:$B$405,E367,'Istoric_Nativ'!$C$6:$C$405,F367,'Istoric_Nativ'!$F$6:$F$405,G367,'Istoric_Nativ'!$D$6:$D$405,"&lt;"&amp;J367,'Istoric_Nativ'!$P$6:$P$405,1,'Istoric_Nativ'!$D$6:$D$405,"&gt;="&amp;L367),SUMIFS('Istoric_Nativ'!$G$6:$G$405,'Istoric_Nativ'!$B$6:$B$405,E367,'Istoric_Nativ'!$C$6:$C$405,F367,'Istoric_Nativ'!$E$6:$E$405,G367,'Istoric_Nativ'!$D$6:$D$405,"&lt;"&amp;J367,'Istoric_Nativ'!$P$6:$P$405,1,'Istoric_Nativ'!$D$6:$D$405,"&gt;="&amp;L367)+SUMIFS('Istoric_Nativ'!$H$6:$H$405,'Istoric_Nativ'!$B$6:$B$405,E367,'Istoric_Nativ'!$C$6:$C$405,F367,'Istoric_Nativ'!$F$6:$F$405,G367,'Istoric_Nativ'!$D$6:$D$405,"&lt;"&amp;J367,'Istoric_Nativ'!$P$6:$P$405,1,'Istoric_Nativ'!$D$6:$D$405,"&gt;="&amp;L367)))/M367)</x:f>
      </x:c>
      <x:c r="O367" s="11" t="str">
        <x:f>IF(M367=0,"",IF(H367="HOME",SUMIFS('Istoric_Nativ'!$H$6:$H$405,'Istoric_Nativ'!$B$6:$B$405,E367,'Istoric_Nativ'!$C$6:$C$405,F367,'Istoric_Nativ'!$E$6:$E$405,G367,'Istoric_Nativ'!$D$6:$D$405,"&lt;"&amp;J367,'Istoric_Nativ'!$P$6:$P$405,1,'Istoric_Nativ'!$D$6:$D$405,"&gt;="&amp;L367),IF(H367="AWAY",SUMIFS('Istoric_Nativ'!$G$6:$G$405,'Istoric_Nativ'!$B$6:$B$405,E367,'Istoric_Nativ'!$C$6:$C$405,F367,'Istoric_Nativ'!$F$6:$F$405,G367,'Istoric_Nativ'!$D$6:$D$405,"&lt;"&amp;J367,'Istoric_Nativ'!$P$6:$P$405,1,'Istoric_Nativ'!$D$6:$D$405,"&gt;="&amp;L367),SUMIFS('Istoric_Nativ'!$H$6:$H$405,'Istoric_Nativ'!$B$6:$B$405,E367,'Istoric_Nativ'!$C$6:$C$405,F367,'Istoric_Nativ'!$E$6:$E$405,G367,'Istoric_Nativ'!$D$6:$D$405,"&lt;"&amp;J367,'Istoric_Nativ'!$P$6:$P$405,1,'Istoric_Nativ'!$D$6:$D$405,"&gt;="&amp;L367)+SUMIFS('Istoric_Nativ'!$G$6:$G$405,'Istoric_Nativ'!$B$6:$B$405,E367,'Istoric_Nativ'!$C$6:$C$405,F367,'Istoric_Nativ'!$F$6:$F$405,G367,'Istoric_Nativ'!$D$6:$D$405,"&lt;"&amp;J367,'Istoric_Nativ'!$P$6:$P$405,1,'Istoric_Nativ'!$D$6:$D$405,"&gt;="&amp;L367)))/M367)</x:f>
      </x:c>
      <x:c r="P367" s="2" t="n">
        <x:f>'Config_v6'!$B$8</x:f>
        <x:v>5</x:v>
      </x:c>
      <x:c r="Q367" s="2" t="n">
        <x:f>IF(OR(B367="",F367=""),0,IFERROR(MATCH(E367&amp;"|"&amp;F367,SourceTable[Source_Key],0),0))</x:f>
        <x:v>0</x:v>
      </x:c>
      <x:c r="R367" s="2" t="str">
        <x:f>IF(B367="","",IF(F367="","UNUSED",IF(Q367=0,"NOT CHECKED",IF(COUNTIF(SourceTable[Source_Key],E367&amp;"|"&amp;F367)&lt;&gt;1,"SOURCE CONFLICT",IF(NOT(OR(INDEX(SourceTable[Status],MAX(1,Q367))="IMPORTED",INDEX(SourceTable[Status],MAX(1,Q367))="PARTIAL",INDEX(SourceTable[Status],MAX(1,Q367))="SOURCE CONFLICT")),"ACCESS BLOCKED",IF(OR(INDEX(SourceTable[Coverage],Q367)&lt;&gt;"FULL SEASON EXPORT",INDEX(SourceTable[URL],Q367)="",INDEX(SourceTable[SHA256],Q367)=""),"EVIDENCE INCOMPLETE",IF(AND('Input_Meci'!H36="LIVE",INDEX(SourceTable[Retrieved_UTC],Q367)&gt;'Input_Meci'!G36),"POST CUTOFF","CLOSED")))))))</x:f>
      </x:c>
      <x:c r="S367" s="2" t="n">
        <x:f>IF(OR(B367="",F367=""),0,COUNTIFS('Istoric_Nativ'!$B$6:$B$405,E367,'Istoric_Nativ'!$C$6:$C$405,F367,'Istoric_Nativ'!$E$6:$E$405,G367,'Istoric_Nativ'!$D$6:$D$405,"&lt;"&amp;J367,'Istoric_Nativ'!$O$6:$O$405,"INVALID")+COUNTIFS('Istoric_Nativ'!$B$6:$B$405,E367,'Istoric_Nativ'!$C$6:$C$405,F367,'Istoric_Nativ'!$E$6:$E$405,G367,'Istoric_Nativ'!$O$6:$O$405,"INVALID",'Istoric_Nativ'!$D$6:$D$405,"*")+COUNTIFS('Istoric_Nativ'!$B$6:$B$405,E367,'Istoric_Nativ'!$C$6:$C$405,F367,'Istoric_Nativ'!$E$6:$E$405,G367,'Istoric_Nativ'!$D$6:$D$405,"&lt;"&amp;J367,'Istoric_Nativ'!$O$6:$O$405,"SOURCE CONFLICT")+COUNTIFS('Istoric_Nativ'!$B$6:$B$405,E367,'Istoric_Nativ'!$C$6:$C$405,F367,'Istoric_Nativ'!$F$6:$F$405,G367,'Istoric_Nativ'!$D$6:$D$405,"&lt;"&amp;J367,'Istoric_Nativ'!$O$6:$O$405,"INVALID")+COUNTIFS('Istoric_Nativ'!$B$6:$B$405,E367,'Istoric_Nativ'!$C$6:$C$405,F367,'Istoric_Nativ'!$F$6:$F$405,G367,'Istoric_Nativ'!$O$6:$O$405,"INVALID",'Istoric_Nativ'!$D$6:$D$405,"*")+COUNTIFS('Istoric_Nativ'!$B$6:$B$405,E367,'Istoric_Nativ'!$C$6:$C$405,F367,'Istoric_Nativ'!$F$6:$F$405,G367,'Istoric_Nativ'!$D$6:$D$405,"&lt;"&amp;J367,'Istoric_Nativ'!$O$6:$O$405,"SOURCE CONFLICT"))</x:f>
        <x:v>0</x:v>
      </x:c>
      <x:c r="T367" s="2" t="str">
        <x:f>IF(B367="","",IF(R367&lt;&gt;"CLOSED",R367,IF(S367&gt;0,"NATIVE INPUT ISSUE",IF(M367=0,"NO HISTORY",IF(M367&lt;P367,"SMALL SAMPLE","DERIVED")))))</x:f>
      </x:c>
      <x:c r="U367" s="2" t="str">
        <x:f>IF(B367="","","NativeTable; "&amp;E367&amp;"; "&amp;F367&amp;"; "&amp;G367&amp;"; "&amp;H367&amp;"; before "&amp;TEXT(J367,"yyyy-mm-dd")&amp;IF(I367="RECENT","; from "&amp;TEXT(L367,"yyyy-mm-dd"),""))</x:f>
      </x:c>
    </x:row>
    <x:row r="368" ht="21" customHeight="1">
      <x:c r="A368" s="2" t="n">
        <x:v>31</x:v>
      </x:c>
      <x:c r="B368" s="2" t="str">
        <x:f>IF('Input_Meci'!A36="","",'Input_Meci'!A36)</x:f>
      </x:c>
      <x:c r="C368" s="2" t="str">
        <x:v>H</x:v>
      </x:c>
      <x:c r="D368" s="2" t="str">
        <x:v>CURRENT</x:v>
      </x:c>
      <x:c r="E368" s="2" t="str">
        <x:f>IF(B368="","",'Input_Meci'!B36)</x:f>
      </x:c>
      <x:c r="F368" s="2" t="str">
        <x:f>IF(B368="","",IF('Input_Meci'!C36="","",'Input_Meci'!C36))</x:f>
      </x:c>
      <x:c r="G368" s="2" t="str">
        <x:f>IF(B368="","",'Input_Meci'!D36)</x:f>
      </x:c>
      <x:c r="H368" s="2" t="str">
        <x:v>ANY</x:v>
      </x:c>
      <x:c r="I368" s="2" t="str">
        <x:v>RECENT</x:v>
      </x:c>
      <x:c r="J368" s="9" t="n">
        <x:f>IF(AND(B368&lt;&gt;"",ISNUMBER('Input_Meci'!G36)),INT('Input_Meci'!G36),0)</x:f>
        <x:v>0</x:v>
      </x:c>
      <x:c r="K368" s="2" t="n">
        <x:f>IF(OR(B368="",F368=""),0,IF(H368="HOME",COUNTIFS('Istoric_Nativ'!$B$6:$B$405,E368,'Istoric_Nativ'!$C$6:$C$405,F368,'Istoric_Nativ'!$E$6:$E$405,G368,'Istoric_Nativ'!$D$6:$D$405,"&lt;"&amp;J368,'Istoric_Nativ'!$P$6:$P$405,1),IF(H368="AWAY",COUNTIFS('Istoric_Nativ'!$B$6:$B$405,E368,'Istoric_Nativ'!$C$6:$C$405,F368,'Istoric_Nativ'!$F$6:$F$405,G368,'Istoric_Nativ'!$D$6:$D$405,"&lt;"&amp;J368,'Istoric_Nativ'!$P$6:$P$405,1),COUNTIFS('Istoric_Nativ'!$B$6:$B$405,E368,'Istoric_Nativ'!$C$6:$C$405,F368,'Istoric_Nativ'!$E$6:$E$405,G368,'Istoric_Nativ'!$D$6:$D$405,"&lt;"&amp;J368,'Istoric_Nativ'!$P$6:$P$405,1)+COUNTIFS('Istoric_Nativ'!$B$6:$B$405,E368,'Istoric_Nativ'!$C$6:$C$405,F368,'Istoric_Nativ'!$F$6:$F$405,G368,'Istoric_Nativ'!$D$6:$D$405,"&lt;"&amp;J368,'Istoric_Nativ'!$P$6:$P$405,1))))</x:f>
        <x:v>0</x:v>
      </x:c>
      <x:c r="L368" s="17" t="n">
        <x:f>IF(AND(B368&lt;&gt;"",I368="RECENT",K368&gt;0),LARGE(_xlfn._xlws.FILTER('Istoric_Nativ'!$D$6:$D$405,('Istoric_Nativ'!$B$6:$B$405=E368)*('Istoric_Nativ'!$C$6:$C$405=F368)*('Istoric_Nativ'!$P$6:$P$405=1)*('Istoric_Nativ'!$D$6:$D$405&lt;J368)*((('Istoric_Nativ'!$E$6:$E$405=G368)+('Istoric_Nativ'!$F$6:$F$405=G368))&gt;0)),MIN('Config_v6'!$B$54,K368)),0)</x:f>
        <x:v>0</x:v>
      </x:c>
      <x:c r="M368" s="2" t="n">
        <x:f>IF(OR(B368="",F368=""),0,IF(H368="HOME",COUNTIFS('Istoric_Nativ'!$B$6:$B$405,E368,'Istoric_Nativ'!$C$6:$C$405,F368,'Istoric_Nativ'!$E$6:$E$405,G368,'Istoric_Nativ'!$D$6:$D$405,"&lt;"&amp;J368,'Istoric_Nativ'!$P$6:$P$405,1,'Istoric_Nativ'!$D$6:$D$405,"&gt;="&amp;L368),IF(H368="AWAY",COUNTIFS('Istoric_Nativ'!$B$6:$B$405,E368,'Istoric_Nativ'!$C$6:$C$405,F368,'Istoric_Nativ'!$F$6:$F$405,G368,'Istoric_Nativ'!$D$6:$D$405,"&lt;"&amp;J368,'Istoric_Nativ'!$P$6:$P$405,1,'Istoric_Nativ'!$D$6:$D$405,"&gt;="&amp;L368),COUNTIFS('Istoric_Nativ'!$B$6:$B$405,E368,'Istoric_Nativ'!$C$6:$C$405,F368,'Istoric_Nativ'!$E$6:$E$405,G368,'Istoric_Nativ'!$D$6:$D$405,"&lt;"&amp;J368,'Istoric_Nativ'!$P$6:$P$405,1,'Istoric_Nativ'!$D$6:$D$405,"&gt;="&amp;L368)+COUNTIFS('Istoric_Nativ'!$B$6:$B$405,E368,'Istoric_Nativ'!$C$6:$C$405,F368,'Istoric_Nativ'!$F$6:$F$405,G368,'Istoric_Nativ'!$D$6:$D$405,"&lt;"&amp;J368,'Istoric_Nativ'!$P$6:$P$405,1,'Istoric_Nativ'!$D$6:$D$405,"&gt;="&amp;L368))))</x:f>
        <x:v>0</x:v>
      </x:c>
      <x:c r="N368" s="11" t="str">
        <x:f>IF(M368=0,"",IF(H368="HOME",SUMIFS('Istoric_Nativ'!$G$6:$G$405,'Istoric_Nativ'!$B$6:$B$405,E368,'Istoric_Nativ'!$C$6:$C$405,F368,'Istoric_Nativ'!$E$6:$E$405,G368,'Istoric_Nativ'!$D$6:$D$405,"&lt;"&amp;J368,'Istoric_Nativ'!$P$6:$P$405,1,'Istoric_Nativ'!$D$6:$D$405,"&gt;="&amp;L368),IF(H368="AWAY",SUMIFS('Istoric_Nativ'!$H$6:$H$405,'Istoric_Nativ'!$B$6:$B$405,E368,'Istoric_Nativ'!$C$6:$C$405,F368,'Istoric_Nativ'!$F$6:$F$405,G368,'Istoric_Nativ'!$D$6:$D$405,"&lt;"&amp;J368,'Istoric_Nativ'!$P$6:$P$405,1,'Istoric_Nativ'!$D$6:$D$405,"&gt;="&amp;L368),SUMIFS('Istoric_Nativ'!$G$6:$G$405,'Istoric_Nativ'!$B$6:$B$405,E368,'Istoric_Nativ'!$C$6:$C$405,F368,'Istoric_Nativ'!$E$6:$E$405,G368,'Istoric_Nativ'!$D$6:$D$405,"&lt;"&amp;J368,'Istoric_Nativ'!$P$6:$P$405,1,'Istoric_Nativ'!$D$6:$D$405,"&gt;="&amp;L368)+SUMIFS('Istoric_Nativ'!$H$6:$H$405,'Istoric_Nativ'!$B$6:$B$405,E368,'Istoric_Nativ'!$C$6:$C$405,F368,'Istoric_Nativ'!$F$6:$F$405,G368,'Istoric_Nativ'!$D$6:$D$405,"&lt;"&amp;J368,'Istoric_Nativ'!$P$6:$P$405,1,'Istoric_Nativ'!$D$6:$D$405,"&gt;="&amp;L368)))/M368)</x:f>
      </x:c>
      <x:c r="O368" s="11" t="str">
        <x:f>IF(M368=0,"",IF(H368="HOME",SUMIFS('Istoric_Nativ'!$H$6:$H$405,'Istoric_Nativ'!$B$6:$B$405,E368,'Istoric_Nativ'!$C$6:$C$405,F368,'Istoric_Nativ'!$E$6:$E$405,G368,'Istoric_Nativ'!$D$6:$D$405,"&lt;"&amp;J368,'Istoric_Nativ'!$P$6:$P$405,1,'Istoric_Nativ'!$D$6:$D$405,"&gt;="&amp;L368),IF(H368="AWAY",SUMIFS('Istoric_Nativ'!$G$6:$G$405,'Istoric_Nativ'!$B$6:$B$405,E368,'Istoric_Nativ'!$C$6:$C$405,F368,'Istoric_Nativ'!$F$6:$F$405,G368,'Istoric_Nativ'!$D$6:$D$405,"&lt;"&amp;J368,'Istoric_Nativ'!$P$6:$P$405,1,'Istoric_Nativ'!$D$6:$D$405,"&gt;="&amp;L368),SUMIFS('Istoric_Nativ'!$H$6:$H$405,'Istoric_Nativ'!$B$6:$B$405,E368,'Istoric_Nativ'!$C$6:$C$405,F368,'Istoric_Nativ'!$E$6:$E$405,G368,'Istoric_Nativ'!$D$6:$D$405,"&lt;"&amp;J368,'Istoric_Nativ'!$P$6:$P$405,1,'Istoric_Nativ'!$D$6:$D$405,"&gt;="&amp;L368)+SUMIFS('Istoric_Nativ'!$G$6:$G$405,'Istoric_Nativ'!$B$6:$B$405,E368,'Istoric_Nativ'!$C$6:$C$405,F368,'Istoric_Nativ'!$F$6:$F$405,G368,'Istoric_Nativ'!$D$6:$D$405,"&lt;"&amp;J368,'Istoric_Nativ'!$P$6:$P$405,1,'Istoric_Nativ'!$D$6:$D$405,"&gt;="&amp;L368)))/M368)</x:f>
      </x:c>
      <x:c r="P368" s="2" t="n">
        <x:f>'Config_v6'!$B$9</x:f>
        <x:v>3</x:v>
      </x:c>
      <x:c r="Q368" s="2" t="n">
        <x:f>IF(OR(B368="",F368=""),0,IFERROR(MATCH(E368&amp;"|"&amp;F368,SourceTable[Source_Key],0),0))</x:f>
        <x:v>0</x:v>
      </x:c>
      <x:c r="R368" s="2" t="str">
        <x:f>IF(B368="","",IF(F368="","UNUSED",IF(Q368=0,"NOT CHECKED",IF(COUNTIF(SourceTable[Source_Key],E368&amp;"|"&amp;F368)&lt;&gt;1,"SOURCE CONFLICT",IF(NOT(OR(INDEX(SourceTable[Status],MAX(1,Q368))="IMPORTED",INDEX(SourceTable[Status],MAX(1,Q368))="PARTIAL",INDEX(SourceTable[Status],MAX(1,Q368))="SOURCE CONFLICT")),"ACCESS BLOCKED",IF(OR(INDEX(SourceTable[Coverage],Q368)&lt;&gt;"FULL SEASON EXPORT",INDEX(SourceTable[URL],Q368)="",INDEX(SourceTable[SHA256],Q368)=""),"EVIDENCE INCOMPLETE",IF(AND('Input_Meci'!H36="LIVE",INDEX(SourceTable[Retrieved_UTC],Q368)&gt;'Input_Meci'!G36),"POST CUTOFF","CLOSED")))))))</x:f>
      </x:c>
      <x:c r="S368" s="2" t="n">
        <x:f>IF(OR(B368="",F368=""),0,COUNTIFS('Istoric_Nativ'!$B$6:$B$405,E368,'Istoric_Nativ'!$C$6:$C$405,F368,'Istoric_Nativ'!$E$6:$E$405,G368,'Istoric_Nativ'!$D$6:$D$405,"&lt;"&amp;J368,'Istoric_Nativ'!$O$6:$O$405,"INVALID")+COUNTIFS('Istoric_Nativ'!$B$6:$B$405,E368,'Istoric_Nativ'!$C$6:$C$405,F368,'Istoric_Nativ'!$E$6:$E$405,G368,'Istoric_Nativ'!$O$6:$O$405,"INVALID",'Istoric_Nativ'!$D$6:$D$405,"*")+COUNTIFS('Istoric_Nativ'!$B$6:$B$405,E368,'Istoric_Nativ'!$C$6:$C$405,F368,'Istoric_Nativ'!$E$6:$E$405,G368,'Istoric_Nativ'!$D$6:$D$405,"&lt;"&amp;J368,'Istoric_Nativ'!$O$6:$O$405,"SOURCE CONFLICT")+COUNTIFS('Istoric_Nativ'!$B$6:$B$405,E368,'Istoric_Nativ'!$C$6:$C$405,F368,'Istoric_Nativ'!$F$6:$F$405,G368,'Istoric_Nativ'!$D$6:$D$405,"&lt;"&amp;J368,'Istoric_Nativ'!$O$6:$O$405,"INVALID")+COUNTIFS('Istoric_Nativ'!$B$6:$B$405,E368,'Istoric_Nativ'!$C$6:$C$405,F368,'Istoric_Nativ'!$F$6:$F$405,G368,'Istoric_Nativ'!$O$6:$O$405,"INVALID",'Istoric_Nativ'!$D$6:$D$405,"*")+COUNTIFS('Istoric_Nativ'!$B$6:$B$405,E368,'Istoric_Nativ'!$C$6:$C$405,F368,'Istoric_Nativ'!$F$6:$F$405,G368,'Istoric_Nativ'!$D$6:$D$405,"&lt;"&amp;J368,'Istoric_Nativ'!$O$6:$O$405,"SOURCE CONFLICT"))</x:f>
        <x:v>0</x:v>
      </x:c>
      <x:c r="T368" s="2" t="str">
        <x:f>IF(B368="","",IF(R368&lt;&gt;"CLOSED",R368,IF(S368&gt;0,"NATIVE INPUT ISSUE",IF(M368=0,"NO HISTORY",IF(M368&lt;P368,"SMALL SAMPLE","DERIVED")))))</x:f>
      </x:c>
      <x:c r="U368" s="2" t="str">
        <x:f>IF(B368="","","NativeTable; "&amp;E368&amp;"; "&amp;F368&amp;"; "&amp;G368&amp;"; "&amp;H368&amp;"; before "&amp;TEXT(J368,"yyyy-mm-dd")&amp;IF(I368="RECENT","; from "&amp;TEXT(L368,"yyyy-mm-dd"),""))</x:f>
      </x:c>
    </x:row>
    <x:row r="369" ht="21" customHeight="1">
      <x:c r="A369" s="2" t="n">
        <x:v>31</x:v>
      </x:c>
      <x:c r="B369" s="2" t="str">
        <x:f>IF('Input_Meci'!A36="","",'Input_Meci'!A36)</x:f>
      </x:c>
      <x:c r="C369" s="2" t="str">
        <x:v>A</x:v>
      </x:c>
      <x:c r="D369" s="2" t="str">
        <x:v>CURRENT</x:v>
      </x:c>
      <x:c r="E369" s="2" t="str">
        <x:f>IF(B369="","",'Input_Meci'!B36)</x:f>
      </x:c>
      <x:c r="F369" s="2" t="str">
        <x:f>IF(B369="","",IF('Input_Meci'!C36="","",'Input_Meci'!C36))</x:f>
      </x:c>
      <x:c r="G369" s="2" t="str">
        <x:f>IF(B369="","",'Input_Meci'!E36)</x:f>
      </x:c>
      <x:c r="H369" s="2" t="str">
        <x:v>ANY</x:v>
      </x:c>
      <x:c r="I369" s="2" t="str">
        <x:v>SEASON</x:v>
      </x:c>
      <x:c r="J369" s="9" t="n">
        <x:f>IF(AND(B369&lt;&gt;"",ISNUMBER('Input_Meci'!G36)),INT('Input_Meci'!G36),0)</x:f>
        <x:v>0</x:v>
      </x:c>
      <x:c r="K369" s="2" t="n">
        <x:f>IF(OR(B369="",F369=""),0,IF(H369="HOME",COUNTIFS('Istoric_Nativ'!$B$6:$B$405,E369,'Istoric_Nativ'!$C$6:$C$405,F369,'Istoric_Nativ'!$E$6:$E$405,G369,'Istoric_Nativ'!$D$6:$D$405,"&lt;"&amp;J369,'Istoric_Nativ'!$P$6:$P$405,1),IF(H369="AWAY",COUNTIFS('Istoric_Nativ'!$B$6:$B$405,E369,'Istoric_Nativ'!$C$6:$C$405,F369,'Istoric_Nativ'!$F$6:$F$405,G369,'Istoric_Nativ'!$D$6:$D$405,"&lt;"&amp;J369,'Istoric_Nativ'!$P$6:$P$405,1),COUNTIFS('Istoric_Nativ'!$B$6:$B$405,E369,'Istoric_Nativ'!$C$6:$C$405,F369,'Istoric_Nativ'!$E$6:$E$405,G369,'Istoric_Nativ'!$D$6:$D$405,"&lt;"&amp;J369,'Istoric_Nativ'!$P$6:$P$405,1)+COUNTIFS('Istoric_Nativ'!$B$6:$B$405,E369,'Istoric_Nativ'!$C$6:$C$405,F369,'Istoric_Nativ'!$F$6:$F$405,G369,'Istoric_Nativ'!$D$6:$D$405,"&lt;"&amp;J369,'Istoric_Nativ'!$P$6:$P$405,1))))</x:f>
        <x:v>0</x:v>
      </x:c>
      <x:c r="L369" s="17" t="n">
        <x:f>IF(AND(B369&lt;&gt;"",I369="RECENT",K369&gt;0),LARGE(_xlfn._xlws.FILTER('Istoric_Nativ'!$D$6:$D$405,('Istoric_Nativ'!$B$6:$B$405=E369)*('Istoric_Nativ'!$C$6:$C$405=F369)*('Istoric_Nativ'!$P$6:$P$405=1)*('Istoric_Nativ'!$D$6:$D$405&lt;J369)*((('Istoric_Nativ'!$E$6:$E$405=G369)+('Istoric_Nativ'!$F$6:$F$405=G369))&gt;0)),MIN('Config_v6'!$B$54,K369)),0)</x:f>
        <x:v>0</x:v>
      </x:c>
      <x:c r="M369" s="2" t="n">
        <x:f>IF(OR(B369="",F369=""),0,IF(H369="HOME",COUNTIFS('Istoric_Nativ'!$B$6:$B$405,E369,'Istoric_Nativ'!$C$6:$C$405,F369,'Istoric_Nativ'!$E$6:$E$405,G369,'Istoric_Nativ'!$D$6:$D$405,"&lt;"&amp;J369,'Istoric_Nativ'!$P$6:$P$405,1,'Istoric_Nativ'!$D$6:$D$405,"&gt;="&amp;L369),IF(H369="AWAY",COUNTIFS('Istoric_Nativ'!$B$6:$B$405,E369,'Istoric_Nativ'!$C$6:$C$405,F369,'Istoric_Nativ'!$F$6:$F$405,G369,'Istoric_Nativ'!$D$6:$D$405,"&lt;"&amp;J369,'Istoric_Nativ'!$P$6:$P$405,1,'Istoric_Nativ'!$D$6:$D$405,"&gt;="&amp;L369),COUNTIFS('Istoric_Nativ'!$B$6:$B$405,E369,'Istoric_Nativ'!$C$6:$C$405,F369,'Istoric_Nativ'!$E$6:$E$405,G369,'Istoric_Nativ'!$D$6:$D$405,"&lt;"&amp;J369,'Istoric_Nativ'!$P$6:$P$405,1,'Istoric_Nativ'!$D$6:$D$405,"&gt;="&amp;L369)+COUNTIFS('Istoric_Nativ'!$B$6:$B$405,E369,'Istoric_Nativ'!$C$6:$C$405,F369,'Istoric_Nativ'!$F$6:$F$405,G369,'Istoric_Nativ'!$D$6:$D$405,"&lt;"&amp;J369,'Istoric_Nativ'!$P$6:$P$405,1,'Istoric_Nativ'!$D$6:$D$405,"&gt;="&amp;L369))))</x:f>
        <x:v>0</x:v>
      </x:c>
      <x:c r="N369" s="11" t="str">
        <x:f>IF(M369=0,"",IF(H369="HOME",SUMIFS('Istoric_Nativ'!$G$6:$G$405,'Istoric_Nativ'!$B$6:$B$405,E369,'Istoric_Nativ'!$C$6:$C$405,F369,'Istoric_Nativ'!$E$6:$E$405,G369,'Istoric_Nativ'!$D$6:$D$405,"&lt;"&amp;J369,'Istoric_Nativ'!$P$6:$P$405,1,'Istoric_Nativ'!$D$6:$D$405,"&gt;="&amp;L369),IF(H369="AWAY",SUMIFS('Istoric_Nativ'!$H$6:$H$405,'Istoric_Nativ'!$B$6:$B$405,E369,'Istoric_Nativ'!$C$6:$C$405,F369,'Istoric_Nativ'!$F$6:$F$405,G369,'Istoric_Nativ'!$D$6:$D$405,"&lt;"&amp;J369,'Istoric_Nativ'!$P$6:$P$405,1,'Istoric_Nativ'!$D$6:$D$405,"&gt;="&amp;L369),SUMIFS('Istoric_Nativ'!$G$6:$G$405,'Istoric_Nativ'!$B$6:$B$405,E369,'Istoric_Nativ'!$C$6:$C$405,F369,'Istoric_Nativ'!$E$6:$E$405,G369,'Istoric_Nativ'!$D$6:$D$405,"&lt;"&amp;J369,'Istoric_Nativ'!$P$6:$P$405,1,'Istoric_Nativ'!$D$6:$D$405,"&gt;="&amp;L369)+SUMIFS('Istoric_Nativ'!$H$6:$H$405,'Istoric_Nativ'!$B$6:$B$405,E369,'Istoric_Nativ'!$C$6:$C$405,F369,'Istoric_Nativ'!$F$6:$F$405,G369,'Istoric_Nativ'!$D$6:$D$405,"&lt;"&amp;J369,'Istoric_Nativ'!$P$6:$P$405,1,'Istoric_Nativ'!$D$6:$D$405,"&gt;="&amp;L369)))/M369)</x:f>
      </x:c>
      <x:c r="O369" s="11" t="str">
        <x:f>IF(M369=0,"",IF(H369="HOME",SUMIFS('Istoric_Nativ'!$H$6:$H$405,'Istoric_Nativ'!$B$6:$B$405,E369,'Istoric_Nativ'!$C$6:$C$405,F369,'Istoric_Nativ'!$E$6:$E$405,G369,'Istoric_Nativ'!$D$6:$D$405,"&lt;"&amp;J369,'Istoric_Nativ'!$P$6:$P$405,1,'Istoric_Nativ'!$D$6:$D$405,"&gt;="&amp;L369),IF(H369="AWAY",SUMIFS('Istoric_Nativ'!$G$6:$G$405,'Istoric_Nativ'!$B$6:$B$405,E369,'Istoric_Nativ'!$C$6:$C$405,F369,'Istoric_Nativ'!$F$6:$F$405,G369,'Istoric_Nativ'!$D$6:$D$405,"&lt;"&amp;J369,'Istoric_Nativ'!$P$6:$P$405,1,'Istoric_Nativ'!$D$6:$D$405,"&gt;="&amp;L369),SUMIFS('Istoric_Nativ'!$H$6:$H$405,'Istoric_Nativ'!$B$6:$B$405,E369,'Istoric_Nativ'!$C$6:$C$405,F369,'Istoric_Nativ'!$E$6:$E$405,G369,'Istoric_Nativ'!$D$6:$D$405,"&lt;"&amp;J369,'Istoric_Nativ'!$P$6:$P$405,1,'Istoric_Nativ'!$D$6:$D$405,"&gt;="&amp;L369)+SUMIFS('Istoric_Nativ'!$G$6:$G$405,'Istoric_Nativ'!$B$6:$B$405,E369,'Istoric_Nativ'!$C$6:$C$405,F369,'Istoric_Nativ'!$F$6:$F$405,G369,'Istoric_Nativ'!$D$6:$D$405,"&lt;"&amp;J369,'Istoric_Nativ'!$P$6:$P$405,1,'Istoric_Nativ'!$D$6:$D$405,"&gt;="&amp;L369)))/M369)</x:f>
      </x:c>
      <x:c r="P369" s="2" t="n">
        <x:f>'Config_v6'!$B$7</x:f>
        <x:v>10</x:v>
      </x:c>
      <x:c r="Q369" s="2" t="n">
        <x:f>IF(OR(B369="",F369=""),0,IFERROR(MATCH(E369&amp;"|"&amp;F369,SourceTable[Source_Key],0),0))</x:f>
        <x:v>0</x:v>
      </x:c>
      <x:c r="R369" s="2" t="str">
        <x:f>IF(B369="","",IF(F369="","UNUSED",IF(Q369=0,"NOT CHECKED",IF(COUNTIF(SourceTable[Source_Key],E369&amp;"|"&amp;F369)&lt;&gt;1,"SOURCE CONFLICT",IF(NOT(OR(INDEX(SourceTable[Status],MAX(1,Q369))="IMPORTED",INDEX(SourceTable[Status],MAX(1,Q369))="PARTIAL",INDEX(SourceTable[Status],MAX(1,Q369))="SOURCE CONFLICT")),"ACCESS BLOCKED",IF(OR(INDEX(SourceTable[Coverage],Q369)&lt;&gt;"FULL SEASON EXPORT",INDEX(SourceTable[URL],Q369)="",INDEX(SourceTable[SHA256],Q369)=""),"EVIDENCE INCOMPLETE",IF(AND('Input_Meci'!H36="LIVE",INDEX(SourceTable[Retrieved_UTC],Q369)&gt;'Input_Meci'!G36),"POST CUTOFF","CLOSED")))))))</x:f>
      </x:c>
      <x:c r="S369" s="2" t="n">
        <x:f>IF(OR(B369="",F369=""),0,COUNTIFS('Istoric_Nativ'!$B$6:$B$405,E369,'Istoric_Nativ'!$C$6:$C$405,F369,'Istoric_Nativ'!$E$6:$E$405,G369,'Istoric_Nativ'!$D$6:$D$405,"&lt;"&amp;J369,'Istoric_Nativ'!$O$6:$O$405,"INVALID")+COUNTIFS('Istoric_Nativ'!$B$6:$B$405,E369,'Istoric_Nativ'!$C$6:$C$405,F369,'Istoric_Nativ'!$E$6:$E$405,G369,'Istoric_Nativ'!$O$6:$O$405,"INVALID",'Istoric_Nativ'!$D$6:$D$405,"*")+COUNTIFS('Istoric_Nativ'!$B$6:$B$405,E369,'Istoric_Nativ'!$C$6:$C$405,F369,'Istoric_Nativ'!$E$6:$E$405,G369,'Istoric_Nativ'!$D$6:$D$405,"&lt;"&amp;J369,'Istoric_Nativ'!$O$6:$O$405,"SOURCE CONFLICT")+COUNTIFS('Istoric_Nativ'!$B$6:$B$405,E369,'Istoric_Nativ'!$C$6:$C$405,F369,'Istoric_Nativ'!$F$6:$F$405,G369,'Istoric_Nativ'!$D$6:$D$405,"&lt;"&amp;J369,'Istoric_Nativ'!$O$6:$O$405,"INVALID")+COUNTIFS('Istoric_Nativ'!$B$6:$B$405,E369,'Istoric_Nativ'!$C$6:$C$405,F369,'Istoric_Nativ'!$F$6:$F$405,G369,'Istoric_Nativ'!$O$6:$O$405,"INVALID",'Istoric_Nativ'!$D$6:$D$405,"*")+COUNTIFS('Istoric_Nativ'!$B$6:$B$405,E369,'Istoric_Nativ'!$C$6:$C$405,F369,'Istoric_Nativ'!$F$6:$F$405,G369,'Istoric_Nativ'!$D$6:$D$405,"&lt;"&amp;J369,'Istoric_Nativ'!$O$6:$O$405,"SOURCE CONFLICT"))</x:f>
        <x:v>0</x:v>
      </x:c>
      <x:c r="T369" s="2" t="str">
        <x:f>IF(B369="","",IF(R369&lt;&gt;"CLOSED",R369,IF(S369&gt;0,"NATIVE INPUT ISSUE",IF(M369=0,"NO HISTORY",IF(M369&lt;P369,"SMALL SAMPLE","DERIVED")))))</x:f>
      </x:c>
      <x:c r="U369" s="2" t="str">
        <x:f>IF(B369="","","NativeTable; "&amp;E369&amp;"; "&amp;F369&amp;"; "&amp;G369&amp;"; "&amp;H369&amp;"; before "&amp;TEXT(J369,"yyyy-mm-dd")&amp;IF(I369="RECENT","; from "&amp;TEXT(L369,"yyyy-mm-dd"),""))</x:f>
      </x:c>
    </x:row>
    <x:row r="370" ht="21" customHeight="1">
      <x:c r="A370" s="2" t="n">
        <x:v>31</x:v>
      </x:c>
      <x:c r="B370" s="2" t="str">
        <x:f>IF('Input_Meci'!A36="","",'Input_Meci'!A36)</x:f>
      </x:c>
      <x:c r="C370" s="2" t="str">
        <x:v>A</x:v>
      </x:c>
      <x:c r="D370" s="2" t="str">
        <x:v>CURRENT</x:v>
      </x:c>
      <x:c r="E370" s="2" t="str">
        <x:f>IF(B370="","",'Input_Meci'!B36)</x:f>
      </x:c>
      <x:c r="F370" s="2" t="str">
        <x:f>IF(B370="","",IF('Input_Meci'!C36="","",'Input_Meci'!C36))</x:f>
      </x:c>
      <x:c r="G370" s="2" t="str">
        <x:f>IF(B370="","",'Input_Meci'!E36)</x:f>
      </x:c>
      <x:c r="H370" s="2" t="str">
        <x:v>AWAY</x:v>
      </x:c>
      <x:c r="I370" s="2" t="str">
        <x:v>HA</x:v>
      </x:c>
      <x:c r="J370" s="9" t="n">
        <x:f>IF(AND(B370&lt;&gt;"",ISNUMBER('Input_Meci'!G36)),INT('Input_Meci'!G36),0)</x:f>
        <x:v>0</x:v>
      </x:c>
      <x:c r="K370" s="2" t="n">
        <x:f>IF(OR(B370="",F370=""),0,IF(H370="HOME",COUNTIFS('Istoric_Nativ'!$B$6:$B$405,E370,'Istoric_Nativ'!$C$6:$C$405,F370,'Istoric_Nativ'!$E$6:$E$405,G370,'Istoric_Nativ'!$D$6:$D$405,"&lt;"&amp;J370,'Istoric_Nativ'!$P$6:$P$405,1),IF(H370="AWAY",COUNTIFS('Istoric_Nativ'!$B$6:$B$405,E370,'Istoric_Nativ'!$C$6:$C$405,F370,'Istoric_Nativ'!$F$6:$F$405,G370,'Istoric_Nativ'!$D$6:$D$405,"&lt;"&amp;J370,'Istoric_Nativ'!$P$6:$P$405,1),COUNTIFS('Istoric_Nativ'!$B$6:$B$405,E370,'Istoric_Nativ'!$C$6:$C$405,F370,'Istoric_Nativ'!$E$6:$E$405,G370,'Istoric_Nativ'!$D$6:$D$405,"&lt;"&amp;J370,'Istoric_Nativ'!$P$6:$P$405,1)+COUNTIFS('Istoric_Nativ'!$B$6:$B$405,E370,'Istoric_Nativ'!$C$6:$C$405,F370,'Istoric_Nativ'!$F$6:$F$405,G370,'Istoric_Nativ'!$D$6:$D$405,"&lt;"&amp;J370,'Istoric_Nativ'!$P$6:$P$405,1))))</x:f>
        <x:v>0</x:v>
      </x:c>
      <x:c r="L370" s="17" t="n">
        <x:f>IF(AND(B370&lt;&gt;"",I370="RECENT",K370&gt;0),LARGE(_xlfn._xlws.FILTER('Istoric_Nativ'!$D$6:$D$405,('Istoric_Nativ'!$B$6:$B$405=E370)*('Istoric_Nativ'!$C$6:$C$405=F370)*('Istoric_Nativ'!$P$6:$P$405=1)*('Istoric_Nativ'!$D$6:$D$405&lt;J370)*((('Istoric_Nativ'!$E$6:$E$405=G370)+('Istoric_Nativ'!$F$6:$F$405=G370))&gt;0)),MIN('Config_v6'!$B$54,K370)),0)</x:f>
        <x:v>0</x:v>
      </x:c>
      <x:c r="M370" s="2" t="n">
        <x:f>IF(OR(B370="",F370=""),0,IF(H370="HOME",COUNTIFS('Istoric_Nativ'!$B$6:$B$405,E370,'Istoric_Nativ'!$C$6:$C$405,F370,'Istoric_Nativ'!$E$6:$E$405,G370,'Istoric_Nativ'!$D$6:$D$405,"&lt;"&amp;J370,'Istoric_Nativ'!$P$6:$P$405,1,'Istoric_Nativ'!$D$6:$D$405,"&gt;="&amp;L370),IF(H370="AWAY",COUNTIFS('Istoric_Nativ'!$B$6:$B$405,E370,'Istoric_Nativ'!$C$6:$C$405,F370,'Istoric_Nativ'!$F$6:$F$405,G370,'Istoric_Nativ'!$D$6:$D$405,"&lt;"&amp;J370,'Istoric_Nativ'!$P$6:$P$405,1,'Istoric_Nativ'!$D$6:$D$405,"&gt;="&amp;L370),COUNTIFS('Istoric_Nativ'!$B$6:$B$405,E370,'Istoric_Nativ'!$C$6:$C$405,F370,'Istoric_Nativ'!$E$6:$E$405,G370,'Istoric_Nativ'!$D$6:$D$405,"&lt;"&amp;J370,'Istoric_Nativ'!$P$6:$P$405,1,'Istoric_Nativ'!$D$6:$D$405,"&gt;="&amp;L370)+COUNTIFS('Istoric_Nativ'!$B$6:$B$405,E370,'Istoric_Nativ'!$C$6:$C$405,F370,'Istoric_Nativ'!$F$6:$F$405,G370,'Istoric_Nativ'!$D$6:$D$405,"&lt;"&amp;J370,'Istoric_Nativ'!$P$6:$P$405,1,'Istoric_Nativ'!$D$6:$D$405,"&gt;="&amp;L370))))</x:f>
        <x:v>0</x:v>
      </x:c>
      <x:c r="N370" s="11" t="str">
        <x:f>IF(M370=0,"",IF(H370="HOME",SUMIFS('Istoric_Nativ'!$G$6:$G$405,'Istoric_Nativ'!$B$6:$B$405,E370,'Istoric_Nativ'!$C$6:$C$405,F370,'Istoric_Nativ'!$E$6:$E$405,G370,'Istoric_Nativ'!$D$6:$D$405,"&lt;"&amp;J370,'Istoric_Nativ'!$P$6:$P$405,1,'Istoric_Nativ'!$D$6:$D$405,"&gt;="&amp;L370),IF(H370="AWAY",SUMIFS('Istoric_Nativ'!$H$6:$H$405,'Istoric_Nativ'!$B$6:$B$405,E370,'Istoric_Nativ'!$C$6:$C$405,F370,'Istoric_Nativ'!$F$6:$F$405,G370,'Istoric_Nativ'!$D$6:$D$405,"&lt;"&amp;J370,'Istoric_Nativ'!$P$6:$P$405,1,'Istoric_Nativ'!$D$6:$D$405,"&gt;="&amp;L370),SUMIFS('Istoric_Nativ'!$G$6:$G$405,'Istoric_Nativ'!$B$6:$B$405,E370,'Istoric_Nativ'!$C$6:$C$405,F370,'Istoric_Nativ'!$E$6:$E$405,G370,'Istoric_Nativ'!$D$6:$D$405,"&lt;"&amp;J370,'Istoric_Nativ'!$P$6:$P$405,1,'Istoric_Nativ'!$D$6:$D$405,"&gt;="&amp;L370)+SUMIFS('Istoric_Nativ'!$H$6:$H$405,'Istoric_Nativ'!$B$6:$B$405,E370,'Istoric_Nativ'!$C$6:$C$405,F370,'Istoric_Nativ'!$F$6:$F$405,G370,'Istoric_Nativ'!$D$6:$D$405,"&lt;"&amp;J370,'Istoric_Nativ'!$P$6:$P$405,1,'Istoric_Nativ'!$D$6:$D$405,"&gt;="&amp;L370)))/M370)</x:f>
      </x:c>
      <x:c r="O370" s="11" t="str">
        <x:f>IF(M370=0,"",IF(H370="HOME",SUMIFS('Istoric_Nativ'!$H$6:$H$405,'Istoric_Nativ'!$B$6:$B$405,E370,'Istoric_Nativ'!$C$6:$C$405,F370,'Istoric_Nativ'!$E$6:$E$405,G370,'Istoric_Nativ'!$D$6:$D$405,"&lt;"&amp;J370,'Istoric_Nativ'!$P$6:$P$405,1,'Istoric_Nativ'!$D$6:$D$405,"&gt;="&amp;L370),IF(H370="AWAY",SUMIFS('Istoric_Nativ'!$G$6:$G$405,'Istoric_Nativ'!$B$6:$B$405,E370,'Istoric_Nativ'!$C$6:$C$405,F370,'Istoric_Nativ'!$F$6:$F$405,G370,'Istoric_Nativ'!$D$6:$D$405,"&lt;"&amp;J370,'Istoric_Nativ'!$P$6:$P$405,1,'Istoric_Nativ'!$D$6:$D$405,"&gt;="&amp;L370),SUMIFS('Istoric_Nativ'!$H$6:$H$405,'Istoric_Nativ'!$B$6:$B$405,E370,'Istoric_Nativ'!$C$6:$C$405,F370,'Istoric_Nativ'!$E$6:$E$405,G370,'Istoric_Nativ'!$D$6:$D$405,"&lt;"&amp;J370,'Istoric_Nativ'!$P$6:$P$405,1,'Istoric_Nativ'!$D$6:$D$405,"&gt;="&amp;L370)+SUMIFS('Istoric_Nativ'!$G$6:$G$405,'Istoric_Nativ'!$B$6:$B$405,E370,'Istoric_Nativ'!$C$6:$C$405,F370,'Istoric_Nativ'!$F$6:$F$405,G370,'Istoric_Nativ'!$D$6:$D$405,"&lt;"&amp;J370,'Istoric_Nativ'!$P$6:$P$405,1,'Istoric_Nativ'!$D$6:$D$405,"&gt;="&amp;L370)))/M370)</x:f>
      </x:c>
      <x:c r="P370" s="2" t="n">
        <x:f>'Config_v6'!$B$8</x:f>
        <x:v>5</x:v>
      </x:c>
      <x:c r="Q370" s="2" t="n">
        <x:f>IF(OR(B370="",F370=""),0,IFERROR(MATCH(E370&amp;"|"&amp;F370,SourceTable[Source_Key],0),0))</x:f>
        <x:v>0</x:v>
      </x:c>
      <x:c r="R370" s="2" t="str">
        <x:f>IF(B370="","",IF(F370="","UNUSED",IF(Q370=0,"NOT CHECKED",IF(COUNTIF(SourceTable[Source_Key],E370&amp;"|"&amp;F370)&lt;&gt;1,"SOURCE CONFLICT",IF(NOT(OR(INDEX(SourceTable[Status],MAX(1,Q370))="IMPORTED",INDEX(SourceTable[Status],MAX(1,Q370))="PARTIAL",INDEX(SourceTable[Status],MAX(1,Q370))="SOURCE CONFLICT")),"ACCESS BLOCKED",IF(OR(INDEX(SourceTable[Coverage],Q370)&lt;&gt;"FULL SEASON EXPORT",INDEX(SourceTable[URL],Q370)="",INDEX(SourceTable[SHA256],Q370)=""),"EVIDENCE INCOMPLETE",IF(AND('Input_Meci'!H36="LIVE",INDEX(SourceTable[Retrieved_UTC],Q370)&gt;'Input_Meci'!G36),"POST CUTOFF","CLOSED")))))))</x:f>
      </x:c>
      <x:c r="S370" s="2" t="n">
        <x:f>IF(OR(B370="",F370=""),0,COUNTIFS('Istoric_Nativ'!$B$6:$B$405,E370,'Istoric_Nativ'!$C$6:$C$405,F370,'Istoric_Nativ'!$E$6:$E$405,G370,'Istoric_Nativ'!$D$6:$D$405,"&lt;"&amp;J370,'Istoric_Nativ'!$O$6:$O$405,"INVALID")+COUNTIFS('Istoric_Nativ'!$B$6:$B$405,E370,'Istoric_Nativ'!$C$6:$C$405,F370,'Istoric_Nativ'!$E$6:$E$405,G370,'Istoric_Nativ'!$O$6:$O$405,"INVALID",'Istoric_Nativ'!$D$6:$D$405,"*")+COUNTIFS('Istoric_Nativ'!$B$6:$B$405,E370,'Istoric_Nativ'!$C$6:$C$405,F370,'Istoric_Nativ'!$E$6:$E$405,G370,'Istoric_Nativ'!$D$6:$D$405,"&lt;"&amp;J370,'Istoric_Nativ'!$O$6:$O$405,"SOURCE CONFLICT")+COUNTIFS('Istoric_Nativ'!$B$6:$B$405,E370,'Istoric_Nativ'!$C$6:$C$405,F370,'Istoric_Nativ'!$F$6:$F$405,G370,'Istoric_Nativ'!$D$6:$D$405,"&lt;"&amp;J370,'Istoric_Nativ'!$O$6:$O$405,"INVALID")+COUNTIFS('Istoric_Nativ'!$B$6:$B$405,E370,'Istoric_Nativ'!$C$6:$C$405,F370,'Istoric_Nativ'!$F$6:$F$405,G370,'Istoric_Nativ'!$O$6:$O$405,"INVALID",'Istoric_Nativ'!$D$6:$D$405,"*")+COUNTIFS('Istoric_Nativ'!$B$6:$B$405,E370,'Istoric_Nativ'!$C$6:$C$405,F370,'Istoric_Nativ'!$F$6:$F$405,G370,'Istoric_Nativ'!$D$6:$D$405,"&lt;"&amp;J370,'Istoric_Nativ'!$O$6:$O$405,"SOURCE CONFLICT"))</x:f>
        <x:v>0</x:v>
      </x:c>
      <x:c r="T370" s="2" t="str">
        <x:f>IF(B370="","",IF(R370&lt;&gt;"CLOSED",R370,IF(S370&gt;0,"NATIVE INPUT ISSUE",IF(M370=0,"NO HISTORY",IF(M370&lt;P370,"SMALL SAMPLE","DERIVED")))))</x:f>
      </x:c>
      <x:c r="U370" s="2" t="str">
        <x:f>IF(B370="","","NativeTable; "&amp;E370&amp;"; "&amp;F370&amp;"; "&amp;G370&amp;"; "&amp;H370&amp;"; before "&amp;TEXT(J370,"yyyy-mm-dd")&amp;IF(I370="RECENT","; from "&amp;TEXT(L370,"yyyy-mm-dd"),""))</x:f>
      </x:c>
    </x:row>
    <x:row r="371" ht="21" customHeight="1">
      <x:c r="A371" s="2" t="n">
        <x:v>31</x:v>
      </x:c>
      <x:c r="B371" s="2" t="str">
        <x:f>IF('Input_Meci'!A36="","",'Input_Meci'!A36)</x:f>
      </x:c>
      <x:c r="C371" s="2" t="str">
        <x:v>A</x:v>
      </x:c>
      <x:c r="D371" s="2" t="str">
        <x:v>CURRENT</x:v>
      </x:c>
      <x:c r="E371" s="2" t="str">
        <x:f>IF(B371="","",'Input_Meci'!B36)</x:f>
      </x:c>
      <x:c r="F371" s="2" t="str">
        <x:f>IF(B371="","",IF('Input_Meci'!C36="","",'Input_Meci'!C36))</x:f>
      </x:c>
      <x:c r="G371" s="2" t="str">
        <x:f>IF(B371="","",'Input_Meci'!E36)</x:f>
      </x:c>
      <x:c r="H371" s="2" t="str">
        <x:v>ANY</x:v>
      </x:c>
      <x:c r="I371" s="2" t="str">
        <x:v>RECENT</x:v>
      </x:c>
      <x:c r="J371" s="9" t="n">
        <x:f>IF(AND(B371&lt;&gt;"",ISNUMBER('Input_Meci'!G36)),INT('Input_Meci'!G36),0)</x:f>
        <x:v>0</x:v>
      </x:c>
      <x:c r="K371" s="2" t="n">
        <x:f>IF(OR(B371="",F371=""),0,IF(H371="HOME",COUNTIFS('Istoric_Nativ'!$B$6:$B$405,E371,'Istoric_Nativ'!$C$6:$C$405,F371,'Istoric_Nativ'!$E$6:$E$405,G371,'Istoric_Nativ'!$D$6:$D$405,"&lt;"&amp;J371,'Istoric_Nativ'!$P$6:$P$405,1),IF(H371="AWAY",COUNTIFS('Istoric_Nativ'!$B$6:$B$405,E371,'Istoric_Nativ'!$C$6:$C$405,F371,'Istoric_Nativ'!$F$6:$F$405,G371,'Istoric_Nativ'!$D$6:$D$405,"&lt;"&amp;J371,'Istoric_Nativ'!$P$6:$P$405,1),COUNTIFS('Istoric_Nativ'!$B$6:$B$405,E371,'Istoric_Nativ'!$C$6:$C$405,F371,'Istoric_Nativ'!$E$6:$E$405,G371,'Istoric_Nativ'!$D$6:$D$405,"&lt;"&amp;J371,'Istoric_Nativ'!$P$6:$P$405,1)+COUNTIFS('Istoric_Nativ'!$B$6:$B$405,E371,'Istoric_Nativ'!$C$6:$C$405,F371,'Istoric_Nativ'!$F$6:$F$405,G371,'Istoric_Nativ'!$D$6:$D$405,"&lt;"&amp;J371,'Istoric_Nativ'!$P$6:$P$405,1))))</x:f>
        <x:v>0</x:v>
      </x:c>
      <x:c r="L371" s="17" t="n">
        <x:f>IF(AND(B371&lt;&gt;"",I371="RECENT",K371&gt;0),LARGE(_xlfn._xlws.FILTER('Istoric_Nativ'!$D$6:$D$405,('Istoric_Nativ'!$B$6:$B$405=E371)*('Istoric_Nativ'!$C$6:$C$405=F371)*('Istoric_Nativ'!$P$6:$P$405=1)*('Istoric_Nativ'!$D$6:$D$405&lt;J371)*((('Istoric_Nativ'!$E$6:$E$405=G371)+('Istoric_Nativ'!$F$6:$F$405=G371))&gt;0)),MIN('Config_v6'!$B$54,K371)),0)</x:f>
        <x:v>0</x:v>
      </x:c>
      <x:c r="M371" s="2" t="n">
        <x:f>IF(OR(B371="",F371=""),0,IF(H371="HOME",COUNTIFS('Istoric_Nativ'!$B$6:$B$405,E371,'Istoric_Nativ'!$C$6:$C$405,F371,'Istoric_Nativ'!$E$6:$E$405,G371,'Istoric_Nativ'!$D$6:$D$405,"&lt;"&amp;J371,'Istoric_Nativ'!$P$6:$P$405,1,'Istoric_Nativ'!$D$6:$D$405,"&gt;="&amp;L371),IF(H371="AWAY",COUNTIFS('Istoric_Nativ'!$B$6:$B$405,E371,'Istoric_Nativ'!$C$6:$C$405,F371,'Istoric_Nativ'!$F$6:$F$405,G371,'Istoric_Nativ'!$D$6:$D$405,"&lt;"&amp;J371,'Istoric_Nativ'!$P$6:$P$405,1,'Istoric_Nativ'!$D$6:$D$405,"&gt;="&amp;L371),COUNTIFS('Istoric_Nativ'!$B$6:$B$405,E371,'Istoric_Nativ'!$C$6:$C$405,F371,'Istoric_Nativ'!$E$6:$E$405,G371,'Istoric_Nativ'!$D$6:$D$405,"&lt;"&amp;J371,'Istoric_Nativ'!$P$6:$P$405,1,'Istoric_Nativ'!$D$6:$D$405,"&gt;="&amp;L371)+COUNTIFS('Istoric_Nativ'!$B$6:$B$405,E371,'Istoric_Nativ'!$C$6:$C$405,F371,'Istoric_Nativ'!$F$6:$F$405,G371,'Istoric_Nativ'!$D$6:$D$405,"&lt;"&amp;J371,'Istoric_Nativ'!$P$6:$P$405,1,'Istoric_Nativ'!$D$6:$D$405,"&gt;="&amp;L371))))</x:f>
        <x:v>0</x:v>
      </x:c>
      <x:c r="N371" s="11" t="str">
        <x:f>IF(M371=0,"",IF(H371="HOME",SUMIFS('Istoric_Nativ'!$G$6:$G$405,'Istoric_Nativ'!$B$6:$B$405,E371,'Istoric_Nativ'!$C$6:$C$405,F371,'Istoric_Nativ'!$E$6:$E$405,G371,'Istoric_Nativ'!$D$6:$D$405,"&lt;"&amp;J371,'Istoric_Nativ'!$P$6:$P$405,1,'Istoric_Nativ'!$D$6:$D$405,"&gt;="&amp;L371),IF(H371="AWAY",SUMIFS('Istoric_Nativ'!$H$6:$H$405,'Istoric_Nativ'!$B$6:$B$405,E371,'Istoric_Nativ'!$C$6:$C$405,F371,'Istoric_Nativ'!$F$6:$F$405,G371,'Istoric_Nativ'!$D$6:$D$405,"&lt;"&amp;J371,'Istoric_Nativ'!$P$6:$P$405,1,'Istoric_Nativ'!$D$6:$D$405,"&gt;="&amp;L371),SUMIFS('Istoric_Nativ'!$G$6:$G$405,'Istoric_Nativ'!$B$6:$B$405,E371,'Istoric_Nativ'!$C$6:$C$405,F371,'Istoric_Nativ'!$E$6:$E$405,G371,'Istoric_Nativ'!$D$6:$D$405,"&lt;"&amp;J371,'Istoric_Nativ'!$P$6:$P$405,1,'Istoric_Nativ'!$D$6:$D$405,"&gt;="&amp;L371)+SUMIFS('Istoric_Nativ'!$H$6:$H$405,'Istoric_Nativ'!$B$6:$B$405,E371,'Istoric_Nativ'!$C$6:$C$405,F371,'Istoric_Nativ'!$F$6:$F$405,G371,'Istoric_Nativ'!$D$6:$D$405,"&lt;"&amp;J371,'Istoric_Nativ'!$P$6:$P$405,1,'Istoric_Nativ'!$D$6:$D$405,"&gt;="&amp;L371)))/M371)</x:f>
      </x:c>
      <x:c r="O371" s="11" t="str">
        <x:f>IF(M371=0,"",IF(H371="HOME",SUMIFS('Istoric_Nativ'!$H$6:$H$405,'Istoric_Nativ'!$B$6:$B$405,E371,'Istoric_Nativ'!$C$6:$C$405,F371,'Istoric_Nativ'!$E$6:$E$405,G371,'Istoric_Nativ'!$D$6:$D$405,"&lt;"&amp;J371,'Istoric_Nativ'!$P$6:$P$405,1,'Istoric_Nativ'!$D$6:$D$405,"&gt;="&amp;L371),IF(H371="AWAY",SUMIFS('Istoric_Nativ'!$G$6:$G$405,'Istoric_Nativ'!$B$6:$B$405,E371,'Istoric_Nativ'!$C$6:$C$405,F371,'Istoric_Nativ'!$F$6:$F$405,G371,'Istoric_Nativ'!$D$6:$D$405,"&lt;"&amp;J371,'Istoric_Nativ'!$P$6:$P$405,1,'Istoric_Nativ'!$D$6:$D$405,"&gt;="&amp;L371),SUMIFS('Istoric_Nativ'!$H$6:$H$405,'Istoric_Nativ'!$B$6:$B$405,E371,'Istoric_Nativ'!$C$6:$C$405,F371,'Istoric_Nativ'!$E$6:$E$405,G371,'Istoric_Nativ'!$D$6:$D$405,"&lt;"&amp;J371,'Istoric_Nativ'!$P$6:$P$405,1,'Istoric_Nativ'!$D$6:$D$405,"&gt;="&amp;L371)+SUMIFS('Istoric_Nativ'!$G$6:$G$405,'Istoric_Nativ'!$B$6:$B$405,E371,'Istoric_Nativ'!$C$6:$C$405,F371,'Istoric_Nativ'!$F$6:$F$405,G371,'Istoric_Nativ'!$D$6:$D$405,"&lt;"&amp;J371,'Istoric_Nativ'!$P$6:$P$405,1,'Istoric_Nativ'!$D$6:$D$405,"&gt;="&amp;L371)))/M371)</x:f>
      </x:c>
      <x:c r="P371" s="2" t="n">
        <x:f>'Config_v6'!$B$9</x:f>
        <x:v>3</x:v>
      </x:c>
      <x:c r="Q371" s="2" t="n">
        <x:f>IF(OR(B371="",F371=""),0,IFERROR(MATCH(E371&amp;"|"&amp;F371,SourceTable[Source_Key],0),0))</x:f>
        <x:v>0</x:v>
      </x:c>
      <x:c r="R371" s="2" t="str">
        <x:f>IF(B371="","",IF(F371="","UNUSED",IF(Q371=0,"NOT CHECKED",IF(COUNTIF(SourceTable[Source_Key],E371&amp;"|"&amp;F371)&lt;&gt;1,"SOURCE CONFLICT",IF(NOT(OR(INDEX(SourceTable[Status],MAX(1,Q371))="IMPORTED",INDEX(SourceTable[Status],MAX(1,Q371))="PARTIAL",INDEX(SourceTable[Status],MAX(1,Q371))="SOURCE CONFLICT")),"ACCESS BLOCKED",IF(OR(INDEX(SourceTable[Coverage],Q371)&lt;&gt;"FULL SEASON EXPORT",INDEX(SourceTable[URL],Q371)="",INDEX(SourceTable[SHA256],Q371)=""),"EVIDENCE INCOMPLETE",IF(AND('Input_Meci'!H36="LIVE",INDEX(SourceTable[Retrieved_UTC],Q371)&gt;'Input_Meci'!G36),"POST CUTOFF","CLOSED")))))))</x:f>
      </x:c>
      <x:c r="S371" s="2" t="n">
        <x:f>IF(OR(B371="",F371=""),0,COUNTIFS('Istoric_Nativ'!$B$6:$B$405,E371,'Istoric_Nativ'!$C$6:$C$405,F371,'Istoric_Nativ'!$E$6:$E$405,G371,'Istoric_Nativ'!$D$6:$D$405,"&lt;"&amp;J371,'Istoric_Nativ'!$O$6:$O$405,"INVALID")+COUNTIFS('Istoric_Nativ'!$B$6:$B$405,E371,'Istoric_Nativ'!$C$6:$C$405,F371,'Istoric_Nativ'!$E$6:$E$405,G371,'Istoric_Nativ'!$O$6:$O$405,"INVALID",'Istoric_Nativ'!$D$6:$D$405,"*")+COUNTIFS('Istoric_Nativ'!$B$6:$B$405,E371,'Istoric_Nativ'!$C$6:$C$405,F371,'Istoric_Nativ'!$E$6:$E$405,G371,'Istoric_Nativ'!$D$6:$D$405,"&lt;"&amp;J371,'Istoric_Nativ'!$O$6:$O$405,"SOURCE CONFLICT")+COUNTIFS('Istoric_Nativ'!$B$6:$B$405,E371,'Istoric_Nativ'!$C$6:$C$405,F371,'Istoric_Nativ'!$F$6:$F$405,G371,'Istoric_Nativ'!$D$6:$D$405,"&lt;"&amp;J371,'Istoric_Nativ'!$O$6:$O$405,"INVALID")+COUNTIFS('Istoric_Nativ'!$B$6:$B$405,E371,'Istoric_Nativ'!$C$6:$C$405,F371,'Istoric_Nativ'!$F$6:$F$405,G371,'Istoric_Nativ'!$O$6:$O$405,"INVALID",'Istoric_Nativ'!$D$6:$D$405,"*")+COUNTIFS('Istoric_Nativ'!$B$6:$B$405,E371,'Istoric_Nativ'!$C$6:$C$405,F371,'Istoric_Nativ'!$F$6:$F$405,G371,'Istoric_Nativ'!$D$6:$D$405,"&lt;"&amp;J371,'Istoric_Nativ'!$O$6:$O$405,"SOURCE CONFLICT"))</x:f>
        <x:v>0</x:v>
      </x:c>
      <x:c r="T371" s="2" t="str">
        <x:f>IF(B371="","",IF(R371&lt;&gt;"CLOSED",R371,IF(S371&gt;0,"NATIVE INPUT ISSUE",IF(M371=0,"NO HISTORY",IF(M371&lt;P371,"SMALL SAMPLE","DERIVED")))))</x:f>
      </x:c>
      <x:c r="U371" s="2" t="str">
        <x:f>IF(B371="","","NativeTable; "&amp;E371&amp;"; "&amp;F371&amp;"; "&amp;G371&amp;"; "&amp;H371&amp;"; before "&amp;TEXT(J371,"yyyy-mm-dd")&amp;IF(I371="RECENT","; from "&amp;TEXT(L371,"yyyy-mm-dd"),""))</x:f>
      </x:c>
    </x:row>
    <x:row r="372" ht="21" customHeight="1">
      <x:c r="A372" s="2" t="n">
        <x:v>31</x:v>
      </x:c>
      <x:c r="B372" s="2" t="str">
        <x:f>IF('Input_Meci'!A36="","",'Input_Meci'!A36)</x:f>
      </x:c>
      <x:c r="C372" s="2" t="str">
        <x:v>H</x:v>
      </x:c>
      <x:c r="D372" s="2" t="str">
        <x:v>PRIOR</x:v>
      </x:c>
      <x:c r="E372" s="2" t="str">
        <x:f>IF(B372="","",'Input_Meci'!B36)</x:f>
      </x:c>
      <x:c r="F372" s="2" t="str">
        <x:f>IF(B372="","",IF('Input_Meci'!K36="","",'Input_Meci'!K36))</x:f>
      </x:c>
      <x:c r="G372" s="2" t="str">
        <x:f>IF(B372="","",'Input_Meci'!D36)</x:f>
      </x:c>
      <x:c r="H372" s="2" t="str">
        <x:v>ANY</x:v>
      </x:c>
      <x:c r="I372" s="2" t="str">
        <x:v>SEASON</x:v>
      </x:c>
      <x:c r="J372" s="9" t="n">
        <x:f>IF(AND(B372&lt;&gt;"",ISNUMBER('Input_Meci'!G36)),INT('Input_Meci'!G36),0)</x:f>
        <x:v>0</x:v>
      </x:c>
      <x:c r="K372" s="2" t="n">
        <x:f>IF(OR(B372="",F372=""),0,IF(H372="HOME",COUNTIFS('Istoric_Nativ'!$B$6:$B$405,E372,'Istoric_Nativ'!$C$6:$C$405,F372,'Istoric_Nativ'!$E$6:$E$405,G372,'Istoric_Nativ'!$D$6:$D$405,"&lt;"&amp;J372,'Istoric_Nativ'!$P$6:$P$405,1),IF(H372="AWAY",COUNTIFS('Istoric_Nativ'!$B$6:$B$405,E372,'Istoric_Nativ'!$C$6:$C$405,F372,'Istoric_Nativ'!$F$6:$F$405,G372,'Istoric_Nativ'!$D$6:$D$405,"&lt;"&amp;J372,'Istoric_Nativ'!$P$6:$P$405,1),COUNTIFS('Istoric_Nativ'!$B$6:$B$405,E372,'Istoric_Nativ'!$C$6:$C$405,F372,'Istoric_Nativ'!$E$6:$E$405,G372,'Istoric_Nativ'!$D$6:$D$405,"&lt;"&amp;J372,'Istoric_Nativ'!$P$6:$P$405,1)+COUNTIFS('Istoric_Nativ'!$B$6:$B$405,E372,'Istoric_Nativ'!$C$6:$C$405,F372,'Istoric_Nativ'!$F$6:$F$405,G372,'Istoric_Nativ'!$D$6:$D$405,"&lt;"&amp;J372,'Istoric_Nativ'!$P$6:$P$405,1))))</x:f>
        <x:v>0</x:v>
      </x:c>
      <x:c r="L372" s="17" t="n">
        <x:f>IF(AND(B372&lt;&gt;"",I372="RECENT",K372&gt;0),LARGE(_xlfn._xlws.FILTER('Istoric_Nativ'!$D$6:$D$405,('Istoric_Nativ'!$B$6:$B$405=E372)*('Istoric_Nativ'!$C$6:$C$405=F372)*('Istoric_Nativ'!$P$6:$P$405=1)*('Istoric_Nativ'!$D$6:$D$405&lt;J372)*((('Istoric_Nativ'!$E$6:$E$405=G372)+('Istoric_Nativ'!$F$6:$F$405=G372))&gt;0)),MIN('Config_v6'!$B$54,K372)),0)</x:f>
        <x:v>0</x:v>
      </x:c>
      <x:c r="M372" s="2" t="n">
        <x:f>IF(OR(B372="",F372=""),0,IF(H372="HOME",COUNTIFS('Istoric_Nativ'!$B$6:$B$405,E372,'Istoric_Nativ'!$C$6:$C$405,F372,'Istoric_Nativ'!$E$6:$E$405,G372,'Istoric_Nativ'!$D$6:$D$405,"&lt;"&amp;J372,'Istoric_Nativ'!$P$6:$P$405,1,'Istoric_Nativ'!$D$6:$D$405,"&gt;="&amp;L372),IF(H372="AWAY",COUNTIFS('Istoric_Nativ'!$B$6:$B$405,E372,'Istoric_Nativ'!$C$6:$C$405,F372,'Istoric_Nativ'!$F$6:$F$405,G372,'Istoric_Nativ'!$D$6:$D$405,"&lt;"&amp;J372,'Istoric_Nativ'!$P$6:$P$405,1,'Istoric_Nativ'!$D$6:$D$405,"&gt;="&amp;L372),COUNTIFS('Istoric_Nativ'!$B$6:$B$405,E372,'Istoric_Nativ'!$C$6:$C$405,F372,'Istoric_Nativ'!$E$6:$E$405,G372,'Istoric_Nativ'!$D$6:$D$405,"&lt;"&amp;J372,'Istoric_Nativ'!$P$6:$P$405,1,'Istoric_Nativ'!$D$6:$D$405,"&gt;="&amp;L372)+COUNTIFS('Istoric_Nativ'!$B$6:$B$405,E372,'Istoric_Nativ'!$C$6:$C$405,F372,'Istoric_Nativ'!$F$6:$F$405,G372,'Istoric_Nativ'!$D$6:$D$405,"&lt;"&amp;J372,'Istoric_Nativ'!$P$6:$P$405,1,'Istoric_Nativ'!$D$6:$D$405,"&gt;="&amp;L372))))</x:f>
        <x:v>0</x:v>
      </x:c>
      <x:c r="N372" s="11" t="str">
        <x:f>IF(M372=0,"",IF(H372="HOME",SUMIFS('Istoric_Nativ'!$G$6:$G$405,'Istoric_Nativ'!$B$6:$B$405,E372,'Istoric_Nativ'!$C$6:$C$405,F372,'Istoric_Nativ'!$E$6:$E$405,G372,'Istoric_Nativ'!$D$6:$D$405,"&lt;"&amp;J372,'Istoric_Nativ'!$P$6:$P$405,1,'Istoric_Nativ'!$D$6:$D$405,"&gt;="&amp;L372),IF(H372="AWAY",SUMIFS('Istoric_Nativ'!$H$6:$H$405,'Istoric_Nativ'!$B$6:$B$405,E372,'Istoric_Nativ'!$C$6:$C$405,F372,'Istoric_Nativ'!$F$6:$F$405,G372,'Istoric_Nativ'!$D$6:$D$405,"&lt;"&amp;J372,'Istoric_Nativ'!$P$6:$P$405,1,'Istoric_Nativ'!$D$6:$D$405,"&gt;="&amp;L372),SUMIFS('Istoric_Nativ'!$G$6:$G$405,'Istoric_Nativ'!$B$6:$B$405,E372,'Istoric_Nativ'!$C$6:$C$405,F372,'Istoric_Nativ'!$E$6:$E$405,G372,'Istoric_Nativ'!$D$6:$D$405,"&lt;"&amp;J372,'Istoric_Nativ'!$P$6:$P$405,1,'Istoric_Nativ'!$D$6:$D$405,"&gt;="&amp;L372)+SUMIFS('Istoric_Nativ'!$H$6:$H$405,'Istoric_Nativ'!$B$6:$B$405,E372,'Istoric_Nativ'!$C$6:$C$405,F372,'Istoric_Nativ'!$F$6:$F$405,G372,'Istoric_Nativ'!$D$6:$D$405,"&lt;"&amp;J372,'Istoric_Nativ'!$P$6:$P$405,1,'Istoric_Nativ'!$D$6:$D$405,"&gt;="&amp;L372)))/M372)</x:f>
      </x:c>
      <x:c r="O372" s="11" t="str">
        <x:f>IF(M372=0,"",IF(H372="HOME",SUMIFS('Istoric_Nativ'!$H$6:$H$405,'Istoric_Nativ'!$B$6:$B$405,E372,'Istoric_Nativ'!$C$6:$C$405,F372,'Istoric_Nativ'!$E$6:$E$405,G372,'Istoric_Nativ'!$D$6:$D$405,"&lt;"&amp;J372,'Istoric_Nativ'!$P$6:$P$405,1,'Istoric_Nativ'!$D$6:$D$405,"&gt;="&amp;L372),IF(H372="AWAY",SUMIFS('Istoric_Nativ'!$G$6:$G$405,'Istoric_Nativ'!$B$6:$B$405,E372,'Istoric_Nativ'!$C$6:$C$405,F372,'Istoric_Nativ'!$F$6:$F$405,G372,'Istoric_Nativ'!$D$6:$D$405,"&lt;"&amp;J372,'Istoric_Nativ'!$P$6:$P$405,1,'Istoric_Nativ'!$D$6:$D$405,"&gt;="&amp;L372),SUMIFS('Istoric_Nativ'!$H$6:$H$405,'Istoric_Nativ'!$B$6:$B$405,E372,'Istoric_Nativ'!$C$6:$C$405,F372,'Istoric_Nativ'!$E$6:$E$405,G372,'Istoric_Nativ'!$D$6:$D$405,"&lt;"&amp;J372,'Istoric_Nativ'!$P$6:$P$405,1,'Istoric_Nativ'!$D$6:$D$405,"&gt;="&amp;L372)+SUMIFS('Istoric_Nativ'!$G$6:$G$405,'Istoric_Nativ'!$B$6:$B$405,E372,'Istoric_Nativ'!$C$6:$C$405,F372,'Istoric_Nativ'!$F$6:$F$405,G372,'Istoric_Nativ'!$D$6:$D$405,"&lt;"&amp;J372,'Istoric_Nativ'!$P$6:$P$405,1,'Istoric_Nativ'!$D$6:$D$405,"&gt;="&amp;L372)))/M372)</x:f>
      </x:c>
      <x:c r="P372" s="2" t="n">
        <x:f>'Config_v6'!$B$7</x:f>
        <x:v>10</x:v>
      </x:c>
      <x:c r="Q372" s="2" t="n">
        <x:f>IF(OR(B372="",F372=""),0,IFERROR(MATCH(E372&amp;"|"&amp;F372,SourceTable[Source_Key],0),0))</x:f>
        <x:v>0</x:v>
      </x:c>
      <x:c r="R372" s="2" t="str">
        <x:f>IF(B372="","",IF(F372="","UNUSED",IF(Q372=0,"NOT CHECKED",IF(COUNTIF(SourceTable[Source_Key],E372&amp;"|"&amp;F372)&lt;&gt;1,"SOURCE CONFLICT",IF(NOT(OR(INDEX(SourceTable[Status],MAX(1,Q372))="IMPORTED",INDEX(SourceTable[Status],MAX(1,Q372))="PARTIAL",INDEX(SourceTable[Status],MAX(1,Q372))="SOURCE CONFLICT")),"ACCESS BLOCKED",IF(OR(INDEX(SourceTable[Coverage],Q372)&lt;&gt;"FULL SEASON EXPORT",INDEX(SourceTable[URL],Q372)="",INDEX(SourceTable[SHA256],Q372)=""),"EVIDENCE INCOMPLETE",IF(AND('Input_Meci'!H36="LIVE",INDEX(SourceTable[Retrieved_UTC],Q372)&gt;'Input_Meci'!G36),"POST CUTOFF","CLOSED")))))))</x:f>
      </x:c>
      <x:c r="S372" s="2" t="n">
        <x:f>IF(OR(B372="",F372=""),0,COUNTIFS('Istoric_Nativ'!$B$6:$B$405,E372,'Istoric_Nativ'!$C$6:$C$405,F372,'Istoric_Nativ'!$E$6:$E$405,G372,'Istoric_Nativ'!$D$6:$D$405,"&lt;"&amp;J372,'Istoric_Nativ'!$O$6:$O$405,"INVALID")+COUNTIFS('Istoric_Nativ'!$B$6:$B$405,E372,'Istoric_Nativ'!$C$6:$C$405,F372,'Istoric_Nativ'!$E$6:$E$405,G372,'Istoric_Nativ'!$O$6:$O$405,"INVALID",'Istoric_Nativ'!$D$6:$D$405,"*")+COUNTIFS('Istoric_Nativ'!$B$6:$B$405,E372,'Istoric_Nativ'!$C$6:$C$405,F372,'Istoric_Nativ'!$E$6:$E$405,G372,'Istoric_Nativ'!$D$6:$D$405,"&lt;"&amp;J372,'Istoric_Nativ'!$O$6:$O$405,"SOURCE CONFLICT")+COUNTIFS('Istoric_Nativ'!$B$6:$B$405,E372,'Istoric_Nativ'!$C$6:$C$405,F372,'Istoric_Nativ'!$F$6:$F$405,G372,'Istoric_Nativ'!$D$6:$D$405,"&lt;"&amp;J372,'Istoric_Nativ'!$O$6:$O$405,"INVALID")+COUNTIFS('Istoric_Nativ'!$B$6:$B$405,E372,'Istoric_Nativ'!$C$6:$C$405,F372,'Istoric_Nativ'!$F$6:$F$405,G372,'Istoric_Nativ'!$O$6:$O$405,"INVALID",'Istoric_Nativ'!$D$6:$D$405,"*")+COUNTIFS('Istoric_Nativ'!$B$6:$B$405,E372,'Istoric_Nativ'!$C$6:$C$405,F372,'Istoric_Nativ'!$F$6:$F$405,G372,'Istoric_Nativ'!$D$6:$D$405,"&lt;"&amp;J372,'Istoric_Nativ'!$O$6:$O$405,"SOURCE CONFLICT"))</x:f>
        <x:v>0</x:v>
      </x:c>
      <x:c r="T372" s="2" t="str">
        <x:f>IF(B372="","",IF(R372&lt;&gt;"CLOSED",R372,IF(S372&gt;0,"NATIVE INPUT ISSUE",IF(M372=0,"NO HISTORY",IF(M372&lt;P372,"SMALL SAMPLE","DERIVED")))))</x:f>
      </x:c>
      <x:c r="U372" s="2" t="str">
        <x:f>IF(B372="","","NativeTable; "&amp;E372&amp;"; "&amp;F372&amp;"; "&amp;G372&amp;"; "&amp;H372&amp;"; before "&amp;TEXT(J372,"yyyy-mm-dd")&amp;IF(I372="RECENT","; from "&amp;TEXT(L372,"yyyy-mm-dd"),""))</x:f>
      </x:c>
    </x:row>
    <x:row r="373" ht="21" customHeight="1">
      <x:c r="A373" s="2" t="n">
        <x:v>31</x:v>
      </x:c>
      <x:c r="B373" s="2" t="str">
        <x:f>IF('Input_Meci'!A36="","",'Input_Meci'!A36)</x:f>
      </x:c>
      <x:c r="C373" s="2" t="str">
        <x:v>H</x:v>
      </x:c>
      <x:c r="D373" s="2" t="str">
        <x:v>PRIOR</x:v>
      </x:c>
      <x:c r="E373" s="2" t="str">
        <x:f>IF(B373="","",'Input_Meci'!B36)</x:f>
      </x:c>
      <x:c r="F373" s="2" t="str">
        <x:f>IF(B373="","",IF('Input_Meci'!K36="","",'Input_Meci'!K36))</x:f>
      </x:c>
      <x:c r="G373" s="2" t="str">
        <x:f>IF(B373="","",'Input_Meci'!D36)</x:f>
      </x:c>
      <x:c r="H373" s="2" t="str">
        <x:v>HOME</x:v>
      </x:c>
      <x:c r="I373" s="2" t="str">
        <x:v>HA</x:v>
      </x:c>
      <x:c r="J373" s="9" t="n">
        <x:f>IF(AND(B373&lt;&gt;"",ISNUMBER('Input_Meci'!G36)),INT('Input_Meci'!G36),0)</x:f>
        <x:v>0</x:v>
      </x:c>
      <x:c r="K373" s="2" t="n">
        <x:f>IF(OR(B373="",F373=""),0,IF(H373="HOME",COUNTIFS('Istoric_Nativ'!$B$6:$B$405,E373,'Istoric_Nativ'!$C$6:$C$405,F373,'Istoric_Nativ'!$E$6:$E$405,G373,'Istoric_Nativ'!$D$6:$D$405,"&lt;"&amp;J373,'Istoric_Nativ'!$P$6:$P$405,1),IF(H373="AWAY",COUNTIFS('Istoric_Nativ'!$B$6:$B$405,E373,'Istoric_Nativ'!$C$6:$C$405,F373,'Istoric_Nativ'!$F$6:$F$405,G373,'Istoric_Nativ'!$D$6:$D$405,"&lt;"&amp;J373,'Istoric_Nativ'!$P$6:$P$405,1),COUNTIFS('Istoric_Nativ'!$B$6:$B$405,E373,'Istoric_Nativ'!$C$6:$C$405,F373,'Istoric_Nativ'!$E$6:$E$405,G373,'Istoric_Nativ'!$D$6:$D$405,"&lt;"&amp;J373,'Istoric_Nativ'!$P$6:$P$405,1)+COUNTIFS('Istoric_Nativ'!$B$6:$B$405,E373,'Istoric_Nativ'!$C$6:$C$405,F373,'Istoric_Nativ'!$F$6:$F$405,G373,'Istoric_Nativ'!$D$6:$D$405,"&lt;"&amp;J373,'Istoric_Nativ'!$P$6:$P$405,1))))</x:f>
        <x:v>0</x:v>
      </x:c>
      <x:c r="L373" s="17" t="n">
        <x:f>IF(AND(B373&lt;&gt;"",I373="RECENT",K373&gt;0),LARGE(_xlfn._xlws.FILTER('Istoric_Nativ'!$D$6:$D$405,('Istoric_Nativ'!$B$6:$B$405=E373)*('Istoric_Nativ'!$C$6:$C$405=F373)*('Istoric_Nativ'!$P$6:$P$405=1)*('Istoric_Nativ'!$D$6:$D$405&lt;J373)*((('Istoric_Nativ'!$E$6:$E$405=G373)+('Istoric_Nativ'!$F$6:$F$405=G373))&gt;0)),MIN('Config_v6'!$B$54,K373)),0)</x:f>
        <x:v>0</x:v>
      </x:c>
      <x:c r="M373" s="2" t="n">
        <x:f>IF(OR(B373="",F373=""),0,IF(H373="HOME",COUNTIFS('Istoric_Nativ'!$B$6:$B$405,E373,'Istoric_Nativ'!$C$6:$C$405,F373,'Istoric_Nativ'!$E$6:$E$405,G373,'Istoric_Nativ'!$D$6:$D$405,"&lt;"&amp;J373,'Istoric_Nativ'!$P$6:$P$405,1,'Istoric_Nativ'!$D$6:$D$405,"&gt;="&amp;L373),IF(H373="AWAY",COUNTIFS('Istoric_Nativ'!$B$6:$B$405,E373,'Istoric_Nativ'!$C$6:$C$405,F373,'Istoric_Nativ'!$F$6:$F$405,G373,'Istoric_Nativ'!$D$6:$D$405,"&lt;"&amp;J373,'Istoric_Nativ'!$P$6:$P$405,1,'Istoric_Nativ'!$D$6:$D$405,"&gt;="&amp;L373),COUNTIFS('Istoric_Nativ'!$B$6:$B$405,E373,'Istoric_Nativ'!$C$6:$C$405,F373,'Istoric_Nativ'!$E$6:$E$405,G373,'Istoric_Nativ'!$D$6:$D$405,"&lt;"&amp;J373,'Istoric_Nativ'!$P$6:$P$405,1,'Istoric_Nativ'!$D$6:$D$405,"&gt;="&amp;L373)+COUNTIFS('Istoric_Nativ'!$B$6:$B$405,E373,'Istoric_Nativ'!$C$6:$C$405,F373,'Istoric_Nativ'!$F$6:$F$405,G373,'Istoric_Nativ'!$D$6:$D$405,"&lt;"&amp;J373,'Istoric_Nativ'!$P$6:$P$405,1,'Istoric_Nativ'!$D$6:$D$405,"&gt;="&amp;L373))))</x:f>
        <x:v>0</x:v>
      </x:c>
      <x:c r="N373" s="11" t="str">
        <x:f>IF(M373=0,"",IF(H373="HOME",SUMIFS('Istoric_Nativ'!$G$6:$G$405,'Istoric_Nativ'!$B$6:$B$405,E373,'Istoric_Nativ'!$C$6:$C$405,F373,'Istoric_Nativ'!$E$6:$E$405,G373,'Istoric_Nativ'!$D$6:$D$405,"&lt;"&amp;J373,'Istoric_Nativ'!$P$6:$P$405,1,'Istoric_Nativ'!$D$6:$D$405,"&gt;="&amp;L373),IF(H373="AWAY",SUMIFS('Istoric_Nativ'!$H$6:$H$405,'Istoric_Nativ'!$B$6:$B$405,E373,'Istoric_Nativ'!$C$6:$C$405,F373,'Istoric_Nativ'!$F$6:$F$405,G373,'Istoric_Nativ'!$D$6:$D$405,"&lt;"&amp;J373,'Istoric_Nativ'!$P$6:$P$405,1,'Istoric_Nativ'!$D$6:$D$405,"&gt;="&amp;L373),SUMIFS('Istoric_Nativ'!$G$6:$G$405,'Istoric_Nativ'!$B$6:$B$405,E373,'Istoric_Nativ'!$C$6:$C$405,F373,'Istoric_Nativ'!$E$6:$E$405,G373,'Istoric_Nativ'!$D$6:$D$405,"&lt;"&amp;J373,'Istoric_Nativ'!$P$6:$P$405,1,'Istoric_Nativ'!$D$6:$D$405,"&gt;="&amp;L373)+SUMIFS('Istoric_Nativ'!$H$6:$H$405,'Istoric_Nativ'!$B$6:$B$405,E373,'Istoric_Nativ'!$C$6:$C$405,F373,'Istoric_Nativ'!$F$6:$F$405,G373,'Istoric_Nativ'!$D$6:$D$405,"&lt;"&amp;J373,'Istoric_Nativ'!$P$6:$P$405,1,'Istoric_Nativ'!$D$6:$D$405,"&gt;="&amp;L373)))/M373)</x:f>
      </x:c>
      <x:c r="O373" s="11" t="str">
        <x:f>IF(M373=0,"",IF(H373="HOME",SUMIFS('Istoric_Nativ'!$H$6:$H$405,'Istoric_Nativ'!$B$6:$B$405,E373,'Istoric_Nativ'!$C$6:$C$405,F373,'Istoric_Nativ'!$E$6:$E$405,G373,'Istoric_Nativ'!$D$6:$D$405,"&lt;"&amp;J373,'Istoric_Nativ'!$P$6:$P$405,1,'Istoric_Nativ'!$D$6:$D$405,"&gt;="&amp;L373),IF(H373="AWAY",SUMIFS('Istoric_Nativ'!$G$6:$G$405,'Istoric_Nativ'!$B$6:$B$405,E373,'Istoric_Nativ'!$C$6:$C$405,F373,'Istoric_Nativ'!$F$6:$F$405,G373,'Istoric_Nativ'!$D$6:$D$405,"&lt;"&amp;J373,'Istoric_Nativ'!$P$6:$P$405,1,'Istoric_Nativ'!$D$6:$D$405,"&gt;="&amp;L373),SUMIFS('Istoric_Nativ'!$H$6:$H$405,'Istoric_Nativ'!$B$6:$B$405,E373,'Istoric_Nativ'!$C$6:$C$405,F373,'Istoric_Nativ'!$E$6:$E$405,G373,'Istoric_Nativ'!$D$6:$D$405,"&lt;"&amp;J373,'Istoric_Nativ'!$P$6:$P$405,1,'Istoric_Nativ'!$D$6:$D$405,"&gt;="&amp;L373)+SUMIFS('Istoric_Nativ'!$G$6:$G$405,'Istoric_Nativ'!$B$6:$B$405,E373,'Istoric_Nativ'!$C$6:$C$405,F373,'Istoric_Nativ'!$F$6:$F$405,G373,'Istoric_Nativ'!$D$6:$D$405,"&lt;"&amp;J373,'Istoric_Nativ'!$P$6:$P$405,1,'Istoric_Nativ'!$D$6:$D$405,"&gt;="&amp;L373)))/M373)</x:f>
      </x:c>
      <x:c r="P373" s="2" t="n">
        <x:f>'Config_v6'!$B$8</x:f>
        <x:v>5</x:v>
      </x:c>
      <x:c r="Q373" s="2" t="n">
        <x:f>IF(OR(B373="",F373=""),0,IFERROR(MATCH(E373&amp;"|"&amp;F373,SourceTable[Source_Key],0),0))</x:f>
        <x:v>0</x:v>
      </x:c>
      <x:c r="R373" s="2" t="str">
        <x:f>IF(B373="","",IF(F373="","UNUSED",IF(Q373=0,"NOT CHECKED",IF(COUNTIF(SourceTable[Source_Key],E373&amp;"|"&amp;F373)&lt;&gt;1,"SOURCE CONFLICT",IF(NOT(OR(INDEX(SourceTable[Status],MAX(1,Q373))="IMPORTED",INDEX(SourceTable[Status],MAX(1,Q373))="PARTIAL",INDEX(SourceTable[Status],MAX(1,Q373))="SOURCE CONFLICT")),"ACCESS BLOCKED",IF(OR(INDEX(SourceTable[Coverage],Q373)&lt;&gt;"FULL SEASON EXPORT",INDEX(SourceTable[URL],Q373)="",INDEX(SourceTable[SHA256],Q373)=""),"EVIDENCE INCOMPLETE",IF(AND('Input_Meci'!H36="LIVE",INDEX(SourceTable[Retrieved_UTC],Q373)&gt;'Input_Meci'!G36),"POST CUTOFF","CLOSED")))))))</x:f>
      </x:c>
      <x:c r="S373" s="2" t="n">
        <x:f>IF(OR(B373="",F373=""),0,COUNTIFS('Istoric_Nativ'!$B$6:$B$405,E373,'Istoric_Nativ'!$C$6:$C$405,F373,'Istoric_Nativ'!$E$6:$E$405,G373,'Istoric_Nativ'!$D$6:$D$405,"&lt;"&amp;J373,'Istoric_Nativ'!$O$6:$O$405,"INVALID")+COUNTIFS('Istoric_Nativ'!$B$6:$B$405,E373,'Istoric_Nativ'!$C$6:$C$405,F373,'Istoric_Nativ'!$E$6:$E$405,G373,'Istoric_Nativ'!$O$6:$O$405,"INVALID",'Istoric_Nativ'!$D$6:$D$405,"*")+COUNTIFS('Istoric_Nativ'!$B$6:$B$405,E373,'Istoric_Nativ'!$C$6:$C$405,F373,'Istoric_Nativ'!$E$6:$E$405,G373,'Istoric_Nativ'!$D$6:$D$405,"&lt;"&amp;J373,'Istoric_Nativ'!$O$6:$O$405,"SOURCE CONFLICT")+COUNTIFS('Istoric_Nativ'!$B$6:$B$405,E373,'Istoric_Nativ'!$C$6:$C$405,F373,'Istoric_Nativ'!$F$6:$F$405,G373,'Istoric_Nativ'!$D$6:$D$405,"&lt;"&amp;J373,'Istoric_Nativ'!$O$6:$O$405,"INVALID")+COUNTIFS('Istoric_Nativ'!$B$6:$B$405,E373,'Istoric_Nativ'!$C$6:$C$405,F373,'Istoric_Nativ'!$F$6:$F$405,G373,'Istoric_Nativ'!$O$6:$O$405,"INVALID",'Istoric_Nativ'!$D$6:$D$405,"*")+COUNTIFS('Istoric_Nativ'!$B$6:$B$405,E373,'Istoric_Nativ'!$C$6:$C$405,F373,'Istoric_Nativ'!$F$6:$F$405,G373,'Istoric_Nativ'!$D$6:$D$405,"&lt;"&amp;J373,'Istoric_Nativ'!$O$6:$O$405,"SOURCE CONFLICT"))</x:f>
        <x:v>0</x:v>
      </x:c>
      <x:c r="T373" s="2" t="str">
        <x:f>IF(B373="","",IF(R373&lt;&gt;"CLOSED",R373,IF(S373&gt;0,"NATIVE INPUT ISSUE",IF(M373=0,"NO HISTORY",IF(M373&lt;P373,"SMALL SAMPLE","DERIVED")))))</x:f>
      </x:c>
      <x:c r="U373" s="2" t="str">
        <x:f>IF(B373="","","NativeTable; "&amp;E373&amp;"; "&amp;F373&amp;"; "&amp;G373&amp;"; "&amp;H373&amp;"; before "&amp;TEXT(J373,"yyyy-mm-dd")&amp;IF(I373="RECENT","; from "&amp;TEXT(L373,"yyyy-mm-dd"),""))</x:f>
      </x:c>
    </x:row>
    <x:row r="374" ht="21" customHeight="1">
      <x:c r="A374" s="2" t="n">
        <x:v>31</x:v>
      </x:c>
      <x:c r="B374" s="2" t="str">
        <x:f>IF('Input_Meci'!A36="","",'Input_Meci'!A36)</x:f>
      </x:c>
      <x:c r="C374" s="2" t="str">
        <x:v>H</x:v>
      </x:c>
      <x:c r="D374" s="2" t="str">
        <x:v>PRIOR</x:v>
      </x:c>
      <x:c r="E374" s="2" t="str">
        <x:f>IF(B374="","",'Input_Meci'!B36)</x:f>
      </x:c>
      <x:c r="F374" s="2" t="str">
        <x:f>IF(B374="","",IF('Input_Meci'!K36="","",'Input_Meci'!K36))</x:f>
      </x:c>
      <x:c r="G374" s="2" t="str">
        <x:f>IF(B374="","",'Input_Meci'!D36)</x:f>
      </x:c>
      <x:c r="H374" s="2" t="str">
        <x:v>ANY</x:v>
      </x:c>
      <x:c r="I374" s="2" t="str">
        <x:v>RECENT</x:v>
      </x:c>
      <x:c r="J374" s="9" t="n">
        <x:f>IF(AND(B374&lt;&gt;"",ISNUMBER('Input_Meci'!G36)),INT('Input_Meci'!G36),0)</x:f>
        <x:v>0</x:v>
      </x:c>
      <x:c r="K374" s="2" t="n">
        <x:f>IF(OR(B374="",F374=""),0,IF(H374="HOME",COUNTIFS('Istoric_Nativ'!$B$6:$B$405,E374,'Istoric_Nativ'!$C$6:$C$405,F374,'Istoric_Nativ'!$E$6:$E$405,G374,'Istoric_Nativ'!$D$6:$D$405,"&lt;"&amp;J374,'Istoric_Nativ'!$P$6:$P$405,1),IF(H374="AWAY",COUNTIFS('Istoric_Nativ'!$B$6:$B$405,E374,'Istoric_Nativ'!$C$6:$C$405,F374,'Istoric_Nativ'!$F$6:$F$405,G374,'Istoric_Nativ'!$D$6:$D$405,"&lt;"&amp;J374,'Istoric_Nativ'!$P$6:$P$405,1),COUNTIFS('Istoric_Nativ'!$B$6:$B$405,E374,'Istoric_Nativ'!$C$6:$C$405,F374,'Istoric_Nativ'!$E$6:$E$405,G374,'Istoric_Nativ'!$D$6:$D$405,"&lt;"&amp;J374,'Istoric_Nativ'!$P$6:$P$405,1)+COUNTIFS('Istoric_Nativ'!$B$6:$B$405,E374,'Istoric_Nativ'!$C$6:$C$405,F374,'Istoric_Nativ'!$F$6:$F$405,G374,'Istoric_Nativ'!$D$6:$D$405,"&lt;"&amp;J374,'Istoric_Nativ'!$P$6:$P$405,1))))</x:f>
        <x:v>0</x:v>
      </x:c>
      <x:c r="L374" s="17" t="n">
        <x:f>IF(AND(B374&lt;&gt;"",I374="RECENT",K374&gt;0),LARGE(_xlfn._xlws.FILTER('Istoric_Nativ'!$D$6:$D$405,('Istoric_Nativ'!$B$6:$B$405=E374)*('Istoric_Nativ'!$C$6:$C$405=F374)*('Istoric_Nativ'!$P$6:$P$405=1)*('Istoric_Nativ'!$D$6:$D$405&lt;J374)*((('Istoric_Nativ'!$E$6:$E$405=G374)+('Istoric_Nativ'!$F$6:$F$405=G374))&gt;0)),MIN('Config_v6'!$B$54,K374)),0)</x:f>
        <x:v>0</x:v>
      </x:c>
      <x:c r="M374" s="2" t="n">
        <x:f>IF(OR(B374="",F374=""),0,IF(H374="HOME",COUNTIFS('Istoric_Nativ'!$B$6:$B$405,E374,'Istoric_Nativ'!$C$6:$C$405,F374,'Istoric_Nativ'!$E$6:$E$405,G374,'Istoric_Nativ'!$D$6:$D$405,"&lt;"&amp;J374,'Istoric_Nativ'!$P$6:$P$405,1,'Istoric_Nativ'!$D$6:$D$405,"&gt;="&amp;L374),IF(H374="AWAY",COUNTIFS('Istoric_Nativ'!$B$6:$B$405,E374,'Istoric_Nativ'!$C$6:$C$405,F374,'Istoric_Nativ'!$F$6:$F$405,G374,'Istoric_Nativ'!$D$6:$D$405,"&lt;"&amp;J374,'Istoric_Nativ'!$P$6:$P$405,1,'Istoric_Nativ'!$D$6:$D$405,"&gt;="&amp;L374),COUNTIFS('Istoric_Nativ'!$B$6:$B$405,E374,'Istoric_Nativ'!$C$6:$C$405,F374,'Istoric_Nativ'!$E$6:$E$405,G374,'Istoric_Nativ'!$D$6:$D$405,"&lt;"&amp;J374,'Istoric_Nativ'!$P$6:$P$405,1,'Istoric_Nativ'!$D$6:$D$405,"&gt;="&amp;L374)+COUNTIFS('Istoric_Nativ'!$B$6:$B$405,E374,'Istoric_Nativ'!$C$6:$C$405,F374,'Istoric_Nativ'!$F$6:$F$405,G374,'Istoric_Nativ'!$D$6:$D$405,"&lt;"&amp;J374,'Istoric_Nativ'!$P$6:$P$405,1,'Istoric_Nativ'!$D$6:$D$405,"&gt;="&amp;L374))))</x:f>
        <x:v>0</x:v>
      </x:c>
      <x:c r="N374" s="11" t="str">
        <x:f>IF(M374=0,"",IF(H374="HOME",SUMIFS('Istoric_Nativ'!$G$6:$G$405,'Istoric_Nativ'!$B$6:$B$405,E374,'Istoric_Nativ'!$C$6:$C$405,F374,'Istoric_Nativ'!$E$6:$E$405,G374,'Istoric_Nativ'!$D$6:$D$405,"&lt;"&amp;J374,'Istoric_Nativ'!$P$6:$P$405,1,'Istoric_Nativ'!$D$6:$D$405,"&gt;="&amp;L374),IF(H374="AWAY",SUMIFS('Istoric_Nativ'!$H$6:$H$405,'Istoric_Nativ'!$B$6:$B$405,E374,'Istoric_Nativ'!$C$6:$C$405,F374,'Istoric_Nativ'!$F$6:$F$405,G374,'Istoric_Nativ'!$D$6:$D$405,"&lt;"&amp;J374,'Istoric_Nativ'!$P$6:$P$405,1,'Istoric_Nativ'!$D$6:$D$405,"&gt;="&amp;L374),SUMIFS('Istoric_Nativ'!$G$6:$G$405,'Istoric_Nativ'!$B$6:$B$405,E374,'Istoric_Nativ'!$C$6:$C$405,F374,'Istoric_Nativ'!$E$6:$E$405,G374,'Istoric_Nativ'!$D$6:$D$405,"&lt;"&amp;J374,'Istoric_Nativ'!$P$6:$P$405,1,'Istoric_Nativ'!$D$6:$D$405,"&gt;="&amp;L374)+SUMIFS('Istoric_Nativ'!$H$6:$H$405,'Istoric_Nativ'!$B$6:$B$405,E374,'Istoric_Nativ'!$C$6:$C$405,F374,'Istoric_Nativ'!$F$6:$F$405,G374,'Istoric_Nativ'!$D$6:$D$405,"&lt;"&amp;J374,'Istoric_Nativ'!$P$6:$P$405,1,'Istoric_Nativ'!$D$6:$D$405,"&gt;="&amp;L374)))/M374)</x:f>
      </x:c>
      <x:c r="O374" s="11" t="str">
        <x:f>IF(M374=0,"",IF(H374="HOME",SUMIFS('Istoric_Nativ'!$H$6:$H$405,'Istoric_Nativ'!$B$6:$B$405,E374,'Istoric_Nativ'!$C$6:$C$405,F374,'Istoric_Nativ'!$E$6:$E$405,G374,'Istoric_Nativ'!$D$6:$D$405,"&lt;"&amp;J374,'Istoric_Nativ'!$P$6:$P$405,1,'Istoric_Nativ'!$D$6:$D$405,"&gt;="&amp;L374),IF(H374="AWAY",SUMIFS('Istoric_Nativ'!$G$6:$G$405,'Istoric_Nativ'!$B$6:$B$405,E374,'Istoric_Nativ'!$C$6:$C$405,F374,'Istoric_Nativ'!$F$6:$F$405,G374,'Istoric_Nativ'!$D$6:$D$405,"&lt;"&amp;J374,'Istoric_Nativ'!$P$6:$P$405,1,'Istoric_Nativ'!$D$6:$D$405,"&gt;="&amp;L374),SUMIFS('Istoric_Nativ'!$H$6:$H$405,'Istoric_Nativ'!$B$6:$B$405,E374,'Istoric_Nativ'!$C$6:$C$405,F374,'Istoric_Nativ'!$E$6:$E$405,G374,'Istoric_Nativ'!$D$6:$D$405,"&lt;"&amp;J374,'Istoric_Nativ'!$P$6:$P$405,1,'Istoric_Nativ'!$D$6:$D$405,"&gt;="&amp;L374)+SUMIFS('Istoric_Nativ'!$G$6:$G$405,'Istoric_Nativ'!$B$6:$B$405,E374,'Istoric_Nativ'!$C$6:$C$405,F374,'Istoric_Nativ'!$F$6:$F$405,G374,'Istoric_Nativ'!$D$6:$D$405,"&lt;"&amp;J374,'Istoric_Nativ'!$P$6:$P$405,1,'Istoric_Nativ'!$D$6:$D$405,"&gt;="&amp;L374)))/M374)</x:f>
      </x:c>
      <x:c r="P374" s="2" t="n">
        <x:f>'Config_v6'!$B$9</x:f>
        <x:v>3</x:v>
      </x:c>
      <x:c r="Q374" s="2" t="n">
        <x:f>IF(OR(B374="",F374=""),0,IFERROR(MATCH(E374&amp;"|"&amp;F374,SourceTable[Source_Key],0),0))</x:f>
        <x:v>0</x:v>
      </x:c>
      <x:c r="R374" s="2" t="str">
        <x:f>IF(B374="","",IF(F374="","UNUSED",IF(Q374=0,"NOT CHECKED",IF(COUNTIF(SourceTable[Source_Key],E374&amp;"|"&amp;F374)&lt;&gt;1,"SOURCE CONFLICT",IF(NOT(OR(INDEX(SourceTable[Status],MAX(1,Q374))="IMPORTED",INDEX(SourceTable[Status],MAX(1,Q374))="PARTIAL",INDEX(SourceTable[Status],MAX(1,Q374))="SOURCE CONFLICT")),"ACCESS BLOCKED",IF(OR(INDEX(SourceTable[Coverage],Q374)&lt;&gt;"FULL SEASON EXPORT",INDEX(SourceTable[URL],Q374)="",INDEX(SourceTable[SHA256],Q374)=""),"EVIDENCE INCOMPLETE",IF(AND('Input_Meci'!H36="LIVE",INDEX(SourceTable[Retrieved_UTC],Q374)&gt;'Input_Meci'!G36),"POST CUTOFF","CLOSED")))))))</x:f>
      </x:c>
      <x:c r="S374" s="2" t="n">
        <x:f>IF(OR(B374="",F374=""),0,COUNTIFS('Istoric_Nativ'!$B$6:$B$405,E374,'Istoric_Nativ'!$C$6:$C$405,F374,'Istoric_Nativ'!$E$6:$E$405,G374,'Istoric_Nativ'!$D$6:$D$405,"&lt;"&amp;J374,'Istoric_Nativ'!$O$6:$O$405,"INVALID")+COUNTIFS('Istoric_Nativ'!$B$6:$B$405,E374,'Istoric_Nativ'!$C$6:$C$405,F374,'Istoric_Nativ'!$E$6:$E$405,G374,'Istoric_Nativ'!$O$6:$O$405,"INVALID",'Istoric_Nativ'!$D$6:$D$405,"*")+COUNTIFS('Istoric_Nativ'!$B$6:$B$405,E374,'Istoric_Nativ'!$C$6:$C$405,F374,'Istoric_Nativ'!$E$6:$E$405,G374,'Istoric_Nativ'!$D$6:$D$405,"&lt;"&amp;J374,'Istoric_Nativ'!$O$6:$O$405,"SOURCE CONFLICT")+COUNTIFS('Istoric_Nativ'!$B$6:$B$405,E374,'Istoric_Nativ'!$C$6:$C$405,F374,'Istoric_Nativ'!$F$6:$F$405,G374,'Istoric_Nativ'!$D$6:$D$405,"&lt;"&amp;J374,'Istoric_Nativ'!$O$6:$O$405,"INVALID")+COUNTIFS('Istoric_Nativ'!$B$6:$B$405,E374,'Istoric_Nativ'!$C$6:$C$405,F374,'Istoric_Nativ'!$F$6:$F$405,G374,'Istoric_Nativ'!$O$6:$O$405,"INVALID",'Istoric_Nativ'!$D$6:$D$405,"*")+COUNTIFS('Istoric_Nativ'!$B$6:$B$405,E374,'Istoric_Nativ'!$C$6:$C$405,F374,'Istoric_Nativ'!$F$6:$F$405,G374,'Istoric_Nativ'!$D$6:$D$405,"&lt;"&amp;J374,'Istoric_Nativ'!$O$6:$O$405,"SOURCE CONFLICT"))</x:f>
        <x:v>0</x:v>
      </x:c>
      <x:c r="T374" s="2" t="str">
        <x:f>IF(B374="","",IF(R374&lt;&gt;"CLOSED",R374,IF(S374&gt;0,"NATIVE INPUT ISSUE",IF(M374=0,"NO HISTORY",IF(M374&lt;P374,"SMALL SAMPLE","DERIVED")))))</x:f>
      </x:c>
      <x:c r="U374" s="2" t="str">
        <x:f>IF(B374="","","NativeTable; "&amp;E374&amp;"; "&amp;F374&amp;"; "&amp;G374&amp;"; "&amp;H374&amp;"; before "&amp;TEXT(J374,"yyyy-mm-dd")&amp;IF(I374="RECENT","; from "&amp;TEXT(L374,"yyyy-mm-dd"),""))</x:f>
      </x:c>
    </x:row>
    <x:row r="375" ht="21" customHeight="1">
      <x:c r="A375" s="2" t="n">
        <x:v>31</x:v>
      </x:c>
      <x:c r="B375" s="2" t="str">
        <x:f>IF('Input_Meci'!A36="","",'Input_Meci'!A36)</x:f>
      </x:c>
      <x:c r="C375" s="2" t="str">
        <x:v>A</x:v>
      </x:c>
      <x:c r="D375" s="2" t="str">
        <x:v>PRIOR</x:v>
      </x:c>
      <x:c r="E375" s="2" t="str">
        <x:f>IF(B375="","",'Input_Meci'!B36)</x:f>
      </x:c>
      <x:c r="F375" s="2" t="str">
        <x:f>IF(B375="","",IF('Input_Meci'!K36="","",'Input_Meci'!K36))</x:f>
      </x:c>
      <x:c r="G375" s="2" t="str">
        <x:f>IF(B375="","",'Input_Meci'!E36)</x:f>
      </x:c>
      <x:c r="H375" s="2" t="str">
        <x:v>ANY</x:v>
      </x:c>
      <x:c r="I375" s="2" t="str">
        <x:v>SEASON</x:v>
      </x:c>
      <x:c r="J375" s="9" t="n">
        <x:f>IF(AND(B375&lt;&gt;"",ISNUMBER('Input_Meci'!G36)),INT('Input_Meci'!G36),0)</x:f>
        <x:v>0</x:v>
      </x:c>
      <x:c r="K375" s="2" t="n">
        <x:f>IF(OR(B375="",F375=""),0,IF(H375="HOME",COUNTIFS('Istoric_Nativ'!$B$6:$B$405,E375,'Istoric_Nativ'!$C$6:$C$405,F375,'Istoric_Nativ'!$E$6:$E$405,G375,'Istoric_Nativ'!$D$6:$D$405,"&lt;"&amp;J375,'Istoric_Nativ'!$P$6:$P$405,1),IF(H375="AWAY",COUNTIFS('Istoric_Nativ'!$B$6:$B$405,E375,'Istoric_Nativ'!$C$6:$C$405,F375,'Istoric_Nativ'!$F$6:$F$405,G375,'Istoric_Nativ'!$D$6:$D$405,"&lt;"&amp;J375,'Istoric_Nativ'!$P$6:$P$405,1),COUNTIFS('Istoric_Nativ'!$B$6:$B$405,E375,'Istoric_Nativ'!$C$6:$C$405,F375,'Istoric_Nativ'!$E$6:$E$405,G375,'Istoric_Nativ'!$D$6:$D$405,"&lt;"&amp;J375,'Istoric_Nativ'!$P$6:$P$405,1)+COUNTIFS('Istoric_Nativ'!$B$6:$B$405,E375,'Istoric_Nativ'!$C$6:$C$405,F375,'Istoric_Nativ'!$F$6:$F$405,G375,'Istoric_Nativ'!$D$6:$D$405,"&lt;"&amp;J375,'Istoric_Nativ'!$P$6:$P$405,1))))</x:f>
        <x:v>0</x:v>
      </x:c>
      <x:c r="L375" s="17" t="n">
        <x:f>IF(AND(B375&lt;&gt;"",I375="RECENT",K375&gt;0),LARGE(_xlfn._xlws.FILTER('Istoric_Nativ'!$D$6:$D$405,('Istoric_Nativ'!$B$6:$B$405=E375)*('Istoric_Nativ'!$C$6:$C$405=F375)*('Istoric_Nativ'!$P$6:$P$405=1)*('Istoric_Nativ'!$D$6:$D$405&lt;J375)*((('Istoric_Nativ'!$E$6:$E$405=G375)+('Istoric_Nativ'!$F$6:$F$405=G375))&gt;0)),MIN('Config_v6'!$B$54,K375)),0)</x:f>
        <x:v>0</x:v>
      </x:c>
      <x:c r="M375" s="2" t="n">
        <x:f>IF(OR(B375="",F375=""),0,IF(H375="HOME",COUNTIFS('Istoric_Nativ'!$B$6:$B$405,E375,'Istoric_Nativ'!$C$6:$C$405,F375,'Istoric_Nativ'!$E$6:$E$405,G375,'Istoric_Nativ'!$D$6:$D$405,"&lt;"&amp;J375,'Istoric_Nativ'!$P$6:$P$405,1,'Istoric_Nativ'!$D$6:$D$405,"&gt;="&amp;L375),IF(H375="AWAY",COUNTIFS('Istoric_Nativ'!$B$6:$B$405,E375,'Istoric_Nativ'!$C$6:$C$405,F375,'Istoric_Nativ'!$F$6:$F$405,G375,'Istoric_Nativ'!$D$6:$D$405,"&lt;"&amp;J375,'Istoric_Nativ'!$P$6:$P$405,1,'Istoric_Nativ'!$D$6:$D$405,"&gt;="&amp;L375),COUNTIFS('Istoric_Nativ'!$B$6:$B$405,E375,'Istoric_Nativ'!$C$6:$C$405,F375,'Istoric_Nativ'!$E$6:$E$405,G375,'Istoric_Nativ'!$D$6:$D$405,"&lt;"&amp;J375,'Istoric_Nativ'!$P$6:$P$405,1,'Istoric_Nativ'!$D$6:$D$405,"&gt;="&amp;L375)+COUNTIFS('Istoric_Nativ'!$B$6:$B$405,E375,'Istoric_Nativ'!$C$6:$C$405,F375,'Istoric_Nativ'!$F$6:$F$405,G375,'Istoric_Nativ'!$D$6:$D$405,"&lt;"&amp;J375,'Istoric_Nativ'!$P$6:$P$405,1,'Istoric_Nativ'!$D$6:$D$405,"&gt;="&amp;L375))))</x:f>
        <x:v>0</x:v>
      </x:c>
      <x:c r="N375" s="11" t="str">
        <x:f>IF(M375=0,"",IF(H375="HOME",SUMIFS('Istoric_Nativ'!$G$6:$G$405,'Istoric_Nativ'!$B$6:$B$405,E375,'Istoric_Nativ'!$C$6:$C$405,F375,'Istoric_Nativ'!$E$6:$E$405,G375,'Istoric_Nativ'!$D$6:$D$405,"&lt;"&amp;J375,'Istoric_Nativ'!$P$6:$P$405,1,'Istoric_Nativ'!$D$6:$D$405,"&gt;="&amp;L375),IF(H375="AWAY",SUMIFS('Istoric_Nativ'!$H$6:$H$405,'Istoric_Nativ'!$B$6:$B$405,E375,'Istoric_Nativ'!$C$6:$C$405,F375,'Istoric_Nativ'!$F$6:$F$405,G375,'Istoric_Nativ'!$D$6:$D$405,"&lt;"&amp;J375,'Istoric_Nativ'!$P$6:$P$405,1,'Istoric_Nativ'!$D$6:$D$405,"&gt;="&amp;L375),SUMIFS('Istoric_Nativ'!$G$6:$G$405,'Istoric_Nativ'!$B$6:$B$405,E375,'Istoric_Nativ'!$C$6:$C$405,F375,'Istoric_Nativ'!$E$6:$E$405,G375,'Istoric_Nativ'!$D$6:$D$405,"&lt;"&amp;J375,'Istoric_Nativ'!$P$6:$P$405,1,'Istoric_Nativ'!$D$6:$D$405,"&gt;="&amp;L375)+SUMIFS('Istoric_Nativ'!$H$6:$H$405,'Istoric_Nativ'!$B$6:$B$405,E375,'Istoric_Nativ'!$C$6:$C$405,F375,'Istoric_Nativ'!$F$6:$F$405,G375,'Istoric_Nativ'!$D$6:$D$405,"&lt;"&amp;J375,'Istoric_Nativ'!$P$6:$P$405,1,'Istoric_Nativ'!$D$6:$D$405,"&gt;="&amp;L375)))/M375)</x:f>
      </x:c>
      <x:c r="O375" s="11" t="str">
        <x:f>IF(M375=0,"",IF(H375="HOME",SUMIFS('Istoric_Nativ'!$H$6:$H$405,'Istoric_Nativ'!$B$6:$B$405,E375,'Istoric_Nativ'!$C$6:$C$405,F375,'Istoric_Nativ'!$E$6:$E$405,G375,'Istoric_Nativ'!$D$6:$D$405,"&lt;"&amp;J375,'Istoric_Nativ'!$P$6:$P$405,1,'Istoric_Nativ'!$D$6:$D$405,"&gt;="&amp;L375),IF(H375="AWAY",SUMIFS('Istoric_Nativ'!$G$6:$G$405,'Istoric_Nativ'!$B$6:$B$405,E375,'Istoric_Nativ'!$C$6:$C$405,F375,'Istoric_Nativ'!$F$6:$F$405,G375,'Istoric_Nativ'!$D$6:$D$405,"&lt;"&amp;J375,'Istoric_Nativ'!$P$6:$P$405,1,'Istoric_Nativ'!$D$6:$D$405,"&gt;="&amp;L375),SUMIFS('Istoric_Nativ'!$H$6:$H$405,'Istoric_Nativ'!$B$6:$B$405,E375,'Istoric_Nativ'!$C$6:$C$405,F375,'Istoric_Nativ'!$E$6:$E$405,G375,'Istoric_Nativ'!$D$6:$D$405,"&lt;"&amp;J375,'Istoric_Nativ'!$P$6:$P$405,1,'Istoric_Nativ'!$D$6:$D$405,"&gt;="&amp;L375)+SUMIFS('Istoric_Nativ'!$G$6:$G$405,'Istoric_Nativ'!$B$6:$B$405,E375,'Istoric_Nativ'!$C$6:$C$405,F375,'Istoric_Nativ'!$F$6:$F$405,G375,'Istoric_Nativ'!$D$6:$D$405,"&lt;"&amp;J375,'Istoric_Nativ'!$P$6:$P$405,1,'Istoric_Nativ'!$D$6:$D$405,"&gt;="&amp;L375)))/M375)</x:f>
      </x:c>
      <x:c r="P375" s="2" t="n">
        <x:f>'Config_v6'!$B$7</x:f>
        <x:v>10</x:v>
      </x:c>
      <x:c r="Q375" s="2" t="n">
        <x:f>IF(OR(B375="",F375=""),0,IFERROR(MATCH(E375&amp;"|"&amp;F375,SourceTable[Source_Key],0),0))</x:f>
        <x:v>0</x:v>
      </x:c>
      <x:c r="R375" s="2" t="str">
        <x:f>IF(B375="","",IF(F375="","UNUSED",IF(Q375=0,"NOT CHECKED",IF(COUNTIF(SourceTable[Source_Key],E375&amp;"|"&amp;F375)&lt;&gt;1,"SOURCE CONFLICT",IF(NOT(OR(INDEX(SourceTable[Status],MAX(1,Q375))="IMPORTED",INDEX(SourceTable[Status],MAX(1,Q375))="PARTIAL",INDEX(SourceTable[Status],MAX(1,Q375))="SOURCE CONFLICT")),"ACCESS BLOCKED",IF(OR(INDEX(SourceTable[Coverage],Q375)&lt;&gt;"FULL SEASON EXPORT",INDEX(SourceTable[URL],Q375)="",INDEX(SourceTable[SHA256],Q375)=""),"EVIDENCE INCOMPLETE",IF(AND('Input_Meci'!H36="LIVE",INDEX(SourceTable[Retrieved_UTC],Q375)&gt;'Input_Meci'!G36),"POST CUTOFF","CLOSED")))))))</x:f>
      </x:c>
      <x:c r="S375" s="2" t="n">
        <x:f>IF(OR(B375="",F375=""),0,COUNTIFS('Istoric_Nativ'!$B$6:$B$405,E375,'Istoric_Nativ'!$C$6:$C$405,F375,'Istoric_Nativ'!$E$6:$E$405,G375,'Istoric_Nativ'!$D$6:$D$405,"&lt;"&amp;J375,'Istoric_Nativ'!$O$6:$O$405,"INVALID")+COUNTIFS('Istoric_Nativ'!$B$6:$B$405,E375,'Istoric_Nativ'!$C$6:$C$405,F375,'Istoric_Nativ'!$E$6:$E$405,G375,'Istoric_Nativ'!$O$6:$O$405,"INVALID",'Istoric_Nativ'!$D$6:$D$405,"*")+COUNTIFS('Istoric_Nativ'!$B$6:$B$405,E375,'Istoric_Nativ'!$C$6:$C$405,F375,'Istoric_Nativ'!$E$6:$E$405,G375,'Istoric_Nativ'!$D$6:$D$405,"&lt;"&amp;J375,'Istoric_Nativ'!$O$6:$O$405,"SOURCE CONFLICT")+COUNTIFS('Istoric_Nativ'!$B$6:$B$405,E375,'Istoric_Nativ'!$C$6:$C$405,F375,'Istoric_Nativ'!$F$6:$F$405,G375,'Istoric_Nativ'!$D$6:$D$405,"&lt;"&amp;J375,'Istoric_Nativ'!$O$6:$O$405,"INVALID")+COUNTIFS('Istoric_Nativ'!$B$6:$B$405,E375,'Istoric_Nativ'!$C$6:$C$405,F375,'Istoric_Nativ'!$F$6:$F$405,G375,'Istoric_Nativ'!$O$6:$O$405,"INVALID",'Istoric_Nativ'!$D$6:$D$405,"*")+COUNTIFS('Istoric_Nativ'!$B$6:$B$405,E375,'Istoric_Nativ'!$C$6:$C$405,F375,'Istoric_Nativ'!$F$6:$F$405,G375,'Istoric_Nativ'!$D$6:$D$405,"&lt;"&amp;J375,'Istoric_Nativ'!$O$6:$O$405,"SOURCE CONFLICT"))</x:f>
        <x:v>0</x:v>
      </x:c>
      <x:c r="T375" s="2" t="str">
        <x:f>IF(B375="","",IF(R375&lt;&gt;"CLOSED",R375,IF(S375&gt;0,"NATIVE INPUT ISSUE",IF(M375=0,"NO HISTORY",IF(M375&lt;P375,"SMALL SAMPLE","DERIVED")))))</x:f>
      </x:c>
      <x:c r="U375" s="2" t="str">
        <x:f>IF(B375="","","NativeTable; "&amp;E375&amp;"; "&amp;F375&amp;"; "&amp;G375&amp;"; "&amp;H375&amp;"; before "&amp;TEXT(J375,"yyyy-mm-dd")&amp;IF(I375="RECENT","; from "&amp;TEXT(L375,"yyyy-mm-dd"),""))</x:f>
      </x:c>
    </x:row>
    <x:row r="376" ht="21" customHeight="1">
      <x:c r="A376" s="2" t="n">
        <x:v>31</x:v>
      </x:c>
      <x:c r="B376" s="2" t="str">
        <x:f>IF('Input_Meci'!A36="","",'Input_Meci'!A36)</x:f>
      </x:c>
      <x:c r="C376" s="2" t="str">
        <x:v>A</x:v>
      </x:c>
      <x:c r="D376" s="2" t="str">
        <x:v>PRIOR</x:v>
      </x:c>
      <x:c r="E376" s="2" t="str">
        <x:f>IF(B376="","",'Input_Meci'!B36)</x:f>
      </x:c>
      <x:c r="F376" s="2" t="str">
        <x:f>IF(B376="","",IF('Input_Meci'!K36="","",'Input_Meci'!K36))</x:f>
      </x:c>
      <x:c r="G376" s="2" t="str">
        <x:f>IF(B376="","",'Input_Meci'!E36)</x:f>
      </x:c>
      <x:c r="H376" s="2" t="str">
        <x:v>AWAY</x:v>
      </x:c>
      <x:c r="I376" s="2" t="str">
        <x:v>HA</x:v>
      </x:c>
      <x:c r="J376" s="9" t="n">
        <x:f>IF(AND(B376&lt;&gt;"",ISNUMBER('Input_Meci'!G36)),INT('Input_Meci'!G36),0)</x:f>
        <x:v>0</x:v>
      </x:c>
      <x:c r="K376" s="2" t="n">
        <x:f>IF(OR(B376="",F376=""),0,IF(H376="HOME",COUNTIFS('Istoric_Nativ'!$B$6:$B$405,E376,'Istoric_Nativ'!$C$6:$C$405,F376,'Istoric_Nativ'!$E$6:$E$405,G376,'Istoric_Nativ'!$D$6:$D$405,"&lt;"&amp;J376,'Istoric_Nativ'!$P$6:$P$405,1),IF(H376="AWAY",COUNTIFS('Istoric_Nativ'!$B$6:$B$405,E376,'Istoric_Nativ'!$C$6:$C$405,F376,'Istoric_Nativ'!$F$6:$F$405,G376,'Istoric_Nativ'!$D$6:$D$405,"&lt;"&amp;J376,'Istoric_Nativ'!$P$6:$P$405,1),COUNTIFS('Istoric_Nativ'!$B$6:$B$405,E376,'Istoric_Nativ'!$C$6:$C$405,F376,'Istoric_Nativ'!$E$6:$E$405,G376,'Istoric_Nativ'!$D$6:$D$405,"&lt;"&amp;J376,'Istoric_Nativ'!$P$6:$P$405,1)+COUNTIFS('Istoric_Nativ'!$B$6:$B$405,E376,'Istoric_Nativ'!$C$6:$C$405,F376,'Istoric_Nativ'!$F$6:$F$405,G376,'Istoric_Nativ'!$D$6:$D$405,"&lt;"&amp;J376,'Istoric_Nativ'!$P$6:$P$405,1))))</x:f>
        <x:v>0</x:v>
      </x:c>
      <x:c r="L376" s="17" t="n">
        <x:f>IF(AND(B376&lt;&gt;"",I376="RECENT",K376&gt;0),LARGE(_xlfn._xlws.FILTER('Istoric_Nativ'!$D$6:$D$405,('Istoric_Nativ'!$B$6:$B$405=E376)*('Istoric_Nativ'!$C$6:$C$405=F376)*('Istoric_Nativ'!$P$6:$P$405=1)*('Istoric_Nativ'!$D$6:$D$405&lt;J376)*((('Istoric_Nativ'!$E$6:$E$405=G376)+('Istoric_Nativ'!$F$6:$F$405=G376))&gt;0)),MIN('Config_v6'!$B$54,K376)),0)</x:f>
        <x:v>0</x:v>
      </x:c>
      <x:c r="M376" s="2" t="n">
        <x:f>IF(OR(B376="",F376=""),0,IF(H376="HOME",COUNTIFS('Istoric_Nativ'!$B$6:$B$405,E376,'Istoric_Nativ'!$C$6:$C$405,F376,'Istoric_Nativ'!$E$6:$E$405,G376,'Istoric_Nativ'!$D$6:$D$405,"&lt;"&amp;J376,'Istoric_Nativ'!$P$6:$P$405,1,'Istoric_Nativ'!$D$6:$D$405,"&gt;="&amp;L376),IF(H376="AWAY",COUNTIFS('Istoric_Nativ'!$B$6:$B$405,E376,'Istoric_Nativ'!$C$6:$C$405,F376,'Istoric_Nativ'!$F$6:$F$405,G376,'Istoric_Nativ'!$D$6:$D$405,"&lt;"&amp;J376,'Istoric_Nativ'!$P$6:$P$405,1,'Istoric_Nativ'!$D$6:$D$405,"&gt;="&amp;L376),COUNTIFS('Istoric_Nativ'!$B$6:$B$405,E376,'Istoric_Nativ'!$C$6:$C$405,F376,'Istoric_Nativ'!$E$6:$E$405,G376,'Istoric_Nativ'!$D$6:$D$405,"&lt;"&amp;J376,'Istoric_Nativ'!$P$6:$P$405,1,'Istoric_Nativ'!$D$6:$D$405,"&gt;="&amp;L376)+COUNTIFS('Istoric_Nativ'!$B$6:$B$405,E376,'Istoric_Nativ'!$C$6:$C$405,F376,'Istoric_Nativ'!$F$6:$F$405,G376,'Istoric_Nativ'!$D$6:$D$405,"&lt;"&amp;J376,'Istoric_Nativ'!$P$6:$P$405,1,'Istoric_Nativ'!$D$6:$D$405,"&gt;="&amp;L376))))</x:f>
        <x:v>0</x:v>
      </x:c>
      <x:c r="N376" s="11" t="str">
        <x:f>IF(M376=0,"",IF(H376="HOME",SUMIFS('Istoric_Nativ'!$G$6:$G$405,'Istoric_Nativ'!$B$6:$B$405,E376,'Istoric_Nativ'!$C$6:$C$405,F376,'Istoric_Nativ'!$E$6:$E$405,G376,'Istoric_Nativ'!$D$6:$D$405,"&lt;"&amp;J376,'Istoric_Nativ'!$P$6:$P$405,1,'Istoric_Nativ'!$D$6:$D$405,"&gt;="&amp;L376),IF(H376="AWAY",SUMIFS('Istoric_Nativ'!$H$6:$H$405,'Istoric_Nativ'!$B$6:$B$405,E376,'Istoric_Nativ'!$C$6:$C$405,F376,'Istoric_Nativ'!$F$6:$F$405,G376,'Istoric_Nativ'!$D$6:$D$405,"&lt;"&amp;J376,'Istoric_Nativ'!$P$6:$P$405,1,'Istoric_Nativ'!$D$6:$D$405,"&gt;="&amp;L376),SUMIFS('Istoric_Nativ'!$G$6:$G$405,'Istoric_Nativ'!$B$6:$B$405,E376,'Istoric_Nativ'!$C$6:$C$405,F376,'Istoric_Nativ'!$E$6:$E$405,G376,'Istoric_Nativ'!$D$6:$D$405,"&lt;"&amp;J376,'Istoric_Nativ'!$P$6:$P$405,1,'Istoric_Nativ'!$D$6:$D$405,"&gt;="&amp;L376)+SUMIFS('Istoric_Nativ'!$H$6:$H$405,'Istoric_Nativ'!$B$6:$B$405,E376,'Istoric_Nativ'!$C$6:$C$405,F376,'Istoric_Nativ'!$F$6:$F$405,G376,'Istoric_Nativ'!$D$6:$D$405,"&lt;"&amp;J376,'Istoric_Nativ'!$P$6:$P$405,1,'Istoric_Nativ'!$D$6:$D$405,"&gt;="&amp;L376)))/M376)</x:f>
      </x:c>
      <x:c r="O376" s="11" t="str">
        <x:f>IF(M376=0,"",IF(H376="HOME",SUMIFS('Istoric_Nativ'!$H$6:$H$405,'Istoric_Nativ'!$B$6:$B$405,E376,'Istoric_Nativ'!$C$6:$C$405,F376,'Istoric_Nativ'!$E$6:$E$405,G376,'Istoric_Nativ'!$D$6:$D$405,"&lt;"&amp;J376,'Istoric_Nativ'!$P$6:$P$405,1,'Istoric_Nativ'!$D$6:$D$405,"&gt;="&amp;L376),IF(H376="AWAY",SUMIFS('Istoric_Nativ'!$G$6:$G$405,'Istoric_Nativ'!$B$6:$B$405,E376,'Istoric_Nativ'!$C$6:$C$405,F376,'Istoric_Nativ'!$F$6:$F$405,G376,'Istoric_Nativ'!$D$6:$D$405,"&lt;"&amp;J376,'Istoric_Nativ'!$P$6:$P$405,1,'Istoric_Nativ'!$D$6:$D$405,"&gt;="&amp;L376),SUMIFS('Istoric_Nativ'!$H$6:$H$405,'Istoric_Nativ'!$B$6:$B$405,E376,'Istoric_Nativ'!$C$6:$C$405,F376,'Istoric_Nativ'!$E$6:$E$405,G376,'Istoric_Nativ'!$D$6:$D$405,"&lt;"&amp;J376,'Istoric_Nativ'!$P$6:$P$405,1,'Istoric_Nativ'!$D$6:$D$405,"&gt;="&amp;L376)+SUMIFS('Istoric_Nativ'!$G$6:$G$405,'Istoric_Nativ'!$B$6:$B$405,E376,'Istoric_Nativ'!$C$6:$C$405,F376,'Istoric_Nativ'!$F$6:$F$405,G376,'Istoric_Nativ'!$D$6:$D$405,"&lt;"&amp;J376,'Istoric_Nativ'!$P$6:$P$405,1,'Istoric_Nativ'!$D$6:$D$405,"&gt;="&amp;L376)))/M376)</x:f>
      </x:c>
      <x:c r="P376" s="2" t="n">
        <x:f>'Config_v6'!$B$8</x:f>
        <x:v>5</x:v>
      </x:c>
      <x:c r="Q376" s="2" t="n">
        <x:f>IF(OR(B376="",F376=""),0,IFERROR(MATCH(E376&amp;"|"&amp;F376,SourceTable[Source_Key],0),0))</x:f>
        <x:v>0</x:v>
      </x:c>
      <x:c r="R376" s="2" t="str">
        <x:f>IF(B376="","",IF(F376="","UNUSED",IF(Q376=0,"NOT CHECKED",IF(COUNTIF(SourceTable[Source_Key],E376&amp;"|"&amp;F376)&lt;&gt;1,"SOURCE CONFLICT",IF(NOT(OR(INDEX(SourceTable[Status],MAX(1,Q376))="IMPORTED",INDEX(SourceTable[Status],MAX(1,Q376))="PARTIAL",INDEX(SourceTable[Status],MAX(1,Q376))="SOURCE CONFLICT")),"ACCESS BLOCKED",IF(OR(INDEX(SourceTable[Coverage],Q376)&lt;&gt;"FULL SEASON EXPORT",INDEX(SourceTable[URL],Q376)="",INDEX(SourceTable[SHA256],Q376)=""),"EVIDENCE INCOMPLETE",IF(AND('Input_Meci'!H36="LIVE",INDEX(SourceTable[Retrieved_UTC],Q376)&gt;'Input_Meci'!G36),"POST CUTOFF","CLOSED")))))))</x:f>
      </x:c>
      <x:c r="S376" s="2" t="n">
        <x:f>IF(OR(B376="",F376=""),0,COUNTIFS('Istoric_Nativ'!$B$6:$B$405,E376,'Istoric_Nativ'!$C$6:$C$405,F376,'Istoric_Nativ'!$E$6:$E$405,G376,'Istoric_Nativ'!$D$6:$D$405,"&lt;"&amp;J376,'Istoric_Nativ'!$O$6:$O$405,"INVALID")+COUNTIFS('Istoric_Nativ'!$B$6:$B$405,E376,'Istoric_Nativ'!$C$6:$C$405,F376,'Istoric_Nativ'!$E$6:$E$405,G376,'Istoric_Nativ'!$O$6:$O$405,"INVALID",'Istoric_Nativ'!$D$6:$D$405,"*")+COUNTIFS('Istoric_Nativ'!$B$6:$B$405,E376,'Istoric_Nativ'!$C$6:$C$405,F376,'Istoric_Nativ'!$E$6:$E$405,G376,'Istoric_Nativ'!$D$6:$D$405,"&lt;"&amp;J376,'Istoric_Nativ'!$O$6:$O$405,"SOURCE CONFLICT")+COUNTIFS('Istoric_Nativ'!$B$6:$B$405,E376,'Istoric_Nativ'!$C$6:$C$405,F376,'Istoric_Nativ'!$F$6:$F$405,G376,'Istoric_Nativ'!$D$6:$D$405,"&lt;"&amp;J376,'Istoric_Nativ'!$O$6:$O$405,"INVALID")+COUNTIFS('Istoric_Nativ'!$B$6:$B$405,E376,'Istoric_Nativ'!$C$6:$C$405,F376,'Istoric_Nativ'!$F$6:$F$405,G376,'Istoric_Nativ'!$O$6:$O$405,"INVALID",'Istoric_Nativ'!$D$6:$D$405,"*")+COUNTIFS('Istoric_Nativ'!$B$6:$B$405,E376,'Istoric_Nativ'!$C$6:$C$405,F376,'Istoric_Nativ'!$F$6:$F$405,G376,'Istoric_Nativ'!$D$6:$D$405,"&lt;"&amp;J376,'Istoric_Nativ'!$O$6:$O$405,"SOURCE CONFLICT"))</x:f>
        <x:v>0</x:v>
      </x:c>
      <x:c r="T376" s="2" t="str">
        <x:f>IF(B376="","",IF(R376&lt;&gt;"CLOSED",R376,IF(S376&gt;0,"NATIVE INPUT ISSUE",IF(M376=0,"NO HISTORY",IF(M376&lt;P376,"SMALL SAMPLE","DERIVED")))))</x:f>
      </x:c>
      <x:c r="U376" s="2" t="str">
        <x:f>IF(B376="","","NativeTable; "&amp;E376&amp;"; "&amp;F376&amp;"; "&amp;G376&amp;"; "&amp;H376&amp;"; before "&amp;TEXT(J376,"yyyy-mm-dd")&amp;IF(I376="RECENT","; from "&amp;TEXT(L376,"yyyy-mm-dd"),""))</x:f>
      </x:c>
    </x:row>
    <x:row r="377" ht="21" customHeight="1">
      <x:c r="A377" s="2" t="n">
        <x:v>31</x:v>
      </x:c>
      <x:c r="B377" s="2" t="str">
        <x:f>IF('Input_Meci'!A36="","",'Input_Meci'!A36)</x:f>
      </x:c>
      <x:c r="C377" s="2" t="str">
        <x:v>A</x:v>
      </x:c>
      <x:c r="D377" s="2" t="str">
        <x:v>PRIOR</x:v>
      </x:c>
      <x:c r="E377" s="2" t="str">
        <x:f>IF(B377="","",'Input_Meci'!B36)</x:f>
      </x:c>
      <x:c r="F377" s="2" t="str">
        <x:f>IF(B377="","",IF('Input_Meci'!K36="","",'Input_Meci'!K36))</x:f>
      </x:c>
      <x:c r="G377" s="2" t="str">
        <x:f>IF(B377="","",'Input_Meci'!E36)</x:f>
      </x:c>
      <x:c r="H377" s="2" t="str">
        <x:v>ANY</x:v>
      </x:c>
      <x:c r="I377" s="2" t="str">
        <x:v>RECENT</x:v>
      </x:c>
      <x:c r="J377" s="9" t="n">
        <x:f>IF(AND(B377&lt;&gt;"",ISNUMBER('Input_Meci'!G36)),INT('Input_Meci'!G36),0)</x:f>
        <x:v>0</x:v>
      </x:c>
      <x:c r="K377" s="2" t="n">
        <x:f>IF(OR(B377="",F377=""),0,IF(H377="HOME",COUNTIFS('Istoric_Nativ'!$B$6:$B$405,E377,'Istoric_Nativ'!$C$6:$C$405,F377,'Istoric_Nativ'!$E$6:$E$405,G377,'Istoric_Nativ'!$D$6:$D$405,"&lt;"&amp;J377,'Istoric_Nativ'!$P$6:$P$405,1),IF(H377="AWAY",COUNTIFS('Istoric_Nativ'!$B$6:$B$405,E377,'Istoric_Nativ'!$C$6:$C$405,F377,'Istoric_Nativ'!$F$6:$F$405,G377,'Istoric_Nativ'!$D$6:$D$405,"&lt;"&amp;J377,'Istoric_Nativ'!$P$6:$P$405,1),COUNTIFS('Istoric_Nativ'!$B$6:$B$405,E377,'Istoric_Nativ'!$C$6:$C$405,F377,'Istoric_Nativ'!$E$6:$E$405,G377,'Istoric_Nativ'!$D$6:$D$405,"&lt;"&amp;J377,'Istoric_Nativ'!$P$6:$P$405,1)+COUNTIFS('Istoric_Nativ'!$B$6:$B$405,E377,'Istoric_Nativ'!$C$6:$C$405,F377,'Istoric_Nativ'!$F$6:$F$405,G377,'Istoric_Nativ'!$D$6:$D$405,"&lt;"&amp;J377,'Istoric_Nativ'!$P$6:$P$405,1))))</x:f>
        <x:v>0</x:v>
      </x:c>
      <x:c r="L377" s="17" t="n">
        <x:f>IF(AND(B377&lt;&gt;"",I377="RECENT",K377&gt;0),LARGE(_xlfn._xlws.FILTER('Istoric_Nativ'!$D$6:$D$405,('Istoric_Nativ'!$B$6:$B$405=E377)*('Istoric_Nativ'!$C$6:$C$405=F377)*('Istoric_Nativ'!$P$6:$P$405=1)*('Istoric_Nativ'!$D$6:$D$405&lt;J377)*((('Istoric_Nativ'!$E$6:$E$405=G377)+('Istoric_Nativ'!$F$6:$F$405=G377))&gt;0)),MIN('Config_v6'!$B$54,K377)),0)</x:f>
        <x:v>0</x:v>
      </x:c>
      <x:c r="M377" s="2" t="n">
        <x:f>IF(OR(B377="",F377=""),0,IF(H377="HOME",COUNTIFS('Istoric_Nativ'!$B$6:$B$405,E377,'Istoric_Nativ'!$C$6:$C$405,F377,'Istoric_Nativ'!$E$6:$E$405,G377,'Istoric_Nativ'!$D$6:$D$405,"&lt;"&amp;J377,'Istoric_Nativ'!$P$6:$P$405,1,'Istoric_Nativ'!$D$6:$D$405,"&gt;="&amp;L377),IF(H377="AWAY",COUNTIFS('Istoric_Nativ'!$B$6:$B$405,E377,'Istoric_Nativ'!$C$6:$C$405,F377,'Istoric_Nativ'!$F$6:$F$405,G377,'Istoric_Nativ'!$D$6:$D$405,"&lt;"&amp;J377,'Istoric_Nativ'!$P$6:$P$405,1,'Istoric_Nativ'!$D$6:$D$405,"&gt;="&amp;L377),COUNTIFS('Istoric_Nativ'!$B$6:$B$405,E377,'Istoric_Nativ'!$C$6:$C$405,F377,'Istoric_Nativ'!$E$6:$E$405,G377,'Istoric_Nativ'!$D$6:$D$405,"&lt;"&amp;J377,'Istoric_Nativ'!$P$6:$P$405,1,'Istoric_Nativ'!$D$6:$D$405,"&gt;="&amp;L377)+COUNTIFS('Istoric_Nativ'!$B$6:$B$405,E377,'Istoric_Nativ'!$C$6:$C$405,F377,'Istoric_Nativ'!$F$6:$F$405,G377,'Istoric_Nativ'!$D$6:$D$405,"&lt;"&amp;J377,'Istoric_Nativ'!$P$6:$P$405,1,'Istoric_Nativ'!$D$6:$D$405,"&gt;="&amp;L377))))</x:f>
        <x:v>0</x:v>
      </x:c>
      <x:c r="N377" s="11" t="str">
        <x:f>IF(M377=0,"",IF(H377="HOME",SUMIFS('Istoric_Nativ'!$G$6:$G$405,'Istoric_Nativ'!$B$6:$B$405,E377,'Istoric_Nativ'!$C$6:$C$405,F377,'Istoric_Nativ'!$E$6:$E$405,G377,'Istoric_Nativ'!$D$6:$D$405,"&lt;"&amp;J377,'Istoric_Nativ'!$P$6:$P$405,1,'Istoric_Nativ'!$D$6:$D$405,"&gt;="&amp;L377),IF(H377="AWAY",SUMIFS('Istoric_Nativ'!$H$6:$H$405,'Istoric_Nativ'!$B$6:$B$405,E377,'Istoric_Nativ'!$C$6:$C$405,F377,'Istoric_Nativ'!$F$6:$F$405,G377,'Istoric_Nativ'!$D$6:$D$405,"&lt;"&amp;J377,'Istoric_Nativ'!$P$6:$P$405,1,'Istoric_Nativ'!$D$6:$D$405,"&gt;="&amp;L377),SUMIFS('Istoric_Nativ'!$G$6:$G$405,'Istoric_Nativ'!$B$6:$B$405,E377,'Istoric_Nativ'!$C$6:$C$405,F377,'Istoric_Nativ'!$E$6:$E$405,G377,'Istoric_Nativ'!$D$6:$D$405,"&lt;"&amp;J377,'Istoric_Nativ'!$P$6:$P$405,1,'Istoric_Nativ'!$D$6:$D$405,"&gt;="&amp;L377)+SUMIFS('Istoric_Nativ'!$H$6:$H$405,'Istoric_Nativ'!$B$6:$B$405,E377,'Istoric_Nativ'!$C$6:$C$405,F377,'Istoric_Nativ'!$F$6:$F$405,G377,'Istoric_Nativ'!$D$6:$D$405,"&lt;"&amp;J377,'Istoric_Nativ'!$P$6:$P$405,1,'Istoric_Nativ'!$D$6:$D$405,"&gt;="&amp;L377)))/M377)</x:f>
      </x:c>
      <x:c r="O377" s="11" t="str">
        <x:f>IF(M377=0,"",IF(H377="HOME",SUMIFS('Istoric_Nativ'!$H$6:$H$405,'Istoric_Nativ'!$B$6:$B$405,E377,'Istoric_Nativ'!$C$6:$C$405,F377,'Istoric_Nativ'!$E$6:$E$405,G377,'Istoric_Nativ'!$D$6:$D$405,"&lt;"&amp;J377,'Istoric_Nativ'!$P$6:$P$405,1,'Istoric_Nativ'!$D$6:$D$405,"&gt;="&amp;L377),IF(H377="AWAY",SUMIFS('Istoric_Nativ'!$G$6:$G$405,'Istoric_Nativ'!$B$6:$B$405,E377,'Istoric_Nativ'!$C$6:$C$405,F377,'Istoric_Nativ'!$F$6:$F$405,G377,'Istoric_Nativ'!$D$6:$D$405,"&lt;"&amp;J377,'Istoric_Nativ'!$P$6:$P$405,1,'Istoric_Nativ'!$D$6:$D$405,"&gt;="&amp;L377),SUMIFS('Istoric_Nativ'!$H$6:$H$405,'Istoric_Nativ'!$B$6:$B$405,E377,'Istoric_Nativ'!$C$6:$C$405,F377,'Istoric_Nativ'!$E$6:$E$405,G377,'Istoric_Nativ'!$D$6:$D$405,"&lt;"&amp;J377,'Istoric_Nativ'!$P$6:$P$405,1,'Istoric_Nativ'!$D$6:$D$405,"&gt;="&amp;L377)+SUMIFS('Istoric_Nativ'!$G$6:$G$405,'Istoric_Nativ'!$B$6:$B$405,E377,'Istoric_Nativ'!$C$6:$C$405,F377,'Istoric_Nativ'!$F$6:$F$405,G377,'Istoric_Nativ'!$D$6:$D$405,"&lt;"&amp;J377,'Istoric_Nativ'!$P$6:$P$405,1,'Istoric_Nativ'!$D$6:$D$405,"&gt;="&amp;L377)))/M377)</x:f>
      </x:c>
      <x:c r="P377" s="2" t="n">
        <x:f>'Config_v6'!$B$9</x:f>
        <x:v>3</x:v>
      </x:c>
      <x:c r="Q377" s="2" t="n">
        <x:f>IF(OR(B377="",F377=""),0,IFERROR(MATCH(E377&amp;"|"&amp;F377,SourceTable[Source_Key],0),0))</x:f>
        <x:v>0</x:v>
      </x:c>
      <x:c r="R377" s="2" t="str">
        <x:f>IF(B377="","",IF(F377="","UNUSED",IF(Q377=0,"NOT CHECKED",IF(COUNTIF(SourceTable[Source_Key],E377&amp;"|"&amp;F377)&lt;&gt;1,"SOURCE CONFLICT",IF(NOT(OR(INDEX(SourceTable[Status],MAX(1,Q377))="IMPORTED",INDEX(SourceTable[Status],MAX(1,Q377))="PARTIAL",INDEX(SourceTable[Status],MAX(1,Q377))="SOURCE CONFLICT")),"ACCESS BLOCKED",IF(OR(INDEX(SourceTable[Coverage],Q377)&lt;&gt;"FULL SEASON EXPORT",INDEX(SourceTable[URL],Q377)="",INDEX(SourceTable[SHA256],Q377)=""),"EVIDENCE INCOMPLETE",IF(AND('Input_Meci'!H36="LIVE",INDEX(SourceTable[Retrieved_UTC],Q377)&gt;'Input_Meci'!G36),"POST CUTOFF","CLOSED")))))))</x:f>
      </x:c>
      <x:c r="S377" s="2" t="n">
        <x:f>IF(OR(B377="",F377=""),0,COUNTIFS('Istoric_Nativ'!$B$6:$B$405,E377,'Istoric_Nativ'!$C$6:$C$405,F377,'Istoric_Nativ'!$E$6:$E$405,G377,'Istoric_Nativ'!$D$6:$D$405,"&lt;"&amp;J377,'Istoric_Nativ'!$O$6:$O$405,"INVALID")+COUNTIFS('Istoric_Nativ'!$B$6:$B$405,E377,'Istoric_Nativ'!$C$6:$C$405,F377,'Istoric_Nativ'!$E$6:$E$405,G377,'Istoric_Nativ'!$O$6:$O$405,"INVALID",'Istoric_Nativ'!$D$6:$D$405,"*")+COUNTIFS('Istoric_Nativ'!$B$6:$B$405,E377,'Istoric_Nativ'!$C$6:$C$405,F377,'Istoric_Nativ'!$E$6:$E$405,G377,'Istoric_Nativ'!$D$6:$D$405,"&lt;"&amp;J377,'Istoric_Nativ'!$O$6:$O$405,"SOURCE CONFLICT")+COUNTIFS('Istoric_Nativ'!$B$6:$B$405,E377,'Istoric_Nativ'!$C$6:$C$405,F377,'Istoric_Nativ'!$F$6:$F$405,G377,'Istoric_Nativ'!$D$6:$D$405,"&lt;"&amp;J377,'Istoric_Nativ'!$O$6:$O$405,"INVALID")+COUNTIFS('Istoric_Nativ'!$B$6:$B$405,E377,'Istoric_Nativ'!$C$6:$C$405,F377,'Istoric_Nativ'!$F$6:$F$405,G377,'Istoric_Nativ'!$O$6:$O$405,"INVALID",'Istoric_Nativ'!$D$6:$D$405,"*")+COUNTIFS('Istoric_Nativ'!$B$6:$B$405,E377,'Istoric_Nativ'!$C$6:$C$405,F377,'Istoric_Nativ'!$F$6:$F$405,G377,'Istoric_Nativ'!$D$6:$D$405,"&lt;"&amp;J377,'Istoric_Nativ'!$O$6:$O$405,"SOURCE CONFLICT"))</x:f>
        <x:v>0</x:v>
      </x:c>
      <x:c r="T377" s="2" t="str">
        <x:f>IF(B377="","",IF(R377&lt;&gt;"CLOSED",R377,IF(S377&gt;0,"NATIVE INPUT ISSUE",IF(M377=0,"NO HISTORY",IF(M377&lt;P377,"SMALL SAMPLE","DERIVED")))))</x:f>
      </x:c>
      <x:c r="U377" s="2" t="str">
        <x:f>IF(B377="","","NativeTable; "&amp;E377&amp;"; "&amp;F377&amp;"; "&amp;G377&amp;"; "&amp;H377&amp;"; before "&amp;TEXT(J377,"yyyy-mm-dd")&amp;IF(I377="RECENT","; from "&amp;TEXT(L377,"yyyy-mm-dd"),""))</x:f>
      </x:c>
    </x:row>
    <x:row r="378" ht="21" customHeight="1">
      <x:c r="A378" s="2" t="n">
        <x:v>32</x:v>
      </x:c>
      <x:c r="B378" s="2" t="str">
        <x:f>IF('Input_Meci'!A37="","",'Input_Meci'!A37)</x:f>
      </x:c>
      <x:c r="C378" s="2" t="str">
        <x:v>H</x:v>
      </x:c>
      <x:c r="D378" s="2" t="str">
        <x:v>CURRENT</x:v>
      </x:c>
      <x:c r="E378" s="2" t="str">
        <x:f>IF(B378="","",'Input_Meci'!B37)</x:f>
      </x:c>
      <x:c r="F378" s="2" t="str">
        <x:f>IF(B378="","",IF('Input_Meci'!C37="","",'Input_Meci'!C37))</x:f>
      </x:c>
      <x:c r="G378" s="2" t="str">
        <x:f>IF(B378="","",'Input_Meci'!D37)</x:f>
      </x:c>
      <x:c r="H378" s="2" t="str">
        <x:v>ANY</x:v>
      </x:c>
      <x:c r="I378" s="2" t="str">
        <x:v>SEASON</x:v>
      </x:c>
      <x:c r="J378" s="9" t="n">
        <x:f>IF(AND(B378&lt;&gt;"",ISNUMBER('Input_Meci'!G37)),INT('Input_Meci'!G37),0)</x:f>
        <x:v>0</x:v>
      </x:c>
      <x:c r="K378" s="2" t="n">
        <x:f>IF(OR(B378="",F378=""),0,IF(H378="HOME",COUNTIFS('Istoric_Nativ'!$B$6:$B$405,E378,'Istoric_Nativ'!$C$6:$C$405,F378,'Istoric_Nativ'!$E$6:$E$405,G378,'Istoric_Nativ'!$D$6:$D$405,"&lt;"&amp;J378,'Istoric_Nativ'!$P$6:$P$405,1),IF(H378="AWAY",COUNTIFS('Istoric_Nativ'!$B$6:$B$405,E378,'Istoric_Nativ'!$C$6:$C$405,F378,'Istoric_Nativ'!$F$6:$F$405,G378,'Istoric_Nativ'!$D$6:$D$405,"&lt;"&amp;J378,'Istoric_Nativ'!$P$6:$P$405,1),COUNTIFS('Istoric_Nativ'!$B$6:$B$405,E378,'Istoric_Nativ'!$C$6:$C$405,F378,'Istoric_Nativ'!$E$6:$E$405,G378,'Istoric_Nativ'!$D$6:$D$405,"&lt;"&amp;J378,'Istoric_Nativ'!$P$6:$P$405,1)+COUNTIFS('Istoric_Nativ'!$B$6:$B$405,E378,'Istoric_Nativ'!$C$6:$C$405,F378,'Istoric_Nativ'!$F$6:$F$405,G378,'Istoric_Nativ'!$D$6:$D$405,"&lt;"&amp;J378,'Istoric_Nativ'!$P$6:$P$405,1))))</x:f>
        <x:v>0</x:v>
      </x:c>
      <x:c r="L378" s="17" t="n">
        <x:f>IF(AND(B378&lt;&gt;"",I378="RECENT",K378&gt;0),LARGE(_xlfn._xlws.FILTER('Istoric_Nativ'!$D$6:$D$405,('Istoric_Nativ'!$B$6:$B$405=E378)*('Istoric_Nativ'!$C$6:$C$405=F378)*('Istoric_Nativ'!$P$6:$P$405=1)*('Istoric_Nativ'!$D$6:$D$405&lt;J378)*((('Istoric_Nativ'!$E$6:$E$405=G378)+('Istoric_Nativ'!$F$6:$F$405=G378))&gt;0)),MIN('Config_v6'!$B$54,K378)),0)</x:f>
        <x:v>0</x:v>
      </x:c>
      <x:c r="M378" s="2" t="n">
        <x:f>IF(OR(B378="",F378=""),0,IF(H378="HOME",COUNTIFS('Istoric_Nativ'!$B$6:$B$405,E378,'Istoric_Nativ'!$C$6:$C$405,F378,'Istoric_Nativ'!$E$6:$E$405,G378,'Istoric_Nativ'!$D$6:$D$405,"&lt;"&amp;J378,'Istoric_Nativ'!$P$6:$P$405,1,'Istoric_Nativ'!$D$6:$D$405,"&gt;="&amp;L378),IF(H378="AWAY",COUNTIFS('Istoric_Nativ'!$B$6:$B$405,E378,'Istoric_Nativ'!$C$6:$C$405,F378,'Istoric_Nativ'!$F$6:$F$405,G378,'Istoric_Nativ'!$D$6:$D$405,"&lt;"&amp;J378,'Istoric_Nativ'!$P$6:$P$405,1,'Istoric_Nativ'!$D$6:$D$405,"&gt;="&amp;L378),COUNTIFS('Istoric_Nativ'!$B$6:$B$405,E378,'Istoric_Nativ'!$C$6:$C$405,F378,'Istoric_Nativ'!$E$6:$E$405,G378,'Istoric_Nativ'!$D$6:$D$405,"&lt;"&amp;J378,'Istoric_Nativ'!$P$6:$P$405,1,'Istoric_Nativ'!$D$6:$D$405,"&gt;="&amp;L378)+COUNTIFS('Istoric_Nativ'!$B$6:$B$405,E378,'Istoric_Nativ'!$C$6:$C$405,F378,'Istoric_Nativ'!$F$6:$F$405,G378,'Istoric_Nativ'!$D$6:$D$405,"&lt;"&amp;J378,'Istoric_Nativ'!$P$6:$P$405,1,'Istoric_Nativ'!$D$6:$D$405,"&gt;="&amp;L378))))</x:f>
        <x:v>0</x:v>
      </x:c>
      <x:c r="N378" s="11" t="str">
        <x:f>IF(M378=0,"",IF(H378="HOME",SUMIFS('Istoric_Nativ'!$G$6:$G$405,'Istoric_Nativ'!$B$6:$B$405,E378,'Istoric_Nativ'!$C$6:$C$405,F378,'Istoric_Nativ'!$E$6:$E$405,G378,'Istoric_Nativ'!$D$6:$D$405,"&lt;"&amp;J378,'Istoric_Nativ'!$P$6:$P$405,1,'Istoric_Nativ'!$D$6:$D$405,"&gt;="&amp;L378),IF(H378="AWAY",SUMIFS('Istoric_Nativ'!$H$6:$H$405,'Istoric_Nativ'!$B$6:$B$405,E378,'Istoric_Nativ'!$C$6:$C$405,F378,'Istoric_Nativ'!$F$6:$F$405,G378,'Istoric_Nativ'!$D$6:$D$405,"&lt;"&amp;J378,'Istoric_Nativ'!$P$6:$P$405,1,'Istoric_Nativ'!$D$6:$D$405,"&gt;="&amp;L378),SUMIFS('Istoric_Nativ'!$G$6:$G$405,'Istoric_Nativ'!$B$6:$B$405,E378,'Istoric_Nativ'!$C$6:$C$405,F378,'Istoric_Nativ'!$E$6:$E$405,G378,'Istoric_Nativ'!$D$6:$D$405,"&lt;"&amp;J378,'Istoric_Nativ'!$P$6:$P$405,1,'Istoric_Nativ'!$D$6:$D$405,"&gt;="&amp;L378)+SUMIFS('Istoric_Nativ'!$H$6:$H$405,'Istoric_Nativ'!$B$6:$B$405,E378,'Istoric_Nativ'!$C$6:$C$405,F378,'Istoric_Nativ'!$F$6:$F$405,G378,'Istoric_Nativ'!$D$6:$D$405,"&lt;"&amp;J378,'Istoric_Nativ'!$P$6:$P$405,1,'Istoric_Nativ'!$D$6:$D$405,"&gt;="&amp;L378)))/M378)</x:f>
      </x:c>
      <x:c r="O378" s="11" t="str">
        <x:f>IF(M378=0,"",IF(H378="HOME",SUMIFS('Istoric_Nativ'!$H$6:$H$405,'Istoric_Nativ'!$B$6:$B$405,E378,'Istoric_Nativ'!$C$6:$C$405,F378,'Istoric_Nativ'!$E$6:$E$405,G378,'Istoric_Nativ'!$D$6:$D$405,"&lt;"&amp;J378,'Istoric_Nativ'!$P$6:$P$405,1,'Istoric_Nativ'!$D$6:$D$405,"&gt;="&amp;L378),IF(H378="AWAY",SUMIFS('Istoric_Nativ'!$G$6:$G$405,'Istoric_Nativ'!$B$6:$B$405,E378,'Istoric_Nativ'!$C$6:$C$405,F378,'Istoric_Nativ'!$F$6:$F$405,G378,'Istoric_Nativ'!$D$6:$D$405,"&lt;"&amp;J378,'Istoric_Nativ'!$P$6:$P$405,1,'Istoric_Nativ'!$D$6:$D$405,"&gt;="&amp;L378),SUMIFS('Istoric_Nativ'!$H$6:$H$405,'Istoric_Nativ'!$B$6:$B$405,E378,'Istoric_Nativ'!$C$6:$C$405,F378,'Istoric_Nativ'!$E$6:$E$405,G378,'Istoric_Nativ'!$D$6:$D$405,"&lt;"&amp;J378,'Istoric_Nativ'!$P$6:$P$405,1,'Istoric_Nativ'!$D$6:$D$405,"&gt;="&amp;L378)+SUMIFS('Istoric_Nativ'!$G$6:$G$405,'Istoric_Nativ'!$B$6:$B$405,E378,'Istoric_Nativ'!$C$6:$C$405,F378,'Istoric_Nativ'!$F$6:$F$405,G378,'Istoric_Nativ'!$D$6:$D$405,"&lt;"&amp;J378,'Istoric_Nativ'!$P$6:$P$405,1,'Istoric_Nativ'!$D$6:$D$405,"&gt;="&amp;L378)))/M378)</x:f>
      </x:c>
      <x:c r="P378" s="2" t="n">
        <x:f>'Config_v6'!$B$7</x:f>
        <x:v>10</x:v>
      </x:c>
      <x:c r="Q378" s="2" t="n">
        <x:f>IF(OR(B378="",F378=""),0,IFERROR(MATCH(E378&amp;"|"&amp;F378,SourceTable[Source_Key],0),0))</x:f>
        <x:v>0</x:v>
      </x:c>
      <x:c r="R378" s="2" t="str">
        <x:f>IF(B378="","",IF(F378="","UNUSED",IF(Q378=0,"NOT CHECKED",IF(COUNTIF(SourceTable[Source_Key],E378&amp;"|"&amp;F378)&lt;&gt;1,"SOURCE CONFLICT",IF(NOT(OR(INDEX(SourceTable[Status],MAX(1,Q378))="IMPORTED",INDEX(SourceTable[Status],MAX(1,Q378))="PARTIAL",INDEX(SourceTable[Status],MAX(1,Q378))="SOURCE CONFLICT")),"ACCESS BLOCKED",IF(OR(INDEX(SourceTable[Coverage],Q378)&lt;&gt;"FULL SEASON EXPORT",INDEX(SourceTable[URL],Q378)="",INDEX(SourceTable[SHA256],Q378)=""),"EVIDENCE INCOMPLETE",IF(AND('Input_Meci'!H37="LIVE",INDEX(SourceTable[Retrieved_UTC],Q378)&gt;'Input_Meci'!G37),"POST CUTOFF","CLOSED")))))))</x:f>
      </x:c>
      <x:c r="S378" s="2" t="n">
        <x:f>IF(OR(B378="",F378=""),0,COUNTIFS('Istoric_Nativ'!$B$6:$B$405,E378,'Istoric_Nativ'!$C$6:$C$405,F378,'Istoric_Nativ'!$E$6:$E$405,G378,'Istoric_Nativ'!$D$6:$D$405,"&lt;"&amp;J378,'Istoric_Nativ'!$O$6:$O$405,"INVALID")+COUNTIFS('Istoric_Nativ'!$B$6:$B$405,E378,'Istoric_Nativ'!$C$6:$C$405,F378,'Istoric_Nativ'!$E$6:$E$405,G378,'Istoric_Nativ'!$O$6:$O$405,"INVALID",'Istoric_Nativ'!$D$6:$D$405,"*")+COUNTIFS('Istoric_Nativ'!$B$6:$B$405,E378,'Istoric_Nativ'!$C$6:$C$405,F378,'Istoric_Nativ'!$E$6:$E$405,G378,'Istoric_Nativ'!$D$6:$D$405,"&lt;"&amp;J378,'Istoric_Nativ'!$O$6:$O$405,"SOURCE CONFLICT")+COUNTIFS('Istoric_Nativ'!$B$6:$B$405,E378,'Istoric_Nativ'!$C$6:$C$405,F378,'Istoric_Nativ'!$F$6:$F$405,G378,'Istoric_Nativ'!$D$6:$D$405,"&lt;"&amp;J378,'Istoric_Nativ'!$O$6:$O$405,"INVALID")+COUNTIFS('Istoric_Nativ'!$B$6:$B$405,E378,'Istoric_Nativ'!$C$6:$C$405,F378,'Istoric_Nativ'!$F$6:$F$405,G378,'Istoric_Nativ'!$O$6:$O$405,"INVALID",'Istoric_Nativ'!$D$6:$D$405,"*")+COUNTIFS('Istoric_Nativ'!$B$6:$B$405,E378,'Istoric_Nativ'!$C$6:$C$405,F378,'Istoric_Nativ'!$F$6:$F$405,G378,'Istoric_Nativ'!$D$6:$D$405,"&lt;"&amp;J378,'Istoric_Nativ'!$O$6:$O$405,"SOURCE CONFLICT"))</x:f>
        <x:v>0</x:v>
      </x:c>
      <x:c r="T378" s="2" t="str">
        <x:f>IF(B378="","",IF(R378&lt;&gt;"CLOSED",R378,IF(S378&gt;0,"NATIVE INPUT ISSUE",IF(M378=0,"NO HISTORY",IF(M378&lt;P378,"SMALL SAMPLE","DERIVED")))))</x:f>
      </x:c>
      <x:c r="U378" s="2" t="str">
        <x:f>IF(B378="","","NativeTable; "&amp;E378&amp;"; "&amp;F378&amp;"; "&amp;G378&amp;"; "&amp;H378&amp;"; before "&amp;TEXT(J378,"yyyy-mm-dd")&amp;IF(I378="RECENT","; from "&amp;TEXT(L378,"yyyy-mm-dd"),""))</x:f>
      </x:c>
    </x:row>
    <x:row r="379" ht="21" customHeight="1">
      <x:c r="A379" s="2" t="n">
        <x:v>32</x:v>
      </x:c>
      <x:c r="B379" s="2" t="str">
        <x:f>IF('Input_Meci'!A37="","",'Input_Meci'!A37)</x:f>
      </x:c>
      <x:c r="C379" s="2" t="str">
        <x:v>H</x:v>
      </x:c>
      <x:c r="D379" s="2" t="str">
        <x:v>CURRENT</x:v>
      </x:c>
      <x:c r="E379" s="2" t="str">
        <x:f>IF(B379="","",'Input_Meci'!B37)</x:f>
      </x:c>
      <x:c r="F379" s="2" t="str">
        <x:f>IF(B379="","",IF('Input_Meci'!C37="","",'Input_Meci'!C37))</x:f>
      </x:c>
      <x:c r="G379" s="2" t="str">
        <x:f>IF(B379="","",'Input_Meci'!D37)</x:f>
      </x:c>
      <x:c r="H379" s="2" t="str">
        <x:v>HOME</x:v>
      </x:c>
      <x:c r="I379" s="2" t="str">
        <x:v>HA</x:v>
      </x:c>
      <x:c r="J379" s="9" t="n">
        <x:f>IF(AND(B379&lt;&gt;"",ISNUMBER('Input_Meci'!G37)),INT('Input_Meci'!G37),0)</x:f>
        <x:v>0</x:v>
      </x:c>
      <x:c r="K379" s="2" t="n">
        <x:f>IF(OR(B379="",F379=""),0,IF(H379="HOME",COUNTIFS('Istoric_Nativ'!$B$6:$B$405,E379,'Istoric_Nativ'!$C$6:$C$405,F379,'Istoric_Nativ'!$E$6:$E$405,G379,'Istoric_Nativ'!$D$6:$D$405,"&lt;"&amp;J379,'Istoric_Nativ'!$P$6:$P$405,1),IF(H379="AWAY",COUNTIFS('Istoric_Nativ'!$B$6:$B$405,E379,'Istoric_Nativ'!$C$6:$C$405,F379,'Istoric_Nativ'!$F$6:$F$405,G379,'Istoric_Nativ'!$D$6:$D$405,"&lt;"&amp;J379,'Istoric_Nativ'!$P$6:$P$405,1),COUNTIFS('Istoric_Nativ'!$B$6:$B$405,E379,'Istoric_Nativ'!$C$6:$C$405,F379,'Istoric_Nativ'!$E$6:$E$405,G379,'Istoric_Nativ'!$D$6:$D$405,"&lt;"&amp;J379,'Istoric_Nativ'!$P$6:$P$405,1)+COUNTIFS('Istoric_Nativ'!$B$6:$B$405,E379,'Istoric_Nativ'!$C$6:$C$405,F379,'Istoric_Nativ'!$F$6:$F$405,G379,'Istoric_Nativ'!$D$6:$D$405,"&lt;"&amp;J379,'Istoric_Nativ'!$P$6:$P$405,1))))</x:f>
        <x:v>0</x:v>
      </x:c>
      <x:c r="L379" s="17" t="n">
        <x:f>IF(AND(B379&lt;&gt;"",I379="RECENT",K379&gt;0),LARGE(_xlfn._xlws.FILTER('Istoric_Nativ'!$D$6:$D$405,('Istoric_Nativ'!$B$6:$B$405=E379)*('Istoric_Nativ'!$C$6:$C$405=F379)*('Istoric_Nativ'!$P$6:$P$405=1)*('Istoric_Nativ'!$D$6:$D$405&lt;J379)*((('Istoric_Nativ'!$E$6:$E$405=G379)+('Istoric_Nativ'!$F$6:$F$405=G379))&gt;0)),MIN('Config_v6'!$B$54,K379)),0)</x:f>
        <x:v>0</x:v>
      </x:c>
      <x:c r="M379" s="2" t="n">
        <x:f>IF(OR(B379="",F379=""),0,IF(H379="HOME",COUNTIFS('Istoric_Nativ'!$B$6:$B$405,E379,'Istoric_Nativ'!$C$6:$C$405,F379,'Istoric_Nativ'!$E$6:$E$405,G379,'Istoric_Nativ'!$D$6:$D$405,"&lt;"&amp;J379,'Istoric_Nativ'!$P$6:$P$405,1,'Istoric_Nativ'!$D$6:$D$405,"&gt;="&amp;L379),IF(H379="AWAY",COUNTIFS('Istoric_Nativ'!$B$6:$B$405,E379,'Istoric_Nativ'!$C$6:$C$405,F379,'Istoric_Nativ'!$F$6:$F$405,G379,'Istoric_Nativ'!$D$6:$D$405,"&lt;"&amp;J379,'Istoric_Nativ'!$P$6:$P$405,1,'Istoric_Nativ'!$D$6:$D$405,"&gt;="&amp;L379),COUNTIFS('Istoric_Nativ'!$B$6:$B$405,E379,'Istoric_Nativ'!$C$6:$C$405,F379,'Istoric_Nativ'!$E$6:$E$405,G379,'Istoric_Nativ'!$D$6:$D$405,"&lt;"&amp;J379,'Istoric_Nativ'!$P$6:$P$405,1,'Istoric_Nativ'!$D$6:$D$405,"&gt;="&amp;L379)+COUNTIFS('Istoric_Nativ'!$B$6:$B$405,E379,'Istoric_Nativ'!$C$6:$C$405,F379,'Istoric_Nativ'!$F$6:$F$405,G379,'Istoric_Nativ'!$D$6:$D$405,"&lt;"&amp;J379,'Istoric_Nativ'!$P$6:$P$405,1,'Istoric_Nativ'!$D$6:$D$405,"&gt;="&amp;L379))))</x:f>
        <x:v>0</x:v>
      </x:c>
      <x:c r="N379" s="11" t="str">
        <x:f>IF(M379=0,"",IF(H379="HOME",SUMIFS('Istoric_Nativ'!$G$6:$G$405,'Istoric_Nativ'!$B$6:$B$405,E379,'Istoric_Nativ'!$C$6:$C$405,F379,'Istoric_Nativ'!$E$6:$E$405,G379,'Istoric_Nativ'!$D$6:$D$405,"&lt;"&amp;J379,'Istoric_Nativ'!$P$6:$P$405,1,'Istoric_Nativ'!$D$6:$D$405,"&gt;="&amp;L379),IF(H379="AWAY",SUMIFS('Istoric_Nativ'!$H$6:$H$405,'Istoric_Nativ'!$B$6:$B$405,E379,'Istoric_Nativ'!$C$6:$C$405,F379,'Istoric_Nativ'!$F$6:$F$405,G379,'Istoric_Nativ'!$D$6:$D$405,"&lt;"&amp;J379,'Istoric_Nativ'!$P$6:$P$405,1,'Istoric_Nativ'!$D$6:$D$405,"&gt;="&amp;L379),SUMIFS('Istoric_Nativ'!$G$6:$G$405,'Istoric_Nativ'!$B$6:$B$405,E379,'Istoric_Nativ'!$C$6:$C$405,F379,'Istoric_Nativ'!$E$6:$E$405,G379,'Istoric_Nativ'!$D$6:$D$405,"&lt;"&amp;J379,'Istoric_Nativ'!$P$6:$P$405,1,'Istoric_Nativ'!$D$6:$D$405,"&gt;="&amp;L379)+SUMIFS('Istoric_Nativ'!$H$6:$H$405,'Istoric_Nativ'!$B$6:$B$405,E379,'Istoric_Nativ'!$C$6:$C$405,F379,'Istoric_Nativ'!$F$6:$F$405,G379,'Istoric_Nativ'!$D$6:$D$405,"&lt;"&amp;J379,'Istoric_Nativ'!$P$6:$P$405,1,'Istoric_Nativ'!$D$6:$D$405,"&gt;="&amp;L379)))/M379)</x:f>
      </x:c>
      <x:c r="O379" s="11" t="str">
        <x:f>IF(M379=0,"",IF(H379="HOME",SUMIFS('Istoric_Nativ'!$H$6:$H$405,'Istoric_Nativ'!$B$6:$B$405,E379,'Istoric_Nativ'!$C$6:$C$405,F379,'Istoric_Nativ'!$E$6:$E$405,G379,'Istoric_Nativ'!$D$6:$D$405,"&lt;"&amp;J379,'Istoric_Nativ'!$P$6:$P$405,1,'Istoric_Nativ'!$D$6:$D$405,"&gt;="&amp;L379),IF(H379="AWAY",SUMIFS('Istoric_Nativ'!$G$6:$G$405,'Istoric_Nativ'!$B$6:$B$405,E379,'Istoric_Nativ'!$C$6:$C$405,F379,'Istoric_Nativ'!$F$6:$F$405,G379,'Istoric_Nativ'!$D$6:$D$405,"&lt;"&amp;J379,'Istoric_Nativ'!$P$6:$P$405,1,'Istoric_Nativ'!$D$6:$D$405,"&gt;="&amp;L379),SUMIFS('Istoric_Nativ'!$H$6:$H$405,'Istoric_Nativ'!$B$6:$B$405,E379,'Istoric_Nativ'!$C$6:$C$405,F379,'Istoric_Nativ'!$E$6:$E$405,G379,'Istoric_Nativ'!$D$6:$D$405,"&lt;"&amp;J379,'Istoric_Nativ'!$P$6:$P$405,1,'Istoric_Nativ'!$D$6:$D$405,"&gt;="&amp;L379)+SUMIFS('Istoric_Nativ'!$G$6:$G$405,'Istoric_Nativ'!$B$6:$B$405,E379,'Istoric_Nativ'!$C$6:$C$405,F379,'Istoric_Nativ'!$F$6:$F$405,G379,'Istoric_Nativ'!$D$6:$D$405,"&lt;"&amp;J379,'Istoric_Nativ'!$P$6:$P$405,1,'Istoric_Nativ'!$D$6:$D$405,"&gt;="&amp;L379)))/M379)</x:f>
      </x:c>
      <x:c r="P379" s="2" t="n">
        <x:f>'Config_v6'!$B$8</x:f>
        <x:v>5</x:v>
      </x:c>
      <x:c r="Q379" s="2" t="n">
        <x:f>IF(OR(B379="",F379=""),0,IFERROR(MATCH(E379&amp;"|"&amp;F379,SourceTable[Source_Key],0),0))</x:f>
        <x:v>0</x:v>
      </x:c>
      <x:c r="R379" s="2" t="str">
        <x:f>IF(B379="","",IF(F379="","UNUSED",IF(Q379=0,"NOT CHECKED",IF(COUNTIF(SourceTable[Source_Key],E379&amp;"|"&amp;F379)&lt;&gt;1,"SOURCE CONFLICT",IF(NOT(OR(INDEX(SourceTable[Status],MAX(1,Q379))="IMPORTED",INDEX(SourceTable[Status],MAX(1,Q379))="PARTIAL",INDEX(SourceTable[Status],MAX(1,Q379))="SOURCE CONFLICT")),"ACCESS BLOCKED",IF(OR(INDEX(SourceTable[Coverage],Q379)&lt;&gt;"FULL SEASON EXPORT",INDEX(SourceTable[URL],Q379)="",INDEX(SourceTable[SHA256],Q379)=""),"EVIDENCE INCOMPLETE",IF(AND('Input_Meci'!H37="LIVE",INDEX(SourceTable[Retrieved_UTC],Q379)&gt;'Input_Meci'!G37),"POST CUTOFF","CLOSED")))))))</x:f>
      </x:c>
      <x:c r="S379" s="2" t="n">
        <x:f>IF(OR(B379="",F379=""),0,COUNTIFS('Istoric_Nativ'!$B$6:$B$405,E379,'Istoric_Nativ'!$C$6:$C$405,F379,'Istoric_Nativ'!$E$6:$E$405,G379,'Istoric_Nativ'!$D$6:$D$405,"&lt;"&amp;J379,'Istoric_Nativ'!$O$6:$O$405,"INVALID")+COUNTIFS('Istoric_Nativ'!$B$6:$B$405,E379,'Istoric_Nativ'!$C$6:$C$405,F379,'Istoric_Nativ'!$E$6:$E$405,G379,'Istoric_Nativ'!$O$6:$O$405,"INVALID",'Istoric_Nativ'!$D$6:$D$405,"*")+COUNTIFS('Istoric_Nativ'!$B$6:$B$405,E379,'Istoric_Nativ'!$C$6:$C$405,F379,'Istoric_Nativ'!$E$6:$E$405,G379,'Istoric_Nativ'!$D$6:$D$405,"&lt;"&amp;J379,'Istoric_Nativ'!$O$6:$O$405,"SOURCE CONFLICT")+COUNTIFS('Istoric_Nativ'!$B$6:$B$405,E379,'Istoric_Nativ'!$C$6:$C$405,F379,'Istoric_Nativ'!$F$6:$F$405,G379,'Istoric_Nativ'!$D$6:$D$405,"&lt;"&amp;J379,'Istoric_Nativ'!$O$6:$O$405,"INVALID")+COUNTIFS('Istoric_Nativ'!$B$6:$B$405,E379,'Istoric_Nativ'!$C$6:$C$405,F379,'Istoric_Nativ'!$F$6:$F$405,G379,'Istoric_Nativ'!$O$6:$O$405,"INVALID",'Istoric_Nativ'!$D$6:$D$405,"*")+COUNTIFS('Istoric_Nativ'!$B$6:$B$405,E379,'Istoric_Nativ'!$C$6:$C$405,F379,'Istoric_Nativ'!$F$6:$F$405,G379,'Istoric_Nativ'!$D$6:$D$405,"&lt;"&amp;J379,'Istoric_Nativ'!$O$6:$O$405,"SOURCE CONFLICT"))</x:f>
        <x:v>0</x:v>
      </x:c>
      <x:c r="T379" s="2" t="str">
        <x:f>IF(B379="","",IF(R379&lt;&gt;"CLOSED",R379,IF(S379&gt;0,"NATIVE INPUT ISSUE",IF(M379=0,"NO HISTORY",IF(M379&lt;P379,"SMALL SAMPLE","DERIVED")))))</x:f>
      </x:c>
      <x:c r="U379" s="2" t="str">
        <x:f>IF(B379="","","NativeTable; "&amp;E379&amp;"; "&amp;F379&amp;"; "&amp;G379&amp;"; "&amp;H379&amp;"; before "&amp;TEXT(J379,"yyyy-mm-dd")&amp;IF(I379="RECENT","; from "&amp;TEXT(L379,"yyyy-mm-dd"),""))</x:f>
      </x:c>
    </x:row>
    <x:row r="380" ht="21" customHeight="1">
      <x:c r="A380" s="2" t="n">
        <x:v>32</x:v>
      </x:c>
      <x:c r="B380" s="2" t="str">
        <x:f>IF('Input_Meci'!A37="","",'Input_Meci'!A37)</x:f>
      </x:c>
      <x:c r="C380" s="2" t="str">
        <x:v>H</x:v>
      </x:c>
      <x:c r="D380" s="2" t="str">
        <x:v>CURRENT</x:v>
      </x:c>
      <x:c r="E380" s="2" t="str">
        <x:f>IF(B380="","",'Input_Meci'!B37)</x:f>
      </x:c>
      <x:c r="F380" s="2" t="str">
        <x:f>IF(B380="","",IF('Input_Meci'!C37="","",'Input_Meci'!C37))</x:f>
      </x:c>
      <x:c r="G380" s="2" t="str">
        <x:f>IF(B380="","",'Input_Meci'!D37)</x:f>
      </x:c>
      <x:c r="H380" s="2" t="str">
        <x:v>ANY</x:v>
      </x:c>
      <x:c r="I380" s="2" t="str">
        <x:v>RECENT</x:v>
      </x:c>
      <x:c r="J380" s="9" t="n">
        <x:f>IF(AND(B380&lt;&gt;"",ISNUMBER('Input_Meci'!G37)),INT('Input_Meci'!G37),0)</x:f>
        <x:v>0</x:v>
      </x:c>
      <x:c r="K380" s="2" t="n">
        <x:f>IF(OR(B380="",F380=""),0,IF(H380="HOME",COUNTIFS('Istoric_Nativ'!$B$6:$B$405,E380,'Istoric_Nativ'!$C$6:$C$405,F380,'Istoric_Nativ'!$E$6:$E$405,G380,'Istoric_Nativ'!$D$6:$D$405,"&lt;"&amp;J380,'Istoric_Nativ'!$P$6:$P$405,1),IF(H380="AWAY",COUNTIFS('Istoric_Nativ'!$B$6:$B$405,E380,'Istoric_Nativ'!$C$6:$C$405,F380,'Istoric_Nativ'!$F$6:$F$405,G380,'Istoric_Nativ'!$D$6:$D$405,"&lt;"&amp;J380,'Istoric_Nativ'!$P$6:$P$405,1),COUNTIFS('Istoric_Nativ'!$B$6:$B$405,E380,'Istoric_Nativ'!$C$6:$C$405,F380,'Istoric_Nativ'!$E$6:$E$405,G380,'Istoric_Nativ'!$D$6:$D$405,"&lt;"&amp;J380,'Istoric_Nativ'!$P$6:$P$405,1)+COUNTIFS('Istoric_Nativ'!$B$6:$B$405,E380,'Istoric_Nativ'!$C$6:$C$405,F380,'Istoric_Nativ'!$F$6:$F$405,G380,'Istoric_Nativ'!$D$6:$D$405,"&lt;"&amp;J380,'Istoric_Nativ'!$P$6:$P$405,1))))</x:f>
        <x:v>0</x:v>
      </x:c>
      <x:c r="L380" s="17" t="n">
        <x:f>IF(AND(B380&lt;&gt;"",I380="RECENT",K380&gt;0),LARGE(_xlfn._xlws.FILTER('Istoric_Nativ'!$D$6:$D$405,('Istoric_Nativ'!$B$6:$B$405=E380)*('Istoric_Nativ'!$C$6:$C$405=F380)*('Istoric_Nativ'!$P$6:$P$405=1)*('Istoric_Nativ'!$D$6:$D$405&lt;J380)*((('Istoric_Nativ'!$E$6:$E$405=G380)+('Istoric_Nativ'!$F$6:$F$405=G380))&gt;0)),MIN('Config_v6'!$B$54,K380)),0)</x:f>
        <x:v>0</x:v>
      </x:c>
      <x:c r="M380" s="2" t="n">
        <x:f>IF(OR(B380="",F380=""),0,IF(H380="HOME",COUNTIFS('Istoric_Nativ'!$B$6:$B$405,E380,'Istoric_Nativ'!$C$6:$C$405,F380,'Istoric_Nativ'!$E$6:$E$405,G380,'Istoric_Nativ'!$D$6:$D$405,"&lt;"&amp;J380,'Istoric_Nativ'!$P$6:$P$405,1,'Istoric_Nativ'!$D$6:$D$405,"&gt;="&amp;L380),IF(H380="AWAY",COUNTIFS('Istoric_Nativ'!$B$6:$B$405,E380,'Istoric_Nativ'!$C$6:$C$405,F380,'Istoric_Nativ'!$F$6:$F$405,G380,'Istoric_Nativ'!$D$6:$D$405,"&lt;"&amp;J380,'Istoric_Nativ'!$P$6:$P$405,1,'Istoric_Nativ'!$D$6:$D$405,"&gt;="&amp;L380),COUNTIFS('Istoric_Nativ'!$B$6:$B$405,E380,'Istoric_Nativ'!$C$6:$C$405,F380,'Istoric_Nativ'!$E$6:$E$405,G380,'Istoric_Nativ'!$D$6:$D$405,"&lt;"&amp;J380,'Istoric_Nativ'!$P$6:$P$405,1,'Istoric_Nativ'!$D$6:$D$405,"&gt;="&amp;L380)+COUNTIFS('Istoric_Nativ'!$B$6:$B$405,E380,'Istoric_Nativ'!$C$6:$C$405,F380,'Istoric_Nativ'!$F$6:$F$405,G380,'Istoric_Nativ'!$D$6:$D$405,"&lt;"&amp;J380,'Istoric_Nativ'!$P$6:$P$405,1,'Istoric_Nativ'!$D$6:$D$405,"&gt;="&amp;L380))))</x:f>
        <x:v>0</x:v>
      </x:c>
      <x:c r="N380" s="11" t="str">
        <x:f>IF(M380=0,"",IF(H380="HOME",SUMIFS('Istoric_Nativ'!$G$6:$G$405,'Istoric_Nativ'!$B$6:$B$405,E380,'Istoric_Nativ'!$C$6:$C$405,F380,'Istoric_Nativ'!$E$6:$E$405,G380,'Istoric_Nativ'!$D$6:$D$405,"&lt;"&amp;J380,'Istoric_Nativ'!$P$6:$P$405,1,'Istoric_Nativ'!$D$6:$D$405,"&gt;="&amp;L380),IF(H380="AWAY",SUMIFS('Istoric_Nativ'!$H$6:$H$405,'Istoric_Nativ'!$B$6:$B$405,E380,'Istoric_Nativ'!$C$6:$C$405,F380,'Istoric_Nativ'!$F$6:$F$405,G380,'Istoric_Nativ'!$D$6:$D$405,"&lt;"&amp;J380,'Istoric_Nativ'!$P$6:$P$405,1,'Istoric_Nativ'!$D$6:$D$405,"&gt;="&amp;L380),SUMIFS('Istoric_Nativ'!$G$6:$G$405,'Istoric_Nativ'!$B$6:$B$405,E380,'Istoric_Nativ'!$C$6:$C$405,F380,'Istoric_Nativ'!$E$6:$E$405,G380,'Istoric_Nativ'!$D$6:$D$405,"&lt;"&amp;J380,'Istoric_Nativ'!$P$6:$P$405,1,'Istoric_Nativ'!$D$6:$D$405,"&gt;="&amp;L380)+SUMIFS('Istoric_Nativ'!$H$6:$H$405,'Istoric_Nativ'!$B$6:$B$405,E380,'Istoric_Nativ'!$C$6:$C$405,F380,'Istoric_Nativ'!$F$6:$F$405,G380,'Istoric_Nativ'!$D$6:$D$405,"&lt;"&amp;J380,'Istoric_Nativ'!$P$6:$P$405,1,'Istoric_Nativ'!$D$6:$D$405,"&gt;="&amp;L380)))/M380)</x:f>
      </x:c>
      <x:c r="O380" s="11" t="str">
        <x:f>IF(M380=0,"",IF(H380="HOME",SUMIFS('Istoric_Nativ'!$H$6:$H$405,'Istoric_Nativ'!$B$6:$B$405,E380,'Istoric_Nativ'!$C$6:$C$405,F380,'Istoric_Nativ'!$E$6:$E$405,G380,'Istoric_Nativ'!$D$6:$D$405,"&lt;"&amp;J380,'Istoric_Nativ'!$P$6:$P$405,1,'Istoric_Nativ'!$D$6:$D$405,"&gt;="&amp;L380),IF(H380="AWAY",SUMIFS('Istoric_Nativ'!$G$6:$G$405,'Istoric_Nativ'!$B$6:$B$405,E380,'Istoric_Nativ'!$C$6:$C$405,F380,'Istoric_Nativ'!$F$6:$F$405,G380,'Istoric_Nativ'!$D$6:$D$405,"&lt;"&amp;J380,'Istoric_Nativ'!$P$6:$P$405,1,'Istoric_Nativ'!$D$6:$D$405,"&gt;="&amp;L380),SUMIFS('Istoric_Nativ'!$H$6:$H$405,'Istoric_Nativ'!$B$6:$B$405,E380,'Istoric_Nativ'!$C$6:$C$405,F380,'Istoric_Nativ'!$E$6:$E$405,G380,'Istoric_Nativ'!$D$6:$D$405,"&lt;"&amp;J380,'Istoric_Nativ'!$P$6:$P$405,1,'Istoric_Nativ'!$D$6:$D$405,"&gt;="&amp;L380)+SUMIFS('Istoric_Nativ'!$G$6:$G$405,'Istoric_Nativ'!$B$6:$B$405,E380,'Istoric_Nativ'!$C$6:$C$405,F380,'Istoric_Nativ'!$F$6:$F$405,G380,'Istoric_Nativ'!$D$6:$D$405,"&lt;"&amp;J380,'Istoric_Nativ'!$P$6:$P$405,1,'Istoric_Nativ'!$D$6:$D$405,"&gt;="&amp;L380)))/M380)</x:f>
      </x:c>
      <x:c r="P380" s="2" t="n">
        <x:f>'Config_v6'!$B$9</x:f>
        <x:v>3</x:v>
      </x:c>
      <x:c r="Q380" s="2" t="n">
        <x:f>IF(OR(B380="",F380=""),0,IFERROR(MATCH(E380&amp;"|"&amp;F380,SourceTable[Source_Key],0),0))</x:f>
        <x:v>0</x:v>
      </x:c>
      <x:c r="R380" s="2" t="str">
        <x:f>IF(B380="","",IF(F380="","UNUSED",IF(Q380=0,"NOT CHECKED",IF(COUNTIF(SourceTable[Source_Key],E380&amp;"|"&amp;F380)&lt;&gt;1,"SOURCE CONFLICT",IF(NOT(OR(INDEX(SourceTable[Status],MAX(1,Q380))="IMPORTED",INDEX(SourceTable[Status],MAX(1,Q380))="PARTIAL",INDEX(SourceTable[Status],MAX(1,Q380))="SOURCE CONFLICT")),"ACCESS BLOCKED",IF(OR(INDEX(SourceTable[Coverage],Q380)&lt;&gt;"FULL SEASON EXPORT",INDEX(SourceTable[URL],Q380)="",INDEX(SourceTable[SHA256],Q380)=""),"EVIDENCE INCOMPLETE",IF(AND('Input_Meci'!H37="LIVE",INDEX(SourceTable[Retrieved_UTC],Q380)&gt;'Input_Meci'!G37),"POST CUTOFF","CLOSED")))))))</x:f>
      </x:c>
      <x:c r="S380" s="2" t="n">
        <x:f>IF(OR(B380="",F380=""),0,COUNTIFS('Istoric_Nativ'!$B$6:$B$405,E380,'Istoric_Nativ'!$C$6:$C$405,F380,'Istoric_Nativ'!$E$6:$E$405,G380,'Istoric_Nativ'!$D$6:$D$405,"&lt;"&amp;J380,'Istoric_Nativ'!$O$6:$O$405,"INVALID")+COUNTIFS('Istoric_Nativ'!$B$6:$B$405,E380,'Istoric_Nativ'!$C$6:$C$405,F380,'Istoric_Nativ'!$E$6:$E$405,G380,'Istoric_Nativ'!$O$6:$O$405,"INVALID",'Istoric_Nativ'!$D$6:$D$405,"*")+COUNTIFS('Istoric_Nativ'!$B$6:$B$405,E380,'Istoric_Nativ'!$C$6:$C$405,F380,'Istoric_Nativ'!$E$6:$E$405,G380,'Istoric_Nativ'!$D$6:$D$405,"&lt;"&amp;J380,'Istoric_Nativ'!$O$6:$O$405,"SOURCE CONFLICT")+COUNTIFS('Istoric_Nativ'!$B$6:$B$405,E380,'Istoric_Nativ'!$C$6:$C$405,F380,'Istoric_Nativ'!$F$6:$F$405,G380,'Istoric_Nativ'!$D$6:$D$405,"&lt;"&amp;J380,'Istoric_Nativ'!$O$6:$O$405,"INVALID")+COUNTIFS('Istoric_Nativ'!$B$6:$B$405,E380,'Istoric_Nativ'!$C$6:$C$405,F380,'Istoric_Nativ'!$F$6:$F$405,G380,'Istoric_Nativ'!$O$6:$O$405,"INVALID",'Istoric_Nativ'!$D$6:$D$405,"*")+COUNTIFS('Istoric_Nativ'!$B$6:$B$405,E380,'Istoric_Nativ'!$C$6:$C$405,F380,'Istoric_Nativ'!$F$6:$F$405,G380,'Istoric_Nativ'!$D$6:$D$405,"&lt;"&amp;J380,'Istoric_Nativ'!$O$6:$O$405,"SOURCE CONFLICT"))</x:f>
        <x:v>0</x:v>
      </x:c>
      <x:c r="T380" s="2" t="str">
        <x:f>IF(B380="","",IF(R380&lt;&gt;"CLOSED",R380,IF(S380&gt;0,"NATIVE INPUT ISSUE",IF(M380=0,"NO HISTORY",IF(M380&lt;P380,"SMALL SAMPLE","DERIVED")))))</x:f>
      </x:c>
      <x:c r="U380" s="2" t="str">
        <x:f>IF(B380="","","NativeTable; "&amp;E380&amp;"; "&amp;F380&amp;"; "&amp;G380&amp;"; "&amp;H380&amp;"; before "&amp;TEXT(J380,"yyyy-mm-dd")&amp;IF(I380="RECENT","; from "&amp;TEXT(L380,"yyyy-mm-dd"),""))</x:f>
      </x:c>
    </x:row>
    <x:row r="381" ht="21" customHeight="1">
      <x:c r="A381" s="2" t="n">
        <x:v>32</x:v>
      </x:c>
      <x:c r="B381" s="2" t="str">
        <x:f>IF('Input_Meci'!A37="","",'Input_Meci'!A37)</x:f>
      </x:c>
      <x:c r="C381" s="2" t="str">
        <x:v>A</x:v>
      </x:c>
      <x:c r="D381" s="2" t="str">
        <x:v>CURRENT</x:v>
      </x:c>
      <x:c r="E381" s="2" t="str">
        <x:f>IF(B381="","",'Input_Meci'!B37)</x:f>
      </x:c>
      <x:c r="F381" s="2" t="str">
        <x:f>IF(B381="","",IF('Input_Meci'!C37="","",'Input_Meci'!C37))</x:f>
      </x:c>
      <x:c r="G381" s="2" t="str">
        <x:f>IF(B381="","",'Input_Meci'!E37)</x:f>
      </x:c>
      <x:c r="H381" s="2" t="str">
        <x:v>ANY</x:v>
      </x:c>
      <x:c r="I381" s="2" t="str">
        <x:v>SEASON</x:v>
      </x:c>
      <x:c r="J381" s="9" t="n">
        <x:f>IF(AND(B381&lt;&gt;"",ISNUMBER('Input_Meci'!G37)),INT('Input_Meci'!G37),0)</x:f>
        <x:v>0</x:v>
      </x:c>
      <x:c r="K381" s="2" t="n">
        <x:f>IF(OR(B381="",F381=""),0,IF(H381="HOME",COUNTIFS('Istoric_Nativ'!$B$6:$B$405,E381,'Istoric_Nativ'!$C$6:$C$405,F381,'Istoric_Nativ'!$E$6:$E$405,G381,'Istoric_Nativ'!$D$6:$D$405,"&lt;"&amp;J381,'Istoric_Nativ'!$P$6:$P$405,1),IF(H381="AWAY",COUNTIFS('Istoric_Nativ'!$B$6:$B$405,E381,'Istoric_Nativ'!$C$6:$C$405,F381,'Istoric_Nativ'!$F$6:$F$405,G381,'Istoric_Nativ'!$D$6:$D$405,"&lt;"&amp;J381,'Istoric_Nativ'!$P$6:$P$405,1),COUNTIFS('Istoric_Nativ'!$B$6:$B$405,E381,'Istoric_Nativ'!$C$6:$C$405,F381,'Istoric_Nativ'!$E$6:$E$405,G381,'Istoric_Nativ'!$D$6:$D$405,"&lt;"&amp;J381,'Istoric_Nativ'!$P$6:$P$405,1)+COUNTIFS('Istoric_Nativ'!$B$6:$B$405,E381,'Istoric_Nativ'!$C$6:$C$405,F381,'Istoric_Nativ'!$F$6:$F$405,G381,'Istoric_Nativ'!$D$6:$D$405,"&lt;"&amp;J381,'Istoric_Nativ'!$P$6:$P$405,1))))</x:f>
        <x:v>0</x:v>
      </x:c>
      <x:c r="L381" s="17" t="n">
        <x:f>IF(AND(B381&lt;&gt;"",I381="RECENT",K381&gt;0),LARGE(_xlfn._xlws.FILTER('Istoric_Nativ'!$D$6:$D$405,('Istoric_Nativ'!$B$6:$B$405=E381)*('Istoric_Nativ'!$C$6:$C$405=F381)*('Istoric_Nativ'!$P$6:$P$405=1)*('Istoric_Nativ'!$D$6:$D$405&lt;J381)*((('Istoric_Nativ'!$E$6:$E$405=G381)+('Istoric_Nativ'!$F$6:$F$405=G381))&gt;0)),MIN('Config_v6'!$B$54,K381)),0)</x:f>
        <x:v>0</x:v>
      </x:c>
      <x:c r="M381" s="2" t="n">
        <x:f>IF(OR(B381="",F381=""),0,IF(H381="HOME",COUNTIFS('Istoric_Nativ'!$B$6:$B$405,E381,'Istoric_Nativ'!$C$6:$C$405,F381,'Istoric_Nativ'!$E$6:$E$405,G381,'Istoric_Nativ'!$D$6:$D$405,"&lt;"&amp;J381,'Istoric_Nativ'!$P$6:$P$405,1,'Istoric_Nativ'!$D$6:$D$405,"&gt;="&amp;L381),IF(H381="AWAY",COUNTIFS('Istoric_Nativ'!$B$6:$B$405,E381,'Istoric_Nativ'!$C$6:$C$405,F381,'Istoric_Nativ'!$F$6:$F$405,G381,'Istoric_Nativ'!$D$6:$D$405,"&lt;"&amp;J381,'Istoric_Nativ'!$P$6:$P$405,1,'Istoric_Nativ'!$D$6:$D$405,"&gt;="&amp;L381),COUNTIFS('Istoric_Nativ'!$B$6:$B$405,E381,'Istoric_Nativ'!$C$6:$C$405,F381,'Istoric_Nativ'!$E$6:$E$405,G381,'Istoric_Nativ'!$D$6:$D$405,"&lt;"&amp;J381,'Istoric_Nativ'!$P$6:$P$405,1,'Istoric_Nativ'!$D$6:$D$405,"&gt;="&amp;L381)+COUNTIFS('Istoric_Nativ'!$B$6:$B$405,E381,'Istoric_Nativ'!$C$6:$C$405,F381,'Istoric_Nativ'!$F$6:$F$405,G381,'Istoric_Nativ'!$D$6:$D$405,"&lt;"&amp;J381,'Istoric_Nativ'!$P$6:$P$405,1,'Istoric_Nativ'!$D$6:$D$405,"&gt;="&amp;L381))))</x:f>
        <x:v>0</x:v>
      </x:c>
      <x:c r="N381" s="11" t="str">
        <x:f>IF(M381=0,"",IF(H381="HOME",SUMIFS('Istoric_Nativ'!$G$6:$G$405,'Istoric_Nativ'!$B$6:$B$405,E381,'Istoric_Nativ'!$C$6:$C$405,F381,'Istoric_Nativ'!$E$6:$E$405,G381,'Istoric_Nativ'!$D$6:$D$405,"&lt;"&amp;J381,'Istoric_Nativ'!$P$6:$P$405,1,'Istoric_Nativ'!$D$6:$D$405,"&gt;="&amp;L381),IF(H381="AWAY",SUMIFS('Istoric_Nativ'!$H$6:$H$405,'Istoric_Nativ'!$B$6:$B$405,E381,'Istoric_Nativ'!$C$6:$C$405,F381,'Istoric_Nativ'!$F$6:$F$405,G381,'Istoric_Nativ'!$D$6:$D$405,"&lt;"&amp;J381,'Istoric_Nativ'!$P$6:$P$405,1,'Istoric_Nativ'!$D$6:$D$405,"&gt;="&amp;L381),SUMIFS('Istoric_Nativ'!$G$6:$G$405,'Istoric_Nativ'!$B$6:$B$405,E381,'Istoric_Nativ'!$C$6:$C$405,F381,'Istoric_Nativ'!$E$6:$E$405,G381,'Istoric_Nativ'!$D$6:$D$405,"&lt;"&amp;J381,'Istoric_Nativ'!$P$6:$P$405,1,'Istoric_Nativ'!$D$6:$D$405,"&gt;="&amp;L381)+SUMIFS('Istoric_Nativ'!$H$6:$H$405,'Istoric_Nativ'!$B$6:$B$405,E381,'Istoric_Nativ'!$C$6:$C$405,F381,'Istoric_Nativ'!$F$6:$F$405,G381,'Istoric_Nativ'!$D$6:$D$405,"&lt;"&amp;J381,'Istoric_Nativ'!$P$6:$P$405,1,'Istoric_Nativ'!$D$6:$D$405,"&gt;="&amp;L381)))/M381)</x:f>
      </x:c>
      <x:c r="O381" s="11" t="str">
        <x:f>IF(M381=0,"",IF(H381="HOME",SUMIFS('Istoric_Nativ'!$H$6:$H$405,'Istoric_Nativ'!$B$6:$B$405,E381,'Istoric_Nativ'!$C$6:$C$405,F381,'Istoric_Nativ'!$E$6:$E$405,G381,'Istoric_Nativ'!$D$6:$D$405,"&lt;"&amp;J381,'Istoric_Nativ'!$P$6:$P$405,1,'Istoric_Nativ'!$D$6:$D$405,"&gt;="&amp;L381),IF(H381="AWAY",SUMIFS('Istoric_Nativ'!$G$6:$G$405,'Istoric_Nativ'!$B$6:$B$405,E381,'Istoric_Nativ'!$C$6:$C$405,F381,'Istoric_Nativ'!$F$6:$F$405,G381,'Istoric_Nativ'!$D$6:$D$405,"&lt;"&amp;J381,'Istoric_Nativ'!$P$6:$P$405,1,'Istoric_Nativ'!$D$6:$D$405,"&gt;="&amp;L381),SUMIFS('Istoric_Nativ'!$H$6:$H$405,'Istoric_Nativ'!$B$6:$B$405,E381,'Istoric_Nativ'!$C$6:$C$405,F381,'Istoric_Nativ'!$E$6:$E$405,G381,'Istoric_Nativ'!$D$6:$D$405,"&lt;"&amp;J381,'Istoric_Nativ'!$P$6:$P$405,1,'Istoric_Nativ'!$D$6:$D$405,"&gt;="&amp;L381)+SUMIFS('Istoric_Nativ'!$G$6:$G$405,'Istoric_Nativ'!$B$6:$B$405,E381,'Istoric_Nativ'!$C$6:$C$405,F381,'Istoric_Nativ'!$F$6:$F$405,G381,'Istoric_Nativ'!$D$6:$D$405,"&lt;"&amp;J381,'Istoric_Nativ'!$P$6:$P$405,1,'Istoric_Nativ'!$D$6:$D$405,"&gt;="&amp;L381)))/M381)</x:f>
      </x:c>
      <x:c r="P381" s="2" t="n">
        <x:f>'Config_v6'!$B$7</x:f>
        <x:v>10</x:v>
      </x:c>
      <x:c r="Q381" s="2" t="n">
        <x:f>IF(OR(B381="",F381=""),0,IFERROR(MATCH(E381&amp;"|"&amp;F381,SourceTable[Source_Key],0),0))</x:f>
        <x:v>0</x:v>
      </x:c>
      <x:c r="R381" s="2" t="str">
        <x:f>IF(B381="","",IF(F381="","UNUSED",IF(Q381=0,"NOT CHECKED",IF(COUNTIF(SourceTable[Source_Key],E381&amp;"|"&amp;F381)&lt;&gt;1,"SOURCE CONFLICT",IF(NOT(OR(INDEX(SourceTable[Status],MAX(1,Q381))="IMPORTED",INDEX(SourceTable[Status],MAX(1,Q381))="PARTIAL",INDEX(SourceTable[Status],MAX(1,Q381))="SOURCE CONFLICT")),"ACCESS BLOCKED",IF(OR(INDEX(SourceTable[Coverage],Q381)&lt;&gt;"FULL SEASON EXPORT",INDEX(SourceTable[URL],Q381)="",INDEX(SourceTable[SHA256],Q381)=""),"EVIDENCE INCOMPLETE",IF(AND('Input_Meci'!H37="LIVE",INDEX(SourceTable[Retrieved_UTC],Q381)&gt;'Input_Meci'!G37),"POST CUTOFF","CLOSED")))))))</x:f>
      </x:c>
      <x:c r="S381" s="2" t="n">
        <x:f>IF(OR(B381="",F381=""),0,COUNTIFS('Istoric_Nativ'!$B$6:$B$405,E381,'Istoric_Nativ'!$C$6:$C$405,F381,'Istoric_Nativ'!$E$6:$E$405,G381,'Istoric_Nativ'!$D$6:$D$405,"&lt;"&amp;J381,'Istoric_Nativ'!$O$6:$O$405,"INVALID")+COUNTIFS('Istoric_Nativ'!$B$6:$B$405,E381,'Istoric_Nativ'!$C$6:$C$405,F381,'Istoric_Nativ'!$E$6:$E$405,G381,'Istoric_Nativ'!$O$6:$O$405,"INVALID",'Istoric_Nativ'!$D$6:$D$405,"*")+COUNTIFS('Istoric_Nativ'!$B$6:$B$405,E381,'Istoric_Nativ'!$C$6:$C$405,F381,'Istoric_Nativ'!$E$6:$E$405,G381,'Istoric_Nativ'!$D$6:$D$405,"&lt;"&amp;J381,'Istoric_Nativ'!$O$6:$O$405,"SOURCE CONFLICT")+COUNTIFS('Istoric_Nativ'!$B$6:$B$405,E381,'Istoric_Nativ'!$C$6:$C$405,F381,'Istoric_Nativ'!$F$6:$F$405,G381,'Istoric_Nativ'!$D$6:$D$405,"&lt;"&amp;J381,'Istoric_Nativ'!$O$6:$O$405,"INVALID")+COUNTIFS('Istoric_Nativ'!$B$6:$B$405,E381,'Istoric_Nativ'!$C$6:$C$405,F381,'Istoric_Nativ'!$F$6:$F$405,G381,'Istoric_Nativ'!$O$6:$O$405,"INVALID",'Istoric_Nativ'!$D$6:$D$405,"*")+COUNTIFS('Istoric_Nativ'!$B$6:$B$405,E381,'Istoric_Nativ'!$C$6:$C$405,F381,'Istoric_Nativ'!$F$6:$F$405,G381,'Istoric_Nativ'!$D$6:$D$405,"&lt;"&amp;J381,'Istoric_Nativ'!$O$6:$O$405,"SOURCE CONFLICT"))</x:f>
        <x:v>0</x:v>
      </x:c>
      <x:c r="T381" s="2" t="str">
        <x:f>IF(B381="","",IF(R381&lt;&gt;"CLOSED",R381,IF(S381&gt;0,"NATIVE INPUT ISSUE",IF(M381=0,"NO HISTORY",IF(M381&lt;P381,"SMALL SAMPLE","DERIVED")))))</x:f>
      </x:c>
      <x:c r="U381" s="2" t="str">
        <x:f>IF(B381="","","NativeTable; "&amp;E381&amp;"; "&amp;F381&amp;"; "&amp;G381&amp;"; "&amp;H381&amp;"; before "&amp;TEXT(J381,"yyyy-mm-dd")&amp;IF(I381="RECENT","; from "&amp;TEXT(L381,"yyyy-mm-dd"),""))</x:f>
      </x:c>
    </x:row>
    <x:row r="382" ht="21" customHeight="1">
      <x:c r="A382" s="2" t="n">
        <x:v>32</x:v>
      </x:c>
      <x:c r="B382" s="2" t="str">
        <x:f>IF('Input_Meci'!A37="","",'Input_Meci'!A37)</x:f>
      </x:c>
      <x:c r="C382" s="2" t="str">
        <x:v>A</x:v>
      </x:c>
      <x:c r="D382" s="2" t="str">
        <x:v>CURRENT</x:v>
      </x:c>
      <x:c r="E382" s="2" t="str">
        <x:f>IF(B382="","",'Input_Meci'!B37)</x:f>
      </x:c>
      <x:c r="F382" s="2" t="str">
        <x:f>IF(B382="","",IF('Input_Meci'!C37="","",'Input_Meci'!C37))</x:f>
      </x:c>
      <x:c r="G382" s="2" t="str">
        <x:f>IF(B382="","",'Input_Meci'!E37)</x:f>
      </x:c>
      <x:c r="H382" s="2" t="str">
        <x:v>AWAY</x:v>
      </x:c>
      <x:c r="I382" s="2" t="str">
        <x:v>HA</x:v>
      </x:c>
      <x:c r="J382" s="9" t="n">
        <x:f>IF(AND(B382&lt;&gt;"",ISNUMBER('Input_Meci'!G37)),INT('Input_Meci'!G37),0)</x:f>
        <x:v>0</x:v>
      </x:c>
      <x:c r="K382" s="2" t="n">
        <x:f>IF(OR(B382="",F382=""),0,IF(H382="HOME",COUNTIFS('Istoric_Nativ'!$B$6:$B$405,E382,'Istoric_Nativ'!$C$6:$C$405,F382,'Istoric_Nativ'!$E$6:$E$405,G382,'Istoric_Nativ'!$D$6:$D$405,"&lt;"&amp;J382,'Istoric_Nativ'!$P$6:$P$405,1),IF(H382="AWAY",COUNTIFS('Istoric_Nativ'!$B$6:$B$405,E382,'Istoric_Nativ'!$C$6:$C$405,F382,'Istoric_Nativ'!$F$6:$F$405,G382,'Istoric_Nativ'!$D$6:$D$405,"&lt;"&amp;J382,'Istoric_Nativ'!$P$6:$P$405,1),COUNTIFS('Istoric_Nativ'!$B$6:$B$405,E382,'Istoric_Nativ'!$C$6:$C$405,F382,'Istoric_Nativ'!$E$6:$E$405,G382,'Istoric_Nativ'!$D$6:$D$405,"&lt;"&amp;J382,'Istoric_Nativ'!$P$6:$P$405,1)+COUNTIFS('Istoric_Nativ'!$B$6:$B$405,E382,'Istoric_Nativ'!$C$6:$C$405,F382,'Istoric_Nativ'!$F$6:$F$405,G382,'Istoric_Nativ'!$D$6:$D$405,"&lt;"&amp;J382,'Istoric_Nativ'!$P$6:$P$405,1))))</x:f>
        <x:v>0</x:v>
      </x:c>
      <x:c r="L382" s="17" t="n">
        <x:f>IF(AND(B382&lt;&gt;"",I382="RECENT",K382&gt;0),LARGE(_xlfn._xlws.FILTER('Istoric_Nativ'!$D$6:$D$405,('Istoric_Nativ'!$B$6:$B$405=E382)*('Istoric_Nativ'!$C$6:$C$405=F382)*('Istoric_Nativ'!$P$6:$P$405=1)*('Istoric_Nativ'!$D$6:$D$405&lt;J382)*((('Istoric_Nativ'!$E$6:$E$405=G382)+('Istoric_Nativ'!$F$6:$F$405=G382))&gt;0)),MIN('Config_v6'!$B$54,K382)),0)</x:f>
        <x:v>0</x:v>
      </x:c>
      <x:c r="M382" s="2" t="n">
        <x:f>IF(OR(B382="",F382=""),0,IF(H382="HOME",COUNTIFS('Istoric_Nativ'!$B$6:$B$405,E382,'Istoric_Nativ'!$C$6:$C$405,F382,'Istoric_Nativ'!$E$6:$E$405,G382,'Istoric_Nativ'!$D$6:$D$405,"&lt;"&amp;J382,'Istoric_Nativ'!$P$6:$P$405,1,'Istoric_Nativ'!$D$6:$D$405,"&gt;="&amp;L382),IF(H382="AWAY",COUNTIFS('Istoric_Nativ'!$B$6:$B$405,E382,'Istoric_Nativ'!$C$6:$C$405,F382,'Istoric_Nativ'!$F$6:$F$405,G382,'Istoric_Nativ'!$D$6:$D$405,"&lt;"&amp;J382,'Istoric_Nativ'!$P$6:$P$405,1,'Istoric_Nativ'!$D$6:$D$405,"&gt;="&amp;L382),COUNTIFS('Istoric_Nativ'!$B$6:$B$405,E382,'Istoric_Nativ'!$C$6:$C$405,F382,'Istoric_Nativ'!$E$6:$E$405,G382,'Istoric_Nativ'!$D$6:$D$405,"&lt;"&amp;J382,'Istoric_Nativ'!$P$6:$P$405,1,'Istoric_Nativ'!$D$6:$D$405,"&gt;="&amp;L382)+COUNTIFS('Istoric_Nativ'!$B$6:$B$405,E382,'Istoric_Nativ'!$C$6:$C$405,F382,'Istoric_Nativ'!$F$6:$F$405,G382,'Istoric_Nativ'!$D$6:$D$405,"&lt;"&amp;J382,'Istoric_Nativ'!$P$6:$P$405,1,'Istoric_Nativ'!$D$6:$D$405,"&gt;="&amp;L382))))</x:f>
        <x:v>0</x:v>
      </x:c>
      <x:c r="N382" s="11" t="str">
        <x:f>IF(M382=0,"",IF(H382="HOME",SUMIFS('Istoric_Nativ'!$G$6:$G$405,'Istoric_Nativ'!$B$6:$B$405,E382,'Istoric_Nativ'!$C$6:$C$405,F382,'Istoric_Nativ'!$E$6:$E$405,G382,'Istoric_Nativ'!$D$6:$D$405,"&lt;"&amp;J382,'Istoric_Nativ'!$P$6:$P$405,1,'Istoric_Nativ'!$D$6:$D$405,"&gt;="&amp;L382),IF(H382="AWAY",SUMIFS('Istoric_Nativ'!$H$6:$H$405,'Istoric_Nativ'!$B$6:$B$405,E382,'Istoric_Nativ'!$C$6:$C$405,F382,'Istoric_Nativ'!$F$6:$F$405,G382,'Istoric_Nativ'!$D$6:$D$405,"&lt;"&amp;J382,'Istoric_Nativ'!$P$6:$P$405,1,'Istoric_Nativ'!$D$6:$D$405,"&gt;="&amp;L382),SUMIFS('Istoric_Nativ'!$G$6:$G$405,'Istoric_Nativ'!$B$6:$B$405,E382,'Istoric_Nativ'!$C$6:$C$405,F382,'Istoric_Nativ'!$E$6:$E$405,G382,'Istoric_Nativ'!$D$6:$D$405,"&lt;"&amp;J382,'Istoric_Nativ'!$P$6:$P$405,1,'Istoric_Nativ'!$D$6:$D$405,"&gt;="&amp;L382)+SUMIFS('Istoric_Nativ'!$H$6:$H$405,'Istoric_Nativ'!$B$6:$B$405,E382,'Istoric_Nativ'!$C$6:$C$405,F382,'Istoric_Nativ'!$F$6:$F$405,G382,'Istoric_Nativ'!$D$6:$D$405,"&lt;"&amp;J382,'Istoric_Nativ'!$P$6:$P$405,1,'Istoric_Nativ'!$D$6:$D$405,"&gt;="&amp;L382)))/M382)</x:f>
      </x:c>
      <x:c r="O382" s="11" t="str">
        <x:f>IF(M382=0,"",IF(H382="HOME",SUMIFS('Istoric_Nativ'!$H$6:$H$405,'Istoric_Nativ'!$B$6:$B$405,E382,'Istoric_Nativ'!$C$6:$C$405,F382,'Istoric_Nativ'!$E$6:$E$405,G382,'Istoric_Nativ'!$D$6:$D$405,"&lt;"&amp;J382,'Istoric_Nativ'!$P$6:$P$405,1,'Istoric_Nativ'!$D$6:$D$405,"&gt;="&amp;L382),IF(H382="AWAY",SUMIFS('Istoric_Nativ'!$G$6:$G$405,'Istoric_Nativ'!$B$6:$B$405,E382,'Istoric_Nativ'!$C$6:$C$405,F382,'Istoric_Nativ'!$F$6:$F$405,G382,'Istoric_Nativ'!$D$6:$D$405,"&lt;"&amp;J382,'Istoric_Nativ'!$P$6:$P$405,1,'Istoric_Nativ'!$D$6:$D$405,"&gt;="&amp;L382),SUMIFS('Istoric_Nativ'!$H$6:$H$405,'Istoric_Nativ'!$B$6:$B$405,E382,'Istoric_Nativ'!$C$6:$C$405,F382,'Istoric_Nativ'!$E$6:$E$405,G382,'Istoric_Nativ'!$D$6:$D$405,"&lt;"&amp;J382,'Istoric_Nativ'!$P$6:$P$405,1,'Istoric_Nativ'!$D$6:$D$405,"&gt;="&amp;L382)+SUMIFS('Istoric_Nativ'!$G$6:$G$405,'Istoric_Nativ'!$B$6:$B$405,E382,'Istoric_Nativ'!$C$6:$C$405,F382,'Istoric_Nativ'!$F$6:$F$405,G382,'Istoric_Nativ'!$D$6:$D$405,"&lt;"&amp;J382,'Istoric_Nativ'!$P$6:$P$405,1,'Istoric_Nativ'!$D$6:$D$405,"&gt;="&amp;L382)))/M382)</x:f>
      </x:c>
      <x:c r="P382" s="2" t="n">
        <x:f>'Config_v6'!$B$8</x:f>
        <x:v>5</x:v>
      </x:c>
      <x:c r="Q382" s="2" t="n">
        <x:f>IF(OR(B382="",F382=""),0,IFERROR(MATCH(E382&amp;"|"&amp;F382,SourceTable[Source_Key],0),0))</x:f>
        <x:v>0</x:v>
      </x:c>
      <x:c r="R382" s="2" t="str">
        <x:f>IF(B382="","",IF(F382="","UNUSED",IF(Q382=0,"NOT CHECKED",IF(COUNTIF(SourceTable[Source_Key],E382&amp;"|"&amp;F382)&lt;&gt;1,"SOURCE CONFLICT",IF(NOT(OR(INDEX(SourceTable[Status],MAX(1,Q382))="IMPORTED",INDEX(SourceTable[Status],MAX(1,Q382))="PARTIAL",INDEX(SourceTable[Status],MAX(1,Q382))="SOURCE CONFLICT")),"ACCESS BLOCKED",IF(OR(INDEX(SourceTable[Coverage],Q382)&lt;&gt;"FULL SEASON EXPORT",INDEX(SourceTable[URL],Q382)="",INDEX(SourceTable[SHA256],Q382)=""),"EVIDENCE INCOMPLETE",IF(AND('Input_Meci'!H37="LIVE",INDEX(SourceTable[Retrieved_UTC],Q382)&gt;'Input_Meci'!G37),"POST CUTOFF","CLOSED")))))))</x:f>
      </x:c>
      <x:c r="S382" s="2" t="n">
        <x:f>IF(OR(B382="",F382=""),0,COUNTIFS('Istoric_Nativ'!$B$6:$B$405,E382,'Istoric_Nativ'!$C$6:$C$405,F382,'Istoric_Nativ'!$E$6:$E$405,G382,'Istoric_Nativ'!$D$6:$D$405,"&lt;"&amp;J382,'Istoric_Nativ'!$O$6:$O$405,"INVALID")+COUNTIFS('Istoric_Nativ'!$B$6:$B$405,E382,'Istoric_Nativ'!$C$6:$C$405,F382,'Istoric_Nativ'!$E$6:$E$405,G382,'Istoric_Nativ'!$O$6:$O$405,"INVALID",'Istoric_Nativ'!$D$6:$D$405,"*")+COUNTIFS('Istoric_Nativ'!$B$6:$B$405,E382,'Istoric_Nativ'!$C$6:$C$405,F382,'Istoric_Nativ'!$E$6:$E$405,G382,'Istoric_Nativ'!$D$6:$D$405,"&lt;"&amp;J382,'Istoric_Nativ'!$O$6:$O$405,"SOURCE CONFLICT")+COUNTIFS('Istoric_Nativ'!$B$6:$B$405,E382,'Istoric_Nativ'!$C$6:$C$405,F382,'Istoric_Nativ'!$F$6:$F$405,G382,'Istoric_Nativ'!$D$6:$D$405,"&lt;"&amp;J382,'Istoric_Nativ'!$O$6:$O$405,"INVALID")+COUNTIFS('Istoric_Nativ'!$B$6:$B$405,E382,'Istoric_Nativ'!$C$6:$C$405,F382,'Istoric_Nativ'!$F$6:$F$405,G382,'Istoric_Nativ'!$O$6:$O$405,"INVALID",'Istoric_Nativ'!$D$6:$D$405,"*")+COUNTIFS('Istoric_Nativ'!$B$6:$B$405,E382,'Istoric_Nativ'!$C$6:$C$405,F382,'Istoric_Nativ'!$F$6:$F$405,G382,'Istoric_Nativ'!$D$6:$D$405,"&lt;"&amp;J382,'Istoric_Nativ'!$O$6:$O$405,"SOURCE CONFLICT"))</x:f>
        <x:v>0</x:v>
      </x:c>
      <x:c r="T382" s="2" t="str">
        <x:f>IF(B382="","",IF(R382&lt;&gt;"CLOSED",R382,IF(S382&gt;0,"NATIVE INPUT ISSUE",IF(M382=0,"NO HISTORY",IF(M382&lt;P382,"SMALL SAMPLE","DERIVED")))))</x:f>
      </x:c>
      <x:c r="U382" s="2" t="str">
        <x:f>IF(B382="","","NativeTable; "&amp;E382&amp;"; "&amp;F382&amp;"; "&amp;G382&amp;"; "&amp;H382&amp;"; before "&amp;TEXT(J382,"yyyy-mm-dd")&amp;IF(I382="RECENT","; from "&amp;TEXT(L382,"yyyy-mm-dd"),""))</x:f>
      </x:c>
    </x:row>
    <x:row r="383" ht="21" customHeight="1">
      <x:c r="A383" s="2" t="n">
        <x:v>32</x:v>
      </x:c>
      <x:c r="B383" s="2" t="str">
        <x:f>IF('Input_Meci'!A37="","",'Input_Meci'!A37)</x:f>
      </x:c>
      <x:c r="C383" s="2" t="str">
        <x:v>A</x:v>
      </x:c>
      <x:c r="D383" s="2" t="str">
        <x:v>CURRENT</x:v>
      </x:c>
      <x:c r="E383" s="2" t="str">
        <x:f>IF(B383="","",'Input_Meci'!B37)</x:f>
      </x:c>
      <x:c r="F383" s="2" t="str">
        <x:f>IF(B383="","",IF('Input_Meci'!C37="","",'Input_Meci'!C37))</x:f>
      </x:c>
      <x:c r="G383" s="2" t="str">
        <x:f>IF(B383="","",'Input_Meci'!E37)</x:f>
      </x:c>
      <x:c r="H383" s="2" t="str">
        <x:v>ANY</x:v>
      </x:c>
      <x:c r="I383" s="2" t="str">
        <x:v>RECENT</x:v>
      </x:c>
      <x:c r="J383" s="9" t="n">
        <x:f>IF(AND(B383&lt;&gt;"",ISNUMBER('Input_Meci'!G37)),INT('Input_Meci'!G37),0)</x:f>
        <x:v>0</x:v>
      </x:c>
      <x:c r="K383" s="2" t="n">
        <x:f>IF(OR(B383="",F383=""),0,IF(H383="HOME",COUNTIFS('Istoric_Nativ'!$B$6:$B$405,E383,'Istoric_Nativ'!$C$6:$C$405,F383,'Istoric_Nativ'!$E$6:$E$405,G383,'Istoric_Nativ'!$D$6:$D$405,"&lt;"&amp;J383,'Istoric_Nativ'!$P$6:$P$405,1),IF(H383="AWAY",COUNTIFS('Istoric_Nativ'!$B$6:$B$405,E383,'Istoric_Nativ'!$C$6:$C$405,F383,'Istoric_Nativ'!$F$6:$F$405,G383,'Istoric_Nativ'!$D$6:$D$405,"&lt;"&amp;J383,'Istoric_Nativ'!$P$6:$P$405,1),COUNTIFS('Istoric_Nativ'!$B$6:$B$405,E383,'Istoric_Nativ'!$C$6:$C$405,F383,'Istoric_Nativ'!$E$6:$E$405,G383,'Istoric_Nativ'!$D$6:$D$405,"&lt;"&amp;J383,'Istoric_Nativ'!$P$6:$P$405,1)+COUNTIFS('Istoric_Nativ'!$B$6:$B$405,E383,'Istoric_Nativ'!$C$6:$C$405,F383,'Istoric_Nativ'!$F$6:$F$405,G383,'Istoric_Nativ'!$D$6:$D$405,"&lt;"&amp;J383,'Istoric_Nativ'!$P$6:$P$405,1))))</x:f>
        <x:v>0</x:v>
      </x:c>
      <x:c r="L383" s="17" t="n">
        <x:f>IF(AND(B383&lt;&gt;"",I383="RECENT",K383&gt;0),LARGE(_xlfn._xlws.FILTER('Istoric_Nativ'!$D$6:$D$405,('Istoric_Nativ'!$B$6:$B$405=E383)*('Istoric_Nativ'!$C$6:$C$405=F383)*('Istoric_Nativ'!$P$6:$P$405=1)*('Istoric_Nativ'!$D$6:$D$405&lt;J383)*((('Istoric_Nativ'!$E$6:$E$405=G383)+('Istoric_Nativ'!$F$6:$F$405=G383))&gt;0)),MIN('Config_v6'!$B$54,K383)),0)</x:f>
        <x:v>0</x:v>
      </x:c>
      <x:c r="M383" s="2" t="n">
        <x:f>IF(OR(B383="",F383=""),0,IF(H383="HOME",COUNTIFS('Istoric_Nativ'!$B$6:$B$405,E383,'Istoric_Nativ'!$C$6:$C$405,F383,'Istoric_Nativ'!$E$6:$E$405,G383,'Istoric_Nativ'!$D$6:$D$405,"&lt;"&amp;J383,'Istoric_Nativ'!$P$6:$P$405,1,'Istoric_Nativ'!$D$6:$D$405,"&gt;="&amp;L383),IF(H383="AWAY",COUNTIFS('Istoric_Nativ'!$B$6:$B$405,E383,'Istoric_Nativ'!$C$6:$C$405,F383,'Istoric_Nativ'!$F$6:$F$405,G383,'Istoric_Nativ'!$D$6:$D$405,"&lt;"&amp;J383,'Istoric_Nativ'!$P$6:$P$405,1,'Istoric_Nativ'!$D$6:$D$405,"&gt;="&amp;L383),COUNTIFS('Istoric_Nativ'!$B$6:$B$405,E383,'Istoric_Nativ'!$C$6:$C$405,F383,'Istoric_Nativ'!$E$6:$E$405,G383,'Istoric_Nativ'!$D$6:$D$405,"&lt;"&amp;J383,'Istoric_Nativ'!$P$6:$P$405,1,'Istoric_Nativ'!$D$6:$D$405,"&gt;="&amp;L383)+COUNTIFS('Istoric_Nativ'!$B$6:$B$405,E383,'Istoric_Nativ'!$C$6:$C$405,F383,'Istoric_Nativ'!$F$6:$F$405,G383,'Istoric_Nativ'!$D$6:$D$405,"&lt;"&amp;J383,'Istoric_Nativ'!$P$6:$P$405,1,'Istoric_Nativ'!$D$6:$D$405,"&gt;="&amp;L383))))</x:f>
        <x:v>0</x:v>
      </x:c>
      <x:c r="N383" s="11" t="str">
        <x:f>IF(M383=0,"",IF(H383="HOME",SUMIFS('Istoric_Nativ'!$G$6:$G$405,'Istoric_Nativ'!$B$6:$B$405,E383,'Istoric_Nativ'!$C$6:$C$405,F383,'Istoric_Nativ'!$E$6:$E$405,G383,'Istoric_Nativ'!$D$6:$D$405,"&lt;"&amp;J383,'Istoric_Nativ'!$P$6:$P$405,1,'Istoric_Nativ'!$D$6:$D$405,"&gt;="&amp;L383),IF(H383="AWAY",SUMIFS('Istoric_Nativ'!$H$6:$H$405,'Istoric_Nativ'!$B$6:$B$405,E383,'Istoric_Nativ'!$C$6:$C$405,F383,'Istoric_Nativ'!$F$6:$F$405,G383,'Istoric_Nativ'!$D$6:$D$405,"&lt;"&amp;J383,'Istoric_Nativ'!$P$6:$P$405,1,'Istoric_Nativ'!$D$6:$D$405,"&gt;="&amp;L383),SUMIFS('Istoric_Nativ'!$G$6:$G$405,'Istoric_Nativ'!$B$6:$B$405,E383,'Istoric_Nativ'!$C$6:$C$405,F383,'Istoric_Nativ'!$E$6:$E$405,G383,'Istoric_Nativ'!$D$6:$D$405,"&lt;"&amp;J383,'Istoric_Nativ'!$P$6:$P$405,1,'Istoric_Nativ'!$D$6:$D$405,"&gt;="&amp;L383)+SUMIFS('Istoric_Nativ'!$H$6:$H$405,'Istoric_Nativ'!$B$6:$B$405,E383,'Istoric_Nativ'!$C$6:$C$405,F383,'Istoric_Nativ'!$F$6:$F$405,G383,'Istoric_Nativ'!$D$6:$D$405,"&lt;"&amp;J383,'Istoric_Nativ'!$P$6:$P$405,1,'Istoric_Nativ'!$D$6:$D$405,"&gt;="&amp;L383)))/M383)</x:f>
      </x:c>
      <x:c r="O383" s="11" t="str">
        <x:f>IF(M383=0,"",IF(H383="HOME",SUMIFS('Istoric_Nativ'!$H$6:$H$405,'Istoric_Nativ'!$B$6:$B$405,E383,'Istoric_Nativ'!$C$6:$C$405,F383,'Istoric_Nativ'!$E$6:$E$405,G383,'Istoric_Nativ'!$D$6:$D$405,"&lt;"&amp;J383,'Istoric_Nativ'!$P$6:$P$405,1,'Istoric_Nativ'!$D$6:$D$405,"&gt;="&amp;L383),IF(H383="AWAY",SUMIFS('Istoric_Nativ'!$G$6:$G$405,'Istoric_Nativ'!$B$6:$B$405,E383,'Istoric_Nativ'!$C$6:$C$405,F383,'Istoric_Nativ'!$F$6:$F$405,G383,'Istoric_Nativ'!$D$6:$D$405,"&lt;"&amp;J383,'Istoric_Nativ'!$P$6:$P$405,1,'Istoric_Nativ'!$D$6:$D$405,"&gt;="&amp;L383),SUMIFS('Istoric_Nativ'!$H$6:$H$405,'Istoric_Nativ'!$B$6:$B$405,E383,'Istoric_Nativ'!$C$6:$C$405,F383,'Istoric_Nativ'!$E$6:$E$405,G383,'Istoric_Nativ'!$D$6:$D$405,"&lt;"&amp;J383,'Istoric_Nativ'!$P$6:$P$405,1,'Istoric_Nativ'!$D$6:$D$405,"&gt;="&amp;L383)+SUMIFS('Istoric_Nativ'!$G$6:$G$405,'Istoric_Nativ'!$B$6:$B$405,E383,'Istoric_Nativ'!$C$6:$C$405,F383,'Istoric_Nativ'!$F$6:$F$405,G383,'Istoric_Nativ'!$D$6:$D$405,"&lt;"&amp;J383,'Istoric_Nativ'!$P$6:$P$405,1,'Istoric_Nativ'!$D$6:$D$405,"&gt;="&amp;L383)))/M383)</x:f>
      </x:c>
      <x:c r="P383" s="2" t="n">
        <x:f>'Config_v6'!$B$9</x:f>
        <x:v>3</x:v>
      </x:c>
      <x:c r="Q383" s="2" t="n">
        <x:f>IF(OR(B383="",F383=""),0,IFERROR(MATCH(E383&amp;"|"&amp;F383,SourceTable[Source_Key],0),0))</x:f>
        <x:v>0</x:v>
      </x:c>
      <x:c r="R383" s="2" t="str">
        <x:f>IF(B383="","",IF(F383="","UNUSED",IF(Q383=0,"NOT CHECKED",IF(COUNTIF(SourceTable[Source_Key],E383&amp;"|"&amp;F383)&lt;&gt;1,"SOURCE CONFLICT",IF(NOT(OR(INDEX(SourceTable[Status],MAX(1,Q383))="IMPORTED",INDEX(SourceTable[Status],MAX(1,Q383))="PARTIAL",INDEX(SourceTable[Status],MAX(1,Q383))="SOURCE CONFLICT")),"ACCESS BLOCKED",IF(OR(INDEX(SourceTable[Coverage],Q383)&lt;&gt;"FULL SEASON EXPORT",INDEX(SourceTable[URL],Q383)="",INDEX(SourceTable[SHA256],Q383)=""),"EVIDENCE INCOMPLETE",IF(AND('Input_Meci'!H37="LIVE",INDEX(SourceTable[Retrieved_UTC],Q383)&gt;'Input_Meci'!G37),"POST CUTOFF","CLOSED")))))))</x:f>
      </x:c>
      <x:c r="S383" s="2" t="n">
        <x:f>IF(OR(B383="",F383=""),0,COUNTIFS('Istoric_Nativ'!$B$6:$B$405,E383,'Istoric_Nativ'!$C$6:$C$405,F383,'Istoric_Nativ'!$E$6:$E$405,G383,'Istoric_Nativ'!$D$6:$D$405,"&lt;"&amp;J383,'Istoric_Nativ'!$O$6:$O$405,"INVALID")+COUNTIFS('Istoric_Nativ'!$B$6:$B$405,E383,'Istoric_Nativ'!$C$6:$C$405,F383,'Istoric_Nativ'!$E$6:$E$405,G383,'Istoric_Nativ'!$O$6:$O$405,"INVALID",'Istoric_Nativ'!$D$6:$D$405,"*")+COUNTIFS('Istoric_Nativ'!$B$6:$B$405,E383,'Istoric_Nativ'!$C$6:$C$405,F383,'Istoric_Nativ'!$E$6:$E$405,G383,'Istoric_Nativ'!$D$6:$D$405,"&lt;"&amp;J383,'Istoric_Nativ'!$O$6:$O$405,"SOURCE CONFLICT")+COUNTIFS('Istoric_Nativ'!$B$6:$B$405,E383,'Istoric_Nativ'!$C$6:$C$405,F383,'Istoric_Nativ'!$F$6:$F$405,G383,'Istoric_Nativ'!$D$6:$D$405,"&lt;"&amp;J383,'Istoric_Nativ'!$O$6:$O$405,"INVALID")+COUNTIFS('Istoric_Nativ'!$B$6:$B$405,E383,'Istoric_Nativ'!$C$6:$C$405,F383,'Istoric_Nativ'!$F$6:$F$405,G383,'Istoric_Nativ'!$O$6:$O$405,"INVALID",'Istoric_Nativ'!$D$6:$D$405,"*")+COUNTIFS('Istoric_Nativ'!$B$6:$B$405,E383,'Istoric_Nativ'!$C$6:$C$405,F383,'Istoric_Nativ'!$F$6:$F$405,G383,'Istoric_Nativ'!$D$6:$D$405,"&lt;"&amp;J383,'Istoric_Nativ'!$O$6:$O$405,"SOURCE CONFLICT"))</x:f>
        <x:v>0</x:v>
      </x:c>
      <x:c r="T383" s="2" t="str">
        <x:f>IF(B383="","",IF(R383&lt;&gt;"CLOSED",R383,IF(S383&gt;0,"NATIVE INPUT ISSUE",IF(M383=0,"NO HISTORY",IF(M383&lt;P383,"SMALL SAMPLE","DERIVED")))))</x:f>
      </x:c>
      <x:c r="U383" s="2" t="str">
        <x:f>IF(B383="","","NativeTable; "&amp;E383&amp;"; "&amp;F383&amp;"; "&amp;G383&amp;"; "&amp;H383&amp;"; before "&amp;TEXT(J383,"yyyy-mm-dd")&amp;IF(I383="RECENT","; from "&amp;TEXT(L383,"yyyy-mm-dd"),""))</x:f>
      </x:c>
    </x:row>
    <x:row r="384" ht="21" customHeight="1">
      <x:c r="A384" s="2" t="n">
        <x:v>32</x:v>
      </x:c>
      <x:c r="B384" s="2" t="str">
        <x:f>IF('Input_Meci'!A37="","",'Input_Meci'!A37)</x:f>
      </x:c>
      <x:c r="C384" s="2" t="str">
        <x:v>H</x:v>
      </x:c>
      <x:c r="D384" s="2" t="str">
        <x:v>PRIOR</x:v>
      </x:c>
      <x:c r="E384" s="2" t="str">
        <x:f>IF(B384="","",'Input_Meci'!B37)</x:f>
      </x:c>
      <x:c r="F384" s="2" t="str">
        <x:f>IF(B384="","",IF('Input_Meci'!K37="","",'Input_Meci'!K37))</x:f>
      </x:c>
      <x:c r="G384" s="2" t="str">
        <x:f>IF(B384="","",'Input_Meci'!D37)</x:f>
      </x:c>
      <x:c r="H384" s="2" t="str">
        <x:v>ANY</x:v>
      </x:c>
      <x:c r="I384" s="2" t="str">
        <x:v>SEASON</x:v>
      </x:c>
      <x:c r="J384" s="9" t="n">
        <x:f>IF(AND(B384&lt;&gt;"",ISNUMBER('Input_Meci'!G37)),INT('Input_Meci'!G37),0)</x:f>
        <x:v>0</x:v>
      </x:c>
      <x:c r="K384" s="2" t="n">
        <x:f>IF(OR(B384="",F384=""),0,IF(H384="HOME",COUNTIFS('Istoric_Nativ'!$B$6:$B$405,E384,'Istoric_Nativ'!$C$6:$C$405,F384,'Istoric_Nativ'!$E$6:$E$405,G384,'Istoric_Nativ'!$D$6:$D$405,"&lt;"&amp;J384,'Istoric_Nativ'!$P$6:$P$405,1),IF(H384="AWAY",COUNTIFS('Istoric_Nativ'!$B$6:$B$405,E384,'Istoric_Nativ'!$C$6:$C$405,F384,'Istoric_Nativ'!$F$6:$F$405,G384,'Istoric_Nativ'!$D$6:$D$405,"&lt;"&amp;J384,'Istoric_Nativ'!$P$6:$P$405,1),COUNTIFS('Istoric_Nativ'!$B$6:$B$405,E384,'Istoric_Nativ'!$C$6:$C$405,F384,'Istoric_Nativ'!$E$6:$E$405,G384,'Istoric_Nativ'!$D$6:$D$405,"&lt;"&amp;J384,'Istoric_Nativ'!$P$6:$P$405,1)+COUNTIFS('Istoric_Nativ'!$B$6:$B$405,E384,'Istoric_Nativ'!$C$6:$C$405,F384,'Istoric_Nativ'!$F$6:$F$405,G384,'Istoric_Nativ'!$D$6:$D$405,"&lt;"&amp;J384,'Istoric_Nativ'!$P$6:$P$405,1))))</x:f>
        <x:v>0</x:v>
      </x:c>
      <x:c r="L384" s="17" t="n">
        <x:f>IF(AND(B384&lt;&gt;"",I384="RECENT",K384&gt;0),LARGE(_xlfn._xlws.FILTER('Istoric_Nativ'!$D$6:$D$405,('Istoric_Nativ'!$B$6:$B$405=E384)*('Istoric_Nativ'!$C$6:$C$405=F384)*('Istoric_Nativ'!$P$6:$P$405=1)*('Istoric_Nativ'!$D$6:$D$405&lt;J384)*((('Istoric_Nativ'!$E$6:$E$405=G384)+('Istoric_Nativ'!$F$6:$F$405=G384))&gt;0)),MIN('Config_v6'!$B$54,K384)),0)</x:f>
        <x:v>0</x:v>
      </x:c>
      <x:c r="M384" s="2" t="n">
        <x:f>IF(OR(B384="",F384=""),0,IF(H384="HOME",COUNTIFS('Istoric_Nativ'!$B$6:$B$405,E384,'Istoric_Nativ'!$C$6:$C$405,F384,'Istoric_Nativ'!$E$6:$E$405,G384,'Istoric_Nativ'!$D$6:$D$405,"&lt;"&amp;J384,'Istoric_Nativ'!$P$6:$P$405,1,'Istoric_Nativ'!$D$6:$D$405,"&gt;="&amp;L384),IF(H384="AWAY",COUNTIFS('Istoric_Nativ'!$B$6:$B$405,E384,'Istoric_Nativ'!$C$6:$C$405,F384,'Istoric_Nativ'!$F$6:$F$405,G384,'Istoric_Nativ'!$D$6:$D$405,"&lt;"&amp;J384,'Istoric_Nativ'!$P$6:$P$405,1,'Istoric_Nativ'!$D$6:$D$405,"&gt;="&amp;L384),COUNTIFS('Istoric_Nativ'!$B$6:$B$405,E384,'Istoric_Nativ'!$C$6:$C$405,F384,'Istoric_Nativ'!$E$6:$E$405,G384,'Istoric_Nativ'!$D$6:$D$405,"&lt;"&amp;J384,'Istoric_Nativ'!$P$6:$P$405,1,'Istoric_Nativ'!$D$6:$D$405,"&gt;="&amp;L384)+COUNTIFS('Istoric_Nativ'!$B$6:$B$405,E384,'Istoric_Nativ'!$C$6:$C$405,F384,'Istoric_Nativ'!$F$6:$F$405,G384,'Istoric_Nativ'!$D$6:$D$405,"&lt;"&amp;J384,'Istoric_Nativ'!$P$6:$P$405,1,'Istoric_Nativ'!$D$6:$D$405,"&gt;="&amp;L384))))</x:f>
        <x:v>0</x:v>
      </x:c>
      <x:c r="N384" s="11" t="str">
        <x:f>IF(M384=0,"",IF(H384="HOME",SUMIFS('Istoric_Nativ'!$G$6:$G$405,'Istoric_Nativ'!$B$6:$B$405,E384,'Istoric_Nativ'!$C$6:$C$405,F384,'Istoric_Nativ'!$E$6:$E$405,G384,'Istoric_Nativ'!$D$6:$D$405,"&lt;"&amp;J384,'Istoric_Nativ'!$P$6:$P$405,1,'Istoric_Nativ'!$D$6:$D$405,"&gt;="&amp;L384),IF(H384="AWAY",SUMIFS('Istoric_Nativ'!$H$6:$H$405,'Istoric_Nativ'!$B$6:$B$405,E384,'Istoric_Nativ'!$C$6:$C$405,F384,'Istoric_Nativ'!$F$6:$F$405,G384,'Istoric_Nativ'!$D$6:$D$405,"&lt;"&amp;J384,'Istoric_Nativ'!$P$6:$P$405,1,'Istoric_Nativ'!$D$6:$D$405,"&gt;="&amp;L384),SUMIFS('Istoric_Nativ'!$G$6:$G$405,'Istoric_Nativ'!$B$6:$B$405,E384,'Istoric_Nativ'!$C$6:$C$405,F384,'Istoric_Nativ'!$E$6:$E$405,G384,'Istoric_Nativ'!$D$6:$D$405,"&lt;"&amp;J384,'Istoric_Nativ'!$P$6:$P$405,1,'Istoric_Nativ'!$D$6:$D$405,"&gt;="&amp;L384)+SUMIFS('Istoric_Nativ'!$H$6:$H$405,'Istoric_Nativ'!$B$6:$B$405,E384,'Istoric_Nativ'!$C$6:$C$405,F384,'Istoric_Nativ'!$F$6:$F$405,G384,'Istoric_Nativ'!$D$6:$D$405,"&lt;"&amp;J384,'Istoric_Nativ'!$P$6:$P$405,1,'Istoric_Nativ'!$D$6:$D$405,"&gt;="&amp;L384)))/M384)</x:f>
      </x:c>
      <x:c r="O384" s="11" t="str">
        <x:f>IF(M384=0,"",IF(H384="HOME",SUMIFS('Istoric_Nativ'!$H$6:$H$405,'Istoric_Nativ'!$B$6:$B$405,E384,'Istoric_Nativ'!$C$6:$C$405,F384,'Istoric_Nativ'!$E$6:$E$405,G384,'Istoric_Nativ'!$D$6:$D$405,"&lt;"&amp;J384,'Istoric_Nativ'!$P$6:$P$405,1,'Istoric_Nativ'!$D$6:$D$405,"&gt;="&amp;L384),IF(H384="AWAY",SUMIFS('Istoric_Nativ'!$G$6:$G$405,'Istoric_Nativ'!$B$6:$B$405,E384,'Istoric_Nativ'!$C$6:$C$405,F384,'Istoric_Nativ'!$F$6:$F$405,G384,'Istoric_Nativ'!$D$6:$D$405,"&lt;"&amp;J384,'Istoric_Nativ'!$P$6:$P$405,1,'Istoric_Nativ'!$D$6:$D$405,"&gt;="&amp;L384),SUMIFS('Istoric_Nativ'!$H$6:$H$405,'Istoric_Nativ'!$B$6:$B$405,E384,'Istoric_Nativ'!$C$6:$C$405,F384,'Istoric_Nativ'!$E$6:$E$405,G384,'Istoric_Nativ'!$D$6:$D$405,"&lt;"&amp;J384,'Istoric_Nativ'!$P$6:$P$405,1,'Istoric_Nativ'!$D$6:$D$405,"&gt;="&amp;L384)+SUMIFS('Istoric_Nativ'!$G$6:$G$405,'Istoric_Nativ'!$B$6:$B$405,E384,'Istoric_Nativ'!$C$6:$C$405,F384,'Istoric_Nativ'!$F$6:$F$405,G384,'Istoric_Nativ'!$D$6:$D$405,"&lt;"&amp;J384,'Istoric_Nativ'!$P$6:$P$405,1,'Istoric_Nativ'!$D$6:$D$405,"&gt;="&amp;L384)))/M384)</x:f>
      </x:c>
      <x:c r="P384" s="2" t="n">
        <x:f>'Config_v6'!$B$7</x:f>
        <x:v>10</x:v>
      </x:c>
      <x:c r="Q384" s="2" t="n">
        <x:f>IF(OR(B384="",F384=""),0,IFERROR(MATCH(E384&amp;"|"&amp;F384,SourceTable[Source_Key],0),0))</x:f>
        <x:v>0</x:v>
      </x:c>
      <x:c r="R384" s="2" t="str">
        <x:f>IF(B384="","",IF(F384="","UNUSED",IF(Q384=0,"NOT CHECKED",IF(COUNTIF(SourceTable[Source_Key],E384&amp;"|"&amp;F384)&lt;&gt;1,"SOURCE CONFLICT",IF(NOT(OR(INDEX(SourceTable[Status],MAX(1,Q384))="IMPORTED",INDEX(SourceTable[Status],MAX(1,Q384))="PARTIAL",INDEX(SourceTable[Status],MAX(1,Q384))="SOURCE CONFLICT")),"ACCESS BLOCKED",IF(OR(INDEX(SourceTable[Coverage],Q384)&lt;&gt;"FULL SEASON EXPORT",INDEX(SourceTable[URL],Q384)="",INDEX(SourceTable[SHA256],Q384)=""),"EVIDENCE INCOMPLETE",IF(AND('Input_Meci'!H37="LIVE",INDEX(SourceTable[Retrieved_UTC],Q384)&gt;'Input_Meci'!G37),"POST CUTOFF","CLOSED")))))))</x:f>
      </x:c>
      <x:c r="S384" s="2" t="n">
        <x:f>IF(OR(B384="",F384=""),0,COUNTIFS('Istoric_Nativ'!$B$6:$B$405,E384,'Istoric_Nativ'!$C$6:$C$405,F384,'Istoric_Nativ'!$E$6:$E$405,G384,'Istoric_Nativ'!$D$6:$D$405,"&lt;"&amp;J384,'Istoric_Nativ'!$O$6:$O$405,"INVALID")+COUNTIFS('Istoric_Nativ'!$B$6:$B$405,E384,'Istoric_Nativ'!$C$6:$C$405,F384,'Istoric_Nativ'!$E$6:$E$405,G384,'Istoric_Nativ'!$O$6:$O$405,"INVALID",'Istoric_Nativ'!$D$6:$D$405,"*")+COUNTIFS('Istoric_Nativ'!$B$6:$B$405,E384,'Istoric_Nativ'!$C$6:$C$405,F384,'Istoric_Nativ'!$E$6:$E$405,G384,'Istoric_Nativ'!$D$6:$D$405,"&lt;"&amp;J384,'Istoric_Nativ'!$O$6:$O$405,"SOURCE CONFLICT")+COUNTIFS('Istoric_Nativ'!$B$6:$B$405,E384,'Istoric_Nativ'!$C$6:$C$405,F384,'Istoric_Nativ'!$F$6:$F$405,G384,'Istoric_Nativ'!$D$6:$D$405,"&lt;"&amp;J384,'Istoric_Nativ'!$O$6:$O$405,"INVALID")+COUNTIFS('Istoric_Nativ'!$B$6:$B$405,E384,'Istoric_Nativ'!$C$6:$C$405,F384,'Istoric_Nativ'!$F$6:$F$405,G384,'Istoric_Nativ'!$O$6:$O$405,"INVALID",'Istoric_Nativ'!$D$6:$D$405,"*")+COUNTIFS('Istoric_Nativ'!$B$6:$B$405,E384,'Istoric_Nativ'!$C$6:$C$405,F384,'Istoric_Nativ'!$F$6:$F$405,G384,'Istoric_Nativ'!$D$6:$D$405,"&lt;"&amp;J384,'Istoric_Nativ'!$O$6:$O$405,"SOURCE CONFLICT"))</x:f>
        <x:v>0</x:v>
      </x:c>
      <x:c r="T384" s="2" t="str">
        <x:f>IF(B384="","",IF(R384&lt;&gt;"CLOSED",R384,IF(S384&gt;0,"NATIVE INPUT ISSUE",IF(M384=0,"NO HISTORY",IF(M384&lt;P384,"SMALL SAMPLE","DERIVED")))))</x:f>
      </x:c>
      <x:c r="U384" s="2" t="str">
        <x:f>IF(B384="","","NativeTable; "&amp;E384&amp;"; "&amp;F384&amp;"; "&amp;G384&amp;"; "&amp;H384&amp;"; before "&amp;TEXT(J384,"yyyy-mm-dd")&amp;IF(I384="RECENT","; from "&amp;TEXT(L384,"yyyy-mm-dd"),""))</x:f>
      </x:c>
    </x:row>
    <x:row r="385" ht="21" customHeight="1">
      <x:c r="A385" s="2" t="n">
        <x:v>32</x:v>
      </x:c>
      <x:c r="B385" s="2" t="str">
        <x:f>IF('Input_Meci'!A37="","",'Input_Meci'!A37)</x:f>
      </x:c>
      <x:c r="C385" s="2" t="str">
        <x:v>H</x:v>
      </x:c>
      <x:c r="D385" s="2" t="str">
        <x:v>PRIOR</x:v>
      </x:c>
      <x:c r="E385" s="2" t="str">
        <x:f>IF(B385="","",'Input_Meci'!B37)</x:f>
      </x:c>
      <x:c r="F385" s="2" t="str">
        <x:f>IF(B385="","",IF('Input_Meci'!K37="","",'Input_Meci'!K37))</x:f>
      </x:c>
      <x:c r="G385" s="2" t="str">
        <x:f>IF(B385="","",'Input_Meci'!D37)</x:f>
      </x:c>
      <x:c r="H385" s="2" t="str">
        <x:v>HOME</x:v>
      </x:c>
      <x:c r="I385" s="2" t="str">
        <x:v>HA</x:v>
      </x:c>
      <x:c r="J385" s="9" t="n">
        <x:f>IF(AND(B385&lt;&gt;"",ISNUMBER('Input_Meci'!G37)),INT('Input_Meci'!G37),0)</x:f>
        <x:v>0</x:v>
      </x:c>
      <x:c r="K385" s="2" t="n">
        <x:f>IF(OR(B385="",F385=""),0,IF(H385="HOME",COUNTIFS('Istoric_Nativ'!$B$6:$B$405,E385,'Istoric_Nativ'!$C$6:$C$405,F385,'Istoric_Nativ'!$E$6:$E$405,G385,'Istoric_Nativ'!$D$6:$D$405,"&lt;"&amp;J385,'Istoric_Nativ'!$P$6:$P$405,1),IF(H385="AWAY",COUNTIFS('Istoric_Nativ'!$B$6:$B$405,E385,'Istoric_Nativ'!$C$6:$C$405,F385,'Istoric_Nativ'!$F$6:$F$405,G385,'Istoric_Nativ'!$D$6:$D$405,"&lt;"&amp;J385,'Istoric_Nativ'!$P$6:$P$405,1),COUNTIFS('Istoric_Nativ'!$B$6:$B$405,E385,'Istoric_Nativ'!$C$6:$C$405,F385,'Istoric_Nativ'!$E$6:$E$405,G385,'Istoric_Nativ'!$D$6:$D$405,"&lt;"&amp;J385,'Istoric_Nativ'!$P$6:$P$405,1)+COUNTIFS('Istoric_Nativ'!$B$6:$B$405,E385,'Istoric_Nativ'!$C$6:$C$405,F385,'Istoric_Nativ'!$F$6:$F$405,G385,'Istoric_Nativ'!$D$6:$D$405,"&lt;"&amp;J385,'Istoric_Nativ'!$P$6:$P$405,1))))</x:f>
        <x:v>0</x:v>
      </x:c>
      <x:c r="L385" s="17" t="n">
        <x:f>IF(AND(B385&lt;&gt;"",I385="RECENT",K385&gt;0),LARGE(_xlfn._xlws.FILTER('Istoric_Nativ'!$D$6:$D$405,('Istoric_Nativ'!$B$6:$B$405=E385)*('Istoric_Nativ'!$C$6:$C$405=F385)*('Istoric_Nativ'!$P$6:$P$405=1)*('Istoric_Nativ'!$D$6:$D$405&lt;J385)*((('Istoric_Nativ'!$E$6:$E$405=G385)+('Istoric_Nativ'!$F$6:$F$405=G385))&gt;0)),MIN('Config_v6'!$B$54,K385)),0)</x:f>
        <x:v>0</x:v>
      </x:c>
      <x:c r="M385" s="2" t="n">
        <x:f>IF(OR(B385="",F385=""),0,IF(H385="HOME",COUNTIFS('Istoric_Nativ'!$B$6:$B$405,E385,'Istoric_Nativ'!$C$6:$C$405,F385,'Istoric_Nativ'!$E$6:$E$405,G385,'Istoric_Nativ'!$D$6:$D$405,"&lt;"&amp;J385,'Istoric_Nativ'!$P$6:$P$405,1,'Istoric_Nativ'!$D$6:$D$405,"&gt;="&amp;L385),IF(H385="AWAY",COUNTIFS('Istoric_Nativ'!$B$6:$B$405,E385,'Istoric_Nativ'!$C$6:$C$405,F385,'Istoric_Nativ'!$F$6:$F$405,G385,'Istoric_Nativ'!$D$6:$D$405,"&lt;"&amp;J385,'Istoric_Nativ'!$P$6:$P$405,1,'Istoric_Nativ'!$D$6:$D$405,"&gt;="&amp;L385),COUNTIFS('Istoric_Nativ'!$B$6:$B$405,E385,'Istoric_Nativ'!$C$6:$C$405,F385,'Istoric_Nativ'!$E$6:$E$405,G385,'Istoric_Nativ'!$D$6:$D$405,"&lt;"&amp;J385,'Istoric_Nativ'!$P$6:$P$405,1,'Istoric_Nativ'!$D$6:$D$405,"&gt;="&amp;L385)+COUNTIFS('Istoric_Nativ'!$B$6:$B$405,E385,'Istoric_Nativ'!$C$6:$C$405,F385,'Istoric_Nativ'!$F$6:$F$405,G385,'Istoric_Nativ'!$D$6:$D$405,"&lt;"&amp;J385,'Istoric_Nativ'!$P$6:$P$405,1,'Istoric_Nativ'!$D$6:$D$405,"&gt;="&amp;L385))))</x:f>
        <x:v>0</x:v>
      </x:c>
      <x:c r="N385" s="11" t="str">
        <x:f>IF(M385=0,"",IF(H385="HOME",SUMIFS('Istoric_Nativ'!$G$6:$G$405,'Istoric_Nativ'!$B$6:$B$405,E385,'Istoric_Nativ'!$C$6:$C$405,F385,'Istoric_Nativ'!$E$6:$E$405,G385,'Istoric_Nativ'!$D$6:$D$405,"&lt;"&amp;J385,'Istoric_Nativ'!$P$6:$P$405,1,'Istoric_Nativ'!$D$6:$D$405,"&gt;="&amp;L385),IF(H385="AWAY",SUMIFS('Istoric_Nativ'!$H$6:$H$405,'Istoric_Nativ'!$B$6:$B$405,E385,'Istoric_Nativ'!$C$6:$C$405,F385,'Istoric_Nativ'!$F$6:$F$405,G385,'Istoric_Nativ'!$D$6:$D$405,"&lt;"&amp;J385,'Istoric_Nativ'!$P$6:$P$405,1,'Istoric_Nativ'!$D$6:$D$405,"&gt;="&amp;L385),SUMIFS('Istoric_Nativ'!$G$6:$G$405,'Istoric_Nativ'!$B$6:$B$405,E385,'Istoric_Nativ'!$C$6:$C$405,F385,'Istoric_Nativ'!$E$6:$E$405,G385,'Istoric_Nativ'!$D$6:$D$405,"&lt;"&amp;J385,'Istoric_Nativ'!$P$6:$P$405,1,'Istoric_Nativ'!$D$6:$D$405,"&gt;="&amp;L385)+SUMIFS('Istoric_Nativ'!$H$6:$H$405,'Istoric_Nativ'!$B$6:$B$405,E385,'Istoric_Nativ'!$C$6:$C$405,F385,'Istoric_Nativ'!$F$6:$F$405,G385,'Istoric_Nativ'!$D$6:$D$405,"&lt;"&amp;J385,'Istoric_Nativ'!$P$6:$P$405,1,'Istoric_Nativ'!$D$6:$D$405,"&gt;="&amp;L385)))/M385)</x:f>
      </x:c>
      <x:c r="O385" s="11" t="str">
        <x:f>IF(M385=0,"",IF(H385="HOME",SUMIFS('Istoric_Nativ'!$H$6:$H$405,'Istoric_Nativ'!$B$6:$B$405,E385,'Istoric_Nativ'!$C$6:$C$405,F385,'Istoric_Nativ'!$E$6:$E$405,G385,'Istoric_Nativ'!$D$6:$D$405,"&lt;"&amp;J385,'Istoric_Nativ'!$P$6:$P$405,1,'Istoric_Nativ'!$D$6:$D$405,"&gt;="&amp;L385),IF(H385="AWAY",SUMIFS('Istoric_Nativ'!$G$6:$G$405,'Istoric_Nativ'!$B$6:$B$405,E385,'Istoric_Nativ'!$C$6:$C$405,F385,'Istoric_Nativ'!$F$6:$F$405,G385,'Istoric_Nativ'!$D$6:$D$405,"&lt;"&amp;J385,'Istoric_Nativ'!$P$6:$P$405,1,'Istoric_Nativ'!$D$6:$D$405,"&gt;="&amp;L385),SUMIFS('Istoric_Nativ'!$H$6:$H$405,'Istoric_Nativ'!$B$6:$B$405,E385,'Istoric_Nativ'!$C$6:$C$405,F385,'Istoric_Nativ'!$E$6:$E$405,G385,'Istoric_Nativ'!$D$6:$D$405,"&lt;"&amp;J385,'Istoric_Nativ'!$P$6:$P$405,1,'Istoric_Nativ'!$D$6:$D$405,"&gt;="&amp;L385)+SUMIFS('Istoric_Nativ'!$G$6:$G$405,'Istoric_Nativ'!$B$6:$B$405,E385,'Istoric_Nativ'!$C$6:$C$405,F385,'Istoric_Nativ'!$F$6:$F$405,G385,'Istoric_Nativ'!$D$6:$D$405,"&lt;"&amp;J385,'Istoric_Nativ'!$P$6:$P$405,1,'Istoric_Nativ'!$D$6:$D$405,"&gt;="&amp;L385)))/M385)</x:f>
      </x:c>
      <x:c r="P385" s="2" t="n">
        <x:f>'Config_v6'!$B$8</x:f>
        <x:v>5</x:v>
      </x:c>
      <x:c r="Q385" s="2" t="n">
        <x:f>IF(OR(B385="",F385=""),0,IFERROR(MATCH(E385&amp;"|"&amp;F385,SourceTable[Source_Key],0),0))</x:f>
        <x:v>0</x:v>
      </x:c>
      <x:c r="R385" s="2" t="str">
        <x:f>IF(B385="","",IF(F385="","UNUSED",IF(Q385=0,"NOT CHECKED",IF(COUNTIF(SourceTable[Source_Key],E385&amp;"|"&amp;F385)&lt;&gt;1,"SOURCE CONFLICT",IF(NOT(OR(INDEX(SourceTable[Status],MAX(1,Q385))="IMPORTED",INDEX(SourceTable[Status],MAX(1,Q385))="PARTIAL",INDEX(SourceTable[Status],MAX(1,Q385))="SOURCE CONFLICT")),"ACCESS BLOCKED",IF(OR(INDEX(SourceTable[Coverage],Q385)&lt;&gt;"FULL SEASON EXPORT",INDEX(SourceTable[URL],Q385)="",INDEX(SourceTable[SHA256],Q385)=""),"EVIDENCE INCOMPLETE",IF(AND('Input_Meci'!H37="LIVE",INDEX(SourceTable[Retrieved_UTC],Q385)&gt;'Input_Meci'!G37),"POST CUTOFF","CLOSED")))))))</x:f>
      </x:c>
      <x:c r="S385" s="2" t="n">
        <x:f>IF(OR(B385="",F385=""),0,COUNTIFS('Istoric_Nativ'!$B$6:$B$405,E385,'Istoric_Nativ'!$C$6:$C$405,F385,'Istoric_Nativ'!$E$6:$E$405,G385,'Istoric_Nativ'!$D$6:$D$405,"&lt;"&amp;J385,'Istoric_Nativ'!$O$6:$O$405,"INVALID")+COUNTIFS('Istoric_Nativ'!$B$6:$B$405,E385,'Istoric_Nativ'!$C$6:$C$405,F385,'Istoric_Nativ'!$E$6:$E$405,G385,'Istoric_Nativ'!$O$6:$O$405,"INVALID",'Istoric_Nativ'!$D$6:$D$405,"*")+COUNTIFS('Istoric_Nativ'!$B$6:$B$405,E385,'Istoric_Nativ'!$C$6:$C$405,F385,'Istoric_Nativ'!$E$6:$E$405,G385,'Istoric_Nativ'!$D$6:$D$405,"&lt;"&amp;J385,'Istoric_Nativ'!$O$6:$O$405,"SOURCE CONFLICT")+COUNTIFS('Istoric_Nativ'!$B$6:$B$405,E385,'Istoric_Nativ'!$C$6:$C$405,F385,'Istoric_Nativ'!$F$6:$F$405,G385,'Istoric_Nativ'!$D$6:$D$405,"&lt;"&amp;J385,'Istoric_Nativ'!$O$6:$O$405,"INVALID")+COUNTIFS('Istoric_Nativ'!$B$6:$B$405,E385,'Istoric_Nativ'!$C$6:$C$405,F385,'Istoric_Nativ'!$F$6:$F$405,G385,'Istoric_Nativ'!$O$6:$O$405,"INVALID",'Istoric_Nativ'!$D$6:$D$405,"*")+COUNTIFS('Istoric_Nativ'!$B$6:$B$405,E385,'Istoric_Nativ'!$C$6:$C$405,F385,'Istoric_Nativ'!$F$6:$F$405,G385,'Istoric_Nativ'!$D$6:$D$405,"&lt;"&amp;J385,'Istoric_Nativ'!$O$6:$O$405,"SOURCE CONFLICT"))</x:f>
        <x:v>0</x:v>
      </x:c>
      <x:c r="T385" s="2" t="str">
        <x:f>IF(B385="","",IF(R385&lt;&gt;"CLOSED",R385,IF(S385&gt;0,"NATIVE INPUT ISSUE",IF(M385=0,"NO HISTORY",IF(M385&lt;P385,"SMALL SAMPLE","DERIVED")))))</x:f>
      </x:c>
      <x:c r="U385" s="2" t="str">
        <x:f>IF(B385="","","NativeTable; "&amp;E385&amp;"; "&amp;F385&amp;"; "&amp;G385&amp;"; "&amp;H385&amp;"; before "&amp;TEXT(J385,"yyyy-mm-dd")&amp;IF(I385="RECENT","; from "&amp;TEXT(L385,"yyyy-mm-dd"),""))</x:f>
      </x:c>
    </x:row>
    <x:row r="386" ht="21" customHeight="1">
      <x:c r="A386" s="2" t="n">
        <x:v>32</x:v>
      </x:c>
      <x:c r="B386" s="2" t="str">
        <x:f>IF('Input_Meci'!A37="","",'Input_Meci'!A37)</x:f>
      </x:c>
      <x:c r="C386" s="2" t="str">
        <x:v>H</x:v>
      </x:c>
      <x:c r="D386" s="2" t="str">
        <x:v>PRIOR</x:v>
      </x:c>
      <x:c r="E386" s="2" t="str">
        <x:f>IF(B386="","",'Input_Meci'!B37)</x:f>
      </x:c>
      <x:c r="F386" s="2" t="str">
        <x:f>IF(B386="","",IF('Input_Meci'!K37="","",'Input_Meci'!K37))</x:f>
      </x:c>
      <x:c r="G386" s="2" t="str">
        <x:f>IF(B386="","",'Input_Meci'!D37)</x:f>
      </x:c>
      <x:c r="H386" s="2" t="str">
        <x:v>ANY</x:v>
      </x:c>
      <x:c r="I386" s="2" t="str">
        <x:v>RECENT</x:v>
      </x:c>
      <x:c r="J386" s="9" t="n">
        <x:f>IF(AND(B386&lt;&gt;"",ISNUMBER('Input_Meci'!G37)),INT('Input_Meci'!G37),0)</x:f>
        <x:v>0</x:v>
      </x:c>
      <x:c r="K386" s="2" t="n">
        <x:f>IF(OR(B386="",F386=""),0,IF(H386="HOME",COUNTIFS('Istoric_Nativ'!$B$6:$B$405,E386,'Istoric_Nativ'!$C$6:$C$405,F386,'Istoric_Nativ'!$E$6:$E$405,G386,'Istoric_Nativ'!$D$6:$D$405,"&lt;"&amp;J386,'Istoric_Nativ'!$P$6:$P$405,1),IF(H386="AWAY",COUNTIFS('Istoric_Nativ'!$B$6:$B$405,E386,'Istoric_Nativ'!$C$6:$C$405,F386,'Istoric_Nativ'!$F$6:$F$405,G386,'Istoric_Nativ'!$D$6:$D$405,"&lt;"&amp;J386,'Istoric_Nativ'!$P$6:$P$405,1),COUNTIFS('Istoric_Nativ'!$B$6:$B$405,E386,'Istoric_Nativ'!$C$6:$C$405,F386,'Istoric_Nativ'!$E$6:$E$405,G386,'Istoric_Nativ'!$D$6:$D$405,"&lt;"&amp;J386,'Istoric_Nativ'!$P$6:$P$405,1)+COUNTIFS('Istoric_Nativ'!$B$6:$B$405,E386,'Istoric_Nativ'!$C$6:$C$405,F386,'Istoric_Nativ'!$F$6:$F$405,G386,'Istoric_Nativ'!$D$6:$D$405,"&lt;"&amp;J386,'Istoric_Nativ'!$P$6:$P$405,1))))</x:f>
        <x:v>0</x:v>
      </x:c>
      <x:c r="L386" s="17" t="n">
        <x:f>IF(AND(B386&lt;&gt;"",I386="RECENT",K386&gt;0),LARGE(_xlfn._xlws.FILTER('Istoric_Nativ'!$D$6:$D$405,('Istoric_Nativ'!$B$6:$B$405=E386)*('Istoric_Nativ'!$C$6:$C$405=F386)*('Istoric_Nativ'!$P$6:$P$405=1)*('Istoric_Nativ'!$D$6:$D$405&lt;J386)*((('Istoric_Nativ'!$E$6:$E$405=G386)+('Istoric_Nativ'!$F$6:$F$405=G386))&gt;0)),MIN('Config_v6'!$B$54,K386)),0)</x:f>
        <x:v>0</x:v>
      </x:c>
      <x:c r="M386" s="2" t="n">
        <x:f>IF(OR(B386="",F386=""),0,IF(H386="HOME",COUNTIFS('Istoric_Nativ'!$B$6:$B$405,E386,'Istoric_Nativ'!$C$6:$C$405,F386,'Istoric_Nativ'!$E$6:$E$405,G386,'Istoric_Nativ'!$D$6:$D$405,"&lt;"&amp;J386,'Istoric_Nativ'!$P$6:$P$405,1,'Istoric_Nativ'!$D$6:$D$405,"&gt;="&amp;L386),IF(H386="AWAY",COUNTIFS('Istoric_Nativ'!$B$6:$B$405,E386,'Istoric_Nativ'!$C$6:$C$405,F386,'Istoric_Nativ'!$F$6:$F$405,G386,'Istoric_Nativ'!$D$6:$D$405,"&lt;"&amp;J386,'Istoric_Nativ'!$P$6:$P$405,1,'Istoric_Nativ'!$D$6:$D$405,"&gt;="&amp;L386),COUNTIFS('Istoric_Nativ'!$B$6:$B$405,E386,'Istoric_Nativ'!$C$6:$C$405,F386,'Istoric_Nativ'!$E$6:$E$405,G386,'Istoric_Nativ'!$D$6:$D$405,"&lt;"&amp;J386,'Istoric_Nativ'!$P$6:$P$405,1,'Istoric_Nativ'!$D$6:$D$405,"&gt;="&amp;L386)+COUNTIFS('Istoric_Nativ'!$B$6:$B$405,E386,'Istoric_Nativ'!$C$6:$C$405,F386,'Istoric_Nativ'!$F$6:$F$405,G386,'Istoric_Nativ'!$D$6:$D$405,"&lt;"&amp;J386,'Istoric_Nativ'!$P$6:$P$405,1,'Istoric_Nativ'!$D$6:$D$405,"&gt;="&amp;L386))))</x:f>
        <x:v>0</x:v>
      </x:c>
      <x:c r="N386" s="11" t="str">
        <x:f>IF(M386=0,"",IF(H386="HOME",SUMIFS('Istoric_Nativ'!$G$6:$G$405,'Istoric_Nativ'!$B$6:$B$405,E386,'Istoric_Nativ'!$C$6:$C$405,F386,'Istoric_Nativ'!$E$6:$E$405,G386,'Istoric_Nativ'!$D$6:$D$405,"&lt;"&amp;J386,'Istoric_Nativ'!$P$6:$P$405,1,'Istoric_Nativ'!$D$6:$D$405,"&gt;="&amp;L386),IF(H386="AWAY",SUMIFS('Istoric_Nativ'!$H$6:$H$405,'Istoric_Nativ'!$B$6:$B$405,E386,'Istoric_Nativ'!$C$6:$C$405,F386,'Istoric_Nativ'!$F$6:$F$405,G386,'Istoric_Nativ'!$D$6:$D$405,"&lt;"&amp;J386,'Istoric_Nativ'!$P$6:$P$405,1,'Istoric_Nativ'!$D$6:$D$405,"&gt;="&amp;L386),SUMIFS('Istoric_Nativ'!$G$6:$G$405,'Istoric_Nativ'!$B$6:$B$405,E386,'Istoric_Nativ'!$C$6:$C$405,F386,'Istoric_Nativ'!$E$6:$E$405,G386,'Istoric_Nativ'!$D$6:$D$405,"&lt;"&amp;J386,'Istoric_Nativ'!$P$6:$P$405,1,'Istoric_Nativ'!$D$6:$D$405,"&gt;="&amp;L386)+SUMIFS('Istoric_Nativ'!$H$6:$H$405,'Istoric_Nativ'!$B$6:$B$405,E386,'Istoric_Nativ'!$C$6:$C$405,F386,'Istoric_Nativ'!$F$6:$F$405,G386,'Istoric_Nativ'!$D$6:$D$405,"&lt;"&amp;J386,'Istoric_Nativ'!$P$6:$P$405,1,'Istoric_Nativ'!$D$6:$D$405,"&gt;="&amp;L386)))/M386)</x:f>
      </x:c>
      <x:c r="O386" s="11" t="str">
        <x:f>IF(M386=0,"",IF(H386="HOME",SUMIFS('Istoric_Nativ'!$H$6:$H$405,'Istoric_Nativ'!$B$6:$B$405,E386,'Istoric_Nativ'!$C$6:$C$405,F386,'Istoric_Nativ'!$E$6:$E$405,G386,'Istoric_Nativ'!$D$6:$D$405,"&lt;"&amp;J386,'Istoric_Nativ'!$P$6:$P$405,1,'Istoric_Nativ'!$D$6:$D$405,"&gt;="&amp;L386),IF(H386="AWAY",SUMIFS('Istoric_Nativ'!$G$6:$G$405,'Istoric_Nativ'!$B$6:$B$405,E386,'Istoric_Nativ'!$C$6:$C$405,F386,'Istoric_Nativ'!$F$6:$F$405,G386,'Istoric_Nativ'!$D$6:$D$405,"&lt;"&amp;J386,'Istoric_Nativ'!$P$6:$P$405,1,'Istoric_Nativ'!$D$6:$D$405,"&gt;="&amp;L386),SUMIFS('Istoric_Nativ'!$H$6:$H$405,'Istoric_Nativ'!$B$6:$B$405,E386,'Istoric_Nativ'!$C$6:$C$405,F386,'Istoric_Nativ'!$E$6:$E$405,G386,'Istoric_Nativ'!$D$6:$D$405,"&lt;"&amp;J386,'Istoric_Nativ'!$P$6:$P$405,1,'Istoric_Nativ'!$D$6:$D$405,"&gt;="&amp;L386)+SUMIFS('Istoric_Nativ'!$G$6:$G$405,'Istoric_Nativ'!$B$6:$B$405,E386,'Istoric_Nativ'!$C$6:$C$405,F386,'Istoric_Nativ'!$F$6:$F$405,G386,'Istoric_Nativ'!$D$6:$D$405,"&lt;"&amp;J386,'Istoric_Nativ'!$P$6:$P$405,1,'Istoric_Nativ'!$D$6:$D$405,"&gt;="&amp;L386)))/M386)</x:f>
      </x:c>
      <x:c r="P386" s="2" t="n">
        <x:f>'Config_v6'!$B$9</x:f>
        <x:v>3</x:v>
      </x:c>
      <x:c r="Q386" s="2" t="n">
        <x:f>IF(OR(B386="",F386=""),0,IFERROR(MATCH(E386&amp;"|"&amp;F386,SourceTable[Source_Key],0),0))</x:f>
        <x:v>0</x:v>
      </x:c>
      <x:c r="R386" s="2" t="str">
        <x:f>IF(B386="","",IF(F386="","UNUSED",IF(Q386=0,"NOT CHECKED",IF(COUNTIF(SourceTable[Source_Key],E386&amp;"|"&amp;F386)&lt;&gt;1,"SOURCE CONFLICT",IF(NOT(OR(INDEX(SourceTable[Status],MAX(1,Q386))="IMPORTED",INDEX(SourceTable[Status],MAX(1,Q386))="PARTIAL",INDEX(SourceTable[Status],MAX(1,Q386))="SOURCE CONFLICT")),"ACCESS BLOCKED",IF(OR(INDEX(SourceTable[Coverage],Q386)&lt;&gt;"FULL SEASON EXPORT",INDEX(SourceTable[URL],Q386)="",INDEX(SourceTable[SHA256],Q386)=""),"EVIDENCE INCOMPLETE",IF(AND('Input_Meci'!H37="LIVE",INDEX(SourceTable[Retrieved_UTC],Q386)&gt;'Input_Meci'!G37),"POST CUTOFF","CLOSED")))))))</x:f>
      </x:c>
      <x:c r="S386" s="2" t="n">
        <x:f>IF(OR(B386="",F386=""),0,COUNTIFS('Istoric_Nativ'!$B$6:$B$405,E386,'Istoric_Nativ'!$C$6:$C$405,F386,'Istoric_Nativ'!$E$6:$E$405,G386,'Istoric_Nativ'!$D$6:$D$405,"&lt;"&amp;J386,'Istoric_Nativ'!$O$6:$O$405,"INVALID")+COUNTIFS('Istoric_Nativ'!$B$6:$B$405,E386,'Istoric_Nativ'!$C$6:$C$405,F386,'Istoric_Nativ'!$E$6:$E$405,G386,'Istoric_Nativ'!$O$6:$O$405,"INVALID",'Istoric_Nativ'!$D$6:$D$405,"*")+COUNTIFS('Istoric_Nativ'!$B$6:$B$405,E386,'Istoric_Nativ'!$C$6:$C$405,F386,'Istoric_Nativ'!$E$6:$E$405,G386,'Istoric_Nativ'!$D$6:$D$405,"&lt;"&amp;J386,'Istoric_Nativ'!$O$6:$O$405,"SOURCE CONFLICT")+COUNTIFS('Istoric_Nativ'!$B$6:$B$405,E386,'Istoric_Nativ'!$C$6:$C$405,F386,'Istoric_Nativ'!$F$6:$F$405,G386,'Istoric_Nativ'!$D$6:$D$405,"&lt;"&amp;J386,'Istoric_Nativ'!$O$6:$O$405,"INVALID")+COUNTIFS('Istoric_Nativ'!$B$6:$B$405,E386,'Istoric_Nativ'!$C$6:$C$405,F386,'Istoric_Nativ'!$F$6:$F$405,G386,'Istoric_Nativ'!$O$6:$O$405,"INVALID",'Istoric_Nativ'!$D$6:$D$405,"*")+COUNTIFS('Istoric_Nativ'!$B$6:$B$405,E386,'Istoric_Nativ'!$C$6:$C$405,F386,'Istoric_Nativ'!$F$6:$F$405,G386,'Istoric_Nativ'!$D$6:$D$405,"&lt;"&amp;J386,'Istoric_Nativ'!$O$6:$O$405,"SOURCE CONFLICT"))</x:f>
        <x:v>0</x:v>
      </x:c>
      <x:c r="T386" s="2" t="str">
        <x:f>IF(B386="","",IF(R386&lt;&gt;"CLOSED",R386,IF(S386&gt;0,"NATIVE INPUT ISSUE",IF(M386=0,"NO HISTORY",IF(M386&lt;P386,"SMALL SAMPLE","DERIVED")))))</x:f>
      </x:c>
      <x:c r="U386" s="2" t="str">
        <x:f>IF(B386="","","NativeTable; "&amp;E386&amp;"; "&amp;F386&amp;"; "&amp;G386&amp;"; "&amp;H386&amp;"; before "&amp;TEXT(J386,"yyyy-mm-dd")&amp;IF(I386="RECENT","; from "&amp;TEXT(L386,"yyyy-mm-dd"),""))</x:f>
      </x:c>
    </x:row>
    <x:row r="387" ht="21" customHeight="1">
      <x:c r="A387" s="2" t="n">
        <x:v>32</x:v>
      </x:c>
      <x:c r="B387" s="2" t="str">
        <x:f>IF('Input_Meci'!A37="","",'Input_Meci'!A37)</x:f>
      </x:c>
      <x:c r="C387" s="2" t="str">
        <x:v>A</x:v>
      </x:c>
      <x:c r="D387" s="2" t="str">
        <x:v>PRIOR</x:v>
      </x:c>
      <x:c r="E387" s="2" t="str">
        <x:f>IF(B387="","",'Input_Meci'!B37)</x:f>
      </x:c>
      <x:c r="F387" s="2" t="str">
        <x:f>IF(B387="","",IF('Input_Meci'!K37="","",'Input_Meci'!K37))</x:f>
      </x:c>
      <x:c r="G387" s="2" t="str">
        <x:f>IF(B387="","",'Input_Meci'!E37)</x:f>
      </x:c>
      <x:c r="H387" s="2" t="str">
        <x:v>ANY</x:v>
      </x:c>
      <x:c r="I387" s="2" t="str">
        <x:v>SEASON</x:v>
      </x:c>
      <x:c r="J387" s="9" t="n">
        <x:f>IF(AND(B387&lt;&gt;"",ISNUMBER('Input_Meci'!G37)),INT('Input_Meci'!G37),0)</x:f>
        <x:v>0</x:v>
      </x:c>
      <x:c r="K387" s="2" t="n">
        <x:f>IF(OR(B387="",F387=""),0,IF(H387="HOME",COUNTIFS('Istoric_Nativ'!$B$6:$B$405,E387,'Istoric_Nativ'!$C$6:$C$405,F387,'Istoric_Nativ'!$E$6:$E$405,G387,'Istoric_Nativ'!$D$6:$D$405,"&lt;"&amp;J387,'Istoric_Nativ'!$P$6:$P$405,1),IF(H387="AWAY",COUNTIFS('Istoric_Nativ'!$B$6:$B$405,E387,'Istoric_Nativ'!$C$6:$C$405,F387,'Istoric_Nativ'!$F$6:$F$405,G387,'Istoric_Nativ'!$D$6:$D$405,"&lt;"&amp;J387,'Istoric_Nativ'!$P$6:$P$405,1),COUNTIFS('Istoric_Nativ'!$B$6:$B$405,E387,'Istoric_Nativ'!$C$6:$C$405,F387,'Istoric_Nativ'!$E$6:$E$405,G387,'Istoric_Nativ'!$D$6:$D$405,"&lt;"&amp;J387,'Istoric_Nativ'!$P$6:$P$405,1)+COUNTIFS('Istoric_Nativ'!$B$6:$B$405,E387,'Istoric_Nativ'!$C$6:$C$405,F387,'Istoric_Nativ'!$F$6:$F$405,G387,'Istoric_Nativ'!$D$6:$D$405,"&lt;"&amp;J387,'Istoric_Nativ'!$P$6:$P$405,1))))</x:f>
        <x:v>0</x:v>
      </x:c>
      <x:c r="L387" s="17" t="n">
        <x:f>IF(AND(B387&lt;&gt;"",I387="RECENT",K387&gt;0),LARGE(_xlfn._xlws.FILTER('Istoric_Nativ'!$D$6:$D$405,('Istoric_Nativ'!$B$6:$B$405=E387)*('Istoric_Nativ'!$C$6:$C$405=F387)*('Istoric_Nativ'!$P$6:$P$405=1)*('Istoric_Nativ'!$D$6:$D$405&lt;J387)*((('Istoric_Nativ'!$E$6:$E$405=G387)+('Istoric_Nativ'!$F$6:$F$405=G387))&gt;0)),MIN('Config_v6'!$B$54,K387)),0)</x:f>
        <x:v>0</x:v>
      </x:c>
      <x:c r="M387" s="2" t="n">
        <x:f>IF(OR(B387="",F387=""),0,IF(H387="HOME",COUNTIFS('Istoric_Nativ'!$B$6:$B$405,E387,'Istoric_Nativ'!$C$6:$C$405,F387,'Istoric_Nativ'!$E$6:$E$405,G387,'Istoric_Nativ'!$D$6:$D$405,"&lt;"&amp;J387,'Istoric_Nativ'!$P$6:$P$405,1,'Istoric_Nativ'!$D$6:$D$405,"&gt;="&amp;L387),IF(H387="AWAY",COUNTIFS('Istoric_Nativ'!$B$6:$B$405,E387,'Istoric_Nativ'!$C$6:$C$405,F387,'Istoric_Nativ'!$F$6:$F$405,G387,'Istoric_Nativ'!$D$6:$D$405,"&lt;"&amp;J387,'Istoric_Nativ'!$P$6:$P$405,1,'Istoric_Nativ'!$D$6:$D$405,"&gt;="&amp;L387),COUNTIFS('Istoric_Nativ'!$B$6:$B$405,E387,'Istoric_Nativ'!$C$6:$C$405,F387,'Istoric_Nativ'!$E$6:$E$405,G387,'Istoric_Nativ'!$D$6:$D$405,"&lt;"&amp;J387,'Istoric_Nativ'!$P$6:$P$405,1,'Istoric_Nativ'!$D$6:$D$405,"&gt;="&amp;L387)+COUNTIFS('Istoric_Nativ'!$B$6:$B$405,E387,'Istoric_Nativ'!$C$6:$C$405,F387,'Istoric_Nativ'!$F$6:$F$405,G387,'Istoric_Nativ'!$D$6:$D$405,"&lt;"&amp;J387,'Istoric_Nativ'!$P$6:$P$405,1,'Istoric_Nativ'!$D$6:$D$405,"&gt;="&amp;L387))))</x:f>
        <x:v>0</x:v>
      </x:c>
      <x:c r="N387" s="11" t="str">
        <x:f>IF(M387=0,"",IF(H387="HOME",SUMIFS('Istoric_Nativ'!$G$6:$G$405,'Istoric_Nativ'!$B$6:$B$405,E387,'Istoric_Nativ'!$C$6:$C$405,F387,'Istoric_Nativ'!$E$6:$E$405,G387,'Istoric_Nativ'!$D$6:$D$405,"&lt;"&amp;J387,'Istoric_Nativ'!$P$6:$P$405,1,'Istoric_Nativ'!$D$6:$D$405,"&gt;="&amp;L387),IF(H387="AWAY",SUMIFS('Istoric_Nativ'!$H$6:$H$405,'Istoric_Nativ'!$B$6:$B$405,E387,'Istoric_Nativ'!$C$6:$C$405,F387,'Istoric_Nativ'!$F$6:$F$405,G387,'Istoric_Nativ'!$D$6:$D$405,"&lt;"&amp;J387,'Istoric_Nativ'!$P$6:$P$405,1,'Istoric_Nativ'!$D$6:$D$405,"&gt;="&amp;L387),SUMIFS('Istoric_Nativ'!$G$6:$G$405,'Istoric_Nativ'!$B$6:$B$405,E387,'Istoric_Nativ'!$C$6:$C$405,F387,'Istoric_Nativ'!$E$6:$E$405,G387,'Istoric_Nativ'!$D$6:$D$405,"&lt;"&amp;J387,'Istoric_Nativ'!$P$6:$P$405,1,'Istoric_Nativ'!$D$6:$D$405,"&gt;="&amp;L387)+SUMIFS('Istoric_Nativ'!$H$6:$H$405,'Istoric_Nativ'!$B$6:$B$405,E387,'Istoric_Nativ'!$C$6:$C$405,F387,'Istoric_Nativ'!$F$6:$F$405,G387,'Istoric_Nativ'!$D$6:$D$405,"&lt;"&amp;J387,'Istoric_Nativ'!$P$6:$P$405,1,'Istoric_Nativ'!$D$6:$D$405,"&gt;="&amp;L387)))/M387)</x:f>
      </x:c>
      <x:c r="O387" s="11" t="str">
        <x:f>IF(M387=0,"",IF(H387="HOME",SUMIFS('Istoric_Nativ'!$H$6:$H$405,'Istoric_Nativ'!$B$6:$B$405,E387,'Istoric_Nativ'!$C$6:$C$405,F387,'Istoric_Nativ'!$E$6:$E$405,G387,'Istoric_Nativ'!$D$6:$D$405,"&lt;"&amp;J387,'Istoric_Nativ'!$P$6:$P$405,1,'Istoric_Nativ'!$D$6:$D$405,"&gt;="&amp;L387),IF(H387="AWAY",SUMIFS('Istoric_Nativ'!$G$6:$G$405,'Istoric_Nativ'!$B$6:$B$405,E387,'Istoric_Nativ'!$C$6:$C$405,F387,'Istoric_Nativ'!$F$6:$F$405,G387,'Istoric_Nativ'!$D$6:$D$405,"&lt;"&amp;J387,'Istoric_Nativ'!$P$6:$P$405,1,'Istoric_Nativ'!$D$6:$D$405,"&gt;="&amp;L387),SUMIFS('Istoric_Nativ'!$H$6:$H$405,'Istoric_Nativ'!$B$6:$B$405,E387,'Istoric_Nativ'!$C$6:$C$405,F387,'Istoric_Nativ'!$E$6:$E$405,G387,'Istoric_Nativ'!$D$6:$D$405,"&lt;"&amp;J387,'Istoric_Nativ'!$P$6:$P$405,1,'Istoric_Nativ'!$D$6:$D$405,"&gt;="&amp;L387)+SUMIFS('Istoric_Nativ'!$G$6:$G$405,'Istoric_Nativ'!$B$6:$B$405,E387,'Istoric_Nativ'!$C$6:$C$405,F387,'Istoric_Nativ'!$F$6:$F$405,G387,'Istoric_Nativ'!$D$6:$D$405,"&lt;"&amp;J387,'Istoric_Nativ'!$P$6:$P$405,1,'Istoric_Nativ'!$D$6:$D$405,"&gt;="&amp;L387)))/M387)</x:f>
      </x:c>
      <x:c r="P387" s="2" t="n">
        <x:f>'Config_v6'!$B$7</x:f>
        <x:v>10</x:v>
      </x:c>
      <x:c r="Q387" s="2" t="n">
        <x:f>IF(OR(B387="",F387=""),0,IFERROR(MATCH(E387&amp;"|"&amp;F387,SourceTable[Source_Key],0),0))</x:f>
        <x:v>0</x:v>
      </x:c>
      <x:c r="R387" s="2" t="str">
        <x:f>IF(B387="","",IF(F387="","UNUSED",IF(Q387=0,"NOT CHECKED",IF(COUNTIF(SourceTable[Source_Key],E387&amp;"|"&amp;F387)&lt;&gt;1,"SOURCE CONFLICT",IF(NOT(OR(INDEX(SourceTable[Status],MAX(1,Q387))="IMPORTED",INDEX(SourceTable[Status],MAX(1,Q387))="PARTIAL",INDEX(SourceTable[Status],MAX(1,Q387))="SOURCE CONFLICT")),"ACCESS BLOCKED",IF(OR(INDEX(SourceTable[Coverage],Q387)&lt;&gt;"FULL SEASON EXPORT",INDEX(SourceTable[URL],Q387)="",INDEX(SourceTable[SHA256],Q387)=""),"EVIDENCE INCOMPLETE",IF(AND('Input_Meci'!H37="LIVE",INDEX(SourceTable[Retrieved_UTC],Q387)&gt;'Input_Meci'!G37),"POST CUTOFF","CLOSED")))))))</x:f>
      </x:c>
      <x:c r="S387" s="2" t="n">
        <x:f>IF(OR(B387="",F387=""),0,COUNTIFS('Istoric_Nativ'!$B$6:$B$405,E387,'Istoric_Nativ'!$C$6:$C$405,F387,'Istoric_Nativ'!$E$6:$E$405,G387,'Istoric_Nativ'!$D$6:$D$405,"&lt;"&amp;J387,'Istoric_Nativ'!$O$6:$O$405,"INVALID")+COUNTIFS('Istoric_Nativ'!$B$6:$B$405,E387,'Istoric_Nativ'!$C$6:$C$405,F387,'Istoric_Nativ'!$E$6:$E$405,G387,'Istoric_Nativ'!$O$6:$O$405,"INVALID",'Istoric_Nativ'!$D$6:$D$405,"*")+COUNTIFS('Istoric_Nativ'!$B$6:$B$405,E387,'Istoric_Nativ'!$C$6:$C$405,F387,'Istoric_Nativ'!$E$6:$E$405,G387,'Istoric_Nativ'!$D$6:$D$405,"&lt;"&amp;J387,'Istoric_Nativ'!$O$6:$O$405,"SOURCE CONFLICT")+COUNTIFS('Istoric_Nativ'!$B$6:$B$405,E387,'Istoric_Nativ'!$C$6:$C$405,F387,'Istoric_Nativ'!$F$6:$F$405,G387,'Istoric_Nativ'!$D$6:$D$405,"&lt;"&amp;J387,'Istoric_Nativ'!$O$6:$O$405,"INVALID")+COUNTIFS('Istoric_Nativ'!$B$6:$B$405,E387,'Istoric_Nativ'!$C$6:$C$405,F387,'Istoric_Nativ'!$F$6:$F$405,G387,'Istoric_Nativ'!$O$6:$O$405,"INVALID",'Istoric_Nativ'!$D$6:$D$405,"*")+COUNTIFS('Istoric_Nativ'!$B$6:$B$405,E387,'Istoric_Nativ'!$C$6:$C$405,F387,'Istoric_Nativ'!$F$6:$F$405,G387,'Istoric_Nativ'!$D$6:$D$405,"&lt;"&amp;J387,'Istoric_Nativ'!$O$6:$O$405,"SOURCE CONFLICT"))</x:f>
        <x:v>0</x:v>
      </x:c>
      <x:c r="T387" s="2" t="str">
        <x:f>IF(B387="","",IF(R387&lt;&gt;"CLOSED",R387,IF(S387&gt;0,"NATIVE INPUT ISSUE",IF(M387=0,"NO HISTORY",IF(M387&lt;P387,"SMALL SAMPLE","DERIVED")))))</x:f>
      </x:c>
      <x:c r="U387" s="2" t="str">
        <x:f>IF(B387="","","NativeTable; "&amp;E387&amp;"; "&amp;F387&amp;"; "&amp;G387&amp;"; "&amp;H387&amp;"; before "&amp;TEXT(J387,"yyyy-mm-dd")&amp;IF(I387="RECENT","; from "&amp;TEXT(L387,"yyyy-mm-dd"),""))</x:f>
      </x:c>
    </x:row>
    <x:row r="388" ht="21" customHeight="1">
      <x:c r="A388" s="2" t="n">
        <x:v>32</x:v>
      </x:c>
      <x:c r="B388" s="2" t="str">
        <x:f>IF('Input_Meci'!A37="","",'Input_Meci'!A37)</x:f>
      </x:c>
      <x:c r="C388" s="2" t="str">
        <x:v>A</x:v>
      </x:c>
      <x:c r="D388" s="2" t="str">
        <x:v>PRIOR</x:v>
      </x:c>
      <x:c r="E388" s="2" t="str">
        <x:f>IF(B388="","",'Input_Meci'!B37)</x:f>
      </x:c>
      <x:c r="F388" s="2" t="str">
        <x:f>IF(B388="","",IF('Input_Meci'!K37="","",'Input_Meci'!K37))</x:f>
      </x:c>
      <x:c r="G388" s="2" t="str">
        <x:f>IF(B388="","",'Input_Meci'!E37)</x:f>
      </x:c>
      <x:c r="H388" s="2" t="str">
        <x:v>AWAY</x:v>
      </x:c>
      <x:c r="I388" s="2" t="str">
        <x:v>HA</x:v>
      </x:c>
      <x:c r="J388" s="9" t="n">
        <x:f>IF(AND(B388&lt;&gt;"",ISNUMBER('Input_Meci'!G37)),INT('Input_Meci'!G37),0)</x:f>
        <x:v>0</x:v>
      </x:c>
      <x:c r="K388" s="2" t="n">
        <x:f>IF(OR(B388="",F388=""),0,IF(H388="HOME",COUNTIFS('Istoric_Nativ'!$B$6:$B$405,E388,'Istoric_Nativ'!$C$6:$C$405,F388,'Istoric_Nativ'!$E$6:$E$405,G388,'Istoric_Nativ'!$D$6:$D$405,"&lt;"&amp;J388,'Istoric_Nativ'!$P$6:$P$405,1),IF(H388="AWAY",COUNTIFS('Istoric_Nativ'!$B$6:$B$405,E388,'Istoric_Nativ'!$C$6:$C$405,F388,'Istoric_Nativ'!$F$6:$F$405,G388,'Istoric_Nativ'!$D$6:$D$405,"&lt;"&amp;J388,'Istoric_Nativ'!$P$6:$P$405,1),COUNTIFS('Istoric_Nativ'!$B$6:$B$405,E388,'Istoric_Nativ'!$C$6:$C$405,F388,'Istoric_Nativ'!$E$6:$E$405,G388,'Istoric_Nativ'!$D$6:$D$405,"&lt;"&amp;J388,'Istoric_Nativ'!$P$6:$P$405,1)+COUNTIFS('Istoric_Nativ'!$B$6:$B$405,E388,'Istoric_Nativ'!$C$6:$C$405,F388,'Istoric_Nativ'!$F$6:$F$405,G388,'Istoric_Nativ'!$D$6:$D$405,"&lt;"&amp;J388,'Istoric_Nativ'!$P$6:$P$405,1))))</x:f>
        <x:v>0</x:v>
      </x:c>
      <x:c r="L388" s="17" t="n">
        <x:f>IF(AND(B388&lt;&gt;"",I388="RECENT",K388&gt;0),LARGE(_xlfn._xlws.FILTER('Istoric_Nativ'!$D$6:$D$405,('Istoric_Nativ'!$B$6:$B$405=E388)*('Istoric_Nativ'!$C$6:$C$405=F388)*('Istoric_Nativ'!$P$6:$P$405=1)*('Istoric_Nativ'!$D$6:$D$405&lt;J388)*((('Istoric_Nativ'!$E$6:$E$405=G388)+('Istoric_Nativ'!$F$6:$F$405=G388))&gt;0)),MIN('Config_v6'!$B$54,K388)),0)</x:f>
        <x:v>0</x:v>
      </x:c>
      <x:c r="M388" s="2" t="n">
        <x:f>IF(OR(B388="",F388=""),0,IF(H388="HOME",COUNTIFS('Istoric_Nativ'!$B$6:$B$405,E388,'Istoric_Nativ'!$C$6:$C$405,F388,'Istoric_Nativ'!$E$6:$E$405,G388,'Istoric_Nativ'!$D$6:$D$405,"&lt;"&amp;J388,'Istoric_Nativ'!$P$6:$P$405,1,'Istoric_Nativ'!$D$6:$D$405,"&gt;="&amp;L388),IF(H388="AWAY",COUNTIFS('Istoric_Nativ'!$B$6:$B$405,E388,'Istoric_Nativ'!$C$6:$C$405,F388,'Istoric_Nativ'!$F$6:$F$405,G388,'Istoric_Nativ'!$D$6:$D$405,"&lt;"&amp;J388,'Istoric_Nativ'!$P$6:$P$405,1,'Istoric_Nativ'!$D$6:$D$405,"&gt;="&amp;L388),COUNTIFS('Istoric_Nativ'!$B$6:$B$405,E388,'Istoric_Nativ'!$C$6:$C$405,F388,'Istoric_Nativ'!$E$6:$E$405,G388,'Istoric_Nativ'!$D$6:$D$405,"&lt;"&amp;J388,'Istoric_Nativ'!$P$6:$P$405,1,'Istoric_Nativ'!$D$6:$D$405,"&gt;="&amp;L388)+COUNTIFS('Istoric_Nativ'!$B$6:$B$405,E388,'Istoric_Nativ'!$C$6:$C$405,F388,'Istoric_Nativ'!$F$6:$F$405,G388,'Istoric_Nativ'!$D$6:$D$405,"&lt;"&amp;J388,'Istoric_Nativ'!$P$6:$P$405,1,'Istoric_Nativ'!$D$6:$D$405,"&gt;="&amp;L388))))</x:f>
        <x:v>0</x:v>
      </x:c>
      <x:c r="N388" s="11" t="str">
        <x:f>IF(M388=0,"",IF(H388="HOME",SUMIFS('Istoric_Nativ'!$G$6:$G$405,'Istoric_Nativ'!$B$6:$B$405,E388,'Istoric_Nativ'!$C$6:$C$405,F388,'Istoric_Nativ'!$E$6:$E$405,G388,'Istoric_Nativ'!$D$6:$D$405,"&lt;"&amp;J388,'Istoric_Nativ'!$P$6:$P$405,1,'Istoric_Nativ'!$D$6:$D$405,"&gt;="&amp;L388),IF(H388="AWAY",SUMIFS('Istoric_Nativ'!$H$6:$H$405,'Istoric_Nativ'!$B$6:$B$405,E388,'Istoric_Nativ'!$C$6:$C$405,F388,'Istoric_Nativ'!$F$6:$F$405,G388,'Istoric_Nativ'!$D$6:$D$405,"&lt;"&amp;J388,'Istoric_Nativ'!$P$6:$P$405,1,'Istoric_Nativ'!$D$6:$D$405,"&gt;="&amp;L388),SUMIFS('Istoric_Nativ'!$G$6:$G$405,'Istoric_Nativ'!$B$6:$B$405,E388,'Istoric_Nativ'!$C$6:$C$405,F388,'Istoric_Nativ'!$E$6:$E$405,G388,'Istoric_Nativ'!$D$6:$D$405,"&lt;"&amp;J388,'Istoric_Nativ'!$P$6:$P$405,1,'Istoric_Nativ'!$D$6:$D$405,"&gt;="&amp;L388)+SUMIFS('Istoric_Nativ'!$H$6:$H$405,'Istoric_Nativ'!$B$6:$B$405,E388,'Istoric_Nativ'!$C$6:$C$405,F388,'Istoric_Nativ'!$F$6:$F$405,G388,'Istoric_Nativ'!$D$6:$D$405,"&lt;"&amp;J388,'Istoric_Nativ'!$P$6:$P$405,1,'Istoric_Nativ'!$D$6:$D$405,"&gt;="&amp;L388)))/M388)</x:f>
      </x:c>
      <x:c r="O388" s="11" t="str">
        <x:f>IF(M388=0,"",IF(H388="HOME",SUMIFS('Istoric_Nativ'!$H$6:$H$405,'Istoric_Nativ'!$B$6:$B$405,E388,'Istoric_Nativ'!$C$6:$C$405,F388,'Istoric_Nativ'!$E$6:$E$405,G388,'Istoric_Nativ'!$D$6:$D$405,"&lt;"&amp;J388,'Istoric_Nativ'!$P$6:$P$405,1,'Istoric_Nativ'!$D$6:$D$405,"&gt;="&amp;L388),IF(H388="AWAY",SUMIFS('Istoric_Nativ'!$G$6:$G$405,'Istoric_Nativ'!$B$6:$B$405,E388,'Istoric_Nativ'!$C$6:$C$405,F388,'Istoric_Nativ'!$F$6:$F$405,G388,'Istoric_Nativ'!$D$6:$D$405,"&lt;"&amp;J388,'Istoric_Nativ'!$P$6:$P$405,1,'Istoric_Nativ'!$D$6:$D$405,"&gt;="&amp;L388),SUMIFS('Istoric_Nativ'!$H$6:$H$405,'Istoric_Nativ'!$B$6:$B$405,E388,'Istoric_Nativ'!$C$6:$C$405,F388,'Istoric_Nativ'!$E$6:$E$405,G388,'Istoric_Nativ'!$D$6:$D$405,"&lt;"&amp;J388,'Istoric_Nativ'!$P$6:$P$405,1,'Istoric_Nativ'!$D$6:$D$405,"&gt;="&amp;L388)+SUMIFS('Istoric_Nativ'!$G$6:$G$405,'Istoric_Nativ'!$B$6:$B$405,E388,'Istoric_Nativ'!$C$6:$C$405,F388,'Istoric_Nativ'!$F$6:$F$405,G388,'Istoric_Nativ'!$D$6:$D$405,"&lt;"&amp;J388,'Istoric_Nativ'!$P$6:$P$405,1,'Istoric_Nativ'!$D$6:$D$405,"&gt;="&amp;L388)))/M388)</x:f>
      </x:c>
      <x:c r="P388" s="2" t="n">
        <x:f>'Config_v6'!$B$8</x:f>
        <x:v>5</x:v>
      </x:c>
      <x:c r="Q388" s="2" t="n">
        <x:f>IF(OR(B388="",F388=""),0,IFERROR(MATCH(E388&amp;"|"&amp;F388,SourceTable[Source_Key],0),0))</x:f>
        <x:v>0</x:v>
      </x:c>
      <x:c r="R388" s="2" t="str">
        <x:f>IF(B388="","",IF(F388="","UNUSED",IF(Q388=0,"NOT CHECKED",IF(COUNTIF(SourceTable[Source_Key],E388&amp;"|"&amp;F388)&lt;&gt;1,"SOURCE CONFLICT",IF(NOT(OR(INDEX(SourceTable[Status],MAX(1,Q388))="IMPORTED",INDEX(SourceTable[Status],MAX(1,Q388))="PARTIAL",INDEX(SourceTable[Status],MAX(1,Q388))="SOURCE CONFLICT")),"ACCESS BLOCKED",IF(OR(INDEX(SourceTable[Coverage],Q388)&lt;&gt;"FULL SEASON EXPORT",INDEX(SourceTable[URL],Q388)="",INDEX(SourceTable[SHA256],Q388)=""),"EVIDENCE INCOMPLETE",IF(AND('Input_Meci'!H37="LIVE",INDEX(SourceTable[Retrieved_UTC],Q388)&gt;'Input_Meci'!G37),"POST CUTOFF","CLOSED")))))))</x:f>
      </x:c>
      <x:c r="S388" s="2" t="n">
        <x:f>IF(OR(B388="",F388=""),0,COUNTIFS('Istoric_Nativ'!$B$6:$B$405,E388,'Istoric_Nativ'!$C$6:$C$405,F388,'Istoric_Nativ'!$E$6:$E$405,G388,'Istoric_Nativ'!$D$6:$D$405,"&lt;"&amp;J388,'Istoric_Nativ'!$O$6:$O$405,"INVALID")+COUNTIFS('Istoric_Nativ'!$B$6:$B$405,E388,'Istoric_Nativ'!$C$6:$C$405,F388,'Istoric_Nativ'!$E$6:$E$405,G388,'Istoric_Nativ'!$O$6:$O$405,"INVALID",'Istoric_Nativ'!$D$6:$D$405,"*")+COUNTIFS('Istoric_Nativ'!$B$6:$B$405,E388,'Istoric_Nativ'!$C$6:$C$405,F388,'Istoric_Nativ'!$E$6:$E$405,G388,'Istoric_Nativ'!$D$6:$D$405,"&lt;"&amp;J388,'Istoric_Nativ'!$O$6:$O$405,"SOURCE CONFLICT")+COUNTIFS('Istoric_Nativ'!$B$6:$B$405,E388,'Istoric_Nativ'!$C$6:$C$405,F388,'Istoric_Nativ'!$F$6:$F$405,G388,'Istoric_Nativ'!$D$6:$D$405,"&lt;"&amp;J388,'Istoric_Nativ'!$O$6:$O$405,"INVALID")+COUNTIFS('Istoric_Nativ'!$B$6:$B$405,E388,'Istoric_Nativ'!$C$6:$C$405,F388,'Istoric_Nativ'!$F$6:$F$405,G388,'Istoric_Nativ'!$O$6:$O$405,"INVALID",'Istoric_Nativ'!$D$6:$D$405,"*")+COUNTIFS('Istoric_Nativ'!$B$6:$B$405,E388,'Istoric_Nativ'!$C$6:$C$405,F388,'Istoric_Nativ'!$F$6:$F$405,G388,'Istoric_Nativ'!$D$6:$D$405,"&lt;"&amp;J388,'Istoric_Nativ'!$O$6:$O$405,"SOURCE CONFLICT"))</x:f>
        <x:v>0</x:v>
      </x:c>
      <x:c r="T388" s="2" t="str">
        <x:f>IF(B388="","",IF(R388&lt;&gt;"CLOSED",R388,IF(S388&gt;0,"NATIVE INPUT ISSUE",IF(M388=0,"NO HISTORY",IF(M388&lt;P388,"SMALL SAMPLE","DERIVED")))))</x:f>
      </x:c>
      <x:c r="U388" s="2" t="str">
        <x:f>IF(B388="","","NativeTable; "&amp;E388&amp;"; "&amp;F388&amp;"; "&amp;G388&amp;"; "&amp;H388&amp;"; before "&amp;TEXT(J388,"yyyy-mm-dd")&amp;IF(I388="RECENT","; from "&amp;TEXT(L388,"yyyy-mm-dd"),""))</x:f>
      </x:c>
    </x:row>
    <x:row r="389" ht="21" customHeight="1">
      <x:c r="A389" s="2" t="n">
        <x:v>32</x:v>
      </x:c>
      <x:c r="B389" s="2" t="str">
        <x:f>IF('Input_Meci'!A37="","",'Input_Meci'!A37)</x:f>
      </x:c>
      <x:c r="C389" s="2" t="str">
        <x:v>A</x:v>
      </x:c>
      <x:c r="D389" s="2" t="str">
        <x:v>PRIOR</x:v>
      </x:c>
      <x:c r="E389" s="2" t="str">
        <x:f>IF(B389="","",'Input_Meci'!B37)</x:f>
      </x:c>
      <x:c r="F389" s="2" t="str">
        <x:f>IF(B389="","",IF('Input_Meci'!K37="","",'Input_Meci'!K37))</x:f>
      </x:c>
      <x:c r="G389" s="2" t="str">
        <x:f>IF(B389="","",'Input_Meci'!E37)</x:f>
      </x:c>
      <x:c r="H389" s="2" t="str">
        <x:v>ANY</x:v>
      </x:c>
      <x:c r="I389" s="2" t="str">
        <x:v>RECENT</x:v>
      </x:c>
      <x:c r="J389" s="9" t="n">
        <x:f>IF(AND(B389&lt;&gt;"",ISNUMBER('Input_Meci'!G37)),INT('Input_Meci'!G37),0)</x:f>
        <x:v>0</x:v>
      </x:c>
      <x:c r="K389" s="2" t="n">
        <x:f>IF(OR(B389="",F389=""),0,IF(H389="HOME",COUNTIFS('Istoric_Nativ'!$B$6:$B$405,E389,'Istoric_Nativ'!$C$6:$C$405,F389,'Istoric_Nativ'!$E$6:$E$405,G389,'Istoric_Nativ'!$D$6:$D$405,"&lt;"&amp;J389,'Istoric_Nativ'!$P$6:$P$405,1),IF(H389="AWAY",COUNTIFS('Istoric_Nativ'!$B$6:$B$405,E389,'Istoric_Nativ'!$C$6:$C$405,F389,'Istoric_Nativ'!$F$6:$F$405,G389,'Istoric_Nativ'!$D$6:$D$405,"&lt;"&amp;J389,'Istoric_Nativ'!$P$6:$P$405,1),COUNTIFS('Istoric_Nativ'!$B$6:$B$405,E389,'Istoric_Nativ'!$C$6:$C$405,F389,'Istoric_Nativ'!$E$6:$E$405,G389,'Istoric_Nativ'!$D$6:$D$405,"&lt;"&amp;J389,'Istoric_Nativ'!$P$6:$P$405,1)+COUNTIFS('Istoric_Nativ'!$B$6:$B$405,E389,'Istoric_Nativ'!$C$6:$C$405,F389,'Istoric_Nativ'!$F$6:$F$405,G389,'Istoric_Nativ'!$D$6:$D$405,"&lt;"&amp;J389,'Istoric_Nativ'!$P$6:$P$405,1))))</x:f>
        <x:v>0</x:v>
      </x:c>
      <x:c r="L389" s="17" t="n">
        <x:f>IF(AND(B389&lt;&gt;"",I389="RECENT",K389&gt;0),LARGE(_xlfn._xlws.FILTER('Istoric_Nativ'!$D$6:$D$405,('Istoric_Nativ'!$B$6:$B$405=E389)*('Istoric_Nativ'!$C$6:$C$405=F389)*('Istoric_Nativ'!$P$6:$P$405=1)*('Istoric_Nativ'!$D$6:$D$405&lt;J389)*((('Istoric_Nativ'!$E$6:$E$405=G389)+('Istoric_Nativ'!$F$6:$F$405=G389))&gt;0)),MIN('Config_v6'!$B$54,K389)),0)</x:f>
        <x:v>0</x:v>
      </x:c>
      <x:c r="M389" s="2" t="n">
        <x:f>IF(OR(B389="",F389=""),0,IF(H389="HOME",COUNTIFS('Istoric_Nativ'!$B$6:$B$405,E389,'Istoric_Nativ'!$C$6:$C$405,F389,'Istoric_Nativ'!$E$6:$E$405,G389,'Istoric_Nativ'!$D$6:$D$405,"&lt;"&amp;J389,'Istoric_Nativ'!$P$6:$P$405,1,'Istoric_Nativ'!$D$6:$D$405,"&gt;="&amp;L389),IF(H389="AWAY",COUNTIFS('Istoric_Nativ'!$B$6:$B$405,E389,'Istoric_Nativ'!$C$6:$C$405,F389,'Istoric_Nativ'!$F$6:$F$405,G389,'Istoric_Nativ'!$D$6:$D$405,"&lt;"&amp;J389,'Istoric_Nativ'!$P$6:$P$405,1,'Istoric_Nativ'!$D$6:$D$405,"&gt;="&amp;L389),COUNTIFS('Istoric_Nativ'!$B$6:$B$405,E389,'Istoric_Nativ'!$C$6:$C$405,F389,'Istoric_Nativ'!$E$6:$E$405,G389,'Istoric_Nativ'!$D$6:$D$405,"&lt;"&amp;J389,'Istoric_Nativ'!$P$6:$P$405,1,'Istoric_Nativ'!$D$6:$D$405,"&gt;="&amp;L389)+COUNTIFS('Istoric_Nativ'!$B$6:$B$405,E389,'Istoric_Nativ'!$C$6:$C$405,F389,'Istoric_Nativ'!$F$6:$F$405,G389,'Istoric_Nativ'!$D$6:$D$405,"&lt;"&amp;J389,'Istoric_Nativ'!$P$6:$P$405,1,'Istoric_Nativ'!$D$6:$D$405,"&gt;="&amp;L389))))</x:f>
        <x:v>0</x:v>
      </x:c>
      <x:c r="N389" s="11" t="str">
        <x:f>IF(M389=0,"",IF(H389="HOME",SUMIFS('Istoric_Nativ'!$G$6:$G$405,'Istoric_Nativ'!$B$6:$B$405,E389,'Istoric_Nativ'!$C$6:$C$405,F389,'Istoric_Nativ'!$E$6:$E$405,G389,'Istoric_Nativ'!$D$6:$D$405,"&lt;"&amp;J389,'Istoric_Nativ'!$P$6:$P$405,1,'Istoric_Nativ'!$D$6:$D$405,"&gt;="&amp;L389),IF(H389="AWAY",SUMIFS('Istoric_Nativ'!$H$6:$H$405,'Istoric_Nativ'!$B$6:$B$405,E389,'Istoric_Nativ'!$C$6:$C$405,F389,'Istoric_Nativ'!$F$6:$F$405,G389,'Istoric_Nativ'!$D$6:$D$405,"&lt;"&amp;J389,'Istoric_Nativ'!$P$6:$P$405,1,'Istoric_Nativ'!$D$6:$D$405,"&gt;="&amp;L389),SUMIFS('Istoric_Nativ'!$G$6:$G$405,'Istoric_Nativ'!$B$6:$B$405,E389,'Istoric_Nativ'!$C$6:$C$405,F389,'Istoric_Nativ'!$E$6:$E$405,G389,'Istoric_Nativ'!$D$6:$D$405,"&lt;"&amp;J389,'Istoric_Nativ'!$P$6:$P$405,1,'Istoric_Nativ'!$D$6:$D$405,"&gt;="&amp;L389)+SUMIFS('Istoric_Nativ'!$H$6:$H$405,'Istoric_Nativ'!$B$6:$B$405,E389,'Istoric_Nativ'!$C$6:$C$405,F389,'Istoric_Nativ'!$F$6:$F$405,G389,'Istoric_Nativ'!$D$6:$D$405,"&lt;"&amp;J389,'Istoric_Nativ'!$P$6:$P$405,1,'Istoric_Nativ'!$D$6:$D$405,"&gt;="&amp;L389)))/M389)</x:f>
      </x:c>
      <x:c r="O389" s="11" t="str">
        <x:f>IF(M389=0,"",IF(H389="HOME",SUMIFS('Istoric_Nativ'!$H$6:$H$405,'Istoric_Nativ'!$B$6:$B$405,E389,'Istoric_Nativ'!$C$6:$C$405,F389,'Istoric_Nativ'!$E$6:$E$405,G389,'Istoric_Nativ'!$D$6:$D$405,"&lt;"&amp;J389,'Istoric_Nativ'!$P$6:$P$405,1,'Istoric_Nativ'!$D$6:$D$405,"&gt;="&amp;L389),IF(H389="AWAY",SUMIFS('Istoric_Nativ'!$G$6:$G$405,'Istoric_Nativ'!$B$6:$B$405,E389,'Istoric_Nativ'!$C$6:$C$405,F389,'Istoric_Nativ'!$F$6:$F$405,G389,'Istoric_Nativ'!$D$6:$D$405,"&lt;"&amp;J389,'Istoric_Nativ'!$P$6:$P$405,1,'Istoric_Nativ'!$D$6:$D$405,"&gt;="&amp;L389),SUMIFS('Istoric_Nativ'!$H$6:$H$405,'Istoric_Nativ'!$B$6:$B$405,E389,'Istoric_Nativ'!$C$6:$C$405,F389,'Istoric_Nativ'!$E$6:$E$405,G389,'Istoric_Nativ'!$D$6:$D$405,"&lt;"&amp;J389,'Istoric_Nativ'!$P$6:$P$405,1,'Istoric_Nativ'!$D$6:$D$405,"&gt;="&amp;L389)+SUMIFS('Istoric_Nativ'!$G$6:$G$405,'Istoric_Nativ'!$B$6:$B$405,E389,'Istoric_Nativ'!$C$6:$C$405,F389,'Istoric_Nativ'!$F$6:$F$405,G389,'Istoric_Nativ'!$D$6:$D$405,"&lt;"&amp;J389,'Istoric_Nativ'!$P$6:$P$405,1,'Istoric_Nativ'!$D$6:$D$405,"&gt;="&amp;L389)))/M389)</x:f>
      </x:c>
      <x:c r="P389" s="2" t="n">
        <x:f>'Config_v6'!$B$9</x:f>
        <x:v>3</x:v>
      </x:c>
      <x:c r="Q389" s="2" t="n">
        <x:f>IF(OR(B389="",F389=""),0,IFERROR(MATCH(E389&amp;"|"&amp;F389,SourceTable[Source_Key],0),0))</x:f>
        <x:v>0</x:v>
      </x:c>
      <x:c r="R389" s="2" t="str">
        <x:f>IF(B389="","",IF(F389="","UNUSED",IF(Q389=0,"NOT CHECKED",IF(COUNTIF(SourceTable[Source_Key],E389&amp;"|"&amp;F389)&lt;&gt;1,"SOURCE CONFLICT",IF(NOT(OR(INDEX(SourceTable[Status],MAX(1,Q389))="IMPORTED",INDEX(SourceTable[Status],MAX(1,Q389))="PARTIAL",INDEX(SourceTable[Status],MAX(1,Q389))="SOURCE CONFLICT")),"ACCESS BLOCKED",IF(OR(INDEX(SourceTable[Coverage],Q389)&lt;&gt;"FULL SEASON EXPORT",INDEX(SourceTable[URL],Q389)="",INDEX(SourceTable[SHA256],Q389)=""),"EVIDENCE INCOMPLETE",IF(AND('Input_Meci'!H37="LIVE",INDEX(SourceTable[Retrieved_UTC],Q389)&gt;'Input_Meci'!G37),"POST CUTOFF","CLOSED")))))))</x:f>
      </x:c>
      <x:c r="S389" s="2" t="n">
        <x:f>IF(OR(B389="",F389=""),0,COUNTIFS('Istoric_Nativ'!$B$6:$B$405,E389,'Istoric_Nativ'!$C$6:$C$405,F389,'Istoric_Nativ'!$E$6:$E$405,G389,'Istoric_Nativ'!$D$6:$D$405,"&lt;"&amp;J389,'Istoric_Nativ'!$O$6:$O$405,"INVALID")+COUNTIFS('Istoric_Nativ'!$B$6:$B$405,E389,'Istoric_Nativ'!$C$6:$C$405,F389,'Istoric_Nativ'!$E$6:$E$405,G389,'Istoric_Nativ'!$O$6:$O$405,"INVALID",'Istoric_Nativ'!$D$6:$D$405,"*")+COUNTIFS('Istoric_Nativ'!$B$6:$B$405,E389,'Istoric_Nativ'!$C$6:$C$405,F389,'Istoric_Nativ'!$E$6:$E$405,G389,'Istoric_Nativ'!$D$6:$D$405,"&lt;"&amp;J389,'Istoric_Nativ'!$O$6:$O$405,"SOURCE CONFLICT")+COUNTIFS('Istoric_Nativ'!$B$6:$B$405,E389,'Istoric_Nativ'!$C$6:$C$405,F389,'Istoric_Nativ'!$F$6:$F$405,G389,'Istoric_Nativ'!$D$6:$D$405,"&lt;"&amp;J389,'Istoric_Nativ'!$O$6:$O$405,"INVALID")+COUNTIFS('Istoric_Nativ'!$B$6:$B$405,E389,'Istoric_Nativ'!$C$6:$C$405,F389,'Istoric_Nativ'!$F$6:$F$405,G389,'Istoric_Nativ'!$O$6:$O$405,"INVALID",'Istoric_Nativ'!$D$6:$D$405,"*")+COUNTIFS('Istoric_Nativ'!$B$6:$B$405,E389,'Istoric_Nativ'!$C$6:$C$405,F389,'Istoric_Nativ'!$F$6:$F$405,G389,'Istoric_Nativ'!$D$6:$D$405,"&lt;"&amp;J389,'Istoric_Nativ'!$O$6:$O$405,"SOURCE CONFLICT"))</x:f>
        <x:v>0</x:v>
      </x:c>
      <x:c r="T389" s="2" t="str">
        <x:f>IF(B389="","",IF(R389&lt;&gt;"CLOSED",R389,IF(S389&gt;0,"NATIVE INPUT ISSUE",IF(M389=0,"NO HISTORY",IF(M389&lt;P389,"SMALL SAMPLE","DERIVED")))))</x:f>
      </x:c>
      <x:c r="U389" s="2" t="str">
        <x:f>IF(B389="","","NativeTable; "&amp;E389&amp;"; "&amp;F389&amp;"; "&amp;G389&amp;"; "&amp;H389&amp;"; before "&amp;TEXT(J389,"yyyy-mm-dd")&amp;IF(I389="RECENT","; from "&amp;TEXT(L389,"yyyy-mm-dd"),""))</x:f>
      </x:c>
    </x:row>
    <x:row r="390" ht="21" customHeight="1">
      <x:c r="A390" s="2" t="n">
        <x:v>33</x:v>
      </x:c>
      <x:c r="B390" s="2" t="str">
        <x:f>IF('Input_Meci'!A38="","",'Input_Meci'!A38)</x:f>
      </x:c>
      <x:c r="C390" s="2" t="str">
        <x:v>H</x:v>
      </x:c>
      <x:c r="D390" s="2" t="str">
        <x:v>CURRENT</x:v>
      </x:c>
      <x:c r="E390" s="2" t="str">
        <x:f>IF(B390="","",'Input_Meci'!B38)</x:f>
      </x:c>
      <x:c r="F390" s="2" t="str">
        <x:f>IF(B390="","",IF('Input_Meci'!C38="","",'Input_Meci'!C38))</x:f>
      </x:c>
      <x:c r="G390" s="2" t="str">
        <x:f>IF(B390="","",'Input_Meci'!D38)</x:f>
      </x:c>
      <x:c r="H390" s="2" t="str">
        <x:v>ANY</x:v>
      </x:c>
      <x:c r="I390" s="2" t="str">
        <x:v>SEASON</x:v>
      </x:c>
      <x:c r="J390" s="9" t="n">
        <x:f>IF(AND(B390&lt;&gt;"",ISNUMBER('Input_Meci'!G38)),INT('Input_Meci'!G38),0)</x:f>
        <x:v>0</x:v>
      </x:c>
      <x:c r="K390" s="2" t="n">
        <x:f>IF(OR(B390="",F390=""),0,IF(H390="HOME",COUNTIFS('Istoric_Nativ'!$B$6:$B$405,E390,'Istoric_Nativ'!$C$6:$C$405,F390,'Istoric_Nativ'!$E$6:$E$405,G390,'Istoric_Nativ'!$D$6:$D$405,"&lt;"&amp;J390,'Istoric_Nativ'!$P$6:$P$405,1),IF(H390="AWAY",COUNTIFS('Istoric_Nativ'!$B$6:$B$405,E390,'Istoric_Nativ'!$C$6:$C$405,F390,'Istoric_Nativ'!$F$6:$F$405,G390,'Istoric_Nativ'!$D$6:$D$405,"&lt;"&amp;J390,'Istoric_Nativ'!$P$6:$P$405,1),COUNTIFS('Istoric_Nativ'!$B$6:$B$405,E390,'Istoric_Nativ'!$C$6:$C$405,F390,'Istoric_Nativ'!$E$6:$E$405,G390,'Istoric_Nativ'!$D$6:$D$405,"&lt;"&amp;J390,'Istoric_Nativ'!$P$6:$P$405,1)+COUNTIFS('Istoric_Nativ'!$B$6:$B$405,E390,'Istoric_Nativ'!$C$6:$C$405,F390,'Istoric_Nativ'!$F$6:$F$405,G390,'Istoric_Nativ'!$D$6:$D$405,"&lt;"&amp;J390,'Istoric_Nativ'!$P$6:$P$405,1))))</x:f>
        <x:v>0</x:v>
      </x:c>
      <x:c r="L390" s="17" t="n">
        <x:f>IF(AND(B390&lt;&gt;"",I390="RECENT",K390&gt;0),LARGE(_xlfn._xlws.FILTER('Istoric_Nativ'!$D$6:$D$405,('Istoric_Nativ'!$B$6:$B$405=E390)*('Istoric_Nativ'!$C$6:$C$405=F390)*('Istoric_Nativ'!$P$6:$P$405=1)*('Istoric_Nativ'!$D$6:$D$405&lt;J390)*((('Istoric_Nativ'!$E$6:$E$405=G390)+('Istoric_Nativ'!$F$6:$F$405=G390))&gt;0)),MIN('Config_v6'!$B$54,K390)),0)</x:f>
        <x:v>0</x:v>
      </x:c>
      <x:c r="M390" s="2" t="n">
        <x:f>IF(OR(B390="",F390=""),0,IF(H390="HOME",COUNTIFS('Istoric_Nativ'!$B$6:$B$405,E390,'Istoric_Nativ'!$C$6:$C$405,F390,'Istoric_Nativ'!$E$6:$E$405,G390,'Istoric_Nativ'!$D$6:$D$405,"&lt;"&amp;J390,'Istoric_Nativ'!$P$6:$P$405,1,'Istoric_Nativ'!$D$6:$D$405,"&gt;="&amp;L390),IF(H390="AWAY",COUNTIFS('Istoric_Nativ'!$B$6:$B$405,E390,'Istoric_Nativ'!$C$6:$C$405,F390,'Istoric_Nativ'!$F$6:$F$405,G390,'Istoric_Nativ'!$D$6:$D$405,"&lt;"&amp;J390,'Istoric_Nativ'!$P$6:$P$405,1,'Istoric_Nativ'!$D$6:$D$405,"&gt;="&amp;L390),COUNTIFS('Istoric_Nativ'!$B$6:$B$405,E390,'Istoric_Nativ'!$C$6:$C$405,F390,'Istoric_Nativ'!$E$6:$E$405,G390,'Istoric_Nativ'!$D$6:$D$405,"&lt;"&amp;J390,'Istoric_Nativ'!$P$6:$P$405,1,'Istoric_Nativ'!$D$6:$D$405,"&gt;="&amp;L390)+COUNTIFS('Istoric_Nativ'!$B$6:$B$405,E390,'Istoric_Nativ'!$C$6:$C$405,F390,'Istoric_Nativ'!$F$6:$F$405,G390,'Istoric_Nativ'!$D$6:$D$405,"&lt;"&amp;J390,'Istoric_Nativ'!$P$6:$P$405,1,'Istoric_Nativ'!$D$6:$D$405,"&gt;="&amp;L390))))</x:f>
        <x:v>0</x:v>
      </x:c>
      <x:c r="N390" s="11" t="str">
        <x:f>IF(M390=0,"",IF(H390="HOME",SUMIFS('Istoric_Nativ'!$G$6:$G$405,'Istoric_Nativ'!$B$6:$B$405,E390,'Istoric_Nativ'!$C$6:$C$405,F390,'Istoric_Nativ'!$E$6:$E$405,G390,'Istoric_Nativ'!$D$6:$D$405,"&lt;"&amp;J390,'Istoric_Nativ'!$P$6:$P$405,1,'Istoric_Nativ'!$D$6:$D$405,"&gt;="&amp;L390),IF(H390="AWAY",SUMIFS('Istoric_Nativ'!$H$6:$H$405,'Istoric_Nativ'!$B$6:$B$405,E390,'Istoric_Nativ'!$C$6:$C$405,F390,'Istoric_Nativ'!$F$6:$F$405,G390,'Istoric_Nativ'!$D$6:$D$405,"&lt;"&amp;J390,'Istoric_Nativ'!$P$6:$P$405,1,'Istoric_Nativ'!$D$6:$D$405,"&gt;="&amp;L390),SUMIFS('Istoric_Nativ'!$G$6:$G$405,'Istoric_Nativ'!$B$6:$B$405,E390,'Istoric_Nativ'!$C$6:$C$405,F390,'Istoric_Nativ'!$E$6:$E$405,G390,'Istoric_Nativ'!$D$6:$D$405,"&lt;"&amp;J390,'Istoric_Nativ'!$P$6:$P$405,1,'Istoric_Nativ'!$D$6:$D$405,"&gt;="&amp;L390)+SUMIFS('Istoric_Nativ'!$H$6:$H$405,'Istoric_Nativ'!$B$6:$B$405,E390,'Istoric_Nativ'!$C$6:$C$405,F390,'Istoric_Nativ'!$F$6:$F$405,G390,'Istoric_Nativ'!$D$6:$D$405,"&lt;"&amp;J390,'Istoric_Nativ'!$P$6:$P$405,1,'Istoric_Nativ'!$D$6:$D$405,"&gt;="&amp;L390)))/M390)</x:f>
      </x:c>
      <x:c r="O390" s="11" t="str">
        <x:f>IF(M390=0,"",IF(H390="HOME",SUMIFS('Istoric_Nativ'!$H$6:$H$405,'Istoric_Nativ'!$B$6:$B$405,E390,'Istoric_Nativ'!$C$6:$C$405,F390,'Istoric_Nativ'!$E$6:$E$405,G390,'Istoric_Nativ'!$D$6:$D$405,"&lt;"&amp;J390,'Istoric_Nativ'!$P$6:$P$405,1,'Istoric_Nativ'!$D$6:$D$405,"&gt;="&amp;L390),IF(H390="AWAY",SUMIFS('Istoric_Nativ'!$G$6:$G$405,'Istoric_Nativ'!$B$6:$B$405,E390,'Istoric_Nativ'!$C$6:$C$405,F390,'Istoric_Nativ'!$F$6:$F$405,G390,'Istoric_Nativ'!$D$6:$D$405,"&lt;"&amp;J390,'Istoric_Nativ'!$P$6:$P$405,1,'Istoric_Nativ'!$D$6:$D$405,"&gt;="&amp;L390),SUMIFS('Istoric_Nativ'!$H$6:$H$405,'Istoric_Nativ'!$B$6:$B$405,E390,'Istoric_Nativ'!$C$6:$C$405,F390,'Istoric_Nativ'!$E$6:$E$405,G390,'Istoric_Nativ'!$D$6:$D$405,"&lt;"&amp;J390,'Istoric_Nativ'!$P$6:$P$405,1,'Istoric_Nativ'!$D$6:$D$405,"&gt;="&amp;L390)+SUMIFS('Istoric_Nativ'!$G$6:$G$405,'Istoric_Nativ'!$B$6:$B$405,E390,'Istoric_Nativ'!$C$6:$C$405,F390,'Istoric_Nativ'!$F$6:$F$405,G390,'Istoric_Nativ'!$D$6:$D$405,"&lt;"&amp;J390,'Istoric_Nativ'!$P$6:$P$405,1,'Istoric_Nativ'!$D$6:$D$405,"&gt;="&amp;L390)))/M390)</x:f>
      </x:c>
      <x:c r="P390" s="2" t="n">
        <x:f>'Config_v6'!$B$7</x:f>
        <x:v>10</x:v>
      </x:c>
      <x:c r="Q390" s="2" t="n">
        <x:f>IF(OR(B390="",F390=""),0,IFERROR(MATCH(E390&amp;"|"&amp;F390,SourceTable[Source_Key],0),0))</x:f>
        <x:v>0</x:v>
      </x:c>
      <x:c r="R390" s="2" t="str">
        <x:f>IF(B390="","",IF(F390="","UNUSED",IF(Q390=0,"NOT CHECKED",IF(COUNTIF(SourceTable[Source_Key],E390&amp;"|"&amp;F390)&lt;&gt;1,"SOURCE CONFLICT",IF(NOT(OR(INDEX(SourceTable[Status],MAX(1,Q390))="IMPORTED",INDEX(SourceTable[Status],MAX(1,Q390))="PARTIAL",INDEX(SourceTable[Status],MAX(1,Q390))="SOURCE CONFLICT")),"ACCESS BLOCKED",IF(OR(INDEX(SourceTable[Coverage],Q390)&lt;&gt;"FULL SEASON EXPORT",INDEX(SourceTable[URL],Q390)="",INDEX(SourceTable[SHA256],Q390)=""),"EVIDENCE INCOMPLETE",IF(AND('Input_Meci'!H38="LIVE",INDEX(SourceTable[Retrieved_UTC],Q390)&gt;'Input_Meci'!G38),"POST CUTOFF","CLOSED")))))))</x:f>
      </x:c>
      <x:c r="S390" s="2" t="n">
        <x:f>IF(OR(B390="",F390=""),0,COUNTIFS('Istoric_Nativ'!$B$6:$B$405,E390,'Istoric_Nativ'!$C$6:$C$405,F390,'Istoric_Nativ'!$E$6:$E$405,G390,'Istoric_Nativ'!$D$6:$D$405,"&lt;"&amp;J390,'Istoric_Nativ'!$O$6:$O$405,"INVALID")+COUNTIFS('Istoric_Nativ'!$B$6:$B$405,E390,'Istoric_Nativ'!$C$6:$C$405,F390,'Istoric_Nativ'!$E$6:$E$405,G390,'Istoric_Nativ'!$O$6:$O$405,"INVALID",'Istoric_Nativ'!$D$6:$D$405,"*")+COUNTIFS('Istoric_Nativ'!$B$6:$B$405,E390,'Istoric_Nativ'!$C$6:$C$405,F390,'Istoric_Nativ'!$E$6:$E$405,G390,'Istoric_Nativ'!$D$6:$D$405,"&lt;"&amp;J390,'Istoric_Nativ'!$O$6:$O$405,"SOURCE CONFLICT")+COUNTIFS('Istoric_Nativ'!$B$6:$B$405,E390,'Istoric_Nativ'!$C$6:$C$405,F390,'Istoric_Nativ'!$F$6:$F$405,G390,'Istoric_Nativ'!$D$6:$D$405,"&lt;"&amp;J390,'Istoric_Nativ'!$O$6:$O$405,"INVALID")+COUNTIFS('Istoric_Nativ'!$B$6:$B$405,E390,'Istoric_Nativ'!$C$6:$C$405,F390,'Istoric_Nativ'!$F$6:$F$405,G390,'Istoric_Nativ'!$O$6:$O$405,"INVALID",'Istoric_Nativ'!$D$6:$D$405,"*")+COUNTIFS('Istoric_Nativ'!$B$6:$B$405,E390,'Istoric_Nativ'!$C$6:$C$405,F390,'Istoric_Nativ'!$F$6:$F$405,G390,'Istoric_Nativ'!$D$6:$D$405,"&lt;"&amp;J390,'Istoric_Nativ'!$O$6:$O$405,"SOURCE CONFLICT"))</x:f>
        <x:v>0</x:v>
      </x:c>
      <x:c r="T390" s="2" t="str">
        <x:f>IF(B390="","",IF(R390&lt;&gt;"CLOSED",R390,IF(S390&gt;0,"NATIVE INPUT ISSUE",IF(M390=0,"NO HISTORY",IF(M390&lt;P390,"SMALL SAMPLE","DERIVED")))))</x:f>
      </x:c>
      <x:c r="U390" s="2" t="str">
        <x:f>IF(B390="","","NativeTable; "&amp;E390&amp;"; "&amp;F390&amp;"; "&amp;G390&amp;"; "&amp;H390&amp;"; before "&amp;TEXT(J390,"yyyy-mm-dd")&amp;IF(I390="RECENT","; from "&amp;TEXT(L390,"yyyy-mm-dd"),""))</x:f>
      </x:c>
    </x:row>
    <x:row r="391" ht="21" customHeight="1">
      <x:c r="A391" s="2" t="n">
        <x:v>33</x:v>
      </x:c>
      <x:c r="B391" s="2" t="str">
        <x:f>IF('Input_Meci'!A38="","",'Input_Meci'!A38)</x:f>
      </x:c>
      <x:c r="C391" s="2" t="str">
        <x:v>H</x:v>
      </x:c>
      <x:c r="D391" s="2" t="str">
        <x:v>CURRENT</x:v>
      </x:c>
      <x:c r="E391" s="2" t="str">
        <x:f>IF(B391="","",'Input_Meci'!B38)</x:f>
      </x:c>
      <x:c r="F391" s="2" t="str">
        <x:f>IF(B391="","",IF('Input_Meci'!C38="","",'Input_Meci'!C38))</x:f>
      </x:c>
      <x:c r="G391" s="2" t="str">
        <x:f>IF(B391="","",'Input_Meci'!D38)</x:f>
      </x:c>
      <x:c r="H391" s="2" t="str">
        <x:v>HOME</x:v>
      </x:c>
      <x:c r="I391" s="2" t="str">
        <x:v>HA</x:v>
      </x:c>
      <x:c r="J391" s="9" t="n">
        <x:f>IF(AND(B391&lt;&gt;"",ISNUMBER('Input_Meci'!G38)),INT('Input_Meci'!G38),0)</x:f>
        <x:v>0</x:v>
      </x:c>
      <x:c r="K391" s="2" t="n">
        <x:f>IF(OR(B391="",F391=""),0,IF(H391="HOME",COUNTIFS('Istoric_Nativ'!$B$6:$B$405,E391,'Istoric_Nativ'!$C$6:$C$405,F391,'Istoric_Nativ'!$E$6:$E$405,G391,'Istoric_Nativ'!$D$6:$D$405,"&lt;"&amp;J391,'Istoric_Nativ'!$P$6:$P$405,1),IF(H391="AWAY",COUNTIFS('Istoric_Nativ'!$B$6:$B$405,E391,'Istoric_Nativ'!$C$6:$C$405,F391,'Istoric_Nativ'!$F$6:$F$405,G391,'Istoric_Nativ'!$D$6:$D$405,"&lt;"&amp;J391,'Istoric_Nativ'!$P$6:$P$405,1),COUNTIFS('Istoric_Nativ'!$B$6:$B$405,E391,'Istoric_Nativ'!$C$6:$C$405,F391,'Istoric_Nativ'!$E$6:$E$405,G391,'Istoric_Nativ'!$D$6:$D$405,"&lt;"&amp;J391,'Istoric_Nativ'!$P$6:$P$405,1)+COUNTIFS('Istoric_Nativ'!$B$6:$B$405,E391,'Istoric_Nativ'!$C$6:$C$405,F391,'Istoric_Nativ'!$F$6:$F$405,G391,'Istoric_Nativ'!$D$6:$D$405,"&lt;"&amp;J391,'Istoric_Nativ'!$P$6:$P$405,1))))</x:f>
        <x:v>0</x:v>
      </x:c>
      <x:c r="L391" s="17" t="n">
        <x:f>IF(AND(B391&lt;&gt;"",I391="RECENT",K391&gt;0),LARGE(_xlfn._xlws.FILTER('Istoric_Nativ'!$D$6:$D$405,('Istoric_Nativ'!$B$6:$B$405=E391)*('Istoric_Nativ'!$C$6:$C$405=F391)*('Istoric_Nativ'!$P$6:$P$405=1)*('Istoric_Nativ'!$D$6:$D$405&lt;J391)*((('Istoric_Nativ'!$E$6:$E$405=G391)+('Istoric_Nativ'!$F$6:$F$405=G391))&gt;0)),MIN('Config_v6'!$B$54,K391)),0)</x:f>
        <x:v>0</x:v>
      </x:c>
      <x:c r="M391" s="2" t="n">
        <x:f>IF(OR(B391="",F391=""),0,IF(H391="HOME",COUNTIFS('Istoric_Nativ'!$B$6:$B$405,E391,'Istoric_Nativ'!$C$6:$C$405,F391,'Istoric_Nativ'!$E$6:$E$405,G391,'Istoric_Nativ'!$D$6:$D$405,"&lt;"&amp;J391,'Istoric_Nativ'!$P$6:$P$405,1,'Istoric_Nativ'!$D$6:$D$405,"&gt;="&amp;L391),IF(H391="AWAY",COUNTIFS('Istoric_Nativ'!$B$6:$B$405,E391,'Istoric_Nativ'!$C$6:$C$405,F391,'Istoric_Nativ'!$F$6:$F$405,G391,'Istoric_Nativ'!$D$6:$D$405,"&lt;"&amp;J391,'Istoric_Nativ'!$P$6:$P$405,1,'Istoric_Nativ'!$D$6:$D$405,"&gt;="&amp;L391),COUNTIFS('Istoric_Nativ'!$B$6:$B$405,E391,'Istoric_Nativ'!$C$6:$C$405,F391,'Istoric_Nativ'!$E$6:$E$405,G391,'Istoric_Nativ'!$D$6:$D$405,"&lt;"&amp;J391,'Istoric_Nativ'!$P$6:$P$405,1,'Istoric_Nativ'!$D$6:$D$405,"&gt;="&amp;L391)+COUNTIFS('Istoric_Nativ'!$B$6:$B$405,E391,'Istoric_Nativ'!$C$6:$C$405,F391,'Istoric_Nativ'!$F$6:$F$405,G391,'Istoric_Nativ'!$D$6:$D$405,"&lt;"&amp;J391,'Istoric_Nativ'!$P$6:$P$405,1,'Istoric_Nativ'!$D$6:$D$405,"&gt;="&amp;L391))))</x:f>
        <x:v>0</x:v>
      </x:c>
      <x:c r="N391" s="11" t="str">
        <x:f>IF(M391=0,"",IF(H391="HOME",SUMIFS('Istoric_Nativ'!$G$6:$G$405,'Istoric_Nativ'!$B$6:$B$405,E391,'Istoric_Nativ'!$C$6:$C$405,F391,'Istoric_Nativ'!$E$6:$E$405,G391,'Istoric_Nativ'!$D$6:$D$405,"&lt;"&amp;J391,'Istoric_Nativ'!$P$6:$P$405,1,'Istoric_Nativ'!$D$6:$D$405,"&gt;="&amp;L391),IF(H391="AWAY",SUMIFS('Istoric_Nativ'!$H$6:$H$405,'Istoric_Nativ'!$B$6:$B$405,E391,'Istoric_Nativ'!$C$6:$C$405,F391,'Istoric_Nativ'!$F$6:$F$405,G391,'Istoric_Nativ'!$D$6:$D$405,"&lt;"&amp;J391,'Istoric_Nativ'!$P$6:$P$405,1,'Istoric_Nativ'!$D$6:$D$405,"&gt;="&amp;L391),SUMIFS('Istoric_Nativ'!$G$6:$G$405,'Istoric_Nativ'!$B$6:$B$405,E391,'Istoric_Nativ'!$C$6:$C$405,F391,'Istoric_Nativ'!$E$6:$E$405,G391,'Istoric_Nativ'!$D$6:$D$405,"&lt;"&amp;J391,'Istoric_Nativ'!$P$6:$P$405,1,'Istoric_Nativ'!$D$6:$D$405,"&gt;="&amp;L391)+SUMIFS('Istoric_Nativ'!$H$6:$H$405,'Istoric_Nativ'!$B$6:$B$405,E391,'Istoric_Nativ'!$C$6:$C$405,F391,'Istoric_Nativ'!$F$6:$F$405,G391,'Istoric_Nativ'!$D$6:$D$405,"&lt;"&amp;J391,'Istoric_Nativ'!$P$6:$P$405,1,'Istoric_Nativ'!$D$6:$D$405,"&gt;="&amp;L391)))/M391)</x:f>
      </x:c>
      <x:c r="O391" s="11" t="str">
        <x:f>IF(M391=0,"",IF(H391="HOME",SUMIFS('Istoric_Nativ'!$H$6:$H$405,'Istoric_Nativ'!$B$6:$B$405,E391,'Istoric_Nativ'!$C$6:$C$405,F391,'Istoric_Nativ'!$E$6:$E$405,G391,'Istoric_Nativ'!$D$6:$D$405,"&lt;"&amp;J391,'Istoric_Nativ'!$P$6:$P$405,1,'Istoric_Nativ'!$D$6:$D$405,"&gt;="&amp;L391),IF(H391="AWAY",SUMIFS('Istoric_Nativ'!$G$6:$G$405,'Istoric_Nativ'!$B$6:$B$405,E391,'Istoric_Nativ'!$C$6:$C$405,F391,'Istoric_Nativ'!$F$6:$F$405,G391,'Istoric_Nativ'!$D$6:$D$405,"&lt;"&amp;J391,'Istoric_Nativ'!$P$6:$P$405,1,'Istoric_Nativ'!$D$6:$D$405,"&gt;="&amp;L391),SUMIFS('Istoric_Nativ'!$H$6:$H$405,'Istoric_Nativ'!$B$6:$B$405,E391,'Istoric_Nativ'!$C$6:$C$405,F391,'Istoric_Nativ'!$E$6:$E$405,G391,'Istoric_Nativ'!$D$6:$D$405,"&lt;"&amp;J391,'Istoric_Nativ'!$P$6:$P$405,1,'Istoric_Nativ'!$D$6:$D$405,"&gt;="&amp;L391)+SUMIFS('Istoric_Nativ'!$G$6:$G$405,'Istoric_Nativ'!$B$6:$B$405,E391,'Istoric_Nativ'!$C$6:$C$405,F391,'Istoric_Nativ'!$F$6:$F$405,G391,'Istoric_Nativ'!$D$6:$D$405,"&lt;"&amp;J391,'Istoric_Nativ'!$P$6:$P$405,1,'Istoric_Nativ'!$D$6:$D$405,"&gt;="&amp;L391)))/M391)</x:f>
      </x:c>
      <x:c r="P391" s="2" t="n">
        <x:f>'Config_v6'!$B$8</x:f>
        <x:v>5</x:v>
      </x:c>
      <x:c r="Q391" s="2" t="n">
        <x:f>IF(OR(B391="",F391=""),0,IFERROR(MATCH(E391&amp;"|"&amp;F391,SourceTable[Source_Key],0),0))</x:f>
        <x:v>0</x:v>
      </x:c>
      <x:c r="R391" s="2" t="str">
        <x:f>IF(B391="","",IF(F391="","UNUSED",IF(Q391=0,"NOT CHECKED",IF(COUNTIF(SourceTable[Source_Key],E391&amp;"|"&amp;F391)&lt;&gt;1,"SOURCE CONFLICT",IF(NOT(OR(INDEX(SourceTable[Status],MAX(1,Q391))="IMPORTED",INDEX(SourceTable[Status],MAX(1,Q391))="PARTIAL",INDEX(SourceTable[Status],MAX(1,Q391))="SOURCE CONFLICT")),"ACCESS BLOCKED",IF(OR(INDEX(SourceTable[Coverage],Q391)&lt;&gt;"FULL SEASON EXPORT",INDEX(SourceTable[URL],Q391)="",INDEX(SourceTable[SHA256],Q391)=""),"EVIDENCE INCOMPLETE",IF(AND('Input_Meci'!H38="LIVE",INDEX(SourceTable[Retrieved_UTC],Q391)&gt;'Input_Meci'!G38),"POST CUTOFF","CLOSED")))))))</x:f>
      </x:c>
      <x:c r="S391" s="2" t="n">
        <x:f>IF(OR(B391="",F391=""),0,COUNTIFS('Istoric_Nativ'!$B$6:$B$405,E391,'Istoric_Nativ'!$C$6:$C$405,F391,'Istoric_Nativ'!$E$6:$E$405,G391,'Istoric_Nativ'!$D$6:$D$405,"&lt;"&amp;J391,'Istoric_Nativ'!$O$6:$O$405,"INVALID")+COUNTIFS('Istoric_Nativ'!$B$6:$B$405,E391,'Istoric_Nativ'!$C$6:$C$405,F391,'Istoric_Nativ'!$E$6:$E$405,G391,'Istoric_Nativ'!$O$6:$O$405,"INVALID",'Istoric_Nativ'!$D$6:$D$405,"*")+COUNTIFS('Istoric_Nativ'!$B$6:$B$405,E391,'Istoric_Nativ'!$C$6:$C$405,F391,'Istoric_Nativ'!$E$6:$E$405,G391,'Istoric_Nativ'!$D$6:$D$405,"&lt;"&amp;J391,'Istoric_Nativ'!$O$6:$O$405,"SOURCE CONFLICT")+COUNTIFS('Istoric_Nativ'!$B$6:$B$405,E391,'Istoric_Nativ'!$C$6:$C$405,F391,'Istoric_Nativ'!$F$6:$F$405,G391,'Istoric_Nativ'!$D$6:$D$405,"&lt;"&amp;J391,'Istoric_Nativ'!$O$6:$O$405,"INVALID")+COUNTIFS('Istoric_Nativ'!$B$6:$B$405,E391,'Istoric_Nativ'!$C$6:$C$405,F391,'Istoric_Nativ'!$F$6:$F$405,G391,'Istoric_Nativ'!$O$6:$O$405,"INVALID",'Istoric_Nativ'!$D$6:$D$405,"*")+COUNTIFS('Istoric_Nativ'!$B$6:$B$405,E391,'Istoric_Nativ'!$C$6:$C$405,F391,'Istoric_Nativ'!$F$6:$F$405,G391,'Istoric_Nativ'!$D$6:$D$405,"&lt;"&amp;J391,'Istoric_Nativ'!$O$6:$O$405,"SOURCE CONFLICT"))</x:f>
        <x:v>0</x:v>
      </x:c>
      <x:c r="T391" s="2" t="str">
        <x:f>IF(B391="","",IF(R391&lt;&gt;"CLOSED",R391,IF(S391&gt;0,"NATIVE INPUT ISSUE",IF(M391=0,"NO HISTORY",IF(M391&lt;P391,"SMALL SAMPLE","DERIVED")))))</x:f>
      </x:c>
      <x:c r="U391" s="2" t="str">
        <x:f>IF(B391="","","NativeTable; "&amp;E391&amp;"; "&amp;F391&amp;"; "&amp;G391&amp;"; "&amp;H391&amp;"; before "&amp;TEXT(J391,"yyyy-mm-dd")&amp;IF(I391="RECENT","; from "&amp;TEXT(L391,"yyyy-mm-dd"),""))</x:f>
      </x:c>
    </x:row>
    <x:row r="392" ht="21" customHeight="1">
      <x:c r="A392" s="2" t="n">
        <x:v>33</x:v>
      </x:c>
      <x:c r="B392" s="2" t="str">
        <x:f>IF('Input_Meci'!A38="","",'Input_Meci'!A38)</x:f>
      </x:c>
      <x:c r="C392" s="2" t="str">
        <x:v>H</x:v>
      </x:c>
      <x:c r="D392" s="2" t="str">
        <x:v>CURRENT</x:v>
      </x:c>
      <x:c r="E392" s="2" t="str">
        <x:f>IF(B392="","",'Input_Meci'!B38)</x:f>
      </x:c>
      <x:c r="F392" s="2" t="str">
        <x:f>IF(B392="","",IF('Input_Meci'!C38="","",'Input_Meci'!C38))</x:f>
      </x:c>
      <x:c r="G392" s="2" t="str">
        <x:f>IF(B392="","",'Input_Meci'!D38)</x:f>
      </x:c>
      <x:c r="H392" s="2" t="str">
        <x:v>ANY</x:v>
      </x:c>
      <x:c r="I392" s="2" t="str">
        <x:v>RECENT</x:v>
      </x:c>
      <x:c r="J392" s="9" t="n">
        <x:f>IF(AND(B392&lt;&gt;"",ISNUMBER('Input_Meci'!G38)),INT('Input_Meci'!G38),0)</x:f>
        <x:v>0</x:v>
      </x:c>
      <x:c r="K392" s="2" t="n">
        <x:f>IF(OR(B392="",F392=""),0,IF(H392="HOME",COUNTIFS('Istoric_Nativ'!$B$6:$B$405,E392,'Istoric_Nativ'!$C$6:$C$405,F392,'Istoric_Nativ'!$E$6:$E$405,G392,'Istoric_Nativ'!$D$6:$D$405,"&lt;"&amp;J392,'Istoric_Nativ'!$P$6:$P$405,1),IF(H392="AWAY",COUNTIFS('Istoric_Nativ'!$B$6:$B$405,E392,'Istoric_Nativ'!$C$6:$C$405,F392,'Istoric_Nativ'!$F$6:$F$405,G392,'Istoric_Nativ'!$D$6:$D$405,"&lt;"&amp;J392,'Istoric_Nativ'!$P$6:$P$405,1),COUNTIFS('Istoric_Nativ'!$B$6:$B$405,E392,'Istoric_Nativ'!$C$6:$C$405,F392,'Istoric_Nativ'!$E$6:$E$405,G392,'Istoric_Nativ'!$D$6:$D$405,"&lt;"&amp;J392,'Istoric_Nativ'!$P$6:$P$405,1)+COUNTIFS('Istoric_Nativ'!$B$6:$B$405,E392,'Istoric_Nativ'!$C$6:$C$405,F392,'Istoric_Nativ'!$F$6:$F$405,G392,'Istoric_Nativ'!$D$6:$D$405,"&lt;"&amp;J392,'Istoric_Nativ'!$P$6:$P$405,1))))</x:f>
        <x:v>0</x:v>
      </x:c>
      <x:c r="L392" s="17" t="n">
        <x:f>IF(AND(B392&lt;&gt;"",I392="RECENT",K392&gt;0),LARGE(_xlfn._xlws.FILTER('Istoric_Nativ'!$D$6:$D$405,('Istoric_Nativ'!$B$6:$B$405=E392)*('Istoric_Nativ'!$C$6:$C$405=F392)*('Istoric_Nativ'!$P$6:$P$405=1)*('Istoric_Nativ'!$D$6:$D$405&lt;J392)*((('Istoric_Nativ'!$E$6:$E$405=G392)+('Istoric_Nativ'!$F$6:$F$405=G392))&gt;0)),MIN('Config_v6'!$B$54,K392)),0)</x:f>
        <x:v>0</x:v>
      </x:c>
      <x:c r="M392" s="2" t="n">
        <x:f>IF(OR(B392="",F392=""),0,IF(H392="HOME",COUNTIFS('Istoric_Nativ'!$B$6:$B$405,E392,'Istoric_Nativ'!$C$6:$C$405,F392,'Istoric_Nativ'!$E$6:$E$405,G392,'Istoric_Nativ'!$D$6:$D$405,"&lt;"&amp;J392,'Istoric_Nativ'!$P$6:$P$405,1,'Istoric_Nativ'!$D$6:$D$405,"&gt;="&amp;L392),IF(H392="AWAY",COUNTIFS('Istoric_Nativ'!$B$6:$B$405,E392,'Istoric_Nativ'!$C$6:$C$405,F392,'Istoric_Nativ'!$F$6:$F$405,G392,'Istoric_Nativ'!$D$6:$D$405,"&lt;"&amp;J392,'Istoric_Nativ'!$P$6:$P$405,1,'Istoric_Nativ'!$D$6:$D$405,"&gt;="&amp;L392),COUNTIFS('Istoric_Nativ'!$B$6:$B$405,E392,'Istoric_Nativ'!$C$6:$C$405,F392,'Istoric_Nativ'!$E$6:$E$405,G392,'Istoric_Nativ'!$D$6:$D$405,"&lt;"&amp;J392,'Istoric_Nativ'!$P$6:$P$405,1,'Istoric_Nativ'!$D$6:$D$405,"&gt;="&amp;L392)+COUNTIFS('Istoric_Nativ'!$B$6:$B$405,E392,'Istoric_Nativ'!$C$6:$C$405,F392,'Istoric_Nativ'!$F$6:$F$405,G392,'Istoric_Nativ'!$D$6:$D$405,"&lt;"&amp;J392,'Istoric_Nativ'!$P$6:$P$405,1,'Istoric_Nativ'!$D$6:$D$405,"&gt;="&amp;L392))))</x:f>
        <x:v>0</x:v>
      </x:c>
      <x:c r="N392" s="11" t="str">
        <x:f>IF(M392=0,"",IF(H392="HOME",SUMIFS('Istoric_Nativ'!$G$6:$G$405,'Istoric_Nativ'!$B$6:$B$405,E392,'Istoric_Nativ'!$C$6:$C$405,F392,'Istoric_Nativ'!$E$6:$E$405,G392,'Istoric_Nativ'!$D$6:$D$405,"&lt;"&amp;J392,'Istoric_Nativ'!$P$6:$P$405,1,'Istoric_Nativ'!$D$6:$D$405,"&gt;="&amp;L392),IF(H392="AWAY",SUMIFS('Istoric_Nativ'!$H$6:$H$405,'Istoric_Nativ'!$B$6:$B$405,E392,'Istoric_Nativ'!$C$6:$C$405,F392,'Istoric_Nativ'!$F$6:$F$405,G392,'Istoric_Nativ'!$D$6:$D$405,"&lt;"&amp;J392,'Istoric_Nativ'!$P$6:$P$405,1,'Istoric_Nativ'!$D$6:$D$405,"&gt;="&amp;L392),SUMIFS('Istoric_Nativ'!$G$6:$G$405,'Istoric_Nativ'!$B$6:$B$405,E392,'Istoric_Nativ'!$C$6:$C$405,F392,'Istoric_Nativ'!$E$6:$E$405,G392,'Istoric_Nativ'!$D$6:$D$405,"&lt;"&amp;J392,'Istoric_Nativ'!$P$6:$P$405,1,'Istoric_Nativ'!$D$6:$D$405,"&gt;="&amp;L392)+SUMIFS('Istoric_Nativ'!$H$6:$H$405,'Istoric_Nativ'!$B$6:$B$405,E392,'Istoric_Nativ'!$C$6:$C$405,F392,'Istoric_Nativ'!$F$6:$F$405,G392,'Istoric_Nativ'!$D$6:$D$405,"&lt;"&amp;J392,'Istoric_Nativ'!$P$6:$P$405,1,'Istoric_Nativ'!$D$6:$D$405,"&gt;="&amp;L392)))/M392)</x:f>
      </x:c>
      <x:c r="O392" s="11" t="str">
        <x:f>IF(M392=0,"",IF(H392="HOME",SUMIFS('Istoric_Nativ'!$H$6:$H$405,'Istoric_Nativ'!$B$6:$B$405,E392,'Istoric_Nativ'!$C$6:$C$405,F392,'Istoric_Nativ'!$E$6:$E$405,G392,'Istoric_Nativ'!$D$6:$D$405,"&lt;"&amp;J392,'Istoric_Nativ'!$P$6:$P$405,1,'Istoric_Nativ'!$D$6:$D$405,"&gt;="&amp;L392),IF(H392="AWAY",SUMIFS('Istoric_Nativ'!$G$6:$G$405,'Istoric_Nativ'!$B$6:$B$405,E392,'Istoric_Nativ'!$C$6:$C$405,F392,'Istoric_Nativ'!$F$6:$F$405,G392,'Istoric_Nativ'!$D$6:$D$405,"&lt;"&amp;J392,'Istoric_Nativ'!$P$6:$P$405,1,'Istoric_Nativ'!$D$6:$D$405,"&gt;="&amp;L392),SUMIFS('Istoric_Nativ'!$H$6:$H$405,'Istoric_Nativ'!$B$6:$B$405,E392,'Istoric_Nativ'!$C$6:$C$405,F392,'Istoric_Nativ'!$E$6:$E$405,G392,'Istoric_Nativ'!$D$6:$D$405,"&lt;"&amp;J392,'Istoric_Nativ'!$P$6:$P$405,1,'Istoric_Nativ'!$D$6:$D$405,"&gt;="&amp;L392)+SUMIFS('Istoric_Nativ'!$G$6:$G$405,'Istoric_Nativ'!$B$6:$B$405,E392,'Istoric_Nativ'!$C$6:$C$405,F392,'Istoric_Nativ'!$F$6:$F$405,G392,'Istoric_Nativ'!$D$6:$D$405,"&lt;"&amp;J392,'Istoric_Nativ'!$P$6:$P$405,1,'Istoric_Nativ'!$D$6:$D$405,"&gt;="&amp;L392)))/M392)</x:f>
      </x:c>
      <x:c r="P392" s="2" t="n">
        <x:f>'Config_v6'!$B$9</x:f>
        <x:v>3</x:v>
      </x:c>
      <x:c r="Q392" s="2" t="n">
        <x:f>IF(OR(B392="",F392=""),0,IFERROR(MATCH(E392&amp;"|"&amp;F392,SourceTable[Source_Key],0),0))</x:f>
        <x:v>0</x:v>
      </x:c>
      <x:c r="R392" s="2" t="str">
        <x:f>IF(B392="","",IF(F392="","UNUSED",IF(Q392=0,"NOT CHECKED",IF(COUNTIF(SourceTable[Source_Key],E392&amp;"|"&amp;F392)&lt;&gt;1,"SOURCE CONFLICT",IF(NOT(OR(INDEX(SourceTable[Status],MAX(1,Q392))="IMPORTED",INDEX(SourceTable[Status],MAX(1,Q392))="PARTIAL",INDEX(SourceTable[Status],MAX(1,Q392))="SOURCE CONFLICT")),"ACCESS BLOCKED",IF(OR(INDEX(SourceTable[Coverage],Q392)&lt;&gt;"FULL SEASON EXPORT",INDEX(SourceTable[URL],Q392)="",INDEX(SourceTable[SHA256],Q392)=""),"EVIDENCE INCOMPLETE",IF(AND('Input_Meci'!H38="LIVE",INDEX(SourceTable[Retrieved_UTC],Q392)&gt;'Input_Meci'!G38),"POST CUTOFF","CLOSED")))))))</x:f>
      </x:c>
      <x:c r="S392" s="2" t="n">
        <x:f>IF(OR(B392="",F392=""),0,COUNTIFS('Istoric_Nativ'!$B$6:$B$405,E392,'Istoric_Nativ'!$C$6:$C$405,F392,'Istoric_Nativ'!$E$6:$E$405,G392,'Istoric_Nativ'!$D$6:$D$405,"&lt;"&amp;J392,'Istoric_Nativ'!$O$6:$O$405,"INVALID")+COUNTIFS('Istoric_Nativ'!$B$6:$B$405,E392,'Istoric_Nativ'!$C$6:$C$405,F392,'Istoric_Nativ'!$E$6:$E$405,G392,'Istoric_Nativ'!$O$6:$O$405,"INVALID",'Istoric_Nativ'!$D$6:$D$405,"*")+COUNTIFS('Istoric_Nativ'!$B$6:$B$405,E392,'Istoric_Nativ'!$C$6:$C$405,F392,'Istoric_Nativ'!$E$6:$E$405,G392,'Istoric_Nativ'!$D$6:$D$405,"&lt;"&amp;J392,'Istoric_Nativ'!$O$6:$O$405,"SOURCE CONFLICT")+COUNTIFS('Istoric_Nativ'!$B$6:$B$405,E392,'Istoric_Nativ'!$C$6:$C$405,F392,'Istoric_Nativ'!$F$6:$F$405,G392,'Istoric_Nativ'!$D$6:$D$405,"&lt;"&amp;J392,'Istoric_Nativ'!$O$6:$O$405,"INVALID")+COUNTIFS('Istoric_Nativ'!$B$6:$B$405,E392,'Istoric_Nativ'!$C$6:$C$405,F392,'Istoric_Nativ'!$F$6:$F$405,G392,'Istoric_Nativ'!$O$6:$O$405,"INVALID",'Istoric_Nativ'!$D$6:$D$405,"*")+COUNTIFS('Istoric_Nativ'!$B$6:$B$405,E392,'Istoric_Nativ'!$C$6:$C$405,F392,'Istoric_Nativ'!$F$6:$F$405,G392,'Istoric_Nativ'!$D$6:$D$405,"&lt;"&amp;J392,'Istoric_Nativ'!$O$6:$O$405,"SOURCE CONFLICT"))</x:f>
        <x:v>0</x:v>
      </x:c>
      <x:c r="T392" s="2" t="str">
        <x:f>IF(B392="","",IF(R392&lt;&gt;"CLOSED",R392,IF(S392&gt;0,"NATIVE INPUT ISSUE",IF(M392=0,"NO HISTORY",IF(M392&lt;P392,"SMALL SAMPLE","DERIVED")))))</x:f>
      </x:c>
      <x:c r="U392" s="2" t="str">
        <x:f>IF(B392="","","NativeTable; "&amp;E392&amp;"; "&amp;F392&amp;"; "&amp;G392&amp;"; "&amp;H392&amp;"; before "&amp;TEXT(J392,"yyyy-mm-dd")&amp;IF(I392="RECENT","; from "&amp;TEXT(L392,"yyyy-mm-dd"),""))</x:f>
      </x:c>
    </x:row>
    <x:row r="393" ht="21" customHeight="1">
      <x:c r="A393" s="2" t="n">
        <x:v>33</x:v>
      </x:c>
      <x:c r="B393" s="2" t="str">
        <x:f>IF('Input_Meci'!A38="","",'Input_Meci'!A38)</x:f>
      </x:c>
      <x:c r="C393" s="2" t="str">
        <x:v>A</x:v>
      </x:c>
      <x:c r="D393" s="2" t="str">
        <x:v>CURRENT</x:v>
      </x:c>
      <x:c r="E393" s="2" t="str">
        <x:f>IF(B393="","",'Input_Meci'!B38)</x:f>
      </x:c>
      <x:c r="F393" s="2" t="str">
        <x:f>IF(B393="","",IF('Input_Meci'!C38="","",'Input_Meci'!C38))</x:f>
      </x:c>
      <x:c r="G393" s="2" t="str">
        <x:f>IF(B393="","",'Input_Meci'!E38)</x:f>
      </x:c>
      <x:c r="H393" s="2" t="str">
        <x:v>ANY</x:v>
      </x:c>
      <x:c r="I393" s="2" t="str">
        <x:v>SEASON</x:v>
      </x:c>
      <x:c r="J393" s="9" t="n">
        <x:f>IF(AND(B393&lt;&gt;"",ISNUMBER('Input_Meci'!G38)),INT('Input_Meci'!G38),0)</x:f>
        <x:v>0</x:v>
      </x:c>
      <x:c r="K393" s="2" t="n">
        <x:f>IF(OR(B393="",F393=""),0,IF(H393="HOME",COUNTIFS('Istoric_Nativ'!$B$6:$B$405,E393,'Istoric_Nativ'!$C$6:$C$405,F393,'Istoric_Nativ'!$E$6:$E$405,G393,'Istoric_Nativ'!$D$6:$D$405,"&lt;"&amp;J393,'Istoric_Nativ'!$P$6:$P$405,1),IF(H393="AWAY",COUNTIFS('Istoric_Nativ'!$B$6:$B$405,E393,'Istoric_Nativ'!$C$6:$C$405,F393,'Istoric_Nativ'!$F$6:$F$405,G393,'Istoric_Nativ'!$D$6:$D$405,"&lt;"&amp;J393,'Istoric_Nativ'!$P$6:$P$405,1),COUNTIFS('Istoric_Nativ'!$B$6:$B$405,E393,'Istoric_Nativ'!$C$6:$C$405,F393,'Istoric_Nativ'!$E$6:$E$405,G393,'Istoric_Nativ'!$D$6:$D$405,"&lt;"&amp;J393,'Istoric_Nativ'!$P$6:$P$405,1)+COUNTIFS('Istoric_Nativ'!$B$6:$B$405,E393,'Istoric_Nativ'!$C$6:$C$405,F393,'Istoric_Nativ'!$F$6:$F$405,G393,'Istoric_Nativ'!$D$6:$D$405,"&lt;"&amp;J393,'Istoric_Nativ'!$P$6:$P$405,1))))</x:f>
        <x:v>0</x:v>
      </x:c>
      <x:c r="L393" s="17" t="n">
        <x:f>IF(AND(B393&lt;&gt;"",I393="RECENT",K393&gt;0),LARGE(_xlfn._xlws.FILTER('Istoric_Nativ'!$D$6:$D$405,('Istoric_Nativ'!$B$6:$B$405=E393)*('Istoric_Nativ'!$C$6:$C$405=F393)*('Istoric_Nativ'!$P$6:$P$405=1)*('Istoric_Nativ'!$D$6:$D$405&lt;J393)*((('Istoric_Nativ'!$E$6:$E$405=G393)+('Istoric_Nativ'!$F$6:$F$405=G393))&gt;0)),MIN('Config_v6'!$B$54,K393)),0)</x:f>
        <x:v>0</x:v>
      </x:c>
      <x:c r="M393" s="2" t="n">
        <x:f>IF(OR(B393="",F393=""),0,IF(H393="HOME",COUNTIFS('Istoric_Nativ'!$B$6:$B$405,E393,'Istoric_Nativ'!$C$6:$C$405,F393,'Istoric_Nativ'!$E$6:$E$405,G393,'Istoric_Nativ'!$D$6:$D$405,"&lt;"&amp;J393,'Istoric_Nativ'!$P$6:$P$405,1,'Istoric_Nativ'!$D$6:$D$405,"&gt;="&amp;L393),IF(H393="AWAY",COUNTIFS('Istoric_Nativ'!$B$6:$B$405,E393,'Istoric_Nativ'!$C$6:$C$405,F393,'Istoric_Nativ'!$F$6:$F$405,G393,'Istoric_Nativ'!$D$6:$D$405,"&lt;"&amp;J393,'Istoric_Nativ'!$P$6:$P$405,1,'Istoric_Nativ'!$D$6:$D$405,"&gt;="&amp;L393),COUNTIFS('Istoric_Nativ'!$B$6:$B$405,E393,'Istoric_Nativ'!$C$6:$C$405,F393,'Istoric_Nativ'!$E$6:$E$405,G393,'Istoric_Nativ'!$D$6:$D$405,"&lt;"&amp;J393,'Istoric_Nativ'!$P$6:$P$405,1,'Istoric_Nativ'!$D$6:$D$405,"&gt;="&amp;L393)+COUNTIFS('Istoric_Nativ'!$B$6:$B$405,E393,'Istoric_Nativ'!$C$6:$C$405,F393,'Istoric_Nativ'!$F$6:$F$405,G393,'Istoric_Nativ'!$D$6:$D$405,"&lt;"&amp;J393,'Istoric_Nativ'!$P$6:$P$405,1,'Istoric_Nativ'!$D$6:$D$405,"&gt;="&amp;L393))))</x:f>
        <x:v>0</x:v>
      </x:c>
      <x:c r="N393" s="11" t="str">
        <x:f>IF(M393=0,"",IF(H393="HOME",SUMIFS('Istoric_Nativ'!$G$6:$G$405,'Istoric_Nativ'!$B$6:$B$405,E393,'Istoric_Nativ'!$C$6:$C$405,F393,'Istoric_Nativ'!$E$6:$E$405,G393,'Istoric_Nativ'!$D$6:$D$405,"&lt;"&amp;J393,'Istoric_Nativ'!$P$6:$P$405,1,'Istoric_Nativ'!$D$6:$D$405,"&gt;="&amp;L393),IF(H393="AWAY",SUMIFS('Istoric_Nativ'!$H$6:$H$405,'Istoric_Nativ'!$B$6:$B$405,E393,'Istoric_Nativ'!$C$6:$C$405,F393,'Istoric_Nativ'!$F$6:$F$405,G393,'Istoric_Nativ'!$D$6:$D$405,"&lt;"&amp;J393,'Istoric_Nativ'!$P$6:$P$405,1,'Istoric_Nativ'!$D$6:$D$405,"&gt;="&amp;L393),SUMIFS('Istoric_Nativ'!$G$6:$G$405,'Istoric_Nativ'!$B$6:$B$405,E393,'Istoric_Nativ'!$C$6:$C$405,F393,'Istoric_Nativ'!$E$6:$E$405,G393,'Istoric_Nativ'!$D$6:$D$405,"&lt;"&amp;J393,'Istoric_Nativ'!$P$6:$P$405,1,'Istoric_Nativ'!$D$6:$D$405,"&gt;="&amp;L393)+SUMIFS('Istoric_Nativ'!$H$6:$H$405,'Istoric_Nativ'!$B$6:$B$405,E393,'Istoric_Nativ'!$C$6:$C$405,F393,'Istoric_Nativ'!$F$6:$F$405,G393,'Istoric_Nativ'!$D$6:$D$405,"&lt;"&amp;J393,'Istoric_Nativ'!$P$6:$P$405,1,'Istoric_Nativ'!$D$6:$D$405,"&gt;="&amp;L393)))/M393)</x:f>
      </x:c>
      <x:c r="O393" s="11" t="str">
        <x:f>IF(M393=0,"",IF(H393="HOME",SUMIFS('Istoric_Nativ'!$H$6:$H$405,'Istoric_Nativ'!$B$6:$B$405,E393,'Istoric_Nativ'!$C$6:$C$405,F393,'Istoric_Nativ'!$E$6:$E$405,G393,'Istoric_Nativ'!$D$6:$D$405,"&lt;"&amp;J393,'Istoric_Nativ'!$P$6:$P$405,1,'Istoric_Nativ'!$D$6:$D$405,"&gt;="&amp;L393),IF(H393="AWAY",SUMIFS('Istoric_Nativ'!$G$6:$G$405,'Istoric_Nativ'!$B$6:$B$405,E393,'Istoric_Nativ'!$C$6:$C$405,F393,'Istoric_Nativ'!$F$6:$F$405,G393,'Istoric_Nativ'!$D$6:$D$405,"&lt;"&amp;J393,'Istoric_Nativ'!$P$6:$P$405,1,'Istoric_Nativ'!$D$6:$D$405,"&gt;="&amp;L393),SUMIFS('Istoric_Nativ'!$H$6:$H$405,'Istoric_Nativ'!$B$6:$B$405,E393,'Istoric_Nativ'!$C$6:$C$405,F393,'Istoric_Nativ'!$E$6:$E$405,G393,'Istoric_Nativ'!$D$6:$D$405,"&lt;"&amp;J393,'Istoric_Nativ'!$P$6:$P$405,1,'Istoric_Nativ'!$D$6:$D$405,"&gt;="&amp;L393)+SUMIFS('Istoric_Nativ'!$G$6:$G$405,'Istoric_Nativ'!$B$6:$B$405,E393,'Istoric_Nativ'!$C$6:$C$405,F393,'Istoric_Nativ'!$F$6:$F$405,G393,'Istoric_Nativ'!$D$6:$D$405,"&lt;"&amp;J393,'Istoric_Nativ'!$P$6:$P$405,1,'Istoric_Nativ'!$D$6:$D$405,"&gt;="&amp;L393)))/M393)</x:f>
      </x:c>
      <x:c r="P393" s="2" t="n">
        <x:f>'Config_v6'!$B$7</x:f>
        <x:v>10</x:v>
      </x:c>
      <x:c r="Q393" s="2" t="n">
        <x:f>IF(OR(B393="",F393=""),0,IFERROR(MATCH(E393&amp;"|"&amp;F393,SourceTable[Source_Key],0),0))</x:f>
        <x:v>0</x:v>
      </x:c>
      <x:c r="R393" s="2" t="str">
        <x:f>IF(B393="","",IF(F393="","UNUSED",IF(Q393=0,"NOT CHECKED",IF(COUNTIF(SourceTable[Source_Key],E393&amp;"|"&amp;F393)&lt;&gt;1,"SOURCE CONFLICT",IF(NOT(OR(INDEX(SourceTable[Status],MAX(1,Q393))="IMPORTED",INDEX(SourceTable[Status],MAX(1,Q393))="PARTIAL",INDEX(SourceTable[Status],MAX(1,Q393))="SOURCE CONFLICT")),"ACCESS BLOCKED",IF(OR(INDEX(SourceTable[Coverage],Q393)&lt;&gt;"FULL SEASON EXPORT",INDEX(SourceTable[URL],Q393)="",INDEX(SourceTable[SHA256],Q393)=""),"EVIDENCE INCOMPLETE",IF(AND('Input_Meci'!H38="LIVE",INDEX(SourceTable[Retrieved_UTC],Q393)&gt;'Input_Meci'!G38),"POST CUTOFF","CLOSED")))))))</x:f>
      </x:c>
      <x:c r="S393" s="2" t="n">
        <x:f>IF(OR(B393="",F393=""),0,COUNTIFS('Istoric_Nativ'!$B$6:$B$405,E393,'Istoric_Nativ'!$C$6:$C$405,F393,'Istoric_Nativ'!$E$6:$E$405,G393,'Istoric_Nativ'!$D$6:$D$405,"&lt;"&amp;J393,'Istoric_Nativ'!$O$6:$O$405,"INVALID")+COUNTIFS('Istoric_Nativ'!$B$6:$B$405,E393,'Istoric_Nativ'!$C$6:$C$405,F393,'Istoric_Nativ'!$E$6:$E$405,G393,'Istoric_Nativ'!$O$6:$O$405,"INVALID",'Istoric_Nativ'!$D$6:$D$405,"*")+COUNTIFS('Istoric_Nativ'!$B$6:$B$405,E393,'Istoric_Nativ'!$C$6:$C$405,F393,'Istoric_Nativ'!$E$6:$E$405,G393,'Istoric_Nativ'!$D$6:$D$405,"&lt;"&amp;J393,'Istoric_Nativ'!$O$6:$O$405,"SOURCE CONFLICT")+COUNTIFS('Istoric_Nativ'!$B$6:$B$405,E393,'Istoric_Nativ'!$C$6:$C$405,F393,'Istoric_Nativ'!$F$6:$F$405,G393,'Istoric_Nativ'!$D$6:$D$405,"&lt;"&amp;J393,'Istoric_Nativ'!$O$6:$O$405,"INVALID")+COUNTIFS('Istoric_Nativ'!$B$6:$B$405,E393,'Istoric_Nativ'!$C$6:$C$405,F393,'Istoric_Nativ'!$F$6:$F$405,G393,'Istoric_Nativ'!$O$6:$O$405,"INVALID",'Istoric_Nativ'!$D$6:$D$405,"*")+COUNTIFS('Istoric_Nativ'!$B$6:$B$405,E393,'Istoric_Nativ'!$C$6:$C$405,F393,'Istoric_Nativ'!$F$6:$F$405,G393,'Istoric_Nativ'!$D$6:$D$405,"&lt;"&amp;J393,'Istoric_Nativ'!$O$6:$O$405,"SOURCE CONFLICT"))</x:f>
        <x:v>0</x:v>
      </x:c>
      <x:c r="T393" s="2" t="str">
        <x:f>IF(B393="","",IF(R393&lt;&gt;"CLOSED",R393,IF(S393&gt;0,"NATIVE INPUT ISSUE",IF(M393=0,"NO HISTORY",IF(M393&lt;P393,"SMALL SAMPLE","DERIVED")))))</x:f>
      </x:c>
      <x:c r="U393" s="2" t="str">
        <x:f>IF(B393="","","NativeTable; "&amp;E393&amp;"; "&amp;F393&amp;"; "&amp;G393&amp;"; "&amp;H393&amp;"; before "&amp;TEXT(J393,"yyyy-mm-dd")&amp;IF(I393="RECENT","; from "&amp;TEXT(L393,"yyyy-mm-dd"),""))</x:f>
      </x:c>
    </x:row>
    <x:row r="394" ht="21" customHeight="1">
      <x:c r="A394" s="2" t="n">
        <x:v>33</x:v>
      </x:c>
      <x:c r="B394" s="2" t="str">
        <x:f>IF('Input_Meci'!A38="","",'Input_Meci'!A38)</x:f>
      </x:c>
      <x:c r="C394" s="2" t="str">
        <x:v>A</x:v>
      </x:c>
      <x:c r="D394" s="2" t="str">
        <x:v>CURRENT</x:v>
      </x:c>
      <x:c r="E394" s="2" t="str">
        <x:f>IF(B394="","",'Input_Meci'!B38)</x:f>
      </x:c>
      <x:c r="F394" s="2" t="str">
        <x:f>IF(B394="","",IF('Input_Meci'!C38="","",'Input_Meci'!C38))</x:f>
      </x:c>
      <x:c r="G394" s="2" t="str">
        <x:f>IF(B394="","",'Input_Meci'!E38)</x:f>
      </x:c>
      <x:c r="H394" s="2" t="str">
        <x:v>AWAY</x:v>
      </x:c>
      <x:c r="I394" s="2" t="str">
        <x:v>HA</x:v>
      </x:c>
      <x:c r="J394" s="9" t="n">
        <x:f>IF(AND(B394&lt;&gt;"",ISNUMBER('Input_Meci'!G38)),INT('Input_Meci'!G38),0)</x:f>
        <x:v>0</x:v>
      </x:c>
      <x:c r="K394" s="2" t="n">
        <x:f>IF(OR(B394="",F394=""),0,IF(H394="HOME",COUNTIFS('Istoric_Nativ'!$B$6:$B$405,E394,'Istoric_Nativ'!$C$6:$C$405,F394,'Istoric_Nativ'!$E$6:$E$405,G394,'Istoric_Nativ'!$D$6:$D$405,"&lt;"&amp;J394,'Istoric_Nativ'!$P$6:$P$405,1),IF(H394="AWAY",COUNTIFS('Istoric_Nativ'!$B$6:$B$405,E394,'Istoric_Nativ'!$C$6:$C$405,F394,'Istoric_Nativ'!$F$6:$F$405,G394,'Istoric_Nativ'!$D$6:$D$405,"&lt;"&amp;J394,'Istoric_Nativ'!$P$6:$P$405,1),COUNTIFS('Istoric_Nativ'!$B$6:$B$405,E394,'Istoric_Nativ'!$C$6:$C$405,F394,'Istoric_Nativ'!$E$6:$E$405,G394,'Istoric_Nativ'!$D$6:$D$405,"&lt;"&amp;J394,'Istoric_Nativ'!$P$6:$P$405,1)+COUNTIFS('Istoric_Nativ'!$B$6:$B$405,E394,'Istoric_Nativ'!$C$6:$C$405,F394,'Istoric_Nativ'!$F$6:$F$405,G394,'Istoric_Nativ'!$D$6:$D$405,"&lt;"&amp;J394,'Istoric_Nativ'!$P$6:$P$405,1))))</x:f>
        <x:v>0</x:v>
      </x:c>
      <x:c r="L394" s="17" t="n">
        <x:f>IF(AND(B394&lt;&gt;"",I394="RECENT",K394&gt;0),LARGE(_xlfn._xlws.FILTER('Istoric_Nativ'!$D$6:$D$405,('Istoric_Nativ'!$B$6:$B$405=E394)*('Istoric_Nativ'!$C$6:$C$405=F394)*('Istoric_Nativ'!$P$6:$P$405=1)*('Istoric_Nativ'!$D$6:$D$405&lt;J394)*((('Istoric_Nativ'!$E$6:$E$405=G394)+('Istoric_Nativ'!$F$6:$F$405=G394))&gt;0)),MIN('Config_v6'!$B$54,K394)),0)</x:f>
        <x:v>0</x:v>
      </x:c>
      <x:c r="M394" s="2" t="n">
        <x:f>IF(OR(B394="",F394=""),0,IF(H394="HOME",COUNTIFS('Istoric_Nativ'!$B$6:$B$405,E394,'Istoric_Nativ'!$C$6:$C$405,F394,'Istoric_Nativ'!$E$6:$E$405,G394,'Istoric_Nativ'!$D$6:$D$405,"&lt;"&amp;J394,'Istoric_Nativ'!$P$6:$P$405,1,'Istoric_Nativ'!$D$6:$D$405,"&gt;="&amp;L394),IF(H394="AWAY",COUNTIFS('Istoric_Nativ'!$B$6:$B$405,E394,'Istoric_Nativ'!$C$6:$C$405,F394,'Istoric_Nativ'!$F$6:$F$405,G394,'Istoric_Nativ'!$D$6:$D$405,"&lt;"&amp;J394,'Istoric_Nativ'!$P$6:$P$405,1,'Istoric_Nativ'!$D$6:$D$405,"&gt;="&amp;L394),COUNTIFS('Istoric_Nativ'!$B$6:$B$405,E394,'Istoric_Nativ'!$C$6:$C$405,F394,'Istoric_Nativ'!$E$6:$E$405,G394,'Istoric_Nativ'!$D$6:$D$405,"&lt;"&amp;J394,'Istoric_Nativ'!$P$6:$P$405,1,'Istoric_Nativ'!$D$6:$D$405,"&gt;="&amp;L394)+COUNTIFS('Istoric_Nativ'!$B$6:$B$405,E394,'Istoric_Nativ'!$C$6:$C$405,F394,'Istoric_Nativ'!$F$6:$F$405,G394,'Istoric_Nativ'!$D$6:$D$405,"&lt;"&amp;J394,'Istoric_Nativ'!$P$6:$P$405,1,'Istoric_Nativ'!$D$6:$D$405,"&gt;="&amp;L394))))</x:f>
        <x:v>0</x:v>
      </x:c>
      <x:c r="N394" s="11" t="str">
        <x:f>IF(M394=0,"",IF(H394="HOME",SUMIFS('Istoric_Nativ'!$G$6:$G$405,'Istoric_Nativ'!$B$6:$B$405,E394,'Istoric_Nativ'!$C$6:$C$405,F394,'Istoric_Nativ'!$E$6:$E$405,G394,'Istoric_Nativ'!$D$6:$D$405,"&lt;"&amp;J394,'Istoric_Nativ'!$P$6:$P$405,1,'Istoric_Nativ'!$D$6:$D$405,"&gt;="&amp;L394),IF(H394="AWAY",SUMIFS('Istoric_Nativ'!$H$6:$H$405,'Istoric_Nativ'!$B$6:$B$405,E394,'Istoric_Nativ'!$C$6:$C$405,F394,'Istoric_Nativ'!$F$6:$F$405,G394,'Istoric_Nativ'!$D$6:$D$405,"&lt;"&amp;J394,'Istoric_Nativ'!$P$6:$P$405,1,'Istoric_Nativ'!$D$6:$D$405,"&gt;="&amp;L394),SUMIFS('Istoric_Nativ'!$G$6:$G$405,'Istoric_Nativ'!$B$6:$B$405,E394,'Istoric_Nativ'!$C$6:$C$405,F394,'Istoric_Nativ'!$E$6:$E$405,G394,'Istoric_Nativ'!$D$6:$D$405,"&lt;"&amp;J394,'Istoric_Nativ'!$P$6:$P$405,1,'Istoric_Nativ'!$D$6:$D$405,"&gt;="&amp;L394)+SUMIFS('Istoric_Nativ'!$H$6:$H$405,'Istoric_Nativ'!$B$6:$B$405,E394,'Istoric_Nativ'!$C$6:$C$405,F394,'Istoric_Nativ'!$F$6:$F$405,G394,'Istoric_Nativ'!$D$6:$D$405,"&lt;"&amp;J394,'Istoric_Nativ'!$P$6:$P$405,1,'Istoric_Nativ'!$D$6:$D$405,"&gt;="&amp;L394)))/M394)</x:f>
      </x:c>
      <x:c r="O394" s="11" t="str">
        <x:f>IF(M394=0,"",IF(H394="HOME",SUMIFS('Istoric_Nativ'!$H$6:$H$405,'Istoric_Nativ'!$B$6:$B$405,E394,'Istoric_Nativ'!$C$6:$C$405,F394,'Istoric_Nativ'!$E$6:$E$405,G394,'Istoric_Nativ'!$D$6:$D$405,"&lt;"&amp;J394,'Istoric_Nativ'!$P$6:$P$405,1,'Istoric_Nativ'!$D$6:$D$405,"&gt;="&amp;L394),IF(H394="AWAY",SUMIFS('Istoric_Nativ'!$G$6:$G$405,'Istoric_Nativ'!$B$6:$B$405,E394,'Istoric_Nativ'!$C$6:$C$405,F394,'Istoric_Nativ'!$F$6:$F$405,G394,'Istoric_Nativ'!$D$6:$D$405,"&lt;"&amp;J394,'Istoric_Nativ'!$P$6:$P$405,1,'Istoric_Nativ'!$D$6:$D$405,"&gt;="&amp;L394),SUMIFS('Istoric_Nativ'!$H$6:$H$405,'Istoric_Nativ'!$B$6:$B$405,E394,'Istoric_Nativ'!$C$6:$C$405,F394,'Istoric_Nativ'!$E$6:$E$405,G394,'Istoric_Nativ'!$D$6:$D$405,"&lt;"&amp;J394,'Istoric_Nativ'!$P$6:$P$405,1,'Istoric_Nativ'!$D$6:$D$405,"&gt;="&amp;L394)+SUMIFS('Istoric_Nativ'!$G$6:$G$405,'Istoric_Nativ'!$B$6:$B$405,E394,'Istoric_Nativ'!$C$6:$C$405,F394,'Istoric_Nativ'!$F$6:$F$405,G394,'Istoric_Nativ'!$D$6:$D$405,"&lt;"&amp;J394,'Istoric_Nativ'!$P$6:$P$405,1,'Istoric_Nativ'!$D$6:$D$405,"&gt;="&amp;L394)))/M394)</x:f>
      </x:c>
      <x:c r="P394" s="2" t="n">
        <x:f>'Config_v6'!$B$8</x:f>
        <x:v>5</x:v>
      </x:c>
      <x:c r="Q394" s="2" t="n">
        <x:f>IF(OR(B394="",F394=""),0,IFERROR(MATCH(E394&amp;"|"&amp;F394,SourceTable[Source_Key],0),0))</x:f>
        <x:v>0</x:v>
      </x:c>
      <x:c r="R394" s="2" t="str">
        <x:f>IF(B394="","",IF(F394="","UNUSED",IF(Q394=0,"NOT CHECKED",IF(COUNTIF(SourceTable[Source_Key],E394&amp;"|"&amp;F394)&lt;&gt;1,"SOURCE CONFLICT",IF(NOT(OR(INDEX(SourceTable[Status],MAX(1,Q394))="IMPORTED",INDEX(SourceTable[Status],MAX(1,Q394))="PARTIAL",INDEX(SourceTable[Status],MAX(1,Q394))="SOURCE CONFLICT")),"ACCESS BLOCKED",IF(OR(INDEX(SourceTable[Coverage],Q394)&lt;&gt;"FULL SEASON EXPORT",INDEX(SourceTable[URL],Q394)="",INDEX(SourceTable[SHA256],Q394)=""),"EVIDENCE INCOMPLETE",IF(AND('Input_Meci'!H38="LIVE",INDEX(SourceTable[Retrieved_UTC],Q394)&gt;'Input_Meci'!G38),"POST CUTOFF","CLOSED")))))))</x:f>
      </x:c>
      <x:c r="S394" s="2" t="n">
        <x:f>IF(OR(B394="",F394=""),0,COUNTIFS('Istoric_Nativ'!$B$6:$B$405,E394,'Istoric_Nativ'!$C$6:$C$405,F394,'Istoric_Nativ'!$E$6:$E$405,G394,'Istoric_Nativ'!$D$6:$D$405,"&lt;"&amp;J394,'Istoric_Nativ'!$O$6:$O$405,"INVALID")+COUNTIFS('Istoric_Nativ'!$B$6:$B$405,E394,'Istoric_Nativ'!$C$6:$C$405,F394,'Istoric_Nativ'!$E$6:$E$405,G394,'Istoric_Nativ'!$O$6:$O$405,"INVALID",'Istoric_Nativ'!$D$6:$D$405,"*")+COUNTIFS('Istoric_Nativ'!$B$6:$B$405,E394,'Istoric_Nativ'!$C$6:$C$405,F394,'Istoric_Nativ'!$E$6:$E$405,G394,'Istoric_Nativ'!$D$6:$D$405,"&lt;"&amp;J394,'Istoric_Nativ'!$O$6:$O$405,"SOURCE CONFLICT")+COUNTIFS('Istoric_Nativ'!$B$6:$B$405,E394,'Istoric_Nativ'!$C$6:$C$405,F394,'Istoric_Nativ'!$F$6:$F$405,G394,'Istoric_Nativ'!$D$6:$D$405,"&lt;"&amp;J394,'Istoric_Nativ'!$O$6:$O$405,"INVALID")+COUNTIFS('Istoric_Nativ'!$B$6:$B$405,E394,'Istoric_Nativ'!$C$6:$C$405,F394,'Istoric_Nativ'!$F$6:$F$405,G394,'Istoric_Nativ'!$O$6:$O$405,"INVALID",'Istoric_Nativ'!$D$6:$D$405,"*")+COUNTIFS('Istoric_Nativ'!$B$6:$B$405,E394,'Istoric_Nativ'!$C$6:$C$405,F394,'Istoric_Nativ'!$F$6:$F$405,G394,'Istoric_Nativ'!$D$6:$D$405,"&lt;"&amp;J394,'Istoric_Nativ'!$O$6:$O$405,"SOURCE CONFLICT"))</x:f>
        <x:v>0</x:v>
      </x:c>
      <x:c r="T394" s="2" t="str">
        <x:f>IF(B394="","",IF(R394&lt;&gt;"CLOSED",R394,IF(S394&gt;0,"NATIVE INPUT ISSUE",IF(M394=0,"NO HISTORY",IF(M394&lt;P394,"SMALL SAMPLE","DERIVED")))))</x:f>
      </x:c>
      <x:c r="U394" s="2" t="str">
        <x:f>IF(B394="","","NativeTable; "&amp;E394&amp;"; "&amp;F394&amp;"; "&amp;G394&amp;"; "&amp;H394&amp;"; before "&amp;TEXT(J394,"yyyy-mm-dd")&amp;IF(I394="RECENT","; from "&amp;TEXT(L394,"yyyy-mm-dd"),""))</x:f>
      </x:c>
    </x:row>
    <x:row r="395" ht="21" customHeight="1">
      <x:c r="A395" s="2" t="n">
        <x:v>33</x:v>
      </x:c>
      <x:c r="B395" s="2" t="str">
        <x:f>IF('Input_Meci'!A38="","",'Input_Meci'!A38)</x:f>
      </x:c>
      <x:c r="C395" s="2" t="str">
        <x:v>A</x:v>
      </x:c>
      <x:c r="D395" s="2" t="str">
        <x:v>CURRENT</x:v>
      </x:c>
      <x:c r="E395" s="2" t="str">
        <x:f>IF(B395="","",'Input_Meci'!B38)</x:f>
      </x:c>
      <x:c r="F395" s="2" t="str">
        <x:f>IF(B395="","",IF('Input_Meci'!C38="","",'Input_Meci'!C38))</x:f>
      </x:c>
      <x:c r="G395" s="2" t="str">
        <x:f>IF(B395="","",'Input_Meci'!E38)</x:f>
      </x:c>
      <x:c r="H395" s="2" t="str">
        <x:v>ANY</x:v>
      </x:c>
      <x:c r="I395" s="2" t="str">
        <x:v>RECENT</x:v>
      </x:c>
      <x:c r="J395" s="9" t="n">
        <x:f>IF(AND(B395&lt;&gt;"",ISNUMBER('Input_Meci'!G38)),INT('Input_Meci'!G38),0)</x:f>
        <x:v>0</x:v>
      </x:c>
      <x:c r="K395" s="2" t="n">
        <x:f>IF(OR(B395="",F395=""),0,IF(H395="HOME",COUNTIFS('Istoric_Nativ'!$B$6:$B$405,E395,'Istoric_Nativ'!$C$6:$C$405,F395,'Istoric_Nativ'!$E$6:$E$405,G395,'Istoric_Nativ'!$D$6:$D$405,"&lt;"&amp;J395,'Istoric_Nativ'!$P$6:$P$405,1),IF(H395="AWAY",COUNTIFS('Istoric_Nativ'!$B$6:$B$405,E395,'Istoric_Nativ'!$C$6:$C$405,F395,'Istoric_Nativ'!$F$6:$F$405,G395,'Istoric_Nativ'!$D$6:$D$405,"&lt;"&amp;J395,'Istoric_Nativ'!$P$6:$P$405,1),COUNTIFS('Istoric_Nativ'!$B$6:$B$405,E395,'Istoric_Nativ'!$C$6:$C$405,F395,'Istoric_Nativ'!$E$6:$E$405,G395,'Istoric_Nativ'!$D$6:$D$405,"&lt;"&amp;J395,'Istoric_Nativ'!$P$6:$P$405,1)+COUNTIFS('Istoric_Nativ'!$B$6:$B$405,E395,'Istoric_Nativ'!$C$6:$C$405,F395,'Istoric_Nativ'!$F$6:$F$405,G395,'Istoric_Nativ'!$D$6:$D$405,"&lt;"&amp;J395,'Istoric_Nativ'!$P$6:$P$405,1))))</x:f>
        <x:v>0</x:v>
      </x:c>
      <x:c r="L395" s="17" t="n">
        <x:f>IF(AND(B395&lt;&gt;"",I395="RECENT",K395&gt;0),LARGE(_xlfn._xlws.FILTER('Istoric_Nativ'!$D$6:$D$405,('Istoric_Nativ'!$B$6:$B$405=E395)*('Istoric_Nativ'!$C$6:$C$405=F395)*('Istoric_Nativ'!$P$6:$P$405=1)*('Istoric_Nativ'!$D$6:$D$405&lt;J395)*((('Istoric_Nativ'!$E$6:$E$405=G395)+('Istoric_Nativ'!$F$6:$F$405=G395))&gt;0)),MIN('Config_v6'!$B$54,K395)),0)</x:f>
        <x:v>0</x:v>
      </x:c>
      <x:c r="M395" s="2" t="n">
        <x:f>IF(OR(B395="",F395=""),0,IF(H395="HOME",COUNTIFS('Istoric_Nativ'!$B$6:$B$405,E395,'Istoric_Nativ'!$C$6:$C$405,F395,'Istoric_Nativ'!$E$6:$E$405,G395,'Istoric_Nativ'!$D$6:$D$405,"&lt;"&amp;J395,'Istoric_Nativ'!$P$6:$P$405,1,'Istoric_Nativ'!$D$6:$D$405,"&gt;="&amp;L395),IF(H395="AWAY",COUNTIFS('Istoric_Nativ'!$B$6:$B$405,E395,'Istoric_Nativ'!$C$6:$C$405,F395,'Istoric_Nativ'!$F$6:$F$405,G395,'Istoric_Nativ'!$D$6:$D$405,"&lt;"&amp;J395,'Istoric_Nativ'!$P$6:$P$405,1,'Istoric_Nativ'!$D$6:$D$405,"&gt;="&amp;L395),COUNTIFS('Istoric_Nativ'!$B$6:$B$405,E395,'Istoric_Nativ'!$C$6:$C$405,F395,'Istoric_Nativ'!$E$6:$E$405,G395,'Istoric_Nativ'!$D$6:$D$405,"&lt;"&amp;J395,'Istoric_Nativ'!$P$6:$P$405,1,'Istoric_Nativ'!$D$6:$D$405,"&gt;="&amp;L395)+COUNTIFS('Istoric_Nativ'!$B$6:$B$405,E395,'Istoric_Nativ'!$C$6:$C$405,F395,'Istoric_Nativ'!$F$6:$F$405,G395,'Istoric_Nativ'!$D$6:$D$405,"&lt;"&amp;J395,'Istoric_Nativ'!$P$6:$P$405,1,'Istoric_Nativ'!$D$6:$D$405,"&gt;="&amp;L395))))</x:f>
        <x:v>0</x:v>
      </x:c>
      <x:c r="N395" s="11" t="str">
        <x:f>IF(M395=0,"",IF(H395="HOME",SUMIFS('Istoric_Nativ'!$G$6:$G$405,'Istoric_Nativ'!$B$6:$B$405,E395,'Istoric_Nativ'!$C$6:$C$405,F395,'Istoric_Nativ'!$E$6:$E$405,G395,'Istoric_Nativ'!$D$6:$D$405,"&lt;"&amp;J395,'Istoric_Nativ'!$P$6:$P$405,1,'Istoric_Nativ'!$D$6:$D$405,"&gt;="&amp;L395),IF(H395="AWAY",SUMIFS('Istoric_Nativ'!$H$6:$H$405,'Istoric_Nativ'!$B$6:$B$405,E395,'Istoric_Nativ'!$C$6:$C$405,F395,'Istoric_Nativ'!$F$6:$F$405,G395,'Istoric_Nativ'!$D$6:$D$405,"&lt;"&amp;J395,'Istoric_Nativ'!$P$6:$P$405,1,'Istoric_Nativ'!$D$6:$D$405,"&gt;="&amp;L395),SUMIFS('Istoric_Nativ'!$G$6:$G$405,'Istoric_Nativ'!$B$6:$B$405,E395,'Istoric_Nativ'!$C$6:$C$405,F395,'Istoric_Nativ'!$E$6:$E$405,G395,'Istoric_Nativ'!$D$6:$D$405,"&lt;"&amp;J395,'Istoric_Nativ'!$P$6:$P$405,1,'Istoric_Nativ'!$D$6:$D$405,"&gt;="&amp;L395)+SUMIFS('Istoric_Nativ'!$H$6:$H$405,'Istoric_Nativ'!$B$6:$B$405,E395,'Istoric_Nativ'!$C$6:$C$405,F395,'Istoric_Nativ'!$F$6:$F$405,G395,'Istoric_Nativ'!$D$6:$D$405,"&lt;"&amp;J395,'Istoric_Nativ'!$P$6:$P$405,1,'Istoric_Nativ'!$D$6:$D$405,"&gt;="&amp;L395)))/M395)</x:f>
      </x:c>
      <x:c r="O395" s="11" t="str">
        <x:f>IF(M395=0,"",IF(H395="HOME",SUMIFS('Istoric_Nativ'!$H$6:$H$405,'Istoric_Nativ'!$B$6:$B$405,E395,'Istoric_Nativ'!$C$6:$C$405,F395,'Istoric_Nativ'!$E$6:$E$405,G395,'Istoric_Nativ'!$D$6:$D$405,"&lt;"&amp;J395,'Istoric_Nativ'!$P$6:$P$405,1,'Istoric_Nativ'!$D$6:$D$405,"&gt;="&amp;L395),IF(H395="AWAY",SUMIFS('Istoric_Nativ'!$G$6:$G$405,'Istoric_Nativ'!$B$6:$B$405,E395,'Istoric_Nativ'!$C$6:$C$405,F395,'Istoric_Nativ'!$F$6:$F$405,G395,'Istoric_Nativ'!$D$6:$D$405,"&lt;"&amp;J395,'Istoric_Nativ'!$P$6:$P$405,1,'Istoric_Nativ'!$D$6:$D$405,"&gt;="&amp;L395),SUMIFS('Istoric_Nativ'!$H$6:$H$405,'Istoric_Nativ'!$B$6:$B$405,E395,'Istoric_Nativ'!$C$6:$C$405,F395,'Istoric_Nativ'!$E$6:$E$405,G395,'Istoric_Nativ'!$D$6:$D$405,"&lt;"&amp;J395,'Istoric_Nativ'!$P$6:$P$405,1,'Istoric_Nativ'!$D$6:$D$405,"&gt;="&amp;L395)+SUMIFS('Istoric_Nativ'!$G$6:$G$405,'Istoric_Nativ'!$B$6:$B$405,E395,'Istoric_Nativ'!$C$6:$C$405,F395,'Istoric_Nativ'!$F$6:$F$405,G395,'Istoric_Nativ'!$D$6:$D$405,"&lt;"&amp;J395,'Istoric_Nativ'!$P$6:$P$405,1,'Istoric_Nativ'!$D$6:$D$405,"&gt;="&amp;L395)))/M395)</x:f>
      </x:c>
      <x:c r="P395" s="2" t="n">
        <x:f>'Config_v6'!$B$9</x:f>
        <x:v>3</x:v>
      </x:c>
      <x:c r="Q395" s="2" t="n">
        <x:f>IF(OR(B395="",F395=""),0,IFERROR(MATCH(E395&amp;"|"&amp;F395,SourceTable[Source_Key],0),0))</x:f>
        <x:v>0</x:v>
      </x:c>
      <x:c r="R395" s="2" t="str">
        <x:f>IF(B395="","",IF(F395="","UNUSED",IF(Q395=0,"NOT CHECKED",IF(COUNTIF(SourceTable[Source_Key],E395&amp;"|"&amp;F395)&lt;&gt;1,"SOURCE CONFLICT",IF(NOT(OR(INDEX(SourceTable[Status],MAX(1,Q395))="IMPORTED",INDEX(SourceTable[Status],MAX(1,Q395))="PARTIAL",INDEX(SourceTable[Status],MAX(1,Q395))="SOURCE CONFLICT")),"ACCESS BLOCKED",IF(OR(INDEX(SourceTable[Coverage],Q395)&lt;&gt;"FULL SEASON EXPORT",INDEX(SourceTable[URL],Q395)="",INDEX(SourceTable[SHA256],Q395)=""),"EVIDENCE INCOMPLETE",IF(AND('Input_Meci'!H38="LIVE",INDEX(SourceTable[Retrieved_UTC],Q395)&gt;'Input_Meci'!G38),"POST CUTOFF","CLOSED")))))))</x:f>
      </x:c>
      <x:c r="S395" s="2" t="n">
        <x:f>IF(OR(B395="",F395=""),0,COUNTIFS('Istoric_Nativ'!$B$6:$B$405,E395,'Istoric_Nativ'!$C$6:$C$405,F395,'Istoric_Nativ'!$E$6:$E$405,G395,'Istoric_Nativ'!$D$6:$D$405,"&lt;"&amp;J395,'Istoric_Nativ'!$O$6:$O$405,"INVALID")+COUNTIFS('Istoric_Nativ'!$B$6:$B$405,E395,'Istoric_Nativ'!$C$6:$C$405,F395,'Istoric_Nativ'!$E$6:$E$405,G395,'Istoric_Nativ'!$O$6:$O$405,"INVALID",'Istoric_Nativ'!$D$6:$D$405,"*")+COUNTIFS('Istoric_Nativ'!$B$6:$B$405,E395,'Istoric_Nativ'!$C$6:$C$405,F395,'Istoric_Nativ'!$E$6:$E$405,G395,'Istoric_Nativ'!$D$6:$D$405,"&lt;"&amp;J395,'Istoric_Nativ'!$O$6:$O$405,"SOURCE CONFLICT")+COUNTIFS('Istoric_Nativ'!$B$6:$B$405,E395,'Istoric_Nativ'!$C$6:$C$405,F395,'Istoric_Nativ'!$F$6:$F$405,G395,'Istoric_Nativ'!$D$6:$D$405,"&lt;"&amp;J395,'Istoric_Nativ'!$O$6:$O$405,"INVALID")+COUNTIFS('Istoric_Nativ'!$B$6:$B$405,E395,'Istoric_Nativ'!$C$6:$C$405,F395,'Istoric_Nativ'!$F$6:$F$405,G395,'Istoric_Nativ'!$O$6:$O$405,"INVALID",'Istoric_Nativ'!$D$6:$D$405,"*")+COUNTIFS('Istoric_Nativ'!$B$6:$B$405,E395,'Istoric_Nativ'!$C$6:$C$405,F395,'Istoric_Nativ'!$F$6:$F$405,G395,'Istoric_Nativ'!$D$6:$D$405,"&lt;"&amp;J395,'Istoric_Nativ'!$O$6:$O$405,"SOURCE CONFLICT"))</x:f>
        <x:v>0</x:v>
      </x:c>
      <x:c r="T395" s="2" t="str">
        <x:f>IF(B395="","",IF(R395&lt;&gt;"CLOSED",R395,IF(S395&gt;0,"NATIVE INPUT ISSUE",IF(M395=0,"NO HISTORY",IF(M395&lt;P395,"SMALL SAMPLE","DERIVED")))))</x:f>
      </x:c>
      <x:c r="U395" s="2" t="str">
        <x:f>IF(B395="","","NativeTable; "&amp;E395&amp;"; "&amp;F395&amp;"; "&amp;G395&amp;"; "&amp;H395&amp;"; before "&amp;TEXT(J395,"yyyy-mm-dd")&amp;IF(I395="RECENT","; from "&amp;TEXT(L395,"yyyy-mm-dd"),""))</x:f>
      </x:c>
    </x:row>
    <x:row r="396" ht="21" customHeight="1">
      <x:c r="A396" s="2" t="n">
        <x:v>33</x:v>
      </x:c>
      <x:c r="B396" s="2" t="str">
        <x:f>IF('Input_Meci'!A38="","",'Input_Meci'!A38)</x:f>
      </x:c>
      <x:c r="C396" s="2" t="str">
        <x:v>H</x:v>
      </x:c>
      <x:c r="D396" s="2" t="str">
        <x:v>PRIOR</x:v>
      </x:c>
      <x:c r="E396" s="2" t="str">
        <x:f>IF(B396="","",'Input_Meci'!B38)</x:f>
      </x:c>
      <x:c r="F396" s="2" t="str">
        <x:f>IF(B396="","",IF('Input_Meci'!K38="","",'Input_Meci'!K38))</x:f>
      </x:c>
      <x:c r="G396" s="2" t="str">
        <x:f>IF(B396="","",'Input_Meci'!D38)</x:f>
      </x:c>
      <x:c r="H396" s="2" t="str">
        <x:v>ANY</x:v>
      </x:c>
      <x:c r="I396" s="2" t="str">
        <x:v>SEASON</x:v>
      </x:c>
      <x:c r="J396" s="9" t="n">
        <x:f>IF(AND(B396&lt;&gt;"",ISNUMBER('Input_Meci'!G38)),INT('Input_Meci'!G38),0)</x:f>
        <x:v>0</x:v>
      </x:c>
      <x:c r="K396" s="2" t="n">
        <x:f>IF(OR(B396="",F396=""),0,IF(H396="HOME",COUNTIFS('Istoric_Nativ'!$B$6:$B$405,E396,'Istoric_Nativ'!$C$6:$C$405,F396,'Istoric_Nativ'!$E$6:$E$405,G396,'Istoric_Nativ'!$D$6:$D$405,"&lt;"&amp;J396,'Istoric_Nativ'!$P$6:$P$405,1),IF(H396="AWAY",COUNTIFS('Istoric_Nativ'!$B$6:$B$405,E396,'Istoric_Nativ'!$C$6:$C$405,F396,'Istoric_Nativ'!$F$6:$F$405,G396,'Istoric_Nativ'!$D$6:$D$405,"&lt;"&amp;J396,'Istoric_Nativ'!$P$6:$P$405,1),COUNTIFS('Istoric_Nativ'!$B$6:$B$405,E396,'Istoric_Nativ'!$C$6:$C$405,F396,'Istoric_Nativ'!$E$6:$E$405,G396,'Istoric_Nativ'!$D$6:$D$405,"&lt;"&amp;J396,'Istoric_Nativ'!$P$6:$P$405,1)+COUNTIFS('Istoric_Nativ'!$B$6:$B$405,E396,'Istoric_Nativ'!$C$6:$C$405,F396,'Istoric_Nativ'!$F$6:$F$405,G396,'Istoric_Nativ'!$D$6:$D$405,"&lt;"&amp;J396,'Istoric_Nativ'!$P$6:$P$405,1))))</x:f>
        <x:v>0</x:v>
      </x:c>
      <x:c r="L396" s="17" t="n">
        <x:f>IF(AND(B396&lt;&gt;"",I396="RECENT",K396&gt;0),LARGE(_xlfn._xlws.FILTER('Istoric_Nativ'!$D$6:$D$405,('Istoric_Nativ'!$B$6:$B$405=E396)*('Istoric_Nativ'!$C$6:$C$405=F396)*('Istoric_Nativ'!$P$6:$P$405=1)*('Istoric_Nativ'!$D$6:$D$405&lt;J396)*((('Istoric_Nativ'!$E$6:$E$405=G396)+('Istoric_Nativ'!$F$6:$F$405=G396))&gt;0)),MIN('Config_v6'!$B$54,K396)),0)</x:f>
        <x:v>0</x:v>
      </x:c>
      <x:c r="M396" s="2" t="n">
        <x:f>IF(OR(B396="",F396=""),0,IF(H396="HOME",COUNTIFS('Istoric_Nativ'!$B$6:$B$405,E396,'Istoric_Nativ'!$C$6:$C$405,F396,'Istoric_Nativ'!$E$6:$E$405,G396,'Istoric_Nativ'!$D$6:$D$405,"&lt;"&amp;J396,'Istoric_Nativ'!$P$6:$P$405,1,'Istoric_Nativ'!$D$6:$D$405,"&gt;="&amp;L396),IF(H396="AWAY",COUNTIFS('Istoric_Nativ'!$B$6:$B$405,E396,'Istoric_Nativ'!$C$6:$C$405,F396,'Istoric_Nativ'!$F$6:$F$405,G396,'Istoric_Nativ'!$D$6:$D$405,"&lt;"&amp;J396,'Istoric_Nativ'!$P$6:$P$405,1,'Istoric_Nativ'!$D$6:$D$405,"&gt;="&amp;L396),COUNTIFS('Istoric_Nativ'!$B$6:$B$405,E396,'Istoric_Nativ'!$C$6:$C$405,F396,'Istoric_Nativ'!$E$6:$E$405,G396,'Istoric_Nativ'!$D$6:$D$405,"&lt;"&amp;J396,'Istoric_Nativ'!$P$6:$P$405,1,'Istoric_Nativ'!$D$6:$D$405,"&gt;="&amp;L396)+COUNTIFS('Istoric_Nativ'!$B$6:$B$405,E396,'Istoric_Nativ'!$C$6:$C$405,F396,'Istoric_Nativ'!$F$6:$F$405,G396,'Istoric_Nativ'!$D$6:$D$405,"&lt;"&amp;J396,'Istoric_Nativ'!$P$6:$P$405,1,'Istoric_Nativ'!$D$6:$D$405,"&gt;="&amp;L396))))</x:f>
        <x:v>0</x:v>
      </x:c>
      <x:c r="N396" s="11" t="str">
        <x:f>IF(M396=0,"",IF(H396="HOME",SUMIFS('Istoric_Nativ'!$G$6:$G$405,'Istoric_Nativ'!$B$6:$B$405,E396,'Istoric_Nativ'!$C$6:$C$405,F396,'Istoric_Nativ'!$E$6:$E$405,G396,'Istoric_Nativ'!$D$6:$D$405,"&lt;"&amp;J396,'Istoric_Nativ'!$P$6:$P$405,1,'Istoric_Nativ'!$D$6:$D$405,"&gt;="&amp;L396),IF(H396="AWAY",SUMIFS('Istoric_Nativ'!$H$6:$H$405,'Istoric_Nativ'!$B$6:$B$405,E396,'Istoric_Nativ'!$C$6:$C$405,F396,'Istoric_Nativ'!$F$6:$F$405,G396,'Istoric_Nativ'!$D$6:$D$405,"&lt;"&amp;J396,'Istoric_Nativ'!$P$6:$P$405,1,'Istoric_Nativ'!$D$6:$D$405,"&gt;="&amp;L396),SUMIFS('Istoric_Nativ'!$G$6:$G$405,'Istoric_Nativ'!$B$6:$B$405,E396,'Istoric_Nativ'!$C$6:$C$405,F396,'Istoric_Nativ'!$E$6:$E$405,G396,'Istoric_Nativ'!$D$6:$D$405,"&lt;"&amp;J396,'Istoric_Nativ'!$P$6:$P$405,1,'Istoric_Nativ'!$D$6:$D$405,"&gt;="&amp;L396)+SUMIFS('Istoric_Nativ'!$H$6:$H$405,'Istoric_Nativ'!$B$6:$B$405,E396,'Istoric_Nativ'!$C$6:$C$405,F396,'Istoric_Nativ'!$F$6:$F$405,G396,'Istoric_Nativ'!$D$6:$D$405,"&lt;"&amp;J396,'Istoric_Nativ'!$P$6:$P$405,1,'Istoric_Nativ'!$D$6:$D$405,"&gt;="&amp;L396)))/M396)</x:f>
      </x:c>
      <x:c r="O396" s="11" t="str">
        <x:f>IF(M396=0,"",IF(H396="HOME",SUMIFS('Istoric_Nativ'!$H$6:$H$405,'Istoric_Nativ'!$B$6:$B$405,E396,'Istoric_Nativ'!$C$6:$C$405,F396,'Istoric_Nativ'!$E$6:$E$405,G396,'Istoric_Nativ'!$D$6:$D$405,"&lt;"&amp;J396,'Istoric_Nativ'!$P$6:$P$405,1,'Istoric_Nativ'!$D$6:$D$405,"&gt;="&amp;L396),IF(H396="AWAY",SUMIFS('Istoric_Nativ'!$G$6:$G$405,'Istoric_Nativ'!$B$6:$B$405,E396,'Istoric_Nativ'!$C$6:$C$405,F396,'Istoric_Nativ'!$F$6:$F$405,G396,'Istoric_Nativ'!$D$6:$D$405,"&lt;"&amp;J396,'Istoric_Nativ'!$P$6:$P$405,1,'Istoric_Nativ'!$D$6:$D$405,"&gt;="&amp;L396),SUMIFS('Istoric_Nativ'!$H$6:$H$405,'Istoric_Nativ'!$B$6:$B$405,E396,'Istoric_Nativ'!$C$6:$C$405,F396,'Istoric_Nativ'!$E$6:$E$405,G396,'Istoric_Nativ'!$D$6:$D$405,"&lt;"&amp;J396,'Istoric_Nativ'!$P$6:$P$405,1,'Istoric_Nativ'!$D$6:$D$405,"&gt;="&amp;L396)+SUMIFS('Istoric_Nativ'!$G$6:$G$405,'Istoric_Nativ'!$B$6:$B$405,E396,'Istoric_Nativ'!$C$6:$C$405,F396,'Istoric_Nativ'!$F$6:$F$405,G396,'Istoric_Nativ'!$D$6:$D$405,"&lt;"&amp;J396,'Istoric_Nativ'!$P$6:$P$405,1,'Istoric_Nativ'!$D$6:$D$405,"&gt;="&amp;L396)))/M396)</x:f>
      </x:c>
      <x:c r="P396" s="2" t="n">
        <x:f>'Config_v6'!$B$7</x:f>
        <x:v>10</x:v>
      </x:c>
      <x:c r="Q396" s="2" t="n">
        <x:f>IF(OR(B396="",F396=""),0,IFERROR(MATCH(E396&amp;"|"&amp;F396,SourceTable[Source_Key],0),0))</x:f>
        <x:v>0</x:v>
      </x:c>
      <x:c r="R396" s="2" t="str">
        <x:f>IF(B396="","",IF(F396="","UNUSED",IF(Q396=0,"NOT CHECKED",IF(COUNTIF(SourceTable[Source_Key],E396&amp;"|"&amp;F396)&lt;&gt;1,"SOURCE CONFLICT",IF(NOT(OR(INDEX(SourceTable[Status],MAX(1,Q396))="IMPORTED",INDEX(SourceTable[Status],MAX(1,Q396))="PARTIAL",INDEX(SourceTable[Status],MAX(1,Q396))="SOURCE CONFLICT")),"ACCESS BLOCKED",IF(OR(INDEX(SourceTable[Coverage],Q396)&lt;&gt;"FULL SEASON EXPORT",INDEX(SourceTable[URL],Q396)="",INDEX(SourceTable[SHA256],Q396)=""),"EVIDENCE INCOMPLETE",IF(AND('Input_Meci'!H38="LIVE",INDEX(SourceTable[Retrieved_UTC],Q396)&gt;'Input_Meci'!G38),"POST CUTOFF","CLOSED")))))))</x:f>
      </x:c>
      <x:c r="S396" s="2" t="n">
        <x:f>IF(OR(B396="",F396=""),0,COUNTIFS('Istoric_Nativ'!$B$6:$B$405,E396,'Istoric_Nativ'!$C$6:$C$405,F396,'Istoric_Nativ'!$E$6:$E$405,G396,'Istoric_Nativ'!$D$6:$D$405,"&lt;"&amp;J396,'Istoric_Nativ'!$O$6:$O$405,"INVALID")+COUNTIFS('Istoric_Nativ'!$B$6:$B$405,E396,'Istoric_Nativ'!$C$6:$C$405,F396,'Istoric_Nativ'!$E$6:$E$405,G396,'Istoric_Nativ'!$O$6:$O$405,"INVALID",'Istoric_Nativ'!$D$6:$D$405,"*")+COUNTIFS('Istoric_Nativ'!$B$6:$B$405,E396,'Istoric_Nativ'!$C$6:$C$405,F396,'Istoric_Nativ'!$E$6:$E$405,G396,'Istoric_Nativ'!$D$6:$D$405,"&lt;"&amp;J396,'Istoric_Nativ'!$O$6:$O$405,"SOURCE CONFLICT")+COUNTIFS('Istoric_Nativ'!$B$6:$B$405,E396,'Istoric_Nativ'!$C$6:$C$405,F396,'Istoric_Nativ'!$F$6:$F$405,G396,'Istoric_Nativ'!$D$6:$D$405,"&lt;"&amp;J396,'Istoric_Nativ'!$O$6:$O$405,"INVALID")+COUNTIFS('Istoric_Nativ'!$B$6:$B$405,E396,'Istoric_Nativ'!$C$6:$C$405,F396,'Istoric_Nativ'!$F$6:$F$405,G396,'Istoric_Nativ'!$O$6:$O$405,"INVALID",'Istoric_Nativ'!$D$6:$D$405,"*")+COUNTIFS('Istoric_Nativ'!$B$6:$B$405,E396,'Istoric_Nativ'!$C$6:$C$405,F396,'Istoric_Nativ'!$F$6:$F$405,G396,'Istoric_Nativ'!$D$6:$D$405,"&lt;"&amp;J396,'Istoric_Nativ'!$O$6:$O$405,"SOURCE CONFLICT"))</x:f>
        <x:v>0</x:v>
      </x:c>
      <x:c r="T396" s="2" t="str">
        <x:f>IF(B396="","",IF(R396&lt;&gt;"CLOSED",R396,IF(S396&gt;0,"NATIVE INPUT ISSUE",IF(M396=0,"NO HISTORY",IF(M396&lt;P396,"SMALL SAMPLE","DERIVED")))))</x:f>
      </x:c>
      <x:c r="U396" s="2" t="str">
        <x:f>IF(B396="","","NativeTable; "&amp;E396&amp;"; "&amp;F396&amp;"; "&amp;G396&amp;"; "&amp;H396&amp;"; before "&amp;TEXT(J396,"yyyy-mm-dd")&amp;IF(I396="RECENT","; from "&amp;TEXT(L396,"yyyy-mm-dd"),""))</x:f>
      </x:c>
    </x:row>
    <x:row r="397" ht="21" customHeight="1">
      <x:c r="A397" s="2" t="n">
        <x:v>33</x:v>
      </x:c>
      <x:c r="B397" s="2" t="str">
        <x:f>IF('Input_Meci'!A38="","",'Input_Meci'!A38)</x:f>
      </x:c>
      <x:c r="C397" s="2" t="str">
        <x:v>H</x:v>
      </x:c>
      <x:c r="D397" s="2" t="str">
        <x:v>PRIOR</x:v>
      </x:c>
      <x:c r="E397" s="2" t="str">
        <x:f>IF(B397="","",'Input_Meci'!B38)</x:f>
      </x:c>
      <x:c r="F397" s="2" t="str">
        <x:f>IF(B397="","",IF('Input_Meci'!K38="","",'Input_Meci'!K38))</x:f>
      </x:c>
      <x:c r="G397" s="2" t="str">
        <x:f>IF(B397="","",'Input_Meci'!D38)</x:f>
      </x:c>
      <x:c r="H397" s="2" t="str">
        <x:v>HOME</x:v>
      </x:c>
      <x:c r="I397" s="2" t="str">
        <x:v>HA</x:v>
      </x:c>
      <x:c r="J397" s="9" t="n">
        <x:f>IF(AND(B397&lt;&gt;"",ISNUMBER('Input_Meci'!G38)),INT('Input_Meci'!G38),0)</x:f>
        <x:v>0</x:v>
      </x:c>
      <x:c r="K397" s="2" t="n">
        <x:f>IF(OR(B397="",F397=""),0,IF(H397="HOME",COUNTIFS('Istoric_Nativ'!$B$6:$B$405,E397,'Istoric_Nativ'!$C$6:$C$405,F397,'Istoric_Nativ'!$E$6:$E$405,G397,'Istoric_Nativ'!$D$6:$D$405,"&lt;"&amp;J397,'Istoric_Nativ'!$P$6:$P$405,1),IF(H397="AWAY",COUNTIFS('Istoric_Nativ'!$B$6:$B$405,E397,'Istoric_Nativ'!$C$6:$C$405,F397,'Istoric_Nativ'!$F$6:$F$405,G397,'Istoric_Nativ'!$D$6:$D$405,"&lt;"&amp;J397,'Istoric_Nativ'!$P$6:$P$405,1),COUNTIFS('Istoric_Nativ'!$B$6:$B$405,E397,'Istoric_Nativ'!$C$6:$C$405,F397,'Istoric_Nativ'!$E$6:$E$405,G397,'Istoric_Nativ'!$D$6:$D$405,"&lt;"&amp;J397,'Istoric_Nativ'!$P$6:$P$405,1)+COUNTIFS('Istoric_Nativ'!$B$6:$B$405,E397,'Istoric_Nativ'!$C$6:$C$405,F397,'Istoric_Nativ'!$F$6:$F$405,G397,'Istoric_Nativ'!$D$6:$D$405,"&lt;"&amp;J397,'Istoric_Nativ'!$P$6:$P$405,1))))</x:f>
        <x:v>0</x:v>
      </x:c>
      <x:c r="L397" s="17" t="n">
        <x:f>IF(AND(B397&lt;&gt;"",I397="RECENT",K397&gt;0),LARGE(_xlfn._xlws.FILTER('Istoric_Nativ'!$D$6:$D$405,('Istoric_Nativ'!$B$6:$B$405=E397)*('Istoric_Nativ'!$C$6:$C$405=F397)*('Istoric_Nativ'!$P$6:$P$405=1)*('Istoric_Nativ'!$D$6:$D$405&lt;J397)*((('Istoric_Nativ'!$E$6:$E$405=G397)+('Istoric_Nativ'!$F$6:$F$405=G397))&gt;0)),MIN('Config_v6'!$B$54,K397)),0)</x:f>
        <x:v>0</x:v>
      </x:c>
      <x:c r="M397" s="2" t="n">
        <x:f>IF(OR(B397="",F397=""),0,IF(H397="HOME",COUNTIFS('Istoric_Nativ'!$B$6:$B$405,E397,'Istoric_Nativ'!$C$6:$C$405,F397,'Istoric_Nativ'!$E$6:$E$405,G397,'Istoric_Nativ'!$D$6:$D$405,"&lt;"&amp;J397,'Istoric_Nativ'!$P$6:$P$405,1,'Istoric_Nativ'!$D$6:$D$405,"&gt;="&amp;L397),IF(H397="AWAY",COUNTIFS('Istoric_Nativ'!$B$6:$B$405,E397,'Istoric_Nativ'!$C$6:$C$405,F397,'Istoric_Nativ'!$F$6:$F$405,G397,'Istoric_Nativ'!$D$6:$D$405,"&lt;"&amp;J397,'Istoric_Nativ'!$P$6:$P$405,1,'Istoric_Nativ'!$D$6:$D$405,"&gt;="&amp;L397),COUNTIFS('Istoric_Nativ'!$B$6:$B$405,E397,'Istoric_Nativ'!$C$6:$C$405,F397,'Istoric_Nativ'!$E$6:$E$405,G397,'Istoric_Nativ'!$D$6:$D$405,"&lt;"&amp;J397,'Istoric_Nativ'!$P$6:$P$405,1,'Istoric_Nativ'!$D$6:$D$405,"&gt;="&amp;L397)+COUNTIFS('Istoric_Nativ'!$B$6:$B$405,E397,'Istoric_Nativ'!$C$6:$C$405,F397,'Istoric_Nativ'!$F$6:$F$405,G397,'Istoric_Nativ'!$D$6:$D$405,"&lt;"&amp;J397,'Istoric_Nativ'!$P$6:$P$405,1,'Istoric_Nativ'!$D$6:$D$405,"&gt;="&amp;L397))))</x:f>
        <x:v>0</x:v>
      </x:c>
      <x:c r="N397" s="11" t="str">
        <x:f>IF(M397=0,"",IF(H397="HOME",SUMIFS('Istoric_Nativ'!$G$6:$G$405,'Istoric_Nativ'!$B$6:$B$405,E397,'Istoric_Nativ'!$C$6:$C$405,F397,'Istoric_Nativ'!$E$6:$E$405,G397,'Istoric_Nativ'!$D$6:$D$405,"&lt;"&amp;J397,'Istoric_Nativ'!$P$6:$P$405,1,'Istoric_Nativ'!$D$6:$D$405,"&gt;="&amp;L397),IF(H397="AWAY",SUMIFS('Istoric_Nativ'!$H$6:$H$405,'Istoric_Nativ'!$B$6:$B$405,E397,'Istoric_Nativ'!$C$6:$C$405,F397,'Istoric_Nativ'!$F$6:$F$405,G397,'Istoric_Nativ'!$D$6:$D$405,"&lt;"&amp;J397,'Istoric_Nativ'!$P$6:$P$405,1,'Istoric_Nativ'!$D$6:$D$405,"&gt;="&amp;L397),SUMIFS('Istoric_Nativ'!$G$6:$G$405,'Istoric_Nativ'!$B$6:$B$405,E397,'Istoric_Nativ'!$C$6:$C$405,F397,'Istoric_Nativ'!$E$6:$E$405,G397,'Istoric_Nativ'!$D$6:$D$405,"&lt;"&amp;J397,'Istoric_Nativ'!$P$6:$P$405,1,'Istoric_Nativ'!$D$6:$D$405,"&gt;="&amp;L397)+SUMIFS('Istoric_Nativ'!$H$6:$H$405,'Istoric_Nativ'!$B$6:$B$405,E397,'Istoric_Nativ'!$C$6:$C$405,F397,'Istoric_Nativ'!$F$6:$F$405,G397,'Istoric_Nativ'!$D$6:$D$405,"&lt;"&amp;J397,'Istoric_Nativ'!$P$6:$P$405,1,'Istoric_Nativ'!$D$6:$D$405,"&gt;="&amp;L397)))/M397)</x:f>
      </x:c>
      <x:c r="O397" s="11" t="str">
        <x:f>IF(M397=0,"",IF(H397="HOME",SUMIFS('Istoric_Nativ'!$H$6:$H$405,'Istoric_Nativ'!$B$6:$B$405,E397,'Istoric_Nativ'!$C$6:$C$405,F397,'Istoric_Nativ'!$E$6:$E$405,G397,'Istoric_Nativ'!$D$6:$D$405,"&lt;"&amp;J397,'Istoric_Nativ'!$P$6:$P$405,1,'Istoric_Nativ'!$D$6:$D$405,"&gt;="&amp;L397),IF(H397="AWAY",SUMIFS('Istoric_Nativ'!$G$6:$G$405,'Istoric_Nativ'!$B$6:$B$405,E397,'Istoric_Nativ'!$C$6:$C$405,F397,'Istoric_Nativ'!$F$6:$F$405,G397,'Istoric_Nativ'!$D$6:$D$405,"&lt;"&amp;J397,'Istoric_Nativ'!$P$6:$P$405,1,'Istoric_Nativ'!$D$6:$D$405,"&gt;="&amp;L397),SUMIFS('Istoric_Nativ'!$H$6:$H$405,'Istoric_Nativ'!$B$6:$B$405,E397,'Istoric_Nativ'!$C$6:$C$405,F397,'Istoric_Nativ'!$E$6:$E$405,G397,'Istoric_Nativ'!$D$6:$D$405,"&lt;"&amp;J397,'Istoric_Nativ'!$P$6:$P$405,1,'Istoric_Nativ'!$D$6:$D$405,"&gt;="&amp;L397)+SUMIFS('Istoric_Nativ'!$G$6:$G$405,'Istoric_Nativ'!$B$6:$B$405,E397,'Istoric_Nativ'!$C$6:$C$405,F397,'Istoric_Nativ'!$F$6:$F$405,G397,'Istoric_Nativ'!$D$6:$D$405,"&lt;"&amp;J397,'Istoric_Nativ'!$P$6:$P$405,1,'Istoric_Nativ'!$D$6:$D$405,"&gt;="&amp;L397)))/M397)</x:f>
      </x:c>
      <x:c r="P397" s="2" t="n">
        <x:f>'Config_v6'!$B$8</x:f>
        <x:v>5</x:v>
      </x:c>
      <x:c r="Q397" s="2" t="n">
        <x:f>IF(OR(B397="",F397=""),0,IFERROR(MATCH(E397&amp;"|"&amp;F397,SourceTable[Source_Key],0),0))</x:f>
        <x:v>0</x:v>
      </x:c>
      <x:c r="R397" s="2" t="str">
        <x:f>IF(B397="","",IF(F397="","UNUSED",IF(Q397=0,"NOT CHECKED",IF(COUNTIF(SourceTable[Source_Key],E397&amp;"|"&amp;F397)&lt;&gt;1,"SOURCE CONFLICT",IF(NOT(OR(INDEX(SourceTable[Status],MAX(1,Q397))="IMPORTED",INDEX(SourceTable[Status],MAX(1,Q397))="PARTIAL",INDEX(SourceTable[Status],MAX(1,Q397))="SOURCE CONFLICT")),"ACCESS BLOCKED",IF(OR(INDEX(SourceTable[Coverage],Q397)&lt;&gt;"FULL SEASON EXPORT",INDEX(SourceTable[URL],Q397)="",INDEX(SourceTable[SHA256],Q397)=""),"EVIDENCE INCOMPLETE",IF(AND('Input_Meci'!H38="LIVE",INDEX(SourceTable[Retrieved_UTC],Q397)&gt;'Input_Meci'!G38),"POST CUTOFF","CLOSED")))))))</x:f>
      </x:c>
      <x:c r="S397" s="2" t="n">
        <x:f>IF(OR(B397="",F397=""),0,COUNTIFS('Istoric_Nativ'!$B$6:$B$405,E397,'Istoric_Nativ'!$C$6:$C$405,F397,'Istoric_Nativ'!$E$6:$E$405,G397,'Istoric_Nativ'!$D$6:$D$405,"&lt;"&amp;J397,'Istoric_Nativ'!$O$6:$O$405,"INVALID")+COUNTIFS('Istoric_Nativ'!$B$6:$B$405,E397,'Istoric_Nativ'!$C$6:$C$405,F397,'Istoric_Nativ'!$E$6:$E$405,G397,'Istoric_Nativ'!$O$6:$O$405,"INVALID",'Istoric_Nativ'!$D$6:$D$405,"*")+COUNTIFS('Istoric_Nativ'!$B$6:$B$405,E397,'Istoric_Nativ'!$C$6:$C$405,F397,'Istoric_Nativ'!$E$6:$E$405,G397,'Istoric_Nativ'!$D$6:$D$405,"&lt;"&amp;J397,'Istoric_Nativ'!$O$6:$O$405,"SOURCE CONFLICT")+COUNTIFS('Istoric_Nativ'!$B$6:$B$405,E397,'Istoric_Nativ'!$C$6:$C$405,F397,'Istoric_Nativ'!$F$6:$F$405,G397,'Istoric_Nativ'!$D$6:$D$405,"&lt;"&amp;J397,'Istoric_Nativ'!$O$6:$O$405,"INVALID")+COUNTIFS('Istoric_Nativ'!$B$6:$B$405,E397,'Istoric_Nativ'!$C$6:$C$405,F397,'Istoric_Nativ'!$F$6:$F$405,G397,'Istoric_Nativ'!$O$6:$O$405,"INVALID",'Istoric_Nativ'!$D$6:$D$405,"*")+COUNTIFS('Istoric_Nativ'!$B$6:$B$405,E397,'Istoric_Nativ'!$C$6:$C$405,F397,'Istoric_Nativ'!$F$6:$F$405,G397,'Istoric_Nativ'!$D$6:$D$405,"&lt;"&amp;J397,'Istoric_Nativ'!$O$6:$O$405,"SOURCE CONFLICT"))</x:f>
        <x:v>0</x:v>
      </x:c>
      <x:c r="T397" s="2" t="str">
        <x:f>IF(B397="","",IF(R397&lt;&gt;"CLOSED",R397,IF(S397&gt;0,"NATIVE INPUT ISSUE",IF(M397=0,"NO HISTORY",IF(M397&lt;P397,"SMALL SAMPLE","DERIVED")))))</x:f>
      </x:c>
      <x:c r="U397" s="2" t="str">
        <x:f>IF(B397="","","NativeTable; "&amp;E397&amp;"; "&amp;F397&amp;"; "&amp;G397&amp;"; "&amp;H397&amp;"; before "&amp;TEXT(J397,"yyyy-mm-dd")&amp;IF(I397="RECENT","; from "&amp;TEXT(L397,"yyyy-mm-dd"),""))</x:f>
      </x:c>
    </x:row>
    <x:row r="398" ht="21" customHeight="1">
      <x:c r="A398" s="2" t="n">
        <x:v>33</x:v>
      </x:c>
      <x:c r="B398" s="2" t="str">
        <x:f>IF('Input_Meci'!A38="","",'Input_Meci'!A38)</x:f>
      </x:c>
      <x:c r="C398" s="2" t="str">
        <x:v>H</x:v>
      </x:c>
      <x:c r="D398" s="2" t="str">
        <x:v>PRIOR</x:v>
      </x:c>
      <x:c r="E398" s="2" t="str">
        <x:f>IF(B398="","",'Input_Meci'!B38)</x:f>
      </x:c>
      <x:c r="F398" s="2" t="str">
        <x:f>IF(B398="","",IF('Input_Meci'!K38="","",'Input_Meci'!K38))</x:f>
      </x:c>
      <x:c r="G398" s="2" t="str">
        <x:f>IF(B398="","",'Input_Meci'!D38)</x:f>
      </x:c>
      <x:c r="H398" s="2" t="str">
        <x:v>ANY</x:v>
      </x:c>
      <x:c r="I398" s="2" t="str">
        <x:v>RECENT</x:v>
      </x:c>
      <x:c r="J398" s="9" t="n">
        <x:f>IF(AND(B398&lt;&gt;"",ISNUMBER('Input_Meci'!G38)),INT('Input_Meci'!G38),0)</x:f>
        <x:v>0</x:v>
      </x:c>
      <x:c r="K398" s="2" t="n">
        <x:f>IF(OR(B398="",F398=""),0,IF(H398="HOME",COUNTIFS('Istoric_Nativ'!$B$6:$B$405,E398,'Istoric_Nativ'!$C$6:$C$405,F398,'Istoric_Nativ'!$E$6:$E$405,G398,'Istoric_Nativ'!$D$6:$D$405,"&lt;"&amp;J398,'Istoric_Nativ'!$P$6:$P$405,1),IF(H398="AWAY",COUNTIFS('Istoric_Nativ'!$B$6:$B$405,E398,'Istoric_Nativ'!$C$6:$C$405,F398,'Istoric_Nativ'!$F$6:$F$405,G398,'Istoric_Nativ'!$D$6:$D$405,"&lt;"&amp;J398,'Istoric_Nativ'!$P$6:$P$405,1),COUNTIFS('Istoric_Nativ'!$B$6:$B$405,E398,'Istoric_Nativ'!$C$6:$C$405,F398,'Istoric_Nativ'!$E$6:$E$405,G398,'Istoric_Nativ'!$D$6:$D$405,"&lt;"&amp;J398,'Istoric_Nativ'!$P$6:$P$405,1)+COUNTIFS('Istoric_Nativ'!$B$6:$B$405,E398,'Istoric_Nativ'!$C$6:$C$405,F398,'Istoric_Nativ'!$F$6:$F$405,G398,'Istoric_Nativ'!$D$6:$D$405,"&lt;"&amp;J398,'Istoric_Nativ'!$P$6:$P$405,1))))</x:f>
        <x:v>0</x:v>
      </x:c>
      <x:c r="L398" s="17" t="n">
        <x:f>IF(AND(B398&lt;&gt;"",I398="RECENT",K398&gt;0),LARGE(_xlfn._xlws.FILTER('Istoric_Nativ'!$D$6:$D$405,('Istoric_Nativ'!$B$6:$B$405=E398)*('Istoric_Nativ'!$C$6:$C$405=F398)*('Istoric_Nativ'!$P$6:$P$405=1)*('Istoric_Nativ'!$D$6:$D$405&lt;J398)*((('Istoric_Nativ'!$E$6:$E$405=G398)+('Istoric_Nativ'!$F$6:$F$405=G398))&gt;0)),MIN('Config_v6'!$B$54,K398)),0)</x:f>
        <x:v>0</x:v>
      </x:c>
      <x:c r="M398" s="2" t="n">
        <x:f>IF(OR(B398="",F398=""),0,IF(H398="HOME",COUNTIFS('Istoric_Nativ'!$B$6:$B$405,E398,'Istoric_Nativ'!$C$6:$C$405,F398,'Istoric_Nativ'!$E$6:$E$405,G398,'Istoric_Nativ'!$D$6:$D$405,"&lt;"&amp;J398,'Istoric_Nativ'!$P$6:$P$405,1,'Istoric_Nativ'!$D$6:$D$405,"&gt;="&amp;L398),IF(H398="AWAY",COUNTIFS('Istoric_Nativ'!$B$6:$B$405,E398,'Istoric_Nativ'!$C$6:$C$405,F398,'Istoric_Nativ'!$F$6:$F$405,G398,'Istoric_Nativ'!$D$6:$D$405,"&lt;"&amp;J398,'Istoric_Nativ'!$P$6:$P$405,1,'Istoric_Nativ'!$D$6:$D$405,"&gt;="&amp;L398),COUNTIFS('Istoric_Nativ'!$B$6:$B$405,E398,'Istoric_Nativ'!$C$6:$C$405,F398,'Istoric_Nativ'!$E$6:$E$405,G398,'Istoric_Nativ'!$D$6:$D$405,"&lt;"&amp;J398,'Istoric_Nativ'!$P$6:$P$405,1,'Istoric_Nativ'!$D$6:$D$405,"&gt;="&amp;L398)+COUNTIFS('Istoric_Nativ'!$B$6:$B$405,E398,'Istoric_Nativ'!$C$6:$C$405,F398,'Istoric_Nativ'!$F$6:$F$405,G398,'Istoric_Nativ'!$D$6:$D$405,"&lt;"&amp;J398,'Istoric_Nativ'!$P$6:$P$405,1,'Istoric_Nativ'!$D$6:$D$405,"&gt;="&amp;L398))))</x:f>
        <x:v>0</x:v>
      </x:c>
      <x:c r="N398" s="11" t="str">
        <x:f>IF(M398=0,"",IF(H398="HOME",SUMIFS('Istoric_Nativ'!$G$6:$G$405,'Istoric_Nativ'!$B$6:$B$405,E398,'Istoric_Nativ'!$C$6:$C$405,F398,'Istoric_Nativ'!$E$6:$E$405,G398,'Istoric_Nativ'!$D$6:$D$405,"&lt;"&amp;J398,'Istoric_Nativ'!$P$6:$P$405,1,'Istoric_Nativ'!$D$6:$D$405,"&gt;="&amp;L398),IF(H398="AWAY",SUMIFS('Istoric_Nativ'!$H$6:$H$405,'Istoric_Nativ'!$B$6:$B$405,E398,'Istoric_Nativ'!$C$6:$C$405,F398,'Istoric_Nativ'!$F$6:$F$405,G398,'Istoric_Nativ'!$D$6:$D$405,"&lt;"&amp;J398,'Istoric_Nativ'!$P$6:$P$405,1,'Istoric_Nativ'!$D$6:$D$405,"&gt;="&amp;L398),SUMIFS('Istoric_Nativ'!$G$6:$G$405,'Istoric_Nativ'!$B$6:$B$405,E398,'Istoric_Nativ'!$C$6:$C$405,F398,'Istoric_Nativ'!$E$6:$E$405,G398,'Istoric_Nativ'!$D$6:$D$405,"&lt;"&amp;J398,'Istoric_Nativ'!$P$6:$P$405,1,'Istoric_Nativ'!$D$6:$D$405,"&gt;="&amp;L398)+SUMIFS('Istoric_Nativ'!$H$6:$H$405,'Istoric_Nativ'!$B$6:$B$405,E398,'Istoric_Nativ'!$C$6:$C$405,F398,'Istoric_Nativ'!$F$6:$F$405,G398,'Istoric_Nativ'!$D$6:$D$405,"&lt;"&amp;J398,'Istoric_Nativ'!$P$6:$P$405,1,'Istoric_Nativ'!$D$6:$D$405,"&gt;="&amp;L398)))/M398)</x:f>
      </x:c>
      <x:c r="O398" s="11" t="str">
        <x:f>IF(M398=0,"",IF(H398="HOME",SUMIFS('Istoric_Nativ'!$H$6:$H$405,'Istoric_Nativ'!$B$6:$B$405,E398,'Istoric_Nativ'!$C$6:$C$405,F398,'Istoric_Nativ'!$E$6:$E$405,G398,'Istoric_Nativ'!$D$6:$D$405,"&lt;"&amp;J398,'Istoric_Nativ'!$P$6:$P$405,1,'Istoric_Nativ'!$D$6:$D$405,"&gt;="&amp;L398),IF(H398="AWAY",SUMIFS('Istoric_Nativ'!$G$6:$G$405,'Istoric_Nativ'!$B$6:$B$405,E398,'Istoric_Nativ'!$C$6:$C$405,F398,'Istoric_Nativ'!$F$6:$F$405,G398,'Istoric_Nativ'!$D$6:$D$405,"&lt;"&amp;J398,'Istoric_Nativ'!$P$6:$P$405,1,'Istoric_Nativ'!$D$6:$D$405,"&gt;="&amp;L398),SUMIFS('Istoric_Nativ'!$H$6:$H$405,'Istoric_Nativ'!$B$6:$B$405,E398,'Istoric_Nativ'!$C$6:$C$405,F398,'Istoric_Nativ'!$E$6:$E$405,G398,'Istoric_Nativ'!$D$6:$D$405,"&lt;"&amp;J398,'Istoric_Nativ'!$P$6:$P$405,1,'Istoric_Nativ'!$D$6:$D$405,"&gt;="&amp;L398)+SUMIFS('Istoric_Nativ'!$G$6:$G$405,'Istoric_Nativ'!$B$6:$B$405,E398,'Istoric_Nativ'!$C$6:$C$405,F398,'Istoric_Nativ'!$F$6:$F$405,G398,'Istoric_Nativ'!$D$6:$D$405,"&lt;"&amp;J398,'Istoric_Nativ'!$P$6:$P$405,1,'Istoric_Nativ'!$D$6:$D$405,"&gt;="&amp;L398)))/M398)</x:f>
      </x:c>
      <x:c r="P398" s="2" t="n">
        <x:f>'Config_v6'!$B$9</x:f>
        <x:v>3</x:v>
      </x:c>
      <x:c r="Q398" s="2" t="n">
        <x:f>IF(OR(B398="",F398=""),0,IFERROR(MATCH(E398&amp;"|"&amp;F398,SourceTable[Source_Key],0),0))</x:f>
        <x:v>0</x:v>
      </x:c>
      <x:c r="R398" s="2" t="str">
        <x:f>IF(B398="","",IF(F398="","UNUSED",IF(Q398=0,"NOT CHECKED",IF(COUNTIF(SourceTable[Source_Key],E398&amp;"|"&amp;F398)&lt;&gt;1,"SOURCE CONFLICT",IF(NOT(OR(INDEX(SourceTable[Status],MAX(1,Q398))="IMPORTED",INDEX(SourceTable[Status],MAX(1,Q398))="PARTIAL",INDEX(SourceTable[Status],MAX(1,Q398))="SOURCE CONFLICT")),"ACCESS BLOCKED",IF(OR(INDEX(SourceTable[Coverage],Q398)&lt;&gt;"FULL SEASON EXPORT",INDEX(SourceTable[URL],Q398)="",INDEX(SourceTable[SHA256],Q398)=""),"EVIDENCE INCOMPLETE",IF(AND('Input_Meci'!H38="LIVE",INDEX(SourceTable[Retrieved_UTC],Q398)&gt;'Input_Meci'!G38),"POST CUTOFF","CLOSED")))))))</x:f>
      </x:c>
      <x:c r="S398" s="2" t="n">
        <x:f>IF(OR(B398="",F398=""),0,COUNTIFS('Istoric_Nativ'!$B$6:$B$405,E398,'Istoric_Nativ'!$C$6:$C$405,F398,'Istoric_Nativ'!$E$6:$E$405,G398,'Istoric_Nativ'!$D$6:$D$405,"&lt;"&amp;J398,'Istoric_Nativ'!$O$6:$O$405,"INVALID")+COUNTIFS('Istoric_Nativ'!$B$6:$B$405,E398,'Istoric_Nativ'!$C$6:$C$405,F398,'Istoric_Nativ'!$E$6:$E$405,G398,'Istoric_Nativ'!$O$6:$O$405,"INVALID",'Istoric_Nativ'!$D$6:$D$405,"*")+COUNTIFS('Istoric_Nativ'!$B$6:$B$405,E398,'Istoric_Nativ'!$C$6:$C$405,F398,'Istoric_Nativ'!$E$6:$E$405,G398,'Istoric_Nativ'!$D$6:$D$405,"&lt;"&amp;J398,'Istoric_Nativ'!$O$6:$O$405,"SOURCE CONFLICT")+COUNTIFS('Istoric_Nativ'!$B$6:$B$405,E398,'Istoric_Nativ'!$C$6:$C$405,F398,'Istoric_Nativ'!$F$6:$F$405,G398,'Istoric_Nativ'!$D$6:$D$405,"&lt;"&amp;J398,'Istoric_Nativ'!$O$6:$O$405,"INVALID")+COUNTIFS('Istoric_Nativ'!$B$6:$B$405,E398,'Istoric_Nativ'!$C$6:$C$405,F398,'Istoric_Nativ'!$F$6:$F$405,G398,'Istoric_Nativ'!$O$6:$O$405,"INVALID",'Istoric_Nativ'!$D$6:$D$405,"*")+COUNTIFS('Istoric_Nativ'!$B$6:$B$405,E398,'Istoric_Nativ'!$C$6:$C$405,F398,'Istoric_Nativ'!$F$6:$F$405,G398,'Istoric_Nativ'!$D$6:$D$405,"&lt;"&amp;J398,'Istoric_Nativ'!$O$6:$O$405,"SOURCE CONFLICT"))</x:f>
        <x:v>0</x:v>
      </x:c>
      <x:c r="T398" s="2" t="str">
        <x:f>IF(B398="","",IF(R398&lt;&gt;"CLOSED",R398,IF(S398&gt;0,"NATIVE INPUT ISSUE",IF(M398=0,"NO HISTORY",IF(M398&lt;P398,"SMALL SAMPLE","DERIVED")))))</x:f>
      </x:c>
      <x:c r="U398" s="2" t="str">
        <x:f>IF(B398="","","NativeTable; "&amp;E398&amp;"; "&amp;F398&amp;"; "&amp;G398&amp;"; "&amp;H398&amp;"; before "&amp;TEXT(J398,"yyyy-mm-dd")&amp;IF(I398="RECENT","; from "&amp;TEXT(L398,"yyyy-mm-dd"),""))</x:f>
      </x:c>
    </x:row>
    <x:row r="399" ht="21" customHeight="1">
      <x:c r="A399" s="2" t="n">
        <x:v>33</x:v>
      </x:c>
      <x:c r="B399" s="2" t="str">
        <x:f>IF('Input_Meci'!A38="","",'Input_Meci'!A38)</x:f>
      </x:c>
      <x:c r="C399" s="2" t="str">
        <x:v>A</x:v>
      </x:c>
      <x:c r="D399" s="2" t="str">
        <x:v>PRIOR</x:v>
      </x:c>
      <x:c r="E399" s="2" t="str">
        <x:f>IF(B399="","",'Input_Meci'!B38)</x:f>
      </x:c>
      <x:c r="F399" s="2" t="str">
        <x:f>IF(B399="","",IF('Input_Meci'!K38="","",'Input_Meci'!K38))</x:f>
      </x:c>
      <x:c r="G399" s="2" t="str">
        <x:f>IF(B399="","",'Input_Meci'!E38)</x:f>
      </x:c>
      <x:c r="H399" s="2" t="str">
        <x:v>ANY</x:v>
      </x:c>
      <x:c r="I399" s="2" t="str">
        <x:v>SEASON</x:v>
      </x:c>
      <x:c r="J399" s="9" t="n">
        <x:f>IF(AND(B399&lt;&gt;"",ISNUMBER('Input_Meci'!G38)),INT('Input_Meci'!G38),0)</x:f>
        <x:v>0</x:v>
      </x:c>
      <x:c r="K399" s="2" t="n">
        <x:f>IF(OR(B399="",F399=""),0,IF(H399="HOME",COUNTIFS('Istoric_Nativ'!$B$6:$B$405,E399,'Istoric_Nativ'!$C$6:$C$405,F399,'Istoric_Nativ'!$E$6:$E$405,G399,'Istoric_Nativ'!$D$6:$D$405,"&lt;"&amp;J399,'Istoric_Nativ'!$P$6:$P$405,1),IF(H399="AWAY",COUNTIFS('Istoric_Nativ'!$B$6:$B$405,E399,'Istoric_Nativ'!$C$6:$C$405,F399,'Istoric_Nativ'!$F$6:$F$405,G399,'Istoric_Nativ'!$D$6:$D$405,"&lt;"&amp;J399,'Istoric_Nativ'!$P$6:$P$405,1),COUNTIFS('Istoric_Nativ'!$B$6:$B$405,E399,'Istoric_Nativ'!$C$6:$C$405,F399,'Istoric_Nativ'!$E$6:$E$405,G399,'Istoric_Nativ'!$D$6:$D$405,"&lt;"&amp;J399,'Istoric_Nativ'!$P$6:$P$405,1)+COUNTIFS('Istoric_Nativ'!$B$6:$B$405,E399,'Istoric_Nativ'!$C$6:$C$405,F399,'Istoric_Nativ'!$F$6:$F$405,G399,'Istoric_Nativ'!$D$6:$D$405,"&lt;"&amp;J399,'Istoric_Nativ'!$P$6:$P$405,1))))</x:f>
        <x:v>0</x:v>
      </x:c>
      <x:c r="L399" s="17" t="n">
        <x:f>IF(AND(B399&lt;&gt;"",I399="RECENT",K399&gt;0),LARGE(_xlfn._xlws.FILTER('Istoric_Nativ'!$D$6:$D$405,('Istoric_Nativ'!$B$6:$B$405=E399)*('Istoric_Nativ'!$C$6:$C$405=F399)*('Istoric_Nativ'!$P$6:$P$405=1)*('Istoric_Nativ'!$D$6:$D$405&lt;J399)*((('Istoric_Nativ'!$E$6:$E$405=G399)+('Istoric_Nativ'!$F$6:$F$405=G399))&gt;0)),MIN('Config_v6'!$B$54,K399)),0)</x:f>
        <x:v>0</x:v>
      </x:c>
      <x:c r="M399" s="2" t="n">
        <x:f>IF(OR(B399="",F399=""),0,IF(H399="HOME",COUNTIFS('Istoric_Nativ'!$B$6:$B$405,E399,'Istoric_Nativ'!$C$6:$C$405,F399,'Istoric_Nativ'!$E$6:$E$405,G399,'Istoric_Nativ'!$D$6:$D$405,"&lt;"&amp;J399,'Istoric_Nativ'!$P$6:$P$405,1,'Istoric_Nativ'!$D$6:$D$405,"&gt;="&amp;L399),IF(H399="AWAY",COUNTIFS('Istoric_Nativ'!$B$6:$B$405,E399,'Istoric_Nativ'!$C$6:$C$405,F399,'Istoric_Nativ'!$F$6:$F$405,G399,'Istoric_Nativ'!$D$6:$D$405,"&lt;"&amp;J399,'Istoric_Nativ'!$P$6:$P$405,1,'Istoric_Nativ'!$D$6:$D$405,"&gt;="&amp;L399),COUNTIFS('Istoric_Nativ'!$B$6:$B$405,E399,'Istoric_Nativ'!$C$6:$C$405,F399,'Istoric_Nativ'!$E$6:$E$405,G399,'Istoric_Nativ'!$D$6:$D$405,"&lt;"&amp;J399,'Istoric_Nativ'!$P$6:$P$405,1,'Istoric_Nativ'!$D$6:$D$405,"&gt;="&amp;L399)+COUNTIFS('Istoric_Nativ'!$B$6:$B$405,E399,'Istoric_Nativ'!$C$6:$C$405,F399,'Istoric_Nativ'!$F$6:$F$405,G399,'Istoric_Nativ'!$D$6:$D$405,"&lt;"&amp;J399,'Istoric_Nativ'!$P$6:$P$405,1,'Istoric_Nativ'!$D$6:$D$405,"&gt;="&amp;L399))))</x:f>
        <x:v>0</x:v>
      </x:c>
      <x:c r="N399" s="11" t="str">
        <x:f>IF(M399=0,"",IF(H399="HOME",SUMIFS('Istoric_Nativ'!$G$6:$G$405,'Istoric_Nativ'!$B$6:$B$405,E399,'Istoric_Nativ'!$C$6:$C$405,F399,'Istoric_Nativ'!$E$6:$E$405,G399,'Istoric_Nativ'!$D$6:$D$405,"&lt;"&amp;J399,'Istoric_Nativ'!$P$6:$P$405,1,'Istoric_Nativ'!$D$6:$D$405,"&gt;="&amp;L399),IF(H399="AWAY",SUMIFS('Istoric_Nativ'!$H$6:$H$405,'Istoric_Nativ'!$B$6:$B$405,E399,'Istoric_Nativ'!$C$6:$C$405,F399,'Istoric_Nativ'!$F$6:$F$405,G399,'Istoric_Nativ'!$D$6:$D$405,"&lt;"&amp;J399,'Istoric_Nativ'!$P$6:$P$405,1,'Istoric_Nativ'!$D$6:$D$405,"&gt;="&amp;L399),SUMIFS('Istoric_Nativ'!$G$6:$G$405,'Istoric_Nativ'!$B$6:$B$405,E399,'Istoric_Nativ'!$C$6:$C$405,F399,'Istoric_Nativ'!$E$6:$E$405,G399,'Istoric_Nativ'!$D$6:$D$405,"&lt;"&amp;J399,'Istoric_Nativ'!$P$6:$P$405,1,'Istoric_Nativ'!$D$6:$D$405,"&gt;="&amp;L399)+SUMIFS('Istoric_Nativ'!$H$6:$H$405,'Istoric_Nativ'!$B$6:$B$405,E399,'Istoric_Nativ'!$C$6:$C$405,F399,'Istoric_Nativ'!$F$6:$F$405,G399,'Istoric_Nativ'!$D$6:$D$405,"&lt;"&amp;J399,'Istoric_Nativ'!$P$6:$P$405,1,'Istoric_Nativ'!$D$6:$D$405,"&gt;="&amp;L399)))/M399)</x:f>
      </x:c>
      <x:c r="O399" s="11" t="str">
        <x:f>IF(M399=0,"",IF(H399="HOME",SUMIFS('Istoric_Nativ'!$H$6:$H$405,'Istoric_Nativ'!$B$6:$B$405,E399,'Istoric_Nativ'!$C$6:$C$405,F399,'Istoric_Nativ'!$E$6:$E$405,G399,'Istoric_Nativ'!$D$6:$D$405,"&lt;"&amp;J399,'Istoric_Nativ'!$P$6:$P$405,1,'Istoric_Nativ'!$D$6:$D$405,"&gt;="&amp;L399),IF(H399="AWAY",SUMIFS('Istoric_Nativ'!$G$6:$G$405,'Istoric_Nativ'!$B$6:$B$405,E399,'Istoric_Nativ'!$C$6:$C$405,F399,'Istoric_Nativ'!$F$6:$F$405,G399,'Istoric_Nativ'!$D$6:$D$405,"&lt;"&amp;J399,'Istoric_Nativ'!$P$6:$P$405,1,'Istoric_Nativ'!$D$6:$D$405,"&gt;="&amp;L399),SUMIFS('Istoric_Nativ'!$H$6:$H$405,'Istoric_Nativ'!$B$6:$B$405,E399,'Istoric_Nativ'!$C$6:$C$405,F399,'Istoric_Nativ'!$E$6:$E$405,G399,'Istoric_Nativ'!$D$6:$D$405,"&lt;"&amp;J399,'Istoric_Nativ'!$P$6:$P$405,1,'Istoric_Nativ'!$D$6:$D$405,"&gt;="&amp;L399)+SUMIFS('Istoric_Nativ'!$G$6:$G$405,'Istoric_Nativ'!$B$6:$B$405,E399,'Istoric_Nativ'!$C$6:$C$405,F399,'Istoric_Nativ'!$F$6:$F$405,G399,'Istoric_Nativ'!$D$6:$D$405,"&lt;"&amp;J399,'Istoric_Nativ'!$P$6:$P$405,1,'Istoric_Nativ'!$D$6:$D$405,"&gt;="&amp;L399)))/M399)</x:f>
      </x:c>
      <x:c r="P399" s="2" t="n">
        <x:f>'Config_v6'!$B$7</x:f>
        <x:v>10</x:v>
      </x:c>
      <x:c r="Q399" s="2" t="n">
        <x:f>IF(OR(B399="",F399=""),0,IFERROR(MATCH(E399&amp;"|"&amp;F399,SourceTable[Source_Key],0),0))</x:f>
        <x:v>0</x:v>
      </x:c>
      <x:c r="R399" s="2" t="str">
        <x:f>IF(B399="","",IF(F399="","UNUSED",IF(Q399=0,"NOT CHECKED",IF(COUNTIF(SourceTable[Source_Key],E399&amp;"|"&amp;F399)&lt;&gt;1,"SOURCE CONFLICT",IF(NOT(OR(INDEX(SourceTable[Status],MAX(1,Q399))="IMPORTED",INDEX(SourceTable[Status],MAX(1,Q399))="PARTIAL",INDEX(SourceTable[Status],MAX(1,Q399))="SOURCE CONFLICT")),"ACCESS BLOCKED",IF(OR(INDEX(SourceTable[Coverage],Q399)&lt;&gt;"FULL SEASON EXPORT",INDEX(SourceTable[URL],Q399)="",INDEX(SourceTable[SHA256],Q399)=""),"EVIDENCE INCOMPLETE",IF(AND('Input_Meci'!H38="LIVE",INDEX(SourceTable[Retrieved_UTC],Q399)&gt;'Input_Meci'!G38),"POST CUTOFF","CLOSED")))))))</x:f>
      </x:c>
      <x:c r="S399" s="2" t="n">
        <x:f>IF(OR(B399="",F399=""),0,COUNTIFS('Istoric_Nativ'!$B$6:$B$405,E399,'Istoric_Nativ'!$C$6:$C$405,F399,'Istoric_Nativ'!$E$6:$E$405,G399,'Istoric_Nativ'!$D$6:$D$405,"&lt;"&amp;J399,'Istoric_Nativ'!$O$6:$O$405,"INVALID")+COUNTIFS('Istoric_Nativ'!$B$6:$B$405,E399,'Istoric_Nativ'!$C$6:$C$405,F399,'Istoric_Nativ'!$E$6:$E$405,G399,'Istoric_Nativ'!$O$6:$O$405,"INVALID",'Istoric_Nativ'!$D$6:$D$405,"*")+COUNTIFS('Istoric_Nativ'!$B$6:$B$405,E399,'Istoric_Nativ'!$C$6:$C$405,F399,'Istoric_Nativ'!$E$6:$E$405,G399,'Istoric_Nativ'!$D$6:$D$405,"&lt;"&amp;J399,'Istoric_Nativ'!$O$6:$O$405,"SOURCE CONFLICT")+COUNTIFS('Istoric_Nativ'!$B$6:$B$405,E399,'Istoric_Nativ'!$C$6:$C$405,F399,'Istoric_Nativ'!$F$6:$F$405,G399,'Istoric_Nativ'!$D$6:$D$405,"&lt;"&amp;J399,'Istoric_Nativ'!$O$6:$O$405,"INVALID")+COUNTIFS('Istoric_Nativ'!$B$6:$B$405,E399,'Istoric_Nativ'!$C$6:$C$405,F399,'Istoric_Nativ'!$F$6:$F$405,G399,'Istoric_Nativ'!$O$6:$O$405,"INVALID",'Istoric_Nativ'!$D$6:$D$405,"*")+COUNTIFS('Istoric_Nativ'!$B$6:$B$405,E399,'Istoric_Nativ'!$C$6:$C$405,F399,'Istoric_Nativ'!$F$6:$F$405,G399,'Istoric_Nativ'!$D$6:$D$405,"&lt;"&amp;J399,'Istoric_Nativ'!$O$6:$O$405,"SOURCE CONFLICT"))</x:f>
        <x:v>0</x:v>
      </x:c>
      <x:c r="T399" s="2" t="str">
        <x:f>IF(B399="","",IF(R399&lt;&gt;"CLOSED",R399,IF(S399&gt;0,"NATIVE INPUT ISSUE",IF(M399=0,"NO HISTORY",IF(M399&lt;P399,"SMALL SAMPLE","DERIVED")))))</x:f>
      </x:c>
      <x:c r="U399" s="2" t="str">
        <x:f>IF(B399="","","NativeTable; "&amp;E399&amp;"; "&amp;F399&amp;"; "&amp;G399&amp;"; "&amp;H399&amp;"; before "&amp;TEXT(J399,"yyyy-mm-dd")&amp;IF(I399="RECENT","; from "&amp;TEXT(L399,"yyyy-mm-dd"),""))</x:f>
      </x:c>
    </x:row>
    <x:row r="400" ht="21" customHeight="1">
      <x:c r="A400" s="2" t="n">
        <x:v>33</x:v>
      </x:c>
      <x:c r="B400" s="2" t="str">
        <x:f>IF('Input_Meci'!A38="","",'Input_Meci'!A38)</x:f>
      </x:c>
      <x:c r="C400" s="2" t="str">
        <x:v>A</x:v>
      </x:c>
      <x:c r="D400" s="2" t="str">
        <x:v>PRIOR</x:v>
      </x:c>
      <x:c r="E400" s="2" t="str">
        <x:f>IF(B400="","",'Input_Meci'!B38)</x:f>
      </x:c>
      <x:c r="F400" s="2" t="str">
        <x:f>IF(B400="","",IF('Input_Meci'!K38="","",'Input_Meci'!K38))</x:f>
      </x:c>
      <x:c r="G400" s="2" t="str">
        <x:f>IF(B400="","",'Input_Meci'!E38)</x:f>
      </x:c>
      <x:c r="H400" s="2" t="str">
        <x:v>AWAY</x:v>
      </x:c>
      <x:c r="I400" s="2" t="str">
        <x:v>HA</x:v>
      </x:c>
      <x:c r="J400" s="9" t="n">
        <x:f>IF(AND(B400&lt;&gt;"",ISNUMBER('Input_Meci'!G38)),INT('Input_Meci'!G38),0)</x:f>
        <x:v>0</x:v>
      </x:c>
      <x:c r="K400" s="2" t="n">
        <x:f>IF(OR(B400="",F400=""),0,IF(H400="HOME",COUNTIFS('Istoric_Nativ'!$B$6:$B$405,E400,'Istoric_Nativ'!$C$6:$C$405,F400,'Istoric_Nativ'!$E$6:$E$405,G400,'Istoric_Nativ'!$D$6:$D$405,"&lt;"&amp;J400,'Istoric_Nativ'!$P$6:$P$405,1),IF(H400="AWAY",COUNTIFS('Istoric_Nativ'!$B$6:$B$405,E400,'Istoric_Nativ'!$C$6:$C$405,F400,'Istoric_Nativ'!$F$6:$F$405,G400,'Istoric_Nativ'!$D$6:$D$405,"&lt;"&amp;J400,'Istoric_Nativ'!$P$6:$P$405,1),COUNTIFS('Istoric_Nativ'!$B$6:$B$405,E400,'Istoric_Nativ'!$C$6:$C$405,F400,'Istoric_Nativ'!$E$6:$E$405,G400,'Istoric_Nativ'!$D$6:$D$405,"&lt;"&amp;J400,'Istoric_Nativ'!$P$6:$P$405,1)+COUNTIFS('Istoric_Nativ'!$B$6:$B$405,E400,'Istoric_Nativ'!$C$6:$C$405,F400,'Istoric_Nativ'!$F$6:$F$405,G400,'Istoric_Nativ'!$D$6:$D$405,"&lt;"&amp;J400,'Istoric_Nativ'!$P$6:$P$405,1))))</x:f>
        <x:v>0</x:v>
      </x:c>
      <x:c r="L400" s="17" t="n">
        <x:f>IF(AND(B400&lt;&gt;"",I400="RECENT",K400&gt;0),LARGE(_xlfn._xlws.FILTER('Istoric_Nativ'!$D$6:$D$405,('Istoric_Nativ'!$B$6:$B$405=E400)*('Istoric_Nativ'!$C$6:$C$405=F400)*('Istoric_Nativ'!$P$6:$P$405=1)*('Istoric_Nativ'!$D$6:$D$405&lt;J400)*((('Istoric_Nativ'!$E$6:$E$405=G400)+('Istoric_Nativ'!$F$6:$F$405=G400))&gt;0)),MIN('Config_v6'!$B$54,K400)),0)</x:f>
        <x:v>0</x:v>
      </x:c>
      <x:c r="M400" s="2" t="n">
        <x:f>IF(OR(B400="",F400=""),0,IF(H400="HOME",COUNTIFS('Istoric_Nativ'!$B$6:$B$405,E400,'Istoric_Nativ'!$C$6:$C$405,F400,'Istoric_Nativ'!$E$6:$E$405,G400,'Istoric_Nativ'!$D$6:$D$405,"&lt;"&amp;J400,'Istoric_Nativ'!$P$6:$P$405,1,'Istoric_Nativ'!$D$6:$D$405,"&gt;="&amp;L400),IF(H400="AWAY",COUNTIFS('Istoric_Nativ'!$B$6:$B$405,E400,'Istoric_Nativ'!$C$6:$C$405,F400,'Istoric_Nativ'!$F$6:$F$405,G400,'Istoric_Nativ'!$D$6:$D$405,"&lt;"&amp;J400,'Istoric_Nativ'!$P$6:$P$405,1,'Istoric_Nativ'!$D$6:$D$405,"&gt;="&amp;L400),COUNTIFS('Istoric_Nativ'!$B$6:$B$405,E400,'Istoric_Nativ'!$C$6:$C$405,F400,'Istoric_Nativ'!$E$6:$E$405,G400,'Istoric_Nativ'!$D$6:$D$405,"&lt;"&amp;J400,'Istoric_Nativ'!$P$6:$P$405,1,'Istoric_Nativ'!$D$6:$D$405,"&gt;="&amp;L400)+COUNTIFS('Istoric_Nativ'!$B$6:$B$405,E400,'Istoric_Nativ'!$C$6:$C$405,F400,'Istoric_Nativ'!$F$6:$F$405,G400,'Istoric_Nativ'!$D$6:$D$405,"&lt;"&amp;J400,'Istoric_Nativ'!$P$6:$P$405,1,'Istoric_Nativ'!$D$6:$D$405,"&gt;="&amp;L400))))</x:f>
        <x:v>0</x:v>
      </x:c>
      <x:c r="N400" s="11" t="str">
        <x:f>IF(M400=0,"",IF(H400="HOME",SUMIFS('Istoric_Nativ'!$G$6:$G$405,'Istoric_Nativ'!$B$6:$B$405,E400,'Istoric_Nativ'!$C$6:$C$405,F400,'Istoric_Nativ'!$E$6:$E$405,G400,'Istoric_Nativ'!$D$6:$D$405,"&lt;"&amp;J400,'Istoric_Nativ'!$P$6:$P$405,1,'Istoric_Nativ'!$D$6:$D$405,"&gt;="&amp;L400),IF(H400="AWAY",SUMIFS('Istoric_Nativ'!$H$6:$H$405,'Istoric_Nativ'!$B$6:$B$405,E400,'Istoric_Nativ'!$C$6:$C$405,F400,'Istoric_Nativ'!$F$6:$F$405,G400,'Istoric_Nativ'!$D$6:$D$405,"&lt;"&amp;J400,'Istoric_Nativ'!$P$6:$P$405,1,'Istoric_Nativ'!$D$6:$D$405,"&gt;="&amp;L400),SUMIFS('Istoric_Nativ'!$G$6:$G$405,'Istoric_Nativ'!$B$6:$B$405,E400,'Istoric_Nativ'!$C$6:$C$405,F400,'Istoric_Nativ'!$E$6:$E$405,G400,'Istoric_Nativ'!$D$6:$D$405,"&lt;"&amp;J400,'Istoric_Nativ'!$P$6:$P$405,1,'Istoric_Nativ'!$D$6:$D$405,"&gt;="&amp;L400)+SUMIFS('Istoric_Nativ'!$H$6:$H$405,'Istoric_Nativ'!$B$6:$B$405,E400,'Istoric_Nativ'!$C$6:$C$405,F400,'Istoric_Nativ'!$F$6:$F$405,G400,'Istoric_Nativ'!$D$6:$D$405,"&lt;"&amp;J400,'Istoric_Nativ'!$P$6:$P$405,1,'Istoric_Nativ'!$D$6:$D$405,"&gt;="&amp;L400)))/M400)</x:f>
      </x:c>
      <x:c r="O400" s="11" t="str">
        <x:f>IF(M400=0,"",IF(H400="HOME",SUMIFS('Istoric_Nativ'!$H$6:$H$405,'Istoric_Nativ'!$B$6:$B$405,E400,'Istoric_Nativ'!$C$6:$C$405,F400,'Istoric_Nativ'!$E$6:$E$405,G400,'Istoric_Nativ'!$D$6:$D$405,"&lt;"&amp;J400,'Istoric_Nativ'!$P$6:$P$405,1,'Istoric_Nativ'!$D$6:$D$405,"&gt;="&amp;L400),IF(H400="AWAY",SUMIFS('Istoric_Nativ'!$G$6:$G$405,'Istoric_Nativ'!$B$6:$B$405,E400,'Istoric_Nativ'!$C$6:$C$405,F400,'Istoric_Nativ'!$F$6:$F$405,G400,'Istoric_Nativ'!$D$6:$D$405,"&lt;"&amp;J400,'Istoric_Nativ'!$P$6:$P$405,1,'Istoric_Nativ'!$D$6:$D$405,"&gt;="&amp;L400),SUMIFS('Istoric_Nativ'!$H$6:$H$405,'Istoric_Nativ'!$B$6:$B$405,E400,'Istoric_Nativ'!$C$6:$C$405,F400,'Istoric_Nativ'!$E$6:$E$405,G400,'Istoric_Nativ'!$D$6:$D$405,"&lt;"&amp;J400,'Istoric_Nativ'!$P$6:$P$405,1,'Istoric_Nativ'!$D$6:$D$405,"&gt;="&amp;L400)+SUMIFS('Istoric_Nativ'!$G$6:$G$405,'Istoric_Nativ'!$B$6:$B$405,E400,'Istoric_Nativ'!$C$6:$C$405,F400,'Istoric_Nativ'!$F$6:$F$405,G400,'Istoric_Nativ'!$D$6:$D$405,"&lt;"&amp;J400,'Istoric_Nativ'!$P$6:$P$405,1,'Istoric_Nativ'!$D$6:$D$405,"&gt;="&amp;L400)))/M400)</x:f>
      </x:c>
      <x:c r="P400" s="2" t="n">
        <x:f>'Config_v6'!$B$8</x:f>
        <x:v>5</x:v>
      </x:c>
      <x:c r="Q400" s="2" t="n">
        <x:f>IF(OR(B400="",F400=""),0,IFERROR(MATCH(E400&amp;"|"&amp;F400,SourceTable[Source_Key],0),0))</x:f>
        <x:v>0</x:v>
      </x:c>
      <x:c r="R400" s="2" t="str">
        <x:f>IF(B400="","",IF(F400="","UNUSED",IF(Q400=0,"NOT CHECKED",IF(COUNTIF(SourceTable[Source_Key],E400&amp;"|"&amp;F400)&lt;&gt;1,"SOURCE CONFLICT",IF(NOT(OR(INDEX(SourceTable[Status],MAX(1,Q400))="IMPORTED",INDEX(SourceTable[Status],MAX(1,Q400))="PARTIAL",INDEX(SourceTable[Status],MAX(1,Q400))="SOURCE CONFLICT")),"ACCESS BLOCKED",IF(OR(INDEX(SourceTable[Coverage],Q400)&lt;&gt;"FULL SEASON EXPORT",INDEX(SourceTable[URL],Q400)="",INDEX(SourceTable[SHA256],Q400)=""),"EVIDENCE INCOMPLETE",IF(AND('Input_Meci'!H38="LIVE",INDEX(SourceTable[Retrieved_UTC],Q400)&gt;'Input_Meci'!G38),"POST CUTOFF","CLOSED")))))))</x:f>
      </x:c>
      <x:c r="S400" s="2" t="n">
        <x:f>IF(OR(B400="",F400=""),0,COUNTIFS('Istoric_Nativ'!$B$6:$B$405,E400,'Istoric_Nativ'!$C$6:$C$405,F400,'Istoric_Nativ'!$E$6:$E$405,G400,'Istoric_Nativ'!$D$6:$D$405,"&lt;"&amp;J400,'Istoric_Nativ'!$O$6:$O$405,"INVALID")+COUNTIFS('Istoric_Nativ'!$B$6:$B$405,E400,'Istoric_Nativ'!$C$6:$C$405,F400,'Istoric_Nativ'!$E$6:$E$405,G400,'Istoric_Nativ'!$O$6:$O$405,"INVALID",'Istoric_Nativ'!$D$6:$D$405,"*")+COUNTIFS('Istoric_Nativ'!$B$6:$B$405,E400,'Istoric_Nativ'!$C$6:$C$405,F400,'Istoric_Nativ'!$E$6:$E$405,G400,'Istoric_Nativ'!$D$6:$D$405,"&lt;"&amp;J400,'Istoric_Nativ'!$O$6:$O$405,"SOURCE CONFLICT")+COUNTIFS('Istoric_Nativ'!$B$6:$B$405,E400,'Istoric_Nativ'!$C$6:$C$405,F400,'Istoric_Nativ'!$F$6:$F$405,G400,'Istoric_Nativ'!$D$6:$D$405,"&lt;"&amp;J400,'Istoric_Nativ'!$O$6:$O$405,"INVALID")+COUNTIFS('Istoric_Nativ'!$B$6:$B$405,E400,'Istoric_Nativ'!$C$6:$C$405,F400,'Istoric_Nativ'!$F$6:$F$405,G400,'Istoric_Nativ'!$O$6:$O$405,"INVALID",'Istoric_Nativ'!$D$6:$D$405,"*")+COUNTIFS('Istoric_Nativ'!$B$6:$B$405,E400,'Istoric_Nativ'!$C$6:$C$405,F400,'Istoric_Nativ'!$F$6:$F$405,G400,'Istoric_Nativ'!$D$6:$D$405,"&lt;"&amp;J400,'Istoric_Nativ'!$O$6:$O$405,"SOURCE CONFLICT"))</x:f>
        <x:v>0</x:v>
      </x:c>
      <x:c r="T400" s="2" t="str">
        <x:f>IF(B400="","",IF(R400&lt;&gt;"CLOSED",R400,IF(S400&gt;0,"NATIVE INPUT ISSUE",IF(M400=0,"NO HISTORY",IF(M400&lt;P400,"SMALL SAMPLE","DERIVED")))))</x:f>
      </x:c>
      <x:c r="U400" s="2" t="str">
        <x:f>IF(B400="","","NativeTable; "&amp;E400&amp;"; "&amp;F400&amp;"; "&amp;G400&amp;"; "&amp;H400&amp;"; before "&amp;TEXT(J400,"yyyy-mm-dd")&amp;IF(I400="RECENT","; from "&amp;TEXT(L400,"yyyy-mm-dd"),""))</x:f>
      </x:c>
    </x:row>
    <x:row r="401" ht="21" customHeight="1">
      <x:c r="A401" s="2" t="n">
        <x:v>33</x:v>
      </x:c>
      <x:c r="B401" s="2" t="str">
        <x:f>IF('Input_Meci'!A38="","",'Input_Meci'!A38)</x:f>
      </x:c>
      <x:c r="C401" s="2" t="str">
        <x:v>A</x:v>
      </x:c>
      <x:c r="D401" s="2" t="str">
        <x:v>PRIOR</x:v>
      </x:c>
      <x:c r="E401" s="2" t="str">
        <x:f>IF(B401="","",'Input_Meci'!B38)</x:f>
      </x:c>
      <x:c r="F401" s="2" t="str">
        <x:f>IF(B401="","",IF('Input_Meci'!K38="","",'Input_Meci'!K38))</x:f>
      </x:c>
      <x:c r="G401" s="2" t="str">
        <x:f>IF(B401="","",'Input_Meci'!E38)</x:f>
      </x:c>
      <x:c r="H401" s="2" t="str">
        <x:v>ANY</x:v>
      </x:c>
      <x:c r="I401" s="2" t="str">
        <x:v>RECENT</x:v>
      </x:c>
      <x:c r="J401" s="9" t="n">
        <x:f>IF(AND(B401&lt;&gt;"",ISNUMBER('Input_Meci'!G38)),INT('Input_Meci'!G38),0)</x:f>
        <x:v>0</x:v>
      </x:c>
      <x:c r="K401" s="2" t="n">
        <x:f>IF(OR(B401="",F401=""),0,IF(H401="HOME",COUNTIFS('Istoric_Nativ'!$B$6:$B$405,E401,'Istoric_Nativ'!$C$6:$C$405,F401,'Istoric_Nativ'!$E$6:$E$405,G401,'Istoric_Nativ'!$D$6:$D$405,"&lt;"&amp;J401,'Istoric_Nativ'!$P$6:$P$405,1),IF(H401="AWAY",COUNTIFS('Istoric_Nativ'!$B$6:$B$405,E401,'Istoric_Nativ'!$C$6:$C$405,F401,'Istoric_Nativ'!$F$6:$F$405,G401,'Istoric_Nativ'!$D$6:$D$405,"&lt;"&amp;J401,'Istoric_Nativ'!$P$6:$P$405,1),COUNTIFS('Istoric_Nativ'!$B$6:$B$405,E401,'Istoric_Nativ'!$C$6:$C$405,F401,'Istoric_Nativ'!$E$6:$E$405,G401,'Istoric_Nativ'!$D$6:$D$405,"&lt;"&amp;J401,'Istoric_Nativ'!$P$6:$P$405,1)+COUNTIFS('Istoric_Nativ'!$B$6:$B$405,E401,'Istoric_Nativ'!$C$6:$C$405,F401,'Istoric_Nativ'!$F$6:$F$405,G401,'Istoric_Nativ'!$D$6:$D$405,"&lt;"&amp;J401,'Istoric_Nativ'!$P$6:$P$405,1))))</x:f>
        <x:v>0</x:v>
      </x:c>
      <x:c r="L401" s="17" t="n">
        <x:f>IF(AND(B401&lt;&gt;"",I401="RECENT",K401&gt;0),LARGE(_xlfn._xlws.FILTER('Istoric_Nativ'!$D$6:$D$405,('Istoric_Nativ'!$B$6:$B$405=E401)*('Istoric_Nativ'!$C$6:$C$405=F401)*('Istoric_Nativ'!$P$6:$P$405=1)*('Istoric_Nativ'!$D$6:$D$405&lt;J401)*((('Istoric_Nativ'!$E$6:$E$405=G401)+('Istoric_Nativ'!$F$6:$F$405=G401))&gt;0)),MIN('Config_v6'!$B$54,K401)),0)</x:f>
        <x:v>0</x:v>
      </x:c>
      <x:c r="M401" s="2" t="n">
        <x:f>IF(OR(B401="",F401=""),0,IF(H401="HOME",COUNTIFS('Istoric_Nativ'!$B$6:$B$405,E401,'Istoric_Nativ'!$C$6:$C$405,F401,'Istoric_Nativ'!$E$6:$E$405,G401,'Istoric_Nativ'!$D$6:$D$405,"&lt;"&amp;J401,'Istoric_Nativ'!$P$6:$P$405,1,'Istoric_Nativ'!$D$6:$D$405,"&gt;="&amp;L401),IF(H401="AWAY",COUNTIFS('Istoric_Nativ'!$B$6:$B$405,E401,'Istoric_Nativ'!$C$6:$C$405,F401,'Istoric_Nativ'!$F$6:$F$405,G401,'Istoric_Nativ'!$D$6:$D$405,"&lt;"&amp;J401,'Istoric_Nativ'!$P$6:$P$405,1,'Istoric_Nativ'!$D$6:$D$405,"&gt;="&amp;L401),COUNTIFS('Istoric_Nativ'!$B$6:$B$405,E401,'Istoric_Nativ'!$C$6:$C$405,F401,'Istoric_Nativ'!$E$6:$E$405,G401,'Istoric_Nativ'!$D$6:$D$405,"&lt;"&amp;J401,'Istoric_Nativ'!$P$6:$P$405,1,'Istoric_Nativ'!$D$6:$D$405,"&gt;="&amp;L401)+COUNTIFS('Istoric_Nativ'!$B$6:$B$405,E401,'Istoric_Nativ'!$C$6:$C$405,F401,'Istoric_Nativ'!$F$6:$F$405,G401,'Istoric_Nativ'!$D$6:$D$405,"&lt;"&amp;J401,'Istoric_Nativ'!$P$6:$P$405,1,'Istoric_Nativ'!$D$6:$D$405,"&gt;="&amp;L401))))</x:f>
        <x:v>0</x:v>
      </x:c>
      <x:c r="N401" s="11" t="str">
        <x:f>IF(M401=0,"",IF(H401="HOME",SUMIFS('Istoric_Nativ'!$G$6:$G$405,'Istoric_Nativ'!$B$6:$B$405,E401,'Istoric_Nativ'!$C$6:$C$405,F401,'Istoric_Nativ'!$E$6:$E$405,G401,'Istoric_Nativ'!$D$6:$D$405,"&lt;"&amp;J401,'Istoric_Nativ'!$P$6:$P$405,1,'Istoric_Nativ'!$D$6:$D$405,"&gt;="&amp;L401),IF(H401="AWAY",SUMIFS('Istoric_Nativ'!$H$6:$H$405,'Istoric_Nativ'!$B$6:$B$405,E401,'Istoric_Nativ'!$C$6:$C$405,F401,'Istoric_Nativ'!$F$6:$F$405,G401,'Istoric_Nativ'!$D$6:$D$405,"&lt;"&amp;J401,'Istoric_Nativ'!$P$6:$P$405,1,'Istoric_Nativ'!$D$6:$D$405,"&gt;="&amp;L401),SUMIFS('Istoric_Nativ'!$G$6:$G$405,'Istoric_Nativ'!$B$6:$B$405,E401,'Istoric_Nativ'!$C$6:$C$405,F401,'Istoric_Nativ'!$E$6:$E$405,G401,'Istoric_Nativ'!$D$6:$D$405,"&lt;"&amp;J401,'Istoric_Nativ'!$P$6:$P$405,1,'Istoric_Nativ'!$D$6:$D$405,"&gt;="&amp;L401)+SUMIFS('Istoric_Nativ'!$H$6:$H$405,'Istoric_Nativ'!$B$6:$B$405,E401,'Istoric_Nativ'!$C$6:$C$405,F401,'Istoric_Nativ'!$F$6:$F$405,G401,'Istoric_Nativ'!$D$6:$D$405,"&lt;"&amp;J401,'Istoric_Nativ'!$P$6:$P$405,1,'Istoric_Nativ'!$D$6:$D$405,"&gt;="&amp;L401)))/M401)</x:f>
      </x:c>
      <x:c r="O401" s="11" t="str">
        <x:f>IF(M401=0,"",IF(H401="HOME",SUMIFS('Istoric_Nativ'!$H$6:$H$405,'Istoric_Nativ'!$B$6:$B$405,E401,'Istoric_Nativ'!$C$6:$C$405,F401,'Istoric_Nativ'!$E$6:$E$405,G401,'Istoric_Nativ'!$D$6:$D$405,"&lt;"&amp;J401,'Istoric_Nativ'!$P$6:$P$405,1,'Istoric_Nativ'!$D$6:$D$405,"&gt;="&amp;L401),IF(H401="AWAY",SUMIFS('Istoric_Nativ'!$G$6:$G$405,'Istoric_Nativ'!$B$6:$B$405,E401,'Istoric_Nativ'!$C$6:$C$405,F401,'Istoric_Nativ'!$F$6:$F$405,G401,'Istoric_Nativ'!$D$6:$D$405,"&lt;"&amp;J401,'Istoric_Nativ'!$P$6:$P$405,1,'Istoric_Nativ'!$D$6:$D$405,"&gt;="&amp;L401),SUMIFS('Istoric_Nativ'!$H$6:$H$405,'Istoric_Nativ'!$B$6:$B$405,E401,'Istoric_Nativ'!$C$6:$C$405,F401,'Istoric_Nativ'!$E$6:$E$405,G401,'Istoric_Nativ'!$D$6:$D$405,"&lt;"&amp;J401,'Istoric_Nativ'!$P$6:$P$405,1,'Istoric_Nativ'!$D$6:$D$405,"&gt;="&amp;L401)+SUMIFS('Istoric_Nativ'!$G$6:$G$405,'Istoric_Nativ'!$B$6:$B$405,E401,'Istoric_Nativ'!$C$6:$C$405,F401,'Istoric_Nativ'!$F$6:$F$405,G401,'Istoric_Nativ'!$D$6:$D$405,"&lt;"&amp;J401,'Istoric_Nativ'!$P$6:$P$405,1,'Istoric_Nativ'!$D$6:$D$405,"&gt;="&amp;L401)))/M401)</x:f>
      </x:c>
      <x:c r="P401" s="2" t="n">
        <x:f>'Config_v6'!$B$9</x:f>
        <x:v>3</x:v>
      </x:c>
      <x:c r="Q401" s="2" t="n">
        <x:f>IF(OR(B401="",F401=""),0,IFERROR(MATCH(E401&amp;"|"&amp;F401,SourceTable[Source_Key],0),0))</x:f>
        <x:v>0</x:v>
      </x:c>
      <x:c r="R401" s="2" t="str">
        <x:f>IF(B401="","",IF(F401="","UNUSED",IF(Q401=0,"NOT CHECKED",IF(COUNTIF(SourceTable[Source_Key],E401&amp;"|"&amp;F401)&lt;&gt;1,"SOURCE CONFLICT",IF(NOT(OR(INDEX(SourceTable[Status],MAX(1,Q401))="IMPORTED",INDEX(SourceTable[Status],MAX(1,Q401))="PARTIAL",INDEX(SourceTable[Status],MAX(1,Q401))="SOURCE CONFLICT")),"ACCESS BLOCKED",IF(OR(INDEX(SourceTable[Coverage],Q401)&lt;&gt;"FULL SEASON EXPORT",INDEX(SourceTable[URL],Q401)="",INDEX(SourceTable[SHA256],Q401)=""),"EVIDENCE INCOMPLETE",IF(AND('Input_Meci'!H38="LIVE",INDEX(SourceTable[Retrieved_UTC],Q401)&gt;'Input_Meci'!G38),"POST CUTOFF","CLOSED")))))))</x:f>
      </x:c>
      <x:c r="S401" s="2" t="n">
        <x:f>IF(OR(B401="",F401=""),0,COUNTIFS('Istoric_Nativ'!$B$6:$B$405,E401,'Istoric_Nativ'!$C$6:$C$405,F401,'Istoric_Nativ'!$E$6:$E$405,G401,'Istoric_Nativ'!$D$6:$D$405,"&lt;"&amp;J401,'Istoric_Nativ'!$O$6:$O$405,"INVALID")+COUNTIFS('Istoric_Nativ'!$B$6:$B$405,E401,'Istoric_Nativ'!$C$6:$C$405,F401,'Istoric_Nativ'!$E$6:$E$405,G401,'Istoric_Nativ'!$O$6:$O$405,"INVALID",'Istoric_Nativ'!$D$6:$D$405,"*")+COUNTIFS('Istoric_Nativ'!$B$6:$B$405,E401,'Istoric_Nativ'!$C$6:$C$405,F401,'Istoric_Nativ'!$E$6:$E$405,G401,'Istoric_Nativ'!$D$6:$D$405,"&lt;"&amp;J401,'Istoric_Nativ'!$O$6:$O$405,"SOURCE CONFLICT")+COUNTIFS('Istoric_Nativ'!$B$6:$B$405,E401,'Istoric_Nativ'!$C$6:$C$405,F401,'Istoric_Nativ'!$F$6:$F$405,G401,'Istoric_Nativ'!$D$6:$D$405,"&lt;"&amp;J401,'Istoric_Nativ'!$O$6:$O$405,"INVALID")+COUNTIFS('Istoric_Nativ'!$B$6:$B$405,E401,'Istoric_Nativ'!$C$6:$C$405,F401,'Istoric_Nativ'!$F$6:$F$405,G401,'Istoric_Nativ'!$O$6:$O$405,"INVALID",'Istoric_Nativ'!$D$6:$D$405,"*")+COUNTIFS('Istoric_Nativ'!$B$6:$B$405,E401,'Istoric_Nativ'!$C$6:$C$405,F401,'Istoric_Nativ'!$F$6:$F$405,G401,'Istoric_Nativ'!$D$6:$D$405,"&lt;"&amp;J401,'Istoric_Nativ'!$O$6:$O$405,"SOURCE CONFLICT"))</x:f>
        <x:v>0</x:v>
      </x:c>
      <x:c r="T401" s="2" t="str">
        <x:f>IF(B401="","",IF(R401&lt;&gt;"CLOSED",R401,IF(S401&gt;0,"NATIVE INPUT ISSUE",IF(M401=0,"NO HISTORY",IF(M401&lt;P401,"SMALL SAMPLE","DERIVED")))))</x:f>
      </x:c>
      <x:c r="U401" s="2" t="str">
        <x:f>IF(B401="","","NativeTable; "&amp;E401&amp;"; "&amp;F401&amp;"; "&amp;G401&amp;"; "&amp;H401&amp;"; before "&amp;TEXT(J401,"yyyy-mm-dd")&amp;IF(I401="RECENT","; from "&amp;TEXT(L401,"yyyy-mm-dd"),""))</x:f>
      </x:c>
    </x:row>
    <x:row r="402" ht="21" customHeight="1">
      <x:c r="A402" s="2" t="n">
        <x:v>34</x:v>
      </x:c>
      <x:c r="B402" s="2" t="str">
        <x:f>IF('Input_Meci'!A39="","",'Input_Meci'!A39)</x:f>
      </x:c>
      <x:c r="C402" s="2" t="str">
        <x:v>H</x:v>
      </x:c>
      <x:c r="D402" s="2" t="str">
        <x:v>CURRENT</x:v>
      </x:c>
      <x:c r="E402" s="2" t="str">
        <x:f>IF(B402="","",'Input_Meci'!B39)</x:f>
      </x:c>
      <x:c r="F402" s="2" t="str">
        <x:f>IF(B402="","",IF('Input_Meci'!C39="","",'Input_Meci'!C39))</x:f>
      </x:c>
      <x:c r="G402" s="2" t="str">
        <x:f>IF(B402="","",'Input_Meci'!D39)</x:f>
      </x:c>
      <x:c r="H402" s="2" t="str">
        <x:v>ANY</x:v>
      </x:c>
      <x:c r="I402" s="2" t="str">
        <x:v>SEASON</x:v>
      </x:c>
      <x:c r="J402" s="9" t="n">
        <x:f>IF(AND(B402&lt;&gt;"",ISNUMBER('Input_Meci'!G39)),INT('Input_Meci'!G39),0)</x:f>
        <x:v>0</x:v>
      </x:c>
      <x:c r="K402" s="2" t="n">
        <x:f>IF(OR(B402="",F402=""),0,IF(H402="HOME",COUNTIFS('Istoric_Nativ'!$B$6:$B$405,E402,'Istoric_Nativ'!$C$6:$C$405,F402,'Istoric_Nativ'!$E$6:$E$405,G402,'Istoric_Nativ'!$D$6:$D$405,"&lt;"&amp;J402,'Istoric_Nativ'!$P$6:$P$405,1),IF(H402="AWAY",COUNTIFS('Istoric_Nativ'!$B$6:$B$405,E402,'Istoric_Nativ'!$C$6:$C$405,F402,'Istoric_Nativ'!$F$6:$F$405,G402,'Istoric_Nativ'!$D$6:$D$405,"&lt;"&amp;J402,'Istoric_Nativ'!$P$6:$P$405,1),COUNTIFS('Istoric_Nativ'!$B$6:$B$405,E402,'Istoric_Nativ'!$C$6:$C$405,F402,'Istoric_Nativ'!$E$6:$E$405,G402,'Istoric_Nativ'!$D$6:$D$405,"&lt;"&amp;J402,'Istoric_Nativ'!$P$6:$P$405,1)+COUNTIFS('Istoric_Nativ'!$B$6:$B$405,E402,'Istoric_Nativ'!$C$6:$C$405,F402,'Istoric_Nativ'!$F$6:$F$405,G402,'Istoric_Nativ'!$D$6:$D$405,"&lt;"&amp;J402,'Istoric_Nativ'!$P$6:$P$405,1))))</x:f>
        <x:v>0</x:v>
      </x:c>
      <x:c r="L402" s="17" t="n">
        <x:f>IF(AND(B402&lt;&gt;"",I402="RECENT",K402&gt;0),LARGE(_xlfn._xlws.FILTER('Istoric_Nativ'!$D$6:$D$405,('Istoric_Nativ'!$B$6:$B$405=E402)*('Istoric_Nativ'!$C$6:$C$405=F402)*('Istoric_Nativ'!$P$6:$P$405=1)*('Istoric_Nativ'!$D$6:$D$405&lt;J402)*((('Istoric_Nativ'!$E$6:$E$405=G402)+('Istoric_Nativ'!$F$6:$F$405=G402))&gt;0)),MIN('Config_v6'!$B$54,K402)),0)</x:f>
        <x:v>0</x:v>
      </x:c>
      <x:c r="M402" s="2" t="n">
        <x:f>IF(OR(B402="",F402=""),0,IF(H402="HOME",COUNTIFS('Istoric_Nativ'!$B$6:$B$405,E402,'Istoric_Nativ'!$C$6:$C$405,F402,'Istoric_Nativ'!$E$6:$E$405,G402,'Istoric_Nativ'!$D$6:$D$405,"&lt;"&amp;J402,'Istoric_Nativ'!$P$6:$P$405,1,'Istoric_Nativ'!$D$6:$D$405,"&gt;="&amp;L402),IF(H402="AWAY",COUNTIFS('Istoric_Nativ'!$B$6:$B$405,E402,'Istoric_Nativ'!$C$6:$C$405,F402,'Istoric_Nativ'!$F$6:$F$405,G402,'Istoric_Nativ'!$D$6:$D$405,"&lt;"&amp;J402,'Istoric_Nativ'!$P$6:$P$405,1,'Istoric_Nativ'!$D$6:$D$405,"&gt;="&amp;L402),COUNTIFS('Istoric_Nativ'!$B$6:$B$405,E402,'Istoric_Nativ'!$C$6:$C$405,F402,'Istoric_Nativ'!$E$6:$E$405,G402,'Istoric_Nativ'!$D$6:$D$405,"&lt;"&amp;J402,'Istoric_Nativ'!$P$6:$P$405,1,'Istoric_Nativ'!$D$6:$D$405,"&gt;="&amp;L402)+COUNTIFS('Istoric_Nativ'!$B$6:$B$405,E402,'Istoric_Nativ'!$C$6:$C$405,F402,'Istoric_Nativ'!$F$6:$F$405,G402,'Istoric_Nativ'!$D$6:$D$405,"&lt;"&amp;J402,'Istoric_Nativ'!$P$6:$P$405,1,'Istoric_Nativ'!$D$6:$D$405,"&gt;="&amp;L402))))</x:f>
        <x:v>0</x:v>
      </x:c>
      <x:c r="N402" s="11" t="str">
        <x:f>IF(M402=0,"",IF(H402="HOME",SUMIFS('Istoric_Nativ'!$G$6:$G$405,'Istoric_Nativ'!$B$6:$B$405,E402,'Istoric_Nativ'!$C$6:$C$405,F402,'Istoric_Nativ'!$E$6:$E$405,G402,'Istoric_Nativ'!$D$6:$D$405,"&lt;"&amp;J402,'Istoric_Nativ'!$P$6:$P$405,1,'Istoric_Nativ'!$D$6:$D$405,"&gt;="&amp;L402),IF(H402="AWAY",SUMIFS('Istoric_Nativ'!$H$6:$H$405,'Istoric_Nativ'!$B$6:$B$405,E402,'Istoric_Nativ'!$C$6:$C$405,F402,'Istoric_Nativ'!$F$6:$F$405,G402,'Istoric_Nativ'!$D$6:$D$405,"&lt;"&amp;J402,'Istoric_Nativ'!$P$6:$P$405,1,'Istoric_Nativ'!$D$6:$D$405,"&gt;="&amp;L402),SUMIFS('Istoric_Nativ'!$G$6:$G$405,'Istoric_Nativ'!$B$6:$B$405,E402,'Istoric_Nativ'!$C$6:$C$405,F402,'Istoric_Nativ'!$E$6:$E$405,G402,'Istoric_Nativ'!$D$6:$D$405,"&lt;"&amp;J402,'Istoric_Nativ'!$P$6:$P$405,1,'Istoric_Nativ'!$D$6:$D$405,"&gt;="&amp;L402)+SUMIFS('Istoric_Nativ'!$H$6:$H$405,'Istoric_Nativ'!$B$6:$B$405,E402,'Istoric_Nativ'!$C$6:$C$405,F402,'Istoric_Nativ'!$F$6:$F$405,G402,'Istoric_Nativ'!$D$6:$D$405,"&lt;"&amp;J402,'Istoric_Nativ'!$P$6:$P$405,1,'Istoric_Nativ'!$D$6:$D$405,"&gt;="&amp;L402)))/M402)</x:f>
      </x:c>
      <x:c r="O402" s="11" t="str">
        <x:f>IF(M402=0,"",IF(H402="HOME",SUMIFS('Istoric_Nativ'!$H$6:$H$405,'Istoric_Nativ'!$B$6:$B$405,E402,'Istoric_Nativ'!$C$6:$C$405,F402,'Istoric_Nativ'!$E$6:$E$405,G402,'Istoric_Nativ'!$D$6:$D$405,"&lt;"&amp;J402,'Istoric_Nativ'!$P$6:$P$405,1,'Istoric_Nativ'!$D$6:$D$405,"&gt;="&amp;L402),IF(H402="AWAY",SUMIFS('Istoric_Nativ'!$G$6:$G$405,'Istoric_Nativ'!$B$6:$B$405,E402,'Istoric_Nativ'!$C$6:$C$405,F402,'Istoric_Nativ'!$F$6:$F$405,G402,'Istoric_Nativ'!$D$6:$D$405,"&lt;"&amp;J402,'Istoric_Nativ'!$P$6:$P$405,1,'Istoric_Nativ'!$D$6:$D$405,"&gt;="&amp;L402),SUMIFS('Istoric_Nativ'!$H$6:$H$405,'Istoric_Nativ'!$B$6:$B$405,E402,'Istoric_Nativ'!$C$6:$C$405,F402,'Istoric_Nativ'!$E$6:$E$405,G402,'Istoric_Nativ'!$D$6:$D$405,"&lt;"&amp;J402,'Istoric_Nativ'!$P$6:$P$405,1,'Istoric_Nativ'!$D$6:$D$405,"&gt;="&amp;L402)+SUMIFS('Istoric_Nativ'!$G$6:$G$405,'Istoric_Nativ'!$B$6:$B$405,E402,'Istoric_Nativ'!$C$6:$C$405,F402,'Istoric_Nativ'!$F$6:$F$405,G402,'Istoric_Nativ'!$D$6:$D$405,"&lt;"&amp;J402,'Istoric_Nativ'!$P$6:$P$405,1,'Istoric_Nativ'!$D$6:$D$405,"&gt;="&amp;L402)))/M402)</x:f>
      </x:c>
      <x:c r="P402" s="2" t="n">
        <x:f>'Config_v6'!$B$7</x:f>
        <x:v>10</x:v>
      </x:c>
      <x:c r="Q402" s="2" t="n">
        <x:f>IF(OR(B402="",F402=""),0,IFERROR(MATCH(E402&amp;"|"&amp;F402,SourceTable[Source_Key],0),0))</x:f>
        <x:v>0</x:v>
      </x:c>
      <x:c r="R402" s="2" t="str">
        <x:f>IF(B402="","",IF(F402="","UNUSED",IF(Q402=0,"NOT CHECKED",IF(COUNTIF(SourceTable[Source_Key],E402&amp;"|"&amp;F402)&lt;&gt;1,"SOURCE CONFLICT",IF(NOT(OR(INDEX(SourceTable[Status],MAX(1,Q402))="IMPORTED",INDEX(SourceTable[Status],MAX(1,Q402))="PARTIAL",INDEX(SourceTable[Status],MAX(1,Q402))="SOURCE CONFLICT")),"ACCESS BLOCKED",IF(OR(INDEX(SourceTable[Coverage],Q402)&lt;&gt;"FULL SEASON EXPORT",INDEX(SourceTable[URL],Q402)="",INDEX(SourceTable[SHA256],Q402)=""),"EVIDENCE INCOMPLETE",IF(AND('Input_Meci'!H39="LIVE",INDEX(SourceTable[Retrieved_UTC],Q402)&gt;'Input_Meci'!G39),"POST CUTOFF","CLOSED")))))))</x:f>
      </x:c>
      <x:c r="S402" s="2" t="n">
        <x:f>IF(OR(B402="",F402=""),0,COUNTIFS('Istoric_Nativ'!$B$6:$B$405,E402,'Istoric_Nativ'!$C$6:$C$405,F402,'Istoric_Nativ'!$E$6:$E$405,G402,'Istoric_Nativ'!$D$6:$D$405,"&lt;"&amp;J402,'Istoric_Nativ'!$O$6:$O$405,"INVALID")+COUNTIFS('Istoric_Nativ'!$B$6:$B$405,E402,'Istoric_Nativ'!$C$6:$C$405,F402,'Istoric_Nativ'!$E$6:$E$405,G402,'Istoric_Nativ'!$O$6:$O$405,"INVALID",'Istoric_Nativ'!$D$6:$D$405,"*")+COUNTIFS('Istoric_Nativ'!$B$6:$B$405,E402,'Istoric_Nativ'!$C$6:$C$405,F402,'Istoric_Nativ'!$E$6:$E$405,G402,'Istoric_Nativ'!$D$6:$D$405,"&lt;"&amp;J402,'Istoric_Nativ'!$O$6:$O$405,"SOURCE CONFLICT")+COUNTIFS('Istoric_Nativ'!$B$6:$B$405,E402,'Istoric_Nativ'!$C$6:$C$405,F402,'Istoric_Nativ'!$F$6:$F$405,G402,'Istoric_Nativ'!$D$6:$D$405,"&lt;"&amp;J402,'Istoric_Nativ'!$O$6:$O$405,"INVALID")+COUNTIFS('Istoric_Nativ'!$B$6:$B$405,E402,'Istoric_Nativ'!$C$6:$C$405,F402,'Istoric_Nativ'!$F$6:$F$405,G402,'Istoric_Nativ'!$O$6:$O$405,"INVALID",'Istoric_Nativ'!$D$6:$D$405,"*")+COUNTIFS('Istoric_Nativ'!$B$6:$B$405,E402,'Istoric_Nativ'!$C$6:$C$405,F402,'Istoric_Nativ'!$F$6:$F$405,G402,'Istoric_Nativ'!$D$6:$D$405,"&lt;"&amp;J402,'Istoric_Nativ'!$O$6:$O$405,"SOURCE CONFLICT"))</x:f>
        <x:v>0</x:v>
      </x:c>
      <x:c r="T402" s="2" t="str">
        <x:f>IF(B402="","",IF(R402&lt;&gt;"CLOSED",R402,IF(S402&gt;0,"NATIVE INPUT ISSUE",IF(M402=0,"NO HISTORY",IF(M402&lt;P402,"SMALL SAMPLE","DERIVED")))))</x:f>
      </x:c>
      <x:c r="U402" s="2" t="str">
        <x:f>IF(B402="","","NativeTable; "&amp;E402&amp;"; "&amp;F402&amp;"; "&amp;G402&amp;"; "&amp;H402&amp;"; before "&amp;TEXT(J402,"yyyy-mm-dd")&amp;IF(I402="RECENT","; from "&amp;TEXT(L402,"yyyy-mm-dd"),""))</x:f>
      </x:c>
    </x:row>
    <x:row r="403" ht="21" customHeight="1">
      <x:c r="A403" s="2" t="n">
        <x:v>34</x:v>
      </x:c>
      <x:c r="B403" s="2" t="str">
        <x:f>IF('Input_Meci'!A39="","",'Input_Meci'!A39)</x:f>
      </x:c>
      <x:c r="C403" s="2" t="str">
        <x:v>H</x:v>
      </x:c>
      <x:c r="D403" s="2" t="str">
        <x:v>CURRENT</x:v>
      </x:c>
      <x:c r="E403" s="2" t="str">
        <x:f>IF(B403="","",'Input_Meci'!B39)</x:f>
      </x:c>
      <x:c r="F403" s="2" t="str">
        <x:f>IF(B403="","",IF('Input_Meci'!C39="","",'Input_Meci'!C39))</x:f>
      </x:c>
      <x:c r="G403" s="2" t="str">
        <x:f>IF(B403="","",'Input_Meci'!D39)</x:f>
      </x:c>
      <x:c r="H403" s="2" t="str">
        <x:v>HOME</x:v>
      </x:c>
      <x:c r="I403" s="2" t="str">
        <x:v>HA</x:v>
      </x:c>
      <x:c r="J403" s="9" t="n">
        <x:f>IF(AND(B403&lt;&gt;"",ISNUMBER('Input_Meci'!G39)),INT('Input_Meci'!G39),0)</x:f>
        <x:v>0</x:v>
      </x:c>
      <x:c r="K403" s="2" t="n">
        <x:f>IF(OR(B403="",F403=""),0,IF(H403="HOME",COUNTIFS('Istoric_Nativ'!$B$6:$B$405,E403,'Istoric_Nativ'!$C$6:$C$405,F403,'Istoric_Nativ'!$E$6:$E$405,G403,'Istoric_Nativ'!$D$6:$D$405,"&lt;"&amp;J403,'Istoric_Nativ'!$P$6:$P$405,1),IF(H403="AWAY",COUNTIFS('Istoric_Nativ'!$B$6:$B$405,E403,'Istoric_Nativ'!$C$6:$C$405,F403,'Istoric_Nativ'!$F$6:$F$405,G403,'Istoric_Nativ'!$D$6:$D$405,"&lt;"&amp;J403,'Istoric_Nativ'!$P$6:$P$405,1),COUNTIFS('Istoric_Nativ'!$B$6:$B$405,E403,'Istoric_Nativ'!$C$6:$C$405,F403,'Istoric_Nativ'!$E$6:$E$405,G403,'Istoric_Nativ'!$D$6:$D$405,"&lt;"&amp;J403,'Istoric_Nativ'!$P$6:$P$405,1)+COUNTIFS('Istoric_Nativ'!$B$6:$B$405,E403,'Istoric_Nativ'!$C$6:$C$405,F403,'Istoric_Nativ'!$F$6:$F$405,G403,'Istoric_Nativ'!$D$6:$D$405,"&lt;"&amp;J403,'Istoric_Nativ'!$P$6:$P$405,1))))</x:f>
        <x:v>0</x:v>
      </x:c>
      <x:c r="L403" s="17" t="n">
        <x:f>IF(AND(B403&lt;&gt;"",I403="RECENT",K403&gt;0),LARGE(_xlfn._xlws.FILTER('Istoric_Nativ'!$D$6:$D$405,('Istoric_Nativ'!$B$6:$B$405=E403)*('Istoric_Nativ'!$C$6:$C$405=F403)*('Istoric_Nativ'!$P$6:$P$405=1)*('Istoric_Nativ'!$D$6:$D$405&lt;J403)*((('Istoric_Nativ'!$E$6:$E$405=G403)+('Istoric_Nativ'!$F$6:$F$405=G403))&gt;0)),MIN('Config_v6'!$B$54,K403)),0)</x:f>
        <x:v>0</x:v>
      </x:c>
      <x:c r="M403" s="2" t="n">
        <x:f>IF(OR(B403="",F403=""),0,IF(H403="HOME",COUNTIFS('Istoric_Nativ'!$B$6:$B$405,E403,'Istoric_Nativ'!$C$6:$C$405,F403,'Istoric_Nativ'!$E$6:$E$405,G403,'Istoric_Nativ'!$D$6:$D$405,"&lt;"&amp;J403,'Istoric_Nativ'!$P$6:$P$405,1,'Istoric_Nativ'!$D$6:$D$405,"&gt;="&amp;L403),IF(H403="AWAY",COUNTIFS('Istoric_Nativ'!$B$6:$B$405,E403,'Istoric_Nativ'!$C$6:$C$405,F403,'Istoric_Nativ'!$F$6:$F$405,G403,'Istoric_Nativ'!$D$6:$D$405,"&lt;"&amp;J403,'Istoric_Nativ'!$P$6:$P$405,1,'Istoric_Nativ'!$D$6:$D$405,"&gt;="&amp;L403),COUNTIFS('Istoric_Nativ'!$B$6:$B$405,E403,'Istoric_Nativ'!$C$6:$C$405,F403,'Istoric_Nativ'!$E$6:$E$405,G403,'Istoric_Nativ'!$D$6:$D$405,"&lt;"&amp;J403,'Istoric_Nativ'!$P$6:$P$405,1,'Istoric_Nativ'!$D$6:$D$405,"&gt;="&amp;L403)+COUNTIFS('Istoric_Nativ'!$B$6:$B$405,E403,'Istoric_Nativ'!$C$6:$C$405,F403,'Istoric_Nativ'!$F$6:$F$405,G403,'Istoric_Nativ'!$D$6:$D$405,"&lt;"&amp;J403,'Istoric_Nativ'!$P$6:$P$405,1,'Istoric_Nativ'!$D$6:$D$405,"&gt;="&amp;L403))))</x:f>
        <x:v>0</x:v>
      </x:c>
      <x:c r="N403" s="11" t="str">
        <x:f>IF(M403=0,"",IF(H403="HOME",SUMIFS('Istoric_Nativ'!$G$6:$G$405,'Istoric_Nativ'!$B$6:$B$405,E403,'Istoric_Nativ'!$C$6:$C$405,F403,'Istoric_Nativ'!$E$6:$E$405,G403,'Istoric_Nativ'!$D$6:$D$405,"&lt;"&amp;J403,'Istoric_Nativ'!$P$6:$P$405,1,'Istoric_Nativ'!$D$6:$D$405,"&gt;="&amp;L403),IF(H403="AWAY",SUMIFS('Istoric_Nativ'!$H$6:$H$405,'Istoric_Nativ'!$B$6:$B$405,E403,'Istoric_Nativ'!$C$6:$C$405,F403,'Istoric_Nativ'!$F$6:$F$405,G403,'Istoric_Nativ'!$D$6:$D$405,"&lt;"&amp;J403,'Istoric_Nativ'!$P$6:$P$405,1,'Istoric_Nativ'!$D$6:$D$405,"&gt;="&amp;L403),SUMIFS('Istoric_Nativ'!$G$6:$G$405,'Istoric_Nativ'!$B$6:$B$405,E403,'Istoric_Nativ'!$C$6:$C$405,F403,'Istoric_Nativ'!$E$6:$E$405,G403,'Istoric_Nativ'!$D$6:$D$405,"&lt;"&amp;J403,'Istoric_Nativ'!$P$6:$P$405,1,'Istoric_Nativ'!$D$6:$D$405,"&gt;="&amp;L403)+SUMIFS('Istoric_Nativ'!$H$6:$H$405,'Istoric_Nativ'!$B$6:$B$405,E403,'Istoric_Nativ'!$C$6:$C$405,F403,'Istoric_Nativ'!$F$6:$F$405,G403,'Istoric_Nativ'!$D$6:$D$405,"&lt;"&amp;J403,'Istoric_Nativ'!$P$6:$P$405,1,'Istoric_Nativ'!$D$6:$D$405,"&gt;="&amp;L403)))/M403)</x:f>
      </x:c>
      <x:c r="O403" s="11" t="str">
        <x:f>IF(M403=0,"",IF(H403="HOME",SUMIFS('Istoric_Nativ'!$H$6:$H$405,'Istoric_Nativ'!$B$6:$B$405,E403,'Istoric_Nativ'!$C$6:$C$405,F403,'Istoric_Nativ'!$E$6:$E$405,G403,'Istoric_Nativ'!$D$6:$D$405,"&lt;"&amp;J403,'Istoric_Nativ'!$P$6:$P$405,1,'Istoric_Nativ'!$D$6:$D$405,"&gt;="&amp;L403),IF(H403="AWAY",SUMIFS('Istoric_Nativ'!$G$6:$G$405,'Istoric_Nativ'!$B$6:$B$405,E403,'Istoric_Nativ'!$C$6:$C$405,F403,'Istoric_Nativ'!$F$6:$F$405,G403,'Istoric_Nativ'!$D$6:$D$405,"&lt;"&amp;J403,'Istoric_Nativ'!$P$6:$P$405,1,'Istoric_Nativ'!$D$6:$D$405,"&gt;="&amp;L403),SUMIFS('Istoric_Nativ'!$H$6:$H$405,'Istoric_Nativ'!$B$6:$B$405,E403,'Istoric_Nativ'!$C$6:$C$405,F403,'Istoric_Nativ'!$E$6:$E$405,G403,'Istoric_Nativ'!$D$6:$D$405,"&lt;"&amp;J403,'Istoric_Nativ'!$P$6:$P$405,1,'Istoric_Nativ'!$D$6:$D$405,"&gt;="&amp;L403)+SUMIFS('Istoric_Nativ'!$G$6:$G$405,'Istoric_Nativ'!$B$6:$B$405,E403,'Istoric_Nativ'!$C$6:$C$405,F403,'Istoric_Nativ'!$F$6:$F$405,G403,'Istoric_Nativ'!$D$6:$D$405,"&lt;"&amp;J403,'Istoric_Nativ'!$P$6:$P$405,1,'Istoric_Nativ'!$D$6:$D$405,"&gt;="&amp;L403)))/M403)</x:f>
      </x:c>
      <x:c r="P403" s="2" t="n">
        <x:f>'Config_v6'!$B$8</x:f>
        <x:v>5</x:v>
      </x:c>
      <x:c r="Q403" s="2" t="n">
        <x:f>IF(OR(B403="",F403=""),0,IFERROR(MATCH(E403&amp;"|"&amp;F403,SourceTable[Source_Key],0),0))</x:f>
        <x:v>0</x:v>
      </x:c>
      <x:c r="R403" s="2" t="str">
        <x:f>IF(B403="","",IF(F403="","UNUSED",IF(Q403=0,"NOT CHECKED",IF(COUNTIF(SourceTable[Source_Key],E403&amp;"|"&amp;F403)&lt;&gt;1,"SOURCE CONFLICT",IF(NOT(OR(INDEX(SourceTable[Status],MAX(1,Q403))="IMPORTED",INDEX(SourceTable[Status],MAX(1,Q403))="PARTIAL",INDEX(SourceTable[Status],MAX(1,Q403))="SOURCE CONFLICT")),"ACCESS BLOCKED",IF(OR(INDEX(SourceTable[Coverage],Q403)&lt;&gt;"FULL SEASON EXPORT",INDEX(SourceTable[URL],Q403)="",INDEX(SourceTable[SHA256],Q403)=""),"EVIDENCE INCOMPLETE",IF(AND('Input_Meci'!H39="LIVE",INDEX(SourceTable[Retrieved_UTC],Q403)&gt;'Input_Meci'!G39),"POST CUTOFF","CLOSED")))))))</x:f>
      </x:c>
      <x:c r="S403" s="2" t="n">
        <x:f>IF(OR(B403="",F403=""),0,COUNTIFS('Istoric_Nativ'!$B$6:$B$405,E403,'Istoric_Nativ'!$C$6:$C$405,F403,'Istoric_Nativ'!$E$6:$E$405,G403,'Istoric_Nativ'!$D$6:$D$405,"&lt;"&amp;J403,'Istoric_Nativ'!$O$6:$O$405,"INVALID")+COUNTIFS('Istoric_Nativ'!$B$6:$B$405,E403,'Istoric_Nativ'!$C$6:$C$405,F403,'Istoric_Nativ'!$E$6:$E$405,G403,'Istoric_Nativ'!$O$6:$O$405,"INVALID",'Istoric_Nativ'!$D$6:$D$405,"*")+COUNTIFS('Istoric_Nativ'!$B$6:$B$405,E403,'Istoric_Nativ'!$C$6:$C$405,F403,'Istoric_Nativ'!$E$6:$E$405,G403,'Istoric_Nativ'!$D$6:$D$405,"&lt;"&amp;J403,'Istoric_Nativ'!$O$6:$O$405,"SOURCE CONFLICT")+COUNTIFS('Istoric_Nativ'!$B$6:$B$405,E403,'Istoric_Nativ'!$C$6:$C$405,F403,'Istoric_Nativ'!$F$6:$F$405,G403,'Istoric_Nativ'!$D$6:$D$405,"&lt;"&amp;J403,'Istoric_Nativ'!$O$6:$O$405,"INVALID")+COUNTIFS('Istoric_Nativ'!$B$6:$B$405,E403,'Istoric_Nativ'!$C$6:$C$405,F403,'Istoric_Nativ'!$F$6:$F$405,G403,'Istoric_Nativ'!$O$6:$O$405,"INVALID",'Istoric_Nativ'!$D$6:$D$405,"*")+COUNTIFS('Istoric_Nativ'!$B$6:$B$405,E403,'Istoric_Nativ'!$C$6:$C$405,F403,'Istoric_Nativ'!$F$6:$F$405,G403,'Istoric_Nativ'!$D$6:$D$405,"&lt;"&amp;J403,'Istoric_Nativ'!$O$6:$O$405,"SOURCE CONFLICT"))</x:f>
        <x:v>0</x:v>
      </x:c>
      <x:c r="T403" s="2" t="str">
        <x:f>IF(B403="","",IF(R403&lt;&gt;"CLOSED",R403,IF(S403&gt;0,"NATIVE INPUT ISSUE",IF(M403=0,"NO HISTORY",IF(M403&lt;P403,"SMALL SAMPLE","DERIVED")))))</x:f>
      </x:c>
      <x:c r="U403" s="2" t="str">
        <x:f>IF(B403="","","NativeTable; "&amp;E403&amp;"; "&amp;F403&amp;"; "&amp;G403&amp;"; "&amp;H403&amp;"; before "&amp;TEXT(J403,"yyyy-mm-dd")&amp;IF(I403="RECENT","; from "&amp;TEXT(L403,"yyyy-mm-dd"),""))</x:f>
      </x:c>
    </x:row>
    <x:row r="404" ht="21" customHeight="1">
      <x:c r="A404" s="2" t="n">
        <x:v>34</x:v>
      </x:c>
      <x:c r="B404" s="2" t="str">
        <x:f>IF('Input_Meci'!A39="","",'Input_Meci'!A39)</x:f>
      </x:c>
      <x:c r="C404" s="2" t="str">
        <x:v>H</x:v>
      </x:c>
      <x:c r="D404" s="2" t="str">
        <x:v>CURRENT</x:v>
      </x:c>
      <x:c r="E404" s="2" t="str">
        <x:f>IF(B404="","",'Input_Meci'!B39)</x:f>
      </x:c>
      <x:c r="F404" s="2" t="str">
        <x:f>IF(B404="","",IF('Input_Meci'!C39="","",'Input_Meci'!C39))</x:f>
      </x:c>
      <x:c r="G404" s="2" t="str">
        <x:f>IF(B404="","",'Input_Meci'!D39)</x:f>
      </x:c>
      <x:c r="H404" s="2" t="str">
        <x:v>ANY</x:v>
      </x:c>
      <x:c r="I404" s="2" t="str">
        <x:v>RECENT</x:v>
      </x:c>
      <x:c r="J404" s="9" t="n">
        <x:f>IF(AND(B404&lt;&gt;"",ISNUMBER('Input_Meci'!G39)),INT('Input_Meci'!G39),0)</x:f>
        <x:v>0</x:v>
      </x:c>
      <x:c r="K404" s="2" t="n">
        <x:f>IF(OR(B404="",F404=""),0,IF(H404="HOME",COUNTIFS('Istoric_Nativ'!$B$6:$B$405,E404,'Istoric_Nativ'!$C$6:$C$405,F404,'Istoric_Nativ'!$E$6:$E$405,G404,'Istoric_Nativ'!$D$6:$D$405,"&lt;"&amp;J404,'Istoric_Nativ'!$P$6:$P$405,1),IF(H404="AWAY",COUNTIFS('Istoric_Nativ'!$B$6:$B$405,E404,'Istoric_Nativ'!$C$6:$C$405,F404,'Istoric_Nativ'!$F$6:$F$405,G404,'Istoric_Nativ'!$D$6:$D$405,"&lt;"&amp;J404,'Istoric_Nativ'!$P$6:$P$405,1),COUNTIFS('Istoric_Nativ'!$B$6:$B$405,E404,'Istoric_Nativ'!$C$6:$C$405,F404,'Istoric_Nativ'!$E$6:$E$405,G404,'Istoric_Nativ'!$D$6:$D$405,"&lt;"&amp;J404,'Istoric_Nativ'!$P$6:$P$405,1)+COUNTIFS('Istoric_Nativ'!$B$6:$B$405,E404,'Istoric_Nativ'!$C$6:$C$405,F404,'Istoric_Nativ'!$F$6:$F$405,G404,'Istoric_Nativ'!$D$6:$D$405,"&lt;"&amp;J404,'Istoric_Nativ'!$P$6:$P$405,1))))</x:f>
        <x:v>0</x:v>
      </x:c>
      <x:c r="L404" s="17" t="n">
        <x:f>IF(AND(B404&lt;&gt;"",I404="RECENT",K404&gt;0),LARGE(_xlfn._xlws.FILTER('Istoric_Nativ'!$D$6:$D$405,('Istoric_Nativ'!$B$6:$B$405=E404)*('Istoric_Nativ'!$C$6:$C$405=F404)*('Istoric_Nativ'!$P$6:$P$405=1)*('Istoric_Nativ'!$D$6:$D$405&lt;J404)*((('Istoric_Nativ'!$E$6:$E$405=G404)+('Istoric_Nativ'!$F$6:$F$405=G404))&gt;0)),MIN('Config_v6'!$B$54,K404)),0)</x:f>
        <x:v>0</x:v>
      </x:c>
      <x:c r="M404" s="2" t="n">
        <x:f>IF(OR(B404="",F404=""),0,IF(H404="HOME",COUNTIFS('Istoric_Nativ'!$B$6:$B$405,E404,'Istoric_Nativ'!$C$6:$C$405,F404,'Istoric_Nativ'!$E$6:$E$405,G404,'Istoric_Nativ'!$D$6:$D$405,"&lt;"&amp;J404,'Istoric_Nativ'!$P$6:$P$405,1,'Istoric_Nativ'!$D$6:$D$405,"&gt;="&amp;L404),IF(H404="AWAY",COUNTIFS('Istoric_Nativ'!$B$6:$B$405,E404,'Istoric_Nativ'!$C$6:$C$405,F404,'Istoric_Nativ'!$F$6:$F$405,G404,'Istoric_Nativ'!$D$6:$D$405,"&lt;"&amp;J404,'Istoric_Nativ'!$P$6:$P$405,1,'Istoric_Nativ'!$D$6:$D$405,"&gt;="&amp;L404),COUNTIFS('Istoric_Nativ'!$B$6:$B$405,E404,'Istoric_Nativ'!$C$6:$C$405,F404,'Istoric_Nativ'!$E$6:$E$405,G404,'Istoric_Nativ'!$D$6:$D$405,"&lt;"&amp;J404,'Istoric_Nativ'!$P$6:$P$405,1,'Istoric_Nativ'!$D$6:$D$405,"&gt;="&amp;L404)+COUNTIFS('Istoric_Nativ'!$B$6:$B$405,E404,'Istoric_Nativ'!$C$6:$C$405,F404,'Istoric_Nativ'!$F$6:$F$405,G404,'Istoric_Nativ'!$D$6:$D$405,"&lt;"&amp;J404,'Istoric_Nativ'!$P$6:$P$405,1,'Istoric_Nativ'!$D$6:$D$405,"&gt;="&amp;L404))))</x:f>
        <x:v>0</x:v>
      </x:c>
      <x:c r="N404" s="11" t="str">
        <x:f>IF(M404=0,"",IF(H404="HOME",SUMIFS('Istoric_Nativ'!$G$6:$G$405,'Istoric_Nativ'!$B$6:$B$405,E404,'Istoric_Nativ'!$C$6:$C$405,F404,'Istoric_Nativ'!$E$6:$E$405,G404,'Istoric_Nativ'!$D$6:$D$405,"&lt;"&amp;J404,'Istoric_Nativ'!$P$6:$P$405,1,'Istoric_Nativ'!$D$6:$D$405,"&gt;="&amp;L404),IF(H404="AWAY",SUMIFS('Istoric_Nativ'!$H$6:$H$405,'Istoric_Nativ'!$B$6:$B$405,E404,'Istoric_Nativ'!$C$6:$C$405,F404,'Istoric_Nativ'!$F$6:$F$405,G404,'Istoric_Nativ'!$D$6:$D$405,"&lt;"&amp;J404,'Istoric_Nativ'!$P$6:$P$405,1,'Istoric_Nativ'!$D$6:$D$405,"&gt;="&amp;L404),SUMIFS('Istoric_Nativ'!$G$6:$G$405,'Istoric_Nativ'!$B$6:$B$405,E404,'Istoric_Nativ'!$C$6:$C$405,F404,'Istoric_Nativ'!$E$6:$E$405,G404,'Istoric_Nativ'!$D$6:$D$405,"&lt;"&amp;J404,'Istoric_Nativ'!$P$6:$P$405,1,'Istoric_Nativ'!$D$6:$D$405,"&gt;="&amp;L404)+SUMIFS('Istoric_Nativ'!$H$6:$H$405,'Istoric_Nativ'!$B$6:$B$405,E404,'Istoric_Nativ'!$C$6:$C$405,F404,'Istoric_Nativ'!$F$6:$F$405,G404,'Istoric_Nativ'!$D$6:$D$405,"&lt;"&amp;J404,'Istoric_Nativ'!$P$6:$P$405,1,'Istoric_Nativ'!$D$6:$D$405,"&gt;="&amp;L404)))/M404)</x:f>
      </x:c>
      <x:c r="O404" s="11" t="str">
        <x:f>IF(M404=0,"",IF(H404="HOME",SUMIFS('Istoric_Nativ'!$H$6:$H$405,'Istoric_Nativ'!$B$6:$B$405,E404,'Istoric_Nativ'!$C$6:$C$405,F404,'Istoric_Nativ'!$E$6:$E$405,G404,'Istoric_Nativ'!$D$6:$D$405,"&lt;"&amp;J404,'Istoric_Nativ'!$P$6:$P$405,1,'Istoric_Nativ'!$D$6:$D$405,"&gt;="&amp;L404),IF(H404="AWAY",SUMIFS('Istoric_Nativ'!$G$6:$G$405,'Istoric_Nativ'!$B$6:$B$405,E404,'Istoric_Nativ'!$C$6:$C$405,F404,'Istoric_Nativ'!$F$6:$F$405,G404,'Istoric_Nativ'!$D$6:$D$405,"&lt;"&amp;J404,'Istoric_Nativ'!$P$6:$P$405,1,'Istoric_Nativ'!$D$6:$D$405,"&gt;="&amp;L404),SUMIFS('Istoric_Nativ'!$H$6:$H$405,'Istoric_Nativ'!$B$6:$B$405,E404,'Istoric_Nativ'!$C$6:$C$405,F404,'Istoric_Nativ'!$E$6:$E$405,G404,'Istoric_Nativ'!$D$6:$D$405,"&lt;"&amp;J404,'Istoric_Nativ'!$P$6:$P$405,1,'Istoric_Nativ'!$D$6:$D$405,"&gt;="&amp;L404)+SUMIFS('Istoric_Nativ'!$G$6:$G$405,'Istoric_Nativ'!$B$6:$B$405,E404,'Istoric_Nativ'!$C$6:$C$405,F404,'Istoric_Nativ'!$F$6:$F$405,G404,'Istoric_Nativ'!$D$6:$D$405,"&lt;"&amp;J404,'Istoric_Nativ'!$P$6:$P$405,1,'Istoric_Nativ'!$D$6:$D$405,"&gt;="&amp;L404)))/M404)</x:f>
      </x:c>
      <x:c r="P404" s="2" t="n">
        <x:f>'Config_v6'!$B$9</x:f>
        <x:v>3</x:v>
      </x:c>
      <x:c r="Q404" s="2" t="n">
        <x:f>IF(OR(B404="",F404=""),0,IFERROR(MATCH(E404&amp;"|"&amp;F404,SourceTable[Source_Key],0),0))</x:f>
        <x:v>0</x:v>
      </x:c>
      <x:c r="R404" s="2" t="str">
        <x:f>IF(B404="","",IF(F404="","UNUSED",IF(Q404=0,"NOT CHECKED",IF(COUNTIF(SourceTable[Source_Key],E404&amp;"|"&amp;F404)&lt;&gt;1,"SOURCE CONFLICT",IF(NOT(OR(INDEX(SourceTable[Status],MAX(1,Q404))="IMPORTED",INDEX(SourceTable[Status],MAX(1,Q404))="PARTIAL",INDEX(SourceTable[Status],MAX(1,Q404))="SOURCE CONFLICT")),"ACCESS BLOCKED",IF(OR(INDEX(SourceTable[Coverage],Q404)&lt;&gt;"FULL SEASON EXPORT",INDEX(SourceTable[URL],Q404)="",INDEX(SourceTable[SHA256],Q404)=""),"EVIDENCE INCOMPLETE",IF(AND('Input_Meci'!H39="LIVE",INDEX(SourceTable[Retrieved_UTC],Q404)&gt;'Input_Meci'!G39),"POST CUTOFF","CLOSED")))))))</x:f>
      </x:c>
      <x:c r="S404" s="2" t="n">
        <x:f>IF(OR(B404="",F404=""),0,COUNTIFS('Istoric_Nativ'!$B$6:$B$405,E404,'Istoric_Nativ'!$C$6:$C$405,F404,'Istoric_Nativ'!$E$6:$E$405,G404,'Istoric_Nativ'!$D$6:$D$405,"&lt;"&amp;J404,'Istoric_Nativ'!$O$6:$O$405,"INVALID")+COUNTIFS('Istoric_Nativ'!$B$6:$B$405,E404,'Istoric_Nativ'!$C$6:$C$405,F404,'Istoric_Nativ'!$E$6:$E$405,G404,'Istoric_Nativ'!$O$6:$O$405,"INVALID",'Istoric_Nativ'!$D$6:$D$405,"*")+COUNTIFS('Istoric_Nativ'!$B$6:$B$405,E404,'Istoric_Nativ'!$C$6:$C$405,F404,'Istoric_Nativ'!$E$6:$E$405,G404,'Istoric_Nativ'!$D$6:$D$405,"&lt;"&amp;J404,'Istoric_Nativ'!$O$6:$O$405,"SOURCE CONFLICT")+COUNTIFS('Istoric_Nativ'!$B$6:$B$405,E404,'Istoric_Nativ'!$C$6:$C$405,F404,'Istoric_Nativ'!$F$6:$F$405,G404,'Istoric_Nativ'!$D$6:$D$405,"&lt;"&amp;J404,'Istoric_Nativ'!$O$6:$O$405,"INVALID")+COUNTIFS('Istoric_Nativ'!$B$6:$B$405,E404,'Istoric_Nativ'!$C$6:$C$405,F404,'Istoric_Nativ'!$F$6:$F$405,G404,'Istoric_Nativ'!$O$6:$O$405,"INVALID",'Istoric_Nativ'!$D$6:$D$405,"*")+COUNTIFS('Istoric_Nativ'!$B$6:$B$405,E404,'Istoric_Nativ'!$C$6:$C$405,F404,'Istoric_Nativ'!$F$6:$F$405,G404,'Istoric_Nativ'!$D$6:$D$405,"&lt;"&amp;J404,'Istoric_Nativ'!$O$6:$O$405,"SOURCE CONFLICT"))</x:f>
        <x:v>0</x:v>
      </x:c>
      <x:c r="T404" s="2" t="str">
        <x:f>IF(B404="","",IF(R404&lt;&gt;"CLOSED",R404,IF(S404&gt;0,"NATIVE INPUT ISSUE",IF(M404=0,"NO HISTORY",IF(M404&lt;P404,"SMALL SAMPLE","DERIVED")))))</x:f>
      </x:c>
      <x:c r="U404" s="2" t="str">
        <x:f>IF(B404="","","NativeTable; "&amp;E404&amp;"; "&amp;F404&amp;"; "&amp;G404&amp;"; "&amp;H404&amp;"; before "&amp;TEXT(J404,"yyyy-mm-dd")&amp;IF(I404="RECENT","; from "&amp;TEXT(L404,"yyyy-mm-dd"),""))</x:f>
      </x:c>
    </x:row>
    <x:row r="405" ht="21" customHeight="1">
      <x:c r="A405" s="2" t="n">
        <x:v>34</x:v>
      </x:c>
      <x:c r="B405" s="2" t="str">
        <x:f>IF('Input_Meci'!A39="","",'Input_Meci'!A39)</x:f>
      </x:c>
      <x:c r="C405" s="2" t="str">
        <x:v>A</x:v>
      </x:c>
      <x:c r="D405" s="2" t="str">
        <x:v>CURRENT</x:v>
      </x:c>
      <x:c r="E405" s="2" t="str">
        <x:f>IF(B405="","",'Input_Meci'!B39)</x:f>
      </x:c>
      <x:c r="F405" s="2" t="str">
        <x:f>IF(B405="","",IF('Input_Meci'!C39="","",'Input_Meci'!C39))</x:f>
      </x:c>
      <x:c r="G405" s="2" t="str">
        <x:f>IF(B405="","",'Input_Meci'!E39)</x:f>
      </x:c>
      <x:c r="H405" s="2" t="str">
        <x:v>ANY</x:v>
      </x:c>
      <x:c r="I405" s="2" t="str">
        <x:v>SEASON</x:v>
      </x:c>
      <x:c r="J405" s="9" t="n">
        <x:f>IF(AND(B405&lt;&gt;"",ISNUMBER('Input_Meci'!G39)),INT('Input_Meci'!G39),0)</x:f>
        <x:v>0</x:v>
      </x:c>
      <x:c r="K405" s="2" t="n">
        <x:f>IF(OR(B405="",F405=""),0,IF(H405="HOME",COUNTIFS('Istoric_Nativ'!$B$6:$B$405,E405,'Istoric_Nativ'!$C$6:$C$405,F405,'Istoric_Nativ'!$E$6:$E$405,G405,'Istoric_Nativ'!$D$6:$D$405,"&lt;"&amp;J405,'Istoric_Nativ'!$P$6:$P$405,1),IF(H405="AWAY",COUNTIFS('Istoric_Nativ'!$B$6:$B$405,E405,'Istoric_Nativ'!$C$6:$C$405,F405,'Istoric_Nativ'!$F$6:$F$405,G405,'Istoric_Nativ'!$D$6:$D$405,"&lt;"&amp;J405,'Istoric_Nativ'!$P$6:$P$405,1),COUNTIFS('Istoric_Nativ'!$B$6:$B$405,E405,'Istoric_Nativ'!$C$6:$C$405,F405,'Istoric_Nativ'!$E$6:$E$405,G405,'Istoric_Nativ'!$D$6:$D$405,"&lt;"&amp;J405,'Istoric_Nativ'!$P$6:$P$405,1)+COUNTIFS('Istoric_Nativ'!$B$6:$B$405,E405,'Istoric_Nativ'!$C$6:$C$405,F405,'Istoric_Nativ'!$F$6:$F$405,G405,'Istoric_Nativ'!$D$6:$D$405,"&lt;"&amp;J405,'Istoric_Nativ'!$P$6:$P$405,1))))</x:f>
        <x:v>0</x:v>
      </x:c>
      <x:c r="L405" s="17" t="n">
        <x:f>IF(AND(B405&lt;&gt;"",I405="RECENT",K405&gt;0),LARGE(_xlfn._xlws.FILTER('Istoric_Nativ'!$D$6:$D$405,('Istoric_Nativ'!$B$6:$B$405=E405)*('Istoric_Nativ'!$C$6:$C$405=F405)*('Istoric_Nativ'!$P$6:$P$405=1)*('Istoric_Nativ'!$D$6:$D$405&lt;J405)*((('Istoric_Nativ'!$E$6:$E$405=G405)+('Istoric_Nativ'!$F$6:$F$405=G405))&gt;0)),MIN('Config_v6'!$B$54,K405)),0)</x:f>
        <x:v>0</x:v>
      </x:c>
      <x:c r="M405" s="2" t="n">
        <x:f>IF(OR(B405="",F405=""),0,IF(H405="HOME",COUNTIFS('Istoric_Nativ'!$B$6:$B$405,E405,'Istoric_Nativ'!$C$6:$C$405,F405,'Istoric_Nativ'!$E$6:$E$405,G405,'Istoric_Nativ'!$D$6:$D$405,"&lt;"&amp;J405,'Istoric_Nativ'!$P$6:$P$405,1,'Istoric_Nativ'!$D$6:$D$405,"&gt;="&amp;L405),IF(H405="AWAY",COUNTIFS('Istoric_Nativ'!$B$6:$B$405,E405,'Istoric_Nativ'!$C$6:$C$405,F405,'Istoric_Nativ'!$F$6:$F$405,G405,'Istoric_Nativ'!$D$6:$D$405,"&lt;"&amp;J405,'Istoric_Nativ'!$P$6:$P$405,1,'Istoric_Nativ'!$D$6:$D$405,"&gt;="&amp;L405),COUNTIFS('Istoric_Nativ'!$B$6:$B$405,E405,'Istoric_Nativ'!$C$6:$C$405,F405,'Istoric_Nativ'!$E$6:$E$405,G405,'Istoric_Nativ'!$D$6:$D$405,"&lt;"&amp;J405,'Istoric_Nativ'!$P$6:$P$405,1,'Istoric_Nativ'!$D$6:$D$405,"&gt;="&amp;L405)+COUNTIFS('Istoric_Nativ'!$B$6:$B$405,E405,'Istoric_Nativ'!$C$6:$C$405,F405,'Istoric_Nativ'!$F$6:$F$405,G405,'Istoric_Nativ'!$D$6:$D$405,"&lt;"&amp;J405,'Istoric_Nativ'!$P$6:$P$405,1,'Istoric_Nativ'!$D$6:$D$405,"&gt;="&amp;L405))))</x:f>
        <x:v>0</x:v>
      </x:c>
      <x:c r="N405" s="11" t="str">
        <x:f>IF(M405=0,"",IF(H405="HOME",SUMIFS('Istoric_Nativ'!$G$6:$G$405,'Istoric_Nativ'!$B$6:$B$405,E405,'Istoric_Nativ'!$C$6:$C$405,F405,'Istoric_Nativ'!$E$6:$E$405,G405,'Istoric_Nativ'!$D$6:$D$405,"&lt;"&amp;J405,'Istoric_Nativ'!$P$6:$P$405,1,'Istoric_Nativ'!$D$6:$D$405,"&gt;="&amp;L405),IF(H405="AWAY",SUMIFS('Istoric_Nativ'!$H$6:$H$405,'Istoric_Nativ'!$B$6:$B$405,E405,'Istoric_Nativ'!$C$6:$C$405,F405,'Istoric_Nativ'!$F$6:$F$405,G405,'Istoric_Nativ'!$D$6:$D$405,"&lt;"&amp;J405,'Istoric_Nativ'!$P$6:$P$405,1,'Istoric_Nativ'!$D$6:$D$405,"&gt;="&amp;L405),SUMIFS('Istoric_Nativ'!$G$6:$G$405,'Istoric_Nativ'!$B$6:$B$405,E405,'Istoric_Nativ'!$C$6:$C$405,F405,'Istoric_Nativ'!$E$6:$E$405,G405,'Istoric_Nativ'!$D$6:$D$405,"&lt;"&amp;J405,'Istoric_Nativ'!$P$6:$P$405,1,'Istoric_Nativ'!$D$6:$D$405,"&gt;="&amp;L405)+SUMIFS('Istoric_Nativ'!$H$6:$H$405,'Istoric_Nativ'!$B$6:$B$405,E405,'Istoric_Nativ'!$C$6:$C$405,F405,'Istoric_Nativ'!$F$6:$F$405,G405,'Istoric_Nativ'!$D$6:$D$405,"&lt;"&amp;J405,'Istoric_Nativ'!$P$6:$P$405,1,'Istoric_Nativ'!$D$6:$D$405,"&gt;="&amp;L405)))/M405)</x:f>
      </x:c>
      <x:c r="O405" s="11" t="str">
        <x:f>IF(M405=0,"",IF(H405="HOME",SUMIFS('Istoric_Nativ'!$H$6:$H$405,'Istoric_Nativ'!$B$6:$B$405,E405,'Istoric_Nativ'!$C$6:$C$405,F405,'Istoric_Nativ'!$E$6:$E$405,G405,'Istoric_Nativ'!$D$6:$D$405,"&lt;"&amp;J405,'Istoric_Nativ'!$P$6:$P$405,1,'Istoric_Nativ'!$D$6:$D$405,"&gt;="&amp;L405),IF(H405="AWAY",SUMIFS('Istoric_Nativ'!$G$6:$G$405,'Istoric_Nativ'!$B$6:$B$405,E405,'Istoric_Nativ'!$C$6:$C$405,F405,'Istoric_Nativ'!$F$6:$F$405,G405,'Istoric_Nativ'!$D$6:$D$405,"&lt;"&amp;J405,'Istoric_Nativ'!$P$6:$P$405,1,'Istoric_Nativ'!$D$6:$D$405,"&gt;="&amp;L405),SUMIFS('Istoric_Nativ'!$H$6:$H$405,'Istoric_Nativ'!$B$6:$B$405,E405,'Istoric_Nativ'!$C$6:$C$405,F405,'Istoric_Nativ'!$E$6:$E$405,G405,'Istoric_Nativ'!$D$6:$D$405,"&lt;"&amp;J405,'Istoric_Nativ'!$P$6:$P$405,1,'Istoric_Nativ'!$D$6:$D$405,"&gt;="&amp;L405)+SUMIFS('Istoric_Nativ'!$G$6:$G$405,'Istoric_Nativ'!$B$6:$B$405,E405,'Istoric_Nativ'!$C$6:$C$405,F405,'Istoric_Nativ'!$F$6:$F$405,G405,'Istoric_Nativ'!$D$6:$D$405,"&lt;"&amp;J405,'Istoric_Nativ'!$P$6:$P$405,1,'Istoric_Nativ'!$D$6:$D$405,"&gt;="&amp;L405)))/M405)</x:f>
      </x:c>
      <x:c r="P405" s="2" t="n">
        <x:f>'Config_v6'!$B$7</x:f>
        <x:v>10</x:v>
      </x:c>
      <x:c r="Q405" s="2" t="n">
        <x:f>IF(OR(B405="",F405=""),0,IFERROR(MATCH(E405&amp;"|"&amp;F405,SourceTable[Source_Key],0),0))</x:f>
        <x:v>0</x:v>
      </x:c>
      <x:c r="R405" s="2" t="str">
        <x:f>IF(B405="","",IF(F405="","UNUSED",IF(Q405=0,"NOT CHECKED",IF(COUNTIF(SourceTable[Source_Key],E405&amp;"|"&amp;F405)&lt;&gt;1,"SOURCE CONFLICT",IF(NOT(OR(INDEX(SourceTable[Status],MAX(1,Q405))="IMPORTED",INDEX(SourceTable[Status],MAX(1,Q405))="PARTIAL",INDEX(SourceTable[Status],MAX(1,Q405))="SOURCE CONFLICT")),"ACCESS BLOCKED",IF(OR(INDEX(SourceTable[Coverage],Q405)&lt;&gt;"FULL SEASON EXPORT",INDEX(SourceTable[URL],Q405)="",INDEX(SourceTable[SHA256],Q405)=""),"EVIDENCE INCOMPLETE",IF(AND('Input_Meci'!H39="LIVE",INDEX(SourceTable[Retrieved_UTC],Q405)&gt;'Input_Meci'!G39),"POST CUTOFF","CLOSED")))))))</x:f>
      </x:c>
      <x:c r="S405" s="2" t="n">
        <x:f>IF(OR(B405="",F405=""),0,COUNTIFS('Istoric_Nativ'!$B$6:$B$405,E405,'Istoric_Nativ'!$C$6:$C$405,F405,'Istoric_Nativ'!$E$6:$E$405,G405,'Istoric_Nativ'!$D$6:$D$405,"&lt;"&amp;J405,'Istoric_Nativ'!$O$6:$O$405,"INVALID")+COUNTIFS('Istoric_Nativ'!$B$6:$B$405,E405,'Istoric_Nativ'!$C$6:$C$405,F405,'Istoric_Nativ'!$E$6:$E$405,G405,'Istoric_Nativ'!$O$6:$O$405,"INVALID",'Istoric_Nativ'!$D$6:$D$405,"*")+COUNTIFS('Istoric_Nativ'!$B$6:$B$405,E405,'Istoric_Nativ'!$C$6:$C$405,F405,'Istoric_Nativ'!$E$6:$E$405,G405,'Istoric_Nativ'!$D$6:$D$405,"&lt;"&amp;J405,'Istoric_Nativ'!$O$6:$O$405,"SOURCE CONFLICT")+COUNTIFS('Istoric_Nativ'!$B$6:$B$405,E405,'Istoric_Nativ'!$C$6:$C$405,F405,'Istoric_Nativ'!$F$6:$F$405,G405,'Istoric_Nativ'!$D$6:$D$405,"&lt;"&amp;J405,'Istoric_Nativ'!$O$6:$O$405,"INVALID")+COUNTIFS('Istoric_Nativ'!$B$6:$B$405,E405,'Istoric_Nativ'!$C$6:$C$405,F405,'Istoric_Nativ'!$F$6:$F$405,G405,'Istoric_Nativ'!$O$6:$O$405,"INVALID",'Istoric_Nativ'!$D$6:$D$405,"*")+COUNTIFS('Istoric_Nativ'!$B$6:$B$405,E405,'Istoric_Nativ'!$C$6:$C$405,F405,'Istoric_Nativ'!$F$6:$F$405,G405,'Istoric_Nativ'!$D$6:$D$405,"&lt;"&amp;J405,'Istoric_Nativ'!$O$6:$O$405,"SOURCE CONFLICT"))</x:f>
        <x:v>0</x:v>
      </x:c>
      <x:c r="T405" s="2" t="str">
        <x:f>IF(B405="","",IF(R405&lt;&gt;"CLOSED",R405,IF(S405&gt;0,"NATIVE INPUT ISSUE",IF(M405=0,"NO HISTORY",IF(M405&lt;P405,"SMALL SAMPLE","DERIVED")))))</x:f>
      </x:c>
      <x:c r="U405" s="2" t="str">
        <x:f>IF(B405="","","NativeTable; "&amp;E405&amp;"; "&amp;F405&amp;"; "&amp;G405&amp;"; "&amp;H405&amp;"; before "&amp;TEXT(J405,"yyyy-mm-dd")&amp;IF(I405="RECENT","; from "&amp;TEXT(L405,"yyyy-mm-dd"),""))</x:f>
      </x:c>
    </x:row>
    <x:row r="406" ht="21" customHeight="1">
      <x:c r="A406" s="2" t="n">
        <x:v>34</x:v>
      </x:c>
      <x:c r="B406" s="2" t="str">
        <x:f>IF('Input_Meci'!A39="","",'Input_Meci'!A39)</x:f>
      </x:c>
      <x:c r="C406" s="2" t="str">
        <x:v>A</x:v>
      </x:c>
      <x:c r="D406" s="2" t="str">
        <x:v>CURRENT</x:v>
      </x:c>
      <x:c r="E406" s="2" t="str">
        <x:f>IF(B406="","",'Input_Meci'!B39)</x:f>
      </x:c>
      <x:c r="F406" s="2" t="str">
        <x:f>IF(B406="","",IF('Input_Meci'!C39="","",'Input_Meci'!C39))</x:f>
      </x:c>
      <x:c r="G406" s="2" t="str">
        <x:f>IF(B406="","",'Input_Meci'!E39)</x:f>
      </x:c>
      <x:c r="H406" s="2" t="str">
        <x:v>AWAY</x:v>
      </x:c>
      <x:c r="I406" s="2" t="str">
        <x:v>HA</x:v>
      </x:c>
      <x:c r="J406" s="9" t="n">
        <x:f>IF(AND(B406&lt;&gt;"",ISNUMBER('Input_Meci'!G39)),INT('Input_Meci'!G39),0)</x:f>
        <x:v>0</x:v>
      </x:c>
      <x:c r="K406" s="2" t="n">
        <x:f>IF(OR(B406="",F406=""),0,IF(H406="HOME",COUNTIFS('Istoric_Nativ'!$B$6:$B$405,E406,'Istoric_Nativ'!$C$6:$C$405,F406,'Istoric_Nativ'!$E$6:$E$405,G406,'Istoric_Nativ'!$D$6:$D$405,"&lt;"&amp;J406,'Istoric_Nativ'!$P$6:$P$405,1),IF(H406="AWAY",COUNTIFS('Istoric_Nativ'!$B$6:$B$405,E406,'Istoric_Nativ'!$C$6:$C$405,F406,'Istoric_Nativ'!$F$6:$F$405,G406,'Istoric_Nativ'!$D$6:$D$405,"&lt;"&amp;J406,'Istoric_Nativ'!$P$6:$P$405,1),COUNTIFS('Istoric_Nativ'!$B$6:$B$405,E406,'Istoric_Nativ'!$C$6:$C$405,F406,'Istoric_Nativ'!$E$6:$E$405,G406,'Istoric_Nativ'!$D$6:$D$405,"&lt;"&amp;J406,'Istoric_Nativ'!$P$6:$P$405,1)+COUNTIFS('Istoric_Nativ'!$B$6:$B$405,E406,'Istoric_Nativ'!$C$6:$C$405,F406,'Istoric_Nativ'!$F$6:$F$405,G406,'Istoric_Nativ'!$D$6:$D$405,"&lt;"&amp;J406,'Istoric_Nativ'!$P$6:$P$405,1))))</x:f>
        <x:v>0</x:v>
      </x:c>
      <x:c r="L406" s="17" t="n">
        <x:f>IF(AND(B406&lt;&gt;"",I406="RECENT",K406&gt;0),LARGE(_xlfn._xlws.FILTER('Istoric_Nativ'!$D$6:$D$405,('Istoric_Nativ'!$B$6:$B$405=E406)*('Istoric_Nativ'!$C$6:$C$405=F406)*('Istoric_Nativ'!$P$6:$P$405=1)*('Istoric_Nativ'!$D$6:$D$405&lt;J406)*((('Istoric_Nativ'!$E$6:$E$405=G406)+('Istoric_Nativ'!$F$6:$F$405=G406))&gt;0)),MIN('Config_v6'!$B$54,K406)),0)</x:f>
        <x:v>0</x:v>
      </x:c>
      <x:c r="M406" s="2" t="n">
        <x:f>IF(OR(B406="",F406=""),0,IF(H406="HOME",COUNTIFS('Istoric_Nativ'!$B$6:$B$405,E406,'Istoric_Nativ'!$C$6:$C$405,F406,'Istoric_Nativ'!$E$6:$E$405,G406,'Istoric_Nativ'!$D$6:$D$405,"&lt;"&amp;J406,'Istoric_Nativ'!$P$6:$P$405,1,'Istoric_Nativ'!$D$6:$D$405,"&gt;="&amp;L406),IF(H406="AWAY",COUNTIFS('Istoric_Nativ'!$B$6:$B$405,E406,'Istoric_Nativ'!$C$6:$C$405,F406,'Istoric_Nativ'!$F$6:$F$405,G406,'Istoric_Nativ'!$D$6:$D$405,"&lt;"&amp;J406,'Istoric_Nativ'!$P$6:$P$405,1,'Istoric_Nativ'!$D$6:$D$405,"&gt;="&amp;L406),COUNTIFS('Istoric_Nativ'!$B$6:$B$405,E406,'Istoric_Nativ'!$C$6:$C$405,F406,'Istoric_Nativ'!$E$6:$E$405,G406,'Istoric_Nativ'!$D$6:$D$405,"&lt;"&amp;J406,'Istoric_Nativ'!$P$6:$P$405,1,'Istoric_Nativ'!$D$6:$D$405,"&gt;="&amp;L406)+COUNTIFS('Istoric_Nativ'!$B$6:$B$405,E406,'Istoric_Nativ'!$C$6:$C$405,F406,'Istoric_Nativ'!$F$6:$F$405,G406,'Istoric_Nativ'!$D$6:$D$405,"&lt;"&amp;J406,'Istoric_Nativ'!$P$6:$P$405,1,'Istoric_Nativ'!$D$6:$D$405,"&gt;="&amp;L406))))</x:f>
        <x:v>0</x:v>
      </x:c>
      <x:c r="N406" s="11" t="str">
        <x:f>IF(M406=0,"",IF(H406="HOME",SUMIFS('Istoric_Nativ'!$G$6:$G$405,'Istoric_Nativ'!$B$6:$B$405,E406,'Istoric_Nativ'!$C$6:$C$405,F406,'Istoric_Nativ'!$E$6:$E$405,G406,'Istoric_Nativ'!$D$6:$D$405,"&lt;"&amp;J406,'Istoric_Nativ'!$P$6:$P$405,1,'Istoric_Nativ'!$D$6:$D$405,"&gt;="&amp;L406),IF(H406="AWAY",SUMIFS('Istoric_Nativ'!$H$6:$H$405,'Istoric_Nativ'!$B$6:$B$405,E406,'Istoric_Nativ'!$C$6:$C$405,F406,'Istoric_Nativ'!$F$6:$F$405,G406,'Istoric_Nativ'!$D$6:$D$405,"&lt;"&amp;J406,'Istoric_Nativ'!$P$6:$P$405,1,'Istoric_Nativ'!$D$6:$D$405,"&gt;="&amp;L406),SUMIFS('Istoric_Nativ'!$G$6:$G$405,'Istoric_Nativ'!$B$6:$B$405,E406,'Istoric_Nativ'!$C$6:$C$405,F406,'Istoric_Nativ'!$E$6:$E$405,G406,'Istoric_Nativ'!$D$6:$D$405,"&lt;"&amp;J406,'Istoric_Nativ'!$P$6:$P$405,1,'Istoric_Nativ'!$D$6:$D$405,"&gt;="&amp;L406)+SUMIFS('Istoric_Nativ'!$H$6:$H$405,'Istoric_Nativ'!$B$6:$B$405,E406,'Istoric_Nativ'!$C$6:$C$405,F406,'Istoric_Nativ'!$F$6:$F$405,G406,'Istoric_Nativ'!$D$6:$D$405,"&lt;"&amp;J406,'Istoric_Nativ'!$P$6:$P$405,1,'Istoric_Nativ'!$D$6:$D$405,"&gt;="&amp;L406)))/M406)</x:f>
      </x:c>
      <x:c r="O406" s="11" t="str">
        <x:f>IF(M406=0,"",IF(H406="HOME",SUMIFS('Istoric_Nativ'!$H$6:$H$405,'Istoric_Nativ'!$B$6:$B$405,E406,'Istoric_Nativ'!$C$6:$C$405,F406,'Istoric_Nativ'!$E$6:$E$405,G406,'Istoric_Nativ'!$D$6:$D$405,"&lt;"&amp;J406,'Istoric_Nativ'!$P$6:$P$405,1,'Istoric_Nativ'!$D$6:$D$405,"&gt;="&amp;L406),IF(H406="AWAY",SUMIFS('Istoric_Nativ'!$G$6:$G$405,'Istoric_Nativ'!$B$6:$B$405,E406,'Istoric_Nativ'!$C$6:$C$405,F406,'Istoric_Nativ'!$F$6:$F$405,G406,'Istoric_Nativ'!$D$6:$D$405,"&lt;"&amp;J406,'Istoric_Nativ'!$P$6:$P$405,1,'Istoric_Nativ'!$D$6:$D$405,"&gt;="&amp;L406),SUMIFS('Istoric_Nativ'!$H$6:$H$405,'Istoric_Nativ'!$B$6:$B$405,E406,'Istoric_Nativ'!$C$6:$C$405,F406,'Istoric_Nativ'!$E$6:$E$405,G406,'Istoric_Nativ'!$D$6:$D$405,"&lt;"&amp;J406,'Istoric_Nativ'!$P$6:$P$405,1,'Istoric_Nativ'!$D$6:$D$405,"&gt;="&amp;L406)+SUMIFS('Istoric_Nativ'!$G$6:$G$405,'Istoric_Nativ'!$B$6:$B$405,E406,'Istoric_Nativ'!$C$6:$C$405,F406,'Istoric_Nativ'!$F$6:$F$405,G406,'Istoric_Nativ'!$D$6:$D$405,"&lt;"&amp;J406,'Istoric_Nativ'!$P$6:$P$405,1,'Istoric_Nativ'!$D$6:$D$405,"&gt;="&amp;L406)))/M406)</x:f>
      </x:c>
      <x:c r="P406" s="2" t="n">
        <x:f>'Config_v6'!$B$8</x:f>
        <x:v>5</x:v>
      </x:c>
      <x:c r="Q406" s="2" t="n">
        <x:f>IF(OR(B406="",F406=""),0,IFERROR(MATCH(E406&amp;"|"&amp;F406,SourceTable[Source_Key],0),0))</x:f>
        <x:v>0</x:v>
      </x:c>
      <x:c r="R406" s="2" t="str">
        <x:f>IF(B406="","",IF(F406="","UNUSED",IF(Q406=0,"NOT CHECKED",IF(COUNTIF(SourceTable[Source_Key],E406&amp;"|"&amp;F406)&lt;&gt;1,"SOURCE CONFLICT",IF(NOT(OR(INDEX(SourceTable[Status],MAX(1,Q406))="IMPORTED",INDEX(SourceTable[Status],MAX(1,Q406))="PARTIAL",INDEX(SourceTable[Status],MAX(1,Q406))="SOURCE CONFLICT")),"ACCESS BLOCKED",IF(OR(INDEX(SourceTable[Coverage],Q406)&lt;&gt;"FULL SEASON EXPORT",INDEX(SourceTable[URL],Q406)="",INDEX(SourceTable[SHA256],Q406)=""),"EVIDENCE INCOMPLETE",IF(AND('Input_Meci'!H39="LIVE",INDEX(SourceTable[Retrieved_UTC],Q406)&gt;'Input_Meci'!G39),"POST CUTOFF","CLOSED")))))))</x:f>
      </x:c>
      <x:c r="S406" s="2" t="n">
        <x:f>IF(OR(B406="",F406=""),0,COUNTIFS('Istoric_Nativ'!$B$6:$B$405,E406,'Istoric_Nativ'!$C$6:$C$405,F406,'Istoric_Nativ'!$E$6:$E$405,G406,'Istoric_Nativ'!$D$6:$D$405,"&lt;"&amp;J406,'Istoric_Nativ'!$O$6:$O$405,"INVALID")+COUNTIFS('Istoric_Nativ'!$B$6:$B$405,E406,'Istoric_Nativ'!$C$6:$C$405,F406,'Istoric_Nativ'!$E$6:$E$405,G406,'Istoric_Nativ'!$O$6:$O$405,"INVALID",'Istoric_Nativ'!$D$6:$D$405,"*")+COUNTIFS('Istoric_Nativ'!$B$6:$B$405,E406,'Istoric_Nativ'!$C$6:$C$405,F406,'Istoric_Nativ'!$E$6:$E$405,G406,'Istoric_Nativ'!$D$6:$D$405,"&lt;"&amp;J406,'Istoric_Nativ'!$O$6:$O$405,"SOURCE CONFLICT")+COUNTIFS('Istoric_Nativ'!$B$6:$B$405,E406,'Istoric_Nativ'!$C$6:$C$405,F406,'Istoric_Nativ'!$F$6:$F$405,G406,'Istoric_Nativ'!$D$6:$D$405,"&lt;"&amp;J406,'Istoric_Nativ'!$O$6:$O$405,"INVALID")+COUNTIFS('Istoric_Nativ'!$B$6:$B$405,E406,'Istoric_Nativ'!$C$6:$C$405,F406,'Istoric_Nativ'!$F$6:$F$405,G406,'Istoric_Nativ'!$O$6:$O$405,"INVALID",'Istoric_Nativ'!$D$6:$D$405,"*")+COUNTIFS('Istoric_Nativ'!$B$6:$B$405,E406,'Istoric_Nativ'!$C$6:$C$405,F406,'Istoric_Nativ'!$F$6:$F$405,G406,'Istoric_Nativ'!$D$6:$D$405,"&lt;"&amp;J406,'Istoric_Nativ'!$O$6:$O$405,"SOURCE CONFLICT"))</x:f>
        <x:v>0</x:v>
      </x:c>
      <x:c r="T406" s="2" t="str">
        <x:f>IF(B406="","",IF(R406&lt;&gt;"CLOSED",R406,IF(S406&gt;0,"NATIVE INPUT ISSUE",IF(M406=0,"NO HISTORY",IF(M406&lt;P406,"SMALL SAMPLE","DERIVED")))))</x:f>
      </x:c>
      <x:c r="U406" s="2" t="str">
        <x:f>IF(B406="","","NativeTable; "&amp;E406&amp;"; "&amp;F406&amp;"; "&amp;G406&amp;"; "&amp;H406&amp;"; before "&amp;TEXT(J406,"yyyy-mm-dd")&amp;IF(I406="RECENT","; from "&amp;TEXT(L406,"yyyy-mm-dd"),""))</x:f>
      </x:c>
    </x:row>
    <x:row r="407" ht="21" customHeight="1">
      <x:c r="A407" s="2" t="n">
        <x:v>34</x:v>
      </x:c>
      <x:c r="B407" s="2" t="str">
        <x:f>IF('Input_Meci'!A39="","",'Input_Meci'!A39)</x:f>
      </x:c>
      <x:c r="C407" s="2" t="str">
        <x:v>A</x:v>
      </x:c>
      <x:c r="D407" s="2" t="str">
        <x:v>CURRENT</x:v>
      </x:c>
      <x:c r="E407" s="2" t="str">
        <x:f>IF(B407="","",'Input_Meci'!B39)</x:f>
      </x:c>
      <x:c r="F407" s="2" t="str">
        <x:f>IF(B407="","",IF('Input_Meci'!C39="","",'Input_Meci'!C39))</x:f>
      </x:c>
      <x:c r="G407" s="2" t="str">
        <x:f>IF(B407="","",'Input_Meci'!E39)</x:f>
      </x:c>
      <x:c r="H407" s="2" t="str">
        <x:v>ANY</x:v>
      </x:c>
      <x:c r="I407" s="2" t="str">
        <x:v>RECENT</x:v>
      </x:c>
      <x:c r="J407" s="9" t="n">
        <x:f>IF(AND(B407&lt;&gt;"",ISNUMBER('Input_Meci'!G39)),INT('Input_Meci'!G39),0)</x:f>
        <x:v>0</x:v>
      </x:c>
      <x:c r="K407" s="2" t="n">
        <x:f>IF(OR(B407="",F407=""),0,IF(H407="HOME",COUNTIFS('Istoric_Nativ'!$B$6:$B$405,E407,'Istoric_Nativ'!$C$6:$C$405,F407,'Istoric_Nativ'!$E$6:$E$405,G407,'Istoric_Nativ'!$D$6:$D$405,"&lt;"&amp;J407,'Istoric_Nativ'!$P$6:$P$405,1),IF(H407="AWAY",COUNTIFS('Istoric_Nativ'!$B$6:$B$405,E407,'Istoric_Nativ'!$C$6:$C$405,F407,'Istoric_Nativ'!$F$6:$F$405,G407,'Istoric_Nativ'!$D$6:$D$405,"&lt;"&amp;J407,'Istoric_Nativ'!$P$6:$P$405,1),COUNTIFS('Istoric_Nativ'!$B$6:$B$405,E407,'Istoric_Nativ'!$C$6:$C$405,F407,'Istoric_Nativ'!$E$6:$E$405,G407,'Istoric_Nativ'!$D$6:$D$405,"&lt;"&amp;J407,'Istoric_Nativ'!$P$6:$P$405,1)+COUNTIFS('Istoric_Nativ'!$B$6:$B$405,E407,'Istoric_Nativ'!$C$6:$C$405,F407,'Istoric_Nativ'!$F$6:$F$405,G407,'Istoric_Nativ'!$D$6:$D$405,"&lt;"&amp;J407,'Istoric_Nativ'!$P$6:$P$405,1))))</x:f>
        <x:v>0</x:v>
      </x:c>
      <x:c r="L407" s="17" t="n">
        <x:f>IF(AND(B407&lt;&gt;"",I407="RECENT",K407&gt;0),LARGE(_xlfn._xlws.FILTER('Istoric_Nativ'!$D$6:$D$405,('Istoric_Nativ'!$B$6:$B$405=E407)*('Istoric_Nativ'!$C$6:$C$405=F407)*('Istoric_Nativ'!$P$6:$P$405=1)*('Istoric_Nativ'!$D$6:$D$405&lt;J407)*((('Istoric_Nativ'!$E$6:$E$405=G407)+('Istoric_Nativ'!$F$6:$F$405=G407))&gt;0)),MIN('Config_v6'!$B$54,K407)),0)</x:f>
        <x:v>0</x:v>
      </x:c>
      <x:c r="M407" s="2" t="n">
        <x:f>IF(OR(B407="",F407=""),0,IF(H407="HOME",COUNTIFS('Istoric_Nativ'!$B$6:$B$405,E407,'Istoric_Nativ'!$C$6:$C$405,F407,'Istoric_Nativ'!$E$6:$E$405,G407,'Istoric_Nativ'!$D$6:$D$405,"&lt;"&amp;J407,'Istoric_Nativ'!$P$6:$P$405,1,'Istoric_Nativ'!$D$6:$D$405,"&gt;="&amp;L407),IF(H407="AWAY",COUNTIFS('Istoric_Nativ'!$B$6:$B$405,E407,'Istoric_Nativ'!$C$6:$C$405,F407,'Istoric_Nativ'!$F$6:$F$405,G407,'Istoric_Nativ'!$D$6:$D$405,"&lt;"&amp;J407,'Istoric_Nativ'!$P$6:$P$405,1,'Istoric_Nativ'!$D$6:$D$405,"&gt;="&amp;L407),COUNTIFS('Istoric_Nativ'!$B$6:$B$405,E407,'Istoric_Nativ'!$C$6:$C$405,F407,'Istoric_Nativ'!$E$6:$E$405,G407,'Istoric_Nativ'!$D$6:$D$405,"&lt;"&amp;J407,'Istoric_Nativ'!$P$6:$P$405,1,'Istoric_Nativ'!$D$6:$D$405,"&gt;="&amp;L407)+COUNTIFS('Istoric_Nativ'!$B$6:$B$405,E407,'Istoric_Nativ'!$C$6:$C$405,F407,'Istoric_Nativ'!$F$6:$F$405,G407,'Istoric_Nativ'!$D$6:$D$405,"&lt;"&amp;J407,'Istoric_Nativ'!$P$6:$P$405,1,'Istoric_Nativ'!$D$6:$D$405,"&gt;="&amp;L407))))</x:f>
        <x:v>0</x:v>
      </x:c>
      <x:c r="N407" s="11" t="str">
        <x:f>IF(M407=0,"",IF(H407="HOME",SUMIFS('Istoric_Nativ'!$G$6:$G$405,'Istoric_Nativ'!$B$6:$B$405,E407,'Istoric_Nativ'!$C$6:$C$405,F407,'Istoric_Nativ'!$E$6:$E$405,G407,'Istoric_Nativ'!$D$6:$D$405,"&lt;"&amp;J407,'Istoric_Nativ'!$P$6:$P$405,1,'Istoric_Nativ'!$D$6:$D$405,"&gt;="&amp;L407),IF(H407="AWAY",SUMIFS('Istoric_Nativ'!$H$6:$H$405,'Istoric_Nativ'!$B$6:$B$405,E407,'Istoric_Nativ'!$C$6:$C$405,F407,'Istoric_Nativ'!$F$6:$F$405,G407,'Istoric_Nativ'!$D$6:$D$405,"&lt;"&amp;J407,'Istoric_Nativ'!$P$6:$P$405,1,'Istoric_Nativ'!$D$6:$D$405,"&gt;="&amp;L407),SUMIFS('Istoric_Nativ'!$G$6:$G$405,'Istoric_Nativ'!$B$6:$B$405,E407,'Istoric_Nativ'!$C$6:$C$405,F407,'Istoric_Nativ'!$E$6:$E$405,G407,'Istoric_Nativ'!$D$6:$D$405,"&lt;"&amp;J407,'Istoric_Nativ'!$P$6:$P$405,1,'Istoric_Nativ'!$D$6:$D$405,"&gt;="&amp;L407)+SUMIFS('Istoric_Nativ'!$H$6:$H$405,'Istoric_Nativ'!$B$6:$B$405,E407,'Istoric_Nativ'!$C$6:$C$405,F407,'Istoric_Nativ'!$F$6:$F$405,G407,'Istoric_Nativ'!$D$6:$D$405,"&lt;"&amp;J407,'Istoric_Nativ'!$P$6:$P$405,1,'Istoric_Nativ'!$D$6:$D$405,"&gt;="&amp;L407)))/M407)</x:f>
      </x:c>
      <x:c r="O407" s="11" t="str">
        <x:f>IF(M407=0,"",IF(H407="HOME",SUMIFS('Istoric_Nativ'!$H$6:$H$405,'Istoric_Nativ'!$B$6:$B$405,E407,'Istoric_Nativ'!$C$6:$C$405,F407,'Istoric_Nativ'!$E$6:$E$405,G407,'Istoric_Nativ'!$D$6:$D$405,"&lt;"&amp;J407,'Istoric_Nativ'!$P$6:$P$405,1,'Istoric_Nativ'!$D$6:$D$405,"&gt;="&amp;L407),IF(H407="AWAY",SUMIFS('Istoric_Nativ'!$G$6:$G$405,'Istoric_Nativ'!$B$6:$B$405,E407,'Istoric_Nativ'!$C$6:$C$405,F407,'Istoric_Nativ'!$F$6:$F$405,G407,'Istoric_Nativ'!$D$6:$D$405,"&lt;"&amp;J407,'Istoric_Nativ'!$P$6:$P$405,1,'Istoric_Nativ'!$D$6:$D$405,"&gt;="&amp;L407),SUMIFS('Istoric_Nativ'!$H$6:$H$405,'Istoric_Nativ'!$B$6:$B$405,E407,'Istoric_Nativ'!$C$6:$C$405,F407,'Istoric_Nativ'!$E$6:$E$405,G407,'Istoric_Nativ'!$D$6:$D$405,"&lt;"&amp;J407,'Istoric_Nativ'!$P$6:$P$405,1,'Istoric_Nativ'!$D$6:$D$405,"&gt;="&amp;L407)+SUMIFS('Istoric_Nativ'!$G$6:$G$405,'Istoric_Nativ'!$B$6:$B$405,E407,'Istoric_Nativ'!$C$6:$C$405,F407,'Istoric_Nativ'!$F$6:$F$405,G407,'Istoric_Nativ'!$D$6:$D$405,"&lt;"&amp;J407,'Istoric_Nativ'!$P$6:$P$405,1,'Istoric_Nativ'!$D$6:$D$405,"&gt;="&amp;L407)))/M407)</x:f>
      </x:c>
      <x:c r="P407" s="2" t="n">
        <x:f>'Config_v6'!$B$9</x:f>
        <x:v>3</x:v>
      </x:c>
      <x:c r="Q407" s="2" t="n">
        <x:f>IF(OR(B407="",F407=""),0,IFERROR(MATCH(E407&amp;"|"&amp;F407,SourceTable[Source_Key],0),0))</x:f>
        <x:v>0</x:v>
      </x:c>
      <x:c r="R407" s="2" t="str">
        <x:f>IF(B407="","",IF(F407="","UNUSED",IF(Q407=0,"NOT CHECKED",IF(COUNTIF(SourceTable[Source_Key],E407&amp;"|"&amp;F407)&lt;&gt;1,"SOURCE CONFLICT",IF(NOT(OR(INDEX(SourceTable[Status],MAX(1,Q407))="IMPORTED",INDEX(SourceTable[Status],MAX(1,Q407))="PARTIAL",INDEX(SourceTable[Status],MAX(1,Q407))="SOURCE CONFLICT")),"ACCESS BLOCKED",IF(OR(INDEX(SourceTable[Coverage],Q407)&lt;&gt;"FULL SEASON EXPORT",INDEX(SourceTable[URL],Q407)="",INDEX(SourceTable[SHA256],Q407)=""),"EVIDENCE INCOMPLETE",IF(AND('Input_Meci'!H39="LIVE",INDEX(SourceTable[Retrieved_UTC],Q407)&gt;'Input_Meci'!G39),"POST CUTOFF","CLOSED")))))))</x:f>
      </x:c>
      <x:c r="S407" s="2" t="n">
        <x:f>IF(OR(B407="",F407=""),0,COUNTIFS('Istoric_Nativ'!$B$6:$B$405,E407,'Istoric_Nativ'!$C$6:$C$405,F407,'Istoric_Nativ'!$E$6:$E$405,G407,'Istoric_Nativ'!$D$6:$D$405,"&lt;"&amp;J407,'Istoric_Nativ'!$O$6:$O$405,"INVALID")+COUNTIFS('Istoric_Nativ'!$B$6:$B$405,E407,'Istoric_Nativ'!$C$6:$C$405,F407,'Istoric_Nativ'!$E$6:$E$405,G407,'Istoric_Nativ'!$O$6:$O$405,"INVALID",'Istoric_Nativ'!$D$6:$D$405,"*")+COUNTIFS('Istoric_Nativ'!$B$6:$B$405,E407,'Istoric_Nativ'!$C$6:$C$405,F407,'Istoric_Nativ'!$E$6:$E$405,G407,'Istoric_Nativ'!$D$6:$D$405,"&lt;"&amp;J407,'Istoric_Nativ'!$O$6:$O$405,"SOURCE CONFLICT")+COUNTIFS('Istoric_Nativ'!$B$6:$B$405,E407,'Istoric_Nativ'!$C$6:$C$405,F407,'Istoric_Nativ'!$F$6:$F$405,G407,'Istoric_Nativ'!$D$6:$D$405,"&lt;"&amp;J407,'Istoric_Nativ'!$O$6:$O$405,"INVALID")+COUNTIFS('Istoric_Nativ'!$B$6:$B$405,E407,'Istoric_Nativ'!$C$6:$C$405,F407,'Istoric_Nativ'!$F$6:$F$405,G407,'Istoric_Nativ'!$O$6:$O$405,"INVALID",'Istoric_Nativ'!$D$6:$D$405,"*")+COUNTIFS('Istoric_Nativ'!$B$6:$B$405,E407,'Istoric_Nativ'!$C$6:$C$405,F407,'Istoric_Nativ'!$F$6:$F$405,G407,'Istoric_Nativ'!$D$6:$D$405,"&lt;"&amp;J407,'Istoric_Nativ'!$O$6:$O$405,"SOURCE CONFLICT"))</x:f>
        <x:v>0</x:v>
      </x:c>
      <x:c r="T407" s="2" t="str">
        <x:f>IF(B407="","",IF(R407&lt;&gt;"CLOSED",R407,IF(S407&gt;0,"NATIVE INPUT ISSUE",IF(M407=0,"NO HISTORY",IF(M407&lt;P407,"SMALL SAMPLE","DERIVED")))))</x:f>
      </x:c>
      <x:c r="U407" s="2" t="str">
        <x:f>IF(B407="","","NativeTable; "&amp;E407&amp;"; "&amp;F407&amp;"; "&amp;G407&amp;"; "&amp;H407&amp;"; before "&amp;TEXT(J407,"yyyy-mm-dd")&amp;IF(I407="RECENT","; from "&amp;TEXT(L407,"yyyy-mm-dd"),""))</x:f>
      </x:c>
    </x:row>
    <x:row r="408" ht="21" customHeight="1">
      <x:c r="A408" s="2" t="n">
        <x:v>34</x:v>
      </x:c>
      <x:c r="B408" s="2" t="str">
        <x:f>IF('Input_Meci'!A39="","",'Input_Meci'!A39)</x:f>
      </x:c>
      <x:c r="C408" s="2" t="str">
        <x:v>H</x:v>
      </x:c>
      <x:c r="D408" s="2" t="str">
        <x:v>PRIOR</x:v>
      </x:c>
      <x:c r="E408" s="2" t="str">
        <x:f>IF(B408="","",'Input_Meci'!B39)</x:f>
      </x:c>
      <x:c r="F408" s="2" t="str">
        <x:f>IF(B408="","",IF('Input_Meci'!K39="","",'Input_Meci'!K39))</x:f>
      </x:c>
      <x:c r="G408" s="2" t="str">
        <x:f>IF(B408="","",'Input_Meci'!D39)</x:f>
      </x:c>
      <x:c r="H408" s="2" t="str">
        <x:v>ANY</x:v>
      </x:c>
      <x:c r="I408" s="2" t="str">
        <x:v>SEASON</x:v>
      </x:c>
      <x:c r="J408" s="9" t="n">
        <x:f>IF(AND(B408&lt;&gt;"",ISNUMBER('Input_Meci'!G39)),INT('Input_Meci'!G39),0)</x:f>
        <x:v>0</x:v>
      </x:c>
      <x:c r="K408" s="2" t="n">
        <x:f>IF(OR(B408="",F408=""),0,IF(H408="HOME",COUNTIFS('Istoric_Nativ'!$B$6:$B$405,E408,'Istoric_Nativ'!$C$6:$C$405,F408,'Istoric_Nativ'!$E$6:$E$405,G408,'Istoric_Nativ'!$D$6:$D$405,"&lt;"&amp;J408,'Istoric_Nativ'!$P$6:$P$405,1),IF(H408="AWAY",COUNTIFS('Istoric_Nativ'!$B$6:$B$405,E408,'Istoric_Nativ'!$C$6:$C$405,F408,'Istoric_Nativ'!$F$6:$F$405,G408,'Istoric_Nativ'!$D$6:$D$405,"&lt;"&amp;J408,'Istoric_Nativ'!$P$6:$P$405,1),COUNTIFS('Istoric_Nativ'!$B$6:$B$405,E408,'Istoric_Nativ'!$C$6:$C$405,F408,'Istoric_Nativ'!$E$6:$E$405,G408,'Istoric_Nativ'!$D$6:$D$405,"&lt;"&amp;J408,'Istoric_Nativ'!$P$6:$P$405,1)+COUNTIFS('Istoric_Nativ'!$B$6:$B$405,E408,'Istoric_Nativ'!$C$6:$C$405,F408,'Istoric_Nativ'!$F$6:$F$405,G408,'Istoric_Nativ'!$D$6:$D$405,"&lt;"&amp;J408,'Istoric_Nativ'!$P$6:$P$405,1))))</x:f>
        <x:v>0</x:v>
      </x:c>
      <x:c r="L408" s="17" t="n">
        <x:f>IF(AND(B408&lt;&gt;"",I408="RECENT",K408&gt;0),LARGE(_xlfn._xlws.FILTER('Istoric_Nativ'!$D$6:$D$405,('Istoric_Nativ'!$B$6:$B$405=E408)*('Istoric_Nativ'!$C$6:$C$405=F408)*('Istoric_Nativ'!$P$6:$P$405=1)*('Istoric_Nativ'!$D$6:$D$405&lt;J408)*((('Istoric_Nativ'!$E$6:$E$405=G408)+('Istoric_Nativ'!$F$6:$F$405=G408))&gt;0)),MIN('Config_v6'!$B$54,K408)),0)</x:f>
        <x:v>0</x:v>
      </x:c>
      <x:c r="M408" s="2" t="n">
        <x:f>IF(OR(B408="",F408=""),0,IF(H408="HOME",COUNTIFS('Istoric_Nativ'!$B$6:$B$405,E408,'Istoric_Nativ'!$C$6:$C$405,F408,'Istoric_Nativ'!$E$6:$E$405,G408,'Istoric_Nativ'!$D$6:$D$405,"&lt;"&amp;J408,'Istoric_Nativ'!$P$6:$P$405,1,'Istoric_Nativ'!$D$6:$D$405,"&gt;="&amp;L408),IF(H408="AWAY",COUNTIFS('Istoric_Nativ'!$B$6:$B$405,E408,'Istoric_Nativ'!$C$6:$C$405,F408,'Istoric_Nativ'!$F$6:$F$405,G408,'Istoric_Nativ'!$D$6:$D$405,"&lt;"&amp;J408,'Istoric_Nativ'!$P$6:$P$405,1,'Istoric_Nativ'!$D$6:$D$405,"&gt;="&amp;L408),COUNTIFS('Istoric_Nativ'!$B$6:$B$405,E408,'Istoric_Nativ'!$C$6:$C$405,F408,'Istoric_Nativ'!$E$6:$E$405,G408,'Istoric_Nativ'!$D$6:$D$405,"&lt;"&amp;J408,'Istoric_Nativ'!$P$6:$P$405,1,'Istoric_Nativ'!$D$6:$D$405,"&gt;="&amp;L408)+COUNTIFS('Istoric_Nativ'!$B$6:$B$405,E408,'Istoric_Nativ'!$C$6:$C$405,F408,'Istoric_Nativ'!$F$6:$F$405,G408,'Istoric_Nativ'!$D$6:$D$405,"&lt;"&amp;J408,'Istoric_Nativ'!$P$6:$P$405,1,'Istoric_Nativ'!$D$6:$D$405,"&gt;="&amp;L408))))</x:f>
        <x:v>0</x:v>
      </x:c>
      <x:c r="N408" s="11" t="str">
        <x:f>IF(M408=0,"",IF(H408="HOME",SUMIFS('Istoric_Nativ'!$G$6:$G$405,'Istoric_Nativ'!$B$6:$B$405,E408,'Istoric_Nativ'!$C$6:$C$405,F408,'Istoric_Nativ'!$E$6:$E$405,G408,'Istoric_Nativ'!$D$6:$D$405,"&lt;"&amp;J408,'Istoric_Nativ'!$P$6:$P$405,1,'Istoric_Nativ'!$D$6:$D$405,"&gt;="&amp;L408),IF(H408="AWAY",SUMIFS('Istoric_Nativ'!$H$6:$H$405,'Istoric_Nativ'!$B$6:$B$405,E408,'Istoric_Nativ'!$C$6:$C$405,F408,'Istoric_Nativ'!$F$6:$F$405,G408,'Istoric_Nativ'!$D$6:$D$405,"&lt;"&amp;J408,'Istoric_Nativ'!$P$6:$P$405,1,'Istoric_Nativ'!$D$6:$D$405,"&gt;="&amp;L408),SUMIFS('Istoric_Nativ'!$G$6:$G$405,'Istoric_Nativ'!$B$6:$B$405,E408,'Istoric_Nativ'!$C$6:$C$405,F408,'Istoric_Nativ'!$E$6:$E$405,G408,'Istoric_Nativ'!$D$6:$D$405,"&lt;"&amp;J408,'Istoric_Nativ'!$P$6:$P$405,1,'Istoric_Nativ'!$D$6:$D$405,"&gt;="&amp;L408)+SUMIFS('Istoric_Nativ'!$H$6:$H$405,'Istoric_Nativ'!$B$6:$B$405,E408,'Istoric_Nativ'!$C$6:$C$405,F408,'Istoric_Nativ'!$F$6:$F$405,G408,'Istoric_Nativ'!$D$6:$D$405,"&lt;"&amp;J408,'Istoric_Nativ'!$P$6:$P$405,1,'Istoric_Nativ'!$D$6:$D$405,"&gt;="&amp;L408)))/M408)</x:f>
      </x:c>
      <x:c r="O408" s="11" t="str">
        <x:f>IF(M408=0,"",IF(H408="HOME",SUMIFS('Istoric_Nativ'!$H$6:$H$405,'Istoric_Nativ'!$B$6:$B$405,E408,'Istoric_Nativ'!$C$6:$C$405,F408,'Istoric_Nativ'!$E$6:$E$405,G408,'Istoric_Nativ'!$D$6:$D$405,"&lt;"&amp;J408,'Istoric_Nativ'!$P$6:$P$405,1,'Istoric_Nativ'!$D$6:$D$405,"&gt;="&amp;L408),IF(H408="AWAY",SUMIFS('Istoric_Nativ'!$G$6:$G$405,'Istoric_Nativ'!$B$6:$B$405,E408,'Istoric_Nativ'!$C$6:$C$405,F408,'Istoric_Nativ'!$F$6:$F$405,G408,'Istoric_Nativ'!$D$6:$D$405,"&lt;"&amp;J408,'Istoric_Nativ'!$P$6:$P$405,1,'Istoric_Nativ'!$D$6:$D$405,"&gt;="&amp;L408),SUMIFS('Istoric_Nativ'!$H$6:$H$405,'Istoric_Nativ'!$B$6:$B$405,E408,'Istoric_Nativ'!$C$6:$C$405,F408,'Istoric_Nativ'!$E$6:$E$405,G408,'Istoric_Nativ'!$D$6:$D$405,"&lt;"&amp;J408,'Istoric_Nativ'!$P$6:$P$405,1,'Istoric_Nativ'!$D$6:$D$405,"&gt;="&amp;L408)+SUMIFS('Istoric_Nativ'!$G$6:$G$405,'Istoric_Nativ'!$B$6:$B$405,E408,'Istoric_Nativ'!$C$6:$C$405,F408,'Istoric_Nativ'!$F$6:$F$405,G408,'Istoric_Nativ'!$D$6:$D$405,"&lt;"&amp;J408,'Istoric_Nativ'!$P$6:$P$405,1,'Istoric_Nativ'!$D$6:$D$405,"&gt;="&amp;L408)))/M408)</x:f>
      </x:c>
      <x:c r="P408" s="2" t="n">
        <x:f>'Config_v6'!$B$7</x:f>
        <x:v>10</x:v>
      </x:c>
      <x:c r="Q408" s="2" t="n">
        <x:f>IF(OR(B408="",F408=""),0,IFERROR(MATCH(E408&amp;"|"&amp;F408,SourceTable[Source_Key],0),0))</x:f>
        <x:v>0</x:v>
      </x:c>
      <x:c r="R408" s="2" t="str">
        <x:f>IF(B408="","",IF(F408="","UNUSED",IF(Q408=0,"NOT CHECKED",IF(COUNTIF(SourceTable[Source_Key],E408&amp;"|"&amp;F408)&lt;&gt;1,"SOURCE CONFLICT",IF(NOT(OR(INDEX(SourceTable[Status],MAX(1,Q408))="IMPORTED",INDEX(SourceTable[Status],MAX(1,Q408))="PARTIAL",INDEX(SourceTable[Status],MAX(1,Q408))="SOURCE CONFLICT")),"ACCESS BLOCKED",IF(OR(INDEX(SourceTable[Coverage],Q408)&lt;&gt;"FULL SEASON EXPORT",INDEX(SourceTable[URL],Q408)="",INDEX(SourceTable[SHA256],Q408)=""),"EVIDENCE INCOMPLETE",IF(AND('Input_Meci'!H39="LIVE",INDEX(SourceTable[Retrieved_UTC],Q408)&gt;'Input_Meci'!G39),"POST CUTOFF","CLOSED")))))))</x:f>
      </x:c>
      <x:c r="S408" s="2" t="n">
        <x:f>IF(OR(B408="",F408=""),0,COUNTIFS('Istoric_Nativ'!$B$6:$B$405,E408,'Istoric_Nativ'!$C$6:$C$405,F408,'Istoric_Nativ'!$E$6:$E$405,G408,'Istoric_Nativ'!$D$6:$D$405,"&lt;"&amp;J408,'Istoric_Nativ'!$O$6:$O$405,"INVALID")+COUNTIFS('Istoric_Nativ'!$B$6:$B$405,E408,'Istoric_Nativ'!$C$6:$C$405,F408,'Istoric_Nativ'!$E$6:$E$405,G408,'Istoric_Nativ'!$O$6:$O$405,"INVALID",'Istoric_Nativ'!$D$6:$D$405,"*")+COUNTIFS('Istoric_Nativ'!$B$6:$B$405,E408,'Istoric_Nativ'!$C$6:$C$405,F408,'Istoric_Nativ'!$E$6:$E$405,G408,'Istoric_Nativ'!$D$6:$D$405,"&lt;"&amp;J408,'Istoric_Nativ'!$O$6:$O$405,"SOURCE CONFLICT")+COUNTIFS('Istoric_Nativ'!$B$6:$B$405,E408,'Istoric_Nativ'!$C$6:$C$405,F408,'Istoric_Nativ'!$F$6:$F$405,G408,'Istoric_Nativ'!$D$6:$D$405,"&lt;"&amp;J408,'Istoric_Nativ'!$O$6:$O$405,"INVALID")+COUNTIFS('Istoric_Nativ'!$B$6:$B$405,E408,'Istoric_Nativ'!$C$6:$C$405,F408,'Istoric_Nativ'!$F$6:$F$405,G408,'Istoric_Nativ'!$O$6:$O$405,"INVALID",'Istoric_Nativ'!$D$6:$D$405,"*")+COUNTIFS('Istoric_Nativ'!$B$6:$B$405,E408,'Istoric_Nativ'!$C$6:$C$405,F408,'Istoric_Nativ'!$F$6:$F$405,G408,'Istoric_Nativ'!$D$6:$D$405,"&lt;"&amp;J408,'Istoric_Nativ'!$O$6:$O$405,"SOURCE CONFLICT"))</x:f>
        <x:v>0</x:v>
      </x:c>
      <x:c r="T408" s="2" t="str">
        <x:f>IF(B408="","",IF(R408&lt;&gt;"CLOSED",R408,IF(S408&gt;0,"NATIVE INPUT ISSUE",IF(M408=0,"NO HISTORY",IF(M408&lt;P408,"SMALL SAMPLE","DERIVED")))))</x:f>
      </x:c>
      <x:c r="U408" s="2" t="str">
        <x:f>IF(B408="","","NativeTable; "&amp;E408&amp;"; "&amp;F408&amp;"; "&amp;G408&amp;"; "&amp;H408&amp;"; before "&amp;TEXT(J408,"yyyy-mm-dd")&amp;IF(I408="RECENT","; from "&amp;TEXT(L408,"yyyy-mm-dd"),""))</x:f>
      </x:c>
    </x:row>
    <x:row r="409" ht="21" customHeight="1">
      <x:c r="A409" s="2" t="n">
        <x:v>34</x:v>
      </x:c>
      <x:c r="B409" s="2" t="str">
        <x:f>IF('Input_Meci'!A39="","",'Input_Meci'!A39)</x:f>
      </x:c>
      <x:c r="C409" s="2" t="str">
        <x:v>H</x:v>
      </x:c>
      <x:c r="D409" s="2" t="str">
        <x:v>PRIOR</x:v>
      </x:c>
      <x:c r="E409" s="2" t="str">
        <x:f>IF(B409="","",'Input_Meci'!B39)</x:f>
      </x:c>
      <x:c r="F409" s="2" t="str">
        <x:f>IF(B409="","",IF('Input_Meci'!K39="","",'Input_Meci'!K39))</x:f>
      </x:c>
      <x:c r="G409" s="2" t="str">
        <x:f>IF(B409="","",'Input_Meci'!D39)</x:f>
      </x:c>
      <x:c r="H409" s="2" t="str">
        <x:v>HOME</x:v>
      </x:c>
      <x:c r="I409" s="2" t="str">
        <x:v>HA</x:v>
      </x:c>
      <x:c r="J409" s="9" t="n">
        <x:f>IF(AND(B409&lt;&gt;"",ISNUMBER('Input_Meci'!G39)),INT('Input_Meci'!G39),0)</x:f>
        <x:v>0</x:v>
      </x:c>
      <x:c r="K409" s="2" t="n">
        <x:f>IF(OR(B409="",F409=""),0,IF(H409="HOME",COUNTIFS('Istoric_Nativ'!$B$6:$B$405,E409,'Istoric_Nativ'!$C$6:$C$405,F409,'Istoric_Nativ'!$E$6:$E$405,G409,'Istoric_Nativ'!$D$6:$D$405,"&lt;"&amp;J409,'Istoric_Nativ'!$P$6:$P$405,1),IF(H409="AWAY",COUNTIFS('Istoric_Nativ'!$B$6:$B$405,E409,'Istoric_Nativ'!$C$6:$C$405,F409,'Istoric_Nativ'!$F$6:$F$405,G409,'Istoric_Nativ'!$D$6:$D$405,"&lt;"&amp;J409,'Istoric_Nativ'!$P$6:$P$405,1),COUNTIFS('Istoric_Nativ'!$B$6:$B$405,E409,'Istoric_Nativ'!$C$6:$C$405,F409,'Istoric_Nativ'!$E$6:$E$405,G409,'Istoric_Nativ'!$D$6:$D$405,"&lt;"&amp;J409,'Istoric_Nativ'!$P$6:$P$405,1)+COUNTIFS('Istoric_Nativ'!$B$6:$B$405,E409,'Istoric_Nativ'!$C$6:$C$405,F409,'Istoric_Nativ'!$F$6:$F$405,G409,'Istoric_Nativ'!$D$6:$D$405,"&lt;"&amp;J409,'Istoric_Nativ'!$P$6:$P$405,1))))</x:f>
        <x:v>0</x:v>
      </x:c>
      <x:c r="L409" s="17" t="n">
        <x:f>IF(AND(B409&lt;&gt;"",I409="RECENT",K409&gt;0),LARGE(_xlfn._xlws.FILTER('Istoric_Nativ'!$D$6:$D$405,('Istoric_Nativ'!$B$6:$B$405=E409)*('Istoric_Nativ'!$C$6:$C$405=F409)*('Istoric_Nativ'!$P$6:$P$405=1)*('Istoric_Nativ'!$D$6:$D$405&lt;J409)*((('Istoric_Nativ'!$E$6:$E$405=G409)+('Istoric_Nativ'!$F$6:$F$405=G409))&gt;0)),MIN('Config_v6'!$B$54,K409)),0)</x:f>
        <x:v>0</x:v>
      </x:c>
      <x:c r="M409" s="2" t="n">
        <x:f>IF(OR(B409="",F409=""),0,IF(H409="HOME",COUNTIFS('Istoric_Nativ'!$B$6:$B$405,E409,'Istoric_Nativ'!$C$6:$C$405,F409,'Istoric_Nativ'!$E$6:$E$405,G409,'Istoric_Nativ'!$D$6:$D$405,"&lt;"&amp;J409,'Istoric_Nativ'!$P$6:$P$405,1,'Istoric_Nativ'!$D$6:$D$405,"&gt;="&amp;L409),IF(H409="AWAY",COUNTIFS('Istoric_Nativ'!$B$6:$B$405,E409,'Istoric_Nativ'!$C$6:$C$405,F409,'Istoric_Nativ'!$F$6:$F$405,G409,'Istoric_Nativ'!$D$6:$D$405,"&lt;"&amp;J409,'Istoric_Nativ'!$P$6:$P$405,1,'Istoric_Nativ'!$D$6:$D$405,"&gt;="&amp;L409),COUNTIFS('Istoric_Nativ'!$B$6:$B$405,E409,'Istoric_Nativ'!$C$6:$C$405,F409,'Istoric_Nativ'!$E$6:$E$405,G409,'Istoric_Nativ'!$D$6:$D$405,"&lt;"&amp;J409,'Istoric_Nativ'!$P$6:$P$405,1,'Istoric_Nativ'!$D$6:$D$405,"&gt;="&amp;L409)+COUNTIFS('Istoric_Nativ'!$B$6:$B$405,E409,'Istoric_Nativ'!$C$6:$C$405,F409,'Istoric_Nativ'!$F$6:$F$405,G409,'Istoric_Nativ'!$D$6:$D$405,"&lt;"&amp;J409,'Istoric_Nativ'!$P$6:$P$405,1,'Istoric_Nativ'!$D$6:$D$405,"&gt;="&amp;L409))))</x:f>
        <x:v>0</x:v>
      </x:c>
      <x:c r="N409" s="11" t="str">
        <x:f>IF(M409=0,"",IF(H409="HOME",SUMIFS('Istoric_Nativ'!$G$6:$G$405,'Istoric_Nativ'!$B$6:$B$405,E409,'Istoric_Nativ'!$C$6:$C$405,F409,'Istoric_Nativ'!$E$6:$E$405,G409,'Istoric_Nativ'!$D$6:$D$405,"&lt;"&amp;J409,'Istoric_Nativ'!$P$6:$P$405,1,'Istoric_Nativ'!$D$6:$D$405,"&gt;="&amp;L409),IF(H409="AWAY",SUMIFS('Istoric_Nativ'!$H$6:$H$405,'Istoric_Nativ'!$B$6:$B$405,E409,'Istoric_Nativ'!$C$6:$C$405,F409,'Istoric_Nativ'!$F$6:$F$405,G409,'Istoric_Nativ'!$D$6:$D$405,"&lt;"&amp;J409,'Istoric_Nativ'!$P$6:$P$405,1,'Istoric_Nativ'!$D$6:$D$405,"&gt;="&amp;L409),SUMIFS('Istoric_Nativ'!$G$6:$G$405,'Istoric_Nativ'!$B$6:$B$405,E409,'Istoric_Nativ'!$C$6:$C$405,F409,'Istoric_Nativ'!$E$6:$E$405,G409,'Istoric_Nativ'!$D$6:$D$405,"&lt;"&amp;J409,'Istoric_Nativ'!$P$6:$P$405,1,'Istoric_Nativ'!$D$6:$D$405,"&gt;="&amp;L409)+SUMIFS('Istoric_Nativ'!$H$6:$H$405,'Istoric_Nativ'!$B$6:$B$405,E409,'Istoric_Nativ'!$C$6:$C$405,F409,'Istoric_Nativ'!$F$6:$F$405,G409,'Istoric_Nativ'!$D$6:$D$405,"&lt;"&amp;J409,'Istoric_Nativ'!$P$6:$P$405,1,'Istoric_Nativ'!$D$6:$D$405,"&gt;="&amp;L409)))/M409)</x:f>
      </x:c>
      <x:c r="O409" s="11" t="str">
        <x:f>IF(M409=0,"",IF(H409="HOME",SUMIFS('Istoric_Nativ'!$H$6:$H$405,'Istoric_Nativ'!$B$6:$B$405,E409,'Istoric_Nativ'!$C$6:$C$405,F409,'Istoric_Nativ'!$E$6:$E$405,G409,'Istoric_Nativ'!$D$6:$D$405,"&lt;"&amp;J409,'Istoric_Nativ'!$P$6:$P$405,1,'Istoric_Nativ'!$D$6:$D$405,"&gt;="&amp;L409),IF(H409="AWAY",SUMIFS('Istoric_Nativ'!$G$6:$G$405,'Istoric_Nativ'!$B$6:$B$405,E409,'Istoric_Nativ'!$C$6:$C$405,F409,'Istoric_Nativ'!$F$6:$F$405,G409,'Istoric_Nativ'!$D$6:$D$405,"&lt;"&amp;J409,'Istoric_Nativ'!$P$6:$P$405,1,'Istoric_Nativ'!$D$6:$D$405,"&gt;="&amp;L409),SUMIFS('Istoric_Nativ'!$H$6:$H$405,'Istoric_Nativ'!$B$6:$B$405,E409,'Istoric_Nativ'!$C$6:$C$405,F409,'Istoric_Nativ'!$E$6:$E$405,G409,'Istoric_Nativ'!$D$6:$D$405,"&lt;"&amp;J409,'Istoric_Nativ'!$P$6:$P$405,1,'Istoric_Nativ'!$D$6:$D$405,"&gt;="&amp;L409)+SUMIFS('Istoric_Nativ'!$G$6:$G$405,'Istoric_Nativ'!$B$6:$B$405,E409,'Istoric_Nativ'!$C$6:$C$405,F409,'Istoric_Nativ'!$F$6:$F$405,G409,'Istoric_Nativ'!$D$6:$D$405,"&lt;"&amp;J409,'Istoric_Nativ'!$P$6:$P$405,1,'Istoric_Nativ'!$D$6:$D$405,"&gt;="&amp;L409)))/M409)</x:f>
      </x:c>
      <x:c r="P409" s="2" t="n">
        <x:f>'Config_v6'!$B$8</x:f>
        <x:v>5</x:v>
      </x:c>
      <x:c r="Q409" s="2" t="n">
        <x:f>IF(OR(B409="",F409=""),0,IFERROR(MATCH(E409&amp;"|"&amp;F409,SourceTable[Source_Key],0),0))</x:f>
        <x:v>0</x:v>
      </x:c>
      <x:c r="R409" s="2" t="str">
        <x:f>IF(B409="","",IF(F409="","UNUSED",IF(Q409=0,"NOT CHECKED",IF(COUNTIF(SourceTable[Source_Key],E409&amp;"|"&amp;F409)&lt;&gt;1,"SOURCE CONFLICT",IF(NOT(OR(INDEX(SourceTable[Status],MAX(1,Q409))="IMPORTED",INDEX(SourceTable[Status],MAX(1,Q409))="PARTIAL",INDEX(SourceTable[Status],MAX(1,Q409))="SOURCE CONFLICT")),"ACCESS BLOCKED",IF(OR(INDEX(SourceTable[Coverage],Q409)&lt;&gt;"FULL SEASON EXPORT",INDEX(SourceTable[URL],Q409)="",INDEX(SourceTable[SHA256],Q409)=""),"EVIDENCE INCOMPLETE",IF(AND('Input_Meci'!H39="LIVE",INDEX(SourceTable[Retrieved_UTC],Q409)&gt;'Input_Meci'!G39),"POST CUTOFF","CLOSED")))))))</x:f>
      </x:c>
      <x:c r="S409" s="2" t="n">
        <x:f>IF(OR(B409="",F409=""),0,COUNTIFS('Istoric_Nativ'!$B$6:$B$405,E409,'Istoric_Nativ'!$C$6:$C$405,F409,'Istoric_Nativ'!$E$6:$E$405,G409,'Istoric_Nativ'!$D$6:$D$405,"&lt;"&amp;J409,'Istoric_Nativ'!$O$6:$O$405,"INVALID")+COUNTIFS('Istoric_Nativ'!$B$6:$B$405,E409,'Istoric_Nativ'!$C$6:$C$405,F409,'Istoric_Nativ'!$E$6:$E$405,G409,'Istoric_Nativ'!$O$6:$O$405,"INVALID",'Istoric_Nativ'!$D$6:$D$405,"*")+COUNTIFS('Istoric_Nativ'!$B$6:$B$405,E409,'Istoric_Nativ'!$C$6:$C$405,F409,'Istoric_Nativ'!$E$6:$E$405,G409,'Istoric_Nativ'!$D$6:$D$405,"&lt;"&amp;J409,'Istoric_Nativ'!$O$6:$O$405,"SOURCE CONFLICT")+COUNTIFS('Istoric_Nativ'!$B$6:$B$405,E409,'Istoric_Nativ'!$C$6:$C$405,F409,'Istoric_Nativ'!$F$6:$F$405,G409,'Istoric_Nativ'!$D$6:$D$405,"&lt;"&amp;J409,'Istoric_Nativ'!$O$6:$O$405,"INVALID")+COUNTIFS('Istoric_Nativ'!$B$6:$B$405,E409,'Istoric_Nativ'!$C$6:$C$405,F409,'Istoric_Nativ'!$F$6:$F$405,G409,'Istoric_Nativ'!$O$6:$O$405,"INVALID",'Istoric_Nativ'!$D$6:$D$405,"*")+COUNTIFS('Istoric_Nativ'!$B$6:$B$405,E409,'Istoric_Nativ'!$C$6:$C$405,F409,'Istoric_Nativ'!$F$6:$F$405,G409,'Istoric_Nativ'!$D$6:$D$405,"&lt;"&amp;J409,'Istoric_Nativ'!$O$6:$O$405,"SOURCE CONFLICT"))</x:f>
        <x:v>0</x:v>
      </x:c>
      <x:c r="T409" s="2" t="str">
        <x:f>IF(B409="","",IF(R409&lt;&gt;"CLOSED",R409,IF(S409&gt;0,"NATIVE INPUT ISSUE",IF(M409=0,"NO HISTORY",IF(M409&lt;P409,"SMALL SAMPLE","DERIVED")))))</x:f>
      </x:c>
      <x:c r="U409" s="2" t="str">
        <x:f>IF(B409="","","NativeTable; "&amp;E409&amp;"; "&amp;F409&amp;"; "&amp;G409&amp;"; "&amp;H409&amp;"; before "&amp;TEXT(J409,"yyyy-mm-dd")&amp;IF(I409="RECENT","; from "&amp;TEXT(L409,"yyyy-mm-dd"),""))</x:f>
      </x:c>
    </x:row>
    <x:row r="410" ht="21" customHeight="1">
      <x:c r="A410" s="2" t="n">
        <x:v>34</x:v>
      </x:c>
      <x:c r="B410" s="2" t="str">
        <x:f>IF('Input_Meci'!A39="","",'Input_Meci'!A39)</x:f>
      </x:c>
      <x:c r="C410" s="2" t="str">
        <x:v>H</x:v>
      </x:c>
      <x:c r="D410" s="2" t="str">
        <x:v>PRIOR</x:v>
      </x:c>
      <x:c r="E410" s="2" t="str">
        <x:f>IF(B410="","",'Input_Meci'!B39)</x:f>
      </x:c>
      <x:c r="F410" s="2" t="str">
        <x:f>IF(B410="","",IF('Input_Meci'!K39="","",'Input_Meci'!K39))</x:f>
      </x:c>
      <x:c r="G410" s="2" t="str">
        <x:f>IF(B410="","",'Input_Meci'!D39)</x:f>
      </x:c>
      <x:c r="H410" s="2" t="str">
        <x:v>ANY</x:v>
      </x:c>
      <x:c r="I410" s="2" t="str">
        <x:v>RECENT</x:v>
      </x:c>
      <x:c r="J410" s="9" t="n">
        <x:f>IF(AND(B410&lt;&gt;"",ISNUMBER('Input_Meci'!G39)),INT('Input_Meci'!G39),0)</x:f>
        <x:v>0</x:v>
      </x:c>
      <x:c r="K410" s="2" t="n">
        <x:f>IF(OR(B410="",F410=""),0,IF(H410="HOME",COUNTIFS('Istoric_Nativ'!$B$6:$B$405,E410,'Istoric_Nativ'!$C$6:$C$405,F410,'Istoric_Nativ'!$E$6:$E$405,G410,'Istoric_Nativ'!$D$6:$D$405,"&lt;"&amp;J410,'Istoric_Nativ'!$P$6:$P$405,1),IF(H410="AWAY",COUNTIFS('Istoric_Nativ'!$B$6:$B$405,E410,'Istoric_Nativ'!$C$6:$C$405,F410,'Istoric_Nativ'!$F$6:$F$405,G410,'Istoric_Nativ'!$D$6:$D$405,"&lt;"&amp;J410,'Istoric_Nativ'!$P$6:$P$405,1),COUNTIFS('Istoric_Nativ'!$B$6:$B$405,E410,'Istoric_Nativ'!$C$6:$C$405,F410,'Istoric_Nativ'!$E$6:$E$405,G410,'Istoric_Nativ'!$D$6:$D$405,"&lt;"&amp;J410,'Istoric_Nativ'!$P$6:$P$405,1)+COUNTIFS('Istoric_Nativ'!$B$6:$B$405,E410,'Istoric_Nativ'!$C$6:$C$405,F410,'Istoric_Nativ'!$F$6:$F$405,G410,'Istoric_Nativ'!$D$6:$D$405,"&lt;"&amp;J410,'Istoric_Nativ'!$P$6:$P$405,1))))</x:f>
        <x:v>0</x:v>
      </x:c>
      <x:c r="L410" s="17" t="n">
        <x:f>IF(AND(B410&lt;&gt;"",I410="RECENT",K410&gt;0),LARGE(_xlfn._xlws.FILTER('Istoric_Nativ'!$D$6:$D$405,('Istoric_Nativ'!$B$6:$B$405=E410)*('Istoric_Nativ'!$C$6:$C$405=F410)*('Istoric_Nativ'!$P$6:$P$405=1)*('Istoric_Nativ'!$D$6:$D$405&lt;J410)*((('Istoric_Nativ'!$E$6:$E$405=G410)+('Istoric_Nativ'!$F$6:$F$405=G410))&gt;0)),MIN('Config_v6'!$B$54,K410)),0)</x:f>
        <x:v>0</x:v>
      </x:c>
      <x:c r="M410" s="2" t="n">
        <x:f>IF(OR(B410="",F410=""),0,IF(H410="HOME",COUNTIFS('Istoric_Nativ'!$B$6:$B$405,E410,'Istoric_Nativ'!$C$6:$C$405,F410,'Istoric_Nativ'!$E$6:$E$405,G410,'Istoric_Nativ'!$D$6:$D$405,"&lt;"&amp;J410,'Istoric_Nativ'!$P$6:$P$405,1,'Istoric_Nativ'!$D$6:$D$405,"&gt;="&amp;L410),IF(H410="AWAY",COUNTIFS('Istoric_Nativ'!$B$6:$B$405,E410,'Istoric_Nativ'!$C$6:$C$405,F410,'Istoric_Nativ'!$F$6:$F$405,G410,'Istoric_Nativ'!$D$6:$D$405,"&lt;"&amp;J410,'Istoric_Nativ'!$P$6:$P$405,1,'Istoric_Nativ'!$D$6:$D$405,"&gt;="&amp;L410),COUNTIFS('Istoric_Nativ'!$B$6:$B$405,E410,'Istoric_Nativ'!$C$6:$C$405,F410,'Istoric_Nativ'!$E$6:$E$405,G410,'Istoric_Nativ'!$D$6:$D$405,"&lt;"&amp;J410,'Istoric_Nativ'!$P$6:$P$405,1,'Istoric_Nativ'!$D$6:$D$405,"&gt;="&amp;L410)+COUNTIFS('Istoric_Nativ'!$B$6:$B$405,E410,'Istoric_Nativ'!$C$6:$C$405,F410,'Istoric_Nativ'!$F$6:$F$405,G410,'Istoric_Nativ'!$D$6:$D$405,"&lt;"&amp;J410,'Istoric_Nativ'!$P$6:$P$405,1,'Istoric_Nativ'!$D$6:$D$405,"&gt;="&amp;L410))))</x:f>
        <x:v>0</x:v>
      </x:c>
      <x:c r="N410" s="11" t="str">
        <x:f>IF(M410=0,"",IF(H410="HOME",SUMIFS('Istoric_Nativ'!$G$6:$G$405,'Istoric_Nativ'!$B$6:$B$405,E410,'Istoric_Nativ'!$C$6:$C$405,F410,'Istoric_Nativ'!$E$6:$E$405,G410,'Istoric_Nativ'!$D$6:$D$405,"&lt;"&amp;J410,'Istoric_Nativ'!$P$6:$P$405,1,'Istoric_Nativ'!$D$6:$D$405,"&gt;="&amp;L410),IF(H410="AWAY",SUMIFS('Istoric_Nativ'!$H$6:$H$405,'Istoric_Nativ'!$B$6:$B$405,E410,'Istoric_Nativ'!$C$6:$C$405,F410,'Istoric_Nativ'!$F$6:$F$405,G410,'Istoric_Nativ'!$D$6:$D$405,"&lt;"&amp;J410,'Istoric_Nativ'!$P$6:$P$405,1,'Istoric_Nativ'!$D$6:$D$405,"&gt;="&amp;L410),SUMIFS('Istoric_Nativ'!$G$6:$G$405,'Istoric_Nativ'!$B$6:$B$405,E410,'Istoric_Nativ'!$C$6:$C$405,F410,'Istoric_Nativ'!$E$6:$E$405,G410,'Istoric_Nativ'!$D$6:$D$405,"&lt;"&amp;J410,'Istoric_Nativ'!$P$6:$P$405,1,'Istoric_Nativ'!$D$6:$D$405,"&gt;="&amp;L410)+SUMIFS('Istoric_Nativ'!$H$6:$H$405,'Istoric_Nativ'!$B$6:$B$405,E410,'Istoric_Nativ'!$C$6:$C$405,F410,'Istoric_Nativ'!$F$6:$F$405,G410,'Istoric_Nativ'!$D$6:$D$405,"&lt;"&amp;J410,'Istoric_Nativ'!$P$6:$P$405,1,'Istoric_Nativ'!$D$6:$D$405,"&gt;="&amp;L410)))/M410)</x:f>
      </x:c>
      <x:c r="O410" s="11" t="str">
        <x:f>IF(M410=0,"",IF(H410="HOME",SUMIFS('Istoric_Nativ'!$H$6:$H$405,'Istoric_Nativ'!$B$6:$B$405,E410,'Istoric_Nativ'!$C$6:$C$405,F410,'Istoric_Nativ'!$E$6:$E$405,G410,'Istoric_Nativ'!$D$6:$D$405,"&lt;"&amp;J410,'Istoric_Nativ'!$P$6:$P$405,1,'Istoric_Nativ'!$D$6:$D$405,"&gt;="&amp;L410),IF(H410="AWAY",SUMIFS('Istoric_Nativ'!$G$6:$G$405,'Istoric_Nativ'!$B$6:$B$405,E410,'Istoric_Nativ'!$C$6:$C$405,F410,'Istoric_Nativ'!$F$6:$F$405,G410,'Istoric_Nativ'!$D$6:$D$405,"&lt;"&amp;J410,'Istoric_Nativ'!$P$6:$P$405,1,'Istoric_Nativ'!$D$6:$D$405,"&gt;="&amp;L410),SUMIFS('Istoric_Nativ'!$H$6:$H$405,'Istoric_Nativ'!$B$6:$B$405,E410,'Istoric_Nativ'!$C$6:$C$405,F410,'Istoric_Nativ'!$E$6:$E$405,G410,'Istoric_Nativ'!$D$6:$D$405,"&lt;"&amp;J410,'Istoric_Nativ'!$P$6:$P$405,1,'Istoric_Nativ'!$D$6:$D$405,"&gt;="&amp;L410)+SUMIFS('Istoric_Nativ'!$G$6:$G$405,'Istoric_Nativ'!$B$6:$B$405,E410,'Istoric_Nativ'!$C$6:$C$405,F410,'Istoric_Nativ'!$F$6:$F$405,G410,'Istoric_Nativ'!$D$6:$D$405,"&lt;"&amp;J410,'Istoric_Nativ'!$P$6:$P$405,1,'Istoric_Nativ'!$D$6:$D$405,"&gt;="&amp;L410)))/M410)</x:f>
      </x:c>
      <x:c r="P410" s="2" t="n">
        <x:f>'Config_v6'!$B$9</x:f>
        <x:v>3</x:v>
      </x:c>
      <x:c r="Q410" s="2" t="n">
        <x:f>IF(OR(B410="",F410=""),0,IFERROR(MATCH(E410&amp;"|"&amp;F410,SourceTable[Source_Key],0),0))</x:f>
        <x:v>0</x:v>
      </x:c>
      <x:c r="R410" s="2" t="str">
        <x:f>IF(B410="","",IF(F410="","UNUSED",IF(Q410=0,"NOT CHECKED",IF(COUNTIF(SourceTable[Source_Key],E410&amp;"|"&amp;F410)&lt;&gt;1,"SOURCE CONFLICT",IF(NOT(OR(INDEX(SourceTable[Status],MAX(1,Q410))="IMPORTED",INDEX(SourceTable[Status],MAX(1,Q410))="PARTIAL",INDEX(SourceTable[Status],MAX(1,Q410))="SOURCE CONFLICT")),"ACCESS BLOCKED",IF(OR(INDEX(SourceTable[Coverage],Q410)&lt;&gt;"FULL SEASON EXPORT",INDEX(SourceTable[URL],Q410)="",INDEX(SourceTable[SHA256],Q410)=""),"EVIDENCE INCOMPLETE",IF(AND('Input_Meci'!H39="LIVE",INDEX(SourceTable[Retrieved_UTC],Q410)&gt;'Input_Meci'!G39),"POST CUTOFF","CLOSED")))))))</x:f>
      </x:c>
      <x:c r="S410" s="2" t="n">
        <x:f>IF(OR(B410="",F410=""),0,COUNTIFS('Istoric_Nativ'!$B$6:$B$405,E410,'Istoric_Nativ'!$C$6:$C$405,F410,'Istoric_Nativ'!$E$6:$E$405,G410,'Istoric_Nativ'!$D$6:$D$405,"&lt;"&amp;J410,'Istoric_Nativ'!$O$6:$O$405,"INVALID")+COUNTIFS('Istoric_Nativ'!$B$6:$B$405,E410,'Istoric_Nativ'!$C$6:$C$405,F410,'Istoric_Nativ'!$E$6:$E$405,G410,'Istoric_Nativ'!$O$6:$O$405,"INVALID",'Istoric_Nativ'!$D$6:$D$405,"*")+COUNTIFS('Istoric_Nativ'!$B$6:$B$405,E410,'Istoric_Nativ'!$C$6:$C$405,F410,'Istoric_Nativ'!$E$6:$E$405,G410,'Istoric_Nativ'!$D$6:$D$405,"&lt;"&amp;J410,'Istoric_Nativ'!$O$6:$O$405,"SOURCE CONFLICT")+COUNTIFS('Istoric_Nativ'!$B$6:$B$405,E410,'Istoric_Nativ'!$C$6:$C$405,F410,'Istoric_Nativ'!$F$6:$F$405,G410,'Istoric_Nativ'!$D$6:$D$405,"&lt;"&amp;J410,'Istoric_Nativ'!$O$6:$O$405,"INVALID")+COUNTIFS('Istoric_Nativ'!$B$6:$B$405,E410,'Istoric_Nativ'!$C$6:$C$405,F410,'Istoric_Nativ'!$F$6:$F$405,G410,'Istoric_Nativ'!$O$6:$O$405,"INVALID",'Istoric_Nativ'!$D$6:$D$405,"*")+COUNTIFS('Istoric_Nativ'!$B$6:$B$405,E410,'Istoric_Nativ'!$C$6:$C$405,F410,'Istoric_Nativ'!$F$6:$F$405,G410,'Istoric_Nativ'!$D$6:$D$405,"&lt;"&amp;J410,'Istoric_Nativ'!$O$6:$O$405,"SOURCE CONFLICT"))</x:f>
        <x:v>0</x:v>
      </x:c>
      <x:c r="T410" s="2" t="str">
        <x:f>IF(B410="","",IF(R410&lt;&gt;"CLOSED",R410,IF(S410&gt;0,"NATIVE INPUT ISSUE",IF(M410=0,"NO HISTORY",IF(M410&lt;P410,"SMALL SAMPLE","DERIVED")))))</x:f>
      </x:c>
      <x:c r="U410" s="2" t="str">
        <x:f>IF(B410="","","NativeTable; "&amp;E410&amp;"; "&amp;F410&amp;"; "&amp;G410&amp;"; "&amp;H410&amp;"; before "&amp;TEXT(J410,"yyyy-mm-dd")&amp;IF(I410="RECENT","; from "&amp;TEXT(L410,"yyyy-mm-dd"),""))</x:f>
      </x:c>
    </x:row>
    <x:row r="411" ht="21" customHeight="1">
      <x:c r="A411" s="2" t="n">
        <x:v>34</x:v>
      </x:c>
      <x:c r="B411" s="2" t="str">
        <x:f>IF('Input_Meci'!A39="","",'Input_Meci'!A39)</x:f>
      </x:c>
      <x:c r="C411" s="2" t="str">
        <x:v>A</x:v>
      </x:c>
      <x:c r="D411" s="2" t="str">
        <x:v>PRIOR</x:v>
      </x:c>
      <x:c r="E411" s="2" t="str">
        <x:f>IF(B411="","",'Input_Meci'!B39)</x:f>
      </x:c>
      <x:c r="F411" s="2" t="str">
        <x:f>IF(B411="","",IF('Input_Meci'!K39="","",'Input_Meci'!K39))</x:f>
      </x:c>
      <x:c r="G411" s="2" t="str">
        <x:f>IF(B411="","",'Input_Meci'!E39)</x:f>
      </x:c>
      <x:c r="H411" s="2" t="str">
        <x:v>ANY</x:v>
      </x:c>
      <x:c r="I411" s="2" t="str">
        <x:v>SEASON</x:v>
      </x:c>
      <x:c r="J411" s="9" t="n">
        <x:f>IF(AND(B411&lt;&gt;"",ISNUMBER('Input_Meci'!G39)),INT('Input_Meci'!G39),0)</x:f>
        <x:v>0</x:v>
      </x:c>
      <x:c r="K411" s="2" t="n">
        <x:f>IF(OR(B411="",F411=""),0,IF(H411="HOME",COUNTIFS('Istoric_Nativ'!$B$6:$B$405,E411,'Istoric_Nativ'!$C$6:$C$405,F411,'Istoric_Nativ'!$E$6:$E$405,G411,'Istoric_Nativ'!$D$6:$D$405,"&lt;"&amp;J411,'Istoric_Nativ'!$P$6:$P$405,1),IF(H411="AWAY",COUNTIFS('Istoric_Nativ'!$B$6:$B$405,E411,'Istoric_Nativ'!$C$6:$C$405,F411,'Istoric_Nativ'!$F$6:$F$405,G411,'Istoric_Nativ'!$D$6:$D$405,"&lt;"&amp;J411,'Istoric_Nativ'!$P$6:$P$405,1),COUNTIFS('Istoric_Nativ'!$B$6:$B$405,E411,'Istoric_Nativ'!$C$6:$C$405,F411,'Istoric_Nativ'!$E$6:$E$405,G411,'Istoric_Nativ'!$D$6:$D$405,"&lt;"&amp;J411,'Istoric_Nativ'!$P$6:$P$405,1)+COUNTIFS('Istoric_Nativ'!$B$6:$B$405,E411,'Istoric_Nativ'!$C$6:$C$405,F411,'Istoric_Nativ'!$F$6:$F$405,G411,'Istoric_Nativ'!$D$6:$D$405,"&lt;"&amp;J411,'Istoric_Nativ'!$P$6:$P$405,1))))</x:f>
        <x:v>0</x:v>
      </x:c>
      <x:c r="L411" s="17" t="n">
        <x:f>IF(AND(B411&lt;&gt;"",I411="RECENT",K411&gt;0),LARGE(_xlfn._xlws.FILTER('Istoric_Nativ'!$D$6:$D$405,('Istoric_Nativ'!$B$6:$B$405=E411)*('Istoric_Nativ'!$C$6:$C$405=F411)*('Istoric_Nativ'!$P$6:$P$405=1)*('Istoric_Nativ'!$D$6:$D$405&lt;J411)*((('Istoric_Nativ'!$E$6:$E$405=G411)+('Istoric_Nativ'!$F$6:$F$405=G411))&gt;0)),MIN('Config_v6'!$B$54,K411)),0)</x:f>
        <x:v>0</x:v>
      </x:c>
      <x:c r="M411" s="2" t="n">
        <x:f>IF(OR(B411="",F411=""),0,IF(H411="HOME",COUNTIFS('Istoric_Nativ'!$B$6:$B$405,E411,'Istoric_Nativ'!$C$6:$C$405,F411,'Istoric_Nativ'!$E$6:$E$405,G411,'Istoric_Nativ'!$D$6:$D$405,"&lt;"&amp;J411,'Istoric_Nativ'!$P$6:$P$405,1,'Istoric_Nativ'!$D$6:$D$405,"&gt;="&amp;L411),IF(H411="AWAY",COUNTIFS('Istoric_Nativ'!$B$6:$B$405,E411,'Istoric_Nativ'!$C$6:$C$405,F411,'Istoric_Nativ'!$F$6:$F$405,G411,'Istoric_Nativ'!$D$6:$D$405,"&lt;"&amp;J411,'Istoric_Nativ'!$P$6:$P$405,1,'Istoric_Nativ'!$D$6:$D$405,"&gt;="&amp;L411),COUNTIFS('Istoric_Nativ'!$B$6:$B$405,E411,'Istoric_Nativ'!$C$6:$C$405,F411,'Istoric_Nativ'!$E$6:$E$405,G411,'Istoric_Nativ'!$D$6:$D$405,"&lt;"&amp;J411,'Istoric_Nativ'!$P$6:$P$405,1,'Istoric_Nativ'!$D$6:$D$405,"&gt;="&amp;L411)+COUNTIFS('Istoric_Nativ'!$B$6:$B$405,E411,'Istoric_Nativ'!$C$6:$C$405,F411,'Istoric_Nativ'!$F$6:$F$405,G411,'Istoric_Nativ'!$D$6:$D$405,"&lt;"&amp;J411,'Istoric_Nativ'!$P$6:$P$405,1,'Istoric_Nativ'!$D$6:$D$405,"&gt;="&amp;L411))))</x:f>
        <x:v>0</x:v>
      </x:c>
      <x:c r="N411" s="11" t="str">
        <x:f>IF(M411=0,"",IF(H411="HOME",SUMIFS('Istoric_Nativ'!$G$6:$G$405,'Istoric_Nativ'!$B$6:$B$405,E411,'Istoric_Nativ'!$C$6:$C$405,F411,'Istoric_Nativ'!$E$6:$E$405,G411,'Istoric_Nativ'!$D$6:$D$405,"&lt;"&amp;J411,'Istoric_Nativ'!$P$6:$P$405,1,'Istoric_Nativ'!$D$6:$D$405,"&gt;="&amp;L411),IF(H411="AWAY",SUMIFS('Istoric_Nativ'!$H$6:$H$405,'Istoric_Nativ'!$B$6:$B$405,E411,'Istoric_Nativ'!$C$6:$C$405,F411,'Istoric_Nativ'!$F$6:$F$405,G411,'Istoric_Nativ'!$D$6:$D$405,"&lt;"&amp;J411,'Istoric_Nativ'!$P$6:$P$405,1,'Istoric_Nativ'!$D$6:$D$405,"&gt;="&amp;L411),SUMIFS('Istoric_Nativ'!$G$6:$G$405,'Istoric_Nativ'!$B$6:$B$405,E411,'Istoric_Nativ'!$C$6:$C$405,F411,'Istoric_Nativ'!$E$6:$E$405,G411,'Istoric_Nativ'!$D$6:$D$405,"&lt;"&amp;J411,'Istoric_Nativ'!$P$6:$P$405,1,'Istoric_Nativ'!$D$6:$D$405,"&gt;="&amp;L411)+SUMIFS('Istoric_Nativ'!$H$6:$H$405,'Istoric_Nativ'!$B$6:$B$405,E411,'Istoric_Nativ'!$C$6:$C$405,F411,'Istoric_Nativ'!$F$6:$F$405,G411,'Istoric_Nativ'!$D$6:$D$405,"&lt;"&amp;J411,'Istoric_Nativ'!$P$6:$P$405,1,'Istoric_Nativ'!$D$6:$D$405,"&gt;="&amp;L411)))/M411)</x:f>
      </x:c>
      <x:c r="O411" s="11" t="str">
        <x:f>IF(M411=0,"",IF(H411="HOME",SUMIFS('Istoric_Nativ'!$H$6:$H$405,'Istoric_Nativ'!$B$6:$B$405,E411,'Istoric_Nativ'!$C$6:$C$405,F411,'Istoric_Nativ'!$E$6:$E$405,G411,'Istoric_Nativ'!$D$6:$D$405,"&lt;"&amp;J411,'Istoric_Nativ'!$P$6:$P$405,1,'Istoric_Nativ'!$D$6:$D$405,"&gt;="&amp;L411),IF(H411="AWAY",SUMIFS('Istoric_Nativ'!$G$6:$G$405,'Istoric_Nativ'!$B$6:$B$405,E411,'Istoric_Nativ'!$C$6:$C$405,F411,'Istoric_Nativ'!$F$6:$F$405,G411,'Istoric_Nativ'!$D$6:$D$405,"&lt;"&amp;J411,'Istoric_Nativ'!$P$6:$P$405,1,'Istoric_Nativ'!$D$6:$D$405,"&gt;="&amp;L411),SUMIFS('Istoric_Nativ'!$H$6:$H$405,'Istoric_Nativ'!$B$6:$B$405,E411,'Istoric_Nativ'!$C$6:$C$405,F411,'Istoric_Nativ'!$E$6:$E$405,G411,'Istoric_Nativ'!$D$6:$D$405,"&lt;"&amp;J411,'Istoric_Nativ'!$P$6:$P$405,1,'Istoric_Nativ'!$D$6:$D$405,"&gt;="&amp;L411)+SUMIFS('Istoric_Nativ'!$G$6:$G$405,'Istoric_Nativ'!$B$6:$B$405,E411,'Istoric_Nativ'!$C$6:$C$405,F411,'Istoric_Nativ'!$F$6:$F$405,G411,'Istoric_Nativ'!$D$6:$D$405,"&lt;"&amp;J411,'Istoric_Nativ'!$P$6:$P$405,1,'Istoric_Nativ'!$D$6:$D$405,"&gt;="&amp;L411)))/M411)</x:f>
      </x:c>
      <x:c r="P411" s="2" t="n">
        <x:f>'Config_v6'!$B$7</x:f>
        <x:v>10</x:v>
      </x:c>
      <x:c r="Q411" s="2" t="n">
        <x:f>IF(OR(B411="",F411=""),0,IFERROR(MATCH(E411&amp;"|"&amp;F411,SourceTable[Source_Key],0),0))</x:f>
        <x:v>0</x:v>
      </x:c>
      <x:c r="R411" s="2" t="str">
        <x:f>IF(B411="","",IF(F411="","UNUSED",IF(Q411=0,"NOT CHECKED",IF(COUNTIF(SourceTable[Source_Key],E411&amp;"|"&amp;F411)&lt;&gt;1,"SOURCE CONFLICT",IF(NOT(OR(INDEX(SourceTable[Status],MAX(1,Q411))="IMPORTED",INDEX(SourceTable[Status],MAX(1,Q411))="PARTIAL",INDEX(SourceTable[Status],MAX(1,Q411))="SOURCE CONFLICT")),"ACCESS BLOCKED",IF(OR(INDEX(SourceTable[Coverage],Q411)&lt;&gt;"FULL SEASON EXPORT",INDEX(SourceTable[URL],Q411)="",INDEX(SourceTable[SHA256],Q411)=""),"EVIDENCE INCOMPLETE",IF(AND('Input_Meci'!H39="LIVE",INDEX(SourceTable[Retrieved_UTC],Q411)&gt;'Input_Meci'!G39),"POST CUTOFF","CLOSED")))))))</x:f>
      </x:c>
      <x:c r="S411" s="2" t="n">
        <x:f>IF(OR(B411="",F411=""),0,COUNTIFS('Istoric_Nativ'!$B$6:$B$405,E411,'Istoric_Nativ'!$C$6:$C$405,F411,'Istoric_Nativ'!$E$6:$E$405,G411,'Istoric_Nativ'!$D$6:$D$405,"&lt;"&amp;J411,'Istoric_Nativ'!$O$6:$O$405,"INVALID")+COUNTIFS('Istoric_Nativ'!$B$6:$B$405,E411,'Istoric_Nativ'!$C$6:$C$405,F411,'Istoric_Nativ'!$E$6:$E$405,G411,'Istoric_Nativ'!$O$6:$O$405,"INVALID",'Istoric_Nativ'!$D$6:$D$405,"*")+COUNTIFS('Istoric_Nativ'!$B$6:$B$405,E411,'Istoric_Nativ'!$C$6:$C$405,F411,'Istoric_Nativ'!$E$6:$E$405,G411,'Istoric_Nativ'!$D$6:$D$405,"&lt;"&amp;J411,'Istoric_Nativ'!$O$6:$O$405,"SOURCE CONFLICT")+COUNTIFS('Istoric_Nativ'!$B$6:$B$405,E411,'Istoric_Nativ'!$C$6:$C$405,F411,'Istoric_Nativ'!$F$6:$F$405,G411,'Istoric_Nativ'!$D$6:$D$405,"&lt;"&amp;J411,'Istoric_Nativ'!$O$6:$O$405,"INVALID")+COUNTIFS('Istoric_Nativ'!$B$6:$B$405,E411,'Istoric_Nativ'!$C$6:$C$405,F411,'Istoric_Nativ'!$F$6:$F$405,G411,'Istoric_Nativ'!$O$6:$O$405,"INVALID",'Istoric_Nativ'!$D$6:$D$405,"*")+COUNTIFS('Istoric_Nativ'!$B$6:$B$405,E411,'Istoric_Nativ'!$C$6:$C$405,F411,'Istoric_Nativ'!$F$6:$F$405,G411,'Istoric_Nativ'!$D$6:$D$405,"&lt;"&amp;J411,'Istoric_Nativ'!$O$6:$O$405,"SOURCE CONFLICT"))</x:f>
        <x:v>0</x:v>
      </x:c>
      <x:c r="T411" s="2" t="str">
        <x:f>IF(B411="","",IF(R411&lt;&gt;"CLOSED",R411,IF(S411&gt;0,"NATIVE INPUT ISSUE",IF(M411=0,"NO HISTORY",IF(M411&lt;P411,"SMALL SAMPLE","DERIVED")))))</x:f>
      </x:c>
      <x:c r="U411" s="2" t="str">
        <x:f>IF(B411="","","NativeTable; "&amp;E411&amp;"; "&amp;F411&amp;"; "&amp;G411&amp;"; "&amp;H411&amp;"; before "&amp;TEXT(J411,"yyyy-mm-dd")&amp;IF(I411="RECENT","; from "&amp;TEXT(L411,"yyyy-mm-dd"),""))</x:f>
      </x:c>
    </x:row>
    <x:row r="412" ht="21" customHeight="1">
      <x:c r="A412" s="2" t="n">
        <x:v>34</x:v>
      </x:c>
      <x:c r="B412" s="2" t="str">
        <x:f>IF('Input_Meci'!A39="","",'Input_Meci'!A39)</x:f>
      </x:c>
      <x:c r="C412" s="2" t="str">
        <x:v>A</x:v>
      </x:c>
      <x:c r="D412" s="2" t="str">
        <x:v>PRIOR</x:v>
      </x:c>
      <x:c r="E412" s="2" t="str">
        <x:f>IF(B412="","",'Input_Meci'!B39)</x:f>
      </x:c>
      <x:c r="F412" s="2" t="str">
        <x:f>IF(B412="","",IF('Input_Meci'!K39="","",'Input_Meci'!K39))</x:f>
      </x:c>
      <x:c r="G412" s="2" t="str">
        <x:f>IF(B412="","",'Input_Meci'!E39)</x:f>
      </x:c>
      <x:c r="H412" s="2" t="str">
        <x:v>AWAY</x:v>
      </x:c>
      <x:c r="I412" s="2" t="str">
        <x:v>HA</x:v>
      </x:c>
      <x:c r="J412" s="9" t="n">
        <x:f>IF(AND(B412&lt;&gt;"",ISNUMBER('Input_Meci'!G39)),INT('Input_Meci'!G39),0)</x:f>
        <x:v>0</x:v>
      </x:c>
      <x:c r="K412" s="2" t="n">
        <x:f>IF(OR(B412="",F412=""),0,IF(H412="HOME",COUNTIFS('Istoric_Nativ'!$B$6:$B$405,E412,'Istoric_Nativ'!$C$6:$C$405,F412,'Istoric_Nativ'!$E$6:$E$405,G412,'Istoric_Nativ'!$D$6:$D$405,"&lt;"&amp;J412,'Istoric_Nativ'!$P$6:$P$405,1),IF(H412="AWAY",COUNTIFS('Istoric_Nativ'!$B$6:$B$405,E412,'Istoric_Nativ'!$C$6:$C$405,F412,'Istoric_Nativ'!$F$6:$F$405,G412,'Istoric_Nativ'!$D$6:$D$405,"&lt;"&amp;J412,'Istoric_Nativ'!$P$6:$P$405,1),COUNTIFS('Istoric_Nativ'!$B$6:$B$405,E412,'Istoric_Nativ'!$C$6:$C$405,F412,'Istoric_Nativ'!$E$6:$E$405,G412,'Istoric_Nativ'!$D$6:$D$405,"&lt;"&amp;J412,'Istoric_Nativ'!$P$6:$P$405,1)+COUNTIFS('Istoric_Nativ'!$B$6:$B$405,E412,'Istoric_Nativ'!$C$6:$C$405,F412,'Istoric_Nativ'!$F$6:$F$405,G412,'Istoric_Nativ'!$D$6:$D$405,"&lt;"&amp;J412,'Istoric_Nativ'!$P$6:$P$405,1))))</x:f>
        <x:v>0</x:v>
      </x:c>
      <x:c r="L412" s="17" t="n">
        <x:f>IF(AND(B412&lt;&gt;"",I412="RECENT",K412&gt;0),LARGE(_xlfn._xlws.FILTER('Istoric_Nativ'!$D$6:$D$405,('Istoric_Nativ'!$B$6:$B$405=E412)*('Istoric_Nativ'!$C$6:$C$405=F412)*('Istoric_Nativ'!$P$6:$P$405=1)*('Istoric_Nativ'!$D$6:$D$405&lt;J412)*((('Istoric_Nativ'!$E$6:$E$405=G412)+('Istoric_Nativ'!$F$6:$F$405=G412))&gt;0)),MIN('Config_v6'!$B$54,K412)),0)</x:f>
        <x:v>0</x:v>
      </x:c>
      <x:c r="M412" s="2" t="n">
        <x:f>IF(OR(B412="",F412=""),0,IF(H412="HOME",COUNTIFS('Istoric_Nativ'!$B$6:$B$405,E412,'Istoric_Nativ'!$C$6:$C$405,F412,'Istoric_Nativ'!$E$6:$E$405,G412,'Istoric_Nativ'!$D$6:$D$405,"&lt;"&amp;J412,'Istoric_Nativ'!$P$6:$P$405,1,'Istoric_Nativ'!$D$6:$D$405,"&gt;="&amp;L412),IF(H412="AWAY",COUNTIFS('Istoric_Nativ'!$B$6:$B$405,E412,'Istoric_Nativ'!$C$6:$C$405,F412,'Istoric_Nativ'!$F$6:$F$405,G412,'Istoric_Nativ'!$D$6:$D$405,"&lt;"&amp;J412,'Istoric_Nativ'!$P$6:$P$405,1,'Istoric_Nativ'!$D$6:$D$405,"&gt;="&amp;L412),COUNTIFS('Istoric_Nativ'!$B$6:$B$405,E412,'Istoric_Nativ'!$C$6:$C$405,F412,'Istoric_Nativ'!$E$6:$E$405,G412,'Istoric_Nativ'!$D$6:$D$405,"&lt;"&amp;J412,'Istoric_Nativ'!$P$6:$P$405,1,'Istoric_Nativ'!$D$6:$D$405,"&gt;="&amp;L412)+COUNTIFS('Istoric_Nativ'!$B$6:$B$405,E412,'Istoric_Nativ'!$C$6:$C$405,F412,'Istoric_Nativ'!$F$6:$F$405,G412,'Istoric_Nativ'!$D$6:$D$405,"&lt;"&amp;J412,'Istoric_Nativ'!$P$6:$P$405,1,'Istoric_Nativ'!$D$6:$D$405,"&gt;="&amp;L412))))</x:f>
        <x:v>0</x:v>
      </x:c>
      <x:c r="N412" s="11" t="str">
        <x:f>IF(M412=0,"",IF(H412="HOME",SUMIFS('Istoric_Nativ'!$G$6:$G$405,'Istoric_Nativ'!$B$6:$B$405,E412,'Istoric_Nativ'!$C$6:$C$405,F412,'Istoric_Nativ'!$E$6:$E$405,G412,'Istoric_Nativ'!$D$6:$D$405,"&lt;"&amp;J412,'Istoric_Nativ'!$P$6:$P$405,1,'Istoric_Nativ'!$D$6:$D$405,"&gt;="&amp;L412),IF(H412="AWAY",SUMIFS('Istoric_Nativ'!$H$6:$H$405,'Istoric_Nativ'!$B$6:$B$405,E412,'Istoric_Nativ'!$C$6:$C$405,F412,'Istoric_Nativ'!$F$6:$F$405,G412,'Istoric_Nativ'!$D$6:$D$405,"&lt;"&amp;J412,'Istoric_Nativ'!$P$6:$P$405,1,'Istoric_Nativ'!$D$6:$D$405,"&gt;="&amp;L412),SUMIFS('Istoric_Nativ'!$G$6:$G$405,'Istoric_Nativ'!$B$6:$B$405,E412,'Istoric_Nativ'!$C$6:$C$405,F412,'Istoric_Nativ'!$E$6:$E$405,G412,'Istoric_Nativ'!$D$6:$D$405,"&lt;"&amp;J412,'Istoric_Nativ'!$P$6:$P$405,1,'Istoric_Nativ'!$D$6:$D$405,"&gt;="&amp;L412)+SUMIFS('Istoric_Nativ'!$H$6:$H$405,'Istoric_Nativ'!$B$6:$B$405,E412,'Istoric_Nativ'!$C$6:$C$405,F412,'Istoric_Nativ'!$F$6:$F$405,G412,'Istoric_Nativ'!$D$6:$D$405,"&lt;"&amp;J412,'Istoric_Nativ'!$P$6:$P$405,1,'Istoric_Nativ'!$D$6:$D$405,"&gt;="&amp;L412)))/M412)</x:f>
      </x:c>
      <x:c r="O412" s="11" t="str">
        <x:f>IF(M412=0,"",IF(H412="HOME",SUMIFS('Istoric_Nativ'!$H$6:$H$405,'Istoric_Nativ'!$B$6:$B$405,E412,'Istoric_Nativ'!$C$6:$C$405,F412,'Istoric_Nativ'!$E$6:$E$405,G412,'Istoric_Nativ'!$D$6:$D$405,"&lt;"&amp;J412,'Istoric_Nativ'!$P$6:$P$405,1,'Istoric_Nativ'!$D$6:$D$405,"&gt;="&amp;L412),IF(H412="AWAY",SUMIFS('Istoric_Nativ'!$G$6:$G$405,'Istoric_Nativ'!$B$6:$B$405,E412,'Istoric_Nativ'!$C$6:$C$405,F412,'Istoric_Nativ'!$F$6:$F$405,G412,'Istoric_Nativ'!$D$6:$D$405,"&lt;"&amp;J412,'Istoric_Nativ'!$P$6:$P$405,1,'Istoric_Nativ'!$D$6:$D$405,"&gt;="&amp;L412),SUMIFS('Istoric_Nativ'!$H$6:$H$405,'Istoric_Nativ'!$B$6:$B$405,E412,'Istoric_Nativ'!$C$6:$C$405,F412,'Istoric_Nativ'!$E$6:$E$405,G412,'Istoric_Nativ'!$D$6:$D$405,"&lt;"&amp;J412,'Istoric_Nativ'!$P$6:$P$405,1,'Istoric_Nativ'!$D$6:$D$405,"&gt;="&amp;L412)+SUMIFS('Istoric_Nativ'!$G$6:$G$405,'Istoric_Nativ'!$B$6:$B$405,E412,'Istoric_Nativ'!$C$6:$C$405,F412,'Istoric_Nativ'!$F$6:$F$405,G412,'Istoric_Nativ'!$D$6:$D$405,"&lt;"&amp;J412,'Istoric_Nativ'!$P$6:$P$405,1,'Istoric_Nativ'!$D$6:$D$405,"&gt;="&amp;L412)))/M412)</x:f>
      </x:c>
      <x:c r="P412" s="2" t="n">
        <x:f>'Config_v6'!$B$8</x:f>
        <x:v>5</x:v>
      </x:c>
      <x:c r="Q412" s="2" t="n">
        <x:f>IF(OR(B412="",F412=""),0,IFERROR(MATCH(E412&amp;"|"&amp;F412,SourceTable[Source_Key],0),0))</x:f>
        <x:v>0</x:v>
      </x:c>
      <x:c r="R412" s="2" t="str">
        <x:f>IF(B412="","",IF(F412="","UNUSED",IF(Q412=0,"NOT CHECKED",IF(COUNTIF(SourceTable[Source_Key],E412&amp;"|"&amp;F412)&lt;&gt;1,"SOURCE CONFLICT",IF(NOT(OR(INDEX(SourceTable[Status],MAX(1,Q412))="IMPORTED",INDEX(SourceTable[Status],MAX(1,Q412))="PARTIAL",INDEX(SourceTable[Status],MAX(1,Q412))="SOURCE CONFLICT")),"ACCESS BLOCKED",IF(OR(INDEX(SourceTable[Coverage],Q412)&lt;&gt;"FULL SEASON EXPORT",INDEX(SourceTable[URL],Q412)="",INDEX(SourceTable[SHA256],Q412)=""),"EVIDENCE INCOMPLETE",IF(AND('Input_Meci'!H39="LIVE",INDEX(SourceTable[Retrieved_UTC],Q412)&gt;'Input_Meci'!G39),"POST CUTOFF","CLOSED")))))))</x:f>
      </x:c>
      <x:c r="S412" s="2" t="n">
        <x:f>IF(OR(B412="",F412=""),0,COUNTIFS('Istoric_Nativ'!$B$6:$B$405,E412,'Istoric_Nativ'!$C$6:$C$405,F412,'Istoric_Nativ'!$E$6:$E$405,G412,'Istoric_Nativ'!$D$6:$D$405,"&lt;"&amp;J412,'Istoric_Nativ'!$O$6:$O$405,"INVALID")+COUNTIFS('Istoric_Nativ'!$B$6:$B$405,E412,'Istoric_Nativ'!$C$6:$C$405,F412,'Istoric_Nativ'!$E$6:$E$405,G412,'Istoric_Nativ'!$O$6:$O$405,"INVALID",'Istoric_Nativ'!$D$6:$D$405,"*")+COUNTIFS('Istoric_Nativ'!$B$6:$B$405,E412,'Istoric_Nativ'!$C$6:$C$405,F412,'Istoric_Nativ'!$E$6:$E$405,G412,'Istoric_Nativ'!$D$6:$D$405,"&lt;"&amp;J412,'Istoric_Nativ'!$O$6:$O$405,"SOURCE CONFLICT")+COUNTIFS('Istoric_Nativ'!$B$6:$B$405,E412,'Istoric_Nativ'!$C$6:$C$405,F412,'Istoric_Nativ'!$F$6:$F$405,G412,'Istoric_Nativ'!$D$6:$D$405,"&lt;"&amp;J412,'Istoric_Nativ'!$O$6:$O$405,"INVALID")+COUNTIFS('Istoric_Nativ'!$B$6:$B$405,E412,'Istoric_Nativ'!$C$6:$C$405,F412,'Istoric_Nativ'!$F$6:$F$405,G412,'Istoric_Nativ'!$O$6:$O$405,"INVALID",'Istoric_Nativ'!$D$6:$D$405,"*")+COUNTIFS('Istoric_Nativ'!$B$6:$B$405,E412,'Istoric_Nativ'!$C$6:$C$405,F412,'Istoric_Nativ'!$F$6:$F$405,G412,'Istoric_Nativ'!$D$6:$D$405,"&lt;"&amp;J412,'Istoric_Nativ'!$O$6:$O$405,"SOURCE CONFLICT"))</x:f>
        <x:v>0</x:v>
      </x:c>
      <x:c r="T412" s="2" t="str">
        <x:f>IF(B412="","",IF(R412&lt;&gt;"CLOSED",R412,IF(S412&gt;0,"NATIVE INPUT ISSUE",IF(M412=0,"NO HISTORY",IF(M412&lt;P412,"SMALL SAMPLE","DERIVED")))))</x:f>
      </x:c>
      <x:c r="U412" s="2" t="str">
        <x:f>IF(B412="","","NativeTable; "&amp;E412&amp;"; "&amp;F412&amp;"; "&amp;G412&amp;"; "&amp;H412&amp;"; before "&amp;TEXT(J412,"yyyy-mm-dd")&amp;IF(I412="RECENT","; from "&amp;TEXT(L412,"yyyy-mm-dd"),""))</x:f>
      </x:c>
    </x:row>
    <x:row r="413" ht="21" customHeight="1">
      <x:c r="A413" s="2" t="n">
        <x:v>34</x:v>
      </x:c>
      <x:c r="B413" s="2" t="str">
        <x:f>IF('Input_Meci'!A39="","",'Input_Meci'!A39)</x:f>
      </x:c>
      <x:c r="C413" s="2" t="str">
        <x:v>A</x:v>
      </x:c>
      <x:c r="D413" s="2" t="str">
        <x:v>PRIOR</x:v>
      </x:c>
      <x:c r="E413" s="2" t="str">
        <x:f>IF(B413="","",'Input_Meci'!B39)</x:f>
      </x:c>
      <x:c r="F413" s="2" t="str">
        <x:f>IF(B413="","",IF('Input_Meci'!K39="","",'Input_Meci'!K39))</x:f>
      </x:c>
      <x:c r="G413" s="2" t="str">
        <x:f>IF(B413="","",'Input_Meci'!E39)</x:f>
      </x:c>
      <x:c r="H413" s="2" t="str">
        <x:v>ANY</x:v>
      </x:c>
      <x:c r="I413" s="2" t="str">
        <x:v>RECENT</x:v>
      </x:c>
      <x:c r="J413" s="9" t="n">
        <x:f>IF(AND(B413&lt;&gt;"",ISNUMBER('Input_Meci'!G39)),INT('Input_Meci'!G39),0)</x:f>
        <x:v>0</x:v>
      </x:c>
      <x:c r="K413" s="2" t="n">
        <x:f>IF(OR(B413="",F413=""),0,IF(H413="HOME",COUNTIFS('Istoric_Nativ'!$B$6:$B$405,E413,'Istoric_Nativ'!$C$6:$C$405,F413,'Istoric_Nativ'!$E$6:$E$405,G413,'Istoric_Nativ'!$D$6:$D$405,"&lt;"&amp;J413,'Istoric_Nativ'!$P$6:$P$405,1),IF(H413="AWAY",COUNTIFS('Istoric_Nativ'!$B$6:$B$405,E413,'Istoric_Nativ'!$C$6:$C$405,F413,'Istoric_Nativ'!$F$6:$F$405,G413,'Istoric_Nativ'!$D$6:$D$405,"&lt;"&amp;J413,'Istoric_Nativ'!$P$6:$P$405,1),COUNTIFS('Istoric_Nativ'!$B$6:$B$405,E413,'Istoric_Nativ'!$C$6:$C$405,F413,'Istoric_Nativ'!$E$6:$E$405,G413,'Istoric_Nativ'!$D$6:$D$405,"&lt;"&amp;J413,'Istoric_Nativ'!$P$6:$P$405,1)+COUNTIFS('Istoric_Nativ'!$B$6:$B$405,E413,'Istoric_Nativ'!$C$6:$C$405,F413,'Istoric_Nativ'!$F$6:$F$405,G413,'Istoric_Nativ'!$D$6:$D$405,"&lt;"&amp;J413,'Istoric_Nativ'!$P$6:$P$405,1))))</x:f>
        <x:v>0</x:v>
      </x:c>
      <x:c r="L413" s="17" t="n">
        <x:f>IF(AND(B413&lt;&gt;"",I413="RECENT",K413&gt;0),LARGE(_xlfn._xlws.FILTER('Istoric_Nativ'!$D$6:$D$405,('Istoric_Nativ'!$B$6:$B$405=E413)*('Istoric_Nativ'!$C$6:$C$405=F413)*('Istoric_Nativ'!$P$6:$P$405=1)*('Istoric_Nativ'!$D$6:$D$405&lt;J413)*((('Istoric_Nativ'!$E$6:$E$405=G413)+('Istoric_Nativ'!$F$6:$F$405=G413))&gt;0)),MIN('Config_v6'!$B$54,K413)),0)</x:f>
        <x:v>0</x:v>
      </x:c>
      <x:c r="M413" s="2" t="n">
        <x:f>IF(OR(B413="",F413=""),0,IF(H413="HOME",COUNTIFS('Istoric_Nativ'!$B$6:$B$405,E413,'Istoric_Nativ'!$C$6:$C$405,F413,'Istoric_Nativ'!$E$6:$E$405,G413,'Istoric_Nativ'!$D$6:$D$405,"&lt;"&amp;J413,'Istoric_Nativ'!$P$6:$P$405,1,'Istoric_Nativ'!$D$6:$D$405,"&gt;="&amp;L413),IF(H413="AWAY",COUNTIFS('Istoric_Nativ'!$B$6:$B$405,E413,'Istoric_Nativ'!$C$6:$C$405,F413,'Istoric_Nativ'!$F$6:$F$405,G413,'Istoric_Nativ'!$D$6:$D$405,"&lt;"&amp;J413,'Istoric_Nativ'!$P$6:$P$405,1,'Istoric_Nativ'!$D$6:$D$405,"&gt;="&amp;L413),COUNTIFS('Istoric_Nativ'!$B$6:$B$405,E413,'Istoric_Nativ'!$C$6:$C$405,F413,'Istoric_Nativ'!$E$6:$E$405,G413,'Istoric_Nativ'!$D$6:$D$405,"&lt;"&amp;J413,'Istoric_Nativ'!$P$6:$P$405,1,'Istoric_Nativ'!$D$6:$D$405,"&gt;="&amp;L413)+COUNTIFS('Istoric_Nativ'!$B$6:$B$405,E413,'Istoric_Nativ'!$C$6:$C$405,F413,'Istoric_Nativ'!$F$6:$F$405,G413,'Istoric_Nativ'!$D$6:$D$405,"&lt;"&amp;J413,'Istoric_Nativ'!$P$6:$P$405,1,'Istoric_Nativ'!$D$6:$D$405,"&gt;="&amp;L413))))</x:f>
        <x:v>0</x:v>
      </x:c>
      <x:c r="N413" s="11" t="str">
        <x:f>IF(M413=0,"",IF(H413="HOME",SUMIFS('Istoric_Nativ'!$G$6:$G$405,'Istoric_Nativ'!$B$6:$B$405,E413,'Istoric_Nativ'!$C$6:$C$405,F413,'Istoric_Nativ'!$E$6:$E$405,G413,'Istoric_Nativ'!$D$6:$D$405,"&lt;"&amp;J413,'Istoric_Nativ'!$P$6:$P$405,1,'Istoric_Nativ'!$D$6:$D$405,"&gt;="&amp;L413),IF(H413="AWAY",SUMIFS('Istoric_Nativ'!$H$6:$H$405,'Istoric_Nativ'!$B$6:$B$405,E413,'Istoric_Nativ'!$C$6:$C$405,F413,'Istoric_Nativ'!$F$6:$F$405,G413,'Istoric_Nativ'!$D$6:$D$405,"&lt;"&amp;J413,'Istoric_Nativ'!$P$6:$P$405,1,'Istoric_Nativ'!$D$6:$D$405,"&gt;="&amp;L413),SUMIFS('Istoric_Nativ'!$G$6:$G$405,'Istoric_Nativ'!$B$6:$B$405,E413,'Istoric_Nativ'!$C$6:$C$405,F413,'Istoric_Nativ'!$E$6:$E$405,G413,'Istoric_Nativ'!$D$6:$D$405,"&lt;"&amp;J413,'Istoric_Nativ'!$P$6:$P$405,1,'Istoric_Nativ'!$D$6:$D$405,"&gt;="&amp;L413)+SUMIFS('Istoric_Nativ'!$H$6:$H$405,'Istoric_Nativ'!$B$6:$B$405,E413,'Istoric_Nativ'!$C$6:$C$405,F413,'Istoric_Nativ'!$F$6:$F$405,G413,'Istoric_Nativ'!$D$6:$D$405,"&lt;"&amp;J413,'Istoric_Nativ'!$P$6:$P$405,1,'Istoric_Nativ'!$D$6:$D$405,"&gt;="&amp;L413)))/M413)</x:f>
      </x:c>
      <x:c r="O413" s="11" t="str">
        <x:f>IF(M413=0,"",IF(H413="HOME",SUMIFS('Istoric_Nativ'!$H$6:$H$405,'Istoric_Nativ'!$B$6:$B$405,E413,'Istoric_Nativ'!$C$6:$C$405,F413,'Istoric_Nativ'!$E$6:$E$405,G413,'Istoric_Nativ'!$D$6:$D$405,"&lt;"&amp;J413,'Istoric_Nativ'!$P$6:$P$405,1,'Istoric_Nativ'!$D$6:$D$405,"&gt;="&amp;L413),IF(H413="AWAY",SUMIFS('Istoric_Nativ'!$G$6:$G$405,'Istoric_Nativ'!$B$6:$B$405,E413,'Istoric_Nativ'!$C$6:$C$405,F413,'Istoric_Nativ'!$F$6:$F$405,G413,'Istoric_Nativ'!$D$6:$D$405,"&lt;"&amp;J413,'Istoric_Nativ'!$P$6:$P$405,1,'Istoric_Nativ'!$D$6:$D$405,"&gt;="&amp;L413),SUMIFS('Istoric_Nativ'!$H$6:$H$405,'Istoric_Nativ'!$B$6:$B$405,E413,'Istoric_Nativ'!$C$6:$C$405,F413,'Istoric_Nativ'!$E$6:$E$405,G413,'Istoric_Nativ'!$D$6:$D$405,"&lt;"&amp;J413,'Istoric_Nativ'!$P$6:$P$405,1,'Istoric_Nativ'!$D$6:$D$405,"&gt;="&amp;L413)+SUMIFS('Istoric_Nativ'!$G$6:$G$405,'Istoric_Nativ'!$B$6:$B$405,E413,'Istoric_Nativ'!$C$6:$C$405,F413,'Istoric_Nativ'!$F$6:$F$405,G413,'Istoric_Nativ'!$D$6:$D$405,"&lt;"&amp;J413,'Istoric_Nativ'!$P$6:$P$405,1,'Istoric_Nativ'!$D$6:$D$405,"&gt;="&amp;L413)))/M413)</x:f>
      </x:c>
      <x:c r="P413" s="2" t="n">
        <x:f>'Config_v6'!$B$9</x:f>
        <x:v>3</x:v>
      </x:c>
      <x:c r="Q413" s="2" t="n">
        <x:f>IF(OR(B413="",F413=""),0,IFERROR(MATCH(E413&amp;"|"&amp;F413,SourceTable[Source_Key],0),0))</x:f>
        <x:v>0</x:v>
      </x:c>
      <x:c r="R413" s="2" t="str">
        <x:f>IF(B413="","",IF(F413="","UNUSED",IF(Q413=0,"NOT CHECKED",IF(COUNTIF(SourceTable[Source_Key],E413&amp;"|"&amp;F413)&lt;&gt;1,"SOURCE CONFLICT",IF(NOT(OR(INDEX(SourceTable[Status],MAX(1,Q413))="IMPORTED",INDEX(SourceTable[Status],MAX(1,Q413))="PARTIAL",INDEX(SourceTable[Status],MAX(1,Q413))="SOURCE CONFLICT")),"ACCESS BLOCKED",IF(OR(INDEX(SourceTable[Coverage],Q413)&lt;&gt;"FULL SEASON EXPORT",INDEX(SourceTable[URL],Q413)="",INDEX(SourceTable[SHA256],Q413)=""),"EVIDENCE INCOMPLETE",IF(AND('Input_Meci'!H39="LIVE",INDEX(SourceTable[Retrieved_UTC],Q413)&gt;'Input_Meci'!G39),"POST CUTOFF","CLOSED")))))))</x:f>
      </x:c>
      <x:c r="S413" s="2" t="n">
        <x:f>IF(OR(B413="",F413=""),0,COUNTIFS('Istoric_Nativ'!$B$6:$B$405,E413,'Istoric_Nativ'!$C$6:$C$405,F413,'Istoric_Nativ'!$E$6:$E$405,G413,'Istoric_Nativ'!$D$6:$D$405,"&lt;"&amp;J413,'Istoric_Nativ'!$O$6:$O$405,"INVALID")+COUNTIFS('Istoric_Nativ'!$B$6:$B$405,E413,'Istoric_Nativ'!$C$6:$C$405,F413,'Istoric_Nativ'!$E$6:$E$405,G413,'Istoric_Nativ'!$O$6:$O$405,"INVALID",'Istoric_Nativ'!$D$6:$D$405,"*")+COUNTIFS('Istoric_Nativ'!$B$6:$B$405,E413,'Istoric_Nativ'!$C$6:$C$405,F413,'Istoric_Nativ'!$E$6:$E$405,G413,'Istoric_Nativ'!$D$6:$D$405,"&lt;"&amp;J413,'Istoric_Nativ'!$O$6:$O$405,"SOURCE CONFLICT")+COUNTIFS('Istoric_Nativ'!$B$6:$B$405,E413,'Istoric_Nativ'!$C$6:$C$405,F413,'Istoric_Nativ'!$F$6:$F$405,G413,'Istoric_Nativ'!$D$6:$D$405,"&lt;"&amp;J413,'Istoric_Nativ'!$O$6:$O$405,"INVALID")+COUNTIFS('Istoric_Nativ'!$B$6:$B$405,E413,'Istoric_Nativ'!$C$6:$C$405,F413,'Istoric_Nativ'!$F$6:$F$405,G413,'Istoric_Nativ'!$O$6:$O$405,"INVALID",'Istoric_Nativ'!$D$6:$D$405,"*")+COUNTIFS('Istoric_Nativ'!$B$6:$B$405,E413,'Istoric_Nativ'!$C$6:$C$405,F413,'Istoric_Nativ'!$F$6:$F$405,G413,'Istoric_Nativ'!$D$6:$D$405,"&lt;"&amp;J413,'Istoric_Nativ'!$O$6:$O$405,"SOURCE CONFLICT"))</x:f>
        <x:v>0</x:v>
      </x:c>
      <x:c r="T413" s="2" t="str">
        <x:f>IF(B413="","",IF(R413&lt;&gt;"CLOSED",R413,IF(S413&gt;0,"NATIVE INPUT ISSUE",IF(M413=0,"NO HISTORY",IF(M413&lt;P413,"SMALL SAMPLE","DERIVED")))))</x:f>
      </x:c>
      <x:c r="U413" s="2" t="str">
        <x:f>IF(B413="","","NativeTable; "&amp;E413&amp;"; "&amp;F413&amp;"; "&amp;G413&amp;"; "&amp;H413&amp;"; before "&amp;TEXT(J413,"yyyy-mm-dd")&amp;IF(I413="RECENT","; from "&amp;TEXT(L413,"yyyy-mm-dd"),""))</x:f>
      </x:c>
    </x:row>
    <x:row r="414" ht="21" customHeight="1">
      <x:c r="A414" s="2" t="n">
        <x:v>35</x:v>
      </x:c>
      <x:c r="B414" s="2" t="str">
        <x:f>IF('Input_Meci'!A40="","",'Input_Meci'!A40)</x:f>
      </x:c>
      <x:c r="C414" s="2" t="str">
        <x:v>H</x:v>
      </x:c>
      <x:c r="D414" s="2" t="str">
        <x:v>CURRENT</x:v>
      </x:c>
      <x:c r="E414" s="2" t="str">
        <x:f>IF(B414="","",'Input_Meci'!B40)</x:f>
      </x:c>
      <x:c r="F414" s="2" t="str">
        <x:f>IF(B414="","",IF('Input_Meci'!C40="","",'Input_Meci'!C40))</x:f>
      </x:c>
      <x:c r="G414" s="2" t="str">
        <x:f>IF(B414="","",'Input_Meci'!D40)</x:f>
      </x:c>
      <x:c r="H414" s="2" t="str">
        <x:v>ANY</x:v>
      </x:c>
      <x:c r="I414" s="2" t="str">
        <x:v>SEASON</x:v>
      </x:c>
      <x:c r="J414" s="9" t="n">
        <x:f>IF(AND(B414&lt;&gt;"",ISNUMBER('Input_Meci'!G40)),INT('Input_Meci'!G40),0)</x:f>
        <x:v>0</x:v>
      </x:c>
      <x:c r="K414" s="2" t="n">
        <x:f>IF(OR(B414="",F414=""),0,IF(H414="HOME",COUNTIFS('Istoric_Nativ'!$B$6:$B$405,E414,'Istoric_Nativ'!$C$6:$C$405,F414,'Istoric_Nativ'!$E$6:$E$405,G414,'Istoric_Nativ'!$D$6:$D$405,"&lt;"&amp;J414,'Istoric_Nativ'!$P$6:$P$405,1),IF(H414="AWAY",COUNTIFS('Istoric_Nativ'!$B$6:$B$405,E414,'Istoric_Nativ'!$C$6:$C$405,F414,'Istoric_Nativ'!$F$6:$F$405,G414,'Istoric_Nativ'!$D$6:$D$405,"&lt;"&amp;J414,'Istoric_Nativ'!$P$6:$P$405,1),COUNTIFS('Istoric_Nativ'!$B$6:$B$405,E414,'Istoric_Nativ'!$C$6:$C$405,F414,'Istoric_Nativ'!$E$6:$E$405,G414,'Istoric_Nativ'!$D$6:$D$405,"&lt;"&amp;J414,'Istoric_Nativ'!$P$6:$P$405,1)+COUNTIFS('Istoric_Nativ'!$B$6:$B$405,E414,'Istoric_Nativ'!$C$6:$C$405,F414,'Istoric_Nativ'!$F$6:$F$405,G414,'Istoric_Nativ'!$D$6:$D$405,"&lt;"&amp;J414,'Istoric_Nativ'!$P$6:$P$405,1))))</x:f>
        <x:v>0</x:v>
      </x:c>
      <x:c r="L414" s="17" t="n">
        <x:f>IF(AND(B414&lt;&gt;"",I414="RECENT",K414&gt;0),LARGE(_xlfn._xlws.FILTER('Istoric_Nativ'!$D$6:$D$405,('Istoric_Nativ'!$B$6:$B$405=E414)*('Istoric_Nativ'!$C$6:$C$405=F414)*('Istoric_Nativ'!$P$6:$P$405=1)*('Istoric_Nativ'!$D$6:$D$405&lt;J414)*((('Istoric_Nativ'!$E$6:$E$405=G414)+('Istoric_Nativ'!$F$6:$F$405=G414))&gt;0)),MIN('Config_v6'!$B$54,K414)),0)</x:f>
        <x:v>0</x:v>
      </x:c>
      <x:c r="M414" s="2" t="n">
        <x:f>IF(OR(B414="",F414=""),0,IF(H414="HOME",COUNTIFS('Istoric_Nativ'!$B$6:$B$405,E414,'Istoric_Nativ'!$C$6:$C$405,F414,'Istoric_Nativ'!$E$6:$E$405,G414,'Istoric_Nativ'!$D$6:$D$405,"&lt;"&amp;J414,'Istoric_Nativ'!$P$6:$P$405,1,'Istoric_Nativ'!$D$6:$D$405,"&gt;="&amp;L414),IF(H414="AWAY",COUNTIFS('Istoric_Nativ'!$B$6:$B$405,E414,'Istoric_Nativ'!$C$6:$C$405,F414,'Istoric_Nativ'!$F$6:$F$405,G414,'Istoric_Nativ'!$D$6:$D$405,"&lt;"&amp;J414,'Istoric_Nativ'!$P$6:$P$405,1,'Istoric_Nativ'!$D$6:$D$405,"&gt;="&amp;L414),COUNTIFS('Istoric_Nativ'!$B$6:$B$405,E414,'Istoric_Nativ'!$C$6:$C$405,F414,'Istoric_Nativ'!$E$6:$E$405,G414,'Istoric_Nativ'!$D$6:$D$405,"&lt;"&amp;J414,'Istoric_Nativ'!$P$6:$P$405,1,'Istoric_Nativ'!$D$6:$D$405,"&gt;="&amp;L414)+COUNTIFS('Istoric_Nativ'!$B$6:$B$405,E414,'Istoric_Nativ'!$C$6:$C$405,F414,'Istoric_Nativ'!$F$6:$F$405,G414,'Istoric_Nativ'!$D$6:$D$405,"&lt;"&amp;J414,'Istoric_Nativ'!$P$6:$P$405,1,'Istoric_Nativ'!$D$6:$D$405,"&gt;="&amp;L414))))</x:f>
        <x:v>0</x:v>
      </x:c>
      <x:c r="N414" s="11" t="str">
        <x:f>IF(M414=0,"",IF(H414="HOME",SUMIFS('Istoric_Nativ'!$G$6:$G$405,'Istoric_Nativ'!$B$6:$B$405,E414,'Istoric_Nativ'!$C$6:$C$405,F414,'Istoric_Nativ'!$E$6:$E$405,G414,'Istoric_Nativ'!$D$6:$D$405,"&lt;"&amp;J414,'Istoric_Nativ'!$P$6:$P$405,1,'Istoric_Nativ'!$D$6:$D$405,"&gt;="&amp;L414),IF(H414="AWAY",SUMIFS('Istoric_Nativ'!$H$6:$H$405,'Istoric_Nativ'!$B$6:$B$405,E414,'Istoric_Nativ'!$C$6:$C$405,F414,'Istoric_Nativ'!$F$6:$F$405,G414,'Istoric_Nativ'!$D$6:$D$405,"&lt;"&amp;J414,'Istoric_Nativ'!$P$6:$P$405,1,'Istoric_Nativ'!$D$6:$D$405,"&gt;="&amp;L414),SUMIFS('Istoric_Nativ'!$G$6:$G$405,'Istoric_Nativ'!$B$6:$B$405,E414,'Istoric_Nativ'!$C$6:$C$405,F414,'Istoric_Nativ'!$E$6:$E$405,G414,'Istoric_Nativ'!$D$6:$D$405,"&lt;"&amp;J414,'Istoric_Nativ'!$P$6:$P$405,1,'Istoric_Nativ'!$D$6:$D$405,"&gt;="&amp;L414)+SUMIFS('Istoric_Nativ'!$H$6:$H$405,'Istoric_Nativ'!$B$6:$B$405,E414,'Istoric_Nativ'!$C$6:$C$405,F414,'Istoric_Nativ'!$F$6:$F$405,G414,'Istoric_Nativ'!$D$6:$D$405,"&lt;"&amp;J414,'Istoric_Nativ'!$P$6:$P$405,1,'Istoric_Nativ'!$D$6:$D$405,"&gt;="&amp;L414)))/M414)</x:f>
      </x:c>
      <x:c r="O414" s="11" t="str">
        <x:f>IF(M414=0,"",IF(H414="HOME",SUMIFS('Istoric_Nativ'!$H$6:$H$405,'Istoric_Nativ'!$B$6:$B$405,E414,'Istoric_Nativ'!$C$6:$C$405,F414,'Istoric_Nativ'!$E$6:$E$405,G414,'Istoric_Nativ'!$D$6:$D$405,"&lt;"&amp;J414,'Istoric_Nativ'!$P$6:$P$405,1,'Istoric_Nativ'!$D$6:$D$405,"&gt;="&amp;L414),IF(H414="AWAY",SUMIFS('Istoric_Nativ'!$G$6:$G$405,'Istoric_Nativ'!$B$6:$B$405,E414,'Istoric_Nativ'!$C$6:$C$405,F414,'Istoric_Nativ'!$F$6:$F$405,G414,'Istoric_Nativ'!$D$6:$D$405,"&lt;"&amp;J414,'Istoric_Nativ'!$P$6:$P$405,1,'Istoric_Nativ'!$D$6:$D$405,"&gt;="&amp;L414),SUMIFS('Istoric_Nativ'!$H$6:$H$405,'Istoric_Nativ'!$B$6:$B$405,E414,'Istoric_Nativ'!$C$6:$C$405,F414,'Istoric_Nativ'!$E$6:$E$405,G414,'Istoric_Nativ'!$D$6:$D$405,"&lt;"&amp;J414,'Istoric_Nativ'!$P$6:$P$405,1,'Istoric_Nativ'!$D$6:$D$405,"&gt;="&amp;L414)+SUMIFS('Istoric_Nativ'!$G$6:$G$405,'Istoric_Nativ'!$B$6:$B$405,E414,'Istoric_Nativ'!$C$6:$C$405,F414,'Istoric_Nativ'!$F$6:$F$405,G414,'Istoric_Nativ'!$D$6:$D$405,"&lt;"&amp;J414,'Istoric_Nativ'!$P$6:$P$405,1,'Istoric_Nativ'!$D$6:$D$405,"&gt;="&amp;L414)))/M414)</x:f>
      </x:c>
      <x:c r="P414" s="2" t="n">
        <x:f>'Config_v6'!$B$7</x:f>
        <x:v>10</x:v>
      </x:c>
      <x:c r="Q414" s="2" t="n">
        <x:f>IF(OR(B414="",F414=""),0,IFERROR(MATCH(E414&amp;"|"&amp;F414,SourceTable[Source_Key],0),0))</x:f>
        <x:v>0</x:v>
      </x:c>
      <x:c r="R414" s="2" t="str">
        <x:f>IF(B414="","",IF(F414="","UNUSED",IF(Q414=0,"NOT CHECKED",IF(COUNTIF(SourceTable[Source_Key],E414&amp;"|"&amp;F414)&lt;&gt;1,"SOURCE CONFLICT",IF(NOT(OR(INDEX(SourceTable[Status],MAX(1,Q414))="IMPORTED",INDEX(SourceTable[Status],MAX(1,Q414))="PARTIAL",INDEX(SourceTable[Status],MAX(1,Q414))="SOURCE CONFLICT")),"ACCESS BLOCKED",IF(OR(INDEX(SourceTable[Coverage],Q414)&lt;&gt;"FULL SEASON EXPORT",INDEX(SourceTable[URL],Q414)="",INDEX(SourceTable[SHA256],Q414)=""),"EVIDENCE INCOMPLETE",IF(AND('Input_Meci'!H40="LIVE",INDEX(SourceTable[Retrieved_UTC],Q414)&gt;'Input_Meci'!G40),"POST CUTOFF","CLOSED")))))))</x:f>
      </x:c>
      <x:c r="S414" s="2" t="n">
        <x:f>IF(OR(B414="",F414=""),0,COUNTIFS('Istoric_Nativ'!$B$6:$B$405,E414,'Istoric_Nativ'!$C$6:$C$405,F414,'Istoric_Nativ'!$E$6:$E$405,G414,'Istoric_Nativ'!$D$6:$D$405,"&lt;"&amp;J414,'Istoric_Nativ'!$O$6:$O$405,"INVALID")+COUNTIFS('Istoric_Nativ'!$B$6:$B$405,E414,'Istoric_Nativ'!$C$6:$C$405,F414,'Istoric_Nativ'!$E$6:$E$405,G414,'Istoric_Nativ'!$O$6:$O$405,"INVALID",'Istoric_Nativ'!$D$6:$D$405,"*")+COUNTIFS('Istoric_Nativ'!$B$6:$B$405,E414,'Istoric_Nativ'!$C$6:$C$405,F414,'Istoric_Nativ'!$E$6:$E$405,G414,'Istoric_Nativ'!$D$6:$D$405,"&lt;"&amp;J414,'Istoric_Nativ'!$O$6:$O$405,"SOURCE CONFLICT")+COUNTIFS('Istoric_Nativ'!$B$6:$B$405,E414,'Istoric_Nativ'!$C$6:$C$405,F414,'Istoric_Nativ'!$F$6:$F$405,G414,'Istoric_Nativ'!$D$6:$D$405,"&lt;"&amp;J414,'Istoric_Nativ'!$O$6:$O$405,"INVALID")+COUNTIFS('Istoric_Nativ'!$B$6:$B$405,E414,'Istoric_Nativ'!$C$6:$C$405,F414,'Istoric_Nativ'!$F$6:$F$405,G414,'Istoric_Nativ'!$O$6:$O$405,"INVALID",'Istoric_Nativ'!$D$6:$D$405,"*")+COUNTIFS('Istoric_Nativ'!$B$6:$B$405,E414,'Istoric_Nativ'!$C$6:$C$405,F414,'Istoric_Nativ'!$F$6:$F$405,G414,'Istoric_Nativ'!$D$6:$D$405,"&lt;"&amp;J414,'Istoric_Nativ'!$O$6:$O$405,"SOURCE CONFLICT"))</x:f>
        <x:v>0</x:v>
      </x:c>
      <x:c r="T414" s="2" t="str">
        <x:f>IF(B414="","",IF(R414&lt;&gt;"CLOSED",R414,IF(S414&gt;0,"NATIVE INPUT ISSUE",IF(M414=0,"NO HISTORY",IF(M414&lt;P414,"SMALL SAMPLE","DERIVED")))))</x:f>
      </x:c>
      <x:c r="U414" s="2" t="str">
        <x:f>IF(B414="","","NativeTable; "&amp;E414&amp;"; "&amp;F414&amp;"; "&amp;G414&amp;"; "&amp;H414&amp;"; before "&amp;TEXT(J414,"yyyy-mm-dd")&amp;IF(I414="RECENT","; from "&amp;TEXT(L414,"yyyy-mm-dd"),""))</x:f>
      </x:c>
    </x:row>
    <x:row r="415" ht="21" customHeight="1">
      <x:c r="A415" s="2" t="n">
        <x:v>35</x:v>
      </x:c>
      <x:c r="B415" s="2" t="str">
        <x:f>IF('Input_Meci'!A40="","",'Input_Meci'!A40)</x:f>
      </x:c>
      <x:c r="C415" s="2" t="str">
        <x:v>H</x:v>
      </x:c>
      <x:c r="D415" s="2" t="str">
        <x:v>CURRENT</x:v>
      </x:c>
      <x:c r="E415" s="2" t="str">
        <x:f>IF(B415="","",'Input_Meci'!B40)</x:f>
      </x:c>
      <x:c r="F415" s="2" t="str">
        <x:f>IF(B415="","",IF('Input_Meci'!C40="","",'Input_Meci'!C40))</x:f>
      </x:c>
      <x:c r="G415" s="2" t="str">
        <x:f>IF(B415="","",'Input_Meci'!D40)</x:f>
      </x:c>
      <x:c r="H415" s="2" t="str">
        <x:v>HOME</x:v>
      </x:c>
      <x:c r="I415" s="2" t="str">
        <x:v>HA</x:v>
      </x:c>
      <x:c r="J415" s="9" t="n">
        <x:f>IF(AND(B415&lt;&gt;"",ISNUMBER('Input_Meci'!G40)),INT('Input_Meci'!G40),0)</x:f>
        <x:v>0</x:v>
      </x:c>
      <x:c r="K415" s="2" t="n">
        <x:f>IF(OR(B415="",F415=""),0,IF(H415="HOME",COUNTIFS('Istoric_Nativ'!$B$6:$B$405,E415,'Istoric_Nativ'!$C$6:$C$405,F415,'Istoric_Nativ'!$E$6:$E$405,G415,'Istoric_Nativ'!$D$6:$D$405,"&lt;"&amp;J415,'Istoric_Nativ'!$P$6:$P$405,1),IF(H415="AWAY",COUNTIFS('Istoric_Nativ'!$B$6:$B$405,E415,'Istoric_Nativ'!$C$6:$C$405,F415,'Istoric_Nativ'!$F$6:$F$405,G415,'Istoric_Nativ'!$D$6:$D$405,"&lt;"&amp;J415,'Istoric_Nativ'!$P$6:$P$405,1),COUNTIFS('Istoric_Nativ'!$B$6:$B$405,E415,'Istoric_Nativ'!$C$6:$C$405,F415,'Istoric_Nativ'!$E$6:$E$405,G415,'Istoric_Nativ'!$D$6:$D$405,"&lt;"&amp;J415,'Istoric_Nativ'!$P$6:$P$405,1)+COUNTIFS('Istoric_Nativ'!$B$6:$B$405,E415,'Istoric_Nativ'!$C$6:$C$405,F415,'Istoric_Nativ'!$F$6:$F$405,G415,'Istoric_Nativ'!$D$6:$D$405,"&lt;"&amp;J415,'Istoric_Nativ'!$P$6:$P$405,1))))</x:f>
        <x:v>0</x:v>
      </x:c>
      <x:c r="L415" s="17" t="n">
        <x:f>IF(AND(B415&lt;&gt;"",I415="RECENT",K415&gt;0),LARGE(_xlfn._xlws.FILTER('Istoric_Nativ'!$D$6:$D$405,('Istoric_Nativ'!$B$6:$B$405=E415)*('Istoric_Nativ'!$C$6:$C$405=F415)*('Istoric_Nativ'!$P$6:$P$405=1)*('Istoric_Nativ'!$D$6:$D$405&lt;J415)*((('Istoric_Nativ'!$E$6:$E$405=G415)+('Istoric_Nativ'!$F$6:$F$405=G415))&gt;0)),MIN('Config_v6'!$B$54,K415)),0)</x:f>
        <x:v>0</x:v>
      </x:c>
      <x:c r="M415" s="2" t="n">
        <x:f>IF(OR(B415="",F415=""),0,IF(H415="HOME",COUNTIFS('Istoric_Nativ'!$B$6:$B$405,E415,'Istoric_Nativ'!$C$6:$C$405,F415,'Istoric_Nativ'!$E$6:$E$405,G415,'Istoric_Nativ'!$D$6:$D$405,"&lt;"&amp;J415,'Istoric_Nativ'!$P$6:$P$405,1,'Istoric_Nativ'!$D$6:$D$405,"&gt;="&amp;L415),IF(H415="AWAY",COUNTIFS('Istoric_Nativ'!$B$6:$B$405,E415,'Istoric_Nativ'!$C$6:$C$405,F415,'Istoric_Nativ'!$F$6:$F$405,G415,'Istoric_Nativ'!$D$6:$D$405,"&lt;"&amp;J415,'Istoric_Nativ'!$P$6:$P$405,1,'Istoric_Nativ'!$D$6:$D$405,"&gt;="&amp;L415),COUNTIFS('Istoric_Nativ'!$B$6:$B$405,E415,'Istoric_Nativ'!$C$6:$C$405,F415,'Istoric_Nativ'!$E$6:$E$405,G415,'Istoric_Nativ'!$D$6:$D$405,"&lt;"&amp;J415,'Istoric_Nativ'!$P$6:$P$405,1,'Istoric_Nativ'!$D$6:$D$405,"&gt;="&amp;L415)+COUNTIFS('Istoric_Nativ'!$B$6:$B$405,E415,'Istoric_Nativ'!$C$6:$C$405,F415,'Istoric_Nativ'!$F$6:$F$405,G415,'Istoric_Nativ'!$D$6:$D$405,"&lt;"&amp;J415,'Istoric_Nativ'!$P$6:$P$405,1,'Istoric_Nativ'!$D$6:$D$405,"&gt;="&amp;L415))))</x:f>
        <x:v>0</x:v>
      </x:c>
      <x:c r="N415" s="11" t="str">
        <x:f>IF(M415=0,"",IF(H415="HOME",SUMIFS('Istoric_Nativ'!$G$6:$G$405,'Istoric_Nativ'!$B$6:$B$405,E415,'Istoric_Nativ'!$C$6:$C$405,F415,'Istoric_Nativ'!$E$6:$E$405,G415,'Istoric_Nativ'!$D$6:$D$405,"&lt;"&amp;J415,'Istoric_Nativ'!$P$6:$P$405,1,'Istoric_Nativ'!$D$6:$D$405,"&gt;="&amp;L415),IF(H415="AWAY",SUMIFS('Istoric_Nativ'!$H$6:$H$405,'Istoric_Nativ'!$B$6:$B$405,E415,'Istoric_Nativ'!$C$6:$C$405,F415,'Istoric_Nativ'!$F$6:$F$405,G415,'Istoric_Nativ'!$D$6:$D$405,"&lt;"&amp;J415,'Istoric_Nativ'!$P$6:$P$405,1,'Istoric_Nativ'!$D$6:$D$405,"&gt;="&amp;L415),SUMIFS('Istoric_Nativ'!$G$6:$G$405,'Istoric_Nativ'!$B$6:$B$405,E415,'Istoric_Nativ'!$C$6:$C$405,F415,'Istoric_Nativ'!$E$6:$E$405,G415,'Istoric_Nativ'!$D$6:$D$405,"&lt;"&amp;J415,'Istoric_Nativ'!$P$6:$P$405,1,'Istoric_Nativ'!$D$6:$D$405,"&gt;="&amp;L415)+SUMIFS('Istoric_Nativ'!$H$6:$H$405,'Istoric_Nativ'!$B$6:$B$405,E415,'Istoric_Nativ'!$C$6:$C$405,F415,'Istoric_Nativ'!$F$6:$F$405,G415,'Istoric_Nativ'!$D$6:$D$405,"&lt;"&amp;J415,'Istoric_Nativ'!$P$6:$P$405,1,'Istoric_Nativ'!$D$6:$D$405,"&gt;="&amp;L415)))/M415)</x:f>
      </x:c>
      <x:c r="O415" s="11" t="str">
        <x:f>IF(M415=0,"",IF(H415="HOME",SUMIFS('Istoric_Nativ'!$H$6:$H$405,'Istoric_Nativ'!$B$6:$B$405,E415,'Istoric_Nativ'!$C$6:$C$405,F415,'Istoric_Nativ'!$E$6:$E$405,G415,'Istoric_Nativ'!$D$6:$D$405,"&lt;"&amp;J415,'Istoric_Nativ'!$P$6:$P$405,1,'Istoric_Nativ'!$D$6:$D$405,"&gt;="&amp;L415),IF(H415="AWAY",SUMIFS('Istoric_Nativ'!$G$6:$G$405,'Istoric_Nativ'!$B$6:$B$405,E415,'Istoric_Nativ'!$C$6:$C$405,F415,'Istoric_Nativ'!$F$6:$F$405,G415,'Istoric_Nativ'!$D$6:$D$405,"&lt;"&amp;J415,'Istoric_Nativ'!$P$6:$P$405,1,'Istoric_Nativ'!$D$6:$D$405,"&gt;="&amp;L415),SUMIFS('Istoric_Nativ'!$H$6:$H$405,'Istoric_Nativ'!$B$6:$B$405,E415,'Istoric_Nativ'!$C$6:$C$405,F415,'Istoric_Nativ'!$E$6:$E$405,G415,'Istoric_Nativ'!$D$6:$D$405,"&lt;"&amp;J415,'Istoric_Nativ'!$P$6:$P$405,1,'Istoric_Nativ'!$D$6:$D$405,"&gt;="&amp;L415)+SUMIFS('Istoric_Nativ'!$G$6:$G$405,'Istoric_Nativ'!$B$6:$B$405,E415,'Istoric_Nativ'!$C$6:$C$405,F415,'Istoric_Nativ'!$F$6:$F$405,G415,'Istoric_Nativ'!$D$6:$D$405,"&lt;"&amp;J415,'Istoric_Nativ'!$P$6:$P$405,1,'Istoric_Nativ'!$D$6:$D$405,"&gt;="&amp;L415)))/M415)</x:f>
      </x:c>
      <x:c r="P415" s="2" t="n">
        <x:f>'Config_v6'!$B$8</x:f>
        <x:v>5</x:v>
      </x:c>
      <x:c r="Q415" s="2" t="n">
        <x:f>IF(OR(B415="",F415=""),0,IFERROR(MATCH(E415&amp;"|"&amp;F415,SourceTable[Source_Key],0),0))</x:f>
        <x:v>0</x:v>
      </x:c>
      <x:c r="R415" s="2" t="str">
        <x:f>IF(B415="","",IF(F415="","UNUSED",IF(Q415=0,"NOT CHECKED",IF(COUNTIF(SourceTable[Source_Key],E415&amp;"|"&amp;F415)&lt;&gt;1,"SOURCE CONFLICT",IF(NOT(OR(INDEX(SourceTable[Status],MAX(1,Q415))="IMPORTED",INDEX(SourceTable[Status],MAX(1,Q415))="PARTIAL",INDEX(SourceTable[Status],MAX(1,Q415))="SOURCE CONFLICT")),"ACCESS BLOCKED",IF(OR(INDEX(SourceTable[Coverage],Q415)&lt;&gt;"FULL SEASON EXPORT",INDEX(SourceTable[URL],Q415)="",INDEX(SourceTable[SHA256],Q415)=""),"EVIDENCE INCOMPLETE",IF(AND('Input_Meci'!H40="LIVE",INDEX(SourceTable[Retrieved_UTC],Q415)&gt;'Input_Meci'!G40),"POST CUTOFF","CLOSED")))))))</x:f>
      </x:c>
      <x:c r="S415" s="2" t="n">
        <x:f>IF(OR(B415="",F415=""),0,COUNTIFS('Istoric_Nativ'!$B$6:$B$405,E415,'Istoric_Nativ'!$C$6:$C$405,F415,'Istoric_Nativ'!$E$6:$E$405,G415,'Istoric_Nativ'!$D$6:$D$405,"&lt;"&amp;J415,'Istoric_Nativ'!$O$6:$O$405,"INVALID")+COUNTIFS('Istoric_Nativ'!$B$6:$B$405,E415,'Istoric_Nativ'!$C$6:$C$405,F415,'Istoric_Nativ'!$E$6:$E$405,G415,'Istoric_Nativ'!$O$6:$O$405,"INVALID",'Istoric_Nativ'!$D$6:$D$405,"*")+COUNTIFS('Istoric_Nativ'!$B$6:$B$405,E415,'Istoric_Nativ'!$C$6:$C$405,F415,'Istoric_Nativ'!$E$6:$E$405,G415,'Istoric_Nativ'!$D$6:$D$405,"&lt;"&amp;J415,'Istoric_Nativ'!$O$6:$O$405,"SOURCE CONFLICT")+COUNTIFS('Istoric_Nativ'!$B$6:$B$405,E415,'Istoric_Nativ'!$C$6:$C$405,F415,'Istoric_Nativ'!$F$6:$F$405,G415,'Istoric_Nativ'!$D$6:$D$405,"&lt;"&amp;J415,'Istoric_Nativ'!$O$6:$O$405,"INVALID")+COUNTIFS('Istoric_Nativ'!$B$6:$B$405,E415,'Istoric_Nativ'!$C$6:$C$405,F415,'Istoric_Nativ'!$F$6:$F$405,G415,'Istoric_Nativ'!$O$6:$O$405,"INVALID",'Istoric_Nativ'!$D$6:$D$405,"*")+COUNTIFS('Istoric_Nativ'!$B$6:$B$405,E415,'Istoric_Nativ'!$C$6:$C$405,F415,'Istoric_Nativ'!$F$6:$F$405,G415,'Istoric_Nativ'!$D$6:$D$405,"&lt;"&amp;J415,'Istoric_Nativ'!$O$6:$O$405,"SOURCE CONFLICT"))</x:f>
        <x:v>0</x:v>
      </x:c>
      <x:c r="T415" s="2" t="str">
        <x:f>IF(B415="","",IF(R415&lt;&gt;"CLOSED",R415,IF(S415&gt;0,"NATIVE INPUT ISSUE",IF(M415=0,"NO HISTORY",IF(M415&lt;P415,"SMALL SAMPLE","DERIVED")))))</x:f>
      </x:c>
      <x:c r="U415" s="2" t="str">
        <x:f>IF(B415="","","NativeTable; "&amp;E415&amp;"; "&amp;F415&amp;"; "&amp;G415&amp;"; "&amp;H415&amp;"; before "&amp;TEXT(J415,"yyyy-mm-dd")&amp;IF(I415="RECENT","; from "&amp;TEXT(L415,"yyyy-mm-dd"),""))</x:f>
      </x:c>
    </x:row>
    <x:row r="416" ht="21" customHeight="1">
      <x:c r="A416" s="2" t="n">
        <x:v>35</x:v>
      </x:c>
      <x:c r="B416" s="2" t="str">
        <x:f>IF('Input_Meci'!A40="","",'Input_Meci'!A40)</x:f>
      </x:c>
      <x:c r="C416" s="2" t="str">
        <x:v>H</x:v>
      </x:c>
      <x:c r="D416" s="2" t="str">
        <x:v>CURRENT</x:v>
      </x:c>
      <x:c r="E416" s="2" t="str">
        <x:f>IF(B416="","",'Input_Meci'!B40)</x:f>
      </x:c>
      <x:c r="F416" s="2" t="str">
        <x:f>IF(B416="","",IF('Input_Meci'!C40="","",'Input_Meci'!C40))</x:f>
      </x:c>
      <x:c r="G416" s="2" t="str">
        <x:f>IF(B416="","",'Input_Meci'!D40)</x:f>
      </x:c>
      <x:c r="H416" s="2" t="str">
        <x:v>ANY</x:v>
      </x:c>
      <x:c r="I416" s="2" t="str">
        <x:v>RECENT</x:v>
      </x:c>
      <x:c r="J416" s="9" t="n">
        <x:f>IF(AND(B416&lt;&gt;"",ISNUMBER('Input_Meci'!G40)),INT('Input_Meci'!G40),0)</x:f>
        <x:v>0</x:v>
      </x:c>
      <x:c r="K416" s="2" t="n">
        <x:f>IF(OR(B416="",F416=""),0,IF(H416="HOME",COUNTIFS('Istoric_Nativ'!$B$6:$B$405,E416,'Istoric_Nativ'!$C$6:$C$405,F416,'Istoric_Nativ'!$E$6:$E$405,G416,'Istoric_Nativ'!$D$6:$D$405,"&lt;"&amp;J416,'Istoric_Nativ'!$P$6:$P$405,1),IF(H416="AWAY",COUNTIFS('Istoric_Nativ'!$B$6:$B$405,E416,'Istoric_Nativ'!$C$6:$C$405,F416,'Istoric_Nativ'!$F$6:$F$405,G416,'Istoric_Nativ'!$D$6:$D$405,"&lt;"&amp;J416,'Istoric_Nativ'!$P$6:$P$405,1),COUNTIFS('Istoric_Nativ'!$B$6:$B$405,E416,'Istoric_Nativ'!$C$6:$C$405,F416,'Istoric_Nativ'!$E$6:$E$405,G416,'Istoric_Nativ'!$D$6:$D$405,"&lt;"&amp;J416,'Istoric_Nativ'!$P$6:$P$405,1)+COUNTIFS('Istoric_Nativ'!$B$6:$B$405,E416,'Istoric_Nativ'!$C$6:$C$405,F416,'Istoric_Nativ'!$F$6:$F$405,G416,'Istoric_Nativ'!$D$6:$D$405,"&lt;"&amp;J416,'Istoric_Nativ'!$P$6:$P$405,1))))</x:f>
        <x:v>0</x:v>
      </x:c>
      <x:c r="L416" s="17" t="n">
        <x:f>IF(AND(B416&lt;&gt;"",I416="RECENT",K416&gt;0),LARGE(_xlfn._xlws.FILTER('Istoric_Nativ'!$D$6:$D$405,('Istoric_Nativ'!$B$6:$B$405=E416)*('Istoric_Nativ'!$C$6:$C$405=F416)*('Istoric_Nativ'!$P$6:$P$405=1)*('Istoric_Nativ'!$D$6:$D$405&lt;J416)*((('Istoric_Nativ'!$E$6:$E$405=G416)+('Istoric_Nativ'!$F$6:$F$405=G416))&gt;0)),MIN('Config_v6'!$B$54,K416)),0)</x:f>
        <x:v>0</x:v>
      </x:c>
      <x:c r="M416" s="2" t="n">
        <x:f>IF(OR(B416="",F416=""),0,IF(H416="HOME",COUNTIFS('Istoric_Nativ'!$B$6:$B$405,E416,'Istoric_Nativ'!$C$6:$C$405,F416,'Istoric_Nativ'!$E$6:$E$405,G416,'Istoric_Nativ'!$D$6:$D$405,"&lt;"&amp;J416,'Istoric_Nativ'!$P$6:$P$405,1,'Istoric_Nativ'!$D$6:$D$405,"&gt;="&amp;L416),IF(H416="AWAY",COUNTIFS('Istoric_Nativ'!$B$6:$B$405,E416,'Istoric_Nativ'!$C$6:$C$405,F416,'Istoric_Nativ'!$F$6:$F$405,G416,'Istoric_Nativ'!$D$6:$D$405,"&lt;"&amp;J416,'Istoric_Nativ'!$P$6:$P$405,1,'Istoric_Nativ'!$D$6:$D$405,"&gt;="&amp;L416),COUNTIFS('Istoric_Nativ'!$B$6:$B$405,E416,'Istoric_Nativ'!$C$6:$C$405,F416,'Istoric_Nativ'!$E$6:$E$405,G416,'Istoric_Nativ'!$D$6:$D$405,"&lt;"&amp;J416,'Istoric_Nativ'!$P$6:$P$405,1,'Istoric_Nativ'!$D$6:$D$405,"&gt;="&amp;L416)+COUNTIFS('Istoric_Nativ'!$B$6:$B$405,E416,'Istoric_Nativ'!$C$6:$C$405,F416,'Istoric_Nativ'!$F$6:$F$405,G416,'Istoric_Nativ'!$D$6:$D$405,"&lt;"&amp;J416,'Istoric_Nativ'!$P$6:$P$405,1,'Istoric_Nativ'!$D$6:$D$405,"&gt;="&amp;L416))))</x:f>
        <x:v>0</x:v>
      </x:c>
      <x:c r="N416" s="11" t="str">
        <x:f>IF(M416=0,"",IF(H416="HOME",SUMIFS('Istoric_Nativ'!$G$6:$G$405,'Istoric_Nativ'!$B$6:$B$405,E416,'Istoric_Nativ'!$C$6:$C$405,F416,'Istoric_Nativ'!$E$6:$E$405,G416,'Istoric_Nativ'!$D$6:$D$405,"&lt;"&amp;J416,'Istoric_Nativ'!$P$6:$P$405,1,'Istoric_Nativ'!$D$6:$D$405,"&gt;="&amp;L416),IF(H416="AWAY",SUMIFS('Istoric_Nativ'!$H$6:$H$405,'Istoric_Nativ'!$B$6:$B$405,E416,'Istoric_Nativ'!$C$6:$C$405,F416,'Istoric_Nativ'!$F$6:$F$405,G416,'Istoric_Nativ'!$D$6:$D$405,"&lt;"&amp;J416,'Istoric_Nativ'!$P$6:$P$405,1,'Istoric_Nativ'!$D$6:$D$405,"&gt;="&amp;L416),SUMIFS('Istoric_Nativ'!$G$6:$G$405,'Istoric_Nativ'!$B$6:$B$405,E416,'Istoric_Nativ'!$C$6:$C$405,F416,'Istoric_Nativ'!$E$6:$E$405,G416,'Istoric_Nativ'!$D$6:$D$405,"&lt;"&amp;J416,'Istoric_Nativ'!$P$6:$P$405,1,'Istoric_Nativ'!$D$6:$D$405,"&gt;="&amp;L416)+SUMIFS('Istoric_Nativ'!$H$6:$H$405,'Istoric_Nativ'!$B$6:$B$405,E416,'Istoric_Nativ'!$C$6:$C$405,F416,'Istoric_Nativ'!$F$6:$F$405,G416,'Istoric_Nativ'!$D$6:$D$405,"&lt;"&amp;J416,'Istoric_Nativ'!$P$6:$P$405,1,'Istoric_Nativ'!$D$6:$D$405,"&gt;="&amp;L416)))/M416)</x:f>
      </x:c>
      <x:c r="O416" s="11" t="str">
        <x:f>IF(M416=0,"",IF(H416="HOME",SUMIFS('Istoric_Nativ'!$H$6:$H$405,'Istoric_Nativ'!$B$6:$B$405,E416,'Istoric_Nativ'!$C$6:$C$405,F416,'Istoric_Nativ'!$E$6:$E$405,G416,'Istoric_Nativ'!$D$6:$D$405,"&lt;"&amp;J416,'Istoric_Nativ'!$P$6:$P$405,1,'Istoric_Nativ'!$D$6:$D$405,"&gt;="&amp;L416),IF(H416="AWAY",SUMIFS('Istoric_Nativ'!$G$6:$G$405,'Istoric_Nativ'!$B$6:$B$405,E416,'Istoric_Nativ'!$C$6:$C$405,F416,'Istoric_Nativ'!$F$6:$F$405,G416,'Istoric_Nativ'!$D$6:$D$405,"&lt;"&amp;J416,'Istoric_Nativ'!$P$6:$P$405,1,'Istoric_Nativ'!$D$6:$D$405,"&gt;="&amp;L416),SUMIFS('Istoric_Nativ'!$H$6:$H$405,'Istoric_Nativ'!$B$6:$B$405,E416,'Istoric_Nativ'!$C$6:$C$405,F416,'Istoric_Nativ'!$E$6:$E$405,G416,'Istoric_Nativ'!$D$6:$D$405,"&lt;"&amp;J416,'Istoric_Nativ'!$P$6:$P$405,1,'Istoric_Nativ'!$D$6:$D$405,"&gt;="&amp;L416)+SUMIFS('Istoric_Nativ'!$G$6:$G$405,'Istoric_Nativ'!$B$6:$B$405,E416,'Istoric_Nativ'!$C$6:$C$405,F416,'Istoric_Nativ'!$F$6:$F$405,G416,'Istoric_Nativ'!$D$6:$D$405,"&lt;"&amp;J416,'Istoric_Nativ'!$P$6:$P$405,1,'Istoric_Nativ'!$D$6:$D$405,"&gt;="&amp;L416)))/M416)</x:f>
      </x:c>
      <x:c r="P416" s="2" t="n">
        <x:f>'Config_v6'!$B$9</x:f>
        <x:v>3</x:v>
      </x:c>
      <x:c r="Q416" s="2" t="n">
        <x:f>IF(OR(B416="",F416=""),0,IFERROR(MATCH(E416&amp;"|"&amp;F416,SourceTable[Source_Key],0),0))</x:f>
        <x:v>0</x:v>
      </x:c>
      <x:c r="R416" s="2" t="str">
        <x:f>IF(B416="","",IF(F416="","UNUSED",IF(Q416=0,"NOT CHECKED",IF(COUNTIF(SourceTable[Source_Key],E416&amp;"|"&amp;F416)&lt;&gt;1,"SOURCE CONFLICT",IF(NOT(OR(INDEX(SourceTable[Status],MAX(1,Q416))="IMPORTED",INDEX(SourceTable[Status],MAX(1,Q416))="PARTIAL",INDEX(SourceTable[Status],MAX(1,Q416))="SOURCE CONFLICT")),"ACCESS BLOCKED",IF(OR(INDEX(SourceTable[Coverage],Q416)&lt;&gt;"FULL SEASON EXPORT",INDEX(SourceTable[URL],Q416)="",INDEX(SourceTable[SHA256],Q416)=""),"EVIDENCE INCOMPLETE",IF(AND('Input_Meci'!H40="LIVE",INDEX(SourceTable[Retrieved_UTC],Q416)&gt;'Input_Meci'!G40),"POST CUTOFF","CLOSED")))))))</x:f>
      </x:c>
      <x:c r="S416" s="2" t="n">
        <x:f>IF(OR(B416="",F416=""),0,COUNTIFS('Istoric_Nativ'!$B$6:$B$405,E416,'Istoric_Nativ'!$C$6:$C$405,F416,'Istoric_Nativ'!$E$6:$E$405,G416,'Istoric_Nativ'!$D$6:$D$405,"&lt;"&amp;J416,'Istoric_Nativ'!$O$6:$O$405,"INVALID")+COUNTIFS('Istoric_Nativ'!$B$6:$B$405,E416,'Istoric_Nativ'!$C$6:$C$405,F416,'Istoric_Nativ'!$E$6:$E$405,G416,'Istoric_Nativ'!$O$6:$O$405,"INVALID",'Istoric_Nativ'!$D$6:$D$405,"*")+COUNTIFS('Istoric_Nativ'!$B$6:$B$405,E416,'Istoric_Nativ'!$C$6:$C$405,F416,'Istoric_Nativ'!$E$6:$E$405,G416,'Istoric_Nativ'!$D$6:$D$405,"&lt;"&amp;J416,'Istoric_Nativ'!$O$6:$O$405,"SOURCE CONFLICT")+COUNTIFS('Istoric_Nativ'!$B$6:$B$405,E416,'Istoric_Nativ'!$C$6:$C$405,F416,'Istoric_Nativ'!$F$6:$F$405,G416,'Istoric_Nativ'!$D$6:$D$405,"&lt;"&amp;J416,'Istoric_Nativ'!$O$6:$O$405,"INVALID")+COUNTIFS('Istoric_Nativ'!$B$6:$B$405,E416,'Istoric_Nativ'!$C$6:$C$405,F416,'Istoric_Nativ'!$F$6:$F$405,G416,'Istoric_Nativ'!$O$6:$O$405,"INVALID",'Istoric_Nativ'!$D$6:$D$405,"*")+COUNTIFS('Istoric_Nativ'!$B$6:$B$405,E416,'Istoric_Nativ'!$C$6:$C$405,F416,'Istoric_Nativ'!$F$6:$F$405,G416,'Istoric_Nativ'!$D$6:$D$405,"&lt;"&amp;J416,'Istoric_Nativ'!$O$6:$O$405,"SOURCE CONFLICT"))</x:f>
        <x:v>0</x:v>
      </x:c>
      <x:c r="T416" s="2" t="str">
        <x:f>IF(B416="","",IF(R416&lt;&gt;"CLOSED",R416,IF(S416&gt;0,"NATIVE INPUT ISSUE",IF(M416=0,"NO HISTORY",IF(M416&lt;P416,"SMALL SAMPLE","DERIVED")))))</x:f>
      </x:c>
      <x:c r="U416" s="2" t="str">
        <x:f>IF(B416="","","NativeTable; "&amp;E416&amp;"; "&amp;F416&amp;"; "&amp;G416&amp;"; "&amp;H416&amp;"; before "&amp;TEXT(J416,"yyyy-mm-dd")&amp;IF(I416="RECENT","; from "&amp;TEXT(L416,"yyyy-mm-dd"),""))</x:f>
      </x:c>
    </x:row>
    <x:row r="417" ht="21" customHeight="1">
      <x:c r="A417" s="2" t="n">
        <x:v>35</x:v>
      </x:c>
      <x:c r="B417" s="2" t="str">
        <x:f>IF('Input_Meci'!A40="","",'Input_Meci'!A40)</x:f>
      </x:c>
      <x:c r="C417" s="2" t="str">
        <x:v>A</x:v>
      </x:c>
      <x:c r="D417" s="2" t="str">
        <x:v>CURRENT</x:v>
      </x:c>
      <x:c r="E417" s="2" t="str">
        <x:f>IF(B417="","",'Input_Meci'!B40)</x:f>
      </x:c>
      <x:c r="F417" s="2" t="str">
        <x:f>IF(B417="","",IF('Input_Meci'!C40="","",'Input_Meci'!C40))</x:f>
      </x:c>
      <x:c r="G417" s="2" t="str">
        <x:f>IF(B417="","",'Input_Meci'!E40)</x:f>
      </x:c>
      <x:c r="H417" s="2" t="str">
        <x:v>ANY</x:v>
      </x:c>
      <x:c r="I417" s="2" t="str">
        <x:v>SEASON</x:v>
      </x:c>
      <x:c r="J417" s="9" t="n">
        <x:f>IF(AND(B417&lt;&gt;"",ISNUMBER('Input_Meci'!G40)),INT('Input_Meci'!G40),0)</x:f>
        <x:v>0</x:v>
      </x:c>
      <x:c r="K417" s="2" t="n">
        <x:f>IF(OR(B417="",F417=""),0,IF(H417="HOME",COUNTIFS('Istoric_Nativ'!$B$6:$B$405,E417,'Istoric_Nativ'!$C$6:$C$405,F417,'Istoric_Nativ'!$E$6:$E$405,G417,'Istoric_Nativ'!$D$6:$D$405,"&lt;"&amp;J417,'Istoric_Nativ'!$P$6:$P$405,1),IF(H417="AWAY",COUNTIFS('Istoric_Nativ'!$B$6:$B$405,E417,'Istoric_Nativ'!$C$6:$C$405,F417,'Istoric_Nativ'!$F$6:$F$405,G417,'Istoric_Nativ'!$D$6:$D$405,"&lt;"&amp;J417,'Istoric_Nativ'!$P$6:$P$405,1),COUNTIFS('Istoric_Nativ'!$B$6:$B$405,E417,'Istoric_Nativ'!$C$6:$C$405,F417,'Istoric_Nativ'!$E$6:$E$405,G417,'Istoric_Nativ'!$D$6:$D$405,"&lt;"&amp;J417,'Istoric_Nativ'!$P$6:$P$405,1)+COUNTIFS('Istoric_Nativ'!$B$6:$B$405,E417,'Istoric_Nativ'!$C$6:$C$405,F417,'Istoric_Nativ'!$F$6:$F$405,G417,'Istoric_Nativ'!$D$6:$D$405,"&lt;"&amp;J417,'Istoric_Nativ'!$P$6:$P$405,1))))</x:f>
        <x:v>0</x:v>
      </x:c>
      <x:c r="L417" s="17" t="n">
        <x:f>IF(AND(B417&lt;&gt;"",I417="RECENT",K417&gt;0),LARGE(_xlfn._xlws.FILTER('Istoric_Nativ'!$D$6:$D$405,('Istoric_Nativ'!$B$6:$B$405=E417)*('Istoric_Nativ'!$C$6:$C$405=F417)*('Istoric_Nativ'!$P$6:$P$405=1)*('Istoric_Nativ'!$D$6:$D$405&lt;J417)*((('Istoric_Nativ'!$E$6:$E$405=G417)+('Istoric_Nativ'!$F$6:$F$405=G417))&gt;0)),MIN('Config_v6'!$B$54,K417)),0)</x:f>
        <x:v>0</x:v>
      </x:c>
      <x:c r="M417" s="2" t="n">
        <x:f>IF(OR(B417="",F417=""),0,IF(H417="HOME",COUNTIFS('Istoric_Nativ'!$B$6:$B$405,E417,'Istoric_Nativ'!$C$6:$C$405,F417,'Istoric_Nativ'!$E$6:$E$405,G417,'Istoric_Nativ'!$D$6:$D$405,"&lt;"&amp;J417,'Istoric_Nativ'!$P$6:$P$405,1,'Istoric_Nativ'!$D$6:$D$405,"&gt;="&amp;L417),IF(H417="AWAY",COUNTIFS('Istoric_Nativ'!$B$6:$B$405,E417,'Istoric_Nativ'!$C$6:$C$405,F417,'Istoric_Nativ'!$F$6:$F$405,G417,'Istoric_Nativ'!$D$6:$D$405,"&lt;"&amp;J417,'Istoric_Nativ'!$P$6:$P$405,1,'Istoric_Nativ'!$D$6:$D$405,"&gt;="&amp;L417),COUNTIFS('Istoric_Nativ'!$B$6:$B$405,E417,'Istoric_Nativ'!$C$6:$C$405,F417,'Istoric_Nativ'!$E$6:$E$405,G417,'Istoric_Nativ'!$D$6:$D$405,"&lt;"&amp;J417,'Istoric_Nativ'!$P$6:$P$405,1,'Istoric_Nativ'!$D$6:$D$405,"&gt;="&amp;L417)+COUNTIFS('Istoric_Nativ'!$B$6:$B$405,E417,'Istoric_Nativ'!$C$6:$C$405,F417,'Istoric_Nativ'!$F$6:$F$405,G417,'Istoric_Nativ'!$D$6:$D$405,"&lt;"&amp;J417,'Istoric_Nativ'!$P$6:$P$405,1,'Istoric_Nativ'!$D$6:$D$405,"&gt;="&amp;L417))))</x:f>
        <x:v>0</x:v>
      </x:c>
      <x:c r="N417" s="11" t="str">
        <x:f>IF(M417=0,"",IF(H417="HOME",SUMIFS('Istoric_Nativ'!$G$6:$G$405,'Istoric_Nativ'!$B$6:$B$405,E417,'Istoric_Nativ'!$C$6:$C$405,F417,'Istoric_Nativ'!$E$6:$E$405,G417,'Istoric_Nativ'!$D$6:$D$405,"&lt;"&amp;J417,'Istoric_Nativ'!$P$6:$P$405,1,'Istoric_Nativ'!$D$6:$D$405,"&gt;="&amp;L417),IF(H417="AWAY",SUMIFS('Istoric_Nativ'!$H$6:$H$405,'Istoric_Nativ'!$B$6:$B$405,E417,'Istoric_Nativ'!$C$6:$C$405,F417,'Istoric_Nativ'!$F$6:$F$405,G417,'Istoric_Nativ'!$D$6:$D$405,"&lt;"&amp;J417,'Istoric_Nativ'!$P$6:$P$405,1,'Istoric_Nativ'!$D$6:$D$405,"&gt;="&amp;L417),SUMIFS('Istoric_Nativ'!$G$6:$G$405,'Istoric_Nativ'!$B$6:$B$405,E417,'Istoric_Nativ'!$C$6:$C$405,F417,'Istoric_Nativ'!$E$6:$E$405,G417,'Istoric_Nativ'!$D$6:$D$405,"&lt;"&amp;J417,'Istoric_Nativ'!$P$6:$P$405,1,'Istoric_Nativ'!$D$6:$D$405,"&gt;="&amp;L417)+SUMIFS('Istoric_Nativ'!$H$6:$H$405,'Istoric_Nativ'!$B$6:$B$405,E417,'Istoric_Nativ'!$C$6:$C$405,F417,'Istoric_Nativ'!$F$6:$F$405,G417,'Istoric_Nativ'!$D$6:$D$405,"&lt;"&amp;J417,'Istoric_Nativ'!$P$6:$P$405,1,'Istoric_Nativ'!$D$6:$D$405,"&gt;="&amp;L417)))/M417)</x:f>
      </x:c>
      <x:c r="O417" s="11" t="str">
        <x:f>IF(M417=0,"",IF(H417="HOME",SUMIFS('Istoric_Nativ'!$H$6:$H$405,'Istoric_Nativ'!$B$6:$B$405,E417,'Istoric_Nativ'!$C$6:$C$405,F417,'Istoric_Nativ'!$E$6:$E$405,G417,'Istoric_Nativ'!$D$6:$D$405,"&lt;"&amp;J417,'Istoric_Nativ'!$P$6:$P$405,1,'Istoric_Nativ'!$D$6:$D$405,"&gt;="&amp;L417),IF(H417="AWAY",SUMIFS('Istoric_Nativ'!$G$6:$G$405,'Istoric_Nativ'!$B$6:$B$405,E417,'Istoric_Nativ'!$C$6:$C$405,F417,'Istoric_Nativ'!$F$6:$F$405,G417,'Istoric_Nativ'!$D$6:$D$405,"&lt;"&amp;J417,'Istoric_Nativ'!$P$6:$P$405,1,'Istoric_Nativ'!$D$6:$D$405,"&gt;="&amp;L417),SUMIFS('Istoric_Nativ'!$H$6:$H$405,'Istoric_Nativ'!$B$6:$B$405,E417,'Istoric_Nativ'!$C$6:$C$405,F417,'Istoric_Nativ'!$E$6:$E$405,G417,'Istoric_Nativ'!$D$6:$D$405,"&lt;"&amp;J417,'Istoric_Nativ'!$P$6:$P$405,1,'Istoric_Nativ'!$D$6:$D$405,"&gt;="&amp;L417)+SUMIFS('Istoric_Nativ'!$G$6:$G$405,'Istoric_Nativ'!$B$6:$B$405,E417,'Istoric_Nativ'!$C$6:$C$405,F417,'Istoric_Nativ'!$F$6:$F$405,G417,'Istoric_Nativ'!$D$6:$D$405,"&lt;"&amp;J417,'Istoric_Nativ'!$P$6:$P$405,1,'Istoric_Nativ'!$D$6:$D$405,"&gt;="&amp;L417)))/M417)</x:f>
      </x:c>
      <x:c r="P417" s="2" t="n">
        <x:f>'Config_v6'!$B$7</x:f>
        <x:v>10</x:v>
      </x:c>
      <x:c r="Q417" s="2" t="n">
        <x:f>IF(OR(B417="",F417=""),0,IFERROR(MATCH(E417&amp;"|"&amp;F417,SourceTable[Source_Key],0),0))</x:f>
        <x:v>0</x:v>
      </x:c>
      <x:c r="R417" s="2" t="str">
        <x:f>IF(B417="","",IF(F417="","UNUSED",IF(Q417=0,"NOT CHECKED",IF(COUNTIF(SourceTable[Source_Key],E417&amp;"|"&amp;F417)&lt;&gt;1,"SOURCE CONFLICT",IF(NOT(OR(INDEX(SourceTable[Status],MAX(1,Q417))="IMPORTED",INDEX(SourceTable[Status],MAX(1,Q417))="PARTIAL",INDEX(SourceTable[Status],MAX(1,Q417))="SOURCE CONFLICT")),"ACCESS BLOCKED",IF(OR(INDEX(SourceTable[Coverage],Q417)&lt;&gt;"FULL SEASON EXPORT",INDEX(SourceTable[URL],Q417)="",INDEX(SourceTable[SHA256],Q417)=""),"EVIDENCE INCOMPLETE",IF(AND('Input_Meci'!H40="LIVE",INDEX(SourceTable[Retrieved_UTC],Q417)&gt;'Input_Meci'!G40),"POST CUTOFF","CLOSED")))))))</x:f>
      </x:c>
      <x:c r="S417" s="2" t="n">
        <x:f>IF(OR(B417="",F417=""),0,COUNTIFS('Istoric_Nativ'!$B$6:$B$405,E417,'Istoric_Nativ'!$C$6:$C$405,F417,'Istoric_Nativ'!$E$6:$E$405,G417,'Istoric_Nativ'!$D$6:$D$405,"&lt;"&amp;J417,'Istoric_Nativ'!$O$6:$O$405,"INVALID")+COUNTIFS('Istoric_Nativ'!$B$6:$B$405,E417,'Istoric_Nativ'!$C$6:$C$405,F417,'Istoric_Nativ'!$E$6:$E$405,G417,'Istoric_Nativ'!$O$6:$O$405,"INVALID",'Istoric_Nativ'!$D$6:$D$405,"*")+COUNTIFS('Istoric_Nativ'!$B$6:$B$405,E417,'Istoric_Nativ'!$C$6:$C$405,F417,'Istoric_Nativ'!$E$6:$E$405,G417,'Istoric_Nativ'!$D$6:$D$405,"&lt;"&amp;J417,'Istoric_Nativ'!$O$6:$O$405,"SOURCE CONFLICT")+COUNTIFS('Istoric_Nativ'!$B$6:$B$405,E417,'Istoric_Nativ'!$C$6:$C$405,F417,'Istoric_Nativ'!$F$6:$F$405,G417,'Istoric_Nativ'!$D$6:$D$405,"&lt;"&amp;J417,'Istoric_Nativ'!$O$6:$O$405,"INVALID")+COUNTIFS('Istoric_Nativ'!$B$6:$B$405,E417,'Istoric_Nativ'!$C$6:$C$405,F417,'Istoric_Nativ'!$F$6:$F$405,G417,'Istoric_Nativ'!$O$6:$O$405,"INVALID",'Istoric_Nativ'!$D$6:$D$405,"*")+COUNTIFS('Istoric_Nativ'!$B$6:$B$405,E417,'Istoric_Nativ'!$C$6:$C$405,F417,'Istoric_Nativ'!$F$6:$F$405,G417,'Istoric_Nativ'!$D$6:$D$405,"&lt;"&amp;J417,'Istoric_Nativ'!$O$6:$O$405,"SOURCE CONFLICT"))</x:f>
        <x:v>0</x:v>
      </x:c>
      <x:c r="T417" s="2" t="str">
        <x:f>IF(B417="","",IF(R417&lt;&gt;"CLOSED",R417,IF(S417&gt;0,"NATIVE INPUT ISSUE",IF(M417=0,"NO HISTORY",IF(M417&lt;P417,"SMALL SAMPLE","DERIVED")))))</x:f>
      </x:c>
      <x:c r="U417" s="2" t="str">
        <x:f>IF(B417="","","NativeTable; "&amp;E417&amp;"; "&amp;F417&amp;"; "&amp;G417&amp;"; "&amp;H417&amp;"; before "&amp;TEXT(J417,"yyyy-mm-dd")&amp;IF(I417="RECENT","; from "&amp;TEXT(L417,"yyyy-mm-dd"),""))</x:f>
      </x:c>
    </x:row>
    <x:row r="418" ht="21" customHeight="1">
      <x:c r="A418" s="2" t="n">
        <x:v>35</x:v>
      </x:c>
      <x:c r="B418" s="2" t="str">
        <x:f>IF('Input_Meci'!A40="","",'Input_Meci'!A40)</x:f>
      </x:c>
      <x:c r="C418" s="2" t="str">
        <x:v>A</x:v>
      </x:c>
      <x:c r="D418" s="2" t="str">
        <x:v>CURRENT</x:v>
      </x:c>
      <x:c r="E418" s="2" t="str">
        <x:f>IF(B418="","",'Input_Meci'!B40)</x:f>
      </x:c>
      <x:c r="F418" s="2" t="str">
        <x:f>IF(B418="","",IF('Input_Meci'!C40="","",'Input_Meci'!C40))</x:f>
      </x:c>
      <x:c r="G418" s="2" t="str">
        <x:f>IF(B418="","",'Input_Meci'!E40)</x:f>
      </x:c>
      <x:c r="H418" s="2" t="str">
        <x:v>AWAY</x:v>
      </x:c>
      <x:c r="I418" s="2" t="str">
        <x:v>HA</x:v>
      </x:c>
      <x:c r="J418" s="9" t="n">
        <x:f>IF(AND(B418&lt;&gt;"",ISNUMBER('Input_Meci'!G40)),INT('Input_Meci'!G40),0)</x:f>
        <x:v>0</x:v>
      </x:c>
      <x:c r="K418" s="2" t="n">
        <x:f>IF(OR(B418="",F418=""),0,IF(H418="HOME",COUNTIFS('Istoric_Nativ'!$B$6:$B$405,E418,'Istoric_Nativ'!$C$6:$C$405,F418,'Istoric_Nativ'!$E$6:$E$405,G418,'Istoric_Nativ'!$D$6:$D$405,"&lt;"&amp;J418,'Istoric_Nativ'!$P$6:$P$405,1),IF(H418="AWAY",COUNTIFS('Istoric_Nativ'!$B$6:$B$405,E418,'Istoric_Nativ'!$C$6:$C$405,F418,'Istoric_Nativ'!$F$6:$F$405,G418,'Istoric_Nativ'!$D$6:$D$405,"&lt;"&amp;J418,'Istoric_Nativ'!$P$6:$P$405,1),COUNTIFS('Istoric_Nativ'!$B$6:$B$405,E418,'Istoric_Nativ'!$C$6:$C$405,F418,'Istoric_Nativ'!$E$6:$E$405,G418,'Istoric_Nativ'!$D$6:$D$405,"&lt;"&amp;J418,'Istoric_Nativ'!$P$6:$P$405,1)+COUNTIFS('Istoric_Nativ'!$B$6:$B$405,E418,'Istoric_Nativ'!$C$6:$C$405,F418,'Istoric_Nativ'!$F$6:$F$405,G418,'Istoric_Nativ'!$D$6:$D$405,"&lt;"&amp;J418,'Istoric_Nativ'!$P$6:$P$405,1))))</x:f>
        <x:v>0</x:v>
      </x:c>
      <x:c r="L418" s="17" t="n">
        <x:f>IF(AND(B418&lt;&gt;"",I418="RECENT",K418&gt;0),LARGE(_xlfn._xlws.FILTER('Istoric_Nativ'!$D$6:$D$405,('Istoric_Nativ'!$B$6:$B$405=E418)*('Istoric_Nativ'!$C$6:$C$405=F418)*('Istoric_Nativ'!$P$6:$P$405=1)*('Istoric_Nativ'!$D$6:$D$405&lt;J418)*((('Istoric_Nativ'!$E$6:$E$405=G418)+('Istoric_Nativ'!$F$6:$F$405=G418))&gt;0)),MIN('Config_v6'!$B$54,K418)),0)</x:f>
        <x:v>0</x:v>
      </x:c>
      <x:c r="M418" s="2" t="n">
        <x:f>IF(OR(B418="",F418=""),0,IF(H418="HOME",COUNTIFS('Istoric_Nativ'!$B$6:$B$405,E418,'Istoric_Nativ'!$C$6:$C$405,F418,'Istoric_Nativ'!$E$6:$E$405,G418,'Istoric_Nativ'!$D$6:$D$405,"&lt;"&amp;J418,'Istoric_Nativ'!$P$6:$P$405,1,'Istoric_Nativ'!$D$6:$D$405,"&gt;="&amp;L418),IF(H418="AWAY",COUNTIFS('Istoric_Nativ'!$B$6:$B$405,E418,'Istoric_Nativ'!$C$6:$C$405,F418,'Istoric_Nativ'!$F$6:$F$405,G418,'Istoric_Nativ'!$D$6:$D$405,"&lt;"&amp;J418,'Istoric_Nativ'!$P$6:$P$405,1,'Istoric_Nativ'!$D$6:$D$405,"&gt;="&amp;L418),COUNTIFS('Istoric_Nativ'!$B$6:$B$405,E418,'Istoric_Nativ'!$C$6:$C$405,F418,'Istoric_Nativ'!$E$6:$E$405,G418,'Istoric_Nativ'!$D$6:$D$405,"&lt;"&amp;J418,'Istoric_Nativ'!$P$6:$P$405,1,'Istoric_Nativ'!$D$6:$D$405,"&gt;="&amp;L418)+COUNTIFS('Istoric_Nativ'!$B$6:$B$405,E418,'Istoric_Nativ'!$C$6:$C$405,F418,'Istoric_Nativ'!$F$6:$F$405,G418,'Istoric_Nativ'!$D$6:$D$405,"&lt;"&amp;J418,'Istoric_Nativ'!$P$6:$P$405,1,'Istoric_Nativ'!$D$6:$D$405,"&gt;="&amp;L418))))</x:f>
        <x:v>0</x:v>
      </x:c>
      <x:c r="N418" s="11" t="str">
        <x:f>IF(M418=0,"",IF(H418="HOME",SUMIFS('Istoric_Nativ'!$G$6:$G$405,'Istoric_Nativ'!$B$6:$B$405,E418,'Istoric_Nativ'!$C$6:$C$405,F418,'Istoric_Nativ'!$E$6:$E$405,G418,'Istoric_Nativ'!$D$6:$D$405,"&lt;"&amp;J418,'Istoric_Nativ'!$P$6:$P$405,1,'Istoric_Nativ'!$D$6:$D$405,"&gt;="&amp;L418),IF(H418="AWAY",SUMIFS('Istoric_Nativ'!$H$6:$H$405,'Istoric_Nativ'!$B$6:$B$405,E418,'Istoric_Nativ'!$C$6:$C$405,F418,'Istoric_Nativ'!$F$6:$F$405,G418,'Istoric_Nativ'!$D$6:$D$405,"&lt;"&amp;J418,'Istoric_Nativ'!$P$6:$P$405,1,'Istoric_Nativ'!$D$6:$D$405,"&gt;="&amp;L418),SUMIFS('Istoric_Nativ'!$G$6:$G$405,'Istoric_Nativ'!$B$6:$B$405,E418,'Istoric_Nativ'!$C$6:$C$405,F418,'Istoric_Nativ'!$E$6:$E$405,G418,'Istoric_Nativ'!$D$6:$D$405,"&lt;"&amp;J418,'Istoric_Nativ'!$P$6:$P$405,1,'Istoric_Nativ'!$D$6:$D$405,"&gt;="&amp;L418)+SUMIFS('Istoric_Nativ'!$H$6:$H$405,'Istoric_Nativ'!$B$6:$B$405,E418,'Istoric_Nativ'!$C$6:$C$405,F418,'Istoric_Nativ'!$F$6:$F$405,G418,'Istoric_Nativ'!$D$6:$D$405,"&lt;"&amp;J418,'Istoric_Nativ'!$P$6:$P$405,1,'Istoric_Nativ'!$D$6:$D$405,"&gt;="&amp;L418)))/M418)</x:f>
      </x:c>
      <x:c r="O418" s="11" t="str">
        <x:f>IF(M418=0,"",IF(H418="HOME",SUMIFS('Istoric_Nativ'!$H$6:$H$405,'Istoric_Nativ'!$B$6:$B$405,E418,'Istoric_Nativ'!$C$6:$C$405,F418,'Istoric_Nativ'!$E$6:$E$405,G418,'Istoric_Nativ'!$D$6:$D$405,"&lt;"&amp;J418,'Istoric_Nativ'!$P$6:$P$405,1,'Istoric_Nativ'!$D$6:$D$405,"&gt;="&amp;L418),IF(H418="AWAY",SUMIFS('Istoric_Nativ'!$G$6:$G$405,'Istoric_Nativ'!$B$6:$B$405,E418,'Istoric_Nativ'!$C$6:$C$405,F418,'Istoric_Nativ'!$F$6:$F$405,G418,'Istoric_Nativ'!$D$6:$D$405,"&lt;"&amp;J418,'Istoric_Nativ'!$P$6:$P$405,1,'Istoric_Nativ'!$D$6:$D$405,"&gt;="&amp;L418),SUMIFS('Istoric_Nativ'!$H$6:$H$405,'Istoric_Nativ'!$B$6:$B$405,E418,'Istoric_Nativ'!$C$6:$C$405,F418,'Istoric_Nativ'!$E$6:$E$405,G418,'Istoric_Nativ'!$D$6:$D$405,"&lt;"&amp;J418,'Istoric_Nativ'!$P$6:$P$405,1,'Istoric_Nativ'!$D$6:$D$405,"&gt;="&amp;L418)+SUMIFS('Istoric_Nativ'!$G$6:$G$405,'Istoric_Nativ'!$B$6:$B$405,E418,'Istoric_Nativ'!$C$6:$C$405,F418,'Istoric_Nativ'!$F$6:$F$405,G418,'Istoric_Nativ'!$D$6:$D$405,"&lt;"&amp;J418,'Istoric_Nativ'!$P$6:$P$405,1,'Istoric_Nativ'!$D$6:$D$405,"&gt;="&amp;L418)))/M418)</x:f>
      </x:c>
      <x:c r="P418" s="2" t="n">
        <x:f>'Config_v6'!$B$8</x:f>
        <x:v>5</x:v>
      </x:c>
      <x:c r="Q418" s="2" t="n">
        <x:f>IF(OR(B418="",F418=""),0,IFERROR(MATCH(E418&amp;"|"&amp;F418,SourceTable[Source_Key],0),0))</x:f>
        <x:v>0</x:v>
      </x:c>
      <x:c r="R418" s="2" t="str">
        <x:f>IF(B418="","",IF(F418="","UNUSED",IF(Q418=0,"NOT CHECKED",IF(COUNTIF(SourceTable[Source_Key],E418&amp;"|"&amp;F418)&lt;&gt;1,"SOURCE CONFLICT",IF(NOT(OR(INDEX(SourceTable[Status],MAX(1,Q418))="IMPORTED",INDEX(SourceTable[Status],MAX(1,Q418))="PARTIAL",INDEX(SourceTable[Status],MAX(1,Q418))="SOURCE CONFLICT")),"ACCESS BLOCKED",IF(OR(INDEX(SourceTable[Coverage],Q418)&lt;&gt;"FULL SEASON EXPORT",INDEX(SourceTable[URL],Q418)="",INDEX(SourceTable[SHA256],Q418)=""),"EVIDENCE INCOMPLETE",IF(AND('Input_Meci'!H40="LIVE",INDEX(SourceTable[Retrieved_UTC],Q418)&gt;'Input_Meci'!G40),"POST CUTOFF","CLOSED")))))))</x:f>
      </x:c>
      <x:c r="S418" s="2" t="n">
        <x:f>IF(OR(B418="",F418=""),0,COUNTIFS('Istoric_Nativ'!$B$6:$B$405,E418,'Istoric_Nativ'!$C$6:$C$405,F418,'Istoric_Nativ'!$E$6:$E$405,G418,'Istoric_Nativ'!$D$6:$D$405,"&lt;"&amp;J418,'Istoric_Nativ'!$O$6:$O$405,"INVALID")+COUNTIFS('Istoric_Nativ'!$B$6:$B$405,E418,'Istoric_Nativ'!$C$6:$C$405,F418,'Istoric_Nativ'!$E$6:$E$405,G418,'Istoric_Nativ'!$O$6:$O$405,"INVALID",'Istoric_Nativ'!$D$6:$D$405,"*")+COUNTIFS('Istoric_Nativ'!$B$6:$B$405,E418,'Istoric_Nativ'!$C$6:$C$405,F418,'Istoric_Nativ'!$E$6:$E$405,G418,'Istoric_Nativ'!$D$6:$D$405,"&lt;"&amp;J418,'Istoric_Nativ'!$O$6:$O$405,"SOURCE CONFLICT")+COUNTIFS('Istoric_Nativ'!$B$6:$B$405,E418,'Istoric_Nativ'!$C$6:$C$405,F418,'Istoric_Nativ'!$F$6:$F$405,G418,'Istoric_Nativ'!$D$6:$D$405,"&lt;"&amp;J418,'Istoric_Nativ'!$O$6:$O$405,"INVALID")+COUNTIFS('Istoric_Nativ'!$B$6:$B$405,E418,'Istoric_Nativ'!$C$6:$C$405,F418,'Istoric_Nativ'!$F$6:$F$405,G418,'Istoric_Nativ'!$O$6:$O$405,"INVALID",'Istoric_Nativ'!$D$6:$D$405,"*")+COUNTIFS('Istoric_Nativ'!$B$6:$B$405,E418,'Istoric_Nativ'!$C$6:$C$405,F418,'Istoric_Nativ'!$F$6:$F$405,G418,'Istoric_Nativ'!$D$6:$D$405,"&lt;"&amp;J418,'Istoric_Nativ'!$O$6:$O$405,"SOURCE CONFLICT"))</x:f>
        <x:v>0</x:v>
      </x:c>
      <x:c r="T418" s="2" t="str">
        <x:f>IF(B418="","",IF(R418&lt;&gt;"CLOSED",R418,IF(S418&gt;0,"NATIVE INPUT ISSUE",IF(M418=0,"NO HISTORY",IF(M418&lt;P418,"SMALL SAMPLE","DERIVED")))))</x:f>
      </x:c>
      <x:c r="U418" s="2" t="str">
        <x:f>IF(B418="","","NativeTable; "&amp;E418&amp;"; "&amp;F418&amp;"; "&amp;G418&amp;"; "&amp;H418&amp;"; before "&amp;TEXT(J418,"yyyy-mm-dd")&amp;IF(I418="RECENT","; from "&amp;TEXT(L418,"yyyy-mm-dd"),""))</x:f>
      </x:c>
    </x:row>
    <x:row r="419" ht="21" customHeight="1">
      <x:c r="A419" s="2" t="n">
        <x:v>35</x:v>
      </x:c>
      <x:c r="B419" s="2" t="str">
        <x:f>IF('Input_Meci'!A40="","",'Input_Meci'!A40)</x:f>
      </x:c>
      <x:c r="C419" s="2" t="str">
        <x:v>A</x:v>
      </x:c>
      <x:c r="D419" s="2" t="str">
        <x:v>CURRENT</x:v>
      </x:c>
      <x:c r="E419" s="2" t="str">
        <x:f>IF(B419="","",'Input_Meci'!B40)</x:f>
      </x:c>
      <x:c r="F419" s="2" t="str">
        <x:f>IF(B419="","",IF('Input_Meci'!C40="","",'Input_Meci'!C40))</x:f>
      </x:c>
      <x:c r="G419" s="2" t="str">
        <x:f>IF(B419="","",'Input_Meci'!E40)</x:f>
      </x:c>
      <x:c r="H419" s="2" t="str">
        <x:v>ANY</x:v>
      </x:c>
      <x:c r="I419" s="2" t="str">
        <x:v>RECENT</x:v>
      </x:c>
      <x:c r="J419" s="9" t="n">
        <x:f>IF(AND(B419&lt;&gt;"",ISNUMBER('Input_Meci'!G40)),INT('Input_Meci'!G40),0)</x:f>
        <x:v>0</x:v>
      </x:c>
      <x:c r="K419" s="2" t="n">
        <x:f>IF(OR(B419="",F419=""),0,IF(H419="HOME",COUNTIFS('Istoric_Nativ'!$B$6:$B$405,E419,'Istoric_Nativ'!$C$6:$C$405,F419,'Istoric_Nativ'!$E$6:$E$405,G419,'Istoric_Nativ'!$D$6:$D$405,"&lt;"&amp;J419,'Istoric_Nativ'!$P$6:$P$405,1),IF(H419="AWAY",COUNTIFS('Istoric_Nativ'!$B$6:$B$405,E419,'Istoric_Nativ'!$C$6:$C$405,F419,'Istoric_Nativ'!$F$6:$F$405,G419,'Istoric_Nativ'!$D$6:$D$405,"&lt;"&amp;J419,'Istoric_Nativ'!$P$6:$P$405,1),COUNTIFS('Istoric_Nativ'!$B$6:$B$405,E419,'Istoric_Nativ'!$C$6:$C$405,F419,'Istoric_Nativ'!$E$6:$E$405,G419,'Istoric_Nativ'!$D$6:$D$405,"&lt;"&amp;J419,'Istoric_Nativ'!$P$6:$P$405,1)+COUNTIFS('Istoric_Nativ'!$B$6:$B$405,E419,'Istoric_Nativ'!$C$6:$C$405,F419,'Istoric_Nativ'!$F$6:$F$405,G419,'Istoric_Nativ'!$D$6:$D$405,"&lt;"&amp;J419,'Istoric_Nativ'!$P$6:$P$405,1))))</x:f>
        <x:v>0</x:v>
      </x:c>
      <x:c r="L419" s="17" t="n">
        <x:f>IF(AND(B419&lt;&gt;"",I419="RECENT",K419&gt;0),LARGE(_xlfn._xlws.FILTER('Istoric_Nativ'!$D$6:$D$405,('Istoric_Nativ'!$B$6:$B$405=E419)*('Istoric_Nativ'!$C$6:$C$405=F419)*('Istoric_Nativ'!$P$6:$P$405=1)*('Istoric_Nativ'!$D$6:$D$405&lt;J419)*((('Istoric_Nativ'!$E$6:$E$405=G419)+('Istoric_Nativ'!$F$6:$F$405=G419))&gt;0)),MIN('Config_v6'!$B$54,K419)),0)</x:f>
        <x:v>0</x:v>
      </x:c>
      <x:c r="M419" s="2" t="n">
        <x:f>IF(OR(B419="",F419=""),0,IF(H419="HOME",COUNTIFS('Istoric_Nativ'!$B$6:$B$405,E419,'Istoric_Nativ'!$C$6:$C$405,F419,'Istoric_Nativ'!$E$6:$E$405,G419,'Istoric_Nativ'!$D$6:$D$405,"&lt;"&amp;J419,'Istoric_Nativ'!$P$6:$P$405,1,'Istoric_Nativ'!$D$6:$D$405,"&gt;="&amp;L419),IF(H419="AWAY",COUNTIFS('Istoric_Nativ'!$B$6:$B$405,E419,'Istoric_Nativ'!$C$6:$C$405,F419,'Istoric_Nativ'!$F$6:$F$405,G419,'Istoric_Nativ'!$D$6:$D$405,"&lt;"&amp;J419,'Istoric_Nativ'!$P$6:$P$405,1,'Istoric_Nativ'!$D$6:$D$405,"&gt;="&amp;L419),COUNTIFS('Istoric_Nativ'!$B$6:$B$405,E419,'Istoric_Nativ'!$C$6:$C$405,F419,'Istoric_Nativ'!$E$6:$E$405,G419,'Istoric_Nativ'!$D$6:$D$405,"&lt;"&amp;J419,'Istoric_Nativ'!$P$6:$P$405,1,'Istoric_Nativ'!$D$6:$D$405,"&gt;="&amp;L419)+COUNTIFS('Istoric_Nativ'!$B$6:$B$405,E419,'Istoric_Nativ'!$C$6:$C$405,F419,'Istoric_Nativ'!$F$6:$F$405,G419,'Istoric_Nativ'!$D$6:$D$405,"&lt;"&amp;J419,'Istoric_Nativ'!$P$6:$P$405,1,'Istoric_Nativ'!$D$6:$D$405,"&gt;="&amp;L419))))</x:f>
        <x:v>0</x:v>
      </x:c>
      <x:c r="N419" s="11" t="str">
        <x:f>IF(M419=0,"",IF(H419="HOME",SUMIFS('Istoric_Nativ'!$G$6:$G$405,'Istoric_Nativ'!$B$6:$B$405,E419,'Istoric_Nativ'!$C$6:$C$405,F419,'Istoric_Nativ'!$E$6:$E$405,G419,'Istoric_Nativ'!$D$6:$D$405,"&lt;"&amp;J419,'Istoric_Nativ'!$P$6:$P$405,1,'Istoric_Nativ'!$D$6:$D$405,"&gt;="&amp;L419),IF(H419="AWAY",SUMIFS('Istoric_Nativ'!$H$6:$H$405,'Istoric_Nativ'!$B$6:$B$405,E419,'Istoric_Nativ'!$C$6:$C$405,F419,'Istoric_Nativ'!$F$6:$F$405,G419,'Istoric_Nativ'!$D$6:$D$405,"&lt;"&amp;J419,'Istoric_Nativ'!$P$6:$P$405,1,'Istoric_Nativ'!$D$6:$D$405,"&gt;="&amp;L419),SUMIFS('Istoric_Nativ'!$G$6:$G$405,'Istoric_Nativ'!$B$6:$B$405,E419,'Istoric_Nativ'!$C$6:$C$405,F419,'Istoric_Nativ'!$E$6:$E$405,G419,'Istoric_Nativ'!$D$6:$D$405,"&lt;"&amp;J419,'Istoric_Nativ'!$P$6:$P$405,1,'Istoric_Nativ'!$D$6:$D$405,"&gt;="&amp;L419)+SUMIFS('Istoric_Nativ'!$H$6:$H$405,'Istoric_Nativ'!$B$6:$B$405,E419,'Istoric_Nativ'!$C$6:$C$405,F419,'Istoric_Nativ'!$F$6:$F$405,G419,'Istoric_Nativ'!$D$6:$D$405,"&lt;"&amp;J419,'Istoric_Nativ'!$P$6:$P$405,1,'Istoric_Nativ'!$D$6:$D$405,"&gt;="&amp;L419)))/M419)</x:f>
      </x:c>
      <x:c r="O419" s="11" t="str">
        <x:f>IF(M419=0,"",IF(H419="HOME",SUMIFS('Istoric_Nativ'!$H$6:$H$405,'Istoric_Nativ'!$B$6:$B$405,E419,'Istoric_Nativ'!$C$6:$C$405,F419,'Istoric_Nativ'!$E$6:$E$405,G419,'Istoric_Nativ'!$D$6:$D$405,"&lt;"&amp;J419,'Istoric_Nativ'!$P$6:$P$405,1,'Istoric_Nativ'!$D$6:$D$405,"&gt;="&amp;L419),IF(H419="AWAY",SUMIFS('Istoric_Nativ'!$G$6:$G$405,'Istoric_Nativ'!$B$6:$B$405,E419,'Istoric_Nativ'!$C$6:$C$405,F419,'Istoric_Nativ'!$F$6:$F$405,G419,'Istoric_Nativ'!$D$6:$D$405,"&lt;"&amp;J419,'Istoric_Nativ'!$P$6:$P$405,1,'Istoric_Nativ'!$D$6:$D$405,"&gt;="&amp;L419),SUMIFS('Istoric_Nativ'!$H$6:$H$405,'Istoric_Nativ'!$B$6:$B$405,E419,'Istoric_Nativ'!$C$6:$C$405,F419,'Istoric_Nativ'!$E$6:$E$405,G419,'Istoric_Nativ'!$D$6:$D$405,"&lt;"&amp;J419,'Istoric_Nativ'!$P$6:$P$405,1,'Istoric_Nativ'!$D$6:$D$405,"&gt;="&amp;L419)+SUMIFS('Istoric_Nativ'!$G$6:$G$405,'Istoric_Nativ'!$B$6:$B$405,E419,'Istoric_Nativ'!$C$6:$C$405,F419,'Istoric_Nativ'!$F$6:$F$405,G419,'Istoric_Nativ'!$D$6:$D$405,"&lt;"&amp;J419,'Istoric_Nativ'!$P$6:$P$405,1,'Istoric_Nativ'!$D$6:$D$405,"&gt;="&amp;L419)))/M419)</x:f>
      </x:c>
      <x:c r="P419" s="2" t="n">
        <x:f>'Config_v6'!$B$9</x:f>
        <x:v>3</x:v>
      </x:c>
      <x:c r="Q419" s="2" t="n">
        <x:f>IF(OR(B419="",F419=""),0,IFERROR(MATCH(E419&amp;"|"&amp;F419,SourceTable[Source_Key],0),0))</x:f>
        <x:v>0</x:v>
      </x:c>
      <x:c r="R419" s="2" t="str">
        <x:f>IF(B419="","",IF(F419="","UNUSED",IF(Q419=0,"NOT CHECKED",IF(COUNTIF(SourceTable[Source_Key],E419&amp;"|"&amp;F419)&lt;&gt;1,"SOURCE CONFLICT",IF(NOT(OR(INDEX(SourceTable[Status],MAX(1,Q419))="IMPORTED",INDEX(SourceTable[Status],MAX(1,Q419))="PARTIAL",INDEX(SourceTable[Status],MAX(1,Q419))="SOURCE CONFLICT")),"ACCESS BLOCKED",IF(OR(INDEX(SourceTable[Coverage],Q419)&lt;&gt;"FULL SEASON EXPORT",INDEX(SourceTable[URL],Q419)="",INDEX(SourceTable[SHA256],Q419)=""),"EVIDENCE INCOMPLETE",IF(AND('Input_Meci'!H40="LIVE",INDEX(SourceTable[Retrieved_UTC],Q419)&gt;'Input_Meci'!G40),"POST CUTOFF","CLOSED")))))))</x:f>
      </x:c>
      <x:c r="S419" s="2" t="n">
        <x:f>IF(OR(B419="",F419=""),0,COUNTIFS('Istoric_Nativ'!$B$6:$B$405,E419,'Istoric_Nativ'!$C$6:$C$405,F419,'Istoric_Nativ'!$E$6:$E$405,G419,'Istoric_Nativ'!$D$6:$D$405,"&lt;"&amp;J419,'Istoric_Nativ'!$O$6:$O$405,"INVALID")+COUNTIFS('Istoric_Nativ'!$B$6:$B$405,E419,'Istoric_Nativ'!$C$6:$C$405,F419,'Istoric_Nativ'!$E$6:$E$405,G419,'Istoric_Nativ'!$O$6:$O$405,"INVALID",'Istoric_Nativ'!$D$6:$D$405,"*")+COUNTIFS('Istoric_Nativ'!$B$6:$B$405,E419,'Istoric_Nativ'!$C$6:$C$405,F419,'Istoric_Nativ'!$E$6:$E$405,G419,'Istoric_Nativ'!$D$6:$D$405,"&lt;"&amp;J419,'Istoric_Nativ'!$O$6:$O$405,"SOURCE CONFLICT")+COUNTIFS('Istoric_Nativ'!$B$6:$B$405,E419,'Istoric_Nativ'!$C$6:$C$405,F419,'Istoric_Nativ'!$F$6:$F$405,G419,'Istoric_Nativ'!$D$6:$D$405,"&lt;"&amp;J419,'Istoric_Nativ'!$O$6:$O$405,"INVALID")+COUNTIFS('Istoric_Nativ'!$B$6:$B$405,E419,'Istoric_Nativ'!$C$6:$C$405,F419,'Istoric_Nativ'!$F$6:$F$405,G419,'Istoric_Nativ'!$O$6:$O$405,"INVALID",'Istoric_Nativ'!$D$6:$D$405,"*")+COUNTIFS('Istoric_Nativ'!$B$6:$B$405,E419,'Istoric_Nativ'!$C$6:$C$405,F419,'Istoric_Nativ'!$F$6:$F$405,G419,'Istoric_Nativ'!$D$6:$D$405,"&lt;"&amp;J419,'Istoric_Nativ'!$O$6:$O$405,"SOURCE CONFLICT"))</x:f>
        <x:v>0</x:v>
      </x:c>
      <x:c r="T419" s="2" t="str">
        <x:f>IF(B419="","",IF(R419&lt;&gt;"CLOSED",R419,IF(S419&gt;0,"NATIVE INPUT ISSUE",IF(M419=0,"NO HISTORY",IF(M419&lt;P419,"SMALL SAMPLE","DERIVED")))))</x:f>
      </x:c>
      <x:c r="U419" s="2" t="str">
        <x:f>IF(B419="","","NativeTable; "&amp;E419&amp;"; "&amp;F419&amp;"; "&amp;G419&amp;"; "&amp;H419&amp;"; before "&amp;TEXT(J419,"yyyy-mm-dd")&amp;IF(I419="RECENT","; from "&amp;TEXT(L419,"yyyy-mm-dd"),""))</x:f>
      </x:c>
    </x:row>
    <x:row r="420" ht="21" customHeight="1">
      <x:c r="A420" s="2" t="n">
        <x:v>35</x:v>
      </x:c>
      <x:c r="B420" s="2" t="str">
        <x:f>IF('Input_Meci'!A40="","",'Input_Meci'!A40)</x:f>
      </x:c>
      <x:c r="C420" s="2" t="str">
        <x:v>H</x:v>
      </x:c>
      <x:c r="D420" s="2" t="str">
        <x:v>PRIOR</x:v>
      </x:c>
      <x:c r="E420" s="2" t="str">
        <x:f>IF(B420="","",'Input_Meci'!B40)</x:f>
      </x:c>
      <x:c r="F420" s="2" t="str">
        <x:f>IF(B420="","",IF('Input_Meci'!K40="","",'Input_Meci'!K40))</x:f>
      </x:c>
      <x:c r="G420" s="2" t="str">
        <x:f>IF(B420="","",'Input_Meci'!D40)</x:f>
      </x:c>
      <x:c r="H420" s="2" t="str">
        <x:v>ANY</x:v>
      </x:c>
      <x:c r="I420" s="2" t="str">
        <x:v>SEASON</x:v>
      </x:c>
      <x:c r="J420" s="9" t="n">
        <x:f>IF(AND(B420&lt;&gt;"",ISNUMBER('Input_Meci'!G40)),INT('Input_Meci'!G40),0)</x:f>
        <x:v>0</x:v>
      </x:c>
      <x:c r="K420" s="2" t="n">
        <x:f>IF(OR(B420="",F420=""),0,IF(H420="HOME",COUNTIFS('Istoric_Nativ'!$B$6:$B$405,E420,'Istoric_Nativ'!$C$6:$C$405,F420,'Istoric_Nativ'!$E$6:$E$405,G420,'Istoric_Nativ'!$D$6:$D$405,"&lt;"&amp;J420,'Istoric_Nativ'!$P$6:$P$405,1),IF(H420="AWAY",COUNTIFS('Istoric_Nativ'!$B$6:$B$405,E420,'Istoric_Nativ'!$C$6:$C$405,F420,'Istoric_Nativ'!$F$6:$F$405,G420,'Istoric_Nativ'!$D$6:$D$405,"&lt;"&amp;J420,'Istoric_Nativ'!$P$6:$P$405,1),COUNTIFS('Istoric_Nativ'!$B$6:$B$405,E420,'Istoric_Nativ'!$C$6:$C$405,F420,'Istoric_Nativ'!$E$6:$E$405,G420,'Istoric_Nativ'!$D$6:$D$405,"&lt;"&amp;J420,'Istoric_Nativ'!$P$6:$P$405,1)+COUNTIFS('Istoric_Nativ'!$B$6:$B$405,E420,'Istoric_Nativ'!$C$6:$C$405,F420,'Istoric_Nativ'!$F$6:$F$405,G420,'Istoric_Nativ'!$D$6:$D$405,"&lt;"&amp;J420,'Istoric_Nativ'!$P$6:$P$405,1))))</x:f>
        <x:v>0</x:v>
      </x:c>
      <x:c r="L420" s="17" t="n">
        <x:f>IF(AND(B420&lt;&gt;"",I420="RECENT",K420&gt;0),LARGE(_xlfn._xlws.FILTER('Istoric_Nativ'!$D$6:$D$405,('Istoric_Nativ'!$B$6:$B$405=E420)*('Istoric_Nativ'!$C$6:$C$405=F420)*('Istoric_Nativ'!$P$6:$P$405=1)*('Istoric_Nativ'!$D$6:$D$405&lt;J420)*((('Istoric_Nativ'!$E$6:$E$405=G420)+('Istoric_Nativ'!$F$6:$F$405=G420))&gt;0)),MIN('Config_v6'!$B$54,K420)),0)</x:f>
        <x:v>0</x:v>
      </x:c>
      <x:c r="M420" s="2" t="n">
        <x:f>IF(OR(B420="",F420=""),0,IF(H420="HOME",COUNTIFS('Istoric_Nativ'!$B$6:$B$405,E420,'Istoric_Nativ'!$C$6:$C$405,F420,'Istoric_Nativ'!$E$6:$E$405,G420,'Istoric_Nativ'!$D$6:$D$405,"&lt;"&amp;J420,'Istoric_Nativ'!$P$6:$P$405,1,'Istoric_Nativ'!$D$6:$D$405,"&gt;="&amp;L420),IF(H420="AWAY",COUNTIFS('Istoric_Nativ'!$B$6:$B$405,E420,'Istoric_Nativ'!$C$6:$C$405,F420,'Istoric_Nativ'!$F$6:$F$405,G420,'Istoric_Nativ'!$D$6:$D$405,"&lt;"&amp;J420,'Istoric_Nativ'!$P$6:$P$405,1,'Istoric_Nativ'!$D$6:$D$405,"&gt;="&amp;L420),COUNTIFS('Istoric_Nativ'!$B$6:$B$405,E420,'Istoric_Nativ'!$C$6:$C$405,F420,'Istoric_Nativ'!$E$6:$E$405,G420,'Istoric_Nativ'!$D$6:$D$405,"&lt;"&amp;J420,'Istoric_Nativ'!$P$6:$P$405,1,'Istoric_Nativ'!$D$6:$D$405,"&gt;="&amp;L420)+COUNTIFS('Istoric_Nativ'!$B$6:$B$405,E420,'Istoric_Nativ'!$C$6:$C$405,F420,'Istoric_Nativ'!$F$6:$F$405,G420,'Istoric_Nativ'!$D$6:$D$405,"&lt;"&amp;J420,'Istoric_Nativ'!$P$6:$P$405,1,'Istoric_Nativ'!$D$6:$D$405,"&gt;="&amp;L420))))</x:f>
        <x:v>0</x:v>
      </x:c>
      <x:c r="N420" s="11" t="str">
        <x:f>IF(M420=0,"",IF(H420="HOME",SUMIFS('Istoric_Nativ'!$G$6:$G$405,'Istoric_Nativ'!$B$6:$B$405,E420,'Istoric_Nativ'!$C$6:$C$405,F420,'Istoric_Nativ'!$E$6:$E$405,G420,'Istoric_Nativ'!$D$6:$D$405,"&lt;"&amp;J420,'Istoric_Nativ'!$P$6:$P$405,1,'Istoric_Nativ'!$D$6:$D$405,"&gt;="&amp;L420),IF(H420="AWAY",SUMIFS('Istoric_Nativ'!$H$6:$H$405,'Istoric_Nativ'!$B$6:$B$405,E420,'Istoric_Nativ'!$C$6:$C$405,F420,'Istoric_Nativ'!$F$6:$F$405,G420,'Istoric_Nativ'!$D$6:$D$405,"&lt;"&amp;J420,'Istoric_Nativ'!$P$6:$P$405,1,'Istoric_Nativ'!$D$6:$D$405,"&gt;="&amp;L420),SUMIFS('Istoric_Nativ'!$G$6:$G$405,'Istoric_Nativ'!$B$6:$B$405,E420,'Istoric_Nativ'!$C$6:$C$405,F420,'Istoric_Nativ'!$E$6:$E$405,G420,'Istoric_Nativ'!$D$6:$D$405,"&lt;"&amp;J420,'Istoric_Nativ'!$P$6:$P$405,1,'Istoric_Nativ'!$D$6:$D$405,"&gt;="&amp;L420)+SUMIFS('Istoric_Nativ'!$H$6:$H$405,'Istoric_Nativ'!$B$6:$B$405,E420,'Istoric_Nativ'!$C$6:$C$405,F420,'Istoric_Nativ'!$F$6:$F$405,G420,'Istoric_Nativ'!$D$6:$D$405,"&lt;"&amp;J420,'Istoric_Nativ'!$P$6:$P$405,1,'Istoric_Nativ'!$D$6:$D$405,"&gt;="&amp;L420)))/M420)</x:f>
      </x:c>
      <x:c r="O420" s="11" t="str">
        <x:f>IF(M420=0,"",IF(H420="HOME",SUMIFS('Istoric_Nativ'!$H$6:$H$405,'Istoric_Nativ'!$B$6:$B$405,E420,'Istoric_Nativ'!$C$6:$C$405,F420,'Istoric_Nativ'!$E$6:$E$405,G420,'Istoric_Nativ'!$D$6:$D$405,"&lt;"&amp;J420,'Istoric_Nativ'!$P$6:$P$405,1,'Istoric_Nativ'!$D$6:$D$405,"&gt;="&amp;L420),IF(H420="AWAY",SUMIFS('Istoric_Nativ'!$G$6:$G$405,'Istoric_Nativ'!$B$6:$B$405,E420,'Istoric_Nativ'!$C$6:$C$405,F420,'Istoric_Nativ'!$F$6:$F$405,G420,'Istoric_Nativ'!$D$6:$D$405,"&lt;"&amp;J420,'Istoric_Nativ'!$P$6:$P$405,1,'Istoric_Nativ'!$D$6:$D$405,"&gt;="&amp;L420),SUMIFS('Istoric_Nativ'!$H$6:$H$405,'Istoric_Nativ'!$B$6:$B$405,E420,'Istoric_Nativ'!$C$6:$C$405,F420,'Istoric_Nativ'!$E$6:$E$405,G420,'Istoric_Nativ'!$D$6:$D$405,"&lt;"&amp;J420,'Istoric_Nativ'!$P$6:$P$405,1,'Istoric_Nativ'!$D$6:$D$405,"&gt;="&amp;L420)+SUMIFS('Istoric_Nativ'!$G$6:$G$405,'Istoric_Nativ'!$B$6:$B$405,E420,'Istoric_Nativ'!$C$6:$C$405,F420,'Istoric_Nativ'!$F$6:$F$405,G420,'Istoric_Nativ'!$D$6:$D$405,"&lt;"&amp;J420,'Istoric_Nativ'!$P$6:$P$405,1,'Istoric_Nativ'!$D$6:$D$405,"&gt;="&amp;L420)))/M420)</x:f>
      </x:c>
      <x:c r="P420" s="2" t="n">
        <x:f>'Config_v6'!$B$7</x:f>
        <x:v>10</x:v>
      </x:c>
      <x:c r="Q420" s="2" t="n">
        <x:f>IF(OR(B420="",F420=""),0,IFERROR(MATCH(E420&amp;"|"&amp;F420,SourceTable[Source_Key],0),0))</x:f>
        <x:v>0</x:v>
      </x:c>
      <x:c r="R420" s="2" t="str">
        <x:f>IF(B420="","",IF(F420="","UNUSED",IF(Q420=0,"NOT CHECKED",IF(COUNTIF(SourceTable[Source_Key],E420&amp;"|"&amp;F420)&lt;&gt;1,"SOURCE CONFLICT",IF(NOT(OR(INDEX(SourceTable[Status],MAX(1,Q420))="IMPORTED",INDEX(SourceTable[Status],MAX(1,Q420))="PARTIAL",INDEX(SourceTable[Status],MAX(1,Q420))="SOURCE CONFLICT")),"ACCESS BLOCKED",IF(OR(INDEX(SourceTable[Coverage],Q420)&lt;&gt;"FULL SEASON EXPORT",INDEX(SourceTable[URL],Q420)="",INDEX(SourceTable[SHA256],Q420)=""),"EVIDENCE INCOMPLETE",IF(AND('Input_Meci'!H40="LIVE",INDEX(SourceTable[Retrieved_UTC],Q420)&gt;'Input_Meci'!G40),"POST CUTOFF","CLOSED")))))))</x:f>
      </x:c>
      <x:c r="S420" s="2" t="n">
        <x:f>IF(OR(B420="",F420=""),0,COUNTIFS('Istoric_Nativ'!$B$6:$B$405,E420,'Istoric_Nativ'!$C$6:$C$405,F420,'Istoric_Nativ'!$E$6:$E$405,G420,'Istoric_Nativ'!$D$6:$D$405,"&lt;"&amp;J420,'Istoric_Nativ'!$O$6:$O$405,"INVALID")+COUNTIFS('Istoric_Nativ'!$B$6:$B$405,E420,'Istoric_Nativ'!$C$6:$C$405,F420,'Istoric_Nativ'!$E$6:$E$405,G420,'Istoric_Nativ'!$O$6:$O$405,"INVALID",'Istoric_Nativ'!$D$6:$D$405,"*")+COUNTIFS('Istoric_Nativ'!$B$6:$B$405,E420,'Istoric_Nativ'!$C$6:$C$405,F420,'Istoric_Nativ'!$E$6:$E$405,G420,'Istoric_Nativ'!$D$6:$D$405,"&lt;"&amp;J420,'Istoric_Nativ'!$O$6:$O$405,"SOURCE CONFLICT")+COUNTIFS('Istoric_Nativ'!$B$6:$B$405,E420,'Istoric_Nativ'!$C$6:$C$405,F420,'Istoric_Nativ'!$F$6:$F$405,G420,'Istoric_Nativ'!$D$6:$D$405,"&lt;"&amp;J420,'Istoric_Nativ'!$O$6:$O$405,"INVALID")+COUNTIFS('Istoric_Nativ'!$B$6:$B$405,E420,'Istoric_Nativ'!$C$6:$C$405,F420,'Istoric_Nativ'!$F$6:$F$405,G420,'Istoric_Nativ'!$O$6:$O$405,"INVALID",'Istoric_Nativ'!$D$6:$D$405,"*")+COUNTIFS('Istoric_Nativ'!$B$6:$B$405,E420,'Istoric_Nativ'!$C$6:$C$405,F420,'Istoric_Nativ'!$F$6:$F$405,G420,'Istoric_Nativ'!$D$6:$D$405,"&lt;"&amp;J420,'Istoric_Nativ'!$O$6:$O$405,"SOURCE CONFLICT"))</x:f>
        <x:v>0</x:v>
      </x:c>
      <x:c r="T420" s="2" t="str">
        <x:f>IF(B420="","",IF(R420&lt;&gt;"CLOSED",R420,IF(S420&gt;0,"NATIVE INPUT ISSUE",IF(M420=0,"NO HISTORY",IF(M420&lt;P420,"SMALL SAMPLE","DERIVED")))))</x:f>
      </x:c>
      <x:c r="U420" s="2" t="str">
        <x:f>IF(B420="","","NativeTable; "&amp;E420&amp;"; "&amp;F420&amp;"; "&amp;G420&amp;"; "&amp;H420&amp;"; before "&amp;TEXT(J420,"yyyy-mm-dd")&amp;IF(I420="RECENT","; from "&amp;TEXT(L420,"yyyy-mm-dd"),""))</x:f>
      </x:c>
    </x:row>
    <x:row r="421" ht="21" customHeight="1">
      <x:c r="A421" s="2" t="n">
        <x:v>35</x:v>
      </x:c>
      <x:c r="B421" s="2" t="str">
        <x:f>IF('Input_Meci'!A40="","",'Input_Meci'!A40)</x:f>
      </x:c>
      <x:c r="C421" s="2" t="str">
        <x:v>H</x:v>
      </x:c>
      <x:c r="D421" s="2" t="str">
        <x:v>PRIOR</x:v>
      </x:c>
      <x:c r="E421" s="2" t="str">
        <x:f>IF(B421="","",'Input_Meci'!B40)</x:f>
      </x:c>
      <x:c r="F421" s="2" t="str">
        <x:f>IF(B421="","",IF('Input_Meci'!K40="","",'Input_Meci'!K40))</x:f>
      </x:c>
      <x:c r="G421" s="2" t="str">
        <x:f>IF(B421="","",'Input_Meci'!D40)</x:f>
      </x:c>
      <x:c r="H421" s="2" t="str">
        <x:v>HOME</x:v>
      </x:c>
      <x:c r="I421" s="2" t="str">
        <x:v>HA</x:v>
      </x:c>
      <x:c r="J421" s="9" t="n">
        <x:f>IF(AND(B421&lt;&gt;"",ISNUMBER('Input_Meci'!G40)),INT('Input_Meci'!G40),0)</x:f>
        <x:v>0</x:v>
      </x:c>
      <x:c r="K421" s="2" t="n">
        <x:f>IF(OR(B421="",F421=""),0,IF(H421="HOME",COUNTIFS('Istoric_Nativ'!$B$6:$B$405,E421,'Istoric_Nativ'!$C$6:$C$405,F421,'Istoric_Nativ'!$E$6:$E$405,G421,'Istoric_Nativ'!$D$6:$D$405,"&lt;"&amp;J421,'Istoric_Nativ'!$P$6:$P$405,1),IF(H421="AWAY",COUNTIFS('Istoric_Nativ'!$B$6:$B$405,E421,'Istoric_Nativ'!$C$6:$C$405,F421,'Istoric_Nativ'!$F$6:$F$405,G421,'Istoric_Nativ'!$D$6:$D$405,"&lt;"&amp;J421,'Istoric_Nativ'!$P$6:$P$405,1),COUNTIFS('Istoric_Nativ'!$B$6:$B$405,E421,'Istoric_Nativ'!$C$6:$C$405,F421,'Istoric_Nativ'!$E$6:$E$405,G421,'Istoric_Nativ'!$D$6:$D$405,"&lt;"&amp;J421,'Istoric_Nativ'!$P$6:$P$405,1)+COUNTIFS('Istoric_Nativ'!$B$6:$B$405,E421,'Istoric_Nativ'!$C$6:$C$405,F421,'Istoric_Nativ'!$F$6:$F$405,G421,'Istoric_Nativ'!$D$6:$D$405,"&lt;"&amp;J421,'Istoric_Nativ'!$P$6:$P$405,1))))</x:f>
        <x:v>0</x:v>
      </x:c>
      <x:c r="L421" s="17" t="n">
        <x:f>IF(AND(B421&lt;&gt;"",I421="RECENT",K421&gt;0),LARGE(_xlfn._xlws.FILTER('Istoric_Nativ'!$D$6:$D$405,('Istoric_Nativ'!$B$6:$B$405=E421)*('Istoric_Nativ'!$C$6:$C$405=F421)*('Istoric_Nativ'!$P$6:$P$405=1)*('Istoric_Nativ'!$D$6:$D$405&lt;J421)*((('Istoric_Nativ'!$E$6:$E$405=G421)+('Istoric_Nativ'!$F$6:$F$405=G421))&gt;0)),MIN('Config_v6'!$B$54,K421)),0)</x:f>
        <x:v>0</x:v>
      </x:c>
      <x:c r="M421" s="2" t="n">
        <x:f>IF(OR(B421="",F421=""),0,IF(H421="HOME",COUNTIFS('Istoric_Nativ'!$B$6:$B$405,E421,'Istoric_Nativ'!$C$6:$C$405,F421,'Istoric_Nativ'!$E$6:$E$405,G421,'Istoric_Nativ'!$D$6:$D$405,"&lt;"&amp;J421,'Istoric_Nativ'!$P$6:$P$405,1,'Istoric_Nativ'!$D$6:$D$405,"&gt;="&amp;L421),IF(H421="AWAY",COUNTIFS('Istoric_Nativ'!$B$6:$B$405,E421,'Istoric_Nativ'!$C$6:$C$405,F421,'Istoric_Nativ'!$F$6:$F$405,G421,'Istoric_Nativ'!$D$6:$D$405,"&lt;"&amp;J421,'Istoric_Nativ'!$P$6:$P$405,1,'Istoric_Nativ'!$D$6:$D$405,"&gt;="&amp;L421),COUNTIFS('Istoric_Nativ'!$B$6:$B$405,E421,'Istoric_Nativ'!$C$6:$C$405,F421,'Istoric_Nativ'!$E$6:$E$405,G421,'Istoric_Nativ'!$D$6:$D$405,"&lt;"&amp;J421,'Istoric_Nativ'!$P$6:$P$405,1,'Istoric_Nativ'!$D$6:$D$405,"&gt;="&amp;L421)+COUNTIFS('Istoric_Nativ'!$B$6:$B$405,E421,'Istoric_Nativ'!$C$6:$C$405,F421,'Istoric_Nativ'!$F$6:$F$405,G421,'Istoric_Nativ'!$D$6:$D$405,"&lt;"&amp;J421,'Istoric_Nativ'!$P$6:$P$405,1,'Istoric_Nativ'!$D$6:$D$405,"&gt;="&amp;L421))))</x:f>
        <x:v>0</x:v>
      </x:c>
      <x:c r="N421" s="11" t="str">
        <x:f>IF(M421=0,"",IF(H421="HOME",SUMIFS('Istoric_Nativ'!$G$6:$G$405,'Istoric_Nativ'!$B$6:$B$405,E421,'Istoric_Nativ'!$C$6:$C$405,F421,'Istoric_Nativ'!$E$6:$E$405,G421,'Istoric_Nativ'!$D$6:$D$405,"&lt;"&amp;J421,'Istoric_Nativ'!$P$6:$P$405,1,'Istoric_Nativ'!$D$6:$D$405,"&gt;="&amp;L421),IF(H421="AWAY",SUMIFS('Istoric_Nativ'!$H$6:$H$405,'Istoric_Nativ'!$B$6:$B$405,E421,'Istoric_Nativ'!$C$6:$C$405,F421,'Istoric_Nativ'!$F$6:$F$405,G421,'Istoric_Nativ'!$D$6:$D$405,"&lt;"&amp;J421,'Istoric_Nativ'!$P$6:$P$405,1,'Istoric_Nativ'!$D$6:$D$405,"&gt;="&amp;L421),SUMIFS('Istoric_Nativ'!$G$6:$G$405,'Istoric_Nativ'!$B$6:$B$405,E421,'Istoric_Nativ'!$C$6:$C$405,F421,'Istoric_Nativ'!$E$6:$E$405,G421,'Istoric_Nativ'!$D$6:$D$405,"&lt;"&amp;J421,'Istoric_Nativ'!$P$6:$P$405,1,'Istoric_Nativ'!$D$6:$D$405,"&gt;="&amp;L421)+SUMIFS('Istoric_Nativ'!$H$6:$H$405,'Istoric_Nativ'!$B$6:$B$405,E421,'Istoric_Nativ'!$C$6:$C$405,F421,'Istoric_Nativ'!$F$6:$F$405,G421,'Istoric_Nativ'!$D$6:$D$405,"&lt;"&amp;J421,'Istoric_Nativ'!$P$6:$P$405,1,'Istoric_Nativ'!$D$6:$D$405,"&gt;="&amp;L421)))/M421)</x:f>
      </x:c>
      <x:c r="O421" s="11" t="str">
        <x:f>IF(M421=0,"",IF(H421="HOME",SUMIFS('Istoric_Nativ'!$H$6:$H$405,'Istoric_Nativ'!$B$6:$B$405,E421,'Istoric_Nativ'!$C$6:$C$405,F421,'Istoric_Nativ'!$E$6:$E$405,G421,'Istoric_Nativ'!$D$6:$D$405,"&lt;"&amp;J421,'Istoric_Nativ'!$P$6:$P$405,1,'Istoric_Nativ'!$D$6:$D$405,"&gt;="&amp;L421),IF(H421="AWAY",SUMIFS('Istoric_Nativ'!$G$6:$G$405,'Istoric_Nativ'!$B$6:$B$405,E421,'Istoric_Nativ'!$C$6:$C$405,F421,'Istoric_Nativ'!$F$6:$F$405,G421,'Istoric_Nativ'!$D$6:$D$405,"&lt;"&amp;J421,'Istoric_Nativ'!$P$6:$P$405,1,'Istoric_Nativ'!$D$6:$D$405,"&gt;="&amp;L421),SUMIFS('Istoric_Nativ'!$H$6:$H$405,'Istoric_Nativ'!$B$6:$B$405,E421,'Istoric_Nativ'!$C$6:$C$405,F421,'Istoric_Nativ'!$E$6:$E$405,G421,'Istoric_Nativ'!$D$6:$D$405,"&lt;"&amp;J421,'Istoric_Nativ'!$P$6:$P$405,1,'Istoric_Nativ'!$D$6:$D$405,"&gt;="&amp;L421)+SUMIFS('Istoric_Nativ'!$G$6:$G$405,'Istoric_Nativ'!$B$6:$B$405,E421,'Istoric_Nativ'!$C$6:$C$405,F421,'Istoric_Nativ'!$F$6:$F$405,G421,'Istoric_Nativ'!$D$6:$D$405,"&lt;"&amp;J421,'Istoric_Nativ'!$P$6:$P$405,1,'Istoric_Nativ'!$D$6:$D$405,"&gt;="&amp;L421)))/M421)</x:f>
      </x:c>
      <x:c r="P421" s="2" t="n">
        <x:f>'Config_v6'!$B$8</x:f>
        <x:v>5</x:v>
      </x:c>
      <x:c r="Q421" s="2" t="n">
        <x:f>IF(OR(B421="",F421=""),0,IFERROR(MATCH(E421&amp;"|"&amp;F421,SourceTable[Source_Key],0),0))</x:f>
        <x:v>0</x:v>
      </x:c>
      <x:c r="R421" s="2" t="str">
        <x:f>IF(B421="","",IF(F421="","UNUSED",IF(Q421=0,"NOT CHECKED",IF(COUNTIF(SourceTable[Source_Key],E421&amp;"|"&amp;F421)&lt;&gt;1,"SOURCE CONFLICT",IF(NOT(OR(INDEX(SourceTable[Status],MAX(1,Q421))="IMPORTED",INDEX(SourceTable[Status],MAX(1,Q421))="PARTIAL",INDEX(SourceTable[Status],MAX(1,Q421))="SOURCE CONFLICT")),"ACCESS BLOCKED",IF(OR(INDEX(SourceTable[Coverage],Q421)&lt;&gt;"FULL SEASON EXPORT",INDEX(SourceTable[URL],Q421)="",INDEX(SourceTable[SHA256],Q421)=""),"EVIDENCE INCOMPLETE",IF(AND('Input_Meci'!H40="LIVE",INDEX(SourceTable[Retrieved_UTC],Q421)&gt;'Input_Meci'!G40),"POST CUTOFF","CLOSED")))))))</x:f>
      </x:c>
      <x:c r="S421" s="2" t="n">
        <x:f>IF(OR(B421="",F421=""),0,COUNTIFS('Istoric_Nativ'!$B$6:$B$405,E421,'Istoric_Nativ'!$C$6:$C$405,F421,'Istoric_Nativ'!$E$6:$E$405,G421,'Istoric_Nativ'!$D$6:$D$405,"&lt;"&amp;J421,'Istoric_Nativ'!$O$6:$O$405,"INVALID")+COUNTIFS('Istoric_Nativ'!$B$6:$B$405,E421,'Istoric_Nativ'!$C$6:$C$405,F421,'Istoric_Nativ'!$E$6:$E$405,G421,'Istoric_Nativ'!$O$6:$O$405,"INVALID",'Istoric_Nativ'!$D$6:$D$405,"*")+COUNTIFS('Istoric_Nativ'!$B$6:$B$405,E421,'Istoric_Nativ'!$C$6:$C$405,F421,'Istoric_Nativ'!$E$6:$E$405,G421,'Istoric_Nativ'!$D$6:$D$405,"&lt;"&amp;J421,'Istoric_Nativ'!$O$6:$O$405,"SOURCE CONFLICT")+COUNTIFS('Istoric_Nativ'!$B$6:$B$405,E421,'Istoric_Nativ'!$C$6:$C$405,F421,'Istoric_Nativ'!$F$6:$F$405,G421,'Istoric_Nativ'!$D$6:$D$405,"&lt;"&amp;J421,'Istoric_Nativ'!$O$6:$O$405,"INVALID")+COUNTIFS('Istoric_Nativ'!$B$6:$B$405,E421,'Istoric_Nativ'!$C$6:$C$405,F421,'Istoric_Nativ'!$F$6:$F$405,G421,'Istoric_Nativ'!$O$6:$O$405,"INVALID",'Istoric_Nativ'!$D$6:$D$405,"*")+COUNTIFS('Istoric_Nativ'!$B$6:$B$405,E421,'Istoric_Nativ'!$C$6:$C$405,F421,'Istoric_Nativ'!$F$6:$F$405,G421,'Istoric_Nativ'!$D$6:$D$405,"&lt;"&amp;J421,'Istoric_Nativ'!$O$6:$O$405,"SOURCE CONFLICT"))</x:f>
        <x:v>0</x:v>
      </x:c>
      <x:c r="T421" s="2" t="str">
        <x:f>IF(B421="","",IF(R421&lt;&gt;"CLOSED",R421,IF(S421&gt;0,"NATIVE INPUT ISSUE",IF(M421=0,"NO HISTORY",IF(M421&lt;P421,"SMALL SAMPLE","DERIVED")))))</x:f>
      </x:c>
      <x:c r="U421" s="2" t="str">
        <x:f>IF(B421="","","NativeTable; "&amp;E421&amp;"; "&amp;F421&amp;"; "&amp;G421&amp;"; "&amp;H421&amp;"; before "&amp;TEXT(J421,"yyyy-mm-dd")&amp;IF(I421="RECENT","; from "&amp;TEXT(L421,"yyyy-mm-dd"),""))</x:f>
      </x:c>
    </x:row>
    <x:row r="422" ht="21" customHeight="1">
      <x:c r="A422" s="2" t="n">
        <x:v>35</x:v>
      </x:c>
      <x:c r="B422" s="2" t="str">
        <x:f>IF('Input_Meci'!A40="","",'Input_Meci'!A40)</x:f>
      </x:c>
      <x:c r="C422" s="2" t="str">
        <x:v>H</x:v>
      </x:c>
      <x:c r="D422" s="2" t="str">
        <x:v>PRIOR</x:v>
      </x:c>
      <x:c r="E422" s="2" t="str">
        <x:f>IF(B422="","",'Input_Meci'!B40)</x:f>
      </x:c>
      <x:c r="F422" s="2" t="str">
        <x:f>IF(B422="","",IF('Input_Meci'!K40="","",'Input_Meci'!K40))</x:f>
      </x:c>
      <x:c r="G422" s="2" t="str">
        <x:f>IF(B422="","",'Input_Meci'!D40)</x:f>
      </x:c>
      <x:c r="H422" s="2" t="str">
        <x:v>ANY</x:v>
      </x:c>
      <x:c r="I422" s="2" t="str">
        <x:v>RECENT</x:v>
      </x:c>
      <x:c r="J422" s="9" t="n">
        <x:f>IF(AND(B422&lt;&gt;"",ISNUMBER('Input_Meci'!G40)),INT('Input_Meci'!G40),0)</x:f>
        <x:v>0</x:v>
      </x:c>
      <x:c r="K422" s="2" t="n">
        <x:f>IF(OR(B422="",F422=""),0,IF(H422="HOME",COUNTIFS('Istoric_Nativ'!$B$6:$B$405,E422,'Istoric_Nativ'!$C$6:$C$405,F422,'Istoric_Nativ'!$E$6:$E$405,G422,'Istoric_Nativ'!$D$6:$D$405,"&lt;"&amp;J422,'Istoric_Nativ'!$P$6:$P$405,1),IF(H422="AWAY",COUNTIFS('Istoric_Nativ'!$B$6:$B$405,E422,'Istoric_Nativ'!$C$6:$C$405,F422,'Istoric_Nativ'!$F$6:$F$405,G422,'Istoric_Nativ'!$D$6:$D$405,"&lt;"&amp;J422,'Istoric_Nativ'!$P$6:$P$405,1),COUNTIFS('Istoric_Nativ'!$B$6:$B$405,E422,'Istoric_Nativ'!$C$6:$C$405,F422,'Istoric_Nativ'!$E$6:$E$405,G422,'Istoric_Nativ'!$D$6:$D$405,"&lt;"&amp;J422,'Istoric_Nativ'!$P$6:$P$405,1)+COUNTIFS('Istoric_Nativ'!$B$6:$B$405,E422,'Istoric_Nativ'!$C$6:$C$405,F422,'Istoric_Nativ'!$F$6:$F$405,G422,'Istoric_Nativ'!$D$6:$D$405,"&lt;"&amp;J422,'Istoric_Nativ'!$P$6:$P$405,1))))</x:f>
        <x:v>0</x:v>
      </x:c>
      <x:c r="L422" s="17" t="n">
        <x:f>IF(AND(B422&lt;&gt;"",I422="RECENT",K422&gt;0),LARGE(_xlfn._xlws.FILTER('Istoric_Nativ'!$D$6:$D$405,('Istoric_Nativ'!$B$6:$B$405=E422)*('Istoric_Nativ'!$C$6:$C$405=F422)*('Istoric_Nativ'!$P$6:$P$405=1)*('Istoric_Nativ'!$D$6:$D$405&lt;J422)*((('Istoric_Nativ'!$E$6:$E$405=G422)+('Istoric_Nativ'!$F$6:$F$405=G422))&gt;0)),MIN('Config_v6'!$B$54,K422)),0)</x:f>
        <x:v>0</x:v>
      </x:c>
      <x:c r="M422" s="2" t="n">
        <x:f>IF(OR(B422="",F422=""),0,IF(H422="HOME",COUNTIFS('Istoric_Nativ'!$B$6:$B$405,E422,'Istoric_Nativ'!$C$6:$C$405,F422,'Istoric_Nativ'!$E$6:$E$405,G422,'Istoric_Nativ'!$D$6:$D$405,"&lt;"&amp;J422,'Istoric_Nativ'!$P$6:$P$405,1,'Istoric_Nativ'!$D$6:$D$405,"&gt;="&amp;L422),IF(H422="AWAY",COUNTIFS('Istoric_Nativ'!$B$6:$B$405,E422,'Istoric_Nativ'!$C$6:$C$405,F422,'Istoric_Nativ'!$F$6:$F$405,G422,'Istoric_Nativ'!$D$6:$D$405,"&lt;"&amp;J422,'Istoric_Nativ'!$P$6:$P$405,1,'Istoric_Nativ'!$D$6:$D$405,"&gt;="&amp;L422),COUNTIFS('Istoric_Nativ'!$B$6:$B$405,E422,'Istoric_Nativ'!$C$6:$C$405,F422,'Istoric_Nativ'!$E$6:$E$405,G422,'Istoric_Nativ'!$D$6:$D$405,"&lt;"&amp;J422,'Istoric_Nativ'!$P$6:$P$405,1,'Istoric_Nativ'!$D$6:$D$405,"&gt;="&amp;L422)+COUNTIFS('Istoric_Nativ'!$B$6:$B$405,E422,'Istoric_Nativ'!$C$6:$C$405,F422,'Istoric_Nativ'!$F$6:$F$405,G422,'Istoric_Nativ'!$D$6:$D$405,"&lt;"&amp;J422,'Istoric_Nativ'!$P$6:$P$405,1,'Istoric_Nativ'!$D$6:$D$405,"&gt;="&amp;L422))))</x:f>
        <x:v>0</x:v>
      </x:c>
      <x:c r="N422" s="11" t="str">
        <x:f>IF(M422=0,"",IF(H422="HOME",SUMIFS('Istoric_Nativ'!$G$6:$G$405,'Istoric_Nativ'!$B$6:$B$405,E422,'Istoric_Nativ'!$C$6:$C$405,F422,'Istoric_Nativ'!$E$6:$E$405,G422,'Istoric_Nativ'!$D$6:$D$405,"&lt;"&amp;J422,'Istoric_Nativ'!$P$6:$P$405,1,'Istoric_Nativ'!$D$6:$D$405,"&gt;="&amp;L422),IF(H422="AWAY",SUMIFS('Istoric_Nativ'!$H$6:$H$405,'Istoric_Nativ'!$B$6:$B$405,E422,'Istoric_Nativ'!$C$6:$C$405,F422,'Istoric_Nativ'!$F$6:$F$405,G422,'Istoric_Nativ'!$D$6:$D$405,"&lt;"&amp;J422,'Istoric_Nativ'!$P$6:$P$405,1,'Istoric_Nativ'!$D$6:$D$405,"&gt;="&amp;L422),SUMIFS('Istoric_Nativ'!$G$6:$G$405,'Istoric_Nativ'!$B$6:$B$405,E422,'Istoric_Nativ'!$C$6:$C$405,F422,'Istoric_Nativ'!$E$6:$E$405,G422,'Istoric_Nativ'!$D$6:$D$405,"&lt;"&amp;J422,'Istoric_Nativ'!$P$6:$P$405,1,'Istoric_Nativ'!$D$6:$D$405,"&gt;="&amp;L422)+SUMIFS('Istoric_Nativ'!$H$6:$H$405,'Istoric_Nativ'!$B$6:$B$405,E422,'Istoric_Nativ'!$C$6:$C$405,F422,'Istoric_Nativ'!$F$6:$F$405,G422,'Istoric_Nativ'!$D$6:$D$405,"&lt;"&amp;J422,'Istoric_Nativ'!$P$6:$P$405,1,'Istoric_Nativ'!$D$6:$D$405,"&gt;="&amp;L422)))/M422)</x:f>
      </x:c>
      <x:c r="O422" s="11" t="str">
        <x:f>IF(M422=0,"",IF(H422="HOME",SUMIFS('Istoric_Nativ'!$H$6:$H$405,'Istoric_Nativ'!$B$6:$B$405,E422,'Istoric_Nativ'!$C$6:$C$405,F422,'Istoric_Nativ'!$E$6:$E$405,G422,'Istoric_Nativ'!$D$6:$D$405,"&lt;"&amp;J422,'Istoric_Nativ'!$P$6:$P$405,1,'Istoric_Nativ'!$D$6:$D$405,"&gt;="&amp;L422),IF(H422="AWAY",SUMIFS('Istoric_Nativ'!$G$6:$G$405,'Istoric_Nativ'!$B$6:$B$405,E422,'Istoric_Nativ'!$C$6:$C$405,F422,'Istoric_Nativ'!$F$6:$F$405,G422,'Istoric_Nativ'!$D$6:$D$405,"&lt;"&amp;J422,'Istoric_Nativ'!$P$6:$P$405,1,'Istoric_Nativ'!$D$6:$D$405,"&gt;="&amp;L422),SUMIFS('Istoric_Nativ'!$H$6:$H$405,'Istoric_Nativ'!$B$6:$B$405,E422,'Istoric_Nativ'!$C$6:$C$405,F422,'Istoric_Nativ'!$E$6:$E$405,G422,'Istoric_Nativ'!$D$6:$D$405,"&lt;"&amp;J422,'Istoric_Nativ'!$P$6:$P$405,1,'Istoric_Nativ'!$D$6:$D$405,"&gt;="&amp;L422)+SUMIFS('Istoric_Nativ'!$G$6:$G$405,'Istoric_Nativ'!$B$6:$B$405,E422,'Istoric_Nativ'!$C$6:$C$405,F422,'Istoric_Nativ'!$F$6:$F$405,G422,'Istoric_Nativ'!$D$6:$D$405,"&lt;"&amp;J422,'Istoric_Nativ'!$P$6:$P$405,1,'Istoric_Nativ'!$D$6:$D$405,"&gt;="&amp;L422)))/M422)</x:f>
      </x:c>
      <x:c r="P422" s="2" t="n">
        <x:f>'Config_v6'!$B$9</x:f>
        <x:v>3</x:v>
      </x:c>
      <x:c r="Q422" s="2" t="n">
        <x:f>IF(OR(B422="",F422=""),0,IFERROR(MATCH(E422&amp;"|"&amp;F422,SourceTable[Source_Key],0),0))</x:f>
        <x:v>0</x:v>
      </x:c>
      <x:c r="R422" s="2" t="str">
        <x:f>IF(B422="","",IF(F422="","UNUSED",IF(Q422=0,"NOT CHECKED",IF(COUNTIF(SourceTable[Source_Key],E422&amp;"|"&amp;F422)&lt;&gt;1,"SOURCE CONFLICT",IF(NOT(OR(INDEX(SourceTable[Status],MAX(1,Q422))="IMPORTED",INDEX(SourceTable[Status],MAX(1,Q422))="PARTIAL",INDEX(SourceTable[Status],MAX(1,Q422))="SOURCE CONFLICT")),"ACCESS BLOCKED",IF(OR(INDEX(SourceTable[Coverage],Q422)&lt;&gt;"FULL SEASON EXPORT",INDEX(SourceTable[URL],Q422)="",INDEX(SourceTable[SHA256],Q422)=""),"EVIDENCE INCOMPLETE",IF(AND('Input_Meci'!H40="LIVE",INDEX(SourceTable[Retrieved_UTC],Q422)&gt;'Input_Meci'!G40),"POST CUTOFF","CLOSED")))))))</x:f>
      </x:c>
      <x:c r="S422" s="2" t="n">
        <x:f>IF(OR(B422="",F422=""),0,COUNTIFS('Istoric_Nativ'!$B$6:$B$405,E422,'Istoric_Nativ'!$C$6:$C$405,F422,'Istoric_Nativ'!$E$6:$E$405,G422,'Istoric_Nativ'!$D$6:$D$405,"&lt;"&amp;J422,'Istoric_Nativ'!$O$6:$O$405,"INVALID")+COUNTIFS('Istoric_Nativ'!$B$6:$B$405,E422,'Istoric_Nativ'!$C$6:$C$405,F422,'Istoric_Nativ'!$E$6:$E$405,G422,'Istoric_Nativ'!$O$6:$O$405,"INVALID",'Istoric_Nativ'!$D$6:$D$405,"*")+COUNTIFS('Istoric_Nativ'!$B$6:$B$405,E422,'Istoric_Nativ'!$C$6:$C$405,F422,'Istoric_Nativ'!$E$6:$E$405,G422,'Istoric_Nativ'!$D$6:$D$405,"&lt;"&amp;J422,'Istoric_Nativ'!$O$6:$O$405,"SOURCE CONFLICT")+COUNTIFS('Istoric_Nativ'!$B$6:$B$405,E422,'Istoric_Nativ'!$C$6:$C$405,F422,'Istoric_Nativ'!$F$6:$F$405,G422,'Istoric_Nativ'!$D$6:$D$405,"&lt;"&amp;J422,'Istoric_Nativ'!$O$6:$O$405,"INVALID")+COUNTIFS('Istoric_Nativ'!$B$6:$B$405,E422,'Istoric_Nativ'!$C$6:$C$405,F422,'Istoric_Nativ'!$F$6:$F$405,G422,'Istoric_Nativ'!$O$6:$O$405,"INVALID",'Istoric_Nativ'!$D$6:$D$405,"*")+COUNTIFS('Istoric_Nativ'!$B$6:$B$405,E422,'Istoric_Nativ'!$C$6:$C$405,F422,'Istoric_Nativ'!$F$6:$F$405,G422,'Istoric_Nativ'!$D$6:$D$405,"&lt;"&amp;J422,'Istoric_Nativ'!$O$6:$O$405,"SOURCE CONFLICT"))</x:f>
        <x:v>0</x:v>
      </x:c>
      <x:c r="T422" s="2" t="str">
        <x:f>IF(B422="","",IF(R422&lt;&gt;"CLOSED",R422,IF(S422&gt;0,"NATIVE INPUT ISSUE",IF(M422=0,"NO HISTORY",IF(M422&lt;P422,"SMALL SAMPLE","DERIVED")))))</x:f>
      </x:c>
      <x:c r="U422" s="2" t="str">
        <x:f>IF(B422="","","NativeTable; "&amp;E422&amp;"; "&amp;F422&amp;"; "&amp;G422&amp;"; "&amp;H422&amp;"; before "&amp;TEXT(J422,"yyyy-mm-dd")&amp;IF(I422="RECENT","; from "&amp;TEXT(L422,"yyyy-mm-dd"),""))</x:f>
      </x:c>
    </x:row>
    <x:row r="423" ht="21" customHeight="1">
      <x:c r="A423" s="2" t="n">
        <x:v>35</x:v>
      </x:c>
      <x:c r="B423" s="2" t="str">
        <x:f>IF('Input_Meci'!A40="","",'Input_Meci'!A40)</x:f>
      </x:c>
      <x:c r="C423" s="2" t="str">
        <x:v>A</x:v>
      </x:c>
      <x:c r="D423" s="2" t="str">
        <x:v>PRIOR</x:v>
      </x:c>
      <x:c r="E423" s="2" t="str">
        <x:f>IF(B423="","",'Input_Meci'!B40)</x:f>
      </x:c>
      <x:c r="F423" s="2" t="str">
        <x:f>IF(B423="","",IF('Input_Meci'!K40="","",'Input_Meci'!K40))</x:f>
      </x:c>
      <x:c r="G423" s="2" t="str">
        <x:f>IF(B423="","",'Input_Meci'!E40)</x:f>
      </x:c>
      <x:c r="H423" s="2" t="str">
        <x:v>ANY</x:v>
      </x:c>
      <x:c r="I423" s="2" t="str">
        <x:v>SEASON</x:v>
      </x:c>
      <x:c r="J423" s="9" t="n">
        <x:f>IF(AND(B423&lt;&gt;"",ISNUMBER('Input_Meci'!G40)),INT('Input_Meci'!G40),0)</x:f>
        <x:v>0</x:v>
      </x:c>
      <x:c r="K423" s="2" t="n">
        <x:f>IF(OR(B423="",F423=""),0,IF(H423="HOME",COUNTIFS('Istoric_Nativ'!$B$6:$B$405,E423,'Istoric_Nativ'!$C$6:$C$405,F423,'Istoric_Nativ'!$E$6:$E$405,G423,'Istoric_Nativ'!$D$6:$D$405,"&lt;"&amp;J423,'Istoric_Nativ'!$P$6:$P$405,1),IF(H423="AWAY",COUNTIFS('Istoric_Nativ'!$B$6:$B$405,E423,'Istoric_Nativ'!$C$6:$C$405,F423,'Istoric_Nativ'!$F$6:$F$405,G423,'Istoric_Nativ'!$D$6:$D$405,"&lt;"&amp;J423,'Istoric_Nativ'!$P$6:$P$405,1),COUNTIFS('Istoric_Nativ'!$B$6:$B$405,E423,'Istoric_Nativ'!$C$6:$C$405,F423,'Istoric_Nativ'!$E$6:$E$405,G423,'Istoric_Nativ'!$D$6:$D$405,"&lt;"&amp;J423,'Istoric_Nativ'!$P$6:$P$405,1)+COUNTIFS('Istoric_Nativ'!$B$6:$B$405,E423,'Istoric_Nativ'!$C$6:$C$405,F423,'Istoric_Nativ'!$F$6:$F$405,G423,'Istoric_Nativ'!$D$6:$D$405,"&lt;"&amp;J423,'Istoric_Nativ'!$P$6:$P$405,1))))</x:f>
        <x:v>0</x:v>
      </x:c>
      <x:c r="L423" s="17" t="n">
        <x:f>IF(AND(B423&lt;&gt;"",I423="RECENT",K423&gt;0),LARGE(_xlfn._xlws.FILTER('Istoric_Nativ'!$D$6:$D$405,('Istoric_Nativ'!$B$6:$B$405=E423)*('Istoric_Nativ'!$C$6:$C$405=F423)*('Istoric_Nativ'!$P$6:$P$405=1)*('Istoric_Nativ'!$D$6:$D$405&lt;J423)*((('Istoric_Nativ'!$E$6:$E$405=G423)+('Istoric_Nativ'!$F$6:$F$405=G423))&gt;0)),MIN('Config_v6'!$B$54,K423)),0)</x:f>
        <x:v>0</x:v>
      </x:c>
      <x:c r="M423" s="2" t="n">
        <x:f>IF(OR(B423="",F423=""),0,IF(H423="HOME",COUNTIFS('Istoric_Nativ'!$B$6:$B$405,E423,'Istoric_Nativ'!$C$6:$C$405,F423,'Istoric_Nativ'!$E$6:$E$405,G423,'Istoric_Nativ'!$D$6:$D$405,"&lt;"&amp;J423,'Istoric_Nativ'!$P$6:$P$405,1,'Istoric_Nativ'!$D$6:$D$405,"&gt;="&amp;L423),IF(H423="AWAY",COUNTIFS('Istoric_Nativ'!$B$6:$B$405,E423,'Istoric_Nativ'!$C$6:$C$405,F423,'Istoric_Nativ'!$F$6:$F$405,G423,'Istoric_Nativ'!$D$6:$D$405,"&lt;"&amp;J423,'Istoric_Nativ'!$P$6:$P$405,1,'Istoric_Nativ'!$D$6:$D$405,"&gt;="&amp;L423),COUNTIFS('Istoric_Nativ'!$B$6:$B$405,E423,'Istoric_Nativ'!$C$6:$C$405,F423,'Istoric_Nativ'!$E$6:$E$405,G423,'Istoric_Nativ'!$D$6:$D$405,"&lt;"&amp;J423,'Istoric_Nativ'!$P$6:$P$405,1,'Istoric_Nativ'!$D$6:$D$405,"&gt;="&amp;L423)+COUNTIFS('Istoric_Nativ'!$B$6:$B$405,E423,'Istoric_Nativ'!$C$6:$C$405,F423,'Istoric_Nativ'!$F$6:$F$405,G423,'Istoric_Nativ'!$D$6:$D$405,"&lt;"&amp;J423,'Istoric_Nativ'!$P$6:$P$405,1,'Istoric_Nativ'!$D$6:$D$405,"&gt;="&amp;L423))))</x:f>
        <x:v>0</x:v>
      </x:c>
      <x:c r="N423" s="11" t="str">
        <x:f>IF(M423=0,"",IF(H423="HOME",SUMIFS('Istoric_Nativ'!$G$6:$G$405,'Istoric_Nativ'!$B$6:$B$405,E423,'Istoric_Nativ'!$C$6:$C$405,F423,'Istoric_Nativ'!$E$6:$E$405,G423,'Istoric_Nativ'!$D$6:$D$405,"&lt;"&amp;J423,'Istoric_Nativ'!$P$6:$P$405,1,'Istoric_Nativ'!$D$6:$D$405,"&gt;="&amp;L423),IF(H423="AWAY",SUMIFS('Istoric_Nativ'!$H$6:$H$405,'Istoric_Nativ'!$B$6:$B$405,E423,'Istoric_Nativ'!$C$6:$C$405,F423,'Istoric_Nativ'!$F$6:$F$405,G423,'Istoric_Nativ'!$D$6:$D$405,"&lt;"&amp;J423,'Istoric_Nativ'!$P$6:$P$405,1,'Istoric_Nativ'!$D$6:$D$405,"&gt;="&amp;L423),SUMIFS('Istoric_Nativ'!$G$6:$G$405,'Istoric_Nativ'!$B$6:$B$405,E423,'Istoric_Nativ'!$C$6:$C$405,F423,'Istoric_Nativ'!$E$6:$E$405,G423,'Istoric_Nativ'!$D$6:$D$405,"&lt;"&amp;J423,'Istoric_Nativ'!$P$6:$P$405,1,'Istoric_Nativ'!$D$6:$D$405,"&gt;="&amp;L423)+SUMIFS('Istoric_Nativ'!$H$6:$H$405,'Istoric_Nativ'!$B$6:$B$405,E423,'Istoric_Nativ'!$C$6:$C$405,F423,'Istoric_Nativ'!$F$6:$F$405,G423,'Istoric_Nativ'!$D$6:$D$405,"&lt;"&amp;J423,'Istoric_Nativ'!$P$6:$P$405,1,'Istoric_Nativ'!$D$6:$D$405,"&gt;="&amp;L423)))/M423)</x:f>
      </x:c>
      <x:c r="O423" s="11" t="str">
        <x:f>IF(M423=0,"",IF(H423="HOME",SUMIFS('Istoric_Nativ'!$H$6:$H$405,'Istoric_Nativ'!$B$6:$B$405,E423,'Istoric_Nativ'!$C$6:$C$405,F423,'Istoric_Nativ'!$E$6:$E$405,G423,'Istoric_Nativ'!$D$6:$D$405,"&lt;"&amp;J423,'Istoric_Nativ'!$P$6:$P$405,1,'Istoric_Nativ'!$D$6:$D$405,"&gt;="&amp;L423),IF(H423="AWAY",SUMIFS('Istoric_Nativ'!$G$6:$G$405,'Istoric_Nativ'!$B$6:$B$405,E423,'Istoric_Nativ'!$C$6:$C$405,F423,'Istoric_Nativ'!$F$6:$F$405,G423,'Istoric_Nativ'!$D$6:$D$405,"&lt;"&amp;J423,'Istoric_Nativ'!$P$6:$P$405,1,'Istoric_Nativ'!$D$6:$D$405,"&gt;="&amp;L423),SUMIFS('Istoric_Nativ'!$H$6:$H$405,'Istoric_Nativ'!$B$6:$B$405,E423,'Istoric_Nativ'!$C$6:$C$405,F423,'Istoric_Nativ'!$E$6:$E$405,G423,'Istoric_Nativ'!$D$6:$D$405,"&lt;"&amp;J423,'Istoric_Nativ'!$P$6:$P$405,1,'Istoric_Nativ'!$D$6:$D$405,"&gt;="&amp;L423)+SUMIFS('Istoric_Nativ'!$G$6:$G$405,'Istoric_Nativ'!$B$6:$B$405,E423,'Istoric_Nativ'!$C$6:$C$405,F423,'Istoric_Nativ'!$F$6:$F$405,G423,'Istoric_Nativ'!$D$6:$D$405,"&lt;"&amp;J423,'Istoric_Nativ'!$P$6:$P$405,1,'Istoric_Nativ'!$D$6:$D$405,"&gt;="&amp;L423)))/M423)</x:f>
      </x:c>
      <x:c r="P423" s="2" t="n">
        <x:f>'Config_v6'!$B$7</x:f>
        <x:v>10</x:v>
      </x:c>
      <x:c r="Q423" s="2" t="n">
        <x:f>IF(OR(B423="",F423=""),0,IFERROR(MATCH(E423&amp;"|"&amp;F423,SourceTable[Source_Key],0),0))</x:f>
        <x:v>0</x:v>
      </x:c>
      <x:c r="R423" s="2" t="str">
        <x:f>IF(B423="","",IF(F423="","UNUSED",IF(Q423=0,"NOT CHECKED",IF(COUNTIF(SourceTable[Source_Key],E423&amp;"|"&amp;F423)&lt;&gt;1,"SOURCE CONFLICT",IF(NOT(OR(INDEX(SourceTable[Status],MAX(1,Q423))="IMPORTED",INDEX(SourceTable[Status],MAX(1,Q423))="PARTIAL",INDEX(SourceTable[Status],MAX(1,Q423))="SOURCE CONFLICT")),"ACCESS BLOCKED",IF(OR(INDEX(SourceTable[Coverage],Q423)&lt;&gt;"FULL SEASON EXPORT",INDEX(SourceTable[URL],Q423)="",INDEX(SourceTable[SHA256],Q423)=""),"EVIDENCE INCOMPLETE",IF(AND('Input_Meci'!H40="LIVE",INDEX(SourceTable[Retrieved_UTC],Q423)&gt;'Input_Meci'!G40),"POST CUTOFF","CLOSED")))))))</x:f>
      </x:c>
      <x:c r="S423" s="2" t="n">
        <x:f>IF(OR(B423="",F423=""),0,COUNTIFS('Istoric_Nativ'!$B$6:$B$405,E423,'Istoric_Nativ'!$C$6:$C$405,F423,'Istoric_Nativ'!$E$6:$E$405,G423,'Istoric_Nativ'!$D$6:$D$405,"&lt;"&amp;J423,'Istoric_Nativ'!$O$6:$O$405,"INVALID")+COUNTIFS('Istoric_Nativ'!$B$6:$B$405,E423,'Istoric_Nativ'!$C$6:$C$405,F423,'Istoric_Nativ'!$E$6:$E$405,G423,'Istoric_Nativ'!$O$6:$O$405,"INVALID",'Istoric_Nativ'!$D$6:$D$405,"*")+COUNTIFS('Istoric_Nativ'!$B$6:$B$405,E423,'Istoric_Nativ'!$C$6:$C$405,F423,'Istoric_Nativ'!$E$6:$E$405,G423,'Istoric_Nativ'!$D$6:$D$405,"&lt;"&amp;J423,'Istoric_Nativ'!$O$6:$O$405,"SOURCE CONFLICT")+COUNTIFS('Istoric_Nativ'!$B$6:$B$405,E423,'Istoric_Nativ'!$C$6:$C$405,F423,'Istoric_Nativ'!$F$6:$F$405,G423,'Istoric_Nativ'!$D$6:$D$405,"&lt;"&amp;J423,'Istoric_Nativ'!$O$6:$O$405,"INVALID")+COUNTIFS('Istoric_Nativ'!$B$6:$B$405,E423,'Istoric_Nativ'!$C$6:$C$405,F423,'Istoric_Nativ'!$F$6:$F$405,G423,'Istoric_Nativ'!$O$6:$O$405,"INVALID",'Istoric_Nativ'!$D$6:$D$405,"*")+COUNTIFS('Istoric_Nativ'!$B$6:$B$405,E423,'Istoric_Nativ'!$C$6:$C$405,F423,'Istoric_Nativ'!$F$6:$F$405,G423,'Istoric_Nativ'!$D$6:$D$405,"&lt;"&amp;J423,'Istoric_Nativ'!$O$6:$O$405,"SOURCE CONFLICT"))</x:f>
        <x:v>0</x:v>
      </x:c>
      <x:c r="T423" s="2" t="str">
        <x:f>IF(B423="","",IF(R423&lt;&gt;"CLOSED",R423,IF(S423&gt;0,"NATIVE INPUT ISSUE",IF(M423=0,"NO HISTORY",IF(M423&lt;P423,"SMALL SAMPLE","DERIVED")))))</x:f>
      </x:c>
      <x:c r="U423" s="2" t="str">
        <x:f>IF(B423="","","NativeTable; "&amp;E423&amp;"; "&amp;F423&amp;"; "&amp;G423&amp;"; "&amp;H423&amp;"; before "&amp;TEXT(J423,"yyyy-mm-dd")&amp;IF(I423="RECENT","; from "&amp;TEXT(L423,"yyyy-mm-dd"),""))</x:f>
      </x:c>
    </x:row>
    <x:row r="424" ht="21" customHeight="1">
      <x:c r="A424" s="2" t="n">
        <x:v>35</x:v>
      </x:c>
      <x:c r="B424" s="2" t="str">
        <x:f>IF('Input_Meci'!A40="","",'Input_Meci'!A40)</x:f>
      </x:c>
      <x:c r="C424" s="2" t="str">
        <x:v>A</x:v>
      </x:c>
      <x:c r="D424" s="2" t="str">
        <x:v>PRIOR</x:v>
      </x:c>
      <x:c r="E424" s="2" t="str">
        <x:f>IF(B424="","",'Input_Meci'!B40)</x:f>
      </x:c>
      <x:c r="F424" s="2" t="str">
        <x:f>IF(B424="","",IF('Input_Meci'!K40="","",'Input_Meci'!K40))</x:f>
      </x:c>
      <x:c r="G424" s="2" t="str">
        <x:f>IF(B424="","",'Input_Meci'!E40)</x:f>
      </x:c>
      <x:c r="H424" s="2" t="str">
        <x:v>AWAY</x:v>
      </x:c>
      <x:c r="I424" s="2" t="str">
        <x:v>HA</x:v>
      </x:c>
      <x:c r="J424" s="9" t="n">
        <x:f>IF(AND(B424&lt;&gt;"",ISNUMBER('Input_Meci'!G40)),INT('Input_Meci'!G40),0)</x:f>
        <x:v>0</x:v>
      </x:c>
      <x:c r="K424" s="2" t="n">
        <x:f>IF(OR(B424="",F424=""),0,IF(H424="HOME",COUNTIFS('Istoric_Nativ'!$B$6:$B$405,E424,'Istoric_Nativ'!$C$6:$C$405,F424,'Istoric_Nativ'!$E$6:$E$405,G424,'Istoric_Nativ'!$D$6:$D$405,"&lt;"&amp;J424,'Istoric_Nativ'!$P$6:$P$405,1),IF(H424="AWAY",COUNTIFS('Istoric_Nativ'!$B$6:$B$405,E424,'Istoric_Nativ'!$C$6:$C$405,F424,'Istoric_Nativ'!$F$6:$F$405,G424,'Istoric_Nativ'!$D$6:$D$405,"&lt;"&amp;J424,'Istoric_Nativ'!$P$6:$P$405,1),COUNTIFS('Istoric_Nativ'!$B$6:$B$405,E424,'Istoric_Nativ'!$C$6:$C$405,F424,'Istoric_Nativ'!$E$6:$E$405,G424,'Istoric_Nativ'!$D$6:$D$405,"&lt;"&amp;J424,'Istoric_Nativ'!$P$6:$P$405,1)+COUNTIFS('Istoric_Nativ'!$B$6:$B$405,E424,'Istoric_Nativ'!$C$6:$C$405,F424,'Istoric_Nativ'!$F$6:$F$405,G424,'Istoric_Nativ'!$D$6:$D$405,"&lt;"&amp;J424,'Istoric_Nativ'!$P$6:$P$405,1))))</x:f>
        <x:v>0</x:v>
      </x:c>
      <x:c r="L424" s="17" t="n">
        <x:f>IF(AND(B424&lt;&gt;"",I424="RECENT",K424&gt;0),LARGE(_xlfn._xlws.FILTER('Istoric_Nativ'!$D$6:$D$405,('Istoric_Nativ'!$B$6:$B$405=E424)*('Istoric_Nativ'!$C$6:$C$405=F424)*('Istoric_Nativ'!$P$6:$P$405=1)*('Istoric_Nativ'!$D$6:$D$405&lt;J424)*((('Istoric_Nativ'!$E$6:$E$405=G424)+('Istoric_Nativ'!$F$6:$F$405=G424))&gt;0)),MIN('Config_v6'!$B$54,K424)),0)</x:f>
        <x:v>0</x:v>
      </x:c>
      <x:c r="M424" s="2" t="n">
        <x:f>IF(OR(B424="",F424=""),0,IF(H424="HOME",COUNTIFS('Istoric_Nativ'!$B$6:$B$405,E424,'Istoric_Nativ'!$C$6:$C$405,F424,'Istoric_Nativ'!$E$6:$E$405,G424,'Istoric_Nativ'!$D$6:$D$405,"&lt;"&amp;J424,'Istoric_Nativ'!$P$6:$P$405,1,'Istoric_Nativ'!$D$6:$D$405,"&gt;="&amp;L424),IF(H424="AWAY",COUNTIFS('Istoric_Nativ'!$B$6:$B$405,E424,'Istoric_Nativ'!$C$6:$C$405,F424,'Istoric_Nativ'!$F$6:$F$405,G424,'Istoric_Nativ'!$D$6:$D$405,"&lt;"&amp;J424,'Istoric_Nativ'!$P$6:$P$405,1,'Istoric_Nativ'!$D$6:$D$405,"&gt;="&amp;L424),COUNTIFS('Istoric_Nativ'!$B$6:$B$405,E424,'Istoric_Nativ'!$C$6:$C$405,F424,'Istoric_Nativ'!$E$6:$E$405,G424,'Istoric_Nativ'!$D$6:$D$405,"&lt;"&amp;J424,'Istoric_Nativ'!$P$6:$P$405,1,'Istoric_Nativ'!$D$6:$D$405,"&gt;="&amp;L424)+COUNTIFS('Istoric_Nativ'!$B$6:$B$405,E424,'Istoric_Nativ'!$C$6:$C$405,F424,'Istoric_Nativ'!$F$6:$F$405,G424,'Istoric_Nativ'!$D$6:$D$405,"&lt;"&amp;J424,'Istoric_Nativ'!$P$6:$P$405,1,'Istoric_Nativ'!$D$6:$D$405,"&gt;="&amp;L424))))</x:f>
        <x:v>0</x:v>
      </x:c>
      <x:c r="N424" s="11" t="str">
        <x:f>IF(M424=0,"",IF(H424="HOME",SUMIFS('Istoric_Nativ'!$G$6:$G$405,'Istoric_Nativ'!$B$6:$B$405,E424,'Istoric_Nativ'!$C$6:$C$405,F424,'Istoric_Nativ'!$E$6:$E$405,G424,'Istoric_Nativ'!$D$6:$D$405,"&lt;"&amp;J424,'Istoric_Nativ'!$P$6:$P$405,1,'Istoric_Nativ'!$D$6:$D$405,"&gt;="&amp;L424),IF(H424="AWAY",SUMIFS('Istoric_Nativ'!$H$6:$H$405,'Istoric_Nativ'!$B$6:$B$405,E424,'Istoric_Nativ'!$C$6:$C$405,F424,'Istoric_Nativ'!$F$6:$F$405,G424,'Istoric_Nativ'!$D$6:$D$405,"&lt;"&amp;J424,'Istoric_Nativ'!$P$6:$P$405,1,'Istoric_Nativ'!$D$6:$D$405,"&gt;="&amp;L424),SUMIFS('Istoric_Nativ'!$G$6:$G$405,'Istoric_Nativ'!$B$6:$B$405,E424,'Istoric_Nativ'!$C$6:$C$405,F424,'Istoric_Nativ'!$E$6:$E$405,G424,'Istoric_Nativ'!$D$6:$D$405,"&lt;"&amp;J424,'Istoric_Nativ'!$P$6:$P$405,1,'Istoric_Nativ'!$D$6:$D$405,"&gt;="&amp;L424)+SUMIFS('Istoric_Nativ'!$H$6:$H$405,'Istoric_Nativ'!$B$6:$B$405,E424,'Istoric_Nativ'!$C$6:$C$405,F424,'Istoric_Nativ'!$F$6:$F$405,G424,'Istoric_Nativ'!$D$6:$D$405,"&lt;"&amp;J424,'Istoric_Nativ'!$P$6:$P$405,1,'Istoric_Nativ'!$D$6:$D$405,"&gt;="&amp;L424)))/M424)</x:f>
      </x:c>
      <x:c r="O424" s="11" t="str">
        <x:f>IF(M424=0,"",IF(H424="HOME",SUMIFS('Istoric_Nativ'!$H$6:$H$405,'Istoric_Nativ'!$B$6:$B$405,E424,'Istoric_Nativ'!$C$6:$C$405,F424,'Istoric_Nativ'!$E$6:$E$405,G424,'Istoric_Nativ'!$D$6:$D$405,"&lt;"&amp;J424,'Istoric_Nativ'!$P$6:$P$405,1,'Istoric_Nativ'!$D$6:$D$405,"&gt;="&amp;L424),IF(H424="AWAY",SUMIFS('Istoric_Nativ'!$G$6:$G$405,'Istoric_Nativ'!$B$6:$B$405,E424,'Istoric_Nativ'!$C$6:$C$405,F424,'Istoric_Nativ'!$F$6:$F$405,G424,'Istoric_Nativ'!$D$6:$D$405,"&lt;"&amp;J424,'Istoric_Nativ'!$P$6:$P$405,1,'Istoric_Nativ'!$D$6:$D$405,"&gt;="&amp;L424),SUMIFS('Istoric_Nativ'!$H$6:$H$405,'Istoric_Nativ'!$B$6:$B$405,E424,'Istoric_Nativ'!$C$6:$C$405,F424,'Istoric_Nativ'!$E$6:$E$405,G424,'Istoric_Nativ'!$D$6:$D$405,"&lt;"&amp;J424,'Istoric_Nativ'!$P$6:$P$405,1,'Istoric_Nativ'!$D$6:$D$405,"&gt;="&amp;L424)+SUMIFS('Istoric_Nativ'!$G$6:$G$405,'Istoric_Nativ'!$B$6:$B$405,E424,'Istoric_Nativ'!$C$6:$C$405,F424,'Istoric_Nativ'!$F$6:$F$405,G424,'Istoric_Nativ'!$D$6:$D$405,"&lt;"&amp;J424,'Istoric_Nativ'!$P$6:$P$405,1,'Istoric_Nativ'!$D$6:$D$405,"&gt;="&amp;L424)))/M424)</x:f>
      </x:c>
      <x:c r="P424" s="2" t="n">
        <x:f>'Config_v6'!$B$8</x:f>
        <x:v>5</x:v>
      </x:c>
      <x:c r="Q424" s="2" t="n">
        <x:f>IF(OR(B424="",F424=""),0,IFERROR(MATCH(E424&amp;"|"&amp;F424,SourceTable[Source_Key],0),0))</x:f>
        <x:v>0</x:v>
      </x:c>
      <x:c r="R424" s="2" t="str">
        <x:f>IF(B424="","",IF(F424="","UNUSED",IF(Q424=0,"NOT CHECKED",IF(COUNTIF(SourceTable[Source_Key],E424&amp;"|"&amp;F424)&lt;&gt;1,"SOURCE CONFLICT",IF(NOT(OR(INDEX(SourceTable[Status],MAX(1,Q424))="IMPORTED",INDEX(SourceTable[Status],MAX(1,Q424))="PARTIAL",INDEX(SourceTable[Status],MAX(1,Q424))="SOURCE CONFLICT")),"ACCESS BLOCKED",IF(OR(INDEX(SourceTable[Coverage],Q424)&lt;&gt;"FULL SEASON EXPORT",INDEX(SourceTable[URL],Q424)="",INDEX(SourceTable[SHA256],Q424)=""),"EVIDENCE INCOMPLETE",IF(AND('Input_Meci'!H40="LIVE",INDEX(SourceTable[Retrieved_UTC],Q424)&gt;'Input_Meci'!G40),"POST CUTOFF","CLOSED")))))))</x:f>
      </x:c>
      <x:c r="S424" s="2" t="n">
        <x:f>IF(OR(B424="",F424=""),0,COUNTIFS('Istoric_Nativ'!$B$6:$B$405,E424,'Istoric_Nativ'!$C$6:$C$405,F424,'Istoric_Nativ'!$E$6:$E$405,G424,'Istoric_Nativ'!$D$6:$D$405,"&lt;"&amp;J424,'Istoric_Nativ'!$O$6:$O$405,"INVALID")+COUNTIFS('Istoric_Nativ'!$B$6:$B$405,E424,'Istoric_Nativ'!$C$6:$C$405,F424,'Istoric_Nativ'!$E$6:$E$405,G424,'Istoric_Nativ'!$O$6:$O$405,"INVALID",'Istoric_Nativ'!$D$6:$D$405,"*")+COUNTIFS('Istoric_Nativ'!$B$6:$B$405,E424,'Istoric_Nativ'!$C$6:$C$405,F424,'Istoric_Nativ'!$E$6:$E$405,G424,'Istoric_Nativ'!$D$6:$D$405,"&lt;"&amp;J424,'Istoric_Nativ'!$O$6:$O$405,"SOURCE CONFLICT")+COUNTIFS('Istoric_Nativ'!$B$6:$B$405,E424,'Istoric_Nativ'!$C$6:$C$405,F424,'Istoric_Nativ'!$F$6:$F$405,G424,'Istoric_Nativ'!$D$6:$D$405,"&lt;"&amp;J424,'Istoric_Nativ'!$O$6:$O$405,"INVALID")+COUNTIFS('Istoric_Nativ'!$B$6:$B$405,E424,'Istoric_Nativ'!$C$6:$C$405,F424,'Istoric_Nativ'!$F$6:$F$405,G424,'Istoric_Nativ'!$O$6:$O$405,"INVALID",'Istoric_Nativ'!$D$6:$D$405,"*")+COUNTIFS('Istoric_Nativ'!$B$6:$B$405,E424,'Istoric_Nativ'!$C$6:$C$405,F424,'Istoric_Nativ'!$F$6:$F$405,G424,'Istoric_Nativ'!$D$6:$D$405,"&lt;"&amp;J424,'Istoric_Nativ'!$O$6:$O$405,"SOURCE CONFLICT"))</x:f>
        <x:v>0</x:v>
      </x:c>
      <x:c r="T424" s="2" t="str">
        <x:f>IF(B424="","",IF(R424&lt;&gt;"CLOSED",R424,IF(S424&gt;0,"NATIVE INPUT ISSUE",IF(M424=0,"NO HISTORY",IF(M424&lt;P424,"SMALL SAMPLE","DERIVED")))))</x:f>
      </x:c>
      <x:c r="U424" s="2" t="str">
        <x:f>IF(B424="","","NativeTable; "&amp;E424&amp;"; "&amp;F424&amp;"; "&amp;G424&amp;"; "&amp;H424&amp;"; before "&amp;TEXT(J424,"yyyy-mm-dd")&amp;IF(I424="RECENT","; from "&amp;TEXT(L424,"yyyy-mm-dd"),""))</x:f>
      </x:c>
    </x:row>
    <x:row r="425" ht="21" customHeight="1">
      <x:c r="A425" s="2" t="n">
        <x:v>35</x:v>
      </x:c>
      <x:c r="B425" s="2" t="str">
        <x:f>IF('Input_Meci'!A40="","",'Input_Meci'!A40)</x:f>
      </x:c>
      <x:c r="C425" s="2" t="str">
        <x:v>A</x:v>
      </x:c>
      <x:c r="D425" s="2" t="str">
        <x:v>PRIOR</x:v>
      </x:c>
      <x:c r="E425" s="2" t="str">
        <x:f>IF(B425="","",'Input_Meci'!B40)</x:f>
      </x:c>
      <x:c r="F425" s="2" t="str">
        <x:f>IF(B425="","",IF('Input_Meci'!K40="","",'Input_Meci'!K40))</x:f>
      </x:c>
      <x:c r="G425" s="2" t="str">
        <x:f>IF(B425="","",'Input_Meci'!E40)</x:f>
      </x:c>
      <x:c r="H425" s="2" t="str">
        <x:v>ANY</x:v>
      </x:c>
      <x:c r="I425" s="2" t="str">
        <x:v>RECENT</x:v>
      </x:c>
      <x:c r="J425" s="9" t="n">
        <x:f>IF(AND(B425&lt;&gt;"",ISNUMBER('Input_Meci'!G40)),INT('Input_Meci'!G40),0)</x:f>
        <x:v>0</x:v>
      </x:c>
      <x:c r="K425" s="2" t="n">
        <x:f>IF(OR(B425="",F425=""),0,IF(H425="HOME",COUNTIFS('Istoric_Nativ'!$B$6:$B$405,E425,'Istoric_Nativ'!$C$6:$C$405,F425,'Istoric_Nativ'!$E$6:$E$405,G425,'Istoric_Nativ'!$D$6:$D$405,"&lt;"&amp;J425,'Istoric_Nativ'!$P$6:$P$405,1),IF(H425="AWAY",COUNTIFS('Istoric_Nativ'!$B$6:$B$405,E425,'Istoric_Nativ'!$C$6:$C$405,F425,'Istoric_Nativ'!$F$6:$F$405,G425,'Istoric_Nativ'!$D$6:$D$405,"&lt;"&amp;J425,'Istoric_Nativ'!$P$6:$P$405,1),COUNTIFS('Istoric_Nativ'!$B$6:$B$405,E425,'Istoric_Nativ'!$C$6:$C$405,F425,'Istoric_Nativ'!$E$6:$E$405,G425,'Istoric_Nativ'!$D$6:$D$405,"&lt;"&amp;J425,'Istoric_Nativ'!$P$6:$P$405,1)+COUNTIFS('Istoric_Nativ'!$B$6:$B$405,E425,'Istoric_Nativ'!$C$6:$C$405,F425,'Istoric_Nativ'!$F$6:$F$405,G425,'Istoric_Nativ'!$D$6:$D$405,"&lt;"&amp;J425,'Istoric_Nativ'!$P$6:$P$405,1))))</x:f>
        <x:v>0</x:v>
      </x:c>
      <x:c r="L425" s="17" t="n">
        <x:f>IF(AND(B425&lt;&gt;"",I425="RECENT",K425&gt;0),LARGE(_xlfn._xlws.FILTER('Istoric_Nativ'!$D$6:$D$405,('Istoric_Nativ'!$B$6:$B$405=E425)*('Istoric_Nativ'!$C$6:$C$405=F425)*('Istoric_Nativ'!$P$6:$P$405=1)*('Istoric_Nativ'!$D$6:$D$405&lt;J425)*((('Istoric_Nativ'!$E$6:$E$405=G425)+('Istoric_Nativ'!$F$6:$F$405=G425))&gt;0)),MIN('Config_v6'!$B$54,K425)),0)</x:f>
        <x:v>0</x:v>
      </x:c>
      <x:c r="M425" s="2" t="n">
        <x:f>IF(OR(B425="",F425=""),0,IF(H425="HOME",COUNTIFS('Istoric_Nativ'!$B$6:$B$405,E425,'Istoric_Nativ'!$C$6:$C$405,F425,'Istoric_Nativ'!$E$6:$E$405,G425,'Istoric_Nativ'!$D$6:$D$405,"&lt;"&amp;J425,'Istoric_Nativ'!$P$6:$P$405,1,'Istoric_Nativ'!$D$6:$D$405,"&gt;="&amp;L425),IF(H425="AWAY",COUNTIFS('Istoric_Nativ'!$B$6:$B$405,E425,'Istoric_Nativ'!$C$6:$C$405,F425,'Istoric_Nativ'!$F$6:$F$405,G425,'Istoric_Nativ'!$D$6:$D$405,"&lt;"&amp;J425,'Istoric_Nativ'!$P$6:$P$405,1,'Istoric_Nativ'!$D$6:$D$405,"&gt;="&amp;L425),COUNTIFS('Istoric_Nativ'!$B$6:$B$405,E425,'Istoric_Nativ'!$C$6:$C$405,F425,'Istoric_Nativ'!$E$6:$E$405,G425,'Istoric_Nativ'!$D$6:$D$405,"&lt;"&amp;J425,'Istoric_Nativ'!$P$6:$P$405,1,'Istoric_Nativ'!$D$6:$D$405,"&gt;="&amp;L425)+COUNTIFS('Istoric_Nativ'!$B$6:$B$405,E425,'Istoric_Nativ'!$C$6:$C$405,F425,'Istoric_Nativ'!$F$6:$F$405,G425,'Istoric_Nativ'!$D$6:$D$405,"&lt;"&amp;J425,'Istoric_Nativ'!$P$6:$P$405,1,'Istoric_Nativ'!$D$6:$D$405,"&gt;="&amp;L425))))</x:f>
        <x:v>0</x:v>
      </x:c>
      <x:c r="N425" s="11" t="str">
        <x:f>IF(M425=0,"",IF(H425="HOME",SUMIFS('Istoric_Nativ'!$G$6:$G$405,'Istoric_Nativ'!$B$6:$B$405,E425,'Istoric_Nativ'!$C$6:$C$405,F425,'Istoric_Nativ'!$E$6:$E$405,G425,'Istoric_Nativ'!$D$6:$D$405,"&lt;"&amp;J425,'Istoric_Nativ'!$P$6:$P$405,1,'Istoric_Nativ'!$D$6:$D$405,"&gt;="&amp;L425),IF(H425="AWAY",SUMIFS('Istoric_Nativ'!$H$6:$H$405,'Istoric_Nativ'!$B$6:$B$405,E425,'Istoric_Nativ'!$C$6:$C$405,F425,'Istoric_Nativ'!$F$6:$F$405,G425,'Istoric_Nativ'!$D$6:$D$405,"&lt;"&amp;J425,'Istoric_Nativ'!$P$6:$P$405,1,'Istoric_Nativ'!$D$6:$D$405,"&gt;="&amp;L425),SUMIFS('Istoric_Nativ'!$G$6:$G$405,'Istoric_Nativ'!$B$6:$B$405,E425,'Istoric_Nativ'!$C$6:$C$405,F425,'Istoric_Nativ'!$E$6:$E$405,G425,'Istoric_Nativ'!$D$6:$D$405,"&lt;"&amp;J425,'Istoric_Nativ'!$P$6:$P$405,1,'Istoric_Nativ'!$D$6:$D$405,"&gt;="&amp;L425)+SUMIFS('Istoric_Nativ'!$H$6:$H$405,'Istoric_Nativ'!$B$6:$B$405,E425,'Istoric_Nativ'!$C$6:$C$405,F425,'Istoric_Nativ'!$F$6:$F$405,G425,'Istoric_Nativ'!$D$6:$D$405,"&lt;"&amp;J425,'Istoric_Nativ'!$P$6:$P$405,1,'Istoric_Nativ'!$D$6:$D$405,"&gt;="&amp;L425)))/M425)</x:f>
      </x:c>
      <x:c r="O425" s="11" t="str">
        <x:f>IF(M425=0,"",IF(H425="HOME",SUMIFS('Istoric_Nativ'!$H$6:$H$405,'Istoric_Nativ'!$B$6:$B$405,E425,'Istoric_Nativ'!$C$6:$C$405,F425,'Istoric_Nativ'!$E$6:$E$405,G425,'Istoric_Nativ'!$D$6:$D$405,"&lt;"&amp;J425,'Istoric_Nativ'!$P$6:$P$405,1,'Istoric_Nativ'!$D$6:$D$405,"&gt;="&amp;L425),IF(H425="AWAY",SUMIFS('Istoric_Nativ'!$G$6:$G$405,'Istoric_Nativ'!$B$6:$B$405,E425,'Istoric_Nativ'!$C$6:$C$405,F425,'Istoric_Nativ'!$F$6:$F$405,G425,'Istoric_Nativ'!$D$6:$D$405,"&lt;"&amp;J425,'Istoric_Nativ'!$P$6:$P$405,1,'Istoric_Nativ'!$D$6:$D$405,"&gt;="&amp;L425),SUMIFS('Istoric_Nativ'!$H$6:$H$405,'Istoric_Nativ'!$B$6:$B$405,E425,'Istoric_Nativ'!$C$6:$C$405,F425,'Istoric_Nativ'!$E$6:$E$405,G425,'Istoric_Nativ'!$D$6:$D$405,"&lt;"&amp;J425,'Istoric_Nativ'!$P$6:$P$405,1,'Istoric_Nativ'!$D$6:$D$405,"&gt;="&amp;L425)+SUMIFS('Istoric_Nativ'!$G$6:$G$405,'Istoric_Nativ'!$B$6:$B$405,E425,'Istoric_Nativ'!$C$6:$C$405,F425,'Istoric_Nativ'!$F$6:$F$405,G425,'Istoric_Nativ'!$D$6:$D$405,"&lt;"&amp;J425,'Istoric_Nativ'!$P$6:$P$405,1,'Istoric_Nativ'!$D$6:$D$405,"&gt;="&amp;L425)))/M425)</x:f>
      </x:c>
      <x:c r="P425" s="2" t="n">
        <x:f>'Config_v6'!$B$9</x:f>
        <x:v>3</x:v>
      </x:c>
      <x:c r="Q425" s="2" t="n">
        <x:f>IF(OR(B425="",F425=""),0,IFERROR(MATCH(E425&amp;"|"&amp;F425,SourceTable[Source_Key],0),0))</x:f>
        <x:v>0</x:v>
      </x:c>
      <x:c r="R425" s="2" t="str">
        <x:f>IF(B425="","",IF(F425="","UNUSED",IF(Q425=0,"NOT CHECKED",IF(COUNTIF(SourceTable[Source_Key],E425&amp;"|"&amp;F425)&lt;&gt;1,"SOURCE CONFLICT",IF(NOT(OR(INDEX(SourceTable[Status],MAX(1,Q425))="IMPORTED",INDEX(SourceTable[Status],MAX(1,Q425))="PARTIAL",INDEX(SourceTable[Status],MAX(1,Q425))="SOURCE CONFLICT")),"ACCESS BLOCKED",IF(OR(INDEX(SourceTable[Coverage],Q425)&lt;&gt;"FULL SEASON EXPORT",INDEX(SourceTable[URL],Q425)="",INDEX(SourceTable[SHA256],Q425)=""),"EVIDENCE INCOMPLETE",IF(AND('Input_Meci'!H40="LIVE",INDEX(SourceTable[Retrieved_UTC],Q425)&gt;'Input_Meci'!G40),"POST CUTOFF","CLOSED")))))))</x:f>
      </x:c>
      <x:c r="S425" s="2" t="n">
        <x:f>IF(OR(B425="",F425=""),0,COUNTIFS('Istoric_Nativ'!$B$6:$B$405,E425,'Istoric_Nativ'!$C$6:$C$405,F425,'Istoric_Nativ'!$E$6:$E$405,G425,'Istoric_Nativ'!$D$6:$D$405,"&lt;"&amp;J425,'Istoric_Nativ'!$O$6:$O$405,"INVALID")+COUNTIFS('Istoric_Nativ'!$B$6:$B$405,E425,'Istoric_Nativ'!$C$6:$C$405,F425,'Istoric_Nativ'!$E$6:$E$405,G425,'Istoric_Nativ'!$O$6:$O$405,"INVALID",'Istoric_Nativ'!$D$6:$D$405,"*")+COUNTIFS('Istoric_Nativ'!$B$6:$B$405,E425,'Istoric_Nativ'!$C$6:$C$405,F425,'Istoric_Nativ'!$E$6:$E$405,G425,'Istoric_Nativ'!$D$6:$D$405,"&lt;"&amp;J425,'Istoric_Nativ'!$O$6:$O$405,"SOURCE CONFLICT")+COUNTIFS('Istoric_Nativ'!$B$6:$B$405,E425,'Istoric_Nativ'!$C$6:$C$405,F425,'Istoric_Nativ'!$F$6:$F$405,G425,'Istoric_Nativ'!$D$6:$D$405,"&lt;"&amp;J425,'Istoric_Nativ'!$O$6:$O$405,"INVALID")+COUNTIFS('Istoric_Nativ'!$B$6:$B$405,E425,'Istoric_Nativ'!$C$6:$C$405,F425,'Istoric_Nativ'!$F$6:$F$405,G425,'Istoric_Nativ'!$O$6:$O$405,"INVALID",'Istoric_Nativ'!$D$6:$D$405,"*")+COUNTIFS('Istoric_Nativ'!$B$6:$B$405,E425,'Istoric_Nativ'!$C$6:$C$405,F425,'Istoric_Nativ'!$F$6:$F$405,G425,'Istoric_Nativ'!$D$6:$D$405,"&lt;"&amp;J425,'Istoric_Nativ'!$O$6:$O$405,"SOURCE CONFLICT"))</x:f>
        <x:v>0</x:v>
      </x:c>
      <x:c r="T425" s="2" t="str">
        <x:f>IF(B425="","",IF(R425&lt;&gt;"CLOSED",R425,IF(S425&gt;0,"NATIVE INPUT ISSUE",IF(M425=0,"NO HISTORY",IF(M425&lt;P425,"SMALL SAMPLE","DERIVED")))))</x:f>
      </x:c>
      <x:c r="U425" s="2" t="str">
        <x:f>IF(B425="","","NativeTable; "&amp;E425&amp;"; "&amp;F425&amp;"; "&amp;G425&amp;"; "&amp;H425&amp;"; before "&amp;TEXT(J425,"yyyy-mm-dd")&amp;IF(I425="RECENT","; from "&amp;TEXT(L425,"yyyy-mm-dd"),""))</x:f>
      </x:c>
    </x:row>
    <x:row r="426" ht="21" customHeight="1">
      <x:c r="A426" s="2" t="n">
        <x:v>36</x:v>
      </x:c>
      <x:c r="B426" s="2" t="str">
        <x:f>IF('Input_Meci'!A41="","",'Input_Meci'!A41)</x:f>
      </x:c>
      <x:c r="C426" s="2" t="str">
        <x:v>H</x:v>
      </x:c>
      <x:c r="D426" s="2" t="str">
        <x:v>CURRENT</x:v>
      </x:c>
      <x:c r="E426" s="2" t="str">
        <x:f>IF(B426="","",'Input_Meci'!B41)</x:f>
      </x:c>
      <x:c r="F426" s="2" t="str">
        <x:f>IF(B426="","",IF('Input_Meci'!C41="","",'Input_Meci'!C41))</x:f>
      </x:c>
      <x:c r="G426" s="2" t="str">
        <x:f>IF(B426="","",'Input_Meci'!D41)</x:f>
      </x:c>
      <x:c r="H426" s="2" t="str">
        <x:v>ANY</x:v>
      </x:c>
      <x:c r="I426" s="2" t="str">
        <x:v>SEASON</x:v>
      </x:c>
      <x:c r="J426" s="9" t="n">
        <x:f>IF(AND(B426&lt;&gt;"",ISNUMBER('Input_Meci'!G41)),INT('Input_Meci'!G41),0)</x:f>
        <x:v>0</x:v>
      </x:c>
      <x:c r="K426" s="2" t="n">
        <x:f>IF(OR(B426="",F426=""),0,IF(H426="HOME",COUNTIFS('Istoric_Nativ'!$B$6:$B$405,E426,'Istoric_Nativ'!$C$6:$C$405,F426,'Istoric_Nativ'!$E$6:$E$405,G426,'Istoric_Nativ'!$D$6:$D$405,"&lt;"&amp;J426,'Istoric_Nativ'!$P$6:$P$405,1),IF(H426="AWAY",COUNTIFS('Istoric_Nativ'!$B$6:$B$405,E426,'Istoric_Nativ'!$C$6:$C$405,F426,'Istoric_Nativ'!$F$6:$F$405,G426,'Istoric_Nativ'!$D$6:$D$405,"&lt;"&amp;J426,'Istoric_Nativ'!$P$6:$P$405,1),COUNTIFS('Istoric_Nativ'!$B$6:$B$405,E426,'Istoric_Nativ'!$C$6:$C$405,F426,'Istoric_Nativ'!$E$6:$E$405,G426,'Istoric_Nativ'!$D$6:$D$405,"&lt;"&amp;J426,'Istoric_Nativ'!$P$6:$P$405,1)+COUNTIFS('Istoric_Nativ'!$B$6:$B$405,E426,'Istoric_Nativ'!$C$6:$C$405,F426,'Istoric_Nativ'!$F$6:$F$405,G426,'Istoric_Nativ'!$D$6:$D$405,"&lt;"&amp;J426,'Istoric_Nativ'!$P$6:$P$405,1))))</x:f>
        <x:v>0</x:v>
      </x:c>
      <x:c r="L426" s="17" t="n">
        <x:f>IF(AND(B426&lt;&gt;"",I426="RECENT",K426&gt;0),LARGE(_xlfn._xlws.FILTER('Istoric_Nativ'!$D$6:$D$405,('Istoric_Nativ'!$B$6:$B$405=E426)*('Istoric_Nativ'!$C$6:$C$405=F426)*('Istoric_Nativ'!$P$6:$P$405=1)*('Istoric_Nativ'!$D$6:$D$405&lt;J426)*((('Istoric_Nativ'!$E$6:$E$405=G426)+('Istoric_Nativ'!$F$6:$F$405=G426))&gt;0)),MIN('Config_v6'!$B$54,K426)),0)</x:f>
        <x:v>0</x:v>
      </x:c>
      <x:c r="M426" s="2" t="n">
        <x:f>IF(OR(B426="",F426=""),0,IF(H426="HOME",COUNTIFS('Istoric_Nativ'!$B$6:$B$405,E426,'Istoric_Nativ'!$C$6:$C$405,F426,'Istoric_Nativ'!$E$6:$E$405,G426,'Istoric_Nativ'!$D$6:$D$405,"&lt;"&amp;J426,'Istoric_Nativ'!$P$6:$P$405,1,'Istoric_Nativ'!$D$6:$D$405,"&gt;="&amp;L426),IF(H426="AWAY",COUNTIFS('Istoric_Nativ'!$B$6:$B$405,E426,'Istoric_Nativ'!$C$6:$C$405,F426,'Istoric_Nativ'!$F$6:$F$405,G426,'Istoric_Nativ'!$D$6:$D$405,"&lt;"&amp;J426,'Istoric_Nativ'!$P$6:$P$405,1,'Istoric_Nativ'!$D$6:$D$405,"&gt;="&amp;L426),COUNTIFS('Istoric_Nativ'!$B$6:$B$405,E426,'Istoric_Nativ'!$C$6:$C$405,F426,'Istoric_Nativ'!$E$6:$E$405,G426,'Istoric_Nativ'!$D$6:$D$405,"&lt;"&amp;J426,'Istoric_Nativ'!$P$6:$P$405,1,'Istoric_Nativ'!$D$6:$D$405,"&gt;="&amp;L426)+COUNTIFS('Istoric_Nativ'!$B$6:$B$405,E426,'Istoric_Nativ'!$C$6:$C$405,F426,'Istoric_Nativ'!$F$6:$F$405,G426,'Istoric_Nativ'!$D$6:$D$405,"&lt;"&amp;J426,'Istoric_Nativ'!$P$6:$P$405,1,'Istoric_Nativ'!$D$6:$D$405,"&gt;="&amp;L426))))</x:f>
        <x:v>0</x:v>
      </x:c>
      <x:c r="N426" s="11" t="str">
        <x:f>IF(M426=0,"",IF(H426="HOME",SUMIFS('Istoric_Nativ'!$G$6:$G$405,'Istoric_Nativ'!$B$6:$B$405,E426,'Istoric_Nativ'!$C$6:$C$405,F426,'Istoric_Nativ'!$E$6:$E$405,G426,'Istoric_Nativ'!$D$6:$D$405,"&lt;"&amp;J426,'Istoric_Nativ'!$P$6:$P$405,1,'Istoric_Nativ'!$D$6:$D$405,"&gt;="&amp;L426),IF(H426="AWAY",SUMIFS('Istoric_Nativ'!$H$6:$H$405,'Istoric_Nativ'!$B$6:$B$405,E426,'Istoric_Nativ'!$C$6:$C$405,F426,'Istoric_Nativ'!$F$6:$F$405,G426,'Istoric_Nativ'!$D$6:$D$405,"&lt;"&amp;J426,'Istoric_Nativ'!$P$6:$P$405,1,'Istoric_Nativ'!$D$6:$D$405,"&gt;="&amp;L426),SUMIFS('Istoric_Nativ'!$G$6:$G$405,'Istoric_Nativ'!$B$6:$B$405,E426,'Istoric_Nativ'!$C$6:$C$405,F426,'Istoric_Nativ'!$E$6:$E$405,G426,'Istoric_Nativ'!$D$6:$D$405,"&lt;"&amp;J426,'Istoric_Nativ'!$P$6:$P$405,1,'Istoric_Nativ'!$D$6:$D$405,"&gt;="&amp;L426)+SUMIFS('Istoric_Nativ'!$H$6:$H$405,'Istoric_Nativ'!$B$6:$B$405,E426,'Istoric_Nativ'!$C$6:$C$405,F426,'Istoric_Nativ'!$F$6:$F$405,G426,'Istoric_Nativ'!$D$6:$D$405,"&lt;"&amp;J426,'Istoric_Nativ'!$P$6:$P$405,1,'Istoric_Nativ'!$D$6:$D$405,"&gt;="&amp;L426)))/M426)</x:f>
      </x:c>
      <x:c r="O426" s="11" t="str">
        <x:f>IF(M426=0,"",IF(H426="HOME",SUMIFS('Istoric_Nativ'!$H$6:$H$405,'Istoric_Nativ'!$B$6:$B$405,E426,'Istoric_Nativ'!$C$6:$C$405,F426,'Istoric_Nativ'!$E$6:$E$405,G426,'Istoric_Nativ'!$D$6:$D$405,"&lt;"&amp;J426,'Istoric_Nativ'!$P$6:$P$405,1,'Istoric_Nativ'!$D$6:$D$405,"&gt;="&amp;L426),IF(H426="AWAY",SUMIFS('Istoric_Nativ'!$G$6:$G$405,'Istoric_Nativ'!$B$6:$B$405,E426,'Istoric_Nativ'!$C$6:$C$405,F426,'Istoric_Nativ'!$F$6:$F$405,G426,'Istoric_Nativ'!$D$6:$D$405,"&lt;"&amp;J426,'Istoric_Nativ'!$P$6:$P$405,1,'Istoric_Nativ'!$D$6:$D$405,"&gt;="&amp;L426),SUMIFS('Istoric_Nativ'!$H$6:$H$405,'Istoric_Nativ'!$B$6:$B$405,E426,'Istoric_Nativ'!$C$6:$C$405,F426,'Istoric_Nativ'!$E$6:$E$405,G426,'Istoric_Nativ'!$D$6:$D$405,"&lt;"&amp;J426,'Istoric_Nativ'!$P$6:$P$405,1,'Istoric_Nativ'!$D$6:$D$405,"&gt;="&amp;L426)+SUMIFS('Istoric_Nativ'!$G$6:$G$405,'Istoric_Nativ'!$B$6:$B$405,E426,'Istoric_Nativ'!$C$6:$C$405,F426,'Istoric_Nativ'!$F$6:$F$405,G426,'Istoric_Nativ'!$D$6:$D$405,"&lt;"&amp;J426,'Istoric_Nativ'!$P$6:$P$405,1,'Istoric_Nativ'!$D$6:$D$405,"&gt;="&amp;L426)))/M426)</x:f>
      </x:c>
      <x:c r="P426" s="2" t="n">
        <x:f>'Config_v6'!$B$7</x:f>
        <x:v>10</x:v>
      </x:c>
      <x:c r="Q426" s="2" t="n">
        <x:f>IF(OR(B426="",F426=""),0,IFERROR(MATCH(E426&amp;"|"&amp;F426,SourceTable[Source_Key],0),0))</x:f>
        <x:v>0</x:v>
      </x:c>
      <x:c r="R426" s="2" t="str">
        <x:f>IF(B426="","",IF(F426="","UNUSED",IF(Q426=0,"NOT CHECKED",IF(COUNTIF(SourceTable[Source_Key],E426&amp;"|"&amp;F426)&lt;&gt;1,"SOURCE CONFLICT",IF(NOT(OR(INDEX(SourceTable[Status],MAX(1,Q426))="IMPORTED",INDEX(SourceTable[Status],MAX(1,Q426))="PARTIAL",INDEX(SourceTable[Status],MAX(1,Q426))="SOURCE CONFLICT")),"ACCESS BLOCKED",IF(OR(INDEX(SourceTable[Coverage],Q426)&lt;&gt;"FULL SEASON EXPORT",INDEX(SourceTable[URL],Q426)="",INDEX(SourceTable[SHA256],Q426)=""),"EVIDENCE INCOMPLETE",IF(AND('Input_Meci'!H41="LIVE",INDEX(SourceTable[Retrieved_UTC],Q426)&gt;'Input_Meci'!G41),"POST CUTOFF","CLOSED")))))))</x:f>
      </x:c>
      <x:c r="S426" s="2" t="n">
        <x:f>IF(OR(B426="",F426=""),0,COUNTIFS('Istoric_Nativ'!$B$6:$B$405,E426,'Istoric_Nativ'!$C$6:$C$405,F426,'Istoric_Nativ'!$E$6:$E$405,G426,'Istoric_Nativ'!$D$6:$D$405,"&lt;"&amp;J426,'Istoric_Nativ'!$O$6:$O$405,"INVALID")+COUNTIFS('Istoric_Nativ'!$B$6:$B$405,E426,'Istoric_Nativ'!$C$6:$C$405,F426,'Istoric_Nativ'!$E$6:$E$405,G426,'Istoric_Nativ'!$O$6:$O$405,"INVALID",'Istoric_Nativ'!$D$6:$D$405,"*")+COUNTIFS('Istoric_Nativ'!$B$6:$B$405,E426,'Istoric_Nativ'!$C$6:$C$405,F426,'Istoric_Nativ'!$E$6:$E$405,G426,'Istoric_Nativ'!$D$6:$D$405,"&lt;"&amp;J426,'Istoric_Nativ'!$O$6:$O$405,"SOURCE CONFLICT")+COUNTIFS('Istoric_Nativ'!$B$6:$B$405,E426,'Istoric_Nativ'!$C$6:$C$405,F426,'Istoric_Nativ'!$F$6:$F$405,G426,'Istoric_Nativ'!$D$6:$D$405,"&lt;"&amp;J426,'Istoric_Nativ'!$O$6:$O$405,"INVALID")+COUNTIFS('Istoric_Nativ'!$B$6:$B$405,E426,'Istoric_Nativ'!$C$6:$C$405,F426,'Istoric_Nativ'!$F$6:$F$405,G426,'Istoric_Nativ'!$O$6:$O$405,"INVALID",'Istoric_Nativ'!$D$6:$D$405,"*")+COUNTIFS('Istoric_Nativ'!$B$6:$B$405,E426,'Istoric_Nativ'!$C$6:$C$405,F426,'Istoric_Nativ'!$F$6:$F$405,G426,'Istoric_Nativ'!$D$6:$D$405,"&lt;"&amp;J426,'Istoric_Nativ'!$O$6:$O$405,"SOURCE CONFLICT"))</x:f>
        <x:v>0</x:v>
      </x:c>
      <x:c r="T426" s="2" t="str">
        <x:f>IF(B426="","",IF(R426&lt;&gt;"CLOSED",R426,IF(S426&gt;0,"NATIVE INPUT ISSUE",IF(M426=0,"NO HISTORY",IF(M426&lt;P426,"SMALL SAMPLE","DERIVED")))))</x:f>
      </x:c>
      <x:c r="U426" s="2" t="str">
        <x:f>IF(B426="","","NativeTable; "&amp;E426&amp;"; "&amp;F426&amp;"; "&amp;G426&amp;"; "&amp;H426&amp;"; before "&amp;TEXT(J426,"yyyy-mm-dd")&amp;IF(I426="RECENT","; from "&amp;TEXT(L426,"yyyy-mm-dd"),""))</x:f>
      </x:c>
    </x:row>
    <x:row r="427" ht="21" customHeight="1">
      <x:c r="A427" s="2" t="n">
        <x:v>36</x:v>
      </x:c>
      <x:c r="B427" s="2" t="str">
        <x:f>IF('Input_Meci'!A41="","",'Input_Meci'!A41)</x:f>
      </x:c>
      <x:c r="C427" s="2" t="str">
        <x:v>H</x:v>
      </x:c>
      <x:c r="D427" s="2" t="str">
        <x:v>CURRENT</x:v>
      </x:c>
      <x:c r="E427" s="2" t="str">
        <x:f>IF(B427="","",'Input_Meci'!B41)</x:f>
      </x:c>
      <x:c r="F427" s="2" t="str">
        <x:f>IF(B427="","",IF('Input_Meci'!C41="","",'Input_Meci'!C41))</x:f>
      </x:c>
      <x:c r="G427" s="2" t="str">
        <x:f>IF(B427="","",'Input_Meci'!D41)</x:f>
      </x:c>
      <x:c r="H427" s="2" t="str">
        <x:v>HOME</x:v>
      </x:c>
      <x:c r="I427" s="2" t="str">
        <x:v>HA</x:v>
      </x:c>
      <x:c r="J427" s="9" t="n">
        <x:f>IF(AND(B427&lt;&gt;"",ISNUMBER('Input_Meci'!G41)),INT('Input_Meci'!G41),0)</x:f>
        <x:v>0</x:v>
      </x:c>
      <x:c r="K427" s="2" t="n">
        <x:f>IF(OR(B427="",F427=""),0,IF(H427="HOME",COUNTIFS('Istoric_Nativ'!$B$6:$B$405,E427,'Istoric_Nativ'!$C$6:$C$405,F427,'Istoric_Nativ'!$E$6:$E$405,G427,'Istoric_Nativ'!$D$6:$D$405,"&lt;"&amp;J427,'Istoric_Nativ'!$P$6:$P$405,1),IF(H427="AWAY",COUNTIFS('Istoric_Nativ'!$B$6:$B$405,E427,'Istoric_Nativ'!$C$6:$C$405,F427,'Istoric_Nativ'!$F$6:$F$405,G427,'Istoric_Nativ'!$D$6:$D$405,"&lt;"&amp;J427,'Istoric_Nativ'!$P$6:$P$405,1),COUNTIFS('Istoric_Nativ'!$B$6:$B$405,E427,'Istoric_Nativ'!$C$6:$C$405,F427,'Istoric_Nativ'!$E$6:$E$405,G427,'Istoric_Nativ'!$D$6:$D$405,"&lt;"&amp;J427,'Istoric_Nativ'!$P$6:$P$405,1)+COUNTIFS('Istoric_Nativ'!$B$6:$B$405,E427,'Istoric_Nativ'!$C$6:$C$405,F427,'Istoric_Nativ'!$F$6:$F$405,G427,'Istoric_Nativ'!$D$6:$D$405,"&lt;"&amp;J427,'Istoric_Nativ'!$P$6:$P$405,1))))</x:f>
        <x:v>0</x:v>
      </x:c>
      <x:c r="L427" s="17" t="n">
        <x:f>IF(AND(B427&lt;&gt;"",I427="RECENT",K427&gt;0),LARGE(_xlfn._xlws.FILTER('Istoric_Nativ'!$D$6:$D$405,('Istoric_Nativ'!$B$6:$B$405=E427)*('Istoric_Nativ'!$C$6:$C$405=F427)*('Istoric_Nativ'!$P$6:$P$405=1)*('Istoric_Nativ'!$D$6:$D$405&lt;J427)*((('Istoric_Nativ'!$E$6:$E$405=G427)+('Istoric_Nativ'!$F$6:$F$405=G427))&gt;0)),MIN('Config_v6'!$B$54,K427)),0)</x:f>
        <x:v>0</x:v>
      </x:c>
      <x:c r="M427" s="2" t="n">
        <x:f>IF(OR(B427="",F427=""),0,IF(H427="HOME",COUNTIFS('Istoric_Nativ'!$B$6:$B$405,E427,'Istoric_Nativ'!$C$6:$C$405,F427,'Istoric_Nativ'!$E$6:$E$405,G427,'Istoric_Nativ'!$D$6:$D$405,"&lt;"&amp;J427,'Istoric_Nativ'!$P$6:$P$405,1,'Istoric_Nativ'!$D$6:$D$405,"&gt;="&amp;L427),IF(H427="AWAY",COUNTIFS('Istoric_Nativ'!$B$6:$B$405,E427,'Istoric_Nativ'!$C$6:$C$405,F427,'Istoric_Nativ'!$F$6:$F$405,G427,'Istoric_Nativ'!$D$6:$D$405,"&lt;"&amp;J427,'Istoric_Nativ'!$P$6:$P$405,1,'Istoric_Nativ'!$D$6:$D$405,"&gt;="&amp;L427),COUNTIFS('Istoric_Nativ'!$B$6:$B$405,E427,'Istoric_Nativ'!$C$6:$C$405,F427,'Istoric_Nativ'!$E$6:$E$405,G427,'Istoric_Nativ'!$D$6:$D$405,"&lt;"&amp;J427,'Istoric_Nativ'!$P$6:$P$405,1,'Istoric_Nativ'!$D$6:$D$405,"&gt;="&amp;L427)+COUNTIFS('Istoric_Nativ'!$B$6:$B$405,E427,'Istoric_Nativ'!$C$6:$C$405,F427,'Istoric_Nativ'!$F$6:$F$405,G427,'Istoric_Nativ'!$D$6:$D$405,"&lt;"&amp;J427,'Istoric_Nativ'!$P$6:$P$405,1,'Istoric_Nativ'!$D$6:$D$405,"&gt;="&amp;L427))))</x:f>
        <x:v>0</x:v>
      </x:c>
      <x:c r="N427" s="11" t="str">
        <x:f>IF(M427=0,"",IF(H427="HOME",SUMIFS('Istoric_Nativ'!$G$6:$G$405,'Istoric_Nativ'!$B$6:$B$405,E427,'Istoric_Nativ'!$C$6:$C$405,F427,'Istoric_Nativ'!$E$6:$E$405,G427,'Istoric_Nativ'!$D$6:$D$405,"&lt;"&amp;J427,'Istoric_Nativ'!$P$6:$P$405,1,'Istoric_Nativ'!$D$6:$D$405,"&gt;="&amp;L427),IF(H427="AWAY",SUMIFS('Istoric_Nativ'!$H$6:$H$405,'Istoric_Nativ'!$B$6:$B$405,E427,'Istoric_Nativ'!$C$6:$C$405,F427,'Istoric_Nativ'!$F$6:$F$405,G427,'Istoric_Nativ'!$D$6:$D$405,"&lt;"&amp;J427,'Istoric_Nativ'!$P$6:$P$405,1,'Istoric_Nativ'!$D$6:$D$405,"&gt;="&amp;L427),SUMIFS('Istoric_Nativ'!$G$6:$G$405,'Istoric_Nativ'!$B$6:$B$405,E427,'Istoric_Nativ'!$C$6:$C$405,F427,'Istoric_Nativ'!$E$6:$E$405,G427,'Istoric_Nativ'!$D$6:$D$405,"&lt;"&amp;J427,'Istoric_Nativ'!$P$6:$P$405,1,'Istoric_Nativ'!$D$6:$D$405,"&gt;="&amp;L427)+SUMIFS('Istoric_Nativ'!$H$6:$H$405,'Istoric_Nativ'!$B$6:$B$405,E427,'Istoric_Nativ'!$C$6:$C$405,F427,'Istoric_Nativ'!$F$6:$F$405,G427,'Istoric_Nativ'!$D$6:$D$405,"&lt;"&amp;J427,'Istoric_Nativ'!$P$6:$P$405,1,'Istoric_Nativ'!$D$6:$D$405,"&gt;="&amp;L427)))/M427)</x:f>
      </x:c>
      <x:c r="O427" s="11" t="str">
        <x:f>IF(M427=0,"",IF(H427="HOME",SUMIFS('Istoric_Nativ'!$H$6:$H$405,'Istoric_Nativ'!$B$6:$B$405,E427,'Istoric_Nativ'!$C$6:$C$405,F427,'Istoric_Nativ'!$E$6:$E$405,G427,'Istoric_Nativ'!$D$6:$D$405,"&lt;"&amp;J427,'Istoric_Nativ'!$P$6:$P$405,1,'Istoric_Nativ'!$D$6:$D$405,"&gt;="&amp;L427),IF(H427="AWAY",SUMIFS('Istoric_Nativ'!$G$6:$G$405,'Istoric_Nativ'!$B$6:$B$405,E427,'Istoric_Nativ'!$C$6:$C$405,F427,'Istoric_Nativ'!$F$6:$F$405,G427,'Istoric_Nativ'!$D$6:$D$405,"&lt;"&amp;J427,'Istoric_Nativ'!$P$6:$P$405,1,'Istoric_Nativ'!$D$6:$D$405,"&gt;="&amp;L427),SUMIFS('Istoric_Nativ'!$H$6:$H$405,'Istoric_Nativ'!$B$6:$B$405,E427,'Istoric_Nativ'!$C$6:$C$405,F427,'Istoric_Nativ'!$E$6:$E$405,G427,'Istoric_Nativ'!$D$6:$D$405,"&lt;"&amp;J427,'Istoric_Nativ'!$P$6:$P$405,1,'Istoric_Nativ'!$D$6:$D$405,"&gt;="&amp;L427)+SUMIFS('Istoric_Nativ'!$G$6:$G$405,'Istoric_Nativ'!$B$6:$B$405,E427,'Istoric_Nativ'!$C$6:$C$405,F427,'Istoric_Nativ'!$F$6:$F$405,G427,'Istoric_Nativ'!$D$6:$D$405,"&lt;"&amp;J427,'Istoric_Nativ'!$P$6:$P$405,1,'Istoric_Nativ'!$D$6:$D$405,"&gt;="&amp;L427)))/M427)</x:f>
      </x:c>
      <x:c r="P427" s="2" t="n">
        <x:f>'Config_v6'!$B$8</x:f>
        <x:v>5</x:v>
      </x:c>
      <x:c r="Q427" s="2" t="n">
        <x:f>IF(OR(B427="",F427=""),0,IFERROR(MATCH(E427&amp;"|"&amp;F427,SourceTable[Source_Key],0),0))</x:f>
        <x:v>0</x:v>
      </x:c>
      <x:c r="R427" s="2" t="str">
        <x:f>IF(B427="","",IF(F427="","UNUSED",IF(Q427=0,"NOT CHECKED",IF(COUNTIF(SourceTable[Source_Key],E427&amp;"|"&amp;F427)&lt;&gt;1,"SOURCE CONFLICT",IF(NOT(OR(INDEX(SourceTable[Status],MAX(1,Q427))="IMPORTED",INDEX(SourceTable[Status],MAX(1,Q427))="PARTIAL",INDEX(SourceTable[Status],MAX(1,Q427))="SOURCE CONFLICT")),"ACCESS BLOCKED",IF(OR(INDEX(SourceTable[Coverage],Q427)&lt;&gt;"FULL SEASON EXPORT",INDEX(SourceTable[URL],Q427)="",INDEX(SourceTable[SHA256],Q427)=""),"EVIDENCE INCOMPLETE",IF(AND('Input_Meci'!H41="LIVE",INDEX(SourceTable[Retrieved_UTC],Q427)&gt;'Input_Meci'!G41),"POST CUTOFF","CLOSED")))))))</x:f>
      </x:c>
      <x:c r="S427" s="2" t="n">
        <x:f>IF(OR(B427="",F427=""),0,COUNTIFS('Istoric_Nativ'!$B$6:$B$405,E427,'Istoric_Nativ'!$C$6:$C$405,F427,'Istoric_Nativ'!$E$6:$E$405,G427,'Istoric_Nativ'!$D$6:$D$405,"&lt;"&amp;J427,'Istoric_Nativ'!$O$6:$O$405,"INVALID")+COUNTIFS('Istoric_Nativ'!$B$6:$B$405,E427,'Istoric_Nativ'!$C$6:$C$405,F427,'Istoric_Nativ'!$E$6:$E$405,G427,'Istoric_Nativ'!$O$6:$O$405,"INVALID",'Istoric_Nativ'!$D$6:$D$405,"*")+COUNTIFS('Istoric_Nativ'!$B$6:$B$405,E427,'Istoric_Nativ'!$C$6:$C$405,F427,'Istoric_Nativ'!$E$6:$E$405,G427,'Istoric_Nativ'!$D$6:$D$405,"&lt;"&amp;J427,'Istoric_Nativ'!$O$6:$O$405,"SOURCE CONFLICT")+COUNTIFS('Istoric_Nativ'!$B$6:$B$405,E427,'Istoric_Nativ'!$C$6:$C$405,F427,'Istoric_Nativ'!$F$6:$F$405,G427,'Istoric_Nativ'!$D$6:$D$405,"&lt;"&amp;J427,'Istoric_Nativ'!$O$6:$O$405,"INVALID")+COUNTIFS('Istoric_Nativ'!$B$6:$B$405,E427,'Istoric_Nativ'!$C$6:$C$405,F427,'Istoric_Nativ'!$F$6:$F$405,G427,'Istoric_Nativ'!$O$6:$O$405,"INVALID",'Istoric_Nativ'!$D$6:$D$405,"*")+COUNTIFS('Istoric_Nativ'!$B$6:$B$405,E427,'Istoric_Nativ'!$C$6:$C$405,F427,'Istoric_Nativ'!$F$6:$F$405,G427,'Istoric_Nativ'!$D$6:$D$405,"&lt;"&amp;J427,'Istoric_Nativ'!$O$6:$O$405,"SOURCE CONFLICT"))</x:f>
        <x:v>0</x:v>
      </x:c>
      <x:c r="T427" s="2" t="str">
        <x:f>IF(B427="","",IF(R427&lt;&gt;"CLOSED",R427,IF(S427&gt;0,"NATIVE INPUT ISSUE",IF(M427=0,"NO HISTORY",IF(M427&lt;P427,"SMALL SAMPLE","DERIVED")))))</x:f>
      </x:c>
      <x:c r="U427" s="2" t="str">
        <x:f>IF(B427="","","NativeTable; "&amp;E427&amp;"; "&amp;F427&amp;"; "&amp;G427&amp;"; "&amp;H427&amp;"; before "&amp;TEXT(J427,"yyyy-mm-dd")&amp;IF(I427="RECENT","; from "&amp;TEXT(L427,"yyyy-mm-dd"),""))</x:f>
      </x:c>
    </x:row>
    <x:row r="428" ht="21" customHeight="1">
      <x:c r="A428" s="2" t="n">
        <x:v>36</x:v>
      </x:c>
      <x:c r="B428" s="2" t="str">
        <x:f>IF('Input_Meci'!A41="","",'Input_Meci'!A41)</x:f>
      </x:c>
      <x:c r="C428" s="2" t="str">
        <x:v>H</x:v>
      </x:c>
      <x:c r="D428" s="2" t="str">
        <x:v>CURRENT</x:v>
      </x:c>
      <x:c r="E428" s="2" t="str">
        <x:f>IF(B428="","",'Input_Meci'!B41)</x:f>
      </x:c>
      <x:c r="F428" s="2" t="str">
        <x:f>IF(B428="","",IF('Input_Meci'!C41="","",'Input_Meci'!C41))</x:f>
      </x:c>
      <x:c r="G428" s="2" t="str">
        <x:f>IF(B428="","",'Input_Meci'!D41)</x:f>
      </x:c>
      <x:c r="H428" s="2" t="str">
        <x:v>ANY</x:v>
      </x:c>
      <x:c r="I428" s="2" t="str">
        <x:v>RECENT</x:v>
      </x:c>
      <x:c r="J428" s="9" t="n">
        <x:f>IF(AND(B428&lt;&gt;"",ISNUMBER('Input_Meci'!G41)),INT('Input_Meci'!G41),0)</x:f>
        <x:v>0</x:v>
      </x:c>
      <x:c r="K428" s="2" t="n">
        <x:f>IF(OR(B428="",F428=""),0,IF(H428="HOME",COUNTIFS('Istoric_Nativ'!$B$6:$B$405,E428,'Istoric_Nativ'!$C$6:$C$405,F428,'Istoric_Nativ'!$E$6:$E$405,G428,'Istoric_Nativ'!$D$6:$D$405,"&lt;"&amp;J428,'Istoric_Nativ'!$P$6:$P$405,1),IF(H428="AWAY",COUNTIFS('Istoric_Nativ'!$B$6:$B$405,E428,'Istoric_Nativ'!$C$6:$C$405,F428,'Istoric_Nativ'!$F$6:$F$405,G428,'Istoric_Nativ'!$D$6:$D$405,"&lt;"&amp;J428,'Istoric_Nativ'!$P$6:$P$405,1),COUNTIFS('Istoric_Nativ'!$B$6:$B$405,E428,'Istoric_Nativ'!$C$6:$C$405,F428,'Istoric_Nativ'!$E$6:$E$405,G428,'Istoric_Nativ'!$D$6:$D$405,"&lt;"&amp;J428,'Istoric_Nativ'!$P$6:$P$405,1)+COUNTIFS('Istoric_Nativ'!$B$6:$B$405,E428,'Istoric_Nativ'!$C$6:$C$405,F428,'Istoric_Nativ'!$F$6:$F$405,G428,'Istoric_Nativ'!$D$6:$D$405,"&lt;"&amp;J428,'Istoric_Nativ'!$P$6:$P$405,1))))</x:f>
        <x:v>0</x:v>
      </x:c>
      <x:c r="L428" s="17" t="n">
        <x:f>IF(AND(B428&lt;&gt;"",I428="RECENT",K428&gt;0),LARGE(_xlfn._xlws.FILTER('Istoric_Nativ'!$D$6:$D$405,('Istoric_Nativ'!$B$6:$B$405=E428)*('Istoric_Nativ'!$C$6:$C$405=F428)*('Istoric_Nativ'!$P$6:$P$405=1)*('Istoric_Nativ'!$D$6:$D$405&lt;J428)*((('Istoric_Nativ'!$E$6:$E$405=G428)+('Istoric_Nativ'!$F$6:$F$405=G428))&gt;0)),MIN('Config_v6'!$B$54,K428)),0)</x:f>
        <x:v>0</x:v>
      </x:c>
      <x:c r="M428" s="2" t="n">
        <x:f>IF(OR(B428="",F428=""),0,IF(H428="HOME",COUNTIFS('Istoric_Nativ'!$B$6:$B$405,E428,'Istoric_Nativ'!$C$6:$C$405,F428,'Istoric_Nativ'!$E$6:$E$405,G428,'Istoric_Nativ'!$D$6:$D$405,"&lt;"&amp;J428,'Istoric_Nativ'!$P$6:$P$405,1,'Istoric_Nativ'!$D$6:$D$405,"&gt;="&amp;L428),IF(H428="AWAY",COUNTIFS('Istoric_Nativ'!$B$6:$B$405,E428,'Istoric_Nativ'!$C$6:$C$405,F428,'Istoric_Nativ'!$F$6:$F$405,G428,'Istoric_Nativ'!$D$6:$D$405,"&lt;"&amp;J428,'Istoric_Nativ'!$P$6:$P$405,1,'Istoric_Nativ'!$D$6:$D$405,"&gt;="&amp;L428),COUNTIFS('Istoric_Nativ'!$B$6:$B$405,E428,'Istoric_Nativ'!$C$6:$C$405,F428,'Istoric_Nativ'!$E$6:$E$405,G428,'Istoric_Nativ'!$D$6:$D$405,"&lt;"&amp;J428,'Istoric_Nativ'!$P$6:$P$405,1,'Istoric_Nativ'!$D$6:$D$405,"&gt;="&amp;L428)+COUNTIFS('Istoric_Nativ'!$B$6:$B$405,E428,'Istoric_Nativ'!$C$6:$C$405,F428,'Istoric_Nativ'!$F$6:$F$405,G428,'Istoric_Nativ'!$D$6:$D$405,"&lt;"&amp;J428,'Istoric_Nativ'!$P$6:$P$405,1,'Istoric_Nativ'!$D$6:$D$405,"&gt;="&amp;L428))))</x:f>
        <x:v>0</x:v>
      </x:c>
      <x:c r="N428" s="11" t="str">
        <x:f>IF(M428=0,"",IF(H428="HOME",SUMIFS('Istoric_Nativ'!$G$6:$G$405,'Istoric_Nativ'!$B$6:$B$405,E428,'Istoric_Nativ'!$C$6:$C$405,F428,'Istoric_Nativ'!$E$6:$E$405,G428,'Istoric_Nativ'!$D$6:$D$405,"&lt;"&amp;J428,'Istoric_Nativ'!$P$6:$P$405,1,'Istoric_Nativ'!$D$6:$D$405,"&gt;="&amp;L428),IF(H428="AWAY",SUMIFS('Istoric_Nativ'!$H$6:$H$405,'Istoric_Nativ'!$B$6:$B$405,E428,'Istoric_Nativ'!$C$6:$C$405,F428,'Istoric_Nativ'!$F$6:$F$405,G428,'Istoric_Nativ'!$D$6:$D$405,"&lt;"&amp;J428,'Istoric_Nativ'!$P$6:$P$405,1,'Istoric_Nativ'!$D$6:$D$405,"&gt;="&amp;L428),SUMIFS('Istoric_Nativ'!$G$6:$G$405,'Istoric_Nativ'!$B$6:$B$405,E428,'Istoric_Nativ'!$C$6:$C$405,F428,'Istoric_Nativ'!$E$6:$E$405,G428,'Istoric_Nativ'!$D$6:$D$405,"&lt;"&amp;J428,'Istoric_Nativ'!$P$6:$P$405,1,'Istoric_Nativ'!$D$6:$D$405,"&gt;="&amp;L428)+SUMIFS('Istoric_Nativ'!$H$6:$H$405,'Istoric_Nativ'!$B$6:$B$405,E428,'Istoric_Nativ'!$C$6:$C$405,F428,'Istoric_Nativ'!$F$6:$F$405,G428,'Istoric_Nativ'!$D$6:$D$405,"&lt;"&amp;J428,'Istoric_Nativ'!$P$6:$P$405,1,'Istoric_Nativ'!$D$6:$D$405,"&gt;="&amp;L428)))/M428)</x:f>
      </x:c>
      <x:c r="O428" s="11" t="str">
        <x:f>IF(M428=0,"",IF(H428="HOME",SUMIFS('Istoric_Nativ'!$H$6:$H$405,'Istoric_Nativ'!$B$6:$B$405,E428,'Istoric_Nativ'!$C$6:$C$405,F428,'Istoric_Nativ'!$E$6:$E$405,G428,'Istoric_Nativ'!$D$6:$D$405,"&lt;"&amp;J428,'Istoric_Nativ'!$P$6:$P$405,1,'Istoric_Nativ'!$D$6:$D$405,"&gt;="&amp;L428),IF(H428="AWAY",SUMIFS('Istoric_Nativ'!$G$6:$G$405,'Istoric_Nativ'!$B$6:$B$405,E428,'Istoric_Nativ'!$C$6:$C$405,F428,'Istoric_Nativ'!$F$6:$F$405,G428,'Istoric_Nativ'!$D$6:$D$405,"&lt;"&amp;J428,'Istoric_Nativ'!$P$6:$P$405,1,'Istoric_Nativ'!$D$6:$D$405,"&gt;="&amp;L428),SUMIFS('Istoric_Nativ'!$H$6:$H$405,'Istoric_Nativ'!$B$6:$B$405,E428,'Istoric_Nativ'!$C$6:$C$405,F428,'Istoric_Nativ'!$E$6:$E$405,G428,'Istoric_Nativ'!$D$6:$D$405,"&lt;"&amp;J428,'Istoric_Nativ'!$P$6:$P$405,1,'Istoric_Nativ'!$D$6:$D$405,"&gt;="&amp;L428)+SUMIFS('Istoric_Nativ'!$G$6:$G$405,'Istoric_Nativ'!$B$6:$B$405,E428,'Istoric_Nativ'!$C$6:$C$405,F428,'Istoric_Nativ'!$F$6:$F$405,G428,'Istoric_Nativ'!$D$6:$D$405,"&lt;"&amp;J428,'Istoric_Nativ'!$P$6:$P$405,1,'Istoric_Nativ'!$D$6:$D$405,"&gt;="&amp;L428)))/M428)</x:f>
      </x:c>
      <x:c r="P428" s="2" t="n">
        <x:f>'Config_v6'!$B$9</x:f>
        <x:v>3</x:v>
      </x:c>
      <x:c r="Q428" s="2" t="n">
        <x:f>IF(OR(B428="",F428=""),0,IFERROR(MATCH(E428&amp;"|"&amp;F428,SourceTable[Source_Key],0),0))</x:f>
        <x:v>0</x:v>
      </x:c>
      <x:c r="R428" s="2" t="str">
        <x:f>IF(B428="","",IF(F428="","UNUSED",IF(Q428=0,"NOT CHECKED",IF(COUNTIF(SourceTable[Source_Key],E428&amp;"|"&amp;F428)&lt;&gt;1,"SOURCE CONFLICT",IF(NOT(OR(INDEX(SourceTable[Status],MAX(1,Q428))="IMPORTED",INDEX(SourceTable[Status],MAX(1,Q428))="PARTIAL",INDEX(SourceTable[Status],MAX(1,Q428))="SOURCE CONFLICT")),"ACCESS BLOCKED",IF(OR(INDEX(SourceTable[Coverage],Q428)&lt;&gt;"FULL SEASON EXPORT",INDEX(SourceTable[URL],Q428)="",INDEX(SourceTable[SHA256],Q428)=""),"EVIDENCE INCOMPLETE",IF(AND('Input_Meci'!H41="LIVE",INDEX(SourceTable[Retrieved_UTC],Q428)&gt;'Input_Meci'!G41),"POST CUTOFF","CLOSED")))))))</x:f>
      </x:c>
      <x:c r="S428" s="2" t="n">
        <x:f>IF(OR(B428="",F428=""),0,COUNTIFS('Istoric_Nativ'!$B$6:$B$405,E428,'Istoric_Nativ'!$C$6:$C$405,F428,'Istoric_Nativ'!$E$6:$E$405,G428,'Istoric_Nativ'!$D$6:$D$405,"&lt;"&amp;J428,'Istoric_Nativ'!$O$6:$O$405,"INVALID")+COUNTIFS('Istoric_Nativ'!$B$6:$B$405,E428,'Istoric_Nativ'!$C$6:$C$405,F428,'Istoric_Nativ'!$E$6:$E$405,G428,'Istoric_Nativ'!$O$6:$O$405,"INVALID",'Istoric_Nativ'!$D$6:$D$405,"*")+COUNTIFS('Istoric_Nativ'!$B$6:$B$405,E428,'Istoric_Nativ'!$C$6:$C$405,F428,'Istoric_Nativ'!$E$6:$E$405,G428,'Istoric_Nativ'!$D$6:$D$405,"&lt;"&amp;J428,'Istoric_Nativ'!$O$6:$O$405,"SOURCE CONFLICT")+COUNTIFS('Istoric_Nativ'!$B$6:$B$405,E428,'Istoric_Nativ'!$C$6:$C$405,F428,'Istoric_Nativ'!$F$6:$F$405,G428,'Istoric_Nativ'!$D$6:$D$405,"&lt;"&amp;J428,'Istoric_Nativ'!$O$6:$O$405,"INVALID")+COUNTIFS('Istoric_Nativ'!$B$6:$B$405,E428,'Istoric_Nativ'!$C$6:$C$405,F428,'Istoric_Nativ'!$F$6:$F$405,G428,'Istoric_Nativ'!$O$6:$O$405,"INVALID",'Istoric_Nativ'!$D$6:$D$405,"*")+COUNTIFS('Istoric_Nativ'!$B$6:$B$405,E428,'Istoric_Nativ'!$C$6:$C$405,F428,'Istoric_Nativ'!$F$6:$F$405,G428,'Istoric_Nativ'!$D$6:$D$405,"&lt;"&amp;J428,'Istoric_Nativ'!$O$6:$O$405,"SOURCE CONFLICT"))</x:f>
        <x:v>0</x:v>
      </x:c>
      <x:c r="T428" s="2" t="str">
        <x:f>IF(B428="","",IF(R428&lt;&gt;"CLOSED",R428,IF(S428&gt;0,"NATIVE INPUT ISSUE",IF(M428=0,"NO HISTORY",IF(M428&lt;P428,"SMALL SAMPLE","DERIVED")))))</x:f>
      </x:c>
      <x:c r="U428" s="2" t="str">
        <x:f>IF(B428="","","NativeTable; "&amp;E428&amp;"; "&amp;F428&amp;"; "&amp;G428&amp;"; "&amp;H428&amp;"; before "&amp;TEXT(J428,"yyyy-mm-dd")&amp;IF(I428="RECENT","; from "&amp;TEXT(L428,"yyyy-mm-dd"),""))</x:f>
      </x:c>
    </x:row>
    <x:row r="429" ht="21" customHeight="1">
      <x:c r="A429" s="2" t="n">
        <x:v>36</x:v>
      </x:c>
      <x:c r="B429" s="2" t="str">
        <x:f>IF('Input_Meci'!A41="","",'Input_Meci'!A41)</x:f>
      </x:c>
      <x:c r="C429" s="2" t="str">
        <x:v>A</x:v>
      </x:c>
      <x:c r="D429" s="2" t="str">
        <x:v>CURRENT</x:v>
      </x:c>
      <x:c r="E429" s="2" t="str">
        <x:f>IF(B429="","",'Input_Meci'!B41)</x:f>
      </x:c>
      <x:c r="F429" s="2" t="str">
        <x:f>IF(B429="","",IF('Input_Meci'!C41="","",'Input_Meci'!C41))</x:f>
      </x:c>
      <x:c r="G429" s="2" t="str">
        <x:f>IF(B429="","",'Input_Meci'!E41)</x:f>
      </x:c>
      <x:c r="H429" s="2" t="str">
        <x:v>ANY</x:v>
      </x:c>
      <x:c r="I429" s="2" t="str">
        <x:v>SEASON</x:v>
      </x:c>
      <x:c r="J429" s="9" t="n">
        <x:f>IF(AND(B429&lt;&gt;"",ISNUMBER('Input_Meci'!G41)),INT('Input_Meci'!G41),0)</x:f>
        <x:v>0</x:v>
      </x:c>
      <x:c r="K429" s="2" t="n">
        <x:f>IF(OR(B429="",F429=""),0,IF(H429="HOME",COUNTIFS('Istoric_Nativ'!$B$6:$B$405,E429,'Istoric_Nativ'!$C$6:$C$405,F429,'Istoric_Nativ'!$E$6:$E$405,G429,'Istoric_Nativ'!$D$6:$D$405,"&lt;"&amp;J429,'Istoric_Nativ'!$P$6:$P$405,1),IF(H429="AWAY",COUNTIFS('Istoric_Nativ'!$B$6:$B$405,E429,'Istoric_Nativ'!$C$6:$C$405,F429,'Istoric_Nativ'!$F$6:$F$405,G429,'Istoric_Nativ'!$D$6:$D$405,"&lt;"&amp;J429,'Istoric_Nativ'!$P$6:$P$405,1),COUNTIFS('Istoric_Nativ'!$B$6:$B$405,E429,'Istoric_Nativ'!$C$6:$C$405,F429,'Istoric_Nativ'!$E$6:$E$405,G429,'Istoric_Nativ'!$D$6:$D$405,"&lt;"&amp;J429,'Istoric_Nativ'!$P$6:$P$405,1)+COUNTIFS('Istoric_Nativ'!$B$6:$B$405,E429,'Istoric_Nativ'!$C$6:$C$405,F429,'Istoric_Nativ'!$F$6:$F$405,G429,'Istoric_Nativ'!$D$6:$D$405,"&lt;"&amp;J429,'Istoric_Nativ'!$P$6:$P$405,1))))</x:f>
        <x:v>0</x:v>
      </x:c>
      <x:c r="L429" s="17" t="n">
        <x:f>IF(AND(B429&lt;&gt;"",I429="RECENT",K429&gt;0),LARGE(_xlfn._xlws.FILTER('Istoric_Nativ'!$D$6:$D$405,('Istoric_Nativ'!$B$6:$B$405=E429)*('Istoric_Nativ'!$C$6:$C$405=F429)*('Istoric_Nativ'!$P$6:$P$405=1)*('Istoric_Nativ'!$D$6:$D$405&lt;J429)*((('Istoric_Nativ'!$E$6:$E$405=G429)+('Istoric_Nativ'!$F$6:$F$405=G429))&gt;0)),MIN('Config_v6'!$B$54,K429)),0)</x:f>
        <x:v>0</x:v>
      </x:c>
      <x:c r="M429" s="2" t="n">
        <x:f>IF(OR(B429="",F429=""),0,IF(H429="HOME",COUNTIFS('Istoric_Nativ'!$B$6:$B$405,E429,'Istoric_Nativ'!$C$6:$C$405,F429,'Istoric_Nativ'!$E$6:$E$405,G429,'Istoric_Nativ'!$D$6:$D$405,"&lt;"&amp;J429,'Istoric_Nativ'!$P$6:$P$405,1,'Istoric_Nativ'!$D$6:$D$405,"&gt;="&amp;L429),IF(H429="AWAY",COUNTIFS('Istoric_Nativ'!$B$6:$B$405,E429,'Istoric_Nativ'!$C$6:$C$405,F429,'Istoric_Nativ'!$F$6:$F$405,G429,'Istoric_Nativ'!$D$6:$D$405,"&lt;"&amp;J429,'Istoric_Nativ'!$P$6:$P$405,1,'Istoric_Nativ'!$D$6:$D$405,"&gt;="&amp;L429),COUNTIFS('Istoric_Nativ'!$B$6:$B$405,E429,'Istoric_Nativ'!$C$6:$C$405,F429,'Istoric_Nativ'!$E$6:$E$405,G429,'Istoric_Nativ'!$D$6:$D$405,"&lt;"&amp;J429,'Istoric_Nativ'!$P$6:$P$405,1,'Istoric_Nativ'!$D$6:$D$405,"&gt;="&amp;L429)+COUNTIFS('Istoric_Nativ'!$B$6:$B$405,E429,'Istoric_Nativ'!$C$6:$C$405,F429,'Istoric_Nativ'!$F$6:$F$405,G429,'Istoric_Nativ'!$D$6:$D$405,"&lt;"&amp;J429,'Istoric_Nativ'!$P$6:$P$405,1,'Istoric_Nativ'!$D$6:$D$405,"&gt;="&amp;L429))))</x:f>
        <x:v>0</x:v>
      </x:c>
      <x:c r="N429" s="11" t="str">
        <x:f>IF(M429=0,"",IF(H429="HOME",SUMIFS('Istoric_Nativ'!$G$6:$G$405,'Istoric_Nativ'!$B$6:$B$405,E429,'Istoric_Nativ'!$C$6:$C$405,F429,'Istoric_Nativ'!$E$6:$E$405,G429,'Istoric_Nativ'!$D$6:$D$405,"&lt;"&amp;J429,'Istoric_Nativ'!$P$6:$P$405,1,'Istoric_Nativ'!$D$6:$D$405,"&gt;="&amp;L429),IF(H429="AWAY",SUMIFS('Istoric_Nativ'!$H$6:$H$405,'Istoric_Nativ'!$B$6:$B$405,E429,'Istoric_Nativ'!$C$6:$C$405,F429,'Istoric_Nativ'!$F$6:$F$405,G429,'Istoric_Nativ'!$D$6:$D$405,"&lt;"&amp;J429,'Istoric_Nativ'!$P$6:$P$405,1,'Istoric_Nativ'!$D$6:$D$405,"&gt;="&amp;L429),SUMIFS('Istoric_Nativ'!$G$6:$G$405,'Istoric_Nativ'!$B$6:$B$405,E429,'Istoric_Nativ'!$C$6:$C$405,F429,'Istoric_Nativ'!$E$6:$E$405,G429,'Istoric_Nativ'!$D$6:$D$405,"&lt;"&amp;J429,'Istoric_Nativ'!$P$6:$P$405,1,'Istoric_Nativ'!$D$6:$D$405,"&gt;="&amp;L429)+SUMIFS('Istoric_Nativ'!$H$6:$H$405,'Istoric_Nativ'!$B$6:$B$405,E429,'Istoric_Nativ'!$C$6:$C$405,F429,'Istoric_Nativ'!$F$6:$F$405,G429,'Istoric_Nativ'!$D$6:$D$405,"&lt;"&amp;J429,'Istoric_Nativ'!$P$6:$P$405,1,'Istoric_Nativ'!$D$6:$D$405,"&gt;="&amp;L429)))/M429)</x:f>
      </x:c>
      <x:c r="O429" s="11" t="str">
        <x:f>IF(M429=0,"",IF(H429="HOME",SUMIFS('Istoric_Nativ'!$H$6:$H$405,'Istoric_Nativ'!$B$6:$B$405,E429,'Istoric_Nativ'!$C$6:$C$405,F429,'Istoric_Nativ'!$E$6:$E$405,G429,'Istoric_Nativ'!$D$6:$D$405,"&lt;"&amp;J429,'Istoric_Nativ'!$P$6:$P$405,1,'Istoric_Nativ'!$D$6:$D$405,"&gt;="&amp;L429),IF(H429="AWAY",SUMIFS('Istoric_Nativ'!$G$6:$G$405,'Istoric_Nativ'!$B$6:$B$405,E429,'Istoric_Nativ'!$C$6:$C$405,F429,'Istoric_Nativ'!$F$6:$F$405,G429,'Istoric_Nativ'!$D$6:$D$405,"&lt;"&amp;J429,'Istoric_Nativ'!$P$6:$P$405,1,'Istoric_Nativ'!$D$6:$D$405,"&gt;="&amp;L429),SUMIFS('Istoric_Nativ'!$H$6:$H$405,'Istoric_Nativ'!$B$6:$B$405,E429,'Istoric_Nativ'!$C$6:$C$405,F429,'Istoric_Nativ'!$E$6:$E$405,G429,'Istoric_Nativ'!$D$6:$D$405,"&lt;"&amp;J429,'Istoric_Nativ'!$P$6:$P$405,1,'Istoric_Nativ'!$D$6:$D$405,"&gt;="&amp;L429)+SUMIFS('Istoric_Nativ'!$G$6:$G$405,'Istoric_Nativ'!$B$6:$B$405,E429,'Istoric_Nativ'!$C$6:$C$405,F429,'Istoric_Nativ'!$F$6:$F$405,G429,'Istoric_Nativ'!$D$6:$D$405,"&lt;"&amp;J429,'Istoric_Nativ'!$P$6:$P$405,1,'Istoric_Nativ'!$D$6:$D$405,"&gt;="&amp;L429)))/M429)</x:f>
      </x:c>
      <x:c r="P429" s="2" t="n">
        <x:f>'Config_v6'!$B$7</x:f>
        <x:v>10</x:v>
      </x:c>
      <x:c r="Q429" s="2" t="n">
        <x:f>IF(OR(B429="",F429=""),0,IFERROR(MATCH(E429&amp;"|"&amp;F429,SourceTable[Source_Key],0),0))</x:f>
        <x:v>0</x:v>
      </x:c>
      <x:c r="R429" s="2" t="str">
        <x:f>IF(B429="","",IF(F429="","UNUSED",IF(Q429=0,"NOT CHECKED",IF(COUNTIF(SourceTable[Source_Key],E429&amp;"|"&amp;F429)&lt;&gt;1,"SOURCE CONFLICT",IF(NOT(OR(INDEX(SourceTable[Status],MAX(1,Q429))="IMPORTED",INDEX(SourceTable[Status],MAX(1,Q429))="PARTIAL",INDEX(SourceTable[Status],MAX(1,Q429))="SOURCE CONFLICT")),"ACCESS BLOCKED",IF(OR(INDEX(SourceTable[Coverage],Q429)&lt;&gt;"FULL SEASON EXPORT",INDEX(SourceTable[URL],Q429)="",INDEX(SourceTable[SHA256],Q429)=""),"EVIDENCE INCOMPLETE",IF(AND('Input_Meci'!H41="LIVE",INDEX(SourceTable[Retrieved_UTC],Q429)&gt;'Input_Meci'!G41),"POST CUTOFF","CLOSED")))))))</x:f>
      </x:c>
      <x:c r="S429" s="2" t="n">
        <x:f>IF(OR(B429="",F429=""),0,COUNTIFS('Istoric_Nativ'!$B$6:$B$405,E429,'Istoric_Nativ'!$C$6:$C$405,F429,'Istoric_Nativ'!$E$6:$E$405,G429,'Istoric_Nativ'!$D$6:$D$405,"&lt;"&amp;J429,'Istoric_Nativ'!$O$6:$O$405,"INVALID")+COUNTIFS('Istoric_Nativ'!$B$6:$B$405,E429,'Istoric_Nativ'!$C$6:$C$405,F429,'Istoric_Nativ'!$E$6:$E$405,G429,'Istoric_Nativ'!$O$6:$O$405,"INVALID",'Istoric_Nativ'!$D$6:$D$405,"*")+COUNTIFS('Istoric_Nativ'!$B$6:$B$405,E429,'Istoric_Nativ'!$C$6:$C$405,F429,'Istoric_Nativ'!$E$6:$E$405,G429,'Istoric_Nativ'!$D$6:$D$405,"&lt;"&amp;J429,'Istoric_Nativ'!$O$6:$O$405,"SOURCE CONFLICT")+COUNTIFS('Istoric_Nativ'!$B$6:$B$405,E429,'Istoric_Nativ'!$C$6:$C$405,F429,'Istoric_Nativ'!$F$6:$F$405,G429,'Istoric_Nativ'!$D$6:$D$405,"&lt;"&amp;J429,'Istoric_Nativ'!$O$6:$O$405,"INVALID")+COUNTIFS('Istoric_Nativ'!$B$6:$B$405,E429,'Istoric_Nativ'!$C$6:$C$405,F429,'Istoric_Nativ'!$F$6:$F$405,G429,'Istoric_Nativ'!$O$6:$O$405,"INVALID",'Istoric_Nativ'!$D$6:$D$405,"*")+COUNTIFS('Istoric_Nativ'!$B$6:$B$405,E429,'Istoric_Nativ'!$C$6:$C$405,F429,'Istoric_Nativ'!$F$6:$F$405,G429,'Istoric_Nativ'!$D$6:$D$405,"&lt;"&amp;J429,'Istoric_Nativ'!$O$6:$O$405,"SOURCE CONFLICT"))</x:f>
        <x:v>0</x:v>
      </x:c>
      <x:c r="T429" s="2" t="str">
        <x:f>IF(B429="","",IF(R429&lt;&gt;"CLOSED",R429,IF(S429&gt;0,"NATIVE INPUT ISSUE",IF(M429=0,"NO HISTORY",IF(M429&lt;P429,"SMALL SAMPLE","DERIVED")))))</x:f>
      </x:c>
      <x:c r="U429" s="2" t="str">
        <x:f>IF(B429="","","NativeTable; "&amp;E429&amp;"; "&amp;F429&amp;"; "&amp;G429&amp;"; "&amp;H429&amp;"; before "&amp;TEXT(J429,"yyyy-mm-dd")&amp;IF(I429="RECENT","; from "&amp;TEXT(L429,"yyyy-mm-dd"),""))</x:f>
      </x:c>
    </x:row>
    <x:row r="430" ht="21" customHeight="1">
      <x:c r="A430" s="2" t="n">
        <x:v>36</x:v>
      </x:c>
      <x:c r="B430" s="2" t="str">
        <x:f>IF('Input_Meci'!A41="","",'Input_Meci'!A41)</x:f>
      </x:c>
      <x:c r="C430" s="2" t="str">
        <x:v>A</x:v>
      </x:c>
      <x:c r="D430" s="2" t="str">
        <x:v>CURRENT</x:v>
      </x:c>
      <x:c r="E430" s="2" t="str">
        <x:f>IF(B430="","",'Input_Meci'!B41)</x:f>
      </x:c>
      <x:c r="F430" s="2" t="str">
        <x:f>IF(B430="","",IF('Input_Meci'!C41="","",'Input_Meci'!C41))</x:f>
      </x:c>
      <x:c r="G430" s="2" t="str">
        <x:f>IF(B430="","",'Input_Meci'!E41)</x:f>
      </x:c>
      <x:c r="H430" s="2" t="str">
        <x:v>AWAY</x:v>
      </x:c>
      <x:c r="I430" s="2" t="str">
        <x:v>HA</x:v>
      </x:c>
      <x:c r="J430" s="9" t="n">
        <x:f>IF(AND(B430&lt;&gt;"",ISNUMBER('Input_Meci'!G41)),INT('Input_Meci'!G41),0)</x:f>
        <x:v>0</x:v>
      </x:c>
      <x:c r="K430" s="2" t="n">
        <x:f>IF(OR(B430="",F430=""),0,IF(H430="HOME",COUNTIFS('Istoric_Nativ'!$B$6:$B$405,E430,'Istoric_Nativ'!$C$6:$C$405,F430,'Istoric_Nativ'!$E$6:$E$405,G430,'Istoric_Nativ'!$D$6:$D$405,"&lt;"&amp;J430,'Istoric_Nativ'!$P$6:$P$405,1),IF(H430="AWAY",COUNTIFS('Istoric_Nativ'!$B$6:$B$405,E430,'Istoric_Nativ'!$C$6:$C$405,F430,'Istoric_Nativ'!$F$6:$F$405,G430,'Istoric_Nativ'!$D$6:$D$405,"&lt;"&amp;J430,'Istoric_Nativ'!$P$6:$P$405,1),COUNTIFS('Istoric_Nativ'!$B$6:$B$405,E430,'Istoric_Nativ'!$C$6:$C$405,F430,'Istoric_Nativ'!$E$6:$E$405,G430,'Istoric_Nativ'!$D$6:$D$405,"&lt;"&amp;J430,'Istoric_Nativ'!$P$6:$P$405,1)+COUNTIFS('Istoric_Nativ'!$B$6:$B$405,E430,'Istoric_Nativ'!$C$6:$C$405,F430,'Istoric_Nativ'!$F$6:$F$405,G430,'Istoric_Nativ'!$D$6:$D$405,"&lt;"&amp;J430,'Istoric_Nativ'!$P$6:$P$405,1))))</x:f>
        <x:v>0</x:v>
      </x:c>
      <x:c r="L430" s="17" t="n">
        <x:f>IF(AND(B430&lt;&gt;"",I430="RECENT",K430&gt;0),LARGE(_xlfn._xlws.FILTER('Istoric_Nativ'!$D$6:$D$405,('Istoric_Nativ'!$B$6:$B$405=E430)*('Istoric_Nativ'!$C$6:$C$405=F430)*('Istoric_Nativ'!$P$6:$P$405=1)*('Istoric_Nativ'!$D$6:$D$405&lt;J430)*((('Istoric_Nativ'!$E$6:$E$405=G430)+('Istoric_Nativ'!$F$6:$F$405=G430))&gt;0)),MIN('Config_v6'!$B$54,K430)),0)</x:f>
        <x:v>0</x:v>
      </x:c>
      <x:c r="M430" s="2" t="n">
        <x:f>IF(OR(B430="",F430=""),0,IF(H430="HOME",COUNTIFS('Istoric_Nativ'!$B$6:$B$405,E430,'Istoric_Nativ'!$C$6:$C$405,F430,'Istoric_Nativ'!$E$6:$E$405,G430,'Istoric_Nativ'!$D$6:$D$405,"&lt;"&amp;J430,'Istoric_Nativ'!$P$6:$P$405,1,'Istoric_Nativ'!$D$6:$D$405,"&gt;="&amp;L430),IF(H430="AWAY",COUNTIFS('Istoric_Nativ'!$B$6:$B$405,E430,'Istoric_Nativ'!$C$6:$C$405,F430,'Istoric_Nativ'!$F$6:$F$405,G430,'Istoric_Nativ'!$D$6:$D$405,"&lt;"&amp;J430,'Istoric_Nativ'!$P$6:$P$405,1,'Istoric_Nativ'!$D$6:$D$405,"&gt;="&amp;L430),COUNTIFS('Istoric_Nativ'!$B$6:$B$405,E430,'Istoric_Nativ'!$C$6:$C$405,F430,'Istoric_Nativ'!$E$6:$E$405,G430,'Istoric_Nativ'!$D$6:$D$405,"&lt;"&amp;J430,'Istoric_Nativ'!$P$6:$P$405,1,'Istoric_Nativ'!$D$6:$D$405,"&gt;="&amp;L430)+COUNTIFS('Istoric_Nativ'!$B$6:$B$405,E430,'Istoric_Nativ'!$C$6:$C$405,F430,'Istoric_Nativ'!$F$6:$F$405,G430,'Istoric_Nativ'!$D$6:$D$405,"&lt;"&amp;J430,'Istoric_Nativ'!$P$6:$P$405,1,'Istoric_Nativ'!$D$6:$D$405,"&gt;="&amp;L430))))</x:f>
        <x:v>0</x:v>
      </x:c>
      <x:c r="N430" s="11" t="str">
        <x:f>IF(M430=0,"",IF(H430="HOME",SUMIFS('Istoric_Nativ'!$G$6:$G$405,'Istoric_Nativ'!$B$6:$B$405,E430,'Istoric_Nativ'!$C$6:$C$405,F430,'Istoric_Nativ'!$E$6:$E$405,G430,'Istoric_Nativ'!$D$6:$D$405,"&lt;"&amp;J430,'Istoric_Nativ'!$P$6:$P$405,1,'Istoric_Nativ'!$D$6:$D$405,"&gt;="&amp;L430),IF(H430="AWAY",SUMIFS('Istoric_Nativ'!$H$6:$H$405,'Istoric_Nativ'!$B$6:$B$405,E430,'Istoric_Nativ'!$C$6:$C$405,F430,'Istoric_Nativ'!$F$6:$F$405,G430,'Istoric_Nativ'!$D$6:$D$405,"&lt;"&amp;J430,'Istoric_Nativ'!$P$6:$P$405,1,'Istoric_Nativ'!$D$6:$D$405,"&gt;="&amp;L430),SUMIFS('Istoric_Nativ'!$G$6:$G$405,'Istoric_Nativ'!$B$6:$B$405,E430,'Istoric_Nativ'!$C$6:$C$405,F430,'Istoric_Nativ'!$E$6:$E$405,G430,'Istoric_Nativ'!$D$6:$D$405,"&lt;"&amp;J430,'Istoric_Nativ'!$P$6:$P$405,1,'Istoric_Nativ'!$D$6:$D$405,"&gt;="&amp;L430)+SUMIFS('Istoric_Nativ'!$H$6:$H$405,'Istoric_Nativ'!$B$6:$B$405,E430,'Istoric_Nativ'!$C$6:$C$405,F430,'Istoric_Nativ'!$F$6:$F$405,G430,'Istoric_Nativ'!$D$6:$D$405,"&lt;"&amp;J430,'Istoric_Nativ'!$P$6:$P$405,1,'Istoric_Nativ'!$D$6:$D$405,"&gt;="&amp;L430)))/M430)</x:f>
      </x:c>
      <x:c r="O430" s="11" t="str">
        <x:f>IF(M430=0,"",IF(H430="HOME",SUMIFS('Istoric_Nativ'!$H$6:$H$405,'Istoric_Nativ'!$B$6:$B$405,E430,'Istoric_Nativ'!$C$6:$C$405,F430,'Istoric_Nativ'!$E$6:$E$405,G430,'Istoric_Nativ'!$D$6:$D$405,"&lt;"&amp;J430,'Istoric_Nativ'!$P$6:$P$405,1,'Istoric_Nativ'!$D$6:$D$405,"&gt;="&amp;L430),IF(H430="AWAY",SUMIFS('Istoric_Nativ'!$G$6:$G$405,'Istoric_Nativ'!$B$6:$B$405,E430,'Istoric_Nativ'!$C$6:$C$405,F430,'Istoric_Nativ'!$F$6:$F$405,G430,'Istoric_Nativ'!$D$6:$D$405,"&lt;"&amp;J430,'Istoric_Nativ'!$P$6:$P$405,1,'Istoric_Nativ'!$D$6:$D$405,"&gt;="&amp;L430),SUMIFS('Istoric_Nativ'!$H$6:$H$405,'Istoric_Nativ'!$B$6:$B$405,E430,'Istoric_Nativ'!$C$6:$C$405,F430,'Istoric_Nativ'!$E$6:$E$405,G430,'Istoric_Nativ'!$D$6:$D$405,"&lt;"&amp;J430,'Istoric_Nativ'!$P$6:$P$405,1,'Istoric_Nativ'!$D$6:$D$405,"&gt;="&amp;L430)+SUMIFS('Istoric_Nativ'!$G$6:$G$405,'Istoric_Nativ'!$B$6:$B$405,E430,'Istoric_Nativ'!$C$6:$C$405,F430,'Istoric_Nativ'!$F$6:$F$405,G430,'Istoric_Nativ'!$D$6:$D$405,"&lt;"&amp;J430,'Istoric_Nativ'!$P$6:$P$405,1,'Istoric_Nativ'!$D$6:$D$405,"&gt;="&amp;L430)))/M430)</x:f>
      </x:c>
      <x:c r="P430" s="2" t="n">
        <x:f>'Config_v6'!$B$8</x:f>
        <x:v>5</x:v>
      </x:c>
      <x:c r="Q430" s="2" t="n">
        <x:f>IF(OR(B430="",F430=""),0,IFERROR(MATCH(E430&amp;"|"&amp;F430,SourceTable[Source_Key],0),0))</x:f>
        <x:v>0</x:v>
      </x:c>
      <x:c r="R430" s="2" t="str">
        <x:f>IF(B430="","",IF(F430="","UNUSED",IF(Q430=0,"NOT CHECKED",IF(COUNTIF(SourceTable[Source_Key],E430&amp;"|"&amp;F430)&lt;&gt;1,"SOURCE CONFLICT",IF(NOT(OR(INDEX(SourceTable[Status],MAX(1,Q430))="IMPORTED",INDEX(SourceTable[Status],MAX(1,Q430))="PARTIAL",INDEX(SourceTable[Status],MAX(1,Q430))="SOURCE CONFLICT")),"ACCESS BLOCKED",IF(OR(INDEX(SourceTable[Coverage],Q430)&lt;&gt;"FULL SEASON EXPORT",INDEX(SourceTable[URL],Q430)="",INDEX(SourceTable[SHA256],Q430)=""),"EVIDENCE INCOMPLETE",IF(AND('Input_Meci'!H41="LIVE",INDEX(SourceTable[Retrieved_UTC],Q430)&gt;'Input_Meci'!G41),"POST CUTOFF","CLOSED")))))))</x:f>
      </x:c>
      <x:c r="S430" s="2" t="n">
        <x:f>IF(OR(B430="",F430=""),0,COUNTIFS('Istoric_Nativ'!$B$6:$B$405,E430,'Istoric_Nativ'!$C$6:$C$405,F430,'Istoric_Nativ'!$E$6:$E$405,G430,'Istoric_Nativ'!$D$6:$D$405,"&lt;"&amp;J430,'Istoric_Nativ'!$O$6:$O$405,"INVALID")+COUNTIFS('Istoric_Nativ'!$B$6:$B$405,E430,'Istoric_Nativ'!$C$6:$C$405,F430,'Istoric_Nativ'!$E$6:$E$405,G430,'Istoric_Nativ'!$O$6:$O$405,"INVALID",'Istoric_Nativ'!$D$6:$D$405,"*")+COUNTIFS('Istoric_Nativ'!$B$6:$B$405,E430,'Istoric_Nativ'!$C$6:$C$405,F430,'Istoric_Nativ'!$E$6:$E$405,G430,'Istoric_Nativ'!$D$6:$D$405,"&lt;"&amp;J430,'Istoric_Nativ'!$O$6:$O$405,"SOURCE CONFLICT")+COUNTIFS('Istoric_Nativ'!$B$6:$B$405,E430,'Istoric_Nativ'!$C$6:$C$405,F430,'Istoric_Nativ'!$F$6:$F$405,G430,'Istoric_Nativ'!$D$6:$D$405,"&lt;"&amp;J430,'Istoric_Nativ'!$O$6:$O$405,"INVALID")+COUNTIFS('Istoric_Nativ'!$B$6:$B$405,E430,'Istoric_Nativ'!$C$6:$C$405,F430,'Istoric_Nativ'!$F$6:$F$405,G430,'Istoric_Nativ'!$O$6:$O$405,"INVALID",'Istoric_Nativ'!$D$6:$D$405,"*")+COUNTIFS('Istoric_Nativ'!$B$6:$B$405,E430,'Istoric_Nativ'!$C$6:$C$405,F430,'Istoric_Nativ'!$F$6:$F$405,G430,'Istoric_Nativ'!$D$6:$D$405,"&lt;"&amp;J430,'Istoric_Nativ'!$O$6:$O$405,"SOURCE CONFLICT"))</x:f>
        <x:v>0</x:v>
      </x:c>
      <x:c r="T430" s="2" t="str">
        <x:f>IF(B430="","",IF(R430&lt;&gt;"CLOSED",R430,IF(S430&gt;0,"NATIVE INPUT ISSUE",IF(M430=0,"NO HISTORY",IF(M430&lt;P430,"SMALL SAMPLE","DERIVED")))))</x:f>
      </x:c>
      <x:c r="U430" s="2" t="str">
        <x:f>IF(B430="","","NativeTable; "&amp;E430&amp;"; "&amp;F430&amp;"; "&amp;G430&amp;"; "&amp;H430&amp;"; before "&amp;TEXT(J430,"yyyy-mm-dd")&amp;IF(I430="RECENT","; from "&amp;TEXT(L430,"yyyy-mm-dd"),""))</x:f>
      </x:c>
    </x:row>
    <x:row r="431" ht="21" customHeight="1">
      <x:c r="A431" s="2" t="n">
        <x:v>36</x:v>
      </x:c>
      <x:c r="B431" s="2" t="str">
        <x:f>IF('Input_Meci'!A41="","",'Input_Meci'!A41)</x:f>
      </x:c>
      <x:c r="C431" s="2" t="str">
        <x:v>A</x:v>
      </x:c>
      <x:c r="D431" s="2" t="str">
        <x:v>CURRENT</x:v>
      </x:c>
      <x:c r="E431" s="2" t="str">
        <x:f>IF(B431="","",'Input_Meci'!B41)</x:f>
      </x:c>
      <x:c r="F431" s="2" t="str">
        <x:f>IF(B431="","",IF('Input_Meci'!C41="","",'Input_Meci'!C41))</x:f>
      </x:c>
      <x:c r="G431" s="2" t="str">
        <x:f>IF(B431="","",'Input_Meci'!E41)</x:f>
      </x:c>
      <x:c r="H431" s="2" t="str">
        <x:v>ANY</x:v>
      </x:c>
      <x:c r="I431" s="2" t="str">
        <x:v>RECENT</x:v>
      </x:c>
      <x:c r="J431" s="9" t="n">
        <x:f>IF(AND(B431&lt;&gt;"",ISNUMBER('Input_Meci'!G41)),INT('Input_Meci'!G41),0)</x:f>
        <x:v>0</x:v>
      </x:c>
      <x:c r="K431" s="2" t="n">
        <x:f>IF(OR(B431="",F431=""),0,IF(H431="HOME",COUNTIFS('Istoric_Nativ'!$B$6:$B$405,E431,'Istoric_Nativ'!$C$6:$C$405,F431,'Istoric_Nativ'!$E$6:$E$405,G431,'Istoric_Nativ'!$D$6:$D$405,"&lt;"&amp;J431,'Istoric_Nativ'!$P$6:$P$405,1),IF(H431="AWAY",COUNTIFS('Istoric_Nativ'!$B$6:$B$405,E431,'Istoric_Nativ'!$C$6:$C$405,F431,'Istoric_Nativ'!$F$6:$F$405,G431,'Istoric_Nativ'!$D$6:$D$405,"&lt;"&amp;J431,'Istoric_Nativ'!$P$6:$P$405,1),COUNTIFS('Istoric_Nativ'!$B$6:$B$405,E431,'Istoric_Nativ'!$C$6:$C$405,F431,'Istoric_Nativ'!$E$6:$E$405,G431,'Istoric_Nativ'!$D$6:$D$405,"&lt;"&amp;J431,'Istoric_Nativ'!$P$6:$P$405,1)+COUNTIFS('Istoric_Nativ'!$B$6:$B$405,E431,'Istoric_Nativ'!$C$6:$C$405,F431,'Istoric_Nativ'!$F$6:$F$405,G431,'Istoric_Nativ'!$D$6:$D$405,"&lt;"&amp;J431,'Istoric_Nativ'!$P$6:$P$405,1))))</x:f>
        <x:v>0</x:v>
      </x:c>
      <x:c r="L431" s="17" t="n">
        <x:f>IF(AND(B431&lt;&gt;"",I431="RECENT",K431&gt;0),LARGE(_xlfn._xlws.FILTER('Istoric_Nativ'!$D$6:$D$405,('Istoric_Nativ'!$B$6:$B$405=E431)*('Istoric_Nativ'!$C$6:$C$405=F431)*('Istoric_Nativ'!$P$6:$P$405=1)*('Istoric_Nativ'!$D$6:$D$405&lt;J431)*((('Istoric_Nativ'!$E$6:$E$405=G431)+('Istoric_Nativ'!$F$6:$F$405=G431))&gt;0)),MIN('Config_v6'!$B$54,K431)),0)</x:f>
        <x:v>0</x:v>
      </x:c>
      <x:c r="M431" s="2" t="n">
        <x:f>IF(OR(B431="",F431=""),0,IF(H431="HOME",COUNTIFS('Istoric_Nativ'!$B$6:$B$405,E431,'Istoric_Nativ'!$C$6:$C$405,F431,'Istoric_Nativ'!$E$6:$E$405,G431,'Istoric_Nativ'!$D$6:$D$405,"&lt;"&amp;J431,'Istoric_Nativ'!$P$6:$P$405,1,'Istoric_Nativ'!$D$6:$D$405,"&gt;="&amp;L431),IF(H431="AWAY",COUNTIFS('Istoric_Nativ'!$B$6:$B$405,E431,'Istoric_Nativ'!$C$6:$C$405,F431,'Istoric_Nativ'!$F$6:$F$405,G431,'Istoric_Nativ'!$D$6:$D$405,"&lt;"&amp;J431,'Istoric_Nativ'!$P$6:$P$405,1,'Istoric_Nativ'!$D$6:$D$405,"&gt;="&amp;L431),COUNTIFS('Istoric_Nativ'!$B$6:$B$405,E431,'Istoric_Nativ'!$C$6:$C$405,F431,'Istoric_Nativ'!$E$6:$E$405,G431,'Istoric_Nativ'!$D$6:$D$405,"&lt;"&amp;J431,'Istoric_Nativ'!$P$6:$P$405,1,'Istoric_Nativ'!$D$6:$D$405,"&gt;="&amp;L431)+COUNTIFS('Istoric_Nativ'!$B$6:$B$405,E431,'Istoric_Nativ'!$C$6:$C$405,F431,'Istoric_Nativ'!$F$6:$F$405,G431,'Istoric_Nativ'!$D$6:$D$405,"&lt;"&amp;J431,'Istoric_Nativ'!$P$6:$P$405,1,'Istoric_Nativ'!$D$6:$D$405,"&gt;="&amp;L431))))</x:f>
        <x:v>0</x:v>
      </x:c>
      <x:c r="N431" s="11" t="str">
        <x:f>IF(M431=0,"",IF(H431="HOME",SUMIFS('Istoric_Nativ'!$G$6:$G$405,'Istoric_Nativ'!$B$6:$B$405,E431,'Istoric_Nativ'!$C$6:$C$405,F431,'Istoric_Nativ'!$E$6:$E$405,G431,'Istoric_Nativ'!$D$6:$D$405,"&lt;"&amp;J431,'Istoric_Nativ'!$P$6:$P$405,1,'Istoric_Nativ'!$D$6:$D$405,"&gt;="&amp;L431),IF(H431="AWAY",SUMIFS('Istoric_Nativ'!$H$6:$H$405,'Istoric_Nativ'!$B$6:$B$405,E431,'Istoric_Nativ'!$C$6:$C$405,F431,'Istoric_Nativ'!$F$6:$F$405,G431,'Istoric_Nativ'!$D$6:$D$405,"&lt;"&amp;J431,'Istoric_Nativ'!$P$6:$P$405,1,'Istoric_Nativ'!$D$6:$D$405,"&gt;="&amp;L431),SUMIFS('Istoric_Nativ'!$G$6:$G$405,'Istoric_Nativ'!$B$6:$B$405,E431,'Istoric_Nativ'!$C$6:$C$405,F431,'Istoric_Nativ'!$E$6:$E$405,G431,'Istoric_Nativ'!$D$6:$D$405,"&lt;"&amp;J431,'Istoric_Nativ'!$P$6:$P$405,1,'Istoric_Nativ'!$D$6:$D$405,"&gt;="&amp;L431)+SUMIFS('Istoric_Nativ'!$H$6:$H$405,'Istoric_Nativ'!$B$6:$B$405,E431,'Istoric_Nativ'!$C$6:$C$405,F431,'Istoric_Nativ'!$F$6:$F$405,G431,'Istoric_Nativ'!$D$6:$D$405,"&lt;"&amp;J431,'Istoric_Nativ'!$P$6:$P$405,1,'Istoric_Nativ'!$D$6:$D$405,"&gt;="&amp;L431)))/M431)</x:f>
      </x:c>
      <x:c r="O431" s="11" t="str">
        <x:f>IF(M431=0,"",IF(H431="HOME",SUMIFS('Istoric_Nativ'!$H$6:$H$405,'Istoric_Nativ'!$B$6:$B$405,E431,'Istoric_Nativ'!$C$6:$C$405,F431,'Istoric_Nativ'!$E$6:$E$405,G431,'Istoric_Nativ'!$D$6:$D$405,"&lt;"&amp;J431,'Istoric_Nativ'!$P$6:$P$405,1,'Istoric_Nativ'!$D$6:$D$405,"&gt;="&amp;L431),IF(H431="AWAY",SUMIFS('Istoric_Nativ'!$G$6:$G$405,'Istoric_Nativ'!$B$6:$B$405,E431,'Istoric_Nativ'!$C$6:$C$405,F431,'Istoric_Nativ'!$F$6:$F$405,G431,'Istoric_Nativ'!$D$6:$D$405,"&lt;"&amp;J431,'Istoric_Nativ'!$P$6:$P$405,1,'Istoric_Nativ'!$D$6:$D$405,"&gt;="&amp;L431),SUMIFS('Istoric_Nativ'!$H$6:$H$405,'Istoric_Nativ'!$B$6:$B$405,E431,'Istoric_Nativ'!$C$6:$C$405,F431,'Istoric_Nativ'!$E$6:$E$405,G431,'Istoric_Nativ'!$D$6:$D$405,"&lt;"&amp;J431,'Istoric_Nativ'!$P$6:$P$405,1,'Istoric_Nativ'!$D$6:$D$405,"&gt;="&amp;L431)+SUMIFS('Istoric_Nativ'!$G$6:$G$405,'Istoric_Nativ'!$B$6:$B$405,E431,'Istoric_Nativ'!$C$6:$C$405,F431,'Istoric_Nativ'!$F$6:$F$405,G431,'Istoric_Nativ'!$D$6:$D$405,"&lt;"&amp;J431,'Istoric_Nativ'!$P$6:$P$405,1,'Istoric_Nativ'!$D$6:$D$405,"&gt;="&amp;L431)))/M431)</x:f>
      </x:c>
      <x:c r="P431" s="2" t="n">
        <x:f>'Config_v6'!$B$9</x:f>
        <x:v>3</x:v>
      </x:c>
      <x:c r="Q431" s="2" t="n">
        <x:f>IF(OR(B431="",F431=""),0,IFERROR(MATCH(E431&amp;"|"&amp;F431,SourceTable[Source_Key],0),0))</x:f>
        <x:v>0</x:v>
      </x:c>
      <x:c r="R431" s="2" t="str">
        <x:f>IF(B431="","",IF(F431="","UNUSED",IF(Q431=0,"NOT CHECKED",IF(COUNTIF(SourceTable[Source_Key],E431&amp;"|"&amp;F431)&lt;&gt;1,"SOURCE CONFLICT",IF(NOT(OR(INDEX(SourceTable[Status],MAX(1,Q431))="IMPORTED",INDEX(SourceTable[Status],MAX(1,Q431))="PARTIAL",INDEX(SourceTable[Status],MAX(1,Q431))="SOURCE CONFLICT")),"ACCESS BLOCKED",IF(OR(INDEX(SourceTable[Coverage],Q431)&lt;&gt;"FULL SEASON EXPORT",INDEX(SourceTable[URL],Q431)="",INDEX(SourceTable[SHA256],Q431)=""),"EVIDENCE INCOMPLETE",IF(AND('Input_Meci'!H41="LIVE",INDEX(SourceTable[Retrieved_UTC],Q431)&gt;'Input_Meci'!G41),"POST CUTOFF","CLOSED")))))))</x:f>
      </x:c>
      <x:c r="S431" s="2" t="n">
        <x:f>IF(OR(B431="",F431=""),0,COUNTIFS('Istoric_Nativ'!$B$6:$B$405,E431,'Istoric_Nativ'!$C$6:$C$405,F431,'Istoric_Nativ'!$E$6:$E$405,G431,'Istoric_Nativ'!$D$6:$D$405,"&lt;"&amp;J431,'Istoric_Nativ'!$O$6:$O$405,"INVALID")+COUNTIFS('Istoric_Nativ'!$B$6:$B$405,E431,'Istoric_Nativ'!$C$6:$C$405,F431,'Istoric_Nativ'!$E$6:$E$405,G431,'Istoric_Nativ'!$O$6:$O$405,"INVALID",'Istoric_Nativ'!$D$6:$D$405,"*")+COUNTIFS('Istoric_Nativ'!$B$6:$B$405,E431,'Istoric_Nativ'!$C$6:$C$405,F431,'Istoric_Nativ'!$E$6:$E$405,G431,'Istoric_Nativ'!$D$6:$D$405,"&lt;"&amp;J431,'Istoric_Nativ'!$O$6:$O$405,"SOURCE CONFLICT")+COUNTIFS('Istoric_Nativ'!$B$6:$B$405,E431,'Istoric_Nativ'!$C$6:$C$405,F431,'Istoric_Nativ'!$F$6:$F$405,G431,'Istoric_Nativ'!$D$6:$D$405,"&lt;"&amp;J431,'Istoric_Nativ'!$O$6:$O$405,"INVALID")+COUNTIFS('Istoric_Nativ'!$B$6:$B$405,E431,'Istoric_Nativ'!$C$6:$C$405,F431,'Istoric_Nativ'!$F$6:$F$405,G431,'Istoric_Nativ'!$O$6:$O$405,"INVALID",'Istoric_Nativ'!$D$6:$D$405,"*")+COUNTIFS('Istoric_Nativ'!$B$6:$B$405,E431,'Istoric_Nativ'!$C$6:$C$405,F431,'Istoric_Nativ'!$F$6:$F$405,G431,'Istoric_Nativ'!$D$6:$D$405,"&lt;"&amp;J431,'Istoric_Nativ'!$O$6:$O$405,"SOURCE CONFLICT"))</x:f>
        <x:v>0</x:v>
      </x:c>
      <x:c r="T431" s="2" t="str">
        <x:f>IF(B431="","",IF(R431&lt;&gt;"CLOSED",R431,IF(S431&gt;0,"NATIVE INPUT ISSUE",IF(M431=0,"NO HISTORY",IF(M431&lt;P431,"SMALL SAMPLE","DERIVED")))))</x:f>
      </x:c>
      <x:c r="U431" s="2" t="str">
        <x:f>IF(B431="","","NativeTable; "&amp;E431&amp;"; "&amp;F431&amp;"; "&amp;G431&amp;"; "&amp;H431&amp;"; before "&amp;TEXT(J431,"yyyy-mm-dd")&amp;IF(I431="RECENT","; from "&amp;TEXT(L431,"yyyy-mm-dd"),""))</x:f>
      </x:c>
    </x:row>
    <x:row r="432" ht="21" customHeight="1">
      <x:c r="A432" s="2" t="n">
        <x:v>36</x:v>
      </x:c>
      <x:c r="B432" s="2" t="str">
        <x:f>IF('Input_Meci'!A41="","",'Input_Meci'!A41)</x:f>
      </x:c>
      <x:c r="C432" s="2" t="str">
        <x:v>H</x:v>
      </x:c>
      <x:c r="D432" s="2" t="str">
        <x:v>PRIOR</x:v>
      </x:c>
      <x:c r="E432" s="2" t="str">
        <x:f>IF(B432="","",'Input_Meci'!B41)</x:f>
      </x:c>
      <x:c r="F432" s="2" t="str">
        <x:f>IF(B432="","",IF('Input_Meci'!K41="","",'Input_Meci'!K41))</x:f>
      </x:c>
      <x:c r="G432" s="2" t="str">
        <x:f>IF(B432="","",'Input_Meci'!D41)</x:f>
      </x:c>
      <x:c r="H432" s="2" t="str">
        <x:v>ANY</x:v>
      </x:c>
      <x:c r="I432" s="2" t="str">
        <x:v>SEASON</x:v>
      </x:c>
      <x:c r="J432" s="9" t="n">
        <x:f>IF(AND(B432&lt;&gt;"",ISNUMBER('Input_Meci'!G41)),INT('Input_Meci'!G41),0)</x:f>
        <x:v>0</x:v>
      </x:c>
      <x:c r="K432" s="2" t="n">
        <x:f>IF(OR(B432="",F432=""),0,IF(H432="HOME",COUNTIFS('Istoric_Nativ'!$B$6:$B$405,E432,'Istoric_Nativ'!$C$6:$C$405,F432,'Istoric_Nativ'!$E$6:$E$405,G432,'Istoric_Nativ'!$D$6:$D$405,"&lt;"&amp;J432,'Istoric_Nativ'!$P$6:$P$405,1),IF(H432="AWAY",COUNTIFS('Istoric_Nativ'!$B$6:$B$405,E432,'Istoric_Nativ'!$C$6:$C$405,F432,'Istoric_Nativ'!$F$6:$F$405,G432,'Istoric_Nativ'!$D$6:$D$405,"&lt;"&amp;J432,'Istoric_Nativ'!$P$6:$P$405,1),COUNTIFS('Istoric_Nativ'!$B$6:$B$405,E432,'Istoric_Nativ'!$C$6:$C$405,F432,'Istoric_Nativ'!$E$6:$E$405,G432,'Istoric_Nativ'!$D$6:$D$405,"&lt;"&amp;J432,'Istoric_Nativ'!$P$6:$P$405,1)+COUNTIFS('Istoric_Nativ'!$B$6:$B$405,E432,'Istoric_Nativ'!$C$6:$C$405,F432,'Istoric_Nativ'!$F$6:$F$405,G432,'Istoric_Nativ'!$D$6:$D$405,"&lt;"&amp;J432,'Istoric_Nativ'!$P$6:$P$405,1))))</x:f>
        <x:v>0</x:v>
      </x:c>
      <x:c r="L432" s="17" t="n">
        <x:f>IF(AND(B432&lt;&gt;"",I432="RECENT",K432&gt;0),LARGE(_xlfn._xlws.FILTER('Istoric_Nativ'!$D$6:$D$405,('Istoric_Nativ'!$B$6:$B$405=E432)*('Istoric_Nativ'!$C$6:$C$405=F432)*('Istoric_Nativ'!$P$6:$P$405=1)*('Istoric_Nativ'!$D$6:$D$405&lt;J432)*((('Istoric_Nativ'!$E$6:$E$405=G432)+('Istoric_Nativ'!$F$6:$F$405=G432))&gt;0)),MIN('Config_v6'!$B$54,K432)),0)</x:f>
        <x:v>0</x:v>
      </x:c>
      <x:c r="M432" s="2" t="n">
        <x:f>IF(OR(B432="",F432=""),0,IF(H432="HOME",COUNTIFS('Istoric_Nativ'!$B$6:$B$405,E432,'Istoric_Nativ'!$C$6:$C$405,F432,'Istoric_Nativ'!$E$6:$E$405,G432,'Istoric_Nativ'!$D$6:$D$405,"&lt;"&amp;J432,'Istoric_Nativ'!$P$6:$P$405,1,'Istoric_Nativ'!$D$6:$D$405,"&gt;="&amp;L432),IF(H432="AWAY",COUNTIFS('Istoric_Nativ'!$B$6:$B$405,E432,'Istoric_Nativ'!$C$6:$C$405,F432,'Istoric_Nativ'!$F$6:$F$405,G432,'Istoric_Nativ'!$D$6:$D$405,"&lt;"&amp;J432,'Istoric_Nativ'!$P$6:$P$405,1,'Istoric_Nativ'!$D$6:$D$405,"&gt;="&amp;L432),COUNTIFS('Istoric_Nativ'!$B$6:$B$405,E432,'Istoric_Nativ'!$C$6:$C$405,F432,'Istoric_Nativ'!$E$6:$E$405,G432,'Istoric_Nativ'!$D$6:$D$405,"&lt;"&amp;J432,'Istoric_Nativ'!$P$6:$P$405,1,'Istoric_Nativ'!$D$6:$D$405,"&gt;="&amp;L432)+COUNTIFS('Istoric_Nativ'!$B$6:$B$405,E432,'Istoric_Nativ'!$C$6:$C$405,F432,'Istoric_Nativ'!$F$6:$F$405,G432,'Istoric_Nativ'!$D$6:$D$405,"&lt;"&amp;J432,'Istoric_Nativ'!$P$6:$P$405,1,'Istoric_Nativ'!$D$6:$D$405,"&gt;="&amp;L432))))</x:f>
        <x:v>0</x:v>
      </x:c>
      <x:c r="N432" s="11" t="str">
        <x:f>IF(M432=0,"",IF(H432="HOME",SUMIFS('Istoric_Nativ'!$G$6:$G$405,'Istoric_Nativ'!$B$6:$B$405,E432,'Istoric_Nativ'!$C$6:$C$405,F432,'Istoric_Nativ'!$E$6:$E$405,G432,'Istoric_Nativ'!$D$6:$D$405,"&lt;"&amp;J432,'Istoric_Nativ'!$P$6:$P$405,1,'Istoric_Nativ'!$D$6:$D$405,"&gt;="&amp;L432),IF(H432="AWAY",SUMIFS('Istoric_Nativ'!$H$6:$H$405,'Istoric_Nativ'!$B$6:$B$405,E432,'Istoric_Nativ'!$C$6:$C$405,F432,'Istoric_Nativ'!$F$6:$F$405,G432,'Istoric_Nativ'!$D$6:$D$405,"&lt;"&amp;J432,'Istoric_Nativ'!$P$6:$P$405,1,'Istoric_Nativ'!$D$6:$D$405,"&gt;="&amp;L432),SUMIFS('Istoric_Nativ'!$G$6:$G$405,'Istoric_Nativ'!$B$6:$B$405,E432,'Istoric_Nativ'!$C$6:$C$405,F432,'Istoric_Nativ'!$E$6:$E$405,G432,'Istoric_Nativ'!$D$6:$D$405,"&lt;"&amp;J432,'Istoric_Nativ'!$P$6:$P$405,1,'Istoric_Nativ'!$D$6:$D$405,"&gt;="&amp;L432)+SUMIFS('Istoric_Nativ'!$H$6:$H$405,'Istoric_Nativ'!$B$6:$B$405,E432,'Istoric_Nativ'!$C$6:$C$405,F432,'Istoric_Nativ'!$F$6:$F$405,G432,'Istoric_Nativ'!$D$6:$D$405,"&lt;"&amp;J432,'Istoric_Nativ'!$P$6:$P$405,1,'Istoric_Nativ'!$D$6:$D$405,"&gt;="&amp;L432)))/M432)</x:f>
      </x:c>
      <x:c r="O432" s="11" t="str">
        <x:f>IF(M432=0,"",IF(H432="HOME",SUMIFS('Istoric_Nativ'!$H$6:$H$405,'Istoric_Nativ'!$B$6:$B$405,E432,'Istoric_Nativ'!$C$6:$C$405,F432,'Istoric_Nativ'!$E$6:$E$405,G432,'Istoric_Nativ'!$D$6:$D$405,"&lt;"&amp;J432,'Istoric_Nativ'!$P$6:$P$405,1,'Istoric_Nativ'!$D$6:$D$405,"&gt;="&amp;L432),IF(H432="AWAY",SUMIFS('Istoric_Nativ'!$G$6:$G$405,'Istoric_Nativ'!$B$6:$B$405,E432,'Istoric_Nativ'!$C$6:$C$405,F432,'Istoric_Nativ'!$F$6:$F$405,G432,'Istoric_Nativ'!$D$6:$D$405,"&lt;"&amp;J432,'Istoric_Nativ'!$P$6:$P$405,1,'Istoric_Nativ'!$D$6:$D$405,"&gt;="&amp;L432),SUMIFS('Istoric_Nativ'!$H$6:$H$405,'Istoric_Nativ'!$B$6:$B$405,E432,'Istoric_Nativ'!$C$6:$C$405,F432,'Istoric_Nativ'!$E$6:$E$405,G432,'Istoric_Nativ'!$D$6:$D$405,"&lt;"&amp;J432,'Istoric_Nativ'!$P$6:$P$405,1,'Istoric_Nativ'!$D$6:$D$405,"&gt;="&amp;L432)+SUMIFS('Istoric_Nativ'!$G$6:$G$405,'Istoric_Nativ'!$B$6:$B$405,E432,'Istoric_Nativ'!$C$6:$C$405,F432,'Istoric_Nativ'!$F$6:$F$405,G432,'Istoric_Nativ'!$D$6:$D$405,"&lt;"&amp;J432,'Istoric_Nativ'!$P$6:$P$405,1,'Istoric_Nativ'!$D$6:$D$405,"&gt;="&amp;L432)))/M432)</x:f>
      </x:c>
      <x:c r="P432" s="2" t="n">
        <x:f>'Config_v6'!$B$7</x:f>
        <x:v>10</x:v>
      </x:c>
      <x:c r="Q432" s="2" t="n">
        <x:f>IF(OR(B432="",F432=""),0,IFERROR(MATCH(E432&amp;"|"&amp;F432,SourceTable[Source_Key],0),0))</x:f>
        <x:v>0</x:v>
      </x:c>
      <x:c r="R432" s="2" t="str">
        <x:f>IF(B432="","",IF(F432="","UNUSED",IF(Q432=0,"NOT CHECKED",IF(COUNTIF(SourceTable[Source_Key],E432&amp;"|"&amp;F432)&lt;&gt;1,"SOURCE CONFLICT",IF(NOT(OR(INDEX(SourceTable[Status],MAX(1,Q432))="IMPORTED",INDEX(SourceTable[Status],MAX(1,Q432))="PARTIAL",INDEX(SourceTable[Status],MAX(1,Q432))="SOURCE CONFLICT")),"ACCESS BLOCKED",IF(OR(INDEX(SourceTable[Coverage],Q432)&lt;&gt;"FULL SEASON EXPORT",INDEX(SourceTable[URL],Q432)="",INDEX(SourceTable[SHA256],Q432)=""),"EVIDENCE INCOMPLETE",IF(AND('Input_Meci'!H41="LIVE",INDEX(SourceTable[Retrieved_UTC],Q432)&gt;'Input_Meci'!G41),"POST CUTOFF","CLOSED")))))))</x:f>
      </x:c>
      <x:c r="S432" s="2" t="n">
        <x:f>IF(OR(B432="",F432=""),0,COUNTIFS('Istoric_Nativ'!$B$6:$B$405,E432,'Istoric_Nativ'!$C$6:$C$405,F432,'Istoric_Nativ'!$E$6:$E$405,G432,'Istoric_Nativ'!$D$6:$D$405,"&lt;"&amp;J432,'Istoric_Nativ'!$O$6:$O$405,"INVALID")+COUNTIFS('Istoric_Nativ'!$B$6:$B$405,E432,'Istoric_Nativ'!$C$6:$C$405,F432,'Istoric_Nativ'!$E$6:$E$405,G432,'Istoric_Nativ'!$O$6:$O$405,"INVALID",'Istoric_Nativ'!$D$6:$D$405,"*")+COUNTIFS('Istoric_Nativ'!$B$6:$B$405,E432,'Istoric_Nativ'!$C$6:$C$405,F432,'Istoric_Nativ'!$E$6:$E$405,G432,'Istoric_Nativ'!$D$6:$D$405,"&lt;"&amp;J432,'Istoric_Nativ'!$O$6:$O$405,"SOURCE CONFLICT")+COUNTIFS('Istoric_Nativ'!$B$6:$B$405,E432,'Istoric_Nativ'!$C$6:$C$405,F432,'Istoric_Nativ'!$F$6:$F$405,G432,'Istoric_Nativ'!$D$6:$D$405,"&lt;"&amp;J432,'Istoric_Nativ'!$O$6:$O$405,"INVALID")+COUNTIFS('Istoric_Nativ'!$B$6:$B$405,E432,'Istoric_Nativ'!$C$6:$C$405,F432,'Istoric_Nativ'!$F$6:$F$405,G432,'Istoric_Nativ'!$O$6:$O$405,"INVALID",'Istoric_Nativ'!$D$6:$D$405,"*")+COUNTIFS('Istoric_Nativ'!$B$6:$B$405,E432,'Istoric_Nativ'!$C$6:$C$405,F432,'Istoric_Nativ'!$F$6:$F$405,G432,'Istoric_Nativ'!$D$6:$D$405,"&lt;"&amp;J432,'Istoric_Nativ'!$O$6:$O$405,"SOURCE CONFLICT"))</x:f>
        <x:v>0</x:v>
      </x:c>
      <x:c r="T432" s="2" t="str">
        <x:f>IF(B432="","",IF(R432&lt;&gt;"CLOSED",R432,IF(S432&gt;0,"NATIVE INPUT ISSUE",IF(M432=0,"NO HISTORY",IF(M432&lt;P432,"SMALL SAMPLE","DERIVED")))))</x:f>
      </x:c>
      <x:c r="U432" s="2" t="str">
        <x:f>IF(B432="","","NativeTable; "&amp;E432&amp;"; "&amp;F432&amp;"; "&amp;G432&amp;"; "&amp;H432&amp;"; before "&amp;TEXT(J432,"yyyy-mm-dd")&amp;IF(I432="RECENT","; from "&amp;TEXT(L432,"yyyy-mm-dd"),""))</x:f>
      </x:c>
    </x:row>
    <x:row r="433" ht="21" customHeight="1">
      <x:c r="A433" s="2" t="n">
        <x:v>36</x:v>
      </x:c>
      <x:c r="B433" s="2" t="str">
        <x:f>IF('Input_Meci'!A41="","",'Input_Meci'!A41)</x:f>
      </x:c>
      <x:c r="C433" s="2" t="str">
        <x:v>H</x:v>
      </x:c>
      <x:c r="D433" s="2" t="str">
        <x:v>PRIOR</x:v>
      </x:c>
      <x:c r="E433" s="2" t="str">
        <x:f>IF(B433="","",'Input_Meci'!B41)</x:f>
      </x:c>
      <x:c r="F433" s="2" t="str">
        <x:f>IF(B433="","",IF('Input_Meci'!K41="","",'Input_Meci'!K41))</x:f>
      </x:c>
      <x:c r="G433" s="2" t="str">
        <x:f>IF(B433="","",'Input_Meci'!D41)</x:f>
      </x:c>
      <x:c r="H433" s="2" t="str">
        <x:v>HOME</x:v>
      </x:c>
      <x:c r="I433" s="2" t="str">
        <x:v>HA</x:v>
      </x:c>
      <x:c r="J433" s="9" t="n">
        <x:f>IF(AND(B433&lt;&gt;"",ISNUMBER('Input_Meci'!G41)),INT('Input_Meci'!G41),0)</x:f>
        <x:v>0</x:v>
      </x:c>
      <x:c r="K433" s="2" t="n">
        <x:f>IF(OR(B433="",F433=""),0,IF(H433="HOME",COUNTIFS('Istoric_Nativ'!$B$6:$B$405,E433,'Istoric_Nativ'!$C$6:$C$405,F433,'Istoric_Nativ'!$E$6:$E$405,G433,'Istoric_Nativ'!$D$6:$D$405,"&lt;"&amp;J433,'Istoric_Nativ'!$P$6:$P$405,1),IF(H433="AWAY",COUNTIFS('Istoric_Nativ'!$B$6:$B$405,E433,'Istoric_Nativ'!$C$6:$C$405,F433,'Istoric_Nativ'!$F$6:$F$405,G433,'Istoric_Nativ'!$D$6:$D$405,"&lt;"&amp;J433,'Istoric_Nativ'!$P$6:$P$405,1),COUNTIFS('Istoric_Nativ'!$B$6:$B$405,E433,'Istoric_Nativ'!$C$6:$C$405,F433,'Istoric_Nativ'!$E$6:$E$405,G433,'Istoric_Nativ'!$D$6:$D$405,"&lt;"&amp;J433,'Istoric_Nativ'!$P$6:$P$405,1)+COUNTIFS('Istoric_Nativ'!$B$6:$B$405,E433,'Istoric_Nativ'!$C$6:$C$405,F433,'Istoric_Nativ'!$F$6:$F$405,G433,'Istoric_Nativ'!$D$6:$D$405,"&lt;"&amp;J433,'Istoric_Nativ'!$P$6:$P$405,1))))</x:f>
        <x:v>0</x:v>
      </x:c>
      <x:c r="L433" s="17" t="n">
        <x:f>IF(AND(B433&lt;&gt;"",I433="RECENT",K433&gt;0),LARGE(_xlfn._xlws.FILTER('Istoric_Nativ'!$D$6:$D$405,('Istoric_Nativ'!$B$6:$B$405=E433)*('Istoric_Nativ'!$C$6:$C$405=F433)*('Istoric_Nativ'!$P$6:$P$405=1)*('Istoric_Nativ'!$D$6:$D$405&lt;J433)*((('Istoric_Nativ'!$E$6:$E$405=G433)+('Istoric_Nativ'!$F$6:$F$405=G433))&gt;0)),MIN('Config_v6'!$B$54,K433)),0)</x:f>
        <x:v>0</x:v>
      </x:c>
      <x:c r="M433" s="2" t="n">
        <x:f>IF(OR(B433="",F433=""),0,IF(H433="HOME",COUNTIFS('Istoric_Nativ'!$B$6:$B$405,E433,'Istoric_Nativ'!$C$6:$C$405,F433,'Istoric_Nativ'!$E$6:$E$405,G433,'Istoric_Nativ'!$D$6:$D$405,"&lt;"&amp;J433,'Istoric_Nativ'!$P$6:$P$405,1,'Istoric_Nativ'!$D$6:$D$405,"&gt;="&amp;L433),IF(H433="AWAY",COUNTIFS('Istoric_Nativ'!$B$6:$B$405,E433,'Istoric_Nativ'!$C$6:$C$405,F433,'Istoric_Nativ'!$F$6:$F$405,G433,'Istoric_Nativ'!$D$6:$D$405,"&lt;"&amp;J433,'Istoric_Nativ'!$P$6:$P$405,1,'Istoric_Nativ'!$D$6:$D$405,"&gt;="&amp;L433),COUNTIFS('Istoric_Nativ'!$B$6:$B$405,E433,'Istoric_Nativ'!$C$6:$C$405,F433,'Istoric_Nativ'!$E$6:$E$405,G433,'Istoric_Nativ'!$D$6:$D$405,"&lt;"&amp;J433,'Istoric_Nativ'!$P$6:$P$405,1,'Istoric_Nativ'!$D$6:$D$405,"&gt;="&amp;L433)+COUNTIFS('Istoric_Nativ'!$B$6:$B$405,E433,'Istoric_Nativ'!$C$6:$C$405,F433,'Istoric_Nativ'!$F$6:$F$405,G433,'Istoric_Nativ'!$D$6:$D$405,"&lt;"&amp;J433,'Istoric_Nativ'!$P$6:$P$405,1,'Istoric_Nativ'!$D$6:$D$405,"&gt;="&amp;L433))))</x:f>
        <x:v>0</x:v>
      </x:c>
      <x:c r="N433" s="11" t="str">
        <x:f>IF(M433=0,"",IF(H433="HOME",SUMIFS('Istoric_Nativ'!$G$6:$G$405,'Istoric_Nativ'!$B$6:$B$405,E433,'Istoric_Nativ'!$C$6:$C$405,F433,'Istoric_Nativ'!$E$6:$E$405,G433,'Istoric_Nativ'!$D$6:$D$405,"&lt;"&amp;J433,'Istoric_Nativ'!$P$6:$P$405,1,'Istoric_Nativ'!$D$6:$D$405,"&gt;="&amp;L433),IF(H433="AWAY",SUMIFS('Istoric_Nativ'!$H$6:$H$405,'Istoric_Nativ'!$B$6:$B$405,E433,'Istoric_Nativ'!$C$6:$C$405,F433,'Istoric_Nativ'!$F$6:$F$405,G433,'Istoric_Nativ'!$D$6:$D$405,"&lt;"&amp;J433,'Istoric_Nativ'!$P$6:$P$405,1,'Istoric_Nativ'!$D$6:$D$405,"&gt;="&amp;L433),SUMIFS('Istoric_Nativ'!$G$6:$G$405,'Istoric_Nativ'!$B$6:$B$405,E433,'Istoric_Nativ'!$C$6:$C$405,F433,'Istoric_Nativ'!$E$6:$E$405,G433,'Istoric_Nativ'!$D$6:$D$405,"&lt;"&amp;J433,'Istoric_Nativ'!$P$6:$P$405,1,'Istoric_Nativ'!$D$6:$D$405,"&gt;="&amp;L433)+SUMIFS('Istoric_Nativ'!$H$6:$H$405,'Istoric_Nativ'!$B$6:$B$405,E433,'Istoric_Nativ'!$C$6:$C$405,F433,'Istoric_Nativ'!$F$6:$F$405,G433,'Istoric_Nativ'!$D$6:$D$405,"&lt;"&amp;J433,'Istoric_Nativ'!$P$6:$P$405,1,'Istoric_Nativ'!$D$6:$D$405,"&gt;="&amp;L433)))/M433)</x:f>
      </x:c>
      <x:c r="O433" s="11" t="str">
        <x:f>IF(M433=0,"",IF(H433="HOME",SUMIFS('Istoric_Nativ'!$H$6:$H$405,'Istoric_Nativ'!$B$6:$B$405,E433,'Istoric_Nativ'!$C$6:$C$405,F433,'Istoric_Nativ'!$E$6:$E$405,G433,'Istoric_Nativ'!$D$6:$D$405,"&lt;"&amp;J433,'Istoric_Nativ'!$P$6:$P$405,1,'Istoric_Nativ'!$D$6:$D$405,"&gt;="&amp;L433),IF(H433="AWAY",SUMIFS('Istoric_Nativ'!$G$6:$G$405,'Istoric_Nativ'!$B$6:$B$405,E433,'Istoric_Nativ'!$C$6:$C$405,F433,'Istoric_Nativ'!$F$6:$F$405,G433,'Istoric_Nativ'!$D$6:$D$405,"&lt;"&amp;J433,'Istoric_Nativ'!$P$6:$P$405,1,'Istoric_Nativ'!$D$6:$D$405,"&gt;="&amp;L433),SUMIFS('Istoric_Nativ'!$H$6:$H$405,'Istoric_Nativ'!$B$6:$B$405,E433,'Istoric_Nativ'!$C$6:$C$405,F433,'Istoric_Nativ'!$E$6:$E$405,G433,'Istoric_Nativ'!$D$6:$D$405,"&lt;"&amp;J433,'Istoric_Nativ'!$P$6:$P$405,1,'Istoric_Nativ'!$D$6:$D$405,"&gt;="&amp;L433)+SUMIFS('Istoric_Nativ'!$G$6:$G$405,'Istoric_Nativ'!$B$6:$B$405,E433,'Istoric_Nativ'!$C$6:$C$405,F433,'Istoric_Nativ'!$F$6:$F$405,G433,'Istoric_Nativ'!$D$6:$D$405,"&lt;"&amp;J433,'Istoric_Nativ'!$P$6:$P$405,1,'Istoric_Nativ'!$D$6:$D$405,"&gt;="&amp;L433)))/M433)</x:f>
      </x:c>
      <x:c r="P433" s="2" t="n">
        <x:f>'Config_v6'!$B$8</x:f>
        <x:v>5</x:v>
      </x:c>
      <x:c r="Q433" s="2" t="n">
        <x:f>IF(OR(B433="",F433=""),0,IFERROR(MATCH(E433&amp;"|"&amp;F433,SourceTable[Source_Key],0),0))</x:f>
        <x:v>0</x:v>
      </x:c>
      <x:c r="R433" s="2" t="str">
        <x:f>IF(B433="","",IF(F433="","UNUSED",IF(Q433=0,"NOT CHECKED",IF(COUNTIF(SourceTable[Source_Key],E433&amp;"|"&amp;F433)&lt;&gt;1,"SOURCE CONFLICT",IF(NOT(OR(INDEX(SourceTable[Status],MAX(1,Q433))="IMPORTED",INDEX(SourceTable[Status],MAX(1,Q433))="PARTIAL",INDEX(SourceTable[Status],MAX(1,Q433))="SOURCE CONFLICT")),"ACCESS BLOCKED",IF(OR(INDEX(SourceTable[Coverage],Q433)&lt;&gt;"FULL SEASON EXPORT",INDEX(SourceTable[URL],Q433)="",INDEX(SourceTable[SHA256],Q433)=""),"EVIDENCE INCOMPLETE",IF(AND('Input_Meci'!H41="LIVE",INDEX(SourceTable[Retrieved_UTC],Q433)&gt;'Input_Meci'!G41),"POST CUTOFF","CLOSED")))))))</x:f>
      </x:c>
      <x:c r="S433" s="2" t="n">
        <x:f>IF(OR(B433="",F433=""),0,COUNTIFS('Istoric_Nativ'!$B$6:$B$405,E433,'Istoric_Nativ'!$C$6:$C$405,F433,'Istoric_Nativ'!$E$6:$E$405,G433,'Istoric_Nativ'!$D$6:$D$405,"&lt;"&amp;J433,'Istoric_Nativ'!$O$6:$O$405,"INVALID")+COUNTIFS('Istoric_Nativ'!$B$6:$B$405,E433,'Istoric_Nativ'!$C$6:$C$405,F433,'Istoric_Nativ'!$E$6:$E$405,G433,'Istoric_Nativ'!$O$6:$O$405,"INVALID",'Istoric_Nativ'!$D$6:$D$405,"*")+COUNTIFS('Istoric_Nativ'!$B$6:$B$405,E433,'Istoric_Nativ'!$C$6:$C$405,F433,'Istoric_Nativ'!$E$6:$E$405,G433,'Istoric_Nativ'!$D$6:$D$405,"&lt;"&amp;J433,'Istoric_Nativ'!$O$6:$O$405,"SOURCE CONFLICT")+COUNTIFS('Istoric_Nativ'!$B$6:$B$405,E433,'Istoric_Nativ'!$C$6:$C$405,F433,'Istoric_Nativ'!$F$6:$F$405,G433,'Istoric_Nativ'!$D$6:$D$405,"&lt;"&amp;J433,'Istoric_Nativ'!$O$6:$O$405,"INVALID")+COUNTIFS('Istoric_Nativ'!$B$6:$B$405,E433,'Istoric_Nativ'!$C$6:$C$405,F433,'Istoric_Nativ'!$F$6:$F$405,G433,'Istoric_Nativ'!$O$6:$O$405,"INVALID",'Istoric_Nativ'!$D$6:$D$405,"*")+COUNTIFS('Istoric_Nativ'!$B$6:$B$405,E433,'Istoric_Nativ'!$C$6:$C$405,F433,'Istoric_Nativ'!$F$6:$F$405,G433,'Istoric_Nativ'!$D$6:$D$405,"&lt;"&amp;J433,'Istoric_Nativ'!$O$6:$O$405,"SOURCE CONFLICT"))</x:f>
        <x:v>0</x:v>
      </x:c>
      <x:c r="T433" s="2" t="str">
        <x:f>IF(B433="","",IF(R433&lt;&gt;"CLOSED",R433,IF(S433&gt;0,"NATIVE INPUT ISSUE",IF(M433=0,"NO HISTORY",IF(M433&lt;P433,"SMALL SAMPLE","DERIVED")))))</x:f>
      </x:c>
      <x:c r="U433" s="2" t="str">
        <x:f>IF(B433="","","NativeTable; "&amp;E433&amp;"; "&amp;F433&amp;"; "&amp;G433&amp;"; "&amp;H433&amp;"; before "&amp;TEXT(J433,"yyyy-mm-dd")&amp;IF(I433="RECENT","; from "&amp;TEXT(L433,"yyyy-mm-dd"),""))</x:f>
      </x:c>
    </x:row>
    <x:row r="434" ht="21" customHeight="1">
      <x:c r="A434" s="2" t="n">
        <x:v>36</x:v>
      </x:c>
      <x:c r="B434" s="2" t="str">
        <x:f>IF('Input_Meci'!A41="","",'Input_Meci'!A41)</x:f>
      </x:c>
      <x:c r="C434" s="2" t="str">
        <x:v>H</x:v>
      </x:c>
      <x:c r="D434" s="2" t="str">
        <x:v>PRIOR</x:v>
      </x:c>
      <x:c r="E434" s="2" t="str">
        <x:f>IF(B434="","",'Input_Meci'!B41)</x:f>
      </x:c>
      <x:c r="F434" s="2" t="str">
        <x:f>IF(B434="","",IF('Input_Meci'!K41="","",'Input_Meci'!K41))</x:f>
      </x:c>
      <x:c r="G434" s="2" t="str">
        <x:f>IF(B434="","",'Input_Meci'!D41)</x:f>
      </x:c>
      <x:c r="H434" s="2" t="str">
        <x:v>ANY</x:v>
      </x:c>
      <x:c r="I434" s="2" t="str">
        <x:v>RECENT</x:v>
      </x:c>
      <x:c r="J434" s="9" t="n">
        <x:f>IF(AND(B434&lt;&gt;"",ISNUMBER('Input_Meci'!G41)),INT('Input_Meci'!G41),0)</x:f>
        <x:v>0</x:v>
      </x:c>
      <x:c r="K434" s="2" t="n">
        <x:f>IF(OR(B434="",F434=""),0,IF(H434="HOME",COUNTIFS('Istoric_Nativ'!$B$6:$B$405,E434,'Istoric_Nativ'!$C$6:$C$405,F434,'Istoric_Nativ'!$E$6:$E$405,G434,'Istoric_Nativ'!$D$6:$D$405,"&lt;"&amp;J434,'Istoric_Nativ'!$P$6:$P$405,1),IF(H434="AWAY",COUNTIFS('Istoric_Nativ'!$B$6:$B$405,E434,'Istoric_Nativ'!$C$6:$C$405,F434,'Istoric_Nativ'!$F$6:$F$405,G434,'Istoric_Nativ'!$D$6:$D$405,"&lt;"&amp;J434,'Istoric_Nativ'!$P$6:$P$405,1),COUNTIFS('Istoric_Nativ'!$B$6:$B$405,E434,'Istoric_Nativ'!$C$6:$C$405,F434,'Istoric_Nativ'!$E$6:$E$405,G434,'Istoric_Nativ'!$D$6:$D$405,"&lt;"&amp;J434,'Istoric_Nativ'!$P$6:$P$405,1)+COUNTIFS('Istoric_Nativ'!$B$6:$B$405,E434,'Istoric_Nativ'!$C$6:$C$405,F434,'Istoric_Nativ'!$F$6:$F$405,G434,'Istoric_Nativ'!$D$6:$D$405,"&lt;"&amp;J434,'Istoric_Nativ'!$P$6:$P$405,1))))</x:f>
        <x:v>0</x:v>
      </x:c>
      <x:c r="L434" s="17" t="n">
        <x:f>IF(AND(B434&lt;&gt;"",I434="RECENT",K434&gt;0),LARGE(_xlfn._xlws.FILTER('Istoric_Nativ'!$D$6:$D$405,('Istoric_Nativ'!$B$6:$B$405=E434)*('Istoric_Nativ'!$C$6:$C$405=F434)*('Istoric_Nativ'!$P$6:$P$405=1)*('Istoric_Nativ'!$D$6:$D$405&lt;J434)*((('Istoric_Nativ'!$E$6:$E$405=G434)+('Istoric_Nativ'!$F$6:$F$405=G434))&gt;0)),MIN('Config_v6'!$B$54,K434)),0)</x:f>
        <x:v>0</x:v>
      </x:c>
      <x:c r="M434" s="2" t="n">
        <x:f>IF(OR(B434="",F434=""),0,IF(H434="HOME",COUNTIFS('Istoric_Nativ'!$B$6:$B$405,E434,'Istoric_Nativ'!$C$6:$C$405,F434,'Istoric_Nativ'!$E$6:$E$405,G434,'Istoric_Nativ'!$D$6:$D$405,"&lt;"&amp;J434,'Istoric_Nativ'!$P$6:$P$405,1,'Istoric_Nativ'!$D$6:$D$405,"&gt;="&amp;L434),IF(H434="AWAY",COUNTIFS('Istoric_Nativ'!$B$6:$B$405,E434,'Istoric_Nativ'!$C$6:$C$405,F434,'Istoric_Nativ'!$F$6:$F$405,G434,'Istoric_Nativ'!$D$6:$D$405,"&lt;"&amp;J434,'Istoric_Nativ'!$P$6:$P$405,1,'Istoric_Nativ'!$D$6:$D$405,"&gt;="&amp;L434),COUNTIFS('Istoric_Nativ'!$B$6:$B$405,E434,'Istoric_Nativ'!$C$6:$C$405,F434,'Istoric_Nativ'!$E$6:$E$405,G434,'Istoric_Nativ'!$D$6:$D$405,"&lt;"&amp;J434,'Istoric_Nativ'!$P$6:$P$405,1,'Istoric_Nativ'!$D$6:$D$405,"&gt;="&amp;L434)+COUNTIFS('Istoric_Nativ'!$B$6:$B$405,E434,'Istoric_Nativ'!$C$6:$C$405,F434,'Istoric_Nativ'!$F$6:$F$405,G434,'Istoric_Nativ'!$D$6:$D$405,"&lt;"&amp;J434,'Istoric_Nativ'!$P$6:$P$405,1,'Istoric_Nativ'!$D$6:$D$405,"&gt;="&amp;L434))))</x:f>
        <x:v>0</x:v>
      </x:c>
      <x:c r="N434" s="11" t="str">
        <x:f>IF(M434=0,"",IF(H434="HOME",SUMIFS('Istoric_Nativ'!$G$6:$G$405,'Istoric_Nativ'!$B$6:$B$405,E434,'Istoric_Nativ'!$C$6:$C$405,F434,'Istoric_Nativ'!$E$6:$E$405,G434,'Istoric_Nativ'!$D$6:$D$405,"&lt;"&amp;J434,'Istoric_Nativ'!$P$6:$P$405,1,'Istoric_Nativ'!$D$6:$D$405,"&gt;="&amp;L434),IF(H434="AWAY",SUMIFS('Istoric_Nativ'!$H$6:$H$405,'Istoric_Nativ'!$B$6:$B$405,E434,'Istoric_Nativ'!$C$6:$C$405,F434,'Istoric_Nativ'!$F$6:$F$405,G434,'Istoric_Nativ'!$D$6:$D$405,"&lt;"&amp;J434,'Istoric_Nativ'!$P$6:$P$405,1,'Istoric_Nativ'!$D$6:$D$405,"&gt;="&amp;L434),SUMIFS('Istoric_Nativ'!$G$6:$G$405,'Istoric_Nativ'!$B$6:$B$405,E434,'Istoric_Nativ'!$C$6:$C$405,F434,'Istoric_Nativ'!$E$6:$E$405,G434,'Istoric_Nativ'!$D$6:$D$405,"&lt;"&amp;J434,'Istoric_Nativ'!$P$6:$P$405,1,'Istoric_Nativ'!$D$6:$D$405,"&gt;="&amp;L434)+SUMIFS('Istoric_Nativ'!$H$6:$H$405,'Istoric_Nativ'!$B$6:$B$405,E434,'Istoric_Nativ'!$C$6:$C$405,F434,'Istoric_Nativ'!$F$6:$F$405,G434,'Istoric_Nativ'!$D$6:$D$405,"&lt;"&amp;J434,'Istoric_Nativ'!$P$6:$P$405,1,'Istoric_Nativ'!$D$6:$D$405,"&gt;="&amp;L434)))/M434)</x:f>
      </x:c>
      <x:c r="O434" s="11" t="str">
        <x:f>IF(M434=0,"",IF(H434="HOME",SUMIFS('Istoric_Nativ'!$H$6:$H$405,'Istoric_Nativ'!$B$6:$B$405,E434,'Istoric_Nativ'!$C$6:$C$405,F434,'Istoric_Nativ'!$E$6:$E$405,G434,'Istoric_Nativ'!$D$6:$D$405,"&lt;"&amp;J434,'Istoric_Nativ'!$P$6:$P$405,1,'Istoric_Nativ'!$D$6:$D$405,"&gt;="&amp;L434),IF(H434="AWAY",SUMIFS('Istoric_Nativ'!$G$6:$G$405,'Istoric_Nativ'!$B$6:$B$405,E434,'Istoric_Nativ'!$C$6:$C$405,F434,'Istoric_Nativ'!$F$6:$F$405,G434,'Istoric_Nativ'!$D$6:$D$405,"&lt;"&amp;J434,'Istoric_Nativ'!$P$6:$P$405,1,'Istoric_Nativ'!$D$6:$D$405,"&gt;="&amp;L434),SUMIFS('Istoric_Nativ'!$H$6:$H$405,'Istoric_Nativ'!$B$6:$B$405,E434,'Istoric_Nativ'!$C$6:$C$405,F434,'Istoric_Nativ'!$E$6:$E$405,G434,'Istoric_Nativ'!$D$6:$D$405,"&lt;"&amp;J434,'Istoric_Nativ'!$P$6:$P$405,1,'Istoric_Nativ'!$D$6:$D$405,"&gt;="&amp;L434)+SUMIFS('Istoric_Nativ'!$G$6:$G$405,'Istoric_Nativ'!$B$6:$B$405,E434,'Istoric_Nativ'!$C$6:$C$405,F434,'Istoric_Nativ'!$F$6:$F$405,G434,'Istoric_Nativ'!$D$6:$D$405,"&lt;"&amp;J434,'Istoric_Nativ'!$P$6:$P$405,1,'Istoric_Nativ'!$D$6:$D$405,"&gt;="&amp;L434)))/M434)</x:f>
      </x:c>
      <x:c r="P434" s="2" t="n">
        <x:f>'Config_v6'!$B$9</x:f>
        <x:v>3</x:v>
      </x:c>
      <x:c r="Q434" s="2" t="n">
        <x:f>IF(OR(B434="",F434=""),0,IFERROR(MATCH(E434&amp;"|"&amp;F434,SourceTable[Source_Key],0),0))</x:f>
        <x:v>0</x:v>
      </x:c>
      <x:c r="R434" s="2" t="str">
        <x:f>IF(B434="","",IF(F434="","UNUSED",IF(Q434=0,"NOT CHECKED",IF(COUNTIF(SourceTable[Source_Key],E434&amp;"|"&amp;F434)&lt;&gt;1,"SOURCE CONFLICT",IF(NOT(OR(INDEX(SourceTable[Status],MAX(1,Q434))="IMPORTED",INDEX(SourceTable[Status],MAX(1,Q434))="PARTIAL",INDEX(SourceTable[Status],MAX(1,Q434))="SOURCE CONFLICT")),"ACCESS BLOCKED",IF(OR(INDEX(SourceTable[Coverage],Q434)&lt;&gt;"FULL SEASON EXPORT",INDEX(SourceTable[URL],Q434)="",INDEX(SourceTable[SHA256],Q434)=""),"EVIDENCE INCOMPLETE",IF(AND('Input_Meci'!H41="LIVE",INDEX(SourceTable[Retrieved_UTC],Q434)&gt;'Input_Meci'!G41),"POST CUTOFF","CLOSED")))))))</x:f>
      </x:c>
      <x:c r="S434" s="2" t="n">
        <x:f>IF(OR(B434="",F434=""),0,COUNTIFS('Istoric_Nativ'!$B$6:$B$405,E434,'Istoric_Nativ'!$C$6:$C$405,F434,'Istoric_Nativ'!$E$6:$E$405,G434,'Istoric_Nativ'!$D$6:$D$405,"&lt;"&amp;J434,'Istoric_Nativ'!$O$6:$O$405,"INVALID")+COUNTIFS('Istoric_Nativ'!$B$6:$B$405,E434,'Istoric_Nativ'!$C$6:$C$405,F434,'Istoric_Nativ'!$E$6:$E$405,G434,'Istoric_Nativ'!$O$6:$O$405,"INVALID",'Istoric_Nativ'!$D$6:$D$405,"*")+COUNTIFS('Istoric_Nativ'!$B$6:$B$405,E434,'Istoric_Nativ'!$C$6:$C$405,F434,'Istoric_Nativ'!$E$6:$E$405,G434,'Istoric_Nativ'!$D$6:$D$405,"&lt;"&amp;J434,'Istoric_Nativ'!$O$6:$O$405,"SOURCE CONFLICT")+COUNTIFS('Istoric_Nativ'!$B$6:$B$405,E434,'Istoric_Nativ'!$C$6:$C$405,F434,'Istoric_Nativ'!$F$6:$F$405,G434,'Istoric_Nativ'!$D$6:$D$405,"&lt;"&amp;J434,'Istoric_Nativ'!$O$6:$O$405,"INVALID")+COUNTIFS('Istoric_Nativ'!$B$6:$B$405,E434,'Istoric_Nativ'!$C$6:$C$405,F434,'Istoric_Nativ'!$F$6:$F$405,G434,'Istoric_Nativ'!$O$6:$O$405,"INVALID",'Istoric_Nativ'!$D$6:$D$405,"*")+COUNTIFS('Istoric_Nativ'!$B$6:$B$405,E434,'Istoric_Nativ'!$C$6:$C$405,F434,'Istoric_Nativ'!$F$6:$F$405,G434,'Istoric_Nativ'!$D$6:$D$405,"&lt;"&amp;J434,'Istoric_Nativ'!$O$6:$O$405,"SOURCE CONFLICT"))</x:f>
        <x:v>0</x:v>
      </x:c>
      <x:c r="T434" s="2" t="str">
        <x:f>IF(B434="","",IF(R434&lt;&gt;"CLOSED",R434,IF(S434&gt;0,"NATIVE INPUT ISSUE",IF(M434=0,"NO HISTORY",IF(M434&lt;P434,"SMALL SAMPLE","DERIVED")))))</x:f>
      </x:c>
      <x:c r="U434" s="2" t="str">
        <x:f>IF(B434="","","NativeTable; "&amp;E434&amp;"; "&amp;F434&amp;"; "&amp;G434&amp;"; "&amp;H434&amp;"; before "&amp;TEXT(J434,"yyyy-mm-dd")&amp;IF(I434="RECENT","; from "&amp;TEXT(L434,"yyyy-mm-dd"),""))</x:f>
      </x:c>
    </x:row>
    <x:row r="435" ht="21" customHeight="1">
      <x:c r="A435" s="2" t="n">
        <x:v>36</x:v>
      </x:c>
      <x:c r="B435" s="2" t="str">
        <x:f>IF('Input_Meci'!A41="","",'Input_Meci'!A41)</x:f>
      </x:c>
      <x:c r="C435" s="2" t="str">
        <x:v>A</x:v>
      </x:c>
      <x:c r="D435" s="2" t="str">
        <x:v>PRIOR</x:v>
      </x:c>
      <x:c r="E435" s="2" t="str">
        <x:f>IF(B435="","",'Input_Meci'!B41)</x:f>
      </x:c>
      <x:c r="F435" s="2" t="str">
        <x:f>IF(B435="","",IF('Input_Meci'!K41="","",'Input_Meci'!K41))</x:f>
      </x:c>
      <x:c r="G435" s="2" t="str">
        <x:f>IF(B435="","",'Input_Meci'!E41)</x:f>
      </x:c>
      <x:c r="H435" s="2" t="str">
        <x:v>ANY</x:v>
      </x:c>
      <x:c r="I435" s="2" t="str">
        <x:v>SEASON</x:v>
      </x:c>
      <x:c r="J435" s="9" t="n">
        <x:f>IF(AND(B435&lt;&gt;"",ISNUMBER('Input_Meci'!G41)),INT('Input_Meci'!G41),0)</x:f>
        <x:v>0</x:v>
      </x:c>
      <x:c r="K435" s="2" t="n">
        <x:f>IF(OR(B435="",F435=""),0,IF(H435="HOME",COUNTIFS('Istoric_Nativ'!$B$6:$B$405,E435,'Istoric_Nativ'!$C$6:$C$405,F435,'Istoric_Nativ'!$E$6:$E$405,G435,'Istoric_Nativ'!$D$6:$D$405,"&lt;"&amp;J435,'Istoric_Nativ'!$P$6:$P$405,1),IF(H435="AWAY",COUNTIFS('Istoric_Nativ'!$B$6:$B$405,E435,'Istoric_Nativ'!$C$6:$C$405,F435,'Istoric_Nativ'!$F$6:$F$405,G435,'Istoric_Nativ'!$D$6:$D$405,"&lt;"&amp;J435,'Istoric_Nativ'!$P$6:$P$405,1),COUNTIFS('Istoric_Nativ'!$B$6:$B$405,E435,'Istoric_Nativ'!$C$6:$C$405,F435,'Istoric_Nativ'!$E$6:$E$405,G435,'Istoric_Nativ'!$D$6:$D$405,"&lt;"&amp;J435,'Istoric_Nativ'!$P$6:$P$405,1)+COUNTIFS('Istoric_Nativ'!$B$6:$B$405,E435,'Istoric_Nativ'!$C$6:$C$405,F435,'Istoric_Nativ'!$F$6:$F$405,G435,'Istoric_Nativ'!$D$6:$D$405,"&lt;"&amp;J435,'Istoric_Nativ'!$P$6:$P$405,1))))</x:f>
        <x:v>0</x:v>
      </x:c>
      <x:c r="L435" s="17" t="n">
        <x:f>IF(AND(B435&lt;&gt;"",I435="RECENT",K435&gt;0),LARGE(_xlfn._xlws.FILTER('Istoric_Nativ'!$D$6:$D$405,('Istoric_Nativ'!$B$6:$B$405=E435)*('Istoric_Nativ'!$C$6:$C$405=F435)*('Istoric_Nativ'!$P$6:$P$405=1)*('Istoric_Nativ'!$D$6:$D$405&lt;J435)*((('Istoric_Nativ'!$E$6:$E$405=G435)+('Istoric_Nativ'!$F$6:$F$405=G435))&gt;0)),MIN('Config_v6'!$B$54,K435)),0)</x:f>
        <x:v>0</x:v>
      </x:c>
      <x:c r="M435" s="2" t="n">
        <x:f>IF(OR(B435="",F435=""),0,IF(H435="HOME",COUNTIFS('Istoric_Nativ'!$B$6:$B$405,E435,'Istoric_Nativ'!$C$6:$C$405,F435,'Istoric_Nativ'!$E$6:$E$405,G435,'Istoric_Nativ'!$D$6:$D$405,"&lt;"&amp;J435,'Istoric_Nativ'!$P$6:$P$405,1,'Istoric_Nativ'!$D$6:$D$405,"&gt;="&amp;L435),IF(H435="AWAY",COUNTIFS('Istoric_Nativ'!$B$6:$B$405,E435,'Istoric_Nativ'!$C$6:$C$405,F435,'Istoric_Nativ'!$F$6:$F$405,G435,'Istoric_Nativ'!$D$6:$D$405,"&lt;"&amp;J435,'Istoric_Nativ'!$P$6:$P$405,1,'Istoric_Nativ'!$D$6:$D$405,"&gt;="&amp;L435),COUNTIFS('Istoric_Nativ'!$B$6:$B$405,E435,'Istoric_Nativ'!$C$6:$C$405,F435,'Istoric_Nativ'!$E$6:$E$405,G435,'Istoric_Nativ'!$D$6:$D$405,"&lt;"&amp;J435,'Istoric_Nativ'!$P$6:$P$405,1,'Istoric_Nativ'!$D$6:$D$405,"&gt;="&amp;L435)+COUNTIFS('Istoric_Nativ'!$B$6:$B$405,E435,'Istoric_Nativ'!$C$6:$C$405,F435,'Istoric_Nativ'!$F$6:$F$405,G435,'Istoric_Nativ'!$D$6:$D$405,"&lt;"&amp;J435,'Istoric_Nativ'!$P$6:$P$405,1,'Istoric_Nativ'!$D$6:$D$405,"&gt;="&amp;L435))))</x:f>
        <x:v>0</x:v>
      </x:c>
      <x:c r="N435" s="11" t="str">
        <x:f>IF(M435=0,"",IF(H435="HOME",SUMIFS('Istoric_Nativ'!$G$6:$G$405,'Istoric_Nativ'!$B$6:$B$405,E435,'Istoric_Nativ'!$C$6:$C$405,F435,'Istoric_Nativ'!$E$6:$E$405,G435,'Istoric_Nativ'!$D$6:$D$405,"&lt;"&amp;J435,'Istoric_Nativ'!$P$6:$P$405,1,'Istoric_Nativ'!$D$6:$D$405,"&gt;="&amp;L435),IF(H435="AWAY",SUMIFS('Istoric_Nativ'!$H$6:$H$405,'Istoric_Nativ'!$B$6:$B$405,E435,'Istoric_Nativ'!$C$6:$C$405,F435,'Istoric_Nativ'!$F$6:$F$405,G435,'Istoric_Nativ'!$D$6:$D$405,"&lt;"&amp;J435,'Istoric_Nativ'!$P$6:$P$405,1,'Istoric_Nativ'!$D$6:$D$405,"&gt;="&amp;L435),SUMIFS('Istoric_Nativ'!$G$6:$G$405,'Istoric_Nativ'!$B$6:$B$405,E435,'Istoric_Nativ'!$C$6:$C$405,F435,'Istoric_Nativ'!$E$6:$E$405,G435,'Istoric_Nativ'!$D$6:$D$405,"&lt;"&amp;J435,'Istoric_Nativ'!$P$6:$P$405,1,'Istoric_Nativ'!$D$6:$D$405,"&gt;="&amp;L435)+SUMIFS('Istoric_Nativ'!$H$6:$H$405,'Istoric_Nativ'!$B$6:$B$405,E435,'Istoric_Nativ'!$C$6:$C$405,F435,'Istoric_Nativ'!$F$6:$F$405,G435,'Istoric_Nativ'!$D$6:$D$405,"&lt;"&amp;J435,'Istoric_Nativ'!$P$6:$P$405,1,'Istoric_Nativ'!$D$6:$D$405,"&gt;="&amp;L435)))/M435)</x:f>
      </x:c>
      <x:c r="O435" s="11" t="str">
        <x:f>IF(M435=0,"",IF(H435="HOME",SUMIFS('Istoric_Nativ'!$H$6:$H$405,'Istoric_Nativ'!$B$6:$B$405,E435,'Istoric_Nativ'!$C$6:$C$405,F435,'Istoric_Nativ'!$E$6:$E$405,G435,'Istoric_Nativ'!$D$6:$D$405,"&lt;"&amp;J435,'Istoric_Nativ'!$P$6:$P$405,1,'Istoric_Nativ'!$D$6:$D$405,"&gt;="&amp;L435),IF(H435="AWAY",SUMIFS('Istoric_Nativ'!$G$6:$G$405,'Istoric_Nativ'!$B$6:$B$405,E435,'Istoric_Nativ'!$C$6:$C$405,F435,'Istoric_Nativ'!$F$6:$F$405,G435,'Istoric_Nativ'!$D$6:$D$405,"&lt;"&amp;J435,'Istoric_Nativ'!$P$6:$P$405,1,'Istoric_Nativ'!$D$6:$D$405,"&gt;="&amp;L435),SUMIFS('Istoric_Nativ'!$H$6:$H$405,'Istoric_Nativ'!$B$6:$B$405,E435,'Istoric_Nativ'!$C$6:$C$405,F435,'Istoric_Nativ'!$E$6:$E$405,G435,'Istoric_Nativ'!$D$6:$D$405,"&lt;"&amp;J435,'Istoric_Nativ'!$P$6:$P$405,1,'Istoric_Nativ'!$D$6:$D$405,"&gt;="&amp;L435)+SUMIFS('Istoric_Nativ'!$G$6:$G$405,'Istoric_Nativ'!$B$6:$B$405,E435,'Istoric_Nativ'!$C$6:$C$405,F435,'Istoric_Nativ'!$F$6:$F$405,G435,'Istoric_Nativ'!$D$6:$D$405,"&lt;"&amp;J435,'Istoric_Nativ'!$P$6:$P$405,1,'Istoric_Nativ'!$D$6:$D$405,"&gt;="&amp;L435)))/M435)</x:f>
      </x:c>
      <x:c r="P435" s="2" t="n">
        <x:f>'Config_v6'!$B$7</x:f>
        <x:v>10</x:v>
      </x:c>
      <x:c r="Q435" s="2" t="n">
        <x:f>IF(OR(B435="",F435=""),0,IFERROR(MATCH(E435&amp;"|"&amp;F435,SourceTable[Source_Key],0),0))</x:f>
        <x:v>0</x:v>
      </x:c>
      <x:c r="R435" s="2" t="str">
        <x:f>IF(B435="","",IF(F435="","UNUSED",IF(Q435=0,"NOT CHECKED",IF(COUNTIF(SourceTable[Source_Key],E435&amp;"|"&amp;F435)&lt;&gt;1,"SOURCE CONFLICT",IF(NOT(OR(INDEX(SourceTable[Status],MAX(1,Q435))="IMPORTED",INDEX(SourceTable[Status],MAX(1,Q435))="PARTIAL",INDEX(SourceTable[Status],MAX(1,Q435))="SOURCE CONFLICT")),"ACCESS BLOCKED",IF(OR(INDEX(SourceTable[Coverage],Q435)&lt;&gt;"FULL SEASON EXPORT",INDEX(SourceTable[URL],Q435)="",INDEX(SourceTable[SHA256],Q435)=""),"EVIDENCE INCOMPLETE",IF(AND('Input_Meci'!H41="LIVE",INDEX(SourceTable[Retrieved_UTC],Q435)&gt;'Input_Meci'!G41),"POST CUTOFF","CLOSED")))))))</x:f>
      </x:c>
      <x:c r="S435" s="2" t="n">
        <x:f>IF(OR(B435="",F435=""),0,COUNTIFS('Istoric_Nativ'!$B$6:$B$405,E435,'Istoric_Nativ'!$C$6:$C$405,F435,'Istoric_Nativ'!$E$6:$E$405,G435,'Istoric_Nativ'!$D$6:$D$405,"&lt;"&amp;J435,'Istoric_Nativ'!$O$6:$O$405,"INVALID")+COUNTIFS('Istoric_Nativ'!$B$6:$B$405,E435,'Istoric_Nativ'!$C$6:$C$405,F435,'Istoric_Nativ'!$E$6:$E$405,G435,'Istoric_Nativ'!$O$6:$O$405,"INVALID",'Istoric_Nativ'!$D$6:$D$405,"*")+COUNTIFS('Istoric_Nativ'!$B$6:$B$405,E435,'Istoric_Nativ'!$C$6:$C$405,F435,'Istoric_Nativ'!$E$6:$E$405,G435,'Istoric_Nativ'!$D$6:$D$405,"&lt;"&amp;J435,'Istoric_Nativ'!$O$6:$O$405,"SOURCE CONFLICT")+COUNTIFS('Istoric_Nativ'!$B$6:$B$405,E435,'Istoric_Nativ'!$C$6:$C$405,F435,'Istoric_Nativ'!$F$6:$F$405,G435,'Istoric_Nativ'!$D$6:$D$405,"&lt;"&amp;J435,'Istoric_Nativ'!$O$6:$O$405,"INVALID")+COUNTIFS('Istoric_Nativ'!$B$6:$B$405,E435,'Istoric_Nativ'!$C$6:$C$405,F435,'Istoric_Nativ'!$F$6:$F$405,G435,'Istoric_Nativ'!$O$6:$O$405,"INVALID",'Istoric_Nativ'!$D$6:$D$405,"*")+COUNTIFS('Istoric_Nativ'!$B$6:$B$405,E435,'Istoric_Nativ'!$C$6:$C$405,F435,'Istoric_Nativ'!$F$6:$F$405,G435,'Istoric_Nativ'!$D$6:$D$405,"&lt;"&amp;J435,'Istoric_Nativ'!$O$6:$O$405,"SOURCE CONFLICT"))</x:f>
        <x:v>0</x:v>
      </x:c>
      <x:c r="T435" s="2" t="str">
        <x:f>IF(B435="","",IF(R435&lt;&gt;"CLOSED",R435,IF(S435&gt;0,"NATIVE INPUT ISSUE",IF(M435=0,"NO HISTORY",IF(M435&lt;P435,"SMALL SAMPLE","DERIVED")))))</x:f>
      </x:c>
      <x:c r="U435" s="2" t="str">
        <x:f>IF(B435="","","NativeTable; "&amp;E435&amp;"; "&amp;F435&amp;"; "&amp;G435&amp;"; "&amp;H435&amp;"; before "&amp;TEXT(J435,"yyyy-mm-dd")&amp;IF(I435="RECENT","; from "&amp;TEXT(L435,"yyyy-mm-dd"),""))</x:f>
      </x:c>
    </x:row>
    <x:row r="436" ht="21" customHeight="1">
      <x:c r="A436" s="2" t="n">
        <x:v>36</x:v>
      </x:c>
      <x:c r="B436" s="2" t="str">
        <x:f>IF('Input_Meci'!A41="","",'Input_Meci'!A41)</x:f>
      </x:c>
      <x:c r="C436" s="2" t="str">
        <x:v>A</x:v>
      </x:c>
      <x:c r="D436" s="2" t="str">
        <x:v>PRIOR</x:v>
      </x:c>
      <x:c r="E436" s="2" t="str">
        <x:f>IF(B436="","",'Input_Meci'!B41)</x:f>
      </x:c>
      <x:c r="F436" s="2" t="str">
        <x:f>IF(B436="","",IF('Input_Meci'!K41="","",'Input_Meci'!K41))</x:f>
      </x:c>
      <x:c r="G436" s="2" t="str">
        <x:f>IF(B436="","",'Input_Meci'!E41)</x:f>
      </x:c>
      <x:c r="H436" s="2" t="str">
        <x:v>AWAY</x:v>
      </x:c>
      <x:c r="I436" s="2" t="str">
        <x:v>HA</x:v>
      </x:c>
      <x:c r="J436" s="9" t="n">
        <x:f>IF(AND(B436&lt;&gt;"",ISNUMBER('Input_Meci'!G41)),INT('Input_Meci'!G41),0)</x:f>
        <x:v>0</x:v>
      </x:c>
      <x:c r="K436" s="2" t="n">
        <x:f>IF(OR(B436="",F436=""),0,IF(H436="HOME",COUNTIFS('Istoric_Nativ'!$B$6:$B$405,E436,'Istoric_Nativ'!$C$6:$C$405,F436,'Istoric_Nativ'!$E$6:$E$405,G436,'Istoric_Nativ'!$D$6:$D$405,"&lt;"&amp;J436,'Istoric_Nativ'!$P$6:$P$405,1),IF(H436="AWAY",COUNTIFS('Istoric_Nativ'!$B$6:$B$405,E436,'Istoric_Nativ'!$C$6:$C$405,F436,'Istoric_Nativ'!$F$6:$F$405,G436,'Istoric_Nativ'!$D$6:$D$405,"&lt;"&amp;J436,'Istoric_Nativ'!$P$6:$P$405,1),COUNTIFS('Istoric_Nativ'!$B$6:$B$405,E436,'Istoric_Nativ'!$C$6:$C$405,F436,'Istoric_Nativ'!$E$6:$E$405,G436,'Istoric_Nativ'!$D$6:$D$405,"&lt;"&amp;J436,'Istoric_Nativ'!$P$6:$P$405,1)+COUNTIFS('Istoric_Nativ'!$B$6:$B$405,E436,'Istoric_Nativ'!$C$6:$C$405,F436,'Istoric_Nativ'!$F$6:$F$405,G436,'Istoric_Nativ'!$D$6:$D$405,"&lt;"&amp;J436,'Istoric_Nativ'!$P$6:$P$405,1))))</x:f>
        <x:v>0</x:v>
      </x:c>
      <x:c r="L436" s="17" t="n">
        <x:f>IF(AND(B436&lt;&gt;"",I436="RECENT",K436&gt;0),LARGE(_xlfn._xlws.FILTER('Istoric_Nativ'!$D$6:$D$405,('Istoric_Nativ'!$B$6:$B$405=E436)*('Istoric_Nativ'!$C$6:$C$405=F436)*('Istoric_Nativ'!$P$6:$P$405=1)*('Istoric_Nativ'!$D$6:$D$405&lt;J436)*((('Istoric_Nativ'!$E$6:$E$405=G436)+('Istoric_Nativ'!$F$6:$F$405=G436))&gt;0)),MIN('Config_v6'!$B$54,K436)),0)</x:f>
        <x:v>0</x:v>
      </x:c>
      <x:c r="M436" s="2" t="n">
        <x:f>IF(OR(B436="",F436=""),0,IF(H436="HOME",COUNTIFS('Istoric_Nativ'!$B$6:$B$405,E436,'Istoric_Nativ'!$C$6:$C$405,F436,'Istoric_Nativ'!$E$6:$E$405,G436,'Istoric_Nativ'!$D$6:$D$405,"&lt;"&amp;J436,'Istoric_Nativ'!$P$6:$P$405,1,'Istoric_Nativ'!$D$6:$D$405,"&gt;="&amp;L436),IF(H436="AWAY",COUNTIFS('Istoric_Nativ'!$B$6:$B$405,E436,'Istoric_Nativ'!$C$6:$C$405,F436,'Istoric_Nativ'!$F$6:$F$405,G436,'Istoric_Nativ'!$D$6:$D$405,"&lt;"&amp;J436,'Istoric_Nativ'!$P$6:$P$405,1,'Istoric_Nativ'!$D$6:$D$405,"&gt;="&amp;L436),COUNTIFS('Istoric_Nativ'!$B$6:$B$405,E436,'Istoric_Nativ'!$C$6:$C$405,F436,'Istoric_Nativ'!$E$6:$E$405,G436,'Istoric_Nativ'!$D$6:$D$405,"&lt;"&amp;J436,'Istoric_Nativ'!$P$6:$P$405,1,'Istoric_Nativ'!$D$6:$D$405,"&gt;="&amp;L436)+COUNTIFS('Istoric_Nativ'!$B$6:$B$405,E436,'Istoric_Nativ'!$C$6:$C$405,F436,'Istoric_Nativ'!$F$6:$F$405,G436,'Istoric_Nativ'!$D$6:$D$405,"&lt;"&amp;J436,'Istoric_Nativ'!$P$6:$P$405,1,'Istoric_Nativ'!$D$6:$D$405,"&gt;="&amp;L436))))</x:f>
        <x:v>0</x:v>
      </x:c>
      <x:c r="N436" s="11" t="str">
        <x:f>IF(M436=0,"",IF(H436="HOME",SUMIFS('Istoric_Nativ'!$G$6:$G$405,'Istoric_Nativ'!$B$6:$B$405,E436,'Istoric_Nativ'!$C$6:$C$405,F436,'Istoric_Nativ'!$E$6:$E$405,G436,'Istoric_Nativ'!$D$6:$D$405,"&lt;"&amp;J436,'Istoric_Nativ'!$P$6:$P$405,1,'Istoric_Nativ'!$D$6:$D$405,"&gt;="&amp;L436),IF(H436="AWAY",SUMIFS('Istoric_Nativ'!$H$6:$H$405,'Istoric_Nativ'!$B$6:$B$405,E436,'Istoric_Nativ'!$C$6:$C$405,F436,'Istoric_Nativ'!$F$6:$F$405,G436,'Istoric_Nativ'!$D$6:$D$405,"&lt;"&amp;J436,'Istoric_Nativ'!$P$6:$P$405,1,'Istoric_Nativ'!$D$6:$D$405,"&gt;="&amp;L436),SUMIFS('Istoric_Nativ'!$G$6:$G$405,'Istoric_Nativ'!$B$6:$B$405,E436,'Istoric_Nativ'!$C$6:$C$405,F436,'Istoric_Nativ'!$E$6:$E$405,G436,'Istoric_Nativ'!$D$6:$D$405,"&lt;"&amp;J436,'Istoric_Nativ'!$P$6:$P$405,1,'Istoric_Nativ'!$D$6:$D$405,"&gt;="&amp;L436)+SUMIFS('Istoric_Nativ'!$H$6:$H$405,'Istoric_Nativ'!$B$6:$B$405,E436,'Istoric_Nativ'!$C$6:$C$405,F436,'Istoric_Nativ'!$F$6:$F$405,G436,'Istoric_Nativ'!$D$6:$D$405,"&lt;"&amp;J436,'Istoric_Nativ'!$P$6:$P$405,1,'Istoric_Nativ'!$D$6:$D$405,"&gt;="&amp;L436)))/M436)</x:f>
      </x:c>
      <x:c r="O436" s="11" t="str">
        <x:f>IF(M436=0,"",IF(H436="HOME",SUMIFS('Istoric_Nativ'!$H$6:$H$405,'Istoric_Nativ'!$B$6:$B$405,E436,'Istoric_Nativ'!$C$6:$C$405,F436,'Istoric_Nativ'!$E$6:$E$405,G436,'Istoric_Nativ'!$D$6:$D$405,"&lt;"&amp;J436,'Istoric_Nativ'!$P$6:$P$405,1,'Istoric_Nativ'!$D$6:$D$405,"&gt;="&amp;L436),IF(H436="AWAY",SUMIFS('Istoric_Nativ'!$G$6:$G$405,'Istoric_Nativ'!$B$6:$B$405,E436,'Istoric_Nativ'!$C$6:$C$405,F436,'Istoric_Nativ'!$F$6:$F$405,G436,'Istoric_Nativ'!$D$6:$D$405,"&lt;"&amp;J436,'Istoric_Nativ'!$P$6:$P$405,1,'Istoric_Nativ'!$D$6:$D$405,"&gt;="&amp;L436),SUMIFS('Istoric_Nativ'!$H$6:$H$405,'Istoric_Nativ'!$B$6:$B$405,E436,'Istoric_Nativ'!$C$6:$C$405,F436,'Istoric_Nativ'!$E$6:$E$405,G436,'Istoric_Nativ'!$D$6:$D$405,"&lt;"&amp;J436,'Istoric_Nativ'!$P$6:$P$405,1,'Istoric_Nativ'!$D$6:$D$405,"&gt;="&amp;L436)+SUMIFS('Istoric_Nativ'!$G$6:$G$405,'Istoric_Nativ'!$B$6:$B$405,E436,'Istoric_Nativ'!$C$6:$C$405,F436,'Istoric_Nativ'!$F$6:$F$405,G436,'Istoric_Nativ'!$D$6:$D$405,"&lt;"&amp;J436,'Istoric_Nativ'!$P$6:$P$405,1,'Istoric_Nativ'!$D$6:$D$405,"&gt;="&amp;L436)))/M436)</x:f>
      </x:c>
      <x:c r="P436" s="2" t="n">
        <x:f>'Config_v6'!$B$8</x:f>
        <x:v>5</x:v>
      </x:c>
      <x:c r="Q436" s="2" t="n">
        <x:f>IF(OR(B436="",F436=""),0,IFERROR(MATCH(E436&amp;"|"&amp;F436,SourceTable[Source_Key],0),0))</x:f>
        <x:v>0</x:v>
      </x:c>
      <x:c r="R436" s="2" t="str">
        <x:f>IF(B436="","",IF(F436="","UNUSED",IF(Q436=0,"NOT CHECKED",IF(COUNTIF(SourceTable[Source_Key],E436&amp;"|"&amp;F436)&lt;&gt;1,"SOURCE CONFLICT",IF(NOT(OR(INDEX(SourceTable[Status],MAX(1,Q436))="IMPORTED",INDEX(SourceTable[Status],MAX(1,Q436))="PARTIAL",INDEX(SourceTable[Status],MAX(1,Q436))="SOURCE CONFLICT")),"ACCESS BLOCKED",IF(OR(INDEX(SourceTable[Coverage],Q436)&lt;&gt;"FULL SEASON EXPORT",INDEX(SourceTable[URL],Q436)="",INDEX(SourceTable[SHA256],Q436)=""),"EVIDENCE INCOMPLETE",IF(AND('Input_Meci'!H41="LIVE",INDEX(SourceTable[Retrieved_UTC],Q436)&gt;'Input_Meci'!G41),"POST CUTOFF","CLOSED")))))))</x:f>
      </x:c>
      <x:c r="S436" s="2" t="n">
        <x:f>IF(OR(B436="",F436=""),0,COUNTIFS('Istoric_Nativ'!$B$6:$B$405,E436,'Istoric_Nativ'!$C$6:$C$405,F436,'Istoric_Nativ'!$E$6:$E$405,G436,'Istoric_Nativ'!$D$6:$D$405,"&lt;"&amp;J436,'Istoric_Nativ'!$O$6:$O$405,"INVALID")+COUNTIFS('Istoric_Nativ'!$B$6:$B$405,E436,'Istoric_Nativ'!$C$6:$C$405,F436,'Istoric_Nativ'!$E$6:$E$405,G436,'Istoric_Nativ'!$O$6:$O$405,"INVALID",'Istoric_Nativ'!$D$6:$D$405,"*")+COUNTIFS('Istoric_Nativ'!$B$6:$B$405,E436,'Istoric_Nativ'!$C$6:$C$405,F436,'Istoric_Nativ'!$E$6:$E$405,G436,'Istoric_Nativ'!$D$6:$D$405,"&lt;"&amp;J436,'Istoric_Nativ'!$O$6:$O$405,"SOURCE CONFLICT")+COUNTIFS('Istoric_Nativ'!$B$6:$B$405,E436,'Istoric_Nativ'!$C$6:$C$405,F436,'Istoric_Nativ'!$F$6:$F$405,G436,'Istoric_Nativ'!$D$6:$D$405,"&lt;"&amp;J436,'Istoric_Nativ'!$O$6:$O$405,"INVALID")+COUNTIFS('Istoric_Nativ'!$B$6:$B$405,E436,'Istoric_Nativ'!$C$6:$C$405,F436,'Istoric_Nativ'!$F$6:$F$405,G436,'Istoric_Nativ'!$O$6:$O$405,"INVALID",'Istoric_Nativ'!$D$6:$D$405,"*")+COUNTIFS('Istoric_Nativ'!$B$6:$B$405,E436,'Istoric_Nativ'!$C$6:$C$405,F436,'Istoric_Nativ'!$F$6:$F$405,G436,'Istoric_Nativ'!$D$6:$D$405,"&lt;"&amp;J436,'Istoric_Nativ'!$O$6:$O$405,"SOURCE CONFLICT"))</x:f>
        <x:v>0</x:v>
      </x:c>
      <x:c r="T436" s="2" t="str">
        <x:f>IF(B436="","",IF(R436&lt;&gt;"CLOSED",R436,IF(S436&gt;0,"NATIVE INPUT ISSUE",IF(M436=0,"NO HISTORY",IF(M436&lt;P436,"SMALL SAMPLE","DERIVED")))))</x:f>
      </x:c>
      <x:c r="U436" s="2" t="str">
        <x:f>IF(B436="","","NativeTable; "&amp;E436&amp;"; "&amp;F436&amp;"; "&amp;G436&amp;"; "&amp;H436&amp;"; before "&amp;TEXT(J436,"yyyy-mm-dd")&amp;IF(I436="RECENT","; from "&amp;TEXT(L436,"yyyy-mm-dd"),""))</x:f>
      </x:c>
    </x:row>
    <x:row r="437" ht="21" customHeight="1">
      <x:c r="A437" s="2" t="n">
        <x:v>36</x:v>
      </x:c>
      <x:c r="B437" s="2" t="str">
        <x:f>IF('Input_Meci'!A41="","",'Input_Meci'!A41)</x:f>
      </x:c>
      <x:c r="C437" s="2" t="str">
        <x:v>A</x:v>
      </x:c>
      <x:c r="D437" s="2" t="str">
        <x:v>PRIOR</x:v>
      </x:c>
      <x:c r="E437" s="2" t="str">
        <x:f>IF(B437="","",'Input_Meci'!B41)</x:f>
      </x:c>
      <x:c r="F437" s="2" t="str">
        <x:f>IF(B437="","",IF('Input_Meci'!K41="","",'Input_Meci'!K41))</x:f>
      </x:c>
      <x:c r="G437" s="2" t="str">
        <x:f>IF(B437="","",'Input_Meci'!E41)</x:f>
      </x:c>
      <x:c r="H437" s="2" t="str">
        <x:v>ANY</x:v>
      </x:c>
      <x:c r="I437" s="2" t="str">
        <x:v>RECENT</x:v>
      </x:c>
      <x:c r="J437" s="9" t="n">
        <x:f>IF(AND(B437&lt;&gt;"",ISNUMBER('Input_Meci'!G41)),INT('Input_Meci'!G41),0)</x:f>
        <x:v>0</x:v>
      </x:c>
      <x:c r="K437" s="2" t="n">
        <x:f>IF(OR(B437="",F437=""),0,IF(H437="HOME",COUNTIFS('Istoric_Nativ'!$B$6:$B$405,E437,'Istoric_Nativ'!$C$6:$C$405,F437,'Istoric_Nativ'!$E$6:$E$405,G437,'Istoric_Nativ'!$D$6:$D$405,"&lt;"&amp;J437,'Istoric_Nativ'!$P$6:$P$405,1),IF(H437="AWAY",COUNTIFS('Istoric_Nativ'!$B$6:$B$405,E437,'Istoric_Nativ'!$C$6:$C$405,F437,'Istoric_Nativ'!$F$6:$F$405,G437,'Istoric_Nativ'!$D$6:$D$405,"&lt;"&amp;J437,'Istoric_Nativ'!$P$6:$P$405,1),COUNTIFS('Istoric_Nativ'!$B$6:$B$405,E437,'Istoric_Nativ'!$C$6:$C$405,F437,'Istoric_Nativ'!$E$6:$E$405,G437,'Istoric_Nativ'!$D$6:$D$405,"&lt;"&amp;J437,'Istoric_Nativ'!$P$6:$P$405,1)+COUNTIFS('Istoric_Nativ'!$B$6:$B$405,E437,'Istoric_Nativ'!$C$6:$C$405,F437,'Istoric_Nativ'!$F$6:$F$405,G437,'Istoric_Nativ'!$D$6:$D$405,"&lt;"&amp;J437,'Istoric_Nativ'!$P$6:$P$405,1))))</x:f>
        <x:v>0</x:v>
      </x:c>
      <x:c r="L437" s="17" t="n">
        <x:f>IF(AND(B437&lt;&gt;"",I437="RECENT",K437&gt;0),LARGE(_xlfn._xlws.FILTER('Istoric_Nativ'!$D$6:$D$405,('Istoric_Nativ'!$B$6:$B$405=E437)*('Istoric_Nativ'!$C$6:$C$405=F437)*('Istoric_Nativ'!$P$6:$P$405=1)*('Istoric_Nativ'!$D$6:$D$405&lt;J437)*((('Istoric_Nativ'!$E$6:$E$405=G437)+('Istoric_Nativ'!$F$6:$F$405=G437))&gt;0)),MIN('Config_v6'!$B$54,K437)),0)</x:f>
        <x:v>0</x:v>
      </x:c>
      <x:c r="M437" s="2" t="n">
        <x:f>IF(OR(B437="",F437=""),0,IF(H437="HOME",COUNTIFS('Istoric_Nativ'!$B$6:$B$405,E437,'Istoric_Nativ'!$C$6:$C$405,F437,'Istoric_Nativ'!$E$6:$E$405,G437,'Istoric_Nativ'!$D$6:$D$405,"&lt;"&amp;J437,'Istoric_Nativ'!$P$6:$P$405,1,'Istoric_Nativ'!$D$6:$D$405,"&gt;="&amp;L437),IF(H437="AWAY",COUNTIFS('Istoric_Nativ'!$B$6:$B$405,E437,'Istoric_Nativ'!$C$6:$C$405,F437,'Istoric_Nativ'!$F$6:$F$405,G437,'Istoric_Nativ'!$D$6:$D$405,"&lt;"&amp;J437,'Istoric_Nativ'!$P$6:$P$405,1,'Istoric_Nativ'!$D$6:$D$405,"&gt;="&amp;L437),COUNTIFS('Istoric_Nativ'!$B$6:$B$405,E437,'Istoric_Nativ'!$C$6:$C$405,F437,'Istoric_Nativ'!$E$6:$E$405,G437,'Istoric_Nativ'!$D$6:$D$405,"&lt;"&amp;J437,'Istoric_Nativ'!$P$6:$P$405,1,'Istoric_Nativ'!$D$6:$D$405,"&gt;="&amp;L437)+COUNTIFS('Istoric_Nativ'!$B$6:$B$405,E437,'Istoric_Nativ'!$C$6:$C$405,F437,'Istoric_Nativ'!$F$6:$F$405,G437,'Istoric_Nativ'!$D$6:$D$405,"&lt;"&amp;J437,'Istoric_Nativ'!$P$6:$P$405,1,'Istoric_Nativ'!$D$6:$D$405,"&gt;="&amp;L437))))</x:f>
        <x:v>0</x:v>
      </x:c>
      <x:c r="N437" s="11" t="str">
        <x:f>IF(M437=0,"",IF(H437="HOME",SUMIFS('Istoric_Nativ'!$G$6:$G$405,'Istoric_Nativ'!$B$6:$B$405,E437,'Istoric_Nativ'!$C$6:$C$405,F437,'Istoric_Nativ'!$E$6:$E$405,G437,'Istoric_Nativ'!$D$6:$D$405,"&lt;"&amp;J437,'Istoric_Nativ'!$P$6:$P$405,1,'Istoric_Nativ'!$D$6:$D$405,"&gt;="&amp;L437),IF(H437="AWAY",SUMIFS('Istoric_Nativ'!$H$6:$H$405,'Istoric_Nativ'!$B$6:$B$405,E437,'Istoric_Nativ'!$C$6:$C$405,F437,'Istoric_Nativ'!$F$6:$F$405,G437,'Istoric_Nativ'!$D$6:$D$405,"&lt;"&amp;J437,'Istoric_Nativ'!$P$6:$P$405,1,'Istoric_Nativ'!$D$6:$D$405,"&gt;="&amp;L437),SUMIFS('Istoric_Nativ'!$G$6:$G$405,'Istoric_Nativ'!$B$6:$B$405,E437,'Istoric_Nativ'!$C$6:$C$405,F437,'Istoric_Nativ'!$E$6:$E$405,G437,'Istoric_Nativ'!$D$6:$D$405,"&lt;"&amp;J437,'Istoric_Nativ'!$P$6:$P$405,1,'Istoric_Nativ'!$D$6:$D$405,"&gt;="&amp;L437)+SUMIFS('Istoric_Nativ'!$H$6:$H$405,'Istoric_Nativ'!$B$6:$B$405,E437,'Istoric_Nativ'!$C$6:$C$405,F437,'Istoric_Nativ'!$F$6:$F$405,G437,'Istoric_Nativ'!$D$6:$D$405,"&lt;"&amp;J437,'Istoric_Nativ'!$P$6:$P$405,1,'Istoric_Nativ'!$D$6:$D$405,"&gt;="&amp;L437)))/M437)</x:f>
      </x:c>
      <x:c r="O437" s="11" t="str">
        <x:f>IF(M437=0,"",IF(H437="HOME",SUMIFS('Istoric_Nativ'!$H$6:$H$405,'Istoric_Nativ'!$B$6:$B$405,E437,'Istoric_Nativ'!$C$6:$C$405,F437,'Istoric_Nativ'!$E$6:$E$405,G437,'Istoric_Nativ'!$D$6:$D$405,"&lt;"&amp;J437,'Istoric_Nativ'!$P$6:$P$405,1,'Istoric_Nativ'!$D$6:$D$405,"&gt;="&amp;L437),IF(H437="AWAY",SUMIFS('Istoric_Nativ'!$G$6:$G$405,'Istoric_Nativ'!$B$6:$B$405,E437,'Istoric_Nativ'!$C$6:$C$405,F437,'Istoric_Nativ'!$F$6:$F$405,G437,'Istoric_Nativ'!$D$6:$D$405,"&lt;"&amp;J437,'Istoric_Nativ'!$P$6:$P$405,1,'Istoric_Nativ'!$D$6:$D$405,"&gt;="&amp;L437),SUMIFS('Istoric_Nativ'!$H$6:$H$405,'Istoric_Nativ'!$B$6:$B$405,E437,'Istoric_Nativ'!$C$6:$C$405,F437,'Istoric_Nativ'!$E$6:$E$405,G437,'Istoric_Nativ'!$D$6:$D$405,"&lt;"&amp;J437,'Istoric_Nativ'!$P$6:$P$405,1,'Istoric_Nativ'!$D$6:$D$405,"&gt;="&amp;L437)+SUMIFS('Istoric_Nativ'!$G$6:$G$405,'Istoric_Nativ'!$B$6:$B$405,E437,'Istoric_Nativ'!$C$6:$C$405,F437,'Istoric_Nativ'!$F$6:$F$405,G437,'Istoric_Nativ'!$D$6:$D$405,"&lt;"&amp;J437,'Istoric_Nativ'!$P$6:$P$405,1,'Istoric_Nativ'!$D$6:$D$405,"&gt;="&amp;L437)))/M437)</x:f>
      </x:c>
      <x:c r="P437" s="2" t="n">
        <x:f>'Config_v6'!$B$9</x:f>
        <x:v>3</x:v>
      </x:c>
      <x:c r="Q437" s="2" t="n">
        <x:f>IF(OR(B437="",F437=""),0,IFERROR(MATCH(E437&amp;"|"&amp;F437,SourceTable[Source_Key],0),0))</x:f>
        <x:v>0</x:v>
      </x:c>
      <x:c r="R437" s="2" t="str">
        <x:f>IF(B437="","",IF(F437="","UNUSED",IF(Q437=0,"NOT CHECKED",IF(COUNTIF(SourceTable[Source_Key],E437&amp;"|"&amp;F437)&lt;&gt;1,"SOURCE CONFLICT",IF(NOT(OR(INDEX(SourceTable[Status],MAX(1,Q437))="IMPORTED",INDEX(SourceTable[Status],MAX(1,Q437))="PARTIAL",INDEX(SourceTable[Status],MAX(1,Q437))="SOURCE CONFLICT")),"ACCESS BLOCKED",IF(OR(INDEX(SourceTable[Coverage],Q437)&lt;&gt;"FULL SEASON EXPORT",INDEX(SourceTable[URL],Q437)="",INDEX(SourceTable[SHA256],Q437)=""),"EVIDENCE INCOMPLETE",IF(AND('Input_Meci'!H41="LIVE",INDEX(SourceTable[Retrieved_UTC],Q437)&gt;'Input_Meci'!G41),"POST CUTOFF","CLOSED")))))))</x:f>
      </x:c>
      <x:c r="S437" s="2" t="n">
        <x:f>IF(OR(B437="",F437=""),0,COUNTIFS('Istoric_Nativ'!$B$6:$B$405,E437,'Istoric_Nativ'!$C$6:$C$405,F437,'Istoric_Nativ'!$E$6:$E$405,G437,'Istoric_Nativ'!$D$6:$D$405,"&lt;"&amp;J437,'Istoric_Nativ'!$O$6:$O$405,"INVALID")+COUNTIFS('Istoric_Nativ'!$B$6:$B$405,E437,'Istoric_Nativ'!$C$6:$C$405,F437,'Istoric_Nativ'!$E$6:$E$405,G437,'Istoric_Nativ'!$O$6:$O$405,"INVALID",'Istoric_Nativ'!$D$6:$D$405,"*")+COUNTIFS('Istoric_Nativ'!$B$6:$B$405,E437,'Istoric_Nativ'!$C$6:$C$405,F437,'Istoric_Nativ'!$E$6:$E$405,G437,'Istoric_Nativ'!$D$6:$D$405,"&lt;"&amp;J437,'Istoric_Nativ'!$O$6:$O$405,"SOURCE CONFLICT")+COUNTIFS('Istoric_Nativ'!$B$6:$B$405,E437,'Istoric_Nativ'!$C$6:$C$405,F437,'Istoric_Nativ'!$F$6:$F$405,G437,'Istoric_Nativ'!$D$6:$D$405,"&lt;"&amp;J437,'Istoric_Nativ'!$O$6:$O$405,"INVALID")+COUNTIFS('Istoric_Nativ'!$B$6:$B$405,E437,'Istoric_Nativ'!$C$6:$C$405,F437,'Istoric_Nativ'!$F$6:$F$405,G437,'Istoric_Nativ'!$O$6:$O$405,"INVALID",'Istoric_Nativ'!$D$6:$D$405,"*")+COUNTIFS('Istoric_Nativ'!$B$6:$B$405,E437,'Istoric_Nativ'!$C$6:$C$405,F437,'Istoric_Nativ'!$F$6:$F$405,G437,'Istoric_Nativ'!$D$6:$D$405,"&lt;"&amp;J437,'Istoric_Nativ'!$O$6:$O$405,"SOURCE CONFLICT"))</x:f>
        <x:v>0</x:v>
      </x:c>
      <x:c r="T437" s="2" t="str">
        <x:f>IF(B437="","",IF(R437&lt;&gt;"CLOSED",R437,IF(S437&gt;0,"NATIVE INPUT ISSUE",IF(M437=0,"NO HISTORY",IF(M437&lt;P437,"SMALL SAMPLE","DERIVED")))))</x:f>
      </x:c>
      <x:c r="U437" s="2" t="str">
        <x:f>IF(B437="","","NativeTable; "&amp;E437&amp;"; "&amp;F437&amp;"; "&amp;G437&amp;"; "&amp;H437&amp;"; before "&amp;TEXT(J437,"yyyy-mm-dd")&amp;IF(I437="RECENT","; from "&amp;TEXT(L437,"yyyy-mm-dd"),""))</x:f>
      </x:c>
    </x:row>
    <x:row r="438" ht="21" customHeight="1">
      <x:c r="A438" s="2" t="n">
        <x:v>37</x:v>
      </x:c>
      <x:c r="B438" s="2" t="str">
        <x:f>IF('Input_Meci'!A42="","",'Input_Meci'!A42)</x:f>
      </x:c>
      <x:c r="C438" s="2" t="str">
        <x:v>H</x:v>
      </x:c>
      <x:c r="D438" s="2" t="str">
        <x:v>CURRENT</x:v>
      </x:c>
      <x:c r="E438" s="2" t="str">
        <x:f>IF(B438="","",'Input_Meci'!B42)</x:f>
      </x:c>
      <x:c r="F438" s="2" t="str">
        <x:f>IF(B438="","",IF('Input_Meci'!C42="","",'Input_Meci'!C42))</x:f>
      </x:c>
      <x:c r="G438" s="2" t="str">
        <x:f>IF(B438="","",'Input_Meci'!D42)</x:f>
      </x:c>
      <x:c r="H438" s="2" t="str">
        <x:v>ANY</x:v>
      </x:c>
      <x:c r="I438" s="2" t="str">
        <x:v>SEASON</x:v>
      </x:c>
      <x:c r="J438" s="9" t="n">
        <x:f>IF(AND(B438&lt;&gt;"",ISNUMBER('Input_Meci'!G42)),INT('Input_Meci'!G42),0)</x:f>
        <x:v>0</x:v>
      </x:c>
      <x:c r="K438" s="2" t="n">
        <x:f>IF(OR(B438="",F438=""),0,IF(H438="HOME",COUNTIFS('Istoric_Nativ'!$B$6:$B$405,E438,'Istoric_Nativ'!$C$6:$C$405,F438,'Istoric_Nativ'!$E$6:$E$405,G438,'Istoric_Nativ'!$D$6:$D$405,"&lt;"&amp;J438,'Istoric_Nativ'!$P$6:$P$405,1),IF(H438="AWAY",COUNTIFS('Istoric_Nativ'!$B$6:$B$405,E438,'Istoric_Nativ'!$C$6:$C$405,F438,'Istoric_Nativ'!$F$6:$F$405,G438,'Istoric_Nativ'!$D$6:$D$405,"&lt;"&amp;J438,'Istoric_Nativ'!$P$6:$P$405,1),COUNTIFS('Istoric_Nativ'!$B$6:$B$405,E438,'Istoric_Nativ'!$C$6:$C$405,F438,'Istoric_Nativ'!$E$6:$E$405,G438,'Istoric_Nativ'!$D$6:$D$405,"&lt;"&amp;J438,'Istoric_Nativ'!$P$6:$P$405,1)+COUNTIFS('Istoric_Nativ'!$B$6:$B$405,E438,'Istoric_Nativ'!$C$6:$C$405,F438,'Istoric_Nativ'!$F$6:$F$405,G438,'Istoric_Nativ'!$D$6:$D$405,"&lt;"&amp;J438,'Istoric_Nativ'!$P$6:$P$405,1))))</x:f>
        <x:v>0</x:v>
      </x:c>
      <x:c r="L438" s="17" t="n">
        <x:f>IF(AND(B438&lt;&gt;"",I438="RECENT",K438&gt;0),LARGE(_xlfn._xlws.FILTER('Istoric_Nativ'!$D$6:$D$405,('Istoric_Nativ'!$B$6:$B$405=E438)*('Istoric_Nativ'!$C$6:$C$405=F438)*('Istoric_Nativ'!$P$6:$P$405=1)*('Istoric_Nativ'!$D$6:$D$405&lt;J438)*((('Istoric_Nativ'!$E$6:$E$405=G438)+('Istoric_Nativ'!$F$6:$F$405=G438))&gt;0)),MIN('Config_v6'!$B$54,K438)),0)</x:f>
        <x:v>0</x:v>
      </x:c>
      <x:c r="M438" s="2" t="n">
        <x:f>IF(OR(B438="",F438=""),0,IF(H438="HOME",COUNTIFS('Istoric_Nativ'!$B$6:$B$405,E438,'Istoric_Nativ'!$C$6:$C$405,F438,'Istoric_Nativ'!$E$6:$E$405,G438,'Istoric_Nativ'!$D$6:$D$405,"&lt;"&amp;J438,'Istoric_Nativ'!$P$6:$P$405,1,'Istoric_Nativ'!$D$6:$D$405,"&gt;="&amp;L438),IF(H438="AWAY",COUNTIFS('Istoric_Nativ'!$B$6:$B$405,E438,'Istoric_Nativ'!$C$6:$C$405,F438,'Istoric_Nativ'!$F$6:$F$405,G438,'Istoric_Nativ'!$D$6:$D$405,"&lt;"&amp;J438,'Istoric_Nativ'!$P$6:$P$405,1,'Istoric_Nativ'!$D$6:$D$405,"&gt;="&amp;L438),COUNTIFS('Istoric_Nativ'!$B$6:$B$405,E438,'Istoric_Nativ'!$C$6:$C$405,F438,'Istoric_Nativ'!$E$6:$E$405,G438,'Istoric_Nativ'!$D$6:$D$405,"&lt;"&amp;J438,'Istoric_Nativ'!$P$6:$P$405,1,'Istoric_Nativ'!$D$6:$D$405,"&gt;="&amp;L438)+COUNTIFS('Istoric_Nativ'!$B$6:$B$405,E438,'Istoric_Nativ'!$C$6:$C$405,F438,'Istoric_Nativ'!$F$6:$F$405,G438,'Istoric_Nativ'!$D$6:$D$405,"&lt;"&amp;J438,'Istoric_Nativ'!$P$6:$P$405,1,'Istoric_Nativ'!$D$6:$D$405,"&gt;="&amp;L438))))</x:f>
        <x:v>0</x:v>
      </x:c>
      <x:c r="N438" s="11" t="str">
        <x:f>IF(M438=0,"",IF(H438="HOME",SUMIFS('Istoric_Nativ'!$G$6:$G$405,'Istoric_Nativ'!$B$6:$B$405,E438,'Istoric_Nativ'!$C$6:$C$405,F438,'Istoric_Nativ'!$E$6:$E$405,G438,'Istoric_Nativ'!$D$6:$D$405,"&lt;"&amp;J438,'Istoric_Nativ'!$P$6:$P$405,1,'Istoric_Nativ'!$D$6:$D$405,"&gt;="&amp;L438),IF(H438="AWAY",SUMIFS('Istoric_Nativ'!$H$6:$H$405,'Istoric_Nativ'!$B$6:$B$405,E438,'Istoric_Nativ'!$C$6:$C$405,F438,'Istoric_Nativ'!$F$6:$F$405,G438,'Istoric_Nativ'!$D$6:$D$405,"&lt;"&amp;J438,'Istoric_Nativ'!$P$6:$P$405,1,'Istoric_Nativ'!$D$6:$D$405,"&gt;="&amp;L438),SUMIFS('Istoric_Nativ'!$G$6:$G$405,'Istoric_Nativ'!$B$6:$B$405,E438,'Istoric_Nativ'!$C$6:$C$405,F438,'Istoric_Nativ'!$E$6:$E$405,G438,'Istoric_Nativ'!$D$6:$D$405,"&lt;"&amp;J438,'Istoric_Nativ'!$P$6:$P$405,1,'Istoric_Nativ'!$D$6:$D$405,"&gt;="&amp;L438)+SUMIFS('Istoric_Nativ'!$H$6:$H$405,'Istoric_Nativ'!$B$6:$B$405,E438,'Istoric_Nativ'!$C$6:$C$405,F438,'Istoric_Nativ'!$F$6:$F$405,G438,'Istoric_Nativ'!$D$6:$D$405,"&lt;"&amp;J438,'Istoric_Nativ'!$P$6:$P$405,1,'Istoric_Nativ'!$D$6:$D$405,"&gt;="&amp;L438)))/M438)</x:f>
      </x:c>
      <x:c r="O438" s="11" t="str">
        <x:f>IF(M438=0,"",IF(H438="HOME",SUMIFS('Istoric_Nativ'!$H$6:$H$405,'Istoric_Nativ'!$B$6:$B$405,E438,'Istoric_Nativ'!$C$6:$C$405,F438,'Istoric_Nativ'!$E$6:$E$405,G438,'Istoric_Nativ'!$D$6:$D$405,"&lt;"&amp;J438,'Istoric_Nativ'!$P$6:$P$405,1,'Istoric_Nativ'!$D$6:$D$405,"&gt;="&amp;L438),IF(H438="AWAY",SUMIFS('Istoric_Nativ'!$G$6:$G$405,'Istoric_Nativ'!$B$6:$B$405,E438,'Istoric_Nativ'!$C$6:$C$405,F438,'Istoric_Nativ'!$F$6:$F$405,G438,'Istoric_Nativ'!$D$6:$D$405,"&lt;"&amp;J438,'Istoric_Nativ'!$P$6:$P$405,1,'Istoric_Nativ'!$D$6:$D$405,"&gt;="&amp;L438),SUMIFS('Istoric_Nativ'!$H$6:$H$405,'Istoric_Nativ'!$B$6:$B$405,E438,'Istoric_Nativ'!$C$6:$C$405,F438,'Istoric_Nativ'!$E$6:$E$405,G438,'Istoric_Nativ'!$D$6:$D$405,"&lt;"&amp;J438,'Istoric_Nativ'!$P$6:$P$405,1,'Istoric_Nativ'!$D$6:$D$405,"&gt;="&amp;L438)+SUMIFS('Istoric_Nativ'!$G$6:$G$405,'Istoric_Nativ'!$B$6:$B$405,E438,'Istoric_Nativ'!$C$6:$C$405,F438,'Istoric_Nativ'!$F$6:$F$405,G438,'Istoric_Nativ'!$D$6:$D$405,"&lt;"&amp;J438,'Istoric_Nativ'!$P$6:$P$405,1,'Istoric_Nativ'!$D$6:$D$405,"&gt;="&amp;L438)))/M438)</x:f>
      </x:c>
      <x:c r="P438" s="2" t="n">
        <x:f>'Config_v6'!$B$7</x:f>
        <x:v>10</x:v>
      </x:c>
      <x:c r="Q438" s="2" t="n">
        <x:f>IF(OR(B438="",F438=""),0,IFERROR(MATCH(E438&amp;"|"&amp;F438,SourceTable[Source_Key],0),0))</x:f>
        <x:v>0</x:v>
      </x:c>
      <x:c r="R438" s="2" t="str">
        <x:f>IF(B438="","",IF(F438="","UNUSED",IF(Q438=0,"NOT CHECKED",IF(COUNTIF(SourceTable[Source_Key],E438&amp;"|"&amp;F438)&lt;&gt;1,"SOURCE CONFLICT",IF(NOT(OR(INDEX(SourceTable[Status],MAX(1,Q438))="IMPORTED",INDEX(SourceTable[Status],MAX(1,Q438))="PARTIAL",INDEX(SourceTable[Status],MAX(1,Q438))="SOURCE CONFLICT")),"ACCESS BLOCKED",IF(OR(INDEX(SourceTable[Coverage],Q438)&lt;&gt;"FULL SEASON EXPORT",INDEX(SourceTable[URL],Q438)="",INDEX(SourceTable[SHA256],Q438)=""),"EVIDENCE INCOMPLETE",IF(AND('Input_Meci'!H42="LIVE",INDEX(SourceTable[Retrieved_UTC],Q438)&gt;'Input_Meci'!G42),"POST CUTOFF","CLOSED")))))))</x:f>
      </x:c>
      <x:c r="S438" s="2" t="n">
        <x:f>IF(OR(B438="",F438=""),0,COUNTIFS('Istoric_Nativ'!$B$6:$B$405,E438,'Istoric_Nativ'!$C$6:$C$405,F438,'Istoric_Nativ'!$E$6:$E$405,G438,'Istoric_Nativ'!$D$6:$D$405,"&lt;"&amp;J438,'Istoric_Nativ'!$O$6:$O$405,"INVALID")+COUNTIFS('Istoric_Nativ'!$B$6:$B$405,E438,'Istoric_Nativ'!$C$6:$C$405,F438,'Istoric_Nativ'!$E$6:$E$405,G438,'Istoric_Nativ'!$O$6:$O$405,"INVALID",'Istoric_Nativ'!$D$6:$D$405,"*")+COUNTIFS('Istoric_Nativ'!$B$6:$B$405,E438,'Istoric_Nativ'!$C$6:$C$405,F438,'Istoric_Nativ'!$E$6:$E$405,G438,'Istoric_Nativ'!$D$6:$D$405,"&lt;"&amp;J438,'Istoric_Nativ'!$O$6:$O$405,"SOURCE CONFLICT")+COUNTIFS('Istoric_Nativ'!$B$6:$B$405,E438,'Istoric_Nativ'!$C$6:$C$405,F438,'Istoric_Nativ'!$F$6:$F$405,G438,'Istoric_Nativ'!$D$6:$D$405,"&lt;"&amp;J438,'Istoric_Nativ'!$O$6:$O$405,"INVALID")+COUNTIFS('Istoric_Nativ'!$B$6:$B$405,E438,'Istoric_Nativ'!$C$6:$C$405,F438,'Istoric_Nativ'!$F$6:$F$405,G438,'Istoric_Nativ'!$O$6:$O$405,"INVALID",'Istoric_Nativ'!$D$6:$D$405,"*")+COUNTIFS('Istoric_Nativ'!$B$6:$B$405,E438,'Istoric_Nativ'!$C$6:$C$405,F438,'Istoric_Nativ'!$F$6:$F$405,G438,'Istoric_Nativ'!$D$6:$D$405,"&lt;"&amp;J438,'Istoric_Nativ'!$O$6:$O$405,"SOURCE CONFLICT"))</x:f>
        <x:v>0</x:v>
      </x:c>
      <x:c r="T438" s="2" t="str">
        <x:f>IF(B438="","",IF(R438&lt;&gt;"CLOSED",R438,IF(S438&gt;0,"NATIVE INPUT ISSUE",IF(M438=0,"NO HISTORY",IF(M438&lt;P438,"SMALL SAMPLE","DERIVED")))))</x:f>
      </x:c>
      <x:c r="U438" s="2" t="str">
        <x:f>IF(B438="","","NativeTable; "&amp;E438&amp;"; "&amp;F438&amp;"; "&amp;G438&amp;"; "&amp;H438&amp;"; before "&amp;TEXT(J438,"yyyy-mm-dd")&amp;IF(I438="RECENT","; from "&amp;TEXT(L438,"yyyy-mm-dd"),""))</x:f>
      </x:c>
    </x:row>
    <x:row r="439" ht="21" customHeight="1">
      <x:c r="A439" s="2" t="n">
        <x:v>37</x:v>
      </x:c>
      <x:c r="B439" s="2" t="str">
        <x:f>IF('Input_Meci'!A42="","",'Input_Meci'!A42)</x:f>
      </x:c>
      <x:c r="C439" s="2" t="str">
        <x:v>H</x:v>
      </x:c>
      <x:c r="D439" s="2" t="str">
        <x:v>CURRENT</x:v>
      </x:c>
      <x:c r="E439" s="2" t="str">
        <x:f>IF(B439="","",'Input_Meci'!B42)</x:f>
      </x:c>
      <x:c r="F439" s="2" t="str">
        <x:f>IF(B439="","",IF('Input_Meci'!C42="","",'Input_Meci'!C42))</x:f>
      </x:c>
      <x:c r="G439" s="2" t="str">
        <x:f>IF(B439="","",'Input_Meci'!D42)</x:f>
      </x:c>
      <x:c r="H439" s="2" t="str">
        <x:v>HOME</x:v>
      </x:c>
      <x:c r="I439" s="2" t="str">
        <x:v>HA</x:v>
      </x:c>
      <x:c r="J439" s="9" t="n">
        <x:f>IF(AND(B439&lt;&gt;"",ISNUMBER('Input_Meci'!G42)),INT('Input_Meci'!G42),0)</x:f>
        <x:v>0</x:v>
      </x:c>
      <x:c r="K439" s="2" t="n">
        <x:f>IF(OR(B439="",F439=""),0,IF(H439="HOME",COUNTIFS('Istoric_Nativ'!$B$6:$B$405,E439,'Istoric_Nativ'!$C$6:$C$405,F439,'Istoric_Nativ'!$E$6:$E$405,G439,'Istoric_Nativ'!$D$6:$D$405,"&lt;"&amp;J439,'Istoric_Nativ'!$P$6:$P$405,1),IF(H439="AWAY",COUNTIFS('Istoric_Nativ'!$B$6:$B$405,E439,'Istoric_Nativ'!$C$6:$C$405,F439,'Istoric_Nativ'!$F$6:$F$405,G439,'Istoric_Nativ'!$D$6:$D$405,"&lt;"&amp;J439,'Istoric_Nativ'!$P$6:$P$405,1),COUNTIFS('Istoric_Nativ'!$B$6:$B$405,E439,'Istoric_Nativ'!$C$6:$C$405,F439,'Istoric_Nativ'!$E$6:$E$405,G439,'Istoric_Nativ'!$D$6:$D$405,"&lt;"&amp;J439,'Istoric_Nativ'!$P$6:$P$405,1)+COUNTIFS('Istoric_Nativ'!$B$6:$B$405,E439,'Istoric_Nativ'!$C$6:$C$405,F439,'Istoric_Nativ'!$F$6:$F$405,G439,'Istoric_Nativ'!$D$6:$D$405,"&lt;"&amp;J439,'Istoric_Nativ'!$P$6:$P$405,1))))</x:f>
        <x:v>0</x:v>
      </x:c>
      <x:c r="L439" s="17" t="n">
        <x:f>IF(AND(B439&lt;&gt;"",I439="RECENT",K439&gt;0),LARGE(_xlfn._xlws.FILTER('Istoric_Nativ'!$D$6:$D$405,('Istoric_Nativ'!$B$6:$B$405=E439)*('Istoric_Nativ'!$C$6:$C$405=F439)*('Istoric_Nativ'!$P$6:$P$405=1)*('Istoric_Nativ'!$D$6:$D$405&lt;J439)*((('Istoric_Nativ'!$E$6:$E$405=G439)+('Istoric_Nativ'!$F$6:$F$405=G439))&gt;0)),MIN('Config_v6'!$B$54,K439)),0)</x:f>
        <x:v>0</x:v>
      </x:c>
      <x:c r="M439" s="2" t="n">
        <x:f>IF(OR(B439="",F439=""),0,IF(H439="HOME",COUNTIFS('Istoric_Nativ'!$B$6:$B$405,E439,'Istoric_Nativ'!$C$6:$C$405,F439,'Istoric_Nativ'!$E$6:$E$405,G439,'Istoric_Nativ'!$D$6:$D$405,"&lt;"&amp;J439,'Istoric_Nativ'!$P$6:$P$405,1,'Istoric_Nativ'!$D$6:$D$405,"&gt;="&amp;L439),IF(H439="AWAY",COUNTIFS('Istoric_Nativ'!$B$6:$B$405,E439,'Istoric_Nativ'!$C$6:$C$405,F439,'Istoric_Nativ'!$F$6:$F$405,G439,'Istoric_Nativ'!$D$6:$D$405,"&lt;"&amp;J439,'Istoric_Nativ'!$P$6:$P$405,1,'Istoric_Nativ'!$D$6:$D$405,"&gt;="&amp;L439),COUNTIFS('Istoric_Nativ'!$B$6:$B$405,E439,'Istoric_Nativ'!$C$6:$C$405,F439,'Istoric_Nativ'!$E$6:$E$405,G439,'Istoric_Nativ'!$D$6:$D$405,"&lt;"&amp;J439,'Istoric_Nativ'!$P$6:$P$405,1,'Istoric_Nativ'!$D$6:$D$405,"&gt;="&amp;L439)+COUNTIFS('Istoric_Nativ'!$B$6:$B$405,E439,'Istoric_Nativ'!$C$6:$C$405,F439,'Istoric_Nativ'!$F$6:$F$405,G439,'Istoric_Nativ'!$D$6:$D$405,"&lt;"&amp;J439,'Istoric_Nativ'!$P$6:$P$405,1,'Istoric_Nativ'!$D$6:$D$405,"&gt;="&amp;L439))))</x:f>
        <x:v>0</x:v>
      </x:c>
      <x:c r="N439" s="11" t="str">
        <x:f>IF(M439=0,"",IF(H439="HOME",SUMIFS('Istoric_Nativ'!$G$6:$G$405,'Istoric_Nativ'!$B$6:$B$405,E439,'Istoric_Nativ'!$C$6:$C$405,F439,'Istoric_Nativ'!$E$6:$E$405,G439,'Istoric_Nativ'!$D$6:$D$405,"&lt;"&amp;J439,'Istoric_Nativ'!$P$6:$P$405,1,'Istoric_Nativ'!$D$6:$D$405,"&gt;="&amp;L439),IF(H439="AWAY",SUMIFS('Istoric_Nativ'!$H$6:$H$405,'Istoric_Nativ'!$B$6:$B$405,E439,'Istoric_Nativ'!$C$6:$C$405,F439,'Istoric_Nativ'!$F$6:$F$405,G439,'Istoric_Nativ'!$D$6:$D$405,"&lt;"&amp;J439,'Istoric_Nativ'!$P$6:$P$405,1,'Istoric_Nativ'!$D$6:$D$405,"&gt;="&amp;L439),SUMIFS('Istoric_Nativ'!$G$6:$G$405,'Istoric_Nativ'!$B$6:$B$405,E439,'Istoric_Nativ'!$C$6:$C$405,F439,'Istoric_Nativ'!$E$6:$E$405,G439,'Istoric_Nativ'!$D$6:$D$405,"&lt;"&amp;J439,'Istoric_Nativ'!$P$6:$P$405,1,'Istoric_Nativ'!$D$6:$D$405,"&gt;="&amp;L439)+SUMIFS('Istoric_Nativ'!$H$6:$H$405,'Istoric_Nativ'!$B$6:$B$405,E439,'Istoric_Nativ'!$C$6:$C$405,F439,'Istoric_Nativ'!$F$6:$F$405,G439,'Istoric_Nativ'!$D$6:$D$405,"&lt;"&amp;J439,'Istoric_Nativ'!$P$6:$P$405,1,'Istoric_Nativ'!$D$6:$D$405,"&gt;="&amp;L439)))/M439)</x:f>
      </x:c>
      <x:c r="O439" s="11" t="str">
        <x:f>IF(M439=0,"",IF(H439="HOME",SUMIFS('Istoric_Nativ'!$H$6:$H$405,'Istoric_Nativ'!$B$6:$B$405,E439,'Istoric_Nativ'!$C$6:$C$405,F439,'Istoric_Nativ'!$E$6:$E$405,G439,'Istoric_Nativ'!$D$6:$D$405,"&lt;"&amp;J439,'Istoric_Nativ'!$P$6:$P$405,1,'Istoric_Nativ'!$D$6:$D$405,"&gt;="&amp;L439),IF(H439="AWAY",SUMIFS('Istoric_Nativ'!$G$6:$G$405,'Istoric_Nativ'!$B$6:$B$405,E439,'Istoric_Nativ'!$C$6:$C$405,F439,'Istoric_Nativ'!$F$6:$F$405,G439,'Istoric_Nativ'!$D$6:$D$405,"&lt;"&amp;J439,'Istoric_Nativ'!$P$6:$P$405,1,'Istoric_Nativ'!$D$6:$D$405,"&gt;="&amp;L439),SUMIFS('Istoric_Nativ'!$H$6:$H$405,'Istoric_Nativ'!$B$6:$B$405,E439,'Istoric_Nativ'!$C$6:$C$405,F439,'Istoric_Nativ'!$E$6:$E$405,G439,'Istoric_Nativ'!$D$6:$D$405,"&lt;"&amp;J439,'Istoric_Nativ'!$P$6:$P$405,1,'Istoric_Nativ'!$D$6:$D$405,"&gt;="&amp;L439)+SUMIFS('Istoric_Nativ'!$G$6:$G$405,'Istoric_Nativ'!$B$6:$B$405,E439,'Istoric_Nativ'!$C$6:$C$405,F439,'Istoric_Nativ'!$F$6:$F$405,G439,'Istoric_Nativ'!$D$6:$D$405,"&lt;"&amp;J439,'Istoric_Nativ'!$P$6:$P$405,1,'Istoric_Nativ'!$D$6:$D$405,"&gt;="&amp;L439)))/M439)</x:f>
      </x:c>
      <x:c r="P439" s="2" t="n">
        <x:f>'Config_v6'!$B$8</x:f>
        <x:v>5</x:v>
      </x:c>
      <x:c r="Q439" s="2" t="n">
        <x:f>IF(OR(B439="",F439=""),0,IFERROR(MATCH(E439&amp;"|"&amp;F439,SourceTable[Source_Key],0),0))</x:f>
        <x:v>0</x:v>
      </x:c>
      <x:c r="R439" s="2" t="str">
        <x:f>IF(B439="","",IF(F439="","UNUSED",IF(Q439=0,"NOT CHECKED",IF(COUNTIF(SourceTable[Source_Key],E439&amp;"|"&amp;F439)&lt;&gt;1,"SOURCE CONFLICT",IF(NOT(OR(INDEX(SourceTable[Status],MAX(1,Q439))="IMPORTED",INDEX(SourceTable[Status],MAX(1,Q439))="PARTIAL",INDEX(SourceTable[Status],MAX(1,Q439))="SOURCE CONFLICT")),"ACCESS BLOCKED",IF(OR(INDEX(SourceTable[Coverage],Q439)&lt;&gt;"FULL SEASON EXPORT",INDEX(SourceTable[URL],Q439)="",INDEX(SourceTable[SHA256],Q439)=""),"EVIDENCE INCOMPLETE",IF(AND('Input_Meci'!H42="LIVE",INDEX(SourceTable[Retrieved_UTC],Q439)&gt;'Input_Meci'!G42),"POST CUTOFF","CLOSED")))))))</x:f>
      </x:c>
      <x:c r="S439" s="2" t="n">
        <x:f>IF(OR(B439="",F439=""),0,COUNTIFS('Istoric_Nativ'!$B$6:$B$405,E439,'Istoric_Nativ'!$C$6:$C$405,F439,'Istoric_Nativ'!$E$6:$E$405,G439,'Istoric_Nativ'!$D$6:$D$405,"&lt;"&amp;J439,'Istoric_Nativ'!$O$6:$O$405,"INVALID")+COUNTIFS('Istoric_Nativ'!$B$6:$B$405,E439,'Istoric_Nativ'!$C$6:$C$405,F439,'Istoric_Nativ'!$E$6:$E$405,G439,'Istoric_Nativ'!$O$6:$O$405,"INVALID",'Istoric_Nativ'!$D$6:$D$405,"*")+COUNTIFS('Istoric_Nativ'!$B$6:$B$405,E439,'Istoric_Nativ'!$C$6:$C$405,F439,'Istoric_Nativ'!$E$6:$E$405,G439,'Istoric_Nativ'!$D$6:$D$405,"&lt;"&amp;J439,'Istoric_Nativ'!$O$6:$O$405,"SOURCE CONFLICT")+COUNTIFS('Istoric_Nativ'!$B$6:$B$405,E439,'Istoric_Nativ'!$C$6:$C$405,F439,'Istoric_Nativ'!$F$6:$F$405,G439,'Istoric_Nativ'!$D$6:$D$405,"&lt;"&amp;J439,'Istoric_Nativ'!$O$6:$O$405,"INVALID")+COUNTIFS('Istoric_Nativ'!$B$6:$B$405,E439,'Istoric_Nativ'!$C$6:$C$405,F439,'Istoric_Nativ'!$F$6:$F$405,G439,'Istoric_Nativ'!$O$6:$O$405,"INVALID",'Istoric_Nativ'!$D$6:$D$405,"*")+COUNTIFS('Istoric_Nativ'!$B$6:$B$405,E439,'Istoric_Nativ'!$C$6:$C$405,F439,'Istoric_Nativ'!$F$6:$F$405,G439,'Istoric_Nativ'!$D$6:$D$405,"&lt;"&amp;J439,'Istoric_Nativ'!$O$6:$O$405,"SOURCE CONFLICT"))</x:f>
        <x:v>0</x:v>
      </x:c>
      <x:c r="T439" s="2" t="str">
        <x:f>IF(B439="","",IF(R439&lt;&gt;"CLOSED",R439,IF(S439&gt;0,"NATIVE INPUT ISSUE",IF(M439=0,"NO HISTORY",IF(M439&lt;P439,"SMALL SAMPLE","DERIVED")))))</x:f>
      </x:c>
      <x:c r="U439" s="2" t="str">
        <x:f>IF(B439="","","NativeTable; "&amp;E439&amp;"; "&amp;F439&amp;"; "&amp;G439&amp;"; "&amp;H439&amp;"; before "&amp;TEXT(J439,"yyyy-mm-dd")&amp;IF(I439="RECENT","; from "&amp;TEXT(L439,"yyyy-mm-dd"),""))</x:f>
      </x:c>
    </x:row>
    <x:row r="440" ht="21" customHeight="1">
      <x:c r="A440" s="2" t="n">
        <x:v>37</x:v>
      </x:c>
      <x:c r="B440" s="2" t="str">
        <x:f>IF('Input_Meci'!A42="","",'Input_Meci'!A42)</x:f>
      </x:c>
      <x:c r="C440" s="2" t="str">
        <x:v>H</x:v>
      </x:c>
      <x:c r="D440" s="2" t="str">
        <x:v>CURRENT</x:v>
      </x:c>
      <x:c r="E440" s="2" t="str">
        <x:f>IF(B440="","",'Input_Meci'!B42)</x:f>
      </x:c>
      <x:c r="F440" s="2" t="str">
        <x:f>IF(B440="","",IF('Input_Meci'!C42="","",'Input_Meci'!C42))</x:f>
      </x:c>
      <x:c r="G440" s="2" t="str">
        <x:f>IF(B440="","",'Input_Meci'!D42)</x:f>
      </x:c>
      <x:c r="H440" s="2" t="str">
        <x:v>ANY</x:v>
      </x:c>
      <x:c r="I440" s="2" t="str">
        <x:v>RECENT</x:v>
      </x:c>
      <x:c r="J440" s="9" t="n">
        <x:f>IF(AND(B440&lt;&gt;"",ISNUMBER('Input_Meci'!G42)),INT('Input_Meci'!G42),0)</x:f>
        <x:v>0</x:v>
      </x:c>
      <x:c r="K440" s="2" t="n">
        <x:f>IF(OR(B440="",F440=""),0,IF(H440="HOME",COUNTIFS('Istoric_Nativ'!$B$6:$B$405,E440,'Istoric_Nativ'!$C$6:$C$405,F440,'Istoric_Nativ'!$E$6:$E$405,G440,'Istoric_Nativ'!$D$6:$D$405,"&lt;"&amp;J440,'Istoric_Nativ'!$P$6:$P$405,1),IF(H440="AWAY",COUNTIFS('Istoric_Nativ'!$B$6:$B$405,E440,'Istoric_Nativ'!$C$6:$C$405,F440,'Istoric_Nativ'!$F$6:$F$405,G440,'Istoric_Nativ'!$D$6:$D$405,"&lt;"&amp;J440,'Istoric_Nativ'!$P$6:$P$405,1),COUNTIFS('Istoric_Nativ'!$B$6:$B$405,E440,'Istoric_Nativ'!$C$6:$C$405,F440,'Istoric_Nativ'!$E$6:$E$405,G440,'Istoric_Nativ'!$D$6:$D$405,"&lt;"&amp;J440,'Istoric_Nativ'!$P$6:$P$405,1)+COUNTIFS('Istoric_Nativ'!$B$6:$B$405,E440,'Istoric_Nativ'!$C$6:$C$405,F440,'Istoric_Nativ'!$F$6:$F$405,G440,'Istoric_Nativ'!$D$6:$D$405,"&lt;"&amp;J440,'Istoric_Nativ'!$P$6:$P$405,1))))</x:f>
        <x:v>0</x:v>
      </x:c>
      <x:c r="L440" s="17" t="n">
        <x:f>IF(AND(B440&lt;&gt;"",I440="RECENT",K440&gt;0),LARGE(_xlfn._xlws.FILTER('Istoric_Nativ'!$D$6:$D$405,('Istoric_Nativ'!$B$6:$B$405=E440)*('Istoric_Nativ'!$C$6:$C$405=F440)*('Istoric_Nativ'!$P$6:$P$405=1)*('Istoric_Nativ'!$D$6:$D$405&lt;J440)*((('Istoric_Nativ'!$E$6:$E$405=G440)+('Istoric_Nativ'!$F$6:$F$405=G440))&gt;0)),MIN('Config_v6'!$B$54,K440)),0)</x:f>
        <x:v>0</x:v>
      </x:c>
      <x:c r="M440" s="2" t="n">
        <x:f>IF(OR(B440="",F440=""),0,IF(H440="HOME",COUNTIFS('Istoric_Nativ'!$B$6:$B$405,E440,'Istoric_Nativ'!$C$6:$C$405,F440,'Istoric_Nativ'!$E$6:$E$405,G440,'Istoric_Nativ'!$D$6:$D$405,"&lt;"&amp;J440,'Istoric_Nativ'!$P$6:$P$405,1,'Istoric_Nativ'!$D$6:$D$405,"&gt;="&amp;L440),IF(H440="AWAY",COUNTIFS('Istoric_Nativ'!$B$6:$B$405,E440,'Istoric_Nativ'!$C$6:$C$405,F440,'Istoric_Nativ'!$F$6:$F$405,G440,'Istoric_Nativ'!$D$6:$D$405,"&lt;"&amp;J440,'Istoric_Nativ'!$P$6:$P$405,1,'Istoric_Nativ'!$D$6:$D$405,"&gt;="&amp;L440),COUNTIFS('Istoric_Nativ'!$B$6:$B$405,E440,'Istoric_Nativ'!$C$6:$C$405,F440,'Istoric_Nativ'!$E$6:$E$405,G440,'Istoric_Nativ'!$D$6:$D$405,"&lt;"&amp;J440,'Istoric_Nativ'!$P$6:$P$405,1,'Istoric_Nativ'!$D$6:$D$405,"&gt;="&amp;L440)+COUNTIFS('Istoric_Nativ'!$B$6:$B$405,E440,'Istoric_Nativ'!$C$6:$C$405,F440,'Istoric_Nativ'!$F$6:$F$405,G440,'Istoric_Nativ'!$D$6:$D$405,"&lt;"&amp;J440,'Istoric_Nativ'!$P$6:$P$405,1,'Istoric_Nativ'!$D$6:$D$405,"&gt;="&amp;L440))))</x:f>
        <x:v>0</x:v>
      </x:c>
      <x:c r="N440" s="11" t="str">
        <x:f>IF(M440=0,"",IF(H440="HOME",SUMIFS('Istoric_Nativ'!$G$6:$G$405,'Istoric_Nativ'!$B$6:$B$405,E440,'Istoric_Nativ'!$C$6:$C$405,F440,'Istoric_Nativ'!$E$6:$E$405,G440,'Istoric_Nativ'!$D$6:$D$405,"&lt;"&amp;J440,'Istoric_Nativ'!$P$6:$P$405,1,'Istoric_Nativ'!$D$6:$D$405,"&gt;="&amp;L440),IF(H440="AWAY",SUMIFS('Istoric_Nativ'!$H$6:$H$405,'Istoric_Nativ'!$B$6:$B$405,E440,'Istoric_Nativ'!$C$6:$C$405,F440,'Istoric_Nativ'!$F$6:$F$405,G440,'Istoric_Nativ'!$D$6:$D$405,"&lt;"&amp;J440,'Istoric_Nativ'!$P$6:$P$405,1,'Istoric_Nativ'!$D$6:$D$405,"&gt;="&amp;L440),SUMIFS('Istoric_Nativ'!$G$6:$G$405,'Istoric_Nativ'!$B$6:$B$405,E440,'Istoric_Nativ'!$C$6:$C$405,F440,'Istoric_Nativ'!$E$6:$E$405,G440,'Istoric_Nativ'!$D$6:$D$405,"&lt;"&amp;J440,'Istoric_Nativ'!$P$6:$P$405,1,'Istoric_Nativ'!$D$6:$D$405,"&gt;="&amp;L440)+SUMIFS('Istoric_Nativ'!$H$6:$H$405,'Istoric_Nativ'!$B$6:$B$405,E440,'Istoric_Nativ'!$C$6:$C$405,F440,'Istoric_Nativ'!$F$6:$F$405,G440,'Istoric_Nativ'!$D$6:$D$405,"&lt;"&amp;J440,'Istoric_Nativ'!$P$6:$P$405,1,'Istoric_Nativ'!$D$6:$D$405,"&gt;="&amp;L440)))/M440)</x:f>
      </x:c>
      <x:c r="O440" s="11" t="str">
        <x:f>IF(M440=0,"",IF(H440="HOME",SUMIFS('Istoric_Nativ'!$H$6:$H$405,'Istoric_Nativ'!$B$6:$B$405,E440,'Istoric_Nativ'!$C$6:$C$405,F440,'Istoric_Nativ'!$E$6:$E$405,G440,'Istoric_Nativ'!$D$6:$D$405,"&lt;"&amp;J440,'Istoric_Nativ'!$P$6:$P$405,1,'Istoric_Nativ'!$D$6:$D$405,"&gt;="&amp;L440),IF(H440="AWAY",SUMIFS('Istoric_Nativ'!$G$6:$G$405,'Istoric_Nativ'!$B$6:$B$405,E440,'Istoric_Nativ'!$C$6:$C$405,F440,'Istoric_Nativ'!$F$6:$F$405,G440,'Istoric_Nativ'!$D$6:$D$405,"&lt;"&amp;J440,'Istoric_Nativ'!$P$6:$P$405,1,'Istoric_Nativ'!$D$6:$D$405,"&gt;="&amp;L440),SUMIFS('Istoric_Nativ'!$H$6:$H$405,'Istoric_Nativ'!$B$6:$B$405,E440,'Istoric_Nativ'!$C$6:$C$405,F440,'Istoric_Nativ'!$E$6:$E$405,G440,'Istoric_Nativ'!$D$6:$D$405,"&lt;"&amp;J440,'Istoric_Nativ'!$P$6:$P$405,1,'Istoric_Nativ'!$D$6:$D$405,"&gt;="&amp;L440)+SUMIFS('Istoric_Nativ'!$G$6:$G$405,'Istoric_Nativ'!$B$6:$B$405,E440,'Istoric_Nativ'!$C$6:$C$405,F440,'Istoric_Nativ'!$F$6:$F$405,G440,'Istoric_Nativ'!$D$6:$D$405,"&lt;"&amp;J440,'Istoric_Nativ'!$P$6:$P$405,1,'Istoric_Nativ'!$D$6:$D$405,"&gt;="&amp;L440)))/M440)</x:f>
      </x:c>
      <x:c r="P440" s="2" t="n">
        <x:f>'Config_v6'!$B$9</x:f>
        <x:v>3</x:v>
      </x:c>
      <x:c r="Q440" s="2" t="n">
        <x:f>IF(OR(B440="",F440=""),0,IFERROR(MATCH(E440&amp;"|"&amp;F440,SourceTable[Source_Key],0),0))</x:f>
        <x:v>0</x:v>
      </x:c>
      <x:c r="R440" s="2" t="str">
        <x:f>IF(B440="","",IF(F440="","UNUSED",IF(Q440=0,"NOT CHECKED",IF(COUNTIF(SourceTable[Source_Key],E440&amp;"|"&amp;F440)&lt;&gt;1,"SOURCE CONFLICT",IF(NOT(OR(INDEX(SourceTable[Status],MAX(1,Q440))="IMPORTED",INDEX(SourceTable[Status],MAX(1,Q440))="PARTIAL",INDEX(SourceTable[Status],MAX(1,Q440))="SOURCE CONFLICT")),"ACCESS BLOCKED",IF(OR(INDEX(SourceTable[Coverage],Q440)&lt;&gt;"FULL SEASON EXPORT",INDEX(SourceTable[URL],Q440)="",INDEX(SourceTable[SHA256],Q440)=""),"EVIDENCE INCOMPLETE",IF(AND('Input_Meci'!H42="LIVE",INDEX(SourceTable[Retrieved_UTC],Q440)&gt;'Input_Meci'!G42),"POST CUTOFF","CLOSED")))))))</x:f>
      </x:c>
      <x:c r="S440" s="2" t="n">
        <x:f>IF(OR(B440="",F440=""),0,COUNTIFS('Istoric_Nativ'!$B$6:$B$405,E440,'Istoric_Nativ'!$C$6:$C$405,F440,'Istoric_Nativ'!$E$6:$E$405,G440,'Istoric_Nativ'!$D$6:$D$405,"&lt;"&amp;J440,'Istoric_Nativ'!$O$6:$O$405,"INVALID")+COUNTIFS('Istoric_Nativ'!$B$6:$B$405,E440,'Istoric_Nativ'!$C$6:$C$405,F440,'Istoric_Nativ'!$E$6:$E$405,G440,'Istoric_Nativ'!$O$6:$O$405,"INVALID",'Istoric_Nativ'!$D$6:$D$405,"*")+COUNTIFS('Istoric_Nativ'!$B$6:$B$405,E440,'Istoric_Nativ'!$C$6:$C$405,F440,'Istoric_Nativ'!$E$6:$E$405,G440,'Istoric_Nativ'!$D$6:$D$405,"&lt;"&amp;J440,'Istoric_Nativ'!$O$6:$O$405,"SOURCE CONFLICT")+COUNTIFS('Istoric_Nativ'!$B$6:$B$405,E440,'Istoric_Nativ'!$C$6:$C$405,F440,'Istoric_Nativ'!$F$6:$F$405,G440,'Istoric_Nativ'!$D$6:$D$405,"&lt;"&amp;J440,'Istoric_Nativ'!$O$6:$O$405,"INVALID")+COUNTIFS('Istoric_Nativ'!$B$6:$B$405,E440,'Istoric_Nativ'!$C$6:$C$405,F440,'Istoric_Nativ'!$F$6:$F$405,G440,'Istoric_Nativ'!$O$6:$O$405,"INVALID",'Istoric_Nativ'!$D$6:$D$405,"*")+COUNTIFS('Istoric_Nativ'!$B$6:$B$405,E440,'Istoric_Nativ'!$C$6:$C$405,F440,'Istoric_Nativ'!$F$6:$F$405,G440,'Istoric_Nativ'!$D$6:$D$405,"&lt;"&amp;J440,'Istoric_Nativ'!$O$6:$O$405,"SOURCE CONFLICT"))</x:f>
        <x:v>0</x:v>
      </x:c>
      <x:c r="T440" s="2" t="str">
        <x:f>IF(B440="","",IF(R440&lt;&gt;"CLOSED",R440,IF(S440&gt;0,"NATIVE INPUT ISSUE",IF(M440=0,"NO HISTORY",IF(M440&lt;P440,"SMALL SAMPLE","DERIVED")))))</x:f>
      </x:c>
      <x:c r="U440" s="2" t="str">
        <x:f>IF(B440="","","NativeTable; "&amp;E440&amp;"; "&amp;F440&amp;"; "&amp;G440&amp;"; "&amp;H440&amp;"; before "&amp;TEXT(J440,"yyyy-mm-dd")&amp;IF(I440="RECENT","; from "&amp;TEXT(L440,"yyyy-mm-dd"),""))</x:f>
      </x:c>
    </x:row>
    <x:row r="441" ht="21" customHeight="1">
      <x:c r="A441" s="2" t="n">
        <x:v>37</x:v>
      </x:c>
      <x:c r="B441" s="2" t="str">
        <x:f>IF('Input_Meci'!A42="","",'Input_Meci'!A42)</x:f>
      </x:c>
      <x:c r="C441" s="2" t="str">
        <x:v>A</x:v>
      </x:c>
      <x:c r="D441" s="2" t="str">
        <x:v>CURRENT</x:v>
      </x:c>
      <x:c r="E441" s="2" t="str">
        <x:f>IF(B441="","",'Input_Meci'!B42)</x:f>
      </x:c>
      <x:c r="F441" s="2" t="str">
        <x:f>IF(B441="","",IF('Input_Meci'!C42="","",'Input_Meci'!C42))</x:f>
      </x:c>
      <x:c r="G441" s="2" t="str">
        <x:f>IF(B441="","",'Input_Meci'!E42)</x:f>
      </x:c>
      <x:c r="H441" s="2" t="str">
        <x:v>ANY</x:v>
      </x:c>
      <x:c r="I441" s="2" t="str">
        <x:v>SEASON</x:v>
      </x:c>
      <x:c r="J441" s="9" t="n">
        <x:f>IF(AND(B441&lt;&gt;"",ISNUMBER('Input_Meci'!G42)),INT('Input_Meci'!G42),0)</x:f>
        <x:v>0</x:v>
      </x:c>
      <x:c r="K441" s="2" t="n">
        <x:f>IF(OR(B441="",F441=""),0,IF(H441="HOME",COUNTIFS('Istoric_Nativ'!$B$6:$B$405,E441,'Istoric_Nativ'!$C$6:$C$405,F441,'Istoric_Nativ'!$E$6:$E$405,G441,'Istoric_Nativ'!$D$6:$D$405,"&lt;"&amp;J441,'Istoric_Nativ'!$P$6:$P$405,1),IF(H441="AWAY",COUNTIFS('Istoric_Nativ'!$B$6:$B$405,E441,'Istoric_Nativ'!$C$6:$C$405,F441,'Istoric_Nativ'!$F$6:$F$405,G441,'Istoric_Nativ'!$D$6:$D$405,"&lt;"&amp;J441,'Istoric_Nativ'!$P$6:$P$405,1),COUNTIFS('Istoric_Nativ'!$B$6:$B$405,E441,'Istoric_Nativ'!$C$6:$C$405,F441,'Istoric_Nativ'!$E$6:$E$405,G441,'Istoric_Nativ'!$D$6:$D$405,"&lt;"&amp;J441,'Istoric_Nativ'!$P$6:$P$405,1)+COUNTIFS('Istoric_Nativ'!$B$6:$B$405,E441,'Istoric_Nativ'!$C$6:$C$405,F441,'Istoric_Nativ'!$F$6:$F$405,G441,'Istoric_Nativ'!$D$6:$D$405,"&lt;"&amp;J441,'Istoric_Nativ'!$P$6:$P$405,1))))</x:f>
        <x:v>0</x:v>
      </x:c>
      <x:c r="L441" s="17" t="n">
        <x:f>IF(AND(B441&lt;&gt;"",I441="RECENT",K441&gt;0),LARGE(_xlfn._xlws.FILTER('Istoric_Nativ'!$D$6:$D$405,('Istoric_Nativ'!$B$6:$B$405=E441)*('Istoric_Nativ'!$C$6:$C$405=F441)*('Istoric_Nativ'!$P$6:$P$405=1)*('Istoric_Nativ'!$D$6:$D$405&lt;J441)*((('Istoric_Nativ'!$E$6:$E$405=G441)+('Istoric_Nativ'!$F$6:$F$405=G441))&gt;0)),MIN('Config_v6'!$B$54,K441)),0)</x:f>
        <x:v>0</x:v>
      </x:c>
      <x:c r="M441" s="2" t="n">
        <x:f>IF(OR(B441="",F441=""),0,IF(H441="HOME",COUNTIFS('Istoric_Nativ'!$B$6:$B$405,E441,'Istoric_Nativ'!$C$6:$C$405,F441,'Istoric_Nativ'!$E$6:$E$405,G441,'Istoric_Nativ'!$D$6:$D$405,"&lt;"&amp;J441,'Istoric_Nativ'!$P$6:$P$405,1,'Istoric_Nativ'!$D$6:$D$405,"&gt;="&amp;L441),IF(H441="AWAY",COUNTIFS('Istoric_Nativ'!$B$6:$B$405,E441,'Istoric_Nativ'!$C$6:$C$405,F441,'Istoric_Nativ'!$F$6:$F$405,G441,'Istoric_Nativ'!$D$6:$D$405,"&lt;"&amp;J441,'Istoric_Nativ'!$P$6:$P$405,1,'Istoric_Nativ'!$D$6:$D$405,"&gt;="&amp;L441),COUNTIFS('Istoric_Nativ'!$B$6:$B$405,E441,'Istoric_Nativ'!$C$6:$C$405,F441,'Istoric_Nativ'!$E$6:$E$405,G441,'Istoric_Nativ'!$D$6:$D$405,"&lt;"&amp;J441,'Istoric_Nativ'!$P$6:$P$405,1,'Istoric_Nativ'!$D$6:$D$405,"&gt;="&amp;L441)+COUNTIFS('Istoric_Nativ'!$B$6:$B$405,E441,'Istoric_Nativ'!$C$6:$C$405,F441,'Istoric_Nativ'!$F$6:$F$405,G441,'Istoric_Nativ'!$D$6:$D$405,"&lt;"&amp;J441,'Istoric_Nativ'!$P$6:$P$405,1,'Istoric_Nativ'!$D$6:$D$405,"&gt;="&amp;L441))))</x:f>
        <x:v>0</x:v>
      </x:c>
      <x:c r="N441" s="11" t="str">
        <x:f>IF(M441=0,"",IF(H441="HOME",SUMIFS('Istoric_Nativ'!$G$6:$G$405,'Istoric_Nativ'!$B$6:$B$405,E441,'Istoric_Nativ'!$C$6:$C$405,F441,'Istoric_Nativ'!$E$6:$E$405,G441,'Istoric_Nativ'!$D$6:$D$405,"&lt;"&amp;J441,'Istoric_Nativ'!$P$6:$P$405,1,'Istoric_Nativ'!$D$6:$D$405,"&gt;="&amp;L441),IF(H441="AWAY",SUMIFS('Istoric_Nativ'!$H$6:$H$405,'Istoric_Nativ'!$B$6:$B$405,E441,'Istoric_Nativ'!$C$6:$C$405,F441,'Istoric_Nativ'!$F$6:$F$405,G441,'Istoric_Nativ'!$D$6:$D$405,"&lt;"&amp;J441,'Istoric_Nativ'!$P$6:$P$405,1,'Istoric_Nativ'!$D$6:$D$405,"&gt;="&amp;L441),SUMIFS('Istoric_Nativ'!$G$6:$G$405,'Istoric_Nativ'!$B$6:$B$405,E441,'Istoric_Nativ'!$C$6:$C$405,F441,'Istoric_Nativ'!$E$6:$E$405,G441,'Istoric_Nativ'!$D$6:$D$405,"&lt;"&amp;J441,'Istoric_Nativ'!$P$6:$P$405,1,'Istoric_Nativ'!$D$6:$D$405,"&gt;="&amp;L441)+SUMIFS('Istoric_Nativ'!$H$6:$H$405,'Istoric_Nativ'!$B$6:$B$405,E441,'Istoric_Nativ'!$C$6:$C$405,F441,'Istoric_Nativ'!$F$6:$F$405,G441,'Istoric_Nativ'!$D$6:$D$405,"&lt;"&amp;J441,'Istoric_Nativ'!$P$6:$P$405,1,'Istoric_Nativ'!$D$6:$D$405,"&gt;="&amp;L441)))/M441)</x:f>
      </x:c>
      <x:c r="O441" s="11" t="str">
        <x:f>IF(M441=0,"",IF(H441="HOME",SUMIFS('Istoric_Nativ'!$H$6:$H$405,'Istoric_Nativ'!$B$6:$B$405,E441,'Istoric_Nativ'!$C$6:$C$405,F441,'Istoric_Nativ'!$E$6:$E$405,G441,'Istoric_Nativ'!$D$6:$D$405,"&lt;"&amp;J441,'Istoric_Nativ'!$P$6:$P$405,1,'Istoric_Nativ'!$D$6:$D$405,"&gt;="&amp;L441),IF(H441="AWAY",SUMIFS('Istoric_Nativ'!$G$6:$G$405,'Istoric_Nativ'!$B$6:$B$405,E441,'Istoric_Nativ'!$C$6:$C$405,F441,'Istoric_Nativ'!$F$6:$F$405,G441,'Istoric_Nativ'!$D$6:$D$405,"&lt;"&amp;J441,'Istoric_Nativ'!$P$6:$P$405,1,'Istoric_Nativ'!$D$6:$D$405,"&gt;="&amp;L441),SUMIFS('Istoric_Nativ'!$H$6:$H$405,'Istoric_Nativ'!$B$6:$B$405,E441,'Istoric_Nativ'!$C$6:$C$405,F441,'Istoric_Nativ'!$E$6:$E$405,G441,'Istoric_Nativ'!$D$6:$D$405,"&lt;"&amp;J441,'Istoric_Nativ'!$P$6:$P$405,1,'Istoric_Nativ'!$D$6:$D$405,"&gt;="&amp;L441)+SUMIFS('Istoric_Nativ'!$G$6:$G$405,'Istoric_Nativ'!$B$6:$B$405,E441,'Istoric_Nativ'!$C$6:$C$405,F441,'Istoric_Nativ'!$F$6:$F$405,G441,'Istoric_Nativ'!$D$6:$D$405,"&lt;"&amp;J441,'Istoric_Nativ'!$P$6:$P$405,1,'Istoric_Nativ'!$D$6:$D$405,"&gt;="&amp;L441)))/M441)</x:f>
      </x:c>
      <x:c r="P441" s="2" t="n">
        <x:f>'Config_v6'!$B$7</x:f>
        <x:v>10</x:v>
      </x:c>
      <x:c r="Q441" s="2" t="n">
        <x:f>IF(OR(B441="",F441=""),0,IFERROR(MATCH(E441&amp;"|"&amp;F441,SourceTable[Source_Key],0),0))</x:f>
        <x:v>0</x:v>
      </x:c>
      <x:c r="R441" s="2" t="str">
        <x:f>IF(B441="","",IF(F441="","UNUSED",IF(Q441=0,"NOT CHECKED",IF(COUNTIF(SourceTable[Source_Key],E441&amp;"|"&amp;F441)&lt;&gt;1,"SOURCE CONFLICT",IF(NOT(OR(INDEX(SourceTable[Status],MAX(1,Q441))="IMPORTED",INDEX(SourceTable[Status],MAX(1,Q441))="PARTIAL",INDEX(SourceTable[Status],MAX(1,Q441))="SOURCE CONFLICT")),"ACCESS BLOCKED",IF(OR(INDEX(SourceTable[Coverage],Q441)&lt;&gt;"FULL SEASON EXPORT",INDEX(SourceTable[URL],Q441)="",INDEX(SourceTable[SHA256],Q441)=""),"EVIDENCE INCOMPLETE",IF(AND('Input_Meci'!H42="LIVE",INDEX(SourceTable[Retrieved_UTC],Q441)&gt;'Input_Meci'!G42),"POST CUTOFF","CLOSED")))))))</x:f>
      </x:c>
      <x:c r="S441" s="2" t="n">
        <x:f>IF(OR(B441="",F441=""),0,COUNTIFS('Istoric_Nativ'!$B$6:$B$405,E441,'Istoric_Nativ'!$C$6:$C$405,F441,'Istoric_Nativ'!$E$6:$E$405,G441,'Istoric_Nativ'!$D$6:$D$405,"&lt;"&amp;J441,'Istoric_Nativ'!$O$6:$O$405,"INVALID")+COUNTIFS('Istoric_Nativ'!$B$6:$B$405,E441,'Istoric_Nativ'!$C$6:$C$405,F441,'Istoric_Nativ'!$E$6:$E$405,G441,'Istoric_Nativ'!$O$6:$O$405,"INVALID",'Istoric_Nativ'!$D$6:$D$405,"*")+COUNTIFS('Istoric_Nativ'!$B$6:$B$405,E441,'Istoric_Nativ'!$C$6:$C$405,F441,'Istoric_Nativ'!$E$6:$E$405,G441,'Istoric_Nativ'!$D$6:$D$405,"&lt;"&amp;J441,'Istoric_Nativ'!$O$6:$O$405,"SOURCE CONFLICT")+COUNTIFS('Istoric_Nativ'!$B$6:$B$405,E441,'Istoric_Nativ'!$C$6:$C$405,F441,'Istoric_Nativ'!$F$6:$F$405,G441,'Istoric_Nativ'!$D$6:$D$405,"&lt;"&amp;J441,'Istoric_Nativ'!$O$6:$O$405,"INVALID")+COUNTIFS('Istoric_Nativ'!$B$6:$B$405,E441,'Istoric_Nativ'!$C$6:$C$405,F441,'Istoric_Nativ'!$F$6:$F$405,G441,'Istoric_Nativ'!$O$6:$O$405,"INVALID",'Istoric_Nativ'!$D$6:$D$405,"*")+COUNTIFS('Istoric_Nativ'!$B$6:$B$405,E441,'Istoric_Nativ'!$C$6:$C$405,F441,'Istoric_Nativ'!$F$6:$F$405,G441,'Istoric_Nativ'!$D$6:$D$405,"&lt;"&amp;J441,'Istoric_Nativ'!$O$6:$O$405,"SOURCE CONFLICT"))</x:f>
        <x:v>0</x:v>
      </x:c>
      <x:c r="T441" s="2" t="str">
        <x:f>IF(B441="","",IF(R441&lt;&gt;"CLOSED",R441,IF(S441&gt;0,"NATIVE INPUT ISSUE",IF(M441=0,"NO HISTORY",IF(M441&lt;P441,"SMALL SAMPLE","DERIVED")))))</x:f>
      </x:c>
      <x:c r="U441" s="2" t="str">
        <x:f>IF(B441="","","NativeTable; "&amp;E441&amp;"; "&amp;F441&amp;"; "&amp;G441&amp;"; "&amp;H441&amp;"; before "&amp;TEXT(J441,"yyyy-mm-dd")&amp;IF(I441="RECENT","; from "&amp;TEXT(L441,"yyyy-mm-dd"),""))</x:f>
      </x:c>
    </x:row>
    <x:row r="442" ht="21" customHeight="1">
      <x:c r="A442" s="2" t="n">
        <x:v>37</x:v>
      </x:c>
      <x:c r="B442" s="2" t="str">
        <x:f>IF('Input_Meci'!A42="","",'Input_Meci'!A42)</x:f>
      </x:c>
      <x:c r="C442" s="2" t="str">
        <x:v>A</x:v>
      </x:c>
      <x:c r="D442" s="2" t="str">
        <x:v>CURRENT</x:v>
      </x:c>
      <x:c r="E442" s="2" t="str">
        <x:f>IF(B442="","",'Input_Meci'!B42)</x:f>
      </x:c>
      <x:c r="F442" s="2" t="str">
        <x:f>IF(B442="","",IF('Input_Meci'!C42="","",'Input_Meci'!C42))</x:f>
      </x:c>
      <x:c r="G442" s="2" t="str">
        <x:f>IF(B442="","",'Input_Meci'!E42)</x:f>
      </x:c>
      <x:c r="H442" s="2" t="str">
        <x:v>AWAY</x:v>
      </x:c>
      <x:c r="I442" s="2" t="str">
        <x:v>HA</x:v>
      </x:c>
      <x:c r="J442" s="9" t="n">
        <x:f>IF(AND(B442&lt;&gt;"",ISNUMBER('Input_Meci'!G42)),INT('Input_Meci'!G42),0)</x:f>
        <x:v>0</x:v>
      </x:c>
      <x:c r="K442" s="2" t="n">
        <x:f>IF(OR(B442="",F442=""),0,IF(H442="HOME",COUNTIFS('Istoric_Nativ'!$B$6:$B$405,E442,'Istoric_Nativ'!$C$6:$C$405,F442,'Istoric_Nativ'!$E$6:$E$405,G442,'Istoric_Nativ'!$D$6:$D$405,"&lt;"&amp;J442,'Istoric_Nativ'!$P$6:$P$405,1),IF(H442="AWAY",COUNTIFS('Istoric_Nativ'!$B$6:$B$405,E442,'Istoric_Nativ'!$C$6:$C$405,F442,'Istoric_Nativ'!$F$6:$F$405,G442,'Istoric_Nativ'!$D$6:$D$405,"&lt;"&amp;J442,'Istoric_Nativ'!$P$6:$P$405,1),COUNTIFS('Istoric_Nativ'!$B$6:$B$405,E442,'Istoric_Nativ'!$C$6:$C$405,F442,'Istoric_Nativ'!$E$6:$E$405,G442,'Istoric_Nativ'!$D$6:$D$405,"&lt;"&amp;J442,'Istoric_Nativ'!$P$6:$P$405,1)+COUNTIFS('Istoric_Nativ'!$B$6:$B$405,E442,'Istoric_Nativ'!$C$6:$C$405,F442,'Istoric_Nativ'!$F$6:$F$405,G442,'Istoric_Nativ'!$D$6:$D$405,"&lt;"&amp;J442,'Istoric_Nativ'!$P$6:$P$405,1))))</x:f>
        <x:v>0</x:v>
      </x:c>
      <x:c r="L442" s="17" t="n">
        <x:f>IF(AND(B442&lt;&gt;"",I442="RECENT",K442&gt;0),LARGE(_xlfn._xlws.FILTER('Istoric_Nativ'!$D$6:$D$405,('Istoric_Nativ'!$B$6:$B$405=E442)*('Istoric_Nativ'!$C$6:$C$405=F442)*('Istoric_Nativ'!$P$6:$P$405=1)*('Istoric_Nativ'!$D$6:$D$405&lt;J442)*((('Istoric_Nativ'!$E$6:$E$405=G442)+('Istoric_Nativ'!$F$6:$F$405=G442))&gt;0)),MIN('Config_v6'!$B$54,K442)),0)</x:f>
        <x:v>0</x:v>
      </x:c>
      <x:c r="M442" s="2" t="n">
        <x:f>IF(OR(B442="",F442=""),0,IF(H442="HOME",COUNTIFS('Istoric_Nativ'!$B$6:$B$405,E442,'Istoric_Nativ'!$C$6:$C$405,F442,'Istoric_Nativ'!$E$6:$E$405,G442,'Istoric_Nativ'!$D$6:$D$405,"&lt;"&amp;J442,'Istoric_Nativ'!$P$6:$P$405,1,'Istoric_Nativ'!$D$6:$D$405,"&gt;="&amp;L442),IF(H442="AWAY",COUNTIFS('Istoric_Nativ'!$B$6:$B$405,E442,'Istoric_Nativ'!$C$6:$C$405,F442,'Istoric_Nativ'!$F$6:$F$405,G442,'Istoric_Nativ'!$D$6:$D$405,"&lt;"&amp;J442,'Istoric_Nativ'!$P$6:$P$405,1,'Istoric_Nativ'!$D$6:$D$405,"&gt;="&amp;L442),COUNTIFS('Istoric_Nativ'!$B$6:$B$405,E442,'Istoric_Nativ'!$C$6:$C$405,F442,'Istoric_Nativ'!$E$6:$E$405,G442,'Istoric_Nativ'!$D$6:$D$405,"&lt;"&amp;J442,'Istoric_Nativ'!$P$6:$P$405,1,'Istoric_Nativ'!$D$6:$D$405,"&gt;="&amp;L442)+COUNTIFS('Istoric_Nativ'!$B$6:$B$405,E442,'Istoric_Nativ'!$C$6:$C$405,F442,'Istoric_Nativ'!$F$6:$F$405,G442,'Istoric_Nativ'!$D$6:$D$405,"&lt;"&amp;J442,'Istoric_Nativ'!$P$6:$P$405,1,'Istoric_Nativ'!$D$6:$D$405,"&gt;="&amp;L442))))</x:f>
        <x:v>0</x:v>
      </x:c>
      <x:c r="N442" s="11" t="str">
        <x:f>IF(M442=0,"",IF(H442="HOME",SUMIFS('Istoric_Nativ'!$G$6:$G$405,'Istoric_Nativ'!$B$6:$B$405,E442,'Istoric_Nativ'!$C$6:$C$405,F442,'Istoric_Nativ'!$E$6:$E$405,G442,'Istoric_Nativ'!$D$6:$D$405,"&lt;"&amp;J442,'Istoric_Nativ'!$P$6:$P$405,1,'Istoric_Nativ'!$D$6:$D$405,"&gt;="&amp;L442),IF(H442="AWAY",SUMIFS('Istoric_Nativ'!$H$6:$H$405,'Istoric_Nativ'!$B$6:$B$405,E442,'Istoric_Nativ'!$C$6:$C$405,F442,'Istoric_Nativ'!$F$6:$F$405,G442,'Istoric_Nativ'!$D$6:$D$405,"&lt;"&amp;J442,'Istoric_Nativ'!$P$6:$P$405,1,'Istoric_Nativ'!$D$6:$D$405,"&gt;="&amp;L442),SUMIFS('Istoric_Nativ'!$G$6:$G$405,'Istoric_Nativ'!$B$6:$B$405,E442,'Istoric_Nativ'!$C$6:$C$405,F442,'Istoric_Nativ'!$E$6:$E$405,G442,'Istoric_Nativ'!$D$6:$D$405,"&lt;"&amp;J442,'Istoric_Nativ'!$P$6:$P$405,1,'Istoric_Nativ'!$D$6:$D$405,"&gt;="&amp;L442)+SUMIFS('Istoric_Nativ'!$H$6:$H$405,'Istoric_Nativ'!$B$6:$B$405,E442,'Istoric_Nativ'!$C$6:$C$405,F442,'Istoric_Nativ'!$F$6:$F$405,G442,'Istoric_Nativ'!$D$6:$D$405,"&lt;"&amp;J442,'Istoric_Nativ'!$P$6:$P$405,1,'Istoric_Nativ'!$D$6:$D$405,"&gt;="&amp;L442)))/M442)</x:f>
      </x:c>
      <x:c r="O442" s="11" t="str">
        <x:f>IF(M442=0,"",IF(H442="HOME",SUMIFS('Istoric_Nativ'!$H$6:$H$405,'Istoric_Nativ'!$B$6:$B$405,E442,'Istoric_Nativ'!$C$6:$C$405,F442,'Istoric_Nativ'!$E$6:$E$405,G442,'Istoric_Nativ'!$D$6:$D$405,"&lt;"&amp;J442,'Istoric_Nativ'!$P$6:$P$405,1,'Istoric_Nativ'!$D$6:$D$405,"&gt;="&amp;L442),IF(H442="AWAY",SUMIFS('Istoric_Nativ'!$G$6:$G$405,'Istoric_Nativ'!$B$6:$B$405,E442,'Istoric_Nativ'!$C$6:$C$405,F442,'Istoric_Nativ'!$F$6:$F$405,G442,'Istoric_Nativ'!$D$6:$D$405,"&lt;"&amp;J442,'Istoric_Nativ'!$P$6:$P$405,1,'Istoric_Nativ'!$D$6:$D$405,"&gt;="&amp;L442),SUMIFS('Istoric_Nativ'!$H$6:$H$405,'Istoric_Nativ'!$B$6:$B$405,E442,'Istoric_Nativ'!$C$6:$C$405,F442,'Istoric_Nativ'!$E$6:$E$405,G442,'Istoric_Nativ'!$D$6:$D$405,"&lt;"&amp;J442,'Istoric_Nativ'!$P$6:$P$405,1,'Istoric_Nativ'!$D$6:$D$405,"&gt;="&amp;L442)+SUMIFS('Istoric_Nativ'!$G$6:$G$405,'Istoric_Nativ'!$B$6:$B$405,E442,'Istoric_Nativ'!$C$6:$C$405,F442,'Istoric_Nativ'!$F$6:$F$405,G442,'Istoric_Nativ'!$D$6:$D$405,"&lt;"&amp;J442,'Istoric_Nativ'!$P$6:$P$405,1,'Istoric_Nativ'!$D$6:$D$405,"&gt;="&amp;L442)))/M442)</x:f>
      </x:c>
      <x:c r="P442" s="2" t="n">
        <x:f>'Config_v6'!$B$8</x:f>
        <x:v>5</x:v>
      </x:c>
      <x:c r="Q442" s="2" t="n">
        <x:f>IF(OR(B442="",F442=""),0,IFERROR(MATCH(E442&amp;"|"&amp;F442,SourceTable[Source_Key],0),0))</x:f>
        <x:v>0</x:v>
      </x:c>
      <x:c r="R442" s="2" t="str">
        <x:f>IF(B442="","",IF(F442="","UNUSED",IF(Q442=0,"NOT CHECKED",IF(COUNTIF(SourceTable[Source_Key],E442&amp;"|"&amp;F442)&lt;&gt;1,"SOURCE CONFLICT",IF(NOT(OR(INDEX(SourceTable[Status],MAX(1,Q442))="IMPORTED",INDEX(SourceTable[Status],MAX(1,Q442))="PARTIAL",INDEX(SourceTable[Status],MAX(1,Q442))="SOURCE CONFLICT")),"ACCESS BLOCKED",IF(OR(INDEX(SourceTable[Coverage],Q442)&lt;&gt;"FULL SEASON EXPORT",INDEX(SourceTable[URL],Q442)="",INDEX(SourceTable[SHA256],Q442)=""),"EVIDENCE INCOMPLETE",IF(AND('Input_Meci'!H42="LIVE",INDEX(SourceTable[Retrieved_UTC],Q442)&gt;'Input_Meci'!G42),"POST CUTOFF","CLOSED")))))))</x:f>
      </x:c>
      <x:c r="S442" s="2" t="n">
        <x:f>IF(OR(B442="",F442=""),0,COUNTIFS('Istoric_Nativ'!$B$6:$B$405,E442,'Istoric_Nativ'!$C$6:$C$405,F442,'Istoric_Nativ'!$E$6:$E$405,G442,'Istoric_Nativ'!$D$6:$D$405,"&lt;"&amp;J442,'Istoric_Nativ'!$O$6:$O$405,"INVALID")+COUNTIFS('Istoric_Nativ'!$B$6:$B$405,E442,'Istoric_Nativ'!$C$6:$C$405,F442,'Istoric_Nativ'!$E$6:$E$405,G442,'Istoric_Nativ'!$O$6:$O$405,"INVALID",'Istoric_Nativ'!$D$6:$D$405,"*")+COUNTIFS('Istoric_Nativ'!$B$6:$B$405,E442,'Istoric_Nativ'!$C$6:$C$405,F442,'Istoric_Nativ'!$E$6:$E$405,G442,'Istoric_Nativ'!$D$6:$D$405,"&lt;"&amp;J442,'Istoric_Nativ'!$O$6:$O$405,"SOURCE CONFLICT")+COUNTIFS('Istoric_Nativ'!$B$6:$B$405,E442,'Istoric_Nativ'!$C$6:$C$405,F442,'Istoric_Nativ'!$F$6:$F$405,G442,'Istoric_Nativ'!$D$6:$D$405,"&lt;"&amp;J442,'Istoric_Nativ'!$O$6:$O$405,"INVALID")+COUNTIFS('Istoric_Nativ'!$B$6:$B$405,E442,'Istoric_Nativ'!$C$6:$C$405,F442,'Istoric_Nativ'!$F$6:$F$405,G442,'Istoric_Nativ'!$O$6:$O$405,"INVALID",'Istoric_Nativ'!$D$6:$D$405,"*")+COUNTIFS('Istoric_Nativ'!$B$6:$B$405,E442,'Istoric_Nativ'!$C$6:$C$405,F442,'Istoric_Nativ'!$F$6:$F$405,G442,'Istoric_Nativ'!$D$6:$D$405,"&lt;"&amp;J442,'Istoric_Nativ'!$O$6:$O$405,"SOURCE CONFLICT"))</x:f>
        <x:v>0</x:v>
      </x:c>
      <x:c r="T442" s="2" t="str">
        <x:f>IF(B442="","",IF(R442&lt;&gt;"CLOSED",R442,IF(S442&gt;0,"NATIVE INPUT ISSUE",IF(M442=0,"NO HISTORY",IF(M442&lt;P442,"SMALL SAMPLE","DERIVED")))))</x:f>
      </x:c>
      <x:c r="U442" s="2" t="str">
        <x:f>IF(B442="","","NativeTable; "&amp;E442&amp;"; "&amp;F442&amp;"; "&amp;G442&amp;"; "&amp;H442&amp;"; before "&amp;TEXT(J442,"yyyy-mm-dd")&amp;IF(I442="RECENT","; from "&amp;TEXT(L442,"yyyy-mm-dd"),""))</x:f>
      </x:c>
    </x:row>
    <x:row r="443" ht="21" customHeight="1">
      <x:c r="A443" s="2" t="n">
        <x:v>37</x:v>
      </x:c>
      <x:c r="B443" s="2" t="str">
        <x:f>IF('Input_Meci'!A42="","",'Input_Meci'!A42)</x:f>
      </x:c>
      <x:c r="C443" s="2" t="str">
        <x:v>A</x:v>
      </x:c>
      <x:c r="D443" s="2" t="str">
        <x:v>CURRENT</x:v>
      </x:c>
      <x:c r="E443" s="2" t="str">
        <x:f>IF(B443="","",'Input_Meci'!B42)</x:f>
      </x:c>
      <x:c r="F443" s="2" t="str">
        <x:f>IF(B443="","",IF('Input_Meci'!C42="","",'Input_Meci'!C42))</x:f>
      </x:c>
      <x:c r="G443" s="2" t="str">
        <x:f>IF(B443="","",'Input_Meci'!E42)</x:f>
      </x:c>
      <x:c r="H443" s="2" t="str">
        <x:v>ANY</x:v>
      </x:c>
      <x:c r="I443" s="2" t="str">
        <x:v>RECENT</x:v>
      </x:c>
      <x:c r="J443" s="9" t="n">
        <x:f>IF(AND(B443&lt;&gt;"",ISNUMBER('Input_Meci'!G42)),INT('Input_Meci'!G42),0)</x:f>
        <x:v>0</x:v>
      </x:c>
      <x:c r="K443" s="2" t="n">
        <x:f>IF(OR(B443="",F443=""),0,IF(H443="HOME",COUNTIFS('Istoric_Nativ'!$B$6:$B$405,E443,'Istoric_Nativ'!$C$6:$C$405,F443,'Istoric_Nativ'!$E$6:$E$405,G443,'Istoric_Nativ'!$D$6:$D$405,"&lt;"&amp;J443,'Istoric_Nativ'!$P$6:$P$405,1),IF(H443="AWAY",COUNTIFS('Istoric_Nativ'!$B$6:$B$405,E443,'Istoric_Nativ'!$C$6:$C$405,F443,'Istoric_Nativ'!$F$6:$F$405,G443,'Istoric_Nativ'!$D$6:$D$405,"&lt;"&amp;J443,'Istoric_Nativ'!$P$6:$P$405,1),COUNTIFS('Istoric_Nativ'!$B$6:$B$405,E443,'Istoric_Nativ'!$C$6:$C$405,F443,'Istoric_Nativ'!$E$6:$E$405,G443,'Istoric_Nativ'!$D$6:$D$405,"&lt;"&amp;J443,'Istoric_Nativ'!$P$6:$P$405,1)+COUNTIFS('Istoric_Nativ'!$B$6:$B$405,E443,'Istoric_Nativ'!$C$6:$C$405,F443,'Istoric_Nativ'!$F$6:$F$405,G443,'Istoric_Nativ'!$D$6:$D$405,"&lt;"&amp;J443,'Istoric_Nativ'!$P$6:$P$405,1))))</x:f>
        <x:v>0</x:v>
      </x:c>
      <x:c r="L443" s="17" t="n">
        <x:f>IF(AND(B443&lt;&gt;"",I443="RECENT",K443&gt;0),LARGE(_xlfn._xlws.FILTER('Istoric_Nativ'!$D$6:$D$405,('Istoric_Nativ'!$B$6:$B$405=E443)*('Istoric_Nativ'!$C$6:$C$405=F443)*('Istoric_Nativ'!$P$6:$P$405=1)*('Istoric_Nativ'!$D$6:$D$405&lt;J443)*((('Istoric_Nativ'!$E$6:$E$405=G443)+('Istoric_Nativ'!$F$6:$F$405=G443))&gt;0)),MIN('Config_v6'!$B$54,K443)),0)</x:f>
        <x:v>0</x:v>
      </x:c>
      <x:c r="M443" s="2" t="n">
        <x:f>IF(OR(B443="",F443=""),0,IF(H443="HOME",COUNTIFS('Istoric_Nativ'!$B$6:$B$405,E443,'Istoric_Nativ'!$C$6:$C$405,F443,'Istoric_Nativ'!$E$6:$E$405,G443,'Istoric_Nativ'!$D$6:$D$405,"&lt;"&amp;J443,'Istoric_Nativ'!$P$6:$P$405,1,'Istoric_Nativ'!$D$6:$D$405,"&gt;="&amp;L443),IF(H443="AWAY",COUNTIFS('Istoric_Nativ'!$B$6:$B$405,E443,'Istoric_Nativ'!$C$6:$C$405,F443,'Istoric_Nativ'!$F$6:$F$405,G443,'Istoric_Nativ'!$D$6:$D$405,"&lt;"&amp;J443,'Istoric_Nativ'!$P$6:$P$405,1,'Istoric_Nativ'!$D$6:$D$405,"&gt;="&amp;L443),COUNTIFS('Istoric_Nativ'!$B$6:$B$405,E443,'Istoric_Nativ'!$C$6:$C$405,F443,'Istoric_Nativ'!$E$6:$E$405,G443,'Istoric_Nativ'!$D$6:$D$405,"&lt;"&amp;J443,'Istoric_Nativ'!$P$6:$P$405,1,'Istoric_Nativ'!$D$6:$D$405,"&gt;="&amp;L443)+COUNTIFS('Istoric_Nativ'!$B$6:$B$405,E443,'Istoric_Nativ'!$C$6:$C$405,F443,'Istoric_Nativ'!$F$6:$F$405,G443,'Istoric_Nativ'!$D$6:$D$405,"&lt;"&amp;J443,'Istoric_Nativ'!$P$6:$P$405,1,'Istoric_Nativ'!$D$6:$D$405,"&gt;="&amp;L443))))</x:f>
        <x:v>0</x:v>
      </x:c>
      <x:c r="N443" s="11" t="str">
        <x:f>IF(M443=0,"",IF(H443="HOME",SUMIFS('Istoric_Nativ'!$G$6:$G$405,'Istoric_Nativ'!$B$6:$B$405,E443,'Istoric_Nativ'!$C$6:$C$405,F443,'Istoric_Nativ'!$E$6:$E$405,G443,'Istoric_Nativ'!$D$6:$D$405,"&lt;"&amp;J443,'Istoric_Nativ'!$P$6:$P$405,1,'Istoric_Nativ'!$D$6:$D$405,"&gt;="&amp;L443),IF(H443="AWAY",SUMIFS('Istoric_Nativ'!$H$6:$H$405,'Istoric_Nativ'!$B$6:$B$405,E443,'Istoric_Nativ'!$C$6:$C$405,F443,'Istoric_Nativ'!$F$6:$F$405,G443,'Istoric_Nativ'!$D$6:$D$405,"&lt;"&amp;J443,'Istoric_Nativ'!$P$6:$P$405,1,'Istoric_Nativ'!$D$6:$D$405,"&gt;="&amp;L443),SUMIFS('Istoric_Nativ'!$G$6:$G$405,'Istoric_Nativ'!$B$6:$B$405,E443,'Istoric_Nativ'!$C$6:$C$405,F443,'Istoric_Nativ'!$E$6:$E$405,G443,'Istoric_Nativ'!$D$6:$D$405,"&lt;"&amp;J443,'Istoric_Nativ'!$P$6:$P$405,1,'Istoric_Nativ'!$D$6:$D$405,"&gt;="&amp;L443)+SUMIFS('Istoric_Nativ'!$H$6:$H$405,'Istoric_Nativ'!$B$6:$B$405,E443,'Istoric_Nativ'!$C$6:$C$405,F443,'Istoric_Nativ'!$F$6:$F$405,G443,'Istoric_Nativ'!$D$6:$D$405,"&lt;"&amp;J443,'Istoric_Nativ'!$P$6:$P$405,1,'Istoric_Nativ'!$D$6:$D$405,"&gt;="&amp;L443)))/M443)</x:f>
      </x:c>
      <x:c r="O443" s="11" t="str">
        <x:f>IF(M443=0,"",IF(H443="HOME",SUMIFS('Istoric_Nativ'!$H$6:$H$405,'Istoric_Nativ'!$B$6:$B$405,E443,'Istoric_Nativ'!$C$6:$C$405,F443,'Istoric_Nativ'!$E$6:$E$405,G443,'Istoric_Nativ'!$D$6:$D$405,"&lt;"&amp;J443,'Istoric_Nativ'!$P$6:$P$405,1,'Istoric_Nativ'!$D$6:$D$405,"&gt;="&amp;L443),IF(H443="AWAY",SUMIFS('Istoric_Nativ'!$G$6:$G$405,'Istoric_Nativ'!$B$6:$B$405,E443,'Istoric_Nativ'!$C$6:$C$405,F443,'Istoric_Nativ'!$F$6:$F$405,G443,'Istoric_Nativ'!$D$6:$D$405,"&lt;"&amp;J443,'Istoric_Nativ'!$P$6:$P$405,1,'Istoric_Nativ'!$D$6:$D$405,"&gt;="&amp;L443),SUMIFS('Istoric_Nativ'!$H$6:$H$405,'Istoric_Nativ'!$B$6:$B$405,E443,'Istoric_Nativ'!$C$6:$C$405,F443,'Istoric_Nativ'!$E$6:$E$405,G443,'Istoric_Nativ'!$D$6:$D$405,"&lt;"&amp;J443,'Istoric_Nativ'!$P$6:$P$405,1,'Istoric_Nativ'!$D$6:$D$405,"&gt;="&amp;L443)+SUMIFS('Istoric_Nativ'!$G$6:$G$405,'Istoric_Nativ'!$B$6:$B$405,E443,'Istoric_Nativ'!$C$6:$C$405,F443,'Istoric_Nativ'!$F$6:$F$405,G443,'Istoric_Nativ'!$D$6:$D$405,"&lt;"&amp;J443,'Istoric_Nativ'!$P$6:$P$405,1,'Istoric_Nativ'!$D$6:$D$405,"&gt;="&amp;L443)))/M443)</x:f>
      </x:c>
      <x:c r="P443" s="2" t="n">
        <x:f>'Config_v6'!$B$9</x:f>
        <x:v>3</x:v>
      </x:c>
      <x:c r="Q443" s="2" t="n">
        <x:f>IF(OR(B443="",F443=""),0,IFERROR(MATCH(E443&amp;"|"&amp;F443,SourceTable[Source_Key],0),0))</x:f>
        <x:v>0</x:v>
      </x:c>
      <x:c r="R443" s="2" t="str">
        <x:f>IF(B443="","",IF(F443="","UNUSED",IF(Q443=0,"NOT CHECKED",IF(COUNTIF(SourceTable[Source_Key],E443&amp;"|"&amp;F443)&lt;&gt;1,"SOURCE CONFLICT",IF(NOT(OR(INDEX(SourceTable[Status],MAX(1,Q443))="IMPORTED",INDEX(SourceTable[Status],MAX(1,Q443))="PARTIAL",INDEX(SourceTable[Status],MAX(1,Q443))="SOURCE CONFLICT")),"ACCESS BLOCKED",IF(OR(INDEX(SourceTable[Coverage],Q443)&lt;&gt;"FULL SEASON EXPORT",INDEX(SourceTable[URL],Q443)="",INDEX(SourceTable[SHA256],Q443)=""),"EVIDENCE INCOMPLETE",IF(AND('Input_Meci'!H42="LIVE",INDEX(SourceTable[Retrieved_UTC],Q443)&gt;'Input_Meci'!G42),"POST CUTOFF","CLOSED")))))))</x:f>
      </x:c>
      <x:c r="S443" s="2" t="n">
        <x:f>IF(OR(B443="",F443=""),0,COUNTIFS('Istoric_Nativ'!$B$6:$B$405,E443,'Istoric_Nativ'!$C$6:$C$405,F443,'Istoric_Nativ'!$E$6:$E$405,G443,'Istoric_Nativ'!$D$6:$D$405,"&lt;"&amp;J443,'Istoric_Nativ'!$O$6:$O$405,"INVALID")+COUNTIFS('Istoric_Nativ'!$B$6:$B$405,E443,'Istoric_Nativ'!$C$6:$C$405,F443,'Istoric_Nativ'!$E$6:$E$405,G443,'Istoric_Nativ'!$O$6:$O$405,"INVALID",'Istoric_Nativ'!$D$6:$D$405,"*")+COUNTIFS('Istoric_Nativ'!$B$6:$B$405,E443,'Istoric_Nativ'!$C$6:$C$405,F443,'Istoric_Nativ'!$E$6:$E$405,G443,'Istoric_Nativ'!$D$6:$D$405,"&lt;"&amp;J443,'Istoric_Nativ'!$O$6:$O$405,"SOURCE CONFLICT")+COUNTIFS('Istoric_Nativ'!$B$6:$B$405,E443,'Istoric_Nativ'!$C$6:$C$405,F443,'Istoric_Nativ'!$F$6:$F$405,G443,'Istoric_Nativ'!$D$6:$D$405,"&lt;"&amp;J443,'Istoric_Nativ'!$O$6:$O$405,"INVALID")+COUNTIFS('Istoric_Nativ'!$B$6:$B$405,E443,'Istoric_Nativ'!$C$6:$C$405,F443,'Istoric_Nativ'!$F$6:$F$405,G443,'Istoric_Nativ'!$O$6:$O$405,"INVALID",'Istoric_Nativ'!$D$6:$D$405,"*")+COUNTIFS('Istoric_Nativ'!$B$6:$B$405,E443,'Istoric_Nativ'!$C$6:$C$405,F443,'Istoric_Nativ'!$F$6:$F$405,G443,'Istoric_Nativ'!$D$6:$D$405,"&lt;"&amp;J443,'Istoric_Nativ'!$O$6:$O$405,"SOURCE CONFLICT"))</x:f>
        <x:v>0</x:v>
      </x:c>
      <x:c r="T443" s="2" t="str">
        <x:f>IF(B443="","",IF(R443&lt;&gt;"CLOSED",R443,IF(S443&gt;0,"NATIVE INPUT ISSUE",IF(M443=0,"NO HISTORY",IF(M443&lt;P443,"SMALL SAMPLE","DERIVED")))))</x:f>
      </x:c>
      <x:c r="U443" s="2" t="str">
        <x:f>IF(B443="","","NativeTable; "&amp;E443&amp;"; "&amp;F443&amp;"; "&amp;G443&amp;"; "&amp;H443&amp;"; before "&amp;TEXT(J443,"yyyy-mm-dd")&amp;IF(I443="RECENT","; from "&amp;TEXT(L443,"yyyy-mm-dd"),""))</x:f>
      </x:c>
    </x:row>
    <x:row r="444" ht="21" customHeight="1">
      <x:c r="A444" s="2" t="n">
        <x:v>37</x:v>
      </x:c>
      <x:c r="B444" s="2" t="str">
        <x:f>IF('Input_Meci'!A42="","",'Input_Meci'!A42)</x:f>
      </x:c>
      <x:c r="C444" s="2" t="str">
        <x:v>H</x:v>
      </x:c>
      <x:c r="D444" s="2" t="str">
        <x:v>PRIOR</x:v>
      </x:c>
      <x:c r="E444" s="2" t="str">
        <x:f>IF(B444="","",'Input_Meci'!B42)</x:f>
      </x:c>
      <x:c r="F444" s="2" t="str">
        <x:f>IF(B444="","",IF('Input_Meci'!K42="","",'Input_Meci'!K42))</x:f>
      </x:c>
      <x:c r="G444" s="2" t="str">
        <x:f>IF(B444="","",'Input_Meci'!D42)</x:f>
      </x:c>
      <x:c r="H444" s="2" t="str">
        <x:v>ANY</x:v>
      </x:c>
      <x:c r="I444" s="2" t="str">
        <x:v>SEASON</x:v>
      </x:c>
      <x:c r="J444" s="9" t="n">
        <x:f>IF(AND(B444&lt;&gt;"",ISNUMBER('Input_Meci'!G42)),INT('Input_Meci'!G42),0)</x:f>
        <x:v>0</x:v>
      </x:c>
      <x:c r="K444" s="2" t="n">
        <x:f>IF(OR(B444="",F444=""),0,IF(H444="HOME",COUNTIFS('Istoric_Nativ'!$B$6:$B$405,E444,'Istoric_Nativ'!$C$6:$C$405,F444,'Istoric_Nativ'!$E$6:$E$405,G444,'Istoric_Nativ'!$D$6:$D$405,"&lt;"&amp;J444,'Istoric_Nativ'!$P$6:$P$405,1),IF(H444="AWAY",COUNTIFS('Istoric_Nativ'!$B$6:$B$405,E444,'Istoric_Nativ'!$C$6:$C$405,F444,'Istoric_Nativ'!$F$6:$F$405,G444,'Istoric_Nativ'!$D$6:$D$405,"&lt;"&amp;J444,'Istoric_Nativ'!$P$6:$P$405,1),COUNTIFS('Istoric_Nativ'!$B$6:$B$405,E444,'Istoric_Nativ'!$C$6:$C$405,F444,'Istoric_Nativ'!$E$6:$E$405,G444,'Istoric_Nativ'!$D$6:$D$405,"&lt;"&amp;J444,'Istoric_Nativ'!$P$6:$P$405,1)+COUNTIFS('Istoric_Nativ'!$B$6:$B$405,E444,'Istoric_Nativ'!$C$6:$C$405,F444,'Istoric_Nativ'!$F$6:$F$405,G444,'Istoric_Nativ'!$D$6:$D$405,"&lt;"&amp;J444,'Istoric_Nativ'!$P$6:$P$405,1))))</x:f>
        <x:v>0</x:v>
      </x:c>
      <x:c r="L444" s="17" t="n">
        <x:f>IF(AND(B444&lt;&gt;"",I444="RECENT",K444&gt;0),LARGE(_xlfn._xlws.FILTER('Istoric_Nativ'!$D$6:$D$405,('Istoric_Nativ'!$B$6:$B$405=E444)*('Istoric_Nativ'!$C$6:$C$405=F444)*('Istoric_Nativ'!$P$6:$P$405=1)*('Istoric_Nativ'!$D$6:$D$405&lt;J444)*((('Istoric_Nativ'!$E$6:$E$405=G444)+('Istoric_Nativ'!$F$6:$F$405=G444))&gt;0)),MIN('Config_v6'!$B$54,K444)),0)</x:f>
        <x:v>0</x:v>
      </x:c>
      <x:c r="M444" s="2" t="n">
        <x:f>IF(OR(B444="",F444=""),0,IF(H444="HOME",COUNTIFS('Istoric_Nativ'!$B$6:$B$405,E444,'Istoric_Nativ'!$C$6:$C$405,F444,'Istoric_Nativ'!$E$6:$E$405,G444,'Istoric_Nativ'!$D$6:$D$405,"&lt;"&amp;J444,'Istoric_Nativ'!$P$6:$P$405,1,'Istoric_Nativ'!$D$6:$D$405,"&gt;="&amp;L444),IF(H444="AWAY",COUNTIFS('Istoric_Nativ'!$B$6:$B$405,E444,'Istoric_Nativ'!$C$6:$C$405,F444,'Istoric_Nativ'!$F$6:$F$405,G444,'Istoric_Nativ'!$D$6:$D$405,"&lt;"&amp;J444,'Istoric_Nativ'!$P$6:$P$405,1,'Istoric_Nativ'!$D$6:$D$405,"&gt;="&amp;L444),COUNTIFS('Istoric_Nativ'!$B$6:$B$405,E444,'Istoric_Nativ'!$C$6:$C$405,F444,'Istoric_Nativ'!$E$6:$E$405,G444,'Istoric_Nativ'!$D$6:$D$405,"&lt;"&amp;J444,'Istoric_Nativ'!$P$6:$P$405,1,'Istoric_Nativ'!$D$6:$D$405,"&gt;="&amp;L444)+COUNTIFS('Istoric_Nativ'!$B$6:$B$405,E444,'Istoric_Nativ'!$C$6:$C$405,F444,'Istoric_Nativ'!$F$6:$F$405,G444,'Istoric_Nativ'!$D$6:$D$405,"&lt;"&amp;J444,'Istoric_Nativ'!$P$6:$P$405,1,'Istoric_Nativ'!$D$6:$D$405,"&gt;="&amp;L444))))</x:f>
        <x:v>0</x:v>
      </x:c>
      <x:c r="N444" s="11" t="str">
        <x:f>IF(M444=0,"",IF(H444="HOME",SUMIFS('Istoric_Nativ'!$G$6:$G$405,'Istoric_Nativ'!$B$6:$B$405,E444,'Istoric_Nativ'!$C$6:$C$405,F444,'Istoric_Nativ'!$E$6:$E$405,G444,'Istoric_Nativ'!$D$6:$D$405,"&lt;"&amp;J444,'Istoric_Nativ'!$P$6:$P$405,1,'Istoric_Nativ'!$D$6:$D$405,"&gt;="&amp;L444),IF(H444="AWAY",SUMIFS('Istoric_Nativ'!$H$6:$H$405,'Istoric_Nativ'!$B$6:$B$405,E444,'Istoric_Nativ'!$C$6:$C$405,F444,'Istoric_Nativ'!$F$6:$F$405,G444,'Istoric_Nativ'!$D$6:$D$405,"&lt;"&amp;J444,'Istoric_Nativ'!$P$6:$P$405,1,'Istoric_Nativ'!$D$6:$D$405,"&gt;="&amp;L444),SUMIFS('Istoric_Nativ'!$G$6:$G$405,'Istoric_Nativ'!$B$6:$B$405,E444,'Istoric_Nativ'!$C$6:$C$405,F444,'Istoric_Nativ'!$E$6:$E$405,G444,'Istoric_Nativ'!$D$6:$D$405,"&lt;"&amp;J444,'Istoric_Nativ'!$P$6:$P$405,1,'Istoric_Nativ'!$D$6:$D$405,"&gt;="&amp;L444)+SUMIFS('Istoric_Nativ'!$H$6:$H$405,'Istoric_Nativ'!$B$6:$B$405,E444,'Istoric_Nativ'!$C$6:$C$405,F444,'Istoric_Nativ'!$F$6:$F$405,G444,'Istoric_Nativ'!$D$6:$D$405,"&lt;"&amp;J444,'Istoric_Nativ'!$P$6:$P$405,1,'Istoric_Nativ'!$D$6:$D$405,"&gt;="&amp;L444)))/M444)</x:f>
      </x:c>
      <x:c r="O444" s="11" t="str">
        <x:f>IF(M444=0,"",IF(H444="HOME",SUMIFS('Istoric_Nativ'!$H$6:$H$405,'Istoric_Nativ'!$B$6:$B$405,E444,'Istoric_Nativ'!$C$6:$C$405,F444,'Istoric_Nativ'!$E$6:$E$405,G444,'Istoric_Nativ'!$D$6:$D$405,"&lt;"&amp;J444,'Istoric_Nativ'!$P$6:$P$405,1,'Istoric_Nativ'!$D$6:$D$405,"&gt;="&amp;L444),IF(H444="AWAY",SUMIFS('Istoric_Nativ'!$G$6:$G$405,'Istoric_Nativ'!$B$6:$B$405,E444,'Istoric_Nativ'!$C$6:$C$405,F444,'Istoric_Nativ'!$F$6:$F$405,G444,'Istoric_Nativ'!$D$6:$D$405,"&lt;"&amp;J444,'Istoric_Nativ'!$P$6:$P$405,1,'Istoric_Nativ'!$D$6:$D$405,"&gt;="&amp;L444),SUMIFS('Istoric_Nativ'!$H$6:$H$405,'Istoric_Nativ'!$B$6:$B$405,E444,'Istoric_Nativ'!$C$6:$C$405,F444,'Istoric_Nativ'!$E$6:$E$405,G444,'Istoric_Nativ'!$D$6:$D$405,"&lt;"&amp;J444,'Istoric_Nativ'!$P$6:$P$405,1,'Istoric_Nativ'!$D$6:$D$405,"&gt;="&amp;L444)+SUMIFS('Istoric_Nativ'!$G$6:$G$405,'Istoric_Nativ'!$B$6:$B$405,E444,'Istoric_Nativ'!$C$6:$C$405,F444,'Istoric_Nativ'!$F$6:$F$405,G444,'Istoric_Nativ'!$D$6:$D$405,"&lt;"&amp;J444,'Istoric_Nativ'!$P$6:$P$405,1,'Istoric_Nativ'!$D$6:$D$405,"&gt;="&amp;L444)))/M444)</x:f>
      </x:c>
      <x:c r="P444" s="2" t="n">
        <x:f>'Config_v6'!$B$7</x:f>
        <x:v>10</x:v>
      </x:c>
      <x:c r="Q444" s="2" t="n">
        <x:f>IF(OR(B444="",F444=""),0,IFERROR(MATCH(E444&amp;"|"&amp;F444,SourceTable[Source_Key],0),0))</x:f>
        <x:v>0</x:v>
      </x:c>
      <x:c r="R444" s="2" t="str">
        <x:f>IF(B444="","",IF(F444="","UNUSED",IF(Q444=0,"NOT CHECKED",IF(COUNTIF(SourceTable[Source_Key],E444&amp;"|"&amp;F444)&lt;&gt;1,"SOURCE CONFLICT",IF(NOT(OR(INDEX(SourceTable[Status],MAX(1,Q444))="IMPORTED",INDEX(SourceTable[Status],MAX(1,Q444))="PARTIAL",INDEX(SourceTable[Status],MAX(1,Q444))="SOURCE CONFLICT")),"ACCESS BLOCKED",IF(OR(INDEX(SourceTable[Coverage],Q444)&lt;&gt;"FULL SEASON EXPORT",INDEX(SourceTable[URL],Q444)="",INDEX(SourceTable[SHA256],Q444)=""),"EVIDENCE INCOMPLETE",IF(AND('Input_Meci'!H42="LIVE",INDEX(SourceTable[Retrieved_UTC],Q444)&gt;'Input_Meci'!G42),"POST CUTOFF","CLOSED")))))))</x:f>
      </x:c>
      <x:c r="S444" s="2" t="n">
        <x:f>IF(OR(B444="",F444=""),0,COUNTIFS('Istoric_Nativ'!$B$6:$B$405,E444,'Istoric_Nativ'!$C$6:$C$405,F444,'Istoric_Nativ'!$E$6:$E$405,G444,'Istoric_Nativ'!$D$6:$D$405,"&lt;"&amp;J444,'Istoric_Nativ'!$O$6:$O$405,"INVALID")+COUNTIFS('Istoric_Nativ'!$B$6:$B$405,E444,'Istoric_Nativ'!$C$6:$C$405,F444,'Istoric_Nativ'!$E$6:$E$405,G444,'Istoric_Nativ'!$O$6:$O$405,"INVALID",'Istoric_Nativ'!$D$6:$D$405,"*")+COUNTIFS('Istoric_Nativ'!$B$6:$B$405,E444,'Istoric_Nativ'!$C$6:$C$405,F444,'Istoric_Nativ'!$E$6:$E$405,G444,'Istoric_Nativ'!$D$6:$D$405,"&lt;"&amp;J444,'Istoric_Nativ'!$O$6:$O$405,"SOURCE CONFLICT")+COUNTIFS('Istoric_Nativ'!$B$6:$B$405,E444,'Istoric_Nativ'!$C$6:$C$405,F444,'Istoric_Nativ'!$F$6:$F$405,G444,'Istoric_Nativ'!$D$6:$D$405,"&lt;"&amp;J444,'Istoric_Nativ'!$O$6:$O$405,"INVALID")+COUNTIFS('Istoric_Nativ'!$B$6:$B$405,E444,'Istoric_Nativ'!$C$6:$C$405,F444,'Istoric_Nativ'!$F$6:$F$405,G444,'Istoric_Nativ'!$O$6:$O$405,"INVALID",'Istoric_Nativ'!$D$6:$D$405,"*")+COUNTIFS('Istoric_Nativ'!$B$6:$B$405,E444,'Istoric_Nativ'!$C$6:$C$405,F444,'Istoric_Nativ'!$F$6:$F$405,G444,'Istoric_Nativ'!$D$6:$D$405,"&lt;"&amp;J444,'Istoric_Nativ'!$O$6:$O$405,"SOURCE CONFLICT"))</x:f>
        <x:v>0</x:v>
      </x:c>
      <x:c r="T444" s="2" t="str">
        <x:f>IF(B444="","",IF(R444&lt;&gt;"CLOSED",R444,IF(S444&gt;0,"NATIVE INPUT ISSUE",IF(M444=0,"NO HISTORY",IF(M444&lt;P444,"SMALL SAMPLE","DERIVED")))))</x:f>
      </x:c>
      <x:c r="U444" s="2" t="str">
        <x:f>IF(B444="","","NativeTable; "&amp;E444&amp;"; "&amp;F444&amp;"; "&amp;G444&amp;"; "&amp;H444&amp;"; before "&amp;TEXT(J444,"yyyy-mm-dd")&amp;IF(I444="RECENT","; from "&amp;TEXT(L444,"yyyy-mm-dd"),""))</x:f>
      </x:c>
    </x:row>
    <x:row r="445" ht="21" customHeight="1">
      <x:c r="A445" s="2" t="n">
        <x:v>37</x:v>
      </x:c>
      <x:c r="B445" s="2" t="str">
        <x:f>IF('Input_Meci'!A42="","",'Input_Meci'!A42)</x:f>
      </x:c>
      <x:c r="C445" s="2" t="str">
        <x:v>H</x:v>
      </x:c>
      <x:c r="D445" s="2" t="str">
        <x:v>PRIOR</x:v>
      </x:c>
      <x:c r="E445" s="2" t="str">
        <x:f>IF(B445="","",'Input_Meci'!B42)</x:f>
      </x:c>
      <x:c r="F445" s="2" t="str">
        <x:f>IF(B445="","",IF('Input_Meci'!K42="","",'Input_Meci'!K42))</x:f>
      </x:c>
      <x:c r="G445" s="2" t="str">
        <x:f>IF(B445="","",'Input_Meci'!D42)</x:f>
      </x:c>
      <x:c r="H445" s="2" t="str">
        <x:v>HOME</x:v>
      </x:c>
      <x:c r="I445" s="2" t="str">
        <x:v>HA</x:v>
      </x:c>
      <x:c r="J445" s="9" t="n">
        <x:f>IF(AND(B445&lt;&gt;"",ISNUMBER('Input_Meci'!G42)),INT('Input_Meci'!G42),0)</x:f>
        <x:v>0</x:v>
      </x:c>
      <x:c r="K445" s="2" t="n">
        <x:f>IF(OR(B445="",F445=""),0,IF(H445="HOME",COUNTIFS('Istoric_Nativ'!$B$6:$B$405,E445,'Istoric_Nativ'!$C$6:$C$405,F445,'Istoric_Nativ'!$E$6:$E$405,G445,'Istoric_Nativ'!$D$6:$D$405,"&lt;"&amp;J445,'Istoric_Nativ'!$P$6:$P$405,1),IF(H445="AWAY",COUNTIFS('Istoric_Nativ'!$B$6:$B$405,E445,'Istoric_Nativ'!$C$6:$C$405,F445,'Istoric_Nativ'!$F$6:$F$405,G445,'Istoric_Nativ'!$D$6:$D$405,"&lt;"&amp;J445,'Istoric_Nativ'!$P$6:$P$405,1),COUNTIFS('Istoric_Nativ'!$B$6:$B$405,E445,'Istoric_Nativ'!$C$6:$C$405,F445,'Istoric_Nativ'!$E$6:$E$405,G445,'Istoric_Nativ'!$D$6:$D$405,"&lt;"&amp;J445,'Istoric_Nativ'!$P$6:$P$405,1)+COUNTIFS('Istoric_Nativ'!$B$6:$B$405,E445,'Istoric_Nativ'!$C$6:$C$405,F445,'Istoric_Nativ'!$F$6:$F$405,G445,'Istoric_Nativ'!$D$6:$D$405,"&lt;"&amp;J445,'Istoric_Nativ'!$P$6:$P$405,1))))</x:f>
        <x:v>0</x:v>
      </x:c>
      <x:c r="L445" s="17" t="n">
        <x:f>IF(AND(B445&lt;&gt;"",I445="RECENT",K445&gt;0),LARGE(_xlfn._xlws.FILTER('Istoric_Nativ'!$D$6:$D$405,('Istoric_Nativ'!$B$6:$B$405=E445)*('Istoric_Nativ'!$C$6:$C$405=F445)*('Istoric_Nativ'!$P$6:$P$405=1)*('Istoric_Nativ'!$D$6:$D$405&lt;J445)*((('Istoric_Nativ'!$E$6:$E$405=G445)+('Istoric_Nativ'!$F$6:$F$405=G445))&gt;0)),MIN('Config_v6'!$B$54,K445)),0)</x:f>
        <x:v>0</x:v>
      </x:c>
      <x:c r="M445" s="2" t="n">
        <x:f>IF(OR(B445="",F445=""),0,IF(H445="HOME",COUNTIFS('Istoric_Nativ'!$B$6:$B$405,E445,'Istoric_Nativ'!$C$6:$C$405,F445,'Istoric_Nativ'!$E$6:$E$405,G445,'Istoric_Nativ'!$D$6:$D$405,"&lt;"&amp;J445,'Istoric_Nativ'!$P$6:$P$405,1,'Istoric_Nativ'!$D$6:$D$405,"&gt;="&amp;L445),IF(H445="AWAY",COUNTIFS('Istoric_Nativ'!$B$6:$B$405,E445,'Istoric_Nativ'!$C$6:$C$405,F445,'Istoric_Nativ'!$F$6:$F$405,G445,'Istoric_Nativ'!$D$6:$D$405,"&lt;"&amp;J445,'Istoric_Nativ'!$P$6:$P$405,1,'Istoric_Nativ'!$D$6:$D$405,"&gt;="&amp;L445),COUNTIFS('Istoric_Nativ'!$B$6:$B$405,E445,'Istoric_Nativ'!$C$6:$C$405,F445,'Istoric_Nativ'!$E$6:$E$405,G445,'Istoric_Nativ'!$D$6:$D$405,"&lt;"&amp;J445,'Istoric_Nativ'!$P$6:$P$405,1,'Istoric_Nativ'!$D$6:$D$405,"&gt;="&amp;L445)+COUNTIFS('Istoric_Nativ'!$B$6:$B$405,E445,'Istoric_Nativ'!$C$6:$C$405,F445,'Istoric_Nativ'!$F$6:$F$405,G445,'Istoric_Nativ'!$D$6:$D$405,"&lt;"&amp;J445,'Istoric_Nativ'!$P$6:$P$405,1,'Istoric_Nativ'!$D$6:$D$405,"&gt;="&amp;L445))))</x:f>
        <x:v>0</x:v>
      </x:c>
      <x:c r="N445" s="11" t="str">
        <x:f>IF(M445=0,"",IF(H445="HOME",SUMIFS('Istoric_Nativ'!$G$6:$G$405,'Istoric_Nativ'!$B$6:$B$405,E445,'Istoric_Nativ'!$C$6:$C$405,F445,'Istoric_Nativ'!$E$6:$E$405,G445,'Istoric_Nativ'!$D$6:$D$405,"&lt;"&amp;J445,'Istoric_Nativ'!$P$6:$P$405,1,'Istoric_Nativ'!$D$6:$D$405,"&gt;="&amp;L445),IF(H445="AWAY",SUMIFS('Istoric_Nativ'!$H$6:$H$405,'Istoric_Nativ'!$B$6:$B$405,E445,'Istoric_Nativ'!$C$6:$C$405,F445,'Istoric_Nativ'!$F$6:$F$405,G445,'Istoric_Nativ'!$D$6:$D$405,"&lt;"&amp;J445,'Istoric_Nativ'!$P$6:$P$405,1,'Istoric_Nativ'!$D$6:$D$405,"&gt;="&amp;L445),SUMIFS('Istoric_Nativ'!$G$6:$G$405,'Istoric_Nativ'!$B$6:$B$405,E445,'Istoric_Nativ'!$C$6:$C$405,F445,'Istoric_Nativ'!$E$6:$E$405,G445,'Istoric_Nativ'!$D$6:$D$405,"&lt;"&amp;J445,'Istoric_Nativ'!$P$6:$P$405,1,'Istoric_Nativ'!$D$6:$D$405,"&gt;="&amp;L445)+SUMIFS('Istoric_Nativ'!$H$6:$H$405,'Istoric_Nativ'!$B$6:$B$405,E445,'Istoric_Nativ'!$C$6:$C$405,F445,'Istoric_Nativ'!$F$6:$F$405,G445,'Istoric_Nativ'!$D$6:$D$405,"&lt;"&amp;J445,'Istoric_Nativ'!$P$6:$P$405,1,'Istoric_Nativ'!$D$6:$D$405,"&gt;="&amp;L445)))/M445)</x:f>
      </x:c>
      <x:c r="O445" s="11" t="str">
        <x:f>IF(M445=0,"",IF(H445="HOME",SUMIFS('Istoric_Nativ'!$H$6:$H$405,'Istoric_Nativ'!$B$6:$B$405,E445,'Istoric_Nativ'!$C$6:$C$405,F445,'Istoric_Nativ'!$E$6:$E$405,G445,'Istoric_Nativ'!$D$6:$D$405,"&lt;"&amp;J445,'Istoric_Nativ'!$P$6:$P$405,1,'Istoric_Nativ'!$D$6:$D$405,"&gt;="&amp;L445),IF(H445="AWAY",SUMIFS('Istoric_Nativ'!$G$6:$G$405,'Istoric_Nativ'!$B$6:$B$405,E445,'Istoric_Nativ'!$C$6:$C$405,F445,'Istoric_Nativ'!$F$6:$F$405,G445,'Istoric_Nativ'!$D$6:$D$405,"&lt;"&amp;J445,'Istoric_Nativ'!$P$6:$P$405,1,'Istoric_Nativ'!$D$6:$D$405,"&gt;="&amp;L445),SUMIFS('Istoric_Nativ'!$H$6:$H$405,'Istoric_Nativ'!$B$6:$B$405,E445,'Istoric_Nativ'!$C$6:$C$405,F445,'Istoric_Nativ'!$E$6:$E$405,G445,'Istoric_Nativ'!$D$6:$D$405,"&lt;"&amp;J445,'Istoric_Nativ'!$P$6:$P$405,1,'Istoric_Nativ'!$D$6:$D$405,"&gt;="&amp;L445)+SUMIFS('Istoric_Nativ'!$G$6:$G$405,'Istoric_Nativ'!$B$6:$B$405,E445,'Istoric_Nativ'!$C$6:$C$405,F445,'Istoric_Nativ'!$F$6:$F$405,G445,'Istoric_Nativ'!$D$6:$D$405,"&lt;"&amp;J445,'Istoric_Nativ'!$P$6:$P$405,1,'Istoric_Nativ'!$D$6:$D$405,"&gt;="&amp;L445)))/M445)</x:f>
      </x:c>
      <x:c r="P445" s="2" t="n">
        <x:f>'Config_v6'!$B$8</x:f>
        <x:v>5</x:v>
      </x:c>
      <x:c r="Q445" s="2" t="n">
        <x:f>IF(OR(B445="",F445=""),0,IFERROR(MATCH(E445&amp;"|"&amp;F445,SourceTable[Source_Key],0),0))</x:f>
        <x:v>0</x:v>
      </x:c>
      <x:c r="R445" s="2" t="str">
        <x:f>IF(B445="","",IF(F445="","UNUSED",IF(Q445=0,"NOT CHECKED",IF(COUNTIF(SourceTable[Source_Key],E445&amp;"|"&amp;F445)&lt;&gt;1,"SOURCE CONFLICT",IF(NOT(OR(INDEX(SourceTable[Status],MAX(1,Q445))="IMPORTED",INDEX(SourceTable[Status],MAX(1,Q445))="PARTIAL",INDEX(SourceTable[Status],MAX(1,Q445))="SOURCE CONFLICT")),"ACCESS BLOCKED",IF(OR(INDEX(SourceTable[Coverage],Q445)&lt;&gt;"FULL SEASON EXPORT",INDEX(SourceTable[URL],Q445)="",INDEX(SourceTable[SHA256],Q445)=""),"EVIDENCE INCOMPLETE",IF(AND('Input_Meci'!H42="LIVE",INDEX(SourceTable[Retrieved_UTC],Q445)&gt;'Input_Meci'!G42),"POST CUTOFF","CLOSED")))))))</x:f>
      </x:c>
      <x:c r="S445" s="2" t="n">
        <x:f>IF(OR(B445="",F445=""),0,COUNTIFS('Istoric_Nativ'!$B$6:$B$405,E445,'Istoric_Nativ'!$C$6:$C$405,F445,'Istoric_Nativ'!$E$6:$E$405,G445,'Istoric_Nativ'!$D$6:$D$405,"&lt;"&amp;J445,'Istoric_Nativ'!$O$6:$O$405,"INVALID")+COUNTIFS('Istoric_Nativ'!$B$6:$B$405,E445,'Istoric_Nativ'!$C$6:$C$405,F445,'Istoric_Nativ'!$E$6:$E$405,G445,'Istoric_Nativ'!$O$6:$O$405,"INVALID",'Istoric_Nativ'!$D$6:$D$405,"*")+COUNTIFS('Istoric_Nativ'!$B$6:$B$405,E445,'Istoric_Nativ'!$C$6:$C$405,F445,'Istoric_Nativ'!$E$6:$E$405,G445,'Istoric_Nativ'!$D$6:$D$405,"&lt;"&amp;J445,'Istoric_Nativ'!$O$6:$O$405,"SOURCE CONFLICT")+COUNTIFS('Istoric_Nativ'!$B$6:$B$405,E445,'Istoric_Nativ'!$C$6:$C$405,F445,'Istoric_Nativ'!$F$6:$F$405,G445,'Istoric_Nativ'!$D$6:$D$405,"&lt;"&amp;J445,'Istoric_Nativ'!$O$6:$O$405,"INVALID")+COUNTIFS('Istoric_Nativ'!$B$6:$B$405,E445,'Istoric_Nativ'!$C$6:$C$405,F445,'Istoric_Nativ'!$F$6:$F$405,G445,'Istoric_Nativ'!$O$6:$O$405,"INVALID",'Istoric_Nativ'!$D$6:$D$405,"*")+COUNTIFS('Istoric_Nativ'!$B$6:$B$405,E445,'Istoric_Nativ'!$C$6:$C$405,F445,'Istoric_Nativ'!$F$6:$F$405,G445,'Istoric_Nativ'!$D$6:$D$405,"&lt;"&amp;J445,'Istoric_Nativ'!$O$6:$O$405,"SOURCE CONFLICT"))</x:f>
        <x:v>0</x:v>
      </x:c>
      <x:c r="T445" s="2" t="str">
        <x:f>IF(B445="","",IF(R445&lt;&gt;"CLOSED",R445,IF(S445&gt;0,"NATIVE INPUT ISSUE",IF(M445=0,"NO HISTORY",IF(M445&lt;P445,"SMALL SAMPLE","DERIVED")))))</x:f>
      </x:c>
      <x:c r="U445" s="2" t="str">
        <x:f>IF(B445="","","NativeTable; "&amp;E445&amp;"; "&amp;F445&amp;"; "&amp;G445&amp;"; "&amp;H445&amp;"; before "&amp;TEXT(J445,"yyyy-mm-dd")&amp;IF(I445="RECENT","; from "&amp;TEXT(L445,"yyyy-mm-dd"),""))</x:f>
      </x:c>
    </x:row>
    <x:row r="446" ht="21" customHeight="1">
      <x:c r="A446" s="2" t="n">
        <x:v>37</x:v>
      </x:c>
      <x:c r="B446" s="2" t="str">
        <x:f>IF('Input_Meci'!A42="","",'Input_Meci'!A42)</x:f>
      </x:c>
      <x:c r="C446" s="2" t="str">
        <x:v>H</x:v>
      </x:c>
      <x:c r="D446" s="2" t="str">
        <x:v>PRIOR</x:v>
      </x:c>
      <x:c r="E446" s="2" t="str">
        <x:f>IF(B446="","",'Input_Meci'!B42)</x:f>
      </x:c>
      <x:c r="F446" s="2" t="str">
        <x:f>IF(B446="","",IF('Input_Meci'!K42="","",'Input_Meci'!K42))</x:f>
      </x:c>
      <x:c r="G446" s="2" t="str">
        <x:f>IF(B446="","",'Input_Meci'!D42)</x:f>
      </x:c>
      <x:c r="H446" s="2" t="str">
        <x:v>ANY</x:v>
      </x:c>
      <x:c r="I446" s="2" t="str">
        <x:v>RECENT</x:v>
      </x:c>
      <x:c r="J446" s="9" t="n">
        <x:f>IF(AND(B446&lt;&gt;"",ISNUMBER('Input_Meci'!G42)),INT('Input_Meci'!G42),0)</x:f>
        <x:v>0</x:v>
      </x:c>
      <x:c r="K446" s="2" t="n">
        <x:f>IF(OR(B446="",F446=""),0,IF(H446="HOME",COUNTIFS('Istoric_Nativ'!$B$6:$B$405,E446,'Istoric_Nativ'!$C$6:$C$405,F446,'Istoric_Nativ'!$E$6:$E$405,G446,'Istoric_Nativ'!$D$6:$D$405,"&lt;"&amp;J446,'Istoric_Nativ'!$P$6:$P$405,1),IF(H446="AWAY",COUNTIFS('Istoric_Nativ'!$B$6:$B$405,E446,'Istoric_Nativ'!$C$6:$C$405,F446,'Istoric_Nativ'!$F$6:$F$405,G446,'Istoric_Nativ'!$D$6:$D$405,"&lt;"&amp;J446,'Istoric_Nativ'!$P$6:$P$405,1),COUNTIFS('Istoric_Nativ'!$B$6:$B$405,E446,'Istoric_Nativ'!$C$6:$C$405,F446,'Istoric_Nativ'!$E$6:$E$405,G446,'Istoric_Nativ'!$D$6:$D$405,"&lt;"&amp;J446,'Istoric_Nativ'!$P$6:$P$405,1)+COUNTIFS('Istoric_Nativ'!$B$6:$B$405,E446,'Istoric_Nativ'!$C$6:$C$405,F446,'Istoric_Nativ'!$F$6:$F$405,G446,'Istoric_Nativ'!$D$6:$D$405,"&lt;"&amp;J446,'Istoric_Nativ'!$P$6:$P$405,1))))</x:f>
        <x:v>0</x:v>
      </x:c>
      <x:c r="L446" s="17" t="n">
        <x:f>IF(AND(B446&lt;&gt;"",I446="RECENT",K446&gt;0),LARGE(_xlfn._xlws.FILTER('Istoric_Nativ'!$D$6:$D$405,('Istoric_Nativ'!$B$6:$B$405=E446)*('Istoric_Nativ'!$C$6:$C$405=F446)*('Istoric_Nativ'!$P$6:$P$405=1)*('Istoric_Nativ'!$D$6:$D$405&lt;J446)*((('Istoric_Nativ'!$E$6:$E$405=G446)+('Istoric_Nativ'!$F$6:$F$405=G446))&gt;0)),MIN('Config_v6'!$B$54,K446)),0)</x:f>
        <x:v>0</x:v>
      </x:c>
      <x:c r="M446" s="2" t="n">
        <x:f>IF(OR(B446="",F446=""),0,IF(H446="HOME",COUNTIFS('Istoric_Nativ'!$B$6:$B$405,E446,'Istoric_Nativ'!$C$6:$C$405,F446,'Istoric_Nativ'!$E$6:$E$405,G446,'Istoric_Nativ'!$D$6:$D$405,"&lt;"&amp;J446,'Istoric_Nativ'!$P$6:$P$405,1,'Istoric_Nativ'!$D$6:$D$405,"&gt;="&amp;L446),IF(H446="AWAY",COUNTIFS('Istoric_Nativ'!$B$6:$B$405,E446,'Istoric_Nativ'!$C$6:$C$405,F446,'Istoric_Nativ'!$F$6:$F$405,G446,'Istoric_Nativ'!$D$6:$D$405,"&lt;"&amp;J446,'Istoric_Nativ'!$P$6:$P$405,1,'Istoric_Nativ'!$D$6:$D$405,"&gt;="&amp;L446),COUNTIFS('Istoric_Nativ'!$B$6:$B$405,E446,'Istoric_Nativ'!$C$6:$C$405,F446,'Istoric_Nativ'!$E$6:$E$405,G446,'Istoric_Nativ'!$D$6:$D$405,"&lt;"&amp;J446,'Istoric_Nativ'!$P$6:$P$405,1,'Istoric_Nativ'!$D$6:$D$405,"&gt;="&amp;L446)+COUNTIFS('Istoric_Nativ'!$B$6:$B$405,E446,'Istoric_Nativ'!$C$6:$C$405,F446,'Istoric_Nativ'!$F$6:$F$405,G446,'Istoric_Nativ'!$D$6:$D$405,"&lt;"&amp;J446,'Istoric_Nativ'!$P$6:$P$405,1,'Istoric_Nativ'!$D$6:$D$405,"&gt;="&amp;L446))))</x:f>
        <x:v>0</x:v>
      </x:c>
      <x:c r="N446" s="11" t="str">
        <x:f>IF(M446=0,"",IF(H446="HOME",SUMIFS('Istoric_Nativ'!$G$6:$G$405,'Istoric_Nativ'!$B$6:$B$405,E446,'Istoric_Nativ'!$C$6:$C$405,F446,'Istoric_Nativ'!$E$6:$E$405,G446,'Istoric_Nativ'!$D$6:$D$405,"&lt;"&amp;J446,'Istoric_Nativ'!$P$6:$P$405,1,'Istoric_Nativ'!$D$6:$D$405,"&gt;="&amp;L446),IF(H446="AWAY",SUMIFS('Istoric_Nativ'!$H$6:$H$405,'Istoric_Nativ'!$B$6:$B$405,E446,'Istoric_Nativ'!$C$6:$C$405,F446,'Istoric_Nativ'!$F$6:$F$405,G446,'Istoric_Nativ'!$D$6:$D$405,"&lt;"&amp;J446,'Istoric_Nativ'!$P$6:$P$405,1,'Istoric_Nativ'!$D$6:$D$405,"&gt;="&amp;L446),SUMIFS('Istoric_Nativ'!$G$6:$G$405,'Istoric_Nativ'!$B$6:$B$405,E446,'Istoric_Nativ'!$C$6:$C$405,F446,'Istoric_Nativ'!$E$6:$E$405,G446,'Istoric_Nativ'!$D$6:$D$405,"&lt;"&amp;J446,'Istoric_Nativ'!$P$6:$P$405,1,'Istoric_Nativ'!$D$6:$D$405,"&gt;="&amp;L446)+SUMIFS('Istoric_Nativ'!$H$6:$H$405,'Istoric_Nativ'!$B$6:$B$405,E446,'Istoric_Nativ'!$C$6:$C$405,F446,'Istoric_Nativ'!$F$6:$F$405,G446,'Istoric_Nativ'!$D$6:$D$405,"&lt;"&amp;J446,'Istoric_Nativ'!$P$6:$P$405,1,'Istoric_Nativ'!$D$6:$D$405,"&gt;="&amp;L446)))/M446)</x:f>
      </x:c>
      <x:c r="O446" s="11" t="str">
        <x:f>IF(M446=0,"",IF(H446="HOME",SUMIFS('Istoric_Nativ'!$H$6:$H$405,'Istoric_Nativ'!$B$6:$B$405,E446,'Istoric_Nativ'!$C$6:$C$405,F446,'Istoric_Nativ'!$E$6:$E$405,G446,'Istoric_Nativ'!$D$6:$D$405,"&lt;"&amp;J446,'Istoric_Nativ'!$P$6:$P$405,1,'Istoric_Nativ'!$D$6:$D$405,"&gt;="&amp;L446),IF(H446="AWAY",SUMIFS('Istoric_Nativ'!$G$6:$G$405,'Istoric_Nativ'!$B$6:$B$405,E446,'Istoric_Nativ'!$C$6:$C$405,F446,'Istoric_Nativ'!$F$6:$F$405,G446,'Istoric_Nativ'!$D$6:$D$405,"&lt;"&amp;J446,'Istoric_Nativ'!$P$6:$P$405,1,'Istoric_Nativ'!$D$6:$D$405,"&gt;="&amp;L446),SUMIFS('Istoric_Nativ'!$H$6:$H$405,'Istoric_Nativ'!$B$6:$B$405,E446,'Istoric_Nativ'!$C$6:$C$405,F446,'Istoric_Nativ'!$E$6:$E$405,G446,'Istoric_Nativ'!$D$6:$D$405,"&lt;"&amp;J446,'Istoric_Nativ'!$P$6:$P$405,1,'Istoric_Nativ'!$D$6:$D$405,"&gt;="&amp;L446)+SUMIFS('Istoric_Nativ'!$G$6:$G$405,'Istoric_Nativ'!$B$6:$B$405,E446,'Istoric_Nativ'!$C$6:$C$405,F446,'Istoric_Nativ'!$F$6:$F$405,G446,'Istoric_Nativ'!$D$6:$D$405,"&lt;"&amp;J446,'Istoric_Nativ'!$P$6:$P$405,1,'Istoric_Nativ'!$D$6:$D$405,"&gt;="&amp;L446)))/M446)</x:f>
      </x:c>
      <x:c r="P446" s="2" t="n">
        <x:f>'Config_v6'!$B$9</x:f>
        <x:v>3</x:v>
      </x:c>
      <x:c r="Q446" s="2" t="n">
        <x:f>IF(OR(B446="",F446=""),0,IFERROR(MATCH(E446&amp;"|"&amp;F446,SourceTable[Source_Key],0),0))</x:f>
        <x:v>0</x:v>
      </x:c>
      <x:c r="R446" s="2" t="str">
        <x:f>IF(B446="","",IF(F446="","UNUSED",IF(Q446=0,"NOT CHECKED",IF(COUNTIF(SourceTable[Source_Key],E446&amp;"|"&amp;F446)&lt;&gt;1,"SOURCE CONFLICT",IF(NOT(OR(INDEX(SourceTable[Status],MAX(1,Q446))="IMPORTED",INDEX(SourceTable[Status],MAX(1,Q446))="PARTIAL",INDEX(SourceTable[Status],MAX(1,Q446))="SOURCE CONFLICT")),"ACCESS BLOCKED",IF(OR(INDEX(SourceTable[Coverage],Q446)&lt;&gt;"FULL SEASON EXPORT",INDEX(SourceTable[URL],Q446)="",INDEX(SourceTable[SHA256],Q446)=""),"EVIDENCE INCOMPLETE",IF(AND('Input_Meci'!H42="LIVE",INDEX(SourceTable[Retrieved_UTC],Q446)&gt;'Input_Meci'!G42),"POST CUTOFF","CLOSED")))))))</x:f>
      </x:c>
      <x:c r="S446" s="2" t="n">
        <x:f>IF(OR(B446="",F446=""),0,COUNTIFS('Istoric_Nativ'!$B$6:$B$405,E446,'Istoric_Nativ'!$C$6:$C$405,F446,'Istoric_Nativ'!$E$6:$E$405,G446,'Istoric_Nativ'!$D$6:$D$405,"&lt;"&amp;J446,'Istoric_Nativ'!$O$6:$O$405,"INVALID")+COUNTIFS('Istoric_Nativ'!$B$6:$B$405,E446,'Istoric_Nativ'!$C$6:$C$405,F446,'Istoric_Nativ'!$E$6:$E$405,G446,'Istoric_Nativ'!$O$6:$O$405,"INVALID",'Istoric_Nativ'!$D$6:$D$405,"*")+COUNTIFS('Istoric_Nativ'!$B$6:$B$405,E446,'Istoric_Nativ'!$C$6:$C$405,F446,'Istoric_Nativ'!$E$6:$E$405,G446,'Istoric_Nativ'!$D$6:$D$405,"&lt;"&amp;J446,'Istoric_Nativ'!$O$6:$O$405,"SOURCE CONFLICT")+COUNTIFS('Istoric_Nativ'!$B$6:$B$405,E446,'Istoric_Nativ'!$C$6:$C$405,F446,'Istoric_Nativ'!$F$6:$F$405,G446,'Istoric_Nativ'!$D$6:$D$405,"&lt;"&amp;J446,'Istoric_Nativ'!$O$6:$O$405,"INVALID")+COUNTIFS('Istoric_Nativ'!$B$6:$B$405,E446,'Istoric_Nativ'!$C$6:$C$405,F446,'Istoric_Nativ'!$F$6:$F$405,G446,'Istoric_Nativ'!$O$6:$O$405,"INVALID",'Istoric_Nativ'!$D$6:$D$405,"*")+COUNTIFS('Istoric_Nativ'!$B$6:$B$405,E446,'Istoric_Nativ'!$C$6:$C$405,F446,'Istoric_Nativ'!$F$6:$F$405,G446,'Istoric_Nativ'!$D$6:$D$405,"&lt;"&amp;J446,'Istoric_Nativ'!$O$6:$O$405,"SOURCE CONFLICT"))</x:f>
        <x:v>0</x:v>
      </x:c>
      <x:c r="T446" s="2" t="str">
        <x:f>IF(B446="","",IF(R446&lt;&gt;"CLOSED",R446,IF(S446&gt;0,"NATIVE INPUT ISSUE",IF(M446=0,"NO HISTORY",IF(M446&lt;P446,"SMALL SAMPLE","DERIVED")))))</x:f>
      </x:c>
      <x:c r="U446" s="2" t="str">
        <x:f>IF(B446="","","NativeTable; "&amp;E446&amp;"; "&amp;F446&amp;"; "&amp;G446&amp;"; "&amp;H446&amp;"; before "&amp;TEXT(J446,"yyyy-mm-dd")&amp;IF(I446="RECENT","; from "&amp;TEXT(L446,"yyyy-mm-dd"),""))</x:f>
      </x:c>
    </x:row>
    <x:row r="447" ht="21" customHeight="1">
      <x:c r="A447" s="2" t="n">
        <x:v>37</x:v>
      </x:c>
      <x:c r="B447" s="2" t="str">
        <x:f>IF('Input_Meci'!A42="","",'Input_Meci'!A42)</x:f>
      </x:c>
      <x:c r="C447" s="2" t="str">
        <x:v>A</x:v>
      </x:c>
      <x:c r="D447" s="2" t="str">
        <x:v>PRIOR</x:v>
      </x:c>
      <x:c r="E447" s="2" t="str">
        <x:f>IF(B447="","",'Input_Meci'!B42)</x:f>
      </x:c>
      <x:c r="F447" s="2" t="str">
        <x:f>IF(B447="","",IF('Input_Meci'!K42="","",'Input_Meci'!K42))</x:f>
      </x:c>
      <x:c r="G447" s="2" t="str">
        <x:f>IF(B447="","",'Input_Meci'!E42)</x:f>
      </x:c>
      <x:c r="H447" s="2" t="str">
        <x:v>ANY</x:v>
      </x:c>
      <x:c r="I447" s="2" t="str">
        <x:v>SEASON</x:v>
      </x:c>
      <x:c r="J447" s="9" t="n">
        <x:f>IF(AND(B447&lt;&gt;"",ISNUMBER('Input_Meci'!G42)),INT('Input_Meci'!G42),0)</x:f>
        <x:v>0</x:v>
      </x:c>
      <x:c r="K447" s="2" t="n">
        <x:f>IF(OR(B447="",F447=""),0,IF(H447="HOME",COUNTIFS('Istoric_Nativ'!$B$6:$B$405,E447,'Istoric_Nativ'!$C$6:$C$405,F447,'Istoric_Nativ'!$E$6:$E$405,G447,'Istoric_Nativ'!$D$6:$D$405,"&lt;"&amp;J447,'Istoric_Nativ'!$P$6:$P$405,1),IF(H447="AWAY",COUNTIFS('Istoric_Nativ'!$B$6:$B$405,E447,'Istoric_Nativ'!$C$6:$C$405,F447,'Istoric_Nativ'!$F$6:$F$405,G447,'Istoric_Nativ'!$D$6:$D$405,"&lt;"&amp;J447,'Istoric_Nativ'!$P$6:$P$405,1),COUNTIFS('Istoric_Nativ'!$B$6:$B$405,E447,'Istoric_Nativ'!$C$6:$C$405,F447,'Istoric_Nativ'!$E$6:$E$405,G447,'Istoric_Nativ'!$D$6:$D$405,"&lt;"&amp;J447,'Istoric_Nativ'!$P$6:$P$405,1)+COUNTIFS('Istoric_Nativ'!$B$6:$B$405,E447,'Istoric_Nativ'!$C$6:$C$405,F447,'Istoric_Nativ'!$F$6:$F$405,G447,'Istoric_Nativ'!$D$6:$D$405,"&lt;"&amp;J447,'Istoric_Nativ'!$P$6:$P$405,1))))</x:f>
        <x:v>0</x:v>
      </x:c>
      <x:c r="L447" s="17" t="n">
        <x:f>IF(AND(B447&lt;&gt;"",I447="RECENT",K447&gt;0),LARGE(_xlfn._xlws.FILTER('Istoric_Nativ'!$D$6:$D$405,('Istoric_Nativ'!$B$6:$B$405=E447)*('Istoric_Nativ'!$C$6:$C$405=F447)*('Istoric_Nativ'!$P$6:$P$405=1)*('Istoric_Nativ'!$D$6:$D$405&lt;J447)*((('Istoric_Nativ'!$E$6:$E$405=G447)+('Istoric_Nativ'!$F$6:$F$405=G447))&gt;0)),MIN('Config_v6'!$B$54,K447)),0)</x:f>
        <x:v>0</x:v>
      </x:c>
      <x:c r="M447" s="2" t="n">
        <x:f>IF(OR(B447="",F447=""),0,IF(H447="HOME",COUNTIFS('Istoric_Nativ'!$B$6:$B$405,E447,'Istoric_Nativ'!$C$6:$C$405,F447,'Istoric_Nativ'!$E$6:$E$405,G447,'Istoric_Nativ'!$D$6:$D$405,"&lt;"&amp;J447,'Istoric_Nativ'!$P$6:$P$405,1,'Istoric_Nativ'!$D$6:$D$405,"&gt;="&amp;L447),IF(H447="AWAY",COUNTIFS('Istoric_Nativ'!$B$6:$B$405,E447,'Istoric_Nativ'!$C$6:$C$405,F447,'Istoric_Nativ'!$F$6:$F$405,G447,'Istoric_Nativ'!$D$6:$D$405,"&lt;"&amp;J447,'Istoric_Nativ'!$P$6:$P$405,1,'Istoric_Nativ'!$D$6:$D$405,"&gt;="&amp;L447),COUNTIFS('Istoric_Nativ'!$B$6:$B$405,E447,'Istoric_Nativ'!$C$6:$C$405,F447,'Istoric_Nativ'!$E$6:$E$405,G447,'Istoric_Nativ'!$D$6:$D$405,"&lt;"&amp;J447,'Istoric_Nativ'!$P$6:$P$405,1,'Istoric_Nativ'!$D$6:$D$405,"&gt;="&amp;L447)+COUNTIFS('Istoric_Nativ'!$B$6:$B$405,E447,'Istoric_Nativ'!$C$6:$C$405,F447,'Istoric_Nativ'!$F$6:$F$405,G447,'Istoric_Nativ'!$D$6:$D$405,"&lt;"&amp;J447,'Istoric_Nativ'!$P$6:$P$405,1,'Istoric_Nativ'!$D$6:$D$405,"&gt;="&amp;L447))))</x:f>
        <x:v>0</x:v>
      </x:c>
      <x:c r="N447" s="11" t="str">
        <x:f>IF(M447=0,"",IF(H447="HOME",SUMIFS('Istoric_Nativ'!$G$6:$G$405,'Istoric_Nativ'!$B$6:$B$405,E447,'Istoric_Nativ'!$C$6:$C$405,F447,'Istoric_Nativ'!$E$6:$E$405,G447,'Istoric_Nativ'!$D$6:$D$405,"&lt;"&amp;J447,'Istoric_Nativ'!$P$6:$P$405,1,'Istoric_Nativ'!$D$6:$D$405,"&gt;="&amp;L447),IF(H447="AWAY",SUMIFS('Istoric_Nativ'!$H$6:$H$405,'Istoric_Nativ'!$B$6:$B$405,E447,'Istoric_Nativ'!$C$6:$C$405,F447,'Istoric_Nativ'!$F$6:$F$405,G447,'Istoric_Nativ'!$D$6:$D$405,"&lt;"&amp;J447,'Istoric_Nativ'!$P$6:$P$405,1,'Istoric_Nativ'!$D$6:$D$405,"&gt;="&amp;L447),SUMIFS('Istoric_Nativ'!$G$6:$G$405,'Istoric_Nativ'!$B$6:$B$405,E447,'Istoric_Nativ'!$C$6:$C$405,F447,'Istoric_Nativ'!$E$6:$E$405,G447,'Istoric_Nativ'!$D$6:$D$405,"&lt;"&amp;J447,'Istoric_Nativ'!$P$6:$P$405,1,'Istoric_Nativ'!$D$6:$D$405,"&gt;="&amp;L447)+SUMIFS('Istoric_Nativ'!$H$6:$H$405,'Istoric_Nativ'!$B$6:$B$405,E447,'Istoric_Nativ'!$C$6:$C$405,F447,'Istoric_Nativ'!$F$6:$F$405,G447,'Istoric_Nativ'!$D$6:$D$405,"&lt;"&amp;J447,'Istoric_Nativ'!$P$6:$P$405,1,'Istoric_Nativ'!$D$6:$D$405,"&gt;="&amp;L447)))/M447)</x:f>
      </x:c>
      <x:c r="O447" s="11" t="str">
        <x:f>IF(M447=0,"",IF(H447="HOME",SUMIFS('Istoric_Nativ'!$H$6:$H$405,'Istoric_Nativ'!$B$6:$B$405,E447,'Istoric_Nativ'!$C$6:$C$405,F447,'Istoric_Nativ'!$E$6:$E$405,G447,'Istoric_Nativ'!$D$6:$D$405,"&lt;"&amp;J447,'Istoric_Nativ'!$P$6:$P$405,1,'Istoric_Nativ'!$D$6:$D$405,"&gt;="&amp;L447),IF(H447="AWAY",SUMIFS('Istoric_Nativ'!$G$6:$G$405,'Istoric_Nativ'!$B$6:$B$405,E447,'Istoric_Nativ'!$C$6:$C$405,F447,'Istoric_Nativ'!$F$6:$F$405,G447,'Istoric_Nativ'!$D$6:$D$405,"&lt;"&amp;J447,'Istoric_Nativ'!$P$6:$P$405,1,'Istoric_Nativ'!$D$6:$D$405,"&gt;="&amp;L447),SUMIFS('Istoric_Nativ'!$H$6:$H$405,'Istoric_Nativ'!$B$6:$B$405,E447,'Istoric_Nativ'!$C$6:$C$405,F447,'Istoric_Nativ'!$E$6:$E$405,G447,'Istoric_Nativ'!$D$6:$D$405,"&lt;"&amp;J447,'Istoric_Nativ'!$P$6:$P$405,1,'Istoric_Nativ'!$D$6:$D$405,"&gt;="&amp;L447)+SUMIFS('Istoric_Nativ'!$G$6:$G$405,'Istoric_Nativ'!$B$6:$B$405,E447,'Istoric_Nativ'!$C$6:$C$405,F447,'Istoric_Nativ'!$F$6:$F$405,G447,'Istoric_Nativ'!$D$6:$D$405,"&lt;"&amp;J447,'Istoric_Nativ'!$P$6:$P$405,1,'Istoric_Nativ'!$D$6:$D$405,"&gt;="&amp;L447)))/M447)</x:f>
      </x:c>
      <x:c r="P447" s="2" t="n">
        <x:f>'Config_v6'!$B$7</x:f>
        <x:v>10</x:v>
      </x:c>
      <x:c r="Q447" s="2" t="n">
        <x:f>IF(OR(B447="",F447=""),0,IFERROR(MATCH(E447&amp;"|"&amp;F447,SourceTable[Source_Key],0),0))</x:f>
        <x:v>0</x:v>
      </x:c>
      <x:c r="R447" s="2" t="str">
        <x:f>IF(B447="","",IF(F447="","UNUSED",IF(Q447=0,"NOT CHECKED",IF(COUNTIF(SourceTable[Source_Key],E447&amp;"|"&amp;F447)&lt;&gt;1,"SOURCE CONFLICT",IF(NOT(OR(INDEX(SourceTable[Status],MAX(1,Q447))="IMPORTED",INDEX(SourceTable[Status],MAX(1,Q447))="PARTIAL",INDEX(SourceTable[Status],MAX(1,Q447))="SOURCE CONFLICT")),"ACCESS BLOCKED",IF(OR(INDEX(SourceTable[Coverage],Q447)&lt;&gt;"FULL SEASON EXPORT",INDEX(SourceTable[URL],Q447)="",INDEX(SourceTable[SHA256],Q447)=""),"EVIDENCE INCOMPLETE",IF(AND('Input_Meci'!H42="LIVE",INDEX(SourceTable[Retrieved_UTC],Q447)&gt;'Input_Meci'!G42),"POST CUTOFF","CLOSED")))))))</x:f>
      </x:c>
      <x:c r="S447" s="2" t="n">
        <x:f>IF(OR(B447="",F447=""),0,COUNTIFS('Istoric_Nativ'!$B$6:$B$405,E447,'Istoric_Nativ'!$C$6:$C$405,F447,'Istoric_Nativ'!$E$6:$E$405,G447,'Istoric_Nativ'!$D$6:$D$405,"&lt;"&amp;J447,'Istoric_Nativ'!$O$6:$O$405,"INVALID")+COUNTIFS('Istoric_Nativ'!$B$6:$B$405,E447,'Istoric_Nativ'!$C$6:$C$405,F447,'Istoric_Nativ'!$E$6:$E$405,G447,'Istoric_Nativ'!$O$6:$O$405,"INVALID",'Istoric_Nativ'!$D$6:$D$405,"*")+COUNTIFS('Istoric_Nativ'!$B$6:$B$405,E447,'Istoric_Nativ'!$C$6:$C$405,F447,'Istoric_Nativ'!$E$6:$E$405,G447,'Istoric_Nativ'!$D$6:$D$405,"&lt;"&amp;J447,'Istoric_Nativ'!$O$6:$O$405,"SOURCE CONFLICT")+COUNTIFS('Istoric_Nativ'!$B$6:$B$405,E447,'Istoric_Nativ'!$C$6:$C$405,F447,'Istoric_Nativ'!$F$6:$F$405,G447,'Istoric_Nativ'!$D$6:$D$405,"&lt;"&amp;J447,'Istoric_Nativ'!$O$6:$O$405,"INVALID")+COUNTIFS('Istoric_Nativ'!$B$6:$B$405,E447,'Istoric_Nativ'!$C$6:$C$405,F447,'Istoric_Nativ'!$F$6:$F$405,G447,'Istoric_Nativ'!$O$6:$O$405,"INVALID",'Istoric_Nativ'!$D$6:$D$405,"*")+COUNTIFS('Istoric_Nativ'!$B$6:$B$405,E447,'Istoric_Nativ'!$C$6:$C$405,F447,'Istoric_Nativ'!$F$6:$F$405,G447,'Istoric_Nativ'!$D$6:$D$405,"&lt;"&amp;J447,'Istoric_Nativ'!$O$6:$O$405,"SOURCE CONFLICT"))</x:f>
        <x:v>0</x:v>
      </x:c>
      <x:c r="T447" s="2" t="str">
        <x:f>IF(B447="","",IF(R447&lt;&gt;"CLOSED",R447,IF(S447&gt;0,"NATIVE INPUT ISSUE",IF(M447=0,"NO HISTORY",IF(M447&lt;P447,"SMALL SAMPLE","DERIVED")))))</x:f>
      </x:c>
      <x:c r="U447" s="2" t="str">
        <x:f>IF(B447="","","NativeTable; "&amp;E447&amp;"; "&amp;F447&amp;"; "&amp;G447&amp;"; "&amp;H447&amp;"; before "&amp;TEXT(J447,"yyyy-mm-dd")&amp;IF(I447="RECENT","; from "&amp;TEXT(L447,"yyyy-mm-dd"),""))</x:f>
      </x:c>
    </x:row>
    <x:row r="448" ht="21" customHeight="1">
      <x:c r="A448" s="2" t="n">
        <x:v>37</x:v>
      </x:c>
      <x:c r="B448" s="2" t="str">
        <x:f>IF('Input_Meci'!A42="","",'Input_Meci'!A42)</x:f>
      </x:c>
      <x:c r="C448" s="2" t="str">
        <x:v>A</x:v>
      </x:c>
      <x:c r="D448" s="2" t="str">
        <x:v>PRIOR</x:v>
      </x:c>
      <x:c r="E448" s="2" t="str">
        <x:f>IF(B448="","",'Input_Meci'!B42)</x:f>
      </x:c>
      <x:c r="F448" s="2" t="str">
        <x:f>IF(B448="","",IF('Input_Meci'!K42="","",'Input_Meci'!K42))</x:f>
      </x:c>
      <x:c r="G448" s="2" t="str">
        <x:f>IF(B448="","",'Input_Meci'!E42)</x:f>
      </x:c>
      <x:c r="H448" s="2" t="str">
        <x:v>AWAY</x:v>
      </x:c>
      <x:c r="I448" s="2" t="str">
        <x:v>HA</x:v>
      </x:c>
      <x:c r="J448" s="9" t="n">
        <x:f>IF(AND(B448&lt;&gt;"",ISNUMBER('Input_Meci'!G42)),INT('Input_Meci'!G42),0)</x:f>
        <x:v>0</x:v>
      </x:c>
      <x:c r="K448" s="2" t="n">
        <x:f>IF(OR(B448="",F448=""),0,IF(H448="HOME",COUNTIFS('Istoric_Nativ'!$B$6:$B$405,E448,'Istoric_Nativ'!$C$6:$C$405,F448,'Istoric_Nativ'!$E$6:$E$405,G448,'Istoric_Nativ'!$D$6:$D$405,"&lt;"&amp;J448,'Istoric_Nativ'!$P$6:$P$405,1),IF(H448="AWAY",COUNTIFS('Istoric_Nativ'!$B$6:$B$405,E448,'Istoric_Nativ'!$C$6:$C$405,F448,'Istoric_Nativ'!$F$6:$F$405,G448,'Istoric_Nativ'!$D$6:$D$405,"&lt;"&amp;J448,'Istoric_Nativ'!$P$6:$P$405,1),COUNTIFS('Istoric_Nativ'!$B$6:$B$405,E448,'Istoric_Nativ'!$C$6:$C$405,F448,'Istoric_Nativ'!$E$6:$E$405,G448,'Istoric_Nativ'!$D$6:$D$405,"&lt;"&amp;J448,'Istoric_Nativ'!$P$6:$P$405,1)+COUNTIFS('Istoric_Nativ'!$B$6:$B$405,E448,'Istoric_Nativ'!$C$6:$C$405,F448,'Istoric_Nativ'!$F$6:$F$405,G448,'Istoric_Nativ'!$D$6:$D$405,"&lt;"&amp;J448,'Istoric_Nativ'!$P$6:$P$405,1))))</x:f>
        <x:v>0</x:v>
      </x:c>
      <x:c r="L448" s="17" t="n">
        <x:f>IF(AND(B448&lt;&gt;"",I448="RECENT",K448&gt;0),LARGE(_xlfn._xlws.FILTER('Istoric_Nativ'!$D$6:$D$405,('Istoric_Nativ'!$B$6:$B$405=E448)*('Istoric_Nativ'!$C$6:$C$405=F448)*('Istoric_Nativ'!$P$6:$P$405=1)*('Istoric_Nativ'!$D$6:$D$405&lt;J448)*((('Istoric_Nativ'!$E$6:$E$405=G448)+('Istoric_Nativ'!$F$6:$F$405=G448))&gt;0)),MIN('Config_v6'!$B$54,K448)),0)</x:f>
        <x:v>0</x:v>
      </x:c>
      <x:c r="M448" s="2" t="n">
        <x:f>IF(OR(B448="",F448=""),0,IF(H448="HOME",COUNTIFS('Istoric_Nativ'!$B$6:$B$405,E448,'Istoric_Nativ'!$C$6:$C$405,F448,'Istoric_Nativ'!$E$6:$E$405,G448,'Istoric_Nativ'!$D$6:$D$405,"&lt;"&amp;J448,'Istoric_Nativ'!$P$6:$P$405,1,'Istoric_Nativ'!$D$6:$D$405,"&gt;="&amp;L448),IF(H448="AWAY",COUNTIFS('Istoric_Nativ'!$B$6:$B$405,E448,'Istoric_Nativ'!$C$6:$C$405,F448,'Istoric_Nativ'!$F$6:$F$405,G448,'Istoric_Nativ'!$D$6:$D$405,"&lt;"&amp;J448,'Istoric_Nativ'!$P$6:$P$405,1,'Istoric_Nativ'!$D$6:$D$405,"&gt;="&amp;L448),COUNTIFS('Istoric_Nativ'!$B$6:$B$405,E448,'Istoric_Nativ'!$C$6:$C$405,F448,'Istoric_Nativ'!$E$6:$E$405,G448,'Istoric_Nativ'!$D$6:$D$405,"&lt;"&amp;J448,'Istoric_Nativ'!$P$6:$P$405,1,'Istoric_Nativ'!$D$6:$D$405,"&gt;="&amp;L448)+COUNTIFS('Istoric_Nativ'!$B$6:$B$405,E448,'Istoric_Nativ'!$C$6:$C$405,F448,'Istoric_Nativ'!$F$6:$F$405,G448,'Istoric_Nativ'!$D$6:$D$405,"&lt;"&amp;J448,'Istoric_Nativ'!$P$6:$P$405,1,'Istoric_Nativ'!$D$6:$D$405,"&gt;="&amp;L448))))</x:f>
        <x:v>0</x:v>
      </x:c>
      <x:c r="N448" s="11" t="str">
        <x:f>IF(M448=0,"",IF(H448="HOME",SUMIFS('Istoric_Nativ'!$G$6:$G$405,'Istoric_Nativ'!$B$6:$B$405,E448,'Istoric_Nativ'!$C$6:$C$405,F448,'Istoric_Nativ'!$E$6:$E$405,G448,'Istoric_Nativ'!$D$6:$D$405,"&lt;"&amp;J448,'Istoric_Nativ'!$P$6:$P$405,1,'Istoric_Nativ'!$D$6:$D$405,"&gt;="&amp;L448),IF(H448="AWAY",SUMIFS('Istoric_Nativ'!$H$6:$H$405,'Istoric_Nativ'!$B$6:$B$405,E448,'Istoric_Nativ'!$C$6:$C$405,F448,'Istoric_Nativ'!$F$6:$F$405,G448,'Istoric_Nativ'!$D$6:$D$405,"&lt;"&amp;J448,'Istoric_Nativ'!$P$6:$P$405,1,'Istoric_Nativ'!$D$6:$D$405,"&gt;="&amp;L448),SUMIFS('Istoric_Nativ'!$G$6:$G$405,'Istoric_Nativ'!$B$6:$B$405,E448,'Istoric_Nativ'!$C$6:$C$405,F448,'Istoric_Nativ'!$E$6:$E$405,G448,'Istoric_Nativ'!$D$6:$D$405,"&lt;"&amp;J448,'Istoric_Nativ'!$P$6:$P$405,1,'Istoric_Nativ'!$D$6:$D$405,"&gt;="&amp;L448)+SUMIFS('Istoric_Nativ'!$H$6:$H$405,'Istoric_Nativ'!$B$6:$B$405,E448,'Istoric_Nativ'!$C$6:$C$405,F448,'Istoric_Nativ'!$F$6:$F$405,G448,'Istoric_Nativ'!$D$6:$D$405,"&lt;"&amp;J448,'Istoric_Nativ'!$P$6:$P$405,1,'Istoric_Nativ'!$D$6:$D$405,"&gt;="&amp;L448)))/M448)</x:f>
      </x:c>
      <x:c r="O448" s="11" t="str">
        <x:f>IF(M448=0,"",IF(H448="HOME",SUMIFS('Istoric_Nativ'!$H$6:$H$405,'Istoric_Nativ'!$B$6:$B$405,E448,'Istoric_Nativ'!$C$6:$C$405,F448,'Istoric_Nativ'!$E$6:$E$405,G448,'Istoric_Nativ'!$D$6:$D$405,"&lt;"&amp;J448,'Istoric_Nativ'!$P$6:$P$405,1,'Istoric_Nativ'!$D$6:$D$405,"&gt;="&amp;L448),IF(H448="AWAY",SUMIFS('Istoric_Nativ'!$G$6:$G$405,'Istoric_Nativ'!$B$6:$B$405,E448,'Istoric_Nativ'!$C$6:$C$405,F448,'Istoric_Nativ'!$F$6:$F$405,G448,'Istoric_Nativ'!$D$6:$D$405,"&lt;"&amp;J448,'Istoric_Nativ'!$P$6:$P$405,1,'Istoric_Nativ'!$D$6:$D$405,"&gt;="&amp;L448),SUMIFS('Istoric_Nativ'!$H$6:$H$405,'Istoric_Nativ'!$B$6:$B$405,E448,'Istoric_Nativ'!$C$6:$C$405,F448,'Istoric_Nativ'!$E$6:$E$405,G448,'Istoric_Nativ'!$D$6:$D$405,"&lt;"&amp;J448,'Istoric_Nativ'!$P$6:$P$405,1,'Istoric_Nativ'!$D$6:$D$405,"&gt;="&amp;L448)+SUMIFS('Istoric_Nativ'!$G$6:$G$405,'Istoric_Nativ'!$B$6:$B$405,E448,'Istoric_Nativ'!$C$6:$C$405,F448,'Istoric_Nativ'!$F$6:$F$405,G448,'Istoric_Nativ'!$D$6:$D$405,"&lt;"&amp;J448,'Istoric_Nativ'!$P$6:$P$405,1,'Istoric_Nativ'!$D$6:$D$405,"&gt;="&amp;L448)))/M448)</x:f>
      </x:c>
      <x:c r="P448" s="2" t="n">
        <x:f>'Config_v6'!$B$8</x:f>
        <x:v>5</x:v>
      </x:c>
      <x:c r="Q448" s="2" t="n">
        <x:f>IF(OR(B448="",F448=""),0,IFERROR(MATCH(E448&amp;"|"&amp;F448,SourceTable[Source_Key],0),0))</x:f>
        <x:v>0</x:v>
      </x:c>
      <x:c r="R448" s="2" t="str">
        <x:f>IF(B448="","",IF(F448="","UNUSED",IF(Q448=0,"NOT CHECKED",IF(COUNTIF(SourceTable[Source_Key],E448&amp;"|"&amp;F448)&lt;&gt;1,"SOURCE CONFLICT",IF(NOT(OR(INDEX(SourceTable[Status],MAX(1,Q448))="IMPORTED",INDEX(SourceTable[Status],MAX(1,Q448))="PARTIAL",INDEX(SourceTable[Status],MAX(1,Q448))="SOURCE CONFLICT")),"ACCESS BLOCKED",IF(OR(INDEX(SourceTable[Coverage],Q448)&lt;&gt;"FULL SEASON EXPORT",INDEX(SourceTable[URL],Q448)="",INDEX(SourceTable[SHA256],Q448)=""),"EVIDENCE INCOMPLETE",IF(AND('Input_Meci'!H42="LIVE",INDEX(SourceTable[Retrieved_UTC],Q448)&gt;'Input_Meci'!G42),"POST CUTOFF","CLOSED")))))))</x:f>
      </x:c>
      <x:c r="S448" s="2" t="n">
        <x:f>IF(OR(B448="",F448=""),0,COUNTIFS('Istoric_Nativ'!$B$6:$B$405,E448,'Istoric_Nativ'!$C$6:$C$405,F448,'Istoric_Nativ'!$E$6:$E$405,G448,'Istoric_Nativ'!$D$6:$D$405,"&lt;"&amp;J448,'Istoric_Nativ'!$O$6:$O$405,"INVALID")+COUNTIFS('Istoric_Nativ'!$B$6:$B$405,E448,'Istoric_Nativ'!$C$6:$C$405,F448,'Istoric_Nativ'!$E$6:$E$405,G448,'Istoric_Nativ'!$O$6:$O$405,"INVALID",'Istoric_Nativ'!$D$6:$D$405,"*")+COUNTIFS('Istoric_Nativ'!$B$6:$B$405,E448,'Istoric_Nativ'!$C$6:$C$405,F448,'Istoric_Nativ'!$E$6:$E$405,G448,'Istoric_Nativ'!$D$6:$D$405,"&lt;"&amp;J448,'Istoric_Nativ'!$O$6:$O$405,"SOURCE CONFLICT")+COUNTIFS('Istoric_Nativ'!$B$6:$B$405,E448,'Istoric_Nativ'!$C$6:$C$405,F448,'Istoric_Nativ'!$F$6:$F$405,G448,'Istoric_Nativ'!$D$6:$D$405,"&lt;"&amp;J448,'Istoric_Nativ'!$O$6:$O$405,"INVALID")+COUNTIFS('Istoric_Nativ'!$B$6:$B$405,E448,'Istoric_Nativ'!$C$6:$C$405,F448,'Istoric_Nativ'!$F$6:$F$405,G448,'Istoric_Nativ'!$O$6:$O$405,"INVALID",'Istoric_Nativ'!$D$6:$D$405,"*")+COUNTIFS('Istoric_Nativ'!$B$6:$B$405,E448,'Istoric_Nativ'!$C$6:$C$405,F448,'Istoric_Nativ'!$F$6:$F$405,G448,'Istoric_Nativ'!$D$6:$D$405,"&lt;"&amp;J448,'Istoric_Nativ'!$O$6:$O$405,"SOURCE CONFLICT"))</x:f>
        <x:v>0</x:v>
      </x:c>
      <x:c r="T448" s="2" t="str">
        <x:f>IF(B448="","",IF(R448&lt;&gt;"CLOSED",R448,IF(S448&gt;0,"NATIVE INPUT ISSUE",IF(M448=0,"NO HISTORY",IF(M448&lt;P448,"SMALL SAMPLE","DERIVED")))))</x:f>
      </x:c>
      <x:c r="U448" s="2" t="str">
        <x:f>IF(B448="","","NativeTable; "&amp;E448&amp;"; "&amp;F448&amp;"; "&amp;G448&amp;"; "&amp;H448&amp;"; before "&amp;TEXT(J448,"yyyy-mm-dd")&amp;IF(I448="RECENT","; from "&amp;TEXT(L448,"yyyy-mm-dd"),""))</x:f>
      </x:c>
    </x:row>
    <x:row r="449" ht="21" customHeight="1">
      <x:c r="A449" s="2" t="n">
        <x:v>37</x:v>
      </x:c>
      <x:c r="B449" s="2" t="str">
        <x:f>IF('Input_Meci'!A42="","",'Input_Meci'!A42)</x:f>
      </x:c>
      <x:c r="C449" s="2" t="str">
        <x:v>A</x:v>
      </x:c>
      <x:c r="D449" s="2" t="str">
        <x:v>PRIOR</x:v>
      </x:c>
      <x:c r="E449" s="2" t="str">
        <x:f>IF(B449="","",'Input_Meci'!B42)</x:f>
      </x:c>
      <x:c r="F449" s="2" t="str">
        <x:f>IF(B449="","",IF('Input_Meci'!K42="","",'Input_Meci'!K42))</x:f>
      </x:c>
      <x:c r="G449" s="2" t="str">
        <x:f>IF(B449="","",'Input_Meci'!E42)</x:f>
      </x:c>
      <x:c r="H449" s="2" t="str">
        <x:v>ANY</x:v>
      </x:c>
      <x:c r="I449" s="2" t="str">
        <x:v>RECENT</x:v>
      </x:c>
      <x:c r="J449" s="9" t="n">
        <x:f>IF(AND(B449&lt;&gt;"",ISNUMBER('Input_Meci'!G42)),INT('Input_Meci'!G42),0)</x:f>
        <x:v>0</x:v>
      </x:c>
      <x:c r="K449" s="2" t="n">
        <x:f>IF(OR(B449="",F449=""),0,IF(H449="HOME",COUNTIFS('Istoric_Nativ'!$B$6:$B$405,E449,'Istoric_Nativ'!$C$6:$C$405,F449,'Istoric_Nativ'!$E$6:$E$405,G449,'Istoric_Nativ'!$D$6:$D$405,"&lt;"&amp;J449,'Istoric_Nativ'!$P$6:$P$405,1),IF(H449="AWAY",COUNTIFS('Istoric_Nativ'!$B$6:$B$405,E449,'Istoric_Nativ'!$C$6:$C$405,F449,'Istoric_Nativ'!$F$6:$F$405,G449,'Istoric_Nativ'!$D$6:$D$405,"&lt;"&amp;J449,'Istoric_Nativ'!$P$6:$P$405,1),COUNTIFS('Istoric_Nativ'!$B$6:$B$405,E449,'Istoric_Nativ'!$C$6:$C$405,F449,'Istoric_Nativ'!$E$6:$E$405,G449,'Istoric_Nativ'!$D$6:$D$405,"&lt;"&amp;J449,'Istoric_Nativ'!$P$6:$P$405,1)+COUNTIFS('Istoric_Nativ'!$B$6:$B$405,E449,'Istoric_Nativ'!$C$6:$C$405,F449,'Istoric_Nativ'!$F$6:$F$405,G449,'Istoric_Nativ'!$D$6:$D$405,"&lt;"&amp;J449,'Istoric_Nativ'!$P$6:$P$405,1))))</x:f>
        <x:v>0</x:v>
      </x:c>
      <x:c r="L449" s="17" t="n">
        <x:f>IF(AND(B449&lt;&gt;"",I449="RECENT",K449&gt;0),LARGE(_xlfn._xlws.FILTER('Istoric_Nativ'!$D$6:$D$405,('Istoric_Nativ'!$B$6:$B$405=E449)*('Istoric_Nativ'!$C$6:$C$405=F449)*('Istoric_Nativ'!$P$6:$P$405=1)*('Istoric_Nativ'!$D$6:$D$405&lt;J449)*((('Istoric_Nativ'!$E$6:$E$405=G449)+('Istoric_Nativ'!$F$6:$F$405=G449))&gt;0)),MIN('Config_v6'!$B$54,K449)),0)</x:f>
        <x:v>0</x:v>
      </x:c>
      <x:c r="M449" s="2" t="n">
        <x:f>IF(OR(B449="",F449=""),0,IF(H449="HOME",COUNTIFS('Istoric_Nativ'!$B$6:$B$405,E449,'Istoric_Nativ'!$C$6:$C$405,F449,'Istoric_Nativ'!$E$6:$E$405,G449,'Istoric_Nativ'!$D$6:$D$405,"&lt;"&amp;J449,'Istoric_Nativ'!$P$6:$P$405,1,'Istoric_Nativ'!$D$6:$D$405,"&gt;="&amp;L449),IF(H449="AWAY",COUNTIFS('Istoric_Nativ'!$B$6:$B$405,E449,'Istoric_Nativ'!$C$6:$C$405,F449,'Istoric_Nativ'!$F$6:$F$405,G449,'Istoric_Nativ'!$D$6:$D$405,"&lt;"&amp;J449,'Istoric_Nativ'!$P$6:$P$405,1,'Istoric_Nativ'!$D$6:$D$405,"&gt;="&amp;L449),COUNTIFS('Istoric_Nativ'!$B$6:$B$405,E449,'Istoric_Nativ'!$C$6:$C$405,F449,'Istoric_Nativ'!$E$6:$E$405,G449,'Istoric_Nativ'!$D$6:$D$405,"&lt;"&amp;J449,'Istoric_Nativ'!$P$6:$P$405,1,'Istoric_Nativ'!$D$6:$D$405,"&gt;="&amp;L449)+COUNTIFS('Istoric_Nativ'!$B$6:$B$405,E449,'Istoric_Nativ'!$C$6:$C$405,F449,'Istoric_Nativ'!$F$6:$F$405,G449,'Istoric_Nativ'!$D$6:$D$405,"&lt;"&amp;J449,'Istoric_Nativ'!$P$6:$P$405,1,'Istoric_Nativ'!$D$6:$D$405,"&gt;="&amp;L449))))</x:f>
        <x:v>0</x:v>
      </x:c>
      <x:c r="N449" s="11" t="str">
        <x:f>IF(M449=0,"",IF(H449="HOME",SUMIFS('Istoric_Nativ'!$G$6:$G$405,'Istoric_Nativ'!$B$6:$B$405,E449,'Istoric_Nativ'!$C$6:$C$405,F449,'Istoric_Nativ'!$E$6:$E$405,G449,'Istoric_Nativ'!$D$6:$D$405,"&lt;"&amp;J449,'Istoric_Nativ'!$P$6:$P$405,1,'Istoric_Nativ'!$D$6:$D$405,"&gt;="&amp;L449),IF(H449="AWAY",SUMIFS('Istoric_Nativ'!$H$6:$H$405,'Istoric_Nativ'!$B$6:$B$405,E449,'Istoric_Nativ'!$C$6:$C$405,F449,'Istoric_Nativ'!$F$6:$F$405,G449,'Istoric_Nativ'!$D$6:$D$405,"&lt;"&amp;J449,'Istoric_Nativ'!$P$6:$P$405,1,'Istoric_Nativ'!$D$6:$D$405,"&gt;="&amp;L449),SUMIFS('Istoric_Nativ'!$G$6:$G$405,'Istoric_Nativ'!$B$6:$B$405,E449,'Istoric_Nativ'!$C$6:$C$405,F449,'Istoric_Nativ'!$E$6:$E$405,G449,'Istoric_Nativ'!$D$6:$D$405,"&lt;"&amp;J449,'Istoric_Nativ'!$P$6:$P$405,1,'Istoric_Nativ'!$D$6:$D$405,"&gt;="&amp;L449)+SUMIFS('Istoric_Nativ'!$H$6:$H$405,'Istoric_Nativ'!$B$6:$B$405,E449,'Istoric_Nativ'!$C$6:$C$405,F449,'Istoric_Nativ'!$F$6:$F$405,G449,'Istoric_Nativ'!$D$6:$D$405,"&lt;"&amp;J449,'Istoric_Nativ'!$P$6:$P$405,1,'Istoric_Nativ'!$D$6:$D$405,"&gt;="&amp;L449)))/M449)</x:f>
      </x:c>
      <x:c r="O449" s="11" t="str">
        <x:f>IF(M449=0,"",IF(H449="HOME",SUMIFS('Istoric_Nativ'!$H$6:$H$405,'Istoric_Nativ'!$B$6:$B$405,E449,'Istoric_Nativ'!$C$6:$C$405,F449,'Istoric_Nativ'!$E$6:$E$405,G449,'Istoric_Nativ'!$D$6:$D$405,"&lt;"&amp;J449,'Istoric_Nativ'!$P$6:$P$405,1,'Istoric_Nativ'!$D$6:$D$405,"&gt;="&amp;L449),IF(H449="AWAY",SUMIFS('Istoric_Nativ'!$G$6:$G$405,'Istoric_Nativ'!$B$6:$B$405,E449,'Istoric_Nativ'!$C$6:$C$405,F449,'Istoric_Nativ'!$F$6:$F$405,G449,'Istoric_Nativ'!$D$6:$D$405,"&lt;"&amp;J449,'Istoric_Nativ'!$P$6:$P$405,1,'Istoric_Nativ'!$D$6:$D$405,"&gt;="&amp;L449),SUMIFS('Istoric_Nativ'!$H$6:$H$405,'Istoric_Nativ'!$B$6:$B$405,E449,'Istoric_Nativ'!$C$6:$C$405,F449,'Istoric_Nativ'!$E$6:$E$405,G449,'Istoric_Nativ'!$D$6:$D$405,"&lt;"&amp;J449,'Istoric_Nativ'!$P$6:$P$405,1,'Istoric_Nativ'!$D$6:$D$405,"&gt;="&amp;L449)+SUMIFS('Istoric_Nativ'!$G$6:$G$405,'Istoric_Nativ'!$B$6:$B$405,E449,'Istoric_Nativ'!$C$6:$C$405,F449,'Istoric_Nativ'!$F$6:$F$405,G449,'Istoric_Nativ'!$D$6:$D$405,"&lt;"&amp;J449,'Istoric_Nativ'!$P$6:$P$405,1,'Istoric_Nativ'!$D$6:$D$405,"&gt;="&amp;L449)))/M449)</x:f>
      </x:c>
      <x:c r="P449" s="2" t="n">
        <x:f>'Config_v6'!$B$9</x:f>
        <x:v>3</x:v>
      </x:c>
      <x:c r="Q449" s="2" t="n">
        <x:f>IF(OR(B449="",F449=""),0,IFERROR(MATCH(E449&amp;"|"&amp;F449,SourceTable[Source_Key],0),0))</x:f>
        <x:v>0</x:v>
      </x:c>
      <x:c r="R449" s="2" t="str">
        <x:f>IF(B449="","",IF(F449="","UNUSED",IF(Q449=0,"NOT CHECKED",IF(COUNTIF(SourceTable[Source_Key],E449&amp;"|"&amp;F449)&lt;&gt;1,"SOURCE CONFLICT",IF(NOT(OR(INDEX(SourceTable[Status],MAX(1,Q449))="IMPORTED",INDEX(SourceTable[Status],MAX(1,Q449))="PARTIAL",INDEX(SourceTable[Status],MAX(1,Q449))="SOURCE CONFLICT")),"ACCESS BLOCKED",IF(OR(INDEX(SourceTable[Coverage],Q449)&lt;&gt;"FULL SEASON EXPORT",INDEX(SourceTable[URL],Q449)="",INDEX(SourceTable[SHA256],Q449)=""),"EVIDENCE INCOMPLETE",IF(AND('Input_Meci'!H42="LIVE",INDEX(SourceTable[Retrieved_UTC],Q449)&gt;'Input_Meci'!G42),"POST CUTOFF","CLOSED")))))))</x:f>
      </x:c>
      <x:c r="S449" s="2" t="n">
        <x:f>IF(OR(B449="",F449=""),0,COUNTIFS('Istoric_Nativ'!$B$6:$B$405,E449,'Istoric_Nativ'!$C$6:$C$405,F449,'Istoric_Nativ'!$E$6:$E$405,G449,'Istoric_Nativ'!$D$6:$D$405,"&lt;"&amp;J449,'Istoric_Nativ'!$O$6:$O$405,"INVALID")+COUNTIFS('Istoric_Nativ'!$B$6:$B$405,E449,'Istoric_Nativ'!$C$6:$C$405,F449,'Istoric_Nativ'!$E$6:$E$405,G449,'Istoric_Nativ'!$O$6:$O$405,"INVALID",'Istoric_Nativ'!$D$6:$D$405,"*")+COUNTIFS('Istoric_Nativ'!$B$6:$B$405,E449,'Istoric_Nativ'!$C$6:$C$405,F449,'Istoric_Nativ'!$E$6:$E$405,G449,'Istoric_Nativ'!$D$6:$D$405,"&lt;"&amp;J449,'Istoric_Nativ'!$O$6:$O$405,"SOURCE CONFLICT")+COUNTIFS('Istoric_Nativ'!$B$6:$B$405,E449,'Istoric_Nativ'!$C$6:$C$405,F449,'Istoric_Nativ'!$F$6:$F$405,G449,'Istoric_Nativ'!$D$6:$D$405,"&lt;"&amp;J449,'Istoric_Nativ'!$O$6:$O$405,"INVALID")+COUNTIFS('Istoric_Nativ'!$B$6:$B$405,E449,'Istoric_Nativ'!$C$6:$C$405,F449,'Istoric_Nativ'!$F$6:$F$405,G449,'Istoric_Nativ'!$O$6:$O$405,"INVALID",'Istoric_Nativ'!$D$6:$D$405,"*")+COUNTIFS('Istoric_Nativ'!$B$6:$B$405,E449,'Istoric_Nativ'!$C$6:$C$405,F449,'Istoric_Nativ'!$F$6:$F$405,G449,'Istoric_Nativ'!$D$6:$D$405,"&lt;"&amp;J449,'Istoric_Nativ'!$O$6:$O$405,"SOURCE CONFLICT"))</x:f>
        <x:v>0</x:v>
      </x:c>
      <x:c r="T449" s="2" t="str">
        <x:f>IF(B449="","",IF(R449&lt;&gt;"CLOSED",R449,IF(S449&gt;0,"NATIVE INPUT ISSUE",IF(M449=0,"NO HISTORY",IF(M449&lt;P449,"SMALL SAMPLE","DERIVED")))))</x:f>
      </x:c>
      <x:c r="U449" s="2" t="str">
        <x:f>IF(B449="","","NativeTable; "&amp;E449&amp;"; "&amp;F449&amp;"; "&amp;G449&amp;"; "&amp;H449&amp;"; before "&amp;TEXT(J449,"yyyy-mm-dd")&amp;IF(I449="RECENT","; from "&amp;TEXT(L449,"yyyy-mm-dd"),""))</x:f>
      </x:c>
    </x:row>
    <x:row r="450" ht="21" customHeight="1">
      <x:c r="A450" s="2" t="n">
        <x:v>38</x:v>
      </x:c>
      <x:c r="B450" s="2" t="str">
        <x:f>IF('Input_Meci'!A43="","",'Input_Meci'!A43)</x:f>
      </x:c>
      <x:c r="C450" s="2" t="str">
        <x:v>H</x:v>
      </x:c>
      <x:c r="D450" s="2" t="str">
        <x:v>CURRENT</x:v>
      </x:c>
      <x:c r="E450" s="2" t="str">
        <x:f>IF(B450="","",'Input_Meci'!B43)</x:f>
      </x:c>
      <x:c r="F450" s="2" t="str">
        <x:f>IF(B450="","",IF('Input_Meci'!C43="","",'Input_Meci'!C43))</x:f>
      </x:c>
      <x:c r="G450" s="2" t="str">
        <x:f>IF(B450="","",'Input_Meci'!D43)</x:f>
      </x:c>
      <x:c r="H450" s="2" t="str">
        <x:v>ANY</x:v>
      </x:c>
      <x:c r="I450" s="2" t="str">
        <x:v>SEASON</x:v>
      </x:c>
      <x:c r="J450" s="9" t="n">
        <x:f>IF(AND(B450&lt;&gt;"",ISNUMBER('Input_Meci'!G43)),INT('Input_Meci'!G43),0)</x:f>
        <x:v>0</x:v>
      </x:c>
      <x:c r="K450" s="2" t="n">
        <x:f>IF(OR(B450="",F450=""),0,IF(H450="HOME",COUNTIFS('Istoric_Nativ'!$B$6:$B$405,E450,'Istoric_Nativ'!$C$6:$C$405,F450,'Istoric_Nativ'!$E$6:$E$405,G450,'Istoric_Nativ'!$D$6:$D$405,"&lt;"&amp;J450,'Istoric_Nativ'!$P$6:$P$405,1),IF(H450="AWAY",COUNTIFS('Istoric_Nativ'!$B$6:$B$405,E450,'Istoric_Nativ'!$C$6:$C$405,F450,'Istoric_Nativ'!$F$6:$F$405,G450,'Istoric_Nativ'!$D$6:$D$405,"&lt;"&amp;J450,'Istoric_Nativ'!$P$6:$P$405,1),COUNTIFS('Istoric_Nativ'!$B$6:$B$405,E450,'Istoric_Nativ'!$C$6:$C$405,F450,'Istoric_Nativ'!$E$6:$E$405,G450,'Istoric_Nativ'!$D$6:$D$405,"&lt;"&amp;J450,'Istoric_Nativ'!$P$6:$P$405,1)+COUNTIFS('Istoric_Nativ'!$B$6:$B$405,E450,'Istoric_Nativ'!$C$6:$C$405,F450,'Istoric_Nativ'!$F$6:$F$405,G450,'Istoric_Nativ'!$D$6:$D$405,"&lt;"&amp;J450,'Istoric_Nativ'!$P$6:$P$405,1))))</x:f>
        <x:v>0</x:v>
      </x:c>
      <x:c r="L450" s="17" t="n">
        <x:f>IF(AND(B450&lt;&gt;"",I450="RECENT",K450&gt;0),LARGE(_xlfn._xlws.FILTER('Istoric_Nativ'!$D$6:$D$405,('Istoric_Nativ'!$B$6:$B$405=E450)*('Istoric_Nativ'!$C$6:$C$405=F450)*('Istoric_Nativ'!$P$6:$P$405=1)*('Istoric_Nativ'!$D$6:$D$405&lt;J450)*((('Istoric_Nativ'!$E$6:$E$405=G450)+('Istoric_Nativ'!$F$6:$F$405=G450))&gt;0)),MIN('Config_v6'!$B$54,K450)),0)</x:f>
        <x:v>0</x:v>
      </x:c>
      <x:c r="M450" s="2" t="n">
        <x:f>IF(OR(B450="",F450=""),0,IF(H450="HOME",COUNTIFS('Istoric_Nativ'!$B$6:$B$405,E450,'Istoric_Nativ'!$C$6:$C$405,F450,'Istoric_Nativ'!$E$6:$E$405,G450,'Istoric_Nativ'!$D$6:$D$405,"&lt;"&amp;J450,'Istoric_Nativ'!$P$6:$P$405,1,'Istoric_Nativ'!$D$6:$D$405,"&gt;="&amp;L450),IF(H450="AWAY",COUNTIFS('Istoric_Nativ'!$B$6:$B$405,E450,'Istoric_Nativ'!$C$6:$C$405,F450,'Istoric_Nativ'!$F$6:$F$405,G450,'Istoric_Nativ'!$D$6:$D$405,"&lt;"&amp;J450,'Istoric_Nativ'!$P$6:$P$405,1,'Istoric_Nativ'!$D$6:$D$405,"&gt;="&amp;L450),COUNTIFS('Istoric_Nativ'!$B$6:$B$405,E450,'Istoric_Nativ'!$C$6:$C$405,F450,'Istoric_Nativ'!$E$6:$E$405,G450,'Istoric_Nativ'!$D$6:$D$405,"&lt;"&amp;J450,'Istoric_Nativ'!$P$6:$P$405,1,'Istoric_Nativ'!$D$6:$D$405,"&gt;="&amp;L450)+COUNTIFS('Istoric_Nativ'!$B$6:$B$405,E450,'Istoric_Nativ'!$C$6:$C$405,F450,'Istoric_Nativ'!$F$6:$F$405,G450,'Istoric_Nativ'!$D$6:$D$405,"&lt;"&amp;J450,'Istoric_Nativ'!$P$6:$P$405,1,'Istoric_Nativ'!$D$6:$D$405,"&gt;="&amp;L450))))</x:f>
        <x:v>0</x:v>
      </x:c>
      <x:c r="N450" s="11" t="str">
        <x:f>IF(M450=0,"",IF(H450="HOME",SUMIFS('Istoric_Nativ'!$G$6:$G$405,'Istoric_Nativ'!$B$6:$B$405,E450,'Istoric_Nativ'!$C$6:$C$405,F450,'Istoric_Nativ'!$E$6:$E$405,G450,'Istoric_Nativ'!$D$6:$D$405,"&lt;"&amp;J450,'Istoric_Nativ'!$P$6:$P$405,1,'Istoric_Nativ'!$D$6:$D$405,"&gt;="&amp;L450),IF(H450="AWAY",SUMIFS('Istoric_Nativ'!$H$6:$H$405,'Istoric_Nativ'!$B$6:$B$405,E450,'Istoric_Nativ'!$C$6:$C$405,F450,'Istoric_Nativ'!$F$6:$F$405,G450,'Istoric_Nativ'!$D$6:$D$405,"&lt;"&amp;J450,'Istoric_Nativ'!$P$6:$P$405,1,'Istoric_Nativ'!$D$6:$D$405,"&gt;="&amp;L450),SUMIFS('Istoric_Nativ'!$G$6:$G$405,'Istoric_Nativ'!$B$6:$B$405,E450,'Istoric_Nativ'!$C$6:$C$405,F450,'Istoric_Nativ'!$E$6:$E$405,G450,'Istoric_Nativ'!$D$6:$D$405,"&lt;"&amp;J450,'Istoric_Nativ'!$P$6:$P$405,1,'Istoric_Nativ'!$D$6:$D$405,"&gt;="&amp;L450)+SUMIFS('Istoric_Nativ'!$H$6:$H$405,'Istoric_Nativ'!$B$6:$B$405,E450,'Istoric_Nativ'!$C$6:$C$405,F450,'Istoric_Nativ'!$F$6:$F$405,G450,'Istoric_Nativ'!$D$6:$D$405,"&lt;"&amp;J450,'Istoric_Nativ'!$P$6:$P$405,1,'Istoric_Nativ'!$D$6:$D$405,"&gt;="&amp;L450)))/M450)</x:f>
      </x:c>
      <x:c r="O450" s="11" t="str">
        <x:f>IF(M450=0,"",IF(H450="HOME",SUMIFS('Istoric_Nativ'!$H$6:$H$405,'Istoric_Nativ'!$B$6:$B$405,E450,'Istoric_Nativ'!$C$6:$C$405,F450,'Istoric_Nativ'!$E$6:$E$405,G450,'Istoric_Nativ'!$D$6:$D$405,"&lt;"&amp;J450,'Istoric_Nativ'!$P$6:$P$405,1,'Istoric_Nativ'!$D$6:$D$405,"&gt;="&amp;L450),IF(H450="AWAY",SUMIFS('Istoric_Nativ'!$G$6:$G$405,'Istoric_Nativ'!$B$6:$B$405,E450,'Istoric_Nativ'!$C$6:$C$405,F450,'Istoric_Nativ'!$F$6:$F$405,G450,'Istoric_Nativ'!$D$6:$D$405,"&lt;"&amp;J450,'Istoric_Nativ'!$P$6:$P$405,1,'Istoric_Nativ'!$D$6:$D$405,"&gt;="&amp;L450),SUMIFS('Istoric_Nativ'!$H$6:$H$405,'Istoric_Nativ'!$B$6:$B$405,E450,'Istoric_Nativ'!$C$6:$C$405,F450,'Istoric_Nativ'!$E$6:$E$405,G450,'Istoric_Nativ'!$D$6:$D$405,"&lt;"&amp;J450,'Istoric_Nativ'!$P$6:$P$405,1,'Istoric_Nativ'!$D$6:$D$405,"&gt;="&amp;L450)+SUMIFS('Istoric_Nativ'!$G$6:$G$405,'Istoric_Nativ'!$B$6:$B$405,E450,'Istoric_Nativ'!$C$6:$C$405,F450,'Istoric_Nativ'!$F$6:$F$405,G450,'Istoric_Nativ'!$D$6:$D$405,"&lt;"&amp;J450,'Istoric_Nativ'!$P$6:$P$405,1,'Istoric_Nativ'!$D$6:$D$405,"&gt;="&amp;L450)))/M450)</x:f>
      </x:c>
      <x:c r="P450" s="2" t="n">
        <x:f>'Config_v6'!$B$7</x:f>
        <x:v>10</x:v>
      </x:c>
      <x:c r="Q450" s="2" t="n">
        <x:f>IF(OR(B450="",F450=""),0,IFERROR(MATCH(E450&amp;"|"&amp;F450,SourceTable[Source_Key],0),0))</x:f>
        <x:v>0</x:v>
      </x:c>
      <x:c r="R450" s="2" t="str">
        <x:f>IF(B450="","",IF(F450="","UNUSED",IF(Q450=0,"NOT CHECKED",IF(COUNTIF(SourceTable[Source_Key],E450&amp;"|"&amp;F450)&lt;&gt;1,"SOURCE CONFLICT",IF(NOT(OR(INDEX(SourceTable[Status],MAX(1,Q450))="IMPORTED",INDEX(SourceTable[Status],MAX(1,Q450))="PARTIAL",INDEX(SourceTable[Status],MAX(1,Q450))="SOURCE CONFLICT")),"ACCESS BLOCKED",IF(OR(INDEX(SourceTable[Coverage],Q450)&lt;&gt;"FULL SEASON EXPORT",INDEX(SourceTable[URL],Q450)="",INDEX(SourceTable[SHA256],Q450)=""),"EVIDENCE INCOMPLETE",IF(AND('Input_Meci'!H43="LIVE",INDEX(SourceTable[Retrieved_UTC],Q450)&gt;'Input_Meci'!G43),"POST CUTOFF","CLOSED")))))))</x:f>
      </x:c>
      <x:c r="S450" s="2" t="n">
        <x:f>IF(OR(B450="",F450=""),0,COUNTIFS('Istoric_Nativ'!$B$6:$B$405,E450,'Istoric_Nativ'!$C$6:$C$405,F450,'Istoric_Nativ'!$E$6:$E$405,G450,'Istoric_Nativ'!$D$6:$D$405,"&lt;"&amp;J450,'Istoric_Nativ'!$O$6:$O$405,"INVALID")+COUNTIFS('Istoric_Nativ'!$B$6:$B$405,E450,'Istoric_Nativ'!$C$6:$C$405,F450,'Istoric_Nativ'!$E$6:$E$405,G450,'Istoric_Nativ'!$O$6:$O$405,"INVALID",'Istoric_Nativ'!$D$6:$D$405,"*")+COUNTIFS('Istoric_Nativ'!$B$6:$B$405,E450,'Istoric_Nativ'!$C$6:$C$405,F450,'Istoric_Nativ'!$E$6:$E$405,G450,'Istoric_Nativ'!$D$6:$D$405,"&lt;"&amp;J450,'Istoric_Nativ'!$O$6:$O$405,"SOURCE CONFLICT")+COUNTIFS('Istoric_Nativ'!$B$6:$B$405,E450,'Istoric_Nativ'!$C$6:$C$405,F450,'Istoric_Nativ'!$F$6:$F$405,G450,'Istoric_Nativ'!$D$6:$D$405,"&lt;"&amp;J450,'Istoric_Nativ'!$O$6:$O$405,"INVALID")+COUNTIFS('Istoric_Nativ'!$B$6:$B$405,E450,'Istoric_Nativ'!$C$6:$C$405,F450,'Istoric_Nativ'!$F$6:$F$405,G450,'Istoric_Nativ'!$O$6:$O$405,"INVALID",'Istoric_Nativ'!$D$6:$D$405,"*")+COUNTIFS('Istoric_Nativ'!$B$6:$B$405,E450,'Istoric_Nativ'!$C$6:$C$405,F450,'Istoric_Nativ'!$F$6:$F$405,G450,'Istoric_Nativ'!$D$6:$D$405,"&lt;"&amp;J450,'Istoric_Nativ'!$O$6:$O$405,"SOURCE CONFLICT"))</x:f>
        <x:v>0</x:v>
      </x:c>
      <x:c r="T450" s="2" t="str">
        <x:f>IF(B450="","",IF(R450&lt;&gt;"CLOSED",R450,IF(S450&gt;0,"NATIVE INPUT ISSUE",IF(M450=0,"NO HISTORY",IF(M450&lt;P450,"SMALL SAMPLE","DERIVED")))))</x:f>
      </x:c>
      <x:c r="U450" s="2" t="str">
        <x:f>IF(B450="","","NativeTable; "&amp;E450&amp;"; "&amp;F450&amp;"; "&amp;G450&amp;"; "&amp;H450&amp;"; before "&amp;TEXT(J450,"yyyy-mm-dd")&amp;IF(I450="RECENT","; from "&amp;TEXT(L450,"yyyy-mm-dd"),""))</x:f>
      </x:c>
    </x:row>
    <x:row r="451" ht="21" customHeight="1">
      <x:c r="A451" s="2" t="n">
        <x:v>38</x:v>
      </x:c>
      <x:c r="B451" s="2" t="str">
        <x:f>IF('Input_Meci'!A43="","",'Input_Meci'!A43)</x:f>
      </x:c>
      <x:c r="C451" s="2" t="str">
        <x:v>H</x:v>
      </x:c>
      <x:c r="D451" s="2" t="str">
        <x:v>CURRENT</x:v>
      </x:c>
      <x:c r="E451" s="2" t="str">
        <x:f>IF(B451="","",'Input_Meci'!B43)</x:f>
      </x:c>
      <x:c r="F451" s="2" t="str">
        <x:f>IF(B451="","",IF('Input_Meci'!C43="","",'Input_Meci'!C43))</x:f>
      </x:c>
      <x:c r="G451" s="2" t="str">
        <x:f>IF(B451="","",'Input_Meci'!D43)</x:f>
      </x:c>
      <x:c r="H451" s="2" t="str">
        <x:v>HOME</x:v>
      </x:c>
      <x:c r="I451" s="2" t="str">
        <x:v>HA</x:v>
      </x:c>
      <x:c r="J451" s="9" t="n">
        <x:f>IF(AND(B451&lt;&gt;"",ISNUMBER('Input_Meci'!G43)),INT('Input_Meci'!G43),0)</x:f>
        <x:v>0</x:v>
      </x:c>
      <x:c r="K451" s="2" t="n">
        <x:f>IF(OR(B451="",F451=""),0,IF(H451="HOME",COUNTIFS('Istoric_Nativ'!$B$6:$B$405,E451,'Istoric_Nativ'!$C$6:$C$405,F451,'Istoric_Nativ'!$E$6:$E$405,G451,'Istoric_Nativ'!$D$6:$D$405,"&lt;"&amp;J451,'Istoric_Nativ'!$P$6:$P$405,1),IF(H451="AWAY",COUNTIFS('Istoric_Nativ'!$B$6:$B$405,E451,'Istoric_Nativ'!$C$6:$C$405,F451,'Istoric_Nativ'!$F$6:$F$405,G451,'Istoric_Nativ'!$D$6:$D$405,"&lt;"&amp;J451,'Istoric_Nativ'!$P$6:$P$405,1),COUNTIFS('Istoric_Nativ'!$B$6:$B$405,E451,'Istoric_Nativ'!$C$6:$C$405,F451,'Istoric_Nativ'!$E$6:$E$405,G451,'Istoric_Nativ'!$D$6:$D$405,"&lt;"&amp;J451,'Istoric_Nativ'!$P$6:$P$405,1)+COUNTIFS('Istoric_Nativ'!$B$6:$B$405,E451,'Istoric_Nativ'!$C$6:$C$405,F451,'Istoric_Nativ'!$F$6:$F$405,G451,'Istoric_Nativ'!$D$6:$D$405,"&lt;"&amp;J451,'Istoric_Nativ'!$P$6:$P$405,1))))</x:f>
        <x:v>0</x:v>
      </x:c>
      <x:c r="L451" s="17" t="n">
        <x:f>IF(AND(B451&lt;&gt;"",I451="RECENT",K451&gt;0),LARGE(_xlfn._xlws.FILTER('Istoric_Nativ'!$D$6:$D$405,('Istoric_Nativ'!$B$6:$B$405=E451)*('Istoric_Nativ'!$C$6:$C$405=F451)*('Istoric_Nativ'!$P$6:$P$405=1)*('Istoric_Nativ'!$D$6:$D$405&lt;J451)*((('Istoric_Nativ'!$E$6:$E$405=G451)+('Istoric_Nativ'!$F$6:$F$405=G451))&gt;0)),MIN('Config_v6'!$B$54,K451)),0)</x:f>
        <x:v>0</x:v>
      </x:c>
      <x:c r="M451" s="2" t="n">
        <x:f>IF(OR(B451="",F451=""),0,IF(H451="HOME",COUNTIFS('Istoric_Nativ'!$B$6:$B$405,E451,'Istoric_Nativ'!$C$6:$C$405,F451,'Istoric_Nativ'!$E$6:$E$405,G451,'Istoric_Nativ'!$D$6:$D$405,"&lt;"&amp;J451,'Istoric_Nativ'!$P$6:$P$405,1,'Istoric_Nativ'!$D$6:$D$405,"&gt;="&amp;L451),IF(H451="AWAY",COUNTIFS('Istoric_Nativ'!$B$6:$B$405,E451,'Istoric_Nativ'!$C$6:$C$405,F451,'Istoric_Nativ'!$F$6:$F$405,G451,'Istoric_Nativ'!$D$6:$D$405,"&lt;"&amp;J451,'Istoric_Nativ'!$P$6:$P$405,1,'Istoric_Nativ'!$D$6:$D$405,"&gt;="&amp;L451),COUNTIFS('Istoric_Nativ'!$B$6:$B$405,E451,'Istoric_Nativ'!$C$6:$C$405,F451,'Istoric_Nativ'!$E$6:$E$405,G451,'Istoric_Nativ'!$D$6:$D$405,"&lt;"&amp;J451,'Istoric_Nativ'!$P$6:$P$405,1,'Istoric_Nativ'!$D$6:$D$405,"&gt;="&amp;L451)+COUNTIFS('Istoric_Nativ'!$B$6:$B$405,E451,'Istoric_Nativ'!$C$6:$C$405,F451,'Istoric_Nativ'!$F$6:$F$405,G451,'Istoric_Nativ'!$D$6:$D$405,"&lt;"&amp;J451,'Istoric_Nativ'!$P$6:$P$405,1,'Istoric_Nativ'!$D$6:$D$405,"&gt;="&amp;L451))))</x:f>
        <x:v>0</x:v>
      </x:c>
      <x:c r="N451" s="11" t="str">
        <x:f>IF(M451=0,"",IF(H451="HOME",SUMIFS('Istoric_Nativ'!$G$6:$G$405,'Istoric_Nativ'!$B$6:$B$405,E451,'Istoric_Nativ'!$C$6:$C$405,F451,'Istoric_Nativ'!$E$6:$E$405,G451,'Istoric_Nativ'!$D$6:$D$405,"&lt;"&amp;J451,'Istoric_Nativ'!$P$6:$P$405,1,'Istoric_Nativ'!$D$6:$D$405,"&gt;="&amp;L451),IF(H451="AWAY",SUMIFS('Istoric_Nativ'!$H$6:$H$405,'Istoric_Nativ'!$B$6:$B$405,E451,'Istoric_Nativ'!$C$6:$C$405,F451,'Istoric_Nativ'!$F$6:$F$405,G451,'Istoric_Nativ'!$D$6:$D$405,"&lt;"&amp;J451,'Istoric_Nativ'!$P$6:$P$405,1,'Istoric_Nativ'!$D$6:$D$405,"&gt;="&amp;L451),SUMIFS('Istoric_Nativ'!$G$6:$G$405,'Istoric_Nativ'!$B$6:$B$405,E451,'Istoric_Nativ'!$C$6:$C$405,F451,'Istoric_Nativ'!$E$6:$E$405,G451,'Istoric_Nativ'!$D$6:$D$405,"&lt;"&amp;J451,'Istoric_Nativ'!$P$6:$P$405,1,'Istoric_Nativ'!$D$6:$D$405,"&gt;="&amp;L451)+SUMIFS('Istoric_Nativ'!$H$6:$H$405,'Istoric_Nativ'!$B$6:$B$405,E451,'Istoric_Nativ'!$C$6:$C$405,F451,'Istoric_Nativ'!$F$6:$F$405,G451,'Istoric_Nativ'!$D$6:$D$405,"&lt;"&amp;J451,'Istoric_Nativ'!$P$6:$P$405,1,'Istoric_Nativ'!$D$6:$D$405,"&gt;="&amp;L451)))/M451)</x:f>
      </x:c>
      <x:c r="O451" s="11" t="str">
        <x:f>IF(M451=0,"",IF(H451="HOME",SUMIFS('Istoric_Nativ'!$H$6:$H$405,'Istoric_Nativ'!$B$6:$B$405,E451,'Istoric_Nativ'!$C$6:$C$405,F451,'Istoric_Nativ'!$E$6:$E$405,G451,'Istoric_Nativ'!$D$6:$D$405,"&lt;"&amp;J451,'Istoric_Nativ'!$P$6:$P$405,1,'Istoric_Nativ'!$D$6:$D$405,"&gt;="&amp;L451),IF(H451="AWAY",SUMIFS('Istoric_Nativ'!$G$6:$G$405,'Istoric_Nativ'!$B$6:$B$405,E451,'Istoric_Nativ'!$C$6:$C$405,F451,'Istoric_Nativ'!$F$6:$F$405,G451,'Istoric_Nativ'!$D$6:$D$405,"&lt;"&amp;J451,'Istoric_Nativ'!$P$6:$P$405,1,'Istoric_Nativ'!$D$6:$D$405,"&gt;="&amp;L451),SUMIFS('Istoric_Nativ'!$H$6:$H$405,'Istoric_Nativ'!$B$6:$B$405,E451,'Istoric_Nativ'!$C$6:$C$405,F451,'Istoric_Nativ'!$E$6:$E$405,G451,'Istoric_Nativ'!$D$6:$D$405,"&lt;"&amp;J451,'Istoric_Nativ'!$P$6:$P$405,1,'Istoric_Nativ'!$D$6:$D$405,"&gt;="&amp;L451)+SUMIFS('Istoric_Nativ'!$G$6:$G$405,'Istoric_Nativ'!$B$6:$B$405,E451,'Istoric_Nativ'!$C$6:$C$405,F451,'Istoric_Nativ'!$F$6:$F$405,G451,'Istoric_Nativ'!$D$6:$D$405,"&lt;"&amp;J451,'Istoric_Nativ'!$P$6:$P$405,1,'Istoric_Nativ'!$D$6:$D$405,"&gt;="&amp;L451)))/M451)</x:f>
      </x:c>
      <x:c r="P451" s="2" t="n">
        <x:f>'Config_v6'!$B$8</x:f>
        <x:v>5</x:v>
      </x:c>
      <x:c r="Q451" s="2" t="n">
        <x:f>IF(OR(B451="",F451=""),0,IFERROR(MATCH(E451&amp;"|"&amp;F451,SourceTable[Source_Key],0),0))</x:f>
        <x:v>0</x:v>
      </x:c>
      <x:c r="R451" s="2" t="str">
        <x:f>IF(B451="","",IF(F451="","UNUSED",IF(Q451=0,"NOT CHECKED",IF(COUNTIF(SourceTable[Source_Key],E451&amp;"|"&amp;F451)&lt;&gt;1,"SOURCE CONFLICT",IF(NOT(OR(INDEX(SourceTable[Status],MAX(1,Q451))="IMPORTED",INDEX(SourceTable[Status],MAX(1,Q451))="PARTIAL",INDEX(SourceTable[Status],MAX(1,Q451))="SOURCE CONFLICT")),"ACCESS BLOCKED",IF(OR(INDEX(SourceTable[Coverage],Q451)&lt;&gt;"FULL SEASON EXPORT",INDEX(SourceTable[URL],Q451)="",INDEX(SourceTable[SHA256],Q451)=""),"EVIDENCE INCOMPLETE",IF(AND('Input_Meci'!H43="LIVE",INDEX(SourceTable[Retrieved_UTC],Q451)&gt;'Input_Meci'!G43),"POST CUTOFF","CLOSED")))))))</x:f>
      </x:c>
      <x:c r="S451" s="2" t="n">
        <x:f>IF(OR(B451="",F451=""),0,COUNTIFS('Istoric_Nativ'!$B$6:$B$405,E451,'Istoric_Nativ'!$C$6:$C$405,F451,'Istoric_Nativ'!$E$6:$E$405,G451,'Istoric_Nativ'!$D$6:$D$405,"&lt;"&amp;J451,'Istoric_Nativ'!$O$6:$O$405,"INVALID")+COUNTIFS('Istoric_Nativ'!$B$6:$B$405,E451,'Istoric_Nativ'!$C$6:$C$405,F451,'Istoric_Nativ'!$E$6:$E$405,G451,'Istoric_Nativ'!$O$6:$O$405,"INVALID",'Istoric_Nativ'!$D$6:$D$405,"*")+COUNTIFS('Istoric_Nativ'!$B$6:$B$405,E451,'Istoric_Nativ'!$C$6:$C$405,F451,'Istoric_Nativ'!$E$6:$E$405,G451,'Istoric_Nativ'!$D$6:$D$405,"&lt;"&amp;J451,'Istoric_Nativ'!$O$6:$O$405,"SOURCE CONFLICT")+COUNTIFS('Istoric_Nativ'!$B$6:$B$405,E451,'Istoric_Nativ'!$C$6:$C$405,F451,'Istoric_Nativ'!$F$6:$F$405,G451,'Istoric_Nativ'!$D$6:$D$405,"&lt;"&amp;J451,'Istoric_Nativ'!$O$6:$O$405,"INVALID")+COUNTIFS('Istoric_Nativ'!$B$6:$B$405,E451,'Istoric_Nativ'!$C$6:$C$405,F451,'Istoric_Nativ'!$F$6:$F$405,G451,'Istoric_Nativ'!$O$6:$O$405,"INVALID",'Istoric_Nativ'!$D$6:$D$405,"*")+COUNTIFS('Istoric_Nativ'!$B$6:$B$405,E451,'Istoric_Nativ'!$C$6:$C$405,F451,'Istoric_Nativ'!$F$6:$F$405,G451,'Istoric_Nativ'!$D$6:$D$405,"&lt;"&amp;J451,'Istoric_Nativ'!$O$6:$O$405,"SOURCE CONFLICT"))</x:f>
        <x:v>0</x:v>
      </x:c>
      <x:c r="T451" s="2" t="str">
        <x:f>IF(B451="","",IF(R451&lt;&gt;"CLOSED",R451,IF(S451&gt;0,"NATIVE INPUT ISSUE",IF(M451=0,"NO HISTORY",IF(M451&lt;P451,"SMALL SAMPLE","DERIVED")))))</x:f>
      </x:c>
      <x:c r="U451" s="2" t="str">
        <x:f>IF(B451="","","NativeTable; "&amp;E451&amp;"; "&amp;F451&amp;"; "&amp;G451&amp;"; "&amp;H451&amp;"; before "&amp;TEXT(J451,"yyyy-mm-dd")&amp;IF(I451="RECENT","; from "&amp;TEXT(L451,"yyyy-mm-dd"),""))</x:f>
      </x:c>
    </x:row>
    <x:row r="452" ht="21" customHeight="1">
      <x:c r="A452" s="2" t="n">
        <x:v>38</x:v>
      </x:c>
      <x:c r="B452" s="2" t="str">
        <x:f>IF('Input_Meci'!A43="","",'Input_Meci'!A43)</x:f>
      </x:c>
      <x:c r="C452" s="2" t="str">
        <x:v>H</x:v>
      </x:c>
      <x:c r="D452" s="2" t="str">
        <x:v>CURRENT</x:v>
      </x:c>
      <x:c r="E452" s="2" t="str">
        <x:f>IF(B452="","",'Input_Meci'!B43)</x:f>
      </x:c>
      <x:c r="F452" s="2" t="str">
        <x:f>IF(B452="","",IF('Input_Meci'!C43="","",'Input_Meci'!C43))</x:f>
      </x:c>
      <x:c r="G452" s="2" t="str">
        <x:f>IF(B452="","",'Input_Meci'!D43)</x:f>
      </x:c>
      <x:c r="H452" s="2" t="str">
        <x:v>ANY</x:v>
      </x:c>
      <x:c r="I452" s="2" t="str">
        <x:v>RECENT</x:v>
      </x:c>
      <x:c r="J452" s="9" t="n">
        <x:f>IF(AND(B452&lt;&gt;"",ISNUMBER('Input_Meci'!G43)),INT('Input_Meci'!G43),0)</x:f>
        <x:v>0</x:v>
      </x:c>
      <x:c r="K452" s="2" t="n">
        <x:f>IF(OR(B452="",F452=""),0,IF(H452="HOME",COUNTIFS('Istoric_Nativ'!$B$6:$B$405,E452,'Istoric_Nativ'!$C$6:$C$405,F452,'Istoric_Nativ'!$E$6:$E$405,G452,'Istoric_Nativ'!$D$6:$D$405,"&lt;"&amp;J452,'Istoric_Nativ'!$P$6:$P$405,1),IF(H452="AWAY",COUNTIFS('Istoric_Nativ'!$B$6:$B$405,E452,'Istoric_Nativ'!$C$6:$C$405,F452,'Istoric_Nativ'!$F$6:$F$405,G452,'Istoric_Nativ'!$D$6:$D$405,"&lt;"&amp;J452,'Istoric_Nativ'!$P$6:$P$405,1),COUNTIFS('Istoric_Nativ'!$B$6:$B$405,E452,'Istoric_Nativ'!$C$6:$C$405,F452,'Istoric_Nativ'!$E$6:$E$405,G452,'Istoric_Nativ'!$D$6:$D$405,"&lt;"&amp;J452,'Istoric_Nativ'!$P$6:$P$405,1)+COUNTIFS('Istoric_Nativ'!$B$6:$B$405,E452,'Istoric_Nativ'!$C$6:$C$405,F452,'Istoric_Nativ'!$F$6:$F$405,G452,'Istoric_Nativ'!$D$6:$D$405,"&lt;"&amp;J452,'Istoric_Nativ'!$P$6:$P$405,1))))</x:f>
        <x:v>0</x:v>
      </x:c>
      <x:c r="L452" s="17" t="n">
        <x:f>IF(AND(B452&lt;&gt;"",I452="RECENT",K452&gt;0),LARGE(_xlfn._xlws.FILTER('Istoric_Nativ'!$D$6:$D$405,('Istoric_Nativ'!$B$6:$B$405=E452)*('Istoric_Nativ'!$C$6:$C$405=F452)*('Istoric_Nativ'!$P$6:$P$405=1)*('Istoric_Nativ'!$D$6:$D$405&lt;J452)*((('Istoric_Nativ'!$E$6:$E$405=G452)+('Istoric_Nativ'!$F$6:$F$405=G452))&gt;0)),MIN('Config_v6'!$B$54,K452)),0)</x:f>
        <x:v>0</x:v>
      </x:c>
      <x:c r="M452" s="2" t="n">
        <x:f>IF(OR(B452="",F452=""),0,IF(H452="HOME",COUNTIFS('Istoric_Nativ'!$B$6:$B$405,E452,'Istoric_Nativ'!$C$6:$C$405,F452,'Istoric_Nativ'!$E$6:$E$405,G452,'Istoric_Nativ'!$D$6:$D$405,"&lt;"&amp;J452,'Istoric_Nativ'!$P$6:$P$405,1,'Istoric_Nativ'!$D$6:$D$405,"&gt;="&amp;L452),IF(H452="AWAY",COUNTIFS('Istoric_Nativ'!$B$6:$B$405,E452,'Istoric_Nativ'!$C$6:$C$405,F452,'Istoric_Nativ'!$F$6:$F$405,G452,'Istoric_Nativ'!$D$6:$D$405,"&lt;"&amp;J452,'Istoric_Nativ'!$P$6:$P$405,1,'Istoric_Nativ'!$D$6:$D$405,"&gt;="&amp;L452),COUNTIFS('Istoric_Nativ'!$B$6:$B$405,E452,'Istoric_Nativ'!$C$6:$C$405,F452,'Istoric_Nativ'!$E$6:$E$405,G452,'Istoric_Nativ'!$D$6:$D$405,"&lt;"&amp;J452,'Istoric_Nativ'!$P$6:$P$405,1,'Istoric_Nativ'!$D$6:$D$405,"&gt;="&amp;L452)+COUNTIFS('Istoric_Nativ'!$B$6:$B$405,E452,'Istoric_Nativ'!$C$6:$C$405,F452,'Istoric_Nativ'!$F$6:$F$405,G452,'Istoric_Nativ'!$D$6:$D$405,"&lt;"&amp;J452,'Istoric_Nativ'!$P$6:$P$405,1,'Istoric_Nativ'!$D$6:$D$405,"&gt;="&amp;L452))))</x:f>
        <x:v>0</x:v>
      </x:c>
      <x:c r="N452" s="11" t="str">
        <x:f>IF(M452=0,"",IF(H452="HOME",SUMIFS('Istoric_Nativ'!$G$6:$G$405,'Istoric_Nativ'!$B$6:$B$405,E452,'Istoric_Nativ'!$C$6:$C$405,F452,'Istoric_Nativ'!$E$6:$E$405,G452,'Istoric_Nativ'!$D$6:$D$405,"&lt;"&amp;J452,'Istoric_Nativ'!$P$6:$P$405,1,'Istoric_Nativ'!$D$6:$D$405,"&gt;="&amp;L452),IF(H452="AWAY",SUMIFS('Istoric_Nativ'!$H$6:$H$405,'Istoric_Nativ'!$B$6:$B$405,E452,'Istoric_Nativ'!$C$6:$C$405,F452,'Istoric_Nativ'!$F$6:$F$405,G452,'Istoric_Nativ'!$D$6:$D$405,"&lt;"&amp;J452,'Istoric_Nativ'!$P$6:$P$405,1,'Istoric_Nativ'!$D$6:$D$405,"&gt;="&amp;L452),SUMIFS('Istoric_Nativ'!$G$6:$G$405,'Istoric_Nativ'!$B$6:$B$405,E452,'Istoric_Nativ'!$C$6:$C$405,F452,'Istoric_Nativ'!$E$6:$E$405,G452,'Istoric_Nativ'!$D$6:$D$405,"&lt;"&amp;J452,'Istoric_Nativ'!$P$6:$P$405,1,'Istoric_Nativ'!$D$6:$D$405,"&gt;="&amp;L452)+SUMIFS('Istoric_Nativ'!$H$6:$H$405,'Istoric_Nativ'!$B$6:$B$405,E452,'Istoric_Nativ'!$C$6:$C$405,F452,'Istoric_Nativ'!$F$6:$F$405,G452,'Istoric_Nativ'!$D$6:$D$405,"&lt;"&amp;J452,'Istoric_Nativ'!$P$6:$P$405,1,'Istoric_Nativ'!$D$6:$D$405,"&gt;="&amp;L452)))/M452)</x:f>
      </x:c>
      <x:c r="O452" s="11" t="str">
        <x:f>IF(M452=0,"",IF(H452="HOME",SUMIFS('Istoric_Nativ'!$H$6:$H$405,'Istoric_Nativ'!$B$6:$B$405,E452,'Istoric_Nativ'!$C$6:$C$405,F452,'Istoric_Nativ'!$E$6:$E$405,G452,'Istoric_Nativ'!$D$6:$D$405,"&lt;"&amp;J452,'Istoric_Nativ'!$P$6:$P$405,1,'Istoric_Nativ'!$D$6:$D$405,"&gt;="&amp;L452),IF(H452="AWAY",SUMIFS('Istoric_Nativ'!$G$6:$G$405,'Istoric_Nativ'!$B$6:$B$405,E452,'Istoric_Nativ'!$C$6:$C$405,F452,'Istoric_Nativ'!$F$6:$F$405,G452,'Istoric_Nativ'!$D$6:$D$405,"&lt;"&amp;J452,'Istoric_Nativ'!$P$6:$P$405,1,'Istoric_Nativ'!$D$6:$D$405,"&gt;="&amp;L452),SUMIFS('Istoric_Nativ'!$H$6:$H$405,'Istoric_Nativ'!$B$6:$B$405,E452,'Istoric_Nativ'!$C$6:$C$405,F452,'Istoric_Nativ'!$E$6:$E$405,G452,'Istoric_Nativ'!$D$6:$D$405,"&lt;"&amp;J452,'Istoric_Nativ'!$P$6:$P$405,1,'Istoric_Nativ'!$D$6:$D$405,"&gt;="&amp;L452)+SUMIFS('Istoric_Nativ'!$G$6:$G$405,'Istoric_Nativ'!$B$6:$B$405,E452,'Istoric_Nativ'!$C$6:$C$405,F452,'Istoric_Nativ'!$F$6:$F$405,G452,'Istoric_Nativ'!$D$6:$D$405,"&lt;"&amp;J452,'Istoric_Nativ'!$P$6:$P$405,1,'Istoric_Nativ'!$D$6:$D$405,"&gt;="&amp;L452)))/M452)</x:f>
      </x:c>
      <x:c r="P452" s="2" t="n">
        <x:f>'Config_v6'!$B$9</x:f>
        <x:v>3</x:v>
      </x:c>
      <x:c r="Q452" s="2" t="n">
        <x:f>IF(OR(B452="",F452=""),0,IFERROR(MATCH(E452&amp;"|"&amp;F452,SourceTable[Source_Key],0),0))</x:f>
        <x:v>0</x:v>
      </x:c>
      <x:c r="R452" s="2" t="str">
        <x:f>IF(B452="","",IF(F452="","UNUSED",IF(Q452=0,"NOT CHECKED",IF(COUNTIF(SourceTable[Source_Key],E452&amp;"|"&amp;F452)&lt;&gt;1,"SOURCE CONFLICT",IF(NOT(OR(INDEX(SourceTable[Status],MAX(1,Q452))="IMPORTED",INDEX(SourceTable[Status],MAX(1,Q452))="PARTIAL",INDEX(SourceTable[Status],MAX(1,Q452))="SOURCE CONFLICT")),"ACCESS BLOCKED",IF(OR(INDEX(SourceTable[Coverage],Q452)&lt;&gt;"FULL SEASON EXPORT",INDEX(SourceTable[URL],Q452)="",INDEX(SourceTable[SHA256],Q452)=""),"EVIDENCE INCOMPLETE",IF(AND('Input_Meci'!H43="LIVE",INDEX(SourceTable[Retrieved_UTC],Q452)&gt;'Input_Meci'!G43),"POST CUTOFF","CLOSED")))))))</x:f>
      </x:c>
      <x:c r="S452" s="2" t="n">
        <x:f>IF(OR(B452="",F452=""),0,COUNTIFS('Istoric_Nativ'!$B$6:$B$405,E452,'Istoric_Nativ'!$C$6:$C$405,F452,'Istoric_Nativ'!$E$6:$E$405,G452,'Istoric_Nativ'!$D$6:$D$405,"&lt;"&amp;J452,'Istoric_Nativ'!$O$6:$O$405,"INVALID")+COUNTIFS('Istoric_Nativ'!$B$6:$B$405,E452,'Istoric_Nativ'!$C$6:$C$405,F452,'Istoric_Nativ'!$E$6:$E$405,G452,'Istoric_Nativ'!$O$6:$O$405,"INVALID",'Istoric_Nativ'!$D$6:$D$405,"*")+COUNTIFS('Istoric_Nativ'!$B$6:$B$405,E452,'Istoric_Nativ'!$C$6:$C$405,F452,'Istoric_Nativ'!$E$6:$E$405,G452,'Istoric_Nativ'!$D$6:$D$405,"&lt;"&amp;J452,'Istoric_Nativ'!$O$6:$O$405,"SOURCE CONFLICT")+COUNTIFS('Istoric_Nativ'!$B$6:$B$405,E452,'Istoric_Nativ'!$C$6:$C$405,F452,'Istoric_Nativ'!$F$6:$F$405,G452,'Istoric_Nativ'!$D$6:$D$405,"&lt;"&amp;J452,'Istoric_Nativ'!$O$6:$O$405,"INVALID")+COUNTIFS('Istoric_Nativ'!$B$6:$B$405,E452,'Istoric_Nativ'!$C$6:$C$405,F452,'Istoric_Nativ'!$F$6:$F$405,G452,'Istoric_Nativ'!$O$6:$O$405,"INVALID",'Istoric_Nativ'!$D$6:$D$405,"*")+COUNTIFS('Istoric_Nativ'!$B$6:$B$405,E452,'Istoric_Nativ'!$C$6:$C$405,F452,'Istoric_Nativ'!$F$6:$F$405,G452,'Istoric_Nativ'!$D$6:$D$405,"&lt;"&amp;J452,'Istoric_Nativ'!$O$6:$O$405,"SOURCE CONFLICT"))</x:f>
        <x:v>0</x:v>
      </x:c>
      <x:c r="T452" s="2" t="str">
        <x:f>IF(B452="","",IF(R452&lt;&gt;"CLOSED",R452,IF(S452&gt;0,"NATIVE INPUT ISSUE",IF(M452=0,"NO HISTORY",IF(M452&lt;P452,"SMALL SAMPLE","DERIVED")))))</x:f>
      </x:c>
      <x:c r="U452" s="2" t="str">
        <x:f>IF(B452="","","NativeTable; "&amp;E452&amp;"; "&amp;F452&amp;"; "&amp;G452&amp;"; "&amp;H452&amp;"; before "&amp;TEXT(J452,"yyyy-mm-dd")&amp;IF(I452="RECENT","; from "&amp;TEXT(L452,"yyyy-mm-dd"),""))</x:f>
      </x:c>
    </x:row>
    <x:row r="453" ht="21" customHeight="1">
      <x:c r="A453" s="2" t="n">
        <x:v>38</x:v>
      </x:c>
      <x:c r="B453" s="2" t="str">
        <x:f>IF('Input_Meci'!A43="","",'Input_Meci'!A43)</x:f>
      </x:c>
      <x:c r="C453" s="2" t="str">
        <x:v>A</x:v>
      </x:c>
      <x:c r="D453" s="2" t="str">
        <x:v>CURRENT</x:v>
      </x:c>
      <x:c r="E453" s="2" t="str">
        <x:f>IF(B453="","",'Input_Meci'!B43)</x:f>
      </x:c>
      <x:c r="F453" s="2" t="str">
        <x:f>IF(B453="","",IF('Input_Meci'!C43="","",'Input_Meci'!C43))</x:f>
      </x:c>
      <x:c r="G453" s="2" t="str">
        <x:f>IF(B453="","",'Input_Meci'!E43)</x:f>
      </x:c>
      <x:c r="H453" s="2" t="str">
        <x:v>ANY</x:v>
      </x:c>
      <x:c r="I453" s="2" t="str">
        <x:v>SEASON</x:v>
      </x:c>
      <x:c r="J453" s="9" t="n">
        <x:f>IF(AND(B453&lt;&gt;"",ISNUMBER('Input_Meci'!G43)),INT('Input_Meci'!G43),0)</x:f>
        <x:v>0</x:v>
      </x:c>
      <x:c r="K453" s="2" t="n">
        <x:f>IF(OR(B453="",F453=""),0,IF(H453="HOME",COUNTIFS('Istoric_Nativ'!$B$6:$B$405,E453,'Istoric_Nativ'!$C$6:$C$405,F453,'Istoric_Nativ'!$E$6:$E$405,G453,'Istoric_Nativ'!$D$6:$D$405,"&lt;"&amp;J453,'Istoric_Nativ'!$P$6:$P$405,1),IF(H453="AWAY",COUNTIFS('Istoric_Nativ'!$B$6:$B$405,E453,'Istoric_Nativ'!$C$6:$C$405,F453,'Istoric_Nativ'!$F$6:$F$405,G453,'Istoric_Nativ'!$D$6:$D$405,"&lt;"&amp;J453,'Istoric_Nativ'!$P$6:$P$405,1),COUNTIFS('Istoric_Nativ'!$B$6:$B$405,E453,'Istoric_Nativ'!$C$6:$C$405,F453,'Istoric_Nativ'!$E$6:$E$405,G453,'Istoric_Nativ'!$D$6:$D$405,"&lt;"&amp;J453,'Istoric_Nativ'!$P$6:$P$405,1)+COUNTIFS('Istoric_Nativ'!$B$6:$B$405,E453,'Istoric_Nativ'!$C$6:$C$405,F453,'Istoric_Nativ'!$F$6:$F$405,G453,'Istoric_Nativ'!$D$6:$D$405,"&lt;"&amp;J453,'Istoric_Nativ'!$P$6:$P$405,1))))</x:f>
        <x:v>0</x:v>
      </x:c>
      <x:c r="L453" s="17" t="n">
        <x:f>IF(AND(B453&lt;&gt;"",I453="RECENT",K453&gt;0),LARGE(_xlfn._xlws.FILTER('Istoric_Nativ'!$D$6:$D$405,('Istoric_Nativ'!$B$6:$B$405=E453)*('Istoric_Nativ'!$C$6:$C$405=F453)*('Istoric_Nativ'!$P$6:$P$405=1)*('Istoric_Nativ'!$D$6:$D$405&lt;J453)*((('Istoric_Nativ'!$E$6:$E$405=G453)+('Istoric_Nativ'!$F$6:$F$405=G453))&gt;0)),MIN('Config_v6'!$B$54,K453)),0)</x:f>
        <x:v>0</x:v>
      </x:c>
      <x:c r="M453" s="2" t="n">
        <x:f>IF(OR(B453="",F453=""),0,IF(H453="HOME",COUNTIFS('Istoric_Nativ'!$B$6:$B$405,E453,'Istoric_Nativ'!$C$6:$C$405,F453,'Istoric_Nativ'!$E$6:$E$405,G453,'Istoric_Nativ'!$D$6:$D$405,"&lt;"&amp;J453,'Istoric_Nativ'!$P$6:$P$405,1,'Istoric_Nativ'!$D$6:$D$405,"&gt;="&amp;L453),IF(H453="AWAY",COUNTIFS('Istoric_Nativ'!$B$6:$B$405,E453,'Istoric_Nativ'!$C$6:$C$405,F453,'Istoric_Nativ'!$F$6:$F$405,G453,'Istoric_Nativ'!$D$6:$D$405,"&lt;"&amp;J453,'Istoric_Nativ'!$P$6:$P$405,1,'Istoric_Nativ'!$D$6:$D$405,"&gt;="&amp;L453),COUNTIFS('Istoric_Nativ'!$B$6:$B$405,E453,'Istoric_Nativ'!$C$6:$C$405,F453,'Istoric_Nativ'!$E$6:$E$405,G453,'Istoric_Nativ'!$D$6:$D$405,"&lt;"&amp;J453,'Istoric_Nativ'!$P$6:$P$405,1,'Istoric_Nativ'!$D$6:$D$405,"&gt;="&amp;L453)+COUNTIFS('Istoric_Nativ'!$B$6:$B$405,E453,'Istoric_Nativ'!$C$6:$C$405,F453,'Istoric_Nativ'!$F$6:$F$405,G453,'Istoric_Nativ'!$D$6:$D$405,"&lt;"&amp;J453,'Istoric_Nativ'!$P$6:$P$405,1,'Istoric_Nativ'!$D$6:$D$405,"&gt;="&amp;L453))))</x:f>
        <x:v>0</x:v>
      </x:c>
      <x:c r="N453" s="11" t="str">
        <x:f>IF(M453=0,"",IF(H453="HOME",SUMIFS('Istoric_Nativ'!$G$6:$G$405,'Istoric_Nativ'!$B$6:$B$405,E453,'Istoric_Nativ'!$C$6:$C$405,F453,'Istoric_Nativ'!$E$6:$E$405,G453,'Istoric_Nativ'!$D$6:$D$405,"&lt;"&amp;J453,'Istoric_Nativ'!$P$6:$P$405,1,'Istoric_Nativ'!$D$6:$D$405,"&gt;="&amp;L453),IF(H453="AWAY",SUMIFS('Istoric_Nativ'!$H$6:$H$405,'Istoric_Nativ'!$B$6:$B$405,E453,'Istoric_Nativ'!$C$6:$C$405,F453,'Istoric_Nativ'!$F$6:$F$405,G453,'Istoric_Nativ'!$D$6:$D$405,"&lt;"&amp;J453,'Istoric_Nativ'!$P$6:$P$405,1,'Istoric_Nativ'!$D$6:$D$405,"&gt;="&amp;L453),SUMIFS('Istoric_Nativ'!$G$6:$G$405,'Istoric_Nativ'!$B$6:$B$405,E453,'Istoric_Nativ'!$C$6:$C$405,F453,'Istoric_Nativ'!$E$6:$E$405,G453,'Istoric_Nativ'!$D$6:$D$405,"&lt;"&amp;J453,'Istoric_Nativ'!$P$6:$P$405,1,'Istoric_Nativ'!$D$6:$D$405,"&gt;="&amp;L453)+SUMIFS('Istoric_Nativ'!$H$6:$H$405,'Istoric_Nativ'!$B$6:$B$405,E453,'Istoric_Nativ'!$C$6:$C$405,F453,'Istoric_Nativ'!$F$6:$F$405,G453,'Istoric_Nativ'!$D$6:$D$405,"&lt;"&amp;J453,'Istoric_Nativ'!$P$6:$P$405,1,'Istoric_Nativ'!$D$6:$D$405,"&gt;="&amp;L453)))/M453)</x:f>
      </x:c>
      <x:c r="O453" s="11" t="str">
        <x:f>IF(M453=0,"",IF(H453="HOME",SUMIFS('Istoric_Nativ'!$H$6:$H$405,'Istoric_Nativ'!$B$6:$B$405,E453,'Istoric_Nativ'!$C$6:$C$405,F453,'Istoric_Nativ'!$E$6:$E$405,G453,'Istoric_Nativ'!$D$6:$D$405,"&lt;"&amp;J453,'Istoric_Nativ'!$P$6:$P$405,1,'Istoric_Nativ'!$D$6:$D$405,"&gt;="&amp;L453),IF(H453="AWAY",SUMIFS('Istoric_Nativ'!$G$6:$G$405,'Istoric_Nativ'!$B$6:$B$405,E453,'Istoric_Nativ'!$C$6:$C$405,F453,'Istoric_Nativ'!$F$6:$F$405,G453,'Istoric_Nativ'!$D$6:$D$405,"&lt;"&amp;J453,'Istoric_Nativ'!$P$6:$P$405,1,'Istoric_Nativ'!$D$6:$D$405,"&gt;="&amp;L453),SUMIFS('Istoric_Nativ'!$H$6:$H$405,'Istoric_Nativ'!$B$6:$B$405,E453,'Istoric_Nativ'!$C$6:$C$405,F453,'Istoric_Nativ'!$E$6:$E$405,G453,'Istoric_Nativ'!$D$6:$D$405,"&lt;"&amp;J453,'Istoric_Nativ'!$P$6:$P$405,1,'Istoric_Nativ'!$D$6:$D$405,"&gt;="&amp;L453)+SUMIFS('Istoric_Nativ'!$G$6:$G$405,'Istoric_Nativ'!$B$6:$B$405,E453,'Istoric_Nativ'!$C$6:$C$405,F453,'Istoric_Nativ'!$F$6:$F$405,G453,'Istoric_Nativ'!$D$6:$D$405,"&lt;"&amp;J453,'Istoric_Nativ'!$P$6:$P$405,1,'Istoric_Nativ'!$D$6:$D$405,"&gt;="&amp;L453)))/M453)</x:f>
      </x:c>
      <x:c r="P453" s="2" t="n">
        <x:f>'Config_v6'!$B$7</x:f>
        <x:v>10</x:v>
      </x:c>
      <x:c r="Q453" s="2" t="n">
        <x:f>IF(OR(B453="",F453=""),0,IFERROR(MATCH(E453&amp;"|"&amp;F453,SourceTable[Source_Key],0),0))</x:f>
        <x:v>0</x:v>
      </x:c>
      <x:c r="R453" s="2" t="str">
        <x:f>IF(B453="","",IF(F453="","UNUSED",IF(Q453=0,"NOT CHECKED",IF(COUNTIF(SourceTable[Source_Key],E453&amp;"|"&amp;F453)&lt;&gt;1,"SOURCE CONFLICT",IF(NOT(OR(INDEX(SourceTable[Status],MAX(1,Q453))="IMPORTED",INDEX(SourceTable[Status],MAX(1,Q453))="PARTIAL",INDEX(SourceTable[Status],MAX(1,Q453))="SOURCE CONFLICT")),"ACCESS BLOCKED",IF(OR(INDEX(SourceTable[Coverage],Q453)&lt;&gt;"FULL SEASON EXPORT",INDEX(SourceTable[URL],Q453)="",INDEX(SourceTable[SHA256],Q453)=""),"EVIDENCE INCOMPLETE",IF(AND('Input_Meci'!H43="LIVE",INDEX(SourceTable[Retrieved_UTC],Q453)&gt;'Input_Meci'!G43),"POST CUTOFF","CLOSED")))))))</x:f>
      </x:c>
      <x:c r="S453" s="2" t="n">
        <x:f>IF(OR(B453="",F453=""),0,COUNTIFS('Istoric_Nativ'!$B$6:$B$405,E453,'Istoric_Nativ'!$C$6:$C$405,F453,'Istoric_Nativ'!$E$6:$E$405,G453,'Istoric_Nativ'!$D$6:$D$405,"&lt;"&amp;J453,'Istoric_Nativ'!$O$6:$O$405,"INVALID")+COUNTIFS('Istoric_Nativ'!$B$6:$B$405,E453,'Istoric_Nativ'!$C$6:$C$405,F453,'Istoric_Nativ'!$E$6:$E$405,G453,'Istoric_Nativ'!$O$6:$O$405,"INVALID",'Istoric_Nativ'!$D$6:$D$405,"*")+COUNTIFS('Istoric_Nativ'!$B$6:$B$405,E453,'Istoric_Nativ'!$C$6:$C$405,F453,'Istoric_Nativ'!$E$6:$E$405,G453,'Istoric_Nativ'!$D$6:$D$405,"&lt;"&amp;J453,'Istoric_Nativ'!$O$6:$O$405,"SOURCE CONFLICT")+COUNTIFS('Istoric_Nativ'!$B$6:$B$405,E453,'Istoric_Nativ'!$C$6:$C$405,F453,'Istoric_Nativ'!$F$6:$F$405,G453,'Istoric_Nativ'!$D$6:$D$405,"&lt;"&amp;J453,'Istoric_Nativ'!$O$6:$O$405,"INVALID")+COUNTIFS('Istoric_Nativ'!$B$6:$B$405,E453,'Istoric_Nativ'!$C$6:$C$405,F453,'Istoric_Nativ'!$F$6:$F$405,G453,'Istoric_Nativ'!$O$6:$O$405,"INVALID",'Istoric_Nativ'!$D$6:$D$405,"*")+COUNTIFS('Istoric_Nativ'!$B$6:$B$405,E453,'Istoric_Nativ'!$C$6:$C$405,F453,'Istoric_Nativ'!$F$6:$F$405,G453,'Istoric_Nativ'!$D$6:$D$405,"&lt;"&amp;J453,'Istoric_Nativ'!$O$6:$O$405,"SOURCE CONFLICT"))</x:f>
        <x:v>0</x:v>
      </x:c>
      <x:c r="T453" s="2" t="str">
        <x:f>IF(B453="","",IF(R453&lt;&gt;"CLOSED",R453,IF(S453&gt;0,"NATIVE INPUT ISSUE",IF(M453=0,"NO HISTORY",IF(M453&lt;P453,"SMALL SAMPLE","DERIVED")))))</x:f>
      </x:c>
      <x:c r="U453" s="2" t="str">
        <x:f>IF(B453="","","NativeTable; "&amp;E453&amp;"; "&amp;F453&amp;"; "&amp;G453&amp;"; "&amp;H453&amp;"; before "&amp;TEXT(J453,"yyyy-mm-dd")&amp;IF(I453="RECENT","; from "&amp;TEXT(L453,"yyyy-mm-dd"),""))</x:f>
      </x:c>
    </x:row>
    <x:row r="454" ht="21" customHeight="1">
      <x:c r="A454" s="2" t="n">
        <x:v>38</x:v>
      </x:c>
      <x:c r="B454" s="2" t="str">
        <x:f>IF('Input_Meci'!A43="","",'Input_Meci'!A43)</x:f>
      </x:c>
      <x:c r="C454" s="2" t="str">
        <x:v>A</x:v>
      </x:c>
      <x:c r="D454" s="2" t="str">
        <x:v>CURRENT</x:v>
      </x:c>
      <x:c r="E454" s="2" t="str">
        <x:f>IF(B454="","",'Input_Meci'!B43)</x:f>
      </x:c>
      <x:c r="F454" s="2" t="str">
        <x:f>IF(B454="","",IF('Input_Meci'!C43="","",'Input_Meci'!C43))</x:f>
      </x:c>
      <x:c r="G454" s="2" t="str">
        <x:f>IF(B454="","",'Input_Meci'!E43)</x:f>
      </x:c>
      <x:c r="H454" s="2" t="str">
        <x:v>AWAY</x:v>
      </x:c>
      <x:c r="I454" s="2" t="str">
        <x:v>HA</x:v>
      </x:c>
      <x:c r="J454" s="9" t="n">
        <x:f>IF(AND(B454&lt;&gt;"",ISNUMBER('Input_Meci'!G43)),INT('Input_Meci'!G43),0)</x:f>
        <x:v>0</x:v>
      </x:c>
      <x:c r="K454" s="2" t="n">
        <x:f>IF(OR(B454="",F454=""),0,IF(H454="HOME",COUNTIFS('Istoric_Nativ'!$B$6:$B$405,E454,'Istoric_Nativ'!$C$6:$C$405,F454,'Istoric_Nativ'!$E$6:$E$405,G454,'Istoric_Nativ'!$D$6:$D$405,"&lt;"&amp;J454,'Istoric_Nativ'!$P$6:$P$405,1),IF(H454="AWAY",COUNTIFS('Istoric_Nativ'!$B$6:$B$405,E454,'Istoric_Nativ'!$C$6:$C$405,F454,'Istoric_Nativ'!$F$6:$F$405,G454,'Istoric_Nativ'!$D$6:$D$405,"&lt;"&amp;J454,'Istoric_Nativ'!$P$6:$P$405,1),COUNTIFS('Istoric_Nativ'!$B$6:$B$405,E454,'Istoric_Nativ'!$C$6:$C$405,F454,'Istoric_Nativ'!$E$6:$E$405,G454,'Istoric_Nativ'!$D$6:$D$405,"&lt;"&amp;J454,'Istoric_Nativ'!$P$6:$P$405,1)+COUNTIFS('Istoric_Nativ'!$B$6:$B$405,E454,'Istoric_Nativ'!$C$6:$C$405,F454,'Istoric_Nativ'!$F$6:$F$405,G454,'Istoric_Nativ'!$D$6:$D$405,"&lt;"&amp;J454,'Istoric_Nativ'!$P$6:$P$405,1))))</x:f>
        <x:v>0</x:v>
      </x:c>
      <x:c r="L454" s="17" t="n">
        <x:f>IF(AND(B454&lt;&gt;"",I454="RECENT",K454&gt;0),LARGE(_xlfn._xlws.FILTER('Istoric_Nativ'!$D$6:$D$405,('Istoric_Nativ'!$B$6:$B$405=E454)*('Istoric_Nativ'!$C$6:$C$405=F454)*('Istoric_Nativ'!$P$6:$P$405=1)*('Istoric_Nativ'!$D$6:$D$405&lt;J454)*((('Istoric_Nativ'!$E$6:$E$405=G454)+('Istoric_Nativ'!$F$6:$F$405=G454))&gt;0)),MIN('Config_v6'!$B$54,K454)),0)</x:f>
        <x:v>0</x:v>
      </x:c>
      <x:c r="M454" s="2" t="n">
        <x:f>IF(OR(B454="",F454=""),0,IF(H454="HOME",COUNTIFS('Istoric_Nativ'!$B$6:$B$405,E454,'Istoric_Nativ'!$C$6:$C$405,F454,'Istoric_Nativ'!$E$6:$E$405,G454,'Istoric_Nativ'!$D$6:$D$405,"&lt;"&amp;J454,'Istoric_Nativ'!$P$6:$P$405,1,'Istoric_Nativ'!$D$6:$D$405,"&gt;="&amp;L454),IF(H454="AWAY",COUNTIFS('Istoric_Nativ'!$B$6:$B$405,E454,'Istoric_Nativ'!$C$6:$C$405,F454,'Istoric_Nativ'!$F$6:$F$405,G454,'Istoric_Nativ'!$D$6:$D$405,"&lt;"&amp;J454,'Istoric_Nativ'!$P$6:$P$405,1,'Istoric_Nativ'!$D$6:$D$405,"&gt;="&amp;L454),COUNTIFS('Istoric_Nativ'!$B$6:$B$405,E454,'Istoric_Nativ'!$C$6:$C$405,F454,'Istoric_Nativ'!$E$6:$E$405,G454,'Istoric_Nativ'!$D$6:$D$405,"&lt;"&amp;J454,'Istoric_Nativ'!$P$6:$P$405,1,'Istoric_Nativ'!$D$6:$D$405,"&gt;="&amp;L454)+COUNTIFS('Istoric_Nativ'!$B$6:$B$405,E454,'Istoric_Nativ'!$C$6:$C$405,F454,'Istoric_Nativ'!$F$6:$F$405,G454,'Istoric_Nativ'!$D$6:$D$405,"&lt;"&amp;J454,'Istoric_Nativ'!$P$6:$P$405,1,'Istoric_Nativ'!$D$6:$D$405,"&gt;="&amp;L454))))</x:f>
        <x:v>0</x:v>
      </x:c>
      <x:c r="N454" s="11" t="str">
        <x:f>IF(M454=0,"",IF(H454="HOME",SUMIFS('Istoric_Nativ'!$G$6:$G$405,'Istoric_Nativ'!$B$6:$B$405,E454,'Istoric_Nativ'!$C$6:$C$405,F454,'Istoric_Nativ'!$E$6:$E$405,G454,'Istoric_Nativ'!$D$6:$D$405,"&lt;"&amp;J454,'Istoric_Nativ'!$P$6:$P$405,1,'Istoric_Nativ'!$D$6:$D$405,"&gt;="&amp;L454),IF(H454="AWAY",SUMIFS('Istoric_Nativ'!$H$6:$H$405,'Istoric_Nativ'!$B$6:$B$405,E454,'Istoric_Nativ'!$C$6:$C$405,F454,'Istoric_Nativ'!$F$6:$F$405,G454,'Istoric_Nativ'!$D$6:$D$405,"&lt;"&amp;J454,'Istoric_Nativ'!$P$6:$P$405,1,'Istoric_Nativ'!$D$6:$D$405,"&gt;="&amp;L454),SUMIFS('Istoric_Nativ'!$G$6:$G$405,'Istoric_Nativ'!$B$6:$B$405,E454,'Istoric_Nativ'!$C$6:$C$405,F454,'Istoric_Nativ'!$E$6:$E$405,G454,'Istoric_Nativ'!$D$6:$D$405,"&lt;"&amp;J454,'Istoric_Nativ'!$P$6:$P$405,1,'Istoric_Nativ'!$D$6:$D$405,"&gt;="&amp;L454)+SUMIFS('Istoric_Nativ'!$H$6:$H$405,'Istoric_Nativ'!$B$6:$B$405,E454,'Istoric_Nativ'!$C$6:$C$405,F454,'Istoric_Nativ'!$F$6:$F$405,G454,'Istoric_Nativ'!$D$6:$D$405,"&lt;"&amp;J454,'Istoric_Nativ'!$P$6:$P$405,1,'Istoric_Nativ'!$D$6:$D$405,"&gt;="&amp;L454)))/M454)</x:f>
      </x:c>
      <x:c r="O454" s="11" t="str">
        <x:f>IF(M454=0,"",IF(H454="HOME",SUMIFS('Istoric_Nativ'!$H$6:$H$405,'Istoric_Nativ'!$B$6:$B$405,E454,'Istoric_Nativ'!$C$6:$C$405,F454,'Istoric_Nativ'!$E$6:$E$405,G454,'Istoric_Nativ'!$D$6:$D$405,"&lt;"&amp;J454,'Istoric_Nativ'!$P$6:$P$405,1,'Istoric_Nativ'!$D$6:$D$405,"&gt;="&amp;L454),IF(H454="AWAY",SUMIFS('Istoric_Nativ'!$G$6:$G$405,'Istoric_Nativ'!$B$6:$B$405,E454,'Istoric_Nativ'!$C$6:$C$405,F454,'Istoric_Nativ'!$F$6:$F$405,G454,'Istoric_Nativ'!$D$6:$D$405,"&lt;"&amp;J454,'Istoric_Nativ'!$P$6:$P$405,1,'Istoric_Nativ'!$D$6:$D$405,"&gt;="&amp;L454),SUMIFS('Istoric_Nativ'!$H$6:$H$405,'Istoric_Nativ'!$B$6:$B$405,E454,'Istoric_Nativ'!$C$6:$C$405,F454,'Istoric_Nativ'!$E$6:$E$405,G454,'Istoric_Nativ'!$D$6:$D$405,"&lt;"&amp;J454,'Istoric_Nativ'!$P$6:$P$405,1,'Istoric_Nativ'!$D$6:$D$405,"&gt;="&amp;L454)+SUMIFS('Istoric_Nativ'!$G$6:$G$405,'Istoric_Nativ'!$B$6:$B$405,E454,'Istoric_Nativ'!$C$6:$C$405,F454,'Istoric_Nativ'!$F$6:$F$405,G454,'Istoric_Nativ'!$D$6:$D$405,"&lt;"&amp;J454,'Istoric_Nativ'!$P$6:$P$405,1,'Istoric_Nativ'!$D$6:$D$405,"&gt;="&amp;L454)))/M454)</x:f>
      </x:c>
      <x:c r="P454" s="2" t="n">
        <x:f>'Config_v6'!$B$8</x:f>
        <x:v>5</x:v>
      </x:c>
      <x:c r="Q454" s="2" t="n">
        <x:f>IF(OR(B454="",F454=""),0,IFERROR(MATCH(E454&amp;"|"&amp;F454,SourceTable[Source_Key],0),0))</x:f>
        <x:v>0</x:v>
      </x:c>
      <x:c r="R454" s="2" t="str">
        <x:f>IF(B454="","",IF(F454="","UNUSED",IF(Q454=0,"NOT CHECKED",IF(COUNTIF(SourceTable[Source_Key],E454&amp;"|"&amp;F454)&lt;&gt;1,"SOURCE CONFLICT",IF(NOT(OR(INDEX(SourceTable[Status],MAX(1,Q454))="IMPORTED",INDEX(SourceTable[Status],MAX(1,Q454))="PARTIAL",INDEX(SourceTable[Status],MAX(1,Q454))="SOURCE CONFLICT")),"ACCESS BLOCKED",IF(OR(INDEX(SourceTable[Coverage],Q454)&lt;&gt;"FULL SEASON EXPORT",INDEX(SourceTable[URL],Q454)="",INDEX(SourceTable[SHA256],Q454)=""),"EVIDENCE INCOMPLETE",IF(AND('Input_Meci'!H43="LIVE",INDEX(SourceTable[Retrieved_UTC],Q454)&gt;'Input_Meci'!G43),"POST CUTOFF","CLOSED")))))))</x:f>
      </x:c>
      <x:c r="S454" s="2" t="n">
        <x:f>IF(OR(B454="",F454=""),0,COUNTIFS('Istoric_Nativ'!$B$6:$B$405,E454,'Istoric_Nativ'!$C$6:$C$405,F454,'Istoric_Nativ'!$E$6:$E$405,G454,'Istoric_Nativ'!$D$6:$D$405,"&lt;"&amp;J454,'Istoric_Nativ'!$O$6:$O$405,"INVALID")+COUNTIFS('Istoric_Nativ'!$B$6:$B$405,E454,'Istoric_Nativ'!$C$6:$C$405,F454,'Istoric_Nativ'!$E$6:$E$405,G454,'Istoric_Nativ'!$O$6:$O$405,"INVALID",'Istoric_Nativ'!$D$6:$D$405,"*")+COUNTIFS('Istoric_Nativ'!$B$6:$B$405,E454,'Istoric_Nativ'!$C$6:$C$405,F454,'Istoric_Nativ'!$E$6:$E$405,G454,'Istoric_Nativ'!$D$6:$D$405,"&lt;"&amp;J454,'Istoric_Nativ'!$O$6:$O$405,"SOURCE CONFLICT")+COUNTIFS('Istoric_Nativ'!$B$6:$B$405,E454,'Istoric_Nativ'!$C$6:$C$405,F454,'Istoric_Nativ'!$F$6:$F$405,G454,'Istoric_Nativ'!$D$6:$D$405,"&lt;"&amp;J454,'Istoric_Nativ'!$O$6:$O$405,"INVALID")+COUNTIFS('Istoric_Nativ'!$B$6:$B$405,E454,'Istoric_Nativ'!$C$6:$C$405,F454,'Istoric_Nativ'!$F$6:$F$405,G454,'Istoric_Nativ'!$O$6:$O$405,"INVALID",'Istoric_Nativ'!$D$6:$D$405,"*")+COUNTIFS('Istoric_Nativ'!$B$6:$B$405,E454,'Istoric_Nativ'!$C$6:$C$405,F454,'Istoric_Nativ'!$F$6:$F$405,G454,'Istoric_Nativ'!$D$6:$D$405,"&lt;"&amp;J454,'Istoric_Nativ'!$O$6:$O$405,"SOURCE CONFLICT"))</x:f>
        <x:v>0</x:v>
      </x:c>
      <x:c r="T454" s="2" t="str">
        <x:f>IF(B454="","",IF(R454&lt;&gt;"CLOSED",R454,IF(S454&gt;0,"NATIVE INPUT ISSUE",IF(M454=0,"NO HISTORY",IF(M454&lt;P454,"SMALL SAMPLE","DERIVED")))))</x:f>
      </x:c>
      <x:c r="U454" s="2" t="str">
        <x:f>IF(B454="","","NativeTable; "&amp;E454&amp;"; "&amp;F454&amp;"; "&amp;G454&amp;"; "&amp;H454&amp;"; before "&amp;TEXT(J454,"yyyy-mm-dd")&amp;IF(I454="RECENT","; from "&amp;TEXT(L454,"yyyy-mm-dd"),""))</x:f>
      </x:c>
    </x:row>
    <x:row r="455" ht="21" customHeight="1">
      <x:c r="A455" s="2" t="n">
        <x:v>38</x:v>
      </x:c>
      <x:c r="B455" s="2" t="str">
        <x:f>IF('Input_Meci'!A43="","",'Input_Meci'!A43)</x:f>
      </x:c>
      <x:c r="C455" s="2" t="str">
        <x:v>A</x:v>
      </x:c>
      <x:c r="D455" s="2" t="str">
        <x:v>CURRENT</x:v>
      </x:c>
      <x:c r="E455" s="2" t="str">
        <x:f>IF(B455="","",'Input_Meci'!B43)</x:f>
      </x:c>
      <x:c r="F455" s="2" t="str">
        <x:f>IF(B455="","",IF('Input_Meci'!C43="","",'Input_Meci'!C43))</x:f>
      </x:c>
      <x:c r="G455" s="2" t="str">
        <x:f>IF(B455="","",'Input_Meci'!E43)</x:f>
      </x:c>
      <x:c r="H455" s="2" t="str">
        <x:v>ANY</x:v>
      </x:c>
      <x:c r="I455" s="2" t="str">
        <x:v>RECENT</x:v>
      </x:c>
      <x:c r="J455" s="9" t="n">
        <x:f>IF(AND(B455&lt;&gt;"",ISNUMBER('Input_Meci'!G43)),INT('Input_Meci'!G43),0)</x:f>
        <x:v>0</x:v>
      </x:c>
      <x:c r="K455" s="2" t="n">
        <x:f>IF(OR(B455="",F455=""),0,IF(H455="HOME",COUNTIFS('Istoric_Nativ'!$B$6:$B$405,E455,'Istoric_Nativ'!$C$6:$C$405,F455,'Istoric_Nativ'!$E$6:$E$405,G455,'Istoric_Nativ'!$D$6:$D$405,"&lt;"&amp;J455,'Istoric_Nativ'!$P$6:$P$405,1),IF(H455="AWAY",COUNTIFS('Istoric_Nativ'!$B$6:$B$405,E455,'Istoric_Nativ'!$C$6:$C$405,F455,'Istoric_Nativ'!$F$6:$F$405,G455,'Istoric_Nativ'!$D$6:$D$405,"&lt;"&amp;J455,'Istoric_Nativ'!$P$6:$P$405,1),COUNTIFS('Istoric_Nativ'!$B$6:$B$405,E455,'Istoric_Nativ'!$C$6:$C$405,F455,'Istoric_Nativ'!$E$6:$E$405,G455,'Istoric_Nativ'!$D$6:$D$405,"&lt;"&amp;J455,'Istoric_Nativ'!$P$6:$P$405,1)+COUNTIFS('Istoric_Nativ'!$B$6:$B$405,E455,'Istoric_Nativ'!$C$6:$C$405,F455,'Istoric_Nativ'!$F$6:$F$405,G455,'Istoric_Nativ'!$D$6:$D$405,"&lt;"&amp;J455,'Istoric_Nativ'!$P$6:$P$405,1))))</x:f>
        <x:v>0</x:v>
      </x:c>
      <x:c r="L455" s="17" t="n">
        <x:f>IF(AND(B455&lt;&gt;"",I455="RECENT",K455&gt;0),LARGE(_xlfn._xlws.FILTER('Istoric_Nativ'!$D$6:$D$405,('Istoric_Nativ'!$B$6:$B$405=E455)*('Istoric_Nativ'!$C$6:$C$405=F455)*('Istoric_Nativ'!$P$6:$P$405=1)*('Istoric_Nativ'!$D$6:$D$405&lt;J455)*((('Istoric_Nativ'!$E$6:$E$405=G455)+('Istoric_Nativ'!$F$6:$F$405=G455))&gt;0)),MIN('Config_v6'!$B$54,K455)),0)</x:f>
        <x:v>0</x:v>
      </x:c>
      <x:c r="M455" s="2" t="n">
        <x:f>IF(OR(B455="",F455=""),0,IF(H455="HOME",COUNTIFS('Istoric_Nativ'!$B$6:$B$405,E455,'Istoric_Nativ'!$C$6:$C$405,F455,'Istoric_Nativ'!$E$6:$E$405,G455,'Istoric_Nativ'!$D$6:$D$405,"&lt;"&amp;J455,'Istoric_Nativ'!$P$6:$P$405,1,'Istoric_Nativ'!$D$6:$D$405,"&gt;="&amp;L455),IF(H455="AWAY",COUNTIFS('Istoric_Nativ'!$B$6:$B$405,E455,'Istoric_Nativ'!$C$6:$C$405,F455,'Istoric_Nativ'!$F$6:$F$405,G455,'Istoric_Nativ'!$D$6:$D$405,"&lt;"&amp;J455,'Istoric_Nativ'!$P$6:$P$405,1,'Istoric_Nativ'!$D$6:$D$405,"&gt;="&amp;L455),COUNTIFS('Istoric_Nativ'!$B$6:$B$405,E455,'Istoric_Nativ'!$C$6:$C$405,F455,'Istoric_Nativ'!$E$6:$E$405,G455,'Istoric_Nativ'!$D$6:$D$405,"&lt;"&amp;J455,'Istoric_Nativ'!$P$6:$P$405,1,'Istoric_Nativ'!$D$6:$D$405,"&gt;="&amp;L455)+COUNTIFS('Istoric_Nativ'!$B$6:$B$405,E455,'Istoric_Nativ'!$C$6:$C$405,F455,'Istoric_Nativ'!$F$6:$F$405,G455,'Istoric_Nativ'!$D$6:$D$405,"&lt;"&amp;J455,'Istoric_Nativ'!$P$6:$P$405,1,'Istoric_Nativ'!$D$6:$D$405,"&gt;="&amp;L455))))</x:f>
        <x:v>0</x:v>
      </x:c>
      <x:c r="N455" s="11" t="str">
        <x:f>IF(M455=0,"",IF(H455="HOME",SUMIFS('Istoric_Nativ'!$G$6:$G$405,'Istoric_Nativ'!$B$6:$B$405,E455,'Istoric_Nativ'!$C$6:$C$405,F455,'Istoric_Nativ'!$E$6:$E$405,G455,'Istoric_Nativ'!$D$6:$D$405,"&lt;"&amp;J455,'Istoric_Nativ'!$P$6:$P$405,1,'Istoric_Nativ'!$D$6:$D$405,"&gt;="&amp;L455),IF(H455="AWAY",SUMIFS('Istoric_Nativ'!$H$6:$H$405,'Istoric_Nativ'!$B$6:$B$405,E455,'Istoric_Nativ'!$C$6:$C$405,F455,'Istoric_Nativ'!$F$6:$F$405,G455,'Istoric_Nativ'!$D$6:$D$405,"&lt;"&amp;J455,'Istoric_Nativ'!$P$6:$P$405,1,'Istoric_Nativ'!$D$6:$D$405,"&gt;="&amp;L455),SUMIFS('Istoric_Nativ'!$G$6:$G$405,'Istoric_Nativ'!$B$6:$B$405,E455,'Istoric_Nativ'!$C$6:$C$405,F455,'Istoric_Nativ'!$E$6:$E$405,G455,'Istoric_Nativ'!$D$6:$D$405,"&lt;"&amp;J455,'Istoric_Nativ'!$P$6:$P$405,1,'Istoric_Nativ'!$D$6:$D$405,"&gt;="&amp;L455)+SUMIFS('Istoric_Nativ'!$H$6:$H$405,'Istoric_Nativ'!$B$6:$B$405,E455,'Istoric_Nativ'!$C$6:$C$405,F455,'Istoric_Nativ'!$F$6:$F$405,G455,'Istoric_Nativ'!$D$6:$D$405,"&lt;"&amp;J455,'Istoric_Nativ'!$P$6:$P$405,1,'Istoric_Nativ'!$D$6:$D$405,"&gt;="&amp;L455)))/M455)</x:f>
      </x:c>
      <x:c r="O455" s="11" t="str">
        <x:f>IF(M455=0,"",IF(H455="HOME",SUMIFS('Istoric_Nativ'!$H$6:$H$405,'Istoric_Nativ'!$B$6:$B$405,E455,'Istoric_Nativ'!$C$6:$C$405,F455,'Istoric_Nativ'!$E$6:$E$405,G455,'Istoric_Nativ'!$D$6:$D$405,"&lt;"&amp;J455,'Istoric_Nativ'!$P$6:$P$405,1,'Istoric_Nativ'!$D$6:$D$405,"&gt;="&amp;L455),IF(H455="AWAY",SUMIFS('Istoric_Nativ'!$G$6:$G$405,'Istoric_Nativ'!$B$6:$B$405,E455,'Istoric_Nativ'!$C$6:$C$405,F455,'Istoric_Nativ'!$F$6:$F$405,G455,'Istoric_Nativ'!$D$6:$D$405,"&lt;"&amp;J455,'Istoric_Nativ'!$P$6:$P$405,1,'Istoric_Nativ'!$D$6:$D$405,"&gt;="&amp;L455),SUMIFS('Istoric_Nativ'!$H$6:$H$405,'Istoric_Nativ'!$B$6:$B$405,E455,'Istoric_Nativ'!$C$6:$C$405,F455,'Istoric_Nativ'!$E$6:$E$405,G455,'Istoric_Nativ'!$D$6:$D$405,"&lt;"&amp;J455,'Istoric_Nativ'!$P$6:$P$405,1,'Istoric_Nativ'!$D$6:$D$405,"&gt;="&amp;L455)+SUMIFS('Istoric_Nativ'!$G$6:$G$405,'Istoric_Nativ'!$B$6:$B$405,E455,'Istoric_Nativ'!$C$6:$C$405,F455,'Istoric_Nativ'!$F$6:$F$405,G455,'Istoric_Nativ'!$D$6:$D$405,"&lt;"&amp;J455,'Istoric_Nativ'!$P$6:$P$405,1,'Istoric_Nativ'!$D$6:$D$405,"&gt;="&amp;L455)))/M455)</x:f>
      </x:c>
      <x:c r="P455" s="2" t="n">
        <x:f>'Config_v6'!$B$9</x:f>
        <x:v>3</x:v>
      </x:c>
      <x:c r="Q455" s="2" t="n">
        <x:f>IF(OR(B455="",F455=""),0,IFERROR(MATCH(E455&amp;"|"&amp;F455,SourceTable[Source_Key],0),0))</x:f>
        <x:v>0</x:v>
      </x:c>
      <x:c r="R455" s="2" t="str">
        <x:f>IF(B455="","",IF(F455="","UNUSED",IF(Q455=0,"NOT CHECKED",IF(COUNTIF(SourceTable[Source_Key],E455&amp;"|"&amp;F455)&lt;&gt;1,"SOURCE CONFLICT",IF(NOT(OR(INDEX(SourceTable[Status],MAX(1,Q455))="IMPORTED",INDEX(SourceTable[Status],MAX(1,Q455))="PARTIAL",INDEX(SourceTable[Status],MAX(1,Q455))="SOURCE CONFLICT")),"ACCESS BLOCKED",IF(OR(INDEX(SourceTable[Coverage],Q455)&lt;&gt;"FULL SEASON EXPORT",INDEX(SourceTable[URL],Q455)="",INDEX(SourceTable[SHA256],Q455)=""),"EVIDENCE INCOMPLETE",IF(AND('Input_Meci'!H43="LIVE",INDEX(SourceTable[Retrieved_UTC],Q455)&gt;'Input_Meci'!G43),"POST CUTOFF","CLOSED")))))))</x:f>
      </x:c>
      <x:c r="S455" s="2" t="n">
        <x:f>IF(OR(B455="",F455=""),0,COUNTIFS('Istoric_Nativ'!$B$6:$B$405,E455,'Istoric_Nativ'!$C$6:$C$405,F455,'Istoric_Nativ'!$E$6:$E$405,G455,'Istoric_Nativ'!$D$6:$D$405,"&lt;"&amp;J455,'Istoric_Nativ'!$O$6:$O$405,"INVALID")+COUNTIFS('Istoric_Nativ'!$B$6:$B$405,E455,'Istoric_Nativ'!$C$6:$C$405,F455,'Istoric_Nativ'!$E$6:$E$405,G455,'Istoric_Nativ'!$O$6:$O$405,"INVALID",'Istoric_Nativ'!$D$6:$D$405,"*")+COUNTIFS('Istoric_Nativ'!$B$6:$B$405,E455,'Istoric_Nativ'!$C$6:$C$405,F455,'Istoric_Nativ'!$E$6:$E$405,G455,'Istoric_Nativ'!$D$6:$D$405,"&lt;"&amp;J455,'Istoric_Nativ'!$O$6:$O$405,"SOURCE CONFLICT")+COUNTIFS('Istoric_Nativ'!$B$6:$B$405,E455,'Istoric_Nativ'!$C$6:$C$405,F455,'Istoric_Nativ'!$F$6:$F$405,G455,'Istoric_Nativ'!$D$6:$D$405,"&lt;"&amp;J455,'Istoric_Nativ'!$O$6:$O$405,"INVALID")+COUNTIFS('Istoric_Nativ'!$B$6:$B$405,E455,'Istoric_Nativ'!$C$6:$C$405,F455,'Istoric_Nativ'!$F$6:$F$405,G455,'Istoric_Nativ'!$O$6:$O$405,"INVALID",'Istoric_Nativ'!$D$6:$D$405,"*")+COUNTIFS('Istoric_Nativ'!$B$6:$B$405,E455,'Istoric_Nativ'!$C$6:$C$405,F455,'Istoric_Nativ'!$F$6:$F$405,G455,'Istoric_Nativ'!$D$6:$D$405,"&lt;"&amp;J455,'Istoric_Nativ'!$O$6:$O$405,"SOURCE CONFLICT"))</x:f>
        <x:v>0</x:v>
      </x:c>
      <x:c r="T455" s="2" t="str">
        <x:f>IF(B455="","",IF(R455&lt;&gt;"CLOSED",R455,IF(S455&gt;0,"NATIVE INPUT ISSUE",IF(M455=0,"NO HISTORY",IF(M455&lt;P455,"SMALL SAMPLE","DERIVED")))))</x:f>
      </x:c>
      <x:c r="U455" s="2" t="str">
        <x:f>IF(B455="","","NativeTable; "&amp;E455&amp;"; "&amp;F455&amp;"; "&amp;G455&amp;"; "&amp;H455&amp;"; before "&amp;TEXT(J455,"yyyy-mm-dd")&amp;IF(I455="RECENT","; from "&amp;TEXT(L455,"yyyy-mm-dd"),""))</x:f>
      </x:c>
    </x:row>
    <x:row r="456" ht="21" customHeight="1">
      <x:c r="A456" s="2" t="n">
        <x:v>38</x:v>
      </x:c>
      <x:c r="B456" s="2" t="str">
        <x:f>IF('Input_Meci'!A43="","",'Input_Meci'!A43)</x:f>
      </x:c>
      <x:c r="C456" s="2" t="str">
        <x:v>H</x:v>
      </x:c>
      <x:c r="D456" s="2" t="str">
        <x:v>PRIOR</x:v>
      </x:c>
      <x:c r="E456" s="2" t="str">
        <x:f>IF(B456="","",'Input_Meci'!B43)</x:f>
      </x:c>
      <x:c r="F456" s="2" t="str">
        <x:f>IF(B456="","",IF('Input_Meci'!K43="","",'Input_Meci'!K43))</x:f>
      </x:c>
      <x:c r="G456" s="2" t="str">
        <x:f>IF(B456="","",'Input_Meci'!D43)</x:f>
      </x:c>
      <x:c r="H456" s="2" t="str">
        <x:v>ANY</x:v>
      </x:c>
      <x:c r="I456" s="2" t="str">
        <x:v>SEASON</x:v>
      </x:c>
      <x:c r="J456" s="9" t="n">
        <x:f>IF(AND(B456&lt;&gt;"",ISNUMBER('Input_Meci'!G43)),INT('Input_Meci'!G43),0)</x:f>
        <x:v>0</x:v>
      </x:c>
      <x:c r="K456" s="2" t="n">
        <x:f>IF(OR(B456="",F456=""),0,IF(H456="HOME",COUNTIFS('Istoric_Nativ'!$B$6:$B$405,E456,'Istoric_Nativ'!$C$6:$C$405,F456,'Istoric_Nativ'!$E$6:$E$405,G456,'Istoric_Nativ'!$D$6:$D$405,"&lt;"&amp;J456,'Istoric_Nativ'!$P$6:$P$405,1),IF(H456="AWAY",COUNTIFS('Istoric_Nativ'!$B$6:$B$405,E456,'Istoric_Nativ'!$C$6:$C$405,F456,'Istoric_Nativ'!$F$6:$F$405,G456,'Istoric_Nativ'!$D$6:$D$405,"&lt;"&amp;J456,'Istoric_Nativ'!$P$6:$P$405,1),COUNTIFS('Istoric_Nativ'!$B$6:$B$405,E456,'Istoric_Nativ'!$C$6:$C$405,F456,'Istoric_Nativ'!$E$6:$E$405,G456,'Istoric_Nativ'!$D$6:$D$405,"&lt;"&amp;J456,'Istoric_Nativ'!$P$6:$P$405,1)+COUNTIFS('Istoric_Nativ'!$B$6:$B$405,E456,'Istoric_Nativ'!$C$6:$C$405,F456,'Istoric_Nativ'!$F$6:$F$405,G456,'Istoric_Nativ'!$D$6:$D$405,"&lt;"&amp;J456,'Istoric_Nativ'!$P$6:$P$405,1))))</x:f>
        <x:v>0</x:v>
      </x:c>
      <x:c r="L456" s="17" t="n">
        <x:f>IF(AND(B456&lt;&gt;"",I456="RECENT",K456&gt;0),LARGE(_xlfn._xlws.FILTER('Istoric_Nativ'!$D$6:$D$405,('Istoric_Nativ'!$B$6:$B$405=E456)*('Istoric_Nativ'!$C$6:$C$405=F456)*('Istoric_Nativ'!$P$6:$P$405=1)*('Istoric_Nativ'!$D$6:$D$405&lt;J456)*((('Istoric_Nativ'!$E$6:$E$405=G456)+('Istoric_Nativ'!$F$6:$F$405=G456))&gt;0)),MIN('Config_v6'!$B$54,K456)),0)</x:f>
        <x:v>0</x:v>
      </x:c>
      <x:c r="M456" s="2" t="n">
        <x:f>IF(OR(B456="",F456=""),0,IF(H456="HOME",COUNTIFS('Istoric_Nativ'!$B$6:$B$405,E456,'Istoric_Nativ'!$C$6:$C$405,F456,'Istoric_Nativ'!$E$6:$E$405,G456,'Istoric_Nativ'!$D$6:$D$405,"&lt;"&amp;J456,'Istoric_Nativ'!$P$6:$P$405,1,'Istoric_Nativ'!$D$6:$D$405,"&gt;="&amp;L456),IF(H456="AWAY",COUNTIFS('Istoric_Nativ'!$B$6:$B$405,E456,'Istoric_Nativ'!$C$6:$C$405,F456,'Istoric_Nativ'!$F$6:$F$405,G456,'Istoric_Nativ'!$D$6:$D$405,"&lt;"&amp;J456,'Istoric_Nativ'!$P$6:$P$405,1,'Istoric_Nativ'!$D$6:$D$405,"&gt;="&amp;L456),COUNTIFS('Istoric_Nativ'!$B$6:$B$405,E456,'Istoric_Nativ'!$C$6:$C$405,F456,'Istoric_Nativ'!$E$6:$E$405,G456,'Istoric_Nativ'!$D$6:$D$405,"&lt;"&amp;J456,'Istoric_Nativ'!$P$6:$P$405,1,'Istoric_Nativ'!$D$6:$D$405,"&gt;="&amp;L456)+COUNTIFS('Istoric_Nativ'!$B$6:$B$405,E456,'Istoric_Nativ'!$C$6:$C$405,F456,'Istoric_Nativ'!$F$6:$F$405,G456,'Istoric_Nativ'!$D$6:$D$405,"&lt;"&amp;J456,'Istoric_Nativ'!$P$6:$P$405,1,'Istoric_Nativ'!$D$6:$D$405,"&gt;="&amp;L456))))</x:f>
        <x:v>0</x:v>
      </x:c>
      <x:c r="N456" s="11" t="str">
        <x:f>IF(M456=0,"",IF(H456="HOME",SUMIFS('Istoric_Nativ'!$G$6:$G$405,'Istoric_Nativ'!$B$6:$B$405,E456,'Istoric_Nativ'!$C$6:$C$405,F456,'Istoric_Nativ'!$E$6:$E$405,G456,'Istoric_Nativ'!$D$6:$D$405,"&lt;"&amp;J456,'Istoric_Nativ'!$P$6:$P$405,1,'Istoric_Nativ'!$D$6:$D$405,"&gt;="&amp;L456),IF(H456="AWAY",SUMIFS('Istoric_Nativ'!$H$6:$H$405,'Istoric_Nativ'!$B$6:$B$405,E456,'Istoric_Nativ'!$C$6:$C$405,F456,'Istoric_Nativ'!$F$6:$F$405,G456,'Istoric_Nativ'!$D$6:$D$405,"&lt;"&amp;J456,'Istoric_Nativ'!$P$6:$P$405,1,'Istoric_Nativ'!$D$6:$D$405,"&gt;="&amp;L456),SUMIFS('Istoric_Nativ'!$G$6:$G$405,'Istoric_Nativ'!$B$6:$B$405,E456,'Istoric_Nativ'!$C$6:$C$405,F456,'Istoric_Nativ'!$E$6:$E$405,G456,'Istoric_Nativ'!$D$6:$D$405,"&lt;"&amp;J456,'Istoric_Nativ'!$P$6:$P$405,1,'Istoric_Nativ'!$D$6:$D$405,"&gt;="&amp;L456)+SUMIFS('Istoric_Nativ'!$H$6:$H$405,'Istoric_Nativ'!$B$6:$B$405,E456,'Istoric_Nativ'!$C$6:$C$405,F456,'Istoric_Nativ'!$F$6:$F$405,G456,'Istoric_Nativ'!$D$6:$D$405,"&lt;"&amp;J456,'Istoric_Nativ'!$P$6:$P$405,1,'Istoric_Nativ'!$D$6:$D$405,"&gt;="&amp;L456)))/M456)</x:f>
      </x:c>
      <x:c r="O456" s="11" t="str">
        <x:f>IF(M456=0,"",IF(H456="HOME",SUMIFS('Istoric_Nativ'!$H$6:$H$405,'Istoric_Nativ'!$B$6:$B$405,E456,'Istoric_Nativ'!$C$6:$C$405,F456,'Istoric_Nativ'!$E$6:$E$405,G456,'Istoric_Nativ'!$D$6:$D$405,"&lt;"&amp;J456,'Istoric_Nativ'!$P$6:$P$405,1,'Istoric_Nativ'!$D$6:$D$405,"&gt;="&amp;L456),IF(H456="AWAY",SUMIFS('Istoric_Nativ'!$G$6:$G$405,'Istoric_Nativ'!$B$6:$B$405,E456,'Istoric_Nativ'!$C$6:$C$405,F456,'Istoric_Nativ'!$F$6:$F$405,G456,'Istoric_Nativ'!$D$6:$D$405,"&lt;"&amp;J456,'Istoric_Nativ'!$P$6:$P$405,1,'Istoric_Nativ'!$D$6:$D$405,"&gt;="&amp;L456),SUMIFS('Istoric_Nativ'!$H$6:$H$405,'Istoric_Nativ'!$B$6:$B$405,E456,'Istoric_Nativ'!$C$6:$C$405,F456,'Istoric_Nativ'!$E$6:$E$405,G456,'Istoric_Nativ'!$D$6:$D$405,"&lt;"&amp;J456,'Istoric_Nativ'!$P$6:$P$405,1,'Istoric_Nativ'!$D$6:$D$405,"&gt;="&amp;L456)+SUMIFS('Istoric_Nativ'!$G$6:$G$405,'Istoric_Nativ'!$B$6:$B$405,E456,'Istoric_Nativ'!$C$6:$C$405,F456,'Istoric_Nativ'!$F$6:$F$405,G456,'Istoric_Nativ'!$D$6:$D$405,"&lt;"&amp;J456,'Istoric_Nativ'!$P$6:$P$405,1,'Istoric_Nativ'!$D$6:$D$405,"&gt;="&amp;L456)))/M456)</x:f>
      </x:c>
      <x:c r="P456" s="2" t="n">
        <x:f>'Config_v6'!$B$7</x:f>
        <x:v>10</x:v>
      </x:c>
      <x:c r="Q456" s="2" t="n">
        <x:f>IF(OR(B456="",F456=""),0,IFERROR(MATCH(E456&amp;"|"&amp;F456,SourceTable[Source_Key],0),0))</x:f>
        <x:v>0</x:v>
      </x:c>
      <x:c r="R456" s="2" t="str">
        <x:f>IF(B456="","",IF(F456="","UNUSED",IF(Q456=0,"NOT CHECKED",IF(COUNTIF(SourceTable[Source_Key],E456&amp;"|"&amp;F456)&lt;&gt;1,"SOURCE CONFLICT",IF(NOT(OR(INDEX(SourceTable[Status],MAX(1,Q456))="IMPORTED",INDEX(SourceTable[Status],MAX(1,Q456))="PARTIAL",INDEX(SourceTable[Status],MAX(1,Q456))="SOURCE CONFLICT")),"ACCESS BLOCKED",IF(OR(INDEX(SourceTable[Coverage],Q456)&lt;&gt;"FULL SEASON EXPORT",INDEX(SourceTable[URL],Q456)="",INDEX(SourceTable[SHA256],Q456)=""),"EVIDENCE INCOMPLETE",IF(AND('Input_Meci'!H43="LIVE",INDEX(SourceTable[Retrieved_UTC],Q456)&gt;'Input_Meci'!G43),"POST CUTOFF","CLOSED")))))))</x:f>
      </x:c>
      <x:c r="S456" s="2" t="n">
        <x:f>IF(OR(B456="",F456=""),0,COUNTIFS('Istoric_Nativ'!$B$6:$B$405,E456,'Istoric_Nativ'!$C$6:$C$405,F456,'Istoric_Nativ'!$E$6:$E$405,G456,'Istoric_Nativ'!$D$6:$D$405,"&lt;"&amp;J456,'Istoric_Nativ'!$O$6:$O$405,"INVALID")+COUNTIFS('Istoric_Nativ'!$B$6:$B$405,E456,'Istoric_Nativ'!$C$6:$C$405,F456,'Istoric_Nativ'!$E$6:$E$405,G456,'Istoric_Nativ'!$O$6:$O$405,"INVALID",'Istoric_Nativ'!$D$6:$D$405,"*")+COUNTIFS('Istoric_Nativ'!$B$6:$B$405,E456,'Istoric_Nativ'!$C$6:$C$405,F456,'Istoric_Nativ'!$E$6:$E$405,G456,'Istoric_Nativ'!$D$6:$D$405,"&lt;"&amp;J456,'Istoric_Nativ'!$O$6:$O$405,"SOURCE CONFLICT")+COUNTIFS('Istoric_Nativ'!$B$6:$B$405,E456,'Istoric_Nativ'!$C$6:$C$405,F456,'Istoric_Nativ'!$F$6:$F$405,G456,'Istoric_Nativ'!$D$6:$D$405,"&lt;"&amp;J456,'Istoric_Nativ'!$O$6:$O$405,"INVALID")+COUNTIFS('Istoric_Nativ'!$B$6:$B$405,E456,'Istoric_Nativ'!$C$6:$C$405,F456,'Istoric_Nativ'!$F$6:$F$405,G456,'Istoric_Nativ'!$O$6:$O$405,"INVALID",'Istoric_Nativ'!$D$6:$D$405,"*")+COUNTIFS('Istoric_Nativ'!$B$6:$B$405,E456,'Istoric_Nativ'!$C$6:$C$405,F456,'Istoric_Nativ'!$F$6:$F$405,G456,'Istoric_Nativ'!$D$6:$D$405,"&lt;"&amp;J456,'Istoric_Nativ'!$O$6:$O$405,"SOURCE CONFLICT"))</x:f>
        <x:v>0</x:v>
      </x:c>
      <x:c r="T456" s="2" t="str">
        <x:f>IF(B456="","",IF(R456&lt;&gt;"CLOSED",R456,IF(S456&gt;0,"NATIVE INPUT ISSUE",IF(M456=0,"NO HISTORY",IF(M456&lt;P456,"SMALL SAMPLE","DERIVED")))))</x:f>
      </x:c>
      <x:c r="U456" s="2" t="str">
        <x:f>IF(B456="","","NativeTable; "&amp;E456&amp;"; "&amp;F456&amp;"; "&amp;G456&amp;"; "&amp;H456&amp;"; before "&amp;TEXT(J456,"yyyy-mm-dd")&amp;IF(I456="RECENT","; from "&amp;TEXT(L456,"yyyy-mm-dd"),""))</x:f>
      </x:c>
    </x:row>
    <x:row r="457" ht="21" customHeight="1">
      <x:c r="A457" s="2" t="n">
        <x:v>38</x:v>
      </x:c>
      <x:c r="B457" s="2" t="str">
        <x:f>IF('Input_Meci'!A43="","",'Input_Meci'!A43)</x:f>
      </x:c>
      <x:c r="C457" s="2" t="str">
        <x:v>H</x:v>
      </x:c>
      <x:c r="D457" s="2" t="str">
        <x:v>PRIOR</x:v>
      </x:c>
      <x:c r="E457" s="2" t="str">
        <x:f>IF(B457="","",'Input_Meci'!B43)</x:f>
      </x:c>
      <x:c r="F457" s="2" t="str">
        <x:f>IF(B457="","",IF('Input_Meci'!K43="","",'Input_Meci'!K43))</x:f>
      </x:c>
      <x:c r="G457" s="2" t="str">
        <x:f>IF(B457="","",'Input_Meci'!D43)</x:f>
      </x:c>
      <x:c r="H457" s="2" t="str">
        <x:v>HOME</x:v>
      </x:c>
      <x:c r="I457" s="2" t="str">
        <x:v>HA</x:v>
      </x:c>
      <x:c r="J457" s="9" t="n">
        <x:f>IF(AND(B457&lt;&gt;"",ISNUMBER('Input_Meci'!G43)),INT('Input_Meci'!G43),0)</x:f>
        <x:v>0</x:v>
      </x:c>
      <x:c r="K457" s="2" t="n">
        <x:f>IF(OR(B457="",F457=""),0,IF(H457="HOME",COUNTIFS('Istoric_Nativ'!$B$6:$B$405,E457,'Istoric_Nativ'!$C$6:$C$405,F457,'Istoric_Nativ'!$E$6:$E$405,G457,'Istoric_Nativ'!$D$6:$D$405,"&lt;"&amp;J457,'Istoric_Nativ'!$P$6:$P$405,1),IF(H457="AWAY",COUNTIFS('Istoric_Nativ'!$B$6:$B$405,E457,'Istoric_Nativ'!$C$6:$C$405,F457,'Istoric_Nativ'!$F$6:$F$405,G457,'Istoric_Nativ'!$D$6:$D$405,"&lt;"&amp;J457,'Istoric_Nativ'!$P$6:$P$405,1),COUNTIFS('Istoric_Nativ'!$B$6:$B$405,E457,'Istoric_Nativ'!$C$6:$C$405,F457,'Istoric_Nativ'!$E$6:$E$405,G457,'Istoric_Nativ'!$D$6:$D$405,"&lt;"&amp;J457,'Istoric_Nativ'!$P$6:$P$405,1)+COUNTIFS('Istoric_Nativ'!$B$6:$B$405,E457,'Istoric_Nativ'!$C$6:$C$405,F457,'Istoric_Nativ'!$F$6:$F$405,G457,'Istoric_Nativ'!$D$6:$D$405,"&lt;"&amp;J457,'Istoric_Nativ'!$P$6:$P$405,1))))</x:f>
        <x:v>0</x:v>
      </x:c>
      <x:c r="L457" s="17" t="n">
        <x:f>IF(AND(B457&lt;&gt;"",I457="RECENT",K457&gt;0),LARGE(_xlfn._xlws.FILTER('Istoric_Nativ'!$D$6:$D$405,('Istoric_Nativ'!$B$6:$B$405=E457)*('Istoric_Nativ'!$C$6:$C$405=F457)*('Istoric_Nativ'!$P$6:$P$405=1)*('Istoric_Nativ'!$D$6:$D$405&lt;J457)*((('Istoric_Nativ'!$E$6:$E$405=G457)+('Istoric_Nativ'!$F$6:$F$405=G457))&gt;0)),MIN('Config_v6'!$B$54,K457)),0)</x:f>
        <x:v>0</x:v>
      </x:c>
      <x:c r="M457" s="2" t="n">
        <x:f>IF(OR(B457="",F457=""),0,IF(H457="HOME",COUNTIFS('Istoric_Nativ'!$B$6:$B$405,E457,'Istoric_Nativ'!$C$6:$C$405,F457,'Istoric_Nativ'!$E$6:$E$405,G457,'Istoric_Nativ'!$D$6:$D$405,"&lt;"&amp;J457,'Istoric_Nativ'!$P$6:$P$405,1,'Istoric_Nativ'!$D$6:$D$405,"&gt;="&amp;L457),IF(H457="AWAY",COUNTIFS('Istoric_Nativ'!$B$6:$B$405,E457,'Istoric_Nativ'!$C$6:$C$405,F457,'Istoric_Nativ'!$F$6:$F$405,G457,'Istoric_Nativ'!$D$6:$D$405,"&lt;"&amp;J457,'Istoric_Nativ'!$P$6:$P$405,1,'Istoric_Nativ'!$D$6:$D$405,"&gt;="&amp;L457),COUNTIFS('Istoric_Nativ'!$B$6:$B$405,E457,'Istoric_Nativ'!$C$6:$C$405,F457,'Istoric_Nativ'!$E$6:$E$405,G457,'Istoric_Nativ'!$D$6:$D$405,"&lt;"&amp;J457,'Istoric_Nativ'!$P$6:$P$405,1,'Istoric_Nativ'!$D$6:$D$405,"&gt;="&amp;L457)+COUNTIFS('Istoric_Nativ'!$B$6:$B$405,E457,'Istoric_Nativ'!$C$6:$C$405,F457,'Istoric_Nativ'!$F$6:$F$405,G457,'Istoric_Nativ'!$D$6:$D$405,"&lt;"&amp;J457,'Istoric_Nativ'!$P$6:$P$405,1,'Istoric_Nativ'!$D$6:$D$405,"&gt;="&amp;L457))))</x:f>
        <x:v>0</x:v>
      </x:c>
      <x:c r="N457" s="11" t="str">
        <x:f>IF(M457=0,"",IF(H457="HOME",SUMIFS('Istoric_Nativ'!$G$6:$G$405,'Istoric_Nativ'!$B$6:$B$405,E457,'Istoric_Nativ'!$C$6:$C$405,F457,'Istoric_Nativ'!$E$6:$E$405,G457,'Istoric_Nativ'!$D$6:$D$405,"&lt;"&amp;J457,'Istoric_Nativ'!$P$6:$P$405,1,'Istoric_Nativ'!$D$6:$D$405,"&gt;="&amp;L457),IF(H457="AWAY",SUMIFS('Istoric_Nativ'!$H$6:$H$405,'Istoric_Nativ'!$B$6:$B$405,E457,'Istoric_Nativ'!$C$6:$C$405,F457,'Istoric_Nativ'!$F$6:$F$405,G457,'Istoric_Nativ'!$D$6:$D$405,"&lt;"&amp;J457,'Istoric_Nativ'!$P$6:$P$405,1,'Istoric_Nativ'!$D$6:$D$405,"&gt;="&amp;L457),SUMIFS('Istoric_Nativ'!$G$6:$G$405,'Istoric_Nativ'!$B$6:$B$405,E457,'Istoric_Nativ'!$C$6:$C$405,F457,'Istoric_Nativ'!$E$6:$E$405,G457,'Istoric_Nativ'!$D$6:$D$405,"&lt;"&amp;J457,'Istoric_Nativ'!$P$6:$P$405,1,'Istoric_Nativ'!$D$6:$D$405,"&gt;="&amp;L457)+SUMIFS('Istoric_Nativ'!$H$6:$H$405,'Istoric_Nativ'!$B$6:$B$405,E457,'Istoric_Nativ'!$C$6:$C$405,F457,'Istoric_Nativ'!$F$6:$F$405,G457,'Istoric_Nativ'!$D$6:$D$405,"&lt;"&amp;J457,'Istoric_Nativ'!$P$6:$P$405,1,'Istoric_Nativ'!$D$6:$D$405,"&gt;="&amp;L457)))/M457)</x:f>
      </x:c>
      <x:c r="O457" s="11" t="str">
        <x:f>IF(M457=0,"",IF(H457="HOME",SUMIFS('Istoric_Nativ'!$H$6:$H$405,'Istoric_Nativ'!$B$6:$B$405,E457,'Istoric_Nativ'!$C$6:$C$405,F457,'Istoric_Nativ'!$E$6:$E$405,G457,'Istoric_Nativ'!$D$6:$D$405,"&lt;"&amp;J457,'Istoric_Nativ'!$P$6:$P$405,1,'Istoric_Nativ'!$D$6:$D$405,"&gt;="&amp;L457),IF(H457="AWAY",SUMIFS('Istoric_Nativ'!$G$6:$G$405,'Istoric_Nativ'!$B$6:$B$405,E457,'Istoric_Nativ'!$C$6:$C$405,F457,'Istoric_Nativ'!$F$6:$F$405,G457,'Istoric_Nativ'!$D$6:$D$405,"&lt;"&amp;J457,'Istoric_Nativ'!$P$6:$P$405,1,'Istoric_Nativ'!$D$6:$D$405,"&gt;="&amp;L457),SUMIFS('Istoric_Nativ'!$H$6:$H$405,'Istoric_Nativ'!$B$6:$B$405,E457,'Istoric_Nativ'!$C$6:$C$405,F457,'Istoric_Nativ'!$E$6:$E$405,G457,'Istoric_Nativ'!$D$6:$D$405,"&lt;"&amp;J457,'Istoric_Nativ'!$P$6:$P$405,1,'Istoric_Nativ'!$D$6:$D$405,"&gt;="&amp;L457)+SUMIFS('Istoric_Nativ'!$G$6:$G$405,'Istoric_Nativ'!$B$6:$B$405,E457,'Istoric_Nativ'!$C$6:$C$405,F457,'Istoric_Nativ'!$F$6:$F$405,G457,'Istoric_Nativ'!$D$6:$D$405,"&lt;"&amp;J457,'Istoric_Nativ'!$P$6:$P$405,1,'Istoric_Nativ'!$D$6:$D$405,"&gt;="&amp;L457)))/M457)</x:f>
      </x:c>
      <x:c r="P457" s="2" t="n">
        <x:f>'Config_v6'!$B$8</x:f>
        <x:v>5</x:v>
      </x:c>
      <x:c r="Q457" s="2" t="n">
        <x:f>IF(OR(B457="",F457=""),0,IFERROR(MATCH(E457&amp;"|"&amp;F457,SourceTable[Source_Key],0),0))</x:f>
        <x:v>0</x:v>
      </x:c>
      <x:c r="R457" s="2" t="str">
        <x:f>IF(B457="","",IF(F457="","UNUSED",IF(Q457=0,"NOT CHECKED",IF(COUNTIF(SourceTable[Source_Key],E457&amp;"|"&amp;F457)&lt;&gt;1,"SOURCE CONFLICT",IF(NOT(OR(INDEX(SourceTable[Status],MAX(1,Q457))="IMPORTED",INDEX(SourceTable[Status],MAX(1,Q457))="PARTIAL",INDEX(SourceTable[Status],MAX(1,Q457))="SOURCE CONFLICT")),"ACCESS BLOCKED",IF(OR(INDEX(SourceTable[Coverage],Q457)&lt;&gt;"FULL SEASON EXPORT",INDEX(SourceTable[URL],Q457)="",INDEX(SourceTable[SHA256],Q457)=""),"EVIDENCE INCOMPLETE",IF(AND('Input_Meci'!H43="LIVE",INDEX(SourceTable[Retrieved_UTC],Q457)&gt;'Input_Meci'!G43),"POST CUTOFF","CLOSED")))))))</x:f>
      </x:c>
      <x:c r="S457" s="2" t="n">
        <x:f>IF(OR(B457="",F457=""),0,COUNTIFS('Istoric_Nativ'!$B$6:$B$405,E457,'Istoric_Nativ'!$C$6:$C$405,F457,'Istoric_Nativ'!$E$6:$E$405,G457,'Istoric_Nativ'!$D$6:$D$405,"&lt;"&amp;J457,'Istoric_Nativ'!$O$6:$O$405,"INVALID")+COUNTIFS('Istoric_Nativ'!$B$6:$B$405,E457,'Istoric_Nativ'!$C$6:$C$405,F457,'Istoric_Nativ'!$E$6:$E$405,G457,'Istoric_Nativ'!$O$6:$O$405,"INVALID",'Istoric_Nativ'!$D$6:$D$405,"*")+COUNTIFS('Istoric_Nativ'!$B$6:$B$405,E457,'Istoric_Nativ'!$C$6:$C$405,F457,'Istoric_Nativ'!$E$6:$E$405,G457,'Istoric_Nativ'!$D$6:$D$405,"&lt;"&amp;J457,'Istoric_Nativ'!$O$6:$O$405,"SOURCE CONFLICT")+COUNTIFS('Istoric_Nativ'!$B$6:$B$405,E457,'Istoric_Nativ'!$C$6:$C$405,F457,'Istoric_Nativ'!$F$6:$F$405,G457,'Istoric_Nativ'!$D$6:$D$405,"&lt;"&amp;J457,'Istoric_Nativ'!$O$6:$O$405,"INVALID")+COUNTIFS('Istoric_Nativ'!$B$6:$B$405,E457,'Istoric_Nativ'!$C$6:$C$405,F457,'Istoric_Nativ'!$F$6:$F$405,G457,'Istoric_Nativ'!$O$6:$O$405,"INVALID",'Istoric_Nativ'!$D$6:$D$405,"*")+COUNTIFS('Istoric_Nativ'!$B$6:$B$405,E457,'Istoric_Nativ'!$C$6:$C$405,F457,'Istoric_Nativ'!$F$6:$F$405,G457,'Istoric_Nativ'!$D$6:$D$405,"&lt;"&amp;J457,'Istoric_Nativ'!$O$6:$O$405,"SOURCE CONFLICT"))</x:f>
        <x:v>0</x:v>
      </x:c>
      <x:c r="T457" s="2" t="str">
        <x:f>IF(B457="","",IF(R457&lt;&gt;"CLOSED",R457,IF(S457&gt;0,"NATIVE INPUT ISSUE",IF(M457=0,"NO HISTORY",IF(M457&lt;P457,"SMALL SAMPLE","DERIVED")))))</x:f>
      </x:c>
      <x:c r="U457" s="2" t="str">
        <x:f>IF(B457="","","NativeTable; "&amp;E457&amp;"; "&amp;F457&amp;"; "&amp;G457&amp;"; "&amp;H457&amp;"; before "&amp;TEXT(J457,"yyyy-mm-dd")&amp;IF(I457="RECENT","; from "&amp;TEXT(L457,"yyyy-mm-dd"),""))</x:f>
      </x:c>
    </x:row>
    <x:row r="458" ht="21" customHeight="1">
      <x:c r="A458" s="2" t="n">
        <x:v>38</x:v>
      </x:c>
      <x:c r="B458" s="2" t="str">
        <x:f>IF('Input_Meci'!A43="","",'Input_Meci'!A43)</x:f>
      </x:c>
      <x:c r="C458" s="2" t="str">
        <x:v>H</x:v>
      </x:c>
      <x:c r="D458" s="2" t="str">
        <x:v>PRIOR</x:v>
      </x:c>
      <x:c r="E458" s="2" t="str">
        <x:f>IF(B458="","",'Input_Meci'!B43)</x:f>
      </x:c>
      <x:c r="F458" s="2" t="str">
        <x:f>IF(B458="","",IF('Input_Meci'!K43="","",'Input_Meci'!K43))</x:f>
      </x:c>
      <x:c r="G458" s="2" t="str">
        <x:f>IF(B458="","",'Input_Meci'!D43)</x:f>
      </x:c>
      <x:c r="H458" s="2" t="str">
        <x:v>ANY</x:v>
      </x:c>
      <x:c r="I458" s="2" t="str">
        <x:v>RECENT</x:v>
      </x:c>
      <x:c r="J458" s="9" t="n">
        <x:f>IF(AND(B458&lt;&gt;"",ISNUMBER('Input_Meci'!G43)),INT('Input_Meci'!G43),0)</x:f>
        <x:v>0</x:v>
      </x:c>
      <x:c r="K458" s="2" t="n">
        <x:f>IF(OR(B458="",F458=""),0,IF(H458="HOME",COUNTIFS('Istoric_Nativ'!$B$6:$B$405,E458,'Istoric_Nativ'!$C$6:$C$405,F458,'Istoric_Nativ'!$E$6:$E$405,G458,'Istoric_Nativ'!$D$6:$D$405,"&lt;"&amp;J458,'Istoric_Nativ'!$P$6:$P$405,1),IF(H458="AWAY",COUNTIFS('Istoric_Nativ'!$B$6:$B$405,E458,'Istoric_Nativ'!$C$6:$C$405,F458,'Istoric_Nativ'!$F$6:$F$405,G458,'Istoric_Nativ'!$D$6:$D$405,"&lt;"&amp;J458,'Istoric_Nativ'!$P$6:$P$405,1),COUNTIFS('Istoric_Nativ'!$B$6:$B$405,E458,'Istoric_Nativ'!$C$6:$C$405,F458,'Istoric_Nativ'!$E$6:$E$405,G458,'Istoric_Nativ'!$D$6:$D$405,"&lt;"&amp;J458,'Istoric_Nativ'!$P$6:$P$405,1)+COUNTIFS('Istoric_Nativ'!$B$6:$B$405,E458,'Istoric_Nativ'!$C$6:$C$405,F458,'Istoric_Nativ'!$F$6:$F$405,G458,'Istoric_Nativ'!$D$6:$D$405,"&lt;"&amp;J458,'Istoric_Nativ'!$P$6:$P$405,1))))</x:f>
        <x:v>0</x:v>
      </x:c>
      <x:c r="L458" s="17" t="n">
        <x:f>IF(AND(B458&lt;&gt;"",I458="RECENT",K458&gt;0),LARGE(_xlfn._xlws.FILTER('Istoric_Nativ'!$D$6:$D$405,('Istoric_Nativ'!$B$6:$B$405=E458)*('Istoric_Nativ'!$C$6:$C$405=F458)*('Istoric_Nativ'!$P$6:$P$405=1)*('Istoric_Nativ'!$D$6:$D$405&lt;J458)*((('Istoric_Nativ'!$E$6:$E$405=G458)+('Istoric_Nativ'!$F$6:$F$405=G458))&gt;0)),MIN('Config_v6'!$B$54,K458)),0)</x:f>
        <x:v>0</x:v>
      </x:c>
      <x:c r="M458" s="2" t="n">
        <x:f>IF(OR(B458="",F458=""),0,IF(H458="HOME",COUNTIFS('Istoric_Nativ'!$B$6:$B$405,E458,'Istoric_Nativ'!$C$6:$C$405,F458,'Istoric_Nativ'!$E$6:$E$405,G458,'Istoric_Nativ'!$D$6:$D$405,"&lt;"&amp;J458,'Istoric_Nativ'!$P$6:$P$405,1,'Istoric_Nativ'!$D$6:$D$405,"&gt;="&amp;L458),IF(H458="AWAY",COUNTIFS('Istoric_Nativ'!$B$6:$B$405,E458,'Istoric_Nativ'!$C$6:$C$405,F458,'Istoric_Nativ'!$F$6:$F$405,G458,'Istoric_Nativ'!$D$6:$D$405,"&lt;"&amp;J458,'Istoric_Nativ'!$P$6:$P$405,1,'Istoric_Nativ'!$D$6:$D$405,"&gt;="&amp;L458),COUNTIFS('Istoric_Nativ'!$B$6:$B$405,E458,'Istoric_Nativ'!$C$6:$C$405,F458,'Istoric_Nativ'!$E$6:$E$405,G458,'Istoric_Nativ'!$D$6:$D$405,"&lt;"&amp;J458,'Istoric_Nativ'!$P$6:$P$405,1,'Istoric_Nativ'!$D$6:$D$405,"&gt;="&amp;L458)+COUNTIFS('Istoric_Nativ'!$B$6:$B$405,E458,'Istoric_Nativ'!$C$6:$C$405,F458,'Istoric_Nativ'!$F$6:$F$405,G458,'Istoric_Nativ'!$D$6:$D$405,"&lt;"&amp;J458,'Istoric_Nativ'!$P$6:$P$405,1,'Istoric_Nativ'!$D$6:$D$405,"&gt;="&amp;L458))))</x:f>
        <x:v>0</x:v>
      </x:c>
      <x:c r="N458" s="11" t="str">
        <x:f>IF(M458=0,"",IF(H458="HOME",SUMIFS('Istoric_Nativ'!$G$6:$G$405,'Istoric_Nativ'!$B$6:$B$405,E458,'Istoric_Nativ'!$C$6:$C$405,F458,'Istoric_Nativ'!$E$6:$E$405,G458,'Istoric_Nativ'!$D$6:$D$405,"&lt;"&amp;J458,'Istoric_Nativ'!$P$6:$P$405,1,'Istoric_Nativ'!$D$6:$D$405,"&gt;="&amp;L458),IF(H458="AWAY",SUMIFS('Istoric_Nativ'!$H$6:$H$405,'Istoric_Nativ'!$B$6:$B$405,E458,'Istoric_Nativ'!$C$6:$C$405,F458,'Istoric_Nativ'!$F$6:$F$405,G458,'Istoric_Nativ'!$D$6:$D$405,"&lt;"&amp;J458,'Istoric_Nativ'!$P$6:$P$405,1,'Istoric_Nativ'!$D$6:$D$405,"&gt;="&amp;L458),SUMIFS('Istoric_Nativ'!$G$6:$G$405,'Istoric_Nativ'!$B$6:$B$405,E458,'Istoric_Nativ'!$C$6:$C$405,F458,'Istoric_Nativ'!$E$6:$E$405,G458,'Istoric_Nativ'!$D$6:$D$405,"&lt;"&amp;J458,'Istoric_Nativ'!$P$6:$P$405,1,'Istoric_Nativ'!$D$6:$D$405,"&gt;="&amp;L458)+SUMIFS('Istoric_Nativ'!$H$6:$H$405,'Istoric_Nativ'!$B$6:$B$405,E458,'Istoric_Nativ'!$C$6:$C$405,F458,'Istoric_Nativ'!$F$6:$F$405,G458,'Istoric_Nativ'!$D$6:$D$405,"&lt;"&amp;J458,'Istoric_Nativ'!$P$6:$P$405,1,'Istoric_Nativ'!$D$6:$D$405,"&gt;="&amp;L458)))/M458)</x:f>
      </x:c>
      <x:c r="O458" s="11" t="str">
        <x:f>IF(M458=0,"",IF(H458="HOME",SUMIFS('Istoric_Nativ'!$H$6:$H$405,'Istoric_Nativ'!$B$6:$B$405,E458,'Istoric_Nativ'!$C$6:$C$405,F458,'Istoric_Nativ'!$E$6:$E$405,G458,'Istoric_Nativ'!$D$6:$D$405,"&lt;"&amp;J458,'Istoric_Nativ'!$P$6:$P$405,1,'Istoric_Nativ'!$D$6:$D$405,"&gt;="&amp;L458),IF(H458="AWAY",SUMIFS('Istoric_Nativ'!$G$6:$G$405,'Istoric_Nativ'!$B$6:$B$405,E458,'Istoric_Nativ'!$C$6:$C$405,F458,'Istoric_Nativ'!$F$6:$F$405,G458,'Istoric_Nativ'!$D$6:$D$405,"&lt;"&amp;J458,'Istoric_Nativ'!$P$6:$P$405,1,'Istoric_Nativ'!$D$6:$D$405,"&gt;="&amp;L458),SUMIFS('Istoric_Nativ'!$H$6:$H$405,'Istoric_Nativ'!$B$6:$B$405,E458,'Istoric_Nativ'!$C$6:$C$405,F458,'Istoric_Nativ'!$E$6:$E$405,G458,'Istoric_Nativ'!$D$6:$D$405,"&lt;"&amp;J458,'Istoric_Nativ'!$P$6:$P$405,1,'Istoric_Nativ'!$D$6:$D$405,"&gt;="&amp;L458)+SUMIFS('Istoric_Nativ'!$G$6:$G$405,'Istoric_Nativ'!$B$6:$B$405,E458,'Istoric_Nativ'!$C$6:$C$405,F458,'Istoric_Nativ'!$F$6:$F$405,G458,'Istoric_Nativ'!$D$6:$D$405,"&lt;"&amp;J458,'Istoric_Nativ'!$P$6:$P$405,1,'Istoric_Nativ'!$D$6:$D$405,"&gt;="&amp;L458)))/M458)</x:f>
      </x:c>
      <x:c r="P458" s="2" t="n">
        <x:f>'Config_v6'!$B$9</x:f>
        <x:v>3</x:v>
      </x:c>
      <x:c r="Q458" s="2" t="n">
        <x:f>IF(OR(B458="",F458=""),0,IFERROR(MATCH(E458&amp;"|"&amp;F458,SourceTable[Source_Key],0),0))</x:f>
        <x:v>0</x:v>
      </x:c>
      <x:c r="R458" s="2" t="str">
        <x:f>IF(B458="","",IF(F458="","UNUSED",IF(Q458=0,"NOT CHECKED",IF(COUNTIF(SourceTable[Source_Key],E458&amp;"|"&amp;F458)&lt;&gt;1,"SOURCE CONFLICT",IF(NOT(OR(INDEX(SourceTable[Status],MAX(1,Q458))="IMPORTED",INDEX(SourceTable[Status],MAX(1,Q458))="PARTIAL",INDEX(SourceTable[Status],MAX(1,Q458))="SOURCE CONFLICT")),"ACCESS BLOCKED",IF(OR(INDEX(SourceTable[Coverage],Q458)&lt;&gt;"FULL SEASON EXPORT",INDEX(SourceTable[URL],Q458)="",INDEX(SourceTable[SHA256],Q458)=""),"EVIDENCE INCOMPLETE",IF(AND('Input_Meci'!H43="LIVE",INDEX(SourceTable[Retrieved_UTC],Q458)&gt;'Input_Meci'!G43),"POST CUTOFF","CLOSED")))))))</x:f>
      </x:c>
      <x:c r="S458" s="2" t="n">
        <x:f>IF(OR(B458="",F458=""),0,COUNTIFS('Istoric_Nativ'!$B$6:$B$405,E458,'Istoric_Nativ'!$C$6:$C$405,F458,'Istoric_Nativ'!$E$6:$E$405,G458,'Istoric_Nativ'!$D$6:$D$405,"&lt;"&amp;J458,'Istoric_Nativ'!$O$6:$O$405,"INVALID")+COUNTIFS('Istoric_Nativ'!$B$6:$B$405,E458,'Istoric_Nativ'!$C$6:$C$405,F458,'Istoric_Nativ'!$E$6:$E$405,G458,'Istoric_Nativ'!$O$6:$O$405,"INVALID",'Istoric_Nativ'!$D$6:$D$405,"*")+COUNTIFS('Istoric_Nativ'!$B$6:$B$405,E458,'Istoric_Nativ'!$C$6:$C$405,F458,'Istoric_Nativ'!$E$6:$E$405,G458,'Istoric_Nativ'!$D$6:$D$405,"&lt;"&amp;J458,'Istoric_Nativ'!$O$6:$O$405,"SOURCE CONFLICT")+COUNTIFS('Istoric_Nativ'!$B$6:$B$405,E458,'Istoric_Nativ'!$C$6:$C$405,F458,'Istoric_Nativ'!$F$6:$F$405,G458,'Istoric_Nativ'!$D$6:$D$405,"&lt;"&amp;J458,'Istoric_Nativ'!$O$6:$O$405,"INVALID")+COUNTIFS('Istoric_Nativ'!$B$6:$B$405,E458,'Istoric_Nativ'!$C$6:$C$405,F458,'Istoric_Nativ'!$F$6:$F$405,G458,'Istoric_Nativ'!$O$6:$O$405,"INVALID",'Istoric_Nativ'!$D$6:$D$405,"*")+COUNTIFS('Istoric_Nativ'!$B$6:$B$405,E458,'Istoric_Nativ'!$C$6:$C$405,F458,'Istoric_Nativ'!$F$6:$F$405,G458,'Istoric_Nativ'!$D$6:$D$405,"&lt;"&amp;J458,'Istoric_Nativ'!$O$6:$O$405,"SOURCE CONFLICT"))</x:f>
        <x:v>0</x:v>
      </x:c>
      <x:c r="T458" s="2" t="str">
        <x:f>IF(B458="","",IF(R458&lt;&gt;"CLOSED",R458,IF(S458&gt;0,"NATIVE INPUT ISSUE",IF(M458=0,"NO HISTORY",IF(M458&lt;P458,"SMALL SAMPLE","DERIVED")))))</x:f>
      </x:c>
      <x:c r="U458" s="2" t="str">
        <x:f>IF(B458="","","NativeTable; "&amp;E458&amp;"; "&amp;F458&amp;"; "&amp;G458&amp;"; "&amp;H458&amp;"; before "&amp;TEXT(J458,"yyyy-mm-dd")&amp;IF(I458="RECENT","; from "&amp;TEXT(L458,"yyyy-mm-dd"),""))</x:f>
      </x:c>
    </x:row>
    <x:row r="459" ht="21" customHeight="1">
      <x:c r="A459" s="2" t="n">
        <x:v>38</x:v>
      </x:c>
      <x:c r="B459" s="2" t="str">
        <x:f>IF('Input_Meci'!A43="","",'Input_Meci'!A43)</x:f>
      </x:c>
      <x:c r="C459" s="2" t="str">
        <x:v>A</x:v>
      </x:c>
      <x:c r="D459" s="2" t="str">
        <x:v>PRIOR</x:v>
      </x:c>
      <x:c r="E459" s="2" t="str">
        <x:f>IF(B459="","",'Input_Meci'!B43)</x:f>
      </x:c>
      <x:c r="F459" s="2" t="str">
        <x:f>IF(B459="","",IF('Input_Meci'!K43="","",'Input_Meci'!K43))</x:f>
      </x:c>
      <x:c r="G459" s="2" t="str">
        <x:f>IF(B459="","",'Input_Meci'!E43)</x:f>
      </x:c>
      <x:c r="H459" s="2" t="str">
        <x:v>ANY</x:v>
      </x:c>
      <x:c r="I459" s="2" t="str">
        <x:v>SEASON</x:v>
      </x:c>
      <x:c r="J459" s="9" t="n">
        <x:f>IF(AND(B459&lt;&gt;"",ISNUMBER('Input_Meci'!G43)),INT('Input_Meci'!G43),0)</x:f>
        <x:v>0</x:v>
      </x:c>
      <x:c r="K459" s="2" t="n">
        <x:f>IF(OR(B459="",F459=""),0,IF(H459="HOME",COUNTIFS('Istoric_Nativ'!$B$6:$B$405,E459,'Istoric_Nativ'!$C$6:$C$405,F459,'Istoric_Nativ'!$E$6:$E$405,G459,'Istoric_Nativ'!$D$6:$D$405,"&lt;"&amp;J459,'Istoric_Nativ'!$P$6:$P$405,1),IF(H459="AWAY",COUNTIFS('Istoric_Nativ'!$B$6:$B$405,E459,'Istoric_Nativ'!$C$6:$C$405,F459,'Istoric_Nativ'!$F$6:$F$405,G459,'Istoric_Nativ'!$D$6:$D$405,"&lt;"&amp;J459,'Istoric_Nativ'!$P$6:$P$405,1),COUNTIFS('Istoric_Nativ'!$B$6:$B$405,E459,'Istoric_Nativ'!$C$6:$C$405,F459,'Istoric_Nativ'!$E$6:$E$405,G459,'Istoric_Nativ'!$D$6:$D$405,"&lt;"&amp;J459,'Istoric_Nativ'!$P$6:$P$405,1)+COUNTIFS('Istoric_Nativ'!$B$6:$B$405,E459,'Istoric_Nativ'!$C$6:$C$405,F459,'Istoric_Nativ'!$F$6:$F$405,G459,'Istoric_Nativ'!$D$6:$D$405,"&lt;"&amp;J459,'Istoric_Nativ'!$P$6:$P$405,1))))</x:f>
        <x:v>0</x:v>
      </x:c>
      <x:c r="L459" s="17" t="n">
        <x:f>IF(AND(B459&lt;&gt;"",I459="RECENT",K459&gt;0),LARGE(_xlfn._xlws.FILTER('Istoric_Nativ'!$D$6:$D$405,('Istoric_Nativ'!$B$6:$B$405=E459)*('Istoric_Nativ'!$C$6:$C$405=F459)*('Istoric_Nativ'!$P$6:$P$405=1)*('Istoric_Nativ'!$D$6:$D$405&lt;J459)*((('Istoric_Nativ'!$E$6:$E$405=G459)+('Istoric_Nativ'!$F$6:$F$405=G459))&gt;0)),MIN('Config_v6'!$B$54,K459)),0)</x:f>
        <x:v>0</x:v>
      </x:c>
      <x:c r="M459" s="2" t="n">
        <x:f>IF(OR(B459="",F459=""),0,IF(H459="HOME",COUNTIFS('Istoric_Nativ'!$B$6:$B$405,E459,'Istoric_Nativ'!$C$6:$C$405,F459,'Istoric_Nativ'!$E$6:$E$405,G459,'Istoric_Nativ'!$D$6:$D$405,"&lt;"&amp;J459,'Istoric_Nativ'!$P$6:$P$405,1,'Istoric_Nativ'!$D$6:$D$405,"&gt;="&amp;L459),IF(H459="AWAY",COUNTIFS('Istoric_Nativ'!$B$6:$B$405,E459,'Istoric_Nativ'!$C$6:$C$405,F459,'Istoric_Nativ'!$F$6:$F$405,G459,'Istoric_Nativ'!$D$6:$D$405,"&lt;"&amp;J459,'Istoric_Nativ'!$P$6:$P$405,1,'Istoric_Nativ'!$D$6:$D$405,"&gt;="&amp;L459),COUNTIFS('Istoric_Nativ'!$B$6:$B$405,E459,'Istoric_Nativ'!$C$6:$C$405,F459,'Istoric_Nativ'!$E$6:$E$405,G459,'Istoric_Nativ'!$D$6:$D$405,"&lt;"&amp;J459,'Istoric_Nativ'!$P$6:$P$405,1,'Istoric_Nativ'!$D$6:$D$405,"&gt;="&amp;L459)+COUNTIFS('Istoric_Nativ'!$B$6:$B$405,E459,'Istoric_Nativ'!$C$6:$C$405,F459,'Istoric_Nativ'!$F$6:$F$405,G459,'Istoric_Nativ'!$D$6:$D$405,"&lt;"&amp;J459,'Istoric_Nativ'!$P$6:$P$405,1,'Istoric_Nativ'!$D$6:$D$405,"&gt;="&amp;L459))))</x:f>
        <x:v>0</x:v>
      </x:c>
      <x:c r="N459" s="11" t="str">
        <x:f>IF(M459=0,"",IF(H459="HOME",SUMIFS('Istoric_Nativ'!$G$6:$G$405,'Istoric_Nativ'!$B$6:$B$405,E459,'Istoric_Nativ'!$C$6:$C$405,F459,'Istoric_Nativ'!$E$6:$E$405,G459,'Istoric_Nativ'!$D$6:$D$405,"&lt;"&amp;J459,'Istoric_Nativ'!$P$6:$P$405,1,'Istoric_Nativ'!$D$6:$D$405,"&gt;="&amp;L459),IF(H459="AWAY",SUMIFS('Istoric_Nativ'!$H$6:$H$405,'Istoric_Nativ'!$B$6:$B$405,E459,'Istoric_Nativ'!$C$6:$C$405,F459,'Istoric_Nativ'!$F$6:$F$405,G459,'Istoric_Nativ'!$D$6:$D$405,"&lt;"&amp;J459,'Istoric_Nativ'!$P$6:$P$405,1,'Istoric_Nativ'!$D$6:$D$405,"&gt;="&amp;L459),SUMIFS('Istoric_Nativ'!$G$6:$G$405,'Istoric_Nativ'!$B$6:$B$405,E459,'Istoric_Nativ'!$C$6:$C$405,F459,'Istoric_Nativ'!$E$6:$E$405,G459,'Istoric_Nativ'!$D$6:$D$405,"&lt;"&amp;J459,'Istoric_Nativ'!$P$6:$P$405,1,'Istoric_Nativ'!$D$6:$D$405,"&gt;="&amp;L459)+SUMIFS('Istoric_Nativ'!$H$6:$H$405,'Istoric_Nativ'!$B$6:$B$405,E459,'Istoric_Nativ'!$C$6:$C$405,F459,'Istoric_Nativ'!$F$6:$F$405,G459,'Istoric_Nativ'!$D$6:$D$405,"&lt;"&amp;J459,'Istoric_Nativ'!$P$6:$P$405,1,'Istoric_Nativ'!$D$6:$D$405,"&gt;="&amp;L459)))/M459)</x:f>
      </x:c>
      <x:c r="O459" s="11" t="str">
        <x:f>IF(M459=0,"",IF(H459="HOME",SUMIFS('Istoric_Nativ'!$H$6:$H$405,'Istoric_Nativ'!$B$6:$B$405,E459,'Istoric_Nativ'!$C$6:$C$405,F459,'Istoric_Nativ'!$E$6:$E$405,G459,'Istoric_Nativ'!$D$6:$D$405,"&lt;"&amp;J459,'Istoric_Nativ'!$P$6:$P$405,1,'Istoric_Nativ'!$D$6:$D$405,"&gt;="&amp;L459),IF(H459="AWAY",SUMIFS('Istoric_Nativ'!$G$6:$G$405,'Istoric_Nativ'!$B$6:$B$405,E459,'Istoric_Nativ'!$C$6:$C$405,F459,'Istoric_Nativ'!$F$6:$F$405,G459,'Istoric_Nativ'!$D$6:$D$405,"&lt;"&amp;J459,'Istoric_Nativ'!$P$6:$P$405,1,'Istoric_Nativ'!$D$6:$D$405,"&gt;="&amp;L459),SUMIFS('Istoric_Nativ'!$H$6:$H$405,'Istoric_Nativ'!$B$6:$B$405,E459,'Istoric_Nativ'!$C$6:$C$405,F459,'Istoric_Nativ'!$E$6:$E$405,G459,'Istoric_Nativ'!$D$6:$D$405,"&lt;"&amp;J459,'Istoric_Nativ'!$P$6:$P$405,1,'Istoric_Nativ'!$D$6:$D$405,"&gt;="&amp;L459)+SUMIFS('Istoric_Nativ'!$G$6:$G$405,'Istoric_Nativ'!$B$6:$B$405,E459,'Istoric_Nativ'!$C$6:$C$405,F459,'Istoric_Nativ'!$F$6:$F$405,G459,'Istoric_Nativ'!$D$6:$D$405,"&lt;"&amp;J459,'Istoric_Nativ'!$P$6:$P$405,1,'Istoric_Nativ'!$D$6:$D$405,"&gt;="&amp;L459)))/M459)</x:f>
      </x:c>
      <x:c r="P459" s="2" t="n">
        <x:f>'Config_v6'!$B$7</x:f>
        <x:v>10</x:v>
      </x:c>
      <x:c r="Q459" s="2" t="n">
        <x:f>IF(OR(B459="",F459=""),0,IFERROR(MATCH(E459&amp;"|"&amp;F459,SourceTable[Source_Key],0),0))</x:f>
        <x:v>0</x:v>
      </x:c>
      <x:c r="R459" s="2" t="str">
        <x:f>IF(B459="","",IF(F459="","UNUSED",IF(Q459=0,"NOT CHECKED",IF(COUNTIF(SourceTable[Source_Key],E459&amp;"|"&amp;F459)&lt;&gt;1,"SOURCE CONFLICT",IF(NOT(OR(INDEX(SourceTable[Status],MAX(1,Q459))="IMPORTED",INDEX(SourceTable[Status],MAX(1,Q459))="PARTIAL",INDEX(SourceTable[Status],MAX(1,Q459))="SOURCE CONFLICT")),"ACCESS BLOCKED",IF(OR(INDEX(SourceTable[Coverage],Q459)&lt;&gt;"FULL SEASON EXPORT",INDEX(SourceTable[URL],Q459)="",INDEX(SourceTable[SHA256],Q459)=""),"EVIDENCE INCOMPLETE",IF(AND('Input_Meci'!H43="LIVE",INDEX(SourceTable[Retrieved_UTC],Q459)&gt;'Input_Meci'!G43),"POST CUTOFF","CLOSED")))))))</x:f>
      </x:c>
      <x:c r="S459" s="2" t="n">
        <x:f>IF(OR(B459="",F459=""),0,COUNTIFS('Istoric_Nativ'!$B$6:$B$405,E459,'Istoric_Nativ'!$C$6:$C$405,F459,'Istoric_Nativ'!$E$6:$E$405,G459,'Istoric_Nativ'!$D$6:$D$405,"&lt;"&amp;J459,'Istoric_Nativ'!$O$6:$O$405,"INVALID")+COUNTIFS('Istoric_Nativ'!$B$6:$B$405,E459,'Istoric_Nativ'!$C$6:$C$405,F459,'Istoric_Nativ'!$E$6:$E$405,G459,'Istoric_Nativ'!$O$6:$O$405,"INVALID",'Istoric_Nativ'!$D$6:$D$405,"*")+COUNTIFS('Istoric_Nativ'!$B$6:$B$405,E459,'Istoric_Nativ'!$C$6:$C$405,F459,'Istoric_Nativ'!$E$6:$E$405,G459,'Istoric_Nativ'!$D$6:$D$405,"&lt;"&amp;J459,'Istoric_Nativ'!$O$6:$O$405,"SOURCE CONFLICT")+COUNTIFS('Istoric_Nativ'!$B$6:$B$405,E459,'Istoric_Nativ'!$C$6:$C$405,F459,'Istoric_Nativ'!$F$6:$F$405,G459,'Istoric_Nativ'!$D$6:$D$405,"&lt;"&amp;J459,'Istoric_Nativ'!$O$6:$O$405,"INVALID")+COUNTIFS('Istoric_Nativ'!$B$6:$B$405,E459,'Istoric_Nativ'!$C$6:$C$405,F459,'Istoric_Nativ'!$F$6:$F$405,G459,'Istoric_Nativ'!$O$6:$O$405,"INVALID",'Istoric_Nativ'!$D$6:$D$405,"*")+COUNTIFS('Istoric_Nativ'!$B$6:$B$405,E459,'Istoric_Nativ'!$C$6:$C$405,F459,'Istoric_Nativ'!$F$6:$F$405,G459,'Istoric_Nativ'!$D$6:$D$405,"&lt;"&amp;J459,'Istoric_Nativ'!$O$6:$O$405,"SOURCE CONFLICT"))</x:f>
        <x:v>0</x:v>
      </x:c>
      <x:c r="T459" s="2" t="str">
        <x:f>IF(B459="","",IF(R459&lt;&gt;"CLOSED",R459,IF(S459&gt;0,"NATIVE INPUT ISSUE",IF(M459=0,"NO HISTORY",IF(M459&lt;P459,"SMALL SAMPLE","DERIVED")))))</x:f>
      </x:c>
      <x:c r="U459" s="2" t="str">
        <x:f>IF(B459="","","NativeTable; "&amp;E459&amp;"; "&amp;F459&amp;"; "&amp;G459&amp;"; "&amp;H459&amp;"; before "&amp;TEXT(J459,"yyyy-mm-dd")&amp;IF(I459="RECENT","; from "&amp;TEXT(L459,"yyyy-mm-dd"),""))</x:f>
      </x:c>
    </x:row>
    <x:row r="460" ht="21" customHeight="1">
      <x:c r="A460" s="2" t="n">
        <x:v>38</x:v>
      </x:c>
      <x:c r="B460" s="2" t="str">
        <x:f>IF('Input_Meci'!A43="","",'Input_Meci'!A43)</x:f>
      </x:c>
      <x:c r="C460" s="2" t="str">
        <x:v>A</x:v>
      </x:c>
      <x:c r="D460" s="2" t="str">
        <x:v>PRIOR</x:v>
      </x:c>
      <x:c r="E460" s="2" t="str">
        <x:f>IF(B460="","",'Input_Meci'!B43)</x:f>
      </x:c>
      <x:c r="F460" s="2" t="str">
        <x:f>IF(B460="","",IF('Input_Meci'!K43="","",'Input_Meci'!K43))</x:f>
      </x:c>
      <x:c r="G460" s="2" t="str">
        <x:f>IF(B460="","",'Input_Meci'!E43)</x:f>
      </x:c>
      <x:c r="H460" s="2" t="str">
        <x:v>AWAY</x:v>
      </x:c>
      <x:c r="I460" s="2" t="str">
        <x:v>HA</x:v>
      </x:c>
      <x:c r="J460" s="9" t="n">
        <x:f>IF(AND(B460&lt;&gt;"",ISNUMBER('Input_Meci'!G43)),INT('Input_Meci'!G43),0)</x:f>
        <x:v>0</x:v>
      </x:c>
      <x:c r="K460" s="2" t="n">
        <x:f>IF(OR(B460="",F460=""),0,IF(H460="HOME",COUNTIFS('Istoric_Nativ'!$B$6:$B$405,E460,'Istoric_Nativ'!$C$6:$C$405,F460,'Istoric_Nativ'!$E$6:$E$405,G460,'Istoric_Nativ'!$D$6:$D$405,"&lt;"&amp;J460,'Istoric_Nativ'!$P$6:$P$405,1),IF(H460="AWAY",COUNTIFS('Istoric_Nativ'!$B$6:$B$405,E460,'Istoric_Nativ'!$C$6:$C$405,F460,'Istoric_Nativ'!$F$6:$F$405,G460,'Istoric_Nativ'!$D$6:$D$405,"&lt;"&amp;J460,'Istoric_Nativ'!$P$6:$P$405,1),COUNTIFS('Istoric_Nativ'!$B$6:$B$405,E460,'Istoric_Nativ'!$C$6:$C$405,F460,'Istoric_Nativ'!$E$6:$E$405,G460,'Istoric_Nativ'!$D$6:$D$405,"&lt;"&amp;J460,'Istoric_Nativ'!$P$6:$P$405,1)+COUNTIFS('Istoric_Nativ'!$B$6:$B$405,E460,'Istoric_Nativ'!$C$6:$C$405,F460,'Istoric_Nativ'!$F$6:$F$405,G460,'Istoric_Nativ'!$D$6:$D$405,"&lt;"&amp;J460,'Istoric_Nativ'!$P$6:$P$405,1))))</x:f>
        <x:v>0</x:v>
      </x:c>
      <x:c r="L460" s="17" t="n">
        <x:f>IF(AND(B460&lt;&gt;"",I460="RECENT",K460&gt;0),LARGE(_xlfn._xlws.FILTER('Istoric_Nativ'!$D$6:$D$405,('Istoric_Nativ'!$B$6:$B$405=E460)*('Istoric_Nativ'!$C$6:$C$405=F460)*('Istoric_Nativ'!$P$6:$P$405=1)*('Istoric_Nativ'!$D$6:$D$405&lt;J460)*((('Istoric_Nativ'!$E$6:$E$405=G460)+('Istoric_Nativ'!$F$6:$F$405=G460))&gt;0)),MIN('Config_v6'!$B$54,K460)),0)</x:f>
        <x:v>0</x:v>
      </x:c>
      <x:c r="M460" s="2" t="n">
        <x:f>IF(OR(B460="",F460=""),0,IF(H460="HOME",COUNTIFS('Istoric_Nativ'!$B$6:$B$405,E460,'Istoric_Nativ'!$C$6:$C$405,F460,'Istoric_Nativ'!$E$6:$E$405,G460,'Istoric_Nativ'!$D$6:$D$405,"&lt;"&amp;J460,'Istoric_Nativ'!$P$6:$P$405,1,'Istoric_Nativ'!$D$6:$D$405,"&gt;="&amp;L460),IF(H460="AWAY",COUNTIFS('Istoric_Nativ'!$B$6:$B$405,E460,'Istoric_Nativ'!$C$6:$C$405,F460,'Istoric_Nativ'!$F$6:$F$405,G460,'Istoric_Nativ'!$D$6:$D$405,"&lt;"&amp;J460,'Istoric_Nativ'!$P$6:$P$405,1,'Istoric_Nativ'!$D$6:$D$405,"&gt;="&amp;L460),COUNTIFS('Istoric_Nativ'!$B$6:$B$405,E460,'Istoric_Nativ'!$C$6:$C$405,F460,'Istoric_Nativ'!$E$6:$E$405,G460,'Istoric_Nativ'!$D$6:$D$405,"&lt;"&amp;J460,'Istoric_Nativ'!$P$6:$P$405,1,'Istoric_Nativ'!$D$6:$D$405,"&gt;="&amp;L460)+COUNTIFS('Istoric_Nativ'!$B$6:$B$405,E460,'Istoric_Nativ'!$C$6:$C$405,F460,'Istoric_Nativ'!$F$6:$F$405,G460,'Istoric_Nativ'!$D$6:$D$405,"&lt;"&amp;J460,'Istoric_Nativ'!$P$6:$P$405,1,'Istoric_Nativ'!$D$6:$D$405,"&gt;="&amp;L460))))</x:f>
        <x:v>0</x:v>
      </x:c>
      <x:c r="N460" s="11" t="str">
        <x:f>IF(M460=0,"",IF(H460="HOME",SUMIFS('Istoric_Nativ'!$G$6:$G$405,'Istoric_Nativ'!$B$6:$B$405,E460,'Istoric_Nativ'!$C$6:$C$405,F460,'Istoric_Nativ'!$E$6:$E$405,G460,'Istoric_Nativ'!$D$6:$D$405,"&lt;"&amp;J460,'Istoric_Nativ'!$P$6:$P$405,1,'Istoric_Nativ'!$D$6:$D$405,"&gt;="&amp;L460),IF(H460="AWAY",SUMIFS('Istoric_Nativ'!$H$6:$H$405,'Istoric_Nativ'!$B$6:$B$405,E460,'Istoric_Nativ'!$C$6:$C$405,F460,'Istoric_Nativ'!$F$6:$F$405,G460,'Istoric_Nativ'!$D$6:$D$405,"&lt;"&amp;J460,'Istoric_Nativ'!$P$6:$P$405,1,'Istoric_Nativ'!$D$6:$D$405,"&gt;="&amp;L460),SUMIFS('Istoric_Nativ'!$G$6:$G$405,'Istoric_Nativ'!$B$6:$B$405,E460,'Istoric_Nativ'!$C$6:$C$405,F460,'Istoric_Nativ'!$E$6:$E$405,G460,'Istoric_Nativ'!$D$6:$D$405,"&lt;"&amp;J460,'Istoric_Nativ'!$P$6:$P$405,1,'Istoric_Nativ'!$D$6:$D$405,"&gt;="&amp;L460)+SUMIFS('Istoric_Nativ'!$H$6:$H$405,'Istoric_Nativ'!$B$6:$B$405,E460,'Istoric_Nativ'!$C$6:$C$405,F460,'Istoric_Nativ'!$F$6:$F$405,G460,'Istoric_Nativ'!$D$6:$D$405,"&lt;"&amp;J460,'Istoric_Nativ'!$P$6:$P$405,1,'Istoric_Nativ'!$D$6:$D$405,"&gt;="&amp;L460)))/M460)</x:f>
      </x:c>
      <x:c r="O460" s="11" t="str">
        <x:f>IF(M460=0,"",IF(H460="HOME",SUMIFS('Istoric_Nativ'!$H$6:$H$405,'Istoric_Nativ'!$B$6:$B$405,E460,'Istoric_Nativ'!$C$6:$C$405,F460,'Istoric_Nativ'!$E$6:$E$405,G460,'Istoric_Nativ'!$D$6:$D$405,"&lt;"&amp;J460,'Istoric_Nativ'!$P$6:$P$405,1,'Istoric_Nativ'!$D$6:$D$405,"&gt;="&amp;L460),IF(H460="AWAY",SUMIFS('Istoric_Nativ'!$G$6:$G$405,'Istoric_Nativ'!$B$6:$B$405,E460,'Istoric_Nativ'!$C$6:$C$405,F460,'Istoric_Nativ'!$F$6:$F$405,G460,'Istoric_Nativ'!$D$6:$D$405,"&lt;"&amp;J460,'Istoric_Nativ'!$P$6:$P$405,1,'Istoric_Nativ'!$D$6:$D$405,"&gt;="&amp;L460),SUMIFS('Istoric_Nativ'!$H$6:$H$405,'Istoric_Nativ'!$B$6:$B$405,E460,'Istoric_Nativ'!$C$6:$C$405,F460,'Istoric_Nativ'!$E$6:$E$405,G460,'Istoric_Nativ'!$D$6:$D$405,"&lt;"&amp;J460,'Istoric_Nativ'!$P$6:$P$405,1,'Istoric_Nativ'!$D$6:$D$405,"&gt;="&amp;L460)+SUMIFS('Istoric_Nativ'!$G$6:$G$405,'Istoric_Nativ'!$B$6:$B$405,E460,'Istoric_Nativ'!$C$6:$C$405,F460,'Istoric_Nativ'!$F$6:$F$405,G460,'Istoric_Nativ'!$D$6:$D$405,"&lt;"&amp;J460,'Istoric_Nativ'!$P$6:$P$405,1,'Istoric_Nativ'!$D$6:$D$405,"&gt;="&amp;L460)))/M460)</x:f>
      </x:c>
      <x:c r="P460" s="2" t="n">
        <x:f>'Config_v6'!$B$8</x:f>
        <x:v>5</x:v>
      </x:c>
      <x:c r="Q460" s="2" t="n">
        <x:f>IF(OR(B460="",F460=""),0,IFERROR(MATCH(E460&amp;"|"&amp;F460,SourceTable[Source_Key],0),0))</x:f>
        <x:v>0</x:v>
      </x:c>
      <x:c r="R460" s="2" t="str">
        <x:f>IF(B460="","",IF(F460="","UNUSED",IF(Q460=0,"NOT CHECKED",IF(COUNTIF(SourceTable[Source_Key],E460&amp;"|"&amp;F460)&lt;&gt;1,"SOURCE CONFLICT",IF(NOT(OR(INDEX(SourceTable[Status],MAX(1,Q460))="IMPORTED",INDEX(SourceTable[Status],MAX(1,Q460))="PARTIAL",INDEX(SourceTable[Status],MAX(1,Q460))="SOURCE CONFLICT")),"ACCESS BLOCKED",IF(OR(INDEX(SourceTable[Coverage],Q460)&lt;&gt;"FULL SEASON EXPORT",INDEX(SourceTable[URL],Q460)="",INDEX(SourceTable[SHA256],Q460)=""),"EVIDENCE INCOMPLETE",IF(AND('Input_Meci'!H43="LIVE",INDEX(SourceTable[Retrieved_UTC],Q460)&gt;'Input_Meci'!G43),"POST CUTOFF","CLOSED")))))))</x:f>
      </x:c>
      <x:c r="S460" s="2" t="n">
        <x:f>IF(OR(B460="",F460=""),0,COUNTIFS('Istoric_Nativ'!$B$6:$B$405,E460,'Istoric_Nativ'!$C$6:$C$405,F460,'Istoric_Nativ'!$E$6:$E$405,G460,'Istoric_Nativ'!$D$6:$D$405,"&lt;"&amp;J460,'Istoric_Nativ'!$O$6:$O$405,"INVALID")+COUNTIFS('Istoric_Nativ'!$B$6:$B$405,E460,'Istoric_Nativ'!$C$6:$C$405,F460,'Istoric_Nativ'!$E$6:$E$405,G460,'Istoric_Nativ'!$O$6:$O$405,"INVALID",'Istoric_Nativ'!$D$6:$D$405,"*")+COUNTIFS('Istoric_Nativ'!$B$6:$B$405,E460,'Istoric_Nativ'!$C$6:$C$405,F460,'Istoric_Nativ'!$E$6:$E$405,G460,'Istoric_Nativ'!$D$6:$D$405,"&lt;"&amp;J460,'Istoric_Nativ'!$O$6:$O$405,"SOURCE CONFLICT")+COUNTIFS('Istoric_Nativ'!$B$6:$B$405,E460,'Istoric_Nativ'!$C$6:$C$405,F460,'Istoric_Nativ'!$F$6:$F$405,G460,'Istoric_Nativ'!$D$6:$D$405,"&lt;"&amp;J460,'Istoric_Nativ'!$O$6:$O$405,"INVALID")+COUNTIFS('Istoric_Nativ'!$B$6:$B$405,E460,'Istoric_Nativ'!$C$6:$C$405,F460,'Istoric_Nativ'!$F$6:$F$405,G460,'Istoric_Nativ'!$O$6:$O$405,"INVALID",'Istoric_Nativ'!$D$6:$D$405,"*")+COUNTIFS('Istoric_Nativ'!$B$6:$B$405,E460,'Istoric_Nativ'!$C$6:$C$405,F460,'Istoric_Nativ'!$F$6:$F$405,G460,'Istoric_Nativ'!$D$6:$D$405,"&lt;"&amp;J460,'Istoric_Nativ'!$O$6:$O$405,"SOURCE CONFLICT"))</x:f>
        <x:v>0</x:v>
      </x:c>
      <x:c r="T460" s="2" t="str">
        <x:f>IF(B460="","",IF(R460&lt;&gt;"CLOSED",R460,IF(S460&gt;0,"NATIVE INPUT ISSUE",IF(M460=0,"NO HISTORY",IF(M460&lt;P460,"SMALL SAMPLE","DERIVED")))))</x:f>
      </x:c>
      <x:c r="U460" s="2" t="str">
        <x:f>IF(B460="","","NativeTable; "&amp;E460&amp;"; "&amp;F460&amp;"; "&amp;G460&amp;"; "&amp;H460&amp;"; before "&amp;TEXT(J460,"yyyy-mm-dd")&amp;IF(I460="RECENT","; from "&amp;TEXT(L460,"yyyy-mm-dd"),""))</x:f>
      </x:c>
    </x:row>
    <x:row r="461" ht="21" customHeight="1">
      <x:c r="A461" s="2" t="n">
        <x:v>38</x:v>
      </x:c>
      <x:c r="B461" s="2" t="str">
        <x:f>IF('Input_Meci'!A43="","",'Input_Meci'!A43)</x:f>
      </x:c>
      <x:c r="C461" s="2" t="str">
        <x:v>A</x:v>
      </x:c>
      <x:c r="D461" s="2" t="str">
        <x:v>PRIOR</x:v>
      </x:c>
      <x:c r="E461" s="2" t="str">
        <x:f>IF(B461="","",'Input_Meci'!B43)</x:f>
      </x:c>
      <x:c r="F461" s="2" t="str">
        <x:f>IF(B461="","",IF('Input_Meci'!K43="","",'Input_Meci'!K43))</x:f>
      </x:c>
      <x:c r="G461" s="2" t="str">
        <x:f>IF(B461="","",'Input_Meci'!E43)</x:f>
      </x:c>
      <x:c r="H461" s="2" t="str">
        <x:v>ANY</x:v>
      </x:c>
      <x:c r="I461" s="2" t="str">
        <x:v>RECENT</x:v>
      </x:c>
      <x:c r="J461" s="9" t="n">
        <x:f>IF(AND(B461&lt;&gt;"",ISNUMBER('Input_Meci'!G43)),INT('Input_Meci'!G43),0)</x:f>
        <x:v>0</x:v>
      </x:c>
      <x:c r="K461" s="2" t="n">
        <x:f>IF(OR(B461="",F461=""),0,IF(H461="HOME",COUNTIFS('Istoric_Nativ'!$B$6:$B$405,E461,'Istoric_Nativ'!$C$6:$C$405,F461,'Istoric_Nativ'!$E$6:$E$405,G461,'Istoric_Nativ'!$D$6:$D$405,"&lt;"&amp;J461,'Istoric_Nativ'!$P$6:$P$405,1),IF(H461="AWAY",COUNTIFS('Istoric_Nativ'!$B$6:$B$405,E461,'Istoric_Nativ'!$C$6:$C$405,F461,'Istoric_Nativ'!$F$6:$F$405,G461,'Istoric_Nativ'!$D$6:$D$405,"&lt;"&amp;J461,'Istoric_Nativ'!$P$6:$P$405,1),COUNTIFS('Istoric_Nativ'!$B$6:$B$405,E461,'Istoric_Nativ'!$C$6:$C$405,F461,'Istoric_Nativ'!$E$6:$E$405,G461,'Istoric_Nativ'!$D$6:$D$405,"&lt;"&amp;J461,'Istoric_Nativ'!$P$6:$P$405,1)+COUNTIFS('Istoric_Nativ'!$B$6:$B$405,E461,'Istoric_Nativ'!$C$6:$C$405,F461,'Istoric_Nativ'!$F$6:$F$405,G461,'Istoric_Nativ'!$D$6:$D$405,"&lt;"&amp;J461,'Istoric_Nativ'!$P$6:$P$405,1))))</x:f>
        <x:v>0</x:v>
      </x:c>
      <x:c r="L461" s="17" t="n">
        <x:f>IF(AND(B461&lt;&gt;"",I461="RECENT",K461&gt;0),LARGE(_xlfn._xlws.FILTER('Istoric_Nativ'!$D$6:$D$405,('Istoric_Nativ'!$B$6:$B$405=E461)*('Istoric_Nativ'!$C$6:$C$405=F461)*('Istoric_Nativ'!$P$6:$P$405=1)*('Istoric_Nativ'!$D$6:$D$405&lt;J461)*((('Istoric_Nativ'!$E$6:$E$405=G461)+('Istoric_Nativ'!$F$6:$F$405=G461))&gt;0)),MIN('Config_v6'!$B$54,K461)),0)</x:f>
        <x:v>0</x:v>
      </x:c>
      <x:c r="M461" s="2" t="n">
        <x:f>IF(OR(B461="",F461=""),0,IF(H461="HOME",COUNTIFS('Istoric_Nativ'!$B$6:$B$405,E461,'Istoric_Nativ'!$C$6:$C$405,F461,'Istoric_Nativ'!$E$6:$E$405,G461,'Istoric_Nativ'!$D$6:$D$405,"&lt;"&amp;J461,'Istoric_Nativ'!$P$6:$P$405,1,'Istoric_Nativ'!$D$6:$D$405,"&gt;="&amp;L461),IF(H461="AWAY",COUNTIFS('Istoric_Nativ'!$B$6:$B$405,E461,'Istoric_Nativ'!$C$6:$C$405,F461,'Istoric_Nativ'!$F$6:$F$405,G461,'Istoric_Nativ'!$D$6:$D$405,"&lt;"&amp;J461,'Istoric_Nativ'!$P$6:$P$405,1,'Istoric_Nativ'!$D$6:$D$405,"&gt;="&amp;L461),COUNTIFS('Istoric_Nativ'!$B$6:$B$405,E461,'Istoric_Nativ'!$C$6:$C$405,F461,'Istoric_Nativ'!$E$6:$E$405,G461,'Istoric_Nativ'!$D$6:$D$405,"&lt;"&amp;J461,'Istoric_Nativ'!$P$6:$P$405,1,'Istoric_Nativ'!$D$6:$D$405,"&gt;="&amp;L461)+COUNTIFS('Istoric_Nativ'!$B$6:$B$405,E461,'Istoric_Nativ'!$C$6:$C$405,F461,'Istoric_Nativ'!$F$6:$F$405,G461,'Istoric_Nativ'!$D$6:$D$405,"&lt;"&amp;J461,'Istoric_Nativ'!$P$6:$P$405,1,'Istoric_Nativ'!$D$6:$D$405,"&gt;="&amp;L461))))</x:f>
        <x:v>0</x:v>
      </x:c>
      <x:c r="N461" s="11" t="str">
        <x:f>IF(M461=0,"",IF(H461="HOME",SUMIFS('Istoric_Nativ'!$G$6:$G$405,'Istoric_Nativ'!$B$6:$B$405,E461,'Istoric_Nativ'!$C$6:$C$405,F461,'Istoric_Nativ'!$E$6:$E$405,G461,'Istoric_Nativ'!$D$6:$D$405,"&lt;"&amp;J461,'Istoric_Nativ'!$P$6:$P$405,1,'Istoric_Nativ'!$D$6:$D$405,"&gt;="&amp;L461),IF(H461="AWAY",SUMIFS('Istoric_Nativ'!$H$6:$H$405,'Istoric_Nativ'!$B$6:$B$405,E461,'Istoric_Nativ'!$C$6:$C$405,F461,'Istoric_Nativ'!$F$6:$F$405,G461,'Istoric_Nativ'!$D$6:$D$405,"&lt;"&amp;J461,'Istoric_Nativ'!$P$6:$P$405,1,'Istoric_Nativ'!$D$6:$D$405,"&gt;="&amp;L461),SUMIFS('Istoric_Nativ'!$G$6:$G$405,'Istoric_Nativ'!$B$6:$B$405,E461,'Istoric_Nativ'!$C$6:$C$405,F461,'Istoric_Nativ'!$E$6:$E$405,G461,'Istoric_Nativ'!$D$6:$D$405,"&lt;"&amp;J461,'Istoric_Nativ'!$P$6:$P$405,1,'Istoric_Nativ'!$D$6:$D$405,"&gt;="&amp;L461)+SUMIFS('Istoric_Nativ'!$H$6:$H$405,'Istoric_Nativ'!$B$6:$B$405,E461,'Istoric_Nativ'!$C$6:$C$405,F461,'Istoric_Nativ'!$F$6:$F$405,G461,'Istoric_Nativ'!$D$6:$D$405,"&lt;"&amp;J461,'Istoric_Nativ'!$P$6:$P$405,1,'Istoric_Nativ'!$D$6:$D$405,"&gt;="&amp;L461)))/M461)</x:f>
      </x:c>
      <x:c r="O461" s="11" t="str">
        <x:f>IF(M461=0,"",IF(H461="HOME",SUMIFS('Istoric_Nativ'!$H$6:$H$405,'Istoric_Nativ'!$B$6:$B$405,E461,'Istoric_Nativ'!$C$6:$C$405,F461,'Istoric_Nativ'!$E$6:$E$405,G461,'Istoric_Nativ'!$D$6:$D$405,"&lt;"&amp;J461,'Istoric_Nativ'!$P$6:$P$405,1,'Istoric_Nativ'!$D$6:$D$405,"&gt;="&amp;L461),IF(H461="AWAY",SUMIFS('Istoric_Nativ'!$G$6:$G$405,'Istoric_Nativ'!$B$6:$B$405,E461,'Istoric_Nativ'!$C$6:$C$405,F461,'Istoric_Nativ'!$F$6:$F$405,G461,'Istoric_Nativ'!$D$6:$D$405,"&lt;"&amp;J461,'Istoric_Nativ'!$P$6:$P$405,1,'Istoric_Nativ'!$D$6:$D$405,"&gt;="&amp;L461),SUMIFS('Istoric_Nativ'!$H$6:$H$405,'Istoric_Nativ'!$B$6:$B$405,E461,'Istoric_Nativ'!$C$6:$C$405,F461,'Istoric_Nativ'!$E$6:$E$405,G461,'Istoric_Nativ'!$D$6:$D$405,"&lt;"&amp;J461,'Istoric_Nativ'!$P$6:$P$405,1,'Istoric_Nativ'!$D$6:$D$405,"&gt;="&amp;L461)+SUMIFS('Istoric_Nativ'!$G$6:$G$405,'Istoric_Nativ'!$B$6:$B$405,E461,'Istoric_Nativ'!$C$6:$C$405,F461,'Istoric_Nativ'!$F$6:$F$405,G461,'Istoric_Nativ'!$D$6:$D$405,"&lt;"&amp;J461,'Istoric_Nativ'!$P$6:$P$405,1,'Istoric_Nativ'!$D$6:$D$405,"&gt;="&amp;L461)))/M461)</x:f>
      </x:c>
      <x:c r="P461" s="2" t="n">
        <x:f>'Config_v6'!$B$9</x:f>
        <x:v>3</x:v>
      </x:c>
      <x:c r="Q461" s="2" t="n">
        <x:f>IF(OR(B461="",F461=""),0,IFERROR(MATCH(E461&amp;"|"&amp;F461,SourceTable[Source_Key],0),0))</x:f>
        <x:v>0</x:v>
      </x:c>
      <x:c r="R461" s="2" t="str">
        <x:f>IF(B461="","",IF(F461="","UNUSED",IF(Q461=0,"NOT CHECKED",IF(COUNTIF(SourceTable[Source_Key],E461&amp;"|"&amp;F461)&lt;&gt;1,"SOURCE CONFLICT",IF(NOT(OR(INDEX(SourceTable[Status],MAX(1,Q461))="IMPORTED",INDEX(SourceTable[Status],MAX(1,Q461))="PARTIAL",INDEX(SourceTable[Status],MAX(1,Q461))="SOURCE CONFLICT")),"ACCESS BLOCKED",IF(OR(INDEX(SourceTable[Coverage],Q461)&lt;&gt;"FULL SEASON EXPORT",INDEX(SourceTable[URL],Q461)="",INDEX(SourceTable[SHA256],Q461)=""),"EVIDENCE INCOMPLETE",IF(AND('Input_Meci'!H43="LIVE",INDEX(SourceTable[Retrieved_UTC],Q461)&gt;'Input_Meci'!G43),"POST CUTOFF","CLOSED")))))))</x:f>
      </x:c>
      <x:c r="S461" s="2" t="n">
        <x:f>IF(OR(B461="",F461=""),0,COUNTIFS('Istoric_Nativ'!$B$6:$B$405,E461,'Istoric_Nativ'!$C$6:$C$405,F461,'Istoric_Nativ'!$E$6:$E$405,G461,'Istoric_Nativ'!$D$6:$D$405,"&lt;"&amp;J461,'Istoric_Nativ'!$O$6:$O$405,"INVALID")+COUNTIFS('Istoric_Nativ'!$B$6:$B$405,E461,'Istoric_Nativ'!$C$6:$C$405,F461,'Istoric_Nativ'!$E$6:$E$405,G461,'Istoric_Nativ'!$O$6:$O$405,"INVALID",'Istoric_Nativ'!$D$6:$D$405,"*")+COUNTIFS('Istoric_Nativ'!$B$6:$B$405,E461,'Istoric_Nativ'!$C$6:$C$405,F461,'Istoric_Nativ'!$E$6:$E$405,G461,'Istoric_Nativ'!$D$6:$D$405,"&lt;"&amp;J461,'Istoric_Nativ'!$O$6:$O$405,"SOURCE CONFLICT")+COUNTIFS('Istoric_Nativ'!$B$6:$B$405,E461,'Istoric_Nativ'!$C$6:$C$405,F461,'Istoric_Nativ'!$F$6:$F$405,G461,'Istoric_Nativ'!$D$6:$D$405,"&lt;"&amp;J461,'Istoric_Nativ'!$O$6:$O$405,"INVALID")+COUNTIFS('Istoric_Nativ'!$B$6:$B$405,E461,'Istoric_Nativ'!$C$6:$C$405,F461,'Istoric_Nativ'!$F$6:$F$405,G461,'Istoric_Nativ'!$O$6:$O$405,"INVALID",'Istoric_Nativ'!$D$6:$D$405,"*")+COUNTIFS('Istoric_Nativ'!$B$6:$B$405,E461,'Istoric_Nativ'!$C$6:$C$405,F461,'Istoric_Nativ'!$F$6:$F$405,G461,'Istoric_Nativ'!$D$6:$D$405,"&lt;"&amp;J461,'Istoric_Nativ'!$O$6:$O$405,"SOURCE CONFLICT"))</x:f>
        <x:v>0</x:v>
      </x:c>
      <x:c r="T461" s="2" t="str">
        <x:f>IF(B461="","",IF(R461&lt;&gt;"CLOSED",R461,IF(S461&gt;0,"NATIVE INPUT ISSUE",IF(M461=0,"NO HISTORY",IF(M461&lt;P461,"SMALL SAMPLE","DERIVED")))))</x:f>
      </x:c>
      <x:c r="U461" s="2" t="str">
        <x:f>IF(B461="","","NativeTable; "&amp;E461&amp;"; "&amp;F461&amp;"; "&amp;G461&amp;"; "&amp;H461&amp;"; before "&amp;TEXT(J461,"yyyy-mm-dd")&amp;IF(I461="RECENT","; from "&amp;TEXT(L461,"yyyy-mm-dd"),""))</x:f>
      </x:c>
    </x:row>
    <x:row r="462" ht="21" customHeight="1">
      <x:c r="A462" s="2" t="n">
        <x:v>39</x:v>
      </x:c>
      <x:c r="B462" s="2" t="str">
        <x:f>IF('Input_Meci'!A44="","",'Input_Meci'!A44)</x:f>
      </x:c>
      <x:c r="C462" s="2" t="str">
        <x:v>H</x:v>
      </x:c>
      <x:c r="D462" s="2" t="str">
        <x:v>CURRENT</x:v>
      </x:c>
      <x:c r="E462" s="2" t="str">
        <x:f>IF(B462="","",'Input_Meci'!B44)</x:f>
      </x:c>
      <x:c r="F462" s="2" t="str">
        <x:f>IF(B462="","",IF('Input_Meci'!C44="","",'Input_Meci'!C44))</x:f>
      </x:c>
      <x:c r="G462" s="2" t="str">
        <x:f>IF(B462="","",'Input_Meci'!D44)</x:f>
      </x:c>
      <x:c r="H462" s="2" t="str">
        <x:v>ANY</x:v>
      </x:c>
      <x:c r="I462" s="2" t="str">
        <x:v>SEASON</x:v>
      </x:c>
      <x:c r="J462" s="9" t="n">
        <x:f>IF(AND(B462&lt;&gt;"",ISNUMBER('Input_Meci'!G44)),INT('Input_Meci'!G44),0)</x:f>
        <x:v>0</x:v>
      </x:c>
      <x:c r="K462" s="2" t="n">
        <x:f>IF(OR(B462="",F462=""),0,IF(H462="HOME",COUNTIFS('Istoric_Nativ'!$B$6:$B$405,E462,'Istoric_Nativ'!$C$6:$C$405,F462,'Istoric_Nativ'!$E$6:$E$405,G462,'Istoric_Nativ'!$D$6:$D$405,"&lt;"&amp;J462,'Istoric_Nativ'!$P$6:$P$405,1),IF(H462="AWAY",COUNTIFS('Istoric_Nativ'!$B$6:$B$405,E462,'Istoric_Nativ'!$C$6:$C$405,F462,'Istoric_Nativ'!$F$6:$F$405,G462,'Istoric_Nativ'!$D$6:$D$405,"&lt;"&amp;J462,'Istoric_Nativ'!$P$6:$P$405,1),COUNTIFS('Istoric_Nativ'!$B$6:$B$405,E462,'Istoric_Nativ'!$C$6:$C$405,F462,'Istoric_Nativ'!$E$6:$E$405,G462,'Istoric_Nativ'!$D$6:$D$405,"&lt;"&amp;J462,'Istoric_Nativ'!$P$6:$P$405,1)+COUNTIFS('Istoric_Nativ'!$B$6:$B$405,E462,'Istoric_Nativ'!$C$6:$C$405,F462,'Istoric_Nativ'!$F$6:$F$405,G462,'Istoric_Nativ'!$D$6:$D$405,"&lt;"&amp;J462,'Istoric_Nativ'!$P$6:$P$405,1))))</x:f>
        <x:v>0</x:v>
      </x:c>
      <x:c r="L462" s="17" t="n">
        <x:f>IF(AND(B462&lt;&gt;"",I462="RECENT",K462&gt;0),LARGE(_xlfn._xlws.FILTER('Istoric_Nativ'!$D$6:$D$405,('Istoric_Nativ'!$B$6:$B$405=E462)*('Istoric_Nativ'!$C$6:$C$405=F462)*('Istoric_Nativ'!$P$6:$P$405=1)*('Istoric_Nativ'!$D$6:$D$405&lt;J462)*((('Istoric_Nativ'!$E$6:$E$405=G462)+('Istoric_Nativ'!$F$6:$F$405=G462))&gt;0)),MIN('Config_v6'!$B$54,K462)),0)</x:f>
        <x:v>0</x:v>
      </x:c>
      <x:c r="M462" s="2" t="n">
        <x:f>IF(OR(B462="",F462=""),0,IF(H462="HOME",COUNTIFS('Istoric_Nativ'!$B$6:$B$405,E462,'Istoric_Nativ'!$C$6:$C$405,F462,'Istoric_Nativ'!$E$6:$E$405,G462,'Istoric_Nativ'!$D$6:$D$405,"&lt;"&amp;J462,'Istoric_Nativ'!$P$6:$P$405,1,'Istoric_Nativ'!$D$6:$D$405,"&gt;="&amp;L462),IF(H462="AWAY",COUNTIFS('Istoric_Nativ'!$B$6:$B$405,E462,'Istoric_Nativ'!$C$6:$C$405,F462,'Istoric_Nativ'!$F$6:$F$405,G462,'Istoric_Nativ'!$D$6:$D$405,"&lt;"&amp;J462,'Istoric_Nativ'!$P$6:$P$405,1,'Istoric_Nativ'!$D$6:$D$405,"&gt;="&amp;L462),COUNTIFS('Istoric_Nativ'!$B$6:$B$405,E462,'Istoric_Nativ'!$C$6:$C$405,F462,'Istoric_Nativ'!$E$6:$E$405,G462,'Istoric_Nativ'!$D$6:$D$405,"&lt;"&amp;J462,'Istoric_Nativ'!$P$6:$P$405,1,'Istoric_Nativ'!$D$6:$D$405,"&gt;="&amp;L462)+COUNTIFS('Istoric_Nativ'!$B$6:$B$405,E462,'Istoric_Nativ'!$C$6:$C$405,F462,'Istoric_Nativ'!$F$6:$F$405,G462,'Istoric_Nativ'!$D$6:$D$405,"&lt;"&amp;J462,'Istoric_Nativ'!$P$6:$P$405,1,'Istoric_Nativ'!$D$6:$D$405,"&gt;="&amp;L462))))</x:f>
        <x:v>0</x:v>
      </x:c>
      <x:c r="N462" s="11" t="str">
        <x:f>IF(M462=0,"",IF(H462="HOME",SUMIFS('Istoric_Nativ'!$G$6:$G$405,'Istoric_Nativ'!$B$6:$B$405,E462,'Istoric_Nativ'!$C$6:$C$405,F462,'Istoric_Nativ'!$E$6:$E$405,G462,'Istoric_Nativ'!$D$6:$D$405,"&lt;"&amp;J462,'Istoric_Nativ'!$P$6:$P$405,1,'Istoric_Nativ'!$D$6:$D$405,"&gt;="&amp;L462),IF(H462="AWAY",SUMIFS('Istoric_Nativ'!$H$6:$H$405,'Istoric_Nativ'!$B$6:$B$405,E462,'Istoric_Nativ'!$C$6:$C$405,F462,'Istoric_Nativ'!$F$6:$F$405,G462,'Istoric_Nativ'!$D$6:$D$405,"&lt;"&amp;J462,'Istoric_Nativ'!$P$6:$P$405,1,'Istoric_Nativ'!$D$6:$D$405,"&gt;="&amp;L462),SUMIFS('Istoric_Nativ'!$G$6:$G$405,'Istoric_Nativ'!$B$6:$B$405,E462,'Istoric_Nativ'!$C$6:$C$405,F462,'Istoric_Nativ'!$E$6:$E$405,G462,'Istoric_Nativ'!$D$6:$D$405,"&lt;"&amp;J462,'Istoric_Nativ'!$P$6:$P$405,1,'Istoric_Nativ'!$D$6:$D$405,"&gt;="&amp;L462)+SUMIFS('Istoric_Nativ'!$H$6:$H$405,'Istoric_Nativ'!$B$6:$B$405,E462,'Istoric_Nativ'!$C$6:$C$405,F462,'Istoric_Nativ'!$F$6:$F$405,G462,'Istoric_Nativ'!$D$6:$D$405,"&lt;"&amp;J462,'Istoric_Nativ'!$P$6:$P$405,1,'Istoric_Nativ'!$D$6:$D$405,"&gt;="&amp;L462)))/M462)</x:f>
      </x:c>
      <x:c r="O462" s="11" t="str">
        <x:f>IF(M462=0,"",IF(H462="HOME",SUMIFS('Istoric_Nativ'!$H$6:$H$405,'Istoric_Nativ'!$B$6:$B$405,E462,'Istoric_Nativ'!$C$6:$C$405,F462,'Istoric_Nativ'!$E$6:$E$405,G462,'Istoric_Nativ'!$D$6:$D$405,"&lt;"&amp;J462,'Istoric_Nativ'!$P$6:$P$405,1,'Istoric_Nativ'!$D$6:$D$405,"&gt;="&amp;L462),IF(H462="AWAY",SUMIFS('Istoric_Nativ'!$G$6:$G$405,'Istoric_Nativ'!$B$6:$B$405,E462,'Istoric_Nativ'!$C$6:$C$405,F462,'Istoric_Nativ'!$F$6:$F$405,G462,'Istoric_Nativ'!$D$6:$D$405,"&lt;"&amp;J462,'Istoric_Nativ'!$P$6:$P$405,1,'Istoric_Nativ'!$D$6:$D$405,"&gt;="&amp;L462),SUMIFS('Istoric_Nativ'!$H$6:$H$405,'Istoric_Nativ'!$B$6:$B$405,E462,'Istoric_Nativ'!$C$6:$C$405,F462,'Istoric_Nativ'!$E$6:$E$405,G462,'Istoric_Nativ'!$D$6:$D$405,"&lt;"&amp;J462,'Istoric_Nativ'!$P$6:$P$405,1,'Istoric_Nativ'!$D$6:$D$405,"&gt;="&amp;L462)+SUMIFS('Istoric_Nativ'!$G$6:$G$405,'Istoric_Nativ'!$B$6:$B$405,E462,'Istoric_Nativ'!$C$6:$C$405,F462,'Istoric_Nativ'!$F$6:$F$405,G462,'Istoric_Nativ'!$D$6:$D$405,"&lt;"&amp;J462,'Istoric_Nativ'!$P$6:$P$405,1,'Istoric_Nativ'!$D$6:$D$405,"&gt;="&amp;L462)))/M462)</x:f>
      </x:c>
      <x:c r="P462" s="2" t="n">
        <x:f>'Config_v6'!$B$7</x:f>
        <x:v>10</x:v>
      </x:c>
      <x:c r="Q462" s="2" t="n">
        <x:f>IF(OR(B462="",F462=""),0,IFERROR(MATCH(E462&amp;"|"&amp;F462,SourceTable[Source_Key],0),0))</x:f>
        <x:v>0</x:v>
      </x:c>
      <x:c r="R462" s="2" t="str">
        <x:f>IF(B462="","",IF(F462="","UNUSED",IF(Q462=0,"NOT CHECKED",IF(COUNTIF(SourceTable[Source_Key],E462&amp;"|"&amp;F462)&lt;&gt;1,"SOURCE CONFLICT",IF(NOT(OR(INDEX(SourceTable[Status],MAX(1,Q462))="IMPORTED",INDEX(SourceTable[Status],MAX(1,Q462))="PARTIAL",INDEX(SourceTable[Status],MAX(1,Q462))="SOURCE CONFLICT")),"ACCESS BLOCKED",IF(OR(INDEX(SourceTable[Coverage],Q462)&lt;&gt;"FULL SEASON EXPORT",INDEX(SourceTable[URL],Q462)="",INDEX(SourceTable[SHA256],Q462)=""),"EVIDENCE INCOMPLETE",IF(AND('Input_Meci'!H44="LIVE",INDEX(SourceTable[Retrieved_UTC],Q462)&gt;'Input_Meci'!G44),"POST CUTOFF","CLOSED")))))))</x:f>
      </x:c>
      <x:c r="S462" s="2" t="n">
        <x:f>IF(OR(B462="",F462=""),0,COUNTIFS('Istoric_Nativ'!$B$6:$B$405,E462,'Istoric_Nativ'!$C$6:$C$405,F462,'Istoric_Nativ'!$E$6:$E$405,G462,'Istoric_Nativ'!$D$6:$D$405,"&lt;"&amp;J462,'Istoric_Nativ'!$O$6:$O$405,"INVALID")+COUNTIFS('Istoric_Nativ'!$B$6:$B$405,E462,'Istoric_Nativ'!$C$6:$C$405,F462,'Istoric_Nativ'!$E$6:$E$405,G462,'Istoric_Nativ'!$O$6:$O$405,"INVALID",'Istoric_Nativ'!$D$6:$D$405,"*")+COUNTIFS('Istoric_Nativ'!$B$6:$B$405,E462,'Istoric_Nativ'!$C$6:$C$405,F462,'Istoric_Nativ'!$E$6:$E$405,G462,'Istoric_Nativ'!$D$6:$D$405,"&lt;"&amp;J462,'Istoric_Nativ'!$O$6:$O$405,"SOURCE CONFLICT")+COUNTIFS('Istoric_Nativ'!$B$6:$B$405,E462,'Istoric_Nativ'!$C$6:$C$405,F462,'Istoric_Nativ'!$F$6:$F$405,G462,'Istoric_Nativ'!$D$6:$D$405,"&lt;"&amp;J462,'Istoric_Nativ'!$O$6:$O$405,"INVALID")+COUNTIFS('Istoric_Nativ'!$B$6:$B$405,E462,'Istoric_Nativ'!$C$6:$C$405,F462,'Istoric_Nativ'!$F$6:$F$405,G462,'Istoric_Nativ'!$O$6:$O$405,"INVALID",'Istoric_Nativ'!$D$6:$D$405,"*")+COUNTIFS('Istoric_Nativ'!$B$6:$B$405,E462,'Istoric_Nativ'!$C$6:$C$405,F462,'Istoric_Nativ'!$F$6:$F$405,G462,'Istoric_Nativ'!$D$6:$D$405,"&lt;"&amp;J462,'Istoric_Nativ'!$O$6:$O$405,"SOURCE CONFLICT"))</x:f>
        <x:v>0</x:v>
      </x:c>
      <x:c r="T462" s="2" t="str">
        <x:f>IF(B462="","",IF(R462&lt;&gt;"CLOSED",R462,IF(S462&gt;0,"NATIVE INPUT ISSUE",IF(M462=0,"NO HISTORY",IF(M462&lt;P462,"SMALL SAMPLE","DERIVED")))))</x:f>
      </x:c>
      <x:c r="U462" s="2" t="str">
        <x:f>IF(B462="","","NativeTable; "&amp;E462&amp;"; "&amp;F462&amp;"; "&amp;G462&amp;"; "&amp;H462&amp;"; before "&amp;TEXT(J462,"yyyy-mm-dd")&amp;IF(I462="RECENT","; from "&amp;TEXT(L462,"yyyy-mm-dd"),""))</x:f>
      </x:c>
    </x:row>
    <x:row r="463" ht="21" customHeight="1">
      <x:c r="A463" s="2" t="n">
        <x:v>39</x:v>
      </x:c>
      <x:c r="B463" s="2" t="str">
        <x:f>IF('Input_Meci'!A44="","",'Input_Meci'!A44)</x:f>
      </x:c>
      <x:c r="C463" s="2" t="str">
        <x:v>H</x:v>
      </x:c>
      <x:c r="D463" s="2" t="str">
        <x:v>CURRENT</x:v>
      </x:c>
      <x:c r="E463" s="2" t="str">
        <x:f>IF(B463="","",'Input_Meci'!B44)</x:f>
      </x:c>
      <x:c r="F463" s="2" t="str">
        <x:f>IF(B463="","",IF('Input_Meci'!C44="","",'Input_Meci'!C44))</x:f>
      </x:c>
      <x:c r="G463" s="2" t="str">
        <x:f>IF(B463="","",'Input_Meci'!D44)</x:f>
      </x:c>
      <x:c r="H463" s="2" t="str">
        <x:v>HOME</x:v>
      </x:c>
      <x:c r="I463" s="2" t="str">
        <x:v>HA</x:v>
      </x:c>
      <x:c r="J463" s="9" t="n">
        <x:f>IF(AND(B463&lt;&gt;"",ISNUMBER('Input_Meci'!G44)),INT('Input_Meci'!G44),0)</x:f>
        <x:v>0</x:v>
      </x:c>
      <x:c r="K463" s="2" t="n">
        <x:f>IF(OR(B463="",F463=""),0,IF(H463="HOME",COUNTIFS('Istoric_Nativ'!$B$6:$B$405,E463,'Istoric_Nativ'!$C$6:$C$405,F463,'Istoric_Nativ'!$E$6:$E$405,G463,'Istoric_Nativ'!$D$6:$D$405,"&lt;"&amp;J463,'Istoric_Nativ'!$P$6:$P$405,1),IF(H463="AWAY",COUNTIFS('Istoric_Nativ'!$B$6:$B$405,E463,'Istoric_Nativ'!$C$6:$C$405,F463,'Istoric_Nativ'!$F$6:$F$405,G463,'Istoric_Nativ'!$D$6:$D$405,"&lt;"&amp;J463,'Istoric_Nativ'!$P$6:$P$405,1),COUNTIFS('Istoric_Nativ'!$B$6:$B$405,E463,'Istoric_Nativ'!$C$6:$C$405,F463,'Istoric_Nativ'!$E$6:$E$405,G463,'Istoric_Nativ'!$D$6:$D$405,"&lt;"&amp;J463,'Istoric_Nativ'!$P$6:$P$405,1)+COUNTIFS('Istoric_Nativ'!$B$6:$B$405,E463,'Istoric_Nativ'!$C$6:$C$405,F463,'Istoric_Nativ'!$F$6:$F$405,G463,'Istoric_Nativ'!$D$6:$D$405,"&lt;"&amp;J463,'Istoric_Nativ'!$P$6:$P$405,1))))</x:f>
        <x:v>0</x:v>
      </x:c>
      <x:c r="L463" s="17" t="n">
        <x:f>IF(AND(B463&lt;&gt;"",I463="RECENT",K463&gt;0),LARGE(_xlfn._xlws.FILTER('Istoric_Nativ'!$D$6:$D$405,('Istoric_Nativ'!$B$6:$B$405=E463)*('Istoric_Nativ'!$C$6:$C$405=F463)*('Istoric_Nativ'!$P$6:$P$405=1)*('Istoric_Nativ'!$D$6:$D$405&lt;J463)*((('Istoric_Nativ'!$E$6:$E$405=G463)+('Istoric_Nativ'!$F$6:$F$405=G463))&gt;0)),MIN('Config_v6'!$B$54,K463)),0)</x:f>
        <x:v>0</x:v>
      </x:c>
      <x:c r="M463" s="2" t="n">
        <x:f>IF(OR(B463="",F463=""),0,IF(H463="HOME",COUNTIFS('Istoric_Nativ'!$B$6:$B$405,E463,'Istoric_Nativ'!$C$6:$C$405,F463,'Istoric_Nativ'!$E$6:$E$405,G463,'Istoric_Nativ'!$D$6:$D$405,"&lt;"&amp;J463,'Istoric_Nativ'!$P$6:$P$405,1,'Istoric_Nativ'!$D$6:$D$405,"&gt;="&amp;L463),IF(H463="AWAY",COUNTIFS('Istoric_Nativ'!$B$6:$B$405,E463,'Istoric_Nativ'!$C$6:$C$405,F463,'Istoric_Nativ'!$F$6:$F$405,G463,'Istoric_Nativ'!$D$6:$D$405,"&lt;"&amp;J463,'Istoric_Nativ'!$P$6:$P$405,1,'Istoric_Nativ'!$D$6:$D$405,"&gt;="&amp;L463),COUNTIFS('Istoric_Nativ'!$B$6:$B$405,E463,'Istoric_Nativ'!$C$6:$C$405,F463,'Istoric_Nativ'!$E$6:$E$405,G463,'Istoric_Nativ'!$D$6:$D$405,"&lt;"&amp;J463,'Istoric_Nativ'!$P$6:$P$405,1,'Istoric_Nativ'!$D$6:$D$405,"&gt;="&amp;L463)+COUNTIFS('Istoric_Nativ'!$B$6:$B$405,E463,'Istoric_Nativ'!$C$6:$C$405,F463,'Istoric_Nativ'!$F$6:$F$405,G463,'Istoric_Nativ'!$D$6:$D$405,"&lt;"&amp;J463,'Istoric_Nativ'!$P$6:$P$405,1,'Istoric_Nativ'!$D$6:$D$405,"&gt;="&amp;L463))))</x:f>
        <x:v>0</x:v>
      </x:c>
      <x:c r="N463" s="11" t="str">
        <x:f>IF(M463=0,"",IF(H463="HOME",SUMIFS('Istoric_Nativ'!$G$6:$G$405,'Istoric_Nativ'!$B$6:$B$405,E463,'Istoric_Nativ'!$C$6:$C$405,F463,'Istoric_Nativ'!$E$6:$E$405,G463,'Istoric_Nativ'!$D$6:$D$405,"&lt;"&amp;J463,'Istoric_Nativ'!$P$6:$P$405,1,'Istoric_Nativ'!$D$6:$D$405,"&gt;="&amp;L463),IF(H463="AWAY",SUMIFS('Istoric_Nativ'!$H$6:$H$405,'Istoric_Nativ'!$B$6:$B$405,E463,'Istoric_Nativ'!$C$6:$C$405,F463,'Istoric_Nativ'!$F$6:$F$405,G463,'Istoric_Nativ'!$D$6:$D$405,"&lt;"&amp;J463,'Istoric_Nativ'!$P$6:$P$405,1,'Istoric_Nativ'!$D$6:$D$405,"&gt;="&amp;L463),SUMIFS('Istoric_Nativ'!$G$6:$G$405,'Istoric_Nativ'!$B$6:$B$405,E463,'Istoric_Nativ'!$C$6:$C$405,F463,'Istoric_Nativ'!$E$6:$E$405,G463,'Istoric_Nativ'!$D$6:$D$405,"&lt;"&amp;J463,'Istoric_Nativ'!$P$6:$P$405,1,'Istoric_Nativ'!$D$6:$D$405,"&gt;="&amp;L463)+SUMIFS('Istoric_Nativ'!$H$6:$H$405,'Istoric_Nativ'!$B$6:$B$405,E463,'Istoric_Nativ'!$C$6:$C$405,F463,'Istoric_Nativ'!$F$6:$F$405,G463,'Istoric_Nativ'!$D$6:$D$405,"&lt;"&amp;J463,'Istoric_Nativ'!$P$6:$P$405,1,'Istoric_Nativ'!$D$6:$D$405,"&gt;="&amp;L463)))/M463)</x:f>
      </x:c>
      <x:c r="O463" s="11" t="str">
        <x:f>IF(M463=0,"",IF(H463="HOME",SUMIFS('Istoric_Nativ'!$H$6:$H$405,'Istoric_Nativ'!$B$6:$B$405,E463,'Istoric_Nativ'!$C$6:$C$405,F463,'Istoric_Nativ'!$E$6:$E$405,G463,'Istoric_Nativ'!$D$6:$D$405,"&lt;"&amp;J463,'Istoric_Nativ'!$P$6:$P$405,1,'Istoric_Nativ'!$D$6:$D$405,"&gt;="&amp;L463),IF(H463="AWAY",SUMIFS('Istoric_Nativ'!$G$6:$G$405,'Istoric_Nativ'!$B$6:$B$405,E463,'Istoric_Nativ'!$C$6:$C$405,F463,'Istoric_Nativ'!$F$6:$F$405,G463,'Istoric_Nativ'!$D$6:$D$405,"&lt;"&amp;J463,'Istoric_Nativ'!$P$6:$P$405,1,'Istoric_Nativ'!$D$6:$D$405,"&gt;="&amp;L463),SUMIFS('Istoric_Nativ'!$H$6:$H$405,'Istoric_Nativ'!$B$6:$B$405,E463,'Istoric_Nativ'!$C$6:$C$405,F463,'Istoric_Nativ'!$E$6:$E$405,G463,'Istoric_Nativ'!$D$6:$D$405,"&lt;"&amp;J463,'Istoric_Nativ'!$P$6:$P$405,1,'Istoric_Nativ'!$D$6:$D$405,"&gt;="&amp;L463)+SUMIFS('Istoric_Nativ'!$G$6:$G$405,'Istoric_Nativ'!$B$6:$B$405,E463,'Istoric_Nativ'!$C$6:$C$405,F463,'Istoric_Nativ'!$F$6:$F$405,G463,'Istoric_Nativ'!$D$6:$D$405,"&lt;"&amp;J463,'Istoric_Nativ'!$P$6:$P$405,1,'Istoric_Nativ'!$D$6:$D$405,"&gt;="&amp;L463)))/M463)</x:f>
      </x:c>
      <x:c r="P463" s="2" t="n">
        <x:f>'Config_v6'!$B$8</x:f>
        <x:v>5</x:v>
      </x:c>
      <x:c r="Q463" s="2" t="n">
        <x:f>IF(OR(B463="",F463=""),0,IFERROR(MATCH(E463&amp;"|"&amp;F463,SourceTable[Source_Key],0),0))</x:f>
        <x:v>0</x:v>
      </x:c>
      <x:c r="R463" s="2" t="str">
        <x:f>IF(B463="","",IF(F463="","UNUSED",IF(Q463=0,"NOT CHECKED",IF(COUNTIF(SourceTable[Source_Key],E463&amp;"|"&amp;F463)&lt;&gt;1,"SOURCE CONFLICT",IF(NOT(OR(INDEX(SourceTable[Status],MAX(1,Q463))="IMPORTED",INDEX(SourceTable[Status],MAX(1,Q463))="PARTIAL",INDEX(SourceTable[Status],MAX(1,Q463))="SOURCE CONFLICT")),"ACCESS BLOCKED",IF(OR(INDEX(SourceTable[Coverage],Q463)&lt;&gt;"FULL SEASON EXPORT",INDEX(SourceTable[URL],Q463)="",INDEX(SourceTable[SHA256],Q463)=""),"EVIDENCE INCOMPLETE",IF(AND('Input_Meci'!H44="LIVE",INDEX(SourceTable[Retrieved_UTC],Q463)&gt;'Input_Meci'!G44),"POST CUTOFF","CLOSED")))))))</x:f>
      </x:c>
      <x:c r="S463" s="2" t="n">
        <x:f>IF(OR(B463="",F463=""),0,COUNTIFS('Istoric_Nativ'!$B$6:$B$405,E463,'Istoric_Nativ'!$C$6:$C$405,F463,'Istoric_Nativ'!$E$6:$E$405,G463,'Istoric_Nativ'!$D$6:$D$405,"&lt;"&amp;J463,'Istoric_Nativ'!$O$6:$O$405,"INVALID")+COUNTIFS('Istoric_Nativ'!$B$6:$B$405,E463,'Istoric_Nativ'!$C$6:$C$405,F463,'Istoric_Nativ'!$E$6:$E$405,G463,'Istoric_Nativ'!$O$6:$O$405,"INVALID",'Istoric_Nativ'!$D$6:$D$405,"*")+COUNTIFS('Istoric_Nativ'!$B$6:$B$405,E463,'Istoric_Nativ'!$C$6:$C$405,F463,'Istoric_Nativ'!$E$6:$E$405,G463,'Istoric_Nativ'!$D$6:$D$405,"&lt;"&amp;J463,'Istoric_Nativ'!$O$6:$O$405,"SOURCE CONFLICT")+COUNTIFS('Istoric_Nativ'!$B$6:$B$405,E463,'Istoric_Nativ'!$C$6:$C$405,F463,'Istoric_Nativ'!$F$6:$F$405,G463,'Istoric_Nativ'!$D$6:$D$405,"&lt;"&amp;J463,'Istoric_Nativ'!$O$6:$O$405,"INVALID")+COUNTIFS('Istoric_Nativ'!$B$6:$B$405,E463,'Istoric_Nativ'!$C$6:$C$405,F463,'Istoric_Nativ'!$F$6:$F$405,G463,'Istoric_Nativ'!$O$6:$O$405,"INVALID",'Istoric_Nativ'!$D$6:$D$405,"*")+COUNTIFS('Istoric_Nativ'!$B$6:$B$405,E463,'Istoric_Nativ'!$C$6:$C$405,F463,'Istoric_Nativ'!$F$6:$F$405,G463,'Istoric_Nativ'!$D$6:$D$405,"&lt;"&amp;J463,'Istoric_Nativ'!$O$6:$O$405,"SOURCE CONFLICT"))</x:f>
        <x:v>0</x:v>
      </x:c>
      <x:c r="T463" s="2" t="str">
        <x:f>IF(B463="","",IF(R463&lt;&gt;"CLOSED",R463,IF(S463&gt;0,"NATIVE INPUT ISSUE",IF(M463=0,"NO HISTORY",IF(M463&lt;P463,"SMALL SAMPLE","DERIVED")))))</x:f>
      </x:c>
      <x:c r="U463" s="2" t="str">
        <x:f>IF(B463="","","NativeTable; "&amp;E463&amp;"; "&amp;F463&amp;"; "&amp;G463&amp;"; "&amp;H463&amp;"; before "&amp;TEXT(J463,"yyyy-mm-dd")&amp;IF(I463="RECENT","; from "&amp;TEXT(L463,"yyyy-mm-dd"),""))</x:f>
      </x:c>
    </x:row>
    <x:row r="464" ht="21" customHeight="1">
      <x:c r="A464" s="2" t="n">
        <x:v>39</x:v>
      </x:c>
      <x:c r="B464" s="2" t="str">
        <x:f>IF('Input_Meci'!A44="","",'Input_Meci'!A44)</x:f>
      </x:c>
      <x:c r="C464" s="2" t="str">
        <x:v>H</x:v>
      </x:c>
      <x:c r="D464" s="2" t="str">
        <x:v>CURRENT</x:v>
      </x:c>
      <x:c r="E464" s="2" t="str">
        <x:f>IF(B464="","",'Input_Meci'!B44)</x:f>
      </x:c>
      <x:c r="F464" s="2" t="str">
        <x:f>IF(B464="","",IF('Input_Meci'!C44="","",'Input_Meci'!C44))</x:f>
      </x:c>
      <x:c r="G464" s="2" t="str">
        <x:f>IF(B464="","",'Input_Meci'!D44)</x:f>
      </x:c>
      <x:c r="H464" s="2" t="str">
        <x:v>ANY</x:v>
      </x:c>
      <x:c r="I464" s="2" t="str">
        <x:v>RECENT</x:v>
      </x:c>
      <x:c r="J464" s="9" t="n">
        <x:f>IF(AND(B464&lt;&gt;"",ISNUMBER('Input_Meci'!G44)),INT('Input_Meci'!G44),0)</x:f>
        <x:v>0</x:v>
      </x:c>
      <x:c r="K464" s="2" t="n">
        <x:f>IF(OR(B464="",F464=""),0,IF(H464="HOME",COUNTIFS('Istoric_Nativ'!$B$6:$B$405,E464,'Istoric_Nativ'!$C$6:$C$405,F464,'Istoric_Nativ'!$E$6:$E$405,G464,'Istoric_Nativ'!$D$6:$D$405,"&lt;"&amp;J464,'Istoric_Nativ'!$P$6:$P$405,1),IF(H464="AWAY",COUNTIFS('Istoric_Nativ'!$B$6:$B$405,E464,'Istoric_Nativ'!$C$6:$C$405,F464,'Istoric_Nativ'!$F$6:$F$405,G464,'Istoric_Nativ'!$D$6:$D$405,"&lt;"&amp;J464,'Istoric_Nativ'!$P$6:$P$405,1),COUNTIFS('Istoric_Nativ'!$B$6:$B$405,E464,'Istoric_Nativ'!$C$6:$C$405,F464,'Istoric_Nativ'!$E$6:$E$405,G464,'Istoric_Nativ'!$D$6:$D$405,"&lt;"&amp;J464,'Istoric_Nativ'!$P$6:$P$405,1)+COUNTIFS('Istoric_Nativ'!$B$6:$B$405,E464,'Istoric_Nativ'!$C$6:$C$405,F464,'Istoric_Nativ'!$F$6:$F$405,G464,'Istoric_Nativ'!$D$6:$D$405,"&lt;"&amp;J464,'Istoric_Nativ'!$P$6:$P$405,1))))</x:f>
        <x:v>0</x:v>
      </x:c>
      <x:c r="L464" s="17" t="n">
        <x:f>IF(AND(B464&lt;&gt;"",I464="RECENT",K464&gt;0),LARGE(_xlfn._xlws.FILTER('Istoric_Nativ'!$D$6:$D$405,('Istoric_Nativ'!$B$6:$B$405=E464)*('Istoric_Nativ'!$C$6:$C$405=F464)*('Istoric_Nativ'!$P$6:$P$405=1)*('Istoric_Nativ'!$D$6:$D$405&lt;J464)*((('Istoric_Nativ'!$E$6:$E$405=G464)+('Istoric_Nativ'!$F$6:$F$405=G464))&gt;0)),MIN('Config_v6'!$B$54,K464)),0)</x:f>
        <x:v>0</x:v>
      </x:c>
      <x:c r="M464" s="2" t="n">
        <x:f>IF(OR(B464="",F464=""),0,IF(H464="HOME",COUNTIFS('Istoric_Nativ'!$B$6:$B$405,E464,'Istoric_Nativ'!$C$6:$C$405,F464,'Istoric_Nativ'!$E$6:$E$405,G464,'Istoric_Nativ'!$D$6:$D$405,"&lt;"&amp;J464,'Istoric_Nativ'!$P$6:$P$405,1,'Istoric_Nativ'!$D$6:$D$405,"&gt;="&amp;L464),IF(H464="AWAY",COUNTIFS('Istoric_Nativ'!$B$6:$B$405,E464,'Istoric_Nativ'!$C$6:$C$405,F464,'Istoric_Nativ'!$F$6:$F$405,G464,'Istoric_Nativ'!$D$6:$D$405,"&lt;"&amp;J464,'Istoric_Nativ'!$P$6:$P$405,1,'Istoric_Nativ'!$D$6:$D$405,"&gt;="&amp;L464),COUNTIFS('Istoric_Nativ'!$B$6:$B$405,E464,'Istoric_Nativ'!$C$6:$C$405,F464,'Istoric_Nativ'!$E$6:$E$405,G464,'Istoric_Nativ'!$D$6:$D$405,"&lt;"&amp;J464,'Istoric_Nativ'!$P$6:$P$405,1,'Istoric_Nativ'!$D$6:$D$405,"&gt;="&amp;L464)+COUNTIFS('Istoric_Nativ'!$B$6:$B$405,E464,'Istoric_Nativ'!$C$6:$C$405,F464,'Istoric_Nativ'!$F$6:$F$405,G464,'Istoric_Nativ'!$D$6:$D$405,"&lt;"&amp;J464,'Istoric_Nativ'!$P$6:$P$405,1,'Istoric_Nativ'!$D$6:$D$405,"&gt;="&amp;L464))))</x:f>
        <x:v>0</x:v>
      </x:c>
      <x:c r="N464" s="11" t="str">
        <x:f>IF(M464=0,"",IF(H464="HOME",SUMIFS('Istoric_Nativ'!$G$6:$G$405,'Istoric_Nativ'!$B$6:$B$405,E464,'Istoric_Nativ'!$C$6:$C$405,F464,'Istoric_Nativ'!$E$6:$E$405,G464,'Istoric_Nativ'!$D$6:$D$405,"&lt;"&amp;J464,'Istoric_Nativ'!$P$6:$P$405,1,'Istoric_Nativ'!$D$6:$D$405,"&gt;="&amp;L464),IF(H464="AWAY",SUMIFS('Istoric_Nativ'!$H$6:$H$405,'Istoric_Nativ'!$B$6:$B$405,E464,'Istoric_Nativ'!$C$6:$C$405,F464,'Istoric_Nativ'!$F$6:$F$405,G464,'Istoric_Nativ'!$D$6:$D$405,"&lt;"&amp;J464,'Istoric_Nativ'!$P$6:$P$405,1,'Istoric_Nativ'!$D$6:$D$405,"&gt;="&amp;L464),SUMIFS('Istoric_Nativ'!$G$6:$G$405,'Istoric_Nativ'!$B$6:$B$405,E464,'Istoric_Nativ'!$C$6:$C$405,F464,'Istoric_Nativ'!$E$6:$E$405,G464,'Istoric_Nativ'!$D$6:$D$405,"&lt;"&amp;J464,'Istoric_Nativ'!$P$6:$P$405,1,'Istoric_Nativ'!$D$6:$D$405,"&gt;="&amp;L464)+SUMIFS('Istoric_Nativ'!$H$6:$H$405,'Istoric_Nativ'!$B$6:$B$405,E464,'Istoric_Nativ'!$C$6:$C$405,F464,'Istoric_Nativ'!$F$6:$F$405,G464,'Istoric_Nativ'!$D$6:$D$405,"&lt;"&amp;J464,'Istoric_Nativ'!$P$6:$P$405,1,'Istoric_Nativ'!$D$6:$D$405,"&gt;="&amp;L464)))/M464)</x:f>
      </x:c>
      <x:c r="O464" s="11" t="str">
        <x:f>IF(M464=0,"",IF(H464="HOME",SUMIFS('Istoric_Nativ'!$H$6:$H$405,'Istoric_Nativ'!$B$6:$B$405,E464,'Istoric_Nativ'!$C$6:$C$405,F464,'Istoric_Nativ'!$E$6:$E$405,G464,'Istoric_Nativ'!$D$6:$D$405,"&lt;"&amp;J464,'Istoric_Nativ'!$P$6:$P$405,1,'Istoric_Nativ'!$D$6:$D$405,"&gt;="&amp;L464),IF(H464="AWAY",SUMIFS('Istoric_Nativ'!$G$6:$G$405,'Istoric_Nativ'!$B$6:$B$405,E464,'Istoric_Nativ'!$C$6:$C$405,F464,'Istoric_Nativ'!$F$6:$F$405,G464,'Istoric_Nativ'!$D$6:$D$405,"&lt;"&amp;J464,'Istoric_Nativ'!$P$6:$P$405,1,'Istoric_Nativ'!$D$6:$D$405,"&gt;="&amp;L464),SUMIFS('Istoric_Nativ'!$H$6:$H$405,'Istoric_Nativ'!$B$6:$B$405,E464,'Istoric_Nativ'!$C$6:$C$405,F464,'Istoric_Nativ'!$E$6:$E$405,G464,'Istoric_Nativ'!$D$6:$D$405,"&lt;"&amp;J464,'Istoric_Nativ'!$P$6:$P$405,1,'Istoric_Nativ'!$D$6:$D$405,"&gt;="&amp;L464)+SUMIFS('Istoric_Nativ'!$G$6:$G$405,'Istoric_Nativ'!$B$6:$B$405,E464,'Istoric_Nativ'!$C$6:$C$405,F464,'Istoric_Nativ'!$F$6:$F$405,G464,'Istoric_Nativ'!$D$6:$D$405,"&lt;"&amp;J464,'Istoric_Nativ'!$P$6:$P$405,1,'Istoric_Nativ'!$D$6:$D$405,"&gt;="&amp;L464)))/M464)</x:f>
      </x:c>
      <x:c r="P464" s="2" t="n">
        <x:f>'Config_v6'!$B$9</x:f>
        <x:v>3</x:v>
      </x:c>
      <x:c r="Q464" s="2" t="n">
        <x:f>IF(OR(B464="",F464=""),0,IFERROR(MATCH(E464&amp;"|"&amp;F464,SourceTable[Source_Key],0),0))</x:f>
        <x:v>0</x:v>
      </x:c>
      <x:c r="R464" s="2" t="str">
        <x:f>IF(B464="","",IF(F464="","UNUSED",IF(Q464=0,"NOT CHECKED",IF(COUNTIF(SourceTable[Source_Key],E464&amp;"|"&amp;F464)&lt;&gt;1,"SOURCE CONFLICT",IF(NOT(OR(INDEX(SourceTable[Status],MAX(1,Q464))="IMPORTED",INDEX(SourceTable[Status],MAX(1,Q464))="PARTIAL",INDEX(SourceTable[Status],MAX(1,Q464))="SOURCE CONFLICT")),"ACCESS BLOCKED",IF(OR(INDEX(SourceTable[Coverage],Q464)&lt;&gt;"FULL SEASON EXPORT",INDEX(SourceTable[URL],Q464)="",INDEX(SourceTable[SHA256],Q464)=""),"EVIDENCE INCOMPLETE",IF(AND('Input_Meci'!H44="LIVE",INDEX(SourceTable[Retrieved_UTC],Q464)&gt;'Input_Meci'!G44),"POST CUTOFF","CLOSED")))))))</x:f>
      </x:c>
      <x:c r="S464" s="2" t="n">
        <x:f>IF(OR(B464="",F464=""),0,COUNTIFS('Istoric_Nativ'!$B$6:$B$405,E464,'Istoric_Nativ'!$C$6:$C$405,F464,'Istoric_Nativ'!$E$6:$E$405,G464,'Istoric_Nativ'!$D$6:$D$405,"&lt;"&amp;J464,'Istoric_Nativ'!$O$6:$O$405,"INVALID")+COUNTIFS('Istoric_Nativ'!$B$6:$B$405,E464,'Istoric_Nativ'!$C$6:$C$405,F464,'Istoric_Nativ'!$E$6:$E$405,G464,'Istoric_Nativ'!$O$6:$O$405,"INVALID",'Istoric_Nativ'!$D$6:$D$405,"*")+COUNTIFS('Istoric_Nativ'!$B$6:$B$405,E464,'Istoric_Nativ'!$C$6:$C$405,F464,'Istoric_Nativ'!$E$6:$E$405,G464,'Istoric_Nativ'!$D$6:$D$405,"&lt;"&amp;J464,'Istoric_Nativ'!$O$6:$O$405,"SOURCE CONFLICT")+COUNTIFS('Istoric_Nativ'!$B$6:$B$405,E464,'Istoric_Nativ'!$C$6:$C$405,F464,'Istoric_Nativ'!$F$6:$F$405,G464,'Istoric_Nativ'!$D$6:$D$405,"&lt;"&amp;J464,'Istoric_Nativ'!$O$6:$O$405,"INVALID")+COUNTIFS('Istoric_Nativ'!$B$6:$B$405,E464,'Istoric_Nativ'!$C$6:$C$405,F464,'Istoric_Nativ'!$F$6:$F$405,G464,'Istoric_Nativ'!$O$6:$O$405,"INVALID",'Istoric_Nativ'!$D$6:$D$405,"*")+COUNTIFS('Istoric_Nativ'!$B$6:$B$405,E464,'Istoric_Nativ'!$C$6:$C$405,F464,'Istoric_Nativ'!$F$6:$F$405,G464,'Istoric_Nativ'!$D$6:$D$405,"&lt;"&amp;J464,'Istoric_Nativ'!$O$6:$O$405,"SOURCE CONFLICT"))</x:f>
        <x:v>0</x:v>
      </x:c>
      <x:c r="T464" s="2" t="str">
        <x:f>IF(B464="","",IF(R464&lt;&gt;"CLOSED",R464,IF(S464&gt;0,"NATIVE INPUT ISSUE",IF(M464=0,"NO HISTORY",IF(M464&lt;P464,"SMALL SAMPLE","DERIVED")))))</x:f>
      </x:c>
      <x:c r="U464" s="2" t="str">
        <x:f>IF(B464="","","NativeTable; "&amp;E464&amp;"; "&amp;F464&amp;"; "&amp;G464&amp;"; "&amp;H464&amp;"; before "&amp;TEXT(J464,"yyyy-mm-dd")&amp;IF(I464="RECENT","; from "&amp;TEXT(L464,"yyyy-mm-dd"),""))</x:f>
      </x:c>
    </x:row>
    <x:row r="465" ht="21" customHeight="1">
      <x:c r="A465" s="2" t="n">
        <x:v>39</x:v>
      </x:c>
      <x:c r="B465" s="2" t="str">
        <x:f>IF('Input_Meci'!A44="","",'Input_Meci'!A44)</x:f>
      </x:c>
      <x:c r="C465" s="2" t="str">
        <x:v>A</x:v>
      </x:c>
      <x:c r="D465" s="2" t="str">
        <x:v>CURRENT</x:v>
      </x:c>
      <x:c r="E465" s="2" t="str">
        <x:f>IF(B465="","",'Input_Meci'!B44)</x:f>
      </x:c>
      <x:c r="F465" s="2" t="str">
        <x:f>IF(B465="","",IF('Input_Meci'!C44="","",'Input_Meci'!C44))</x:f>
      </x:c>
      <x:c r="G465" s="2" t="str">
        <x:f>IF(B465="","",'Input_Meci'!E44)</x:f>
      </x:c>
      <x:c r="H465" s="2" t="str">
        <x:v>ANY</x:v>
      </x:c>
      <x:c r="I465" s="2" t="str">
        <x:v>SEASON</x:v>
      </x:c>
      <x:c r="J465" s="9" t="n">
        <x:f>IF(AND(B465&lt;&gt;"",ISNUMBER('Input_Meci'!G44)),INT('Input_Meci'!G44),0)</x:f>
        <x:v>0</x:v>
      </x:c>
      <x:c r="K465" s="2" t="n">
        <x:f>IF(OR(B465="",F465=""),0,IF(H465="HOME",COUNTIFS('Istoric_Nativ'!$B$6:$B$405,E465,'Istoric_Nativ'!$C$6:$C$405,F465,'Istoric_Nativ'!$E$6:$E$405,G465,'Istoric_Nativ'!$D$6:$D$405,"&lt;"&amp;J465,'Istoric_Nativ'!$P$6:$P$405,1),IF(H465="AWAY",COUNTIFS('Istoric_Nativ'!$B$6:$B$405,E465,'Istoric_Nativ'!$C$6:$C$405,F465,'Istoric_Nativ'!$F$6:$F$405,G465,'Istoric_Nativ'!$D$6:$D$405,"&lt;"&amp;J465,'Istoric_Nativ'!$P$6:$P$405,1),COUNTIFS('Istoric_Nativ'!$B$6:$B$405,E465,'Istoric_Nativ'!$C$6:$C$405,F465,'Istoric_Nativ'!$E$6:$E$405,G465,'Istoric_Nativ'!$D$6:$D$405,"&lt;"&amp;J465,'Istoric_Nativ'!$P$6:$P$405,1)+COUNTIFS('Istoric_Nativ'!$B$6:$B$405,E465,'Istoric_Nativ'!$C$6:$C$405,F465,'Istoric_Nativ'!$F$6:$F$405,G465,'Istoric_Nativ'!$D$6:$D$405,"&lt;"&amp;J465,'Istoric_Nativ'!$P$6:$P$405,1))))</x:f>
        <x:v>0</x:v>
      </x:c>
      <x:c r="L465" s="17" t="n">
        <x:f>IF(AND(B465&lt;&gt;"",I465="RECENT",K465&gt;0),LARGE(_xlfn._xlws.FILTER('Istoric_Nativ'!$D$6:$D$405,('Istoric_Nativ'!$B$6:$B$405=E465)*('Istoric_Nativ'!$C$6:$C$405=F465)*('Istoric_Nativ'!$P$6:$P$405=1)*('Istoric_Nativ'!$D$6:$D$405&lt;J465)*((('Istoric_Nativ'!$E$6:$E$405=G465)+('Istoric_Nativ'!$F$6:$F$405=G465))&gt;0)),MIN('Config_v6'!$B$54,K465)),0)</x:f>
        <x:v>0</x:v>
      </x:c>
      <x:c r="M465" s="2" t="n">
        <x:f>IF(OR(B465="",F465=""),0,IF(H465="HOME",COUNTIFS('Istoric_Nativ'!$B$6:$B$405,E465,'Istoric_Nativ'!$C$6:$C$405,F465,'Istoric_Nativ'!$E$6:$E$405,G465,'Istoric_Nativ'!$D$6:$D$405,"&lt;"&amp;J465,'Istoric_Nativ'!$P$6:$P$405,1,'Istoric_Nativ'!$D$6:$D$405,"&gt;="&amp;L465),IF(H465="AWAY",COUNTIFS('Istoric_Nativ'!$B$6:$B$405,E465,'Istoric_Nativ'!$C$6:$C$405,F465,'Istoric_Nativ'!$F$6:$F$405,G465,'Istoric_Nativ'!$D$6:$D$405,"&lt;"&amp;J465,'Istoric_Nativ'!$P$6:$P$405,1,'Istoric_Nativ'!$D$6:$D$405,"&gt;="&amp;L465),COUNTIFS('Istoric_Nativ'!$B$6:$B$405,E465,'Istoric_Nativ'!$C$6:$C$405,F465,'Istoric_Nativ'!$E$6:$E$405,G465,'Istoric_Nativ'!$D$6:$D$405,"&lt;"&amp;J465,'Istoric_Nativ'!$P$6:$P$405,1,'Istoric_Nativ'!$D$6:$D$405,"&gt;="&amp;L465)+COUNTIFS('Istoric_Nativ'!$B$6:$B$405,E465,'Istoric_Nativ'!$C$6:$C$405,F465,'Istoric_Nativ'!$F$6:$F$405,G465,'Istoric_Nativ'!$D$6:$D$405,"&lt;"&amp;J465,'Istoric_Nativ'!$P$6:$P$405,1,'Istoric_Nativ'!$D$6:$D$405,"&gt;="&amp;L465))))</x:f>
        <x:v>0</x:v>
      </x:c>
      <x:c r="N465" s="11" t="str">
        <x:f>IF(M465=0,"",IF(H465="HOME",SUMIFS('Istoric_Nativ'!$G$6:$G$405,'Istoric_Nativ'!$B$6:$B$405,E465,'Istoric_Nativ'!$C$6:$C$405,F465,'Istoric_Nativ'!$E$6:$E$405,G465,'Istoric_Nativ'!$D$6:$D$405,"&lt;"&amp;J465,'Istoric_Nativ'!$P$6:$P$405,1,'Istoric_Nativ'!$D$6:$D$405,"&gt;="&amp;L465),IF(H465="AWAY",SUMIFS('Istoric_Nativ'!$H$6:$H$405,'Istoric_Nativ'!$B$6:$B$405,E465,'Istoric_Nativ'!$C$6:$C$405,F465,'Istoric_Nativ'!$F$6:$F$405,G465,'Istoric_Nativ'!$D$6:$D$405,"&lt;"&amp;J465,'Istoric_Nativ'!$P$6:$P$405,1,'Istoric_Nativ'!$D$6:$D$405,"&gt;="&amp;L465),SUMIFS('Istoric_Nativ'!$G$6:$G$405,'Istoric_Nativ'!$B$6:$B$405,E465,'Istoric_Nativ'!$C$6:$C$405,F465,'Istoric_Nativ'!$E$6:$E$405,G465,'Istoric_Nativ'!$D$6:$D$405,"&lt;"&amp;J465,'Istoric_Nativ'!$P$6:$P$405,1,'Istoric_Nativ'!$D$6:$D$405,"&gt;="&amp;L465)+SUMIFS('Istoric_Nativ'!$H$6:$H$405,'Istoric_Nativ'!$B$6:$B$405,E465,'Istoric_Nativ'!$C$6:$C$405,F465,'Istoric_Nativ'!$F$6:$F$405,G465,'Istoric_Nativ'!$D$6:$D$405,"&lt;"&amp;J465,'Istoric_Nativ'!$P$6:$P$405,1,'Istoric_Nativ'!$D$6:$D$405,"&gt;="&amp;L465)))/M465)</x:f>
      </x:c>
      <x:c r="O465" s="11" t="str">
        <x:f>IF(M465=0,"",IF(H465="HOME",SUMIFS('Istoric_Nativ'!$H$6:$H$405,'Istoric_Nativ'!$B$6:$B$405,E465,'Istoric_Nativ'!$C$6:$C$405,F465,'Istoric_Nativ'!$E$6:$E$405,G465,'Istoric_Nativ'!$D$6:$D$405,"&lt;"&amp;J465,'Istoric_Nativ'!$P$6:$P$405,1,'Istoric_Nativ'!$D$6:$D$405,"&gt;="&amp;L465),IF(H465="AWAY",SUMIFS('Istoric_Nativ'!$G$6:$G$405,'Istoric_Nativ'!$B$6:$B$405,E465,'Istoric_Nativ'!$C$6:$C$405,F465,'Istoric_Nativ'!$F$6:$F$405,G465,'Istoric_Nativ'!$D$6:$D$405,"&lt;"&amp;J465,'Istoric_Nativ'!$P$6:$P$405,1,'Istoric_Nativ'!$D$6:$D$405,"&gt;="&amp;L465),SUMIFS('Istoric_Nativ'!$H$6:$H$405,'Istoric_Nativ'!$B$6:$B$405,E465,'Istoric_Nativ'!$C$6:$C$405,F465,'Istoric_Nativ'!$E$6:$E$405,G465,'Istoric_Nativ'!$D$6:$D$405,"&lt;"&amp;J465,'Istoric_Nativ'!$P$6:$P$405,1,'Istoric_Nativ'!$D$6:$D$405,"&gt;="&amp;L465)+SUMIFS('Istoric_Nativ'!$G$6:$G$405,'Istoric_Nativ'!$B$6:$B$405,E465,'Istoric_Nativ'!$C$6:$C$405,F465,'Istoric_Nativ'!$F$6:$F$405,G465,'Istoric_Nativ'!$D$6:$D$405,"&lt;"&amp;J465,'Istoric_Nativ'!$P$6:$P$405,1,'Istoric_Nativ'!$D$6:$D$405,"&gt;="&amp;L465)))/M465)</x:f>
      </x:c>
      <x:c r="P465" s="2" t="n">
        <x:f>'Config_v6'!$B$7</x:f>
        <x:v>10</x:v>
      </x:c>
      <x:c r="Q465" s="2" t="n">
        <x:f>IF(OR(B465="",F465=""),0,IFERROR(MATCH(E465&amp;"|"&amp;F465,SourceTable[Source_Key],0),0))</x:f>
        <x:v>0</x:v>
      </x:c>
      <x:c r="R465" s="2" t="str">
        <x:f>IF(B465="","",IF(F465="","UNUSED",IF(Q465=0,"NOT CHECKED",IF(COUNTIF(SourceTable[Source_Key],E465&amp;"|"&amp;F465)&lt;&gt;1,"SOURCE CONFLICT",IF(NOT(OR(INDEX(SourceTable[Status],MAX(1,Q465))="IMPORTED",INDEX(SourceTable[Status],MAX(1,Q465))="PARTIAL",INDEX(SourceTable[Status],MAX(1,Q465))="SOURCE CONFLICT")),"ACCESS BLOCKED",IF(OR(INDEX(SourceTable[Coverage],Q465)&lt;&gt;"FULL SEASON EXPORT",INDEX(SourceTable[URL],Q465)="",INDEX(SourceTable[SHA256],Q465)=""),"EVIDENCE INCOMPLETE",IF(AND('Input_Meci'!H44="LIVE",INDEX(SourceTable[Retrieved_UTC],Q465)&gt;'Input_Meci'!G44),"POST CUTOFF","CLOSED")))))))</x:f>
      </x:c>
      <x:c r="S465" s="2" t="n">
        <x:f>IF(OR(B465="",F465=""),0,COUNTIFS('Istoric_Nativ'!$B$6:$B$405,E465,'Istoric_Nativ'!$C$6:$C$405,F465,'Istoric_Nativ'!$E$6:$E$405,G465,'Istoric_Nativ'!$D$6:$D$405,"&lt;"&amp;J465,'Istoric_Nativ'!$O$6:$O$405,"INVALID")+COUNTIFS('Istoric_Nativ'!$B$6:$B$405,E465,'Istoric_Nativ'!$C$6:$C$405,F465,'Istoric_Nativ'!$E$6:$E$405,G465,'Istoric_Nativ'!$O$6:$O$405,"INVALID",'Istoric_Nativ'!$D$6:$D$405,"*")+COUNTIFS('Istoric_Nativ'!$B$6:$B$405,E465,'Istoric_Nativ'!$C$6:$C$405,F465,'Istoric_Nativ'!$E$6:$E$405,G465,'Istoric_Nativ'!$D$6:$D$405,"&lt;"&amp;J465,'Istoric_Nativ'!$O$6:$O$405,"SOURCE CONFLICT")+COUNTIFS('Istoric_Nativ'!$B$6:$B$405,E465,'Istoric_Nativ'!$C$6:$C$405,F465,'Istoric_Nativ'!$F$6:$F$405,G465,'Istoric_Nativ'!$D$6:$D$405,"&lt;"&amp;J465,'Istoric_Nativ'!$O$6:$O$405,"INVALID")+COUNTIFS('Istoric_Nativ'!$B$6:$B$405,E465,'Istoric_Nativ'!$C$6:$C$405,F465,'Istoric_Nativ'!$F$6:$F$405,G465,'Istoric_Nativ'!$O$6:$O$405,"INVALID",'Istoric_Nativ'!$D$6:$D$405,"*")+COUNTIFS('Istoric_Nativ'!$B$6:$B$405,E465,'Istoric_Nativ'!$C$6:$C$405,F465,'Istoric_Nativ'!$F$6:$F$405,G465,'Istoric_Nativ'!$D$6:$D$405,"&lt;"&amp;J465,'Istoric_Nativ'!$O$6:$O$405,"SOURCE CONFLICT"))</x:f>
        <x:v>0</x:v>
      </x:c>
      <x:c r="T465" s="2" t="str">
        <x:f>IF(B465="","",IF(R465&lt;&gt;"CLOSED",R465,IF(S465&gt;0,"NATIVE INPUT ISSUE",IF(M465=0,"NO HISTORY",IF(M465&lt;P465,"SMALL SAMPLE","DERIVED")))))</x:f>
      </x:c>
      <x:c r="U465" s="2" t="str">
        <x:f>IF(B465="","","NativeTable; "&amp;E465&amp;"; "&amp;F465&amp;"; "&amp;G465&amp;"; "&amp;H465&amp;"; before "&amp;TEXT(J465,"yyyy-mm-dd")&amp;IF(I465="RECENT","; from "&amp;TEXT(L465,"yyyy-mm-dd"),""))</x:f>
      </x:c>
    </x:row>
    <x:row r="466" ht="21" customHeight="1">
      <x:c r="A466" s="2" t="n">
        <x:v>39</x:v>
      </x:c>
      <x:c r="B466" s="2" t="str">
        <x:f>IF('Input_Meci'!A44="","",'Input_Meci'!A44)</x:f>
      </x:c>
      <x:c r="C466" s="2" t="str">
        <x:v>A</x:v>
      </x:c>
      <x:c r="D466" s="2" t="str">
        <x:v>CURRENT</x:v>
      </x:c>
      <x:c r="E466" s="2" t="str">
        <x:f>IF(B466="","",'Input_Meci'!B44)</x:f>
      </x:c>
      <x:c r="F466" s="2" t="str">
        <x:f>IF(B466="","",IF('Input_Meci'!C44="","",'Input_Meci'!C44))</x:f>
      </x:c>
      <x:c r="G466" s="2" t="str">
        <x:f>IF(B466="","",'Input_Meci'!E44)</x:f>
      </x:c>
      <x:c r="H466" s="2" t="str">
        <x:v>AWAY</x:v>
      </x:c>
      <x:c r="I466" s="2" t="str">
        <x:v>HA</x:v>
      </x:c>
      <x:c r="J466" s="9" t="n">
        <x:f>IF(AND(B466&lt;&gt;"",ISNUMBER('Input_Meci'!G44)),INT('Input_Meci'!G44),0)</x:f>
        <x:v>0</x:v>
      </x:c>
      <x:c r="K466" s="2" t="n">
        <x:f>IF(OR(B466="",F466=""),0,IF(H466="HOME",COUNTIFS('Istoric_Nativ'!$B$6:$B$405,E466,'Istoric_Nativ'!$C$6:$C$405,F466,'Istoric_Nativ'!$E$6:$E$405,G466,'Istoric_Nativ'!$D$6:$D$405,"&lt;"&amp;J466,'Istoric_Nativ'!$P$6:$P$405,1),IF(H466="AWAY",COUNTIFS('Istoric_Nativ'!$B$6:$B$405,E466,'Istoric_Nativ'!$C$6:$C$405,F466,'Istoric_Nativ'!$F$6:$F$405,G466,'Istoric_Nativ'!$D$6:$D$405,"&lt;"&amp;J466,'Istoric_Nativ'!$P$6:$P$405,1),COUNTIFS('Istoric_Nativ'!$B$6:$B$405,E466,'Istoric_Nativ'!$C$6:$C$405,F466,'Istoric_Nativ'!$E$6:$E$405,G466,'Istoric_Nativ'!$D$6:$D$405,"&lt;"&amp;J466,'Istoric_Nativ'!$P$6:$P$405,1)+COUNTIFS('Istoric_Nativ'!$B$6:$B$405,E466,'Istoric_Nativ'!$C$6:$C$405,F466,'Istoric_Nativ'!$F$6:$F$405,G466,'Istoric_Nativ'!$D$6:$D$405,"&lt;"&amp;J466,'Istoric_Nativ'!$P$6:$P$405,1))))</x:f>
        <x:v>0</x:v>
      </x:c>
      <x:c r="L466" s="17" t="n">
        <x:f>IF(AND(B466&lt;&gt;"",I466="RECENT",K466&gt;0),LARGE(_xlfn._xlws.FILTER('Istoric_Nativ'!$D$6:$D$405,('Istoric_Nativ'!$B$6:$B$405=E466)*('Istoric_Nativ'!$C$6:$C$405=F466)*('Istoric_Nativ'!$P$6:$P$405=1)*('Istoric_Nativ'!$D$6:$D$405&lt;J466)*((('Istoric_Nativ'!$E$6:$E$405=G466)+('Istoric_Nativ'!$F$6:$F$405=G466))&gt;0)),MIN('Config_v6'!$B$54,K466)),0)</x:f>
        <x:v>0</x:v>
      </x:c>
      <x:c r="M466" s="2" t="n">
        <x:f>IF(OR(B466="",F466=""),0,IF(H466="HOME",COUNTIFS('Istoric_Nativ'!$B$6:$B$405,E466,'Istoric_Nativ'!$C$6:$C$405,F466,'Istoric_Nativ'!$E$6:$E$405,G466,'Istoric_Nativ'!$D$6:$D$405,"&lt;"&amp;J466,'Istoric_Nativ'!$P$6:$P$405,1,'Istoric_Nativ'!$D$6:$D$405,"&gt;="&amp;L466),IF(H466="AWAY",COUNTIFS('Istoric_Nativ'!$B$6:$B$405,E466,'Istoric_Nativ'!$C$6:$C$405,F466,'Istoric_Nativ'!$F$6:$F$405,G466,'Istoric_Nativ'!$D$6:$D$405,"&lt;"&amp;J466,'Istoric_Nativ'!$P$6:$P$405,1,'Istoric_Nativ'!$D$6:$D$405,"&gt;="&amp;L466),COUNTIFS('Istoric_Nativ'!$B$6:$B$405,E466,'Istoric_Nativ'!$C$6:$C$405,F466,'Istoric_Nativ'!$E$6:$E$405,G466,'Istoric_Nativ'!$D$6:$D$405,"&lt;"&amp;J466,'Istoric_Nativ'!$P$6:$P$405,1,'Istoric_Nativ'!$D$6:$D$405,"&gt;="&amp;L466)+COUNTIFS('Istoric_Nativ'!$B$6:$B$405,E466,'Istoric_Nativ'!$C$6:$C$405,F466,'Istoric_Nativ'!$F$6:$F$405,G466,'Istoric_Nativ'!$D$6:$D$405,"&lt;"&amp;J466,'Istoric_Nativ'!$P$6:$P$405,1,'Istoric_Nativ'!$D$6:$D$405,"&gt;="&amp;L466))))</x:f>
        <x:v>0</x:v>
      </x:c>
      <x:c r="N466" s="11" t="str">
        <x:f>IF(M466=0,"",IF(H466="HOME",SUMIFS('Istoric_Nativ'!$G$6:$G$405,'Istoric_Nativ'!$B$6:$B$405,E466,'Istoric_Nativ'!$C$6:$C$405,F466,'Istoric_Nativ'!$E$6:$E$405,G466,'Istoric_Nativ'!$D$6:$D$405,"&lt;"&amp;J466,'Istoric_Nativ'!$P$6:$P$405,1,'Istoric_Nativ'!$D$6:$D$405,"&gt;="&amp;L466),IF(H466="AWAY",SUMIFS('Istoric_Nativ'!$H$6:$H$405,'Istoric_Nativ'!$B$6:$B$405,E466,'Istoric_Nativ'!$C$6:$C$405,F466,'Istoric_Nativ'!$F$6:$F$405,G466,'Istoric_Nativ'!$D$6:$D$405,"&lt;"&amp;J466,'Istoric_Nativ'!$P$6:$P$405,1,'Istoric_Nativ'!$D$6:$D$405,"&gt;="&amp;L466),SUMIFS('Istoric_Nativ'!$G$6:$G$405,'Istoric_Nativ'!$B$6:$B$405,E466,'Istoric_Nativ'!$C$6:$C$405,F466,'Istoric_Nativ'!$E$6:$E$405,G466,'Istoric_Nativ'!$D$6:$D$405,"&lt;"&amp;J466,'Istoric_Nativ'!$P$6:$P$405,1,'Istoric_Nativ'!$D$6:$D$405,"&gt;="&amp;L466)+SUMIFS('Istoric_Nativ'!$H$6:$H$405,'Istoric_Nativ'!$B$6:$B$405,E466,'Istoric_Nativ'!$C$6:$C$405,F466,'Istoric_Nativ'!$F$6:$F$405,G466,'Istoric_Nativ'!$D$6:$D$405,"&lt;"&amp;J466,'Istoric_Nativ'!$P$6:$P$405,1,'Istoric_Nativ'!$D$6:$D$405,"&gt;="&amp;L466)))/M466)</x:f>
      </x:c>
      <x:c r="O466" s="11" t="str">
        <x:f>IF(M466=0,"",IF(H466="HOME",SUMIFS('Istoric_Nativ'!$H$6:$H$405,'Istoric_Nativ'!$B$6:$B$405,E466,'Istoric_Nativ'!$C$6:$C$405,F466,'Istoric_Nativ'!$E$6:$E$405,G466,'Istoric_Nativ'!$D$6:$D$405,"&lt;"&amp;J466,'Istoric_Nativ'!$P$6:$P$405,1,'Istoric_Nativ'!$D$6:$D$405,"&gt;="&amp;L466),IF(H466="AWAY",SUMIFS('Istoric_Nativ'!$G$6:$G$405,'Istoric_Nativ'!$B$6:$B$405,E466,'Istoric_Nativ'!$C$6:$C$405,F466,'Istoric_Nativ'!$F$6:$F$405,G466,'Istoric_Nativ'!$D$6:$D$405,"&lt;"&amp;J466,'Istoric_Nativ'!$P$6:$P$405,1,'Istoric_Nativ'!$D$6:$D$405,"&gt;="&amp;L466),SUMIFS('Istoric_Nativ'!$H$6:$H$405,'Istoric_Nativ'!$B$6:$B$405,E466,'Istoric_Nativ'!$C$6:$C$405,F466,'Istoric_Nativ'!$E$6:$E$405,G466,'Istoric_Nativ'!$D$6:$D$405,"&lt;"&amp;J466,'Istoric_Nativ'!$P$6:$P$405,1,'Istoric_Nativ'!$D$6:$D$405,"&gt;="&amp;L466)+SUMIFS('Istoric_Nativ'!$G$6:$G$405,'Istoric_Nativ'!$B$6:$B$405,E466,'Istoric_Nativ'!$C$6:$C$405,F466,'Istoric_Nativ'!$F$6:$F$405,G466,'Istoric_Nativ'!$D$6:$D$405,"&lt;"&amp;J466,'Istoric_Nativ'!$P$6:$P$405,1,'Istoric_Nativ'!$D$6:$D$405,"&gt;="&amp;L466)))/M466)</x:f>
      </x:c>
      <x:c r="P466" s="2" t="n">
        <x:f>'Config_v6'!$B$8</x:f>
        <x:v>5</x:v>
      </x:c>
      <x:c r="Q466" s="2" t="n">
        <x:f>IF(OR(B466="",F466=""),0,IFERROR(MATCH(E466&amp;"|"&amp;F466,SourceTable[Source_Key],0),0))</x:f>
        <x:v>0</x:v>
      </x:c>
      <x:c r="R466" s="2" t="str">
        <x:f>IF(B466="","",IF(F466="","UNUSED",IF(Q466=0,"NOT CHECKED",IF(COUNTIF(SourceTable[Source_Key],E466&amp;"|"&amp;F466)&lt;&gt;1,"SOURCE CONFLICT",IF(NOT(OR(INDEX(SourceTable[Status],MAX(1,Q466))="IMPORTED",INDEX(SourceTable[Status],MAX(1,Q466))="PARTIAL",INDEX(SourceTable[Status],MAX(1,Q466))="SOURCE CONFLICT")),"ACCESS BLOCKED",IF(OR(INDEX(SourceTable[Coverage],Q466)&lt;&gt;"FULL SEASON EXPORT",INDEX(SourceTable[URL],Q466)="",INDEX(SourceTable[SHA256],Q466)=""),"EVIDENCE INCOMPLETE",IF(AND('Input_Meci'!H44="LIVE",INDEX(SourceTable[Retrieved_UTC],Q466)&gt;'Input_Meci'!G44),"POST CUTOFF","CLOSED")))))))</x:f>
      </x:c>
      <x:c r="S466" s="2" t="n">
        <x:f>IF(OR(B466="",F466=""),0,COUNTIFS('Istoric_Nativ'!$B$6:$B$405,E466,'Istoric_Nativ'!$C$6:$C$405,F466,'Istoric_Nativ'!$E$6:$E$405,G466,'Istoric_Nativ'!$D$6:$D$405,"&lt;"&amp;J466,'Istoric_Nativ'!$O$6:$O$405,"INVALID")+COUNTIFS('Istoric_Nativ'!$B$6:$B$405,E466,'Istoric_Nativ'!$C$6:$C$405,F466,'Istoric_Nativ'!$E$6:$E$405,G466,'Istoric_Nativ'!$O$6:$O$405,"INVALID",'Istoric_Nativ'!$D$6:$D$405,"*")+COUNTIFS('Istoric_Nativ'!$B$6:$B$405,E466,'Istoric_Nativ'!$C$6:$C$405,F466,'Istoric_Nativ'!$E$6:$E$405,G466,'Istoric_Nativ'!$D$6:$D$405,"&lt;"&amp;J466,'Istoric_Nativ'!$O$6:$O$405,"SOURCE CONFLICT")+COUNTIFS('Istoric_Nativ'!$B$6:$B$405,E466,'Istoric_Nativ'!$C$6:$C$405,F466,'Istoric_Nativ'!$F$6:$F$405,G466,'Istoric_Nativ'!$D$6:$D$405,"&lt;"&amp;J466,'Istoric_Nativ'!$O$6:$O$405,"INVALID")+COUNTIFS('Istoric_Nativ'!$B$6:$B$405,E466,'Istoric_Nativ'!$C$6:$C$405,F466,'Istoric_Nativ'!$F$6:$F$405,G466,'Istoric_Nativ'!$O$6:$O$405,"INVALID",'Istoric_Nativ'!$D$6:$D$405,"*")+COUNTIFS('Istoric_Nativ'!$B$6:$B$405,E466,'Istoric_Nativ'!$C$6:$C$405,F466,'Istoric_Nativ'!$F$6:$F$405,G466,'Istoric_Nativ'!$D$6:$D$405,"&lt;"&amp;J466,'Istoric_Nativ'!$O$6:$O$405,"SOURCE CONFLICT"))</x:f>
        <x:v>0</x:v>
      </x:c>
      <x:c r="T466" s="2" t="str">
        <x:f>IF(B466="","",IF(R466&lt;&gt;"CLOSED",R466,IF(S466&gt;0,"NATIVE INPUT ISSUE",IF(M466=0,"NO HISTORY",IF(M466&lt;P466,"SMALL SAMPLE","DERIVED")))))</x:f>
      </x:c>
      <x:c r="U466" s="2" t="str">
        <x:f>IF(B466="","","NativeTable; "&amp;E466&amp;"; "&amp;F466&amp;"; "&amp;G466&amp;"; "&amp;H466&amp;"; before "&amp;TEXT(J466,"yyyy-mm-dd")&amp;IF(I466="RECENT","; from "&amp;TEXT(L466,"yyyy-mm-dd"),""))</x:f>
      </x:c>
    </x:row>
    <x:row r="467" ht="21" customHeight="1">
      <x:c r="A467" s="2" t="n">
        <x:v>39</x:v>
      </x:c>
      <x:c r="B467" s="2" t="str">
        <x:f>IF('Input_Meci'!A44="","",'Input_Meci'!A44)</x:f>
      </x:c>
      <x:c r="C467" s="2" t="str">
        <x:v>A</x:v>
      </x:c>
      <x:c r="D467" s="2" t="str">
        <x:v>CURRENT</x:v>
      </x:c>
      <x:c r="E467" s="2" t="str">
        <x:f>IF(B467="","",'Input_Meci'!B44)</x:f>
      </x:c>
      <x:c r="F467" s="2" t="str">
        <x:f>IF(B467="","",IF('Input_Meci'!C44="","",'Input_Meci'!C44))</x:f>
      </x:c>
      <x:c r="G467" s="2" t="str">
        <x:f>IF(B467="","",'Input_Meci'!E44)</x:f>
      </x:c>
      <x:c r="H467" s="2" t="str">
        <x:v>ANY</x:v>
      </x:c>
      <x:c r="I467" s="2" t="str">
        <x:v>RECENT</x:v>
      </x:c>
      <x:c r="J467" s="9" t="n">
        <x:f>IF(AND(B467&lt;&gt;"",ISNUMBER('Input_Meci'!G44)),INT('Input_Meci'!G44),0)</x:f>
        <x:v>0</x:v>
      </x:c>
      <x:c r="K467" s="2" t="n">
        <x:f>IF(OR(B467="",F467=""),0,IF(H467="HOME",COUNTIFS('Istoric_Nativ'!$B$6:$B$405,E467,'Istoric_Nativ'!$C$6:$C$405,F467,'Istoric_Nativ'!$E$6:$E$405,G467,'Istoric_Nativ'!$D$6:$D$405,"&lt;"&amp;J467,'Istoric_Nativ'!$P$6:$P$405,1),IF(H467="AWAY",COUNTIFS('Istoric_Nativ'!$B$6:$B$405,E467,'Istoric_Nativ'!$C$6:$C$405,F467,'Istoric_Nativ'!$F$6:$F$405,G467,'Istoric_Nativ'!$D$6:$D$405,"&lt;"&amp;J467,'Istoric_Nativ'!$P$6:$P$405,1),COUNTIFS('Istoric_Nativ'!$B$6:$B$405,E467,'Istoric_Nativ'!$C$6:$C$405,F467,'Istoric_Nativ'!$E$6:$E$405,G467,'Istoric_Nativ'!$D$6:$D$405,"&lt;"&amp;J467,'Istoric_Nativ'!$P$6:$P$405,1)+COUNTIFS('Istoric_Nativ'!$B$6:$B$405,E467,'Istoric_Nativ'!$C$6:$C$405,F467,'Istoric_Nativ'!$F$6:$F$405,G467,'Istoric_Nativ'!$D$6:$D$405,"&lt;"&amp;J467,'Istoric_Nativ'!$P$6:$P$405,1))))</x:f>
        <x:v>0</x:v>
      </x:c>
      <x:c r="L467" s="17" t="n">
        <x:f>IF(AND(B467&lt;&gt;"",I467="RECENT",K467&gt;0),LARGE(_xlfn._xlws.FILTER('Istoric_Nativ'!$D$6:$D$405,('Istoric_Nativ'!$B$6:$B$405=E467)*('Istoric_Nativ'!$C$6:$C$405=F467)*('Istoric_Nativ'!$P$6:$P$405=1)*('Istoric_Nativ'!$D$6:$D$405&lt;J467)*((('Istoric_Nativ'!$E$6:$E$405=G467)+('Istoric_Nativ'!$F$6:$F$405=G467))&gt;0)),MIN('Config_v6'!$B$54,K467)),0)</x:f>
        <x:v>0</x:v>
      </x:c>
      <x:c r="M467" s="2" t="n">
        <x:f>IF(OR(B467="",F467=""),0,IF(H467="HOME",COUNTIFS('Istoric_Nativ'!$B$6:$B$405,E467,'Istoric_Nativ'!$C$6:$C$405,F467,'Istoric_Nativ'!$E$6:$E$405,G467,'Istoric_Nativ'!$D$6:$D$405,"&lt;"&amp;J467,'Istoric_Nativ'!$P$6:$P$405,1,'Istoric_Nativ'!$D$6:$D$405,"&gt;="&amp;L467),IF(H467="AWAY",COUNTIFS('Istoric_Nativ'!$B$6:$B$405,E467,'Istoric_Nativ'!$C$6:$C$405,F467,'Istoric_Nativ'!$F$6:$F$405,G467,'Istoric_Nativ'!$D$6:$D$405,"&lt;"&amp;J467,'Istoric_Nativ'!$P$6:$P$405,1,'Istoric_Nativ'!$D$6:$D$405,"&gt;="&amp;L467),COUNTIFS('Istoric_Nativ'!$B$6:$B$405,E467,'Istoric_Nativ'!$C$6:$C$405,F467,'Istoric_Nativ'!$E$6:$E$405,G467,'Istoric_Nativ'!$D$6:$D$405,"&lt;"&amp;J467,'Istoric_Nativ'!$P$6:$P$405,1,'Istoric_Nativ'!$D$6:$D$405,"&gt;="&amp;L467)+COUNTIFS('Istoric_Nativ'!$B$6:$B$405,E467,'Istoric_Nativ'!$C$6:$C$405,F467,'Istoric_Nativ'!$F$6:$F$405,G467,'Istoric_Nativ'!$D$6:$D$405,"&lt;"&amp;J467,'Istoric_Nativ'!$P$6:$P$405,1,'Istoric_Nativ'!$D$6:$D$405,"&gt;="&amp;L467))))</x:f>
        <x:v>0</x:v>
      </x:c>
      <x:c r="N467" s="11" t="str">
        <x:f>IF(M467=0,"",IF(H467="HOME",SUMIFS('Istoric_Nativ'!$G$6:$G$405,'Istoric_Nativ'!$B$6:$B$405,E467,'Istoric_Nativ'!$C$6:$C$405,F467,'Istoric_Nativ'!$E$6:$E$405,G467,'Istoric_Nativ'!$D$6:$D$405,"&lt;"&amp;J467,'Istoric_Nativ'!$P$6:$P$405,1,'Istoric_Nativ'!$D$6:$D$405,"&gt;="&amp;L467),IF(H467="AWAY",SUMIFS('Istoric_Nativ'!$H$6:$H$405,'Istoric_Nativ'!$B$6:$B$405,E467,'Istoric_Nativ'!$C$6:$C$405,F467,'Istoric_Nativ'!$F$6:$F$405,G467,'Istoric_Nativ'!$D$6:$D$405,"&lt;"&amp;J467,'Istoric_Nativ'!$P$6:$P$405,1,'Istoric_Nativ'!$D$6:$D$405,"&gt;="&amp;L467),SUMIFS('Istoric_Nativ'!$G$6:$G$405,'Istoric_Nativ'!$B$6:$B$405,E467,'Istoric_Nativ'!$C$6:$C$405,F467,'Istoric_Nativ'!$E$6:$E$405,G467,'Istoric_Nativ'!$D$6:$D$405,"&lt;"&amp;J467,'Istoric_Nativ'!$P$6:$P$405,1,'Istoric_Nativ'!$D$6:$D$405,"&gt;="&amp;L467)+SUMIFS('Istoric_Nativ'!$H$6:$H$405,'Istoric_Nativ'!$B$6:$B$405,E467,'Istoric_Nativ'!$C$6:$C$405,F467,'Istoric_Nativ'!$F$6:$F$405,G467,'Istoric_Nativ'!$D$6:$D$405,"&lt;"&amp;J467,'Istoric_Nativ'!$P$6:$P$405,1,'Istoric_Nativ'!$D$6:$D$405,"&gt;="&amp;L467)))/M467)</x:f>
      </x:c>
      <x:c r="O467" s="11" t="str">
        <x:f>IF(M467=0,"",IF(H467="HOME",SUMIFS('Istoric_Nativ'!$H$6:$H$405,'Istoric_Nativ'!$B$6:$B$405,E467,'Istoric_Nativ'!$C$6:$C$405,F467,'Istoric_Nativ'!$E$6:$E$405,G467,'Istoric_Nativ'!$D$6:$D$405,"&lt;"&amp;J467,'Istoric_Nativ'!$P$6:$P$405,1,'Istoric_Nativ'!$D$6:$D$405,"&gt;="&amp;L467),IF(H467="AWAY",SUMIFS('Istoric_Nativ'!$G$6:$G$405,'Istoric_Nativ'!$B$6:$B$405,E467,'Istoric_Nativ'!$C$6:$C$405,F467,'Istoric_Nativ'!$F$6:$F$405,G467,'Istoric_Nativ'!$D$6:$D$405,"&lt;"&amp;J467,'Istoric_Nativ'!$P$6:$P$405,1,'Istoric_Nativ'!$D$6:$D$405,"&gt;="&amp;L467),SUMIFS('Istoric_Nativ'!$H$6:$H$405,'Istoric_Nativ'!$B$6:$B$405,E467,'Istoric_Nativ'!$C$6:$C$405,F467,'Istoric_Nativ'!$E$6:$E$405,G467,'Istoric_Nativ'!$D$6:$D$405,"&lt;"&amp;J467,'Istoric_Nativ'!$P$6:$P$405,1,'Istoric_Nativ'!$D$6:$D$405,"&gt;="&amp;L467)+SUMIFS('Istoric_Nativ'!$G$6:$G$405,'Istoric_Nativ'!$B$6:$B$405,E467,'Istoric_Nativ'!$C$6:$C$405,F467,'Istoric_Nativ'!$F$6:$F$405,G467,'Istoric_Nativ'!$D$6:$D$405,"&lt;"&amp;J467,'Istoric_Nativ'!$P$6:$P$405,1,'Istoric_Nativ'!$D$6:$D$405,"&gt;="&amp;L467)))/M467)</x:f>
      </x:c>
      <x:c r="P467" s="2" t="n">
        <x:f>'Config_v6'!$B$9</x:f>
        <x:v>3</x:v>
      </x:c>
      <x:c r="Q467" s="2" t="n">
        <x:f>IF(OR(B467="",F467=""),0,IFERROR(MATCH(E467&amp;"|"&amp;F467,SourceTable[Source_Key],0),0))</x:f>
        <x:v>0</x:v>
      </x:c>
      <x:c r="R467" s="2" t="str">
        <x:f>IF(B467="","",IF(F467="","UNUSED",IF(Q467=0,"NOT CHECKED",IF(COUNTIF(SourceTable[Source_Key],E467&amp;"|"&amp;F467)&lt;&gt;1,"SOURCE CONFLICT",IF(NOT(OR(INDEX(SourceTable[Status],MAX(1,Q467))="IMPORTED",INDEX(SourceTable[Status],MAX(1,Q467))="PARTIAL",INDEX(SourceTable[Status],MAX(1,Q467))="SOURCE CONFLICT")),"ACCESS BLOCKED",IF(OR(INDEX(SourceTable[Coverage],Q467)&lt;&gt;"FULL SEASON EXPORT",INDEX(SourceTable[URL],Q467)="",INDEX(SourceTable[SHA256],Q467)=""),"EVIDENCE INCOMPLETE",IF(AND('Input_Meci'!H44="LIVE",INDEX(SourceTable[Retrieved_UTC],Q467)&gt;'Input_Meci'!G44),"POST CUTOFF","CLOSED")))))))</x:f>
      </x:c>
      <x:c r="S467" s="2" t="n">
        <x:f>IF(OR(B467="",F467=""),0,COUNTIFS('Istoric_Nativ'!$B$6:$B$405,E467,'Istoric_Nativ'!$C$6:$C$405,F467,'Istoric_Nativ'!$E$6:$E$405,G467,'Istoric_Nativ'!$D$6:$D$405,"&lt;"&amp;J467,'Istoric_Nativ'!$O$6:$O$405,"INVALID")+COUNTIFS('Istoric_Nativ'!$B$6:$B$405,E467,'Istoric_Nativ'!$C$6:$C$405,F467,'Istoric_Nativ'!$E$6:$E$405,G467,'Istoric_Nativ'!$O$6:$O$405,"INVALID",'Istoric_Nativ'!$D$6:$D$405,"*")+COUNTIFS('Istoric_Nativ'!$B$6:$B$405,E467,'Istoric_Nativ'!$C$6:$C$405,F467,'Istoric_Nativ'!$E$6:$E$405,G467,'Istoric_Nativ'!$D$6:$D$405,"&lt;"&amp;J467,'Istoric_Nativ'!$O$6:$O$405,"SOURCE CONFLICT")+COUNTIFS('Istoric_Nativ'!$B$6:$B$405,E467,'Istoric_Nativ'!$C$6:$C$405,F467,'Istoric_Nativ'!$F$6:$F$405,G467,'Istoric_Nativ'!$D$6:$D$405,"&lt;"&amp;J467,'Istoric_Nativ'!$O$6:$O$405,"INVALID")+COUNTIFS('Istoric_Nativ'!$B$6:$B$405,E467,'Istoric_Nativ'!$C$6:$C$405,F467,'Istoric_Nativ'!$F$6:$F$405,G467,'Istoric_Nativ'!$O$6:$O$405,"INVALID",'Istoric_Nativ'!$D$6:$D$405,"*")+COUNTIFS('Istoric_Nativ'!$B$6:$B$405,E467,'Istoric_Nativ'!$C$6:$C$405,F467,'Istoric_Nativ'!$F$6:$F$405,G467,'Istoric_Nativ'!$D$6:$D$405,"&lt;"&amp;J467,'Istoric_Nativ'!$O$6:$O$405,"SOURCE CONFLICT"))</x:f>
        <x:v>0</x:v>
      </x:c>
      <x:c r="T467" s="2" t="str">
        <x:f>IF(B467="","",IF(R467&lt;&gt;"CLOSED",R467,IF(S467&gt;0,"NATIVE INPUT ISSUE",IF(M467=0,"NO HISTORY",IF(M467&lt;P467,"SMALL SAMPLE","DERIVED")))))</x:f>
      </x:c>
      <x:c r="U467" s="2" t="str">
        <x:f>IF(B467="","","NativeTable; "&amp;E467&amp;"; "&amp;F467&amp;"; "&amp;G467&amp;"; "&amp;H467&amp;"; before "&amp;TEXT(J467,"yyyy-mm-dd")&amp;IF(I467="RECENT","; from "&amp;TEXT(L467,"yyyy-mm-dd"),""))</x:f>
      </x:c>
    </x:row>
    <x:row r="468" ht="21" customHeight="1">
      <x:c r="A468" s="2" t="n">
        <x:v>39</x:v>
      </x:c>
      <x:c r="B468" s="2" t="str">
        <x:f>IF('Input_Meci'!A44="","",'Input_Meci'!A44)</x:f>
      </x:c>
      <x:c r="C468" s="2" t="str">
        <x:v>H</x:v>
      </x:c>
      <x:c r="D468" s="2" t="str">
        <x:v>PRIOR</x:v>
      </x:c>
      <x:c r="E468" s="2" t="str">
        <x:f>IF(B468="","",'Input_Meci'!B44)</x:f>
      </x:c>
      <x:c r="F468" s="2" t="str">
        <x:f>IF(B468="","",IF('Input_Meci'!K44="","",'Input_Meci'!K44))</x:f>
      </x:c>
      <x:c r="G468" s="2" t="str">
        <x:f>IF(B468="","",'Input_Meci'!D44)</x:f>
      </x:c>
      <x:c r="H468" s="2" t="str">
        <x:v>ANY</x:v>
      </x:c>
      <x:c r="I468" s="2" t="str">
        <x:v>SEASON</x:v>
      </x:c>
      <x:c r="J468" s="9" t="n">
        <x:f>IF(AND(B468&lt;&gt;"",ISNUMBER('Input_Meci'!G44)),INT('Input_Meci'!G44),0)</x:f>
        <x:v>0</x:v>
      </x:c>
      <x:c r="K468" s="2" t="n">
        <x:f>IF(OR(B468="",F468=""),0,IF(H468="HOME",COUNTIFS('Istoric_Nativ'!$B$6:$B$405,E468,'Istoric_Nativ'!$C$6:$C$405,F468,'Istoric_Nativ'!$E$6:$E$405,G468,'Istoric_Nativ'!$D$6:$D$405,"&lt;"&amp;J468,'Istoric_Nativ'!$P$6:$P$405,1),IF(H468="AWAY",COUNTIFS('Istoric_Nativ'!$B$6:$B$405,E468,'Istoric_Nativ'!$C$6:$C$405,F468,'Istoric_Nativ'!$F$6:$F$405,G468,'Istoric_Nativ'!$D$6:$D$405,"&lt;"&amp;J468,'Istoric_Nativ'!$P$6:$P$405,1),COUNTIFS('Istoric_Nativ'!$B$6:$B$405,E468,'Istoric_Nativ'!$C$6:$C$405,F468,'Istoric_Nativ'!$E$6:$E$405,G468,'Istoric_Nativ'!$D$6:$D$405,"&lt;"&amp;J468,'Istoric_Nativ'!$P$6:$P$405,1)+COUNTIFS('Istoric_Nativ'!$B$6:$B$405,E468,'Istoric_Nativ'!$C$6:$C$405,F468,'Istoric_Nativ'!$F$6:$F$405,G468,'Istoric_Nativ'!$D$6:$D$405,"&lt;"&amp;J468,'Istoric_Nativ'!$P$6:$P$405,1))))</x:f>
        <x:v>0</x:v>
      </x:c>
      <x:c r="L468" s="17" t="n">
        <x:f>IF(AND(B468&lt;&gt;"",I468="RECENT",K468&gt;0),LARGE(_xlfn._xlws.FILTER('Istoric_Nativ'!$D$6:$D$405,('Istoric_Nativ'!$B$6:$B$405=E468)*('Istoric_Nativ'!$C$6:$C$405=F468)*('Istoric_Nativ'!$P$6:$P$405=1)*('Istoric_Nativ'!$D$6:$D$405&lt;J468)*((('Istoric_Nativ'!$E$6:$E$405=G468)+('Istoric_Nativ'!$F$6:$F$405=G468))&gt;0)),MIN('Config_v6'!$B$54,K468)),0)</x:f>
        <x:v>0</x:v>
      </x:c>
      <x:c r="M468" s="2" t="n">
        <x:f>IF(OR(B468="",F468=""),0,IF(H468="HOME",COUNTIFS('Istoric_Nativ'!$B$6:$B$405,E468,'Istoric_Nativ'!$C$6:$C$405,F468,'Istoric_Nativ'!$E$6:$E$405,G468,'Istoric_Nativ'!$D$6:$D$405,"&lt;"&amp;J468,'Istoric_Nativ'!$P$6:$P$405,1,'Istoric_Nativ'!$D$6:$D$405,"&gt;="&amp;L468),IF(H468="AWAY",COUNTIFS('Istoric_Nativ'!$B$6:$B$405,E468,'Istoric_Nativ'!$C$6:$C$405,F468,'Istoric_Nativ'!$F$6:$F$405,G468,'Istoric_Nativ'!$D$6:$D$405,"&lt;"&amp;J468,'Istoric_Nativ'!$P$6:$P$405,1,'Istoric_Nativ'!$D$6:$D$405,"&gt;="&amp;L468),COUNTIFS('Istoric_Nativ'!$B$6:$B$405,E468,'Istoric_Nativ'!$C$6:$C$405,F468,'Istoric_Nativ'!$E$6:$E$405,G468,'Istoric_Nativ'!$D$6:$D$405,"&lt;"&amp;J468,'Istoric_Nativ'!$P$6:$P$405,1,'Istoric_Nativ'!$D$6:$D$405,"&gt;="&amp;L468)+COUNTIFS('Istoric_Nativ'!$B$6:$B$405,E468,'Istoric_Nativ'!$C$6:$C$405,F468,'Istoric_Nativ'!$F$6:$F$405,G468,'Istoric_Nativ'!$D$6:$D$405,"&lt;"&amp;J468,'Istoric_Nativ'!$P$6:$P$405,1,'Istoric_Nativ'!$D$6:$D$405,"&gt;="&amp;L468))))</x:f>
        <x:v>0</x:v>
      </x:c>
      <x:c r="N468" s="11" t="str">
        <x:f>IF(M468=0,"",IF(H468="HOME",SUMIFS('Istoric_Nativ'!$G$6:$G$405,'Istoric_Nativ'!$B$6:$B$405,E468,'Istoric_Nativ'!$C$6:$C$405,F468,'Istoric_Nativ'!$E$6:$E$405,G468,'Istoric_Nativ'!$D$6:$D$405,"&lt;"&amp;J468,'Istoric_Nativ'!$P$6:$P$405,1,'Istoric_Nativ'!$D$6:$D$405,"&gt;="&amp;L468),IF(H468="AWAY",SUMIFS('Istoric_Nativ'!$H$6:$H$405,'Istoric_Nativ'!$B$6:$B$405,E468,'Istoric_Nativ'!$C$6:$C$405,F468,'Istoric_Nativ'!$F$6:$F$405,G468,'Istoric_Nativ'!$D$6:$D$405,"&lt;"&amp;J468,'Istoric_Nativ'!$P$6:$P$405,1,'Istoric_Nativ'!$D$6:$D$405,"&gt;="&amp;L468),SUMIFS('Istoric_Nativ'!$G$6:$G$405,'Istoric_Nativ'!$B$6:$B$405,E468,'Istoric_Nativ'!$C$6:$C$405,F468,'Istoric_Nativ'!$E$6:$E$405,G468,'Istoric_Nativ'!$D$6:$D$405,"&lt;"&amp;J468,'Istoric_Nativ'!$P$6:$P$405,1,'Istoric_Nativ'!$D$6:$D$405,"&gt;="&amp;L468)+SUMIFS('Istoric_Nativ'!$H$6:$H$405,'Istoric_Nativ'!$B$6:$B$405,E468,'Istoric_Nativ'!$C$6:$C$405,F468,'Istoric_Nativ'!$F$6:$F$405,G468,'Istoric_Nativ'!$D$6:$D$405,"&lt;"&amp;J468,'Istoric_Nativ'!$P$6:$P$405,1,'Istoric_Nativ'!$D$6:$D$405,"&gt;="&amp;L468)))/M468)</x:f>
      </x:c>
      <x:c r="O468" s="11" t="str">
        <x:f>IF(M468=0,"",IF(H468="HOME",SUMIFS('Istoric_Nativ'!$H$6:$H$405,'Istoric_Nativ'!$B$6:$B$405,E468,'Istoric_Nativ'!$C$6:$C$405,F468,'Istoric_Nativ'!$E$6:$E$405,G468,'Istoric_Nativ'!$D$6:$D$405,"&lt;"&amp;J468,'Istoric_Nativ'!$P$6:$P$405,1,'Istoric_Nativ'!$D$6:$D$405,"&gt;="&amp;L468),IF(H468="AWAY",SUMIFS('Istoric_Nativ'!$G$6:$G$405,'Istoric_Nativ'!$B$6:$B$405,E468,'Istoric_Nativ'!$C$6:$C$405,F468,'Istoric_Nativ'!$F$6:$F$405,G468,'Istoric_Nativ'!$D$6:$D$405,"&lt;"&amp;J468,'Istoric_Nativ'!$P$6:$P$405,1,'Istoric_Nativ'!$D$6:$D$405,"&gt;="&amp;L468),SUMIFS('Istoric_Nativ'!$H$6:$H$405,'Istoric_Nativ'!$B$6:$B$405,E468,'Istoric_Nativ'!$C$6:$C$405,F468,'Istoric_Nativ'!$E$6:$E$405,G468,'Istoric_Nativ'!$D$6:$D$405,"&lt;"&amp;J468,'Istoric_Nativ'!$P$6:$P$405,1,'Istoric_Nativ'!$D$6:$D$405,"&gt;="&amp;L468)+SUMIFS('Istoric_Nativ'!$G$6:$G$405,'Istoric_Nativ'!$B$6:$B$405,E468,'Istoric_Nativ'!$C$6:$C$405,F468,'Istoric_Nativ'!$F$6:$F$405,G468,'Istoric_Nativ'!$D$6:$D$405,"&lt;"&amp;J468,'Istoric_Nativ'!$P$6:$P$405,1,'Istoric_Nativ'!$D$6:$D$405,"&gt;="&amp;L468)))/M468)</x:f>
      </x:c>
      <x:c r="P468" s="2" t="n">
        <x:f>'Config_v6'!$B$7</x:f>
        <x:v>10</x:v>
      </x:c>
      <x:c r="Q468" s="2" t="n">
        <x:f>IF(OR(B468="",F468=""),0,IFERROR(MATCH(E468&amp;"|"&amp;F468,SourceTable[Source_Key],0),0))</x:f>
        <x:v>0</x:v>
      </x:c>
      <x:c r="R468" s="2" t="str">
        <x:f>IF(B468="","",IF(F468="","UNUSED",IF(Q468=0,"NOT CHECKED",IF(COUNTIF(SourceTable[Source_Key],E468&amp;"|"&amp;F468)&lt;&gt;1,"SOURCE CONFLICT",IF(NOT(OR(INDEX(SourceTable[Status],MAX(1,Q468))="IMPORTED",INDEX(SourceTable[Status],MAX(1,Q468))="PARTIAL",INDEX(SourceTable[Status],MAX(1,Q468))="SOURCE CONFLICT")),"ACCESS BLOCKED",IF(OR(INDEX(SourceTable[Coverage],Q468)&lt;&gt;"FULL SEASON EXPORT",INDEX(SourceTable[URL],Q468)="",INDEX(SourceTable[SHA256],Q468)=""),"EVIDENCE INCOMPLETE",IF(AND('Input_Meci'!H44="LIVE",INDEX(SourceTable[Retrieved_UTC],Q468)&gt;'Input_Meci'!G44),"POST CUTOFF","CLOSED")))))))</x:f>
      </x:c>
      <x:c r="S468" s="2" t="n">
        <x:f>IF(OR(B468="",F468=""),0,COUNTIFS('Istoric_Nativ'!$B$6:$B$405,E468,'Istoric_Nativ'!$C$6:$C$405,F468,'Istoric_Nativ'!$E$6:$E$405,G468,'Istoric_Nativ'!$D$6:$D$405,"&lt;"&amp;J468,'Istoric_Nativ'!$O$6:$O$405,"INVALID")+COUNTIFS('Istoric_Nativ'!$B$6:$B$405,E468,'Istoric_Nativ'!$C$6:$C$405,F468,'Istoric_Nativ'!$E$6:$E$405,G468,'Istoric_Nativ'!$O$6:$O$405,"INVALID",'Istoric_Nativ'!$D$6:$D$405,"*")+COUNTIFS('Istoric_Nativ'!$B$6:$B$405,E468,'Istoric_Nativ'!$C$6:$C$405,F468,'Istoric_Nativ'!$E$6:$E$405,G468,'Istoric_Nativ'!$D$6:$D$405,"&lt;"&amp;J468,'Istoric_Nativ'!$O$6:$O$405,"SOURCE CONFLICT")+COUNTIFS('Istoric_Nativ'!$B$6:$B$405,E468,'Istoric_Nativ'!$C$6:$C$405,F468,'Istoric_Nativ'!$F$6:$F$405,G468,'Istoric_Nativ'!$D$6:$D$405,"&lt;"&amp;J468,'Istoric_Nativ'!$O$6:$O$405,"INVALID")+COUNTIFS('Istoric_Nativ'!$B$6:$B$405,E468,'Istoric_Nativ'!$C$6:$C$405,F468,'Istoric_Nativ'!$F$6:$F$405,G468,'Istoric_Nativ'!$O$6:$O$405,"INVALID",'Istoric_Nativ'!$D$6:$D$405,"*")+COUNTIFS('Istoric_Nativ'!$B$6:$B$405,E468,'Istoric_Nativ'!$C$6:$C$405,F468,'Istoric_Nativ'!$F$6:$F$405,G468,'Istoric_Nativ'!$D$6:$D$405,"&lt;"&amp;J468,'Istoric_Nativ'!$O$6:$O$405,"SOURCE CONFLICT"))</x:f>
        <x:v>0</x:v>
      </x:c>
      <x:c r="T468" s="2" t="str">
        <x:f>IF(B468="","",IF(R468&lt;&gt;"CLOSED",R468,IF(S468&gt;0,"NATIVE INPUT ISSUE",IF(M468=0,"NO HISTORY",IF(M468&lt;P468,"SMALL SAMPLE","DERIVED")))))</x:f>
      </x:c>
      <x:c r="U468" s="2" t="str">
        <x:f>IF(B468="","","NativeTable; "&amp;E468&amp;"; "&amp;F468&amp;"; "&amp;G468&amp;"; "&amp;H468&amp;"; before "&amp;TEXT(J468,"yyyy-mm-dd")&amp;IF(I468="RECENT","; from "&amp;TEXT(L468,"yyyy-mm-dd"),""))</x:f>
      </x:c>
    </x:row>
    <x:row r="469" ht="21" customHeight="1">
      <x:c r="A469" s="2" t="n">
        <x:v>39</x:v>
      </x:c>
      <x:c r="B469" s="2" t="str">
        <x:f>IF('Input_Meci'!A44="","",'Input_Meci'!A44)</x:f>
      </x:c>
      <x:c r="C469" s="2" t="str">
        <x:v>H</x:v>
      </x:c>
      <x:c r="D469" s="2" t="str">
        <x:v>PRIOR</x:v>
      </x:c>
      <x:c r="E469" s="2" t="str">
        <x:f>IF(B469="","",'Input_Meci'!B44)</x:f>
      </x:c>
      <x:c r="F469" s="2" t="str">
        <x:f>IF(B469="","",IF('Input_Meci'!K44="","",'Input_Meci'!K44))</x:f>
      </x:c>
      <x:c r="G469" s="2" t="str">
        <x:f>IF(B469="","",'Input_Meci'!D44)</x:f>
      </x:c>
      <x:c r="H469" s="2" t="str">
        <x:v>HOME</x:v>
      </x:c>
      <x:c r="I469" s="2" t="str">
        <x:v>HA</x:v>
      </x:c>
      <x:c r="J469" s="9" t="n">
        <x:f>IF(AND(B469&lt;&gt;"",ISNUMBER('Input_Meci'!G44)),INT('Input_Meci'!G44),0)</x:f>
        <x:v>0</x:v>
      </x:c>
      <x:c r="K469" s="2" t="n">
        <x:f>IF(OR(B469="",F469=""),0,IF(H469="HOME",COUNTIFS('Istoric_Nativ'!$B$6:$B$405,E469,'Istoric_Nativ'!$C$6:$C$405,F469,'Istoric_Nativ'!$E$6:$E$405,G469,'Istoric_Nativ'!$D$6:$D$405,"&lt;"&amp;J469,'Istoric_Nativ'!$P$6:$P$405,1),IF(H469="AWAY",COUNTIFS('Istoric_Nativ'!$B$6:$B$405,E469,'Istoric_Nativ'!$C$6:$C$405,F469,'Istoric_Nativ'!$F$6:$F$405,G469,'Istoric_Nativ'!$D$6:$D$405,"&lt;"&amp;J469,'Istoric_Nativ'!$P$6:$P$405,1),COUNTIFS('Istoric_Nativ'!$B$6:$B$405,E469,'Istoric_Nativ'!$C$6:$C$405,F469,'Istoric_Nativ'!$E$6:$E$405,G469,'Istoric_Nativ'!$D$6:$D$405,"&lt;"&amp;J469,'Istoric_Nativ'!$P$6:$P$405,1)+COUNTIFS('Istoric_Nativ'!$B$6:$B$405,E469,'Istoric_Nativ'!$C$6:$C$405,F469,'Istoric_Nativ'!$F$6:$F$405,G469,'Istoric_Nativ'!$D$6:$D$405,"&lt;"&amp;J469,'Istoric_Nativ'!$P$6:$P$405,1))))</x:f>
        <x:v>0</x:v>
      </x:c>
      <x:c r="L469" s="17" t="n">
        <x:f>IF(AND(B469&lt;&gt;"",I469="RECENT",K469&gt;0),LARGE(_xlfn._xlws.FILTER('Istoric_Nativ'!$D$6:$D$405,('Istoric_Nativ'!$B$6:$B$405=E469)*('Istoric_Nativ'!$C$6:$C$405=F469)*('Istoric_Nativ'!$P$6:$P$405=1)*('Istoric_Nativ'!$D$6:$D$405&lt;J469)*((('Istoric_Nativ'!$E$6:$E$405=G469)+('Istoric_Nativ'!$F$6:$F$405=G469))&gt;0)),MIN('Config_v6'!$B$54,K469)),0)</x:f>
        <x:v>0</x:v>
      </x:c>
      <x:c r="M469" s="2" t="n">
        <x:f>IF(OR(B469="",F469=""),0,IF(H469="HOME",COUNTIFS('Istoric_Nativ'!$B$6:$B$405,E469,'Istoric_Nativ'!$C$6:$C$405,F469,'Istoric_Nativ'!$E$6:$E$405,G469,'Istoric_Nativ'!$D$6:$D$405,"&lt;"&amp;J469,'Istoric_Nativ'!$P$6:$P$405,1,'Istoric_Nativ'!$D$6:$D$405,"&gt;="&amp;L469),IF(H469="AWAY",COUNTIFS('Istoric_Nativ'!$B$6:$B$405,E469,'Istoric_Nativ'!$C$6:$C$405,F469,'Istoric_Nativ'!$F$6:$F$405,G469,'Istoric_Nativ'!$D$6:$D$405,"&lt;"&amp;J469,'Istoric_Nativ'!$P$6:$P$405,1,'Istoric_Nativ'!$D$6:$D$405,"&gt;="&amp;L469),COUNTIFS('Istoric_Nativ'!$B$6:$B$405,E469,'Istoric_Nativ'!$C$6:$C$405,F469,'Istoric_Nativ'!$E$6:$E$405,G469,'Istoric_Nativ'!$D$6:$D$405,"&lt;"&amp;J469,'Istoric_Nativ'!$P$6:$P$405,1,'Istoric_Nativ'!$D$6:$D$405,"&gt;="&amp;L469)+COUNTIFS('Istoric_Nativ'!$B$6:$B$405,E469,'Istoric_Nativ'!$C$6:$C$405,F469,'Istoric_Nativ'!$F$6:$F$405,G469,'Istoric_Nativ'!$D$6:$D$405,"&lt;"&amp;J469,'Istoric_Nativ'!$P$6:$P$405,1,'Istoric_Nativ'!$D$6:$D$405,"&gt;="&amp;L469))))</x:f>
        <x:v>0</x:v>
      </x:c>
      <x:c r="N469" s="11" t="str">
        <x:f>IF(M469=0,"",IF(H469="HOME",SUMIFS('Istoric_Nativ'!$G$6:$G$405,'Istoric_Nativ'!$B$6:$B$405,E469,'Istoric_Nativ'!$C$6:$C$405,F469,'Istoric_Nativ'!$E$6:$E$405,G469,'Istoric_Nativ'!$D$6:$D$405,"&lt;"&amp;J469,'Istoric_Nativ'!$P$6:$P$405,1,'Istoric_Nativ'!$D$6:$D$405,"&gt;="&amp;L469),IF(H469="AWAY",SUMIFS('Istoric_Nativ'!$H$6:$H$405,'Istoric_Nativ'!$B$6:$B$405,E469,'Istoric_Nativ'!$C$6:$C$405,F469,'Istoric_Nativ'!$F$6:$F$405,G469,'Istoric_Nativ'!$D$6:$D$405,"&lt;"&amp;J469,'Istoric_Nativ'!$P$6:$P$405,1,'Istoric_Nativ'!$D$6:$D$405,"&gt;="&amp;L469),SUMIFS('Istoric_Nativ'!$G$6:$G$405,'Istoric_Nativ'!$B$6:$B$405,E469,'Istoric_Nativ'!$C$6:$C$405,F469,'Istoric_Nativ'!$E$6:$E$405,G469,'Istoric_Nativ'!$D$6:$D$405,"&lt;"&amp;J469,'Istoric_Nativ'!$P$6:$P$405,1,'Istoric_Nativ'!$D$6:$D$405,"&gt;="&amp;L469)+SUMIFS('Istoric_Nativ'!$H$6:$H$405,'Istoric_Nativ'!$B$6:$B$405,E469,'Istoric_Nativ'!$C$6:$C$405,F469,'Istoric_Nativ'!$F$6:$F$405,G469,'Istoric_Nativ'!$D$6:$D$405,"&lt;"&amp;J469,'Istoric_Nativ'!$P$6:$P$405,1,'Istoric_Nativ'!$D$6:$D$405,"&gt;="&amp;L469)))/M469)</x:f>
      </x:c>
      <x:c r="O469" s="11" t="str">
        <x:f>IF(M469=0,"",IF(H469="HOME",SUMIFS('Istoric_Nativ'!$H$6:$H$405,'Istoric_Nativ'!$B$6:$B$405,E469,'Istoric_Nativ'!$C$6:$C$405,F469,'Istoric_Nativ'!$E$6:$E$405,G469,'Istoric_Nativ'!$D$6:$D$405,"&lt;"&amp;J469,'Istoric_Nativ'!$P$6:$P$405,1,'Istoric_Nativ'!$D$6:$D$405,"&gt;="&amp;L469),IF(H469="AWAY",SUMIFS('Istoric_Nativ'!$G$6:$G$405,'Istoric_Nativ'!$B$6:$B$405,E469,'Istoric_Nativ'!$C$6:$C$405,F469,'Istoric_Nativ'!$F$6:$F$405,G469,'Istoric_Nativ'!$D$6:$D$405,"&lt;"&amp;J469,'Istoric_Nativ'!$P$6:$P$405,1,'Istoric_Nativ'!$D$6:$D$405,"&gt;="&amp;L469),SUMIFS('Istoric_Nativ'!$H$6:$H$405,'Istoric_Nativ'!$B$6:$B$405,E469,'Istoric_Nativ'!$C$6:$C$405,F469,'Istoric_Nativ'!$E$6:$E$405,G469,'Istoric_Nativ'!$D$6:$D$405,"&lt;"&amp;J469,'Istoric_Nativ'!$P$6:$P$405,1,'Istoric_Nativ'!$D$6:$D$405,"&gt;="&amp;L469)+SUMIFS('Istoric_Nativ'!$G$6:$G$405,'Istoric_Nativ'!$B$6:$B$405,E469,'Istoric_Nativ'!$C$6:$C$405,F469,'Istoric_Nativ'!$F$6:$F$405,G469,'Istoric_Nativ'!$D$6:$D$405,"&lt;"&amp;J469,'Istoric_Nativ'!$P$6:$P$405,1,'Istoric_Nativ'!$D$6:$D$405,"&gt;="&amp;L469)))/M469)</x:f>
      </x:c>
      <x:c r="P469" s="2" t="n">
        <x:f>'Config_v6'!$B$8</x:f>
        <x:v>5</x:v>
      </x:c>
      <x:c r="Q469" s="2" t="n">
        <x:f>IF(OR(B469="",F469=""),0,IFERROR(MATCH(E469&amp;"|"&amp;F469,SourceTable[Source_Key],0),0))</x:f>
        <x:v>0</x:v>
      </x:c>
      <x:c r="R469" s="2" t="str">
        <x:f>IF(B469="","",IF(F469="","UNUSED",IF(Q469=0,"NOT CHECKED",IF(COUNTIF(SourceTable[Source_Key],E469&amp;"|"&amp;F469)&lt;&gt;1,"SOURCE CONFLICT",IF(NOT(OR(INDEX(SourceTable[Status],MAX(1,Q469))="IMPORTED",INDEX(SourceTable[Status],MAX(1,Q469))="PARTIAL",INDEX(SourceTable[Status],MAX(1,Q469))="SOURCE CONFLICT")),"ACCESS BLOCKED",IF(OR(INDEX(SourceTable[Coverage],Q469)&lt;&gt;"FULL SEASON EXPORT",INDEX(SourceTable[URL],Q469)="",INDEX(SourceTable[SHA256],Q469)=""),"EVIDENCE INCOMPLETE",IF(AND('Input_Meci'!H44="LIVE",INDEX(SourceTable[Retrieved_UTC],Q469)&gt;'Input_Meci'!G44),"POST CUTOFF","CLOSED")))))))</x:f>
      </x:c>
      <x:c r="S469" s="2" t="n">
        <x:f>IF(OR(B469="",F469=""),0,COUNTIFS('Istoric_Nativ'!$B$6:$B$405,E469,'Istoric_Nativ'!$C$6:$C$405,F469,'Istoric_Nativ'!$E$6:$E$405,G469,'Istoric_Nativ'!$D$6:$D$405,"&lt;"&amp;J469,'Istoric_Nativ'!$O$6:$O$405,"INVALID")+COUNTIFS('Istoric_Nativ'!$B$6:$B$405,E469,'Istoric_Nativ'!$C$6:$C$405,F469,'Istoric_Nativ'!$E$6:$E$405,G469,'Istoric_Nativ'!$O$6:$O$405,"INVALID",'Istoric_Nativ'!$D$6:$D$405,"*")+COUNTIFS('Istoric_Nativ'!$B$6:$B$405,E469,'Istoric_Nativ'!$C$6:$C$405,F469,'Istoric_Nativ'!$E$6:$E$405,G469,'Istoric_Nativ'!$D$6:$D$405,"&lt;"&amp;J469,'Istoric_Nativ'!$O$6:$O$405,"SOURCE CONFLICT")+COUNTIFS('Istoric_Nativ'!$B$6:$B$405,E469,'Istoric_Nativ'!$C$6:$C$405,F469,'Istoric_Nativ'!$F$6:$F$405,G469,'Istoric_Nativ'!$D$6:$D$405,"&lt;"&amp;J469,'Istoric_Nativ'!$O$6:$O$405,"INVALID")+COUNTIFS('Istoric_Nativ'!$B$6:$B$405,E469,'Istoric_Nativ'!$C$6:$C$405,F469,'Istoric_Nativ'!$F$6:$F$405,G469,'Istoric_Nativ'!$O$6:$O$405,"INVALID",'Istoric_Nativ'!$D$6:$D$405,"*")+COUNTIFS('Istoric_Nativ'!$B$6:$B$405,E469,'Istoric_Nativ'!$C$6:$C$405,F469,'Istoric_Nativ'!$F$6:$F$405,G469,'Istoric_Nativ'!$D$6:$D$405,"&lt;"&amp;J469,'Istoric_Nativ'!$O$6:$O$405,"SOURCE CONFLICT"))</x:f>
        <x:v>0</x:v>
      </x:c>
      <x:c r="T469" s="2" t="str">
        <x:f>IF(B469="","",IF(R469&lt;&gt;"CLOSED",R469,IF(S469&gt;0,"NATIVE INPUT ISSUE",IF(M469=0,"NO HISTORY",IF(M469&lt;P469,"SMALL SAMPLE","DERIVED")))))</x:f>
      </x:c>
      <x:c r="U469" s="2" t="str">
        <x:f>IF(B469="","","NativeTable; "&amp;E469&amp;"; "&amp;F469&amp;"; "&amp;G469&amp;"; "&amp;H469&amp;"; before "&amp;TEXT(J469,"yyyy-mm-dd")&amp;IF(I469="RECENT","; from "&amp;TEXT(L469,"yyyy-mm-dd"),""))</x:f>
      </x:c>
    </x:row>
    <x:row r="470" ht="21" customHeight="1">
      <x:c r="A470" s="2" t="n">
        <x:v>39</x:v>
      </x:c>
      <x:c r="B470" s="2" t="str">
        <x:f>IF('Input_Meci'!A44="","",'Input_Meci'!A44)</x:f>
      </x:c>
      <x:c r="C470" s="2" t="str">
        <x:v>H</x:v>
      </x:c>
      <x:c r="D470" s="2" t="str">
        <x:v>PRIOR</x:v>
      </x:c>
      <x:c r="E470" s="2" t="str">
        <x:f>IF(B470="","",'Input_Meci'!B44)</x:f>
      </x:c>
      <x:c r="F470" s="2" t="str">
        <x:f>IF(B470="","",IF('Input_Meci'!K44="","",'Input_Meci'!K44))</x:f>
      </x:c>
      <x:c r="G470" s="2" t="str">
        <x:f>IF(B470="","",'Input_Meci'!D44)</x:f>
      </x:c>
      <x:c r="H470" s="2" t="str">
        <x:v>ANY</x:v>
      </x:c>
      <x:c r="I470" s="2" t="str">
        <x:v>RECENT</x:v>
      </x:c>
      <x:c r="J470" s="9" t="n">
        <x:f>IF(AND(B470&lt;&gt;"",ISNUMBER('Input_Meci'!G44)),INT('Input_Meci'!G44),0)</x:f>
        <x:v>0</x:v>
      </x:c>
      <x:c r="K470" s="2" t="n">
        <x:f>IF(OR(B470="",F470=""),0,IF(H470="HOME",COUNTIFS('Istoric_Nativ'!$B$6:$B$405,E470,'Istoric_Nativ'!$C$6:$C$405,F470,'Istoric_Nativ'!$E$6:$E$405,G470,'Istoric_Nativ'!$D$6:$D$405,"&lt;"&amp;J470,'Istoric_Nativ'!$P$6:$P$405,1),IF(H470="AWAY",COUNTIFS('Istoric_Nativ'!$B$6:$B$405,E470,'Istoric_Nativ'!$C$6:$C$405,F470,'Istoric_Nativ'!$F$6:$F$405,G470,'Istoric_Nativ'!$D$6:$D$405,"&lt;"&amp;J470,'Istoric_Nativ'!$P$6:$P$405,1),COUNTIFS('Istoric_Nativ'!$B$6:$B$405,E470,'Istoric_Nativ'!$C$6:$C$405,F470,'Istoric_Nativ'!$E$6:$E$405,G470,'Istoric_Nativ'!$D$6:$D$405,"&lt;"&amp;J470,'Istoric_Nativ'!$P$6:$P$405,1)+COUNTIFS('Istoric_Nativ'!$B$6:$B$405,E470,'Istoric_Nativ'!$C$6:$C$405,F470,'Istoric_Nativ'!$F$6:$F$405,G470,'Istoric_Nativ'!$D$6:$D$405,"&lt;"&amp;J470,'Istoric_Nativ'!$P$6:$P$405,1))))</x:f>
        <x:v>0</x:v>
      </x:c>
      <x:c r="L470" s="17" t="n">
        <x:f>IF(AND(B470&lt;&gt;"",I470="RECENT",K470&gt;0),LARGE(_xlfn._xlws.FILTER('Istoric_Nativ'!$D$6:$D$405,('Istoric_Nativ'!$B$6:$B$405=E470)*('Istoric_Nativ'!$C$6:$C$405=F470)*('Istoric_Nativ'!$P$6:$P$405=1)*('Istoric_Nativ'!$D$6:$D$405&lt;J470)*((('Istoric_Nativ'!$E$6:$E$405=G470)+('Istoric_Nativ'!$F$6:$F$405=G470))&gt;0)),MIN('Config_v6'!$B$54,K470)),0)</x:f>
        <x:v>0</x:v>
      </x:c>
      <x:c r="M470" s="2" t="n">
        <x:f>IF(OR(B470="",F470=""),0,IF(H470="HOME",COUNTIFS('Istoric_Nativ'!$B$6:$B$405,E470,'Istoric_Nativ'!$C$6:$C$405,F470,'Istoric_Nativ'!$E$6:$E$405,G470,'Istoric_Nativ'!$D$6:$D$405,"&lt;"&amp;J470,'Istoric_Nativ'!$P$6:$P$405,1,'Istoric_Nativ'!$D$6:$D$405,"&gt;="&amp;L470),IF(H470="AWAY",COUNTIFS('Istoric_Nativ'!$B$6:$B$405,E470,'Istoric_Nativ'!$C$6:$C$405,F470,'Istoric_Nativ'!$F$6:$F$405,G470,'Istoric_Nativ'!$D$6:$D$405,"&lt;"&amp;J470,'Istoric_Nativ'!$P$6:$P$405,1,'Istoric_Nativ'!$D$6:$D$405,"&gt;="&amp;L470),COUNTIFS('Istoric_Nativ'!$B$6:$B$405,E470,'Istoric_Nativ'!$C$6:$C$405,F470,'Istoric_Nativ'!$E$6:$E$405,G470,'Istoric_Nativ'!$D$6:$D$405,"&lt;"&amp;J470,'Istoric_Nativ'!$P$6:$P$405,1,'Istoric_Nativ'!$D$6:$D$405,"&gt;="&amp;L470)+COUNTIFS('Istoric_Nativ'!$B$6:$B$405,E470,'Istoric_Nativ'!$C$6:$C$405,F470,'Istoric_Nativ'!$F$6:$F$405,G470,'Istoric_Nativ'!$D$6:$D$405,"&lt;"&amp;J470,'Istoric_Nativ'!$P$6:$P$405,1,'Istoric_Nativ'!$D$6:$D$405,"&gt;="&amp;L470))))</x:f>
        <x:v>0</x:v>
      </x:c>
      <x:c r="N470" s="11" t="str">
        <x:f>IF(M470=0,"",IF(H470="HOME",SUMIFS('Istoric_Nativ'!$G$6:$G$405,'Istoric_Nativ'!$B$6:$B$405,E470,'Istoric_Nativ'!$C$6:$C$405,F470,'Istoric_Nativ'!$E$6:$E$405,G470,'Istoric_Nativ'!$D$6:$D$405,"&lt;"&amp;J470,'Istoric_Nativ'!$P$6:$P$405,1,'Istoric_Nativ'!$D$6:$D$405,"&gt;="&amp;L470),IF(H470="AWAY",SUMIFS('Istoric_Nativ'!$H$6:$H$405,'Istoric_Nativ'!$B$6:$B$405,E470,'Istoric_Nativ'!$C$6:$C$405,F470,'Istoric_Nativ'!$F$6:$F$405,G470,'Istoric_Nativ'!$D$6:$D$405,"&lt;"&amp;J470,'Istoric_Nativ'!$P$6:$P$405,1,'Istoric_Nativ'!$D$6:$D$405,"&gt;="&amp;L470),SUMIFS('Istoric_Nativ'!$G$6:$G$405,'Istoric_Nativ'!$B$6:$B$405,E470,'Istoric_Nativ'!$C$6:$C$405,F470,'Istoric_Nativ'!$E$6:$E$405,G470,'Istoric_Nativ'!$D$6:$D$405,"&lt;"&amp;J470,'Istoric_Nativ'!$P$6:$P$405,1,'Istoric_Nativ'!$D$6:$D$405,"&gt;="&amp;L470)+SUMIFS('Istoric_Nativ'!$H$6:$H$405,'Istoric_Nativ'!$B$6:$B$405,E470,'Istoric_Nativ'!$C$6:$C$405,F470,'Istoric_Nativ'!$F$6:$F$405,G470,'Istoric_Nativ'!$D$6:$D$405,"&lt;"&amp;J470,'Istoric_Nativ'!$P$6:$P$405,1,'Istoric_Nativ'!$D$6:$D$405,"&gt;="&amp;L470)))/M470)</x:f>
      </x:c>
      <x:c r="O470" s="11" t="str">
        <x:f>IF(M470=0,"",IF(H470="HOME",SUMIFS('Istoric_Nativ'!$H$6:$H$405,'Istoric_Nativ'!$B$6:$B$405,E470,'Istoric_Nativ'!$C$6:$C$405,F470,'Istoric_Nativ'!$E$6:$E$405,G470,'Istoric_Nativ'!$D$6:$D$405,"&lt;"&amp;J470,'Istoric_Nativ'!$P$6:$P$405,1,'Istoric_Nativ'!$D$6:$D$405,"&gt;="&amp;L470),IF(H470="AWAY",SUMIFS('Istoric_Nativ'!$G$6:$G$405,'Istoric_Nativ'!$B$6:$B$405,E470,'Istoric_Nativ'!$C$6:$C$405,F470,'Istoric_Nativ'!$F$6:$F$405,G470,'Istoric_Nativ'!$D$6:$D$405,"&lt;"&amp;J470,'Istoric_Nativ'!$P$6:$P$405,1,'Istoric_Nativ'!$D$6:$D$405,"&gt;="&amp;L470),SUMIFS('Istoric_Nativ'!$H$6:$H$405,'Istoric_Nativ'!$B$6:$B$405,E470,'Istoric_Nativ'!$C$6:$C$405,F470,'Istoric_Nativ'!$E$6:$E$405,G470,'Istoric_Nativ'!$D$6:$D$405,"&lt;"&amp;J470,'Istoric_Nativ'!$P$6:$P$405,1,'Istoric_Nativ'!$D$6:$D$405,"&gt;="&amp;L470)+SUMIFS('Istoric_Nativ'!$G$6:$G$405,'Istoric_Nativ'!$B$6:$B$405,E470,'Istoric_Nativ'!$C$6:$C$405,F470,'Istoric_Nativ'!$F$6:$F$405,G470,'Istoric_Nativ'!$D$6:$D$405,"&lt;"&amp;J470,'Istoric_Nativ'!$P$6:$P$405,1,'Istoric_Nativ'!$D$6:$D$405,"&gt;="&amp;L470)))/M470)</x:f>
      </x:c>
      <x:c r="P470" s="2" t="n">
        <x:f>'Config_v6'!$B$9</x:f>
        <x:v>3</x:v>
      </x:c>
      <x:c r="Q470" s="2" t="n">
        <x:f>IF(OR(B470="",F470=""),0,IFERROR(MATCH(E470&amp;"|"&amp;F470,SourceTable[Source_Key],0),0))</x:f>
        <x:v>0</x:v>
      </x:c>
      <x:c r="R470" s="2" t="str">
        <x:f>IF(B470="","",IF(F470="","UNUSED",IF(Q470=0,"NOT CHECKED",IF(COUNTIF(SourceTable[Source_Key],E470&amp;"|"&amp;F470)&lt;&gt;1,"SOURCE CONFLICT",IF(NOT(OR(INDEX(SourceTable[Status],MAX(1,Q470))="IMPORTED",INDEX(SourceTable[Status],MAX(1,Q470))="PARTIAL",INDEX(SourceTable[Status],MAX(1,Q470))="SOURCE CONFLICT")),"ACCESS BLOCKED",IF(OR(INDEX(SourceTable[Coverage],Q470)&lt;&gt;"FULL SEASON EXPORT",INDEX(SourceTable[URL],Q470)="",INDEX(SourceTable[SHA256],Q470)=""),"EVIDENCE INCOMPLETE",IF(AND('Input_Meci'!H44="LIVE",INDEX(SourceTable[Retrieved_UTC],Q470)&gt;'Input_Meci'!G44),"POST CUTOFF","CLOSED")))))))</x:f>
      </x:c>
      <x:c r="S470" s="2" t="n">
        <x:f>IF(OR(B470="",F470=""),0,COUNTIFS('Istoric_Nativ'!$B$6:$B$405,E470,'Istoric_Nativ'!$C$6:$C$405,F470,'Istoric_Nativ'!$E$6:$E$405,G470,'Istoric_Nativ'!$D$6:$D$405,"&lt;"&amp;J470,'Istoric_Nativ'!$O$6:$O$405,"INVALID")+COUNTIFS('Istoric_Nativ'!$B$6:$B$405,E470,'Istoric_Nativ'!$C$6:$C$405,F470,'Istoric_Nativ'!$E$6:$E$405,G470,'Istoric_Nativ'!$O$6:$O$405,"INVALID",'Istoric_Nativ'!$D$6:$D$405,"*")+COUNTIFS('Istoric_Nativ'!$B$6:$B$405,E470,'Istoric_Nativ'!$C$6:$C$405,F470,'Istoric_Nativ'!$E$6:$E$405,G470,'Istoric_Nativ'!$D$6:$D$405,"&lt;"&amp;J470,'Istoric_Nativ'!$O$6:$O$405,"SOURCE CONFLICT")+COUNTIFS('Istoric_Nativ'!$B$6:$B$405,E470,'Istoric_Nativ'!$C$6:$C$405,F470,'Istoric_Nativ'!$F$6:$F$405,G470,'Istoric_Nativ'!$D$6:$D$405,"&lt;"&amp;J470,'Istoric_Nativ'!$O$6:$O$405,"INVALID")+COUNTIFS('Istoric_Nativ'!$B$6:$B$405,E470,'Istoric_Nativ'!$C$6:$C$405,F470,'Istoric_Nativ'!$F$6:$F$405,G470,'Istoric_Nativ'!$O$6:$O$405,"INVALID",'Istoric_Nativ'!$D$6:$D$405,"*")+COUNTIFS('Istoric_Nativ'!$B$6:$B$405,E470,'Istoric_Nativ'!$C$6:$C$405,F470,'Istoric_Nativ'!$F$6:$F$405,G470,'Istoric_Nativ'!$D$6:$D$405,"&lt;"&amp;J470,'Istoric_Nativ'!$O$6:$O$405,"SOURCE CONFLICT"))</x:f>
        <x:v>0</x:v>
      </x:c>
      <x:c r="T470" s="2" t="str">
        <x:f>IF(B470="","",IF(R470&lt;&gt;"CLOSED",R470,IF(S470&gt;0,"NATIVE INPUT ISSUE",IF(M470=0,"NO HISTORY",IF(M470&lt;P470,"SMALL SAMPLE","DERIVED")))))</x:f>
      </x:c>
      <x:c r="U470" s="2" t="str">
        <x:f>IF(B470="","","NativeTable; "&amp;E470&amp;"; "&amp;F470&amp;"; "&amp;G470&amp;"; "&amp;H470&amp;"; before "&amp;TEXT(J470,"yyyy-mm-dd")&amp;IF(I470="RECENT","; from "&amp;TEXT(L470,"yyyy-mm-dd"),""))</x:f>
      </x:c>
    </x:row>
    <x:row r="471" ht="21" customHeight="1">
      <x:c r="A471" s="2" t="n">
        <x:v>39</x:v>
      </x:c>
      <x:c r="B471" s="2" t="str">
        <x:f>IF('Input_Meci'!A44="","",'Input_Meci'!A44)</x:f>
      </x:c>
      <x:c r="C471" s="2" t="str">
        <x:v>A</x:v>
      </x:c>
      <x:c r="D471" s="2" t="str">
        <x:v>PRIOR</x:v>
      </x:c>
      <x:c r="E471" s="2" t="str">
        <x:f>IF(B471="","",'Input_Meci'!B44)</x:f>
      </x:c>
      <x:c r="F471" s="2" t="str">
        <x:f>IF(B471="","",IF('Input_Meci'!K44="","",'Input_Meci'!K44))</x:f>
      </x:c>
      <x:c r="G471" s="2" t="str">
        <x:f>IF(B471="","",'Input_Meci'!E44)</x:f>
      </x:c>
      <x:c r="H471" s="2" t="str">
        <x:v>ANY</x:v>
      </x:c>
      <x:c r="I471" s="2" t="str">
        <x:v>SEASON</x:v>
      </x:c>
      <x:c r="J471" s="9" t="n">
        <x:f>IF(AND(B471&lt;&gt;"",ISNUMBER('Input_Meci'!G44)),INT('Input_Meci'!G44),0)</x:f>
        <x:v>0</x:v>
      </x:c>
      <x:c r="K471" s="2" t="n">
        <x:f>IF(OR(B471="",F471=""),0,IF(H471="HOME",COUNTIFS('Istoric_Nativ'!$B$6:$B$405,E471,'Istoric_Nativ'!$C$6:$C$405,F471,'Istoric_Nativ'!$E$6:$E$405,G471,'Istoric_Nativ'!$D$6:$D$405,"&lt;"&amp;J471,'Istoric_Nativ'!$P$6:$P$405,1),IF(H471="AWAY",COUNTIFS('Istoric_Nativ'!$B$6:$B$405,E471,'Istoric_Nativ'!$C$6:$C$405,F471,'Istoric_Nativ'!$F$6:$F$405,G471,'Istoric_Nativ'!$D$6:$D$405,"&lt;"&amp;J471,'Istoric_Nativ'!$P$6:$P$405,1),COUNTIFS('Istoric_Nativ'!$B$6:$B$405,E471,'Istoric_Nativ'!$C$6:$C$405,F471,'Istoric_Nativ'!$E$6:$E$405,G471,'Istoric_Nativ'!$D$6:$D$405,"&lt;"&amp;J471,'Istoric_Nativ'!$P$6:$P$405,1)+COUNTIFS('Istoric_Nativ'!$B$6:$B$405,E471,'Istoric_Nativ'!$C$6:$C$405,F471,'Istoric_Nativ'!$F$6:$F$405,G471,'Istoric_Nativ'!$D$6:$D$405,"&lt;"&amp;J471,'Istoric_Nativ'!$P$6:$P$405,1))))</x:f>
        <x:v>0</x:v>
      </x:c>
      <x:c r="L471" s="17" t="n">
        <x:f>IF(AND(B471&lt;&gt;"",I471="RECENT",K471&gt;0),LARGE(_xlfn._xlws.FILTER('Istoric_Nativ'!$D$6:$D$405,('Istoric_Nativ'!$B$6:$B$405=E471)*('Istoric_Nativ'!$C$6:$C$405=F471)*('Istoric_Nativ'!$P$6:$P$405=1)*('Istoric_Nativ'!$D$6:$D$405&lt;J471)*((('Istoric_Nativ'!$E$6:$E$405=G471)+('Istoric_Nativ'!$F$6:$F$405=G471))&gt;0)),MIN('Config_v6'!$B$54,K471)),0)</x:f>
        <x:v>0</x:v>
      </x:c>
      <x:c r="M471" s="2" t="n">
        <x:f>IF(OR(B471="",F471=""),0,IF(H471="HOME",COUNTIFS('Istoric_Nativ'!$B$6:$B$405,E471,'Istoric_Nativ'!$C$6:$C$405,F471,'Istoric_Nativ'!$E$6:$E$405,G471,'Istoric_Nativ'!$D$6:$D$405,"&lt;"&amp;J471,'Istoric_Nativ'!$P$6:$P$405,1,'Istoric_Nativ'!$D$6:$D$405,"&gt;="&amp;L471),IF(H471="AWAY",COUNTIFS('Istoric_Nativ'!$B$6:$B$405,E471,'Istoric_Nativ'!$C$6:$C$405,F471,'Istoric_Nativ'!$F$6:$F$405,G471,'Istoric_Nativ'!$D$6:$D$405,"&lt;"&amp;J471,'Istoric_Nativ'!$P$6:$P$405,1,'Istoric_Nativ'!$D$6:$D$405,"&gt;="&amp;L471),COUNTIFS('Istoric_Nativ'!$B$6:$B$405,E471,'Istoric_Nativ'!$C$6:$C$405,F471,'Istoric_Nativ'!$E$6:$E$405,G471,'Istoric_Nativ'!$D$6:$D$405,"&lt;"&amp;J471,'Istoric_Nativ'!$P$6:$P$405,1,'Istoric_Nativ'!$D$6:$D$405,"&gt;="&amp;L471)+COUNTIFS('Istoric_Nativ'!$B$6:$B$405,E471,'Istoric_Nativ'!$C$6:$C$405,F471,'Istoric_Nativ'!$F$6:$F$405,G471,'Istoric_Nativ'!$D$6:$D$405,"&lt;"&amp;J471,'Istoric_Nativ'!$P$6:$P$405,1,'Istoric_Nativ'!$D$6:$D$405,"&gt;="&amp;L471))))</x:f>
        <x:v>0</x:v>
      </x:c>
      <x:c r="N471" s="11" t="str">
        <x:f>IF(M471=0,"",IF(H471="HOME",SUMIFS('Istoric_Nativ'!$G$6:$G$405,'Istoric_Nativ'!$B$6:$B$405,E471,'Istoric_Nativ'!$C$6:$C$405,F471,'Istoric_Nativ'!$E$6:$E$405,G471,'Istoric_Nativ'!$D$6:$D$405,"&lt;"&amp;J471,'Istoric_Nativ'!$P$6:$P$405,1,'Istoric_Nativ'!$D$6:$D$405,"&gt;="&amp;L471),IF(H471="AWAY",SUMIFS('Istoric_Nativ'!$H$6:$H$405,'Istoric_Nativ'!$B$6:$B$405,E471,'Istoric_Nativ'!$C$6:$C$405,F471,'Istoric_Nativ'!$F$6:$F$405,G471,'Istoric_Nativ'!$D$6:$D$405,"&lt;"&amp;J471,'Istoric_Nativ'!$P$6:$P$405,1,'Istoric_Nativ'!$D$6:$D$405,"&gt;="&amp;L471),SUMIFS('Istoric_Nativ'!$G$6:$G$405,'Istoric_Nativ'!$B$6:$B$405,E471,'Istoric_Nativ'!$C$6:$C$405,F471,'Istoric_Nativ'!$E$6:$E$405,G471,'Istoric_Nativ'!$D$6:$D$405,"&lt;"&amp;J471,'Istoric_Nativ'!$P$6:$P$405,1,'Istoric_Nativ'!$D$6:$D$405,"&gt;="&amp;L471)+SUMIFS('Istoric_Nativ'!$H$6:$H$405,'Istoric_Nativ'!$B$6:$B$405,E471,'Istoric_Nativ'!$C$6:$C$405,F471,'Istoric_Nativ'!$F$6:$F$405,G471,'Istoric_Nativ'!$D$6:$D$405,"&lt;"&amp;J471,'Istoric_Nativ'!$P$6:$P$405,1,'Istoric_Nativ'!$D$6:$D$405,"&gt;="&amp;L471)))/M471)</x:f>
      </x:c>
      <x:c r="O471" s="11" t="str">
        <x:f>IF(M471=0,"",IF(H471="HOME",SUMIFS('Istoric_Nativ'!$H$6:$H$405,'Istoric_Nativ'!$B$6:$B$405,E471,'Istoric_Nativ'!$C$6:$C$405,F471,'Istoric_Nativ'!$E$6:$E$405,G471,'Istoric_Nativ'!$D$6:$D$405,"&lt;"&amp;J471,'Istoric_Nativ'!$P$6:$P$405,1,'Istoric_Nativ'!$D$6:$D$405,"&gt;="&amp;L471),IF(H471="AWAY",SUMIFS('Istoric_Nativ'!$G$6:$G$405,'Istoric_Nativ'!$B$6:$B$405,E471,'Istoric_Nativ'!$C$6:$C$405,F471,'Istoric_Nativ'!$F$6:$F$405,G471,'Istoric_Nativ'!$D$6:$D$405,"&lt;"&amp;J471,'Istoric_Nativ'!$P$6:$P$405,1,'Istoric_Nativ'!$D$6:$D$405,"&gt;="&amp;L471),SUMIFS('Istoric_Nativ'!$H$6:$H$405,'Istoric_Nativ'!$B$6:$B$405,E471,'Istoric_Nativ'!$C$6:$C$405,F471,'Istoric_Nativ'!$E$6:$E$405,G471,'Istoric_Nativ'!$D$6:$D$405,"&lt;"&amp;J471,'Istoric_Nativ'!$P$6:$P$405,1,'Istoric_Nativ'!$D$6:$D$405,"&gt;="&amp;L471)+SUMIFS('Istoric_Nativ'!$G$6:$G$405,'Istoric_Nativ'!$B$6:$B$405,E471,'Istoric_Nativ'!$C$6:$C$405,F471,'Istoric_Nativ'!$F$6:$F$405,G471,'Istoric_Nativ'!$D$6:$D$405,"&lt;"&amp;J471,'Istoric_Nativ'!$P$6:$P$405,1,'Istoric_Nativ'!$D$6:$D$405,"&gt;="&amp;L471)))/M471)</x:f>
      </x:c>
      <x:c r="P471" s="2" t="n">
        <x:f>'Config_v6'!$B$7</x:f>
        <x:v>10</x:v>
      </x:c>
      <x:c r="Q471" s="2" t="n">
        <x:f>IF(OR(B471="",F471=""),0,IFERROR(MATCH(E471&amp;"|"&amp;F471,SourceTable[Source_Key],0),0))</x:f>
        <x:v>0</x:v>
      </x:c>
      <x:c r="R471" s="2" t="str">
        <x:f>IF(B471="","",IF(F471="","UNUSED",IF(Q471=0,"NOT CHECKED",IF(COUNTIF(SourceTable[Source_Key],E471&amp;"|"&amp;F471)&lt;&gt;1,"SOURCE CONFLICT",IF(NOT(OR(INDEX(SourceTable[Status],MAX(1,Q471))="IMPORTED",INDEX(SourceTable[Status],MAX(1,Q471))="PARTIAL",INDEX(SourceTable[Status],MAX(1,Q471))="SOURCE CONFLICT")),"ACCESS BLOCKED",IF(OR(INDEX(SourceTable[Coverage],Q471)&lt;&gt;"FULL SEASON EXPORT",INDEX(SourceTable[URL],Q471)="",INDEX(SourceTable[SHA256],Q471)=""),"EVIDENCE INCOMPLETE",IF(AND('Input_Meci'!H44="LIVE",INDEX(SourceTable[Retrieved_UTC],Q471)&gt;'Input_Meci'!G44),"POST CUTOFF","CLOSED")))))))</x:f>
      </x:c>
      <x:c r="S471" s="2" t="n">
        <x:f>IF(OR(B471="",F471=""),0,COUNTIFS('Istoric_Nativ'!$B$6:$B$405,E471,'Istoric_Nativ'!$C$6:$C$405,F471,'Istoric_Nativ'!$E$6:$E$405,G471,'Istoric_Nativ'!$D$6:$D$405,"&lt;"&amp;J471,'Istoric_Nativ'!$O$6:$O$405,"INVALID")+COUNTIFS('Istoric_Nativ'!$B$6:$B$405,E471,'Istoric_Nativ'!$C$6:$C$405,F471,'Istoric_Nativ'!$E$6:$E$405,G471,'Istoric_Nativ'!$O$6:$O$405,"INVALID",'Istoric_Nativ'!$D$6:$D$405,"*")+COUNTIFS('Istoric_Nativ'!$B$6:$B$405,E471,'Istoric_Nativ'!$C$6:$C$405,F471,'Istoric_Nativ'!$E$6:$E$405,G471,'Istoric_Nativ'!$D$6:$D$405,"&lt;"&amp;J471,'Istoric_Nativ'!$O$6:$O$405,"SOURCE CONFLICT")+COUNTIFS('Istoric_Nativ'!$B$6:$B$405,E471,'Istoric_Nativ'!$C$6:$C$405,F471,'Istoric_Nativ'!$F$6:$F$405,G471,'Istoric_Nativ'!$D$6:$D$405,"&lt;"&amp;J471,'Istoric_Nativ'!$O$6:$O$405,"INVALID")+COUNTIFS('Istoric_Nativ'!$B$6:$B$405,E471,'Istoric_Nativ'!$C$6:$C$405,F471,'Istoric_Nativ'!$F$6:$F$405,G471,'Istoric_Nativ'!$O$6:$O$405,"INVALID",'Istoric_Nativ'!$D$6:$D$405,"*")+COUNTIFS('Istoric_Nativ'!$B$6:$B$405,E471,'Istoric_Nativ'!$C$6:$C$405,F471,'Istoric_Nativ'!$F$6:$F$405,G471,'Istoric_Nativ'!$D$6:$D$405,"&lt;"&amp;J471,'Istoric_Nativ'!$O$6:$O$405,"SOURCE CONFLICT"))</x:f>
        <x:v>0</x:v>
      </x:c>
      <x:c r="T471" s="2" t="str">
        <x:f>IF(B471="","",IF(R471&lt;&gt;"CLOSED",R471,IF(S471&gt;0,"NATIVE INPUT ISSUE",IF(M471=0,"NO HISTORY",IF(M471&lt;P471,"SMALL SAMPLE","DERIVED")))))</x:f>
      </x:c>
      <x:c r="U471" s="2" t="str">
        <x:f>IF(B471="","","NativeTable; "&amp;E471&amp;"; "&amp;F471&amp;"; "&amp;G471&amp;"; "&amp;H471&amp;"; before "&amp;TEXT(J471,"yyyy-mm-dd")&amp;IF(I471="RECENT","; from "&amp;TEXT(L471,"yyyy-mm-dd"),""))</x:f>
      </x:c>
    </x:row>
    <x:row r="472" ht="21" customHeight="1">
      <x:c r="A472" s="2" t="n">
        <x:v>39</x:v>
      </x:c>
      <x:c r="B472" s="2" t="str">
        <x:f>IF('Input_Meci'!A44="","",'Input_Meci'!A44)</x:f>
      </x:c>
      <x:c r="C472" s="2" t="str">
        <x:v>A</x:v>
      </x:c>
      <x:c r="D472" s="2" t="str">
        <x:v>PRIOR</x:v>
      </x:c>
      <x:c r="E472" s="2" t="str">
        <x:f>IF(B472="","",'Input_Meci'!B44)</x:f>
      </x:c>
      <x:c r="F472" s="2" t="str">
        <x:f>IF(B472="","",IF('Input_Meci'!K44="","",'Input_Meci'!K44))</x:f>
      </x:c>
      <x:c r="G472" s="2" t="str">
        <x:f>IF(B472="","",'Input_Meci'!E44)</x:f>
      </x:c>
      <x:c r="H472" s="2" t="str">
        <x:v>AWAY</x:v>
      </x:c>
      <x:c r="I472" s="2" t="str">
        <x:v>HA</x:v>
      </x:c>
      <x:c r="J472" s="9" t="n">
        <x:f>IF(AND(B472&lt;&gt;"",ISNUMBER('Input_Meci'!G44)),INT('Input_Meci'!G44),0)</x:f>
        <x:v>0</x:v>
      </x:c>
      <x:c r="K472" s="2" t="n">
        <x:f>IF(OR(B472="",F472=""),0,IF(H472="HOME",COUNTIFS('Istoric_Nativ'!$B$6:$B$405,E472,'Istoric_Nativ'!$C$6:$C$405,F472,'Istoric_Nativ'!$E$6:$E$405,G472,'Istoric_Nativ'!$D$6:$D$405,"&lt;"&amp;J472,'Istoric_Nativ'!$P$6:$P$405,1),IF(H472="AWAY",COUNTIFS('Istoric_Nativ'!$B$6:$B$405,E472,'Istoric_Nativ'!$C$6:$C$405,F472,'Istoric_Nativ'!$F$6:$F$405,G472,'Istoric_Nativ'!$D$6:$D$405,"&lt;"&amp;J472,'Istoric_Nativ'!$P$6:$P$405,1),COUNTIFS('Istoric_Nativ'!$B$6:$B$405,E472,'Istoric_Nativ'!$C$6:$C$405,F472,'Istoric_Nativ'!$E$6:$E$405,G472,'Istoric_Nativ'!$D$6:$D$405,"&lt;"&amp;J472,'Istoric_Nativ'!$P$6:$P$405,1)+COUNTIFS('Istoric_Nativ'!$B$6:$B$405,E472,'Istoric_Nativ'!$C$6:$C$405,F472,'Istoric_Nativ'!$F$6:$F$405,G472,'Istoric_Nativ'!$D$6:$D$405,"&lt;"&amp;J472,'Istoric_Nativ'!$P$6:$P$405,1))))</x:f>
        <x:v>0</x:v>
      </x:c>
      <x:c r="L472" s="17" t="n">
        <x:f>IF(AND(B472&lt;&gt;"",I472="RECENT",K472&gt;0),LARGE(_xlfn._xlws.FILTER('Istoric_Nativ'!$D$6:$D$405,('Istoric_Nativ'!$B$6:$B$405=E472)*('Istoric_Nativ'!$C$6:$C$405=F472)*('Istoric_Nativ'!$P$6:$P$405=1)*('Istoric_Nativ'!$D$6:$D$405&lt;J472)*((('Istoric_Nativ'!$E$6:$E$405=G472)+('Istoric_Nativ'!$F$6:$F$405=G472))&gt;0)),MIN('Config_v6'!$B$54,K472)),0)</x:f>
        <x:v>0</x:v>
      </x:c>
      <x:c r="M472" s="2" t="n">
        <x:f>IF(OR(B472="",F472=""),0,IF(H472="HOME",COUNTIFS('Istoric_Nativ'!$B$6:$B$405,E472,'Istoric_Nativ'!$C$6:$C$405,F472,'Istoric_Nativ'!$E$6:$E$405,G472,'Istoric_Nativ'!$D$6:$D$405,"&lt;"&amp;J472,'Istoric_Nativ'!$P$6:$P$405,1,'Istoric_Nativ'!$D$6:$D$405,"&gt;="&amp;L472),IF(H472="AWAY",COUNTIFS('Istoric_Nativ'!$B$6:$B$405,E472,'Istoric_Nativ'!$C$6:$C$405,F472,'Istoric_Nativ'!$F$6:$F$405,G472,'Istoric_Nativ'!$D$6:$D$405,"&lt;"&amp;J472,'Istoric_Nativ'!$P$6:$P$405,1,'Istoric_Nativ'!$D$6:$D$405,"&gt;="&amp;L472),COUNTIFS('Istoric_Nativ'!$B$6:$B$405,E472,'Istoric_Nativ'!$C$6:$C$405,F472,'Istoric_Nativ'!$E$6:$E$405,G472,'Istoric_Nativ'!$D$6:$D$405,"&lt;"&amp;J472,'Istoric_Nativ'!$P$6:$P$405,1,'Istoric_Nativ'!$D$6:$D$405,"&gt;="&amp;L472)+COUNTIFS('Istoric_Nativ'!$B$6:$B$405,E472,'Istoric_Nativ'!$C$6:$C$405,F472,'Istoric_Nativ'!$F$6:$F$405,G472,'Istoric_Nativ'!$D$6:$D$405,"&lt;"&amp;J472,'Istoric_Nativ'!$P$6:$P$405,1,'Istoric_Nativ'!$D$6:$D$405,"&gt;="&amp;L472))))</x:f>
        <x:v>0</x:v>
      </x:c>
      <x:c r="N472" s="11" t="str">
        <x:f>IF(M472=0,"",IF(H472="HOME",SUMIFS('Istoric_Nativ'!$G$6:$G$405,'Istoric_Nativ'!$B$6:$B$405,E472,'Istoric_Nativ'!$C$6:$C$405,F472,'Istoric_Nativ'!$E$6:$E$405,G472,'Istoric_Nativ'!$D$6:$D$405,"&lt;"&amp;J472,'Istoric_Nativ'!$P$6:$P$405,1,'Istoric_Nativ'!$D$6:$D$405,"&gt;="&amp;L472),IF(H472="AWAY",SUMIFS('Istoric_Nativ'!$H$6:$H$405,'Istoric_Nativ'!$B$6:$B$405,E472,'Istoric_Nativ'!$C$6:$C$405,F472,'Istoric_Nativ'!$F$6:$F$405,G472,'Istoric_Nativ'!$D$6:$D$405,"&lt;"&amp;J472,'Istoric_Nativ'!$P$6:$P$405,1,'Istoric_Nativ'!$D$6:$D$405,"&gt;="&amp;L472),SUMIFS('Istoric_Nativ'!$G$6:$G$405,'Istoric_Nativ'!$B$6:$B$405,E472,'Istoric_Nativ'!$C$6:$C$405,F472,'Istoric_Nativ'!$E$6:$E$405,G472,'Istoric_Nativ'!$D$6:$D$405,"&lt;"&amp;J472,'Istoric_Nativ'!$P$6:$P$405,1,'Istoric_Nativ'!$D$6:$D$405,"&gt;="&amp;L472)+SUMIFS('Istoric_Nativ'!$H$6:$H$405,'Istoric_Nativ'!$B$6:$B$405,E472,'Istoric_Nativ'!$C$6:$C$405,F472,'Istoric_Nativ'!$F$6:$F$405,G472,'Istoric_Nativ'!$D$6:$D$405,"&lt;"&amp;J472,'Istoric_Nativ'!$P$6:$P$405,1,'Istoric_Nativ'!$D$6:$D$405,"&gt;="&amp;L472)))/M472)</x:f>
      </x:c>
      <x:c r="O472" s="11" t="str">
        <x:f>IF(M472=0,"",IF(H472="HOME",SUMIFS('Istoric_Nativ'!$H$6:$H$405,'Istoric_Nativ'!$B$6:$B$405,E472,'Istoric_Nativ'!$C$6:$C$405,F472,'Istoric_Nativ'!$E$6:$E$405,G472,'Istoric_Nativ'!$D$6:$D$405,"&lt;"&amp;J472,'Istoric_Nativ'!$P$6:$P$405,1,'Istoric_Nativ'!$D$6:$D$405,"&gt;="&amp;L472),IF(H472="AWAY",SUMIFS('Istoric_Nativ'!$G$6:$G$405,'Istoric_Nativ'!$B$6:$B$405,E472,'Istoric_Nativ'!$C$6:$C$405,F472,'Istoric_Nativ'!$F$6:$F$405,G472,'Istoric_Nativ'!$D$6:$D$405,"&lt;"&amp;J472,'Istoric_Nativ'!$P$6:$P$405,1,'Istoric_Nativ'!$D$6:$D$405,"&gt;="&amp;L472),SUMIFS('Istoric_Nativ'!$H$6:$H$405,'Istoric_Nativ'!$B$6:$B$405,E472,'Istoric_Nativ'!$C$6:$C$405,F472,'Istoric_Nativ'!$E$6:$E$405,G472,'Istoric_Nativ'!$D$6:$D$405,"&lt;"&amp;J472,'Istoric_Nativ'!$P$6:$P$405,1,'Istoric_Nativ'!$D$6:$D$405,"&gt;="&amp;L472)+SUMIFS('Istoric_Nativ'!$G$6:$G$405,'Istoric_Nativ'!$B$6:$B$405,E472,'Istoric_Nativ'!$C$6:$C$405,F472,'Istoric_Nativ'!$F$6:$F$405,G472,'Istoric_Nativ'!$D$6:$D$405,"&lt;"&amp;J472,'Istoric_Nativ'!$P$6:$P$405,1,'Istoric_Nativ'!$D$6:$D$405,"&gt;="&amp;L472)))/M472)</x:f>
      </x:c>
      <x:c r="P472" s="2" t="n">
        <x:f>'Config_v6'!$B$8</x:f>
        <x:v>5</x:v>
      </x:c>
      <x:c r="Q472" s="2" t="n">
        <x:f>IF(OR(B472="",F472=""),0,IFERROR(MATCH(E472&amp;"|"&amp;F472,SourceTable[Source_Key],0),0))</x:f>
        <x:v>0</x:v>
      </x:c>
      <x:c r="R472" s="2" t="str">
        <x:f>IF(B472="","",IF(F472="","UNUSED",IF(Q472=0,"NOT CHECKED",IF(COUNTIF(SourceTable[Source_Key],E472&amp;"|"&amp;F472)&lt;&gt;1,"SOURCE CONFLICT",IF(NOT(OR(INDEX(SourceTable[Status],MAX(1,Q472))="IMPORTED",INDEX(SourceTable[Status],MAX(1,Q472))="PARTIAL",INDEX(SourceTable[Status],MAX(1,Q472))="SOURCE CONFLICT")),"ACCESS BLOCKED",IF(OR(INDEX(SourceTable[Coverage],Q472)&lt;&gt;"FULL SEASON EXPORT",INDEX(SourceTable[URL],Q472)="",INDEX(SourceTable[SHA256],Q472)=""),"EVIDENCE INCOMPLETE",IF(AND('Input_Meci'!H44="LIVE",INDEX(SourceTable[Retrieved_UTC],Q472)&gt;'Input_Meci'!G44),"POST CUTOFF","CLOSED")))))))</x:f>
      </x:c>
      <x:c r="S472" s="2" t="n">
        <x:f>IF(OR(B472="",F472=""),0,COUNTIFS('Istoric_Nativ'!$B$6:$B$405,E472,'Istoric_Nativ'!$C$6:$C$405,F472,'Istoric_Nativ'!$E$6:$E$405,G472,'Istoric_Nativ'!$D$6:$D$405,"&lt;"&amp;J472,'Istoric_Nativ'!$O$6:$O$405,"INVALID")+COUNTIFS('Istoric_Nativ'!$B$6:$B$405,E472,'Istoric_Nativ'!$C$6:$C$405,F472,'Istoric_Nativ'!$E$6:$E$405,G472,'Istoric_Nativ'!$O$6:$O$405,"INVALID",'Istoric_Nativ'!$D$6:$D$405,"*")+COUNTIFS('Istoric_Nativ'!$B$6:$B$405,E472,'Istoric_Nativ'!$C$6:$C$405,F472,'Istoric_Nativ'!$E$6:$E$405,G472,'Istoric_Nativ'!$D$6:$D$405,"&lt;"&amp;J472,'Istoric_Nativ'!$O$6:$O$405,"SOURCE CONFLICT")+COUNTIFS('Istoric_Nativ'!$B$6:$B$405,E472,'Istoric_Nativ'!$C$6:$C$405,F472,'Istoric_Nativ'!$F$6:$F$405,G472,'Istoric_Nativ'!$D$6:$D$405,"&lt;"&amp;J472,'Istoric_Nativ'!$O$6:$O$405,"INVALID")+COUNTIFS('Istoric_Nativ'!$B$6:$B$405,E472,'Istoric_Nativ'!$C$6:$C$405,F472,'Istoric_Nativ'!$F$6:$F$405,G472,'Istoric_Nativ'!$O$6:$O$405,"INVALID",'Istoric_Nativ'!$D$6:$D$405,"*")+COUNTIFS('Istoric_Nativ'!$B$6:$B$405,E472,'Istoric_Nativ'!$C$6:$C$405,F472,'Istoric_Nativ'!$F$6:$F$405,G472,'Istoric_Nativ'!$D$6:$D$405,"&lt;"&amp;J472,'Istoric_Nativ'!$O$6:$O$405,"SOURCE CONFLICT"))</x:f>
        <x:v>0</x:v>
      </x:c>
      <x:c r="T472" s="2" t="str">
        <x:f>IF(B472="","",IF(R472&lt;&gt;"CLOSED",R472,IF(S472&gt;0,"NATIVE INPUT ISSUE",IF(M472=0,"NO HISTORY",IF(M472&lt;P472,"SMALL SAMPLE","DERIVED")))))</x:f>
      </x:c>
      <x:c r="U472" s="2" t="str">
        <x:f>IF(B472="","","NativeTable; "&amp;E472&amp;"; "&amp;F472&amp;"; "&amp;G472&amp;"; "&amp;H472&amp;"; before "&amp;TEXT(J472,"yyyy-mm-dd")&amp;IF(I472="RECENT","; from "&amp;TEXT(L472,"yyyy-mm-dd"),""))</x:f>
      </x:c>
    </x:row>
    <x:row r="473" ht="21" customHeight="1">
      <x:c r="A473" s="2" t="n">
        <x:v>39</x:v>
      </x:c>
      <x:c r="B473" s="2" t="str">
        <x:f>IF('Input_Meci'!A44="","",'Input_Meci'!A44)</x:f>
      </x:c>
      <x:c r="C473" s="2" t="str">
        <x:v>A</x:v>
      </x:c>
      <x:c r="D473" s="2" t="str">
        <x:v>PRIOR</x:v>
      </x:c>
      <x:c r="E473" s="2" t="str">
        <x:f>IF(B473="","",'Input_Meci'!B44)</x:f>
      </x:c>
      <x:c r="F473" s="2" t="str">
        <x:f>IF(B473="","",IF('Input_Meci'!K44="","",'Input_Meci'!K44))</x:f>
      </x:c>
      <x:c r="G473" s="2" t="str">
        <x:f>IF(B473="","",'Input_Meci'!E44)</x:f>
      </x:c>
      <x:c r="H473" s="2" t="str">
        <x:v>ANY</x:v>
      </x:c>
      <x:c r="I473" s="2" t="str">
        <x:v>RECENT</x:v>
      </x:c>
      <x:c r="J473" s="9" t="n">
        <x:f>IF(AND(B473&lt;&gt;"",ISNUMBER('Input_Meci'!G44)),INT('Input_Meci'!G44),0)</x:f>
        <x:v>0</x:v>
      </x:c>
      <x:c r="K473" s="2" t="n">
        <x:f>IF(OR(B473="",F473=""),0,IF(H473="HOME",COUNTIFS('Istoric_Nativ'!$B$6:$B$405,E473,'Istoric_Nativ'!$C$6:$C$405,F473,'Istoric_Nativ'!$E$6:$E$405,G473,'Istoric_Nativ'!$D$6:$D$405,"&lt;"&amp;J473,'Istoric_Nativ'!$P$6:$P$405,1),IF(H473="AWAY",COUNTIFS('Istoric_Nativ'!$B$6:$B$405,E473,'Istoric_Nativ'!$C$6:$C$405,F473,'Istoric_Nativ'!$F$6:$F$405,G473,'Istoric_Nativ'!$D$6:$D$405,"&lt;"&amp;J473,'Istoric_Nativ'!$P$6:$P$405,1),COUNTIFS('Istoric_Nativ'!$B$6:$B$405,E473,'Istoric_Nativ'!$C$6:$C$405,F473,'Istoric_Nativ'!$E$6:$E$405,G473,'Istoric_Nativ'!$D$6:$D$405,"&lt;"&amp;J473,'Istoric_Nativ'!$P$6:$P$405,1)+COUNTIFS('Istoric_Nativ'!$B$6:$B$405,E473,'Istoric_Nativ'!$C$6:$C$405,F473,'Istoric_Nativ'!$F$6:$F$405,G473,'Istoric_Nativ'!$D$6:$D$405,"&lt;"&amp;J473,'Istoric_Nativ'!$P$6:$P$405,1))))</x:f>
        <x:v>0</x:v>
      </x:c>
      <x:c r="L473" s="17" t="n">
        <x:f>IF(AND(B473&lt;&gt;"",I473="RECENT",K473&gt;0),LARGE(_xlfn._xlws.FILTER('Istoric_Nativ'!$D$6:$D$405,('Istoric_Nativ'!$B$6:$B$405=E473)*('Istoric_Nativ'!$C$6:$C$405=F473)*('Istoric_Nativ'!$P$6:$P$405=1)*('Istoric_Nativ'!$D$6:$D$405&lt;J473)*((('Istoric_Nativ'!$E$6:$E$405=G473)+('Istoric_Nativ'!$F$6:$F$405=G473))&gt;0)),MIN('Config_v6'!$B$54,K473)),0)</x:f>
        <x:v>0</x:v>
      </x:c>
      <x:c r="M473" s="2" t="n">
        <x:f>IF(OR(B473="",F473=""),0,IF(H473="HOME",COUNTIFS('Istoric_Nativ'!$B$6:$B$405,E473,'Istoric_Nativ'!$C$6:$C$405,F473,'Istoric_Nativ'!$E$6:$E$405,G473,'Istoric_Nativ'!$D$6:$D$405,"&lt;"&amp;J473,'Istoric_Nativ'!$P$6:$P$405,1,'Istoric_Nativ'!$D$6:$D$405,"&gt;="&amp;L473),IF(H473="AWAY",COUNTIFS('Istoric_Nativ'!$B$6:$B$405,E473,'Istoric_Nativ'!$C$6:$C$405,F473,'Istoric_Nativ'!$F$6:$F$405,G473,'Istoric_Nativ'!$D$6:$D$405,"&lt;"&amp;J473,'Istoric_Nativ'!$P$6:$P$405,1,'Istoric_Nativ'!$D$6:$D$405,"&gt;="&amp;L473),COUNTIFS('Istoric_Nativ'!$B$6:$B$405,E473,'Istoric_Nativ'!$C$6:$C$405,F473,'Istoric_Nativ'!$E$6:$E$405,G473,'Istoric_Nativ'!$D$6:$D$405,"&lt;"&amp;J473,'Istoric_Nativ'!$P$6:$P$405,1,'Istoric_Nativ'!$D$6:$D$405,"&gt;="&amp;L473)+COUNTIFS('Istoric_Nativ'!$B$6:$B$405,E473,'Istoric_Nativ'!$C$6:$C$405,F473,'Istoric_Nativ'!$F$6:$F$405,G473,'Istoric_Nativ'!$D$6:$D$405,"&lt;"&amp;J473,'Istoric_Nativ'!$P$6:$P$405,1,'Istoric_Nativ'!$D$6:$D$405,"&gt;="&amp;L473))))</x:f>
        <x:v>0</x:v>
      </x:c>
      <x:c r="N473" s="11" t="str">
        <x:f>IF(M473=0,"",IF(H473="HOME",SUMIFS('Istoric_Nativ'!$G$6:$G$405,'Istoric_Nativ'!$B$6:$B$405,E473,'Istoric_Nativ'!$C$6:$C$405,F473,'Istoric_Nativ'!$E$6:$E$405,G473,'Istoric_Nativ'!$D$6:$D$405,"&lt;"&amp;J473,'Istoric_Nativ'!$P$6:$P$405,1,'Istoric_Nativ'!$D$6:$D$405,"&gt;="&amp;L473),IF(H473="AWAY",SUMIFS('Istoric_Nativ'!$H$6:$H$405,'Istoric_Nativ'!$B$6:$B$405,E473,'Istoric_Nativ'!$C$6:$C$405,F473,'Istoric_Nativ'!$F$6:$F$405,G473,'Istoric_Nativ'!$D$6:$D$405,"&lt;"&amp;J473,'Istoric_Nativ'!$P$6:$P$405,1,'Istoric_Nativ'!$D$6:$D$405,"&gt;="&amp;L473),SUMIFS('Istoric_Nativ'!$G$6:$G$405,'Istoric_Nativ'!$B$6:$B$405,E473,'Istoric_Nativ'!$C$6:$C$405,F473,'Istoric_Nativ'!$E$6:$E$405,G473,'Istoric_Nativ'!$D$6:$D$405,"&lt;"&amp;J473,'Istoric_Nativ'!$P$6:$P$405,1,'Istoric_Nativ'!$D$6:$D$405,"&gt;="&amp;L473)+SUMIFS('Istoric_Nativ'!$H$6:$H$405,'Istoric_Nativ'!$B$6:$B$405,E473,'Istoric_Nativ'!$C$6:$C$405,F473,'Istoric_Nativ'!$F$6:$F$405,G473,'Istoric_Nativ'!$D$6:$D$405,"&lt;"&amp;J473,'Istoric_Nativ'!$P$6:$P$405,1,'Istoric_Nativ'!$D$6:$D$405,"&gt;="&amp;L473)))/M473)</x:f>
      </x:c>
      <x:c r="O473" s="11" t="str">
        <x:f>IF(M473=0,"",IF(H473="HOME",SUMIFS('Istoric_Nativ'!$H$6:$H$405,'Istoric_Nativ'!$B$6:$B$405,E473,'Istoric_Nativ'!$C$6:$C$405,F473,'Istoric_Nativ'!$E$6:$E$405,G473,'Istoric_Nativ'!$D$6:$D$405,"&lt;"&amp;J473,'Istoric_Nativ'!$P$6:$P$405,1,'Istoric_Nativ'!$D$6:$D$405,"&gt;="&amp;L473),IF(H473="AWAY",SUMIFS('Istoric_Nativ'!$G$6:$G$405,'Istoric_Nativ'!$B$6:$B$405,E473,'Istoric_Nativ'!$C$6:$C$405,F473,'Istoric_Nativ'!$F$6:$F$405,G473,'Istoric_Nativ'!$D$6:$D$405,"&lt;"&amp;J473,'Istoric_Nativ'!$P$6:$P$405,1,'Istoric_Nativ'!$D$6:$D$405,"&gt;="&amp;L473),SUMIFS('Istoric_Nativ'!$H$6:$H$405,'Istoric_Nativ'!$B$6:$B$405,E473,'Istoric_Nativ'!$C$6:$C$405,F473,'Istoric_Nativ'!$E$6:$E$405,G473,'Istoric_Nativ'!$D$6:$D$405,"&lt;"&amp;J473,'Istoric_Nativ'!$P$6:$P$405,1,'Istoric_Nativ'!$D$6:$D$405,"&gt;="&amp;L473)+SUMIFS('Istoric_Nativ'!$G$6:$G$405,'Istoric_Nativ'!$B$6:$B$405,E473,'Istoric_Nativ'!$C$6:$C$405,F473,'Istoric_Nativ'!$F$6:$F$405,G473,'Istoric_Nativ'!$D$6:$D$405,"&lt;"&amp;J473,'Istoric_Nativ'!$P$6:$P$405,1,'Istoric_Nativ'!$D$6:$D$405,"&gt;="&amp;L473)))/M473)</x:f>
      </x:c>
      <x:c r="P473" s="2" t="n">
        <x:f>'Config_v6'!$B$9</x:f>
        <x:v>3</x:v>
      </x:c>
      <x:c r="Q473" s="2" t="n">
        <x:f>IF(OR(B473="",F473=""),0,IFERROR(MATCH(E473&amp;"|"&amp;F473,SourceTable[Source_Key],0),0))</x:f>
        <x:v>0</x:v>
      </x:c>
      <x:c r="R473" s="2" t="str">
        <x:f>IF(B473="","",IF(F473="","UNUSED",IF(Q473=0,"NOT CHECKED",IF(COUNTIF(SourceTable[Source_Key],E473&amp;"|"&amp;F473)&lt;&gt;1,"SOURCE CONFLICT",IF(NOT(OR(INDEX(SourceTable[Status],MAX(1,Q473))="IMPORTED",INDEX(SourceTable[Status],MAX(1,Q473))="PARTIAL",INDEX(SourceTable[Status],MAX(1,Q473))="SOURCE CONFLICT")),"ACCESS BLOCKED",IF(OR(INDEX(SourceTable[Coverage],Q473)&lt;&gt;"FULL SEASON EXPORT",INDEX(SourceTable[URL],Q473)="",INDEX(SourceTable[SHA256],Q473)=""),"EVIDENCE INCOMPLETE",IF(AND('Input_Meci'!H44="LIVE",INDEX(SourceTable[Retrieved_UTC],Q473)&gt;'Input_Meci'!G44),"POST CUTOFF","CLOSED")))))))</x:f>
      </x:c>
      <x:c r="S473" s="2" t="n">
        <x:f>IF(OR(B473="",F473=""),0,COUNTIFS('Istoric_Nativ'!$B$6:$B$405,E473,'Istoric_Nativ'!$C$6:$C$405,F473,'Istoric_Nativ'!$E$6:$E$405,G473,'Istoric_Nativ'!$D$6:$D$405,"&lt;"&amp;J473,'Istoric_Nativ'!$O$6:$O$405,"INVALID")+COUNTIFS('Istoric_Nativ'!$B$6:$B$405,E473,'Istoric_Nativ'!$C$6:$C$405,F473,'Istoric_Nativ'!$E$6:$E$405,G473,'Istoric_Nativ'!$O$6:$O$405,"INVALID",'Istoric_Nativ'!$D$6:$D$405,"*")+COUNTIFS('Istoric_Nativ'!$B$6:$B$405,E473,'Istoric_Nativ'!$C$6:$C$405,F473,'Istoric_Nativ'!$E$6:$E$405,G473,'Istoric_Nativ'!$D$6:$D$405,"&lt;"&amp;J473,'Istoric_Nativ'!$O$6:$O$405,"SOURCE CONFLICT")+COUNTIFS('Istoric_Nativ'!$B$6:$B$405,E473,'Istoric_Nativ'!$C$6:$C$405,F473,'Istoric_Nativ'!$F$6:$F$405,G473,'Istoric_Nativ'!$D$6:$D$405,"&lt;"&amp;J473,'Istoric_Nativ'!$O$6:$O$405,"INVALID")+COUNTIFS('Istoric_Nativ'!$B$6:$B$405,E473,'Istoric_Nativ'!$C$6:$C$405,F473,'Istoric_Nativ'!$F$6:$F$405,G473,'Istoric_Nativ'!$O$6:$O$405,"INVALID",'Istoric_Nativ'!$D$6:$D$405,"*")+COUNTIFS('Istoric_Nativ'!$B$6:$B$405,E473,'Istoric_Nativ'!$C$6:$C$405,F473,'Istoric_Nativ'!$F$6:$F$405,G473,'Istoric_Nativ'!$D$6:$D$405,"&lt;"&amp;J473,'Istoric_Nativ'!$O$6:$O$405,"SOURCE CONFLICT"))</x:f>
        <x:v>0</x:v>
      </x:c>
      <x:c r="T473" s="2" t="str">
        <x:f>IF(B473="","",IF(R473&lt;&gt;"CLOSED",R473,IF(S473&gt;0,"NATIVE INPUT ISSUE",IF(M473=0,"NO HISTORY",IF(M473&lt;P473,"SMALL SAMPLE","DERIVED")))))</x:f>
      </x:c>
      <x:c r="U473" s="2" t="str">
        <x:f>IF(B473="","","NativeTable; "&amp;E473&amp;"; "&amp;F473&amp;"; "&amp;G473&amp;"; "&amp;H473&amp;"; before "&amp;TEXT(J473,"yyyy-mm-dd")&amp;IF(I473="RECENT","; from "&amp;TEXT(L473,"yyyy-mm-dd"),""))</x:f>
      </x:c>
    </x:row>
    <x:row r="474" ht="21" customHeight="1">
      <x:c r="A474" s="2" t="n">
        <x:v>40</x:v>
      </x:c>
      <x:c r="B474" s="2" t="str">
        <x:f>IF('Input_Meci'!A45="","",'Input_Meci'!A45)</x:f>
      </x:c>
      <x:c r="C474" s="2" t="str">
        <x:v>H</x:v>
      </x:c>
      <x:c r="D474" s="2" t="str">
        <x:v>CURRENT</x:v>
      </x:c>
      <x:c r="E474" s="2" t="str">
        <x:f>IF(B474="","",'Input_Meci'!B45)</x:f>
      </x:c>
      <x:c r="F474" s="2" t="str">
        <x:f>IF(B474="","",IF('Input_Meci'!C45="","",'Input_Meci'!C45))</x:f>
      </x:c>
      <x:c r="G474" s="2" t="str">
        <x:f>IF(B474="","",'Input_Meci'!D45)</x:f>
      </x:c>
      <x:c r="H474" s="2" t="str">
        <x:v>ANY</x:v>
      </x:c>
      <x:c r="I474" s="2" t="str">
        <x:v>SEASON</x:v>
      </x:c>
      <x:c r="J474" s="9" t="n">
        <x:f>IF(AND(B474&lt;&gt;"",ISNUMBER('Input_Meci'!G45)),INT('Input_Meci'!G45),0)</x:f>
        <x:v>0</x:v>
      </x:c>
      <x:c r="K474" s="2" t="n">
        <x:f>IF(OR(B474="",F474=""),0,IF(H474="HOME",COUNTIFS('Istoric_Nativ'!$B$6:$B$405,E474,'Istoric_Nativ'!$C$6:$C$405,F474,'Istoric_Nativ'!$E$6:$E$405,G474,'Istoric_Nativ'!$D$6:$D$405,"&lt;"&amp;J474,'Istoric_Nativ'!$P$6:$P$405,1),IF(H474="AWAY",COUNTIFS('Istoric_Nativ'!$B$6:$B$405,E474,'Istoric_Nativ'!$C$6:$C$405,F474,'Istoric_Nativ'!$F$6:$F$405,G474,'Istoric_Nativ'!$D$6:$D$405,"&lt;"&amp;J474,'Istoric_Nativ'!$P$6:$P$405,1),COUNTIFS('Istoric_Nativ'!$B$6:$B$405,E474,'Istoric_Nativ'!$C$6:$C$405,F474,'Istoric_Nativ'!$E$6:$E$405,G474,'Istoric_Nativ'!$D$6:$D$405,"&lt;"&amp;J474,'Istoric_Nativ'!$P$6:$P$405,1)+COUNTIFS('Istoric_Nativ'!$B$6:$B$405,E474,'Istoric_Nativ'!$C$6:$C$405,F474,'Istoric_Nativ'!$F$6:$F$405,G474,'Istoric_Nativ'!$D$6:$D$405,"&lt;"&amp;J474,'Istoric_Nativ'!$P$6:$P$405,1))))</x:f>
        <x:v>0</x:v>
      </x:c>
      <x:c r="L474" s="17" t="n">
        <x:f>IF(AND(B474&lt;&gt;"",I474="RECENT",K474&gt;0),LARGE(_xlfn._xlws.FILTER('Istoric_Nativ'!$D$6:$D$405,('Istoric_Nativ'!$B$6:$B$405=E474)*('Istoric_Nativ'!$C$6:$C$405=F474)*('Istoric_Nativ'!$P$6:$P$405=1)*('Istoric_Nativ'!$D$6:$D$405&lt;J474)*((('Istoric_Nativ'!$E$6:$E$405=G474)+('Istoric_Nativ'!$F$6:$F$405=G474))&gt;0)),MIN('Config_v6'!$B$54,K474)),0)</x:f>
        <x:v>0</x:v>
      </x:c>
      <x:c r="M474" s="2" t="n">
        <x:f>IF(OR(B474="",F474=""),0,IF(H474="HOME",COUNTIFS('Istoric_Nativ'!$B$6:$B$405,E474,'Istoric_Nativ'!$C$6:$C$405,F474,'Istoric_Nativ'!$E$6:$E$405,G474,'Istoric_Nativ'!$D$6:$D$405,"&lt;"&amp;J474,'Istoric_Nativ'!$P$6:$P$405,1,'Istoric_Nativ'!$D$6:$D$405,"&gt;="&amp;L474),IF(H474="AWAY",COUNTIFS('Istoric_Nativ'!$B$6:$B$405,E474,'Istoric_Nativ'!$C$6:$C$405,F474,'Istoric_Nativ'!$F$6:$F$405,G474,'Istoric_Nativ'!$D$6:$D$405,"&lt;"&amp;J474,'Istoric_Nativ'!$P$6:$P$405,1,'Istoric_Nativ'!$D$6:$D$405,"&gt;="&amp;L474),COUNTIFS('Istoric_Nativ'!$B$6:$B$405,E474,'Istoric_Nativ'!$C$6:$C$405,F474,'Istoric_Nativ'!$E$6:$E$405,G474,'Istoric_Nativ'!$D$6:$D$405,"&lt;"&amp;J474,'Istoric_Nativ'!$P$6:$P$405,1,'Istoric_Nativ'!$D$6:$D$405,"&gt;="&amp;L474)+COUNTIFS('Istoric_Nativ'!$B$6:$B$405,E474,'Istoric_Nativ'!$C$6:$C$405,F474,'Istoric_Nativ'!$F$6:$F$405,G474,'Istoric_Nativ'!$D$6:$D$405,"&lt;"&amp;J474,'Istoric_Nativ'!$P$6:$P$405,1,'Istoric_Nativ'!$D$6:$D$405,"&gt;="&amp;L474))))</x:f>
        <x:v>0</x:v>
      </x:c>
      <x:c r="N474" s="11" t="str">
        <x:f>IF(M474=0,"",IF(H474="HOME",SUMIFS('Istoric_Nativ'!$G$6:$G$405,'Istoric_Nativ'!$B$6:$B$405,E474,'Istoric_Nativ'!$C$6:$C$405,F474,'Istoric_Nativ'!$E$6:$E$405,G474,'Istoric_Nativ'!$D$6:$D$405,"&lt;"&amp;J474,'Istoric_Nativ'!$P$6:$P$405,1,'Istoric_Nativ'!$D$6:$D$405,"&gt;="&amp;L474),IF(H474="AWAY",SUMIFS('Istoric_Nativ'!$H$6:$H$405,'Istoric_Nativ'!$B$6:$B$405,E474,'Istoric_Nativ'!$C$6:$C$405,F474,'Istoric_Nativ'!$F$6:$F$405,G474,'Istoric_Nativ'!$D$6:$D$405,"&lt;"&amp;J474,'Istoric_Nativ'!$P$6:$P$405,1,'Istoric_Nativ'!$D$6:$D$405,"&gt;="&amp;L474),SUMIFS('Istoric_Nativ'!$G$6:$G$405,'Istoric_Nativ'!$B$6:$B$405,E474,'Istoric_Nativ'!$C$6:$C$405,F474,'Istoric_Nativ'!$E$6:$E$405,G474,'Istoric_Nativ'!$D$6:$D$405,"&lt;"&amp;J474,'Istoric_Nativ'!$P$6:$P$405,1,'Istoric_Nativ'!$D$6:$D$405,"&gt;="&amp;L474)+SUMIFS('Istoric_Nativ'!$H$6:$H$405,'Istoric_Nativ'!$B$6:$B$405,E474,'Istoric_Nativ'!$C$6:$C$405,F474,'Istoric_Nativ'!$F$6:$F$405,G474,'Istoric_Nativ'!$D$6:$D$405,"&lt;"&amp;J474,'Istoric_Nativ'!$P$6:$P$405,1,'Istoric_Nativ'!$D$6:$D$405,"&gt;="&amp;L474)))/M474)</x:f>
      </x:c>
      <x:c r="O474" s="11" t="str">
        <x:f>IF(M474=0,"",IF(H474="HOME",SUMIFS('Istoric_Nativ'!$H$6:$H$405,'Istoric_Nativ'!$B$6:$B$405,E474,'Istoric_Nativ'!$C$6:$C$405,F474,'Istoric_Nativ'!$E$6:$E$405,G474,'Istoric_Nativ'!$D$6:$D$405,"&lt;"&amp;J474,'Istoric_Nativ'!$P$6:$P$405,1,'Istoric_Nativ'!$D$6:$D$405,"&gt;="&amp;L474),IF(H474="AWAY",SUMIFS('Istoric_Nativ'!$G$6:$G$405,'Istoric_Nativ'!$B$6:$B$405,E474,'Istoric_Nativ'!$C$6:$C$405,F474,'Istoric_Nativ'!$F$6:$F$405,G474,'Istoric_Nativ'!$D$6:$D$405,"&lt;"&amp;J474,'Istoric_Nativ'!$P$6:$P$405,1,'Istoric_Nativ'!$D$6:$D$405,"&gt;="&amp;L474),SUMIFS('Istoric_Nativ'!$H$6:$H$405,'Istoric_Nativ'!$B$6:$B$405,E474,'Istoric_Nativ'!$C$6:$C$405,F474,'Istoric_Nativ'!$E$6:$E$405,G474,'Istoric_Nativ'!$D$6:$D$405,"&lt;"&amp;J474,'Istoric_Nativ'!$P$6:$P$405,1,'Istoric_Nativ'!$D$6:$D$405,"&gt;="&amp;L474)+SUMIFS('Istoric_Nativ'!$G$6:$G$405,'Istoric_Nativ'!$B$6:$B$405,E474,'Istoric_Nativ'!$C$6:$C$405,F474,'Istoric_Nativ'!$F$6:$F$405,G474,'Istoric_Nativ'!$D$6:$D$405,"&lt;"&amp;J474,'Istoric_Nativ'!$P$6:$P$405,1,'Istoric_Nativ'!$D$6:$D$405,"&gt;="&amp;L474)))/M474)</x:f>
      </x:c>
      <x:c r="P474" s="2" t="n">
        <x:f>'Config_v6'!$B$7</x:f>
        <x:v>10</x:v>
      </x:c>
      <x:c r="Q474" s="2" t="n">
        <x:f>IF(OR(B474="",F474=""),0,IFERROR(MATCH(E474&amp;"|"&amp;F474,SourceTable[Source_Key],0),0))</x:f>
        <x:v>0</x:v>
      </x:c>
      <x:c r="R474" s="2" t="str">
        <x:f>IF(B474="","",IF(F474="","UNUSED",IF(Q474=0,"NOT CHECKED",IF(COUNTIF(SourceTable[Source_Key],E474&amp;"|"&amp;F474)&lt;&gt;1,"SOURCE CONFLICT",IF(NOT(OR(INDEX(SourceTable[Status],MAX(1,Q474))="IMPORTED",INDEX(SourceTable[Status],MAX(1,Q474))="PARTIAL",INDEX(SourceTable[Status],MAX(1,Q474))="SOURCE CONFLICT")),"ACCESS BLOCKED",IF(OR(INDEX(SourceTable[Coverage],Q474)&lt;&gt;"FULL SEASON EXPORT",INDEX(SourceTable[URL],Q474)="",INDEX(SourceTable[SHA256],Q474)=""),"EVIDENCE INCOMPLETE",IF(AND('Input_Meci'!H45="LIVE",INDEX(SourceTable[Retrieved_UTC],Q474)&gt;'Input_Meci'!G45),"POST CUTOFF","CLOSED")))))))</x:f>
      </x:c>
      <x:c r="S474" s="2" t="n">
        <x:f>IF(OR(B474="",F474=""),0,COUNTIFS('Istoric_Nativ'!$B$6:$B$405,E474,'Istoric_Nativ'!$C$6:$C$405,F474,'Istoric_Nativ'!$E$6:$E$405,G474,'Istoric_Nativ'!$D$6:$D$405,"&lt;"&amp;J474,'Istoric_Nativ'!$O$6:$O$405,"INVALID")+COUNTIFS('Istoric_Nativ'!$B$6:$B$405,E474,'Istoric_Nativ'!$C$6:$C$405,F474,'Istoric_Nativ'!$E$6:$E$405,G474,'Istoric_Nativ'!$O$6:$O$405,"INVALID",'Istoric_Nativ'!$D$6:$D$405,"*")+COUNTIFS('Istoric_Nativ'!$B$6:$B$405,E474,'Istoric_Nativ'!$C$6:$C$405,F474,'Istoric_Nativ'!$E$6:$E$405,G474,'Istoric_Nativ'!$D$6:$D$405,"&lt;"&amp;J474,'Istoric_Nativ'!$O$6:$O$405,"SOURCE CONFLICT")+COUNTIFS('Istoric_Nativ'!$B$6:$B$405,E474,'Istoric_Nativ'!$C$6:$C$405,F474,'Istoric_Nativ'!$F$6:$F$405,G474,'Istoric_Nativ'!$D$6:$D$405,"&lt;"&amp;J474,'Istoric_Nativ'!$O$6:$O$405,"INVALID")+COUNTIFS('Istoric_Nativ'!$B$6:$B$405,E474,'Istoric_Nativ'!$C$6:$C$405,F474,'Istoric_Nativ'!$F$6:$F$405,G474,'Istoric_Nativ'!$O$6:$O$405,"INVALID",'Istoric_Nativ'!$D$6:$D$405,"*")+COUNTIFS('Istoric_Nativ'!$B$6:$B$405,E474,'Istoric_Nativ'!$C$6:$C$405,F474,'Istoric_Nativ'!$F$6:$F$405,G474,'Istoric_Nativ'!$D$6:$D$405,"&lt;"&amp;J474,'Istoric_Nativ'!$O$6:$O$405,"SOURCE CONFLICT"))</x:f>
        <x:v>0</x:v>
      </x:c>
      <x:c r="T474" s="2" t="str">
        <x:f>IF(B474="","",IF(R474&lt;&gt;"CLOSED",R474,IF(S474&gt;0,"NATIVE INPUT ISSUE",IF(M474=0,"NO HISTORY",IF(M474&lt;P474,"SMALL SAMPLE","DERIVED")))))</x:f>
      </x:c>
      <x:c r="U474" s="2" t="str">
        <x:f>IF(B474="","","NativeTable; "&amp;E474&amp;"; "&amp;F474&amp;"; "&amp;G474&amp;"; "&amp;H474&amp;"; before "&amp;TEXT(J474,"yyyy-mm-dd")&amp;IF(I474="RECENT","; from "&amp;TEXT(L474,"yyyy-mm-dd"),""))</x:f>
      </x:c>
    </x:row>
    <x:row r="475" ht="21" customHeight="1">
      <x:c r="A475" s="2" t="n">
        <x:v>40</x:v>
      </x:c>
      <x:c r="B475" s="2" t="str">
        <x:f>IF('Input_Meci'!A45="","",'Input_Meci'!A45)</x:f>
      </x:c>
      <x:c r="C475" s="2" t="str">
        <x:v>H</x:v>
      </x:c>
      <x:c r="D475" s="2" t="str">
        <x:v>CURRENT</x:v>
      </x:c>
      <x:c r="E475" s="2" t="str">
        <x:f>IF(B475="","",'Input_Meci'!B45)</x:f>
      </x:c>
      <x:c r="F475" s="2" t="str">
        <x:f>IF(B475="","",IF('Input_Meci'!C45="","",'Input_Meci'!C45))</x:f>
      </x:c>
      <x:c r="G475" s="2" t="str">
        <x:f>IF(B475="","",'Input_Meci'!D45)</x:f>
      </x:c>
      <x:c r="H475" s="2" t="str">
        <x:v>HOME</x:v>
      </x:c>
      <x:c r="I475" s="2" t="str">
        <x:v>HA</x:v>
      </x:c>
      <x:c r="J475" s="9" t="n">
        <x:f>IF(AND(B475&lt;&gt;"",ISNUMBER('Input_Meci'!G45)),INT('Input_Meci'!G45),0)</x:f>
        <x:v>0</x:v>
      </x:c>
      <x:c r="K475" s="2" t="n">
        <x:f>IF(OR(B475="",F475=""),0,IF(H475="HOME",COUNTIFS('Istoric_Nativ'!$B$6:$B$405,E475,'Istoric_Nativ'!$C$6:$C$405,F475,'Istoric_Nativ'!$E$6:$E$405,G475,'Istoric_Nativ'!$D$6:$D$405,"&lt;"&amp;J475,'Istoric_Nativ'!$P$6:$P$405,1),IF(H475="AWAY",COUNTIFS('Istoric_Nativ'!$B$6:$B$405,E475,'Istoric_Nativ'!$C$6:$C$405,F475,'Istoric_Nativ'!$F$6:$F$405,G475,'Istoric_Nativ'!$D$6:$D$405,"&lt;"&amp;J475,'Istoric_Nativ'!$P$6:$P$405,1),COUNTIFS('Istoric_Nativ'!$B$6:$B$405,E475,'Istoric_Nativ'!$C$6:$C$405,F475,'Istoric_Nativ'!$E$6:$E$405,G475,'Istoric_Nativ'!$D$6:$D$405,"&lt;"&amp;J475,'Istoric_Nativ'!$P$6:$P$405,1)+COUNTIFS('Istoric_Nativ'!$B$6:$B$405,E475,'Istoric_Nativ'!$C$6:$C$405,F475,'Istoric_Nativ'!$F$6:$F$405,G475,'Istoric_Nativ'!$D$6:$D$405,"&lt;"&amp;J475,'Istoric_Nativ'!$P$6:$P$405,1))))</x:f>
        <x:v>0</x:v>
      </x:c>
      <x:c r="L475" s="17" t="n">
        <x:f>IF(AND(B475&lt;&gt;"",I475="RECENT",K475&gt;0),LARGE(_xlfn._xlws.FILTER('Istoric_Nativ'!$D$6:$D$405,('Istoric_Nativ'!$B$6:$B$405=E475)*('Istoric_Nativ'!$C$6:$C$405=F475)*('Istoric_Nativ'!$P$6:$P$405=1)*('Istoric_Nativ'!$D$6:$D$405&lt;J475)*((('Istoric_Nativ'!$E$6:$E$405=G475)+('Istoric_Nativ'!$F$6:$F$405=G475))&gt;0)),MIN('Config_v6'!$B$54,K475)),0)</x:f>
        <x:v>0</x:v>
      </x:c>
      <x:c r="M475" s="2" t="n">
        <x:f>IF(OR(B475="",F475=""),0,IF(H475="HOME",COUNTIFS('Istoric_Nativ'!$B$6:$B$405,E475,'Istoric_Nativ'!$C$6:$C$405,F475,'Istoric_Nativ'!$E$6:$E$405,G475,'Istoric_Nativ'!$D$6:$D$405,"&lt;"&amp;J475,'Istoric_Nativ'!$P$6:$P$405,1,'Istoric_Nativ'!$D$6:$D$405,"&gt;="&amp;L475),IF(H475="AWAY",COUNTIFS('Istoric_Nativ'!$B$6:$B$405,E475,'Istoric_Nativ'!$C$6:$C$405,F475,'Istoric_Nativ'!$F$6:$F$405,G475,'Istoric_Nativ'!$D$6:$D$405,"&lt;"&amp;J475,'Istoric_Nativ'!$P$6:$P$405,1,'Istoric_Nativ'!$D$6:$D$405,"&gt;="&amp;L475),COUNTIFS('Istoric_Nativ'!$B$6:$B$405,E475,'Istoric_Nativ'!$C$6:$C$405,F475,'Istoric_Nativ'!$E$6:$E$405,G475,'Istoric_Nativ'!$D$6:$D$405,"&lt;"&amp;J475,'Istoric_Nativ'!$P$6:$P$405,1,'Istoric_Nativ'!$D$6:$D$405,"&gt;="&amp;L475)+COUNTIFS('Istoric_Nativ'!$B$6:$B$405,E475,'Istoric_Nativ'!$C$6:$C$405,F475,'Istoric_Nativ'!$F$6:$F$405,G475,'Istoric_Nativ'!$D$6:$D$405,"&lt;"&amp;J475,'Istoric_Nativ'!$P$6:$P$405,1,'Istoric_Nativ'!$D$6:$D$405,"&gt;="&amp;L475))))</x:f>
        <x:v>0</x:v>
      </x:c>
      <x:c r="N475" s="11" t="str">
        <x:f>IF(M475=0,"",IF(H475="HOME",SUMIFS('Istoric_Nativ'!$G$6:$G$405,'Istoric_Nativ'!$B$6:$B$405,E475,'Istoric_Nativ'!$C$6:$C$405,F475,'Istoric_Nativ'!$E$6:$E$405,G475,'Istoric_Nativ'!$D$6:$D$405,"&lt;"&amp;J475,'Istoric_Nativ'!$P$6:$P$405,1,'Istoric_Nativ'!$D$6:$D$405,"&gt;="&amp;L475),IF(H475="AWAY",SUMIFS('Istoric_Nativ'!$H$6:$H$405,'Istoric_Nativ'!$B$6:$B$405,E475,'Istoric_Nativ'!$C$6:$C$405,F475,'Istoric_Nativ'!$F$6:$F$405,G475,'Istoric_Nativ'!$D$6:$D$405,"&lt;"&amp;J475,'Istoric_Nativ'!$P$6:$P$405,1,'Istoric_Nativ'!$D$6:$D$405,"&gt;="&amp;L475),SUMIFS('Istoric_Nativ'!$G$6:$G$405,'Istoric_Nativ'!$B$6:$B$405,E475,'Istoric_Nativ'!$C$6:$C$405,F475,'Istoric_Nativ'!$E$6:$E$405,G475,'Istoric_Nativ'!$D$6:$D$405,"&lt;"&amp;J475,'Istoric_Nativ'!$P$6:$P$405,1,'Istoric_Nativ'!$D$6:$D$405,"&gt;="&amp;L475)+SUMIFS('Istoric_Nativ'!$H$6:$H$405,'Istoric_Nativ'!$B$6:$B$405,E475,'Istoric_Nativ'!$C$6:$C$405,F475,'Istoric_Nativ'!$F$6:$F$405,G475,'Istoric_Nativ'!$D$6:$D$405,"&lt;"&amp;J475,'Istoric_Nativ'!$P$6:$P$405,1,'Istoric_Nativ'!$D$6:$D$405,"&gt;="&amp;L475)))/M475)</x:f>
      </x:c>
      <x:c r="O475" s="11" t="str">
        <x:f>IF(M475=0,"",IF(H475="HOME",SUMIFS('Istoric_Nativ'!$H$6:$H$405,'Istoric_Nativ'!$B$6:$B$405,E475,'Istoric_Nativ'!$C$6:$C$405,F475,'Istoric_Nativ'!$E$6:$E$405,G475,'Istoric_Nativ'!$D$6:$D$405,"&lt;"&amp;J475,'Istoric_Nativ'!$P$6:$P$405,1,'Istoric_Nativ'!$D$6:$D$405,"&gt;="&amp;L475),IF(H475="AWAY",SUMIFS('Istoric_Nativ'!$G$6:$G$405,'Istoric_Nativ'!$B$6:$B$405,E475,'Istoric_Nativ'!$C$6:$C$405,F475,'Istoric_Nativ'!$F$6:$F$405,G475,'Istoric_Nativ'!$D$6:$D$405,"&lt;"&amp;J475,'Istoric_Nativ'!$P$6:$P$405,1,'Istoric_Nativ'!$D$6:$D$405,"&gt;="&amp;L475),SUMIFS('Istoric_Nativ'!$H$6:$H$405,'Istoric_Nativ'!$B$6:$B$405,E475,'Istoric_Nativ'!$C$6:$C$405,F475,'Istoric_Nativ'!$E$6:$E$405,G475,'Istoric_Nativ'!$D$6:$D$405,"&lt;"&amp;J475,'Istoric_Nativ'!$P$6:$P$405,1,'Istoric_Nativ'!$D$6:$D$405,"&gt;="&amp;L475)+SUMIFS('Istoric_Nativ'!$G$6:$G$405,'Istoric_Nativ'!$B$6:$B$405,E475,'Istoric_Nativ'!$C$6:$C$405,F475,'Istoric_Nativ'!$F$6:$F$405,G475,'Istoric_Nativ'!$D$6:$D$405,"&lt;"&amp;J475,'Istoric_Nativ'!$P$6:$P$405,1,'Istoric_Nativ'!$D$6:$D$405,"&gt;="&amp;L475)))/M475)</x:f>
      </x:c>
      <x:c r="P475" s="2" t="n">
        <x:f>'Config_v6'!$B$8</x:f>
        <x:v>5</x:v>
      </x:c>
      <x:c r="Q475" s="2" t="n">
        <x:f>IF(OR(B475="",F475=""),0,IFERROR(MATCH(E475&amp;"|"&amp;F475,SourceTable[Source_Key],0),0))</x:f>
        <x:v>0</x:v>
      </x:c>
      <x:c r="R475" s="2" t="str">
        <x:f>IF(B475="","",IF(F475="","UNUSED",IF(Q475=0,"NOT CHECKED",IF(COUNTIF(SourceTable[Source_Key],E475&amp;"|"&amp;F475)&lt;&gt;1,"SOURCE CONFLICT",IF(NOT(OR(INDEX(SourceTable[Status],MAX(1,Q475))="IMPORTED",INDEX(SourceTable[Status],MAX(1,Q475))="PARTIAL",INDEX(SourceTable[Status],MAX(1,Q475))="SOURCE CONFLICT")),"ACCESS BLOCKED",IF(OR(INDEX(SourceTable[Coverage],Q475)&lt;&gt;"FULL SEASON EXPORT",INDEX(SourceTable[URL],Q475)="",INDEX(SourceTable[SHA256],Q475)=""),"EVIDENCE INCOMPLETE",IF(AND('Input_Meci'!H45="LIVE",INDEX(SourceTable[Retrieved_UTC],Q475)&gt;'Input_Meci'!G45),"POST CUTOFF","CLOSED")))))))</x:f>
      </x:c>
      <x:c r="S475" s="2" t="n">
        <x:f>IF(OR(B475="",F475=""),0,COUNTIFS('Istoric_Nativ'!$B$6:$B$405,E475,'Istoric_Nativ'!$C$6:$C$405,F475,'Istoric_Nativ'!$E$6:$E$405,G475,'Istoric_Nativ'!$D$6:$D$405,"&lt;"&amp;J475,'Istoric_Nativ'!$O$6:$O$405,"INVALID")+COUNTIFS('Istoric_Nativ'!$B$6:$B$405,E475,'Istoric_Nativ'!$C$6:$C$405,F475,'Istoric_Nativ'!$E$6:$E$405,G475,'Istoric_Nativ'!$O$6:$O$405,"INVALID",'Istoric_Nativ'!$D$6:$D$405,"*")+COUNTIFS('Istoric_Nativ'!$B$6:$B$405,E475,'Istoric_Nativ'!$C$6:$C$405,F475,'Istoric_Nativ'!$E$6:$E$405,G475,'Istoric_Nativ'!$D$6:$D$405,"&lt;"&amp;J475,'Istoric_Nativ'!$O$6:$O$405,"SOURCE CONFLICT")+COUNTIFS('Istoric_Nativ'!$B$6:$B$405,E475,'Istoric_Nativ'!$C$6:$C$405,F475,'Istoric_Nativ'!$F$6:$F$405,G475,'Istoric_Nativ'!$D$6:$D$405,"&lt;"&amp;J475,'Istoric_Nativ'!$O$6:$O$405,"INVALID")+COUNTIFS('Istoric_Nativ'!$B$6:$B$405,E475,'Istoric_Nativ'!$C$6:$C$405,F475,'Istoric_Nativ'!$F$6:$F$405,G475,'Istoric_Nativ'!$O$6:$O$405,"INVALID",'Istoric_Nativ'!$D$6:$D$405,"*")+COUNTIFS('Istoric_Nativ'!$B$6:$B$405,E475,'Istoric_Nativ'!$C$6:$C$405,F475,'Istoric_Nativ'!$F$6:$F$405,G475,'Istoric_Nativ'!$D$6:$D$405,"&lt;"&amp;J475,'Istoric_Nativ'!$O$6:$O$405,"SOURCE CONFLICT"))</x:f>
        <x:v>0</x:v>
      </x:c>
      <x:c r="T475" s="2" t="str">
        <x:f>IF(B475="","",IF(R475&lt;&gt;"CLOSED",R475,IF(S475&gt;0,"NATIVE INPUT ISSUE",IF(M475=0,"NO HISTORY",IF(M475&lt;P475,"SMALL SAMPLE","DERIVED")))))</x:f>
      </x:c>
      <x:c r="U475" s="2" t="str">
        <x:f>IF(B475="","","NativeTable; "&amp;E475&amp;"; "&amp;F475&amp;"; "&amp;G475&amp;"; "&amp;H475&amp;"; before "&amp;TEXT(J475,"yyyy-mm-dd")&amp;IF(I475="RECENT","; from "&amp;TEXT(L475,"yyyy-mm-dd"),""))</x:f>
      </x:c>
    </x:row>
    <x:row r="476" ht="21" customHeight="1">
      <x:c r="A476" s="2" t="n">
        <x:v>40</x:v>
      </x:c>
      <x:c r="B476" s="2" t="str">
        <x:f>IF('Input_Meci'!A45="","",'Input_Meci'!A45)</x:f>
      </x:c>
      <x:c r="C476" s="2" t="str">
        <x:v>H</x:v>
      </x:c>
      <x:c r="D476" s="2" t="str">
        <x:v>CURRENT</x:v>
      </x:c>
      <x:c r="E476" s="2" t="str">
        <x:f>IF(B476="","",'Input_Meci'!B45)</x:f>
      </x:c>
      <x:c r="F476" s="2" t="str">
        <x:f>IF(B476="","",IF('Input_Meci'!C45="","",'Input_Meci'!C45))</x:f>
      </x:c>
      <x:c r="G476" s="2" t="str">
        <x:f>IF(B476="","",'Input_Meci'!D45)</x:f>
      </x:c>
      <x:c r="H476" s="2" t="str">
        <x:v>ANY</x:v>
      </x:c>
      <x:c r="I476" s="2" t="str">
        <x:v>RECENT</x:v>
      </x:c>
      <x:c r="J476" s="9" t="n">
        <x:f>IF(AND(B476&lt;&gt;"",ISNUMBER('Input_Meci'!G45)),INT('Input_Meci'!G45),0)</x:f>
        <x:v>0</x:v>
      </x:c>
      <x:c r="K476" s="2" t="n">
        <x:f>IF(OR(B476="",F476=""),0,IF(H476="HOME",COUNTIFS('Istoric_Nativ'!$B$6:$B$405,E476,'Istoric_Nativ'!$C$6:$C$405,F476,'Istoric_Nativ'!$E$6:$E$405,G476,'Istoric_Nativ'!$D$6:$D$405,"&lt;"&amp;J476,'Istoric_Nativ'!$P$6:$P$405,1),IF(H476="AWAY",COUNTIFS('Istoric_Nativ'!$B$6:$B$405,E476,'Istoric_Nativ'!$C$6:$C$405,F476,'Istoric_Nativ'!$F$6:$F$405,G476,'Istoric_Nativ'!$D$6:$D$405,"&lt;"&amp;J476,'Istoric_Nativ'!$P$6:$P$405,1),COUNTIFS('Istoric_Nativ'!$B$6:$B$405,E476,'Istoric_Nativ'!$C$6:$C$405,F476,'Istoric_Nativ'!$E$6:$E$405,G476,'Istoric_Nativ'!$D$6:$D$405,"&lt;"&amp;J476,'Istoric_Nativ'!$P$6:$P$405,1)+COUNTIFS('Istoric_Nativ'!$B$6:$B$405,E476,'Istoric_Nativ'!$C$6:$C$405,F476,'Istoric_Nativ'!$F$6:$F$405,G476,'Istoric_Nativ'!$D$6:$D$405,"&lt;"&amp;J476,'Istoric_Nativ'!$P$6:$P$405,1))))</x:f>
        <x:v>0</x:v>
      </x:c>
      <x:c r="L476" s="17" t="n">
        <x:f>IF(AND(B476&lt;&gt;"",I476="RECENT",K476&gt;0),LARGE(_xlfn._xlws.FILTER('Istoric_Nativ'!$D$6:$D$405,('Istoric_Nativ'!$B$6:$B$405=E476)*('Istoric_Nativ'!$C$6:$C$405=F476)*('Istoric_Nativ'!$P$6:$P$405=1)*('Istoric_Nativ'!$D$6:$D$405&lt;J476)*((('Istoric_Nativ'!$E$6:$E$405=G476)+('Istoric_Nativ'!$F$6:$F$405=G476))&gt;0)),MIN('Config_v6'!$B$54,K476)),0)</x:f>
        <x:v>0</x:v>
      </x:c>
      <x:c r="M476" s="2" t="n">
        <x:f>IF(OR(B476="",F476=""),0,IF(H476="HOME",COUNTIFS('Istoric_Nativ'!$B$6:$B$405,E476,'Istoric_Nativ'!$C$6:$C$405,F476,'Istoric_Nativ'!$E$6:$E$405,G476,'Istoric_Nativ'!$D$6:$D$405,"&lt;"&amp;J476,'Istoric_Nativ'!$P$6:$P$405,1,'Istoric_Nativ'!$D$6:$D$405,"&gt;="&amp;L476),IF(H476="AWAY",COUNTIFS('Istoric_Nativ'!$B$6:$B$405,E476,'Istoric_Nativ'!$C$6:$C$405,F476,'Istoric_Nativ'!$F$6:$F$405,G476,'Istoric_Nativ'!$D$6:$D$405,"&lt;"&amp;J476,'Istoric_Nativ'!$P$6:$P$405,1,'Istoric_Nativ'!$D$6:$D$405,"&gt;="&amp;L476),COUNTIFS('Istoric_Nativ'!$B$6:$B$405,E476,'Istoric_Nativ'!$C$6:$C$405,F476,'Istoric_Nativ'!$E$6:$E$405,G476,'Istoric_Nativ'!$D$6:$D$405,"&lt;"&amp;J476,'Istoric_Nativ'!$P$6:$P$405,1,'Istoric_Nativ'!$D$6:$D$405,"&gt;="&amp;L476)+COUNTIFS('Istoric_Nativ'!$B$6:$B$405,E476,'Istoric_Nativ'!$C$6:$C$405,F476,'Istoric_Nativ'!$F$6:$F$405,G476,'Istoric_Nativ'!$D$6:$D$405,"&lt;"&amp;J476,'Istoric_Nativ'!$P$6:$P$405,1,'Istoric_Nativ'!$D$6:$D$405,"&gt;="&amp;L476))))</x:f>
        <x:v>0</x:v>
      </x:c>
      <x:c r="N476" s="11" t="str">
        <x:f>IF(M476=0,"",IF(H476="HOME",SUMIFS('Istoric_Nativ'!$G$6:$G$405,'Istoric_Nativ'!$B$6:$B$405,E476,'Istoric_Nativ'!$C$6:$C$405,F476,'Istoric_Nativ'!$E$6:$E$405,G476,'Istoric_Nativ'!$D$6:$D$405,"&lt;"&amp;J476,'Istoric_Nativ'!$P$6:$P$405,1,'Istoric_Nativ'!$D$6:$D$405,"&gt;="&amp;L476),IF(H476="AWAY",SUMIFS('Istoric_Nativ'!$H$6:$H$405,'Istoric_Nativ'!$B$6:$B$405,E476,'Istoric_Nativ'!$C$6:$C$405,F476,'Istoric_Nativ'!$F$6:$F$405,G476,'Istoric_Nativ'!$D$6:$D$405,"&lt;"&amp;J476,'Istoric_Nativ'!$P$6:$P$405,1,'Istoric_Nativ'!$D$6:$D$405,"&gt;="&amp;L476),SUMIFS('Istoric_Nativ'!$G$6:$G$405,'Istoric_Nativ'!$B$6:$B$405,E476,'Istoric_Nativ'!$C$6:$C$405,F476,'Istoric_Nativ'!$E$6:$E$405,G476,'Istoric_Nativ'!$D$6:$D$405,"&lt;"&amp;J476,'Istoric_Nativ'!$P$6:$P$405,1,'Istoric_Nativ'!$D$6:$D$405,"&gt;="&amp;L476)+SUMIFS('Istoric_Nativ'!$H$6:$H$405,'Istoric_Nativ'!$B$6:$B$405,E476,'Istoric_Nativ'!$C$6:$C$405,F476,'Istoric_Nativ'!$F$6:$F$405,G476,'Istoric_Nativ'!$D$6:$D$405,"&lt;"&amp;J476,'Istoric_Nativ'!$P$6:$P$405,1,'Istoric_Nativ'!$D$6:$D$405,"&gt;="&amp;L476)))/M476)</x:f>
      </x:c>
      <x:c r="O476" s="11" t="str">
        <x:f>IF(M476=0,"",IF(H476="HOME",SUMIFS('Istoric_Nativ'!$H$6:$H$405,'Istoric_Nativ'!$B$6:$B$405,E476,'Istoric_Nativ'!$C$6:$C$405,F476,'Istoric_Nativ'!$E$6:$E$405,G476,'Istoric_Nativ'!$D$6:$D$405,"&lt;"&amp;J476,'Istoric_Nativ'!$P$6:$P$405,1,'Istoric_Nativ'!$D$6:$D$405,"&gt;="&amp;L476),IF(H476="AWAY",SUMIFS('Istoric_Nativ'!$G$6:$G$405,'Istoric_Nativ'!$B$6:$B$405,E476,'Istoric_Nativ'!$C$6:$C$405,F476,'Istoric_Nativ'!$F$6:$F$405,G476,'Istoric_Nativ'!$D$6:$D$405,"&lt;"&amp;J476,'Istoric_Nativ'!$P$6:$P$405,1,'Istoric_Nativ'!$D$6:$D$405,"&gt;="&amp;L476),SUMIFS('Istoric_Nativ'!$H$6:$H$405,'Istoric_Nativ'!$B$6:$B$405,E476,'Istoric_Nativ'!$C$6:$C$405,F476,'Istoric_Nativ'!$E$6:$E$405,G476,'Istoric_Nativ'!$D$6:$D$405,"&lt;"&amp;J476,'Istoric_Nativ'!$P$6:$P$405,1,'Istoric_Nativ'!$D$6:$D$405,"&gt;="&amp;L476)+SUMIFS('Istoric_Nativ'!$G$6:$G$405,'Istoric_Nativ'!$B$6:$B$405,E476,'Istoric_Nativ'!$C$6:$C$405,F476,'Istoric_Nativ'!$F$6:$F$405,G476,'Istoric_Nativ'!$D$6:$D$405,"&lt;"&amp;J476,'Istoric_Nativ'!$P$6:$P$405,1,'Istoric_Nativ'!$D$6:$D$405,"&gt;="&amp;L476)))/M476)</x:f>
      </x:c>
      <x:c r="P476" s="2" t="n">
        <x:f>'Config_v6'!$B$9</x:f>
        <x:v>3</x:v>
      </x:c>
      <x:c r="Q476" s="2" t="n">
        <x:f>IF(OR(B476="",F476=""),0,IFERROR(MATCH(E476&amp;"|"&amp;F476,SourceTable[Source_Key],0),0))</x:f>
        <x:v>0</x:v>
      </x:c>
      <x:c r="R476" s="2" t="str">
        <x:f>IF(B476="","",IF(F476="","UNUSED",IF(Q476=0,"NOT CHECKED",IF(COUNTIF(SourceTable[Source_Key],E476&amp;"|"&amp;F476)&lt;&gt;1,"SOURCE CONFLICT",IF(NOT(OR(INDEX(SourceTable[Status],MAX(1,Q476))="IMPORTED",INDEX(SourceTable[Status],MAX(1,Q476))="PARTIAL",INDEX(SourceTable[Status],MAX(1,Q476))="SOURCE CONFLICT")),"ACCESS BLOCKED",IF(OR(INDEX(SourceTable[Coverage],Q476)&lt;&gt;"FULL SEASON EXPORT",INDEX(SourceTable[URL],Q476)="",INDEX(SourceTable[SHA256],Q476)=""),"EVIDENCE INCOMPLETE",IF(AND('Input_Meci'!H45="LIVE",INDEX(SourceTable[Retrieved_UTC],Q476)&gt;'Input_Meci'!G45),"POST CUTOFF","CLOSED")))))))</x:f>
      </x:c>
      <x:c r="S476" s="2" t="n">
        <x:f>IF(OR(B476="",F476=""),0,COUNTIFS('Istoric_Nativ'!$B$6:$B$405,E476,'Istoric_Nativ'!$C$6:$C$405,F476,'Istoric_Nativ'!$E$6:$E$405,G476,'Istoric_Nativ'!$D$6:$D$405,"&lt;"&amp;J476,'Istoric_Nativ'!$O$6:$O$405,"INVALID")+COUNTIFS('Istoric_Nativ'!$B$6:$B$405,E476,'Istoric_Nativ'!$C$6:$C$405,F476,'Istoric_Nativ'!$E$6:$E$405,G476,'Istoric_Nativ'!$O$6:$O$405,"INVALID",'Istoric_Nativ'!$D$6:$D$405,"*")+COUNTIFS('Istoric_Nativ'!$B$6:$B$405,E476,'Istoric_Nativ'!$C$6:$C$405,F476,'Istoric_Nativ'!$E$6:$E$405,G476,'Istoric_Nativ'!$D$6:$D$405,"&lt;"&amp;J476,'Istoric_Nativ'!$O$6:$O$405,"SOURCE CONFLICT")+COUNTIFS('Istoric_Nativ'!$B$6:$B$405,E476,'Istoric_Nativ'!$C$6:$C$405,F476,'Istoric_Nativ'!$F$6:$F$405,G476,'Istoric_Nativ'!$D$6:$D$405,"&lt;"&amp;J476,'Istoric_Nativ'!$O$6:$O$405,"INVALID")+COUNTIFS('Istoric_Nativ'!$B$6:$B$405,E476,'Istoric_Nativ'!$C$6:$C$405,F476,'Istoric_Nativ'!$F$6:$F$405,G476,'Istoric_Nativ'!$O$6:$O$405,"INVALID",'Istoric_Nativ'!$D$6:$D$405,"*")+COUNTIFS('Istoric_Nativ'!$B$6:$B$405,E476,'Istoric_Nativ'!$C$6:$C$405,F476,'Istoric_Nativ'!$F$6:$F$405,G476,'Istoric_Nativ'!$D$6:$D$405,"&lt;"&amp;J476,'Istoric_Nativ'!$O$6:$O$405,"SOURCE CONFLICT"))</x:f>
        <x:v>0</x:v>
      </x:c>
      <x:c r="T476" s="2" t="str">
        <x:f>IF(B476="","",IF(R476&lt;&gt;"CLOSED",R476,IF(S476&gt;0,"NATIVE INPUT ISSUE",IF(M476=0,"NO HISTORY",IF(M476&lt;P476,"SMALL SAMPLE","DERIVED")))))</x:f>
      </x:c>
      <x:c r="U476" s="2" t="str">
        <x:f>IF(B476="","","NativeTable; "&amp;E476&amp;"; "&amp;F476&amp;"; "&amp;G476&amp;"; "&amp;H476&amp;"; before "&amp;TEXT(J476,"yyyy-mm-dd")&amp;IF(I476="RECENT","; from "&amp;TEXT(L476,"yyyy-mm-dd"),""))</x:f>
      </x:c>
    </x:row>
    <x:row r="477" ht="21" customHeight="1">
      <x:c r="A477" s="2" t="n">
        <x:v>40</x:v>
      </x:c>
      <x:c r="B477" s="2" t="str">
        <x:f>IF('Input_Meci'!A45="","",'Input_Meci'!A45)</x:f>
      </x:c>
      <x:c r="C477" s="2" t="str">
        <x:v>A</x:v>
      </x:c>
      <x:c r="D477" s="2" t="str">
        <x:v>CURRENT</x:v>
      </x:c>
      <x:c r="E477" s="2" t="str">
        <x:f>IF(B477="","",'Input_Meci'!B45)</x:f>
      </x:c>
      <x:c r="F477" s="2" t="str">
        <x:f>IF(B477="","",IF('Input_Meci'!C45="","",'Input_Meci'!C45))</x:f>
      </x:c>
      <x:c r="G477" s="2" t="str">
        <x:f>IF(B477="","",'Input_Meci'!E45)</x:f>
      </x:c>
      <x:c r="H477" s="2" t="str">
        <x:v>ANY</x:v>
      </x:c>
      <x:c r="I477" s="2" t="str">
        <x:v>SEASON</x:v>
      </x:c>
      <x:c r="J477" s="9" t="n">
        <x:f>IF(AND(B477&lt;&gt;"",ISNUMBER('Input_Meci'!G45)),INT('Input_Meci'!G45),0)</x:f>
        <x:v>0</x:v>
      </x:c>
      <x:c r="K477" s="2" t="n">
        <x:f>IF(OR(B477="",F477=""),0,IF(H477="HOME",COUNTIFS('Istoric_Nativ'!$B$6:$B$405,E477,'Istoric_Nativ'!$C$6:$C$405,F477,'Istoric_Nativ'!$E$6:$E$405,G477,'Istoric_Nativ'!$D$6:$D$405,"&lt;"&amp;J477,'Istoric_Nativ'!$P$6:$P$405,1),IF(H477="AWAY",COUNTIFS('Istoric_Nativ'!$B$6:$B$405,E477,'Istoric_Nativ'!$C$6:$C$405,F477,'Istoric_Nativ'!$F$6:$F$405,G477,'Istoric_Nativ'!$D$6:$D$405,"&lt;"&amp;J477,'Istoric_Nativ'!$P$6:$P$405,1),COUNTIFS('Istoric_Nativ'!$B$6:$B$405,E477,'Istoric_Nativ'!$C$6:$C$405,F477,'Istoric_Nativ'!$E$6:$E$405,G477,'Istoric_Nativ'!$D$6:$D$405,"&lt;"&amp;J477,'Istoric_Nativ'!$P$6:$P$405,1)+COUNTIFS('Istoric_Nativ'!$B$6:$B$405,E477,'Istoric_Nativ'!$C$6:$C$405,F477,'Istoric_Nativ'!$F$6:$F$405,G477,'Istoric_Nativ'!$D$6:$D$405,"&lt;"&amp;J477,'Istoric_Nativ'!$P$6:$P$405,1))))</x:f>
        <x:v>0</x:v>
      </x:c>
      <x:c r="L477" s="17" t="n">
        <x:f>IF(AND(B477&lt;&gt;"",I477="RECENT",K477&gt;0),LARGE(_xlfn._xlws.FILTER('Istoric_Nativ'!$D$6:$D$405,('Istoric_Nativ'!$B$6:$B$405=E477)*('Istoric_Nativ'!$C$6:$C$405=F477)*('Istoric_Nativ'!$P$6:$P$405=1)*('Istoric_Nativ'!$D$6:$D$405&lt;J477)*((('Istoric_Nativ'!$E$6:$E$405=G477)+('Istoric_Nativ'!$F$6:$F$405=G477))&gt;0)),MIN('Config_v6'!$B$54,K477)),0)</x:f>
        <x:v>0</x:v>
      </x:c>
      <x:c r="M477" s="2" t="n">
        <x:f>IF(OR(B477="",F477=""),0,IF(H477="HOME",COUNTIFS('Istoric_Nativ'!$B$6:$B$405,E477,'Istoric_Nativ'!$C$6:$C$405,F477,'Istoric_Nativ'!$E$6:$E$405,G477,'Istoric_Nativ'!$D$6:$D$405,"&lt;"&amp;J477,'Istoric_Nativ'!$P$6:$P$405,1,'Istoric_Nativ'!$D$6:$D$405,"&gt;="&amp;L477),IF(H477="AWAY",COUNTIFS('Istoric_Nativ'!$B$6:$B$405,E477,'Istoric_Nativ'!$C$6:$C$405,F477,'Istoric_Nativ'!$F$6:$F$405,G477,'Istoric_Nativ'!$D$6:$D$405,"&lt;"&amp;J477,'Istoric_Nativ'!$P$6:$P$405,1,'Istoric_Nativ'!$D$6:$D$405,"&gt;="&amp;L477),COUNTIFS('Istoric_Nativ'!$B$6:$B$405,E477,'Istoric_Nativ'!$C$6:$C$405,F477,'Istoric_Nativ'!$E$6:$E$405,G477,'Istoric_Nativ'!$D$6:$D$405,"&lt;"&amp;J477,'Istoric_Nativ'!$P$6:$P$405,1,'Istoric_Nativ'!$D$6:$D$405,"&gt;="&amp;L477)+COUNTIFS('Istoric_Nativ'!$B$6:$B$405,E477,'Istoric_Nativ'!$C$6:$C$405,F477,'Istoric_Nativ'!$F$6:$F$405,G477,'Istoric_Nativ'!$D$6:$D$405,"&lt;"&amp;J477,'Istoric_Nativ'!$P$6:$P$405,1,'Istoric_Nativ'!$D$6:$D$405,"&gt;="&amp;L477))))</x:f>
        <x:v>0</x:v>
      </x:c>
      <x:c r="N477" s="11" t="str">
        <x:f>IF(M477=0,"",IF(H477="HOME",SUMIFS('Istoric_Nativ'!$G$6:$G$405,'Istoric_Nativ'!$B$6:$B$405,E477,'Istoric_Nativ'!$C$6:$C$405,F477,'Istoric_Nativ'!$E$6:$E$405,G477,'Istoric_Nativ'!$D$6:$D$405,"&lt;"&amp;J477,'Istoric_Nativ'!$P$6:$P$405,1,'Istoric_Nativ'!$D$6:$D$405,"&gt;="&amp;L477),IF(H477="AWAY",SUMIFS('Istoric_Nativ'!$H$6:$H$405,'Istoric_Nativ'!$B$6:$B$405,E477,'Istoric_Nativ'!$C$6:$C$405,F477,'Istoric_Nativ'!$F$6:$F$405,G477,'Istoric_Nativ'!$D$6:$D$405,"&lt;"&amp;J477,'Istoric_Nativ'!$P$6:$P$405,1,'Istoric_Nativ'!$D$6:$D$405,"&gt;="&amp;L477),SUMIFS('Istoric_Nativ'!$G$6:$G$405,'Istoric_Nativ'!$B$6:$B$405,E477,'Istoric_Nativ'!$C$6:$C$405,F477,'Istoric_Nativ'!$E$6:$E$405,G477,'Istoric_Nativ'!$D$6:$D$405,"&lt;"&amp;J477,'Istoric_Nativ'!$P$6:$P$405,1,'Istoric_Nativ'!$D$6:$D$405,"&gt;="&amp;L477)+SUMIFS('Istoric_Nativ'!$H$6:$H$405,'Istoric_Nativ'!$B$6:$B$405,E477,'Istoric_Nativ'!$C$6:$C$405,F477,'Istoric_Nativ'!$F$6:$F$405,G477,'Istoric_Nativ'!$D$6:$D$405,"&lt;"&amp;J477,'Istoric_Nativ'!$P$6:$P$405,1,'Istoric_Nativ'!$D$6:$D$405,"&gt;="&amp;L477)))/M477)</x:f>
      </x:c>
      <x:c r="O477" s="11" t="str">
        <x:f>IF(M477=0,"",IF(H477="HOME",SUMIFS('Istoric_Nativ'!$H$6:$H$405,'Istoric_Nativ'!$B$6:$B$405,E477,'Istoric_Nativ'!$C$6:$C$405,F477,'Istoric_Nativ'!$E$6:$E$405,G477,'Istoric_Nativ'!$D$6:$D$405,"&lt;"&amp;J477,'Istoric_Nativ'!$P$6:$P$405,1,'Istoric_Nativ'!$D$6:$D$405,"&gt;="&amp;L477),IF(H477="AWAY",SUMIFS('Istoric_Nativ'!$G$6:$G$405,'Istoric_Nativ'!$B$6:$B$405,E477,'Istoric_Nativ'!$C$6:$C$405,F477,'Istoric_Nativ'!$F$6:$F$405,G477,'Istoric_Nativ'!$D$6:$D$405,"&lt;"&amp;J477,'Istoric_Nativ'!$P$6:$P$405,1,'Istoric_Nativ'!$D$6:$D$405,"&gt;="&amp;L477),SUMIFS('Istoric_Nativ'!$H$6:$H$405,'Istoric_Nativ'!$B$6:$B$405,E477,'Istoric_Nativ'!$C$6:$C$405,F477,'Istoric_Nativ'!$E$6:$E$405,G477,'Istoric_Nativ'!$D$6:$D$405,"&lt;"&amp;J477,'Istoric_Nativ'!$P$6:$P$405,1,'Istoric_Nativ'!$D$6:$D$405,"&gt;="&amp;L477)+SUMIFS('Istoric_Nativ'!$G$6:$G$405,'Istoric_Nativ'!$B$6:$B$405,E477,'Istoric_Nativ'!$C$6:$C$405,F477,'Istoric_Nativ'!$F$6:$F$405,G477,'Istoric_Nativ'!$D$6:$D$405,"&lt;"&amp;J477,'Istoric_Nativ'!$P$6:$P$405,1,'Istoric_Nativ'!$D$6:$D$405,"&gt;="&amp;L477)))/M477)</x:f>
      </x:c>
      <x:c r="P477" s="2" t="n">
        <x:f>'Config_v6'!$B$7</x:f>
        <x:v>10</x:v>
      </x:c>
      <x:c r="Q477" s="2" t="n">
        <x:f>IF(OR(B477="",F477=""),0,IFERROR(MATCH(E477&amp;"|"&amp;F477,SourceTable[Source_Key],0),0))</x:f>
        <x:v>0</x:v>
      </x:c>
      <x:c r="R477" s="2" t="str">
        <x:f>IF(B477="","",IF(F477="","UNUSED",IF(Q477=0,"NOT CHECKED",IF(COUNTIF(SourceTable[Source_Key],E477&amp;"|"&amp;F477)&lt;&gt;1,"SOURCE CONFLICT",IF(NOT(OR(INDEX(SourceTable[Status],MAX(1,Q477))="IMPORTED",INDEX(SourceTable[Status],MAX(1,Q477))="PARTIAL",INDEX(SourceTable[Status],MAX(1,Q477))="SOURCE CONFLICT")),"ACCESS BLOCKED",IF(OR(INDEX(SourceTable[Coverage],Q477)&lt;&gt;"FULL SEASON EXPORT",INDEX(SourceTable[URL],Q477)="",INDEX(SourceTable[SHA256],Q477)=""),"EVIDENCE INCOMPLETE",IF(AND('Input_Meci'!H45="LIVE",INDEX(SourceTable[Retrieved_UTC],Q477)&gt;'Input_Meci'!G45),"POST CUTOFF","CLOSED")))))))</x:f>
      </x:c>
      <x:c r="S477" s="2" t="n">
        <x:f>IF(OR(B477="",F477=""),0,COUNTIFS('Istoric_Nativ'!$B$6:$B$405,E477,'Istoric_Nativ'!$C$6:$C$405,F477,'Istoric_Nativ'!$E$6:$E$405,G477,'Istoric_Nativ'!$D$6:$D$405,"&lt;"&amp;J477,'Istoric_Nativ'!$O$6:$O$405,"INVALID")+COUNTIFS('Istoric_Nativ'!$B$6:$B$405,E477,'Istoric_Nativ'!$C$6:$C$405,F477,'Istoric_Nativ'!$E$6:$E$405,G477,'Istoric_Nativ'!$O$6:$O$405,"INVALID",'Istoric_Nativ'!$D$6:$D$405,"*")+COUNTIFS('Istoric_Nativ'!$B$6:$B$405,E477,'Istoric_Nativ'!$C$6:$C$405,F477,'Istoric_Nativ'!$E$6:$E$405,G477,'Istoric_Nativ'!$D$6:$D$405,"&lt;"&amp;J477,'Istoric_Nativ'!$O$6:$O$405,"SOURCE CONFLICT")+COUNTIFS('Istoric_Nativ'!$B$6:$B$405,E477,'Istoric_Nativ'!$C$6:$C$405,F477,'Istoric_Nativ'!$F$6:$F$405,G477,'Istoric_Nativ'!$D$6:$D$405,"&lt;"&amp;J477,'Istoric_Nativ'!$O$6:$O$405,"INVALID")+COUNTIFS('Istoric_Nativ'!$B$6:$B$405,E477,'Istoric_Nativ'!$C$6:$C$405,F477,'Istoric_Nativ'!$F$6:$F$405,G477,'Istoric_Nativ'!$O$6:$O$405,"INVALID",'Istoric_Nativ'!$D$6:$D$405,"*")+COUNTIFS('Istoric_Nativ'!$B$6:$B$405,E477,'Istoric_Nativ'!$C$6:$C$405,F477,'Istoric_Nativ'!$F$6:$F$405,G477,'Istoric_Nativ'!$D$6:$D$405,"&lt;"&amp;J477,'Istoric_Nativ'!$O$6:$O$405,"SOURCE CONFLICT"))</x:f>
        <x:v>0</x:v>
      </x:c>
      <x:c r="T477" s="2" t="str">
        <x:f>IF(B477="","",IF(R477&lt;&gt;"CLOSED",R477,IF(S477&gt;0,"NATIVE INPUT ISSUE",IF(M477=0,"NO HISTORY",IF(M477&lt;P477,"SMALL SAMPLE","DERIVED")))))</x:f>
      </x:c>
      <x:c r="U477" s="2" t="str">
        <x:f>IF(B477="","","NativeTable; "&amp;E477&amp;"; "&amp;F477&amp;"; "&amp;G477&amp;"; "&amp;H477&amp;"; before "&amp;TEXT(J477,"yyyy-mm-dd")&amp;IF(I477="RECENT","; from "&amp;TEXT(L477,"yyyy-mm-dd"),""))</x:f>
      </x:c>
    </x:row>
    <x:row r="478" ht="21" customHeight="1">
      <x:c r="A478" s="2" t="n">
        <x:v>40</x:v>
      </x:c>
      <x:c r="B478" s="2" t="str">
        <x:f>IF('Input_Meci'!A45="","",'Input_Meci'!A45)</x:f>
      </x:c>
      <x:c r="C478" s="2" t="str">
        <x:v>A</x:v>
      </x:c>
      <x:c r="D478" s="2" t="str">
        <x:v>CURRENT</x:v>
      </x:c>
      <x:c r="E478" s="2" t="str">
        <x:f>IF(B478="","",'Input_Meci'!B45)</x:f>
      </x:c>
      <x:c r="F478" s="2" t="str">
        <x:f>IF(B478="","",IF('Input_Meci'!C45="","",'Input_Meci'!C45))</x:f>
      </x:c>
      <x:c r="G478" s="2" t="str">
        <x:f>IF(B478="","",'Input_Meci'!E45)</x:f>
      </x:c>
      <x:c r="H478" s="2" t="str">
        <x:v>AWAY</x:v>
      </x:c>
      <x:c r="I478" s="2" t="str">
        <x:v>HA</x:v>
      </x:c>
      <x:c r="J478" s="9" t="n">
        <x:f>IF(AND(B478&lt;&gt;"",ISNUMBER('Input_Meci'!G45)),INT('Input_Meci'!G45),0)</x:f>
        <x:v>0</x:v>
      </x:c>
      <x:c r="K478" s="2" t="n">
        <x:f>IF(OR(B478="",F478=""),0,IF(H478="HOME",COUNTIFS('Istoric_Nativ'!$B$6:$B$405,E478,'Istoric_Nativ'!$C$6:$C$405,F478,'Istoric_Nativ'!$E$6:$E$405,G478,'Istoric_Nativ'!$D$6:$D$405,"&lt;"&amp;J478,'Istoric_Nativ'!$P$6:$P$405,1),IF(H478="AWAY",COUNTIFS('Istoric_Nativ'!$B$6:$B$405,E478,'Istoric_Nativ'!$C$6:$C$405,F478,'Istoric_Nativ'!$F$6:$F$405,G478,'Istoric_Nativ'!$D$6:$D$405,"&lt;"&amp;J478,'Istoric_Nativ'!$P$6:$P$405,1),COUNTIFS('Istoric_Nativ'!$B$6:$B$405,E478,'Istoric_Nativ'!$C$6:$C$405,F478,'Istoric_Nativ'!$E$6:$E$405,G478,'Istoric_Nativ'!$D$6:$D$405,"&lt;"&amp;J478,'Istoric_Nativ'!$P$6:$P$405,1)+COUNTIFS('Istoric_Nativ'!$B$6:$B$405,E478,'Istoric_Nativ'!$C$6:$C$405,F478,'Istoric_Nativ'!$F$6:$F$405,G478,'Istoric_Nativ'!$D$6:$D$405,"&lt;"&amp;J478,'Istoric_Nativ'!$P$6:$P$405,1))))</x:f>
        <x:v>0</x:v>
      </x:c>
      <x:c r="L478" s="17" t="n">
        <x:f>IF(AND(B478&lt;&gt;"",I478="RECENT",K478&gt;0),LARGE(_xlfn._xlws.FILTER('Istoric_Nativ'!$D$6:$D$405,('Istoric_Nativ'!$B$6:$B$405=E478)*('Istoric_Nativ'!$C$6:$C$405=F478)*('Istoric_Nativ'!$P$6:$P$405=1)*('Istoric_Nativ'!$D$6:$D$405&lt;J478)*((('Istoric_Nativ'!$E$6:$E$405=G478)+('Istoric_Nativ'!$F$6:$F$405=G478))&gt;0)),MIN('Config_v6'!$B$54,K478)),0)</x:f>
        <x:v>0</x:v>
      </x:c>
      <x:c r="M478" s="2" t="n">
        <x:f>IF(OR(B478="",F478=""),0,IF(H478="HOME",COUNTIFS('Istoric_Nativ'!$B$6:$B$405,E478,'Istoric_Nativ'!$C$6:$C$405,F478,'Istoric_Nativ'!$E$6:$E$405,G478,'Istoric_Nativ'!$D$6:$D$405,"&lt;"&amp;J478,'Istoric_Nativ'!$P$6:$P$405,1,'Istoric_Nativ'!$D$6:$D$405,"&gt;="&amp;L478),IF(H478="AWAY",COUNTIFS('Istoric_Nativ'!$B$6:$B$405,E478,'Istoric_Nativ'!$C$6:$C$405,F478,'Istoric_Nativ'!$F$6:$F$405,G478,'Istoric_Nativ'!$D$6:$D$405,"&lt;"&amp;J478,'Istoric_Nativ'!$P$6:$P$405,1,'Istoric_Nativ'!$D$6:$D$405,"&gt;="&amp;L478),COUNTIFS('Istoric_Nativ'!$B$6:$B$405,E478,'Istoric_Nativ'!$C$6:$C$405,F478,'Istoric_Nativ'!$E$6:$E$405,G478,'Istoric_Nativ'!$D$6:$D$405,"&lt;"&amp;J478,'Istoric_Nativ'!$P$6:$P$405,1,'Istoric_Nativ'!$D$6:$D$405,"&gt;="&amp;L478)+COUNTIFS('Istoric_Nativ'!$B$6:$B$405,E478,'Istoric_Nativ'!$C$6:$C$405,F478,'Istoric_Nativ'!$F$6:$F$405,G478,'Istoric_Nativ'!$D$6:$D$405,"&lt;"&amp;J478,'Istoric_Nativ'!$P$6:$P$405,1,'Istoric_Nativ'!$D$6:$D$405,"&gt;="&amp;L478))))</x:f>
        <x:v>0</x:v>
      </x:c>
      <x:c r="N478" s="11" t="str">
        <x:f>IF(M478=0,"",IF(H478="HOME",SUMIFS('Istoric_Nativ'!$G$6:$G$405,'Istoric_Nativ'!$B$6:$B$405,E478,'Istoric_Nativ'!$C$6:$C$405,F478,'Istoric_Nativ'!$E$6:$E$405,G478,'Istoric_Nativ'!$D$6:$D$405,"&lt;"&amp;J478,'Istoric_Nativ'!$P$6:$P$405,1,'Istoric_Nativ'!$D$6:$D$405,"&gt;="&amp;L478),IF(H478="AWAY",SUMIFS('Istoric_Nativ'!$H$6:$H$405,'Istoric_Nativ'!$B$6:$B$405,E478,'Istoric_Nativ'!$C$6:$C$405,F478,'Istoric_Nativ'!$F$6:$F$405,G478,'Istoric_Nativ'!$D$6:$D$405,"&lt;"&amp;J478,'Istoric_Nativ'!$P$6:$P$405,1,'Istoric_Nativ'!$D$6:$D$405,"&gt;="&amp;L478),SUMIFS('Istoric_Nativ'!$G$6:$G$405,'Istoric_Nativ'!$B$6:$B$405,E478,'Istoric_Nativ'!$C$6:$C$405,F478,'Istoric_Nativ'!$E$6:$E$405,G478,'Istoric_Nativ'!$D$6:$D$405,"&lt;"&amp;J478,'Istoric_Nativ'!$P$6:$P$405,1,'Istoric_Nativ'!$D$6:$D$405,"&gt;="&amp;L478)+SUMIFS('Istoric_Nativ'!$H$6:$H$405,'Istoric_Nativ'!$B$6:$B$405,E478,'Istoric_Nativ'!$C$6:$C$405,F478,'Istoric_Nativ'!$F$6:$F$405,G478,'Istoric_Nativ'!$D$6:$D$405,"&lt;"&amp;J478,'Istoric_Nativ'!$P$6:$P$405,1,'Istoric_Nativ'!$D$6:$D$405,"&gt;="&amp;L478)))/M478)</x:f>
      </x:c>
      <x:c r="O478" s="11" t="str">
        <x:f>IF(M478=0,"",IF(H478="HOME",SUMIFS('Istoric_Nativ'!$H$6:$H$405,'Istoric_Nativ'!$B$6:$B$405,E478,'Istoric_Nativ'!$C$6:$C$405,F478,'Istoric_Nativ'!$E$6:$E$405,G478,'Istoric_Nativ'!$D$6:$D$405,"&lt;"&amp;J478,'Istoric_Nativ'!$P$6:$P$405,1,'Istoric_Nativ'!$D$6:$D$405,"&gt;="&amp;L478),IF(H478="AWAY",SUMIFS('Istoric_Nativ'!$G$6:$G$405,'Istoric_Nativ'!$B$6:$B$405,E478,'Istoric_Nativ'!$C$6:$C$405,F478,'Istoric_Nativ'!$F$6:$F$405,G478,'Istoric_Nativ'!$D$6:$D$405,"&lt;"&amp;J478,'Istoric_Nativ'!$P$6:$P$405,1,'Istoric_Nativ'!$D$6:$D$405,"&gt;="&amp;L478),SUMIFS('Istoric_Nativ'!$H$6:$H$405,'Istoric_Nativ'!$B$6:$B$405,E478,'Istoric_Nativ'!$C$6:$C$405,F478,'Istoric_Nativ'!$E$6:$E$405,G478,'Istoric_Nativ'!$D$6:$D$405,"&lt;"&amp;J478,'Istoric_Nativ'!$P$6:$P$405,1,'Istoric_Nativ'!$D$6:$D$405,"&gt;="&amp;L478)+SUMIFS('Istoric_Nativ'!$G$6:$G$405,'Istoric_Nativ'!$B$6:$B$405,E478,'Istoric_Nativ'!$C$6:$C$405,F478,'Istoric_Nativ'!$F$6:$F$405,G478,'Istoric_Nativ'!$D$6:$D$405,"&lt;"&amp;J478,'Istoric_Nativ'!$P$6:$P$405,1,'Istoric_Nativ'!$D$6:$D$405,"&gt;="&amp;L478)))/M478)</x:f>
      </x:c>
      <x:c r="P478" s="2" t="n">
        <x:f>'Config_v6'!$B$8</x:f>
        <x:v>5</x:v>
      </x:c>
      <x:c r="Q478" s="2" t="n">
        <x:f>IF(OR(B478="",F478=""),0,IFERROR(MATCH(E478&amp;"|"&amp;F478,SourceTable[Source_Key],0),0))</x:f>
        <x:v>0</x:v>
      </x:c>
      <x:c r="R478" s="2" t="str">
        <x:f>IF(B478="","",IF(F478="","UNUSED",IF(Q478=0,"NOT CHECKED",IF(COUNTIF(SourceTable[Source_Key],E478&amp;"|"&amp;F478)&lt;&gt;1,"SOURCE CONFLICT",IF(NOT(OR(INDEX(SourceTable[Status],MAX(1,Q478))="IMPORTED",INDEX(SourceTable[Status],MAX(1,Q478))="PARTIAL",INDEX(SourceTable[Status],MAX(1,Q478))="SOURCE CONFLICT")),"ACCESS BLOCKED",IF(OR(INDEX(SourceTable[Coverage],Q478)&lt;&gt;"FULL SEASON EXPORT",INDEX(SourceTable[URL],Q478)="",INDEX(SourceTable[SHA256],Q478)=""),"EVIDENCE INCOMPLETE",IF(AND('Input_Meci'!H45="LIVE",INDEX(SourceTable[Retrieved_UTC],Q478)&gt;'Input_Meci'!G45),"POST CUTOFF","CLOSED")))))))</x:f>
      </x:c>
      <x:c r="S478" s="2" t="n">
        <x:f>IF(OR(B478="",F478=""),0,COUNTIFS('Istoric_Nativ'!$B$6:$B$405,E478,'Istoric_Nativ'!$C$6:$C$405,F478,'Istoric_Nativ'!$E$6:$E$405,G478,'Istoric_Nativ'!$D$6:$D$405,"&lt;"&amp;J478,'Istoric_Nativ'!$O$6:$O$405,"INVALID")+COUNTIFS('Istoric_Nativ'!$B$6:$B$405,E478,'Istoric_Nativ'!$C$6:$C$405,F478,'Istoric_Nativ'!$E$6:$E$405,G478,'Istoric_Nativ'!$O$6:$O$405,"INVALID",'Istoric_Nativ'!$D$6:$D$405,"*")+COUNTIFS('Istoric_Nativ'!$B$6:$B$405,E478,'Istoric_Nativ'!$C$6:$C$405,F478,'Istoric_Nativ'!$E$6:$E$405,G478,'Istoric_Nativ'!$D$6:$D$405,"&lt;"&amp;J478,'Istoric_Nativ'!$O$6:$O$405,"SOURCE CONFLICT")+COUNTIFS('Istoric_Nativ'!$B$6:$B$405,E478,'Istoric_Nativ'!$C$6:$C$405,F478,'Istoric_Nativ'!$F$6:$F$405,G478,'Istoric_Nativ'!$D$6:$D$405,"&lt;"&amp;J478,'Istoric_Nativ'!$O$6:$O$405,"INVALID")+COUNTIFS('Istoric_Nativ'!$B$6:$B$405,E478,'Istoric_Nativ'!$C$6:$C$405,F478,'Istoric_Nativ'!$F$6:$F$405,G478,'Istoric_Nativ'!$O$6:$O$405,"INVALID",'Istoric_Nativ'!$D$6:$D$405,"*")+COUNTIFS('Istoric_Nativ'!$B$6:$B$405,E478,'Istoric_Nativ'!$C$6:$C$405,F478,'Istoric_Nativ'!$F$6:$F$405,G478,'Istoric_Nativ'!$D$6:$D$405,"&lt;"&amp;J478,'Istoric_Nativ'!$O$6:$O$405,"SOURCE CONFLICT"))</x:f>
        <x:v>0</x:v>
      </x:c>
      <x:c r="T478" s="2" t="str">
        <x:f>IF(B478="","",IF(R478&lt;&gt;"CLOSED",R478,IF(S478&gt;0,"NATIVE INPUT ISSUE",IF(M478=0,"NO HISTORY",IF(M478&lt;P478,"SMALL SAMPLE","DERIVED")))))</x:f>
      </x:c>
      <x:c r="U478" s="2" t="str">
        <x:f>IF(B478="","","NativeTable; "&amp;E478&amp;"; "&amp;F478&amp;"; "&amp;G478&amp;"; "&amp;H478&amp;"; before "&amp;TEXT(J478,"yyyy-mm-dd")&amp;IF(I478="RECENT","; from "&amp;TEXT(L478,"yyyy-mm-dd"),""))</x:f>
      </x:c>
    </x:row>
    <x:row r="479" ht="21" customHeight="1">
      <x:c r="A479" s="2" t="n">
        <x:v>40</x:v>
      </x:c>
      <x:c r="B479" s="2" t="str">
        <x:f>IF('Input_Meci'!A45="","",'Input_Meci'!A45)</x:f>
      </x:c>
      <x:c r="C479" s="2" t="str">
        <x:v>A</x:v>
      </x:c>
      <x:c r="D479" s="2" t="str">
        <x:v>CURRENT</x:v>
      </x:c>
      <x:c r="E479" s="2" t="str">
        <x:f>IF(B479="","",'Input_Meci'!B45)</x:f>
      </x:c>
      <x:c r="F479" s="2" t="str">
        <x:f>IF(B479="","",IF('Input_Meci'!C45="","",'Input_Meci'!C45))</x:f>
      </x:c>
      <x:c r="G479" s="2" t="str">
        <x:f>IF(B479="","",'Input_Meci'!E45)</x:f>
      </x:c>
      <x:c r="H479" s="2" t="str">
        <x:v>ANY</x:v>
      </x:c>
      <x:c r="I479" s="2" t="str">
        <x:v>RECENT</x:v>
      </x:c>
      <x:c r="J479" s="9" t="n">
        <x:f>IF(AND(B479&lt;&gt;"",ISNUMBER('Input_Meci'!G45)),INT('Input_Meci'!G45),0)</x:f>
        <x:v>0</x:v>
      </x:c>
      <x:c r="K479" s="2" t="n">
        <x:f>IF(OR(B479="",F479=""),0,IF(H479="HOME",COUNTIFS('Istoric_Nativ'!$B$6:$B$405,E479,'Istoric_Nativ'!$C$6:$C$405,F479,'Istoric_Nativ'!$E$6:$E$405,G479,'Istoric_Nativ'!$D$6:$D$405,"&lt;"&amp;J479,'Istoric_Nativ'!$P$6:$P$405,1),IF(H479="AWAY",COUNTIFS('Istoric_Nativ'!$B$6:$B$405,E479,'Istoric_Nativ'!$C$6:$C$405,F479,'Istoric_Nativ'!$F$6:$F$405,G479,'Istoric_Nativ'!$D$6:$D$405,"&lt;"&amp;J479,'Istoric_Nativ'!$P$6:$P$405,1),COUNTIFS('Istoric_Nativ'!$B$6:$B$405,E479,'Istoric_Nativ'!$C$6:$C$405,F479,'Istoric_Nativ'!$E$6:$E$405,G479,'Istoric_Nativ'!$D$6:$D$405,"&lt;"&amp;J479,'Istoric_Nativ'!$P$6:$P$405,1)+COUNTIFS('Istoric_Nativ'!$B$6:$B$405,E479,'Istoric_Nativ'!$C$6:$C$405,F479,'Istoric_Nativ'!$F$6:$F$405,G479,'Istoric_Nativ'!$D$6:$D$405,"&lt;"&amp;J479,'Istoric_Nativ'!$P$6:$P$405,1))))</x:f>
        <x:v>0</x:v>
      </x:c>
      <x:c r="L479" s="17" t="n">
        <x:f>IF(AND(B479&lt;&gt;"",I479="RECENT",K479&gt;0),LARGE(_xlfn._xlws.FILTER('Istoric_Nativ'!$D$6:$D$405,('Istoric_Nativ'!$B$6:$B$405=E479)*('Istoric_Nativ'!$C$6:$C$405=F479)*('Istoric_Nativ'!$P$6:$P$405=1)*('Istoric_Nativ'!$D$6:$D$405&lt;J479)*((('Istoric_Nativ'!$E$6:$E$405=G479)+('Istoric_Nativ'!$F$6:$F$405=G479))&gt;0)),MIN('Config_v6'!$B$54,K479)),0)</x:f>
        <x:v>0</x:v>
      </x:c>
      <x:c r="M479" s="2" t="n">
        <x:f>IF(OR(B479="",F479=""),0,IF(H479="HOME",COUNTIFS('Istoric_Nativ'!$B$6:$B$405,E479,'Istoric_Nativ'!$C$6:$C$405,F479,'Istoric_Nativ'!$E$6:$E$405,G479,'Istoric_Nativ'!$D$6:$D$405,"&lt;"&amp;J479,'Istoric_Nativ'!$P$6:$P$405,1,'Istoric_Nativ'!$D$6:$D$405,"&gt;="&amp;L479),IF(H479="AWAY",COUNTIFS('Istoric_Nativ'!$B$6:$B$405,E479,'Istoric_Nativ'!$C$6:$C$405,F479,'Istoric_Nativ'!$F$6:$F$405,G479,'Istoric_Nativ'!$D$6:$D$405,"&lt;"&amp;J479,'Istoric_Nativ'!$P$6:$P$405,1,'Istoric_Nativ'!$D$6:$D$405,"&gt;="&amp;L479),COUNTIFS('Istoric_Nativ'!$B$6:$B$405,E479,'Istoric_Nativ'!$C$6:$C$405,F479,'Istoric_Nativ'!$E$6:$E$405,G479,'Istoric_Nativ'!$D$6:$D$405,"&lt;"&amp;J479,'Istoric_Nativ'!$P$6:$P$405,1,'Istoric_Nativ'!$D$6:$D$405,"&gt;="&amp;L479)+COUNTIFS('Istoric_Nativ'!$B$6:$B$405,E479,'Istoric_Nativ'!$C$6:$C$405,F479,'Istoric_Nativ'!$F$6:$F$405,G479,'Istoric_Nativ'!$D$6:$D$405,"&lt;"&amp;J479,'Istoric_Nativ'!$P$6:$P$405,1,'Istoric_Nativ'!$D$6:$D$405,"&gt;="&amp;L479))))</x:f>
        <x:v>0</x:v>
      </x:c>
      <x:c r="N479" s="11" t="str">
        <x:f>IF(M479=0,"",IF(H479="HOME",SUMIFS('Istoric_Nativ'!$G$6:$G$405,'Istoric_Nativ'!$B$6:$B$405,E479,'Istoric_Nativ'!$C$6:$C$405,F479,'Istoric_Nativ'!$E$6:$E$405,G479,'Istoric_Nativ'!$D$6:$D$405,"&lt;"&amp;J479,'Istoric_Nativ'!$P$6:$P$405,1,'Istoric_Nativ'!$D$6:$D$405,"&gt;="&amp;L479),IF(H479="AWAY",SUMIFS('Istoric_Nativ'!$H$6:$H$405,'Istoric_Nativ'!$B$6:$B$405,E479,'Istoric_Nativ'!$C$6:$C$405,F479,'Istoric_Nativ'!$F$6:$F$405,G479,'Istoric_Nativ'!$D$6:$D$405,"&lt;"&amp;J479,'Istoric_Nativ'!$P$6:$P$405,1,'Istoric_Nativ'!$D$6:$D$405,"&gt;="&amp;L479),SUMIFS('Istoric_Nativ'!$G$6:$G$405,'Istoric_Nativ'!$B$6:$B$405,E479,'Istoric_Nativ'!$C$6:$C$405,F479,'Istoric_Nativ'!$E$6:$E$405,G479,'Istoric_Nativ'!$D$6:$D$405,"&lt;"&amp;J479,'Istoric_Nativ'!$P$6:$P$405,1,'Istoric_Nativ'!$D$6:$D$405,"&gt;="&amp;L479)+SUMIFS('Istoric_Nativ'!$H$6:$H$405,'Istoric_Nativ'!$B$6:$B$405,E479,'Istoric_Nativ'!$C$6:$C$405,F479,'Istoric_Nativ'!$F$6:$F$405,G479,'Istoric_Nativ'!$D$6:$D$405,"&lt;"&amp;J479,'Istoric_Nativ'!$P$6:$P$405,1,'Istoric_Nativ'!$D$6:$D$405,"&gt;="&amp;L479)))/M479)</x:f>
      </x:c>
      <x:c r="O479" s="11" t="str">
        <x:f>IF(M479=0,"",IF(H479="HOME",SUMIFS('Istoric_Nativ'!$H$6:$H$405,'Istoric_Nativ'!$B$6:$B$405,E479,'Istoric_Nativ'!$C$6:$C$405,F479,'Istoric_Nativ'!$E$6:$E$405,G479,'Istoric_Nativ'!$D$6:$D$405,"&lt;"&amp;J479,'Istoric_Nativ'!$P$6:$P$405,1,'Istoric_Nativ'!$D$6:$D$405,"&gt;="&amp;L479),IF(H479="AWAY",SUMIFS('Istoric_Nativ'!$G$6:$G$405,'Istoric_Nativ'!$B$6:$B$405,E479,'Istoric_Nativ'!$C$6:$C$405,F479,'Istoric_Nativ'!$F$6:$F$405,G479,'Istoric_Nativ'!$D$6:$D$405,"&lt;"&amp;J479,'Istoric_Nativ'!$P$6:$P$405,1,'Istoric_Nativ'!$D$6:$D$405,"&gt;="&amp;L479),SUMIFS('Istoric_Nativ'!$H$6:$H$405,'Istoric_Nativ'!$B$6:$B$405,E479,'Istoric_Nativ'!$C$6:$C$405,F479,'Istoric_Nativ'!$E$6:$E$405,G479,'Istoric_Nativ'!$D$6:$D$405,"&lt;"&amp;J479,'Istoric_Nativ'!$P$6:$P$405,1,'Istoric_Nativ'!$D$6:$D$405,"&gt;="&amp;L479)+SUMIFS('Istoric_Nativ'!$G$6:$G$405,'Istoric_Nativ'!$B$6:$B$405,E479,'Istoric_Nativ'!$C$6:$C$405,F479,'Istoric_Nativ'!$F$6:$F$405,G479,'Istoric_Nativ'!$D$6:$D$405,"&lt;"&amp;J479,'Istoric_Nativ'!$P$6:$P$405,1,'Istoric_Nativ'!$D$6:$D$405,"&gt;="&amp;L479)))/M479)</x:f>
      </x:c>
      <x:c r="P479" s="2" t="n">
        <x:f>'Config_v6'!$B$9</x:f>
        <x:v>3</x:v>
      </x:c>
      <x:c r="Q479" s="2" t="n">
        <x:f>IF(OR(B479="",F479=""),0,IFERROR(MATCH(E479&amp;"|"&amp;F479,SourceTable[Source_Key],0),0))</x:f>
        <x:v>0</x:v>
      </x:c>
      <x:c r="R479" s="2" t="str">
        <x:f>IF(B479="","",IF(F479="","UNUSED",IF(Q479=0,"NOT CHECKED",IF(COUNTIF(SourceTable[Source_Key],E479&amp;"|"&amp;F479)&lt;&gt;1,"SOURCE CONFLICT",IF(NOT(OR(INDEX(SourceTable[Status],MAX(1,Q479))="IMPORTED",INDEX(SourceTable[Status],MAX(1,Q479))="PARTIAL",INDEX(SourceTable[Status],MAX(1,Q479))="SOURCE CONFLICT")),"ACCESS BLOCKED",IF(OR(INDEX(SourceTable[Coverage],Q479)&lt;&gt;"FULL SEASON EXPORT",INDEX(SourceTable[URL],Q479)="",INDEX(SourceTable[SHA256],Q479)=""),"EVIDENCE INCOMPLETE",IF(AND('Input_Meci'!H45="LIVE",INDEX(SourceTable[Retrieved_UTC],Q479)&gt;'Input_Meci'!G45),"POST CUTOFF","CLOSED")))))))</x:f>
      </x:c>
      <x:c r="S479" s="2" t="n">
        <x:f>IF(OR(B479="",F479=""),0,COUNTIFS('Istoric_Nativ'!$B$6:$B$405,E479,'Istoric_Nativ'!$C$6:$C$405,F479,'Istoric_Nativ'!$E$6:$E$405,G479,'Istoric_Nativ'!$D$6:$D$405,"&lt;"&amp;J479,'Istoric_Nativ'!$O$6:$O$405,"INVALID")+COUNTIFS('Istoric_Nativ'!$B$6:$B$405,E479,'Istoric_Nativ'!$C$6:$C$405,F479,'Istoric_Nativ'!$E$6:$E$405,G479,'Istoric_Nativ'!$O$6:$O$405,"INVALID",'Istoric_Nativ'!$D$6:$D$405,"*")+COUNTIFS('Istoric_Nativ'!$B$6:$B$405,E479,'Istoric_Nativ'!$C$6:$C$405,F479,'Istoric_Nativ'!$E$6:$E$405,G479,'Istoric_Nativ'!$D$6:$D$405,"&lt;"&amp;J479,'Istoric_Nativ'!$O$6:$O$405,"SOURCE CONFLICT")+COUNTIFS('Istoric_Nativ'!$B$6:$B$405,E479,'Istoric_Nativ'!$C$6:$C$405,F479,'Istoric_Nativ'!$F$6:$F$405,G479,'Istoric_Nativ'!$D$6:$D$405,"&lt;"&amp;J479,'Istoric_Nativ'!$O$6:$O$405,"INVALID")+COUNTIFS('Istoric_Nativ'!$B$6:$B$405,E479,'Istoric_Nativ'!$C$6:$C$405,F479,'Istoric_Nativ'!$F$6:$F$405,G479,'Istoric_Nativ'!$O$6:$O$405,"INVALID",'Istoric_Nativ'!$D$6:$D$405,"*")+COUNTIFS('Istoric_Nativ'!$B$6:$B$405,E479,'Istoric_Nativ'!$C$6:$C$405,F479,'Istoric_Nativ'!$F$6:$F$405,G479,'Istoric_Nativ'!$D$6:$D$405,"&lt;"&amp;J479,'Istoric_Nativ'!$O$6:$O$405,"SOURCE CONFLICT"))</x:f>
        <x:v>0</x:v>
      </x:c>
      <x:c r="T479" s="2" t="str">
        <x:f>IF(B479="","",IF(R479&lt;&gt;"CLOSED",R479,IF(S479&gt;0,"NATIVE INPUT ISSUE",IF(M479=0,"NO HISTORY",IF(M479&lt;P479,"SMALL SAMPLE","DERIVED")))))</x:f>
      </x:c>
      <x:c r="U479" s="2" t="str">
        <x:f>IF(B479="","","NativeTable; "&amp;E479&amp;"; "&amp;F479&amp;"; "&amp;G479&amp;"; "&amp;H479&amp;"; before "&amp;TEXT(J479,"yyyy-mm-dd")&amp;IF(I479="RECENT","; from "&amp;TEXT(L479,"yyyy-mm-dd"),""))</x:f>
      </x:c>
    </x:row>
    <x:row r="480" ht="21" customHeight="1">
      <x:c r="A480" s="2" t="n">
        <x:v>40</x:v>
      </x:c>
      <x:c r="B480" s="2" t="str">
        <x:f>IF('Input_Meci'!A45="","",'Input_Meci'!A45)</x:f>
      </x:c>
      <x:c r="C480" s="2" t="str">
        <x:v>H</x:v>
      </x:c>
      <x:c r="D480" s="2" t="str">
        <x:v>PRIOR</x:v>
      </x:c>
      <x:c r="E480" s="2" t="str">
        <x:f>IF(B480="","",'Input_Meci'!B45)</x:f>
      </x:c>
      <x:c r="F480" s="2" t="str">
        <x:f>IF(B480="","",IF('Input_Meci'!K45="","",'Input_Meci'!K45))</x:f>
      </x:c>
      <x:c r="G480" s="2" t="str">
        <x:f>IF(B480="","",'Input_Meci'!D45)</x:f>
      </x:c>
      <x:c r="H480" s="2" t="str">
        <x:v>ANY</x:v>
      </x:c>
      <x:c r="I480" s="2" t="str">
        <x:v>SEASON</x:v>
      </x:c>
      <x:c r="J480" s="9" t="n">
        <x:f>IF(AND(B480&lt;&gt;"",ISNUMBER('Input_Meci'!G45)),INT('Input_Meci'!G45),0)</x:f>
        <x:v>0</x:v>
      </x:c>
      <x:c r="K480" s="2" t="n">
        <x:f>IF(OR(B480="",F480=""),0,IF(H480="HOME",COUNTIFS('Istoric_Nativ'!$B$6:$B$405,E480,'Istoric_Nativ'!$C$6:$C$405,F480,'Istoric_Nativ'!$E$6:$E$405,G480,'Istoric_Nativ'!$D$6:$D$405,"&lt;"&amp;J480,'Istoric_Nativ'!$P$6:$P$405,1),IF(H480="AWAY",COUNTIFS('Istoric_Nativ'!$B$6:$B$405,E480,'Istoric_Nativ'!$C$6:$C$405,F480,'Istoric_Nativ'!$F$6:$F$405,G480,'Istoric_Nativ'!$D$6:$D$405,"&lt;"&amp;J480,'Istoric_Nativ'!$P$6:$P$405,1),COUNTIFS('Istoric_Nativ'!$B$6:$B$405,E480,'Istoric_Nativ'!$C$6:$C$405,F480,'Istoric_Nativ'!$E$6:$E$405,G480,'Istoric_Nativ'!$D$6:$D$405,"&lt;"&amp;J480,'Istoric_Nativ'!$P$6:$P$405,1)+COUNTIFS('Istoric_Nativ'!$B$6:$B$405,E480,'Istoric_Nativ'!$C$6:$C$405,F480,'Istoric_Nativ'!$F$6:$F$405,G480,'Istoric_Nativ'!$D$6:$D$405,"&lt;"&amp;J480,'Istoric_Nativ'!$P$6:$P$405,1))))</x:f>
        <x:v>0</x:v>
      </x:c>
      <x:c r="L480" s="17" t="n">
        <x:f>IF(AND(B480&lt;&gt;"",I480="RECENT",K480&gt;0),LARGE(_xlfn._xlws.FILTER('Istoric_Nativ'!$D$6:$D$405,('Istoric_Nativ'!$B$6:$B$405=E480)*('Istoric_Nativ'!$C$6:$C$405=F480)*('Istoric_Nativ'!$P$6:$P$405=1)*('Istoric_Nativ'!$D$6:$D$405&lt;J480)*((('Istoric_Nativ'!$E$6:$E$405=G480)+('Istoric_Nativ'!$F$6:$F$405=G480))&gt;0)),MIN('Config_v6'!$B$54,K480)),0)</x:f>
        <x:v>0</x:v>
      </x:c>
      <x:c r="M480" s="2" t="n">
        <x:f>IF(OR(B480="",F480=""),0,IF(H480="HOME",COUNTIFS('Istoric_Nativ'!$B$6:$B$405,E480,'Istoric_Nativ'!$C$6:$C$405,F480,'Istoric_Nativ'!$E$6:$E$405,G480,'Istoric_Nativ'!$D$6:$D$405,"&lt;"&amp;J480,'Istoric_Nativ'!$P$6:$P$405,1,'Istoric_Nativ'!$D$6:$D$405,"&gt;="&amp;L480),IF(H480="AWAY",COUNTIFS('Istoric_Nativ'!$B$6:$B$405,E480,'Istoric_Nativ'!$C$6:$C$405,F480,'Istoric_Nativ'!$F$6:$F$405,G480,'Istoric_Nativ'!$D$6:$D$405,"&lt;"&amp;J480,'Istoric_Nativ'!$P$6:$P$405,1,'Istoric_Nativ'!$D$6:$D$405,"&gt;="&amp;L480),COUNTIFS('Istoric_Nativ'!$B$6:$B$405,E480,'Istoric_Nativ'!$C$6:$C$405,F480,'Istoric_Nativ'!$E$6:$E$405,G480,'Istoric_Nativ'!$D$6:$D$405,"&lt;"&amp;J480,'Istoric_Nativ'!$P$6:$P$405,1,'Istoric_Nativ'!$D$6:$D$405,"&gt;="&amp;L480)+COUNTIFS('Istoric_Nativ'!$B$6:$B$405,E480,'Istoric_Nativ'!$C$6:$C$405,F480,'Istoric_Nativ'!$F$6:$F$405,G480,'Istoric_Nativ'!$D$6:$D$405,"&lt;"&amp;J480,'Istoric_Nativ'!$P$6:$P$405,1,'Istoric_Nativ'!$D$6:$D$405,"&gt;="&amp;L480))))</x:f>
        <x:v>0</x:v>
      </x:c>
      <x:c r="N480" s="11" t="str">
        <x:f>IF(M480=0,"",IF(H480="HOME",SUMIFS('Istoric_Nativ'!$G$6:$G$405,'Istoric_Nativ'!$B$6:$B$405,E480,'Istoric_Nativ'!$C$6:$C$405,F480,'Istoric_Nativ'!$E$6:$E$405,G480,'Istoric_Nativ'!$D$6:$D$405,"&lt;"&amp;J480,'Istoric_Nativ'!$P$6:$P$405,1,'Istoric_Nativ'!$D$6:$D$405,"&gt;="&amp;L480),IF(H480="AWAY",SUMIFS('Istoric_Nativ'!$H$6:$H$405,'Istoric_Nativ'!$B$6:$B$405,E480,'Istoric_Nativ'!$C$6:$C$405,F480,'Istoric_Nativ'!$F$6:$F$405,G480,'Istoric_Nativ'!$D$6:$D$405,"&lt;"&amp;J480,'Istoric_Nativ'!$P$6:$P$405,1,'Istoric_Nativ'!$D$6:$D$405,"&gt;="&amp;L480),SUMIFS('Istoric_Nativ'!$G$6:$G$405,'Istoric_Nativ'!$B$6:$B$405,E480,'Istoric_Nativ'!$C$6:$C$405,F480,'Istoric_Nativ'!$E$6:$E$405,G480,'Istoric_Nativ'!$D$6:$D$405,"&lt;"&amp;J480,'Istoric_Nativ'!$P$6:$P$405,1,'Istoric_Nativ'!$D$6:$D$405,"&gt;="&amp;L480)+SUMIFS('Istoric_Nativ'!$H$6:$H$405,'Istoric_Nativ'!$B$6:$B$405,E480,'Istoric_Nativ'!$C$6:$C$405,F480,'Istoric_Nativ'!$F$6:$F$405,G480,'Istoric_Nativ'!$D$6:$D$405,"&lt;"&amp;J480,'Istoric_Nativ'!$P$6:$P$405,1,'Istoric_Nativ'!$D$6:$D$405,"&gt;="&amp;L480)))/M480)</x:f>
      </x:c>
      <x:c r="O480" s="11" t="str">
        <x:f>IF(M480=0,"",IF(H480="HOME",SUMIFS('Istoric_Nativ'!$H$6:$H$405,'Istoric_Nativ'!$B$6:$B$405,E480,'Istoric_Nativ'!$C$6:$C$405,F480,'Istoric_Nativ'!$E$6:$E$405,G480,'Istoric_Nativ'!$D$6:$D$405,"&lt;"&amp;J480,'Istoric_Nativ'!$P$6:$P$405,1,'Istoric_Nativ'!$D$6:$D$405,"&gt;="&amp;L480),IF(H480="AWAY",SUMIFS('Istoric_Nativ'!$G$6:$G$405,'Istoric_Nativ'!$B$6:$B$405,E480,'Istoric_Nativ'!$C$6:$C$405,F480,'Istoric_Nativ'!$F$6:$F$405,G480,'Istoric_Nativ'!$D$6:$D$405,"&lt;"&amp;J480,'Istoric_Nativ'!$P$6:$P$405,1,'Istoric_Nativ'!$D$6:$D$405,"&gt;="&amp;L480),SUMIFS('Istoric_Nativ'!$H$6:$H$405,'Istoric_Nativ'!$B$6:$B$405,E480,'Istoric_Nativ'!$C$6:$C$405,F480,'Istoric_Nativ'!$E$6:$E$405,G480,'Istoric_Nativ'!$D$6:$D$405,"&lt;"&amp;J480,'Istoric_Nativ'!$P$6:$P$405,1,'Istoric_Nativ'!$D$6:$D$405,"&gt;="&amp;L480)+SUMIFS('Istoric_Nativ'!$G$6:$G$405,'Istoric_Nativ'!$B$6:$B$405,E480,'Istoric_Nativ'!$C$6:$C$405,F480,'Istoric_Nativ'!$F$6:$F$405,G480,'Istoric_Nativ'!$D$6:$D$405,"&lt;"&amp;J480,'Istoric_Nativ'!$P$6:$P$405,1,'Istoric_Nativ'!$D$6:$D$405,"&gt;="&amp;L480)))/M480)</x:f>
      </x:c>
      <x:c r="P480" s="2" t="n">
        <x:f>'Config_v6'!$B$7</x:f>
        <x:v>10</x:v>
      </x:c>
      <x:c r="Q480" s="2" t="n">
        <x:f>IF(OR(B480="",F480=""),0,IFERROR(MATCH(E480&amp;"|"&amp;F480,SourceTable[Source_Key],0),0))</x:f>
        <x:v>0</x:v>
      </x:c>
      <x:c r="R480" s="2" t="str">
        <x:f>IF(B480="","",IF(F480="","UNUSED",IF(Q480=0,"NOT CHECKED",IF(COUNTIF(SourceTable[Source_Key],E480&amp;"|"&amp;F480)&lt;&gt;1,"SOURCE CONFLICT",IF(NOT(OR(INDEX(SourceTable[Status],MAX(1,Q480))="IMPORTED",INDEX(SourceTable[Status],MAX(1,Q480))="PARTIAL",INDEX(SourceTable[Status],MAX(1,Q480))="SOURCE CONFLICT")),"ACCESS BLOCKED",IF(OR(INDEX(SourceTable[Coverage],Q480)&lt;&gt;"FULL SEASON EXPORT",INDEX(SourceTable[URL],Q480)="",INDEX(SourceTable[SHA256],Q480)=""),"EVIDENCE INCOMPLETE",IF(AND('Input_Meci'!H45="LIVE",INDEX(SourceTable[Retrieved_UTC],Q480)&gt;'Input_Meci'!G45),"POST CUTOFF","CLOSED")))))))</x:f>
      </x:c>
      <x:c r="S480" s="2" t="n">
        <x:f>IF(OR(B480="",F480=""),0,COUNTIFS('Istoric_Nativ'!$B$6:$B$405,E480,'Istoric_Nativ'!$C$6:$C$405,F480,'Istoric_Nativ'!$E$6:$E$405,G480,'Istoric_Nativ'!$D$6:$D$405,"&lt;"&amp;J480,'Istoric_Nativ'!$O$6:$O$405,"INVALID")+COUNTIFS('Istoric_Nativ'!$B$6:$B$405,E480,'Istoric_Nativ'!$C$6:$C$405,F480,'Istoric_Nativ'!$E$6:$E$405,G480,'Istoric_Nativ'!$O$6:$O$405,"INVALID",'Istoric_Nativ'!$D$6:$D$405,"*")+COUNTIFS('Istoric_Nativ'!$B$6:$B$405,E480,'Istoric_Nativ'!$C$6:$C$405,F480,'Istoric_Nativ'!$E$6:$E$405,G480,'Istoric_Nativ'!$D$6:$D$405,"&lt;"&amp;J480,'Istoric_Nativ'!$O$6:$O$405,"SOURCE CONFLICT")+COUNTIFS('Istoric_Nativ'!$B$6:$B$405,E480,'Istoric_Nativ'!$C$6:$C$405,F480,'Istoric_Nativ'!$F$6:$F$405,G480,'Istoric_Nativ'!$D$6:$D$405,"&lt;"&amp;J480,'Istoric_Nativ'!$O$6:$O$405,"INVALID")+COUNTIFS('Istoric_Nativ'!$B$6:$B$405,E480,'Istoric_Nativ'!$C$6:$C$405,F480,'Istoric_Nativ'!$F$6:$F$405,G480,'Istoric_Nativ'!$O$6:$O$405,"INVALID",'Istoric_Nativ'!$D$6:$D$405,"*")+COUNTIFS('Istoric_Nativ'!$B$6:$B$405,E480,'Istoric_Nativ'!$C$6:$C$405,F480,'Istoric_Nativ'!$F$6:$F$405,G480,'Istoric_Nativ'!$D$6:$D$405,"&lt;"&amp;J480,'Istoric_Nativ'!$O$6:$O$405,"SOURCE CONFLICT"))</x:f>
        <x:v>0</x:v>
      </x:c>
      <x:c r="T480" s="2" t="str">
        <x:f>IF(B480="","",IF(R480&lt;&gt;"CLOSED",R480,IF(S480&gt;0,"NATIVE INPUT ISSUE",IF(M480=0,"NO HISTORY",IF(M480&lt;P480,"SMALL SAMPLE","DERIVED")))))</x:f>
      </x:c>
      <x:c r="U480" s="2" t="str">
        <x:f>IF(B480="","","NativeTable; "&amp;E480&amp;"; "&amp;F480&amp;"; "&amp;G480&amp;"; "&amp;H480&amp;"; before "&amp;TEXT(J480,"yyyy-mm-dd")&amp;IF(I480="RECENT","; from "&amp;TEXT(L480,"yyyy-mm-dd"),""))</x:f>
      </x:c>
    </x:row>
    <x:row r="481" ht="21" customHeight="1">
      <x:c r="A481" s="2" t="n">
        <x:v>40</x:v>
      </x:c>
      <x:c r="B481" s="2" t="str">
        <x:f>IF('Input_Meci'!A45="","",'Input_Meci'!A45)</x:f>
      </x:c>
      <x:c r="C481" s="2" t="str">
        <x:v>H</x:v>
      </x:c>
      <x:c r="D481" s="2" t="str">
        <x:v>PRIOR</x:v>
      </x:c>
      <x:c r="E481" s="2" t="str">
        <x:f>IF(B481="","",'Input_Meci'!B45)</x:f>
      </x:c>
      <x:c r="F481" s="2" t="str">
        <x:f>IF(B481="","",IF('Input_Meci'!K45="","",'Input_Meci'!K45))</x:f>
      </x:c>
      <x:c r="G481" s="2" t="str">
        <x:f>IF(B481="","",'Input_Meci'!D45)</x:f>
      </x:c>
      <x:c r="H481" s="2" t="str">
        <x:v>HOME</x:v>
      </x:c>
      <x:c r="I481" s="2" t="str">
        <x:v>HA</x:v>
      </x:c>
      <x:c r="J481" s="9" t="n">
        <x:f>IF(AND(B481&lt;&gt;"",ISNUMBER('Input_Meci'!G45)),INT('Input_Meci'!G45),0)</x:f>
        <x:v>0</x:v>
      </x:c>
      <x:c r="K481" s="2" t="n">
        <x:f>IF(OR(B481="",F481=""),0,IF(H481="HOME",COUNTIFS('Istoric_Nativ'!$B$6:$B$405,E481,'Istoric_Nativ'!$C$6:$C$405,F481,'Istoric_Nativ'!$E$6:$E$405,G481,'Istoric_Nativ'!$D$6:$D$405,"&lt;"&amp;J481,'Istoric_Nativ'!$P$6:$P$405,1),IF(H481="AWAY",COUNTIFS('Istoric_Nativ'!$B$6:$B$405,E481,'Istoric_Nativ'!$C$6:$C$405,F481,'Istoric_Nativ'!$F$6:$F$405,G481,'Istoric_Nativ'!$D$6:$D$405,"&lt;"&amp;J481,'Istoric_Nativ'!$P$6:$P$405,1),COUNTIFS('Istoric_Nativ'!$B$6:$B$405,E481,'Istoric_Nativ'!$C$6:$C$405,F481,'Istoric_Nativ'!$E$6:$E$405,G481,'Istoric_Nativ'!$D$6:$D$405,"&lt;"&amp;J481,'Istoric_Nativ'!$P$6:$P$405,1)+COUNTIFS('Istoric_Nativ'!$B$6:$B$405,E481,'Istoric_Nativ'!$C$6:$C$405,F481,'Istoric_Nativ'!$F$6:$F$405,G481,'Istoric_Nativ'!$D$6:$D$405,"&lt;"&amp;J481,'Istoric_Nativ'!$P$6:$P$405,1))))</x:f>
        <x:v>0</x:v>
      </x:c>
      <x:c r="L481" s="17" t="n">
        <x:f>IF(AND(B481&lt;&gt;"",I481="RECENT",K481&gt;0),LARGE(_xlfn._xlws.FILTER('Istoric_Nativ'!$D$6:$D$405,('Istoric_Nativ'!$B$6:$B$405=E481)*('Istoric_Nativ'!$C$6:$C$405=F481)*('Istoric_Nativ'!$P$6:$P$405=1)*('Istoric_Nativ'!$D$6:$D$405&lt;J481)*((('Istoric_Nativ'!$E$6:$E$405=G481)+('Istoric_Nativ'!$F$6:$F$405=G481))&gt;0)),MIN('Config_v6'!$B$54,K481)),0)</x:f>
        <x:v>0</x:v>
      </x:c>
      <x:c r="M481" s="2" t="n">
        <x:f>IF(OR(B481="",F481=""),0,IF(H481="HOME",COUNTIFS('Istoric_Nativ'!$B$6:$B$405,E481,'Istoric_Nativ'!$C$6:$C$405,F481,'Istoric_Nativ'!$E$6:$E$405,G481,'Istoric_Nativ'!$D$6:$D$405,"&lt;"&amp;J481,'Istoric_Nativ'!$P$6:$P$405,1,'Istoric_Nativ'!$D$6:$D$405,"&gt;="&amp;L481),IF(H481="AWAY",COUNTIFS('Istoric_Nativ'!$B$6:$B$405,E481,'Istoric_Nativ'!$C$6:$C$405,F481,'Istoric_Nativ'!$F$6:$F$405,G481,'Istoric_Nativ'!$D$6:$D$405,"&lt;"&amp;J481,'Istoric_Nativ'!$P$6:$P$405,1,'Istoric_Nativ'!$D$6:$D$405,"&gt;="&amp;L481),COUNTIFS('Istoric_Nativ'!$B$6:$B$405,E481,'Istoric_Nativ'!$C$6:$C$405,F481,'Istoric_Nativ'!$E$6:$E$405,G481,'Istoric_Nativ'!$D$6:$D$405,"&lt;"&amp;J481,'Istoric_Nativ'!$P$6:$P$405,1,'Istoric_Nativ'!$D$6:$D$405,"&gt;="&amp;L481)+COUNTIFS('Istoric_Nativ'!$B$6:$B$405,E481,'Istoric_Nativ'!$C$6:$C$405,F481,'Istoric_Nativ'!$F$6:$F$405,G481,'Istoric_Nativ'!$D$6:$D$405,"&lt;"&amp;J481,'Istoric_Nativ'!$P$6:$P$405,1,'Istoric_Nativ'!$D$6:$D$405,"&gt;="&amp;L481))))</x:f>
        <x:v>0</x:v>
      </x:c>
      <x:c r="N481" s="11" t="str">
        <x:f>IF(M481=0,"",IF(H481="HOME",SUMIFS('Istoric_Nativ'!$G$6:$G$405,'Istoric_Nativ'!$B$6:$B$405,E481,'Istoric_Nativ'!$C$6:$C$405,F481,'Istoric_Nativ'!$E$6:$E$405,G481,'Istoric_Nativ'!$D$6:$D$405,"&lt;"&amp;J481,'Istoric_Nativ'!$P$6:$P$405,1,'Istoric_Nativ'!$D$6:$D$405,"&gt;="&amp;L481),IF(H481="AWAY",SUMIFS('Istoric_Nativ'!$H$6:$H$405,'Istoric_Nativ'!$B$6:$B$405,E481,'Istoric_Nativ'!$C$6:$C$405,F481,'Istoric_Nativ'!$F$6:$F$405,G481,'Istoric_Nativ'!$D$6:$D$405,"&lt;"&amp;J481,'Istoric_Nativ'!$P$6:$P$405,1,'Istoric_Nativ'!$D$6:$D$405,"&gt;="&amp;L481),SUMIFS('Istoric_Nativ'!$G$6:$G$405,'Istoric_Nativ'!$B$6:$B$405,E481,'Istoric_Nativ'!$C$6:$C$405,F481,'Istoric_Nativ'!$E$6:$E$405,G481,'Istoric_Nativ'!$D$6:$D$405,"&lt;"&amp;J481,'Istoric_Nativ'!$P$6:$P$405,1,'Istoric_Nativ'!$D$6:$D$405,"&gt;="&amp;L481)+SUMIFS('Istoric_Nativ'!$H$6:$H$405,'Istoric_Nativ'!$B$6:$B$405,E481,'Istoric_Nativ'!$C$6:$C$405,F481,'Istoric_Nativ'!$F$6:$F$405,G481,'Istoric_Nativ'!$D$6:$D$405,"&lt;"&amp;J481,'Istoric_Nativ'!$P$6:$P$405,1,'Istoric_Nativ'!$D$6:$D$405,"&gt;="&amp;L481)))/M481)</x:f>
      </x:c>
      <x:c r="O481" s="11" t="str">
        <x:f>IF(M481=0,"",IF(H481="HOME",SUMIFS('Istoric_Nativ'!$H$6:$H$405,'Istoric_Nativ'!$B$6:$B$405,E481,'Istoric_Nativ'!$C$6:$C$405,F481,'Istoric_Nativ'!$E$6:$E$405,G481,'Istoric_Nativ'!$D$6:$D$405,"&lt;"&amp;J481,'Istoric_Nativ'!$P$6:$P$405,1,'Istoric_Nativ'!$D$6:$D$405,"&gt;="&amp;L481),IF(H481="AWAY",SUMIFS('Istoric_Nativ'!$G$6:$G$405,'Istoric_Nativ'!$B$6:$B$405,E481,'Istoric_Nativ'!$C$6:$C$405,F481,'Istoric_Nativ'!$F$6:$F$405,G481,'Istoric_Nativ'!$D$6:$D$405,"&lt;"&amp;J481,'Istoric_Nativ'!$P$6:$P$405,1,'Istoric_Nativ'!$D$6:$D$405,"&gt;="&amp;L481),SUMIFS('Istoric_Nativ'!$H$6:$H$405,'Istoric_Nativ'!$B$6:$B$405,E481,'Istoric_Nativ'!$C$6:$C$405,F481,'Istoric_Nativ'!$E$6:$E$405,G481,'Istoric_Nativ'!$D$6:$D$405,"&lt;"&amp;J481,'Istoric_Nativ'!$P$6:$P$405,1,'Istoric_Nativ'!$D$6:$D$405,"&gt;="&amp;L481)+SUMIFS('Istoric_Nativ'!$G$6:$G$405,'Istoric_Nativ'!$B$6:$B$405,E481,'Istoric_Nativ'!$C$6:$C$405,F481,'Istoric_Nativ'!$F$6:$F$405,G481,'Istoric_Nativ'!$D$6:$D$405,"&lt;"&amp;J481,'Istoric_Nativ'!$P$6:$P$405,1,'Istoric_Nativ'!$D$6:$D$405,"&gt;="&amp;L481)))/M481)</x:f>
      </x:c>
      <x:c r="P481" s="2" t="n">
        <x:f>'Config_v6'!$B$8</x:f>
        <x:v>5</x:v>
      </x:c>
      <x:c r="Q481" s="2" t="n">
        <x:f>IF(OR(B481="",F481=""),0,IFERROR(MATCH(E481&amp;"|"&amp;F481,SourceTable[Source_Key],0),0))</x:f>
        <x:v>0</x:v>
      </x:c>
      <x:c r="R481" s="2" t="str">
        <x:f>IF(B481="","",IF(F481="","UNUSED",IF(Q481=0,"NOT CHECKED",IF(COUNTIF(SourceTable[Source_Key],E481&amp;"|"&amp;F481)&lt;&gt;1,"SOURCE CONFLICT",IF(NOT(OR(INDEX(SourceTable[Status],MAX(1,Q481))="IMPORTED",INDEX(SourceTable[Status],MAX(1,Q481))="PARTIAL",INDEX(SourceTable[Status],MAX(1,Q481))="SOURCE CONFLICT")),"ACCESS BLOCKED",IF(OR(INDEX(SourceTable[Coverage],Q481)&lt;&gt;"FULL SEASON EXPORT",INDEX(SourceTable[URL],Q481)="",INDEX(SourceTable[SHA256],Q481)=""),"EVIDENCE INCOMPLETE",IF(AND('Input_Meci'!H45="LIVE",INDEX(SourceTable[Retrieved_UTC],Q481)&gt;'Input_Meci'!G45),"POST CUTOFF","CLOSED")))))))</x:f>
      </x:c>
      <x:c r="S481" s="2" t="n">
        <x:f>IF(OR(B481="",F481=""),0,COUNTIFS('Istoric_Nativ'!$B$6:$B$405,E481,'Istoric_Nativ'!$C$6:$C$405,F481,'Istoric_Nativ'!$E$6:$E$405,G481,'Istoric_Nativ'!$D$6:$D$405,"&lt;"&amp;J481,'Istoric_Nativ'!$O$6:$O$405,"INVALID")+COUNTIFS('Istoric_Nativ'!$B$6:$B$405,E481,'Istoric_Nativ'!$C$6:$C$405,F481,'Istoric_Nativ'!$E$6:$E$405,G481,'Istoric_Nativ'!$O$6:$O$405,"INVALID",'Istoric_Nativ'!$D$6:$D$405,"*")+COUNTIFS('Istoric_Nativ'!$B$6:$B$405,E481,'Istoric_Nativ'!$C$6:$C$405,F481,'Istoric_Nativ'!$E$6:$E$405,G481,'Istoric_Nativ'!$D$6:$D$405,"&lt;"&amp;J481,'Istoric_Nativ'!$O$6:$O$405,"SOURCE CONFLICT")+COUNTIFS('Istoric_Nativ'!$B$6:$B$405,E481,'Istoric_Nativ'!$C$6:$C$405,F481,'Istoric_Nativ'!$F$6:$F$405,G481,'Istoric_Nativ'!$D$6:$D$405,"&lt;"&amp;J481,'Istoric_Nativ'!$O$6:$O$405,"INVALID")+COUNTIFS('Istoric_Nativ'!$B$6:$B$405,E481,'Istoric_Nativ'!$C$6:$C$405,F481,'Istoric_Nativ'!$F$6:$F$405,G481,'Istoric_Nativ'!$O$6:$O$405,"INVALID",'Istoric_Nativ'!$D$6:$D$405,"*")+COUNTIFS('Istoric_Nativ'!$B$6:$B$405,E481,'Istoric_Nativ'!$C$6:$C$405,F481,'Istoric_Nativ'!$F$6:$F$405,G481,'Istoric_Nativ'!$D$6:$D$405,"&lt;"&amp;J481,'Istoric_Nativ'!$O$6:$O$405,"SOURCE CONFLICT"))</x:f>
        <x:v>0</x:v>
      </x:c>
      <x:c r="T481" s="2" t="str">
        <x:f>IF(B481="","",IF(R481&lt;&gt;"CLOSED",R481,IF(S481&gt;0,"NATIVE INPUT ISSUE",IF(M481=0,"NO HISTORY",IF(M481&lt;P481,"SMALL SAMPLE","DERIVED")))))</x:f>
      </x:c>
      <x:c r="U481" s="2" t="str">
        <x:f>IF(B481="","","NativeTable; "&amp;E481&amp;"; "&amp;F481&amp;"; "&amp;G481&amp;"; "&amp;H481&amp;"; before "&amp;TEXT(J481,"yyyy-mm-dd")&amp;IF(I481="RECENT","; from "&amp;TEXT(L481,"yyyy-mm-dd"),""))</x:f>
      </x:c>
    </x:row>
    <x:row r="482" ht="21" customHeight="1">
      <x:c r="A482" s="2" t="n">
        <x:v>40</x:v>
      </x:c>
      <x:c r="B482" s="2" t="str">
        <x:f>IF('Input_Meci'!A45="","",'Input_Meci'!A45)</x:f>
      </x:c>
      <x:c r="C482" s="2" t="str">
        <x:v>H</x:v>
      </x:c>
      <x:c r="D482" s="2" t="str">
        <x:v>PRIOR</x:v>
      </x:c>
      <x:c r="E482" s="2" t="str">
        <x:f>IF(B482="","",'Input_Meci'!B45)</x:f>
      </x:c>
      <x:c r="F482" s="2" t="str">
        <x:f>IF(B482="","",IF('Input_Meci'!K45="","",'Input_Meci'!K45))</x:f>
      </x:c>
      <x:c r="G482" s="2" t="str">
        <x:f>IF(B482="","",'Input_Meci'!D45)</x:f>
      </x:c>
      <x:c r="H482" s="2" t="str">
        <x:v>ANY</x:v>
      </x:c>
      <x:c r="I482" s="2" t="str">
        <x:v>RECENT</x:v>
      </x:c>
      <x:c r="J482" s="9" t="n">
        <x:f>IF(AND(B482&lt;&gt;"",ISNUMBER('Input_Meci'!G45)),INT('Input_Meci'!G45),0)</x:f>
        <x:v>0</x:v>
      </x:c>
      <x:c r="K482" s="2" t="n">
        <x:f>IF(OR(B482="",F482=""),0,IF(H482="HOME",COUNTIFS('Istoric_Nativ'!$B$6:$B$405,E482,'Istoric_Nativ'!$C$6:$C$405,F482,'Istoric_Nativ'!$E$6:$E$405,G482,'Istoric_Nativ'!$D$6:$D$405,"&lt;"&amp;J482,'Istoric_Nativ'!$P$6:$P$405,1),IF(H482="AWAY",COUNTIFS('Istoric_Nativ'!$B$6:$B$405,E482,'Istoric_Nativ'!$C$6:$C$405,F482,'Istoric_Nativ'!$F$6:$F$405,G482,'Istoric_Nativ'!$D$6:$D$405,"&lt;"&amp;J482,'Istoric_Nativ'!$P$6:$P$405,1),COUNTIFS('Istoric_Nativ'!$B$6:$B$405,E482,'Istoric_Nativ'!$C$6:$C$405,F482,'Istoric_Nativ'!$E$6:$E$405,G482,'Istoric_Nativ'!$D$6:$D$405,"&lt;"&amp;J482,'Istoric_Nativ'!$P$6:$P$405,1)+COUNTIFS('Istoric_Nativ'!$B$6:$B$405,E482,'Istoric_Nativ'!$C$6:$C$405,F482,'Istoric_Nativ'!$F$6:$F$405,G482,'Istoric_Nativ'!$D$6:$D$405,"&lt;"&amp;J482,'Istoric_Nativ'!$P$6:$P$405,1))))</x:f>
        <x:v>0</x:v>
      </x:c>
      <x:c r="L482" s="17" t="n">
        <x:f>IF(AND(B482&lt;&gt;"",I482="RECENT",K482&gt;0),LARGE(_xlfn._xlws.FILTER('Istoric_Nativ'!$D$6:$D$405,('Istoric_Nativ'!$B$6:$B$405=E482)*('Istoric_Nativ'!$C$6:$C$405=F482)*('Istoric_Nativ'!$P$6:$P$405=1)*('Istoric_Nativ'!$D$6:$D$405&lt;J482)*((('Istoric_Nativ'!$E$6:$E$405=G482)+('Istoric_Nativ'!$F$6:$F$405=G482))&gt;0)),MIN('Config_v6'!$B$54,K482)),0)</x:f>
        <x:v>0</x:v>
      </x:c>
      <x:c r="M482" s="2" t="n">
        <x:f>IF(OR(B482="",F482=""),0,IF(H482="HOME",COUNTIFS('Istoric_Nativ'!$B$6:$B$405,E482,'Istoric_Nativ'!$C$6:$C$405,F482,'Istoric_Nativ'!$E$6:$E$405,G482,'Istoric_Nativ'!$D$6:$D$405,"&lt;"&amp;J482,'Istoric_Nativ'!$P$6:$P$405,1,'Istoric_Nativ'!$D$6:$D$405,"&gt;="&amp;L482),IF(H482="AWAY",COUNTIFS('Istoric_Nativ'!$B$6:$B$405,E482,'Istoric_Nativ'!$C$6:$C$405,F482,'Istoric_Nativ'!$F$6:$F$405,G482,'Istoric_Nativ'!$D$6:$D$405,"&lt;"&amp;J482,'Istoric_Nativ'!$P$6:$P$405,1,'Istoric_Nativ'!$D$6:$D$405,"&gt;="&amp;L482),COUNTIFS('Istoric_Nativ'!$B$6:$B$405,E482,'Istoric_Nativ'!$C$6:$C$405,F482,'Istoric_Nativ'!$E$6:$E$405,G482,'Istoric_Nativ'!$D$6:$D$405,"&lt;"&amp;J482,'Istoric_Nativ'!$P$6:$P$405,1,'Istoric_Nativ'!$D$6:$D$405,"&gt;="&amp;L482)+COUNTIFS('Istoric_Nativ'!$B$6:$B$405,E482,'Istoric_Nativ'!$C$6:$C$405,F482,'Istoric_Nativ'!$F$6:$F$405,G482,'Istoric_Nativ'!$D$6:$D$405,"&lt;"&amp;J482,'Istoric_Nativ'!$P$6:$P$405,1,'Istoric_Nativ'!$D$6:$D$405,"&gt;="&amp;L482))))</x:f>
        <x:v>0</x:v>
      </x:c>
      <x:c r="N482" s="11" t="str">
        <x:f>IF(M482=0,"",IF(H482="HOME",SUMIFS('Istoric_Nativ'!$G$6:$G$405,'Istoric_Nativ'!$B$6:$B$405,E482,'Istoric_Nativ'!$C$6:$C$405,F482,'Istoric_Nativ'!$E$6:$E$405,G482,'Istoric_Nativ'!$D$6:$D$405,"&lt;"&amp;J482,'Istoric_Nativ'!$P$6:$P$405,1,'Istoric_Nativ'!$D$6:$D$405,"&gt;="&amp;L482),IF(H482="AWAY",SUMIFS('Istoric_Nativ'!$H$6:$H$405,'Istoric_Nativ'!$B$6:$B$405,E482,'Istoric_Nativ'!$C$6:$C$405,F482,'Istoric_Nativ'!$F$6:$F$405,G482,'Istoric_Nativ'!$D$6:$D$405,"&lt;"&amp;J482,'Istoric_Nativ'!$P$6:$P$405,1,'Istoric_Nativ'!$D$6:$D$405,"&gt;="&amp;L482),SUMIFS('Istoric_Nativ'!$G$6:$G$405,'Istoric_Nativ'!$B$6:$B$405,E482,'Istoric_Nativ'!$C$6:$C$405,F482,'Istoric_Nativ'!$E$6:$E$405,G482,'Istoric_Nativ'!$D$6:$D$405,"&lt;"&amp;J482,'Istoric_Nativ'!$P$6:$P$405,1,'Istoric_Nativ'!$D$6:$D$405,"&gt;="&amp;L482)+SUMIFS('Istoric_Nativ'!$H$6:$H$405,'Istoric_Nativ'!$B$6:$B$405,E482,'Istoric_Nativ'!$C$6:$C$405,F482,'Istoric_Nativ'!$F$6:$F$405,G482,'Istoric_Nativ'!$D$6:$D$405,"&lt;"&amp;J482,'Istoric_Nativ'!$P$6:$P$405,1,'Istoric_Nativ'!$D$6:$D$405,"&gt;="&amp;L482)))/M482)</x:f>
      </x:c>
      <x:c r="O482" s="11" t="str">
        <x:f>IF(M482=0,"",IF(H482="HOME",SUMIFS('Istoric_Nativ'!$H$6:$H$405,'Istoric_Nativ'!$B$6:$B$405,E482,'Istoric_Nativ'!$C$6:$C$405,F482,'Istoric_Nativ'!$E$6:$E$405,G482,'Istoric_Nativ'!$D$6:$D$405,"&lt;"&amp;J482,'Istoric_Nativ'!$P$6:$P$405,1,'Istoric_Nativ'!$D$6:$D$405,"&gt;="&amp;L482),IF(H482="AWAY",SUMIFS('Istoric_Nativ'!$G$6:$G$405,'Istoric_Nativ'!$B$6:$B$405,E482,'Istoric_Nativ'!$C$6:$C$405,F482,'Istoric_Nativ'!$F$6:$F$405,G482,'Istoric_Nativ'!$D$6:$D$405,"&lt;"&amp;J482,'Istoric_Nativ'!$P$6:$P$405,1,'Istoric_Nativ'!$D$6:$D$405,"&gt;="&amp;L482),SUMIFS('Istoric_Nativ'!$H$6:$H$405,'Istoric_Nativ'!$B$6:$B$405,E482,'Istoric_Nativ'!$C$6:$C$405,F482,'Istoric_Nativ'!$E$6:$E$405,G482,'Istoric_Nativ'!$D$6:$D$405,"&lt;"&amp;J482,'Istoric_Nativ'!$P$6:$P$405,1,'Istoric_Nativ'!$D$6:$D$405,"&gt;="&amp;L482)+SUMIFS('Istoric_Nativ'!$G$6:$G$405,'Istoric_Nativ'!$B$6:$B$405,E482,'Istoric_Nativ'!$C$6:$C$405,F482,'Istoric_Nativ'!$F$6:$F$405,G482,'Istoric_Nativ'!$D$6:$D$405,"&lt;"&amp;J482,'Istoric_Nativ'!$P$6:$P$405,1,'Istoric_Nativ'!$D$6:$D$405,"&gt;="&amp;L482)))/M482)</x:f>
      </x:c>
      <x:c r="P482" s="2" t="n">
        <x:f>'Config_v6'!$B$9</x:f>
        <x:v>3</x:v>
      </x:c>
      <x:c r="Q482" s="2" t="n">
        <x:f>IF(OR(B482="",F482=""),0,IFERROR(MATCH(E482&amp;"|"&amp;F482,SourceTable[Source_Key],0),0))</x:f>
        <x:v>0</x:v>
      </x:c>
      <x:c r="R482" s="2" t="str">
        <x:f>IF(B482="","",IF(F482="","UNUSED",IF(Q482=0,"NOT CHECKED",IF(COUNTIF(SourceTable[Source_Key],E482&amp;"|"&amp;F482)&lt;&gt;1,"SOURCE CONFLICT",IF(NOT(OR(INDEX(SourceTable[Status],MAX(1,Q482))="IMPORTED",INDEX(SourceTable[Status],MAX(1,Q482))="PARTIAL",INDEX(SourceTable[Status],MAX(1,Q482))="SOURCE CONFLICT")),"ACCESS BLOCKED",IF(OR(INDEX(SourceTable[Coverage],Q482)&lt;&gt;"FULL SEASON EXPORT",INDEX(SourceTable[URL],Q482)="",INDEX(SourceTable[SHA256],Q482)=""),"EVIDENCE INCOMPLETE",IF(AND('Input_Meci'!H45="LIVE",INDEX(SourceTable[Retrieved_UTC],Q482)&gt;'Input_Meci'!G45),"POST CUTOFF","CLOSED")))))))</x:f>
      </x:c>
      <x:c r="S482" s="2" t="n">
        <x:f>IF(OR(B482="",F482=""),0,COUNTIFS('Istoric_Nativ'!$B$6:$B$405,E482,'Istoric_Nativ'!$C$6:$C$405,F482,'Istoric_Nativ'!$E$6:$E$405,G482,'Istoric_Nativ'!$D$6:$D$405,"&lt;"&amp;J482,'Istoric_Nativ'!$O$6:$O$405,"INVALID")+COUNTIFS('Istoric_Nativ'!$B$6:$B$405,E482,'Istoric_Nativ'!$C$6:$C$405,F482,'Istoric_Nativ'!$E$6:$E$405,G482,'Istoric_Nativ'!$O$6:$O$405,"INVALID",'Istoric_Nativ'!$D$6:$D$405,"*")+COUNTIFS('Istoric_Nativ'!$B$6:$B$405,E482,'Istoric_Nativ'!$C$6:$C$405,F482,'Istoric_Nativ'!$E$6:$E$405,G482,'Istoric_Nativ'!$D$6:$D$405,"&lt;"&amp;J482,'Istoric_Nativ'!$O$6:$O$405,"SOURCE CONFLICT")+COUNTIFS('Istoric_Nativ'!$B$6:$B$405,E482,'Istoric_Nativ'!$C$6:$C$405,F482,'Istoric_Nativ'!$F$6:$F$405,G482,'Istoric_Nativ'!$D$6:$D$405,"&lt;"&amp;J482,'Istoric_Nativ'!$O$6:$O$405,"INVALID")+COUNTIFS('Istoric_Nativ'!$B$6:$B$405,E482,'Istoric_Nativ'!$C$6:$C$405,F482,'Istoric_Nativ'!$F$6:$F$405,G482,'Istoric_Nativ'!$O$6:$O$405,"INVALID",'Istoric_Nativ'!$D$6:$D$405,"*")+COUNTIFS('Istoric_Nativ'!$B$6:$B$405,E482,'Istoric_Nativ'!$C$6:$C$405,F482,'Istoric_Nativ'!$F$6:$F$405,G482,'Istoric_Nativ'!$D$6:$D$405,"&lt;"&amp;J482,'Istoric_Nativ'!$O$6:$O$405,"SOURCE CONFLICT"))</x:f>
        <x:v>0</x:v>
      </x:c>
      <x:c r="T482" s="2" t="str">
        <x:f>IF(B482="","",IF(R482&lt;&gt;"CLOSED",R482,IF(S482&gt;0,"NATIVE INPUT ISSUE",IF(M482=0,"NO HISTORY",IF(M482&lt;P482,"SMALL SAMPLE","DERIVED")))))</x:f>
      </x:c>
      <x:c r="U482" s="2" t="str">
        <x:f>IF(B482="","","NativeTable; "&amp;E482&amp;"; "&amp;F482&amp;"; "&amp;G482&amp;"; "&amp;H482&amp;"; before "&amp;TEXT(J482,"yyyy-mm-dd")&amp;IF(I482="RECENT","; from "&amp;TEXT(L482,"yyyy-mm-dd"),""))</x:f>
      </x:c>
    </x:row>
    <x:row r="483" ht="21" customHeight="1">
      <x:c r="A483" s="2" t="n">
        <x:v>40</x:v>
      </x:c>
      <x:c r="B483" s="2" t="str">
        <x:f>IF('Input_Meci'!A45="","",'Input_Meci'!A45)</x:f>
      </x:c>
      <x:c r="C483" s="2" t="str">
        <x:v>A</x:v>
      </x:c>
      <x:c r="D483" s="2" t="str">
        <x:v>PRIOR</x:v>
      </x:c>
      <x:c r="E483" s="2" t="str">
        <x:f>IF(B483="","",'Input_Meci'!B45)</x:f>
      </x:c>
      <x:c r="F483" s="2" t="str">
        <x:f>IF(B483="","",IF('Input_Meci'!K45="","",'Input_Meci'!K45))</x:f>
      </x:c>
      <x:c r="G483" s="2" t="str">
        <x:f>IF(B483="","",'Input_Meci'!E45)</x:f>
      </x:c>
      <x:c r="H483" s="2" t="str">
        <x:v>ANY</x:v>
      </x:c>
      <x:c r="I483" s="2" t="str">
        <x:v>SEASON</x:v>
      </x:c>
      <x:c r="J483" s="9" t="n">
        <x:f>IF(AND(B483&lt;&gt;"",ISNUMBER('Input_Meci'!G45)),INT('Input_Meci'!G45),0)</x:f>
        <x:v>0</x:v>
      </x:c>
      <x:c r="K483" s="2" t="n">
        <x:f>IF(OR(B483="",F483=""),0,IF(H483="HOME",COUNTIFS('Istoric_Nativ'!$B$6:$B$405,E483,'Istoric_Nativ'!$C$6:$C$405,F483,'Istoric_Nativ'!$E$6:$E$405,G483,'Istoric_Nativ'!$D$6:$D$405,"&lt;"&amp;J483,'Istoric_Nativ'!$P$6:$P$405,1),IF(H483="AWAY",COUNTIFS('Istoric_Nativ'!$B$6:$B$405,E483,'Istoric_Nativ'!$C$6:$C$405,F483,'Istoric_Nativ'!$F$6:$F$405,G483,'Istoric_Nativ'!$D$6:$D$405,"&lt;"&amp;J483,'Istoric_Nativ'!$P$6:$P$405,1),COUNTIFS('Istoric_Nativ'!$B$6:$B$405,E483,'Istoric_Nativ'!$C$6:$C$405,F483,'Istoric_Nativ'!$E$6:$E$405,G483,'Istoric_Nativ'!$D$6:$D$405,"&lt;"&amp;J483,'Istoric_Nativ'!$P$6:$P$405,1)+COUNTIFS('Istoric_Nativ'!$B$6:$B$405,E483,'Istoric_Nativ'!$C$6:$C$405,F483,'Istoric_Nativ'!$F$6:$F$405,G483,'Istoric_Nativ'!$D$6:$D$405,"&lt;"&amp;J483,'Istoric_Nativ'!$P$6:$P$405,1))))</x:f>
        <x:v>0</x:v>
      </x:c>
      <x:c r="L483" s="17" t="n">
        <x:f>IF(AND(B483&lt;&gt;"",I483="RECENT",K483&gt;0),LARGE(_xlfn._xlws.FILTER('Istoric_Nativ'!$D$6:$D$405,('Istoric_Nativ'!$B$6:$B$405=E483)*('Istoric_Nativ'!$C$6:$C$405=F483)*('Istoric_Nativ'!$P$6:$P$405=1)*('Istoric_Nativ'!$D$6:$D$405&lt;J483)*((('Istoric_Nativ'!$E$6:$E$405=G483)+('Istoric_Nativ'!$F$6:$F$405=G483))&gt;0)),MIN('Config_v6'!$B$54,K483)),0)</x:f>
        <x:v>0</x:v>
      </x:c>
      <x:c r="M483" s="2" t="n">
        <x:f>IF(OR(B483="",F483=""),0,IF(H483="HOME",COUNTIFS('Istoric_Nativ'!$B$6:$B$405,E483,'Istoric_Nativ'!$C$6:$C$405,F483,'Istoric_Nativ'!$E$6:$E$405,G483,'Istoric_Nativ'!$D$6:$D$405,"&lt;"&amp;J483,'Istoric_Nativ'!$P$6:$P$405,1,'Istoric_Nativ'!$D$6:$D$405,"&gt;="&amp;L483),IF(H483="AWAY",COUNTIFS('Istoric_Nativ'!$B$6:$B$405,E483,'Istoric_Nativ'!$C$6:$C$405,F483,'Istoric_Nativ'!$F$6:$F$405,G483,'Istoric_Nativ'!$D$6:$D$405,"&lt;"&amp;J483,'Istoric_Nativ'!$P$6:$P$405,1,'Istoric_Nativ'!$D$6:$D$405,"&gt;="&amp;L483),COUNTIFS('Istoric_Nativ'!$B$6:$B$405,E483,'Istoric_Nativ'!$C$6:$C$405,F483,'Istoric_Nativ'!$E$6:$E$405,G483,'Istoric_Nativ'!$D$6:$D$405,"&lt;"&amp;J483,'Istoric_Nativ'!$P$6:$P$405,1,'Istoric_Nativ'!$D$6:$D$405,"&gt;="&amp;L483)+COUNTIFS('Istoric_Nativ'!$B$6:$B$405,E483,'Istoric_Nativ'!$C$6:$C$405,F483,'Istoric_Nativ'!$F$6:$F$405,G483,'Istoric_Nativ'!$D$6:$D$405,"&lt;"&amp;J483,'Istoric_Nativ'!$P$6:$P$405,1,'Istoric_Nativ'!$D$6:$D$405,"&gt;="&amp;L483))))</x:f>
        <x:v>0</x:v>
      </x:c>
      <x:c r="N483" s="11" t="str">
        <x:f>IF(M483=0,"",IF(H483="HOME",SUMIFS('Istoric_Nativ'!$G$6:$G$405,'Istoric_Nativ'!$B$6:$B$405,E483,'Istoric_Nativ'!$C$6:$C$405,F483,'Istoric_Nativ'!$E$6:$E$405,G483,'Istoric_Nativ'!$D$6:$D$405,"&lt;"&amp;J483,'Istoric_Nativ'!$P$6:$P$405,1,'Istoric_Nativ'!$D$6:$D$405,"&gt;="&amp;L483),IF(H483="AWAY",SUMIFS('Istoric_Nativ'!$H$6:$H$405,'Istoric_Nativ'!$B$6:$B$405,E483,'Istoric_Nativ'!$C$6:$C$405,F483,'Istoric_Nativ'!$F$6:$F$405,G483,'Istoric_Nativ'!$D$6:$D$405,"&lt;"&amp;J483,'Istoric_Nativ'!$P$6:$P$405,1,'Istoric_Nativ'!$D$6:$D$405,"&gt;="&amp;L483),SUMIFS('Istoric_Nativ'!$G$6:$G$405,'Istoric_Nativ'!$B$6:$B$405,E483,'Istoric_Nativ'!$C$6:$C$405,F483,'Istoric_Nativ'!$E$6:$E$405,G483,'Istoric_Nativ'!$D$6:$D$405,"&lt;"&amp;J483,'Istoric_Nativ'!$P$6:$P$405,1,'Istoric_Nativ'!$D$6:$D$405,"&gt;="&amp;L483)+SUMIFS('Istoric_Nativ'!$H$6:$H$405,'Istoric_Nativ'!$B$6:$B$405,E483,'Istoric_Nativ'!$C$6:$C$405,F483,'Istoric_Nativ'!$F$6:$F$405,G483,'Istoric_Nativ'!$D$6:$D$405,"&lt;"&amp;J483,'Istoric_Nativ'!$P$6:$P$405,1,'Istoric_Nativ'!$D$6:$D$405,"&gt;="&amp;L483)))/M483)</x:f>
      </x:c>
      <x:c r="O483" s="11" t="str">
        <x:f>IF(M483=0,"",IF(H483="HOME",SUMIFS('Istoric_Nativ'!$H$6:$H$405,'Istoric_Nativ'!$B$6:$B$405,E483,'Istoric_Nativ'!$C$6:$C$405,F483,'Istoric_Nativ'!$E$6:$E$405,G483,'Istoric_Nativ'!$D$6:$D$405,"&lt;"&amp;J483,'Istoric_Nativ'!$P$6:$P$405,1,'Istoric_Nativ'!$D$6:$D$405,"&gt;="&amp;L483),IF(H483="AWAY",SUMIFS('Istoric_Nativ'!$G$6:$G$405,'Istoric_Nativ'!$B$6:$B$405,E483,'Istoric_Nativ'!$C$6:$C$405,F483,'Istoric_Nativ'!$F$6:$F$405,G483,'Istoric_Nativ'!$D$6:$D$405,"&lt;"&amp;J483,'Istoric_Nativ'!$P$6:$P$405,1,'Istoric_Nativ'!$D$6:$D$405,"&gt;="&amp;L483),SUMIFS('Istoric_Nativ'!$H$6:$H$405,'Istoric_Nativ'!$B$6:$B$405,E483,'Istoric_Nativ'!$C$6:$C$405,F483,'Istoric_Nativ'!$E$6:$E$405,G483,'Istoric_Nativ'!$D$6:$D$405,"&lt;"&amp;J483,'Istoric_Nativ'!$P$6:$P$405,1,'Istoric_Nativ'!$D$6:$D$405,"&gt;="&amp;L483)+SUMIFS('Istoric_Nativ'!$G$6:$G$405,'Istoric_Nativ'!$B$6:$B$405,E483,'Istoric_Nativ'!$C$6:$C$405,F483,'Istoric_Nativ'!$F$6:$F$405,G483,'Istoric_Nativ'!$D$6:$D$405,"&lt;"&amp;J483,'Istoric_Nativ'!$P$6:$P$405,1,'Istoric_Nativ'!$D$6:$D$405,"&gt;="&amp;L483)))/M483)</x:f>
      </x:c>
      <x:c r="P483" s="2" t="n">
        <x:f>'Config_v6'!$B$7</x:f>
        <x:v>10</x:v>
      </x:c>
      <x:c r="Q483" s="2" t="n">
        <x:f>IF(OR(B483="",F483=""),0,IFERROR(MATCH(E483&amp;"|"&amp;F483,SourceTable[Source_Key],0),0))</x:f>
        <x:v>0</x:v>
      </x:c>
      <x:c r="R483" s="2" t="str">
        <x:f>IF(B483="","",IF(F483="","UNUSED",IF(Q483=0,"NOT CHECKED",IF(COUNTIF(SourceTable[Source_Key],E483&amp;"|"&amp;F483)&lt;&gt;1,"SOURCE CONFLICT",IF(NOT(OR(INDEX(SourceTable[Status],MAX(1,Q483))="IMPORTED",INDEX(SourceTable[Status],MAX(1,Q483))="PARTIAL",INDEX(SourceTable[Status],MAX(1,Q483))="SOURCE CONFLICT")),"ACCESS BLOCKED",IF(OR(INDEX(SourceTable[Coverage],Q483)&lt;&gt;"FULL SEASON EXPORT",INDEX(SourceTable[URL],Q483)="",INDEX(SourceTable[SHA256],Q483)=""),"EVIDENCE INCOMPLETE",IF(AND('Input_Meci'!H45="LIVE",INDEX(SourceTable[Retrieved_UTC],Q483)&gt;'Input_Meci'!G45),"POST CUTOFF","CLOSED")))))))</x:f>
      </x:c>
      <x:c r="S483" s="2" t="n">
        <x:f>IF(OR(B483="",F483=""),0,COUNTIFS('Istoric_Nativ'!$B$6:$B$405,E483,'Istoric_Nativ'!$C$6:$C$405,F483,'Istoric_Nativ'!$E$6:$E$405,G483,'Istoric_Nativ'!$D$6:$D$405,"&lt;"&amp;J483,'Istoric_Nativ'!$O$6:$O$405,"INVALID")+COUNTIFS('Istoric_Nativ'!$B$6:$B$405,E483,'Istoric_Nativ'!$C$6:$C$405,F483,'Istoric_Nativ'!$E$6:$E$405,G483,'Istoric_Nativ'!$O$6:$O$405,"INVALID",'Istoric_Nativ'!$D$6:$D$405,"*")+COUNTIFS('Istoric_Nativ'!$B$6:$B$405,E483,'Istoric_Nativ'!$C$6:$C$405,F483,'Istoric_Nativ'!$E$6:$E$405,G483,'Istoric_Nativ'!$D$6:$D$405,"&lt;"&amp;J483,'Istoric_Nativ'!$O$6:$O$405,"SOURCE CONFLICT")+COUNTIFS('Istoric_Nativ'!$B$6:$B$405,E483,'Istoric_Nativ'!$C$6:$C$405,F483,'Istoric_Nativ'!$F$6:$F$405,G483,'Istoric_Nativ'!$D$6:$D$405,"&lt;"&amp;J483,'Istoric_Nativ'!$O$6:$O$405,"INVALID")+COUNTIFS('Istoric_Nativ'!$B$6:$B$405,E483,'Istoric_Nativ'!$C$6:$C$405,F483,'Istoric_Nativ'!$F$6:$F$405,G483,'Istoric_Nativ'!$O$6:$O$405,"INVALID",'Istoric_Nativ'!$D$6:$D$405,"*")+COUNTIFS('Istoric_Nativ'!$B$6:$B$405,E483,'Istoric_Nativ'!$C$6:$C$405,F483,'Istoric_Nativ'!$F$6:$F$405,G483,'Istoric_Nativ'!$D$6:$D$405,"&lt;"&amp;J483,'Istoric_Nativ'!$O$6:$O$405,"SOURCE CONFLICT"))</x:f>
        <x:v>0</x:v>
      </x:c>
      <x:c r="T483" s="2" t="str">
        <x:f>IF(B483="","",IF(R483&lt;&gt;"CLOSED",R483,IF(S483&gt;0,"NATIVE INPUT ISSUE",IF(M483=0,"NO HISTORY",IF(M483&lt;P483,"SMALL SAMPLE","DERIVED")))))</x:f>
      </x:c>
      <x:c r="U483" s="2" t="str">
        <x:f>IF(B483="","","NativeTable; "&amp;E483&amp;"; "&amp;F483&amp;"; "&amp;G483&amp;"; "&amp;H483&amp;"; before "&amp;TEXT(J483,"yyyy-mm-dd")&amp;IF(I483="RECENT","; from "&amp;TEXT(L483,"yyyy-mm-dd"),""))</x:f>
      </x:c>
    </x:row>
    <x:row r="484" ht="21" customHeight="1">
      <x:c r="A484" s="2" t="n">
        <x:v>40</x:v>
      </x:c>
      <x:c r="B484" s="2" t="str">
        <x:f>IF('Input_Meci'!A45="","",'Input_Meci'!A45)</x:f>
      </x:c>
      <x:c r="C484" s="2" t="str">
        <x:v>A</x:v>
      </x:c>
      <x:c r="D484" s="2" t="str">
        <x:v>PRIOR</x:v>
      </x:c>
      <x:c r="E484" s="2" t="str">
        <x:f>IF(B484="","",'Input_Meci'!B45)</x:f>
      </x:c>
      <x:c r="F484" s="2" t="str">
        <x:f>IF(B484="","",IF('Input_Meci'!K45="","",'Input_Meci'!K45))</x:f>
      </x:c>
      <x:c r="G484" s="2" t="str">
        <x:f>IF(B484="","",'Input_Meci'!E45)</x:f>
      </x:c>
      <x:c r="H484" s="2" t="str">
        <x:v>AWAY</x:v>
      </x:c>
      <x:c r="I484" s="2" t="str">
        <x:v>HA</x:v>
      </x:c>
      <x:c r="J484" s="9" t="n">
        <x:f>IF(AND(B484&lt;&gt;"",ISNUMBER('Input_Meci'!G45)),INT('Input_Meci'!G45),0)</x:f>
        <x:v>0</x:v>
      </x:c>
      <x:c r="K484" s="2" t="n">
        <x:f>IF(OR(B484="",F484=""),0,IF(H484="HOME",COUNTIFS('Istoric_Nativ'!$B$6:$B$405,E484,'Istoric_Nativ'!$C$6:$C$405,F484,'Istoric_Nativ'!$E$6:$E$405,G484,'Istoric_Nativ'!$D$6:$D$405,"&lt;"&amp;J484,'Istoric_Nativ'!$P$6:$P$405,1),IF(H484="AWAY",COUNTIFS('Istoric_Nativ'!$B$6:$B$405,E484,'Istoric_Nativ'!$C$6:$C$405,F484,'Istoric_Nativ'!$F$6:$F$405,G484,'Istoric_Nativ'!$D$6:$D$405,"&lt;"&amp;J484,'Istoric_Nativ'!$P$6:$P$405,1),COUNTIFS('Istoric_Nativ'!$B$6:$B$405,E484,'Istoric_Nativ'!$C$6:$C$405,F484,'Istoric_Nativ'!$E$6:$E$405,G484,'Istoric_Nativ'!$D$6:$D$405,"&lt;"&amp;J484,'Istoric_Nativ'!$P$6:$P$405,1)+COUNTIFS('Istoric_Nativ'!$B$6:$B$405,E484,'Istoric_Nativ'!$C$6:$C$405,F484,'Istoric_Nativ'!$F$6:$F$405,G484,'Istoric_Nativ'!$D$6:$D$405,"&lt;"&amp;J484,'Istoric_Nativ'!$P$6:$P$405,1))))</x:f>
        <x:v>0</x:v>
      </x:c>
      <x:c r="L484" s="17" t="n">
        <x:f>IF(AND(B484&lt;&gt;"",I484="RECENT",K484&gt;0),LARGE(_xlfn._xlws.FILTER('Istoric_Nativ'!$D$6:$D$405,('Istoric_Nativ'!$B$6:$B$405=E484)*('Istoric_Nativ'!$C$6:$C$405=F484)*('Istoric_Nativ'!$P$6:$P$405=1)*('Istoric_Nativ'!$D$6:$D$405&lt;J484)*((('Istoric_Nativ'!$E$6:$E$405=G484)+('Istoric_Nativ'!$F$6:$F$405=G484))&gt;0)),MIN('Config_v6'!$B$54,K484)),0)</x:f>
        <x:v>0</x:v>
      </x:c>
      <x:c r="M484" s="2" t="n">
        <x:f>IF(OR(B484="",F484=""),0,IF(H484="HOME",COUNTIFS('Istoric_Nativ'!$B$6:$B$405,E484,'Istoric_Nativ'!$C$6:$C$405,F484,'Istoric_Nativ'!$E$6:$E$405,G484,'Istoric_Nativ'!$D$6:$D$405,"&lt;"&amp;J484,'Istoric_Nativ'!$P$6:$P$405,1,'Istoric_Nativ'!$D$6:$D$405,"&gt;="&amp;L484),IF(H484="AWAY",COUNTIFS('Istoric_Nativ'!$B$6:$B$405,E484,'Istoric_Nativ'!$C$6:$C$405,F484,'Istoric_Nativ'!$F$6:$F$405,G484,'Istoric_Nativ'!$D$6:$D$405,"&lt;"&amp;J484,'Istoric_Nativ'!$P$6:$P$405,1,'Istoric_Nativ'!$D$6:$D$405,"&gt;="&amp;L484),COUNTIFS('Istoric_Nativ'!$B$6:$B$405,E484,'Istoric_Nativ'!$C$6:$C$405,F484,'Istoric_Nativ'!$E$6:$E$405,G484,'Istoric_Nativ'!$D$6:$D$405,"&lt;"&amp;J484,'Istoric_Nativ'!$P$6:$P$405,1,'Istoric_Nativ'!$D$6:$D$405,"&gt;="&amp;L484)+COUNTIFS('Istoric_Nativ'!$B$6:$B$405,E484,'Istoric_Nativ'!$C$6:$C$405,F484,'Istoric_Nativ'!$F$6:$F$405,G484,'Istoric_Nativ'!$D$6:$D$405,"&lt;"&amp;J484,'Istoric_Nativ'!$P$6:$P$405,1,'Istoric_Nativ'!$D$6:$D$405,"&gt;="&amp;L484))))</x:f>
        <x:v>0</x:v>
      </x:c>
      <x:c r="N484" s="11" t="str">
        <x:f>IF(M484=0,"",IF(H484="HOME",SUMIFS('Istoric_Nativ'!$G$6:$G$405,'Istoric_Nativ'!$B$6:$B$405,E484,'Istoric_Nativ'!$C$6:$C$405,F484,'Istoric_Nativ'!$E$6:$E$405,G484,'Istoric_Nativ'!$D$6:$D$405,"&lt;"&amp;J484,'Istoric_Nativ'!$P$6:$P$405,1,'Istoric_Nativ'!$D$6:$D$405,"&gt;="&amp;L484),IF(H484="AWAY",SUMIFS('Istoric_Nativ'!$H$6:$H$405,'Istoric_Nativ'!$B$6:$B$405,E484,'Istoric_Nativ'!$C$6:$C$405,F484,'Istoric_Nativ'!$F$6:$F$405,G484,'Istoric_Nativ'!$D$6:$D$405,"&lt;"&amp;J484,'Istoric_Nativ'!$P$6:$P$405,1,'Istoric_Nativ'!$D$6:$D$405,"&gt;="&amp;L484),SUMIFS('Istoric_Nativ'!$G$6:$G$405,'Istoric_Nativ'!$B$6:$B$405,E484,'Istoric_Nativ'!$C$6:$C$405,F484,'Istoric_Nativ'!$E$6:$E$405,G484,'Istoric_Nativ'!$D$6:$D$405,"&lt;"&amp;J484,'Istoric_Nativ'!$P$6:$P$405,1,'Istoric_Nativ'!$D$6:$D$405,"&gt;="&amp;L484)+SUMIFS('Istoric_Nativ'!$H$6:$H$405,'Istoric_Nativ'!$B$6:$B$405,E484,'Istoric_Nativ'!$C$6:$C$405,F484,'Istoric_Nativ'!$F$6:$F$405,G484,'Istoric_Nativ'!$D$6:$D$405,"&lt;"&amp;J484,'Istoric_Nativ'!$P$6:$P$405,1,'Istoric_Nativ'!$D$6:$D$405,"&gt;="&amp;L484)))/M484)</x:f>
      </x:c>
      <x:c r="O484" s="11" t="str">
        <x:f>IF(M484=0,"",IF(H484="HOME",SUMIFS('Istoric_Nativ'!$H$6:$H$405,'Istoric_Nativ'!$B$6:$B$405,E484,'Istoric_Nativ'!$C$6:$C$405,F484,'Istoric_Nativ'!$E$6:$E$405,G484,'Istoric_Nativ'!$D$6:$D$405,"&lt;"&amp;J484,'Istoric_Nativ'!$P$6:$P$405,1,'Istoric_Nativ'!$D$6:$D$405,"&gt;="&amp;L484),IF(H484="AWAY",SUMIFS('Istoric_Nativ'!$G$6:$G$405,'Istoric_Nativ'!$B$6:$B$405,E484,'Istoric_Nativ'!$C$6:$C$405,F484,'Istoric_Nativ'!$F$6:$F$405,G484,'Istoric_Nativ'!$D$6:$D$405,"&lt;"&amp;J484,'Istoric_Nativ'!$P$6:$P$405,1,'Istoric_Nativ'!$D$6:$D$405,"&gt;="&amp;L484),SUMIFS('Istoric_Nativ'!$H$6:$H$405,'Istoric_Nativ'!$B$6:$B$405,E484,'Istoric_Nativ'!$C$6:$C$405,F484,'Istoric_Nativ'!$E$6:$E$405,G484,'Istoric_Nativ'!$D$6:$D$405,"&lt;"&amp;J484,'Istoric_Nativ'!$P$6:$P$405,1,'Istoric_Nativ'!$D$6:$D$405,"&gt;="&amp;L484)+SUMIFS('Istoric_Nativ'!$G$6:$G$405,'Istoric_Nativ'!$B$6:$B$405,E484,'Istoric_Nativ'!$C$6:$C$405,F484,'Istoric_Nativ'!$F$6:$F$405,G484,'Istoric_Nativ'!$D$6:$D$405,"&lt;"&amp;J484,'Istoric_Nativ'!$P$6:$P$405,1,'Istoric_Nativ'!$D$6:$D$405,"&gt;="&amp;L484)))/M484)</x:f>
      </x:c>
      <x:c r="P484" s="2" t="n">
        <x:f>'Config_v6'!$B$8</x:f>
        <x:v>5</x:v>
      </x:c>
      <x:c r="Q484" s="2" t="n">
        <x:f>IF(OR(B484="",F484=""),0,IFERROR(MATCH(E484&amp;"|"&amp;F484,SourceTable[Source_Key],0),0))</x:f>
        <x:v>0</x:v>
      </x:c>
      <x:c r="R484" s="2" t="str">
        <x:f>IF(B484="","",IF(F484="","UNUSED",IF(Q484=0,"NOT CHECKED",IF(COUNTIF(SourceTable[Source_Key],E484&amp;"|"&amp;F484)&lt;&gt;1,"SOURCE CONFLICT",IF(NOT(OR(INDEX(SourceTable[Status],MAX(1,Q484))="IMPORTED",INDEX(SourceTable[Status],MAX(1,Q484))="PARTIAL",INDEX(SourceTable[Status],MAX(1,Q484))="SOURCE CONFLICT")),"ACCESS BLOCKED",IF(OR(INDEX(SourceTable[Coverage],Q484)&lt;&gt;"FULL SEASON EXPORT",INDEX(SourceTable[URL],Q484)="",INDEX(SourceTable[SHA256],Q484)=""),"EVIDENCE INCOMPLETE",IF(AND('Input_Meci'!H45="LIVE",INDEX(SourceTable[Retrieved_UTC],Q484)&gt;'Input_Meci'!G45),"POST CUTOFF","CLOSED")))))))</x:f>
      </x:c>
      <x:c r="S484" s="2" t="n">
        <x:f>IF(OR(B484="",F484=""),0,COUNTIFS('Istoric_Nativ'!$B$6:$B$405,E484,'Istoric_Nativ'!$C$6:$C$405,F484,'Istoric_Nativ'!$E$6:$E$405,G484,'Istoric_Nativ'!$D$6:$D$405,"&lt;"&amp;J484,'Istoric_Nativ'!$O$6:$O$405,"INVALID")+COUNTIFS('Istoric_Nativ'!$B$6:$B$405,E484,'Istoric_Nativ'!$C$6:$C$405,F484,'Istoric_Nativ'!$E$6:$E$405,G484,'Istoric_Nativ'!$O$6:$O$405,"INVALID",'Istoric_Nativ'!$D$6:$D$405,"*")+COUNTIFS('Istoric_Nativ'!$B$6:$B$405,E484,'Istoric_Nativ'!$C$6:$C$405,F484,'Istoric_Nativ'!$E$6:$E$405,G484,'Istoric_Nativ'!$D$6:$D$405,"&lt;"&amp;J484,'Istoric_Nativ'!$O$6:$O$405,"SOURCE CONFLICT")+COUNTIFS('Istoric_Nativ'!$B$6:$B$405,E484,'Istoric_Nativ'!$C$6:$C$405,F484,'Istoric_Nativ'!$F$6:$F$405,G484,'Istoric_Nativ'!$D$6:$D$405,"&lt;"&amp;J484,'Istoric_Nativ'!$O$6:$O$405,"INVALID")+COUNTIFS('Istoric_Nativ'!$B$6:$B$405,E484,'Istoric_Nativ'!$C$6:$C$405,F484,'Istoric_Nativ'!$F$6:$F$405,G484,'Istoric_Nativ'!$O$6:$O$405,"INVALID",'Istoric_Nativ'!$D$6:$D$405,"*")+COUNTIFS('Istoric_Nativ'!$B$6:$B$405,E484,'Istoric_Nativ'!$C$6:$C$405,F484,'Istoric_Nativ'!$F$6:$F$405,G484,'Istoric_Nativ'!$D$6:$D$405,"&lt;"&amp;J484,'Istoric_Nativ'!$O$6:$O$405,"SOURCE CONFLICT"))</x:f>
        <x:v>0</x:v>
      </x:c>
      <x:c r="T484" s="2" t="str">
        <x:f>IF(B484="","",IF(R484&lt;&gt;"CLOSED",R484,IF(S484&gt;0,"NATIVE INPUT ISSUE",IF(M484=0,"NO HISTORY",IF(M484&lt;P484,"SMALL SAMPLE","DERIVED")))))</x:f>
      </x:c>
      <x:c r="U484" s="2" t="str">
        <x:f>IF(B484="","","NativeTable; "&amp;E484&amp;"; "&amp;F484&amp;"; "&amp;G484&amp;"; "&amp;H484&amp;"; before "&amp;TEXT(J484,"yyyy-mm-dd")&amp;IF(I484="RECENT","; from "&amp;TEXT(L484,"yyyy-mm-dd"),""))</x:f>
      </x:c>
    </x:row>
    <x:row r="485" ht="21" customHeight="1">
      <x:c r="A485" s="2" t="n">
        <x:v>40</x:v>
      </x:c>
      <x:c r="B485" s="2" t="str">
        <x:f>IF('Input_Meci'!A45="","",'Input_Meci'!A45)</x:f>
      </x:c>
      <x:c r="C485" s="2" t="str">
        <x:v>A</x:v>
      </x:c>
      <x:c r="D485" s="2" t="str">
        <x:v>PRIOR</x:v>
      </x:c>
      <x:c r="E485" s="2" t="str">
        <x:f>IF(B485="","",'Input_Meci'!B45)</x:f>
      </x:c>
      <x:c r="F485" s="2" t="str">
        <x:f>IF(B485="","",IF('Input_Meci'!K45="","",'Input_Meci'!K45))</x:f>
      </x:c>
      <x:c r="G485" s="2" t="str">
        <x:f>IF(B485="","",'Input_Meci'!E45)</x:f>
      </x:c>
      <x:c r="H485" s="2" t="str">
        <x:v>ANY</x:v>
      </x:c>
      <x:c r="I485" s="2" t="str">
        <x:v>RECENT</x:v>
      </x:c>
      <x:c r="J485" s="9" t="n">
        <x:f>IF(AND(B485&lt;&gt;"",ISNUMBER('Input_Meci'!G45)),INT('Input_Meci'!G45),0)</x:f>
        <x:v>0</x:v>
      </x:c>
      <x:c r="K485" s="2" t="n">
        <x:f>IF(OR(B485="",F485=""),0,IF(H485="HOME",COUNTIFS('Istoric_Nativ'!$B$6:$B$405,E485,'Istoric_Nativ'!$C$6:$C$405,F485,'Istoric_Nativ'!$E$6:$E$405,G485,'Istoric_Nativ'!$D$6:$D$405,"&lt;"&amp;J485,'Istoric_Nativ'!$P$6:$P$405,1),IF(H485="AWAY",COUNTIFS('Istoric_Nativ'!$B$6:$B$405,E485,'Istoric_Nativ'!$C$6:$C$405,F485,'Istoric_Nativ'!$F$6:$F$405,G485,'Istoric_Nativ'!$D$6:$D$405,"&lt;"&amp;J485,'Istoric_Nativ'!$P$6:$P$405,1),COUNTIFS('Istoric_Nativ'!$B$6:$B$405,E485,'Istoric_Nativ'!$C$6:$C$405,F485,'Istoric_Nativ'!$E$6:$E$405,G485,'Istoric_Nativ'!$D$6:$D$405,"&lt;"&amp;J485,'Istoric_Nativ'!$P$6:$P$405,1)+COUNTIFS('Istoric_Nativ'!$B$6:$B$405,E485,'Istoric_Nativ'!$C$6:$C$405,F485,'Istoric_Nativ'!$F$6:$F$405,G485,'Istoric_Nativ'!$D$6:$D$405,"&lt;"&amp;J485,'Istoric_Nativ'!$P$6:$P$405,1))))</x:f>
        <x:v>0</x:v>
      </x:c>
      <x:c r="L485" s="17" t="n">
        <x:f>IF(AND(B485&lt;&gt;"",I485="RECENT",K485&gt;0),LARGE(_xlfn._xlws.FILTER('Istoric_Nativ'!$D$6:$D$405,('Istoric_Nativ'!$B$6:$B$405=E485)*('Istoric_Nativ'!$C$6:$C$405=F485)*('Istoric_Nativ'!$P$6:$P$405=1)*('Istoric_Nativ'!$D$6:$D$405&lt;J485)*((('Istoric_Nativ'!$E$6:$E$405=G485)+('Istoric_Nativ'!$F$6:$F$405=G485))&gt;0)),MIN('Config_v6'!$B$54,K485)),0)</x:f>
        <x:v>0</x:v>
      </x:c>
      <x:c r="M485" s="2" t="n">
        <x:f>IF(OR(B485="",F485=""),0,IF(H485="HOME",COUNTIFS('Istoric_Nativ'!$B$6:$B$405,E485,'Istoric_Nativ'!$C$6:$C$405,F485,'Istoric_Nativ'!$E$6:$E$405,G485,'Istoric_Nativ'!$D$6:$D$405,"&lt;"&amp;J485,'Istoric_Nativ'!$P$6:$P$405,1,'Istoric_Nativ'!$D$6:$D$405,"&gt;="&amp;L485),IF(H485="AWAY",COUNTIFS('Istoric_Nativ'!$B$6:$B$405,E485,'Istoric_Nativ'!$C$6:$C$405,F485,'Istoric_Nativ'!$F$6:$F$405,G485,'Istoric_Nativ'!$D$6:$D$405,"&lt;"&amp;J485,'Istoric_Nativ'!$P$6:$P$405,1,'Istoric_Nativ'!$D$6:$D$405,"&gt;="&amp;L485),COUNTIFS('Istoric_Nativ'!$B$6:$B$405,E485,'Istoric_Nativ'!$C$6:$C$405,F485,'Istoric_Nativ'!$E$6:$E$405,G485,'Istoric_Nativ'!$D$6:$D$405,"&lt;"&amp;J485,'Istoric_Nativ'!$P$6:$P$405,1,'Istoric_Nativ'!$D$6:$D$405,"&gt;="&amp;L485)+COUNTIFS('Istoric_Nativ'!$B$6:$B$405,E485,'Istoric_Nativ'!$C$6:$C$405,F485,'Istoric_Nativ'!$F$6:$F$405,G485,'Istoric_Nativ'!$D$6:$D$405,"&lt;"&amp;J485,'Istoric_Nativ'!$P$6:$P$405,1,'Istoric_Nativ'!$D$6:$D$405,"&gt;="&amp;L485))))</x:f>
        <x:v>0</x:v>
      </x:c>
      <x:c r="N485" s="11" t="str">
        <x:f>IF(M485=0,"",IF(H485="HOME",SUMIFS('Istoric_Nativ'!$G$6:$G$405,'Istoric_Nativ'!$B$6:$B$405,E485,'Istoric_Nativ'!$C$6:$C$405,F485,'Istoric_Nativ'!$E$6:$E$405,G485,'Istoric_Nativ'!$D$6:$D$405,"&lt;"&amp;J485,'Istoric_Nativ'!$P$6:$P$405,1,'Istoric_Nativ'!$D$6:$D$405,"&gt;="&amp;L485),IF(H485="AWAY",SUMIFS('Istoric_Nativ'!$H$6:$H$405,'Istoric_Nativ'!$B$6:$B$405,E485,'Istoric_Nativ'!$C$6:$C$405,F485,'Istoric_Nativ'!$F$6:$F$405,G485,'Istoric_Nativ'!$D$6:$D$405,"&lt;"&amp;J485,'Istoric_Nativ'!$P$6:$P$405,1,'Istoric_Nativ'!$D$6:$D$405,"&gt;="&amp;L485),SUMIFS('Istoric_Nativ'!$G$6:$G$405,'Istoric_Nativ'!$B$6:$B$405,E485,'Istoric_Nativ'!$C$6:$C$405,F485,'Istoric_Nativ'!$E$6:$E$405,G485,'Istoric_Nativ'!$D$6:$D$405,"&lt;"&amp;J485,'Istoric_Nativ'!$P$6:$P$405,1,'Istoric_Nativ'!$D$6:$D$405,"&gt;="&amp;L485)+SUMIFS('Istoric_Nativ'!$H$6:$H$405,'Istoric_Nativ'!$B$6:$B$405,E485,'Istoric_Nativ'!$C$6:$C$405,F485,'Istoric_Nativ'!$F$6:$F$405,G485,'Istoric_Nativ'!$D$6:$D$405,"&lt;"&amp;J485,'Istoric_Nativ'!$P$6:$P$405,1,'Istoric_Nativ'!$D$6:$D$405,"&gt;="&amp;L485)))/M485)</x:f>
      </x:c>
      <x:c r="O485" s="11" t="str">
        <x:f>IF(M485=0,"",IF(H485="HOME",SUMIFS('Istoric_Nativ'!$H$6:$H$405,'Istoric_Nativ'!$B$6:$B$405,E485,'Istoric_Nativ'!$C$6:$C$405,F485,'Istoric_Nativ'!$E$6:$E$405,G485,'Istoric_Nativ'!$D$6:$D$405,"&lt;"&amp;J485,'Istoric_Nativ'!$P$6:$P$405,1,'Istoric_Nativ'!$D$6:$D$405,"&gt;="&amp;L485),IF(H485="AWAY",SUMIFS('Istoric_Nativ'!$G$6:$G$405,'Istoric_Nativ'!$B$6:$B$405,E485,'Istoric_Nativ'!$C$6:$C$405,F485,'Istoric_Nativ'!$F$6:$F$405,G485,'Istoric_Nativ'!$D$6:$D$405,"&lt;"&amp;J485,'Istoric_Nativ'!$P$6:$P$405,1,'Istoric_Nativ'!$D$6:$D$405,"&gt;="&amp;L485),SUMIFS('Istoric_Nativ'!$H$6:$H$405,'Istoric_Nativ'!$B$6:$B$405,E485,'Istoric_Nativ'!$C$6:$C$405,F485,'Istoric_Nativ'!$E$6:$E$405,G485,'Istoric_Nativ'!$D$6:$D$405,"&lt;"&amp;J485,'Istoric_Nativ'!$P$6:$P$405,1,'Istoric_Nativ'!$D$6:$D$405,"&gt;="&amp;L485)+SUMIFS('Istoric_Nativ'!$G$6:$G$405,'Istoric_Nativ'!$B$6:$B$405,E485,'Istoric_Nativ'!$C$6:$C$405,F485,'Istoric_Nativ'!$F$6:$F$405,G485,'Istoric_Nativ'!$D$6:$D$405,"&lt;"&amp;J485,'Istoric_Nativ'!$P$6:$P$405,1,'Istoric_Nativ'!$D$6:$D$405,"&gt;="&amp;L485)))/M485)</x:f>
      </x:c>
      <x:c r="P485" s="2" t="n">
        <x:f>'Config_v6'!$B$9</x:f>
        <x:v>3</x:v>
      </x:c>
      <x:c r="Q485" s="2" t="n">
        <x:f>IF(OR(B485="",F485=""),0,IFERROR(MATCH(E485&amp;"|"&amp;F485,SourceTable[Source_Key],0),0))</x:f>
        <x:v>0</x:v>
      </x:c>
      <x:c r="R485" s="2" t="str">
        <x:f>IF(B485="","",IF(F485="","UNUSED",IF(Q485=0,"NOT CHECKED",IF(COUNTIF(SourceTable[Source_Key],E485&amp;"|"&amp;F485)&lt;&gt;1,"SOURCE CONFLICT",IF(NOT(OR(INDEX(SourceTable[Status],MAX(1,Q485))="IMPORTED",INDEX(SourceTable[Status],MAX(1,Q485))="PARTIAL",INDEX(SourceTable[Status],MAX(1,Q485))="SOURCE CONFLICT")),"ACCESS BLOCKED",IF(OR(INDEX(SourceTable[Coverage],Q485)&lt;&gt;"FULL SEASON EXPORT",INDEX(SourceTable[URL],Q485)="",INDEX(SourceTable[SHA256],Q485)=""),"EVIDENCE INCOMPLETE",IF(AND('Input_Meci'!H45="LIVE",INDEX(SourceTable[Retrieved_UTC],Q485)&gt;'Input_Meci'!G45),"POST CUTOFF","CLOSED")))))))</x:f>
      </x:c>
      <x:c r="S485" s="2" t="n">
        <x:f>IF(OR(B485="",F485=""),0,COUNTIFS('Istoric_Nativ'!$B$6:$B$405,E485,'Istoric_Nativ'!$C$6:$C$405,F485,'Istoric_Nativ'!$E$6:$E$405,G485,'Istoric_Nativ'!$D$6:$D$405,"&lt;"&amp;J485,'Istoric_Nativ'!$O$6:$O$405,"INVALID")+COUNTIFS('Istoric_Nativ'!$B$6:$B$405,E485,'Istoric_Nativ'!$C$6:$C$405,F485,'Istoric_Nativ'!$E$6:$E$405,G485,'Istoric_Nativ'!$O$6:$O$405,"INVALID",'Istoric_Nativ'!$D$6:$D$405,"*")+COUNTIFS('Istoric_Nativ'!$B$6:$B$405,E485,'Istoric_Nativ'!$C$6:$C$405,F485,'Istoric_Nativ'!$E$6:$E$405,G485,'Istoric_Nativ'!$D$6:$D$405,"&lt;"&amp;J485,'Istoric_Nativ'!$O$6:$O$405,"SOURCE CONFLICT")+COUNTIFS('Istoric_Nativ'!$B$6:$B$405,E485,'Istoric_Nativ'!$C$6:$C$405,F485,'Istoric_Nativ'!$F$6:$F$405,G485,'Istoric_Nativ'!$D$6:$D$405,"&lt;"&amp;J485,'Istoric_Nativ'!$O$6:$O$405,"INVALID")+COUNTIFS('Istoric_Nativ'!$B$6:$B$405,E485,'Istoric_Nativ'!$C$6:$C$405,F485,'Istoric_Nativ'!$F$6:$F$405,G485,'Istoric_Nativ'!$O$6:$O$405,"INVALID",'Istoric_Nativ'!$D$6:$D$405,"*")+COUNTIFS('Istoric_Nativ'!$B$6:$B$405,E485,'Istoric_Nativ'!$C$6:$C$405,F485,'Istoric_Nativ'!$F$6:$F$405,G485,'Istoric_Nativ'!$D$6:$D$405,"&lt;"&amp;J485,'Istoric_Nativ'!$O$6:$O$405,"SOURCE CONFLICT"))</x:f>
        <x:v>0</x:v>
      </x:c>
      <x:c r="T485" s="2" t="str">
        <x:f>IF(B485="","",IF(R485&lt;&gt;"CLOSED",R485,IF(S485&gt;0,"NATIVE INPUT ISSUE",IF(M485=0,"NO HISTORY",IF(M485&lt;P485,"SMALL SAMPLE","DERIVED")))))</x:f>
      </x:c>
      <x:c r="U485" s="2" t="str">
        <x:f>IF(B485="","","NativeTable; "&amp;E485&amp;"; "&amp;F485&amp;"; "&amp;G485&amp;"; "&amp;H485&amp;"; before "&amp;TEXT(J485,"yyyy-mm-dd")&amp;IF(I485="RECENT","; from "&amp;TEXT(L485,"yyyy-mm-dd"),""))</x:f>
      </x:c>
    </x:row>
    <x:row r="486" ht="21" customHeight="1">
      <x:c r="A486" s="2" t="n">
        <x:v>41</x:v>
      </x:c>
      <x:c r="B486" s="2" t="str">
        <x:f>IF('Input_Meci'!A46="","",'Input_Meci'!A46)</x:f>
      </x:c>
      <x:c r="C486" s="2" t="str">
        <x:v>H</x:v>
      </x:c>
      <x:c r="D486" s="2" t="str">
        <x:v>CURRENT</x:v>
      </x:c>
      <x:c r="E486" s="2" t="str">
        <x:f>IF(B486="","",'Input_Meci'!B46)</x:f>
      </x:c>
      <x:c r="F486" s="2" t="str">
        <x:f>IF(B486="","",IF('Input_Meci'!C46="","",'Input_Meci'!C46))</x:f>
      </x:c>
      <x:c r="G486" s="2" t="str">
        <x:f>IF(B486="","",'Input_Meci'!D46)</x:f>
      </x:c>
      <x:c r="H486" s="2" t="str">
        <x:v>ANY</x:v>
      </x:c>
      <x:c r="I486" s="2" t="str">
        <x:v>SEASON</x:v>
      </x:c>
      <x:c r="J486" s="9" t="n">
        <x:f>IF(AND(B486&lt;&gt;"",ISNUMBER('Input_Meci'!G46)),INT('Input_Meci'!G46),0)</x:f>
        <x:v>0</x:v>
      </x:c>
      <x:c r="K486" s="2" t="n">
        <x:f>IF(OR(B486="",F486=""),0,IF(H486="HOME",COUNTIFS('Istoric_Nativ'!$B$6:$B$405,E486,'Istoric_Nativ'!$C$6:$C$405,F486,'Istoric_Nativ'!$E$6:$E$405,G486,'Istoric_Nativ'!$D$6:$D$405,"&lt;"&amp;J486,'Istoric_Nativ'!$P$6:$P$405,1),IF(H486="AWAY",COUNTIFS('Istoric_Nativ'!$B$6:$B$405,E486,'Istoric_Nativ'!$C$6:$C$405,F486,'Istoric_Nativ'!$F$6:$F$405,G486,'Istoric_Nativ'!$D$6:$D$405,"&lt;"&amp;J486,'Istoric_Nativ'!$P$6:$P$405,1),COUNTIFS('Istoric_Nativ'!$B$6:$B$405,E486,'Istoric_Nativ'!$C$6:$C$405,F486,'Istoric_Nativ'!$E$6:$E$405,G486,'Istoric_Nativ'!$D$6:$D$405,"&lt;"&amp;J486,'Istoric_Nativ'!$P$6:$P$405,1)+COUNTIFS('Istoric_Nativ'!$B$6:$B$405,E486,'Istoric_Nativ'!$C$6:$C$405,F486,'Istoric_Nativ'!$F$6:$F$405,G486,'Istoric_Nativ'!$D$6:$D$405,"&lt;"&amp;J486,'Istoric_Nativ'!$P$6:$P$405,1))))</x:f>
        <x:v>0</x:v>
      </x:c>
      <x:c r="L486" s="17" t="n">
        <x:f>IF(AND(B486&lt;&gt;"",I486="RECENT",K486&gt;0),LARGE(_xlfn._xlws.FILTER('Istoric_Nativ'!$D$6:$D$405,('Istoric_Nativ'!$B$6:$B$405=E486)*('Istoric_Nativ'!$C$6:$C$405=F486)*('Istoric_Nativ'!$P$6:$P$405=1)*('Istoric_Nativ'!$D$6:$D$405&lt;J486)*((('Istoric_Nativ'!$E$6:$E$405=G486)+('Istoric_Nativ'!$F$6:$F$405=G486))&gt;0)),MIN('Config_v6'!$B$54,K486)),0)</x:f>
        <x:v>0</x:v>
      </x:c>
      <x:c r="M486" s="2" t="n">
        <x:f>IF(OR(B486="",F486=""),0,IF(H486="HOME",COUNTIFS('Istoric_Nativ'!$B$6:$B$405,E486,'Istoric_Nativ'!$C$6:$C$405,F486,'Istoric_Nativ'!$E$6:$E$405,G486,'Istoric_Nativ'!$D$6:$D$405,"&lt;"&amp;J486,'Istoric_Nativ'!$P$6:$P$405,1,'Istoric_Nativ'!$D$6:$D$405,"&gt;="&amp;L486),IF(H486="AWAY",COUNTIFS('Istoric_Nativ'!$B$6:$B$405,E486,'Istoric_Nativ'!$C$6:$C$405,F486,'Istoric_Nativ'!$F$6:$F$405,G486,'Istoric_Nativ'!$D$6:$D$405,"&lt;"&amp;J486,'Istoric_Nativ'!$P$6:$P$405,1,'Istoric_Nativ'!$D$6:$D$405,"&gt;="&amp;L486),COUNTIFS('Istoric_Nativ'!$B$6:$B$405,E486,'Istoric_Nativ'!$C$6:$C$405,F486,'Istoric_Nativ'!$E$6:$E$405,G486,'Istoric_Nativ'!$D$6:$D$405,"&lt;"&amp;J486,'Istoric_Nativ'!$P$6:$P$405,1,'Istoric_Nativ'!$D$6:$D$405,"&gt;="&amp;L486)+COUNTIFS('Istoric_Nativ'!$B$6:$B$405,E486,'Istoric_Nativ'!$C$6:$C$405,F486,'Istoric_Nativ'!$F$6:$F$405,G486,'Istoric_Nativ'!$D$6:$D$405,"&lt;"&amp;J486,'Istoric_Nativ'!$P$6:$P$405,1,'Istoric_Nativ'!$D$6:$D$405,"&gt;="&amp;L486))))</x:f>
        <x:v>0</x:v>
      </x:c>
      <x:c r="N486" s="11" t="str">
        <x:f>IF(M486=0,"",IF(H486="HOME",SUMIFS('Istoric_Nativ'!$G$6:$G$405,'Istoric_Nativ'!$B$6:$B$405,E486,'Istoric_Nativ'!$C$6:$C$405,F486,'Istoric_Nativ'!$E$6:$E$405,G486,'Istoric_Nativ'!$D$6:$D$405,"&lt;"&amp;J486,'Istoric_Nativ'!$P$6:$P$405,1,'Istoric_Nativ'!$D$6:$D$405,"&gt;="&amp;L486),IF(H486="AWAY",SUMIFS('Istoric_Nativ'!$H$6:$H$405,'Istoric_Nativ'!$B$6:$B$405,E486,'Istoric_Nativ'!$C$6:$C$405,F486,'Istoric_Nativ'!$F$6:$F$405,G486,'Istoric_Nativ'!$D$6:$D$405,"&lt;"&amp;J486,'Istoric_Nativ'!$P$6:$P$405,1,'Istoric_Nativ'!$D$6:$D$405,"&gt;="&amp;L486),SUMIFS('Istoric_Nativ'!$G$6:$G$405,'Istoric_Nativ'!$B$6:$B$405,E486,'Istoric_Nativ'!$C$6:$C$405,F486,'Istoric_Nativ'!$E$6:$E$405,G486,'Istoric_Nativ'!$D$6:$D$405,"&lt;"&amp;J486,'Istoric_Nativ'!$P$6:$P$405,1,'Istoric_Nativ'!$D$6:$D$405,"&gt;="&amp;L486)+SUMIFS('Istoric_Nativ'!$H$6:$H$405,'Istoric_Nativ'!$B$6:$B$405,E486,'Istoric_Nativ'!$C$6:$C$405,F486,'Istoric_Nativ'!$F$6:$F$405,G486,'Istoric_Nativ'!$D$6:$D$405,"&lt;"&amp;J486,'Istoric_Nativ'!$P$6:$P$405,1,'Istoric_Nativ'!$D$6:$D$405,"&gt;="&amp;L486)))/M486)</x:f>
      </x:c>
      <x:c r="O486" s="11" t="str">
        <x:f>IF(M486=0,"",IF(H486="HOME",SUMIFS('Istoric_Nativ'!$H$6:$H$405,'Istoric_Nativ'!$B$6:$B$405,E486,'Istoric_Nativ'!$C$6:$C$405,F486,'Istoric_Nativ'!$E$6:$E$405,G486,'Istoric_Nativ'!$D$6:$D$405,"&lt;"&amp;J486,'Istoric_Nativ'!$P$6:$P$405,1,'Istoric_Nativ'!$D$6:$D$405,"&gt;="&amp;L486),IF(H486="AWAY",SUMIFS('Istoric_Nativ'!$G$6:$G$405,'Istoric_Nativ'!$B$6:$B$405,E486,'Istoric_Nativ'!$C$6:$C$405,F486,'Istoric_Nativ'!$F$6:$F$405,G486,'Istoric_Nativ'!$D$6:$D$405,"&lt;"&amp;J486,'Istoric_Nativ'!$P$6:$P$405,1,'Istoric_Nativ'!$D$6:$D$405,"&gt;="&amp;L486),SUMIFS('Istoric_Nativ'!$H$6:$H$405,'Istoric_Nativ'!$B$6:$B$405,E486,'Istoric_Nativ'!$C$6:$C$405,F486,'Istoric_Nativ'!$E$6:$E$405,G486,'Istoric_Nativ'!$D$6:$D$405,"&lt;"&amp;J486,'Istoric_Nativ'!$P$6:$P$405,1,'Istoric_Nativ'!$D$6:$D$405,"&gt;="&amp;L486)+SUMIFS('Istoric_Nativ'!$G$6:$G$405,'Istoric_Nativ'!$B$6:$B$405,E486,'Istoric_Nativ'!$C$6:$C$405,F486,'Istoric_Nativ'!$F$6:$F$405,G486,'Istoric_Nativ'!$D$6:$D$405,"&lt;"&amp;J486,'Istoric_Nativ'!$P$6:$P$405,1,'Istoric_Nativ'!$D$6:$D$405,"&gt;="&amp;L486)))/M486)</x:f>
      </x:c>
      <x:c r="P486" s="2" t="n">
        <x:f>'Config_v6'!$B$7</x:f>
        <x:v>10</x:v>
      </x:c>
      <x:c r="Q486" s="2" t="n">
        <x:f>IF(OR(B486="",F486=""),0,IFERROR(MATCH(E486&amp;"|"&amp;F486,SourceTable[Source_Key],0),0))</x:f>
        <x:v>0</x:v>
      </x:c>
      <x:c r="R486" s="2" t="str">
        <x:f>IF(B486="","",IF(F486="","UNUSED",IF(Q486=0,"NOT CHECKED",IF(COUNTIF(SourceTable[Source_Key],E486&amp;"|"&amp;F486)&lt;&gt;1,"SOURCE CONFLICT",IF(NOT(OR(INDEX(SourceTable[Status],MAX(1,Q486))="IMPORTED",INDEX(SourceTable[Status],MAX(1,Q486))="PARTIAL",INDEX(SourceTable[Status],MAX(1,Q486))="SOURCE CONFLICT")),"ACCESS BLOCKED",IF(OR(INDEX(SourceTable[Coverage],Q486)&lt;&gt;"FULL SEASON EXPORT",INDEX(SourceTable[URL],Q486)="",INDEX(SourceTable[SHA256],Q486)=""),"EVIDENCE INCOMPLETE",IF(AND('Input_Meci'!H46="LIVE",INDEX(SourceTable[Retrieved_UTC],Q486)&gt;'Input_Meci'!G46),"POST CUTOFF","CLOSED")))))))</x:f>
      </x:c>
      <x:c r="S486" s="2" t="n">
        <x:f>IF(OR(B486="",F486=""),0,COUNTIFS('Istoric_Nativ'!$B$6:$B$405,E486,'Istoric_Nativ'!$C$6:$C$405,F486,'Istoric_Nativ'!$E$6:$E$405,G486,'Istoric_Nativ'!$D$6:$D$405,"&lt;"&amp;J486,'Istoric_Nativ'!$O$6:$O$405,"INVALID")+COUNTIFS('Istoric_Nativ'!$B$6:$B$405,E486,'Istoric_Nativ'!$C$6:$C$405,F486,'Istoric_Nativ'!$E$6:$E$405,G486,'Istoric_Nativ'!$O$6:$O$405,"INVALID",'Istoric_Nativ'!$D$6:$D$405,"*")+COUNTIFS('Istoric_Nativ'!$B$6:$B$405,E486,'Istoric_Nativ'!$C$6:$C$405,F486,'Istoric_Nativ'!$E$6:$E$405,G486,'Istoric_Nativ'!$D$6:$D$405,"&lt;"&amp;J486,'Istoric_Nativ'!$O$6:$O$405,"SOURCE CONFLICT")+COUNTIFS('Istoric_Nativ'!$B$6:$B$405,E486,'Istoric_Nativ'!$C$6:$C$405,F486,'Istoric_Nativ'!$F$6:$F$405,G486,'Istoric_Nativ'!$D$6:$D$405,"&lt;"&amp;J486,'Istoric_Nativ'!$O$6:$O$405,"INVALID")+COUNTIFS('Istoric_Nativ'!$B$6:$B$405,E486,'Istoric_Nativ'!$C$6:$C$405,F486,'Istoric_Nativ'!$F$6:$F$405,G486,'Istoric_Nativ'!$O$6:$O$405,"INVALID",'Istoric_Nativ'!$D$6:$D$405,"*")+COUNTIFS('Istoric_Nativ'!$B$6:$B$405,E486,'Istoric_Nativ'!$C$6:$C$405,F486,'Istoric_Nativ'!$F$6:$F$405,G486,'Istoric_Nativ'!$D$6:$D$405,"&lt;"&amp;J486,'Istoric_Nativ'!$O$6:$O$405,"SOURCE CONFLICT"))</x:f>
        <x:v>0</x:v>
      </x:c>
      <x:c r="T486" s="2" t="str">
        <x:f>IF(B486="","",IF(R486&lt;&gt;"CLOSED",R486,IF(S486&gt;0,"NATIVE INPUT ISSUE",IF(M486=0,"NO HISTORY",IF(M486&lt;P486,"SMALL SAMPLE","DERIVED")))))</x:f>
      </x:c>
      <x:c r="U486" s="2" t="str">
        <x:f>IF(B486="","","NativeTable; "&amp;E486&amp;"; "&amp;F486&amp;"; "&amp;G486&amp;"; "&amp;H486&amp;"; before "&amp;TEXT(J486,"yyyy-mm-dd")&amp;IF(I486="RECENT","; from "&amp;TEXT(L486,"yyyy-mm-dd"),""))</x:f>
      </x:c>
    </x:row>
    <x:row r="487" ht="21" customHeight="1">
      <x:c r="A487" s="2" t="n">
        <x:v>41</x:v>
      </x:c>
      <x:c r="B487" s="2" t="str">
        <x:f>IF('Input_Meci'!A46="","",'Input_Meci'!A46)</x:f>
      </x:c>
      <x:c r="C487" s="2" t="str">
        <x:v>H</x:v>
      </x:c>
      <x:c r="D487" s="2" t="str">
        <x:v>CURRENT</x:v>
      </x:c>
      <x:c r="E487" s="2" t="str">
        <x:f>IF(B487="","",'Input_Meci'!B46)</x:f>
      </x:c>
      <x:c r="F487" s="2" t="str">
        <x:f>IF(B487="","",IF('Input_Meci'!C46="","",'Input_Meci'!C46))</x:f>
      </x:c>
      <x:c r="G487" s="2" t="str">
        <x:f>IF(B487="","",'Input_Meci'!D46)</x:f>
      </x:c>
      <x:c r="H487" s="2" t="str">
        <x:v>HOME</x:v>
      </x:c>
      <x:c r="I487" s="2" t="str">
        <x:v>HA</x:v>
      </x:c>
      <x:c r="J487" s="9" t="n">
        <x:f>IF(AND(B487&lt;&gt;"",ISNUMBER('Input_Meci'!G46)),INT('Input_Meci'!G46),0)</x:f>
        <x:v>0</x:v>
      </x:c>
      <x:c r="K487" s="2" t="n">
        <x:f>IF(OR(B487="",F487=""),0,IF(H487="HOME",COUNTIFS('Istoric_Nativ'!$B$6:$B$405,E487,'Istoric_Nativ'!$C$6:$C$405,F487,'Istoric_Nativ'!$E$6:$E$405,G487,'Istoric_Nativ'!$D$6:$D$405,"&lt;"&amp;J487,'Istoric_Nativ'!$P$6:$P$405,1),IF(H487="AWAY",COUNTIFS('Istoric_Nativ'!$B$6:$B$405,E487,'Istoric_Nativ'!$C$6:$C$405,F487,'Istoric_Nativ'!$F$6:$F$405,G487,'Istoric_Nativ'!$D$6:$D$405,"&lt;"&amp;J487,'Istoric_Nativ'!$P$6:$P$405,1),COUNTIFS('Istoric_Nativ'!$B$6:$B$405,E487,'Istoric_Nativ'!$C$6:$C$405,F487,'Istoric_Nativ'!$E$6:$E$405,G487,'Istoric_Nativ'!$D$6:$D$405,"&lt;"&amp;J487,'Istoric_Nativ'!$P$6:$P$405,1)+COUNTIFS('Istoric_Nativ'!$B$6:$B$405,E487,'Istoric_Nativ'!$C$6:$C$405,F487,'Istoric_Nativ'!$F$6:$F$405,G487,'Istoric_Nativ'!$D$6:$D$405,"&lt;"&amp;J487,'Istoric_Nativ'!$P$6:$P$405,1))))</x:f>
        <x:v>0</x:v>
      </x:c>
      <x:c r="L487" s="17" t="n">
        <x:f>IF(AND(B487&lt;&gt;"",I487="RECENT",K487&gt;0),LARGE(_xlfn._xlws.FILTER('Istoric_Nativ'!$D$6:$D$405,('Istoric_Nativ'!$B$6:$B$405=E487)*('Istoric_Nativ'!$C$6:$C$405=F487)*('Istoric_Nativ'!$P$6:$P$405=1)*('Istoric_Nativ'!$D$6:$D$405&lt;J487)*((('Istoric_Nativ'!$E$6:$E$405=G487)+('Istoric_Nativ'!$F$6:$F$405=G487))&gt;0)),MIN('Config_v6'!$B$54,K487)),0)</x:f>
        <x:v>0</x:v>
      </x:c>
      <x:c r="M487" s="2" t="n">
        <x:f>IF(OR(B487="",F487=""),0,IF(H487="HOME",COUNTIFS('Istoric_Nativ'!$B$6:$B$405,E487,'Istoric_Nativ'!$C$6:$C$405,F487,'Istoric_Nativ'!$E$6:$E$405,G487,'Istoric_Nativ'!$D$6:$D$405,"&lt;"&amp;J487,'Istoric_Nativ'!$P$6:$P$405,1,'Istoric_Nativ'!$D$6:$D$405,"&gt;="&amp;L487),IF(H487="AWAY",COUNTIFS('Istoric_Nativ'!$B$6:$B$405,E487,'Istoric_Nativ'!$C$6:$C$405,F487,'Istoric_Nativ'!$F$6:$F$405,G487,'Istoric_Nativ'!$D$6:$D$405,"&lt;"&amp;J487,'Istoric_Nativ'!$P$6:$P$405,1,'Istoric_Nativ'!$D$6:$D$405,"&gt;="&amp;L487),COUNTIFS('Istoric_Nativ'!$B$6:$B$405,E487,'Istoric_Nativ'!$C$6:$C$405,F487,'Istoric_Nativ'!$E$6:$E$405,G487,'Istoric_Nativ'!$D$6:$D$405,"&lt;"&amp;J487,'Istoric_Nativ'!$P$6:$P$405,1,'Istoric_Nativ'!$D$6:$D$405,"&gt;="&amp;L487)+COUNTIFS('Istoric_Nativ'!$B$6:$B$405,E487,'Istoric_Nativ'!$C$6:$C$405,F487,'Istoric_Nativ'!$F$6:$F$405,G487,'Istoric_Nativ'!$D$6:$D$405,"&lt;"&amp;J487,'Istoric_Nativ'!$P$6:$P$405,1,'Istoric_Nativ'!$D$6:$D$405,"&gt;="&amp;L487))))</x:f>
        <x:v>0</x:v>
      </x:c>
      <x:c r="N487" s="11" t="str">
        <x:f>IF(M487=0,"",IF(H487="HOME",SUMIFS('Istoric_Nativ'!$G$6:$G$405,'Istoric_Nativ'!$B$6:$B$405,E487,'Istoric_Nativ'!$C$6:$C$405,F487,'Istoric_Nativ'!$E$6:$E$405,G487,'Istoric_Nativ'!$D$6:$D$405,"&lt;"&amp;J487,'Istoric_Nativ'!$P$6:$P$405,1,'Istoric_Nativ'!$D$6:$D$405,"&gt;="&amp;L487),IF(H487="AWAY",SUMIFS('Istoric_Nativ'!$H$6:$H$405,'Istoric_Nativ'!$B$6:$B$405,E487,'Istoric_Nativ'!$C$6:$C$405,F487,'Istoric_Nativ'!$F$6:$F$405,G487,'Istoric_Nativ'!$D$6:$D$405,"&lt;"&amp;J487,'Istoric_Nativ'!$P$6:$P$405,1,'Istoric_Nativ'!$D$6:$D$405,"&gt;="&amp;L487),SUMIFS('Istoric_Nativ'!$G$6:$G$405,'Istoric_Nativ'!$B$6:$B$405,E487,'Istoric_Nativ'!$C$6:$C$405,F487,'Istoric_Nativ'!$E$6:$E$405,G487,'Istoric_Nativ'!$D$6:$D$405,"&lt;"&amp;J487,'Istoric_Nativ'!$P$6:$P$405,1,'Istoric_Nativ'!$D$6:$D$405,"&gt;="&amp;L487)+SUMIFS('Istoric_Nativ'!$H$6:$H$405,'Istoric_Nativ'!$B$6:$B$405,E487,'Istoric_Nativ'!$C$6:$C$405,F487,'Istoric_Nativ'!$F$6:$F$405,G487,'Istoric_Nativ'!$D$6:$D$405,"&lt;"&amp;J487,'Istoric_Nativ'!$P$6:$P$405,1,'Istoric_Nativ'!$D$6:$D$405,"&gt;="&amp;L487)))/M487)</x:f>
      </x:c>
      <x:c r="O487" s="11" t="str">
        <x:f>IF(M487=0,"",IF(H487="HOME",SUMIFS('Istoric_Nativ'!$H$6:$H$405,'Istoric_Nativ'!$B$6:$B$405,E487,'Istoric_Nativ'!$C$6:$C$405,F487,'Istoric_Nativ'!$E$6:$E$405,G487,'Istoric_Nativ'!$D$6:$D$405,"&lt;"&amp;J487,'Istoric_Nativ'!$P$6:$P$405,1,'Istoric_Nativ'!$D$6:$D$405,"&gt;="&amp;L487),IF(H487="AWAY",SUMIFS('Istoric_Nativ'!$G$6:$G$405,'Istoric_Nativ'!$B$6:$B$405,E487,'Istoric_Nativ'!$C$6:$C$405,F487,'Istoric_Nativ'!$F$6:$F$405,G487,'Istoric_Nativ'!$D$6:$D$405,"&lt;"&amp;J487,'Istoric_Nativ'!$P$6:$P$405,1,'Istoric_Nativ'!$D$6:$D$405,"&gt;="&amp;L487),SUMIFS('Istoric_Nativ'!$H$6:$H$405,'Istoric_Nativ'!$B$6:$B$405,E487,'Istoric_Nativ'!$C$6:$C$405,F487,'Istoric_Nativ'!$E$6:$E$405,G487,'Istoric_Nativ'!$D$6:$D$405,"&lt;"&amp;J487,'Istoric_Nativ'!$P$6:$P$405,1,'Istoric_Nativ'!$D$6:$D$405,"&gt;="&amp;L487)+SUMIFS('Istoric_Nativ'!$G$6:$G$405,'Istoric_Nativ'!$B$6:$B$405,E487,'Istoric_Nativ'!$C$6:$C$405,F487,'Istoric_Nativ'!$F$6:$F$405,G487,'Istoric_Nativ'!$D$6:$D$405,"&lt;"&amp;J487,'Istoric_Nativ'!$P$6:$P$405,1,'Istoric_Nativ'!$D$6:$D$405,"&gt;="&amp;L487)))/M487)</x:f>
      </x:c>
      <x:c r="P487" s="2" t="n">
        <x:f>'Config_v6'!$B$8</x:f>
        <x:v>5</x:v>
      </x:c>
      <x:c r="Q487" s="2" t="n">
        <x:f>IF(OR(B487="",F487=""),0,IFERROR(MATCH(E487&amp;"|"&amp;F487,SourceTable[Source_Key],0),0))</x:f>
        <x:v>0</x:v>
      </x:c>
      <x:c r="R487" s="2" t="str">
        <x:f>IF(B487="","",IF(F487="","UNUSED",IF(Q487=0,"NOT CHECKED",IF(COUNTIF(SourceTable[Source_Key],E487&amp;"|"&amp;F487)&lt;&gt;1,"SOURCE CONFLICT",IF(NOT(OR(INDEX(SourceTable[Status],MAX(1,Q487))="IMPORTED",INDEX(SourceTable[Status],MAX(1,Q487))="PARTIAL",INDEX(SourceTable[Status],MAX(1,Q487))="SOURCE CONFLICT")),"ACCESS BLOCKED",IF(OR(INDEX(SourceTable[Coverage],Q487)&lt;&gt;"FULL SEASON EXPORT",INDEX(SourceTable[URL],Q487)="",INDEX(SourceTable[SHA256],Q487)=""),"EVIDENCE INCOMPLETE",IF(AND('Input_Meci'!H46="LIVE",INDEX(SourceTable[Retrieved_UTC],Q487)&gt;'Input_Meci'!G46),"POST CUTOFF","CLOSED")))))))</x:f>
      </x:c>
      <x:c r="S487" s="2" t="n">
        <x:f>IF(OR(B487="",F487=""),0,COUNTIFS('Istoric_Nativ'!$B$6:$B$405,E487,'Istoric_Nativ'!$C$6:$C$405,F487,'Istoric_Nativ'!$E$6:$E$405,G487,'Istoric_Nativ'!$D$6:$D$405,"&lt;"&amp;J487,'Istoric_Nativ'!$O$6:$O$405,"INVALID")+COUNTIFS('Istoric_Nativ'!$B$6:$B$405,E487,'Istoric_Nativ'!$C$6:$C$405,F487,'Istoric_Nativ'!$E$6:$E$405,G487,'Istoric_Nativ'!$O$6:$O$405,"INVALID",'Istoric_Nativ'!$D$6:$D$405,"*")+COUNTIFS('Istoric_Nativ'!$B$6:$B$405,E487,'Istoric_Nativ'!$C$6:$C$405,F487,'Istoric_Nativ'!$E$6:$E$405,G487,'Istoric_Nativ'!$D$6:$D$405,"&lt;"&amp;J487,'Istoric_Nativ'!$O$6:$O$405,"SOURCE CONFLICT")+COUNTIFS('Istoric_Nativ'!$B$6:$B$405,E487,'Istoric_Nativ'!$C$6:$C$405,F487,'Istoric_Nativ'!$F$6:$F$405,G487,'Istoric_Nativ'!$D$6:$D$405,"&lt;"&amp;J487,'Istoric_Nativ'!$O$6:$O$405,"INVALID")+COUNTIFS('Istoric_Nativ'!$B$6:$B$405,E487,'Istoric_Nativ'!$C$6:$C$405,F487,'Istoric_Nativ'!$F$6:$F$405,G487,'Istoric_Nativ'!$O$6:$O$405,"INVALID",'Istoric_Nativ'!$D$6:$D$405,"*")+COUNTIFS('Istoric_Nativ'!$B$6:$B$405,E487,'Istoric_Nativ'!$C$6:$C$405,F487,'Istoric_Nativ'!$F$6:$F$405,G487,'Istoric_Nativ'!$D$6:$D$405,"&lt;"&amp;J487,'Istoric_Nativ'!$O$6:$O$405,"SOURCE CONFLICT"))</x:f>
        <x:v>0</x:v>
      </x:c>
      <x:c r="T487" s="2" t="str">
        <x:f>IF(B487="","",IF(R487&lt;&gt;"CLOSED",R487,IF(S487&gt;0,"NATIVE INPUT ISSUE",IF(M487=0,"NO HISTORY",IF(M487&lt;P487,"SMALL SAMPLE","DERIVED")))))</x:f>
      </x:c>
      <x:c r="U487" s="2" t="str">
        <x:f>IF(B487="","","NativeTable; "&amp;E487&amp;"; "&amp;F487&amp;"; "&amp;G487&amp;"; "&amp;H487&amp;"; before "&amp;TEXT(J487,"yyyy-mm-dd")&amp;IF(I487="RECENT","; from "&amp;TEXT(L487,"yyyy-mm-dd"),""))</x:f>
      </x:c>
    </x:row>
    <x:row r="488" ht="21" customHeight="1">
      <x:c r="A488" s="2" t="n">
        <x:v>41</x:v>
      </x:c>
      <x:c r="B488" s="2" t="str">
        <x:f>IF('Input_Meci'!A46="","",'Input_Meci'!A46)</x:f>
      </x:c>
      <x:c r="C488" s="2" t="str">
        <x:v>H</x:v>
      </x:c>
      <x:c r="D488" s="2" t="str">
        <x:v>CURRENT</x:v>
      </x:c>
      <x:c r="E488" s="2" t="str">
        <x:f>IF(B488="","",'Input_Meci'!B46)</x:f>
      </x:c>
      <x:c r="F488" s="2" t="str">
        <x:f>IF(B488="","",IF('Input_Meci'!C46="","",'Input_Meci'!C46))</x:f>
      </x:c>
      <x:c r="G488" s="2" t="str">
        <x:f>IF(B488="","",'Input_Meci'!D46)</x:f>
      </x:c>
      <x:c r="H488" s="2" t="str">
        <x:v>ANY</x:v>
      </x:c>
      <x:c r="I488" s="2" t="str">
        <x:v>RECENT</x:v>
      </x:c>
      <x:c r="J488" s="9" t="n">
        <x:f>IF(AND(B488&lt;&gt;"",ISNUMBER('Input_Meci'!G46)),INT('Input_Meci'!G46),0)</x:f>
        <x:v>0</x:v>
      </x:c>
      <x:c r="K488" s="2" t="n">
        <x:f>IF(OR(B488="",F488=""),0,IF(H488="HOME",COUNTIFS('Istoric_Nativ'!$B$6:$B$405,E488,'Istoric_Nativ'!$C$6:$C$405,F488,'Istoric_Nativ'!$E$6:$E$405,G488,'Istoric_Nativ'!$D$6:$D$405,"&lt;"&amp;J488,'Istoric_Nativ'!$P$6:$P$405,1),IF(H488="AWAY",COUNTIFS('Istoric_Nativ'!$B$6:$B$405,E488,'Istoric_Nativ'!$C$6:$C$405,F488,'Istoric_Nativ'!$F$6:$F$405,G488,'Istoric_Nativ'!$D$6:$D$405,"&lt;"&amp;J488,'Istoric_Nativ'!$P$6:$P$405,1),COUNTIFS('Istoric_Nativ'!$B$6:$B$405,E488,'Istoric_Nativ'!$C$6:$C$405,F488,'Istoric_Nativ'!$E$6:$E$405,G488,'Istoric_Nativ'!$D$6:$D$405,"&lt;"&amp;J488,'Istoric_Nativ'!$P$6:$P$405,1)+COUNTIFS('Istoric_Nativ'!$B$6:$B$405,E488,'Istoric_Nativ'!$C$6:$C$405,F488,'Istoric_Nativ'!$F$6:$F$405,G488,'Istoric_Nativ'!$D$6:$D$405,"&lt;"&amp;J488,'Istoric_Nativ'!$P$6:$P$405,1))))</x:f>
        <x:v>0</x:v>
      </x:c>
      <x:c r="L488" s="17" t="n">
        <x:f>IF(AND(B488&lt;&gt;"",I488="RECENT",K488&gt;0),LARGE(_xlfn._xlws.FILTER('Istoric_Nativ'!$D$6:$D$405,('Istoric_Nativ'!$B$6:$B$405=E488)*('Istoric_Nativ'!$C$6:$C$405=F488)*('Istoric_Nativ'!$P$6:$P$405=1)*('Istoric_Nativ'!$D$6:$D$405&lt;J488)*((('Istoric_Nativ'!$E$6:$E$405=G488)+('Istoric_Nativ'!$F$6:$F$405=G488))&gt;0)),MIN('Config_v6'!$B$54,K488)),0)</x:f>
        <x:v>0</x:v>
      </x:c>
      <x:c r="M488" s="2" t="n">
        <x:f>IF(OR(B488="",F488=""),0,IF(H488="HOME",COUNTIFS('Istoric_Nativ'!$B$6:$B$405,E488,'Istoric_Nativ'!$C$6:$C$405,F488,'Istoric_Nativ'!$E$6:$E$405,G488,'Istoric_Nativ'!$D$6:$D$405,"&lt;"&amp;J488,'Istoric_Nativ'!$P$6:$P$405,1,'Istoric_Nativ'!$D$6:$D$405,"&gt;="&amp;L488),IF(H488="AWAY",COUNTIFS('Istoric_Nativ'!$B$6:$B$405,E488,'Istoric_Nativ'!$C$6:$C$405,F488,'Istoric_Nativ'!$F$6:$F$405,G488,'Istoric_Nativ'!$D$6:$D$405,"&lt;"&amp;J488,'Istoric_Nativ'!$P$6:$P$405,1,'Istoric_Nativ'!$D$6:$D$405,"&gt;="&amp;L488),COUNTIFS('Istoric_Nativ'!$B$6:$B$405,E488,'Istoric_Nativ'!$C$6:$C$405,F488,'Istoric_Nativ'!$E$6:$E$405,G488,'Istoric_Nativ'!$D$6:$D$405,"&lt;"&amp;J488,'Istoric_Nativ'!$P$6:$P$405,1,'Istoric_Nativ'!$D$6:$D$405,"&gt;="&amp;L488)+COUNTIFS('Istoric_Nativ'!$B$6:$B$405,E488,'Istoric_Nativ'!$C$6:$C$405,F488,'Istoric_Nativ'!$F$6:$F$405,G488,'Istoric_Nativ'!$D$6:$D$405,"&lt;"&amp;J488,'Istoric_Nativ'!$P$6:$P$405,1,'Istoric_Nativ'!$D$6:$D$405,"&gt;="&amp;L488))))</x:f>
        <x:v>0</x:v>
      </x:c>
      <x:c r="N488" s="11" t="str">
        <x:f>IF(M488=0,"",IF(H488="HOME",SUMIFS('Istoric_Nativ'!$G$6:$G$405,'Istoric_Nativ'!$B$6:$B$405,E488,'Istoric_Nativ'!$C$6:$C$405,F488,'Istoric_Nativ'!$E$6:$E$405,G488,'Istoric_Nativ'!$D$6:$D$405,"&lt;"&amp;J488,'Istoric_Nativ'!$P$6:$P$405,1,'Istoric_Nativ'!$D$6:$D$405,"&gt;="&amp;L488),IF(H488="AWAY",SUMIFS('Istoric_Nativ'!$H$6:$H$405,'Istoric_Nativ'!$B$6:$B$405,E488,'Istoric_Nativ'!$C$6:$C$405,F488,'Istoric_Nativ'!$F$6:$F$405,G488,'Istoric_Nativ'!$D$6:$D$405,"&lt;"&amp;J488,'Istoric_Nativ'!$P$6:$P$405,1,'Istoric_Nativ'!$D$6:$D$405,"&gt;="&amp;L488),SUMIFS('Istoric_Nativ'!$G$6:$G$405,'Istoric_Nativ'!$B$6:$B$405,E488,'Istoric_Nativ'!$C$6:$C$405,F488,'Istoric_Nativ'!$E$6:$E$405,G488,'Istoric_Nativ'!$D$6:$D$405,"&lt;"&amp;J488,'Istoric_Nativ'!$P$6:$P$405,1,'Istoric_Nativ'!$D$6:$D$405,"&gt;="&amp;L488)+SUMIFS('Istoric_Nativ'!$H$6:$H$405,'Istoric_Nativ'!$B$6:$B$405,E488,'Istoric_Nativ'!$C$6:$C$405,F488,'Istoric_Nativ'!$F$6:$F$405,G488,'Istoric_Nativ'!$D$6:$D$405,"&lt;"&amp;J488,'Istoric_Nativ'!$P$6:$P$405,1,'Istoric_Nativ'!$D$6:$D$405,"&gt;="&amp;L488)))/M488)</x:f>
      </x:c>
      <x:c r="O488" s="11" t="str">
        <x:f>IF(M488=0,"",IF(H488="HOME",SUMIFS('Istoric_Nativ'!$H$6:$H$405,'Istoric_Nativ'!$B$6:$B$405,E488,'Istoric_Nativ'!$C$6:$C$405,F488,'Istoric_Nativ'!$E$6:$E$405,G488,'Istoric_Nativ'!$D$6:$D$405,"&lt;"&amp;J488,'Istoric_Nativ'!$P$6:$P$405,1,'Istoric_Nativ'!$D$6:$D$405,"&gt;="&amp;L488),IF(H488="AWAY",SUMIFS('Istoric_Nativ'!$G$6:$G$405,'Istoric_Nativ'!$B$6:$B$405,E488,'Istoric_Nativ'!$C$6:$C$405,F488,'Istoric_Nativ'!$F$6:$F$405,G488,'Istoric_Nativ'!$D$6:$D$405,"&lt;"&amp;J488,'Istoric_Nativ'!$P$6:$P$405,1,'Istoric_Nativ'!$D$6:$D$405,"&gt;="&amp;L488),SUMIFS('Istoric_Nativ'!$H$6:$H$405,'Istoric_Nativ'!$B$6:$B$405,E488,'Istoric_Nativ'!$C$6:$C$405,F488,'Istoric_Nativ'!$E$6:$E$405,G488,'Istoric_Nativ'!$D$6:$D$405,"&lt;"&amp;J488,'Istoric_Nativ'!$P$6:$P$405,1,'Istoric_Nativ'!$D$6:$D$405,"&gt;="&amp;L488)+SUMIFS('Istoric_Nativ'!$G$6:$G$405,'Istoric_Nativ'!$B$6:$B$405,E488,'Istoric_Nativ'!$C$6:$C$405,F488,'Istoric_Nativ'!$F$6:$F$405,G488,'Istoric_Nativ'!$D$6:$D$405,"&lt;"&amp;J488,'Istoric_Nativ'!$P$6:$P$405,1,'Istoric_Nativ'!$D$6:$D$405,"&gt;="&amp;L488)))/M488)</x:f>
      </x:c>
      <x:c r="P488" s="2" t="n">
        <x:f>'Config_v6'!$B$9</x:f>
        <x:v>3</x:v>
      </x:c>
      <x:c r="Q488" s="2" t="n">
        <x:f>IF(OR(B488="",F488=""),0,IFERROR(MATCH(E488&amp;"|"&amp;F488,SourceTable[Source_Key],0),0))</x:f>
        <x:v>0</x:v>
      </x:c>
      <x:c r="R488" s="2" t="str">
        <x:f>IF(B488="","",IF(F488="","UNUSED",IF(Q488=0,"NOT CHECKED",IF(COUNTIF(SourceTable[Source_Key],E488&amp;"|"&amp;F488)&lt;&gt;1,"SOURCE CONFLICT",IF(NOT(OR(INDEX(SourceTable[Status],MAX(1,Q488))="IMPORTED",INDEX(SourceTable[Status],MAX(1,Q488))="PARTIAL",INDEX(SourceTable[Status],MAX(1,Q488))="SOURCE CONFLICT")),"ACCESS BLOCKED",IF(OR(INDEX(SourceTable[Coverage],Q488)&lt;&gt;"FULL SEASON EXPORT",INDEX(SourceTable[URL],Q488)="",INDEX(SourceTable[SHA256],Q488)=""),"EVIDENCE INCOMPLETE",IF(AND('Input_Meci'!H46="LIVE",INDEX(SourceTable[Retrieved_UTC],Q488)&gt;'Input_Meci'!G46),"POST CUTOFF","CLOSED")))))))</x:f>
      </x:c>
      <x:c r="S488" s="2" t="n">
        <x:f>IF(OR(B488="",F488=""),0,COUNTIFS('Istoric_Nativ'!$B$6:$B$405,E488,'Istoric_Nativ'!$C$6:$C$405,F488,'Istoric_Nativ'!$E$6:$E$405,G488,'Istoric_Nativ'!$D$6:$D$405,"&lt;"&amp;J488,'Istoric_Nativ'!$O$6:$O$405,"INVALID")+COUNTIFS('Istoric_Nativ'!$B$6:$B$405,E488,'Istoric_Nativ'!$C$6:$C$405,F488,'Istoric_Nativ'!$E$6:$E$405,G488,'Istoric_Nativ'!$O$6:$O$405,"INVALID",'Istoric_Nativ'!$D$6:$D$405,"*")+COUNTIFS('Istoric_Nativ'!$B$6:$B$405,E488,'Istoric_Nativ'!$C$6:$C$405,F488,'Istoric_Nativ'!$E$6:$E$405,G488,'Istoric_Nativ'!$D$6:$D$405,"&lt;"&amp;J488,'Istoric_Nativ'!$O$6:$O$405,"SOURCE CONFLICT")+COUNTIFS('Istoric_Nativ'!$B$6:$B$405,E488,'Istoric_Nativ'!$C$6:$C$405,F488,'Istoric_Nativ'!$F$6:$F$405,G488,'Istoric_Nativ'!$D$6:$D$405,"&lt;"&amp;J488,'Istoric_Nativ'!$O$6:$O$405,"INVALID")+COUNTIFS('Istoric_Nativ'!$B$6:$B$405,E488,'Istoric_Nativ'!$C$6:$C$405,F488,'Istoric_Nativ'!$F$6:$F$405,G488,'Istoric_Nativ'!$O$6:$O$405,"INVALID",'Istoric_Nativ'!$D$6:$D$405,"*")+COUNTIFS('Istoric_Nativ'!$B$6:$B$405,E488,'Istoric_Nativ'!$C$6:$C$405,F488,'Istoric_Nativ'!$F$6:$F$405,G488,'Istoric_Nativ'!$D$6:$D$405,"&lt;"&amp;J488,'Istoric_Nativ'!$O$6:$O$405,"SOURCE CONFLICT"))</x:f>
        <x:v>0</x:v>
      </x:c>
      <x:c r="T488" s="2" t="str">
        <x:f>IF(B488="","",IF(R488&lt;&gt;"CLOSED",R488,IF(S488&gt;0,"NATIVE INPUT ISSUE",IF(M488=0,"NO HISTORY",IF(M488&lt;P488,"SMALL SAMPLE","DERIVED")))))</x:f>
      </x:c>
      <x:c r="U488" s="2" t="str">
        <x:f>IF(B488="","","NativeTable; "&amp;E488&amp;"; "&amp;F488&amp;"; "&amp;G488&amp;"; "&amp;H488&amp;"; before "&amp;TEXT(J488,"yyyy-mm-dd")&amp;IF(I488="RECENT","; from "&amp;TEXT(L488,"yyyy-mm-dd"),""))</x:f>
      </x:c>
    </x:row>
    <x:row r="489" ht="21" customHeight="1">
      <x:c r="A489" s="2" t="n">
        <x:v>41</x:v>
      </x:c>
      <x:c r="B489" s="2" t="str">
        <x:f>IF('Input_Meci'!A46="","",'Input_Meci'!A46)</x:f>
      </x:c>
      <x:c r="C489" s="2" t="str">
        <x:v>A</x:v>
      </x:c>
      <x:c r="D489" s="2" t="str">
        <x:v>CURRENT</x:v>
      </x:c>
      <x:c r="E489" s="2" t="str">
        <x:f>IF(B489="","",'Input_Meci'!B46)</x:f>
      </x:c>
      <x:c r="F489" s="2" t="str">
        <x:f>IF(B489="","",IF('Input_Meci'!C46="","",'Input_Meci'!C46))</x:f>
      </x:c>
      <x:c r="G489" s="2" t="str">
        <x:f>IF(B489="","",'Input_Meci'!E46)</x:f>
      </x:c>
      <x:c r="H489" s="2" t="str">
        <x:v>ANY</x:v>
      </x:c>
      <x:c r="I489" s="2" t="str">
        <x:v>SEASON</x:v>
      </x:c>
      <x:c r="J489" s="9" t="n">
        <x:f>IF(AND(B489&lt;&gt;"",ISNUMBER('Input_Meci'!G46)),INT('Input_Meci'!G46),0)</x:f>
        <x:v>0</x:v>
      </x:c>
      <x:c r="K489" s="2" t="n">
        <x:f>IF(OR(B489="",F489=""),0,IF(H489="HOME",COUNTIFS('Istoric_Nativ'!$B$6:$B$405,E489,'Istoric_Nativ'!$C$6:$C$405,F489,'Istoric_Nativ'!$E$6:$E$405,G489,'Istoric_Nativ'!$D$6:$D$405,"&lt;"&amp;J489,'Istoric_Nativ'!$P$6:$P$405,1),IF(H489="AWAY",COUNTIFS('Istoric_Nativ'!$B$6:$B$405,E489,'Istoric_Nativ'!$C$6:$C$405,F489,'Istoric_Nativ'!$F$6:$F$405,G489,'Istoric_Nativ'!$D$6:$D$405,"&lt;"&amp;J489,'Istoric_Nativ'!$P$6:$P$405,1),COUNTIFS('Istoric_Nativ'!$B$6:$B$405,E489,'Istoric_Nativ'!$C$6:$C$405,F489,'Istoric_Nativ'!$E$6:$E$405,G489,'Istoric_Nativ'!$D$6:$D$405,"&lt;"&amp;J489,'Istoric_Nativ'!$P$6:$P$405,1)+COUNTIFS('Istoric_Nativ'!$B$6:$B$405,E489,'Istoric_Nativ'!$C$6:$C$405,F489,'Istoric_Nativ'!$F$6:$F$405,G489,'Istoric_Nativ'!$D$6:$D$405,"&lt;"&amp;J489,'Istoric_Nativ'!$P$6:$P$405,1))))</x:f>
        <x:v>0</x:v>
      </x:c>
      <x:c r="L489" s="17" t="n">
        <x:f>IF(AND(B489&lt;&gt;"",I489="RECENT",K489&gt;0),LARGE(_xlfn._xlws.FILTER('Istoric_Nativ'!$D$6:$D$405,('Istoric_Nativ'!$B$6:$B$405=E489)*('Istoric_Nativ'!$C$6:$C$405=F489)*('Istoric_Nativ'!$P$6:$P$405=1)*('Istoric_Nativ'!$D$6:$D$405&lt;J489)*((('Istoric_Nativ'!$E$6:$E$405=G489)+('Istoric_Nativ'!$F$6:$F$405=G489))&gt;0)),MIN('Config_v6'!$B$54,K489)),0)</x:f>
        <x:v>0</x:v>
      </x:c>
      <x:c r="M489" s="2" t="n">
        <x:f>IF(OR(B489="",F489=""),0,IF(H489="HOME",COUNTIFS('Istoric_Nativ'!$B$6:$B$405,E489,'Istoric_Nativ'!$C$6:$C$405,F489,'Istoric_Nativ'!$E$6:$E$405,G489,'Istoric_Nativ'!$D$6:$D$405,"&lt;"&amp;J489,'Istoric_Nativ'!$P$6:$P$405,1,'Istoric_Nativ'!$D$6:$D$405,"&gt;="&amp;L489),IF(H489="AWAY",COUNTIFS('Istoric_Nativ'!$B$6:$B$405,E489,'Istoric_Nativ'!$C$6:$C$405,F489,'Istoric_Nativ'!$F$6:$F$405,G489,'Istoric_Nativ'!$D$6:$D$405,"&lt;"&amp;J489,'Istoric_Nativ'!$P$6:$P$405,1,'Istoric_Nativ'!$D$6:$D$405,"&gt;="&amp;L489),COUNTIFS('Istoric_Nativ'!$B$6:$B$405,E489,'Istoric_Nativ'!$C$6:$C$405,F489,'Istoric_Nativ'!$E$6:$E$405,G489,'Istoric_Nativ'!$D$6:$D$405,"&lt;"&amp;J489,'Istoric_Nativ'!$P$6:$P$405,1,'Istoric_Nativ'!$D$6:$D$405,"&gt;="&amp;L489)+COUNTIFS('Istoric_Nativ'!$B$6:$B$405,E489,'Istoric_Nativ'!$C$6:$C$405,F489,'Istoric_Nativ'!$F$6:$F$405,G489,'Istoric_Nativ'!$D$6:$D$405,"&lt;"&amp;J489,'Istoric_Nativ'!$P$6:$P$405,1,'Istoric_Nativ'!$D$6:$D$405,"&gt;="&amp;L489))))</x:f>
        <x:v>0</x:v>
      </x:c>
      <x:c r="N489" s="11" t="str">
        <x:f>IF(M489=0,"",IF(H489="HOME",SUMIFS('Istoric_Nativ'!$G$6:$G$405,'Istoric_Nativ'!$B$6:$B$405,E489,'Istoric_Nativ'!$C$6:$C$405,F489,'Istoric_Nativ'!$E$6:$E$405,G489,'Istoric_Nativ'!$D$6:$D$405,"&lt;"&amp;J489,'Istoric_Nativ'!$P$6:$P$405,1,'Istoric_Nativ'!$D$6:$D$405,"&gt;="&amp;L489),IF(H489="AWAY",SUMIFS('Istoric_Nativ'!$H$6:$H$405,'Istoric_Nativ'!$B$6:$B$405,E489,'Istoric_Nativ'!$C$6:$C$405,F489,'Istoric_Nativ'!$F$6:$F$405,G489,'Istoric_Nativ'!$D$6:$D$405,"&lt;"&amp;J489,'Istoric_Nativ'!$P$6:$P$405,1,'Istoric_Nativ'!$D$6:$D$405,"&gt;="&amp;L489),SUMIFS('Istoric_Nativ'!$G$6:$G$405,'Istoric_Nativ'!$B$6:$B$405,E489,'Istoric_Nativ'!$C$6:$C$405,F489,'Istoric_Nativ'!$E$6:$E$405,G489,'Istoric_Nativ'!$D$6:$D$405,"&lt;"&amp;J489,'Istoric_Nativ'!$P$6:$P$405,1,'Istoric_Nativ'!$D$6:$D$405,"&gt;="&amp;L489)+SUMIFS('Istoric_Nativ'!$H$6:$H$405,'Istoric_Nativ'!$B$6:$B$405,E489,'Istoric_Nativ'!$C$6:$C$405,F489,'Istoric_Nativ'!$F$6:$F$405,G489,'Istoric_Nativ'!$D$6:$D$405,"&lt;"&amp;J489,'Istoric_Nativ'!$P$6:$P$405,1,'Istoric_Nativ'!$D$6:$D$405,"&gt;="&amp;L489)))/M489)</x:f>
      </x:c>
      <x:c r="O489" s="11" t="str">
        <x:f>IF(M489=0,"",IF(H489="HOME",SUMIFS('Istoric_Nativ'!$H$6:$H$405,'Istoric_Nativ'!$B$6:$B$405,E489,'Istoric_Nativ'!$C$6:$C$405,F489,'Istoric_Nativ'!$E$6:$E$405,G489,'Istoric_Nativ'!$D$6:$D$405,"&lt;"&amp;J489,'Istoric_Nativ'!$P$6:$P$405,1,'Istoric_Nativ'!$D$6:$D$405,"&gt;="&amp;L489),IF(H489="AWAY",SUMIFS('Istoric_Nativ'!$G$6:$G$405,'Istoric_Nativ'!$B$6:$B$405,E489,'Istoric_Nativ'!$C$6:$C$405,F489,'Istoric_Nativ'!$F$6:$F$405,G489,'Istoric_Nativ'!$D$6:$D$405,"&lt;"&amp;J489,'Istoric_Nativ'!$P$6:$P$405,1,'Istoric_Nativ'!$D$6:$D$405,"&gt;="&amp;L489),SUMIFS('Istoric_Nativ'!$H$6:$H$405,'Istoric_Nativ'!$B$6:$B$405,E489,'Istoric_Nativ'!$C$6:$C$405,F489,'Istoric_Nativ'!$E$6:$E$405,G489,'Istoric_Nativ'!$D$6:$D$405,"&lt;"&amp;J489,'Istoric_Nativ'!$P$6:$P$405,1,'Istoric_Nativ'!$D$6:$D$405,"&gt;="&amp;L489)+SUMIFS('Istoric_Nativ'!$G$6:$G$405,'Istoric_Nativ'!$B$6:$B$405,E489,'Istoric_Nativ'!$C$6:$C$405,F489,'Istoric_Nativ'!$F$6:$F$405,G489,'Istoric_Nativ'!$D$6:$D$405,"&lt;"&amp;J489,'Istoric_Nativ'!$P$6:$P$405,1,'Istoric_Nativ'!$D$6:$D$405,"&gt;="&amp;L489)))/M489)</x:f>
      </x:c>
      <x:c r="P489" s="2" t="n">
        <x:f>'Config_v6'!$B$7</x:f>
        <x:v>10</x:v>
      </x:c>
      <x:c r="Q489" s="2" t="n">
        <x:f>IF(OR(B489="",F489=""),0,IFERROR(MATCH(E489&amp;"|"&amp;F489,SourceTable[Source_Key],0),0))</x:f>
        <x:v>0</x:v>
      </x:c>
      <x:c r="R489" s="2" t="str">
        <x:f>IF(B489="","",IF(F489="","UNUSED",IF(Q489=0,"NOT CHECKED",IF(COUNTIF(SourceTable[Source_Key],E489&amp;"|"&amp;F489)&lt;&gt;1,"SOURCE CONFLICT",IF(NOT(OR(INDEX(SourceTable[Status],MAX(1,Q489))="IMPORTED",INDEX(SourceTable[Status],MAX(1,Q489))="PARTIAL",INDEX(SourceTable[Status],MAX(1,Q489))="SOURCE CONFLICT")),"ACCESS BLOCKED",IF(OR(INDEX(SourceTable[Coverage],Q489)&lt;&gt;"FULL SEASON EXPORT",INDEX(SourceTable[URL],Q489)="",INDEX(SourceTable[SHA256],Q489)=""),"EVIDENCE INCOMPLETE",IF(AND('Input_Meci'!H46="LIVE",INDEX(SourceTable[Retrieved_UTC],Q489)&gt;'Input_Meci'!G46),"POST CUTOFF","CLOSED")))))))</x:f>
      </x:c>
      <x:c r="S489" s="2" t="n">
        <x:f>IF(OR(B489="",F489=""),0,COUNTIFS('Istoric_Nativ'!$B$6:$B$405,E489,'Istoric_Nativ'!$C$6:$C$405,F489,'Istoric_Nativ'!$E$6:$E$405,G489,'Istoric_Nativ'!$D$6:$D$405,"&lt;"&amp;J489,'Istoric_Nativ'!$O$6:$O$405,"INVALID")+COUNTIFS('Istoric_Nativ'!$B$6:$B$405,E489,'Istoric_Nativ'!$C$6:$C$405,F489,'Istoric_Nativ'!$E$6:$E$405,G489,'Istoric_Nativ'!$O$6:$O$405,"INVALID",'Istoric_Nativ'!$D$6:$D$405,"*")+COUNTIFS('Istoric_Nativ'!$B$6:$B$405,E489,'Istoric_Nativ'!$C$6:$C$405,F489,'Istoric_Nativ'!$E$6:$E$405,G489,'Istoric_Nativ'!$D$6:$D$405,"&lt;"&amp;J489,'Istoric_Nativ'!$O$6:$O$405,"SOURCE CONFLICT")+COUNTIFS('Istoric_Nativ'!$B$6:$B$405,E489,'Istoric_Nativ'!$C$6:$C$405,F489,'Istoric_Nativ'!$F$6:$F$405,G489,'Istoric_Nativ'!$D$6:$D$405,"&lt;"&amp;J489,'Istoric_Nativ'!$O$6:$O$405,"INVALID")+COUNTIFS('Istoric_Nativ'!$B$6:$B$405,E489,'Istoric_Nativ'!$C$6:$C$405,F489,'Istoric_Nativ'!$F$6:$F$405,G489,'Istoric_Nativ'!$O$6:$O$405,"INVALID",'Istoric_Nativ'!$D$6:$D$405,"*")+COUNTIFS('Istoric_Nativ'!$B$6:$B$405,E489,'Istoric_Nativ'!$C$6:$C$405,F489,'Istoric_Nativ'!$F$6:$F$405,G489,'Istoric_Nativ'!$D$6:$D$405,"&lt;"&amp;J489,'Istoric_Nativ'!$O$6:$O$405,"SOURCE CONFLICT"))</x:f>
        <x:v>0</x:v>
      </x:c>
      <x:c r="T489" s="2" t="str">
        <x:f>IF(B489="","",IF(R489&lt;&gt;"CLOSED",R489,IF(S489&gt;0,"NATIVE INPUT ISSUE",IF(M489=0,"NO HISTORY",IF(M489&lt;P489,"SMALL SAMPLE","DERIVED")))))</x:f>
      </x:c>
      <x:c r="U489" s="2" t="str">
        <x:f>IF(B489="","","NativeTable; "&amp;E489&amp;"; "&amp;F489&amp;"; "&amp;G489&amp;"; "&amp;H489&amp;"; before "&amp;TEXT(J489,"yyyy-mm-dd")&amp;IF(I489="RECENT","; from "&amp;TEXT(L489,"yyyy-mm-dd"),""))</x:f>
      </x:c>
    </x:row>
    <x:row r="490" ht="21" customHeight="1">
      <x:c r="A490" s="2" t="n">
        <x:v>41</x:v>
      </x:c>
      <x:c r="B490" s="2" t="str">
        <x:f>IF('Input_Meci'!A46="","",'Input_Meci'!A46)</x:f>
      </x:c>
      <x:c r="C490" s="2" t="str">
        <x:v>A</x:v>
      </x:c>
      <x:c r="D490" s="2" t="str">
        <x:v>CURRENT</x:v>
      </x:c>
      <x:c r="E490" s="2" t="str">
        <x:f>IF(B490="","",'Input_Meci'!B46)</x:f>
      </x:c>
      <x:c r="F490" s="2" t="str">
        <x:f>IF(B490="","",IF('Input_Meci'!C46="","",'Input_Meci'!C46))</x:f>
      </x:c>
      <x:c r="G490" s="2" t="str">
        <x:f>IF(B490="","",'Input_Meci'!E46)</x:f>
      </x:c>
      <x:c r="H490" s="2" t="str">
        <x:v>AWAY</x:v>
      </x:c>
      <x:c r="I490" s="2" t="str">
        <x:v>HA</x:v>
      </x:c>
      <x:c r="J490" s="9" t="n">
        <x:f>IF(AND(B490&lt;&gt;"",ISNUMBER('Input_Meci'!G46)),INT('Input_Meci'!G46),0)</x:f>
        <x:v>0</x:v>
      </x:c>
      <x:c r="K490" s="2" t="n">
        <x:f>IF(OR(B490="",F490=""),0,IF(H490="HOME",COUNTIFS('Istoric_Nativ'!$B$6:$B$405,E490,'Istoric_Nativ'!$C$6:$C$405,F490,'Istoric_Nativ'!$E$6:$E$405,G490,'Istoric_Nativ'!$D$6:$D$405,"&lt;"&amp;J490,'Istoric_Nativ'!$P$6:$P$405,1),IF(H490="AWAY",COUNTIFS('Istoric_Nativ'!$B$6:$B$405,E490,'Istoric_Nativ'!$C$6:$C$405,F490,'Istoric_Nativ'!$F$6:$F$405,G490,'Istoric_Nativ'!$D$6:$D$405,"&lt;"&amp;J490,'Istoric_Nativ'!$P$6:$P$405,1),COUNTIFS('Istoric_Nativ'!$B$6:$B$405,E490,'Istoric_Nativ'!$C$6:$C$405,F490,'Istoric_Nativ'!$E$6:$E$405,G490,'Istoric_Nativ'!$D$6:$D$405,"&lt;"&amp;J490,'Istoric_Nativ'!$P$6:$P$405,1)+COUNTIFS('Istoric_Nativ'!$B$6:$B$405,E490,'Istoric_Nativ'!$C$6:$C$405,F490,'Istoric_Nativ'!$F$6:$F$405,G490,'Istoric_Nativ'!$D$6:$D$405,"&lt;"&amp;J490,'Istoric_Nativ'!$P$6:$P$405,1))))</x:f>
        <x:v>0</x:v>
      </x:c>
      <x:c r="L490" s="17" t="n">
        <x:f>IF(AND(B490&lt;&gt;"",I490="RECENT",K490&gt;0),LARGE(_xlfn._xlws.FILTER('Istoric_Nativ'!$D$6:$D$405,('Istoric_Nativ'!$B$6:$B$405=E490)*('Istoric_Nativ'!$C$6:$C$405=F490)*('Istoric_Nativ'!$P$6:$P$405=1)*('Istoric_Nativ'!$D$6:$D$405&lt;J490)*((('Istoric_Nativ'!$E$6:$E$405=G490)+('Istoric_Nativ'!$F$6:$F$405=G490))&gt;0)),MIN('Config_v6'!$B$54,K490)),0)</x:f>
        <x:v>0</x:v>
      </x:c>
      <x:c r="M490" s="2" t="n">
        <x:f>IF(OR(B490="",F490=""),0,IF(H490="HOME",COUNTIFS('Istoric_Nativ'!$B$6:$B$405,E490,'Istoric_Nativ'!$C$6:$C$405,F490,'Istoric_Nativ'!$E$6:$E$405,G490,'Istoric_Nativ'!$D$6:$D$405,"&lt;"&amp;J490,'Istoric_Nativ'!$P$6:$P$405,1,'Istoric_Nativ'!$D$6:$D$405,"&gt;="&amp;L490),IF(H490="AWAY",COUNTIFS('Istoric_Nativ'!$B$6:$B$405,E490,'Istoric_Nativ'!$C$6:$C$405,F490,'Istoric_Nativ'!$F$6:$F$405,G490,'Istoric_Nativ'!$D$6:$D$405,"&lt;"&amp;J490,'Istoric_Nativ'!$P$6:$P$405,1,'Istoric_Nativ'!$D$6:$D$405,"&gt;="&amp;L490),COUNTIFS('Istoric_Nativ'!$B$6:$B$405,E490,'Istoric_Nativ'!$C$6:$C$405,F490,'Istoric_Nativ'!$E$6:$E$405,G490,'Istoric_Nativ'!$D$6:$D$405,"&lt;"&amp;J490,'Istoric_Nativ'!$P$6:$P$405,1,'Istoric_Nativ'!$D$6:$D$405,"&gt;="&amp;L490)+COUNTIFS('Istoric_Nativ'!$B$6:$B$405,E490,'Istoric_Nativ'!$C$6:$C$405,F490,'Istoric_Nativ'!$F$6:$F$405,G490,'Istoric_Nativ'!$D$6:$D$405,"&lt;"&amp;J490,'Istoric_Nativ'!$P$6:$P$405,1,'Istoric_Nativ'!$D$6:$D$405,"&gt;="&amp;L490))))</x:f>
        <x:v>0</x:v>
      </x:c>
      <x:c r="N490" s="11" t="str">
        <x:f>IF(M490=0,"",IF(H490="HOME",SUMIFS('Istoric_Nativ'!$G$6:$G$405,'Istoric_Nativ'!$B$6:$B$405,E490,'Istoric_Nativ'!$C$6:$C$405,F490,'Istoric_Nativ'!$E$6:$E$405,G490,'Istoric_Nativ'!$D$6:$D$405,"&lt;"&amp;J490,'Istoric_Nativ'!$P$6:$P$405,1,'Istoric_Nativ'!$D$6:$D$405,"&gt;="&amp;L490),IF(H490="AWAY",SUMIFS('Istoric_Nativ'!$H$6:$H$405,'Istoric_Nativ'!$B$6:$B$405,E490,'Istoric_Nativ'!$C$6:$C$405,F490,'Istoric_Nativ'!$F$6:$F$405,G490,'Istoric_Nativ'!$D$6:$D$405,"&lt;"&amp;J490,'Istoric_Nativ'!$P$6:$P$405,1,'Istoric_Nativ'!$D$6:$D$405,"&gt;="&amp;L490),SUMIFS('Istoric_Nativ'!$G$6:$G$405,'Istoric_Nativ'!$B$6:$B$405,E490,'Istoric_Nativ'!$C$6:$C$405,F490,'Istoric_Nativ'!$E$6:$E$405,G490,'Istoric_Nativ'!$D$6:$D$405,"&lt;"&amp;J490,'Istoric_Nativ'!$P$6:$P$405,1,'Istoric_Nativ'!$D$6:$D$405,"&gt;="&amp;L490)+SUMIFS('Istoric_Nativ'!$H$6:$H$405,'Istoric_Nativ'!$B$6:$B$405,E490,'Istoric_Nativ'!$C$6:$C$405,F490,'Istoric_Nativ'!$F$6:$F$405,G490,'Istoric_Nativ'!$D$6:$D$405,"&lt;"&amp;J490,'Istoric_Nativ'!$P$6:$P$405,1,'Istoric_Nativ'!$D$6:$D$405,"&gt;="&amp;L490)))/M490)</x:f>
      </x:c>
      <x:c r="O490" s="11" t="str">
        <x:f>IF(M490=0,"",IF(H490="HOME",SUMIFS('Istoric_Nativ'!$H$6:$H$405,'Istoric_Nativ'!$B$6:$B$405,E490,'Istoric_Nativ'!$C$6:$C$405,F490,'Istoric_Nativ'!$E$6:$E$405,G490,'Istoric_Nativ'!$D$6:$D$405,"&lt;"&amp;J490,'Istoric_Nativ'!$P$6:$P$405,1,'Istoric_Nativ'!$D$6:$D$405,"&gt;="&amp;L490),IF(H490="AWAY",SUMIFS('Istoric_Nativ'!$G$6:$G$405,'Istoric_Nativ'!$B$6:$B$405,E490,'Istoric_Nativ'!$C$6:$C$405,F490,'Istoric_Nativ'!$F$6:$F$405,G490,'Istoric_Nativ'!$D$6:$D$405,"&lt;"&amp;J490,'Istoric_Nativ'!$P$6:$P$405,1,'Istoric_Nativ'!$D$6:$D$405,"&gt;="&amp;L490),SUMIFS('Istoric_Nativ'!$H$6:$H$405,'Istoric_Nativ'!$B$6:$B$405,E490,'Istoric_Nativ'!$C$6:$C$405,F490,'Istoric_Nativ'!$E$6:$E$405,G490,'Istoric_Nativ'!$D$6:$D$405,"&lt;"&amp;J490,'Istoric_Nativ'!$P$6:$P$405,1,'Istoric_Nativ'!$D$6:$D$405,"&gt;="&amp;L490)+SUMIFS('Istoric_Nativ'!$G$6:$G$405,'Istoric_Nativ'!$B$6:$B$405,E490,'Istoric_Nativ'!$C$6:$C$405,F490,'Istoric_Nativ'!$F$6:$F$405,G490,'Istoric_Nativ'!$D$6:$D$405,"&lt;"&amp;J490,'Istoric_Nativ'!$P$6:$P$405,1,'Istoric_Nativ'!$D$6:$D$405,"&gt;="&amp;L490)))/M490)</x:f>
      </x:c>
      <x:c r="P490" s="2" t="n">
        <x:f>'Config_v6'!$B$8</x:f>
        <x:v>5</x:v>
      </x:c>
      <x:c r="Q490" s="2" t="n">
        <x:f>IF(OR(B490="",F490=""),0,IFERROR(MATCH(E490&amp;"|"&amp;F490,SourceTable[Source_Key],0),0))</x:f>
        <x:v>0</x:v>
      </x:c>
      <x:c r="R490" s="2" t="str">
        <x:f>IF(B490="","",IF(F490="","UNUSED",IF(Q490=0,"NOT CHECKED",IF(COUNTIF(SourceTable[Source_Key],E490&amp;"|"&amp;F490)&lt;&gt;1,"SOURCE CONFLICT",IF(NOT(OR(INDEX(SourceTable[Status],MAX(1,Q490))="IMPORTED",INDEX(SourceTable[Status],MAX(1,Q490))="PARTIAL",INDEX(SourceTable[Status],MAX(1,Q490))="SOURCE CONFLICT")),"ACCESS BLOCKED",IF(OR(INDEX(SourceTable[Coverage],Q490)&lt;&gt;"FULL SEASON EXPORT",INDEX(SourceTable[URL],Q490)="",INDEX(SourceTable[SHA256],Q490)=""),"EVIDENCE INCOMPLETE",IF(AND('Input_Meci'!H46="LIVE",INDEX(SourceTable[Retrieved_UTC],Q490)&gt;'Input_Meci'!G46),"POST CUTOFF","CLOSED")))))))</x:f>
      </x:c>
      <x:c r="S490" s="2" t="n">
        <x:f>IF(OR(B490="",F490=""),0,COUNTIFS('Istoric_Nativ'!$B$6:$B$405,E490,'Istoric_Nativ'!$C$6:$C$405,F490,'Istoric_Nativ'!$E$6:$E$405,G490,'Istoric_Nativ'!$D$6:$D$405,"&lt;"&amp;J490,'Istoric_Nativ'!$O$6:$O$405,"INVALID")+COUNTIFS('Istoric_Nativ'!$B$6:$B$405,E490,'Istoric_Nativ'!$C$6:$C$405,F490,'Istoric_Nativ'!$E$6:$E$405,G490,'Istoric_Nativ'!$O$6:$O$405,"INVALID",'Istoric_Nativ'!$D$6:$D$405,"*")+COUNTIFS('Istoric_Nativ'!$B$6:$B$405,E490,'Istoric_Nativ'!$C$6:$C$405,F490,'Istoric_Nativ'!$E$6:$E$405,G490,'Istoric_Nativ'!$D$6:$D$405,"&lt;"&amp;J490,'Istoric_Nativ'!$O$6:$O$405,"SOURCE CONFLICT")+COUNTIFS('Istoric_Nativ'!$B$6:$B$405,E490,'Istoric_Nativ'!$C$6:$C$405,F490,'Istoric_Nativ'!$F$6:$F$405,G490,'Istoric_Nativ'!$D$6:$D$405,"&lt;"&amp;J490,'Istoric_Nativ'!$O$6:$O$405,"INVALID")+COUNTIFS('Istoric_Nativ'!$B$6:$B$405,E490,'Istoric_Nativ'!$C$6:$C$405,F490,'Istoric_Nativ'!$F$6:$F$405,G490,'Istoric_Nativ'!$O$6:$O$405,"INVALID",'Istoric_Nativ'!$D$6:$D$405,"*")+COUNTIFS('Istoric_Nativ'!$B$6:$B$405,E490,'Istoric_Nativ'!$C$6:$C$405,F490,'Istoric_Nativ'!$F$6:$F$405,G490,'Istoric_Nativ'!$D$6:$D$405,"&lt;"&amp;J490,'Istoric_Nativ'!$O$6:$O$405,"SOURCE CONFLICT"))</x:f>
        <x:v>0</x:v>
      </x:c>
      <x:c r="T490" s="2" t="str">
        <x:f>IF(B490="","",IF(R490&lt;&gt;"CLOSED",R490,IF(S490&gt;0,"NATIVE INPUT ISSUE",IF(M490=0,"NO HISTORY",IF(M490&lt;P490,"SMALL SAMPLE","DERIVED")))))</x:f>
      </x:c>
      <x:c r="U490" s="2" t="str">
        <x:f>IF(B490="","","NativeTable; "&amp;E490&amp;"; "&amp;F490&amp;"; "&amp;G490&amp;"; "&amp;H490&amp;"; before "&amp;TEXT(J490,"yyyy-mm-dd")&amp;IF(I490="RECENT","; from "&amp;TEXT(L490,"yyyy-mm-dd"),""))</x:f>
      </x:c>
    </x:row>
    <x:row r="491" ht="21" customHeight="1">
      <x:c r="A491" s="2" t="n">
        <x:v>41</x:v>
      </x:c>
      <x:c r="B491" s="2" t="str">
        <x:f>IF('Input_Meci'!A46="","",'Input_Meci'!A46)</x:f>
      </x:c>
      <x:c r="C491" s="2" t="str">
        <x:v>A</x:v>
      </x:c>
      <x:c r="D491" s="2" t="str">
        <x:v>CURRENT</x:v>
      </x:c>
      <x:c r="E491" s="2" t="str">
        <x:f>IF(B491="","",'Input_Meci'!B46)</x:f>
      </x:c>
      <x:c r="F491" s="2" t="str">
        <x:f>IF(B491="","",IF('Input_Meci'!C46="","",'Input_Meci'!C46))</x:f>
      </x:c>
      <x:c r="G491" s="2" t="str">
        <x:f>IF(B491="","",'Input_Meci'!E46)</x:f>
      </x:c>
      <x:c r="H491" s="2" t="str">
        <x:v>ANY</x:v>
      </x:c>
      <x:c r="I491" s="2" t="str">
        <x:v>RECENT</x:v>
      </x:c>
      <x:c r="J491" s="9" t="n">
        <x:f>IF(AND(B491&lt;&gt;"",ISNUMBER('Input_Meci'!G46)),INT('Input_Meci'!G46),0)</x:f>
        <x:v>0</x:v>
      </x:c>
      <x:c r="K491" s="2" t="n">
        <x:f>IF(OR(B491="",F491=""),0,IF(H491="HOME",COUNTIFS('Istoric_Nativ'!$B$6:$B$405,E491,'Istoric_Nativ'!$C$6:$C$405,F491,'Istoric_Nativ'!$E$6:$E$405,G491,'Istoric_Nativ'!$D$6:$D$405,"&lt;"&amp;J491,'Istoric_Nativ'!$P$6:$P$405,1),IF(H491="AWAY",COUNTIFS('Istoric_Nativ'!$B$6:$B$405,E491,'Istoric_Nativ'!$C$6:$C$405,F491,'Istoric_Nativ'!$F$6:$F$405,G491,'Istoric_Nativ'!$D$6:$D$405,"&lt;"&amp;J491,'Istoric_Nativ'!$P$6:$P$405,1),COUNTIFS('Istoric_Nativ'!$B$6:$B$405,E491,'Istoric_Nativ'!$C$6:$C$405,F491,'Istoric_Nativ'!$E$6:$E$405,G491,'Istoric_Nativ'!$D$6:$D$405,"&lt;"&amp;J491,'Istoric_Nativ'!$P$6:$P$405,1)+COUNTIFS('Istoric_Nativ'!$B$6:$B$405,E491,'Istoric_Nativ'!$C$6:$C$405,F491,'Istoric_Nativ'!$F$6:$F$405,G491,'Istoric_Nativ'!$D$6:$D$405,"&lt;"&amp;J491,'Istoric_Nativ'!$P$6:$P$405,1))))</x:f>
        <x:v>0</x:v>
      </x:c>
      <x:c r="L491" s="17" t="n">
        <x:f>IF(AND(B491&lt;&gt;"",I491="RECENT",K491&gt;0),LARGE(_xlfn._xlws.FILTER('Istoric_Nativ'!$D$6:$D$405,('Istoric_Nativ'!$B$6:$B$405=E491)*('Istoric_Nativ'!$C$6:$C$405=F491)*('Istoric_Nativ'!$P$6:$P$405=1)*('Istoric_Nativ'!$D$6:$D$405&lt;J491)*((('Istoric_Nativ'!$E$6:$E$405=G491)+('Istoric_Nativ'!$F$6:$F$405=G491))&gt;0)),MIN('Config_v6'!$B$54,K491)),0)</x:f>
        <x:v>0</x:v>
      </x:c>
      <x:c r="M491" s="2" t="n">
        <x:f>IF(OR(B491="",F491=""),0,IF(H491="HOME",COUNTIFS('Istoric_Nativ'!$B$6:$B$405,E491,'Istoric_Nativ'!$C$6:$C$405,F491,'Istoric_Nativ'!$E$6:$E$405,G491,'Istoric_Nativ'!$D$6:$D$405,"&lt;"&amp;J491,'Istoric_Nativ'!$P$6:$P$405,1,'Istoric_Nativ'!$D$6:$D$405,"&gt;="&amp;L491),IF(H491="AWAY",COUNTIFS('Istoric_Nativ'!$B$6:$B$405,E491,'Istoric_Nativ'!$C$6:$C$405,F491,'Istoric_Nativ'!$F$6:$F$405,G491,'Istoric_Nativ'!$D$6:$D$405,"&lt;"&amp;J491,'Istoric_Nativ'!$P$6:$P$405,1,'Istoric_Nativ'!$D$6:$D$405,"&gt;="&amp;L491),COUNTIFS('Istoric_Nativ'!$B$6:$B$405,E491,'Istoric_Nativ'!$C$6:$C$405,F491,'Istoric_Nativ'!$E$6:$E$405,G491,'Istoric_Nativ'!$D$6:$D$405,"&lt;"&amp;J491,'Istoric_Nativ'!$P$6:$P$405,1,'Istoric_Nativ'!$D$6:$D$405,"&gt;="&amp;L491)+COUNTIFS('Istoric_Nativ'!$B$6:$B$405,E491,'Istoric_Nativ'!$C$6:$C$405,F491,'Istoric_Nativ'!$F$6:$F$405,G491,'Istoric_Nativ'!$D$6:$D$405,"&lt;"&amp;J491,'Istoric_Nativ'!$P$6:$P$405,1,'Istoric_Nativ'!$D$6:$D$405,"&gt;="&amp;L491))))</x:f>
        <x:v>0</x:v>
      </x:c>
      <x:c r="N491" s="11" t="str">
        <x:f>IF(M491=0,"",IF(H491="HOME",SUMIFS('Istoric_Nativ'!$G$6:$G$405,'Istoric_Nativ'!$B$6:$B$405,E491,'Istoric_Nativ'!$C$6:$C$405,F491,'Istoric_Nativ'!$E$6:$E$405,G491,'Istoric_Nativ'!$D$6:$D$405,"&lt;"&amp;J491,'Istoric_Nativ'!$P$6:$P$405,1,'Istoric_Nativ'!$D$6:$D$405,"&gt;="&amp;L491),IF(H491="AWAY",SUMIFS('Istoric_Nativ'!$H$6:$H$405,'Istoric_Nativ'!$B$6:$B$405,E491,'Istoric_Nativ'!$C$6:$C$405,F491,'Istoric_Nativ'!$F$6:$F$405,G491,'Istoric_Nativ'!$D$6:$D$405,"&lt;"&amp;J491,'Istoric_Nativ'!$P$6:$P$405,1,'Istoric_Nativ'!$D$6:$D$405,"&gt;="&amp;L491),SUMIFS('Istoric_Nativ'!$G$6:$G$405,'Istoric_Nativ'!$B$6:$B$405,E491,'Istoric_Nativ'!$C$6:$C$405,F491,'Istoric_Nativ'!$E$6:$E$405,G491,'Istoric_Nativ'!$D$6:$D$405,"&lt;"&amp;J491,'Istoric_Nativ'!$P$6:$P$405,1,'Istoric_Nativ'!$D$6:$D$405,"&gt;="&amp;L491)+SUMIFS('Istoric_Nativ'!$H$6:$H$405,'Istoric_Nativ'!$B$6:$B$405,E491,'Istoric_Nativ'!$C$6:$C$405,F491,'Istoric_Nativ'!$F$6:$F$405,G491,'Istoric_Nativ'!$D$6:$D$405,"&lt;"&amp;J491,'Istoric_Nativ'!$P$6:$P$405,1,'Istoric_Nativ'!$D$6:$D$405,"&gt;="&amp;L491)))/M491)</x:f>
      </x:c>
      <x:c r="O491" s="11" t="str">
        <x:f>IF(M491=0,"",IF(H491="HOME",SUMIFS('Istoric_Nativ'!$H$6:$H$405,'Istoric_Nativ'!$B$6:$B$405,E491,'Istoric_Nativ'!$C$6:$C$405,F491,'Istoric_Nativ'!$E$6:$E$405,G491,'Istoric_Nativ'!$D$6:$D$405,"&lt;"&amp;J491,'Istoric_Nativ'!$P$6:$P$405,1,'Istoric_Nativ'!$D$6:$D$405,"&gt;="&amp;L491),IF(H491="AWAY",SUMIFS('Istoric_Nativ'!$G$6:$G$405,'Istoric_Nativ'!$B$6:$B$405,E491,'Istoric_Nativ'!$C$6:$C$405,F491,'Istoric_Nativ'!$F$6:$F$405,G491,'Istoric_Nativ'!$D$6:$D$405,"&lt;"&amp;J491,'Istoric_Nativ'!$P$6:$P$405,1,'Istoric_Nativ'!$D$6:$D$405,"&gt;="&amp;L491),SUMIFS('Istoric_Nativ'!$H$6:$H$405,'Istoric_Nativ'!$B$6:$B$405,E491,'Istoric_Nativ'!$C$6:$C$405,F491,'Istoric_Nativ'!$E$6:$E$405,G491,'Istoric_Nativ'!$D$6:$D$405,"&lt;"&amp;J491,'Istoric_Nativ'!$P$6:$P$405,1,'Istoric_Nativ'!$D$6:$D$405,"&gt;="&amp;L491)+SUMIFS('Istoric_Nativ'!$G$6:$G$405,'Istoric_Nativ'!$B$6:$B$405,E491,'Istoric_Nativ'!$C$6:$C$405,F491,'Istoric_Nativ'!$F$6:$F$405,G491,'Istoric_Nativ'!$D$6:$D$405,"&lt;"&amp;J491,'Istoric_Nativ'!$P$6:$P$405,1,'Istoric_Nativ'!$D$6:$D$405,"&gt;="&amp;L491)))/M491)</x:f>
      </x:c>
      <x:c r="P491" s="2" t="n">
        <x:f>'Config_v6'!$B$9</x:f>
        <x:v>3</x:v>
      </x:c>
      <x:c r="Q491" s="2" t="n">
        <x:f>IF(OR(B491="",F491=""),0,IFERROR(MATCH(E491&amp;"|"&amp;F491,SourceTable[Source_Key],0),0))</x:f>
        <x:v>0</x:v>
      </x:c>
      <x:c r="R491" s="2" t="str">
        <x:f>IF(B491="","",IF(F491="","UNUSED",IF(Q491=0,"NOT CHECKED",IF(COUNTIF(SourceTable[Source_Key],E491&amp;"|"&amp;F491)&lt;&gt;1,"SOURCE CONFLICT",IF(NOT(OR(INDEX(SourceTable[Status],MAX(1,Q491))="IMPORTED",INDEX(SourceTable[Status],MAX(1,Q491))="PARTIAL",INDEX(SourceTable[Status],MAX(1,Q491))="SOURCE CONFLICT")),"ACCESS BLOCKED",IF(OR(INDEX(SourceTable[Coverage],Q491)&lt;&gt;"FULL SEASON EXPORT",INDEX(SourceTable[URL],Q491)="",INDEX(SourceTable[SHA256],Q491)=""),"EVIDENCE INCOMPLETE",IF(AND('Input_Meci'!H46="LIVE",INDEX(SourceTable[Retrieved_UTC],Q491)&gt;'Input_Meci'!G46),"POST CUTOFF","CLOSED")))))))</x:f>
      </x:c>
      <x:c r="S491" s="2" t="n">
        <x:f>IF(OR(B491="",F491=""),0,COUNTIFS('Istoric_Nativ'!$B$6:$B$405,E491,'Istoric_Nativ'!$C$6:$C$405,F491,'Istoric_Nativ'!$E$6:$E$405,G491,'Istoric_Nativ'!$D$6:$D$405,"&lt;"&amp;J491,'Istoric_Nativ'!$O$6:$O$405,"INVALID")+COUNTIFS('Istoric_Nativ'!$B$6:$B$405,E491,'Istoric_Nativ'!$C$6:$C$405,F491,'Istoric_Nativ'!$E$6:$E$405,G491,'Istoric_Nativ'!$O$6:$O$405,"INVALID",'Istoric_Nativ'!$D$6:$D$405,"*")+COUNTIFS('Istoric_Nativ'!$B$6:$B$405,E491,'Istoric_Nativ'!$C$6:$C$405,F491,'Istoric_Nativ'!$E$6:$E$405,G491,'Istoric_Nativ'!$D$6:$D$405,"&lt;"&amp;J491,'Istoric_Nativ'!$O$6:$O$405,"SOURCE CONFLICT")+COUNTIFS('Istoric_Nativ'!$B$6:$B$405,E491,'Istoric_Nativ'!$C$6:$C$405,F491,'Istoric_Nativ'!$F$6:$F$405,G491,'Istoric_Nativ'!$D$6:$D$405,"&lt;"&amp;J491,'Istoric_Nativ'!$O$6:$O$405,"INVALID")+COUNTIFS('Istoric_Nativ'!$B$6:$B$405,E491,'Istoric_Nativ'!$C$6:$C$405,F491,'Istoric_Nativ'!$F$6:$F$405,G491,'Istoric_Nativ'!$O$6:$O$405,"INVALID",'Istoric_Nativ'!$D$6:$D$405,"*")+COUNTIFS('Istoric_Nativ'!$B$6:$B$405,E491,'Istoric_Nativ'!$C$6:$C$405,F491,'Istoric_Nativ'!$F$6:$F$405,G491,'Istoric_Nativ'!$D$6:$D$405,"&lt;"&amp;J491,'Istoric_Nativ'!$O$6:$O$405,"SOURCE CONFLICT"))</x:f>
        <x:v>0</x:v>
      </x:c>
      <x:c r="T491" s="2" t="str">
        <x:f>IF(B491="","",IF(R491&lt;&gt;"CLOSED",R491,IF(S491&gt;0,"NATIVE INPUT ISSUE",IF(M491=0,"NO HISTORY",IF(M491&lt;P491,"SMALL SAMPLE","DERIVED")))))</x:f>
      </x:c>
      <x:c r="U491" s="2" t="str">
        <x:f>IF(B491="","","NativeTable; "&amp;E491&amp;"; "&amp;F491&amp;"; "&amp;G491&amp;"; "&amp;H491&amp;"; before "&amp;TEXT(J491,"yyyy-mm-dd")&amp;IF(I491="RECENT","; from "&amp;TEXT(L491,"yyyy-mm-dd"),""))</x:f>
      </x:c>
    </x:row>
    <x:row r="492" ht="21" customHeight="1">
      <x:c r="A492" s="2" t="n">
        <x:v>41</x:v>
      </x:c>
      <x:c r="B492" s="2" t="str">
        <x:f>IF('Input_Meci'!A46="","",'Input_Meci'!A46)</x:f>
      </x:c>
      <x:c r="C492" s="2" t="str">
        <x:v>H</x:v>
      </x:c>
      <x:c r="D492" s="2" t="str">
        <x:v>PRIOR</x:v>
      </x:c>
      <x:c r="E492" s="2" t="str">
        <x:f>IF(B492="","",'Input_Meci'!B46)</x:f>
      </x:c>
      <x:c r="F492" s="2" t="str">
        <x:f>IF(B492="","",IF('Input_Meci'!K46="","",'Input_Meci'!K46))</x:f>
      </x:c>
      <x:c r="G492" s="2" t="str">
        <x:f>IF(B492="","",'Input_Meci'!D46)</x:f>
      </x:c>
      <x:c r="H492" s="2" t="str">
        <x:v>ANY</x:v>
      </x:c>
      <x:c r="I492" s="2" t="str">
        <x:v>SEASON</x:v>
      </x:c>
      <x:c r="J492" s="9" t="n">
        <x:f>IF(AND(B492&lt;&gt;"",ISNUMBER('Input_Meci'!G46)),INT('Input_Meci'!G46),0)</x:f>
        <x:v>0</x:v>
      </x:c>
      <x:c r="K492" s="2" t="n">
        <x:f>IF(OR(B492="",F492=""),0,IF(H492="HOME",COUNTIFS('Istoric_Nativ'!$B$6:$B$405,E492,'Istoric_Nativ'!$C$6:$C$405,F492,'Istoric_Nativ'!$E$6:$E$405,G492,'Istoric_Nativ'!$D$6:$D$405,"&lt;"&amp;J492,'Istoric_Nativ'!$P$6:$P$405,1),IF(H492="AWAY",COUNTIFS('Istoric_Nativ'!$B$6:$B$405,E492,'Istoric_Nativ'!$C$6:$C$405,F492,'Istoric_Nativ'!$F$6:$F$405,G492,'Istoric_Nativ'!$D$6:$D$405,"&lt;"&amp;J492,'Istoric_Nativ'!$P$6:$P$405,1),COUNTIFS('Istoric_Nativ'!$B$6:$B$405,E492,'Istoric_Nativ'!$C$6:$C$405,F492,'Istoric_Nativ'!$E$6:$E$405,G492,'Istoric_Nativ'!$D$6:$D$405,"&lt;"&amp;J492,'Istoric_Nativ'!$P$6:$P$405,1)+COUNTIFS('Istoric_Nativ'!$B$6:$B$405,E492,'Istoric_Nativ'!$C$6:$C$405,F492,'Istoric_Nativ'!$F$6:$F$405,G492,'Istoric_Nativ'!$D$6:$D$405,"&lt;"&amp;J492,'Istoric_Nativ'!$P$6:$P$405,1))))</x:f>
        <x:v>0</x:v>
      </x:c>
      <x:c r="L492" s="17" t="n">
        <x:f>IF(AND(B492&lt;&gt;"",I492="RECENT",K492&gt;0),LARGE(_xlfn._xlws.FILTER('Istoric_Nativ'!$D$6:$D$405,('Istoric_Nativ'!$B$6:$B$405=E492)*('Istoric_Nativ'!$C$6:$C$405=F492)*('Istoric_Nativ'!$P$6:$P$405=1)*('Istoric_Nativ'!$D$6:$D$405&lt;J492)*((('Istoric_Nativ'!$E$6:$E$405=G492)+('Istoric_Nativ'!$F$6:$F$405=G492))&gt;0)),MIN('Config_v6'!$B$54,K492)),0)</x:f>
        <x:v>0</x:v>
      </x:c>
      <x:c r="M492" s="2" t="n">
        <x:f>IF(OR(B492="",F492=""),0,IF(H492="HOME",COUNTIFS('Istoric_Nativ'!$B$6:$B$405,E492,'Istoric_Nativ'!$C$6:$C$405,F492,'Istoric_Nativ'!$E$6:$E$405,G492,'Istoric_Nativ'!$D$6:$D$405,"&lt;"&amp;J492,'Istoric_Nativ'!$P$6:$P$405,1,'Istoric_Nativ'!$D$6:$D$405,"&gt;="&amp;L492),IF(H492="AWAY",COUNTIFS('Istoric_Nativ'!$B$6:$B$405,E492,'Istoric_Nativ'!$C$6:$C$405,F492,'Istoric_Nativ'!$F$6:$F$405,G492,'Istoric_Nativ'!$D$6:$D$405,"&lt;"&amp;J492,'Istoric_Nativ'!$P$6:$P$405,1,'Istoric_Nativ'!$D$6:$D$405,"&gt;="&amp;L492),COUNTIFS('Istoric_Nativ'!$B$6:$B$405,E492,'Istoric_Nativ'!$C$6:$C$405,F492,'Istoric_Nativ'!$E$6:$E$405,G492,'Istoric_Nativ'!$D$6:$D$405,"&lt;"&amp;J492,'Istoric_Nativ'!$P$6:$P$405,1,'Istoric_Nativ'!$D$6:$D$405,"&gt;="&amp;L492)+COUNTIFS('Istoric_Nativ'!$B$6:$B$405,E492,'Istoric_Nativ'!$C$6:$C$405,F492,'Istoric_Nativ'!$F$6:$F$405,G492,'Istoric_Nativ'!$D$6:$D$405,"&lt;"&amp;J492,'Istoric_Nativ'!$P$6:$P$405,1,'Istoric_Nativ'!$D$6:$D$405,"&gt;="&amp;L492))))</x:f>
        <x:v>0</x:v>
      </x:c>
      <x:c r="N492" s="11" t="str">
        <x:f>IF(M492=0,"",IF(H492="HOME",SUMIFS('Istoric_Nativ'!$G$6:$G$405,'Istoric_Nativ'!$B$6:$B$405,E492,'Istoric_Nativ'!$C$6:$C$405,F492,'Istoric_Nativ'!$E$6:$E$405,G492,'Istoric_Nativ'!$D$6:$D$405,"&lt;"&amp;J492,'Istoric_Nativ'!$P$6:$P$405,1,'Istoric_Nativ'!$D$6:$D$405,"&gt;="&amp;L492),IF(H492="AWAY",SUMIFS('Istoric_Nativ'!$H$6:$H$405,'Istoric_Nativ'!$B$6:$B$405,E492,'Istoric_Nativ'!$C$6:$C$405,F492,'Istoric_Nativ'!$F$6:$F$405,G492,'Istoric_Nativ'!$D$6:$D$405,"&lt;"&amp;J492,'Istoric_Nativ'!$P$6:$P$405,1,'Istoric_Nativ'!$D$6:$D$405,"&gt;="&amp;L492),SUMIFS('Istoric_Nativ'!$G$6:$G$405,'Istoric_Nativ'!$B$6:$B$405,E492,'Istoric_Nativ'!$C$6:$C$405,F492,'Istoric_Nativ'!$E$6:$E$405,G492,'Istoric_Nativ'!$D$6:$D$405,"&lt;"&amp;J492,'Istoric_Nativ'!$P$6:$P$405,1,'Istoric_Nativ'!$D$6:$D$405,"&gt;="&amp;L492)+SUMIFS('Istoric_Nativ'!$H$6:$H$405,'Istoric_Nativ'!$B$6:$B$405,E492,'Istoric_Nativ'!$C$6:$C$405,F492,'Istoric_Nativ'!$F$6:$F$405,G492,'Istoric_Nativ'!$D$6:$D$405,"&lt;"&amp;J492,'Istoric_Nativ'!$P$6:$P$405,1,'Istoric_Nativ'!$D$6:$D$405,"&gt;="&amp;L492)))/M492)</x:f>
      </x:c>
      <x:c r="O492" s="11" t="str">
        <x:f>IF(M492=0,"",IF(H492="HOME",SUMIFS('Istoric_Nativ'!$H$6:$H$405,'Istoric_Nativ'!$B$6:$B$405,E492,'Istoric_Nativ'!$C$6:$C$405,F492,'Istoric_Nativ'!$E$6:$E$405,G492,'Istoric_Nativ'!$D$6:$D$405,"&lt;"&amp;J492,'Istoric_Nativ'!$P$6:$P$405,1,'Istoric_Nativ'!$D$6:$D$405,"&gt;="&amp;L492),IF(H492="AWAY",SUMIFS('Istoric_Nativ'!$G$6:$G$405,'Istoric_Nativ'!$B$6:$B$405,E492,'Istoric_Nativ'!$C$6:$C$405,F492,'Istoric_Nativ'!$F$6:$F$405,G492,'Istoric_Nativ'!$D$6:$D$405,"&lt;"&amp;J492,'Istoric_Nativ'!$P$6:$P$405,1,'Istoric_Nativ'!$D$6:$D$405,"&gt;="&amp;L492),SUMIFS('Istoric_Nativ'!$H$6:$H$405,'Istoric_Nativ'!$B$6:$B$405,E492,'Istoric_Nativ'!$C$6:$C$405,F492,'Istoric_Nativ'!$E$6:$E$405,G492,'Istoric_Nativ'!$D$6:$D$405,"&lt;"&amp;J492,'Istoric_Nativ'!$P$6:$P$405,1,'Istoric_Nativ'!$D$6:$D$405,"&gt;="&amp;L492)+SUMIFS('Istoric_Nativ'!$G$6:$G$405,'Istoric_Nativ'!$B$6:$B$405,E492,'Istoric_Nativ'!$C$6:$C$405,F492,'Istoric_Nativ'!$F$6:$F$405,G492,'Istoric_Nativ'!$D$6:$D$405,"&lt;"&amp;J492,'Istoric_Nativ'!$P$6:$P$405,1,'Istoric_Nativ'!$D$6:$D$405,"&gt;="&amp;L492)))/M492)</x:f>
      </x:c>
      <x:c r="P492" s="2" t="n">
        <x:f>'Config_v6'!$B$7</x:f>
        <x:v>10</x:v>
      </x:c>
      <x:c r="Q492" s="2" t="n">
        <x:f>IF(OR(B492="",F492=""),0,IFERROR(MATCH(E492&amp;"|"&amp;F492,SourceTable[Source_Key],0),0))</x:f>
        <x:v>0</x:v>
      </x:c>
      <x:c r="R492" s="2" t="str">
        <x:f>IF(B492="","",IF(F492="","UNUSED",IF(Q492=0,"NOT CHECKED",IF(COUNTIF(SourceTable[Source_Key],E492&amp;"|"&amp;F492)&lt;&gt;1,"SOURCE CONFLICT",IF(NOT(OR(INDEX(SourceTable[Status],MAX(1,Q492))="IMPORTED",INDEX(SourceTable[Status],MAX(1,Q492))="PARTIAL",INDEX(SourceTable[Status],MAX(1,Q492))="SOURCE CONFLICT")),"ACCESS BLOCKED",IF(OR(INDEX(SourceTable[Coverage],Q492)&lt;&gt;"FULL SEASON EXPORT",INDEX(SourceTable[URL],Q492)="",INDEX(SourceTable[SHA256],Q492)=""),"EVIDENCE INCOMPLETE",IF(AND('Input_Meci'!H46="LIVE",INDEX(SourceTable[Retrieved_UTC],Q492)&gt;'Input_Meci'!G46),"POST CUTOFF","CLOSED")))))))</x:f>
      </x:c>
      <x:c r="S492" s="2" t="n">
        <x:f>IF(OR(B492="",F492=""),0,COUNTIFS('Istoric_Nativ'!$B$6:$B$405,E492,'Istoric_Nativ'!$C$6:$C$405,F492,'Istoric_Nativ'!$E$6:$E$405,G492,'Istoric_Nativ'!$D$6:$D$405,"&lt;"&amp;J492,'Istoric_Nativ'!$O$6:$O$405,"INVALID")+COUNTIFS('Istoric_Nativ'!$B$6:$B$405,E492,'Istoric_Nativ'!$C$6:$C$405,F492,'Istoric_Nativ'!$E$6:$E$405,G492,'Istoric_Nativ'!$O$6:$O$405,"INVALID",'Istoric_Nativ'!$D$6:$D$405,"*")+COUNTIFS('Istoric_Nativ'!$B$6:$B$405,E492,'Istoric_Nativ'!$C$6:$C$405,F492,'Istoric_Nativ'!$E$6:$E$405,G492,'Istoric_Nativ'!$D$6:$D$405,"&lt;"&amp;J492,'Istoric_Nativ'!$O$6:$O$405,"SOURCE CONFLICT")+COUNTIFS('Istoric_Nativ'!$B$6:$B$405,E492,'Istoric_Nativ'!$C$6:$C$405,F492,'Istoric_Nativ'!$F$6:$F$405,G492,'Istoric_Nativ'!$D$6:$D$405,"&lt;"&amp;J492,'Istoric_Nativ'!$O$6:$O$405,"INVALID")+COUNTIFS('Istoric_Nativ'!$B$6:$B$405,E492,'Istoric_Nativ'!$C$6:$C$405,F492,'Istoric_Nativ'!$F$6:$F$405,G492,'Istoric_Nativ'!$O$6:$O$405,"INVALID",'Istoric_Nativ'!$D$6:$D$405,"*")+COUNTIFS('Istoric_Nativ'!$B$6:$B$405,E492,'Istoric_Nativ'!$C$6:$C$405,F492,'Istoric_Nativ'!$F$6:$F$405,G492,'Istoric_Nativ'!$D$6:$D$405,"&lt;"&amp;J492,'Istoric_Nativ'!$O$6:$O$405,"SOURCE CONFLICT"))</x:f>
        <x:v>0</x:v>
      </x:c>
      <x:c r="T492" s="2" t="str">
        <x:f>IF(B492="","",IF(R492&lt;&gt;"CLOSED",R492,IF(S492&gt;0,"NATIVE INPUT ISSUE",IF(M492=0,"NO HISTORY",IF(M492&lt;P492,"SMALL SAMPLE","DERIVED")))))</x:f>
      </x:c>
      <x:c r="U492" s="2" t="str">
        <x:f>IF(B492="","","NativeTable; "&amp;E492&amp;"; "&amp;F492&amp;"; "&amp;G492&amp;"; "&amp;H492&amp;"; before "&amp;TEXT(J492,"yyyy-mm-dd")&amp;IF(I492="RECENT","; from "&amp;TEXT(L492,"yyyy-mm-dd"),""))</x:f>
      </x:c>
    </x:row>
    <x:row r="493" ht="21" customHeight="1">
      <x:c r="A493" s="2" t="n">
        <x:v>41</x:v>
      </x:c>
      <x:c r="B493" s="2" t="str">
        <x:f>IF('Input_Meci'!A46="","",'Input_Meci'!A46)</x:f>
      </x:c>
      <x:c r="C493" s="2" t="str">
        <x:v>H</x:v>
      </x:c>
      <x:c r="D493" s="2" t="str">
        <x:v>PRIOR</x:v>
      </x:c>
      <x:c r="E493" s="2" t="str">
        <x:f>IF(B493="","",'Input_Meci'!B46)</x:f>
      </x:c>
      <x:c r="F493" s="2" t="str">
        <x:f>IF(B493="","",IF('Input_Meci'!K46="","",'Input_Meci'!K46))</x:f>
      </x:c>
      <x:c r="G493" s="2" t="str">
        <x:f>IF(B493="","",'Input_Meci'!D46)</x:f>
      </x:c>
      <x:c r="H493" s="2" t="str">
        <x:v>HOME</x:v>
      </x:c>
      <x:c r="I493" s="2" t="str">
        <x:v>HA</x:v>
      </x:c>
      <x:c r="J493" s="9" t="n">
        <x:f>IF(AND(B493&lt;&gt;"",ISNUMBER('Input_Meci'!G46)),INT('Input_Meci'!G46),0)</x:f>
        <x:v>0</x:v>
      </x:c>
      <x:c r="K493" s="2" t="n">
        <x:f>IF(OR(B493="",F493=""),0,IF(H493="HOME",COUNTIFS('Istoric_Nativ'!$B$6:$B$405,E493,'Istoric_Nativ'!$C$6:$C$405,F493,'Istoric_Nativ'!$E$6:$E$405,G493,'Istoric_Nativ'!$D$6:$D$405,"&lt;"&amp;J493,'Istoric_Nativ'!$P$6:$P$405,1),IF(H493="AWAY",COUNTIFS('Istoric_Nativ'!$B$6:$B$405,E493,'Istoric_Nativ'!$C$6:$C$405,F493,'Istoric_Nativ'!$F$6:$F$405,G493,'Istoric_Nativ'!$D$6:$D$405,"&lt;"&amp;J493,'Istoric_Nativ'!$P$6:$P$405,1),COUNTIFS('Istoric_Nativ'!$B$6:$B$405,E493,'Istoric_Nativ'!$C$6:$C$405,F493,'Istoric_Nativ'!$E$6:$E$405,G493,'Istoric_Nativ'!$D$6:$D$405,"&lt;"&amp;J493,'Istoric_Nativ'!$P$6:$P$405,1)+COUNTIFS('Istoric_Nativ'!$B$6:$B$405,E493,'Istoric_Nativ'!$C$6:$C$405,F493,'Istoric_Nativ'!$F$6:$F$405,G493,'Istoric_Nativ'!$D$6:$D$405,"&lt;"&amp;J493,'Istoric_Nativ'!$P$6:$P$405,1))))</x:f>
        <x:v>0</x:v>
      </x:c>
      <x:c r="L493" s="17" t="n">
        <x:f>IF(AND(B493&lt;&gt;"",I493="RECENT",K493&gt;0),LARGE(_xlfn._xlws.FILTER('Istoric_Nativ'!$D$6:$D$405,('Istoric_Nativ'!$B$6:$B$405=E493)*('Istoric_Nativ'!$C$6:$C$405=F493)*('Istoric_Nativ'!$P$6:$P$405=1)*('Istoric_Nativ'!$D$6:$D$405&lt;J493)*((('Istoric_Nativ'!$E$6:$E$405=G493)+('Istoric_Nativ'!$F$6:$F$405=G493))&gt;0)),MIN('Config_v6'!$B$54,K493)),0)</x:f>
        <x:v>0</x:v>
      </x:c>
      <x:c r="M493" s="2" t="n">
        <x:f>IF(OR(B493="",F493=""),0,IF(H493="HOME",COUNTIFS('Istoric_Nativ'!$B$6:$B$405,E493,'Istoric_Nativ'!$C$6:$C$405,F493,'Istoric_Nativ'!$E$6:$E$405,G493,'Istoric_Nativ'!$D$6:$D$405,"&lt;"&amp;J493,'Istoric_Nativ'!$P$6:$P$405,1,'Istoric_Nativ'!$D$6:$D$405,"&gt;="&amp;L493),IF(H493="AWAY",COUNTIFS('Istoric_Nativ'!$B$6:$B$405,E493,'Istoric_Nativ'!$C$6:$C$405,F493,'Istoric_Nativ'!$F$6:$F$405,G493,'Istoric_Nativ'!$D$6:$D$405,"&lt;"&amp;J493,'Istoric_Nativ'!$P$6:$P$405,1,'Istoric_Nativ'!$D$6:$D$405,"&gt;="&amp;L493),COUNTIFS('Istoric_Nativ'!$B$6:$B$405,E493,'Istoric_Nativ'!$C$6:$C$405,F493,'Istoric_Nativ'!$E$6:$E$405,G493,'Istoric_Nativ'!$D$6:$D$405,"&lt;"&amp;J493,'Istoric_Nativ'!$P$6:$P$405,1,'Istoric_Nativ'!$D$6:$D$405,"&gt;="&amp;L493)+COUNTIFS('Istoric_Nativ'!$B$6:$B$405,E493,'Istoric_Nativ'!$C$6:$C$405,F493,'Istoric_Nativ'!$F$6:$F$405,G493,'Istoric_Nativ'!$D$6:$D$405,"&lt;"&amp;J493,'Istoric_Nativ'!$P$6:$P$405,1,'Istoric_Nativ'!$D$6:$D$405,"&gt;="&amp;L493))))</x:f>
        <x:v>0</x:v>
      </x:c>
      <x:c r="N493" s="11" t="str">
        <x:f>IF(M493=0,"",IF(H493="HOME",SUMIFS('Istoric_Nativ'!$G$6:$G$405,'Istoric_Nativ'!$B$6:$B$405,E493,'Istoric_Nativ'!$C$6:$C$405,F493,'Istoric_Nativ'!$E$6:$E$405,G493,'Istoric_Nativ'!$D$6:$D$405,"&lt;"&amp;J493,'Istoric_Nativ'!$P$6:$P$405,1,'Istoric_Nativ'!$D$6:$D$405,"&gt;="&amp;L493),IF(H493="AWAY",SUMIFS('Istoric_Nativ'!$H$6:$H$405,'Istoric_Nativ'!$B$6:$B$405,E493,'Istoric_Nativ'!$C$6:$C$405,F493,'Istoric_Nativ'!$F$6:$F$405,G493,'Istoric_Nativ'!$D$6:$D$405,"&lt;"&amp;J493,'Istoric_Nativ'!$P$6:$P$405,1,'Istoric_Nativ'!$D$6:$D$405,"&gt;="&amp;L493),SUMIFS('Istoric_Nativ'!$G$6:$G$405,'Istoric_Nativ'!$B$6:$B$405,E493,'Istoric_Nativ'!$C$6:$C$405,F493,'Istoric_Nativ'!$E$6:$E$405,G493,'Istoric_Nativ'!$D$6:$D$405,"&lt;"&amp;J493,'Istoric_Nativ'!$P$6:$P$405,1,'Istoric_Nativ'!$D$6:$D$405,"&gt;="&amp;L493)+SUMIFS('Istoric_Nativ'!$H$6:$H$405,'Istoric_Nativ'!$B$6:$B$405,E493,'Istoric_Nativ'!$C$6:$C$405,F493,'Istoric_Nativ'!$F$6:$F$405,G493,'Istoric_Nativ'!$D$6:$D$405,"&lt;"&amp;J493,'Istoric_Nativ'!$P$6:$P$405,1,'Istoric_Nativ'!$D$6:$D$405,"&gt;="&amp;L493)))/M493)</x:f>
      </x:c>
      <x:c r="O493" s="11" t="str">
        <x:f>IF(M493=0,"",IF(H493="HOME",SUMIFS('Istoric_Nativ'!$H$6:$H$405,'Istoric_Nativ'!$B$6:$B$405,E493,'Istoric_Nativ'!$C$6:$C$405,F493,'Istoric_Nativ'!$E$6:$E$405,G493,'Istoric_Nativ'!$D$6:$D$405,"&lt;"&amp;J493,'Istoric_Nativ'!$P$6:$P$405,1,'Istoric_Nativ'!$D$6:$D$405,"&gt;="&amp;L493),IF(H493="AWAY",SUMIFS('Istoric_Nativ'!$G$6:$G$405,'Istoric_Nativ'!$B$6:$B$405,E493,'Istoric_Nativ'!$C$6:$C$405,F493,'Istoric_Nativ'!$F$6:$F$405,G493,'Istoric_Nativ'!$D$6:$D$405,"&lt;"&amp;J493,'Istoric_Nativ'!$P$6:$P$405,1,'Istoric_Nativ'!$D$6:$D$405,"&gt;="&amp;L493),SUMIFS('Istoric_Nativ'!$H$6:$H$405,'Istoric_Nativ'!$B$6:$B$405,E493,'Istoric_Nativ'!$C$6:$C$405,F493,'Istoric_Nativ'!$E$6:$E$405,G493,'Istoric_Nativ'!$D$6:$D$405,"&lt;"&amp;J493,'Istoric_Nativ'!$P$6:$P$405,1,'Istoric_Nativ'!$D$6:$D$405,"&gt;="&amp;L493)+SUMIFS('Istoric_Nativ'!$G$6:$G$405,'Istoric_Nativ'!$B$6:$B$405,E493,'Istoric_Nativ'!$C$6:$C$405,F493,'Istoric_Nativ'!$F$6:$F$405,G493,'Istoric_Nativ'!$D$6:$D$405,"&lt;"&amp;J493,'Istoric_Nativ'!$P$6:$P$405,1,'Istoric_Nativ'!$D$6:$D$405,"&gt;="&amp;L493)))/M493)</x:f>
      </x:c>
      <x:c r="P493" s="2" t="n">
        <x:f>'Config_v6'!$B$8</x:f>
        <x:v>5</x:v>
      </x:c>
      <x:c r="Q493" s="2" t="n">
        <x:f>IF(OR(B493="",F493=""),0,IFERROR(MATCH(E493&amp;"|"&amp;F493,SourceTable[Source_Key],0),0))</x:f>
        <x:v>0</x:v>
      </x:c>
      <x:c r="R493" s="2" t="str">
        <x:f>IF(B493="","",IF(F493="","UNUSED",IF(Q493=0,"NOT CHECKED",IF(COUNTIF(SourceTable[Source_Key],E493&amp;"|"&amp;F493)&lt;&gt;1,"SOURCE CONFLICT",IF(NOT(OR(INDEX(SourceTable[Status],MAX(1,Q493))="IMPORTED",INDEX(SourceTable[Status],MAX(1,Q493))="PARTIAL",INDEX(SourceTable[Status],MAX(1,Q493))="SOURCE CONFLICT")),"ACCESS BLOCKED",IF(OR(INDEX(SourceTable[Coverage],Q493)&lt;&gt;"FULL SEASON EXPORT",INDEX(SourceTable[URL],Q493)="",INDEX(SourceTable[SHA256],Q493)=""),"EVIDENCE INCOMPLETE",IF(AND('Input_Meci'!H46="LIVE",INDEX(SourceTable[Retrieved_UTC],Q493)&gt;'Input_Meci'!G46),"POST CUTOFF","CLOSED")))))))</x:f>
      </x:c>
      <x:c r="S493" s="2" t="n">
        <x:f>IF(OR(B493="",F493=""),0,COUNTIFS('Istoric_Nativ'!$B$6:$B$405,E493,'Istoric_Nativ'!$C$6:$C$405,F493,'Istoric_Nativ'!$E$6:$E$405,G493,'Istoric_Nativ'!$D$6:$D$405,"&lt;"&amp;J493,'Istoric_Nativ'!$O$6:$O$405,"INVALID")+COUNTIFS('Istoric_Nativ'!$B$6:$B$405,E493,'Istoric_Nativ'!$C$6:$C$405,F493,'Istoric_Nativ'!$E$6:$E$405,G493,'Istoric_Nativ'!$O$6:$O$405,"INVALID",'Istoric_Nativ'!$D$6:$D$405,"*")+COUNTIFS('Istoric_Nativ'!$B$6:$B$405,E493,'Istoric_Nativ'!$C$6:$C$405,F493,'Istoric_Nativ'!$E$6:$E$405,G493,'Istoric_Nativ'!$D$6:$D$405,"&lt;"&amp;J493,'Istoric_Nativ'!$O$6:$O$405,"SOURCE CONFLICT")+COUNTIFS('Istoric_Nativ'!$B$6:$B$405,E493,'Istoric_Nativ'!$C$6:$C$405,F493,'Istoric_Nativ'!$F$6:$F$405,G493,'Istoric_Nativ'!$D$6:$D$405,"&lt;"&amp;J493,'Istoric_Nativ'!$O$6:$O$405,"INVALID")+COUNTIFS('Istoric_Nativ'!$B$6:$B$405,E493,'Istoric_Nativ'!$C$6:$C$405,F493,'Istoric_Nativ'!$F$6:$F$405,G493,'Istoric_Nativ'!$O$6:$O$405,"INVALID",'Istoric_Nativ'!$D$6:$D$405,"*")+COUNTIFS('Istoric_Nativ'!$B$6:$B$405,E493,'Istoric_Nativ'!$C$6:$C$405,F493,'Istoric_Nativ'!$F$6:$F$405,G493,'Istoric_Nativ'!$D$6:$D$405,"&lt;"&amp;J493,'Istoric_Nativ'!$O$6:$O$405,"SOURCE CONFLICT"))</x:f>
        <x:v>0</x:v>
      </x:c>
      <x:c r="T493" s="2" t="str">
        <x:f>IF(B493="","",IF(R493&lt;&gt;"CLOSED",R493,IF(S493&gt;0,"NATIVE INPUT ISSUE",IF(M493=0,"NO HISTORY",IF(M493&lt;P493,"SMALL SAMPLE","DERIVED")))))</x:f>
      </x:c>
      <x:c r="U493" s="2" t="str">
        <x:f>IF(B493="","","NativeTable; "&amp;E493&amp;"; "&amp;F493&amp;"; "&amp;G493&amp;"; "&amp;H493&amp;"; before "&amp;TEXT(J493,"yyyy-mm-dd")&amp;IF(I493="RECENT","; from "&amp;TEXT(L493,"yyyy-mm-dd"),""))</x:f>
      </x:c>
    </x:row>
    <x:row r="494" ht="21" customHeight="1">
      <x:c r="A494" s="2" t="n">
        <x:v>41</x:v>
      </x:c>
      <x:c r="B494" s="2" t="str">
        <x:f>IF('Input_Meci'!A46="","",'Input_Meci'!A46)</x:f>
      </x:c>
      <x:c r="C494" s="2" t="str">
        <x:v>H</x:v>
      </x:c>
      <x:c r="D494" s="2" t="str">
        <x:v>PRIOR</x:v>
      </x:c>
      <x:c r="E494" s="2" t="str">
        <x:f>IF(B494="","",'Input_Meci'!B46)</x:f>
      </x:c>
      <x:c r="F494" s="2" t="str">
        <x:f>IF(B494="","",IF('Input_Meci'!K46="","",'Input_Meci'!K46))</x:f>
      </x:c>
      <x:c r="G494" s="2" t="str">
        <x:f>IF(B494="","",'Input_Meci'!D46)</x:f>
      </x:c>
      <x:c r="H494" s="2" t="str">
        <x:v>ANY</x:v>
      </x:c>
      <x:c r="I494" s="2" t="str">
        <x:v>RECENT</x:v>
      </x:c>
      <x:c r="J494" s="9" t="n">
        <x:f>IF(AND(B494&lt;&gt;"",ISNUMBER('Input_Meci'!G46)),INT('Input_Meci'!G46),0)</x:f>
        <x:v>0</x:v>
      </x:c>
      <x:c r="K494" s="2" t="n">
        <x:f>IF(OR(B494="",F494=""),0,IF(H494="HOME",COUNTIFS('Istoric_Nativ'!$B$6:$B$405,E494,'Istoric_Nativ'!$C$6:$C$405,F494,'Istoric_Nativ'!$E$6:$E$405,G494,'Istoric_Nativ'!$D$6:$D$405,"&lt;"&amp;J494,'Istoric_Nativ'!$P$6:$P$405,1),IF(H494="AWAY",COUNTIFS('Istoric_Nativ'!$B$6:$B$405,E494,'Istoric_Nativ'!$C$6:$C$405,F494,'Istoric_Nativ'!$F$6:$F$405,G494,'Istoric_Nativ'!$D$6:$D$405,"&lt;"&amp;J494,'Istoric_Nativ'!$P$6:$P$405,1),COUNTIFS('Istoric_Nativ'!$B$6:$B$405,E494,'Istoric_Nativ'!$C$6:$C$405,F494,'Istoric_Nativ'!$E$6:$E$405,G494,'Istoric_Nativ'!$D$6:$D$405,"&lt;"&amp;J494,'Istoric_Nativ'!$P$6:$P$405,1)+COUNTIFS('Istoric_Nativ'!$B$6:$B$405,E494,'Istoric_Nativ'!$C$6:$C$405,F494,'Istoric_Nativ'!$F$6:$F$405,G494,'Istoric_Nativ'!$D$6:$D$405,"&lt;"&amp;J494,'Istoric_Nativ'!$P$6:$P$405,1))))</x:f>
        <x:v>0</x:v>
      </x:c>
      <x:c r="L494" s="17" t="n">
        <x:f>IF(AND(B494&lt;&gt;"",I494="RECENT",K494&gt;0),LARGE(_xlfn._xlws.FILTER('Istoric_Nativ'!$D$6:$D$405,('Istoric_Nativ'!$B$6:$B$405=E494)*('Istoric_Nativ'!$C$6:$C$405=F494)*('Istoric_Nativ'!$P$6:$P$405=1)*('Istoric_Nativ'!$D$6:$D$405&lt;J494)*((('Istoric_Nativ'!$E$6:$E$405=G494)+('Istoric_Nativ'!$F$6:$F$405=G494))&gt;0)),MIN('Config_v6'!$B$54,K494)),0)</x:f>
        <x:v>0</x:v>
      </x:c>
      <x:c r="M494" s="2" t="n">
        <x:f>IF(OR(B494="",F494=""),0,IF(H494="HOME",COUNTIFS('Istoric_Nativ'!$B$6:$B$405,E494,'Istoric_Nativ'!$C$6:$C$405,F494,'Istoric_Nativ'!$E$6:$E$405,G494,'Istoric_Nativ'!$D$6:$D$405,"&lt;"&amp;J494,'Istoric_Nativ'!$P$6:$P$405,1,'Istoric_Nativ'!$D$6:$D$405,"&gt;="&amp;L494),IF(H494="AWAY",COUNTIFS('Istoric_Nativ'!$B$6:$B$405,E494,'Istoric_Nativ'!$C$6:$C$405,F494,'Istoric_Nativ'!$F$6:$F$405,G494,'Istoric_Nativ'!$D$6:$D$405,"&lt;"&amp;J494,'Istoric_Nativ'!$P$6:$P$405,1,'Istoric_Nativ'!$D$6:$D$405,"&gt;="&amp;L494),COUNTIFS('Istoric_Nativ'!$B$6:$B$405,E494,'Istoric_Nativ'!$C$6:$C$405,F494,'Istoric_Nativ'!$E$6:$E$405,G494,'Istoric_Nativ'!$D$6:$D$405,"&lt;"&amp;J494,'Istoric_Nativ'!$P$6:$P$405,1,'Istoric_Nativ'!$D$6:$D$405,"&gt;="&amp;L494)+COUNTIFS('Istoric_Nativ'!$B$6:$B$405,E494,'Istoric_Nativ'!$C$6:$C$405,F494,'Istoric_Nativ'!$F$6:$F$405,G494,'Istoric_Nativ'!$D$6:$D$405,"&lt;"&amp;J494,'Istoric_Nativ'!$P$6:$P$405,1,'Istoric_Nativ'!$D$6:$D$405,"&gt;="&amp;L494))))</x:f>
        <x:v>0</x:v>
      </x:c>
      <x:c r="N494" s="11" t="str">
        <x:f>IF(M494=0,"",IF(H494="HOME",SUMIFS('Istoric_Nativ'!$G$6:$G$405,'Istoric_Nativ'!$B$6:$B$405,E494,'Istoric_Nativ'!$C$6:$C$405,F494,'Istoric_Nativ'!$E$6:$E$405,G494,'Istoric_Nativ'!$D$6:$D$405,"&lt;"&amp;J494,'Istoric_Nativ'!$P$6:$P$405,1,'Istoric_Nativ'!$D$6:$D$405,"&gt;="&amp;L494),IF(H494="AWAY",SUMIFS('Istoric_Nativ'!$H$6:$H$405,'Istoric_Nativ'!$B$6:$B$405,E494,'Istoric_Nativ'!$C$6:$C$405,F494,'Istoric_Nativ'!$F$6:$F$405,G494,'Istoric_Nativ'!$D$6:$D$405,"&lt;"&amp;J494,'Istoric_Nativ'!$P$6:$P$405,1,'Istoric_Nativ'!$D$6:$D$405,"&gt;="&amp;L494),SUMIFS('Istoric_Nativ'!$G$6:$G$405,'Istoric_Nativ'!$B$6:$B$405,E494,'Istoric_Nativ'!$C$6:$C$405,F494,'Istoric_Nativ'!$E$6:$E$405,G494,'Istoric_Nativ'!$D$6:$D$405,"&lt;"&amp;J494,'Istoric_Nativ'!$P$6:$P$405,1,'Istoric_Nativ'!$D$6:$D$405,"&gt;="&amp;L494)+SUMIFS('Istoric_Nativ'!$H$6:$H$405,'Istoric_Nativ'!$B$6:$B$405,E494,'Istoric_Nativ'!$C$6:$C$405,F494,'Istoric_Nativ'!$F$6:$F$405,G494,'Istoric_Nativ'!$D$6:$D$405,"&lt;"&amp;J494,'Istoric_Nativ'!$P$6:$P$405,1,'Istoric_Nativ'!$D$6:$D$405,"&gt;="&amp;L494)))/M494)</x:f>
      </x:c>
      <x:c r="O494" s="11" t="str">
        <x:f>IF(M494=0,"",IF(H494="HOME",SUMIFS('Istoric_Nativ'!$H$6:$H$405,'Istoric_Nativ'!$B$6:$B$405,E494,'Istoric_Nativ'!$C$6:$C$405,F494,'Istoric_Nativ'!$E$6:$E$405,G494,'Istoric_Nativ'!$D$6:$D$405,"&lt;"&amp;J494,'Istoric_Nativ'!$P$6:$P$405,1,'Istoric_Nativ'!$D$6:$D$405,"&gt;="&amp;L494),IF(H494="AWAY",SUMIFS('Istoric_Nativ'!$G$6:$G$405,'Istoric_Nativ'!$B$6:$B$405,E494,'Istoric_Nativ'!$C$6:$C$405,F494,'Istoric_Nativ'!$F$6:$F$405,G494,'Istoric_Nativ'!$D$6:$D$405,"&lt;"&amp;J494,'Istoric_Nativ'!$P$6:$P$405,1,'Istoric_Nativ'!$D$6:$D$405,"&gt;="&amp;L494),SUMIFS('Istoric_Nativ'!$H$6:$H$405,'Istoric_Nativ'!$B$6:$B$405,E494,'Istoric_Nativ'!$C$6:$C$405,F494,'Istoric_Nativ'!$E$6:$E$405,G494,'Istoric_Nativ'!$D$6:$D$405,"&lt;"&amp;J494,'Istoric_Nativ'!$P$6:$P$405,1,'Istoric_Nativ'!$D$6:$D$405,"&gt;="&amp;L494)+SUMIFS('Istoric_Nativ'!$G$6:$G$405,'Istoric_Nativ'!$B$6:$B$405,E494,'Istoric_Nativ'!$C$6:$C$405,F494,'Istoric_Nativ'!$F$6:$F$405,G494,'Istoric_Nativ'!$D$6:$D$405,"&lt;"&amp;J494,'Istoric_Nativ'!$P$6:$P$405,1,'Istoric_Nativ'!$D$6:$D$405,"&gt;="&amp;L494)))/M494)</x:f>
      </x:c>
      <x:c r="P494" s="2" t="n">
        <x:f>'Config_v6'!$B$9</x:f>
        <x:v>3</x:v>
      </x:c>
      <x:c r="Q494" s="2" t="n">
        <x:f>IF(OR(B494="",F494=""),0,IFERROR(MATCH(E494&amp;"|"&amp;F494,SourceTable[Source_Key],0),0))</x:f>
        <x:v>0</x:v>
      </x:c>
      <x:c r="R494" s="2" t="str">
        <x:f>IF(B494="","",IF(F494="","UNUSED",IF(Q494=0,"NOT CHECKED",IF(COUNTIF(SourceTable[Source_Key],E494&amp;"|"&amp;F494)&lt;&gt;1,"SOURCE CONFLICT",IF(NOT(OR(INDEX(SourceTable[Status],MAX(1,Q494))="IMPORTED",INDEX(SourceTable[Status],MAX(1,Q494))="PARTIAL",INDEX(SourceTable[Status],MAX(1,Q494))="SOURCE CONFLICT")),"ACCESS BLOCKED",IF(OR(INDEX(SourceTable[Coverage],Q494)&lt;&gt;"FULL SEASON EXPORT",INDEX(SourceTable[URL],Q494)="",INDEX(SourceTable[SHA256],Q494)=""),"EVIDENCE INCOMPLETE",IF(AND('Input_Meci'!H46="LIVE",INDEX(SourceTable[Retrieved_UTC],Q494)&gt;'Input_Meci'!G46),"POST CUTOFF","CLOSED")))))))</x:f>
      </x:c>
      <x:c r="S494" s="2" t="n">
        <x:f>IF(OR(B494="",F494=""),0,COUNTIFS('Istoric_Nativ'!$B$6:$B$405,E494,'Istoric_Nativ'!$C$6:$C$405,F494,'Istoric_Nativ'!$E$6:$E$405,G494,'Istoric_Nativ'!$D$6:$D$405,"&lt;"&amp;J494,'Istoric_Nativ'!$O$6:$O$405,"INVALID")+COUNTIFS('Istoric_Nativ'!$B$6:$B$405,E494,'Istoric_Nativ'!$C$6:$C$405,F494,'Istoric_Nativ'!$E$6:$E$405,G494,'Istoric_Nativ'!$O$6:$O$405,"INVALID",'Istoric_Nativ'!$D$6:$D$405,"*")+COUNTIFS('Istoric_Nativ'!$B$6:$B$405,E494,'Istoric_Nativ'!$C$6:$C$405,F494,'Istoric_Nativ'!$E$6:$E$405,G494,'Istoric_Nativ'!$D$6:$D$405,"&lt;"&amp;J494,'Istoric_Nativ'!$O$6:$O$405,"SOURCE CONFLICT")+COUNTIFS('Istoric_Nativ'!$B$6:$B$405,E494,'Istoric_Nativ'!$C$6:$C$405,F494,'Istoric_Nativ'!$F$6:$F$405,G494,'Istoric_Nativ'!$D$6:$D$405,"&lt;"&amp;J494,'Istoric_Nativ'!$O$6:$O$405,"INVALID")+COUNTIFS('Istoric_Nativ'!$B$6:$B$405,E494,'Istoric_Nativ'!$C$6:$C$405,F494,'Istoric_Nativ'!$F$6:$F$405,G494,'Istoric_Nativ'!$O$6:$O$405,"INVALID",'Istoric_Nativ'!$D$6:$D$405,"*")+COUNTIFS('Istoric_Nativ'!$B$6:$B$405,E494,'Istoric_Nativ'!$C$6:$C$405,F494,'Istoric_Nativ'!$F$6:$F$405,G494,'Istoric_Nativ'!$D$6:$D$405,"&lt;"&amp;J494,'Istoric_Nativ'!$O$6:$O$405,"SOURCE CONFLICT"))</x:f>
        <x:v>0</x:v>
      </x:c>
      <x:c r="T494" s="2" t="str">
        <x:f>IF(B494="","",IF(R494&lt;&gt;"CLOSED",R494,IF(S494&gt;0,"NATIVE INPUT ISSUE",IF(M494=0,"NO HISTORY",IF(M494&lt;P494,"SMALL SAMPLE","DERIVED")))))</x:f>
      </x:c>
      <x:c r="U494" s="2" t="str">
        <x:f>IF(B494="","","NativeTable; "&amp;E494&amp;"; "&amp;F494&amp;"; "&amp;G494&amp;"; "&amp;H494&amp;"; before "&amp;TEXT(J494,"yyyy-mm-dd")&amp;IF(I494="RECENT","; from "&amp;TEXT(L494,"yyyy-mm-dd"),""))</x:f>
      </x:c>
    </x:row>
    <x:row r="495" ht="21" customHeight="1">
      <x:c r="A495" s="2" t="n">
        <x:v>41</x:v>
      </x:c>
      <x:c r="B495" s="2" t="str">
        <x:f>IF('Input_Meci'!A46="","",'Input_Meci'!A46)</x:f>
      </x:c>
      <x:c r="C495" s="2" t="str">
        <x:v>A</x:v>
      </x:c>
      <x:c r="D495" s="2" t="str">
        <x:v>PRIOR</x:v>
      </x:c>
      <x:c r="E495" s="2" t="str">
        <x:f>IF(B495="","",'Input_Meci'!B46)</x:f>
      </x:c>
      <x:c r="F495" s="2" t="str">
        <x:f>IF(B495="","",IF('Input_Meci'!K46="","",'Input_Meci'!K46))</x:f>
      </x:c>
      <x:c r="G495" s="2" t="str">
        <x:f>IF(B495="","",'Input_Meci'!E46)</x:f>
      </x:c>
      <x:c r="H495" s="2" t="str">
        <x:v>ANY</x:v>
      </x:c>
      <x:c r="I495" s="2" t="str">
        <x:v>SEASON</x:v>
      </x:c>
      <x:c r="J495" s="9" t="n">
        <x:f>IF(AND(B495&lt;&gt;"",ISNUMBER('Input_Meci'!G46)),INT('Input_Meci'!G46),0)</x:f>
        <x:v>0</x:v>
      </x:c>
      <x:c r="K495" s="2" t="n">
        <x:f>IF(OR(B495="",F495=""),0,IF(H495="HOME",COUNTIFS('Istoric_Nativ'!$B$6:$B$405,E495,'Istoric_Nativ'!$C$6:$C$405,F495,'Istoric_Nativ'!$E$6:$E$405,G495,'Istoric_Nativ'!$D$6:$D$405,"&lt;"&amp;J495,'Istoric_Nativ'!$P$6:$P$405,1),IF(H495="AWAY",COUNTIFS('Istoric_Nativ'!$B$6:$B$405,E495,'Istoric_Nativ'!$C$6:$C$405,F495,'Istoric_Nativ'!$F$6:$F$405,G495,'Istoric_Nativ'!$D$6:$D$405,"&lt;"&amp;J495,'Istoric_Nativ'!$P$6:$P$405,1),COUNTIFS('Istoric_Nativ'!$B$6:$B$405,E495,'Istoric_Nativ'!$C$6:$C$405,F495,'Istoric_Nativ'!$E$6:$E$405,G495,'Istoric_Nativ'!$D$6:$D$405,"&lt;"&amp;J495,'Istoric_Nativ'!$P$6:$P$405,1)+COUNTIFS('Istoric_Nativ'!$B$6:$B$405,E495,'Istoric_Nativ'!$C$6:$C$405,F495,'Istoric_Nativ'!$F$6:$F$405,G495,'Istoric_Nativ'!$D$6:$D$405,"&lt;"&amp;J495,'Istoric_Nativ'!$P$6:$P$405,1))))</x:f>
        <x:v>0</x:v>
      </x:c>
      <x:c r="L495" s="17" t="n">
        <x:f>IF(AND(B495&lt;&gt;"",I495="RECENT",K495&gt;0),LARGE(_xlfn._xlws.FILTER('Istoric_Nativ'!$D$6:$D$405,('Istoric_Nativ'!$B$6:$B$405=E495)*('Istoric_Nativ'!$C$6:$C$405=F495)*('Istoric_Nativ'!$P$6:$P$405=1)*('Istoric_Nativ'!$D$6:$D$405&lt;J495)*((('Istoric_Nativ'!$E$6:$E$405=G495)+('Istoric_Nativ'!$F$6:$F$405=G495))&gt;0)),MIN('Config_v6'!$B$54,K495)),0)</x:f>
        <x:v>0</x:v>
      </x:c>
      <x:c r="M495" s="2" t="n">
        <x:f>IF(OR(B495="",F495=""),0,IF(H495="HOME",COUNTIFS('Istoric_Nativ'!$B$6:$B$405,E495,'Istoric_Nativ'!$C$6:$C$405,F495,'Istoric_Nativ'!$E$6:$E$405,G495,'Istoric_Nativ'!$D$6:$D$405,"&lt;"&amp;J495,'Istoric_Nativ'!$P$6:$P$405,1,'Istoric_Nativ'!$D$6:$D$405,"&gt;="&amp;L495),IF(H495="AWAY",COUNTIFS('Istoric_Nativ'!$B$6:$B$405,E495,'Istoric_Nativ'!$C$6:$C$405,F495,'Istoric_Nativ'!$F$6:$F$405,G495,'Istoric_Nativ'!$D$6:$D$405,"&lt;"&amp;J495,'Istoric_Nativ'!$P$6:$P$405,1,'Istoric_Nativ'!$D$6:$D$405,"&gt;="&amp;L495),COUNTIFS('Istoric_Nativ'!$B$6:$B$405,E495,'Istoric_Nativ'!$C$6:$C$405,F495,'Istoric_Nativ'!$E$6:$E$405,G495,'Istoric_Nativ'!$D$6:$D$405,"&lt;"&amp;J495,'Istoric_Nativ'!$P$6:$P$405,1,'Istoric_Nativ'!$D$6:$D$405,"&gt;="&amp;L495)+COUNTIFS('Istoric_Nativ'!$B$6:$B$405,E495,'Istoric_Nativ'!$C$6:$C$405,F495,'Istoric_Nativ'!$F$6:$F$405,G495,'Istoric_Nativ'!$D$6:$D$405,"&lt;"&amp;J495,'Istoric_Nativ'!$P$6:$P$405,1,'Istoric_Nativ'!$D$6:$D$405,"&gt;="&amp;L495))))</x:f>
        <x:v>0</x:v>
      </x:c>
      <x:c r="N495" s="11" t="str">
        <x:f>IF(M495=0,"",IF(H495="HOME",SUMIFS('Istoric_Nativ'!$G$6:$G$405,'Istoric_Nativ'!$B$6:$B$405,E495,'Istoric_Nativ'!$C$6:$C$405,F495,'Istoric_Nativ'!$E$6:$E$405,G495,'Istoric_Nativ'!$D$6:$D$405,"&lt;"&amp;J495,'Istoric_Nativ'!$P$6:$P$405,1,'Istoric_Nativ'!$D$6:$D$405,"&gt;="&amp;L495),IF(H495="AWAY",SUMIFS('Istoric_Nativ'!$H$6:$H$405,'Istoric_Nativ'!$B$6:$B$405,E495,'Istoric_Nativ'!$C$6:$C$405,F495,'Istoric_Nativ'!$F$6:$F$405,G495,'Istoric_Nativ'!$D$6:$D$405,"&lt;"&amp;J495,'Istoric_Nativ'!$P$6:$P$405,1,'Istoric_Nativ'!$D$6:$D$405,"&gt;="&amp;L495),SUMIFS('Istoric_Nativ'!$G$6:$G$405,'Istoric_Nativ'!$B$6:$B$405,E495,'Istoric_Nativ'!$C$6:$C$405,F495,'Istoric_Nativ'!$E$6:$E$405,G495,'Istoric_Nativ'!$D$6:$D$405,"&lt;"&amp;J495,'Istoric_Nativ'!$P$6:$P$405,1,'Istoric_Nativ'!$D$6:$D$405,"&gt;="&amp;L495)+SUMIFS('Istoric_Nativ'!$H$6:$H$405,'Istoric_Nativ'!$B$6:$B$405,E495,'Istoric_Nativ'!$C$6:$C$405,F495,'Istoric_Nativ'!$F$6:$F$405,G495,'Istoric_Nativ'!$D$6:$D$405,"&lt;"&amp;J495,'Istoric_Nativ'!$P$6:$P$405,1,'Istoric_Nativ'!$D$6:$D$405,"&gt;="&amp;L495)))/M495)</x:f>
      </x:c>
      <x:c r="O495" s="11" t="str">
        <x:f>IF(M495=0,"",IF(H495="HOME",SUMIFS('Istoric_Nativ'!$H$6:$H$405,'Istoric_Nativ'!$B$6:$B$405,E495,'Istoric_Nativ'!$C$6:$C$405,F495,'Istoric_Nativ'!$E$6:$E$405,G495,'Istoric_Nativ'!$D$6:$D$405,"&lt;"&amp;J495,'Istoric_Nativ'!$P$6:$P$405,1,'Istoric_Nativ'!$D$6:$D$405,"&gt;="&amp;L495),IF(H495="AWAY",SUMIFS('Istoric_Nativ'!$G$6:$G$405,'Istoric_Nativ'!$B$6:$B$405,E495,'Istoric_Nativ'!$C$6:$C$405,F495,'Istoric_Nativ'!$F$6:$F$405,G495,'Istoric_Nativ'!$D$6:$D$405,"&lt;"&amp;J495,'Istoric_Nativ'!$P$6:$P$405,1,'Istoric_Nativ'!$D$6:$D$405,"&gt;="&amp;L495),SUMIFS('Istoric_Nativ'!$H$6:$H$405,'Istoric_Nativ'!$B$6:$B$405,E495,'Istoric_Nativ'!$C$6:$C$405,F495,'Istoric_Nativ'!$E$6:$E$405,G495,'Istoric_Nativ'!$D$6:$D$405,"&lt;"&amp;J495,'Istoric_Nativ'!$P$6:$P$405,1,'Istoric_Nativ'!$D$6:$D$405,"&gt;="&amp;L495)+SUMIFS('Istoric_Nativ'!$G$6:$G$405,'Istoric_Nativ'!$B$6:$B$405,E495,'Istoric_Nativ'!$C$6:$C$405,F495,'Istoric_Nativ'!$F$6:$F$405,G495,'Istoric_Nativ'!$D$6:$D$405,"&lt;"&amp;J495,'Istoric_Nativ'!$P$6:$P$405,1,'Istoric_Nativ'!$D$6:$D$405,"&gt;="&amp;L495)))/M495)</x:f>
      </x:c>
      <x:c r="P495" s="2" t="n">
        <x:f>'Config_v6'!$B$7</x:f>
        <x:v>10</x:v>
      </x:c>
      <x:c r="Q495" s="2" t="n">
        <x:f>IF(OR(B495="",F495=""),0,IFERROR(MATCH(E495&amp;"|"&amp;F495,SourceTable[Source_Key],0),0))</x:f>
        <x:v>0</x:v>
      </x:c>
      <x:c r="R495" s="2" t="str">
        <x:f>IF(B495="","",IF(F495="","UNUSED",IF(Q495=0,"NOT CHECKED",IF(COUNTIF(SourceTable[Source_Key],E495&amp;"|"&amp;F495)&lt;&gt;1,"SOURCE CONFLICT",IF(NOT(OR(INDEX(SourceTable[Status],MAX(1,Q495))="IMPORTED",INDEX(SourceTable[Status],MAX(1,Q495))="PARTIAL",INDEX(SourceTable[Status],MAX(1,Q495))="SOURCE CONFLICT")),"ACCESS BLOCKED",IF(OR(INDEX(SourceTable[Coverage],Q495)&lt;&gt;"FULL SEASON EXPORT",INDEX(SourceTable[URL],Q495)="",INDEX(SourceTable[SHA256],Q495)=""),"EVIDENCE INCOMPLETE",IF(AND('Input_Meci'!H46="LIVE",INDEX(SourceTable[Retrieved_UTC],Q495)&gt;'Input_Meci'!G46),"POST CUTOFF","CLOSED")))))))</x:f>
      </x:c>
      <x:c r="S495" s="2" t="n">
        <x:f>IF(OR(B495="",F495=""),0,COUNTIFS('Istoric_Nativ'!$B$6:$B$405,E495,'Istoric_Nativ'!$C$6:$C$405,F495,'Istoric_Nativ'!$E$6:$E$405,G495,'Istoric_Nativ'!$D$6:$D$405,"&lt;"&amp;J495,'Istoric_Nativ'!$O$6:$O$405,"INVALID")+COUNTIFS('Istoric_Nativ'!$B$6:$B$405,E495,'Istoric_Nativ'!$C$6:$C$405,F495,'Istoric_Nativ'!$E$6:$E$405,G495,'Istoric_Nativ'!$O$6:$O$405,"INVALID",'Istoric_Nativ'!$D$6:$D$405,"*")+COUNTIFS('Istoric_Nativ'!$B$6:$B$405,E495,'Istoric_Nativ'!$C$6:$C$405,F495,'Istoric_Nativ'!$E$6:$E$405,G495,'Istoric_Nativ'!$D$6:$D$405,"&lt;"&amp;J495,'Istoric_Nativ'!$O$6:$O$405,"SOURCE CONFLICT")+COUNTIFS('Istoric_Nativ'!$B$6:$B$405,E495,'Istoric_Nativ'!$C$6:$C$405,F495,'Istoric_Nativ'!$F$6:$F$405,G495,'Istoric_Nativ'!$D$6:$D$405,"&lt;"&amp;J495,'Istoric_Nativ'!$O$6:$O$405,"INVALID")+COUNTIFS('Istoric_Nativ'!$B$6:$B$405,E495,'Istoric_Nativ'!$C$6:$C$405,F495,'Istoric_Nativ'!$F$6:$F$405,G495,'Istoric_Nativ'!$O$6:$O$405,"INVALID",'Istoric_Nativ'!$D$6:$D$405,"*")+COUNTIFS('Istoric_Nativ'!$B$6:$B$405,E495,'Istoric_Nativ'!$C$6:$C$405,F495,'Istoric_Nativ'!$F$6:$F$405,G495,'Istoric_Nativ'!$D$6:$D$405,"&lt;"&amp;J495,'Istoric_Nativ'!$O$6:$O$405,"SOURCE CONFLICT"))</x:f>
        <x:v>0</x:v>
      </x:c>
      <x:c r="T495" s="2" t="str">
        <x:f>IF(B495="","",IF(R495&lt;&gt;"CLOSED",R495,IF(S495&gt;0,"NATIVE INPUT ISSUE",IF(M495=0,"NO HISTORY",IF(M495&lt;P495,"SMALL SAMPLE","DERIVED")))))</x:f>
      </x:c>
      <x:c r="U495" s="2" t="str">
        <x:f>IF(B495="","","NativeTable; "&amp;E495&amp;"; "&amp;F495&amp;"; "&amp;G495&amp;"; "&amp;H495&amp;"; before "&amp;TEXT(J495,"yyyy-mm-dd")&amp;IF(I495="RECENT","; from "&amp;TEXT(L495,"yyyy-mm-dd"),""))</x:f>
      </x:c>
    </x:row>
    <x:row r="496" ht="21" customHeight="1">
      <x:c r="A496" s="2" t="n">
        <x:v>41</x:v>
      </x:c>
      <x:c r="B496" s="2" t="str">
        <x:f>IF('Input_Meci'!A46="","",'Input_Meci'!A46)</x:f>
      </x:c>
      <x:c r="C496" s="2" t="str">
        <x:v>A</x:v>
      </x:c>
      <x:c r="D496" s="2" t="str">
        <x:v>PRIOR</x:v>
      </x:c>
      <x:c r="E496" s="2" t="str">
        <x:f>IF(B496="","",'Input_Meci'!B46)</x:f>
      </x:c>
      <x:c r="F496" s="2" t="str">
        <x:f>IF(B496="","",IF('Input_Meci'!K46="","",'Input_Meci'!K46))</x:f>
      </x:c>
      <x:c r="G496" s="2" t="str">
        <x:f>IF(B496="","",'Input_Meci'!E46)</x:f>
      </x:c>
      <x:c r="H496" s="2" t="str">
        <x:v>AWAY</x:v>
      </x:c>
      <x:c r="I496" s="2" t="str">
        <x:v>HA</x:v>
      </x:c>
      <x:c r="J496" s="9" t="n">
        <x:f>IF(AND(B496&lt;&gt;"",ISNUMBER('Input_Meci'!G46)),INT('Input_Meci'!G46),0)</x:f>
        <x:v>0</x:v>
      </x:c>
      <x:c r="K496" s="2" t="n">
        <x:f>IF(OR(B496="",F496=""),0,IF(H496="HOME",COUNTIFS('Istoric_Nativ'!$B$6:$B$405,E496,'Istoric_Nativ'!$C$6:$C$405,F496,'Istoric_Nativ'!$E$6:$E$405,G496,'Istoric_Nativ'!$D$6:$D$405,"&lt;"&amp;J496,'Istoric_Nativ'!$P$6:$P$405,1),IF(H496="AWAY",COUNTIFS('Istoric_Nativ'!$B$6:$B$405,E496,'Istoric_Nativ'!$C$6:$C$405,F496,'Istoric_Nativ'!$F$6:$F$405,G496,'Istoric_Nativ'!$D$6:$D$405,"&lt;"&amp;J496,'Istoric_Nativ'!$P$6:$P$405,1),COUNTIFS('Istoric_Nativ'!$B$6:$B$405,E496,'Istoric_Nativ'!$C$6:$C$405,F496,'Istoric_Nativ'!$E$6:$E$405,G496,'Istoric_Nativ'!$D$6:$D$405,"&lt;"&amp;J496,'Istoric_Nativ'!$P$6:$P$405,1)+COUNTIFS('Istoric_Nativ'!$B$6:$B$405,E496,'Istoric_Nativ'!$C$6:$C$405,F496,'Istoric_Nativ'!$F$6:$F$405,G496,'Istoric_Nativ'!$D$6:$D$405,"&lt;"&amp;J496,'Istoric_Nativ'!$P$6:$P$405,1))))</x:f>
        <x:v>0</x:v>
      </x:c>
      <x:c r="L496" s="17" t="n">
        <x:f>IF(AND(B496&lt;&gt;"",I496="RECENT",K496&gt;0),LARGE(_xlfn._xlws.FILTER('Istoric_Nativ'!$D$6:$D$405,('Istoric_Nativ'!$B$6:$B$405=E496)*('Istoric_Nativ'!$C$6:$C$405=F496)*('Istoric_Nativ'!$P$6:$P$405=1)*('Istoric_Nativ'!$D$6:$D$405&lt;J496)*((('Istoric_Nativ'!$E$6:$E$405=G496)+('Istoric_Nativ'!$F$6:$F$405=G496))&gt;0)),MIN('Config_v6'!$B$54,K496)),0)</x:f>
        <x:v>0</x:v>
      </x:c>
      <x:c r="M496" s="2" t="n">
        <x:f>IF(OR(B496="",F496=""),0,IF(H496="HOME",COUNTIFS('Istoric_Nativ'!$B$6:$B$405,E496,'Istoric_Nativ'!$C$6:$C$405,F496,'Istoric_Nativ'!$E$6:$E$405,G496,'Istoric_Nativ'!$D$6:$D$405,"&lt;"&amp;J496,'Istoric_Nativ'!$P$6:$P$405,1,'Istoric_Nativ'!$D$6:$D$405,"&gt;="&amp;L496),IF(H496="AWAY",COUNTIFS('Istoric_Nativ'!$B$6:$B$405,E496,'Istoric_Nativ'!$C$6:$C$405,F496,'Istoric_Nativ'!$F$6:$F$405,G496,'Istoric_Nativ'!$D$6:$D$405,"&lt;"&amp;J496,'Istoric_Nativ'!$P$6:$P$405,1,'Istoric_Nativ'!$D$6:$D$405,"&gt;="&amp;L496),COUNTIFS('Istoric_Nativ'!$B$6:$B$405,E496,'Istoric_Nativ'!$C$6:$C$405,F496,'Istoric_Nativ'!$E$6:$E$405,G496,'Istoric_Nativ'!$D$6:$D$405,"&lt;"&amp;J496,'Istoric_Nativ'!$P$6:$P$405,1,'Istoric_Nativ'!$D$6:$D$405,"&gt;="&amp;L496)+COUNTIFS('Istoric_Nativ'!$B$6:$B$405,E496,'Istoric_Nativ'!$C$6:$C$405,F496,'Istoric_Nativ'!$F$6:$F$405,G496,'Istoric_Nativ'!$D$6:$D$405,"&lt;"&amp;J496,'Istoric_Nativ'!$P$6:$P$405,1,'Istoric_Nativ'!$D$6:$D$405,"&gt;="&amp;L496))))</x:f>
        <x:v>0</x:v>
      </x:c>
      <x:c r="N496" s="11" t="str">
        <x:f>IF(M496=0,"",IF(H496="HOME",SUMIFS('Istoric_Nativ'!$G$6:$G$405,'Istoric_Nativ'!$B$6:$B$405,E496,'Istoric_Nativ'!$C$6:$C$405,F496,'Istoric_Nativ'!$E$6:$E$405,G496,'Istoric_Nativ'!$D$6:$D$405,"&lt;"&amp;J496,'Istoric_Nativ'!$P$6:$P$405,1,'Istoric_Nativ'!$D$6:$D$405,"&gt;="&amp;L496),IF(H496="AWAY",SUMIFS('Istoric_Nativ'!$H$6:$H$405,'Istoric_Nativ'!$B$6:$B$405,E496,'Istoric_Nativ'!$C$6:$C$405,F496,'Istoric_Nativ'!$F$6:$F$405,G496,'Istoric_Nativ'!$D$6:$D$405,"&lt;"&amp;J496,'Istoric_Nativ'!$P$6:$P$405,1,'Istoric_Nativ'!$D$6:$D$405,"&gt;="&amp;L496),SUMIFS('Istoric_Nativ'!$G$6:$G$405,'Istoric_Nativ'!$B$6:$B$405,E496,'Istoric_Nativ'!$C$6:$C$405,F496,'Istoric_Nativ'!$E$6:$E$405,G496,'Istoric_Nativ'!$D$6:$D$405,"&lt;"&amp;J496,'Istoric_Nativ'!$P$6:$P$405,1,'Istoric_Nativ'!$D$6:$D$405,"&gt;="&amp;L496)+SUMIFS('Istoric_Nativ'!$H$6:$H$405,'Istoric_Nativ'!$B$6:$B$405,E496,'Istoric_Nativ'!$C$6:$C$405,F496,'Istoric_Nativ'!$F$6:$F$405,G496,'Istoric_Nativ'!$D$6:$D$405,"&lt;"&amp;J496,'Istoric_Nativ'!$P$6:$P$405,1,'Istoric_Nativ'!$D$6:$D$405,"&gt;="&amp;L496)))/M496)</x:f>
      </x:c>
      <x:c r="O496" s="11" t="str">
        <x:f>IF(M496=0,"",IF(H496="HOME",SUMIFS('Istoric_Nativ'!$H$6:$H$405,'Istoric_Nativ'!$B$6:$B$405,E496,'Istoric_Nativ'!$C$6:$C$405,F496,'Istoric_Nativ'!$E$6:$E$405,G496,'Istoric_Nativ'!$D$6:$D$405,"&lt;"&amp;J496,'Istoric_Nativ'!$P$6:$P$405,1,'Istoric_Nativ'!$D$6:$D$405,"&gt;="&amp;L496),IF(H496="AWAY",SUMIFS('Istoric_Nativ'!$G$6:$G$405,'Istoric_Nativ'!$B$6:$B$405,E496,'Istoric_Nativ'!$C$6:$C$405,F496,'Istoric_Nativ'!$F$6:$F$405,G496,'Istoric_Nativ'!$D$6:$D$405,"&lt;"&amp;J496,'Istoric_Nativ'!$P$6:$P$405,1,'Istoric_Nativ'!$D$6:$D$405,"&gt;="&amp;L496),SUMIFS('Istoric_Nativ'!$H$6:$H$405,'Istoric_Nativ'!$B$6:$B$405,E496,'Istoric_Nativ'!$C$6:$C$405,F496,'Istoric_Nativ'!$E$6:$E$405,G496,'Istoric_Nativ'!$D$6:$D$405,"&lt;"&amp;J496,'Istoric_Nativ'!$P$6:$P$405,1,'Istoric_Nativ'!$D$6:$D$405,"&gt;="&amp;L496)+SUMIFS('Istoric_Nativ'!$G$6:$G$405,'Istoric_Nativ'!$B$6:$B$405,E496,'Istoric_Nativ'!$C$6:$C$405,F496,'Istoric_Nativ'!$F$6:$F$405,G496,'Istoric_Nativ'!$D$6:$D$405,"&lt;"&amp;J496,'Istoric_Nativ'!$P$6:$P$405,1,'Istoric_Nativ'!$D$6:$D$405,"&gt;="&amp;L496)))/M496)</x:f>
      </x:c>
      <x:c r="P496" s="2" t="n">
        <x:f>'Config_v6'!$B$8</x:f>
        <x:v>5</x:v>
      </x:c>
      <x:c r="Q496" s="2" t="n">
        <x:f>IF(OR(B496="",F496=""),0,IFERROR(MATCH(E496&amp;"|"&amp;F496,SourceTable[Source_Key],0),0))</x:f>
        <x:v>0</x:v>
      </x:c>
      <x:c r="R496" s="2" t="str">
        <x:f>IF(B496="","",IF(F496="","UNUSED",IF(Q496=0,"NOT CHECKED",IF(COUNTIF(SourceTable[Source_Key],E496&amp;"|"&amp;F496)&lt;&gt;1,"SOURCE CONFLICT",IF(NOT(OR(INDEX(SourceTable[Status],MAX(1,Q496))="IMPORTED",INDEX(SourceTable[Status],MAX(1,Q496))="PARTIAL",INDEX(SourceTable[Status],MAX(1,Q496))="SOURCE CONFLICT")),"ACCESS BLOCKED",IF(OR(INDEX(SourceTable[Coverage],Q496)&lt;&gt;"FULL SEASON EXPORT",INDEX(SourceTable[URL],Q496)="",INDEX(SourceTable[SHA256],Q496)=""),"EVIDENCE INCOMPLETE",IF(AND('Input_Meci'!H46="LIVE",INDEX(SourceTable[Retrieved_UTC],Q496)&gt;'Input_Meci'!G46),"POST CUTOFF","CLOSED")))))))</x:f>
      </x:c>
      <x:c r="S496" s="2" t="n">
        <x:f>IF(OR(B496="",F496=""),0,COUNTIFS('Istoric_Nativ'!$B$6:$B$405,E496,'Istoric_Nativ'!$C$6:$C$405,F496,'Istoric_Nativ'!$E$6:$E$405,G496,'Istoric_Nativ'!$D$6:$D$405,"&lt;"&amp;J496,'Istoric_Nativ'!$O$6:$O$405,"INVALID")+COUNTIFS('Istoric_Nativ'!$B$6:$B$405,E496,'Istoric_Nativ'!$C$6:$C$405,F496,'Istoric_Nativ'!$E$6:$E$405,G496,'Istoric_Nativ'!$O$6:$O$405,"INVALID",'Istoric_Nativ'!$D$6:$D$405,"*")+COUNTIFS('Istoric_Nativ'!$B$6:$B$405,E496,'Istoric_Nativ'!$C$6:$C$405,F496,'Istoric_Nativ'!$E$6:$E$405,G496,'Istoric_Nativ'!$D$6:$D$405,"&lt;"&amp;J496,'Istoric_Nativ'!$O$6:$O$405,"SOURCE CONFLICT")+COUNTIFS('Istoric_Nativ'!$B$6:$B$405,E496,'Istoric_Nativ'!$C$6:$C$405,F496,'Istoric_Nativ'!$F$6:$F$405,G496,'Istoric_Nativ'!$D$6:$D$405,"&lt;"&amp;J496,'Istoric_Nativ'!$O$6:$O$405,"INVALID")+COUNTIFS('Istoric_Nativ'!$B$6:$B$405,E496,'Istoric_Nativ'!$C$6:$C$405,F496,'Istoric_Nativ'!$F$6:$F$405,G496,'Istoric_Nativ'!$O$6:$O$405,"INVALID",'Istoric_Nativ'!$D$6:$D$405,"*")+COUNTIFS('Istoric_Nativ'!$B$6:$B$405,E496,'Istoric_Nativ'!$C$6:$C$405,F496,'Istoric_Nativ'!$F$6:$F$405,G496,'Istoric_Nativ'!$D$6:$D$405,"&lt;"&amp;J496,'Istoric_Nativ'!$O$6:$O$405,"SOURCE CONFLICT"))</x:f>
        <x:v>0</x:v>
      </x:c>
      <x:c r="T496" s="2" t="str">
        <x:f>IF(B496="","",IF(R496&lt;&gt;"CLOSED",R496,IF(S496&gt;0,"NATIVE INPUT ISSUE",IF(M496=0,"NO HISTORY",IF(M496&lt;P496,"SMALL SAMPLE","DERIVED")))))</x:f>
      </x:c>
      <x:c r="U496" s="2" t="str">
        <x:f>IF(B496="","","NativeTable; "&amp;E496&amp;"; "&amp;F496&amp;"; "&amp;G496&amp;"; "&amp;H496&amp;"; before "&amp;TEXT(J496,"yyyy-mm-dd")&amp;IF(I496="RECENT","; from "&amp;TEXT(L496,"yyyy-mm-dd"),""))</x:f>
      </x:c>
    </x:row>
    <x:row r="497" ht="21" customHeight="1">
      <x:c r="A497" s="2" t="n">
        <x:v>41</x:v>
      </x:c>
      <x:c r="B497" s="2" t="str">
        <x:f>IF('Input_Meci'!A46="","",'Input_Meci'!A46)</x:f>
      </x:c>
      <x:c r="C497" s="2" t="str">
        <x:v>A</x:v>
      </x:c>
      <x:c r="D497" s="2" t="str">
        <x:v>PRIOR</x:v>
      </x:c>
      <x:c r="E497" s="2" t="str">
        <x:f>IF(B497="","",'Input_Meci'!B46)</x:f>
      </x:c>
      <x:c r="F497" s="2" t="str">
        <x:f>IF(B497="","",IF('Input_Meci'!K46="","",'Input_Meci'!K46))</x:f>
      </x:c>
      <x:c r="G497" s="2" t="str">
        <x:f>IF(B497="","",'Input_Meci'!E46)</x:f>
      </x:c>
      <x:c r="H497" s="2" t="str">
        <x:v>ANY</x:v>
      </x:c>
      <x:c r="I497" s="2" t="str">
        <x:v>RECENT</x:v>
      </x:c>
      <x:c r="J497" s="9" t="n">
        <x:f>IF(AND(B497&lt;&gt;"",ISNUMBER('Input_Meci'!G46)),INT('Input_Meci'!G46),0)</x:f>
        <x:v>0</x:v>
      </x:c>
      <x:c r="K497" s="2" t="n">
        <x:f>IF(OR(B497="",F497=""),0,IF(H497="HOME",COUNTIFS('Istoric_Nativ'!$B$6:$B$405,E497,'Istoric_Nativ'!$C$6:$C$405,F497,'Istoric_Nativ'!$E$6:$E$405,G497,'Istoric_Nativ'!$D$6:$D$405,"&lt;"&amp;J497,'Istoric_Nativ'!$P$6:$P$405,1),IF(H497="AWAY",COUNTIFS('Istoric_Nativ'!$B$6:$B$405,E497,'Istoric_Nativ'!$C$6:$C$405,F497,'Istoric_Nativ'!$F$6:$F$405,G497,'Istoric_Nativ'!$D$6:$D$405,"&lt;"&amp;J497,'Istoric_Nativ'!$P$6:$P$405,1),COUNTIFS('Istoric_Nativ'!$B$6:$B$405,E497,'Istoric_Nativ'!$C$6:$C$405,F497,'Istoric_Nativ'!$E$6:$E$405,G497,'Istoric_Nativ'!$D$6:$D$405,"&lt;"&amp;J497,'Istoric_Nativ'!$P$6:$P$405,1)+COUNTIFS('Istoric_Nativ'!$B$6:$B$405,E497,'Istoric_Nativ'!$C$6:$C$405,F497,'Istoric_Nativ'!$F$6:$F$405,G497,'Istoric_Nativ'!$D$6:$D$405,"&lt;"&amp;J497,'Istoric_Nativ'!$P$6:$P$405,1))))</x:f>
        <x:v>0</x:v>
      </x:c>
      <x:c r="L497" s="17" t="n">
        <x:f>IF(AND(B497&lt;&gt;"",I497="RECENT",K497&gt;0),LARGE(_xlfn._xlws.FILTER('Istoric_Nativ'!$D$6:$D$405,('Istoric_Nativ'!$B$6:$B$405=E497)*('Istoric_Nativ'!$C$6:$C$405=F497)*('Istoric_Nativ'!$P$6:$P$405=1)*('Istoric_Nativ'!$D$6:$D$405&lt;J497)*((('Istoric_Nativ'!$E$6:$E$405=G497)+('Istoric_Nativ'!$F$6:$F$405=G497))&gt;0)),MIN('Config_v6'!$B$54,K497)),0)</x:f>
        <x:v>0</x:v>
      </x:c>
      <x:c r="M497" s="2" t="n">
        <x:f>IF(OR(B497="",F497=""),0,IF(H497="HOME",COUNTIFS('Istoric_Nativ'!$B$6:$B$405,E497,'Istoric_Nativ'!$C$6:$C$405,F497,'Istoric_Nativ'!$E$6:$E$405,G497,'Istoric_Nativ'!$D$6:$D$405,"&lt;"&amp;J497,'Istoric_Nativ'!$P$6:$P$405,1,'Istoric_Nativ'!$D$6:$D$405,"&gt;="&amp;L497),IF(H497="AWAY",COUNTIFS('Istoric_Nativ'!$B$6:$B$405,E497,'Istoric_Nativ'!$C$6:$C$405,F497,'Istoric_Nativ'!$F$6:$F$405,G497,'Istoric_Nativ'!$D$6:$D$405,"&lt;"&amp;J497,'Istoric_Nativ'!$P$6:$P$405,1,'Istoric_Nativ'!$D$6:$D$405,"&gt;="&amp;L497),COUNTIFS('Istoric_Nativ'!$B$6:$B$405,E497,'Istoric_Nativ'!$C$6:$C$405,F497,'Istoric_Nativ'!$E$6:$E$405,G497,'Istoric_Nativ'!$D$6:$D$405,"&lt;"&amp;J497,'Istoric_Nativ'!$P$6:$P$405,1,'Istoric_Nativ'!$D$6:$D$405,"&gt;="&amp;L497)+COUNTIFS('Istoric_Nativ'!$B$6:$B$405,E497,'Istoric_Nativ'!$C$6:$C$405,F497,'Istoric_Nativ'!$F$6:$F$405,G497,'Istoric_Nativ'!$D$6:$D$405,"&lt;"&amp;J497,'Istoric_Nativ'!$P$6:$P$405,1,'Istoric_Nativ'!$D$6:$D$405,"&gt;="&amp;L497))))</x:f>
        <x:v>0</x:v>
      </x:c>
      <x:c r="N497" s="11" t="str">
        <x:f>IF(M497=0,"",IF(H497="HOME",SUMIFS('Istoric_Nativ'!$G$6:$G$405,'Istoric_Nativ'!$B$6:$B$405,E497,'Istoric_Nativ'!$C$6:$C$405,F497,'Istoric_Nativ'!$E$6:$E$405,G497,'Istoric_Nativ'!$D$6:$D$405,"&lt;"&amp;J497,'Istoric_Nativ'!$P$6:$P$405,1,'Istoric_Nativ'!$D$6:$D$405,"&gt;="&amp;L497),IF(H497="AWAY",SUMIFS('Istoric_Nativ'!$H$6:$H$405,'Istoric_Nativ'!$B$6:$B$405,E497,'Istoric_Nativ'!$C$6:$C$405,F497,'Istoric_Nativ'!$F$6:$F$405,G497,'Istoric_Nativ'!$D$6:$D$405,"&lt;"&amp;J497,'Istoric_Nativ'!$P$6:$P$405,1,'Istoric_Nativ'!$D$6:$D$405,"&gt;="&amp;L497),SUMIFS('Istoric_Nativ'!$G$6:$G$405,'Istoric_Nativ'!$B$6:$B$405,E497,'Istoric_Nativ'!$C$6:$C$405,F497,'Istoric_Nativ'!$E$6:$E$405,G497,'Istoric_Nativ'!$D$6:$D$405,"&lt;"&amp;J497,'Istoric_Nativ'!$P$6:$P$405,1,'Istoric_Nativ'!$D$6:$D$405,"&gt;="&amp;L497)+SUMIFS('Istoric_Nativ'!$H$6:$H$405,'Istoric_Nativ'!$B$6:$B$405,E497,'Istoric_Nativ'!$C$6:$C$405,F497,'Istoric_Nativ'!$F$6:$F$405,G497,'Istoric_Nativ'!$D$6:$D$405,"&lt;"&amp;J497,'Istoric_Nativ'!$P$6:$P$405,1,'Istoric_Nativ'!$D$6:$D$405,"&gt;="&amp;L497)))/M497)</x:f>
      </x:c>
      <x:c r="O497" s="11" t="str">
        <x:f>IF(M497=0,"",IF(H497="HOME",SUMIFS('Istoric_Nativ'!$H$6:$H$405,'Istoric_Nativ'!$B$6:$B$405,E497,'Istoric_Nativ'!$C$6:$C$405,F497,'Istoric_Nativ'!$E$6:$E$405,G497,'Istoric_Nativ'!$D$6:$D$405,"&lt;"&amp;J497,'Istoric_Nativ'!$P$6:$P$405,1,'Istoric_Nativ'!$D$6:$D$405,"&gt;="&amp;L497),IF(H497="AWAY",SUMIFS('Istoric_Nativ'!$G$6:$G$405,'Istoric_Nativ'!$B$6:$B$405,E497,'Istoric_Nativ'!$C$6:$C$405,F497,'Istoric_Nativ'!$F$6:$F$405,G497,'Istoric_Nativ'!$D$6:$D$405,"&lt;"&amp;J497,'Istoric_Nativ'!$P$6:$P$405,1,'Istoric_Nativ'!$D$6:$D$405,"&gt;="&amp;L497),SUMIFS('Istoric_Nativ'!$H$6:$H$405,'Istoric_Nativ'!$B$6:$B$405,E497,'Istoric_Nativ'!$C$6:$C$405,F497,'Istoric_Nativ'!$E$6:$E$405,G497,'Istoric_Nativ'!$D$6:$D$405,"&lt;"&amp;J497,'Istoric_Nativ'!$P$6:$P$405,1,'Istoric_Nativ'!$D$6:$D$405,"&gt;="&amp;L497)+SUMIFS('Istoric_Nativ'!$G$6:$G$405,'Istoric_Nativ'!$B$6:$B$405,E497,'Istoric_Nativ'!$C$6:$C$405,F497,'Istoric_Nativ'!$F$6:$F$405,G497,'Istoric_Nativ'!$D$6:$D$405,"&lt;"&amp;J497,'Istoric_Nativ'!$P$6:$P$405,1,'Istoric_Nativ'!$D$6:$D$405,"&gt;="&amp;L497)))/M497)</x:f>
      </x:c>
      <x:c r="P497" s="2" t="n">
        <x:f>'Config_v6'!$B$9</x:f>
        <x:v>3</x:v>
      </x:c>
      <x:c r="Q497" s="2" t="n">
        <x:f>IF(OR(B497="",F497=""),0,IFERROR(MATCH(E497&amp;"|"&amp;F497,SourceTable[Source_Key],0),0))</x:f>
        <x:v>0</x:v>
      </x:c>
      <x:c r="R497" s="2" t="str">
        <x:f>IF(B497="","",IF(F497="","UNUSED",IF(Q497=0,"NOT CHECKED",IF(COUNTIF(SourceTable[Source_Key],E497&amp;"|"&amp;F497)&lt;&gt;1,"SOURCE CONFLICT",IF(NOT(OR(INDEX(SourceTable[Status],MAX(1,Q497))="IMPORTED",INDEX(SourceTable[Status],MAX(1,Q497))="PARTIAL",INDEX(SourceTable[Status],MAX(1,Q497))="SOURCE CONFLICT")),"ACCESS BLOCKED",IF(OR(INDEX(SourceTable[Coverage],Q497)&lt;&gt;"FULL SEASON EXPORT",INDEX(SourceTable[URL],Q497)="",INDEX(SourceTable[SHA256],Q497)=""),"EVIDENCE INCOMPLETE",IF(AND('Input_Meci'!H46="LIVE",INDEX(SourceTable[Retrieved_UTC],Q497)&gt;'Input_Meci'!G46),"POST CUTOFF","CLOSED")))))))</x:f>
      </x:c>
      <x:c r="S497" s="2" t="n">
        <x:f>IF(OR(B497="",F497=""),0,COUNTIFS('Istoric_Nativ'!$B$6:$B$405,E497,'Istoric_Nativ'!$C$6:$C$405,F497,'Istoric_Nativ'!$E$6:$E$405,G497,'Istoric_Nativ'!$D$6:$D$405,"&lt;"&amp;J497,'Istoric_Nativ'!$O$6:$O$405,"INVALID")+COUNTIFS('Istoric_Nativ'!$B$6:$B$405,E497,'Istoric_Nativ'!$C$6:$C$405,F497,'Istoric_Nativ'!$E$6:$E$405,G497,'Istoric_Nativ'!$O$6:$O$405,"INVALID",'Istoric_Nativ'!$D$6:$D$405,"*")+COUNTIFS('Istoric_Nativ'!$B$6:$B$405,E497,'Istoric_Nativ'!$C$6:$C$405,F497,'Istoric_Nativ'!$E$6:$E$405,G497,'Istoric_Nativ'!$D$6:$D$405,"&lt;"&amp;J497,'Istoric_Nativ'!$O$6:$O$405,"SOURCE CONFLICT")+COUNTIFS('Istoric_Nativ'!$B$6:$B$405,E497,'Istoric_Nativ'!$C$6:$C$405,F497,'Istoric_Nativ'!$F$6:$F$405,G497,'Istoric_Nativ'!$D$6:$D$405,"&lt;"&amp;J497,'Istoric_Nativ'!$O$6:$O$405,"INVALID")+COUNTIFS('Istoric_Nativ'!$B$6:$B$405,E497,'Istoric_Nativ'!$C$6:$C$405,F497,'Istoric_Nativ'!$F$6:$F$405,G497,'Istoric_Nativ'!$O$6:$O$405,"INVALID",'Istoric_Nativ'!$D$6:$D$405,"*")+COUNTIFS('Istoric_Nativ'!$B$6:$B$405,E497,'Istoric_Nativ'!$C$6:$C$405,F497,'Istoric_Nativ'!$F$6:$F$405,G497,'Istoric_Nativ'!$D$6:$D$405,"&lt;"&amp;J497,'Istoric_Nativ'!$O$6:$O$405,"SOURCE CONFLICT"))</x:f>
        <x:v>0</x:v>
      </x:c>
      <x:c r="T497" s="2" t="str">
        <x:f>IF(B497="","",IF(R497&lt;&gt;"CLOSED",R497,IF(S497&gt;0,"NATIVE INPUT ISSUE",IF(M497=0,"NO HISTORY",IF(M497&lt;P497,"SMALL SAMPLE","DERIVED")))))</x:f>
      </x:c>
      <x:c r="U497" s="2" t="str">
        <x:f>IF(B497="","","NativeTable; "&amp;E497&amp;"; "&amp;F497&amp;"; "&amp;G497&amp;"; "&amp;H497&amp;"; before "&amp;TEXT(J497,"yyyy-mm-dd")&amp;IF(I497="RECENT","; from "&amp;TEXT(L497,"yyyy-mm-dd"),""))</x:f>
      </x:c>
    </x:row>
    <x:row r="498" ht="21" customHeight="1">
      <x:c r="A498" s="2" t="n">
        <x:v>42</x:v>
      </x:c>
      <x:c r="B498" s="2" t="str">
        <x:f>IF('Input_Meci'!A47="","",'Input_Meci'!A47)</x:f>
      </x:c>
      <x:c r="C498" s="2" t="str">
        <x:v>H</x:v>
      </x:c>
      <x:c r="D498" s="2" t="str">
        <x:v>CURRENT</x:v>
      </x:c>
      <x:c r="E498" s="2" t="str">
        <x:f>IF(B498="","",'Input_Meci'!B47)</x:f>
      </x:c>
      <x:c r="F498" s="2" t="str">
        <x:f>IF(B498="","",IF('Input_Meci'!C47="","",'Input_Meci'!C47))</x:f>
      </x:c>
      <x:c r="G498" s="2" t="str">
        <x:f>IF(B498="","",'Input_Meci'!D47)</x:f>
      </x:c>
      <x:c r="H498" s="2" t="str">
        <x:v>ANY</x:v>
      </x:c>
      <x:c r="I498" s="2" t="str">
        <x:v>SEASON</x:v>
      </x:c>
      <x:c r="J498" s="9" t="n">
        <x:f>IF(AND(B498&lt;&gt;"",ISNUMBER('Input_Meci'!G47)),INT('Input_Meci'!G47),0)</x:f>
        <x:v>0</x:v>
      </x:c>
      <x:c r="K498" s="2" t="n">
        <x:f>IF(OR(B498="",F498=""),0,IF(H498="HOME",COUNTIFS('Istoric_Nativ'!$B$6:$B$405,E498,'Istoric_Nativ'!$C$6:$C$405,F498,'Istoric_Nativ'!$E$6:$E$405,G498,'Istoric_Nativ'!$D$6:$D$405,"&lt;"&amp;J498,'Istoric_Nativ'!$P$6:$P$405,1),IF(H498="AWAY",COUNTIFS('Istoric_Nativ'!$B$6:$B$405,E498,'Istoric_Nativ'!$C$6:$C$405,F498,'Istoric_Nativ'!$F$6:$F$405,G498,'Istoric_Nativ'!$D$6:$D$405,"&lt;"&amp;J498,'Istoric_Nativ'!$P$6:$P$405,1),COUNTIFS('Istoric_Nativ'!$B$6:$B$405,E498,'Istoric_Nativ'!$C$6:$C$405,F498,'Istoric_Nativ'!$E$6:$E$405,G498,'Istoric_Nativ'!$D$6:$D$405,"&lt;"&amp;J498,'Istoric_Nativ'!$P$6:$P$405,1)+COUNTIFS('Istoric_Nativ'!$B$6:$B$405,E498,'Istoric_Nativ'!$C$6:$C$405,F498,'Istoric_Nativ'!$F$6:$F$405,G498,'Istoric_Nativ'!$D$6:$D$405,"&lt;"&amp;J498,'Istoric_Nativ'!$P$6:$P$405,1))))</x:f>
        <x:v>0</x:v>
      </x:c>
      <x:c r="L498" s="17" t="n">
        <x:f>IF(AND(B498&lt;&gt;"",I498="RECENT",K498&gt;0),LARGE(_xlfn._xlws.FILTER('Istoric_Nativ'!$D$6:$D$405,('Istoric_Nativ'!$B$6:$B$405=E498)*('Istoric_Nativ'!$C$6:$C$405=F498)*('Istoric_Nativ'!$P$6:$P$405=1)*('Istoric_Nativ'!$D$6:$D$405&lt;J498)*((('Istoric_Nativ'!$E$6:$E$405=G498)+('Istoric_Nativ'!$F$6:$F$405=G498))&gt;0)),MIN('Config_v6'!$B$54,K498)),0)</x:f>
        <x:v>0</x:v>
      </x:c>
      <x:c r="M498" s="2" t="n">
        <x:f>IF(OR(B498="",F498=""),0,IF(H498="HOME",COUNTIFS('Istoric_Nativ'!$B$6:$B$405,E498,'Istoric_Nativ'!$C$6:$C$405,F498,'Istoric_Nativ'!$E$6:$E$405,G498,'Istoric_Nativ'!$D$6:$D$405,"&lt;"&amp;J498,'Istoric_Nativ'!$P$6:$P$405,1,'Istoric_Nativ'!$D$6:$D$405,"&gt;="&amp;L498),IF(H498="AWAY",COUNTIFS('Istoric_Nativ'!$B$6:$B$405,E498,'Istoric_Nativ'!$C$6:$C$405,F498,'Istoric_Nativ'!$F$6:$F$405,G498,'Istoric_Nativ'!$D$6:$D$405,"&lt;"&amp;J498,'Istoric_Nativ'!$P$6:$P$405,1,'Istoric_Nativ'!$D$6:$D$405,"&gt;="&amp;L498),COUNTIFS('Istoric_Nativ'!$B$6:$B$405,E498,'Istoric_Nativ'!$C$6:$C$405,F498,'Istoric_Nativ'!$E$6:$E$405,G498,'Istoric_Nativ'!$D$6:$D$405,"&lt;"&amp;J498,'Istoric_Nativ'!$P$6:$P$405,1,'Istoric_Nativ'!$D$6:$D$405,"&gt;="&amp;L498)+COUNTIFS('Istoric_Nativ'!$B$6:$B$405,E498,'Istoric_Nativ'!$C$6:$C$405,F498,'Istoric_Nativ'!$F$6:$F$405,G498,'Istoric_Nativ'!$D$6:$D$405,"&lt;"&amp;J498,'Istoric_Nativ'!$P$6:$P$405,1,'Istoric_Nativ'!$D$6:$D$405,"&gt;="&amp;L498))))</x:f>
        <x:v>0</x:v>
      </x:c>
      <x:c r="N498" s="11" t="str">
        <x:f>IF(M498=0,"",IF(H498="HOME",SUMIFS('Istoric_Nativ'!$G$6:$G$405,'Istoric_Nativ'!$B$6:$B$405,E498,'Istoric_Nativ'!$C$6:$C$405,F498,'Istoric_Nativ'!$E$6:$E$405,G498,'Istoric_Nativ'!$D$6:$D$405,"&lt;"&amp;J498,'Istoric_Nativ'!$P$6:$P$405,1,'Istoric_Nativ'!$D$6:$D$405,"&gt;="&amp;L498),IF(H498="AWAY",SUMIFS('Istoric_Nativ'!$H$6:$H$405,'Istoric_Nativ'!$B$6:$B$405,E498,'Istoric_Nativ'!$C$6:$C$405,F498,'Istoric_Nativ'!$F$6:$F$405,G498,'Istoric_Nativ'!$D$6:$D$405,"&lt;"&amp;J498,'Istoric_Nativ'!$P$6:$P$405,1,'Istoric_Nativ'!$D$6:$D$405,"&gt;="&amp;L498),SUMIFS('Istoric_Nativ'!$G$6:$G$405,'Istoric_Nativ'!$B$6:$B$405,E498,'Istoric_Nativ'!$C$6:$C$405,F498,'Istoric_Nativ'!$E$6:$E$405,G498,'Istoric_Nativ'!$D$6:$D$405,"&lt;"&amp;J498,'Istoric_Nativ'!$P$6:$P$405,1,'Istoric_Nativ'!$D$6:$D$405,"&gt;="&amp;L498)+SUMIFS('Istoric_Nativ'!$H$6:$H$405,'Istoric_Nativ'!$B$6:$B$405,E498,'Istoric_Nativ'!$C$6:$C$405,F498,'Istoric_Nativ'!$F$6:$F$405,G498,'Istoric_Nativ'!$D$6:$D$405,"&lt;"&amp;J498,'Istoric_Nativ'!$P$6:$P$405,1,'Istoric_Nativ'!$D$6:$D$405,"&gt;="&amp;L498)))/M498)</x:f>
      </x:c>
      <x:c r="O498" s="11" t="str">
        <x:f>IF(M498=0,"",IF(H498="HOME",SUMIFS('Istoric_Nativ'!$H$6:$H$405,'Istoric_Nativ'!$B$6:$B$405,E498,'Istoric_Nativ'!$C$6:$C$405,F498,'Istoric_Nativ'!$E$6:$E$405,G498,'Istoric_Nativ'!$D$6:$D$405,"&lt;"&amp;J498,'Istoric_Nativ'!$P$6:$P$405,1,'Istoric_Nativ'!$D$6:$D$405,"&gt;="&amp;L498),IF(H498="AWAY",SUMIFS('Istoric_Nativ'!$G$6:$G$405,'Istoric_Nativ'!$B$6:$B$405,E498,'Istoric_Nativ'!$C$6:$C$405,F498,'Istoric_Nativ'!$F$6:$F$405,G498,'Istoric_Nativ'!$D$6:$D$405,"&lt;"&amp;J498,'Istoric_Nativ'!$P$6:$P$405,1,'Istoric_Nativ'!$D$6:$D$405,"&gt;="&amp;L498),SUMIFS('Istoric_Nativ'!$H$6:$H$405,'Istoric_Nativ'!$B$6:$B$405,E498,'Istoric_Nativ'!$C$6:$C$405,F498,'Istoric_Nativ'!$E$6:$E$405,G498,'Istoric_Nativ'!$D$6:$D$405,"&lt;"&amp;J498,'Istoric_Nativ'!$P$6:$P$405,1,'Istoric_Nativ'!$D$6:$D$405,"&gt;="&amp;L498)+SUMIFS('Istoric_Nativ'!$G$6:$G$405,'Istoric_Nativ'!$B$6:$B$405,E498,'Istoric_Nativ'!$C$6:$C$405,F498,'Istoric_Nativ'!$F$6:$F$405,G498,'Istoric_Nativ'!$D$6:$D$405,"&lt;"&amp;J498,'Istoric_Nativ'!$P$6:$P$405,1,'Istoric_Nativ'!$D$6:$D$405,"&gt;="&amp;L498)))/M498)</x:f>
      </x:c>
      <x:c r="P498" s="2" t="n">
        <x:f>'Config_v6'!$B$7</x:f>
        <x:v>10</x:v>
      </x:c>
      <x:c r="Q498" s="2" t="n">
        <x:f>IF(OR(B498="",F498=""),0,IFERROR(MATCH(E498&amp;"|"&amp;F498,SourceTable[Source_Key],0),0))</x:f>
        <x:v>0</x:v>
      </x:c>
      <x:c r="R498" s="2" t="str">
        <x:f>IF(B498="","",IF(F498="","UNUSED",IF(Q498=0,"NOT CHECKED",IF(COUNTIF(SourceTable[Source_Key],E498&amp;"|"&amp;F498)&lt;&gt;1,"SOURCE CONFLICT",IF(NOT(OR(INDEX(SourceTable[Status],MAX(1,Q498))="IMPORTED",INDEX(SourceTable[Status],MAX(1,Q498))="PARTIAL",INDEX(SourceTable[Status],MAX(1,Q498))="SOURCE CONFLICT")),"ACCESS BLOCKED",IF(OR(INDEX(SourceTable[Coverage],Q498)&lt;&gt;"FULL SEASON EXPORT",INDEX(SourceTable[URL],Q498)="",INDEX(SourceTable[SHA256],Q498)=""),"EVIDENCE INCOMPLETE",IF(AND('Input_Meci'!H47="LIVE",INDEX(SourceTable[Retrieved_UTC],Q498)&gt;'Input_Meci'!G47),"POST CUTOFF","CLOSED")))))))</x:f>
      </x:c>
      <x:c r="S498" s="2" t="n">
        <x:f>IF(OR(B498="",F498=""),0,COUNTIFS('Istoric_Nativ'!$B$6:$B$405,E498,'Istoric_Nativ'!$C$6:$C$405,F498,'Istoric_Nativ'!$E$6:$E$405,G498,'Istoric_Nativ'!$D$6:$D$405,"&lt;"&amp;J498,'Istoric_Nativ'!$O$6:$O$405,"INVALID")+COUNTIFS('Istoric_Nativ'!$B$6:$B$405,E498,'Istoric_Nativ'!$C$6:$C$405,F498,'Istoric_Nativ'!$E$6:$E$405,G498,'Istoric_Nativ'!$O$6:$O$405,"INVALID",'Istoric_Nativ'!$D$6:$D$405,"*")+COUNTIFS('Istoric_Nativ'!$B$6:$B$405,E498,'Istoric_Nativ'!$C$6:$C$405,F498,'Istoric_Nativ'!$E$6:$E$405,G498,'Istoric_Nativ'!$D$6:$D$405,"&lt;"&amp;J498,'Istoric_Nativ'!$O$6:$O$405,"SOURCE CONFLICT")+COUNTIFS('Istoric_Nativ'!$B$6:$B$405,E498,'Istoric_Nativ'!$C$6:$C$405,F498,'Istoric_Nativ'!$F$6:$F$405,G498,'Istoric_Nativ'!$D$6:$D$405,"&lt;"&amp;J498,'Istoric_Nativ'!$O$6:$O$405,"INVALID")+COUNTIFS('Istoric_Nativ'!$B$6:$B$405,E498,'Istoric_Nativ'!$C$6:$C$405,F498,'Istoric_Nativ'!$F$6:$F$405,G498,'Istoric_Nativ'!$O$6:$O$405,"INVALID",'Istoric_Nativ'!$D$6:$D$405,"*")+COUNTIFS('Istoric_Nativ'!$B$6:$B$405,E498,'Istoric_Nativ'!$C$6:$C$405,F498,'Istoric_Nativ'!$F$6:$F$405,G498,'Istoric_Nativ'!$D$6:$D$405,"&lt;"&amp;J498,'Istoric_Nativ'!$O$6:$O$405,"SOURCE CONFLICT"))</x:f>
        <x:v>0</x:v>
      </x:c>
      <x:c r="T498" s="2" t="str">
        <x:f>IF(B498="","",IF(R498&lt;&gt;"CLOSED",R498,IF(S498&gt;0,"NATIVE INPUT ISSUE",IF(M498=0,"NO HISTORY",IF(M498&lt;P498,"SMALL SAMPLE","DERIVED")))))</x:f>
      </x:c>
      <x:c r="U498" s="2" t="str">
        <x:f>IF(B498="","","NativeTable; "&amp;E498&amp;"; "&amp;F498&amp;"; "&amp;G498&amp;"; "&amp;H498&amp;"; before "&amp;TEXT(J498,"yyyy-mm-dd")&amp;IF(I498="RECENT","; from "&amp;TEXT(L498,"yyyy-mm-dd"),""))</x:f>
      </x:c>
    </x:row>
    <x:row r="499" ht="21" customHeight="1">
      <x:c r="A499" s="2" t="n">
        <x:v>42</x:v>
      </x:c>
      <x:c r="B499" s="2" t="str">
        <x:f>IF('Input_Meci'!A47="","",'Input_Meci'!A47)</x:f>
      </x:c>
      <x:c r="C499" s="2" t="str">
        <x:v>H</x:v>
      </x:c>
      <x:c r="D499" s="2" t="str">
        <x:v>CURRENT</x:v>
      </x:c>
      <x:c r="E499" s="2" t="str">
        <x:f>IF(B499="","",'Input_Meci'!B47)</x:f>
      </x:c>
      <x:c r="F499" s="2" t="str">
        <x:f>IF(B499="","",IF('Input_Meci'!C47="","",'Input_Meci'!C47))</x:f>
      </x:c>
      <x:c r="G499" s="2" t="str">
        <x:f>IF(B499="","",'Input_Meci'!D47)</x:f>
      </x:c>
      <x:c r="H499" s="2" t="str">
        <x:v>HOME</x:v>
      </x:c>
      <x:c r="I499" s="2" t="str">
        <x:v>HA</x:v>
      </x:c>
      <x:c r="J499" s="9" t="n">
        <x:f>IF(AND(B499&lt;&gt;"",ISNUMBER('Input_Meci'!G47)),INT('Input_Meci'!G47),0)</x:f>
        <x:v>0</x:v>
      </x:c>
      <x:c r="K499" s="2" t="n">
        <x:f>IF(OR(B499="",F499=""),0,IF(H499="HOME",COUNTIFS('Istoric_Nativ'!$B$6:$B$405,E499,'Istoric_Nativ'!$C$6:$C$405,F499,'Istoric_Nativ'!$E$6:$E$405,G499,'Istoric_Nativ'!$D$6:$D$405,"&lt;"&amp;J499,'Istoric_Nativ'!$P$6:$P$405,1),IF(H499="AWAY",COUNTIFS('Istoric_Nativ'!$B$6:$B$405,E499,'Istoric_Nativ'!$C$6:$C$405,F499,'Istoric_Nativ'!$F$6:$F$405,G499,'Istoric_Nativ'!$D$6:$D$405,"&lt;"&amp;J499,'Istoric_Nativ'!$P$6:$P$405,1),COUNTIFS('Istoric_Nativ'!$B$6:$B$405,E499,'Istoric_Nativ'!$C$6:$C$405,F499,'Istoric_Nativ'!$E$6:$E$405,G499,'Istoric_Nativ'!$D$6:$D$405,"&lt;"&amp;J499,'Istoric_Nativ'!$P$6:$P$405,1)+COUNTIFS('Istoric_Nativ'!$B$6:$B$405,E499,'Istoric_Nativ'!$C$6:$C$405,F499,'Istoric_Nativ'!$F$6:$F$405,G499,'Istoric_Nativ'!$D$6:$D$405,"&lt;"&amp;J499,'Istoric_Nativ'!$P$6:$P$405,1))))</x:f>
        <x:v>0</x:v>
      </x:c>
      <x:c r="L499" s="17" t="n">
        <x:f>IF(AND(B499&lt;&gt;"",I499="RECENT",K499&gt;0),LARGE(_xlfn._xlws.FILTER('Istoric_Nativ'!$D$6:$D$405,('Istoric_Nativ'!$B$6:$B$405=E499)*('Istoric_Nativ'!$C$6:$C$405=F499)*('Istoric_Nativ'!$P$6:$P$405=1)*('Istoric_Nativ'!$D$6:$D$405&lt;J499)*((('Istoric_Nativ'!$E$6:$E$405=G499)+('Istoric_Nativ'!$F$6:$F$405=G499))&gt;0)),MIN('Config_v6'!$B$54,K499)),0)</x:f>
        <x:v>0</x:v>
      </x:c>
      <x:c r="M499" s="2" t="n">
        <x:f>IF(OR(B499="",F499=""),0,IF(H499="HOME",COUNTIFS('Istoric_Nativ'!$B$6:$B$405,E499,'Istoric_Nativ'!$C$6:$C$405,F499,'Istoric_Nativ'!$E$6:$E$405,G499,'Istoric_Nativ'!$D$6:$D$405,"&lt;"&amp;J499,'Istoric_Nativ'!$P$6:$P$405,1,'Istoric_Nativ'!$D$6:$D$405,"&gt;="&amp;L499),IF(H499="AWAY",COUNTIFS('Istoric_Nativ'!$B$6:$B$405,E499,'Istoric_Nativ'!$C$6:$C$405,F499,'Istoric_Nativ'!$F$6:$F$405,G499,'Istoric_Nativ'!$D$6:$D$405,"&lt;"&amp;J499,'Istoric_Nativ'!$P$6:$P$405,1,'Istoric_Nativ'!$D$6:$D$405,"&gt;="&amp;L499),COUNTIFS('Istoric_Nativ'!$B$6:$B$405,E499,'Istoric_Nativ'!$C$6:$C$405,F499,'Istoric_Nativ'!$E$6:$E$405,G499,'Istoric_Nativ'!$D$6:$D$405,"&lt;"&amp;J499,'Istoric_Nativ'!$P$6:$P$405,1,'Istoric_Nativ'!$D$6:$D$405,"&gt;="&amp;L499)+COUNTIFS('Istoric_Nativ'!$B$6:$B$405,E499,'Istoric_Nativ'!$C$6:$C$405,F499,'Istoric_Nativ'!$F$6:$F$405,G499,'Istoric_Nativ'!$D$6:$D$405,"&lt;"&amp;J499,'Istoric_Nativ'!$P$6:$P$405,1,'Istoric_Nativ'!$D$6:$D$405,"&gt;="&amp;L499))))</x:f>
        <x:v>0</x:v>
      </x:c>
      <x:c r="N499" s="11" t="str">
        <x:f>IF(M499=0,"",IF(H499="HOME",SUMIFS('Istoric_Nativ'!$G$6:$G$405,'Istoric_Nativ'!$B$6:$B$405,E499,'Istoric_Nativ'!$C$6:$C$405,F499,'Istoric_Nativ'!$E$6:$E$405,G499,'Istoric_Nativ'!$D$6:$D$405,"&lt;"&amp;J499,'Istoric_Nativ'!$P$6:$P$405,1,'Istoric_Nativ'!$D$6:$D$405,"&gt;="&amp;L499),IF(H499="AWAY",SUMIFS('Istoric_Nativ'!$H$6:$H$405,'Istoric_Nativ'!$B$6:$B$405,E499,'Istoric_Nativ'!$C$6:$C$405,F499,'Istoric_Nativ'!$F$6:$F$405,G499,'Istoric_Nativ'!$D$6:$D$405,"&lt;"&amp;J499,'Istoric_Nativ'!$P$6:$P$405,1,'Istoric_Nativ'!$D$6:$D$405,"&gt;="&amp;L499),SUMIFS('Istoric_Nativ'!$G$6:$G$405,'Istoric_Nativ'!$B$6:$B$405,E499,'Istoric_Nativ'!$C$6:$C$405,F499,'Istoric_Nativ'!$E$6:$E$405,G499,'Istoric_Nativ'!$D$6:$D$405,"&lt;"&amp;J499,'Istoric_Nativ'!$P$6:$P$405,1,'Istoric_Nativ'!$D$6:$D$405,"&gt;="&amp;L499)+SUMIFS('Istoric_Nativ'!$H$6:$H$405,'Istoric_Nativ'!$B$6:$B$405,E499,'Istoric_Nativ'!$C$6:$C$405,F499,'Istoric_Nativ'!$F$6:$F$405,G499,'Istoric_Nativ'!$D$6:$D$405,"&lt;"&amp;J499,'Istoric_Nativ'!$P$6:$P$405,1,'Istoric_Nativ'!$D$6:$D$405,"&gt;="&amp;L499)))/M499)</x:f>
      </x:c>
      <x:c r="O499" s="11" t="str">
        <x:f>IF(M499=0,"",IF(H499="HOME",SUMIFS('Istoric_Nativ'!$H$6:$H$405,'Istoric_Nativ'!$B$6:$B$405,E499,'Istoric_Nativ'!$C$6:$C$405,F499,'Istoric_Nativ'!$E$6:$E$405,G499,'Istoric_Nativ'!$D$6:$D$405,"&lt;"&amp;J499,'Istoric_Nativ'!$P$6:$P$405,1,'Istoric_Nativ'!$D$6:$D$405,"&gt;="&amp;L499),IF(H499="AWAY",SUMIFS('Istoric_Nativ'!$G$6:$G$405,'Istoric_Nativ'!$B$6:$B$405,E499,'Istoric_Nativ'!$C$6:$C$405,F499,'Istoric_Nativ'!$F$6:$F$405,G499,'Istoric_Nativ'!$D$6:$D$405,"&lt;"&amp;J499,'Istoric_Nativ'!$P$6:$P$405,1,'Istoric_Nativ'!$D$6:$D$405,"&gt;="&amp;L499),SUMIFS('Istoric_Nativ'!$H$6:$H$405,'Istoric_Nativ'!$B$6:$B$405,E499,'Istoric_Nativ'!$C$6:$C$405,F499,'Istoric_Nativ'!$E$6:$E$405,G499,'Istoric_Nativ'!$D$6:$D$405,"&lt;"&amp;J499,'Istoric_Nativ'!$P$6:$P$405,1,'Istoric_Nativ'!$D$6:$D$405,"&gt;="&amp;L499)+SUMIFS('Istoric_Nativ'!$G$6:$G$405,'Istoric_Nativ'!$B$6:$B$405,E499,'Istoric_Nativ'!$C$6:$C$405,F499,'Istoric_Nativ'!$F$6:$F$405,G499,'Istoric_Nativ'!$D$6:$D$405,"&lt;"&amp;J499,'Istoric_Nativ'!$P$6:$P$405,1,'Istoric_Nativ'!$D$6:$D$405,"&gt;="&amp;L499)))/M499)</x:f>
      </x:c>
      <x:c r="P499" s="2" t="n">
        <x:f>'Config_v6'!$B$8</x:f>
        <x:v>5</x:v>
      </x:c>
      <x:c r="Q499" s="2" t="n">
        <x:f>IF(OR(B499="",F499=""),0,IFERROR(MATCH(E499&amp;"|"&amp;F499,SourceTable[Source_Key],0),0))</x:f>
        <x:v>0</x:v>
      </x:c>
      <x:c r="R499" s="2" t="str">
        <x:f>IF(B499="","",IF(F499="","UNUSED",IF(Q499=0,"NOT CHECKED",IF(COUNTIF(SourceTable[Source_Key],E499&amp;"|"&amp;F499)&lt;&gt;1,"SOURCE CONFLICT",IF(NOT(OR(INDEX(SourceTable[Status],MAX(1,Q499))="IMPORTED",INDEX(SourceTable[Status],MAX(1,Q499))="PARTIAL",INDEX(SourceTable[Status],MAX(1,Q499))="SOURCE CONFLICT")),"ACCESS BLOCKED",IF(OR(INDEX(SourceTable[Coverage],Q499)&lt;&gt;"FULL SEASON EXPORT",INDEX(SourceTable[URL],Q499)="",INDEX(SourceTable[SHA256],Q499)=""),"EVIDENCE INCOMPLETE",IF(AND('Input_Meci'!H47="LIVE",INDEX(SourceTable[Retrieved_UTC],Q499)&gt;'Input_Meci'!G47),"POST CUTOFF","CLOSED")))))))</x:f>
      </x:c>
      <x:c r="S499" s="2" t="n">
        <x:f>IF(OR(B499="",F499=""),0,COUNTIFS('Istoric_Nativ'!$B$6:$B$405,E499,'Istoric_Nativ'!$C$6:$C$405,F499,'Istoric_Nativ'!$E$6:$E$405,G499,'Istoric_Nativ'!$D$6:$D$405,"&lt;"&amp;J499,'Istoric_Nativ'!$O$6:$O$405,"INVALID")+COUNTIFS('Istoric_Nativ'!$B$6:$B$405,E499,'Istoric_Nativ'!$C$6:$C$405,F499,'Istoric_Nativ'!$E$6:$E$405,G499,'Istoric_Nativ'!$O$6:$O$405,"INVALID",'Istoric_Nativ'!$D$6:$D$405,"*")+COUNTIFS('Istoric_Nativ'!$B$6:$B$405,E499,'Istoric_Nativ'!$C$6:$C$405,F499,'Istoric_Nativ'!$E$6:$E$405,G499,'Istoric_Nativ'!$D$6:$D$405,"&lt;"&amp;J499,'Istoric_Nativ'!$O$6:$O$405,"SOURCE CONFLICT")+COUNTIFS('Istoric_Nativ'!$B$6:$B$405,E499,'Istoric_Nativ'!$C$6:$C$405,F499,'Istoric_Nativ'!$F$6:$F$405,G499,'Istoric_Nativ'!$D$6:$D$405,"&lt;"&amp;J499,'Istoric_Nativ'!$O$6:$O$405,"INVALID")+COUNTIFS('Istoric_Nativ'!$B$6:$B$405,E499,'Istoric_Nativ'!$C$6:$C$405,F499,'Istoric_Nativ'!$F$6:$F$405,G499,'Istoric_Nativ'!$O$6:$O$405,"INVALID",'Istoric_Nativ'!$D$6:$D$405,"*")+COUNTIFS('Istoric_Nativ'!$B$6:$B$405,E499,'Istoric_Nativ'!$C$6:$C$405,F499,'Istoric_Nativ'!$F$6:$F$405,G499,'Istoric_Nativ'!$D$6:$D$405,"&lt;"&amp;J499,'Istoric_Nativ'!$O$6:$O$405,"SOURCE CONFLICT"))</x:f>
        <x:v>0</x:v>
      </x:c>
      <x:c r="T499" s="2" t="str">
        <x:f>IF(B499="","",IF(R499&lt;&gt;"CLOSED",R499,IF(S499&gt;0,"NATIVE INPUT ISSUE",IF(M499=0,"NO HISTORY",IF(M499&lt;P499,"SMALL SAMPLE","DERIVED")))))</x:f>
      </x:c>
      <x:c r="U499" s="2" t="str">
        <x:f>IF(B499="","","NativeTable; "&amp;E499&amp;"; "&amp;F499&amp;"; "&amp;G499&amp;"; "&amp;H499&amp;"; before "&amp;TEXT(J499,"yyyy-mm-dd")&amp;IF(I499="RECENT","; from "&amp;TEXT(L499,"yyyy-mm-dd"),""))</x:f>
      </x:c>
    </x:row>
    <x:row r="500" ht="21" customHeight="1">
      <x:c r="A500" s="2" t="n">
        <x:v>42</x:v>
      </x:c>
      <x:c r="B500" s="2" t="str">
        <x:f>IF('Input_Meci'!A47="","",'Input_Meci'!A47)</x:f>
      </x:c>
      <x:c r="C500" s="2" t="str">
        <x:v>H</x:v>
      </x:c>
      <x:c r="D500" s="2" t="str">
        <x:v>CURRENT</x:v>
      </x:c>
      <x:c r="E500" s="2" t="str">
        <x:f>IF(B500="","",'Input_Meci'!B47)</x:f>
      </x:c>
      <x:c r="F500" s="2" t="str">
        <x:f>IF(B500="","",IF('Input_Meci'!C47="","",'Input_Meci'!C47))</x:f>
      </x:c>
      <x:c r="G500" s="2" t="str">
        <x:f>IF(B500="","",'Input_Meci'!D47)</x:f>
      </x:c>
      <x:c r="H500" s="2" t="str">
        <x:v>ANY</x:v>
      </x:c>
      <x:c r="I500" s="2" t="str">
        <x:v>RECENT</x:v>
      </x:c>
      <x:c r="J500" s="9" t="n">
        <x:f>IF(AND(B500&lt;&gt;"",ISNUMBER('Input_Meci'!G47)),INT('Input_Meci'!G47),0)</x:f>
        <x:v>0</x:v>
      </x:c>
      <x:c r="K500" s="2" t="n">
        <x:f>IF(OR(B500="",F500=""),0,IF(H500="HOME",COUNTIFS('Istoric_Nativ'!$B$6:$B$405,E500,'Istoric_Nativ'!$C$6:$C$405,F500,'Istoric_Nativ'!$E$6:$E$405,G500,'Istoric_Nativ'!$D$6:$D$405,"&lt;"&amp;J500,'Istoric_Nativ'!$P$6:$P$405,1),IF(H500="AWAY",COUNTIFS('Istoric_Nativ'!$B$6:$B$405,E500,'Istoric_Nativ'!$C$6:$C$405,F500,'Istoric_Nativ'!$F$6:$F$405,G500,'Istoric_Nativ'!$D$6:$D$405,"&lt;"&amp;J500,'Istoric_Nativ'!$P$6:$P$405,1),COUNTIFS('Istoric_Nativ'!$B$6:$B$405,E500,'Istoric_Nativ'!$C$6:$C$405,F500,'Istoric_Nativ'!$E$6:$E$405,G500,'Istoric_Nativ'!$D$6:$D$405,"&lt;"&amp;J500,'Istoric_Nativ'!$P$6:$P$405,1)+COUNTIFS('Istoric_Nativ'!$B$6:$B$405,E500,'Istoric_Nativ'!$C$6:$C$405,F500,'Istoric_Nativ'!$F$6:$F$405,G500,'Istoric_Nativ'!$D$6:$D$405,"&lt;"&amp;J500,'Istoric_Nativ'!$P$6:$P$405,1))))</x:f>
        <x:v>0</x:v>
      </x:c>
      <x:c r="L500" s="17" t="n">
        <x:f>IF(AND(B500&lt;&gt;"",I500="RECENT",K500&gt;0),LARGE(_xlfn._xlws.FILTER('Istoric_Nativ'!$D$6:$D$405,('Istoric_Nativ'!$B$6:$B$405=E500)*('Istoric_Nativ'!$C$6:$C$405=F500)*('Istoric_Nativ'!$P$6:$P$405=1)*('Istoric_Nativ'!$D$6:$D$405&lt;J500)*((('Istoric_Nativ'!$E$6:$E$405=G500)+('Istoric_Nativ'!$F$6:$F$405=G500))&gt;0)),MIN('Config_v6'!$B$54,K500)),0)</x:f>
        <x:v>0</x:v>
      </x:c>
      <x:c r="M500" s="2" t="n">
        <x:f>IF(OR(B500="",F500=""),0,IF(H500="HOME",COUNTIFS('Istoric_Nativ'!$B$6:$B$405,E500,'Istoric_Nativ'!$C$6:$C$405,F500,'Istoric_Nativ'!$E$6:$E$405,G500,'Istoric_Nativ'!$D$6:$D$405,"&lt;"&amp;J500,'Istoric_Nativ'!$P$6:$P$405,1,'Istoric_Nativ'!$D$6:$D$405,"&gt;="&amp;L500),IF(H500="AWAY",COUNTIFS('Istoric_Nativ'!$B$6:$B$405,E500,'Istoric_Nativ'!$C$6:$C$405,F500,'Istoric_Nativ'!$F$6:$F$405,G500,'Istoric_Nativ'!$D$6:$D$405,"&lt;"&amp;J500,'Istoric_Nativ'!$P$6:$P$405,1,'Istoric_Nativ'!$D$6:$D$405,"&gt;="&amp;L500),COUNTIFS('Istoric_Nativ'!$B$6:$B$405,E500,'Istoric_Nativ'!$C$6:$C$405,F500,'Istoric_Nativ'!$E$6:$E$405,G500,'Istoric_Nativ'!$D$6:$D$405,"&lt;"&amp;J500,'Istoric_Nativ'!$P$6:$P$405,1,'Istoric_Nativ'!$D$6:$D$405,"&gt;="&amp;L500)+COUNTIFS('Istoric_Nativ'!$B$6:$B$405,E500,'Istoric_Nativ'!$C$6:$C$405,F500,'Istoric_Nativ'!$F$6:$F$405,G500,'Istoric_Nativ'!$D$6:$D$405,"&lt;"&amp;J500,'Istoric_Nativ'!$P$6:$P$405,1,'Istoric_Nativ'!$D$6:$D$405,"&gt;="&amp;L500))))</x:f>
        <x:v>0</x:v>
      </x:c>
      <x:c r="N500" s="11" t="str">
        <x:f>IF(M500=0,"",IF(H500="HOME",SUMIFS('Istoric_Nativ'!$G$6:$G$405,'Istoric_Nativ'!$B$6:$B$405,E500,'Istoric_Nativ'!$C$6:$C$405,F500,'Istoric_Nativ'!$E$6:$E$405,G500,'Istoric_Nativ'!$D$6:$D$405,"&lt;"&amp;J500,'Istoric_Nativ'!$P$6:$P$405,1,'Istoric_Nativ'!$D$6:$D$405,"&gt;="&amp;L500),IF(H500="AWAY",SUMIFS('Istoric_Nativ'!$H$6:$H$405,'Istoric_Nativ'!$B$6:$B$405,E500,'Istoric_Nativ'!$C$6:$C$405,F500,'Istoric_Nativ'!$F$6:$F$405,G500,'Istoric_Nativ'!$D$6:$D$405,"&lt;"&amp;J500,'Istoric_Nativ'!$P$6:$P$405,1,'Istoric_Nativ'!$D$6:$D$405,"&gt;="&amp;L500),SUMIFS('Istoric_Nativ'!$G$6:$G$405,'Istoric_Nativ'!$B$6:$B$405,E500,'Istoric_Nativ'!$C$6:$C$405,F500,'Istoric_Nativ'!$E$6:$E$405,G500,'Istoric_Nativ'!$D$6:$D$405,"&lt;"&amp;J500,'Istoric_Nativ'!$P$6:$P$405,1,'Istoric_Nativ'!$D$6:$D$405,"&gt;="&amp;L500)+SUMIFS('Istoric_Nativ'!$H$6:$H$405,'Istoric_Nativ'!$B$6:$B$405,E500,'Istoric_Nativ'!$C$6:$C$405,F500,'Istoric_Nativ'!$F$6:$F$405,G500,'Istoric_Nativ'!$D$6:$D$405,"&lt;"&amp;J500,'Istoric_Nativ'!$P$6:$P$405,1,'Istoric_Nativ'!$D$6:$D$405,"&gt;="&amp;L500)))/M500)</x:f>
      </x:c>
      <x:c r="O500" s="11" t="str">
        <x:f>IF(M500=0,"",IF(H500="HOME",SUMIFS('Istoric_Nativ'!$H$6:$H$405,'Istoric_Nativ'!$B$6:$B$405,E500,'Istoric_Nativ'!$C$6:$C$405,F500,'Istoric_Nativ'!$E$6:$E$405,G500,'Istoric_Nativ'!$D$6:$D$405,"&lt;"&amp;J500,'Istoric_Nativ'!$P$6:$P$405,1,'Istoric_Nativ'!$D$6:$D$405,"&gt;="&amp;L500),IF(H500="AWAY",SUMIFS('Istoric_Nativ'!$G$6:$G$405,'Istoric_Nativ'!$B$6:$B$405,E500,'Istoric_Nativ'!$C$6:$C$405,F500,'Istoric_Nativ'!$F$6:$F$405,G500,'Istoric_Nativ'!$D$6:$D$405,"&lt;"&amp;J500,'Istoric_Nativ'!$P$6:$P$405,1,'Istoric_Nativ'!$D$6:$D$405,"&gt;="&amp;L500),SUMIFS('Istoric_Nativ'!$H$6:$H$405,'Istoric_Nativ'!$B$6:$B$405,E500,'Istoric_Nativ'!$C$6:$C$405,F500,'Istoric_Nativ'!$E$6:$E$405,G500,'Istoric_Nativ'!$D$6:$D$405,"&lt;"&amp;J500,'Istoric_Nativ'!$P$6:$P$405,1,'Istoric_Nativ'!$D$6:$D$405,"&gt;="&amp;L500)+SUMIFS('Istoric_Nativ'!$G$6:$G$405,'Istoric_Nativ'!$B$6:$B$405,E500,'Istoric_Nativ'!$C$6:$C$405,F500,'Istoric_Nativ'!$F$6:$F$405,G500,'Istoric_Nativ'!$D$6:$D$405,"&lt;"&amp;J500,'Istoric_Nativ'!$P$6:$P$405,1,'Istoric_Nativ'!$D$6:$D$405,"&gt;="&amp;L500)))/M500)</x:f>
      </x:c>
      <x:c r="P500" s="2" t="n">
        <x:f>'Config_v6'!$B$9</x:f>
        <x:v>3</x:v>
      </x:c>
      <x:c r="Q500" s="2" t="n">
        <x:f>IF(OR(B500="",F500=""),0,IFERROR(MATCH(E500&amp;"|"&amp;F500,SourceTable[Source_Key],0),0))</x:f>
        <x:v>0</x:v>
      </x:c>
      <x:c r="R500" s="2" t="str">
        <x:f>IF(B500="","",IF(F500="","UNUSED",IF(Q500=0,"NOT CHECKED",IF(COUNTIF(SourceTable[Source_Key],E500&amp;"|"&amp;F500)&lt;&gt;1,"SOURCE CONFLICT",IF(NOT(OR(INDEX(SourceTable[Status],MAX(1,Q500))="IMPORTED",INDEX(SourceTable[Status],MAX(1,Q500))="PARTIAL",INDEX(SourceTable[Status],MAX(1,Q500))="SOURCE CONFLICT")),"ACCESS BLOCKED",IF(OR(INDEX(SourceTable[Coverage],Q500)&lt;&gt;"FULL SEASON EXPORT",INDEX(SourceTable[URL],Q500)="",INDEX(SourceTable[SHA256],Q500)=""),"EVIDENCE INCOMPLETE",IF(AND('Input_Meci'!H47="LIVE",INDEX(SourceTable[Retrieved_UTC],Q500)&gt;'Input_Meci'!G47),"POST CUTOFF","CLOSED")))))))</x:f>
      </x:c>
      <x:c r="S500" s="2" t="n">
        <x:f>IF(OR(B500="",F500=""),0,COUNTIFS('Istoric_Nativ'!$B$6:$B$405,E500,'Istoric_Nativ'!$C$6:$C$405,F500,'Istoric_Nativ'!$E$6:$E$405,G500,'Istoric_Nativ'!$D$6:$D$405,"&lt;"&amp;J500,'Istoric_Nativ'!$O$6:$O$405,"INVALID")+COUNTIFS('Istoric_Nativ'!$B$6:$B$405,E500,'Istoric_Nativ'!$C$6:$C$405,F500,'Istoric_Nativ'!$E$6:$E$405,G500,'Istoric_Nativ'!$O$6:$O$405,"INVALID",'Istoric_Nativ'!$D$6:$D$405,"*")+COUNTIFS('Istoric_Nativ'!$B$6:$B$405,E500,'Istoric_Nativ'!$C$6:$C$405,F500,'Istoric_Nativ'!$E$6:$E$405,G500,'Istoric_Nativ'!$D$6:$D$405,"&lt;"&amp;J500,'Istoric_Nativ'!$O$6:$O$405,"SOURCE CONFLICT")+COUNTIFS('Istoric_Nativ'!$B$6:$B$405,E500,'Istoric_Nativ'!$C$6:$C$405,F500,'Istoric_Nativ'!$F$6:$F$405,G500,'Istoric_Nativ'!$D$6:$D$405,"&lt;"&amp;J500,'Istoric_Nativ'!$O$6:$O$405,"INVALID")+COUNTIFS('Istoric_Nativ'!$B$6:$B$405,E500,'Istoric_Nativ'!$C$6:$C$405,F500,'Istoric_Nativ'!$F$6:$F$405,G500,'Istoric_Nativ'!$O$6:$O$405,"INVALID",'Istoric_Nativ'!$D$6:$D$405,"*")+COUNTIFS('Istoric_Nativ'!$B$6:$B$405,E500,'Istoric_Nativ'!$C$6:$C$405,F500,'Istoric_Nativ'!$F$6:$F$405,G500,'Istoric_Nativ'!$D$6:$D$405,"&lt;"&amp;J500,'Istoric_Nativ'!$O$6:$O$405,"SOURCE CONFLICT"))</x:f>
        <x:v>0</x:v>
      </x:c>
      <x:c r="T500" s="2" t="str">
        <x:f>IF(B500="","",IF(R500&lt;&gt;"CLOSED",R500,IF(S500&gt;0,"NATIVE INPUT ISSUE",IF(M500=0,"NO HISTORY",IF(M500&lt;P500,"SMALL SAMPLE","DERIVED")))))</x:f>
      </x:c>
      <x:c r="U500" s="2" t="str">
        <x:f>IF(B500="","","NativeTable; "&amp;E500&amp;"; "&amp;F500&amp;"; "&amp;G500&amp;"; "&amp;H500&amp;"; before "&amp;TEXT(J500,"yyyy-mm-dd")&amp;IF(I500="RECENT","; from "&amp;TEXT(L500,"yyyy-mm-dd"),""))</x:f>
      </x:c>
    </x:row>
    <x:row r="501" ht="21" customHeight="1">
      <x:c r="A501" s="2" t="n">
        <x:v>42</x:v>
      </x:c>
      <x:c r="B501" s="2" t="str">
        <x:f>IF('Input_Meci'!A47="","",'Input_Meci'!A47)</x:f>
      </x:c>
      <x:c r="C501" s="2" t="str">
        <x:v>A</x:v>
      </x:c>
      <x:c r="D501" s="2" t="str">
        <x:v>CURRENT</x:v>
      </x:c>
      <x:c r="E501" s="2" t="str">
        <x:f>IF(B501="","",'Input_Meci'!B47)</x:f>
      </x:c>
      <x:c r="F501" s="2" t="str">
        <x:f>IF(B501="","",IF('Input_Meci'!C47="","",'Input_Meci'!C47))</x:f>
      </x:c>
      <x:c r="G501" s="2" t="str">
        <x:f>IF(B501="","",'Input_Meci'!E47)</x:f>
      </x:c>
      <x:c r="H501" s="2" t="str">
        <x:v>ANY</x:v>
      </x:c>
      <x:c r="I501" s="2" t="str">
        <x:v>SEASON</x:v>
      </x:c>
      <x:c r="J501" s="9" t="n">
        <x:f>IF(AND(B501&lt;&gt;"",ISNUMBER('Input_Meci'!G47)),INT('Input_Meci'!G47),0)</x:f>
        <x:v>0</x:v>
      </x:c>
      <x:c r="K501" s="2" t="n">
        <x:f>IF(OR(B501="",F501=""),0,IF(H501="HOME",COUNTIFS('Istoric_Nativ'!$B$6:$B$405,E501,'Istoric_Nativ'!$C$6:$C$405,F501,'Istoric_Nativ'!$E$6:$E$405,G501,'Istoric_Nativ'!$D$6:$D$405,"&lt;"&amp;J501,'Istoric_Nativ'!$P$6:$P$405,1),IF(H501="AWAY",COUNTIFS('Istoric_Nativ'!$B$6:$B$405,E501,'Istoric_Nativ'!$C$6:$C$405,F501,'Istoric_Nativ'!$F$6:$F$405,G501,'Istoric_Nativ'!$D$6:$D$405,"&lt;"&amp;J501,'Istoric_Nativ'!$P$6:$P$405,1),COUNTIFS('Istoric_Nativ'!$B$6:$B$405,E501,'Istoric_Nativ'!$C$6:$C$405,F501,'Istoric_Nativ'!$E$6:$E$405,G501,'Istoric_Nativ'!$D$6:$D$405,"&lt;"&amp;J501,'Istoric_Nativ'!$P$6:$P$405,1)+COUNTIFS('Istoric_Nativ'!$B$6:$B$405,E501,'Istoric_Nativ'!$C$6:$C$405,F501,'Istoric_Nativ'!$F$6:$F$405,G501,'Istoric_Nativ'!$D$6:$D$405,"&lt;"&amp;J501,'Istoric_Nativ'!$P$6:$P$405,1))))</x:f>
        <x:v>0</x:v>
      </x:c>
      <x:c r="L501" s="17" t="n">
        <x:f>IF(AND(B501&lt;&gt;"",I501="RECENT",K501&gt;0),LARGE(_xlfn._xlws.FILTER('Istoric_Nativ'!$D$6:$D$405,('Istoric_Nativ'!$B$6:$B$405=E501)*('Istoric_Nativ'!$C$6:$C$405=F501)*('Istoric_Nativ'!$P$6:$P$405=1)*('Istoric_Nativ'!$D$6:$D$405&lt;J501)*((('Istoric_Nativ'!$E$6:$E$405=G501)+('Istoric_Nativ'!$F$6:$F$405=G501))&gt;0)),MIN('Config_v6'!$B$54,K501)),0)</x:f>
        <x:v>0</x:v>
      </x:c>
      <x:c r="M501" s="2" t="n">
        <x:f>IF(OR(B501="",F501=""),0,IF(H501="HOME",COUNTIFS('Istoric_Nativ'!$B$6:$B$405,E501,'Istoric_Nativ'!$C$6:$C$405,F501,'Istoric_Nativ'!$E$6:$E$405,G501,'Istoric_Nativ'!$D$6:$D$405,"&lt;"&amp;J501,'Istoric_Nativ'!$P$6:$P$405,1,'Istoric_Nativ'!$D$6:$D$405,"&gt;="&amp;L501),IF(H501="AWAY",COUNTIFS('Istoric_Nativ'!$B$6:$B$405,E501,'Istoric_Nativ'!$C$6:$C$405,F501,'Istoric_Nativ'!$F$6:$F$405,G501,'Istoric_Nativ'!$D$6:$D$405,"&lt;"&amp;J501,'Istoric_Nativ'!$P$6:$P$405,1,'Istoric_Nativ'!$D$6:$D$405,"&gt;="&amp;L501),COUNTIFS('Istoric_Nativ'!$B$6:$B$405,E501,'Istoric_Nativ'!$C$6:$C$405,F501,'Istoric_Nativ'!$E$6:$E$405,G501,'Istoric_Nativ'!$D$6:$D$405,"&lt;"&amp;J501,'Istoric_Nativ'!$P$6:$P$405,1,'Istoric_Nativ'!$D$6:$D$405,"&gt;="&amp;L501)+COUNTIFS('Istoric_Nativ'!$B$6:$B$405,E501,'Istoric_Nativ'!$C$6:$C$405,F501,'Istoric_Nativ'!$F$6:$F$405,G501,'Istoric_Nativ'!$D$6:$D$405,"&lt;"&amp;J501,'Istoric_Nativ'!$P$6:$P$405,1,'Istoric_Nativ'!$D$6:$D$405,"&gt;="&amp;L501))))</x:f>
        <x:v>0</x:v>
      </x:c>
      <x:c r="N501" s="11" t="str">
        <x:f>IF(M501=0,"",IF(H501="HOME",SUMIFS('Istoric_Nativ'!$G$6:$G$405,'Istoric_Nativ'!$B$6:$B$405,E501,'Istoric_Nativ'!$C$6:$C$405,F501,'Istoric_Nativ'!$E$6:$E$405,G501,'Istoric_Nativ'!$D$6:$D$405,"&lt;"&amp;J501,'Istoric_Nativ'!$P$6:$P$405,1,'Istoric_Nativ'!$D$6:$D$405,"&gt;="&amp;L501),IF(H501="AWAY",SUMIFS('Istoric_Nativ'!$H$6:$H$405,'Istoric_Nativ'!$B$6:$B$405,E501,'Istoric_Nativ'!$C$6:$C$405,F501,'Istoric_Nativ'!$F$6:$F$405,G501,'Istoric_Nativ'!$D$6:$D$405,"&lt;"&amp;J501,'Istoric_Nativ'!$P$6:$P$405,1,'Istoric_Nativ'!$D$6:$D$405,"&gt;="&amp;L501),SUMIFS('Istoric_Nativ'!$G$6:$G$405,'Istoric_Nativ'!$B$6:$B$405,E501,'Istoric_Nativ'!$C$6:$C$405,F501,'Istoric_Nativ'!$E$6:$E$405,G501,'Istoric_Nativ'!$D$6:$D$405,"&lt;"&amp;J501,'Istoric_Nativ'!$P$6:$P$405,1,'Istoric_Nativ'!$D$6:$D$405,"&gt;="&amp;L501)+SUMIFS('Istoric_Nativ'!$H$6:$H$405,'Istoric_Nativ'!$B$6:$B$405,E501,'Istoric_Nativ'!$C$6:$C$405,F501,'Istoric_Nativ'!$F$6:$F$405,G501,'Istoric_Nativ'!$D$6:$D$405,"&lt;"&amp;J501,'Istoric_Nativ'!$P$6:$P$405,1,'Istoric_Nativ'!$D$6:$D$405,"&gt;="&amp;L501)))/M501)</x:f>
      </x:c>
      <x:c r="O501" s="11" t="str">
        <x:f>IF(M501=0,"",IF(H501="HOME",SUMIFS('Istoric_Nativ'!$H$6:$H$405,'Istoric_Nativ'!$B$6:$B$405,E501,'Istoric_Nativ'!$C$6:$C$405,F501,'Istoric_Nativ'!$E$6:$E$405,G501,'Istoric_Nativ'!$D$6:$D$405,"&lt;"&amp;J501,'Istoric_Nativ'!$P$6:$P$405,1,'Istoric_Nativ'!$D$6:$D$405,"&gt;="&amp;L501),IF(H501="AWAY",SUMIFS('Istoric_Nativ'!$G$6:$G$405,'Istoric_Nativ'!$B$6:$B$405,E501,'Istoric_Nativ'!$C$6:$C$405,F501,'Istoric_Nativ'!$F$6:$F$405,G501,'Istoric_Nativ'!$D$6:$D$405,"&lt;"&amp;J501,'Istoric_Nativ'!$P$6:$P$405,1,'Istoric_Nativ'!$D$6:$D$405,"&gt;="&amp;L501),SUMIFS('Istoric_Nativ'!$H$6:$H$405,'Istoric_Nativ'!$B$6:$B$405,E501,'Istoric_Nativ'!$C$6:$C$405,F501,'Istoric_Nativ'!$E$6:$E$405,G501,'Istoric_Nativ'!$D$6:$D$405,"&lt;"&amp;J501,'Istoric_Nativ'!$P$6:$P$405,1,'Istoric_Nativ'!$D$6:$D$405,"&gt;="&amp;L501)+SUMIFS('Istoric_Nativ'!$G$6:$G$405,'Istoric_Nativ'!$B$6:$B$405,E501,'Istoric_Nativ'!$C$6:$C$405,F501,'Istoric_Nativ'!$F$6:$F$405,G501,'Istoric_Nativ'!$D$6:$D$405,"&lt;"&amp;J501,'Istoric_Nativ'!$P$6:$P$405,1,'Istoric_Nativ'!$D$6:$D$405,"&gt;="&amp;L501)))/M501)</x:f>
      </x:c>
      <x:c r="P501" s="2" t="n">
        <x:f>'Config_v6'!$B$7</x:f>
        <x:v>10</x:v>
      </x:c>
      <x:c r="Q501" s="2" t="n">
        <x:f>IF(OR(B501="",F501=""),0,IFERROR(MATCH(E501&amp;"|"&amp;F501,SourceTable[Source_Key],0),0))</x:f>
        <x:v>0</x:v>
      </x:c>
      <x:c r="R501" s="2" t="str">
        <x:f>IF(B501="","",IF(F501="","UNUSED",IF(Q501=0,"NOT CHECKED",IF(COUNTIF(SourceTable[Source_Key],E501&amp;"|"&amp;F501)&lt;&gt;1,"SOURCE CONFLICT",IF(NOT(OR(INDEX(SourceTable[Status],MAX(1,Q501))="IMPORTED",INDEX(SourceTable[Status],MAX(1,Q501))="PARTIAL",INDEX(SourceTable[Status],MAX(1,Q501))="SOURCE CONFLICT")),"ACCESS BLOCKED",IF(OR(INDEX(SourceTable[Coverage],Q501)&lt;&gt;"FULL SEASON EXPORT",INDEX(SourceTable[URL],Q501)="",INDEX(SourceTable[SHA256],Q501)=""),"EVIDENCE INCOMPLETE",IF(AND('Input_Meci'!H47="LIVE",INDEX(SourceTable[Retrieved_UTC],Q501)&gt;'Input_Meci'!G47),"POST CUTOFF","CLOSED")))))))</x:f>
      </x:c>
      <x:c r="S501" s="2" t="n">
        <x:f>IF(OR(B501="",F501=""),0,COUNTIFS('Istoric_Nativ'!$B$6:$B$405,E501,'Istoric_Nativ'!$C$6:$C$405,F501,'Istoric_Nativ'!$E$6:$E$405,G501,'Istoric_Nativ'!$D$6:$D$405,"&lt;"&amp;J501,'Istoric_Nativ'!$O$6:$O$405,"INVALID")+COUNTIFS('Istoric_Nativ'!$B$6:$B$405,E501,'Istoric_Nativ'!$C$6:$C$405,F501,'Istoric_Nativ'!$E$6:$E$405,G501,'Istoric_Nativ'!$O$6:$O$405,"INVALID",'Istoric_Nativ'!$D$6:$D$405,"*")+COUNTIFS('Istoric_Nativ'!$B$6:$B$405,E501,'Istoric_Nativ'!$C$6:$C$405,F501,'Istoric_Nativ'!$E$6:$E$405,G501,'Istoric_Nativ'!$D$6:$D$405,"&lt;"&amp;J501,'Istoric_Nativ'!$O$6:$O$405,"SOURCE CONFLICT")+COUNTIFS('Istoric_Nativ'!$B$6:$B$405,E501,'Istoric_Nativ'!$C$6:$C$405,F501,'Istoric_Nativ'!$F$6:$F$405,G501,'Istoric_Nativ'!$D$6:$D$405,"&lt;"&amp;J501,'Istoric_Nativ'!$O$6:$O$405,"INVALID")+COUNTIFS('Istoric_Nativ'!$B$6:$B$405,E501,'Istoric_Nativ'!$C$6:$C$405,F501,'Istoric_Nativ'!$F$6:$F$405,G501,'Istoric_Nativ'!$O$6:$O$405,"INVALID",'Istoric_Nativ'!$D$6:$D$405,"*")+COUNTIFS('Istoric_Nativ'!$B$6:$B$405,E501,'Istoric_Nativ'!$C$6:$C$405,F501,'Istoric_Nativ'!$F$6:$F$405,G501,'Istoric_Nativ'!$D$6:$D$405,"&lt;"&amp;J501,'Istoric_Nativ'!$O$6:$O$405,"SOURCE CONFLICT"))</x:f>
        <x:v>0</x:v>
      </x:c>
      <x:c r="T501" s="2" t="str">
        <x:f>IF(B501="","",IF(R501&lt;&gt;"CLOSED",R501,IF(S501&gt;0,"NATIVE INPUT ISSUE",IF(M501=0,"NO HISTORY",IF(M501&lt;P501,"SMALL SAMPLE","DERIVED")))))</x:f>
      </x:c>
      <x:c r="U501" s="2" t="str">
        <x:f>IF(B501="","","NativeTable; "&amp;E501&amp;"; "&amp;F501&amp;"; "&amp;G501&amp;"; "&amp;H501&amp;"; before "&amp;TEXT(J501,"yyyy-mm-dd")&amp;IF(I501="RECENT","; from "&amp;TEXT(L501,"yyyy-mm-dd"),""))</x:f>
      </x:c>
    </x:row>
    <x:row r="502" ht="21" customHeight="1">
      <x:c r="A502" s="2" t="n">
        <x:v>42</x:v>
      </x:c>
      <x:c r="B502" s="2" t="str">
        <x:f>IF('Input_Meci'!A47="","",'Input_Meci'!A47)</x:f>
      </x:c>
      <x:c r="C502" s="2" t="str">
        <x:v>A</x:v>
      </x:c>
      <x:c r="D502" s="2" t="str">
        <x:v>CURRENT</x:v>
      </x:c>
      <x:c r="E502" s="2" t="str">
        <x:f>IF(B502="","",'Input_Meci'!B47)</x:f>
      </x:c>
      <x:c r="F502" s="2" t="str">
        <x:f>IF(B502="","",IF('Input_Meci'!C47="","",'Input_Meci'!C47))</x:f>
      </x:c>
      <x:c r="G502" s="2" t="str">
        <x:f>IF(B502="","",'Input_Meci'!E47)</x:f>
      </x:c>
      <x:c r="H502" s="2" t="str">
        <x:v>AWAY</x:v>
      </x:c>
      <x:c r="I502" s="2" t="str">
        <x:v>HA</x:v>
      </x:c>
      <x:c r="J502" s="9" t="n">
        <x:f>IF(AND(B502&lt;&gt;"",ISNUMBER('Input_Meci'!G47)),INT('Input_Meci'!G47),0)</x:f>
        <x:v>0</x:v>
      </x:c>
      <x:c r="K502" s="2" t="n">
        <x:f>IF(OR(B502="",F502=""),0,IF(H502="HOME",COUNTIFS('Istoric_Nativ'!$B$6:$B$405,E502,'Istoric_Nativ'!$C$6:$C$405,F502,'Istoric_Nativ'!$E$6:$E$405,G502,'Istoric_Nativ'!$D$6:$D$405,"&lt;"&amp;J502,'Istoric_Nativ'!$P$6:$P$405,1),IF(H502="AWAY",COUNTIFS('Istoric_Nativ'!$B$6:$B$405,E502,'Istoric_Nativ'!$C$6:$C$405,F502,'Istoric_Nativ'!$F$6:$F$405,G502,'Istoric_Nativ'!$D$6:$D$405,"&lt;"&amp;J502,'Istoric_Nativ'!$P$6:$P$405,1),COUNTIFS('Istoric_Nativ'!$B$6:$B$405,E502,'Istoric_Nativ'!$C$6:$C$405,F502,'Istoric_Nativ'!$E$6:$E$405,G502,'Istoric_Nativ'!$D$6:$D$405,"&lt;"&amp;J502,'Istoric_Nativ'!$P$6:$P$405,1)+COUNTIFS('Istoric_Nativ'!$B$6:$B$405,E502,'Istoric_Nativ'!$C$6:$C$405,F502,'Istoric_Nativ'!$F$6:$F$405,G502,'Istoric_Nativ'!$D$6:$D$405,"&lt;"&amp;J502,'Istoric_Nativ'!$P$6:$P$405,1))))</x:f>
        <x:v>0</x:v>
      </x:c>
      <x:c r="L502" s="17" t="n">
        <x:f>IF(AND(B502&lt;&gt;"",I502="RECENT",K502&gt;0),LARGE(_xlfn._xlws.FILTER('Istoric_Nativ'!$D$6:$D$405,('Istoric_Nativ'!$B$6:$B$405=E502)*('Istoric_Nativ'!$C$6:$C$405=F502)*('Istoric_Nativ'!$P$6:$P$405=1)*('Istoric_Nativ'!$D$6:$D$405&lt;J502)*((('Istoric_Nativ'!$E$6:$E$405=G502)+('Istoric_Nativ'!$F$6:$F$405=G502))&gt;0)),MIN('Config_v6'!$B$54,K502)),0)</x:f>
        <x:v>0</x:v>
      </x:c>
      <x:c r="M502" s="2" t="n">
        <x:f>IF(OR(B502="",F502=""),0,IF(H502="HOME",COUNTIFS('Istoric_Nativ'!$B$6:$B$405,E502,'Istoric_Nativ'!$C$6:$C$405,F502,'Istoric_Nativ'!$E$6:$E$405,G502,'Istoric_Nativ'!$D$6:$D$405,"&lt;"&amp;J502,'Istoric_Nativ'!$P$6:$P$405,1,'Istoric_Nativ'!$D$6:$D$405,"&gt;="&amp;L502),IF(H502="AWAY",COUNTIFS('Istoric_Nativ'!$B$6:$B$405,E502,'Istoric_Nativ'!$C$6:$C$405,F502,'Istoric_Nativ'!$F$6:$F$405,G502,'Istoric_Nativ'!$D$6:$D$405,"&lt;"&amp;J502,'Istoric_Nativ'!$P$6:$P$405,1,'Istoric_Nativ'!$D$6:$D$405,"&gt;="&amp;L502),COUNTIFS('Istoric_Nativ'!$B$6:$B$405,E502,'Istoric_Nativ'!$C$6:$C$405,F502,'Istoric_Nativ'!$E$6:$E$405,G502,'Istoric_Nativ'!$D$6:$D$405,"&lt;"&amp;J502,'Istoric_Nativ'!$P$6:$P$405,1,'Istoric_Nativ'!$D$6:$D$405,"&gt;="&amp;L502)+COUNTIFS('Istoric_Nativ'!$B$6:$B$405,E502,'Istoric_Nativ'!$C$6:$C$405,F502,'Istoric_Nativ'!$F$6:$F$405,G502,'Istoric_Nativ'!$D$6:$D$405,"&lt;"&amp;J502,'Istoric_Nativ'!$P$6:$P$405,1,'Istoric_Nativ'!$D$6:$D$405,"&gt;="&amp;L502))))</x:f>
        <x:v>0</x:v>
      </x:c>
      <x:c r="N502" s="11" t="str">
        <x:f>IF(M502=0,"",IF(H502="HOME",SUMIFS('Istoric_Nativ'!$G$6:$G$405,'Istoric_Nativ'!$B$6:$B$405,E502,'Istoric_Nativ'!$C$6:$C$405,F502,'Istoric_Nativ'!$E$6:$E$405,G502,'Istoric_Nativ'!$D$6:$D$405,"&lt;"&amp;J502,'Istoric_Nativ'!$P$6:$P$405,1,'Istoric_Nativ'!$D$6:$D$405,"&gt;="&amp;L502),IF(H502="AWAY",SUMIFS('Istoric_Nativ'!$H$6:$H$405,'Istoric_Nativ'!$B$6:$B$405,E502,'Istoric_Nativ'!$C$6:$C$405,F502,'Istoric_Nativ'!$F$6:$F$405,G502,'Istoric_Nativ'!$D$6:$D$405,"&lt;"&amp;J502,'Istoric_Nativ'!$P$6:$P$405,1,'Istoric_Nativ'!$D$6:$D$405,"&gt;="&amp;L502),SUMIFS('Istoric_Nativ'!$G$6:$G$405,'Istoric_Nativ'!$B$6:$B$405,E502,'Istoric_Nativ'!$C$6:$C$405,F502,'Istoric_Nativ'!$E$6:$E$405,G502,'Istoric_Nativ'!$D$6:$D$405,"&lt;"&amp;J502,'Istoric_Nativ'!$P$6:$P$405,1,'Istoric_Nativ'!$D$6:$D$405,"&gt;="&amp;L502)+SUMIFS('Istoric_Nativ'!$H$6:$H$405,'Istoric_Nativ'!$B$6:$B$405,E502,'Istoric_Nativ'!$C$6:$C$405,F502,'Istoric_Nativ'!$F$6:$F$405,G502,'Istoric_Nativ'!$D$6:$D$405,"&lt;"&amp;J502,'Istoric_Nativ'!$P$6:$P$405,1,'Istoric_Nativ'!$D$6:$D$405,"&gt;="&amp;L502)))/M502)</x:f>
      </x:c>
      <x:c r="O502" s="11" t="str">
        <x:f>IF(M502=0,"",IF(H502="HOME",SUMIFS('Istoric_Nativ'!$H$6:$H$405,'Istoric_Nativ'!$B$6:$B$405,E502,'Istoric_Nativ'!$C$6:$C$405,F502,'Istoric_Nativ'!$E$6:$E$405,G502,'Istoric_Nativ'!$D$6:$D$405,"&lt;"&amp;J502,'Istoric_Nativ'!$P$6:$P$405,1,'Istoric_Nativ'!$D$6:$D$405,"&gt;="&amp;L502),IF(H502="AWAY",SUMIFS('Istoric_Nativ'!$G$6:$G$405,'Istoric_Nativ'!$B$6:$B$405,E502,'Istoric_Nativ'!$C$6:$C$405,F502,'Istoric_Nativ'!$F$6:$F$405,G502,'Istoric_Nativ'!$D$6:$D$405,"&lt;"&amp;J502,'Istoric_Nativ'!$P$6:$P$405,1,'Istoric_Nativ'!$D$6:$D$405,"&gt;="&amp;L502),SUMIFS('Istoric_Nativ'!$H$6:$H$405,'Istoric_Nativ'!$B$6:$B$405,E502,'Istoric_Nativ'!$C$6:$C$405,F502,'Istoric_Nativ'!$E$6:$E$405,G502,'Istoric_Nativ'!$D$6:$D$405,"&lt;"&amp;J502,'Istoric_Nativ'!$P$6:$P$405,1,'Istoric_Nativ'!$D$6:$D$405,"&gt;="&amp;L502)+SUMIFS('Istoric_Nativ'!$G$6:$G$405,'Istoric_Nativ'!$B$6:$B$405,E502,'Istoric_Nativ'!$C$6:$C$405,F502,'Istoric_Nativ'!$F$6:$F$405,G502,'Istoric_Nativ'!$D$6:$D$405,"&lt;"&amp;J502,'Istoric_Nativ'!$P$6:$P$405,1,'Istoric_Nativ'!$D$6:$D$405,"&gt;="&amp;L502)))/M502)</x:f>
      </x:c>
      <x:c r="P502" s="2" t="n">
        <x:f>'Config_v6'!$B$8</x:f>
        <x:v>5</x:v>
      </x:c>
      <x:c r="Q502" s="2" t="n">
        <x:f>IF(OR(B502="",F502=""),0,IFERROR(MATCH(E502&amp;"|"&amp;F502,SourceTable[Source_Key],0),0))</x:f>
        <x:v>0</x:v>
      </x:c>
      <x:c r="R502" s="2" t="str">
        <x:f>IF(B502="","",IF(F502="","UNUSED",IF(Q502=0,"NOT CHECKED",IF(COUNTIF(SourceTable[Source_Key],E502&amp;"|"&amp;F502)&lt;&gt;1,"SOURCE CONFLICT",IF(NOT(OR(INDEX(SourceTable[Status],MAX(1,Q502))="IMPORTED",INDEX(SourceTable[Status],MAX(1,Q502))="PARTIAL",INDEX(SourceTable[Status],MAX(1,Q502))="SOURCE CONFLICT")),"ACCESS BLOCKED",IF(OR(INDEX(SourceTable[Coverage],Q502)&lt;&gt;"FULL SEASON EXPORT",INDEX(SourceTable[URL],Q502)="",INDEX(SourceTable[SHA256],Q502)=""),"EVIDENCE INCOMPLETE",IF(AND('Input_Meci'!H47="LIVE",INDEX(SourceTable[Retrieved_UTC],Q502)&gt;'Input_Meci'!G47),"POST CUTOFF","CLOSED")))))))</x:f>
      </x:c>
      <x:c r="S502" s="2" t="n">
        <x:f>IF(OR(B502="",F502=""),0,COUNTIFS('Istoric_Nativ'!$B$6:$B$405,E502,'Istoric_Nativ'!$C$6:$C$405,F502,'Istoric_Nativ'!$E$6:$E$405,G502,'Istoric_Nativ'!$D$6:$D$405,"&lt;"&amp;J502,'Istoric_Nativ'!$O$6:$O$405,"INVALID")+COUNTIFS('Istoric_Nativ'!$B$6:$B$405,E502,'Istoric_Nativ'!$C$6:$C$405,F502,'Istoric_Nativ'!$E$6:$E$405,G502,'Istoric_Nativ'!$O$6:$O$405,"INVALID",'Istoric_Nativ'!$D$6:$D$405,"*")+COUNTIFS('Istoric_Nativ'!$B$6:$B$405,E502,'Istoric_Nativ'!$C$6:$C$405,F502,'Istoric_Nativ'!$E$6:$E$405,G502,'Istoric_Nativ'!$D$6:$D$405,"&lt;"&amp;J502,'Istoric_Nativ'!$O$6:$O$405,"SOURCE CONFLICT")+COUNTIFS('Istoric_Nativ'!$B$6:$B$405,E502,'Istoric_Nativ'!$C$6:$C$405,F502,'Istoric_Nativ'!$F$6:$F$405,G502,'Istoric_Nativ'!$D$6:$D$405,"&lt;"&amp;J502,'Istoric_Nativ'!$O$6:$O$405,"INVALID")+COUNTIFS('Istoric_Nativ'!$B$6:$B$405,E502,'Istoric_Nativ'!$C$6:$C$405,F502,'Istoric_Nativ'!$F$6:$F$405,G502,'Istoric_Nativ'!$O$6:$O$405,"INVALID",'Istoric_Nativ'!$D$6:$D$405,"*")+COUNTIFS('Istoric_Nativ'!$B$6:$B$405,E502,'Istoric_Nativ'!$C$6:$C$405,F502,'Istoric_Nativ'!$F$6:$F$405,G502,'Istoric_Nativ'!$D$6:$D$405,"&lt;"&amp;J502,'Istoric_Nativ'!$O$6:$O$405,"SOURCE CONFLICT"))</x:f>
        <x:v>0</x:v>
      </x:c>
      <x:c r="T502" s="2" t="str">
        <x:f>IF(B502="","",IF(R502&lt;&gt;"CLOSED",R502,IF(S502&gt;0,"NATIVE INPUT ISSUE",IF(M502=0,"NO HISTORY",IF(M502&lt;P502,"SMALL SAMPLE","DERIVED")))))</x:f>
      </x:c>
      <x:c r="U502" s="2" t="str">
        <x:f>IF(B502="","","NativeTable; "&amp;E502&amp;"; "&amp;F502&amp;"; "&amp;G502&amp;"; "&amp;H502&amp;"; before "&amp;TEXT(J502,"yyyy-mm-dd")&amp;IF(I502="RECENT","; from "&amp;TEXT(L502,"yyyy-mm-dd"),""))</x:f>
      </x:c>
    </x:row>
    <x:row r="503" ht="21" customHeight="1">
      <x:c r="A503" s="2" t="n">
        <x:v>42</x:v>
      </x:c>
      <x:c r="B503" s="2" t="str">
        <x:f>IF('Input_Meci'!A47="","",'Input_Meci'!A47)</x:f>
      </x:c>
      <x:c r="C503" s="2" t="str">
        <x:v>A</x:v>
      </x:c>
      <x:c r="D503" s="2" t="str">
        <x:v>CURRENT</x:v>
      </x:c>
      <x:c r="E503" s="2" t="str">
        <x:f>IF(B503="","",'Input_Meci'!B47)</x:f>
      </x:c>
      <x:c r="F503" s="2" t="str">
        <x:f>IF(B503="","",IF('Input_Meci'!C47="","",'Input_Meci'!C47))</x:f>
      </x:c>
      <x:c r="G503" s="2" t="str">
        <x:f>IF(B503="","",'Input_Meci'!E47)</x:f>
      </x:c>
      <x:c r="H503" s="2" t="str">
        <x:v>ANY</x:v>
      </x:c>
      <x:c r="I503" s="2" t="str">
        <x:v>RECENT</x:v>
      </x:c>
      <x:c r="J503" s="9" t="n">
        <x:f>IF(AND(B503&lt;&gt;"",ISNUMBER('Input_Meci'!G47)),INT('Input_Meci'!G47),0)</x:f>
        <x:v>0</x:v>
      </x:c>
      <x:c r="K503" s="2" t="n">
        <x:f>IF(OR(B503="",F503=""),0,IF(H503="HOME",COUNTIFS('Istoric_Nativ'!$B$6:$B$405,E503,'Istoric_Nativ'!$C$6:$C$405,F503,'Istoric_Nativ'!$E$6:$E$405,G503,'Istoric_Nativ'!$D$6:$D$405,"&lt;"&amp;J503,'Istoric_Nativ'!$P$6:$P$405,1),IF(H503="AWAY",COUNTIFS('Istoric_Nativ'!$B$6:$B$405,E503,'Istoric_Nativ'!$C$6:$C$405,F503,'Istoric_Nativ'!$F$6:$F$405,G503,'Istoric_Nativ'!$D$6:$D$405,"&lt;"&amp;J503,'Istoric_Nativ'!$P$6:$P$405,1),COUNTIFS('Istoric_Nativ'!$B$6:$B$405,E503,'Istoric_Nativ'!$C$6:$C$405,F503,'Istoric_Nativ'!$E$6:$E$405,G503,'Istoric_Nativ'!$D$6:$D$405,"&lt;"&amp;J503,'Istoric_Nativ'!$P$6:$P$405,1)+COUNTIFS('Istoric_Nativ'!$B$6:$B$405,E503,'Istoric_Nativ'!$C$6:$C$405,F503,'Istoric_Nativ'!$F$6:$F$405,G503,'Istoric_Nativ'!$D$6:$D$405,"&lt;"&amp;J503,'Istoric_Nativ'!$P$6:$P$405,1))))</x:f>
        <x:v>0</x:v>
      </x:c>
      <x:c r="L503" s="17" t="n">
        <x:f>IF(AND(B503&lt;&gt;"",I503="RECENT",K503&gt;0),LARGE(_xlfn._xlws.FILTER('Istoric_Nativ'!$D$6:$D$405,('Istoric_Nativ'!$B$6:$B$405=E503)*('Istoric_Nativ'!$C$6:$C$405=F503)*('Istoric_Nativ'!$P$6:$P$405=1)*('Istoric_Nativ'!$D$6:$D$405&lt;J503)*((('Istoric_Nativ'!$E$6:$E$405=G503)+('Istoric_Nativ'!$F$6:$F$405=G503))&gt;0)),MIN('Config_v6'!$B$54,K503)),0)</x:f>
        <x:v>0</x:v>
      </x:c>
      <x:c r="M503" s="2" t="n">
        <x:f>IF(OR(B503="",F503=""),0,IF(H503="HOME",COUNTIFS('Istoric_Nativ'!$B$6:$B$405,E503,'Istoric_Nativ'!$C$6:$C$405,F503,'Istoric_Nativ'!$E$6:$E$405,G503,'Istoric_Nativ'!$D$6:$D$405,"&lt;"&amp;J503,'Istoric_Nativ'!$P$6:$P$405,1,'Istoric_Nativ'!$D$6:$D$405,"&gt;="&amp;L503),IF(H503="AWAY",COUNTIFS('Istoric_Nativ'!$B$6:$B$405,E503,'Istoric_Nativ'!$C$6:$C$405,F503,'Istoric_Nativ'!$F$6:$F$405,G503,'Istoric_Nativ'!$D$6:$D$405,"&lt;"&amp;J503,'Istoric_Nativ'!$P$6:$P$405,1,'Istoric_Nativ'!$D$6:$D$405,"&gt;="&amp;L503),COUNTIFS('Istoric_Nativ'!$B$6:$B$405,E503,'Istoric_Nativ'!$C$6:$C$405,F503,'Istoric_Nativ'!$E$6:$E$405,G503,'Istoric_Nativ'!$D$6:$D$405,"&lt;"&amp;J503,'Istoric_Nativ'!$P$6:$P$405,1,'Istoric_Nativ'!$D$6:$D$405,"&gt;="&amp;L503)+COUNTIFS('Istoric_Nativ'!$B$6:$B$405,E503,'Istoric_Nativ'!$C$6:$C$405,F503,'Istoric_Nativ'!$F$6:$F$405,G503,'Istoric_Nativ'!$D$6:$D$405,"&lt;"&amp;J503,'Istoric_Nativ'!$P$6:$P$405,1,'Istoric_Nativ'!$D$6:$D$405,"&gt;="&amp;L503))))</x:f>
        <x:v>0</x:v>
      </x:c>
      <x:c r="N503" s="11" t="str">
        <x:f>IF(M503=0,"",IF(H503="HOME",SUMIFS('Istoric_Nativ'!$G$6:$G$405,'Istoric_Nativ'!$B$6:$B$405,E503,'Istoric_Nativ'!$C$6:$C$405,F503,'Istoric_Nativ'!$E$6:$E$405,G503,'Istoric_Nativ'!$D$6:$D$405,"&lt;"&amp;J503,'Istoric_Nativ'!$P$6:$P$405,1,'Istoric_Nativ'!$D$6:$D$405,"&gt;="&amp;L503),IF(H503="AWAY",SUMIFS('Istoric_Nativ'!$H$6:$H$405,'Istoric_Nativ'!$B$6:$B$405,E503,'Istoric_Nativ'!$C$6:$C$405,F503,'Istoric_Nativ'!$F$6:$F$405,G503,'Istoric_Nativ'!$D$6:$D$405,"&lt;"&amp;J503,'Istoric_Nativ'!$P$6:$P$405,1,'Istoric_Nativ'!$D$6:$D$405,"&gt;="&amp;L503),SUMIFS('Istoric_Nativ'!$G$6:$G$405,'Istoric_Nativ'!$B$6:$B$405,E503,'Istoric_Nativ'!$C$6:$C$405,F503,'Istoric_Nativ'!$E$6:$E$405,G503,'Istoric_Nativ'!$D$6:$D$405,"&lt;"&amp;J503,'Istoric_Nativ'!$P$6:$P$405,1,'Istoric_Nativ'!$D$6:$D$405,"&gt;="&amp;L503)+SUMIFS('Istoric_Nativ'!$H$6:$H$405,'Istoric_Nativ'!$B$6:$B$405,E503,'Istoric_Nativ'!$C$6:$C$405,F503,'Istoric_Nativ'!$F$6:$F$405,G503,'Istoric_Nativ'!$D$6:$D$405,"&lt;"&amp;J503,'Istoric_Nativ'!$P$6:$P$405,1,'Istoric_Nativ'!$D$6:$D$405,"&gt;="&amp;L503)))/M503)</x:f>
      </x:c>
      <x:c r="O503" s="11" t="str">
        <x:f>IF(M503=0,"",IF(H503="HOME",SUMIFS('Istoric_Nativ'!$H$6:$H$405,'Istoric_Nativ'!$B$6:$B$405,E503,'Istoric_Nativ'!$C$6:$C$405,F503,'Istoric_Nativ'!$E$6:$E$405,G503,'Istoric_Nativ'!$D$6:$D$405,"&lt;"&amp;J503,'Istoric_Nativ'!$P$6:$P$405,1,'Istoric_Nativ'!$D$6:$D$405,"&gt;="&amp;L503),IF(H503="AWAY",SUMIFS('Istoric_Nativ'!$G$6:$G$405,'Istoric_Nativ'!$B$6:$B$405,E503,'Istoric_Nativ'!$C$6:$C$405,F503,'Istoric_Nativ'!$F$6:$F$405,G503,'Istoric_Nativ'!$D$6:$D$405,"&lt;"&amp;J503,'Istoric_Nativ'!$P$6:$P$405,1,'Istoric_Nativ'!$D$6:$D$405,"&gt;="&amp;L503),SUMIFS('Istoric_Nativ'!$H$6:$H$405,'Istoric_Nativ'!$B$6:$B$405,E503,'Istoric_Nativ'!$C$6:$C$405,F503,'Istoric_Nativ'!$E$6:$E$405,G503,'Istoric_Nativ'!$D$6:$D$405,"&lt;"&amp;J503,'Istoric_Nativ'!$P$6:$P$405,1,'Istoric_Nativ'!$D$6:$D$405,"&gt;="&amp;L503)+SUMIFS('Istoric_Nativ'!$G$6:$G$405,'Istoric_Nativ'!$B$6:$B$405,E503,'Istoric_Nativ'!$C$6:$C$405,F503,'Istoric_Nativ'!$F$6:$F$405,G503,'Istoric_Nativ'!$D$6:$D$405,"&lt;"&amp;J503,'Istoric_Nativ'!$P$6:$P$405,1,'Istoric_Nativ'!$D$6:$D$405,"&gt;="&amp;L503)))/M503)</x:f>
      </x:c>
      <x:c r="P503" s="2" t="n">
        <x:f>'Config_v6'!$B$9</x:f>
        <x:v>3</x:v>
      </x:c>
      <x:c r="Q503" s="2" t="n">
        <x:f>IF(OR(B503="",F503=""),0,IFERROR(MATCH(E503&amp;"|"&amp;F503,SourceTable[Source_Key],0),0))</x:f>
        <x:v>0</x:v>
      </x:c>
      <x:c r="R503" s="2" t="str">
        <x:f>IF(B503="","",IF(F503="","UNUSED",IF(Q503=0,"NOT CHECKED",IF(COUNTIF(SourceTable[Source_Key],E503&amp;"|"&amp;F503)&lt;&gt;1,"SOURCE CONFLICT",IF(NOT(OR(INDEX(SourceTable[Status],MAX(1,Q503))="IMPORTED",INDEX(SourceTable[Status],MAX(1,Q503))="PARTIAL",INDEX(SourceTable[Status],MAX(1,Q503))="SOURCE CONFLICT")),"ACCESS BLOCKED",IF(OR(INDEX(SourceTable[Coverage],Q503)&lt;&gt;"FULL SEASON EXPORT",INDEX(SourceTable[URL],Q503)="",INDEX(SourceTable[SHA256],Q503)=""),"EVIDENCE INCOMPLETE",IF(AND('Input_Meci'!H47="LIVE",INDEX(SourceTable[Retrieved_UTC],Q503)&gt;'Input_Meci'!G47),"POST CUTOFF","CLOSED")))))))</x:f>
      </x:c>
      <x:c r="S503" s="2" t="n">
        <x:f>IF(OR(B503="",F503=""),0,COUNTIFS('Istoric_Nativ'!$B$6:$B$405,E503,'Istoric_Nativ'!$C$6:$C$405,F503,'Istoric_Nativ'!$E$6:$E$405,G503,'Istoric_Nativ'!$D$6:$D$405,"&lt;"&amp;J503,'Istoric_Nativ'!$O$6:$O$405,"INVALID")+COUNTIFS('Istoric_Nativ'!$B$6:$B$405,E503,'Istoric_Nativ'!$C$6:$C$405,F503,'Istoric_Nativ'!$E$6:$E$405,G503,'Istoric_Nativ'!$O$6:$O$405,"INVALID",'Istoric_Nativ'!$D$6:$D$405,"*")+COUNTIFS('Istoric_Nativ'!$B$6:$B$405,E503,'Istoric_Nativ'!$C$6:$C$405,F503,'Istoric_Nativ'!$E$6:$E$405,G503,'Istoric_Nativ'!$D$6:$D$405,"&lt;"&amp;J503,'Istoric_Nativ'!$O$6:$O$405,"SOURCE CONFLICT")+COUNTIFS('Istoric_Nativ'!$B$6:$B$405,E503,'Istoric_Nativ'!$C$6:$C$405,F503,'Istoric_Nativ'!$F$6:$F$405,G503,'Istoric_Nativ'!$D$6:$D$405,"&lt;"&amp;J503,'Istoric_Nativ'!$O$6:$O$405,"INVALID")+COUNTIFS('Istoric_Nativ'!$B$6:$B$405,E503,'Istoric_Nativ'!$C$6:$C$405,F503,'Istoric_Nativ'!$F$6:$F$405,G503,'Istoric_Nativ'!$O$6:$O$405,"INVALID",'Istoric_Nativ'!$D$6:$D$405,"*")+COUNTIFS('Istoric_Nativ'!$B$6:$B$405,E503,'Istoric_Nativ'!$C$6:$C$405,F503,'Istoric_Nativ'!$F$6:$F$405,G503,'Istoric_Nativ'!$D$6:$D$405,"&lt;"&amp;J503,'Istoric_Nativ'!$O$6:$O$405,"SOURCE CONFLICT"))</x:f>
        <x:v>0</x:v>
      </x:c>
      <x:c r="T503" s="2" t="str">
        <x:f>IF(B503="","",IF(R503&lt;&gt;"CLOSED",R503,IF(S503&gt;0,"NATIVE INPUT ISSUE",IF(M503=0,"NO HISTORY",IF(M503&lt;P503,"SMALL SAMPLE","DERIVED")))))</x:f>
      </x:c>
      <x:c r="U503" s="2" t="str">
        <x:f>IF(B503="","","NativeTable; "&amp;E503&amp;"; "&amp;F503&amp;"; "&amp;G503&amp;"; "&amp;H503&amp;"; before "&amp;TEXT(J503,"yyyy-mm-dd")&amp;IF(I503="RECENT","; from "&amp;TEXT(L503,"yyyy-mm-dd"),""))</x:f>
      </x:c>
    </x:row>
    <x:row r="504" ht="21" customHeight="1">
      <x:c r="A504" s="2" t="n">
        <x:v>42</x:v>
      </x:c>
      <x:c r="B504" s="2" t="str">
        <x:f>IF('Input_Meci'!A47="","",'Input_Meci'!A47)</x:f>
      </x:c>
      <x:c r="C504" s="2" t="str">
        <x:v>H</x:v>
      </x:c>
      <x:c r="D504" s="2" t="str">
        <x:v>PRIOR</x:v>
      </x:c>
      <x:c r="E504" s="2" t="str">
        <x:f>IF(B504="","",'Input_Meci'!B47)</x:f>
      </x:c>
      <x:c r="F504" s="2" t="str">
        <x:f>IF(B504="","",IF('Input_Meci'!K47="","",'Input_Meci'!K47))</x:f>
      </x:c>
      <x:c r="G504" s="2" t="str">
        <x:f>IF(B504="","",'Input_Meci'!D47)</x:f>
      </x:c>
      <x:c r="H504" s="2" t="str">
        <x:v>ANY</x:v>
      </x:c>
      <x:c r="I504" s="2" t="str">
        <x:v>SEASON</x:v>
      </x:c>
      <x:c r="J504" s="9" t="n">
        <x:f>IF(AND(B504&lt;&gt;"",ISNUMBER('Input_Meci'!G47)),INT('Input_Meci'!G47),0)</x:f>
        <x:v>0</x:v>
      </x:c>
      <x:c r="K504" s="2" t="n">
        <x:f>IF(OR(B504="",F504=""),0,IF(H504="HOME",COUNTIFS('Istoric_Nativ'!$B$6:$B$405,E504,'Istoric_Nativ'!$C$6:$C$405,F504,'Istoric_Nativ'!$E$6:$E$405,G504,'Istoric_Nativ'!$D$6:$D$405,"&lt;"&amp;J504,'Istoric_Nativ'!$P$6:$P$405,1),IF(H504="AWAY",COUNTIFS('Istoric_Nativ'!$B$6:$B$405,E504,'Istoric_Nativ'!$C$6:$C$405,F504,'Istoric_Nativ'!$F$6:$F$405,G504,'Istoric_Nativ'!$D$6:$D$405,"&lt;"&amp;J504,'Istoric_Nativ'!$P$6:$P$405,1),COUNTIFS('Istoric_Nativ'!$B$6:$B$405,E504,'Istoric_Nativ'!$C$6:$C$405,F504,'Istoric_Nativ'!$E$6:$E$405,G504,'Istoric_Nativ'!$D$6:$D$405,"&lt;"&amp;J504,'Istoric_Nativ'!$P$6:$P$405,1)+COUNTIFS('Istoric_Nativ'!$B$6:$B$405,E504,'Istoric_Nativ'!$C$6:$C$405,F504,'Istoric_Nativ'!$F$6:$F$405,G504,'Istoric_Nativ'!$D$6:$D$405,"&lt;"&amp;J504,'Istoric_Nativ'!$P$6:$P$405,1))))</x:f>
        <x:v>0</x:v>
      </x:c>
      <x:c r="L504" s="17" t="n">
        <x:f>IF(AND(B504&lt;&gt;"",I504="RECENT",K504&gt;0),LARGE(_xlfn._xlws.FILTER('Istoric_Nativ'!$D$6:$D$405,('Istoric_Nativ'!$B$6:$B$405=E504)*('Istoric_Nativ'!$C$6:$C$405=F504)*('Istoric_Nativ'!$P$6:$P$405=1)*('Istoric_Nativ'!$D$6:$D$405&lt;J504)*((('Istoric_Nativ'!$E$6:$E$405=G504)+('Istoric_Nativ'!$F$6:$F$405=G504))&gt;0)),MIN('Config_v6'!$B$54,K504)),0)</x:f>
        <x:v>0</x:v>
      </x:c>
      <x:c r="M504" s="2" t="n">
        <x:f>IF(OR(B504="",F504=""),0,IF(H504="HOME",COUNTIFS('Istoric_Nativ'!$B$6:$B$405,E504,'Istoric_Nativ'!$C$6:$C$405,F504,'Istoric_Nativ'!$E$6:$E$405,G504,'Istoric_Nativ'!$D$6:$D$405,"&lt;"&amp;J504,'Istoric_Nativ'!$P$6:$P$405,1,'Istoric_Nativ'!$D$6:$D$405,"&gt;="&amp;L504),IF(H504="AWAY",COUNTIFS('Istoric_Nativ'!$B$6:$B$405,E504,'Istoric_Nativ'!$C$6:$C$405,F504,'Istoric_Nativ'!$F$6:$F$405,G504,'Istoric_Nativ'!$D$6:$D$405,"&lt;"&amp;J504,'Istoric_Nativ'!$P$6:$P$405,1,'Istoric_Nativ'!$D$6:$D$405,"&gt;="&amp;L504),COUNTIFS('Istoric_Nativ'!$B$6:$B$405,E504,'Istoric_Nativ'!$C$6:$C$405,F504,'Istoric_Nativ'!$E$6:$E$405,G504,'Istoric_Nativ'!$D$6:$D$405,"&lt;"&amp;J504,'Istoric_Nativ'!$P$6:$P$405,1,'Istoric_Nativ'!$D$6:$D$405,"&gt;="&amp;L504)+COUNTIFS('Istoric_Nativ'!$B$6:$B$405,E504,'Istoric_Nativ'!$C$6:$C$405,F504,'Istoric_Nativ'!$F$6:$F$405,G504,'Istoric_Nativ'!$D$6:$D$405,"&lt;"&amp;J504,'Istoric_Nativ'!$P$6:$P$405,1,'Istoric_Nativ'!$D$6:$D$405,"&gt;="&amp;L504))))</x:f>
        <x:v>0</x:v>
      </x:c>
      <x:c r="N504" s="11" t="str">
        <x:f>IF(M504=0,"",IF(H504="HOME",SUMIFS('Istoric_Nativ'!$G$6:$G$405,'Istoric_Nativ'!$B$6:$B$405,E504,'Istoric_Nativ'!$C$6:$C$405,F504,'Istoric_Nativ'!$E$6:$E$405,G504,'Istoric_Nativ'!$D$6:$D$405,"&lt;"&amp;J504,'Istoric_Nativ'!$P$6:$P$405,1,'Istoric_Nativ'!$D$6:$D$405,"&gt;="&amp;L504),IF(H504="AWAY",SUMIFS('Istoric_Nativ'!$H$6:$H$405,'Istoric_Nativ'!$B$6:$B$405,E504,'Istoric_Nativ'!$C$6:$C$405,F504,'Istoric_Nativ'!$F$6:$F$405,G504,'Istoric_Nativ'!$D$6:$D$405,"&lt;"&amp;J504,'Istoric_Nativ'!$P$6:$P$405,1,'Istoric_Nativ'!$D$6:$D$405,"&gt;="&amp;L504),SUMIFS('Istoric_Nativ'!$G$6:$G$405,'Istoric_Nativ'!$B$6:$B$405,E504,'Istoric_Nativ'!$C$6:$C$405,F504,'Istoric_Nativ'!$E$6:$E$405,G504,'Istoric_Nativ'!$D$6:$D$405,"&lt;"&amp;J504,'Istoric_Nativ'!$P$6:$P$405,1,'Istoric_Nativ'!$D$6:$D$405,"&gt;="&amp;L504)+SUMIFS('Istoric_Nativ'!$H$6:$H$405,'Istoric_Nativ'!$B$6:$B$405,E504,'Istoric_Nativ'!$C$6:$C$405,F504,'Istoric_Nativ'!$F$6:$F$405,G504,'Istoric_Nativ'!$D$6:$D$405,"&lt;"&amp;J504,'Istoric_Nativ'!$P$6:$P$405,1,'Istoric_Nativ'!$D$6:$D$405,"&gt;="&amp;L504)))/M504)</x:f>
      </x:c>
      <x:c r="O504" s="11" t="str">
        <x:f>IF(M504=0,"",IF(H504="HOME",SUMIFS('Istoric_Nativ'!$H$6:$H$405,'Istoric_Nativ'!$B$6:$B$405,E504,'Istoric_Nativ'!$C$6:$C$405,F504,'Istoric_Nativ'!$E$6:$E$405,G504,'Istoric_Nativ'!$D$6:$D$405,"&lt;"&amp;J504,'Istoric_Nativ'!$P$6:$P$405,1,'Istoric_Nativ'!$D$6:$D$405,"&gt;="&amp;L504),IF(H504="AWAY",SUMIFS('Istoric_Nativ'!$G$6:$G$405,'Istoric_Nativ'!$B$6:$B$405,E504,'Istoric_Nativ'!$C$6:$C$405,F504,'Istoric_Nativ'!$F$6:$F$405,G504,'Istoric_Nativ'!$D$6:$D$405,"&lt;"&amp;J504,'Istoric_Nativ'!$P$6:$P$405,1,'Istoric_Nativ'!$D$6:$D$405,"&gt;="&amp;L504),SUMIFS('Istoric_Nativ'!$H$6:$H$405,'Istoric_Nativ'!$B$6:$B$405,E504,'Istoric_Nativ'!$C$6:$C$405,F504,'Istoric_Nativ'!$E$6:$E$405,G504,'Istoric_Nativ'!$D$6:$D$405,"&lt;"&amp;J504,'Istoric_Nativ'!$P$6:$P$405,1,'Istoric_Nativ'!$D$6:$D$405,"&gt;="&amp;L504)+SUMIFS('Istoric_Nativ'!$G$6:$G$405,'Istoric_Nativ'!$B$6:$B$405,E504,'Istoric_Nativ'!$C$6:$C$405,F504,'Istoric_Nativ'!$F$6:$F$405,G504,'Istoric_Nativ'!$D$6:$D$405,"&lt;"&amp;J504,'Istoric_Nativ'!$P$6:$P$405,1,'Istoric_Nativ'!$D$6:$D$405,"&gt;="&amp;L504)))/M504)</x:f>
      </x:c>
      <x:c r="P504" s="2" t="n">
        <x:f>'Config_v6'!$B$7</x:f>
        <x:v>10</x:v>
      </x:c>
      <x:c r="Q504" s="2" t="n">
        <x:f>IF(OR(B504="",F504=""),0,IFERROR(MATCH(E504&amp;"|"&amp;F504,SourceTable[Source_Key],0),0))</x:f>
        <x:v>0</x:v>
      </x:c>
      <x:c r="R504" s="2" t="str">
        <x:f>IF(B504="","",IF(F504="","UNUSED",IF(Q504=0,"NOT CHECKED",IF(COUNTIF(SourceTable[Source_Key],E504&amp;"|"&amp;F504)&lt;&gt;1,"SOURCE CONFLICT",IF(NOT(OR(INDEX(SourceTable[Status],MAX(1,Q504))="IMPORTED",INDEX(SourceTable[Status],MAX(1,Q504))="PARTIAL",INDEX(SourceTable[Status],MAX(1,Q504))="SOURCE CONFLICT")),"ACCESS BLOCKED",IF(OR(INDEX(SourceTable[Coverage],Q504)&lt;&gt;"FULL SEASON EXPORT",INDEX(SourceTable[URL],Q504)="",INDEX(SourceTable[SHA256],Q504)=""),"EVIDENCE INCOMPLETE",IF(AND('Input_Meci'!H47="LIVE",INDEX(SourceTable[Retrieved_UTC],Q504)&gt;'Input_Meci'!G47),"POST CUTOFF","CLOSED")))))))</x:f>
      </x:c>
      <x:c r="S504" s="2" t="n">
        <x:f>IF(OR(B504="",F504=""),0,COUNTIFS('Istoric_Nativ'!$B$6:$B$405,E504,'Istoric_Nativ'!$C$6:$C$405,F504,'Istoric_Nativ'!$E$6:$E$405,G504,'Istoric_Nativ'!$D$6:$D$405,"&lt;"&amp;J504,'Istoric_Nativ'!$O$6:$O$405,"INVALID")+COUNTIFS('Istoric_Nativ'!$B$6:$B$405,E504,'Istoric_Nativ'!$C$6:$C$405,F504,'Istoric_Nativ'!$E$6:$E$405,G504,'Istoric_Nativ'!$O$6:$O$405,"INVALID",'Istoric_Nativ'!$D$6:$D$405,"*")+COUNTIFS('Istoric_Nativ'!$B$6:$B$405,E504,'Istoric_Nativ'!$C$6:$C$405,F504,'Istoric_Nativ'!$E$6:$E$405,G504,'Istoric_Nativ'!$D$6:$D$405,"&lt;"&amp;J504,'Istoric_Nativ'!$O$6:$O$405,"SOURCE CONFLICT")+COUNTIFS('Istoric_Nativ'!$B$6:$B$405,E504,'Istoric_Nativ'!$C$6:$C$405,F504,'Istoric_Nativ'!$F$6:$F$405,G504,'Istoric_Nativ'!$D$6:$D$405,"&lt;"&amp;J504,'Istoric_Nativ'!$O$6:$O$405,"INVALID")+COUNTIFS('Istoric_Nativ'!$B$6:$B$405,E504,'Istoric_Nativ'!$C$6:$C$405,F504,'Istoric_Nativ'!$F$6:$F$405,G504,'Istoric_Nativ'!$O$6:$O$405,"INVALID",'Istoric_Nativ'!$D$6:$D$405,"*")+COUNTIFS('Istoric_Nativ'!$B$6:$B$405,E504,'Istoric_Nativ'!$C$6:$C$405,F504,'Istoric_Nativ'!$F$6:$F$405,G504,'Istoric_Nativ'!$D$6:$D$405,"&lt;"&amp;J504,'Istoric_Nativ'!$O$6:$O$405,"SOURCE CONFLICT"))</x:f>
        <x:v>0</x:v>
      </x:c>
      <x:c r="T504" s="2" t="str">
        <x:f>IF(B504="","",IF(R504&lt;&gt;"CLOSED",R504,IF(S504&gt;0,"NATIVE INPUT ISSUE",IF(M504=0,"NO HISTORY",IF(M504&lt;P504,"SMALL SAMPLE","DERIVED")))))</x:f>
      </x:c>
      <x:c r="U504" s="2" t="str">
        <x:f>IF(B504="","","NativeTable; "&amp;E504&amp;"; "&amp;F504&amp;"; "&amp;G504&amp;"; "&amp;H504&amp;"; before "&amp;TEXT(J504,"yyyy-mm-dd")&amp;IF(I504="RECENT","; from "&amp;TEXT(L504,"yyyy-mm-dd"),""))</x:f>
      </x:c>
    </x:row>
    <x:row r="505" ht="21" customHeight="1">
      <x:c r="A505" s="2" t="n">
        <x:v>42</x:v>
      </x:c>
      <x:c r="B505" s="2" t="str">
        <x:f>IF('Input_Meci'!A47="","",'Input_Meci'!A47)</x:f>
      </x:c>
      <x:c r="C505" s="2" t="str">
        <x:v>H</x:v>
      </x:c>
      <x:c r="D505" s="2" t="str">
        <x:v>PRIOR</x:v>
      </x:c>
      <x:c r="E505" s="2" t="str">
        <x:f>IF(B505="","",'Input_Meci'!B47)</x:f>
      </x:c>
      <x:c r="F505" s="2" t="str">
        <x:f>IF(B505="","",IF('Input_Meci'!K47="","",'Input_Meci'!K47))</x:f>
      </x:c>
      <x:c r="G505" s="2" t="str">
        <x:f>IF(B505="","",'Input_Meci'!D47)</x:f>
      </x:c>
      <x:c r="H505" s="2" t="str">
        <x:v>HOME</x:v>
      </x:c>
      <x:c r="I505" s="2" t="str">
        <x:v>HA</x:v>
      </x:c>
      <x:c r="J505" s="9" t="n">
        <x:f>IF(AND(B505&lt;&gt;"",ISNUMBER('Input_Meci'!G47)),INT('Input_Meci'!G47),0)</x:f>
        <x:v>0</x:v>
      </x:c>
      <x:c r="K505" s="2" t="n">
        <x:f>IF(OR(B505="",F505=""),0,IF(H505="HOME",COUNTIFS('Istoric_Nativ'!$B$6:$B$405,E505,'Istoric_Nativ'!$C$6:$C$405,F505,'Istoric_Nativ'!$E$6:$E$405,G505,'Istoric_Nativ'!$D$6:$D$405,"&lt;"&amp;J505,'Istoric_Nativ'!$P$6:$P$405,1),IF(H505="AWAY",COUNTIFS('Istoric_Nativ'!$B$6:$B$405,E505,'Istoric_Nativ'!$C$6:$C$405,F505,'Istoric_Nativ'!$F$6:$F$405,G505,'Istoric_Nativ'!$D$6:$D$405,"&lt;"&amp;J505,'Istoric_Nativ'!$P$6:$P$405,1),COUNTIFS('Istoric_Nativ'!$B$6:$B$405,E505,'Istoric_Nativ'!$C$6:$C$405,F505,'Istoric_Nativ'!$E$6:$E$405,G505,'Istoric_Nativ'!$D$6:$D$405,"&lt;"&amp;J505,'Istoric_Nativ'!$P$6:$P$405,1)+COUNTIFS('Istoric_Nativ'!$B$6:$B$405,E505,'Istoric_Nativ'!$C$6:$C$405,F505,'Istoric_Nativ'!$F$6:$F$405,G505,'Istoric_Nativ'!$D$6:$D$405,"&lt;"&amp;J505,'Istoric_Nativ'!$P$6:$P$405,1))))</x:f>
        <x:v>0</x:v>
      </x:c>
      <x:c r="L505" s="17" t="n">
        <x:f>IF(AND(B505&lt;&gt;"",I505="RECENT",K505&gt;0),LARGE(_xlfn._xlws.FILTER('Istoric_Nativ'!$D$6:$D$405,('Istoric_Nativ'!$B$6:$B$405=E505)*('Istoric_Nativ'!$C$6:$C$405=F505)*('Istoric_Nativ'!$P$6:$P$405=1)*('Istoric_Nativ'!$D$6:$D$405&lt;J505)*((('Istoric_Nativ'!$E$6:$E$405=G505)+('Istoric_Nativ'!$F$6:$F$405=G505))&gt;0)),MIN('Config_v6'!$B$54,K505)),0)</x:f>
        <x:v>0</x:v>
      </x:c>
      <x:c r="M505" s="2" t="n">
        <x:f>IF(OR(B505="",F505=""),0,IF(H505="HOME",COUNTIFS('Istoric_Nativ'!$B$6:$B$405,E505,'Istoric_Nativ'!$C$6:$C$405,F505,'Istoric_Nativ'!$E$6:$E$405,G505,'Istoric_Nativ'!$D$6:$D$405,"&lt;"&amp;J505,'Istoric_Nativ'!$P$6:$P$405,1,'Istoric_Nativ'!$D$6:$D$405,"&gt;="&amp;L505),IF(H505="AWAY",COUNTIFS('Istoric_Nativ'!$B$6:$B$405,E505,'Istoric_Nativ'!$C$6:$C$405,F505,'Istoric_Nativ'!$F$6:$F$405,G505,'Istoric_Nativ'!$D$6:$D$405,"&lt;"&amp;J505,'Istoric_Nativ'!$P$6:$P$405,1,'Istoric_Nativ'!$D$6:$D$405,"&gt;="&amp;L505),COUNTIFS('Istoric_Nativ'!$B$6:$B$405,E505,'Istoric_Nativ'!$C$6:$C$405,F505,'Istoric_Nativ'!$E$6:$E$405,G505,'Istoric_Nativ'!$D$6:$D$405,"&lt;"&amp;J505,'Istoric_Nativ'!$P$6:$P$405,1,'Istoric_Nativ'!$D$6:$D$405,"&gt;="&amp;L505)+COUNTIFS('Istoric_Nativ'!$B$6:$B$405,E505,'Istoric_Nativ'!$C$6:$C$405,F505,'Istoric_Nativ'!$F$6:$F$405,G505,'Istoric_Nativ'!$D$6:$D$405,"&lt;"&amp;J505,'Istoric_Nativ'!$P$6:$P$405,1,'Istoric_Nativ'!$D$6:$D$405,"&gt;="&amp;L505))))</x:f>
        <x:v>0</x:v>
      </x:c>
      <x:c r="N505" s="11" t="str">
        <x:f>IF(M505=0,"",IF(H505="HOME",SUMIFS('Istoric_Nativ'!$G$6:$G$405,'Istoric_Nativ'!$B$6:$B$405,E505,'Istoric_Nativ'!$C$6:$C$405,F505,'Istoric_Nativ'!$E$6:$E$405,G505,'Istoric_Nativ'!$D$6:$D$405,"&lt;"&amp;J505,'Istoric_Nativ'!$P$6:$P$405,1,'Istoric_Nativ'!$D$6:$D$405,"&gt;="&amp;L505),IF(H505="AWAY",SUMIFS('Istoric_Nativ'!$H$6:$H$405,'Istoric_Nativ'!$B$6:$B$405,E505,'Istoric_Nativ'!$C$6:$C$405,F505,'Istoric_Nativ'!$F$6:$F$405,G505,'Istoric_Nativ'!$D$6:$D$405,"&lt;"&amp;J505,'Istoric_Nativ'!$P$6:$P$405,1,'Istoric_Nativ'!$D$6:$D$405,"&gt;="&amp;L505),SUMIFS('Istoric_Nativ'!$G$6:$G$405,'Istoric_Nativ'!$B$6:$B$405,E505,'Istoric_Nativ'!$C$6:$C$405,F505,'Istoric_Nativ'!$E$6:$E$405,G505,'Istoric_Nativ'!$D$6:$D$405,"&lt;"&amp;J505,'Istoric_Nativ'!$P$6:$P$405,1,'Istoric_Nativ'!$D$6:$D$405,"&gt;="&amp;L505)+SUMIFS('Istoric_Nativ'!$H$6:$H$405,'Istoric_Nativ'!$B$6:$B$405,E505,'Istoric_Nativ'!$C$6:$C$405,F505,'Istoric_Nativ'!$F$6:$F$405,G505,'Istoric_Nativ'!$D$6:$D$405,"&lt;"&amp;J505,'Istoric_Nativ'!$P$6:$P$405,1,'Istoric_Nativ'!$D$6:$D$405,"&gt;="&amp;L505)))/M505)</x:f>
      </x:c>
      <x:c r="O505" s="11" t="str">
        <x:f>IF(M505=0,"",IF(H505="HOME",SUMIFS('Istoric_Nativ'!$H$6:$H$405,'Istoric_Nativ'!$B$6:$B$405,E505,'Istoric_Nativ'!$C$6:$C$405,F505,'Istoric_Nativ'!$E$6:$E$405,G505,'Istoric_Nativ'!$D$6:$D$405,"&lt;"&amp;J505,'Istoric_Nativ'!$P$6:$P$405,1,'Istoric_Nativ'!$D$6:$D$405,"&gt;="&amp;L505),IF(H505="AWAY",SUMIFS('Istoric_Nativ'!$G$6:$G$405,'Istoric_Nativ'!$B$6:$B$405,E505,'Istoric_Nativ'!$C$6:$C$405,F505,'Istoric_Nativ'!$F$6:$F$405,G505,'Istoric_Nativ'!$D$6:$D$405,"&lt;"&amp;J505,'Istoric_Nativ'!$P$6:$P$405,1,'Istoric_Nativ'!$D$6:$D$405,"&gt;="&amp;L505),SUMIFS('Istoric_Nativ'!$H$6:$H$405,'Istoric_Nativ'!$B$6:$B$405,E505,'Istoric_Nativ'!$C$6:$C$405,F505,'Istoric_Nativ'!$E$6:$E$405,G505,'Istoric_Nativ'!$D$6:$D$405,"&lt;"&amp;J505,'Istoric_Nativ'!$P$6:$P$405,1,'Istoric_Nativ'!$D$6:$D$405,"&gt;="&amp;L505)+SUMIFS('Istoric_Nativ'!$G$6:$G$405,'Istoric_Nativ'!$B$6:$B$405,E505,'Istoric_Nativ'!$C$6:$C$405,F505,'Istoric_Nativ'!$F$6:$F$405,G505,'Istoric_Nativ'!$D$6:$D$405,"&lt;"&amp;J505,'Istoric_Nativ'!$P$6:$P$405,1,'Istoric_Nativ'!$D$6:$D$405,"&gt;="&amp;L505)))/M505)</x:f>
      </x:c>
      <x:c r="P505" s="2" t="n">
        <x:f>'Config_v6'!$B$8</x:f>
        <x:v>5</x:v>
      </x:c>
      <x:c r="Q505" s="2" t="n">
        <x:f>IF(OR(B505="",F505=""),0,IFERROR(MATCH(E505&amp;"|"&amp;F505,SourceTable[Source_Key],0),0))</x:f>
        <x:v>0</x:v>
      </x:c>
      <x:c r="R505" s="2" t="str">
        <x:f>IF(B505="","",IF(F505="","UNUSED",IF(Q505=0,"NOT CHECKED",IF(COUNTIF(SourceTable[Source_Key],E505&amp;"|"&amp;F505)&lt;&gt;1,"SOURCE CONFLICT",IF(NOT(OR(INDEX(SourceTable[Status],MAX(1,Q505))="IMPORTED",INDEX(SourceTable[Status],MAX(1,Q505))="PARTIAL",INDEX(SourceTable[Status],MAX(1,Q505))="SOURCE CONFLICT")),"ACCESS BLOCKED",IF(OR(INDEX(SourceTable[Coverage],Q505)&lt;&gt;"FULL SEASON EXPORT",INDEX(SourceTable[URL],Q505)="",INDEX(SourceTable[SHA256],Q505)=""),"EVIDENCE INCOMPLETE",IF(AND('Input_Meci'!H47="LIVE",INDEX(SourceTable[Retrieved_UTC],Q505)&gt;'Input_Meci'!G47),"POST CUTOFF","CLOSED")))))))</x:f>
      </x:c>
      <x:c r="S505" s="2" t="n">
        <x:f>IF(OR(B505="",F505=""),0,COUNTIFS('Istoric_Nativ'!$B$6:$B$405,E505,'Istoric_Nativ'!$C$6:$C$405,F505,'Istoric_Nativ'!$E$6:$E$405,G505,'Istoric_Nativ'!$D$6:$D$405,"&lt;"&amp;J505,'Istoric_Nativ'!$O$6:$O$405,"INVALID")+COUNTIFS('Istoric_Nativ'!$B$6:$B$405,E505,'Istoric_Nativ'!$C$6:$C$405,F505,'Istoric_Nativ'!$E$6:$E$405,G505,'Istoric_Nativ'!$O$6:$O$405,"INVALID",'Istoric_Nativ'!$D$6:$D$405,"*")+COUNTIFS('Istoric_Nativ'!$B$6:$B$405,E505,'Istoric_Nativ'!$C$6:$C$405,F505,'Istoric_Nativ'!$E$6:$E$405,G505,'Istoric_Nativ'!$D$6:$D$405,"&lt;"&amp;J505,'Istoric_Nativ'!$O$6:$O$405,"SOURCE CONFLICT")+COUNTIFS('Istoric_Nativ'!$B$6:$B$405,E505,'Istoric_Nativ'!$C$6:$C$405,F505,'Istoric_Nativ'!$F$6:$F$405,G505,'Istoric_Nativ'!$D$6:$D$405,"&lt;"&amp;J505,'Istoric_Nativ'!$O$6:$O$405,"INVALID")+COUNTIFS('Istoric_Nativ'!$B$6:$B$405,E505,'Istoric_Nativ'!$C$6:$C$405,F505,'Istoric_Nativ'!$F$6:$F$405,G505,'Istoric_Nativ'!$O$6:$O$405,"INVALID",'Istoric_Nativ'!$D$6:$D$405,"*")+COUNTIFS('Istoric_Nativ'!$B$6:$B$405,E505,'Istoric_Nativ'!$C$6:$C$405,F505,'Istoric_Nativ'!$F$6:$F$405,G505,'Istoric_Nativ'!$D$6:$D$405,"&lt;"&amp;J505,'Istoric_Nativ'!$O$6:$O$405,"SOURCE CONFLICT"))</x:f>
        <x:v>0</x:v>
      </x:c>
      <x:c r="T505" s="2" t="str">
        <x:f>IF(B505="","",IF(R505&lt;&gt;"CLOSED",R505,IF(S505&gt;0,"NATIVE INPUT ISSUE",IF(M505=0,"NO HISTORY",IF(M505&lt;P505,"SMALL SAMPLE","DERIVED")))))</x:f>
      </x:c>
      <x:c r="U505" s="2" t="str">
        <x:f>IF(B505="","","NativeTable; "&amp;E505&amp;"; "&amp;F505&amp;"; "&amp;G505&amp;"; "&amp;H505&amp;"; before "&amp;TEXT(J505,"yyyy-mm-dd")&amp;IF(I505="RECENT","; from "&amp;TEXT(L505,"yyyy-mm-dd"),""))</x:f>
      </x:c>
    </x:row>
    <x:row r="506" ht="21" customHeight="1">
      <x:c r="A506" s="2" t="n">
        <x:v>42</x:v>
      </x:c>
      <x:c r="B506" s="2" t="str">
        <x:f>IF('Input_Meci'!A47="","",'Input_Meci'!A47)</x:f>
      </x:c>
      <x:c r="C506" s="2" t="str">
        <x:v>H</x:v>
      </x:c>
      <x:c r="D506" s="2" t="str">
        <x:v>PRIOR</x:v>
      </x:c>
      <x:c r="E506" s="2" t="str">
        <x:f>IF(B506="","",'Input_Meci'!B47)</x:f>
      </x:c>
      <x:c r="F506" s="2" t="str">
        <x:f>IF(B506="","",IF('Input_Meci'!K47="","",'Input_Meci'!K47))</x:f>
      </x:c>
      <x:c r="G506" s="2" t="str">
        <x:f>IF(B506="","",'Input_Meci'!D47)</x:f>
      </x:c>
      <x:c r="H506" s="2" t="str">
        <x:v>ANY</x:v>
      </x:c>
      <x:c r="I506" s="2" t="str">
        <x:v>RECENT</x:v>
      </x:c>
      <x:c r="J506" s="9" t="n">
        <x:f>IF(AND(B506&lt;&gt;"",ISNUMBER('Input_Meci'!G47)),INT('Input_Meci'!G47),0)</x:f>
        <x:v>0</x:v>
      </x:c>
      <x:c r="K506" s="2" t="n">
        <x:f>IF(OR(B506="",F506=""),0,IF(H506="HOME",COUNTIFS('Istoric_Nativ'!$B$6:$B$405,E506,'Istoric_Nativ'!$C$6:$C$405,F506,'Istoric_Nativ'!$E$6:$E$405,G506,'Istoric_Nativ'!$D$6:$D$405,"&lt;"&amp;J506,'Istoric_Nativ'!$P$6:$P$405,1),IF(H506="AWAY",COUNTIFS('Istoric_Nativ'!$B$6:$B$405,E506,'Istoric_Nativ'!$C$6:$C$405,F506,'Istoric_Nativ'!$F$6:$F$405,G506,'Istoric_Nativ'!$D$6:$D$405,"&lt;"&amp;J506,'Istoric_Nativ'!$P$6:$P$405,1),COUNTIFS('Istoric_Nativ'!$B$6:$B$405,E506,'Istoric_Nativ'!$C$6:$C$405,F506,'Istoric_Nativ'!$E$6:$E$405,G506,'Istoric_Nativ'!$D$6:$D$405,"&lt;"&amp;J506,'Istoric_Nativ'!$P$6:$P$405,1)+COUNTIFS('Istoric_Nativ'!$B$6:$B$405,E506,'Istoric_Nativ'!$C$6:$C$405,F506,'Istoric_Nativ'!$F$6:$F$405,G506,'Istoric_Nativ'!$D$6:$D$405,"&lt;"&amp;J506,'Istoric_Nativ'!$P$6:$P$405,1))))</x:f>
        <x:v>0</x:v>
      </x:c>
      <x:c r="L506" s="17" t="n">
        <x:f>IF(AND(B506&lt;&gt;"",I506="RECENT",K506&gt;0),LARGE(_xlfn._xlws.FILTER('Istoric_Nativ'!$D$6:$D$405,('Istoric_Nativ'!$B$6:$B$405=E506)*('Istoric_Nativ'!$C$6:$C$405=F506)*('Istoric_Nativ'!$P$6:$P$405=1)*('Istoric_Nativ'!$D$6:$D$405&lt;J506)*((('Istoric_Nativ'!$E$6:$E$405=G506)+('Istoric_Nativ'!$F$6:$F$405=G506))&gt;0)),MIN('Config_v6'!$B$54,K506)),0)</x:f>
        <x:v>0</x:v>
      </x:c>
      <x:c r="M506" s="2" t="n">
        <x:f>IF(OR(B506="",F506=""),0,IF(H506="HOME",COUNTIFS('Istoric_Nativ'!$B$6:$B$405,E506,'Istoric_Nativ'!$C$6:$C$405,F506,'Istoric_Nativ'!$E$6:$E$405,G506,'Istoric_Nativ'!$D$6:$D$405,"&lt;"&amp;J506,'Istoric_Nativ'!$P$6:$P$405,1,'Istoric_Nativ'!$D$6:$D$405,"&gt;="&amp;L506),IF(H506="AWAY",COUNTIFS('Istoric_Nativ'!$B$6:$B$405,E506,'Istoric_Nativ'!$C$6:$C$405,F506,'Istoric_Nativ'!$F$6:$F$405,G506,'Istoric_Nativ'!$D$6:$D$405,"&lt;"&amp;J506,'Istoric_Nativ'!$P$6:$P$405,1,'Istoric_Nativ'!$D$6:$D$405,"&gt;="&amp;L506),COUNTIFS('Istoric_Nativ'!$B$6:$B$405,E506,'Istoric_Nativ'!$C$6:$C$405,F506,'Istoric_Nativ'!$E$6:$E$405,G506,'Istoric_Nativ'!$D$6:$D$405,"&lt;"&amp;J506,'Istoric_Nativ'!$P$6:$P$405,1,'Istoric_Nativ'!$D$6:$D$405,"&gt;="&amp;L506)+COUNTIFS('Istoric_Nativ'!$B$6:$B$405,E506,'Istoric_Nativ'!$C$6:$C$405,F506,'Istoric_Nativ'!$F$6:$F$405,G506,'Istoric_Nativ'!$D$6:$D$405,"&lt;"&amp;J506,'Istoric_Nativ'!$P$6:$P$405,1,'Istoric_Nativ'!$D$6:$D$405,"&gt;="&amp;L506))))</x:f>
        <x:v>0</x:v>
      </x:c>
      <x:c r="N506" s="11" t="str">
        <x:f>IF(M506=0,"",IF(H506="HOME",SUMIFS('Istoric_Nativ'!$G$6:$G$405,'Istoric_Nativ'!$B$6:$B$405,E506,'Istoric_Nativ'!$C$6:$C$405,F506,'Istoric_Nativ'!$E$6:$E$405,G506,'Istoric_Nativ'!$D$6:$D$405,"&lt;"&amp;J506,'Istoric_Nativ'!$P$6:$P$405,1,'Istoric_Nativ'!$D$6:$D$405,"&gt;="&amp;L506),IF(H506="AWAY",SUMIFS('Istoric_Nativ'!$H$6:$H$405,'Istoric_Nativ'!$B$6:$B$405,E506,'Istoric_Nativ'!$C$6:$C$405,F506,'Istoric_Nativ'!$F$6:$F$405,G506,'Istoric_Nativ'!$D$6:$D$405,"&lt;"&amp;J506,'Istoric_Nativ'!$P$6:$P$405,1,'Istoric_Nativ'!$D$6:$D$405,"&gt;="&amp;L506),SUMIFS('Istoric_Nativ'!$G$6:$G$405,'Istoric_Nativ'!$B$6:$B$405,E506,'Istoric_Nativ'!$C$6:$C$405,F506,'Istoric_Nativ'!$E$6:$E$405,G506,'Istoric_Nativ'!$D$6:$D$405,"&lt;"&amp;J506,'Istoric_Nativ'!$P$6:$P$405,1,'Istoric_Nativ'!$D$6:$D$405,"&gt;="&amp;L506)+SUMIFS('Istoric_Nativ'!$H$6:$H$405,'Istoric_Nativ'!$B$6:$B$405,E506,'Istoric_Nativ'!$C$6:$C$405,F506,'Istoric_Nativ'!$F$6:$F$405,G506,'Istoric_Nativ'!$D$6:$D$405,"&lt;"&amp;J506,'Istoric_Nativ'!$P$6:$P$405,1,'Istoric_Nativ'!$D$6:$D$405,"&gt;="&amp;L506)))/M506)</x:f>
      </x:c>
      <x:c r="O506" s="11" t="str">
        <x:f>IF(M506=0,"",IF(H506="HOME",SUMIFS('Istoric_Nativ'!$H$6:$H$405,'Istoric_Nativ'!$B$6:$B$405,E506,'Istoric_Nativ'!$C$6:$C$405,F506,'Istoric_Nativ'!$E$6:$E$405,G506,'Istoric_Nativ'!$D$6:$D$405,"&lt;"&amp;J506,'Istoric_Nativ'!$P$6:$P$405,1,'Istoric_Nativ'!$D$6:$D$405,"&gt;="&amp;L506),IF(H506="AWAY",SUMIFS('Istoric_Nativ'!$G$6:$G$405,'Istoric_Nativ'!$B$6:$B$405,E506,'Istoric_Nativ'!$C$6:$C$405,F506,'Istoric_Nativ'!$F$6:$F$405,G506,'Istoric_Nativ'!$D$6:$D$405,"&lt;"&amp;J506,'Istoric_Nativ'!$P$6:$P$405,1,'Istoric_Nativ'!$D$6:$D$405,"&gt;="&amp;L506),SUMIFS('Istoric_Nativ'!$H$6:$H$405,'Istoric_Nativ'!$B$6:$B$405,E506,'Istoric_Nativ'!$C$6:$C$405,F506,'Istoric_Nativ'!$E$6:$E$405,G506,'Istoric_Nativ'!$D$6:$D$405,"&lt;"&amp;J506,'Istoric_Nativ'!$P$6:$P$405,1,'Istoric_Nativ'!$D$6:$D$405,"&gt;="&amp;L506)+SUMIFS('Istoric_Nativ'!$G$6:$G$405,'Istoric_Nativ'!$B$6:$B$405,E506,'Istoric_Nativ'!$C$6:$C$405,F506,'Istoric_Nativ'!$F$6:$F$405,G506,'Istoric_Nativ'!$D$6:$D$405,"&lt;"&amp;J506,'Istoric_Nativ'!$P$6:$P$405,1,'Istoric_Nativ'!$D$6:$D$405,"&gt;="&amp;L506)))/M506)</x:f>
      </x:c>
      <x:c r="P506" s="2" t="n">
        <x:f>'Config_v6'!$B$9</x:f>
        <x:v>3</x:v>
      </x:c>
      <x:c r="Q506" s="2" t="n">
        <x:f>IF(OR(B506="",F506=""),0,IFERROR(MATCH(E506&amp;"|"&amp;F506,SourceTable[Source_Key],0),0))</x:f>
        <x:v>0</x:v>
      </x:c>
      <x:c r="R506" s="2" t="str">
        <x:f>IF(B506="","",IF(F506="","UNUSED",IF(Q506=0,"NOT CHECKED",IF(COUNTIF(SourceTable[Source_Key],E506&amp;"|"&amp;F506)&lt;&gt;1,"SOURCE CONFLICT",IF(NOT(OR(INDEX(SourceTable[Status],MAX(1,Q506))="IMPORTED",INDEX(SourceTable[Status],MAX(1,Q506))="PARTIAL",INDEX(SourceTable[Status],MAX(1,Q506))="SOURCE CONFLICT")),"ACCESS BLOCKED",IF(OR(INDEX(SourceTable[Coverage],Q506)&lt;&gt;"FULL SEASON EXPORT",INDEX(SourceTable[URL],Q506)="",INDEX(SourceTable[SHA256],Q506)=""),"EVIDENCE INCOMPLETE",IF(AND('Input_Meci'!H47="LIVE",INDEX(SourceTable[Retrieved_UTC],Q506)&gt;'Input_Meci'!G47),"POST CUTOFF","CLOSED")))))))</x:f>
      </x:c>
      <x:c r="S506" s="2" t="n">
        <x:f>IF(OR(B506="",F506=""),0,COUNTIFS('Istoric_Nativ'!$B$6:$B$405,E506,'Istoric_Nativ'!$C$6:$C$405,F506,'Istoric_Nativ'!$E$6:$E$405,G506,'Istoric_Nativ'!$D$6:$D$405,"&lt;"&amp;J506,'Istoric_Nativ'!$O$6:$O$405,"INVALID")+COUNTIFS('Istoric_Nativ'!$B$6:$B$405,E506,'Istoric_Nativ'!$C$6:$C$405,F506,'Istoric_Nativ'!$E$6:$E$405,G506,'Istoric_Nativ'!$O$6:$O$405,"INVALID",'Istoric_Nativ'!$D$6:$D$405,"*")+COUNTIFS('Istoric_Nativ'!$B$6:$B$405,E506,'Istoric_Nativ'!$C$6:$C$405,F506,'Istoric_Nativ'!$E$6:$E$405,G506,'Istoric_Nativ'!$D$6:$D$405,"&lt;"&amp;J506,'Istoric_Nativ'!$O$6:$O$405,"SOURCE CONFLICT")+COUNTIFS('Istoric_Nativ'!$B$6:$B$405,E506,'Istoric_Nativ'!$C$6:$C$405,F506,'Istoric_Nativ'!$F$6:$F$405,G506,'Istoric_Nativ'!$D$6:$D$405,"&lt;"&amp;J506,'Istoric_Nativ'!$O$6:$O$405,"INVALID")+COUNTIFS('Istoric_Nativ'!$B$6:$B$405,E506,'Istoric_Nativ'!$C$6:$C$405,F506,'Istoric_Nativ'!$F$6:$F$405,G506,'Istoric_Nativ'!$O$6:$O$405,"INVALID",'Istoric_Nativ'!$D$6:$D$405,"*")+COUNTIFS('Istoric_Nativ'!$B$6:$B$405,E506,'Istoric_Nativ'!$C$6:$C$405,F506,'Istoric_Nativ'!$F$6:$F$405,G506,'Istoric_Nativ'!$D$6:$D$405,"&lt;"&amp;J506,'Istoric_Nativ'!$O$6:$O$405,"SOURCE CONFLICT"))</x:f>
        <x:v>0</x:v>
      </x:c>
      <x:c r="T506" s="2" t="str">
        <x:f>IF(B506="","",IF(R506&lt;&gt;"CLOSED",R506,IF(S506&gt;0,"NATIVE INPUT ISSUE",IF(M506=0,"NO HISTORY",IF(M506&lt;P506,"SMALL SAMPLE","DERIVED")))))</x:f>
      </x:c>
      <x:c r="U506" s="2" t="str">
        <x:f>IF(B506="","","NativeTable; "&amp;E506&amp;"; "&amp;F506&amp;"; "&amp;G506&amp;"; "&amp;H506&amp;"; before "&amp;TEXT(J506,"yyyy-mm-dd")&amp;IF(I506="RECENT","; from "&amp;TEXT(L506,"yyyy-mm-dd"),""))</x:f>
      </x:c>
    </x:row>
    <x:row r="507" ht="21" customHeight="1">
      <x:c r="A507" s="2" t="n">
        <x:v>42</x:v>
      </x:c>
      <x:c r="B507" s="2" t="str">
        <x:f>IF('Input_Meci'!A47="","",'Input_Meci'!A47)</x:f>
      </x:c>
      <x:c r="C507" s="2" t="str">
        <x:v>A</x:v>
      </x:c>
      <x:c r="D507" s="2" t="str">
        <x:v>PRIOR</x:v>
      </x:c>
      <x:c r="E507" s="2" t="str">
        <x:f>IF(B507="","",'Input_Meci'!B47)</x:f>
      </x:c>
      <x:c r="F507" s="2" t="str">
        <x:f>IF(B507="","",IF('Input_Meci'!K47="","",'Input_Meci'!K47))</x:f>
      </x:c>
      <x:c r="G507" s="2" t="str">
        <x:f>IF(B507="","",'Input_Meci'!E47)</x:f>
      </x:c>
      <x:c r="H507" s="2" t="str">
        <x:v>ANY</x:v>
      </x:c>
      <x:c r="I507" s="2" t="str">
        <x:v>SEASON</x:v>
      </x:c>
      <x:c r="J507" s="9" t="n">
        <x:f>IF(AND(B507&lt;&gt;"",ISNUMBER('Input_Meci'!G47)),INT('Input_Meci'!G47),0)</x:f>
        <x:v>0</x:v>
      </x:c>
      <x:c r="K507" s="2" t="n">
        <x:f>IF(OR(B507="",F507=""),0,IF(H507="HOME",COUNTIFS('Istoric_Nativ'!$B$6:$B$405,E507,'Istoric_Nativ'!$C$6:$C$405,F507,'Istoric_Nativ'!$E$6:$E$405,G507,'Istoric_Nativ'!$D$6:$D$405,"&lt;"&amp;J507,'Istoric_Nativ'!$P$6:$P$405,1),IF(H507="AWAY",COUNTIFS('Istoric_Nativ'!$B$6:$B$405,E507,'Istoric_Nativ'!$C$6:$C$405,F507,'Istoric_Nativ'!$F$6:$F$405,G507,'Istoric_Nativ'!$D$6:$D$405,"&lt;"&amp;J507,'Istoric_Nativ'!$P$6:$P$405,1),COUNTIFS('Istoric_Nativ'!$B$6:$B$405,E507,'Istoric_Nativ'!$C$6:$C$405,F507,'Istoric_Nativ'!$E$6:$E$405,G507,'Istoric_Nativ'!$D$6:$D$405,"&lt;"&amp;J507,'Istoric_Nativ'!$P$6:$P$405,1)+COUNTIFS('Istoric_Nativ'!$B$6:$B$405,E507,'Istoric_Nativ'!$C$6:$C$405,F507,'Istoric_Nativ'!$F$6:$F$405,G507,'Istoric_Nativ'!$D$6:$D$405,"&lt;"&amp;J507,'Istoric_Nativ'!$P$6:$P$405,1))))</x:f>
        <x:v>0</x:v>
      </x:c>
      <x:c r="L507" s="17" t="n">
        <x:f>IF(AND(B507&lt;&gt;"",I507="RECENT",K507&gt;0),LARGE(_xlfn._xlws.FILTER('Istoric_Nativ'!$D$6:$D$405,('Istoric_Nativ'!$B$6:$B$405=E507)*('Istoric_Nativ'!$C$6:$C$405=F507)*('Istoric_Nativ'!$P$6:$P$405=1)*('Istoric_Nativ'!$D$6:$D$405&lt;J507)*((('Istoric_Nativ'!$E$6:$E$405=G507)+('Istoric_Nativ'!$F$6:$F$405=G507))&gt;0)),MIN('Config_v6'!$B$54,K507)),0)</x:f>
        <x:v>0</x:v>
      </x:c>
      <x:c r="M507" s="2" t="n">
        <x:f>IF(OR(B507="",F507=""),0,IF(H507="HOME",COUNTIFS('Istoric_Nativ'!$B$6:$B$405,E507,'Istoric_Nativ'!$C$6:$C$405,F507,'Istoric_Nativ'!$E$6:$E$405,G507,'Istoric_Nativ'!$D$6:$D$405,"&lt;"&amp;J507,'Istoric_Nativ'!$P$6:$P$405,1,'Istoric_Nativ'!$D$6:$D$405,"&gt;="&amp;L507),IF(H507="AWAY",COUNTIFS('Istoric_Nativ'!$B$6:$B$405,E507,'Istoric_Nativ'!$C$6:$C$405,F507,'Istoric_Nativ'!$F$6:$F$405,G507,'Istoric_Nativ'!$D$6:$D$405,"&lt;"&amp;J507,'Istoric_Nativ'!$P$6:$P$405,1,'Istoric_Nativ'!$D$6:$D$405,"&gt;="&amp;L507),COUNTIFS('Istoric_Nativ'!$B$6:$B$405,E507,'Istoric_Nativ'!$C$6:$C$405,F507,'Istoric_Nativ'!$E$6:$E$405,G507,'Istoric_Nativ'!$D$6:$D$405,"&lt;"&amp;J507,'Istoric_Nativ'!$P$6:$P$405,1,'Istoric_Nativ'!$D$6:$D$405,"&gt;="&amp;L507)+COUNTIFS('Istoric_Nativ'!$B$6:$B$405,E507,'Istoric_Nativ'!$C$6:$C$405,F507,'Istoric_Nativ'!$F$6:$F$405,G507,'Istoric_Nativ'!$D$6:$D$405,"&lt;"&amp;J507,'Istoric_Nativ'!$P$6:$P$405,1,'Istoric_Nativ'!$D$6:$D$405,"&gt;="&amp;L507))))</x:f>
        <x:v>0</x:v>
      </x:c>
      <x:c r="N507" s="11" t="str">
        <x:f>IF(M507=0,"",IF(H507="HOME",SUMIFS('Istoric_Nativ'!$G$6:$G$405,'Istoric_Nativ'!$B$6:$B$405,E507,'Istoric_Nativ'!$C$6:$C$405,F507,'Istoric_Nativ'!$E$6:$E$405,G507,'Istoric_Nativ'!$D$6:$D$405,"&lt;"&amp;J507,'Istoric_Nativ'!$P$6:$P$405,1,'Istoric_Nativ'!$D$6:$D$405,"&gt;="&amp;L507),IF(H507="AWAY",SUMIFS('Istoric_Nativ'!$H$6:$H$405,'Istoric_Nativ'!$B$6:$B$405,E507,'Istoric_Nativ'!$C$6:$C$405,F507,'Istoric_Nativ'!$F$6:$F$405,G507,'Istoric_Nativ'!$D$6:$D$405,"&lt;"&amp;J507,'Istoric_Nativ'!$P$6:$P$405,1,'Istoric_Nativ'!$D$6:$D$405,"&gt;="&amp;L507),SUMIFS('Istoric_Nativ'!$G$6:$G$405,'Istoric_Nativ'!$B$6:$B$405,E507,'Istoric_Nativ'!$C$6:$C$405,F507,'Istoric_Nativ'!$E$6:$E$405,G507,'Istoric_Nativ'!$D$6:$D$405,"&lt;"&amp;J507,'Istoric_Nativ'!$P$6:$P$405,1,'Istoric_Nativ'!$D$6:$D$405,"&gt;="&amp;L507)+SUMIFS('Istoric_Nativ'!$H$6:$H$405,'Istoric_Nativ'!$B$6:$B$405,E507,'Istoric_Nativ'!$C$6:$C$405,F507,'Istoric_Nativ'!$F$6:$F$405,G507,'Istoric_Nativ'!$D$6:$D$405,"&lt;"&amp;J507,'Istoric_Nativ'!$P$6:$P$405,1,'Istoric_Nativ'!$D$6:$D$405,"&gt;="&amp;L507)))/M507)</x:f>
      </x:c>
      <x:c r="O507" s="11" t="str">
        <x:f>IF(M507=0,"",IF(H507="HOME",SUMIFS('Istoric_Nativ'!$H$6:$H$405,'Istoric_Nativ'!$B$6:$B$405,E507,'Istoric_Nativ'!$C$6:$C$405,F507,'Istoric_Nativ'!$E$6:$E$405,G507,'Istoric_Nativ'!$D$6:$D$405,"&lt;"&amp;J507,'Istoric_Nativ'!$P$6:$P$405,1,'Istoric_Nativ'!$D$6:$D$405,"&gt;="&amp;L507),IF(H507="AWAY",SUMIFS('Istoric_Nativ'!$G$6:$G$405,'Istoric_Nativ'!$B$6:$B$405,E507,'Istoric_Nativ'!$C$6:$C$405,F507,'Istoric_Nativ'!$F$6:$F$405,G507,'Istoric_Nativ'!$D$6:$D$405,"&lt;"&amp;J507,'Istoric_Nativ'!$P$6:$P$405,1,'Istoric_Nativ'!$D$6:$D$405,"&gt;="&amp;L507),SUMIFS('Istoric_Nativ'!$H$6:$H$405,'Istoric_Nativ'!$B$6:$B$405,E507,'Istoric_Nativ'!$C$6:$C$405,F507,'Istoric_Nativ'!$E$6:$E$405,G507,'Istoric_Nativ'!$D$6:$D$405,"&lt;"&amp;J507,'Istoric_Nativ'!$P$6:$P$405,1,'Istoric_Nativ'!$D$6:$D$405,"&gt;="&amp;L507)+SUMIFS('Istoric_Nativ'!$G$6:$G$405,'Istoric_Nativ'!$B$6:$B$405,E507,'Istoric_Nativ'!$C$6:$C$405,F507,'Istoric_Nativ'!$F$6:$F$405,G507,'Istoric_Nativ'!$D$6:$D$405,"&lt;"&amp;J507,'Istoric_Nativ'!$P$6:$P$405,1,'Istoric_Nativ'!$D$6:$D$405,"&gt;="&amp;L507)))/M507)</x:f>
      </x:c>
      <x:c r="P507" s="2" t="n">
        <x:f>'Config_v6'!$B$7</x:f>
        <x:v>10</x:v>
      </x:c>
      <x:c r="Q507" s="2" t="n">
        <x:f>IF(OR(B507="",F507=""),0,IFERROR(MATCH(E507&amp;"|"&amp;F507,SourceTable[Source_Key],0),0))</x:f>
        <x:v>0</x:v>
      </x:c>
      <x:c r="R507" s="2" t="str">
        <x:f>IF(B507="","",IF(F507="","UNUSED",IF(Q507=0,"NOT CHECKED",IF(COUNTIF(SourceTable[Source_Key],E507&amp;"|"&amp;F507)&lt;&gt;1,"SOURCE CONFLICT",IF(NOT(OR(INDEX(SourceTable[Status],MAX(1,Q507))="IMPORTED",INDEX(SourceTable[Status],MAX(1,Q507))="PARTIAL",INDEX(SourceTable[Status],MAX(1,Q507))="SOURCE CONFLICT")),"ACCESS BLOCKED",IF(OR(INDEX(SourceTable[Coverage],Q507)&lt;&gt;"FULL SEASON EXPORT",INDEX(SourceTable[URL],Q507)="",INDEX(SourceTable[SHA256],Q507)=""),"EVIDENCE INCOMPLETE",IF(AND('Input_Meci'!H47="LIVE",INDEX(SourceTable[Retrieved_UTC],Q507)&gt;'Input_Meci'!G47),"POST CUTOFF","CLOSED")))))))</x:f>
      </x:c>
      <x:c r="S507" s="2" t="n">
        <x:f>IF(OR(B507="",F507=""),0,COUNTIFS('Istoric_Nativ'!$B$6:$B$405,E507,'Istoric_Nativ'!$C$6:$C$405,F507,'Istoric_Nativ'!$E$6:$E$405,G507,'Istoric_Nativ'!$D$6:$D$405,"&lt;"&amp;J507,'Istoric_Nativ'!$O$6:$O$405,"INVALID")+COUNTIFS('Istoric_Nativ'!$B$6:$B$405,E507,'Istoric_Nativ'!$C$6:$C$405,F507,'Istoric_Nativ'!$E$6:$E$405,G507,'Istoric_Nativ'!$O$6:$O$405,"INVALID",'Istoric_Nativ'!$D$6:$D$405,"*")+COUNTIFS('Istoric_Nativ'!$B$6:$B$405,E507,'Istoric_Nativ'!$C$6:$C$405,F507,'Istoric_Nativ'!$E$6:$E$405,G507,'Istoric_Nativ'!$D$6:$D$405,"&lt;"&amp;J507,'Istoric_Nativ'!$O$6:$O$405,"SOURCE CONFLICT")+COUNTIFS('Istoric_Nativ'!$B$6:$B$405,E507,'Istoric_Nativ'!$C$6:$C$405,F507,'Istoric_Nativ'!$F$6:$F$405,G507,'Istoric_Nativ'!$D$6:$D$405,"&lt;"&amp;J507,'Istoric_Nativ'!$O$6:$O$405,"INVALID")+COUNTIFS('Istoric_Nativ'!$B$6:$B$405,E507,'Istoric_Nativ'!$C$6:$C$405,F507,'Istoric_Nativ'!$F$6:$F$405,G507,'Istoric_Nativ'!$O$6:$O$405,"INVALID",'Istoric_Nativ'!$D$6:$D$405,"*")+COUNTIFS('Istoric_Nativ'!$B$6:$B$405,E507,'Istoric_Nativ'!$C$6:$C$405,F507,'Istoric_Nativ'!$F$6:$F$405,G507,'Istoric_Nativ'!$D$6:$D$405,"&lt;"&amp;J507,'Istoric_Nativ'!$O$6:$O$405,"SOURCE CONFLICT"))</x:f>
        <x:v>0</x:v>
      </x:c>
      <x:c r="T507" s="2" t="str">
        <x:f>IF(B507="","",IF(R507&lt;&gt;"CLOSED",R507,IF(S507&gt;0,"NATIVE INPUT ISSUE",IF(M507=0,"NO HISTORY",IF(M507&lt;P507,"SMALL SAMPLE","DERIVED")))))</x:f>
      </x:c>
      <x:c r="U507" s="2" t="str">
        <x:f>IF(B507="","","NativeTable; "&amp;E507&amp;"; "&amp;F507&amp;"; "&amp;G507&amp;"; "&amp;H507&amp;"; before "&amp;TEXT(J507,"yyyy-mm-dd")&amp;IF(I507="RECENT","; from "&amp;TEXT(L507,"yyyy-mm-dd"),""))</x:f>
      </x:c>
    </x:row>
    <x:row r="508" ht="21" customHeight="1">
      <x:c r="A508" s="2" t="n">
        <x:v>42</x:v>
      </x:c>
      <x:c r="B508" s="2" t="str">
        <x:f>IF('Input_Meci'!A47="","",'Input_Meci'!A47)</x:f>
      </x:c>
      <x:c r="C508" s="2" t="str">
        <x:v>A</x:v>
      </x:c>
      <x:c r="D508" s="2" t="str">
        <x:v>PRIOR</x:v>
      </x:c>
      <x:c r="E508" s="2" t="str">
        <x:f>IF(B508="","",'Input_Meci'!B47)</x:f>
      </x:c>
      <x:c r="F508" s="2" t="str">
        <x:f>IF(B508="","",IF('Input_Meci'!K47="","",'Input_Meci'!K47))</x:f>
      </x:c>
      <x:c r="G508" s="2" t="str">
        <x:f>IF(B508="","",'Input_Meci'!E47)</x:f>
      </x:c>
      <x:c r="H508" s="2" t="str">
        <x:v>AWAY</x:v>
      </x:c>
      <x:c r="I508" s="2" t="str">
        <x:v>HA</x:v>
      </x:c>
      <x:c r="J508" s="9" t="n">
        <x:f>IF(AND(B508&lt;&gt;"",ISNUMBER('Input_Meci'!G47)),INT('Input_Meci'!G47),0)</x:f>
        <x:v>0</x:v>
      </x:c>
      <x:c r="K508" s="2" t="n">
        <x:f>IF(OR(B508="",F508=""),0,IF(H508="HOME",COUNTIFS('Istoric_Nativ'!$B$6:$B$405,E508,'Istoric_Nativ'!$C$6:$C$405,F508,'Istoric_Nativ'!$E$6:$E$405,G508,'Istoric_Nativ'!$D$6:$D$405,"&lt;"&amp;J508,'Istoric_Nativ'!$P$6:$P$405,1),IF(H508="AWAY",COUNTIFS('Istoric_Nativ'!$B$6:$B$405,E508,'Istoric_Nativ'!$C$6:$C$405,F508,'Istoric_Nativ'!$F$6:$F$405,G508,'Istoric_Nativ'!$D$6:$D$405,"&lt;"&amp;J508,'Istoric_Nativ'!$P$6:$P$405,1),COUNTIFS('Istoric_Nativ'!$B$6:$B$405,E508,'Istoric_Nativ'!$C$6:$C$405,F508,'Istoric_Nativ'!$E$6:$E$405,G508,'Istoric_Nativ'!$D$6:$D$405,"&lt;"&amp;J508,'Istoric_Nativ'!$P$6:$P$405,1)+COUNTIFS('Istoric_Nativ'!$B$6:$B$405,E508,'Istoric_Nativ'!$C$6:$C$405,F508,'Istoric_Nativ'!$F$6:$F$405,G508,'Istoric_Nativ'!$D$6:$D$405,"&lt;"&amp;J508,'Istoric_Nativ'!$P$6:$P$405,1))))</x:f>
        <x:v>0</x:v>
      </x:c>
      <x:c r="L508" s="17" t="n">
        <x:f>IF(AND(B508&lt;&gt;"",I508="RECENT",K508&gt;0),LARGE(_xlfn._xlws.FILTER('Istoric_Nativ'!$D$6:$D$405,('Istoric_Nativ'!$B$6:$B$405=E508)*('Istoric_Nativ'!$C$6:$C$405=F508)*('Istoric_Nativ'!$P$6:$P$405=1)*('Istoric_Nativ'!$D$6:$D$405&lt;J508)*((('Istoric_Nativ'!$E$6:$E$405=G508)+('Istoric_Nativ'!$F$6:$F$405=G508))&gt;0)),MIN('Config_v6'!$B$54,K508)),0)</x:f>
        <x:v>0</x:v>
      </x:c>
      <x:c r="M508" s="2" t="n">
        <x:f>IF(OR(B508="",F508=""),0,IF(H508="HOME",COUNTIFS('Istoric_Nativ'!$B$6:$B$405,E508,'Istoric_Nativ'!$C$6:$C$405,F508,'Istoric_Nativ'!$E$6:$E$405,G508,'Istoric_Nativ'!$D$6:$D$405,"&lt;"&amp;J508,'Istoric_Nativ'!$P$6:$P$405,1,'Istoric_Nativ'!$D$6:$D$405,"&gt;="&amp;L508),IF(H508="AWAY",COUNTIFS('Istoric_Nativ'!$B$6:$B$405,E508,'Istoric_Nativ'!$C$6:$C$405,F508,'Istoric_Nativ'!$F$6:$F$405,G508,'Istoric_Nativ'!$D$6:$D$405,"&lt;"&amp;J508,'Istoric_Nativ'!$P$6:$P$405,1,'Istoric_Nativ'!$D$6:$D$405,"&gt;="&amp;L508),COUNTIFS('Istoric_Nativ'!$B$6:$B$405,E508,'Istoric_Nativ'!$C$6:$C$405,F508,'Istoric_Nativ'!$E$6:$E$405,G508,'Istoric_Nativ'!$D$6:$D$405,"&lt;"&amp;J508,'Istoric_Nativ'!$P$6:$P$405,1,'Istoric_Nativ'!$D$6:$D$405,"&gt;="&amp;L508)+COUNTIFS('Istoric_Nativ'!$B$6:$B$405,E508,'Istoric_Nativ'!$C$6:$C$405,F508,'Istoric_Nativ'!$F$6:$F$405,G508,'Istoric_Nativ'!$D$6:$D$405,"&lt;"&amp;J508,'Istoric_Nativ'!$P$6:$P$405,1,'Istoric_Nativ'!$D$6:$D$405,"&gt;="&amp;L508))))</x:f>
        <x:v>0</x:v>
      </x:c>
      <x:c r="N508" s="11" t="str">
        <x:f>IF(M508=0,"",IF(H508="HOME",SUMIFS('Istoric_Nativ'!$G$6:$G$405,'Istoric_Nativ'!$B$6:$B$405,E508,'Istoric_Nativ'!$C$6:$C$405,F508,'Istoric_Nativ'!$E$6:$E$405,G508,'Istoric_Nativ'!$D$6:$D$405,"&lt;"&amp;J508,'Istoric_Nativ'!$P$6:$P$405,1,'Istoric_Nativ'!$D$6:$D$405,"&gt;="&amp;L508),IF(H508="AWAY",SUMIFS('Istoric_Nativ'!$H$6:$H$405,'Istoric_Nativ'!$B$6:$B$405,E508,'Istoric_Nativ'!$C$6:$C$405,F508,'Istoric_Nativ'!$F$6:$F$405,G508,'Istoric_Nativ'!$D$6:$D$405,"&lt;"&amp;J508,'Istoric_Nativ'!$P$6:$P$405,1,'Istoric_Nativ'!$D$6:$D$405,"&gt;="&amp;L508),SUMIFS('Istoric_Nativ'!$G$6:$G$405,'Istoric_Nativ'!$B$6:$B$405,E508,'Istoric_Nativ'!$C$6:$C$405,F508,'Istoric_Nativ'!$E$6:$E$405,G508,'Istoric_Nativ'!$D$6:$D$405,"&lt;"&amp;J508,'Istoric_Nativ'!$P$6:$P$405,1,'Istoric_Nativ'!$D$6:$D$405,"&gt;="&amp;L508)+SUMIFS('Istoric_Nativ'!$H$6:$H$405,'Istoric_Nativ'!$B$6:$B$405,E508,'Istoric_Nativ'!$C$6:$C$405,F508,'Istoric_Nativ'!$F$6:$F$405,G508,'Istoric_Nativ'!$D$6:$D$405,"&lt;"&amp;J508,'Istoric_Nativ'!$P$6:$P$405,1,'Istoric_Nativ'!$D$6:$D$405,"&gt;="&amp;L508)))/M508)</x:f>
      </x:c>
      <x:c r="O508" s="11" t="str">
        <x:f>IF(M508=0,"",IF(H508="HOME",SUMIFS('Istoric_Nativ'!$H$6:$H$405,'Istoric_Nativ'!$B$6:$B$405,E508,'Istoric_Nativ'!$C$6:$C$405,F508,'Istoric_Nativ'!$E$6:$E$405,G508,'Istoric_Nativ'!$D$6:$D$405,"&lt;"&amp;J508,'Istoric_Nativ'!$P$6:$P$405,1,'Istoric_Nativ'!$D$6:$D$405,"&gt;="&amp;L508),IF(H508="AWAY",SUMIFS('Istoric_Nativ'!$G$6:$G$405,'Istoric_Nativ'!$B$6:$B$405,E508,'Istoric_Nativ'!$C$6:$C$405,F508,'Istoric_Nativ'!$F$6:$F$405,G508,'Istoric_Nativ'!$D$6:$D$405,"&lt;"&amp;J508,'Istoric_Nativ'!$P$6:$P$405,1,'Istoric_Nativ'!$D$6:$D$405,"&gt;="&amp;L508),SUMIFS('Istoric_Nativ'!$H$6:$H$405,'Istoric_Nativ'!$B$6:$B$405,E508,'Istoric_Nativ'!$C$6:$C$405,F508,'Istoric_Nativ'!$E$6:$E$405,G508,'Istoric_Nativ'!$D$6:$D$405,"&lt;"&amp;J508,'Istoric_Nativ'!$P$6:$P$405,1,'Istoric_Nativ'!$D$6:$D$405,"&gt;="&amp;L508)+SUMIFS('Istoric_Nativ'!$G$6:$G$405,'Istoric_Nativ'!$B$6:$B$405,E508,'Istoric_Nativ'!$C$6:$C$405,F508,'Istoric_Nativ'!$F$6:$F$405,G508,'Istoric_Nativ'!$D$6:$D$405,"&lt;"&amp;J508,'Istoric_Nativ'!$P$6:$P$405,1,'Istoric_Nativ'!$D$6:$D$405,"&gt;="&amp;L508)))/M508)</x:f>
      </x:c>
      <x:c r="P508" s="2" t="n">
        <x:f>'Config_v6'!$B$8</x:f>
        <x:v>5</x:v>
      </x:c>
      <x:c r="Q508" s="2" t="n">
        <x:f>IF(OR(B508="",F508=""),0,IFERROR(MATCH(E508&amp;"|"&amp;F508,SourceTable[Source_Key],0),0))</x:f>
        <x:v>0</x:v>
      </x:c>
      <x:c r="R508" s="2" t="str">
        <x:f>IF(B508="","",IF(F508="","UNUSED",IF(Q508=0,"NOT CHECKED",IF(COUNTIF(SourceTable[Source_Key],E508&amp;"|"&amp;F508)&lt;&gt;1,"SOURCE CONFLICT",IF(NOT(OR(INDEX(SourceTable[Status],MAX(1,Q508))="IMPORTED",INDEX(SourceTable[Status],MAX(1,Q508))="PARTIAL",INDEX(SourceTable[Status],MAX(1,Q508))="SOURCE CONFLICT")),"ACCESS BLOCKED",IF(OR(INDEX(SourceTable[Coverage],Q508)&lt;&gt;"FULL SEASON EXPORT",INDEX(SourceTable[URL],Q508)="",INDEX(SourceTable[SHA256],Q508)=""),"EVIDENCE INCOMPLETE",IF(AND('Input_Meci'!H47="LIVE",INDEX(SourceTable[Retrieved_UTC],Q508)&gt;'Input_Meci'!G47),"POST CUTOFF","CLOSED")))))))</x:f>
      </x:c>
      <x:c r="S508" s="2" t="n">
        <x:f>IF(OR(B508="",F508=""),0,COUNTIFS('Istoric_Nativ'!$B$6:$B$405,E508,'Istoric_Nativ'!$C$6:$C$405,F508,'Istoric_Nativ'!$E$6:$E$405,G508,'Istoric_Nativ'!$D$6:$D$405,"&lt;"&amp;J508,'Istoric_Nativ'!$O$6:$O$405,"INVALID")+COUNTIFS('Istoric_Nativ'!$B$6:$B$405,E508,'Istoric_Nativ'!$C$6:$C$405,F508,'Istoric_Nativ'!$E$6:$E$405,G508,'Istoric_Nativ'!$O$6:$O$405,"INVALID",'Istoric_Nativ'!$D$6:$D$405,"*")+COUNTIFS('Istoric_Nativ'!$B$6:$B$405,E508,'Istoric_Nativ'!$C$6:$C$405,F508,'Istoric_Nativ'!$E$6:$E$405,G508,'Istoric_Nativ'!$D$6:$D$405,"&lt;"&amp;J508,'Istoric_Nativ'!$O$6:$O$405,"SOURCE CONFLICT")+COUNTIFS('Istoric_Nativ'!$B$6:$B$405,E508,'Istoric_Nativ'!$C$6:$C$405,F508,'Istoric_Nativ'!$F$6:$F$405,G508,'Istoric_Nativ'!$D$6:$D$405,"&lt;"&amp;J508,'Istoric_Nativ'!$O$6:$O$405,"INVALID")+COUNTIFS('Istoric_Nativ'!$B$6:$B$405,E508,'Istoric_Nativ'!$C$6:$C$405,F508,'Istoric_Nativ'!$F$6:$F$405,G508,'Istoric_Nativ'!$O$6:$O$405,"INVALID",'Istoric_Nativ'!$D$6:$D$405,"*")+COUNTIFS('Istoric_Nativ'!$B$6:$B$405,E508,'Istoric_Nativ'!$C$6:$C$405,F508,'Istoric_Nativ'!$F$6:$F$405,G508,'Istoric_Nativ'!$D$6:$D$405,"&lt;"&amp;J508,'Istoric_Nativ'!$O$6:$O$405,"SOURCE CONFLICT"))</x:f>
        <x:v>0</x:v>
      </x:c>
      <x:c r="T508" s="2" t="str">
        <x:f>IF(B508="","",IF(R508&lt;&gt;"CLOSED",R508,IF(S508&gt;0,"NATIVE INPUT ISSUE",IF(M508=0,"NO HISTORY",IF(M508&lt;P508,"SMALL SAMPLE","DERIVED")))))</x:f>
      </x:c>
      <x:c r="U508" s="2" t="str">
        <x:f>IF(B508="","","NativeTable; "&amp;E508&amp;"; "&amp;F508&amp;"; "&amp;G508&amp;"; "&amp;H508&amp;"; before "&amp;TEXT(J508,"yyyy-mm-dd")&amp;IF(I508="RECENT","; from "&amp;TEXT(L508,"yyyy-mm-dd"),""))</x:f>
      </x:c>
    </x:row>
    <x:row r="509" ht="21" customHeight="1">
      <x:c r="A509" s="2" t="n">
        <x:v>42</x:v>
      </x:c>
      <x:c r="B509" s="2" t="str">
        <x:f>IF('Input_Meci'!A47="","",'Input_Meci'!A47)</x:f>
      </x:c>
      <x:c r="C509" s="2" t="str">
        <x:v>A</x:v>
      </x:c>
      <x:c r="D509" s="2" t="str">
        <x:v>PRIOR</x:v>
      </x:c>
      <x:c r="E509" s="2" t="str">
        <x:f>IF(B509="","",'Input_Meci'!B47)</x:f>
      </x:c>
      <x:c r="F509" s="2" t="str">
        <x:f>IF(B509="","",IF('Input_Meci'!K47="","",'Input_Meci'!K47))</x:f>
      </x:c>
      <x:c r="G509" s="2" t="str">
        <x:f>IF(B509="","",'Input_Meci'!E47)</x:f>
      </x:c>
      <x:c r="H509" s="2" t="str">
        <x:v>ANY</x:v>
      </x:c>
      <x:c r="I509" s="2" t="str">
        <x:v>RECENT</x:v>
      </x:c>
      <x:c r="J509" s="9" t="n">
        <x:f>IF(AND(B509&lt;&gt;"",ISNUMBER('Input_Meci'!G47)),INT('Input_Meci'!G47),0)</x:f>
        <x:v>0</x:v>
      </x:c>
      <x:c r="K509" s="2" t="n">
        <x:f>IF(OR(B509="",F509=""),0,IF(H509="HOME",COUNTIFS('Istoric_Nativ'!$B$6:$B$405,E509,'Istoric_Nativ'!$C$6:$C$405,F509,'Istoric_Nativ'!$E$6:$E$405,G509,'Istoric_Nativ'!$D$6:$D$405,"&lt;"&amp;J509,'Istoric_Nativ'!$P$6:$P$405,1),IF(H509="AWAY",COUNTIFS('Istoric_Nativ'!$B$6:$B$405,E509,'Istoric_Nativ'!$C$6:$C$405,F509,'Istoric_Nativ'!$F$6:$F$405,G509,'Istoric_Nativ'!$D$6:$D$405,"&lt;"&amp;J509,'Istoric_Nativ'!$P$6:$P$405,1),COUNTIFS('Istoric_Nativ'!$B$6:$B$405,E509,'Istoric_Nativ'!$C$6:$C$405,F509,'Istoric_Nativ'!$E$6:$E$405,G509,'Istoric_Nativ'!$D$6:$D$405,"&lt;"&amp;J509,'Istoric_Nativ'!$P$6:$P$405,1)+COUNTIFS('Istoric_Nativ'!$B$6:$B$405,E509,'Istoric_Nativ'!$C$6:$C$405,F509,'Istoric_Nativ'!$F$6:$F$405,G509,'Istoric_Nativ'!$D$6:$D$405,"&lt;"&amp;J509,'Istoric_Nativ'!$P$6:$P$405,1))))</x:f>
        <x:v>0</x:v>
      </x:c>
      <x:c r="L509" s="17" t="n">
        <x:f>IF(AND(B509&lt;&gt;"",I509="RECENT",K509&gt;0),LARGE(_xlfn._xlws.FILTER('Istoric_Nativ'!$D$6:$D$405,('Istoric_Nativ'!$B$6:$B$405=E509)*('Istoric_Nativ'!$C$6:$C$405=F509)*('Istoric_Nativ'!$P$6:$P$405=1)*('Istoric_Nativ'!$D$6:$D$405&lt;J509)*((('Istoric_Nativ'!$E$6:$E$405=G509)+('Istoric_Nativ'!$F$6:$F$405=G509))&gt;0)),MIN('Config_v6'!$B$54,K509)),0)</x:f>
        <x:v>0</x:v>
      </x:c>
      <x:c r="M509" s="2" t="n">
        <x:f>IF(OR(B509="",F509=""),0,IF(H509="HOME",COUNTIFS('Istoric_Nativ'!$B$6:$B$405,E509,'Istoric_Nativ'!$C$6:$C$405,F509,'Istoric_Nativ'!$E$6:$E$405,G509,'Istoric_Nativ'!$D$6:$D$405,"&lt;"&amp;J509,'Istoric_Nativ'!$P$6:$P$405,1,'Istoric_Nativ'!$D$6:$D$405,"&gt;="&amp;L509),IF(H509="AWAY",COUNTIFS('Istoric_Nativ'!$B$6:$B$405,E509,'Istoric_Nativ'!$C$6:$C$405,F509,'Istoric_Nativ'!$F$6:$F$405,G509,'Istoric_Nativ'!$D$6:$D$405,"&lt;"&amp;J509,'Istoric_Nativ'!$P$6:$P$405,1,'Istoric_Nativ'!$D$6:$D$405,"&gt;="&amp;L509),COUNTIFS('Istoric_Nativ'!$B$6:$B$405,E509,'Istoric_Nativ'!$C$6:$C$405,F509,'Istoric_Nativ'!$E$6:$E$405,G509,'Istoric_Nativ'!$D$6:$D$405,"&lt;"&amp;J509,'Istoric_Nativ'!$P$6:$P$405,1,'Istoric_Nativ'!$D$6:$D$405,"&gt;="&amp;L509)+COUNTIFS('Istoric_Nativ'!$B$6:$B$405,E509,'Istoric_Nativ'!$C$6:$C$405,F509,'Istoric_Nativ'!$F$6:$F$405,G509,'Istoric_Nativ'!$D$6:$D$405,"&lt;"&amp;J509,'Istoric_Nativ'!$P$6:$P$405,1,'Istoric_Nativ'!$D$6:$D$405,"&gt;="&amp;L509))))</x:f>
        <x:v>0</x:v>
      </x:c>
      <x:c r="N509" s="11" t="str">
        <x:f>IF(M509=0,"",IF(H509="HOME",SUMIFS('Istoric_Nativ'!$G$6:$G$405,'Istoric_Nativ'!$B$6:$B$405,E509,'Istoric_Nativ'!$C$6:$C$405,F509,'Istoric_Nativ'!$E$6:$E$405,G509,'Istoric_Nativ'!$D$6:$D$405,"&lt;"&amp;J509,'Istoric_Nativ'!$P$6:$P$405,1,'Istoric_Nativ'!$D$6:$D$405,"&gt;="&amp;L509),IF(H509="AWAY",SUMIFS('Istoric_Nativ'!$H$6:$H$405,'Istoric_Nativ'!$B$6:$B$405,E509,'Istoric_Nativ'!$C$6:$C$405,F509,'Istoric_Nativ'!$F$6:$F$405,G509,'Istoric_Nativ'!$D$6:$D$405,"&lt;"&amp;J509,'Istoric_Nativ'!$P$6:$P$405,1,'Istoric_Nativ'!$D$6:$D$405,"&gt;="&amp;L509),SUMIFS('Istoric_Nativ'!$G$6:$G$405,'Istoric_Nativ'!$B$6:$B$405,E509,'Istoric_Nativ'!$C$6:$C$405,F509,'Istoric_Nativ'!$E$6:$E$405,G509,'Istoric_Nativ'!$D$6:$D$405,"&lt;"&amp;J509,'Istoric_Nativ'!$P$6:$P$405,1,'Istoric_Nativ'!$D$6:$D$405,"&gt;="&amp;L509)+SUMIFS('Istoric_Nativ'!$H$6:$H$405,'Istoric_Nativ'!$B$6:$B$405,E509,'Istoric_Nativ'!$C$6:$C$405,F509,'Istoric_Nativ'!$F$6:$F$405,G509,'Istoric_Nativ'!$D$6:$D$405,"&lt;"&amp;J509,'Istoric_Nativ'!$P$6:$P$405,1,'Istoric_Nativ'!$D$6:$D$405,"&gt;="&amp;L509)))/M509)</x:f>
      </x:c>
      <x:c r="O509" s="11" t="str">
        <x:f>IF(M509=0,"",IF(H509="HOME",SUMIFS('Istoric_Nativ'!$H$6:$H$405,'Istoric_Nativ'!$B$6:$B$405,E509,'Istoric_Nativ'!$C$6:$C$405,F509,'Istoric_Nativ'!$E$6:$E$405,G509,'Istoric_Nativ'!$D$6:$D$405,"&lt;"&amp;J509,'Istoric_Nativ'!$P$6:$P$405,1,'Istoric_Nativ'!$D$6:$D$405,"&gt;="&amp;L509),IF(H509="AWAY",SUMIFS('Istoric_Nativ'!$G$6:$G$405,'Istoric_Nativ'!$B$6:$B$405,E509,'Istoric_Nativ'!$C$6:$C$405,F509,'Istoric_Nativ'!$F$6:$F$405,G509,'Istoric_Nativ'!$D$6:$D$405,"&lt;"&amp;J509,'Istoric_Nativ'!$P$6:$P$405,1,'Istoric_Nativ'!$D$6:$D$405,"&gt;="&amp;L509),SUMIFS('Istoric_Nativ'!$H$6:$H$405,'Istoric_Nativ'!$B$6:$B$405,E509,'Istoric_Nativ'!$C$6:$C$405,F509,'Istoric_Nativ'!$E$6:$E$405,G509,'Istoric_Nativ'!$D$6:$D$405,"&lt;"&amp;J509,'Istoric_Nativ'!$P$6:$P$405,1,'Istoric_Nativ'!$D$6:$D$405,"&gt;="&amp;L509)+SUMIFS('Istoric_Nativ'!$G$6:$G$405,'Istoric_Nativ'!$B$6:$B$405,E509,'Istoric_Nativ'!$C$6:$C$405,F509,'Istoric_Nativ'!$F$6:$F$405,G509,'Istoric_Nativ'!$D$6:$D$405,"&lt;"&amp;J509,'Istoric_Nativ'!$P$6:$P$405,1,'Istoric_Nativ'!$D$6:$D$405,"&gt;="&amp;L509)))/M509)</x:f>
      </x:c>
      <x:c r="P509" s="2" t="n">
        <x:f>'Config_v6'!$B$9</x:f>
        <x:v>3</x:v>
      </x:c>
      <x:c r="Q509" s="2" t="n">
        <x:f>IF(OR(B509="",F509=""),0,IFERROR(MATCH(E509&amp;"|"&amp;F509,SourceTable[Source_Key],0),0))</x:f>
        <x:v>0</x:v>
      </x:c>
      <x:c r="R509" s="2" t="str">
        <x:f>IF(B509="","",IF(F509="","UNUSED",IF(Q509=0,"NOT CHECKED",IF(COUNTIF(SourceTable[Source_Key],E509&amp;"|"&amp;F509)&lt;&gt;1,"SOURCE CONFLICT",IF(NOT(OR(INDEX(SourceTable[Status],MAX(1,Q509))="IMPORTED",INDEX(SourceTable[Status],MAX(1,Q509))="PARTIAL",INDEX(SourceTable[Status],MAX(1,Q509))="SOURCE CONFLICT")),"ACCESS BLOCKED",IF(OR(INDEX(SourceTable[Coverage],Q509)&lt;&gt;"FULL SEASON EXPORT",INDEX(SourceTable[URL],Q509)="",INDEX(SourceTable[SHA256],Q509)=""),"EVIDENCE INCOMPLETE",IF(AND('Input_Meci'!H47="LIVE",INDEX(SourceTable[Retrieved_UTC],Q509)&gt;'Input_Meci'!G47),"POST CUTOFF","CLOSED")))))))</x:f>
      </x:c>
      <x:c r="S509" s="2" t="n">
        <x:f>IF(OR(B509="",F509=""),0,COUNTIFS('Istoric_Nativ'!$B$6:$B$405,E509,'Istoric_Nativ'!$C$6:$C$405,F509,'Istoric_Nativ'!$E$6:$E$405,G509,'Istoric_Nativ'!$D$6:$D$405,"&lt;"&amp;J509,'Istoric_Nativ'!$O$6:$O$405,"INVALID")+COUNTIFS('Istoric_Nativ'!$B$6:$B$405,E509,'Istoric_Nativ'!$C$6:$C$405,F509,'Istoric_Nativ'!$E$6:$E$405,G509,'Istoric_Nativ'!$O$6:$O$405,"INVALID",'Istoric_Nativ'!$D$6:$D$405,"*")+COUNTIFS('Istoric_Nativ'!$B$6:$B$405,E509,'Istoric_Nativ'!$C$6:$C$405,F509,'Istoric_Nativ'!$E$6:$E$405,G509,'Istoric_Nativ'!$D$6:$D$405,"&lt;"&amp;J509,'Istoric_Nativ'!$O$6:$O$405,"SOURCE CONFLICT")+COUNTIFS('Istoric_Nativ'!$B$6:$B$405,E509,'Istoric_Nativ'!$C$6:$C$405,F509,'Istoric_Nativ'!$F$6:$F$405,G509,'Istoric_Nativ'!$D$6:$D$405,"&lt;"&amp;J509,'Istoric_Nativ'!$O$6:$O$405,"INVALID")+COUNTIFS('Istoric_Nativ'!$B$6:$B$405,E509,'Istoric_Nativ'!$C$6:$C$405,F509,'Istoric_Nativ'!$F$6:$F$405,G509,'Istoric_Nativ'!$O$6:$O$405,"INVALID",'Istoric_Nativ'!$D$6:$D$405,"*")+COUNTIFS('Istoric_Nativ'!$B$6:$B$405,E509,'Istoric_Nativ'!$C$6:$C$405,F509,'Istoric_Nativ'!$F$6:$F$405,G509,'Istoric_Nativ'!$D$6:$D$405,"&lt;"&amp;J509,'Istoric_Nativ'!$O$6:$O$405,"SOURCE CONFLICT"))</x:f>
        <x:v>0</x:v>
      </x:c>
      <x:c r="T509" s="2" t="str">
        <x:f>IF(B509="","",IF(R509&lt;&gt;"CLOSED",R509,IF(S509&gt;0,"NATIVE INPUT ISSUE",IF(M509=0,"NO HISTORY",IF(M509&lt;P509,"SMALL SAMPLE","DERIVED")))))</x:f>
      </x:c>
      <x:c r="U509" s="2" t="str">
        <x:f>IF(B509="","","NativeTable; "&amp;E509&amp;"; "&amp;F509&amp;"; "&amp;G509&amp;"; "&amp;H509&amp;"; before "&amp;TEXT(J509,"yyyy-mm-dd")&amp;IF(I509="RECENT","; from "&amp;TEXT(L509,"yyyy-mm-dd"),""))</x:f>
      </x:c>
    </x:row>
    <x:row r="510" ht="21" customHeight="1">
      <x:c r="A510" s="2" t="n">
        <x:v>43</x:v>
      </x:c>
      <x:c r="B510" s="2" t="str">
        <x:f>IF('Input_Meci'!A48="","",'Input_Meci'!A48)</x:f>
      </x:c>
      <x:c r="C510" s="2" t="str">
        <x:v>H</x:v>
      </x:c>
      <x:c r="D510" s="2" t="str">
        <x:v>CURRENT</x:v>
      </x:c>
      <x:c r="E510" s="2" t="str">
        <x:f>IF(B510="","",'Input_Meci'!B48)</x:f>
      </x:c>
      <x:c r="F510" s="2" t="str">
        <x:f>IF(B510="","",IF('Input_Meci'!C48="","",'Input_Meci'!C48))</x:f>
      </x:c>
      <x:c r="G510" s="2" t="str">
        <x:f>IF(B510="","",'Input_Meci'!D48)</x:f>
      </x:c>
      <x:c r="H510" s="2" t="str">
        <x:v>ANY</x:v>
      </x:c>
      <x:c r="I510" s="2" t="str">
        <x:v>SEASON</x:v>
      </x:c>
      <x:c r="J510" s="9" t="n">
        <x:f>IF(AND(B510&lt;&gt;"",ISNUMBER('Input_Meci'!G48)),INT('Input_Meci'!G48),0)</x:f>
        <x:v>0</x:v>
      </x:c>
      <x:c r="K510" s="2" t="n">
        <x:f>IF(OR(B510="",F510=""),0,IF(H510="HOME",COUNTIFS('Istoric_Nativ'!$B$6:$B$405,E510,'Istoric_Nativ'!$C$6:$C$405,F510,'Istoric_Nativ'!$E$6:$E$405,G510,'Istoric_Nativ'!$D$6:$D$405,"&lt;"&amp;J510,'Istoric_Nativ'!$P$6:$P$405,1),IF(H510="AWAY",COUNTIFS('Istoric_Nativ'!$B$6:$B$405,E510,'Istoric_Nativ'!$C$6:$C$405,F510,'Istoric_Nativ'!$F$6:$F$405,G510,'Istoric_Nativ'!$D$6:$D$405,"&lt;"&amp;J510,'Istoric_Nativ'!$P$6:$P$405,1),COUNTIFS('Istoric_Nativ'!$B$6:$B$405,E510,'Istoric_Nativ'!$C$6:$C$405,F510,'Istoric_Nativ'!$E$6:$E$405,G510,'Istoric_Nativ'!$D$6:$D$405,"&lt;"&amp;J510,'Istoric_Nativ'!$P$6:$P$405,1)+COUNTIFS('Istoric_Nativ'!$B$6:$B$405,E510,'Istoric_Nativ'!$C$6:$C$405,F510,'Istoric_Nativ'!$F$6:$F$405,G510,'Istoric_Nativ'!$D$6:$D$405,"&lt;"&amp;J510,'Istoric_Nativ'!$P$6:$P$405,1))))</x:f>
        <x:v>0</x:v>
      </x:c>
      <x:c r="L510" s="17" t="n">
        <x:f>IF(AND(B510&lt;&gt;"",I510="RECENT",K510&gt;0),LARGE(_xlfn._xlws.FILTER('Istoric_Nativ'!$D$6:$D$405,('Istoric_Nativ'!$B$6:$B$405=E510)*('Istoric_Nativ'!$C$6:$C$405=F510)*('Istoric_Nativ'!$P$6:$P$405=1)*('Istoric_Nativ'!$D$6:$D$405&lt;J510)*((('Istoric_Nativ'!$E$6:$E$405=G510)+('Istoric_Nativ'!$F$6:$F$405=G510))&gt;0)),MIN('Config_v6'!$B$54,K510)),0)</x:f>
        <x:v>0</x:v>
      </x:c>
      <x:c r="M510" s="2" t="n">
        <x:f>IF(OR(B510="",F510=""),0,IF(H510="HOME",COUNTIFS('Istoric_Nativ'!$B$6:$B$405,E510,'Istoric_Nativ'!$C$6:$C$405,F510,'Istoric_Nativ'!$E$6:$E$405,G510,'Istoric_Nativ'!$D$6:$D$405,"&lt;"&amp;J510,'Istoric_Nativ'!$P$6:$P$405,1,'Istoric_Nativ'!$D$6:$D$405,"&gt;="&amp;L510),IF(H510="AWAY",COUNTIFS('Istoric_Nativ'!$B$6:$B$405,E510,'Istoric_Nativ'!$C$6:$C$405,F510,'Istoric_Nativ'!$F$6:$F$405,G510,'Istoric_Nativ'!$D$6:$D$405,"&lt;"&amp;J510,'Istoric_Nativ'!$P$6:$P$405,1,'Istoric_Nativ'!$D$6:$D$405,"&gt;="&amp;L510),COUNTIFS('Istoric_Nativ'!$B$6:$B$405,E510,'Istoric_Nativ'!$C$6:$C$405,F510,'Istoric_Nativ'!$E$6:$E$405,G510,'Istoric_Nativ'!$D$6:$D$405,"&lt;"&amp;J510,'Istoric_Nativ'!$P$6:$P$405,1,'Istoric_Nativ'!$D$6:$D$405,"&gt;="&amp;L510)+COUNTIFS('Istoric_Nativ'!$B$6:$B$405,E510,'Istoric_Nativ'!$C$6:$C$405,F510,'Istoric_Nativ'!$F$6:$F$405,G510,'Istoric_Nativ'!$D$6:$D$405,"&lt;"&amp;J510,'Istoric_Nativ'!$P$6:$P$405,1,'Istoric_Nativ'!$D$6:$D$405,"&gt;="&amp;L510))))</x:f>
        <x:v>0</x:v>
      </x:c>
      <x:c r="N510" s="11" t="str">
        <x:f>IF(M510=0,"",IF(H510="HOME",SUMIFS('Istoric_Nativ'!$G$6:$G$405,'Istoric_Nativ'!$B$6:$B$405,E510,'Istoric_Nativ'!$C$6:$C$405,F510,'Istoric_Nativ'!$E$6:$E$405,G510,'Istoric_Nativ'!$D$6:$D$405,"&lt;"&amp;J510,'Istoric_Nativ'!$P$6:$P$405,1,'Istoric_Nativ'!$D$6:$D$405,"&gt;="&amp;L510),IF(H510="AWAY",SUMIFS('Istoric_Nativ'!$H$6:$H$405,'Istoric_Nativ'!$B$6:$B$405,E510,'Istoric_Nativ'!$C$6:$C$405,F510,'Istoric_Nativ'!$F$6:$F$405,G510,'Istoric_Nativ'!$D$6:$D$405,"&lt;"&amp;J510,'Istoric_Nativ'!$P$6:$P$405,1,'Istoric_Nativ'!$D$6:$D$405,"&gt;="&amp;L510),SUMIFS('Istoric_Nativ'!$G$6:$G$405,'Istoric_Nativ'!$B$6:$B$405,E510,'Istoric_Nativ'!$C$6:$C$405,F510,'Istoric_Nativ'!$E$6:$E$405,G510,'Istoric_Nativ'!$D$6:$D$405,"&lt;"&amp;J510,'Istoric_Nativ'!$P$6:$P$405,1,'Istoric_Nativ'!$D$6:$D$405,"&gt;="&amp;L510)+SUMIFS('Istoric_Nativ'!$H$6:$H$405,'Istoric_Nativ'!$B$6:$B$405,E510,'Istoric_Nativ'!$C$6:$C$405,F510,'Istoric_Nativ'!$F$6:$F$405,G510,'Istoric_Nativ'!$D$6:$D$405,"&lt;"&amp;J510,'Istoric_Nativ'!$P$6:$P$405,1,'Istoric_Nativ'!$D$6:$D$405,"&gt;="&amp;L510)))/M510)</x:f>
      </x:c>
      <x:c r="O510" s="11" t="str">
        <x:f>IF(M510=0,"",IF(H510="HOME",SUMIFS('Istoric_Nativ'!$H$6:$H$405,'Istoric_Nativ'!$B$6:$B$405,E510,'Istoric_Nativ'!$C$6:$C$405,F510,'Istoric_Nativ'!$E$6:$E$405,G510,'Istoric_Nativ'!$D$6:$D$405,"&lt;"&amp;J510,'Istoric_Nativ'!$P$6:$P$405,1,'Istoric_Nativ'!$D$6:$D$405,"&gt;="&amp;L510),IF(H510="AWAY",SUMIFS('Istoric_Nativ'!$G$6:$G$405,'Istoric_Nativ'!$B$6:$B$405,E510,'Istoric_Nativ'!$C$6:$C$405,F510,'Istoric_Nativ'!$F$6:$F$405,G510,'Istoric_Nativ'!$D$6:$D$405,"&lt;"&amp;J510,'Istoric_Nativ'!$P$6:$P$405,1,'Istoric_Nativ'!$D$6:$D$405,"&gt;="&amp;L510),SUMIFS('Istoric_Nativ'!$H$6:$H$405,'Istoric_Nativ'!$B$6:$B$405,E510,'Istoric_Nativ'!$C$6:$C$405,F510,'Istoric_Nativ'!$E$6:$E$405,G510,'Istoric_Nativ'!$D$6:$D$405,"&lt;"&amp;J510,'Istoric_Nativ'!$P$6:$P$405,1,'Istoric_Nativ'!$D$6:$D$405,"&gt;="&amp;L510)+SUMIFS('Istoric_Nativ'!$G$6:$G$405,'Istoric_Nativ'!$B$6:$B$405,E510,'Istoric_Nativ'!$C$6:$C$405,F510,'Istoric_Nativ'!$F$6:$F$405,G510,'Istoric_Nativ'!$D$6:$D$405,"&lt;"&amp;J510,'Istoric_Nativ'!$P$6:$P$405,1,'Istoric_Nativ'!$D$6:$D$405,"&gt;="&amp;L510)))/M510)</x:f>
      </x:c>
      <x:c r="P510" s="2" t="n">
        <x:f>'Config_v6'!$B$7</x:f>
        <x:v>10</x:v>
      </x:c>
      <x:c r="Q510" s="2" t="n">
        <x:f>IF(OR(B510="",F510=""),0,IFERROR(MATCH(E510&amp;"|"&amp;F510,SourceTable[Source_Key],0),0))</x:f>
        <x:v>0</x:v>
      </x:c>
      <x:c r="R510" s="2" t="str">
        <x:f>IF(B510="","",IF(F510="","UNUSED",IF(Q510=0,"NOT CHECKED",IF(COUNTIF(SourceTable[Source_Key],E510&amp;"|"&amp;F510)&lt;&gt;1,"SOURCE CONFLICT",IF(NOT(OR(INDEX(SourceTable[Status],MAX(1,Q510))="IMPORTED",INDEX(SourceTable[Status],MAX(1,Q510))="PARTIAL",INDEX(SourceTable[Status],MAX(1,Q510))="SOURCE CONFLICT")),"ACCESS BLOCKED",IF(OR(INDEX(SourceTable[Coverage],Q510)&lt;&gt;"FULL SEASON EXPORT",INDEX(SourceTable[URL],Q510)="",INDEX(SourceTable[SHA256],Q510)=""),"EVIDENCE INCOMPLETE",IF(AND('Input_Meci'!H48="LIVE",INDEX(SourceTable[Retrieved_UTC],Q510)&gt;'Input_Meci'!G48),"POST CUTOFF","CLOSED")))))))</x:f>
      </x:c>
      <x:c r="S510" s="2" t="n">
        <x:f>IF(OR(B510="",F510=""),0,COUNTIFS('Istoric_Nativ'!$B$6:$B$405,E510,'Istoric_Nativ'!$C$6:$C$405,F510,'Istoric_Nativ'!$E$6:$E$405,G510,'Istoric_Nativ'!$D$6:$D$405,"&lt;"&amp;J510,'Istoric_Nativ'!$O$6:$O$405,"INVALID")+COUNTIFS('Istoric_Nativ'!$B$6:$B$405,E510,'Istoric_Nativ'!$C$6:$C$405,F510,'Istoric_Nativ'!$E$6:$E$405,G510,'Istoric_Nativ'!$O$6:$O$405,"INVALID",'Istoric_Nativ'!$D$6:$D$405,"*")+COUNTIFS('Istoric_Nativ'!$B$6:$B$405,E510,'Istoric_Nativ'!$C$6:$C$405,F510,'Istoric_Nativ'!$E$6:$E$405,G510,'Istoric_Nativ'!$D$6:$D$405,"&lt;"&amp;J510,'Istoric_Nativ'!$O$6:$O$405,"SOURCE CONFLICT")+COUNTIFS('Istoric_Nativ'!$B$6:$B$405,E510,'Istoric_Nativ'!$C$6:$C$405,F510,'Istoric_Nativ'!$F$6:$F$405,G510,'Istoric_Nativ'!$D$6:$D$405,"&lt;"&amp;J510,'Istoric_Nativ'!$O$6:$O$405,"INVALID")+COUNTIFS('Istoric_Nativ'!$B$6:$B$405,E510,'Istoric_Nativ'!$C$6:$C$405,F510,'Istoric_Nativ'!$F$6:$F$405,G510,'Istoric_Nativ'!$O$6:$O$405,"INVALID",'Istoric_Nativ'!$D$6:$D$405,"*")+COUNTIFS('Istoric_Nativ'!$B$6:$B$405,E510,'Istoric_Nativ'!$C$6:$C$405,F510,'Istoric_Nativ'!$F$6:$F$405,G510,'Istoric_Nativ'!$D$6:$D$405,"&lt;"&amp;J510,'Istoric_Nativ'!$O$6:$O$405,"SOURCE CONFLICT"))</x:f>
        <x:v>0</x:v>
      </x:c>
      <x:c r="T510" s="2" t="str">
        <x:f>IF(B510="","",IF(R510&lt;&gt;"CLOSED",R510,IF(S510&gt;0,"NATIVE INPUT ISSUE",IF(M510=0,"NO HISTORY",IF(M510&lt;P510,"SMALL SAMPLE","DERIVED")))))</x:f>
      </x:c>
      <x:c r="U510" s="2" t="str">
        <x:f>IF(B510="","","NativeTable; "&amp;E510&amp;"; "&amp;F510&amp;"; "&amp;G510&amp;"; "&amp;H510&amp;"; before "&amp;TEXT(J510,"yyyy-mm-dd")&amp;IF(I510="RECENT","; from "&amp;TEXT(L510,"yyyy-mm-dd"),""))</x:f>
      </x:c>
    </x:row>
    <x:row r="511" ht="21" customHeight="1">
      <x:c r="A511" s="2" t="n">
        <x:v>43</x:v>
      </x:c>
      <x:c r="B511" s="2" t="str">
        <x:f>IF('Input_Meci'!A48="","",'Input_Meci'!A48)</x:f>
      </x:c>
      <x:c r="C511" s="2" t="str">
        <x:v>H</x:v>
      </x:c>
      <x:c r="D511" s="2" t="str">
        <x:v>CURRENT</x:v>
      </x:c>
      <x:c r="E511" s="2" t="str">
        <x:f>IF(B511="","",'Input_Meci'!B48)</x:f>
      </x:c>
      <x:c r="F511" s="2" t="str">
        <x:f>IF(B511="","",IF('Input_Meci'!C48="","",'Input_Meci'!C48))</x:f>
      </x:c>
      <x:c r="G511" s="2" t="str">
        <x:f>IF(B511="","",'Input_Meci'!D48)</x:f>
      </x:c>
      <x:c r="H511" s="2" t="str">
        <x:v>HOME</x:v>
      </x:c>
      <x:c r="I511" s="2" t="str">
        <x:v>HA</x:v>
      </x:c>
      <x:c r="J511" s="9" t="n">
        <x:f>IF(AND(B511&lt;&gt;"",ISNUMBER('Input_Meci'!G48)),INT('Input_Meci'!G48),0)</x:f>
        <x:v>0</x:v>
      </x:c>
      <x:c r="K511" s="2" t="n">
        <x:f>IF(OR(B511="",F511=""),0,IF(H511="HOME",COUNTIFS('Istoric_Nativ'!$B$6:$B$405,E511,'Istoric_Nativ'!$C$6:$C$405,F511,'Istoric_Nativ'!$E$6:$E$405,G511,'Istoric_Nativ'!$D$6:$D$405,"&lt;"&amp;J511,'Istoric_Nativ'!$P$6:$P$405,1),IF(H511="AWAY",COUNTIFS('Istoric_Nativ'!$B$6:$B$405,E511,'Istoric_Nativ'!$C$6:$C$405,F511,'Istoric_Nativ'!$F$6:$F$405,G511,'Istoric_Nativ'!$D$6:$D$405,"&lt;"&amp;J511,'Istoric_Nativ'!$P$6:$P$405,1),COUNTIFS('Istoric_Nativ'!$B$6:$B$405,E511,'Istoric_Nativ'!$C$6:$C$405,F511,'Istoric_Nativ'!$E$6:$E$405,G511,'Istoric_Nativ'!$D$6:$D$405,"&lt;"&amp;J511,'Istoric_Nativ'!$P$6:$P$405,1)+COUNTIFS('Istoric_Nativ'!$B$6:$B$405,E511,'Istoric_Nativ'!$C$6:$C$405,F511,'Istoric_Nativ'!$F$6:$F$405,G511,'Istoric_Nativ'!$D$6:$D$405,"&lt;"&amp;J511,'Istoric_Nativ'!$P$6:$P$405,1))))</x:f>
        <x:v>0</x:v>
      </x:c>
      <x:c r="L511" s="17" t="n">
        <x:f>IF(AND(B511&lt;&gt;"",I511="RECENT",K511&gt;0),LARGE(_xlfn._xlws.FILTER('Istoric_Nativ'!$D$6:$D$405,('Istoric_Nativ'!$B$6:$B$405=E511)*('Istoric_Nativ'!$C$6:$C$405=F511)*('Istoric_Nativ'!$P$6:$P$405=1)*('Istoric_Nativ'!$D$6:$D$405&lt;J511)*((('Istoric_Nativ'!$E$6:$E$405=G511)+('Istoric_Nativ'!$F$6:$F$405=G511))&gt;0)),MIN('Config_v6'!$B$54,K511)),0)</x:f>
        <x:v>0</x:v>
      </x:c>
      <x:c r="M511" s="2" t="n">
        <x:f>IF(OR(B511="",F511=""),0,IF(H511="HOME",COUNTIFS('Istoric_Nativ'!$B$6:$B$405,E511,'Istoric_Nativ'!$C$6:$C$405,F511,'Istoric_Nativ'!$E$6:$E$405,G511,'Istoric_Nativ'!$D$6:$D$405,"&lt;"&amp;J511,'Istoric_Nativ'!$P$6:$P$405,1,'Istoric_Nativ'!$D$6:$D$405,"&gt;="&amp;L511),IF(H511="AWAY",COUNTIFS('Istoric_Nativ'!$B$6:$B$405,E511,'Istoric_Nativ'!$C$6:$C$405,F511,'Istoric_Nativ'!$F$6:$F$405,G511,'Istoric_Nativ'!$D$6:$D$405,"&lt;"&amp;J511,'Istoric_Nativ'!$P$6:$P$405,1,'Istoric_Nativ'!$D$6:$D$405,"&gt;="&amp;L511),COUNTIFS('Istoric_Nativ'!$B$6:$B$405,E511,'Istoric_Nativ'!$C$6:$C$405,F511,'Istoric_Nativ'!$E$6:$E$405,G511,'Istoric_Nativ'!$D$6:$D$405,"&lt;"&amp;J511,'Istoric_Nativ'!$P$6:$P$405,1,'Istoric_Nativ'!$D$6:$D$405,"&gt;="&amp;L511)+COUNTIFS('Istoric_Nativ'!$B$6:$B$405,E511,'Istoric_Nativ'!$C$6:$C$405,F511,'Istoric_Nativ'!$F$6:$F$405,G511,'Istoric_Nativ'!$D$6:$D$405,"&lt;"&amp;J511,'Istoric_Nativ'!$P$6:$P$405,1,'Istoric_Nativ'!$D$6:$D$405,"&gt;="&amp;L511))))</x:f>
        <x:v>0</x:v>
      </x:c>
      <x:c r="N511" s="11" t="str">
        <x:f>IF(M511=0,"",IF(H511="HOME",SUMIFS('Istoric_Nativ'!$G$6:$G$405,'Istoric_Nativ'!$B$6:$B$405,E511,'Istoric_Nativ'!$C$6:$C$405,F511,'Istoric_Nativ'!$E$6:$E$405,G511,'Istoric_Nativ'!$D$6:$D$405,"&lt;"&amp;J511,'Istoric_Nativ'!$P$6:$P$405,1,'Istoric_Nativ'!$D$6:$D$405,"&gt;="&amp;L511),IF(H511="AWAY",SUMIFS('Istoric_Nativ'!$H$6:$H$405,'Istoric_Nativ'!$B$6:$B$405,E511,'Istoric_Nativ'!$C$6:$C$405,F511,'Istoric_Nativ'!$F$6:$F$405,G511,'Istoric_Nativ'!$D$6:$D$405,"&lt;"&amp;J511,'Istoric_Nativ'!$P$6:$P$405,1,'Istoric_Nativ'!$D$6:$D$405,"&gt;="&amp;L511),SUMIFS('Istoric_Nativ'!$G$6:$G$405,'Istoric_Nativ'!$B$6:$B$405,E511,'Istoric_Nativ'!$C$6:$C$405,F511,'Istoric_Nativ'!$E$6:$E$405,G511,'Istoric_Nativ'!$D$6:$D$405,"&lt;"&amp;J511,'Istoric_Nativ'!$P$6:$P$405,1,'Istoric_Nativ'!$D$6:$D$405,"&gt;="&amp;L511)+SUMIFS('Istoric_Nativ'!$H$6:$H$405,'Istoric_Nativ'!$B$6:$B$405,E511,'Istoric_Nativ'!$C$6:$C$405,F511,'Istoric_Nativ'!$F$6:$F$405,G511,'Istoric_Nativ'!$D$6:$D$405,"&lt;"&amp;J511,'Istoric_Nativ'!$P$6:$P$405,1,'Istoric_Nativ'!$D$6:$D$405,"&gt;="&amp;L511)))/M511)</x:f>
      </x:c>
      <x:c r="O511" s="11" t="str">
        <x:f>IF(M511=0,"",IF(H511="HOME",SUMIFS('Istoric_Nativ'!$H$6:$H$405,'Istoric_Nativ'!$B$6:$B$405,E511,'Istoric_Nativ'!$C$6:$C$405,F511,'Istoric_Nativ'!$E$6:$E$405,G511,'Istoric_Nativ'!$D$6:$D$405,"&lt;"&amp;J511,'Istoric_Nativ'!$P$6:$P$405,1,'Istoric_Nativ'!$D$6:$D$405,"&gt;="&amp;L511),IF(H511="AWAY",SUMIFS('Istoric_Nativ'!$G$6:$G$405,'Istoric_Nativ'!$B$6:$B$405,E511,'Istoric_Nativ'!$C$6:$C$405,F511,'Istoric_Nativ'!$F$6:$F$405,G511,'Istoric_Nativ'!$D$6:$D$405,"&lt;"&amp;J511,'Istoric_Nativ'!$P$6:$P$405,1,'Istoric_Nativ'!$D$6:$D$405,"&gt;="&amp;L511),SUMIFS('Istoric_Nativ'!$H$6:$H$405,'Istoric_Nativ'!$B$6:$B$405,E511,'Istoric_Nativ'!$C$6:$C$405,F511,'Istoric_Nativ'!$E$6:$E$405,G511,'Istoric_Nativ'!$D$6:$D$405,"&lt;"&amp;J511,'Istoric_Nativ'!$P$6:$P$405,1,'Istoric_Nativ'!$D$6:$D$405,"&gt;="&amp;L511)+SUMIFS('Istoric_Nativ'!$G$6:$G$405,'Istoric_Nativ'!$B$6:$B$405,E511,'Istoric_Nativ'!$C$6:$C$405,F511,'Istoric_Nativ'!$F$6:$F$405,G511,'Istoric_Nativ'!$D$6:$D$405,"&lt;"&amp;J511,'Istoric_Nativ'!$P$6:$P$405,1,'Istoric_Nativ'!$D$6:$D$405,"&gt;="&amp;L511)))/M511)</x:f>
      </x:c>
      <x:c r="P511" s="2" t="n">
        <x:f>'Config_v6'!$B$8</x:f>
        <x:v>5</x:v>
      </x:c>
      <x:c r="Q511" s="2" t="n">
        <x:f>IF(OR(B511="",F511=""),0,IFERROR(MATCH(E511&amp;"|"&amp;F511,SourceTable[Source_Key],0),0))</x:f>
        <x:v>0</x:v>
      </x:c>
      <x:c r="R511" s="2" t="str">
        <x:f>IF(B511="","",IF(F511="","UNUSED",IF(Q511=0,"NOT CHECKED",IF(COUNTIF(SourceTable[Source_Key],E511&amp;"|"&amp;F511)&lt;&gt;1,"SOURCE CONFLICT",IF(NOT(OR(INDEX(SourceTable[Status],MAX(1,Q511))="IMPORTED",INDEX(SourceTable[Status],MAX(1,Q511))="PARTIAL",INDEX(SourceTable[Status],MAX(1,Q511))="SOURCE CONFLICT")),"ACCESS BLOCKED",IF(OR(INDEX(SourceTable[Coverage],Q511)&lt;&gt;"FULL SEASON EXPORT",INDEX(SourceTable[URL],Q511)="",INDEX(SourceTable[SHA256],Q511)=""),"EVIDENCE INCOMPLETE",IF(AND('Input_Meci'!H48="LIVE",INDEX(SourceTable[Retrieved_UTC],Q511)&gt;'Input_Meci'!G48),"POST CUTOFF","CLOSED")))))))</x:f>
      </x:c>
      <x:c r="S511" s="2" t="n">
        <x:f>IF(OR(B511="",F511=""),0,COUNTIFS('Istoric_Nativ'!$B$6:$B$405,E511,'Istoric_Nativ'!$C$6:$C$405,F511,'Istoric_Nativ'!$E$6:$E$405,G511,'Istoric_Nativ'!$D$6:$D$405,"&lt;"&amp;J511,'Istoric_Nativ'!$O$6:$O$405,"INVALID")+COUNTIFS('Istoric_Nativ'!$B$6:$B$405,E511,'Istoric_Nativ'!$C$6:$C$405,F511,'Istoric_Nativ'!$E$6:$E$405,G511,'Istoric_Nativ'!$O$6:$O$405,"INVALID",'Istoric_Nativ'!$D$6:$D$405,"*")+COUNTIFS('Istoric_Nativ'!$B$6:$B$405,E511,'Istoric_Nativ'!$C$6:$C$405,F511,'Istoric_Nativ'!$E$6:$E$405,G511,'Istoric_Nativ'!$D$6:$D$405,"&lt;"&amp;J511,'Istoric_Nativ'!$O$6:$O$405,"SOURCE CONFLICT")+COUNTIFS('Istoric_Nativ'!$B$6:$B$405,E511,'Istoric_Nativ'!$C$6:$C$405,F511,'Istoric_Nativ'!$F$6:$F$405,G511,'Istoric_Nativ'!$D$6:$D$405,"&lt;"&amp;J511,'Istoric_Nativ'!$O$6:$O$405,"INVALID")+COUNTIFS('Istoric_Nativ'!$B$6:$B$405,E511,'Istoric_Nativ'!$C$6:$C$405,F511,'Istoric_Nativ'!$F$6:$F$405,G511,'Istoric_Nativ'!$O$6:$O$405,"INVALID",'Istoric_Nativ'!$D$6:$D$405,"*")+COUNTIFS('Istoric_Nativ'!$B$6:$B$405,E511,'Istoric_Nativ'!$C$6:$C$405,F511,'Istoric_Nativ'!$F$6:$F$405,G511,'Istoric_Nativ'!$D$6:$D$405,"&lt;"&amp;J511,'Istoric_Nativ'!$O$6:$O$405,"SOURCE CONFLICT"))</x:f>
        <x:v>0</x:v>
      </x:c>
      <x:c r="T511" s="2" t="str">
        <x:f>IF(B511="","",IF(R511&lt;&gt;"CLOSED",R511,IF(S511&gt;0,"NATIVE INPUT ISSUE",IF(M511=0,"NO HISTORY",IF(M511&lt;P511,"SMALL SAMPLE","DERIVED")))))</x:f>
      </x:c>
      <x:c r="U511" s="2" t="str">
        <x:f>IF(B511="","","NativeTable; "&amp;E511&amp;"; "&amp;F511&amp;"; "&amp;G511&amp;"; "&amp;H511&amp;"; before "&amp;TEXT(J511,"yyyy-mm-dd")&amp;IF(I511="RECENT","; from "&amp;TEXT(L511,"yyyy-mm-dd"),""))</x:f>
      </x:c>
    </x:row>
    <x:row r="512" ht="21" customHeight="1">
      <x:c r="A512" s="2" t="n">
        <x:v>43</x:v>
      </x:c>
      <x:c r="B512" s="2" t="str">
        <x:f>IF('Input_Meci'!A48="","",'Input_Meci'!A48)</x:f>
      </x:c>
      <x:c r="C512" s="2" t="str">
        <x:v>H</x:v>
      </x:c>
      <x:c r="D512" s="2" t="str">
        <x:v>CURRENT</x:v>
      </x:c>
      <x:c r="E512" s="2" t="str">
        <x:f>IF(B512="","",'Input_Meci'!B48)</x:f>
      </x:c>
      <x:c r="F512" s="2" t="str">
        <x:f>IF(B512="","",IF('Input_Meci'!C48="","",'Input_Meci'!C48))</x:f>
      </x:c>
      <x:c r="G512" s="2" t="str">
        <x:f>IF(B512="","",'Input_Meci'!D48)</x:f>
      </x:c>
      <x:c r="H512" s="2" t="str">
        <x:v>ANY</x:v>
      </x:c>
      <x:c r="I512" s="2" t="str">
        <x:v>RECENT</x:v>
      </x:c>
      <x:c r="J512" s="9" t="n">
        <x:f>IF(AND(B512&lt;&gt;"",ISNUMBER('Input_Meci'!G48)),INT('Input_Meci'!G48),0)</x:f>
        <x:v>0</x:v>
      </x:c>
      <x:c r="K512" s="2" t="n">
        <x:f>IF(OR(B512="",F512=""),0,IF(H512="HOME",COUNTIFS('Istoric_Nativ'!$B$6:$B$405,E512,'Istoric_Nativ'!$C$6:$C$405,F512,'Istoric_Nativ'!$E$6:$E$405,G512,'Istoric_Nativ'!$D$6:$D$405,"&lt;"&amp;J512,'Istoric_Nativ'!$P$6:$P$405,1),IF(H512="AWAY",COUNTIFS('Istoric_Nativ'!$B$6:$B$405,E512,'Istoric_Nativ'!$C$6:$C$405,F512,'Istoric_Nativ'!$F$6:$F$405,G512,'Istoric_Nativ'!$D$6:$D$405,"&lt;"&amp;J512,'Istoric_Nativ'!$P$6:$P$405,1),COUNTIFS('Istoric_Nativ'!$B$6:$B$405,E512,'Istoric_Nativ'!$C$6:$C$405,F512,'Istoric_Nativ'!$E$6:$E$405,G512,'Istoric_Nativ'!$D$6:$D$405,"&lt;"&amp;J512,'Istoric_Nativ'!$P$6:$P$405,1)+COUNTIFS('Istoric_Nativ'!$B$6:$B$405,E512,'Istoric_Nativ'!$C$6:$C$405,F512,'Istoric_Nativ'!$F$6:$F$405,G512,'Istoric_Nativ'!$D$6:$D$405,"&lt;"&amp;J512,'Istoric_Nativ'!$P$6:$P$405,1))))</x:f>
        <x:v>0</x:v>
      </x:c>
      <x:c r="L512" s="17" t="n">
        <x:f>IF(AND(B512&lt;&gt;"",I512="RECENT",K512&gt;0),LARGE(_xlfn._xlws.FILTER('Istoric_Nativ'!$D$6:$D$405,('Istoric_Nativ'!$B$6:$B$405=E512)*('Istoric_Nativ'!$C$6:$C$405=F512)*('Istoric_Nativ'!$P$6:$P$405=1)*('Istoric_Nativ'!$D$6:$D$405&lt;J512)*((('Istoric_Nativ'!$E$6:$E$405=G512)+('Istoric_Nativ'!$F$6:$F$405=G512))&gt;0)),MIN('Config_v6'!$B$54,K512)),0)</x:f>
        <x:v>0</x:v>
      </x:c>
      <x:c r="M512" s="2" t="n">
        <x:f>IF(OR(B512="",F512=""),0,IF(H512="HOME",COUNTIFS('Istoric_Nativ'!$B$6:$B$405,E512,'Istoric_Nativ'!$C$6:$C$405,F512,'Istoric_Nativ'!$E$6:$E$405,G512,'Istoric_Nativ'!$D$6:$D$405,"&lt;"&amp;J512,'Istoric_Nativ'!$P$6:$P$405,1,'Istoric_Nativ'!$D$6:$D$405,"&gt;="&amp;L512),IF(H512="AWAY",COUNTIFS('Istoric_Nativ'!$B$6:$B$405,E512,'Istoric_Nativ'!$C$6:$C$405,F512,'Istoric_Nativ'!$F$6:$F$405,G512,'Istoric_Nativ'!$D$6:$D$405,"&lt;"&amp;J512,'Istoric_Nativ'!$P$6:$P$405,1,'Istoric_Nativ'!$D$6:$D$405,"&gt;="&amp;L512),COUNTIFS('Istoric_Nativ'!$B$6:$B$405,E512,'Istoric_Nativ'!$C$6:$C$405,F512,'Istoric_Nativ'!$E$6:$E$405,G512,'Istoric_Nativ'!$D$6:$D$405,"&lt;"&amp;J512,'Istoric_Nativ'!$P$6:$P$405,1,'Istoric_Nativ'!$D$6:$D$405,"&gt;="&amp;L512)+COUNTIFS('Istoric_Nativ'!$B$6:$B$405,E512,'Istoric_Nativ'!$C$6:$C$405,F512,'Istoric_Nativ'!$F$6:$F$405,G512,'Istoric_Nativ'!$D$6:$D$405,"&lt;"&amp;J512,'Istoric_Nativ'!$P$6:$P$405,1,'Istoric_Nativ'!$D$6:$D$405,"&gt;="&amp;L512))))</x:f>
        <x:v>0</x:v>
      </x:c>
      <x:c r="N512" s="11" t="str">
        <x:f>IF(M512=0,"",IF(H512="HOME",SUMIFS('Istoric_Nativ'!$G$6:$G$405,'Istoric_Nativ'!$B$6:$B$405,E512,'Istoric_Nativ'!$C$6:$C$405,F512,'Istoric_Nativ'!$E$6:$E$405,G512,'Istoric_Nativ'!$D$6:$D$405,"&lt;"&amp;J512,'Istoric_Nativ'!$P$6:$P$405,1,'Istoric_Nativ'!$D$6:$D$405,"&gt;="&amp;L512),IF(H512="AWAY",SUMIFS('Istoric_Nativ'!$H$6:$H$405,'Istoric_Nativ'!$B$6:$B$405,E512,'Istoric_Nativ'!$C$6:$C$405,F512,'Istoric_Nativ'!$F$6:$F$405,G512,'Istoric_Nativ'!$D$6:$D$405,"&lt;"&amp;J512,'Istoric_Nativ'!$P$6:$P$405,1,'Istoric_Nativ'!$D$6:$D$405,"&gt;="&amp;L512),SUMIFS('Istoric_Nativ'!$G$6:$G$405,'Istoric_Nativ'!$B$6:$B$405,E512,'Istoric_Nativ'!$C$6:$C$405,F512,'Istoric_Nativ'!$E$6:$E$405,G512,'Istoric_Nativ'!$D$6:$D$405,"&lt;"&amp;J512,'Istoric_Nativ'!$P$6:$P$405,1,'Istoric_Nativ'!$D$6:$D$405,"&gt;="&amp;L512)+SUMIFS('Istoric_Nativ'!$H$6:$H$405,'Istoric_Nativ'!$B$6:$B$405,E512,'Istoric_Nativ'!$C$6:$C$405,F512,'Istoric_Nativ'!$F$6:$F$405,G512,'Istoric_Nativ'!$D$6:$D$405,"&lt;"&amp;J512,'Istoric_Nativ'!$P$6:$P$405,1,'Istoric_Nativ'!$D$6:$D$405,"&gt;="&amp;L512)))/M512)</x:f>
      </x:c>
      <x:c r="O512" s="11" t="str">
        <x:f>IF(M512=0,"",IF(H512="HOME",SUMIFS('Istoric_Nativ'!$H$6:$H$405,'Istoric_Nativ'!$B$6:$B$405,E512,'Istoric_Nativ'!$C$6:$C$405,F512,'Istoric_Nativ'!$E$6:$E$405,G512,'Istoric_Nativ'!$D$6:$D$405,"&lt;"&amp;J512,'Istoric_Nativ'!$P$6:$P$405,1,'Istoric_Nativ'!$D$6:$D$405,"&gt;="&amp;L512),IF(H512="AWAY",SUMIFS('Istoric_Nativ'!$G$6:$G$405,'Istoric_Nativ'!$B$6:$B$405,E512,'Istoric_Nativ'!$C$6:$C$405,F512,'Istoric_Nativ'!$F$6:$F$405,G512,'Istoric_Nativ'!$D$6:$D$405,"&lt;"&amp;J512,'Istoric_Nativ'!$P$6:$P$405,1,'Istoric_Nativ'!$D$6:$D$405,"&gt;="&amp;L512),SUMIFS('Istoric_Nativ'!$H$6:$H$405,'Istoric_Nativ'!$B$6:$B$405,E512,'Istoric_Nativ'!$C$6:$C$405,F512,'Istoric_Nativ'!$E$6:$E$405,G512,'Istoric_Nativ'!$D$6:$D$405,"&lt;"&amp;J512,'Istoric_Nativ'!$P$6:$P$405,1,'Istoric_Nativ'!$D$6:$D$405,"&gt;="&amp;L512)+SUMIFS('Istoric_Nativ'!$G$6:$G$405,'Istoric_Nativ'!$B$6:$B$405,E512,'Istoric_Nativ'!$C$6:$C$405,F512,'Istoric_Nativ'!$F$6:$F$405,G512,'Istoric_Nativ'!$D$6:$D$405,"&lt;"&amp;J512,'Istoric_Nativ'!$P$6:$P$405,1,'Istoric_Nativ'!$D$6:$D$405,"&gt;="&amp;L512)))/M512)</x:f>
      </x:c>
      <x:c r="P512" s="2" t="n">
        <x:f>'Config_v6'!$B$9</x:f>
        <x:v>3</x:v>
      </x:c>
      <x:c r="Q512" s="2" t="n">
        <x:f>IF(OR(B512="",F512=""),0,IFERROR(MATCH(E512&amp;"|"&amp;F512,SourceTable[Source_Key],0),0))</x:f>
        <x:v>0</x:v>
      </x:c>
      <x:c r="R512" s="2" t="str">
        <x:f>IF(B512="","",IF(F512="","UNUSED",IF(Q512=0,"NOT CHECKED",IF(COUNTIF(SourceTable[Source_Key],E512&amp;"|"&amp;F512)&lt;&gt;1,"SOURCE CONFLICT",IF(NOT(OR(INDEX(SourceTable[Status],MAX(1,Q512))="IMPORTED",INDEX(SourceTable[Status],MAX(1,Q512))="PARTIAL",INDEX(SourceTable[Status],MAX(1,Q512))="SOURCE CONFLICT")),"ACCESS BLOCKED",IF(OR(INDEX(SourceTable[Coverage],Q512)&lt;&gt;"FULL SEASON EXPORT",INDEX(SourceTable[URL],Q512)="",INDEX(SourceTable[SHA256],Q512)=""),"EVIDENCE INCOMPLETE",IF(AND('Input_Meci'!H48="LIVE",INDEX(SourceTable[Retrieved_UTC],Q512)&gt;'Input_Meci'!G48),"POST CUTOFF","CLOSED")))))))</x:f>
      </x:c>
      <x:c r="S512" s="2" t="n">
        <x:f>IF(OR(B512="",F512=""),0,COUNTIFS('Istoric_Nativ'!$B$6:$B$405,E512,'Istoric_Nativ'!$C$6:$C$405,F512,'Istoric_Nativ'!$E$6:$E$405,G512,'Istoric_Nativ'!$D$6:$D$405,"&lt;"&amp;J512,'Istoric_Nativ'!$O$6:$O$405,"INVALID")+COUNTIFS('Istoric_Nativ'!$B$6:$B$405,E512,'Istoric_Nativ'!$C$6:$C$405,F512,'Istoric_Nativ'!$E$6:$E$405,G512,'Istoric_Nativ'!$O$6:$O$405,"INVALID",'Istoric_Nativ'!$D$6:$D$405,"*")+COUNTIFS('Istoric_Nativ'!$B$6:$B$405,E512,'Istoric_Nativ'!$C$6:$C$405,F512,'Istoric_Nativ'!$E$6:$E$405,G512,'Istoric_Nativ'!$D$6:$D$405,"&lt;"&amp;J512,'Istoric_Nativ'!$O$6:$O$405,"SOURCE CONFLICT")+COUNTIFS('Istoric_Nativ'!$B$6:$B$405,E512,'Istoric_Nativ'!$C$6:$C$405,F512,'Istoric_Nativ'!$F$6:$F$405,G512,'Istoric_Nativ'!$D$6:$D$405,"&lt;"&amp;J512,'Istoric_Nativ'!$O$6:$O$405,"INVALID")+COUNTIFS('Istoric_Nativ'!$B$6:$B$405,E512,'Istoric_Nativ'!$C$6:$C$405,F512,'Istoric_Nativ'!$F$6:$F$405,G512,'Istoric_Nativ'!$O$6:$O$405,"INVALID",'Istoric_Nativ'!$D$6:$D$405,"*")+COUNTIFS('Istoric_Nativ'!$B$6:$B$405,E512,'Istoric_Nativ'!$C$6:$C$405,F512,'Istoric_Nativ'!$F$6:$F$405,G512,'Istoric_Nativ'!$D$6:$D$405,"&lt;"&amp;J512,'Istoric_Nativ'!$O$6:$O$405,"SOURCE CONFLICT"))</x:f>
        <x:v>0</x:v>
      </x:c>
      <x:c r="T512" s="2" t="str">
        <x:f>IF(B512="","",IF(R512&lt;&gt;"CLOSED",R512,IF(S512&gt;0,"NATIVE INPUT ISSUE",IF(M512=0,"NO HISTORY",IF(M512&lt;P512,"SMALL SAMPLE","DERIVED")))))</x:f>
      </x:c>
      <x:c r="U512" s="2" t="str">
        <x:f>IF(B512="","","NativeTable; "&amp;E512&amp;"; "&amp;F512&amp;"; "&amp;G512&amp;"; "&amp;H512&amp;"; before "&amp;TEXT(J512,"yyyy-mm-dd")&amp;IF(I512="RECENT","; from "&amp;TEXT(L512,"yyyy-mm-dd"),""))</x:f>
      </x:c>
    </x:row>
    <x:row r="513" ht="21" customHeight="1">
      <x:c r="A513" s="2" t="n">
        <x:v>43</x:v>
      </x:c>
      <x:c r="B513" s="2" t="str">
        <x:f>IF('Input_Meci'!A48="","",'Input_Meci'!A48)</x:f>
      </x:c>
      <x:c r="C513" s="2" t="str">
        <x:v>A</x:v>
      </x:c>
      <x:c r="D513" s="2" t="str">
        <x:v>CURRENT</x:v>
      </x:c>
      <x:c r="E513" s="2" t="str">
        <x:f>IF(B513="","",'Input_Meci'!B48)</x:f>
      </x:c>
      <x:c r="F513" s="2" t="str">
        <x:f>IF(B513="","",IF('Input_Meci'!C48="","",'Input_Meci'!C48))</x:f>
      </x:c>
      <x:c r="G513" s="2" t="str">
        <x:f>IF(B513="","",'Input_Meci'!E48)</x:f>
      </x:c>
      <x:c r="H513" s="2" t="str">
        <x:v>ANY</x:v>
      </x:c>
      <x:c r="I513" s="2" t="str">
        <x:v>SEASON</x:v>
      </x:c>
      <x:c r="J513" s="9" t="n">
        <x:f>IF(AND(B513&lt;&gt;"",ISNUMBER('Input_Meci'!G48)),INT('Input_Meci'!G48),0)</x:f>
        <x:v>0</x:v>
      </x:c>
      <x:c r="K513" s="2" t="n">
        <x:f>IF(OR(B513="",F513=""),0,IF(H513="HOME",COUNTIFS('Istoric_Nativ'!$B$6:$B$405,E513,'Istoric_Nativ'!$C$6:$C$405,F513,'Istoric_Nativ'!$E$6:$E$405,G513,'Istoric_Nativ'!$D$6:$D$405,"&lt;"&amp;J513,'Istoric_Nativ'!$P$6:$P$405,1),IF(H513="AWAY",COUNTIFS('Istoric_Nativ'!$B$6:$B$405,E513,'Istoric_Nativ'!$C$6:$C$405,F513,'Istoric_Nativ'!$F$6:$F$405,G513,'Istoric_Nativ'!$D$6:$D$405,"&lt;"&amp;J513,'Istoric_Nativ'!$P$6:$P$405,1),COUNTIFS('Istoric_Nativ'!$B$6:$B$405,E513,'Istoric_Nativ'!$C$6:$C$405,F513,'Istoric_Nativ'!$E$6:$E$405,G513,'Istoric_Nativ'!$D$6:$D$405,"&lt;"&amp;J513,'Istoric_Nativ'!$P$6:$P$405,1)+COUNTIFS('Istoric_Nativ'!$B$6:$B$405,E513,'Istoric_Nativ'!$C$6:$C$405,F513,'Istoric_Nativ'!$F$6:$F$405,G513,'Istoric_Nativ'!$D$6:$D$405,"&lt;"&amp;J513,'Istoric_Nativ'!$P$6:$P$405,1))))</x:f>
        <x:v>0</x:v>
      </x:c>
      <x:c r="L513" s="17" t="n">
        <x:f>IF(AND(B513&lt;&gt;"",I513="RECENT",K513&gt;0),LARGE(_xlfn._xlws.FILTER('Istoric_Nativ'!$D$6:$D$405,('Istoric_Nativ'!$B$6:$B$405=E513)*('Istoric_Nativ'!$C$6:$C$405=F513)*('Istoric_Nativ'!$P$6:$P$405=1)*('Istoric_Nativ'!$D$6:$D$405&lt;J513)*((('Istoric_Nativ'!$E$6:$E$405=G513)+('Istoric_Nativ'!$F$6:$F$405=G513))&gt;0)),MIN('Config_v6'!$B$54,K513)),0)</x:f>
        <x:v>0</x:v>
      </x:c>
      <x:c r="M513" s="2" t="n">
        <x:f>IF(OR(B513="",F513=""),0,IF(H513="HOME",COUNTIFS('Istoric_Nativ'!$B$6:$B$405,E513,'Istoric_Nativ'!$C$6:$C$405,F513,'Istoric_Nativ'!$E$6:$E$405,G513,'Istoric_Nativ'!$D$6:$D$405,"&lt;"&amp;J513,'Istoric_Nativ'!$P$6:$P$405,1,'Istoric_Nativ'!$D$6:$D$405,"&gt;="&amp;L513),IF(H513="AWAY",COUNTIFS('Istoric_Nativ'!$B$6:$B$405,E513,'Istoric_Nativ'!$C$6:$C$405,F513,'Istoric_Nativ'!$F$6:$F$405,G513,'Istoric_Nativ'!$D$6:$D$405,"&lt;"&amp;J513,'Istoric_Nativ'!$P$6:$P$405,1,'Istoric_Nativ'!$D$6:$D$405,"&gt;="&amp;L513),COUNTIFS('Istoric_Nativ'!$B$6:$B$405,E513,'Istoric_Nativ'!$C$6:$C$405,F513,'Istoric_Nativ'!$E$6:$E$405,G513,'Istoric_Nativ'!$D$6:$D$405,"&lt;"&amp;J513,'Istoric_Nativ'!$P$6:$P$405,1,'Istoric_Nativ'!$D$6:$D$405,"&gt;="&amp;L513)+COUNTIFS('Istoric_Nativ'!$B$6:$B$405,E513,'Istoric_Nativ'!$C$6:$C$405,F513,'Istoric_Nativ'!$F$6:$F$405,G513,'Istoric_Nativ'!$D$6:$D$405,"&lt;"&amp;J513,'Istoric_Nativ'!$P$6:$P$405,1,'Istoric_Nativ'!$D$6:$D$405,"&gt;="&amp;L513))))</x:f>
        <x:v>0</x:v>
      </x:c>
      <x:c r="N513" s="11" t="str">
        <x:f>IF(M513=0,"",IF(H513="HOME",SUMIFS('Istoric_Nativ'!$G$6:$G$405,'Istoric_Nativ'!$B$6:$B$405,E513,'Istoric_Nativ'!$C$6:$C$405,F513,'Istoric_Nativ'!$E$6:$E$405,G513,'Istoric_Nativ'!$D$6:$D$405,"&lt;"&amp;J513,'Istoric_Nativ'!$P$6:$P$405,1,'Istoric_Nativ'!$D$6:$D$405,"&gt;="&amp;L513),IF(H513="AWAY",SUMIFS('Istoric_Nativ'!$H$6:$H$405,'Istoric_Nativ'!$B$6:$B$405,E513,'Istoric_Nativ'!$C$6:$C$405,F513,'Istoric_Nativ'!$F$6:$F$405,G513,'Istoric_Nativ'!$D$6:$D$405,"&lt;"&amp;J513,'Istoric_Nativ'!$P$6:$P$405,1,'Istoric_Nativ'!$D$6:$D$405,"&gt;="&amp;L513),SUMIFS('Istoric_Nativ'!$G$6:$G$405,'Istoric_Nativ'!$B$6:$B$405,E513,'Istoric_Nativ'!$C$6:$C$405,F513,'Istoric_Nativ'!$E$6:$E$405,G513,'Istoric_Nativ'!$D$6:$D$405,"&lt;"&amp;J513,'Istoric_Nativ'!$P$6:$P$405,1,'Istoric_Nativ'!$D$6:$D$405,"&gt;="&amp;L513)+SUMIFS('Istoric_Nativ'!$H$6:$H$405,'Istoric_Nativ'!$B$6:$B$405,E513,'Istoric_Nativ'!$C$6:$C$405,F513,'Istoric_Nativ'!$F$6:$F$405,G513,'Istoric_Nativ'!$D$6:$D$405,"&lt;"&amp;J513,'Istoric_Nativ'!$P$6:$P$405,1,'Istoric_Nativ'!$D$6:$D$405,"&gt;="&amp;L513)))/M513)</x:f>
      </x:c>
      <x:c r="O513" s="11" t="str">
        <x:f>IF(M513=0,"",IF(H513="HOME",SUMIFS('Istoric_Nativ'!$H$6:$H$405,'Istoric_Nativ'!$B$6:$B$405,E513,'Istoric_Nativ'!$C$6:$C$405,F513,'Istoric_Nativ'!$E$6:$E$405,G513,'Istoric_Nativ'!$D$6:$D$405,"&lt;"&amp;J513,'Istoric_Nativ'!$P$6:$P$405,1,'Istoric_Nativ'!$D$6:$D$405,"&gt;="&amp;L513),IF(H513="AWAY",SUMIFS('Istoric_Nativ'!$G$6:$G$405,'Istoric_Nativ'!$B$6:$B$405,E513,'Istoric_Nativ'!$C$6:$C$405,F513,'Istoric_Nativ'!$F$6:$F$405,G513,'Istoric_Nativ'!$D$6:$D$405,"&lt;"&amp;J513,'Istoric_Nativ'!$P$6:$P$405,1,'Istoric_Nativ'!$D$6:$D$405,"&gt;="&amp;L513),SUMIFS('Istoric_Nativ'!$H$6:$H$405,'Istoric_Nativ'!$B$6:$B$405,E513,'Istoric_Nativ'!$C$6:$C$405,F513,'Istoric_Nativ'!$E$6:$E$405,G513,'Istoric_Nativ'!$D$6:$D$405,"&lt;"&amp;J513,'Istoric_Nativ'!$P$6:$P$405,1,'Istoric_Nativ'!$D$6:$D$405,"&gt;="&amp;L513)+SUMIFS('Istoric_Nativ'!$G$6:$G$405,'Istoric_Nativ'!$B$6:$B$405,E513,'Istoric_Nativ'!$C$6:$C$405,F513,'Istoric_Nativ'!$F$6:$F$405,G513,'Istoric_Nativ'!$D$6:$D$405,"&lt;"&amp;J513,'Istoric_Nativ'!$P$6:$P$405,1,'Istoric_Nativ'!$D$6:$D$405,"&gt;="&amp;L513)))/M513)</x:f>
      </x:c>
      <x:c r="P513" s="2" t="n">
        <x:f>'Config_v6'!$B$7</x:f>
        <x:v>10</x:v>
      </x:c>
      <x:c r="Q513" s="2" t="n">
        <x:f>IF(OR(B513="",F513=""),0,IFERROR(MATCH(E513&amp;"|"&amp;F513,SourceTable[Source_Key],0),0))</x:f>
        <x:v>0</x:v>
      </x:c>
      <x:c r="R513" s="2" t="str">
        <x:f>IF(B513="","",IF(F513="","UNUSED",IF(Q513=0,"NOT CHECKED",IF(COUNTIF(SourceTable[Source_Key],E513&amp;"|"&amp;F513)&lt;&gt;1,"SOURCE CONFLICT",IF(NOT(OR(INDEX(SourceTable[Status],MAX(1,Q513))="IMPORTED",INDEX(SourceTable[Status],MAX(1,Q513))="PARTIAL",INDEX(SourceTable[Status],MAX(1,Q513))="SOURCE CONFLICT")),"ACCESS BLOCKED",IF(OR(INDEX(SourceTable[Coverage],Q513)&lt;&gt;"FULL SEASON EXPORT",INDEX(SourceTable[URL],Q513)="",INDEX(SourceTable[SHA256],Q513)=""),"EVIDENCE INCOMPLETE",IF(AND('Input_Meci'!H48="LIVE",INDEX(SourceTable[Retrieved_UTC],Q513)&gt;'Input_Meci'!G48),"POST CUTOFF","CLOSED")))))))</x:f>
      </x:c>
      <x:c r="S513" s="2" t="n">
        <x:f>IF(OR(B513="",F513=""),0,COUNTIFS('Istoric_Nativ'!$B$6:$B$405,E513,'Istoric_Nativ'!$C$6:$C$405,F513,'Istoric_Nativ'!$E$6:$E$405,G513,'Istoric_Nativ'!$D$6:$D$405,"&lt;"&amp;J513,'Istoric_Nativ'!$O$6:$O$405,"INVALID")+COUNTIFS('Istoric_Nativ'!$B$6:$B$405,E513,'Istoric_Nativ'!$C$6:$C$405,F513,'Istoric_Nativ'!$E$6:$E$405,G513,'Istoric_Nativ'!$O$6:$O$405,"INVALID",'Istoric_Nativ'!$D$6:$D$405,"*")+COUNTIFS('Istoric_Nativ'!$B$6:$B$405,E513,'Istoric_Nativ'!$C$6:$C$405,F513,'Istoric_Nativ'!$E$6:$E$405,G513,'Istoric_Nativ'!$D$6:$D$405,"&lt;"&amp;J513,'Istoric_Nativ'!$O$6:$O$405,"SOURCE CONFLICT")+COUNTIFS('Istoric_Nativ'!$B$6:$B$405,E513,'Istoric_Nativ'!$C$6:$C$405,F513,'Istoric_Nativ'!$F$6:$F$405,G513,'Istoric_Nativ'!$D$6:$D$405,"&lt;"&amp;J513,'Istoric_Nativ'!$O$6:$O$405,"INVALID")+COUNTIFS('Istoric_Nativ'!$B$6:$B$405,E513,'Istoric_Nativ'!$C$6:$C$405,F513,'Istoric_Nativ'!$F$6:$F$405,G513,'Istoric_Nativ'!$O$6:$O$405,"INVALID",'Istoric_Nativ'!$D$6:$D$405,"*")+COUNTIFS('Istoric_Nativ'!$B$6:$B$405,E513,'Istoric_Nativ'!$C$6:$C$405,F513,'Istoric_Nativ'!$F$6:$F$405,G513,'Istoric_Nativ'!$D$6:$D$405,"&lt;"&amp;J513,'Istoric_Nativ'!$O$6:$O$405,"SOURCE CONFLICT"))</x:f>
        <x:v>0</x:v>
      </x:c>
      <x:c r="T513" s="2" t="str">
        <x:f>IF(B513="","",IF(R513&lt;&gt;"CLOSED",R513,IF(S513&gt;0,"NATIVE INPUT ISSUE",IF(M513=0,"NO HISTORY",IF(M513&lt;P513,"SMALL SAMPLE","DERIVED")))))</x:f>
      </x:c>
      <x:c r="U513" s="2" t="str">
        <x:f>IF(B513="","","NativeTable; "&amp;E513&amp;"; "&amp;F513&amp;"; "&amp;G513&amp;"; "&amp;H513&amp;"; before "&amp;TEXT(J513,"yyyy-mm-dd")&amp;IF(I513="RECENT","; from "&amp;TEXT(L513,"yyyy-mm-dd"),""))</x:f>
      </x:c>
    </x:row>
    <x:row r="514" ht="21" customHeight="1">
      <x:c r="A514" s="2" t="n">
        <x:v>43</x:v>
      </x:c>
      <x:c r="B514" s="2" t="str">
        <x:f>IF('Input_Meci'!A48="","",'Input_Meci'!A48)</x:f>
      </x:c>
      <x:c r="C514" s="2" t="str">
        <x:v>A</x:v>
      </x:c>
      <x:c r="D514" s="2" t="str">
        <x:v>CURRENT</x:v>
      </x:c>
      <x:c r="E514" s="2" t="str">
        <x:f>IF(B514="","",'Input_Meci'!B48)</x:f>
      </x:c>
      <x:c r="F514" s="2" t="str">
        <x:f>IF(B514="","",IF('Input_Meci'!C48="","",'Input_Meci'!C48))</x:f>
      </x:c>
      <x:c r="G514" s="2" t="str">
        <x:f>IF(B514="","",'Input_Meci'!E48)</x:f>
      </x:c>
      <x:c r="H514" s="2" t="str">
        <x:v>AWAY</x:v>
      </x:c>
      <x:c r="I514" s="2" t="str">
        <x:v>HA</x:v>
      </x:c>
      <x:c r="J514" s="9" t="n">
        <x:f>IF(AND(B514&lt;&gt;"",ISNUMBER('Input_Meci'!G48)),INT('Input_Meci'!G48),0)</x:f>
        <x:v>0</x:v>
      </x:c>
      <x:c r="K514" s="2" t="n">
        <x:f>IF(OR(B514="",F514=""),0,IF(H514="HOME",COUNTIFS('Istoric_Nativ'!$B$6:$B$405,E514,'Istoric_Nativ'!$C$6:$C$405,F514,'Istoric_Nativ'!$E$6:$E$405,G514,'Istoric_Nativ'!$D$6:$D$405,"&lt;"&amp;J514,'Istoric_Nativ'!$P$6:$P$405,1),IF(H514="AWAY",COUNTIFS('Istoric_Nativ'!$B$6:$B$405,E514,'Istoric_Nativ'!$C$6:$C$405,F514,'Istoric_Nativ'!$F$6:$F$405,G514,'Istoric_Nativ'!$D$6:$D$405,"&lt;"&amp;J514,'Istoric_Nativ'!$P$6:$P$405,1),COUNTIFS('Istoric_Nativ'!$B$6:$B$405,E514,'Istoric_Nativ'!$C$6:$C$405,F514,'Istoric_Nativ'!$E$6:$E$405,G514,'Istoric_Nativ'!$D$6:$D$405,"&lt;"&amp;J514,'Istoric_Nativ'!$P$6:$P$405,1)+COUNTIFS('Istoric_Nativ'!$B$6:$B$405,E514,'Istoric_Nativ'!$C$6:$C$405,F514,'Istoric_Nativ'!$F$6:$F$405,G514,'Istoric_Nativ'!$D$6:$D$405,"&lt;"&amp;J514,'Istoric_Nativ'!$P$6:$P$405,1))))</x:f>
        <x:v>0</x:v>
      </x:c>
      <x:c r="L514" s="17" t="n">
        <x:f>IF(AND(B514&lt;&gt;"",I514="RECENT",K514&gt;0),LARGE(_xlfn._xlws.FILTER('Istoric_Nativ'!$D$6:$D$405,('Istoric_Nativ'!$B$6:$B$405=E514)*('Istoric_Nativ'!$C$6:$C$405=F514)*('Istoric_Nativ'!$P$6:$P$405=1)*('Istoric_Nativ'!$D$6:$D$405&lt;J514)*((('Istoric_Nativ'!$E$6:$E$405=G514)+('Istoric_Nativ'!$F$6:$F$405=G514))&gt;0)),MIN('Config_v6'!$B$54,K514)),0)</x:f>
        <x:v>0</x:v>
      </x:c>
      <x:c r="M514" s="2" t="n">
        <x:f>IF(OR(B514="",F514=""),0,IF(H514="HOME",COUNTIFS('Istoric_Nativ'!$B$6:$B$405,E514,'Istoric_Nativ'!$C$6:$C$405,F514,'Istoric_Nativ'!$E$6:$E$405,G514,'Istoric_Nativ'!$D$6:$D$405,"&lt;"&amp;J514,'Istoric_Nativ'!$P$6:$P$405,1,'Istoric_Nativ'!$D$6:$D$405,"&gt;="&amp;L514),IF(H514="AWAY",COUNTIFS('Istoric_Nativ'!$B$6:$B$405,E514,'Istoric_Nativ'!$C$6:$C$405,F514,'Istoric_Nativ'!$F$6:$F$405,G514,'Istoric_Nativ'!$D$6:$D$405,"&lt;"&amp;J514,'Istoric_Nativ'!$P$6:$P$405,1,'Istoric_Nativ'!$D$6:$D$405,"&gt;="&amp;L514),COUNTIFS('Istoric_Nativ'!$B$6:$B$405,E514,'Istoric_Nativ'!$C$6:$C$405,F514,'Istoric_Nativ'!$E$6:$E$405,G514,'Istoric_Nativ'!$D$6:$D$405,"&lt;"&amp;J514,'Istoric_Nativ'!$P$6:$P$405,1,'Istoric_Nativ'!$D$6:$D$405,"&gt;="&amp;L514)+COUNTIFS('Istoric_Nativ'!$B$6:$B$405,E514,'Istoric_Nativ'!$C$6:$C$405,F514,'Istoric_Nativ'!$F$6:$F$405,G514,'Istoric_Nativ'!$D$6:$D$405,"&lt;"&amp;J514,'Istoric_Nativ'!$P$6:$P$405,1,'Istoric_Nativ'!$D$6:$D$405,"&gt;="&amp;L514))))</x:f>
        <x:v>0</x:v>
      </x:c>
      <x:c r="N514" s="11" t="str">
        <x:f>IF(M514=0,"",IF(H514="HOME",SUMIFS('Istoric_Nativ'!$G$6:$G$405,'Istoric_Nativ'!$B$6:$B$405,E514,'Istoric_Nativ'!$C$6:$C$405,F514,'Istoric_Nativ'!$E$6:$E$405,G514,'Istoric_Nativ'!$D$6:$D$405,"&lt;"&amp;J514,'Istoric_Nativ'!$P$6:$P$405,1,'Istoric_Nativ'!$D$6:$D$405,"&gt;="&amp;L514),IF(H514="AWAY",SUMIFS('Istoric_Nativ'!$H$6:$H$405,'Istoric_Nativ'!$B$6:$B$405,E514,'Istoric_Nativ'!$C$6:$C$405,F514,'Istoric_Nativ'!$F$6:$F$405,G514,'Istoric_Nativ'!$D$6:$D$405,"&lt;"&amp;J514,'Istoric_Nativ'!$P$6:$P$405,1,'Istoric_Nativ'!$D$6:$D$405,"&gt;="&amp;L514),SUMIFS('Istoric_Nativ'!$G$6:$G$405,'Istoric_Nativ'!$B$6:$B$405,E514,'Istoric_Nativ'!$C$6:$C$405,F514,'Istoric_Nativ'!$E$6:$E$405,G514,'Istoric_Nativ'!$D$6:$D$405,"&lt;"&amp;J514,'Istoric_Nativ'!$P$6:$P$405,1,'Istoric_Nativ'!$D$6:$D$405,"&gt;="&amp;L514)+SUMIFS('Istoric_Nativ'!$H$6:$H$405,'Istoric_Nativ'!$B$6:$B$405,E514,'Istoric_Nativ'!$C$6:$C$405,F514,'Istoric_Nativ'!$F$6:$F$405,G514,'Istoric_Nativ'!$D$6:$D$405,"&lt;"&amp;J514,'Istoric_Nativ'!$P$6:$P$405,1,'Istoric_Nativ'!$D$6:$D$405,"&gt;="&amp;L514)))/M514)</x:f>
      </x:c>
      <x:c r="O514" s="11" t="str">
        <x:f>IF(M514=0,"",IF(H514="HOME",SUMIFS('Istoric_Nativ'!$H$6:$H$405,'Istoric_Nativ'!$B$6:$B$405,E514,'Istoric_Nativ'!$C$6:$C$405,F514,'Istoric_Nativ'!$E$6:$E$405,G514,'Istoric_Nativ'!$D$6:$D$405,"&lt;"&amp;J514,'Istoric_Nativ'!$P$6:$P$405,1,'Istoric_Nativ'!$D$6:$D$405,"&gt;="&amp;L514),IF(H514="AWAY",SUMIFS('Istoric_Nativ'!$G$6:$G$405,'Istoric_Nativ'!$B$6:$B$405,E514,'Istoric_Nativ'!$C$6:$C$405,F514,'Istoric_Nativ'!$F$6:$F$405,G514,'Istoric_Nativ'!$D$6:$D$405,"&lt;"&amp;J514,'Istoric_Nativ'!$P$6:$P$405,1,'Istoric_Nativ'!$D$6:$D$405,"&gt;="&amp;L514),SUMIFS('Istoric_Nativ'!$H$6:$H$405,'Istoric_Nativ'!$B$6:$B$405,E514,'Istoric_Nativ'!$C$6:$C$405,F514,'Istoric_Nativ'!$E$6:$E$405,G514,'Istoric_Nativ'!$D$6:$D$405,"&lt;"&amp;J514,'Istoric_Nativ'!$P$6:$P$405,1,'Istoric_Nativ'!$D$6:$D$405,"&gt;="&amp;L514)+SUMIFS('Istoric_Nativ'!$G$6:$G$405,'Istoric_Nativ'!$B$6:$B$405,E514,'Istoric_Nativ'!$C$6:$C$405,F514,'Istoric_Nativ'!$F$6:$F$405,G514,'Istoric_Nativ'!$D$6:$D$405,"&lt;"&amp;J514,'Istoric_Nativ'!$P$6:$P$405,1,'Istoric_Nativ'!$D$6:$D$405,"&gt;="&amp;L514)))/M514)</x:f>
      </x:c>
      <x:c r="P514" s="2" t="n">
        <x:f>'Config_v6'!$B$8</x:f>
        <x:v>5</x:v>
      </x:c>
      <x:c r="Q514" s="2" t="n">
        <x:f>IF(OR(B514="",F514=""),0,IFERROR(MATCH(E514&amp;"|"&amp;F514,SourceTable[Source_Key],0),0))</x:f>
        <x:v>0</x:v>
      </x:c>
      <x:c r="R514" s="2" t="str">
        <x:f>IF(B514="","",IF(F514="","UNUSED",IF(Q514=0,"NOT CHECKED",IF(COUNTIF(SourceTable[Source_Key],E514&amp;"|"&amp;F514)&lt;&gt;1,"SOURCE CONFLICT",IF(NOT(OR(INDEX(SourceTable[Status],MAX(1,Q514))="IMPORTED",INDEX(SourceTable[Status],MAX(1,Q514))="PARTIAL",INDEX(SourceTable[Status],MAX(1,Q514))="SOURCE CONFLICT")),"ACCESS BLOCKED",IF(OR(INDEX(SourceTable[Coverage],Q514)&lt;&gt;"FULL SEASON EXPORT",INDEX(SourceTable[URL],Q514)="",INDEX(SourceTable[SHA256],Q514)=""),"EVIDENCE INCOMPLETE",IF(AND('Input_Meci'!H48="LIVE",INDEX(SourceTable[Retrieved_UTC],Q514)&gt;'Input_Meci'!G48),"POST CUTOFF","CLOSED")))))))</x:f>
      </x:c>
      <x:c r="S514" s="2" t="n">
        <x:f>IF(OR(B514="",F514=""),0,COUNTIFS('Istoric_Nativ'!$B$6:$B$405,E514,'Istoric_Nativ'!$C$6:$C$405,F514,'Istoric_Nativ'!$E$6:$E$405,G514,'Istoric_Nativ'!$D$6:$D$405,"&lt;"&amp;J514,'Istoric_Nativ'!$O$6:$O$405,"INVALID")+COUNTIFS('Istoric_Nativ'!$B$6:$B$405,E514,'Istoric_Nativ'!$C$6:$C$405,F514,'Istoric_Nativ'!$E$6:$E$405,G514,'Istoric_Nativ'!$O$6:$O$405,"INVALID",'Istoric_Nativ'!$D$6:$D$405,"*")+COUNTIFS('Istoric_Nativ'!$B$6:$B$405,E514,'Istoric_Nativ'!$C$6:$C$405,F514,'Istoric_Nativ'!$E$6:$E$405,G514,'Istoric_Nativ'!$D$6:$D$405,"&lt;"&amp;J514,'Istoric_Nativ'!$O$6:$O$405,"SOURCE CONFLICT")+COUNTIFS('Istoric_Nativ'!$B$6:$B$405,E514,'Istoric_Nativ'!$C$6:$C$405,F514,'Istoric_Nativ'!$F$6:$F$405,G514,'Istoric_Nativ'!$D$6:$D$405,"&lt;"&amp;J514,'Istoric_Nativ'!$O$6:$O$405,"INVALID")+COUNTIFS('Istoric_Nativ'!$B$6:$B$405,E514,'Istoric_Nativ'!$C$6:$C$405,F514,'Istoric_Nativ'!$F$6:$F$405,G514,'Istoric_Nativ'!$O$6:$O$405,"INVALID",'Istoric_Nativ'!$D$6:$D$405,"*")+COUNTIFS('Istoric_Nativ'!$B$6:$B$405,E514,'Istoric_Nativ'!$C$6:$C$405,F514,'Istoric_Nativ'!$F$6:$F$405,G514,'Istoric_Nativ'!$D$6:$D$405,"&lt;"&amp;J514,'Istoric_Nativ'!$O$6:$O$405,"SOURCE CONFLICT"))</x:f>
        <x:v>0</x:v>
      </x:c>
      <x:c r="T514" s="2" t="str">
        <x:f>IF(B514="","",IF(R514&lt;&gt;"CLOSED",R514,IF(S514&gt;0,"NATIVE INPUT ISSUE",IF(M514=0,"NO HISTORY",IF(M514&lt;P514,"SMALL SAMPLE","DERIVED")))))</x:f>
      </x:c>
      <x:c r="U514" s="2" t="str">
        <x:f>IF(B514="","","NativeTable; "&amp;E514&amp;"; "&amp;F514&amp;"; "&amp;G514&amp;"; "&amp;H514&amp;"; before "&amp;TEXT(J514,"yyyy-mm-dd")&amp;IF(I514="RECENT","; from "&amp;TEXT(L514,"yyyy-mm-dd"),""))</x:f>
      </x:c>
    </x:row>
    <x:row r="515" ht="21" customHeight="1">
      <x:c r="A515" s="2" t="n">
        <x:v>43</x:v>
      </x:c>
      <x:c r="B515" s="2" t="str">
        <x:f>IF('Input_Meci'!A48="","",'Input_Meci'!A48)</x:f>
      </x:c>
      <x:c r="C515" s="2" t="str">
        <x:v>A</x:v>
      </x:c>
      <x:c r="D515" s="2" t="str">
        <x:v>CURRENT</x:v>
      </x:c>
      <x:c r="E515" s="2" t="str">
        <x:f>IF(B515="","",'Input_Meci'!B48)</x:f>
      </x:c>
      <x:c r="F515" s="2" t="str">
        <x:f>IF(B515="","",IF('Input_Meci'!C48="","",'Input_Meci'!C48))</x:f>
      </x:c>
      <x:c r="G515" s="2" t="str">
        <x:f>IF(B515="","",'Input_Meci'!E48)</x:f>
      </x:c>
      <x:c r="H515" s="2" t="str">
        <x:v>ANY</x:v>
      </x:c>
      <x:c r="I515" s="2" t="str">
        <x:v>RECENT</x:v>
      </x:c>
      <x:c r="J515" s="9" t="n">
        <x:f>IF(AND(B515&lt;&gt;"",ISNUMBER('Input_Meci'!G48)),INT('Input_Meci'!G48),0)</x:f>
        <x:v>0</x:v>
      </x:c>
      <x:c r="K515" s="2" t="n">
        <x:f>IF(OR(B515="",F515=""),0,IF(H515="HOME",COUNTIFS('Istoric_Nativ'!$B$6:$B$405,E515,'Istoric_Nativ'!$C$6:$C$405,F515,'Istoric_Nativ'!$E$6:$E$405,G515,'Istoric_Nativ'!$D$6:$D$405,"&lt;"&amp;J515,'Istoric_Nativ'!$P$6:$P$405,1),IF(H515="AWAY",COUNTIFS('Istoric_Nativ'!$B$6:$B$405,E515,'Istoric_Nativ'!$C$6:$C$405,F515,'Istoric_Nativ'!$F$6:$F$405,G515,'Istoric_Nativ'!$D$6:$D$405,"&lt;"&amp;J515,'Istoric_Nativ'!$P$6:$P$405,1),COUNTIFS('Istoric_Nativ'!$B$6:$B$405,E515,'Istoric_Nativ'!$C$6:$C$405,F515,'Istoric_Nativ'!$E$6:$E$405,G515,'Istoric_Nativ'!$D$6:$D$405,"&lt;"&amp;J515,'Istoric_Nativ'!$P$6:$P$405,1)+COUNTIFS('Istoric_Nativ'!$B$6:$B$405,E515,'Istoric_Nativ'!$C$6:$C$405,F515,'Istoric_Nativ'!$F$6:$F$405,G515,'Istoric_Nativ'!$D$6:$D$405,"&lt;"&amp;J515,'Istoric_Nativ'!$P$6:$P$405,1))))</x:f>
        <x:v>0</x:v>
      </x:c>
      <x:c r="L515" s="17" t="n">
        <x:f>IF(AND(B515&lt;&gt;"",I515="RECENT",K515&gt;0),LARGE(_xlfn._xlws.FILTER('Istoric_Nativ'!$D$6:$D$405,('Istoric_Nativ'!$B$6:$B$405=E515)*('Istoric_Nativ'!$C$6:$C$405=F515)*('Istoric_Nativ'!$P$6:$P$405=1)*('Istoric_Nativ'!$D$6:$D$405&lt;J515)*((('Istoric_Nativ'!$E$6:$E$405=G515)+('Istoric_Nativ'!$F$6:$F$405=G515))&gt;0)),MIN('Config_v6'!$B$54,K515)),0)</x:f>
        <x:v>0</x:v>
      </x:c>
      <x:c r="M515" s="2" t="n">
        <x:f>IF(OR(B515="",F515=""),0,IF(H515="HOME",COUNTIFS('Istoric_Nativ'!$B$6:$B$405,E515,'Istoric_Nativ'!$C$6:$C$405,F515,'Istoric_Nativ'!$E$6:$E$405,G515,'Istoric_Nativ'!$D$6:$D$405,"&lt;"&amp;J515,'Istoric_Nativ'!$P$6:$P$405,1,'Istoric_Nativ'!$D$6:$D$405,"&gt;="&amp;L515),IF(H515="AWAY",COUNTIFS('Istoric_Nativ'!$B$6:$B$405,E515,'Istoric_Nativ'!$C$6:$C$405,F515,'Istoric_Nativ'!$F$6:$F$405,G515,'Istoric_Nativ'!$D$6:$D$405,"&lt;"&amp;J515,'Istoric_Nativ'!$P$6:$P$405,1,'Istoric_Nativ'!$D$6:$D$405,"&gt;="&amp;L515),COUNTIFS('Istoric_Nativ'!$B$6:$B$405,E515,'Istoric_Nativ'!$C$6:$C$405,F515,'Istoric_Nativ'!$E$6:$E$405,G515,'Istoric_Nativ'!$D$6:$D$405,"&lt;"&amp;J515,'Istoric_Nativ'!$P$6:$P$405,1,'Istoric_Nativ'!$D$6:$D$405,"&gt;="&amp;L515)+COUNTIFS('Istoric_Nativ'!$B$6:$B$405,E515,'Istoric_Nativ'!$C$6:$C$405,F515,'Istoric_Nativ'!$F$6:$F$405,G515,'Istoric_Nativ'!$D$6:$D$405,"&lt;"&amp;J515,'Istoric_Nativ'!$P$6:$P$405,1,'Istoric_Nativ'!$D$6:$D$405,"&gt;="&amp;L515))))</x:f>
        <x:v>0</x:v>
      </x:c>
      <x:c r="N515" s="11" t="str">
        <x:f>IF(M515=0,"",IF(H515="HOME",SUMIFS('Istoric_Nativ'!$G$6:$G$405,'Istoric_Nativ'!$B$6:$B$405,E515,'Istoric_Nativ'!$C$6:$C$405,F515,'Istoric_Nativ'!$E$6:$E$405,G515,'Istoric_Nativ'!$D$6:$D$405,"&lt;"&amp;J515,'Istoric_Nativ'!$P$6:$P$405,1,'Istoric_Nativ'!$D$6:$D$405,"&gt;="&amp;L515),IF(H515="AWAY",SUMIFS('Istoric_Nativ'!$H$6:$H$405,'Istoric_Nativ'!$B$6:$B$405,E515,'Istoric_Nativ'!$C$6:$C$405,F515,'Istoric_Nativ'!$F$6:$F$405,G515,'Istoric_Nativ'!$D$6:$D$405,"&lt;"&amp;J515,'Istoric_Nativ'!$P$6:$P$405,1,'Istoric_Nativ'!$D$6:$D$405,"&gt;="&amp;L515),SUMIFS('Istoric_Nativ'!$G$6:$G$405,'Istoric_Nativ'!$B$6:$B$405,E515,'Istoric_Nativ'!$C$6:$C$405,F515,'Istoric_Nativ'!$E$6:$E$405,G515,'Istoric_Nativ'!$D$6:$D$405,"&lt;"&amp;J515,'Istoric_Nativ'!$P$6:$P$405,1,'Istoric_Nativ'!$D$6:$D$405,"&gt;="&amp;L515)+SUMIFS('Istoric_Nativ'!$H$6:$H$405,'Istoric_Nativ'!$B$6:$B$405,E515,'Istoric_Nativ'!$C$6:$C$405,F515,'Istoric_Nativ'!$F$6:$F$405,G515,'Istoric_Nativ'!$D$6:$D$405,"&lt;"&amp;J515,'Istoric_Nativ'!$P$6:$P$405,1,'Istoric_Nativ'!$D$6:$D$405,"&gt;="&amp;L515)))/M515)</x:f>
      </x:c>
      <x:c r="O515" s="11" t="str">
        <x:f>IF(M515=0,"",IF(H515="HOME",SUMIFS('Istoric_Nativ'!$H$6:$H$405,'Istoric_Nativ'!$B$6:$B$405,E515,'Istoric_Nativ'!$C$6:$C$405,F515,'Istoric_Nativ'!$E$6:$E$405,G515,'Istoric_Nativ'!$D$6:$D$405,"&lt;"&amp;J515,'Istoric_Nativ'!$P$6:$P$405,1,'Istoric_Nativ'!$D$6:$D$405,"&gt;="&amp;L515),IF(H515="AWAY",SUMIFS('Istoric_Nativ'!$G$6:$G$405,'Istoric_Nativ'!$B$6:$B$405,E515,'Istoric_Nativ'!$C$6:$C$405,F515,'Istoric_Nativ'!$F$6:$F$405,G515,'Istoric_Nativ'!$D$6:$D$405,"&lt;"&amp;J515,'Istoric_Nativ'!$P$6:$P$405,1,'Istoric_Nativ'!$D$6:$D$405,"&gt;="&amp;L515),SUMIFS('Istoric_Nativ'!$H$6:$H$405,'Istoric_Nativ'!$B$6:$B$405,E515,'Istoric_Nativ'!$C$6:$C$405,F515,'Istoric_Nativ'!$E$6:$E$405,G515,'Istoric_Nativ'!$D$6:$D$405,"&lt;"&amp;J515,'Istoric_Nativ'!$P$6:$P$405,1,'Istoric_Nativ'!$D$6:$D$405,"&gt;="&amp;L515)+SUMIFS('Istoric_Nativ'!$G$6:$G$405,'Istoric_Nativ'!$B$6:$B$405,E515,'Istoric_Nativ'!$C$6:$C$405,F515,'Istoric_Nativ'!$F$6:$F$405,G515,'Istoric_Nativ'!$D$6:$D$405,"&lt;"&amp;J515,'Istoric_Nativ'!$P$6:$P$405,1,'Istoric_Nativ'!$D$6:$D$405,"&gt;="&amp;L515)))/M515)</x:f>
      </x:c>
      <x:c r="P515" s="2" t="n">
        <x:f>'Config_v6'!$B$9</x:f>
        <x:v>3</x:v>
      </x:c>
      <x:c r="Q515" s="2" t="n">
        <x:f>IF(OR(B515="",F515=""),0,IFERROR(MATCH(E515&amp;"|"&amp;F515,SourceTable[Source_Key],0),0))</x:f>
        <x:v>0</x:v>
      </x:c>
      <x:c r="R515" s="2" t="str">
        <x:f>IF(B515="","",IF(F515="","UNUSED",IF(Q515=0,"NOT CHECKED",IF(COUNTIF(SourceTable[Source_Key],E515&amp;"|"&amp;F515)&lt;&gt;1,"SOURCE CONFLICT",IF(NOT(OR(INDEX(SourceTable[Status],MAX(1,Q515))="IMPORTED",INDEX(SourceTable[Status],MAX(1,Q515))="PARTIAL",INDEX(SourceTable[Status],MAX(1,Q515))="SOURCE CONFLICT")),"ACCESS BLOCKED",IF(OR(INDEX(SourceTable[Coverage],Q515)&lt;&gt;"FULL SEASON EXPORT",INDEX(SourceTable[URL],Q515)="",INDEX(SourceTable[SHA256],Q515)=""),"EVIDENCE INCOMPLETE",IF(AND('Input_Meci'!H48="LIVE",INDEX(SourceTable[Retrieved_UTC],Q515)&gt;'Input_Meci'!G48),"POST CUTOFF","CLOSED")))))))</x:f>
      </x:c>
      <x:c r="S515" s="2" t="n">
        <x:f>IF(OR(B515="",F515=""),0,COUNTIFS('Istoric_Nativ'!$B$6:$B$405,E515,'Istoric_Nativ'!$C$6:$C$405,F515,'Istoric_Nativ'!$E$6:$E$405,G515,'Istoric_Nativ'!$D$6:$D$405,"&lt;"&amp;J515,'Istoric_Nativ'!$O$6:$O$405,"INVALID")+COUNTIFS('Istoric_Nativ'!$B$6:$B$405,E515,'Istoric_Nativ'!$C$6:$C$405,F515,'Istoric_Nativ'!$E$6:$E$405,G515,'Istoric_Nativ'!$O$6:$O$405,"INVALID",'Istoric_Nativ'!$D$6:$D$405,"*")+COUNTIFS('Istoric_Nativ'!$B$6:$B$405,E515,'Istoric_Nativ'!$C$6:$C$405,F515,'Istoric_Nativ'!$E$6:$E$405,G515,'Istoric_Nativ'!$D$6:$D$405,"&lt;"&amp;J515,'Istoric_Nativ'!$O$6:$O$405,"SOURCE CONFLICT")+COUNTIFS('Istoric_Nativ'!$B$6:$B$405,E515,'Istoric_Nativ'!$C$6:$C$405,F515,'Istoric_Nativ'!$F$6:$F$405,G515,'Istoric_Nativ'!$D$6:$D$405,"&lt;"&amp;J515,'Istoric_Nativ'!$O$6:$O$405,"INVALID")+COUNTIFS('Istoric_Nativ'!$B$6:$B$405,E515,'Istoric_Nativ'!$C$6:$C$405,F515,'Istoric_Nativ'!$F$6:$F$405,G515,'Istoric_Nativ'!$O$6:$O$405,"INVALID",'Istoric_Nativ'!$D$6:$D$405,"*")+COUNTIFS('Istoric_Nativ'!$B$6:$B$405,E515,'Istoric_Nativ'!$C$6:$C$405,F515,'Istoric_Nativ'!$F$6:$F$405,G515,'Istoric_Nativ'!$D$6:$D$405,"&lt;"&amp;J515,'Istoric_Nativ'!$O$6:$O$405,"SOURCE CONFLICT"))</x:f>
        <x:v>0</x:v>
      </x:c>
      <x:c r="T515" s="2" t="str">
        <x:f>IF(B515="","",IF(R515&lt;&gt;"CLOSED",R515,IF(S515&gt;0,"NATIVE INPUT ISSUE",IF(M515=0,"NO HISTORY",IF(M515&lt;P515,"SMALL SAMPLE","DERIVED")))))</x:f>
      </x:c>
      <x:c r="U515" s="2" t="str">
        <x:f>IF(B515="","","NativeTable; "&amp;E515&amp;"; "&amp;F515&amp;"; "&amp;G515&amp;"; "&amp;H515&amp;"; before "&amp;TEXT(J515,"yyyy-mm-dd")&amp;IF(I515="RECENT","; from "&amp;TEXT(L515,"yyyy-mm-dd"),""))</x:f>
      </x:c>
    </x:row>
    <x:row r="516" ht="21" customHeight="1">
      <x:c r="A516" s="2" t="n">
        <x:v>43</x:v>
      </x:c>
      <x:c r="B516" s="2" t="str">
        <x:f>IF('Input_Meci'!A48="","",'Input_Meci'!A48)</x:f>
      </x:c>
      <x:c r="C516" s="2" t="str">
        <x:v>H</x:v>
      </x:c>
      <x:c r="D516" s="2" t="str">
        <x:v>PRIOR</x:v>
      </x:c>
      <x:c r="E516" s="2" t="str">
        <x:f>IF(B516="","",'Input_Meci'!B48)</x:f>
      </x:c>
      <x:c r="F516" s="2" t="str">
        <x:f>IF(B516="","",IF('Input_Meci'!K48="","",'Input_Meci'!K48))</x:f>
      </x:c>
      <x:c r="G516" s="2" t="str">
        <x:f>IF(B516="","",'Input_Meci'!D48)</x:f>
      </x:c>
      <x:c r="H516" s="2" t="str">
        <x:v>ANY</x:v>
      </x:c>
      <x:c r="I516" s="2" t="str">
        <x:v>SEASON</x:v>
      </x:c>
      <x:c r="J516" s="9" t="n">
        <x:f>IF(AND(B516&lt;&gt;"",ISNUMBER('Input_Meci'!G48)),INT('Input_Meci'!G48),0)</x:f>
        <x:v>0</x:v>
      </x:c>
      <x:c r="K516" s="2" t="n">
        <x:f>IF(OR(B516="",F516=""),0,IF(H516="HOME",COUNTIFS('Istoric_Nativ'!$B$6:$B$405,E516,'Istoric_Nativ'!$C$6:$C$405,F516,'Istoric_Nativ'!$E$6:$E$405,G516,'Istoric_Nativ'!$D$6:$D$405,"&lt;"&amp;J516,'Istoric_Nativ'!$P$6:$P$405,1),IF(H516="AWAY",COUNTIFS('Istoric_Nativ'!$B$6:$B$405,E516,'Istoric_Nativ'!$C$6:$C$405,F516,'Istoric_Nativ'!$F$6:$F$405,G516,'Istoric_Nativ'!$D$6:$D$405,"&lt;"&amp;J516,'Istoric_Nativ'!$P$6:$P$405,1),COUNTIFS('Istoric_Nativ'!$B$6:$B$405,E516,'Istoric_Nativ'!$C$6:$C$405,F516,'Istoric_Nativ'!$E$6:$E$405,G516,'Istoric_Nativ'!$D$6:$D$405,"&lt;"&amp;J516,'Istoric_Nativ'!$P$6:$P$405,1)+COUNTIFS('Istoric_Nativ'!$B$6:$B$405,E516,'Istoric_Nativ'!$C$6:$C$405,F516,'Istoric_Nativ'!$F$6:$F$405,G516,'Istoric_Nativ'!$D$6:$D$405,"&lt;"&amp;J516,'Istoric_Nativ'!$P$6:$P$405,1))))</x:f>
        <x:v>0</x:v>
      </x:c>
      <x:c r="L516" s="17" t="n">
        <x:f>IF(AND(B516&lt;&gt;"",I516="RECENT",K516&gt;0),LARGE(_xlfn._xlws.FILTER('Istoric_Nativ'!$D$6:$D$405,('Istoric_Nativ'!$B$6:$B$405=E516)*('Istoric_Nativ'!$C$6:$C$405=F516)*('Istoric_Nativ'!$P$6:$P$405=1)*('Istoric_Nativ'!$D$6:$D$405&lt;J516)*((('Istoric_Nativ'!$E$6:$E$405=G516)+('Istoric_Nativ'!$F$6:$F$405=G516))&gt;0)),MIN('Config_v6'!$B$54,K516)),0)</x:f>
        <x:v>0</x:v>
      </x:c>
      <x:c r="M516" s="2" t="n">
        <x:f>IF(OR(B516="",F516=""),0,IF(H516="HOME",COUNTIFS('Istoric_Nativ'!$B$6:$B$405,E516,'Istoric_Nativ'!$C$6:$C$405,F516,'Istoric_Nativ'!$E$6:$E$405,G516,'Istoric_Nativ'!$D$6:$D$405,"&lt;"&amp;J516,'Istoric_Nativ'!$P$6:$P$405,1,'Istoric_Nativ'!$D$6:$D$405,"&gt;="&amp;L516),IF(H516="AWAY",COUNTIFS('Istoric_Nativ'!$B$6:$B$405,E516,'Istoric_Nativ'!$C$6:$C$405,F516,'Istoric_Nativ'!$F$6:$F$405,G516,'Istoric_Nativ'!$D$6:$D$405,"&lt;"&amp;J516,'Istoric_Nativ'!$P$6:$P$405,1,'Istoric_Nativ'!$D$6:$D$405,"&gt;="&amp;L516),COUNTIFS('Istoric_Nativ'!$B$6:$B$405,E516,'Istoric_Nativ'!$C$6:$C$405,F516,'Istoric_Nativ'!$E$6:$E$405,G516,'Istoric_Nativ'!$D$6:$D$405,"&lt;"&amp;J516,'Istoric_Nativ'!$P$6:$P$405,1,'Istoric_Nativ'!$D$6:$D$405,"&gt;="&amp;L516)+COUNTIFS('Istoric_Nativ'!$B$6:$B$405,E516,'Istoric_Nativ'!$C$6:$C$405,F516,'Istoric_Nativ'!$F$6:$F$405,G516,'Istoric_Nativ'!$D$6:$D$405,"&lt;"&amp;J516,'Istoric_Nativ'!$P$6:$P$405,1,'Istoric_Nativ'!$D$6:$D$405,"&gt;="&amp;L516))))</x:f>
        <x:v>0</x:v>
      </x:c>
      <x:c r="N516" s="11" t="str">
        <x:f>IF(M516=0,"",IF(H516="HOME",SUMIFS('Istoric_Nativ'!$G$6:$G$405,'Istoric_Nativ'!$B$6:$B$405,E516,'Istoric_Nativ'!$C$6:$C$405,F516,'Istoric_Nativ'!$E$6:$E$405,G516,'Istoric_Nativ'!$D$6:$D$405,"&lt;"&amp;J516,'Istoric_Nativ'!$P$6:$P$405,1,'Istoric_Nativ'!$D$6:$D$405,"&gt;="&amp;L516),IF(H516="AWAY",SUMIFS('Istoric_Nativ'!$H$6:$H$405,'Istoric_Nativ'!$B$6:$B$405,E516,'Istoric_Nativ'!$C$6:$C$405,F516,'Istoric_Nativ'!$F$6:$F$405,G516,'Istoric_Nativ'!$D$6:$D$405,"&lt;"&amp;J516,'Istoric_Nativ'!$P$6:$P$405,1,'Istoric_Nativ'!$D$6:$D$405,"&gt;="&amp;L516),SUMIFS('Istoric_Nativ'!$G$6:$G$405,'Istoric_Nativ'!$B$6:$B$405,E516,'Istoric_Nativ'!$C$6:$C$405,F516,'Istoric_Nativ'!$E$6:$E$405,G516,'Istoric_Nativ'!$D$6:$D$405,"&lt;"&amp;J516,'Istoric_Nativ'!$P$6:$P$405,1,'Istoric_Nativ'!$D$6:$D$405,"&gt;="&amp;L516)+SUMIFS('Istoric_Nativ'!$H$6:$H$405,'Istoric_Nativ'!$B$6:$B$405,E516,'Istoric_Nativ'!$C$6:$C$405,F516,'Istoric_Nativ'!$F$6:$F$405,G516,'Istoric_Nativ'!$D$6:$D$405,"&lt;"&amp;J516,'Istoric_Nativ'!$P$6:$P$405,1,'Istoric_Nativ'!$D$6:$D$405,"&gt;="&amp;L516)))/M516)</x:f>
      </x:c>
      <x:c r="O516" s="11" t="str">
        <x:f>IF(M516=0,"",IF(H516="HOME",SUMIFS('Istoric_Nativ'!$H$6:$H$405,'Istoric_Nativ'!$B$6:$B$405,E516,'Istoric_Nativ'!$C$6:$C$405,F516,'Istoric_Nativ'!$E$6:$E$405,G516,'Istoric_Nativ'!$D$6:$D$405,"&lt;"&amp;J516,'Istoric_Nativ'!$P$6:$P$405,1,'Istoric_Nativ'!$D$6:$D$405,"&gt;="&amp;L516),IF(H516="AWAY",SUMIFS('Istoric_Nativ'!$G$6:$G$405,'Istoric_Nativ'!$B$6:$B$405,E516,'Istoric_Nativ'!$C$6:$C$405,F516,'Istoric_Nativ'!$F$6:$F$405,G516,'Istoric_Nativ'!$D$6:$D$405,"&lt;"&amp;J516,'Istoric_Nativ'!$P$6:$P$405,1,'Istoric_Nativ'!$D$6:$D$405,"&gt;="&amp;L516),SUMIFS('Istoric_Nativ'!$H$6:$H$405,'Istoric_Nativ'!$B$6:$B$405,E516,'Istoric_Nativ'!$C$6:$C$405,F516,'Istoric_Nativ'!$E$6:$E$405,G516,'Istoric_Nativ'!$D$6:$D$405,"&lt;"&amp;J516,'Istoric_Nativ'!$P$6:$P$405,1,'Istoric_Nativ'!$D$6:$D$405,"&gt;="&amp;L516)+SUMIFS('Istoric_Nativ'!$G$6:$G$405,'Istoric_Nativ'!$B$6:$B$405,E516,'Istoric_Nativ'!$C$6:$C$405,F516,'Istoric_Nativ'!$F$6:$F$405,G516,'Istoric_Nativ'!$D$6:$D$405,"&lt;"&amp;J516,'Istoric_Nativ'!$P$6:$P$405,1,'Istoric_Nativ'!$D$6:$D$405,"&gt;="&amp;L516)))/M516)</x:f>
      </x:c>
      <x:c r="P516" s="2" t="n">
        <x:f>'Config_v6'!$B$7</x:f>
        <x:v>10</x:v>
      </x:c>
      <x:c r="Q516" s="2" t="n">
        <x:f>IF(OR(B516="",F516=""),0,IFERROR(MATCH(E516&amp;"|"&amp;F516,SourceTable[Source_Key],0),0))</x:f>
        <x:v>0</x:v>
      </x:c>
      <x:c r="R516" s="2" t="str">
        <x:f>IF(B516="","",IF(F516="","UNUSED",IF(Q516=0,"NOT CHECKED",IF(COUNTIF(SourceTable[Source_Key],E516&amp;"|"&amp;F516)&lt;&gt;1,"SOURCE CONFLICT",IF(NOT(OR(INDEX(SourceTable[Status],MAX(1,Q516))="IMPORTED",INDEX(SourceTable[Status],MAX(1,Q516))="PARTIAL",INDEX(SourceTable[Status],MAX(1,Q516))="SOURCE CONFLICT")),"ACCESS BLOCKED",IF(OR(INDEX(SourceTable[Coverage],Q516)&lt;&gt;"FULL SEASON EXPORT",INDEX(SourceTable[URL],Q516)="",INDEX(SourceTable[SHA256],Q516)=""),"EVIDENCE INCOMPLETE",IF(AND('Input_Meci'!H48="LIVE",INDEX(SourceTable[Retrieved_UTC],Q516)&gt;'Input_Meci'!G48),"POST CUTOFF","CLOSED")))))))</x:f>
      </x:c>
      <x:c r="S516" s="2" t="n">
        <x:f>IF(OR(B516="",F516=""),0,COUNTIFS('Istoric_Nativ'!$B$6:$B$405,E516,'Istoric_Nativ'!$C$6:$C$405,F516,'Istoric_Nativ'!$E$6:$E$405,G516,'Istoric_Nativ'!$D$6:$D$405,"&lt;"&amp;J516,'Istoric_Nativ'!$O$6:$O$405,"INVALID")+COUNTIFS('Istoric_Nativ'!$B$6:$B$405,E516,'Istoric_Nativ'!$C$6:$C$405,F516,'Istoric_Nativ'!$E$6:$E$405,G516,'Istoric_Nativ'!$O$6:$O$405,"INVALID",'Istoric_Nativ'!$D$6:$D$405,"*")+COUNTIFS('Istoric_Nativ'!$B$6:$B$405,E516,'Istoric_Nativ'!$C$6:$C$405,F516,'Istoric_Nativ'!$E$6:$E$405,G516,'Istoric_Nativ'!$D$6:$D$405,"&lt;"&amp;J516,'Istoric_Nativ'!$O$6:$O$405,"SOURCE CONFLICT")+COUNTIFS('Istoric_Nativ'!$B$6:$B$405,E516,'Istoric_Nativ'!$C$6:$C$405,F516,'Istoric_Nativ'!$F$6:$F$405,G516,'Istoric_Nativ'!$D$6:$D$405,"&lt;"&amp;J516,'Istoric_Nativ'!$O$6:$O$405,"INVALID")+COUNTIFS('Istoric_Nativ'!$B$6:$B$405,E516,'Istoric_Nativ'!$C$6:$C$405,F516,'Istoric_Nativ'!$F$6:$F$405,G516,'Istoric_Nativ'!$O$6:$O$405,"INVALID",'Istoric_Nativ'!$D$6:$D$405,"*")+COUNTIFS('Istoric_Nativ'!$B$6:$B$405,E516,'Istoric_Nativ'!$C$6:$C$405,F516,'Istoric_Nativ'!$F$6:$F$405,G516,'Istoric_Nativ'!$D$6:$D$405,"&lt;"&amp;J516,'Istoric_Nativ'!$O$6:$O$405,"SOURCE CONFLICT"))</x:f>
        <x:v>0</x:v>
      </x:c>
      <x:c r="T516" s="2" t="str">
        <x:f>IF(B516="","",IF(R516&lt;&gt;"CLOSED",R516,IF(S516&gt;0,"NATIVE INPUT ISSUE",IF(M516=0,"NO HISTORY",IF(M516&lt;P516,"SMALL SAMPLE","DERIVED")))))</x:f>
      </x:c>
      <x:c r="U516" s="2" t="str">
        <x:f>IF(B516="","","NativeTable; "&amp;E516&amp;"; "&amp;F516&amp;"; "&amp;G516&amp;"; "&amp;H516&amp;"; before "&amp;TEXT(J516,"yyyy-mm-dd")&amp;IF(I516="RECENT","; from "&amp;TEXT(L516,"yyyy-mm-dd"),""))</x:f>
      </x:c>
    </x:row>
    <x:row r="517" ht="21" customHeight="1">
      <x:c r="A517" s="2" t="n">
        <x:v>43</x:v>
      </x:c>
      <x:c r="B517" s="2" t="str">
        <x:f>IF('Input_Meci'!A48="","",'Input_Meci'!A48)</x:f>
      </x:c>
      <x:c r="C517" s="2" t="str">
        <x:v>H</x:v>
      </x:c>
      <x:c r="D517" s="2" t="str">
        <x:v>PRIOR</x:v>
      </x:c>
      <x:c r="E517" s="2" t="str">
        <x:f>IF(B517="","",'Input_Meci'!B48)</x:f>
      </x:c>
      <x:c r="F517" s="2" t="str">
        <x:f>IF(B517="","",IF('Input_Meci'!K48="","",'Input_Meci'!K48))</x:f>
      </x:c>
      <x:c r="G517" s="2" t="str">
        <x:f>IF(B517="","",'Input_Meci'!D48)</x:f>
      </x:c>
      <x:c r="H517" s="2" t="str">
        <x:v>HOME</x:v>
      </x:c>
      <x:c r="I517" s="2" t="str">
        <x:v>HA</x:v>
      </x:c>
      <x:c r="J517" s="9" t="n">
        <x:f>IF(AND(B517&lt;&gt;"",ISNUMBER('Input_Meci'!G48)),INT('Input_Meci'!G48),0)</x:f>
        <x:v>0</x:v>
      </x:c>
      <x:c r="K517" s="2" t="n">
        <x:f>IF(OR(B517="",F517=""),0,IF(H517="HOME",COUNTIFS('Istoric_Nativ'!$B$6:$B$405,E517,'Istoric_Nativ'!$C$6:$C$405,F517,'Istoric_Nativ'!$E$6:$E$405,G517,'Istoric_Nativ'!$D$6:$D$405,"&lt;"&amp;J517,'Istoric_Nativ'!$P$6:$P$405,1),IF(H517="AWAY",COUNTIFS('Istoric_Nativ'!$B$6:$B$405,E517,'Istoric_Nativ'!$C$6:$C$405,F517,'Istoric_Nativ'!$F$6:$F$405,G517,'Istoric_Nativ'!$D$6:$D$405,"&lt;"&amp;J517,'Istoric_Nativ'!$P$6:$P$405,1),COUNTIFS('Istoric_Nativ'!$B$6:$B$405,E517,'Istoric_Nativ'!$C$6:$C$405,F517,'Istoric_Nativ'!$E$6:$E$405,G517,'Istoric_Nativ'!$D$6:$D$405,"&lt;"&amp;J517,'Istoric_Nativ'!$P$6:$P$405,1)+COUNTIFS('Istoric_Nativ'!$B$6:$B$405,E517,'Istoric_Nativ'!$C$6:$C$405,F517,'Istoric_Nativ'!$F$6:$F$405,G517,'Istoric_Nativ'!$D$6:$D$405,"&lt;"&amp;J517,'Istoric_Nativ'!$P$6:$P$405,1))))</x:f>
        <x:v>0</x:v>
      </x:c>
      <x:c r="L517" s="17" t="n">
        <x:f>IF(AND(B517&lt;&gt;"",I517="RECENT",K517&gt;0),LARGE(_xlfn._xlws.FILTER('Istoric_Nativ'!$D$6:$D$405,('Istoric_Nativ'!$B$6:$B$405=E517)*('Istoric_Nativ'!$C$6:$C$405=F517)*('Istoric_Nativ'!$P$6:$P$405=1)*('Istoric_Nativ'!$D$6:$D$405&lt;J517)*((('Istoric_Nativ'!$E$6:$E$405=G517)+('Istoric_Nativ'!$F$6:$F$405=G517))&gt;0)),MIN('Config_v6'!$B$54,K517)),0)</x:f>
        <x:v>0</x:v>
      </x:c>
      <x:c r="M517" s="2" t="n">
        <x:f>IF(OR(B517="",F517=""),0,IF(H517="HOME",COUNTIFS('Istoric_Nativ'!$B$6:$B$405,E517,'Istoric_Nativ'!$C$6:$C$405,F517,'Istoric_Nativ'!$E$6:$E$405,G517,'Istoric_Nativ'!$D$6:$D$405,"&lt;"&amp;J517,'Istoric_Nativ'!$P$6:$P$405,1,'Istoric_Nativ'!$D$6:$D$405,"&gt;="&amp;L517),IF(H517="AWAY",COUNTIFS('Istoric_Nativ'!$B$6:$B$405,E517,'Istoric_Nativ'!$C$6:$C$405,F517,'Istoric_Nativ'!$F$6:$F$405,G517,'Istoric_Nativ'!$D$6:$D$405,"&lt;"&amp;J517,'Istoric_Nativ'!$P$6:$P$405,1,'Istoric_Nativ'!$D$6:$D$405,"&gt;="&amp;L517),COUNTIFS('Istoric_Nativ'!$B$6:$B$405,E517,'Istoric_Nativ'!$C$6:$C$405,F517,'Istoric_Nativ'!$E$6:$E$405,G517,'Istoric_Nativ'!$D$6:$D$405,"&lt;"&amp;J517,'Istoric_Nativ'!$P$6:$P$405,1,'Istoric_Nativ'!$D$6:$D$405,"&gt;="&amp;L517)+COUNTIFS('Istoric_Nativ'!$B$6:$B$405,E517,'Istoric_Nativ'!$C$6:$C$405,F517,'Istoric_Nativ'!$F$6:$F$405,G517,'Istoric_Nativ'!$D$6:$D$405,"&lt;"&amp;J517,'Istoric_Nativ'!$P$6:$P$405,1,'Istoric_Nativ'!$D$6:$D$405,"&gt;="&amp;L517))))</x:f>
        <x:v>0</x:v>
      </x:c>
      <x:c r="N517" s="11" t="str">
        <x:f>IF(M517=0,"",IF(H517="HOME",SUMIFS('Istoric_Nativ'!$G$6:$G$405,'Istoric_Nativ'!$B$6:$B$405,E517,'Istoric_Nativ'!$C$6:$C$405,F517,'Istoric_Nativ'!$E$6:$E$405,G517,'Istoric_Nativ'!$D$6:$D$405,"&lt;"&amp;J517,'Istoric_Nativ'!$P$6:$P$405,1,'Istoric_Nativ'!$D$6:$D$405,"&gt;="&amp;L517),IF(H517="AWAY",SUMIFS('Istoric_Nativ'!$H$6:$H$405,'Istoric_Nativ'!$B$6:$B$405,E517,'Istoric_Nativ'!$C$6:$C$405,F517,'Istoric_Nativ'!$F$6:$F$405,G517,'Istoric_Nativ'!$D$6:$D$405,"&lt;"&amp;J517,'Istoric_Nativ'!$P$6:$P$405,1,'Istoric_Nativ'!$D$6:$D$405,"&gt;="&amp;L517),SUMIFS('Istoric_Nativ'!$G$6:$G$405,'Istoric_Nativ'!$B$6:$B$405,E517,'Istoric_Nativ'!$C$6:$C$405,F517,'Istoric_Nativ'!$E$6:$E$405,G517,'Istoric_Nativ'!$D$6:$D$405,"&lt;"&amp;J517,'Istoric_Nativ'!$P$6:$P$405,1,'Istoric_Nativ'!$D$6:$D$405,"&gt;="&amp;L517)+SUMIFS('Istoric_Nativ'!$H$6:$H$405,'Istoric_Nativ'!$B$6:$B$405,E517,'Istoric_Nativ'!$C$6:$C$405,F517,'Istoric_Nativ'!$F$6:$F$405,G517,'Istoric_Nativ'!$D$6:$D$405,"&lt;"&amp;J517,'Istoric_Nativ'!$P$6:$P$405,1,'Istoric_Nativ'!$D$6:$D$405,"&gt;="&amp;L517)))/M517)</x:f>
      </x:c>
      <x:c r="O517" s="11" t="str">
        <x:f>IF(M517=0,"",IF(H517="HOME",SUMIFS('Istoric_Nativ'!$H$6:$H$405,'Istoric_Nativ'!$B$6:$B$405,E517,'Istoric_Nativ'!$C$6:$C$405,F517,'Istoric_Nativ'!$E$6:$E$405,G517,'Istoric_Nativ'!$D$6:$D$405,"&lt;"&amp;J517,'Istoric_Nativ'!$P$6:$P$405,1,'Istoric_Nativ'!$D$6:$D$405,"&gt;="&amp;L517),IF(H517="AWAY",SUMIFS('Istoric_Nativ'!$G$6:$G$405,'Istoric_Nativ'!$B$6:$B$405,E517,'Istoric_Nativ'!$C$6:$C$405,F517,'Istoric_Nativ'!$F$6:$F$405,G517,'Istoric_Nativ'!$D$6:$D$405,"&lt;"&amp;J517,'Istoric_Nativ'!$P$6:$P$405,1,'Istoric_Nativ'!$D$6:$D$405,"&gt;="&amp;L517),SUMIFS('Istoric_Nativ'!$H$6:$H$405,'Istoric_Nativ'!$B$6:$B$405,E517,'Istoric_Nativ'!$C$6:$C$405,F517,'Istoric_Nativ'!$E$6:$E$405,G517,'Istoric_Nativ'!$D$6:$D$405,"&lt;"&amp;J517,'Istoric_Nativ'!$P$6:$P$405,1,'Istoric_Nativ'!$D$6:$D$405,"&gt;="&amp;L517)+SUMIFS('Istoric_Nativ'!$G$6:$G$405,'Istoric_Nativ'!$B$6:$B$405,E517,'Istoric_Nativ'!$C$6:$C$405,F517,'Istoric_Nativ'!$F$6:$F$405,G517,'Istoric_Nativ'!$D$6:$D$405,"&lt;"&amp;J517,'Istoric_Nativ'!$P$6:$P$405,1,'Istoric_Nativ'!$D$6:$D$405,"&gt;="&amp;L517)))/M517)</x:f>
      </x:c>
      <x:c r="P517" s="2" t="n">
        <x:f>'Config_v6'!$B$8</x:f>
        <x:v>5</x:v>
      </x:c>
      <x:c r="Q517" s="2" t="n">
        <x:f>IF(OR(B517="",F517=""),0,IFERROR(MATCH(E517&amp;"|"&amp;F517,SourceTable[Source_Key],0),0))</x:f>
        <x:v>0</x:v>
      </x:c>
      <x:c r="R517" s="2" t="str">
        <x:f>IF(B517="","",IF(F517="","UNUSED",IF(Q517=0,"NOT CHECKED",IF(COUNTIF(SourceTable[Source_Key],E517&amp;"|"&amp;F517)&lt;&gt;1,"SOURCE CONFLICT",IF(NOT(OR(INDEX(SourceTable[Status],MAX(1,Q517))="IMPORTED",INDEX(SourceTable[Status],MAX(1,Q517))="PARTIAL",INDEX(SourceTable[Status],MAX(1,Q517))="SOURCE CONFLICT")),"ACCESS BLOCKED",IF(OR(INDEX(SourceTable[Coverage],Q517)&lt;&gt;"FULL SEASON EXPORT",INDEX(SourceTable[URL],Q517)="",INDEX(SourceTable[SHA256],Q517)=""),"EVIDENCE INCOMPLETE",IF(AND('Input_Meci'!H48="LIVE",INDEX(SourceTable[Retrieved_UTC],Q517)&gt;'Input_Meci'!G48),"POST CUTOFF","CLOSED")))))))</x:f>
      </x:c>
      <x:c r="S517" s="2" t="n">
        <x:f>IF(OR(B517="",F517=""),0,COUNTIFS('Istoric_Nativ'!$B$6:$B$405,E517,'Istoric_Nativ'!$C$6:$C$405,F517,'Istoric_Nativ'!$E$6:$E$405,G517,'Istoric_Nativ'!$D$6:$D$405,"&lt;"&amp;J517,'Istoric_Nativ'!$O$6:$O$405,"INVALID")+COUNTIFS('Istoric_Nativ'!$B$6:$B$405,E517,'Istoric_Nativ'!$C$6:$C$405,F517,'Istoric_Nativ'!$E$6:$E$405,G517,'Istoric_Nativ'!$O$6:$O$405,"INVALID",'Istoric_Nativ'!$D$6:$D$405,"*")+COUNTIFS('Istoric_Nativ'!$B$6:$B$405,E517,'Istoric_Nativ'!$C$6:$C$405,F517,'Istoric_Nativ'!$E$6:$E$405,G517,'Istoric_Nativ'!$D$6:$D$405,"&lt;"&amp;J517,'Istoric_Nativ'!$O$6:$O$405,"SOURCE CONFLICT")+COUNTIFS('Istoric_Nativ'!$B$6:$B$405,E517,'Istoric_Nativ'!$C$6:$C$405,F517,'Istoric_Nativ'!$F$6:$F$405,G517,'Istoric_Nativ'!$D$6:$D$405,"&lt;"&amp;J517,'Istoric_Nativ'!$O$6:$O$405,"INVALID")+COUNTIFS('Istoric_Nativ'!$B$6:$B$405,E517,'Istoric_Nativ'!$C$6:$C$405,F517,'Istoric_Nativ'!$F$6:$F$405,G517,'Istoric_Nativ'!$O$6:$O$405,"INVALID",'Istoric_Nativ'!$D$6:$D$405,"*")+COUNTIFS('Istoric_Nativ'!$B$6:$B$405,E517,'Istoric_Nativ'!$C$6:$C$405,F517,'Istoric_Nativ'!$F$6:$F$405,G517,'Istoric_Nativ'!$D$6:$D$405,"&lt;"&amp;J517,'Istoric_Nativ'!$O$6:$O$405,"SOURCE CONFLICT"))</x:f>
        <x:v>0</x:v>
      </x:c>
      <x:c r="T517" s="2" t="str">
        <x:f>IF(B517="","",IF(R517&lt;&gt;"CLOSED",R517,IF(S517&gt;0,"NATIVE INPUT ISSUE",IF(M517=0,"NO HISTORY",IF(M517&lt;P517,"SMALL SAMPLE","DERIVED")))))</x:f>
      </x:c>
      <x:c r="U517" s="2" t="str">
        <x:f>IF(B517="","","NativeTable; "&amp;E517&amp;"; "&amp;F517&amp;"; "&amp;G517&amp;"; "&amp;H517&amp;"; before "&amp;TEXT(J517,"yyyy-mm-dd")&amp;IF(I517="RECENT","; from "&amp;TEXT(L517,"yyyy-mm-dd"),""))</x:f>
      </x:c>
    </x:row>
    <x:row r="518" ht="21" customHeight="1">
      <x:c r="A518" s="2" t="n">
        <x:v>43</x:v>
      </x:c>
      <x:c r="B518" s="2" t="str">
        <x:f>IF('Input_Meci'!A48="","",'Input_Meci'!A48)</x:f>
      </x:c>
      <x:c r="C518" s="2" t="str">
        <x:v>H</x:v>
      </x:c>
      <x:c r="D518" s="2" t="str">
        <x:v>PRIOR</x:v>
      </x:c>
      <x:c r="E518" s="2" t="str">
        <x:f>IF(B518="","",'Input_Meci'!B48)</x:f>
      </x:c>
      <x:c r="F518" s="2" t="str">
        <x:f>IF(B518="","",IF('Input_Meci'!K48="","",'Input_Meci'!K48))</x:f>
      </x:c>
      <x:c r="G518" s="2" t="str">
        <x:f>IF(B518="","",'Input_Meci'!D48)</x:f>
      </x:c>
      <x:c r="H518" s="2" t="str">
        <x:v>ANY</x:v>
      </x:c>
      <x:c r="I518" s="2" t="str">
        <x:v>RECENT</x:v>
      </x:c>
      <x:c r="J518" s="9" t="n">
        <x:f>IF(AND(B518&lt;&gt;"",ISNUMBER('Input_Meci'!G48)),INT('Input_Meci'!G48),0)</x:f>
        <x:v>0</x:v>
      </x:c>
      <x:c r="K518" s="2" t="n">
        <x:f>IF(OR(B518="",F518=""),0,IF(H518="HOME",COUNTIFS('Istoric_Nativ'!$B$6:$B$405,E518,'Istoric_Nativ'!$C$6:$C$405,F518,'Istoric_Nativ'!$E$6:$E$405,G518,'Istoric_Nativ'!$D$6:$D$405,"&lt;"&amp;J518,'Istoric_Nativ'!$P$6:$P$405,1),IF(H518="AWAY",COUNTIFS('Istoric_Nativ'!$B$6:$B$405,E518,'Istoric_Nativ'!$C$6:$C$405,F518,'Istoric_Nativ'!$F$6:$F$405,G518,'Istoric_Nativ'!$D$6:$D$405,"&lt;"&amp;J518,'Istoric_Nativ'!$P$6:$P$405,1),COUNTIFS('Istoric_Nativ'!$B$6:$B$405,E518,'Istoric_Nativ'!$C$6:$C$405,F518,'Istoric_Nativ'!$E$6:$E$405,G518,'Istoric_Nativ'!$D$6:$D$405,"&lt;"&amp;J518,'Istoric_Nativ'!$P$6:$P$405,1)+COUNTIFS('Istoric_Nativ'!$B$6:$B$405,E518,'Istoric_Nativ'!$C$6:$C$405,F518,'Istoric_Nativ'!$F$6:$F$405,G518,'Istoric_Nativ'!$D$6:$D$405,"&lt;"&amp;J518,'Istoric_Nativ'!$P$6:$P$405,1))))</x:f>
        <x:v>0</x:v>
      </x:c>
      <x:c r="L518" s="17" t="n">
        <x:f>IF(AND(B518&lt;&gt;"",I518="RECENT",K518&gt;0),LARGE(_xlfn._xlws.FILTER('Istoric_Nativ'!$D$6:$D$405,('Istoric_Nativ'!$B$6:$B$405=E518)*('Istoric_Nativ'!$C$6:$C$405=F518)*('Istoric_Nativ'!$P$6:$P$405=1)*('Istoric_Nativ'!$D$6:$D$405&lt;J518)*((('Istoric_Nativ'!$E$6:$E$405=G518)+('Istoric_Nativ'!$F$6:$F$405=G518))&gt;0)),MIN('Config_v6'!$B$54,K518)),0)</x:f>
        <x:v>0</x:v>
      </x:c>
      <x:c r="M518" s="2" t="n">
        <x:f>IF(OR(B518="",F518=""),0,IF(H518="HOME",COUNTIFS('Istoric_Nativ'!$B$6:$B$405,E518,'Istoric_Nativ'!$C$6:$C$405,F518,'Istoric_Nativ'!$E$6:$E$405,G518,'Istoric_Nativ'!$D$6:$D$405,"&lt;"&amp;J518,'Istoric_Nativ'!$P$6:$P$405,1,'Istoric_Nativ'!$D$6:$D$405,"&gt;="&amp;L518),IF(H518="AWAY",COUNTIFS('Istoric_Nativ'!$B$6:$B$405,E518,'Istoric_Nativ'!$C$6:$C$405,F518,'Istoric_Nativ'!$F$6:$F$405,G518,'Istoric_Nativ'!$D$6:$D$405,"&lt;"&amp;J518,'Istoric_Nativ'!$P$6:$P$405,1,'Istoric_Nativ'!$D$6:$D$405,"&gt;="&amp;L518),COUNTIFS('Istoric_Nativ'!$B$6:$B$405,E518,'Istoric_Nativ'!$C$6:$C$405,F518,'Istoric_Nativ'!$E$6:$E$405,G518,'Istoric_Nativ'!$D$6:$D$405,"&lt;"&amp;J518,'Istoric_Nativ'!$P$6:$P$405,1,'Istoric_Nativ'!$D$6:$D$405,"&gt;="&amp;L518)+COUNTIFS('Istoric_Nativ'!$B$6:$B$405,E518,'Istoric_Nativ'!$C$6:$C$405,F518,'Istoric_Nativ'!$F$6:$F$405,G518,'Istoric_Nativ'!$D$6:$D$405,"&lt;"&amp;J518,'Istoric_Nativ'!$P$6:$P$405,1,'Istoric_Nativ'!$D$6:$D$405,"&gt;="&amp;L518))))</x:f>
        <x:v>0</x:v>
      </x:c>
      <x:c r="N518" s="11" t="str">
        <x:f>IF(M518=0,"",IF(H518="HOME",SUMIFS('Istoric_Nativ'!$G$6:$G$405,'Istoric_Nativ'!$B$6:$B$405,E518,'Istoric_Nativ'!$C$6:$C$405,F518,'Istoric_Nativ'!$E$6:$E$405,G518,'Istoric_Nativ'!$D$6:$D$405,"&lt;"&amp;J518,'Istoric_Nativ'!$P$6:$P$405,1,'Istoric_Nativ'!$D$6:$D$405,"&gt;="&amp;L518),IF(H518="AWAY",SUMIFS('Istoric_Nativ'!$H$6:$H$405,'Istoric_Nativ'!$B$6:$B$405,E518,'Istoric_Nativ'!$C$6:$C$405,F518,'Istoric_Nativ'!$F$6:$F$405,G518,'Istoric_Nativ'!$D$6:$D$405,"&lt;"&amp;J518,'Istoric_Nativ'!$P$6:$P$405,1,'Istoric_Nativ'!$D$6:$D$405,"&gt;="&amp;L518),SUMIFS('Istoric_Nativ'!$G$6:$G$405,'Istoric_Nativ'!$B$6:$B$405,E518,'Istoric_Nativ'!$C$6:$C$405,F518,'Istoric_Nativ'!$E$6:$E$405,G518,'Istoric_Nativ'!$D$6:$D$405,"&lt;"&amp;J518,'Istoric_Nativ'!$P$6:$P$405,1,'Istoric_Nativ'!$D$6:$D$405,"&gt;="&amp;L518)+SUMIFS('Istoric_Nativ'!$H$6:$H$405,'Istoric_Nativ'!$B$6:$B$405,E518,'Istoric_Nativ'!$C$6:$C$405,F518,'Istoric_Nativ'!$F$6:$F$405,G518,'Istoric_Nativ'!$D$6:$D$405,"&lt;"&amp;J518,'Istoric_Nativ'!$P$6:$P$405,1,'Istoric_Nativ'!$D$6:$D$405,"&gt;="&amp;L518)))/M518)</x:f>
      </x:c>
      <x:c r="O518" s="11" t="str">
        <x:f>IF(M518=0,"",IF(H518="HOME",SUMIFS('Istoric_Nativ'!$H$6:$H$405,'Istoric_Nativ'!$B$6:$B$405,E518,'Istoric_Nativ'!$C$6:$C$405,F518,'Istoric_Nativ'!$E$6:$E$405,G518,'Istoric_Nativ'!$D$6:$D$405,"&lt;"&amp;J518,'Istoric_Nativ'!$P$6:$P$405,1,'Istoric_Nativ'!$D$6:$D$405,"&gt;="&amp;L518),IF(H518="AWAY",SUMIFS('Istoric_Nativ'!$G$6:$G$405,'Istoric_Nativ'!$B$6:$B$405,E518,'Istoric_Nativ'!$C$6:$C$405,F518,'Istoric_Nativ'!$F$6:$F$405,G518,'Istoric_Nativ'!$D$6:$D$405,"&lt;"&amp;J518,'Istoric_Nativ'!$P$6:$P$405,1,'Istoric_Nativ'!$D$6:$D$405,"&gt;="&amp;L518),SUMIFS('Istoric_Nativ'!$H$6:$H$405,'Istoric_Nativ'!$B$6:$B$405,E518,'Istoric_Nativ'!$C$6:$C$405,F518,'Istoric_Nativ'!$E$6:$E$405,G518,'Istoric_Nativ'!$D$6:$D$405,"&lt;"&amp;J518,'Istoric_Nativ'!$P$6:$P$405,1,'Istoric_Nativ'!$D$6:$D$405,"&gt;="&amp;L518)+SUMIFS('Istoric_Nativ'!$G$6:$G$405,'Istoric_Nativ'!$B$6:$B$405,E518,'Istoric_Nativ'!$C$6:$C$405,F518,'Istoric_Nativ'!$F$6:$F$405,G518,'Istoric_Nativ'!$D$6:$D$405,"&lt;"&amp;J518,'Istoric_Nativ'!$P$6:$P$405,1,'Istoric_Nativ'!$D$6:$D$405,"&gt;="&amp;L518)))/M518)</x:f>
      </x:c>
      <x:c r="P518" s="2" t="n">
        <x:f>'Config_v6'!$B$9</x:f>
        <x:v>3</x:v>
      </x:c>
      <x:c r="Q518" s="2" t="n">
        <x:f>IF(OR(B518="",F518=""),0,IFERROR(MATCH(E518&amp;"|"&amp;F518,SourceTable[Source_Key],0),0))</x:f>
        <x:v>0</x:v>
      </x:c>
      <x:c r="R518" s="2" t="str">
        <x:f>IF(B518="","",IF(F518="","UNUSED",IF(Q518=0,"NOT CHECKED",IF(COUNTIF(SourceTable[Source_Key],E518&amp;"|"&amp;F518)&lt;&gt;1,"SOURCE CONFLICT",IF(NOT(OR(INDEX(SourceTable[Status],MAX(1,Q518))="IMPORTED",INDEX(SourceTable[Status],MAX(1,Q518))="PARTIAL",INDEX(SourceTable[Status],MAX(1,Q518))="SOURCE CONFLICT")),"ACCESS BLOCKED",IF(OR(INDEX(SourceTable[Coverage],Q518)&lt;&gt;"FULL SEASON EXPORT",INDEX(SourceTable[URL],Q518)="",INDEX(SourceTable[SHA256],Q518)=""),"EVIDENCE INCOMPLETE",IF(AND('Input_Meci'!H48="LIVE",INDEX(SourceTable[Retrieved_UTC],Q518)&gt;'Input_Meci'!G48),"POST CUTOFF","CLOSED")))))))</x:f>
      </x:c>
      <x:c r="S518" s="2" t="n">
        <x:f>IF(OR(B518="",F518=""),0,COUNTIFS('Istoric_Nativ'!$B$6:$B$405,E518,'Istoric_Nativ'!$C$6:$C$405,F518,'Istoric_Nativ'!$E$6:$E$405,G518,'Istoric_Nativ'!$D$6:$D$405,"&lt;"&amp;J518,'Istoric_Nativ'!$O$6:$O$405,"INVALID")+COUNTIFS('Istoric_Nativ'!$B$6:$B$405,E518,'Istoric_Nativ'!$C$6:$C$405,F518,'Istoric_Nativ'!$E$6:$E$405,G518,'Istoric_Nativ'!$O$6:$O$405,"INVALID",'Istoric_Nativ'!$D$6:$D$405,"*")+COUNTIFS('Istoric_Nativ'!$B$6:$B$405,E518,'Istoric_Nativ'!$C$6:$C$405,F518,'Istoric_Nativ'!$E$6:$E$405,G518,'Istoric_Nativ'!$D$6:$D$405,"&lt;"&amp;J518,'Istoric_Nativ'!$O$6:$O$405,"SOURCE CONFLICT")+COUNTIFS('Istoric_Nativ'!$B$6:$B$405,E518,'Istoric_Nativ'!$C$6:$C$405,F518,'Istoric_Nativ'!$F$6:$F$405,G518,'Istoric_Nativ'!$D$6:$D$405,"&lt;"&amp;J518,'Istoric_Nativ'!$O$6:$O$405,"INVALID")+COUNTIFS('Istoric_Nativ'!$B$6:$B$405,E518,'Istoric_Nativ'!$C$6:$C$405,F518,'Istoric_Nativ'!$F$6:$F$405,G518,'Istoric_Nativ'!$O$6:$O$405,"INVALID",'Istoric_Nativ'!$D$6:$D$405,"*")+COUNTIFS('Istoric_Nativ'!$B$6:$B$405,E518,'Istoric_Nativ'!$C$6:$C$405,F518,'Istoric_Nativ'!$F$6:$F$405,G518,'Istoric_Nativ'!$D$6:$D$405,"&lt;"&amp;J518,'Istoric_Nativ'!$O$6:$O$405,"SOURCE CONFLICT"))</x:f>
        <x:v>0</x:v>
      </x:c>
      <x:c r="T518" s="2" t="str">
        <x:f>IF(B518="","",IF(R518&lt;&gt;"CLOSED",R518,IF(S518&gt;0,"NATIVE INPUT ISSUE",IF(M518=0,"NO HISTORY",IF(M518&lt;P518,"SMALL SAMPLE","DERIVED")))))</x:f>
      </x:c>
      <x:c r="U518" s="2" t="str">
        <x:f>IF(B518="","","NativeTable; "&amp;E518&amp;"; "&amp;F518&amp;"; "&amp;G518&amp;"; "&amp;H518&amp;"; before "&amp;TEXT(J518,"yyyy-mm-dd")&amp;IF(I518="RECENT","; from "&amp;TEXT(L518,"yyyy-mm-dd"),""))</x:f>
      </x:c>
    </x:row>
    <x:row r="519" ht="21" customHeight="1">
      <x:c r="A519" s="2" t="n">
        <x:v>43</x:v>
      </x:c>
      <x:c r="B519" s="2" t="str">
        <x:f>IF('Input_Meci'!A48="","",'Input_Meci'!A48)</x:f>
      </x:c>
      <x:c r="C519" s="2" t="str">
        <x:v>A</x:v>
      </x:c>
      <x:c r="D519" s="2" t="str">
        <x:v>PRIOR</x:v>
      </x:c>
      <x:c r="E519" s="2" t="str">
        <x:f>IF(B519="","",'Input_Meci'!B48)</x:f>
      </x:c>
      <x:c r="F519" s="2" t="str">
        <x:f>IF(B519="","",IF('Input_Meci'!K48="","",'Input_Meci'!K48))</x:f>
      </x:c>
      <x:c r="G519" s="2" t="str">
        <x:f>IF(B519="","",'Input_Meci'!E48)</x:f>
      </x:c>
      <x:c r="H519" s="2" t="str">
        <x:v>ANY</x:v>
      </x:c>
      <x:c r="I519" s="2" t="str">
        <x:v>SEASON</x:v>
      </x:c>
      <x:c r="J519" s="9" t="n">
        <x:f>IF(AND(B519&lt;&gt;"",ISNUMBER('Input_Meci'!G48)),INT('Input_Meci'!G48),0)</x:f>
        <x:v>0</x:v>
      </x:c>
      <x:c r="K519" s="2" t="n">
        <x:f>IF(OR(B519="",F519=""),0,IF(H519="HOME",COUNTIFS('Istoric_Nativ'!$B$6:$B$405,E519,'Istoric_Nativ'!$C$6:$C$405,F519,'Istoric_Nativ'!$E$6:$E$405,G519,'Istoric_Nativ'!$D$6:$D$405,"&lt;"&amp;J519,'Istoric_Nativ'!$P$6:$P$405,1),IF(H519="AWAY",COUNTIFS('Istoric_Nativ'!$B$6:$B$405,E519,'Istoric_Nativ'!$C$6:$C$405,F519,'Istoric_Nativ'!$F$6:$F$405,G519,'Istoric_Nativ'!$D$6:$D$405,"&lt;"&amp;J519,'Istoric_Nativ'!$P$6:$P$405,1),COUNTIFS('Istoric_Nativ'!$B$6:$B$405,E519,'Istoric_Nativ'!$C$6:$C$405,F519,'Istoric_Nativ'!$E$6:$E$405,G519,'Istoric_Nativ'!$D$6:$D$405,"&lt;"&amp;J519,'Istoric_Nativ'!$P$6:$P$405,1)+COUNTIFS('Istoric_Nativ'!$B$6:$B$405,E519,'Istoric_Nativ'!$C$6:$C$405,F519,'Istoric_Nativ'!$F$6:$F$405,G519,'Istoric_Nativ'!$D$6:$D$405,"&lt;"&amp;J519,'Istoric_Nativ'!$P$6:$P$405,1))))</x:f>
        <x:v>0</x:v>
      </x:c>
      <x:c r="L519" s="17" t="n">
        <x:f>IF(AND(B519&lt;&gt;"",I519="RECENT",K519&gt;0),LARGE(_xlfn._xlws.FILTER('Istoric_Nativ'!$D$6:$D$405,('Istoric_Nativ'!$B$6:$B$405=E519)*('Istoric_Nativ'!$C$6:$C$405=F519)*('Istoric_Nativ'!$P$6:$P$405=1)*('Istoric_Nativ'!$D$6:$D$405&lt;J519)*((('Istoric_Nativ'!$E$6:$E$405=G519)+('Istoric_Nativ'!$F$6:$F$405=G519))&gt;0)),MIN('Config_v6'!$B$54,K519)),0)</x:f>
        <x:v>0</x:v>
      </x:c>
      <x:c r="M519" s="2" t="n">
        <x:f>IF(OR(B519="",F519=""),0,IF(H519="HOME",COUNTIFS('Istoric_Nativ'!$B$6:$B$405,E519,'Istoric_Nativ'!$C$6:$C$405,F519,'Istoric_Nativ'!$E$6:$E$405,G519,'Istoric_Nativ'!$D$6:$D$405,"&lt;"&amp;J519,'Istoric_Nativ'!$P$6:$P$405,1,'Istoric_Nativ'!$D$6:$D$405,"&gt;="&amp;L519),IF(H519="AWAY",COUNTIFS('Istoric_Nativ'!$B$6:$B$405,E519,'Istoric_Nativ'!$C$6:$C$405,F519,'Istoric_Nativ'!$F$6:$F$405,G519,'Istoric_Nativ'!$D$6:$D$405,"&lt;"&amp;J519,'Istoric_Nativ'!$P$6:$P$405,1,'Istoric_Nativ'!$D$6:$D$405,"&gt;="&amp;L519),COUNTIFS('Istoric_Nativ'!$B$6:$B$405,E519,'Istoric_Nativ'!$C$6:$C$405,F519,'Istoric_Nativ'!$E$6:$E$405,G519,'Istoric_Nativ'!$D$6:$D$405,"&lt;"&amp;J519,'Istoric_Nativ'!$P$6:$P$405,1,'Istoric_Nativ'!$D$6:$D$405,"&gt;="&amp;L519)+COUNTIFS('Istoric_Nativ'!$B$6:$B$405,E519,'Istoric_Nativ'!$C$6:$C$405,F519,'Istoric_Nativ'!$F$6:$F$405,G519,'Istoric_Nativ'!$D$6:$D$405,"&lt;"&amp;J519,'Istoric_Nativ'!$P$6:$P$405,1,'Istoric_Nativ'!$D$6:$D$405,"&gt;="&amp;L519))))</x:f>
        <x:v>0</x:v>
      </x:c>
      <x:c r="N519" s="11" t="str">
        <x:f>IF(M519=0,"",IF(H519="HOME",SUMIFS('Istoric_Nativ'!$G$6:$G$405,'Istoric_Nativ'!$B$6:$B$405,E519,'Istoric_Nativ'!$C$6:$C$405,F519,'Istoric_Nativ'!$E$6:$E$405,G519,'Istoric_Nativ'!$D$6:$D$405,"&lt;"&amp;J519,'Istoric_Nativ'!$P$6:$P$405,1,'Istoric_Nativ'!$D$6:$D$405,"&gt;="&amp;L519),IF(H519="AWAY",SUMIFS('Istoric_Nativ'!$H$6:$H$405,'Istoric_Nativ'!$B$6:$B$405,E519,'Istoric_Nativ'!$C$6:$C$405,F519,'Istoric_Nativ'!$F$6:$F$405,G519,'Istoric_Nativ'!$D$6:$D$405,"&lt;"&amp;J519,'Istoric_Nativ'!$P$6:$P$405,1,'Istoric_Nativ'!$D$6:$D$405,"&gt;="&amp;L519),SUMIFS('Istoric_Nativ'!$G$6:$G$405,'Istoric_Nativ'!$B$6:$B$405,E519,'Istoric_Nativ'!$C$6:$C$405,F519,'Istoric_Nativ'!$E$6:$E$405,G519,'Istoric_Nativ'!$D$6:$D$405,"&lt;"&amp;J519,'Istoric_Nativ'!$P$6:$P$405,1,'Istoric_Nativ'!$D$6:$D$405,"&gt;="&amp;L519)+SUMIFS('Istoric_Nativ'!$H$6:$H$405,'Istoric_Nativ'!$B$6:$B$405,E519,'Istoric_Nativ'!$C$6:$C$405,F519,'Istoric_Nativ'!$F$6:$F$405,G519,'Istoric_Nativ'!$D$6:$D$405,"&lt;"&amp;J519,'Istoric_Nativ'!$P$6:$P$405,1,'Istoric_Nativ'!$D$6:$D$405,"&gt;="&amp;L519)))/M519)</x:f>
      </x:c>
      <x:c r="O519" s="11" t="str">
        <x:f>IF(M519=0,"",IF(H519="HOME",SUMIFS('Istoric_Nativ'!$H$6:$H$405,'Istoric_Nativ'!$B$6:$B$405,E519,'Istoric_Nativ'!$C$6:$C$405,F519,'Istoric_Nativ'!$E$6:$E$405,G519,'Istoric_Nativ'!$D$6:$D$405,"&lt;"&amp;J519,'Istoric_Nativ'!$P$6:$P$405,1,'Istoric_Nativ'!$D$6:$D$405,"&gt;="&amp;L519),IF(H519="AWAY",SUMIFS('Istoric_Nativ'!$G$6:$G$405,'Istoric_Nativ'!$B$6:$B$405,E519,'Istoric_Nativ'!$C$6:$C$405,F519,'Istoric_Nativ'!$F$6:$F$405,G519,'Istoric_Nativ'!$D$6:$D$405,"&lt;"&amp;J519,'Istoric_Nativ'!$P$6:$P$405,1,'Istoric_Nativ'!$D$6:$D$405,"&gt;="&amp;L519),SUMIFS('Istoric_Nativ'!$H$6:$H$405,'Istoric_Nativ'!$B$6:$B$405,E519,'Istoric_Nativ'!$C$6:$C$405,F519,'Istoric_Nativ'!$E$6:$E$405,G519,'Istoric_Nativ'!$D$6:$D$405,"&lt;"&amp;J519,'Istoric_Nativ'!$P$6:$P$405,1,'Istoric_Nativ'!$D$6:$D$405,"&gt;="&amp;L519)+SUMIFS('Istoric_Nativ'!$G$6:$G$405,'Istoric_Nativ'!$B$6:$B$405,E519,'Istoric_Nativ'!$C$6:$C$405,F519,'Istoric_Nativ'!$F$6:$F$405,G519,'Istoric_Nativ'!$D$6:$D$405,"&lt;"&amp;J519,'Istoric_Nativ'!$P$6:$P$405,1,'Istoric_Nativ'!$D$6:$D$405,"&gt;="&amp;L519)))/M519)</x:f>
      </x:c>
      <x:c r="P519" s="2" t="n">
        <x:f>'Config_v6'!$B$7</x:f>
        <x:v>10</x:v>
      </x:c>
      <x:c r="Q519" s="2" t="n">
        <x:f>IF(OR(B519="",F519=""),0,IFERROR(MATCH(E519&amp;"|"&amp;F519,SourceTable[Source_Key],0),0))</x:f>
        <x:v>0</x:v>
      </x:c>
      <x:c r="R519" s="2" t="str">
        <x:f>IF(B519="","",IF(F519="","UNUSED",IF(Q519=0,"NOT CHECKED",IF(COUNTIF(SourceTable[Source_Key],E519&amp;"|"&amp;F519)&lt;&gt;1,"SOURCE CONFLICT",IF(NOT(OR(INDEX(SourceTable[Status],MAX(1,Q519))="IMPORTED",INDEX(SourceTable[Status],MAX(1,Q519))="PARTIAL",INDEX(SourceTable[Status],MAX(1,Q519))="SOURCE CONFLICT")),"ACCESS BLOCKED",IF(OR(INDEX(SourceTable[Coverage],Q519)&lt;&gt;"FULL SEASON EXPORT",INDEX(SourceTable[URL],Q519)="",INDEX(SourceTable[SHA256],Q519)=""),"EVIDENCE INCOMPLETE",IF(AND('Input_Meci'!H48="LIVE",INDEX(SourceTable[Retrieved_UTC],Q519)&gt;'Input_Meci'!G48),"POST CUTOFF","CLOSED")))))))</x:f>
      </x:c>
      <x:c r="S519" s="2" t="n">
        <x:f>IF(OR(B519="",F519=""),0,COUNTIFS('Istoric_Nativ'!$B$6:$B$405,E519,'Istoric_Nativ'!$C$6:$C$405,F519,'Istoric_Nativ'!$E$6:$E$405,G519,'Istoric_Nativ'!$D$6:$D$405,"&lt;"&amp;J519,'Istoric_Nativ'!$O$6:$O$405,"INVALID")+COUNTIFS('Istoric_Nativ'!$B$6:$B$405,E519,'Istoric_Nativ'!$C$6:$C$405,F519,'Istoric_Nativ'!$E$6:$E$405,G519,'Istoric_Nativ'!$O$6:$O$405,"INVALID",'Istoric_Nativ'!$D$6:$D$405,"*")+COUNTIFS('Istoric_Nativ'!$B$6:$B$405,E519,'Istoric_Nativ'!$C$6:$C$405,F519,'Istoric_Nativ'!$E$6:$E$405,G519,'Istoric_Nativ'!$D$6:$D$405,"&lt;"&amp;J519,'Istoric_Nativ'!$O$6:$O$405,"SOURCE CONFLICT")+COUNTIFS('Istoric_Nativ'!$B$6:$B$405,E519,'Istoric_Nativ'!$C$6:$C$405,F519,'Istoric_Nativ'!$F$6:$F$405,G519,'Istoric_Nativ'!$D$6:$D$405,"&lt;"&amp;J519,'Istoric_Nativ'!$O$6:$O$405,"INVALID")+COUNTIFS('Istoric_Nativ'!$B$6:$B$405,E519,'Istoric_Nativ'!$C$6:$C$405,F519,'Istoric_Nativ'!$F$6:$F$405,G519,'Istoric_Nativ'!$O$6:$O$405,"INVALID",'Istoric_Nativ'!$D$6:$D$405,"*")+COUNTIFS('Istoric_Nativ'!$B$6:$B$405,E519,'Istoric_Nativ'!$C$6:$C$405,F519,'Istoric_Nativ'!$F$6:$F$405,G519,'Istoric_Nativ'!$D$6:$D$405,"&lt;"&amp;J519,'Istoric_Nativ'!$O$6:$O$405,"SOURCE CONFLICT"))</x:f>
        <x:v>0</x:v>
      </x:c>
      <x:c r="T519" s="2" t="str">
        <x:f>IF(B519="","",IF(R519&lt;&gt;"CLOSED",R519,IF(S519&gt;0,"NATIVE INPUT ISSUE",IF(M519=0,"NO HISTORY",IF(M519&lt;P519,"SMALL SAMPLE","DERIVED")))))</x:f>
      </x:c>
      <x:c r="U519" s="2" t="str">
        <x:f>IF(B519="","","NativeTable; "&amp;E519&amp;"; "&amp;F519&amp;"; "&amp;G519&amp;"; "&amp;H519&amp;"; before "&amp;TEXT(J519,"yyyy-mm-dd")&amp;IF(I519="RECENT","; from "&amp;TEXT(L519,"yyyy-mm-dd"),""))</x:f>
      </x:c>
    </x:row>
    <x:row r="520" ht="21" customHeight="1">
      <x:c r="A520" s="2" t="n">
        <x:v>43</x:v>
      </x:c>
      <x:c r="B520" s="2" t="str">
        <x:f>IF('Input_Meci'!A48="","",'Input_Meci'!A48)</x:f>
      </x:c>
      <x:c r="C520" s="2" t="str">
        <x:v>A</x:v>
      </x:c>
      <x:c r="D520" s="2" t="str">
        <x:v>PRIOR</x:v>
      </x:c>
      <x:c r="E520" s="2" t="str">
        <x:f>IF(B520="","",'Input_Meci'!B48)</x:f>
      </x:c>
      <x:c r="F520" s="2" t="str">
        <x:f>IF(B520="","",IF('Input_Meci'!K48="","",'Input_Meci'!K48))</x:f>
      </x:c>
      <x:c r="G520" s="2" t="str">
        <x:f>IF(B520="","",'Input_Meci'!E48)</x:f>
      </x:c>
      <x:c r="H520" s="2" t="str">
        <x:v>AWAY</x:v>
      </x:c>
      <x:c r="I520" s="2" t="str">
        <x:v>HA</x:v>
      </x:c>
      <x:c r="J520" s="9" t="n">
        <x:f>IF(AND(B520&lt;&gt;"",ISNUMBER('Input_Meci'!G48)),INT('Input_Meci'!G48),0)</x:f>
        <x:v>0</x:v>
      </x:c>
      <x:c r="K520" s="2" t="n">
        <x:f>IF(OR(B520="",F520=""),0,IF(H520="HOME",COUNTIFS('Istoric_Nativ'!$B$6:$B$405,E520,'Istoric_Nativ'!$C$6:$C$405,F520,'Istoric_Nativ'!$E$6:$E$405,G520,'Istoric_Nativ'!$D$6:$D$405,"&lt;"&amp;J520,'Istoric_Nativ'!$P$6:$P$405,1),IF(H520="AWAY",COUNTIFS('Istoric_Nativ'!$B$6:$B$405,E520,'Istoric_Nativ'!$C$6:$C$405,F520,'Istoric_Nativ'!$F$6:$F$405,G520,'Istoric_Nativ'!$D$6:$D$405,"&lt;"&amp;J520,'Istoric_Nativ'!$P$6:$P$405,1),COUNTIFS('Istoric_Nativ'!$B$6:$B$405,E520,'Istoric_Nativ'!$C$6:$C$405,F520,'Istoric_Nativ'!$E$6:$E$405,G520,'Istoric_Nativ'!$D$6:$D$405,"&lt;"&amp;J520,'Istoric_Nativ'!$P$6:$P$405,1)+COUNTIFS('Istoric_Nativ'!$B$6:$B$405,E520,'Istoric_Nativ'!$C$6:$C$405,F520,'Istoric_Nativ'!$F$6:$F$405,G520,'Istoric_Nativ'!$D$6:$D$405,"&lt;"&amp;J520,'Istoric_Nativ'!$P$6:$P$405,1))))</x:f>
        <x:v>0</x:v>
      </x:c>
      <x:c r="L520" s="17" t="n">
        <x:f>IF(AND(B520&lt;&gt;"",I520="RECENT",K520&gt;0),LARGE(_xlfn._xlws.FILTER('Istoric_Nativ'!$D$6:$D$405,('Istoric_Nativ'!$B$6:$B$405=E520)*('Istoric_Nativ'!$C$6:$C$405=F520)*('Istoric_Nativ'!$P$6:$P$405=1)*('Istoric_Nativ'!$D$6:$D$405&lt;J520)*((('Istoric_Nativ'!$E$6:$E$405=G520)+('Istoric_Nativ'!$F$6:$F$405=G520))&gt;0)),MIN('Config_v6'!$B$54,K520)),0)</x:f>
        <x:v>0</x:v>
      </x:c>
      <x:c r="M520" s="2" t="n">
        <x:f>IF(OR(B520="",F520=""),0,IF(H520="HOME",COUNTIFS('Istoric_Nativ'!$B$6:$B$405,E520,'Istoric_Nativ'!$C$6:$C$405,F520,'Istoric_Nativ'!$E$6:$E$405,G520,'Istoric_Nativ'!$D$6:$D$405,"&lt;"&amp;J520,'Istoric_Nativ'!$P$6:$P$405,1,'Istoric_Nativ'!$D$6:$D$405,"&gt;="&amp;L520),IF(H520="AWAY",COUNTIFS('Istoric_Nativ'!$B$6:$B$405,E520,'Istoric_Nativ'!$C$6:$C$405,F520,'Istoric_Nativ'!$F$6:$F$405,G520,'Istoric_Nativ'!$D$6:$D$405,"&lt;"&amp;J520,'Istoric_Nativ'!$P$6:$P$405,1,'Istoric_Nativ'!$D$6:$D$405,"&gt;="&amp;L520),COUNTIFS('Istoric_Nativ'!$B$6:$B$405,E520,'Istoric_Nativ'!$C$6:$C$405,F520,'Istoric_Nativ'!$E$6:$E$405,G520,'Istoric_Nativ'!$D$6:$D$405,"&lt;"&amp;J520,'Istoric_Nativ'!$P$6:$P$405,1,'Istoric_Nativ'!$D$6:$D$405,"&gt;="&amp;L520)+COUNTIFS('Istoric_Nativ'!$B$6:$B$405,E520,'Istoric_Nativ'!$C$6:$C$405,F520,'Istoric_Nativ'!$F$6:$F$405,G520,'Istoric_Nativ'!$D$6:$D$405,"&lt;"&amp;J520,'Istoric_Nativ'!$P$6:$P$405,1,'Istoric_Nativ'!$D$6:$D$405,"&gt;="&amp;L520))))</x:f>
        <x:v>0</x:v>
      </x:c>
      <x:c r="N520" s="11" t="str">
        <x:f>IF(M520=0,"",IF(H520="HOME",SUMIFS('Istoric_Nativ'!$G$6:$G$405,'Istoric_Nativ'!$B$6:$B$405,E520,'Istoric_Nativ'!$C$6:$C$405,F520,'Istoric_Nativ'!$E$6:$E$405,G520,'Istoric_Nativ'!$D$6:$D$405,"&lt;"&amp;J520,'Istoric_Nativ'!$P$6:$P$405,1,'Istoric_Nativ'!$D$6:$D$405,"&gt;="&amp;L520),IF(H520="AWAY",SUMIFS('Istoric_Nativ'!$H$6:$H$405,'Istoric_Nativ'!$B$6:$B$405,E520,'Istoric_Nativ'!$C$6:$C$405,F520,'Istoric_Nativ'!$F$6:$F$405,G520,'Istoric_Nativ'!$D$6:$D$405,"&lt;"&amp;J520,'Istoric_Nativ'!$P$6:$P$405,1,'Istoric_Nativ'!$D$6:$D$405,"&gt;="&amp;L520),SUMIFS('Istoric_Nativ'!$G$6:$G$405,'Istoric_Nativ'!$B$6:$B$405,E520,'Istoric_Nativ'!$C$6:$C$405,F520,'Istoric_Nativ'!$E$6:$E$405,G520,'Istoric_Nativ'!$D$6:$D$405,"&lt;"&amp;J520,'Istoric_Nativ'!$P$6:$P$405,1,'Istoric_Nativ'!$D$6:$D$405,"&gt;="&amp;L520)+SUMIFS('Istoric_Nativ'!$H$6:$H$405,'Istoric_Nativ'!$B$6:$B$405,E520,'Istoric_Nativ'!$C$6:$C$405,F520,'Istoric_Nativ'!$F$6:$F$405,G520,'Istoric_Nativ'!$D$6:$D$405,"&lt;"&amp;J520,'Istoric_Nativ'!$P$6:$P$405,1,'Istoric_Nativ'!$D$6:$D$405,"&gt;="&amp;L520)))/M520)</x:f>
      </x:c>
      <x:c r="O520" s="11" t="str">
        <x:f>IF(M520=0,"",IF(H520="HOME",SUMIFS('Istoric_Nativ'!$H$6:$H$405,'Istoric_Nativ'!$B$6:$B$405,E520,'Istoric_Nativ'!$C$6:$C$405,F520,'Istoric_Nativ'!$E$6:$E$405,G520,'Istoric_Nativ'!$D$6:$D$405,"&lt;"&amp;J520,'Istoric_Nativ'!$P$6:$P$405,1,'Istoric_Nativ'!$D$6:$D$405,"&gt;="&amp;L520),IF(H520="AWAY",SUMIFS('Istoric_Nativ'!$G$6:$G$405,'Istoric_Nativ'!$B$6:$B$405,E520,'Istoric_Nativ'!$C$6:$C$405,F520,'Istoric_Nativ'!$F$6:$F$405,G520,'Istoric_Nativ'!$D$6:$D$405,"&lt;"&amp;J520,'Istoric_Nativ'!$P$6:$P$405,1,'Istoric_Nativ'!$D$6:$D$405,"&gt;="&amp;L520),SUMIFS('Istoric_Nativ'!$H$6:$H$405,'Istoric_Nativ'!$B$6:$B$405,E520,'Istoric_Nativ'!$C$6:$C$405,F520,'Istoric_Nativ'!$E$6:$E$405,G520,'Istoric_Nativ'!$D$6:$D$405,"&lt;"&amp;J520,'Istoric_Nativ'!$P$6:$P$405,1,'Istoric_Nativ'!$D$6:$D$405,"&gt;="&amp;L520)+SUMIFS('Istoric_Nativ'!$G$6:$G$405,'Istoric_Nativ'!$B$6:$B$405,E520,'Istoric_Nativ'!$C$6:$C$405,F520,'Istoric_Nativ'!$F$6:$F$405,G520,'Istoric_Nativ'!$D$6:$D$405,"&lt;"&amp;J520,'Istoric_Nativ'!$P$6:$P$405,1,'Istoric_Nativ'!$D$6:$D$405,"&gt;="&amp;L520)))/M520)</x:f>
      </x:c>
      <x:c r="P520" s="2" t="n">
        <x:f>'Config_v6'!$B$8</x:f>
        <x:v>5</x:v>
      </x:c>
      <x:c r="Q520" s="2" t="n">
        <x:f>IF(OR(B520="",F520=""),0,IFERROR(MATCH(E520&amp;"|"&amp;F520,SourceTable[Source_Key],0),0))</x:f>
        <x:v>0</x:v>
      </x:c>
      <x:c r="R520" s="2" t="str">
        <x:f>IF(B520="","",IF(F520="","UNUSED",IF(Q520=0,"NOT CHECKED",IF(COUNTIF(SourceTable[Source_Key],E520&amp;"|"&amp;F520)&lt;&gt;1,"SOURCE CONFLICT",IF(NOT(OR(INDEX(SourceTable[Status],MAX(1,Q520))="IMPORTED",INDEX(SourceTable[Status],MAX(1,Q520))="PARTIAL",INDEX(SourceTable[Status],MAX(1,Q520))="SOURCE CONFLICT")),"ACCESS BLOCKED",IF(OR(INDEX(SourceTable[Coverage],Q520)&lt;&gt;"FULL SEASON EXPORT",INDEX(SourceTable[URL],Q520)="",INDEX(SourceTable[SHA256],Q520)=""),"EVIDENCE INCOMPLETE",IF(AND('Input_Meci'!H48="LIVE",INDEX(SourceTable[Retrieved_UTC],Q520)&gt;'Input_Meci'!G48),"POST CUTOFF","CLOSED")))))))</x:f>
      </x:c>
      <x:c r="S520" s="2" t="n">
        <x:f>IF(OR(B520="",F520=""),0,COUNTIFS('Istoric_Nativ'!$B$6:$B$405,E520,'Istoric_Nativ'!$C$6:$C$405,F520,'Istoric_Nativ'!$E$6:$E$405,G520,'Istoric_Nativ'!$D$6:$D$405,"&lt;"&amp;J520,'Istoric_Nativ'!$O$6:$O$405,"INVALID")+COUNTIFS('Istoric_Nativ'!$B$6:$B$405,E520,'Istoric_Nativ'!$C$6:$C$405,F520,'Istoric_Nativ'!$E$6:$E$405,G520,'Istoric_Nativ'!$O$6:$O$405,"INVALID",'Istoric_Nativ'!$D$6:$D$405,"*")+COUNTIFS('Istoric_Nativ'!$B$6:$B$405,E520,'Istoric_Nativ'!$C$6:$C$405,F520,'Istoric_Nativ'!$E$6:$E$405,G520,'Istoric_Nativ'!$D$6:$D$405,"&lt;"&amp;J520,'Istoric_Nativ'!$O$6:$O$405,"SOURCE CONFLICT")+COUNTIFS('Istoric_Nativ'!$B$6:$B$405,E520,'Istoric_Nativ'!$C$6:$C$405,F520,'Istoric_Nativ'!$F$6:$F$405,G520,'Istoric_Nativ'!$D$6:$D$405,"&lt;"&amp;J520,'Istoric_Nativ'!$O$6:$O$405,"INVALID")+COUNTIFS('Istoric_Nativ'!$B$6:$B$405,E520,'Istoric_Nativ'!$C$6:$C$405,F520,'Istoric_Nativ'!$F$6:$F$405,G520,'Istoric_Nativ'!$O$6:$O$405,"INVALID",'Istoric_Nativ'!$D$6:$D$405,"*")+COUNTIFS('Istoric_Nativ'!$B$6:$B$405,E520,'Istoric_Nativ'!$C$6:$C$405,F520,'Istoric_Nativ'!$F$6:$F$405,G520,'Istoric_Nativ'!$D$6:$D$405,"&lt;"&amp;J520,'Istoric_Nativ'!$O$6:$O$405,"SOURCE CONFLICT"))</x:f>
        <x:v>0</x:v>
      </x:c>
      <x:c r="T520" s="2" t="str">
        <x:f>IF(B520="","",IF(R520&lt;&gt;"CLOSED",R520,IF(S520&gt;0,"NATIVE INPUT ISSUE",IF(M520=0,"NO HISTORY",IF(M520&lt;P520,"SMALL SAMPLE","DERIVED")))))</x:f>
      </x:c>
      <x:c r="U520" s="2" t="str">
        <x:f>IF(B520="","","NativeTable; "&amp;E520&amp;"; "&amp;F520&amp;"; "&amp;G520&amp;"; "&amp;H520&amp;"; before "&amp;TEXT(J520,"yyyy-mm-dd")&amp;IF(I520="RECENT","; from "&amp;TEXT(L520,"yyyy-mm-dd"),""))</x:f>
      </x:c>
    </x:row>
    <x:row r="521" ht="21" customHeight="1">
      <x:c r="A521" s="2" t="n">
        <x:v>43</x:v>
      </x:c>
      <x:c r="B521" s="2" t="str">
        <x:f>IF('Input_Meci'!A48="","",'Input_Meci'!A48)</x:f>
      </x:c>
      <x:c r="C521" s="2" t="str">
        <x:v>A</x:v>
      </x:c>
      <x:c r="D521" s="2" t="str">
        <x:v>PRIOR</x:v>
      </x:c>
      <x:c r="E521" s="2" t="str">
        <x:f>IF(B521="","",'Input_Meci'!B48)</x:f>
      </x:c>
      <x:c r="F521" s="2" t="str">
        <x:f>IF(B521="","",IF('Input_Meci'!K48="","",'Input_Meci'!K48))</x:f>
      </x:c>
      <x:c r="G521" s="2" t="str">
        <x:f>IF(B521="","",'Input_Meci'!E48)</x:f>
      </x:c>
      <x:c r="H521" s="2" t="str">
        <x:v>ANY</x:v>
      </x:c>
      <x:c r="I521" s="2" t="str">
        <x:v>RECENT</x:v>
      </x:c>
      <x:c r="J521" s="9" t="n">
        <x:f>IF(AND(B521&lt;&gt;"",ISNUMBER('Input_Meci'!G48)),INT('Input_Meci'!G48),0)</x:f>
        <x:v>0</x:v>
      </x:c>
      <x:c r="K521" s="2" t="n">
        <x:f>IF(OR(B521="",F521=""),0,IF(H521="HOME",COUNTIFS('Istoric_Nativ'!$B$6:$B$405,E521,'Istoric_Nativ'!$C$6:$C$405,F521,'Istoric_Nativ'!$E$6:$E$405,G521,'Istoric_Nativ'!$D$6:$D$405,"&lt;"&amp;J521,'Istoric_Nativ'!$P$6:$P$405,1),IF(H521="AWAY",COUNTIFS('Istoric_Nativ'!$B$6:$B$405,E521,'Istoric_Nativ'!$C$6:$C$405,F521,'Istoric_Nativ'!$F$6:$F$405,G521,'Istoric_Nativ'!$D$6:$D$405,"&lt;"&amp;J521,'Istoric_Nativ'!$P$6:$P$405,1),COUNTIFS('Istoric_Nativ'!$B$6:$B$405,E521,'Istoric_Nativ'!$C$6:$C$405,F521,'Istoric_Nativ'!$E$6:$E$405,G521,'Istoric_Nativ'!$D$6:$D$405,"&lt;"&amp;J521,'Istoric_Nativ'!$P$6:$P$405,1)+COUNTIFS('Istoric_Nativ'!$B$6:$B$405,E521,'Istoric_Nativ'!$C$6:$C$405,F521,'Istoric_Nativ'!$F$6:$F$405,G521,'Istoric_Nativ'!$D$6:$D$405,"&lt;"&amp;J521,'Istoric_Nativ'!$P$6:$P$405,1))))</x:f>
        <x:v>0</x:v>
      </x:c>
      <x:c r="L521" s="17" t="n">
        <x:f>IF(AND(B521&lt;&gt;"",I521="RECENT",K521&gt;0),LARGE(_xlfn._xlws.FILTER('Istoric_Nativ'!$D$6:$D$405,('Istoric_Nativ'!$B$6:$B$405=E521)*('Istoric_Nativ'!$C$6:$C$405=F521)*('Istoric_Nativ'!$P$6:$P$405=1)*('Istoric_Nativ'!$D$6:$D$405&lt;J521)*((('Istoric_Nativ'!$E$6:$E$405=G521)+('Istoric_Nativ'!$F$6:$F$405=G521))&gt;0)),MIN('Config_v6'!$B$54,K521)),0)</x:f>
        <x:v>0</x:v>
      </x:c>
      <x:c r="M521" s="2" t="n">
        <x:f>IF(OR(B521="",F521=""),0,IF(H521="HOME",COUNTIFS('Istoric_Nativ'!$B$6:$B$405,E521,'Istoric_Nativ'!$C$6:$C$405,F521,'Istoric_Nativ'!$E$6:$E$405,G521,'Istoric_Nativ'!$D$6:$D$405,"&lt;"&amp;J521,'Istoric_Nativ'!$P$6:$P$405,1,'Istoric_Nativ'!$D$6:$D$405,"&gt;="&amp;L521),IF(H521="AWAY",COUNTIFS('Istoric_Nativ'!$B$6:$B$405,E521,'Istoric_Nativ'!$C$6:$C$405,F521,'Istoric_Nativ'!$F$6:$F$405,G521,'Istoric_Nativ'!$D$6:$D$405,"&lt;"&amp;J521,'Istoric_Nativ'!$P$6:$P$405,1,'Istoric_Nativ'!$D$6:$D$405,"&gt;="&amp;L521),COUNTIFS('Istoric_Nativ'!$B$6:$B$405,E521,'Istoric_Nativ'!$C$6:$C$405,F521,'Istoric_Nativ'!$E$6:$E$405,G521,'Istoric_Nativ'!$D$6:$D$405,"&lt;"&amp;J521,'Istoric_Nativ'!$P$6:$P$405,1,'Istoric_Nativ'!$D$6:$D$405,"&gt;="&amp;L521)+COUNTIFS('Istoric_Nativ'!$B$6:$B$405,E521,'Istoric_Nativ'!$C$6:$C$405,F521,'Istoric_Nativ'!$F$6:$F$405,G521,'Istoric_Nativ'!$D$6:$D$405,"&lt;"&amp;J521,'Istoric_Nativ'!$P$6:$P$405,1,'Istoric_Nativ'!$D$6:$D$405,"&gt;="&amp;L521))))</x:f>
        <x:v>0</x:v>
      </x:c>
      <x:c r="N521" s="11" t="str">
        <x:f>IF(M521=0,"",IF(H521="HOME",SUMIFS('Istoric_Nativ'!$G$6:$G$405,'Istoric_Nativ'!$B$6:$B$405,E521,'Istoric_Nativ'!$C$6:$C$405,F521,'Istoric_Nativ'!$E$6:$E$405,G521,'Istoric_Nativ'!$D$6:$D$405,"&lt;"&amp;J521,'Istoric_Nativ'!$P$6:$P$405,1,'Istoric_Nativ'!$D$6:$D$405,"&gt;="&amp;L521),IF(H521="AWAY",SUMIFS('Istoric_Nativ'!$H$6:$H$405,'Istoric_Nativ'!$B$6:$B$405,E521,'Istoric_Nativ'!$C$6:$C$405,F521,'Istoric_Nativ'!$F$6:$F$405,G521,'Istoric_Nativ'!$D$6:$D$405,"&lt;"&amp;J521,'Istoric_Nativ'!$P$6:$P$405,1,'Istoric_Nativ'!$D$6:$D$405,"&gt;="&amp;L521),SUMIFS('Istoric_Nativ'!$G$6:$G$405,'Istoric_Nativ'!$B$6:$B$405,E521,'Istoric_Nativ'!$C$6:$C$405,F521,'Istoric_Nativ'!$E$6:$E$405,G521,'Istoric_Nativ'!$D$6:$D$405,"&lt;"&amp;J521,'Istoric_Nativ'!$P$6:$P$405,1,'Istoric_Nativ'!$D$6:$D$405,"&gt;="&amp;L521)+SUMIFS('Istoric_Nativ'!$H$6:$H$405,'Istoric_Nativ'!$B$6:$B$405,E521,'Istoric_Nativ'!$C$6:$C$405,F521,'Istoric_Nativ'!$F$6:$F$405,G521,'Istoric_Nativ'!$D$6:$D$405,"&lt;"&amp;J521,'Istoric_Nativ'!$P$6:$P$405,1,'Istoric_Nativ'!$D$6:$D$405,"&gt;="&amp;L521)))/M521)</x:f>
      </x:c>
      <x:c r="O521" s="11" t="str">
        <x:f>IF(M521=0,"",IF(H521="HOME",SUMIFS('Istoric_Nativ'!$H$6:$H$405,'Istoric_Nativ'!$B$6:$B$405,E521,'Istoric_Nativ'!$C$6:$C$405,F521,'Istoric_Nativ'!$E$6:$E$405,G521,'Istoric_Nativ'!$D$6:$D$405,"&lt;"&amp;J521,'Istoric_Nativ'!$P$6:$P$405,1,'Istoric_Nativ'!$D$6:$D$405,"&gt;="&amp;L521),IF(H521="AWAY",SUMIFS('Istoric_Nativ'!$G$6:$G$405,'Istoric_Nativ'!$B$6:$B$405,E521,'Istoric_Nativ'!$C$6:$C$405,F521,'Istoric_Nativ'!$F$6:$F$405,G521,'Istoric_Nativ'!$D$6:$D$405,"&lt;"&amp;J521,'Istoric_Nativ'!$P$6:$P$405,1,'Istoric_Nativ'!$D$6:$D$405,"&gt;="&amp;L521),SUMIFS('Istoric_Nativ'!$H$6:$H$405,'Istoric_Nativ'!$B$6:$B$405,E521,'Istoric_Nativ'!$C$6:$C$405,F521,'Istoric_Nativ'!$E$6:$E$405,G521,'Istoric_Nativ'!$D$6:$D$405,"&lt;"&amp;J521,'Istoric_Nativ'!$P$6:$P$405,1,'Istoric_Nativ'!$D$6:$D$405,"&gt;="&amp;L521)+SUMIFS('Istoric_Nativ'!$G$6:$G$405,'Istoric_Nativ'!$B$6:$B$405,E521,'Istoric_Nativ'!$C$6:$C$405,F521,'Istoric_Nativ'!$F$6:$F$405,G521,'Istoric_Nativ'!$D$6:$D$405,"&lt;"&amp;J521,'Istoric_Nativ'!$P$6:$P$405,1,'Istoric_Nativ'!$D$6:$D$405,"&gt;="&amp;L521)))/M521)</x:f>
      </x:c>
      <x:c r="P521" s="2" t="n">
        <x:f>'Config_v6'!$B$9</x:f>
        <x:v>3</x:v>
      </x:c>
      <x:c r="Q521" s="2" t="n">
        <x:f>IF(OR(B521="",F521=""),0,IFERROR(MATCH(E521&amp;"|"&amp;F521,SourceTable[Source_Key],0),0))</x:f>
        <x:v>0</x:v>
      </x:c>
      <x:c r="R521" s="2" t="str">
        <x:f>IF(B521="","",IF(F521="","UNUSED",IF(Q521=0,"NOT CHECKED",IF(COUNTIF(SourceTable[Source_Key],E521&amp;"|"&amp;F521)&lt;&gt;1,"SOURCE CONFLICT",IF(NOT(OR(INDEX(SourceTable[Status],MAX(1,Q521))="IMPORTED",INDEX(SourceTable[Status],MAX(1,Q521))="PARTIAL",INDEX(SourceTable[Status],MAX(1,Q521))="SOURCE CONFLICT")),"ACCESS BLOCKED",IF(OR(INDEX(SourceTable[Coverage],Q521)&lt;&gt;"FULL SEASON EXPORT",INDEX(SourceTable[URL],Q521)="",INDEX(SourceTable[SHA256],Q521)=""),"EVIDENCE INCOMPLETE",IF(AND('Input_Meci'!H48="LIVE",INDEX(SourceTable[Retrieved_UTC],Q521)&gt;'Input_Meci'!G48),"POST CUTOFF","CLOSED")))))))</x:f>
      </x:c>
      <x:c r="S521" s="2" t="n">
        <x:f>IF(OR(B521="",F521=""),0,COUNTIFS('Istoric_Nativ'!$B$6:$B$405,E521,'Istoric_Nativ'!$C$6:$C$405,F521,'Istoric_Nativ'!$E$6:$E$405,G521,'Istoric_Nativ'!$D$6:$D$405,"&lt;"&amp;J521,'Istoric_Nativ'!$O$6:$O$405,"INVALID")+COUNTIFS('Istoric_Nativ'!$B$6:$B$405,E521,'Istoric_Nativ'!$C$6:$C$405,F521,'Istoric_Nativ'!$E$6:$E$405,G521,'Istoric_Nativ'!$O$6:$O$405,"INVALID",'Istoric_Nativ'!$D$6:$D$405,"*")+COUNTIFS('Istoric_Nativ'!$B$6:$B$405,E521,'Istoric_Nativ'!$C$6:$C$405,F521,'Istoric_Nativ'!$E$6:$E$405,G521,'Istoric_Nativ'!$D$6:$D$405,"&lt;"&amp;J521,'Istoric_Nativ'!$O$6:$O$405,"SOURCE CONFLICT")+COUNTIFS('Istoric_Nativ'!$B$6:$B$405,E521,'Istoric_Nativ'!$C$6:$C$405,F521,'Istoric_Nativ'!$F$6:$F$405,G521,'Istoric_Nativ'!$D$6:$D$405,"&lt;"&amp;J521,'Istoric_Nativ'!$O$6:$O$405,"INVALID")+COUNTIFS('Istoric_Nativ'!$B$6:$B$405,E521,'Istoric_Nativ'!$C$6:$C$405,F521,'Istoric_Nativ'!$F$6:$F$405,G521,'Istoric_Nativ'!$O$6:$O$405,"INVALID",'Istoric_Nativ'!$D$6:$D$405,"*")+COUNTIFS('Istoric_Nativ'!$B$6:$B$405,E521,'Istoric_Nativ'!$C$6:$C$405,F521,'Istoric_Nativ'!$F$6:$F$405,G521,'Istoric_Nativ'!$D$6:$D$405,"&lt;"&amp;J521,'Istoric_Nativ'!$O$6:$O$405,"SOURCE CONFLICT"))</x:f>
        <x:v>0</x:v>
      </x:c>
      <x:c r="T521" s="2" t="str">
        <x:f>IF(B521="","",IF(R521&lt;&gt;"CLOSED",R521,IF(S521&gt;0,"NATIVE INPUT ISSUE",IF(M521=0,"NO HISTORY",IF(M521&lt;P521,"SMALL SAMPLE","DERIVED")))))</x:f>
      </x:c>
      <x:c r="U521" s="2" t="str">
        <x:f>IF(B521="","","NativeTable; "&amp;E521&amp;"; "&amp;F521&amp;"; "&amp;G521&amp;"; "&amp;H521&amp;"; before "&amp;TEXT(J521,"yyyy-mm-dd")&amp;IF(I521="RECENT","; from "&amp;TEXT(L521,"yyyy-mm-dd"),""))</x:f>
      </x:c>
    </x:row>
    <x:row r="522" ht="21" customHeight="1">
      <x:c r="A522" s="2" t="n">
        <x:v>44</x:v>
      </x:c>
      <x:c r="B522" s="2" t="str">
        <x:f>IF('Input_Meci'!A49="","",'Input_Meci'!A49)</x:f>
      </x:c>
      <x:c r="C522" s="2" t="str">
        <x:v>H</x:v>
      </x:c>
      <x:c r="D522" s="2" t="str">
        <x:v>CURRENT</x:v>
      </x:c>
      <x:c r="E522" s="2" t="str">
        <x:f>IF(B522="","",'Input_Meci'!B49)</x:f>
      </x:c>
      <x:c r="F522" s="2" t="str">
        <x:f>IF(B522="","",IF('Input_Meci'!C49="","",'Input_Meci'!C49))</x:f>
      </x:c>
      <x:c r="G522" s="2" t="str">
        <x:f>IF(B522="","",'Input_Meci'!D49)</x:f>
      </x:c>
      <x:c r="H522" s="2" t="str">
        <x:v>ANY</x:v>
      </x:c>
      <x:c r="I522" s="2" t="str">
        <x:v>SEASON</x:v>
      </x:c>
      <x:c r="J522" s="9" t="n">
        <x:f>IF(AND(B522&lt;&gt;"",ISNUMBER('Input_Meci'!G49)),INT('Input_Meci'!G49),0)</x:f>
        <x:v>0</x:v>
      </x:c>
      <x:c r="K522" s="2" t="n">
        <x:f>IF(OR(B522="",F522=""),0,IF(H522="HOME",COUNTIFS('Istoric_Nativ'!$B$6:$B$405,E522,'Istoric_Nativ'!$C$6:$C$405,F522,'Istoric_Nativ'!$E$6:$E$405,G522,'Istoric_Nativ'!$D$6:$D$405,"&lt;"&amp;J522,'Istoric_Nativ'!$P$6:$P$405,1),IF(H522="AWAY",COUNTIFS('Istoric_Nativ'!$B$6:$B$405,E522,'Istoric_Nativ'!$C$6:$C$405,F522,'Istoric_Nativ'!$F$6:$F$405,G522,'Istoric_Nativ'!$D$6:$D$405,"&lt;"&amp;J522,'Istoric_Nativ'!$P$6:$P$405,1),COUNTIFS('Istoric_Nativ'!$B$6:$B$405,E522,'Istoric_Nativ'!$C$6:$C$405,F522,'Istoric_Nativ'!$E$6:$E$405,G522,'Istoric_Nativ'!$D$6:$D$405,"&lt;"&amp;J522,'Istoric_Nativ'!$P$6:$P$405,1)+COUNTIFS('Istoric_Nativ'!$B$6:$B$405,E522,'Istoric_Nativ'!$C$6:$C$405,F522,'Istoric_Nativ'!$F$6:$F$405,G522,'Istoric_Nativ'!$D$6:$D$405,"&lt;"&amp;J522,'Istoric_Nativ'!$P$6:$P$405,1))))</x:f>
        <x:v>0</x:v>
      </x:c>
      <x:c r="L522" s="17" t="n">
        <x:f>IF(AND(B522&lt;&gt;"",I522="RECENT",K522&gt;0),LARGE(_xlfn._xlws.FILTER('Istoric_Nativ'!$D$6:$D$405,('Istoric_Nativ'!$B$6:$B$405=E522)*('Istoric_Nativ'!$C$6:$C$405=F522)*('Istoric_Nativ'!$P$6:$P$405=1)*('Istoric_Nativ'!$D$6:$D$405&lt;J522)*((('Istoric_Nativ'!$E$6:$E$405=G522)+('Istoric_Nativ'!$F$6:$F$405=G522))&gt;0)),MIN('Config_v6'!$B$54,K522)),0)</x:f>
        <x:v>0</x:v>
      </x:c>
      <x:c r="M522" s="2" t="n">
        <x:f>IF(OR(B522="",F522=""),0,IF(H522="HOME",COUNTIFS('Istoric_Nativ'!$B$6:$B$405,E522,'Istoric_Nativ'!$C$6:$C$405,F522,'Istoric_Nativ'!$E$6:$E$405,G522,'Istoric_Nativ'!$D$6:$D$405,"&lt;"&amp;J522,'Istoric_Nativ'!$P$6:$P$405,1,'Istoric_Nativ'!$D$6:$D$405,"&gt;="&amp;L522),IF(H522="AWAY",COUNTIFS('Istoric_Nativ'!$B$6:$B$405,E522,'Istoric_Nativ'!$C$6:$C$405,F522,'Istoric_Nativ'!$F$6:$F$405,G522,'Istoric_Nativ'!$D$6:$D$405,"&lt;"&amp;J522,'Istoric_Nativ'!$P$6:$P$405,1,'Istoric_Nativ'!$D$6:$D$405,"&gt;="&amp;L522),COUNTIFS('Istoric_Nativ'!$B$6:$B$405,E522,'Istoric_Nativ'!$C$6:$C$405,F522,'Istoric_Nativ'!$E$6:$E$405,G522,'Istoric_Nativ'!$D$6:$D$405,"&lt;"&amp;J522,'Istoric_Nativ'!$P$6:$P$405,1,'Istoric_Nativ'!$D$6:$D$405,"&gt;="&amp;L522)+COUNTIFS('Istoric_Nativ'!$B$6:$B$405,E522,'Istoric_Nativ'!$C$6:$C$405,F522,'Istoric_Nativ'!$F$6:$F$405,G522,'Istoric_Nativ'!$D$6:$D$405,"&lt;"&amp;J522,'Istoric_Nativ'!$P$6:$P$405,1,'Istoric_Nativ'!$D$6:$D$405,"&gt;="&amp;L522))))</x:f>
        <x:v>0</x:v>
      </x:c>
      <x:c r="N522" s="11" t="str">
        <x:f>IF(M522=0,"",IF(H522="HOME",SUMIFS('Istoric_Nativ'!$G$6:$G$405,'Istoric_Nativ'!$B$6:$B$405,E522,'Istoric_Nativ'!$C$6:$C$405,F522,'Istoric_Nativ'!$E$6:$E$405,G522,'Istoric_Nativ'!$D$6:$D$405,"&lt;"&amp;J522,'Istoric_Nativ'!$P$6:$P$405,1,'Istoric_Nativ'!$D$6:$D$405,"&gt;="&amp;L522),IF(H522="AWAY",SUMIFS('Istoric_Nativ'!$H$6:$H$405,'Istoric_Nativ'!$B$6:$B$405,E522,'Istoric_Nativ'!$C$6:$C$405,F522,'Istoric_Nativ'!$F$6:$F$405,G522,'Istoric_Nativ'!$D$6:$D$405,"&lt;"&amp;J522,'Istoric_Nativ'!$P$6:$P$405,1,'Istoric_Nativ'!$D$6:$D$405,"&gt;="&amp;L522),SUMIFS('Istoric_Nativ'!$G$6:$G$405,'Istoric_Nativ'!$B$6:$B$405,E522,'Istoric_Nativ'!$C$6:$C$405,F522,'Istoric_Nativ'!$E$6:$E$405,G522,'Istoric_Nativ'!$D$6:$D$405,"&lt;"&amp;J522,'Istoric_Nativ'!$P$6:$P$405,1,'Istoric_Nativ'!$D$6:$D$405,"&gt;="&amp;L522)+SUMIFS('Istoric_Nativ'!$H$6:$H$405,'Istoric_Nativ'!$B$6:$B$405,E522,'Istoric_Nativ'!$C$6:$C$405,F522,'Istoric_Nativ'!$F$6:$F$405,G522,'Istoric_Nativ'!$D$6:$D$405,"&lt;"&amp;J522,'Istoric_Nativ'!$P$6:$P$405,1,'Istoric_Nativ'!$D$6:$D$405,"&gt;="&amp;L522)))/M522)</x:f>
      </x:c>
      <x:c r="O522" s="11" t="str">
        <x:f>IF(M522=0,"",IF(H522="HOME",SUMIFS('Istoric_Nativ'!$H$6:$H$405,'Istoric_Nativ'!$B$6:$B$405,E522,'Istoric_Nativ'!$C$6:$C$405,F522,'Istoric_Nativ'!$E$6:$E$405,G522,'Istoric_Nativ'!$D$6:$D$405,"&lt;"&amp;J522,'Istoric_Nativ'!$P$6:$P$405,1,'Istoric_Nativ'!$D$6:$D$405,"&gt;="&amp;L522),IF(H522="AWAY",SUMIFS('Istoric_Nativ'!$G$6:$G$405,'Istoric_Nativ'!$B$6:$B$405,E522,'Istoric_Nativ'!$C$6:$C$405,F522,'Istoric_Nativ'!$F$6:$F$405,G522,'Istoric_Nativ'!$D$6:$D$405,"&lt;"&amp;J522,'Istoric_Nativ'!$P$6:$P$405,1,'Istoric_Nativ'!$D$6:$D$405,"&gt;="&amp;L522),SUMIFS('Istoric_Nativ'!$H$6:$H$405,'Istoric_Nativ'!$B$6:$B$405,E522,'Istoric_Nativ'!$C$6:$C$405,F522,'Istoric_Nativ'!$E$6:$E$405,G522,'Istoric_Nativ'!$D$6:$D$405,"&lt;"&amp;J522,'Istoric_Nativ'!$P$6:$P$405,1,'Istoric_Nativ'!$D$6:$D$405,"&gt;="&amp;L522)+SUMIFS('Istoric_Nativ'!$G$6:$G$405,'Istoric_Nativ'!$B$6:$B$405,E522,'Istoric_Nativ'!$C$6:$C$405,F522,'Istoric_Nativ'!$F$6:$F$405,G522,'Istoric_Nativ'!$D$6:$D$405,"&lt;"&amp;J522,'Istoric_Nativ'!$P$6:$P$405,1,'Istoric_Nativ'!$D$6:$D$405,"&gt;="&amp;L522)))/M522)</x:f>
      </x:c>
      <x:c r="P522" s="2" t="n">
        <x:f>'Config_v6'!$B$7</x:f>
        <x:v>10</x:v>
      </x:c>
      <x:c r="Q522" s="2" t="n">
        <x:f>IF(OR(B522="",F522=""),0,IFERROR(MATCH(E522&amp;"|"&amp;F522,SourceTable[Source_Key],0),0))</x:f>
        <x:v>0</x:v>
      </x:c>
      <x:c r="R522" s="2" t="str">
        <x:f>IF(B522="","",IF(F522="","UNUSED",IF(Q522=0,"NOT CHECKED",IF(COUNTIF(SourceTable[Source_Key],E522&amp;"|"&amp;F522)&lt;&gt;1,"SOURCE CONFLICT",IF(NOT(OR(INDEX(SourceTable[Status],MAX(1,Q522))="IMPORTED",INDEX(SourceTable[Status],MAX(1,Q522))="PARTIAL",INDEX(SourceTable[Status],MAX(1,Q522))="SOURCE CONFLICT")),"ACCESS BLOCKED",IF(OR(INDEX(SourceTable[Coverage],Q522)&lt;&gt;"FULL SEASON EXPORT",INDEX(SourceTable[URL],Q522)="",INDEX(SourceTable[SHA256],Q522)=""),"EVIDENCE INCOMPLETE",IF(AND('Input_Meci'!H49="LIVE",INDEX(SourceTable[Retrieved_UTC],Q522)&gt;'Input_Meci'!G49),"POST CUTOFF","CLOSED")))))))</x:f>
      </x:c>
      <x:c r="S522" s="2" t="n">
        <x:f>IF(OR(B522="",F522=""),0,COUNTIFS('Istoric_Nativ'!$B$6:$B$405,E522,'Istoric_Nativ'!$C$6:$C$405,F522,'Istoric_Nativ'!$E$6:$E$405,G522,'Istoric_Nativ'!$D$6:$D$405,"&lt;"&amp;J522,'Istoric_Nativ'!$O$6:$O$405,"INVALID")+COUNTIFS('Istoric_Nativ'!$B$6:$B$405,E522,'Istoric_Nativ'!$C$6:$C$405,F522,'Istoric_Nativ'!$E$6:$E$405,G522,'Istoric_Nativ'!$O$6:$O$405,"INVALID",'Istoric_Nativ'!$D$6:$D$405,"*")+COUNTIFS('Istoric_Nativ'!$B$6:$B$405,E522,'Istoric_Nativ'!$C$6:$C$405,F522,'Istoric_Nativ'!$E$6:$E$405,G522,'Istoric_Nativ'!$D$6:$D$405,"&lt;"&amp;J522,'Istoric_Nativ'!$O$6:$O$405,"SOURCE CONFLICT")+COUNTIFS('Istoric_Nativ'!$B$6:$B$405,E522,'Istoric_Nativ'!$C$6:$C$405,F522,'Istoric_Nativ'!$F$6:$F$405,G522,'Istoric_Nativ'!$D$6:$D$405,"&lt;"&amp;J522,'Istoric_Nativ'!$O$6:$O$405,"INVALID")+COUNTIFS('Istoric_Nativ'!$B$6:$B$405,E522,'Istoric_Nativ'!$C$6:$C$405,F522,'Istoric_Nativ'!$F$6:$F$405,G522,'Istoric_Nativ'!$O$6:$O$405,"INVALID",'Istoric_Nativ'!$D$6:$D$405,"*")+COUNTIFS('Istoric_Nativ'!$B$6:$B$405,E522,'Istoric_Nativ'!$C$6:$C$405,F522,'Istoric_Nativ'!$F$6:$F$405,G522,'Istoric_Nativ'!$D$6:$D$405,"&lt;"&amp;J522,'Istoric_Nativ'!$O$6:$O$405,"SOURCE CONFLICT"))</x:f>
        <x:v>0</x:v>
      </x:c>
      <x:c r="T522" s="2" t="str">
        <x:f>IF(B522="","",IF(R522&lt;&gt;"CLOSED",R522,IF(S522&gt;0,"NATIVE INPUT ISSUE",IF(M522=0,"NO HISTORY",IF(M522&lt;P522,"SMALL SAMPLE","DERIVED")))))</x:f>
      </x:c>
      <x:c r="U522" s="2" t="str">
        <x:f>IF(B522="","","NativeTable; "&amp;E522&amp;"; "&amp;F522&amp;"; "&amp;G522&amp;"; "&amp;H522&amp;"; before "&amp;TEXT(J522,"yyyy-mm-dd")&amp;IF(I522="RECENT","; from "&amp;TEXT(L522,"yyyy-mm-dd"),""))</x:f>
      </x:c>
    </x:row>
    <x:row r="523" ht="21" customHeight="1">
      <x:c r="A523" s="2" t="n">
        <x:v>44</x:v>
      </x:c>
      <x:c r="B523" s="2" t="str">
        <x:f>IF('Input_Meci'!A49="","",'Input_Meci'!A49)</x:f>
      </x:c>
      <x:c r="C523" s="2" t="str">
        <x:v>H</x:v>
      </x:c>
      <x:c r="D523" s="2" t="str">
        <x:v>CURRENT</x:v>
      </x:c>
      <x:c r="E523" s="2" t="str">
        <x:f>IF(B523="","",'Input_Meci'!B49)</x:f>
      </x:c>
      <x:c r="F523" s="2" t="str">
        <x:f>IF(B523="","",IF('Input_Meci'!C49="","",'Input_Meci'!C49))</x:f>
      </x:c>
      <x:c r="G523" s="2" t="str">
        <x:f>IF(B523="","",'Input_Meci'!D49)</x:f>
      </x:c>
      <x:c r="H523" s="2" t="str">
        <x:v>HOME</x:v>
      </x:c>
      <x:c r="I523" s="2" t="str">
        <x:v>HA</x:v>
      </x:c>
      <x:c r="J523" s="9" t="n">
        <x:f>IF(AND(B523&lt;&gt;"",ISNUMBER('Input_Meci'!G49)),INT('Input_Meci'!G49),0)</x:f>
        <x:v>0</x:v>
      </x:c>
      <x:c r="K523" s="2" t="n">
        <x:f>IF(OR(B523="",F523=""),0,IF(H523="HOME",COUNTIFS('Istoric_Nativ'!$B$6:$B$405,E523,'Istoric_Nativ'!$C$6:$C$405,F523,'Istoric_Nativ'!$E$6:$E$405,G523,'Istoric_Nativ'!$D$6:$D$405,"&lt;"&amp;J523,'Istoric_Nativ'!$P$6:$P$405,1),IF(H523="AWAY",COUNTIFS('Istoric_Nativ'!$B$6:$B$405,E523,'Istoric_Nativ'!$C$6:$C$405,F523,'Istoric_Nativ'!$F$6:$F$405,G523,'Istoric_Nativ'!$D$6:$D$405,"&lt;"&amp;J523,'Istoric_Nativ'!$P$6:$P$405,1),COUNTIFS('Istoric_Nativ'!$B$6:$B$405,E523,'Istoric_Nativ'!$C$6:$C$405,F523,'Istoric_Nativ'!$E$6:$E$405,G523,'Istoric_Nativ'!$D$6:$D$405,"&lt;"&amp;J523,'Istoric_Nativ'!$P$6:$P$405,1)+COUNTIFS('Istoric_Nativ'!$B$6:$B$405,E523,'Istoric_Nativ'!$C$6:$C$405,F523,'Istoric_Nativ'!$F$6:$F$405,G523,'Istoric_Nativ'!$D$6:$D$405,"&lt;"&amp;J523,'Istoric_Nativ'!$P$6:$P$405,1))))</x:f>
        <x:v>0</x:v>
      </x:c>
      <x:c r="L523" s="17" t="n">
        <x:f>IF(AND(B523&lt;&gt;"",I523="RECENT",K523&gt;0),LARGE(_xlfn._xlws.FILTER('Istoric_Nativ'!$D$6:$D$405,('Istoric_Nativ'!$B$6:$B$405=E523)*('Istoric_Nativ'!$C$6:$C$405=F523)*('Istoric_Nativ'!$P$6:$P$405=1)*('Istoric_Nativ'!$D$6:$D$405&lt;J523)*((('Istoric_Nativ'!$E$6:$E$405=G523)+('Istoric_Nativ'!$F$6:$F$405=G523))&gt;0)),MIN('Config_v6'!$B$54,K523)),0)</x:f>
        <x:v>0</x:v>
      </x:c>
      <x:c r="M523" s="2" t="n">
        <x:f>IF(OR(B523="",F523=""),0,IF(H523="HOME",COUNTIFS('Istoric_Nativ'!$B$6:$B$405,E523,'Istoric_Nativ'!$C$6:$C$405,F523,'Istoric_Nativ'!$E$6:$E$405,G523,'Istoric_Nativ'!$D$6:$D$405,"&lt;"&amp;J523,'Istoric_Nativ'!$P$6:$P$405,1,'Istoric_Nativ'!$D$6:$D$405,"&gt;="&amp;L523),IF(H523="AWAY",COUNTIFS('Istoric_Nativ'!$B$6:$B$405,E523,'Istoric_Nativ'!$C$6:$C$405,F523,'Istoric_Nativ'!$F$6:$F$405,G523,'Istoric_Nativ'!$D$6:$D$405,"&lt;"&amp;J523,'Istoric_Nativ'!$P$6:$P$405,1,'Istoric_Nativ'!$D$6:$D$405,"&gt;="&amp;L523),COUNTIFS('Istoric_Nativ'!$B$6:$B$405,E523,'Istoric_Nativ'!$C$6:$C$405,F523,'Istoric_Nativ'!$E$6:$E$405,G523,'Istoric_Nativ'!$D$6:$D$405,"&lt;"&amp;J523,'Istoric_Nativ'!$P$6:$P$405,1,'Istoric_Nativ'!$D$6:$D$405,"&gt;="&amp;L523)+COUNTIFS('Istoric_Nativ'!$B$6:$B$405,E523,'Istoric_Nativ'!$C$6:$C$405,F523,'Istoric_Nativ'!$F$6:$F$405,G523,'Istoric_Nativ'!$D$6:$D$405,"&lt;"&amp;J523,'Istoric_Nativ'!$P$6:$P$405,1,'Istoric_Nativ'!$D$6:$D$405,"&gt;="&amp;L523))))</x:f>
        <x:v>0</x:v>
      </x:c>
      <x:c r="N523" s="11" t="str">
        <x:f>IF(M523=0,"",IF(H523="HOME",SUMIFS('Istoric_Nativ'!$G$6:$G$405,'Istoric_Nativ'!$B$6:$B$405,E523,'Istoric_Nativ'!$C$6:$C$405,F523,'Istoric_Nativ'!$E$6:$E$405,G523,'Istoric_Nativ'!$D$6:$D$405,"&lt;"&amp;J523,'Istoric_Nativ'!$P$6:$P$405,1,'Istoric_Nativ'!$D$6:$D$405,"&gt;="&amp;L523),IF(H523="AWAY",SUMIFS('Istoric_Nativ'!$H$6:$H$405,'Istoric_Nativ'!$B$6:$B$405,E523,'Istoric_Nativ'!$C$6:$C$405,F523,'Istoric_Nativ'!$F$6:$F$405,G523,'Istoric_Nativ'!$D$6:$D$405,"&lt;"&amp;J523,'Istoric_Nativ'!$P$6:$P$405,1,'Istoric_Nativ'!$D$6:$D$405,"&gt;="&amp;L523),SUMIFS('Istoric_Nativ'!$G$6:$G$405,'Istoric_Nativ'!$B$6:$B$405,E523,'Istoric_Nativ'!$C$6:$C$405,F523,'Istoric_Nativ'!$E$6:$E$405,G523,'Istoric_Nativ'!$D$6:$D$405,"&lt;"&amp;J523,'Istoric_Nativ'!$P$6:$P$405,1,'Istoric_Nativ'!$D$6:$D$405,"&gt;="&amp;L523)+SUMIFS('Istoric_Nativ'!$H$6:$H$405,'Istoric_Nativ'!$B$6:$B$405,E523,'Istoric_Nativ'!$C$6:$C$405,F523,'Istoric_Nativ'!$F$6:$F$405,G523,'Istoric_Nativ'!$D$6:$D$405,"&lt;"&amp;J523,'Istoric_Nativ'!$P$6:$P$405,1,'Istoric_Nativ'!$D$6:$D$405,"&gt;="&amp;L523)))/M523)</x:f>
      </x:c>
      <x:c r="O523" s="11" t="str">
        <x:f>IF(M523=0,"",IF(H523="HOME",SUMIFS('Istoric_Nativ'!$H$6:$H$405,'Istoric_Nativ'!$B$6:$B$405,E523,'Istoric_Nativ'!$C$6:$C$405,F523,'Istoric_Nativ'!$E$6:$E$405,G523,'Istoric_Nativ'!$D$6:$D$405,"&lt;"&amp;J523,'Istoric_Nativ'!$P$6:$P$405,1,'Istoric_Nativ'!$D$6:$D$405,"&gt;="&amp;L523),IF(H523="AWAY",SUMIFS('Istoric_Nativ'!$G$6:$G$405,'Istoric_Nativ'!$B$6:$B$405,E523,'Istoric_Nativ'!$C$6:$C$405,F523,'Istoric_Nativ'!$F$6:$F$405,G523,'Istoric_Nativ'!$D$6:$D$405,"&lt;"&amp;J523,'Istoric_Nativ'!$P$6:$P$405,1,'Istoric_Nativ'!$D$6:$D$405,"&gt;="&amp;L523),SUMIFS('Istoric_Nativ'!$H$6:$H$405,'Istoric_Nativ'!$B$6:$B$405,E523,'Istoric_Nativ'!$C$6:$C$405,F523,'Istoric_Nativ'!$E$6:$E$405,G523,'Istoric_Nativ'!$D$6:$D$405,"&lt;"&amp;J523,'Istoric_Nativ'!$P$6:$P$405,1,'Istoric_Nativ'!$D$6:$D$405,"&gt;="&amp;L523)+SUMIFS('Istoric_Nativ'!$G$6:$G$405,'Istoric_Nativ'!$B$6:$B$405,E523,'Istoric_Nativ'!$C$6:$C$405,F523,'Istoric_Nativ'!$F$6:$F$405,G523,'Istoric_Nativ'!$D$6:$D$405,"&lt;"&amp;J523,'Istoric_Nativ'!$P$6:$P$405,1,'Istoric_Nativ'!$D$6:$D$405,"&gt;="&amp;L523)))/M523)</x:f>
      </x:c>
      <x:c r="P523" s="2" t="n">
        <x:f>'Config_v6'!$B$8</x:f>
        <x:v>5</x:v>
      </x:c>
      <x:c r="Q523" s="2" t="n">
        <x:f>IF(OR(B523="",F523=""),0,IFERROR(MATCH(E523&amp;"|"&amp;F523,SourceTable[Source_Key],0),0))</x:f>
        <x:v>0</x:v>
      </x:c>
      <x:c r="R523" s="2" t="str">
        <x:f>IF(B523="","",IF(F523="","UNUSED",IF(Q523=0,"NOT CHECKED",IF(COUNTIF(SourceTable[Source_Key],E523&amp;"|"&amp;F523)&lt;&gt;1,"SOURCE CONFLICT",IF(NOT(OR(INDEX(SourceTable[Status],MAX(1,Q523))="IMPORTED",INDEX(SourceTable[Status],MAX(1,Q523))="PARTIAL",INDEX(SourceTable[Status],MAX(1,Q523))="SOURCE CONFLICT")),"ACCESS BLOCKED",IF(OR(INDEX(SourceTable[Coverage],Q523)&lt;&gt;"FULL SEASON EXPORT",INDEX(SourceTable[URL],Q523)="",INDEX(SourceTable[SHA256],Q523)=""),"EVIDENCE INCOMPLETE",IF(AND('Input_Meci'!H49="LIVE",INDEX(SourceTable[Retrieved_UTC],Q523)&gt;'Input_Meci'!G49),"POST CUTOFF","CLOSED")))))))</x:f>
      </x:c>
      <x:c r="S523" s="2" t="n">
        <x:f>IF(OR(B523="",F523=""),0,COUNTIFS('Istoric_Nativ'!$B$6:$B$405,E523,'Istoric_Nativ'!$C$6:$C$405,F523,'Istoric_Nativ'!$E$6:$E$405,G523,'Istoric_Nativ'!$D$6:$D$405,"&lt;"&amp;J523,'Istoric_Nativ'!$O$6:$O$405,"INVALID")+COUNTIFS('Istoric_Nativ'!$B$6:$B$405,E523,'Istoric_Nativ'!$C$6:$C$405,F523,'Istoric_Nativ'!$E$6:$E$405,G523,'Istoric_Nativ'!$O$6:$O$405,"INVALID",'Istoric_Nativ'!$D$6:$D$405,"*")+COUNTIFS('Istoric_Nativ'!$B$6:$B$405,E523,'Istoric_Nativ'!$C$6:$C$405,F523,'Istoric_Nativ'!$E$6:$E$405,G523,'Istoric_Nativ'!$D$6:$D$405,"&lt;"&amp;J523,'Istoric_Nativ'!$O$6:$O$405,"SOURCE CONFLICT")+COUNTIFS('Istoric_Nativ'!$B$6:$B$405,E523,'Istoric_Nativ'!$C$6:$C$405,F523,'Istoric_Nativ'!$F$6:$F$405,G523,'Istoric_Nativ'!$D$6:$D$405,"&lt;"&amp;J523,'Istoric_Nativ'!$O$6:$O$405,"INVALID")+COUNTIFS('Istoric_Nativ'!$B$6:$B$405,E523,'Istoric_Nativ'!$C$6:$C$405,F523,'Istoric_Nativ'!$F$6:$F$405,G523,'Istoric_Nativ'!$O$6:$O$405,"INVALID",'Istoric_Nativ'!$D$6:$D$405,"*")+COUNTIFS('Istoric_Nativ'!$B$6:$B$405,E523,'Istoric_Nativ'!$C$6:$C$405,F523,'Istoric_Nativ'!$F$6:$F$405,G523,'Istoric_Nativ'!$D$6:$D$405,"&lt;"&amp;J523,'Istoric_Nativ'!$O$6:$O$405,"SOURCE CONFLICT"))</x:f>
        <x:v>0</x:v>
      </x:c>
      <x:c r="T523" s="2" t="str">
        <x:f>IF(B523="","",IF(R523&lt;&gt;"CLOSED",R523,IF(S523&gt;0,"NATIVE INPUT ISSUE",IF(M523=0,"NO HISTORY",IF(M523&lt;P523,"SMALL SAMPLE","DERIVED")))))</x:f>
      </x:c>
      <x:c r="U523" s="2" t="str">
        <x:f>IF(B523="","","NativeTable; "&amp;E523&amp;"; "&amp;F523&amp;"; "&amp;G523&amp;"; "&amp;H523&amp;"; before "&amp;TEXT(J523,"yyyy-mm-dd")&amp;IF(I523="RECENT","; from "&amp;TEXT(L523,"yyyy-mm-dd"),""))</x:f>
      </x:c>
    </x:row>
    <x:row r="524" ht="21" customHeight="1">
      <x:c r="A524" s="2" t="n">
        <x:v>44</x:v>
      </x:c>
      <x:c r="B524" s="2" t="str">
        <x:f>IF('Input_Meci'!A49="","",'Input_Meci'!A49)</x:f>
      </x:c>
      <x:c r="C524" s="2" t="str">
        <x:v>H</x:v>
      </x:c>
      <x:c r="D524" s="2" t="str">
        <x:v>CURRENT</x:v>
      </x:c>
      <x:c r="E524" s="2" t="str">
        <x:f>IF(B524="","",'Input_Meci'!B49)</x:f>
      </x:c>
      <x:c r="F524" s="2" t="str">
        <x:f>IF(B524="","",IF('Input_Meci'!C49="","",'Input_Meci'!C49))</x:f>
      </x:c>
      <x:c r="G524" s="2" t="str">
        <x:f>IF(B524="","",'Input_Meci'!D49)</x:f>
      </x:c>
      <x:c r="H524" s="2" t="str">
        <x:v>ANY</x:v>
      </x:c>
      <x:c r="I524" s="2" t="str">
        <x:v>RECENT</x:v>
      </x:c>
      <x:c r="J524" s="9" t="n">
        <x:f>IF(AND(B524&lt;&gt;"",ISNUMBER('Input_Meci'!G49)),INT('Input_Meci'!G49),0)</x:f>
        <x:v>0</x:v>
      </x:c>
      <x:c r="K524" s="2" t="n">
        <x:f>IF(OR(B524="",F524=""),0,IF(H524="HOME",COUNTIFS('Istoric_Nativ'!$B$6:$B$405,E524,'Istoric_Nativ'!$C$6:$C$405,F524,'Istoric_Nativ'!$E$6:$E$405,G524,'Istoric_Nativ'!$D$6:$D$405,"&lt;"&amp;J524,'Istoric_Nativ'!$P$6:$P$405,1),IF(H524="AWAY",COUNTIFS('Istoric_Nativ'!$B$6:$B$405,E524,'Istoric_Nativ'!$C$6:$C$405,F524,'Istoric_Nativ'!$F$6:$F$405,G524,'Istoric_Nativ'!$D$6:$D$405,"&lt;"&amp;J524,'Istoric_Nativ'!$P$6:$P$405,1),COUNTIFS('Istoric_Nativ'!$B$6:$B$405,E524,'Istoric_Nativ'!$C$6:$C$405,F524,'Istoric_Nativ'!$E$6:$E$405,G524,'Istoric_Nativ'!$D$6:$D$405,"&lt;"&amp;J524,'Istoric_Nativ'!$P$6:$P$405,1)+COUNTIFS('Istoric_Nativ'!$B$6:$B$405,E524,'Istoric_Nativ'!$C$6:$C$405,F524,'Istoric_Nativ'!$F$6:$F$405,G524,'Istoric_Nativ'!$D$6:$D$405,"&lt;"&amp;J524,'Istoric_Nativ'!$P$6:$P$405,1))))</x:f>
        <x:v>0</x:v>
      </x:c>
      <x:c r="L524" s="17" t="n">
        <x:f>IF(AND(B524&lt;&gt;"",I524="RECENT",K524&gt;0),LARGE(_xlfn._xlws.FILTER('Istoric_Nativ'!$D$6:$D$405,('Istoric_Nativ'!$B$6:$B$405=E524)*('Istoric_Nativ'!$C$6:$C$405=F524)*('Istoric_Nativ'!$P$6:$P$405=1)*('Istoric_Nativ'!$D$6:$D$405&lt;J524)*((('Istoric_Nativ'!$E$6:$E$405=G524)+('Istoric_Nativ'!$F$6:$F$405=G524))&gt;0)),MIN('Config_v6'!$B$54,K524)),0)</x:f>
        <x:v>0</x:v>
      </x:c>
      <x:c r="M524" s="2" t="n">
        <x:f>IF(OR(B524="",F524=""),0,IF(H524="HOME",COUNTIFS('Istoric_Nativ'!$B$6:$B$405,E524,'Istoric_Nativ'!$C$6:$C$405,F524,'Istoric_Nativ'!$E$6:$E$405,G524,'Istoric_Nativ'!$D$6:$D$405,"&lt;"&amp;J524,'Istoric_Nativ'!$P$6:$P$405,1,'Istoric_Nativ'!$D$6:$D$405,"&gt;="&amp;L524),IF(H524="AWAY",COUNTIFS('Istoric_Nativ'!$B$6:$B$405,E524,'Istoric_Nativ'!$C$6:$C$405,F524,'Istoric_Nativ'!$F$6:$F$405,G524,'Istoric_Nativ'!$D$6:$D$405,"&lt;"&amp;J524,'Istoric_Nativ'!$P$6:$P$405,1,'Istoric_Nativ'!$D$6:$D$405,"&gt;="&amp;L524),COUNTIFS('Istoric_Nativ'!$B$6:$B$405,E524,'Istoric_Nativ'!$C$6:$C$405,F524,'Istoric_Nativ'!$E$6:$E$405,G524,'Istoric_Nativ'!$D$6:$D$405,"&lt;"&amp;J524,'Istoric_Nativ'!$P$6:$P$405,1,'Istoric_Nativ'!$D$6:$D$405,"&gt;="&amp;L524)+COUNTIFS('Istoric_Nativ'!$B$6:$B$405,E524,'Istoric_Nativ'!$C$6:$C$405,F524,'Istoric_Nativ'!$F$6:$F$405,G524,'Istoric_Nativ'!$D$6:$D$405,"&lt;"&amp;J524,'Istoric_Nativ'!$P$6:$P$405,1,'Istoric_Nativ'!$D$6:$D$405,"&gt;="&amp;L524))))</x:f>
        <x:v>0</x:v>
      </x:c>
      <x:c r="N524" s="11" t="str">
        <x:f>IF(M524=0,"",IF(H524="HOME",SUMIFS('Istoric_Nativ'!$G$6:$G$405,'Istoric_Nativ'!$B$6:$B$405,E524,'Istoric_Nativ'!$C$6:$C$405,F524,'Istoric_Nativ'!$E$6:$E$405,G524,'Istoric_Nativ'!$D$6:$D$405,"&lt;"&amp;J524,'Istoric_Nativ'!$P$6:$P$405,1,'Istoric_Nativ'!$D$6:$D$405,"&gt;="&amp;L524),IF(H524="AWAY",SUMIFS('Istoric_Nativ'!$H$6:$H$405,'Istoric_Nativ'!$B$6:$B$405,E524,'Istoric_Nativ'!$C$6:$C$405,F524,'Istoric_Nativ'!$F$6:$F$405,G524,'Istoric_Nativ'!$D$6:$D$405,"&lt;"&amp;J524,'Istoric_Nativ'!$P$6:$P$405,1,'Istoric_Nativ'!$D$6:$D$405,"&gt;="&amp;L524),SUMIFS('Istoric_Nativ'!$G$6:$G$405,'Istoric_Nativ'!$B$6:$B$405,E524,'Istoric_Nativ'!$C$6:$C$405,F524,'Istoric_Nativ'!$E$6:$E$405,G524,'Istoric_Nativ'!$D$6:$D$405,"&lt;"&amp;J524,'Istoric_Nativ'!$P$6:$P$405,1,'Istoric_Nativ'!$D$6:$D$405,"&gt;="&amp;L524)+SUMIFS('Istoric_Nativ'!$H$6:$H$405,'Istoric_Nativ'!$B$6:$B$405,E524,'Istoric_Nativ'!$C$6:$C$405,F524,'Istoric_Nativ'!$F$6:$F$405,G524,'Istoric_Nativ'!$D$6:$D$405,"&lt;"&amp;J524,'Istoric_Nativ'!$P$6:$P$405,1,'Istoric_Nativ'!$D$6:$D$405,"&gt;="&amp;L524)))/M524)</x:f>
      </x:c>
      <x:c r="O524" s="11" t="str">
        <x:f>IF(M524=0,"",IF(H524="HOME",SUMIFS('Istoric_Nativ'!$H$6:$H$405,'Istoric_Nativ'!$B$6:$B$405,E524,'Istoric_Nativ'!$C$6:$C$405,F524,'Istoric_Nativ'!$E$6:$E$405,G524,'Istoric_Nativ'!$D$6:$D$405,"&lt;"&amp;J524,'Istoric_Nativ'!$P$6:$P$405,1,'Istoric_Nativ'!$D$6:$D$405,"&gt;="&amp;L524),IF(H524="AWAY",SUMIFS('Istoric_Nativ'!$G$6:$G$405,'Istoric_Nativ'!$B$6:$B$405,E524,'Istoric_Nativ'!$C$6:$C$405,F524,'Istoric_Nativ'!$F$6:$F$405,G524,'Istoric_Nativ'!$D$6:$D$405,"&lt;"&amp;J524,'Istoric_Nativ'!$P$6:$P$405,1,'Istoric_Nativ'!$D$6:$D$405,"&gt;="&amp;L524),SUMIFS('Istoric_Nativ'!$H$6:$H$405,'Istoric_Nativ'!$B$6:$B$405,E524,'Istoric_Nativ'!$C$6:$C$405,F524,'Istoric_Nativ'!$E$6:$E$405,G524,'Istoric_Nativ'!$D$6:$D$405,"&lt;"&amp;J524,'Istoric_Nativ'!$P$6:$P$405,1,'Istoric_Nativ'!$D$6:$D$405,"&gt;="&amp;L524)+SUMIFS('Istoric_Nativ'!$G$6:$G$405,'Istoric_Nativ'!$B$6:$B$405,E524,'Istoric_Nativ'!$C$6:$C$405,F524,'Istoric_Nativ'!$F$6:$F$405,G524,'Istoric_Nativ'!$D$6:$D$405,"&lt;"&amp;J524,'Istoric_Nativ'!$P$6:$P$405,1,'Istoric_Nativ'!$D$6:$D$405,"&gt;="&amp;L524)))/M524)</x:f>
      </x:c>
      <x:c r="P524" s="2" t="n">
        <x:f>'Config_v6'!$B$9</x:f>
        <x:v>3</x:v>
      </x:c>
      <x:c r="Q524" s="2" t="n">
        <x:f>IF(OR(B524="",F524=""),0,IFERROR(MATCH(E524&amp;"|"&amp;F524,SourceTable[Source_Key],0),0))</x:f>
        <x:v>0</x:v>
      </x:c>
      <x:c r="R524" s="2" t="str">
        <x:f>IF(B524="","",IF(F524="","UNUSED",IF(Q524=0,"NOT CHECKED",IF(COUNTIF(SourceTable[Source_Key],E524&amp;"|"&amp;F524)&lt;&gt;1,"SOURCE CONFLICT",IF(NOT(OR(INDEX(SourceTable[Status],MAX(1,Q524))="IMPORTED",INDEX(SourceTable[Status],MAX(1,Q524))="PARTIAL",INDEX(SourceTable[Status],MAX(1,Q524))="SOURCE CONFLICT")),"ACCESS BLOCKED",IF(OR(INDEX(SourceTable[Coverage],Q524)&lt;&gt;"FULL SEASON EXPORT",INDEX(SourceTable[URL],Q524)="",INDEX(SourceTable[SHA256],Q524)=""),"EVIDENCE INCOMPLETE",IF(AND('Input_Meci'!H49="LIVE",INDEX(SourceTable[Retrieved_UTC],Q524)&gt;'Input_Meci'!G49),"POST CUTOFF","CLOSED")))))))</x:f>
      </x:c>
      <x:c r="S524" s="2" t="n">
        <x:f>IF(OR(B524="",F524=""),0,COUNTIFS('Istoric_Nativ'!$B$6:$B$405,E524,'Istoric_Nativ'!$C$6:$C$405,F524,'Istoric_Nativ'!$E$6:$E$405,G524,'Istoric_Nativ'!$D$6:$D$405,"&lt;"&amp;J524,'Istoric_Nativ'!$O$6:$O$405,"INVALID")+COUNTIFS('Istoric_Nativ'!$B$6:$B$405,E524,'Istoric_Nativ'!$C$6:$C$405,F524,'Istoric_Nativ'!$E$6:$E$405,G524,'Istoric_Nativ'!$O$6:$O$405,"INVALID",'Istoric_Nativ'!$D$6:$D$405,"*")+COUNTIFS('Istoric_Nativ'!$B$6:$B$405,E524,'Istoric_Nativ'!$C$6:$C$405,F524,'Istoric_Nativ'!$E$6:$E$405,G524,'Istoric_Nativ'!$D$6:$D$405,"&lt;"&amp;J524,'Istoric_Nativ'!$O$6:$O$405,"SOURCE CONFLICT")+COUNTIFS('Istoric_Nativ'!$B$6:$B$405,E524,'Istoric_Nativ'!$C$6:$C$405,F524,'Istoric_Nativ'!$F$6:$F$405,G524,'Istoric_Nativ'!$D$6:$D$405,"&lt;"&amp;J524,'Istoric_Nativ'!$O$6:$O$405,"INVALID")+COUNTIFS('Istoric_Nativ'!$B$6:$B$405,E524,'Istoric_Nativ'!$C$6:$C$405,F524,'Istoric_Nativ'!$F$6:$F$405,G524,'Istoric_Nativ'!$O$6:$O$405,"INVALID",'Istoric_Nativ'!$D$6:$D$405,"*")+COUNTIFS('Istoric_Nativ'!$B$6:$B$405,E524,'Istoric_Nativ'!$C$6:$C$405,F524,'Istoric_Nativ'!$F$6:$F$405,G524,'Istoric_Nativ'!$D$6:$D$405,"&lt;"&amp;J524,'Istoric_Nativ'!$O$6:$O$405,"SOURCE CONFLICT"))</x:f>
        <x:v>0</x:v>
      </x:c>
      <x:c r="T524" s="2" t="str">
        <x:f>IF(B524="","",IF(R524&lt;&gt;"CLOSED",R524,IF(S524&gt;0,"NATIVE INPUT ISSUE",IF(M524=0,"NO HISTORY",IF(M524&lt;P524,"SMALL SAMPLE","DERIVED")))))</x:f>
      </x:c>
      <x:c r="U524" s="2" t="str">
        <x:f>IF(B524="","","NativeTable; "&amp;E524&amp;"; "&amp;F524&amp;"; "&amp;G524&amp;"; "&amp;H524&amp;"; before "&amp;TEXT(J524,"yyyy-mm-dd")&amp;IF(I524="RECENT","; from "&amp;TEXT(L524,"yyyy-mm-dd"),""))</x:f>
      </x:c>
    </x:row>
    <x:row r="525" ht="21" customHeight="1">
      <x:c r="A525" s="2" t="n">
        <x:v>44</x:v>
      </x:c>
      <x:c r="B525" s="2" t="str">
        <x:f>IF('Input_Meci'!A49="","",'Input_Meci'!A49)</x:f>
      </x:c>
      <x:c r="C525" s="2" t="str">
        <x:v>A</x:v>
      </x:c>
      <x:c r="D525" s="2" t="str">
        <x:v>CURRENT</x:v>
      </x:c>
      <x:c r="E525" s="2" t="str">
        <x:f>IF(B525="","",'Input_Meci'!B49)</x:f>
      </x:c>
      <x:c r="F525" s="2" t="str">
        <x:f>IF(B525="","",IF('Input_Meci'!C49="","",'Input_Meci'!C49))</x:f>
      </x:c>
      <x:c r="G525" s="2" t="str">
        <x:f>IF(B525="","",'Input_Meci'!E49)</x:f>
      </x:c>
      <x:c r="H525" s="2" t="str">
        <x:v>ANY</x:v>
      </x:c>
      <x:c r="I525" s="2" t="str">
        <x:v>SEASON</x:v>
      </x:c>
      <x:c r="J525" s="9" t="n">
        <x:f>IF(AND(B525&lt;&gt;"",ISNUMBER('Input_Meci'!G49)),INT('Input_Meci'!G49),0)</x:f>
        <x:v>0</x:v>
      </x:c>
      <x:c r="K525" s="2" t="n">
        <x:f>IF(OR(B525="",F525=""),0,IF(H525="HOME",COUNTIFS('Istoric_Nativ'!$B$6:$B$405,E525,'Istoric_Nativ'!$C$6:$C$405,F525,'Istoric_Nativ'!$E$6:$E$405,G525,'Istoric_Nativ'!$D$6:$D$405,"&lt;"&amp;J525,'Istoric_Nativ'!$P$6:$P$405,1),IF(H525="AWAY",COUNTIFS('Istoric_Nativ'!$B$6:$B$405,E525,'Istoric_Nativ'!$C$6:$C$405,F525,'Istoric_Nativ'!$F$6:$F$405,G525,'Istoric_Nativ'!$D$6:$D$405,"&lt;"&amp;J525,'Istoric_Nativ'!$P$6:$P$405,1),COUNTIFS('Istoric_Nativ'!$B$6:$B$405,E525,'Istoric_Nativ'!$C$6:$C$405,F525,'Istoric_Nativ'!$E$6:$E$405,G525,'Istoric_Nativ'!$D$6:$D$405,"&lt;"&amp;J525,'Istoric_Nativ'!$P$6:$P$405,1)+COUNTIFS('Istoric_Nativ'!$B$6:$B$405,E525,'Istoric_Nativ'!$C$6:$C$405,F525,'Istoric_Nativ'!$F$6:$F$405,G525,'Istoric_Nativ'!$D$6:$D$405,"&lt;"&amp;J525,'Istoric_Nativ'!$P$6:$P$405,1))))</x:f>
        <x:v>0</x:v>
      </x:c>
      <x:c r="L525" s="17" t="n">
        <x:f>IF(AND(B525&lt;&gt;"",I525="RECENT",K525&gt;0),LARGE(_xlfn._xlws.FILTER('Istoric_Nativ'!$D$6:$D$405,('Istoric_Nativ'!$B$6:$B$405=E525)*('Istoric_Nativ'!$C$6:$C$405=F525)*('Istoric_Nativ'!$P$6:$P$405=1)*('Istoric_Nativ'!$D$6:$D$405&lt;J525)*((('Istoric_Nativ'!$E$6:$E$405=G525)+('Istoric_Nativ'!$F$6:$F$405=G525))&gt;0)),MIN('Config_v6'!$B$54,K525)),0)</x:f>
        <x:v>0</x:v>
      </x:c>
      <x:c r="M525" s="2" t="n">
        <x:f>IF(OR(B525="",F525=""),0,IF(H525="HOME",COUNTIFS('Istoric_Nativ'!$B$6:$B$405,E525,'Istoric_Nativ'!$C$6:$C$405,F525,'Istoric_Nativ'!$E$6:$E$405,G525,'Istoric_Nativ'!$D$6:$D$405,"&lt;"&amp;J525,'Istoric_Nativ'!$P$6:$P$405,1,'Istoric_Nativ'!$D$6:$D$405,"&gt;="&amp;L525),IF(H525="AWAY",COUNTIFS('Istoric_Nativ'!$B$6:$B$405,E525,'Istoric_Nativ'!$C$6:$C$405,F525,'Istoric_Nativ'!$F$6:$F$405,G525,'Istoric_Nativ'!$D$6:$D$405,"&lt;"&amp;J525,'Istoric_Nativ'!$P$6:$P$405,1,'Istoric_Nativ'!$D$6:$D$405,"&gt;="&amp;L525),COUNTIFS('Istoric_Nativ'!$B$6:$B$405,E525,'Istoric_Nativ'!$C$6:$C$405,F525,'Istoric_Nativ'!$E$6:$E$405,G525,'Istoric_Nativ'!$D$6:$D$405,"&lt;"&amp;J525,'Istoric_Nativ'!$P$6:$P$405,1,'Istoric_Nativ'!$D$6:$D$405,"&gt;="&amp;L525)+COUNTIFS('Istoric_Nativ'!$B$6:$B$405,E525,'Istoric_Nativ'!$C$6:$C$405,F525,'Istoric_Nativ'!$F$6:$F$405,G525,'Istoric_Nativ'!$D$6:$D$405,"&lt;"&amp;J525,'Istoric_Nativ'!$P$6:$P$405,1,'Istoric_Nativ'!$D$6:$D$405,"&gt;="&amp;L525))))</x:f>
        <x:v>0</x:v>
      </x:c>
      <x:c r="N525" s="11" t="str">
        <x:f>IF(M525=0,"",IF(H525="HOME",SUMIFS('Istoric_Nativ'!$G$6:$G$405,'Istoric_Nativ'!$B$6:$B$405,E525,'Istoric_Nativ'!$C$6:$C$405,F525,'Istoric_Nativ'!$E$6:$E$405,G525,'Istoric_Nativ'!$D$6:$D$405,"&lt;"&amp;J525,'Istoric_Nativ'!$P$6:$P$405,1,'Istoric_Nativ'!$D$6:$D$405,"&gt;="&amp;L525),IF(H525="AWAY",SUMIFS('Istoric_Nativ'!$H$6:$H$405,'Istoric_Nativ'!$B$6:$B$405,E525,'Istoric_Nativ'!$C$6:$C$405,F525,'Istoric_Nativ'!$F$6:$F$405,G525,'Istoric_Nativ'!$D$6:$D$405,"&lt;"&amp;J525,'Istoric_Nativ'!$P$6:$P$405,1,'Istoric_Nativ'!$D$6:$D$405,"&gt;="&amp;L525),SUMIFS('Istoric_Nativ'!$G$6:$G$405,'Istoric_Nativ'!$B$6:$B$405,E525,'Istoric_Nativ'!$C$6:$C$405,F525,'Istoric_Nativ'!$E$6:$E$405,G525,'Istoric_Nativ'!$D$6:$D$405,"&lt;"&amp;J525,'Istoric_Nativ'!$P$6:$P$405,1,'Istoric_Nativ'!$D$6:$D$405,"&gt;="&amp;L525)+SUMIFS('Istoric_Nativ'!$H$6:$H$405,'Istoric_Nativ'!$B$6:$B$405,E525,'Istoric_Nativ'!$C$6:$C$405,F525,'Istoric_Nativ'!$F$6:$F$405,G525,'Istoric_Nativ'!$D$6:$D$405,"&lt;"&amp;J525,'Istoric_Nativ'!$P$6:$P$405,1,'Istoric_Nativ'!$D$6:$D$405,"&gt;="&amp;L525)))/M525)</x:f>
      </x:c>
      <x:c r="O525" s="11" t="str">
        <x:f>IF(M525=0,"",IF(H525="HOME",SUMIFS('Istoric_Nativ'!$H$6:$H$405,'Istoric_Nativ'!$B$6:$B$405,E525,'Istoric_Nativ'!$C$6:$C$405,F525,'Istoric_Nativ'!$E$6:$E$405,G525,'Istoric_Nativ'!$D$6:$D$405,"&lt;"&amp;J525,'Istoric_Nativ'!$P$6:$P$405,1,'Istoric_Nativ'!$D$6:$D$405,"&gt;="&amp;L525),IF(H525="AWAY",SUMIFS('Istoric_Nativ'!$G$6:$G$405,'Istoric_Nativ'!$B$6:$B$405,E525,'Istoric_Nativ'!$C$6:$C$405,F525,'Istoric_Nativ'!$F$6:$F$405,G525,'Istoric_Nativ'!$D$6:$D$405,"&lt;"&amp;J525,'Istoric_Nativ'!$P$6:$P$405,1,'Istoric_Nativ'!$D$6:$D$405,"&gt;="&amp;L525),SUMIFS('Istoric_Nativ'!$H$6:$H$405,'Istoric_Nativ'!$B$6:$B$405,E525,'Istoric_Nativ'!$C$6:$C$405,F525,'Istoric_Nativ'!$E$6:$E$405,G525,'Istoric_Nativ'!$D$6:$D$405,"&lt;"&amp;J525,'Istoric_Nativ'!$P$6:$P$405,1,'Istoric_Nativ'!$D$6:$D$405,"&gt;="&amp;L525)+SUMIFS('Istoric_Nativ'!$G$6:$G$405,'Istoric_Nativ'!$B$6:$B$405,E525,'Istoric_Nativ'!$C$6:$C$405,F525,'Istoric_Nativ'!$F$6:$F$405,G525,'Istoric_Nativ'!$D$6:$D$405,"&lt;"&amp;J525,'Istoric_Nativ'!$P$6:$P$405,1,'Istoric_Nativ'!$D$6:$D$405,"&gt;="&amp;L525)))/M525)</x:f>
      </x:c>
      <x:c r="P525" s="2" t="n">
        <x:f>'Config_v6'!$B$7</x:f>
        <x:v>10</x:v>
      </x:c>
      <x:c r="Q525" s="2" t="n">
        <x:f>IF(OR(B525="",F525=""),0,IFERROR(MATCH(E525&amp;"|"&amp;F525,SourceTable[Source_Key],0),0))</x:f>
        <x:v>0</x:v>
      </x:c>
      <x:c r="R525" s="2" t="str">
        <x:f>IF(B525="","",IF(F525="","UNUSED",IF(Q525=0,"NOT CHECKED",IF(COUNTIF(SourceTable[Source_Key],E525&amp;"|"&amp;F525)&lt;&gt;1,"SOURCE CONFLICT",IF(NOT(OR(INDEX(SourceTable[Status],MAX(1,Q525))="IMPORTED",INDEX(SourceTable[Status],MAX(1,Q525))="PARTIAL",INDEX(SourceTable[Status],MAX(1,Q525))="SOURCE CONFLICT")),"ACCESS BLOCKED",IF(OR(INDEX(SourceTable[Coverage],Q525)&lt;&gt;"FULL SEASON EXPORT",INDEX(SourceTable[URL],Q525)="",INDEX(SourceTable[SHA256],Q525)=""),"EVIDENCE INCOMPLETE",IF(AND('Input_Meci'!H49="LIVE",INDEX(SourceTable[Retrieved_UTC],Q525)&gt;'Input_Meci'!G49),"POST CUTOFF","CLOSED")))))))</x:f>
      </x:c>
      <x:c r="S525" s="2" t="n">
        <x:f>IF(OR(B525="",F525=""),0,COUNTIFS('Istoric_Nativ'!$B$6:$B$405,E525,'Istoric_Nativ'!$C$6:$C$405,F525,'Istoric_Nativ'!$E$6:$E$405,G525,'Istoric_Nativ'!$D$6:$D$405,"&lt;"&amp;J525,'Istoric_Nativ'!$O$6:$O$405,"INVALID")+COUNTIFS('Istoric_Nativ'!$B$6:$B$405,E525,'Istoric_Nativ'!$C$6:$C$405,F525,'Istoric_Nativ'!$E$6:$E$405,G525,'Istoric_Nativ'!$O$6:$O$405,"INVALID",'Istoric_Nativ'!$D$6:$D$405,"*")+COUNTIFS('Istoric_Nativ'!$B$6:$B$405,E525,'Istoric_Nativ'!$C$6:$C$405,F525,'Istoric_Nativ'!$E$6:$E$405,G525,'Istoric_Nativ'!$D$6:$D$405,"&lt;"&amp;J525,'Istoric_Nativ'!$O$6:$O$405,"SOURCE CONFLICT")+COUNTIFS('Istoric_Nativ'!$B$6:$B$405,E525,'Istoric_Nativ'!$C$6:$C$405,F525,'Istoric_Nativ'!$F$6:$F$405,G525,'Istoric_Nativ'!$D$6:$D$405,"&lt;"&amp;J525,'Istoric_Nativ'!$O$6:$O$405,"INVALID")+COUNTIFS('Istoric_Nativ'!$B$6:$B$405,E525,'Istoric_Nativ'!$C$6:$C$405,F525,'Istoric_Nativ'!$F$6:$F$405,G525,'Istoric_Nativ'!$O$6:$O$405,"INVALID",'Istoric_Nativ'!$D$6:$D$405,"*")+COUNTIFS('Istoric_Nativ'!$B$6:$B$405,E525,'Istoric_Nativ'!$C$6:$C$405,F525,'Istoric_Nativ'!$F$6:$F$405,G525,'Istoric_Nativ'!$D$6:$D$405,"&lt;"&amp;J525,'Istoric_Nativ'!$O$6:$O$405,"SOURCE CONFLICT"))</x:f>
        <x:v>0</x:v>
      </x:c>
      <x:c r="T525" s="2" t="str">
        <x:f>IF(B525="","",IF(R525&lt;&gt;"CLOSED",R525,IF(S525&gt;0,"NATIVE INPUT ISSUE",IF(M525=0,"NO HISTORY",IF(M525&lt;P525,"SMALL SAMPLE","DERIVED")))))</x:f>
      </x:c>
      <x:c r="U525" s="2" t="str">
        <x:f>IF(B525="","","NativeTable; "&amp;E525&amp;"; "&amp;F525&amp;"; "&amp;G525&amp;"; "&amp;H525&amp;"; before "&amp;TEXT(J525,"yyyy-mm-dd")&amp;IF(I525="RECENT","; from "&amp;TEXT(L525,"yyyy-mm-dd"),""))</x:f>
      </x:c>
    </x:row>
    <x:row r="526" ht="21" customHeight="1">
      <x:c r="A526" s="2" t="n">
        <x:v>44</x:v>
      </x:c>
      <x:c r="B526" s="2" t="str">
        <x:f>IF('Input_Meci'!A49="","",'Input_Meci'!A49)</x:f>
      </x:c>
      <x:c r="C526" s="2" t="str">
        <x:v>A</x:v>
      </x:c>
      <x:c r="D526" s="2" t="str">
        <x:v>CURRENT</x:v>
      </x:c>
      <x:c r="E526" s="2" t="str">
        <x:f>IF(B526="","",'Input_Meci'!B49)</x:f>
      </x:c>
      <x:c r="F526" s="2" t="str">
        <x:f>IF(B526="","",IF('Input_Meci'!C49="","",'Input_Meci'!C49))</x:f>
      </x:c>
      <x:c r="G526" s="2" t="str">
        <x:f>IF(B526="","",'Input_Meci'!E49)</x:f>
      </x:c>
      <x:c r="H526" s="2" t="str">
        <x:v>AWAY</x:v>
      </x:c>
      <x:c r="I526" s="2" t="str">
        <x:v>HA</x:v>
      </x:c>
      <x:c r="J526" s="9" t="n">
        <x:f>IF(AND(B526&lt;&gt;"",ISNUMBER('Input_Meci'!G49)),INT('Input_Meci'!G49),0)</x:f>
        <x:v>0</x:v>
      </x:c>
      <x:c r="K526" s="2" t="n">
        <x:f>IF(OR(B526="",F526=""),0,IF(H526="HOME",COUNTIFS('Istoric_Nativ'!$B$6:$B$405,E526,'Istoric_Nativ'!$C$6:$C$405,F526,'Istoric_Nativ'!$E$6:$E$405,G526,'Istoric_Nativ'!$D$6:$D$405,"&lt;"&amp;J526,'Istoric_Nativ'!$P$6:$P$405,1),IF(H526="AWAY",COUNTIFS('Istoric_Nativ'!$B$6:$B$405,E526,'Istoric_Nativ'!$C$6:$C$405,F526,'Istoric_Nativ'!$F$6:$F$405,G526,'Istoric_Nativ'!$D$6:$D$405,"&lt;"&amp;J526,'Istoric_Nativ'!$P$6:$P$405,1),COUNTIFS('Istoric_Nativ'!$B$6:$B$405,E526,'Istoric_Nativ'!$C$6:$C$405,F526,'Istoric_Nativ'!$E$6:$E$405,G526,'Istoric_Nativ'!$D$6:$D$405,"&lt;"&amp;J526,'Istoric_Nativ'!$P$6:$P$405,1)+COUNTIFS('Istoric_Nativ'!$B$6:$B$405,E526,'Istoric_Nativ'!$C$6:$C$405,F526,'Istoric_Nativ'!$F$6:$F$405,G526,'Istoric_Nativ'!$D$6:$D$405,"&lt;"&amp;J526,'Istoric_Nativ'!$P$6:$P$405,1))))</x:f>
        <x:v>0</x:v>
      </x:c>
      <x:c r="L526" s="17" t="n">
        <x:f>IF(AND(B526&lt;&gt;"",I526="RECENT",K526&gt;0),LARGE(_xlfn._xlws.FILTER('Istoric_Nativ'!$D$6:$D$405,('Istoric_Nativ'!$B$6:$B$405=E526)*('Istoric_Nativ'!$C$6:$C$405=F526)*('Istoric_Nativ'!$P$6:$P$405=1)*('Istoric_Nativ'!$D$6:$D$405&lt;J526)*((('Istoric_Nativ'!$E$6:$E$405=G526)+('Istoric_Nativ'!$F$6:$F$405=G526))&gt;0)),MIN('Config_v6'!$B$54,K526)),0)</x:f>
        <x:v>0</x:v>
      </x:c>
      <x:c r="M526" s="2" t="n">
        <x:f>IF(OR(B526="",F526=""),0,IF(H526="HOME",COUNTIFS('Istoric_Nativ'!$B$6:$B$405,E526,'Istoric_Nativ'!$C$6:$C$405,F526,'Istoric_Nativ'!$E$6:$E$405,G526,'Istoric_Nativ'!$D$6:$D$405,"&lt;"&amp;J526,'Istoric_Nativ'!$P$6:$P$405,1,'Istoric_Nativ'!$D$6:$D$405,"&gt;="&amp;L526),IF(H526="AWAY",COUNTIFS('Istoric_Nativ'!$B$6:$B$405,E526,'Istoric_Nativ'!$C$6:$C$405,F526,'Istoric_Nativ'!$F$6:$F$405,G526,'Istoric_Nativ'!$D$6:$D$405,"&lt;"&amp;J526,'Istoric_Nativ'!$P$6:$P$405,1,'Istoric_Nativ'!$D$6:$D$405,"&gt;="&amp;L526),COUNTIFS('Istoric_Nativ'!$B$6:$B$405,E526,'Istoric_Nativ'!$C$6:$C$405,F526,'Istoric_Nativ'!$E$6:$E$405,G526,'Istoric_Nativ'!$D$6:$D$405,"&lt;"&amp;J526,'Istoric_Nativ'!$P$6:$P$405,1,'Istoric_Nativ'!$D$6:$D$405,"&gt;="&amp;L526)+COUNTIFS('Istoric_Nativ'!$B$6:$B$405,E526,'Istoric_Nativ'!$C$6:$C$405,F526,'Istoric_Nativ'!$F$6:$F$405,G526,'Istoric_Nativ'!$D$6:$D$405,"&lt;"&amp;J526,'Istoric_Nativ'!$P$6:$P$405,1,'Istoric_Nativ'!$D$6:$D$405,"&gt;="&amp;L526))))</x:f>
        <x:v>0</x:v>
      </x:c>
      <x:c r="N526" s="11" t="str">
        <x:f>IF(M526=0,"",IF(H526="HOME",SUMIFS('Istoric_Nativ'!$G$6:$G$405,'Istoric_Nativ'!$B$6:$B$405,E526,'Istoric_Nativ'!$C$6:$C$405,F526,'Istoric_Nativ'!$E$6:$E$405,G526,'Istoric_Nativ'!$D$6:$D$405,"&lt;"&amp;J526,'Istoric_Nativ'!$P$6:$P$405,1,'Istoric_Nativ'!$D$6:$D$405,"&gt;="&amp;L526),IF(H526="AWAY",SUMIFS('Istoric_Nativ'!$H$6:$H$405,'Istoric_Nativ'!$B$6:$B$405,E526,'Istoric_Nativ'!$C$6:$C$405,F526,'Istoric_Nativ'!$F$6:$F$405,G526,'Istoric_Nativ'!$D$6:$D$405,"&lt;"&amp;J526,'Istoric_Nativ'!$P$6:$P$405,1,'Istoric_Nativ'!$D$6:$D$405,"&gt;="&amp;L526),SUMIFS('Istoric_Nativ'!$G$6:$G$405,'Istoric_Nativ'!$B$6:$B$405,E526,'Istoric_Nativ'!$C$6:$C$405,F526,'Istoric_Nativ'!$E$6:$E$405,G526,'Istoric_Nativ'!$D$6:$D$405,"&lt;"&amp;J526,'Istoric_Nativ'!$P$6:$P$405,1,'Istoric_Nativ'!$D$6:$D$405,"&gt;="&amp;L526)+SUMIFS('Istoric_Nativ'!$H$6:$H$405,'Istoric_Nativ'!$B$6:$B$405,E526,'Istoric_Nativ'!$C$6:$C$405,F526,'Istoric_Nativ'!$F$6:$F$405,G526,'Istoric_Nativ'!$D$6:$D$405,"&lt;"&amp;J526,'Istoric_Nativ'!$P$6:$P$405,1,'Istoric_Nativ'!$D$6:$D$405,"&gt;="&amp;L526)))/M526)</x:f>
      </x:c>
      <x:c r="O526" s="11" t="str">
        <x:f>IF(M526=0,"",IF(H526="HOME",SUMIFS('Istoric_Nativ'!$H$6:$H$405,'Istoric_Nativ'!$B$6:$B$405,E526,'Istoric_Nativ'!$C$6:$C$405,F526,'Istoric_Nativ'!$E$6:$E$405,G526,'Istoric_Nativ'!$D$6:$D$405,"&lt;"&amp;J526,'Istoric_Nativ'!$P$6:$P$405,1,'Istoric_Nativ'!$D$6:$D$405,"&gt;="&amp;L526),IF(H526="AWAY",SUMIFS('Istoric_Nativ'!$G$6:$G$405,'Istoric_Nativ'!$B$6:$B$405,E526,'Istoric_Nativ'!$C$6:$C$405,F526,'Istoric_Nativ'!$F$6:$F$405,G526,'Istoric_Nativ'!$D$6:$D$405,"&lt;"&amp;J526,'Istoric_Nativ'!$P$6:$P$405,1,'Istoric_Nativ'!$D$6:$D$405,"&gt;="&amp;L526),SUMIFS('Istoric_Nativ'!$H$6:$H$405,'Istoric_Nativ'!$B$6:$B$405,E526,'Istoric_Nativ'!$C$6:$C$405,F526,'Istoric_Nativ'!$E$6:$E$405,G526,'Istoric_Nativ'!$D$6:$D$405,"&lt;"&amp;J526,'Istoric_Nativ'!$P$6:$P$405,1,'Istoric_Nativ'!$D$6:$D$405,"&gt;="&amp;L526)+SUMIFS('Istoric_Nativ'!$G$6:$G$405,'Istoric_Nativ'!$B$6:$B$405,E526,'Istoric_Nativ'!$C$6:$C$405,F526,'Istoric_Nativ'!$F$6:$F$405,G526,'Istoric_Nativ'!$D$6:$D$405,"&lt;"&amp;J526,'Istoric_Nativ'!$P$6:$P$405,1,'Istoric_Nativ'!$D$6:$D$405,"&gt;="&amp;L526)))/M526)</x:f>
      </x:c>
      <x:c r="P526" s="2" t="n">
        <x:f>'Config_v6'!$B$8</x:f>
        <x:v>5</x:v>
      </x:c>
      <x:c r="Q526" s="2" t="n">
        <x:f>IF(OR(B526="",F526=""),0,IFERROR(MATCH(E526&amp;"|"&amp;F526,SourceTable[Source_Key],0),0))</x:f>
        <x:v>0</x:v>
      </x:c>
      <x:c r="R526" s="2" t="str">
        <x:f>IF(B526="","",IF(F526="","UNUSED",IF(Q526=0,"NOT CHECKED",IF(COUNTIF(SourceTable[Source_Key],E526&amp;"|"&amp;F526)&lt;&gt;1,"SOURCE CONFLICT",IF(NOT(OR(INDEX(SourceTable[Status],MAX(1,Q526))="IMPORTED",INDEX(SourceTable[Status],MAX(1,Q526))="PARTIAL",INDEX(SourceTable[Status],MAX(1,Q526))="SOURCE CONFLICT")),"ACCESS BLOCKED",IF(OR(INDEX(SourceTable[Coverage],Q526)&lt;&gt;"FULL SEASON EXPORT",INDEX(SourceTable[URL],Q526)="",INDEX(SourceTable[SHA256],Q526)=""),"EVIDENCE INCOMPLETE",IF(AND('Input_Meci'!H49="LIVE",INDEX(SourceTable[Retrieved_UTC],Q526)&gt;'Input_Meci'!G49),"POST CUTOFF","CLOSED")))))))</x:f>
      </x:c>
      <x:c r="S526" s="2" t="n">
        <x:f>IF(OR(B526="",F526=""),0,COUNTIFS('Istoric_Nativ'!$B$6:$B$405,E526,'Istoric_Nativ'!$C$6:$C$405,F526,'Istoric_Nativ'!$E$6:$E$405,G526,'Istoric_Nativ'!$D$6:$D$405,"&lt;"&amp;J526,'Istoric_Nativ'!$O$6:$O$405,"INVALID")+COUNTIFS('Istoric_Nativ'!$B$6:$B$405,E526,'Istoric_Nativ'!$C$6:$C$405,F526,'Istoric_Nativ'!$E$6:$E$405,G526,'Istoric_Nativ'!$O$6:$O$405,"INVALID",'Istoric_Nativ'!$D$6:$D$405,"*")+COUNTIFS('Istoric_Nativ'!$B$6:$B$405,E526,'Istoric_Nativ'!$C$6:$C$405,F526,'Istoric_Nativ'!$E$6:$E$405,G526,'Istoric_Nativ'!$D$6:$D$405,"&lt;"&amp;J526,'Istoric_Nativ'!$O$6:$O$405,"SOURCE CONFLICT")+COUNTIFS('Istoric_Nativ'!$B$6:$B$405,E526,'Istoric_Nativ'!$C$6:$C$405,F526,'Istoric_Nativ'!$F$6:$F$405,G526,'Istoric_Nativ'!$D$6:$D$405,"&lt;"&amp;J526,'Istoric_Nativ'!$O$6:$O$405,"INVALID")+COUNTIFS('Istoric_Nativ'!$B$6:$B$405,E526,'Istoric_Nativ'!$C$6:$C$405,F526,'Istoric_Nativ'!$F$6:$F$405,G526,'Istoric_Nativ'!$O$6:$O$405,"INVALID",'Istoric_Nativ'!$D$6:$D$405,"*")+COUNTIFS('Istoric_Nativ'!$B$6:$B$405,E526,'Istoric_Nativ'!$C$6:$C$405,F526,'Istoric_Nativ'!$F$6:$F$405,G526,'Istoric_Nativ'!$D$6:$D$405,"&lt;"&amp;J526,'Istoric_Nativ'!$O$6:$O$405,"SOURCE CONFLICT"))</x:f>
        <x:v>0</x:v>
      </x:c>
      <x:c r="T526" s="2" t="str">
        <x:f>IF(B526="","",IF(R526&lt;&gt;"CLOSED",R526,IF(S526&gt;0,"NATIVE INPUT ISSUE",IF(M526=0,"NO HISTORY",IF(M526&lt;P526,"SMALL SAMPLE","DERIVED")))))</x:f>
      </x:c>
      <x:c r="U526" s="2" t="str">
        <x:f>IF(B526="","","NativeTable; "&amp;E526&amp;"; "&amp;F526&amp;"; "&amp;G526&amp;"; "&amp;H526&amp;"; before "&amp;TEXT(J526,"yyyy-mm-dd")&amp;IF(I526="RECENT","; from "&amp;TEXT(L526,"yyyy-mm-dd"),""))</x:f>
      </x:c>
    </x:row>
    <x:row r="527" ht="21" customHeight="1">
      <x:c r="A527" s="2" t="n">
        <x:v>44</x:v>
      </x:c>
      <x:c r="B527" s="2" t="str">
        <x:f>IF('Input_Meci'!A49="","",'Input_Meci'!A49)</x:f>
      </x:c>
      <x:c r="C527" s="2" t="str">
        <x:v>A</x:v>
      </x:c>
      <x:c r="D527" s="2" t="str">
        <x:v>CURRENT</x:v>
      </x:c>
      <x:c r="E527" s="2" t="str">
        <x:f>IF(B527="","",'Input_Meci'!B49)</x:f>
      </x:c>
      <x:c r="F527" s="2" t="str">
        <x:f>IF(B527="","",IF('Input_Meci'!C49="","",'Input_Meci'!C49))</x:f>
      </x:c>
      <x:c r="G527" s="2" t="str">
        <x:f>IF(B527="","",'Input_Meci'!E49)</x:f>
      </x:c>
      <x:c r="H527" s="2" t="str">
        <x:v>ANY</x:v>
      </x:c>
      <x:c r="I527" s="2" t="str">
        <x:v>RECENT</x:v>
      </x:c>
      <x:c r="J527" s="9" t="n">
        <x:f>IF(AND(B527&lt;&gt;"",ISNUMBER('Input_Meci'!G49)),INT('Input_Meci'!G49),0)</x:f>
        <x:v>0</x:v>
      </x:c>
      <x:c r="K527" s="2" t="n">
        <x:f>IF(OR(B527="",F527=""),0,IF(H527="HOME",COUNTIFS('Istoric_Nativ'!$B$6:$B$405,E527,'Istoric_Nativ'!$C$6:$C$405,F527,'Istoric_Nativ'!$E$6:$E$405,G527,'Istoric_Nativ'!$D$6:$D$405,"&lt;"&amp;J527,'Istoric_Nativ'!$P$6:$P$405,1),IF(H527="AWAY",COUNTIFS('Istoric_Nativ'!$B$6:$B$405,E527,'Istoric_Nativ'!$C$6:$C$405,F527,'Istoric_Nativ'!$F$6:$F$405,G527,'Istoric_Nativ'!$D$6:$D$405,"&lt;"&amp;J527,'Istoric_Nativ'!$P$6:$P$405,1),COUNTIFS('Istoric_Nativ'!$B$6:$B$405,E527,'Istoric_Nativ'!$C$6:$C$405,F527,'Istoric_Nativ'!$E$6:$E$405,G527,'Istoric_Nativ'!$D$6:$D$405,"&lt;"&amp;J527,'Istoric_Nativ'!$P$6:$P$405,1)+COUNTIFS('Istoric_Nativ'!$B$6:$B$405,E527,'Istoric_Nativ'!$C$6:$C$405,F527,'Istoric_Nativ'!$F$6:$F$405,G527,'Istoric_Nativ'!$D$6:$D$405,"&lt;"&amp;J527,'Istoric_Nativ'!$P$6:$P$405,1))))</x:f>
        <x:v>0</x:v>
      </x:c>
      <x:c r="L527" s="17" t="n">
        <x:f>IF(AND(B527&lt;&gt;"",I527="RECENT",K527&gt;0),LARGE(_xlfn._xlws.FILTER('Istoric_Nativ'!$D$6:$D$405,('Istoric_Nativ'!$B$6:$B$405=E527)*('Istoric_Nativ'!$C$6:$C$405=F527)*('Istoric_Nativ'!$P$6:$P$405=1)*('Istoric_Nativ'!$D$6:$D$405&lt;J527)*((('Istoric_Nativ'!$E$6:$E$405=G527)+('Istoric_Nativ'!$F$6:$F$405=G527))&gt;0)),MIN('Config_v6'!$B$54,K527)),0)</x:f>
        <x:v>0</x:v>
      </x:c>
      <x:c r="M527" s="2" t="n">
        <x:f>IF(OR(B527="",F527=""),0,IF(H527="HOME",COUNTIFS('Istoric_Nativ'!$B$6:$B$405,E527,'Istoric_Nativ'!$C$6:$C$405,F527,'Istoric_Nativ'!$E$6:$E$405,G527,'Istoric_Nativ'!$D$6:$D$405,"&lt;"&amp;J527,'Istoric_Nativ'!$P$6:$P$405,1,'Istoric_Nativ'!$D$6:$D$405,"&gt;="&amp;L527),IF(H527="AWAY",COUNTIFS('Istoric_Nativ'!$B$6:$B$405,E527,'Istoric_Nativ'!$C$6:$C$405,F527,'Istoric_Nativ'!$F$6:$F$405,G527,'Istoric_Nativ'!$D$6:$D$405,"&lt;"&amp;J527,'Istoric_Nativ'!$P$6:$P$405,1,'Istoric_Nativ'!$D$6:$D$405,"&gt;="&amp;L527),COUNTIFS('Istoric_Nativ'!$B$6:$B$405,E527,'Istoric_Nativ'!$C$6:$C$405,F527,'Istoric_Nativ'!$E$6:$E$405,G527,'Istoric_Nativ'!$D$6:$D$405,"&lt;"&amp;J527,'Istoric_Nativ'!$P$6:$P$405,1,'Istoric_Nativ'!$D$6:$D$405,"&gt;="&amp;L527)+COUNTIFS('Istoric_Nativ'!$B$6:$B$405,E527,'Istoric_Nativ'!$C$6:$C$405,F527,'Istoric_Nativ'!$F$6:$F$405,G527,'Istoric_Nativ'!$D$6:$D$405,"&lt;"&amp;J527,'Istoric_Nativ'!$P$6:$P$405,1,'Istoric_Nativ'!$D$6:$D$405,"&gt;="&amp;L527))))</x:f>
        <x:v>0</x:v>
      </x:c>
      <x:c r="N527" s="11" t="str">
        <x:f>IF(M527=0,"",IF(H527="HOME",SUMIFS('Istoric_Nativ'!$G$6:$G$405,'Istoric_Nativ'!$B$6:$B$405,E527,'Istoric_Nativ'!$C$6:$C$405,F527,'Istoric_Nativ'!$E$6:$E$405,G527,'Istoric_Nativ'!$D$6:$D$405,"&lt;"&amp;J527,'Istoric_Nativ'!$P$6:$P$405,1,'Istoric_Nativ'!$D$6:$D$405,"&gt;="&amp;L527),IF(H527="AWAY",SUMIFS('Istoric_Nativ'!$H$6:$H$405,'Istoric_Nativ'!$B$6:$B$405,E527,'Istoric_Nativ'!$C$6:$C$405,F527,'Istoric_Nativ'!$F$6:$F$405,G527,'Istoric_Nativ'!$D$6:$D$405,"&lt;"&amp;J527,'Istoric_Nativ'!$P$6:$P$405,1,'Istoric_Nativ'!$D$6:$D$405,"&gt;="&amp;L527),SUMIFS('Istoric_Nativ'!$G$6:$G$405,'Istoric_Nativ'!$B$6:$B$405,E527,'Istoric_Nativ'!$C$6:$C$405,F527,'Istoric_Nativ'!$E$6:$E$405,G527,'Istoric_Nativ'!$D$6:$D$405,"&lt;"&amp;J527,'Istoric_Nativ'!$P$6:$P$405,1,'Istoric_Nativ'!$D$6:$D$405,"&gt;="&amp;L527)+SUMIFS('Istoric_Nativ'!$H$6:$H$405,'Istoric_Nativ'!$B$6:$B$405,E527,'Istoric_Nativ'!$C$6:$C$405,F527,'Istoric_Nativ'!$F$6:$F$405,G527,'Istoric_Nativ'!$D$6:$D$405,"&lt;"&amp;J527,'Istoric_Nativ'!$P$6:$P$405,1,'Istoric_Nativ'!$D$6:$D$405,"&gt;="&amp;L527)))/M527)</x:f>
      </x:c>
      <x:c r="O527" s="11" t="str">
        <x:f>IF(M527=0,"",IF(H527="HOME",SUMIFS('Istoric_Nativ'!$H$6:$H$405,'Istoric_Nativ'!$B$6:$B$405,E527,'Istoric_Nativ'!$C$6:$C$405,F527,'Istoric_Nativ'!$E$6:$E$405,G527,'Istoric_Nativ'!$D$6:$D$405,"&lt;"&amp;J527,'Istoric_Nativ'!$P$6:$P$405,1,'Istoric_Nativ'!$D$6:$D$405,"&gt;="&amp;L527),IF(H527="AWAY",SUMIFS('Istoric_Nativ'!$G$6:$G$405,'Istoric_Nativ'!$B$6:$B$405,E527,'Istoric_Nativ'!$C$6:$C$405,F527,'Istoric_Nativ'!$F$6:$F$405,G527,'Istoric_Nativ'!$D$6:$D$405,"&lt;"&amp;J527,'Istoric_Nativ'!$P$6:$P$405,1,'Istoric_Nativ'!$D$6:$D$405,"&gt;="&amp;L527),SUMIFS('Istoric_Nativ'!$H$6:$H$405,'Istoric_Nativ'!$B$6:$B$405,E527,'Istoric_Nativ'!$C$6:$C$405,F527,'Istoric_Nativ'!$E$6:$E$405,G527,'Istoric_Nativ'!$D$6:$D$405,"&lt;"&amp;J527,'Istoric_Nativ'!$P$6:$P$405,1,'Istoric_Nativ'!$D$6:$D$405,"&gt;="&amp;L527)+SUMIFS('Istoric_Nativ'!$G$6:$G$405,'Istoric_Nativ'!$B$6:$B$405,E527,'Istoric_Nativ'!$C$6:$C$405,F527,'Istoric_Nativ'!$F$6:$F$405,G527,'Istoric_Nativ'!$D$6:$D$405,"&lt;"&amp;J527,'Istoric_Nativ'!$P$6:$P$405,1,'Istoric_Nativ'!$D$6:$D$405,"&gt;="&amp;L527)))/M527)</x:f>
      </x:c>
      <x:c r="P527" s="2" t="n">
        <x:f>'Config_v6'!$B$9</x:f>
        <x:v>3</x:v>
      </x:c>
      <x:c r="Q527" s="2" t="n">
        <x:f>IF(OR(B527="",F527=""),0,IFERROR(MATCH(E527&amp;"|"&amp;F527,SourceTable[Source_Key],0),0))</x:f>
        <x:v>0</x:v>
      </x:c>
      <x:c r="R527" s="2" t="str">
        <x:f>IF(B527="","",IF(F527="","UNUSED",IF(Q527=0,"NOT CHECKED",IF(COUNTIF(SourceTable[Source_Key],E527&amp;"|"&amp;F527)&lt;&gt;1,"SOURCE CONFLICT",IF(NOT(OR(INDEX(SourceTable[Status],MAX(1,Q527))="IMPORTED",INDEX(SourceTable[Status],MAX(1,Q527))="PARTIAL",INDEX(SourceTable[Status],MAX(1,Q527))="SOURCE CONFLICT")),"ACCESS BLOCKED",IF(OR(INDEX(SourceTable[Coverage],Q527)&lt;&gt;"FULL SEASON EXPORT",INDEX(SourceTable[URL],Q527)="",INDEX(SourceTable[SHA256],Q527)=""),"EVIDENCE INCOMPLETE",IF(AND('Input_Meci'!H49="LIVE",INDEX(SourceTable[Retrieved_UTC],Q527)&gt;'Input_Meci'!G49),"POST CUTOFF","CLOSED")))))))</x:f>
      </x:c>
      <x:c r="S527" s="2" t="n">
        <x:f>IF(OR(B527="",F527=""),0,COUNTIFS('Istoric_Nativ'!$B$6:$B$405,E527,'Istoric_Nativ'!$C$6:$C$405,F527,'Istoric_Nativ'!$E$6:$E$405,G527,'Istoric_Nativ'!$D$6:$D$405,"&lt;"&amp;J527,'Istoric_Nativ'!$O$6:$O$405,"INVALID")+COUNTIFS('Istoric_Nativ'!$B$6:$B$405,E527,'Istoric_Nativ'!$C$6:$C$405,F527,'Istoric_Nativ'!$E$6:$E$405,G527,'Istoric_Nativ'!$O$6:$O$405,"INVALID",'Istoric_Nativ'!$D$6:$D$405,"*")+COUNTIFS('Istoric_Nativ'!$B$6:$B$405,E527,'Istoric_Nativ'!$C$6:$C$405,F527,'Istoric_Nativ'!$E$6:$E$405,G527,'Istoric_Nativ'!$D$6:$D$405,"&lt;"&amp;J527,'Istoric_Nativ'!$O$6:$O$405,"SOURCE CONFLICT")+COUNTIFS('Istoric_Nativ'!$B$6:$B$405,E527,'Istoric_Nativ'!$C$6:$C$405,F527,'Istoric_Nativ'!$F$6:$F$405,G527,'Istoric_Nativ'!$D$6:$D$405,"&lt;"&amp;J527,'Istoric_Nativ'!$O$6:$O$405,"INVALID")+COUNTIFS('Istoric_Nativ'!$B$6:$B$405,E527,'Istoric_Nativ'!$C$6:$C$405,F527,'Istoric_Nativ'!$F$6:$F$405,G527,'Istoric_Nativ'!$O$6:$O$405,"INVALID",'Istoric_Nativ'!$D$6:$D$405,"*")+COUNTIFS('Istoric_Nativ'!$B$6:$B$405,E527,'Istoric_Nativ'!$C$6:$C$405,F527,'Istoric_Nativ'!$F$6:$F$405,G527,'Istoric_Nativ'!$D$6:$D$405,"&lt;"&amp;J527,'Istoric_Nativ'!$O$6:$O$405,"SOURCE CONFLICT"))</x:f>
        <x:v>0</x:v>
      </x:c>
      <x:c r="T527" s="2" t="str">
        <x:f>IF(B527="","",IF(R527&lt;&gt;"CLOSED",R527,IF(S527&gt;0,"NATIVE INPUT ISSUE",IF(M527=0,"NO HISTORY",IF(M527&lt;P527,"SMALL SAMPLE","DERIVED")))))</x:f>
      </x:c>
      <x:c r="U527" s="2" t="str">
        <x:f>IF(B527="","","NativeTable; "&amp;E527&amp;"; "&amp;F527&amp;"; "&amp;G527&amp;"; "&amp;H527&amp;"; before "&amp;TEXT(J527,"yyyy-mm-dd")&amp;IF(I527="RECENT","; from "&amp;TEXT(L527,"yyyy-mm-dd"),""))</x:f>
      </x:c>
    </x:row>
    <x:row r="528" ht="21" customHeight="1">
      <x:c r="A528" s="2" t="n">
        <x:v>44</x:v>
      </x:c>
      <x:c r="B528" s="2" t="str">
        <x:f>IF('Input_Meci'!A49="","",'Input_Meci'!A49)</x:f>
      </x:c>
      <x:c r="C528" s="2" t="str">
        <x:v>H</x:v>
      </x:c>
      <x:c r="D528" s="2" t="str">
        <x:v>PRIOR</x:v>
      </x:c>
      <x:c r="E528" s="2" t="str">
        <x:f>IF(B528="","",'Input_Meci'!B49)</x:f>
      </x:c>
      <x:c r="F528" s="2" t="str">
        <x:f>IF(B528="","",IF('Input_Meci'!K49="","",'Input_Meci'!K49))</x:f>
      </x:c>
      <x:c r="G528" s="2" t="str">
        <x:f>IF(B528="","",'Input_Meci'!D49)</x:f>
      </x:c>
      <x:c r="H528" s="2" t="str">
        <x:v>ANY</x:v>
      </x:c>
      <x:c r="I528" s="2" t="str">
        <x:v>SEASON</x:v>
      </x:c>
      <x:c r="J528" s="9" t="n">
        <x:f>IF(AND(B528&lt;&gt;"",ISNUMBER('Input_Meci'!G49)),INT('Input_Meci'!G49),0)</x:f>
        <x:v>0</x:v>
      </x:c>
      <x:c r="K528" s="2" t="n">
        <x:f>IF(OR(B528="",F528=""),0,IF(H528="HOME",COUNTIFS('Istoric_Nativ'!$B$6:$B$405,E528,'Istoric_Nativ'!$C$6:$C$405,F528,'Istoric_Nativ'!$E$6:$E$405,G528,'Istoric_Nativ'!$D$6:$D$405,"&lt;"&amp;J528,'Istoric_Nativ'!$P$6:$P$405,1),IF(H528="AWAY",COUNTIFS('Istoric_Nativ'!$B$6:$B$405,E528,'Istoric_Nativ'!$C$6:$C$405,F528,'Istoric_Nativ'!$F$6:$F$405,G528,'Istoric_Nativ'!$D$6:$D$405,"&lt;"&amp;J528,'Istoric_Nativ'!$P$6:$P$405,1),COUNTIFS('Istoric_Nativ'!$B$6:$B$405,E528,'Istoric_Nativ'!$C$6:$C$405,F528,'Istoric_Nativ'!$E$6:$E$405,G528,'Istoric_Nativ'!$D$6:$D$405,"&lt;"&amp;J528,'Istoric_Nativ'!$P$6:$P$405,1)+COUNTIFS('Istoric_Nativ'!$B$6:$B$405,E528,'Istoric_Nativ'!$C$6:$C$405,F528,'Istoric_Nativ'!$F$6:$F$405,G528,'Istoric_Nativ'!$D$6:$D$405,"&lt;"&amp;J528,'Istoric_Nativ'!$P$6:$P$405,1))))</x:f>
        <x:v>0</x:v>
      </x:c>
      <x:c r="L528" s="17" t="n">
        <x:f>IF(AND(B528&lt;&gt;"",I528="RECENT",K528&gt;0),LARGE(_xlfn._xlws.FILTER('Istoric_Nativ'!$D$6:$D$405,('Istoric_Nativ'!$B$6:$B$405=E528)*('Istoric_Nativ'!$C$6:$C$405=F528)*('Istoric_Nativ'!$P$6:$P$405=1)*('Istoric_Nativ'!$D$6:$D$405&lt;J528)*((('Istoric_Nativ'!$E$6:$E$405=G528)+('Istoric_Nativ'!$F$6:$F$405=G528))&gt;0)),MIN('Config_v6'!$B$54,K528)),0)</x:f>
        <x:v>0</x:v>
      </x:c>
      <x:c r="M528" s="2" t="n">
        <x:f>IF(OR(B528="",F528=""),0,IF(H528="HOME",COUNTIFS('Istoric_Nativ'!$B$6:$B$405,E528,'Istoric_Nativ'!$C$6:$C$405,F528,'Istoric_Nativ'!$E$6:$E$405,G528,'Istoric_Nativ'!$D$6:$D$405,"&lt;"&amp;J528,'Istoric_Nativ'!$P$6:$P$405,1,'Istoric_Nativ'!$D$6:$D$405,"&gt;="&amp;L528),IF(H528="AWAY",COUNTIFS('Istoric_Nativ'!$B$6:$B$405,E528,'Istoric_Nativ'!$C$6:$C$405,F528,'Istoric_Nativ'!$F$6:$F$405,G528,'Istoric_Nativ'!$D$6:$D$405,"&lt;"&amp;J528,'Istoric_Nativ'!$P$6:$P$405,1,'Istoric_Nativ'!$D$6:$D$405,"&gt;="&amp;L528),COUNTIFS('Istoric_Nativ'!$B$6:$B$405,E528,'Istoric_Nativ'!$C$6:$C$405,F528,'Istoric_Nativ'!$E$6:$E$405,G528,'Istoric_Nativ'!$D$6:$D$405,"&lt;"&amp;J528,'Istoric_Nativ'!$P$6:$P$405,1,'Istoric_Nativ'!$D$6:$D$405,"&gt;="&amp;L528)+COUNTIFS('Istoric_Nativ'!$B$6:$B$405,E528,'Istoric_Nativ'!$C$6:$C$405,F528,'Istoric_Nativ'!$F$6:$F$405,G528,'Istoric_Nativ'!$D$6:$D$405,"&lt;"&amp;J528,'Istoric_Nativ'!$P$6:$P$405,1,'Istoric_Nativ'!$D$6:$D$405,"&gt;="&amp;L528))))</x:f>
        <x:v>0</x:v>
      </x:c>
      <x:c r="N528" s="11" t="str">
        <x:f>IF(M528=0,"",IF(H528="HOME",SUMIFS('Istoric_Nativ'!$G$6:$G$405,'Istoric_Nativ'!$B$6:$B$405,E528,'Istoric_Nativ'!$C$6:$C$405,F528,'Istoric_Nativ'!$E$6:$E$405,G528,'Istoric_Nativ'!$D$6:$D$405,"&lt;"&amp;J528,'Istoric_Nativ'!$P$6:$P$405,1,'Istoric_Nativ'!$D$6:$D$405,"&gt;="&amp;L528),IF(H528="AWAY",SUMIFS('Istoric_Nativ'!$H$6:$H$405,'Istoric_Nativ'!$B$6:$B$405,E528,'Istoric_Nativ'!$C$6:$C$405,F528,'Istoric_Nativ'!$F$6:$F$405,G528,'Istoric_Nativ'!$D$6:$D$405,"&lt;"&amp;J528,'Istoric_Nativ'!$P$6:$P$405,1,'Istoric_Nativ'!$D$6:$D$405,"&gt;="&amp;L528),SUMIFS('Istoric_Nativ'!$G$6:$G$405,'Istoric_Nativ'!$B$6:$B$405,E528,'Istoric_Nativ'!$C$6:$C$405,F528,'Istoric_Nativ'!$E$6:$E$405,G528,'Istoric_Nativ'!$D$6:$D$405,"&lt;"&amp;J528,'Istoric_Nativ'!$P$6:$P$405,1,'Istoric_Nativ'!$D$6:$D$405,"&gt;="&amp;L528)+SUMIFS('Istoric_Nativ'!$H$6:$H$405,'Istoric_Nativ'!$B$6:$B$405,E528,'Istoric_Nativ'!$C$6:$C$405,F528,'Istoric_Nativ'!$F$6:$F$405,G528,'Istoric_Nativ'!$D$6:$D$405,"&lt;"&amp;J528,'Istoric_Nativ'!$P$6:$P$405,1,'Istoric_Nativ'!$D$6:$D$405,"&gt;="&amp;L528)))/M528)</x:f>
      </x:c>
      <x:c r="O528" s="11" t="str">
        <x:f>IF(M528=0,"",IF(H528="HOME",SUMIFS('Istoric_Nativ'!$H$6:$H$405,'Istoric_Nativ'!$B$6:$B$405,E528,'Istoric_Nativ'!$C$6:$C$405,F528,'Istoric_Nativ'!$E$6:$E$405,G528,'Istoric_Nativ'!$D$6:$D$405,"&lt;"&amp;J528,'Istoric_Nativ'!$P$6:$P$405,1,'Istoric_Nativ'!$D$6:$D$405,"&gt;="&amp;L528),IF(H528="AWAY",SUMIFS('Istoric_Nativ'!$G$6:$G$405,'Istoric_Nativ'!$B$6:$B$405,E528,'Istoric_Nativ'!$C$6:$C$405,F528,'Istoric_Nativ'!$F$6:$F$405,G528,'Istoric_Nativ'!$D$6:$D$405,"&lt;"&amp;J528,'Istoric_Nativ'!$P$6:$P$405,1,'Istoric_Nativ'!$D$6:$D$405,"&gt;="&amp;L528),SUMIFS('Istoric_Nativ'!$H$6:$H$405,'Istoric_Nativ'!$B$6:$B$405,E528,'Istoric_Nativ'!$C$6:$C$405,F528,'Istoric_Nativ'!$E$6:$E$405,G528,'Istoric_Nativ'!$D$6:$D$405,"&lt;"&amp;J528,'Istoric_Nativ'!$P$6:$P$405,1,'Istoric_Nativ'!$D$6:$D$405,"&gt;="&amp;L528)+SUMIFS('Istoric_Nativ'!$G$6:$G$405,'Istoric_Nativ'!$B$6:$B$405,E528,'Istoric_Nativ'!$C$6:$C$405,F528,'Istoric_Nativ'!$F$6:$F$405,G528,'Istoric_Nativ'!$D$6:$D$405,"&lt;"&amp;J528,'Istoric_Nativ'!$P$6:$P$405,1,'Istoric_Nativ'!$D$6:$D$405,"&gt;="&amp;L528)))/M528)</x:f>
      </x:c>
      <x:c r="P528" s="2" t="n">
        <x:f>'Config_v6'!$B$7</x:f>
        <x:v>10</x:v>
      </x:c>
      <x:c r="Q528" s="2" t="n">
        <x:f>IF(OR(B528="",F528=""),0,IFERROR(MATCH(E528&amp;"|"&amp;F528,SourceTable[Source_Key],0),0))</x:f>
        <x:v>0</x:v>
      </x:c>
      <x:c r="R528" s="2" t="str">
        <x:f>IF(B528="","",IF(F528="","UNUSED",IF(Q528=0,"NOT CHECKED",IF(COUNTIF(SourceTable[Source_Key],E528&amp;"|"&amp;F528)&lt;&gt;1,"SOURCE CONFLICT",IF(NOT(OR(INDEX(SourceTable[Status],MAX(1,Q528))="IMPORTED",INDEX(SourceTable[Status],MAX(1,Q528))="PARTIAL",INDEX(SourceTable[Status],MAX(1,Q528))="SOURCE CONFLICT")),"ACCESS BLOCKED",IF(OR(INDEX(SourceTable[Coverage],Q528)&lt;&gt;"FULL SEASON EXPORT",INDEX(SourceTable[URL],Q528)="",INDEX(SourceTable[SHA256],Q528)=""),"EVIDENCE INCOMPLETE",IF(AND('Input_Meci'!H49="LIVE",INDEX(SourceTable[Retrieved_UTC],Q528)&gt;'Input_Meci'!G49),"POST CUTOFF","CLOSED")))))))</x:f>
      </x:c>
      <x:c r="S528" s="2" t="n">
        <x:f>IF(OR(B528="",F528=""),0,COUNTIFS('Istoric_Nativ'!$B$6:$B$405,E528,'Istoric_Nativ'!$C$6:$C$405,F528,'Istoric_Nativ'!$E$6:$E$405,G528,'Istoric_Nativ'!$D$6:$D$405,"&lt;"&amp;J528,'Istoric_Nativ'!$O$6:$O$405,"INVALID")+COUNTIFS('Istoric_Nativ'!$B$6:$B$405,E528,'Istoric_Nativ'!$C$6:$C$405,F528,'Istoric_Nativ'!$E$6:$E$405,G528,'Istoric_Nativ'!$O$6:$O$405,"INVALID",'Istoric_Nativ'!$D$6:$D$405,"*")+COUNTIFS('Istoric_Nativ'!$B$6:$B$405,E528,'Istoric_Nativ'!$C$6:$C$405,F528,'Istoric_Nativ'!$E$6:$E$405,G528,'Istoric_Nativ'!$D$6:$D$405,"&lt;"&amp;J528,'Istoric_Nativ'!$O$6:$O$405,"SOURCE CONFLICT")+COUNTIFS('Istoric_Nativ'!$B$6:$B$405,E528,'Istoric_Nativ'!$C$6:$C$405,F528,'Istoric_Nativ'!$F$6:$F$405,G528,'Istoric_Nativ'!$D$6:$D$405,"&lt;"&amp;J528,'Istoric_Nativ'!$O$6:$O$405,"INVALID")+COUNTIFS('Istoric_Nativ'!$B$6:$B$405,E528,'Istoric_Nativ'!$C$6:$C$405,F528,'Istoric_Nativ'!$F$6:$F$405,G528,'Istoric_Nativ'!$O$6:$O$405,"INVALID",'Istoric_Nativ'!$D$6:$D$405,"*")+COUNTIFS('Istoric_Nativ'!$B$6:$B$405,E528,'Istoric_Nativ'!$C$6:$C$405,F528,'Istoric_Nativ'!$F$6:$F$405,G528,'Istoric_Nativ'!$D$6:$D$405,"&lt;"&amp;J528,'Istoric_Nativ'!$O$6:$O$405,"SOURCE CONFLICT"))</x:f>
        <x:v>0</x:v>
      </x:c>
      <x:c r="T528" s="2" t="str">
        <x:f>IF(B528="","",IF(R528&lt;&gt;"CLOSED",R528,IF(S528&gt;0,"NATIVE INPUT ISSUE",IF(M528=0,"NO HISTORY",IF(M528&lt;P528,"SMALL SAMPLE","DERIVED")))))</x:f>
      </x:c>
      <x:c r="U528" s="2" t="str">
        <x:f>IF(B528="","","NativeTable; "&amp;E528&amp;"; "&amp;F528&amp;"; "&amp;G528&amp;"; "&amp;H528&amp;"; before "&amp;TEXT(J528,"yyyy-mm-dd")&amp;IF(I528="RECENT","; from "&amp;TEXT(L528,"yyyy-mm-dd"),""))</x:f>
      </x:c>
    </x:row>
    <x:row r="529" ht="21" customHeight="1">
      <x:c r="A529" s="2" t="n">
        <x:v>44</x:v>
      </x:c>
      <x:c r="B529" s="2" t="str">
        <x:f>IF('Input_Meci'!A49="","",'Input_Meci'!A49)</x:f>
      </x:c>
      <x:c r="C529" s="2" t="str">
        <x:v>H</x:v>
      </x:c>
      <x:c r="D529" s="2" t="str">
        <x:v>PRIOR</x:v>
      </x:c>
      <x:c r="E529" s="2" t="str">
        <x:f>IF(B529="","",'Input_Meci'!B49)</x:f>
      </x:c>
      <x:c r="F529" s="2" t="str">
        <x:f>IF(B529="","",IF('Input_Meci'!K49="","",'Input_Meci'!K49))</x:f>
      </x:c>
      <x:c r="G529" s="2" t="str">
        <x:f>IF(B529="","",'Input_Meci'!D49)</x:f>
      </x:c>
      <x:c r="H529" s="2" t="str">
        <x:v>HOME</x:v>
      </x:c>
      <x:c r="I529" s="2" t="str">
        <x:v>HA</x:v>
      </x:c>
      <x:c r="J529" s="9" t="n">
        <x:f>IF(AND(B529&lt;&gt;"",ISNUMBER('Input_Meci'!G49)),INT('Input_Meci'!G49),0)</x:f>
        <x:v>0</x:v>
      </x:c>
      <x:c r="K529" s="2" t="n">
        <x:f>IF(OR(B529="",F529=""),0,IF(H529="HOME",COUNTIFS('Istoric_Nativ'!$B$6:$B$405,E529,'Istoric_Nativ'!$C$6:$C$405,F529,'Istoric_Nativ'!$E$6:$E$405,G529,'Istoric_Nativ'!$D$6:$D$405,"&lt;"&amp;J529,'Istoric_Nativ'!$P$6:$P$405,1),IF(H529="AWAY",COUNTIFS('Istoric_Nativ'!$B$6:$B$405,E529,'Istoric_Nativ'!$C$6:$C$405,F529,'Istoric_Nativ'!$F$6:$F$405,G529,'Istoric_Nativ'!$D$6:$D$405,"&lt;"&amp;J529,'Istoric_Nativ'!$P$6:$P$405,1),COUNTIFS('Istoric_Nativ'!$B$6:$B$405,E529,'Istoric_Nativ'!$C$6:$C$405,F529,'Istoric_Nativ'!$E$6:$E$405,G529,'Istoric_Nativ'!$D$6:$D$405,"&lt;"&amp;J529,'Istoric_Nativ'!$P$6:$P$405,1)+COUNTIFS('Istoric_Nativ'!$B$6:$B$405,E529,'Istoric_Nativ'!$C$6:$C$405,F529,'Istoric_Nativ'!$F$6:$F$405,G529,'Istoric_Nativ'!$D$6:$D$405,"&lt;"&amp;J529,'Istoric_Nativ'!$P$6:$P$405,1))))</x:f>
        <x:v>0</x:v>
      </x:c>
      <x:c r="L529" s="17" t="n">
        <x:f>IF(AND(B529&lt;&gt;"",I529="RECENT",K529&gt;0),LARGE(_xlfn._xlws.FILTER('Istoric_Nativ'!$D$6:$D$405,('Istoric_Nativ'!$B$6:$B$405=E529)*('Istoric_Nativ'!$C$6:$C$405=F529)*('Istoric_Nativ'!$P$6:$P$405=1)*('Istoric_Nativ'!$D$6:$D$405&lt;J529)*((('Istoric_Nativ'!$E$6:$E$405=G529)+('Istoric_Nativ'!$F$6:$F$405=G529))&gt;0)),MIN('Config_v6'!$B$54,K529)),0)</x:f>
        <x:v>0</x:v>
      </x:c>
      <x:c r="M529" s="2" t="n">
        <x:f>IF(OR(B529="",F529=""),0,IF(H529="HOME",COUNTIFS('Istoric_Nativ'!$B$6:$B$405,E529,'Istoric_Nativ'!$C$6:$C$405,F529,'Istoric_Nativ'!$E$6:$E$405,G529,'Istoric_Nativ'!$D$6:$D$405,"&lt;"&amp;J529,'Istoric_Nativ'!$P$6:$P$405,1,'Istoric_Nativ'!$D$6:$D$405,"&gt;="&amp;L529),IF(H529="AWAY",COUNTIFS('Istoric_Nativ'!$B$6:$B$405,E529,'Istoric_Nativ'!$C$6:$C$405,F529,'Istoric_Nativ'!$F$6:$F$405,G529,'Istoric_Nativ'!$D$6:$D$405,"&lt;"&amp;J529,'Istoric_Nativ'!$P$6:$P$405,1,'Istoric_Nativ'!$D$6:$D$405,"&gt;="&amp;L529),COUNTIFS('Istoric_Nativ'!$B$6:$B$405,E529,'Istoric_Nativ'!$C$6:$C$405,F529,'Istoric_Nativ'!$E$6:$E$405,G529,'Istoric_Nativ'!$D$6:$D$405,"&lt;"&amp;J529,'Istoric_Nativ'!$P$6:$P$405,1,'Istoric_Nativ'!$D$6:$D$405,"&gt;="&amp;L529)+COUNTIFS('Istoric_Nativ'!$B$6:$B$405,E529,'Istoric_Nativ'!$C$6:$C$405,F529,'Istoric_Nativ'!$F$6:$F$405,G529,'Istoric_Nativ'!$D$6:$D$405,"&lt;"&amp;J529,'Istoric_Nativ'!$P$6:$P$405,1,'Istoric_Nativ'!$D$6:$D$405,"&gt;="&amp;L529))))</x:f>
        <x:v>0</x:v>
      </x:c>
      <x:c r="N529" s="11" t="str">
        <x:f>IF(M529=0,"",IF(H529="HOME",SUMIFS('Istoric_Nativ'!$G$6:$G$405,'Istoric_Nativ'!$B$6:$B$405,E529,'Istoric_Nativ'!$C$6:$C$405,F529,'Istoric_Nativ'!$E$6:$E$405,G529,'Istoric_Nativ'!$D$6:$D$405,"&lt;"&amp;J529,'Istoric_Nativ'!$P$6:$P$405,1,'Istoric_Nativ'!$D$6:$D$405,"&gt;="&amp;L529),IF(H529="AWAY",SUMIFS('Istoric_Nativ'!$H$6:$H$405,'Istoric_Nativ'!$B$6:$B$405,E529,'Istoric_Nativ'!$C$6:$C$405,F529,'Istoric_Nativ'!$F$6:$F$405,G529,'Istoric_Nativ'!$D$6:$D$405,"&lt;"&amp;J529,'Istoric_Nativ'!$P$6:$P$405,1,'Istoric_Nativ'!$D$6:$D$405,"&gt;="&amp;L529),SUMIFS('Istoric_Nativ'!$G$6:$G$405,'Istoric_Nativ'!$B$6:$B$405,E529,'Istoric_Nativ'!$C$6:$C$405,F529,'Istoric_Nativ'!$E$6:$E$405,G529,'Istoric_Nativ'!$D$6:$D$405,"&lt;"&amp;J529,'Istoric_Nativ'!$P$6:$P$405,1,'Istoric_Nativ'!$D$6:$D$405,"&gt;="&amp;L529)+SUMIFS('Istoric_Nativ'!$H$6:$H$405,'Istoric_Nativ'!$B$6:$B$405,E529,'Istoric_Nativ'!$C$6:$C$405,F529,'Istoric_Nativ'!$F$6:$F$405,G529,'Istoric_Nativ'!$D$6:$D$405,"&lt;"&amp;J529,'Istoric_Nativ'!$P$6:$P$405,1,'Istoric_Nativ'!$D$6:$D$405,"&gt;="&amp;L529)))/M529)</x:f>
      </x:c>
      <x:c r="O529" s="11" t="str">
        <x:f>IF(M529=0,"",IF(H529="HOME",SUMIFS('Istoric_Nativ'!$H$6:$H$405,'Istoric_Nativ'!$B$6:$B$405,E529,'Istoric_Nativ'!$C$6:$C$405,F529,'Istoric_Nativ'!$E$6:$E$405,G529,'Istoric_Nativ'!$D$6:$D$405,"&lt;"&amp;J529,'Istoric_Nativ'!$P$6:$P$405,1,'Istoric_Nativ'!$D$6:$D$405,"&gt;="&amp;L529),IF(H529="AWAY",SUMIFS('Istoric_Nativ'!$G$6:$G$405,'Istoric_Nativ'!$B$6:$B$405,E529,'Istoric_Nativ'!$C$6:$C$405,F529,'Istoric_Nativ'!$F$6:$F$405,G529,'Istoric_Nativ'!$D$6:$D$405,"&lt;"&amp;J529,'Istoric_Nativ'!$P$6:$P$405,1,'Istoric_Nativ'!$D$6:$D$405,"&gt;="&amp;L529),SUMIFS('Istoric_Nativ'!$H$6:$H$405,'Istoric_Nativ'!$B$6:$B$405,E529,'Istoric_Nativ'!$C$6:$C$405,F529,'Istoric_Nativ'!$E$6:$E$405,G529,'Istoric_Nativ'!$D$6:$D$405,"&lt;"&amp;J529,'Istoric_Nativ'!$P$6:$P$405,1,'Istoric_Nativ'!$D$6:$D$405,"&gt;="&amp;L529)+SUMIFS('Istoric_Nativ'!$G$6:$G$405,'Istoric_Nativ'!$B$6:$B$405,E529,'Istoric_Nativ'!$C$6:$C$405,F529,'Istoric_Nativ'!$F$6:$F$405,G529,'Istoric_Nativ'!$D$6:$D$405,"&lt;"&amp;J529,'Istoric_Nativ'!$P$6:$P$405,1,'Istoric_Nativ'!$D$6:$D$405,"&gt;="&amp;L529)))/M529)</x:f>
      </x:c>
      <x:c r="P529" s="2" t="n">
        <x:f>'Config_v6'!$B$8</x:f>
        <x:v>5</x:v>
      </x:c>
      <x:c r="Q529" s="2" t="n">
        <x:f>IF(OR(B529="",F529=""),0,IFERROR(MATCH(E529&amp;"|"&amp;F529,SourceTable[Source_Key],0),0))</x:f>
        <x:v>0</x:v>
      </x:c>
      <x:c r="R529" s="2" t="str">
        <x:f>IF(B529="","",IF(F529="","UNUSED",IF(Q529=0,"NOT CHECKED",IF(COUNTIF(SourceTable[Source_Key],E529&amp;"|"&amp;F529)&lt;&gt;1,"SOURCE CONFLICT",IF(NOT(OR(INDEX(SourceTable[Status],MAX(1,Q529))="IMPORTED",INDEX(SourceTable[Status],MAX(1,Q529))="PARTIAL",INDEX(SourceTable[Status],MAX(1,Q529))="SOURCE CONFLICT")),"ACCESS BLOCKED",IF(OR(INDEX(SourceTable[Coverage],Q529)&lt;&gt;"FULL SEASON EXPORT",INDEX(SourceTable[URL],Q529)="",INDEX(SourceTable[SHA256],Q529)=""),"EVIDENCE INCOMPLETE",IF(AND('Input_Meci'!H49="LIVE",INDEX(SourceTable[Retrieved_UTC],Q529)&gt;'Input_Meci'!G49),"POST CUTOFF","CLOSED")))))))</x:f>
      </x:c>
      <x:c r="S529" s="2" t="n">
        <x:f>IF(OR(B529="",F529=""),0,COUNTIFS('Istoric_Nativ'!$B$6:$B$405,E529,'Istoric_Nativ'!$C$6:$C$405,F529,'Istoric_Nativ'!$E$6:$E$405,G529,'Istoric_Nativ'!$D$6:$D$405,"&lt;"&amp;J529,'Istoric_Nativ'!$O$6:$O$405,"INVALID")+COUNTIFS('Istoric_Nativ'!$B$6:$B$405,E529,'Istoric_Nativ'!$C$6:$C$405,F529,'Istoric_Nativ'!$E$6:$E$405,G529,'Istoric_Nativ'!$O$6:$O$405,"INVALID",'Istoric_Nativ'!$D$6:$D$405,"*")+COUNTIFS('Istoric_Nativ'!$B$6:$B$405,E529,'Istoric_Nativ'!$C$6:$C$405,F529,'Istoric_Nativ'!$E$6:$E$405,G529,'Istoric_Nativ'!$D$6:$D$405,"&lt;"&amp;J529,'Istoric_Nativ'!$O$6:$O$405,"SOURCE CONFLICT")+COUNTIFS('Istoric_Nativ'!$B$6:$B$405,E529,'Istoric_Nativ'!$C$6:$C$405,F529,'Istoric_Nativ'!$F$6:$F$405,G529,'Istoric_Nativ'!$D$6:$D$405,"&lt;"&amp;J529,'Istoric_Nativ'!$O$6:$O$405,"INVALID")+COUNTIFS('Istoric_Nativ'!$B$6:$B$405,E529,'Istoric_Nativ'!$C$6:$C$405,F529,'Istoric_Nativ'!$F$6:$F$405,G529,'Istoric_Nativ'!$O$6:$O$405,"INVALID",'Istoric_Nativ'!$D$6:$D$405,"*")+COUNTIFS('Istoric_Nativ'!$B$6:$B$405,E529,'Istoric_Nativ'!$C$6:$C$405,F529,'Istoric_Nativ'!$F$6:$F$405,G529,'Istoric_Nativ'!$D$6:$D$405,"&lt;"&amp;J529,'Istoric_Nativ'!$O$6:$O$405,"SOURCE CONFLICT"))</x:f>
        <x:v>0</x:v>
      </x:c>
      <x:c r="T529" s="2" t="str">
        <x:f>IF(B529="","",IF(R529&lt;&gt;"CLOSED",R529,IF(S529&gt;0,"NATIVE INPUT ISSUE",IF(M529=0,"NO HISTORY",IF(M529&lt;P529,"SMALL SAMPLE","DERIVED")))))</x:f>
      </x:c>
      <x:c r="U529" s="2" t="str">
        <x:f>IF(B529="","","NativeTable; "&amp;E529&amp;"; "&amp;F529&amp;"; "&amp;G529&amp;"; "&amp;H529&amp;"; before "&amp;TEXT(J529,"yyyy-mm-dd")&amp;IF(I529="RECENT","; from "&amp;TEXT(L529,"yyyy-mm-dd"),""))</x:f>
      </x:c>
    </x:row>
    <x:row r="530" ht="21" customHeight="1">
      <x:c r="A530" s="2" t="n">
        <x:v>44</x:v>
      </x:c>
      <x:c r="B530" s="2" t="str">
        <x:f>IF('Input_Meci'!A49="","",'Input_Meci'!A49)</x:f>
      </x:c>
      <x:c r="C530" s="2" t="str">
        <x:v>H</x:v>
      </x:c>
      <x:c r="D530" s="2" t="str">
        <x:v>PRIOR</x:v>
      </x:c>
      <x:c r="E530" s="2" t="str">
        <x:f>IF(B530="","",'Input_Meci'!B49)</x:f>
      </x:c>
      <x:c r="F530" s="2" t="str">
        <x:f>IF(B530="","",IF('Input_Meci'!K49="","",'Input_Meci'!K49))</x:f>
      </x:c>
      <x:c r="G530" s="2" t="str">
        <x:f>IF(B530="","",'Input_Meci'!D49)</x:f>
      </x:c>
      <x:c r="H530" s="2" t="str">
        <x:v>ANY</x:v>
      </x:c>
      <x:c r="I530" s="2" t="str">
        <x:v>RECENT</x:v>
      </x:c>
      <x:c r="J530" s="9" t="n">
        <x:f>IF(AND(B530&lt;&gt;"",ISNUMBER('Input_Meci'!G49)),INT('Input_Meci'!G49),0)</x:f>
        <x:v>0</x:v>
      </x:c>
      <x:c r="K530" s="2" t="n">
        <x:f>IF(OR(B530="",F530=""),0,IF(H530="HOME",COUNTIFS('Istoric_Nativ'!$B$6:$B$405,E530,'Istoric_Nativ'!$C$6:$C$405,F530,'Istoric_Nativ'!$E$6:$E$405,G530,'Istoric_Nativ'!$D$6:$D$405,"&lt;"&amp;J530,'Istoric_Nativ'!$P$6:$P$405,1),IF(H530="AWAY",COUNTIFS('Istoric_Nativ'!$B$6:$B$405,E530,'Istoric_Nativ'!$C$6:$C$405,F530,'Istoric_Nativ'!$F$6:$F$405,G530,'Istoric_Nativ'!$D$6:$D$405,"&lt;"&amp;J530,'Istoric_Nativ'!$P$6:$P$405,1),COUNTIFS('Istoric_Nativ'!$B$6:$B$405,E530,'Istoric_Nativ'!$C$6:$C$405,F530,'Istoric_Nativ'!$E$6:$E$405,G530,'Istoric_Nativ'!$D$6:$D$405,"&lt;"&amp;J530,'Istoric_Nativ'!$P$6:$P$405,1)+COUNTIFS('Istoric_Nativ'!$B$6:$B$405,E530,'Istoric_Nativ'!$C$6:$C$405,F530,'Istoric_Nativ'!$F$6:$F$405,G530,'Istoric_Nativ'!$D$6:$D$405,"&lt;"&amp;J530,'Istoric_Nativ'!$P$6:$P$405,1))))</x:f>
        <x:v>0</x:v>
      </x:c>
      <x:c r="L530" s="17" t="n">
        <x:f>IF(AND(B530&lt;&gt;"",I530="RECENT",K530&gt;0),LARGE(_xlfn._xlws.FILTER('Istoric_Nativ'!$D$6:$D$405,('Istoric_Nativ'!$B$6:$B$405=E530)*('Istoric_Nativ'!$C$6:$C$405=F530)*('Istoric_Nativ'!$P$6:$P$405=1)*('Istoric_Nativ'!$D$6:$D$405&lt;J530)*((('Istoric_Nativ'!$E$6:$E$405=G530)+('Istoric_Nativ'!$F$6:$F$405=G530))&gt;0)),MIN('Config_v6'!$B$54,K530)),0)</x:f>
        <x:v>0</x:v>
      </x:c>
      <x:c r="M530" s="2" t="n">
        <x:f>IF(OR(B530="",F530=""),0,IF(H530="HOME",COUNTIFS('Istoric_Nativ'!$B$6:$B$405,E530,'Istoric_Nativ'!$C$6:$C$405,F530,'Istoric_Nativ'!$E$6:$E$405,G530,'Istoric_Nativ'!$D$6:$D$405,"&lt;"&amp;J530,'Istoric_Nativ'!$P$6:$P$405,1,'Istoric_Nativ'!$D$6:$D$405,"&gt;="&amp;L530),IF(H530="AWAY",COUNTIFS('Istoric_Nativ'!$B$6:$B$405,E530,'Istoric_Nativ'!$C$6:$C$405,F530,'Istoric_Nativ'!$F$6:$F$405,G530,'Istoric_Nativ'!$D$6:$D$405,"&lt;"&amp;J530,'Istoric_Nativ'!$P$6:$P$405,1,'Istoric_Nativ'!$D$6:$D$405,"&gt;="&amp;L530),COUNTIFS('Istoric_Nativ'!$B$6:$B$405,E530,'Istoric_Nativ'!$C$6:$C$405,F530,'Istoric_Nativ'!$E$6:$E$405,G530,'Istoric_Nativ'!$D$6:$D$405,"&lt;"&amp;J530,'Istoric_Nativ'!$P$6:$P$405,1,'Istoric_Nativ'!$D$6:$D$405,"&gt;="&amp;L530)+COUNTIFS('Istoric_Nativ'!$B$6:$B$405,E530,'Istoric_Nativ'!$C$6:$C$405,F530,'Istoric_Nativ'!$F$6:$F$405,G530,'Istoric_Nativ'!$D$6:$D$405,"&lt;"&amp;J530,'Istoric_Nativ'!$P$6:$P$405,1,'Istoric_Nativ'!$D$6:$D$405,"&gt;="&amp;L530))))</x:f>
        <x:v>0</x:v>
      </x:c>
      <x:c r="N530" s="11" t="str">
        <x:f>IF(M530=0,"",IF(H530="HOME",SUMIFS('Istoric_Nativ'!$G$6:$G$405,'Istoric_Nativ'!$B$6:$B$405,E530,'Istoric_Nativ'!$C$6:$C$405,F530,'Istoric_Nativ'!$E$6:$E$405,G530,'Istoric_Nativ'!$D$6:$D$405,"&lt;"&amp;J530,'Istoric_Nativ'!$P$6:$P$405,1,'Istoric_Nativ'!$D$6:$D$405,"&gt;="&amp;L530),IF(H530="AWAY",SUMIFS('Istoric_Nativ'!$H$6:$H$405,'Istoric_Nativ'!$B$6:$B$405,E530,'Istoric_Nativ'!$C$6:$C$405,F530,'Istoric_Nativ'!$F$6:$F$405,G530,'Istoric_Nativ'!$D$6:$D$405,"&lt;"&amp;J530,'Istoric_Nativ'!$P$6:$P$405,1,'Istoric_Nativ'!$D$6:$D$405,"&gt;="&amp;L530),SUMIFS('Istoric_Nativ'!$G$6:$G$405,'Istoric_Nativ'!$B$6:$B$405,E530,'Istoric_Nativ'!$C$6:$C$405,F530,'Istoric_Nativ'!$E$6:$E$405,G530,'Istoric_Nativ'!$D$6:$D$405,"&lt;"&amp;J530,'Istoric_Nativ'!$P$6:$P$405,1,'Istoric_Nativ'!$D$6:$D$405,"&gt;="&amp;L530)+SUMIFS('Istoric_Nativ'!$H$6:$H$405,'Istoric_Nativ'!$B$6:$B$405,E530,'Istoric_Nativ'!$C$6:$C$405,F530,'Istoric_Nativ'!$F$6:$F$405,G530,'Istoric_Nativ'!$D$6:$D$405,"&lt;"&amp;J530,'Istoric_Nativ'!$P$6:$P$405,1,'Istoric_Nativ'!$D$6:$D$405,"&gt;="&amp;L530)))/M530)</x:f>
      </x:c>
      <x:c r="O530" s="11" t="str">
        <x:f>IF(M530=0,"",IF(H530="HOME",SUMIFS('Istoric_Nativ'!$H$6:$H$405,'Istoric_Nativ'!$B$6:$B$405,E530,'Istoric_Nativ'!$C$6:$C$405,F530,'Istoric_Nativ'!$E$6:$E$405,G530,'Istoric_Nativ'!$D$6:$D$405,"&lt;"&amp;J530,'Istoric_Nativ'!$P$6:$P$405,1,'Istoric_Nativ'!$D$6:$D$405,"&gt;="&amp;L530),IF(H530="AWAY",SUMIFS('Istoric_Nativ'!$G$6:$G$405,'Istoric_Nativ'!$B$6:$B$405,E530,'Istoric_Nativ'!$C$6:$C$405,F530,'Istoric_Nativ'!$F$6:$F$405,G530,'Istoric_Nativ'!$D$6:$D$405,"&lt;"&amp;J530,'Istoric_Nativ'!$P$6:$P$405,1,'Istoric_Nativ'!$D$6:$D$405,"&gt;="&amp;L530),SUMIFS('Istoric_Nativ'!$H$6:$H$405,'Istoric_Nativ'!$B$6:$B$405,E530,'Istoric_Nativ'!$C$6:$C$405,F530,'Istoric_Nativ'!$E$6:$E$405,G530,'Istoric_Nativ'!$D$6:$D$405,"&lt;"&amp;J530,'Istoric_Nativ'!$P$6:$P$405,1,'Istoric_Nativ'!$D$6:$D$405,"&gt;="&amp;L530)+SUMIFS('Istoric_Nativ'!$G$6:$G$405,'Istoric_Nativ'!$B$6:$B$405,E530,'Istoric_Nativ'!$C$6:$C$405,F530,'Istoric_Nativ'!$F$6:$F$405,G530,'Istoric_Nativ'!$D$6:$D$405,"&lt;"&amp;J530,'Istoric_Nativ'!$P$6:$P$405,1,'Istoric_Nativ'!$D$6:$D$405,"&gt;="&amp;L530)))/M530)</x:f>
      </x:c>
      <x:c r="P530" s="2" t="n">
        <x:f>'Config_v6'!$B$9</x:f>
        <x:v>3</x:v>
      </x:c>
      <x:c r="Q530" s="2" t="n">
        <x:f>IF(OR(B530="",F530=""),0,IFERROR(MATCH(E530&amp;"|"&amp;F530,SourceTable[Source_Key],0),0))</x:f>
        <x:v>0</x:v>
      </x:c>
      <x:c r="R530" s="2" t="str">
        <x:f>IF(B530="","",IF(F530="","UNUSED",IF(Q530=0,"NOT CHECKED",IF(COUNTIF(SourceTable[Source_Key],E530&amp;"|"&amp;F530)&lt;&gt;1,"SOURCE CONFLICT",IF(NOT(OR(INDEX(SourceTable[Status],MAX(1,Q530))="IMPORTED",INDEX(SourceTable[Status],MAX(1,Q530))="PARTIAL",INDEX(SourceTable[Status],MAX(1,Q530))="SOURCE CONFLICT")),"ACCESS BLOCKED",IF(OR(INDEX(SourceTable[Coverage],Q530)&lt;&gt;"FULL SEASON EXPORT",INDEX(SourceTable[URL],Q530)="",INDEX(SourceTable[SHA256],Q530)=""),"EVIDENCE INCOMPLETE",IF(AND('Input_Meci'!H49="LIVE",INDEX(SourceTable[Retrieved_UTC],Q530)&gt;'Input_Meci'!G49),"POST CUTOFF","CLOSED")))))))</x:f>
      </x:c>
      <x:c r="S530" s="2" t="n">
        <x:f>IF(OR(B530="",F530=""),0,COUNTIFS('Istoric_Nativ'!$B$6:$B$405,E530,'Istoric_Nativ'!$C$6:$C$405,F530,'Istoric_Nativ'!$E$6:$E$405,G530,'Istoric_Nativ'!$D$6:$D$405,"&lt;"&amp;J530,'Istoric_Nativ'!$O$6:$O$405,"INVALID")+COUNTIFS('Istoric_Nativ'!$B$6:$B$405,E530,'Istoric_Nativ'!$C$6:$C$405,F530,'Istoric_Nativ'!$E$6:$E$405,G530,'Istoric_Nativ'!$O$6:$O$405,"INVALID",'Istoric_Nativ'!$D$6:$D$405,"*")+COUNTIFS('Istoric_Nativ'!$B$6:$B$405,E530,'Istoric_Nativ'!$C$6:$C$405,F530,'Istoric_Nativ'!$E$6:$E$405,G530,'Istoric_Nativ'!$D$6:$D$405,"&lt;"&amp;J530,'Istoric_Nativ'!$O$6:$O$405,"SOURCE CONFLICT")+COUNTIFS('Istoric_Nativ'!$B$6:$B$405,E530,'Istoric_Nativ'!$C$6:$C$405,F530,'Istoric_Nativ'!$F$6:$F$405,G530,'Istoric_Nativ'!$D$6:$D$405,"&lt;"&amp;J530,'Istoric_Nativ'!$O$6:$O$405,"INVALID")+COUNTIFS('Istoric_Nativ'!$B$6:$B$405,E530,'Istoric_Nativ'!$C$6:$C$405,F530,'Istoric_Nativ'!$F$6:$F$405,G530,'Istoric_Nativ'!$O$6:$O$405,"INVALID",'Istoric_Nativ'!$D$6:$D$405,"*")+COUNTIFS('Istoric_Nativ'!$B$6:$B$405,E530,'Istoric_Nativ'!$C$6:$C$405,F530,'Istoric_Nativ'!$F$6:$F$405,G530,'Istoric_Nativ'!$D$6:$D$405,"&lt;"&amp;J530,'Istoric_Nativ'!$O$6:$O$405,"SOURCE CONFLICT"))</x:f>
        <x:v>0</x:v>
      </x:c>
      <x:c r="T530" s="2" t="str">
        <x:f>IF(B530="","",IF(R530&lt;&gt;"CLOSED",R530,IF(S530&gt;0,"NATIVE INPUT ISSUE",IF(M530=0,"NO HISTORY",IF(M530&lt;P530,"SMALL SAMPLE","DERIVED")))))</x:f>
      </x:c>
      <x:c r="U530" s="2" t="str">
        <x:f>IF(B530="","","NativeTable; "&amp;E530&amp;"; "&amp;F530&amp;"; "&amp;G530&amp;"; "&amp;H530&amp;"; before "&amp;TEXT(J530,"yyyy-mm-dd")&amp;IF(I530="RECENT","; from "&amp;TEXT(L530,"yyyy-mm-dd"),""))</x:f>
      </x:c>
    </x:row>
    <x:row r="531" ht="21" customHeight="1">
      <x:c r="A531" s="2" t="n">
        <x:v>44</x:v>
      </x:c>
      <x:c r="B531" s="2" t="str">
        <x:f>IF('Input_Meci'!A49="","",'Input_Meci'!A49)</x:f>
      </x:c>
      <x:c r="C531" s="2" t="str">
        <x:v>A</x:v>
      </x:c>
      <x:c r="D531" s="2" t="str">
        <x:v>PRIOR</x:v>
      </x:c>
      <x:c r="E531" s="2" t="str">
        <x:f>IF(B531="","",'Input_Meci'!B49)</x:f>
      </x:c>
      <x:c r="F531" s="2" t="str">
        <x:f>IF(B531="","",IF('Input_Meci'!K49="","",'Input_Meci'!K49))</x:f>
      </x:c>
      <x:c r="G531" s="2" t="str">
        <x:f>IF(B531="","",'Input_Meci'!E49)</x:f>
      </x:c>
      <x:c r="H531" s="2" t="str">
        <x:v>ANY</x:v>
      </x:c>
      <x:c r="I531" s="2" t="str">
        <x:v>SEASON</x:v>
      </x:c>
      <x:c r="J531" s="9" t="n">
        <x:f>IF(AND(B531&lt;&gt;"",ISNUMBER('Input_Meci'!G49)),INT('Input_Meci'!G49),0)</x:f>
        <x:v>0</x:v>
      </x:c>
      <x:c r="K531" s="2" t="n">
        <x:f>IF(OR(B531="",F531=""),0,IF(H531="HOME",COUNTIFS('Istoric_Nativ'!$B$6:$B$405,E531,'Istoric_Nativ'!$C$6:$C$405,F531,'Istoric_Nativ'!$E$6:$E$405,G531,'Istoric_Nativ'!$D$6:$D$405,"&lt;"&amp;J531,'Istoric_Nativ'!$P$6:$P$405,1),IF(H531="AWAY",COUNTIFS('Istoric_Nativ'!$B$6:$B$405,E531,'Istoric_Nativ'!$C$6:$C$405,F531,'Istoric_Nativ'!$F$6:$F$405,G531,'Istoric_Nativ'!$D$6:$D$405,"&lt;"&amp;J531,'Istoric_Nativ'!$P$6:$P$405,1),COUNTIFS('Istoric_Nativ'!$B$6:$B$405,E531,'Istoric_Nativ'!$C$6:$C$405,F531,'Istoric_Nativ'!$E$6:$E$405,G531,'Istoric_Nativ'!$D$6:$D$405,"&lt;"&amp;J531,'Istoric_Nativ'!$P$6:$P$405,1)+COUNTIFS('Istoric_Nativ'!$B$6:$B$405,E531,'Istoric_Nativ'!$C$6:$C$405,F531,'Istoric_Nativ'!$F$6:$F$405,G531,'Istoric_Nativ'!$D$6:$D$405,"&lt;"&amp;J531,'Istoric_Nativ'!$P$6:$P$405,1))))</x:f>
        <x:v>0</x:v>
      </x:c>
      <x:c r="L531" s="17" t="n">
        <x:f>IF(AND(B531&lt;&gt;"",I531="RECENT",K531&gt;0),LARGE(_xlfn._xlws.FILTER('Istoric_Nativ'!$D$6:$D$405,('Istoric_Nativ'!$B$6:$B$405=E531)*('Istoric_Nativ'!$C$6:$C$405=F531)*('Istoric_Nativ'!$P$6:$P$405=1)*('Istoric_Nativ'!$D$6:$D$405&lt;J531)*((('Istoric_Nativ'!$E$6:$E$405=G531)+('Istoric_Nativ'!$F$6:$F$405=G531))&gt;0)),MIN('Config_v6'!$B$54,K531)),0)</x:f>
        <x:v>0</x:v>
      </x:c>
      <x:c r="M531" s="2" t="n">
        <x:f>IF(OR(B531="",F531=""),0,IF(H531="HOME",COUNTIFS('Istoric_Nativ'!$B$6:$B$405,E531,'Istoric_Nativ'!$C$6:$C$405,F531,'Istoric_Nativ'!$E$6:$E$405,G531,'Istoric_Nativ'!$D$6:$D$405,"&lt;"&amp;J531,'Istoric_Nativ'!$P$6:$P$405,1,'Istoric_Nativ'!$D$6:$D$405,"&gt;="&amp;L531),IF(H531="AWAY",COUNTIFS('Istoric_Nativ'!$B$6:$B$405,E531,'Istoric_Nativ'!$C$6:$C$405,F531,'Istoric_Nativ'!$F$6:$F$405,G531,'Istoric_Nativ'!$D$6:$D$405,"&lt;"&amp;J531,'Istoric_Nativ'!$P$6:$P$405,1,'Istoric_Nativ'!$D$6:$D$405,"&gt;="&amp;L531),COUNTIFS('Istoric_Nativ'!$B$6:$B$405,E531,'Istoric_Nativ'!$C$6:$C$405,F531,'Istoric_Nativ'!$E$6:$E$405,G531,'Istoric_Nativ'!$D$6:$D$405,"&lt;"&amp;J531,'Istoric_Nativ'!$P$6:$P$405,1,'Istoric_Nativ'!$D$6:$D$405,"&gt;="&amp;L531)+COUNTIFS('Istoric_Nativ'!$B$6:$B$405,E531,'Istoric_Nativ'!$C$6:$C$405,F531,'Istoric_Nativ'!$F$6:$F$405,G531,'Istoric_Nativ'!$D$6:$D$405,"&lt;"&amp;J531,'Istoric_Nativ'!$P$6:$P$405,1,'Istoric_Nativ'!$D$6:$D$405,"&gt;="&amp;L531))))</x:f>
        <x:v>0</x:v>
      </x:c>
      <x:c r="N531" s="11" t="str">
        <x:f>IF(M531=0,"",IF(H531="HOME",SUMIFS('Istoric_Nativ'!$G$6:$G$405,'Istoric_Nativ'!$B$6:$B$405,E531,'Istoric_Nativ'!$C$6:$C$405,F531,'Istoric_Nativ'!$E$6:$E$405,G531,'Istoric_Nativ'!$D$6:$D$405,"&lt;"&amp;J531,'Istoric_Nativ'!$P$6:$P$405,1,'Istoric_Nativ'!$D$6:$D$405,"&gt;="&amp;L531),IF(H531="AWAY",SUMIFS('Istoric_Nativ'!$H$6:$H$405,'Istoric_Nativ'!$B$6:$B$405,E531,'Istoric_Nativ'!$C$6:$C$405,F531,'Istoric_Nativ'!$F$6:$F$405,G531,'Istoric_Nativ'!$D$6:$D$405,"&lt;"&amp;J531,'Istoric_Nativ'!$P$6:$P$405,1,'Istoric_Nativ'!$D$6:$D$405,"&gt;="&amp;L531),SUMIFS('Istoric_Nativ'!$G$6:$G$405,'Istoric_Nativ'!$B$6:$B$405,E531,'Istoric_Nativ'!$C$6:$C$405,F531,'Istoric_Nativ'!$E$6:$E$405,G531,'Istoric_Nativ'!$D$6:$D$405,"&lt;"&amp;J531,'Istoric_Nativ'!$P$6:$P$405,1,'Istoric_Nativ'!$D$6:$D$405,"&gt;="&amp;L531)+SUMIFS('Istoric_Nativ'!$H$6:$H$405,'Istoric_Nativ'!$B$6:$B$405,E531,'Istoric_Nativ'!$C$6:$C$405,F531,'Istoric_Nativ'!$F$6:$F$405,G531,'Istoric_Nativ'!$D$6:$D$405,"&lt;"&amp;J531,'Istoric_Nativ'!$P$6:$P$405,1,'Istoric_Nativ'!$D$6:$D$405,"&gt;="&amp;L531)))/M531)</x:f>
      </x:c>
      <x:c r="O531" s="11" t="str">
        <x:f>IF(M531=0,"",IF(H531="HOME",SUMIFS('Istoric_Nativ'!$H$6:$H$405,'Istoric_Nativ'!$B$6:$B$405,E531,'Istoric_Nativ'!$C$6:$C$405,F531,'Istoric_Nativ'!$E$6:$E$405,G531,'Istoric_Nativ'!$D$6:$D$405,"&lt;"&amp;J531,'Istoric_Nativ'!$P$6:$P$405,1,'Istoric_Nativ'!$D$6:$D$405,"&gt;="&amp;L531),IF(H531="AWAY",SUMIFS('Istoric_Nativ'!$G$6:$G$405,'Istoric_Nativ'!$B$6:$B$405,E531,'Istoric_Nativ'!$C$6:$C$405,F531,'Istoric_Nativ'!$F$6:$F$405,G531,'Istoric_Nativ'!$D$6:$D$405,"&lt;"&amp;J531,'Istoric_Nativ'!$P$6:$P$405,1,'Istoric_Nativ'!$D$6:$D$405,"&gt;="&amp;L531),SUMIFS('Istoric_Nativ'!$H$6:$H$405,'Istoric_Nativ'!$B$6:$B$405,E531,'Istoric_Nativ'!$C$6:$C$405,F531,'Istoric_Nativ'!$E$6:$E$405,G531,'Istoric_Nativ'!$D$6:$D$405,"&lt;"&amp;J531,'Istoric_Nativ'!$P$6:$P$405,1,'Istoric_Nativ'!$D$6:$D$405,"&gt;="&amp;L531)+SUMIFS('Istoric_Nativ'!$G$6:$G$405,'Istoric_Nativ'!$B$6:$B$405,E531,'Istoric_Nativ'!$C$6:$C$405,F531,'Istoric_Nativ'!$F$6:$F$405,G531,'Istoric_Nativ'!$D$6:$D$405,"&lt;"&amp;J531,'Istoric_Nativ'!$P$6:$P$405,1,'Istoric_Nativ'!$D$6:$D$405,"&gt;="&amp;L531)))/M531)</x:f>
      </x:c>
      <x:c r="P531" s="2" t="n">
        <x:f>'Config_v6'!$B$7</x:f>
        <x:v>10</x:v>
      </x:c>
      <x:c r="Q531" s="2" t="n">
        <x:f>IF(OR(B531="",F531=""),0,IFERROR(MATCH(E531&amp;"|"&amp;F531,SourceTable[Source_Key],0),0))</x:f>
        <x:v>0</x:v>
      </x:c>
      <x:c r="R531" s="2" t="str">
        <x:f>IF(B531="","",IF(F531="","UNUSED",IF(Q531=0,"NOT CHECKED",IF(COUNTIF(SourceTable[Source_Key],E531&amp;"|"&amp;F531)&lt;&gt;1,"SOURCE CONFLICT",IF(NOT(OR(INDEX(SourceTable[Status],MAX(1,Q531))="IMPORTED",INDEX(SourceTable[Status],MAX(1,Q531))="PARTIAL",INDEX(SourceTable[Status],MAX(1,Q531))="SOURCE CONFLICT")),"ACCESS BLOCKED",IF(OR(INDEX(SourceTable[Coverage],Q531)&lt;&gt;"FULL SEASON EXPORT",INDEX(SourceTable[URL],Q531)="",INDEX(SourceTable[SHA256],Q531)=""),"EVIDENCE INCOMPLETE",IF(AND('Input_Meci'!H49="LIVE",INDEX(SourceTable[Retrieved_UTC],Q531)&gt;'Input_Meci'!G49),"POST CUTOFF","CLOSED")))))))</x:f>
      </x:c>
      <x:c r="S531" s="2" t="n">
        <x:f>IF(OR(B531="",F531=""),0,COUNTIFS('Istoric_Nativ'!$B$6:$B$405,E531,'Istoric_Nativ'!$C$6:$C$405,F531,'Istoric_Nativ'!$E$6:$E$405,G531,'Istoric_Nativ'!$D$6:$D$405,"&lt;"&amp;J531,'Istoric_Nativ'!$O$6:$O$405,"INVALID")+COUNTIFS('Istoric_Nativ'!$B$6:$B$405,E531,'Istoric_Nativ'!$C$6:$C$405,F531,'Istoric_Nativ'!$E$6:$E$405,G531,'Istoric_Nativ'!$O$6:$O$405,"INVALID",'Istoric_Nativ'!$D$6:$D$405,"*")+COUNTIFS('Istoric_Nativ'!$B$6:$B$405,E531,'Istoric_Nativ'!$C$6:$C$405,F531,'Istoric_Nativ'!$E$6:$E$405,G531,'Istoric_Nativ'!$D$6:$D$405,"&lt;"&amp;J531,'Istoric_Nativ'!$O$6:$O$405,"SOURCE CONFLICT")+COUNTIFS('Istoric_Nativ'!$B$6:$B$405,E531,'Istoric_Nativ'!$C$6:$C$405,F531,'Istoric_Nativ'!$F$6:$F$405,G531,'Istoric_Nativ'!$D$6:$D$405,"&lt;"&amp;J531,'Istoric_Nativ'!$O$6:$O$405,"INVALID")+COUNTIFS('Istoric_Nativ'!$B$6:$B$405,E531,'Istoric_Nativ'!$C$6:$C$405,F531,'Istoric_Nativ'!$F$6:$F$405,G531,'Istoric_Nativ'!$O$6:$O$405,"INVALID",'Istoric_Nativ'!$D$6:$D$405,"*")+COUNTIFS('Istoric_Nativ'!$B$6:$B$405,E531,'Istoric_Nativ'!$C$6:$C$405,F531,'Istoric_Nativ'!$F$6:$F$405,G531,'Istoric_Nativ'!$D$6:$D$405,"&lt;"&amp;J531,'Istoric_Nativ'!$O$6:$O$405,"SOURCE CONFLICT"))</x:f>
        <x:v>0</x:v>
      </x:c>
      <x:c r="T531" s="2" t="str">
        <x:f>IF(B531="","",IF(R531&lt;&gt;"CLOSED",R531,IF(S531&gt;0,"NATIVE INPUT ISSUE",IF(M531=0,"NO HISTORY",IF(M531&lt;P531,"SMALL SAMPLE","DERIVED")))))</x:f>
      </x:c>
      <x:c r="U531" s="2" t="str">
        <x:f>IF(B531="","","NativeTable; "&amp;E531&amp;"; "&amp;F531&amp;"; "&amp;G531&amp;"; "&amp;H531&amp;"; before "&amp;TEXT(J531,"yyyy-mm-dd")&amp;IF(I531="RECENT","; from "&amp;TEXT(L531,"yyyy-mm-dd"),""))</x:f>
      </x:c>
    </x:row>
    <x:row r="532" ht="21" customHeight="1">
      <x:c r="A532" s="2" t="n">
        <x:v>44</x:v>
      </x:c>
      <x:c r="B532" s="2" t="str">
        <x:f>IF('Input_Meci'!A49="","",'Input_Meci'!A49)</x:f>
      </x:c>
      <x:c r="C532" s="2" t="str">
        <x:v>A</x:v>
      </x:c>
      <x:c r="D532" s="2" t="str">
        <x:v>PRIOR</x:v>
      </x:c>
      <x:c r="E532" s="2" t="str">
        <x:f>IF(B532="","",'Input_Meci'!B49)</x:f>
      </x:c>
      <x:c r="F532" s="2" t="str">
        <x:f>IF(B532="","",IF('Input_Meci'!K49="","",'Input_Meci'!K49))</x:f>
      </x:c>
      <x:c r="G532" s="2" t="str">
        <x:f>IF(B532="","",'Input_Meci'!E49)</x:f>
      </x:c>
      <x:c r="H532" s="2" t="str">
        <x:v>AWAY</x:v>
      </x:c>
      <x:c r="I532" s="2" t="str">
        <x:v>HA</x:v>
      </x:c>
      <x:c r="J532" s="9" t="n">
        <x:f>IF(AND(B532&lt;&gt;"",ISNUMBER('Input_Meci'!G49)),INT('Input_Meci'!G49),0)</x:f>
        <x:v>0</x:v>
      </x:c>
      <x:c r="K532" s="2" t="n">
        <x:f>IF(OR(B532="",F532=""),0,IF(H532="HOME",COUNTIFS('Istoric_Nativ'!$B$6:$B$405,E532,'Istoric_Nativ'!$C$6:$C$405,F532,'Istoric_Nativ'!$E$6:$E$405,G532,'Istoric_Nativ'!$D$6:$D$405,"&lt;"&amp;J532,'Istoric_Nativ'!$P$6:$P$405,1),IF(H532="AWAY",COUNTIFS('Istoric_Nativ'!$B$6:$B$405,E532,'Istoric_Nativ'!$C$6:$C$405,F532,'Istoric_Nativ'!$F$6:$F$405,G532,'Istoric_Nativ'!$D$6:$D$405,"&lt;"&amp;J532,'Istoric_Nativ'!$P$6:$P$405,1),COUNTIFS('Istoric_Nativ'!$B$6:$B$405,E532,'Istoric_Nativ'!$C$6:$C$405,F532,'Istoric_Nativ'!$E$6:$E$405,G532,'Istoric_Nativ'!$D$6:$D$405,"&lt;"&amp;J532,'Istoric_Nativ'!$P$6:$P$405,1)+COUNTIFS('Istoric_Nativ'!$B$6:$B$405,E532,'Istoric_Nativ'!$C$6:$C$405,F532,'Istoric_Nativ'!$F$6:$F$405,G532,'Istoric_Nativ'!$D$6:$D$405,"&lt;"&amp;J532,'Istoric_Nativ'!$P$6:$P$405,1))))</x:f>
        <x:v>0</x:v>
      </x:c>
      <x:c r="L532" s="17" t="n">
        <x:f>IF(AND(B532&lt;&gt;"",I532="RECENT",K532&gt;0),LARGE(_xlfn._xlws.FILTER('Istoric_Nativ'!$D$6:$D$405,('Istoric_Nativ'!$B$6:$B$405=E532)*('Istoric_Nativ'!$C$6:$C$405=F532)*('Istoric_Nativ'!$P$6:$P$405=1)*('Istoric_Nativ'!$D$6:$D$405&lt;J532)*((('Istoric_Nativ'!$E$6:$E$405=G532)+('Istoric_Nativ'!$F$6:$F$405=G532))&gt;0)),MIN('Config_v6'!$B$54,K532)),0)</x:f>
        <x:v>0</x:v>
      </x:c>
      <x:c r="M532" s="2" t="n">
        <x:f>IF(OR(B532="",F532=""),0,IF(H532="HOME",COUNTIFS('Istoric_Nativ'!$B$6:$B$405,E532,'Istoric_Nativ'!$C$6:$C$405,F532,'Istoric_Nativ'!$E$6:$E$405,G532,'Istoric_Nativ'!$D$6:$D$405,"&lt;"&amp;J532,'Istoric_Nativ'!$P$6:$P$405,1,'Istoric_Nativ'!$D$6:$D$405,"&gt;="&amp;L532),IF(H532="AWAY",COUNTIFS('Istoric_Nativ'!$B$6:$B$405,E532,'Istoric_Nativ'!$C$6:$C$405,F532,'Istoric_Nativ'!$F$6:$F$405,G532,'Istoric_Nativ'!$D$6:$D$405,"&lt;"&amp;J532,'Istoric_Nativ'!$P$6:$P$405,1,'Istoric_Nativ'!$D$6:$D$405,"&gt;="&amp;L532),COUNTIFS('Istoric_Nativ'!$B$6:$B$405,E532,'Istoric_Nativ'!$C$6:$C$405,F532,'Istoric_Nativ'!$E$6:$E$405,G532,'Istoric_Nativ'!$D$6:$D$405,"&lt;"&amp;J532,'Istoric_Nativ'!$P$6:$P$405,1,'Istoric_Nativ'!$D$6:$D$405,"&gt;="&amp;L532)+COUNTIFS('Istoric_Nativ'!$B$6:$B$405,E532,'Istoric_Nativ'!$C$6:$C$405,F532,'Istoric_Nativ'!$F$6:$F$405,G532,'Istoric_Nativ'!$D$6:$D$405,"&lt;"&amp;J532,'Istoric_Nativ'!$P$6:$P$405,1,'Istoric_Nativ'!$D$6:$D$405,"&gt;="&amp;L532))))</x:f>
        <x:v>0</x:v>
      </x:c>
      <x:c r="N532" s="11" t="str">
        <x:f>IF(M532=0,"",IF(H532="HOME",SUMIFS('Istoric_Nativ'!$G$6:$G$405,'Istoric_Nativ'!$B$6:$B$405,E532,'Istoric_Nativ'!$C$6:$C$405,F532,'Istoric_Nativ'!$E$6:$E$405,G532,'Istoric_Nativ'!$D$6:$D$405,"&lt;"&amp;J532,'Istoric_Nativ'!$P$6:$P$405,1,'Istoric_Nativ'!$D$6:$D$405,"&gt;="&amp;L532),IF(H532="AWAY",SUMIFS('Istoric_Nativ'!$H$6:$H$405,'Istoric_Nativ'!$B$6:$B$405,E532,'Istoric_Nativ'!$C$6:$C$405,F532,'Istoric_Nativ'!$F$6:$F$405,G532,'Istoric_Nativ'!$D$6:$D$405,"&lt;"&amp;J532,'Istoric_Nativ'!$P$6:$P$405,1,'Istoric_Nativ'!$D$6:$D$405,"&gt;="&amp;L532),SUMIFS('Istoric_Nativ'!$G$6:$G$405,'Istoric_Nativ'!$B$6:$B$405,E532,'Istoric_Nativ'!$C$6:$C$405,F532,'Istoric_Nativ'!$E$6:$E$405,G532,'Istoric_Nativ'!$D$6:$D$405,"&lt;"&amp;J532,'Istoric_Nativ'!$P$6:$P$405,1,'Istoric_Nativ'!$D$6:$D$405,"&gt;="&amp;L532)+SUMIFS('Istoric_Nativ'!$H$6:$H$405,'Istoric_Nativ'!$B$6:$B$405,E532,'Istoric_Nativ'!$C$6:$C$405,F532,'Istoric_Nativ'!$F$6:$F$405,G532,'Istoric_Nativ'!$D$6:$D$405,"&lt;"&amp;J532,'Istoric_Nativ'!$P$6:$P$405,1,'Istoric_Nativ'!$D$6:$D$405,"&gt;="&amp;L532)))/M532)</x:f>
      </x:c>
      <x:c r="O532" s="11" t="str">
        <x:f>IF(M532=0,"",IF(H532="HOME",SUMIFS('Istoric_Nativ'!$H$6:$H$405,'Istoric_Nativ'!$B$6:$B$405,E532,'Istoric_Nativ'!$C$6:$C$405,F532,'Istoric_Nativ'!$E$6:$E$405,G532,'Istoric_Nativ'!$D$6:$D$405,"&lt;"&amp;J532,'Istoric_Nativ'!$P$6:$P$405,1,'Istoric_Nativ'!$D$6:$D$405,"&gt;="&amp;L532),IF(H532="AWAY",SUMIFS('Istoric_Nativ'!$G$6:$G$405,'Istoric_Nativ'!$B$6:$B$405,E532,'Istoric_Nativ'!$C$6:$C$405,F532,'Istoric_Nativ'!$F$6:$F$405,G532,'Istoric_Nativ'!$D$6:$D$405,"&lt;"&amp;J532,'Istoric_Nativ'!$P$6:$P$405,1,'Istoric_Nativ'!$D$6:$D$405,"&gt;="&amp;L532),SUMIFS('Istoric_Nativ'!$H$6:$H$405,'Istoric_Nativ'!$B$6:$B$405,E532,'Istoric_Nativ'!$C$6:$C$405,F532,'Istoric_Nativ'!$E$6:$E$405,G532,'Istoric_Nativ'!$D$6:$D$405,"&lt;"&amp;J532,'Istoric_Nativ'!$P$6:$P$405,1,'Istoric_Nativ'!$D$6:$D$405,"&gt;="&amp;L532)+SUMIFS('Istoric_Nativ'!$G$6:$G$405,'Istoric_Nativ'!$B$6:$B$405,E532,'Istoric_Nativ'!$C$6:$C$405,F532,'Istoric_Nativ'!$F$6:$F$405,G532,'Istoric_Nativ'!$D$6:$D$405,"&lt;"&amp;J532,'Istoric_Nativ'!$P$6:$P$405,1,'Istoric_Nativ'!$D$6:$D$405,"&gt;="&amp;L532)))/M532)</x:f>
      </x:c>
      <x:c r="P532" s="2" t="n">
        <x:f>'Config_v6'!$B$8</x:f>
        <x:v>5</x:v>
      </x:c>
      <x:c r="Q532" s="2" t="n">
        <x:f>IF(OR(B532="",F532=""),0,IFERROR(MATCH(E532&amp;"|"&amp;F532,SourceTable[Source_Key],0),0))</x:f>
        <x:v>0</x:v>
      </x:c>
      <x:c r="R532" s="2" t="str">
        <x:f>IF(B532="","",IF(F532="","UNUSED",IF(Q532=0,"NOT CHECKED",IF(COUNTIF(SourceTable[Source_Key],E532&amp;"|"&amp;F532)&lt;&gt;1,"SOURCE CONFLICT",IF(NOT(OR(INDEX(SourceTable[Status],MAX(1,Q532))="IMPORTED",INDEX(SourceTable[Status],MAX(1,Q532))="PARTIAL",INDEX(SourceTable[Status],MAX(1,Q532))="SOURCE CONFLICT")),"ACCESS BLOCKED",IF(OR(INDEX(SourceTable[Coverage],Q532)&lt;&gt;"FULL SEASON EXPORT",INDEX(SourceTable[URL],Q532)="",INDEX(SourceTable[SHA256],Q532)=""),"EVIDENCE INCOMPLETE",IF(AND('Input_Meci'!H49="LIVE",INDEX(SourceTable[Retrieved_UTC],Q532)&gt;'Input_Meci'!G49),"POST CUTOFF","CLOSED")))))))</x:f>
      </x:c>
      <x:c r="S532" s="2" t="n">
        <x:f>IF(OR(B532="",F532=""),0,COUNTIFS('Istoric_Nativ'!$B$6:$B$405,E532,'Istoric_Nativ'!$C$6:$C$405,F532,'Istoric_Nativ'!$E$6:$E$405,G532,'Istoric_Nativ'!$D$6:$D$405,"&lt;"&amp;J532,'Istoric_Nativ'!$O$6:$O$405,"INVALID")+COUNTIFS('Istoric_Nativ'!$B$6:$B$405,E532,'Istoric_Nativ'!$C$6:$C$405,F532,'Istoric_Nativ'!$E$6:$E$405,G532,'Istoric_Nativ'!$O$6:$O$405,"INVALID",'Istoric_Nativ'!$D$6:$D$405,"*")+COUNTIFS('Istoric_Nativ'!$B$6:$B$405,E532,'Istoric_Nativ'!$C$6:$C$405,F532,'Istoric_Nativ'!$E$6:$E$405,G532,'Istoric_Nativ'!$D$6:$D$405,"&lt;"&amp;J532,'Istoric_Nativ'!$O$6:$O$405,"SOURCE CONFLICT")+COUNTIFS('Istoric_Nativ'!$B$6:$B$405,E532,'Istoric_Nativ'!$C$6:$C$405,F532,'Istoric_Nativ'!$F$6:$F$405,G532,'Istoric_Nativ'!$D$6:$D$405,"&lt;"&amp;J532,'Istoric_Nativ'!$O$6:$O$405,"INVALID")+COUNTIFS('Istoric_Nativ'!$B$6:$B$405,E532,'Istoric_Nativ'!$C$6:$C$405,F532,'Istoric_Nativ'!$F$6:$F$405,G532,'Istoric_Nativ'!$O$6:$O$405,"INVALID",'Istoric_Nativ'!$D$6:$D$405,"*")+COUNTIFS('Istoric_Nativ'!$B$6:$B$405,E532,'Istoric_Nativ'!$C$6:$C$405,F532,'Istoric_Nativ'!$F$6:$F$405,G532,'Istoric_Nativ'!$D$6:$D$405,"&lt;"&amp;J532,'Istoric_Nativ'!$O$6:$O$405,"SOURCE CONFLICT"))</x:f>
        <x:v>0</x:v>
      </x:c>
      <x:c r="T532" s="2" t="str">
        <x:f>IF(B532="","",IF(R532&lt;&gt;"CLOSED",R532,IF(S532&gt;0,"NATIVE INPUT ISSUE",IF(M532=0,"NO HISTORY",IF(M532&lt;P532,"SMALL SAMPLE","DERIVED")))))</x:f>
      </x:c>
      <x:c r="U532" s="2" t="str">
        <x:f>IF(B532="","","NativeTable; "&amp;E532&amp;"; "&amp;F532&amp;"; "&amp;G532&amp;"; "&amp;H532&amp;"; before "&amp;TEXT(J532,"yyyy-mm-dd")&amp;IF(I532="RECENT","; from "&amp;TEXT(L532,"yyyy-mm-dd"),""))</x:f>
      </x:c>
    </x:row>
    <x:row r="533" ht="21" customHeight="1">
      <x:c r="A533" s="2" t="n">
        <x:v>44</x:v>
      </x:c>
      <x:c r="B533" s="2" t="str">
        <x:f>IF('Input_Meci'!A49="","",'Input_Meci'!A49)</x:f>
      </x:c>
      <x:c r="C533" s="2" t="str">
        <x:v>A</x:v>
      </x:c>
      <x:c r="D533" s="2" t="str">
        <x:v>PRIOR</x:v>
      </x:c>
      <x:c r="E533" s="2" t="str">
        <x:f>IF(B533="","",'Input_Meci'!B49)</x:f>
      </x:c>
      <x:c r="F533" s="2" t="str">
        <x:f>IF(B533="","",IF('Input_Meci'!K49="","",'Input_Meci'!K49))</x:f>
      </x:c>
      <x:c r="G533" s="2" t="str">
        <x:f>IF(B533="","",'Input_Meci'!E49)</x:f>
      </x:c>
      <x:c r="H533" s="2" t="str">
        <x:v>ANY</x:v>
      </x:c>
      <x:c r="I533" s="2" t="str">
        <x:v>RECENT</x:v>
      </x:c>
      <x:c r="J533" s="9" t="n">
        <x:f>IF(AND(B533&lt;&gt;"",ISNUMBER('Input_Meci'!G49)),INT('Input_Meci'!G49),0)</x:f>
        <x:v>0</x:v>
      </x:c>
      <x:c r="K533" s="2" t="n">
        <x:f>IF(OR(B533="",F533=""),0,IF(H533="HOME",COUNTIFS('Istoric_Nativ'!$B$6:$B$405,E533,'Istoric_Nativ'!$C$6:$C$405,F533,'Istoric_Nativ'!$E$6:$E$405,G533,'Istoric_Nativ'!$D$6:$D$405,"&lt;"&amp;J533,'Istoric_Nativ'!$P$6:$P$405,1),IF(H533="AWAY",COUNTIFS('Istoric_Nativ'!$B$6:$B$405,E533,'Istoric_Nativ'!$C$6:$C$405,F533,'Istoric_Nativ'!$F$6:$F$405,G533,'Istoric_Nativ'!$D$6:$D$405,"&lt;"&amp;J533,'Istoric_Nativ'!$P$6:$P$405,1),COUNTIFS('Istoric_Nativ'!$B$6:$B$405,E533,'Istoric_Nativ'!$C$6:$C$405,F533,'Istoric_Nativ'!$E$6:$E$405,G533,'Istoric_Nativ'!$D$6:$D$405,"&lt;"&amp;J533,'Istoric_Nativ'!$P$6:$P$405,1)+COUNTIFS('Istoric_Nativ'!$B$6:$B$405,E533,'Istoric_Nativ'!$C$6:$C$405,F533,'Istoric_Nativ'!$F$6:$F$405,G533,'Istoric_Nativ'!$D$6:$D$405,"&lt;"&amp;J533,'Istoric_Nativ'!$P$6:$P$405,1))))</x:f>
        <x:v>0</x:v>
      </x:c>
      <x:c r="L533" s="17" t="n">
        <x:f>IF(AND(B533&lt;&gt;"",I533="RECENT",K533&gt;0),LARGE(_xlfn._xlws.FILTER('Istoric_Nativ'!$D$6:$D$405,('Istoric_Nativ'!$B$6:$B$405=E533)*('Istoric_Nativ'!$C$6:$C$405=F533)*('Istoric_Nativ'!$P$6:$P$405=1)*('Istoric_Nativ'!$D$6:$D$405&lt;J533)*((('Istoric_Nativ'!$E$6:$E$405=G533)+('Istoric_Nativ'!$F$6:$F$405=G533))&gt;0)),MIN('Config_v6'!$B$54,K533)),0)</x:f>
        <x:v>0</x:v>
      </x:c>
      <x:c r="M533" s="2" t="n">
        <x:f>IF(OR(B533="",F533=""),0,IF(H533="HOME",COUNTIFS('Istoric_Nativ'!$B$6:$B$405,E533,'Istoric_Nativ'!$C$6:$C$405,F533,'Istoric_Nativ'!$E$6:$E$405,G533,'Istoric_Nativ'!$D$6:$D$405,"&lt;"&amp;J533,'Istoric_Nativ'!$P$6:$P$405,1,'Istoric_Nativ'!$D$6:$D$405,"&gt;="&amp;L533),IF(H533="AWAY",COUNTIFS('Istoric_Nativ'!$B$6:$B$405,E533,'Istoric_Nativ'!$C$6:$C$405,F533,'Istoric_Nativ'!$F$6:$F$405,G533,'Istoric_Nativ'!$D$6:$D$405,"&lt;"&amp;J533,'Istoric_Nativ'!$P$6:$P$405,1,'Istoric_Nativ'!$D$6:$D$405,"&gt;="&amp;L533),COUNTIFS('Istoric_Nativ'!$B$6:$B$405,E533,'Istoric_Nativ'!$C$6:$C$405,F533,'Istoric_Nativ'!$E$6:$E$405,G533,'Istoric_Nativ'!$D$6:$D$405,"&lt;"&amp;J533,'Istoric_Nativ'!$P$6:$P$405,1,'Istoric_Nativ'!$D$6:$D$405,"&gt;="&amp;L533)+COUNTIFS('Istoric_Nativ'!$B$6:$B$405,E533,'Istoric_Nativ'!$C$6:$C$405,F533,'Istoric_Nativ'!$F$6:$F$405,G533,'Istoric_Nativ'!$D$6:$D$405,"&lt;"&amp;J533,'Istoric_Nativ'!$P$6:$P$405,1,'Istoric_Nativ'!$D$6:$D$405,"&gt;="&amp;L533))))</x:f>
        <x:v>0</x:v>
      </x:c>
      <x:c r="N533" s="11" t="str">
        <x:f>IF(M533=0,"",IF(H533="HOME",SUMIFS('Istoric_Nativ'!$G$6:$G$405,'Istoric_Nativ'!$B$6:$B$405,E533,'Istoric_Nativ'!$C$6:$C$405,F533,'Istoric_Nativ'!$E$6:$E$405,G533,'Istoric_Nativ'!$D$6:$D$405,"&lt;"&amp;J533,'Istoric_Nativ'!$P$6:$P$405,1,'Istoric_Nativ'!$D$6:$D$405,"&gt;="&amp;L533),IF(H533="AWAY",SUMIFS('Istoric_Nativ'!$H$6:$H$405,'Istoric_Nativ'!$B$6:$B$405,E533,'Istoric_Nativ'!$C$6:$C$405,F533,'Istoric_Nativ'!$F$6:$F$405,G533,'Istoric_Nativ'!$D$6:$D$405,"&lt;"&amp;J533,'Istoric_Nativ'!$P$6:$P$405,1,'Istoric_Nativ'!$D$6:$D$405,"&gt;="&amp;L533),SUMIFS('Istoric_Nativ'!$G$6:$G$405,'Istoric_Nativ'!$B$6:$B$405,E533,'Istoric_Nativ'!$C$6:$C$405,F533,'Istoric_Nativ'!$E$6:$E$405,G533,'Istoric_Nativ'!$D$6:$D$405,"&lt;"&amp;J533,'Istoric_Nativ'!$P$6:$P$405,1,'Istoric_Nativ'!$D$6:$D$405,"&gt;="&amp;L533)+SUMIFS('Istoric_Nativ'!$H$6:$H$405,'Istoric_Nativ'!$B$6:$B$405,E533,'Istoric_Nativ'!$C$6:$C$405,F533,'Istoric_Nativ'!$F$6:$F$405,G533,'Istoric_Nativ'!$D$6:$D$405,"&lt;"&amp;J533,'Istoric_Nativ'!$P$6:$P$405,1,'Istoric_Nativ'!$D$6:$D$405,"&gt;="&amp;L533)))/M533)</x:f>
      </x:c>
      <x:c r="O533" s="11" t="str">
        <x:f>IF(M533=0,"",IF(H533="HOME",SUMIFS('Istoric_Nativ'!$H$6:$H$405,'Istoric_Nativ'!$B$6:$B$405,E533,'Istoric_Nativ'!$C$6:$C$405,F533,'Istoric_Nativ'!$E$6:$E$405,G533,'Istoric_Nativ'!$D$6:$D$405,"&lt;"&amp;J533,'Istoric_Nativ'!$P$6:$P$405,1,'Istoric_Nativ'!$D$6:$D$405,"&gt;="&amp;L533),IF(H533="AWAY",SUMIFS('Istoric_Nativ'!$G$6:$G$405,'Istoric_Nativ'!$B$6:$B$405,E533,'Istoric_Nativ'!$C$6:$C$405,F533,'Istoric_Nativ'!$F$6:$F$405,G533,'Istoric_Nativ'!$D$6:$D$405,"&lt;"&amp;J533,'Istoric_Nativ'!$P$6:$P$405,1,'Istoric_Nativ'!$D$6:$D$405,"&gt;="&amp;L533),SUMIFS('Istoric_Nativ'!$H$6:$H$405,'Istoric_Nativ'!$B$6:$B$405,E533,'Istoric_Nativ'!$C$6:$C$405,F533,'Istoric_Nativ'!$E$6:$E$405,G533,'Istoric_Nativ'!$D$6:$D$405,"&lt;"&amp;J533,'Istoric_Nativ'!$P$6:$P$405,1,'Istoric_Nativ'!$D$6:$D$405,"&gt;="&amp;L533)+SUMIFS('Istoric_Nativ'!$G$6:$G$405,'Istoric_Nativ'!$B$6:$B$405,E533,'Istoric_Nativ'!$C$6:$C$405,F533,'Istoric_Nativ'!$F$6:$F$405,G533,'Istoric_Nativ'!$D$6:$D$405,"&lt;"&amp;J533,'Istoric_Nativ'!$P$6:$P$405,1,'Istoric_Nativ'!$D$6:$D$405,"&gt;="&amp;L533)))/M533)</x:f>
      </x:c>
      <x:c r="P533" s="2" t="n">
        <x:f>'Config_v6'!$B$9</x:f>
        <x:v>3</x:v>
      </x:c>
      <x:c r="Q533" s="2" t="n">
        <x:f>IF(OR(B533="",F533=""),0,IFERROR(MATCH(E533&amp;"|"&amp;F533,SourceTable[Source_Key],0),0))</x:f>
        <x:v>0</x:v>
      </x:c>
      <x:c r="R533" s="2" t="str">
        <x:f>IF(B533="","",IF(F533="","UNUSED",IF(Q533=0,"NOT CHECKED",IF(COUNTIF(SourceTable[Source_Key],E533&amp;"|"&amp;F533)&lt;&gt;1,"SOURCE CONFLICT",IF(NOT(OR(INDEX(SourceTable[Status],MAX(1,Q533))="IMPORTED",INDEX(SourceTable[Status],MAX(1,Q533))="PARTIAL",INDEX(SourceTable[Status],MAX(1,Q533))="SOURCE CONFLICT")),"ACCESS BLOCKED",IF(OR(INDEX(SourceTable[Coverage],Q533)&lt;&gt;"FULL SEASON EXPORT",INDEX(SourceTable[URL],Q533)="",INDEX(SourceTable[SHA256],Q533)=""),"EVIDENCE INCOMPLETE",IF(AND('Input_Meci'!H49="LIVE",INDEX(SourceTable[Retrieved_UTC],Q533)&gt;'Input_Meci'!G49),"POST CUTOFF","CLOSED")))))))</x:f>
      </x:c>
      <x:c r="S533" s="2" t="n">
        <x:f>IF(OR(B533="",F533=""),0,COUNTIFS('Istoric_Nativ'!$B$6:$B$405,E533,'Istoric_Nativ'!$C$6:$C$405,F533,'Istoric_Nativ'!$E$6:$E$405,G533,'Istoric_Nativ'!$D$6:$D$405,"&lt;"&amp;J533,'Istoric_Nativ'!$O$6:$O$405,"INVALID")+COUNTIFS('Istoric_Nativ'!$B$6:$B$405,E533,'Istoric_Nativ'!$C$6:$C$405,F533,'Istoric_Nativ'!$E$6:$E$405,G533,'Istoric_Nativ'!$O$6:$O$405,"INVALID",'Istoric_Nativ'!$D$6:$D$405,"*")+COUNTIFS('Istoric_Nativ'!$B$6:$B$405,E533,'Istoric_Nativ'!$C$6:$C$405,F533,'Istoric_Nativ'!$E$6:$E$405,G533,'Istoric_Nativ'!$D$6:$D$405,"&lt;"&amp;J533,'Istoric_Nativ'!$O$6:$O$405,"SOURCE CONFLICT")+COUNTIFS('Istoric_Nativ'!$B$6:$B$405,E533,'Istoric_Nativ'!$C$6:$C$405,F533,'Istoric_Nativ'!$F$6:$F$405,G533,'Istoric_Nativ'!$D$6:$D$405,"&lt;"&amp;J533,'Istoric_Nativ'!$O$6:$O$405,"INVALID")+COUNTIFS('Istoric_Nativ'!$B$6:$B$405,E533,'Istoric_Nativ'!$C$6:$C$405,F533,'Istoric_Nativ'!$F$6:$F$405,G533,'Istoric_Nativ'!$O$6:$O$405,"INVALID",'Istoric_Nativ'!$D$6:$D$405,"*")+COUNTIFS('Istoric_Nativ'!$B$6:$B$405,E533,'Istoric_Nativ'!$C$6:$C$405,F533,'Istoric_Nativ'!$F$6:$F$405,G533,'Istoric_Nativ'!$D$6:$D$405,"&lt;"&amp;J533,'Istoric_Nativ'!$O$6:$O$405,"SOURCE CONFLICT"))</x:f>
        <x:v>0</x:v>
      </x:c>
      <x:c r="T533" s="2" t="str">
        <x:f>IF(B533="","",IF(R533&lt;&gt;"CLOSED",R533,IF(S533&gt;0,"NATIVE INPUT ISSUE",IF(M533=0,"NO HISTORY",IF(M533&lt;P533,"SMALL SAMPLE","DERIVED")))))</x:f>
      </x:c>
      <x:c r="U533" s="2" t="str">
        <x:f>IF(B533="","","NativeTable; "&amp;E533&amp;"; "&amp;F533&amp;"; "&amp;G533&amp;"; "&amp;H533&amp;"; before "&amp;TEXT(J533,"yyyy-mm-dd")&amp;IF(I533="RECENT","; from "&amp;TEXT(L533,"yyyy-mm-dd"),""))</x:f>
      </x:c>
    </x:row>
    <x:row r="534" ht="21" customHeight="1">
      <x:c r="A534" s="2" t="n">
        <x:v>45</x:v>
      </x:c>
      <x:c r="B534" s="2" t="str">
        <x:f>IF('Input_Meci'!A50="","",'Input_Meci'!A50)</x:f>
      </x:c>
      <x:c r="C534" s="2" t="str">
        <x:v>H</x:v>
      </x:c>
      <x:c r="D534" s="2" t="str">
        <x:v>CURRENT</x:v>
      </x:c>
      <x:c r="E534" s="2" t="str">
        <x:f>IF(B534="","",'Input_Meci'!B50)</x:f>
      </x:c>
      <x:c r="F534" s="2" t="str">
        <x:f>IF(B534="","",IF('Input_Meci'!C50="","",'Input_Meci'!C50))</x:f>
      </x:c>
      <x:c r="G534" s="2" t="str">
        <x:f>IF(B534="","",'Input_Meci'!D50)</x:f>
      </x:c>
      <x:c r="H534" s="2" t="str">
        <x:v>ANY</x:v>
      </x:c>
      <x:c r="I534" s="2" t="str">
        <x:v>SEASON</x:v>
      </x:c>
      <x:c r="J534" s="9" t="n">
        <x:f>IF(AND(B534&lt;&gt;"",ISNUMBER('Input_Meci'!G50)),INT('Input_Meci'!G50),0)</x:f>
        <x:v>0</x:v>
      </x:c>
      <x:c r="K534" s="2" t="n">
        <x:f>IF(OR(B534="",F534=""),0,IF(H534="HOME",COUNTIFS('Istoric_Nativ'!$B$6:$B$405,E534,'Istoric_Nativ'!$C$6:$C$405,F534,'Istoric_Nativ'!$E$6:$E$405,G534,'Istoric_Nativ'!$D$6:$D$405,"&lt;"&amp;J534,'Istoric_Nativ'!$P$6:$P$405,1),IF(H534="AWAY",COUNTIFS('Istoric_Nativ'!$B$6:$B$405,E534,'Istoric_Nativ'!$C$6:$C$405,F534,'Istoric_Nativ'!$F$6:$F$405,G534,'Istoric_Nativ'!$D$6:$D$405,"&lt;"&amp;J534,'Istoric_Nativ'!$P$6:$P$405,1),COUNTIFS('Istoric_Nativ'!$B$6:$B$405,E534,'Istoric_Nativ'!$C$6:$C$405,F534,'Istoric_Nativ'!$E$6:$E$405,G534,'Istoric_Nativ'!$D$6:$D$405,"&lt;"&amp;J534,'Istoric_Nativ'!$P$6:$P$405,1)+COUNTIFS('Istoric_Nativ'!$B$6:$B$405,E534,'Istoric_Nativ'!$C$6:$C$405,F534,'Istoric_Nativ'!$F$6:$F$405,G534,'Istoric_Nativ'!$D$6:$D$405,"&lt;"&amp;J534,'Istoric_Nativ'!$P$6:$P$405,1))))</x:f>
        <x:v>0</x:v>
      </x:c>
      <x:c r="L534" s="17" t="n">
        <x:f>IF(AND(B534&lt;&gt;"",I534="RECENT",K534&gt;0),LARGE(_xlfn._xlws.FILTER('Istoric_Nativ'!$D$6:$D$405,('Istoric_Nativ'!$B$6:$B$405=E534)*('Istoric_Nativ'!$C$6:$C$405=F534)*('Istoric_Nativ'!$P$6:$P$405=1)*('Istoric_Nativ'!$D$6:$D$405&lt;J534)*((('Istoric_Nativ'!$E$6:$E$405=G534)+('Istoric_Nativ'!$F$6:$F$405=G534))&gt;0)),MIN('Config_v6'!$B$54,K534)),0)</x:f>
        <x:v>0</x:v>
      </x:c>
      <x:c r="M534" s="2" t="n">
        <x:f>IF(OR(B534="",F534=""),0,IF(H534="HOME",COUNTIFS('Istoric_Nativ'!$B$6:$B$405,E534,'Istoric_Nativ'!$C$6:$C$405,F534,'Istoric_Nativ'!$E$6:$E$405,G534,'Istoric_Nativ'!$D$6:$D$405,"&lt;"&amp;J534,'Istoric_Nativ'!$P$6:$P$405,1,'Istoric_Nativ'!$D$6:$D$405,"&gt;="&amp;L534),IF(H534="AWAY",COUNTIFS('Istoric_Nativ'!$B$6:$B$405,E534,'Istoric_Nativ'!$C$6:$C$405,F534,'Istoric_Nativ'!$F$6:$F$405,G534,'Istoric_Nativ'!$D$6:$D$405,"&lt;"&amp;J534,'Istoric_Nativ'!$P$6:$P$405,1,'Istoric_Nativ'!$D$6:$D$405,"&gt;="&amp;L534),COUNTIFS('Istoric_Nativ'!$B$6:$B$405,E534,'Istoric_Nativ'!$C$6:$C$405,F534,'Istoric_Nativ'!$E$6:$E$405,G534,'Istoric_Nativ'!$D$6:$D$405,"&lt;"&amp;J534,'Istoric_Nativ'!$P$6:$P$405,1,'Istoric_Nativ'!$D$6:$D$405,"&gt;="&amp;L534)+COUNTIFS('Istoric_Nativ'!$B$6:$B$405,E534,'Istoric_Nativ'!$C$6:$C$405,F534,'Istoric_Nativ'!$F$6:$F$405,G534,'Istoric_Nativ'!$D$6:$D$405,"&lt;"&amp;J534,'Istoric_Nativ'!$P$6:$P$405,1,'Istoric_Nativ'!$D$6:$D$405,"&gt;="&amp;L534))))</x:f>
        <x:v>0</x:v>
      </x:c>
      <x:c r="N534" s="11" t="str">
        <x:f>IF(M534=0,"",IF(H534="HOME",SUMIFS('Istoric_Nativ'!$G$6:$G$405,'Istoric_Nativ'!$B$6:$B$405,E534,'Istoric_Nativ'!$C$6:$C$405,F534,'Istoric_Nativ'!$E$6:$E$405,G534,'Istoric_Nativ'!$D$6:$D$405,"&lt;"&amp;J534,'Istoric_Nativ'!$P$6:$P$405,1,'Istoric_Nativ'!$D$6:$D$405,"&gt;="&amp;L534),IF(H534="AWAY",SUMIFS('Istoric_Nativ'!$H$6:$H$405,'Istoric_Nativ'!$B$6:$B$405,E534,'Istoric_Nativ'!$C$6:$C$405,F534,'Istoric_Nativ'!$F$6:$F$405,G534,'Istoric_Nativ'!$D$6:$D$405,"&lt;"&amp;J534,'Istoric_Nativ'!$P$6:$P$405,1,'Istoric_Nativ'!$D$6:$D$405,"&gt;="&amp;L534),SUMIFS('Istoric_Nativ'!$G$6:$G$405,'Istoric_Nativ'!$B$6:$B$405,E534,'Istoric_Nativ'!$C$6:$C$405,F534,'Istoric_Nativ'!$E$6:$E$405,G534,'Istoric_Nativ'!$D$6:$D$405,"&lt;"&amp;J534,'Istoric_Nativ'!$P$6:$P$405,1,'Istoric_Nativ'!$D$6:$D$405,"&gt;="&amp;L534)+SUMIFS('Istoric_Nativ'!$H$6:$H$405,'Istoric_Nativ'!$B$6:$B$405,E534,'Istoric_Nativ'!$C$6:$C$405,F534,'Istoric_Nativ'!$F$6:$F$405,G534,'Istoric_Nativ'!$D$6:$D$405,"&lt;"&amp;J534,'Istoric_Nativ'!$P$6:$P$405,1,'Istoric_Nativ'!$D$6:$D$405,"&gt;="&amp;L534)))/M534)</x:f>
      </x:c>
      <x:c r="O534" s="11" t="str">
        <x:f>IF(M534=0,"",IF(H534="HOME",SUMIFS('Istoric_Nativ'!$H$6:$H$405,'Istoric_Nativ'!$B$6:$B$405,E534,'Istoric_Nativ'!$C$6:$C$405,F534,'Istoric_Nativ'!$E$6:$E$405,G534,'Istoric_Nativ'!$D$6:$D$405,"&lt;"&amp;J534,'Istoric_Nativ'!$P$6:$P$405,1,'Istoric_Nativ'!$D$6:$D$405,"&gt;="&amp;L534),IF(H534="AWAY",SUMIFS('Istoric_Nativ'!$G$6:$G$405,'Istoric_Nativ'!$B$6:$B$405,E534,'Istoric_Nativ'!$C$6:$C$405,F534,'Istoric_Nativ'!$F$6:$F$405,G534,'Istoric_Nativ'!$D$6:$D$405,"&lt;"&amp;J534,'Istoric_Nativ'!$P$6:$P$405,1,'Istoric_Nativ'!$D$6:$D$405,"&gt;="&amp;L534),SUMIFS('Istoric_Nativ'!$H$6:$H$405,'Istoric_Nativ'!$B$6:$B$405,E534,'Istoric_Nativ'!$C$6:$C$405,F534,'Istoric_Nativ'!$E$6:$E$405,G534,'Istoric_Nativ'!$D$6:$D$405,"&lt;"&amp;J534,'Istoric_Nativ'!$P$6:$P$405,1,'Istoric_Nativ'!$D$6:$D$405,"&gt;="&amp;L534)+SUMIFS('Istoric_Nativ'!$G$6:$G$405,'Istoric_Nativ'!$B$6:$B$405,E534,'Istoric_Nativ'!$C$6:$C$405,F534,'Istoric_Nativ'!$F$6:$F$405,G534,'Istoric_Nativ'!$D$6:$D$405,"&lt;"&amp;J534,'Istoric_Nativ'!$P$6:$P$405,1,'Istoric_Nativ'!$D$6:$D$405,"&gt;="&amp;L534)))/M534)</x:f>
      </x:c>
      <x:c r="P534" s="2" t="n">
        <x:f>'Config_v6'!$B$7</x:f>
        <x:v>10</x:v>
      </x:c>
      <x:c r="Q534" s="2" t="n">
        <x:f>IF(OR(B534="",F534=""),0,IFERROR(MATCH(E534&amp;"|"&amp;F534,SourceTable[Source_Key],0),0))</x:f>
        <x:v>0</x:v>
      </x:c>
      <x:c r="R534" s="2" t="str">
        <x:f>IF(B534="","",IF(F534="","UNUSED",IF(Q534=0,"NOT CHECKED",IF(COUNTIF(SourceTable[Source_Key],E534&amp;"|"&amp;F534)&lt;&gt;1,"SOURCE CONFLICT",IF(NOT(OR(INDEX(SourceTable[Status],MAX(1,Q534))="IMPORTED",INDEX(SourceTable[Status],MAX(1,Q534))="PARTIAL",INDEX(SourceTable[Status],MAX(1,Q534))="SOURCE CONFLICT")),"ACCESS BLOCKED",IF(OR(INDEX(SourceTable[Coverage],Q534)&lt;&gt;"FULL SEASON EXPORT",INDEX(SourceTable[URL],Q534)="",INDEX(SourceTable[SHA256],Q534)=""),"EVIDENCE INCOMPLETE",IF(AND('Input_Meci'!H50="LIVE",INDEX(SourceTable[Retrieved_UTC],Q534)&gt;'Input_Meci'!G50),"POST CUTOFF","CLOSED")))))))</x:f>
      </x:c>
      <x:c r="S534" s="2" t="n">
        <x:f>IF(OR(B534="",F534=""),0,COUNTIFS('Istoric_Nativ'!$B$6:$B$405,E534,'Istoric_Nativ'!$C$6:$C$405,F534,'Istoric_Nativ'!$E$6:$E$405,G534,'Istoric_Nativ'!$D$6:$D$405,"&lt;"&amp;J534,'Istoric_Nativ'!$O$6:$O$405,"INVALID")+COUNTIFS('Istoric_Nativ'!$B$6:$B$405,E534,'Istoric_Nativ'!$C$6:$C$405,F534,'Istoric_Nativ'!$E$6:$E$405,G534,'Istoric_Nativ'!$O$6:$O$405,"INVALID",'Istoric_Nativ'!$D$6:$D$405,"*")+COUNTIFS('Istoric_Nativ'!$B$6:$B$405,E534,'Istoric_Nativ'!$C$6:$C$405,F534,'Istoric_Nativ'!$E$6:$E$405,G534,'Istoric_Nativ'!$D$6:$D$405,"&lt;"&amp;J534,'Istoric_Nativ'!$O$6:$O$405,"SOURCE CONFLICT")+COUNTIFS('Istoric_Nativ'!$B$6:$B$405,E534,'Istoric_Nativ'!$C$6:$C$405,F534,'Istoric_Nativ'!$F$6:$F$405,G534,'Istoric_Nativ'!$D$6:$D$405,"&lt;"&amp;J534,'Istoric_Nativ'!$O$6:$O$405,"INVALID")+COUNTIFS('Istoric_Nativ'!$B$6:$B$405,E534,'Istoric_Nativ'!$C$6:$C$405,F534,'Istoric_Nativ'!$F$6:$F$405,G534,'Istoric_Nativ'!$O$6:$O$405,"INVALID",'Istoric_Nativ'!$D$6:$D$405,"*")+COUNTIFS('Istoric_Nativ'!$B$6:$B$405,E534,'Istoric_Nativ'!$C$6:$C$405,F534,'Istoric_Nativ'!$F$6:$F$405,G534,'Istoric_Nativ'!$D$6:$D$405,"&lt;"&amp;J534,'Istoric_Nativ'!$O$6:$O$405,"SOURCE CONFLICT"))</x:f>
        <x:v>0</x:v>
      </x:c>
      <x:c r="T534" s="2" t="str">
        <x:f>IF(B534="","",IF(R534&lt;&gt;"CLOSED",R534,IF(S534&gt;0,"NATIVE INPUT ISSUE",IF(M534=0,"NO HISTORY",IF(M534&lt;P534,"SMALL SAMPLE","DERIVED")))))</x:f>
      </x:c>
      <x:c r="U534" s="2" t="str">
        <x:f>IF(B534="","","NativeTable; "&amp;E534&amp;"; "&amp;F534&amp;"; "&amp;G534&amp;"; "&amp;H534&amp;"; before "&amp;TEXT(J534,"yyyy-mm-dd")&amp;IF(I534="RECENT","; from "&amp;TEXT(L534,"yyyy-mm-dd"),""))</x:f>
      </x:c>
    </x:row>
    <x:row r="535" ht="21" customHeight="1">
      <x:c r="A535" s="2" t="n">
        <x:v>45</x:v>
      </x:c>
      <x:c r="B535" s="2" t="str">
        <x:f>IF('Input_Meci'!A50="","",'Input_Meci'!A50)</x:f>
      </x:c>
      <x:c r="C535" s="2" t="str">
        <x:v>H</x:v>
      </x:c>
      <x:c r="D535" s="2" t="str">
        <x:v>CURRENT</x:v>
      </x:c>
      <x:c r="E535" s="2" t="str">
        <x:f>IF(B535="","",'Input_Meci'!B50)</x:f>
      </x:c>
      <x:c r="F535" s="2" t="str">
        <x:f>IF(B535="","",IF('Input_Meci'!C50="","",'Input_Meci'!C50))</x:f>
      </x:c>
      <x:c r="G535" s="2" t="str">
        <x:f>IF(B535="","",'Input_Meci'!D50)</x:f>
      </x:c>
      <x:c r="H535" s="2" t="str">
        <x:v>HOME</x:v>
      </x:c>
      <x:c r="I535" s="2" t="str">
        <x:v>HA</x:v>
      </x:c>
      <x:c r="J535" s="9" t="n">
        <x:f>IF(AND(B535&lt;&gt;"",ISNUMBER('Input_Meci'!G50)),INT('Input_Meci'!G50),0)</x:f>
        <x:v>0</x:v>
      </x:c>
      <x:c r="K535" s="2" t="n">
        <x:f>IF(OR(B535="",F535=""),0,IF(H535="HOME",COUNTIFS('Istoric_Nativ'!$B$6:$B$405,E535,'Istoric_Nativ'!$C$6:$C$405,F535,'Istoric_Nativ'!$E$6:$E$405,G535,'Istoric_Nativ'!$D$6:$D$405,"&lt;"&amp;J535,'Istoric_Nativ'!$P$6:$P$405,1),IF(H535="AWAY",COUNTIFS('Istoric_Nativ'!$B$6:$B$405,E535,'Istoric_Nativ'!$C$6:$C$405,F535,'Istoric_Nativ'!$F$6:$F$405,G535,'Istoric_Nativ'!$D$6:$D$405,"&lt;"&amp;J535,'Istoric_Nativ'!$P$6:$P$405,1),COUNTIFS('Istoric_Nativ'!$B$6:$B$405,E535,'Istoric_Nativ'!$C$6:$C$405,F535,'Istoric_Nativ'!$E$6:$E$405,G535,'Istoric_Nativ'!$D$6:$D$405,"&lt;"&amp;J535,'Istoric_Nativ'!$P$6:$P$405,1)+COUNTIFS('Istoric_Nativ'!$B$6:$B$405,E535,'Istoric_Nativ'!$C$6:$C$405,F535,'Istoric_Nativ'!$F$6:$F$405,G535,'Istoric_Nativ'!$D$6:$D$405,"&lt;"&amp;J535,'Istoric_Nativ'!$P$6:$P$405,1))))</x:f>
        <x:v>0</x:v>
      </x:c>
      <x:c r="L535" s="17" t="n">
        <x:f>IF(AND(B535&lt;&gt;"",I535="RECENT",K535&gt;0),LARGE(_xlfn._xlws.FILTER('Istoric_Nativ'!$D$6:$D$405,('Istoric_Nativ'!$B$6:$B$405=E535)*('Istoric_Nativ'!$C$6:$C$405=F535)*('Istoric_Nativ'!$P$6:$P$405=1)*('Istoric_Nativ'!$D$6:$D$405&lt;J535)*((('Istoric_Nativ'!$E$6:$E$405=G535)+('Istoric_Nativ'!$F$6:$F$405=G535))&gt;0)),MIN('Config_v6'!$B$54,K535)),0)</x:f>
        <x:v>0</x:v>
      </x:c>
      <x:c r="M535" s="2" t="n">
        <x:f>IF(OR(B535="",F535=""),0,IF(H535="HOME",COUNTIFS('Istoric_Nativ'!$B$6:$B$405,E535,'Istoric_Nativ'!$C$6:$C$405,F535,'Istoric_Nativ'!$E$6:$E$405,G535,'Istoric_Nativ'!$D$6:$D$405,"&lt;"&amp;J535,'Istoric_Nativ'!$P$6:$P$405,1,'Istoric_Nativ'!$D$6:$D$405,"&gt;="&amp;L535),IF(H535="AWAY",COUNTIFS('Istoric_Nativ'!$B$6:$B$405,E535,'Istoric_Nativ'!$C$6:$C$405,F535,'Istoric_Nativ'!$F$6:$F$405,G535,'Istoric_Nativ'!$D$6:$D$405,"&lt;"&amp;J535,'Istoric_Nativ'!$P$6:$P$405,1,'Istoric_Nativ'!$D$6:$D$405,"&gt;="&amp;L535),COUNTIFS('Istoric_Nativ'!$B$6:$B$405,E535,'Istoric_Nativ'!$C$6:$C$405,F535,'Istoric_Nativ'!$E$6:$E$405,G535,'Istoric_Nativ'!$D$6:$D$405,"&lt;"&amp;J535,'Istoric_Nativ'!$P$6:$P$405,1,'Istoric_Nativ'!$D$6:$D$405,"&gt;="&amp;L535)+COUNTIFS('Istoric_Nativ'!$B$6:$B$405,E535,'Istoric_Nativ'!$C$6:$C$405,F535,'Istoric_Nativ'!$F$6:$F$405,G535,'Istoric_Nativ'!$D$6:$D$405,"&lt;"&amp;J535,'Istoric_Nativ'!$P$6:$P$405,1,'Istoric_Nativ'!$D$6:$D$405,"&gt;="&amp;L535))))</x:f>
        <x:v>0</x:v>
      </x:c>
      <x:c r="N535" s="11" t="str">
        <x:f>IF(M535=0,"",IF(H535="HOME",SUMIFS('Istoric_Nativ'!$G$6:$G$405,'Istoric_Nativ'!$B$6:$B$405,E535,'Istoric_Nativ'!$C$6:$C$405,F535,'Istoric_Nativ'!$E$6:$E$405,G535,'Istoric_Nativ'!$D$6:$D$405,"&lt;"&amp;J535,'Istoric_Nativ'!$P$6:$P$405,1,'Istoric_Nativ'!$D$6:$D$405,"&gt;="&amp;L535),IF(H535="AWAY",SUMIFS('Istoric_Nativ'!$H$6:$H$405,'Istoric_Nativ'!$B$6:$B$405,E535,'Istoric_Nativ'!$C$6:$C$405,F535,'Istoric_Nativ'!$F$6:$F$405,G535,'Istoric_Nativ'!$D$6:$D$405,"&lt;"&amp;J535,'Istoric_Nativ'!$P$6:$P$405,1,'Istoric_Nativ'!$D$6:$D$405,"&gt;="&amp;L535),SUMIFS('Istoric_Nativ'!$G$6:$G$405,'Istoric_Nativ'!$B$6:$B$405,E535,'Istoric_Nativ'!$C$6:$C$405,F535,'Istoric_Nativ'!$E$6:$E$405,G535,'Istoric_Nativ'!$D$6:$D$405,"&lt;"&amp;J535,'Istoric_Nativ'!$P$6:$P$405,1,'Istoric_Nativ'!$D$6:$D$405,"&gt;="&amp;L535)+SUMIFS('Istoric_Nativ'!$H$6:$H$405,'Istoric_Nativ'!$B$6:$B$405,E535,'Istoric_Nativ'!$C$6:$C$405,F535,'Istoric_Nativ'!$F$6:$F$405,G535,'Istoric_Nativ'!$D$6:$D$405,"&lt;"&amp;J535,'Istoric_Nativ'!$P$6:$P$405,1,'Istoric_Nativ'!$D$6:$D$405,"&gt;="&amp;L535)))/M535)</x:f>
      </x:c>
      <x:c r="O535" s="11" t="str">
        <x:f>IF(M535=0,"",IF(H535="HOME",SUMIFS('Istoric_Nativ'!$H$6:$H$405,'Istoric_Nativ'!$B$6:$B$405,E535,'Istoric_Nativ'!$C$6:$C$405,F535,'Istoric_Nativ'!$E$6:$E$405,G535,'Istoric_Nativ'!$D$6:$D$405,"&lt;"&amp;J535,'Istoric_Nativ'!$P$6:$P$405,1,'Istoric_Nativ'!$D$6:$D$405,"&gt;="&amp;L535),IF(H535="AWAY",SUMIFS('Istoric_Nativ'!$G$6:$G$405,'Istoric_Nativ'!$B$6:$B$405,E535,'Istoric_Nativ'!$C$6:$C$405,F535,'Istoric_Nativ'!$F$6:$F$405,G535,'Istoric_Nativ'!$D$6:$D$405,"&lt;"&amp;J535,'Istoric_Nativ'!$P$6:$P$405,1,'Istoric_Nativ'!$D$6:$D$405,"&gt;="&amp;L535),SUMIFS('Istoric_Nativ'!$H$6:$H$405,'Istoric_Nativ'!$B$6:$B$405,E535,'Istoric_Nativ'!$C$6:$C$405,F535,'Istoric_Nativ'!$E$6:$E$405,G535,'Istoric_Nativ'!$D$6:$D$405,"&lt;"&amp;J535,'Istoric_Nativ'!$P$6:$P$405,1,'Istoric_Nativ'!$D$6:$D$405,"&gt;="&amp;L535)+SUMIFS('Istoric_Nativ'!$G$6:$G$405,'Istoric_Nativ'!$B$6:$B$405,E535,'Istoric_Nativ'!$C$6:$C$405,F535,'Istoric_Nativ'!$F$6:$F$405,G535,'Istoric_Nativ'!$D$6:$D$405,"&lt;"&amp;J535,'Istoric_Nativ'!$P$6:$P$405,1,'Istoric_Nativ'!$D$6:$D$405,"&gt;="&amp;L535)))/M535)</x:f>
      </x:c>
      <x:c r="P535" s="2" t="n">
        <x:f>'Config_v6'!$B$8</x:f>
        <x:v>5</x:v>
      </x:c>
      <x:c r="Q535" s="2" t="n">
        <x:f>IF(OR(B535="",F535=""),0,IFERROR(MATCH(E535&amp;"|"&amp;F535,SourceTable[Source_Key],0),0))</x:f>
        <x:v>0</x:v>
      </x:c>
      <x:c r="R535" s="2" t="str">
        <x:f>IF(B535="","",IF(F535="","UNUSED",IF(Q535=0,"NOT CHECKED",IF(COUNTIF(SourceTable[Source_Key],E535&amp;"|"&amp;F535)&lt;&gt;1,"SOURCE CONFLICT",IF(NOT(OR(INDEX(SourceTable[Status],MAX(1,Q535))="IMPORTED",INDEX(SourceTable[Status],MAX(1,Q535))="PARTIAL",INDEX(SourceTable[Status],MAX(1,Q535))="SOURCE CONFLICT")),"ACCESS BLOCKED",IF(OR(INDEX(SourceTable[Coverage],Q535)&lt;&gt;"FULL SEASON EXPORT",INDEX(SourceTable[URL],Q535)="",INDEX(SourceTable[SHA256],Q535)=""),"EVIDENCE INCOMPLETE",IF(AND('Input_Meci'!H50="LIVE",INDEX(SourceTable[Retrieved_UTC],Q535)&gt;'Input_Meci'!G50),"POST CUTOFF","CLOSED")))))))</x:f>
      </x:c>
      <x:c r="S535" s="2" t="n">
        <x:f>IF(OR(B535="",F535=""),0,COUNTIFS('Istoric_Nativ'!$B$6:$B$405,E535,'Istoric_Nativ'!$C$6:$C$405,F535,'Istoric_Nativ'!$E$6:$E$405,G535,'Istoric_Nativ'!$D$6:$D$405,"&lt;"&amp;J535,'Istoric_Nativ'!$O$6:$O$405,"INVALID")+COUNTIFS('Istoric_Nativ'!$B$6:$B$405,E535,'Istoric_Nativ'!$C$6:$C$405,F535,'Istoric_Nativ'!$E$6:$E$405,G535,'Istoric_Nativ'!$O$6:$O$405,"INVALID",'Istoric_Nativ'!$D$6:$D$405,"*")+COUNTIFS('Istoric_Nativ'!$B$6:$B$405,E535,'Istoric_Nativ'!$C$6:$C$405,F535,'Istoric_Nativ'!$E$6:$E$405,G535,'Istoric_Nativ'!$D$6:$D$405,"&lt;"&amp;J535,'Istoric_Nativ'!$O$6:$O$405,"SOURCE CONFLICT")+COUNTIFS('Istoric_Nativ'!$B$6:$B$405,E535,'Istoric_Nativ'!$C$6:$C$405,F535,'Istoric_Nativ'!$F$6:$F$405,G535,'Istoric_Nativ'!$D$6:$D$405,"&lt;"&amp;J535,'Istoric_Nativ'!$O$6:$O$405,"INVALID")+COUNTIFS('Istoric_Nativ'!$B$6:$B$405,E535,'Istoric_Nativ'!$C$6:$C$405,F535,'Istoric_Nativ'!$F$6:$F$405,G535,'Istoric_Nativ'!$O$6:$O$405,"INVALID",'Istoric_Nativ'!$D$6:$D$405,"*")+COUNTIFS('Istoric_Nativ'!$B$6:$B$405,E535,'Istoric_Nativ'!$C$6:$C$405,F535,'Istoric_Nativ'!$F$6:$F$405,G535,'Istoric_Nativ'!$D$6:$D$405,"&lt;"&amp;J535,'Istoric_Nativ'!$O$6:$O$405,"SOURCE CONFLICT"))</x:f>
        <x:v>0</x:v>
      </x:c>
      <x:c r="T535" s="2" t="str">
        <x:f>IF(B535="","",IF(R535&lt;&gt;"CLOSED",R535,IF(S535&gt;0,"NATIVE INPUT ISSUE",IF(M535=0,"NO HISTORY",IF(M535&lt;P535,"SMALL SAMPLE","DERIVED")))))</x:f>
      </x:c>
      <x:c r="U535" s="2" t="str">
        <x:f>IF(B535="","","NativeTable; "&amp;E535&amp;"; "&amp;F535&amp;"; "&amp;G535&amp;"; "&amp;H535&amp;"; before "&amp;TEXT(J535,"yyyy-mm-dd")&amp;IF(I535="RECENT","; from "&amp;TEXT(L535,"yyyy-mm-dd"),""))</x:f>
      </x:c>
    </x:row>
    <x:row r="536" ht="21" customHeight="1">
      <x:c r="A536" s="2" t="n">
        <x:v>45</x:v>
      </x:c>
      <x:c r="B536" s="2" t="str">
        <x:f>IF('Input_Meci'!A50="","",'Input_Meci'!A50)</x:f>
      </x:c>
      <x:c r="C536" s="2" t="str">
        <x:v>H</x:v>
      </x:c>
      <x:c r="D536" s="2" t="str">
        <x:v>CURRENT</x:v>
      </x:c>
      <x:c r="E536" s="2" t="str">
        <x:f>IF(B536="","",'Input_Meci'!B50)</x:f>
      </x:c>
      <x:c r="F536" s="2" t="str">
        <x:f>IF(B536="","",IF('Input_Meci'!C50="","",'Input_Meci'!C50))</x:f>
      </x:c>
      <x:c r="G536" s="2" t="str">
        <x:f>IF(B536="","",'Input_Meci'!D50)</x:f>
      </x:c>
      <x:c r="H536" s="2" t="str">
        <x:v>ANY</x:v>
      </x:c>
      <x:c r="I536" s="2" t="str">
        <x:v>RECENT</x:v>
      </x:c>
      <x:c r="J536" s="9" t="n">
        <x:f>IF(AND(B536&lt;&gt;"",ISNUMBER('Input_Meci'!G50)),INT('Input_Meci'!G50),0)</x:f>
        <x:v>0</x:v>
      </x:c>
      <x:c r="K536" s="2" t="n">
        <x:f>IF(OR(B536="",F536=""),0,IF(H536="HOME",COUNTIFS('Istoric_Nativ'!$B$6:$B$405,E536,'Istoric_Nativ'!$C$6:$C$405,F536,'Istoric_Nativ'!$E$6:$E$405,G536,'Istoric_Nativ'!$D$6:$D$405,"&lt;"&amp;J536,'Istoric_Nativ'!$P$6:$P$405,1),IF(H536="AWAY",COUNTIFS('Istoric_Nativ'!$B$6:$B$405,E536,'Istoric_Nativ'!$C$6:$C$405,F536,'Istoric_Nativ'!$F$6:$F$405,G536,'Istoric_Nativ'!$D$6:$D$405,"&lt;"&amp;J536,'Istoric_Nativ'!$P$6:$P$405,1),COUNTIFS('Istoric_Nativ'!$B$6:$B$405,E536,'Istoric_Nativ'!$C$6:$C$405,F536,'Istoric_Nativ'!$E$6:$E$405,G536,'Istoric_Nativ'!$D$6:$D$405,"&lt;"&amp;J536,'Istoric_Nativ'!$P$6:$P$405,1)+COUNTIFS('Istoric_Nativ'!$B$6:$B$405,E536,'Istoric_Nativ'!$C$6:$C$405,F536,'Istoric_Nativ'!$F$6:$F$405,G536,'Istoric_Nativ'!$D$6:$D$405,"&lt;"&amp;J536,'Istoric_Nativ'!$P$6:$P$405,1))))</x:f>
        <x:v>0</x:v>
      </x:c>
      <x:c r="L536" s="17" t="n">
        <x:f>IF(AND(B536&lt;&gt;"",I536="RECENT",K536&gt;0),LARGE(_xlfn._xlws.FILTER('Istoric_Nativ'!$D$6:$D$405,('Istoric_Nativ'!$B$6:$B$405=E536)*('Istoric_Nativ'!$C$6:$C$405=F536)*('Istoric_Nativ'!$P$6:$P$405=1)*('Istoric_Nativ'!$D$6:$D$405&lt;J536)*((('Istoric_Nativ'!$E$6:$E$405=G536)+('Istoric_Nativ'!$F$6:$F$405=G536))&gt;0)),MIN('Config_v6'!$B$54,K536)),0)</x:f>
        <x:v>0</x:v>
      </x:c>
      <x:c r="M536" s="2" t="n">
        <x:f>IF(OR(B536="",F536=""),0,IF(H536="HOME",COUNTIFS('Istoric_Nativ'!$B$6:$B$405,E536,'Istoric_Nativ'!$C$6:$C$405,F536,'Istoric_Nativ'!$E$6:$E$405,G536,'Istoric_Nativ'!$D$6:$D$405,"&lt;"&amp;J536,'Istoric_Nativ'!$P$6:$P$405,1,'Istoric_Nativ'!$D$6:$D$405,"&gt;="&amp;L536),IF(H536="AWAY",COUNTIFS('Istoric_Nativ'!$B$6:$B$405,E536,'Istoric_Nativ'!$C$6:$C$405,F536,'Istoric_Nativ'!$F$6:$F$405,G536,'Istoric_Nativ'!$D$6:$D$405,"&lt;"&amp;J536,'Istoric_Nativ'!$P$6:$P$405,1,'Istoric_Nativ'!$D$6:$D$405,"&gt;="&amp;L536),COUNTIFS('Istoric_Nativ'!$B$6:$B$405,E536,'Istoric_Nativ'!$C$6:$C$405,F536,'Istoric_Nativ'!$E$6:$E$405,G536,'Istoric_Nativ'!$D$6:$D$405,"&lt;"&amp;J536,'Istoric_Nativ'!$P$6:$P$405,1,'Istoric_Nativ'!$D$6:$D$405,"&gt;="&amp;L536)+COUNTIFS('Istoric_Nativ'!$B$6:$B$405,E536,'Istoric_Nativ'!$C$6:$C$405,F536,'Istoric_Nativ'!$F$6:$F$405,G536,'Istoric_Nativ'!$D$6:$D$405,"&lt;"&amp;J536,'Istoric_Nativ'!$P$6:$P$405,1,'Istoric_Nativ'!$D$6:$D$405,"&gt;="&amp;L536))))</x:f>
        <x:v>0</x:v>
      </x:c>
      <x:c r="N536" s="11" t="str">
        <x:f>IF(M536=0,"",IF(H536="HOME",SUMIFS('Istoric_Nativ'!$G$6:$G$405,'Istoric_Nativ'!$B$6:$B$405,E536,'Istoric_Nativ'!$C$6:$C$405,F536,'Istoric_Nativ'!$E$6:$E$405,G536,'Istoric_Nativ'!$D$6:$D$405,"&lt;"&amp;J536,'Istoric_Nativ'!$P$6:$P$405,1,'Istoric_Nativ'!$D$6:$D$405,"&gt;="&amp;L536),IF(H536="AWAY",SUMIFS('Istoric_Nativ'!$H$6:$H$405,'Istoric_Nativ'!$B$6:$B$405,E536,'Istoric_Nativ'!$C$6:$C$405,F536,'Istoric_Nativ'!$F$6:$F$405,G536,'Istoric_Nativ'!$D$6:$D$405,"&lt;"&amp;J536,'Istoric_Nativ'!$P$6:$P$405,1,'Istoric_Nativ'!$D$6:$D$405,"&gt;="&amp;L536),SUMIFS('Istoric_Nativ'!$G$6:$G$405,'Istoric_Nativ'!$B$6:$B$405,E536,'Istoric_Nativ'!$C$6:$C$405,F536,'Istoric_Nativ'!$E$6:$E$405,G536,'Istoric_Nativ'!$D$6:$D$405,"&lt;"&amp;J536,'Istoric_Nativ'!$P$6:$P$405,1,'Istoric_Nativ'!$D$6:$D$405,"&gt;="&amp;L536)+SUMIFS('Istoric_Nativ'!$H$6:$H$405,'Istoric_Nativ'!$B$6:$B$405,E536,'Istoric_Nativ'!$C$6:$C$405,F536,'Istoric_Nativ'!$F$6:$F$405,G536,'Istoric_Nativ'!$D$6:$D$405,"&lt;"&amp;J536,'Istoric_Nativ'!$P$6:$P$405,1,'Istoric_Nativ'!$D$6:$D$405,"&gt;="&amp;L536)))/M536)</x:f>
      </x:c>
      <x:c r="O536" s="11" t="str">
        <x:f>IF(M536=0,"",IF(H536="HOME",SUMIFS('Istoric_Nativ'!$H$6:$H$405,'Istoric_Nativ'!$B$6:$B$405,E536,'Istoric_Nativ'!$C$6:$C$405,F536,'Istoric_Nativ'!$E$6:$E$405,G536,'Istoric_Nativ'!$D$6:$D$405,"&lt;"&amp;J536,'Istoric_Nativ'!$P$6:$P$405,1,'Istoric_Nativ'!$D$6:$D$405,"&gt;="&amp;L536),IF(H536="AWAY",SUMIFS('Istoric_Nativ'!$G$6:$G$405,'Istoric_Nativ'!$B$6:$B$405,E536,'Istoric_Nativ'!$C$6:$C$405,F536,'Istoric_Nativ'!$F$6:$F$405,G536,'Istoric_Nativ'!$D$6:$D$405,"&lt;"&amp;J536,'Istoric_Nativ'!$P$6:$P$405,1,'Istoric_Nativ'!$D$6:$D$405,"&gt;="&amp;L536),SUMIFS('Istoric_Nativ'!$H$6:$H$405,'Istoric_Nativ'!$B$6:$B$405,E536,'Istoric_Nativ'!$C$6:$C$405,F536,'Istoric_Nativ'!$E$6:$E$405,G536,'Istoric_Nativ'!$D$6:$D$405,"&lt;"&amp;J536,'Istoric_Nativ'!$P$6:$P$405,1,'Istoric_Nativ'!$D$6:$D$405,"&gt;="&amp;L536)+SUMIFS('Istoric_Nativ'!$G$6:$G$405,'Istoric_Nativ'!$B$6:$B$405,E536,'Istoric_Nativ'!$C$6:$C$405,F536,'Istoric_Nativ'!$F$6:$F$405,G536,'Istoric_Nativ'!$D$6:$D$405,"&lt;"&amp;J536,'Istoric_Nativ'!$P$6:$P$405,1,'Istoric_Nativ'!$D$6:$D$405,"&gt;="&amp;L536)))/M536)</x:f>
      </x:c>
      <x:c r="P536" s="2" t="n">
        <x:f>'Config_v6'!$B$9</x:f>
        <x:v>3</x:v>
      </x:c>
      <x:c r="Q536" s="2" t="n">
        <x:f>IF(OR(B536="",F536=""),0,IFERROR(MATCH(E536&amp;"|"&amp;F536,SourceTable[Source_Key],0),0))</x:f>
        <x:v>0</x:v>
      </x:c>
      <x:c r="R536" s="2" t="str">
        <x:f>IF(B536="","",IF(F536="","UNUSED",IF(Q536=0,"NOT CHECKED",IF(COUNTIF(SourceTable[Source_Key],E536&amp;"|"&amp;F536)&lt;&gt;1,"SOURCE CONFLICT",IF(NOT(OR(INDEX(SourceTable[Status],MAX(1,Q536))="IMPORTED",INDEX(SourceTable[Status],MAX(1,Q536))="PARTIAL",INDEX(SourceTable[Status],MAX(1,Q536))="SOURCE CONFLICT")),"ACCESS BLOCKED",IF(OR(INDEX(SourceTable[Coverage],Q536)&lt;&gt;"FULL SEASON EXPORT",INDEX(SourceTable[URL],Q536)="",INDEX(SourceTable[SHA256],Q536)=""),"EVIDENCE INCOMPLETE",IF(AND('Input_Meci'!H50="LIVE",INDEX(SourceTable[Retrieved_UTC],Q536)&gt;'Input_Meci'!G50),"POST CUTOFF","CLOSED")))))))</x:f>
      </x:c>
      <x:c r="S536" s="2" t="n">
        <x:f>IF(OR(B536="",F536=""),0,COUNTIFS('Istoric_Nativ'!$B$6:$B$405,E536,'Istoric_Nativ'!$C$6:$C$405,F536,'Istoric_Nativ'!$E$6:$E$405,G536,'Istoric_Nativ'!$D$6:$D$405,"&lt;"&amp;J536,'Istoric_Nativ'!$O$6:$O$405,"INVALID")+COUNTIFS('Istoric_Nativ'!$B$6:$B$405,E536,'Istoric_Nativ'!$C$6:$C$405,F536,'Istoric_Nativ'!$E$6:$E$405,G536,'Istoric_Nativ'!$O$6:$O$405,"INVALID",'Istoric_Nativ'!$D$6:$D$405,"*")+COUNTIFS('Istoric_Nativ'!$B$6:$B$405,E536,'Istoric_Nativ'!$C$6:$C$405,F536,'Istoric_Nativ'!$E$6:$E$405,G536,'Istoric_Nativ'!$D$6:$D$405,"&lt;"&amp;J536,'Istoric_Nativ'!$O$6:$O$405,"SOURCE CONFLICT")+COUNTIFS('Istoric_Nativ'!$B$6:$B$405,E536,'Istoric_Nativ'!$C$6:$C$405,F536,'Istoric_Nativ'!$F$6:$F$405,G536,'Istoric_Nativ'!$D$6:$D$405,"&lt;"&amp;J536,'Istoric_Nativ'!$O$6:$O$405,"INVALID")+COUNTIFS('Istoric_Nativ'!$B$6:$B$405,E536,'Istoric_Nativ'!$C$6:$C$405,F536,'Istoric_Nativ'!$F$6:$F$405,G536,'Istoric_Nativ'!$O$6:$O$405,"INVALID",'Istoric_Nativ'!$D$6:$D$405,"*")+COUNTIFS('Istoric_Nativ'!$B$6:$B$405,E536,'Istoric_Nativ'!$C$6:$C$405,F536,'Istoric_Nativ'!$F$6:$F$405,G536,'Istoric_Nativ'!$D$6:$D$405,"&lt;"&amp;J536,'Istoric_Nativ'!$O$6:$O$405,"SOURCE CONFLICT"))</x:f>
        <x:v>0</x:v>
      </x:c>
      <x:c r="T536" s="2" t="str">
        <x:f>IF(B536="","",IF(R536&lt;&gt;"CLOSED",R536,IF(S536&gt;0,"NATIVE INPUT ISSUE",IF(M536=0,"NO HISTORY",IF(M536&lt;P536,"SMALL SAMPLE","DERIVED")))))</x:f>
      </x:c>
      <x:c r="U536" s="2" t="str">
        <x:f>IF(B536="","","NativeTable; "&amp;E536&amp;"; "&amp;F536&amp;"; "&amp;G536&amp;"; "&amp;H536&amp;"; before "&amp;TEXT(J536,"yyyy-mm-dd")&amp;IF(I536="RECENT","; from "&amp;TEXT(L536,"yyyy-mm-dd"),""))</x:f>
      </x:c>
    </x:row>
    <x:row r="537" ht="21" customHeight="1">
      <x:c r="A537" s="2" t="n">
        <x:v>45</x:v>
      </x:c>
      <x:c r="B537" s="2" t="str">
        <x:f>IF('Input_Meci'!A50="","",'Input_Meci'!A50)</x:f>
      </x:c>
      <x:c r="C537" s="2" t="str">
        <x:v>A</x:v>
      </x:c>
      <x:c r="D537" s="2" t="str">
        <x:v>CURRENT</x:v>
      </x:c>
      <x:c r="E537" s="2" t="str">
        <x:f>IF(B537="","",'Input_Meci'!B50)</x:f>
      </x:c>
      <x:c r="F537" s="2" t="str">
        <x:f>IF(B537="","",IF('Input_Meci'!C50="","",'Input_Meci'!C50))</x:f>
      </x:c>
      <x:c r="G537" s="2" t="str">
        <x:f>IF(B537="","",'Input_Meci'!E50)</x:f>
      </x:c>
      <x:c r="H537" s="2" t="str">
        <x:v>ANY</x:v>
      </x:c>
      <x:c r="I537" s="2" t="str">
        <x:v>SEASON</x:v>
      </x:c>
      <x:c r="J537" s="9" t="n">
        <x:f>IF(AND(B537&lt;&gt;"",ISNUMBER('Input_Meci'!G50)),INT('Input_Meci'!G50),0)</x:f>
        <x:v>0</x:v>
      </x:c>
      <x:c r="K537" s="2" t="n">
        <x:f>IF(OR(B537="",F537=""),0,IF(H537="HOME",COUNTIFS('Istoric_Nativ'!$B$6:$B$405,E537,'Istoric_Nativ'!$C$6:$C$405,F537,'Istoric_Nativ'!$E$6:$E$405,G537,'Istoric_Nativ'!$D$6:$D$405,"&lt;"&amp;J537,'Istoric_Nativ'!$P$6:$P$405,1),IF(H537="AWAY",COUNTIFS('Istoric_Nativ'!$B$6:$B$405,E537,'Istoric_Nativ'!$C$6:$C$405,F537,'Istoric_Nativ'!$F$6:$F$405,G537,'Istoric_Nativ'!$D$6:$D$405,"&lt;"&amp;J537,'Istoric_Nativ'!$P$6:$P$405,1),COUNTIFS('Istoric_Nativ'!$B$6:$B$405,E537,'Istoric_Nativ'!$C$6:$C$405,F537,'Istoric_Nativ'!$E$6:$E$405,G537,'Istoric_Nativ'!$D$6:$D$405,"&lt;"&amp;J537,'Istoric_Nativ'!$P$6:$P$405,1)+COUNTIFS('Istoric_Nativ'!$B$6:$B$405,E537,'Istoric_Nativ'!$C$6:$C$405,F537,'Istoric_Nativ'!$F$6:$F$405,G537,'Istoric_Nativ'!$D$6:$D$405,"&lt;"&amp;J537,'Istoric_Nativ'!$P$6:$P$405,1))))</x:f>
        <x:v>0</x:v>
      </x:c>
      <x:c r="L537" s="17" t="n">
        <x:f>IF(AND(B537&lt;&gt;"",I537="RECENT",K537&gt;0),LARGE(_xlfn._xlws.FILTER('Istoric_Nativ'!$D$6:$D$405,('Istoric_Nativ'!$B$6:$B$405=E537)*('Istoric_Nativ'!$C$6:$C$405=F537)*('Istoric_Nativ'!$P$6:$P$405=1)*('Istoric_Nativ'!$D$6:$D$405&lt;J537)*((('Istoric_Nativ'!$E$6:$E$405=G537)+('Istoric_Nativ'!$F$6:$F$405=G537))&gt;0)),MIN('Config_v6'!$B$54,K537)),0)</x:f>
        <x:v>0</x:v>
      </x:c>
      <x:c r="M537" s="2" t="n">
        <x:f>IF(OR(B537="",F537=""),0,IF(H537="HOME",COUNTIFS('Istoric_Nativ'!$B$6:$B$405,E537,'Istoric_Nativ'!$C$6:$C$405,F537,'Istoric_Nativ'!$E$6:$E$405,G537,'Istoric_Nativ'!$D$6:$D$405,"&lt;"&amp;J537,'Istoric_Nativ'!$P$6:$P$405,1,'Istoric_Nativ'!$D$6:$D$405,"&gt;="&amp;L537),IF(H537="AWAY",COUNTIFS('Istoric_Nativ'!$B$6:$B$405,E537,'Istoric_Nativ'!$C$6:$C$405,F537,'Istoric_Nativ'!$F$6:$F$405,G537,'Istoric_Nativ'!$D$6:$D$405,"&lt;"&amp;J537,'Istoric_Nativ'!$P$6:$P$405,1,'Istoric_Nativ'!$D$6:$D$405,"&gt;="&amp;L537),COUNTIFS('Istoric_Nativ'!$B$6:$B$405,E537,'Istoric_Nativ'!$C$6:$C$405,F537,'Istoric_Nativ'!$E$6:$E$405,G537,'Istoric_Nativ'!$D$6:$D$405,"&lt;"&amp;J537,'Istoric_Nativ'!$P$6:$P$405,1,'Istoric_Nativ'!$D$6:$D$405,"&gt;="&amp;L537)+COUNTIFS('Istoric_Nativ'!$B$6:$B$405,E537,'Istoric_Nativ'!$C$6:$C$405,F537,'Istoric_Nativ'!$F$6:$F$405,G537,'Istoric_Nativ'!$D$6:$D$405,"&lt;"&amp;J537,'Istoric_Nativ'!$P$6:$P$405,1,'Istoric_Nativ'!$D$6:$D$405,"&gt;="&amp;L537))))</x:f>
        <x:v>0</x:v>
      </x:c>
      <x:c r="N537" s="11" t="str">
        <x:f>IF(M537=0,"",IF(H537="HOME",SUMIFS('Istoric_Nativ'!$G$6:$G$405,'Istoric_Nativ'!$B$6:$B$405,E537,'Istoric_Nativ'!$C$6:$C$405,F537,'Istoric_Nativ'!$E$6:$E$405,G537,'Istoric_Nativ'!$D$6:$D$405,"&lt;"&amp;J537,'Istoric_Nativ'!$P$6:$P$405,1,'Istoric_Nativ'!$D$6:$D$405,"&gt;="&amp;L537),IF(H537="AWAY",SUMIFS('Istoric_Nativ'!$H$6:$H$405,'Istoric_Nativ'!$B$6:$B$405,E537,'Istoric_Nativ'!$C$6:$C$405,F537,'Istoric_Nativ'!$F$6:$F$405,G537,'Istoric_Nativ'!$D$6:$D$405,"&lt;"&amp;J537,'Istoric_Nativ'!$P$6:$P$405,1,'Istoric_Nativ'!$D$6:$D$405,"&gt;="&amp;L537),SUMIFS('Istoric_Nativ'!$G$6:$G$405,'Istoric_Nativ'!$B$6:$B$405,E537,'Istoric_Nativ'!$C$6:$C$405,F537,'Istoric_Nativ'!$E$6:$E$405,G537,'Istoric_Nativ'!$D$6:$D$405,"&lt;"&amp;J537,'Istoric_Nativ'!$P$6:$P$405,1,'Istoric_Nativ'!$D$6:$D$405,"&gt;="&amp;L537)+SUMIFS('Istoric_Nativ'!$H$6:$H$405,'Istoric_Nativ'!$B$6:$B$405,E537,'Istoric_Nativ'!$C$6:$C$405,F537,'Istoric_Nativ'!$F$6:$F$405,G537,'Istoric_Nativ'!$D$6:$D$405,"&lt;"&amp;J537,'Istoric_Nativ'!$P$6:$P$405,1,'Istoric_Nativ'!$D$6:$D$405,"&gt;="&amp;L537)))/M537)</x:f>
      </x:c>
      <x:c r="O537" s="11" t="str">
        <x:f>IF(M537=0,"",IF(H537="HOME",SUMIFS('Istoric_Nativ'!$H$6:$H$405,'Istoric_Nativ'!$B$6:$B$405,E537,'Istoric_Nativ'!$C$6:$C$405,F537,'Istoric_Nativ'!$E$6:$E$405,G537,'Istoric_Nativ'!$D$6:$D$405,"&lt;"&amp;J537,'Istoric_Nativ'!$P$6:$P$405,1,'Istoric_Nativ'!$D$6:$D$405,"&gt;="&amp;L537),IF(H537="AWAY",SUMIFS('Istoric_Nativ'!$G$6:$G$405,'Istoric_Nativ'!$B$6:$B$405,E537,'Istoric_Nativ'!$C$6:$C$405,F537,'Istoric_Nativ'!$F$6:$F$405,G537,'Istoric_Nativ'!$D$6:$D$405,"&lt;"&amp;J537,'Istoric_Nativ'!$P$6:$P$405,1,'Istoric_Nativ'!$D$6:$D$405,"&gt;="&amp;L537),SUMIFS('Istoric_Nativ'!$H$6:$H$405,'Istoric_Nativ'!$B$6:$B$405,E537,'Istoric_Nativ'!$C$6:$C$405,F537,'Istoric_Nativ'!$E$6:$E$405,G537,'Istoric_Nativ'!$D$6:$D$405,"&lt;"&amp;J537,'Istoric_Nativ'!$P$6:$P$405,1,'Istoric_Nativ'!$D$6:$D$405,"&gt;="&amp;L537)+SUMIFS('Istoric_Nativ'!$G$6:$G$405,'Istoric_Nativ'!$B$6:$B$405,E537,'Istoric_Nativ'!$C$6:$C$405,F537,'Istoric_Nativ'!$F$6:$F$405,G537,'Istoric_Nativ'!$D$6:$D$405,"&lt;"&amp;J537,'Istoric_Nativ'!$P$6:$P$405,1,'Istoric_Nativ'!$D$6:$D$405,"&gt;="&amp;L537)))/M537)</x:f>
      </x:c>
      <x:c r="P537" s="2" t="n">
        <x:f>'Config_v6'!$B$7</x:f>
        <x:v>10</x:v>
      </x:c>
      <x:c r="Q537" s="2" t="n">
        <x:f>IF(OR(B537="",F537=""),0,IFERROR(MATCH(E537&amp;"|"&amp;F537,SourceTable[Source_Key],0),0))</x:f>
        <x:v>0</x:v>
      </x:c>
      <x:c r="R537" s="2" t="str">
        <x:f>IF(B537="","",IF(F537="","UNUSED",IF(Q537=0,"NOT CHECKED",IF(COUNTIF(SourceTable[Source_Key],E537&amp;"|"&amp;F537)&lt;&gt;1,"SOURCE CONFLICT",IF(NOT(OR(INDEX(SourceTable[Status],MAX(1,Q537))="IMPORTED",INDEX(SourceTable[Status],MAX(1,Q537))="PARTIAL",INDEX(SourceTable[Status],MAX(1,Q537))="SOURCE CONFLICT")),"ACCESS BLOCKED",IF(OR(INDEX(SourceTable[Coverage],Q537)&lt;&gt;"FULL SEASON EXPORT",INDEX(SourceTable[URL],Q537)="",INDEX(SourceTable[SHA256],Q537)=""),"EVIDENCE INCOMPLETE",IF(AND('Input_Meci'!H50="LIVE",INDEX(SourceTable[Retrieved_UTC],Q537)&gt;'Input_Meci'!G50),"POST CUTOFF","CLOSED")))))))</x:f>
      </x:c>
      <x:c r="S537" s="2" t="n">
        <x:f>IF(OR(B537="",F537=""),0,COUNTIFS('Istoric_Nativ'!$B$6:$B$405,E537,'Istoric_Nativ'!$C$6:$C$405,F537,'Istoric_Nativ'!$E$6:$E$405,G537,'Istoric_Nativ'!$D$6:$D$405,"&lt;"&amp;J537,'Istoric_Nativ'!$O$6:$O$405,"INVALID")+COUNTIFS('Istoric_Nativ'!$B$6:$B$405,E537,'Istoric_Nativ'!$C$6:$C$405,F537,'Istoric_Nativ'!$E$6:$E$405,G537,'Istoric_Nativ'!$O$6:$O$405,"INVALID",'Istoric_Nativ'!$D$6:$D$405,"*")+COUNTIFS('Istoric_Nativ'!$B$6:$B$405,E537,'Istoric_Nativ'!$C$6:$C$405,F537,'Istoric_Nativ'!$E$6:$E$405,G537,'Istoric_Nativ'!$D$6:$D$405,"&lt;"&amp;J537,'Istoric_Nativ'!$O$6:$O$405,"SOURCE CONFLICT")+COUNTIFS('Istoric_Nativ'!$B$6:$B$405,E537,'Istoric_Nativ'!$C$6:$C$405,F537,'Istoric_Nativ'!$F$6:$F$405,G537,'Istoric_Nativ'!$D$6:$D$405,"&lt;"&amp;J537,'Istoric_Nativ'!$O$6:$O$405,"INVALID")+COUNTIFS('Istoric_Nativ'!$B$6:$B$405,E537,'Istoric_Nativ'!$C$6:$C$405,F537,'Istoric_Nativ'!$F$6:$F$405,G537,'Istoric_Nativ'!$O$6:$O$405,"INVALID",'Istoric_Nativ'!$D$6:$D$405,"*")+COUNTIFS('Istoric_Nativ'!$B$6:$B$405,E537,'Istoric_Nativ'!$C$6:$C$405,F537,'Istoric_Nativ'!$F$6:$F$405,G537,'Istoric_Nativ'!$D$6:$D$405,"&lt;"&amp;J537,'Istoric_Nativ'!$O$6:$O$405,"SOURCE CONFLICT"))</x:f>
        <x:v>0</x:v>
      </x:c>
      <x:c r="T537" s="2" t="str">
        <x:f>IF(B537="","",IF(R537&lt;&gt;"CLOSED",R537,IF(S537&gt;0,"NATIVE INPUT ISSUE",IF(M537=0,"NO HISTORY",IF(M537&lt;P537,"SMALL SAMPLE","DERIVED")))))</x:f>
      </x:c>
      <x:c r="U537" s="2" t="str">
        <x:f>IF(B537="","","NativeTable; "&amp;E537&amp;"; "&amp;F537&amp;"; "&amp;G537&amp;"; "&amp;H537&amp;"; before "&amp;TEXT(J537,"yyyy-mm-dd")&amp;IF(I537="RECENT","; from "&amp;TEXT(L537,"yyyy-mm-dd"),""))</x:f>
      </x:c>
    </x:row>
    <x:row r="538" ht="21" customHeight="1">
      <x:c r="A538" s="2" t="n">
        <x:v>45</x:v>
      </x:c>
      <x:c r="B538" s="2" t="str">
        <x:f>IF('Input_Meci'!A50="","",'Input_Meci'!A50)</x:f>
      </x:c>
      <x:c r="C538" s="2" t="str">
        <x:v>A</x:v>
      </x:c>
      <x:c r="D538" s="2" t="str">
        <x:v>CURRENT</x:v>
      </x:c>
      <x:c r="E538" s="2" t="str">
        <x:f>IF(B538="","",'Input_Meci'!B50)</x:f>
      </x:c>
      <x:c r="F538" s="2" t="str">
        <x:f>IF(B538="","",IF('Input_Meci'!C50="","",'Input_Meci'!C50))</x:f>
      </x:c>
      <x:c r="G538" s="2" t="str">
        <x:f>IF(B538="","",'Input_Meci'!E50)</x:f>
      </x:c>
      <x:c r="H538" s="2" t="str">
        <x:v>AWAY</x:v>
      </x:c>
      <x:c r="I538" s="2" t="str">
        <x:v>HA</x:v>
      </x:c>
      <x:c r="J538" s="9" t="n">
        <x:f>IF(AND(B538&lt;&gt;"",ISNUMBER('Input_Meci'!G50)),INT('Input_Meci'!G50),0)</x:f>
        <x:v>0</x:v>
      </x:c>
      <x:c r="K538" s="2" t="n">
        <x:f>IF(OR(B538="",F538=""),0,IF(H538="HOME",COUNTIFS('Istoric_Nativ'!$B$6:$B$405,E538,'Istoric_Nativ'!$C$6:$C$405,F538,'Istoric_Nativ'!$E$6:$E$405,G538,'Istoric_Nativ'!$D$6:$D$405,"&lt;"&amp;J538,'Istoric_Nativ'!$P$6:$P$405,1),IF(H538="AWAY",COUNTIFS('Istoric_Nativ'!$B$6:$B$405,E538,'Istoric_Nativ'!$C$6:$C$405,F538,'Istoric_Nativ'!$F$6:$F$405,G538,'Istoric_Nativ'!$D$6:$D$405,"&lt;"&amp;J538,'Istoric_Nativ'!$P$6:$P$405,1),COUNTIFS('Istoric_Nativ'!$B$6:$B$405,E538,'Istoric_Nativ'!$C$6:$C$405,F538,'Istoric_Nativ'!$E$6:$E$405,G538,'Istoric_Nativ'!$D$6:$D$405,"&lt;"&amp;J538,'Istoric_Nativ'!$P$6:$P$405,1)+COUNTIFS('Istoric_Nativ'!$B$6:$B$405,E538,'Istoric_Nativ'!$C$6:$C$405,F538,'Istoric_Nativ'!$F$6:$F$405,G538,'Istoric_Nativ'!$D$6:$D$405,"&lt;"&amp;J538,'Istoric_Nativ'!$P$6:$P$405,1))))</x:f>
        <x:v>0</x:v>
      </x:c>
      <x:c r="L538" s="17" t="n">
        <x:f>IF(AND(B538&lt;&gt;"",I538="RECENT",K538&gt;0),LARGE(_xlfn._xlws.FILTER('Istoric_Nativ'!$D$6:$D$405,('Istoric_Nativ'!$B$6:$B$405=E538)*('Istoric_Nativ'!$C$6:$C$405=F538)*('Istoric_Nativ'!$P$6:$P$405=1)*('Istoric_Nativ'!$D$6:$D$405&lt;J538)*((('Istoric_Nativ'!$E$6:$E$405=G538)+('Istoric_Nativ'!$F$6:$F$405=G538))&gt;0)),MIN('Config_v6'!$B$54,K538)),0)</x:f>
        <x:v>0</x:v>
      </x:c>
      <x:c r="M538" s="2" t="n">
        <x:f>IF(OR(B538="",F538=""),0,IF(H538="HOME",COUNTIFS('Istoric_Nativ'!$B$6:$B$405,E538,'Istoric_Nativ'!$C$6:$C$405,F538,'Istoric_Nativ'!$E$6:$E$405,G538,'Istoric_Nativ'!$D$6:$D$405,"&lt;"&amp;J538,'Istoric_Nativ'!$P$6:$P$405,1,'Istoric_Nativ'!$D$6:$D$405,"&gt;="&amp;L538),IF(H538="AWAY",COUNTIFS('Istoric_Nativ'!$B$6:$B$405,E538,'Istoric_Nativ'!$C$6:$C$405,F538,'Istoric_Nativ'!$F$6:$F$405,G538,'Istoric_Nativ'!$D$6:$D$405,"&lt;"&amp;J538,'Istoric_Nativ'!$P$6:$P$405,1,'Istoric_Nativ'!$D$6:$D$405,"&gt;="&amp;L538),COUNTIFS('Istoric_Nativ'!$B$6:$B$405,E538,'Istoric_Nativ'!$C$6:$C$405,F538,'Istoric_Nativ'!$E$6:$E$405,G538,'Istoric_Nativ'!$D$6:$D$405,"&lt;"&amp;J538,'Istoric_Nativ'!$P$6:$P$405,1,'Istoric_Nativ'!$D$6:$D$405,"&gt;="&amp;L538)+COUNTIFS('Istoric_Nativ'!$B$6:$B$405,E538,'Istoric_Nativ'!$C$6:$C$405,F538,'Istoric_Nativ'!$F$6:$F$405,G538,'Istoric_Nativ'!$D$6:$D$405,"&lt;"&amp;J538,'Istoric_Nativ'!$P$6:$P$405,1,'Istoric_Nativ'!$D$6:$D$405,"&gt;="&amp;L538))))</x:f>
        <x:v>0</x:v>
      </x:c>
      <x:c r="N538" s="11" t="str">
        <x:f>IF(M538=0,"",IF(H538="HOME",SUMIFS('Istoric_Nativ'!$G$6:$G$405,'Istoric_Nativ'!$B$6:$B$405,E538,'Istoric_Nativ'!$C$6:$C$405,F538,'Istoric_Nativ'!$E$6:$E$405,G538,'Istoric_Nativ'!$D$6:$D$405,"&lt;"&amp;J538,'Istoric_Nativ'!$P$6:$P$405,1,'Istoric_Nativ'!$D$6:$D$405,"&gt;="&amp;L538),IF(H538="AWAY",SUMIFS('Istoric_Nativ'!$H$6:$H$405,'Istoric_Nativ'!$B$6:$B$405,E538,'Istoric_Nativ'!$C$6:$C$405,F538,'Istoric_Nativ'!$F$6:$F$405,G538,'Istoric_Nativ'!$D$6:$D$405,"&lt;"&amp;J538,'Istoric_Nativ'!$P$6:$P$405,1,'Istoric_Nativ'!$D$6:$D$405,"&gt;="&amp;L538),SUMIFS('Istoric_Nativ'!$G$6:$G$405,'Istoric_Nativ'!$B$6:$B$405,E538,'Istoric_Nativ'!$C$6:$C$405,F538,'Istoric_Nativ'!$E$6:$E$405,G538,'Istoric_Nativ'!$D$6:$D$405,"&lt;"&amp;J538,'Istoric_Nativ'!$P$6:$P$405,1,'Istoric_Nativ'!$D$6:$D$405,"&gt;="&amp;L538)+SUMIFS('Istoric_Nativ'!$H$6:$H$405,'Istoric_Nativ'!$B$6:$B$405,E538,'Istoric_Nativ'!$C$6:$C$405,F538,'Istoric_Nativ'!$F$6:$F$405,G538,'Istoric_Nativ'!$D$6:$D$405,"&lt;"&amp;J538,'Istoric_Nativ'!$P$6:$P$405,1,'Istoric_Nativ'!$D$6:$D$405,"&gt;="&amp;L538)))/M538)</x:f>
      </x:c>
      <x:c r="O538" s="11" t="str">
        <x:f>IF(M538=0,"",IF(H538="HOME",SUMIFS('Istoric_Nativ'!$H$6:$H$405,'Istoric_Nativ'!$B$6:$B$405,E538,'Istoric_Nativ'!$C$6:$C$405,F538,'Istoric_Nativ'!$E$6:$E$405,G538,'Istoric_Nativ'!$D$6:$D$405,"&lt;"&amp;J538,'Istoric_Nativ'!$P$6:$P$405,1,'Istoric_Nativ'!$D$6:$D$405,"&gt;="&amp;L538),IF(H538="AWAY",SUMIFS('Istoric_Nativ'!$G$6:$G$405,'Istoric_Nativ'!$B$6:$B$405,E538,'Istoric_Nativ'!$C$6:$C$405,F538,'Istoric_Nativ'!$F$6:$F$405,G538,'Istoric_Nativ'!$D$6:$D$405,"&lt;"&amp;J538,'Istoric_Nativ'!$P$6:$P$405,1,'Istoric_Nativ'!$D$6:$D$405,"&gt;="&amp;L538),SUMIFS('Istoric_Nativ'!$H$6:$H$405,'Istoric_Nativ'!$B$6:$B$405,E538,'Istoric_Nativ'!$C$6:$C$405,F538,'Istoric_Nativ'!$E$6:$E$405,G538,'Istoric_Nativ'!$D$6:$D$405,"&lt;"&amp;J538,'Istoric_Nativ'!$P$6:$P$405,1,'Istoric_Nativ'!$D$6:$D$405,"&gt;="&amp;L538)+SUMIFS('Istoric_Nativ'!$G$6:$G$405,'Istoric_Nativ'!$B$6:$B$405,E538,'Istoric_Nativ'!$C$6:$C$405,F538,'Istoric_Nativ'!$F$6:$F$405,G538,'Istoric_Nativ'!$D$6:$D$405,"&lt;"&amp;J538,'Istoric_Nativ'!$P$6:$P$405,1,'Istoric_Nativ'!$D$6:$D$405,"&gt;="&amp;L538)))/M538)</x:f>
      </x:c>
      <x:c r="P538" s="2" t="n">
        <x:f>'Config_v6'!$B$8</x:f>
        <x:v>5</x:v>
      </x:c>
      <x:c r="Q538" s="2" t="n">
        <x:f>IF(OR(B538="",F538=""),0,IFERROR(MATCH(E538&amp;"|"&amp;F538,SourceTable[Source_Key],0),0))</x:f>
        <x:v>0</x:v>
      </x:c>
      <x:c r="R538" s="2" t="str">
        <x:f>IF(B538="","",IF(F538="","UNUSED",IF(Q538=0,"NOT CHECKED",IF(COUNTIF(SourceTable[Source_Key],E538&amp;"|"&amp;F538)&lt;&gt;1,"SOURCE CONFLICT",IF(NOT(OR(INDEX(SourceTable[Status],MAX(1,Q538))="IMPORTED",INDEX(SourceTable[Status],MAX(1,Q538))="PARTIAL",INDEX(SourceTable[Status],MAX(1,Q538))="SOURCE CONFLICT")),"ACCESS BLOCKED",IF(OR(INDEX(SourceTable[Coverage],Q538)&lt;&gt;"FULL SEASON EXPORT",INDEX(SourceTable[URL],Q538)="",INDEX(SourceTable[SHA256],Q538)=""),"EVIDENCE INCOMPLETE",IF(AND('Input_Meci'!H50="LIVE",INDEX(SourceTable[Retrieved_UTC],Q538)&gt;'Input_Meci'!G50),"POST CUTOFF","CLOSED")))))))</x:f>
      </x:c>
      <x:c r="S538" s="2" t="n">
        <x:f>IF(OR(B538="",F538=""),0,COUNTIFS('Istoric_Nativ'!$B$6:$B$405,E538,'Istoric_Nativ'!$C$6:$C$405,F538,'Istoric_Nativ'!$E$6:$E$405,G538,'Istoric_Nativ'!$D$6:$D$405,"&lt;"&amp;J538,'Istoric_Nativ'!$O$6:$O$405,"INVALID")+COUNTIFS('Istoric_Nativ'!$B$6:$B$405,E538,'Istoric_Nativ'!$C$6:$C$405,F538,'Istoric_Nativ'!$E$6:$E$405,G538,'Istoric_Nativ'!$O$6:$O$405,"INVALID",'Istoric_Nativ'!$D$6:$D$405,"*")+COUNTIFS('Istoric_Nativ'!$B$6:$B$405,E538,'Istoric_Nativ'!$C$6:$C$405,F538,'Istoric_Nativ'!$E$6:$E$405,G538,'Istoric_Nativ'!$D$6:$D$405,"&lt;"&amp;J538,'Istoric_Nativ'!$O$6:$O$405,"SOURCE CONFLICT")+COUNTIFS('Istoric_Nativ'!$B$6:$B$405,E538,'Istoric_Nativ'!$C$6:$C$405,F538,'Istoric_Nativ'!$F$6:$F$405,G538,'Istoric_Nativ'!$D$6:$D$405,"&lt;"&amp;J538,'Istoric_Nativ'!$O$6:$O$405,"INVALID")+COUNTIFS('Istoric_Nativ'!$B$6:$B$405,E538,'Istoric_Nativ'!$C$6:$C$405,F538,'Istoric_Nativ'!$F$6:$F$405,G538,'Istoric_Nativ'!$O$6:$O$405,"INVALID",'Istoric_Nativ'!$D$6:$D$405,"*")+COUNTIFS('Istoric_Nativ'!$B$6:$B$405,E538,'Istoric_Nativ'!$C$6:$C$405,F538,'Istoric_Nativ'!$F$6:$F$405,G538,'Istoric_Nativ'!$D$6:$D$405,"&lt;"&amp;J538,'Istoric_Nativ'!$O$6:$O$405,"SOURCE CONFLICT"))</x:f>
        <x:v>0</x:v>
      </x:c>
      <x:c r="T538" s="2" t="str">
        <x:f>IF(B538="","",IF(R538&lt;&gt;"CLOSED",R538,IF(S538&gt;0,"NATIVE INPUT ISSUE",IF(M538=0,"NO HISTORY",IF(M538&lt;P538,"SMALL SAMPLE","DERIVED")))))</x:f>
      </x:c>
      <x:c r="U538" s="2" t="str">
        <x:f>IF(B538="","","NativeTable; "&amp;E538&amp;"; "&amp;F538&amp;"; "&amp;G538&amp;"; "&amp;H538&amp;"; before "&amp;TEXT(J538,"yyyy-mm-dd")&amp;IF(I538="RECENT","; from "&amp;TEXT(L538,"yyyy-mm-dd"),""))</x:f>
      </x:c>
    </x:row>
    <x:row r="539" ht="21" customHeight="1">
      <x:c r="A539" s="2" t="n">
        <x:v>45</x:v>
      </x:c>
      <x:c r="B539" s="2" t="str">
        <x:f>IF('Input_Meci'!A50="","",'Input_Meci'!A50)</x:f>
      </x:c>
      <x:c r="C539" s="2" t="str">
        <x:v>A</x:v>
      </x:c>
      <x:c r="D539" s="2" t="str">
        <x:v>CURRENT</x:v>
      </x:c>
      <x:c r="E539" s="2" t="str">
        <x:f>IF(B539="","",'Input_Meci'!B50)</x:f>
      </x:c>
      <x:c r="F539" s="2" t="str">
        <x:f>IF(B539="","",IF('Input_Meci'!C50="","",'Input_Meci'!C50))</x:f>
      </x:c>
      <x:c r="G539" s="2" t="str">
        <x:f>IF(B539="","",'Input_Meci'!E50)</x:f>
      </x:c>
      <x:c r="H539" s="2" t="str">
        <x:v>ANY</x:v>
      </x:c>
      <x:c r="I539" s="2" t="str">
        <x:v>RECENT</x:v>
      </x:c>
      <x:c r="J539" s="9" t="n">
        <x:f>IF(AND(B539&lt;&gt;"",ISNUMBER('Input_Meci'!G50)),INT('Input_Meci'!G50),0)</x:f>
        <x:v>0</x:v>
      </x:c>
      <x:c r="K539" s="2" t="n">
        <x:f>IF(OR(B539="",F539=""),0,IF(H539="HOME",COUNTIFS('Istoric_Nativ'!$B$6:$B$405,E539,'Istoric_Nativ'!$C$6:$C$405,F539,'Istoric_Nativ'!$E$6:$E$405,G539,'Istoric_Nativ'!$D$6:$D$405,"&lt;"&amp;J539,'Istoric_Nativ'!$P$6:$P$405,1),IF(H539="AWAY",COUNTIFS('Istoric_Nativ'!$B$6:$B$405,E539,'Istoric_Nativ'!$C$6:$C$405,F539,'Istoric_Nativ'!$F$6:$F$405,G539,'Istoric_Nativ'!$D$6:$D$405,"&lt;"&amp;J539,'Istoric_Nativ'!$P$6:$P$405,1),COUNTIFS('Istoric_Nativ'!$B$6:$B$405,E539,'Istoric_Nativ'!$C$6:$C$405,F539,'Istoric_Nativ'!$E$6:$E$405,G539,'Istoric_Nativ'!$D$6:$D$405,"&lt;"&amp;J539,'Istoric_Nativ'!$P$6:$P$405,1)+COUNTIFS('Istoric_Nativ'!$B$6:$B$405,E539,'Istoric_Nativ'!$C$6:$C$405,F539,'Istoric_Nativ'!$F$6:$F$405,G539,'Istoric_Nativ'!$D$6:$D$405,"&lt;"&amp;J539,'Istoric_Nativ'!$P$6:$P$405,1))))</x:f>
        <x:v>0</x:v>
      </x:c>
      <x:c r="L539" s="17" t="n">
        <x:f>IF(AND(B539&lt;&gt;"",I539="RECENT",K539&gt;0),LARGE(_xlfn._xlws.FILTER('Istoric_Nativ'!$D$6:$D$405,('Istoric_Nativ'!$B$6:$B$405=E539)*('Istoric_Nativ'!$C$6:$C$405=F539)*('Istoric_Nativ'!$P$6:$P$405=1)*('Istoric_Nativ'!$D$6:$D$405&lt;J539)*((('Istoric_Nativ'!$E$6:$E$405=G539)+('Istoric_Nativ'!$F$6:$F$405=G539))&gt;0)),MIN('Config_v6'!$B$54,K539)),0)</x:f>
        <x:v>0</x:v>
      </x:c>
      <x:c r="M539" s="2" t="n">
        <x:f>IF(OR(B539="",F539=""),0,IF(H539="HOME",COUNTIFS('Istoric_Nativ'!$B$6:$B$405,E539,'Istoric_Nativ'!$C$6:$C$405,F539,'Istoric_Nativ'!$E$6:$E$405,G539,'Istoric_Nativ'!$D$6:$D$405,"&lt;"&amp;J539,'Istoric_Nativ'!$P$6:$P$405,1,'Istoric_Nativ'!$D$6:$D$405,"&gt;="&amp;L539),IF(H539="AWAY",COUNTIFS('Istoric_Nativ'!$B$6:$B$405,E539,'Istoric_Nativ'!$C$6:$C$405,F539,'Istoric_Nativ'!$F$6:$F$405,G539,'Istoric_Nativ'!$D$6:$D$405,"&lt;"&amp;J539,'Istoric_Nativ'!$P$6:$P$405,1,'Istoric_Nativ'!$D$6:$D$405,"&gt;="&amp;L539),COUNTIFS('Istoric_Nativ'!$B$6:$B$405,E539,'Istoric_Nativ'!$C$6:$C$405,F539,'Istoric_Nativ'!$E$6:$E$405,G539,'Istoric_Nativ'!$D$6:$D$405,"&lt;"&amp;J539,'Istoric_Nativ'!$P$6:$P$405,1,'Istoric_Nativ'!$D$6:$D$405,"&gt;="&amp;L539)+COUNTIFS('Istoric_Nativ'!$B$6:$B$405,E539,'Istoric_Nativ'!$C$6:$C$405,F539,'Istoric_Nativ'!$F$6:$F$405,G539,'Istoric_Nativ'!$D$6:$D$405,"&lt;"&amp;J539,'Istoric_Nativ'!$P$6:$P$405,1,'Istoric_Nativ'!$D$6:$D$405,"&gt;="&amp;L539))))</x:f>
        <x:v>0</x:v>
      </x:c>
      <x:c r="N539" s="11" t="str">
        <x:f>IF(M539=0,"",IF(H539="HOME",SUMIFS('Istoric_Nativ'!$G$6:$G$405,'Istoric_Nativ'!$B$6:$B$405,E539,'Istoric_Nativ'!$C$6:$C$405,F539,'Istoric_Nativ'!$E$6:$E$405,G539,'Istoric_Nativ'!$D$6:$D$405,"&lt;"&amp;J539,'Istoric_Nativ'!$P$6:$P$405,1,'Istoric_Nativ'!$D$6:$D$405,"&gt;="&amp;L539),IF(H539="AWAY",SUMIFS('Istoric_Nativ'!$H$6:$H$405,'Istoric_Nativ'!$B$6:$B$405,E539,'Istoric_Nativ'!$C$6:$C$405,F539,'Istoric_Nativ'!$F$6:$F$405,G539,'Istoric_Nativ'!$D$6:$D$405,"&lt;"&amp;J539,'Istoric_Nativ'!$P$6:$P$405,1,'Istoric_Nativ'!$D$6:$D$405,"&gt;="&amp;L539),SUMIFS('Istoric_Nativ'!$G$6:$G$405,'Istoric_Nativ'!$B$6:$B$405,E539,'Istoric_Nativ'!$C$6:$C$405,F539,'Istoric_Nativ'!$E$6:$E$405,G539,'Istoric_Nativ'!$D$6:$D$405,"&lt;"&amp;J539,'Istoric_Nativ'!$P$6:$P$405,1,'Istoric_Nativ'!$D$6:$D$405,"&gt;="&amp;L539)+SUMIFS('Istoric_Nativ'!$H$6:$H$405,'Istoric_Nativ'!$B$6:$B$405,E539,'Istoric_Nativ'!$C$6:$C$405,F539,'Istoric_Nativ'!$F$6:$F$405,G539,'Istoric_Nativ'!$D$6:$D$405,"&lt;"&amp;J539,'Istoric_Nativ'!$P$6:$P$405,1,'Istoric_Nativ'!$D$6:$D$405,"&gt;="&amp;L539)))/M539)</x:f>
      </x:c>
      <x:c r="O539" s="11" t="str">
        <x:f>IF(M539=0,"",IF(H539="HOME",SUMIFS('Istoric_Nativ'!$H$6:$H$405,'Istoric_Nativ'!$B$6:$B$405,E539,'Istoric_Nativ'!$C$6:$C$405,F539,'Istoric_Nativ'!$E$6:$E$405,G539,'Istoric_Nativ'!$D$6:$D$405,"&lt;"&amp;J539,'Istoric_Nativ'!$P$6:$P$405,1,'Istoric_Nativ'!$D$6:$D$405,"&gt;="&amp;L539),IF(H539="AWAY",SUMIFS('Istoric_Nativ'!$G$6:$G$405,'Istoric_Nativ'!$B$6:$B$405,E539,'Istoric_Nativ'!$C$6:$C$405,F539,'Istoric_Nativ'!$F$6:$F$405,G539,'Istoric_Nativ'!$D$6:$D$405,"&lt;"&amp;J539,'Istoric_Nativ'!$P$6:$P$405,1,'Istoric_Nativ'!$D$6:$D$405,"&gt;="&amp;L539),SUMIFS('Istoric_Nativ'!$H$6:$H$405,'Istoric_Nativ'!$B$6:$B$405,E539,'Istoric_Nativ'!$C$6:$C$405,F539,'Istoric_Nativ'!$E$6:$E$405,G539,'Istoric_Nativ'!$D$6:$D$405,"&lt;"&amp;J539,'Istoric_Nativ'!$P$6:$P$405,1,'Istoric_Nativ'!$D$6:$D$405,"&gt;="&amp;L539)+SUMIFS('Istoric_Nativ'!$G$6:$G$405,'Istoric_Nativ'!$B$6:$B$405,E539,'Istoric_Nativ'!$C$6:$C$405,F539,'Istoric_Nativ'!$F$6:$F$405,G539,'Istoric_Nativ'!$D$6:$D$405,"&lt;"&amp;J539,'Istoric_Nativ'!$P$6:$P$405,1,'Istoric_Nativ'!$D$6:$D$405,"&gt;="&amp;L539)))/M539)</x:f>
      </x:c>
      <x:c r="P539" s="2" t="n">
        <x:f>'Config_v6'!$B$9</x:f>
        <x:v>3</x:v>
      </x:c>
      <x:c r="Q539" s="2" t="n">
        <x:f>IF(OR(B539="",F539=""),0,IFERROR(MATCH(E539&amp;"|"&amp;F539,SourceTable[Source_Key],0),0))</x:f>
        <x:v>0</x:v>
      </x:c>
      <x:c r="R539" s="2" t="str">
        <x:f>IF(B539="","",IF(F539="","UNUSED",IF(Q539=0,"NOT CHECKED",IF(COUNTIF(SourceTable[Source_Key],E539&amp;"|"&amp;F539)&lt;&gt;1,"SOURCE CONFLICT",IF(NOT(OR(INDEX(SourceTable[Status],MAX(1,Q539))="IMPORTED",INDEX(SourceTable[Status],MAX(1,Q539))="PARTIAL",INDEX(SourceTable[Status],MAX(1,Q539))="SOURCE CONFLICT")),"ACCESS BLOCKED",IF(OR(INDEX(SourceTable[Coverage],Q539)&lt;&gt;"FULL SEASON EXPORT",INDEX(SourceTable[URL],Q539)="",INDEX(SourceTable[SHA256],Q539)=""),"EVIDENCE INCOMPLETE",IF(AND('Input_Meci'!H50="LIVE",INDEX(SourceTable[Retrieved_UTC],Q539)&gt;'Input_Meci'!G50),"POST CUTOFF","CLOSED")))))))</x:f>
      </x:c>
      <x:c r="S539" s="2" t="n">
        <x:f>IF(OR(B539="",F539=""),0,COUNTIFS('Istoric_Nativ'!$B$6:$B$405,E539,'Istoric_Nativ'!$C$6:$C$405,F539,'Istoric_Nativ'!$E$6:$E$405,G539,'Istoric_Nativ'!$D$6:$D$405,"&lt;"&amp;J539,'Istoric_Nativ'!$O$6:$O$405,"INVALID")+COUNTIFS('Istoric_Nativ'!$B$6:$B$405,E539,'Istoric_Nativ'!$C$6:$C$405,F539,'Istoric_Nativ'!$E$6:$E$405,G539,'Istoric_Nativ'!$O$6:$O$405,"INVALID",'Istoric_Nativ'!$D$6:$D$405,"*")+COUNTIFS('Istoric_Nativ'!$B$6:$B$405,E539,'Istoric_Nativ'!$C$6:$C$405,F539,'Istoric_Nativ'!$E$6:$E$405,G539,'Istoric_Nativ'!$D$6:$D$405,"&lt;"&amp;J539,'Istoric_Nativ'!$O$6:$O$405,"SOURCE CONFLICT")+COUNTIFS('Istoric_Nativ'!$B$6:$B$405,E539,'Istoric_Nativ'!$C$6:$C$405,F539,'Istoric_Nativ'!$F$6:$F$405,G539,'Istoric_Nativ'!$D$6:$D$405,"&lt;"&amp;J539,'Istoric_Nativ'!$O$6:$O$405,"INVALID")+COUNTIFS('Istoric_Nativ'!$B$6:$B$405,E539,'Istoric_Nativ'!$C$6:$C$405,F539,'Istoric_Nativ'!$F$6:$F$405,G539,'Istoric_Nativ'!$O$6:$O$405,"INVALID",'Istoric_Nativ'!$D$6:$D$405,"*")+COUNTIFS('Istoric_Nativ'!$B$6:$B$405,E539,'Istoric_Nativ'!$C$6:$C$405,F539,'Istoric_Nativ'!$F$6:$F$405,G539,'Istoric_Nativ'!$D$6:$D$405,"&lt;"&amp;J539,'Istoric_Nativ'!$O$6:$O$405,"SOURCE CONFLICT"))</x:f>
        <x:v>0</x:v>
      </x:c>
      <x:c r="T539" s="2" t="str">
        <x:f>IF(B539="","",IF(R539&lt;&gt;"CLOSED",R539,IF(S539&gt;0,"NATIVE INPUT ISSUE",IF(M539=0,"NO HISTORY",IF(M539&lt;P539,"SMALL SAMPLE","DERIVED")))))</x:f>
      </x:c>
      <x:c r="U539" s="2" t="str">
        <x:f>IF(B539="","","NativeTable; "&amp;E539&amp;"; "&amp;F539&amp;"; "&amp;G539&amp;"; "&amp;H539&amp;"; before "&amp;TEXT(J539,"yyyy-mm-dd")&amp;IF(I539="RECENT","; from "&amp;TEXT(L539,"yyyy-mm-dd"),""))</x:f>
      </x:c>
    </x:row>
    <x:row r="540" ht="21" customHeight="1">
      <x:c r="A540" s="2" t="n">
        <x:v>45</x:v>
      </x:c>
      <x:c r="B540" s="2" t="str">
        <x:f>IF('Input_Meci'!A50="","",'Input_Meci'!A50)</x:f>
      </x:c>
      <x:c r="C540" s="2" t="str">
        <x:v>H</x:v>
      </x:c>
      <x:c r="D540" s="2" t="str">
        <x:v>PRIOR</x:v>
      </x:c>
      <x:c r="E540" s="2" t="str">
        <x:f>IF(B540="","",'Input_Meci'!B50)</x:f>
      </x:c>
      <x:c r="F540" s="2" t="str">
        <x:f>IF(B540="","",IF('Input_Meci'!K50="","",'Input_Meci'!K50))</x:f>
      </x:c>
      <x:c r="G540" s="2" t="str">
        <x:f>IF(B540="","",'Input_Meci'!D50)</x:f>
      </x:c>
      <x:c r="H540" s="2" t="str">
        <x:v>ANY</x:v>
      </x:c>
      <x:c r="I540" s="2" t="str">
        <x:v>SEASON</x:v>
      </x:c>
      <x:c r="J540" s="9" t="n">
        <x:f>IF(AND(B540&lt;&gt;"",ISNUMBER('Input_Meci'!G50)),INT('Input_Meci'!G50),0)</x:f>
        <x:v>0</x:v>
      </x:c>
      <x:c r="K540" s="2" t="n">
        <x:f>IF(OR(B540="",F540=""),0,IF(H540="HOME",COUNTIFS('Istoric_Nativ'!$B$6:$B$405,E540,'Istoric_Nativ'!$C$6:$C$405,F540,'Istoric_Nativ'!$E$6:$E$405,G540,'Istoric_Nativ'!$D$6:$D$405,"&lt;"&amp;J540,'Istoric_Nativ'!$P$6:$P$405,1),IF(H540="AWAY",COUNTIFS('Istoric_Nativ'!$B$6:$B$405,E540,'Istoric_Nativ'!$C$6:$C$405,F540,'Istoric_Nativ'!$F$6:$F$405,G540,'Istoric_Nativ'!$D$6:$D$405,"&lt;"&amp;J540,'Istoric_Nativ'!$P$6:$P$405,1),COUNTIFS('Istoric_Nativ'!$B$6:$B$405,E540,'Istoric_Nativ'!$C$6:$C$405,F540,'Istoric_Nativ'!$E$6:$E$405,G540,'Istoric_Nativ'!$D$6:$D$405,"&lt;"&amp;J540,'Istoric_Nativ'!$P$6:$P$405,1)+COUNTIFS('Istoric_Nativ'!$B$6:$B$405,E540,'Istoric_Nativ'!$C$6:$C$405,F540,'Istoric_Nativ'!$F$6:$F$405,G540,'Istoric_Nativ'!$D$6:$D$405,"&lt;"&amp;J540,'Istoric_Nativ'!$P$6:$P$405,1))))</x:f>
        <x:v>0</x:v>
      </x:c>
      <x:c r="L540" s="17" t="n">
        <x:f>IF(AND(B540&lt;&gt;"",I540="RECENT",K540&gt;0),LARGE(_xlfn._xlws.FILTER('Istoric_Nativ'!$D$6:$D$405,('Istoric_Nativ'!$B$6:$B$405=E540)*('Istoric_Nativ'!$C$6:$C$405=F540)*('Istoric_Nativ'!$P$6:$P$405=1)*('Istoric_Nativ'!$D$6:$D$405&lt;J540)*((('Istoric_Nativ'!$E$6:$E$405=G540)+('Istoric_Nativ'!$F$6:$F$405=G540))&gt;0)),MIN('Config_v6'!$B$54,K540)),0)</x:f>
        <x:v>0</x:v>
      </x:c>
      <x:c r="M540" s="2" t="n">
        <x:f>IF(OR(B540="",F540=""),0,IF(H540="HOME",COUNTIFS('Istoric_Nativ'!$B$6:$B$405,E540,'Istoric_Nativ'!$C$6:$C$405,F540,'Istoric_Nativ'!$E$6:$E$405,G540,'Istoric_Nativ'!$D$6:$D$405,"&lt;"&amp;J540,'Istoric_Nativ'!$P$6:$P$405,1,'Istoric_Nativ'!$D$6:$D$405,"&gt;="&amp;L540),IF(H540="AWAY",COUNTIFS('Istoric_Nativ'!$B$6:$B$405,E540,'Istoric_Nativ'!$C$6:$C$405,F540,'Istoric_Nativ'!$F$6:$F$405,G540,'Istoric_Nativ'!$D$6:$D$405,"&lt;"&amp;J540,'Istoric_Nativ'!$P$6:$P$405,1,'Istoric_Nativ'!$D$6:$D$405,"&gt;="&amp;L540),COUNTIFS('Istoric_Nativ'!$B$6:$B$405,E540,'Istoric_Nativ'!$C$6:$C$405,F540,'Istoric_Nativ'!$E$6:$E$405,G540,'Istoric_Nativ'!$D$6:$D$405,"&lt;"&amp;J540,'Istoric_Nativ'!$P$6:$P$405,1,'Istoric_Nativ'!$D$6:$D$405,"&gt;="&amp;L540)+COUNTIFS('Istoric_Nativ'!$B$6:$B$405,E540,'Istoric_Nativ'!$C$6:$C$405,F540,'Istoric_Nativ'!$F$6:$F$405,G540,'Istoric_Nativ'!$D$6:$D$405,"&lt;"&amp;J540,'Istoric_Nativ'!$P$6:$P$405,1,'Istoric_Nativ'!$D$6:$D$405,"&gt;="&amp;L540))))</x:f>
        <x:v>0</x:v>
      </x:c>
      <x:c r="N540" s="11" t="str">
        <x:f>IF(M540=0,"",IF(H540="HOME",SUMIFS('Istoric_Nativ'!$G$6:$G$405,'Istoric_Nativ'!$B$6:$B$405,E540,'Istoric_Nativ'!$C$6:$C$405,F540,'Istoric_Nativ'!$E$6:$E$405,G540,'Istoric_Nativ'!$D$6:$D$405,"&lt;"&amp;J540,'Istoric_Nativ'!$P$6:$P$405,1,'Istoric_Nativ'!$D$6:$D$405,"&gt;="&amp;L540),IF(H540="AWAY",SUMIFS('Istoric_Nativ'!$H$6:$H$405,'Istoric_Nativ'!$B$6:$B$405,E540,'Istoric_Nativ'!$C$6:$C$405,F540,'Istoric_Nativ'!$F$6:$F$405,G540,'Istoric_Nativ'!$D$6:$D$405,"&lt;"&amp;J540,'Istoric_Nativ'!$P$6:$P$405,1,'Istoric_Nativ'!$D$6:$D$405,"&gt;="&amp;L540),SUMIFS('Istoric_Nativ'!$G$6:$G$405,'Istoric_Nativ'!$B$6:$B$405,E540,'Istoric_Nativ'!$C$6:$C$405,F540,'Istoric_Nativ'!$E$6:$E$405,G540,'Istoric_Nativ'!$D$6:$D$405,"&lt;"&amp;J540,'Istoric_Nativ'!$P$6:$P$405,1,'Istoric_Nativ'!$D$6:$D$405,"&gt;="&amp;L540)+SUMIFS('Istoric_Nativ'!$H$6:$H$405,'Istoric_Nativ'!$B$6:$B$405,E540,'Istoric_Nativ'!$C$6:$C$405,F540,'Istoric_Nativ'!$F$6:$F$405,G540,'Istoric_Nativ'!$D$6:$D$405,"&lt;"&amp;J540,'Istoric_Nativ'!$P$6:$P$405,1,'Istoric_Nativ'!$D$6:$D$405,"&gt;="&amp;L540)))/M540)</x:f>
      </x:c>
      <x:c r="O540" s="11" t="str">
        <x:f>IF(M540=0,"",IF(H540="HOME",SUMIFS('Istoric_Nativ'!$H$6:$H$405,'Istoric_Nativ'!$B$6:$B$405,E540,'Istoric_Nativ'!$C$6:$C$405,F540,'Istoric_Nativ'!$E$6:$E$405,G540,'Istoric_Nativ'!$D$6:$D$405,"&lt;"&amp;J540,'Istoric_Nativ'!$P$6:$P$405,1,'Istoric_Nativ'!$D$6:$D$405,"&gt;="&amp;L540),IF(H540="AWAY",SUMIFS('Istoric_Nativ'!$G$6:$G$405,'Istoric_Nativ'!$B$6:$B$405,E540,'Istoric_Nativ'!$C$6:$C$405,F540,'Istoric_Nativ'!$F$6:$F$405,G540,'Istoric_Nativ'!$D$6:$D$405,"&lt;"&amp;J540,'Istoric_Nativ'!$P$6:$P$405,1,'Istoric_Nativ'!$D$6:$D$405,"&gt;="&amp;L540),SUMIFS('Istoric_Nativ'!$H$6:$H$405,'Istoric_Nativ'!$B$6:$B$405,E540,'Istoric_Nativ'!$C$6:$C$405,F540,'Istoric_Nativ'!$E$6:$E$405,G540,'Istoric_Nativ'!$D$6:$D$405,"&lt;"&amp;J540,'Istoric_Nativ'!$P$6:$P$405,1,'Istoric_Nativ'!$D$6:$D$405,"&gt;="&amp;L540)+SUMIFS('Istoric_Nativ'!$G$6:$G$405,'Istoric_Nativ'!$B$6:$B$405,E540,'Istoric_Nativ'!$C$6:$C$405,F540,'Istoric_Nativ'!$F$6:$F$405,G540,'Istoric_Nativ'!$D$6:$D$405,"&lt;"&amp;J540,'Istoric_Nativ'!$P$6:$P$405,1,'Istoric_Nativ'!$D$6:$D$405,"&gt;="&amp;L540)))/M540)</x:f>
      </x:c>
      <x:c r="P540" s="2" t="n">
        <x:f>'Config_v6'!$B$7</x:f>
        <x:v>10</x:v>
      </x:c>
      <x:c r="Q540" s="2" t="n">
        <x:f>IF(OR(B540="",F540=""),0,IFERROR(MATCH(E540&amp;"|"&amp;F540,SourceTable[Source_Key],0),0))</x:f>
        <x:v>0</x:v>
      </x:c>
      <x:c r="R540" s="2" t="str">
        <x:f>IF(B540="","",IF(F540="","UNUSED",IF(Q540=0,"NOT CHECKED",IF(COUNTIF(SourceTable[Source_Key],E540&amp;"|"&amp;F540)&lt;&gt;1,"SOURCE CONFLICT",IF(NOT(OR(INDEX(SourceTable[Status],MAX(1,Q540))="IMPORTED",INDEX(SourceTable[Status],MAX(1,Q540))="PARTIAL",INDEX(SourceTable[Status],MAX(1,Q540))="SOURCE CONFLICT")),"ACCESS BLOCKED",IF(OR(INDEX(SourceTable[Coverage],Q540)&lt;&gt;"FULL SEASON EXPORT",INDEX(SourceTable[URL],Q540)="",INDEX(SourceTable[SHA256],Q540)=""),"EVIDENCE INCOMPLETE",IF(AND('Input_Meci'!H50="LIVE",INDEX(SourceTable[Retrieved_UTC],Q540)&gt;'Input_Meci'!G50),"POST CUTOFF","CLOSED")))))))</x:f>
      </x:c>
      <x:c r="S540" s="2" t="n">
        <x:f>IF(OR(B540="",F540=""),0,COUNTIFS('Istoric_Nativ'!$B$6:$B$405,E540,'Istoric_Nativ'!$C$6:$C$405,F540,'Istoric_Nativ'!$E$6:$E$405,G540,'Istoric_Nativ'!$D$6:$D$405,"&lt;"&amp;J540,'Istoric_Nativ'!$O$6:$O$405,"INVALID")+COUNTIFS('Istoric_Nativ'!$B$6:$B$405,E540,'Istoric_Nativ'!$C$6:$C$405,F540,'Istoric_Nativ'!$E$6:$E$405,G540,'Istoric_Nativ'!$O$6:$O$405,"INVALID",'Istoric_Nativ'!$D$6:$D$405,"*")+COUNTIFS('Istoric_Nativ'!$B$6:$B$405,E540,'Istoric_Nativ'!$C$6:$C$405,F540,'Istoric_Nativ'!$E$6:$E$405,G540,'Istoric_Nativ'!$D$6:$D$405,"&lt;"&amp;J540,'Istoric_Nativ'!$O$6:$O$405,"SOURCE CONFLICT")+COUNTIFS('Istoric_Nativ'!$B$6:$B$405,E540,'Istoric_Nativ'!$C$6:$C$405,F540,'Istoric_Nativ'!$F$6:$F$405,G540,'Istoric_Nativ'!$D$6:$D$405,"&lt;"&amp;J540,'Istoric_Nativ'!$O$6:$O$405,"INVALID")+COUNTIFS('Istoric_Nativ'!$B$6:$B$405,E540,'Istoric_Nativ'!$C$6:$C$405,F540,'Istoric_Nativ'!$F$6:$F$405,G540,'Istoric_Nativ'!$O$6:$O$405,"INVALID",'Istoric_Nativ'!$D$6:$D$405,"*")+COUNTIFS('Istoric_Nativ'!$B$6:$B$405,E540,'Istoric_Nativ'!$C$6:$C$405,F540,'Istoric_Nativ'!$F$6:$F$405,G540,'Istoric_Nativ'!$D$6:$D$405,"&lt;"&amp;J540,'Istoric_Nativ'!$O$6:$O$405,"SOURCE CONFLICT"))</x:f>
        <x:v>0</x:v>
      </x:c>
      <x:c r="T540" s="2" t="str">
        <x:f>IF(B540="","",IF(R540&lt;&gt;"CLOSED",R540,IF(S540&gt;0,"NATIVE INPUT ISSUE",IF(M540=0,"NO HISTORY",IF(M540&lt;P540,"SMALL SAMPLE","DERIVED")))))</x:f>
      </x:c>
      <x:c r="U540" s="2" t="str">
        <x:f>IF(B540="","","NativeTable; "&amp;E540&amp;"; "&amp;F540&amp;"; "&amp;G540&amp;"; "&amp;H540&amp;"; before "&amp;TEXT(J540,"yyyy-mm-dd")&amp;IF(I540="RECENT","; from "&amp;TEXT(L540,"yyyy-mm-dd"),""))</x:f>
      </x:c>
    </x:row>
    <x:row r="541" ht="21" customHeight="1">
      <x:c r="A541" s="2" t="n">
        <x:v>45</x:v>
      </x:c>
      <x:c r="B541" s="2" t="str">
        <x:f>IF('Input_Meci'!A50="","",'Input_Meci'!A50)</x:f>
      </x:c>
      <x:c r="C541" s="2" t="str">
        <x:v>H</x:v>
      </x:c>
      <x:c r="D541" s="2" t="str">
        <x:v>PRIOR</x:v>
      </x:c>
      <x:c r="E541" s="2" t="str">
        <x:f>IF(B541="","",'Input_Meci'!B50)</x:f>
      </x:c>
      <x:c r="F541" s="2" t="str">
        <x:f>IF(B541="","",IF('Input_Meci'!K50="","",'Input_Meci'!K50))</x:f>
      </x:c>
      <x:c r="G541" s="2" t="str">
        <x:f>IF(B541="","",'Input_Meci'!D50)</x:f>
      </x:c>
      <x:c r="H541" s="2" t="str">
        <x:v>HOME</x:v>
      </x:c>
      <x:c r="I541" s="2" t="str">
        <x:v>HA</x:v>
      </x:c>
      <x:c r="J541" s="9" t="n">
        <x:f>IF(AND(B541&lt;&gt;"",ISNUMBER('Input_Meci'!G50)),INT('Input_Meci'!G50),0)</x:f>
        <x:v>0</x:v>
      </x:c>
      <x:c r="K541" s="2" t="n">
        <x:f>IF(OR(B541="",F541=""),0,IF(H541="HOME",COUNTIFS('Istoric_Nativ'!$B$6:$B$405,E541,'Istoric_Nativ'!$C$6:$C$405,F541,'Istoric_Nativ'!$E$6:$E$405,G541,'Istoric_Nativ'!$D$6:$D$405,"&lt;"&amp;J541,'Istoric_Nativ'!$P$6:$P$405,1),IF(H541="AWAY",COUNTIFS('Istoric_Nativ'!$B$6:$B$405,E541,'Istoric_Nativ'!$C$6:$C$405,F541,'Istoric_Nativ'!$F$6:$F$405,G541,'Istoric_Nativ'!$D$6:$D$405,"&lt;"&amp;J541,'Istoric_Nativ'!$P$6:$P$405,1),COUNTIFS('Istoric_Nativ'!$B$6:$B$405,E541,'Istoric_Nativ'!$C$6:$C$405,F541,'Istoric_Nativ'!$E$6:$E$405,G541,'Istoric_Nativ'!$D$6:$D$405,"&lt;"&amp;J541,'Istoric_Nativ'!$P$6:$P$405,1)+COUNTIFS('Istoric_Nativ'!$B$6:$B$405,E541,'Istoric_Nativ'!$C$6:$C$405,F541,'Istoric_Nativ'!$F$6:$F$405,G541,'Istoric_Nativ'!$D$6:$D$405,"&lt;"&amp;J541,'Istoric_Nativ'!$P$6:$P$405,1))))</x:f>
        <x:v>0</x:v>
      </x:c>
      <x:c r="L541" s="17" t="n">
        <x:f>IF(AND(B541&lt;&gt;"",I541="RECENT",K541&gt;0),LARGE(_xlfn._xlws.FILTER('Istoric_Nativ'!$D$6:$D$405,('Istoric_Nativ'!$B$6:$B$405=E541)*('Istoric_Nativ'!$C$6:$C$405=F541)*('Istoric_Nativ'!$P$6:$P$405=1)*('Istoric_Nativ'!$D$6:$D$405&lt;J541)*((('Istoric_Nativ'!$E$6:$E$405=G541)+('Istoric_Nativ'!$F$6:$F$405=G541))&gt;0)),MIN('Config_v6'!$B$54,K541)),0)</x:f>
        <x:v>0</x:v>
      </x:c>
      <x:c r="M541" s="2" t="n">
        <x:f>IF(OR(B541="",F541=""),0,IF(H541="HOME",COUNTIFS('Istoric_Nativ'!$B$6:$B$405,E541,'Istoric_Nativ'!$C$6:$C$405,F541,'Istoric_Nativ'!$E$6:$E$405,G541,'Istoric_Nativ'!$D$6:$D$405,"&lt;"&amp;J541,'Istoric_Nativ'!$P$6:$P$405,1,'Istoric_Nativ'!$D$6:$D$405,"&gt;="&amp;L541),IF(H541="AWAY",COUNTIFS('Istoric_Nativ'!$B$6:$B$405,E541,'Istoric_Nativ'!$C$6:$C$405,F541,'Istoric_Nativ'!$F$6:$F$405,G541,'Istoric_Nativ'!$D$6:$D$405,"&lt;"&amp;J541,'Istoric_Nativ'!$P$6:$P$405,1,'Istoric_Nativ'!$D$6:$D$405,"&gt;="&amp;L541),COUNTIFS('Istoric_Nativ'!$B$6:$B$405,E541,'Istoric_Nativ'!$C$6:$C$405,F541,'Istoric_Nativ'!$E$6:$E$405,G541,'Istoric_Nativ'!$D$6:$D$405,"&lt;"&amp;J541,'Istoric_Nativ'!$P$6:$P$405,1,'Istoric_Nativ'!$D$6:$D$405,"&gt;="&amp;L541)+COUNTIFS('Istoric_Nativ'!$B$6:$B$405,E541,'Istoric_Nativ'!$C$6:$C$405,F541,'Istoric_Nativ'!$F$6:$F$405,G541,'Istoric_Nativ'!$D$6:$D$405,"&lt;"&amp;J541,'Istoric_Nativ'!$P$6:$P$405,1,'Istoric_Nativ'!$D$6:$D$405,"&gt;="&amp;L541))))</x:f>
        <x:v>0</x:v>
      </x:c>
      <x:c r="N541" s="11" t="str">
        <x:f>IF(M541=0,"",IF(H541="HOME",SUMIFS('Istoric_Nativ'!$G$6:$G$405,'Istoric_Nativ'!$B$6:$B$405,E541,'Istoric_Nativ'!$C$6:$C$405,F541,'Istoric_Nativ'!$E$6:$E$405,G541,'Istoric_Nativ'!$D$6:$D$405,"&lt;"&amp;J541,'Istoric_Nativ'!$P$6:$P$405,1,'Istoric_Nativ'!$D$6:$D$405,"&gt;="&amp;L541),IF(H541="AWAY",SUMIFS('Istoric_Nativ'!$H$6:$H$405,'Istoric_Nativ'!$B$6:$B$405,E541,'Istoric_Nativ'!$C$6:$C$405,F541,'Istoric_Nativ'!$F$6:$F$405,G541,'Istoric_Nativ'!$D$6:$D$405,"&lt;"&amp;J541,'Istoric_Nativ'!$P$6:$P$405,1,'Istoric_Nativ'!$D$6:$D$405,"&gt;="&amp;L541),SUMIFS('Istoric_Nativ'!$G$6:$G$405,'Istoric_Nativ'!$B$6:$B$405,E541,'Istoric_Nativ'!$C$6:$C$405,F541,'Istoric_Nativ'!$E$6:$E$405,G541,'Istoric_Nativ'!$D$6:$D$405,"&lt;"&amp;J541,'Istoric_Nativ'!$P$6:$P$405,1,'Istoric_Nativ'!$D$6:$D$405,"&gt;="&amp;L541)+SUMIFS('Istoric_Nativ'!$H$6:$H$405,'Istoric_Nativ'!$B$6:$B$405,E541,'Istoric_Nativ'!$C$6:$C$405,F541,'Istoric_Nativ'!$F$6:$F$405,G541,'Istoric_Nativ'!$D$6:$D$405,"&lt;"&amp;J541,'Istoric_Nativ'!$P$6:$P$405,1,'Istoric_Nativ'!$D$6:$D$405,"&gt;="&amp;L541)))/M541)</x:f>
      </x:c>
      <x:c r="O541" s="11" t="str">
        <x:f>IF(M541=0,"",IF(H541="HOME",SUMIFS('Istoric_Nativ'!$H$6:$H$405,'Istoric_Nativ'!$B$6:$B$405,E541,'Istoric_Nativ'!$C$6:$C$405,F541,'Istoric_Nativ'!$E$6:$E$405,G541,'Istoric_Nativ'!$D$6:$D$405,"&lt;"&amp;J541,'Istoric_Nativ'!$P$6:$P$405,1,'Istoric_Nativ'!$D$6:$D$405,"&gt;="&amp;L541),IF(H541="AWAY",SUMIFS('Istoric_Nativ'!$G$6:$G$405,'Istoric_Nativ'!$B$6:$B$405,E541,'Istoric_Nativ'!$C$6:$C$405,F541,'Istoric_Nativ'!$F$6:$F$405,G541,'Istoric_Nativ'!$D$6:$D$405,"&lt;"&amp;J541,'Istoric_Nativ'!$P$6:$P$405,1,'Istoric_Nativ'!$D$6:$D$405,"&gt;="&amp;L541),SUMIFS('Istoric_Nativ'!$H$6:$H$405,'Istoric_Nativ'!$B$6:$B$405,E541,'Istoric_Nativ'!$C$6:$C$405,F541,'Istoric_Nativ'!$E$6:$E$405,G541,'Istoric_Nativ'!$D$6:$D$405,"&lt;"&amp;J541,'Istoric_Nativ'!$P$6:$P$405,1,'Istoric_Nativ'!$D$6:$D$405,"&gt;="&amp;L541)+SUMIFS('Istoric_Nativ'!$G$6:$G$405,'Istoric_Nativ'!$B$6:$B$405,E541,'Istoric_Nativ'!$C$6:$C$405,F541,'Istoric_Nativ'!$F$6:$F$405,G541,'Istoric_Nativ'!$D$6:$D$405,"&lt;"&amp;J541,'Istoric_Nativ'!$P$6:$P$405,1,'Istoric_Nativ'!$D$6:$D$405,"&gt;="&amp;L541)))/M541)</x:f>
      </x:c>
      <x:c r="P541" s="2" t="n">
        <x:f>'Config_v6'!$B$8</x:f>
        <x:v>5</x:v>
      </x:c>
      <x:c r="Q541" s="2" t="n">
        <x:f>IF(OR(B541="",F541=""),0,IFERROR(MATCH(E541&amp;"|"&amp;F541,SourceTable[Source_Key],0),0))</x:f>
        <x:v>0</x:v>
      </x:c>
      <x:c r="R541" s="2" t="str">
        <x:f>IF(B541="","",IF(F541="","UNUSED",IF(Q541=0,"NOT CHECKED",IF(COUNTIF(SourceTable[Source_Key],E541&amp;"|"&amp;F541)&lt;&gt;1,"SOURCE CONFLICT",IF(NOT(OR(INDEX(SourceTable[Status],MAX(1,Q541))="IMPORTED",INDEX(SourceTable[Status],MAX(1,Q541))="PARTIAL",INDEX(SourceTable[Status],MAX(1,Q541))="SOURCE CONFLICT")),"ACCESS BLOCKED",IF(OR(INDEX(SourceTable[Coverage],Q541)&lt;&gt;"FULL SEASON EXPORT",INDEX(SourceTable[URL],Q541)="",INDEX(SourceTable[SHA256],Q541)=""),"EVIDENCE INCOMPLETE",IF(AND('Input_Meci'!H50="LIVE",INDEX(SourceTable[Retrieved_UTC],Q541)&gt;'Input_Meci'!G50),"POST CUTOFF","CLOSED")))))))</x:f>
      </x:c>
      <x:c r="S541" s="2" t="n">
        <x:f>IF(OR(B541="",F541=""),0,COUNTIFS('Istoric_Nativ'!$B$6:$B$405,E541,'Istoric_Nativ'!$C$6:$C$405,F541,'Istoric_Nativ'!$E$6:$E$405,G541,'Istoric_Nativ'!$D$6:$D$405,"&lt;"&amp;J541,'Istoric_Nativ'!$O$6:$O$405,"INVALID")+COUNTIFS('Istoric_Nativ'!$B$6:$B$405,E541,'Istoric_Nativ'!$C$6:$C$405,F541,'Istoric_Nativ'!$E$6:$E$405,G541,'Istoric_Nativ'!$O$6:$O$405,"INVALID",'Istoric_Nativ'!$D$6:$D$405,"*")+COUNTIFS('Istoric_Nativ'!$B$6:$B$405,E541,'Istoric_Nativ'!$C$6:$C$405,F541,'Istoric_Nativ'!$E$6:$E$405,G541,'Istoric_Nativ'!$D$6:$D$405,"&lt;"&amp;J541,'Istoric_Nativ'!$O$6:$O$405,"SOURCE CONFLICT")+COUNTIFS('Istoric_Nativ'!$B$6:$B$405,E541,'Istoric_Nativ'!$C$6:$C$405,F541,'Istoric_Nativ'!$F$6:$F$405,G541,'Istoric_Nativ'!$D$6:$D$405,"&lt;"&amp;J541,'Istoric_Nativ'!$O$6:$O$405,"INVALID")+COUNTIFS('Istoric_Nativ'!$B$6:$B$405,E541,'Istoric_Nativ'!$C$6:$C$405,F541,'Istoric_Nativ'!$F$6:$F$405,G541,'Istoric_Nativ'!$O$6:$O$405,"INVALID",'Istoric_Nativ'!$D$6:$D$405,"*")+COUNTIFS('Istoric_Nativ'!$B$6:$B$405,E541,'Istoric_Nativ'!$C$6:$C$405,F541,'Istoric_Nativ'!$F$6:$F$405,G541,'Istoric_Nativ'!$D$6:$D$405,"&lt;"&amp;J541,'Istoric_Nativ'!$O$6:$O$405,"SOURCE CONFLICT"))</x:f>
        <x:v>0</x:v>
      </x:c>
      <x:c r="T541" s="2" t="str">
        <x:f>IF(B541="","",IF(R541&lt;&gt;"CLOSED",R541,IF(S541&gt;0,"NATIVE INPUT ISSUE",IF(M541=0,"NO HISTORY",IF(M541&lt;P541,"SMALL SAMPLE","DERIVED")))))</x:f>
      </x:c>
      <x:c r="U541" s="2" t="str">
        <x:f>IF(B541="","","NativeTable; "&amp;E541&amp;"; "&amp;F541&amp;"; "&amp;G541&amp;"; "&amp;H541&amp;"; before "&amp;TEXT(J541,"yyyy-mm-dd")&amp;IF(I541="RECENT","; from "&amp;TEXT(L541,"yyyy-mm-dd"),""))</x:f>
      </x:c>
    </x:row>
    <x:row r="542" ht="21" customHeight="1">
      <x:c r="A542" s="2" t="n">
        <x:v>45</x:v>
      </x:c>
      <x:c r="B542" s="2" t="str">
        <x:f>IF('Input_Meci'!A50="","",'Input_Meci'!A50)</x:f>
      </x:c>
      <x:c r="C542" s="2" t="str">
        <x:v>H</x:v>
      </x:c>
      <x:c r="D542" s="2" t="str">
        <x:v>PRIOR</x:v>
      </x:c>
      <x:c r="E542" s="2" t="str">
        <x:f>IF(B542="","",'Input_Meci'!B50)</x:f>
      </x:c>
      <x:c r="F542" s="2" t="str">
        <x:f>IF(B542="","",IF('Input_Meci'!K50="","",'Input_Meci'!K50))</x:f>
      </x:c>
      <x:c r="G542" s="2" t="str">
        <x:f>IF(B542="","",'Input_Meci'!D50)</x:f>
      </x:c>
      <x:c r="H542" s="2" t="str">
        <x:v>ANY</x:v>
      </x:c>
      <x:c r="I542" s="2" t="str">
        <x:v>RECENT</x:v>
      </x:c>
      <x:c r="J542" s="9" t="n">
        <x:f>IF(AND(B542&lt;&gt;"",ISNUMBER('Input_Meci'!G50)),INT('Input_Meci'!G50),0)</x:f>
        <x:v>0</x:v>
      </x:c>
      <x:c r="K542" s="2" t="n">
        <x:f>IF(OR(B542="",F542=""),0,IF(H542="HOME",COUNTIFS('Istoric_Nativ'!$B$6:$B$405,E542,'Istoric_Nativ'!$C$6:$C$405,F542,'Istoric_Nativ'!$E$6:$E$405,G542,'Istoric_Nativ'!$D$6:$D$405,"&lt;"&amp;J542,'Istoric_Nativ'!$P$6:$P$405,1),IF(H542="AWAY",COUNTIFS('Istoric_Nativ'!$B$6:$B$405,E542,'Istoric_Nativ'!$C$6:$C$405,F542,'Istoric_Nativ'!$F$6:$F$405,G542,'Istoric_Nativ'!$D$6:$D$405,"&lt;"&amp;J542,'Istoric_Nativ'!$P$6:$P$405,1),COUNTIFS('Istoric_Nativ'!$B$6:$B$405,E542,'Istoric_Nativ'!$C$6:$C$405,F542,'Istoric_Nativ'!$E$6:$E$405,G542,'Istoric_Nativ'!$D$6:$D$405,"&lt;"&amp;J542,'Istoric_Nativ'!$P$6:$P$405,1)+COUNTIFS('Istoric_Nativ'!$B$6:$B$405,E542,'Istoric_Nativ'!$C$6:$C$405,F542,'Istoric_Nativ'!$F$6:$F$405,G542,'Istoric_Nativ'!$D$6:$D$405,"&lt;"&amp;J542,'Istoric_Nativ'!$P$6:$P$405,1))))</x:f>
        <x:v>0</x:v>
      </x:c>
      <x:c r="L542" s="17" t="n">
        <x:f>IF(AND(B542&lt;&gt;"",I542="RECENT",K542&gt;0),LARGE(_xlfn._xlws.FILTER('Istoric_Nativ'!$D$6:$D$405,('Istoric_Nativ'!$B$6:$B$405=E542)*('Istoric_Nativ'!$C$6:$C$405=F542)*('Istoric_Nativ'!$P$6:$P$405=1)*('Istoric_Nativ'!$D$6:$D$405&lt;J542)*((('Istoric_Nativ'!$E$6:$E$405=G542)+('Istoric_Nativ'!$F$6:$F$405=G542))&gt;0)),MIN('Config_v6'!$B$54,K542)),0)</x:f>
        <x:v>0</x:v>
      </x:c>
      <x:c r="M542" s="2" t="n">
        <x:f>IF(OR(B542="",F542=""),0,IF(H542="HOME",COUNTIFS('Istoric_Nativ'!$B$6:$B$405,E542,'Istoric_Nativ'!$C$6:$C$405,F542,'Istoric_Nativ'!$E$6:$E$405,G542,'Istoric_Nativ'!$D$6:$D$405,"&lt;"&amp;J542,'Istoric_Nativ'!$P$6:$P$405,1,'Istoric_Nativ'!$D$6:$D$405,"&gt;="&amp;L542),IF(H542="AWAY",COUNTIFS('Istoric_Nativ'!$B$6:$B$405,E542,'Istoric_Nativ'!$C$6:$C$405,F542,'Istoric_Nativ'!$F$6:$F$405,G542,'Istoric_Nativ'!$D$6:$D$405,"&lt;"&amp;J542,'Istoric_Nativ'!$P$6:$P$405,1,'Istoric_Nativ'!$D$6:$D$405,"&gt;="&amp;L542),COUNTIFS('Istoric_Nativ'!$B$6:$B$405,E542,'Istoric_Nativ'!$C$6:$C$405,F542,'Istoric_Nativ'!$E$6:$E$405,G542,'Istoric_Nativ'!$D$6:$D$405,"&lt;"&amp;J542,'Istoric_Nativ'!$P$6:$P$405,1,'Istoric_Nativ'!$D$6:$D$405,"&gt;="&amp;L542)+COUNTIFS('Istoric_Nativ'!$B$6:$B$405,E542,'Istoric_Nativ'!$C$6:$C$405,F542,'Istoric_Nativ'!$F$6:$F$405,G542,'Istoric_Nativ'!$D$6:$D$405,"&lt;"&amp;J542,'Istoric_Nativ'!$P$6:$P$405,1,'Istoric_Nativ'!$D$6:$D$405,"&gt;="&amp;L542))))</x:f>
        <x:v>0</x:v>
      </x:c>
      <x:c r="N542" s="11" t="str">
        <x:f>IF(M542=0,"",IF(H542="HOME",SUMIFS('Istoric_Nativ'!$G$6:$G$405,'Istoric_Nativ'!$B$6:$B$405,E542,'Istoric_Nativ'!$C$6:$C$405,F542,'Istoric_Nativ'!$E$6:$E$405,G542,'Istoric_Nativ'!$D$6:$D$405,"&lt;"&amp;J542,'Istoric_Nativ'!$P$6:$P$405,1,'Istoric_Nativ'!$D$6:$D$405,"&gt;="&amp;L542),IF(H542="AWAY",SUMIFS('Istoric_Nativ'!$H$6:$H$405,'Istoric_Nativ'!$B$6:$B$405,E542,'Istoric_Nativ'!$C$6:$C$405,F542,'Istoric_Nativ'!$F$6:$F$405,G542,'Istoric_Nativ'!$D$6:$D$405,"&lt;"&amp;J542,'Istoric_Nativ'!$P$6:$P$405,1,'Istoric_Nativ'!$D$6:$D$405,"&gt;="&amp;L542),SUMIFS('Istoric_Nativ'!$G$6:$G$405,'Istoric_Nativ'!$B$6:$B$405,E542,'Istoric_Nativ'!$C$6:$C$405,F542,'Istoric_Nativ'!$E$6:$E$405,G542,'Istoric_Nativ'!$D$6:$D$405,"&lt;"&amp;J542,'Istoric_Nativ'!$P$6:$P$405,1,'Istoric_Nativ'!$D$6:$D$405,"&gt;="&amp;L542)+SUMIFS('Istoric_Nativ'!$H$6:$H$405,'Istoric_Nativ'!$B$6:$B$405,E542,'Istoric_Nativ'!$C$6:$C$405,F542,'Istoric_Nativ'!$F$6:$F$405,G542,'Istoric_Nativ'!$D$6:$D$405,"&lt;"&amp;J542,'Istoric_Nativ'!$P$6:$P$405,1,'Istoric_Nativ'!$D$6:$D$405,"&gt;="&amp;L542)))/M542)</x:f>
      </x:c>
      <x:c r="O542" s="11" t="str">
        <x:f>IF(M542=0,"",IF(H542="HOME",SUMIFS('Istoric_Nativ'!$H$6:$H$405,'Istoric_Nativ'!$B$6:$B$405,E542,'Istoric_Nativ'!$C$6:$C$405,F542,'Istoric_Nativ'!$E$6:$E$405,G542,'Istoric_Nativ'!$D$6:$D$405,"&lt;"&amp;J542,'Istoric_Nativ'!$P$6:$P$405,1,'Istoric_Nativ'!$D$6:$D$405,"&gt;="&amp;L542),IF(H542="AWAY",SUMIFS('Istoric_Nativ'!$G$6:$G$405,'Istoric_Nativ'!$B$6:$B$405,E542,'Istoric_Nativ'!$C$6:$C$405,F542,'Istoric_Nativ'!$F$6:$F$405,G542,'Istoric_Nativ'!$D$6:$D$405,"&lt;"&amp;J542,'Istoric_Nativ'!$P$6:$P$405,1,'Istoric_Nativ'!$D$6:$D$405,"&gt;="&amp;L542),SUMIFS('Istoric_Nativ'!$H$6:$H$405,'Istoric_Nativ'!$B$6:$B$405,E542,'Istoric_Nativ'!$C$6:$C$405,F542,'Istoric_Nativ'!$E$6:$E$405,G542,'Istoric_Nativ'!$D$6:$D$405,"&lt;"&amp;J542,'Istoric_Nativ'!$P$6:$P$405,1,'Istoric_Nativ'!$D$6:$D$405,"&gt;="&amp;L542)+SUMIFS('Istoric_Nativ'!$G$6:$G$405,'Istoric_Nativ'!$B$6:$B$405,E542,'Istoric_Nativ'!$C$6:$C$405,F542,'Istoric_Nativ'!$F$6:$F$405,G542,'Istoric_Nativ'!$D$6:$D$405,"&lt;"&amp;J542,'Istoric_Nativ'!$P$6:$P$405,1,'Istoric_Nativ'!$D$6:$D$405,"&gt;="&amp;L542)))/M542)</x:f>
      </x:c>
      <x:c r="P542" s="2" t="n">
        <x:f>'Config_v6'!$B$9</x:f>
        <x:v>3</x:v>
      </x:c>
      <x:c r="Q542" s="2" t="n">
        <x:f>IF(OR(B542="",F542=""),0,IFERROR(MATCH(E542&amp;"|"&amp;F542,SourceTable[Source_Key],0),0))</x:f>
        <x:v>0</x:v>
      </x:c>
      <x:c r="R542" s="2" t="str">
        <x:f>IF(B542="","",IF(F542="","UNUSED",IF(Q542=0,"NOT CHECKED",IF(COUNTIF(SourceTable[Source_Key],E542&amp;"|"&amp;F542)&lt;&gt;1,"SOURCE CONFLICT",IF(NOT(OR(INDEX(SourceTable[Status],MAX(1,Q542))="IMPORTED",INDEX(SourceTable[Status],MAX(1,Q542))="PARTIAL",INDEX(SourceTable[Status],MAX(1,Q542))="SOURCE CONFLICT")),"ACCESS BLOCKED",IF(OR(INDEX(SourceTable[Coverage],Q542)&lt;&gt;"FULL SEASON EXPORT",INDEX(SourceTable[URL],Q542)="",INDEX(SourceTable[SHA256],Q542)=""),"EVIDENCE INCOMPLETE",IF(AND('Input_Meci'!H50="LIVE",INDEX(SourceTable[Retrieved_UTC],Q542)&gt;'Input_Meci'!G50),"POST CUTOFF","CLOSED")))))))</x:f>
      </x:c>
      <x:c r="S542" s="2" t="n">
        <x:f>IF(OR(B542="",F542=""),0,COUNTIFS('Istoric_Nativ'!$B$6:$B$405,E542,'Istoric_Nativ'!$C$6:$C$405,F542,'Istoric_Nativ'!$E$6:$E$405,G542,'Istoric_Nativ'!$D$6:$D$405,"&lt;"&amp;J542,'Istoric_Nativ'!$O$6:$O$405,"INVALID")+COUNTIFS('Istoric_Nativ'!$B$6:$B$405,E542,'Istoric_Nativ'!$C$6:$C$405,F542,'Istoric_Nativ'!$E$6:$E$405,G542,'Istoric_Nativ'!$O$6:$O$405,"INVALID",'Istoric_Nativ'!$D$6:$D$405,"*")+COUNTIFS('Istoric_Nativ'!$B$6:$B$405,E542,'Istoric_Nativ'!$C$6:$C$405,F542,'Istoric_Nativ'!$E$6:$E$405,G542,'Istoric_Nativ'!$D$6:$D$405,"&lt;"&amp;J542,'Istoric_Nativ'!$O$6:$O$405,"SOURCE CONFLICT")+COUNTIFS('Istoric_Nativ'!$B$6:$B$405,E542,'Istoric_Nativ'!$C$6:$C$405,F542,'Istoric_Nativ'!$F$6:$F$405,G542,'Istoric_Nativ'!$D$6:$D$405,"&lt;"&amp;J542,'Istoric_Nativ'!$O$6:$O$405,"INVALID")+COUNTIFS('Istoric_Nativ'!$B$6:$B$405,E542,'Istoric_Nativ'!$C$6:$C$405,F542,'Istoric_Nativ'!$F$6:$F$405,G542,'Istoric_Nativ'!$O$6:$O$405,"INVALID",'Istoric_Nativ'!$D$6:$D$405,"*")+COUNTIFS('Istoric_Nativ'!$B$6:$B$405,E542,'Istoric_Nativ'!$C$6:$C$405,F542,'Istoric_Nativ'!$F$6:$F$405,G542,'Istoric_Nativ'!$D$6:$D$405,"&lt;"&amp;J542,'Istoric_Nativ'!$O$6:$O$405,"SOURCE CONFLICT"))</x:f>
        <x:v>0</x:v>
      </x:c>
      <x:c r="T542" s="2" t="str">
        <x:f>IF(B542="","",IF(R542&lt;&gt;"CLOSED",R542,IF(S542&gt;0,"NATIVE INPUT ISSUE",IF(M542=0,"NO HISTORY",IF(M542&lt;P542,"SMALL SAMPLE","DERIVED")))))</x:f>
      </x:c>
      <x:c r="U542" s="2" t="str">
        <x:f>IF(B542="","","NativeTable; "&amp;E542&amp;"; "&amp;F542&amp;"; "&amp;G542&amp;"; "&amp;H542&amp;"; before "&amp;TEXT(J542,"yyyy-mm-dd")&amp;IF(I542="RECENT","; from "&amp;TEXT(L542,"yyyy-mm-dd"),""))</x:f>
      </x:c>
    </x:row>
    <x:row r="543" ht="21" customHeight="1">
      <x:c r="A543" s="2" t="n">
        <x:v>45</x:v>
      </x:c>
      <x:c r="B543" s="2" t="str">
        <x:f>IF('Input_Meci'!A50="","",'Input_Meci'!A50)</x:f>
      </x:c>
      <x:c r="C543" s="2" t="str">
        <x:v>A</x:v>
      </x:c>
      <x:c r="D543" s="2" t="str">
        <x:v>PRIOR</x:v>
      </x:c>
      <x:c r="E543" s="2" t="str">
        <x:f>IF(B543="","",'Input_Meci'!B50)</x:f>
      </x:c>
      <x:c r="F543" s="2" t="str">
        <x:f>IF(B543="","",IF('Input_Meci'!K50="","",'Input_Meci'!K50))</x:f>
      </x:c>
      <x:c r="G543" s="2" t="str">
        <x:f>IF(B543="","",'Input_Meci'!E50)</x:f>
      </x:c>
      <x:c r="H543" s="2" t="str">
        <x:v>ANY</x:v>
      </x:c>
      <x:c r="I543" s="2" t="str">
        <x:v>SEASON</x:v>
      </x:c>
      <x:c r="J543" s="9" t="n">
        <x:f>IF(AND(B543&lt;&gt;"",ISNUMBER('Input_Meci'!G50)),INT('Input_Meci'!G50),0)</x:f>
        <x:v>0</x:v>
      </x:c>
      <x:c r="K543" s="2" t="n">
        <x:f>IF(OR(B543="",F543=""),0,IF(H543="HOME",COUNTIFS('Istoric_Nativ'!$B$6:$B$405,E543,'Istoric_Nativ'!$C$6:$C$405,F543,'Istoric_Nativ'!$E$6:$E$405,G543,'Istoric_Nativ'!$D$6:$D$405,"&lt;"&amp;J543,'Istoric_Nativ'!$P$6:$P$405,1),IF(H543="AWAY",COUNTIFS('Istoric_Nativ'!$B$6:$B$405,E543,'Istoric_Nativ'!$C$6:$C$405,F543,'Istoric_Nativ'!$F$6:$F$405,G543,'Istoric_Nativ'!$D$6:$D$405,"&lt;"&amp;J543,'Istoric_Nativ'!$P$6:$P$405,1),COUNTIFS('Istoric_Nativ'!$B$6:$B$405,E543,'Istoric_Nativ'!$C$6:$C$405,F543,'Istoric_Nativ'!$E$6:$E$405,G543,'Istoric_Nativ'!$D$6:$D$405,"&lt;"&amp;J543,'Istoric_Nativ'!$P$6:$P$405,1)+COUNTIFS('Istoric_Nativ'!$B$6:$B$405,E543,'Istoric_Nativ'!$C$6:$C$405,F543,'Istoric_Nativ'!$F$6:$F$405,G543,'Istoric_Nativ'!$D$6:$D$405,"&lt;"&amp;J543,'Istoric_Nativ'!$P$6:$P$405,1))))</x:f>
        <x:v>0</x:v>
      </x:c>
      <x:c r="L543" s="17" t="n">
        <x:f>IF(AND(B543&lt;&gt;"",I543="RECENT",K543&gt;0),LARGE(_xlfn._xlws.FILTER('Istoric_Nativ'!$D$6:$D$405,('Istoric_Nativ'!$B$6:$B$405=E543)*('Istoric_Nativ'!$C$6:$C$405=F543)*('Istoric_Nativ'!$P$6:$P$405=1)*('Istoric_Nativ'!$D$6:$D$405&lt;J543)*((('Istoric_Nativ'!$E$6:$E$405=G543)+('Istoric_Nativ'!$F$6:$F$405=G543))&gt;0)),MIN('Config_v6'!$B$54,K543)),0)</x:f>
        <x:v>0</x:v>
      </x:c>
      <x:c r="M543" s="2" t="n">
        <x:f>IF(OR(B543="",F543=""),0,IF(H543="HOME",COUNTIFS('Istoric_Nativ'!$B$6:$B$405,E543,'Istoric_Nativ'!$C$6:$C$405,F543,'Istoric_Nativ'!$E$6:$E$405,G543,'Istoric_Nativ'!$D$6:$D$405,"&lt;"&amp;J543,'Istoric_Nativ'!$P$6:$P$405,1,'Istoric_Nativ'!$D$6:$D$405,"&gt;="&amp;L543),IF(H543="AWAY",COUNTIFS('Istoric_Nativ'!$B$6:$B$405,E543,'Istoric_Nativ'!$C$6:$C$405,F543,'Istoric_Nativ'!$F$6:$F$405,G543,'Istoric_Nativ'!$D$6:$D$405,"&lt;"&amp;J543,'Istoric_Nativ'!$P$6:$P$405,1,'Istoric_Nativ'!$D$6:$D$405,"&gt;="&amp;L543),COUNTIFS('Istoric_Nativ'!$B$6:$B$405,E543,'Istoric_Nativ'!$C$6:$C$405,F543,'Istoric_Nativ'!$E$6:$E$405,G543,'Istoric_Nativ'!$D$6:$D$405,"&lt;"&amp;J543,'Istoric_Nativ'!$P$6:$P$405,1,'Istoric_Nativ'!$D$6:$D$405,"&gt;="&amp;L543)+COUNTIFS('Istoric_Nativ'!$B$6:$B$405,E543,'Istoric_Nativ'!$C$6:$C$405,F543,'Istoric_Nativ'!$F$6:$F$405,G543,'Istoric_Nativ'!$D$6:$D$405,"&lt;"&amp;J543,'Istoric_Nativ'!$P$6:$P$405,1,'Istoric_Nativ'!$D$6:$D$405,"&gt;="&amp;L543))))</x:f>
        <x:v>0</x:v>
      </x:c>
      <x:c r="N543" s="11" t="str">
        <x:f>IF(M543=0,"",IF(H543="HOME",SUMIFS('Istoric_Nativ'!$G$6:$G$405,'Istoric_Nativ'!$B$6:$B$405,E543,'Istoric_Nativ'!$C$6:$C$405,F543,'Istoric_Nativ'!$E$6:$E$405,G543,'Istoric_Nativ'!$D$6:$D$405,"&lt;"&amp;J543,'Istoric_Nativ'!$P$6:$P$405,1,'Istoric_Nativ'!$D$6:$D$405,"&gt;="&amp;L543),IF(H543="AWAY",SUMIFS('Istoric_Nativ'!$H$6:$H$405,'Istoric_Nativ'!$B$6:$B$405,E543,'Istoric_Nativ'!$C$6:$C$405,F543,'Istoric_Nativ'!$F$6:$F$405,G543,'Istoric_Nativ'!$D$6:$D$405,"&lt;"&amp;J543,'Istoric_Nativ'!$P$6:$P$405,1,'Istoric_Nativ'!$D$6:$D$405,"&gt;="&amp;L543),SUMIFS('Istoric_Nativ'!$G$6:$G$405,'Istoric_Nativ'!$B$6:$B$405,E543,'Istoric_Nativ'!$C$6:$C$405,F543,'Istoric_Nativ'!$E$6:$E$405,G543,'Istoric_Nativ'!$D$6:$D$405,"&lt;"&amp;J543,'Istoric_Nativ'!$P$6:$P$405,1,'Istoric_Nativ'!$D$6:$D$405,"&gt;="&amp;L543)+SUMIFS('Istoric_Nativ'!$H$6:$H$405,'Istoric_Nativ'!$B$6:$B$405,E543,'Istoric_Nativ'!$C$6:$C$405,F543,'Istoric_Nativ'!$F$6:$F$405,G543,'Istoric_Nativ'!$D$6:$D$405,"&lt;"&amp;J543,'Istoric_Nativ'!$P$6:$P$405,1,'Istoric_Nativ'!$D$6:$D$405,"&gt;="&amp;L543)))/M543)</x:f>
      </x:c>
      <x:c r="O543" s="11" t="str">
        <x:f>IF(M543=0,"",IF(H543="HOME",SUMIFS('Istoric_Nativ'!$H$6:$H$405,'Istoric_Nativ'!$B$6:$B$405,E543,'Istoric_Nativ'!$C$6:$C$405,F543,'Istoric_Nativ'!$E$6:$E$405,G543,'Istoric_Nativ'!$D$6:$D$405,"&lt;"&amp;J543,'Istoric_Nativ'!$P$6:$P$405,1,'Istoric_Nativ'!$D$6:$D$405,"&gt;="&amp;L543),IF(H543="AWAY",SUMIFS('Istoric_Nativ'!$G$6:$G$405,'Istoric_Nativ'!$B$6:$B$405,E543,'Istoric_Nativ'!$C$6:$C$405,F543,'Istoric_Nativ'!$F$6:$F$405,G543,'Istoric_Nativ'!$D$6:$D$405,"&lt;"&amp;J543,'Istoric_Nativ'!$P$6:$P$405,1,'Istoric_Nativ'!$D$6:$D$405,"&gt;="&amp;L543),SUMIFS('Istoric_Nativ'!$H$6:$H$405,'Istoric_Nativ'!$B$6:$B$405,E543,'Istoric_Nativ'!$C$6:$C$405,F543,'Istoric_Nativ'!$E$6:$E$405,G543,'Istoric_Nativ'!$D$6:$D$405,"&lt;"&amp;J543,'Istoric_Nativ'!$P$6:$P$405,1,'Istoric_Nativ'!$D$6:$D$405,"&gt;="&amp;L543)+SUMIFS('Istoric_Nativ'!$G$6:$G$405,'Istoric_Nativ'!$B$6:$B$405,E543,'Istoric_Nativ'!$C$6:$C$405,F543,'Istoric_Nativ'!$F$6:$F$405,G543,'Istoric_Nativ'!$D$6:$D$405,"&lt;"&amp;J543,'Istoric_Nativ'!$P$6:$P$405,1,'Istoric_Nativ'!$D$6:$D$405,"&gt;="&amp;L543)))/M543)</x:f>
      </x:c>
      <x:c r="P543" s="2" t="n">
        <x:f>'Config_v6'!$B$7</x:f>
        <x:v>10</x:v>
      </x:c>
      <x:c r="Q543" s="2" t="n">
        <x:f>IF(OR(B543="",F543=""),0,IFERROR(MATCH(E543&amp;"|"&amp;F543,SourceTable[Source_Key],0),0))</x:f>
        <x:v>0</x:v>
      </x:c>
      <x:c r="R543" s="2" t="str">
        <x:f>IF(B543="","",IF(F543="","UNUSED",IF(Q543=0,"NOT CHECKED",IF(COUNTIF(SourceTable[Source_Key],E543&amp;"|"&amp;F543)&lt;&gt;1,"SOURCE CONFLICT",IF(NOT(OR(INDEX(SourceTable[Status],MAX(1,Q543))="IMPORTED",INDEX(SourceTable[Status],MAX(1,Q543))="PARTIAL",INDEX(SourceTable[Status],MAX(1,Q543))="SOURCE CONFLICT")),"ACCESS BLOCKED",IF(OR(INDEX(SourceTable[Coverage],Q543)&lt;&gt;"FULL SEASON EXPORT",INDEX(SourceTable[URL],Q543)="",INDEX(SourceTable[SHA256],Q543)=""),"EVIDENCE INCOMPLETE",IF(AND('Input_Meci'!H50="LIVE",INDEX(SourceTable[Retrieved_UTC],Q543)&gt;'Input_Meci'!G50),"POST CUTOFF","CLOSED")))))))</x:f>
      </x:c>
      <x:c r="S543" s="2" t="n">
        <x:f>IF(OR(B543="",F543=""),0,COUNTIFS('Istoric_Nativ'!$B$6:$B$405,E543,'Istoric_Nativ'!$C$6:$C$405,F543,'Istoric_Nativ'!$E$6:$E$405,G543,'Istoric_Nativ'!$D$6:$D$405,"&lt;"&amp;J543,'Istoric_Nativ'!$O$6:$O$405,"INVALID")+COUNTIFS('Istoric_Nativ'!$B$6:$B$405,E543,'Istoric_Nativ'!$C$6:$C$405,F543,'Istoric_Nativ'!$E$6:$E$405,G543,'Istoric_Nativ'!$O$6:$O$405,"INVALID",'Istoric_Nativ'!$D$6:$D$405,"*")+COUNTIFS('Istoric_Nativ'!$B$6:$B$405,E543,'Istoric_Nativ'!$C$6:$C$405,F543,'Istoric_Nativ'!$E$6:$E$405,G543,'Istoric_Nativ'!$D$6:$D$405,"&lt;"&amp;J543,'Istoric_Nativ'!$O$6:$O$405,"SOURCE CONFLICT")+COUNTIFS('Istoric_Nativ'!$B$6:$B$405,E543,'Istoric_Nativ'!$C$6:$C$405,F543,'Istoric_Nativ'!$F$6:$F$405,G543,'Istoric_Nativ'!$D$6:$D$405,"&lt;"&amp;J543,'Istoric_Nativ'!$O$6:$O$405,"INVALID")+COUNTIFS('Istoric_Nativ'!$B$6:$B$405,E543,'Istoric_Nativ'!$C$6:$C$405,F543,'Istoric_Nativ'!$F$6:$F$405,G543,'Istoric_Nativ'!$O$6:$O$405,"INVALID",'Istoric_Nativ'!$D$6:$D$405,"*")+COUNTIFS('Istoric_Nativ'!$B$6:$B$405,E543,'Istoric_Nativ'!$C$6:$C$405,F543,'Istoric_Nativ'!$F$6:$F$405,G543,'Istoric_Nativ'!$D$6:$D$405,"&lt;"&amp;J543,'Istoric_Nativ'!$O$6:$O$405,"SOURCE CONFLICT"))</x:f>
        <x:v>0</x:v>
      </x:c>
      <x:c r="T543" s="2" t="str">
        <x:f>IF(B543="","",IF(R543&lt;&gt;"CLOSED",R543,IF(S543&gt;0,"NATIVE INPUT ISSUE",IF(M543=0,"NO HISTORY",IF(M543&lt;P543,"SMALL SAMPLE","DERIVED")))))</x:f>
      </x:c>
      <x:c r="U543" s="2" t="str">
        <x:f>IF(B543="","","NativeTable; "&amp;E543&amp;"; "&amp;F543&amp;"; "&amp;G543&amp;"; "&amp;H543&amp;"; before "&amp;TEXT(J543,"yyyy-mm-dd")&amp;IF(I543="RECENT","; from "&amp;TEXT(L543,"yyyy-mm-dd"),""))</x:f>
      </x:c>
    </x:row>
    <x:row r="544" ht="21" customHeight="1">
      <x:c r="A544" s="2" t="n">
        <x:v>45</x:v>
      </x:c>
      <x:c r="B544" s="2" t="str">
        <x:f>IF('Input_Meci'!A50="","",'Input_Meci'!A50)</x:f>
      </x:c>
      <x:c r="C544" s="2" t="str">
        <x:v>A</x:v>
      </x:c>
      <x:c r="D544" s="2" t="str">
        <x:v>PRIOR</x:v>
      </x:c>
      <x:c r="E544" s="2" t="str">
        <x:f>IF(B544="","",'Input_Meci'!B50)</x:f>
      </x:c>
      <x:c r="F544" s="2" t="str">
        <x:f>IF(B544="","",IF('Input_Meci'!K50="","",'Input_Meci'!K50))</x:f>
      </x:c>
      <x:c r="G544" s="2" t="str">
        <x:f>IF(B544="","",'Input_Meci'!E50)</x:f>
      </x:c>
      <x:c r="H544" s="2" t="str">
        <x:v>AWAY</x:v>
      </x:c>
      <x:c r="I544" s="2" t="str">
        <x:v>HA</x:v>
      </x:c>
      <x:c r="J544" s="9" t="n">
        <x:f>IF(AND(B544&lt;&gt;"",ISNUMBER('Input_Meci'!G50)),INT('Input_Meci'!G50),0)</x:f>
        <x:v>0</x:v>
      </x:c>
      <x:c r="K544" s="2" t="n">
        <x:f>IF(OR(B544="",F544=""),0,IF(H544="HOME",COUNTIFS('Istoric_Nativ'!$B$6:$B$405,E544,'Istoric_Nativ'!$C$6:$C$405,F544,'Istoric_Nativ'!$E$6:$E$405,G544,'Istoric_Nativ'!$D$6:$D$405,"&lt;"&amp;J544,'Istoric_Nativ'!$P$6:$P$405,1),IF(H544="AWAY",COUNTIFS('Istoric_Nativ'!$B$6:$B$405,E544,'Istoric_Nativ'!$C$6:$C$405,F544,'Istoric_Nativ'!$F$6:$F$405,G544,'Istoric_Nativ'!$D$6:$D$405,"&lt;"&amp;J544,'Istoric_Nativ'!$P$6:$P$405,1),COUNTIFS('Istoric_Nativ'!$B$6:$B$405,E544,'Istoric_Nativ'!$C$6:$C$405,F544,'Istoric_Nativ'!$E$6:$E$405,G544,'Istoric_Nativ'!$D$6:$D$405,"&lt;"&amp;J544,'Istoric_Nativ'!$P$6:$P$405,1)+COUNTIFS('Istoric_Nativ'!$B$6:$B$405,E544,'Istoric_Nativ'!$C$6:$C$405,F544,'Istoric_Nativ'!$F$6:$F$405,G544,'Istoric_Nativ'!$D$6:$D$405,"&lt;"&amp;J544,'Istoric_Nativ'!$P$6:$P$405,1))))</x:f>
        <x:v>0</x:v>
      </x:c>
      <x:c r="L544" s="17" t="n">
        <x:f>IF(AND(B544&lt;&gt;"",I544="RECENT",K544&gt;0),LARGE(_xlfn._xlws.FILTER('Istoric_Nativ'!$D$6:$D$405,('Istoric_Nativ'!$B$6:$B$405=E544)*('Istoric_Nativ'!$C$6:$C$405=F544)*('Istoric_Nativ'!$P$6:$P$405=1)*('Istoric_Nativ'!$D$6:$D$405&lt;J544)*((('Istoric_Nativ'!$E$6:$E$405=G544)+('Istoric_Nativ'!$F$6:$F$405=G544))&gt;0)),MIN('Config_v6'!$B$54,K544)),0)</x:f>
        <x:v>0</x:v>
      </x:c>
      <x:c r="M544" s="2" t="n">
        <x:f>IF(OR(B544="",F544=""),0,IF(H544="HOME",COUNTIFS('Istoric_Nativ'!$B$6:$B$405,E544,'Istoric_Nativ'!$C$6:$C$405,F544,'Istoric_Nativ'!$E$6:$E$405,G544,'Istoric_Nativ'!$D$6:$D$405,"&lt;"&amp;J544,'Istoric_Nativ'!$P$6:$P$405,1,'Istoric_Nativ'!$D$6:$D$405,"&gt;="&amp;L544),IF(H544="AWAY",COUNTIFS('Istoric_Nativ'!$B$6:$B$405,E544,'Istoric_Nativ'!$C$6:$C$405,F544,'Istoric_Nativ'!$F$6:$F$405,G544,'Istoric_Nativ'!$D$6:$D$405,"&lt;"&amp;J544,'Istoric_Nativ'!$P$6:$P$405,1,'Istoric_Nativ'!$D$6:$D$405,"&gt;="&amp;L544),COUNTIFS('Istoric_Nativ'!$B$6:$B$405,E544,'Istoric_Nativ'!$C$6:$C$405,F544,'Istoric_Nativ'!$E$6:$E$405,G544,'Istoric_Nativ'!$D$6:$D$405,"&lt;"&amp;J544,'Istoric_Nativ'!$P$6:$P$405,1,'Istoric_Nativ'!$D$6:$D$405,"&gt;="&amp;L544)+COUNTIFS('Istoric_Nativ'!$B$6:$B$405,E544,'Istoric_Nativ'!$C$6:$C$405,F544,'Istoric_Nativ'!$F$6:$F$405,G544,'Istoric_Nativ'!$D$6:$D$405,"&lt;"&amp;J544,'Istoric_Nativ'!$P$6:$P$405,1,'Istoric_Nativ'!$D$6:$D$405,"&gt;="&amp;L544))))</x:f>
        <x:v>0</x:v>
      </x:c>
      <x:c r="N544" s="11" t="str">
        <x:f>IF(M544=0,"",IF(H544="HOME",SUMIFS('Istoric_Nativ'!$G$6:$G$405,'Istoric_Nativ'!$B$6:$B$405,E544,'Istoric_Nativ'!$C$6:$C$405,F544,'Istoric_Nativ'!$E$6:$E$405,G544,'Istoric_Nativ'!$D$6:$D$405,"&lt;"&amp;J544,'Istoric_Nativ'!$P$6:$P$405,1,'Istoric_Nativ'!$D$6:$D$405,"&gt;="&amp;L544),IF(H544="AWAY",SUMIFS('Istoric_Nativ'!$H$6:$H$405,'Istoric_Nativ'!$B$6:$B$405,E544,'Istoric_Nativ'!$C$6:$C$405,F544,'Istoric_Nativ'!$F$6:$F$405,G544,'Istoric_Nativ'!$D$6:$D$405,"&lt;"&amp;J544,'Istoric_Nativ'!$P$6:$P$405,1,'Istoric_Nativ'!$D$6:$D$405,"&gt;="&amp;L544),SUMIFS('Istoric_Nativ'!$G$6:$G$405,'Istoric_Nativ'!$B$6:$B$405,E544,'Istoric_Nativ'!$C$6:$C$405,F544,'Istoric_Nativ'!$E$6:$E$405,G544,'Istoric_Nativ'!$D$6:$D$405,"&lt;"&amp;J544,'Istoric_Nativ'!$P$6:$P$405,1,'Istoric_Nativ'!$D$6:$D$405,"&gt;="&amp;L544)+SUMIFS('Istoric_Nativ'!$H$6:$H$405,'Istoric_Nativ'!$B$6:$B$405,E544,'Istoric_Nativ'!$C$6:$C$405,F544,'Istoric_Nativ'!$F$6:$F$405,G544,'Istoric_Nativ'!$D$6:$D$405,"&lt;"&amp;J544,'Istoric_Nativ'!$P$6:$P$405,1,'Istoric_Nativ'!$D$6:$D$405,"&gt;="&amp;L544)))/M544)</x:f>
      </x:c>
      <x:c r="O544" s="11" t="str">
        <x:f>IF(M544=0,"",IF(H544="HOME",SUMIFS('Istoric_Nativ'!$H$6:$H$405,'Istoric_Nativ'!$B$6:$B$405,E544,'Istoric_Nativ'!$C$6:$C$405,F544,'Istoric_Nativ'!$E$6:$E$405,G544,'Istoric_Nativ'!$D$6:$D$405,"&lt;"&amp;J544,'Istoric_Nativ'!$P$6:$P$405,1,'Istoric_Nativ'!$D$6:$D$405,"&gt;="&amp;L544),IF(H544="AWAY",SUMIFS('Istoric_Nativ'!$G$6:$G$405,'Istoric_Nativ'!$B$6:$B$405,E544,'Istoric_Nativ'!$C$6:$C$405,F544,'Istoric_Nativ'!$F$6:$F$405,G544,'Istoric_Nativ'!$D$6:$D$405,"&lt;"&amp;J544,'Istoric_Nativ'!$P$6:$P$405,1,'Istoric_Nativ'!$D$6:$D$405,"&gt;="&amp;L544),SUMIFS('Istoric_Nativ'!$H$6:$H$405,'Istoric_Nativ'!$B$6:$B$405,E544,'Istoric_Nativ'!$C$6:$C$405,F544,'Istoric_Nativ'!$E$6:$E$405,G544,'Istoric_Nativ'!$D$6:$D$405,"&lt;"&amp;J544,'Istoric_Nativ'!$P$6:$P$405,1,'Istoric_Nativ'!$D$6:$D$405,"&gt;="&amp;L544)+SUMIFS('Istoric_Nativ'!$G$6:$G$405,'Istoric_Nativ'!$B$6:$B$405,E544,'Istoric_Nativ'!$C$6:$C$405,F544,'Istoric_Nativ'!$F$6:$F$405,G544,'Istoric_Nativ'!$D$6:$D$405,"&lt;"&amp;J544,'Istoric_Nativ'!$P$6:$P$405,1,'Istoric_Nativ'!$D$6:$D$405,"&gt;="&amp;L544)))/M544)</x:f>
      </x:c>
      <x:c r="P544" s="2" t="n">
        <x:f>'Config_v6'!$B$8</x:f>
        <x:v>5</x:v>
      </x:c>
      <x:c r="Q544" s="2" t="n">
        <x:f>IF(OR(B544="",F544=""),0,IFERROR(MATCH(E544&amp;"|"&amp;F544,SourceTable[Source_Key],0),0))</x:f>
        <x:v>0</x:v>
      </x:c>
      <x:c r="R544" s="2" t="str">
        <x:f>IF(B544="","",IF(F544="","UNUSED",IF(Q544=0,"NOT CHECKED",IF(COUNTIF(SourceTable[Source_Key],E544&amp;"|"&amp;F544)&lt;&gt;1,"SOURCE CONFLICT",IF(NOT(OR(INDEX(SourceTable[Status],MAX(1,Q544))="IMPORTED",INDEX(SourceTable[Status],MAX(1,Q544))="PARTIAL",INDEX(SourceTable[Status],MAX(1,Q544))="SOURCE CONFLICT")),"ACCESS BLOCKED",IF(OR(INDEX(SourceTable[Coverage],Q544)&lt;&gt;"FULL SEASON EXPORT",INDEX(SourceTable[URL],Q544)="",INDEX(SourceTable[SHA256],Q544)=""),"EVIDENCE INCOMPLETE",IF(AND('Input_Meci'!H50="LIVE",INDEX(SourceTable[Retrieved_UTC],Q544)&gt;'Input_Meci'!G50),"POST CUTOFF","CLOSED")))))))</x:f>
      </x:c>
      <x:c r="S544" s="2" t="n">
        <x:f>IF(OR(B544="",F544=""),0,COUNTIFS('Istoric_Nativ'!$B$6:$B$405,E544,'Istoric_Nativ'!$C$6:$C$405,F544,'Istoric_Nativ'!$E$6:$E$405,G544,'Istoric_Nativ'!$D$6:$D$405,"&lt;"&amp;J544,'Istoric_Nativ'!$O$6:$O$405,"INVALID")+COUNTIFS('Istoric_Nativ'!$B$6:$B$405,E544,'Istoric_Nativ'!$C$6:$C$405,F544,'Istoric_Nativ'!$E$6:$E$405,G544,'Istoric_Nativ'!$O$6:$O$405,"INVALID",'Istoric_Nativ'!$D$6:$D$405,"*")+COUNTIFS('Istoric_Nativ'!$B$6:$B$405,E544,'Istoric_Nativ'!$C$6:$C$405,F544,'Istoric_Nativ'!$E$6:$E$405,G544,'Istoric_Nativ'!$D$6:$D$405,"&lt;"&amp;J544,'Istoric_Nativ'!$O$6:$O$405,"SOURCE CONFLICT")+COUNTIFS('Istoric_Nativ'!$B$6:$B$405,E544,'Istoric_Nativ'!$C$6:$C$405,F544,'Istoric_Nativ'!$F$6:$F$405,G544,'Istoric_Nativ'!$D$6:$D$405,"&lt;"&amp;J544,'Istoric_Nativ'!$O$6:$O$405,"INVALID")+COUNTIFS('Istoric_Nativ'!$B$6:$B$405,E544,'Istoric_Nativ'!$C$6:$C$405,F544,'Istoric_Nativ'!$F$6:$F$405,G544,'Istoric_Nativ'!$O$6:$O$405,"INVALID",'Istoric_Nativ'!$D$6:$D$405,"*")+COUNTIFS('Istoric_Nativ'!$B$6:$B$405,E544,'Istoric_Nativ'!$C$6:$C$405,F544,'Istoric_Nativ'!$F$6:$F$405,G544,'Istoric_Nativ'!$D$6:$D$405,"&lt;"&amp;J544,'Istoric_Nativ'!$O$6:$O$405,"SOURCE CONFLICT"))</x:f>
        <x:v>0</x:v>
      </x:c>
      <x:c r="T544" s="2" t="str">
        <x:f>IF(B544="","",IF(R544&lt;&gt;"CLOSED",R544,IF(S544&gt;0,"NATIVE INPUT ISSUE",IF(M544=0,"NO HISTORY",IF(M544&lt;P544,"SMALL SAMPLE","DERIVED")))))</x:f>
      </x:c>
      <x:c r="U544" s="2" t="str">
        <x:f>IF(B544="","","NativeTable; "&amp;E544&amp;"; "&amp;F544&amp;"; "&amp;G544&amp;"; "&amp;H544&amp;"; before "&amp;TEXT(J544,"yyyy-mm-dd")&amp;IF(I544="RECENT","; from "&amp;TEXT(L544,"yyyy-mm-dd"),""))</x:f>
      </x:c>
    </x:row>
    <x:row r="545" ht="21" customHeight="1">
      <x:c r="A545" s="2" t="n">
        <x:v>45</x:v>
      </x:c>
      <x:c r="B545" s="2" t="str">
        <x:f>IF('Input_Meci'!A50="","",'Input_Meci'!A50)</x:f>
      </x:c>
      <x:c r="C545" s="2" t="str">
        <x:v>A</x:v>
      </x:c>
      <x:c r="D545" s="2" t="str">
        <x:v>PRIOR</x:v>
      </x:c>
      <x:c r="E545" s="2" t="str">
        <x:f>IF(B545="","",'Input_Meci'!B50)</x:f>
      </x:c>
      <x:c r="F545" s="2" t="str">
        <x:f>IF(B545="","",IF('Input_Meci'!K50="","",'Input_Meci'!K50))</x:f>
      </x:c>
      <x:c r="G545" s="2" t="str">
        <x:f>IF(B545="","",'Input_Meci'!E50)</x:f>
      </x:c>
      <x:c r="H545" s="2" t="str">
        <x:v>ANY</x:v>
      </x:c>
      <x:c r="I545" s="2" t="str">
        <x:v>RECENT</x:v>
      </x:c>
      <x:c r="J545" s="9" t="n">
        <x:f>IF(AND(B545&lt;&gt;"",ISNUMBER('Input_Meci'!G50)),INT('Input_Meci'!G50),0)</x:f>
        <x:v>0</x:v>
      </x:c>
      <x:c r="K545" s="2" t="n">
        <x:f>IF(OR(B545="",F545=""),0,IF(H545="HOME",COUNTIFS('Istoric_Nativ'!$B$6:$B$405,E545,'Istoric_Nativ'!$C$6:$C$405,F545,'Istoric_Nativ'!$E$6:$E$405,G545,'Istoric_Nativ'!$D$6:$D$405,"&lt;"&amp;J545,'Istoric_Nativ'!$P$6:$P$405,1),IF(H545="AWAY",COUNTIFS('Istoric_Nativ'!$B$6:$B$405,E545,'Istoric_Nativ'!$C$6:$C$405,F545,'Istoric_Nativ'!$F$6:$F$405,G545,'Istoric_Nativ'!$D$6:$D$405,"&lt;"&amp;J545,'Istoric_Nativ'!$P$6:$P$405,1),COUNTIFS('Istoric_Nativ'!$B$6:$B$405,E545,'Istoric_Nativ'!$C$6:$C$405,F545,'Istoric_Nativ'!$E$6:$E$405,G545,'Istoric_Nativ'!$D$6:$D$405,"&lt;"&amp;J545,'Istoric_Nativ'!$P$6:$P$405,1)+COUNTIFS('Istoric_Nativ'!$B$6:$B$405,E545,'Istoric_Nativ'!$C$6:$C$405,F545,'Istoric_Nativ'!$F$6:$F$405,G545,'Istoric_Nativ'!$D$6:$D$405,"&lt;"&amp;J545,'Istoric_Nativ'!$P$6:$P$405,1))))</x:f>
        <x:v>0</x:v>
      </x:c>
      <x:c r="L545" s="17" t="n">
        <x:f>IF(AND(B545&lt;&gt;"",I545="RECENT",K545&gt;0),LARGE(_xlfn._xlws.FILTER('Istoric_Nativ'!$D$6:$D$405,('Istoric_Nativ'!$B$6:$B$405=E545)*('Istoric_Nativ'!$C$6:$C$405=F545)*('Istoric_Nativ'!$P$6:$P$405=1)*('Istoric_Nativ'!$D$6:$D$405&lt;J545)*((('Istoric_Nativ'!$E$6:$E$405=G545)+('Istoric_Nativ'!$F$6:$F$405=G545))&gt;0)),MIN('Config_v6'!$B$54,K545)),0)</x:f>
        <x:v>0</x:v>
      </x:c>
      <x:c r="M545" s="2" t="n">
        <x:f>IF(OR(B545="",F545=""),0,IF(H545="HOME",COUNTIFS('Istoric_Nativ'!$B$6:$B$405,E545,'Istoric_Nativ'!$C$6:$C$405,F545,'Istoric_Nativ'!$E$6:$E$405,G545,'Istoric_Nativ'!$D$6:$D$405,"&lt;"&amp;J545,'Istoric_Nativ'!$P$6:$P$405,1,'Istoric_Nativ'!$D$6:$D$405,"&gt;="&amp;L545),IF(H545="AWAY",COUNTIFS('Istoric_Nativ'!$B$6:$B$405,E545,'Istoric_Nativ'!$C$6:$C$405,F545,'Istoric_Nativ'!$F$6:$F$405,G545,'Istoric_Nativ'!$D$6:$D$405,"&lt;"&amp;J545,'Istoric_Nativ'!$P$6:$P$405,1,'Istoric_Nativ'!$D$6:$D$405,"&gt;="&amp;L545),COUNTIFS('Istoric_Nativ'!$B$6:$B$405,E545,'Istoric_Nativ'!$C$6:$C$405,F545,'Istoric_Nativ'!$E$6:$E$405,G545,'Istoric_Nativ'!$D$6:$D$405,"&lt;"&amp;J545,'Istoric_Nativ'!$P$6:$P$405,1,'Istoric_Nativ'!$D$6:$D$405,"&gt;="&amp;L545)+COUNTIFS('Istoric_Nativ'!$B$6:$B$405,E545,'Istoric_Nativ'!$C$6:$C$405,F545,'Istoric_Nativ'!$F$6:$F$405,G545,'Istoric_Nativ'!$D$6:$D$405,"&lt;"&amp;J545,'Istoric_Nativ'!$P$6:$P$405,1,'Istoric_Nativ'!$D$6:$D$405,"&gt;="&amp;L545))))</x:f>
        <x:v>0</x:v>
      </x:c>
      <x:c r="N545" s="11" t="str">
        <x:f>IF(M545=0,"",IF(H545="HOME",SUMIFS('Istoric_Nativ'!$G$6:$G$405,'Istoric_Nativ'!$B$6:$B$405,E545,'Istoric_Nativ'!$C$6:$C$405,F545,'Istoric_Nativ'!$E$6:$E$405,G545,'Istoric_Nativ'!$D$6:$D$405,"&lt;"&amp;J545,'Istoric_Nativ'!$P$6:$P$405,1,'Istoric_Nativ'!$D$6:$D$405,"&gt;="&amp;L545),IF(H545="AWAY",SUMIFS('Istoric_Nativ'!$H$6:$H$405,'Istoric_Nativ'!$B$6:$B$405,E545,'Istoric_Nativ'!$C$6:$C$405,F545,'Istoric_Nativ'!$F$6:$F$405,G545,'Istoric_Nativ'!$D$6:$D$405,"&lt;"&amp;J545,'Istoric_Nativ'!$P$6:$P$405,1,'Istoric_Nativ'!$D$6:$D$405,"&gt;="&amp;L545),SUMIFS('Istoric_Nativ'!$G$6:$G$405,'Istoric_Nativ'!$B$6:$B$405,E545,'Istoric_Nativ'!$C$6:$C$405,F545,'Istoric_Nativ'!$E$6:$E$405,G545,'Istoric_Nativ'!$D$6:$D$405,"&lt;"&amp;J545,'Istoric_Nativ'!$P$6:$P$405,1,'Istoric_Nativ'!$D$6:$D$405,"&gt;="&amp;L545)+SUMIFS('Istoric_Nativ'!$H$6:$H$405,'Istoric_Nativ'!$B$6:$B$405,E545,'Istoric_Nativ'!$C$6:$C$405,F545,'Istoric_Nativ'!$F$6:$F$405,G545,'Istoric_Nativ'!$D$6:$D$405,"&lt;"&amp;J545,'Istoric_Nativ'!$P$6:$P$405,1,'Istoric_Nativ'!$D$6:$D$405,"&gt;="&amp;L545)))/M545)</x:f>
      </x:c>
      <x:c r="O545" s="11" t="str">
        <x:f>IF(M545=0,"",IF(H545="HOME",SUMIFS('Istoric_Nativ'!$H$6:$H$405,'Istoric_Nativ'!$B$6:$B$405,E545,'Istoric_Nativ'!$C$6:$C$405,F545,'Istoric_Nativ'!$E$6:$E$405,G545,'Istoric_Nativ'!$D$6:$D$405,"&lt;"&amp;J545,'Istoric_Nativ'!$P$6:$P$405,1,'Istoric_Nativ'!$D$6:$D$405,"&gt;="&amp;L545),IF(H545="AWAY",SUMIFS('Istoric_Nativ'!$G$6:$G$405,'Istoric_Nativ'!$B$6:$B$405,E545,'Istoric_Nativ'!$C$6:$C$405,F545,'Istoric_Nativ'!$F$6:$F$405,G545,'Istoric_Nativ'!$D$6:$D$405,"&lt;"&amp;J545,'Istoric_Nativ'!$P$6:$P$405,1,'Istoric_Nativ'!$D$6:$D$405,"&gt;="&amp;L545),SUMIFS('Istoric_Nativ'!$H$6:$H$405,'Istoric_Nativ'!$B$6:$B$405,E545,'Istoric_Nativ'!$C$6:$C$405,F545,'Istoric_Nativ'!$E$6:$E$405,G545,'Istoric_Nativ'!$D$6:$D$405,"&lt;"&amp;J545,'Istoric_Nativ'!$P$6:$P$405,1,'Istoric_Nativ'!$D$6:$D$405,"&gt;="&amp;L545)+SUMIFS('Istoric_Nativ'!$G$6:$G$405,'Istoric_Nativ'!$B$6:$B$405,E545,'Istoric_Nativ'!$C$6:$C$405,F545,'Istoric_Nativ'!$F$6:$F$405,G545,'Istoric_Nativ'!$D$6:$D$405,"&lt;"&amp;J545,'Istoric_Nativ'!$P$6:$P$405,1,'Istoric_Nativ'!$D$6:$D$405,"&gt;="&amp;L545)))/M545)</x:f>
      </x:c>
      <x:c r="P545" s="2" t="n">
        <x:f>'Config_v6'!$B$9</x:f>
        <x:v>3</x:v>
      </x:c>
      <x:c r="Q545" s="2" t="n">
        <x:f>IF(OR(B545="",F545=""),0,IFERROR(MATCH(E545&amp;"|"&amp;F545,SourceTable[Source_Key],0),0))</x:f>
        <x:v>0</x:v>
      </x:c>
      <x:c r="R545" s="2" t="str">
        <x:f>IF(B545="","",IF(F545="","UNUSED",IF(Q545=0,"NOT CHECKED",IF(COUNTIF(SourceTable[Source_Key],E545&amp;"|"&amp;F545)&lt;&gt;1,"SOURCE CONFLICT",IF(NOT(OR(INDEX(SourceTable[Status],MAX(1,Q545))="IMPORTED",INDEX(SourceTable[Status],MAX(1,Q545))="PARTIAL",INDEX(SourceTable[Status],MAX(1,Q545))="SOURCE CONFLICT")),"ACCESS BLOCKED",IF(OR(INDEX(SourceTable[Coverage],Q545)&lt;&gt;"FULL SEASON EXPORT",INDEX(SourceTable[URL],Q545)="",INDEX(SourceTable[SHA256],Q545)=""),"EVIDENCE INCOMPLETE",IF(AND('Input_Meci'!H50="LIVE",INDEX(SourceTable[Retrieved_UTC],Q545)&gt;'Input_Meci'!G50),"POST CUTOFF","CLOSED")))))))</x:f>
      </x:c>
      <x:c r="S545" s="2" t="n">
        <x:f>IF(OR(B545="",F545=""),0,COUNTIFS('Istoric_Nativ'!$B$6:$B$405,E545,'Istoric_Nativ'!$C$6:$C$405,F545,'Istoric_Nativ'!$E$6:$E$405,G545,'Istoric_Nativ'!$D$6:$D$405,"&lt;"&amp;J545,'Istoric_Nativ'!$O$6:$O$405,"INVALID")+COUNTIFS('Istoric_Nativ'!$B$6:$B$405,E545,'Istoric_Nativ'!$C$6:$C$405,F545,'Istoric_Nativ'!$E$6:$E$405,G545,'Istoric_Nativ'!$O$6:$O$405,"INVALID",'Istoric_Nativ'!$D$6:$D$405,"*")+COUNTIFS('Istoric_Nativ'!$B$6:$B$405,E545,'Istoric_Nativ'!$C$6:$C$405,F545,'Istoric_Nativ'!$E$6:$E$405,G545,'Istoric_Nativ'!$D$6:$D$405,"&lt;"&amp;J545,'Istoric_Nativ'!$O$6:$O$405,"SOURCE CONFLICT")+COUNTIFS('Istoric_Nativ'!$B$6:$B$405,E545,'Istoric_Nativ'!$C$6:$C$405,F545,'Istoric_Nativ'!$F$6:$F$405,G545,'Istoric_Nativ'!$D$6:$D$405,"&lt;"&amp;J545,'Istoric_Nativ'!$O$6:$O$405,"INVALID")+COUNTIFS('Istoric_Nativ'!$B$6:$B$405,E545,'Istoric_Nativ'!$C$6:$C$405,F545,'Istoric_Nativ'!$F$6:$F$405,G545,'Istoric_Nativ'!$O$6:$O$405,"INVALID",'Istoric_Nativ'!$D$6:$D$405,"*")+COUNTIFS('Istoric_Nativ'!$B$6:$B$405,E545,'Istoric_Nativ'!$C$6:$C$405,F545,'Istoric_Nativ'!$F$6:$F$405,G545,'Istoric_Nativ'!$D$6:$D$405,"&lt;"&amp;J545,'Istoric_Nativ'!$O$6:$O$405,"SOURCE CONFLICT"))</x:f>
        <x:v>0</x:v>
      </x:c>
      <x:c r="T545" s="2" t="str">
        <x:f>IF(B545="","",IF(R545&lt;&gt;"CLOSED",R545,IF(S545&gt;0,"NATIVE INPUT ISSUE",IF(M545=0,"NO HISTORY",IF(M545&lt;P545,"SMALL SAMPLE","DERIVED")))))</x:f>
      </x:c>
      <x:c r="U545" s="2" t="str">
        <x:f>IF(B545="","","NativeTable; "&amp;E545&amp;"; "&amp;F545&amp;"; "&amp;G545&amp;"; "&amp;H545&amp;"; before "&amp;TEXT(J545,"yyyy-mm-dd")&amp;IF(I545="RECENT","; from "&amp;TEXT(L545,"yyyy-mm-dd"),""))</x:f>
      </x:c>
    </x:row>
    <x:row r="546" ht="21" customHeight="1">
      <x:c r="A546" s="2" t="n">
        <x:v>46</x:v>
      </x:c>
      <x:c r="B546" s="2" t="str">
        <x:f>IF('Input_Meci'!A51="","",'Input_Meci'!A51)</x:f>
      </x:c>
      <x:c r="C546" s="2" t="str">
        <x:v>H</x:v>
      </x:c>
      <x:c r="D546" s="2" t="str">
        <x:v>CURRENT</x:v>
      </x:c>
      <x:c r="E546" s="2" t="str">
        <x:f>IF(B546="","",'Input_Meci'!B51)</x:f>
      </x:c>
      <x:c r="F546" s="2" t="str">
        <x:f>IF(B546="","",IF('Input_Meci'!C51="","",'Input_Meci'!C51))</x:f>
      </x:c>
      <x:c r="G546" s="2" t="str">
        <x:f>IF(B546="","",'Input_Meci'!D51)</x:f>
      </x:c>
      <x:c r="H546" s="2" t="str">
        <x:v>ANY</x:v>
      </x:c>
      <x:c r="I546" s="2" t="str">
        <x:v>SEASON</x:v>
      </x:c>
      <x:c r="J546" s="9" t="n">
        <x:f>IF(AND(B546&lt;&gt;"",ISNUMBER('Input_Meci'!G51)),INT('Input_Meci'!G51),0)</x:f>
        <x:v>0</x:v>
      </x:c>
      <x:c r="K546" s="2" t="n">
        <x:f>IF(OR(B546="",F546=""),0,IF(H546="HOME",COUNTIFS('Istoric_Nativ'!$B$6:$B$405,E546,'Istoric_Nativ'!$C$6:$C$405,F546,'Istoric_Nativ'!$E$6:$E$405,G546,'Istoric_Nativ'!$D$6:$D$405,"&lt;"&amp;J546,'Istoric_Nativ'!$P$6:$P$405,1),IF(H546="AWAY",COUNTIFS('Istoric_Nativ'!$B$6:$B$405,E546,'Istoric_Nativ'!$C$6:$C$405,F546,'Istoric_Nativ'!$F$6:$F$405,G546,'Istoric_Nativ'!$D$6:$D$405,"&lt;"&amp;J546,'Istoric_Nativ'!$P$6:$P$405,1),COUNTIFS('Istoric_Nativ'!$B$6:$B$405,E546,'Istoric_Nativ'!$C$6:$C$405,F546,'Istoric_Nativ'!$E$6:$E$405,G546,'Istoric_Nativ'!$D$6:$D$405,"&lt;"&amp;J546,'Istoric_Nativ'!$P$6:$P$405,1)+COUNTIFS('Istoric_Nativ'!$B$6:$B$405,E546,'Istoric_Nativ'!$C$6:$C$405,F546,'Istoric_Nativ'!$F$6:$F$405,G546,'Istoric_Nativ'!$D$6:$D$405,"&lt;"&amp;J546,'Istoric_Nativ'!$P$6:$P$405,1))))</x:f>
        <x:v>0</x:v>
      </x:c>
      <x:c r="L546" s="17" t="n">
        <x:f>IF(AND(B546&lt;&gt;"",I546="RECENT",K546&gt;0),LARGE(_xlfn._xlws.FILTER('Istoric_Nativ'!$D$6:$D$405,('Istoric_Nativ'!$B$6:$B$405=E546)*('Istoric_Nativ'!$C$6:$C$405=F546)*('Istoric_Nativ'!$P$6:$P$405=1)*('Istoric_Nativ'!$D$6:$D$405&lt;J546)*((('Istoric_Nativ'!$E$6:$E$405=G546)+('Istoric_Nativ'!$F$6:$F$405=G546))&gt;0)),MIN('Config_v6'!$B$54,K546)),0)</x:f>
        <x:v>0</x:v>
      </x:c>
      <x:c r="M546" s="2" t="n">
        <x:f>IF(OR(B546="",F546=""),0,IF(H546="HOME",COUNTIFS('Istoric_Nativ'!$B$6:$B$405,E546,'Istoric_Nativ'!$C$6:$C$405,F546,'Istoric_Nativ'!$E$6:$E$405,G546,'Istoric_Nativ'!$D$6:$D$405,"&lt;"&amp;J546,'Istoric_Nativ'!$P$6:$P$405,1,'Istoric_Nativ'!$D$6:$D$405,"&gt;="&amp;L546),IF(H546="AWAY",COUNTIFS('Istoric_Nativ'!$B$6:$B$405,E546,'Istoric_Nativ'!$C$6:$C$405,F546,'Istoric_Nativ'!$F$6:$F$405,G546,'Istoric_Nativ'!$D$6:$D$405,"&lt;"&amp;J546,'Istoric_Nativ'!$P$6:$P$405,1,'Istoric_Nativ'!$D$6:$D$405,"&gt;="&amp;L546),COUNTIFS('Istoric_Nativ'!$B$6:$B$405,E546,'Istoric_Nativ'!$C$6:$C$405,F546,'Istoric_Nativ'!$E$6:$E$405,G546,'Istoric_Nativ'!$D$6:$D$405,"&lt;"&amp;J546,'Istoric_Nativ'!$P$6:$P$405,1,'Istoric_Nativ'!$D$6:$D$405,"&gt;="&amp;L546)+COUNTIFS('Istoric_Nativ'!$B$6:$B$405,E546,'Istoric_Nativ'!$C$6:$C$405,F546,'Istoric_Nativ'!$F$6:$F$405,G546,'Istoric_Nativ'!$D$6:$D$405,"&lt;"&amp;J546,'Istoric_Nativ'!$P$6:$P$405,1,'Istoric_Nativ'!$D$6:$D$405,"&gt;="&amp;L546))))</x:f>
        <x:v>0</x:v>
      </x:c>
      <x:c r="N546" s="11" t="str">
        <x:f>IF(M546=0,"",IF(H546="HOME",SUMIFS('Istoric_Nativ'!$G$6:$G$405,'Istoric_Nativ'!$B$6:$B$405,E546,'Istoric_Nativ'!$C$6:$C$405,F546,'Istoric_Nativ'!$E$6:$E$405,G546,'Istoric_Nativ'!$D$6:$D$405,"&lt;"&amp;J546,'Istoric_Nativ'!$P$6:$P$405,1,'Istoric_Nativ'!$D$6:$D$405,"&gt;="&amp;L546),IF(H546="AWAY",SUMIFS('Istoric_Nativ'!$H$6:$H$405,'Istoric_Nativ'!$B$6:$B$405,E546,'Istoric_Nativ'!$C$6:$C$405,F546,'Istoric_Nativ'!$F$6:$F$405,G546,'Istoric_Nativ'!$D$6:$D$405,"&lt;"&amp;J546,'Istoric_Nativ'!$P$6:$P$405,1,'Istoric_Nativ'!$D$6:$D$405,"&gt;="&amp;L546),SUMIFS('Istoric_Nativ'!$G$6:$G$405,'Istoric_Nativ'!$B$6:$B$405,E546,'Istoric_Nativ'!$C$6:$C$405,F546,'Istoric_Nativ'!$E$6:$E$405,G546,'Istoric_Nativ'!$D$6:$D$405,"&lt;"&amp;J546,'Istoric_Nativ'!$P$6:$P$405,1,'Istoric_Nativ'!$D$6:$D$405,"&gt;="&amp;L546)+SUMIFS('Istoric_Nativ'!$H$6:$H$405,'Istoric_Nativ'!$B$6:$B$405,E546,'Istoric_Nativ'!$C$6:$C$405,F546,'Istoric_Nativ'!$F$6:$F$405,G546,'Istoric_Nativ'!$D$6:$D$405,"&lt;"&amp;J546,'Istoric_Nativ'!$P$6:$P$405,1,'Istoric_Nativ'!$D$6:$D$405,"&gt;="&amp;L546)))/M546)</x:f>
      </x:c>
      <x:c r="O546" s="11" t="str">
        <x:f>IF(M546=0,"",IF(H546="HOME",SUMIFS('Istoric_Nativ'!$H$6:$H$405,'Istoric_Nativ'!$B$6:$B$405,E546,'Istoric_Nativ'!$C$6:$C$405,F546,'Istoric_Nativ'!$E$6:$E$405,G546,'Istoric_Nativ'!$D$6:$D$405,"&lt;"&amp;J546,'Istoric_Nativ'!$P$6:$P$405,1,'Istoric_Nativ'!$D$6:$D$405,"&gt;="&amp;L546),IF(H546="AWAY",SUMIFS('Istoric_Nativ'!$G$6:$G$405,'Istoric_Nativ'!$B$6:$B$405,E546,'Istoric_Nativ'!$C$6:$C$405,F546,'Istoric_Nativ'!$F$6:$F$405,G546,'Istoric_Nativ'!$D$6:$D$405,"&lt;"&amp;J546,'Istoric_Nativ'!$P$6:$P$405,1,'Istoric_Nativ'!$D$6:$D$405,"&gt;="&amp;L546),SUMIFS('Istoric_Nativ'!$H$6:$H$405,'Istoric_Nativ'!$B$6:$B$405,E546,'Istoric_Nativ'!$C$6:$C$405,F546,'Istoric_Nativ'!$E$6:$E$405,G546,'Istoric_Nativ'!$D$6:$D$405,"&lt;"&amp;J546,'Istoric_Nativ'!$P$6:$P$405,1,'Istoric_Nativ'!$D$6:$D$405,"&gt;="&amp;L546)+SUMIFS('Istoric_Nativ'!$G$6:$G$405,'Istoric_Nativ'!$B$6:$B$405,E546,'Istoric_Nativ'!$C$6:$C$405,F546,'Istoric_Nativ'!$F$6:$F$405,G546,'Istoric_Nativ'!$D$6:$D$405,"&lt;"&amp;J546,'Istoric_Nativ'!$P$6:$P$405,1,'Istoric_Nativ'!$D$6:$D$405,"&gt;="&amp;L546)))/M546)</x:f>
      </x:c>
      <x:c r="P546" s="2" t="n">
        <x:f>'Config_v6'!$B$7</x:f>
        <x:v>10</x:v>
      </x:c>
      <x:c r="Q546" s="2" t="n">
        <x:f>IF(OR(B546="",F546=""),0,IFERROR(MATCH(E546&amp;"|"&amp;F546,SourceTable[Source_Key],0),0))</x:f>
        <x:v>0</x:v>
      </x:c>
      <x:c r="R546" s="2" t="str">
        <x:f>IF(B546="","",IF(F546="","UNUSED",IF(Q546=0,"NOT CHECKED",IF(COUNTIF(SourceTable[Source_Key],E546&amp;"|"&amp;F546)&lt;&gt;1,"SOURCE CONFLICT",IF(NOT(OR(INDEX(SourceTable[Status],MAX(1,Q546))="IMPORTED",INDEX(SourceTable[Status],MAX(1,Q546))="PARTIAL",INDEX(SourceTable[Status],MAX(1,Q546))="SOURCE CONFLICT")),"ACCESS BLOCKED",IF(OR(INDEX(SourceTable[Coverage],Q546)&lt;&gt;"FULL SEASON EXPORT",INDEX(SourceTable[URL],Q546)="",INDEX(SourceTable[SHA256],Q546)=""),"EVIDENCE INCOMPLETE",IF(AND('Input_Meci'!H51="LIVE",INDEX(SourceTable[Retrieved_UTC],Q546)&gt;'Input_Meci'!G51),"POST CUTOFF","CLOSED")))))))</x:f>
      </x:c>
      <x:c r="S546" s="2" t="n">
        <x:f>IF(OR(B546="",F546=""),0,COUNTIFS('Istoric_Nativ'!$B$6:$B$405,E546,'Istoric_Nativ'!$C$6:$C$405,F546,'Istoric_Nativ'!$E$6:$E$405,G546,'Istoric_Nativ'!$D$6:$D$405,"&lt;"&amp;J546,'Istoric_Nativ'!$O$6:$O$405,"INVALID")+COUNTIFS('Istoric_Nativ'!$B$6:$B$405,E546,'Istoric_Nativ'!$C$6:$C$405,F546,'Istoric_Nativ'!$E$6:$E$405,G546,'Istoric_Nativ'!$O$6:$O$405,"INVALID",'Istoric_Nativ'!$D$6:$D$405,"*")+COUNTIFS('Istoric_Nativ'!$B$6:$B$405,E546,'Istoric_Nativ'!$C$6:$C$405,F546,'Istoric_Nativ'!$E$6:$E$405,G546,'Istoric_Nativ'!$D$6:$D$405,"&lt;"&amp;J546,'Istoric_Nativ'!$O$6:$O$405,"SOURCE CONFLICT")+COUNTIFS('Istoric_Nativ'!$B$6:$B$405,E546,'Istoric_Nativ'!$C$6:$C$405,F546,'Istoric_Nativ'!$F$6:$F$405,G546,'Istoric_Nativ'!$D$6:$D$405,"&lt;"&amp;J546,'Istoric_Nativ'!$O$6:$O$405,"INVALID")+COUNTIFS('Istoric_Nativ'!$B$6:$B$405,E546,'Istoric_Nativ'!$C$6:$C$405,F546,'Istoric_Nativ'!$F$6:$F$405,G546,'Istoric_Nativ'!$O$6:$O$405,"INVALID",'Istoric_Nativ'!$D$6:$D$405,"*")+COUNTIFS('Istoric_Nativ'!$B$6:$B$405,E546,'Istoric_Nativ'!$C$6:$C$405,F546,'Istoric_Nativ'!$F$6:$F$405,G546,'Istoric_Nativ'!$D$6:$D$405,"&lt;"&amp;J546,'Istoric_Nativ'!$O$6:$O$405,"SOURCE CONFLICT"))</x:f>
        <x:v>0</x:v>
      </x:c>
      <x:c r="T546" s="2" t="str">
        <x:f>IF(B546="","",IF(R546&lt;&gt;"CLOSED",R546,IF(S546&gt;0,"NATIVE INPUT ISSUE",IF(M546=0,"NO HISTORY",IF(M546&lt;P546,"SMALL SAMPLE","DERIVED")))))</x:f>
      </x:c>
      <x:c r="U546" s="2" t="str">
        <x:f>IF(B546="","","NativeTable; "&amp;E546&amp;"; "&amp;F546&amp;"; "&amp;G546&amp;"; "&amp;H546&amp;"; before "&amp;TEXT(J546,"yyyy-mm-dd")&amp;IF(I546="RECENT","; from "&amp;TEXT(L546,"yyyy-mm-dd"),""))</x:f>
      </x:c>
    </x:row>
    <x:row r="547" ht="21" customHeight="1">
      <x:c r="A547" s="2" t="n">
        <x:v>46</x:v>
      </x:c>
      <x:c r="B547" s="2" t="str">
        <x:f>IF('Input_Meci'!A51="","",'Input_Meci'!A51)</x:f>
      </x:c>
      <x:c r="C547" s="2" t="str">
        <x:v>H</x:v>
      </x:c>
      <x:c r="D547" s="2" t="str">
        <x:v>CURRENT</x:v>
      </x:c>
      <x:c r="E547" s="2" t="str">
        <x:f>IF(B547="","",'Input_Meci'!B51)</x:f>
      </x:c>
      <x:c r="F547" s="2" t="str">
        <x:f>IF(B547="","",IF('Input_Meci'!C51="","",'Input_Meci'!C51))</x:f>
      </x:c>
      <x:c r="G547" s="2" t="str">
        <x:f>IF(B547="","",'Input_Meci'!D51)</x:f>
      </x:c>
      <x:c r="H547" s="2" t="str">
        <x:v>HOME</x:v>
      </x:c>
      <x:c r="I547" s="2" t="str">
        <x:v>HA</x:v>
      </x:c>
      <x:c r="J547" s="9" t="n">
        <x:f>IF(AND(B547&lt;&gt;"",ISNUMBER('Input_Meci'!G51)),INT('Input_Meci'!G51),0)</x:f>
        <x:v>0</x:v>
      </x:c>
      <x:c r="K547" s="2" t="n">
        <x:f>IF(OR(B547="",F547=""),0,IF(H547="HOME",COUNTIFS('Istoric_Nativ'!$B$6:$B$405,E547,'Istoric_Nativ'!$C$6:$C$405,F547,'Istoric_Nativ'!$E$6:$E$405,G547,'Istoric_Nativ'!$D$6:$D$405,"&lt;"&amp;J547,'Istoric_Nativ'!$P$6:$P$405,1),IF(H547="AWAY",COUNTIFS('Istoric_Nativ'!$B$6:$B$405,E547,'Istoric_Nativ'!$C$6:$C$405,F547,'Istoric_Nativ'!$F$6:$F$405,G547,'Istoric_Nativ'!$D$6:$D$405,"&lt;"&amp;J547,'Istoric_Nativ'!$P$6:$P$405,1),COUNTIFS('Istoric_Nativ'!$B$6:$B$405,E547,'Istoric_Nativ'!$C$6:$C$405,F547,'Istoric_Nativ'!$E$6:$E$405,G547,'Istoric_Nativ'!$D$6:$D$405,"&lt;"&amp;J547,'Istoric_Nativ'!$P$6:$P$405,1)+COUNTIFS('Istoric_Nativ'!$B$6:$B$405,E547,'Istoric_Nativ'!$C$6:$C$405,F547,'Istoric_Nativ'!$F$6:$F$405,G547,'Istoric_Nativ'!$D$6:$D$405,"&lt;"&amp;J547,'Istoric_Nativ'!$P$6:$P$405,1))))</x:f>
        <x:v>0</x:v>
      </x:c>
      <x:c r="L547" s="17" t="n">
        <x:f>IF(AND(B547&lt;&gt;"",I547="RECENT",K547&gt;0),LARGE(_xlfn._xlws.FILTER('Istoric_Nativ'!$D$6:$D$405,('Istoric_Nativ'!$B$6:$B$405=E547)*('Istoric_Nativ'!$C$6:$C$405=F547)*('Istoric_Nativ'!$P$6:$P$405=1)*('Istoric_Nativ'!$D$6:$D$405&lt;J547)*((('Istoric_Nativ'!$E$6:$E$405=G547)+('Istoric_Nativ'!$F$6:$F$405=G547))&gt;0)),MIN('Config_v6'!$B$54,K547)),0)</x:f>
        <x:v>0</x:v>
      </x:c>
      <x:c r="M547" s="2" t="n">
        <x:f>IF(OR(B547="",F547=""),0,IF(H547="HOME",COUNTIFS('Istoric_Nativ'!$B$6:$B$405,E547,'Istoric_Nativ'!$C$6:$C$405,F547,'Istoric_Nativ'!$E$6:$E$405,G547,'Istoric_Nativ'!$D$6:$D$405,"&lt;"&amp;J547,'Istoric_Nativ'!$P$6:$P$405,1,'Istoric_Nativ'!$D$6:$D$405,"&gt;="&amp;L547),IF(H547="AWAY",COUNTIFS('Istoric_Nativ'!$B$6:$B$405,E547,'Istoric_Nativ'!$C$6:$C$405,F547,'Istoric_Nativ'!$F$6:$F$405,G547,'Istoric_Nativ'!$D$6:$D$405,"&lt;"&amp;J547,'Istoric_Nativ'!$P$6:$P$405,1,'Istoric_Nativ'!$D$6:$D$405,"&gt;="&amp;L547),COUNTIFS('Istoric_Nativ'!$B$6:$B$405,E547,'Istoric_Nativ'!$C$6:$C$405,F547,'Istoric_Nativ'!$E$6:$E$405,G547,'Istoric_Nativ'!$D$6:$D$405,"&lt;"&amp;J547,'Istoric_Nativ'!$P$6:$P$405,1,'Istoric_Nativ'!$D$6:$D$405,"&gt;="&amp;L547)+COUNTIFS('Istoric_Nativ'!$B$6:$B$405,E547,'Istoric_Nativ'!$C$6:$C$405,F547,'Istoric_Nativ'!$F$6:$F$405,G547,'Istoric_Nativ'!$D$6:$D$405,"&lt;"&amp;J547,'Istoric_Nativ'!$P$6:$P$405,1,'Istoric_Nativ'!$D$6:$D$405,"&gt;="&amp;L547))))</x:f>
        <x:v>0</x:v>
      </x:c>
      <x:c r="N547" s="11" t="str">
        <x:f>IF(M547=0,"",IF(H547="HOME",SUMIFS('Istoric_Nativ'!$G$6:$G$405,'Istoric_Nativ'!$B$6:$B$405,E547,'Istoric_Nativ'!$C$6:$C$405,F547,'Istoric_Nativ'!$E$6:$E$405,G547,'Istoric_Nativ'!$D$6:$D$405,"&lt;"&amp;J547,'Istoric_Nativ'!$P$6:$P$405,1,'Istoric_Nativ'!$D$6:$D$405,"&gt;="&amp;L547),IF(H547="AWAY",SUMIFS('Istoric_Nativ'!$H$6:$H$405,'Istoric_Nativ'!$B$6:$B$405,E547,'Istoric_Nativ'!$C$6:$C$405,F547,'Istoric_Nativ'!$F$6:$F$405,G547,'Istoric_Nativ'!$D$6:$D$405,"&lt;"&amp;J547,'Istoric_Nativ'!$P$6:$P$405,1,'Istoric_Nativ'!$D$6:$D$405,"&gt;="&amp;L547),SUMIFS('Istoric_Nativ'!$G$6:$G$405,'Istoric_Nativ'!$B$6:$B$405,E547,'Istoric_Nativ'!$C$6:$C$405,F547,'Istoric_Nativ'!$E$6:$E$405,G547,'Istoric_Nativ'!$D$6:$D$405,"&lt;"&amp;J547,'Istoric_Nativ'!$P$6:$P$405,1,'Istoric_Nativ'!$D$6:$D$405,"&gt;="&amp;L547)+SUMIFS('Istoric_Nativ'!$H$6:$H$405,'Istoric_Nativ'!$B$6:$B$405,E547,'Istoric_Nativ'!$C$6:$C$405,F547,'Istoric_Nativ'!$F$6:$F$405,G547,'Istoric_Nativ'!$D$6:$D$405,"&lt;"&amp;J547,'Istoric_Nativ'!$P$6:$P$405,1,'Istoric_Nativ'!$D$6:$D$405,"&gt;="&amp;L547)))/M547)</x:f>
      </x:c>
      <x:c r="O547" s="11" t="str">
        <x:f>IF(M547=0,"",IF(H547="HOME",SUMIFS('Istoric_Nativ'!$H$6:$H$405,'Istoric_Nativ'!$B$6:$B$405,E547,'Istoric_Nativ'!$C$6:$C$405,F547,'Istoric_Nativ'!$E$6:$E$405,G547,'Istoric_Nativ'!$D$6:$D$405,"&lt;"&amp;J547,'Istoric_Nativ'!$P$6:$P$405,1,'Istoric_Nativ'!$D$6:$D$405,"&gt;="&amp;L547),IF(H547="AWAY",SUMIFS('Istoric_Nativ'!$G$6:$G$405,'Istoric_Nativ'!$B$6:$B$405,E547,'Istoric_Nativ'!$C$6:$C$405,F547,'Istoric_Nativ'!$F$6:$F$405,G547,'Istoric_Nativ'!$D$6:$D$405,"&lt;"&amp;J547,'Istoric_Nativ'!$P$6:$P$405,1,'Istoric_Nativ'!$D$6:$D$405,"&gt;="&amp;L547),SUMIFS('Istoric_Nativ'!$H$6:$H$405,'Istoric_Nativ'!$B$6:$B$405,E547,'Istoric_Nativ'!$C$6:$C$405,F547,'Istoric_Nativ'!$E$6:$E$405,G547,'Istoric_Nativ'!$D$6:$D$405,"&lt;"&amp;J547,'Istoric_Nativ'!$P$6:$P$405,1,'Istoric_Nativ'!$D$6:$D$405,"&gt;="&amp;L547)+SUMIFS('Istoric_Nativ'!$G$6:$G$405,'Istoric_Nativ'!$B$6:$B$405,E547,'Istoric_Nativ'!$C$6:$C$405,F547,'Istoric_Nativ'!$F$6:$F$405,G547,'Istoric_Nativ'!$D$6:$D$405,"&lt;"&amp;J547,'Istoric_Nativ'!$P$6:$P$405,1,'Istoric_Nativ'!$D$6:$D$405,"&gt;="&amp;L547)))/M547)</x:f>
      </x:c>
      <x:c r="P547" s="2" t="n">
        <x:f>'Config_v6'!$B$8</x:f>
        <x:v>5</x:v>
      </x:c>
      <x:c r="Q547" s="2" t="n">
        <x:f>IF(OR(B547="",F547=""),0,IFERROR(MATCH(E547&amp;"|"&amp;F547,SourceTable[Source_Key],0),0))</x:f>
        <x:v>0</x:v>
      </x:c>
      <x:c r="R547" s="2" t="str">
        <x:f>IF(B547="","",IF(F547="","UNUSED",IF(Q547=0,"NOT CHECKED",IF(COUNTIF(SourceTable[Source_Key],E547&amp;"|"&amp;F547)&lt;&gt;1,"SOURCE CONFLICT",IF(NOT(OR(INDEX(SourceTable[Status],MAX(1,Q547))="IMPORTED",INDEX(SourceTable[Status],MAX(1,Q547))="PARTIAL",INDEX(SourceTable[Status],MAX(1,Q547))="SOURCE CONFLICT")),"ACCESS BLOCKED",IF(OR(INDEX(SourceTable[Coverage],Q547)&lt;&gt;"FULL SEASON EXPORT",INDEX(SourceTable[URL],Q547)="",INDEX(SourceTable[SHA256],Q547)=""),"EVIDENCE INCOMPLETE",IF(AND('Input_Meci'!H51="LIVE",INDEX(SourceTable[Retrieved_UTC],Q547)&gt;'Input_Meci'!G51),"POST CUTOFF","CLOSED")))))))</x:f>
      </x:c>
      <x:c r="S547" s="2" t="n">
        <x:f>IF(OR(B547="",F547=""),0,COUNTIFS('Istoric_Nativ'!$B$6:$B$405,E547,'Istoric_Nativ'!$C$6:$C$405,F547,'Istoric_Nativ'!$E$6:$E$405,G547,'Istoric_Nativ'!$D$6:$D$405,"&lt;"&amp;J547,'Istoric_Nativ'!$O$6:$O$405,"INVALID")+COUNTIFS('Istoric_Nativ'!$B$6:$B$405,E547,'Istoric_Nativ'!$C$6:$C$405,F547,'Istoric_Nativ'!$E$6:$E$405,G547,'Istoric_Nativ'!$O$6:$O$405,"INVALID",'Istoric_Nativ'!$D$6:$D$405,"*")+COUNTIFS('Istoric_Nativ'!$B$6:$B$405,E547,'Istoric_Nativ'!$C$6:$C$405,F547,'Istoric_Nativ'!$E$6:$E$405,G547,'Istoric_Nativ'!$D$6:$D$405,"&lt;"&amp;J547,'Istoric_Nativ'!$O$6:$O$405,"SOURCE CONFLICT")+COUNTIFS('Istoric_Nativ'!$B$6:$B$405,E547,'Istoric_Nativ'!$C$6:$C$405,F547,'Istoric_Nativ'!$F$6:$F$405,G547,'Istoric_Nativ'!$D$6:$D$405,"&lt;"&amp;J547,'Istoric_Nativ'!$O$6:$O$405,"INVALID")+COUNTIFS('Istoric_Nativ'!$B$6:$B$405,E547,'Istoric_Nativ'!$C$6:$C$405,F547,'Istoric_Nativ'!$F$6:$F$405,G547,'Istoric_Nativ'!$O$6:$O$405,"INVALID",'Istoric_Nativ'!$D$6:$D$405,"*")+COUNTIFS('Istoric_Nativ'!$B$6:$B$405,E547,'Istoric_Nativ'!$C$6:$C$405,F547,'Istoric_Nativ'!$F$6:$F$405,G547,'Istoric_Nativ'!$D$6:$D$405,"&lt;"&amp;J547,'Istoric_Nativ'!$O$6:$O$405,"SOURCE CONFLICT"))</x:f>
        <x:v>0</x:v>
      </x:c>
      <x:c r="T547" s="2" t="str">
        <x:f>IF(B547="","",IF(R547&lt;&gt;"CLOSED",R547,IF(S547&gt;0,"NATIVE INPUT ISSUE",IF(M547=0,"NO HISTORY",IF(M547&lt;P547,"SMALL SAMPLE","DERIVED")))))</x:f>
      </x:c>
      <x:c r="U547" s="2" t="str">
        <x:f>IF(B547="","","NativeTable; "&amp;E547&amp;"; "&amp;F547&amp;"; "&amp;G547&amp;"; "&amp;H547&amp;"; before "&amp;TEXT(J547,"yyyy-mm-dd")&amp;IF(I547="RECENT","; from "&amp;TEXT(L547,"yyyy-mm-dd"),""))</x:f>
      </x:c>
    </x:row>
    <x:row r="548" ht="21" customHeight="1">
      <x:c r="A548" s="2" t="n">
        <x:v>46</x:v>
      </x:c>
      <x:c r="B548" s="2" t="str">
        <x:f>IF('Input_Meci'!A51="","",'Input_Meci'!A51)</x:f>
      </x:c>
      <x:c r="C548" s="2" t="str">
        <x:v>H</x:v>
      </x:c>
      <x:c r="D548" s="2" t="str">
        <x:v>CURRENT</x:v>
      </x:c>
      <x:c r="E548" s="2" t="str">
        <x:f>IF(B548="","",'Input_Meci'!B51)</x:f>
      </x:c>
      <x:c r="F548" s="2" t="str">
        <x:f>IF(B548="","",IF('Input_Meci'!C51="","",'Input_Meci'!C51))</x:f>
      </x:c>
      <x:c r="G548" s="2" t="str">
        <x:f>IF(B548="","",'Input_Meci'!D51)</x:f>
      </x:c>
      <x:c r="H548" s="2" t="str">
        <x:v>ANY</x:v>
      </x:c>
      <x:c r="I548" s="2" t="str">
        <x:v>RECENT</x:v>
      </x:c>
      <x:c r="J548" s="9" t="n">
        <x:f>IF(AND(B548&lt;&gt;"",ISNUMBER('Input_Meci'!G51)),INT('Input_Meci'!G51),0)</x:f>
        <x:v>0</x:v>
      </x:c>
      <x:c r="K548" s="2" t="n">
        <x:f>IF(OR(B548="",F548=""),0,IF(H548="HOME",COUNTIFS('Istoric_Nativ'!$B$6:$B$405,E548,'Istoric_Nativ'!$C$6:$C$405,F548,'Istoric_Nativ'!$E$6:$E$405,G548,'Istoric_Nativ'!$D$6:$D$405,"&lt;"&amp;J548,'Istoric_Nativ'!$P$6:$P$405,1),IF(H548="AWAY",COUNTIFS('Istoric_Nativ'!$B$6:$B$405,E548,'Istoric_Nativ'!$C$6:$C$405,F548,'Istoric_Nativ'!$F$6:$F$405,G548,'Istoric_Nativ'!$D$6:$D$405,"&lt;"&amp;J548,'Istoric_Nativ'!$P$6:$P$405,1),COUNTIFS('Istoric_Nativ'!$B$6:$B$405,E548,'Istoric_Nativ'!$C$6:$C$405,F548,'Istoric_Nativ'!$E$6:$E$405,G548,'Istoric_Nativ'!$D$6:$D$405,"&lt;"&amp;J548,'Istoric_Nativ'!$P$6:$P$405,1)+COUNTIFS('Istoric_Nativ'!$B$6:$B$405,E548,'Istoric_Nativ'!$C$6:$C$405,F548,'Istoric_Nativ'!$F$6:$F$405,G548,'Istoric_Nativ'!$D$6:$D$405,"&lt;"&amp;J548,'Istoric_Nativ'!$P$6:$P$405,1))))</x:f>
        <x:v>0</x:v>
      </x:c>
      <x:c r="L548" s="17" t="n">
        <x:f>IF(AND(B548&lt;&gt;"",I548="RECENT",K548&gt;0),LARGE(_xlfn._xlws.FILTER('Istoric_Nativ'!$D$6:$D$405,('Istoric_Nativ'!$B$6:$B$405=E548)*('Istoric_Nativ'!$C$6:$C$405=F548)*('Istoric_Nativ'!$P$6:$P$405=1)*('Istoric_Nativ'!$D$6:$D$405&lt;J548)*((('Istoric_Nativ'!$E$6:$E$405=G548)+('Istoric_Nativ'!$F$6:$F$405=G548))&gt;0)),MIN('Config_v6'!$B$54,K548)),0)</x:f>
        <x:v>0</x:v>
      </x:c>
      <x:c r="M548" s="2" t="n">
        <x:f>IF(OR(B548="",F548=""),0,IF(H548="HOME",COUNTIFS('Istoric_Nativ'!$B$6:$B$405,E548,'Istoric_Nativ'!$C$6:$C$405,F548,'Istoric_Nativ'!$E$6:$E$405,G548,'Istoric_Nativ'!$D$6:$D$405,"&lt;"&amp;J548,'Istoric_Nativ'!$P$6:$P$405,1,'Istoric_Nativ'!$D$6:$D$405,"&gt;="&amp;L548),IF(H548="AWAY",COUNTIFS('Istoric_Nativ'!$B$6:$B$405,E548,'Istoric_Nativ'!$C$6:$C$405,F548,'Istoric_Nativ'!$F$6:$F$405,G548,'Istoric_Nativ'!$D$6:$D$405,"&lt;"&amp;J548,'Istoric_Nativ'!$P$6:$P$405,1,'Istoric_Nativ'!$D$6:$D$405,"&gt;="&amp;L548),COUNTIFS('Istoric_Nativ'!$B$6:$B$405,E548,'Istoric_Nativ'!$C$6:$C$405,F548,'Istoric_Nativ'!$E$6:$E$405,G548,'Istoric_Nativ'!$D$6:$D$405,"&lt;"&amp;J548,'Istoric_Nativ'!$P$6:$P$405,1,'Istoric_Nativ'!$D$6:$D$405,"&gt;="&amp;L548)+COUNTIFS('Istoric_Nativ'!$B$6:$B$405,E548,'Istoric_Nativ'!$C$6:$C$405,F548,'Istoric_Nativ'!$F$6:$F$405,G548,'Istoric_Nativ'!$D$6:$D$405,"&lt;"&amp;J548,'Istoric_Nativ'!$P$6:$P$405,1,'Istoric_Nativ'!$D$6:$D$405,"&gt;="&amp;L548))))</x:f>
        <x:v>0</x:v>
      </x:c>
      <x:c r="N548" s="11" t="str">
        <x:f>IF(M548=0,"",IF(H548="HOME",SUMIFS('Istoric_Nativ'!$G$6:$G$405,'Istoric_Nativ'!$B$6:$B$405,E548,'Istoric_Nativ'!$C$6:$C$405,F548,'Istoric_Nativ'!$E$6:$E$405,G548,'Istoric_Nativ'!$D$6:$D$405,"&lt;"&amp;J548,'Istoric_Nativ'!$P$6:$P$405,1,'Istoric_Nativ'!$D$6:$D$405,"&gt;="&amp;L548),IF(H548="AWAY",SUMIFS('Istoric_Nativ'!$H$6:$H$405,'Istoric_Nativ'!$B$6:$B$405,E548,'Istoric_Nativ'!$C$6:$C$405,F548,'Istoric_Nativ'!$F$6:$F$405,G548,'Istoric_Nativ'!$D$6:$D$405,"&lt;"&amp;J548,'Istoric_Nativ'!$P$6:$P$405,1,'Istoric_Nativ'!$D$6:$D$405,"&gt;="&amp;L548),SUMIFS('Istoric_Nativ'!$G$6:$G$405,'Istoric_Nativ'!$B$6:$B$405,E548,'Istoric_Nativ'!$C$6:$C$405,F548,'Istoric_Nativ'!$E$6:$E$405,G548,'Istoric_Nativ'!$D$6:$D$405,"&lt;"&amp;J548,'Istoric_Nativ'!$P$6:$P$405,1,'Istoric_Nativ'!$D$6:$D$405,"&gt;="&amp;L548)+SUMIFS('Istoric_Nativ'!$H$6:$H$405,'Istoric_Nativ'!$B$6:$B$405,E548,'Istoric_Nativ'!$C$6:$C$405,F548,'Istoric_Nativ'!$F$6:$F$405,G548,'Istoric_Nativ'!$D$6:$D$405,"&lt;"&amp;J548,'Istoric_Nativ'!$P$6:$P$405,1,'Istoric_Nativ'!$D$6:$D$405,"&gt;="&amp;L548)))/M548)</x:f>
      </x:c>
      <x:c r="O548" s="11" t="str">
        <x:f>IF(M548=0,"",IF(H548="HOME",SUMIFS('Istoric_Nativ'!$H$6:$H$405,'Istoric_Nativ'!$B$6:$B$405,E548,'Istoric_Nativ'!$C$6:$C$405,F548,'Istoric_Nativ'!$E$6:$E$405,G548,'Istoric_Nativ'!$D$6:$D$405,"&lt;"&amp;J548,'Istoric_Nativ'!$P$6:$P$405,1,'Istoric_Nativ'!$D$6:$D$405,"&gt;="&amp;L548),IF(H548="AWAY",SUMIFS('Istoric_Nativ'!$G$6:$G$405,'Istoric_Nativ'!$B$6:$B$405,E548,'Istoric_Nativ'!$C$6:$C$405,F548,'Istoric_Nativ'!$F$6:$F$405,G548,'Istoric_Nativ'!$D$6:$D$405,"&lt;"&amp;J548,'Istoric_Nativ'!$P$6:$P$405,1,'Istoric_Nativ'!$D$6:$D$405,"&gt;="&amp;L548),SUMIFS('Istoric_Nativ'!$H$6:$H$405,'Istoric_Nativ'!$B$6:$B$405,E548,'Istoric_Nativ'!$C$6:$C$405,F548,'Istoric_Nativ'!$E$6:$E$405,G548,'Istoric_Nativ'!$D$6:$D$405,"&lt;"&amp;J548,'Istoric_Nativ'!$P$6:$P$405,1,'Istoric_Nativ'!$D$6:$D$405,"&gt;="&amp;L548)+SUMIFS('Istoric_Nativ'!$G$6:$G$405,'Istoric_Nativ'!$B$6:$B$405,E548,'Istoric_Nativ'!$C$6:$C$405,F548,'Istoric_Nativ'!$F$6:$F$405,G548,'Istoric_Nativ'!$D$6:$D$405,"&lt;"&amp;J548,'Istoric_Nativ'!$P$6:$P$405,1,'Istoric_Nativ'!$D$6:$D$405,"&gt;="&amp;L548)))/M548)</x:f>
      </x:c>
      <x:c r="P548" s="2" t="n">
        <x:f>'Config_v6'!$B$9</x:f>
        <x:v>3</x:v>
      </x:c>
      <x:c r="Q548" s="2" t="n">
        <x:f>IF(OR(B548="",F548=""),0,IFERROR(MATCH(E548&amp;"|"&amp;F548,SourceTable[Source_Key],0),0))</x:f>
        <x:v>0</x:v>
      </x:c>
      <x:c r="R548" s="2" t="str">
        <x:f>IF(B548="","",IF(F548="","UNUSED",IF(Q548=0,"NOT CHECKED",IF(COUNTIF(SourceTable[Source_Key],E548&amp;"|"&amp;F548)&lt;&gt;1,"SOURCE CONFLICT",IF(NOT(OR(INDEX(SourceTable[Status],MAX(1,Q548))="IMPORTED",INDEX(SourceTable[Status],MAX(1,Q548))="PARTIAL",INDEX(SourceTable[Status],MAX(1,Q548))="SOURCE CONFLICT")),"ACCESS BLOCKED",IF(OR(INDEX(SourceTable[Coverage],Q548)&lt;&gt;"FULL SEASON EXPORT",INDEX(SourceTable[URL],Q548)="",INDEX(SourceTable[SHA256],Q548)=""),"EVIDENCE INCOMPLETE",IF(AND('Input_Meci'!H51="LIVE",INDEX(SourceTable[Retrieved_UTC],Q548)&gt;'Input_Meci'!G51),"POST CUTOFF","CLOSED")))))))</x:f>
      </x:c>
      <x:c r="S548" s="2" t="n">
        <x:f>IF(OR(B548="",F548=""),0,COUNTIFS('Istoric_Nativ'!$B$6:$B$405,E548,'Istoric_Nativ'!$C$6:$C$405,F548,'Istoric_Nativ'!$E$6:$E$405,G548,'Istoric_Nativ'!$D$6:$D$405,"&lt;"&amp;J548,'Istoric_Nativ'!$O$6:$O$405,"INVALID")+COUNTIFS('Istoric_Nativ'!$B$6:$B$405,E548,'Istoric_Nativ'!$C$6:$C$405,F548,'Istoric_Nativ'!$E$6:$E$405,G548,'Istoric_Nativ'!$O$6:$O$405,"INVALID",'Istoric_Nativ'!$D$6:$D$405,"*")+COUNTIFS('Istoric_Nativ'!$B$6:$B$405,E548,'Istoric_Nativ'!$C$6:$C$405,F548,'Istoric_Nativ'!$E$6:$E$405,G548,'Istoric_Nativ'!$D$6:$D$405,"&lt;"&amp;J548,'Istoric_Nativ'!$O$6:$O$405,"SOURCE CONFLICT")+COUNTIFS('Istoric_Nativ'!$B$6:$B$405,E548,'Istoric_Nativ'!$C$6:$C$405,F548,'Istoric_Nativ'!$F$6:$F$405,G548,'Istoric_Nativ'!$D$6:$D$405,"&lt;"&amp;J548,'Istoric_Nativ'!$O$6:$O$405,"INVALID")+COUNTIFS('Istoric_Nativ'!$B$6:$B$405,E548,'Istoric_Nativ'!$C$6:$C$405,F548,'Istoric_Nativ'!$F$6:$F$405,G548,'Istoric_Nativ'!$O$6:$O$405,"INVALID",'Istoric_Nativ'!$D$6:$D$405,"*")+COUNTIFS('Istoric_Nativ'!$B$6:$B$405,E548,'Istoric_Nativ'!$C$6:$C$405,F548,'Istoric_Nativ'!$F$6:$F$405,G548,'Istoric_Nativ'!$D$6:$D$405,"&lt;"&amp;J548,'Istoric_Nativ'!$O$6:$O$405,"SOURCE CONFLICT"))</x:f>
        <x:v>0</x:v>
      </x:c>
      <x:c r="T548" s="2" t="str">
        <x:f>IF(B548="","",IF(R548&lt;&gt;"CLOSED",R548,IF(S548&gt;0,"NATIVE INPUT ISSUE",IF(M548=0,"NO HISTORY",IF(M548&lt;P548,"SMALL SAMPLE","DERIVED")))))</x:f>
      </x:c>
      <x:c r="U548" s="2" t="str">
        <x:f>IF(B548="","","NativeTable; "&amp;E548&amp;"; "&amp;F548&amp;"; "&amp;G548&amp;"; "&amp;H548&amp;"; before "&amp;TEXT(J548,"yyyy-mm-dd")&amp;IF(I548="RECENT","; from "&amp;TEXT(L548,"yyyy-mm-dd"),""))</x:f>
      </x:c>
    </x:row>
    <x:row r="549" ht="21" customHeight="1">
      <x:c r="A549" s="2" t="n">
        <x:v>46</x:v>
      </x:c>
      <x:c r="B549" s="2" t="str">
        <x:f>IF('Input_Meci'!A51="","",'Input_Meci'!A51)</x:f>
      </x:c>
      <x:c r="C549" s="2" t="str">
        <x:v>A</x:v>
      </x:c>
      <x:c r="D549" s="2" t="str">
        <x:v>CURRENT</x:v>
      </x:c>
      <x:c r="E549" s="2" t="str">
        <x:f>IF(B549="","",'Input_Meci'!B51)</x:f>
      </x:c>
      <x:c r="F549" s="2" t="str">
        <x:f>IF(B549="","",IF('Input_Meci'!C51="","",'Input_Meci'!C51))</x:f>
      </x:c>
      <x:c r="G549" s="2" t="str">
        <x:f>IF(B549="","",'Input_Meci'!E51)</x:f>
      </x:c>
      <x:c r="H549" s="2" t="str">
        <x:v>ANY</x:v>
      </x:c>
      <x:c r="I549" s="2" t="str">
        <x:v>SEASON</x:v>
      </x:c>
      <x:c r="J549" s="9" t="n">
        <x:f>IF(AND(B549&lt;&gt;"",ISNUMBER('Input_Meci'!G51)),INT('Input_Meci'!G51),0)</x:f>
        <x:v>0</x:v>
      </x:c>
      <x:c r="K549" s="2" t="n">
        <x:f>IF(OR(B549="",F549=""),0,IF(H549="HOME",COUNTIFS('Istoric_Nativ'!$B$6:$B$405,E549,'Istoric_Nativ'!$C$6:$C$405,F549,'Istoric_Nativ'!$E$6:$E$405,G549,'Istoric_Nativ'!$D$6:$D$405,"&lt;"&amp;J549,'Istoric_Nativ'!$P$6:$P$405,1),IF(H549="AWAY",COUNTIFS('Istoric_Nativ'!$B$6:$B$405,E549,'Istoric_Nativ'!$C$6:$C$405,F549,'Istoric_Nativ'!$F$6:$F$405,G549,'Istoric_Nativ'!$D$6:$D$405,"&lt;"&amp;J549,'Istoric_Nativ'!$P$6:$P$405,1),COUNTIFS('Istoric_Nativ'!$B$6:$B$405,E549,'Istoric_Nativ'!$C$6:$C$405,F549,'Istoric_Nativ'!$E$6:$E$405,G549,'Istoric_Nativ'!$D$6:$D$405,"&lt;"&amp;J549,'Istoric_Nativ'!$P$6:$P$405,1)+COUNTIFS('Istoric_Nativ'!$B$6:$B$405,E549,'Istoric_Nativ'!$C$6:$C$405,F549,'Istoric_Nativ'!$F$6:$F$405,G549,'Istoric_Nativ'!$D$6:$D$405,"&lt;"&amp;J549,'Istoric_Nativ'!$P$6:$P$405,1))))</x:f>
        <x:v>0</x:v>
      </x:c>
      <x:c r="L549" s="17" t="n">
        <x:f>IF(AND(B549&lt;&gt;"",I549="RECENT",K549&gt;0),LARGE(_xlfn._xlws.FILTER('Istoric_Nativ'!$D$6:$D$405,('Istoric_Nativ'!$B$6:$B$405=E549)*('Istoric_Nativ'!$C$6:$C$405=F549)*('Istoric_Nativ'!$P$6:$P$405=1)*('Istoric_Nativ'!$D$6:$D$405&lt;J549)*((('Istoric_Nativ'!$E$6:$E$405=G549)+('Istoric_Nativ'!$F$6:$F$405=G549))&gt;0)),MIN('Config_v6'!$B$54,K549)),0)</x:f>
        <x:v>0</x:v>
      </x:c>
      <x:c r="M549" s="2" t="n">
        <x:f>IF(OR(B549="",F549=""),0,IF(H549="HOME",COUNTIFS('Istoric_Nativ'!$B$6:$B$405,E549,'Istoric_Nativ'!$C$6:$C$405,F549,'Istoric_Nativ'!$E$6:$E$405,G549,'Istoric_Nativ'!$D$6:$D$405,"&lt;"&amp;J549,'Istoric_Nativ'!$P$6:$P$405,1,'Istoric_Nativ'!$D$6:$D$405,"&gt;="&amp;L549),IF(H549="AWAY",COUNTIFS('Istoric_Nativ'!$B$6:$B$405,E549,'Istoric_Nativ'!$C$6:$C$405,F549,'Istoric_Nativ'!$F$6:$F$405,G549,'Istoric_Nativ'!$D$6:$D$405,"&lt;"&amp;J549,'Istoric_Nativ'!$P$6:$P$405,1,'Istoric_Nativ'!$D$6:$D$405,"&gt;="&amp;L549),COUNTIFS('Istoric_Nativ'!$B$6:$B$405,E549,'Istoric_Nativ'!$C$6:$C$405,F549,'Istoric_Nativ'!$E$6:$E$405,G549,'Istoric_Nativ'!$D$6:$D$405,"&lt;"&amp;J549,'Istoric_Nativ'!$P$6:$P$405,1,'Istoric_Nativ'!$D$6:$D$405,"&gt;="&amp;L549)+COUNTIFS('Istoric_Nativ'!$B$6:$B$405,E549,'Istoric_Nativ'!$C$6:$C$405,F549,'Istoric_Nativ'!$F$6:$F$405,G549,'Istoric_Nativ'!$D$6:$D$405,"&lt;"&amp;J549,'Istoric_Nativ'!$P$6:$P$405,1,'Istoric_Nativ'!$D$6:$D$405,"&gt;="&amp;L549))))</x:f>
        <x:v>0</x:v>
      </x:c>
      <x:c r="N549" s="11" t="str">
        <x:f>IF(M549=0,"",IF(H549="HOME",SUMIFS('Istoric_Nativ'!$G$6:$G$405,'Istoric_Nativ'!$B$6:$B$405,E549,'Istoric_Nativ'!$C$6:$C$405,F549,'Istoric_Nativ'!$E$6:$E$405,G549,'Istoric_Nativ'!$D$6:$D$405,"&lt;"&amp;J549,'Istoric_Nativ'!$P$6:$P$405,1,'Istoric_Nativ'!$D$6:$D$405,"&gt;="&amp;L549),IF(H549="AWAY",SUMIFS('Istoric_Nativ'!$H$6:$H$405,'Istoric_Nativ'!$B$6:$B$405,E549,'Istoric_Nativ'!$C$6:$C$405,F549,'Istoric_Nativ'!$F$6:$F$405,G549,'Istoric_Nativ'!$D$6:$D$405,"&lt;"&amp;J549,'Istoric_Nativ'!$P$6:$P$405,1,'Istoric_Nativ'!$D$6:$D$405,"&gt;="&amp;L549),SUMIFS('Istoric_Nativ'!$G$6:$G$405,'Istoric_Nativ'!$B$6:$B$405,E549,'Istoric_Nativ'!$C$6:$C$405,F549,'Istoric_Nativ'!$E$6:$E$405,G549,'Istoric_Nativ'!$D$6:$D$405,"&lt;"&amp;J549,'Istoric_Nativ'!$P$6:$P$405,1,'Istoric_Nativ'!$D$6:$D$405,"&gt;="&amp;L549)+SUMIFS('Istoric_Nativ'!$H$6:$H$405,'Istoric_Nativ'!$B$6:$B$405,E549,'Istoric_Nativ'!$C$6:$C$405,F549,'Istoric_Nativ'!$F$6:$F$405,G549,'Istoric_Nativ'!$D$6:$D$405,"&lt;"&amp;J549,'Istoric_Nativ'!$P$6:$P$405,1,'Istoric_Nativ'!$D$6:$D$405,"&gt;="&amp;L549)))/M549)</x:f>
      </x:c>
      <x:c r="O549" s="11" t="str">
        <x:f>IF(M549=0,"",IF(H549="HOME",SUMIFS('Istoric_Nativ'!$H$6:$H$405,'Istoric_Nativ'!$B$6:$B$405,E549,'Istoric_Nativ'!$C$6:$C$405,F549,'Istoric_Nativ'!$E$6:$E$405,G549,'Istoric_Nativ'!$D$6:$D$405,"&lt;"&amp;J549,'Istoric_Nativ'!$P$6:$P$405,1,'Istoric_Nativ'!$D$6:$D$405,"&gt;="&amp;L549),IF(H549="AWAY",SUMIFS('Istoric_Nativ'!$G$6:$G$405,'Istoric_Nativ'!$B$6:$B$405,E549,'Istoric_Nativ'!$C$6:$C$405,F549,'Istoric_Nativ'!$F$6:$F$405,G549,'Istoric_Nativ'!$D$6:$D$405,"&lt;"&amp;J549,'Istoric_Nativ'!$P$6:$P$405,1,'Istoric_Nativ'!$D$6:$D$405,"&gt;="&amp;L549),SUMIFS('Istoric_Nativ'!$H$6:$H$405,'Istoric_Nativ'!$B$6:$B$405,E549,'Istoric_Nativ'!$C$6:$C$405,F549,'Istoric_Nativ'!$E$6:$E$405,G549,'Istoric_Nativ'!$D$6:$D$405,"&lt;"&amp;J549,'Istoric_Nativ'!$P$6:$P$405,1,'Istoric_Nativ'!$D$6:$D$405,"&gt;="&amp;L549)+SUMIFS('Istoric_Nativ'!$G$6:$G$405,'Istoric_Nativ'!$B$6:$B$405,E549,'Istoric_Nativ'!$C$6:$C$405,F549,'Istoric_Nativ'!$F$6:$F$405,G549,'Istoric_Nativ'!$D$6:$D$405,"&lt;"&amp;J549,'Istoric_Nativ'!$P$6:$P$405,1,'Istoric_Nativ'!$D$6:$D$405,"&gt;="&amp;L549)))/M549)</x:f>
      </x:c>
      <x:c r="P549" s="2" t="n">
        <x:f>'Config_v6'!$B$7</x:f>
        <x:v>10</x:v>
      </x:c>
      <x:c r="Q549" s="2" t="n">
        <x:f>IF(OR(B549="",F549=""),0,IFERROR(MATCH(E549&amp;"|"&amp;F549,SourceTable[Source_Key],0),0))</x:f>
        <x:v>0</x:v>
      </x:c>
      <x:c r="R549" s="2" t="str">
        <x:f>IF(B549="","",IF(F549="","UNUSED",IF(Q549=0,"NOT CHECKED",IF(COUNTIF(SourceTable[Source_Key],E549&amp;"|"&amp;F549)&lt;&gt;1,"SOURCE CONFLICT",IF(NOT(OR(INDEX(SourceTable[Status],MAX(1,Q549))="IMPORTED",INDEX(SourceTable[Status],MAX(1,Q549))="PARTIAL",INDEX(SourceTable[Status],MAX(1,Q549))="SOURCE CONFLICT")),"ACCESS BLOCKED",IF(OR(INDEX(SourceTable[Coverage],Q549)&lt;&gt;"FULL SEASON EXPORT",INDEX(SourceTable[URL],Q549)="",INDEX(SourceTable[SHA256],Q549)=""),"EVIDENCE INCOMPLETE",IF(AND('Input_Meci'!H51="LIVE",INDEX(SourceTable[Retrieved_UTC],Q549)&gt;'Input_Meci'!G51),"POST CUTOFF","CLOSED")))))))</x:f>
      </x:c>
      <x:c r="S549" s="2" t="n">
        <x:f>IF(OR(B549="",F549=""),0,COUNTIFS('Istoric_Nativ'!$B$6:$B$405,E549,'Istoric_Nativ'!$C$6:$C$405,F549,'Istoric_Nativ'!$E$6:$E$405,G549,'Istoric_Nativ'!$D$6:$D$405,"&lt;"&amp;J549,'Istoric_Nativ'!$O$6:$O$405,"INVALID")+COUNTIFS('Istoric_Nativ'!$B$6:$B$405,E549,'Istoric_Nativ'!$C$6:$C$405,F549,'Istoric_Nativ'!$E$6:$E$405,G549,'Istoric_Nativ'!$O$6:$O$405,"INVALID",'Istoric_Nativ'!$D$6:$D$405,"*")+COUNTIFS('Istoric_Nativ'!$B$6:$B$405,E549,'Istoric_Nativ'!$C$6:$C$405,F549,'Istoric_Nativ'!$E$6:$E$405,G549,'Istoric_Nativ'!$D$6:$D$405,"&lt;"&amp;J549,'Istoric_Nativ'!$O$6:$O$405,"SOURCE CONFLICT")+COUNTIFS('Istoric_Nativ'!$B$6:$B$405,E549,'Istoric_Nativ'!$C$6:$C$405,F549,'Istoric_Nativ'!$F$6:$F$405,G549,'Istoric_Nativ'!$D$6:$D$405,"&lt;"&amp;J549,'Istoric_Nativ'!$O$6:$O$405,"INVALID")+COUNTIFS('Istoric_Nativ'!$B$6:$B$405,E549,'Istoric_Nativ'!$C$6:$C$405,F549,'Istoric_Nativ'!$F$6:$F$405,G549,'Istoric_Nativ'!$O$6:$O$405,"INVALID",'Istoric_Nativ'!$D$6:$D$405,"*")+COUNTIFS('Istoric_Nativ'!$B$6:$B$405,E549,'Istoric_Nativ'!$C$6:$C$405,F549,'Istoric_Nativ'!$F$6:$F$405,G549,'Istoric_Nativ'!$D$6:$D$405,"&lt;"&amp;J549,'Istoric_Nativ'!$O$6:$O$405,"SOURCE CONFLICT"))</x:f>
        <x:v>0</x:v>
      </x:c>
      <x:c r="T549" s="2" t="str">
        <x:f>IF(B549="","",IF(R549&lt;&gt;"CLOSED",R549,IF(S549&gt;0,"NATIVE INPUT ISSUE",IF(M549=0,"NO HISTORY",IF(M549&lt;P549,"SMALL SAMPLE","DERIVED")))))</x:f>
      </x:c>
      <x:c r="U549" s="2" t="str">
        <x:f>IF(B549="","","NativeTable; "&amp;E549&amp;"; "&amp;F549&amp;"; "&amp;G549&amp;"; "&amp;H549&amp;"; before "&amp;TEXT(J549,"yyyy-mm-dd")&amp;IF(I549="RECENT","; from "&amp;TEXT(L549,"yyyy-mm-dd"),""))</x:f>
      </x:c>
    </x:row>
    <x:row r="550" ht="21" customHeight="1">
      <x:c r="A550" s="2" t="n">
        <x:v>46</x:v>
      </x:c>
      <x:c r="B550" s="2" t="str">
        <x:f>IF('Input_Meci'!A51="","",'Input_Meci'!A51)</x:f>
      </x:c>
      <x:c r="C550" s="2" t="str">
        <x:v>A</x:v>
      </x:c>
      <x:c r="D550" s="2" t="str">
        <x:v>CURRENT</x:v>
      </x:c>
      <x:c r="E550" s="2" t="str">
        <x:f>IF(B550="","",'Input_Meci'!B51)</x:f>
      </x:c>
      <x:c r="F550" s="2" t="str">
        <x:f>IF(B550="","",IF('Input_Meci'!C51="","",'Input_Meci'!C51))</x:f>
      </x:c>
      <x:c r="G550" s="2" t="str">
        <x:f>IF(B550="","",'Input_Meci'!E51)</x:f>
      </x:c>
      <x:c r="H550" s="2" t="str">
        <x:v>AWAY</x:v>
      </x:c>
      <x:c r="I550" s="2" t="str">
        <x:v>HA</x:v>
      </x:c>
      <x:c r="J550" s="9" t="n">
        <x:f>IF(AND(B550&lt;&gt;"",ISNUMBER('Input_Meci'!G51)),INT('Input_Meci'!G51),0)</x:f>
        <x:v>0</x:v>
      </x:c>
      <x:c r="K550" s="2" t="n">
        <x:f>IF(OR(B550="",F550=""),0,IF(H550="HOME",COUNTIFS('Istoric_Nativ'!$B$6:$B$405,E550,'Istoric_Nativ'!$C$6:$C$405,F550,'Istoric_Nativ'!$E$6:$E$405,G550,'Istoric_Nativ'!$D$6:$D$405,"&lt;"&amp;J550,'Istoric_Nativ'!$P$6:$P$405,1),IF(H550="AWAY",COUNTIFS('Istoric_Nativ'!$B$6:$B$405,E550,'Istoric_Nativ'!$C$6:$C$405,F550,'Istoric_Nativ'!$F$6:$F$405,G550,'Istoric_Nativ'!$D$6:$D$405,"&lt;"&amp;J550,'Istoric_Nativ'!$P$6:$P$405,1),COUNTIFS('Istoric_Nativ'!$B$6:$B$405,E550,'Istoric_Nativ'!$C$6:$C$405,F550,'Istoric_Nativ'!$E$6:$E$405,G550,'Istoric_Nativ'!$D$6:$D$405,"&lt;"&amp;J550,'Istoric_Nativ'!$P$6:$P$405,1)+COUNTIFS('Istoric_Nativ'!$B$6:$B$405,E550,'Istoric_Nativ'!$C$6:$C$405,F550,'Istoric_Nativ'!$F$6:$F$405,G550,'Istoric_Nativ'!$D$6:$D$405,"&lt;"&amp;J550,'Istoric_Nativ'!$P$6:$P$405,1))))</x:f>
        <x:v>0</x:v>
      </x:c>
      <x:c r="L550" s="17" t="n">
        <x:f>IF(AND(B550&lt;&gt;"",I550="RECENT",K550&gt;0),LARGE(_xlfn._xlws.FILTER('Istoric_Nativ'!$D$6:$D$405,('Istoric_Nativ'!$B$6:$B$405=E550)*('Istoric_Nativ'!$C$6:$C$405=F550)*('Istoric_Nativ'!$P$6:$P$405=1)*('Istoric_Nativ'!$D$6:$D$405&lt;J550)*((('Istoric_Nativ'!$E$6:$E$405=G550)+('Istoric_Nativ'!$F$6:$F$405=G550))&gt;0)),MIN('Config_v6'!$B$54,K550)),0)</x:f>
        <x:v>0</x:v>
      </x:c>
      <x:c r="M550" s="2" t="n">
        <x:f>IF(OR(B550="",F550=""),0,IF(H550="HOME",COUNTIFS('Istoric_Nativ'!$B$6:$B$405,E550,'Istoric_Nativ'!$C$6:$C$405,F550,'Istoric_Nativ'!$E$6:$E$405,G550,'Istoric_Nativ'!$D$6:$D$405,"&lt;"&amp;J550,'Istoric_Nativ'!$P$6:$P$405,1,'Istoric_Nativ'!$D$6:$D$405,"&gt;="&amp;L550),IF(H550="AWAY",COUNTIFS('Istoric_Nativ'!$B$6:$B$405,E550,'Istoric_Nativ'!$C$6:$C$405,F550,'Istoric_Nativ'!$F$6:$F$405,G550,'Istoric_Nativ'!$D$6:$D$405,"&lt;"&amp;J550,'Istoric_Nativ'!$P$6:$P$405,1,'Istoric_Nativ'!$D$6:$D$405,"&gt;="&amp;L550),COUNTIFS('Istoric_Nativ'!$B$6:$B$405,E550,'Istoric_Nativ'!$C$6:$C$405,F550,'Istoric_Nativ'!$E$6:$E$405,G550,'Istoric_Nativ'!$D$6:$D$405,"&lt;"&amp;J550,'Istoric_Nativ'!$P$6:$P$405,1,'Istoric_Nativ'!$D$6:$D$405,"&gt;="&amp;L550)+COUNTIFS('Istoric_Nativ'!$B$6:$B$405,E550,'Istoric_Nativ'!$C$6:$C$405,F550,'Istoric_Nativ'!$F$6:$F$405,G550,'Istoric_Nativ'!$D$6:$D$405,"&lt;"&amp;J550,'Istoric_Nativ'!$P$6:$P$405,1,'Istoric_Nativ'!$D$6:$D$405,"&gt;="&amp;L550))))</x:f>
        <x:v>0</x:v>
      </x:c>
      <x:c r="N550" s="11" t="str">
        <x:f>IF(M550=0,"",IF(H550="HOME",SUMIFS('Istoric_Nativ'!$G$6:$G$405,'Istoric_Nativ'!$B$6:$B$405,E550,'Istoric_Nativ'!$C$6:$C$405,F550,'Istoric_Nativ'!$E$6:$E$405,G550,'Istoric_Nativ'!$D$6:$D$405,"&lt;"&amp;J550,'Istoric_Nativ'!$P$6:$P$405,1,'Istoric_Nativ'!$D$6:$D$405,"&gt;="&amp;L550),IF(H550="AWAY",SUMIFS('Istoric_Nativ'!$H$6:$H$405,'Istoric_Nativ'!$B$6:$B$405,E550,'Istoric_Nativ'!$C$6:$C$405,F550,'Istoric_Nativ'!$F$6:$F$405,G550,'Istoric_Nativ'!$D$6:$D$405,"&lt;"&amp;J550,'Istoric_Nativ'!$P$6:$P$405,1,'Istoric_Nativ'!$D$6:$D$405,"&gt;="&amp;L550),SUMIFS('Istoric_Nativ'!$G$6:$G$405,'Istoric_Nativ'!$B$6:$B$405,E550,'Istoric_Nativ'!$C$6:$C$405,F550,'Istoric_Nativ'!$E$6:$E$405,G550,'Istoric_Nativ'!$D$6:$D$405,"&lt;"&amp;J550,'Istoric_Nativ'!$P$6:$P$405,1,'Istoric_Nativ'!$D$6:$D$405,"&gt;="&amp;L550)+SUMIFS('Istoric_Nativ'!$H$6:$H$405,'Istoric_Nativ'!$B$6:$B$405,E550,'Istoric_Nativ'!$C$6:$C$405,F550,'Istoric_Nativ'!$F$6:$F$405,G550,'Istoric_Nativ'!$D$6:$D$405,"&lt;"&amp;J550,'Istoric_Nativ'!$P$6:$P$405,1,'Istoric_Nativ'!$D$6:$D$405,"&gt;="&amp;L550)))/M550)</x:f>
      </x:c>
      <x:c r="O550" s="11" t="str">
        <x:f>IF(M550=0,"",IF(H550="HOME",SUMIFS('Istoric_Nativ'!$H$6:$H$405,'Istoric_Nativ'!$B$6:$B$405,E550,'Istoric_Nativ'!$C$6:$C$405,F550,'Istoric_Nativ'!$E$6:$E$405,G550,'Istoric_Nativ'!$D$6:$D$405,"&lt;"&amp;J550,'Istoric_Nativ'!$P$6:$P$405,1,'Istoric_Nativ'!$D$6:$D$405,"&gt;="&amp;L550),IF(H550="AWAY",SUMIFS('Istoric_Nativ'!$G$6:$G$405,'Istoric_Nativ'!$B$6:$B$405,E550,'Istoric_Nativ'!$C$6:$C$405,F550,'Istoric_Nativ'!$F$6:$F$405,G550,'Istoric_Nativ'!$D$6:$D$405,"&lt;"&amp;J550,'Istoric_Nativ'!$P$6:$P$405,1,'Istoric_Nativ'!$D$6:$D$405,"&gt;="&amp;L550),SUMIFS('Istoric_Nativ'!$H$6:$H$405,'Istoric_Nativ'!$B$6:$B$405,E550,'Istoric_Nativ'!$C$6:$C$405,F550,'Istoric_Nativ'!$E$6:$E$405,G550,'Istoric_Nativ'!$D$6:$D$405,"&lt;"&amp;J550,'Istoric_Nativ'!$P$6:$P$405,1,'Istoric_Nativ'!$D$6:$D$405,"&gt;="&amp;L550)+SUMIFS('Istoric_Nativ'!$G$6:$G$405,'Istoric_Nativ'!$B$6:$B$405,E550,'Istoric_Nativ'!$C$6:$C$405,F550,'Istoric_Nativ'!$F$6:$F$405,G550,'Istoric_Nativ'!$D$6:$D$405,"&lt;"&amp;J550,'Istoric_Nativ'!$P$6:$P$405,1,'Istoric_Nativ'!$D$6:$D$405,"&gt;="&amp;L550)))/M550)</x:f>
      </x:c>
      <x:c r="P550" s="2" t="n">
        <x:f>'Config_v6'!$B$8</x:f>
        <x:v>5</x:v>
      </x:c>
      <x:c r="Q550" s="2" t="n">
        <x:f>IF(OR(B550="",F550=""),0,IFERROR(MATCH(E550&amp;"|"&amp;F550,SourceTable[Source_Key],0),0))</x:f>
        <x:v>0</x:v>
      </x:c>
      <x:c r="R550" s="2" t="str">
        <x:f>IF(B550="","",IF(F550="","UNUSED",IF(Q550=0,"NOT CHECKED",IF(COUNTIF(SourceTable[Source_Key],E550&amp;"|"&amp;F550)&lt;&gt;1,"SOURCE CONFLICT",IF(NOT(OR(INDEX(SourceTable[Status],MAX(1,Q550))="IMPORTED",INDEX(SourceTable[Status],MAX(1,Q550))="PARTIAL",INDEX(SourceTable[Status],MAX(1,Q550))="SOURCE CONFLICT")),"ACCESS BLOCKED",IF(OR(INDEX(SourceTable[Coverage],Q550)&lt;&gt;"FULL SEASON EXPORT",INDEX(SourceTable[URL],Q550)="",INDEX(SourceTable[SHA256],Q550)=""),"EVIDENCE INCOMPLETE",IF(AND('Input_Meci'!H51="LIVE",INDEX(SourceTable[Retrieved_UTC],Q550)&gt;'Input_Meci'!G51),"POST CUTOFF","CLOSED")))))))</x:f>
      </x:c>
      <x:c r="S550" s="2" t="n">
        <x:f>IF(OR(B550="",F550=""),0,COUNTIFS('Istoric_Nativ'!$B$6:$B$405,E550,'Istoric_Nativ'!$C$6:$C$405,F550,'Istoric_Nativ'!$E$6:$E$405,G550,'Istoric_Nativ'!$D$6:$D$405,"&lt;"&amp;J550,'Istoric_Nativ'!$O$6:$O$405,"INVALID")+COUNTIFS('Istoric_Nativ'!$B$6:$B$405,E550,'Istoric_Nativ'!$C$6:$C$405,F550,'Istoric_Nativ'!$E$6:$E$405,G550,'Istoric_Nativ'!$O$6:$O$405,"INVALID",'Istoric_Nativ'!$D$6:$D$405,"*")+COUNTIFS('Istoric_Nativ'!$B$6:$B$405,E550,'Istoric_Nativ'!$C$6:$C$405,F550,'Istoric_Nativ'!$E$6:$E$405,G550,'Istoric_Nativ'!$D$6:$D$405,"&lt;"&amp;J550,'Istoric_Nativ'!$O$6:$O$405,"SOURCE CONFLICT")+COUNTIFS('Istoric_Nativ'!$B$6:$B$405,E550,'Istoric_Nativ'!$C$6:$C$405,F550,'Istoric_Nativ'!$F$6:$F$405,G550,'Istoric_Nativ'!$D$6:$D$405,"&lt;"&amp;J550,'Istoric_Nativ'!$O$6:$O$405,"INVALID")+COUNTIFS('Istoric_Nativ'!$B$6:$B$405,E550,'Istoric_Nativ'!$C$6:$C$405,F550,'Istoric_Nativ'!$F$6:$F$405,G550,'Istoric_Nativ'!$O$6:$O$405,"INVALID",'Istoric_Nativ'!$D$6:$D$405,"*")+COUNTIFS('Istoric_Nativ'!$B$6:$B$405,E550,'Istoric_Nativ'!$C$6:$C$405,F550,'Istoric_Nativ'!$F$6:$F$405,G550,'Istoric_Nativ'!$D$6:$D$405,"&lt;"&amp;J550,'Istoric_Nativ'!$O$6:$O$405,"SOURCE CONFLICT"))</x:f>
        <x:v>0</x:v>
      </x:c>
      <x:c r="T550" s="2" t="str">
        <x:f>IF(B550="","",IF(R550&lt;&gt;"CLOSED",R550,IF(S550&gt;0,"NATIVE INPUT ISSUE",IF(M550=0,"NO HISTORY",IF(M550&lt;P550,"SMALL SAMPLE","DERIVED")))))</x:f>
      </x:c>
      <x:c r="U550" s="2" t="str">
        <x:f>IF(B550="","","NativeTable; "&amp;E550&amp;"; "&amp;F550&amp;"; "&amp;G550&amp;"; "&amp;H550&amp;"; before "&amp;TEXT(J550,"yyyy-mm-dd")&amp;IF(I550="RECENT","; from "&amp;TEXT(L550,"yyyy-mm-dd"),""))</x:f>
      </x:c>
    </x:row>
    <x:row r="551" ht="21" customHeight="1">
      <x:c r="A551" s="2" t="n">
        <x:v>46</x:v>
      </x:c>
      <x:c r="B551" s="2" t="str">
        <x:f>IF('Input_Meci'!A51="","",'Input_Meci'!A51)</x:f>
      </x:c>
      <x:c r="C551" s="2" t="str">
        <x:v>A</x:v>
      </x:c>
      <x:c r="D551" s="2" t="str">
        <x:v>CURRENT</x:v>
      </x:c>
      <x:c r="E551" s="2" t="str">
        <x:f>IF(B551="","",'Input_Meci'!B51)</x:f>
      </x:c>
      <x:c r="F551" s="2" t="str">
        <x:f>IF(B551="","",IF('Input_Meci'!C51="","",'Input_Meci'!C51))</x:f>
      </x:c>
      <x:c r="G551" s="2" t="str">
        <x:f>IF(B551="","",'Input_Meci'!E51)</x:f>
      </x:c>
      <x:c r="H551" s="2" t="str">
        <x:v>ANY</x:v>
      </x:c>
      <x:c r="I551" s="2" t="str">
        <x:v>RECENT</x:v>
      </x:c>
      <x:c r="J551" s="9" t="n">
        <x:f>IF(AND(B551&lt;&gt;"",ISNUMBER('Input_Meci'!G51)),INT('Input_Meci'!G51),0)</x:f>
        <x:v>0</x:v>
      </x:c>
      <x:c r="K551" s="2" t="n">
        <x:f>IF(OR(B551="",F551=""),0,IF(H551="HOME",COUNTIFS('Istoric_Nativ'!$B$6:$B$405,E551,'Istoric_Nativ'!$C$6:$C$405,F551,'Istoric_Nativ'!$E$6:$E$405,G551,'Istoric_Nativ'!$D$6:$D$405,"&lt;"&amp;J551,'Istoric_Nativ'!$P$6:$P$405,1),IF(H551="AWAY",COUNTIFS('Istoric_Nativ'!$B$6:$B$405,E551,'Istoric_Nativ'!$C$6:$C$405,F551,'Istoric_Nativ'!$F$6:$F$405,G551,'Istoric_Nativ'!$D$6:$D$405,"&lt;"&amp;J551,'Istoric_Nativ'!$P$6:$P$405,1),COUNTIFS('Istoric_Nativ'!$B$6:$B$405,E551,'Istoric_Nativ'!$C$6:$C$405,F551,'Istoric_Nativ'!$E$6:$E$405,G551,'Istoric_Nativ'!$D$6:$D$405,"&lt;"&amp;J551,'Istoric_Nativ'!$P$6:$P$405,1)+COUNTIFS('Istoric_Nativ'!$B$6:$B$405,E551,'Istoric_Nativ'!$C$6:$C$405,F551,'Istoric_Nativ'!$F$6:$F$405,G551,'Istoric_Nativ'!$D$6:$D$405,"&lt;"&amp;J551,'Istoric_Nativ'!$P$6:$P$405,1))))</x:f>
        <x:v>0</x:v>
      </x:c>
      <x:c r="L551" s="17" t="n">
        <x:f>IF(AND(B551&lt;&gt;"",I551="RECENT",K551&gt;0),LARGE(_xlfn._xlws.FILTER('Istoric_Nativ'!$D$6:$D$405,('Istoric_Nativ'!$B$6:$B$405=E551)*('Istoric_Nativ'!$C$6:$C$405=F551)*('Istoric_Nativ'!$P$6:$P$405=1)*('Istoric_Nativ'!$D$6:$D$405&lt;J551)*((('Istoric_Nativ'!$E$6:$E$405=G551)+('Istoric_Nativ'!$F$6:$F$405=G551))&gt;0)),MIN('Config_v6'!$B$54,K551)),0)</x:f>
        <x:v>0</x:v>
      </x:c>
      <x:c r="M551" s="2" t="n">
        <x:f>IF(OR(B551="",F551=""),0,IF(H551="HOME",COUNTIFS('Istoric_Nativ'!$B$6:$B$405,E551,'Istoric_Nativ'!$C$6:$C$405,F551,'Istoric_Nativ'!$E$6:$E$405,G551,'Istoric_Nativ'!$D$6:$D$405,"&lt;"&amp;J551,'Istoric_Nativ'!$P$6:$P$405,1,'Istoric_Nativ'!$D$6:$D$405,"&gt;="&amp;L551),IF(H551="AWAY",COUNTIFS('Istoric_Nativ'!$B$6:$B$405,E551,'Istoric_Nativ'!$C$6:$C$405,F551,'Istoric_Nativ'!$F$6:$F$405,G551,'Istoric_Nativ'!$D$6:$D$405,"&lt;"&amp;J551,'Istoric_Nativ'!$P$6:$P$405,1,'Istoric_Nativ'!$D$6:$D$405,"&gt;="&amp;L551),COUNTIFS('Istoric_Nativ'!$B$6:$B$405,E551,'Istoric_Nativ'!$C$6:$C$405,F551,'Istoric_Nativ'!$E$6:$E$405,G551,'Istoric_Nativ'!$D$6:$D$405,"&lt;"&amp;J551,'Istoric_Nativ'!$P$6:$P$405,1,'Istoric_Nativ'!$D$6:$D$405,"&gt;="&amp;L551)+COUNTIFS('Istoric_Nativ'!$B$6:$B$405,E551,'Istoric_Nativ'!$C$6:$C$405,F551,'Istoric_Nativ'!$F$6:$F$405,G551,'Istoric_Nativ'!$D$6:$D$405,"&lt;"&amp;J551,'Istoric_Nativ'!$P$6:$P$405,1,'Istoric_Nativ'!$D$6:$D$405,"&gt;="&amp;L551))))</x:f>
        <x:v>0</x:v>
      </x:c>
      <x:c r="N551" s="11" t="str">
        <x:f>IF(M551=0,"",IF(H551="HOME",SUMIFS('Istoric_Nativ'!$G$6:$G$405,'Istoric_Nativ'!$B$6:$B$405,E551,'Istoric_Nativ'!$C$6:$C$405,F551,'Istoric_Nativ'!$E$6:$E$405,G551,'Istoric_Nativ'!$D$6:$D$405,"&lt;"&amp;J551,'Istoric_Nativ'!$P$6:$P$405,1,'Istoric_Nativ'!$D$6:$D$405,"&gt;="&amp;L551),IF(H551="AWAY",SUMIFS('Istoric_Nativ'!$H$6:$H$405,'Istoric_Nativ'!$B$6:$B$405,E551,'Istoric_Nativ'!$C$6:$C$405,F551,'Istoric_Nativ'!$F$6:$F$405,G551,'Istoric_Nativ'!$D$6:$D$405,"&lt;"&amp;J551,'Istoric_Nativ'!$P$6:$P$405,1,'Istoric_Nativ'!$D$6:$D$405,"&gt;="&amp;L551),SUMIFS('Istoric_Nativ'!$G$6:$G$405,'Istoric_Nativ'!$B$6:$B$405,E551,'Istoric_Nativ'!$C$6:$C$405,F551,'Istoric_Nativ'!$E$6:$E$405,G551,'Istoric_Nativ'!$D$6:$D$405,"&lt;"&amp;J551,'Istoric_Nativ'!$P$6:$P$405,1,'Istoric_Nativ'!$D$6:$D$405,"&gt;="&amp;L551)+SUMIFS('Istoric_Nativ'!$H$6:$H$405,'Istoric_Nativ'!$B$6:$B$405,E551,'Istoric_Nativ'!$C$6:$C$405,F551,'Istoric_Nativ'!$F$6:$F$405,G551,'Istoric_Nativ'!$D$6:$D$405,"&lt;"&amp;J551,'Istoric_Nativ'!$P$6:$P$405,1,'Istoric_Nativ'!$D$6:$D$405,"&gt;="&amp;L551)))/M551)</x:f>
      </x:c>
      <x:c r="O551" s="11" t="str">
        <x:f>IF(M551=0,"",IF(H551="HOME",SUMIFS('Istoric_Nativ'!$H$6:$H$405,'Istoric_Nativ'!$B$6:$B$405,E551,'Istoric_Nativ'!$C$6:$C$405,F551,'Istoric_Nativ'!$E$6:$E$405,G551,'Istoric_Nativ'!$D$6:$D$405,"&lt;"&amp;J551,'Istoric_Nativ'!$P$6:$P$405,1,'Istoric_Nativ'!$D$6:$D$405,"&gt;="&amp;L551),IF(H551="AWAY",SUMIFS('Istoric_Nativ'!$G$6:$G$405,'Istoric_Nativ'!$B$6:$B$405,E551,'Istoric_Nativ'!$C$6:$C$405,F551,'Istoric_Nativ'!$F$6:$F$405,G551,'Istoric_Nativ'!$D$6:$D$405,"&lt;"&amp;J551,'Istoric_Nativ'!$P$6:$P$405,1,'Istoric_Nativ'!$D$6:$D$405,"&gt;="&amp;L551),SUMIFS('Istoric_Nativ'!$H$6:$H$405,'Istoric_Nativ'!$B$6:$B$405,E551,'Istoric_Nativ'!$C$6:$C$405,F551,'Istoric_Nativ'!$E$6:$E$405,G551,'Istoric_Nativ'!$D$6:$D$405,"&lt;"&amp;J551,'Istoric_Nativ'!$P$6:$P$405,1,'Istoric_Nativ'!$D$6:$D$405,"&gt;="&amp;L551)+SUMIFS('Istoric_Nativ'!$G$6:$G$405,'Istoric_Nativ'!$B$6:$B$405,E551,'Istoric_Nativ'!$C$6:$C$405,F551,'Istoric_Nativ'!$F$6:$F$405,G551,'Istoric_Nativ'!$D$6:$D$405,"&lt;"&amp;J551,'Istoric_Nativ'!$P$6:$P$405,1,'Istoric_Nativ'!$D$6:$D$405,"&gt;="&amp;L551)))/M551)</x:f>
      </x:c>
      <x:c r="P551" s="2" t="n">
        <x:f>'Config_v6'!$B$9</x:f>
        <x:v>3</x:v>
      </x:c>
      <x:c r="Q551" s="2" t="n">
        <x:f>IF(OR(B551="",F551=""),0,IFERROR(MATCH(E551&amp;"|"&amp;F551,SourceTable[Source_Key],0),0))</x:f>
        <x:v>0</x:v>
      </x:c>
      <x:c r="R551" s="2" t="str">
        <x:f>IF(B551="","",IF(F551="","UNUSED",IF(Q551=0,"NOT CHECKED",IF(COUNTIF(SourceTable[Source_Key],E551&amp;"|"&amp;F551)&lt;&gt;1,"SOURCE CONFLICT",IF(NOT(OR(INDEX(SourceTable[Status],MAX(1,Q551))="IMPORTED",INDEX(SourceTable[Status],MAX(1,Q551))="PARTIAL",INDEX(SourceTable[Status],MAX(1,Q551))="SOURCE CONFLICT")),"ACCESS BLOCKED",IF(OR(INDEX(SourceTable[Coverage],Q551)&lt;&gt;"FULL SEASON EXPORT",INDEX(SourceTable[URL],Q551)="",INDEX(SourceTable[SHA256],Q551)=""),"EVIDENCE INCOMPLETE",IF(AND('Input_Meci'!H51="LIVE",INDEX(SourceTable[Retrieved_UTC],Q551)&gt;'Input_Meci'!G51),"POST CUTOFF","CLOSED")))))))</x:f>
      </x:c>
      <x:c r="S551" s="2" t="n">
        <x:f>IF(OR(B551="",F551=""),0,COUNTIFS('Istoric_Nativ'!$B$6:$B$405,E551,'Istoric_Nativ'!$C$6:$C$405,F551,'Istoric_Nativ'!$E$6:$E$405,G551,'Istoric_Nativ'!$D$6:$D$405,"&lt;"&amp;J551,'Istoric_Nativ'!$O$6:$O$405,"INVALID")+COUNTIFS('Istoric_Nativ'!$B$6:$B$405,E551,'Istoric_Nativ'!$C$6:$C$405,F551,'Istoric_Nativ'!$E$6:$E$405,G551,'Istoric_Nativ'!$O$6:$O$405,"INVALID",'Istoric_Nativ'!$D$6:$D$405,"*")+COUNTIFS('Istoric_Nativ'!$B$6:$B$405,E551,'Istoric_Nativ'!$C$6:$C$405,F551,'Istoric_Nativ'!$E$6:$E$405,G551,'Istoric_Nativ'!$D$6:$D$405,"&lt;"&amp;J551,'Istoric_Nativ'!$O$6:$O$405,"SOURCE CONFLICT")+COUNTIFS('Istoric_Nativ'!$B$6:$B$405,E551,'Istoric_Nativ'!$C$6:$C$405,F551,'Istoric_Nativ'!$F$6:$F$405,G551,'Istoric_Nativ'!$D$6:$D$405,"&lt;"&amp;J551,'Istoric_Nativ'!$O$6:$O$405,"INVALID")+COUNTIFS('Istoric_Nativ'!$B$6:$B$405,E551,'Istoric_Nativ'!$C$6:$C$405,F551,'Istoric_Nativ'!$F$6:$F$405,G551,'Istoric_Nativ'!$O$6:$O$405,"INVALID",'Istoric_Nativ'!$D$6:$D$405,"*")+COUNTIFS('Istoric_Nativ'!$B$6:$B$405,E551,'Istoric_Nativ'!$C$6:$C$405,F551,'Istoric_Nativ'!$F$6:$F$405,G551,'Istoric_Nativ'!$D$6:$D$405,"&lt;"&amp;J551,'Istoric_Nativ'!$O$6:$O$405,"SOURCE CONFLICT"))</x:f>
        <x:v>0</x:v>
      </x:c>
      <x:c r="T551" s="2" t="str">
        <x:f>IF(B551="","",IF(R551&lt;&gt;"CLOSED",R551,IF(S551&gt;0,"NATIVE INPUT ISSUE",IF(M551=0,"NO HISTORY",IF(M551&lt;P551,"SMALL SAMPLE","DERIVED")))))</x:f>
      </x:c>
      <x:c r="U551" s="2" t="str">
        <x:f>IF(B551="","","NativeTable; "&amp;E551&amp;"; "&amp;F551&amp;"; "&amp;G551&amp;"; "&amp;H551&amp;"; before "&amp;TEXT(J551,"yyyy-mm-dd")&amp;IF(I551="RECENT","; from "&amp;TEXT(L551,"yyyy-mm-dd"),""))</x:f>
      </x:c>
    </x:row>
    <x:row r="552" ht="21" customHeight="1">
      <x:c r="A552" s="2" t="n">
        <x:v>46</x:v>
      </x:c>
      <x:c r="B552" s="2" t="str">
        <x:f>IF('Input_Meci'!A51="","",'Input_Meci'!A51)</x:f>
      </x:c>
      <x:c r="C552" s="2" t="str">
        <x:v>H</x:v>
      </x:c>
      <x:c r="D552" s="2" t="str">
        <x:v>PRIOR</x:v>
      </x:c>
      <x:c r="E552" s="2" t="str">
        <x:f>IF(B552="","",'Input_Meci'!B51)</x:f>
      </x:c>
      <x:c r="F552" s="2" t="str">
        <x:f>IF(B552="","",IF('Input_Meci'!K51="","",'Input_Meci'!K51))</x:f>
      </x:c>
      <x:c r="G552" s="2" t="str">
        <x:f>IF(B552="","",'Input_Meci'!D51)</x:f>
      </x:c>
      <x:c r="H552" s="2" t="str">
        <x:v>ANY</x:v>
      </x:c>
      <x:c r="I552" s="2" t="str">
        <x:v>SEASON</x:v>
      </x:c>
      <x:c r="J552" s="9" t="n">
        <x:f>IF(AND(B552&lt;&gt;"",ISNUMBER('Input_Meci'!G51)),INT('Input_Meci'!G51),0)</x:f>
        <x:v>0</x:v>
      </x:c>
      <x:c r="K552" s="2" t="n">
        <x:f>IF(OR(B552="",F552=""),0,IF(H552="HOME",COUNTIFS('Istoric_Nativ'!$B$6:$B$405,E552,'Istoric_Nativ'!$C$6:$C$405,F552,'Istoric_Nativ'!$E$6:$E$405,G552,'Istoric_Nativ'!$D$6:$D$405,"&lt;"&amp;J552,'Istoric_Nativ'!$P$6:$P$405,1),IF(H552="AWAY",COUNTIFS('Istoric_Nativ'!$B$6:$B$405,E552,'Istoric_Nativ'!$C$6:$C$405,F552,'Istoric_Nativ'!$F$6:$F$405,G552,'Istoric_Nativ'!$D$6:$D$405,"&lt;"&amp;J552,'Istoric_Nativ'!$P$6:$P$405,1),COUNTIFS('Istoric_Nativ'!$B$6:$B$405,E552,'Istoric_Nativ'!$C$6:$C$405,F552,'Istoric_Nativ'!$E$6:$E$405,G552,'Istoric_Nativ'!$D$6:$D$405,"&lt;"&amp;J552,'Istoric_Nativ'!$P$6:$P$405,1)+COUNTIFS('Istoric_Nativ'!$B$6:$B$405,E552,'Istoric_Nativ'!$C$6:$C$405,F552,'Istoric_Nativ'!$F$6:$F$405,G552,'Istoric_Nativ'!$D$6:$D$405,"&lt;"&amp;J552,'Istoric_Nativ'!$P$6:$P$405,1))))</x:f>
        <x:v>0</x:v>
      </x:c>
      <x:c r="L552" s="17" t="n">
        <x:f>IF(AND(B552&lt;&gt;"",I552="RECENT",K552&gt;0),LARGE(_xlfn._xlws.FILTER('Istoric_Nativ'!$D$6:$D$405,('Istoric_Nativ'!$B$6:$B$405=E552)*('Istoric_Nativ'!$C$6:$C$405=F552)*('Istoric_Nativ'!$P$6:$P$405=1)*('Istoric_Nativ'!$D$6:$D$405&lt;J552)*((('Istoric_Nativ'!$E$6:$E$405=G552)+('Istoric_Nativ'!$F$6:$F$405=G552))&gt;0)),MIN('Config_v6'!$B$54,K552)),0)</x:f>
        <x:v>0</x:v>
      </x:c>
      <x:c r="M552" s="2" t="n">
        <x:f>IF(OR(B552="",F552=""),0,IF(H552="HOME",COUNTIFS('Istoric_Nativ'!$B$6:$B$405,E552,'Istoric_Nativ'!$C$6:$C$405,F552,'Istoric_Nativ'!$E$6:$E$405,G552,'Istoric_Nativ'!$D$6:$D$405,"&lt;"&amp;J552,'Istoric_Nativ'!$P$6:$P$405,1,'Istoric_Nativ'!$D$6:$D$405,"&gt;="&amp;L552),IF(H552="AWAY",COUNTIFS('Istoric_Nativ'!$B$6:$B$405,E552,'Istoric_Nativ'!$C$6:$C$405,F552,'Istoric_Nativ'!$F$6:$F$405,G552,'Istoric_Nativ'!$D$6:$D$405,"&lt;"&amp;J552,'Istoric_Nativ'!$P$6:$P$405,1,'Istoric_Nativ'!$D$6:$D$405,"&gt;="&amp;L552),COUNTIFS('Istoric_Nativ'!$B$6:$B$405,E552,'Istoric_Nativ'!$C$6:$C$405,F552,'Istoric_Nativ'!$E$6:$E$405,G552,'Istoric_Nativ'!$D$6:$D$405,"&lt;"&amp;J552,'Istoric_Nativ'!$P$6:$P$405,1,'Istoric_Nativ'!$D$6:$D$405,"&gt;="&amp;L552)+COUNTIFS('Istoric_Nativ'!$B$6:$B$405,E552,'Istoric_Nativ'!$C$6:$C$405,F552,'Istoric_Nativ'!$F$6:$F$405,G552,'Istoric_Nativ'!$D$6:$D$405,"&lt;"&amp;J552,'Istoric_Nativ'!$P$6:$P$405,1,'Istoric_Nativ'!$D$6:$D$405,"&gt;="&amp;L552))))</x:f>
        <x:v>0</x:v>
      </x:c>
      <x:c r="N552" s="11" t="str">
        <x:f>IF(M552=0,"",IF(H552="HOME",SUMIFS('Istoric_Nativ'!$G$6:$G$405,'Istoric_Nativ'!$B$6:$B$405,E552,'Istoric_Nativ'!$C$6:$C$405,F552,'Istoric_Nativ'!$E$6:$E$405,G552,'Istoric_Nativ'!$D$6:$D$405,"&lt;"&amp;J552,'Istoric_Nativ'!$P$6:$P$405,1,'Istoric_Nativ'!$D$6:$D$405,"&gt;="&amp;L552),IF(H552="AWAY",SUMIFS('Istoric_Nativ'!$H$6:$H$405,'Istoric_Nativ'!$B$6:$B$405,E552,'Istoric_Nativ'!$C$6:$C$405,F552,'Istoric_Nativ'!$F$6:$F$405,G552,'Istoric_Nativ'!$D$6:$D$405,"&lt;"&amp;J552,'Istoric_Nativ'!$P$6:$P$405,1,'Istoric_Nativ'!$D$6:$D$405,"&gt;="&amp;L552),SUMIFS('Istoric_Nativ'!$G$6:$G$405,'Istoric_Nativ'!$B$6:$B$405,E552,'Istoric_Nativ'!$C$6:$C$405,F552,'Istoric_Nativ'!$E$6:$E$405,G552,'Istoric_Nativ'!$D$6:$D$405,"&lt;"&amp;J552,'Istoric_Nativ'!$P$6:$P$405,1,'Istoric_Nativ'!$D$6:$D$405,"&gt;="&amp;L552)+SUMIFS('Istoric_Nativ'!$H$6:$H$405,'Istoric_Nativ'!$B$6:$B$405,E552,'Istoric_Nativ'!$C$6:$C$405,F552,'Istoric_Nativ'!$F$6:$F$405,G552,'Istoric_Nativ'!$D$6:$D$405,"&lt;"&amp;J552,'Istoric_Nativ'!$P$6:$P$405,1,'Istoric_Nativ'!$D$6:$D$405,"&gt;="&amp;L552)))/M552)</x:f>
      </x:c>
      <x:c r="O552" s="11" t="str">
        <x:f>IF(M552=0,"",IF(H552="HOME",SUMIFS('Istoric_Nativ'!$H$6:$H$405,'Istoric_Nativ'!$B$6:$B$405,E552,'Istoric_Nativ'!$C$6:$C$405,F552,'Istoric_Nativ'!$E$6:$E$405,G552,'Istoric_Nativ'!$D$6:$D$405,"&lt;"&amp;J552,'Istoric_Nativ'!$P$6:$P$405,1,'Istoric_Nativ'!$D$6:$D$405,"&gt;="&amp;L552),IF(H552="AWAY",SUMIFS('Istoric_Nativ'!$G$6:$G$405,'Istoric_Nativ'!$B$6:$B$405,E552,'Istoric_Nativ'!$C$6:$C$405,F552,'Istoric_Nativ'!$F$6:$F$405,G552,'Istoric_Nativ'!$D$6:$D$405,"&lt;"&amp;J552,'Istoric_Nativ'!$P$6:$P$405,1,'Istoric_Nativ'!$D$6:$D$405,"&gt;="&amp;L552),SUMIFS('Istoric_Nativ'!$H$6:$H$405,'Istoric_Nativ'!$B$6:$B$405,E552,'Istoric_Nativ'!$C$6:$C$405,F552,'Istoric_Nativ'!$E$6:$E$405,G552,'Istoric_Nativ'!$D$6:$D$405,"&lt;"&amp;J552,'Istoric_Nativ'!$P$6:$P$405,1,'Istoric_Nativ'!$D$6:$D$405,"&gt;="&amp;L552)+SUMIFS('Istoric_Nativ'!$G$6:$G$405,'Istoric_Nativ'!$B$6:$B$405,E552,'Istoric_Nativ'!$C$6:$C$405,F552,'Istoric_Nativ'!$F$6:$F$405,G552,'Istoric_Nativ'!$D$6:$D$405,"&lt;"&amp;J552,'Istoric_Nativ'!$P$6:$P$405,1,'Istoric_Nativ'!$D$6:$D$405,"&gt;="&amp;L552)))/M552)</x:f>
      </x:c>
      <x:c r="P552" s="2" t="n">
        <x:f>'Config_v6'!$B$7</x:f>
        <x:v>10</x:v>
      </x:c>
      <x:c r="Q552" s="2" t="n">
        <x:f>IF(OR(B552="",F552=""),0,IFERROR(MATCH(E552&amp;"|"&amp;F552,SourceTable[Source_Key],0),0))</x:f>
        <x:v>0</x:v>
      </x:c>
      <x:c r="R552" s="2" t="str">
        <x:f>IF(B552="","",IF(F552="","UNUSED",IF(Q552=0,"NOT CHECKED",IF(COUNTIF(SourceTable[Source_Key],E552&amp;"|"&amp;F552)&lt;&gt;1,"SOURCE CONFLICT",IF(NOT(OR(INDEX(SourceTable[Status],MAX(1,Q552))="IMPORTED",INDEX(SourceTable[Status],MAX(1,Q552))="PARTIAL",INDEX(SourceTable[Status],MAX(1,Q552))="SOURCE CONFLICT")),"ACCESS BLOCKED",IF(OR(INDEX(SourceTable[Coverage],Q552)&lt;&gt;"FULL SEASON EXPORT",INDEX(SourceTable[URL],Q552)="",INDEX(SourceTable[SHA256],Q552)=""),"EVIDENCE INCOMPLETE",IF(AND('Input_Meci'!H51="LIVE",INDEX(SourceTable[Retrieved_UTC],Q552)&gt;'Input_Meci'!G51),"POST CUTOFF","CLOSED")))))))</x:f>
      </x:c>
      <x:c r="S552" s="2" t="n">
        <x:f>IF(OR(B552="",F552=""),0,COUNTIFS('Istoric_Nativ'!$B$6:$B$405,E552,'Istoric_Nativ'!$C$6:$C$405,F552,'Istoric_Nativ'!$E$6:$E$405,G552,'Istoric_Nativ'!$D$6:$D$405,"&lt;"&amp;J552,'Istoric_Nativ'!$O$6:$O$405,"INVALID")+COUNTIFS('Istoric_Nativ'!$B$6:$B$405,E552,'Istoric_Nativ'!$C$6:$C$405,F552,'Istoric_Nativ'!$E$6:$E$405,G552,'Istoric_Nativ'!$O$6:$O$405,"INVALID",'Istoric_Nativ'!$D$6:$D$405,"*")+COUNTIFS('Istoric_Nativ'!$B$6:$B$405,E552,'Istoric_Nativ'!$C$6:$C$405,F552,'Istoric_Nativ'!$E$6:$E$405,G552,'Istoric_Nativ'!$D$6:$D$405,"&lt;"&amp;J552,'Istoric_Nativ'!$O$6:$O$405,"SOURCE CONFLICT")+COUNTIFS('Istoric_Nativ'!$B$6:$B$405,E552,'Istoric_Nativ'!$C$6:$C$405,F552,'Istoric_Nativ'!$F$6:$F$405,G552,'Istoric_Nativ'!$D$6:$D$405,"&lt;"&amp;J552,'Istoric_Nativ'!$O$6:$O$405,"INVALID")+COUNTIFS('Istoric_Nativ'!$B$6:$B$405,E552,'Istoric_Nativ'!$C$6:$C$405,F552,'Istoric_Nativ'!$F$6:$F$405,G552,'Istoric_Nativ'!$O$6:$O$405,"INVALID",'Istoric_Nativ'!$D$6:$D$405,"*")+COUNTIFS('Istoric_Nativ'!$B$6:$B$405,E552,'Istoric_Nativ'!$C$6:$C$405,F552,'Istoric_Nativ'!$F$6:$F$405,G552,'Istoric_Nativ'!$D$6:$D$405,"&lt;"&amp;J552,'Istoric_Nativ'!$O$6:$O$405,"SOURCE CONFLICT"))</x:f>
        <x:v>0</x:v>
      </x:c>
      <x:c r="T552" s="2" t="str">
        <x:f>IF(B552="","",IF(R552&lt;&gt;"CLOSED",R552,IF(S552&gt;0,"NATIVE INPUT ISSUE",IF(M552=0,"NO HISTORY",IF(M552&lt;P552,"SMALL SAMPLE","DERIVED")))))</x:f>
      </x:c>
      <x:c r="U552" s="2" t="str">
        <x:f>IF(B552="","","NativeTable; "&amp;E552&amp;"; "&amp;F552&amp;"; "&amp;G552&amp;"; "&amp;H552&amp;"; before "&amp;TEXT(J552,"yyyy-mm-dd")&amp;IF(I552="RECENT","; from "&amp;TEXT(L552,"yyyy-mm-dd"),""))</x:f>
      </x:c>
    </x:row>
    <x:row r="553" ht="21" customHeight="1">
      <x:c r="A553" s="2" t="n">
        <x:v>46</x:v>
      </x:c>
      <x:c r="B553" s="2" t="str">
        <x:f>IF('Input_Meci'!A51="","",'Input_Meci'!A51)</x:f>
      </x:c>
      <x:c r="C553" s="2" t="str">
        <x:v>H</x:v>
      </x:c>
      <x:c r="D553" s="2" t="str">
        <x:v>PRIOR</x:v>
      </x:c>
      <x:c r="E553" s="2" t="str">
        <x:f>IF(B553="","",'Input_Meci'!B51)</x:f>
      </x:c>
      <x:c r="F553" s="2" t="str">
        <x:f>IF(B553="","",IF('Input_Meci'!K51="","",'Input_Meci'!K51))</x:f>
      </x:c>
      <x:c r="G553" s="2" t="str">
        <x:f>IF(B553="","",'Input_Meci'!D51)</x:f>
      </x:c>
      <x:c r="H553" s="2" t="str">
        <x:v>HOME</x:v>
      </x:c>
      <x:c r="I553" s="2" t="str">
        <x:v>HA</x:v>
      </x:c>
      <x:c r="J553" s="9" t="n">
        <x:f>IF(AND(B553&lt;&gt;"",ISNUMBER('Input_Meci'!G51)),INT('Input_Meci'!G51),0)</x:f>
        <x:v>0</x:v>
      </x:c>
      <x:c r="K553" s="2" t="n">
        <x:f>IF(OR(B553="",F553=""),0,IF(H553="HOME",COUNTIFS('Istoric_Nativ'!$B$6:$B$405,E553,'Istoric_Nativ'!$C$6:$C$405,F553,'Istoric_Nativ'!$E$6:$E$405,G553,'Istoric_Nativ'!$D$6:$D$405,"&lt;"&amp;J553,'Istoric_Nativ'!$P$6:$P$405,1),IF(H553="AWAY",COUNTIFS('Istoric_Nativ'!$B$6:$B$405,E553,'Istoric_Nativ'!$C$6:$C$405,F553,'Istoric_Nativ'!$F$6:$F$405,G553,'Istoric_Nativ'!$D$6:$D$405,"&lt;"&amp;J553,'Istoric_Nativ'!$P$6:$P$405,1),COUNTIFS('Istoric_Nativ'!$B$6:$B$405,E553,'Istoric_Nativ'!$C$6:$C$405,F553,'Istoric_Nativ'!$E$6:$E$405,G553,'Istoric_Nativ'!$D$6:$D$405,"&lt;"&amp;J553,'Istoric_Nativ'!$P$6:$P$405,1)+COUNTIFS('Istoric_Nativ'!$B$6:$B$405,E553,'Istoric_Nativ'!$C$6:$C$405,F553,'Istoric_Nativ'!$F$6:$F$405,G553,'Istoric_Nativ'!$D$6:$D$405,"&lt;"&amp;J553,'Istoric_Nativ'!$P$6:$P$405,1))))</x:f>
        <x:v>0</x:v>
      </x:c>
      <x:c r="L553" s="17" t="n">
        <x:f>IF(AND(B553&lt;&gt;"",I553="RECENT",K553&gt;0),LARGE(_xlfn._xlws.FILTER('Istoric_Nativ'!$D$6:$D$405,('Istoric_Nativ'!$B$6:$B$405=E553)*('Istoric_Nativ'!$C$6:$C$405=F553)*('Istoric_Nativ'!$P$6:$P$405=1)*('Istoric_Nativ'!$D$6:$D$405&lt;J553)*((('Istoric_Nativ'!$E$6:$E$405=G553)+('Istoric_Nativ'!$F$6:$F$405=G553))&gt;0)),MIN('Config_v6'!$B$54,K553)),0)</x:f>
        <x:v>0</x:v>
      </x:c>
      <x:c r="M553" s="2" t="n">
        <x:f>IF(OR(B553="",F553=""),0,IF(H553="HOME",COUNTIFS('Istoric_Nativ'!$B$6:$B$405,E553,'Istoric_Nativ'!$C$6:$C$405,F553,'Istoric_Nativ'!$E$6:$E$405,G553,'Istoric_Nativ'!$D$6:$D$405,"&lt;"&amp;J553,'Istoric_Nativ'!$P$6:$P$405,1,'Istoric_Nativ'!$D$6:$D$405,"&gt;="&amp;L553),IF(H553="AWAY",COUNTIFS('Istoric_Nativ'!$B$6:$B$405,E553,'Istoric_Nativ'!$C$6:$C$405,F553,'Istoric_Nativ'!$F$6:$F$405,G553,'Istoric_Nativ'!$D$6:$D$405,"&lt;"&amp;J553,'Istoric_Nativ'!$P$6:$P$405,1,'Istoric_Nativ'!$D$6:$D$405,"&gt;="&amp;L553),COUNTIFS('Istoric_Nativ'!$B$6:$B$405,E553,'Istoric_Nativ'!$C$6:$C$405,F553,'Istoric_Nativ'!$E$6:$E$405,G553,'Istoric_Nativ'!$D$6:$D$405,"&lt;"&amp;J553,'Istoric_Nativ'!$P$6:$P$405,1,'Istoric_Nativ'!$D$6:$D$405,"&gt;="&amp;L553)+COUNTIFS('Istoric_Nativ'!$B$6:$B$405,E553,'Istoric_Nativ'!$C$6:$C$405,F553,'Istoric_Nativ'!$F$6:$F$405,G553,'Istoric_Nativ'!$D$6:$D$405,"&lt;"&amp;J553,'Istoric_Nativ'!$P$6:$P$405,1,'Istoric_Nativ'!$D$6:$D$405,"&gt;="&amp;L553))))</x:f>
        <x:v>0</x:v>
      </x:c>
      <x:c r="N553" s="11" t="str">
        <x:f>IF(M553=0,"",IF(H553="HOME",SUMIFS('Istoric_Nativ'!$G$6:$G$405,'Istoric_Nativ'!$B$6:$B$405,E553,'Istoric_Nativ'!$C$6:$C$405,F553,'Istoric_Nativ'!$E$6:$E$405,G553,'Istoric_Nativ'!$D$6:$D$405,"&lt;"&amp;J553,'Istoric_Nativ'!$P$6:$P$405,1,'Istoric_Nativ'!$D$6:$D$405,"&gt;="&amp;L553),IF(H553="AWAY",SUMIFS('Istoric_Nativ'!$H$6:$H$405,'Istoric_Nativ'!$B$6:$B$405,E553,'Istoric_Nativ'!$C$6:$C$405,F553,'Istoric_Nativ'!$F$6:$F$405,G553,'Istoric_Nativ'!$D$6:$D$405,"&lt;"&amp;J553,'Istoric_Nativ'!$P$6:$P$405,1,'Istoric_Nativ'!$D$6:$D$405,"&gt;="&amp;L553),SUMIFS('Istoric_Nativ'!$G$6:$G$405,'Istoric_Nativ'!$B$6:$B$405,E553,'Istoric_Nativ'!$C$6:$C$405,F553,'Istoric_Nativ'!$E$6:$E$405,G553,'Istoric_Nativ'!$D$6:$D$405,"&lt;"&amp;J553,'Istoric_Nativ'!$P$6:$P$405,1,'Istoric_Nativ'!$D$6:$D$405,"&gt;="&amp;L553)+SUMIFS('Istoric_Nativ'!$H$6:$H$405,'Istoric_Nativ'!$B$6:$B$405,E553,'Istoric_Nativ'!$C$6:$C$405,F553,'Istoric_Nativ'!$F$6:$F$405,G553,'Istoric_Nativ'!$D$6:$D$405,"&lt;"&amp;J553,'Istoric_Nativ'!$P$6:$P$405,1,'Istoric_Nativ'!$D$6:$D$405,"&gt;="&amp;L553)))/M553)</x:f>
      </x:c>
      <x:c r="O553" s="11" t="str">
        <x:f>IF(M553=0,"",IF(H553="HOME",SUMIFS('Istoric_Nativ'!$H$6:$H$405,'Istoric_Nativ'!$B$6:$B$405,E553,'Istoric_Nativ'!$C$6:$C$405,F553,'Istoric_Nativ'!$E$6:$E$405,G553,'Istoric_Nativ'!$D$6:$D$405,"&lt;"&amp;J553,'Istoric_Nativ'!$P$6:$P$405,1,'Istoric_Nativ'!$D$6:$D$405,"&gt;="&amp;L553),IF(H553="AWAY",SUMIFS('Istoric_Nativ'!$G$6:$G$405,'Istoric_Nativ'!$B$6:$B$405,E553,'Istoric_Nativ'!$C$6:$C$405,F553,'Istoric_Nativ'!$F$6:$F$405,G553,'Istoric_Nativ'!$D$6:$D$405,"&lt;"&amp;J553,'Istoric_Nativ'!$P$6:$P$405,1,'Istoric_Nativ'!$D$6:$D$405,"&gt;="&amp;L553),SUMIFS('Istoric_Nativ'!$H$6:$H$405,'Istoric_Nativ'!$B$6:$B$405,E553,'Istoric_Nativ'!$C$6:$C$405,F553,'Istoric_Nativ'!$E$6:$E$405,G553,'Istoric_Nativ'!$D$6:$D$405,"&lt;"&amp;J553,'Istoric_Nativ'!$P$6:$P$405,1,'Istoric_Nativ'!$D$6:$D$405,"&gt;="&amp;L553)+SUMIFS('Istoric_Nativ'!$G$6:$G$405,'Istoric_Nativ'!$B$6:$B$405,E553,'Istoric_Nativ'!$C$6:$C$405,F553,'Istoric_Nativ'!$F$6:$F$405,G553,'Istoric_Nativ'!$D$6:$D$405,"&lt;"&amp;J553,'Istoric_Nativ'!$P$6:$P$405,1,'Istoric_Nativ'!$D$6:$D$405,"&gt;="&amp;L553)))/M553)</x:f>
      </x:c>
      <x:c r="P553" s="2" t="n">
        <x:f>'Config_v6'!$B$8</x:f>
        <x:v>5</x:v>
      </x:c>
      <x:c r="Q553" s="2" t="n">
        <x:f>IF(OR(B553="",F553=""),0,IFERROR(MATCH(E553&amp;"|"&amp;F553,SourceTable[Source_Key],0),0))</x:f>
        <x:v>0</x:v>
      </x:c>
      <x:c r="R553" s="2" t="str">
        <x:f>IF(B553="","",IF(F553="","UNUSED",IF(Q553=0,"NOT CHECKED",IF(COUNTIF(SourceTable[Source_Key],E553&amp;"|"&amp;F553)&lt;&gt;1,"SOURCE CONFLICT",IF(NOT(OR(INDEX(SourceTable[Status],MAX(1,Q553))="IMPORTED",INDEX(SourceTable[Status],MAX(1,Q553))="PARTIAL",INDEX(SourceTable[Status],MAX(1,Q553))="SOURCE CONFLICT")),"ACCESS BLOCKED",IF(OR(INDEX(SourceTable[Coverage],Q553)&lt;&gt;"FULL SEASON EXPORT",INDEX(SourceTable[URL],Q553)="",INDEX(SourceTable[SHA256],Q553)=""),"EVIDENCE INCOMPLETE",IF(AND('Input_Meci'!H51="LIVE",INDEX(SourceTable[Retrieved_UTC],Q553)&gt;'Input_Meci'!G51),"POST CUTOFF","CLOSED")))))))</x:f>
      </x:c>
      <x:c r="S553" s="2" t="n">
        <x:f>IF(OR(B553="",F553=""),0,COUNTIFS('Istoric_Nativ'!$B$6:$B$405,E553,'Istoric_Nativ'!$C$6:$C$405,F553,'Istoric_Nativ'!$E$6:$E$405,G553,'Istoric_Nativ'!$D$6:$D$405,"&lt;"&amp;J553,'Istoric_Nativ'!$O$6:$O$405,"INVALID")+COUNTIFS('Istoric_Nativ'!$B$6:$B$405,E553,'Istoric_Nativ'!$C$6:$C$405,F553,'Istoric_Nativ'!$E$6:$E$405,G553,'Istoric_Nativ'!$O$6:$O$405,"INVALID",'Istoric_Nativ'!$D$6:$D$405,"*")+COUNTIFS('Istoric_Nativ'!$B$6:$B$405,E553,'Istoric_Nativ'!$C$6:$C$405,F553,'Istoric_Nativ'!$E$6:$E$405,G553,'Istoric_Nativ'!$D$6:$D$405,"&lt;"&amp;J553,'Istoric_Nativ'!$O$6:$O$405,"SOURCE CONFLICT")+COUNTIFS('Istoric_Nativ'!$B$6:$B$405,E553,'Istoric_Nativ'!$C$6:$C$405,F553,'Istoric_Nativ'!$F$6:$F$405,G553,'Istoric_Nativ'!$D$6:$D$405,"&lt;"&amp;J553,'Istoric_Nativ'!$O$6:$O$405,"INVALID")+COUNTIFS('Istoric_Nativ'!$B$6:$B$405,E553,'Istoric_Nativ'!$C$6:$C$405,F553,'Istoric_Nativ'!$F$6:$F$405,G553,'Istoric_Nativ'!$O$6:$O$405,"INVALID",'Istoric_Nativ'!$D$6:$D$405,"*")+COUNTIFS('Istoric_Nativ'!$B$6:$B$405,E553,'Istoric_Nativ'!$C$6:$C$405,F553,'Istoric_Nativ'!$F$6:$F$405,G553,'Istoric_Nativ'!$D$6:$D$405,"&lt;"&amp;J553,'Istoric_Nativ'!$O$6:$O$405,"SOURCE CONFLICT"))</x:f>
        <x:v>0</x:v>
      </x:c>
      <x:c r="T553" s="2" t="str">
        <x:f>IF(B553="","",IF(R553&lt;&gt;"CLOSED",R553,IF(S553&gt;0,"NATIVE INPUT ISSUE",IF(M553=0,"NO HISTORY",IF(M553&lt;P553,"SMALL SAMPLE","DERIVED")))))</x:f>
      </x:c>
      <x:c r="U553" s="2" t="str">
        <x:f>IF(B553="","","NativeTable; "&amp;E553&amp;"; "&amp;F553&amp;"; "&amp;G553&amp;"; "&amp;H553&amp;"; before "&amp;TEXT(J553,"yyyy-mm-dd")&amp;IF(I553="RECENT","; from "&amp;TEXT(L553,"yyyy-mm-dd"),""))</x:f>
      </x:c>
    </x:row>
    <x:row r="554" ht="21" customHeight="1">
      <x:c r="A554" s="2" t="n">
        <x:v>46</x:v>
      </x:c>
      <x:c r="B554" s="2" t="str">
        <x:f>IF('Input_Meci'!A51="","",'Input_Meci'!A51)</x:f>
      </x:c>
      <x:c r="C554" s="2" t="str">
        <x:v>H</x:v>
      </x:c>
      <x:c r="D554" s="2" t="str">
        <x:v>PRIOR</x:v>
      </x:c>
      <x:c r="E554" s="2" t="str">
        <x:f>IF(B554="","",'Input_Meci'!B51)</x:f>
      </x:c>
      <x:c r="F554" s="2" t="str">
        <x:f>IF(B554="","",IF('Input_Meci'!K51="","",'Input_Meci'!K51))</x:f>
      </x:c>
      <x:c r="G554" s="2" t="str">
        <x:f>IF(B554="","",'Input_Meci'!D51)</x:f>
      </x:c>
      <x:c r="H554" s="2" t="str">
        <x:v>ANY</x:v>
      </x:c>
      <x:c r="I554" s="2" t="str">
        <x:v>RECENT</x:v>
      </x:c>
      <x:c r="J554" s="9" t="n">
        <x:f>IF(AND(B554&lt;&gt;"",ISNUMBER('Input_Meci'!G51)),INT('Input_Meci'!G51),0)</x:f>
        <x:v>0</x:v>
      </x:c>
      <x:c r="K554" s="2" t="n">
        <x:f>IF(OR(B554="",F554=""),0,IF(H554="HOME",COUNTIFS('Istoric_Nativ'!$B$6:$B$405,E554,'Istoric_Nativ'!$C$6:$C$405,F554,'Istoric_Nativ'!$E$6:$E$405,G554,'Istoric_Nativ'!$D$6:$D$405,"&lt;"&amp;J554,'Istoric_Nativ'!$P$6:$P$405,1),IF(H554="AWAY",COUNTIFS('Istoric_Nativ'!$B$6:$B$405,E554,'Istoric_Nativ'!$C$6:$C$405,F554,'Istoric_Nativ'!$F$6:$F$405,G554,'Istoric_Nativ'!$D$6:$D$405,"&lt;"&amp;J554,'Istoric_Nativ'!$P$6:$P$405,1),COUNTIFS('Istoric_Nativ'!$B$6:$B$405,E554,'Istoric_Nativ'!$C$6:$C$405,F554,'Istoric_Nativ'!$E$6:$E$405,G554,'Istoric_Nativ'!$D$6:$D$405,"&lt;"&amp;J554,'Istoric_Nativ'!$P$6:$P$405,1)+COUNTIFS('Istoric_Nativ'!$B$6:$B$405,E554,'Istoric_Nativ'!$C$6:$C$405,F554,'Istoric_Nativ'!$F$6:$F$405,G554,'Istoric_Nativ'!$D$6:$D$405,"&lt;"&amp;J554,'Istoric_Nativ'!$P$6:$P$405,1))))</x:f>
        <x:v>0</x:v>
      </x:c>
      <x:c r="L554" s="17" t="n">
        <x:f>IF(AND(B554&lt;&gt;"",I554="RECENT",K554&gt;0),LARGE(_xlfn._xlws.FILTER('Istoric_Nativ'!$D$6:$D$405,('Istoric_Nativ'!$B$6:$B$405=E554)*('Istoric_Nativ'!$C$6:$C$405=F554)*('Istoric_Nativ'!$P$6:$P$405=1)*('Istoric_Nativ'!$D$6:$D$405&lt;J554)*((('Istoric_Nativ'!$E$6:$E$405=G554)+('Istoric_Nativ'!$F$6:$F$405=G554))&gt;0)),MIN('Config_v6'!$B$54,K554)),0)</x:f>
        <x:v>0</x:v>
      </x:c>
      <x:c r="M554" s="2" t="n">
        <x:f>IF(OR(B554="",F554=""),0,IF(H554="HOME",COUNTIFS('Istoric_Nativ'!$B$6:$B$405,E554,'Istoric_Nativ'!$C$6:$C$405,F554,'Istoric_Nativ'!$E$6:$E$405,G554,'Istoric_Nativ'!$D$6:$D$405,"&lt;"&amp;J554,'Istoric_Nativ'!$P$6:$P$405,1,'Istoric_Nativ'!$D$6:$D$405,"&gt;="&amp;L554),IF(H554="AWAY",COUNTIFS('Istoric_Nativ'!$B$6:$B$405,E554,'Istoric_Nativ'!$C$6:$C$405,F554,'Istoric_Nativ'!$F$6:$F$405,G554,'Istoric_Nativ'!$D$6:$D$405,"&lt;"&amp;J554,'Istoric_Nativ'!$P$6:$P$405,1,'Istoric_Nativ'!$D$6:$D$405,"&gt;="&amp;L554),COUNTIFS('Istoric_Nativ'!$B$6:$B$405,E554,'Istoric_Nativ'!$C$6:$C$405,F554,'Istoric_Nativ'!$E$6:$E$405,G554,'Istoric_Nativ'!$D$6:$D$405,"&lt;"&amp;J554,'Istoric_Nativ'!$P$6:$P$405,1,'Istoric_Nativ'!$D$6:$D$405,"&gt;="&amp;L554)+COUNTIFS('Istoric_Nativ'!$B$6:$B$405,E554,'Istoric_Nativ'!$C$6:$C$405,F554,'Istoric_Nativ'!$F$6:$F$405,G554,'Istoric_Nativ'!$D$6:$D$405,"&lt;"&amp;J554,'Istoric_Nativ'!$P$6:$P$405,1,'Istoric_Nativ'!$D$6:$D$405,"&gt;="&amp;L554))))</x:f>
        <x:v>0</x:v>
      </x:c>
      <x:c r="N554" s="11" t="str">
        <x:f>IF(M554=0,"",IF(H554="HOME",SUMIFS('Istoric_Nativ'!$G$6:$G$405,'Istoric_Nativ'!$B$6:$B$405,E554,'Istoric_Nativ'!$C$6:$C$405,F554,'Istoric_Nativ'!$E$6:$E$405,G554,'Istoric_Nativ'!$D$6:$D$405,"&lt;"&amp;J554,'Istoric_Nativ'!$P$6:$P$405,1,'Istoric_Nativ'!$D$6:$D$405,"&gt;="&amp;L554),IF(H554="AWAY",SUMIFS('Istoric_Nativ'!$H$6:$H$405,'Istoric_Nativ'!$B$6:$B$405,E554,'Istoric_Nativ'!$C$6:$C$405,F554,'Istoric_Nativ'!$F$6:$F$405,G554,'Istoric_Nativ'!$D$6:$D$405,"&lt;"&amp;J554,'Istoric_Nativ'!$P$6:$P$405,1,'Istoric_Nativ'!$D$6:$D$405,"&gt;="&amp;L554),SUMIFS('Istoric_Nativ'!$G$6:$G$405,'Istoric_Nativ'!$B$6:$B$405,E554,'Istoric_Nativ'!$C$6:$C$405,F554,'Istoric_Nativ'!$E$6:$E$405,G554,'Istoric_Nativ'!$D$6:$D$405,"&lt;"&amp;J554,'Istoric_Nativ'!$P$6:$P$405,1,'Istoric_Nativ'!$D$6:$D$405,"&gt;="&amp;L554)+SUMIFS('Istoric_Nativ'!$H$6:$H$405,'Istoric_Nativ'!$B$6:$B$405,E554,'Istoric_Nativ'!$C$6:$C$405,F554,'Istoric_Nativ'!$F$6:$F$405,G554,'Istoric_Nativ'!$D$6:$D$405,"&lt;"&amp;J554,'Istoric_Nativ'!$P$6:$P$405,1,'Istoric_Nativ'!$D$6:$D$405,"&gt;="&amp;L554)))/M554)</x:f>
      </x:c>
      <x:c r="O554" s="11" t="str">
        <x:f>IF(M554=0,"",IF(H554="HOME",SUMIFS('Istoric_Nativ'!$H$6:$H$405,'Istoric_Nativ'!$B$6:$B$405,E554,'Istoric_Nativ'!$C$6:$C$405,F554,'Istoric_Nativ'!$E$6:$E$405,G554,'Istoric_Nativ'!$D$6:$D$405,"&lt;"&amp;J554,'Istoric_Nativ'!$P$6:$P$405,1,'Istoric_Nativ'!$D$6:$D$405,"&gt;="&amp;L554),IF(H554="AWAY",SUMIFS('Istoric_Nativ'!$G$6:$G$405,'Istoric_Nativ'!$B$6:$B$405,E554,'Istoric_Nativ'!$C$6:$C$405,F554,'Istoric_Nativ'!$F$6:$F$405,G554,'Istoric_Nativ'!$D$6:$D$405,"&lt;"&amp;J554,'Istoric_Nativ'!$P$6:$P$405,1,'Istoric_Nativ'!$D$6:$D$405,"&gt;="&amp;L554),SUMIFS('Istoric_Nativ'!$H$6:$H$405,'Istoric_Nativ'!$B$6:$B$405,E554,'Istoric_Nativ'!$C$6:$C$405,F554,'Istoric_Nativ'!$E$6:$E$405,G554,'Istoric_Nativ'!$D$6:$D$405,"&lt;"&amp;J554,'Istoric_Nativ'!$P$6:$P$405,1,'Istoric_Nativ'!$D$6:$D$405,"&gt;="&amp;L554)+SUMIFS('Istoric_Nativ'!$G$6:$G$405,'Istoric_Nativ'!$B$6:$B$405,E554,'Istoric_Nativ'!$C$6:$C$405,F554,'Istoric_Nativ'!$F$6:$F$405,G554,'Istoric_Nativ'!$D$6:$D$405,"&lt;"&amp;J554,'Istoric_Nativ'!$P$6:$P$405,1,'Istoric_Nativ'!$D$6:$D$405,"&gt;="&amp;L554)))/M554)</x:f>
      </x:c>
      <x:c r="P554" s="2" t="n">
        <x:f>'Config_v6'!$B$9</x:f>
        <x:v>3</x:v>
      </x:c>
      <x:c r="Q554" s="2" t="n">
        <x:f>IF(OR(B554="",F554=""),0,IFERROR(MATCH(E554&amp;"|"&amp;F554,SourceTable[Source_Key],0),0))</x:f>
        <x:v>0</x:v>
      </x:c>
      <x:c r="R554" s="2" t="str">
        <x:f>IF(B554="","",IF(F554="","UNUSED",IF(Q554=0,"NOT CHECKED",IF(COUNTIF(SourceTable[Source_Key],E554&amp;"|"&amp;F554)&lt;&gt;1,"SOURCE CONFLICT",IF(NOT(OR(INDEX(SourceTable[Status],MAX(1,Q554))="IMPORTED",INDEX(SourceTable[Status],MAX(1,Q554))="PARTIAL",INDEX(SourceTable[Status],MAX(1,Q554))="SOURCE CONFLICT")),"ACCESS BLOCKED",IF(OR(INDEX(SourceTable[Coverage],Q554)&lt;&gt;"FULL SEASON EXPORT",INDEX(SourceTable[URL],Q554)="",INDEX(SourceTable[SHA256],Q554)=""),"EVIDENCE INCOMPLETE",IF(AND('Input_Meci'!H51="LIVE",INDEX(SourceTable[Retrieved_UTC],Q554)&gt;'Input_Meci'!G51),"POST CUTOFF","CLOSED")))))))</x:f>
      </x:c>
      <x:c r="S554" s="2" t="n">
        <x:f>IF(OR(B554="",F554=""),0,COUNTIFS('Istoric_Nativ'!$B$6:$B$405,E554,'Istoric_Nativ'!$C$6:$C$405,F554,'Istoric_Nativ'!$E$6:$E$405,G554,'Istoric_Nativ'!$D$6:$D$405,"&lt;"&amp;J554,'Istoric_Nativ'!$O$6:$O$405,"INVALID")+COUNTIFS('Istoric_Nativ'!$B$6:$B$405,E554,'Istoric_Nativ'!$C$6:$C$405,F554,'Istoric_Nativ'!$E$6:$E$405,G554,'Istoric_Nativ'!$O$6:$O$405,"INVALID",'Istoric_Nativ'!$D$6:$D$405,"*")+COUNTIFS('Istoric_Nativ'!$B$6:$B$405,E554,'Istoric_Nativ'!$C$6:$C$405,F554,'Istoric_Nativ'!$E$6:$E$405,G554,'Istoric_Nativ'!$D$6:$D$405,"&lt;"&amp;J554,'Istoric_Nativ'!$O$6:$O$405,"SOURCE CONFLICT")+COUNTIFS('Istoric_Nativ'!$B$6:$B$405,E554,'Istoric_Nativ'!$C$6:$C$405,F554,'Istoric_Nativ'!$F$6:$F$405,G554,'Istoric_Nativ'!$D$6:$D$405,"&lt;"&amp;J554,'Istoric_Nativ'!$O$6:$O$405,"INVALID")+COUNTIFS('Istoric_Nativ'!$B$6:$B$405,E554,'Istoric_Nativ'!$C$6:$C$405,F554,'Istoric_Nativ'!$F$6:$F$405,G554,'Istoric_Nativ'!$O$6:$O$405,"INVALID",'Istoric_Nativ'!$D$6:$D$405,"*")+COUNTIFS('Istoric_Nativ'!$B$6:$B$405,E554,'Istoric_Nativ'!$C$6:$C$405,F554,'Istoric_Nativ'!$F$6:$F$405,G554,'Istoric_Nativ'!$D$6:$D$405,"&lt;"&amp;J554,'Istoric_Nativ'!$O$6:$O$405,"SOURCE CONFLICT"))</x:f>
        <x:v>0</x:v>
      </x:c>
      <x:c r="T554" s="2" t="str">
        <x:f>IF(B554="","",IF(R554&lt;&gt;"CLOSED",R554,IF(S554&gt;0,"NATIVE INPUT ISSUE",IF(M554=0,"NO HISTORY",IF(M554&lt;P554,"SMALL SAMPLE","DERIVED")))))</x:f>
      </x:c>
      <x:c r="U554" s="2" t="str">
        <x:f>IF(B554="","","NativeTable; "&amp;E554&amp;"; "&amp;F554&amp;"; "&amp;G554&amp;"; "&amp;H554&amp;"; before "&amp;TEXT(J554,"yyyy-mm-dd")&amp;IF(I554="RECENT","; from "&amp;TEXT(L554,"yyyy-mm-dd"),""))</x:f>
      </x:c>
    </x:row>
    <x:row r="555" ht="21" customHeight="1">
      <x:c r="A555" s="2" t="n">
        <x:v>46</x:v>
      </x:c>
      <x:c r="B555" s="2" t="str">
        <x:f>IF('Input_Meci'!A51="","",'Input_Meci'!A51)</x:f>
      </x:c>
      <x:c r="C555" s="2" t="str">
        <x:v>A</x:v>
      </x:c>
      <x:c r="D555" s="2" t="str">
        <x:v>PRIOR</x:v>
      </x:c>
      <x:c r="E555" s="2" t="str">
        <x:f>IF(B555="","",'Input_Meci'!B51)</x:f>
      </x:c>
      <x:c r="F555" s="2" t="str">
        <x:f>IF(B555="","",IF('Input_Meci'!K51="","",'Input_Meci'!K51))</x:f>
      </x:c>
      <x:c r="G555" s="2" t="str">
        <x:f>IF(B555="","",'Input_Meci'!E51)</x:f>
      </x:c>
      <x:c r="H555" s="2" t="str">
        <x:v>ANY</x:v>
      </x:c>
      <x:c r="I555" s="2" t="str">
        <x:v>SEASON</x:v>
      </x:c>
      <x:c r="J555" s="9" t="n">
        <x:f>IF(AND(B555&lt;&gt;"",ISNUMBER('Input_Meci'!G51)),INT('Input_Meci'!G51),0)</x:f>
        <x:v>0</x:v>
      </x:c>
      <x:c r="K555" s="2" t="n">
        <x:f>IF(OR(B555="",F555=""),0,IF(H555="HOME",COUNTIFS('Istoric_Nativ'!$B$6:$B$405,E555,'Istoric_Nativ'!$C$6:$C$405,F555,'Istoric_Nativ'!$E$6:$E$405,G555,'Istoric_Nativ'!$D$6:$D$405,"&lt;"&amp;J555,'Istoric_Nativ'!$P$6:$P$405,1),IF(H555="AWAY",COUNTIFS('Istoric_Nativ'!$B$6:$B$405,E555,'Istoric_Nativ'!$C$6:$C$405,F555,'Istoric_Nativ'!$F$6:$F$405,G555,'Istoric_Nativ'!$D$6:$D$405,"&lt;"&amp;J555,'Istoric_Nativ'!$P$6:$P$405,1),COUNTIFS('Istoric_Nativ'!$B$6:$B$405,E555,'Istoric_Nativ'!$C$6:$C$405,F555,'Istoric_Nativ'!$E$6:$E$405,G555,'Istoric_Nativ'!$D$6:$D$405,"&lt;"&amp;J555,'Istoric_Nativ'!$P$6:$P$405,1)+COUNTIFS('Istoric_Nativ'!$B$6:$B$405,E555,'Istoric_Nativ'!$C$6:$C$405,F555,'Istoric_Nativ'!$F$6:$F$405,G555,'Istoric_Nativ'!$D$6:$D$405,"&lt;"&amp;J555,'Istoric_Nativ'!$P$6:$P$405,1))))</x:f>
        <x:v>0</x:v>
      </x:c>
      <x:c r="L555" s="17" t="n">
        <x:f>IF(AND(B555&lt;&gt;"",I555="RECENT",K555&gt;0),LARGE(_xlfn._xlws.FILTER('Istoric_Nativ'!$D$6:$D$405,('Istoric_Nativ'!$B$6:$B$405=E555)*('Istoric_Nativ'!$C$6:$C$405=F555)*('Istoric_Nativ'!$P$6:$P$405=1)*('Istoric_Nativ'!$D$6:$D$405&lt;J555)*((('Istoric_Nativ'!$E$6:$E$405=G555)+('Istoric_Nativ'!$F$6:$F$405=G555))&gt;0)),MIN('Config_v6'!$B$54,K555)),0)</x:f>
        <x:v>0</x:v>
      </x:c>
      <x:c r="M555" s="2" t="n">
        <x:f>IF(OR(B555="",F555=""),0,IF(H555="HOME",COUNTIFS('Istoric_Nativ'!$B$6:$B$405,E555,'Istoric_Nativ'!$C$6:$C$405,F555,'Istoric_Nativ'!$E$6:$E$405,G555,'Istoric_Nativ'!$D$6:$D$405,"&lt;"&amp;J555,'Istoric_Nativ'!$P$6:$P$405,1,'Istoric_Nativ'!$D$6:$D$405,"&gt;="&amp;L555),IF(H555="AWAY",COUNTIFS('Istoric_Nativ'!$B$6:$B$405,E555,'Istoric_Nativ'!$C$6:$C$405,F555,'Istoric_Nativ'!$F$6:$F$405,G555,'Istoric_Nativ'!$D$6:$D$405,"&lt;"&amp;J555,'Istoric_Nativ'!$P$6:$P$405,1,'Istoric_Nativ'!$D$6:$D$405,"&gt;="&amp;L555),COUNTIFS('Istoric_Nativ'!$B$6:$B$405,E555,'Istoric_Nativ'!$C$6:$C$405,F555,'Istoric_Nativ'!$E$6:$E$405,G555,'Istoric_Nativ'!$D$6:$D$405,"&lt;"&amp;J555,'Istoric_Nativ'!$P$6:$P$405,1,'Istoric_Nativ'!$D$6:$D$405,"&gt;="&amp;L555)+COUNTIFS('Istoric_Nativ'!$B$6:$B$405,E555,'Istoric_Nativ'!$C$6:$C$405,F555,'Istoric_Nativ'!$F$6:$F$405,G555,'Istoric_Nativ'!$D$6:$D$405,"&lt;"&amp;J555,'Istoric_Nativ'!$P$6:$P$405,1,'Istoric_Nativ'!$D$6:$D$405,"&gt;="&amp;L555))))</x:f>
        <x:v>0</x:v>
      </x:c>
      <x:c r="N555" s="11" t="str">
        <x:f>IF(M555=0,"",IF(H555="HOME",SUMIFS('Istoric_Nativ'!$G$6:$G$405,'Istoric_Nativ'!$B$6:$B$405,E555,'Istoric_Nativ'!$C$6:$C$405,F555,'Istoric_Nativ'!$E$6:$E$405,G555,'Istoric_Nativ'!$D$6:$D$405,"&lt;"&amp;J555,'Istoric_Nativ'!$P$6:$P$405,1,'Istoric_Nativ'!$D$6:$D$405,"&gt;="&amp;L555),IF(H555="AWAY",SUMIFS('Istoric_Nativ'!$H$6:$H$405,'Istoric_Nativ'!$B$6:$B$405,E555,'Istoric_Nativ'!$C$6:$C$405,F555,'Istoric_Nativ'!$F$6:$F$405,G555,'Istoric_Nativ'!$D$6:$D$405,"&lt;"&amp;J555,'Istoric_Nativ'!$P$6:$P$405,1,'Istoric_Nativ'!$D$6:$D$405,"&gt;="&amp;L555),SUMIFS('Istoric_Nativ'!$G$6:$G$405,'Istoric_Nativ'!$B$6:$B$405,E555,'Istoric_Nativ'!$C$6:$C$405,F555,'Istoric_Nativ'!$E$6:$E$405,G555,'Istoric_Nativ'!$D$6:$D$405,"&lt;"&amp;J555,'Istoric_Nativ'!$P$6:$P$405,1,'Istoric_Nativ'!$D$6:$D$405,"&gt;="&amp;L555)+SUMIFS('Istoric_Nativ'!$H$6:$H$405,'Istoric_Nativ'!$B$6:$B$405,E555,'Istoric_Nativ'!$C$6:$C$405,F555,'Istoric_Nativ'!$F$6:$F$405,G555,'Istoric_Nativ'!$D$6:$D$405,"&lt;"&amp;J555,'Istoric_Nativ'!$P$6:$P$405,1,'Istoric_Nativ'!$D$6:$D$405,"&gt;="&amp;L555)))/M555)</x:f>
      </x:c>
      <x:c r="O555" s="11" t="str">
        <x:f>IF(M555=0,"",IF(H555="HOME",SUMIFS('Istoric_Nativ'!$H$6:$H$405,'Istoric_Nativ'!$B$6:$B$405,E555,'Istoric_Nativ'!$C$6:$C$405,F555,'Istoric_Nativ'!$E$6:$E$405,G555,'Istoric_Nativ'!$D$6:$D$405,"&lt;"&amp;J555,'Istoric_Nativ'!$P$6:$P$405,1,'Istoric_Nativ'!$D$6:$D$405,"&gt;="&amp;L555),IF(H555="AWAY",SUMIFS('Istoric_Nativ'!$G$6:$G$405,'Istoric_Nativ'!$B$6:$B$405,E555,'Istoric_Nativ'!$C$6:$C$405,F555,'Istoric_Nativ'!$F$6:$F$405,G555,'Istoric_Nativ'!$D$6:$D$405,"&lt;"&amp;J555,'Istoric_Nativ'!$P$6:$P$405,1,'Istoric_Nativ'!$D$6:$D$405,"&gt;="&amp;L555),SUMIFS('Istoric_Nativ'!$H$6:$H$405,'Istoric_Nativ'!$B$6:$B$405,E555,'Istoric_Nativ'!$C$6:$C$405,F555,'Istoric_Nativ'!$E$6:$E$405,G555,'Istoric_Nativ'!$D$6:$D$405,"&lt;"&amp;J555,'Istoric_Nativ'!$P$6:$P$405,1,'Istoric_Nativ'!$D$6:$D$405,"&gt;="&amp;L555)+SUMIFS('Istoric_Nativ'!$G$6:$G$405,'Istoric_Nativ'!$B$6:$B$405,E555,'Istoric_Nativ'!$C$6:$C$405,F555,'Istoric_Nativ'!$F$6:$F$405,G555,'Istoric_Nativ'!$D$6:$D$405,"&lt;"&amp;J555,'Istoric_Nativ'!$P$6:$P$405,1,'Istoric_Nativ'!$D$6:$D$405,"&gt;="&amp;L555)))/M555)</x:f>
      </x:c>
      <x:c r="P555" s="2" t="n">
        <x:f>'Config_v6'!$B$7</x:f>
        <x:v>10</x:v>
      </x:c>
      <x:c r="Q555" s="2" t="n">
        <x:f>IF(OR(B555="",F555=""),0,IFERROR(MATCH(E555&amp;"|"&amp;F555,SourceTable[Source_Key],0),0))</x:f>
        <x:v>0</x:v>
      </x:c>
      <x:c r="R555" s="2" t="str">
        <x:f>IF(B555="","",IF(F555="","UNUSED",IF(Q555=0,"NOT CHECKED",IF(COUNTIF(SourceTable[Source_Key],E555&amp;"|"&amp;F555)&lt;&gt;1,"SOURCE CONFLICT",IF(NOT(OR(INDEX(SourceTable[Status],MAX(1,Q555))="IMPORTED",INDEX(SourceTable[Status],MAX(1,Q555))="PARTIAL",INDEX(SourceTable[Status],MAX(1,Q555))="SOURCE CONFLICT")),"ACCESS BLOCKED",IF(OR(INDEX(SourceTable[Coverage],Q555)&lt;&gt;"FULL SEASON EXPORT",INDEX(SourceTable[URL],Q555)="",INDEX(SourceTable[SHA256],Q555)=""),"EVIDENCE INCOMPLETE",IF(AND('Input_Meci'!H51="LIVE",INDEX(SourceTable[Retrieved_UTC],Q555)&gt;'Input_Meci'!G51),"POST CUTOFF","CLOSED")))))))</x:f>
      </x:c>
      <x:c r="S555" s="2" t="n">
        <x:f>IF(OR(B555="",F555=""),0,COUNTIFS('Istoric_Nativ'!$B$6:$B$405,E555,'Istoric_Nativ'!$C$6:$C$405,F555,'Istoric_Nativ'!$E$6:$E$405,G555,'Istoric_Nativ'!$D$6:$D$405,"&lt;"&amp;J555,'Istoric_Nativ'!$O$6:$O$405,"INVALID")+COUNTIFS('Istoric_Nativ'!$B$6:$B$405,E555,'Istoric_Nativ'!$C$6:$C$405,F555,'Istoric_Nativ'!$E$6:$E$405,G555,'Istoric_Nativ'!$O$6:$O$405,"INVALID",'Istoric_Nativ'!$D$6:$D$405,"*")+COUNTIFS('Istoric_Nativ'!$B$6:$B$405,E555,'Istoric_Nativ'!$C$6:$C$405,F555,'Istoric_Nativ'!$E$6:$E$405,G555,'Istoric_Nativ'!$D$6:$D$405,"&lt;"&amp;J555,'Istoric_Nativ'!$O$6:$O$405,"SOURCE CONFLICT")+COUNTIFS('Istoric_Nativ'!$B$6:$B$405,E555,'Istoric_Nativ'!$C$6:$C$405,F555,'Istoric_Nativ'!$F$6:$F$405,G555,'Istoric_Nativ'!$D$6:$D$405,"&lt;"&amp;J555,'Istoric_Nativ'!$O$6:$O$405,"INVALID")+COUNTIFS('Istoric_Nativ'!$B$6:$B$405,E555,'Istoric_Nativ'!$C$6:$C$405,F555,'Istoric_Nativ'!$F$6:$F$405,G555,'Istoric_Nativ'!$O$6:$O$405,"INVALID",'Istoric_Nativ'!$D$6:$D$405,"*")+COUNTIFS('Istoric_Nativ'!$B$6:$B$405,E555,'Istoric_Nativ'!$C$6:$C$405,F555,'Istoric_Nativ'!$F$6:$F$405,G555,'Istoric_Nativ'!$D$6:$D$405,"&lt;"&amp;J555,'Istoric_Nativ'!$O$6:$O$405,"SOURCE CONFLICT"))</x:f>
        <x:v>0</x:v>
      </x:c>
      <x:c r="T555" s="2" t="str">
        <x:f>IF(B555="","",IF(R555&lt;&gt;"CLOSED",R555,IF(S555&gt;0,"NATIVE INPUT ISSUE",IF(M555=0,"NO HISTORY",IF(M555&lt;P555,"SMALL SAMPLE","DERIVED")))))</x:f>
      </x:c>
      <x:c r="U555" s="2" t="str">
        <x:f>IF(B555="","","NativeTable; "&amp;E555&amp;"; "&amp;F555&amp;"; "&amp;G555&amp;"; "&amp;H555&amp;"; before "&amp;TEXT(J555,"yyyy-mm-dd")&amp;IF(I555="RECENT","; from "&amp;TEXT(L555,"yyyy-mm-dd"),""))</x:f>
      </x:c>
    </x:row>
    <x:row r="556" ht="21" customHeight="1">
      <x:c r="A556" s="2" t="n">
        <x:v>46</x:v>
      </x:c>
      <x:c r="B556" s="2" t="str">
        <x:f>IF('Input_Meci'!A51="","",'Input_Meci'!A51)</x:f>
      </x:c>
      <x:c r="C556" s="2" t="str">
        <x:v>A</x:v>
      </x:c>
      <x:c r="D556" s="2" t="str">
        <x:v>PRIOR</x:v>
      </x:c>
      <x:c r="E556" s="2" t="str">
        <x:f>IF(B556="","",'Input_Meci'!B51)</x:f>
      </x:c>
      <x:c r="F556" s="2" t="str">
        <x:f>IF(B556="","",IF('Input_Meci'!K51="","",'Input_Meci'!K51))</x:f>
      </x:c>
      <x:c r="G556" s="2" t="str">
        <x:f>IF(B556="","",'Input_Meci'!E51)</x:f>
      </x:c>
      <x:c r="H556" s="2" t="str">
        <x:v>AWAY</x:v>
      </x:c>
      <x:c r="I556" s="2" t="str">
        <x:v>HA</x:v>
      </x:c>
      <x:c r="J556" s="9" t="n">
        <x:f>IF(AND(B556&lt;&gt;"",ISNUMBER('Input_Meci'!G51)),INT('Input_Meci'!G51),0)</x:f>
        <x:v>0</x:v>
      </x:c>
      <x:c r="K556" s="2" t="n">
        <x:f>IF(OR(B556="",F556=""),0,IF(H556="HOME",COUNTIFS('Istoric_Nativ'!$B$6:$B$405,E556,'Istoric_Nativ'!$C$6:$C$405,F556,'Istoric_Nativ'!$E$6:$E$405,G556,'Istoric_Nativ'!$D$6:$D$405,"&lt;"&amp;J556,'Istoric_Nativ'!$P$6:$P$405,1),IF(H556="AWAY",COUNTIFS('Istoric_Nativ'!$B$6:$B$405,E556,'Istoric_Nativ'!$C$6:$C$405,F556,'Istoric_Nativ'!$F$6:$F$405,G556,'Istoric_Nativ'!$D$6:$D$405,"&lt;"&amp;J556,'Istoric_Nativ'!$P$6:$P$405,1),COUNTIFS('Istoric_Nativ'!$B$6:$B$405,E556,'Istoric_Nativ'!$C$6:$C$405,F556,'Istoric_Nativ'!$E$6:$E$405,G556,'Istoric_Nativ'!$D$6:$D$405,"&lt;"&amp;J556,'Istoric_Nativ'!$P$6:$P$405,1)+COUNTIFS('Istoric_Nativ'!$B$6:$B$405,E556,'Istoric_Nativ'!$C$6:$C$405,F556,'Istoric_Nativ'!$F$6:$F$405,G556,'Istoric_Nativ'!$D$6:$D$405,"&lt;"&amp;J556,'Istoric_Nativ'!$P$6:$P$405,1))))</x:f>
        <x:v>0</x:v>
      </x:c>
      <x:c r="L556" s="17" t="n">
        <x:f>IF(AND(B556&lt;&gt;"",I556="RECENT",K556&gt;0),LARGE(_xlfn._xlws.FILTER('Istoric_Nativ'!$D$6:$D$405,('Istoric_Nativ'!$B$6:$B$405=E556)*('Istoric_Nativ'!$C$6:$C$405=F556)*('Istoric_Nativ'!$P$6:$P$405=1)*('Istoric_Nativ'!$D$6:$D$405&lt;J556)*((('Istoric_Nativ'!$E$6:$E$405=G556)+('Istoric_Nativ'!$F$6:$F$405=G556))&gt;0)),MIN('Config_v6'!$B$54,K556)),0)</x:f>
        <x:v>0</x:v>
      </x:c>
      <x:c r="M556" s="2" t="n">
        <x:f>IF(OR(B556="",F556=""),0,IF(H556="HOME",COUNTIFS('Istoric_Nativ'!$B$6:$B$405,E556,'Istoric_Nativ'!$C$6:$C$405,F556,'Istoric_Nativ'!$E$6:$E$405,G556,'Istoric_Nativ'!$D$6:$D$405,"&lt;"&amp;J556,'Istoric_Nativ'!$P$6:$P$405,1,'Istoric_Nativ'!$D$6:$D$405,"&gt;="&amp;L556),IF(H556="AWAY",COUNTIFS('Istoric_Nativ'!$B$6:$B$405,E556,'Istoric_Nativ'!$C$6:$C$405,F556,'Istoric_Nativ'!$F$6:$F$405,G556,'Istoric_Nativ'!$D$6:$D$405,"&lt;"&amp;J556,'Istoric_Nativ'!$P$6:$P$405,1,'Istoric_Nativ'!$D$6:$D$405,"&gt;="&amp;L556),COUNTIFS('Istoric_Nativ'!$B$6:$B$405,E556,'Istoric_Nativ'!$C$6:$C$405,F556,'Istoric_Nativ'!$E$6:$E$405,G556,'Istoric_Nativ'!$D$6:$D$405,"&lt;"&amp;J556,'Istoric_Nativ'!$P$6:$P$405,1,'Istoric_Nativ'!$D$6:$D$405,"&gt;="&amp;L556)+COUNTIFS('Istoric_Nativ'!$B$6:$B$405,E556,'Istoric_Nativ'!$C$6:$C$405,F556,'Istoric_Nativ'!$F$6:$F$405,G556,'Istoric_Nativ'!$D$6:$D$405,"&lt;"&amp;J556,'Istoric_Nativ'!$P$6:$P$405,1,'Istoric_Nativ'!$D$6:$D$405,"&gt;="&amp;L556))))</x:f>
        <x:v>0</x:v>
      </x:c>
      <x:c r="N556" s="11" t="str">
        <x:f>IF(M556=0,"",IF(H556="HOME",SUMIFS('Istoric_Nativ'!$G$6:$G$405,'Istoric_Nativ'!$B$6:$B$405,E556,'Istoric_Nativ'!$C$6:$C$405,F556,'Istoric_Nativ'!$E$6:$E$405,G556,'Istoric_Nativ'!$D$6:$D$405,"&lt;"&amp;J556,'Istoric_Nativ'!$P$6:$P$405,1,'Istoric_Nativ'!$D$6:$D$405,"&gt;="&amp;L556),IF(H556="AWAY",SUMIFS('Istoric_Nativ'!$H$6:$H$405,'Istoric_Nativ'!$B$6:$B$405,E556,'Istoric_Nativ'!$C$6:$C$405,F556,'Istoric_Nativ'!$F$6:$F$405,G556,'Istoric_Nativ'!$D$6:$D$405,"&lt;"&amp;J556,'Istoric_Nativ'!$P$6:$P$405,1,'Istoric_Nativ'!$D$6:$D$405,"&gt;="&amp;L556),SUMIFS('Istoric_Nativ'!$G$6:$G$405,'Istoric_Nativ'!$B$6:$B$405,E556,'Istoric_Nativ'!$C$6:$C$405,F556,'Istoric_Nativ'!$E$6:$E$405,G556,'Istoric_Nativ'!$D$6:$D$405,"&lt;"&amp;J556,'Istoric_Nativ'!$P$6:$P$405,1,'Istoric_Nativ'!$D$6:$D$405,"&gt;="&amp;L556)+SUMIFS('Istoric_Nativ'!$H$6:$H$405,'Istoric_Nativ'!$B$6:$B$405,E556,'Istoric_Nativ'!$C$6:$C$405,F556,'Istoric_Nativ'!$F$6:$F$405,G556,'Istoric_Nativ'!$D$6:$D$405,"&lt;"&amp;J556,'Istoric_Nativ'!$P$6:$P$405,1,'Istoric_Nativ'!$D$6:$D$405,"&gt;="&amp;L556)))/M556)</x:f>
      </x:c>
      <x:c r="O556" s="11" t="str">
        <x:f>IF(M556=0,"",IF(H556="HOME",SUMIFS('Istoric_Nativ'!$H$6:$H$405,'Istoric_Nativ'!$B$6:$B$405,E556,'Istoric_Nativ'!$C$6:$C$405,F556,'Istoric_Nativ'!$E$6:$E$405,G556,'Istoric_Nativ'!$D$6:$D$405,"&lt;"&amp;J556,'Istoric_Nativ'!$P$6:$P$405,1,'Istoric_Nativ'!$D$6:$D$405,"&gt;="&amp;L556),IF(H556="AWAY",SUMIFS('Istoric_Nativ'!$G$6:$G$405,'Istoric_Nativ'!$B$6:$B$405,E556,'Istoric_Nativ'!$C$6:$C$405,F556,'Istoric_Nativ'!$F$6:$F$405,G556,'Istoric_Nativ'!$D$6:$D$405,"&lt;"&amp;J556,'Istoric_Nativ'!$P$6:$P$405,1,'Istoric_Nativ'!$D$6:$D$405,"&gt;="&amp;L556),SUMIFS('Istoric_Nativ'!$H$6:$H$405,'Istoric_Nativ'!$B$6:$B$405,E556,'Istoric_Nativ'!$C$6:$C$405,F556,'Istoric_Nativ'!$E$6:$E$405,G556,'Istoric_Nativ'!$D$6:$D$405,"&lt;"&amp;J556,'Istoric_Nativ'!$P$6:$P$405,1,'Istoric_Nativ'!$D$6:$D$405,"&gt;="&amp;L556)+SUMIFS('Istoric_Nativ'!$G$6:$G$405,'Istoric_Nativ'!$B$6:$B$405,E556,'Istoric_Nativ'!$C$6:$C$405,F556,'Istoric_Nativ'!$F$6:$F$405,G556,'Istoric_Nativ'!$D$6:$D$405,"&lt;"&amp;J556,'Istoric_Nativ'!$P$6:$P$405,1,'Istoric_Nativ'!$D$6:$D$405,"&gt;="&amp;L556)))/M556)</x:f>
      </x:c>
      <x:c r="P556" s="2" t="n">
        <x:f>'Config_v6'!$B$8</x:f>
        <x:v>5</x:v>
      </x:c>
      <x:c r="Q556" s="2" t="n">
        <x:f>IF(OR(B556="",F556=""),0,IFERROR(MATCH(E556&amp;"|"&amp;F556,SourceTable[Source_Key],0),0))</x:f>
        <x:v>0</x:v>
      </x:c>
      <x:c r="R556" s="2" t="str">
        <x:f>IF(B556="","",IF(F556="","UNUSED",IF(Q556=0,"NOT CHECKED",IF(COUNTIF(SourceTable[Source_Key],E556&amp;"|"&amp;F556)&lt;&gt;1,"SOURCE CONFLICT",IF(NOT(OR(INDEX(SourceTable[Status],MAX(1,Q556))="IMPORTED",INDEX(SourceTable[Status],MAX(1,Q556))="PARTIAL",INDEX(SourceTable[Status],MAX(1,Q556))="SOURCE CONFLICT")),"ACCESS BLOCKED",IF(OR(INDEX(SourceTable[Coverage],Q556)&lt;&gt;"FULL SEASON EXPORT",INDEX(SourceTable[URL],Q556)="",INDEX(SourceTable[SHA256],Q556)=""),"EVIDENCE INCOMPLETE",IF(AND('Input_Meci'!H51="LIVE",INDEX(SourceTable[Retrieved_UTC],Q556)&gt;'Input_Meci'!G51),"POST CUTOFF","CLOSED")))))))</x:f>
      </x:c>
      <x:c r="S556" s="2" t="n">
        <x:f>IF(OR(B556="",F556=""),0,COUNTIFS('Istoric_Nativ'!$B$6:$B$405,E556,'Istoric_Nativ'!$C$6:$C$405,F556,'Istoric_Nativ'!$E$6:$E$405,G556,'Istoric_Nativ'!$D$6:$D$405,"&lt;"&amp;J556,'Istoric_Nativ'!$O$6:$O$405,"INVALID")+COUNTIFS('Istoric_Nativ'!$B$6:$B$405,E556,'Istoric_Nativ'!$C$6:$C$405,F556,'Istoric_Nativ'!$E$6:$E$405,G556,'Istoric_Nativ'!$O$6:$O$405,"INVALID",'Istoric_Nativ'!$D$6:$D$405,"*")+COUNTIFS('Istoric_Nativ'!$B$6:$B$405,E556,'Istoric_Nativ'!$C$6:$C$405,F556,'Istoric_Nativ'!$E$6:$E$405,G556,'Istoric_Nativ'!$D$6:$D$405,"&lt;"&amp;J556,'Istoric_Nativ'!$O$6:$O$405,"SOURCE CONFLICT")+COUNTIFS('Istoric_Nativ'!$B$6:$B$405,E556,'Istoric_Nativ'!$C$6:$C$405,F556,'Istoric_Nativ'!$F$6:$F$405,G556,'Istoric_Nativ'!$D$6:$D$405,"&lt;"&amp;J556,'Istoric_Nativ'!$O$6:$O$405,"INVALID")+COUNTIFS('Istoric_Nativ'!$B$6:$B$405,E556,'Istoric_Nativ'!$C$6:$C$405,F556,'Istoric_Nativ'!$F$6:$F$405,G556,'Istoric_Nativ'!$O$6:$O$405,"INVALID",'Istoric_Nativ'!$D$6:$D$405,"*")+COUNTIFS('Istoric_Nativ'!$B$6:$B$405,E556,'Istoric_Nativ'!$C$6:$C$405,F556,'Istoric_Nativ'!$F$6:$F$405,G556,'Istoric_Nativ'!$D$6:$D$405,"&lt;"&amp;J556,'Istoric_Nativ'!$O$6:$O$405,"SOURCE CONFLICT"))</x:f>
        <x:v>0</x:v>
      </x:c>
      <x:c r="T556" s="2" t="str">
        <x:f>IF(B556="","",IF(R556&lt;&gt;"CLOSED",R556,IF(S556&gt;0,"NATIVE INPUT ISSUE",IF(M556=0,"NO HISTORY",IF(M556&lt;P556,"SMALL SAMPLE","DERIVED")))))</x:f>
      </x:c>
      <x:c r="U556" s="2" t="str">
        <x:f>IF(B556="","","NativeTable; "&amp;E556&amp;"; "&amp;F556&amp;"; "&amp;G556&amp;"; "&amp;H556&amp;"; before "&amp;TEXT(J556,"yyyy-mm-dd")&amp;IF(I556="RECENT","; from "&amp;TEXT(L556,"yyyy-mm-dd"),""))</x:f>
      </x:c>
    </x:row>
    <x:row r="557" ht="21" customHeight="1">
      <x:c r="A557" s="2" t="n">
        <x:v>46</x:v>
      </x:c>
      <x:c r="B557" s="2" t="str">
        <x:f>IF('Input_Meci'!A51="","",'Input_Meci'!A51)</x:f>
      </x:c>
      <x:c r="C557" s="2" t="str">
        <x:v>A</x:v>
      </x:c>
      <x:c r="D557" s="2" t="str">
        <x:v>PRIOR</x:v>
      </x:c>
      <x:c r="E557" s="2" t="str">
        <x:f>IF(B557="","",'Input_Meci'!B51)</x:f>
      </x:c>
      <x:c r="F557" s="2" t="str">
        <x:f>IF(B557="","",IF('Input_Meci'!K51="","",'Input_Meci'!K51))</x:f>
      </x:c>
      <x:c r="G557" s="2" t="str">
        <x:f>IF(B557="","",'Input_Meci'!E51)</x:f>
      </x:c>
      <x:c r="H557" s="2" t="str">
        <x:v>ANY</x:v>
      </x:c>
      <x:c r="I557" s="2" t="str">
        <x:v>RECENT</x:v>
      </x:c>
      <x:c r="J557" s="9" t="n">
        <x:f>IF(AND(B557&lt;&gt;"",ISNUMBER('Input_Meci'!G51)),INT('Input_Meci'!G51),0)</x:f>
        <x:v>0</x:v>
      </x:c>
      <x:c r="K557" s="2" t="n">
        <x:f>IF(OR(B557="",F557=""),0,IF(H557="HOME",COUNTIFS('Istoric_Nativ'!$B$6:$B$405,E557,'Istoric_Nativ'!$C$6:$C$405,F557,'Istoric_Nativ'!$E$6:$E$405,G557,'Istoric_Nativ'!$D$6:$D$405,"&lt;"&amp;J557,'Istoric_Nativ'!$P$6:$P$405,1),IF(H557="AWAY",COUNTIFS('Istoric_Nativ'!$B$6:$B$405,E557,'Istoric_Nativ'!$C$6:$C$405,F557,'Istoric_Nativ'!$F$6:$F$405,G557,'Istoric_Nativ'!$D$6:$D$405,"&lt;"&amp;J557,'Istoric_Nativ'!$P$6:$P$405,1),COUNTIFS('Istoric_Nativ'!$B$6:$B$405,E557,'Istoric_Nativ'!$C$6:$C$405,F557,'Istoric_Nativ'!$E$6:$E$405,G557,'Istoric_Nativ'!$D$6:$D$405,"&lt;"&amp;J557,'Istoric_Nativ'!$P$6:$P$405,1)+COUNTIFS('Istoric_Nativ'!$B$6:$B$405,E557,'Istoric_Nativ'!$C$6:$C$405,F557,'Istoric_Nativ'!$F$6:$F$405,G557,'Istoric_Nativ'!$D$6:$D$405,"&lt;"&amp;J557,'Istoric_Nativ'!$P$6:$P$405,1))))</x:f>
        <x:v>0</x:v>
      </x:c>
      <x:c r="L557" s="17" t="n">
        <x:f>IF(AND(B557&lt;&gt;"",I557="RECENT",K557&gt;0),LARGE(_xlfn._xlws.FILTER('Istoric_Nativ'!$D$6:$D$405,('Istoric_Nativ'!$B$6:$B$405=E557)*('Istoric_Nativ'!$C$6:$C$405=F557)*('Istoric_Nativ'!$P$6:$P$405=1)*('Istoric_Nativ'!$D$6:$D$405&lt;J557)*((('Istoric_Nativ'!$E$6:$E$405=G557)+('Istoric_Nativ'!$F$6:$F$405=G557))&gt;0)),MIN('Config_v6'!$B$54,K557)),0)</x:f>
        <x:v>0</x:v>
      </x:c>
      <x:c r="M557" s="2" t="n">
        <x:f>IF(OR(B557="",F557=""),0,IF(H557="HOME",COUNTIFS('Istoric_Nativ'!$B$6:$B$405,E557,'Istoric_Nativ'!$C$6:$C$405,F557,'Istoric_Nativ'!$E$6:$E$405,G557,'Istoric_Nativ'!$D$6:$D$405,"&lt;"&amp;J557,'Istoric_Nativ'!$P$6:$P$405,1,'Istoric_Nativ'!$D$6:$D$405,"&gt;="&amp;L557),IF(H557="AWAY",COUNTIFS('Istoric_Nativ'!$B$6:$B$405,E557,'Istoric_Nativ'!$C$6:$C$405,F557,'Istoric_Nativ'!$F$6:$F$405,G557,'Istoric_Nativ'!$D$6:$D$405,"&lt;"&amp;J557,'Istoric_Nativ'!$P$6:$P$405,1,'Istoric_Nativ'!$D$6:$D$405,"&gt;="&amp;L557),COUNTIFS('Istoric_Nativ'!$B$6:$B$405,E557,'Istoric_Nativ'!$C$6:$C$405,F557,'Istoric_Nativ'!$E$6:$E$405,G557,'Istoric_Nativ'!$D$6:$D$405,"&lt;"&amp;J557,'Istoric_Nativ'!$P$6:$P$405,1,'Istoric_Nativ'!$D$6:$D$405,"&gt;="&amp;L557)+COUNTIFS('Istoric_Nativ'!$B$6:$B$405,E557,'Istoric_Nativ'!$C$6:$C$405,F557,'Istoric_Nativ'!$F$6:$F$405,G557,'Istoric_Nativ'!$D$6:$D$405,"&lt;"&amp;J557,'Istoric_Nativ'!$P$6:$P$405,1,'Istoric_Nativ'!$D$6:$D$405,"&gt;="&amp;L557))))</x:f>
        <x:v>0</x:v>
      </x:c>
      <x:c r="N557" s="11" t="str">
        <x:f>IF(M557=0,"",IF(H557="HOME",SUMIFS('Istoric_Nativ'!$G$6:$G$405,'Istoric_Nativ'!$B$6:$B$405,E557,'Istoric_Nativ'!$C$6:$C$405,F557,'Istoric_Nativ'!$E$6:$E$405,G557,'Istoric_Nativ'!$D$6:$D$405,"&lt;"&amp;J557,'Istoric_Nativ'!$P$6:$P$405,1,'Istoric_Nativ'!$D$6:$D$405,"&gt;="&amp;L557),IF(H557="AWAY",SUMIFS('Istoric_Nativ'!$H$6:$H$405,'Istoric_Nativ'!$B$6:$B$405,E557,'Istoric_Nativ'!$C$6:$C$405,F557,'Istoric_Nativ'!$F$6:$F$405,G557,'Istoric_Nativ'!$D$6:$D$405,"&lt;"&amp;J557,'Istoric_Nativ'!$P$6:$P$405,1,'Istoric_Nativ'!$D$6:$D$405,"&gt;="&amp;L557),SUMIFS('Istoric_Nativ'!$G$6:$G$405,'Istoric_Nativ'!$B$6:$B$405,E557,'Istoric_Nativ'!$C$6:$C$405,F557,'Istoric_Nativ'!$E$6:$E$405,G557,'Istoric_Nativ'!$D$6:$D$405,"&lt;"&amp;J557,'Istoric_Nativ'!$P$6:$P$405,1,'Istoric_Nativ'!$D$6:$D$405,"&gt;="&amp;L557)+SUMIFS('Istoric_Nativ'!$H$6:$H$405,'Istoric_Nativ'!$B$6:$B$405,E557,'Istoric_Nativ'!$C$6:$C$405,F557,'Istoric_Nativ'!$F$6:$F$405,G557,'Istoric_Nativ'!$D$6:$D$405,"&lt;"&amp;J557,'Istoric_Nativ'!$P$6:$P$405,1,'Istoric_Nativ'!$D$6:$D$405,"&gt;="&amp;L557)))/M557)</x:f>
      </x:c>
      <x:c r="O557" s="11" t="str">
        <x:f>IF(M557=0,"",IF(H557="HOME",SUMIFS('Istoric_Nativ'!$H$6:$H$405,'Istoric_Nativ'!$B$6:$B$405,E557,'Istoric_Nativ'!$C$6:$C$405,F557,'Istoric_Nativ'!$E$6:$E$405,G557,'Istoric_Nativ'!$D$6:$D$405,"&lt;"&amp;J557,'Istoric_Nativ'!$P$6:$P$405,1,'Istoric_Nativ'!$D$6:$D$405,"&gt;="&amp;L557),IF(H557="AWAY",SUMIFS('Istoric_Nativ'!$G$6:$G$405,'Istoric_Nativ'!$B$6:$B$405,E557,'Istoric_Nativ'!$C$6:$C$405,F557,'Istoric_Nativ'!$F$6:$F$405,G557,'Istoric_Nativ'!$D$6:$D$405,"&lt;"&amp;J557,'Istoric_Nativ'!$P$6:$P$405,1,'Istoric_Nativ'!$D$6:$D$405,"&gt;="&amp;L557),SUMIFS('Istoric_Nativ'!$H$6:$H$405,'Istoric_Nativ'!$B$6:$B$405,E557,'Istoric_Nativ'!$C$6:$C$405,F557,'Istoric_Nativ'!$E$6:$E$405,G557,'Istoric_Nativ'!$D$6:$D$405,"&lt;"&amp;J557,'Istoric_Nativ'!$P$6:$P$405,1,'Istoric_Nativ'!$D$6:$D$405,"&gt;="&amp;L557)+SUMIFS('Istoric_Nativ'!$G$6:$G$405,'Istoric_Nativ'!$B$6:$B$405,E557,'Istoric_Nativ'!$C$6:$C$405,F557,'Istoric_Nativ'!$F$6:$F$405,G557,'Istoric_Nativ'!$D$6:$D$405,"&lt;"&amp;J557,'Istoric_Nativ'!$P$6:$P$405,1,'Istoric_Nativ'!$D$6:$D$405,"&gt;="&amp;L557)))/M557)</x:f>
      </x:c>
      <x:c r="P557" s="2" t="n">
        <x:f>'Config_v6'!$B$9</x:f>
        <x:v>3</x:v>
      </x:c>
      <x:c r="Q557" s="2" t="n">
        <x:f>IF(OR(B557="",F557=""),0,IFERROR(MATCH(E557&amp;"|"&amp;F557,SourceTable[Source_Key],0),0))</x:f>
        <x:v>0</x:v>
      </x:c>
      <x:c r="R557" s="2" t="str">
        <x:f>IF(B557="","",IF(F557="","UNUSED",IF(Q557=0,"NOT CHECKED",IF(COUNTIF(SourceTable[Source_Key],E557&amp;"|"&amp;F557)&lt;&gt;1,"SOURCE CONFLICT",IF(NOT(OR(INDEX(SourceTable[Status],MAX(1,Q557))="IMPORTED",INDEX(SourceTable[Status],MAX(1,Q557))="PARTIAL",INDEX(SourceTable[Status],MAX(1,Q557))="SOURCE CONFLICT")),"ACCESS BLOCKED",IF(OR(INDEX(SourceTable[Coverage],Q557)&lt;&gt;"FULL SEASON EXPORT",INDEX(SourceTable[URL],Q557)="",INDEX(SourceTable[SHA256],Q557)=""),"EVIDENCE INCOMPLETE",IF(AND('Input_Meci'!H51="LIVE",INDEX(SourceTable[Retrieved_UTC],Q557)&gt;'Input_Meci'!G51),"POST CUTOFF","CLOSED")))))))</x:f>
      </x:c>
      <x:c r="S557" s="2" t="n">
        <x:f>IF(OR(B557="",F557=""),0,COUNTIFS('Istoric_Nativ'!$B$6:$B$405,E557,'Istoric_Nativ'!$C$6:$C$405,F557,'Istoric_Nativ'!$E$6:$E$405,G557,'Istoric_Nativ'!$D$6:$D$405,"&lt;"&amp;J557,'Istoric_Nativ'!$O$6:$O$405,"INVALID")+COUNTIFS('Istoric_Nativ'!$B$6:$B$405,E557,'Istoric_Nativ'!$C$6:$C$405,F557,'Istoric_Nativ'!$E$6:$E$405,G557,'Istoric_Nativ'!$O$6:$O$405,"INVALID",'Istoric_Nativ'!$D$6:$D$405,"*")+COUNTIFS('Istoric_Nativ'!$B$6:$B$405,E557,'Istoric_Nativ'!$C$6:$C$405,F557,'Istoric_Nativ'!$E$6:$E$405,G557,'Istoric_Nativ'!$D$6:$D$405,"&lt;"&amp;J557,'Istoric_Nativ'!$O$6:$O$405,"SOURCE CONFLICT")+COUNTIFS('Istoric_Nativ'!$B$6:$B$405,E557,'Istoric_Nativ'!$C$6:$C$405,F557,'Istoric_Nativ'!$F$6:$F$405,G557,'Istoric_Nativ'!$D$6:$D$405,"&lt;"&amp;J557,'Istoric_Nativ'!$O$6:$O$405,"INVALID")+COUNTIFS('Istoric_Nativ'!$B$6:$B$405,E557,'Istoric_Nativ'!$C$6:$C$405,F557,'Istoric_Nativ'!$F$6:$F$405,G557,'Istoric_Nativ'!$O$6:$O$405,"INVALID",'Istoric_Nativ'!$D$6:$D$405,"*")+COUNTIFS('Istoric_Nativ'!$B$6:$B$405,E557,'Istoric_Nativ'!$C$6:$C$405,F557,'Istoric_Nativ'!$F$6:$F$405,G557,'Istoric_Nativ'!$D$6:$D$405,"&lt;"&amp;J557,'Istoric_Nativ'!$O$6:$O$405,"SOURCE CONFLICT"))</x:f>
        <x:v>0</x:v>
      </x:c>
      <x:c r="T557" s="2" t="str">
        <x:f>IF(B557="","",IF(R557&lt;&gt;"CLOSED",R557,IF(S557&gt;0,"NATIVE INPUT ISSUE",IF(M557=0,"NO HISTORY",IF(M557&lt;P557,"SMALL SAMPLE","DERIVED")))))</x:f>
      </x:c>
      <x:c r="U557" s="2" t="str">
        <x:f>IF(B557="","","NativeTable; "&amp;E557&amp;"; "&amp;F557&amp;"; "&amp;G557&amp;"; "&amp;H557&amp;"; before "&amp;TEXT(J557,"yyyy-mm-dd")&amp;IF(I557="RECENT","; from "&amp;TEXT(L557,"yyyy-mm-dd"),""))</x:f>
      </x:c>
    </x:row>
    <x:row r="558" ht="21" customHeight="1">
      <x:c r="A558" s="2" t="n">
        <x:v>47</x:v>
      </x:c>
      <x:c r="B558" s="2" t="str">
        <x:f>IF('Input_Meci'!A52="","",'Input_Meci'!A52)</x:f>
      </x:c>
      <x:c r="C558" s="2" t="str">
        <x:v>H</x:v>
      </x:c>
      <x:c r="D558" s="2" t="str">
        <x:v>CURRENT</x:v>
      </x:c>
      <x:c r="E558" s="2" t="str">
        <x:f>IF(B558="","",'Input_Meci'!B52)</x:f>
      </x:c>
      <x:c r="F558" s="2" t="str">
        <x:f>IF(B558="","",IF('Input_Meci'!C52="","",'Input_Meci'!C52))</x:f>
      </x:c>
      <x:c r="G558" s="2" t="str">
        <x:f>IF(B558="","",'Input_Meci'!D52)</x:f>
      </x:c>
      <x:c r="H558" s="2" t="str">
        <x:v>ANY</x:v>
      </x:c>
      <x:c r="I558" s="2" t="str">
        <x:v>SEASON</x:v>
      </x:c>
      <x:c r="J558" s="9" t="n">
        <x:f>IF(AND(B558&lt;&gt;"",ISNUMBER('Input_Meci'!G52)),INT('Input_Meci'!G52),0)</x:f>
        <x:v>0</x:v>
      </x:c>
      <x:c r="K558" s="2" t="n">
        <x:f>IF(OR(B558="",F558=""),0,IF(H558="HOME",COUNTIFS('Istoric_Nativ'!$B$6:$B$405,E558,'Istoric_Nativ'!$C$6:$C$405,F558,'Istoric_Nativ'!$E$6:$E$405,G558,'Istoric_Nativ'!$D$6:$D$405,"&lt;"&amp;J558,'Istoric_Nativ'!$P$6:$P$405,1),IF(H558="AWAY",COUNTIFS('Istoric_Nativ'!$B$6:$B$405,E558,'Istoric_Nativ'!$C$6:$C$405,F558,'Istoric_Nativ'!$F$6:$F$405,G558,'Istoric_Nativ'!$D$6:$D$405,"&lt;"&amp;J558,'Istoric_Nativ'!$P$6:$P$405,1),COUNTIFS('Istoric_Nativ'!$B$6:$B$405,E558,'Istoric_Nativ'!$C$6:$C$405,F558,'Istoric_Nativ'!$E$6:$E$405,G558,'Istoric_Nativ'!$D$6:$D$405,"&lt;"&amp;J558,'Istoric_Nativ'!$P$6:$P$405,1)+COUNTIFS('Istoric_Nativ'!$B$6:$B$405,E558,'Istoric_Nativ'!$C$6:$C$405,F558,'Istoric_Nativ'!$F$6:$F$405,G558,'Istoric_Nativ'!$D$6:$D$405,"&lt;"&amp;J558,'Istoric_Nativ'!$P$6:$P$405,1))))</x:f>
        <x:v>0</x:v>
      </x:c>
      <x:c r="L558" s="17" t="n">
        <x:f>IF(AND(B558&lt;&gt;"",I558="RECENT",K558&gt;0),LARGE(_xlfn._xlws.FILTER('Istoric_Nativ'!$D$6:$D$405,('Istoric_Nativ'!$B$6:$B$405=E558)*('Istoric_Nativ'!$C$6:$C$405=F558)*('Istoric_Nativ'!$P$6:$P$405=1)*('Istoric_Nativ'!$D$6:$D$405&lt;J558)*((('Istoric_Nativ'!$E$6:$E$405=G558)+('Istoric_Nativ'!$F$6:$F$405=G558))&gt;0)),MIN('Config_v6'!$B$54,K558)),0)</x:f>
        <x:v>0</x:v>
      </x:c>
      <x:c r="M558" s="2" t="n">
        <x:f>IF(OR(B558="",F558=""),0,IF(H558="HOME",COUNTIFS('Istoric_Nativ'!$B$6:$B$405,E558,'Istoric_Nativ'!$C$6:$C$405,F558,'Istoric_Nativ'!$E$6:$E$405,G558,'Istoric_Nativ'!$D$6:$D$405,"&lt;"&amp;J558,'Istoric_Nativ'!$P$6:$P$405,1,'Istoric_Nativ'!$D$6:$D$405,"&gt;="&amp;L558),IF(H558="AWAY",COUNTIFS('Istoric_Nativ'!$B$6:$B$405,E558,'Istoric_Nativ'!$C$6:$C$405,F558,'Istoric_Nativ'!$F$6:$F$405,G558,'Istoric_Nativ'!$D$6:$D$405,"&lt;"&amp;J558,'Istoric_Nativ'!$P$6:$P$405,1,'Istoric_Nativ'!$D$6:$D$405,"&gt;="&amp;L558),COUNTIFS('Istoric_Nativ'!$B$6:$B$405,E558,'Istoric_Nativ'!$C$6:$C$405,F558,'Istoric_Nativ'!$E$6:$E$405,G558,'Istoric_Nativ'!$D$6:$D$405,"&lt;"&amp;J558,'Istoric_Nativ'!$P$6:$P$405,1,'Istoric_Nativ'!$D$6:$D$405,"&gt;="&amp;L558)+COUNTIFS('Istoric_Nativ'!$B$6:$B$405,E558,'Istoric_Nativ'!$C$6:$C$405,F558,'Istoric_Nativ'!$F$6:$F$405,G558,'Istoric_Nativ'!$D$6:$D$405,"&lt;"&amp;J558,'Istoric_Nativ'!$P$6:$P$405,1,'Istoric_Nativ'!$D$6:$D$405,"&gt;="&amp;L558))))</x:f>
        <x:v>0</x:v>
      </x:c>
      <x:c r="N558" s="11" t="str">
        <x:f>IF(M558=0,"",IF(H558="HOME",SUMIFS('Istoric_Nativ'!$G$6:$G$405,'Istoric_Nativ'!$B$6:$B$405,E558,'Istoric_Nativ'!$C$6:$C$405,F558,'Istoric_Nativ'!$E$6:$E$405,G558,'Istoric_Nativ'!$D$6:$D$405,"&lt;"&amp;J558,'Istoric_Nativ'!$P$6:$P$405,1,'Istoric_Nativ'!$D$6:$D$405,"&gt;="&amp;L558),IF(H558="AWAY",SUMIFS('Istoric_Nativ'!$H$6:$H$405,'Istoric_Nativ'!$B$6:$B$405,E558,'Istoric_Nativ'!$C$6:$C$405,F558,'Istoric_Nativ'!$F$6:$F$405,G558,'Istoric_Nativ'!$D$6:$D$405,"&lt;"&amp;J558,'Istoric_Nativ'!$P$6:$P$405,1,'Istoric_Nativ'!$D$6:$D$405,"&gt;="&amp;L558),SUMIFS('Istoric_Nativ'!$G$6:$G$405,'Istoric_Nativ'!$B$6:$B$405,E558,'Istoric_Nativ'!$C$6:$C$405,F558,'Istoric_Nativ'!$E$6:$E$405,G558,'Istoric_Nativ'!$D$6:$D$405,"&lt;"&amp;J558,'Istoric_Nativ'!$P$6:$P$405,1,'Istoric_Nativ'!$D$6:$D$405,"&gt;="&amp;L558)+SUMIFS('Istoric_Nativ'!$H$6:$H$405,'Istoric_Nativ'!$B$6:$B$405,E558,'Istoric_Nativ'!$C$6:$C$405,F558,'Istoric_Nativ'!$F$6:$F$405,G558,'Istoric_Nativ'!$D$6:$D$405,"&lt;"&amp;J558,'Istoric_Nativ'!$P$6:$P$405,1,'Istoric_Nativ'!$D$6:$D$405,"&gt;="&amp;L558)))/M558)</x:f>
      </x:c>
      <x:c r="O558" s="11" t="str">
        <x:f>IF(M558=0,"",IF(H558="HOME",SUMIFS('Istoric_Nativ'!$H$6:$H$405,'Istoric_Nativ'!$B$6:$B$405,E558,'Istoric_Nativ'!$C$6:$C$405,F558,'Istoric_Nativ'!$E$6:$E$405,G558,'Istoric_Nativ'!$D$6:$D$405,"&lt;"&amp;J558,'Istoric_Nativ'!$P$6:$P$405,1,'Istoric_Nativ'!$D$6:$D$405,"&gt;="&amp;L558),IF(H558="AWAY",SUMIFS('Istoric_Nativ'!$G$6:$G$405,'Istoric_Nativ'!$B$6:$B$405,E558,'Istoric_Nativ'!$C$6:$C$405,F558,'Istoric_Nativ'!$F$6:$F$405,G558,'Istoric_Nativ'!$D$6:$D$405,"&lt;"&amp;J558,'Istoric_Nativ'!$P$6:$P$405,1,'Istoric_Nativ'!$D$6:$D$405,"&gt;="&amp;L558),SUMIFS('Istoric_Nativ'!$H$6:$H$405,'Istoric_Nativ'!$B$6:$B$405,E558,'Istoric_Nativ'!$C$6:$C$405,F558,'Istoric_Nativ'!$E$6:$E$405,G558,'Istoric_Nativ'!$D$6:$D$405,"&lt;"&amp;J558,'Istoric_Nativ'!$P$6:$P$405,1,'Istoric_Nativ'!$D$6:$D$405,"&gt;="&amp;L558)+SUMIFS('Istoric_Nativ'!$G$6:$G$405,'Istoric_Nativ'!$B$6:$B$405,E558,'Istoric_Nativ'!$C$6:$C$405,F558,'Istoric_Nativ'!$F$6:$F$405,G558,'Istoric_Nativ'!$D$6:$D$405,"&lt;"&amp;J558,'Istoric_Nativ'!$P$6:$P$405,1,'Istoric_Nativ'!$D$6:$D$405,"&gt;="&amp;L558)))/M558)</x:f>
      </x:c>
      <x:c r="P558" s="2" t="n">
        <x:f>'Config_v6'!$B$7</x:f>
        <x:v>10</x:v>
      </x:c>
      <x:c r="Q558" s="2" t="n">
        <x:f>IF(OR(B558="",F558=""),0,IFERROR(MATCH(E558&amp;"|"&amp;F558,SourceTable[Source_Key],0),0))</x:f>
        <x:v>0</x:v>
      </x:c>
      <x:c r="R558" s="2" t="str">
        <x:f>IF(B558="","",IF(F558="","UNUSED",IF(Q558=0,"NOT CHECKED",IF(COUNTIF(SourceTable[Source_Key],E558&amp;"|"&amp;F558)&lt;&gt;1,"SOURCE CONFLICT",IF(NOT(OR(INDEX(SourceTable[Status],MAX(1,Q558))="IMPORTED",INDEX(SourceTable[Status],MAX(1,Q558))="PARTIAL",INDEX(SourceTable[Status],MAX(1,Q558))="SOURCE CONFLICT")),"ACCESS BLOCKED",IF(OR(INDEX(SourceTable[Coverage],Q558)&lt;&gt;"FULL SEASON EXPORT",INDEX(SourceTable[URL],Q558)="",INDEX(SourceTable[SHA256],Q558)=""),"EVIDENCE INCOMPLETE",IF(AND('Input_Meci'!H52="LIVE",INDEX(SourceTable[Retrieved_UTC],Q558)&gt;'Input_Meci'!G52),"POST CUTOFF","CLOSED")))))))</x:f>
      </x:c>
      <x:c r="S558" s="2" t="n">
        <x:f>IF(OR(B558="",F558=""),0,COUNTIFS('Istoric_Nativ'!$B$6:$B$405,E558,'Istoric_Nativ'!$C$6:$C$405,F558,'Istoric_Nativ'!$E$6:$E$405,G558,'Istoric_Nativ'!$D$6:$D$405,"&lt;"&amp;J558,'Istoric_Nativ'!$O$6:$O$405,"INVALID")+COUNTIFS('Istoric_Nativ'!$B$6:$B$405,E558,'Istoric_Nativ'!$C$6:$C$405,F558,'Istoric_Nativ'!$E$6:$E$405,G558,'Istoric_Nativ'!$O$6:$O$405,"INVALID",'Istoric_Nativ'!$D$6:$D$405,"*")+COUNTIFS('Istoric_Nativ'!$B$6:$B$405,E558,'Istoric_Nativ'!$C$6:$C$405,F558,'Istoric_Nativ'!$E$6:$E$405,G558,'Istoric_Nativ'!$D$6:$D$405,"&lt;"&amp;J558,'Istoric_Nativ'!$O$6:$O$405,"SOURCE CONFLICT")+COUNTIFS('Istoric_Nativ'!$B$6:$B$405,E558,'Istoric_Nativ'!$C$6:$C$405,F558,'Istoric_Nativ'!$F$6:$F$405,G558,'Istoric_Nativ'!$D$6:$D$405,"&lt;"&amp;J558,'Istoric_Nativ'!$O$6:$O$405,"INVALID")+COUNTIFS('Istoric_Nativ'!$B$6:$B$405,E558,'Istoric_Nativ'!$C$6:$C$405,F558,'Istoric_Nativ'!$F$6:$F$405,G558,'Istoric_Nativ'!$O$6:$O$405,"INVALID",'Istoric_Nativ'!$D$6:$D$405,"*")+COUNTIFS('Istoric_Nativ'!$B$6:$B$405,E558,'Istoric_Nativ'!$C$6:$C$405,F558,'Istoric_Nativ'!$F$6:$F$405,G558,'Istoric_Nativ'!$D$6:$D$405,"&lt;"&amp;J558,'Istoric_Nativ'!$O$6:$O$405,"SOURCE CONFLICT"))</x:f>
        <x:v>0</x:v>
      </x:c>
      <x:c r="T558" s="2" t="str">
        <x:f>IF(B558="","",IF(R558&lt;&gt;"CLOSED",R558,IF(S558&gt;0,"NATIVE INPUT ISSUE",IF(M558=0,"NO HISTORY",IF(M558&lt;P558,"SMALL SAMPLE","DERIVED")))))</x:f>
      </x:c>
      <x:c r="U558" s="2" t="str">
        <x:f>IF(B558="","","NativeTable; "&amp;E558&amp;"; "&amp;F558&amp;"; "&amp;G558&amp;"; "&amp;H558&amp;"; before "&amp;TEXT(J558,"yyyy-mm-dd")&amp;IF(I558="RECENT","; from "&amp;TEXT(L558,"yyyy-mm-dd"),""))</x:f>
      </x:c>
    </x:row>
    <x:row r="559" ht="21" customHeight="1">
      <x:c r="A559" s="2" t="n">
        <x:v>47</x:v>
      </x:c>
      <x:c r="B559" s="2" t="str">
        <x:f>IF('Input_Meci'!A52="","",'Input_Meci'!A52)</x:f>
      </x:c>
      <x:c r="C559" s="2" t="str">
        <x:v>H</x:v>
      </x:c>
      <x:c r="D559" s="2" t="str">
        <x:v>CURRENT</x:v>
      </x:c>
      <x:c r="E559" s="2" t="str">
        <x:f>IF(B559="","",'Input_Meci'!B52)</x:f>
      </x:c>
      <x:c r="F559" s="2" t="str">
        <x:f>IF(B559="","",IF('Input_Meci'!C52="","",'Input_Meci'!C52))</x:f>
      </x:c>
      <x:c r="G559" s="2" t="str">
        <x:f>IF(B559="","",'Input_Meci'!D52)</x:f>
      </x:c>
      <x:c r="H559" s="2" t="str">
        <x:v>HOME</x:v>
      </x:c>
      <x:c r="I559" s="2" t="str">
        <x:v>HA</x:v>
      </x:c>
      <x:c r="J559" s="9" t="n">
        <x:f>IF(AND(B559&lt;&gt;"",ISNUMBER('Input_Meci'!G52)),INT('Input_Meci'!G52),0)</x:f>
        <x:v>0</x:v>
      </x:c>
      <x:c r="K559" s="2" t="n">
        <x:f>IF(OR(B559="",F559=""),0,IF(H559="HOME",COUNTIFS('Istoric_Nativ'!$B$6:$B$405,E559,'Istoric_Nativ'!$C$6:$C$405,F559,'Istoric_Nativ'!$E$6:$E$405,G559,'Istoric_Nativ'!$D$6:$D$405,"&lt;"&amp;J559,'Istoric_Nativ'!$P$6:$P$405,1),IF(H559="AWAY",COUNTIFS('Istoric_Nativ'!$B$6:$B$405,E559,'Istoric_Nativ'!$C$6:$C$405,F559,'Istoric_Nativ'!$F$6:$F$405,G559,'Istoric_Nativ'!$D$6:$D$405,"&lt;"&amp;J559,'Istoric_Nativ'!$P$6:$P$405,1),COUNTIFS('Istoric_Nativ'!$B$6:$B$405,E559,'Istoric_Nativ'!$C$6:$C$405,F559,'Istoric_Nativ'!$E$6:$E$405,G559,'Istoric_Nativ'!$D$6:$D$405,"&lt;"&amp;J559,'Istoric_Nativ'!$P$6:$P$405,1)+COUNTIFS('Istoric_Nativ'!$B$6:$B$405,E559,'Istoric_Nativ'!$C$6:$C$405,F559,'Istoric_Nativ'!$F$6:$F$405,G559,'Istoric_Nativ'!$D$6:$D$405,"&lt;"&amp;J559,'Istoric_Nativ'!$P$6:$P$405,1))))</x:f>
        <x:v>0</x:v>
      </x:c>
      <x:c r="L559" s="17" t="n">
        <x:f>IF(AND(B559&lt;&gt;"",I559="RECENT",K559&gt;0),LARGE(_xlfn._xlws.FILTER('Istoric_Nativ'!$D$6:$D$405,('Istoric_Nativ'!$B$6:$B$405=E559)*('Istoric_Nativ'!$C$6:$C$405=F559)*('Istoric_Nativ'!$P$6:$P$405=1)*('Istoric_Nativ'!$D$6:$D$405&lt;J559)*((('Istoric_Nativ'!$E$6:$E$405=G559)+('Istoric_Nativ'!$F$6:$F$405=G559))&gt;0)),MIN('Config_v6'!$B$54,K559)),0)</x:f>
        <x:v>0</x:v>
      </x:c>
      <x:c r="M559" s="2" t="n">
        <x:f>IF(OR(B559="",F559=""),0,IF(H559="HOME",COUNTIFS('Istoric_Nativ'!$B$6:$B$405,E559,'Istoric_Nativ'!$C$6:$C$405,F559,'Istoric_Nativ'!$E$6:$E$405,G559,'Istoric_Nativ'!$D$6:$D$405,"&lt;"&amp;J559,'Istoric_Nativ'!$P$6:$P$405,1,'Istoric_Nativ'!$D$6:$D$405,"&gt;="&amp;L559),IF(H559="AWAY",COUNTIFS('Istoric_Nativ'!$B$6:$B$405,E559,'Istoric_Nativ'!$C$6:$C$405,F559,'Istoric_Nativ'!$F$6:$F$405,G559,'Istoric_Nativ'!$D$6:$D$405,"&lt;"&amp;J559,'Istoric_Nativ'!$P$6:$P$405,1,'Istoric_Nativ'!$D$6:$D$405,"&gt;="&amp;L559),COUNTIFS('Istoric_Nativ'!$B$6:$B$405,E559,'Istoric_Nativ'!$C$6:$C$405,F559,'Istoric_Nativ'!$E$6:$E$405,G559,'Istoric_Nativ'!$D$6:$D$405,"&lt;"&amp;J559,'Istoric_Nativ'!$P$6:$P$405,1,'Istoric_Nativ'!$D$6:$D$405,"&gt;="&amp;L559)+COUNTIFS('Istoric_Nativ'!$B$6:$B$405,E559,'Istoric_Nativ'!$C$6:$C$405,F559,'Istoric_Nativ'!$F$6:$F$405,G559,'Istoric_Nativ'!$D$6:$D$405,"&lt;"&amp;J559,'Istoric_Nativ'!$P$6:$P$405,1,'Istoric_Nativ'!$D$6:$D$405,"&gt;="&amp;L559))))</x:f>
        <x:v>0</x:v>
      </x:c>
      <x:c r="N559" s="11" t="str">
        <x:f>IF(M559=0,"",IF(H559="HOME",SUMIFS('Istoric_Nativ'!$G$6:$G$405,'Istoric_Nativ'!$B$6:$B$405,E559,'Istoric_Nativ'!$C$6:$C$405,F559,'Istoric_Nativ'!$E$6:$E$405,G559,'Istoric_Nativ'!$D$6:$D$405,"&lt;"&amp;J559,'Istoric_Nativ'!$P$6:$P$405,1,'Istoric_Nativ'!$D$6:$D$405,"&gt;="&amp;L559),IF(H559="AWAY",SUMIFS('Istoric_Nativ'!$H$6:$H$405,'Istoric_Nativ'!$B$6:$B$405,E559,'Istoric_Nativ'!$C$6:$C$405,F559,'Istoric_Nativ'!$F$6:$F$405,G559,'Istoric_Nativ'!$D$6:$D$405,"&lt;"&amp;J559,'Istoric_Nativ'!$P$6:$P$405,1,'Istoric_Nativ'!$D$6:$D$405,"&gt;="&amp;L559),SUMIFS('Istoric_Nativ'!$G$6:$G$405,'Istoric_Nativ'!$B$6:$B$405,E559,'Istoric_Nativ'!$C$6:$C$405,F559,'Istoric_Nativ'!$E$6:$E$405,G559,'Istoric_Nativ'!$D$6:$D$405,"&lt;"&amp;J559,'Istoric_Nativ'!$P$6:$P$405,1,'Istoric_Nativ'!$D$6:$D$405,"&gt;="&amp;L559)+SUMIFS('Istoric_Nativ'!$H$6:$H$405,'Istoric_Nativ'!$B$6:$B$405,E559,'Istoric_Nativ'!$C$6:$C$405,F559,'Istoric_Nativ'!$F$6:$F$405,G559,'Istoric_Nativ'!$D$6:$D$405,"&lt;"&amp;J559,'Istoric_Nativ'!$P$6:$P$405,1,'Istoric_Nativ'!$D$6:$D$405,"&gt;="&amp;L559)))/M559)</x:f>
      </x:c>
      <x:c r="O559" s="11" t="str">
        <x:f>IF(M559=0,"",IF(H559="HOME",SUMIFS('Istoric_Nativ'!$H$6:$H$405,'Istoric_Nativ'!$B$6:$B$405,E559,'Istoric_Nativ'!$C$6:$C$405,F559,'Istoric_Nativ'!$E$6:$E$405,G559,'Istoric_Nativ'!$D$6:$D$405,"&lt;"&amp;J559,'Istoric_Nativ'!$P$6:$P$405,1,'Istoric_Nativ'!$D$6:$D$405,"&gt;="&amp;L559),IF(H559="AWAY",SUMIFS('Istoric_Nativ'!$G$6:$G$405,'Istoric_Nativ'!$B$6:$B$405,E559,'Istoric_Nativ'!$C$6:$C$405,F559,'Istoric_Nativ'!$F$6:$F$405,G559,'Istoric_Nativ'!$D$6:$D$405,"&lt;"&amp;J559,'Istoric_Nativ'!$P$6:$P$405,1,'Istoric_Nativ'!$D$6:$D$405,"&gt;="&amp;L559),SUMIFS('Istoric_Nativ'!$H$6:$H$405,'Istoric_Nativ'!$B$6:$B$405,E559,'Istoric_Nativ'!$C$6:$C$405,F559,'Istoric_Nativ'!$E$6:$E$405,G559,'Istoric_Nativ'!$D$6:$D$405,"&lt;"&amp;J559,'Istoric_Nativ'!$P$6:$P$405,1,'Istoric_Nativ'!$D$6:$D$405,"&gt;="&amp;L559)+SUMIFS('Istoric_Nativ'!$G$6:$G$405,'Istoric_Nativ'!$B$6:$B$405,E559,'Istoric_Nativ'!$C$6:$C$405,F559,'Istoric_Nativ'!$F$6:$F$405,G559,'Istoric_Nativ'!$D$6:$D$405,"&lt;"&amp;J559,'Istoric_Nativ'!$P$6:$P$405,1,'Istoric_Nativ'!$D$6:$D$405,"&gt;="&amp;L559)))/M559)</x:f>
      </x:c>
      <x:c r="P559" s="2" t="n">
        <x:f>'Config_v6'!$B$8</x:f>
        <x:v>5</x:v>
      </x:c>
      <x:c r="Q559" s="2" t="n">
        <x:f>IF(OR(B559="",F559=""),0,IFERROR(MATCH(E559&amp;"|"&amp;F559,SourceTable[Source_Key],0),0))</x:f>
        <x:v>0</x:v>
      </x:c>
      <x:c r="R559" s="2" t="str">
        <x:f>IF(B559="","",IF(F559="","UNUSED",IF(Q559=0,"NOT CHECKED",IF(COUNTIF(SourceTable[Source_Key],E559&amp;"|"&amp;F559)&lt;&gt;1,"SOURCE CONFLICT",IF(NOT(OR(INDEX(SourceTable[Status],MAX(1,Q559))="IMPORTED",INDEX(SourceTable[Status],MAX(1,Q559))="PARTIAL",INDEX(SourceTable[Status],MAX(1,Q559))="SOURCE CONFLICT")),"ACCESS BLOCKED",IF(OR(INDEX(SourceTable[Coverage],Q559)&lt;&gt;"FULL SEASON EXPORT",INDEX(SourceTable[URL],Q559)="",INDEX(SourceTable[SHA256],Q559)=""),"EVIDENCE INCOMPLETE",IF(AND('Input_Meci'!H52="LIVE",INDEX(SourceTable[Retrieved_UTC],Q559)&gt;'Input_Meci'!G52),"POST CUTOFF","CLOSED")))))))</x:f>
      </x:c>
      <x:c r="S559" s="2" t="n">
        <x:f>IF(OR(B559="",F559=""),0,COUNTIFS('Istoric_Nativ'!$B$6:$B$405,E559,'Istoric_Nativ'!$C$6:$C$405,F559,'Istoric_Nativ'!$E$6:$E$405,G559,'Istoric_Nativ'!$D$6:$D$405,"&lt;"&amp;J559,'Istoric_Nativ'!$O$6:$O$405,"INVALID")+COUNTIFS('Istoric_Nativ'!$B$6:$B$405,E559,'Istoric_Nativ'!$C$6:$C$405,F559,'Istoric_Nativ'!$E$6:$E$405,G559,'Istoric_Nativ'!$O$6:$O$405,"INVALID",'Istoric_Nativ'!$D$6:$D$405,"*")+COUNTIFS('Istoric_Nativ'!$B$6:$B$405,E559,'Istoric_Nativ'!$C$6:$C$405,F559,'Istoric_Nativ'!$E$6:$E$405,G559,'Istoric_Nativ'!$D$6:$D$405,"&lt;"&amp;J559,'Istoric_Nativ'!$O$6:$O$405,"SOURCE CONFLICT")+COUNTIFS('Istoric_Nativ'!$B$6:$B$405,E559,'Istoric_Nativ'!$C$6:$C$405,F559,'Istoric_Nativ'!$F$6:$F$405,G559,'Istoric_Nativ'!$D$6:$D$405,"&lt;"&amp;J559,'Istoric_Nativ'!$O$6:$O$405,"INVALID")+COUNTIFS('Istoric_Nativ'!$B$6:$B$405,E559,'Istoric_Nativ'!$C$6:$C$405,F559,'Istoric_Nativ'!$F$6:$F$405,G559,'Istoric_Nativ'!$O$6:$O$405,"INVALID",'Istoric_Nativ'!$D$6:$D$405,"*")+COUNTIFS('Istoric_Nativ'!$B$6:$B$405,E559,'Istoric_Nativ'!$C$6:$C$405,F559,'Istoric_Nativ'!$F$6:$F$405,G559,'Istoric_Nativ'!$D$6:$D$405,"&lt;"&amp;J559,'Istoric_Nativ'!$O$6:$O$405,"SOURCE CONFLICT"))</x:f>
        <x:v>0</x:v>
      </x:c>
      <x:c r="T559" s="2" t="str">
        <x:f>IF(B559="","",IF(R559&lt;&gt;"CLOSED",R559,IF(S559&gt;0,"NATIVE INPUT ISSUE",IF(M559=0,"NO HISTORY",IF(M559&lt;P559,"SMALL SAMPLE","DERIVED")))))</x:f>
      </x:c>
      <x:c r="U559" s="2" t="str">
        <x:f>IF(B559="","","NativeTable; "&amp;E559&amp;"; "&amp;F559&amp;"; "&amp;G559&amp;"; "&amp;H559&amp;"; before "&amp;TEXT(J559,"yyyy-mm-dd")&amp;IF(I559="RECENT","; from "&amp;TEXT(L559,"yyyy-mm-dd"),""))</x:f>
      </x:c>
    </x:row>
    <x:row r="560" ht="21" customHeight="1">
      <x:c r="A560" s="2" t="n">
        <x:v>47</x:v>
      </x:c>
      <x:c r="B560" s="2" t="str">
        <x:f>IF('Input_Meci'!A52="","",'Input_Meci'!A52)</x:f>
      </x:c>
      <x:c r="C560" s="2" t="str">
        <x:v>H</x:v>
      </x:c>
      <x:c r="D560" s="2" t="str">
        <x:v>CURRENT</x:v>
      </x:c>
      <x:c r="E560" s="2" t="str">
        <x:f>IF(B560="","",'Input_Meci'!B52)</x:f>
      </x:c>
      <x:c r="F560" s="2" t="str">
        <x:f>IF(B560="","",IF('Input_Meci'!C52="","",'Input_Meci'!C52))</x:f>
      </x:c>
      <x:c r="G560" s="2" t="str">
        <x:f>IF(B560="","",'Input_Meci'!D52)</x:f>
      </x:c>
      <x:c r="H560" s="2" t="str">
        <x:v>ANY</x:v>
      </x:c>
      <x:c r="I560" s="2" t="str">
        <x:v>RECENT</x:v>
      </x:c>
      <x:c r="J560" s="9" t="n">
        <x:f>IF(AND(B560&lt;&gt;"",ISNUMBER('Input_Meci'!G52)),INT('Input_Meci'!G52),0)</x:f>
        <x:v>0</x:v>
      </x:c>
      <x:c r="K560" s="2" t="n">
        <x:f>IF(OR(B560="",F560=""),0,IF(H560="HOME",COUNTIFS('Istoric_Nativ'!$B$6:$B$405,E560,'Istoric_Nativ'!$C$6:$C$405,F560,'Istoric_Nativ'!$E$6:$E$405,G560,'Istoric_Nativ'!$D$6:$D$405,"&lt;"&amp;J560,'Istoric_Nativ'!$P$6:$P$405,1),IF(H560="AWAY",COUNTIFS('Istoric_Nativ'!$B$6:$B$405,E560,'Istoric_Nativ'!$C$6:$C$405,F560,'Istoric_Nativ'!$F$6:$F$405,G560,'Istoric_Nativ'!$D$6:$D$405,"&lt;"&amp;J560,'Istoric_Nativ'!$P$6:$P$405,1),COUNTIFS('Istoric_Nativ'!$B$6:$B$405,E560,'Istoric_Nativ'!$C$6:$C$405,F560,'Istoric_Nativ'!$E$6:$E$405,G560,'Istoric_Nativ'!$D$6:$D$405,"&lt;"&amp;J560,'Istoric_Nativ'!$P$6:$P$405,1)+COUNTIFS('Istoric_Nativ'!$B$6:$B$405,E560,'Istoric_Nativ'!$C$6:$C$405,F560,'Istoric_Nativ'!$F$6:$F$405,G560,'Istoric_Nativ'!$D$6:$D$405,"&lt;"&amp;J560,'Istoric_Nativ'!$P$6:$P$405,1))))</x:f>
        <x:v>0</x:v>
      </x:c>
      <x:c r="L560" s="17" t="n">
        <x:f>IF(AND(B560&lt;&gt;"",I560="RECENT",K560&gt;0),LARGE(_xlfn._xlws.FILTER('Istoric_Nativ'!$D$6:$D$405,('Istoric_Nativ'!$B$6:$B$405=E560)*('Istoric_Nativ'!$C$6:$C$405=F560)*('Istoric_Nativ'!$P$6:$P$405=1)*('Istoric_Nativ'!$D$6:$D$405&lt;J560)*((('Istoric_Nativ'!$E$6:$E$405=G560)+('Istoric_Nativ'!$F$6:$F$405=G560))&gt;0)),MIN('Config_v6'!$B$54,K560)),0)</x:f>
        <x:v>0</x:v>
      </x:c>
      <x:c r="M560" s="2" t="n">
        <x:f>IF(OR(B560="",F560=""),0,IF(H560="HOME",COUNTIFS('Istoric_Nativ'!$B$6:$B$405,E560,'Istoric_Nativ'!$C$6:$C$405,F560,'Istoric_Nativ'!$E$6:$E$405,G560,'Istoric_Nativ'!$D$6:$D$405,"&lt;"&amp;J560,'Istoric_Nativ'!$P$6:$P$405,1,'Istoric_Nativ'!$D$6:$D$405,"&gt;="&amp;L560),IF(H560="AWAY",COUNTIFS('Istoric_Nativ'!$B$6:$B$405,E560,'Istoric_Nativ'!$C$6:$C$405,F560,'Istoric_Nativ'!$F$6:$F$405,G560,'Istoric_Nativ'!$D$6:$D$405,"&lt;"&amp;J560,'Istoric_Nativ'!$P$6:$P$405,1,'Istoric_Nativ'!$D$6:$D$405,"&gt;="&amp;L560),COUNTIFS('Istoric_Nativ'!$B$6:$B$405,E560,'Istoric_Nativ'!$C$6:$C$405,F560,'Istoric_Nativ'!$E$6:$E$405,G560,'Istoric_Nativ'!$D$6:$D$405,"&lt;"&amp;J560,'Istoric_Nativ'!$P$6:$P$405,1,'Istoric_Nativ'!$D$6:$D$405,"&gt;="&amp;L560)+COUNTIFS('Istoric_Nativ'!$B$6:$B$405,E560,'Istoric_Nativ'!$C$6:$C$405,F560,'Istoric_Nativ'!$F$6:$F$405,G560,'Istoric_Nativ'!$D$6:$D$405,"&lt;"&amp;J560,'Istoric_Nativ'!$P$6:$P$405,1,'Istoric_Nativ'!$D$6:$D$405,"&gt;="&amp;L560))))</x:f>
        <x:v>0</x:v>
      </x:c>
      <x:c r="N560" s="11" t="str">
        <x:f>IF(M560=0,"",IF(H560="HOME",SUMIFS('Istoric_Nativ'!$G$6:$G$405,'Istoric_Nativ'!$B$6:$B$405,E560,'Istoric_Nativ'!$C$6:$C$405,F560,'Istoric_Nativ'!$E$6:$E$405,G560,'Istoric_Nativ'!$D$6:$D$405,"&lt;"&amp;J560,'Istoric_Nativ'!$P$6:$P$405,1,'Istoric_Nativ'!$D$6:$D$405,"&gt;="&amp;L560),IF(H560="AWAY",SUMIFS('Istoric_Nativ'!$H$6:$H$405,'Istoric_Nativ'!$B$6:$B$405,E560,'Istoric_Nativ'!$C$6:$C$405,F560,'Istoric_Nativ'!$F$6:$F$405,G560,'Istoric_Nativ'!$D$6:$D$405,"&lt;"&amp;J560,'Istoric_Nativ'!$P$6:$P$405,1,'Istoric_Nativ'!$D$6:$D$405,"&gt;="&amp;L560),SUMIFS('Istoric_Nativ'!$G$6:$G$405,'Istoric_Nativ'!$B$6:$B$405,E560,'Istoric_Nativ'!$C$6:$C$405,F560,'Istoric_Nativ'!$E$6:$E$405,G560,'Istoric_Nativ'!$D$6:$D$405,"&lt;"&amp;J560,'Istoric_Nativ'!$P$6:$P$405,1,'Istoric_Nativ'!$D$6:$D$405,"&gt;="&amp;L560)+SUMIFS('Istoric_Nativ'!$H$6:$H$405,'Istoric_Nativ'!$B$6:$B$405,E560,'Istoric_Nativ'!$C$6:$C$405,F560,'Istoric_Nativ'!$F$6:$F$405,G560,'Istoric_Nativ'!$D$6:$D$405,"&lt;"&amp;J560,'Istoric_Nativ'!$P$6:$P$405,1,'Istoric_Nativ'!$D$6:$D$405,"&gt;="&amp;L560)))/M560)</x:f>
      </x:c>
      <x:c r="O560" s="11" t="str">
        <x:f>IF(M560=0,"",IF(H560="HOME",SUMIFS('Istoric_Nativ'!$H$6:$H$405,'Istoric_Nativ'!$B$6:$B$405,E560,'Istoric_Nativ'!$C$6:$C$405,F560,'Istoric_Nativ'!$E$6:$E$405,G560,'Istoric_Nativ'!$D$6:$D$405,"&lt;"&amp;J560,'Istoric_Nativ'!$P$6:$P$405,1,'Istoric_Nativ'!$D$6:$D$405,"&gt;="&amp;L560),IF(H560="AWAY",SUMIFS('Istoric_Nativ'!$G$6:$G$405,'Istoric_Nativ'!$B$6:$B$405,E560,'Istoric_Nativ'!$C$6:$C$405,F560,'Istoric_Nativ'!$F$6:$F$405,G560,'Istoric_Nativ'!$D$6:$D$405,"&lt;"&amp;J560,'Istoric_Nativ'!$P$6:$P$405,1,'Istoric_Nativ'!$D$6:$D$405,"&gt;="&amp;L560),SUMIFS('Istoric_Nativ'!$H$6:$H$405,'Istoric_Nativ'!$B$6:$B$405,E560,'Istoric_Nativ'!$C$6:$C$405,F560,'Istoric_Nativ'!$E$6:$E$405,G560,'Istoric_Nativ'!$D$6:$D$405,"&lt;"&amp;J560,'Istoric_Nativ'!$P$6:$P$405,1,'Istoric_Nativ'!$D$6:$D$405,"&gt;="&amp;L560)+SUMIFS('Istoric_Nativ'!$G$6:$G$405,'Istoric_Nativ'!$B$6:$B$405,E560,'Istoric_Nativ'!$C$6:$C$405,F560,'Istoric_Nativ'!$F$6:$F$405,G560,'Istoric_Nativ'!$D$6:$D$405,"&lt;"&amp;J560,'Istoric_Nativ'!$P$6:$P$405,1,'Istoric_Nativ'!$D$6:$D$405,"&gt;="&amp;L560)))/M560)</x:f>
      </x:c>
      <x:c r="P560" s="2" t="n">
        <x:f>'Config_v6'!$B$9</x:f>
        <x:v>3</x:v>
      </x:c>
      <x:c r="Q560" s="2" t="n">
        <x:f>IF(OR(B560="",F560=""),0,IFERROR(MATCH(E560&amp;"|"&amp;F560,SourceTable[Source_Key],0),0))</x:f>
        <x:v>0</x:v>
      </x:c>
      <x:c r="R560" s="2" t="str">
        <x:f>IF(B560="","",IF(F560="","UNUSED",IF(Q560=0,"NOT CHECKED",IF(COUNTIF(SourceTable[Source_Key],E560&amp;"|"&amp;F560)&lt;&gt;1,"SOURCE CONFLICT",IF(NOT(OR(INDEX(SourceTable[Status],MAX(1,Q560))="IMPORTED",INDEX(SourceTable[Status],MAX(1,Q560))="PARTIAL",INDEX(SourceTable[Status],MAX(1,Q560))="SOURCE CONFLICT")),"ACCESS BLOCKED",IF(OR(INDEX(SourceTable[Coverage],Q560)&lt;&gt;"FULL SEASON EXPORT",INDEX(SourceTable[URL],Q560)="",INDEX(SourceTable[SHA256],Q560)=""),"EVIDENCE INCOMPLETE",IF(AND('Input_Meci'!H52="LIVE",INDEX(SourceTable[Retrieved_UTC],Q560)&gt;'Input_Meci'!G52),"POST CUTOFF","CLOSED")))))))</x:f>
      </x:c>
      <x:c r="S560" s="2" t="n">
        <x:f>IF(OR(B560="",F560=""),0,COUNTIFS('Istoric_Nativ'!$B$6:$B$405,E560,'Istoric_Nativ'!$C$6:$C$405,F560,'Istoric_Nativ'!$E$6:$E$405,G560,'Istoric_Nativ'!$D$6:$D$405,"&lt;"&amp;J560,'Istoric_Nativ'!$O$6:$O$405,"INVALID")+COUNTIFS('Istoric_Nativ'!$B$6:$B$405,E560,'Istoric_Nativ'!$C$6:$C$405,F560,'Istoric_Nativ'!$E$6:$E$405,G560,'Istoric_Nativ'!$O$6:$O$405,"INVALID",'Istoric_Nativ'!$D$6:$D$405,"*")+COUNTIFS('Istoric_Nativ'!$B$6:$B$405,E560,'Istoric_Nativ'!$C$6:$C$405,F560,'Istoric_Nativ'!$E$6:$E$405,G560,'Istoric_Nativ'!$D$6:$D$405,"&lt;"&amp;J560,'Istoric_Nativ'!$O$6:$O$405,"SOURCE CONFLICT")+COUNTIFS('Istoric_Nativ'!$B$6:$B$405,E560,'Istoric_Nativ'!$C$6:$C$405,F560,'Istoric_Nativ'!$F$6:$F$405,G560,'Istoric_Nativ'!$D$6:$D$405,"&lt;"&amp;J560,'Istoric_Nativ'!$O$6:$O$405,"INVALID")+COUNTIFS('Istoric_Nativ'!$B$6:$B$405,E560,'Istoric_Nativ'!$C$6:$C$405,F560,'Istoric_Nativ'!$F$6:$F$405,G560,'Istoric_Nativ'!$O$6:$O$405,"INVALID",'Istoric_Nativ'!$D$6:$D$405,"*")+COUNTIFS('Istoric_Nativ'!$B$6:$B$405,E560,'Istoric_Nativ'!$C$6:$C$405,F560,'Istoric_Nativ'!$F$6:$F$405,G560,'Istoric_Nativ'!$D$6:$D$405,"&lt;"&amp;J560,'Istoric_Nativ'!$O$6:$O$405,"SOURCE CONFLICT"))</x:f>
        <x:v>0</x:v>
      </x:c>
      <x:c r="T560" s="2" t="str">
        <x:f>IF(B560="","",IF(R560&lt;&gt;"CLOSED",R560,IF(S560&gt;0,"NATIVE INPUT ISSUE",IF(M560=0,"NO HISTORY",IF(M560&lt;P560,"SMALL SAMPLE","DERIVED")))))</x:f>
      </x:c>
      <x:c r="U560" s="2" t="str">
        <x:f>IF(B560="","","NativeTable; "&amp;E560&amp;"; "&amp;F560&amp;"; "&amp;G560&amp;"; "&amp;H560&amp;"; before "&amp;TEXT(J560,"yyyy-mm-dd")&amp;IF(I560="RECENT","; from "&amp;TEXT(L560,"yyyy-mm-dd"),""))</x:f>
      </x:c>
    </x:row>
    <x:row r="561" ht="21" customHeight="1">
      <x:c r="A561" s="2" t="n">
        <x:v>47</x:v>
      </x:c>
      <x:c r="B561" s="2" t="str">
        <x:f>IF('Input_Meci'!A52="","",'Input_Meci'!A52)</x:f>
      </x:c>
      <x:c r="C561" s="2" t="str">
        <x:v>A</x:v>
      </x:c>
      <x:c r="D561" s="2" t="str">
        <x:v>CURRENT</x:v>
      </x:c>
      <x:c r="E561" s="2" t="str">
        <x:f>IF(B561="","",'Input_Meci'!B52)</x:f>
      </x:c>
      <x:c r="F561" s="2" t="str">
        <x:f>IF(B561="","",IF('Input_Meci'!C52="","",'Input_Meci'!C52))</x:f>
      </x:c>
      <x:c r="G561" s="2" t="str">
        <x:f>IF(B561="","",'Input_Meci'!E52)</x:f>
      </x:c>
      <x:c r="H561" s="2" t="str">
        <x:v>ANY</x:v>
      </x:c>
      <x:c r="I561" s="2" t="str">
        <x:v>SEASON</x:v>
      </x:c>
      <x:c r="J561" s="9" t="n">
        <x:f>IF(AND(B561&lt;&gt;"",ISNUMBER('Input_Meci'!G52)),INT('Input_Meci'!G52),0)</x:f>
        <x:v>0</x:v>
      </x:c>
      <x:c r="K561" s="2" t="n">
        <x:f>IF(OR(B561="",F561=""),0,IF(H561="HOME",COUNTIFS('Istoric_Nativ'!$B$6:$B$405,E561,'Istoric_Nativ'!$C$6:$C$405,F561,'Istoric_Nativ'!$E$6:$E$405,G561,'Istoric_Nativ'!$D$6:$D$405,"&lt;"&amp;J561,'Istoric_Nativ'!$P$6:$P$405,1),IF(H561="AWAY",COUNTIFS('Istoric_Nativ'!$B$6:$B$405,E561,'Istoric_Nativ'!$C$6:$C$405,F561,'Istoric_Nativ'!$F$6:$F$405,G561,'Istoric_Nativ'!$D$6:$D$405,"&lt;"&amp;J561,'Istoric_Nativ'!$P$6:$P$405,1),COUNTIFS('Istoric_Nativ'!$B$6:$B$405,E561,'Istoric_Nativ'!$C$6:$C$405,F561,'Istoric_Nativ'!$E$6:$E$405,G561,'Istoric_Nativ'!$D$6:$D$405,"&lt;"&amp;J561,'Istoric_Nativ'!$P$6:$P$405,1)+COUNTIFS('Istoric_Nativ'!$B$6:$B$405,E561,'Istoric_Nativ'!$C$6:$C$405,F561,'Istoric_Nativ'!$F$6:$F$405,G561,'Istoric_Nativ'!$D$6:$D$405,"&lt;"&amp;J561,'Istoric_Nativ'!$P$6:$P$405,1))))</x:f>
        <x:v>0</x:v>
      </x:c>
      <x:c r="L561" s="17" t="n">
        <x:f>IF(AND(B561&lt;&gt;"",I561="RECENT",K561&gt;0),LARGE(_xlfn._xlws.FILTER('Istoric_Nativ'!$D$6:$D$405,('Istoric_Nativ'!$B$6:$B$405=E561)*('Istoric_Nativ'!$C$6:$C$405=F561)*('Istoric_Nativ'!$P$6:$P$405=1)*('Istoric_Nativ'!$D$6:$D$405&lt;J561)*((('Istoric_Nativ'!$E$6:$E$405=G561)+('Istoric_Nativ'!$F$6:$F$405=G561))&gt;0)),MIN('Config_v6'!$B$54,K561)),0)</x:f>
        <x:v>0</x:v>
      </x:c>
      <x:c r="M561" s="2" t="n">
        <x:f>IF(OR(B561="",F561=""),0,IF(H561="HOME",COUNTIFS('Istoric_Nativ'!$B$6:$B$405,E561,'Istoric_Nativ'!$C$6:$C$405,F561,'Istoric_Nativ'!$E$6:$E$405,G561,'Istoric_Nativ'!$D$6:$D$405,"&lt;"&amp;J561,'Istoric_Nativ'!$P$6:$P$405,1,'Istoric_Nativ'!$D$6:$D$405,"&gt;="&amp;L561),IF(H561="AWAY",COUNTIFS('Istoric_Nativ'!$B$6:$B$405,E561,'Istoric_Nativ'!$C$6:$C$405,F561,'Istoric_Nativ'!$F$6:$F$405,G561,'Istoric_Nativ'!$D$6:$D$405,"&lt;"&amp;J561,'Istoric_Nativ'!$P$6:$P$405,1,'Istoric_Nativ'!$D$6:$D$405,"&gt;="&amp;L561),COUNTIFS('Istoric_Nativ'!$B$6:$B$405,E561,'Istoric_Nativ'!$C$6:$C$405,F561,'Istoric_Nativ'!$E$6:$E$405,G561,'Istoric_Nativ'!$D$6:$D$405,"&lt;"&amp;J561,'Istoric_Nativ'!$P$6:$P$405,1,'Istoric_Nativ'!$D$6:$D$405,"&gt;="&amp;L561)+COUNTIFS('Istoric_Nativ'!$B$6:$B$405,E561,'Istoric_Nativ'!$C$6:$C$405,F561,'Istoric_Nativ'!$F$6:$F$405,G561,'Istoric_Nativ'!$D$6:$D$405,"&lt;"&amp;J561,'Istoric_Nativ'!$P$6:$P$405,1,'Istoric_Nativ'!$D$6:$D$405,"&gt;="&amp;L561))))</x:f>
        <x:v>0</x:v>
      </x:c>
      <x:c r="N561" s="11" t="str">
        <x:f>IF(M561=0,"",IF(H561="HOME",SUMIFS('Istoric_Nativ'!$G$6:$G$405,'Istoric_Nativ'!$B$6:$B$405,E561,'Istoric_Nativ'!$C$6:$C$405,F561,'Istoric_Nativ'!$E$6:$E$405,G561,'Istoric_Nativ'!$D$6:$D$405,"&lt;"&amp;J561,'Istoric_Nativ'!$P$6:$P$405,1,'Istoric_Nativ'!$D$6:$D$405,"&gt;="&amp;L561),IF(H561="AWAY",SUMIFS('Istoric_Nativ'!$H$6:$H$405,'Istoric_Nativ'!$B$6:$B$405,E561,'Istoric_Nativ'!$C$6:$C$405,F561,'Istoric_Nativ'!$F$6:$F$405,G561,'Istoric_Nativ'!$D$6:$D$405,"&lt;"&amp;J561,'Istoric_Nativ'!$P$6:$P$405,1,'Istoric_Nativ'!$D$6:$D$405,"&gt;="&amp;L561),SUMIFS('Istoric_Nativ'!$G$6:$G$405,'Istoric_Nativ'!$B$6:$B$405,E561,'Istoric_Nativ'!$C$6:$C$405,F561,'Istoric_Nativ'!$E$6:$E$405,G561,'Istoric_Nativ'!$D$6:$D$405,"&lt;"&amp;J561,'Istoric_Nativ'!$P$6:$P$405,1,'Istoric_Nativ'!$D$6:$D$405,"&gt;="&amp;L561)+SUMIFS('Istoric_Nativ'!$H$6:$H$405,'Istoric_Nativ'!$B$6:$B$405,E561,'Istoric_Nativ'!$C$6:$C$405,F561,'Istoric_Nativ'!$F$6:$F$405,G561,'Istoric_Nativ'!$D$6:$D$405,"&lt;"&amp;J561,'Istoric_Nativ'!$P$6:$P$405,1,'Istoric_Nativ'!$D$6:$D$405,"&gt;="&amp;L561)))/M561)</x:f>
      </x:c>
      <x:c r="O561" s="11" t="str">
        <x:f>IF(M561=0,"",IF(H561="HOME",SUMIFS('Istoric_Nativ'!$H$6:$H$405,'Istoric_Nativ'!$B$6:$B$405,E561,'Istoric_Nativ'!$C$6:$C$405,F561,'Istoric_Nativ'!$E$6:$E$405,G561,'Istoric_Nativ'!$D$6:$D$405,"&lt;"&amp;J561,'Istoric_Nativ'!$P$6:$P$405,1,'Istoric_Nativ'!$D$6:$D$405,"&gt;="&amp;L561),IF(H561="AWAY",SUMIFS('Istoric_Nativ'!$G$6:$G$405,'Istoric_Nativ'!$B$6:$B$405,E561,'Istoric_Nativ'!$C$6:$C$405,F561,'Istoric_Nativ'!$F$6:$F$405,G561,'Istoric_Nativ'!$D$6:$D$405,"&lt;"&amp;J561,'Istoric_Nativ'!$P$6:$P$405,1,'Istoric_Nativ'!$D$6:$D$405,"&gt;="&amp;L561),SUMIFS('Istoric_Nativ'!$H$6:$H$405,'Istoric_Nativ'!$B$6:$B$405,E561,'Istoric_Nativ'!$C$6:$C$405,F561,'Istoric_Nativ'!$E$6:$E$405,G561,'Istoric_Nativ'!$D$6:$D$405,"&lt;"&amp;J561,'Istoric_Nativ'!$P$6:$P$405,1,'Istoric_Nativ'!$D$6:$D$405,"&gt;="&amp;L561)+SUMIFS('Istoric_Nativ'!$G$6:$G$405,'Istoric_Nativ'!$B$6:$B$405,E561,'Istoric_Nativ'!$C$6:$C$405,F561,'Istoric_Nativ'!$F$6:$F$405,G561,'Istoric_Nativ'!$D$6:$D$405,"&lt;"&amp;J561,'Istoric_Nativ'!$P$6:$P$405,1,'Istoric_Nativ'!$D$6:$D$405,"&gt;="&amp;L561)))/M561)</x:f>
      </x:c>
      <x:c r="P561" s="2" t="n">
        <x:f>'Config_v6'!$B$7</x:f>
        <x:v>10</x:v>
      </x:c>
      <x:c r="Q561" s="2" t="n">
        <x:f>IF(OR(B561="",F561=""),0,IFERROR(MATCH(E561&amp;"|"&amp;F561,SourceTable[Source_Key],0),0))</x:f>
        <x:v>0</x:v>
      </x:c>
      <x:c r="R561" s="2" t="str">
        <x:f>IF(B561="","",IF(F561="","UNUSED",IF(Q561=0,"NOT CHECKED",IF(COUNTIF(SourceTable[Source_Key],E561&amp;"|"&amp;F561)&lt;&gt;1,"SOURCE CONFLICT",IF(NOT(OR(INDEX(SourceTable[Status],MAX(1,Q561))="IMPORTED",INDEX(SourceTable[Status],MAX(1,Q561))="PARTIAL",INDEX(SourceTable[Status],MAX(1,Q561))="SOURCE CONFLICT")),"ACCESS BLOCKED",IF(OR(INDEX(SourceTable[Coverage],Q561)&lt;&gt;"FULL SEASON EXPORT",INDEX(SourceTable[URL],Q561)="",INDEX(SourceTable[SHA256],Q561)=""),"EVIDENCE INCOMPLETE",IF(AND('Input_Meci'!H52="LIVE",INDEX(SourceTable[Retrieved_UTC],Q561)&gt;'Input_Meci'!G52),"POST CUTOFF","CLOSED")))))))</x:f>
      </x:c>
      <x:c r="S561" s="2" t="n">
        <x:f>IF(OR(B561="",F561=""),0,COUNTIFS('Istoric_Nativ'!$B$6:$B$405,E561,'Istoric_Nativ'!$C$6:$C$405,F561,'Istoric_Nativ'!$E$6:$E$405,G561,'Istoric_Nativ'!$D$6:$D$405,"&lt;"&amp;J561,'Istoric_Nativ'!$O$6:$O$405,"INVALID")+COUNTIFS('Istoric_Nativ'!$B$6:$B$405,E561,'Istoric_Nativ'!$C$6:$C$405,F561,'Istoric_Nativ'!$E$6:$E$405,G561,'Istoric_Nativ'!$O$6:$O$405,"INVALID",'Istoric_Nativ'!$D$6:$D$405,"*")+COUNTIFS('Istoric_Nativ'!$B$6:$B$405,E561,'Istoric_Nativ'!$C$6:$C$405,F561,'Istoric_Nativ'!$E$6:$E$405,G561,'Istoric_Nativ'!$D$6:$D$405,"&lt;"&amp;J561,'Istoric_Nativ'!$O$6:$O$405,"SOURCE CONFLICT")+COUNTIFS('Istoric_Nativ'!$B$6:$B$405,E561,'Istoric_Nativ'!$C$6:$C$405,F561,'Istoric_Nativ'!$F$6:$F$405,G561,'Istoric_Nativ'!$D$6:$D$405,"&lt;"&amp;J561,'Istoric_Nativ'!$O$6:$O$405,"INVALID")+COUNTIFS('Istoric_Nativ'!$B$6:$B$405,E561,'Istoric_Nativ'!$C$6:$C$405,F561,'Istoric_Nativ'!$F$6:$F$405,G561,'Istoric_Nativ'!$O$6:$O$405,"INVALID",'Istoric_Nativ'!$D$6:$D$405,"*")+COUNTIFS('Istoric_Nativ'!$B$6:$B$405,E561,'Istoric_Nativ'!$C$6:$C$405,F561,'Istoric_Nativ'!$F$6:$F$405,G561,'Istoric_Nativ'!$D$6:$D$405,"&lt;"&amp;J561,'Istoric_Nativ'!$O$6:$O$405,"SOURCE CONFLICT"))</x:f>
        <x:v>0</x:v>
      </x:c>
      <x:c r="T561" s="2" t="str">
        <x:f>IF(B561="","",IF(R561&lt;&gt;"CLOSED",R561,IF(S561&gt;0,"NATIVE INPUT ISSUE",IF(M561=0,"NO HISTORY",IF(M561&lt;P561,"SMALL SAMPLE","DERIVED")))))</x:f>
      </x:c>
      <x:c r="U561" s="2" t="str">
        <x:f>IF(B561="","","NativeTable; "&amp;E561&amp;"; "&amp;F561&amp;"; "&amp;G561&amp;"; "&amp;H561&amp;"; before "&amp;TEXT(J561,"yyyy-mm-dd")&amp;IF(I561="RECENT","; from "&amp;TEXT(L561,"yyyy-mm-dd"),""))</x:f>
      </x:c>
    </x:row>
    <x:row r="562" ht="21" customHeight="1">
      <x:c r="A562" s="2" t="n">
        <x:v>47</x:v>
      </x:c>
      <x:c r="B562" s="2" t="str">
        <x:f>IF('Input_Meci'!A52="","",'Input_Meci'!A52)</x:f>
      </x:c>
      <x:c r="C562" s="2" t="str">
        <x:v>A</x:v>
      </x:c>
      <x:c r="D562" s="2" t="str">
        <x:v>CURRENT</x:v>
      </x:c>
      <x:c r="E562" s="2" t="str">
        <x:f>IF(B562="","",'Input_Meci'!B52)</x:f>
      </x:c>
      <x:c r="F562" s="2" t="str">
        <x:f>IF(B562="","",IF('Input_Meci'!C52="","",'Input_Meci'!C52))</x:f>
      </x:c>
      <x:c r="G562" s="2" t="str">
        <x:f>IF(B562="","",'Input_Meci'!E52)</x:f>
      </x:c>
      <x:c r="H562" s="2" t="str">
        <x:v>AWAY</x:v>
      </x:c>
      <x:c r="I562" s="2" t="str">
        <x:v>HA</x:v>
      </x:c>
      <x:c r="J562" s="9" t="n">
        <x:f>IF(AND(B562&lt;&gt;"",ISNUMBER('Input_Meci'!G52)),INT('Input_Meci'!G52),0)</x:f>
        <x:v>0</x:v>
      </x:c>
      <x:c r="K562" s="2" t="n">
        <x:f>IF(OR(B562="",F562=""),0,IF(H562="HOME",COUNTIFS('Istoric_Nativ'!$B$6:$B$405,E562,'Istoric_Nativ'!$C$6:$C$405,F562,'Istoric_Nativ'!$E$6:$E$405,G562,'Istoric_Nativ'!$D$6:$D$405,"&lt;"&amp;J562,'Istoric_Nativ'!$P$6:$P$405,1),IF(H562="AWAY",COUNTIFS('Istoric_Nativ'!$B$6:$B$405,E562,'Istoric_Nativ'!$C$6:$C$405,F562,'Istoric_Nativ'!$F$6:$F$405,G562,'Istoric_Nativ'!$D$6:$D$405,"&lt;"&amp;J562,'Istoric_Nativ'!$P$6:$P$405,1),COUNTIFS('Istoric_Nativ'!$B$6:$B$405,E562,'Istoric_Nativ'!$C$6:$C$405,F562,'Istoric_Nativ'!$E$6:$E$405,G562,'Istoric_Nativ'!$D$6:$D$405,"&lt;"&amp;J562,'Istoric_Nativ'!$P$6:$P$405,1)+COUNTIFS('Istoric_Nativ'!$B$6:$B$405,E562,'Istoric_Nativ'!$C$6:$C$405,F562,'Istoric_Nativ'!$F$6:$F$405,G562,'Istoric_Nativ'!$D$6:$D$405,"&lt;"&amp;J562,'Istoric_Nativ'!$P$6:$P$405,1))))</x:f>
        <x:v>0</x:v>
      </x:c>
      <x:c r="L562" s="17" t="n">
        <x:f>IF(AND(B562&lt;&gt;"",I562="RECENT",K562&gt;0),LARGE(_xlfn._xlws.FILTER('Istoric_Nativ'!$D$6:$D$405,('Istoric_Nativ'!$B$6:$B$405=E562)*('Istoric_Nativ'!$C$6:$C$405=F562)*('Istoric_Nativ'!$P$6:$P$405=1)*('Istoric_Nativ'!$D$6:$D$405&lt;J562)*((('Istoric_Nativ'!$E$6:$E$405=G562)+('Istoric_Nativ'!$F$6:$F$405=G562))&gt;0)),MIN('Config_v6'!$B$54,K562)),0)</x:f>
        <x:v>0</x:v>
      </x:c>
      <x:c r="M562" s="2" t="n">
        <x:f>IF(OR(B562="",F562=""),0,IF(H562="HOME",COUNTIFS('Istoric_Nativ'!$B$6:$B$405,E562,'Istoric_Nativ'!$C$6:$C$405,F562,'Istoric_Nativ'!$E$6:$E$405,G562,'Istoric_Nativ'!$D$6:$D$405,"&lt;"&amp;J562,'Istoric_Nativ'!$P$6:$P$405,1,'Istoric_Nativ'!$D$6:$D$405,"&gt;="&amp;L562),IF(H562="AWAY",COUNTIFS('Istoric_Nativ'!$B$6:$B$405,E562,'Istoric_Nativ'!$C$6:$C$405,F562,'Istoric_Nativ'!$F$6:$F$405,G562,'Istoric_Nativ'!$D$6:$D$405,"&lt;"&amp;J562,'Istoric_Nativ'!$P$6:$P$405,1,'Istoric_Nativ'!$D$6:$D$405,"&gt;="&amp;L562),COUNTIFS('Istoric_Nativ'!$B$6:$B$405,E562,'Istoric_Nativ'!$C$6:$C$405,F562,'Istoric_Nativ'!$E$6:$E$405,G562,'Istoric_Nativ'!$D$6:$D$405,"&lt;"&amp;J562,'Istoric_Nativ'!$P$6:$P$405,1,'Istoric_Nativ'!$D$6:$D$405,"&gt;="&amp;L562)+COUNTIFS('Istoric_Nativ'!$B$6:$B$405,E562,'Istoric_Nativ'!$C$6:$C$405,F562,'Istoric_Nativ'!$F$6:$F$405,G562,'Istoric_Nativ'!$D$6:$D$405,"&lt;"&amp;J562,'Istoric_Nativ'!$P$6:$P$405,1,'Istoric_Nativ'!$D$6:$D$405,"&gt;="&amp;L562))))</x:f>
        <x:v>0</x:v>
      </x:c>
      <x:c r="N562" s="11" t="str">
        <x:f>IF(M562=0,"",IF(H562="HOME",SUMIFS('Istoric_Nativ'!$G$6:$G$405,'Istoric_Nativ'!$B$6:$B$405,E562,'Istoric_Nativ'!$C$6:$C$405,F562,'Istoric_Nativ'!$E$6:$E$405,G562,'Istoric_Nativ'!$D$6:$D$405,"&lt;"&amp;J562,'Istoric_Nativ'!$P$6:$P$405,1,'Istoric_Nativ'!$D$6:$D$405,"&gt;="&amp;L562),IF(H562="AWAY",SUMIFS('Istoric_Nativ'!$H$6:$H$405,'Istoric_Nativ'!$B$6:$B$405,E562,'Istoric_Nativ'!$C$6:$C$405,F562,'Istoric_Nativ'!$F$6:$F$405,G562,'Istoric_Nativ'!$D$6:$D$405,"&lt;"&amp;J562,'Istoric_Nativ'!$P$6:$P$405,1,'Istoric_Nativ'!$D$6:$D$405,"&gt;="&amp;L562),SUMIFS('Istoric_Nativ'!$G$6:$G$405,'Istoric_Nativ'!$B$6:$B$405,E562,'Istoric_Nativ'!$C$6:$C$405,F562,'Istoric_Nativ'!$E$6:$E$405,G562,'Istoric_Nativ'!$D$6:$D$405,"&lt;"&amp;J562,'Istoric_Nativ'!$P$6:$P$405,1,'Istoric_Nativ'!$D$6:$D$405,"&gt;="&amp;L562)+SUMIFS('Istoric_Nativ'!$H$6:$H$405,'Istoric_Nativ'!$B$6:$B$405,E562,'Istoric_Nativ'!$C$6:$C$405,F562,'Istoric_Nativ'!$F$6:$F$405,G562,'Istoric_Nativ'!$D$6:$D$405,"&lt;"&amp;J562,'Istoric_Nativ'!$P$6:$P$405,1,'Istoric_Nativ'!$D$6:$D$405,"&gt;="&amp;L562)))/M562)</x:f>
      </x:c>
      <x:c r="O562" s="11" t="str">
        <x:f>IF(M562=0,"",IF(H562="HOME",SUMIFS('Istoric_Nativ'!$H$6:$H$405,'Istoric_Nativ'!$B$6:$B$405,E562,'Istoric_Nativ'!$C$6:$C$405,F562,'Istoric_Nativ'!$E$6:$E$405,G562,'Istoric_Nativ'!$D$6:$D$405,"&lt;"&amp;J562,'Istoric_Nativ'!$P$6:$P$405,1,'Istoric_Nativ'!$D$6:$D$405,"&gt;="&amp;L562),IF(H562="AWAY",SUMIFS('Istoric_Nativ'!$G$6:$G$405,'Istoric_Nativ'!$B$6:$B$405,E562,'Istoric_Nativ'!$C$6:$C$405,F562,'Istoric_Nativ'!$F$6:$F$405,G562,'Istoric_Nativ'!$D$6:$D$405,"&lt;"&amp;J562,'Istoric_Nativ'!$P$6:$P$405,1,'Istoric_Nativ'!$D$6:$D$405,"&gt;="&amp;L562),SUMIFS('Istoric_Nativ'!$H$6:$H$405,'Istoric_Nativ'!$B$6:$B$405,E562,'Istoric_Nativ'!$C$6:$C$405,F562,'Istoric_Nativ'!$E$6:$E$405,G562,'Istoric_Nativ'!$D$6:$D$405,"&lt;"&amp;J562,'Istoric_Nativ'!$P$6:$P$405,1,'Istoric_Nativ'!$D$6:$D$405,"&gt;="&amp;L562)+SUMIFS('Istoric_Nativ'!$G$6:$G$405,'Istoric_Nativ'!$B$6:$B$405,E562,'Istoric_Nativ'!$C$6:$C$405,F562,'Istoric_Nativ'!$F$6:$F$405,G562,'Istoric_Nativ'!$D$6:$D$405,"&lt;"&amp;J562,'Istoric_Nativ'!$P$6:$P$405,1,'Istoric_Nativ'!$D$6:$D$405,"&gt;="&amp;L562)))/M562)</x:f>
      </x:c>
      <x:c r="P562" s="2" t="n">
        <x:f>'Config_v6'!$B$8</x:f>
        <x:v>5</x:v>
      </x:c>
      <x:c r="Q562" s="2" t="n">
        <x:f>IF(OR(B562="",F562=""),0,IFERROR(MATCH(E562&amp;"|"&amp;F562,SourceTable[Source_Key],0),0))</x:f>
        <x:v>0</x:v>
      </x:c>
      <x:c r="R562" s="2" t="str">
        <x:f>IF(B562="","",IF(F562="","UNUSED",IF(Q562=0,"NOT CHECKED",IF(COUNTIF(SourceTable[Source_Key],E562&amp;"|"&amp;F562)&lt;&gt;1,"SOURCE CONFLICT",IF(NOT(OR(INDEX(SourceTable[Status],MAX(1,Q562))="IMPORTED",INDEX(SourceTable[Status],MAX(1,Q562))="PARTIAL",INDEX(SourceTable[Status],MAX(1,Q562))="SOURCE CONFLICT")),"ACCESS BLOCKED",IF(OR(INDEX(SourceTable[Coverage],Q562)&lt;&gt;"FULL SEASON EXPORT",INDEX(SourceTable[URL],Q562)="",INDEX(SourceTable[SHA256],Q562)=""),"EVIDENCE INCOMPLETE",IF(AND('Input_Meci'!H52="LIVE",INDEX(SourceTable[Retrieved_UTC],Q562)&gt;'Input_Meci'!G52),"POST CUTOFF","CLOSED")))))))</x:f>
      </x:c>
      <x:c r="S562" s="2" t="n">
        <x:f>IF(OR(B562="",F562=""),0,COUNTIFS('Istoric_Nativ'!$B$6:$B$405,E562,'Istoric_Nativ'!$C$6:$C$405,F562,'Istoric_Nativ'!$E$6:$E$405,G562,'Istoric_Nativ'!$D$6:$D$405,"&lt;"&amp;J562,'Istoric_Nativ'!$O$6:$O$405,"INVALID")+COUNTIFS('Istoric_Nativ'!$B$6:$B$405,E562,'Istoric_Nativ'!$C$6:$C$405,F562,'Istoric_Nativ'!$E$6:$E$405,G562,'Istoric_Nativ'!$O$6:$O$405,"INVALID",'Istoric_Nativ'!$D$6:$D$405,"*")+COUNTIFS('Istoric_Nativ'!$B$6:$B$405,E562,'Istoric_Nativ'!$C$6:$C$405,F562,'Istoric_Nativ'!$E$6:$E$405,G562,'Istoric_Nativ'!$D$6:$D$405,"&lt;"&amp;J562,'Istoric_Nativ'!$O$6:$O$405,"SOURCE CONFLICT")+COUNTIFS('Istoric_Nativ'!$B$6:$B$405,E562,'Istoric_Nativ'!$C$6:$C$405,F562,'Istoric_Nativ'!$F$6:$F$405,G562,'Istoric_Nativ'!$D$6:$D$405,"&lt;"&amp;J562,'Istoric_Nativ'!$O$6:$O$405,"INVALID")+COUNTIFS('Istoric_Nativ'!$B$6:$B$405,E562,'Istoric_Nativ'!$C$6:$C$405,F562,'Istoric_Nativ'!$F$6:$F$405,G562,'Istoric_Nativ'!$O$6:$O$405,"INVALID",'Istoric_Nativ'!$D$6:$D$405,"*")+COUNTIFS('Istoric_Nativ'!$B$6:$B$405,E562,'Istoric_Nativ'!$C$6:$C$405,F562,'Istoric_Nativ'!$F$6:$F$405,G562,'Istoric_Nativ'!$D$6:$D$405,"&lt;"&amp;J562,'Istoric_Nativ'!$O$6:$O$405,"SOURCE CONFLICT"))</x:f>
        <x:v>0</x:v>
      </x:c>
      <x:c r="T562" s="2" t="str">
        <x:f>IF(B562="","",IF(R562&lt;&gt;"CLOSED",R562,IF(S562&gt;0,"NATIVE INPUT ISSUE",IF(M562=0,"NO HISTORY",IF(M562&lt;P562,"SMALL SAMPLE","DERIVED")))))</x:f>
      </x:c>
      <x:c r="U562" s="2" t="str">
        <x:f>IF(B562="","","NativeTable; "&amp;E562&amp;"; "&amp;F562&amp;"; "&amp;G562&amp;"; "&amp;H562&amp;"; before "&amp;TEXT(J562,"yyyy-mm-dd")&amp;IF(I562="RECENT","; from "&amp;TEXT(L562,"yyyy-mm-dd"),""))</x:f>
      </x:c>
    </x:row>
    <x:row r="563" ht="21" customHeight="1">
      <x:c r="A563" s="2" t="n">
        <x:v>47</x:v>
      </x:c>
      <x:c r="B563" s="2" t="str">
        <x:f>IF('Input_Meci'!A52="","",'Input_Meci'!A52)</x:f>
      </x:c>
      <x:c r="C563" s="2" t="str">
        <x:v>A</x:v>
      </x:c>
      <x:c r="D563" s="2" t="str">
        <x:v>CURRENT</x:v>
      </x:c>
      <x:c r="E563" s="2" t="str">
        <x:f>IF(B563="","",'Input_Meci'!B52)</x:f>
      </x:c>
      <x:c r="F563" s="2" t="str">
        <x:f>IF(B563="","",IF('Input_Meci'!C52="","",'Input_Meci'!C52))</x:f>
      </x:c>
      <x:c r="G563" s="2" t="str">
        <x:f>IF(B563="","",'Input_Meci'!E52)</x:f>
      </x:c>
      <x:c r="H563" s="2" t="str">
        <x:v>ANY</x:v>
      </x:c>
      <x:c r="I563" s="2" t="str">
        <x:v>RECENT</x:v>
      </x:c>
      <x:c r="J563" s="9" t="n">
        <x:f>IF(AND(B563&lt;&gt;"",ISNUMBER('Input_Meci'!G52)),INT('Input_Meci'!G52),0)</x:f>
        <x:v>0</x:v>
      </x:c>
      <x:c r="K563" s="2" t="n">
        <x:f>IF(OR(B563="",F563=""),0,IF(H563="HOME",COUNTIFS('Istoric_Nativ'!$B$6:$B$405,E563,'Istoric_Nativ'!$C$6:$C$405,F563,'Istoric_Nativ'!$E$6:$E$405,G563,'Istoric_Nativ'!$D$6:$D$405,"&lt;"&amp;J563,'Istoric_Nativ'!$P$6:$P$405,1),IF(H563="AWAY",COUNTIFS('Istoric_Nativ'!$B$6:$B$405,E563,'Istoric_Nativ'!$C$6:$C$405,F563,'Istoric_Nativ'!$F$6:$F$405,G563,'Istoric_Nativ'!$D$6:$D$405,"&lt;"&amp;J563,'Istoric_Nativ'!$P$6:$P$405,1),COUNTIFS('Istoric_Nativ'!$B$6:$B$405,E563,'Istoric_Nativ'!$C$6:$C$405,F563,'Istoric_Nativ'!$E$6:$E$405,G563,'Istoric_Nativ'!$D$6:$D$405,"&lt;"&amp;J563,'Istoric_Nativ'!$P$6:$P$405,1)+COUNTIFS('Istoric_Nativ'!$B$6:$B$405,E563,'Istoric_Nativ'!$C$6:$C$405,F563,'Istoric_Nativ'!$F$6:$F$405,G563,'Istoric_Nativ'!$D$6:$D$405,"&lt;"&amp;J563,'Istoric_Nativ'!$P$6:$P$405,1))))</x:f>
        <x:v>0</x:v>
      </x:c>
      <x:c r="L563" s="17" t="n">
        <x:f>IF(AND(B563&lt;&gt;"",I563="RECENT",K563&gt;0),LARGE(_xlfn._xlws.FILTER('Istoric_Nativ'!$D$6:$D$405,('Istoric_Nativ'!$B$6:$B$405=E563)*('Istoric_Nativ'!$C$6:$C$405=F563)*('Istoric_Nativ'!$P$6:$P$405=1)*('Istoric_Nativ'!$D$6:$D$405&lt;J563)*((('Istoric_Nativ'!$E$6:$E$405=G563)+('Istoric_Nativ'!$F$6:$F$405=G563))&gt;0)),MIN('Config_v6'!$B$54,K563)),0)</x:f>
        <x:v>0</x:v>
      </x:c>
      <x:c r="M563" s="2" t="n">
        <x:f>IF(OR(B563="",F563=""),0,IF(H563="HOME",COUNTIFS('Istoric_Nativ'!$B$6:$B$405,E563,'Istoric_Nativ'!$C$6:$C$405,F563,'Istoric_Nativ'!$E$6:$E$405,G563,'Istoric_Nativ'!$D$6:$D$405,"&lt;"&amp;J563,'Istoric_Nativ'!$P$6:$P$405,1,'Istoric_Nativ'!$D$6:$D$405,"&gt;="&amp;L563),IF(H563="AWAY",COUNTIFS('Istoric_Nativ'!$B$6:$B$405,E563,'Istoric_Nativ'!$C$6:$C$405,F563,'Istoric_Nativ'!$F$6:$F$405,G563,'Istoric_Nativ'!$D$6:$D$405,"&lt;"&amp;J563,'Istoric_Nativ'!$P$6:$P$405,1,'Istoric_Nativ'!$D$6:$D$405,"&gt;="&amp;L563),COUNTIFS('Istoric_Nativ'!$B$6:$B$405,E563,'Istoric_Nativ'!$C$6:$C$405,F563,'Istoric_Nativ'!$E$6:$E$405,G563,'Istoric_Nativ'!$D$6:$D$405,"&lt;"&amp;J563,'Istoric_Nativ'!$P$6:$P$405,1,'Istoric_Nativ'!$D$6:$D$405,"&gt;="&amp;L563)+COUNTIFS('Istoric_Nativ'!$B$6:$B$405,E563,'Istoric_Nativ'!$C$6:$C$405,F563,'Istoric_Nativ'!$F$6:$F$405,G563,'Istoric_Nativ'!$D$6:$D$405,"&lt;"&amp;J563,'Istoric_Nativ'!$P$6:$P$405,1,'Istoric_Nativ'!$D$6:$D$405,"&gt;="&amp;L563))))</x:f>
        <x:v>0</x:v>
      </x:c>
      <x:c r="N563" s="11" t="str">
        <x:f>IF(M563=0,"",IF(H563="HOME",SUMIFS('Istoric_Nativ'!$G$6:$G$405,'Istoric_Nativ'!$B$6:$B$405,E563,'Istoric_Nativ'!$C$6:$C$405,F563,'Istoric_Nativ'!$E$6:$E$405,G563,'Istoric_Nativ'!$D$6:$D$405,"&lt;"&amp;J563,'Istoric_Nativ'!$P$6:$P$405,1,'Istoric_Nativ'!$D$6:$D$405,"&gt;="&amp;L563),IF(H563="AWAY",SUMIFS('Istoric_Nativ'!$H$6:$H$405,'Istoric_Nativ'!$B$6:$B$405,E563,'Istoric_Nativ'!$C$6:$C$405,F563,'Istoric_Nativ'!$F$6:$F$405,G563,'Istoric_Nativ'!$D$6:$D$405,"&lt;"&amp;J563,'Istoric_Nativ'!$P$6:$P$405,1,'Istoric_Nativ'!$D$6:$D$405,"&gt;="&amp;L563),SUMIFS('Istoric_Nativ'!$G$6:$G$405,'Istoric_Nativ'!$B$6:$B$405,E563,'Istoric_Nativ'!$C$6:$C$405,F563,'Istoric_Nativ'!$E$6:$E$405,G563,'Istoric_Nativ'!$D$6:$D$405,"&lt;"&amp;J563,'Istoric_Nativ'!$P$6:$P$405,1,'Istoric_Nativ'!$D$6:$D$405,"&gt;="&amp;L563)+SUMIFS('Istoric_Nativ'!$H$6:$H$405,'Istoric_Nativ'!$B$6:$B$405,E563,'Istoric_Nativ'!$C$6:$C$405,F563,'Istoric_Nativ'!$F$6:$F$405,G563,'Istoric_Nativ'!$D$6:$D$405,"&lt;"&amp;J563,'Istoric_Nativ'!$P$6:$P$405,1,'Istoric_Nativ'!$D$6:$D$405,"&gt;="&amp;L563)))/M563)</x:f>
      </x:c>
      <x:c r="O563" s="11" t="str">
        <x:f>IF(M563=0,"",IF(H563="HOME",SUMIFS('Istoric_Nativ'!$H$6:$H$405,'Istoric_Nativ'!$B$6:$B$405,E563,'Istoric_Nativ'!$C$6:$C$405,F563,'Istoric_Nativ'!$E$6:$E$405,G563,'Istoric_Nativ'!$D$6:$D$405,"&lt;"&amp;J563,'Istoric_Nativ'!$P$6:$P$405,1,'Istoric_Nativ'!$D$6:$D$405,"&gt;="&amp;L563),IF(H563="AWAY",SUMIFS('Istoric_Nativ'!$G$6:$G$405,'Istoric_Nativ'!$B$6:$B$405,E563,'Istoric_Nativ'!$C$6:$C$405,F563,'Istoric_Nativ'!$F$6:$F$405,G563,'Istoric_Nativ'!$D$6:$D$405,"&lt;"&amp;J563,'Istoric_Nativ'!$P$6:$P$405,1,'Istoric_Nativ'!$D$6:$D$405,"&gt;="&amp;L563),SUMIFS('Istoric_Nativ'!$H$6:$H$405,'Istoric_Nativ'!$B$6:$B$405,E563,'Istoric_Nativ'!$C$6:$C$405,F563,'Istoric_Nativ'!$E$6:$E$405,G563,'Istoric_Nativ'!$D$6:$D$405,"&lt;"&amp;J563,'Istoric_Nativ'!$P$6:$P$405,1,'Istoric_Nativ'!$D$6:$D$405,"&gt;="&amp;L563)+SUMIFS('Istoric_Nativ'!$G$6:$G$405,'Istoric_Nativ'!$B$6:$B$405,E563,'Istoric_Nativ'!$C$6:$C$405,F563,'Istoric_Nativ'!$F$6:$F$405,G563,'Istoric_Nativ'!$D$6:$D$405,"&lt;"&amp;J563,'Istoric_Nativ'!$P$6:$P$405,1,'Istoric_Nativ'!$D$6:$D$405,"&gt;="&amp;L563)))/M563)</x:f>
      </x:c>
      <x:c r="P563" s="2" t="n">
        <x:f>'Config_v6'!$B$9</x:f>
        <x:v>3</x:v>
      </x:c>
      <x:c r="Q563" s="2" t="n">
        <x:f>IF(OR(B563="",F563=""),0,IFERROR(MATCH(E563&amp;"|"&amp;F563,SourceTable[Source_Key],0),0))</x:f>
        <x:v>0</x:v>
      </x:c>
      <x:c r="R563" s="2" t="str">
        <x:f>IF(B563="","",IF(F563="","UNUSED",IF(Q563=0,"NOT CHECKED",IF(COUNTIF(SourceTable[Source_Key],E563&amp;"|"&amp;F563)&lt;&gt;1,"SOURCE CONFLICT",IF(NOT(OR(INDEX(SourceTable[Status],MAX(1,Q563))="IMPORTED",INDEX(SourceTable[Status],MAX(1,Q563))="PARTIAL",INDEX(SourceTable[Status],MAX(1,Q563))="SOURCE CONFLICT")),"ACCESS BLOCKED",IF(OR(INDEX(SourceTable[Coverage],Q563)&lt;&gt;"FULL SEASON EXPORT",INDEX(SourceTable[URL],Q563)="",INDEX(SourceTable[SHA256],Q563)=""),"EVIDENCE INCOMPLETE",IF(AND('Input_Meci'!H52="LIVE",INDEX(SourceTable[Retrieved_UTC],Q563)&gt;'Input_Meci'!G52),"POST CUTOFF","CLOSED")))))))</x:f>
      </x:c>
      <x:c r="S563" s="2" t="n">
        <x:f>IF(OR(B563="",F563=""),0,COUNTIFS('Istoric_Nativ'!$B$6:$B$405,E563,'Istoric_Nativ'!$C$6:$C$405,F563,'Istoric_Nativ'!$E$6:$E$405,G563,'Istoric_Nativ'!$D$6:$D$405,"&lt;"&amp;J563,'Istoric_Nativ'!$O$6:$O$405,"INVALID")+COUNTIFS('Istoric_Nativ'!$B$6:$B$405,E563,'Istoric_Nativ'!$C$6:$C$405,F563,'Istoric_Nativ'!$E$6:$E$405,G563,'Istoric_Nativ'!$O$6:$O$405,"INVALID",'Istoric_Nativ'!$D$6:$D$405,"*")+COUNTIFS('Istoric_Nativ'!$B$6:$B$405,E563,'Istoric_Nativ'!$C$6:$C$405,F563,'Istoric_Nativ'!$E$6:$E$405,G563,'Istoric_Nativ'!$D$6:$D$405,"&lt;"&amp;J563,'Istoric_Nativ'!$O$6:$O$405,"SOURCE CONFLICT")+COUNTIFS('Istoric_Nativ'!$B$6:$B$405,E563,'Istoric_Nativ'!$C$6:$C$405,F563,'Istoric_Nativ'!$F$6:$F$405,G563,'Istoric_Nativ'!$D$6:$D$405,"&lt;"&amp;J563,'Istoric_Nativ'!$O$6:$O$405,"INVALID")+COUNTIFS('Istoric_Nativ'!$B$6:$B$405,E563,'Istoric_Nativ'!$C$6:$C$405,F563,'Istoric_Nativ'!$F$6:$F$405,G563,'Istoric_Nativ'!$O$6:$O$405,"INVALID",'Istoric_Nativ'!$D$6:$D$405,"*")+COUNTIFS('Istoric_Nativ'!$B$6:$B$405,E563,'Istoric_Nativ'!$C$6:$C$405,F563,'Istoric_Nativ'!$F$6:$F$405,G563,'Istoric_Nativ'!$D$6:$D$405,"&lt;"&amp;J563,'Istoric_Nativ'!$O$6:$O$405,"SOURCE CONFLICT"))</x:f>
        <x:v>0</x:v>
      </x:c>
      <x:c r="T563" s="2" t="str">
        <x:f>IF(B563="","",IF(R563&lt;&gt;"CLOSED",R563,IF(S563&gt;0,"NATIVE INPUT ISSUE",IF(M563=0,"NO HISTORY",IF(M563&lt;P563,"SMALL SAMPLE","DERIVED")))))</x:f>
      </x:c>
      <x:c r="U563" s="2" t="str">
        <x:f>IF(B563="","","NativeTable; "&amp;E563&amp;"; "&amp;F563&amp;"; "&amp;G563&amp;"; "&amp;H563&amp;"; before "&amp;TEXT(J563,"yyyy-mm-dd")&amp;IF(I563="RECENT","; from "&amp;TEXT(L563,"yyyy-mm-dd"),""))</x:f>
      </x:c>
    </x:row>
    <x:row r="564" ht="21" customHeight="1">
      <x:c r="A564" s="2" t="n">
        <x:v>47</x:v>
      </x:c>
      <x:c r="B564" s="2" t="str">
        <x:f>IF('Input_Meci'!A52="","",'Input_Meci'!A52)</x:f>
      </x:c>
      <x:c r="C564" s="2" t="str">
        <x:v>H</x:v>
      </x:c>
      <x:c r="D564" s="2" t="str">
        <x:v>PRIOR</x:v>
      </x:c>
      <x:c r="E564" s="2" t="str">
        <x:f>IF(B564="","",'Input_Meci'!B52)</x:f>
      </x:c>
      <x:c r="F564" s="2" t="str">
        <x:f>IF(B564="","",IF('Input_Meci'!K52="","",'Input_Meci'!K52))</x:f>
      </x:c>
      <x:c r="G564" s="2" t="str">
        <x:f>IF(B564="","",'Input_Meci'!D52)</x:f>
      </x:c>
      <x:c r="H564" s="2" t="str">
        <x:v>ANY</x:v>
      </x:c>
      <x:c r="I564" s="2" t="str">
        <x:v>SEASON</x:v>
      </x:c>
      <x:c r="J564" s="9" t="n">
        <x:f>IF(AND(B564&lt;&gt;"",ISNUMBER('Input_Meci'!G52)),INT('Input_Meci'!G52),0)</x:f>
        <x:v>0</x:v>
      </x:c>
      <x:c r="K564" s="2" t="n">
        <x:f>IF(OR(B564="",F564=""),0,IF(H564="HOME",COUNTIFS('Istoric_Nativ'!$B$6:$B$405,E564,'Istoric_Nativ'!$C$6:$C$405,F564,'Istoric_Nativ'!$E$6:$E$405,G564,'Istoric_Nativ'!$D$6:$D$405,"&lt;"&amp;J564,'Istoric_Nativ'!$P$6:$P$405,1),IF(H564="AWAY",COUNTIFS('Istoric_Nativ'!$B$6:$B$405,E564,'Istoric_Nativ'!$C$6:$C$405,F564,'Istoric_Nativ'!$F$6:$F$405,G564,'Istoric_Nativ'!$D$6:$D$405,"&lt;"&amp;J564,'Istoric_Nativ'!$P$6:$P$405,1),COUNTIFS('Istoric_Nativ'!$B$6:$B$405,E564,'Istoric_Nativ'!$C$6:$C$405,F564,'Istoric_Nativ'!$E$6:$E$405,G564,'Istoric_Nativ'!$D$6:$D$405,"&lt;"&amp;J564,'Istoric_Nativ'!$P$6:$P$405,1)+COUNTIFS('Istoric_Nativ'!$B$6:$B$405,E564,'Istoric_Nativ'!$C$6:$C$405,F564,'Istoric_Nativ'!$F$6:$F$405,G564,'Istoric_Nativ'!$D$6:$D$405,"&lt;"&amp;J564,'Istoric_Nativ'!$P$6:$P$405,1))))</x:f>
        <x:v>0</x:v>
      </x:c>
      <x:c r="L564" s="17" t="n">
        <x:f>IF(AND(B564&lt;&gt;"",I564="RECENT",K564&gt;0),LARGE(_xlfn._xlws.FILTER('Istoric_Nativ'!$D$6:$D$405,('Istoric_Nativ'!$B$6:$B$405=E564)*('Istoric_Nativ'!$C$6:$C$405=F564)*('Istoric_Nativ'!$P$6:$P$405=1)*('Istoric_Nativ'!$D$6:$D$405&lt;J564)*((('Istoric_Nativ'!$E$6:$E$405=G564)+('Istoric_Nativ'!$F$6:$F$405=G564))&gt;0)),MIN('Config_v6'!$B$54,K564)),0)</x:f>
        <x:v>0</x:v>
      </x:c>
      <x:c r="M564" s="2" t="n">
        <x:f>IF(OR(B564="",F564=""),0,IF(H564="HOME",COUNTIFS('Istoric_Nativ'!$B$6:$B$405,E564,'Istoric_Nativ'!$C$6:$C$405,F564,'Istoric_Nativ'!$E$6:$E$405,G564,'Istoric_Nativ'!$D$6:$D$405,"&lt;"&amp;J564,'Istoric_Nativ'!$P$6:$P$405,1,'Istoric_Nativ'!$D$6:$D$405,"&gt;="&amp;L564),IF(H564="AWAY",COUNTIFS('Istoric_Nativ'!$B$6:$B$405,E564,'Istoric_Nativ'!$C$6:$C$405,F564,'Istoric_Nativ'!$F$6:$F$405,G564,'Istoric_Nativ'!$D$6:$D$405,"&lt;"&amp;J564,'Istoric_Nativ'!$P$6:$P$405,1,'Istoric_Nativ'!$D$6:$D$405,"&gt;="&amp;L564),COUNTIFS('Istoric_Nativ'!$B$6:$B$405,E564,'Istoric_Nativ'!$C$6:$C$405,F564,'Istoric_Nativ'!$E$6:$E$405,G564,'Istoric_Nativ'!$D$6:$D$405,"&lt;"&amp;J564,'Istoric_Nativ'!$P$6:$P$405,1,'Istoric_Nativ'!$D$6:$D$405,"&gt;="&amp;L564)+COUNTIFS('Istoric_Nativ'!$B$6:$B$405,E564,'Istoric_Nativ'!$C$6:$C$405,F564,'Istoric_Nativ'!$F$6:$F$405,G564,'Istoric_Nativ'!$D$6:$D$405,"&lt;"&amp;J564,'Istoric_Nativ'!$P$6:$P$405,1,'Istoric_Nativ'!$D$6:$D$405,"&gt;="&amp;L564))))</x:f>
        <x:v>0</x:v>
      </x:c>
      <x:c r="N564" s="11" t="str">
        <x:f>IF(M564=0,"",IF(H564="HOME",SUMIFS('Istoric_Nativ'!$G$6:$G$405,'Istoric_Nativ'!$B$6:$B$405,E564,'Istoric_Nativ'!$C$6:$C$405,F564,'Istoric_Nativ'!$E$6:$E$405,G564,'Istoric_Nativ'!$D$6:$D$405,"&lt;"&amp;J564,'Istoric_Nativ'!$P$6:$P$405,1,'Istoric_Nativ'!$D$6:$D$405,"&gt;="&amp;L564),IF(H564="AWAY",SUMIFS('Istoric_Nativ'!$H$6:$H$405,'Istoric_Nativ'!$B$6:$B$405,E564,'Istoric_Nativ'!$C$6:$C$405,F564,'Istoric_Nativ'!$F$6:$F$405,G564,'Istoric_Nativ'!$D$6:$D$405,"&lt;"&amp;J564,'Istoric_Nativ'!$P$6:$P$405,1,'Istoric_Nativ'!$D$6:$D$405,"&gt;="&amp;L564),SUMIFS('Istoric_Nativ'!$G$6:$G$405,'Istoric_Nativ'!$B$6:$B$405,E564,'Istoric_Nativ'!$C$6:$C$405,F564,'Istoric_Nativ'!$E$6:$E$405,G564,'Istoric_Nativ'!$D$6:$D$405,"&lt;"&amp;J564,'Istoric_Nativ'!$P$6:$P$405,1,'Istoric_Nativ'!$D$6:$D$405,"&gt;="&amp;L564)+SUMIFS('Istoric_Nativ'!$H$6:$H$405,'Istoric_Nativ'!$B$6:$B$405,E564,'Istoric_Nativ'!$C$6:$C$405,F564,'Istoric_Nativ'!$F$6:$F$405,G564,'Istoric_Nativ'!$D$6:$D$405,"&lt;"&amp;J564,'Istoric_Nativ'!$P$6:$P$405,1,'Istoric_Nativ'!$D$6:$D$405,"&gt;="&amp;L564)))/M564)</x:f>
      </x:c>
      <x:c r="O564" s="11" t="str">
        <x:f>IF(M564=0,"",IF(H564="HOME",SUMIFS('Istoric_Nativ'!$H$6:$H$405,'Istoric_Nativ'!$B$6:$B$405,E564,'Istoric_Nativ'!$C$6:$C$405,F564,'Istoric_Nativ'!$E$6:$E$405,G564,'Istoric_Nativ'!$D$6:$D$405,"&lt;"&amp;J564,'Istoric_Nativ'!$P$6:$P$405,1,'Istoric_Nativ'!$D$6:$D$405,"&gt;="&amp;L564),IF(H564="AWAY",SUMIFS('Istoric_Nativ'!$G$6:$G$405,'Istoric_Nativ'!$B$6:$B$405,E564,'Istoric_Nativ'!$C$6:$C$405,F564,'Istoric_Nativ'!$F$6:$F$405,G564,'Istoric_Nativ'!$D$6:$D$405,"&lt;"&amp;J564,'Istoric_Nativ'!$P$6:$P$405,1,'Istoric_Nativ'!$D$6:$D$405,"&gt;="&amp;L564),SUMIFS('Istoric_Nativ'!$H$6:$H$405,'Istoric_Nativ'!$B$6:$B$405,E564,'Istoric_Nativ'!$C$6:$C$405,F564,'Istoric_Nativ'!$E$6:$E$405,G564,'Istoric_Nativ'!$D$6:$D$405,"&lt;"&amp;J564,'Istoric_Nativ'!$P$6:$P$405,1,'Istoric_Nativ'!$D$6:$D$405,"&gt;="&amp;L564)+SUMIFS('Istoric_Nativ'!$G$6:$G$405,'Istoric_Nativ'!$B$6:$B$405,E564,'Istoric_Nativ'!$C$6:$C$405,F564,'Istoric_Nativ'!$F$6:$F$405,G564,'Istoric_Nativ'!$D$6:$D$405,"&lt;"&amp;J564,'Istoric_Nativ'!$P$6:$P$405,1,'Istoric_Nativ'!$D$6:$D$405,"&gt;="&amp;L564)))/M564)</x:f>
      </x:c>
      <x:c r="P564" s="2" t="n">
        <x:f>'Config_v6'!$B$7</x:f>
        <x:v>10</x:v>
      </x:c>
      <x:c r="Q564" s="2" t="n">
        <x:f>IF(OR(B564="",F564=""),0,IFERROR(MATCH(E564&amp;"|"&amp;F564,SourceTable[Source_Key],0),0))</x:f>
        <x:v>0</x:v>
      </x:c>
      <x:c r="R564" s="2" t="str">
        <x:f>IF(B564="","",IF(F564="","UNUSED",IF(Q564=0,"NOT CHECKED",IF(COUNTIF(SourceTable[Source_Key],E564&amp;"|"&amp;F564)&lt;&gt;1,"SOURCE CONFLICT",IF(NOT(OR(INDEX(SourceTable[Status],MAX(1,Q564))="IMPORTED",INDEX(SourceTable[Status],MAX(1,Q564))="PARTIAL",INDEX(SourceTable[Status],MAX(1,Q564))="SOURCE CONFLICT")),"ACCESS BLOCKED",IF(OR(INDEX(SourceTable[Coverage],Q564)&lt;&gt;"FULL SEASON EXPORT",INDEX(SourceTable[URL],Q564)="",INDEX(SourceTable[SHA256],Q564)=""),"EVIDENCE INCOMPLETE",IF(AND('Input_Meci'!H52="LIVE",INDEX(SourceTable[Retrieved_UTC],Q564)&gt;'Input_Meci'!G52),"POST CUTOFF","CLOSED")))))))</x:f>
      </x:c>
      <x:c r="S564" s="2" t="n">
        <x:f>IF(OR(B564="",F564=""),0,COUNTIFS('Istoric_Nativ'!$B$6:$B$405,E564,'Istoric_Nativ'!$C$6:$C$405,F564,'Istoric_Nativ'!$E$6:$E$405,G564,'Istoric_Nativ'!$D$6:$D$405,"&lt;"&amp;J564,'Istoric_Nativ'!$O$6:$O$405,"INVALID")+COUNTIFS('Istoric_Nativ'!$B$6:$B$405,E564,'Istoric_Nativ'!$C$6:$C$405,F564,'Istoric_Nativ'!$E$6:$E$405,G564,'Istoric_Nativ'!$O$6:$O$405,"INVALID",'Istoric_Nativ'!$D$6:$D$405,"*")+COUNTIFS('Istoric_Nativ'!$B$6:$B$405,E564,'Istoric_Nativ'!$C$6:$C$405,F564,'Istoric_Nativ'!$E$6:$E$405,G564,'Istoric_Nativ'!$D$6:$D$405,"&lt;"&amp;J564,'Istoric_Nativ'!$O$6:$O$405,"SOURCE CONFLICT")+COUNTIFS('Istoric_Nativ'!$B$6:$B$405,E564,'Istoric_Nativ'!$C$6:$C$405,F564,'Istoric_Nativ'!$F$6:$F$405,G564,'Istoric_Nativ'!$D$6:$D$405,"&lt;"&amp;J564,'Istoric_Nativ'!$O$6:$O$405,"INVALID")+COUNTIFS('Istoric_Nativ'!$B$6:$B$405,E564,'Istoric_Nativ'!$C$6:$C$405,F564,'Istoric_Nativ'!$F$6:$F$405,G564,'Istoric_Nativ'!$O$6:$O$405,"INVALID",'Istoric_Nativ'!$D$6:$D$405,"*")+COUNTIFS('Istoric_Nativ'!$B$6:$B$405,E564,'Istoric_Nativ'!$C$6:$C$405,F564,'Istoric_Nativ'!$F$6:$F$405,G564,'Istoric_Nativ'!$D$6:$D$405,"&lt;"&amp;J564,'Istoric_Nativ'!$O$6:$O$405,"SOURCE CONFLICT"))</x:f>
        <x:v>0</x:v>
      </x:c>
      <x:c r="T564" s="2" t="str">
        <x:f>IF(B564="","",IF(R564&lt;&gt;"CLOSED",R564,IF(S564&gt;0,"NATIVE INPUT ISSUE",IF(M564=0,"NO HISTORY",IF(M564&lt;P564,"SMALL SAMPLE","DERIVED")))))</x:f>
      </x:c>
      <x:c r="U564" s="2" t="str">
        <x:f>IF(B564="","","NativeTable; "&amp;E564&amp;"; "&amp;F564&amp;"; "&amp;G564&amp;"; "&amp;H564&amp;"; before "&amp;TEXT(J564,"yyyy-mm-dd")&amp;IF(I564="RECENT","; from "&amp;TEXT(L564,"yyyy-mm-dd"),""))</x:f>
      </x:c>
    </x:row>
    <x:row r="565" ht="21" customHeight="1">
      <x:c r="A565" s="2" t="n">
        <x:v>47</x:v>
      </x:c>
      <x:c r="B565" s="2" t="str">
        <x:f>IF('Input_Meci'!A52="","",'Input_Meci'!A52)</x:f>
      </x:c>
      <x:c r="C565" s="2" t="str">
        <x:v>H</x:v>
      </x:c>
      <x:c r="D565" s="2" t="str">
        <x:v>PRIOR</x:v>
      </x:c>
      <x:c r="E565" s="2" t="str">
        <x:f>IF(B565="","",'Input_Meci'!B52)</x:f>
      </x:c>
      <x:c r="F565" s="2" t="str">
        <x:f>IF(B565="","",IF('Input_Meci'!K52="","",'Input_Meci'!K52))</x:f>
      </x:c>
      <x:c r="G565" s="2" t="str">
        <x:f>IF(B565="","",'Input_Meci'!D52)</x:f>
      </x:c>
      <x:c r="H565" s="2" t="str">
        <x:v>HOME</x:v>
      </x:c>
      <x:c r="I565" s="2" t="str">
        <x:v>HA</x:v>
      </x:c>
      <x:c r="J565" s="9" t="n">
        <x:f>IF(AND(B565&lt;&gt;"",ISNUMBER('Input_Meci'!G52)),INT('Input_Meci'!G52),0)</x:f>
        <x:v>0</x:v>
      </x:c>
      <x:c r="K565" s="2" t="n">
        <x:f>IF(OR(B565="",F565=""),0,IF(H565="HOME",COUNTIFS('Istoric_Nativ'!$B$6:$B$405,E565,'Istoric_Nativ'!$C$6:$C$405,F565,'Istoric_Nativ'!$E$6:$E$405,G565,'Istoric_Nativ'!$D$6:$D$405,"&lt;"&amp;J565,'Istoric_Nativ'!$P$6:$P$405,1),IF(H565="AWAY",COUNTIFS('Istoric_Nativ'!$B$6:$B$405,E565,'Istoric_Nativ'!$C$6:$C$405,F565,'Istoric_Nativ'!$F$6:$F$405,G565,'Istoric_Nativ'!$D$6:$D$405,"&lt;"&amp;J565,'Istoric_Nativ'!$P$6:$P$405,1),COUNTIFS('Istoric_Nativ'!$B$6:$B$405,E565,'Istoric_Nativ'!$C$6:$C$405,F565,'Istoric_Nativ'!$E$6:$E$405,G565,'Istoric_Nativ'!$D$6:$D$405,"&lt;"&amp;J565,'Istoric_Nativ'!$P$6:$P$405,1)+COUNTIFS('Istoric_Nativ'!$B$6:$B$405,E565,'Istoric_Nativ'!$C$6:$C$405,F565,'Istoric_Nativ'!$F$6:$F$405,G565,'Istoric_Nativ'!$D$6:$D$405,"&lt;"&amp;J565,'Istoric_Nativ'!$P$6:$P$405,1))))</x:f>
        <x:v>0</x:v>
      </x:c>
      <x:c r="L565" s="17" t="n">
        <x:f>IF(AND(B565&lt;&gt;"",I565="RECENT",K565&gt;0),LARGE(_xlfn._xlws.FILTER('Istoric_Nativ'!$D$6:$D$405,('Istoric_Nativ'!$B$6:$B$405=E565)*('Istoric_Nativ'!$C$6:$C$405=F565)*('Istoric_Nativ'!$P$6:$P$405=1)*('Istoric_Nativ'!$D$6:$D$405&lt;J565)*((('Istoric_Nativ'!$E$6:$E$405=G565)+('Istoric_Nativ'!$F$6:$F$405=G565))&gt;0)),MIN('Config_v6'!$B$54,K565)),0)</x:f>
        <x:v>0</x:v>
      </x:c>
      <x:c r="M565" s="2" t="n">
        <x:f>IF(OR(B565="",F565=""),0,IF(H565="HOME",COUNTIFS('Istoric_Nativ'!$B$6:$B$405,E565,'Istoric_Nativ'!$C$6:$C$405,F565,'Istoric_Nativ'!$E$6:$E$405,G565,'Istoric_Nativ'!$D$6:$D$405,"&lt;"&amp;J565,'Istoric_Nativ'!$P$6:$P$405,1,'Istoric_Nativ'!$D$6:$D$405,"&gt;="&amp;L565),IF(H565="AWAY",COUNTIFS('Istoric_Nativ'!$B$6:$B$405,E565,'Istoric_Nativ'!$C$6:$C$405,F565,'Istoric_Nativ'!$F$6:$F$405,G565,'Istoric_Nativ'!$D$6:$D$405,"&lt;"&amp;J565,'Istoric_Nativ'!$P$6:$P$405,1,'Istoric_Nativ'!$D$6:$D$405,"&gt;="&amp;L565),COUNTIFS('Istoric_Nativ'!$B$6:$B$405,E565,'Istoric_Nativ'!$C$6:$C$405,F565,'Istoric_Nativ'!$E$6:$E$405,G565,'Istoric_Nativ'!$D$6:$D$405,"&lt;"&amp;J565,'Istoric_Nativ'!$P$6:$P$405,1,'Istoric_Nativ'!$D$6:$D$405,"&gt;="&amp;L565)+COUNTIFS('Istoric_Nativ'!$B$6:$B$405,E565,'Istoric_Nativ'!$C$6:$C$405,F565,'Istoric_Nativ'!$F$6:$F$405,G565,'Istoric_Nativ'!$D$6:$D$405,"&lt;"&amp;J565,'Istoric_Nativ'!$P$6:$P$405,1,'Istoric_Nativ'!$D$6:$D$405,"&gt;="&amp;L565))))</x:f>
        <x:v>0</x:v>
      </x:c>
      <x:c r="N565" s="11" t="str">
        <x:f>IF(M565=0,"",IF(H565="HOME",SUMIFS('Istoric_Nativ'!$G$6:$G$405,'Istoric_Nativ'!$B$6:$B$405,E565,'Istoric_Nativ'!$C$6:$C$405,F565,'Istoric_Nativ'!$E$6:$E$405,G565,'Istoric_Nativ'!$D$6:$D$405,"&lt;"&amp;J565,'Istoric_Nativ'!$P$6:$P$405,1,'Istoric_Nativ'!$D$6:$D$405,"&gt;="&amp;L565),IF(H565="AWAY",SUMIFS('Istoric_Nativ'!$H$6:$H$405,'Istoric_Nativ'!$B$6:$B$405,E565,'Istoric_Nativ'!$C$6:$C$405,F565,'Istoric_Nativ'!$F$6:$F$405,G565,'Istoric_Nativ'!$D$6:$D$405,"&lt;"&amp;J565,'Istoric_Nativ'!$P$6:$P$405,1,'Istoric_Nativ'!$D$6:$D$405,"&gt;="&amp;L565),SUMIFS('Istoric_Nativ'!$G$6:$G$405,'Istoric_Nativ'!$B$6:$B$405,E565,'Istoric_Nativ'!$C$6:$C$405,F565,'Istoric_Nativ'!$E$6:$E$405,G565,'Istoric_Nativ'!$D$6:$D$405,"&lt;"&amp;J565,'Istoric_Nativ'!$P$6:$P$405,1,'Istoric_Nativ'!$D$6:$D$405,"&gt;="&amp;L565)+SUMIFS('Istoric_Nativ'!$H$6:$H$405,'Istoric_Nativ'!$B$6:$B$405,E565,'Istoric_Nativ'!$C$6:$C$405,F565,'Istoric_Nativ'!$F$6:$F$405,G565,'Istoric_Nativ'!$D$6:$D$405,"&lt;"&amp;J565,'Istoric_Nativ'!$P$6:$P$405,1,'Istoric_Nativ'!$D$6:$D$405,"&gt;="&amp;L565)))/M565)</x:f>
      </x:c>
      <x:c r="O565" s="11" t="str">
        <x:f>IF(M565=0,"",IF(H565="HOME",SUMIFS('Istoric_Nativ'!$H$6:$H$405,'Istoric_Nativ'!$B$6:$B$405,E565,'Istoric_Nativ'!$C$6:$C$405,F565,'Istoric_Nativ'!$E$6:$E$405,G565,'Istoric_Nativ'!$D$6:$D$405,"&lt;"&amp;J565,'Istoric_Nativ'!$P$6:$P$405,1,'Istoric_Nativ'!$D$6:$D$405,"&gt;="&amp;L565),IF(H565="AWAY",SUMIFS('Istoric_Nativ'!$G$6:$G$405,'Istoric_Nativ'!$B$6:$B$405,E565,'Istoric_Nativ'!$C$6:$C$405,F565,'Istoric_Nativ'!$F$6:$F$405,G565,'Istoric_Nativ'!$D$6:$D$405,"&lt;"&amp;J565,'Istoric_Nativ'!$P$6:$P$405,1,'Istoric_Nativ'!$D$6:$D$405,"&gt;="&amp;L565),SUMIFS('Istoric_Nativ'!$H$6:$H$405,'Istoric_Nativ'!$B$6:$B$405,E565,'Istoric_Nativ'!$C$6:$C$405,F565,'Istoric_Nativ'!$E$6:$E$405,G565,'Istoric_Nativ'!$D$6:$D$405,"&lt;"&amp;J565,'Istoric_Nativ'!$P$6:$P$405,1,'Istoric_Nativ'!$D$6:$D$405,"&gt;="&amp;L565)+SUMIFS('Istoric_Nativ'!$G$6:$G$405,'Istoric_Nativ'!$B$6:$B$405,E565,'Istoric_Nativ'!$C$6:$C$405,F565,'Istoric_Nativ'!$F$6:$F$405,G565,'Istoric_Nativ'!$D$6:$D$405,"&lt;"&amp;J565,'Istoric_Nativ'!$P$6:$P$405,1,'Istoric_Nativ'!$D$6:$D$405,"&gt;="&amp;L565)))/M565)</x:f>
      </x:c>
      <x:c r="P565" s="2" t="n">
        <x:f>'Config_v6'!$B$8</x:f>
        <x:v>5</x:v>
      </x:c>
      <x:c r="Q565" s="2" t="n">
        <x:f>IF(OR(B565="",F565=""),0,IFERROR(MATCH(E565&amp;"|"&amp;F565,SourceTable[Source_Key],0),0))</x:f>
        <x:v>0</x:v>
      </x:c>
      <x:c r="R565" s="2" t="str">
        <x:f>IF(B565="","",IF(F565="","UNUSED",IF(Q565=0,"NOT CHECKED",IF(COUNTIF(SourceTable[Source_Key],E565&amp;"|"&amp;F565)&lt;&gt;1,"SOURCE CONFLICT",IF(NOT(OR(INDEX(SourceTable[Status],MAX(1,Q565))="IMPORTED",INDEX(SourceTable[Status],MAX(1,Q565))="PARTIAL",INDEX(SourceTable[Status],MAX(1,Q565))="SOURCE CONFLICT")),"ACCESS BLOCKED",IF(OR(INDEX(SourceTable[Coverage],Q565)&lt;&gt;"FULL SEASON EXPORT",INDEX(SourceTable[URL],Q565)="",INDEX(SourceTable[SHA256],Q565)=""),"EVIDENCE INCOMPLETE",IF(AND('Input_Meci'!H52="LIVE",INDEX(SourceTable[Retrieved_UTC],Q565)&gt;'Input_Meci'!G52),"POST CUTOFF","CLOSED")))))))</x:f>
      </x:c>
      <x:c r="S565" s="2" t="n">
        <x:f>IF(OR(B565="",F565=""),0,COUNTIFS('Istoric_Nativ'!$B$6:$B$405,E565,'Istoric_Nativ'!$C$6:$C$405,F565,'Istoric_Nativ'!$E$6:$E$405,G565,'Istoric_Nativ'!$D$6:$D$405,"&lt;"&amp;J565,'Istoric_Nativ'!$O$6:$O$405,"INVALID")+COUNTIFS('Istoric_Nativ'!$B$6:$B$405,E565,'Istoric_Nativ'!$C$6:$C$405,F565,'Istoric_Nativ'!$E$6:$E$405,G565,'Istoric_Nativ'!$O$6:$O$405,"INVALID",'Istoric_Nativ'!$D$6:$D$405,"*")+COUNTIFS('Istoric_Nativ'!$B$6:$B$405,E565,'Istoric_Nativ'!$C$6:$C$405,F565,'Istoric_Nativ'!$E$6:$E$405,G565,'Istoric_Nativ'!$D$6:$D$405,"&lt;"&amp;J565,'Istoric_Nativ'!$O$6:$O$405,"SOURCE CONFLICT")+COUNTIFS('Istoric_Nativ'!$B$6:$B$405,E565,'Istoric_Nativ'!$C$6:$C$405,F565,'Istoric_Nativ'!$F$6:$F$405,G565,'Istoric_Nativ'!$D$6:$D$405,"&lt;"&amp;J565,'Istoric_Nativ'!$O$6:$O$405,"INVALID")+COUNTIFS('Istoric_Nativ'!$B$6:$B$405,E565,'Istoric_Nativ'!$C$6:$C$405,F565,'Istoric_Nativ'!$F$6:$F$405,G565,'Istoric_Nativ'!$O$6:$O$405,"INVALID",'Istoric_Nativ'!$D$6:$D$405,"*")+COUNTIFS('Istoric_Nativ'!$B$6:$B$405,E565,'Istoric_Nativ'!$C$6:$C$405,F565,'Istoric_Nativ'!$F$6:$F$405,G565,'Istoric_Nativ'!$D$6:$D$405,"&lt;"&amp;J565,'Istoric_Nativ'!$O$6:$O$405,"SOURCE CONFLICT"))</x:f>
        <x:v>0</x:v>
      </x:c>
      <x:c r="T565" s="2" t="str">
        <x:f>IF(B565="","",IF(R565&lt;&gt;"CLOSED",R565,IF(S565&gt;0,"NATIVE INPUT ISSUE",IF(M565=0,"NO HISTORY",IF(M565&lt;P565,"SMALL SAMPLE","DERIVED")))))</x:f>
      </x:c>
      <x:c r="U565" s="2" t="str">
        <x:f>IF(B565="","","NativeTable; "&amp;E565&amp;"; "&amp;F565&amp;"; "&amp;G565&amp;"; "&amp;H565&amp;"; before "&amp;TEXT(J565,"yyyy-mm-dd")&amp;IF(I565="RECENT","; from "&amp;TEXT(L565,"yyyy-mm-dd"),""))</x:f>
      </x:c>
    </x:row>
    <x:row r="566" ht="21" customHeight="1">
      <x:c r="A566" s="2" t="n">
        <x:v>47</x:v>
      </x:c>
      <x:c r="B566" s="2" t="str">
        <x:f>IF('Input_Meci'!A52="","",'Input_Meci'!A52)</x:f>
      </x:c>
      <x:c r="C566" s="2" t="str">
        <x:v>H</x:v>
      </x:c>
      <x:c r="D566" s="2" t="str">
        <x:v>PRIOR</x:v>
      </x:c>
      <x:c r="E566" s="2" t="str">
        <x:f>IF(B566="","",'Input_Meci'!B52)</x:f>
      </x:c>
      <x:c r="F566" s="2" t="str">
        <x:f>IF(B566="","",IF('Input_Meci'!K52="","",'Input_Meci'!K52))</x:f>
      </x:c>
      <x:c r="G566" s="2" t="str">
        <x:f>IF(B566="","",'Input_Meci'!D52)</x:f>
      </x:c>
      <x:c r="H566" s="2" t="str">
        <x:v>ANY</x:v>
      </x:c>
      <x:c r="I566" s="2" t="str">
        <x:v>RECENT</x:v>
      </x:c>
      <x:c r="J566" s="9" t="n">
        <x:f>IF(AND(B566&lt;&gt;"",ISNUMBER('Input_Meci'!G52)),INT('Input_Meci'!G52),0)</x:f>
        <x:v>0</x:v>
      </x:c>
      <x:c r="K566" s="2" t="n">
        <x:f>IF(OR(B566="",F566=""),0,IF(H566="HOME",COUNTIFS('Istoric_Nativ'!$B$6:$B$405,E566,'Istoric_Nativ'!$C$6:$C$405,F566,'Istoric_Nativ'!$E$6:$E$405,G566,'Istoric_Nativ'!$D$6:$D$405,"&lt;"&amp;J566,'Istoric_Nativ'!$P$6:$P$405,1),IF(H566="AWAY",COUNTIFS('Istoric_Nativ'!$B$6:$B$405,E566,'Istoric_Nativ'!$C$6:$C$405,F566,'Istoric_Nativ'!$F$6:$F$405,G566,'Istoric_Nativ'!$D$6:$D$405,"&lt;"&amp;J566,'Istoric_Nativ'!$P$6:$P$405,1),COUNTIFS('Istoric_Nativ'!$B$6:$B$405,E566,'Istoric_Nativ'!$C$6:$C$405,F566,'Istoric_Nativ'!$E$6:$E$405,G566,'Istoric_Nativ'!$D$6:$D$405,"&lt;"&amp;J566,'Istoric_Nativ'!$P$6:$P$405,1)+COUNTIFS('Istoric_Nativ'!$B$6:$B$405,E566,'Istoric_Nativ'!$C$6:$C$405,F566,'Istoric_Nativ'!$F$6:$F$405,G566,'Istoric_Nativ'!$D$6:$D$405,"&lt;"&amp;J566,'Istoric_Nativ'!$P$6:$P$405,1))))</x:f>
        <x:v>0</x:v>
      </x:c>
      <x:c r="L566" s="17" t="n">
        <x:f>IF(AND(B566&lt;&gt;"",I566="RECENT",K566&gt;0),LARGE(_xlfn._xlws.FILTER('Istoric_Nativ'!$D$6:$D$405,('Istoric_Nativ'!$B$6:$B$405=E566)*('Istoric_Nativ'!$C$6:$C$405=F566)*('Istoric_Nativ'!$P$6:$P$405=1)*('Istoric_Nativ'!$D$6:$D$405&lt;J566)*((('Istoric_Nativ'!$E$6:$E$405=G566)+('Istoric_Nativ'!$F$6:$F$405=G566))&gt;0)),MIN('Config_v6'!$B$54,K566)),0)</x:f>
        <x:v>0</x:v>
      </x:c>
      <x:c r="M566" s="2" t="n">
        <x:f>IF(OR(B566="",F566=""),0,IF(H566="HOME",COUNTIFS('Istoric_Nativ'!$B$6:$B$405,E566,'Istoric_Nativ'!$C$6:$C$405,F566,'Istoric_Nativ'!$E$6:$E$405,G566,'Istoric_Nativ'!$D$6:$D$405,"&lt;"&amp;J566,'Istoric_Nativ'!$P$6:$P$405,1,'Istoric_Nativ'!$D$6:$D$405,"&gt;="&amp;L566),IF(H566="AWAY",COUNTIFS('Istoric_Nativ'!$B$6:$B$405,E566,'Istoric_Nativ'!$C$6:$C$405,F566,'Istoric_Nativ'!$F$6:$F$405,G566,'Istoric_Nativ'!$D$6:$D$405,"&lt;"&amp;J566,'Istoric_Nativ'!$P$6:$P$405,1,'Istoric_Nativ'!$D$6:$D$405,"&gt;="&amp;L566),COUNTIFS('Istoric_Nativ'!$B$6:$B$405,E566,'Istoric_Nativ'!$C$6:$C$405,F566,'Istoric_Nativ'!$E$6:$E$405,G566,'Istoric_Nativ'!$D$6:$D$405,"&lt;"&amp;J566,'Istoric_Nativ'!$P$6:$P$405,1,'Istoric_Nativ'!$D$6:$D$405,"&gt;="&amp;L566)+COUNTIFS('Istoric_Nativ'!$B$6:$B$405,E566,'Istoric_Nativ'!$C$6:$C$405,F566,'Istoric_Nativ'!$F$6:$F$405,G566,'Istoric_Nativ'!$D$6:$D$405,"&lt;"&amp;J566,'Istoric_Nativ'!$P$6:$P$405,1,'Istoric_Nativ'!$D$6:$D$405,"&gt;="&amp;L566))))</x:f>
        <x:v>0</x:v>
      </x:c>
      <x:c r="N566" s="11" t="str">
        <x:f>IF(M566=0,"",IF(H566="HOME",SUMIFS('Istoric_Nativ'!$G$6:$G$405,'Istoric_Nativ'!$B$6:$B$405,E566,'Istoric_Nativ'!$C$6:$C$405,F566,'Istoric_Nativ'!$E$6:$E$405,G566,'Istoric_Nativ'!$D$6:$D$405,"&lt;"&amp;J566,'Istoric_Nativ'!$P$6:$P$405,1,'Istoric_Nativ'!$D$6:$D$405,"&gt;="&amp;L566),IF(H566="AWAY",SUMIFS('Istoric_Nativ'!$H$6:$H$405,'Istoric_Nativ'!$B$6:$B$405,E566,'Istoric_Nativ'!$C$6:$C$405,F566,'Istoric_Nativ'!$F$6:$F$405,G566,'Istoric_Nativ'!$D$6:$D$405,"&lt;"&amp;J566,'Istoric_Nativ'!$P$6:$P$405,1,'Istoric_Nativ'!$D$6:$D$405,"&gt;="&amp;L566),SUMIFS('Istoric_Nativ'!$G$6:$G$405,'Istoric_Nativ'!$B$6:$B$405,E566,'Istoric_Nativ'!$C$6:$C$405,F566,'Istoric_Nativ'!$E$6:$E$405,G566,'Istoric_Nativ'!$D$6:$D$405,"&lt;"&amp;J566,'Istoric_Nativ'!$P$6:$P$405,1,'Istoric_Nativ'!$D$6:$D$405,"&gt;="&amp;L566)+SUMIFS('Istoric_Nativ'!$H$6:$H$405,'Istoric_Nativ'!$B$6:$B$405,E566,'Istoric_Nativ'!$C$6:$C$405,F566,'Istoric_Nativ'!$F$6:$F$405,G566,'Istoric_Nativ'!$D$6:$D$405,"&lt;"&amp;J566,'Istoric_Nativ'!$P$6:$P$405,1,'Istoric_Nativ'!$D$6:$D$405,"&gt;="&amp;L566)))/M566)</x:f>
      </x:c>
      <x:c r="O566" s="11" t="str">
        <x:f>IF(M566=0,"",IF(H566="HOME",SUMIFS('Istoric_Nativ'!$H$6:$H$405,'Istoric_Nativ'!$B$6:$B$405,E566,'Istoric_Nativ'!$C$6:$C$405,F566,'Istoric_Nativ'!$E$6:$E$405,G566,'Istoric_Nativ'!$D$6:$D$405,"&lt;"&amp;J566,'Istoric_Nativ'!$P$6:$P$405,1,'Istoric_Nativ'!$D$6:$D$405,"&gt;="&amp;L566),IF(H566="AWAY",SUMIFS('Istoric_Nativ'!$G$6:$G$405,'Istoric_Nativ'!$B$6:$B$405,E566,'Istoric_Nativ'!$C$6:$C$405,F566,'Istoric_Nativ'!$F$6:$F$405,G566,'Istoric_Nativ'!$D$6:$D$405,"&lt;"&amp;J566,'Istoric_Nativ'!$P$6:$P$405,1,'Istoric_Nativ'!$D$6:$D$405,"&gt;="&amp;L566),SUMIFS('Istoric_Nativ'!$H$6:$H$405,'Istoric_Nativ'!$B$6:$B$405,E566,'Istoric_Nativ'!$C$6:$C$405,F566,'Istoric_Nativ'!$E$6:$E$405,G566,'Istoric_Nativ'!$D$6:$D$405,"&lt;"&amp;J566,'Istoric_Nativ'!$P$6:$P$405,1,'Istoric_Nativ'!$D$6:$D$405,"&gt;="&amp;L566)+SUMIFS('Istoric_Nativ'!$G$6:$G$405,'Istoric_Nativ'!$B$6:$B$405,E566,'Istoric_Nativ'!$C$6:$C$405,F566,'Istoric_Nativ'!$F$6:$F$405,G566,'Istoric_Nativ'!$D$6:$D$405,"&lt;"&amp;J566,'Istoric_Nativ'!$P$6:$P$405,1,'Istoric_Nativ'!$D$6:$D$405,"&gt;="&amp;L566)))/M566)</x:f>
      </x:c>
      <x:c r="P566" s="2" t="n">
        <x:f>'Config_v6'!$B$9</x:f>
        <x:v>3</x:v>
      </x:c>
      <x:c r="Q566" s="2" t="n">
        <x:f>IF(OR(B566="",F566=""),0,IFERROR(MATCH(E566&amp;"|"&amp;F566,SourceTable[Source_Key],0),0))</x:f>
        <x:v>0</x:v>
      </x:c>
      <x:c r="R566" s="2" t="str">
        <x:f>IF(B566="","",IF(F566="","UNUSED",IF(Q566=0,"NOT CHECKED",IF(COUNTIF(SourceTable[Source_Key],E566&amp;"|"&amp;F566)&lt;&gt;1,"SOURCE CONFLICT",IF(NOT(OR(INDEX(SourceTable[Status],MAX(1,Q566))="IMPORTED",INDEX(SourceTable[Status],MAX(1,Q566))="PARTIAL",INDEX(SourceTable[Status],MAX(1,Q566))="SOURCE CONFLICT")),"ACCESS BLOCKED",IF(OR(INDEX(SourceTable[Coverage],Q566)&lt;&gt;"FULL SEASON EXPORT",INDEX(SourceTable[URL],Q566)="",INDEX(SourceTable[SHA256],Q566)=""),"EVIDENCE INCOMPLETE",IF(AND('Input_Meci'!H52="LIVE",INDEX(SourceTable[Retrieved_UTC],Q566)&gt;'Input_Meci'!G52),"POST CUTOFF","CLOSED")))))))</x:f>
      </x:c>
      <x:c r="S566" s="2" t="n">
        <x:f>IF(OR(B566="",F566=""),0,COUNTIFS('Istoric_Nativ'!$B$6:$B$405,E566,'Istoric_Nativ'!$C$6:$C$405,F566,'Istoric_Nativ'!$E$6:$E$405,G566,'Istoric_Nativ'!$D$6:$D$405,"&lt;"&amp;J566,'Istoric_Nativ'!$O$6:$O$405,"INVALID")+COUNTIFS('Istoric_Nativ'!$B$6:$B$405,E566,'Istoric_Nativ'!$C$6:$C$405,F566,'Istoric_Nativ'!$E$6:$E$405,G566,'Istoric_Nativ'!$O$6:$O$405,"INVALID",'Istoric_Nativ'!$D$6:$D$405,"*")+COUNTIFS('Istoric_Nativ'!$B$6:$B$405,E566,'Istoric_Nativ'!$C$6:$C$405,F566,'Istoric_Nativ'!$E$6:$E$405,G566,'Istoric_Nativ'!$D$6:$D$405,"&lt;"&amp;J566,'Istoric_Nativ'!$O$6:$O$405,"SOURCE CONFLICT")+COUNTIFS('Istoric_Nativ'!$B$6:$B$405,E566,'Istoric_Nativ'!$C$6:$C$405,F566,'Istoric_Nativ'!$F$6:$F$405,G566,'Istoric_Nativ'!$D$6:$D$405,"&lt;"&amp;J566,'Istoric_Nativ'!$O$6:$O$405,"INVALID")+COUNTIFS('Istoric_Nativ'!$B$6:$B$405,E566,'Istoric_Nativ'!$C$6:$C$405,F566,'Istoric_Nativ'!$F$6:$F$405,G566,'Istoric_Nativ'!$O$6:$O$405,"INVALID",'Istoric_Nativ'!$D$6:$D$405,"*")+COUNTIFS('Istoric_Nativ'!$B$6:$B$405,E566,'Istoric_Nativ'!$C$6:$C$405,F566,'Istoric_Nativ'!$F$6:$F$405,G566,'Istoric_Nativ'!$D$6:$D$405,"&lt;"&amp;J566,'Istoric_Nativ'!$O$6:$O$405,"SOURCE CONFLICT"))</x:f>
        <x:v>0</x:v>
      </x:c>
      <x:c r="T566" s="2" t="str">
        <x:f>IF(B566="","",IF(R566&lt;&gt;"CLOSED",R566,IF(S566&gt;0,"NATIVE INPUT ISSUE",IF(M566=0,"NO HISTORY",IF(M566&lt;P566,"SMALL SAMPLE","DERIVED")))))</x:f>
      </x:c>
      <x:c r="U566" s="2" t="str">
        <x:f>IF(B566="","","NativeTable; "&amp;E566&amp;"; "&amp;F566&amp;"; "&amp;G566&amp;"; "&amp;H566&amp;"; before "&amp;TEXT(J566,"yyyy-mm-dd")&amp;IF(I566="RECENT","; from "&amp;TEXT(L566,"yyyy-mm-dd"),""))</x:f>
      </x:c>
    </x:row>
    <x:row r="567" ht="21" customHeight="1">
      <x:c r="A567" s="2" t="n">
        <x:v>47</x:v>
      </x:c>
      <x:c r="B567" s="2" t="str">
        <x:f>IF('Input_Meci'!A52="","",'Input_Meci'!A52)</x:f>
      </x:c>
      <x:c r="C567" s="2" t="str">
        <x:v>A</x:v>
      </x:c>
      <x:c r="D567" s="2" t="str">
        <x:v>PRIOR</x:v>
      </x:c>
      <x:c r="E567" s="2" t="str">
        <x:f>IF(B567="","",'Input_Meci'!B52)</x:f>
      </x:c>
      <x:c r="F567" s="2" t="str">
        <x:f>IF(B567="","",IF('Input_Meci'!K52="","",'Input_Meci'!K52))</x:f>
      </x:c>
      <x:c r="G567" s="2" t="str">
        <x:f>IF(B567="","",'Input_Meci'!E52)</x:f>
      </x:c>
      <x:c r="H567" s="2" t="str">
        <x:v>ANY</x:v>
      </x:c>
      <x:c r="I567" s="2" t="str">
        <x:v>SEASON</x:v>
      </x:c>
      <x:c r="J567" s="9" t="n">
        <x:f>IF(AND(B567&lt;&gt;"",ISNUMBER('Input_Meci'!G52)),INT('Input_Meci'!G52),0)</x:f>
        <x:v>0</x:v>
      </x:c>
      <x:c r="K567" s="2" t="n">
        <x:f>IF(OR(B567="",F567=""),0,IF(H567="HOME",COUNTIFS('Istoric_Nativ'!$B$6:$B$405,E567,'Istoric_Nativ'!$C$6:$C$405,F567,'Istoric_Nativ'!$E$6:$E$405,G567,'Istoric_Nativ'!$D$6:$D$405,"&lt;"&amp;J567,'Istoric_Nativ'!$P$6:$P$405,1),IF(H567="AWAY",COUNTIFS('Istoric_Nativ'!$B$6:$B$405,E567,'Istoric_Nativ'!$C$6:$C$405,F567,'Istoric_Nativ'!$F$6:$F$405,G567,'Istoric_Nativ'!$D$6:$D$405,"&lt;"&amp;J567,'Istoric_Nativ'!$P$6:$P$405,1),COUNTIFS('Istoric_Nativ'!$B$6:$B$405,E567,'Istoric_Nativ'!$C$6:$C$405,F567,'Istoric_Nativ'!$E$6:$E$405,G567,'Istoric_Nativ'!$D$6:$D$405,"&lt;"&amp;J567,'Istoric_Nativ'!$P$6:$P$405,1)+COUNTIFS('Istoric_Nativ'!$B$6:$B$405,E567,'Istoric_Nativ'!$C$6:$C$405,F567,'Istoric_Nativ'!$F$6:$F$405,G567,'Istoric_Nativ'!$D$6:$D$405,"&lt;"&amp;J567,'Istoric_Nativ'!$P$6:$P$405,1))))</x:f>
        <x:v>0</x:v>
      </x:c>
      <x:c r="L567" s="17" t="n">
        <x:f>IF(AND(B567&lt;&gt;"",I567="RECENT",K567&gt;0),LARGE(_xlfn._xlws.FILTER('Istoric_Nativ'!$D$6:$D$405,('Istoric_Nativ'!$B$6:$B$405=E567)*('Istoric_Nativ'!$C$6:$C$405=F567)*('Istoric_Nativ'!$P$6:$P$405=1)*('Istoric_Nativ'!$D$6:$D$405&lt;J567)*((('Istoric_Nativ'!$E$6:$E$405=G567)+('Istoric_Nativ'!$F$6:$F$405=G567))&gt;0)),MIN('Config_v6'!$B$54,K567)),0)</x:f>
        <x:v>0</x:v>
      </x:c>
      <x:c r="M567" s="2" t="n">
        <x:f>IF(OR(B567="",F567=""),0,IF(H567="HOME",COUNTIFS('Istoric_Nativ'!$B$6:$B$405,E567,'Istoric_Nativ'!$C$6:$C$405,F567,'Istoric_Nativ'!$E$6:$E$405,G567,'Istoric_Nativ'!$D$6:$D$405,"&lt;"&amp;J567,'Istoric_Nativ'!$P$6:$P$405,1,'Istoric_Nativ'!$D$6:$D$405,"&gt;="&amp;L567),IF(H567="AWAY",COUNTIFS('Istoric_Nativ'!$B$6:$B$405,E567,'Istoric_Nativ'!$C$6:$C$405,F567,'Istoric_Nativ'!$F$6:$F$405,G567,'Istoric_Nativ'!$D$6:$D$405,"&lt;"&amp;J567,'Istoric_Nativ'!$P$6:$P$405,1,'Istoric_Nativ'!$D$6:$D$405,"&gt;="&amp;L567),COUNTIFS('Istoric_Nativ'!$B$6:$B$405,E567,'Istoric_Nativ'!$C$6:$C$405,F567,'Istoric_Nativ'!$E$6:$E$405,G567,'Istoric_Nativ'!$D$6:$D$405,"&lt;"&amp;J567,'Istoric_Nativ'!$P$6:$P$405,1,'Istoric_Nativ'!$D$6:$D$405,"&gt;="&amp;L567)+COUNTIFS('Istoric_Nativ'!$B$6:$B$405,E567,'Istoric_Nativ'!$C$6:$C$405,F567,'Istoric_Nativ'!$F$6:$F$405,G567,'Istoric_Nativ'!$D$6:$D$405,"&lt;"&amp;J567,'Istoric_Nativ'!$P$6:$P$405,1,'Istoric_Nativ'!$D$6:$D$405,"&gt;="&amp;L567))))</x:f>
        <x:v>0</x:v>
      </x:c>
      <x:c r="N567" s="11" t="str">
        <x:f>IF(M567=0,"",IF(H567="HOME",SUMIFS('Istoric_Nativ'!$G$6:$G$405,'Istoric_Nativ'!$B$6:$B$405,E567,'Istoric_Nativ'!$C$6:$C$405,F567,'Istoric_Nativ'!$E$6:$E$405,G567,'Istoric_Nativ'!$D$6:$D$405,"&lt;"&amp;J567,'Istoric_Nativ'!$P$6:$P$405,1,'Istoric_Nativ'!$D$6:$D$405,"&gt;="&amp;L567),IF(H567="AWAY",SUMIFS('Istoric_Nativ'!$H$6:$H$405,'Istoric_Nativ'!$B$6:$B$405,E567,'Istoric_Nativ'!$C$6:$C$405,F567,'Istoric_Nativ'!$F$6:$F$405,G567,'Istoric_Nativ'!$D$6:$D$405,"&lt;"&amp;J567,'Istoric_Nativ'!$P$6:$P$405,1,'Istoric_Nativ'!$D$6:$D$405,"&gt;="&amp;L567),SUMIFS('Istoric_Nativ'!$G$6:$G$405,'Istoric_Nativ'!$B$6:$B$405,E567,'Istoric_Nativ'!$C$6:$C$405,F567,'Istoric_Nativ'!$E$6:$E$405,G567,'Istoric_Nativ'!$D$6:$D$405,"&lt;"&amp;J567,'Istoric_Nativ'!$P$6:$P$405,1,'Istoric_Nativ'!$D$6:$D$405,"&gt;="&amp;L567)+SUMIFS('Istoric_Nativ'!$H$6:$H$405,'Istoric_Nativ'!$B$6:$B$405,E567,'Istoric_Nativ'!$C$6:$C$405,F567,'Istoric_Nativ'!$F$6:$F$405,G567,'Istoric_Nativ'!$D$6:$D$405,"&lt;"&amp;J567,'Istoric_Nativ'!$P$6:$P$405,1,'Istoric_Nativ'!$D$6:$D$405,"&gt;="&amp;L567)))/M567)</x:f>
      </x:c>
      <x:c r="O567" s="11" t="str">
        <x:f>IF(M567=0,"",IF(H567="HOME",SUMIFS('Istoric_Nativ'!$H$6:$H$405,'Istoric_Nativ'!$B$6:$B$405,E567,'Istoric_Nativ'!$C$6:$C$405,F567,'Istoric_Nativ'!$E$6:$E$405,G567,'Istoric_Nativ'!$D$6:$D$405,"&lt;"&amp;J567,'Istoric_Nativ'!$P$6:$P$405,1,'Istoric_Nativ'!$D$6:$D$405,"&gt;="&amp;L567),IF(H567="AWAY",SUMIFS('Istoric_Nativ'!$G$6:$G$405,'Istoric_Nativ'!$B$6:$B$405,E567,'Istoric_Nativ'!$C$6:$C$405,F567,'Istoric_Nativ'!$F$6:$F$405,G567,'Istoric_Nativ'!$D$6:$D$405,"&lt;"&amp;J567,'Istoric_Nativ'!$P$6:$P$405,1,'Istoric_Nativ'!$D$6:$D$405,"&gt;="&amp;L567),SUMIFS('Istoric_Nativ'!$H$6:$H$405,'Istoric_Nativ'!$B$6:$B$405,E567,'Istoric_Nativ'!$C$6:$C$405,F567,'Istoric_Nativ'!$E$6:$E$405,G567,'Istoric_Nativ'!$D$6:$D$405,"&lt;"&amp;J567,'Istoric_Nativ'!$P$6:$P$405,1,'Istoric_Nativ'!$D$6:$D$405,"&gt;="&amp;L567)+SUMIFS('Istoric_Nativ'!$G$6:$G$405,'Istoric_Nativ'!$B$6:$B$405,E567,'Istoric_Nativ'!$C$6:$C$405,F567,'Istoric_Nativ'!$F$6:$F$405,G567,'Istoric_Nativ'!$D$6:$D$405,"&lt;"&amp;J567,'Istoric_Nativ'!$P$6:$P$405,1,'Istoric_Nativ'!$D$6:$D$405,"&gt;="&amp;L567)))/M567)</x:f>
      </x:c>
      <x:c r="P567" s="2" t="n">
        <x:f>'Config_v6'!$B$7</x:f>
        <x:v>10</x:v>
      </x:c>
      <x:c r="Q567" s="2" t="n">
        <x:f>IF(OR(B567="",F567=""),0,IFERROR(MATCH(E567&amp;"|"&amp;F567,SourceTable[Source_Key],0),0))</x:f>
        <x:v>0</x:v>
      </x:c>
      <x:c r="R567" s="2" t="str">
        <x:f>IF(B567="","",IF(F567="","UNUSED",IF(Q567=0,"NOT CHECKED",IF(COUNTIF(SourceTable[Source_Key],E567&amp;"|"&amp;F567)&lt;&gt;1,"SOURCE CONFLICT",IF(NOT(OR(INDEX(SourceTable[Status],MAX(1,Q567))="IMPORTED",INDEX(SourceTable[Status],MAX(1,Q567))="PARTIAL",INDEX(SourceTable[Status],MAX(1,Q567))="SOURCE CONFLICT")),"ACCESS BLOCKED",IF(OR(INDEX(SourceTable[Coverage],Q567)&lt;&gt;"FULL SEASON EXPORT",INDEX(SourceTable[URL],Q567)="",INDEX(SourceTable[SHA256],Q567)=""),"EVIDENCE INCOMPLETE",IF(AND('Input_Meci'!H52="LIVE",INDEX(SourceTable[Retrieved_UTC],Q567)&gt;'Input_Meci'!G52),"POST CUTOFF","CLOSED")))))))</x:f>
      </x:c>
      <x:c r="S567" s="2" t="n">
        <x:f>IF(OR(B567="",F567=""),0,COUNTIFS('Istoric_Nativ'!$B$6:$B$405,E567,'Istoric_Nativ'!$C$6:$C$405,F567,'Istoric_Nativ'!$E$6:$E$405,G567,'Istoric_Nativ'!$D$6:$D$405,"&lt;"&amp;J567,'Istoric_Nativ'!$O$6:$O$405,"INVALID")+COUNTIFS('Istoric_Nativ'!$B$6:$B$405,E567,'Istoric_Nativ'!$C$6:$C$405,F567,'Istoric_Nativ'!$E$6:$E$405,G567,'Istoric_Nativ'!$O$6:$O$405,"INVALID",'Istoric_Nativ'!$D$6:$D$405,"*")+COUNTIFS('Istoric_Nativ'!$B$6:$B$405,E567,'Istoric_Nativ'!$C$6:$C$405,F567,'Istoric_Nativ'!$E$6:$E$405,G567,'Istoric_Nativ'!$D$6:$D$405,"&lt;"&amp;J567,'Istoric_Nativ'!$O$6:$O$405,"SOURCE CONFLICT")+COUNTIFS('Istoric_Nativ'!$B$6:$B$405,E567,'Istoric_Nativ'!$C$6:$C$405,F567,'Istoric_Nativ'!$F$6:$F$405,G567,'Istoric_Nativ'!$D$6:$D$405,"&lt;"&amp;J567,'Istoric_Nativ'!$O$6:$O$405,"INVALID")+COUNTIFS('Istoric_Nativ'!$B$6:$B$405,E567,'Istoric_Nativ'!$C$6:$C$405,F567,'Istoric_Nativ'!$F$6:$F$405,G567,'Istoric_Nativ'!$O$6:$O$405,"INVALID",'Istoric_Nativ'!$D$6:$D$405,"*")+COUNTIFS('Istoric_Nativ'!$B$6:$B$405,E567,'Istoric_Nativ'!$C$6:$C$405,F567,'Istoric_Nativ'!$F$6:$F$405,G567,'Istoric_Nativ'!$D$6:$D$405,"&lt;"&amp;J567,'Istoric_Nativ'!$O$6:$O$405,"SOURCE CONFLICT"))</x:f>
        <x:v>0</x:v>
      </x:c>
      <x:c r="T567" s="2" t="str">
        <x:f>IF(B567="","",IF(R567&lt;&gt;"CLOSED",R567,IF(S567&gt;0,"NATIVE INPUT ISSUE",IF(M567=0,"NO HISTORY",IF(M567&lt;P567,"SMALL SAMPLE","DERIVED")))))</x:f>
      </x:c>
      <x:c r="U567" s="2" t="str">
        <x:f>IF(B567="","","NativeTable; "&amp;E567&amp;"; "&amp;F567&amp;"; "&amp;G567&amp;"; "&amp;H567&amp;"; before "&amp;TEXT(J567,"yyyy-mm-dd")&amp;IF(I567="RECENT","; from "&amp;TEXT(L567,"yyyy-mm-dd"),""))</x:f>
      </x:c>
    </x:row>
    <x:row r="568" ht="21" customHeight="1">
      <x:c r="A568" s="2" t="n">
        <x:v>47</x:v>
      </x:c>
      <x:c r="B568" s="2" t="str">
        <x:f>IF('Input_Meci'!A52="","",'Input_Meci'!A52)</x:f>
      </x:c>
      <x:c r="C568" s="2" t="str">
        <x:v>A</x:v>
      </x:c>
      <x:c r="D568" s="2" t="str">
        <x:v>PRIOR</x:v>
      </x:c>
      <x:c r="E568" s="2" t="str">
        <x:f>IF(B568="","",'Input_Meci'!B52)</x:f>
      </x:c>
      <x:c r="F568" s="2" t="str">
        <x:f>IF(B568="","",IF('Input_Meci'!K52="","",'Input_Meci'!K52))</x:f>
      </x:c>
      <x:c r="G568" s="2" t="str">
        <x:f>IF(B568="","",'Input_Meci'!E52)</x:f>
      </x:c>
      <x:c r="H568" s="2" t="str">
        <x:v>AWAY</x:v>
      </x:c>
      <x:c r="I568" s="2" t="str">
        <x:v>HA</x:v>
      </x:c>
      <x:c r="J568" s="9" t="n">
        <x:f>IF(AND(B568&lt;&gt;"",ISNUMBER('Input_Meci'!G52)),INT('Input_Meci'!G52),0)</x:f>
        <x:v>0</x:v>
      </x:c>
      <x:c r="K568" s="2" t="n">
        <x:f>IF(OR(B568="",F568=""),0,IF(H568="HOME",COUNTIFS('Istoric_Nativ'!$B$6:$B$405,E568,'Istoric_Nativ'!$C$6:$C$405,F568,'Istoric_Nativ'!$E$6:$E$405,G568,'Istoric_Nativ'!$D$6:$D$405,"&lt;"&amp;J568,'Istoric_Nativ'!$P$6:$P$405,1),IF(H568="AWAY",COUNTIFS('Istoric_Nativ'!$B$6:$B$405,E568,'Istoric_Nativ'!$C$6:$C$405,F568,'Istoric_Nativ'!$F$6:$F$405,G568,'Istoric_Nativ'!$D$6:$D$405,"&lt;"&amp;J568,'Istoric_Nativ'!$P$6:$P$405,1),COUNTIFS('Istoric_Nativ'!$B$6:$B$405,E568,'Istoric_Nativ'!$C$6:$C$405,F568,'Istoric_Nativ'!$E$6:$E$405,G568,'Istoric_Nativ'!$D$6:$D$405,"&lt;"&amp;J568,'Istoric_Nativ'!$P$6:$P$405,1)+COUNTIFS('Istoric_Nativ'!$B$6:$B$405,E568,'Istoric_Nativ'!$C$6:$C$405,F568,'Istoric_Nativ'!$F$6:$F$405,G568,'Istoric_Nativ'!$D$6:$D$405,"&lt;"&amp;J568,'Istoric_Nativ'!$P$6:$P$405,1))))</x:f>
        <x:v>0</x:v>
      </x:c>
      <x:c r="L568" s="17" t="n">
        <x:f>IF(AND(B568&lt;&gt;"",I568="RECENT",K568&gt;0),LARGE(_xlfn._xlws.FILTER('Istoric_Nativ'!$D$6:$D$405,('Istoric_Nativ'!$B$6:$B$405=E568)*('Istoric_Nativ'!$C$6:$C$405=F568)*('Istoric_Nativ'!$P$6:$P$405=1)*('Istoric_Nativ'!$D$6:$D$405&lt;J568)*((('Istoric_Nativ'!$E$6:$E$405=G568)+('Istoric_Nativ'!$F$6:$F$405=G568))&gt;0)),MIN('Config_v6'!$B$54,K568)),0)</x:f>
        <x:v>0</x:v>
      </x:c>
      <x:c r="M568" s="2" t="n">
        <x:f>IF(OR(B568="",F568=""),0,IF(H568="HOME",COUNTIFS('Istoric_Nativ'!$B$6:$B$405,E568,'Istoric_Nativ'!$C$6:$C$405,F568,'Istoric_Nativ'!$E$6:$E$405,G568,'Istoric_Nativ'!$D$6:$D$405,"&lt;"&amp;J568,'Istoric_Nativ'!$P$6:$P$405,1,'Istoric_Nativ'!$D$6:$D$405,"&gt;="&amp;L568),IF(H568="AWAY",COUNTIFS('Istoric_Nativ'!$B$6:$B$405,E568,'Istoric_Nativ'!$C$6:$C$405,F568,'Istoric_Nativ'!$F$6:$F$405,G568,'Istoric_Nativ'!$D$6:$D$405,"&lt;"&amp;J568,'Istoric_Nativ'!$P$6:$P$405,1,'Istoric_Nativ'!$D$6:$D$405,"&gt;="&amp;L568),COUNTIFS('Istoric_Nativ'!$B$6:$B$405,E568,'Istoric_Nativ'!$C$6:$C$405,F568,'Istoric_Nativ'!$E$6:$E$405,G568,'Istoric_Nativ'!$D$6:$D$405,"&lt;"&amp;J568,'Istoric_Nativ'!$P$6:$P$405,1,'Istoric_Nativ'!$D$6:$D$405,"&gt;="&amp;L568)+COUNTIFS('Istoric_Nativ'!$B$6:$B$405,E568,'Istoric_Nativ'!$C$6:$C$405,F568,'Istoric_Nativ'!$F$6:$F$405,G568,'Istoric_Nativ'!$D$6:$D$405,"&lt;"&amp;J568,'Istoric_Nativ'!$P$6:$P$405,1,'Istoric_Nativ'!$D$6:$D$405,"&gt;="&amp;L568))))</x:f>
        <x:v>0</x:v>
      </x:c>
      <x:c r="N568" s="11" t="str">
        <x:f>IF(M568=0,"",IF(H568="HOME",SUMIFS('Istoric_Nativ'!$G$6:$G$405,'Istoric_Nativ'!$B$6:$B$405,E568,'Istoric_Nativ'!$C$6:$C$405,F568,'Istoric_Nativ'!$E$6:$E$405,G568,'Istoric_Nativ'!$D$6:$D$405,"&lt;"&amp;J568,'Istoric_Nativ'!$P$6:$P$405,1,'Istoric_Nativ'!$D$6:$D$405,"&gt;="&amp;L568),IF(H568="AWAY",SUMIFS('Istoric_Nativ'!$H$6:$H$405,'Istoric_Nativ'!$B$6:$B$405,E568,'Istoric_Nativ'!$C$6:$C$405,F568,'Istoric_Nativ'!$F$6:$F$405,G568,'Istoric_Nativ'!$D$6:$D$405,"&lt;"&amp;J568,'Istoric_Nativ'!$P$6:$P$405,1,'Istoric_Nativ'!$D$6:$D$405,"&gt;="&amp;L568),SUMIFS('Istoric_Nativ'!$G$6:$G$405,'Istoric_Nativ'!$B$6:$B$405,E568,'Istoric_Nativ'!$C$6:$C$405,F568,'Istoric_Nativ'!$E$6:$E$405,G568,'Istoric_Nativ'!$D$6:$D$405,"&lt;"&amp;J568,'Istoric_Nativ'!$P$6:$P$405,1,'Istoric_Nativ'!$D$6:$D$405,"&gt;="&amp;L568)+SUMIFS('Istoric_Nativ'!$H$6:$H$405,'Istoric_Nativ'!$B$6:$B$405,E568,'Istoric_Nativ'!$C$6:$C$405,F568,'Istoric_Nativ'!$F$6:$F$405,G568,'Istoric_Nativ'!$D$6:$D$405,"&lt;"&amp;J568,'Istoric_Nativ'!$P$6:$P$405,1,'Istoric_Nativ'!$D$6:$D$405,"&gt;="&amp;L568)))/M568)</x:f>
      </x:c>
      <x:c r="O568" s="11" t="str">
        <x:f>IF(M568=0,"",IF(H568="HOME",SUMIFS('Istoric_Nativ'!$H$6:$H$405,'Istoric_Nativ'!$B$6:$B$405,E568,'Istoric_Nativ'!$C$6:$C$405,F568,'Istoric_Nativ'!$E$6:$E$405,G568,'Istoric_Nativ'!$D$6:$D$405,"&lt;"&amp;J568,'Istoric_Nativ'!$P$6:$P$405,1,'Istoric_Nativ'!$D$6:$D$405,"&gt;="&amp;L568),IF(H568="AWAY",SUMIFS('Istoric_Nativ'!$G$6:$G$405,'Istoric_Nativ'!$B$6:$B$405,E568,'Istoric_Nativ'!$C$6:$C$405,F568,'Istoric_Nativ'!$F$6:$F$405,G568,'Istoric_Nativ'!$D$6:$D$405,"&lt;"&amp;J568,'Istoric_Nativ'!$P$6:$P$405,1,'Istoric_Nativ'!$D$6:$D$405,"&gt;="&amp;L568),SUMIFS('Istoric_Nativ'!$H$6:$H$405,'Istoric_Nativ'!$B$6:$B$405,E568,'Istoric_Nativ'!$C$6:$C$405,F568,'Istoric_Nativ'!$E$6:$E$405,G568,'Istoric_Nativ'!$D$6:$D$405,"&lt;"&amp;J568,'Istoric_Nativ'!$P$6:$P$405,1,'Istoric_Nativ'!$D$6:$D$405,"&gt;="&amp;L568)+SUMIFS('Istoric_Nativ'!$G$6:$G$405,'Istoric_Nativ'!$B$6:$B$405,E568,'Istoric_Nativ'!$C$6:$C$405,F568,'Istoric_Nativ'!$F$6:$F$405,G568,'Istoric_Nativ'!$D$6:$D$405,"&lt;"&amp;J568,'Istoric_Nativ'!$P$6:$P$405,1,'Istoric_Nativ'!$D$6:$D$405,"&gt;="&amp;L568)))/M568)</x:f>
      </x:c>
      <x:c r="P568" s="2" t="n">
        <x:f>'Config_v6'!$B$8</x:f>
        <x:v>5</x:v>
      </x:c>
      <x:c r="Q568" s="2" t="n">
        <x:f>IF(OR(B568="",F568=""),0,IFERROR(MATCH(E568&amp;"|"&amp;F568,SourceTable[Source_Key],0),0))</x:f>
        <x:v>0</x:v>
      </x:c>
      <x:c r="R568" s="2" t="str">
        <x:f>IF(B568="","",IF(F568="","UNUSED",IF(Q568=0,"NOT CHECKED",IF(COUNTIF(SourceTable[Source_Key],E568&amp;"|"&amp;F568)&lt;&gt;1,"SOURCE CONFLICT",IF(NOT(OR(INDEX(SourceTable[Status],MAX(1,Q568))="IMPORTED",INDEX(SourceTable[Status],MAX(1,Q568))="PARTIAL",INDEX(SourceTable[Status],MAX(1,Q568))="SOURCE CONFLICT")),"ACCESS BLOCKED",IF(OR(INDEX(SourceTable[Coverage],Q568)&lt;&gt;"FULL SEASON EXPORT",INDEX(SourceTable[URL],Q568)="",INDEX(SourceTable[SHA256],Q568)=""),"EVIDENCE INCOMPLETE",IF(AND('Input_Meci'!H52="LIVE",INDEX(SourceTable[Retrieved_UTC],Q568)&gt;'Input_Meci'!G52),"POST CUTOFF","CLOSED")))))))</x:f>
      </x:c>
      <x:c r="S568" s="2" t="n">
        <x:f>IF(OR(B568="",F568=""),0,COUNTIFS('Istoric_Nativ'!$B$6:$B$405,E568,'Istoric_Nativ'!$C$6:$C$405,F568,'Istoric_Nativ'!$E$6:$E$405,G568,'Istoric_Nativ'!$D$6:$D$405,"&lt;"&amp;J568,'Istoric_Nativ'!$O$6:$O$405,"INVALID")+COUNTIFS('Istoric_Nativ'!$B$6:$B$405,E568,'Istoric_Nativ'!$C$6:$C$405,F568,'Istoric_Nativ'!$E$6:$E$405,G568,'Istoric_Nativ'!$O$6:$O$405,"INVALID",'Istoric_Nativ'!$D$6:$D$405,"*")+COUNTIFS('Istoric_Nativ'!$B$6:$B$405,E568,'Istoric_Nativ'!$C$6:$C$405,F568,'Istoric_Nativ'!$E$6:$E$405,G568,'Istoric_Nativ'!$D$6:$D$405,"&lt;"&amp;J568,'Istoric_Nativ'!$O$6:$O$405,"SOURCE CONFLICT")+COUNTIFS('Istoric_Nativ'!$B$6:$B$405,E568,'Istoric_Nativ'!$C$6:$C$405,F568,'Istoric_Nativ'!$F$6:$F$405,G568,'Istoric_Nativ'!$D$6:$D$405,"&lt;"&amp;J568,'Istoric_Nativ'!$O$6:$O$405,"INVALID")+COUNTIFS('Istoric_Nativ'!$B$6:$B$405,E568,'Istoric_Nativ'!$C$6:$C$405,F568,'Istoric_Nativ'!$F$6:$F$405,G568,'Istoric_Nativ'!$O$6:$O$405,"INVALID",'Istoric_Nativ'!$D$6:$D$405,"*")+COUNTIFS('Istoric_Nativ'!$B$6:$B$405,E568,'Istoric_Nativ'!$C$6:$C$405,F568,'Istoric_Nativ'!$F$6:$F$405,G568,'Istoric_Nativ'!$D$6:$D$405,"&lt;"&amp;J568,'Istoric_Nativ'!$O$6:$O$405,"SOURCE CONFLICT"))</x:f>
        <x:v>0</x:v>
      </x:c>
      <x:c r="T568" s="2" t="str">
        <x:f>IF(B568="","",IF(R568&lt;&gt;"CLOSED",R568,IF(S568&gt;0,"NATIVE INPUT ISSUE",IF(M568=0,"NO HISTORY",IF(M568&lt;P568,"SMALL SAMPLE","DERIVED")))))</x:f>
      </x:c>
      <x:c r="U568" s="2" t="str">
        <x:f>IF(B568="","","NativeTable; "&amp;E568&amp;"; "&amp;F568&amp;"; "&amp;G568&amp;"; "&amp;H568&amp;"; before "&amp;TEXT(J568,"yyyy-mm-dd")&amp;IF(I568="RECENT","; from "&amp;TEXT(L568,"yyyy-mm-dd"),""))</x:f>
      </x:c>
    </x:row>
    <x:row r="569" ht="21" customHeight="1">
      <x:c r="A569" s="2" t="n">
        <x:v>47</x:v>
      </x:c>
      <x:c r="B569" s="2" t="str">
        <x:f>IF('Input_Meci'!A52="","",'Input_Meci'!A52)</x:f>
      </x:c>
      <x:c r="C569" s="2" t="str">
        <x:v>A</x:v>
      </x:c>
      <x:c r="D569" s="2" t="str">
        <x:v>PRIOR</x:v>
      </x:c>
      <x:c r="E569" s="2" t="str">
        <x:f>IF(B569="","",'Input_Meci'!B52)</x:f>
      </x:c>
      <x:c r="F569" s="2" t="str">
        <x:f>IF(B569="","",IF('Input_Meci'!K52="","",'Input_Meci'!K52))</x:f>
      </x:c>
      <x:c r="G569" s="2" t="str">
        <x:f>IF(B569="","",'Input_Meci'!E52)</x:f>
      </x:c>
      <x:c r="H569" s="2" t="str">
        <x:v>ANY</x:v>
      </x:c>
      <x:c r="I569" s="2" t="str">
        <x:v>RECENT</x:v>
      </x:c>
      <x:c r="J569" s="9" t="n">
        <x:f>IF(AND(B569&lt;&gt;"",ISNUMBER('Input_Meci'!G52)),INT('Input_Meci'!G52),0)</x:f>
        <x:v>0</x:v>
      </x:c>
      <x:c r="K569" s="2" t="n">
        <x:f>IF(OR(B569="",F569=""),0,IF(H569="HOME",COUNTIFS('Istoric_Nativ'!$B$6:$B$405,E569,'Istoric_Nativ'!$C$6:$C$405,F569,'Istoric_Nativ'!$E$6:$E$405,G569,'Istoric_Nativ'!$D$6:$D$405,"&lt;"&amp;J569,'Istoric_Nativ'!$P$6:$P$405,1),IF(H569="AWAY",COUNTIFS('Istoric_Nativ'!$B$6:$B$405,E569,'Istoric_Nativ'!$C$6:$C$405,F569,'Istoric_Nativ'!$F$6:$F$405,G569,'Istoric_Nativ'!$D$6:$D$405,"&lt;"&amp;J569,'Istoric_Nativ'!$P$6:$P$405,1),COUNTIFS('Istoric_Nativ'!$B$6:$B$405,E569,'Istoric_Nativ'!$C$6:$C$405,F569,'Istoric_Nativ'!$E$6:$E$405,G569,'Istoric_Nativ'!$D$6:$D$405,"&lt;"&amp;J569,'Istoric_Nativ'!$P$6:$P$405,1)+COUNTIFS('Istoric_Nativ'!$B$6:$B$405,E569,'Istoric_Nativ'!$C$6:$C$405,F569,'Istoric_Nativ'!$F$6:$F$405,G569,'Istoric_Nativ'!$D$6:$D$405,"&lt;"&amp;J569,'Istoric_Nativ'!$P$6:$P$405,1))))</x:f>
        <x:v>0</x:v>
      </x:c>
      <x:c r="L569" s="17" t="n">
        <x:f>IF(AND(B569&lt;&gt;"",I569="RECENT",K569&gt;0),LARGE(_xlfn._xlws.FILTER('Istoric_Nativ'!$D$6:$D$405,('Istoric_Nativ'!$B$6:$B$405=E569)*('Istoric_Nativ'!$C$6:$C$405=F569)*('Istoric_Nativ'!$P$6:$P$405=1)*('Istoric_Nativ'!$D$6:$D$405&lt;J569)*((('Istoric_Nativ'!$E$6:$E$405=G569)+('Istoric_Nativ'!$F$6:$F$405=G569))&gt;0)),MIN('Config_v6'!$B$54,K569)),0)</x:f>
        <x:v>0</x:v>
      </x:c>
      <x:c r="M569" s="2" t="n">
        <x:f>IF(OR(B569="",F569=""),0,IF(H569="HOME",COUNTIFS('Istoric_Nativ'!$B$6:$B$405,E569,'Istoric_Nativ'!$C$6:$C$405,F569,'Istoric_Nativ'!$E$6:$E$405,G569,'Istoric_Nativ'!$D$6:$D$405,"&lt;"&amp;J569,'Istoric_Nativ'!$P$6:$P$405,1,'Istoric_Nativ'!$D$6:$D$405,"&gt;="&amp;L569),IF(H569="AWAY",COUNTIFS('Istoric_Nativ'!$B$6:$B$405,E569,'Istoric_Nativ'!$C$6:$C$405,F569,'Istoric_Nativ'!$F$6:$F$405,G569,'Istoric_Nativ'!$D$6:$D$405,"&lt;"&amp;J569,'Istoric_Nativ'!$P$6:$P$405,1,'Istoric_Nativ'!$D$6:$D$405,"&gt;="&amp;L569),COUNTIFS('Istoric_Nativ'!$B$6:$B$405,E569,'Istoric_Nativ'!$C$6:$C$405,F569,'Istoric_Nativ'!$E$6:$E$405,G569,'Istoric_Nativ'!$D$6:$D$405,"&lt;"&amp;J569,'Istoric_Nativ'!$P$6:$P$405,1,'Istoric_Nativ'!$D$6:$D$405,"&gt;="&amp;L569)+COUNTIFS('Istoric_Nativ'!$B$6:$B$405,E569,'Istoric_Nativ'!$C$6:$C$405,F569,'Istoric_Nativ'!$F$6:$F$405,G569,'Istoric_Nativ'!$D$6:$D$405,"&lt;"&amp;J569,'Istoric_Nativ'!$P$6:$P$405,1,'Istoric_Nativ'!$D$6:$D$405,"&gt;="&amp;L569))))</x:f>
        <x:v>0</x:v>
      </x:c>
      <x:c r="N569" s="11" t="str">
        <x:f>IF(M569=0,"",IF(H569="HOME",SUMIFS('Istoric_Nativ'!$G$6:$G$405,'Istoric_Nativ'!$B$6:$B$405,E569,'Istoric_Nativ'!$C$6:$C$405,F569,'Istoric_Nativ'!$E$6:$E$405,G569,'Istoric_Nativ'!$D$6:$D$405,"&lt;"&amp;J569,'Istoric_Nativ'!$P$6:$P$405,1,'Istoric_Nativ'!$D$6:$D$405,"&gt;="&amp;L569),IF(H569="AWAY",SUMIFS('Istoric_Nativ'!$H$6:$H$405,'Istoric_Nativ'!$B$6:$B$405,E569,'Istoric_Nativ'!$C$6:$C$405,F569,'Istoric_Nativ'!$F$6:$F$405,G569,'Istoric_Nativ'!$D$6:$D$405,"&lt;"&amp;J569,'Istoric_Nativ'!$P$6:$P$405,1,'Istoric_Nativ'!$D$6:$D$405,"&gt;="&amp;L569),SUMIFS('Istoric_Nativ'!$G$6:$G$405,'Istoric_Nativ'!$B$6:$B$405,E569,'Istoric_Nativ'!$C$6:$C$405,F569,'Istoric_Nativ'!$E$6:$E$405,G569,'Istoric_Nativ'!$D$6:$D$405,"&lt;"&amp;J569,'Istoric_Nativ'!$P$6:$P$405,1,'Istoric_Nativ'!$D$6:$D$405,"&gt;="&amp;L569)+SUMIFS('Istoric_Nativ'!$H$6:$H$405,'Istoric_Nativ'!$B$6:$B$405,E569,'Istoric_Nativ'!$C$6:$C$405,F569,'Istoric_Nativ'!$F$6:$F$405,G569,'Istoric_Nativ'!$D$6:$D$405,"&lt;"&amp;J569,'Istoric_Nativ'!$P$6:$P$405,1,'Istoric_Nativ'!$D$6:$D$405,"&gt;="&amp;L569)))/M569)</x:f>
      </x:c>
      <x:c r="O569" s="11" t="str">
        <x:f>IF(M569=0,"",IF(H569="HOME",SUMIFS('Istoric_Nativ'!$H$6:$H$405,'Istoric_Nativ'!$B$6:$B$405,E569,'Istoric_Nativ'!$C$6:$C$405,F569,'Istoric_Nativ'!$E$6:$E$405,G569,'Istoric_Nativ'!$D$6:$D$405,"&lt;"&amp;J569,'Istoric_Nativ'!$P$6:$P$405,1,'Istoric_Nativ'!$D$6:$D$405,"&gt;="&amp;L569),IF(H569="AWAY",SUMIFS('Istoric_Nativ'!$G$6:$G$405,'Istoric_Nativ'!$B$6:$B$405,E569,'Istoric_Nativ'!$C$6:$C$405,F569,'Istoric_Nativ'!$F$6:$F$405,G569,'Istoric_Nativ'!$D$6:$D$405,"&lt;"&amp;J569,'Istoric_Nativ'!$P$6:$P$405,1,'Istoric_Nativ'!$D$6:$D$405,"&gt;="&amp;L569),SUMIFS('Istoric_Nativ'!$H$6:$H$405,'Istoric_Nativ'!$B$6:$B$405,E569,'Istoric_Nativ'!$C$6:$C$405,F569,'Istoric_Nativ'!$E$6:$E$405,G569,'Istoric_Nativ'!$D$6:$D$405,"&lt;"&amp;J569,'Istoric_Nativ'!$P$6:$P$405,1,'Istoric_Nativ'!$D$6:$D$405,"&gt;="&amp;L569)+SUMIFS('Istoric_Nativ'!$G$6:$G$405,'Istoric_Nativ'!$B$6:$B$405,E569,'Istoric_Nativ'!$C$6:$C$405,F569,'Istoric_Nativ'!$F$6:$F$405,G569,'Istoric_Nativ'!$D$6:$D$405,"&lt;"&amp;J569,'Istoric_Nativ'!$P$6:$P$405,1,'Istoric_Nativ'!$D$6:$D$405,"&gt;="&amp;L569)))/M569)</x:f>
      </x:c>
      <x:c r="P569" s="2" t="n">
        <x:f>'Config_v6'!$B$9</x:f>
        <x:v>3</x:v>
      </x:c>
      <x:c r="Q569" s="2" t="n">
        <x:f>IF(OR(B569="",F569=""),0,IFERROR(MATCH(E569&amp;"|"&amp;F569,SourceTable[Source_Key],0),0))</x:f>
        <x:v>0</x:v>
      </x:c>
      <x:c r="R569" s="2" t="str">
        <x:f>IF(B569="","",IF(F569="","UNUSED",IF(Q569=0,"NOT CHECKED",IF(COUNTIF(SourceTable[Source_Key],E569&amp;"|"&amp;F569)&lt;&gt;1,"SOURCE CONFLICT",IF(NOT(OR(INDEX(SourceTable[Status],MAX(1,Q569))="IMPORTED",INDEX(SourceTable[Status],MAX(1,Q569))="PARTIAL",INDEX(SourceTable[Status],MAX(1,Q569))="SOURCE CONFLICT")),"ACCESS BLOCKED",IF(OR(INDEX(SourceTable[Coverage],Q569)&lt;&gt;"FULL SEASON EXPORT",INDEX(SourceTable[URL],Q569)="",INDEX(SourceTable[SHA256],Q569)=""),"EVIDENCE INCOMPLETE",IF(AND('Input_Meci'!H52="LIVE",INDEX(SourceTable[Retrieved_UTC],Q569)&gt;'Input_Meci'!G52),"POST CUTOFF","CLOSED")))))))</x:f>
      </x:c>
      <x:c r="S569" s="2" t="n">
        <x:f>IF(OR(B569="",F569=""),0,COUNTIFS('Istoric_Nativ'!$B$6:$B$405,E569,'Istoric_Nativ'!$C$6:$C$405,F569,'Istoric_Nativ'!$E$6:$E$405,G569,'Istoric_Nativ'!$D$6:$D$405,"&lt;"&amp;J569,'Istoric_Nativ'!$O$6:$O$405,"INVALID")+COUNTIFS('Istoric_Nativ'!$B$6:$B$405,E569,'Istoric_Nativ'!$C$6:$C$405,F569,'Istoric_Nativ'!$E$6:$E$405,G569,'Istoric_Nativ'!$O$6:$O$405,"INVALID",'Istoric_Nativ'!$D$6:$D$405,"*")+COUNTIFS('Istoric_Nativ'!$B$6:$B$405,E569,'Istoric_Nativ'!$C$6:$C$405,F569,'Istoric_Nativ'!$E$6:$E$405,G569,'Istoric_Nativ'!$D$6:$D$405,"&lt;"&amp;J569,'Istoric_Nativ'!$O$6:$O$405,"SOURCE CONFLICT")+COUNTIFS('Istoric_Nativ'!$B$6:$B$405,E569,'Istoric_Nativ'!$C$6:$C$405,F569,'Istoric_Nativ'!$F$6:$F$405,G569,'Istoric_Nativ'!$D$6:$D$405,"&lt;"&amp;J569,'Istoric_Nativ'!$O$6:$O$405,"INVALID")+COUNTIFS('Istoric_Nativ'!$B$6:$B$405,E569,'Istoric_Nativ'!$C$6:$C$405,F569,'Istoric_Nativ'!$F$6:$F$405,G569,'Istoric_Nativ'!$O$6:$O$405,"INVALID",'Istoric_Nativ'!$D$6:$D$405,"*")+COUNTIFS('Istoric_Nativ'!$B$6:$B$405,E569,'Istoric_Nativ'!$C$6:$C$405,F569,'Istoric_Nativ'!$F$6:$F$405,G569,'Istoric_Nativ'!$D$6:$D$405,"&lt;"&amp;J569,'Istoric_Nativ'!$O$6:$O$405,"SOURCE CONFLICT"))</x:f>
        <x:v>0</x:v>
      </x:c>
      <x:c r="T569" s="2" t="str">
        <x:f>IF(B569="","",IF(R569&lt;&gt;"CLOSED",R569,IF(S569&gt;0,"NATIVE INPUT ISSUE",IF(M569=0,"NO HISTORY",IF(M569&lt;P569,"SMALL SAMPLE","DERIVED")))))</x:f>
      </x:c>
      <x:c r="U569" s="2" t="str">
        <x:f>IF(B569="","","NativeTable; "&amp;E569&amp;"; "&amp;F569&amp;"; "&amp;G569&amp;"; "&amp;H569&amp;"; before "&amp;TEXT(J569,"yyyy-mm-dd")&amp;IF(I569="RECENT","; from "&amp;TEXT(L569,"yyyy-mm-dd"),""))</x:f>
      </x:c>
    </x:row>
    <x:row r="570" ht="21" customHeight="1">
      <x:c r="A570" s="2" t="n">
        <x:v>48</x:v>
      </x:c>
      <x:c r="B570" s="2" t="str">
        <x:f>IF('Input_Meci'!A53="","",'Input_Meci'!A53)</x:f>
      </x:c>
      <x:c r="C570" s="2" t="str">
        <x:v>H</x:v>
      </x:c>
      <x:c r="D570" s="2" t="str">
        <x:v>CURRENT</x:v>
      </x:c>
      <x:c r="E570" s="2" t="str">
        <x:f>IF(B570="","",'Input_Meci'!B53)</x:f>
      </x:c>
      <x:c r="F570" s="2" t="str">
        <x:f>IF(B570="","",IF('Input_Meci'!C53="","",'Input_Meci'!C53))</x:f>
      </x:c>
      <x:c r="G570" s="2" t="str">
        <x:f>IF(B570="","",'Input_Meci'!D53)</x:f>
      </x:c>
      <x:c r="H570" s="2" t="str">
        <x:v>ANY</x:v>
      </x:c>
      <x:c r="I570" s="2" t="str">
        <x:v>SEASON</x:v>
      </x:c>
      <x:c r="J570" s="9" t="n">
        <x:f>IF(AND(B570&lt;&gt;"",ISNUMBER('Input_Meci'!G53)),INT('Input_Meci'!G53),0)</x:f>
        <x:v>0</x:v>
      </x:c>
      <x:c r="K570" s="2" t="n">
        <x:f>IF(OR(B570="",F570=""),0,IF(H570="HOME",COUNTIFS('Istoric_Nativ'!$B$6:$B$405,E570,'Istoric_Nativ'!$C$6:$C$405,F570,'Istoric_Nativ'!$E$6:$E$405,G570,'Istoric_Nativ'!$D$6:$D$405,"&lt;"&amp;J570,'Istoric_Nativ'!$P$6:$P$405,1),IF(H570="AWAY",COUNTIFS('Istoric_Nativ'!$B$6:$B$405,E570,'Istoric_Nativ'!$C$6:$C$405,F570,'Istoric_Nativ'!$F$6:$F$405,G570,'Istoric_Nativ'!$D$6:$D$405,"&lt;"&amp;J570,'Istoric_Nativ'!$P$6:$P$405,1),COUNTIFS('Istoric_Nativ'!$B$6:$B$405,E570,'Istoric_Nativ'!$C$6:$C$405,F570,'Istoric_Nativ'!$E$6:$E$405,G570,'Istoric_Nativ'!$D$6:$D$405,"&lt;"&amp;J570,'Istoric_Nativ'!$P$6:$P$405,1)+COUNTIFS('Istoric_Nativ'!$B$6:$B$405,E570,'Istoric_Nativ'!$C$6:$C$405,F570,'Istoric_Nativ'!$F$6:$F$405,G570,'Istoric_Nativ'!$D$6:$D$405,"&lt;"&amp;J570,'Istoric_Nativ'!$P$6:$P$405,1))))</x:f>
        <x:v>0</x:v>
      </x:c>
      <x:c r="L570" s="17" t="n">
        <x:f>IF(AND(B570&lt;&gt;"",I570="RECENT",K570&gt;0),LARGE(_xlfn._xlws.FILTER('Istoric_Nativ'!$D$6:$D$405,('Istoric_Nativ'!$B$6:$B$405=E570)*('Istoric_Nativ'!$C$6:$C$405=F570)*('Istoric_Nativ'!$P$6:$P$405=1)*('Istoric_Nativ'!$D$6:$D$405&lt;J570)*((('Istoric_Nativ'!$E$6:$E$405=G570)+('Istoric_Nativ'!$F$6:$F$405=G570))&gt;0)),MIN('Config_v6'!$B$54,K570)),0)</x:f>
        <x:v>0</x:v>
      </x:c>
      <x:c r="M570" s="2" t="n">
        <x:f>IF(OR(B570="",F570=""),0,IF(H570="HOME",COUNTIFS('Istoric_Nativ'!$B$6:$B$405,E570,'Istoric_Nativ'!$C$6:$C$405,F570,'Istoric_Nativ'!$E$6:$E$405,G570,'Istoric_Nativ'!$D$6:$D$405,"&lt;"&amp;J570,'Istoric_Nativ'!$P$6:$P$405,1,'Istoric_Nativ'!$D$6:$D$405,"&gt;="&amp;L570),IF(H570="AWAY",COUNTIFS('Istoric_Nativ'!$B$6:$B$405,E570,'Istoric_Nativ'!$C$6:$C$405,F570,'Istoric_Nativ'!$F$6:$F$405,G570,'Istoric_Nativ'!$D$6:$D$405,"&lt;"&amp;J570,'Istoric_Nativ'!$P$6:$P$405,1,'Istoric_Nativ'!$D$6:$D$405,"&gt;="&amp;L570),COUNTIFS('Istoric_Nativ'!$B$6:$B$405,E570,'Istoric_Nativ'!$C$6:$C$405,F570,'Istoric_Nativ'!$E$6:$E$405,G570,'Istoric_Nativ'!$D$6:$D$405,"&lt;"&amp;J570,'Istoric_Nativ'!$P$6:$P$405,1,'Istoric_Nativ'!$D$6:$D$405,"&gt;="&amp;L570)+COUNTIFS('Istoric_Nativ'!$B$6:$B$405,E570,'Istoric_Nativ'!$C$6:$C$405,F570,'Istoric_Nativ'!$F$6:$F$405,G570,'Istoric_Nativ'!$D$6:$D$405,"&lt;"&amp;J570,'Istoric_Nativ'!$P$6:$P$405,1,'Istoric_Nativ'!$D$6:$D$405,"&gt;="&amp;L570))))</x:f>
        <x:v>0</x:v>
      </x:c>
      <x:c r="N570" s="11" t="str">
        <x:f>IF(M570=0,"",IF(H570="HOME",SUMIFS('Istoric_Nativ'!$G$6:$G$405,'Istoric_Nativ'!$B$6:$B$405,E570,'Istoric_Nativ'!$C$6:$C$405,F570,'Istoric_Nativ'!$E$6:$E$405,G570,'Istoric_Nativ'!$D$6:$D$405,"&lt;"&amp;J570,'Istoric_Nativ'!$P$6:$P$405,1,'Istoric_Nativ'!$D$6:$D$405,"&gt;="&amp;L570),IF(H570="AWAY",SUMIFS('Istoric_Nativ'!$H$6:$H$405,'Istoric_Nativ'!$B$6:$B$405,E570,'Istoric_Nativ'!$C$6:$C$405,F570,'Istoric_Nativ'!$F$6:$F$405,G570,'Istoric_Nativ'!$D$6:$D$405,"&lt;"&amp;J570,'Istoric_Nativ'!$P$6:$P$405,1,'Istoric_Nativ'!$D$6:$D$405,"&gt;="&amp;L570),SUMIFS('Istoric_Nativ'!$G$6:$G$405,'Istoric_Nativ'!$B$6:$B$405,E570,'Istoric_Nativ'!$C$6:$C$405,F570,'Istoric_Nativ'!$E$6:$E$405,G570,'Istoric_Nativ'!$D$6:$D$405,"&lt;"&amp;J570,'Istoric_Nativ'!$P$6:$P$405,1,'Istoric_Nativ'!$D$6:$D$405,"&gt;="&amp;L570)+SUMIFS('Istoric_Nativ'!$H$6:$H$405,'Istoric_Nativ'!$B$6:$B$405,E570,'Istoric_Nativ'!$C$6:$C$405,F570,'Istoric_Nativ'!$F$6:$F$405,G570,'Istoric_Nativ'!$D$6:$D$405,"&lt;"&amp;J570,'Istoric_Nativ'!$P$6:$P$405,1,'Istoric_Nativ'!$D$6:$D$405,"&gt;="&amp;L570)))/M570)</x:f>
      </x:c>
      <x:c r="O570" s="11" t="str">
        <x:f>IF(M570=0,"",IF(H570="HOME",SUMIFS('Istoric_Nativ'!$H$6:$H$405,'Istoric_Nativ'!$B$6:$B$405,E570,'Istoric_Nativ'!$C$6:$C$405,F570,'Istoric_Nativ'!$E$6:$E$405,G570,'Istoric_Nativ'!$D$6:$D$405,"&lt;"&amp;J570,'Istoric_Nativ'!$P$6:$P$405,1,'Istoric_Nativ'!$D$6:$D$405,"&gt;="&amp;L570),IF(H570="AWAY",SUMIFS('Istoric_Nativ'!$G$6:$G$405,'Istoric_Nativ'!$B$6:$B$405,E570,'Istoric_Nativ'!$C$6:$C$405,F570,'Istoric_Nativ'!$F$6:$F$405,G570,'Istoric_Nativ'!$D$6:$D$405,"&lt;"&amp;J570,'Istoric_Nativ'!$P$6:$P$405,1,'Istoric_Nativ'!$D$6:$D$405,"&gt;="&amp;L570),SUMIFS('Istoric_Nativ'!$H$6:$H$405,'Istoric_Nativ'!$B$6:$B$405,E570,'Istoric_Nativ'!$C$6:$C$405,F570,'Istoric_Nativ'!$E$6:$E$405,G570,'Istoric_Nativ'!$D$6:$D$405,"&lt;"&amp;J570,'Istoric_Nativ'!$P$6:$P$405,1,'Istoric_Nativ'!$D$6:$D$405,"&gt;="&amp;L570)+SUMIFS('Istoric_Nativ'!$G$6:$G$405,'Istoric_Nativ'!$B$6:$B$405,E570,'Istoric_Nativ'!$C$6:$C$405,F570,'Istoric_Nativ'!$F$6:$F$405,G570,'Istoric_Nativ'!$D$6:$D$405,"&lt;"&amp;J570,'Istoric_Nativ'!$P$6:$P$405,1,'Istoric_Nativ'!$D$6:$D$405,"&gt;="&amp;L570)))/M570)</x:f>
      </x:c>
      <x:c r="P570" s="2" t="n">
        <x:f>'Config_v6'!$B$7</x:f>
        <x:v>10</x:v>
      </x:c>
      <x:c r="Q570" s="2" t="n">
        <x:f>IF(OR(B570="",F570=""),0,IFERROR(MATCH(E570&amp;"|"&amp;F570,SourceTable[Source_Key],0),0))</x:f>
        <x:v>0</x:v>
      </x:c>
      <x:c r="R570" s="2" t="str">
        <x:f>IF(B570="","",IF(F570="","UNUSED",IF(Q570=0,"NOT CHECKED",IF(COUNTIF(SourceTable[Source_Key],E570&amp;"|"&amp;F570)&lt;&gt;1,"SOURCE CONFLICT",IF(NOT(OR(INDEX(SourceTable[Status],MAX(1,Q570))="IMPORTED",INDEX(SourceTable[Status],MAX(1,Q570))="PARTIAL",INDEX(SourceTable[Status],MAX(1,Q570))="SOURCE CONFLICT")),"ACCESS BLOCKED",IF(OR(INDEX(SourceTable[Coverage],Q570)&lt;&gt;"FULL SEASON EXPORT",INDEX(SourceTable[URL],Q570)="",INDEX(SourceTable[SHA256],Q570)=""),"EVIDENCE INCOMPLETE",IF(AND('Input_Meci'!H53="LIVE",INDEX(SourceTable[Retrieved_UTC],Q570)&gt;'Input_Meci'!G53),"POST CUTOFF","CLOSED")))))))</x:f>
      </x:c>
      <x:c r="S570" s="2" t="n">
        <x:f>IF(OR(B570="",F570=""),0,COUNTIFS('Istoric_Nativ'!$B$6:$B$405,E570,'Istoric_Nativ'!$C$6:$C$405,F570,'Istoric_Nativ'!$E$6:$E$405,G570,'Istoric_Nativ'!$D$6:$D$405,"&lt;"&amp;J570,'Istoric_Nativ'!$O$6:$O$405,"INVALID")+COUNTIFS('Istoric_Nativ'!$B$6:$B$405,E570,'Istoric_Nativ'!$C$6:$C$405,F570,'Istoric_Nativ'!$E$6:$E$405,G570,'Istoric_Nativ'!$O$6:$O$405,"INVALID",'Istoric_Nativ'!$D$6:$D$405,"*")+COUNTIFS('Istoric_Nativ'!$B$6:$B$405,E570,'Istoric_Nativ'!$C$6:$C$405,F570,'Istoric_Nativ'!$E$6:$E$405,G570,'Istoric_Nativ'!$D$6:$D$405,"&lt;"&amp;J570,'Istoric_Nativ'!$O$6:$O$405,"SOURCE CONFLICT")+COUNTIFS('Istoric_Nativ'!$B$6:$B$405,E570,'Istoric_Nativ'!$C$6:$C$405,F570,'Istoric_Nativ'!$F$6:$F$405,G570,'Istoric_Nativ'!$D$6:$D$405,"&lt;"&amp;J570,'Istoric_Nativ'!$O$6:$O$405,"INVALID")+COUNTIFS('Istoric_Nativ'!$B$6:$B$405,E570,'Istoric_Nativ'!$C$6:$C$405,F570,'Istoric_Nativ'!$F$6:$F$405,G570,'Istoric_Nativ'!$O$6:$O$405,"INVALID",'Istoric_Nativ'!$D$6:$D$405,"*")+COUNTIFS('Istoric_Nativ'!$B$6:$B$405,E570,'Istoric_Nativ'!$C$6:$C$405,F570,'Istoric_Nativ'!$F$6:$F$405,G570,'Istoric_Nativ'!$D$6:$D$405,"&lt;"&amp;J570,'Istoric_Nativ'!$O$6:$O$405,"SOURCE CONFLICT"))</x:f>
        <x:v>0</x:v>
      </x:c>
      <x:c r="T570" s="2" t="str">
        <x:f>IF(B570="","",IF(R570&lt;&gt;"CLOSED",R570,IF(S570&gt;0,"NATIVE INPUT ISSUE",IF(M570=0,"NO HISTORY",IF(M570&lt;P570,"SMALL SAMPLE","DERIVED")))))</x:f>
      </x:c>
      <x:c r="U570" s="2" t="str">
        <x:f>IF(B570="","","NativeTable; "&amp;E570&amp;"; "&amp;F570&amp;"; "&amp;G570&amp;"; "&amp;H570&amp;"; before "&amp;TEXT(J570,"yyyy-mm-dd")&amp;IF(I570="RECENT","; from "&amp;TEXT(L570,"yyyy-mm-dd"),""))</x:f>
      </x:c>
    </x:row>
    <x:row r="571" ht="21" customHeight="1">
      <x:c r="A571" s="2" t="n">
        <x:v>48</x:v>
      </x:c>
      <x:c r="B571" s="2" t="str">
        <x:f>IF('Input_Meci'!A53="","",'Input_Meci'!A53)</x:f>
      </x:c>
      <x:c r="C571" s="2" t="str">
        <x:v>H</x:v>
      </x:c>
      <x:c r="D571" s="2" t="str">
        <x:v>CURRENT</x:v>
      </x:c>
      <x:c r="E571" s="2" t="str">
        <x:f>IF(B571="","",'Input_Meci'!B53)</x:f>
      </x:c>
      <x:c r="F571" s="2" t="str">
        <x:f>IF(B571="","",IF('Input_Meci'!C53="","",'Input_Meci'!C53))</x:f>
      </x:c>
      <x:c r="G571" s="2" t="str">
        <x:f>IF(B571="","",'Input_Meci'!D53)</x:f>
      </x:c>
      <x:c r="H571" s="2" t="str">
        <x:v>HOME</x:v>
      </x:c>
      <x:c r="I571" s="2" t="str">
        <x:v>HA</x:v>
      </x:c>
      <x:c r="J571" s="9" t="n">
        <x:f>IF(AND(B571&lt;&gt;"",ISNUMBER('Input_Meci'!G53)),INT('Input_Meci'!G53),0)</x:f>
        <x:v>0</x:v>
      </x:c>
      <x:c r="K571" s="2" t="n">
        <x:f>IF(OR(B571="",F571=""),0,IF(H571="HOME",COUNTIFS('Istoric_Nativ'!$B$6:$B$405,E571,'Istoric_Nativ'!$C$6:$C$405,F571,'Istoric_Nativ'!$E$6:$E$405,G571,'Istoric_Nativ'!$D$6:$D$405,"&lt;"&amp;J571,'Istoric_Nativ'!$P$6:$P$405,1),IF(H571="AWAY",COUNTIFS('Istoric_Nativ'!$B$6:$B$405,E571,'Istoric_Nativ'!$C$6:$C$405,F571,'Istoric_Nativ'!$F$6:$F$405,G571,'Istoric_Nativ'!$D$6:$D$405,"&lt;"&amp;J571,'Istoric_Nativ'!$P$6:$P$405,1),COUNTIFS('Istoric_Nativ'!$B$6:$B$405,E571,'Istoric_Nativ'!$C$6:$C$405,F571,'Istoric_Nativ'!$E$6:$E$405,G571,'Istoric_Nativ'!$D$6:$D$405,"&lt;"&amp;J571,'Istoric_Nativ'!$P$6:$P$405,1)+COUNTIFS('Istoric_Nativ'!$B$6:$B$405,E571,'Istoric_Nativ'!$C$6:$C$405,F571,'Istoric_Nativ'!$F$6:$F$405,G571,'Istoric_Nativ'!$D$6:$D$405,"&lt;"&amp;J571,'Istoric_Nativ'!$P$6:$P$405,1))))</x:f>
        <x:v>0</x:v>
      </x:c>
      <x:c r="L571" s="17" t="n">
        <x:f>IF(AND(B571&lt;&gt;"",I571="RECENT",K571&gt;0),LARGE(_xlfn._xlws.FILTER('Istoric_Nativ'!$D$6:$D$405,('Istoric_Nativ'!$B$6:$B$405=E571)*('Istoric_Nativ'!$C$6:$C$405=F571)*('Istoric_Nativ'!$P$6:$P$405=1)*('Istoric_Nativ'!$D$6:$D$405&lt;J571)*((('Istoric_Nativ'!$E$6:$E$405=G571)+('Istoric_Nativ'!$F$6:$F$405=G571))&gt;0)),MIN('Config_v6'!$B$54,K571)),0)</x:f>
        <x:v>0</x:v>
      </x:c>
      <x:c r="M571" s="2" t="n">
        <x:f>IF(OR(B571="",F571=""),0,IF(H571="HOME",COUNTIFS('Istoric_Nativ'!$B$6:$B$405,E571,'Istoric_Nativ'!$C$6:$C$405,F571,'Istoric_Nativ'!$E$6:$E$405,G571,'Istoric_Nativ'!$D$6:$D$405,"&lt;"&amp;J571,'Istoric_Nativ'!$P$6:$P$405,1,'Istoric_Nativ'!$D$6:$D$405,"&gt;="&amp;L571),IF(H571="AWAY",COUNTIFS('Istoric_Nativ'!$B$6:$B$405,E571,'Istoric_Nativ'!$C$6:$C$405,F571,'Istoric_Nativ'!$F$6:$F$405,G571,'Istoric_Nativ'!$D$6:$D$405,"&lt;"&amp;J571,'Istoric_Nativ'!$P$6:$P$405,1,'Istoric_Nativ'!$D$6:$D$405,"&gt;="&amp;L571),COUNTIFS('Istoric_Nativ'!$B$6:$B$405,E571,'Istoric_Nativ'!$C$6:$C$405,F571,'Istoric_Nativ'!$E$6:$E$405,G571,'Istoric_Nativ'!$D$6:$D$405,"&lt;"&amp;J571,'Istoric_Nativ'!$P$6:$P$405,1,'Istoric_Nativ'!$D$6:$D$405,"&gt;="&amp;L571)+COUNTIFS('Istoric_Nativ'!$B$6:$B$405,E571,'Istoric_Nativ'!$C$6:$C$405,F571,'Istoric_Nativ'!$F$6:$F$405,G571,'Istoric_Nativ'!$D$6:$D$405,"&lt;"&amp;J571,'Istoric_Nativ'!$P$6:$P$405,1,'Istoric_Nativ'!$D$6:$D$405,"&gt;="&amp;L571))))</x:f>
        <x:v>0</x:v>
      </x:c>
      <x:c r="N571" s="11" t="str">
        <x:f>IF(M571=0,"",IF(H571="HOME",SUMIFS('Istoric_Nativ'!$G$6:$G$405,'Istoric_Nativ'!$B$6:$B$405,E571,'Istoric_Nativ'!$C$6:$C$405,F571,'Istoric_Nativ'!$E$6:$E$405,G571,'Istoric_Nativ'!$D$6:$D$405,"&lt;"&amp;J571,'Istoric_Nativ'!$P$6:$P$405,1,'Istoric_Nativ'!$D$6:$D$405,"&gt;="&amp;L571),IF(H571="AWAY",SUMIFS('Istoric_Nativ'!$H$6:$H$405,'Istoric_Nativ'!$B$6:$B$405,E571,'Istoric_Nativ'!$C$6:$C$405,F571,'Istoric_Nativ'!$F$6:$F$405,G571,'Istoric_Nativ'!$D$6:$D$405,"&lt;"&amp;J571,'Istoric_Nativ'!$P$6:$P$405,1,'Istoric_Nativ'!$D$6:$D$405,"&gt;="&amp;L571),SUMIFS('Istoric_Nativ'!$G$6:$G$405,'Istoric_Nativ'!$B$6:$B$405,E571,'Istoric_Nativ'!$C$6:$C$405,F571,'Istoric_Nativ'!$E$6:$E$405,G571,'Istoric_Nativ'!$D$6:$D$405,"&lt;"&amp;J571,'Istoric_Nativ'!$P$6:$P$405,1,'Istoric_Nativ'!$D$6:$D$405,"&gt;="&amp;L571)+SUMIFS('Istoric_Nativ'!$H$6:$H$405,'Istoric_Nativ'!$B$6:$B$405,E571,'Istoric_Nativ'!$C$6:$C$405,F571,'Istoric_Nativ'!$F$6:$F$405,G571,'Istoric_Nativ'!$D$6:$D$405,"&lt;"&amp;J571,'Istoric_Nativ'!$P$6:$P$405,1,'Istoric_Nativ'!$D$6:$D$405,"&gt;="&amp;L571)))/M571)</x:f>
      </x:c>
      <x:c r="O571" s="11" t="str">
        <x:f>IF(M571=0,"",IF(H571="HOME",SUMIFS('Istoric_Nativ'!$H$6:$H$405,'Istoric_Nativ'!$B$6:$B$405,E571,'Istoric_Nativ'!$C$6:$C$405,F571,'Istoric_Nativ'!$E$6:$E$405,G571,'Istoric_Nativ'!$D$6:$D$405,"&lt;"&amp;J571,'Istoric_Nativ'!$P$6:$P$405,1,'Istoric_Nativ'!$D$6:$D$405,"&gt;="&amp;L571),IF(H571="AWAY",SUMIFS('Istoric_Nativ'!$G$6:$G$405,'Istoric_Nativ'!$B$6:$B$405,E571,'Istoric_Nativ'!$C$6:$C$405,F571,'Istoric_Nativ'!$F$6:$F$405,G571,'Istoric_Nativ'!$D$6:$D$405,"&lt;"&amp;J571,'Istoric_Nativ'!$P$6:$P$405,1,'Istoric_Nativ'!$D$6:$D$405,"&gt;="&amp;L571),SUMIFS('Istoric_Nativ'!$H$6:$H$405,'Istoric_Nativ'!$B$6:$B$405,E571,'Istoric_Nativ'!$C$6:$C$405,F571,'Istoric_Nativ'!$E$6:$E$405,G571,'Istoric_Nativ'!$D$6:$D$405,"&lt;"&amp;J571,'Istoric_Nativ'!$P$6:$P$405,1,'Istoric_Nativ'!$D$6:$D$405,"&gt;="&amp;L571)+SUMIFS('Istoric_Nativ'!$G$6:$G$405,'Istoric_Nativ'!$B$6:$B$405,E571,'Istoric_Nativ'!$C$6:$C$405,F571,'Istoric_Nativ'!$F$6:$F$405,G571,'Istoric_Nativ'!$D$6:$D$405,"&lt;"&amp;J571,'Istoric_Nativ'!$P$6:$P$405,1,'Istoric_Nativ'!$D$6:$D$405,"&gt;="&amp;L571)))/M571)</x:f>
      </x:c>
      <x:c r="P571" s="2" t="n">
        <x:f>'Config_v6'!$B$8</x:f>
        <x:v>5</x:v>
      </x:c>
      <x:c r="Q571" s="2" t="n">
        <x:f>IF(OR(B571="",F571=""),0,IFERROR(MATCH(E571&amp;"|"&amp;F571,SourceTable[Source_Key],0),0))</x:f>
        <x:v>0</x:v>
      </x:c>
      <x:c r="R571" s="2" t="str">
        <x:f>IF(B571="","",IF(F571="","UNUSED",IF(Q571=0,"NOT CHECKED",IF(COUNTIF(SourceTable[Source_Key],E571&amp;"|"&amp;F571)&lt;&gt;1,"SOURCE CONFLICT",IF(NOT(OR(INDEX(SourceTable[Status],MAX(1,Q571))="IMPORTED",INDEX(SourceTable[Status],MAX(1,Q571))="PARTIAL",INDEX(SourceTable[Status],MAX(1,Q571))="SOURCE CONFLICT")),"ACCESS BLOCKED",IF(OR(INDEX(SourceTable[Coverage],Q571)&lt;&gt;"FULL SEASON EXPORT",INDEX(SourceTable[URL],Q571)="",INDEX(SourceTable[SHA256],Q571)=""),"EVIDENCE INCOMPLETE",IF(AND('Input_Meci'!H53="LIVE",INDEX(SourceTable[Retrieved_UTC],Q571)&gt;'Input_Meci'!G53),"POST CUTOFF","CLOSED")))))))</x:f>
      </x:c>
      <x:c r="S571" s="2" t="n">
        <x:f>IF(OR(B571="",F571=""),0,COUNTIFS('Istoric_Nativ'!$B$6:$B$405,E571,'Istoric_Nativ'!$C$6:$C$405,F571,'Istoric_Nativ'!$E$6:$E$405,G571,'Istoric_Nativ'!$D$6:$D$405,"&lt;"&amp;J571,'Istoric_Nativ'!$O$6:$O$405,"INVALID")+COUNTIFS('Istoric_Nativ'!$B$6:$B$405,E571,'Istoric_Nativ'!$C$6:$C$405,F571,'Istoric_Nativ'!$E$6:$E$405,G571,'Istoric_Nativ'!$O$6:$O$405,"INVALID",'Istoric_Nativ'!$D$6:$D$405,"*")+COUNTIFS('Istoric_Nativ'!$B$6:$B$405,E571,'Istoric_Nativ'!$C$6:$C$405,F571,'Istoric_Nativ'!$E$6:$E$405,G571,'Istoric_Nativ'!$D$6:$D$405,"&lt;"&amp;J571,'Istoric_Nativ'!$O$6:$O$405,"SOURCE CONFLICT")+COUNTIFS('Istoric_Nativ'!$B$6:$B$405,E571,'Istoric_Nativ'!$C$6:$C$405,F571,'Istoric_Nativ'!$F$6:$F$405,G571,'Istoric_Nativ'!$D$6:$D$405,"&lt;"&amp;J571,'Istoric_Nativ'!$O$6:$O$405,"INVALID")+COUNTIFS('Istoric_Nativ'!$B$6:$B$405,E571,'Istoric_Nativ'!$C$6:$C$405,F571,'Istoric_Nativ'!$F$6:$F$405,G571,'Istoric_Nativ'!$O$6:$O$405,"INVALID",'Istoric_Nativ'!$D$6:$D$405,"*")+COUNTIFS('Istoric_Nativ'!$B$6:$B$405,E571,'Istoric_Nativ'!$C$6:$C$405,F571,'Istoric_Nativ'!$F$6:$F$405,G571,'Istoric_Nativ'!$D$6:$D$405,"&lt;"&amp;J571,'Istoric_Nativ'!$O$6:$O$405,"SOURCE CONFLICT"))</x:f>
        <x:v>0</x:v>
      </x:c>
      <x:c r="T571" s="2" t="str">
        <x:f>IF(B571="","",IF(R571&lt;&gt;"CLOSED",R571,IF(S571&gt;0,"NATIVE INPUT ISSUE",IF(M571=0,"NO HISTORY",IF(M571&lt;P571,"SMALL SAMPLE","DERIVED")))))</x:f>
      </x:c>
      <x:c r="U571" s="2" t="str">
        <x:f>IF(B571="","","NativeTable; "&amp;E571&amp;"; "&amp;F571&amp;"; "&amp;G571&amp;"; "&amp;H571&amp;"; before "&amp;TEXT(J571,"yyyy-mm-dd")&amp;IF(I571="RECENT","; from "&amp;TEXT(L571,"yyyy-mm-dd"),""))</x:f>
      </x:c>
    </x:row>
    <x:row r="572" ht="21" customHeight="1">
      <x:c r="A572" s="2" t="n">
        <x:v>48</x:v>
      </x:c>
      <x:c r="B572" s="2" t="str">
        <x:f>IF('Input_Meci'!A53="","",'Input_Meci'!A53)</x:f>
      </x:c>
      <x:c r="C572" s="2" t="str">
        <x:v>H</x:v>
      </x:c>
      <x:c r="D572" s="2" t="str">
        <x:v>CURRENT</x:v>
      </x:c>
      <x:c r="E572" s="2" t="str">
        <x:f>IF(B572="","",'Input_Meci'!B53)</x:f>
      </x:c>
      <x:c r="F572" s="2" t="str">
        <x:f>IF(B572="","",IF('Input_Meci'!C53="","",'Input_Meci'!C53))</x:f>
      </x:c>
      <x:c r="G572" s="2" t="str">
        <x:f>IF(B572="","",'Input_Meci'!D53)</x:f>
      </x:c>
      <x:c r="H572" s="2" t="str">
        <x:v>ANY</x:v>
      </x:c>
      <x:c r="I572" s="2" t="str">
        <x:v>RECENT</x:v>
      </x:c>
      <x:c r="J572" s="9" t="n">
        <x:f>IF(AND(B572&lt;&gt;"",ISNUMBER('Input_Meci'!G53)),INT('Input_Meci'!G53),0)</x:f>
        <x:v>0</x:v>
      </x:c>
      <x:c r="K572" s="2" t="n">
        <x:f>IF(OR(B572="",F572=""),0,IF(H572="HOME",COUNTIFS('Istoric_Nativ'!$B$6:$B$405,E572,'Istoric_Nativ'!$C$6:$C$405,F572,'Istoric_Nativ'!$E$6:$E$405,G572,'Istoric_Nativ'!$D$6:$D$405,"&lt;"&amp;J572,'Istoric_Nativ'!$P$6:$P$405,1),IF(H572="AWAY",COUNTIFS('Istoric_Nativ'!$B$6:$B$405,E572,'Istoric_Nativ'!$C$6:$C$405,F572,'Istoric_Nativ'!$F$6:$F$405,G572,'Istoric_Nativ'!$D$6:$D$405,"&lt;"&amp;J572,'Istoric_Nativ'!$P$6:$P$405,1),COUNTIFS('Istoric_Nativ'!$B$6:$B$405,E572,'Istoric_Nativ'!$C$6:$C$405,F572,'Istoric_Nativ'!$E$6:$E$405,G572,'Istoric_Nativ'!$D$6:$D$405,"&lt;"&amp;J572,'Istoric_Nativ'!$P$6:$P$405,1)+COUNTIFS('Istoric_Nativ'!$B$6:$B$405,E572,'Istoric_Nativ'!$C$6:$C$405,F572,'Istoric_Nativ'!$F$6:$F$405,G572,'Istoric_Nativ'!$D$6:$D$405,"&lt;"&amp;J572,'Istoric_Nativ'!$P$6:$P$405,1))))</x:f>
        <x:v>0</x:v>
      </x:c>
      <x:c r="L572" s="17" t="n">
        <x:f>IF(AND(B572&lt;&gt;"",I572="RECENT",K572&gt;0),LARGE(_xlfn._xlws.FILTER('Istoric_Nativ'!$D$6:$D$405,('Istoric_Nativ'!$B$6:$B$405=E572)*('Istoric_Nativ'!$C$6:$C$405=F572)*('Istoric_Nativ'!$P$6:$P$405=1)*('Istoric_Nativ'!$D$6:$D$405&lt;J572)*((('Istoric_Nativ'!$E$6:$E$405=G572)+('Istoric_Nativ'!$F$6:$F$405=G572))&gt;0)),MIN('Config_v6'!$B$54,K572)),0)</x:f>
        <x:v>0</x:v>
      </x:c>
      <x:c r="M572" s="2" t="n">
        <x:f>IF(OR(B572="",F572=""),0,IF(H572="HOME",COUNTIFS('Istoric_Nativ'!$B$6:$B$405,E572,'Istoric_Nativ'!$C$6:$C$405,F572,'Istoric_Nativ'!$E$6:$E$405,G572,'Istoric_Nativ'!$D$6:$D$405,"&lt;"&amp;J572,'Istoric_Nativ'!$P$6:$P$405,1,'Istoric_Nativ'!$D$6:$D$405,"&gt;="&amp;L572),IF(H572="AWAY",COUNTIFS('Istoric_Nativ'!$B$6:$B$405,E572,'Istoric_Nativ'!$C$6:$C$405,F572,'Istoric_Nativ'!$F$6:$F$405,G572,'Istoric_Nativ'!$D$6:$D$405,"&lt;"&amp;J572,'Istoric_Nativ'!$P$6:$P$405,1,'Istoric_Nativ'!$D$6:$D$405,"&gt;="&amp;L572),COUNTIFS('Istoric_Nativ'!$B$6:$B$405,E572,'Istoric_Nativ'!$C$6:$C$405,F572,'Istoric_Nativ'!$E$6:$E$405,G572,'Istoric_Nativ'!$D$6:$D$405,"&lt;"&amp;J572,'Istoric_Nativ'!$P$6:$P$405,1,'Istoric_Nativ'!$D$6:$D$405,"&gt;="&amp;L572)+COUNTIFS('Istoric_Nativ'!$B$6:$B$405,E572,'Istoric_Nativ'!$C$6:$C$405,F572,'Istoric_Nativ'!$F$6:$F$405,G572,'Istoric_Nativ'!$D$6:$D$405,"&lt;"&amp;J572,'Istoric_Nativ'!$P$6:$P$405,1,'Istoric_Nativ'!$D$6:$D$405,"&gt;="&amp;L572))))</x:f>
        <x:v>0</x:v>
      </x:c>
      <x:c r="N572" s="11" t="str">
        <x:f>IF(M572=0,"",IF(H572="HOME",SUMIFS('Istoric_Nativ'!$G$6:$G$405,'Istoric_Nativ'!$B$6:$B$405,E572,'Istoric_Nativ'!$C$6:$C$405,F572,'Istoric_Nativ'!$E$6:$E$405,G572,'Istoric_Nativ'!$D$6:$D$405,"&lt;"&amp;J572,'Istoric_Nativ'!$P$6:$P$405,1,'Istoric_Nativ'!$D$6:$D$405,"&gt;="&amp;L572),IF(H572="AWAY",SUMIFS('Istoric_Nativ'!$H$6:$H$405,'Istoric_Nativ'!$B$6:$B$405,E572,'Istoric_Nativ'!$C$6:$C$405,F572,'Istoric_Nativ'!$F$6:$F$405,G572,'Istoric_Nativ'!$D$6:$D$405,"&lt;"&amp;J572,'Istoric_Nativ'!$P$6:$P$405,1,'Istoric_Nativ'!$D$6:$D$405,"&gt;="&amp;L572),SUMIFS('Istoric_Nativ'!$G$6:$G$405,'Istoric_Nativ'!$B$6:$B$405,E572,'Istoric_Nativ'!$C$6:$C$405,F572,'Istoric_Nativ'!$E$6:$E$405,G572,'Istoric_Nativ'!$D$6:$D$405,"&lt;"&amp;J572,'Istoric_Nativ'!$P$6:$P$405,1,'Istoric_Nativ'!$D$6:$D$405,"&gt;="&amp;L572)+SUMIFS('Istoric_Nativ'!$H$6:$H$405,'Istoric_Nativ'!$B$6:$B$405,E572,'Istoric_Nativ'!$C$6:$C$405,F572,'Istoric_Nativ'!$F$6:$F$405,G572,'Istoric_Nativ'!$D$6:$D$405,"&lt;"&amp;J572,'Istoric_Nativ'!$P$6:$P$405,1,'Istoric_Nativ'!$D$6:$D$405,"&gt;="&amp;L572)))/M572)</x:f>
      </x:c>
      <x:c r="O572" s="11" t="str">
        <x:f>IF(M572=0,"",IF(H572="HOME",SUMIFS('Istoric_Nativ'!$H$6:$H$405,'Istoric_Nativ'!$B$6:$B$405,E572,'Istoric_Nativ'!$C$6:$C$405,F572,'Istoric_Nativ'!$E$6:$E$405,G572,'Istoric_Nativ'!$D$6:$D$405,"&lt;"&amp;J572,'Istoric_Nativ'!$P$6:$P$405,1,'Istoric_Nativ'!$D$6:$D$405,"&gt;="&amp;L572),IF(H572="AWAY",SUMIFS('Istoric_Nativ'!$G$6:$G$405,'Istoric_Nativ'!$B$6:$B$405,E572,'Istoric_Nativ'!$C$6:$C$405,F572,'Istoric_Nativ'!$F$6:$F$405,G572,'Istoric_Nativ'!$D$6:$D$405,"&lt;"&amp;J572,'Istoric_Nativ'!$P$6:$P$405,1,'Istoric_Nativ'!$D$6:$D$405,"&gt;="&amp;L572),SUMIFS('Istoric_Nativ'!$H$6:$H$405,'Istoric_Nativ'!$B$6:$B$405,E572,'Istoric_Nativ'!$C$6:$C$405,F572,'Istoric_Nativ'!$E$6:$E$405,G572,'Istoric_Nativ'!$D$6:$D$405,"&lt;"&amp;J572,'Istoric_Nativ'!$P$6:$P$405,1,'Istoric_Nativ'!$D$6:$D$405,"&gt;="&amp;L572)+SUMIFS('Istoric_Nativ'!$G$6:$G$405,'Istoric_Nativ'!$B$6:$B$405,E572,'Istoric_Nativ'!$C$6:$C$405,F572,'Istoric_Nativ'!$F$6:$F$405,G572,'Istoric_Nativ'!$D$6:$D$405,"&lt;"&amp;J572,'Istoric_Nativ'!$P$6:$P$405,1,'Istoric_Nativ'!$D$6:$D$405,"&gt;="&amp;L572)))/M572)</x:f>
      </x:c>
      <x:c r="P572" s="2" t="n">
        <x:f>'Config_v6'!$B$9</x:f>
        <x:v>3</x:v>
      </x:c>
      <x:c r="Q572" s="2" t="n">
        <x:f>IF(OR(B572="",F572=""),0,IFERROR(MATCH(E572&amp;"|"&amp;F572,SourceTable[Source_Key],0),0))</x:f>
        <x:v>0</x:v>
      </x:c>
      <x:c r="R572" s="2" t="str">
        <x:f>IF(B572="","",IF(F572="","UNUSED",IF(Q572=0,"NOT CHECKED",IF(COUNTIF(SourceTable[Source_Key],E572&amp;"|"&amp;F572)&lt;&gt;1,"SOURCE CONFLICT",IF(NOT(OR(INDEX(SourceTable[Status],MAX(1,Q572))="IMPORTED",INDEX(SourceTable[Status],MAX(1,Q572))="PARTIAL",INDEX(SourceTable[Status],MAX(1,Q572))="SOURCE CONFLICT")),"ACCESS BLOCKED",IF(OR(INDEX(SourceTable[Coverage],Q572)&lt;&gt;"FULL SEASON EXPORT",INDEX(SourceTable[URL],Q572)="",INDEX(SourceTable[SHA256],Q572)=""),"EVIDENCE INCOMPLETE",IF(AND('Input_Meci'!H53="LIVE",INDEX(SourceTable[Retrieved_UTC],Q572)&gt;'Input_Meci'!G53),"POST CUTOFF","CLOSED")))))))</x:f>
      </x:c>
      <x:c r="S572" s="2" t="n">
        <x:f>IF(OR(B572="",F572=""),0,COUNTIFS('Istoric_Nativ'!$B$6:$B$405,E572,'Istoric_Nativ'!$C$6:$C$405,F572,'Istoric_Nativ'!$E$6:$E$405,G572,'Istoric_Nativ'!$D$6:$D$405,"&lt;"&amp;J572,'Istoric_Nativ'!$O$6:$O$405,"INVALID")+COUNTIFS('Istoric_Nativ'!$B$6:$B$405,E572,'Istoric_Nativ'!$C$6:$C$405,F572,'Istoric_Nativ'!$E$6:$E$405,G572,'Istoric_Nativ'!$O$6:$O$405,"INVALID",'Istoric_Nativ'!$D$6:$D$405,"*")+COUNTIFS('Istoric_Nativ'!$B$6:$B$405,E572,'Istoric_Nativ'!$C$6:$C$405,F572,'Istoric_Nativ'!$E$6:$E$405,G572,'Istoric_Nativ'!$D$6:$D$405,"&lt;"&amp;J572,'Istoric_Nativ'!$O$6:$O$405,"SOURCE CONFLICT")+COUNTIFS('Istoric_Nativ'!$B$6:$B$405,E572,'Istoric_Nativ'!$C$6:$C$405,F572,'Istoric_Nativ'!$F$6:$F$405,G572,'Istoric_Nativ'!$D$6:$D$405,"&lt;"&amp;J572,'Istoric_Nativ'!$O$6:$O$405,"INVALID")+COUNTIFS('Istoric_Nativ'!$B$6:$B$405,E572,'Istoric_Nativ'!$C$6:$C$405,F572,'Istoric_Nativ'!$F$6:$F$405,G572,'Istoric_Nativ'!$O$6:$O$405,"INVALID",'Istoric_Nativ'!$D$6:$D$405,"*")+COUNTIFS('Istoric_Nativ'!$B$6:$B$405,E572,'Istoric_Nativ'!$C$6:$C$405,F572,'Istoric_Nativ'!$F$6:$F$405,G572,'Istoric_Nativ'!$D$6:$D$405,"&lt;"&amp;J572,'Istoric_Nativ'!$O$6:$O$405,"SOURCE CONFLICT"))</x:f>
        <x:v>0</x:v>
      </x:c>
      <x:c r="T572" s="2" t="str">
        <x:f>IF(B572="","",IF(R572&lt;&gt;"CLOSED",R572,IF(S572&gt;0,"NATIVE INPUT ISSUE",IF(M572=0,"NO HISTORY",IF(M572&lt;P572,"SMALL SAMPLE","DERIVED")))))</x:f>
      </x:c>
      <x:c r="U572" s="2" t="str">
        <x:f>IF(B572="","","NativeTable; "&amp;E572&amp;"; "&amp;F572&amp;"; "&amp;G572&amp;"; "&amp;H572&amp;"; before "&amp;TEXT(J572,"yyyy-mm-dd")&amp;IF(I572="RECENT","; from "&amp;TEXT(L572,"yyyy-mm-dd"),""))</x:f>
      </x:c>
    </x:row>
    <x:row r="573" ht="21" customHeight="1">
      <x:c r="A573" s="2" t="n">
        <x:v>48</x:v>
      </x:c>
      <x:c r="B573" s="2" t="str">
        <x:f>IF('Input_Meci'!A53="","",'Input_Meci'!A53)</x:f>
      </x:c>
      <x:c r="C573" s="2" t="str">
        <x:v>A</x:v>
      </x:c>
      <x:c r="D573" s="2" t="str">
        <x:v>CURRENT</x:v>
      </x:c>
      <x:c r="E573" s="2" t="str">
        <x:f>IF(B573="","",'Input_Meci'!B53)</x:f>
      </x:c>
      <x:c r="F573" s="2" t="str">
        <x:f>IF(B573="","",IF('Input_Meci'!C53="","",'Input_Meci'!C53))</x:f>
      </x:c>
      <x:c r="G573" s="2" t="str">
        <x:f>IF(B573="","",'Input_Meci'!E53)</x:f>
      </x:c>
      <x:c r="H573" s="2" t="str">
        <x:v>ANY</x:v>
      </x:c>
      <x:c r="I573" s="2" t="str">
        <x:v>SEASON</x:v>
      </x:c>
      <x:c r="J573" s="9" t="n">
        <x:f>IF(AND(B573&lt;&gt;"",ISNUMBER('Input_Meci'!G53)),INT('Input_Meci'!G53),0)</x:f>
        <x:v>0</x:v>
      </x:c>
      <x:c r="K573" s="2" t="n">
        <x:f>IF(OR(B573="",F573=""),0,IF(H573="HOME",COUNTIFS('Istoric_Nativ'!$B$6:$B$405,E573,'Istoric_Nativ'!$C$6:$C$405,F573,'Istoric_Nativ'!$E$6:$E$405,G573,'Istoric_Nativ'!$D$6:$D$405,"&lt;"&amp;J573,'Istoric_Nativ'!$P$6:$P$405,1),IF(H573="AWAY",COUNTIFS('Istoric_Nativ'!$B$6:$B$405,E573,'Istoric_Nativ'!$C$6:$C$405,F573,'Istoric_Nativ'!$F$6:$F$405,G573,'Istoric_Nativ'!$D$6:$D$405,"&lt;"&amp;J573,'Istoric_Nativ'!$P$6:$P$405,1),COUNTIFS('Istoric_Nativ'!$B$6:$B$405,E573,'Istoric_Nativ'!$C$6:$C$405,F573,'Istoric_Nativ'!$E$6:$E$405,G573,'Istoric_Nativ'!$D$6:$D$405,"&lt;"&amp;J573,'Istoric_Nativ'!$P$6:$P$405,1)+COUNTIFS('Istoric_Nativ'!$B$6:$B$405,E573,'Istoric_Nativ'!$C$6:$C$405,F573,'Istoric_Nativ'!$F$6:$F$405,G573,'Istoric_Nativ'!$D$6:$D$405,"&lt;"&amp;J573,'Istoric_Nativ'!$P$6:$P$405,1))))</x:f>
        <x:v>0</x:v>
      </x:c>
      <x:c r="L573" s="17" t="n">
        <x:f>IF(AND(B573&lt;&gt;"",I573="RECENT",K573&gt;0),LARGE(_xlfn._xlws.FILTER('Istoric_Nativ'!$D$6:$D$405,('Istoric_Nativ'!$B$6:$B$405=E573)*('Istoric_Nativ'!$C$6:$C$405=F573)*('Istoric_Nativ'!$P$6:$P$405=1)*('Istoric_Nativ'!$D$6:$D$405&lt;J573)*((('Istoric_Nativ'!$E$6:$E$405=G573)+('Istoric_Nativ'!$F$6:$F$405=G573))&gt;0)),MIN('Config_v6'!$B$54,K573)),0)</x:f>
        <x:v>0</x:v>
      </x:c>
      <x:c r="M573" s="2" t="n">
        <x:f>IF(OR(B573="",F573=""),0,IF(H573="HOME",COUNTIFS('Istoric_Nativ'!$B$6:$B$405,E573,'Istoric_Nativ'!$C$6:$C$405,F573,'Istoric_Nativ'!$E$6:$E$405,G573,'Istoric_Nativ'!$D$6:$D$405,"&lt;"&amp;J573,'Istoric_Nativ'!$P$6:$P$405,1,'Istoric_Nativ'!$D$6:$D$405,"&gt;="&amp;L573),IF(H573="AWAY",COUNTIFS('Istoric_Nativ'!$B$6:$B$405,E573,'Istoric_Nativ'!$C$6:$C$405,F573,'Istoric_Nativ'!$F$6:$F$405,G573,'Istoric_Nativ'!$D$6:$D$405,"&lt;"&amp;J573,'Istoric_Nativ'!$P$6:$P$405,1,'Istoric_Nativ'!$D$6:$D$405,"&gt;="&amp;L573),COUNTIFS('Istoric_Nativ'!$B$6:$B$405,E573,'Istoric_Nativ'!$C$6:$C$405,F573,'Istoric_Nativ'!$E$6:$E$405,G573,'Istoric_Nativ'!$D$6:$D$405,"&lt;"&amp;J573,'Istoric_Nativ'!$P$6:$P$405,1,'Istoric_Nativ'!$D$6:$D$405,"&gt;="&amp;L573)+COUNTIFS('Istoric_Nativ'!$B$6:$B$405,E573,'Istoric_Nativ'!$C$6:$C$405,F573,'Istoric_Nativ'!$F$6:$F$405,G573,'Istoric_Nativ'!$D$6:$D$405,"&lt;"&amp;J573,'Istoric_Nativ'!$P$6:$P$405,1,'Istoric_Nativ'!$D$6:$D$405,"&gt;="&amp;L573))))</x:f>
        <x:v>0</x:v>
      </x:c>
      <x:c r="N573" s="11" t="str">
        <x:f>IF(M573=0,"",IF(H573="HOME",SUMIFS('Istoric_Nativ'!$G$6:$G$405,'Istoric_Nativ'!$B$6:$B$405,E573,'Istoric_Nativ'!$C$6:$C$405,F573,'Istoric_Nativ'!$E$6:$E$405,G573,'Istoric_Nativ'!$D$6:$D$405,"&lt;"&amp;J573,'Istoric_Nativ'!$P$6:$P$405,1,'Istoric_Nativ'!$D$6:$D$405,"&gt;="&amp;L573),IF(H573="AWAY",SUMIFS('Istoric_Nativ'!$H$6:$H$405,'Istoric_Nativ'!$B$6:$B$405,E573,'Istoric_Nativ'!$C$6:$C$405,F573,'Istoric_Nativ'!$F$6:$F$405,G573,'Istoric_Nativ'!$D$6:$D$405,"&lt;"&amp;J573,'Istoric_Nativ'!$P$6:$P$405,1,'Istoric_Nativ'!$D$6:$D$405,"&gt;="&amp;L573),SUMIFS('Istoric_Nativ'!$G$6:$G$405,'Istoric_Nativ'!$B$6:$B$405,E573,'Istoric_Nativ'!$C$6:$C$405,F573,'Istoric_Nativ'!$E$6:$E$405,G573,'Istoric_Nativ'!$D$6:$D$405,"&lt;"&amp;J573,'Istoric_Nativ'!$P$6:$P$405,1,'Istoric_Nativ'!$D$6:$D$405,"&gt;="&amp;L573)+SUMIFS('Istoric_Nativ'!$H$6:$H$405,'Istoric_Nativ'!$B$6:$B$405,E573,'Istoric_Nativ'!$C$6:$C$405,F573,'Istoric_Nativ'!$F$6:$F$405,G573,'Istoric_Nativ'!$D$6:$D$405,"&lt;"&amp;J573,'Istoric_Nativ'!$P$6:$P$405,1,'Istoric_Nativ'!$D$6:$D$405,"&gt;="&amp;L573)))/M573)</x:f>
      </x:c>
      <x:c r="O573" s="11" t="str">
        <x:f>IF(M573=0,"",IF(H573="HOME",SUMIFS('Istoric_Nativ'!$H$6:$H$405,'Istoric_Nativ'!$B$6:$B$405,E573,'Istoric_Nativ'!$C$6:$C$405,F573,'Istoric_Nativ'!$E$6:$E$405,G573,'Istoric_Nativ'!$D$6:$D$405,"&lt;"&amp;J573,'Istoric_Nativ'!$P$6:$P$405,1,'Istoric_Nativ'!$D$6:$D$405,"&gt;="&amp;L573),IF(H573="AWAY",SUMIFS('Istoric_Nativ'!$G$6:$G$405,'Istoric_Nativ'!$B$6:$B$405,E573,'Istoric_Nativ'!$C$6:$C$405,F573,'Istoric_Nativ'!$F$6:$F$405,G573,'Istoric_Nativ'!$D$6:$D$405,"&lt;"&amp;J573,'Istoric_Nativ'!$P$6:$P$405,1,'Istoric_Nativ'!$D$6:$D$405,"&gt;="&amp;L573),SUMIFS('Istoric_Nativ'!$H$6:$H$405,'Istoric_Nativ'!$B$6:$B$405,E573,'Istoric_Nativ'!$C$6:$C$405,F573,'Istoric_Nativ'!$E$6:$E$405,G573,'Istoric_Nativ'!$D$6:$D$405,"&lt;"&amp;J573,'Istoric_Nativ'!$P$6:$P$405,1,'Istoric_Nativ'!$D$6:$D$405,"&gt;="&amp;L573)+SUMIFS('Istoric_Nativ'!$G$6:$G$405,'Istoric_Nativ'!$B$6:$B$405,E573,'Istoric_Nativ'!$C$6:$C$405,F573,'Istoric_Nativ'!$F$6:$F$405,G573,'Istoric_Nativ'!$D$6:$D$405,"&lt;"&amp;J573,'Istoric_Nativ'!$P$6:$P$405,1,'Istoric_Nativ'!$D$6:$D$405,"&gt;="&amp;L573)))/M573)</x:f>
      </x:c>
      <x:c r="P573" s="2" t="n">
        <x:f>'Config_v6'!$B$7</x:f>
        <x:v>10</x:v>
      </x:c>
      <x:c r="Q573" s="2" t="n">
        <x:f>IF(OR(B573="",F573=""),0,IFERROR(MATCH(E573&amp;"|"&amp;F573,SourceTable[Source_Key],0),0))</x:f>
        <x:v>0</x:v>
      </x:c>
      <x:c r="R573" s="2" t="str">
        <x:f>IF(B573="","",IF(F573="","UNUSED",IF(Q573=0,"NOT CHECKED",IF(COUNTIF(SourceTable[Source_Key],E573&amp;"|"&amp;F573)&lt;&gt;1,"SOURCE CONFLICT",IF(NOT(OR(INDEX(SourceTable[Status],MAX(1,Q573))="IMPORTED",INDEX(SourceTable[Status],MAX(1,Q573))="PARTIAL",INDEX(SourceTable[Status],MAX(1,Q573))="SOURCE CONFLICT")),"ACCESS BLOCKED",IF(OR(INDEX(SourceTable[Coverage],Q573)&lt;&gt;"FULL SEASON EXPORT",INDEX(SourceTable[URL],Q573)="",INDEX(SourceTable[SHA256],Q573)=""),"EVIDENCE INCOMPLETE",IF(AND('Input_Meci'!H53="LIVE",INDEX(SourceTable[Retrieved_UTC],Q573)&gt;'Input_Meci'!G53),"POST CUTOFF","CLOSED")))))))</x:f>
      </x:c>
      <x:c r="S573" s="2" t="n">
        <x:f>IF(OR(B573="",F573=""),0,COUNTIFS('Istoric_Nativ'!$B$6:$B$405,E573,'Istoric_Nativ'!$C$6:$C$405,F573,'Istoric_Nativ'!$E$6:$E$405,G573,'Istoric_Nativ'!$D$6:$D$405,"&lt;"&amp;J573,'Istoric_Nativ'!$O$6:$O$405,"INVALID")+COUNTIFS('Istoric_Nativ'!$B$6:$B$405,E573,'Istoric_Nativ'!$C$6:$C$405,F573,'Istoric_Nativ'!$E$6:$E$405,G573,'Istoric_Nativ'!$O$6:$O$405,"INVALID",'Istoric_Nativ'!$D$6:$D$405,"*")+COUNTIFS('Istoric_Nativ'!$B$6:$B$405,E573,'Istoric_Nativ'!$C$6:$C$405,F573,'Istoric_Nativ'!$E$6:$E$405,G573,'Istoric_Nativ'!$D$6:$D$405,"&lt;"&amp;J573,'Istoric_Nativ'!$O$6:$O$405,"SOURCE CONFLICT")+COUNTIFS('Istoric_Nativ'!$B$6:$B$405,E573,'Istoric_Nativ'!$C$6:$C$405,F573,'Istoric_Nativ'!$F$6:$F$405,G573,'Istoric_Nativ'!$D$6:$D$405,"&lt;"&amp;J573,'Istoric_Nativ'!$O$6:$O$405,"INVALID")+COUNTIFS('Istoric_Nativ'!$B$6:$B$405,E573,'Istoric_Nativ'!$C$6:$C$405,F573,'Istoric_Nativ'!$F$6:$F$405,G573,'Istoric_Nativ'!$O$6:$O$405,"INVALID",'Istoric_Nativ'!$D$6:$D$405,"*")+COUNTIFS('Istoric_Nativ'!$B$6:$B$405,E573,'Istoric_Nativ'!$C$6:$C$405,F573,'Istoric_Nativ'!$F$6:$F$405,G573,'Istoric_Nativ'!$D$6:$D$405,"&lt;"&amp;J573,'Istoric_Nativ'!$O$6:$O$405,"SOURCE CONFLICT"))</x:f>
        <x:v>0</x:v>
      </x:c>
      <x:c r="T573" s="2" t="str">
        <x:f>IF(B573="","",IF(R573&lt;&gt;"CLOSED",R573,IF(S573&gt;0,"NATIVE INPUT ISSUE",IF(M573=0,"NO HISTORY",IF(M573&lt;P573,"SMALL SAMPLE","DERIVED")))))</x:f>
      </x:c>
      <x:c r="U573" s="2" t="str">
        <x:f>IF(B573="","","NativeTable; "&amp;E573&amp;"; "&amp;F573&amp;"; "&amp;G573&amp;"; "&amp;H573&amp;"; before "&amp;TEXT(J573,"yyyy-mm-dd")&amp;IF(I573="RECENT","; from "&amp;TEXT(L573,"yyyy-mm-dd"),""))</x:f>
      </x:c>
    </x:row>
    <x:row r="574" ht="21" customHeight="1">
      <x:c r="A574" s="2" t="n">
        <x:v>48</x:v>
      </x:c>
      <x:c r="B574" s="2" t="str">
        <x:f>IF('Input_Meci'!A53="","",'Input_Meci'!A53)</x:f>
      </x:c>
      <x:c r="C574" s="2" t="str">
        <x:v>A</x:v>
      </x:c>
      <x:c r="D574" s="2" t="str">
        <x:v>CURRENT</x:v>
      </x:c>
      <x:c r="E574" s="2" t="str">
        <x:f>IF(B574="","",'Input_Meci'!B53)</x:f>
      </x:c>
      <x:c r="F574" s="2" t="str">
        <x:f>IF(B574="","",IF('Input_Meci'!C53="","",'Input_Meci'!C53))</x:f>
      </x:c>
      <x:c r="G574" s="2" t="str">
        <x:f>IF(B574="","",'Input_Meci'!E53)</x:f>
      </x:c>
      <x:c r="H574" s="2" t="str">
        <x:v>AWAY</x:v>
      </x:c>
      <x:c r="I574" s="2" t="str">
        <x:v>HA</x:v>
      </x:c>
      <x:c r="J574" s="9" t="n">
        <x:f>IF(AND(B574&lt;&gt;"",ISNUMBER('Input_Meci'!G53)),INT('Input_Meci'!G53),0)</x:f>
        <x:v>0</x:v>
      </x:c>
      <x:c r="K574" s="2" t="n">
        <x:f>IF(OR(B574="",F574=""),0,IF(H574="HOME",COUNTIFS('Istoric_Nativ'!$B$6:$B$405,E574,'Istoric_Nativ'!$C$6:$C$405,F574,'Istoric_Nativ'!$E$6:$E$405,G574,'Istoric_Nativ'!$D$6:$D$405,"&lt;"&amp;J574,'Istoric_Nativ'!$P$6:$P$405,1),IF(H574="AWAY",COUNTIFS('Istoric_Nativ'!$B$6:$B$405,E574,'Istoric_Nativ'!$C$6:$C$405,F574,'Istoric_Nativ'!$F$6:$F$405,G574,'Istoric_Nativ'!$D$6:$D$405,"&lt;"&amp;J574,'Istoric_Nativ'!$P$6:$P$405,1),COUNTIFS('Istoric_Nativ'!$B$6:$B$405,E574,'Istoric_Nativ'!$C$6:$C$405,F574,'Istoric_Nativ'!$E$6:$E$405,G574,'Istoric_Nativ'!$D$6:$D$405,"&lt;"&amp;J574,'Istoric_Nativ'!$P$6:$P$405,1)+COUNTIFS('Istoric_Nativ'!$B$6:$B$405,E574,'Istoric_Nativ'!$C$6:$C$405,F574,'Istoric_Nativ'!$F$6:$F$405,G574,'Istoric_Nativ'!$D$6:$D$405,"&lt;"&amp;J574,'Istoric_Nativ'!$P$6:$P$405,1))))</x:f>
        <x:v>0</x:v>
      </x:c>
      <x:c r="L574" s="17" t="n">
        <x:f>IF(AND(B574&lt;&gt;"",I574="RECENT",K574&gt;0),LARGE(_xlfn._xlws.FILTER('Istoric_Nativ'!$D$6:$D$405,('Istoric_Nativ'!$B$6:$B$405=E574)*('Istoric_Nativ'!$C$6:$C$405=F574)*('Istoric_Nativ'!$P$6:$P$405=1)*('Istoric_Nativ'!$D$6:$D$405&lt;J574)*((('Istoric_Nativ'!$E$6:$E$405=G574)+('Istoric_Nativ'!$F$6:$F$405=G574))&gt;0)),MIN('Config_v6'!$B$54,K574)),0)</x:f>
        <x:v>0</x:v>
      </x:c>
      <x:c r="M574" s="2" t="n">
        <x:f>IF(OR(B574="",F574=""),0,IF(H574="HOME",COUNTIFS('Istoric_Nativ'!$B$6:$B$405,E574,'Istoric_Nativ'!$C$6:$C$405,F574,'Istoric_Nativ'!$E$6:$E$405,G574,'Istoric_Nativ'!$D$6:$D$405,"&lt;"&amp;J574,'Istoric_Nativ'!$P$6:$P$405,1,'Istoric_Nativ'!$D$6:$D$405,"&gt;="&amp;L574),IF(H574="AWAY",COUNTIFS('Istoric_Nativ'!$B$6:$B$405,E574,'Istoric_Nativ'!$C$6:$C$405,F574,'Istoric_Nativ'!$F$6:$F$405,G574,'Istoric_Nativ'!$D$6:$D$405,"&lt;"&amp;J574,'Istoric_Nativ'!$P$6:$P$405,1,'Istoric_Nativ'!$D$6:$D$405,"&gt;="&amp;L574),COUNTIFS('Istoric_Nativ'!$B$6:$B$405,E574,'Istoric_Nativ'!$C$6:$C$405,F574,'Istoric_Nativ'!$E$6:$E$405,G574,'Istoric_Nativ'!$D$6:$D$405,"&lt;"&amp;J574,'Istoric_Nativ'!$P$6:$P$405,1,'Istoric_Nativ'!$D$6:$D$405,"&gt;="&amp;L574)+COUNTIFS('Istoric_Nativ'!$B$6:$B$405,E574,'Istoric_Nativ'!$C$6:$C$405,F574,'Istoric_Nativ'!$F$6:$F$405,G574,'Istoric_Nativ'!$D$6:$D$405,"&lt;"&amp;J574,'Istoric_Nativ'!$P$6:$P$405,1,'Istoric_Nativ'!$D$6:$D$405,"&gt;="&amp;L574))))</x:f>
        <x:v>0</x:v>
      </x:c>
      <x:c r="N574" s="11" t="str">
        <x:f>IF(M574=0,"",IF(H574="HOME",SUMIFS('Istoric_Nativ'!$G$6:$G$405,'Istoric_Nativ'!$B$6:$B$405,E574,'Istoric_Nativ'!$C$6:$C$405,F574,'Istoric_Nativ'!$E$6:$E$405,G574,'Istoric_Nativ'!$D$6:$D$405,"&lt;"&amp;J574,'Istoric_Nativ'!$P$6:$P$405,1,'Istoric_Nativ'!$D$6:$D$405,"&gt;="&amp;L574),IF(H574="AWAY",SUMIFS('Istoric_Nativ'!$H$6:$H$405,'Istoric_Nativ'!$B$6:$B$405,E574,'Istoric_Nativ'!$C$6:$C$405,F574,'Istoric_Nativ'!$F$6:$F$405,G574,'Istoric_Nativ'!$D$6:$D$405,"&lt;"&amp;J574,'Istoric_Nativ'!$P$6:$P$405,1,'Istoric_Nativ'!$D$6:$D$405,"&gt;="&amp;L574),SUMIFS('Istoric_Nativ'!$G$6:$G$405,'Istoric_Nativ'!$B$6:$B$405,E574,'Istoric_Nativ'!$C$6:$C$405,F574,'Istoric_Nativ'!$E$6:$E$405,G574,'Istoric_Nativ'!$D$6:$D$405,"&lt;"&amp;J574,'Istoric_Nativ'!$P$6:$P$405,1,'Istoric_Nativ'!$D$6:$D$405,"&gt;="&amp;L574)+SUMIFS('Istoric_Nativ'!$H$6:$H$405,'Istoric_Nativ'!$B$6:$B$405,E574,'Istoric_Nativ'!$C$6:$C$405,F574,'Istoric_Nativ'!$F$6:$F$405,G574,'Istoric_Nativ'!$D$6:$D$405,"&lt;"&amp;J574,'Istoric_Nativ'!$P$6:$P$405,1,'Istoric_Nativ'!$D$6:$D$405,"&gt;="&amp;L574)))/M574)</x:f>
      </x:c>
      <x:c r="O574" s="11" t="str">
        <x:f>IF(M574=0,"",IF(H574="HOME",SUMIFS('Istoric_Nativ'!$H$6:$H$405,'Istoric_Nativ'!$B$6:$B$405,E574,'Istoric_Nativ'!$C$6:$C$405,F574,'Istoric_Nativ'!$E$6:$E$405,G574,'Istoric_Nativ'!$D$6:$D$405,"&lt;"&amp;J574,'Istoric_Nativ'!$P$6:$P$405,1,'Istoric_Nativ'!$D$6:$D$405,"&gt;="&amp;L574),IF(H574="AWAY",SUMIFS('Istoric_Nativ'!$G$6:$G$405,'Istoric_Nativ'!$B$6:$B$405,E574,'Istoric_Nativ'!$C$6:$C$405,F574,'Istoric_Nativ'!$F$6:$F$405,G574,'Istoric_Nativ'!$D$6:$D$405,"&lt;"&amp;J574,'Istoric_Nativ'!$P$6:$P$405,1,'Istoric_Nativ'!$D$6:$D$405,"&gt;="&amp;L574),SUMIFS('Istoric_Nativ'!$H$6:$H$405,'Istoric_Nativ'!$B$6:$B$405,E574,'Istoric_Nativ'!$C$6:$C$405,F574,'Istoric_Nativ'!$E$6:$E$405,G574,'Istoric_Nativ'!$D$6:$D$405,"&lt;"&amp;J574,'Istoric_Nativ'!$P$6:$P$405,1,'Istoric_Nativ'!$D$6:$D$405,"&gt;="&amp;L574)+SUMIFS('Istoric_Nativ'!$G$6:$G$405,'Istoric_Nativ'!$B$6:$B$405,E574,'Istoric_Nativ'!$C$6:$C$405,F574,'Istoric_Nativ'!$F$6:$F$405,G574,'Istoric_Nativ'!$D$6:$D$405,"&lt;"&amp;J574,'Istoric_Nativ'!$P$6:$P$405,1,'Istoric_Nativ'!$D$6:$D$405,"&gt;="&amp;L574)))/M574)</x:f>
      </x:c>
      <x:c r="P574" s="2" t="n">
        <x:f>'Config_v6'!$B$8</x:f>
        <x:v>5</x:v>
      </x:c>
      <x:c r="Q574" s="2" t="n">
        <x:f>IF(OR(B574="",F574=""),0,IFERROR(MATCH(E574&amp;"|"&amp;F574,SourceTable[Source_Key],0),0))</x:f>
        <x:v>0</x:v>
      </x:c>
      <x:c r="R574" s="2" t="str">
        <x:f>IF(B574="","",IF(F574="","UNUSED",IF(Q574=0,"NOT CHECKED",IF(COUNTIF(SourceTable[Source_Key],E574&amp;"|"&amp;F574)&lt;&gt;1,"SOURCE CONFLICT",IF(NOT(OR(INDEX(SourceTable[Status],MAX(1,Q574))="IMPORTED",INDEX(SourceTable[Status],MAX(1,Q574))="PARTIAL",INDEX(SourceTable[Status],MAX(1,Q574))="SOURCE CONFLICT")),"ACCESS BLOCKED",IF(OR(INDEX(SourceTable[Coverage],Q574)&lt;&gt;"FULL SEASON EXPORT",INDEX(SourceTable[URL],Q574)="",INDEX(SourceTable[SHA256],Q574)=""),"EVIDENCE INCOMPLETE",IF(AND('Input_Meci'!H53="LIVE",INDEX(SourceTable[Retrieved_UTC],Q574)&gt;'Input_Meci'!G53),"POST CUTOFF","CLOSED")))))))</x:f>
      </x:c>
      <x:c r="S574" s="2" t="n">
        <x:f>IF(OR(B574="",F574=""),0,COUNTIFS('Istoric_Nativ'!$B$6:$B$405,E574,'Istoric_Nativ'!$C$6:$C$405,F574,'Istoric_Nativ'!$E$6:$E$405,G574,'Istoric_Nativ'!$D$6:$D$405,"&lt;"&amp;J574,'Istoric_Nativ'!$O$6:$O$405,"INVALID")+COUNTIFS('Istoric_Nativ'!$B$6:$B$405,E574,'Istoric_Nativ'!$C$6:$C$405,F574,'Istoric_Nativ'!$E$6:$E$405,G574,'Istoric_Nativ'!$O$6:$O$405,"INVALID",'Istoric_Nativ'!$D$6:$D$405,"*")+COUNTIFS('Istoric_Nativ'!$B$6:$B$405,E574,'Istoric_Nativ'!$C$6:$C$405,F574,'Istoric_Nativ'!$E$6:$E$405,G574,'Istoric_Nativ'!$D$6:$D$405,"&lt;"&amp;J574,'Istoric_Nativ'!$O$6:$O$405,"SOURCE CONFLICT")+COUNTIFS('Istoric_Nativ'!$B$6:$B$405,E574,'Istoric_Nativ'!$C$6:$C$405,F574,'Istoric_Nativ'!$F$6:$F$405,G574,'Istoric_Nativ'!$D$6:$D$405,"&lt;"&amp;J574,'Istoric_Nativ'!$O$6:$O$405,"INVALID")+COUNTIFS('Istoric_Nativ'!$B$6:$B$405,E574,'Istoric_Nativ'!$C$6:$C$405,F574,'Istoric_Nativ'!$F$6:$F$405,G574,'Istoric_Nativ'!$O$6:$O$405,"INVALID",'Istoric_Nativ'!$D$6:$D$405,"*")+COUNTIFS('Istoric_Nativ'!$B$6:$B$405,E574,'Istoric_Nativ'!$C$6:$C$405,F574,'Istoric_Nativ'!$F$6:$F$405,G574,'Istoric_Nativ'!$D$6:$D$405,"&lt;"&amp;J574,'Istoric_Nativ'!$O$6:$O$405,"SOURCE CONFLICT"))</x:f>
        <x:v>0</x:v>
      </x:c>
      <x:c r="T574" s="2" t="str">
        <x:f>IF(B574="","",IF(R574&lt;&gt;"CLOSED",R574,IF(S574&gt;0,"NATIVE INPUT ISSUE",IF(M574=0,"NO HISTORY",IF(M574&lt;P574,"SMALL SAMPLE","DERIVED")))))</x:f>
      </x:c>
      <x:c r="U574" s="2" t="str">
        <x:f>IF(B574="","","NativeTable; "&amp;E574&amp;"; "&amp;F574&amp;"; "&amp;G574&amp;"; "&amp;H574&amp;"; before "&amp;TEXT(J574,"yyyy-mm-dd")&amp;IF(I574="RECENT","; from "&amp;TEXT(L574,"yyyy-mm-dd"),""))</x:f>
      </x:c>
    </x:row>
    <x:row r="575" ht="21" customHeight="1">
      <x:c r="A575" s="2" t="n">
        <x:v>48</x:v>
      </x:c>
      <x:c r="B575" s="2" t="str">
        <x:f>IF('Input_Meci'!A53="","",'Input_Meci'!A53)</x:f>
      </x:c>
      <x:c r="C575" s="2" t="str">
        <x:v>A</x:v>
      </x:c>
      <x:c r="D575" s="2" t="str">
        <x:v>CURRENT</x:v>
      </x:c>
      <x:c r="E575" s="2" t="str">
        <x:f>IF(B575="","",'Input_Meci'!B53)</x:f>
      </x:c>
      <x:c r="F575" s="2" t="str">
        <x:f>IF(B575="","",IF('Input_Meci'!C53="","",'Input_Meci'!C53))</x:f>
      </x:c>
      <x:c r="G575" s="2" t="str">
        <x:f>IF(B575="","",'Input_Meci'!E53)</x:f>
      </x:c>
      <x:c r="H575" s="2" t="str">
        <x:v>ANY</x:v>
      </x:c>
      <x:c r="I575" s="2" t="str">
        <x:v>RECENT</x:v>
      </x:c>
      <x:c r="J575" s="9" t="n">
        <x:f>IF(AND(B575&lt;&gt;"",ISNUMBER('Input_Meci'!G53)),INT('Input_Meci'!G53),0)</x:f>
        <x:v>0</x:v>
      </x:c>
      <x:c r="K575" s="2" t="n">
        <x:f>IF(OR(B575="",F575=""),0,IF(H575="HOME",COUNTIFS('Istoric_Nativ'!$B$6:$B$405,E575,'Istoric_Nativ'!$C$6:$C$405,F575,'Istoric_Nativ'!$E$6:$E$405,G575,'Istoric_Nativ'!$D$6:$D$405,"&lt;"&amp;J575,'Istoric_Nativ'!$P$6:$P$405,1),IF(H575="AWAY",COUNTIFS('Istoric_Nativ'!$B$6:$B$405,E575,'Istoric_Nativ'!$C$6:$C$405,F575,'Istoric_Nativ'!$F$6:$F$405,G575,'Istoric_Nativ'!$D$6:$D$405,"&lt;"&amp;J575,'Istoric_Nativ'!$P$6:$P$405,1),COUNTIFS('Istoric_Nativ'!$B$6:$B$405,E575,'Istoric_Nativ'!$C$6:$C$405,F575,'Istoric_Nativ'!$E$6:$E$405,G575,'Istoric_Nativ'!$D$6:$D$405,"&lt;"&amp;J575,'Istoric_Nativ'!$P$6:$P$405,1)+COUNTIFS('Istoric_Nativ'!$B$6:$B$405,E575,'Istoric_Nativ'!$C$6:$C$405,F575,'Istoric_Nativ'!$F$6:$F$405,G575,'Istoric_Nativ'!$D$6:$D$405,"&lt;"&amp;J575,'Istoric_Nativ'!$P$6:$P$405,1))))</x:f>
        <x:v>0</x:v>
      </x:c>
      <x:c r="L575" s="17" t="n">
        <x:f>IF(AND(B575&lt;&gt;"",I575="RECENT",K575&gt;0),LARGE(_xlfn._xlws.FILTER('Istoric_Nativ'!$D$6:$D$405,('Istoric_Nativ'!$B$6:$B$405=E575)*('Istoric_Nativ'!$C$6:$C$405=F575)*('Istoric_Nativ'!$P$6:$P$405=1)*('Istoric_Nativ'!$D$6:$D$405&lt;J575)*((('Istoric_Nativ'!$E$6:$E$405=G575)+('Istoric_Nativ'!$F$6:$F$405=G575))&gt;0)),MIN('Config_v6'!$B$54,K575)),0)</x:f>
        <x:v>0</x:v>
      </x:c>
      <x:c r="M575" s="2" t="n">
        <x:f>IF(OR(B575="",F575=""),0,IF(H575="HOME",COUNTIFS('Istoric_Nativ'!$B$6:$B$405,E575,'Istoric_Nativ'!$C$6:$C$405,F575,'Istoric_Nativ'!$E$6:$E$405,G575,'Istoric_Nativ'!$D$6:$D$405,"&lt;"&amp;J575,'Istoric_Nativ'!$P$6:$P$405,1,'Istoric_Nativ'!$D$6:$D$405,"&gt;="&amp;L575),IF(H575="AWAY",COUNTIFS('Istoric_Nativ'!$B$6:$B$405,E575,'Istoric_Nativ'!$C$6:$C$405,F575,'Istoric_Nativ'!$F$6:$F$405,G575,'Istoric_Nativ'!$D$6:$D$405,"&lt;"&amp;J575,'Istoric_Nativ'!$P$6:$P$405,1,'Istoric_Nativ'!$D$6:$D$405,"&gt;="&amp;L575),COUNTIFS('Istoric_Nativ'!$B$6:$B$405,E575,'Istoric_Nativ'!$C$6:$C$405,F575,'Istoric_Nativ'!$E$6:$E$405,G575,'Istoric_Nativ'!$D$6:$D$405,"&lt;"&amp;J575,'Istoric_Nativ'!$P$6:$P$405,1,'Istoric_Nativ'!$D$6:$D$405,"&gt;="&amp;L575)+COUNTIFS('Istoric_Nativ'!$B$6:$B$405,E575,'Istoric_Nativ'!$C$6:$C$405,F575,'Istoric_Nativ'!$F$6:$F$405,G575,'Istoric_Nativ'!$D$6:$D$405,"&lt;"&amp;J575,'Istoric_Nativ'!$P$6:$P$405,1,'Istoric_Nativ'!$D$6:$D$405,"&gt;="&amp;L575))))</x:f>
        <x:v>0</x:v>
      </x:c>
      <x:c r="N575" s="11" t="str">
        <x:f>IF(M575=0,"",IF(H575="HOME",SUMIFS('Istoric_Nativ'!$G$6:$G$405,'Istoric_Nativ'!$B$6:$B$405,E575,'Istoric_Nativ'!$C$6:$C$405,F575,'Istoric_Nativ'!$E$6:$E$405,G575,'Istoric_Nativ'!$D$6:$D$405,"&lt;"&amp;J575,'Istoric_Nativ'!$P$6:$P$405,1,'Istoric_Nativ'!$D$6:$D$405,"&gt;="&amp;L575),IF(H575="AWAY",SUMIFS('Istoric_Nativ'!$H$6:$H$405,'Istoric_Nativ'!$B$6:$B$405,E575,'Istoric_Nativ'!$C$6:$C$405,F575,'Istoric_Nativ'!$F$6:$F$405,G575,'Istoric_Nativ'!$D$6:$D$405,"&lt;"&amp;J575,'Istoric_Nativ'!$P$6:$P$405,1,'Istoric_Nativ'!$D$6:$D$405,"&gt;="&amp;L575),SUMIFS('Istoric_Nativ'!$G$6:$G$405,'Istoric_Nativ'!$B$6:$B$405,E575,'Istoric_Nativ'!$C$6:$C$405,F575,'Istoric_Nativ'!$E$6:$E$405,G575,'Istoric_Nativ'!$D$6:$D$405,"&lt;"&amp;J575,'Istoric_Nativ'!$P$6:$P$405,1,'Istoric_Nativ'!$D$6:$D$405,"&gt;="&amp;L575)+SUMIFS('Istoric_Nativ'!$H$6:$H$405,'Istoric_Nativ'!$B$6:$B$405,E575,'Istoric_Nativ'!$C$6:$C$405,F575,'Istoric_Nativ'!$F$6:$F$405,G575,'Istoric_Nativ'!$D$6:$D$405,"&lt;"&amp;J575,'Istoric_Nativ'!$P$6:$P$405,1,'Istoric_Nativ'!$D$6:$D$405,"&gt;="&amp;L575)))/M575)</x:f>
      </x:c>
      <x:c r="O575" s="11" t="str">
        <x:f>IF(M575=0,"",IF(H575="HOME",SUMIFS('Istoric_Nativ'!$H$6:$H$405,'Istoric_Nativ'!$B$6:$B$405,E575,'Istoric_Nativ'!$C$6:$C$405,F575,'Istoric_Nativ'!$E$6:$E$405,G575,'Istoric_Nativ'!$D$6:$D$405,"&lt;"&amp;J575,'Istoric_Nativ'!$P$6:$P$405,1,'Istoric_Nativ'!$D$6:$D$405,"&gt;="&amp;L575),IF(H575="AWAY",SUMIFS('Istoric_Nativ'!$G$6:$G$405,'Istoric_Nativ'!$B$6:$B$405,E575,'Istoric_Nativ'!$C$6:$C$405,F575,'Istoric_Nativ'!$F$6:$F$405,G575,'Istoric_Nativ'!$D$6:$D$405,"&lt;"&amp;J575,'Istoric_Nativ'!$P$6:$P$405,1,'Istoric_Nativ'!$D$6:$D$405,"&gt;="&amp;L575),SUMIFS('Istoric_Nativ'!$H$6:$H$405,'Istoric_Nativ'!$B$6:$B$405,E575,'Istoric_Nativ'!$C$6:$C$405,F575,'Istoric_Nativ'!$E$6:$E$405,G575,'Istoric_Nativ'!$D$6:$D$405,"&lt;"&amp;J575,'Istoric_Nativ'!$P$6:$P$405,1,'Istoric_Nativ'!$D$6:$D$405,"&gt;="&amp;L575)+SUMIFS('Istoric_Nativ'!$G$6:$G$405,'Istoric_Nativ'!$B$6:$B$405,E575,'Istoric_Nativ'!$C$6:$C$405,F575,'Istoric_Nativ'!$F$6:$F$405,G575,'Istoric_Nativ'!$D$6:$D$405,"&lt;"&amp;J575,'Istoric_Nativ'!$P$6:$P$405,1,'Istoric_Nativ'!$D$6:$D$405,"&gt;="&amp;L575)))/M575)</x:f>
      </x:c>
      <x:c r="P575" s="2" t="n">
        <x:f>'Config_v6'!$B$9</x:f>
        <x:v>3</x:v>
      </x:c>
      <x:c r="Q575" s="2" t="n">
        <x:f>IF(OR(B575="",F575=""),0,IFERROR(MATCH(E575&amp;"|"&amp;F575,SourceTable[Source_Key],0),0))</x:f>
        <x:v>0</x:v>
      </x:c>
      <x:c r="R575" s="2" t="str">
        <x:f>IF(B575="","",IF(F575="","UNUSED",IF(Q575=0,"NOT CHECKED",IF(COUNTIF(SourceTable[Source_Key],E575&amp;"|"&amp;F575)&lt;&gt;1,"SOURCE CONFLICT",IF(NOT(OR(INDEX(SourceTable[Status],MAX(1,Q575))="IMPORTED",INDEX(SourceTable[Status],MAX(1,Q575))="PARTIAL",INDEX(SourceTable[Status],MAX(1,Q575))="SOURCE CONFLICT")),"ACCESS BLOCKED",IF(OR(INDEX(SourceTable[Coverage],Q575)&lt;&gt;"FULL SEASON EXPORT",INDEX(SourceTable[URL],Q575)="",INDEX(SourceTable[SHA256],Q575)=""),"EVIDENCE INCOMPLETE",IF(AND('Input_Meci'!H53="LIVE",INDEX(SourceTable[Retrieved_UTC],Q575)&gt;'Input_Meci'!G53),"POST CUTOFF","CLOSED")))))))</x:f>
      </x:c>
      <x:c r="S575" s="2" t="n">
        <x:f>IF(OR(B575="",F575=""),0,COUNTIFS('Istoric_Nativ'!$B$6:$B$405,E575,'Istoric_Nativ'!$C$6:$C$405,F575,'Istoric_Nativ'!$E$6:$E$405,G575,'Istoric_Nativ'!$D$6:$D$405,"&lt;"&amp;J575,'Istoric_Nativ'!$O$6:$O$405,"INVALID")+COUNTIFS('Istoric_Nativ'!$B$6:$B$405,E575,'Istoric_Nativ'!$C$6:$C$405,F575,'Istoric_Nativ'!$E$6:$E$405,G575,'Istoric_Nativ'!$O$6:$O$405,"INVALID",'Istoric_Nativ'!$D$6:$D$405,"*")+COUNTIFS('Istoric_Nativ'!$B$6:$B$405,E575,'Istoric_Nativ'!$C$6:$C$405,F575,'Istoric_Nativ'!$E$6:$E$405,G575,'Istoric_Nativ'!$D$6:$D$405,"&lt;"&amp;J575,'Istoric_Nativ'!$O$6:$O$405,"SOURCE CONFLICT")+COUNTIFS('Istoric_Nativ'!$B$6:$B$405,E575,'Istoric_Nativ'!$C$6:$C$405,F575,'Istoric_Nativ'!$F$6:$F$405,G575,'Istoric_Nativ'!$D$6:$D$405,"&lt;"&amp;J575,'Istoric_Nativ'!$O$6:$O$405,"INVALID")+COUNTIFS('Istoric_Nativ'!$B$6:$B$405,E575,'Istoric_Nativ'!$C$6:$C$405,F575,'Istoric_Nativ'!$F$6:$F$405,G575,'Istoric_Nativ'!$O$6:$O$405,"INVALID",'Istoric_Nativ'!$D$6:$D$405,"*")+COUNTIFS('Istoric_Nativ'!$B$6:$B$405,E575,'Istoric_Nativ'!$C$6:$C$405,F575,'Istoric_Nativ'!$F$6:$F$405,G575,'Istoric_Nativ'!$D$6:$D$405,"&lt;"&amp;J575,'Istoric_Nativ'!$O$6:$O$405,"SOURCE CONFLICT"))</x:f>
        <x:v>0</x:v>
      </x:c>
      <x:c r="T575" s="2" t="str">
        <x:f>IF(B575="","",IF(R575&lt;&gt;"CLOSED",R575,IF(S575&gt;0,"NATIVE INPUT ISSUE",IF(M575=0,"NO HISTORY",IF(M575&lt;P575,"SMALL SAMPLE","DERIVED")))))</x:f>
      </x:c>
      <x:c r="U575" s="2" t="str">
        <x:f>IF(B575="","","NativeTable; "&amp;E575&amp;"; "&amp;F575&amp;"; "&amp;G575&amp;"; "&amp;H575&amp;"; before "&amp;TEXT(J575,"yyyy-mm-dd")&amp;IF(I575="RECENT","; from "&amp;TEXT(L575,"yyyy-mm-dd"),""))</x:f>
      </x:c>
    </x:row>
    <x:row r="576" ht="21" customHeight="1">
      <x:c r="A576" s="2" t="n">
        <x:v>48</x:v>
      </x:c>
      <x:c r="B576" s="2" t="str">
        <x:f>IF('Input_Meci'!A53="","",'Input_Meci'!A53)</x:f>
      </x:c>
      <x:c r="C576" s="2" t="str">
        <x:v>H</x:v>
      </x:c>
      <x:c r="D576" s="2" t="str">
        <x:v>PRIOR</x:v>
      </x:c>
      <x:c r="E576" s="2" t="str">
        <x:f>IF(B576="","",'Input_Meci'!B53)</x:f>
      </x:c>
      <x:c r="F576" s="2" t="str">
        <x:f>IF(B576="","",IF('Input_Meci'!K53="","",'Input_Meci'!K53))</x:f>
      </x:c>
      <x:c r="G576" s="2" t="str">
        <x:f>IF(B576="","",'Input_Meci'!D53)</x:f>
      </x:c>
      <x:c r="H576" s="2" t="str">
        <x:v>ANY</x:v>
      </x:c>
      <x:c r="I576" s="2" t="str">
        <x:v>SEASON</x:v>
      </x:c>
      <x:c r="J576" s="9" t="n">
        <x:f>IF(AND(B576&lt;&gt;"",ISNUMBER('Input_Meci'!G53)),INT('Input_Meci'!G53),0)</x:f>
        <x:v>0</x:v>
      </x:c>
      <x:c r="K576" s="2" t="n">
        <x:f>IF(OR(B576="",F576=""),0,IF(H576="HOME",COUNTIFS('Istoric_Nativ'!$B$6:$B$405,E576,'Istoric_Nativ'!$C$6:$C$405,F576,'Istoric_Nativ'!$E$6:$E$405,G576,'Istoric_Nativ'!$D$6:$D$405,"&lt;"&amp;J576,'Istoric_Nativ'!$P$6:$P$405,1),IF(H576="AWAY",COUNTIFS('Istoric_Nativ'!$B$6:$B$405,E576,'Istoric_Nativ'!$C$6:$C$405,F576,'Istoric_Nativ'!$F$6:$F$405,G576,'Istoric_Nativ'!$D$6:$D$405,"&lt;"&amp;J576,'Istoric_Nativ'!$P$6:$P$405,1),COUNTIFS('Istoric_Nativ'!$B$6:$B$405,E576,'Istoric_Nativ'!$C$6:$C$405,F576,'Istoric_Nativ'!$E$6:$E$405,G576,'Istoric_Nativ'!$D$6:$D$405,"&lt;"&amp;J576,'Istoric_Nativ'!$P$6:$P$405,1)+COUNTIFS('Istoric_Nativ'!$B$6:$B$405,E576,'Istoric_Nativ'!$C$6:$C$405,F576,'Istoric_Nativ'!$F$6:$F$405,G576,'Istoric_Nativ'!$D$6:$D$405,"&lt;"&amp;J576,'Istoric_Nativ'!$P$6:$P$405,1))))</x:f>
        <x:v>0</x:v>
      </x:c>
      <x:c r="L576" s="17" t="n">
        <x:f>IF(AND(B576&lt;&gt;"",I576="RECENT",K576&gt;0),LARGE(_xlfn._xlws.FILTER('Istoric_Nativ'!$D$6:$D$405,('Istoric_Nativ'!$B$6:$B$405=E576)*('Istoric_Nativ'!$C$6:$C$405=F576)*('Istoric_Nativ'!$P$6:$P$405=1)*('Istoric_Nativ'!$D$6:$D$405&lt;J576)*((('Istoric_Nativ'!$E$6:$E$405=G576)+('Istoric_Nativ'!$F$6:$F$405=G576))&gt;0)),MIN('Config_v6'!$B$54,K576)),0)</x:f>
        <x:v>0</x:v>
      </x:c>
      <x:c r="M576" s="2" t="n">
        <x:f>IF(OR(B576="",F576=""),0,IF(H576="HOME",COUNTIFS('Istoric_Nativ'!$B$6:$B$405,E576,'Istoric_Nativ'!$C$6:$C$405,F576,'Istoric_Nativ'!$E$6:$E$405,G576,'Istoric_Nativ'!$D$6:$D$405,"&lt;"&amp;J576,'Istoric_Nativ'!$P$6:$P$405,1,'Istoric_Nativ'!$D$6:$D$405,"&gt;="&amp;L576),IF(H576="AWAY",COUNTIFS('Istoric_Nativ'!$B$6:$B$405,E576,'Istoric_Nativ'!$C$6:$C$405,F576,'Istoric_Nativ'!$F$6:$F$405,G576,'Istoric_Nativ'!$D$6:$D$405,"&lt;"&amp;J576,'Istoric_Nativ'!$P$6:$P$405,1,'Istoric_Nativ'!$D$6:$D$405,"&gt;="&amp;L576),COUNTIFS('Istoric_Nativ'!$B$6:$B$405,E576,'Istoric_Nativ'!$C$6:$C$405,F576,'Istoric_Nativ'!$E$6:$E$405,G576,'Istoric_Nativ'!$D$6:$D$405,"&lt;"&amp;J576,'Istoric_Nativ'!$P$6:$P$405,1,'Istoric_Nativ'!$D$6:$D$405,"&gt;="&amp;L576)+COUNTIFS('Istoric_Nativ'!$B$6:$B$405,E576,'Istoric_Nativ'!$C$6:$C$405,F576,'Istoric_Nativ'!$F$6:$F$405,G576,'Istoric_Nativ'!$D$6:$D$405,"&lt;"&amp;J576,'Istoric_Nativ'!$P$6:$P$405,1,'Istoric_Nativ'!$D$6:$D$405,"&gt;="&amp;L576))))</x:f>
        <x:v>0</x:v>
      </x:c>
      <x:c r="N576" s="11" t="str">
        <x:f>IF(M576=0,"",IF(H576="HOME",SUMIFS('Istoric_Nativ'!$G$6:$G$405,'Istoric_Nativ'!$B$6:$B$405,E576,'Istoric_Nativ'!$C$6:$C$405,F576,'Istoric_Nativ'!$E$6:$E$405,G576,'Istoric_Nativ'!$D$6:$D$405,"&lt;"&amp;J576,'Istoric_Nativ'!$P$6:$P$405,1,'Istoric_Nativ'!$D$6:$D$405,"&gt;="&amp;L576),IF(H576="AWAY",SUMIFS('Istoric_Nativ'!$H$6:$H$405,'Istoric_Nativ'!$B$6:$B$405,E576,'Istoric_Nativ'!$C$6:$C$405,F576,'Istoric_Nativ'!$F$6:$F$405,G576,'Istoric_Nativ'!$D$6:$D$405,"&lt;"&amp;J576,'Istoric_Nativ'!$P$6:$P$405,1,'Istoric_Nativ'!$D$6:$D$405,"&gt;="&amp;L576),SUMIFS('Istoric_Nativ'!$G$6:$G$405,'Istoric_Nativ'!$B$6:$B$405,E576,'Istoric_Nativ'!$C$6:$C$405,F576,'Istoric_Nativ'!$E$6:$E$405,G576,'Istoric_Nativ'!$D$6:$D$405,"&lt;"&amp;J576,'Istoric_Nativ'!$P$6:$P$405,1,'Istoric_Nativ'!$D$6:$D$405,"&gt;="&amp;L576)+SUMIFS('Istoric_Nativ'!$H$6:$H$405,'Istoric_Nativ'!$B$6:$B$405,E576,'Istoric_Nativ'!$C$6:$C$405,F576,'Istoric_Nativ'!$F$6:$F$405,G576,'Istoric_Nativ'!$D$6:$D$405,"&lt;"&amp;J576,'Istoric_Nativ'!$P$6:$P$405,1,'Istoric_Nativ'!$D$6:$D$405,"&gt;="&amp;L576)))/M576)</x:f>
      </x:c>
      <x:c r="O576" s="11" t="str">
        <x:f>IF(M576=0,"",IF(H576="HOME",SUMIFS('Istoric_Nativ'!$H$6:$H$405,'Istoric_Nativ'!$B$6:$B$405,E576,'Istoric_Nativ'!$C$6:$C$405,F576,'Istoric_Nativ'!$E$6:$E$405,G576,'Istoric_Nativ'!$D$6:$D$405,"&lt;"&amp;J576,'Istoric_Nativ'!$P$6:$P$405,1,'Istoric_Nativ'!$D$6:$D$405,"&gt;="&amp;L576),IF(H576="AWAY",SUMIFS('Istoric_Nativ'!$G$6:$G$405,'Istoric_Nativ'!$B$6:$B$405,E576,'Istoric_Nativ'!$C$6:$C$405,F576,'Istoric_Nativ'!$F$6:$F$405,G576,'Istoric_Nativ'!$D$6:$D$405,"&lt;"&amp;J576,'Istoric_Nativ'!$P$6:$P$405,1,'Istoric_Nativ'!$D$6:$D$405,"&gt;="&amp;L576),SUMIFS('Istoric_Nativ'!$H$6:$H$405,'Istoric_Nativ'!$B$6:$B$405,E576,'Istoric_Nativ'!$C$6:$C$405,F576,'Istoric_Nativ'!$E$6:$E$405,G576,'Istoric_Nativ'!$D$6:$D$405,"&lt;"&amp;J576,'Istoric_Nativ'!$P$6:$P$405,1,'Istoric_Nativ'!$D$6:$D$405,"&gt;="&amp;L576)+SUMIFS('Istoric_Nativ'!$G$6:$G$405,'Istoric_Nativ'!$B$6:$B$405,E576,'Istoric_Nativ'!$C$6:$C$405,F576,'Istoric_Nativ'!$F$6:$F$405,G576,'Istoric_Nativ'!$D$6:$D$405,"&lt;"&amp;J576,'Istoric_Nativ'!$P$6:$P$405,1,'Istoric_Nativ'!$D$6:$D$405,"&gt;="&amp;L576)))/M576)</x:f>
      </x:c>
      <x:c r="P576" s="2" t="n">
        <x:f>'Config_v6'!$B$7</x:f>
        <x:v>10</x:v>
      </x:c>
      <x:c r="Q576" s="2" t="n">
        <x:f>IF(OR(B576="",F576=""),0,IFERROR(MATCH(E576&amp;"|"&amp;F576,SourceTable[Source_Key],0),0))</x:f>
        <x:v>0</x:v>
      </x:c>
      <x:c r="R576" s="2" t="str">
        <x:f>IF(B576="","",IF(F576="","UNUSED",IF(Q576=0,"NOT CHECKED",IF(COUNTIF(SourceTable[Source_Key],E576&amp;"|"&amp;F576)&lt;&gt;1,"SOURCE CONFLICT",IF(NOT(OR(INDEX(SourceTable[Status],MAX(1,Q576))="IMPORTED",INDEX(SourceTable[Status],MAX(1,Q576))="PARTIAL",INDEX(SourceTable[Status],MAX(1,Q576))="SOURCE CONFLICT")),"ACCESS BLOCKED",IF(OR(INDEX(SourceTable[Coverage],Q576)&lt;&gt;"FULL SEASON EXPORT",INDEX(SourceTable[URL],Q576)="",INDEX(SourceTable[SHA256],Q576)=""),"EVIDENCE INCOMPLETE",IF(AND('Input_Meci'!H53="LIVE",INDEX(SourceTable[Retrieved_UTC],Q576)&gt;'Input_Meci'!G53),"POST CUTOFF","CLOSED")))))))</x:f>
      </x:c>
      <x:c r="S576" s="2" t="n">
        <x:f>IF(OR(B576="",F576=""),0,COUNTIFS('Istoric_Nativ'!$B$6:$B$405,E576,'Istoric_Nativ'!$C$6:$C$405,F576,'Istoric_Nativ'!$E$6:$E$405,G576,'Istoric_Nativ'!$D$6:$D$405,"&lt;"&amp;J576,'Istoric_Nativ'!$O$6:$O$405,"INVALID")+COUNTIFS('Istoric_Nativ'!$B$6:$B$405,E576,'Istoric_Nativ'!$C$6:$C$405,F576,'Istoric_Nativ'!$E$6:$E$405,G576,'Istoric_Nativ'!$O$6:$O$405,"INVALID",'Istoric_Nativ'!$D$6:$D$405,"*")+COUNTIFS('Istoric_Nativ'!$B$6:$B$405,E576,'Istoric_Nativ'!$C$6:$C$405,F576,'Istoric_Nativ'!$E$6:$E$405,G576,'Istoric_Nativ'!$D$6:$D$405,"&lt;"&amp;J576,'Istoric_Nativ'!$O$6:$O$405,"SOURCE CONFLICT")+COUNTIFS('Istoric_Nativ'!$B$6:$B$405,E576,'Istoric_Nativ'!$C$6:$C$405,F576,'Istoric_Nativ'!$F$6:$F$405,G576,'Istoric_Nativ'!$D$6:$D$405,"&lt;"&amp;J576,'Istoric_Nativ'!$O$6:$O$405,"INVALID")+COUNTIFS('Istoric_Nativ'!$B$6:$B$405,E576,'Istoric_Nativ'!$C$6:$C$405,F576,'Istoric_Nativ'!$F$6:$F$405,G576,'Istoric_Nativ'!$O$6:$O$405,"INVALID",'Istoric_Nativ'!$D$6:$D$405,"*")+COUNTIFS('Istoric_Nativ'!$B$6:$B$405,E576,'Istoric_Nativ'!$C$6:$C$405,F576,'Istoric_Nativ'!$F$6:$F$405,G576,'Istoric_Nativ'!$D$6:$D$405,"&lt;"&amp;J576,'Istoric_Nativ'!$O$6:$O$405,"SOURCE CONFLICT"))</x:f>
        <x:v>0</x:v>
      </x:c>
      <x:c r="T576" s="2" t="str">
        <x:f>IF(B576="","",IF(R576&lt;&gt;"CLOSED",R576,IF(S576&gt;0,"NATIVE INPUT ISSUE",IF(M576=0,"NO HISTORY",IF(M576&lt;P576,"SMALL SAMPLE","DERIVED")))))</x:f>
      </x:c>
      <x:c r="U576" s="2" t="str">
        <x:f>IF(B576="","","NativeTable; "&amp;E576&amp;"; "&amp;F576&amp;"; "&amp;G576&amp;"; "&amp;H576&amp;"; before "&amp;TEXT(J576,"yyyy-mm-dd")&amp;IF(I576="RECENT","; from "&amp;TEXT(L576,"yyyy-mm-dd"),""))</x:f>
      </x:c>
    </x:row>
    <x:row r="577" ht="21" customHeight="1">
      <x:c r="A577" s="2" t="n">
        <x:v>48</x:v>
      </x:c>
      <x:c r="B577" s="2" t="str">
        <x:f>IF('Input_Meci'!A53="","",'Input_Meci'!A53)</x:f>
      </x:c>
      <x:c r="C577" s="2" t="str">
        <x:v>H</x:v>
      </x:c>
      <x:c r="D577" s="2" t="str">
        <x:v>PRIOR</x:v>
      </x:c>
      <x:c r="E577" s="2" t="str">
        <x:f>IF(B577="","",'Input_Meci'!B53)</x:f>
      </x:c>
      <x:c r="F577" s="2" t="str">
        <x:f>IF(B577="","",IF('Input_Meci'!K53="","",'Input_Meci'!K53))</x:f>
      </x:c>
      <x:c r="G577" s="2" t="str">
        <x:f>IF(B577="","",'Input_Meci'!D53)</x:f>
      </x:c>
      <x:c r="H577" s="2" t="str">
        <x:v>HOME</x:v>
      </x:c>
      <x:c r="I577" s="2" t="str">
        <x:v>HA</x:v>
      </x:c>
      <x:c r="J577" s="9" t="n">
        <x:f>IF(AND(B577&lt;&gt;"",ISNUMBER('Input_Meci'!G53)),INT('Input_Meci'!G53),0)</x:f>
        <x:v>0</x:v>
      </x:c>
      <x:c r="K577" s="2" t="n">
        <x:f>IF(OR(B577="",F577=""),0,IF(H577="HOME",COUNTIFS('Istoric_Nativ'!$B$6:$B$405,E577,'Istoric_Nativ'!$C$6:$C$405,F577,'Istoric_Nativ'!$E$6:$E$405,G577,'Istoric_Nativ'!$D$6:$D$405,"&lt;"&amp;J577,'Istoric_Nativ'!$P$6:$P$405,1),IF(H577="AWAY",COUNTIFS('Istoric_Nativ'!$B$6:$B$405,E577,'Istoric_Nativ'!$C$6:$C$405,F577,'Istoric_Nativ'!$F$6:$F$405,G577,'Istoric_Nativ'!$D$6:$D$405,"&lt;"&amp;J577,'Istoric_Nativ'!$P$6:$P$405,1),COUNTIFS('Istoric_Nativ'!$B$6:$B$405,E577,'Istoric_Nativ'!$C$6:$C$405,F577,'Istoric_Nativ'!$E$6:$E$405,G577,'Istoric_Nativ'!$D$6:$D$405,"&lt;"&amp;J577,'Istoric_Nativ'!$P$6:$P$405,1)+COUNTIFS('Istoric_Nativ'!$B$6:$B$405,E577,'Istoric_Nativ'!$C$6:$C$405,F577,'Istoric_Nativ'!$F$6:$F$405,G577,'Istoric_Nativ'!$D$6:$D$405,"&lt;"&amp;J577,'Istoric_Nativ'!$P$6:$P$405,1))))</x:f>
        <x:v>0</x:v>
      </x:c>
      <x:c r="L577" s="17" t="n">
        <x:f>IF(AND(B577&lt;&gt;"",I577="RECENT",K577&gt;0),LARGE(_xlfn._xlws.FILTER('Istoric_Nativ'!$D$6:$D$405,('Istoric_Nativ'!$B$6:$B$405=E577)*('Istoric_Nativ'!$C$6:$C$405=F577)*('Istoric_Nativ'!$P$6:$P$405=1)*('Istoric_Nativ'!$D$6:$D$405&lt;J577)*((('Istoric_Nativ'!$E$6:$E$405=G577)+('Istoric_Nativ'!$F$6:$F$405=G577))&gt;0)),MIN('Config_v6'!$B$54,K577)),0)</x:f>
        <x:v>0</x:v>
      </x:c>
      <x:c r="M577" s="2" t="n">
        <x:f>IF(OR(B577="",F577=""),0,IF(H577="HOME",COUNTIFS('Istoric_Nativ'!$B$6:$B$405,E577,'Istoric_Nativ'!$C$6:$C$405,F577,'Istoric_Nativ'!$E$6:$E$405,G577,'Istoric_Nativ'!$D$6:$D$405,"&lt;"&amp;J577,'Istoric_Nativ'!$P$6:$P$405,1,'Istoric_Nativ'!$D$6:$D$405,"&gt;="&amp;L577),IF(H577="AWAY",COUNTIFS('Istoric_Nativ'!$B$6:$B$405,E577,'Istoric_Nativ'!$C$6:$C$405,F577,'Istoric_Nativ'!$F$6:$F$405,G577,'Istoric_Nativ'!$D$6:$D$405,"&lt;"&amp;J577,'Istoric_Nativ'!$P$6:$P$405,1,'Istoric_Nativ'!$D$6:$D$405,"&gt;="&amp;L577),COUNTIFS('Istoric_Nativ'!$B$6:$B$405,E577,'Istoric_Nativ'!$C$6:$C$405,F577,'Istoric_Nativ'!$E$6:$E$405,G577,'Istoric_Nativ'!$D$6:$D$405,"&lt;"&amp;J577,'Istoric_Nativ'!$P$6:$P$405,1,'Istoric_Nativ'!$D$6:$D$405,"&gt;="&amp;L577)+COUNTIFS('Istoric_Nativ'!$B$6:$B$405,E577,'Istoric_Nativ'!$C$6:$C$405,F577,'Istoric_Nativ'!$F$6:$F$405,G577,'Istoric_Nativ'!$D$6:$D$405,"&lt;"&amp;J577,'Istoric_Nativ'!$P$6:$P$405,1,'Istoric_Nativ'!$D$6:$D$405,"&gt;="&amp;L577))))</x:f>
        <x:v>0</x:v>
      </x:c>
      <x:c r="N577" s="11" t="str">
        <x:f>IF(M577=0,"",IF(H577="HOME",SUMIFS('Istoric_Nativ'!$G$6:$G$405,'Istoric_Nativ'!$B$6:$B$405,E577,'Istoric_Nativ'!$C$6:$C$405,F577,'Istoric_Nativ'!$E$6:$E$405,G577,'Istoric_Nativ'!$D$6:$D$405,"&lt;"&amp;J577,'Istoric_Nativ'!$P$6:$P$405,1,'Istoric_Nativ'!$D$6:$D$405,"&gt;="&amp;L577),IF(H577="AWAY",SUMIFS('Istoric_Nativ'!$H$6:$H$405,'Istoric_Nativ'!$B$6:$B$405,E577,'Istoric_Nativ'!$C$6:$C$405,F577,'Istoric_Nativ'!$F$6:$F$405,G577,'Istoric_Nativ'!$D$6:$D$405,"&lt;"&amp;J577,'Istoric_Nativ'!$P$6:$P$405,1,'Istoric_Nativ'!$D$6:$D$405,"&gt;="&amp;L577),SUMIFS('Istoric_Nativ'!$G$6:$G$405,'Istoric_Nativ'!$B$6:$B$405,E577,'Istoric_Nativ'!$C$6:$C$405,F577,'Istoric_Nativ'!$E$6:$E$405,G577,'Istoric_Nativ'!$D$6:$D$405,"&lt;"&amp;J577,'Istoric_Nativ'!$P$6:$P$405,1,'Istoric_Nativ'!$D$6:$D$405,"&gt;="&amp;L577)+SUMIFS('Istoric_Nativ'!$H$6:$H$405,'Istoric_Nativ'!$B$6:$B$405,E577,'Istoric_Nativ'!$C$6:$C$405,F577,'Istoric_Nativ'!$F$6:$F$405,G577,'Istoric_Nativ'!$D$6:$D$405,"&lt;"&amp;J577,'Istoric_Nativ'!$P$6:$P$405,1,'Istoric_Nativ'!$D$6:$D$405,"&gt;="&amp;L577)))/M577)</x:f>
      </x:c>
      <x:c r="O577" s="11" t="str">
        <x:f>IF(M577=0,"",IF(H577="HOME",SUMIFS('Istoric_Nativ'!$H$6:$H$405,'Istoric_Nativ'!$B$6:$B$405,E577,'Istoric_Nativ'!$C$6:$C$405,F577,'Istoric_Nativ'!$E$6:$E$405,G577,'Istoric_Nativ'!$D$6:$D$405,"&lt;"&amp;J577,'Istoric_Nativ'!$P$6:$P$405,1,'Istoric_Nativ'!$D$6:$D$405,"&gt;="&amp;L577),IF(H577="AWAY",SUMIFS('Istoric_Nativ'!$G$6:$G$405,'Istoric_Nativ'!$B$6:$B$405,E577,'Istoric_Nativ'!$C$6:$C$405,F577,'Istoric_Nativ'!$F$6:$F$405,G577,'Istoric_Nativ'!$D$6:$D$405,"&lt;"&amp;J577,'Istoric_Nativ'!$P$6:$P$405,1,'Istoric_Nativ'!$D$6:$D$405,"&gt;="&amp;L577),SUMIFS('Istoric_Nativ'!$H$6:$H$405,'Istoric_Nativ'!$B$6:$B$405,E577,'Istoric_Nativ'!$C$6:$C$405,F577,'Istoric_Nativ'!$E$6:$E$405,G577,'Istoric_Nativ'!$D$6:$D$405,"&lt;"&amp;J577,'Istoric_Nativ'!$P$6:$P$405,1,'Istoric_Nativ'!$D$6:$D$405,"&gt;="&amp;L577)+SUMIFS('Istoric_Nativ'!$G$6:$G$405,'Istoric_Nativ'!$B$6:$B$405,E577,'Istoric_Nativ'!$C$6:$C$405,F577,'Istoric_Nativ'!$F$6:$F$405,G577,'Istoric_Nativ'!$D$6:$D$405,"&lt;"&amp;J577,'Istoric_Nativ'!$P$6:$P$405,1,'Istoric_Nativ'!$D$6:$D$405,"&gt;="&amp;L577)))/M577)</x:f>
      </x:c>
      <x:c r="P577" s="2" t="n">
        <x:f>'Config_v6'!$B$8</x:f>
        <x:v>5</x:v>
      </x:c>
      <x:c r="Q577" s="2" t="n">
        <x:f>IF(OR(B577="",F577=""),0,IFERROR(MATCH(E577&amp;"|"&amp;F577,SourceTable[Source_Key],0),0))</x:f>
        <x:v>0</x:v>
      </x:c>
      <x:c r="R577" s="2" t="str">
        <x:f>IF(B577="","",IF(F577="","UNUSED",IF(Q577=0,"NOT CHECKED",IF(COUNTIF(SourceTable[Source_Key],E577&amp;"|"&amp;F577)&lt;&gt;1,"SOURCE CONFLICT",IF(NOT(OR(INDEX(SourceTable[Status],MAX(1,Q577))="IMPORTED",INDEX(SourceTable[Status],MAX(1,Q577))="PARTIAL",INDEX(SourceTable[Status],MAX(1,Q577))="SOURCE CONFLICT")),"ACCESS BLOCKED",IF(OR(INDEX(SourceTable[Coverage],Q577)&lt;&gt;"FULL SEASON EXPORT",INDEX(SourceTable[URL],Q577)="",INDEX(SourceTable[SHA256],Q577)=""),"EVIDENCE INCOMPLETE",IF(AND('Input_Meci'!H53="LIVE",INDEX(SourceTable[Retrieved_UTC],Q577)&gt;'Input_Meci'!G53),"POST CUTOFF","CLOSED")))))))</x:f>
      </x:c>
      <x:c r="S577" s="2" t="n">
        <x:f>IF(OR(B577="",F577=""),0,COUNTIFS('Istoric_Nativ'!$B$6:$B$405,E577,'Istoric_Nativ'!$C$6:$C$405,F577,'Istoric_Nativ'!$E$6:$E$405,G577,'Istoric_Nativ'!$D$6:$D$405,"&lt;"&amp;J577,'Istoric_Nativ'!$O$6:$O$405,"INVALID")+COUNTIFS('Istoric_Nativ'!$B$6:$B$405,E577,'Istoric_Nativ'!$C$6:$C$405,F577,'Istoric_Nativ'!$E$6:$E$405,G577,'Istoric_Nativ'!$O$6:$O$405,"INVALID",'Istoric_Nativ'!$D$6:$D$405,"*")+COUNTIFS('Istoric_Nativ'!$B$6:$B$405,E577,'Istoric_Nativ'!$C$6:$C$405,F577,'Istoric_Nativ'!$E$6:$E$405,G577,'Istoric_Nativ'!$D$6:$D$405,"&lt;"&amp;J577,'Istoric_Nativ'!$O$6:$O$405,"SOURCE CONFLICT")+COUNTIFS('Istoric_Nativ'!$B$6:$B$405,E577,'Istoric_Nativ'!$C$6:$C$405,F577,'Istoric_Nativ'!$F$6:$F$405,G577,'Istoric_Nativ'!$D$6:$D$405,"&lt;"&amp;J577,'Istoric_Nativ'!$O$6:$O$405,"INVALID")+COUNTIFS('Istoric_Nativ'!$B$6:$B$405,E577,'Istoric_Nativ'!$C$6:$C$405,F577,'Istoric_Nativ'!$F$6:$F$405,G577,'Istoric_Nativ'!$O$6:$O$405,"INVALID",'Istoric_Nativ'!$D$6:$D$405,"*")+COUNTIFS('Istoric_Nativ'!$B$6:$B$405,E577,'Istoric_Nativ'!$C$6:$C$405,F577,'Istoric_Nativ'!$F$6:$F$405,G577,'Istoric_Nativ'!$D$6:$D$405,"&lt;"&amp;J577,'Istoric_Nativ'!$O$6:$O$405,"SOURCE CONFLICT"))</x:f>
        <x:v>0</x:v>
      </x:c>
      <x:c r="T577" s="2" t="str">
        <x:f>IF(B577="","",IF(R577&lt;&gt;"CLOSED",R577,IF(S577&gt;0,"NATIVE INPUT ISSUE",IF(M577=0,"NO HISTORY",IF(M577&lt;P577,"SMALL SAMPLE","DERIVED")))))</x:f>
      </x:c>
      <x:c r="U577" s="2" t="str">
        <x:f>IF(B577="","","NativeTable; "&amp;E577&amp;"; "&amp;F577&amp;"; "&amp;G577&amp;"; "&amp;H577&amp;"; before "&amp;TEXT(J577,"yyyy-mm-dd")&amp;IF(I577="RECENT","; from "&amp;TEXT(L577,"yyyy-mm-dd"),""))</x:f>
      </x:c>
    </x:row>
    <x:row r="578" ht="21" customHeight="1">
      <x:c r="A578" s="2" t="n">
        <x:v>48</x:v>
      </x:c>
      <x:c r="B578" s="2" t="str">
        <x:f>IF('Input_Meci'!A53="","",'Input_Meci'!A53)</x:f>
      </x:c>
      <x:c r="C578" s="2" t="str">
        <x:v>H</x:v>
      </x:c>
      <x:c r="D578" s="2" t="str">
        <x:v>PRIOR</x:v>
      </x:c>
      <x:c r="E578" s="2" t="str">
        <x:f>IF(B578="","",'Input_Meci'!B53)</x:f>
      </x:c>
      <x:c r="F578" s="2" t="str">
        <x:f>IF(B578="","",IF('Input_Meci'!K53="","",'Input_Meci'!K53))</x:f>
      </x:c>
      <x:c r="G578" s="2" t="str">
        <x:f>IF(B578="","",'Input_Meci'!D53)</x:f>
      </x:c>
      <x:c r="H578" s="2" t="str">
        <x:v>ANY</x:v>
      </x:c>
      <x:c r="I578" s="2" t="str">
        <x:v>RECENT</x:v>
      </x:c>
      <x:c r="J578" s="9" t="n">
        <x:f>IF(AND(B578&lt;&gt;"",ISNUMBER('Input_Meci'!G53)),INT('Input_Meci'!G53),0)</x:f>
        <x:v>0</x:v>
      </x:c>
      <x:c r="K578" s="2" t="n">
        <x:f>IF(OR(B578="",F578=""),0,IF(H578="HOME",COUNTIFS('Istoric_Nativ'!$B$6:$B$405,E578,'Istoric_Nativ'!$C$6:$C$405,F578,'Istoric_Nativ'!$E$6:$E$405,G578,'Istoric_Nativ'!$D$6:$D$405,"&lt;"&amp;J578,'Istoric_Nativ'!$P$6:$P$405,1),IF(H578="AWAY",COUNTIFS('Istoric_Nativ'!$B$6:$B$405,E578,'Istoric_Nativ'!$C$6:$C$405,F578,'Istoric_Nativ'!$F$6:$F$405,G578,'Istoric_Nativ'!$D$6:$D$405,"&lt;"&amp;J578,'Istoric_Nativ'!$P$6:$P$405,1),COUNTIFS('Istoric_Nativ'!$B$6:$B$405,E578,'Istoric_Nativ'!$C$6:$C$405,F578,'Istoric_Nativ'!$E$6:$E$405,G578,'Istoric_Nativ'!$D$6:$D$405,"&lt;"&amp;J578,'Istoric_Nativ'!$P$6:$P$405,1)+COUNTIFS('Istoric_Nativ'!$B$6:$B$405,E578,'Istoric_Nativ'!$C$6:$C$405,F578,'Istoric_Nativ'!$F$6:$F$405,G578,'Istoric_Nativ'!$D$6:$D$405,"&lt;"&amp;J578,'Istoric_Nativ'!$P$6:$P$405,1))))</x:f>
        <x:v>0</x:v>
      </x:c>
      <x:c r="L578" s="17" t="n">
        <x:f>IF(AND(B578&lt;&gt;"",I578="RECENT",K578&gt;0),LARGE(_xlfn._xlws.FILTER('Istoric_Nativ'!$D$6:$D$405,('Istoric_Nativ'!$B$6:$B$405=E578)*('Istoric_Nativ'!$C$6:$C$405=F578)*('Istoric_Nativ'!$P$6:$P$405=1)*('Istoric_Nativ'!$D$6:$D$405&lt;J578)*((('Istoric_Nativ'!$E$6:$E$405=G578)+('Istoric_Nativ'!$F$6:$F$405=G578))&gt;0)),MIN('Config_v6'!$B$54,K578)),0)</x:f>
        <x:v>0</x:v>
      </x:c>
      <x:c r="M578" s="2" t="n">
        <x:f>IF(OR(B578="",F578=""),0,IF(H578="HOME",COUNTIFS('Istoric_Nativ'!$B$6:$B$405,E578,'Istoric_Nativ'!$C$6:$C$405,F578,'Istoric_Nativ'!$E$6:$E$405,G578,'Istoric_Nativ'!$D$6:$D$405,"&lt;"&amp;J578,'Istoric_Nativ'!$P$6:$P$405,1,'Istoric_Nativ'!$D$6:$D$405,"&gt;="&amp;L578),IF(H578="AWAY",COUNTIFS('Istoric_Nativ'!$B$6:$B$405,E578,'Istoric_Nativ'!$C$6:$C$405,F578,'Istoric_Nativ'!$F$6:$F$405,G578,'Istoric_Nativ'!$D$6:$D$405,"&lt;"&amp;J578,'Istoric_Nativ'!$P$6:$P$405,1,'Istoric_Nativ'!$D$6:$D$405,"&gt;="&amp;L578),COUNTIFS('Istoric_Nativ'!$B$6:$B$405,E578,'Istoric_Nativ'!$C$6:$C$405,F578,'Istoric_Nativ'!$E$6:$E$405,G578,'Istoric_Nativ'!$D$6:$D$405,"&lt;"&amp;J578,'Istoric_Nativ'!$P$6:$P$405,1,'Istoric_Nativ'!$D$6:$D$405,"&gt;="&amp;L578)+COUNTIFS('Istoric_Nativ'!$B$6:$B$405,E578,'Istoric_Nativ'!$C$6:$C$405,F578,'Istoric_Nativ'!$F$6:$F$405,G578,'Istoric_Nativ'!$D$6:$D$405,"&lt;"&amp;J578,'Istoric_Nativ'!$P$6:$P$405,1,'Istoric_Nativ'!$D$6:$D$405,"&gt;="&amp;L578))))</x:f>
        <x:v>0</x:v>
      </x:c>
      <x:c r="N578" s="11" t="str">
        <x:f>IF(M578=0,"",IF(H578="HOME",SUMIFS('Istoric_Nativ'!$G$6:$G$405,'Istoric_Nativ'!$B$6:$B$405,E578,'Istoric_Nativ'!$C$6:$C$405,F578,'Istoric_Nativ'!$E$6:$E$405,G578,'Istoric_Nativ'!$D$6:$D$405,"&lt;"&amp;J578,'Istoric_Nativ'!$P$6:$P$405,1,'Istoric_Nativ'!$D$6:$D$405,"&gt;="&amp;L578),IF(H578="AWAY",SUMIFS('Istoric_Nativ'!$H$6:$H$405,'Istoric_Nativ'!$B$6:$B$405,E578,'Istoric_Nativ'!$C$6:$C$405,F578,'Istoric_Nativ'!$F$6:$F$405,G578,'Istoric_Nativ'!$D$6:$D$405,"&lt;"&amp;J578,'Istoric_Nativ'!$P$6:$P$405,1,'Istoric_Nativ'!$D$6:$D$405,"&gt;="&amp;L578),SUMIFS('Istoric_Nativ'!$G$6:$G$405,'Istoric_Nativ'!$B$6:$B$405,E578,'Istoric_Nativ'!$C$6:$C$405,F578,'Istoric_Nativ'!$E$6:$E$405,G578,'Istoric_Nativ'!$D$6:$D$405,"&lt;"&amp;J578,'Istoric_Nativ'!$P$6:$P$405,1,'Istoric_Nativ'!$D$6:$D$405,"&gt;="&amp;L578)+SUMIFS('Istoric_Nativ'!$H$6:$H$405,'Istoric_Nativ'!$B$6:$B$405,E578,'Istoric_Nativ'!$C$6:$C$405,F578,'Istoric_Nativ'!$F$6:$F$405,G578,'Istoric_Nativ'!$D$6:$D$405,"&lt;"&amp;J578,'Istoric_Nativ'!$P$6:$P$405,1,'Istoric_Nativ'!$D$6:$D$405,"&gt;="&amp;L578)))/M578)</x:f>
      </x:c>
      <x:c r="O578" s="11" t="str">
        <x:f>IF(M578=0,"",IF(H578="HOME",SUMIFS('Istoric_Nativ'!$H$6:$H$405,'Istoric_Nativ'!$B$6:$B$405,E578,'Istoric_Nativ'!$C$6:$C$405,F578,'Istoric_Nativ'!$E$6:$E$405,G578,'Istoric_Nativ'!$D$6:$D$405,"&lt;"&amp;J578,'Istoric_Nativ'!$P$6:$P$405,1,'Istoric_Nativ'!$D$6:$D$405,"&gt;="&amp;L578),IF(H578="AWAY",SUMIFS('Istoric_Nativ'!$G$6:$G$405,'Istoric_Nativ'!$B$6:$B$405,E578,'Istoric_Nativ'!$C$6:$C$405,F578,'Istoric_Nativ'!$F$6:$F$405,G578,'Istoric_Nativ'!$D$6:$D$405,"&lt;"&amp;J578,'Istoric_Nativ'!$P$6:$P$405,1,'Istoric_Nativ'!$D$6:$D$405,"&gt;="&amp;L578),SUMIFS('Istoric_Nativ'!$H$6:$H$405,'Istoric_Nativ'!$B$6:$B$405,E578,'Istoric_Nativ'!$C$6:$C$405,F578,'Istoric_Nativ'!$E$6:$E$405,G578,'Istoric_Nativ'!$D$6:$D$405,"&lt;"&amp;J578,'Istoric_Nativ'!$P$6:$P$405,1,'Istoric_Nativ'!$D$6:$D$405,"&gt;="&amp;L578)+SUMIFS('Istoric_Nativ'!$G$6:$G$405,'Istoric_Nativ'!$B$6:$B$405,E578,'Istoric_Nativ'!$C$6:$C$405,F578,'Istoric_Nativ'!$F$6:$F$405,G578,'Istoric_Nativ'!$D$6:$D$405,"&lt;"&amp;J578,'Istoric_Nativ'!$P$6:$P$405,1,'Istoric_Nativ'!$D$6:$D$405,"&gt;="&amp;L578)))/M578)</x:f>
      </x:c>
      <x:c r="P578" s="2" t="n">
        <x:f>'Config_v6'!$B$9</x:f>
        <x:v>3</x:v>
      </x:c>
      <x:c r="Q578" s="2" t="n">
        <x:f>IF(OR(B578="",F578=""),0,IFERROR(MATCH(E578&amp;"|"&amp;F578,SourceTable[Source_Key],0),0))</x:f>
        <x:v>0</x:v>
      </x:c>
      <x:c r="R578" s="2" t="str">
        <x:f>IF(B578="","",IF(F578="","UNUSED",IF(Q578=0,"NOT CHECKED",IF(COUNTIF(SourceTable[Source_Key],E578&amp;"|"&amp;F578)&lt;&gt;1,"SOURCE CONFLICT",IF(NOT(OR(INDEX(SourceTable[Status],MAX(1,Q578))="IMPORTED",INDEX(SourceTable[Status],MAX(1,Q578))="PARTIAL",INDEX(SourceTable[Status],MAX(1,Q578))="SOURCE CONFLICT")),"ACCESS BLOCKED",IF(OR(INDEX(SourceTable[Coverage],Q578)&lt;&gt;"FULL SEASON EXPORT",INDEX(SourceTable[URL],Q578)="",INDEX(SourceTable[SHA256],Q578)=""),"EVIDENCE INCOMPLETE",IF(AND('Input_Meci'!H53="LIVE",INDEX(SourceTable[Retrieved_UTC],Q578)&gt;'Input_Meci'!G53),"POST CUTOFF","CLOSED")))))))</x:f>
      </x:c>
      <x:c r="S578" s="2" t="n">
        <x:f>IF(OR(B578="",F578=""),0,COUNTIFS('Istoric_Nativ'!$B$6:$B$405,E578,'Istoric_Nativ'!$C$6:$C$405,F578,'Istoric_Nativ'!$E$6:$E$405,G578,'Istoric_Nativ'!$D$6:$D$405,"&lt;"&amp;J578,'Istoric_Nativ'!$O$6:$O$405,"INVALID")+COUNTIFS('Istoric_Nativ'!$B$6:$B$405,E578,'Istoric_Nativ'!$C$6:$C$405,F578,'Istoric_Nativ'!$E$6:$E$405,G578,'Istoric_Nativ'!$O$6:$O$405,"INVALID",'Istoric_Nativ'!$D$6:$D$405,"*")+COUNTIFS('Istoric_Nativ'!$B$6:$B$405,E578,'Istoric_Nativ'!$C$6:$C$405,F578,'Istoric_Nativ'!$E$6:$E$405,G578,'Istoric_Nativ'!$D$6:$D$405,"&lt;"&amp;J578,'Istoric_Nativ'!$O$6:$O$405,"SOURCE CONFLICT")+COUNTIFS('Istoric_Nativ'!$B$6:$B$405,E578,'Istoric_Nativ'!$C$6:$C$405,F578,'Istoric_Nativ'!$F$6:$F$405,G578,'Istoric_Nativ'!$D$6:$D$405,"&lt;"&amp;J578,'Istoric_Nativ'!$O$6:$O$405,"INVALID")+COUNTIFS('Istoric_Nativ'!$B$6:$B$405,E578,'Istoric_Nativ'!$C$6:$C$405,F578,'Istoric_Nativ'!$F$6:$F$405,G578,'Istoric_Nativ'!$O$6:$O$405,"INVALID",'Istoric_Nativ'!$D$6:$D$405,"*")+COUNTIFS('Istoric_Nativ'!$B$6:$B$405,E578,'Istoric_Nativ'!$C$6:$C$405,F578,'Istoric_Nativ'!$F$6:$F$405,G578,'Istoric_Nativ'!$D$6:$D$405,"&lt;"&amp;J578,'Istoric_Nativ'!$O$6:$O$405,"SOURCE CONFLICT"))</x:f>
        <x:v>0</x:v>
      </x:c>
      <x:c r="T578" s="2" t="str">
        <x:f>IF(B578="","",IF(R578&lt;&gt;"CLOSED",R578,IF(S578&gt;0,"NATIVE INPUT ISSUE",IF(M578=0,"NO HISTORY",IF(M578&lt;P578,"SMALL SAMPLE","DERIVED")))))</x:f>
      </x:c>
      <x:c r="U578" s="2" t="str">
        <x:f>IF(B578="","","NativeTable; "&amp;E578&amp;"; "&amp;F578&amp;"; "&amp;G578&amp;"; "&amp;H578&amp;"; before "&amp;TEXT(J578,"yyyy-mm-dd")&amp;IF(I578="RECENT","; from "&amp;TEXT(L578,"yyyy-mm-dd"),""))</x:f>
      </x:c>
    </x:row>
    <x:row r="579" ht="21" customHeight="1">
      <x:c r="A579" s="2" t="n">
        <x:v>48</x:v>
      </x:c>
      <x:c r="B579" s="2" t="str">
        <x:f>IF('Input_Meci'!A53="","",'Input_Meci'!A53)</x:f>
      </x:c>
      <x:c r="C579" s="2" t="str">
        <x:v>A</x:v>
      </x:c>
      <x:c r="D579" s="2" t="str">
        <x:v>PRIOR</x:v>
      </x:c>
      <x:c r="E579" s="2" t="str">
        <x:f>IF(B579="","",'Input_Meci'!B53)</x:f>
      </x:c>
      <x:c r="F579" s="2" t="str">
        <x:f>IF(B579="","",IF('Input_Meci'!K53="","",'Input_Meci'!K53))</x:f>
      </x:c>
      <x:c r="G579" s="2" t="str">
        <x:f>IF(B579="","",'Input_Meci'!E53)</x:f>
      </x:c>
      <x:c r="H579" s="2" t="str">
        <x:v>ANY</x:v>
      </x:c>
      <x:c r="I579" s="2" t="str">
        <x:v>SEASON</x:v>
      </x:c>
      <x:c r="J579" s="9" t="n">
        <x:f>IF(AND(B579&lt;&gt;"",ISNUMBER('Input_Meci'!G53)),INT('Input_Meci'!G53),0)</x:f>
        <x:v>0</x:v>
      </x:c>
      <x:c r="K579" s="2" t="n">
        <x:f>IF(OR(B579="",F579=""),0,IF(H579="HOME",COUNTIFS('Istoric_Nativ'!$B$6:$B$405,E579,'Istoric_Nativ'!$C$6:$C$405,F579,'Istoric_Nativ'!$E$6:$E$405,G579,'Istoric_Nativ'!$D$6:$D$405,"&lt;"&amp;J579,'Istoric_Nativ'!$P$6:$P$405,1),IF(H579="AWAY",COUNTIFS('Istoric_Nativ'!$B$6:$B$405,E579,'Istoric_Nativ'!$C$6:$C$405,F579,'Istoric_Nativ'!$F$6:$F$405,G579,'Istoric_Nativ'!$D$6:$D$405,"&lt;"&amp;J579,'Istoric_Nativ'!$P$6:$P$405,1),COUNTIFS('Istoric_Nativ'!$B$6:$B$405,E579,'Istoric_Nativ'!$C$6:$C$405,F579,'Istoric_Nativ'!$E$6:$E$405,G579,'Istoric_Nativ'!$D$6:$D$405,"&lt;"&amp;J579,'Istoric_Nativ'!$P$6:$P$405,1)+COUNTIFS('Istoric_Nativ'!$B$6:$B$405,E579,'Istoric_Nativ'!$C$6:$C$405,F579,'Istoric_Nativ'!$F$6:$F$405,G579,'Istoric_Nativ'!$D$6:$D$405,"&lt;"&amp;J579,'Istoric_Nativ'!$P$6:$P$405,1))))</x:f>
        <x:v>0</x:v>
      </x:c>
      <x:c r="L579" s="17" t="n">
        <x:f>IF(AND(B579&lt;&gt;"",I579="RECENT",K579&gt;0),LARGE(_xlfn._xlws.FILTER('Istoric_Nativ'!$D$6:$D$405,('Istoric_Nativ'!$B$6:$B$405=E579)*('Istoric_Nativ'!$C$6:$C$405=F579)*('Istoric_Nativ'!$P$6:$P$405=1)*('Istoric_Nativ'!$D$6:$D$405&lt;J579)*((('Istoric_Nativ'!$E$6:$E$405=G579)+('Istoric_Nativ'!$F$6:$F$405=G579))&gt;0)),MIN('Config_v6'!$B$54,K579)),0)</x:f>
        <x:v>0</x:v>
      </x:c>
      <x:c r="M579" s="2" t="n">
        <x:f>IF(OR(B579="",F579=""),0,IF(H579="HOME",COUNTIFS('Istoric_Nativ'!$B$6:$B$405,E579,'Istoric_Nativ'!$C$6:$C$405,F579,'Istoric_Nativ'!$E$6:$E$405,G579,'Istoric_Nativ'!$D$6:$D$405,"&lt;"&amp;J579,'Istoric_Nativ'!$P$6:$P$405,1,'Istoric_Nativ'!$D$6:$D$405,"&gt;="&amp;L579),IF(H579="AWAY",COUNTIFS('Istoric_Nativ'!$B$6:$B$405,E579,'Istoric_Nativ'!$C$6:$C$405,F579,'Istoric_Nativ'!$F$6:$F$405,G579,'Istoric_Nativ'!$D$6:$D$405,"&lt;"&amp;J579,'Istoric_Nativ'!$P$6:$P$405,1,'Istoric_Nativ'!$D$6:$D$405,"&gt;="&amp;L579),COUNTIFS('Istoric_Nativ'!$B$6:$B$405,E579,'Istoric_Nativ'!$C$6:$C$405,F579,'Istoric_Nativ'!$E$6:$E$405,G579,'Istoric_Nativ'!$D$6:$D$405,"&lt;"&amp;J579,'Istoric_Nativ'!$P$6:$P$405,1,'Istoric_Nativ'!$D$6:$D$405,"&gt;="&amp;L579)+COUNTIFS('Istoric_Nativ'!$B$6:$B$405,E579,'Istoric_Nativ'!$C$6:$C$405,F579,'Istoric_Nativ'!$F$6:$F$405,G579,'Istoric_Nativ'!$D$6:$D$405,"&lt;"&amp;J579,'Istoric_Nativ'!$P$6:$P$405,1,'Istoric_Nativ'!$D$6:$D$405,"&gt;="&amp;L579))))</x:f>
        <x:v>0</x:v>
      </x:c>
      <x:c r="N579" s="11" t="str">
        <x:f>IF(M579=0,"",IF(H579="HOME",SUMIFS('Istoric_Nativ'!$G$6:$G$405,'Istoric_Nativ'!$B$6:$B$405,E579,'Istoric_Nativ'!$C$6:$C$405,F579,'Istoric_Nativ'!$E$6:$E$405,G579,'Istoric_Nativ'!$D$6:$D$405,"&lt;"&amp;J579,'Istoric_Nativ'!$P$6:$P$405,1,'Istoric_Nativ'!$D$6:$D$405,"&gt;="&amp;L579),IF(H579="AWAY",SUMIFS('Istoric_Nativ'!$H$6:$H$405,'Istoric_Nativ'!$B$6:$B$405,E579,'Istoric_Nativ'!$C$6:$C$405,F579,'Istoric_Nativ'!$F$6:$F$405,G579,'Istoric_Nativ'!$D$6:$D$405,"&lt;"&amp;J579,'Istoric_Nativ'!$P$6:$P$405,1,'Istoric_Nativ'!$D$6:$D$405,"&gt;="&amp;L579),SUMIFS('Istoric_Nativ'!$G$6:$G$405,'Istoric_Nativ'!$B$6:$B$405,E579,'Istoric_Nativ'!$C$6:$C$405,F579,'Istoric_Nativ'!$E$6:$E$405,G579,'Istoric_Nativ'!$D$6:$D$405,"&lt;"&amp;J579,'Istoric_Nativ'!$P$6:$P$405,1,'Istoric_Nativ'!$D$6:$D$405,"&gt;="&amp;L579)+SUMIFS('Istoric_Nativ'!$H$6:$H$405,'Istoric_Nativ'!$B$6:$B$405,E579,'Istoric_Nativ'!$C$6:$C$405,F579,'Istoric_Nativ'!$F$6:$F$405,G579,'Istoric_Nativ'!$D$6:$D$405,"&lt;"&amp;J579,'Istoric_Nativ'!$P$6:$P$405,1,'Istoric_Nativ'!$D$6:$D$405,"&gt;="&amp;L579)))/M579)</x:f>
      </x:c>
      <x:c r="O579" s="11" t="str">
        <x:f>IF(M579=0,"",IF(H579="HOME",SUMIFS('Istoric_Nativ'!$H$6:$H$405,'Istoric_Nativ'!$B$6:$B$405,E579,'Istoric_Nativ'!$C$6:$C$405,F579,'Istoric_Nativ'!$E$6:$E$405,G579,'Istoric_Nativ'!$D$6:$D$405,"&lt;"&amp;J579,'Istoric_Nativ'!$P$6:$P$405,1,'Istoric_Nativ'!$D$6:$D$405,"&gt;="&amp;L579),IF(H579="AWAY",SUMIFS('Istoric_Nativ'!$G$6:$G$405,'Istoric_Nativ'!$B$6:$B$405,E579,'Istoric_Nativ'!$C$6:$C$405,F579,'Istoric_Nativ'!$F$6:$F$405,G579,'Istoric_Nativ'!$D$6:$D$405,"&lt;"&amp;J579,'Istoric_Nativ'!$P$6:$P$405,1,'Istoric_Nativ'!$D$6:$D$405,"&gt;="&amp;L579),SUMIFS('Istoric_Nativ'!$H$6:$H$405,'Istoric_Nativ'!$B$6:$B$405,E579,'Istoric_Nativ'!$C$6:$C$405,F579,'Istoric_Nativ'!$E$6:$E$405,G579,'Istoric_Nativ'!$D$6:$D$405,"&lt;"&amp;J579,'Istoric_Nativ'!$P$6:$P$405,1,'Istoric_Nativ'!$D$6:$D$405,"&gt;="&amp;L579)+SUMIFS('Istoric_Nativ'!$G$6:$G$405,'Istoric_Nativ'!$B$6:$B$405,E579,'Istoric_Nativ'!$C$6:$C$405,F579,'Istoric_Nativ'!$F$6:$F$405,G579,'Istoric_Nativ'!$D$6:$D$405,"&lt;"&amp;J579,'Istoric_Nativ'!$P$6:$P$405,1,'Istoric_Nativ'!$D$6:$D$405,"&gt;="&amp;L579)))/M579)</x:f>
      </x:c>
      <x:c r="P579" s="2" t="n">
        <x:f>'Config_v6'!$B$7</x:f>
        <x:v>10</x:v>
      </x:c>
      <x:c r="Q579" s="2" t="n">
        <x:f>IF(OR(B579="",F579=""),0,IFERROR(MATCH(E579&amp;"|"&amp;F579,SourceTable[Source_Key],0),0))</x:f>
        <x:v>0</x:v>
      </x:c>
      <x:c r="R579" s="2" t="str">
        <x:f>IF(B579="","",IF(F579="","UNUSED",IF(Q579=0,"NOT CHECKED",IF(COUNTIF(SourceTable[Source_Key],E579&amp;"|"&amp;F579)&lt;&gt;1,"SOURCE CONFLICT",IF(NOT(OR(INDEX(SourceTable[Status],MAX(1,Q579))="IMPORTED",INDEX(SourceTable[Status],MAX(1,Q579))="PARTIAL",INDEX(SourceTable[Status],MAX(1,Q579))="SOURCE CONFLICT")),"ACCESS BLOCKED",IF(OR(INDEX(SourceTable[Coverage],Q579)&lt;&gt;"FULL SEASON EXPORT",INDEX(SourceTable[URL],Q579)="",INDEX(SourceTable[SHA256],Q579)=""),"EVIDENCE INCOMPLETE",IF(AND('Input_Meci'!H53="LIVE",INDEX(SourceTable[Retrieved_UTC],Q579)&gt;'Input_Meci'!G53),"POST CUTOFF","CLOSED")))))))</x:f>
      </x:c>
      <x:c r="S579" s="2" t="n">
        <x:f>IF(OR(B579="",F579=""),0,COUNTIFS('Istoric_Nativ'!$B$6:$B$405,E579,'Istoric_Nativ'!$C$6:$C$405,F579,'Istoric_Nativ'!$E$6:$E$405,G579,'Istoric_Nativ'!$D$6:$D$405,"&lt;"&amp;J579,'Istoric_Nativ'!$O$6:$O$405,"INVALID")+COUNTIFS('Istoric_Nativ'!$B$6:$B$405,E579,'Istoric_Nativ'!$C$6:$C$405,F579,'Istoric_Nativ'!$E$6:$E$405,G579,'Istoric_Nativ'!$O$6:$O$405,"INVALID",'Istoric_Nativ'!$D$6:$D$405,"*")+COUNTIFS('Istoric_Nativ'!$B$6:$B$405,E579,'Istoric_Nativ'!$C$6:$C$405,F579,'Istoric_Nativ'!$E$6:$E$405,G579,'Istoric_Nativ'!$D$6:$D$405,"&lt;"&amp;J579,'Istoric_Nativ'!$O$6:$O$405,"SOURCE CONFLICT")+COUNTIFS('Istoric_Nativ'!$B$6:$B$405,E579,'Istoric_Nativ'!$C$6:$C$405,F579,'Istoric_Nativ'!$F$6:$F$405,G579,'Istoric_Nativ'!$D$6:$D$405,"&lt;"&amp;J579,'Istoric_Nativ'!$O$6:$O$405,"INVALID")+COUNTIFS('Istoric_Nativ'!$B$6:$B$405,E579,'Istoric_Nativ'!$C$6:$C$405,F579,'Istoric_Nativ'!$F$6:$F$405,G579,'Istoric_Nativ'!$O$6:$O$405,"INVALID",'Istoric_Nativ'!$D$6:$D$405,"*")+COUNTIFS('Istoric_Nativ'!$B$6:$B$405,E579,'Istoric_Nativ'!$C$6:$C$405,F579,'Istoric_Nativ'!$F$6:$F$405,G579,'Istoric_Nativ'!$D$6:$D$405,"&lt;"&amp;J579,'Istoric_Nativ'!$O$6:$O$405,"SOURCE CONFLICT"))</x:f>
        <x:v>0</x:v>
      </x:c>
      <x:c r="T579" s="2" t="str">
        <x:f>IF(B579="","",IF(R579&lt;&gt;"CLOSED",R579,IF(S579&gt;0,"NATIVE INPUT ISSUE",IF(M579=0,"NO HISTORY",IF(M579&lt;P579,"SMALL SAMPLE","DERIVED")))))</x:f>
      </x:c>
      <x:c r="U579" s="2" t="str">
        <x:f>IF(B579="","","NativeTable; "&amp;E579&amp;"; "&amp;F579&amp;"; "&amp;G579&amp;"; "&amp;H579&amp;"; before "&amp;TEXT(J579,"yyyy-mm-dd")&amp;IF(I579="RECENT","; from "&amp;TEXT(L579,"yyyy-mm-dd"),""))</x:f>
      </x:c>
    </x:row>
    <x:row r="580" ht="21" customHeight="1">
      <x:c r="A580" s="2" t="n">
        <x:v>48</x:v>
      </x:c>
      <x:c r="B580" s="2" t="str">
        <x:f>IF('Input_Meci'!A53="","",'Input_Meci'!A53)</x:f>
      </x:c>
      <x:c r="C580" s="2" t="str">
        <x:v>A</x:v>
      </x:c>
      <x:c r="D580" s="2" t="str">
        <x:v>PRIOR</x:v>
      </x:c>
      <x:c r="E580" s="2" t="str">
        <x:f>IF(B580="","",'Input_Meci'!B53)</x:f>
      </x:c>
      <x:c r="F580" s="2" t="str">
        <x:f>IF(B580="","",IF('Input_Meci'!K53="","",'Input_Meci'!K53))</x:f>
      </x:c>
      <x:c r="G580" s="2" t="str">
        <x:f>IF(B580="","",'Input_Meci'!E53)</x:f>
      </x:c>
      <x:c r="H580" s="2" t="str">
        <x:v>AWAY</x:v>
      </x:c>
      <x:c r="I580" s="2" t="str">
        <x:v>HA</x:v>
      </x:c>
      <x:c r="J580" s="9" t="n">
        <x:f>IF(AND(B580&lt;&gt;"",ISNUMBER('Input_Meci'!G53)),INT('Input_Meci'!G53),0)</x:f>
        <x:v>0</x:v>
      </x:c>
      <x:c r="K580" s="2" t="n">
        <x:f>IF(OR(B580="",F580=""),0,IF(H580="HOME",COUNTIFS('Istoric_Nativ'!$B$6:$B$405,E580,'Istoric_Nativ'!$C$6:$C$405,F580,'Istoric_Nativ'!$E$6:$E$405,G580,'Istoric_Nativ'!$D$6:$D$405,"&lt;"&amp;J580,'Istoric_Nativ'!$P$6:$P$405,1),IF(H580="AWAY",COUNTIFS('Istoric_Nativ'!$B$6:$B$405,E580,'Istoric_Nativ'!$C$6:$C$405,F580,'Istoric_Nativ'!$F$6:$F$405,G580,'Istoric_Nativ'!$D$6:$D$405,"&lt;"&amp;J580,'Istoric_Nativ'!$P$6:$P$405,1),COUNTIFS('Istoric_Nativ'!$B$6:$B$405,E580,'Istoric_Nativ'!$C$6:$C$405,F580,'Istoric_Nativ'!$E$6:$E$405,G580,'Istoric_Nativ'!$D$6:$D$405,"&lt;"&amp;J580,'Istoric_Nativ'!$P$6:$P$405,1)+COUNTIFS('Istoric_Nativ'!$B$6:$B$405,E580,'Istoric_Nativ'!$C$6:$C$405,F580,'Istoric_Nativ'!$F$6:$F$405,G580,'Istoric_Nativ'!$D$6:$D$405,"&lt;"&amp;J580,'Istoric_Nativ'!$P$6:$P$405,1))))</x:f>
        <x:v>0</x:v>
      </x:c>
      <x:c r="L580" s="17" t="n">
        <x:f>IF(AND(B580&lt;&gt;"",I580="RECENT",K580&gt;0),LARGE(_xlfn._xlws.FILTER('Istoric_Nativ'!$D$6:$D$405,('Istoric_Nativ'!$B$6:$B$405=E580)*('Istoric_Nativ'!$C$6:$C$405=F580)*('Istoric_Nativ'!$P$6:$P$405=1)*('Istoric_Nativ'!$D$6:$D$405&lt;J580)*((('Istoric_Nativ'!$E$6:$E$405=G580)+('Istoric_Nativ'!$F$6:$F$405=G580))&gt;0)),MIN('Config_v6'!$B$54,K580)),0)</x:f>
        <x:v>0</x:v>
      </x:c>
      <x:c r="M580" s="2" t="n">
        <x:f>IF(OR(B580="",F580=""),0,IF(H580="HOME",COUNTIFS('Istoric_Nativ'!$B$6:$B$405,E580,'Istoric_Nativ'!$C$6:$C$405,F580,'Istoric_Nativ'!$E$6:$E$405,G580,'Istoric_Nativ'!$D$6:$D$405,"&lt;"&amp;J580,'Istoric_Nativ'!$P$6:$P$405,1,'Istoric_Nativ'!$D$6:$D$405,"&gt;="&amp;L580),IF(H580="AWAY",COUNTIFS('Istoric_Nativ'!$B$6:$B$405,E580,'Istoric_Nativ'!$C$6:$C$405,F580,'Istoric_Nativ'!$F$6:$F$405,G580,'Istoric_Nativ'!$D$6:$D$405,"&lt;"&amp;J580,'Istoric_Nativ'!$P$6:$P$405,1,'Istoric_Nativ'!$D$6:$D$405,"&gt;="&amp;L580),COUNTIFS('Istoric_Nativ'!$B$6:$B$405,E580,'Istoric_Nativ'!$C$6:$C$405,F580,'Istoric_Nativ'!$E$6:$E$405,G580,'Istoric_Nativ'!$D$6:$D$405,"&lt;"&amp;J580,'Istoric_Nativ'!$P$6:$P$405,1,'Istoric_Nativ'!$D$6:$D$405,"&gt;="&amp;L580)+COUNTIFS('Istoric_Nativ'!$B$6:$B$405,E580,'Istoric_Nativ'!$C$6:$C$405,F580,'Istoric_Nativ'!$F$6:$F$405,G580,'Istoric_Nativ'!$D$6:$D$405,"&lt;"&amp;J580,'Istoric_Nativ'!$P$6:$P$405,1,'Istoric_Nativ'!$D$6:$D$405,"&gt;="&amp;L580))))</x:f>
        <x:v>0</x:v>
      </x:c>
      <x:c r="N580" s="11" t="str">
        <x:f>IF(M580=0,"",IF(H580="HOME",SUMIFS('Istoric_Nativ'!$G$6:$G$405,'Istoric_Nativ'!$B$6:$B$405,E580,'Istoric_Nativ'!$C$6:$C$405,F580,'Istoric_Nativ'!$E$6:$E$405,G580,'Istoric_Nativ'!$D$6:$D$405,"&lt;"&amp;J580,'Istoric_Nativ'!$P$6:$P$405,1,'Istoric_Nativ'!$D$6:$D$405,"&gt;="&amp;L580),IF(H580="AWAY",SUMIFS('Istoric_Nativ'!$H$6:$H$405,'Istoric_Nativ'!$B$6:$B$405,E580,'Istoric_Nativ'!$C$6:$C$405,F580,'Istoric_Nativ'!$F$6:$F$405,G580,'Istoric_Nativ'!$D$6:$D$405,"&lt;"&amp;J580,'Istoric_Nativ'!$P$6:$P$405,1,'Istoric_Nativ'!$D$6:$D$405,"&gt;="&amp;L580),SUMIFS('Istoric_Nativ'!$G$6:$G$405,'Istoric_Nativ'!$B$6:$B$405,E580,'Istoric_Nativ'!$C$6:$C$405,F580,'Istoric_Nativ'!$E$6:$E$405,G580,'Istoric_Nativ'!$D$6:$D$405,"&lt;"&amp;J580,'Istoric_Nativ'!$P$6:$P$405,1,'Istoric_Nativ'!$D$6:$D$405,"&gt;="&amp;L580)+SUMIFS('Istoric_Nativ'!$H$6:$H$405,'Istoric_Nativ'!$B$6:$B$405,E580,'Istoric_Nativ'!$C$6:$C$405,F580,'Istoric_Nativ'!$F$6:$F$405,G580,'Istoric_Nativ'!$D$6:$D$405,"&lt;"&amp;J580,'Istoric_Nativ'!$P$6:$P$405,1,'Istoric_Nativ'!$D$6:$D$405,"&gt;="&amp;L580)))/M580)</x:f>
      </x:c>
      <x:c r="O580" s="11" t="str">
        <x:f>IF(M580=0,"",IF(H580="HOME",SUMIFS('Istoric_Nativ'!$H$6:$H$405,'Istoric_Nativ'!$B$6:$B$405,E580,'Istoric_Nativ'!$C$6:$C$405,F580,'Istoric_Nativ'!$E$6:$E$405,G580,'Istoric_Nativ'!$D$6:$D$405,"&lt;"&amp;J580,'Istoric_Nativ'!$P$6:$P$405,1,'Istoric_Nativ'!$D$6:$D$405,"&gt;="&amp;L580),IF(H580="AWAY",SUMIFS('Istoric_Nativ'!$G$6:$G$405,'Istoric_Nativ'!$B$6:$B$405,E580,'Istoric_Nativ'!$C$6:$C$405,F580,'Istoric_Nativ'!$F$6:$F$405,G580,'Istoric_Nativ'!$D$6:$D$405,"&lt;"&amp;J580,'Istoric_Nativ'!$P$6:$P$405,1,'Istoric_Nativ'!$D$6:$D$405,"&gt;="&amp;L580),SUMIFS('Istoric_Nativ'!$H$6:$H$405,'Istoric_Nativ'!$B$6:$B$405,E580,'Istoric_Nativ'!$C$6:$C$405,F580,'Istoric_Nativ'!$E$6:$E$405,G580,'Istoric_Nativ'!$D$6:$D$405,"&lt;"&amp;J580,'Istoric_Nativ'!$P$6:$P$405,1,'Istoric_Nativ'!$D$6:$D$405,"&gt;="&amp;L580)+SUMIFS('Istoric_Nativ'!$G$6:$G$405,'Istoric_Nativ'!$B$6:$B$405,E580,'Istoric_Nativ'!$C$6:$C$405,F580,'Istoric_Nativ'!$F$6:$F$405,G580,'Istoric_Nativ'!$D$6:$D$405,"&lt;"&amp;J580,'Istoric_Nativ'!$P$6:$P$405,1,'Istoric_Nativ'!$D$6:$D$405,"&gt;="&amp;L580)))/M580)</x:f>
      </x:c>
      <x:c r="P580" s="2" t="n">
        <x:f>'Config_v6'!$B$8</x:f>
        <x:v>5</x:v>
      </x:c>
      <x:c r="Q580" s="2" t="n">
        <x:f>IF(OR(B580="",F580=""),0,IFERROR(MATCH(E580&amp;"|"&amp;F580,SourceTable[Source_Key],0),0))</x:f>
        <x:v>0</x:v>
      </x:c>
      <x:c r="R580" s="2" t="str">
        <x:f>IF(B580="","",IF(F580="","UNUSED",IF(Q580=0,"NOT CHECKED",IF(COUNTIF(SourceTable[Source_Key],E580&amp;"|"&amp;F580)&lt;&gt;1,"SOURCE CONFLICT",IF(NOT(OR(INDEX(SourceTable[Status],MAX(1,Q580))="IMPORTED",INDEX(SourceTable[Status],MAX(1,Q580))="PARTIAL",INDEX(SourceTable[Status],MAX(1,Q580))="SOURCE CONFLICT")),"ACCESS BLOCKED",IF(OR(INDEX(SourceTable[Coverage],Q580)&lt;&gt;"FULL SEASON EXPORT",INDEX(SourceTable[URL],Q580)="",INDEX(SourceTable[SHA256],Q580)=""),"EVIDENCE INCOMPLETE",IF(AND('Input_Meci'!H53="LIVE",INDEX(SourceTable[Retrieved_UTC],Q580)&gt;'Input_Meci'!G53),"POST CUTOFF","CLOSED")))))))</x:f>
      </x:c>
      <x:c r="S580" s="2" t="n">
        <x:f>IF(OR(B580="",F580=""),0,COUNTIFS('Istoric_Nativ'!$B$6:$B$405,E580,'Istoric_Nativ'!$C$6:$C$405,F580,'Istoric_Nativ'!$E$6:$E$405,G580,'Istoric_Nativ'!$D$6:$D$405,"&lt;"&amp;J580,'Istoric_Nativ'!$O$6:$O$405,"INVALID")+COUNTIFS('Istoric_Nativ'!$B$6:$B$405,E580,'Istoric_Nativ'!$C$6:$C$405,F580,'Istoric_Nativ'!$E$6:$E$405,G580,'Istoric_Nativ'!$O$6:$O$405,"INVALID",'Istoric_Nativ'!$D$6:$D$405,"*")+COUNTIFS('Istoric_Nativ'!$B$6:$B$405,E580,'Istoric_Nativ'!$C$6:$C$405,F580,'Istoric_Nativ'!$E$6:$E$405,G580,'Istoric_Nativ'!$D$6:$D$405,"&lt;"&amp;J580,'Istoric_Nativ'!$O$6:$O$405,"SOURCE CONFLICT")+COUNTIFS('Istoric_Nativ'!$B$6:$B$405,E580,'Istoric_Nativ'!$C$6:$C$405,F580,'Istoric_Nativ'!$F$6:$F$405,G580,'Istoric_Nativ'!$D$6:$D$405,"&lt;"&amp;J580,'Istoric_Nativ'!$O$6:$O$405,"INVALID")+COUNTIFS('Istoric_Nativ'!$B$6:$B$405,E580,'Istoric_Nativ'!$C$6:$C$405,F580,'Istoric_Nativ'!$F$6:$F$405,G580,'Istoric_Nativ'!$O$6:$O$405,"INVALID",'Istoric_Nativ'!$D$6:$D$405,"*")+COUNTIFS('Istoric_Nativ'!$B$6:$B$405,E580,'Istoric_Nativ'!$C$6:$C$405,F580,'Istoric_Nativ'!$F$6:$F$405,G580,'Istoric_Nativ'!$D$6:$D$405,"&lt;"&amp;J580,'Istoric_Nativ'!$O$6:$O$405,"SOURCE CONFLICT"))</x:f>
        <x:v>0</x:v>
      </x:c>
      <x:c r="T580" s="2" t="str">
        <x:f>IF(B580="","",IF(R580&lt;&gt;"CLOSED",R580,IF(S580&gt;0,"NATIVE INPUT ISSUE",IF(M580=0,"NO HISTORY",IF(M580&lt;P580,"SMALL SAMPLE","DERIVED")))))</x:f>
      </x:c>
      <x:c r="U580" s="2" t="str">
        <x:f>IF(B580="","","NativeTable; "&amp;E580&amp;"; "&amp;F580&amp;"; "&amp;G580&amp;"; "&amp;H580&amp;"; before "&amp;TEXT(J580,"yyyy-mm-dd")&amp;IF(I580="RECENT","; from "&amp;TEXT(L580,"yyyy-mm-dd"),""))</x:f>
      </x:c>
    </x:row>
    <x:row r="581" ht="21" customHeight="1">
      <x:c r="A581" s="2" t="n">
        <x:v>48</x:v>
      </x:c>
      <x:c r="B581" s="2" t="str">
        <x:f>IF('Input_Meci'!A53="","",'Input_Meci'!A53)</x:f>
      </x:c>
      <x:c r="C581" s="2" t="str">
        <x:v>A</x:v>
      </x:c>
      <x:c r="D581" s="2" t="str">
        <x:v>PRIOR</x:v>
      </x:c>
      <x:c r="E581" s="2" t="str">
        <x:f>IF(B581="","",'Input_Meci'!B53)</x:f>
      </x:c>
      <x:c r="F581" s="2" t="str">
        <x:f>IF(B581="","",IF('Input_Meci'!K53="","",'Input_Meci'!K53))</x:f>
      </x:c>
      <x:c r="G581" s="2" t="str">
        <x:f>IF(B581="","",'Input_Meci'!E53)</x:f>
      </x:c>
      <x:c r="H581" s="2" t="str">
        <x:v>ANY</x:v>
      </x:c>
      <x:c r="I581" s="2" t="str">
        <x:v>RECENT</x:v>
      </x:c>
      <x:c r="J581" s="9" t="n">
        <x:f>IF(AND(B581&lt;&gt;"",ISNUMBER('Input_Meci'!G53)),INT('Input_Meci'!G53),0)</x:f>
        <x:v>0</x:v>
      </x:c>
      <x:c r="K581" s="2" t="n">
        <x:f>IF(OR(B581="",F581=""),0,IF(H581="HOME",COUNTIFS('Istoric_Nativ'!$B$6:$B$405,E581,'Istoric_Nativ'!$C$6:$C$405,F581,'Istoric_Nativ'!$E$6:$E$405,G581,'Istoric_Nativ'!$D$6:$D$405,"&lt;"&amp;J581,'Istoric_Nativ'!$P$6:$P$405,1),IF(H581="AWAY",COUNTIFS('Istoric_Nativ'!$B$6:$B$405,E581,'Istoric_Nativ'!$C$6:$C$405,F581,'Istoric_Nativ'!$F$6:$F$405,G581,'Istoric_Nativ'!$D$6:$D$405,"&lt;"&amp;J581,'Istoric_Nativ'!$P$6:$P$405,1),COUNTIFS('Istoric_Nativ'!$B$6:$B$405,E581,'Istoric_Nativ'!$C$6:$C$405,F581,'Istoric_Nativ'!$E$6:$E$405,G581,'Istoric_Nativ'!$D$6:$D$405,"&lt;"&amp;J581,'Istoric_Nativ'!$P$6:$P$405,1)+COUNTIFS('Istoric_Nativ'!$B$6:$B$405,E581,'Istoric_Nativ'!$C$6:$C$405,F581,'Istoric_Nativ'!$F$6:$F$405,G581,'Istoric_Nativ'!$D$6:$D$405,"&lt;"&amp;J581,'Istoric_Nativ'!$P$6:$P$405,1))))</x:f>
        <x:v>0</x:v>
      </x:c>
      <x:c r="L581" s="17" t="n">
        <x:f>IF(AND(B581&lt;&gt;"",I581="RECENT",K581&gt;0),LARGE(_xlfn._xlws.FILTER('Istoric_Nativ'!$D$6:$D$405,('Istoric_Nativ'!$B$6:$B$405=E581)*('Istoric_Nativ'!$C$6:$C$405=F581)*('Istoric_Nativ'!$P$6:$P$405=1)*('Istoric_Nativ'!$D$6:$D$405&lt;J581)*((('Istoric_Nativ'!$E$6:$E$405=G581)+('Istoric_Nativ'!$F$6:$F$405=G581))&gt;0)),MIN('Config_v6'!$B$54,K581)),0)</x:f>
        <x:v>0</x:v>
      </x:c>
      <x:c r="M581" s="2" t="n">
        <x:f>IF(OR(B581="",F581=""),0,IF(H581="HOME",COUNTIFS('Istoric_Nativ'!$B$6:$B$405,E581,'Istoric_Nativ'!$C$6:$C$405,F581,'Istoric_Nativ'!$E$6:$E$405,G581,'Istoric_Nativ'!$D$6:$D$405,"&lt;"&amp;J581,'Istoric_Nativ'!$P$6:$P$405,1,'Istoric_Nativ'!$D$6:$D$405,"&gt;="&amp;L581),IF(H581="AWAY",COUNTIFS('Istoric_Nativ'!$B$6:$B$405,E581,'Istoric_Nativ'!$C$6:$C$405,F581,'Istoric_Nativ'!$F$6:$F$405,G581,'Istoric_Nativ'!$D$6:$D$405,"&lt;"&amp;J581,'Istoric_Nativ'!$P$6:$P$405,1,'Istoric_Nativ'!$D$6:$D$405,"&gt;="&amp;L581),COUNTIFS('Istoric_Nativ'!$B$6:$B$405,E581,'Istoric_Nativ'!$C$6:$C$405,F581,'Istoric_Nativ'!$E$6:$E$405,G581,'Istoric_Nativ'!$D$6:$D$405,"&lt;"&amp;J581,'Istoric_Nativ'!$P$6:$P$405,1,'Istoric_Nativ'!$D$6:$D$405,"&gt;="&amp;L581)+COUNTIFS('Istoric_Nativ'!$B$6:$B$405,E581,'Istoric_Nativ'!$C$6:$C$405,F581,'Istoric_Nativ'!$F$6:$F$405,G581,'Istoric_Nativ'!$D$6:$D$405,"&lt;"&amp;J581,'Istoric_Nativ'!$P$6:$P$405,1,'Istoric_Nativ'!$D$6:$D$405,"&gt;="&amp;L581))))</x:f>
        <x:v>0</x:v>
      </x:c>
      <x:c r="N581" s="11" t="str">
        <x:f>IF(M581=0,"",IF(H581="HOME",SUMIFS('Istoric_Nativ'!$G$6:$G$405,'Istoric_Nativ'!$B$6:$B$405,E581,'Istoric_Nativ'!$C$6:$C$405,F581,'Istoric_Nativ'!$E$6:$E$405,G581,'Istoric_Nativ'!$D$6:$D$405,"&lt;"&amp;J581,'Istoric_Nativ'!$P$6:$P$405,1,'Istoric_Nativ'!$D$6:$D$405,"&gt;="&amp;L581),IF(H581="AWAY",SUMIFS('Istoric_Nativ'!$H$6:$H$405,'Istoric_Nativ'!$B$6:$B$405,E581,'Istoric_Nativ'!$C$6:$C$405,F581,'Istoric_Nativ'!$F$6:$F$405,G581,'Istoric_Nativ'!$D$6:$D$405,"&lt;"&amp;J581,'Istoric_Nativ'!$P$6:$P$405,1,'Istoric_Nativ'!$D$6:$D$405,"&gt;="&amp;L581),SUMIFS('Istoric_Nativ'!$G$6:$G$405,'Istoric_Nativ'!$B$6:$B$405,E581,'Istoric_Nativ'!$C$6:$C$405,F581,'Istoric_Nativ'!$E$6:$E$405,G581,'Istoric_Nativ'!$D$6:$D$405,"&lt;"&amp;J581,'Istoric_Nativ'!$P$6:$P$405,1,'Istoric_Nativ'!$D$6:$D$405,"&gt;="&amp;L581)+SUMIFS('Istoric_Nativ'!$H$6:$H$405,'Istoric_Nativ'!$B$6:$B$405,E581,'Istoric_Nativ'!$C$6:$C$405,F581,'Istoric_Nativ'!$F$6:$F$405,G581,'Istoric_Nativ'!$D$6:$D$405,"&lt;"&amp;J581,'Istoric_Nativ'!$P$6:$P$405,1,'Istoric_Nativ'!$D$6:$D$405,"&gt;="&amp;L581)))/M581)</x:f>
      </x:c>
      <x:c r="O581" s="11" t="str">
        <x:f>IF(M581=0,"",IF(H581="HOME",SUMIFS('Istoric_Nativ'!$H$6:$H$405,'Istoric_Nativ'!$B$6:$B$405,E581,'Istoric_Nativ'!$C$6:$C$405,F581,'Istoric_Nativ'!$E$6:$E$405,G581,'Istoric_Nativ'!$D$6:$D$405,"&lt;"&amp;J581,'Istoric_Nativ'!$P$6:$P$405,1,'Istoric_Nativ'!$D$6:$D$405,"&gt;="&amp;L581),IF(H581="AWAY",SUMIFS('Istoric_Nativ'!$G$6:$G$405,'Istoric_Nativ'!$B$6:$B$405,E581,'Istoric_Nativ'!$C$6:$C$405,F581,'Istoric_Nativ'!$F$6:$F$405,G581,'Istoric_Nativ'!$D$6:$D$405,"&lt;"&amp;J581,'Istoric_Nativ'!$P$6:$P$405,1,'Istoric_Nativ'!$D$6:$D$405,"&gt;="&amp;L581),SUMIFS('Istoric_Nativ'!$H$6:$H$405,'Istoric_Nativ'!$B$6:$B$405,E581,'Istoric_Nativ'!$C$6:$C$405,F581,'Istoric_Nativ'!$E$6:$E$405,G581,'Istoric_Nativ'!$D$6:$D$405,"&lt;"&amp;J581,'Istoric_Nativ'!$P$6:$P$405,1,'Istoric_Nativ'!$D$6:$D$405,"&gt;="&amp;L581)+SUMIFS('Istoric_Nativ'!$G$6:$G$405,'Istoric_Nativ'!$B$6:$B$405,E581,'Istoric_Nativ'!$C$6:$C$405,F581,'Istoric_Nativ'!$F$6:$F$405,G581,'Istoric_Nativ'!$D$6:$D$405,"&lt;"&amp;J581,'Istoric_Nativ'!$P$6:$P$405,1,'Istoric_Nativ'!$D$6:$D$405,"&gt;="&amp;L581)))/M581)</x:f>
      </x:c>
      <x:c r="P581" s="2" t="n">
        <x:f>'Config_v6'!$B$9</x:f>
        <x:v>3</x:v>
      </x:c>
      <x:c r="Q581" s="2" t="n">
        <x:f>IF(OR(B581="",F581=""),0,IFERROR(MATCH(E581&amp;"|"&amp;F581,SourceTable[Source_Key],0),0))</x:f>
        <x:v>0</x:v>
      </x:c>
      <x:c r="R581" s="2" t="str">
        <x:f>IF(B581="","",IF(F581="","UNUSED",IF(Q581=0,"NOT CHECKED",IF(COUNTIF(SourceTable[Source_Key],E581&amp;"|"&amp;F581)&lt;&gt;1,"SOURCE CONFLICT",IF(NOT(OR(INDEX(SourceTable[Status],MAX(1,Q581))="IMPORTED",INDEX(SourceTable[Status],MAX(1,Q581))="PARTIAL",INDEX(SourceTable[Status],MAX(1,Q581))="SOURCE CONFLICT")),"ACCESS BLOCKED",IF(OR(INDEX(SourceTable[Coverage],Q581)&lt;&gt;"FULL SEASON EXPORT",INDEX(SourceTable[URL],Q581)="",INDEX(SourceTable[SHA256],Q581)=""),"EVIDENCE INCOMPLETE",IF(AND('Input_Meci'!H53="LIVE",INDEX(SourceTable[Retrieved_UTC],Q581)&gt;'Input_Meci'!G53),"POST CUTOFF","CLOSED")))))))</x:f>
      </x:c>
      <x:c r="S581" s="2" t="n">
        <x:f>IF(OR(B581="",F581=""),0,COUNTIFS('Istoric_Nativ'!$B$6:$B$405,E581,'Istoric_Nativ'!$C$6:$C$405,F581,'Istoric_Nativ'!$E$6:$E$405,G581,'Istoric_Nativ'!$D$6:$D$405,"&lt;"&amp;J581,'Istoric_Nativ'!$O$6:$O$405,"INVALID")+COUNTIFS('Istoric_Nativ'!$B$6:$B$405,E581,'Istoric_Nativ'!$C$6:$C$405,F581,'Istoric_Nativ'!$E$6:$E$405,G581,'Istoric_Nativ'!$O$6:$O$405,"INVALID",'Istoric_Nativ'!$D$6:$D$405,"*")+COUNTIFS('Istoric_Nativ'!$B$6:$B$405,E581,'Istoric_Nativ'!$C$6:$C$405,F581,'Istoric_Nativ'!$E$6:$E$405,G581,'Istoric_Nativ'!$D$6:$D$405,"&lt;"&amp;J581,'Istoric_Nativ'!$O$6:$O$405,"SOURCE CONFLICT")+COUNTIFS('Istoric_Nativ'!$B$6:$B$405,E581,'Istoric_Nativ'!$C$6:$C$405,F581,'Istoric_Nativ'!$F$6:$F$405,G581,'Istoric_Nativ'!$D$6:$D$405,"&lt;"&amp;J581,'Istoric_Nativ'!$O$6:$O$405,"INVALID")+COUNTIFS('Istoric_Nativ'!$B$6:$B$405,E581,'Istoric_Nativ'!$C$6:$C$405,F581,'Istoric_Nativ'!$F$6:$F$405,G581,'Istoric_Nativ'!$O$6:$O$405,"INVALID",'Istoric_Nativ'!$D$6:$D$405,"*")+COUNTIFS('Istoric_Nativ'!$B$6:$B$405,E581,'Istoric_Nativ'!$C$6:$C$405,F581,'Istoric_Nativ'!$F$6:$F$405,G581,'Istoric_Nativ'!$D$6:$D$405,"&lt;"&amp;J581,'Istoric_Nativ'!$O$6:$O$405,"SOURCE CONFLICT"))</x:f>
        <x:v>0</x:v>
      </x:c>
      <x:c r="T581" s="2" t="str">
        <x:f>IF(B581="","",IF(R581&lt;&gt;"CLOSED",R581,IF(S581&gt;0,"NATIVE INPUT ISSUE",IF(M581=0,"NO HISTORY",IF(M581&lt;P581,"SMALL SAMPLE","DERIVED")))))</x:f>
      </x:c>
      <x:c r="U581" s="2" t="str">
        <x:f>IF(B581="","","NativeTable; "&amp;E581&amp;"; "&amp;F581&amp;"; "&amp;G581&amp;"; "&amp;H581&amp;"; before "&amp;TEXT(J581,"yyyy-mm-dd")&amp;IF(I581="RECENT","; from "&amp;TEXT(L581,"yyyy-mm-dd"),""))</x:f>
      </x:c>
    </x:row>
    <x:row r="582" ht="21" customHeight="1">
      <x:c r="A582" s="2" t="n">
        <x:v>49</x:v>
      </x:c>
      <x:c r="B582" s="2" t="str">
        <x:f>IF('Input_Meci'!A54="","",'Input_Meci'!A54)</x:f>
      </x:c>
      <x:c r="C582" s="2" t="str">
        <x:v>H</x:v>
      </x:c>
      <x:c r="D582" s="2" t="str">
        <x:v>CURRENT</x:v>
      </x:c>
      <x:c r="E582" s="2" t="str">
        <x:f>IF(B582="","",'Input_Meci'!B54)</x:f>
      </x:c>
      <x:c r="F582" s="2" t="str">
        <x:f>IF(B582="","",IF('Input_Meci'!C54="","",'Input_Meci'!C54))</x:f>
      </x:c>
      <x:c r="G582" s="2" t="str">
        <x:f>IF(B582="","",'Input_Meci'!D54)</x:f>
      </x:c>
      <x:c r="H582" s="2" t="str">
        <x:v>ANY</x:v>
      </x:c>
      <x:c r="I582" s="2" t="str">
        <x:v>SEASON</x:v>
      </x:c>
      <x:c r="J582" s="9" t="n">
        <x:f>IF(AND(B582&lt;&gt;"",ISNUMBER('Input_Meci'!G54)),INT('Input_Meci'!G54),0)</x:f>
        <x:v>0</x:v>
      </x:c>
      <x:c r="K582" s="2" t="n">
        <x:f>IF(OR(B582="",F582=""),0,IF(H582="HOME",COUNTIFS('Istoric_Nativ'!$B$6:$B$405,E582,'Istoric_Nativ'!$C$6:$C$405,F582,'Istoric_Nativ'!$E$6:$E$405,G582,'Istoric_Nativ'!$D$6:$D$405,"&lt;"&amp;J582,'Istoric_Nativ'!$P$6:$P$405,1),IF(H582="AWAY",COUNTIFS('Istoric_Nativ'!$B$6:$B$405,E582,'Istoric_Nativ'!$C$6:$C$405,F582,'Istoric_Nativ'!$F$6:$F$405,G582,'Istoric_Nativ'!$D$6:$D$405,"&lt;"&amp;J582,'Istoric_Nativ'!$P$6:$P$405,1),COUNTIFS('Istoric_Nativ'!$B$6:$B$405,E582,'Istoric_Nativ'!$C$6:$C$405,F582,'Istoric_Nativ'!$E$6:$E$405,G582,'Istoric_Nativ'!$D$6:$D$405,"&lt;"&amp;J582,'Istoric_Nativ'!$P$6:$P$405,1)+COUNTIFS('Istoric_Nativ'!$B$6:$B$405,E582,'Istoric_Nativ'!$C$6:$C$405,F582,'Istoric_Nativ'!$F$6:$F$405,G582,'Istoric_Nativ'!$D$6:$D$405,"&lt;"&amp;J582,'Istoric_Nativ'!$P$6:$P$405,1))))</x:f>
        <x:v>0</x:v>
      </x:c>
      <x:c r="L582" s="17" t="n">
        <x:f>IF(AND(B582&lt;&gt;"",I582="RECENT",K582&gt;0),LARGE(_xlfn._xlws.FILTER('Istoric_Nativ'!$D$6:$D$405,('Istoric_Nativ'!$B$6:$B$405=E582)*('Istoric_Nativ'!$C$6:$C$405=F582)*('Istoric_Nativ'!$P$6:$P$405=1)*('Istoric_Nativ'!$D$6:$D$405&lt;J582)*((('Istoric_Nativ'!$E$6:$E$405=G582)+('Istoric_Nativ'!$F$6:$F$405=G582))&gt;0)),MIN('Config_v6'!$B$54,K582)),0)</x:f>
        <x:v>0</x:v>
      </x:c>
      <x:c r="M582" s="2" t="n">
        <x:f>IF(OR(B582="",F582=""),0,IF(H582="HOME",COUNTIFS('Istoric_Nativ'!$B$6:$B$405,E582,'Istoric_Nativ'!$C$6:$C$405,F582,'Istoric_Nativ'!$E$6:$E$405,G582,'Istoric_Nativ'!$D$6:$D$405,"&lt;"&amp;J582,'Istoric_Nativ'!$P$6:$P$405,1,'Istoric_Nativ'!$D$6:$D$405,"&gt;="&amp;L582),IF(H582="AWAY",COUNTIFS('Istoric_Nativ'!$B$6:$B$405,E582,'Istoric_Nativ'!$C$6:$C$405,F582,'Istoric_Nativ'!$F$6:$F$405,G582,'Istoric_Nativ'!$D$6:$D$405,"&lt;"&amp;J582,'Istoric_Nativ'!$P$6:$P$405,1,'Istoric_Nativ'!$D$6:$D$405,"&gt;="&amp;L582),COUNTIFS('Istoric_Nativ'!$B$6:$B$405,E582,'Istoric_Nativ'!$C$6:$C$405,F582,'Istoric_Nativ'!$E$6:$E$405,G582,'Istoric_Nativ'!$D$6:$D$405,"&lt;"&amp;J582,'Istoric_Nativ'!$P$6:$P$405,1,'Istoric_Nativ'!$D$6:$D$405,"&gt;="&amp;L582)+COUNTIFS('Istoric_Nativ'!$B$6:$B$405,E582,'Istoric_Nativ'!$C$6:$C$405,F582,'Istoric_Nativ'!$F$6:$F$405,G582,'Istoric_Nativ'!$D$6:$D$405,"&lt;"&amp;J582,'Istoric_Nativ'!$P$6:$P$405,1,'Istoric_Nativ'!$D$6:$D$405,"&gt;="&amp;L582))))</x:f>
        <x:v>0</x:v>
      </x:c>
      <x:c r="N582" s="11" t="str">
        <x:f>IF(M582=0,"",IF(H582="HOME",SUMIFS('Istoric_Nativ'!$G$6:$G$405,'Istoric_Nativ'!$B$6:$B$405,E582,'Istoric_Nativ'!$C$6:$C$405,F582,'Istoric_Nativ'!$E$6:$E$405,G582,'Istoric_Nativ'!$D$6:$D$405,"&lt;"&amp;J582,'Istoric_Nativ'!$P$6:$P$405,1,'Istoric_Nativ'!$D$6:$D$405,"&gt;="&amp;L582),IF(H582="AWAY",SUMIFS('Istoric_Nativ'!$H$6:$H$405,'Istoric_Nativ'!$B$6:$B$405,E582,'Istoric_Nativ'!$C$6:$C$405,F582,'Istoric_Nativ'!$F$6:$F$405,G582,'Istoric_Nativ'!$D$6:$D$405,"&lt;"&amp;J582,'Istoric_Nativ'!$P$6:$P$405,1,'Istoric_Nativ'!$D$6:$D$405,"&gt;="&amp;L582),SUMIFS('Istoric_Nativ'!$G$6:$G$405,'Istoric_Nativ'!$B$6:$B$405,E582,'Istoric_Nativ'!$C$6:$C$405,F582,'Istoric_Nativ'!$E$6:$E$405,G582,'Istoric_Nativ'!$D$6:$D$405,"&lt;"&amp;J582,'Istoric_Nativ'!$P$6:$P$405,1,'Istoric_Nativ'!$D$6:$D$405,"&gt;="&amp;L582)+SUMIFS('Istoric_Nativ'!$H$6:$H$405,'Istoric_Nativ'!$B$6:$B$405,E582,'Istoric_Nativ'!$C$6:$C$405,F582,'Istoric_Nativ'!$F$6:$F$405,G582,'Istoric_Nativ'!$D$6:$D$405,"&lt;"&amp;J582,'Istoric_Nativ'!$P$6:$P$405,1,'Istoric_Nativ'!$D$6:$D$405,"&gt;="&amp;L582)))/M582)</x:f>
      </x:c>
      <x:c r="O582" s="11" t="str">
        <x:f>IF(M582=0,"",IF(H582="HOME",SUMIFS('Istoric_Nativ'!$H$6:$H$405,'Istoric_Nativ'!$B$6:$B$405,E582,'Istoric_Nativ'!$C$6:$C$405,F582,'Istoric_Nativ'!$E$6:$E$405,G582,'Istoric_Nativ'!$D$6:$D$405,"&lt;"&amp;J582,'Istoric_Nativ'!$P$6:$P$405,1,'Istoric_Nativ'!$D$6:$D$405,"&gt;="&amp;L582),IF(H582="AWAY",SUMIFS('Istoric_Nativ'!$G$6:$G$405,'Istoric_Nativ'!$B$6:$B$405,E582,'Istoric_Nativ'!$C$6:$C$405,F582,'Istoric_Nativ'!$F$6:$F$405,G582,'Istoric_Nativ'!$D$6:$D$405,"&lt;"&amp;J582,'Istoric_Nativ'!$P$6:$P$405,1,'Istoric_Nativ'!$D$6:$D$405,"&gt;="&amp;L582),SUMIFS('Istoric_Nativ'!$H$6:$H$405,'Istoric_Nativ'!$B$6:$B$405,E582,'Istoric_Nativ'!$C$6:$C$405,F582,'Istoric_Nativ'!$E$6:$E$405,G582,'Istoric_Nativ'!$D$6:$D$405,"&lt;"&amp;J582,'Istoric_Nativ'!$P$6:$P$405,1,'Istoric_Nativ'!$D$6:$D$405,"&gt;="&amp;L582)+SUMIFS('Istoric_Nativ'!$G$6:$G$405,'Istoric_Nativ'!$B$6:$B$405,E582,'Istoric_Nativ'!$C$6:$C$405,F582,'Istoric_Nativ'!$F$6:$F$405,G582,'Istoric_Nativ'!$D$6:$D$405,"&lt;"&amp;J582,'Istoric_Nativ'!$P$6:$P$405,1,'Istoric_Nativ'!$D$6:$D$405,"&gt;="&amp;L582)))/M582)</x:f>
      </x:c>
      <x:c r="P582" s="2" t="n">
        <x:f>'Config_v6'!$B$7</x:f>
        <x:v>10</x:v>
      </x:c>
      <x:c r="Q582" s="2" t="n">
        <x:f>IF(OR(B582="",F582=""),0,IFERROR(MATCH(E582&amp;"|"&amp;F582,SourceTable[Source_Key],0),0))</x:f>
        <x:v>0</x:v>
      </x:c>
      <x:c r="R582" s="2" t="str">
        <x:f>IF(B582="","",IF(F582="","UNUSED",IF(Q582=0,"NOT CHECKED",IF(COUNTIF(SourceTable[Source_Key],E582&amp;"|"&amp;F582)&lt;&gt;1,"SOURCE CONFLICT",IF(NOT(OR(INDEX(SourceTable[Status],MAX(1,Q582))="IMPORTED",INDEX(SourceTable[Status],MAX(1,Q582))="PARTIAL",INDEX(SourceTable[Status],MAX(1,Q582))="SOURCE CONFLICT")),"ACCESS BLOCKED",IF(OR(INDEX(SourceTable[Coverage],Q582)&lt;&gt;"FULL SEASON EXPORT",INDEX(SourceTable[URL],Q582)="",INDEX(SourceTable[SHA256],Q582)=""),"EVIDENCE INCOMPLETE",IF(AND('Input_Meci'!H54="LIVE",INDEX(SourceTable[Retrieved_UTC],Q582)&gt;'Input_Meci'!G54),"POST CUTOFF","CLOSED")))))))</x:f>
      </x:c>
      <x:c r="S582" s="2" t="n">
        <x:f>IF(OR(B582="",F582=""),0,COUNTIFS('Istoric_Nativ'!$B$6:$B$405,E582,'Istoric_Nativ'!$C$6:$C$405,F582,'Istoric_Nativ'!$E$6:$E$405,G582,'Istoric_Nativ'!$D$6:$D$405,"&lt;"&amp;J582,'Istoric_Nativ'!$O$6:$O$405,"INVALID")+COUNTIFS('Istoric_Nativ'!$B$6:$B$405,E582,'Istoric_Nativ'!$C$6:$C$405,F582,'Istoric_Nativ'!$E$6:$E$405,G582,'Istoric_Nativ'!$O$6:$O$405,"INVALID",'Istoric_Nativ'!$D$6:$D$405,"*")+COUNTIFS('Istoric_Nativ'!$B$6:$B$405,E582,'Istoric_Nativ'!$C$6:$C$405,F582,'Istoric_Nativ'!$E$6:$E$405,G582,'Istoric_Nativ'!$D$6:$D$405,"&lt;"&amp;J582,'Istoric_Nativ'!$O$6:$O$405,"SOURCE CONFLICT")+COUNTIFS('Istoric_Nativ'!$B$6:$B$405,E582,'Istoric_Nativ'!$C$6:$C$405,F582,'Istoric_Nativ'!$F$6:$F$405,G582,'Istoric_Nativ'!$D$6:$D$405,"&lt;"&amp;J582,'Istoric_Nativ'!$O$6:$O$405,"INVALID")+COUNTIFS('Istoric_Nativ'!$B$6:$B$405,E582,'Istoric_Nativ'!$C$6:$C$405,F582,'Istoric_Nativ'!$F$6:$F$405,G582,'Istoric_Nativ'!$O$6:$O$405,"INVALID",'Istoric_Nativ'!$D$6:$D$405,"*")+COUNTIFS('Istoric_Nativ'!$B$6:$B$405,E582,'Istoric_Nativ'!$C$6:$C$405,F582,'Istoric_Nativ'!$F$6:$F$405,G582,'Istoric_Nativ'!$D$6:$D$405,"&lt;"&amp;J582,'Istoric_Nativ'!$O$6:$O$405,"SOURCE CONFLICT"))</x:f>
        <x:v>0</x:v>
      </x:c>
      <x:c r="T582" s="2" t="str">
        <x:f>IF(B582="","",IF(R582&lt;&gt;"CLOSED",R582,IF(S582&gt;0,"NATIVE INPUT ISSUE",IF(M582=0,"NO HISTORY",IF(M582&lt;P582,"SMALL SAMPLE","DERIVED")))))</x:f>
      </x:c>
      <x:c r="U582" s="2" t="str">
        <x:f>IF(B582="","","NativeTable; "&amp;E582&amp;"; "&amp;F582&amp;"; "&amp;G582&amp;"; "&amp;H582&amp;"; before "&amp;TEXT(J582,"yyyy-mm-dd")&amp;IF(I582="RECENT","; from "&amp;TEXT(L582,"yyyy-mm-dd"),""))</x:f>
      </x:c>
    </x:row>
    <x:row r="583" ht="21" customHeight="1">
      <x:c r="A583" s="2" t="n">
        <x:v>49</x:v>
      </x:c>
      <x:c r="B583" s="2" t="str">
        <x:f>IF('Input_Meci'!A54="","",'Input_Meci'!A54)</x:f>
      </x:c>
      <x:c r="C583" s="2" t="str">
        <x:v>H</x:v>
      </x:c>
      <x:c r="D583" s="2" t="str">
        <x:v>CURRENT</x:v>
      </x:c>
      <x:c r="E583" s="2" t="str">
        <x:f>IF(B583="","",'Input_Meci'!B54)</x:f>
      </x:c>
      <x:c r="F583" s="2" t="str">
        <x:f>IF(B583="","",IF('Input_Meci'!C54="","",'Input_Meci'!C54))</x:f>
      </x:c>
      <x:c r="G583" s="2" t="str">
        <x:f>IF(B583="","",'Input_Meci'!D54)</x:f>
      </x:c>
      <x:c r="H583" s="2" t="str">
        <x:v>HOME</x:v>
      </x:c>
      <x:c r="I583" s="2" t="str">
        <x:v>HA</x:v>
      </x:c>
      <x:c r="J583" s="9" t="n">
        <x:f>IF(AND(B583&lt;&gt;"",ISNUMBER('Input_Meci'!G54)),INT('Input_Meci'!G54),0)</x:f>
        <x:v>0</x:v>
      </x:c>
      <x:c r="K583" s="2" t="n">
        <x:f>IF(OR(B583="",F583=""),0,IF(H583="HOME",COUNTIFS('Istoric_Nativ'!$B$6:$B$405,E583,'Istoric_Nativ'!$C$6:$C$405,F583,'Istoric_Nativ'!$E$6:$E$405,G583,'Istoric_Nativ'!$D$6:$D$405,"&lt;"&amp;J583,'Istoric_Nativ'!$P$6:$P$405,1),IF(H583="AWAY",COUNTIFS('Istoric_Nativ'!$B$6:$B$405,E583,'Istoric_Nativ'!$C$6:$C$405,F583,'Istoric_Nativ'!$F$6:$F$405,G583,'Istoric_Nativ'!$D$6:$D$405,"&lt;"&amp;J583,'Istoric_Nativ'!$P$6:$P$405,1),COUNTIFS('Istoric_Nativ'!$B$6:$B$405,E583,'Istoric_Nativ'!$C$6:$C$405,F583,'Istoric_Nativ'!$E$6:$E$405,G583,'Istoric_Nativ'!$D$6:$D$405,"&lt;"&amp;J583,'Istoric_Nativ'!$P$6:$P$405,1)+COUNTIFS('Istoric_Nativ'!$B$6:$B$405,E583,'Istoric_Nativ'!$C$6:$C$405,F583,'Istoric_Nativ'!$F$6:$F$405,G583,'Istoric_Nativ'!$D$6:$D$405,"&lt;"&amp;J583,'Istoric_Nativ'!$P$6:$P$405,1))))</x:f>
        <x:v>0</x:v>
      </x:c>
      <x:c r="L583" s="17" t="n">
        <x:f>IF(AND(B583&lt;&gt;"",I583="RECENT",K583&gt;0),LARGE(_xlfn._xlws.FILTER('Istoric_Nativ'!$D$6:$D$405,('Istoric_Nativ'!$B$6:$B$405=E583)*('Istoric_Nativ'!$C$6:$C$405=F583)*('Istoric_Nativ'!$P$6:$P$405=1)*('Istoric_Nativ'!$D$6:$D$405&lt;J583)*((('Istoric_Nativ'!$E$6:$E$405=G583)+('Istoric_Nativ'!$F$6:$F$405=G583))&gt;0)),MIN('Config_v6'!$B$54,K583)),0)</x:f>
        <x:v>0</x:v>
      </x:c>
      <x:c r="M583" s="2" t="n">
        <x:f>IF(OR(B583="",F583=""),0,IF(H583="HOME",COUNTIFS('Istoric_Nativ'!$B$6:$B$405,E583,'Istoric_Nativ'!$C$6:$C$405,F583,'Istoric_Nativ'!$E$6:$E$405,G583,'Istoric_Nativ'!$D$6:$D$405,"&lt;"&amp;J583,'Istoric_Nativ'!$P$6:$P$405,1,'Istoric_Nativ'!$D$6:$D$405,"&gt;="&amp;L583),IF(H583="AWAY",COUNTIFS('Istoric_Nativ'!$B$6:$B$405,E583,'Istoric_Nativ'!$C$6:$C$405,F583,'Istoric_Nativ'!$F$6:$F$405,G583,'Istoric_Nativ'!$D$6:$D$405,"&lt;"&amp;J583,'Istoric_Nativ'!$P$6:$P$405,1,'Istoric_Nativ'!$D$6:$D$405,"&gt;="&amp;L583),COUNTIFS('Istoric_Nativ'!$B$6:$B$405,E583,'Istoric_Nativ'!$C$6:$C$405,F583,'Istoric_Nativ'!$E$6:$E$405,G583,'Istoric_Nativ'!$D$6:$D$405,"&lt;"&amp;J583,'Istoric_Nativ'!$P$6:$P$405,1,'Istoric_Nativ'!$D$6:$D$405,"&gt;="&amp;L583)+COUNTIFS('Istoric_Nativ'!$B$6:$B$405,E583,'Istoric_Nativ'!$C$6:$C$405,F583,'Istoric_Nativ'!$F$6:$F$405,G583,'Istoric_Nativ'!$D$6:$D$405,"&lt;"&amp;J583,'Istoric_Nativ'!$P$6:$P$405,1,'Istoric_Nativ'!$D$6:$D$405,"&gt;="&amp;L583))))</x:f>
        <x:v>0</x:v>
      </x:c>
      <x:c r="N583" s="11" t="str">
        <x:f>IF(M583=0,"",IF(H583="HOME",SUMIFS('Istoric_Nativ'!$G$6:$G$405,'Istoric_Nativ'!$B$6:$B$405,E583,'Istoric_Nativ'!$C$6:$C$405,F583,'Istoric_Nativ'!$E$6:$E$405,G583,'Istoric_Nativ'!$D$6:$D$405,"&lt;"&amp;J583,'Istoric_Nativ'!$P$6:$P$405,1,'Istoric_Nativ'!$D$6:$D$405,"&gt;="&amp;L583),IF(H583="AWAY",SUMIFS('Istoric_Nativ'!$H$6:$H$405,'Istoric_Nativ'!$B$6:$B$405,E583,'Istoric_Nativ'!$C$6:$C$405,F583,'Istoric_Nativ'!$F$6:$F$405,G583,'Istoric_Nativ'!$D$6:$D$405,"&lt;"&amp;J583,'Istoric_Nativ'!$P$6:$P$405,1,'Istoric_Nativ'!$D$6:$D$405,"&gt;="&amp;L583),SUMIFS('Istoric_Nativ'!$G$6:$G$405,'Istoric_Nativ'!$B$6:$B$405,E583,'Istoric_Nativ'!$C$6:$C$405,F583,'Istoric_Nativ'!$E$6:$E$405,G583,'Istoric_Nativ'!$D$6:$D$405,"&lt;"&amp;J583,'Istoric_Nativ'!$P$6:$P$405,1,'Istoric_Nativ'!$D$6:$D$405,"&gt;="&amp;L583)+SUMIFS('Istoric_Nativ'!$H$6:$H$405,'Istoric_Nativ'!$B$6:$B$405,E583,'Istoric_Nativ'!$C$6:$C$405,F583,'Istoric_Nativ'!$F$6:$F$405,G583,'Istoric_Nativ'!$D$6:$D$405,"&lt;"&amp;J583,'Istoric_Nativ'!$P$6:$P$405,1,'Istoric_Nativ'!$D$6:$D$405,"&gt;="&amp;L583)))/M583)</x:f>
      </x:c>
      <x:c r="O583" s="11" t="str">
        <x:f>IF(M583=0,"",IF(H583="HOME",SUMIFS('Istoric_Nativ'!$H$6:$H$405,'Istoric_Nativ'!$B$6:$B$405,E583,'Istoric_Nativ'!$C$6:$C$405,F583,'Istoric_Nativ'!$E$6:$E$405,G583,'Istoric_Nativ'!$D$6:$D$405,"&lt;"&amp;J583,'Istoric_Nativ'!$P$6:$P$405,1,'Istoric_Nativ'!$D$6:$D$405,"&gt;="&amp;L583),IF(H583="AWAY",SUMIFS('Istoric_Nativ'!$G$6:$G$405,'Istoric_Nativ'!$B$6:$B$405,E583,'Istoric_Nativ'!$C$6:$C$405,F583,'Istoric_Nativ'!$F$6:$F$405,G583,'Istoric_Nativ'!$D$6:$D$405,"&lt;"&amp;J583,'Istoric_Nativ'!$P$6:$P$405,1,'Istoric_Nativ'!$D$6:$D$405,"&gt;="&amp;L583),SUMIFS('Istoric_Nativ'!$H$6:$H$405,'Istoric_Nativ'!$B$6:$B$405,E583,'Istoric_Nativ'!$C$6:$C$405,F583,'Istoric_Nativ'!$E$6:$E$405,G583,'Istoric_Nativ'!$D$6:$D$405,"&lt;"&amp;J583,'Istoric_Nativ'!$P$6:$P$405,1,'Istoric_Nativ'!$D$6:$D$405,"&gt;="&amp;L583)+SUMIFS('Istoric_Nativ'!$G$6:$G$405,'Istoric_Nativ'!$B$6:$B$405,E583,'Istoric_Nativ'!$C$6:$C$405,F583,'Istoric_Nativ'!$F$6:$F$405,G583,'Istoric_Nativ'!$D$6:$D$405,"&lt;"&amp;J583,'Istoric_Nativ'!$P$6:$P$405,1,'Istoric_Nativ'!$D$6:$D$405,"&gt;="&amp;L583)))/M583)</x:f>
      </x:c>
      <x:c r="P583" s="2" t="n">
        <x:f>'Config_v6'!$B$8</x:f>
        <x:v>5</x:v>
      </x:c>
      <x:c r="Q583" s="2" t="n">
        <x:f>IF(OR(B583="",F583=""),0,IFERROR(MATCH(E583&amp;"|"&amp;F583,SourceTable[Source_Key],0),0))</x:f>
        <x:v>0</x:v>
      </x:c>
      <x:c r="R583" s="2" t="str">
        <x:f>IF(B583="","",IF(F583="","UNUSED",IF(Q583=0,"NOT CHECKED",IF(COUNTIF(SourceTable[Source_Key],E583&amp;"|"&amp;F583)&lt;&gt;1,"SOURCE CONFLICT",IF(NOT(OR(INDEX(SourceTable[Status],MAX(1,Q583))="IMPORTED",INDEX(SourceTable[Status],MAX(1,Q583))="PARTIAL",INDEX(SourceTable[Status],MAX(1,Q583))="SOURCE CONFLICT")),"ACCESS BLOCKED",IF(OR(INDEX(SourceTable[Coverage],Q583)&lt;&gt;"FULL SEASON EXPORT",INDEX(SourceTable[URL],Q583)="",INDEX(SourceTable[SHA256],Q583)=""),"EVIDENCE INCOMPLETE",IF(AND('Input_Meci'!H54="LIVE",INDEX(SourceTable[Retrieved_UTC],Q583)&gt;'Input_Meci'!G54),"POST CUTOFF","CLOSED")))))))</x:f>
      </x:c>
      <x:c r="S583" s="2" t="n">
        <x:f>IF(OR(B583="",F583=""),0,COUNTIFS('Istoric_Nativ'!$B$6:$B$405,E583,'Istoric_Nativ'!$C$6:$C$405,F583,'Istoric_Nativ'!$E$6:$E$405,G583,'Istoric_Nativ'!$D$6:$D$405,"&lt;"&amp;J583,'Istoric_Nativ'!$O$6:$O$405,"INVALID")+COUNTIFS('Istoric_Nativ'!$B$6:$B$405,E583,'Istoric_Nativ'!$C$6:$C$405,F583,'Istoric_Nativ'!$E$6:$E$405,G583,'Istoric_Nativ'!$O$6:$O$405,"INVALID",'Istoric_Nativ'!$D$6:$D$405,"*")+COUNTIFS('Istoric_Nativ'!$B$6:$B$405,E583,'Istoric_Nativ'!$C$6:$C$405,F583,'Istoric_Nativ'!$E$6:$E$405,G583,'Istoric_Nativ'!$D$6:$D$405,"&lt;"&amp;J583,'Istoric_Nativ'!$O$6:$O$405,"SOURCE CONFLICT")+COUNTIFS('Istoric_Nativ'!$B$6:$B$405,E583,'Istoric_Nativ'!$C$6:$C$405,F583,'Istoric_Nativ'!$F$6:$F$405,G583,'Istoric_Nativ'!$D$6:$D$405,"&lt;"&amp;J583,'Istoric_Nativ'!$O$6:$O$405,"INVALID")+COUNTIFS('Istoric_Nativ'!$B$6:$B$405,E583,'Istoric_Nativ'!$C$6:$C$405,F583,'Istoric_Nativ'!$F$6:$F$405,G583,'Istoric_Nativ'!$O$6:$O$405,"INVALID",'Istoric_Nativ'!$D$6:$D$405,"*")+COUNTIFS('Istoric_Nativ'!$B$6:$B$405,E583,'Istoric_Nativ'!$C$6:$C$405,F583,'Istoric_Nativ'!$F$6:$F$405,G583,'Istoric_Nativ'!$D$6:$D$405,"&lt;"&amp;J583,'Istoric_Nativ'!$O$6:$O$405,"SOURCE CONFLICT"))</x:f>
        <x:v>0</x:v>
      </x:c>
      <x:c r="T583" s="2" t="str">
        <x:f>IF(B583="","",IF(R583&lt;&gt;"CLOSED",R583,IF(S583&gt;0,"NATIVE INPUT ISSUE",IF(M583=0,"NO HISTORY",IF(M583&lt;P583,"SMALL SAMPLE","DERIVED")))))</x:f>
      </x:c>
      <x:c r="U583" s="2" t="str">
        <x:f>IF(B583="","","NativeTable; "&amp;E583&amp;"; "&amp;F583&amp;"; "&amp;G583&amp;"; "&amp;H583&amp;"; before "&amp;TEXT(J583,"yyyy-mm-dd")&amp;IF(I583="RECENT","; from "&amp;TEXT(L583,"yyyy-mm-dd"),""))</x:f>
      </x:c>
    </x:row>
    <x:row r="584" ht="21" customHeight="1">
      <x:c r="A584" s="2" t="n">
        <x:v>49</x:v>
      </x:c>
      <x:c r="B584" s="2" t="str">
        <x:f>IF('Input_Meci'!A54="","",'Input_Meci'!A54)</x:f>
      </x:c>
      <x:c r="C584" s="2" t="str">
        <x:v>H</x:v>
      </x:c>
      <x:c r="D584" s="2" t="str">
        <x:v>CURRENT</x:v>
      </x:c>
      <x:c r="E584" s="2" t="str">
        <x:f>IF(B584="","",'Input_Meci'!B54)</x:f>
      </x:c>
      <x:c r="F584" s="2" t="str">
        <x:f>IF(B584="","",IF('Input_Meci'!C54="","",'Input_Meci'!C54))</x:f>
      </x:c>
      <x:c r="G584" s="2" t="str">
        <x:f>IF(B584="","",'Input_Meci'!D54)</x:f>
      </x:c>
      <x:c r="H584" s="2" t="str">
        <x:v>ANY</x:v>
      </x:c>
      <x:c r="I584" s="2" t="str">
        <x:v>RECENT</x:v>
      </x:c>
      <x:c r="J584" s="9" t="n">
        <x:f>IF(AND(B584&lt;&gt;"",ISNUMBER('Input_Meci'!G54)),INT('Input_Meci'!G54),0)</x:f>
        <x:v>0</x:v>
      </x:c>
      <x:c r="K584" s="2" t="n">
        <x:f>IF(OR(B584="",F584=""),0,IF(H584="HOME",COUNTIFS('Istoric_Nativ'!$B$6:$B$405,E584,'Istoric_Nativ'!$C$6:$C$405,F584,'Istoric_Nativ'!$E$6:$E$405,G584,'Istoric_Nativ'!$D$6:$D$405,"&lt;"&amp;J584,'Istoric_Nativ'!$P$6:$P$405,1),IF(H584="AWAY",COUNTIFS('Istoric_Nativ'!$B$6:$B$405,E584,'Istoric_Nativ'!$C$6:$C$405,F584,'Istoric_Nativ'!$F$6:$F$405,G584,'Istoric_Nativ'!$D$6:$D$405,"&lt;"&amp;J584,'Istoric_Nativ'!$P$6:$P$405,1),COUNTIFS('Istoric_Nativ'!$B$6:$B$405,E584,'Istoric_Nativ'!$C$6:$C$405,F584,'Istoric_Nativ'!$E$6:$E$405,G584,'Istoric_Nativ'!$D$6:$D$405,"&lt;"&amp;J584,'Istoric_Nativ'!$P$6:$P$405,1)+COUNTIFS('Istoric_Nativ'!$B$6:$B$405,E584,'Istoric_Nativ'!$C$6:$C$405,F584,'Istoric_Nativ'!$F$6:$F$405,G584,'Istoric_Nativ'!$D$6:$D$405,"&lt;"&amp;J584,'Istoric_Nativ'!$P$6:$P$405,1))))</x:f>
        <x:v>0</x:v>
      </x:c>
      <x:c r="L584" s="17" t="n">
        <x:f>IF(AND(B584&lt;&gt;"",I584="RECENT",K584&gt;0),LARGE(_xlfn._xlws.FILTER('Istoric_Nativ'!$D$6:$D$405,('Istoric_Nativ'!$B$6:$B$405=E584)*('Istoric_Nativ'!$C$6:$C$405=F584)*('Istoric_Nativ'!$P$6:$P$405=1)*('Istoric_Nativ'!$D$6:$D$405&lt;J584)*((('Istoric_Nativ'!$E$6:$E$405=G584)+('Istoric_Nativ'!$F$6:$F$405=G584))&gt;0)),MIN('Config_v6'!$B$54,K584)),0)</x:f>
        <x:v>0</x:v>
      </x:c>
      <x:c r="M584" s="2" t="n">
        <x:f>IF(OR(B584="",F584=""),0,IF(H584="HOME",COUNTIFS('Istoric_Nativ'!$B$6:$B$405,E584,'Istoric_Nativ'!$C$6:$C$405,F584,'Istoric_Nativ'!$E$6:$E$405,G584,'Istoric_Nativ'!$D$6:$D$405,"&lt;"&amp;J584,'Istoric_Nativ'!$P$6:$P$405,1,'Istoric_Nativ'!$D$6:$D$405,"&gt;="&amp;L584),IF(H584="AWAY",COUNTIFS('Istoric_Nativ'!$B$6:$B$405,E584,'Istoric_Nativ'!$C$6:$C$405,F584,'Istoric_Nativ'!$F$6:$F$405,G584,'Istoric_Nativ'!$D$6:$D$405,"&lt;"&amp;J584,'Istoric_Nativ'!$P$6:$P$405,1,'Istoric_Nativ'!$D$6:$D$405,"&gt;="&amp;L584),COUNTIFS('Istoric_Nativ'!$B$6:$B$405,E584,'Istoric_Nativ'!$C$6:$C$405,F584,'Istoric_Nativ'!$E$6:$E$405,G584,'Istoric_Nativ'!$D$6:$D$405,"&lt;"&amp;J584,'Istoric_Nativ'!$P$6:$P$405,1,'Istoric_Nativ'!$D$6:$D$405,"&gt;="&amp;L584)+COUNTIFS('Istoric_Nativ'!$B$6:$B$405,E584,'Istoric_Nativ'!$C$6:$C$405,F584,'Istoric_Nativ'!$F$6:$F$405,G584,'Istoric_Nativ'!$D$6:$D$405,"&lt;"&amp;J584,'Istoric_Nativ'!$P$6:$P$405,1,'Istoric_Nativ'!$D$6:$D$405,"&gt;="&amp;L584))))</x:f>
        <x:v>0</x:v>
      </x:c>
      <x:c r="N584" s="11" t="str">
        <x:f>IF(M584=0,"",IF(H584="HOME",SUMIFS('Istoric_Nativ'!$G$6:$G$405,'Istoric_Nativ'!$B$6:$B$405,E584,'Istoric_Nativ'!$C$6:$C$405,F584,'Istoric_Nativ'!$E$6:$E$405,G584,'Istoric_Nativ'!$D$6:$D$405,"&lt;"&amp;J584,'Istoric_Nativ'!$P$6:$P$405,1,'Istoric_Nativ'!$D$6:$D$405,"&gt;="&amp;L584),IF(H584="AWAY",SUMIFS('Istoric_Nativ'!$H$6:$H$405,'Istoric_Nativ'!$B$6:$B$405,E584,'Istoric_Nativ'!$C$6:$C$405,F584,'Istoric_Nativ'!$F$6:$F$405,G584,'Istoric_Nativ'!$D$6:$D$405,"&lt;"&amp;J584,'Istoric_Nativ'!$P$6:$P$405,1,'Istoric_Nativ'!$D$6:$D$405,"&gt;="&amp;L584),SUMIFS('Istoric_Nativ'!$G$6:$G$405,'Istoric_Nativ'!$B$6:$B$405,E584,'Istoric_Nativ'!$C$6:$C$405,F584,'Istoric_Nativ'!$E$6:$E$405,G584,'Istoric_Nativ'!$D$6:$D$405,"&lt;"&amp;J584,'Istoric_Nativ'!$P$6:$P$405,1,'Istoric_Nativ'!$D$6:$D$405,"&gt;="&amp;L584)+SUMIFS('Istoric_Nativ'!$H$6:$H$405,'Istoric_Nativ'!$B$6:$B$405,E584,'Istoric_Nativ'!$C$6:$C$405,F584,'Istoric_Nativ'!$F$6:$F$405,G584,'Istoric_Nativ'!$D$6:$D$405,"&lt;"&amp;J584,'Istoric_Nativ'!$P$6:$P$405,1,'Istoric_Nativ'!$D$6:$D$405,"&gt;="&amp;L584)))/M584)</x:f>
      </x:c>
      <x:c r="O584" s="11" t="str">
        <x:f>IF(M584=0,"",IF(H584="HOME",SUMIFS('Istoric_Nativ'!$H$6:$H$405,'Istoric_Nativ'!$B$6:$B$405,E584,'Istoric_Nativ'!$C$6:$C$405,F584,'Istoric_Nativ'!$E$6:$E$405,G584,'Istoric_Nativ'!$D$6:$D$405,"&lt;"&amp;J584,'Istoric_Nativ'!$P$6:$P$405,1,'Istoric_Nativ'!$D$6:$D$405,"&gt;="&amp;L584),IF(H584="AWAY",SUMIFS('Istoric_Nativ'!$G$6:$G$405,'Istoric_Nativ'!$B$6:$B$405,E584,'Istoric_Nativ'!$C$6:$C$405,F584,'Istoric_Nativ'!$F$6:$F$405,G584,'Istoric_Nativ'!$D$6:$D$405,"&lt;"&amp;J584,'Istoric_Nativ'!$P$6:$P$405,1,'Istoric_Nativ'!$D$6:$D$405,"&gt;="&amp;L584),SUMIFS('Istoric_Nativ'!$H$6:$H$405,'Istoric_Nativ'!$B$6:$B$405,E584,'Istoric_Nativ'!$C$6:$C$405,F584,'Istoric_Nativ'!$E$6:$E$405,G584,'Istoric_Nativ'!$D$6:$D$405,"&lt;"&amp;J584,'Istoric_Nativ'!$P$6:$P$405,1,'Istoric_Nativ'!$D$6:$D$405,"&gt;="&amp;L584)+SUMIFS('Istoric_Nativ'!$G$6:$G$405,'Istoric_Nativ'!$B$6:$B$405,E584,'Istoric_Nativ'!$C$6:$C$405,F584,'Istoric_Nativ'!$F$6:$F$405,G584,'Istoric_Nativ'!$D$6:$D$405,"&lt;"&amp;J584,'Istoric_Nativ'!$P$6:$P$405,1,'Istoric_Nativ'!$D$6:$D$405,"&gt;="&amp;L584)))/M584)</x:f>
      </x:c>
      <x:c r="P584" s="2" t="n">
        <x:f>'Config_v6'!$B$9</x:f>
        <x:v>3</x:v>
      </x:c>
      <x:c r="Q584" s="2" t="n">
        <x:f>IF(OR(B584="",F584=""),0,IFERROR(MATCH(E584&amp;"|"&amp;F584,SourceTable[Source_Key],0),0))</x:f>
        <x:v>0</x:v>
      </x:c>
      <x:c r="R584" s="2" t="str">
        <x:f>IF(B584="","",IF(F584="","UNUSED",IF(Q584=0,"NOT CHECKED",IF(COUNTIF(SourceTable[Source_Key],E584&amp;"|"&amp;F584)&lt;&gt;1,"SOURCE CONFLICT",IF(NOT(OR(INDEX(SourceTable[Status],MAX(1,Q584))="IMPORTED",INDEX(SourceTable[Status],MAX(1,Q584))="PARTIAL",INDEX(SourceTable[Status],MAX(1,Q584))="SOURCE CONFLICT")),"ACCESS BLOCKED",IF(OR(INDEX(SourceTable[Coverage],Q584)&lt;&gt;"FULL SEASON EXPORT",INDEX(SourceTable[URL],Q584)="",INDEX(SourceTable[SHA256],Q584)=""),"EVIDENCE INCOMPLETE",IF(AND('Input_Meci'!H54="LIVE",INDEX(SourceTable[Retrieved_UTC],Q584)&gt;'Input_Meci'!G54),"POST CUTOFF","CLOSED")))))))</x:f>
      </x:c>
      <x:c r="S584" s="2" t="n">
        <x:f>IF(OR(B584="",F584=""),0,COUNTIFS('Istoric_Nativ'!$B$6:$B$405,E584,'Istoric_Nativ'!$C$6:$C$405,F584,'Istoric_Nativ'!$E$6:$E$405,G584,'Istoric_Nativ'!$D$6:$D$405,"&lt;"&amp;J584,'Istoric_Nativ'!$O$6:$O$405,"INVALID")+COUNTIFS('Istoric_Nativ'!$B$6:$B$405,E584,'Istoric_Nativ'!$C$6:$C$405,F584,'Istoric_Nativ'!$E$6:$E$405,G584,'Istoric_Nativ'!$O$6:$O$405,"INVALID",'Istoric_Nativ'!$D$6:$D$405,"*")+COUNTIFS('Istoric_Nativ'!$B$6:$B$405,E584,'Istoric_Nativ'!$C$6:$C$405,F584,'Istoric_Nativ'!$E$6:$E$405,G584,'Istoric_Nativ'!$D$6:$D$405,"&lt;"&amp;J584,'Istoric_Nativ'!$O$6:$O$405,"SOURCE CONFLICT")+COUNTIFS('Istoric_Nativ'!$B$6:$B$405,E584,'Istoric_Nativ'!$C$6:$C$405,F584,'Istoric_Nativ'!$F$6:$F$405,G584,'Istoric_Nativ'!$D$6:$D$405,"&lt;"&amp;J584,'Istoric_Nativ'!$O$6:$O$405,"INVALID")+COUNTIFS('Istoric_Nativ'!$B$6:$B$405,E584,'Istoric_Nativ'!$C$6:$C$405,F584,'Istoric_Nativ'!$F$6:$F$405,G584,'Istoric_Nativ'!$O$6:$O$405,"INVALID",'Istoric_Nativ'!$D$6:$D$405,"*")+COUNTIFS('Istoric_Nativ'!$B$6:$B$405,E584,'Istoric_Nativ'!$C$6:$C$405,F584,'Istoric_Nativ'!$F$6:$F$405,G584,'Istoric_Nativ'!$D$6:$D$405,"&lt;"&amp;J584,'Istoric_Nativ'!$O$6:$O$405,"SOURCE CONFLICT"))</x:f>
        <x:v>0</x:v>
      </x:c>
      <x:c r="T584" s="2" t="str">
        <x:f>IF(B584="","",IF(R584&lt;&gt;"CLOSED",R584,IF(S584&gt;0,"NATIVE INPUT ISSUE",IF(M584=0,"NO HISTORY",IF(M584&lt;P584,"SMALL SAMPLE","DERIVED")))))</x:f>
      </x:c>
      <x:c r="U584" s="2" t="str">
        <x:f>IF(B584="","","NativeTable; "&amp;E584&amp;"; "&amp;F584&amp;"; "&amp;G584&amp;"; "&amp;H584&amp;"; before "&amp;TEXT(J584,"yyyy-mm-dd")&amp;IF(I584="RECENT","; from "&amp;TEXT(L584,"yyyy-mm-dd"),""))</x:f>
      </x:c>
    </x:row>
    <x:row r="585" ht="21" customHeight="1">
      <x:c r="A585" s="2" t="n">
        <x:v>49</x:v>
      </x:c>
      <x:c r="B585" s="2" t="str">
        <x:f>IF('Input_Meci'!A54="","",'Input_Meci'!A54)</x:f>
      </x:c>
      <x:c r="C585" s="2" t="str">
        <x:v>A</x:v>
      </x:c>
      <x:c r="D585" s="2" t="str">
        <x:v>CURRENT</x:v>
      </x:c>
      <x:c r="E585" s="2" t="str">
        <x:f>IF(B585="","",'Input_Meci'!B54)</x:f>
      </x:c>
      <x:c r="F585" s="2" t="str">
        <x:f>IF(B585="","",IF('Input_Meci'!C54="","",'Input_Meci'!C54))</x:f>
      </x:c>
      <x:c r="G585" s="2" t="str">
        <x:f>IF(B585="","",'Input_Meci'!E54)</x:f>
      </x:c>
      <x:c r="H585" s="2" t="str">
        <x:v>ANY</x:v>
      </x:c>
      <x:c r="I585" s="2" t="str">
        <x:v>SEASON</x:v>
      </x:c>
      <x:c r="J585" s="9" t="n">
        <x:f>IF(AND(B585&lt;&gt;"",ISNUMBER('Input_Meci'!G54)),INT('Input_Meci'!G54),0)</x:f>
        <x:v>0</x:v>
      </x:c>
      <x:c r="K585" s="2" t="n">
        <x:f>IF(OR(B585="",F585=""),0,IF(H585="HOME",COUNTIFS('Istoric_Nativ'!$B$6:$B$405,E585,'Istoric_Nativ'!$C$6:$C$405,F585,'Istoric_Nativ'!$E$6:$E$405,G585,'Istoric_Nativ'!$D$6:$D$405,"&lt;"&amp;J585,'Istoric_Nativ'!$P$6:$P$405,1),IF(H585="AWAY",COUNTIFS('Istoric_Nativ'!$B$6:$B$405,E585,'Istoric_Nativ'!$C$6:$C$405,F585,'Istoric_Nativ'!$F$6:$F$405,G585,'Istoric_Nativ'!$D$6:$D$405,"&lt;"&amp;J585,'Istoric_Nativ'!$P$6:$P$405,1),COUNTIFS('Istoric_Nativ'!$B$6:$B$405,E585,'Istoric_Nativ'!$C$6:$C$405,F585,'Istoric_Nativ'!$E$6:$E$405,G585,'Istoric_Nativ'!$D$6:$D$405,"&lt;"&amp;J585,'Istoric_Nativ'!$P$6:$P$405,1)+COUNTIFS('Istoric_Nativ'!$B$6:$B$405,E585,'Istoric_Nativ'!$C$6:$C$405,F585,'Istoric_Nativ'!$F$6:$F$405,G585,'Istoric_Nativ'!$D$6:$D$405,"&lt;"&amp;J585,'Istoric_Nativ'!$P$6:$P$405,1))))</x:f>
        <x:v>0</x:v>
      </x:c>
      <x:c r="L585" s="17" t="n">
        <x:f>IF(AND(B585&lt;&gt;"",I585="RECENT",K585&gt;0),LARGE(_xlfn._xlws.FILTER('Istoric_Nativ'!$D$6:$D$405,('Istoric_Nativ'!$B$6:$B$405=E585)*('Istoric_Nativ'!$C$6:$C$405=F585)*('Istoric_Nativ'!$P$6:$P$405=1)*('Istoric_Nativ'!$D$6:$D$405&lt;J585)*((('Istoric_Nativ'!$E$6:$E$405=G585)+('Istoric_Nativ'!$F$6:$F$405=G585))&gt;0)),MIN('Config_v6'!$B$54,K585)),0)</x:f>
        <x:v>0</x:v>
      </x:c>
      <x:c r="M585" s="2" t="n">
        <x:f>IF(OR(B585="",F585=""),0,IF(H585="HOME",COUNTIFS('Istoric_Nativ'!$B$6:$B$405,E585,'Istoric_Nativ'!$C$6:$C$405,F585,'Istoric_Nativ'!$E$6:$E$405,G585,'Istoric_Nativ'!$D$6:$D$405,"&lt;"&amp;J585,'Istoric_Nativ'!$P$6:$P$405,1,'Istoric_Nativ'!$D$6:$D$405,"&gt;="&amp;L585),IF(H585="AWAY",COUNTIFS('Istoric_Nativ'!$B$6:$B$405,E585,'Istoric_Nativ'!$C$6:$C$405,F585,'Istoric_Nativ'!$F$6:$F$405,G585,'Istoric_Nativ'!$D$6:$D$405,"&lt;"&amp;J585,'Istoric_Nativ'!$P$6:$P$405,1,'Istoric_Nativ'!$D$6:$D$405,"&gt;="&amp;L585),COUNTIFS('Istoric_Nativ'!$B$6:$B$405,E585,'Istoric_Nativ'!$C$6:$C$405,F585,'Istoric_Nativ'!$E$6:$E$405,G585,'Istoric_Nativ'!$D$6:$D$405,"&lt;"&amp;J585,'Istoric_Nativ'!$P$6:$P$405,1,'Istoric_Nativ'!$D$6:$D$405,"&gt;="&amp;L585)+COUNTIFS('Istoric_Nativ'!$B$6:$B$405,E585,'Istoric_Nativ'!$C$6:$C$405,F585,'Istoric_Nativ'!$F$6:$F$405,G585,'Istoric_Nativ'!$D$6:$D$405,"&lt;"&amp;J585,'Istoric_Nativ'!$P$6:$P$405,1,'Istoric_Nativ'!$D$6:$D$405,"&gt;="&amp;L585))))</x:f>
        <x:v>0</x:v>
      </x:c>
      <x:c r="N585" s="11" t="str">
        <x:f>IF(M585=0,"",IF(H585="HOME",SUMIFS('Istoric_Nativ'!$G$6:$G$405,'Istoric_Nativ'!$B$6:$B$405,E585,'Istoric_Nativ'!$C$6:$C$405,F585,'Istoric_Nativ'!$E$6:$E$405,G585,'Istoric_Nativ'!$D$6:$D$405,"&lt;"&amp;J585,'Istoric_Nativ'!$P$6:$P$405,1,'Istoric_Nativ'!$D$6:$D$405,"&gt;="&amp;L585),IF(H585="AWAY",SUMIFS('Istoric_Nativ'!$H$6:$H$405,'Istoric_Nativ'!$B$6:$B$405,E585,'Istoric_Nativ'!$C$6:$C$405,F585,'Istoric_Nativ'!$F$6:$F$405,G585,'Istoric_Nativ'!$D$6:$D$405,"&lt;"&amp;J585,'Istoric_Nativ'!$P$6:$P$405,1,'Istoric_Nativ'!$D$6:$D$405,"&gt;="&amp;L585),SUMIFS('Istoric_Nativ'!$G$6:$G$405,'Istoric_Nativ'!$B$6:$B$405,E585,'Istoric_Nativ'!$C$6:$C$405,F585,'Istoric_Nativ'!$E$6:$E$405,G585,'Istoric_Nativ'!$D$6:$D$405,"&lt;"&amp;J585,'Istoric_Nativ'!$P$6:$P$405,1,'Istoric_Nativ'!$D$6:$D$405,"&gt;="&amp;L585)+SUMIFS('Istoric_Nativ'!$H$6:$H$405,'Istoric_Nativ'!$B$6:$B$405,E585,'Istoric_Nativ'!$C$6:$C$405,F585,'Istoric_Nativ'!$F$6:$F$405,G585,'Istoric_Nativ'!$D$6:$D$405,"&lt;"&amp;J585,'Istoric_Nativ'!$P$6:$P$405,1,'Istoric_Nativ'!$D$6:$D$405,"&gt;="&amp;L585)))/M585)</x:f>
      </x:c>
      <x:c r="O585" s="11" t="str">
        <x:f>IF(M585=0,"",IF(H585="HOME",SUMIFS('Istoric_Nativ'!$H$6:$H$405,'Istoric_Nativ'!$B$6:$B$405,E585,'Istoric_Nativ'!$C$6:$C$405,F585,'Istoric_Nativ'!$E$6:$E$405,G585,'Istoric_Nativ'!$D$6:$D$405,"&lt;"&amp;J585,'Istoric_Nativ'!$P$6:$P$405,1,'Istoric_Nativ'!$D$6:$D$405,"&gt;="&amp;L585),IF(H585="AWAY",SUMIFS('Istoric_Nativ'!$G$6:$G$405,'Istoric_Nativ'!$B$6:$B$405,E585,'Istoric_Nativ'!$C$6:$C$405,F585,'Istoric_Nativ'!$F$6:$F$405,G585,'Istoric_Nativ'!$D$6:$D$405,"&lt;"&amp;J585,'Istoric_Nativ'!$P$6:$P$405,1,'Istoric_Nativ'!$D$6:$D$405,"&gt;="&amp;L585),SUMIFS('Istoric_Nativ'!$H$6:$H$405,'Istoric_Nativ'!$B$6:$B$405,E585,'Istoric_Nativ'!$C$6:$C$405,F585,'Istoric_Nativ'!$E$6:$E$405,G585,'Istoric_Nativ'!$D$6:$D$405,"&lt;"&amp;J585,'Istoric_Nativ'!$P$6:$P$405,1,'Istoric_Nativ'!$D$6:$D$405,"&gt;="&amp;L585)+SUMIFS('Istoric_Nativ'!$G$6:$G$405,'Istoric_Nativ'!$B$6:$B$405,E585,'Istoric_Nativ'!$C$6:$C$405,F585,'Istoric_Nativ'!$F$6:$F$405,G585,'Istoric_Nativ'!$D$6:$D$405,"&lt;"&amp;J585,'Istoric_Nativ'!$P$6:$P$405,1,'Istoric_Nativ'!$D$6:$D$405,"&gt;="&amp;L585)))/M585)</x:f>
      </x:c>
      <x:c r="P585" s="2" t="n">
        <x:f>'Config_v6'!$B$7</x:f>
        <x:v>10</x:v>
      </x:c>
      <x:c r="Q585" s="2" t="n">
        <x:f>IF(OR(B585="",F585=""),0,IFERROR(MATCH(E585&amp;"|"&amp;F585,SourceTable[Source_Key],0),0))</x:f>
        <x:v>0</x:v>
      </x:c>
      <x:c r="R585" s="2" t="str">
        <x:f>IF(B585="","",IF(F585="","UNUSED",IF(Q585=0,"NOT CHECKED",IF(COUNTIF(SourceTable[Source_Key],E585&amp;"|"&amp;F585)&lt;&gt;1,"SOURCE CONFLICT",IF(NOT(OR(INDEX(SourceTable[Status],MAX(1,Q585))="IMPORTED",INDEX(SourceTable[Status],MAX(1,Q585))="PARTIAL",INDEX(SourceTable[Status],MAX(1,Q585))="SOURCE CONFLICT")),"ACCESS BLOCKED",IF(OR(INDEX(SourceTable[Coverage],Q585)&lt;&gt;"FULL SEASON EXPORT",INDEX(SourceTable[URL],Q585)="",INDEX(SourceTable[SHA256],Q585)=""),"EVIDENCE INCOMPLETE",IF(AND('Input_Meci'!H54="LIVE",INDEX(SourceTable[Retrieved_UTC],Q585)&gt;'Input_Meci'!G54),"POST CUTOFF","CLOSED")))))))</x:f>
      </x:c>
      <x:c r="S585" s="2" t="n">
        <x:f>IF(OR(B585="",F585=""),0,COUNTIFS('Istoric_Nativ'!$B$6:$B$405,E585,'Istoric_Nativ'!$C$6:$C$405,F585,'Istoric_Nativ'!$E$6:$E$405,G585,'Istoric_Nativ'!$D$6:$D$405,"&lt;"&amp;J585,'Istoric_Nativ'!$O$6:$O$405,"INVALID")+COUNTIFS('Istoric_Nativ'!$B$6:$B$405,E585,'Istoric_Nativ'!$C$6:$C$405,F585,'Istoric_Nativ'!$E$6:$E$405,G585,'Istoric_Nativ'!$O$6:$O$405,"INVALID",'Istoric_Nativ'!$D$6:$D$405,"*")+COUNTIFS('Istoric_Nativ'!$B$6:$B$405,E585,'Istoric_Nativ'!$C$6:$C$405,F585,'Istoric_Nativ'!$E$6:$E$405,G585,'Istoric_Nativ'!$D$6:$D$405,"&lt;"&amp;J585,'Istoric_Nativ'!$O$6:$O$405,"SOURCE CONFLICT")+COUNTIFS('Istoric_Nativ'!$B$6:$B$405,E585,'Istoric_Nativ'!$C$6:$C$405,F585,'Istoric_Nativ'!$F$6:$F$405,G585,'Istoric_Nativ'!$D$6:$D$405,"&lt;"&amp;J585,'Istoric_Nativ'!$O$6:$O$405,"INVALID")+COUNTIFS('Istoric_Nativ'!$B$6:$B$405,E585,'Istoric_Nativ'!$C$6:$C$405,F585,'Istoric_Nativ'!$F$6:$F$405,G585,'Istoric_Nativ'!$O$6:$O$405,"INVALID",'Istoric_Nativ'!$D$6:$D$405,"*")+COUNTIFS('Istoric_Nativ'!$B$6:$B$405,E585,'Istoric_Nativ'!$C$6:$C$405,F585,'Istoric_Nativ'!$F$6:$F$405,G585,'Istoric_Nativ'!$D$6:$D$405,"&lt;"&amp;J585,'Istoric_Nativ'!$O$6:$O$405,"SOURCE CONFLICT"))</x:f>
        <x:v>0</x:v>
      </x:c>
      <x:c r="T585" s="2" t="str">
        <x:f>IF(B585="","",IF(R585&lt;&gt;"CLOSED",R585,IF(S585&gt;0,"NATIVE INPUT ISSUE",IF(M585=0,"NO HISTORY",IF(M585&lt;P585,"SMALL SAMPLE","DERIVED")))))</x:f>
      </x:c>
      <x:c r="U585" s="2" t="str">
        <x:f>IF(B585="","","NativeTable; "&amp;E585&amp;"; "&amp;F585&amp;"; "&amp;G585&amp;"; "&amp;H585&amp;"; before "&amp;TEXT(J585,"yyyy-mm-dd")&amp;IF(I585="RECENT","; from "&amp;TEXT(L585,"yyyy-mm-dd"),""))</x:f>
      </x:c>
    </x:row>
    <x:row r="586" ht="21" customHeight="1">
      <x:c r="A586" s="2" t="n">
        <x:v>49</x:v>
      </x:c>
      <x:c r="B586" s="2" t="str">
        <x:f>IF('Input_Meci'!A54="","",'Input_Meci'!A54)</x:f>
      </x:c>
      <x:c r="C586" s="2" t="str">
        <x:v>A</x:v>
      </x:c>
      <x:c r="D586" s="2" t="str">
        <x:v>CURRENT</x:v>
      </x:c>
      <x:c r="E586" s="2" t="str">
        <x:f>IF(B586="","",'Input_Meci'!B54)</x:f>
      </x:c>
      <x:c r="F586" s="2" t="str">
        <x:f>IF(B586="","",IF('Input_Meci'!C54="","",'Input_Meci'!C54))</x:f>
      </x:c>
      <x:c r="G586" s="2" t="str">
        <x:f>IF(B586="","",'Input_Meci'!E54)</x:f>
      </x:c>
      <x:c r="H586" s="2" t="str">
        <x:v>AWAY</x:v>
      </x:c>
      <x:c r="I586" s="2" t="str">
        <x:v>HA</x:v>
      </x:c>
      <x:c r="J586" s="9" t="n">
        <x:f>IF(AND(B586&lt;&gt;"",ISNUMBER('Input_Meci'!G54)),INT('Input_Meci'!G54),0)</x:f>
        <x:v>0</x:v>
      </x:c>
      <x:c r="K586" s="2" t="n">
        <x:f>IF(OR(B586="",F586=""),0,IF(H586="HOME",COUNTIFS('Istoric_Nativ'!$B$6:$B$405,E586,'Istoric_Nativ'!$C$6:$C$405,F586,'Istoric_Nativ'!$E$6:$E$405,G586,'Istoric_Nativ'!$D$6:$D$405,"&lt;"&amp;J586,'Istoric_Nativ'!$P$6:$P$405,1),IF(H586="AWAY",COUNTIFS('Istoric_Nativ'!$B$6:$B$405,E586,'Istoric_Nativ'!$C$6:$C$405,F586,'Istoric_Nativ'!$F$6:$F$405,G586,'Istoric_Nativ'!$D$6:$D$405,"&lt;"&amp;J586,'Istoric_Nativ'!$P$6:$P$405,1),COUNTIFS('Istoric_Nativ'!$B$6:$B$405,E586,'Istoric_Nativ'!$C$6:$C$405,F586,'Istoric_Nativ'!$E$6:$E$405,G586,'Istoric_Nativ'!$D$6:$D$405,"&lt;"&amp;J586,'Istoric_Nativ'!$P$6:$P$405,1)+COUNTIFS('Istoric_Nativ'!$B$6:$B$405,E586,'Istoric_Nativ'!$C$6:$C$405,F586,'Istoric_Nativ'!$F$6:$F$405,G586,'Istoric_Nativ'!$D$6:$D$405,"&lt;"&amp;J586,'Istoric_Nativ'!$P$6:$P$405,1))))</x:f>
        <x:v>0</x:v>
      </x:c>
      <x:c r="L586" s="17" t="n">
        <x:f>IF(AND(B586&lt;&gt;"",I586="RECENT",K586&gt;0),LARGE(_xlfn._xlws.FILTER('Istoric_Nativ'!$D$6:$D$405,('Istoric_Nativ'!$B$6:$B$405=E586)*('Istoric_Nativ'!$C$6:$C$405=F586)*('Istoric_Nativ'!$P$6:$P$405=1)*('Istoric_Nativ'!$D$6:$D$405&lt;J586)*((('Istoric_Nativ'!$E$6:$E$405=G586)+('Istoric_Nativ'!$F$6:$F$405=G586))&gt;0)),MIN('Config_v6'!$B$54,K586)),0)</x:f>
        <x:v>0</x:v>
      </x:c>
      <x:c r="M586" s="2" t="n">
        <x:f>IF(OR(B586="",F586=""),0,IF(H586="HOME",COUNTIFS('Istoric_Nativ'!$B$6:$B$405,E586,'Istoric_Nativ'!$C$6:$C$405,F586,'Istoric_Nativ'!$E$6:$E$405,G586,'Istoric_Nativ'!$D$6:$D$405,"&lt;"&amp;J586,'Istoric_Nativ'!$P$6:$P$405,1,'Istoric_Nativ'!$D$6:$D$405,"&gt;="&amp;L586),IF(H586="AWAY",COUNTIFS('Istoric_Nativ'!$B$6:$B$405,E586,'Istoric_Nativ'!$C$6:$C$405,F586,'Istoric_Nativ'!$F$6:$F$405,G586,'Istoric_Nativ'!$D$6:$D$405,"&lt;"&amp;J586,'Istoric_Nativ'!$P$6:$P$405,1,'Istoric_Nativ'!$D$6:$D$405,"&gt;="&amp;L586),COUNTIFS('Istoric_Nativ'!$B$6:$B$405,E586,'Istoric_Nativ'!$C$6:$C$405,F586,'Istoric_Nativ'!$E$6:$E$405,G586,'Istoric_Nativ'!$D$6:$D$405,"&lt;"&amp;J586,'Istoric_Nativ'!$P$6:$P$405,1,'Istoric_Nativ'!$D$6:$D$405,"&gt;="&amp;L586)+COUNTIFS('Istoric_Nativ'!$B$6:$B$405,E586,'Istoric_Nativ'!$C$6:$C$405,F586,'Istoric_Nativ'!$F$6:$F$405,G586,'Istoric_Nativ'!$D$6:$D$405,"&lt;"&amp;J586,'Istoric_Nativ'!$P$6:$P$405,1,'Istoric_Nativ'!$D$6:$D$405,"&gt;="&amp;L586))))</x:f>
        <x:v>0</x:v>
      </x:c>
      <x:c r="N586" s="11" t="str">
        <x:f>IF(M586=0,"",IF(H586="HOME",SUMIFS('Istoric_Nativ'!$G$6:$G$405,'Istoric_Nativ'!$B$6:$B$405,E586,'Istoric_Nativ'!$C$6:$C$405,F586,'Istoric_Nativ'!$E$6:$E$405,G586,'Istoric_Nativ'!$D$6:$D$405,"&lt;"&amp;J586,'Istoric_Nativ'!$P$6:$P$405,1,'Istoric_Nativ'!$D$6:$D$405,"&gt;="&amp;L586),IF(H586="AWAY",SUMIFS('Istoric_Nativ'!$H$6:$H$405,'Istoric_Nativ'!$B$6:$B$405,E586,'Istoric_Nativ'!$C$6:$C$405,F586,'Istoric_Nativ'!$F$6:$F$405,G586,'Istoric_Nativ'!$D$6:$D$405,"&lt;"&amp;J586,'Istoric_Nativ'!$P$6:$P$405,1,'Istoric_Nativ'!$D$6:$D$405,"&gt;="&amp;L586),SUMIFS('Istoric_Nativ'!$G$6:$G$405,'Istoric_Nativ'!$B$6:$B$405,E586,'Istoric_Nativ'!$C$6:$C$405,F586,'Istoric_Nativ'!$E$6:$E$405,G586,'Istoric_Nativ'!$D$6:$D$405,"&lt;"&amp;J586,'Istoric_Nativ'!$P$6:$P$405,1,'Istoric_Nativ'!$D$6:$D$405,"&gt;="&amp;L586)+SUMIFS('Istoric_Nativ'!$H$6:$H$405,'Istoric_Nativ'!$B$6:$B$405,E586,'Istoric_Nativ'!$C$6:$C$405,F586,'Istoric_Nativ'!$F$6:$F$405,G586,'Istoric_Nativ'!$D$6:$D$405,"&lt;"&amp;J586,'Istoric_Nativ'!$P$6:$P$405,1,'Istoric_Nativ'!$D$6:$D$405,"&gt;="&amp;L586)))/M586)</x:f>
      </x:c>
      <x:c r="O586" s="11" t="str">
        <x:f>IF(M586=0,"",IF(H586="HOME",SUMIFS('Istoric_Nativ'!$H$6:$H$405,'Istoric_Nativ'!$B$6:$B$405,E586,'Istoric_Nativ'!$C$6:$C$405,F586,'Istoric_Nativ'!$E$6:$E$405,G586,'Istoric_Nativ'!$D$6:$D$405,"&lt;"&amp;J586,'Istoric_Nativ'!$P$6:$P$405,1,'Istoric_Nativ'!$D$6:$D$405,"&gt;="&amp;L586),IF(H586="AWAY",SUMIFS('Istoric_Nativ'!$G$6:$G$405,'Istoric_Nativ'!$B$6:$B$405,E586,'Istoric_Nativ'!$C$6:$C$405,F586,'Istoric_Nativ'!$F$6:$F$405,G586,'Istoric_Nativ'!$D$6:$D$405,"&lt;"&amp;J586,'Istoric_Nativ'!$P$6:$P$405,1,'Istoric_Nativ'!$D$6:$D$405,"&gt;="&amp;L586),SUMIFS('Istoric_Nativ'!$H$6:$H$405,'Istoric_Nativ'!$B$6:$B$405,E586,'Istoric_Nativ'!$C$6:$C$405,F586,'Istoric_Nativ'!$E$6:$E$405,G586,'Istoric_Nativ'!$D$6:$D$405,"&lt;"&amp;J586,'Istoric_Nativ'!$P$6:$P$405,1,'Istoric_Nativ'!$D$6:$D$405,"&gt;="&amp;L586)+SUMIFS('Istoric_Nativ'!$G$6:$G$405,'Istoric_Nativ'!$B$6:$B$405,E586,'Istoric_Nativ'!$C$6:$C$405,F586,'Istoric_Nativ'!$F$6:$F$405,G586,'Istoric_Nativ'!$D$6:$D$405,"&lt;"&amp;J586,'Istoric_Nativ'!$P$6:$P$405,1,'Istoric_Nativ'!$D$6:$D$405,"&gt;="&amp;L586)))/M586)</x:f>
      </x:c>
      <x:c r="P586" s="2" t="n">
        <x:f>'Config_v6'!$B$8</x:f>
        <x:v>5</x:v>
      </x:c>
      <x:c r="Q586" s="2" t="n">
        <x:f>IF(OR(B586="",F586=""),0,IFERROR(MATCH(E586&amp;"|"&amp;F586,SourceTable[Source_Key],0),0))</x:f>
        <x:v>0</x:v>
      </x:c>
      <x:c r="R586" s="2" t="str">
        <x:f>IF(B586="","",IF(F586="","UNUSED",IF(Q586=0,"NOT CHECKED",IF(COUNTIF(SourceTable[Source_Key],E586&amp;"|"&amp;F586)&lt;&gt;1,"SOURCE CONFLICT",IF(NOT(OR(INDEX(SourceTable[Status],MAX(1,Q586))="IMPORTED",INDEX(SourceTable[Status],MAX(1,Q586))="PARTIAL",INDEX(SourceTable[Status],MAX(1,Q586))="SOURCE CONFLICT")),"ACCESS BLOCKED",IF(OR(INDEX(SourceTable[Coverage],Q586)&lt;&gt;"FULL SEASON EXPORT",INDEX(SourceTable[URL],Q586)="",INDEX(SourceTable[SHA256],Q586)=""),"EVIDENCE INCOMPLETE",IF(AND('Input_Meci'!H54="LIVE",INDEX(SourceTable[Retrieved_UTC],Q586)&gt;'Input_Meci'!G54),"POST CUTOFF","CLOSED")))))))</x:f>
      </x:c>
      <x:c r="S586" s="2" t="n">
        <x:f>IF(OR(B586="",F586=""),0,COUNTIFS('Istoric_Nativ'!$B$6:$B$405,E586,'Istoric_Nativ'!$C$6:$C$405,F586,'Istoric_Nativ'!$E$6:$E$405,G586,'Istoric_Nativ'!$D$6:$D$405,"&lt;"&amp;J586,'Istoric_Nativ'!$O$6:$O$405,"INVALID")+COUNTIFS('Istoric_Nativ'!$B$6:$B$405,E586,'Istoric_Nativ'!$C$6:$C$405,F586,'Istoric_Nativ'!$E$6:$E$405,G586,'Istoric_Nativ'!$O$6:$O$405,"INVALID",'Istoric_Nativ'!$D$6:$D$405,"*")+COUNTIFS('Istoric_Nativ'!$B$6:$B$405,E586,'Istoric_Nativ'!$C$6:$C$405,F586,'Istoric_Nativ'!$E$6:$E$405,G586,'Istoric_Nativ'!$D$6:$D$405,"&lt;"&amp;J586,'Istoric_Nativ'!$O$6:$O$405,"SOURCE CONFLICT")+COUNTIFS('Istoric_Nativ'!$B$6:$B$405,E586,'Istoric_Nativ'!$C$6:$C$405,F586,'Istoric_Nativ'!$F$6:$F$405,G586,'Istoric_Nativ'!$D$6:$D$405,"&lt;"&amp;J586,'Istoric_Nativ'!$O$6:$O$405,"INVALID")+COUNTIFS('Istoric_Nativ'!$B$6:$B$405,E586,'Istoric_Nativ'!$C$6:$C$405,F586,'Istoric_Nativ'!$F$6:$F$405,G586,'Istoric_Nativ'!$O$6:$O$405,"INVALID",'Istoric_Nativ'!$D$6:$D$405,"*")+COUNTIFS('Istoric_Nativ'!$B$6:$B$405,E586,'Istoric_Nativ'!$C$6:$C$405,F586,'Istoric_Nativ'!$F$6:$F$405,G586,'Istoric_Nativ'!$D$6:$D$405,"&lt;"&amp;J586,'Istoric_Nativ'!$O$6:$O$405,"SOURCE CONFLICT"))</x:f>
        <x:v>0</x:v>
      </x:c>
      <x:c r="T586" s="2" t="str">
        <x:f>IF(B586="","",IF(R586&lt;&gt;"CLOSED",R586,IF(S586&gt;0,"NATIVE INPUT ISSUE",IF(M586=0,"NO HISTORY",IF(M586&lt;P586,"SMALL SAMPLE","DERIVED")))))</x:f>
      </x:c>
      <x:c r="U586" s="2" t="str">
        <x:f>IF(B586="","","NativeTable; "&amp;E586&amp;"; "&amp;F586&amp;"; "&amp;G586&amp;"; "&amp;H586&amp;"; before "&amp;TEXT(J586,"yyyy-mm-dd")&amp;IF(I586="RECENT","; from "&amp;TEXT(L586,"yyyy-mm-dd"),""))</x:f>
      </x:c>
    </x:row>
    <x:row r="587" ht="21" customHeight="1">
      <x:c r="A587" s="2" t="n">
        <x:v>49</x:v>
      </x:c>
      <x:c r="B587" s="2" t="str">
        <x:f>IF('Input_Meci'!A54="","",'Input_Meci'!A54)</x:f>
      </x:c>
      <x:c r="C587" s="2" t="str">
        <x:v>A</x:v>
      </x:c>
      <x:c r="D587" s="2" t="str">
        <x:v>CURRENT</x:v>
      </x:c>
      <x:c r="E587" s="2" t="str">
        <x:f>IF(B587="","",'Input_Meci'!B54)</x:f>
      </x:c>
      <x:c r="F587" s="2" t="str">
        <x:f>IF(B587="","",IF('Input_Meci'!C54="","",'Input_Meci'!C54))</x:f>
      </x:c>
      <x:c r="G587" s="2" t="str">
        <x:f>IF(B587="","",'Input_Meci'!E54)</x:f>
      </x:c>
      <x:c r="H587" s="2" t="str">
        <x:v>ANY</x:v>
      </x:c>
      <x:c r="I587" s="2" t="str">
        <x:v>RECENT</x:v>
      </x:c>
      <x:c r="J587" s="9" t="n">
        <x:f>IF(AND(B587&lt;&gt;"",ISNUMBER('Input_Meci'!G54)),INT('Input_Meci'!G54),0)</x:f>
        <x:v>0</x:v>
      </x:c>
      <x:c r="K587" s="2" t="n">
        <x:f>IF(OR(B587="",F587=""),0,IF(H587="HOME",COUNTIFS('Istoric_Nativ'!$B$6:$B$405,E587,'Istoric_Nativ'!$C$6:$C$405,F587,'Istoric_Nativ'!$E$6:$E$405,G587,'Istoric_Nativ'!$D$6:$D$405,"&lt;"&amp;J587,'Istoric_Nativ'!$P$6:$P$405,1),IF(H587="AWAY",COUNTIFS('Istoric_Nativ'!$B$6:$B$405,E587,'Istoric_Nativ'!$C$6:$C$405,F587,'Istoric_Nativ'!$F$6:$F$405,G587,'Istoric_Nativ'!$D$6:$D$405,"&lt;"&amp;J587,'Istoric_Nativ'!$P$6:$P$405,1),COUNTIFS('Istoric_Nativ'!$B$6:$B$405,E587,'Istoric_Nativ'!$C$6:$C$405,F587,'Istoric_Nativ'!$E$6:$E$405,G587,'Istoric_Nativ'!$D$6:$D$405,"&lt;"&amp;J587,'Istoric_Nativ'!$P$6:$P$405,1)+COUNTIFS('Istoric_Nativ'!$B$6:$B$405,E587,'Istoric_Nativ'!$C$6:$C$405,F587,'Istoric_Nativ'!$F$6:$F$405,G587,'Istoric_Nativ'!$D$6:$D$405,"&lt;"&amp;J587,'Istoric_Nativ'!$P$6:$P$405,1))))</x:f>
        <x:v>0</x:v>
      </x:c>
      <x:c r="L587" s="17" t="n">
        <x:f>IF(AND(B587&lt;&gt;"",I587="RECENT",K587&gt;0),LARGE(_xlfn._xlws.FILTER('Istoric_Nativ'!$D$6:$D$405,('Istoric_Nativ'!$B$6:$B$405=E587)*('Istoric_Nativ'!$C$6:$C$405=F587)*('Istoric_Nativ'!$P$6:$P$405=1)*('Istoric_Nativ'!$D$6:$D$405&lt;J587)*((('Istoric_Nativ'!$E$6:$E$405=G587)+('Istoric_Nativ'!$F$6:$F$405=G587))&gt;0)),MIN('Config_v6'!$B$54,K587)),0)</x:f>
        <x:v>0</x:v>
      </x:c>
      <x:c r="M587" s="2" t="n">
        <x:f>IF(OR(B587="",F587=""),0,IF(H587="HOME",COUNTIFS('Istoric_Nativ'!$B$6:$B$405,E587,'Istoric_Nativ'!$C$6:$C$405,F587,'Istoric_Nativ'!$E$6:$E$405,G587,'Istoric_Nativ'!$D$6:$D$405,"&lt;"&amp;J587,'Istoric_Nativ'!$P$6:$P$405,1,'Istoric_Nativ'!$D$6:$D$405,"&gt;="&amp;L587),IF(H587="AWAY",COUNTIFS('Istoric_Nativ'!$B$6:$B$405,E587,'Istoric_Nativ'!$C$6:$C$405,F587,'Istoric_Nativ'!$F$6:$F$405,G587,'Istoric_Nativ'!$D$6:$D$405,"&lt;"&amp;J587,'Istoric_Nativ'!$P$6:$P$405,1,'Istoric_Nativ'!$D$6:$D$405,"&gt;="&amp;L587),COUNTIFS('Istoric_Nativ'!$B$6:$B$405,E587,'Istoric_Nativ'!$C$6:$C$405,F587,'Istoric_Nativ'!$E$6:$E$405,G587,'Istoric_Nativ'!$D$6:$D$405,"&lt;"&amp;J587,'Istoric_Nativ'!$P$6:$P$405,1,'Istoric_Nativ'!$D$6:$D$405,"&gt;="&amp;L587)+COUNTIFS('Istoric_Nativ'!$B$6:$B$405,E587,'Istoric_Nativ'!$C$6:$C$405,F587,'Istoric_Nativ'!$F$6:$F$405,G587,'Istoric_Nativ'!$D$6:$D$405,"&lt;"&amp;J587,'Istoric_Nativ'!$P$6:$P$405,1,'Istoric_Nativ'!$D$6:$D$405,"&gt;="&amp;L587))))</x:f>
        <x:v>0</x:v>
      </x:c>
      <x:c r="N587" s="11" t="str">
        <x:f>IF(M587=0,"",IF(H587="HOME",SUMIFS('Istoric_Nativ'!$G$6:$G$405,'Istoric_Nativ'!$B$6:$B$405,E587,'Istoric_Nativ'!$C$6:$C$405,F587,'Istoric_Nativ'!$E$6:$E$405,G587,'Istoric_Nativ'!$D$6:$D$405,"&lt;"&amp;J587,'Istoric_Nativ'!$P$6:$P$405,1,'Istoric_Nativ'!$D$6:$D$405,"&gt;="&amp;L587),IF(H587="AWAY",SUMIFS('Istoric_Nativ'!$H$6:$H$405,'Istoric_Nativ'!$B$6:$B$405,E587,'Istoric_Nativ'!$C$6:$C$405,F587,'Istoric_Nativ'!$F$6:$F$405,G587,'Istoric_Nativ'!$D$6:$D$405,"&lt;"&amp;J587,'Istoric_Nativ'!$P$6:$P$405,1,'Istoric_Nativ'!$D$6:$D$405,"&gt;="&amp;L587),SUMIFS('Istoric_Nativ'!$G$6:$G$405,'Istoric_Nativ'!$B$6:$B$405,E587,'Istoric_Nativ'!$C$6:$C$405,F587,'Istoric_Nativ'!$E$6:$E$405,G587,'Istoric_Nativ'!$D$6:$D$405,"&lt;"&amp;J587,'Istoric_Nativ'!$P$6:$P$405,1,'Istoric_Nativ'!$D$6:$D$405,"&gt;="&amp;L587)+SUMIFS('Istoric_Nativ'!$H$6:$H$405,'Istoric_Nativ'!$B$6:$B$405,E587,'Istoric_Nativ'!$C$6:$C$405,F587,'Istoric_Nativ'!$F$6:$F$405,G587,'Istoric_Nativ'!$D$6:$D$405,"&lt;"&amp;J587,'Istoric_Nativ'!$P$6:$P$405,1,'Istoric_Nativ'!$D$6:$D$405,"&gt;="&amp;L587)))/M587)</x:f>
      </x:c>
      <x:c r="O587" s="11" t="str">
        <x:f>IF(M587=0,"",IF(H587="HOME",SUMIFS('Istoric_Nativ'!$H$6:$H$405,'Istoric_Nativ'!$B$6:$B$405,E587,'Istoric_Nativ'!$C$6:$C$405,F587,'Istoric_Nativ'!$E$6:$E$405,G587,'Istoric_Nativ'!$D$6:$D$405,"&lt;"&amp;J587,'Istoric_Nativ'!$P$6:$P$405,1,'Istoric_Nativ'!$D$6:$D$405,"&gt;="&amp;L587),IF(H587="AWAY",SUMIFS('Istoric_Nativ'!$G$6:$G$405,'Istoric_Nativ'!$B$6:$B$405,E587,'Istoric_Nativ'!$C$6:$C$405,F587,'Istoric_Nativ'!$F$6:$F$405,G587,'Istoric_Nativ'!$D$6:$D$405,"&lt;"&amp;J587,'Istoric_Nativ'!$P$6:$P$405,1,'Istoric_Nativ'!$D$6:$D$405,"&gt;="&amp;L587),SUMIFS('Istoric_Nativ'!$H$6:$H$405,'Istoric_Nativ'!$B$6:$B$405,E587,'Istoric_Nativ'!$C$6:$C$405,F587,'Istoric_Nativ'!$E$6:$E$405,G587,'Istoric_Nativ'!$D$6:$D$405,"&lt;"&amp;J587,'Istoric_Nativ'!$P$6:$P$405,1,'Istoric_Nativ'!$D$6:$D$405,"&gt;="&amp;L587)+SUMIFS('Istoric_Nativ'!$G$6:$G$405,'Istoric_Nativ'!$B$6:$B$405,E587,'Istoric_Nativ'!$C$6:$C$405,F587,'Istoric_Nativ'!$F$6:$F$405,G587,'Istoric_Nativ'!$D$6:$D$405,"&lt;"&amp;J587,'Istoric_Nativ'!$P$6:$P$405,1,'Istoric_Nativ'!$D$6:$D$405,"&gt;="&amp;L587)))/M587)</x:f>
      </x:c>
      <x:c r="P587" s="2" t="n">
        <x:f>'Config_v6'!$B$9</x:f>
        <x:v>3</x:v>
      </x:c>
      <x:c r="Q587" s="2" t="n">
        <x:f>IF(OR(B587="",F587=""),0,IFERROR(MATCH(E587&amp;"|"&amp;F587,SourceTable[Source_Key],0),0))</x:f>
        <x:v>0</x:v>
      </x:c>
      <x:c r="R587" s="2" t="str">
        <x:f>IF(B587="","",IF(F587="","UNUSED",IF(Q587=0,"NOT CHECKED",IF(COUNTIF(SourceTable[Source_Key],E587&amp;"|"&amp;F587)&lt;&gt;1,"SOURCE CONFLICT",IF(NOT(OR(INDEX(SourceTable[Status],MAX(1,Q587))="IMPORTED",INDEX(SourceTable[Status],MAX(1,Q587))="PARTIAL",INDEX(SourceTable[Status],MAX(1,Q587))="SOURCE CONFLICT")),"ACCESS BLOCKED",IF(OR(INDEX(SourceTable[Coverage],Q587)&lt;&gt;"FULL SEASON EXPORT",INDEX(SourceTable[URL],Q587)="",INDEX(SourceTable[SHA256],Q587)=""),"EVIDENCE INCOMPLETE",IF(AND('Input_Meci'!H54="LIVE",INDEX(SourceTable[Retrieved_UTC],Q587)&gt;'Input_Meci'!G54),"POST CUTOFF","CLOSED")))))))</x:f>
      </x:c>
      <x:c r="S587" s="2" t="n">
        <x:f>IF(OR(B587="",F587=""),0,COUNTIFS('Istoric_Nativ'!$B$6:$B$405,E587,'Istoric_Nativ'!$C$6:$C$405,F587,'Istoric_Nativ'!$E$6:$E$405,G587,'Istoric_Nativ'!$D$6:$D$405,"&lt;"&amp;J587,'Istoric_Nativ'!$O$6:$O$405,"INVALID")+COUNTIFS('Istoric_Nativ'!$B$6:$B$405,E587,'Istoric_Nativ'!$C$6:$C$405,F587,'Istoric_Nativ'!$E$6:$E$405,G587,'Istoric_Nativ'!$O$6:$O$405,"INVALID",'Istoric_Nativ'!$D$6:$D$405,"*")+COUNTIFS('Istoric_Nativ'!$B$6:$B$405,E587,'Istoric_Nativ'!$C$6:$C$405,F587,'Istoric_Nativ'!$E$6:$E$405,G587,'Istoric_Nativ'!$D$6:$D$405,"&lt;"&amp;J587,'Istoric_Nativ'!$O$6:$O$405,"SOURCE CONFLICT")+COUNTIFS('Istoric_Nativ'!$B$6:$B$405,E587,'Istoric_Nativ'!$C$6:$C$405,F587,'Istoric_Nativ'!$F$6:$F$405,G587,'Istoric_Nativ'!$D$6:$D$405,"&lt;"&amp;J587,'Istoric_Nativ'!$O$6:$O$405,"INVALID")+COUNTIFS('Istoric_Nativ'!$B$6:$B$405,E587,'Istoric_Nativ'!$C$6:$C$405,F587,'Istoric_Nativ'!$F$6:$F$405,G587,'Istoric_Nativ'!$O$6:$O$405,"INVALID",'Istoric_Nativ'!$D$6:$D$405,"*")+COUNTIFS('Istoric_Nativ'!$B$6:$B$405,E587,'Istoric_Nativ'!$C$6:$C$405,F587,'Istoric_Nativ'!$F$6:$F$405,G587,'Istoric_Nativ'!$D$6:$D$405,"&lt;"&amp;J587,'Istoric_Nativ'!$O$6:$O$405,"SOURCE CONFLICT"))</x:f>
        <x:v>0</x:v>
      </x:c>
      <x:c r="T587" s="2" t="str">
        <x:f>IF(B587="","",IF(R587&lt;&gt;"CLOSED",R587,IF(S587&gt;0,"NATIVE INPUT ISSUE",IF(M587=0,"NO HISTORY",IF(M587&lt;P587,"SMALL SAMPLE","DERIVED")))))</x:f>
      </x:c>
      <x:c r="U587" s="2" t="str">
        <x:f>IF(B587="","","NativeTable; "&amp;E587&amp;"; "&amp;F587&amp;"; "&amp;G587&amp;"; "&amp;H587&amp;"; before "&amp;TEXT(J587,"yyyy-mm-dd")&amp;IF(I587="RECENT","; from "&amp;TEXT(L587,"yyyy-mm-dd"),""))</x:f>
      </x:c>
    </x:row>
    <x:row r="588" ht="21" customHeight="1">
      <x:c r="A588" s="2" t="n">
        <x:v>49</x:v>
      </x:c>
      <x:c r="B588" s="2" t="str">
        <x:f>IF('Input_Meci'!A54="","",'Input_Meci'!A54)</x:f>
      </x:c>
      <x:c r="C588" s="2" t="str">
        <x:v>H</x:v>
      </x:c>
      <x:c r="D588" s="2" t="str">
        <x:v>PRIOR</x:v>
      </x:c>
      <x:c r="E588" s="2" t="str">
        <x:f>IF(B588="","",'Input_Meci'!B54)</x:f>
      </x:c>
      <x:c r="F588" s="2" t="str">
        <x:f>IF(B588="","",IF('Input_Meci'!K54="","",'Input_Meci'!K54))</x:f>
      </x:c>
      <x:c r="G588" s="2" t="str">
        <x:f>IF(B588="","",'Input_Meci'!D54)</x:f>
      </x:c>
      <x:c r="H588" s="2" t="str">
        <x:v>ANY</x:v>
      </x:c>
      <x:c r="I588" s="2" t="str">
        <x:v>SEASON</x:v>
      </x:c>
      <x:c r="J588" s="9" t="n">
        <x:f>IF(AND(B588&lt;&gt;"",ISNUMBER('Input_Meci'!G54)),INT('Input_Meci'!G54),0)</x:f>
        <x:v>0</x:v>
      </x:c>
      <x:c r="K588" s="2" t="n">
        <x:f>IF(OR(B588="",F588=""),0,IF(H588="HOME",COUNTIFS('Istoric_Nativ'!$B$6:$B$405,E588,'Istoric_Nativ'!$C$6:$C$405,F588,'Istoric_Nativ'!$E$6:$E$405,G588,'Istoric_Nativ'!$D$6:$D$405,"&lt;"&amp;J588,'Istoric_Nativ'!$P$6:$P$405,1),IF(H588="AWAY",COUNTIFS('Istoric_Nativ'!$B$6:$B$405,E588,'Istoric_Nativ'!$C$6:$C$405,F588,'Istoric_Nativ'!$F$6:$F$405,G588,'Istoric_Nativ'!$D$6:$D$405,"&lt;"&amp;J588,'Istoric_Nativ'!$P$6:$P$405,1),COUNTIFS('Istoric_Nativ'!$B$6:$B$405,E588,'Istoric_Nativ'!$C$6:$C$405,F588,'Istoric_Nativ'!$E$6:$E$405,G588,'Istoric_Nativ'!$D$6:$D$405,"&lt;"&amp;J588,'Istoric_Nativ'!$P$6:$P$405,1)+COUNTIFS('Istoric_Nativ'!$B$6:$B$405,E588,'Istoric_Nativ'!$C$6:$C$405,F588,'Istoric_Nativ'!$F$6:$F$405,G588,'Istoric_Nativ'!$D$6:$D$405,"&lt;"&amp;J588,'Istoric_Nativ'!$P$6:$P$405,1))))</x:f>
        <x:v>0</x:v>
      </x:c>
      <x:c r="L588" s="17" t="n">
        <x:f>IF(AND(B588&lt;&gt;"",I588="RECENT",K588&gt;0),LARGE(_xlfn._xlws.FILTER('Istoric_Nativ'!$D$6:$D$405,('Istoric_Nativ'!$B$6:$B$405=E588)*('Istoric_Nativ'!$C$6:$C$405=F588)*('Istoric_Nativ'!$P$6:$P$405=1)*('Istoric_Nativ'!$D$6:$D$405&lt;J588)*((('Istoric_Nativ'!$E$6:$E$405=G588)+('Istoric_Nativ'!$F$6:$F$405=G588))&gt;0)),MIN('Config_v6'!$B$54,K588)),0)</x:f>
        <x:v>0</x:v>
      </x:c>
      <x:c r="M588" s="2" t="n">
        <x:f>IF(OR(B588="",F588=""),0,IF(H588="HOME",COUNTIFS('Istoric_Nativ'!$B$6:$B$405,E588,'Istoric_Nativ'!$C$6:$C$405,F588,'Istoric_Nativ'!$E$6:$E$405,G588,'Istoric_Nativ'!$D$6:$D$405,"&lt;"&amp;J588,'Istoric_Nativ'!$P$6:$P$405,1,'Istoric_Nativ'!$D$6:$D$405,"&gt;="&amp;L588),IF(H588="AWAY",COUNTIFS('Istoric_Nativ'!$B$6:$B$405,E588,'Istoric_Nativ'!$C$6:$C$405,F588,'Istoric_Nativ'!$F$6:$F$405,G588,'Istoric_Nativ'!$D$6:$D$405,"&lt;"&amp;J588,'Istoric_Nativ'!$P$6:$P$405,1,'Istoric_Nativ'!$D$6:$D$405,"&gt;="&amp;L588),COUNTIFS('Istoric_Nativ'!$B$6:$B$405,E588,'Istoric_Nativ'!$C$6:$C$405,F588,'Istoric_Nativ'!$E$6:$E$405,G588,'Istoric_Nativ'!$D$6:$D$405,"&lt;"&amp;J588,'Istoric_Nativ'!$P$6:$P$405,1,'Istoric_Nativ'!$D$6:$D$405,"&gt;="&amp;L588)+COUNTIFS('Istoric_Nativ'!$B$6:$B$405,E588,'Istoric_Nativ'!$C$6:$C$405,F588,'Istoric_Nativ'!$F$6:$F$405,G588,'Istoric_Nativ'!$D$6:$D$405,"&lt;"&amp;J588,'Istoric_Nativ'!$P$6:$P$405,1,'Istoric_Nativ'!$D$6:$D$405,"&gt;="&amp;L588))))</x:f>
        <x:v>0</x:v>
      </x:c>
      <x:c r="N588" s="11" t="str">
        <x:f>IF(M588=0,"",IF(H588="HOME",SUMIFS('Istoric_Nativ'!$G$6:$G$405,'Istoric_Nativ'!$B$6:$B$405,E588,'Istoric_Nativ'!$C$6:$C$405,F588,'Istoric_Nativ'!$E$6:$E$405,G588,'Istoric_Nativ'!$D$6:$D$405,"&lt;"&amp;J588,'Istoric_Nativ'!$P$6:$P$405,1,'Istoric_Nativ'!$D$6:$D$405,"&gt;="&amp;L588),IF(H588="AWAY",SUMIFS('Istoric_Nativ'!$H$6:$H$405,'Istoric_Nativ'!$B$6:$B$405,E588,'Istoric_Nativ'!$C$6:$C$405,F588,'Istoric_Nativ'!$F$6:$F$405,G588,'Istoric_Nativ'!$D$6:$D$405,"&lt;"&amp;J588,'Istoric_Nativ'!$P$6:$P$405,1,'Istoric_Nativ'!$D$6:$D$405,"&gt;="&amp;L588),SUMIFS('Istoric_Nativ'!$G$6:$G$405,'Istoric_Nativ'!$B$6:$B$405,E588,'Istoric_Nativ'!$C$6:$C$405,F588,'Istoric_Nativ'!$E$6:$E$405,G588,'Istoric_Nativ'!$D$6:$D$405,"&lt;"&amp;J588,'Istoric_Nativ'!$P$6:$P$405,1,'Istoric_Nativ'!$D$6:$D$405,"&gt;="&amp;L588)+SUMIFS('Istoric_Nativ'!$H$6:$H$405,'Istoric_Nativ'!$B$6:$B$405,E588,'Istoric_Nativ'!$C$6:$C$405,F588,'Istoric_Nativ'!$F$6:$F$405,G588,'Istoric_Nativ'!$D$6:$D$405,"&lt;"&amp;J588,'Istoric_Nativ'!$P$6:$P$405,1,'Istoric_Nativ'!$D$6:$D$405,"&gt;="&amp;L588)))/M588)</x:f>
      </x:c>
      <x:c r="O588" s="11" t="str">
        <x:f>IF(M588=0,"",IF(H588="HOME",SUMIFS('Istoric_Nativ'!$H$6:$H$405,'Istoric_Nativ'!$B$6:$B$405,E588,'Istoric_Nativ'!$C$6:$C$405,F588,'Istoric_Nativ'!$E$6:$E$405,G588,'Istoric_Nativ'!$D$6:$D$405,"&lt;"&amp;J588,'Istoric_Nativ'!$P$6:$P$405,1,'Istoric_Nativ'!$D$6:$D$405,"&gt;="&amp;L588),IF(H588="AWAY",SUMIFS('Istoric_Nativ'!$G$6:$G$405,'Istoric_Nativ'!$B$6:$B$405,E588,'Istoric_Nativ'!$C$6:$C$405,F588,'Istoric_Nativ'!$F$6:$F$405,G588,'Istoric_Nativ'!$D$6:$D$405,"&lt;"&amp;J588,'Istoric_Nativ'!$P$6:$P$405,1,'Istoric_Nativ'!$D$6:$D$405,"&gt;="&amp;L588),SUMIFS('Istoric_Nativ'!$H$6:$H$405,'Istoric_Nativ'!$B$6:$B$405,E588,'Istoric_Nativ'!$C$6:$C$405,F588,'Istoric_Nativ'!$E$6:$E$405,G588,'Istoric_Nativ'!$D$6:$D$405,"&lt;"&amp;J588,'Istoric_Nativ'!$P$6:$P$405,1,'Istoric_Nativ'!$D$6:$D$405,"&gt;="&amp;L588)+SUMIFS('Istoric_Nativ'!$G$6:$G$405,'Istoric_Nativ'!$B$6:$B$405,E588,'Istoric_Nativ'!$C$6:$C$405,F588,'Istoric_Nativ'!$F$6:$F$405,G588,'Istoric_Nativ'!$D$6:$D$405,"&lt;"&amp;J588,'Istoric_Nativ'!$P$6:$P$405,1,'Istoric_Nativ'!$D$6:$D$405,"&gt;="&amp;L588)))/M588)</x:f>
      </x:c>
      <x:c r="P588" s="2" t="n">
        <x:f>'Config_v6'!$B$7</x:f>
        <x:v>10</x:v>
      </x:c>
      <x:c r="Q588" s="2" t="n">
        <x:f>IF(OR(B588="",F588=""),0,IFERROR(MATCH(E588&amp;"|"&amp;F588,SourceTable[Source_Key],0),0))</x:f>
        <x:v>0</x:v>
      </x:c>
      <x:c r="R588" s="2" t="str">
        <x:f>IF(B588="","",IF(F588="","UNUSED",IF(Q588=0,"NOT CHECKED",IF(COUNTIF(SourceTable[Source_Key],E588&amp;"|"&amp;F588)&lt;&gt;1,"SOURCE CONFLICT",IF(NOT(OR(INDEX(SourceTable[Status],MAX(1,Q588))="IMPORTED",INDEX(SourceTable[Status],MAX(1,Q588))="PARTIAL",INDEX(SourceTable[Status],MAX(1,Q588))="SOURCE CONFLICT")),"ACCESS BLOCKED",IF(OR(INDEX(SourceTable[Coverage],Q588)&lt;&gt;"FULL SEASON EXPORT",INDEX(SourceTable[URL],Q588)="",INDEX(SourceTable[SHA256],Q588)=""),"EVIDENCE INCOMPLETE",IF(AND('Input_Meci'!H54="LIVE",INDEX(SourceTable[Retrieved_UTC],Q588)&gt;'Input_Meci'!G54),"POST CUTOFF","CLOSED")))))))</x:f>
      </x:c>
      <x:c r="S588" s="2" t="n">
        <x:f>IF(OR(B588="",F588=""),0,COUNTIFS('Istoric_Nativ'!$B$6:$B$405,E588,'Istoric_Nativ'!$C$6:$C$405,F588,'Istoric_Nativ'!$E$6:$E$405,G588,'Istoric_Nativ'!$D$6:$D$405,"&lt;"&amp;J588,'Istoric_Nativ'!$O$6:$O$405,"INVALID")+COUNTIFS('Istoric_Nativ'!$B$6:$B$405,E588,'Istoric_Nativ'!$C$6:$C$405,F588,'Istoric_Nativ'!$E$6:$E$405,G588,'Istoric_Nativ'!$O$6:$O$405,"INVALID",'Istoric_Nativ'!$D$6:$D$405,"*")+COUNTIFS('Istoric_Nativ'!$B$6:$B$405,E588,'Istoric_Nativ'!$C$6:$C$405,F588,'Istoric_Nativ'!$E$6:$E$405,G588,'Istoric_Nativ'!$D$6:$D$405,"&lt;"&amp;J588,'Istoric_Nativ'!$O$6:$O$405,"SOURCE CONFLICT")+COUNTIFS('Istoric_Nativ'!$B$6:$B$405,E588,'Istoric_Nativ'!$C$6:$C$405,F588,'Istoric_Nativ'!$F$6:$F$405,G588,'Istoric_Nativ'!$D$6:$D$405,"&lt;"&amp;J588,'Istoric_Nativ'!$O$6:$O$405,"INVALID")+COUNTIFS('Istoric_Nativ'!$B$6:$B$405,E588,'Istoric_Nativ'!$C$6:$C$405,F588,'Istoric_Nativ'!$F$6:$F$405,G588,'Istoric_Nativ'!$O$6:$O$405,"INVALID",'Istoric_Nativ'!$D$6:$D$405,"*")+COUNTIFS('Istoric_Nativ'!$B$6:$B$405,E588,'Istoric_Nativ'!$C$6:$C$405,F588,'Istoric_Nativ'!$F$6:$F$405,G588,'Istoric_Nativ'!$D$6:$D$405,"&lt;"&amp;J588,'Istoric_Nativ'!$O$6:$O$405,"SOURCE CONFLICT"))</x:f>
        <x:v>0</x:v>
      </x:c>
      <x:c r="T588" s="2" t="str">
        <x:f>IF(B588="","",IF(R588&lt;&gt;"CLOSED",R588,IF(S588&gt;0,"NATIVE INPUT ISSUE",IF(M588=0,"NO HISTORY",IF(M588&lt;P588,"SMALL SAMPLE","DERIVED")))))</x:f>
      </x:c>
      <x:c r="U588" s="2" t="str">
        <x:f>IF(B588="","","NativeTable; "&amp;E588&amp;"; "&amp;F588&amp;"; "&amp;G588&amp;"; "&amp;H588&amp;"; before "&amp;TEXT(J588,"yyyy-mm-dd")&amp;IF(I588="RECENT","; from "&amp;TEXT(L588,"yyyy-mm-dd"),""))</x:f>
      </x:c>
    </x:row>
    <x:row r="589" ht="21" customHeight="1">
      <x:c r="A589" s="2" t="n">
        <x:v>49</x:v>
      </x:c>
      <x:c r="B589" s="2" t="str">
        <x:f>IF('Input_Meci'!A54="","",'Input_Meci'!A54)</x:f>
      </x:c>
      <x:c r="C589" s="2" t="str">
        <x:v>H</x:v>
      </x:c>
      <x:c r="D589" s="2" t="str">
        <x:v>PRIOR</x:v>
      </x:c>
      <x:c r="E589" s="2" t="str">
        <x:f>IF(B589="","",'Input_Meci'!B54)</x:f>
      </x:c>
      <x:c r="F589" s="2" t="str">
        <x:f>IF(B589="","",IF('Input_Meci'!K54="","",'Input_Meci'!K54))</x:f>
      </x:c>
      <x:c r="G589" s="2" t="str">
        <x:f>IF(B589="","",'Input_Meci'!D54)</x:f>
      </x:c>
      <x:c r="H589" s="2" t="str">
        <x:v>HOME</x:v>
      </x:c>
      <x:c r="I589" s="2" t="str">
        <x:v>HA</x:v>
      </x:c>
      <x:c r="J589" s="9" t="n">
        <x:f>IF(AND(B589&lt;&gt;"",ISNUMBER('Input_Meci'!G54)),INT('Input_Meci'!G54),0)</x:f>
        <x:v>0</x:v>
      </x:c>
      <x:c r="K589" s="2" t="n">
        <x:f>IF(OR(B589="",F589=""),0,IF(H589="HOME",COUNTIFS('Istoric_Nativ'!$B$6:$B$405,E589,'Istoric_Nativ'!$C$6:$C$405,F589,'Istoric_Nativ'!$E$6:$E$405,G589,'Istoric_Nativ'!$D$6:$D$405,"&lt;"&amp;J589,'Istoric_Nativ'!$P$6:$P$405,1),IF(H589="AWAY",COUNTIFS('Istoric_Nativ'!$B$6:$B$405,E589,'Istoric_Nativ'!$C$6:$C$405,F589,'Istoric_Nativ'!$F$6:$F$405,G589,'Istoric_Nativ'!$D$6:$D$405,"&lt;"&amp;J589,'Istoric_Nativ'!$P$6:$P$405,1),COUNTIFS('Istoric_Nativ'!$B$6:$B$405,E589,'Istoric_Nativ'!$C$6:$C$405,F589,'Istoric_Nativ'!$E$6:$E$405,G589,'Istoric_Nativ'!$D$6:$D$405,"&lt;"&amp;J589,'Istoric_Nativ'!$P$6:$P$405,1)+COUNTIFS('Istoric_Nativ'!$B$6:$B$405,E589,'Istoric_Nativ'!$C$6:$C$405,F589,'Istoric_Nativ'!$F$6:$F$405,G589,'Istoric_Nativ'!$D$6:$D$405,"&lt;"&amp;J589,'Istoric_Nativ'!$P$6:$P$405,1))))</x:f>
        <x:v>0</x:v>
      </x:c>
      <x:c r="L589" s="17" t="n">
        <x:f>IF(AND(B589&lt;&gt;"",I589="RECENT",K589&gt;0),LARGE(_xlfn._xlws.FILTER('Istoric_Nativ'!$D$6:$D$405,('Istoric_Nativ'!$B$6:$B$405=E589)*('Istoric_Nativ'!$C$6:$C$405=F589)*('Istoric_Nativ'!$P$6:$P$405=1)*('Istoric_Nativ'!$D$6:$D$405&lt;J589)*((('Istoric_Nativ'!$E$6:$E$405=G589)+('Istoric_Nativ'!$F$6:$F$405=G589))&gt;0)),MIN('Config_v6'!$B$54,K589)),0)</x:f>
        <x:v>0</x:v>
      </x:c>
      <x:c r="M589" s="2" t="n">
        <x:f>IF(OR(B589="",F589=""),0,IF(H589="HOME",COUNTIFS('Istoric_Nativ'!$B$6:$B$405,E589,'Istoric_Nativ'!$C$6:$C$405,F589,'Istoric_Nativ'!$E$6:$E$405,G589,'Istoric_Nativ'!$D$6:$D$405,"&lt;"&amp;J589,'Istoric_Nativ'!$P$6:$P$405,1,'Istoric_Nativ'!$D$6:$D$405,"&gt;="&amp;L589),IF(H589="AWAY",COUNTIFS('Istoric_Nativ'!$B$6:$B$405,E589,'Istoric_Nativ'!$C$6:$C$405,F589,'Istoric_Nativ'!$F$6:$F$405,G589,'Istoric_Nativ'!$D$6:$D$405,"&lt;"&amp;J589,'Istoric_Nativ'!$P$6:$P$405,1,'Istoric_Nativ'!$D$6:$D$405,"&gt;="&amp;L589),COUNTIFS('Istoric_Nativ'!$B$6:$B$405,E589,'Istoric_Nativ'!$C$6:$C$405,F589,'Istoric_Nativ'!$E$6:$E$405,G589,'Istoric_Nativ'!$D$6:$D$405,"&lt;"&amp;J589,'Istoric_Nativ'!$P$6:$P$405,1,'Istoric_Nativ'!$D$6:$D$405,"&gt;="&amp;L589)+COUNTIFS('Istoric_Nativ'!$B$6:$B$405,E589,'Istoric_Nativ'!$C$6:$C$405,F589,'Istoric_Nativ'!$F$6:$F$405,G589,'Istoric_Nativ'!$D$6:$D$405,"&lt;"&amp;J589,'Istoric_Nativ'!$P$6:$P$405,1,'Istoric_Nativ'!$D$6:$D$405,"&gt;="&amp;L589))))</x:f>
        <x:v>0</x:v>
      </x:c>
      <x:c r="N589" s="11" t="str">
        <x:f>IF(M589=0,"",IF(H589="HOME",SUMIFS('Istoric_Nativ'!$G$6:$G$405,'Istoric_Nativ'!$B$6:$B$405,E589,'Istoric_Nativ'!$C$6:$C$405,F589,'Istoric_Nativ'!$E$6:$E$405,G589,'Istoric_Nativ'!$D$6:$D$405,"&lt;"&amp;J589,'Istoric_Nativ'!$P$6:$P$405,1,'Istoric_Nativ'!$D$6:$D$405,"&gt;="&amp;L589),IF(H589="AWAY",SUMIFS('Istoric_Nativ'!$H$6:$H$405,'Istoric_Nativ'!$B$6:$B$405,E589,'Istoric_Nativ'!$C$6:$C$405,F589,'Istoric_Nativ'!$F$6:$F$405,G589,'Istoric_Nativ'!$D$6:$D$405,"&lt;"&amp;J589,'Istoric_Nativ'!$P$6:$P$405,1,'Istoric_Nativ'!$D$6:$D$405,"&gt;="&amp;L589),SUMIFS('Istoric_Nativ'!$G$6:$G$405,'Istoric_Nativ'!$B$6:$B$405,E589,'Istoric_Nativ'!$C$6:$C$405,F589,'Istoric_Nativ'!$E$6:$E$405,G589,'Istoric_Nativ'!$D$6:$D$405,"&lt;"&amp;J589,'Istoric_Nativ'!$P$6:$P$405,1,'Istoric_Nativ'!$D$6:$D$405,"&gt;="&amp;L589)+SUMIFS('Istoric_Nativ'!$H$6:$H$405,'Istoric_Nativ'!$B$6:$B$405,E589,'Istoric_Nativ'!$C$6:$C$405,F589,'Istoric_Nativ'!$F$6:$F$405,G589,'Istoric_Nativ'!$D$6:$D$405,"&lt;"&amp;J589,'Istoric_Nativ'!$P$6:$P$405,1,'Istoric_Nativ'!$D$6:$D$405,"&gt;="&amp;L589)))/M589)</x:f>
      </x:c>
      <x:c r="O589" s="11" t="str">
        <x:f>IF(M589=0,"",IF(H589="HOME",SUMIFS('Istoric_Nativ'!$H$6:$H$405,'Istoric_Nativ'!$B$6:$B$405,E589,'Istoric_Nativ'!$C$6:$C$405,F589,'Istoric_Nativ'!$E$6:$E$405,G589,'Istoric_Nativ'!$D$6:$D$405,"&lt;"&amp;J589,'Istoric_Nativ'!$P$6:$P$405,1,'Istoric_Nativ'!$D$6:$D$405,"&gt;="&amp;L589),IF(H589="AWAY",SUMIFS('Istoric_Nativ'!$G$6:$G$405,'Istoric_Nativ'!$B$6:$B$405,E589,'Istoric_Nativ'!$C$6:$C$405,F589,'Istoric_Nativ'!$F$6:$F$405,G589,'Istoric_Nativ'!$D$6:$D$405,"&lt;"&amp;J589,'Istoric_Nativ'!$P$6:$P$405,1,'Istoric_Nativ'!$D$6:$D$405,"&gt;="&amp;L589),SUMIFS('Istoric_Nativ'!$H$6:$H$405,'Istoric_Nativ'!$B$6:$B$405,E589,'Istoric_Nativ'!$C$6:$C$405,F589,'Istoric_Nativ'!$E$6:$E$405,G589,'Istoric_Nativ'!$D$6:$D$405,"&lt;"&amp;J589,'Istoric_Nativ'!$P$6:$P$405,1,'Istoric_Nativ'!$D$6:$D$405,"&gt;="&amp;L589)+SUMIFS('Istoric_Nativ'!$G$6:$G$405,'Istoric_Nativ'!$B$6:$B$405,E589,'Istoric_Nativ'!$C$6:$C$405,F589,'Istoric_Nativ'!$F$6:$F$405,G589,'Istoric_Nativ'!$D$6:$D$405,"&lt;"&amp;J589,'Istoric_Nativ'!$P$6:$P$405,1,'Istoric_Nativ'!$D$6:$D$405,"&gt;="&amp;L589)))/M589)</x:f>
      </x:c>
      <x:c r="P589" s="2" t="n">
        <x:f>'Config_v6'!$B$8</x:f>
        <x:v>5</x:v>
      </x:c>
      <x:c r="Q589" s="2" t="n">
        <x:f>IF(OR(B589="",F589=""),0,IFERROR(MATCH(E589&amp;"|"&amp;F589,SourceTable[Source_Key],0),0))</x:f>
        <x:v>0</x:v>
      </x:c>
      <x:c r="R589" s="2" t="str">
        <x:f>IF(B589="","",IF(F589="","UNUSED",IF(Q589=0,"NOT CHECKED",IF(COUNTIF(SourceTable[Source_Key],E589&amp;"|"&amp;F589)&lt;&gt;1,"SOURCE CONFLICT",IF(NOT(OR(INDEX(SourceTable[Status],MAX(1,Q589))="IMPORTED",INDEX(SourceTable[Status],MAX(1,Q589))="PARTIAL",INDEX(SourceTable[Status],MAX(1,Q589))="SOURCE CONFLICT")),"ACCESS BLOCKED",IF(OR(INDEX(SourceTable[Coverage],Q589)&lt;&gt;"FULL SEASON EXPORT",INDEX(SourceTable[URL],Q589)="",INDEX(SourceTable[SHA256],Q589)=""),"EVIDENCE INCOMPLETE",IF(AND('Input_Meci'!H54="LIVE",INDEX(SourceTable[Retrieved_UTC],Q589)&gt;'Input_Meci'!G54),"POST CUTOFF","CLOSED")))))))</x:f>
      </x:c>
      <x:c r="S589" s="2" t="n">
        <x:f>IF(OR(B589="",F589=""),0,COUNTIFS('Istoric_Nativ'!$B$6:$B$405,E589,'Istoric_Nativ'!$C$6:$C$405,F589,'Istoric_Nativ'!$E$6:$E$405,G589,'Istoric_Nativ'!$D$6:$D$405,"&lt;"&amp;J589,'Istoric_Nativ'!$O$6:$O$405,"INVALID")+COUNTIFS('Istoric_Nativ'!$B$6:$B$405,E589,'Istoric_Nativ'!$C$6:$C$405,F589,'Istoric_Nativ'!$E$6:$E$405,G589,'Istoric_Nativ'!$O$6:$O$405,"INVALID",'Istoric_Nativ'!$D$6:$D$405,"*")+COUNTIFS('Istoric_Nativ'!$B$6:$B$405,E589,'Istoric_Nativ'!$C$6:$C$405,F589,'Istoric_Nativ'!$E$6:$E$405,G589,'Istoric_Nativ'!$D$6:$D$405,"&lt;"&amp;J589,'Istoric_Nativ'!$O$6:$O$405,"SOURCE CONFLICT")+COUNTIFS('Istoric_Nativ'!$B$6:$B$405,E589,'Istoric_Nativ'!$C$6:$C$405,F589,'Istoric_Nativ'!$F$6:$F$405,G589,'Istoric_Nativ'!$D$6:$D$405,"&lt;"&amp;J589,'Istoric_Nativ'!$O$6:$O$405,"INVALID")+COUNTIFS('Istoric_Nativ'!$B$6:$B$405,E589,'Istoric_Nativ'!$C$6:$C$405,F589,'Istoric_Nativ'!$F$6:$F$405,G589,'Istoric_Nativ'!$O$6:$O$405,"INVALID",'Istoric_Nativ'!$D$6:$D$405,"*")+COUNTIFS('Istoric_Nativ'!$B$6:$B$405,E589,'Istoric_Nativ'!$C$6:$C$405,F589,'Istoric_Nativ'!$F$6:$F$405,G589,'Istoric_Nativ'!$D$6:$D$405,"&lt;"&amp;J589,'Istoric_Nativ'!$O$6:$O$405,"SOURCE CONFLICT"))</x:f>
        <x:v>0</x:v>
      </x:c>
      <x:c r="T589" s="2" t="str">
        <x:f>IF(B589="","",IF(R589&lt;&gt;"CLOSED",R589,IF(S589&gt;0,"NATIVE INPUT ISSUE",IF(M589=0,"NO HISTORY",IF(M589&lt;P589,"SMALL SAMPLE","DERIVED")))))</x:f>
      </x:c>
      <x:c r="U589" s="2" t="str">
        <x:f>IF(B589="","","NativeTable; "&amp;E589&amp;"; "&amp;F589&amp;"; "&amp;G589&amp;"; "&amp;H589&amp;"; before "&amp;TEXT(J589,"yyyy-mm-dd")&amp;IF(I589="RECENT","; from "&amp;TEXT(L589,"yyyy-mm-dd"),""))</x:f>
      </x:c>
    </x:row>
    <x:row r="590" ht="21" customHeight="1">
      <x:c r="A590" s="2" t="n">
        <x:v>49</x:v>
      </x:c>
      <x:c r="B590" s="2" t="str">
        <x:f>IF('Input_Meci'!A54="","",'Input_Meci'!A54)</x:f>
      </x:c>
      <x:c r="C590" s="2" t="str">
        <x:v>H</x:v>
      </x:c>
      <x:c r="D590" s="2" t="str">
        <x:v>PRIOR</x:v>
      </x:c>
      <x:c r="E590" s="2" t="str">
        <x:f>IF(B590="","",'Input_Meci'!B54)</x:f>
      </x:c>
      <x:c r="F590" s="2" t="str">
        <x:f>IF(B590="","",IF('Input_Meci'!K54="","",'Input_Meci'!K54))</x:f>
      </x:c>
      <x:c r="G590" s="2" t="str">
        <x:f>IF(B590="","",'Input_Meci'!D54)</x:f>
      </x:c>
      <x:c r="H590" s="2" t="str">
        <x:v>ANY</x:v>
      </x:c>
      <x:c r="I590" s="2" t="str">
        <x:v>RECENT</x:v>
      </x:c>
      <x:c r="J590" s="9" t="n">
        <x:f>IF(AND(B590&lt;&gt;"",ISNUMBER('Input_Meci'!G54)),INT('Input_Meci'!G54),0)</x:f>
        <x:v>0</x:v>
      </x:c>
      <x:c r="K590" s="2" t="n">
        <x:f>IF(OR(B590="",F590=""),0,IF(H590="HOME",COUNTIFS('Istoric_Nativ'!$B$6:$B$405,E590,'Istoric_Nativ'!$C$6:$C$405,F590,'Istoric_Nativ'!$E$6:$E$405,G590,'Istoric_Nativ'!$D$6:$D$405,"&lt;"&amp;J590,'Istoric_Nativ'!$P$6:$P$405,1),IF(H590="AWAY",COUNTIFS('Istoric_Nativ'!$B$6:$B$405,E590,'Istoric_Nativ'!$C$6:$C$405,F590,'Istoric_Nativ'!$F$6:$F$405,G590,'Istoric_Nativ'!$D$6:$D$405,"&lt;"&amp;J590,'Istoric_Nativ'!$P$6:$P$405,1),COUNTIFS('Istoric_Nativ'!$B$6:$B$405,E590,'Istoric_Nativ'!$C$6:$C$405,F590,'Istoric_Nativ'!$E$6:$E$405,G590,'Istoric_Nativ'!$D$6:$D$405,"&lt;"&amp;J590,'Istoric_Nativ'!$P$6:$P$405,1)+COUNTIFS('Istoric_Nativ'!$B$6:$B$405,E590,'Istoric_Nativ'!$C$6:$C$405,F590,'Istoric_Nativ'!$F$6:$F$405,G590,'Istoric_Nativ'!$D$6:$D$405,"&lt;"&amp;J590,'Istoric_Nativ'!$P$6:$P$405,1))))</x:f>
        <x:v>0</x:v>
      </x:c>
      <x:c r="L590" s="17" t="n">
        <x:f>IF(AND(B590&lt;&gt;"",I590="RECENT",K590&gt;0),LARGE(_xlfn._xlws.FILTER('Istoric_Nativ'!$D$6:$D$405,('Istoric_Nativ'!$B$6:$B$405=E590)*('Istoric_Nativ'!$C$6:$C$405=F590)*('Istoric_Nativ'!$P$6:$P$405=1)*('Istoric_Nativ'!$D$6:$D$405&lt;J590)*((('Istoric_Nativ'!$E$6:$E$405=G590)+('Istoric_Nativ'!$F$6:$F$405=G590))&gt;0)),MIN('Config_v6'!$B$54,K590)),0)</x:f>
        <x:v>0</x:v>
      </x:c>
      <x:c r="M590" s="2" t="n">
        <x:f>IF(OR(B590="",F590=""),0,IF(H590="HOME",COUNTIFS('Istoric_Nativ'!$B$6:$B$405,E590,'Istoric_Nativ'!$C$6:$C$405,F590,'Istoric_Nativ'!$E$6:$E$405,G590,'Istoric_Nativ'!$D$6:$D$405,"&lt;"&amp;J590,'Istoric_Nativ'!$P$6:$P$405,1,'Istoric_Nativ'!$D$6:$D$405,"&gt;="&amp;L590),IF(H590="AWAY",COUNTIFS('Istoric_Nativ'!$B$6:$B$405,E590,'Istoric_Nativ'!$C$6:$C$405,F590,'Istoric_Nativ'!$F$6:$F$405,G590,'Istoric_Nativ'!$D$6:$D$405,"&lt;"&amp;J590,'Istoric_Nativ'!$P$6:$P$405,1,'Istoric_Nativ'!$D$6:$D$405,"&gt;="&amp;L590),COUNTIFS('Istoric_Nativ'!$B$6:$B$405,E590,'Istoric_Nativ'!$C$6:$C$405,F590,'Istoric_Nativ'!$E$6:$E$405,G590,'Istoric_Nativ'!$D$6:$D$405,"&lt;"&amp;J590,'Istoric_Nativ'!$P$6:$P$405,1,'Istoric_Nativ'!$D$6:$D$405,"&gt;="&amp;L590)+COUNTIFS('Istoric_Nativ'!$B$6:$B$405,E590,'Istoric_Nativ'!$C$6:$C$405,F590,'Istoric_Nativ'!$F$6:$F$405,G590,'Istoric_Nativ'!$D$6:$D$405,"&lt;"&amp;J590,'Istoric_Nativ'!$P$6:$P$405,1,'Istoric_Nativ'!$D$6:$D$405,"&gt;="&amp;L590))))</x:f>
        <x:v>0</x:v>
      </x:c>
      <x:c r="N590" s="11" t="str">
        <x:f>IF(M590=0,"",IF(H590="HOME",SUMIFS('Istoric_Nativ'!$G$6:$G$405,'Istoric_Nativ'!$B$6:$B$405,E590,'Istoric_Nativ'!$C$6:$C$405,F590,'Istoric_Nativ'!$E$6:$E$405,G590,'Istoric_Nativ'!$D$6:$D$405,"&lt;"&amp;J590,'Istoric_Nativ'!$P$6:$P$405,1,'Istoric_Nativ'!$D$6:$D$405,"&gt;="&amp;L590),IF(H590="AWAY",SUMIFS('Istoric_Nativ'!$H$6:$H$405,'Istoric_Nativ'!$B$6:$B$405,E590,'Istoric_Nativ'!$C$6:$C$405,F590,'Istoric_Nativ'!$F$6:$F$405,G590,'Istoric_Nativ'!$D$6:$D$405,"&lt;"&amp;J590,'Istoric_Nativ'!$P$6:$P$405,1,'Istoric_Nativ'!$D$6:$D$405,"&gt;="&amp;L590),SUMIFS('Istoric_Nativ'!$G$6:$G$405,'Istoric_Nativ'!$B$6:$B$405,E590,'Istoric_Nativ'!$C$6:$C$405,F590,'Istoric_Nativ'!$E$6:$E$405,G590,'Istoric_Nativ'!$D$6:$D$405,"&lt;"&amp;J590,'Istoric_Nativ'!$P$6:$P$405,1,'Istoric_Nativ'!$D$6:$D$405,"&gt;="&amp;L590)+SUMIFS('Istoric_Nativ'!$H$6:$H$405,'Istoric_Nativ'!$B$6:$B$405,E590,'Istoric_Nativ'!$C$6:$C$405,F590,'Istoric_Nativ'!$F$6:$F$405,G590,'Istoric_Nativ'!$D$6:$D$405,"&lt;"&amp;J590,'Istoric_Nativ'!$P$6:$P$405,1,'Istoric_Nativ'!$D$6:$D$405,"&gt;="&amp;L590)))/M590)</x:f>
      </x:c>
      <x:c r="O590" s="11" t="str">
        <x:f>IF(M590=0,"",IF(H590="HOME",SUMIFS('Istoric_Nativ'!$H$6:$H$405,'Istoric_Nativ'!$B$6:$B$405,E590,'Istoric_Nativ'!$C$6:$C$405,F590,'Istoric_Nativ'!$E$6:$E$405,G590,'Istoric_Nativ'!$D$6:$D$405,"&lt;"&amp;J590,'Istoric_Nativ'!$P$6:$P$405,1,'Istoric_Nativ'!$D$6:$D$405,"&gt;="&amp;L590),IF(H590="AWAY",SUMIFS('Istoric_Nativ'!$G$6:$G$405,'Istoric_Nativ'!$B$6:$B$405,E590,'Istoric_Nativ'!$C$6:$C$405,F590,'Istoric_Nativ'!$F$6:$F$405,G590,'Istoric_Nativ'!$D$6:$D$405,"&lt;"&amp;J590,'Istoric_Nativ'!$P$6:$P$405,1,'Istoric_Nativ'!$D$6:$D$405,"&gt;="&amp;L590),SUMIFS('Istoric_Nativ'!$H$6:$H$405,'Istoric_Nativ'!$B$6:$B$405,E590,'Istoric_Nativ'!$C$6:$C$405,F590,'Istoric_Nativ'!$E$6:$E$405,G590,'Istoric_Nativ'!$D$6:$D$405,"&lt;"&amp;J590,'Istoric_Nativ'!$P$6:$P$405,1,'Istoric_Nativ'!$D$6:$D$405,"&gt;="&amp;L590)+SUMIFS('Istoric_Nativ'!$G$6:$G$405,'Istoric_Nativ'!$B$6:$B$405,E590,'Istoric_Nativ'!$C$6:$C$405,F590,'Istoric_Nativ'!$F$6:$F$405,G590,'Istoric_Nativ'!$D$6:$D$405,"&lt;"&amp;J590,'Istoric_Nativ'!$P$6:$P$405,1,'Istoric_Nativ'!$D$6:$D$405,"&gt;="&amp;L590)))/M590)</x:f>
      </x:c>
      <x:c r="P590" s="2" t="n">
        <x:f>'Config_v6'!$B$9</x:f>
        <x:v>3</x:v>
      </x:c>
      <x:c r="Q590" s="2" t="n">
        <x:f>IF(OR(B590="",F590=""),0,IFERROR(MATCH(E590&amp;"|"&amp;F590,SourceTable[Source_Key],0),0))</x:f>
        <x:v>0</x:v>
      </x:c>
      <x:c r="R590" s="2" t="str">
        <x:f>IF(B590="","",IF(F590="","UNUSED",IF(Q590=0,"NOT CHECKED",IF(COUNTIF(SourceTable[Source_Key],E590&amp;"|"&amp;F590)&lt;&gt;1,"SOURCE CONFLICT",IF(NOT(OR(INDEX(SourceTable[Status],MAX(1,Q590))="IMPORTED",INDEX(SourceTable[Status],MAX(1,Q590))="PARTIAL",INDEX(SourceTable[Status],MAX(1,Q590))="SOURCE CONFLICT")),"ACCESS BLOCKED",IF(OR(INDEX(SourceTable[Coverage],Q590)&lt;&gt;"FULL SEASON EXPORT",INDEX(SourceTable[URL],Q590)="",INDEX(SourceTable[SHA256],Q590)=""),"EVIDENCE INCOMPLETE",IF(AND('Input_Meci'!H54="LIVE",INDEX(SourceTable[Retrieved_UTC],Q590)&gt;'Input_Meci'!G54),"POST CUTOFF","CLOSED")))))))</x:f>
      </x:c>
      <x:c r="S590" s="2" t="n">
        <x:f>IF(OR(B590="",F590=""),0,COUNTIFS('Istoric_Nativ'!$B$6:$B$405,E590,'Istoric_Nativ'!$C$6:$C$405,F590,'Istoric_Nativ'!$E$6:$E$405,G590,'Istoric_Nativ'!$D$6:$D$405,"&lt;"&amp;J590,'Istoric_Nativ'!$O$6:$O$405,"INVALID")+COUNTIFS('Istoric_Nativ'!$B$6:$B$405,E590,'Istoric_Nativ'!$C$6:$C$405,F590,'Istoric_Nativ'!$E$6:$E$405,G590,'Istoric_Nativ'!$O$6:$O$405,"INVALID",'Istoric_Nativ'!$D$6:$D$405,"*")+COUNTIFS('Istoric_Nativ'!$B$6:$B$405,E590,'Istoric_Nativ'!$C$6:$C$405,F590,'Istoric_Nativ'!$E$6:$E$405,G590,'Istoric_Nativ'!$D$6:$D$405,"&lt;"&amp;J590,'Istoric_Nativ'!$O$6:$O$405,"SOURCE CONFLICT")+COUNTIFS('Istoric_Nativ'!$B$6:$B$405,E590,'Istoric_Nativ'!$C$6:$C$405,F590,'Istoric_Nativ'!$F$6:$F$405,G590,'Istoric_Nativ'!$D$6:$D$405,"&lt;"&amp;J590,'Istoric_Nativ'!$O$6:$O$405,"INVALID")+COUNTIFS('Istoric_Nativ'!$B$6:$B$405,E590,'Istoric_Nativ'!$C$6:$C$405,F590,'Istoric_Nativ'!$F$6:$F$405,G590,'Istoric_Nativ'!$O$6:$O$405,"INVALID",'Istoric_Nativ'!$D$6:$D$405,"*")+COUNTIFS('Istoric_Nativ'!$B$6:$B$405,E590,'Istoric_Nativ'!$C$6:$C$405,F590,'Istoric_Nativ'!$F$6:$F$405,G590,'Istoric_Nativ'!$D$6:$D$405,"&lt;"&amp;J590,'Istoric_Nativ'!$O$6:$O$405,"SOURCE CONFLICT"))</x:f>
        <x:v>0</x:v>
      </x:c>
      <x:c r="T590" s="2" t="str">
        <x:f>IF(B590="","",IF(R590&lt;&gt;"CLOSED",R590,IF(S590&gt;0,"NATIVE INPUT ISSUE",IF(M590=0,"NO HISTORY",IF(M590&lt;P590,"SMALL SAMPLE","DERIVED")))))</x:f>
      </x:c>
      <x:c r="U590" s="2" t="str">
        <x:f>IF(B590="","","NativeTable; "&amp;E590&amp;"; "&amp;F590&amp;"; "&amp;G590&amp;"; "&amp;H590&amp;"; before "&amp;TEXT(J590,"yyyy-mm-dd")&amp;IF(I590="RECENT","; from "&amp;TEXT(L590,"yyyy-mm-dd"),""))</x:f>
      </x:c>
    </x:row>
    <x:row r="591" ht="21" customHeight="1">
      <x:c r="A591" s="2" t="n">
        <x:v>49</x:v>
      </x:c>
      <x:c r="B591" s="2" t="str">
        <x:f>IF('Input_Meci'!A54="","",'Input_Meci'!A54)</x:f>
      </x:c>
      <x:c r="C591" s="2" t="str">
        <x:v>A</x:v>
      </x:c>
      <x:c r="D591" s="2" t="str">
        <x:v>PRIOR</x:v>
      </x:c>
      <x:c r="E591" s="2" t="str">
        <x:f>IF(B591="","",'Input_Meci'!B54)</x:f>
      </x:c>
      <x:c r="F591" s="2" t="str">
        <x:f>IF(B591="","",IF('Input_Meci'!K54="","",'Input_Meci'!K54))</x:f>
      </x:c>
      <x:c r="G591" s="2" t="str">
        <x:f>IF(B591="","",'Input_Meci'!E54)</x:f>
      </x:c>
      <x:c r="H591" s="2" t="str">
        <x:v>ANY</x:v>
      </x:c>
      <x:c r="I591" s="2" t="str">
        <x:v>SEASON</x:v>
      </x:c>
      <x:c r="J591" s="9" t="n">
        <x:f>IF(AND(B591&lt;&gt;"",ISNUMBER('Input_Meci'!G54)),INT('Input_Meci'!G54),0)</x:f>
        <x:v>0</x:v>
      </x:c>
      <x:c r="K591" s="2" t="n">
        <x:f>IF(OR(B591="",F591=""),0,IF(H591="HOME",COUNTIFS('Istoric_Nativ'!$B$6:$B$405,E591,'Istoric_Nativ'!$C$6:$C$405,F591,'Istoric_Nativ'!$E$6:$E$405,G591,'Istoric_Nativ'!$D$6:$D$405,"&lt;"&amp;J591,'Istoric_Nativ'!$P$6:$P$405,1),IF(H591="AWAY",COUNTIFS('Istoric_Nativ'!$B$6:$B$405,E591,'Istoric_Nativ'!$C$6:$C$405,F591,'Istoric_Nativ'!$F$6:$F$405,G591,'Istoric_Nativ'!$D$6:$D$405,"&lt;"&amp;J591,'Istoric_Nativ'!$P$6:$P$405,1),COUNTIFS('Istoric_Nativ'!$B$6:$B$405,E591,'Istoric_Nativ'!$C$6:$C$405,F591,'Istoric_Nativ'!$E$6:$E$405,G591,'Istoric_Nativ'!$D$6:$D$405,"&lt;"&amp;J591,'Istoric_Nativ'!$P$6:$P$405,1)+COUNTIFS('Istoric_Nativ'!$B$6:$B$405,E591,'Istoric_Nativ'!$C$6:$C$405,F591,'Istoric_Nativ'!$F$6:$F$405,G591,'Istoric_Nativ'!$D$6:$D$405,"&lt;"&amp;J591,'Istoric_Nativ'!$P$6:$P$405,1))))</x:f>
        <x:v>0</x:v>
      </x:c>
      <x:c r="L591" s="17" t="n">
        <x:f>IF(AND(B591&lt;&gt;"",I591="RECENT",K591&gt;0),LARGE(_xlfn._xlws.FILTER('Istoric_Nativ'!$D$6:$D$405,('Istoric_Nativ'!$B$6:$B$405=E591)*('Istoric_Nativ'!$C$6:$C$405=F591)*('Istoric_Nativ'!$P$6:$P$405=1)*('Istoric_Nativ'!$D$6:$D$405&lt;J591)*((('Istoric_Nativ'!$E$6:$E$405=G591)+('Istoric_Nativ'!$F$6:$F$405=G591))&gt;0)),MIN('Config_v6'!$B$54,K591)),0)</x:f>
        <x:v>0</x:v>
      </x:c>
      <x:c r="M591" s="2" t="n">
        <x:f>IF(OR(B591="",F591=""),0,IF(H591="HOME",COUNTIFS('Istoric_Nativ'!$B$6:$B$405,E591,'Istoric_Nativ'!$C$6:$C$405,F591,'Istoric_Nativ'!$E$6:$E$405,G591,'Istoric_Nativ'!$D$6:$D$405,"&lt;"&amp;J591,'Istoric_Nativ'!$P$6:$P$405,1,'Istoric_Nativ'!$D$6:$D$405,"&gt;="&amp;L591),IF(H591="AWAY",COUNTIFS('Istoric_Nativ'!$B$6:$B$405,E591,'Istoric_Nativ'!$C$6:$C$405,F591,'Istoric_Nativ'!$F$6:$F$405,G591,'Istoric_Nativ'!$D$6:$D$405,"&lt;"&amp;J591,'Istoric_Nativ'!$P$6:$P$405,1,'Istoric_Nativ'!$D$6:$D$405,"&gt;="&amp;L591),COUNTIFS('Istoric_Nativ'!$B$6:$B$405,E591,'Istoric_Nativ'!$C$6:$C$405,F591,'Istoric_Nativ'!$E$6:$E$405,G591,'Istoric_Nativ'!$D$6:$D$405,"&lt;"&amp;J591,'Istoric_Nativ'!$P$6:$P$405,1,'Istoric_Nativ'!$D$6:$D$405,"&gt;="&amp;L591)+COUNTIFS('Istoric_Nativ'!$B$6:$B$405,E591,'Istoric_Nativ'!$C$6:$C$405,F591,'Istoric_Nativ'!$F$6:$F$405,G591,'Istoric_Nativ'!$D$6:$D$405,"&lt;"&amp;J591,'Istoric_Nativ'!$P$6:$P$405,1,'Istoric_Nativ'!$D$6:$D$405,"&gt;="&amp;L591))))</x:f>
        <x:v>0</x:v>
      </x:c>
      <x:c r="N591" s="11" t="str">
        <x:f>IF(M591=0,"",IF(H591="HOME",SUMIFS('Istoric_Nativ'!$G$6:$G$405,'Istoric_Nativ'!$B$6:$B$405,E591,'Istoric_Nativ'!$C$6:$C$405,F591,'Istoric_Nativ'!$E$6:$E$405,G591,'Istoric_Nativ'!$D$6:$D$405,"&lt;"&amp;J591,'Istoric_Nativ'!$P$6:$P$405,1,'Istoric_Nativ'!$D$6:$D$405,"&gt;="&amp;L591),IF(H591="AWAY",SUMIFS('Istoric_Nativ'!$H$6:$H$405,'Istoric_Nativ'!$B$6:$B$405,E591,'Istoric_Nativ'!$C$6:$C$405,F591,'Istoric_Nativ'!$F$6:$F$405,G591,'Istoric_Nativ'!$D$6:$D$405,"&lt;"&amp;J591,'Istoric_Nativ'!$P$6:$P$405,1,'Istoric_Nativ'!$D$6:$D$405,"&gt;="&amp;L591),SUMIFS('Istoric_Nativ'!$G$6:$G$405,'Istoric_Nativ'!$B$6:$B$405,E591,'Istoric_Nativ'!$C$6:$C$405,F591,'Istoric_Nativ'!$E$6:$E$405,G591,'Istoric_Nativ'!$D$6:$D$405,"&lt;"&amp;J591,'Istoric_Nativ'!$P$6:$P$405,1,'Istoric_Nativ'!$D$6:$D$405,"&gt;="&amp;L591)+SUMIFS('Istoric_Nativ'!$H$6:$H$405,'Istoric_Nativ'!$B$6:$B$405,E591,'Istoric_Nativ'!$C$6:$C$405,F591,'Istoric_Nativ'!$F$6:$F$405,G591,'Istoric_Nativ'!$D$6:$D$405,"&lt;"&amp;J591,'Istoric_Nativ'!$P$6:$P$405,1,'Istoric_Nativ'!$D$6:$D$405,"&gt;="&amp;L591)))/M591)</x:f>
      </x:c>
      <x:c r="O591" s="11" t="str">
        <x:f>IF(M591=0,"",IF(H591="HOME",SUMIFS('Istoric_Nativ'!$H$6:$H$405,'Istoric_Nativ'!$B$6:$B$405,E591,'Istoric_Nativ'!$C$6:$C$405,F591,'Istoric_Nativ'!$E$6:$E$405,G591,'Istoric_Nativ'!$D$6:$D$405,"&lt;"&amp;J591,'Istoric_Nativ'!$P$6:$P$405,1,'Istoric_Nativ'!$D$6:$D$405,"&gt;="&amp;L591),IF(H591="AWAY",SUMIFS('Istoric_Nativ'!$G$6:$G$405,'Istoric_Nativ'!$B$6:$B$405,E591,'Istoric_Nativ'!$C$6:$C$405,F591,'Istoric_Nativ'!$F$6:$F$405,G591,'Istoric_Nativ'!$D$6:$D$405,"&lt;"&amp;J591,'Istoric_Nativ'!$P$6:$P$405,1,'Istoric_Nativ'!$D$6:$D$405,"&gt;="&amp;L591),SUMIFS('Istoric_Nativ'!$H$6:$H$405,'Istoric_Nativ'!$B$6:$B$405,E591,'Istoric_Nativ'!$C$6:$C$405,F591,'Istoric_Nativ'!$E$6:$E$405,G591,'Istoric_Nativ'!$D$6:$D$405,"&lt;"&amp;J591,'Istoric_Nativ'!$P$6:$P$405,1,'Istoric_Nativ'!$D$6:$D$405,"&gt;="&amp;L591)+SUMIFS('Istoric_Nativ'!$G$6:$G$405,'Istoric_Nativ'!$B$6:$B$405,E591,'Istoric_Nativ'!$C$6:$C$405,F591,'Istoric_Nativ'!$F$6:$F$405,G591,'Istoric_Nativ'!$D$6:$D$405,"&lt;"&amp;J591,'Istoric_Nativ'!$P$6:$P$405,1,'Istoric_Nativ'!$D$6:$D$405,"&gt;="&amp;L591)))/M591)</x:f>
      </x:c>
      <x:c r="P591" s="2" t="n">
        <x:f>'Config_v6'!$B$7</x:f>
        <x:v>10</x:v>
      </x:c>
      <x:c r="Q591" s="2" t="n">
        <x:f>IF(OR(B591="",F591=""),0,IFERROR(MATCH(E591&amp;"|"&amp;F591,SourceTable[Source_Key],0),0))</x:f>
        <x:v>0</x:v>
      </x:c>
      <x:c r="R591" s="2" t="str">
        <x:f>IF(B591="","",IF(F591="","UNUSED",IF(Q591=0,"NOT CHECKED",IF(COUNTIF(SourceTable[Source_Key],E591&amp;"|"&amp;F591)&lt;&gt;1,"SOURCE CONFLICT",IF(NOT(OR(INDEX(SourceTable[Status],MAX(1,Q591))="IMPORTED",INDEX(SourceTable[Status],MAX(1,Q591))="PARTIAL",INDEX(SourceTable[Status],MAX(1,Q591))="SOURCE CONFLICT")),"ACCESS BLOCKED",IF(OR(INDEX(SourceTable[Coverage],Q591)&lt;&gt;"FULL SEASON EXPORT",INDEX(SourceTable[URL],Q591)="",INDEX(SourceTable[SHA256],Q591)=""),"EVIDENCE INCOMPLETE",IF(AND('Input_Meci'!H54="LIVE",INDEX(SourceTable[Retrieved_UTC],Q591)&gt;'Input_Meci'!G54),"POST CUTOFF","CLOSED")))))))</x:f>
      </x:c>
      <x:c r="S591" s="2" t="n">
        <x:f>IF(OR(B591="",F591=""),0,COUNTIFS('Istoric_Nativ'!$B$6:$B$405,E591,'Istoric_Nativ'!$C$6:$C$405,F591,'Istoric_Nativ'!$E$6:$E$405,G591,'Istoric_Nativ'!$D$6:$D$405,"&lt;"&amp;J591,'Istoric_Nativ'!$O$6:$O$405,"INVALID")+COUNTIFS('Istoric_Nativ'!$B$6:$B$405,E591,'Istoric_Nativ'!$C$6:$C$405,F591,'Istoric_Nativ'!$E$6:$E$405,G591,'Istoric_Nativ'!$O$6:$O$405,"INVALID",'Istoric_Nativ'!$D$6:$D$405,"*")+COUNTIFS('Istoric_Nativ'!$B$6:$B$405,E591,'Istoric_Nativ'!$C$6:$C$405,F591,'Istoric_Nativ'!$E$6:$E$405,G591,'Istoric_Nativ'!$D$6:$D$405,"&lt;"&amp;J591,'Istoric_Nativ'!$O$6:$O$405,"SOURCE CONFLICT")+COUNTIFS('Istoric_Nativ'!$B$6:$B$405,E591,'Istoric_Nativ'!$C$6:$C$405,F591,'Istoric_Nativ'!$F$6:$F$405,G591,'Istoric_Nativ'!$D$6:$D$405,"&lt;"&amp;J591,'Istoric_Nativ'!$O$6:$O$405,"INVALID")+COUNTIFS('Istoric_Nativ'!$B$6:$B$405,E591,'Istoric_Nativ'!$C$6:$C$405,F591,'Istoric_Nativ'!$F$6:$F$405,G591,'Istoric_Nativ'!$O$6:$O$405,"INVALID",'Istoric_Nativ'!$D$6:$D$405,"*")+COUNTIFS('Istoric_Nativ'!$B$6:$B$405,E591,'Istoric_Nativ'!$C$6:$C$405,F591,'Istoric_Nativ'!$F$6:$F$405,G591,'Istoric_Nativ'!$D$6:$D$405,"&lt;"&amp;J591,'Istoric_Nativ'!$O$6:$O$405,"SOURCE CONFLICT"))</x:f>
        <x:v>0</x:v>
      </x:c>
      <x:c r="T591" s="2" t="str">
        <x:f>IF(B591="","",IF(R591&lt;&gt;"CLOSED",R591,IF(S591&gt;0,"NATIVE INPUT ISSUE",IF(M591=0,"NO HISTORY",IF(M591&lt;P591,"SMALL SAMPLE","DERIVED")))))</x:f>
      </x:c>
      <x:c r="U591" s="2" t="str">
        <x:f>IF(B591="","","NativeTable; "&amp;E591&amp;"; "&amp;F591&amp;"; "&amp;G591&amp;"; "&amp;H591&amp;"; before "&amp;TEXT(J591,"yyyy-mm-dd")&amp;IF(I591="RECENT","; from "&amp;TEXT(L591,"yyyy-mm-dd"),""))</x:f>
      </x:c>
    </x:row>
    <x:row r="592" ht="21" customHeight="1">
      <x:c r="A592" s="2" t="n">
        <x:v>49</x:v>
      </x:c>
      <x:c r="B592" s="2" t="str">
        <x:f>IF('Input_Meci'!A54="","",'Input_Meci'!A54)</x:f>
      </x:c>
      <x:c r="C592" s="2" t="str">
        <x:v>A</x:v>
      </x:c>
      <x:c r="D592" s="2" t="str">
        <x:v>PRIOR</x:v>
      </x:c>
      <x:c r="E592" s="2" t="str">
        <x:f>IF(B592="","",'Input_Meci'!B54)</x:f>
      </x:c>
      <x:c r="F592" s="2" t="str">
        <x:f>IF(B592="","",IF('Input_Meci'!K54="","",'Input_Meci'!K54))</x:f>
      </x:c>
      <x:c r="G592" s="2" t="str">
        <x:f>IF(B592="","",'Input_Meci'!E54)</x:f>
      </x:c>
      <x:c r="H592" s="2" t="str">
        <x:v>AWAY</x:v>
      </x:c>
      <x:c r="I592" s="2" t="str">
        <x:v>HA</x:v>
      </x:c>
      <x:c r="J592" s="9" t="n">
        <x:f>IF(AND(B592&lt;&gt;"",ISNUMBER('Input_Meci'!G54)),INT('Input_Meci'!G54),0)</x:f>
        <x:v>0</x:v>
      </x:c>
      <x:c r="K592" s="2" t="n">
        <x:f>IF(OR(B592="",F592=""),0,IF(H592="HOME",COUNTIFS('Istoric_Nativ'!$B$6:$B$405,E592,'Istoric_Nativ'!$C$6:$C$405,F592,'Istoric_Nativ'!$E$6:$E$405,G592,'Istoric_Nativ'!$D$6:$D$405,"&lt;"&amp;J592,'Istoric_Nativ'!$P$6:$P$405,1),IF(H592="AWAY",COUNTIFS('Istoric_Nativ'!$B$6:$B$405,E592,'Istoric_Nativ'!$C$6:$C$405,F592,'Istoric_Nativ'!$F$6:$F$405,G592,'Istoric_Nativ'!$D$6:$D$405,"&lt;"&amp;J592,'Istoric_Nativ'!$P$6:$P$405,1),COUNTIFS('Istoric_Nativ'!$B$6:$B$405,E592,'Istoric_Nativ'!$C$6:$C$405,F592,'Istoric_Nativ'!$E$6:$E$405,G592,'Istoric_Nativ'!$D$6:$D$405,"&lt;"&amp;J592,'Istoric_Nativ'!$P$6:$P$405,1)+COUNTIFS('Istoric_Nativ'!$B$6:$B$405,E592,'Istoric_Nativ'!$C$6:$C$405,F592,'Istoric_Nativ'!$F$6:$F$405,G592,'Istoric_Nativ'!$D$6:$D$405,"&lt;"&amp;J592,'Istoric_Nativ'!$P$6:$P$405,1))))</x:f>
        <x:v>0</x:v>
      </x:c>
      <x:c r="L592" s="17" t="n">
        <x:f>IF(AND(B592&lt;&gt;"",I592="RECENT",K592&gt;0),LARGE(_xlfn._xlws.FILTER('Istoric_Nativ'!$D$6:$D$405,('Istoric_Nativ'!$B$6:$B$405=E592)*('Istoric_Nativ'!$C$6:$C$405=F592)*('Istoric_Nativ'!$P$6:$P$405=1)*('Istoric_Nativ'!$D$6:$D$405&lt;J592)*((('Istoric_Nativ'!$E$6:$E$405=G592)+('Istoric_Nativ'!$F$6:$F$405=G592))&gt;0)),MIN('Config_v6'!$B$54,K592)),0)</x:f>
        <x:v>0</x:v>
      </x:c>
      <x:c r="M592" s="2" t="n">
        <x:f>IF(OR(B592="",F592=""),0,IF(H592="HOME",COUNTIFS('Istoric_Nativ'!$B$6:$B$405,E592,'Istoric_Nativ'!$C$6:$C$405,F592,'Istoric_Nativ'!$E$6:$E$405,G592,'Istoric_Nativ'!$D$6:$D$405,"&lt;"&amp;J592,'Istoric_Nativ'!$P$6:$P$405,1,'Istoric_Nativ'!$D$6:$D$405,"&gt;="&amp;L592),IF(H592="AWAY",COUNTIFS('Istoric_Nativ'!$B$6:$B$405,E592,'Istoric_Nativ'!$C$6:$C$405,F592,'Istoric_Nativ'!$F$6:$F$405,G592,'Istoric_Nativ'!$D$6:$D$405,"&lt;"&amp;J592,'Istoric_Nativ'!$P$6:$P$405,1,'Istoric_Nativ'!$D$6:$D$405,"&gt;="&amp;L592),COUNTIFS('Istoric_Nativ'!$B$6:$B$405,E592,'Istoric_Nativ'!$C$6:$C$405,F592,'Istoric_Nativ'!$E$6:$E$405,G592,'Istoric_Nativ'!$D$6:$D$405,"&lt;"&amp;J592,'Istoric_Nativ'!$P$6:$P$405,1,'Istoric_Nativ'!$D$6:$D$405,"&gt;="&amp;L592)+COUNTIFS('Istoric_Nativ'!$B$6:$B$405,E592,'Istoric_Nativ'!$C$6:$C$405,F592,'Istoric_Nativ'!$F$6:$F$405,G592,'Istoric_Nativ'!$D$6:$D$405,"&lt;"&amp;J592,'Istoric_Nativ'!$P$6:$P$405,1,'Istoric_Nativ'!$D$6:$D$405,"&gt;="&amp;L592))))</x:f>
        <x:v>0</x:v>
      </x:c>
      <x:c r="N592" s="11" t="str">
        <x:f>IF(M592=0,"",IF(H592="HOME",SUMIFS('Istoric_Nativ'!$G$6:$G$405,'Istoric_Nativ'!$B$6:$B$405,E592,'Istoric_Nativ'!$C$6:$C$405,F592,'Istoric_Nativ'!$E$6:$E$405,G592,'Istoric_Nativ'!$D$6:$D$405,"&lt;"&amp;J592,'Istoric_Nativ'!$P$6:$P$405,1,'Istoric_Nativ'!$D$6:$D$405,"&gt;="&amp;L592),IF(H592="AWAY",SUMIFS('Istoric_Nativ'!$H$6:$H$405,'Istoric_Nativ'!$B$6:$B$405,E592,'Istoric_Nativ'!$C$6:$C$405,F592,'Istoric_Nativ'!$F$6:$F$405,G592,'Istoric_Nativ'!$D$6:$D$405,"&lt;"&amp;J592,'Istoric_Nativ'!$P$6:$P$405,1,'Istoric_Nativ'!$D$6:$D$405,"&gt;="&amp;L592),SUMIFS('Istoric_Nativ'!$G$6:$G$405,'Istoric_Nativ'!$B$6:$B$405,E592,'Istoric_Nativ'!$C$6:$C$405,F592,'Istoric_Nativ'!$E$6:$E$405,G592,'Istoric_Nativ'!$D$6:$D$405,"&lt;"&amp;J592,'Istoric_Nativ'!$P$6:$P$405,1,'Istoric_Nativ'!$D$6:$D$405,"&gt;="&amp;L592)+SUMIFS('Istoric_Nativ'!$H$6:$H$405,'Istoric_Nativ'!$B$6:$B$405,E592,'Istoric_Nativ'!$C$6:$C$405,F592,'Istoric_Nativ'!$F$6:$F$405,G592,'Istoric_Nativ'!$D$6:$D$405,"&lt;"&amp;J592,'Istoric_Nativ'!$P$6:$P$405,1,'Istoric_Nativ'!$D$6:$D$405,"&gt;="&amp;L592)))/M592)</x:f>
      </x:c>
      <x:c r="O592" s="11" t="str">
        <x:f>IF(M592=0,"",IF(H592="HOME",SUMIFS('Istoric_Nativ'!$H$6:$H$405,'Istoric_Nativ'!$B$6:$B$405,E592,'Istoric_Nativ'!$C$6:$C$405,F592,'Istoric_Nativ'!$E$6:$E$405,G592,'Istoric_Nativ'!$D$6:$D$405,"&lt;"&amp;J592,'Istoric_Nativ'!$P$6:$P$405,1,'Istoric_Nativ'!$D$6:$D$405,"&gt;="&amp;L592),IF(H592="AWAY",SUMIFS('Istoric_Nativ'!$G$6:$G$405,'Istoric_Nativ'!$B$6:$B$405,E592,'Istoric_Nativ'!$C$6:$C$405,F592,'Istoric_Nativ'!$F$6:$F$405,G592,'Istoric_Nativ'!$D$6:$D$405,"&lt;"&amp;J592,'Istoric_Nativ'!$P$6:$P$405,1,'Istoric_Nativ'!$D$6:$D$405,"&gt;="&amp;L592),SUMIFS('Istoric_Nativ'!$H$6:$H$405,'Istoric_Nativ'!$B$6:$B$405,E592,'Istoric_Nativ'!$C$6:$C$405,F592,'Istoric_Nativ'!$E$6:$E$405,G592,'Istoric_Nativ'!$D$6:$D$405,"&lt;"&amp;J592,'Istoric_Nativ'!$P$6:$P$405,1,'Istoric_Nativ'!$D$6:$D$405,"&gt;="&amp;L592)+SUMIFS('Istoric_Nativ'!$G$6:$G$405,'Istoric_Nativ'!$B$6:$B$405,E592,'Istoric_Nativ'!$C$6:$C$405,F592,'Istoric_Nativ'!$F$6:$F$405,G592,'Istoric_Nativ'!$D$6:$D$405,"&lt;"&amp;J592,'Istoric_Nativ'!$P$6:$P$405,1,'Istoric_Nativ'!$D$6:$D$405,"&gt;="&amp;L592)))/M592)</x:f>
      </x:c>
      <x:c r="P592" s="2" t="n">
        <x:f>'Config_v6'!$B$8</x:f>
        <x:v>5</x:v>
      </x:c>
      <x:c r="Q592" s="2" t="n">
        <x:f>IF(OR(B592="",F592=""),0,IFERROR(MATCH(E592&amp;"|"&amp;F592,SourceTable[Source_Key],0),0))</x:f>
        <x:v>0</x:v>
      </x:c>
      <x:c r="R592" s="2" t="str">
        <x:f>IF(B592="","",IF(F592="","UNUSED",IF(Q592=0,"NOT CHECKED",IF(COUNTIF(SourceTable[Source_Key],E592&amp;"|"&amp;F592)&lt;&gt;1,"SOURCE CONFLICT",IF(NOT(OR(INDEX(SourceTable[Status],MAX(1,Q592))="IMPORTED",INDEX(SourceTable[Status],MAX(1,Q592))="PARTIAL",INDEX(SourceTable[Status],MAX(1,Q592))="SOURCE CONFLICT")),"ACCESS BLOCKED",IF(OR(INDEX(SourceTable[Coverage],Q592)&lt;&gt;"FULL SEASON EXPORT",INDEX(SourceTable[URL],Q592)="",INDEX(SourceTable[SHA256],Q592)=""),"EVIDENCE INCOMPLETE",IF(AND('Input_Meci'!H54="LIVE",INDEX(SourceTable[Retrieved_UTC],Q592)&gt;'Input_Meci'!G54),"POST CUTOFF","CLOSED")))))))</x:f>
      </x:c>
      <x:c r="S592" s="2" t="n">
        <x:f>IF(OR(B592="",F592=""),0,COUNTIFS('Istoric_Nativ'!$B$6:$B$405,E592,'Istoric_Nativ'!$C$6:$C$405,F592,'Istoric_Nativ'!$E$6:$E$405,G592,'Istoric_Nativ'!$D$6:$D$405,"&lt;"&amp;J592,'Istoric_Nativ'!$O$6:$O$405,"INVALID")+COUNTIFS('Istoric_Nativ'!$B$6:$B$405,E592,'Istoric_Nativ'!$C$6:$C$405,F592,'Istoric_Nativ'!$E$6:$E$405,G592,'Istoric_Nativ'!$O$6:$O$405,"INVALID",'Istoric_Nativ'!$D$6:$D$405,"*")+COUNTIFS('Istoric_Nativ'!$B$6:$B$405,E592,'Istoric_Nativ'!$C$6:$C$405,F592,'Istoric_Nativ'!$E$6:$E$405,G592,'Istoric_Nativ'!$D$6:$D$405,"&lt;"&amp;J592,'Istoric_Nativ'!$O$6:$O$405,"SOURCE CONFLICT")+COUNTIFS('Istoric_Nativ'!$B$6:$B$405,E592,'Istoric_Nativ'!$C$6:$C$405,F592,'Istoric_Nativ'!$F$6:$F$405,G592,'Istoric_Nativ'!$D$6:$D$405,"&lt;"&amp;J592,'Istoric_Nativ'!$O$6:$O$405,"INVALID")+COUNTIFS('Istoric_Nativ'!$B$6:$B$405,E592,'Istoric_Nativ'!$C$6:$C$405,F592,'Istoric_Nativ'!$F$6:$F$405,G592,'Istoric_Nativ'!$O$6:$O$405,"INVALID",'Istoric_Nativ'!$D$6:$D$405,"*")+COUNTIFS('Istoric_Nativ'!$B$6:$B$405,E592,'Istoric_Nativ'!$C$6:$C$405,F592,'Istoric_Nativ'!$F$6:$F$405,G592,'Istoric_Nativ'!$D$6:$D$405,"&lt;"&amp;J592,'Istoric_Nativ'!$O$6:$O$405,"SOURCE CONFLICT"))</x:f>
        <x:v>0</x:v>
      </x:c>
      <x:c r="T592" s="2" t="str">
        <x:f>IF(B592="","",IF(R592&lt;&gt;"CLOSED",R592,IF(S592&gt;0,"NATIVE INPUT ISSUE",IF(M592=0,"NO HISTORY",IF(M592&lt;P592,"SMALL SAMPLE","DERIVED")))))</x:f>
      </x:c>
      <x:c r="U592" s="2" t="str">
        <x:f>IF(B592="","","NativeTable; "&amp;E592&amp;"; "&amp;F592&amp;"; "&amp;G592&amp;"; "&amp;H592&amp;"; before "&amp;TEXT(J592,"yyyy-mm-dd")&amp;IF(I592="RECENT","; from "&amp;TEXT(L592,"yyyy-mm-dd"),""))</x:f>
      </x:c>
    </x:row>
    <x:row r="593" ht="21" customHeight="1">
      <x:c r="A593" s="2" t="n">
        <x:v>49</x:v>
      </x:c>
      <x:c r="B593" s="2" t="str">
        <x:f>IF('Input_Meci'!A54="","",'Input_Meci'!A54)</x:f>
      </x:c>
      <x:c r="C593" s="2" t="str">
        <x:v>A</x:v>
      </x:c>
      <x:c r="D593" s="2" t="str">
        <x:v>PRIOR</x:v>
      </x:c>
      <x:c r="E593" s="2" t="str">
        <x:f>IF(B593="","",'Input_Meci'!B54)</x:f>
      </x:c>
      <x:c r="F593" s="2" t="str">
        <x:f>IF(B593="","",IF('Input_Meci'!K54="","",'Input_Meci'!K54))</x:f>
      </x:c>
      <x:c r="G593" s="2" t="str">
        <x:f>IF(B593="","",'Input_Meci'!E54)</x:f>
      </x:c>
      <x:c r="H593" s="2" t="str">
        <x:v>ANY</x:v>
      </x:c>
      <x:c r="I593" s="2" t="str">
        <x:v>RECENT</x:v>
      </x:c>
      <x:c r="J593" s="9" t="n">
        <x:f>IF(AND(B593&lt;&gt;"",ISNUMBER('Input_Meci'!G54)),INT('Input_Meci'!G54),0)</x:f>
        <x:v>0</x:v>
      </x:c>
      <x:c r="K593" s="2" t="n">
        <x:f>IF(OR(B593="",F593=""),0,IF(H593="HOME",COUNTIFS('Istoric_Nativ'!$B$6:$B$405,E593,'Istoric_Nativ'!$C$6:$C$405,F593,'Istoric_Nativ'!$E$6:$E$405,G593,'Istoric_Nativ'!$D$6:$D$405,"&lt;"&amp;J593,'Istoric_Nativ'!$P$6:$P$405,1),IF(H593="AWAY",COUNTIFS('Istoric_Nativ'!$B$6:$B$405,E593,'Istoric_Nativ'!$C$6:$C$405,F593,'Istoric_Nativ'!$F$6:$F$405,G593,'Istoric_Nativ'!$D$6:$D$405,"&lt;"&amp;J593,'Istoric_Nativ'!$P$6:$P$405,1),COUNTIFS('Istoric_Nativ'!$B$6:$B$405,E593,'Istoric_Nativ'!$C$6:$C$405,F593,'Istoric_Nativ'!$E$6:$E$405,G593,'Istoric_Nativ'!$D$6:$D$405,"&lt;"&amp;J593,'Istoric_Nativ'!$P$6:$P$405,1)+COUNTIFS('Istoric_Nativ'!$B$6:$B$405,E593,'Istoric_Nativ'!$C$6:$C$405,F593,'Istoric_Nativ'!$F$6:$F$405,G593,'Istoric_Nativ'!$D$6:$D$405,"&lt;"&amp;J593,'Istoric_Nativ'!$P$6:$P$405,1))))</x:f>
        <x:v>0</x:v>
      </x:c>
      <x:c r="L593" s="17" t="n">
        <x:f>IF(AND(B593&lt;&gt;"",I593="RECENT",K593&gt;0),LARGE(_xlfn._xlws.FILTER('Istoric_Nativ'!$D$6:$D$405,('Istoric_Nativ'!$B$6:$B$405=E593)*('Istoric_Nativ'!$C$6:$C$405=F593)*('Istoric_Nativ'!$P$6:$P$405=1)*('Istoric_Nativ'!$D$6:$D$405&lt;J593)*((('Istoric_Nativ'!$E$6:$E$405=G593)+('Istoric_Nativ'!$F$6:$F$405=G593))&gt;0)),MIN('Config_v6'!$B$54,K593)),0)</x:f>
        <x:v>0</x:v>
      </x:c>
      <x:c r="M593" s="2" t="n">
        <x:f>IF(OR(B593="",F593=""),0,IF(H593="HOME",COUNTIFS('Istoric_Nativ'!$B$6:$B$405,E593,'Istoric_Nativ'!$C$6:$C$405,F593,'Istoric_Nativ'!$E$6:$E$405,G593,'Istoric_Nativ'!$D$6:$D$405,"&lt;"&amp;J593,'Istoric_Nativ'!$P$6:$P$405,1,'Istoric_Nativ'!$D$6:$D$405,"&gt;="&amp;L593),IF(H593="AWAY",COUNTIFS('Istoric_Nativ'!$B$6:$B$405,E593,'Istoric_Nativ'!$C$6:$C$405,F593,'Istoric_Nativ'!$F$6:$F$405,G593,'Istoric_Nativ'!$D$6:$D$405,"&lt;"&amp;J593,'Istoric_Nativ'!$P$6:$P$405,1,'Istoric_Nativ'!$D$6:$D$405,"&gt;="&amp;L593),COUNTIFS('Istoric_Nativ'!$B$6:$B$405,E593,'Istoric_Nativ'!$C$6:$C$405,F593,'Istoric_Nativ'!$E$6:$E$405,G593,'Istoric_Nativ'!$D$6:$D$405,"&lt;"&amp;J593,'Istoric_Nativ'!$P$6:$P$405,1,'Istoric_Nativ'!$D$6:$D$405,"&gt;="&amp;L593)+COUNTIFS('Istoric_Nativ'!$B$6:$B$405,E593,'Istoric_Nativ'!$C$6:$C$405,F593,'Istoric_Nativ'!$F$6:$F$405,G593,'Istoric_Nativ'!$D$6:$D$405,"&lt;"&amp;J593,'Istoric_Nativ'!$P$6:$P$405,1,'Istoric_Nativ'!$D$6:$D$405,"&gt;="&amp;L593))))</x:f>
        <x:v>0</x:v>
      </x:c>
      <x:c r="N593" s="11" t="str">
        <x:f>IF(M593=0,"",IF(H593="HOME",SUMIFS('Istoric_Nativ'!$G$6:$G$405,'Istoric_Nativ'!$B$6:$B$405,E593,'Istoric_Nativ'!$C$6:$C$405,F593,'Istoric_Nativ'!$E$6:$E$405,G593,'Istoric_Nativ'!$D$6:$D$405,"&lt;"&amp;J593,'Istoric_Nativ'!$P$6:$P$405,1,'Istoric_Nativ'!$D$6:$D$405,"&gt;="&amp;L593),IF(H593="AWAY",SUMIFS('Istoric_Nativ'!$H$6:$H$405,'Istoric_Nativ'!$B$6:$B$405,E593,'Istoric_Nativ'!$C$6:$C$405,F593,'Istoric_Nativ'!$F$6:$F$405,G593,'Istoric_Nativ'!$D$6:$D$405,"&lt;"&amp;J593,'Istoric_Nativ'!$P$6:$P$405,1,'Istoric_Nativ'!$D$6:$D$405,"&gt;="&amp;L593),SUMIFS('Istoric_Nativ'!$G$6:$G$405,'Istoric_Nativ'!$B$6:$B$405,E593,'Istoric_Nativ'!$C$6:$C$405,F593,'Istoric_Nativ'!$E$6:$E$405,G593,'Istoric_Nativ'!$D$6:$D$405,"&lt;"&amp;J593,'Istoric_Nativ'!$P$6:$P$405,1,'Istoric_Nativ'!$D$6:$D$405,"&gt;="&amp;L593)+SUMIFS('Istoric_Nativ'!$H$6:$H$405,'Istoric_Nativ'!$B$6:$B$405,E593,'Istoric_Nativ'!$C$6:$C$405,F593,'Istoric_Nativ'!$F$6:$F$405,G593,'Istoric_Nativ'!$D$6:$D$405,"&lt;"&amp;J593,'Istoric_Nativ'!$P$6:$P$405,1,'Istoric_Nativ'!$D$6:$D$405,"&gt;="&amp;L593)))/M593)</x:f>
      </x:c>
      <x:c r="O593" s="11" t="str">
        <x:f>IF(M593=0,"",IF(H593="HOME",SUMIFS('Istoric_Nativ'!$H$6:$H$405,'Istoric_Nativ'!$B$6:$B$405,E593,'Istoric_Nativ'!$C$6:$C$405,F593,'Istoric_Nativ'!$E$6:$E$405,G593,'Istoric_Nativ'!$D$6:$D$405,"&lt;"&amp;J593,'Istoric_Nativ'!$P$6:$P$405,1,'Istoric_Nativ'!$D$6:$D$405,"&gt;="&amp;L593),IF(H593="AWAY",SUMIFS('Istoric_Nativ'!$G$6:$G$405,'Istoric_Nativ'!$B$6:$B$405,E593,'Istoric_Nativ'!$C$6:$C$405,F593,'Istoric_Nativ'!$F$6:$F$405,G593,'Istoric_Nativ'!$D$6:$D$405,"&lt;"&amp;J593,'Istoric_Nativ'!$P$6:$P$405,1,'Istoric_Nativ'!$D$6:$D$405,"&gt;="&amp;L593),SUMIFS('Istoric_Nativ'!$H$6:$H$405,'Istoric_Nativ'!$B$6:$B$405,E593,'Istoric_Nativ'!$C$6:$C$405,F593,'Istoric_Nativ'!$E$6:$E$405,G593,'Istoric_Nativ'!$D$6:$D$405,"&lt;"&amp;J593,'Istoric_Nativ'!$P$6:$P$405,1,'Istoric_Nativ'!$D$6:$D$405,"&gt;="&amp;L593)+SUMIFS('Istoric_Nativ'!$G$6:$G$405,'Istoric_Nativ'!$B$6:$B$405,E593,'Istoric_Nativ'!$C$6:$C$405,F593,'Istoric_Nativ'!$F$6:$F$405,G593,'Istoric_Nativ'!$D$6:$D$405,"&lt;"&amp;J593,'Istoric_Nativ'!$P$6:$P$405,1,'Istoric_Nativ'!$D$6:$D$405,"&gt;="&amp;L593)))/M593)</x:f>
      </x:c>
      <x:c r="P593" s="2" t="n">
        <x:f>'Config_v6'!$B$9</x:f>
        <x:v>3</x:v>
      </x:c>
      <x:c r="Q593" s="2" t="n">
        <x:f>IF(OR(B593="",F593=""),0,IFERROR(MATCH(E593&amp;"|"&amp;F593,SourceTable[Source_Key],0),0))</x:f>
        <x:v>0</x:v>
      </x:c>
      <x:c r="R593" s="2" t="str">
        <x:f>IF(B593="","",IF(F593="","UNUSED",IF(Q593=0,"NOT CHECKED",IF(COUNTIF(SourceTable[Source_Key],E593&amp;"|"&amp;F593)&lt;&gt;1,"SOURCE CONFLICT",IF(NOT(OR(INDEX(SourceTable[Status],MAX(1,Q593))="IMPORTED",INDEX(SourceTable[Status],MAX(1,Q593))="PARTIAL",INDEX(SourceTable[Status],MAX(1,Q593))="SOURCE CONFLICT")),"ACCESS BLOCKED",IF(OR(INDEX(SourceTable[Coverage],Q593)&lt;&gt;"FULL SEASON EXPORT",INDEX(SourceTable[URL],Q593)="",INDEX(SourceTable[SHA256],Q593)=""),"EVIDENCE INCOMPLETE",IF(AND('Input_Meci'!H54="LIVE",INDEX(SourceTable[Retrieved_UTC],Q593)&gt;'Input_Meci'!G54),"POST CUTOFF","CLOSED")))))))</x:f>
      </x:c>
      <x:c r="S593" s="2" t="n">
        <x:f>IF(OR(B593="",F593=""),0,COUNTIFS('Istoric_Nativ'!$B$6:$B$405,E593,'Istoric_Nativ'!$C$6:$C$405,F593,'Istoric_Nativ'!$E$6:$E$405,G593,'Istoric_Nativ'!$D$6:$D$405,"&lt;"&amp;J593,'Istoric_Nativ'!$O$6:$O$405,"INVALID")+COUNTIFS('Istoric_Nativ'!$B$6:$B$405,E593,'Istoric_Nativ'!$C$6:$C$405,F593,'Istoric_Nativ'!$E$6:$E$405,G593,'Istoric_Nativ'!$O$6:$O$405,"INVALID",'Istoric_Nativ'!$D$6:$D$405,"*")+COUNTIFS('Istoric_Nativ'!$B$6:$B$405,E593,'Istoric_Nativ'!$C$6:$C$405,F593,'Istoric_Nativ'!$E$6:$E$405,G593,'Istoric_Nativ'!$D$6:$D$405,"&lt;"&amp;J593,'Istoric_Nativ'!$O$6:$O$405,"SOURCE CONFLICT")+COUNTIFS('Istoric_Nativ'!$B$6:$B$405,E593,'Istoric_Nativ'!$C$6:$C$405,F593,'Istoric_Nativ'!$F$6:$F$405,G593,'Istoric_Nativ'!$D$6:$D$405,"&lt;"&amp;J593,'Istoric_Nativ'!$O$6:$O$405,"INVALID")+COUNTIFS('Istoric_Nativ'!$B$6:$B$405,E593,'Istoric_Nativ'!$C$6:$C$405,F593,'Istoric_Nativ'!$F$6:$F$405,G593,'Istoric_Nativ'!$O$6:$O$405,"INVALID",'Istoric_Nativ'!$D$6:$D$405,"*")+COUNTIFS('Istoric_Nativ'!$B$6:$B$405,E593,'Istoric_Nativ'!$C$6:$C$405,F593,'Istoric_Nativ'!$F$6:$F$405,G593,'Istoric_Nativ'!$D$6:$D$405,"&lt;"&amp;J593,'Istoric_Nativ'!$O$6:$O$405,"SOURCE CONFLICT"))</x:f>
        <x:v>0</x:v>
      </x:c>
      <x:c r="T593" s="2" t="str">
        <x:f>IF(B593="","",IF(R593&lt;&gt;"CLOSED",R593,IF(S593&gt;0,"NATIVE INPUT ISSUE",IF(M593=0,"NO HISTORY",IF(M593&lt;P593,"SMALL SAMPLE","DERIVED")))))</x:f>
      </x:c>
      <x:c r="U593" s="2" t="str">
        <x:f>IF(B593="","","NativeTable; "&amp;E593&amp;"; "&amp;F593&amp;"; "&amp;G593&amp;"; "&amp;H593&amp;"; before "&amp;TEXT(J593,"yyyy-mm-dd")&amp;IF(I593="RECENT","; from "&amp;TEXT(L593,"yyyy-mm-dd"),""))</x:f>
      </x:c>
    </x:row>
    <x:row r="594" ht="21" customHeight="1">
      <x:c r="A594" s="2" t="n">
        <x:v>50</x:v>
      </x:c>
      <x:c r="B594" s="2" t="str">
        <x:f>IF('Input_Meci'!A55="","",'Input_Meci'!A55)</x:f>
      </x:c>
      <x:c r="C594" s="2" t="str">
        <x:v>H</x:v>
      </x:c>
      <x:c r="D594" s="2" t="str">
        <x:v>CURRENT</x:v>
      </x:c>
      <x:c r="E594" s="2" t="str">
        <x:f>IF(B594="","",'Input_Meci'!B55)</x:f>
      </x:c>
      <x:c r="F594" s="2" t="str">
        <x:f>IF(B594="","",IF('Input_Meci'!C55="","",'Input_Meci'!C55))</x:f>
      </x:c>
      <x:c r="G594" s="2" t="str">
        <x:f>IF(B594="","",'Input_Meci'!D55)</x:f>
      </x:c>
      <x:c r="H594" s="2" t="str">
        <x:v>ANY</x:v>
      </x:c>
      <x:c r="I594" s="2" t="str">
        <x:v>SEASON</x:v>
      </x:c>
      <x:c r="J594" s="9" t="n">
        <x:f>IF(AND(B594&lt;&gt;"",ISNUMBER('Input_Meci'!G55)),INT('Input_Meci'!G55),0)</x:f>
        <x:v>0</x:v>
      </x:c>
      <x:c r="K594" s="2" t="n">
        <x:f>IF(OR(B594="",F594=""),0,IF(H594="HOME",COUNTIFS('Istoric_Nativ'!$B$6:$B$405,E594,'Istoric_Nativ'!$C$6:$C$405,F594,'Istoric_Nativ'!$E$6:$E$405,G594,'Istoric_Nativ'!$D$6:$D$405,"&lt;"&amp;J594,'Istoric_Nativ'!$P$6:$P$405,1),IF(H594="AWAY",COUNTIFS('Istoric_Nativ'!$B$6:$B$405,E594,'Istoric_Nativ'!$C$6:$C$405,F594,'Istoric_Nativ'!$F$6:$F$405,G594,'Istoric_Nativ'!$D$6:$D$405,"&lt;"&amp;J594,'Istoric_Nativ'!$P$6:$P$405,1),COUNTIFS('Istoric_Nativ'!$B$6:$B$405,E594,'Istoric_Nativ'!$C$6:$C$405,F594,'Istoric_Nativ'!$E$6:$E$405,G594,'Istoric_Nativ'!$D$6:$D$405,"&lt;"&amp;J594,'Istoric_Nativ'!$P$6:$P$405,1)+COUNTIFS('Istoric_Nativ'!$B$6:$B$405,E594,'Istoric_Nativ'!$C$6:$C$405,F594,'Istoric_Nativ'!$F$6:$F$405,G594,'Istoric_Nativ'!$D$6:$D$405,"&lt;"&amp;J594,'Istoric_Nativ'!$P$6:$P$405,1))))</x:f>
        <x:v>0</x:v>
      </x:c>
      <x:c r="L594" s="17" t="n">
        <x:f>IF(AND(B594&lt;&gt;"",I594="RECENT",K594&gt;0),LARGE(_xlfn._xlws.FILTER('Istoric_Nativ'!$D$6:$D$405,('Istoric_Nativ'!$B$6:$B$405=E594)*('Istoric_Nativ'!$C$6:$C$405=F594)*('Istoric_Nativ'!$P$6:$P$405=1)*('Istoric_Nativ'!$D$6:$D$405&lt;J594)*((('Istoric_Nativ'!$E$6:$E$405=G594)+('Istoric_Nativ'!$F$6:$F$405=G594))&gt;0)),MIN('Config_v6'!$B$54,K594)),0)</x:f>
        <x:v>0</x:v>
      </x:c>
      <x:c r="M594" s="2" t="n">
        <x:f>IF(OR(B594="",F594=""),0,IF(H594="HOME",COUNTIFS('Istoric_Nativ'!$B$6:$B$405,E594,'Istoric_Nativ'!$C$6:$C$405,F594,'Istoric_Nativ'!$E$6:$E$405,G594,'Istoric_Nativ'!$D$6:$D$405,"&lt;"&amp;J594,'Istoric_Nativ'!$P$6:$P$405,1,'Istoric_Nativ'!$D$6:$D$405,"&gt;="&amp;L594),IF(H594="AWAY",COUNTIFS('Istoric_Nativ'!$B$6:$B$405,E594,'Istoric_Nativ'!$C$6:$C$405,F594,'Istoric_Nativ'!$F$6:$F$405,G594,'Istoric_Nativ'!$D$6:$D$405,"&lt;"&amp;J594,'Istoric_Nativ'!$P$6:$P$405,1,'Istoric_Nativ'!$D$6:$D$405,"&gt;="&amp;L594),COUNTIFS('Istoric_Nativ'!$B$6:$B$405,E594,'Istoric_Nativ'!$C$6:$C$405,F594,'Istoric_Nativ'!$E$6:$E$405,G594,'Istoric_Nativ'!$D$6:$D$405,"&lt;"&amp;J594,'Istoric_Nativ'!$P$6:$P$405,1,'Istoric_Nativ'!$D$6:$D$405,"&gt;="&amp;L594)+COUNTIFS('Istoric_Nativ'!$B$6:$B$405,E594,'Istoric_Nativ'!$C$6:$C$405,F594,'Istoric_Nativ'!$F$6:$F$405,G594,'Istoric_Nativ'!$D$6:$D$405,"&lt;"&amp;J594,'Istoric_Nativ'!$P$6:$P$405,1,'Istoric_Nativ'!$D$6:$D$405,"&gt;="&amp;L594))))</x:f>
        <x:v>0</x:v>
      </x:c>
      <x:c r="N594" s="11" t="str">
        <x:f>IF(M594=0,"",IF(H594="HOME",SUMIFS('Istoric_Nativ'!$G$6:$G$405,'Istoric_Nativ'!$B$6:$B$405,E594,'Istoric_Nativ'!$C$6:$C$405,F594,'Istoric_Nativ'!$E$6:$E$405,G594,'Istoric_Nativ'!$D$6:$D$405,"&lt;"&amp;J594,'Istoric_Nativ'!$P$6:$P$405,1,'Istoric_Nativ'!$D$6:$D$405,"&gt;="&amp;L594),IF(H594="AWAY",SUMIFS('Istoric_Nativ'!$H$6:$H$405,'Istoric_Nativ'!$B$6:$B$405,E594,'Istoric_Nativ'!$C$6:$C$405,F594,'Istoric_Nativ'!$F$6:$F$405,G594,'Istoric_Nativ'!$D$6:$D$405,"&lt;"&amp;J594,'Istoric_Nativ'!$P$6:$P$405,1,'Istoric_Nativ'!$D$6:$D$405,"&gt;="&amp;L594),SUMIFS('Istoric_Nativ'!$G$6:$G$405,'Istoric_Nativ'!$B$6:$B$405,E594,'Istoric_Nativ'!$C$6:$C$405,F594,'Istoric_Nativ'!$E$6:$E$405,G594,'Istoric_Nativ'!$D$6:$D$405,"&lt;"&amp;J594,'Istoric_Nativ'!$P$6:$P$405,1,'Istoric_Nativ'!$D$6:$D$405,"&gt;="&amp;L594)+SUMIFS('Istoric_Nativ'!$H$6:$H$405,'Istoric_Nativ'!$B$6:$B$405,E594,'Istoric_Nativ'!$C$6:$C$405,F594,'Istoric_Nativ'!$F$6:$F$405,G594,'Istoric_Nativ'!$D$6:$D$405,"&lt;"&amp;J594,'Istoric_Nativ'!$P$6:$P$405,1,'Istoric_Nativ'!$D$6:$D$405,"&gt;="&amp;L594)))/M594)</x:f>
      </x:c>
      <x:c r="O594" s="11" t="str">
        <x:f>IF(M594=0,"",IF(H594="HOME",SUMIFS('Istoric_Nativ'!$H$6:$H$405,'Istoric_Nativ'!$B$6:$B$405,E594,'Istoric_Nativ'!$C$6:$C$405,F594,'Istoric_Nativ'!$E$6:$E$405,G594,'Istoric_Nativ'!$D$6:$D$405,"&lt;"&amp;J594,'Istoric_Nativ'!$P$6:$P$405,1,'Istoric_Nativ'!$D$6:$D$405,"&gt;="&amp;L594),IF(H594="AWAY",SUMIFS('Istoric_Nativ'!$G$6:$G$405,'Istoric_Nativ'!$B$6:$B$405,E594,'Istoric_Nativ'!$C$6:$C$405,F594,'Istoric_Nativ'!$F$6:$F$405,G594,'Istoric_Nativ'!$D$6:$D$405,"&lt;"&amp;J594,'Istoric_Nativ'!$P$6:$P$405,1,'Istoric_Nativ'!$D$6:$D$405,"&gt;="&amp;L594),SUMIFS('Istoric_Nativ'!$H$6:$H$405,'Istoric_Nativ'!$B$6:$B$405,E594,'Istoric_Nativ'!$C$6:$C$405,F594,'Istoric_Nativ'!$E$6:$E$405,G594,'Istoric_Nativ'!$D$6:$D$405,"&lt;"&amp;J594,'Istoric_Nativ'!$P$6:$P$405,1,'Istoric_Nativ'!$D$6:$D$405,"&gt;="&amp;L594)+SUMIFS('Istoric_Nativ'!$G$6:$G$405,'Istoric_Nativ'!$B$6:$B$405,E594,'Istoric_Nativ'!$C$6:$C$405,F594,'Istoric_Nativ'!$F$6:$F$405,G594,'Istoric_Nativ'!$D$6:$D$405,"&lt;"&amp;J594,'Istoric_Nativ'!$P$6:$P$405,1,'Istoric_Nativ'!$D$6:$D$405,"&gt;="&amp;L594)))/M594)</x:f>
      </x:c>
      <x:c r="P594" s="2" t="n">
        <x:f>'Config_v6'!$B$7</x:f>
        <x:v>10</x:v>
      </x:c>
      <x:c r="Q594" s="2" t="n">
        <x:f>IF(OR(B594="",F594=""),0,IFERROR(MATCH(E594&amp;"|"&amp;F594,SourceTable[Source_Key],0),0))</x:f>
        <x:v>0</x:v>
      </x:c>
      <x:c r="R594" s="2" t="str">
        <x:f>IF(B594="","",IF(F594="","UNUSED",IF(Q594=0,"NOT CHECKED",IF(COUNTIF(SourceTable[Source_Key],E594&amp;"|"&amp;F594)&lt;&gt;1,"SOURCE CONFLICT",IF(NOT(OR(INDEX(SourceTable[Status],MAX(1,Q594))="IMPORTED",INDEX(SourceTable[Status],MAX(1,Q594))="PARTIAL",INDEX(SourceTable[Status],MAX(1,Q594))="SOURCE CONFLICT")),"ACCESS BLOCKED",IF(OR(INDEX(SourceTable[Coverage],Q594)&lt;&gt;"FULL SEASON EXPORT",INDEX(SourceTable[URL],Q594)="",INDEX(SourceTable[SHA256],Q594)=""),"EVIDENCE INCOMPLETE",IF(AND('Input_Meci'!H55="LIVE",INDEX(SourceTable[Retrieved_UTC],Q594)&gt;'Input_Meci'!G55),"POST CUTOFF","CLOSED")))))))</x:f>
      </x:c>
      <x:c r="S594" s="2" t="n">
        <x:f>IF(OR(B594="",F594=""),0,COUNTIFS('Istoric_Nativ'!$B$6:$B$405,E594,'Istoric_Nativ'!$C$6:$C$405,F594,'Istoric_Nativ'!$E$6:$E$405,G594,'Istoric_Nativ'!$D$6:$D$405,"&lt;"&amp;J594,'Istoric_Nativ'!$O$6:$O$405,"INVALID")+COUNTIFS('Istoric_Nativ'!$B$6:$B$405,E594,'Istoric_Nativ'!$C$6:$C$405,F594,'Istoric_Nativ'!$E$6:$E$405,G594,'Istoric_Nativ'!$O$6:$O$405,"INVALID",'Istoric_Nativ'!$D$6:$D$405,"*")+COUNTIFS('Istoric_Nativ'!$B$6:$B$405,E594,'Istoric_Nativ'!$C$6:$C$405,F594,'Istoric_Nativ'!$E$6:$E$405,G594,'Istoric_Nativ'!$D$6:$D$405,"&lt;"&amp;J594,'Istoric_Nativ'!$O$6:$O$405,"SOURCE CONFLICT")+COUNTIFS('Istoric_Nativ'!$B$6:$B$405,E594,'Istoric_Nativ'!$C$6:$C$405,F594,'Istoric_Nativ'!$F$6:$F$405,G594,'Istoric_Nativ'!$D$6:$D$405,"&lt;"&amp;J594,'Istoric_Nativ'!$O$6:$O$405,"INVALID")+COUNTIFS('Istoric_Nativ'!$B$6:$B$405,E594,'Istoric_Nativ'!$C$6:$C$405,F594,'Istoric_Nativ'!$F$6:$F$405,G594,'Istoric_Nativ'!$O$6:$O$405,"INVALID",'Istoric_Nativ'!$D$6:$D$405,"*")+COUNTIFS('Istoric_Nativ'!$B$6:$B$405,E594,'Istoric_Nativ'!$C$6:$C$405,F594,'Istoric_Nativ'!$F$6:$F$405,G594,'Istoric_Nativ'!$D$6:$D$405,"&lt;"&amp;J594,'Istoric_Nativ'!$O$6:$O$405,"SOURCE CONFLICT"))</x:f>
        <x:v>0</x:v>
      </x:c>
      <x:c r="T594" s="2" t="str">
        <x:f>IF(B594="","",IF(R594&lt;&gt;"CLOSED",R594,IF(S594&gt;0,"NATIVE INPUT ISSUE",IF(M594=0,"NO HISTORY",IF(M594&lt;P594,"SMALL SAMPLE","DERIVED")))))</x:f>
      </x:c>
      <x:c r="U594" s="2" t="str">
        <x:f>IF(B594="","","NativeTable; "&amp;E594&amp;"; "&amp;F594&amp;"; "&amp;G594&amp;"; "&amp;H594&amp;"; before "&amp;TEXT(J594,"yyyy-mm-dd")&amp;IF(I594="RECENT","; from "&amp;TEXT(L594,"yyyy-mm-dd"),""))</x:f>
      </x:c>
    </x:row>
    <x:row r="595" ht="21" customHeight="1">
      <x:c r="A595" s="2" t="n">
        <x:v>50</x:v>
      </x:c>
      <x:c r="B595" s="2" t="str">
        <x:f>IF('Input_Meci'!A55="","",'Input_Meci'!A55)</x:f>
      </x:c>
      <x:c r="C595" s="2" t="str">
        <x:v>H</x:v>
      </x:c>
      <x:c r="D595" s="2" t="str">
        <x:v>CURRENT</x:v>
      </x:c>
      <x:c r="E595" s="2" t="str">
        <x:f>IF(B595="","",'Input_Meci'!B55)</x:f>
      </x:c>
      <x:c r="F595" s="2" t="str">
        <x:f>IF(B595="","",IF('Input_Meci'!C55="","",'Input_Meci'!C55))</x:f>
      </x:c>
      <x:c r="G595" s="2" t="str">
        <x:f>IF(B595="","",'Input_Meci'!D55)</x:f>
      </x:c>
      <x:c r="H595" s="2" t="str">
        <x:v>HOME</x:v>
      </x:c>
      <x:c r="I595" s="2" t="str">
        <x:v>HA</x:v>
      </x:c>
      <x:c r="J595" s="9" t="n">
        <x:f>IF(AND(B595&lt;&gt;"",ISNUMBER('Input_Meci'!G55)),INT('Input_Meci'!G55),0)</x:f>
        <x:v>0</x:v>
      </x:c>
      <x:c r="K595" s="2" t="n">
        <x:f>IF(OR(B595="",F595=""),0,IF(H595="HOME",COUNTIFS('Istoric_Nativ'!$B$6:$B$405,E595,'Istoric_Nativ'!$C$6:$C$405,F595,'Istoric_Nativ'!$E$6:$E$405,G595,'Istoric_Nativ'!$D$6:$D$405,"&lt;"&amp;J595,'Istoric_Nativ'!$P$6:$P$405,1),IF(H595="AWAY",COUNTIFS('Istoric_Nativ'!$B$6:$B$405,E595,'Istoric_Nativ'!$C$6:$C$405,F595,'Istoric_Nativ'!$F$6:$F$405,G595,'Istoric_Nativ'!$D$6:$D$405,"&lt;"&amp;J595,'Istoric_Nativ'!$P$6:$P$405,1),COUNTIFS('Istoric_Nativ'!$B$6:$B$405,E595,'Istoric_Nativ'!$C$6:$C$405,F595,'Istoric_Nativ'!$E$6:$E$405,G595,'Istoric_Nativ'!$D$6:$D$405,"&lt;"&amp;J595,'Istoric_Nativ'!$P$6:$P$405,1)+COUNTIFS('Istoric_Nativ'!$B$6:$B$405,E595,'Istoric_Nativ'!$C$6:$C$405,F595,'Istoric_Nativ'!$F$6:$F$405,G595,'Istoric_Nativ'!$D$6:$D$405,"&lt;"&amp;J595,'Istoric_Nativ'!$P$6:$P$405,1))))</x:f>
        <x:v>0</x:v>
      </x:c>
      <x:c r="L595" s="17" t="n">
        <x:f>IF(AND(B595&lt;&gt;"",I595="RECENT",K595&gt;0),LARGE(_xlfn._xlws.FILTER('Istoric_Nativ'!$D$6:$D$405,('Istoric_Nativ'!$B$6:$B$405=E595)*('Istoric_Nativ'!$C$6:$C$405=F595)*('Istoric_Nativ'!$P$6:$P$405=1)*('Istoric_Nativ'!$D$6:$D$405&lt;J595)*((('Istoric_Nativ'!$E$6:$E$405=G595)+('Istoric_Nativ'!$F$6:$F$405=G595))&gt;0)),MIN('Config_v6'!$B$54,K595)),0)</x:f>
        <x:v>0</x:v>
      </x:c>
      <x:c r="M595" s="2" t="n">
        <x:f>IF(OR(B595="",F595=""),0,IF(H595="HOME",COUNTIFS('Istoric_Nativ'!$B$6:$B$405,E595,'Istoric_Nativ'!$C$6:$C$405,F595,'Istoric_Nativ'!$E$6:$E$405,G595,'Istoric_Nativ'!$D$6:$D$405,"&lt;"&amp;J595,'Istoric_Nativ'!$P$6:$P$405,1,'Istoric_Nativ'!$D$6:$D$405,"&gt;="&amp;L595),IF(H595="AWAY",COUNTIFS('Istoric_Nativ'!$B$6:$B$405,E595,'Istoric_Nativ'!$C$6:$C$405,F595,'Istoric_Nativ'!$F$6:$F$405,G595,'Istoric_Nativ'!$D$6:$D$405,"&lt;"&amp;J595,'Istoric_Nativ'!$P$6:$P$405,1,'Istoric_Nativ'!$D$6:$D$405,"&gt;="&amp;L595),COUNTIFS('Istoric_Nativ'!$B$6:$B$405,E595,'Istoric_Nativ'!$C$6:$C$405,F595,'Istoric_Nativ'!$E$6:$E$405,G595,'Istoric_Nativ'!$D$6:$D$405,"&lt;"&amp;J595,'Istoric_Nativ'!$P$6:$P$405,1,'Istoric_Nativ'!$D$6:$D$405,"&gt;="&amp;L595)+COUNTIFS('Istoric_Nativ'!$B$6:$B$405,E595,'Istoric_Nativ'!$C$6:$C$405,F595,'Istoric_Nativ'!$F$6:$F$405,G595,'Istoric_Nativ'!$D$6:$D$405,"&lt;"&amp;J595,'Istoric_Nativ'!$P$6:$P$405,1,'Istoric_Nativ'!$D$6:$D$405,"&gt;="&amp;L595))))</x:f>
        <x:v>0</x:v>
      </x:c>
      <x:c r="N595" s="11" t="str">
        <x:f>IF(M595=0,"",IF(H595="HOME",SUMIFS('Istoric_Nativ'!$G$6:$G$405,'Istoric_Nativ'!$B$6:$B$405,E595,'Istoric_Nativ'!$C$6:$C$405,F595,'Istoric_Nativ'!$E$6:$E$405,G595,'Istoric_Nativ'!$D$6:$D$405,"&lt;"&amp;J595,'Istoric_Nativ'!$P$6:$P$405,1,'Istoric_Nativ'!$D$6:$D$405,"&gt;="&amp;L595),IF(H595="AWAY",SUMIFS('Istoric_Nativ'!$H$6:$H$405,'Istoric_Nativ'!$B$6:$B$405,E595,'Istoric_Nativ'!$C$6:$C$405,F595,'Istoric_Nativ'!$F$6:$F$405,G595,'Istoric_Nativ'!$D$6:$D$405,"&lt;"&amp;J595,'Istoric_Nativ'!$P$6:$P$405,1,'Istoric_Nativ'!$D$6:$D$405,"&gt;="&amp;L595),SUMIFS('Istoric_Nativ'!$G$6:$G$405,'Istoric_Nativ'!$B$6:$B$405,E595,'Istoric_Nativ'!$C$6:$C$405,F595,'Istoric_Nativ'!$E$6:$E$405,G595,'Istoric_Nativ'!$D$6:$D$405,"&lt;"&amp;J595,'Istoric_Nativ'!$P$6:$P$405,1,'Istoric_Nativ'!$D$6:$D$405,"&gt;="&amp;L595)+SUMIFS('Istoric_Nativ'!$H$6:$H$405,'Istoric_Nativ'!$B$6:$B$405,E595,'Istoric_Nativ'!$C$6:$C$405,F595,'Istoric_Nativ'!$F$6:$F$405,G595,'Istoric_Nativ'!$D$6:$D$405,"&lt;"&amp;J595,'Istoric_Nativ'!$P$6:$P$405,1,'Istoric_Nativ'!$D$6:$D$405,"&gt;="&amp;L595)))/M595)</x:f>
      </x:c>
      <x:c r="O595" s="11" t="str">
        <x:f>IF(M595=0,"",IF(H595="HOME",SUMIFS('Istoric_Nativ'!$H$6:$H$405,'Istoric_Nativ'!$B$6:$B$405,E595,'Istoric_Nativ'!$C$6:$C$405,F595,'Istoric_Nativ'!$E$6:$E$405,G595,'Istoric_Nativ'!$D$6:$D$405,"&lt;"&amp;J595,'Istoric_Nativ'!$P$6:$P$405,1,'Istoric_Nativ'!$D$6:$D$405,"&gt;="&amp;L595),IF(H595="AWAY",SUMIFS('Istoric_Nativ'!$G$6:$G$405,'Istoric_Nativ'!$B$6:$B$405,E595,'Istoric_Nativ'!$C$6:$C$405,F595,'Istoric_Nativ'!$F$6:$F$405,G595,'Istoric_Nativ'!$D$6:$D$405,"&lt;"&amp;J595,'Istoric_Nativ'!$P$6:$P$405,1,'Istoric_Nativ'!$D$6:$D$405,"&gt;="&amp;L595),SUMIFS('Istoric_Nativ'!$H$6:$H$405,'Istoric_Nativ'!$B$6:$B$405,E595,'Istoric_Nativ'!$C$6:$C$405,F595,'Istoric_Nativ'!$E$6:$E$405,G595,'Istoric_Nativ'!$D$6:$D$405,"&lt;"&amp;J595,'Istoric_Nativ'!$P$6:$P$405,1,'Istoric_Nativ'!$D$6:$D$405,"&gt;="&amp;L595)+SUMIFS('Istoric_Nativ'!$G$6:$G$405,'Istoric_Nativ'!$B$6:$B$405,E595,'Istoric_Nativ'!$C$6:$C$405,F595,'Istoric_Nativ'!$F$6:$F$405,G595,'Istoric_Nativ'!$D$6:$D$405,"&lt;"&amp;J595,'Istoric_Nativ'!$P$6:$P$405,1,'Istoric_Nativ'!$D$6:$D$405,"&gt;="&amp;L595)))/M595)</x:f>
      </x:c>
      <x:c r="P595" s="2" t="n">
        <x:f>'Config_v6'!$B$8</x:f>
        <x:v>5</x:v>
      </x:c>
      <x:c r="Q595" s="2" t="n">
        <x:f>IF(OR(B595="",F595=""),0,IFERROR(MATCH(E595&amp;"|"&amp;F595,SourceTable[Source_Key],0),0))</x:f>
        <x:v>0</x:v>
      </x:c>
      <x:c r="R595" s="2" t="str">
        <x:f>IF(B595="","",IF(F595="","UNUSED",IF(Q595=0,"NOT CHECKED",IF(COUNTIF(SourceTable[Source_Key],E595&amp;"|"&amp;F595)&lt;&gt;1,"SOURCE CONFLICT",IF(NOT(OR(INDEX(SourceTable[Status],MAX(1,Q595))="IMPORTED",INDEX(SourceTable[Status],MAX(1,Q595))="PARTIAL",INDEX(SourceTable[Status],MAX(1,Q595))="SOURCE CONFLICT")),"ACCESS BLOCKED",IF(OR(INDEX(SourceTable[Coverage],Q595)&lt;&gt;"FULL SEASON EXPORT",INDEX(SourceTable[URL],Q595)="",INDEX(SourceTable[SHA256],Q595)=""),"EVIDENCE INCOMPLETE",IF(AND('Input_Meci'!H55="LIVE",INDEX(SourceTable[Retrieved_UTC],Q595)&gt;'Input_Meci'!G55),"POST CUTOFF","CLOSED")))))))</x:f>
      </x:c>
      <x:c r="S595" s="2" t="n">
        <x:f>IF(OR(B595="",F595=""),0,COUNTIFS('Istoric_Nativ'!$B$6:$B$405,E595,'Istoric_Nativ'!$C$6:$C$405,F595,'Istoric_Nativ'!$E$6:$E$405,G595,'Istoric_Nativ'!$D$6:$D$405,"&lt;"&amp;J595,'Istoric_Nativ'!$O$6:$O$405,"INVALID")+COUNTIFS('Istoric_Nativ'!$B$6:$B$405,E595,'Istoric_Nativ'!$C$6:$C$405,F595,'Istoric_Nativ'!$E$6:$E$405,G595,'Istoric_Nativ'!$O$6:$O$405,"INVALID",'Istoric_Nativ'!$D$6:$D$405,"*")+COUNTIFS('Istoric_Nativ'!$B$6:$B$405,E595,'Istoric_Nativ'!$C$6:$C$405,F595,'Istoric_Nativ'!$E$6:$E$405,G595,'Istoric_Nativ'!$D$6:$D$405,"&lt;"&amp;J595,'Istoric_Nativ'!$O$6:$O$405,"SOURCE CONFLICT")+COUNTIFS('Istoric_Nativ'!$B$6:$B$405,E595,'Istoric_Nativ'!$C$6:$C$405,F595,'Istoric_Nativ'!$F$6:$F$405,G595,'Istoric_Nativ'!$D$6:$D$405,"&lt;"&amp;J595,'Istoric_Nativ'!$O$6:$O$405,"INVALID")+COUNTIFS('Istoric_Nativ'!$B$6:$B$405,E595,'Istoric_Nativ'!$C$6:$C$405,F595,'Istoric_Nativ'!$F$6:$F$405,G595,'Istoric_Nativ'!$O$6:$O$405,"INVALID",'Istoric_Nativ'!$D$6:$D$405,"*")+COUNTIFS('Istoric_Nativ'!$B$6:$B$405,E595,'Istoric_Nativ'!$C$6:$C$405,F595,'Istoric_Nativ'!$F$6:$F$405,G595,'Istoric_Nativ'!$D$6:$D$405,"&lt;"&amp;J595,'Istoric_Nativ'!$O$6:$O$405,"SOURCE CONFLICT"))</x:f>
        <x:v>0</x:v>
      </x:c>
      <x:c r="T595" s="2" t="str">
        <x:f>IF(B595="","",IF(R595&lt;&gt;"CLOSED",R595,IF(S595&gt;0,"NATIVE INPUT ISSUE",IF(M595=0,"NO HISTORY",IF(M595&lt;P595,"SMALL SAMPLE","DERIVED")))))</x:f>
      </x:c>
      <x:c r="U595" s="2" t="str">
        <x:f>IF(B595="","","NativeTable; "&amp;E595&amp;"; "&amp;F595&amp;"; "&amp;G595&amp;"; "&amp;H595&amp;"; before "&amp;TEXT(J595,"yyyy-mm-dd")&amp;IF(I595="RECENT","; from "&amp;TEXT(L595,"yyyy-mm-dd"),""))</x:f>
      </x:c>
    </x:row>
    <x:row r="596" ht="21" customHeight="1">
      <x:c r="A596" s="2" t="n">
        <x:v>50</x:v>
      </x:c>
      <x:c r="B596" s="2" t="str">
        <x:f>IF('Input_Meci'!A55="","",'Input_Meci'!A55)</x:f>
      </x:c>
      <x:c r="C596" s="2" t="str">
        <x:v>H</x:v>
      </x:c>
      <x:c r="D596" s="2" t="str">
        <x:v>CURRENT</x:v>
      </x:c>
      <x:c r="E596" s="2" t="str">
        <x:f>IF(B596="","",'Input_Meci'!B55)</x:f>
      </x:c>
      <x:c r="F596" s="2" t="str">
        <x:f>IF(B596="","",IF('Input_Meci'!C55="","",'Input_Meci'!C55))</x:f>
      </x:c>
      <x:c r="G596" s="2" t="str">
        <x:f>IF(B596="","",'Input_Meci'!D55)</x:f>
      </x:c>
      <x:c r="H596" s="2" t="str">
        <x:v>ANY</x:v>
      </x:c>
      <x:c r="I596" s="2" t="str">
        <x:v>RECENT</x:v>
      </x:c>
      <x:c r="J596" s="9" t="n">
        <x:f>IF(AND(B596&lt;&gt;"",ISNUMBER('Input_Meci'!G55)),INT('Input_Meci'!G55),0)</x:f>
        <x:v>0</x:v>
      </x:c>
      <x:c r="K596" s="2" t="n">
        <x:f>IF(OR(B596="",F596=""),0,IF(H596="HOME",COUNTIFS('Istoric_Nativ'!$B$6:$B$405,E596,'Istoric_Nativ'!$C$6:$C$405,F596,'Istoric_Nativ'!$E$6:$E$405,G596,'Istoric_Nativ'!$D$6:$D$405,"&lt;"&amp;J596,'Istoric_Nativ'!$P$6:$P$405,1),IF(H596="AWAY",COUNTIFS('Istoric_Nativ'!$B$6:$B$405,E596,'Istoric_Nativ'!$C$6:$C$405,F596,'Istoric_Nativ'!$F$6:$F$405,G596,'Istoric_Nativ'!$D$6:$D$405,"&lt;"&amp;J596,'Istoric_Nativ'!$P$6:$P$405,1),COUNTIFS('Istoric_Nativ'!$B$6:$B$405,E596,'Istoric_Nativ'!$C$6:$C$405,F596,'Istoric_Nativ'!$E$6:$E$405,G596,'Istoric_Nativ'!$D$6:$D$405,"&lt;"&amp;J596,'Istoric_Nativ'!$P$6:$P$405,1)+COUNTIFS('Istoric_Nativ'!$B$6:$B$405,E596,'Istoric_Nativ'!$C$6:$C$405,F596,'Istoric_Nativ'!$F$6:$F$405,G596,'Istoric_Nativ'!$D$6:$D$405,"&lt;"&amp;J596,'Istoric_Nativ'!$P$6:$P$405,1))))</x:f>
        <x:v>0</x:v>
      </x:c>
      <x:c r="L596" s="17" t="n">
        <x:f>IF(AND(B596&lt;&gt;"",I596="RECENT",K596&gt;0),LARGE(_xlfn._xlws.FILTER('Istoric_Nativ'!$D$6:$D$405,('Istoric_Nativ'!$B$6:$B$405=E596)*('Istoric_Nativ'!$C$6:$C$405=F596)*('Istoric_Nativ'!$P$6:$P$405=1)*('Istoric_Nativ'!$D$6:$D$405&lt;J596)*((('Istoric_Nativ'!$E$6:$E$405=G596)+('Istoric_Nativ'!$F$6:$F$405=G596))&gt;0)),MIN('Config_v6'!$B$54,K596)),0)</x:f>
        <x:v>0</x:v>
      </x:c>
      <x:c r="M596" s="2" t="n">
        <x:f>IF(OR(B596="",F596=""),0,IF(H596="HOME",COUNTIFS('Istoric_Nativ'!$B$6:$B$405,E596,'Istoric_Nativ'!$C$6:$C$405,F596,'Istoric_Nativ'!$E$6:$E$405,G596,'Istoric_Nativ'!$D$6:$D$405,"&lt;"&amp;J596,'Istoric_Nativ'!$P$6:$P$405,1,'Istoric_Nativ'!$D$6:$D$405,"&gt;="&amp;L596),IF(H596="AWAY",COUNTIFS('Istoric_Nativ'!$B$6:$B$405,E596,'Istoric_Nativ'!$C$6:$C$405,F596,'Istoric_Nativ'!$F$6:$F$405,G596,'Istoric_Nativ'!$D$6:$D$405,"&lt;"&amp;J596,'Istoric_Nativ'!$P$6:$P$405,1,'Istoric_Nativ'!$D$6:$D$405,"&gt;="&amp;L596),COUNTIFS('Istoric_Nativ'!$B$6:$B$405,E596,'Istoric_Nativ'!$C$6:$C$405,F596,'Istoric_Nativ'!$E$6:$E$405,G596,'Istoric_Nativ'!$D$6:$D$405,"&lt;"&amp;J596,'Istoric_Nativ'!$P$6:$P$405,1,'Istoric_Nativ'!$D$6:$D$405,"&gt;="&amp;L596)+COUNTIFS('Istoric_Nativ'!$B$6:$B$405,E596,'Istoric_Nativ'!$C$6:$C$405,F596,'Istoric_Nativ'!$F$6:$F$405,G596,'Istoric_Nativ'!$D$6:$D$405,"&lt;"&amp;J596,'Istoric_Nativ'!$P$6:$P$405,1,'Istoric_Nativ'!$D$6:$D$405,"&gt;="&amp;L596))))</x:f>
        <x:v>0</x:v>
      </x:c>
      <x:c r="N596" s="11" t="str">
        <x:f>IF(M596=0,"",IF(H596="HOME",SUMIFS('Istoric_Nativ'!$G$6:$G$405,'Istoric_Nativ'!$B$6:$B$405,E596,'Istoric_Nativ'!$C$6:$C$405,F596,'Istoric_Nativ'!$E$6:$E$405,G596,'Istoric_Nativ'!$D$6:$D$405,"&lt;"&amp;J596,'Istoric_Nativ'!$P$6:$P$405,1,'Istoric_Nativ'!$D$6:$D$405,"&gt;="&amp;L596),IF(H596="AWAY",SUMIFS('Istoric_Nativ'!$H$6:$H$405,'Istoric_Nativ'!$B$6:$B$405,E596,'Istoric_Nativ'!$C$6:$C$405,F596,'Istoric_Nativ'!$F$6:$F$405,G596,'Istoric_Nativ'!$D$6:$D$405,"&lt;"&amp;J596,'Istoric_Nativ'!$P$6:$P$405,1,'Istoric_Nativ'!$D$6:$D$405,"&gt;="&amp;L596),SUMIFS('Istoric_Nativ'!$G$6:$G$405,'Istoric_Nativ'!$B$6:$B$405,E596,'Istoric_Nativ'!$C$6:$C$405,F596,'Istoric_Nativ'!$E$6:$E$405,G596,'Istoric_Nativ'!$D$6:$D$405,"&lt;"&amp;J596,'Istoric_Nativ'!$P$6:$P$405,1,'Istoric_Nativ'!$D$6:$D$405,"&gt;="&amp;L596)+SUMIFS('Istoric_Nativ'!$H$6:$H$405,'Istoric_Nativ'!$B$6:$B$405,E596,'Istoric_Nativ'!$C$6:$C$405,F596,'Istoric_Nativ'!$F$6:$F$405,G596,'Istoric_Nativ'!$D$6:$D$405,"&lt;"&amp;J596,'Istoric_Nativ'!$P$6:$P$405,1,'Istoric_Nativ'!$D$6:$D$405,"&gt;="&amp;L596)))/M596)</x:f>
      </x:c>
      <x:c r="O596" s="11" t="str">
        <x:f>IF(M596=0,"",IF(H596="HOME",SUMIFS('Istoric_Nativ'!$H$6:$H$405,'Istoric_Nativ'!$B$6:$B$405,E596,'Istoric_Nativ'!$C$6:$C$405,F596,'Istoric_Nativ'!$E$6:$E$405,G596,'Istoric_Nativ'!$D$6:$D$405,"&lt;"&amp;J596,'Istoric_Nativ'!$P$6:$P$405,1,'Istoric_Nativ'!$D$6:$D$405,"&gt;="&amp;L596),IF(H596="AWAY",SUMIFS('Istoric_Nativ'!$G$6:$G$405,'Istoric_Nativ'!$B$6:$B$405,E596,'Istoric_Nativ'!$C$6:$C$405,F596,'Istoric_Nativ'!$F$6:$F$405,G596,'Istoric_Nativ'!$D$6:$D$405,"&lt;"&amp;J596,'Istoric_Nativ'!$P$6:$P$405,1,'Istoric_Nativ'!$D$6:$D$405,"&gt;="&amp;L596),SUMIFS('Istoric_Nativ'!$H$6:$H$405,'Istoric_Nativ'!$B$6:$B$405,E596,'Istoric_Nativ'!$C$6:$C$405,F596,'Istoric_Nativ'!$E$6:$E$405,G596,'Istoric_Nativ'!$D$6:$D$405,"&lt;"&amp;J596,'Istoric_Nativ'!$P$6:$P$405,1,'Istoric_Nativ'!$D$6:$D$405,"&gt;="&amp;L596)+SUMIFS('Istoric_Nativ'!$G$6:$G$405,'Istoric_Nativ'!$B$6:$B$405,E596,'Istoric_Nativ'!$C$6:$C$405,F596,'Istoric_Nativ'!$F$6:$F$405,G596,'Istoric_Nativ'!$D$6:$D$405,"&lt;"&amp;J596,'Istoric_Nativ'!$P$6:$P$405,1,'Istoric_Nativ'!$D$6:$D$405,"&gt;="&amp;L596)))/M596)</x:f>
      </x:c>
      <x:c r="P596" s="2" t="n">
        <x:f>'Config_v6'!$B$9</x:f>
        <x:v>3</x:v>
      </x:c>
      <x:c r="Q596" s="2" t="n">
        <x:f>IF(OR(B596="",F596=""),0,IFERROR(MATCH(E596&amp;"|"&amp;F596,SourceTable[Source_Key],0),0))</x:f>
        <x:v>0</x:v>
      </x:c>
      <x:c r="R596" s="2" t="str">
        <x:f>IF(B596="","",IF(F596="","UNUSED",IF(Q596=0,"NOT CHECKED",IF(COUNTIF(SourceTable[Source_Key],E596&amp;"|"&amp;F596)&lt;&gt;1,"SOURCE CONFLICT",IF(NOT(OR(INDEX(SourceTable[Status],MAX(1,Q596))="IMPORTED",INDEX(SourceTable[Status],MAX(1,Q596))="PARTIAL",INDEX(SourceTable[Status],MAX(1,Q596))="SOURCE CONFLICT")),"ACCESS BLOCKED",IF(OR(INDEX(SourceTable[Coverage],Q596)&lt;&gt;"FULL SEASON EXPORT",INDEX(SourceTable[URL],Q596)="",INDEX(SourceTable[SHA256],Q596)=""),"EVIDENCE INCOMPLETE",IF(AND('Input_Meci'!H55="LIVE",INDEX(SourceTable[Retrieved_UTC],Q596)&gt;'Input_Meci'!G55),"POST CUTOFF","CLOSED")))))))</x:f>
      </x:c>
      <x:c r="S596" s="2" t="n">
        <x:f>IF(OR(B596="",F596=""),0,COUNTIFS('Istoric_Nativ'!$B$6:$B$405,E596,'Istoric_Nativ'!$C$6:$C$405,F596,'Istoric_Nativ'!$E$6:$E$405,G596,'Istoric_Nativ'!$D$6:$D$405,"&lt;"&amp;J596,'Istoric_Nativ'!$O$6:$O$405,"INVALID")+COUNTIFS('Istoric_Nativ'!$B$6:$B$405,E596,'Istoric_Nativ'!$C$6:$C$405,F596,'Istoric_Nativ'!$E$6:$E$405,G596,'Istoric_Nativ'!$O$6:$O$405,"INVALID",'Istoric_Nativ'!$D$6:$D$405,"*")+COUNTIFS('Istoric_Nativ'!$B$6:$B$405,E596,'Istoric_Nativ'!$C$6:$C$405,F596,'Istoric_Nativ'!$E$6:$E$405,G596,'Istoric_Nativ'!$D$6:$D$405,"&lt;"&amp;J596,'Istoric_Nativ'!$O$6:$O$405,"SOURCE CONFLICT")+COUNTIFS('Istoric_Nativ'!$B$6:$B$405,E596,'Istoric_Nativ'!$C$6:$C$405,F596,'Istoric_Nativ'!$F$6:$F$405,G596,'Istoric_Nativ'!$D$6:$D$405,"&lt;"&amp;J596,'Istoric_Nativ'!$O$6:$O$405,"INVALID")+COUNTIFS('Istoric_Nativ'!$B$6:$B$405,E596,'Istoric_Nativ'!$C$6:$C$405,F596,'Istoric_Nativ'!$F$6:$F$405,G596,'Istoric_Nativ'!$O$6:$O$405,"INVALID",'Istoric_Nativ'!$D$6:$D$405,"*")+COUNTIFS('Istoric_Nativ'!$B$6:$B$405,E596,'Istoric_Nativ'!$C$6:$C$405,F596,'Istoric_Nativ'!$F$6:$F$405,G596,'Istoric_Nativ'!$D$6:$D$405,"&lt;"&amp;J596,'Istoric_Nativ'!$O$6:$O$405,"SOURCE CONFLICT"))</x:f>
        <x:v>0</x:v>
      </x:c>
      <x:c r="T596" s="2" t="str">
        <x:f>IF(B596="","",IF(R596&lt;&gt;"CLOSED",R596,IF(S596&gt;0,"NATIVE INPUT ISSUE",IF(M596=0,"NO HISTORY",IF(M596&lt;P596,"SMALL SAMPLE","DERIVED")))))</x:f>
      </x:c>
      <x:c r="U596" s="2" t="str">
        <x:f>IF(B596="","","NativeTable; "&amp;E596&amp;"; "&amp;F596&amp;"; "&amp;G596&amp;"; "&amp;H596&amp;"; before "&amp;TEXT(J596,"yyyy-mm-dd")&amp;IF(I596="RECENT","; from "&amp;TEXT(L596,"yyyy-mm-dd"),""))</x:f>
      </x:c>
    </x:row>
    <x:row r="597" ht="21" customHeight="1">
      <x:c r="A597" s="2" t="n">
        <x:v>50</x:v>
      </x:c>
      <x:c r="B597" s="2" t="str">
        <x:f>IF('Input_Meci'!A55="","",'Input_Meci'!A55)</x:f>
      </x:c>
      <x:c r="C597" s="2" t="str">
        <x:v>A</x:v>
      </x:c>
      <x:c r="D597" s="2" t="str">
        <x:v>CURRENT</x:v>
      </x:c>
      <x:c r="E597" s="2" t="str">
        <x:f>IF(B597="","",'Input_Meci'!B55)</x:f>
      </x:c>
      <x:c r="F597" s="2" t="str">
        <x:f>IF(B597="","",IF('Input_Meci'!C55="","",'Input_Meci'!C55))</x:f>
      </x:c>
      <x:c r="G597" s="2" t="str">
        <x:f>IF(B597="","",'Input_Meci'!E55)</x:f>
      </x:c>
      <x:c r="H597" s="2" t="str">
        <x:v>ANY</x:v>
      </x:c>
      <x:c r="I597" s="2" t="str">
        <x:v>SEASON</x:v>
      </x:c>
      <x:c r="J597" s="9" t="n">
        <x:f>IF(AND(B597&lt;&gt;"",ISNUMBER('Input_Meci'!G55)),INT('Input_Meci'!G55),0)</x:f>
        <x:v>0</x:v>
      </x:c>
      <x:c r="K597" s="2" t="n">
        <x:f>IF(OR(B597="",F597=""),0,IF(H597="HOME",COUNTIFS('Istoric_Nativ'!$B$6:$B$405,E597,'Istoric_Nativ'!$C$6:$C$405,F597,'Istoric_Nativ'!$E$6:$E$405,G597,'Istoric_Nativ'!$D$6:$D$405,"&lt;"&amp;J597,'Istoric_Nativ'!$P$6:$P$405,1),IF(H597="AWAY",COUNTIFS('Istoric_Nativ'!$B$6:$B$405,E597,'Istoric_Nativ'!$C$6:$C$405,F597,'Istoric_Nativ'!$F$6:$F$405,G597,'Istoric_Nativ'!$D$6:$D$405,"&lt;"&amp;J597,'Istoric_Nativ'!$P$6:$P$405,1),COUNTIFS('Istoric_Nativ'!$B$6:$B$405,E597,'Istoric_Nativ'!$C$6:$C$405,F597,'Istoric_Nativ'!$E$6:$E$405,G597,'Istoric_Nativ'!$D$6:$D$405,"&lt;"&amp;J597,'Istoric_Nativ'!$P$6:$P$405,1)+COUNTIFS('Istoric_Nativ'!$B$6:$B$405,E597,'Istoric_Nativ'!$C$6:$C$405,F597,'Istoric_Nativ'!$F$6:$F$405,G597,'Istoric_Nativ'!$D$6:$D$405,"&lt;"&amp;J597,'Istoric_Nativ'!$P$6:$P$405,1))))</x:f>
        <x:v>0</x:v>
      </x:c>
      <x:c r="L597" s="17" t="n">
        <x:f>IF(AND(B597&lt;&gt;"",I597="RECENT",K597&gt;0),LARGE(_xlfn._xlws.FILTER('Istoric_Nativ'!$D$6:$D$405,('Istoric_Nativ'!$B$6:$B$405=E597)*('Istoric_Nativ'!$C$6:$C$405=F597)*('Istoric_Nativ'!$P$6:$P$405=1)*('Istoric_Nativ'!$D$6:$D$405&lt;J597)*((('Istoric_Nativ'!$E$6:$E$405=G597)+('Istoric_Nativ'!$F$6:$F$405=G597))&gt;0)),MIN('Config_v6'!$B$54,K597)),0)</x:f>
        <x:v>0</x:v>
      </x:c>
      <x:c r="M597" s="2" t="n">
        <x:f>IF(OR(B597="",F597=""),0,IF(H597="HOME",COUNTIFS('Istoric_Nativ'!$B$6:$B$405,E597,'Istoric_Nativ'!$C$6:$C$405,F597,'Istoric_Nativ'!$E$6:$E$405,G597,'Istoric_Nativ'!$D$6:$D$405,"&lt;"&amp;J597,'Istoric_Nativ'!$P$6:$P$405,1,'Istoric_Nativ'!$D$6:$D$405,"&gt;="&amp;L597),IF(H597="AWAY",COUNTIFS('Istoric_Nativ'!$B$6:$B$405,E597,'Istoric_Nativ'!$C$6:$C$405,F597,'Istoric_Nativ'!$F$6:$F$405,G597,'Istoric_Nativ'!$D$6:$D$405,"&lt;"&amp;J597,'Istoric_Nativ'!$P$6:$P$405,1,'Istoric_Nativ'!$D$6:$D$405,"&gt;="&amp;L597),COUNTIFS('Istoric_Nativ'!$B$6:$B$405,E597,'Istoric_Nativ'!$C$6:$C$405,F597,'Istoric_Nativ'!$E$6:$E$405,G597,'Istoric_Nativ'!$D$6:$D$405,"&lt;"&amp;J597,'Istoric_Nativ'!$P$6:$P$405,1,'Istoric_Nativ'!$D$6:$D$405,"&gt;="&amp;L597)+COUNTIFS('Istoric_Nativ'!$B$6:$B$405,E597,'Istoric_Nativ'!$C$6:$C$405,F597,'Istoric_Nativ'!$F$6:$F$405,G597,'Istoric_Nativ'!$D$6:$D$405,"&lt;"&amp;J597,'Istoric_Nativ'!$P$6:$P$405,1,'Istoric_Nativ'!$D$6:$D$405,"&gt;="&amp;L597))))</x:f>
        <x:v>0</x:v>
      </x:c>
      <x:c r="N597" s="11" t="str">
        <x:f>IF(M597=0,"",IF(H597="HOME",SUMIFS('Istoric_Nativ'!$G$6:$G$405,'Istoric_Nativ'!$B$6:$B$405,E597,'Istoric_Nativ'!$C$6:$C$405,F597,'Istoric_Nativ'!$E$6:$E$405,G597,'Istoric_Nativ'!$D$6:$D$405,"&lt;"&amp;J597,'Istoric_Nativ'!$P$6:$P$405,1,'Istoric_Nativ'!$D$6:$D$405,"&gt;="&amp;L597),IF(H597="AWAY",SUMIFS('Istoric_Nativ'!$H$6:$H$405,'Istoric_Nativ'!$B$6:$B$405,E597,'Istoric_Nativ'!$C$6:$C$405,F597,'Istoric_Nativ'!$F$6:$F$405,G597,'Istoric_Nativ'!$D$6:$D$405,"&lt;"&amp;J597,'Istoric_Nativ'!$P$6:$P$405,1,'Istoric_Nativ'!$D$6:$D$405,"&gt;="&amp;L597),SUMIFS('Istoric_Nativ'!$G$6:$G$405,'Istoric_Nativ'!$B$6:$B$405,E597,'Istoric_Nativ'!$C$6:$C$405,F597,'Istoric_Nativ'!$E$6:$E$405,G597,'Istoric_Nativ'!$D$6:$D$405,"&lt;"&amp;J597,'Istoric_Nativ'!$P$6:$P$405,1,'Istoric_Nativ'!$D$6:$D$405,"&gt;="&amp;L597)+SUMIFS('Istoric_Nativ'!$H$6:$H$405,'Istoric_Nativ'!$B$6:$B$405,E597,'Istoric_Nativ'!$C$6:$C$405,F597,'Istoric_Nativ'!$F$6:$F$405,G597,'Istoric_Nativ'!$D$6:$D$405,"&lt;"&amp;J597,'Istoric_Nativ'!$P$6:$P$405,1,'Istoric_Nativ'!$D$6:$D$405,"&gt;="&amp;L597)))/M597)</x:f>
      </x:c>
      <x:c r="O597" s="11" t="str">
        <x:f>IF(M597=0,"",IF(H597="HOME",SUMIFS('Istoric_Nativ'!$H$6:$H$405,'Istoric_Nativ'!$B$6:$B$405,E597,'Istoric_Nativ'!$C$6:$C$405,F597,'Istoric_Nativ'!$E$6:$E$405,G597,'Istoric_Nativ'!$D$6:$D$405,"&lt;"&amp;J597,'Istoric_Nativ'!$P$6:$P$405,1,'Istoric_Nativ'!$D$6:$D$405,"&gt;="&amp;L597),IF(H597="AWAY",SUMIFS('Istoric_Nativ'!$G$6:$G$405,'Istoric_Nativ'!$B$6:$B$405,E597,'Istoric_Nativ'!$C$6:$C$405,F597,'Istoric_Nativ'!$F$6:$F$405,G597,'Istoric_Nativ'!$D$6:$D$405,"&lt;"&amp;J597,'Istoric_Nativ'!$P$6:$P$405,1,'Istoric_Nativ'!$D$6:$D$405,"&gt;="&amp;L597),SUMIFS('Istoric_Nativ'!$H$6:$H$405,'Istoric_Nativ'!$B$6:$B$405,E597,'Istoric_Nativ'!$C$6:$C$405,F597,'Istoric_Nativ'!$E$6:$E$405,G597,'Istoric_Nativ'!$D$6:$D$405,"&lt;"&amp;J597,'Istoric_Nativ'!$P$6:$P$405,1,'Istoric_Nativ'!$D$6:$D$405,"&gt;="&amp;L597)+SUMIFS('Istoric_Nativ'!$G$6:$G$405,'Istoric_Nativ'!$B$6:$B$405,E597,'Istoric_Nativ'!$C$6:$C$405,F597,'Istoric_Nativ'!$F$6:$F$405,G597,'Istoric_Nativ'!$D$6:$D$405,"&lt;"&amp;J597,'Istoric_Nativ'!$P$6:$P$405,1,'Istoric_Nativ'!$D$6:$D$405,"&gt;="&amp;L597)))/M597)</x:f>
      </x:c>
      <x:c r="P597" s="2" t="n">
        <x:f>'Config_v6'!$B$7</x:f>
        <x:v>10</x:v>
      </x:c>
      <x:c r="Q597" s="2" t="n">
        <x:f>IF(OR(B597="",F597=""),0,IFERROR(MATCH(E597&amp;"|"&amp;F597,SourceTable[Source_Key],0),0))</x:f>
        <x:v>0</x:v>
      </x:c>
      <x:c r="R597" s="2" t="str">
        <x:f>IF(B597="","",IF(F597="","UNUSED",IF(Q597=0,"NOT CHECKED",IF(COUNTIF(SourceTable[Source_Key],E597&amp;"|"&amp;F597)&lt;&gt;1,"SOURCE CONFLICT",IF(NOT(OR(INDEX(SourceTable[Status],MAX(1,Q597))="IMPORTED",INDEX(SourceTable[Status],MAX(1,Q597))="PARTIAL",INDEX(SourceTable[Status],MAX(1,Q597))="SOURCE CONFLICT")),"ACCESS BLOCKED",IF(OR(INDEX(SourceTable[Coverage],Q597)&lt;&gt;"FULL SEASON EXPORT",INDEX(SourceTable[URL],Q597)="",INDEX(SourceTable[SHA256],Q597)=""),"EVIDENCE INCOMPLETE",IF(AND('Input_Meci'!H55="LIVE",INDEX(SourceTable[Retrieved_UTC],Q597)&gt;'Input_Meci'!G55),"POST CUTOFF","CLOSED")))))))</x:f>
      </x:c>
      <x:c r="S597" s="2" t="n">
        <x:f>IF(OR(B597="",F597=""),0,COUNTIFS('Istoric_Nativ'!$B$6:$B$405,E597,'Istoric_Nativ'!$C$6:$C$405,F597,'Istoric_Nativ'!$E$6:$E$405,G597,'Istoric_Nativ'!$D$6:$D$405,"&lt;"&amp;J597,'Istoric_Nativ'!$O$6:$O$405,"INVALID")+COUNTIFS('Istoric_Nativ'!$B$6:$B$405,E597,'Istoric_Nativ'!$C$6:$C$405,F597,'Istoric_Nativ'!$E$6:$E$405,G597,'Istoric_Nativ'!$O$6:$O$405,"INVALID",'Istoric_Nativ'!$D$6:$D$405,"*")+COUNTIFS('Istoric_Nativ'!$B$6:$B$405,E597,'Istoric_Nativ'!$C$6:$C$405,F597,'Istoric_Nativ'!$E$6:$E$405,G597,'Istoric_Nativ'!$D$6:$D$405,"&lt;"&amp;J597,'Istoric_Nativ'!$O$6:$O$405,"SOURCE CONFLICT")+COUNTIFS('Istoric_Nativ'!$B$6:$B$405,E597,'Istoric_Nativ'!$C$6:$C$405,F597,'Istoric_Nativ'!$F$6:$F$405,G597,'Istoric_Nativ'!$D$6:$D$405,"&lt;"&amp;J597,'Istoric_Nativ'!$O$6:$O$405,"INVALID")+COUNTIFS('Istoric_Nativ'!$B$6:$B$405,E597,'Istoric_Nativ'!$C$6:$C$405,F597,'Istoric_Nativ'!$F$6:$F$405,G597,'Istoric_Nativ'!$O$6:$O$405,"INVALID",'Istoric_Nativ'!$D$6:$D$405,"*")+COUNTIFS('Istoric_Nativ'!$B$6:$B$405,E597,'Istoric_Nativ'!$C$6:$C$405,F597,'Istoric_Nativ'!$F$6:$F$405,G597,'Istoric_Nativ'!$D$6:$D$405,"&lt;"&amp;J597,'Istoric_Nativ'!$O$6:$O$405,"SOURCE CONFLICT"))</x:f>
        <x:v>0</x:v>
      </x:c>
      <x:c r="T597" s="2" t="str">
        <x:f>IF(B597="","",IF(R597&lt;&gt;"CLOSED",R597,IF(S597&gt;0,"NATIVE INPUT ISSUE",IF(M597=0,"NO HISTORY",IF(M597&lt;P597,"SMALL SAMPLE","DERIVED")))))</x:f>
      </x:c>
      <x:c r="U597" s="2" t="str">
        <x:f>IF(B597="","","NativeTable; "&amp;E597&amp;"; "&amp;F597&amp;"; "&amp;G597&amp;"; "&amp;H597&amp;"; before "&amp;TEXT(J597,"yyyy-mm-dd")&amp;IF(I597="RECENT","; from "&amp;TEXT(L597,"yyyy-mm-dd"),""))</x:f>
      </x:c>
    </x:row>
    <x:row r="598" ht="21" customHeight="1">
      <x:c r="A598" s="2" t="n">
        <x:v>50</x:v>
      </x:c>
      <x:c r="B598" s="2" t="str">
        <x:f>IF('Input_Meci'!A55="","",'Input_Meci'!A55)</x:f>
      </x:c>
      <x:c r="C598" s="2" t="str">
        <x:v>A</x:v>
      </x:c>
      <x:c r="D598" s="2" t="str">
        <x:v>CURRENT</x:v>
      </x:c>
      <x:c r="E598" s="2" t="str">
        <x:f>IF(B598="","",'Input_Meci'!B55)</x:f>
      </x:c>
      <x:c r="F598" s="2" t="str">
        <x:f>IF(B598="","",IF('Input_Meci'!C55="","",'Input_Meci'!C55))</x:f>
      </x:c>
      <x:c r="G598" s="2" t="str">
        <x:f>IF(B598="","",'Input_Meci'!E55)</x:f>
      </x:c>
      <x:c r="H598" s="2" t="str">
        <x:v>AWAY</x:v>
      </x:c>
      <x:c r="I598" s="2" t="str">
        <x:v>HA</x:v>
      </x:c>
      <x:c r="J598" s="9" t="n">
        <x:f>IF(AND(B598&lt;&gt;"",ISNUMBER('Input_Meci'!G55)),INT('Input_Meci'!G55),0)</x:f>
        <x:v>0</x:v>
      </x:c>
      <x:c r="K598" s="2" t="n">
        <x:f>IF(OR(B598="",F598=""),0,IF(H598="HOME",COUNTIFS('Istoric_Nativ'!$B$6:$B$405,E598,'Istoric_Nativ'!$C$6:$C$405,F598,'Istoric_Nativ'!$E$6:$E$405,G598,'Istoric_Nativ'!$D$6:$D$405,"&lt;"&amp;J598,'Istoric_Nativ'!$P$6:$P$405,1),IF(H598="AWAY",COUNTIFS('Istoric_Nativ'!$B$6:$B$405,E598,'Istoric_Nativ'!$C$6:$C$405,F598,'Istoric_Nativ'!$F$6:$F$405,G598,'Istoric_Nativ'!$D$6:$D$405,"&lt;"&amp;J598,'Istoric_Nativ'!$P$6:$P$405,1),COUNTIFS('Istoric_Nativ'!$B$6:$B$405,E598,'Istoric_Nativ'!$C$6:$C$405,F598,'Istoric_Nativ'!$E$6:$E$405,G598,'Istoric_Nativ'!$D$6:$D$405,"&lt;"&amp;J598,'Istoric_Nativ'!$P$6:$P$405,1)+COUNTIFS('Istoric_Nativ'!$B$6:$B$405,E598,'Istoric_Nativ'!$C$6:$C$405,F598,'Istoric_Nativ'!$F$6:$F$405,G598,'Istoric_Nativ'!$D$6:$D$405,"&lt;"&amp;J598,'Istoric_Nativ'!$P$6:$P$405,1))))</x:f>
        <x:v>0</x:v>
      </x:c>
      <x:c r="L598" s="17" t="n">
        <x:f>IF(AND(B598&lt;&gt;"",I598="RECENT",K598&gt;0),LARGE(_xlfn._xlws.FILTER('Istoric_Nativ'!$D$6:$D$405,('Istoric_Nativ'!$B$6:$B$405=E598)*('Istoric_Nativ'!$C$6:$C$405=F598)*('Istoric_Nativ'!$P$6:$P$405=1)*('Istoric_Nativ'!$D$6:$D$405&lt;J598)*((('Istoric_Nativ'!$E$6:$E$405=G598)+('Istoric_Nativ'!$F$6:$F$405=G598))&gt;0)),MIN('Config_v6'!$B$54,K598)),0)</x:f>
        <x:v>0</x:v>
      </x:c>
      <x:c r="M598" s="2" t="n">
        <x:f>IF(OR(B598="",F598=""),0,IF(H598="HOME",COUNTIFS('Istoric_Nativ'!$B$6:$B$405,E598,'Istoric_Nativ'!$C$6:$C$405,F598,'Istoric_Nativ'!$E$6:$E$405,G598,'Istoric_Nativ'!$D$6:$D$405,"&lt;"&amp;J598,'Istoric_Nativ'!$P$6:$P$405,1,'Istoric_Nativ'!$D$6:$D$405,"&gt;="&amp;L598),IF(H598="AWAY",COUNTIFS('Istoric_Nativ'!$B$6:$B$405,E598,'Istoric_Nativ'!$C$6:$C$405,F598,'Istoric_Nativ'!$F$6:$F$405,G598,'Istoric_Nativ'!$D$6:$D$405,"&lt;"&amp;J598,'Istoric_Nativ'!$P$6:$P$405,1,'Istoric_Nativ'!$D$6:$D$405,"&gt;="&amp;L598),COUNTIFS('Istoric_Nativ'!$B$6:$B$405,E598,'Istoric_Nativ'!$C$6:$C$405,F598,'Istoric_Nativ'!$E$6:$E$405,G598,'Istoric_Nativ'!$D$6:$D$405,"&lt;"&amp;J598,'Istoric_Nativ'!$P$6:$P$405,1,'Istoric_Nativ'!$D$6:$D$405,"&gt;="&amp;L598)+COUNTIFS('Istoric_Nativ'!$B$6:$B$405,E598,'Istoric_Nativ'!$C$6:$C$405,F598,'Istoric_Nativ'!$F$6:$F$405,G598,'Istoric_Nativ'!$D$6:$D$405,"&lt;"&amp;J598,'Istoric_Nativ'!$P$6:$P$405,1,'Istoric_Nativ'!$D$6:$D$405,"&gt;="&amp;L598))))</x:f>
        <x:v>0</x:v>
      </x:c>
      <x:c r="N598" s="11" t="str">
        <x:f>IF(M598=0,"",IF(H598="HOME",SUMIFS('Istoric_Nativ'!$G$6:$G$405,'Istoric_Nativ'!$B$6:$B$405,E598,'Istoric_Nativ'!$C$6:$C$405,F598,'Istoric_Nativ'!$E$6:$E$405,G598,'Istoric_Nativ'!$D$6:$D$405,"&lt;"&amp;J598,'Istoric_Nativ'!$P$6:$P$405,1,'Istoric_Nativ'!$D$6:$D$405,"&gt;="&amp;L598),IF(H598="AWAY",SUMIFS('Istoric_Nativ'!$H$6:$H$405,'Istoric_Nativ'!$B$6:$B$405,E598,'Istoric_Nativ'!$C$6:$C$405,F598,'Istoric_Nativ'!$F$6:$F$405,G598,'Istoric_Nativ'!$D$6:$D$405,"&lt;"&amp;J598,'Istoric_Nativ'!$P$6:$P$405,1,'Istoric_Nativ'!$D$6:$D$405,"&gt;="&amp;L598),SUMIFS('Istoric_Nativ'!$G$6:$G$405,'Istoric_Nativ'!$B$6:$B$405,E598,'Istoric_Nativ'!$C$6:$C$405,F598,'Istoric_Nativ'!$E$6:$E$405,G598,'Istoric_Nativ'!$D$6:$D$405,"&lt;"&amp;J598,'Istoric_Nativ'!$P$6:$P$405,1,'Istoric_Nativ'!$D$6:$D$405,"&gt;="&amp;L598)+SUMIFS('Istoric_Nativ'!$H$6:$H$405,'Istoric_Nativ'!$B$6:$B$405,E598,'Istoric_Nativ'!$C$6:$C$405,F598,'Istoric_Nativ'!$F$6:$F$405,G598,'Istoric_Nativ'!$D$6:$D$405,"&lt;"&amp;J598,'Istoric_Nativ'!$P$6:$P$405,1,'Istoric_Nativ'!$D$6:$D$405,"&gt;="&amp;L598)))/M598)</x:f>
      </x:c>
      <x:c r="O598" s="11" t="str">
        <x:f>IF(M598=0,"",IF(H598="HOME",SUMIFS('Istoric_Nativ'!$H$6:$H$405,'Istoric_Nativ'!$B$6:$B$405,E598,'Istoric_Nativ'!$C$6:$C$405,F598,'Istoric_Nativ'!$E$6:$E$405,G598,'Istoric_Nativ'!$D$6:$D$405,"&lt;"&amp;J598,'Istoric_Nativ'!$P$6:$P$405,1,'Istoric_Nativ'!$D$6:$D$405,"&gt;="&amp;L598),IF(H598="AWAY",SUMIFS('Istoric_Nativ'!$G$6:$G$405,'Istoric_Nativ'!$B$6:$B$405,E598,'Istoric_Nativ'!$C$6:$C$405,F598,'Istoric_Nativ'!$F$6:$F$405,G598,'Istoric_Nativ'!$D$6:$D$405,"&lt;"&amp;J598,'Istoric_Nativ'!$P$6:$P$405,1,'Istoric_Nativ'!$D$6:$D$405,"&gt;="&amp;L598),SUMIFS('Istoric_Nativ'!$H$6:$H$405,'Istoric_Nativ'!$B$6:$B$405,E598,'Istoric_Nativ'!$C$6:$C$405,F598,'Istoric_Nativ'!$E$6:$E$405,G598,'Istoric_Nativ'!$D$6:$D$405,"&lt;"&amp;J598,'Istoric_Nativ'!$P$6:$P$405,1,'Istoric_Nativ'!$D$6:$D$405,"&gt;="&amp;L598)+SUMIFS('Istoric_Nativ'!$G$6:$G$405,'Istoric_Nativ'!$B$6:$B$405,E598,'Istoric_Nativ'!$C$6:$C$405,F598,'Istoric_Nativ'!$F$6:$F$405,G598,'Istoric_Nativ'!$D$6:$D$405,"&lt;"&amp;J598,'Istoric_Nativ'!$P$6:$P$405,1,'Istoric_Nativ'!$D$6:$D$405,"&gt;="&amp;L598)))/M598)</x:f>
      </x:c>
      <x:c r="P598" s="2" t="n">
        <x:f>'Config_v6'!$B$8</x:f>
        <x:v>5</x:v>
      </x:c>
      <x:c r="Q598" s="2" t="n">
        <x:f>IF(OR(B598="",F598=""),0,IFERROR(MATCH(E598&amp;"|"&amp;F598,SourceTable[Source_Key],0),0))</x:f>
        <x:v>0</x:v>
      </x:c>
      <x:c r="R598" s="2" t="str">
        <x:f>IF(B598="","",IF(F598="","UNUSED",IF(Q598=0,"NOT CHECKED",IF(COUNTIF(SourceTable[Source_Key],E598&amp;"|"&amp;F598)&lt;&gt;1,"SOURCE CONFLICT",IF(NOT(OR(INDEX(SourceTable[Status],MAX(1,Q598))="IMPORTED",INDEX(SourceTable[Status],MAX(1,Q598))="PARTIAL",INDEX(SourceTable[Status],MAX(1,Q598))="SOURCE CONFLICT")),"ACCESS BLOCKED",IF(OR(INDEX(SourceTable[Coverage],Q598)&lt;&gt;"FULL SEASON EXPORT",INDEX(SourceTable[URL],Q598)="",INDEX(SourceTable[SHA256],Q598)=""),"EVIDENCE INCOMPLETE",IF(AND('Input_Meci'!H55="LIVE",INDEX(SourceTable[Retrieved_UTC],Q598)&gt;'Input_Meci'!G55),"POST CUTOFF","CLOSED")))))))</x:f>
      </x:c>
      <x:c r="S598" s="2" t="n">
        <x:f>IF(OR(B598="",F598=""),0,COUNTIFS('Istoric_Nativ'!$B$6:$B$405,E598,'Istoric_Nativ'!$C$6:$C$405,F598,'Istoric_Nativ'!$E$6:$E$405,G598,'Istoric_Nativ'!$D$6:$D$405,"&lt;"&amp;J598,'Istoric_Nativ'!$O$6:$O$405,"INVALID")+COUNTIFS('Istoric_Nativ'!$B$6:$B$405,E598,'Istoric_Nativ'!$C$6:$C$405,F598,'Istoric_Nativ'!$E$6:$E$405,G598,'Istoric_Nativ'!$O$6:$O$405,"INVALID",'Istoric_Nativ'!$D$6:$D$405,"*")+COUNTIFS('Istoric_Nativ'!$B$6:$B$405,E598,'Istoric_Nativ'!$C$6:$C$405,F598,'Istoric_Nativ'!$E$6:$E$405,G598,'Istoric_Nativ'!$D$6:$D$405,"&lt;"&amp;J598,'Istoric_Nativ'!$O$6:$O$405,"SOURCE CONFLICT")+COUNTIFS('Istoric_Nativ'!$B$6:$B$405,E598,'Istoric_Nativ'!$C$6:$C$405,F598,'Istoric_Nativ'!$F$6:$F$405,G598,'Istoric_Nativ'!$D$6:$D$405,"&lt;"&amp;J598,'Istoric_Nativ'!$O$6:$O$405,"INVALID")+COUNTIFS('Istoric_Nativ'!$B$6:$B$405,E598,'Istoric_Nativ'!$C$6:$C$405,F598,'Istoric_Nativ'!$F$6:$F$405,G598,'Istoric_Nativ'!$O$6:$O$405,"INVALID",'Istoric_Nativ'!$D$6:$D$405,"*")+COUNTIFS('Istoric_Nativ'!$B$6:$B$405,E598,'Istoric_Nativ'!$C$6:$C$405,F598,'Istoric_Nativ'!$F$6:$F$405,G598,'Istoric_Nativ'!$D$6:$D$405,"&lt;"&amp;J598,'Istoric_Nativ'!$O$6:$O$405,"SOURCE CONFLICT"))</x:f>
        <x:v>0</x:v>
      </x:c>
      <x:c r="T598" s="2" t="str">
        <x:f>IF(B598="","",IF(R598&lt;&gt;"CLOSED",R598,IF(S598&gt;0,"NATIVE INPUT ISSUE",IF(M598=0,"NO HISTORY",IF(M598&lt;P598,"SMALL SAMPLE","DERIVED")))))</x:f>
      </x:c>
      <x:c r="U598" s="2" t="str">
        <x:f>IF(B598="","","NativeTable; "&amp;E598&amp;"; "&amp;F598&amp;"; "&amp;G598&amp;"; "&amp;H598&amp;"; before "&amp;TEXT(J598,"yyyy-mm-dd")&amp;IF(I598="RECENT","; from "&amp;TEXT(L598,"yyyy-mm-dd"),""))</x:f>
      </x:c>
    </x:row>
    <x:row r="599" ht="21" customHeight="1">
      <x:c r="A599" s="2" t="n">
        <x:v>50</x:v>
      </x:c>
      <x:c r="B599" s="2" t="str">
        <x:f>IF('Input_Meci'!A55="","",'Input_Meci'!A55)</x:f>
      </x:c>
      <x:c r="C599" s="2" t="str">
        <x:v>A</x:v>
      </x:c>
      <x:c r="D599" s="2" t="str">
        <x:v>CURRENT</x:v>
      </x:c>
      <x:c r="E599" s="2" t="str">
        <x:f>IF(B599="","",'Input_Meci'!B55)</x:f>
      </x:c>
      <x:c r="F599" s="2" t="str">
        <x:f>IF(B599="","",IF('Input_Meci'!C55="","",'Input_Meci'!C55))</x:f>
      </x:c>
      <x:c r="G599" s="2" t="str">
        <x:f>IF(B599="","",'Input_Meci'!E55)</x:f>
      </x:c>
      <x:c r="H599" s="2" t="str">
        <x:v>ANY</x:v>
      </x:c>
      <x:c r="I599" s="2" t="str">
        <x:v>RECENT</x:v>
      </x:c>
      <x:c r="J599" s="9" t="n">
        <x:f>IF(AND(B599&lt;&gt;"",ISNUMBER('Input_Meci'!G55)),INT('Input_Meci'!G55),0)</x:f>
        <x:v>0</x:v>
      </x:c>
      <x:c r="K599" s="2" t="n">
        <x:f>IF(OR(B599="",F599=""),0,IF(H599="HOME",COUNTIFS('Istoric_Nativ'!$B$6:$B$405,E599,'Istoric_Nativ'!$C$6:$C$405,F599,'Istoric_Nativ'!$E$6:$E$405,G599,'Istoric_Nativ'!$D$6:$D$405,"&lt;"&amp;J599,'Istoric_Nativ'!$P$6:$P$405,1),IF(H599="AWAY",COUNTIFS('Istoric_Nativ'!$B$6:$B$405,E599,'Istoric_Nativ'!$C$6:$C$405,F599,'Istoric_Nativ'!$F$6:$F$405,G599,'Istoric_Nativ'!$D$6:$D$405,"&lt;"&amp;J599,'Istoric_Nativ'!$P$6:$P$405,1),COUNTIFS('Istoric_Nativ'!$B$6:$B$405,E599,'Istoric_Nativ'!$C$6:$C$405,F599,'Istoric_Nativ'!$E$6:$E$405,G599,'Istoric_Nativ'!$D$6:$D$405,"&lt;"&amp;J599,'Istoric_Nativ'!$P$6:$P$405,1)+COUNTIFS('Istoric_Nativ'!$B$6:$B$405,E599,'Istoric_Nativ'!$C$6:$C$405,F599,'Istoric_Nativ'!$F$6:$F$405,G599,'Istoric_Nativ'!$D$6:$D$405,"&lt;"&amp;J599,'Istoric_Nativ'!$P$6:$P$405,1))))</x:f>
        <x:v>0</x:v>
      </x:c>
      <x:c r="L599" s="17" t="n">
        <x:f>IF(AND(B599&lt;&gt;"",I599="RECENT",K599&gt;0),LARGE(_xlfn._xlws.FILTER('Istoric_Nativ'!$D$6:$D$405,('Istoric_Nativ'!$B$6:$B$405=E599)*('Istoric_Nativ'!$C$6:$C$405=F599)*('Istoric_Nativ'!$P$6:$P$405=1)*('Istoric_Nativ'!$D$6:$D$405&lt;J599)*((('Istoric_Nativ'!$E$6:$E$405=G599)+('Istoric_Nativ'!$F$6:$F$405=G599))&gt;0)),MIN('Config_v6'!$B$54,K599)),0)</x:f>
        <x:v>0</x:v>
      </x:c>
      <x:c r="M599" s="2" t="n">
        <x:f>IF(OR(B599="",F599=""),0,IF(H599="HOME",COUNTIFS('Istoric_Nativ'!$B$6:$B$405,E599,'Istoric_Nativ'!$C$6:$C$405,F599,'Istoric_Nativ'!$E$6:$E$405,G599,'Istoric_Nativ'!$D$6:$D$405,"&lt;"&amp;J599,'Istoric_Nativ'!$P$6:$P$405,1,'Istoric_Nativ'!$D$6:$D$405,"&gt;="&amp;L599),IF(H599="AWAY",COUNTIFS('Istoric_Nativ'!$B$6:$B$405,E599,'Istoric_Nativ'!$C$6:$C$405,F599,'Istoric_Nativ'!$F$6:$F$405,G599,'Istoric_Nativ'!$D$6:$D$405,"&lt;"&amp;J599,'Istoric_Nativ'!$P$6:$P$405,1,'Istoric_Nativ'!$D$6:$D$405,"&gt;="&amp;L599),COUNTIFS('Istoric_Nativ'!$B$6:$B$405,E599,'Istoric_Nativ'!$C$6:$C$405,F599,'Istoric_Nativ'!$E$6:$E$405,G599,'Istoric_Nativ'!$D$6:$D$405,"&lt;"&amp;J599,'Istoric_Nativ'!$P$6:$P$405,1,'Istoric_Nativ'!$D$6:$D$405,"&gt;="&amp;L599)+COUNTIFS('Istoric_Nativ'!$B$6:$B$405,E599,'Istoric_Nativ'!$C$6:$C$405,F599,'Istoric_Nativ'!$F$6:$F$405,G599,'Istoric_Nativ'!$D$6:$D$405,"&lt;"&amp;J599,'Istoric_Nativ'!$P$6:$P$405,1,'Istoric_Nativ'!$D$6:$D$405,"&gt;="&amp;L599))))</x:f>
        <x:v>0</x:v>
      </x:c>
      <x:c r="N599" s="11" t="str">
        <x:f>IF(M599=0,"",IF(H599="HOME",SUMIFS('Istoric_Nativ'!$G$6:$G$405,'Istoric_Nativ'!$B$6:$B$405,E599,'Istoric_Nativ'!$C$6:$C$405,F599,'Istoric_Nativ'!$E$6:$E$405,G599,'Istoric_Nativ'!$D$6:$D$405,"&lt;"&amp;J599,'Istoric_Nativ'!$P$6:$P$405,1,'Istoric_Nativ'!$D$6:$D$405,"&gt;="&amp;L599),IF(H599="AWAY",SUMIFS('Istoric_Nativ'!$H$6:$H$405,'Istoric_Nativ'!$B$6:$B$405,E599,'Istoric_Nativ'!$C$6:$C$405,F599,'Istoric_Nativ'!$F$6:$F$405,G599,'Istoric_Nativ'!$D$6:$D$405,"&lt;"&amp;J599,'Istoric_Nativ'!$P$6:$P$405,1,'Istoric_Nativ'!$D$6:$D$405,"&gt;="&amp;L599),SUMIFS('Istoric_Nativ'!$G$6:$G$405,'Istoric_Nativ'!$B$6:$B$405,E599,'Istoric_Nativ'!$C$6:$C$405,F599,'Istoric_Nativ'!$E$6:$E$405,G599,'Istoric_Nativ'!$D$6:$D$405,"&lt;"&amp;J599,'Istoric_Nativ'!$P$6:$P$405,1,'Istoric_Nativ'!$D$6:$D$405,"&gt;="&amp;L599)+SUMIFS('Istoric_Nativ'!$H$6:$H$405,'Istoric_Nativ'!$B$6:$B$405,E599,'Istoric_Nativ'!$C$6:$C$405,F599,'Istoric_Nativ'!$F$6:$F$405,G599,'Istoric_Nativ'!$D$6:$D$405,"&lt;"&amp;J599,'Istoric_Nativ'!$P$6:$P$405,1,'Istoric_Nativ'!$D$6:$D$405,"&gt;="&amp;L599)))/M599)</x:f>
      </x:c>
      <x:c r="O599" s="11" t="str">
        <x:f>IF(M599=0,"",IF(H599="HOME",SUMIFS('Istoric_Nativ'!$H$6:$H$405,'Istoric_Nativ'!$B$6:$B$405,E599,'Istoric_Nativ'!$C$6:$C$405,F599,'Istoric_Nativ'!$E$6:$E$405,G599,'Istoric_Nativ'!$D$6:$D$405,"&lt;"&amp;J599,'Istoric_Nativ'!$P$6:$P$405,1,'Istoric_Nativ'!$D$6:$D$405,"&gt;="&amp;L599),IF(H599="AWAY",SUMIFS('Istoric_Nativ'!$G$6:$G$405,'Istoric_Nativ'!$B$6:$B$405,E599,'Istoric_Nativ'!$C$6:$C$405,F599,'Istoric_Nativ'!$F$6:$F$405,G599,'Istoric_Nativ'!$D$6:$D$405,"&lt;"&amp;J599,'Istoric_Nativ'!$P$6:$P$405,1,'Istoric_Nativ'!$D$6:$D$405,"&gt;="&amp;L599),SUMIFS('Istoric_Nativ'!$H$6:$H$405,'Istoric_Nativ'!$B$6:$B$405,E599,'Istoric_Nativ'!$C$6:$C$405,F599,'Istoric_Nativ'!$E$6:$E$405,G599,'Istoric_Nativ'!$D$6:$D$405,"&lt;"&amp;J599,'Istoric_Nativ'!$P$6:$P$405,1,'Istoric_Nativ'!$D$6:$D$405,"&gt;="&amp;L599)+SUMIFS('Istoric_Nativ'!$G$6:$G$405,'Istoric_Nativ'!$B$6:$B$405,E599,'Istoric_Nativ'!$C$6:$C$405,F599,'Istoric_Nativ'!$F$6:$F$405,G599,'Istoric_Nativ'!$D$6:$D$405,"&lt;"&amp;J599,'Istoric_Nativ'!$P$6:$P$405,1,'Istoric_Nativ'!$D$6:$D$405,"&gt;="&amp;L599)))/M599)</x:f>
      </x:c>
      <x:c r="P599" s="2" t="n">
        <x:f>'Config_v6'!$B$9</x:f>
        <x:v>3</x:v>
      </x:c>
      <x:c r="Q599" s="2" t="n">
        <x:f>IF(OR(B599="",F599=""),0,IFERROR(MATCH(E599&amp;"|"&amp;F599,SourceTable[Source_Key],0),0))</x:f>
        <x:v>0</x:v>
      </x:c>
      <x:c r="R599" s="2" t="str">
        <x:f>IF(B599="","",IF(F599="","UNUSED",IF(Q599=0,"NOT CHECKED",IF(COUNTIF(SourceTable[Source_Key],E599&amp;"|"&amp;F599)&lt;&gt;1,"SOURCE CONFLICT",IF(NOT(OR(INDEX(SourceTable[Status],MAX(1,Q599))="IMPORTED",INDEX(SourceTable[Status],MAX(1,Q599))="PARTIAL",INDEX(SourceTable[Status],MAX(1,Q599))="SOURCE CONFLICT")),"ACCESS BLOCKED",IF(OR(INDEX(SourceTable[Coverage],Q599)&lt;&gt;"FULL SEASON EXPORT",INDEX(SourceTable[URL],Q599)="",INDEX(SourceTable[SHA256],Q599)=""),"EVIDENCE INCOMPLETE",IF(AND('Input_Meci'!H55="LIVE",INDEX(SourceTable[Retrieved_UTC],Q599)&gt;'Input_Meci'!G55),"POST CUTOFF","CLOSED")))))))</x:f>
      </x:c>
      <x:c r="S599" s="2" t="n">
        <x:f>IF(OR(B599="",F599=""),0,COUNTIFS('Istoric_Nativ'!$B$6:$B$405,E599,'Istoric_Nativ'!$C$6:$C$405,F599,'Istoric_Nativ'!$E$6:$E$405,G599,'Istoric_Nativ'!$D$6:$D$405,"&lt;"&amp;J599,'Istoric_Nativ'!$O$6:$O$405,"INVALID")+COUNTIFS('Istoric_Nativ'!$B$6:$B$405,E599,'Istoric_Nativ'!$C$6:$C$405,F599,'Istoric_Nativ'!$E$6:$E$405,G599,'Istoric_Nativ'!$O$6:$O$405,"INVALID",'Istoric_Nativ'!$D$6:$D$405,"*")+COUNTIFS('Istoric_Nativ'!$B$6:$B$405,E599,'Istoric_Nativ'!$C$6:$C$405,F599,'Istoric_Nativ'!$E$6:$E$405,G599,'Istoric_Nativ'!$D$6:$D$405,"&lt;"&amp;J599,'Istoric_Nativ'!$O$6:$O$405,"SOURCE CONFLICT")+COUNTIFS('Istoric_Nativ'!$B$6:$B$405,E599,'Istoric_Nativ'!$C$6:$C$405,F599,'Istoric_Nativ'!$F$6:$F$405,G599,'Istoric_Nativ'!$D$6:$D$405,"&lt;"&amp;J599,'Istoric_Nativ'!$O$6:$O$405,"INVALID")+COUNTIFS('Istoric_Nativ'!$B$6:$B$405,E599,'Istoric_Nativ'!$C$6:$C$405,F599,'Istoric_Nativ'!$F$6:$F$405,G599,'Istoric_Nativ'!$O$6:$O$405,"INVALID",'Istoric_Nativ'!$D$6:$D$405,"*")+COUNTIFS('Istoric_Nativ'!$B$6:$B$405,E599,'Istoric_Nativ'!$C$6:$C$405,F599,'Istoric_Nativ'!$F$6:$F$405,G599,'Istoric_Nativ'!$D$6:$D$405,"&lt;"&amp;J599,'Istoric_Nativ'!$O$6:$O$405,"SOURCE CONFLICT"))</x:f>
        <x:v>0</x:v>
      </x:c>
      <x:c r="T599" s="2" t="str">
        <x:f>IF(B599="","",IF(R599&lt;&gt;"CLOSED",R599,IF(S599&gt;0,"NATIVE INPUT ISSUE",IF(M599=0,"NO HISTORY",IF(M599&lt;P599,"SMALL SAMPLE","DERIVED")))))</x:f>
      </x:c>
      <x:c r="U599" s="2" t="str">
        <x:f>IF(B599="","","NativeTable; "&amp;E599&amp;"; "&amp;F599&amp;"; "&amp;G599&amp;"; "&amp;H599&amp;"; before "&amp;TEXT(J599,"yyyy-mm-dd")&amp;IF(I599="RECENT","; from "&amp;TEXT(L599,"yyyy-mm-dd"),""))</x:f>
      </x:c>
    </x:row>
    <x:row r="600" ht="21" customHeight="1">
      <x:c r="A600" s="2" t="n">
        <x:v>50</x:v>
      </x:c>
      <x:c r="B600" s="2" t="str">
        <x:f>IF('Input_Meci'!A55="","",'Input_Meci'!A55)</x:f>
      </x:c>
      <x:c r="C600" s="2" t="str">
        <x:v>H</x:v>
      </x:c>
      <x:c r="D600" s="2" t="str">
        <x:v>PRIOR</x:v>
      </x:c>
      <x:c r="E600" s="2" t="str">
        <x:f>IF(B600="","",'Input_Meci'!B55)</x:f>
      </x:c>
      <x:c r="F600" s="2" t="str">
        <x:f>IF(B600="","",IF('Input_Meci'!K55="","",'Input_Meci'!K55))</x:f>
      </x:c>
      <x:c r="G600" s="2" t="str">
        <x:f>IF(B600="","",'Input_Meci'!D55)</x:f>
      </x:c>
      <x:c r="H600" s="2" t="str">
        <x:v>ANY</x:v>
      </x:c>
      <x:c r="I600" s="2" t="str">
        <x:v>SEASON</x:v>
      </x:c>
      <x:c r="J600" s="9" t="n">
        <x:f>IF(AND(B600&lt;&gt;"",ISNUMBER('Input_Meci'!G55)),INT('Input_Meci'!G55),0)</x:f>
        <x:v>0</x:v>
      </x:c>
      <x:c r="K600" s="2" t="n">
        <x:f>IF(OR(B600="",F600=""),0,IF(H600="HOME",COUNTIFS('Istoric_Nativ'!$B$6:$B$405,E600,'Istoric_Nativ'!$C$6:$C$405,F600,'Istoric_Nativ'!$E$6:$E$405,G600,'Istoric_Nativ'!$D$6:$D$405,"&lt;"&amp;J600,'Istoric_Nativ'!$P$6:$P$405,1),IF(H600="AWAY",COUNTIFS('Istoric_Nativ'!$B$6:$B$405,E600,'Istoric_Nativ'!$C$6:$C$405,F600,'Istoric_Nativ'!$F$6:$F$405,G600,'Istoric_Nativ'!$D$6:$D$405,"&lt;"&amp;J600,'Istoric_Nativ'!$P$6:$P$405,1),COUNTIFS('Istoric_Nativ'!$B$6:$B$405,E600,'Istoric_Nativ'!$C$6:$C$405,F600,'Istoric_Nativ'!$E$6:$E$405,G600,'Istoric_Nativ'!$D$6:$D$405,"&lt;"&amp;J600,'Istoric_Nativ'!$P$6:$P$405,1)+COUNTIFS('Istoric_Nativ'!$B$6:$B$405,E600,'Istoric_Nativ'!$C$6:$C$405,F600,'Istoric_Nativ'!$F$6:$F$405,G600,'Istoric_Nativ'!$D$6:$D$405,"&lt;"&amp;J600,'Istoric_Nativ'!$P$6:$P$405,1))))</x:f>
        <x:v>0</x:v>
      </x:c>
      <x:c r="L600" s="17" t="n">
        <x:f>IF(AND(B600&lt;&gt;"",I600="RECENT",K600&gt;0),LARGE(_xlfn._xlws.FILTER('Istoric_Nativ'!$D$6:$D$405,('Istoric_Nativ'!$B$6:$B$405=E600)*('Istoric_Nativ'!$C$6:$C$405=F600)*('Istoric_Nativ'!$P$6:$P$405=1)*('Istoric_Nativ'!$D$6:$D$405&lt;J600)*((('Istoric_Nativ'!$E$6:$E$405=G600)+('Istoric_Nativ'!$F$6:$F$405=G600))&gt;0)),MIN('Config_v6'!$B$54,K600)),0)</x:f>
        <x:v>0</x:v>
      </x:c>
      <x:c r="M600" s="2" t="n">
        <x:f>IF(OR(B600="",F600=""),0,IF(H600="HOME",COUNTIFS('Istoric_Nativ'!$B$6:$B$405,E600,'Istoric_Nativ'!$C$6:$C$405,F600,'Istoric_Nativ'!$E$6:$E$405,G600,'Istoric_Nativ'!$D$6:$D$405,"&lt;"&amp;J600,'Istoric_Nativ'!$P$6:$P$405,1,'Istoric_Nativ'!$D$6:$D$405,"&gt;="&amp;L600),IF(H600="AWAY",COUNTIFS('Istoric_Nativ'!$B$6:$B$405,E600,'Istoric_Nativ'!$C$6:$C$405,F600,'Istoric_Nativ'!$F$6:$F$405,G600,'Istoric_Nativ'!$D$6:$D$405,"&lt;"&amp;J600,'Istoric_Nativ'!$P$6:$P$405,1,'Istoric_Nativ'!$D$6:$D$405,"&gt;="&amp;L600),COUNTIFS('Istoric_Nativ'!$B$6:$B$405,E600,'Istoric_Nativ'!$C$6:$C$405,F600,'Istoric_Nativ'!$E$6:$E$405,G600,'Istoric_Nativ'!$D$6:$D$405,"&lt;"&amp;J600,'Istoric_Nativ'!$P$6:$P$405,1,'Istoric_Nativ'!$D$6:$D$405,"&gt;="&amp;L600)+COUNTIFS('Istoric_Nativ'!$B$6:$B$405,E600,'Istoric_Nativ'!$C$6:$C$405,F600,'Istoric_Nativ'!$F$6:$F$405,G600,'Istoric_Nativ'!$D$6:$D$405,"&lt;"&amp;J600,'Istoric_Nativ'!$P$6:$P$405,1,'Istoric_Nativ'!$D$6:$D$405,"&gt;="&amp;L600))))</x:f>
        <x:v>0</x:v>
      </x:c>
      <x:c r="N600" s="11" t="str">
        <x:f>IF(M600=0,"",IF(H600="HOME",SUMIFS('Istoric_Nativ'!$G$6:$G$405,'Istoric_Nativ'!$B$6:$B$405,E600,'Istoric_Nativ'!$C$6:$C$405,F600,'Istoric_Nativ'!$E$6:$E$405,G600,'Istoric_Nativ'!$D$6:$D$405,"&lt;"&amp;J600,'Istoric_Nativ'!$P$6:$P$405,1,'Istoric_Nativ'!$D$6:$D$405,"&gt;="&amp;L600),IF(H600="AWAY",SUMIFS('Istoric_Nativ'!$H$6:$H$405,'Istoric_Nativ'!$B$6:$B$405,E600,'Istoric_Nativ'!$C$6:$C$405,F600,'Istoric_Nativ'!$F$6:$F$405,G600,'Istoric_Nativ'!$D$6:$D$405,"&lt;"&amp;J600,'Istoric_Nativ'!$P$6:$P$405,1,'Istoric_Nativ'!$D$6:$D$405,"&gt;="&amp;L600),SUMIFS('Istoric_Nativ'!$G$6:$G$405,'Istoric_Nativ'!$B$6:$B$405,E600,'Istoric_Nativ'!$C$6:$C$405,F600,'Istoric_Nativ'!$E$6:$E$405,G600,'Istoric_Nativ'!$D$6:$D$405,"&lt;"&amp;J600,'Istoric_Nativ'!$P$6:$P$405,1,'Istoric_Nativ'!$D$6:$D$405,"&gt;="&amp;L600)+SUMIFS('Istoric_Nativ'!$H$6:$H$405,'Istoric_Nativ'!$B$6:$B$405,E600,'Istoric_Nativ'!$C$6:$C$405,F600,'Istoric_Nativ'!$F$6:$F$405,G600,'Istoric_Nativ'!$D$6:$D$405,"&lt;"&amp;J600,'Istoric_Nativ'!$P$6:$P$405,1,'Istoric_Nativ'!$D$6:$D$405,"&gt;="&amp;L600)))/M600)</x:f>
      </x:c>
      <x:c r="O600" s="11" t="str">
        <x:f>IF(M600=0,"",IF(H600="HOME",SUMIFS('Istoric_Nativ'!$H$6:$H$405,'Istoric_Nativ'!$B$6:$B$405,E600,'Istoric_Nativ'!$C$6:$C$405,F600,'Istoric_Nativ'!$E$6:$E$405,G600,'Istoric_Nativ'!$D$6:$D$405,"&lt;"&amp;J600,'Istoric_Nativ'!$P$6:$P$405,1,'Istoric_Nativ'!$D$6:$D$405,"&gt;="&amp;L600),IF(H600="AWAY",SUMIFS('Istoric_Nativ'!$G$6:$G$405,'Istoric_Nativ'!$B$6:$B$405,E600,'Istoric_Nativ'!$C$6:$C$405,F600,'Istoric_Nativ'!$F$6:$F$405,G600,'Istoric_Nativ'!$D$6:$D$405,"&lt;"&amp;J600,'Istoric_Nativ'!$P$6:$P$405,1,'Istoric_Nativ'!$D$6:$D$405,"&gt;="&amp;L600),SUMIFS('Istoric_Nativ'!$H$6:$H$405,'Istoric_Nativ'!$B$6:$B$405,E600,'Istoric_Nativ'!$C$6:$C$405,F600,'Istoric_Nativ'!$E$6:$E$405,G600,'Istoric_Nativ'!$D$6:$D$405,"&lt;"&amp;J600,'Istoric_Nativ'!$P$6:$P$405,1,'Istoric_Nativ'!$D$6:$D$405,"&gt;="&amp;L600)+SUMIFS('Istoric_Nativ'!$G$6:$G$405,'Istoric_Nativ'!$B$6:$B$405,E600,'Istoric_Nativ'!$C$6:$C$405,F600,'Istoric_Nativ'!$F$6:$F$405,G600,'Istoric_Nativ'!$D$6:$D$405,"&lt;"&amp;J600,'Istoric_Nativ'!$P$6:$P$405,1,'Istoric_Nativ'!$D$6:$D$405,"&gt;="&amp;L600)))/M600)</x:f>
      </x:c>
      <x:c r="P600" s="2" t="n">
        <x:f>'Config_v6'!$B$7</x:f>
        <x:v>10</x:v>
      </x:c>
      <x:c r="Q600" s="2" t="n">
        <x:f>IF(OR(B600="",F600=""),0,IFERROR(MATCH(E600&amp;"|"&amp;F600,SourceTable[Source_Key],0),0))</x:f>
        <x:v>0</x:v>
      </x:c>
      <x:c r="R600" s="2" t="str">
        <x:f>IF(B600="","",IF(F600="","UNUSED",IF(Q600=0,"NOT CHECKED",IF(COUNTIF(SourceTable[Source_Key],E600&amp;"|"&amp;F600)&lt;&gt;1,"SOURCE CONFLICT",IF(NOT(OR(INDEX(SourceTable[Status],MAX(1,Q600))="IMPORTED",INDEX(SourceTable[Status],MAX(1,Q600))="PARTIAL",INDEX(SourceTable[Status],MAX(1,Q600))="SOURCE CONFLICT")),"ACCESS BLOCKED",IF(OR(INDEX(SourceTable[Coverage],Q600)&lt;&gt;"FULL SEASON EXPORT",INDEX(SourceTable[URL],Q600)="",INDEX(SourceTable[SHA256],Q600)=""),"EVIDENCE INCOMPLETE",IF(AND('Input_Meci'!H55="LIVE",INDEX(SourceTable[Retrieved_UTC],Q600)&gt;'Input_Meci'!G55),"POST CUTOFF","CLOSED")))))))</x:f>
      </x:c>
      <x:c r="S600" s="2" t="n">
        <x:f>IF(OR(B600="",F600=""),0,COUNTIFS('Istoric_Nativ'!$B$6:$B$405,E600,'Istoric_Nativ'!$C$6:$C$405,F600,'Istoric_Nativ'!$E$6:$E$405,G600,'Istoric_Nativ'!$D$6:$D$405,"&lt;"&amp;J600,'Istoric_Nativ'!$O$6:$O$405,"INVALID")+COUNTIFS('Istoric_Nativ'!$B$6:$B$405,E600,'Istoric_Nativ'!$C$6:$C$405,F600,'Istoric_Nativ'!$E$6:$E$405,G600,'Istoric_Nativ'!$O$6:$O$405,"INVALID",'Istoric_Nativ'!$D$6:$D$405,"*")+COUNTIFS('Istoric_Nativ'!$B$6:$B$405,E600,'Istoric_Nativ'!$C$6:$C$405,F600,'Istoric_Nativ'!$E$6:$E$405,G600,'Istoric_Nativ'!$D$6:$D$405,"&lt;"&amp;J600,'Istoric_Nativ'!$O$6:$O$405,"SOURCE CONFLICT")+COUNTIFS('Istoric_Nativ'!$B$6:$B$405,E600,'Istoric_Nativ'!$C$6:$C$405,F600,'Istoric_Nativ'!$F$6:$F$405,G600,'Istoric_Nativ'!$D$6:$D$405,"&lt;"&amp;J600,'Istoric_Nativ'!$O$6:$O$405,"INVALID")+COUNTIFS('Istoric_Nativ'!$B$6:$B$405,E600,'Istoric_Nativ'!$C$6:$C$405,F600,'Istoric_Nativ'!$F$6:$F$405,G600,'Istoric_Nativ'!$O$6:$O$405,"INVALID",'Istoric_Nativ'!$D$6:$D$405,"*")+COUNTIFS('Istoric_Nativ'!$B$6:$B$405,E600,'Istoric_Nativ'!$C$6:$C$405,F600,'Istoric_Nativ'!$F$6:$F$405,G600,'Istoric_Nativ'!$D$6:$D$405,"&lt;"&amp;J600,'Istoric_Nativ'!$O$6:$O$405,"SOURCE CONFLICT"))</x:f>
        <x:v>0</x:v>
      </x:c>
      <x:c r="T600" s="2" t="str">
        <x:f>IF(B600="","",IF(R600&lt;&gt;"CLOSED",R600,IF(S600&gt;0,"NATIVE INPUT ISSUE",IF(M600=0,"NO HISTORY",IF(M600&lt;P600,"SMALL SAMPLE","DERIVED")))))</x:f>
      </x:c>
      <x:c r="U600" s="2" t="str">
        <x:f>IF(B600="","","NativeTable; "&amp;E600&amp;"; "&amp;F600&amp;"; "&amp;G600&amp;"; "&amp;H600&amp;"; before "&amp;TEXT(J600,"yyyy-mm-dd")&amp;IF(I600="RECENT","; from "&amp;TEXT(L600,"yyyy-mm-dd"),""))</x:f>
      </x:c>
    </x:row>
    <x:row r="601" ht="21" customHeight="1">
      <x:c r="A601" s="2" t="n">
        <x:v>50</x:v>
      </x:c>
      <x:c r="B601" s="2" t="str">
        <x:f>IF('Input_Meci'!A55="","",'Input_Meci'!A55)</x:f>
      </x:c>
      <x:c r="C601" s="2" t="str">
        <x:v>H</x:v>
      </x:c>
      <x:c r="D601" s="2" t="str">
        <x:v>PRIOR</x:v>
      </x:c>
      <x:c r="E601" s="2" t="str">
        <x:f>IF(B601="","",'Input_Meci'!B55)</x:f>
      </x:c>
      <x:c r="F601" s="2" t="str">
        <x:f>IF(B601="","",IF('Input_Meci'!K55="","",'Input_Meci'!K55))</x:f>
      </x:c>
      <x:c r="G601" s="2" t="str">
        <x:f>IF(B601="","",'Input_Meci'!D55)</x:f>
      </x:c>
      <x:c r="H601" s="2" t="str">
        <x:v>HOME</x:v>
      </x:c>
      <x:c r="I601" s="2" t="str">
        <x:v>HA</x:v>
      </x:c>
      <x:c r="J601" s="9" t="n">
        <x:f>IF(AND(B601&lt;&gt;"",ISNUMBER('Input_Meci'!G55)),INT('Input_Meci'!G55),0)</x:f>
        <x:v>0</x:v>
      </x:c>
      <x:c r="K601" s="2" t="n">
        <x:f>IF(OR(B601="",F601=""),0,IF(H601="HOME",COUNTIFS('Istoric_Nativ'!$B$6:$B$405,E601,'Istoric_Nativ'!$C$6:$C$405,F601,'Istoric_Nativ'!$E$6:$E$405,G601,'Istoric_Nativ'!$D$6:$D$405,"&lt;"&amp;J601,'Istoric_Nativ'!$P$6:$P$405,1),IF(H601="AWAY",COUNTIFS('Istoric_Nativ'!$B$6:$B$405,E601,'Istoric_Nativ'!$C$6:$C$405,F601,'Istoric_Nativ'!$F$6:$F$405,G601,'Istoric_Nativ'!$D$6:$D$405,"&lt;"&amp;J601,'Istoric_Nativ'!$P$6:$P$405,1),COUNTIFS('Istoric_Nativ'!$B$6:$B$405,E601,'Istoric_Nativ'!$C$6:$C$405,F601,'Istoric_Nativ'!$E$6:$E$405,G601,'Istoric_Nativ'!$D$6:$D$405,"&lt;"&amp;J601,'Istoric_Nativ'!$P$6:$P$405,1)+COUNTIFS('Istoric_Nativ'!$B$6:$B$405,E601,'Istoric_Nativ'!$C$6:$C$405,F601,'Istoric_Nativ'!$F$6:$F$405,G601,'Istoric_Nativ'!$D$6:$D$405,"&lt;"&amp;J601,'Istoric_Nativ'!$P$6:$P$405,1))))</x:f>
        <x:v>0</x:v>
      </x:c>
      <x:c r="L601" s="17" t="n">
        <x:f>IF(AND(B601&lt;&gt;"",I601="RECENT",K601&gt;0),LARGE(_xlfn._xlws.FILTER('Istoric_Nativ'!$D$6:$D$405,('Istoric_Nativ'!$B$6:$B$405=E601)*('Istoric_Nativ'!$C$6:$C$405=F601)*('Istoric_Nativ'!$P$6:$P$405=1)*('Istoric_Nativ'!$D$6:$D$405&lt;J601)*((('Istoric_Nativ'!$E$6:$E$405=G601)+('Istoric_Nativ'!$F$6:$F$405=G601))&gt;0)),MIN('Config_v6'!$B$54,K601)),0)</x:f>
        <x:v>0</x:v>
      </x:c>
      <x:c r="M601" s="2" t="n">
        <x:f>IF(OR(B601="",F601=""),0,IF(H601="HOME",COUNTIFS('Istoric_Nativ'!$B$6:$B$405,E601,'Istoric_Nativ'!$C$6:$C$405,F601,'Istoric_Nativ'!$E$6:$E$405,G601,'Istoric_Nativ'!$D$6:$D$405,"&lt;"&amp;J601,'Istoric_Nativ'!$P$6:$P$405,1,'Istoric_Nativ'!$D$6:$D$405,"&gt;="&amp;L601),IF(H601="AWAY",COUNTIFS('Istoric_Nativ'!$B$6:$B$405,E601,'Istoric_Nativ'!$C$6:$C$405,F601,'Istoric_Nativ'!$F$6:$F$405,G601,'Istoric_Nativ'!$D$6:$D$405,"&lt;"&amp;J601,'Istoric_Nativ'!$P$6:$P$405,1,'Istoric_Nativ'!$D$6:$D$405,"&gt;="&amp;L601),COUNTIFS('Istoric_Nativ'!$B$6:$B$405,E601,'Istoric_Nativ'!$C$6:$C$405,F601,'Istoric_Nativ'!$E$6:$E$405,G601,'Istoric_Nativ'!$D$6:$D$405,"&lt;"&amp;J601,'Istoric_Nativ'!$P$6:$P$405,1,'Istoric_Nativ'!$D$6:$D$405,"&gt;="&amp;L601)+COUNTIFS('Istoric_Nativ'!$B$6:$B$405,E601,'Istoric_Nativ'!$C$6:$C$405,F601,'Istoric_Nativ'!$F$6:$F$405,G601,'Istoric_Nativ'!$D$6:$D$405,"&lt;"&amp;J601,'Istoric_Nativ'!$P$6:$P$405,1,'Istoric_Nativ'!$D$6:$D$405,"&gt;="&amp;L601))))</x:f>
        <x:v>0</x:v>
      </x:c>
      <x:c r="N601" s="11" t="str">
        <x:f>IF(M601=0,"",IF(H601="HOME",SUMIFS('Istoric_Nativ'!$G$6:$G$405,'Istoric_Nativ'!$B$6:$B$405,E601,'Istoric_Nativ'!$C$6:$C$405,F601,'Istoric_Nativ'!$E$6:$E$405,G601,'Istoric_Nativ'!$D$6:$D$405,"&lt;"&amp;J601,'Istoric_Nativ'!$P$6:$P$405,1,'Istoric_Nativ'!$D$6:$D$405,"&gt;="&amp;L601),IF(H601="AWAY",SUMIFS('Istoric_Nativ'!$H$6:$H$405,'Istoric_Nativ'!$B$6:$B$405,E601,'Istoric_Nativ'!$C$6:$C$405,F601,'Istoric_Nativ'!$F$6:$F$405,G601,'Istoric_Nativ'!$D$6:$D$405,"&lt;"&amp;J601,'Istoric_Nativ'!$P$6:$P$405,1,'Istoric_Nativ'!$D$6:$D$405,"&gt;="&amp;L601),SUMIFS('Istoric_Nativ'!$G$6:$G$405,'Istoric_Nativ'!$B$6:$B$405,E601,'Istoric_Nativ'!$C$6:$C$405,F601,'Istoric_Nativ'!$E$6:$E$405,G601,'Istoric_Nativ'!$D$6:$D$405,"&lt;"&amp;J601,'Istoric_Nativ'!$P$6:$P$405,1,'Istoric_Nativ'!$D$6:$D$405,"&gt;="&amp;L601)+SUMIFS('Istoric_Nativ'!$H$6:$H$405,'Istoric_Nativ'!$B$6:$B$405,E601,'Istoric_Nativ'!$C$6:$C$405,F601,'Istoric_Nativ'!$F$6:$F$405,G601,'Istoric_Nativ'!$D$6:$D$405,"&lt;"&amp;J601,'Istoric_Nativ'!$P$6:$P$405,1,'Istoric_Nativ'!$D$6:$D$405,"&gt;="&amp;L601)))/M601)</x:f>
      </x:c>
      <x:c r="O601" s="11" t="str">
        <x:f>IF(M601=0,"",IF(H601="HOME",SUMIFS('Istoric_Nativ'!$H$6:$H$405,'Istoric_Nativ'!$B$6:$B$405,E601,'Istoric_Nativ'!$C$6:$C$405,F601,'Istoric_Nativ'!$E$6:$E$405,G601,'Istoric_Nativ'!$D$6:$D$405,"&lt;"&amp;J601,'Istoric_Nativ'!$P$6:$P$405,1,'Istoric_Nativ'!$D$6:$D$405,"&gt;="&amp;L601),IF(H601="AWAY",SUMIFS('Istoric_Nativ'!$G$6:$G$405,'Istoric_Nativ'!$B$6:$B$405,E601,'Istoric_Nativ'!$C$6:$C$405,F601,'Istoric_Nativ'!$F$6:$F$405,G601,'Istoric_Nativ'!$D$6:$D$405,"&lt;"&amp;J601,'Istoric_Nativ'!$P$6:$P$405,1,'Istoric_Nativ'!$D$6:$D$405,"&gt;="&amp;L601),SUMIFS('Istoric_Nativ'!$H$6:$H$405,'Istoric_Nativ'!$B$6:$B$405,E601,'Istoric_Nativ'!$C$6:$C$405,F601,'Istoric_Nativ'!$E$6:$E$405,G601,'Istoric_Nativ'!$D$6:$D$405,"&lt;"&amp;J601,'Istoric_Nativ'!$P$6:$P$405,1,'Istoric_Nativ'!$D$6:$D$405,"&gt;="&amp;L601)+SUMIFS('Istoric_Nativ'!$G$6:$G$405,'Istoric_Nativ'!$B$6:$B$405,E601,'Istoric_Nativ'!$C$6:$C$405,F601,'Istoric_Nativ'!$F$6:$F$405,G601,'Istoric_Nativ'!$D$6:$D$405,"&lt;"&amp;J601,'Istoric_Nativ'!$P$6:$P$405,1,'Istoric_Nativ'!$D$6:$D$405,"&gt;="&amp;L601)))/M601)</x:f>
      </x:c>
      <x:c r="P601" s="2" t="n">
        <x:f>'Config_v6'!$B$8</x:f>
        <x:v>5</x:v>
      </x:c>
      <x:c r="Q601" s="2" t="n">
        <x:f>IF(OR(B601="",F601=""),0,IFERROR(MATCH(E601&amp;"|"&amp;F601,SourceTable[Source_Key],0),0))</x:f>
        <x:v>0</x:v>
      </x:c>
      <x:c r="R601" s="2" t="str">
        <x:f>IF(B601="","",IF(F601="","UNUSED",IF(Q601=0,"NOT CHECKED",IF(COUNTIF(SourceTable[Source_Key],E601&amp;"|"&amp;F601)&lt;&gt;1,"SOURCE CONFLICT",IF(NOT(OR(INDEX(SourceTable[Status],MAX(1,Q601))="IMPORTED",INDEX(SourceTable[Status],MAX(1,Q601))="PARTIAL",INDEX(SourceTable[Status],MAX(1,Q601))="SOURCE CONFLICT")),"ACCESS BLOCKED",IF(OR(INDEX(SourceTable[Coverage],Q601)&lt;&gt;"FULL SEASON EXPORT",INDEX(SourceTable[URL],Q601)="",INDEX(SourceTable[SHA256],Q601)=""),"EVIDENCE INCOMPLETE",IF(AND('Input_Meci'!H55="LIVE",INDEX(SourceTable[Retrieved_UTC],Q601)&gt;'Input_Meci'!G55),"POST CUTOFF","CLOSED")))))))</x:f>
      </x:c>
      <x:c r="S601" s="2" t="n">
        <x:f>IF(OR(B601="",F601=""),0,COUNTIFS('Istoric_Nativ'!$B$6:$B$405,E601,'Istoric_Nativ'!$C$6:$C$405,F601,'Istoric_Nativ'!$E$6:$E$405,G601,'Istoric_Nativ'!$D$6:$D$405,"&lt;"&amp;J601,'Istoric_Nativ'!$O$6:$O$405,"INVALID")+COUNTIFS('Istoric_Nativ'!$B$6:$B$405,E601,'Istoric_Nativ'!$C$6:$C$405,F601,'Istoric_Nativ'!$E$6:$E$405,G601,'Istoric_Nativ'!$O$6:$O$405,"INVALID",'Istoric_Nativ'!$D$6:$D$405,"*")+COUNTIFS('Istoric_Nativ'!$B$6:$B$405,E601,'Istoric_Nativ'!$C$6:$C$405,F601,'Istoric_Nativ'!$E$6:$E$405,G601,'Istoric_Nativ'!$D$6:$D$405,"&lt;"&amp;J601,'Istoric_Nativ'!$O$6:$O$405,"SOURCE CONFLICT")+COUNTIFS('Istoric_Nativ'!$B$6:$B$405,E601,'Istoric_Nativ'!$C$6:$C$405,F601,'Istoric_Nativ'!$F$6:$F$405,G601,'Istoric_Nativ'!$D$6:$D$405,"&lt;"&amp;J601,'Istoric_Nativ'!$O$6:$O$405,"INVALID")+COUNTIFS('Istoric_Nativ'!$B$6:$B$405,E601,'Istoric_Nativ'!$C$6:$C$405,F601,'Istoric_Nativ'!$F$6:$F$405,G601,'Istoric_Nativ'!$O$6:$O$405,"INVALID",'Istoric_Nativ'!$D$6:$D$405,"*")+COUNTIFS('Istoric_Nativ'!$B$6:$B$405,E601,'Istoric_Nativ'!$C$6:$C$405,F601,'Istoric_Nativ'!$F$6:$F$405,G601,'Istoric_Nativ'!$D$6:$D$405,"&lt;"&amp;J601,'Istoric_Nativ'!$O$6:$O$405,"SOURCE CONFLICT"))</x:f>
        <x:v>0</x:v>
      </x:c>
      <x:c r="T601" s="2" t="str">
        <x:f>IF(B601="","",IF(R601&lt;&gt;"CLOSED",R601,IF(S601&gt;0,"NATIVE INPUT ISSUE",IF(M601=0,"NO HISTORY",IF(M601&lt;P601,"SMALL SAMPLE","DERIVED")))))</x:f>
      </x:c>
      <x:c r="U601" s="2" t="str">
        <x:f>IF(B601="","","NativeTable; "&amp;E601&amp;"; "&amp;F601&amp;"; "&amp;G601&amp;"; "&amp;H601&amp;"; before "&amp;TEXT(J601,"yyyy-mm-dd")&amp;IF(I601="RECENT","; from "&amp;TEXT(L601,"yyyy-mm-dd"),""))</x:f>
      </x:c>
    </x:row>
    <x:row r="602" ht="21" customHeight="1">
      <x:c r="A602" s="2" t="n">
        <x:v>50</x:v>
      </x:c>
      <x:c r="B602" s="2" t="str">
        <x:f>IF('Input_Meci'!A55="","",'Input_Meci'!A55)</x:f>
      </x:c>
      <x:c r="C602" s="2" t="str">
        <x:v>H</x:v>
      </x:c>
      <x:c r="D602" s="2" t="str">
        <x:v>PRIOR</x:v>
      </x:c>
      <x:c r="E602" s="2" t="str">
        <x:f>IF(B602="","",'Input_Meci'!B55)</x:f>
      </x:c>
      <x:c r="F602" s="2" t="str">
        <x:f>IF(B602="","",IF('Input_Meci'!K55="","",'Input_Meci'!K55))</x:f>
      </x:c>
      <x:c r="G602" s="2" t="str">
        <x:f>IF(B602="","",'Input_Meci'!D55)</x:f>
      </x:c>
      <x:c r="H602" s="2" t="str">
        <x:v>ANY</x:v>
      </x:c>
      <x:c r="I602" s="2" t="str">
        <x:v>RECENT</x:v>
      </x:c>
      <x:c r="J602" s="9" t="n">
        <x:f>IF(AND(B602&lt;&gt;"",ISNUMBER('Input_Meci'!G55)),INT('Input_Meci'!G55),0)</x:f>
        <x:v>0</x:v>
      </x:c>
      <x:c r="K602" s="2" t="n">
        <x:f>IF(OR(B602="",F602=""),0,IF(H602="HOME",COUNTIFS('Istoric_Nativ'!$B$6:$B$405,E602,'Istoric_Nativ'!$C$6:$C$405,F602,'Istoric_Nativ'!$E$6:$E$405,G602,'Istoric_Nativ'!$D$6:$D$405,"&lt;"&amp;J602,'Istoric_Nativ'!$P$6:$P$405,1),IF(H602="AWAY",COUNTIFS('Istoric_Nativ'!$B$6:$B$405,E602,'Istoric_Nativ'!$C$6:$C$405,F602,'Istoric_Nativ'!$F$6:$F$405,G602,'Istoric_Nativ'!$D$6:$D$405,"&lt;"&amp;J602,'Istoric_Nativ'!$P$6:$P$405,1),COUNTIFS('Istoric_Nativ'!$B$6:$B$405,E602,'Istoric_Nativ'!$C$6:$C$405,F602,'Istoric_Nativ'!$E$6:$E$405,G602,'Istoric_Nativ'!$D$6:$D$405,"&lt;"&amp;J602,'Istoric_Nativ'!$P$6:$P$405,1)+COUNTIFS('Istoric_Nativ'!$B$6:$B$405,E602,'Istoric_Nativ'!$C$6:$C$405,F602,'Istoric_Nativ'!$F$6:$F$405,G602,'Istoric_Nativ'!$D$6:$D$405,"&lt;"&amp;J602,'Istoric_Nativ'!$P$6:$P$405,1))))</x:f>
        <x:v>0</x:v>
      </x:c>
      <x:c r="L602" s="17" t="n">
        <x:f>IF(AND(B602&lt;&gt;"",I602="RECENT",K602&gt;0),LARGE(_xlfn._xlws.FILTER('Istoric_Nativ'!$D$6:$D$405,('Istoric_Nativ'!$B$6:$B$405=E602)*('Istoric_Nativ'!$C$6:$C$405=F602)*('Istoric_Nativ'!$P$6:$P$405=1)*('Istoric_Nativ'!$D$6:$D$405&lt;J602)*((('Istoric_Nativ'!$E$6:$E$405=G602)+('Istoric_Nativ'!$F$6:$F$405=G602))&gt;0)),MIN('Config_v6'!$B$54,K602)),0)</x:f>
        <x:v>0</x:v>
      </x:c>
      <x:c r="M602" s="2" t="n">
        <x:f>IF(OR(B602="",F602=""),0,IF(H602="HOME",COUNTIFS('Istoric_Nativ'!$B$6:$B$405,E602,'Istoric_Nativ'!$C$6:$C$405,F602,'Istoric_Nativ'!$E$6:$E$405,G602,'Istoric_Nativ'!$D$6:$D$405,"&lt;"&amp;J602,'Istoric_Nativ'!$P$6:$P$405,1,'Istoric_Nativ'!$D$6:$D$405,"&gt;="&amp;L602),IF(H602="AWAY",COUNTIFS('Istoric_Nativ'!$B$6:$B$405,E602,'Istoric_Nativ'!$C$6:$C$405,F602,'Istoric_Nativ'!$F$6:$F$405,G602,'Istoric_Nativ'!$D$6:$D$405,"&lt;"&amp;J602,'Istoric_Nativ'!$P$6:$P$405,1,'Istoric_Nativ'!$D$6:$D$405,"&gt;="&amp;L602),COUNTIFS('Istoric_Nativ'!$B$6:$B$405,E602,'Istoric_Nativ'!$C$6:$C$405,F602,'Istoric_Nativ'!$E$6:$E$405,G602,'Istoric_Nativ'!$D$6:$D$405,"&lt;"&amp;J602,'Istoric_Nativ'!$P$6:$P$405,1,'Istoric_Nativ'!$D$6:$D$405,"&gt;="&amp;L602)+COUNTIFS('Istoric_Nativ'!$B$6:$B$405,E602,'Istoric_Nativ'!$C$6:$C$405,F602,'Istoric_Nativ'!$F$6:$F$405,G602,'Istoric_Nativ'!$D$6:$D$405,"&lt;"&amp;J602,'Istoric_Nativ'!$P$6:$P$405,1,'Istoric_Nativ'!$D$6:$D$405,"&gt;="&amp;L602))))</x:f>
        <x:v>0</x:v>
      </x:c>
      <x:c r="N602" s="11" t="str">
        <x:f>IF(M602=0,"",IF(H602="HOME",SUMIFS('Istoric_Nativ'!$G$6:$G$405,'Istoric_Nativ'!$B$6:$B$405,E602,'Istoric_Nativ'!$C$6:$C$405,F602,'Istoric_Nativ'!$E$6:$E$405,G602,'Istoric_Nativ'!$D$6:$D$405,"&lt;"&amp;J602,'Istoric_Nativ'!$P$6:$P$405,1,'Istoric_Nativ'!$D$6:$D$405,"&gt;="&amp;L602),IF(H602="AWAY",SUMIFS('Istoric_Nativ'!$H$6:$H$405,'Istoric_Nativ'!$B$6:$B$405,E602,'Istoric_Nativ'!$C$6:$C$405,F602,'Istoric_Nativ'!$F$6:$F$405,G602,'Istoric_Nativ'!$D$6:$D$405,"&lt;"&amp;J602,'Istoric_Nativ'!$P$6:$P$405,1,'Istoric_Nativ'!$D$6:$D$405,"&gt;="&amp;L602),SUMIFS('Istoric_Nativ'!$G$6:$G$405,'Istoric_Nativ'!$B$6:$B$405,E602,'Istoric_Nativ'!$C$6:$C$405,F602,'Istoric_Nativ'!$E$6:$E$405,G602,'Istoric_Nativ'!$D$6:$D$405,"&lt;"&amp;J602,'Istoric_Nativ'!$P$6:$P$405,1,'Istoric_Nativ'!$D$6:$D$405,"&gt;="&amp;L602)+SUMIFS('Istoric_Nativ'!$H$6:$H$405,'Istoric_Nativ'!$B$6:$B$405,E602,'Istoric_Nativ'!$C$6:$C$405,F602,'Istoric_Nativ'!$F$6:$F$405,G602,'Istoric_Nativ'!$D$6:$D$405,"&lt;"&amp;J602,'Istoric_Nativ'!$P$6:$P$405,1,'Istoric_Nativ'!$D$6:$D$405,"&gt;="&amp;L602)))/M602)</x:f>
      </x:c>
      <x:c r="O602" s="11" t="str">
        <x:f>IF(M602=0,"",IF(H602="HOME",SUMIFS('Istoric_Nativ'!$H$6:$H$405,'Istoric_Nativ'!$B$6:$B$405,E602,'Istoric_Nativ'!$C$6:$C$405,F602,'Istoric_Nativ'!$E$6:$E$405,G602,'Istoric_Nativ'!$D$6:$D$405,"&lt;"&amp;J602,'Istoric_Nativ'!$P$6:$P$405,1,'Istoric_Nativ'!$D$6:$D$405,"&gt;="&amp;L602),IF(H602="AWAY",SUMIFS('Istoric_Nativ'!$G$6:$G$405,'Istoric_Nativ'!$B$6:$B$405,E602,'Istoric_Nativ'!$C$6:$C$405,F602,'Istoric_Nativ'!$F$6:$F$405,G602,'Istoric_Nativ'!$D$6:$D$405,"&lt;"&amp;J602,'Istoric_Nativ'!$P$6:$P$405,1,'Istoric_Nativ'!$D$6:$D$405,"&gt;="&amp;L602),SUMIFS('Istoric_Nativ'!$H$6:$H$405,'Istoric_Nativ'!$B$6:$B$405,E602,'Istoric_Nativ'!$C$6:$C$405,F602,'Istoric_Nativ'!$E$6:$E$405,G602,'Istoric_Nativ'!$D$6:$D$405,"&lt;"&amp;J602,'Istoric_Nativ'!$P$6:$P$405,1,'Istoric_Nativ'!$D$6:$D$405,"&gt;="&amp;L602)+SUMIFS('Istoric_Nativ'!$G$6:$G$405,'Istoric_Nativ'!$B$6:$B$405,E602,'Istoric_Nativ'!$C$6:$C$405,F602,'Istoric_Nativ'!$F$6:$F$405,G602,'Istoric_Nativ'!$D$6:$D$405,"&lt;"&amp;J602,'Istoric_Nativ'!$P$6:$P$405,1,'Istoric_Nativ'!$D$6:$D$405,"&gt;="&amp;L602)))/M602)</x:f>
      </x:c>
      <x:c r="P602" s="2" t="n">
        <x:f>'Config_v6'!$B$9</x:f>
        <x:v>3</x:v>
      </x:c>
      <x:c r="Q602" s="2" t="n">
        <x:f>IF(OR(B602="",F602=""),0,IFERROR(MATCH(E602&amp;"|"&amp;F602,SourceTable[Source_Key],0),0))</x:f>
        <x:v>0</x:v>
      </x:c>
      <x:c r="R602" s="2" t="str">
        <x:f>IF(B602="","",IF(F602="","UNUSED",IF(Q602=0,"NOT CHECKED",IF(COUNTIF(SourceTable[Source_Key],E602&amp;"|"&amp;F602)&lt;&gt;1,"SOURCE CONFLICT",IF(NOT(OR(INDEX(SourceTable[Status],MAX(1,Q602))="IMPORTED",INDEX(SourceTable[Status],MAX(1,Q602))="PARTIAL",INDEX(SourceTable[Status],MAX(1,Q602))="SOURCE CONFLICT")),"ACCESS BLOCKED",IF(OR(INDEX(SourceTable[Coverage],Q602)&lt;&gt;"FULL SEASON EXPORT",INDEX(SourceTable[URL],Q602)="",INDEX(SourceTable[SHA256],Q602)=""),"EVIDENCE INCOMPLETE",IF(AND('Input_Meci'!H55="LIVE",INDEX(SourceTable[Retrieved_UTC],Q602)&gt;'Input_Meci'!G55),"POST CUTOFF","CLOSED")))))))</x:f>
      </x:c>
      <x:c r="S602" s="2" t="n">
        <x:f>IF(OR(B602="",F602=""),0,COUNTIFS('Istoric_Nativ'!$B$6:$B$405,E602,'Istoric_Nativ'!$C$6:$C$405,F602,'Istoric_Nativ'!$E$6:$E$405,G602,'Istoric_Nativ'!$D$6:$D$405,"&lt;"&amp;J602,'Istoric_Nativ'!$O$6:$O$405,"INVALID")+COUNTIFS('Istoric_Nativ'!$B$6:$B$405,E602,'Istoric_Nativ'!$C$6:$C$405,F602,'Istoric_Nativ'!$E$6:$E$405,G602,'Istoric_Nativ'!$O$6:$O$405,"INVALID",'Istoric_Nativ'!$D$6:$D$405,"*")+COUNTIFS('Istoric_Nativ'!$B$6:$B$405,E602,'Istoric_Nativ'!$C$6:$C$405,F602,'Istoric_Nativ'!$E$6:$E$405,G602,'Istoric_Nativ'!$D$6:$D$405,"&lt;"&amp;J602,'Istoric_Nativ'!$O$6:$O$405,"SOURCE CONFLICT")+COUNTIFS('Istoric_Nativ'!$B$6:$B$405,E602,'Istoric_Nativ'!$C$6:$C$405,F602,'Istoric_Nativ'!$F$6:$F$405,G602,'Istoric_Nativ'!$D$6:$D$405,"&lt;"&amp;J602,'Istoric_Nativ'!$O$6:$O$405,"INVALID")+COUNTIFS('Istoric_Nativ'!$B$6:$B$405,E602,'Istoric_Nativ'!$C$6:$C$405,F602,'Istoric_Nativ'!$F$6:$F$405,G602,'Istoric_Nativ'!$O$6:$O$405,"INVALID",'Istoric_Nativ'!$D$6:$D$405,"*")+COUNTIFS('Istoric_Nativ'!$B$6:$B$405,E602,'Istoric_Nativ'!$C$6:$C$405,F602,'Istoric_Nativ'!$F$6:$F$405,G602,'Istoric_Nativ'!$D$6:$D$405,"&lt;"&amp;J602,'Istoric_Nativ'!$O$6:$O$405,"SOURCE CONFLICT"))</x:f>
        <x:v>0</x:v>
      </x:c>
      <x:c r="T602" s="2" t="str">
        <x:f>IF(B602="","",IF(R602&lt;&gt;"CLOSED",R602,IF(S602&gt;0,"NATIVE INPUT ISSUE",IF(M602=0,"NO HISTORY",IF(M602&lt;P602,"SMALL SAMPLE","DERIVED")))))</x:f>
      </x:c>
      <x:c r="U602" s="2" t="str">
        <x:f>IF(B602="","","NativeTable; "&amp;E602&amp;"; "&amp;F602&amp;"; "&amp;G602&amp;"; "&amp;H602&amp;"; before "&amp;TEXT(J602,"yyyy-mm-dd")&amp;IF(I602="RECENT","; from "&amp;TEXT(L602,"yyyy-mm-dd"),""))</x:f>
      </x:c>
    </x:row>
    <x:row r="603" ht="21" customHeight="1">
      <x:c r="A603" s="2" t="n">
        <x:v>50</x:v>
      </x:c>
      <x:c r="B603" s="2" t="str">
        <x:f>IF('Input_Meci'!A55="","",'Input_Meci'!A55)</x:f>
      </x:c>
      <x:c r="C603" s="2" t="str">
        <x:v>A</x:v>
      </x:c>
      <x:c r="D603" s="2" t="str">
        <x:v>PRIOR</x:v>
      </x:c>
      <x:c r="E603" s="2" t="str">
        <x:f>IF(B603="","",'Input_Meci'!B55)</x:f>
      </x:c>
      <x:c r="F603" s="2" t="str">
        <x:f>IF(B603="","",IF('Input_Meci'!K55="","",'Input_Meci'!K55))</x:f>
      </x:c>
      <x:c r="G603" s="2" t="str">
        <x:f>IF(B603="","",'Input_Meci'!E55)</x:f>
      </x:c>
      <x:c r="H603" s="2" t="str">
        <x:v>ANY</x:v>
      </x:c>
      <x:c r="I603" s="2" t="str">
        <x:v>SEASON</x:v>
      </x:c>
      <x:c r="J603" s="9" t="n">
        <x:f>IF(AND(B603&lt;&gt;"",ISNUMBER('Input_Meci'!G55)),INT('Input_Meci'!G55),0)</x:f>
        <x:v>0</x:v>
      </x:c>
      <x:c r="K603" s="2" t="n">
        <x:f>IF(OR(B603="",F603=""),0,IF(H603="HOME",COUNTIFS('Istoric_Nativ'!$B$6:$B$405,E603,'Istoric_Nativ'!$C$6:$C$405,F603,'Istoric_Nativ'!$E$6:$E$405,G603,'Istoric_Nativ'!$D$6:$D$405,"&lt;"&amp;J603,'Istoric_Nativ'!$P$6:$P$405,1),IF(H603="AWAY",COUNTIFS('Istoric_Nativ'!$B$6:$B$405,E603,'Istoric_Nativ'!$C$6:$C$405,F603,'Istoric_Nativ'!$F$6:$F$405,G603,'Istoric_Nativ'!$D$6:$D$405,"&lt;"&amp;J603,'Istoric_Nativ'!$P$6:$P$405,1),COUNTIFS('Istoric_Nativ'!$B$6:$B$405,E603,'Istoric_Nativ'!$C$6:$C$405,F603,'Istoric_Nativ'!$E$6:$E$405,G603,'Istoric_Nativ'!$D$6:$D$405,"&lt;"&amp;J603,'Istoric_Nativ'!$P$6:$P$405,1)+COUNTIFS('Istoric_Nativ'!$B$6:$B$405,E603,'Istoric_Nativ'!$C$6:$C$405,F603,'Istoric_Nativ'!$F$6:$F$405,G603,'Istoric_Nativ'!$D$6:$D$405,"&lt;"&amp;J603,'Istoric_Nativ'!$P$6:$P$405,1))))</x:f>
        <x:v>0</x:v>
      </x:c>
      <x:c r="L603" s="17" t="n">
        <x:f>IF(AND(B603&lt;&gt;"",I603="RECENT",K603&gt;0),LARGE(_xlfn._xlws.FILTER('Istoric_Nativ'!$D$6:$D$405,('Istoric_Nativ'!$B$6:$B$405=E603)*('Istoric_Nativ'!$C$6:$C$405=F603)*('Istoric_Nativ'!$P$6:$P$405=1)*('Istoric_Nativ'!$D$6:$D$405&lt;J603)*((('Istoric_Nativ'!$E$6:$E$405=G603)+('Istoric_Nativ'!$F$6:$F$405=G603))&gt;0)),MIN('Config_v6'!$B$54,K603)),0)</x:f>
        <x:v>0</x:v>
      </x:c>
      <x:c r="M603" s="2" t="n">
        <x:f>IF(OR(B603="",F603=""),0,IF(H603="HOME",COUNTIFS('Istoric_Nativ'!$B$6:$B$405,E603,'Istoric_Nativ'!$C$6:$C$405,F603,'Istoric_Nativ'!$E$6:$E$405,G603,'Istoric_Nativ'!$D$6:$D$405,"&lt;"&amp;J603,'Istoric_Nativ'!$P$6:$P$405,1,'Istoric_Nativ'!$D$6:$D$405,"&gt;="&amp;L603),IF(H603="AWAY",COUNTIFS('Istoric_Nativ'!$B$6:$B$405,E603,'Istoric_Nativ'!$C$6:$C$405,F603,'Istoric_Nativ'!$F$6:$F$405,G603,'Istoric_Nativ'!$D$6:$D$405,"&lt;"&amp;J603,'Istoric_Nativ'!$P$6:$P$405,1,'Istoric_Nativ'!$D$6:$D$405,"&gt;="&amp;L603),COUNTIFS('Istoric_Nativ'!$B$6:$B$405,E603,'Istoric_Nativ'!$C$6:$C$405,F603,'Istoric_Nativ'!$E$6:$E$405,G603,'Istoric_Nativ'!$D$6:$D$405,"&lt;"&amp;J603,'Istoric_Nativ'!$P$6:$P$405,1,'Istoric_Nativ'!$D$6:$D$405,"&gt;="&amp;L603)+COUNTIFS('Istoric_Nativ'!$B$6:$B$405,E603,'Istoric_Nativ'!$C$6:$C$405,F603,'Istoric_Nativ'!$F$6:$F$405,G603,'Istoric_Nativ'!$D$6:$D$405,"&lt;"&amp;J603,'Istoric_Nativ'!$P$6:$P$405,1,'Istoric_Nativ'!$D$6:$D$405,"&gt;="&amp;L603))))</x:f>
        <x:v>0</x:v>
      </x:c>
      <x:c r="N603" s="11" t="str">
        <x:f>IF(M603=0,"",IF(H603="HOME",SUMIFS('Istoric_Nativ'!$G$6:$G$405,'Istoric_Nativ'!$B$6:$B$405,E603,'Istoric_Nativ'!$C$6:$C$405,F603,'Istoric_Nativ'!$E$6:$E$405,G603,'Istoric_Nativ'!$D$6:$D$405,"&lt;"&amp;J603,'Istoric_Nativ'!$P$6:$P$405,1,'Istoric_Nativ'!$D$6:$D$405,"&gt;="&amp;L603),IF(H603="AWAY",SUMIFS('Istoric_Nativ'!$H$6:$H$405,'Istoric_Nativ'!$B$6:$B$405,E603,'Istoric_Nativ'!$C$6:$C$405,F603,'Istoric_Nativ'!$F$6:$F$405,G603,'Istoric_Nativ'!$D$6:$D$405,"&lt;"&amp;J603,'Istoric_Nativ'!$P$6:$P$405,1,'Istoric_Nativ'!$D$6:$D$405,"&gt;="&amp;L603),SUMIFS('Istoric_Nativ'!$G$6:$G$405,'Istoric_Nativ'!$B$6:$B$405,E603,'Istoric_Nativ'!$C$6:$C$405,F603,'Istoric_Nativ'!$E$6:$E$405,G603,'Istoric_Nativ'!$D$6:$D$405,"&lt;"&amp;J603,'Istoric_Nativ'!$P$6:$P$405,1,'Istoric_Nativ'!$D$6:$D$405,"&gt;="&amp;L603)+SUMIFS('Istoric_Nativ'!$H$6:$H$405,'Istoric_Nativ'!$B$6:$B$405,E603,'Istoric_Nativ'!$C$6:$C$405,F603,'Istoric_Nativ'!$F$6:$F$405,G603,'Istoric_Nativ'!$D$6:$D$405,"&lt;"&amp;J603,'Istoric_Nativ'!$P$6:$P$405,1,'Istoric_Nativ'!$D$6:$D$405,"&gt;="&amp;L603)))/M603)</x:f>
      </x:c>
      <x:c r="O603" s="11" t="str">
        <x:f>IF(M603=0,"",IF(H603="HOME",SUMIFS('Istoric_Nativ'!$H$6:$H$405,'Istoric_Nativ'!$B$6:$B$405,E603,'Istoric_Nativ'!$C$6:$C$405,F603,'Istoric_Nativ'!$E$6:$E$405,G603,'Istoric_Nativ'!$D$6:$D$405,"&lt;"&amp;J603,'Istoric_Nativ'!$P$6:$P$405,1,'Istoric_Nativ'!$D$6:$D$405,"&gt;="&amp;L603),IF(H603="AWAY",SUMIFS('Istoric_Nativ'!$G$6:$G$405,'Istoric_Nativ'!$B$6:$B$405,E603,'Istoric_Nativ'!$C$6:$C$405,F603,'Istoric_Nativ'!$F$6:$F$405,G603,'Istoric_Nativ'!$D$6:$D$405,"&lt;"&amp;J603,'Istoric_Nativ'!$P$6:$P$405,1,'Istoric_Nativ'!$D$6:$D$405,"&gt;="&amp;L603),SUMIFS('Istoric_Nativ'!$H$6:$H$405,'Istoric_Nativ'!$B$6:$B$405,E603,'Istoric_Nativ'!$C$6:$C$405,F603,'Istoric_Nativ'!$E$6:$E$405,G603,'Istoric_Nativ'!$D$6:$D$405,"&lt;"&amp;J603,'Istoric_Nativ'!$P$6:$P$405,1,'Istoric_Nativ'!$D$6:$D$405,"&gt;="&amp;L603)+SUMIFS('Istoric_Nativ'!$G$6:$G$405,'Istoric_Nativ'!$B$6:$B$405,E603,'Istoric_Nativ'!$C$6:$C$405,F603,'Istoric_Nativ'!$F$6:$F$405,G603,'Istoric_Nativ'!$D$6:$D$405,"&lt;"&amp;J603,'Istoric_Nativ'!$P$6:$P$405,1,'Istoric_Nativ'!$D$6:$D$405,"&gt;="&amp;L603)))/M603)</x:f>
      </x:c>
      <x:c r="P603" s="2" t="n">
        <x:f>'Config_v6'!$B$7</x:f>
        <x:v>10</x:v>
      </x:c>
      <x:c r="Q603" s="2" t="n">
        <x:f>IF(OR(B603="",F603=""),0,IFERROR(MATCH(E603&amp;"|"&amp;F603,SourceTable[Source_Key],0),0))</x:f>
        <x:v>0</x:v>
      </x:c>
      <x:c r="R603" s="2" t="str">
        <x:f>IF(B603="","",IF(F603="","UNUSED",IF(Q603=0,"NOT CHECKED",IF(COUNTIF(SourceTable[Source_Key],E603&amp;"|"&amp;F603)&lt;&gt;1,"SOURCE CONFLICT",IF(NOT(OR(INDEX(SourceTable[Status],MAX(1,Q603))="IMPORTED",INDEX(SourceTable[Status],MAX(1,Q603))="PARTIAL",INDEX(SourceTable[Status],MAX(1,Q603))="SOURCE CONFLICT")),"ACCESS BLOCKED",IF(OR(INDEX(SourceTable[Coverage],Q603)&lt;&gt;"FULL SEASON EXPORT",INDEX(SourceTable[URL],Q603)="",INDEX(SourceTable[SHA256],Q603)=""),"EVIDENCE INCOMPLETE",IF(AND('Input_Meci'!H55="LIVE",INDEX(SourceTable[Retrieved_UTC],Q603)&gt;'Input_Meci'!G55),"POST CUTOFF","CLOSED")))))))</x:f>
      </x:c>
      <x:c r="S603" s="2" t="n">
        <x:f>IF(OR(B603="",F603=""),0,COUNTIFS('Istoric_Nativ'!$B$6:$B$405,E603,'Istoric_Nativ'!$C$6:$C$405,F603,'Istoric_Nativ'!$E$6:$E$405,G603,'Istoric_Nativ'!$D$6:$D$405,"&lt;"&amp;J603,'Istoric_Nativ'!$O$6:$O$405,"INVALID")+COUNTIFS('Istoric_Nativ'!$B$6:$B$405,E603,'Istoric_Nativ'!$C$6:$C$405,F603,'Istoric_Nativ'!$E$6:$E$405,G603,'Istoric_Nativ'!$O$6:$O$405,"INVALID",'Istoric_Nativ'!$D$6:$D$405,"*")+COUNTIFS('Istoric_Nativ'!$B$6:$B$405,E603,'Istoric_Nativ'!$C$6:$C$405,F603,'Istoric_Nativ'!$E$6:$E$405,G603,'Istoric_Nativ'!$D$6:$D$405,"&lt;"&amp;J603,'Istoric_Nativ'!$O$6:$O$405,"SOURCE CONFLICT")+COUNTIFS('Istoric_Nativ'!$B$6:$B$405,E603,'Istoric_Nativ'!$C$6:$C$405,F603,'Istoric_Nativ'!$F$6:$F$405,G603,'Istoric_Nativ'!$D$6:$D$405,"&lt;"&amp;J603,'Istoric_Nativ'!$O$6:$O$405,"INVALID")+COUNTIFS('Istoric_Nativ'!$B$6:$B$405,E603,'Istoric_Nativ'!$C$6:$C$405,F603,'Istoric_Nativ'!$F$6:$F$405,G603,'Istoric_Nativ'!$O$6:$O$405,"INVALID",'Istoric_Nativ'!$D$6:$D$405,"*")+COUNTIFS('Istoric_Nativ'!$B$6:$B$405,E603,'Istoric_Nativ'!$C$6:$C$405,F603,'Istoric_Nativ'!$F$6:$F$405,G603,'Istoric_Nativ'!$D$6:$D$405,"&lt;"&amp;J603,'Istoric_Nativ'!$O$6:$O$405,"SOURCE CONFLICT"))</x:f>
        <x:v>0</x:v>
      </x:c>
      <x:c r="T603" s="2" t="str">
        <x:f>IF(B603="","",IF(R603&lt;&gt;"CLOSED",R603,IF(S603&gt;0,"NATIVE INPUT ISSUE",IF(M603=0,"NO HISTORY",IF(M603&lt;P603,"SMALL SAMPLE","DERIVED")))))</x:f>
      </x:c>
      <x:c r="U603" s="2" t="str">
        <x:f>IF(B603="","","NativeTable; "&amp;E603&amp;"; "&amp;F603&amp;"; "&amp;G603&amp;"; "&amp;H603&amp;"; before "&amp;TEXT(J603,"yyyy-mm-dd")&amp;IF(I603="RECENT","; from "&amp;TEXT(L603,"yyyy-mm-dd"),""))</x:f>
      </x:c>
    </x:row>
    <x:row r="604" ht="21" customHeight="1">
      <x:c r="A604" s="2" t="n">
        <x:v>50</x:v>
      </x:c>
      <x:c r="B604" s="2" t="str">
        <x:f>IF('Input_Meci'!A55="","",'Input_Meci'!A55)</x:f>
      </x:c>
      <x:c r="C604" s="2" t="str">
        <x:v>A</x:v>
      </x:c>
      <x:c r="D604" s="2" t="str">
        <x:v>PRIOR</x:v>
      </x:c>
      <x:c r="E604" s="2" t="str">
        <x:f>IF(B604="","",'Input_Meci'!B55)</x:f>
      </x:c>
      <x:c r="F604" s="2" t="str">
        <x:f>IF(B604="","",IF('Input_Meci'!K55="","",'Input_Meci'!K55))</x:f>
      </x:c>
      <x:c r="G604" s="2" t="str">
        <x:f>IF(B604="","",'Input_Meci'!E55)</x:f>
      </x:c>
      <x:c r="H604" s="2" t="str">
        <x:v>AWAY</x:v>
      </x:c>
      <x:c r="I604" s="2" t="str">
        <x:v>HA</x:v>
      </x:c>
      <x:c r="J604" s="9" t="n">
        <x:f>IF(AND(B604&lt;&gt;"",ISNUMBER('Input_Meci'!G55)),INT('Input_Meci'!G55),0)</x:f>
        <x:v>0</x:v>
      </x:c>
      <x:c r="K604" s="2" t="n">
        <x:f>IF(OR(B604="",F604=""),0,IF(H604="HOME",COUNTIFS('Istoric_Nativ'!$B$6:$B$405,E604,'Istoric_Nativ'!$C$6:$C$405,F604,'Istoric_Nativ'!$E$6:$E$405,G604,'Istoric_Nativ'!$D$6:$D$405,"&lt;"&amp;J604,'Istoric_Nativ'!$P$6:$P$405,1),IF(H604="AWAY",COUNTIFS('Istoric_Nativ'!$B$6:$B$405,E604,'Istoric_Nativ'!$C$6:$C$405,F604,'Istoric_Nativ'!$F$6:$F$405,G604,'Istoric_Nativ'!$D$6:$D$405,"&lt;"&amp;J604,'Istoric_Nativ'!$P$6:$P$405,1),COUNTIFS('Istoric_Nativ'!$B$6:$B$405,E604,'Istoric_Nativ'!$C$6:$C$405,F604,'Istoric_Nativ'!$E$6:$E$405,G604,'Istoric_Nativ'!$D$6:$D$405,"&lt;"&amp;J604,'Istoric_Nativ'!$P$6:$P$405,1)+COUNTIFS('Istoric_Nativ'!$B$6:$B$405,E604,'Istoric_Nativ'!$C$6:$C$405,F604,'Istoric_Nativ'!$F$6:$F$405,G604,'Istoric_Nativ'!$D$6:$D$405,"&lt;"&amp;J604,'Istoric_Nativ'!$P$6:$P$405,1))))</x:f>
        <x:v>0</x:v>
      </x:c>
      <x:c r="L604" s="17" t="n">
        <x:f>IF(AND(B604&lt;&gt;"",I604="RECENT",K604&gt;0),LARGE(_xlfn._xlws.FILTER('Istoric_Nativ'!$D$6:$D$405,('Istoric_Nativ'!$B$6:$B$405=E604)*('Istoric_Nativ'!$C$6:$C$405=F604)*('Istoric_Nativ'!$P$6:$P$405=1)*('Istoric_Nativ'!$D$6:$D$405&lt;J604)*((('Istoric_Nativ'!$E$6:$E$405=G604)+('Istoric_Nativ'!$F$6:$F$405=G604))&gt;0)),MIN('Config_v6'!$B$54,K604)),0)</x:f>
        <x:v>0</x:v>
      </x:c>
      <x:c r="M604" s="2" t="n">
        <x:f>IF(OR(B604="",F604=""),0,IF(H604="HOME",COUNTIFS('Istoric_Nativ'!$B$6:$B$405,E604,'Istoric_Nativ'!$C$6:$C$405,F604,'Istoric_Nativ'!$E$6:$E$405,G604,'Istoric_Nativ'!$D$6:$D$405,"&lt;"&amp;J604,'Istoric_Nativ'!$P$6:$P$405,1,'Istoric_Nativ'!$D$6:$D$405,"&gt;="&amp;L604),IF(H604="AWAY",COUNTIFS('Istoric_Nativ'!$B$6:$B$405,E604,'Istoric_Nativ'!$C$6:$C$405,F604,'Istoric_Nativ'!$F$6:$F$405,G604,'Istoric_Nativ'!$D$6:$D$405,"&lt;"&amp;J604,'Istoric_Nativ'!$P$6:$P$405,1,'Istoric_Nativ'!$D$6:$D$405,"&gt;="&amp;L604),COUNTIFS('Istoric_Nativ'!$B$6:$B$405,E604,'Istoric_Nativ'!$C$6:$C$405,F604,'Istoric_Nativ'!$E$6:$E$405,G604,'Istoric_Nativ'!$D$6:$D$405,"&lt;"&amp;J604,'Istoric_Nativ'!$P$6:$P$405,1,'Istoric_Nativ'!$D$6:$D$405,"&gt;="&amp;L604)+COUNTIFS('Istoric_Nativ'!$B$6:$B$405,E604,'Istoric_Nativ'!$C$6:$C$405,F604,'Istoric_Nativ'!$F$6:$F$405,G604,'Istoric_Nativ'!$D$6:$D$405,"&lt;"&amp;J604,'Istoric_Nativ'!$P$6:$P$405,1,'Istoric_Nativ'!$D$6:$D$405,"&gt;="&amp;L604))))</x:f>
        <x:v>0</x:v>
      </x:c>
      <x:c r="N604" s="11" t="str">
        <x:f>IF(M604=0,"",IF(H604="HOME",SUMIFS('Istoric_Nativ'!$G$6:$G$405,'Istoric_Nativ'!$B$6:$B$405,E604,'Istoric_Nativ'!$C$6:$C$405,F604,'Istoric_Nativ'!$E$6:$E$405,G604,'Istoric_Nativ'!$D$6:$D$405,"&lt;"&amp;J604,'Istoric_Nativ'!$P$6:$P$405,1,'Istoric_Nativ'!$D$6:$D$405,"&gt;="&amp;L604),IF(H604="AWAY",SUMIFS('Istoric_Nativ'!$H$6:$H$405,'Istoric_Nativ'!$B$6:$B$405,E604,'Istoric_Nativ'!$C$6:$C$405,F604,'Istoric_Nativ'!$F$6:$F$405,G604,'Istoric_Nativ'!$D$6:$D$405,"&lt;"&amp;J604,'Istoric_Nativ'!$P$6:$P$405,1,'Istoric_Nativ'!$D$6:$D$405,"&gt;="&amp;L604),SUMIFS('Istoric_Nativ'!$G$6:$G$405,'Istoric_Nativ'!$B$6:$B$405,E604,'Istoric_Nativ'!$C$6:$C$405,F604,'Istoric_Nativ'!$E$6:$E$405,G604,'Istoric_Nativ'!$D$6:$D$405,"&lt;"&amp;J604,'Istoric_Nativ'!$P$6:$P$405,1,'Istoric_Nativ'!$D$6:$D$405,"&gt;="&amp;L604)+SUMIFS('Istoric_Nativ'!$H$6:$H$405,'Istoric_Nativ'!$B$6:$B$405,E604,'Istoric_Nativ'!$C$6:$C$405,F604,'Istoric_Nativ'!$F$6:$F$405,G604,'Istoric_Nativ'!$D$6:$D$405,"&lt;"&amp;J604,'Istoric_Nativ'!$P$6:$P$405,1,'Istoric_Nativ'!$D$6:$D$405,"&gt;="&amp;L604)))/M604)</x:f>
      </x:c>
      <x:c r="O604" s="11" t="str">
        <x:f>IF(M604=0,"",IF(H604="HOME",SUMIFS('Istoric_Nativ'!$H$6:$H$405,'Istoric_Nativ'!$B$6:$B$405,E604,'Istoric_Nativ'!$C$6:$C$405,F604,'Istoric_Nativ'!$E$6:$E$405,G604,'Istoric_Nativ'!$D$6:$D$405,"&lt;"&amp;J604,'Istoric_Nativ'!$P$6:$P$405,1,'Istoric_Nativ'!$D$6:$D$405,"&gt;="&amp;L604),IF(H604="AWAY",SUMIFS('Istoric_Nativ'!$G$6:$G$405,'Istoric_Nativ'!$B$6:$B$405,E604,'Istoric_Nativ'!$C$6:$C$405,F604,'Istoric_Nativ'!$F$6:$F$405,G604,'Istoric_Nativ'!$D$6:$D$405,"&lt;"&amp;J604,'Istoric_Nativ'!$P$6:$P$405,1,'Istoric_Nativ'!$D$6:$D$405,"&gt;="&amp;L604),SUMIFS('Istoric_Nativ'!$H$6:$H$405,'Istoric_Nativ'!$B$6:$B$405,E604,'Istoric_Nativ'!$C$6:$C$405,F604,'Istoric_Nativ'!$E$6:$E$405,G604,'Istoric_Nativ'!$D$6:$D$405,"&lt;"&amp;J604,'Istoric_Nativ'!$P$6:$P$405,1,'Istoric_Nativ'!$D$6:$D$405,"&gt;="&amp;L604)+SUMIFS('Istoric_Nativ'!$G$6:$G$405,'Istoric_Nativ'!$B$6:$B$405,E604,'Istoric_Nativ'!$C$6:$C$405,F604,'Istoric_Nativ'!$F$6:$F$405,G604,'Istoric_Nativ'!$D$6:$D$405,"&lt;"&amp;J604,'Istoric_Nativ'!$P$6:$P$405,1,'Istoric_Nativ'!$D$6:$D$405,"&gt;="&amp;L604)))/M604)</x:f>
      </x:c>
      <x:c r="P604" s="2" t="n">
        <x:f>'Config_v6'!$B$8</x:f>
        <x:v>5</x:v>
      </x:c>
      <x:c r="Q604" s="2" t="n">
        <x:f>IF(OR(B604="",F604=""),0,IFERROR(MATCH(E604&amp;"|"&amp;F604,SourceTable[Source_Key],0),0))</x:f>
        <x:v>0</x:v>
      </x:c>
      <x:c r="R604" s="2" t="str">
        <x:f>IF(B604="","",IF(F604="","UNUSED",IF(Q604=0,"NOT CHECKED",IF(COUNTIF(SourceTable[Source_Key],E604&amp;"|"&amp;F604)&lt;&gt;1,"SOURCE CONFLICT",IF(NOT(OR(INDEX(SourceTable[Status],MAX(1,Q604))="IMPORTED",INDEX(SourceTable[Status],MAX(1,Q604))="PARTIAL",INDEX(SourceTable[Status],MAX(1,Q604))="SOURCE CONFLICT")),"ACCESS BLOCKED",IF(OR(INDEX(SourceTable[Coverage],Q604)&lt;&gt;"FULL SEASON EXPORT",INDEX(SourceTable[URL],Q604)="",INDEX(SourceTable[SHA256],Q604)=""),"EVIDENCE INCOMPLETE",IF(AND('Input_Meci'!H55="LIVE",INDEX(SourceTable[Retrieved_UTC],Q604)&gt;'Input_Meci'!G55),"POST CUTOFF","CLOSED")))))))</x:f>
      </x:c>
      <x:c r="S604" s="2" t="n">
        <x:f>IF(OR(B604="",F604=""),0,COUNTIFS('Istoric_Nativ'!$B$6:$B$405,E604,'Istoric_Nativ'!$C$6:$C$405,F604,'Istoric_Nativ'!$E$6:$E$405,G604,'Istoric_Nativ'!$D$6:$D$405,"&lt;"&amp;J604,'Istoric_Nativ'!$O$6:$O$405,"INVALID")+COUNTIFS('Istoric_Nativ'!$B$6:$B$405,E604,'Istoric_Nativ'!$C$6:$C$405,F604,'Istoric_Nativ'!$E$6:$E$405,G604,'Istoric_Nativ'!$O$6:$O$405,"INVALID",'Istoric_Nativ'!$D$6:$D$405,"*")+COUNTIFS('Istoric_Nativ'!$B$6:$B$405,E604,'Istoric_Nativ'!$C$6:$C$405,F604,'Istoric_Nativ'!$E$6:$E$405,G604,'Istoric_Nativ'!$D$6:$D$405,"&lt;"&amp;J604,'Istoric_Nativ'!$O$6:$O$405,"SOURCE CONFLICT")+COUNTIFS('Istoric_Nativ'!$B$6:$B$405,E604,'Istoric_Nativ'!$C$6:$C$405,F604,'Istoric_Nativ'!$F$6:$F$405,G604,'Istoric_Nativ'!$D$6:$D$405,"&lt;"&amp;J604,'Istoric_Nativ'!$O$6:$O$405,"INVALID")+COUNTIFS('Istoric_Nativ'!$B$6:$B$405,E604,'Istoric_Nativ'!$C$6:$C$405,F604,'Istoric_Nativ'!$F$6:$F$405,G604,'Istoric_Nativ'!$O$6:$O$405,"INVALID",'Istoric_Nativ'!$D$6:$D$405,"*")+COUNTIFS('Istoric_Nativ'!$B$6:$B$405,E604,'Istoric_Nativ'!$C$6:$C$405,F604,'Istoric_Nativ'!$F$6:$F$405,G604,'Istoric_Nativ'!$D$6:$D$405,"&lt;"&amp;J604,'Istoric_Nativ'!$O$6:$O$405,"SOURCE CONFLICT"))</x:f>
        <x:v>0</x:v>
      </x:c>
      <x:c r="T604" s="2" t="str">
        <x:f>IF(B604="","",IF(R604&lt;&gt;"CLOSED",R604,IF(S604&gt;0,"NATIVE INPUT ISSUE",IF(M604=0,"NO HISTORY",IF(M604&lt;P604,"SMALL SAMPLE","DERIVED")))))</x:f>
      </x:c>
      <x:c r="U604" s="2" t="str">
        <x:f>IF(B604="","","NativeTable; "&amp;E604&amp;"; "&amp;F604&amp;"; "&amp;G604&amp;"; "&amp;H604&amp;"; before "&amp;TEXT(J604,"yyyy-mm-dd")&amp;IF(I604="RECENT","; from "&amp;TEXT(L604,"yyyy-mm-dd"),""))</x:f>
      </x:c>
    </x:row>
    <x:row r="605" ht="21" customHeight="1">
      <x:c r="A605" s="2" t="n">
        <x:v>50</x:v>
      </x:c>
      <x:c r="B605" s="2" t="str">
        <x:f>IF('Input_Meci'!A55="","",'Input_Meci'!A55)</x:f>
      </x:c>
      <x:c r="C605" s="2" t="str">
        <x:v>A</x:v>
      </x:c>
      <x:c r="D605" s="2" t="str">
        <x:v>PRIOR</x:v>
      </x:c>
      <x:c r="E605" s="2" t="str">
        <x:f>IF(B605="","",'Input_Meci'!B55)</x:f>
      </x:c>
      <x:c r="F605" s="2" t="str">
        <x:f>IF(B605="","",IF('Input_Meci'!K55="","",'Input_Meci'!K55))</x:f>
      </x:c>
      <x:c r="G605" s="2" t="str">
        <x:f>IF(B605="","",'Input_Meci'!E55)</x:f>
      </x:c>
      <x:c r="H605" s="2" t="str">
        <x:v>ANY</x:v>
      </x:c>
      <x:c r="I605" s="2" t="str">
        <x:v>RECENT</x:v>
      </x:c>
      <x:c r="J605" s="9" t="n">
        <x:f>IF(AND(B605&lt;&gt;"",ISNUMBER('Input_Meci'!G55)),INT('Input_Meci'!G55),0)</x:f>
        <x:v>0</x:v>
      </x:c>
      <x:c r="K605" s="2" t="n">
        <x:f>IF(OR(B605="",F605=""),0,IF(H605="HOME",COUNTIFS('Istoric_Nativ'!$B$6:$B$405,E605,'Istoric_Nativ'!$C$6:$C$405,F605,'Istoric_Nativ'!$E$6:$E$405,G605,'Istoric_Nativ'!$D$6:$D$405,"&lt;"&amp;J605,'Istoric_Nativ'!$P$6:$P$405,1),IF(H605="AWAY",COUNTIFS('Istoric_Nativ'!$B$6:$B$405,E605,'Istoric_Nativ'!$C$6:$C$405,F605,'Istoric_Nativ'!$F$6:$F$405,G605,'Istoric_Nativ'!$D$6:$D$405,"&lt;"&amp;J605,'Istoric_Nativ'!$P$6:$P$405,1),COUNTIFS('Istoric_Nativ'!$B$6:$B$405,E605,'Istoric_Nativ'!$C$6:$C$405,F605,'Istoric_Nativ'!$E$6:$E$405,G605,'Istoric_Nativ'!$D$6:$D$405,"&lt;"&amp;J605,'Istoric_Nativ'!$P$6:$P$405,1)+COUNTIFS('Istoric_Nativ'!$B$6:$B$405,E605,'Istoric_Nativ'!$C$6:$C$405,F605,'Istoric_Nativ'!$F$6:$F$405,G605,'Istoric_Nativ'!$D$6:$D$405,"&lt;"&amp;J605,'Istoric_Nativ'!$P$6:$P$405,1))))</x:f>
        <x:v>0</x:v>
      </x:c>
      <x:c r="L605" s="17" t="n">
        <x:f>IF(AND(B605&lt;&gt;"",I605="RECENT",K605&gt;0),LARGE(_xlfn._xlws.FILTER('Istoric_Nativ'!$D$6:$D$405,('Istoric_Nativ'!$B$6:$B$405=E605)*('Istoric_Nativ'!$C$6:$C$405=F605)*('Istoric_Nativ'!$P$6:$P$405=1)*('Istoric_Nativ'!$D$6:$D$405&lt;J605)*((('Istoric_Nativ'!$E$6:$E$405=G605)+('Istoric_Nativ'!$F$6:$F$405=G605))&gt;0)),MIN('Config_v6'!$B$54,K605)),0)</x:f>
        <x:v>0</x:v>
      </x:c>
      <x:c r="M605" s="2" t="n">
        <x:f>IF(OR(B605="",F605=""),0,IF(H605="HOME",COUNTIFS('Istoric_Nativ'!$B$6:$B$405,E605,'Istoric_Nativ'!$C$6:$C$405,F605,'Istoric_Nativ'!$E$6:$E$405,G605,'Istoric_Nativ'!$D$6:$D$405,"&lt;"&amp;J605,'Istoric_Nativ'!$P$6:$P$405,1,'Istoric_Nativ'!$D$6:$D$405,"&gt;="&amp;L605),IF(H605="AWAY",COUNTIFS('Istoric_Nativ'!$B$6:$B$405,E605,'Istoric_Nativ'!$C$6:$C$405,F605,'Istoric_Nativ'!$F$6:$F$405,G605,'Istoric_Nativ'!$D$6:$D$405,"&lt;"&amp;J605,'Istoric_Nativ'!$P$6:$P$405,1,'Istoric_Nativ'!$D$6:$D$405,"&gt;="&amp;L605),COUNTIFS('Istoric_Nativ'!$B$6:$B$405,E605,'Istoric_Nativ'!$C$6:$C$405,F605,'Istoric_Nativ'!$E$6:$E$405,G605,'Istoric_Nativ'!$D$6:$D$405,"&lt;"&amp;J605,'Istoric_Nativ'!$P$6:$P$405,1,'Istoric_Nativ'!$D$6:$D$405,"&gt;="&amp;L605)+COUNTIFS('Istoric_Nativ'!$B$6:$B$405,E605,'Istoric_Nativ'!$C$6:$C$405,F605,'Istoric_Nativ'!$F$6:$F$405,G605,'Istoric_Nativ'!$D$6:$D$405,"&lt;"&amp;J605,'Istoric_Nativ'!$P$6:$P$405,1,'Istoric_Nativ'!$D$6:$D$405,"&gt;="&amp;L605))))</x:f>
        <x:v>0</x:v>
      </x:c>
      <x:c r="N605" s="11" t="str">
        <x:f>IF(M605=0,"",IF(H605="HOME",SUMIFS('Istoric_Nativ'!$G$6:$G$405,'Istoric_Nativ'!$B$6:$B$405,E605,'Istoric_Nativ'!$C$6:$C$405,F605,'Istoric_Nativ'!$E$6:$E$405,G605,'Istoric_Nativ'!$D$6:$D$405,"&lt;"&amp;J605,'Istoric_Nativ'!$P$6:$P$405,1,'Istoric_Nativ'!$D$6:$D$405,"&gt;="&amp;L605),IF(H605="AWAY",SUMIFS('Istoric_Nativ'!$H$6:$H$405,'Istoric_Nativ'!$B$6:$B$405,E605,'Istoric_Nativ'!$C$6:$C$405,F605,'Istoric_Nativ'!$F$6:$F$405,G605,'Istoric_Nativ'!$D$6:$D$405,"&lt;"&amp;J605,'Istoric_Nativ'!$P$6:$P$405,1,'Istoric_Nativ'!$D$6:$D$405,"&gt;="&amp;L605),SUMIFS('Istoric_Nativ'!$G$6:$G$405,'Istoric_Nativ'!$B$6:$B$405,E605,'Istoric_Nativ'!$C$6:$C$405,F605,'Istoric_Nativ'!$E$6:$E$405,G605,'Istoric_Nativ'!$D$6:$D$405,"&lt;"&amp;J605,'Istoric_Nativ'!$P$6:$P$405,1,'Istoric_Nativ'!$D$6:$D$405,"&gt;="&amp;L605)+SUMIFS('Istoric_Nativ'!$H$6:$H$405,'Istoric_Nativ'!$B$6:$B$405,E605,'Istoric_Nativ'!$C$6:$C$405,F605,'Istoric_Nativ'!$F$6:$F$405,G605,'Istoric_Nativ'!$D$6:$D$405,"&lt;"&amp;J605,'Istoric_Nativ'!$P$6:$P$405,1,'Istoric_Nativ'!$D$6:$D$405,"&gt;="&amp;L605)))/M605)</x:f>
      </x:c>
      <x:c r="O605" s="11" t="str">
        <x:f>IF(M605=0,"",IF(H605="HOME",SUMIFS('Istoric_Nativ'!$H$6:$H$405,'Istoric_Nativ'!$B$6:$B$405,E605,'Istoric_Nativ'!$C$6:$C$405,F605,'Istoric_Nativ'!$E$6:$E$405,G605,'Istoric_Nativ'!$D$6:$D$405,"&lt;"&amp;J605,'Istoric_Nativ'!$P$6:$P$405,1,'Istoric_Nativ'!$D$6:$D$405,"&gt;="&amp;L605),IF(H605="AWAY",SUMIFS('Istoric_Nativ'!$G$6:$G$405,'Istoric_Nativ'!$B$6:$B$405,E605,'Istoric_Nativ'!$C$6:$C$405,F605,'Istoric_Nativ'!$F$6:$F$405,G605,'Istoric_Nativ'!$D$6:$D$405,"&lt;"&amp;J605,'Istoric_Nativ'!$P$6:$P$405,1,'Istoric_Nativ'!$D$6:$D$405,"&gt;="&amp;L605),SUMIFS('Istoric_Nativ'!$H$6:$H$405,'Istoric_Nativ'!$B$6:$B$405,E605,'Istoric_Nativ'!$C$6:$C$405,F605,'Istoric_Nativ'!$E$6:$E$405,G605,'Istoric_Nativ'!$D$6:$D$405,"&lt;"&amp;J605,'Istoric_Nativ'!$P$6:$P$405,1,'Istoric_Nativ'!$D$6:$D$405,"&gt;="&amp;L605)+SUMIFS('Istoric_Nativ'!$G$6:$G$405,'Istoric_Nativ'!$B$6:$B$405,E605,'Istoric_Nativ'!$C$6:$C$405,F605,'Istoric_Nativ'!$F$6:$F$405,G605,'Istoric_Nativ'!$D$6:$D$405,"&lt;"&amp;J605,'Istoric_Nativ'!$P$6:$P$405,1,'Istoric_Nativ'!$D$6:$D$405,"&gt;="&amp;L605)))/M605)</x:f>
      </x:c>
      <x:c r="P605" s="2" t="n">
        <x:f>'Config_v6'!$B$9</x:f>
        <x:v>3</x:v>
      </x:c>
      <x:c r="Q605" s="2" t="n">
        <x:f>IF(OR(B605="",F605=""),0,IFERROR(MATCH(E605&amp;"|"&amp;F605,SourceTable[Source_Key],0),0))</x:f>
        <x:v>0</x:v>
      </x:c>
      <x:c r="R605" s="2" t="str">
        <x:f>IF(B605="","",IF(F605="","UNUSED",IF(Q605=0,"NOT CHECKED",IF(COUNTIF(SourceTable[Source_Key],E605&amp;"|"&amp;F605)&lt;&gt;1,"SOURCE CONFLICT",IF(NOT(OR(INDEX(SourceTable[Status],MAX(1,Q605))="IMPORTED",INDEX(SourceTable[Status],MAX(1,Q605))="PARTIAL",INDEX(SourceTable[Status],MAX(1,Q605))="SOURCE CONFLICT")),"ACCESS BLOCKED",IF(OR(INDEX(SourceTable[Coverage],Q605)&lt;&gt;"FULL SEASON EXPORT",INDEX(SourceTable[URL],Q605)="",INDEX(SourceTable[SHA256],Q605)=""),"EVIDENCE INCOMPLETE",IF(AND('Input_Meci'!H55="LIVE",INDEX(SourceTable[Retrieved_UTC],Q605)&gt;'Input_Meci'!G55),"POST CUTOFF","CLOSED")))))))</x:f>
      </x:c>
      <x:c r="S605" s="2" t="n">
        <x:f>IF(OR(B605="",F605=""),0,COUNTIFS('Istoric_Nativ'!$B$6:$B$405,E605,'Istoric_Nativ'!$C$6:$C$405,F605,'Istoric_Nativ'!$E$6:$E$405,G605,'Istoric_Nativ'!$D$6:$D$405,"&lt;"&amp;J605,'Istoric_Nativ'!$O$6:$O$405,"INVALID")+COUNTIFS('Istoric_Nativ'!$B$6:$B$405,E605,'Istoric_Nativ'!$C$6:$C$405,F605,'Istoric_Nativ'!$E$6:$E$405,G605,'Istoric_Nativ'!$O$6:$O$405,"INVALID",'Istoric_Nativ'!$D$6:$D$405,"*")+COUNTIFS('Istoric_Nativ'!$B$6:$B$405,E605,'Istoric_Nativ'!$C$6:$C$405,F605,'Istoric_Nativ'!$E$6:$E$405,G605,'Istoric_Nativ'!$D$6:$D$405,"&lt;"&amp;J605,'Istoric_Nativ'!$O$6:$O$405,"SOURCE CONFLICT")+COUNTIFS('Istoric_Nativ'!$B$6:$B$405,E605,'Istoric_Nativ'!$C$6:$C$405,F605,'Istoric_Nativ'!$F$6:$F$405,G605,'Istoric_Nativ'!$D$6:$D$405,"&lt;"&amp;J605,'Istoric_Nativ'!$O$6:$O$405,"INVALID")+COUNTIFS('Istoric_Nativ'!$B$6:$B$405,E605,'Istoric_Nativ'!$C$6:$C$405,F605,'Istoric_Nativ'!$F$6:$F$405,G605,'Istoric_Nativ'!$O$6:$O$405,"INVALID",'Istoric_Nativ'!$D$6:$D$405,"*")+COUNTIFS('Istoric_Nativ'!$B$6:$B$405,E605,'Istoric_Nativ'!$C$6:$C$405,F605,'Istoric_Nativ'!$F$6:$F$405,G605,'Istoric_Nativ'!$D$6:$D$405,"&lt;"&amp;J605,'Istoric_Nativ'!$O$6:$O$405,"SOURCE CONFLICT"))</x:f>
        <x:v>0</x:v>
      </x:c>
      <x:c r="T605" s="2" t="str">
        <x:f>IF(B605="","",IF(R605&lt;&gt;"CLOSED",R605,IF(S605&gt;0,"NATIVE INPUT ISSUE",IF(M605=0,"NO HISTORY",IF(M605&lt;P605,"SMALL SAMPLE","DERIVED")))))</x:f>
      </x:c>
      <x:c r="U605" s="2" t="str">
        <x:f>IF(B605="","","NativeTable; "&amp;E605&amp;"; "&amp;F605&amp;"; "&amp;G605&amp;"; "&amp;H605&amp;"; before "&amp;TEXT(J605,"yyyy-mm-dd")&amp;IF(I605="RECENT","; from "&amp;TEXT(L605,"yyyy-mm-dd"),""))</x:f>
      </x:c>
    </x:row>
    <x:row r="606" ht="21" customHeight="1">
      <x:c r="A606" s="2" t="n">
        <x:v>51</x:v>
      </x:c>
      <x:c r="B606" s="2" t="str">
        <x:f>IF('Input_Meci'!A56="","",'Input_Meci'!A56)</x:f>
      </x:c>
      <x:c r="C606" s="2" t="str">
        <x:v>H</x:v>
      </x:c>
      <x:c r="D606" s="2" t="str">
        <x:v>CURRENT</x:v>
      </x:c>
      <x:c r="E606" s="2" t="str">
        <x:f>IF(B606="","",'Input_Meci'!B56)</x:f>
      </x:c>
      <x:c r="F606" s="2" t="str">
        <x:f>IF(B606="","",IF('Input_Meci'!C56="","",'Input_Meci'!C56))</x:f>
      </x:c>
      <x:c r="G606" s="2" t="str">
        <x:f>IF(B606="","",'Input_Meci'!D56)</x:f>
      </x:c>
      <x:c r="H606" s="2" t="str">
        <x:v>ANY</x:v>
      </x:c>
      <x:c r="I606" s="2" t="str">
        <x:v>SEASON</x:v>
      </x:c>
      <x:c r="J606" s="9" t="n">
        <x:f>IF(AND(B606&lt;&gt;"",ISNUMBER('Input_Meci'!G56)),INT('Input_Meci'!G56),0)</x:f>
        <x:v>0</x:v>
      </x:c>
      <x:c r="K606" s="2" t="n">
        <x:f>IF(OR(B606="",F606=""),0,IF(H606="HOME",COUNTIFS('Istoric_Nativ'!$B$6:$B$405,E606,'Istoric_Nativ'!$C$6:$C$405,F606,'Istoric_Nativ'!$E$6:$E$405,G606,'Istoric_Nativ'!$D$6:$D$405,"&lt;"&amp;J606,'Istoric_Nativ'!$P$6:$P$405,1),IF(H606="AWAY",COUNTIFS('Istoric_Nativ'!$B$6:$B$405,E606,'Istoric_Nativ'!$C$6:$C$405,F606,'Istoric_Nativ'!$F$6:$F$405,G606,'Istoric_Nativ'!$D$6:$D$405,"&lt;"&amp;J606,'Istoric_Nativ'!$P$6:$P$405,1),COUNTIFS('Istoric_Nativ'!$B$6:$B$405,E606,'Istoric_Nativ'!$C$6:$C$405,F606,'Istoric_Nativ'!$E$6:$E$405,G606,'Istoric_Nativ'!$D$6:$D$405,"&lt;"&amp;J606,'Istoric_Nativ'!$P$6:$P$405,1)+COUNTIFS('Istoric_Nativ'!$B$6:$B$405,E606,'Istoric_Nativ'!$C$6:$C$405,F606,'Istoric_Nativ'!$F$6:$F$405,G606,'Istoric_Nativ'!$D$6:$D$405,"&lt;"&amp;J606,'Istoric_Nativ'!$P$6:$P$405,1))))</x:f>
        <x:v>0</x:v>
      </x:c>
      <x:c r="L606" s="17" t="n">
        <x:f>IF(AND(B606&lt;&gt;"",I606="RECENT",K606&gt;0),LARGE(_xlfn._xlws.FILTER('Istoric_Nativ'!$D$6:$D$405,('Istoric_Nativ'!$B$6:$B$405=E606)*('Istoric_Nativ'!$C$6:$C$405=F606)*('Istoric_Nativ'!$P$6:$P$405=1)*('Istoric_Nativ'!$D$6:$D$405&lt;J606)*((('Istoric_Nativ'!$E$6:$E$405=G606)+('Istoric_Nativ'!$F$6:$F$405=G606))&gt;0)),MIN('Config_v6'!$B$54,K606)),0)</x:f>
        <x:v>0</x:v>
      </x:c>
      <x:c r="M606" s="2" t="n">
        <x:f>IF(OR(B606="",F606=""),0,IF(H606="HOME",COUNTIFS('Istoric_Nativ'!$B$6:$B$405,E606,'Istoric_Nativ'!$C$6:$C$405,F606,'Istoric_Nativ'!$E$6:$E$405,G606,'Istoric_Nativ'!$D$6:$D$405,"&lt;"&amp;J606,'Istoric_Nativ'!$P$6:$P$405,1,'Istoric_Nativ'!$D$6:$D$405,"&gt;="&amp;L606),IF(H606="AWAY",COUNTIFS('Istoric_Nativ'!$B$6:$B$405,E606,'Istoric_Nativ'!$C$6:$C$405,F606,'Istoric_Nativ'!$F$6:$F$405,G606,'Istoric_Nativ'!$D$6:$D$405,"&lt;"&amp;J606,'Istoric_Nativ'!$P$6:$P$405,1,'Istoric_Nativ'!$D$6:$D$405,"&gt;="&amp;L606),COUNTIFS('Istoric_Nativ'!$B$6:$B$405,E606,'Istoric_Nativ'!$C$6:$C$405,F606,'Istoric_Nativ'!$E$6:$E$405,G606,'Istoric_Nativ'!$D$6:$D$405,"&lt;"&amp;J606,'Istoric_Nativ'!$P$6:$P$405,1,'Istoric_Nativ'!$D$6:$D$405,"&gt;="&amp;L606)+COUNTIFS('Istoric_Nativ'!$B$6:$B$405,E606,'Istoric_Nativ'!$C$6:$C$405,F606,'Istoric_Nativ'!$F$6:$F$405,G606,'Istoric_Nativ'!$D$6:$D$405,"&lt;"&amp;J606,'Istoric_Nativ'!$P$6:$P$405,1,'Istoric_Nativ'!$D$6:$D$405,"&gt;="&amp;L606))))</x:f>
        <x:v>0</x:v>
      </x:c>
      <x:c r="N606" s="11" t="str">
        <x:f>IF(M606=0,"",IF(H606="HOME",SUMIFS('Istoric_Nativ'!$G$6:$G$405,'Istoric_Nativ'!$B$6:$B$405,E606,'Istoric_Nativ'!$C$6:$C$405,F606,'Istoric_Nativ'!$E$6:$E$405,G606,'Istoric_Nativ'!$D$6:$D$405,"&lt;"&amp;J606,'Istoric_Nativ'!$P$6:$P$405,1,'Istoric_Nativ'!$D$6:$D$405,"&gt;="&amp;L606),IF(H606="AWAY",SUMIFS('Istoric_Nativ'!$H$6:$H$405,'Istoric_Nativ'!$B$6:$B$405,E606,'Istoric_Nativ'!$C$6:$C$405,F606,'Istoric_Nativ'!$F$6:$F$405,G606,'Istoric_Nativ'!$D$6:$D$405,"&lt;"&amp;J606,'Istoric_Nativ'!$P$6:$P$405,1,'Istoric_Nativ'!$D$6:$D$405,"&gt;="&amp;L606),SUMIFS('Istoric_Nativ'!$G$6:$G$405,'Istoric_Nativ'!$B$6:$B$405,E606,'Istoric_Nativ'!$C$6:$C$405,F606,'Istoric_Nativ'!$E$6:$E$405,G606,'Istoric_Nativ'!$D$6:$D$405,"&lt;"&amp;J606,'Istoric_Nativ'!$P$6:$P$405,1,'Istoric_Nativ'!$D$6:$D$405,"&gt;="&amp;L606)+SUMIFS('Istoric_Nativ'!$H$6:$H$405,'Istoric_Nativ'!$B$6:$B$405,E606,'Istoric_Nativ'!$C$6:$C$405,F606,'Istoric_Nativ'!$F$6:$F$405,G606,'Istoric_Nativ'!$D$6:$D$405,"&lt;"&amp;J606,'Istoric_Nativ'!$P$6:$P$405,1,'Istoric_Nativ'!$D$6:$D$405,"&gt;="&amp;L606)))/M606)</x:f>
      </x:c>
      <x:c r="O606" s="11" t="str">
        <x:f>IF(M606=0,"",IF(H606="HOME",SUMIFS('Istoric_Nativ'!$H$6:$H$405,'Istoric_Nativ'!$B$6:$B$405,E606,'Istoric_Nativ'!$C$6:$C$405,F606,'Istoric_Nativ'!$E$6:$E$405,G606,'Istoric_Nativ'!$D$6:$D$405,"&lt;"&amp;J606,'Istoric_Nativ'!$P$6:$P$405,1,'Istoric_Nativ'!$D$6:$D$405,"&gt;="&amp;L606),IF(H606="AWAY",SUMIFS('Istoric_Nativ'!$G$6:$G$405,'Istoric_Nativ'!$B$6:$B$405,E606,'Istoric_Nativ'!$C$6:$C$405,F606,'Istoric_Nativ'!$F$6:$F$405,G606,'Istoric_Nativ'!$D$6:$D$405,"&lt;"&amp;J606,'Istoric_Nativ'!$P$6:$P$405,1,'Istoric_Nativ'!$D$6:$D$405,"&gt;="&amp;L606),SUMIFS('Istoric_Nativ'!$H$6:$H$405,'Istoric_Nativ'!$B$6:$B$405,E606,'Istoric_Nativ'!$C$6:$C$405,F606,'Istoric_Nativ'!$E$6:$E$405,G606,'Istoric_Nativ'!$D$6:$D$405,"&lt;"&amp;J606,'Istoric_Nativ'!$P$6:$P$405,1,'Istoric_Nativ'!$D$6:$D$405,"&gt;="&amp;L606)+SUMIFS('Istoric_Nativ'!$G$6:$G$405,'Istoric_Nativ'!$B$6:$B$405,E606,'Istoric_Nativ'!$C$6:$C$405,F606,'Istoric_Nativ'!$F$6:$F$405,G606,'Istoric_Nativ'!$D$6:$D$405,"&lt;"&amp;J606,'Istoric_Nativ'!$P$6:$P$405,1,'Istoric_Nativ'!$D$6:$D$405,"&gt;="&amp;L606)))/M606)</x:f>
      </x:c>
      <x:c r="P606" s="2" t="n">
        <x:f>'Config_v6'!$B$7</x:f>
        <x:v>10</x:v>
      </x:c>
      <x:c r="Q606" s="2" t="n">
        <x:f>IF(OR(B606="",F606=""),0,IFERROR(MATCH(E606&amp;"|"&amp;F606,SourceTable[Source_Key],0),0))</x:f>
        <x:v>0</x:v>
      </x:c>
      <x:c r="R606" s="2" t="str">
        <x:f>IF(B606="","",IF(F606="","UNUSED",IF(Q606=0,"NOT CHECKED",IF(COUNTIF(SourceTable[Source_Key],E606&amp;"|"&amp;F606)&lt;&gt;1,"SOURCE CONFLICT",IF(NOT(OR(INDEX(SourceTable[Status],MAX(1,Q606))="IMPORTED",INDEX(SourceTable[Status],MAX(1,Q606))="PARTIAL",INDEX(SourceTable[Status],MAX(1,Q606))="SOURCE CONFLICT")),"ACCESS BLOCKED",IF(OR(INDEX(SourceTable[Coverage],Q606)&lt;&gt;"FULL SEASON EXPORT",INDEX(SourceTable[URL],Q606)="",INDEX(SourceTable[SHA256],Q606)=""),"EVIDENCE INCOMPLETE",IF(AND('Input_Meci'!H56="LIVE",INDEX(SourceTable[Retrieved_UTC],Q606)&gt;'Input_Meci'!G56),"POST CUTOFF","CLOSED")))))))</x:f>
      </x:c>
      <x:c r="S606" s="2" t="n">
        <x:f>IF(OR(B606="",F606=""),0,COUNTIFS('Istoric_Nativ'!$B$6:$B$405,E606,'Istoric_Nativ'!$C$6:$C$405,F606,'Istoric_Nativ'!$E$6:$E$405,G606,'Istoric_Nativ'!$D$6:$D$405,"&lt;"&amp;J606,'Istoric_Nativ'!$O$6:$O$405,"INVALID")+COUNTIFS('Istoric_Nativ'!$B$6:$B$405,E606,'Istoric_Nativ'!$C$6:$C$405,F606,'Istoric_Nativ'!$E$6:$E$405,G606,'Istoric_Nativ'!$O$6:$O$405,"INVALID",'Istoric_Nativ'!$D$6:$D$405,"*")+COUNTIFS('Istoric_Nativ'!$B$6:$B$405,E606,'Istoric_Nativ'!$C$6:$C$405,F606,'Istoric_Nativ'!$E$6:$E$405,G606,'Istoric_Nativ'!$D$6:$D$405,"&lt;"&amp;J606,'Istoric_Nativ'!$O$6:$O$405,"SOURCE CONFLICT")+COUNTIFS('Istoric_Nativ'!$B$6:$B$405,E606,'Istoric_Nativ'!$C$6:$C$405,F606,'Istoric_Nativ'!$F$6:$F$405,G606,'Istoric_Nativ'!$D$6:$D$405,"&lt;"&amp;J606,'Istoric_Nativ'!$O$6:$O$405,"INVALID")+COUNTIFS('Istoric_Nativ'!$B$6:$B$405,E606,'Istoric_Nativ'!$C$6:$C$405,F606,'Istoric_Nativ'!$F$6:$F$405,G606,'Istoric_Nativ'!$O$6:$O$405,"INVALID",'Istoric_Nativ'!$D$6:$D$405,"*")+COUNTIFS('Istoric_Nativ'!$B$6:$B$405,E606,'Istoric_Nativ'!$C$6:$C$405,F606,'Istoric_Nativ'!$F$6:$F$405,G606,'Istoric_Nativ'!$D$6:$D$405,"&lt;"&amp;J606,'Istoric_Nativ'!$O$6:$O$405,"SOURCE CONFLICT"))</x:f>
        <x:v>0</x:v>
      </x:c>
      <x:c r="T606" s="2" t="str">
        <x:f>IF(B606="","",IF(R606&lt;&gt;"CLOSED",R606,IF(S606&gt;0,"NATIVE INPUT ISSUE",IF(M606=0,"NO HISTORY",IF(M606&lt;P606,"SMALL SAMPLE","DERIVED")))))</x:f>
      </x:c>
      <x:c r="U606" s="2" t="str">
        <x:f>IF(B606="","","NativeTable; "&amp;E606&amp;"; "&amp;F606&amp;"; "&amp;G606&amp;"; "&amp;H606&amp;"; before "&amp;TEXT(J606,"yyyy-mm-dd")&amp;IF(I606="RECENT","; from "&amp;TEXT(L606,"yyyy-mm-dd"),""))</x:f>
      </x:c>
    </x:row>
    <x:row r="607" ht="21" customHeight="1">
      <x:c r="A607" s="2" t="n">
        <x:v>51</x:v>
      </x:c>
      <x:c r="B607" s="2" t="str">
        <x:f>IF('Input_Meci'!A56="","",'Input_Meci'!A56)</x:f>
      </x:c>
      <x:c r="C607" s="2" t="str">
        <x:v>H</x:v>
      </x:c>
      <x:c r="D607" s="2" t="str">
        <x:v>CURRENT</x:v>
      </x:c>
      <x:c r="E607" s="2" t="str">
        <x:f>IF(B607="","",'Input_Meci'!B56)</x:f>
      </x:c>
      <x:c r="F607" s="2" t="str">
        <x:f>IF(B607="","",IF('Input_Meci'!C56="","",'Input_Meci'!C56))</x:f>
      </x:c>
      <x:c r="G607" s="2" t="str">
        <x:f>IF(B607="","",'Input_Meci'!D56)</x:f>
      </x:c>
      <x:c r="H607" s="2" t="str">
        <x:v>HOME</x:v>
      </x:c>
      <x:c r="I607" s="2" t="str">
        <x:v>HA</x:v>
      </x:c>
      <x:c r="J607" s="9" t="n">
        <x:f>IF(AND(B607&lt;&gt;"",ISNUMBER('Input_Meci'!G56)),INT('Input_Meci'!G56),0)</x:f>
        <x:v>0</x:v>
      </x:c>
      <x:c r="K607" s="2" t="n">
        <x:f>IF(OR(B607="",F607=""),0,IF(H607="HOME",COUNTIFS('Istoric_Nativ'!$B$6:$B$405,E607,'Istoric_Nativ'!$C$6:$C$405,F607,'Istoric_Nativ'!$E$6:$E$405,G607,'Istoric_Nativ'!$D$6:$D$405,"&lt;"&amp;J607,'Istoric_Nativ'!$P$6:$P$405,1),IF(H607="AWAY",COUNTIFS('Istoric_Nativ'!$B$6:$B$405,E607,'Istoric_Nativ'!$C$6:$C$405,F607,'Istoric_Nativ'!$F$6:$F$405,G607,'Istoric_Nativ'!$D$6:$D$405,"&lt;"&amp;J607,'Istoric_Nativ'!$P$6:$P$405,1),COUNTIFS('Istoric_Nativ'!$B$6:$B$405,E607,'Istoric_Nativ'!$C$6:$C$405,F607,'Istoric_Nativ'!$E$6:$E$405,G607,'Istoric_Nativ'!$D$6:$D$405,"&lt;"&amp;J607,'Istoric_Nativ'!$P$6:$P$405,1)+COUNTIFS('Istoric_Nativ'!$B$6:$B$405,E607,'Istoric_Nativ'!$C$6:$C$405,F607,'Istoric_Nativ'!$F$6:$F$405,G607,'Istoric_Nativ'!$D$6:$D$405,"&lt;"&amp;J607,'Istoric_Nativ'!$P$6:$P$405,1))))</x:f>
        <x:v>0</x:v>
      </x:c>
      <x:c r="L607" s="17" t="n">
        <x:f>IF(AND(B607&lt;&gt;"",I607="RECENT",K607&gt;0),LARGE(_xlfn._xlws.FILTER('Istoric_Nativ'!$D$6:$D$405,('Istoric_Nativ'!$B$6:$B$405=E607)*('Istoric_Nativ'!$C$6:$C$405=F607)*('Istoric_Nativ'!$P$6:$P$405=1)*('Istoric_Nativ'!$D$6:$D$405&lt;J607)*((('Istoric_Nativ'!$E$6:$E$405=G607)+('Istoric_Nativ'!$F$6:$F$405=G607))&gt;0)),MIN('Config_v6'!$B$54,K607)),0)</x:f>
        <x:v>0</x:v>
      </x:c>
      <x:c r="M607" s="2" t="n">
        <x:f>IF(OR(B607="",F607=""),0,IF(H607="HOME",COUNTIFS('Istoric_Nativ'!$B$6:$B$405,E607,'Istoric_Nativ'!$C$6:$C$405,F607,'Istoric_Nativ'!$E$6:$E$405,G607,'Istoric_Nativ'!$D$6:$D$405,"&lt;"&amp;J607,'Istoric_Nativ'!$P$6:$P$405,1,'Istoric_Nativ'!$D$6:$D$405,"&gt;="&amp;L607),IF(H607="AWAY",COUNTIFS('Istoric_Nativ'!$B$6:$B$405,E607,'Istoric_Nativ'!$C$6:$C$405,F607,'Istoric_Nativ'!$F$6:$F$405,G607,'Istoric_Nativ'!$D$6:$D$405,"&lt;"&amp;J607,'Istoric_Nativ'!$P$6:$P$405,1,'Istoric_Nativ'!$D$6:$D$405,"&gt;="&amp;L607),COUNTIFS('Istoric_Nativ'!$B$6:$B$405,E607,'Istoric_Nativ'!$C$6:$C$405,F607,'Istoric_Nativ'!$E$6:$E$405,G607,'Istoric_Nativ'!$D$6:$D$405,"&lt;"&amp;J607,'Istoric_Nativ'!$P$6:$P$405,1,'Istoric_Nativ'!$D$6:$D$405,"&gt;="&amp;L607)+COUNTIFS('Istoric_Nativ'!$B$6:$B$405,E607,'Istoric_Nativ'!$C$6:$C$405,F607,'Istoric_Nativ'!$F$6:$F$405,G607,'Istoric_Nativ'!$D$6:$D$405,"&lt;"&amp;J607,'Istoric_Nativ'!$P$6:$P$405,1,'Istoric_Nativ'!$D$6:$D$405,"&gt;="&amp;L607))))</x:f>
        <x:v>0</x:v>
      </x:c>
      <x:c r="N607" s="11" t="str">
        <x:f>IF(M607=0,"",IF(H607="HOME",SUMIFS('Istoric_Nativ'!$G$6:$G$405,'Istoric_Nativ'!$B$6:$B$405,E607,'Istoric_Nativ'!$C$6:$C$405,F607,'Istoric_Nativ'!$E$6:$E$405,G607,'Istoric_Nativ'!$D$6:$D$405,"&lt;"&amp;J607,'Istoric_Nativ'!$P$6:$P$405,1,'Istoric_Nativ'!$D$6:$D$405,"&gt;="&amp;L607),IF(H607="AWAY",SUMIFS('Istoric_Nativ'!$H$6:$H$405,'Istoric_Nativ'!$B$6:$B$405,E607,'Istoric_Nativ'!$C$6:$C$405,F607,'Istoric_Nativ'!$F$6:$F$405,G607,'Istoric_Nativ'!$D$6:$D$405,"&lt;"&amp;J607,'Istoric_Nativ'!$P$6:$P$405,1,'Istoric_Nativ'!$D$6:$D$405,"&gt;="&amp;L607),SUMIFS('Istoric_Nativ'!$G$6:$G$405,'Istoric_Nativ'!$B$6:$B$405,E607,'Istoric_Nativ'!$C$6:$C$405,F607,'Istoric_Nativ'!$E$6:$E$405,G607,'Istoric_Nativ'!$D$6:$D$405,"&lt;"&amp;J607,'Istoric_Nativ'!$P$6:$P$405,1,'Istoric_Nativ'!$D$6:$D$405,"&gt;="&amp;L607)+SUMIFS('Istoric_Nativ'!$H$6:$H$405,'Istoric_Nativ'!$B$6:$B$405,E607,'Istoric_Nativ'!$C$6:$C$405,F607,'Istoric_Nativ'!$F$6:$F$405,G607,'Istoric_Nativ'!$D$6:$D$405,"&lt;"&amp;J607,'Istoric_Nativ'!$P$6:$P$405,1,'Istoric_Nativ'!$D$6:$D$405,"&gt;="&amp;L607)))/M607)</x:f>
      </x:c>
      <x:c r="O607" s="11" t="str">
        <x:f>IF(M607=0,"",IF(H607="HOME",SUMIFS('Istoric_Nativ'!$H$6:$H$405,'Istoric_Nativ'!$B$6:$B$405,E607,'Istoric_Nativ'!$C$6:$C$405,F607,'Istoric_Nativ'!$E$6:$E$405,G607,'Istoric_Nativ'!$D$6:$D$405,"&lt;"&amp;J607,'Istoric_Nativ'!$P$6:$P$405,1,'Istoric_Nativ'!$D$6:$D$405,"&gt;="&amp;L607),IF(H607="AWAY",SUMIFS('Istoric_Nativ'!$G$6:$G$405,'Istoric_Nativ'!$B$6:$B$405,E607,'Istoric_Nativ'!$C$6:$C$405,F607,'Istoric_Nativ'!$F$6:$F$405,G607,'Istoric_Nativ'!$D$6:$D$405,"&lt;"&amp;J607,'Istoric_Nativ'!$P$6:$P$405,1,'Istoric_Nativ'!$D$6:$D$405,"&gt;="&amp;L607),SUMIFS('Istoric_Nativ'!$H$6:$H$405,'Istoric_Nativ'!$B$6:$B$405,E607,'Istoric_Nativ'!$C$6:$C$405,F607,'Istoric_Nativ'!$E$6:$E$405,G607,'Istoric_Nativ'!$D$6:$D$405,"&lt;"&amp;J607,'Istoric_Nativ'!$P$6:$P$405,1,'Istoric_Nativ'!$D$6:$D$405,"&gt;="&amp;L607)+SUMIFS('Istoric_Nativ'!$G$6:$G$405,'Istoric_Nativ'!$B$6:$B$405,E607,'Istoric_Nativ'!$C$6:$C$405,F607,'Istoric_Nativ'!$F$6:$F$405,G607,'Istoric_Nativ'!$D$6:$D$405,"&lt;"&amp;J607,'Istoric_Nativ'!$P$6:$P$405,1,'Istoric_Nativ'!$D$6:$D$405,"&gt;="&amp;L607)))/M607)</x:f>
      </x:c>
      <x:c r="P607" s="2" t="n">
        <x:f>'Config_v6'!$B$8</x:f>
        <x:v>5</x:v>
      </x:c>
      <x:c r="Q607" s="2" t="n">
        <x:f>IF(OR(B607="",F607=""),0,IFERROR(MATCH(E607&amp;"|"&amp;F607,SourceTable[Source_Key],0),0))</x:f>
        <x:v>0</x:v>
      </x:c>
      <x:c r="R607" s="2" t="str">
        <x:f>IF(B607="","",IF(F607="","UNUSED",IF(Q607=0,"NOT CHECKED",IF(COUNTIF(SourceTable[Source_Key],E607&amp;"|"&amp;F607)&lt;&gt;1,"SOURCE CONFLICT",IF(NOT(OR(INDEX(SourceTable[Status],MAX(1,Q607))="IMPORTED",INDEX(SourceTable[Status],MAX(1,Q607))="PARTIAL",INDEX(SourceTable[Status],MAX(1,Q607))="SOURCE CONFLICT")),"ACCESS BLOCKED",IF(OR(INDEX(SourceTable[Coverage],Q607)&lt;&gt;"FULL SEASON EXPORT",INDEX(SourceTable[URL],Q607)="",INDEX(SourceTable[SHA256],Q607)=""),"EVIDENCE INCOMPLETE",IF(AND('Input_Meci'!H56="LIVE",INDEX(SourceTable[Retrieved_UTC],Q607)&gt;'Input_Meci'!G56),"POST CUTOFF","CLOSED")))))))</x:f>
      </x:c>
      <x:c r="S607" s="2" t="n">
        <x:f>IF(OR(B607="",F607=""),0,COUNTIFS('Istoric_Nativ'!$B$6:$B$405,E607,'Istoric_Nativ'!$C$6:$C$405,F607,'Istoric_Nativ'!$E$6:$E$405,G607,'Istoric_Nativ'!$D$6:$D$405,"&lt;"&amp;J607,'Istoric_Nativ'!$O$6:$O$405,"INVALID")+COUNTIFS('Istoric_Nativ'!$B$6:$B$405,E607,'Istoric_Nativ'!$C$6:$C$405,F607,'Istoric_Nativ'!$E$6:$E$405,G607,'Istoric_Nativ'!$O$6:$O$405,"INVALID",'Istoric_Nativ'!$D$6:$D$405,"*")+COUNTIFS('Istoric_Nativ'!$B$6:$B$405,E607,'Istoric_Nativ'!$C$6:$C$405,F607,'Istoric_Nativ'!$E$6:$E$405,G607,'Istoric_Nativ'!$D$6:$D$405,"&lt;"&amp;J607,'Istoric_Nativ'!$O$6:$O$405,"SOURCE CONFLICT")+COUNTIFS('Istoric_Nativ'!$B$6:$B$405,E607,'Istoric_Nativ'!$C$6:$C$405,F607,'Istoric_Nativ'!$F$6:$F$405,G607,'Istoric_Nativ'!$D$6:$D$405,"&lt;"&amp;J607,'Istoric_Nativ'!$O$6:$O$405,"INVALID")+COUNTIFS('Istoric_Nativ'!$B$6:$B$405,E607,'Istoric_Nativ'!$C$6:$C$405,F607,'Istoric_Nativ'!$F$6:$F$405,G607,'Istoric_Nativ'!$O$6:$O$405,"INVALID",'Istoric_Nativ'!$D$6:$D$405,"*")+COUNTIFS('Istoric_Nativ'!$B$6:$B$405,E607,'Istoric_Nativ'!$C$6:$C$405,F607,'Istoric_Nativ'!$F$6:$F$405,G607,'Istoric_Nativ'!$D$6:$D$405,"&lt;"&amp;J607,'Istoric_Nativ'!$O$6:$O$405,"SOURCE CONFLICT"))</x:f>
        <x:v>0</x:v>
      </x:c>
      <x:c r="T607" s="2" t="str">
        <x:f>IF(B607="","",IF(R607&lt;&gt;"CLOSED",R607,IF(S607&gt;0,"NATIVE INPUT ISSUE",IF(M607=0,"NO HISTORY",IF(M607&lt;P607,"SMALL SAMPLE","DERIVED")))))</x:f>
      </x:c>
      <x:c r="U607" s="2" t="str">
        <x:f>IF(B607="","","NativeTable; "&amp;E607&amp;"; "&amp;F607&amp;"; "&amp;G607&amp;"; "&amp;H607&amp;"; before "&amp;TEXT(J607,"yyyy-mm-dd")&amp;IF(I607="RECENT","; from "&amp;TEXT(L607,"yyyy-mm-dd"),""))</x:f>
      </x:c>
    </x:row>
    <x:row r="608" ht="21" customHeight="1">
      <x:c r="A608" s="2" t="n">
        <x:v>51</x:v>
      </x:c>
      <x:c r="B608" s="2" t="str">
        <x:f>IF('Input_Meci'!A56="","",'Input_Meci'!A56)</x:f>
      </x:c>
      <x:c r="C608" s="2" t="str">
        <x:v>H</x:v>
      </x:c>
      <x:c r="D608" s="2" t="str">
        <x:v>CURRENT</x:v>
      </x:c>
      <x:c r="E608" s="2" t="str">
        <x:f>IF(B608="","",'Input_Meci'!B56)</x:f>
      </x:c>
      <x:c r="F608" s="2" t="str">
        <x:f>IF(B608="","",IF('Input_Meci'!C56="","",'Input_Meci'!C56))</x:f>
      </x:c>
      <x:c r="G608" s="2" t="str">
        <x:f>IF(B608="","",'Input_Meci'!D56)</x:f>
      </x:c>
      <x:c r="H608" s="2" t="str">
        <x:v>ANY</x:v>
      </x:c>
      <x:c r="I608" s="2" t="str">
        <x:v>RECENT</x:v>
      </x:c>
      <x:c r="J608" s="9" t="n">
        <x:f>IF(AND(B608&lt;&gt;"",ISNUMBER('Input_Meci'!G56)),INT('Input_Meci'!G56),0)</x:f>
        <x:v>0</x:v>
      </x:c>
      <x:c r="K608" s="2" t="n">
        <x:f>IF(OR(B608="",F608=""),0,IF(H608="HOME",COUNTIFS('Istoric_Nativ'!$B$6:$B$405,E608,'Istoric_Nativ'!$C$6:$C$405,F608,'Istoric_Nativ'!$E$6:$E$405,G608,'Istoric_Nativ'!$D$6:$D$405,"&lt;"&amp;J608,'Istoric_Nativ'!$P$6:$P$405,1),IF(H608="AWAY",COUNTIFS('Istoric_Nativ'!$B$6:$B$405,E608,'Istoric_Nativ'!$C$6:$C$405,F608,'Istoric_Nativ'!$F$6:$F$405,G608,'Istoric_Nativ'!$D$6:$D$405,"&lt;"&amp;J608,'Istoric_Nativ'!$P$6:$P$405,1),COUNTIFS('Istoric_Nativ'!$B$6:$B$405,E608,'Istoric_Nativ'!$C$6:$C$405,F608,'Istoric_Nativ'!$E$6:$E$405,G608,'Istoric_Nativ'!$D$6:$D$405,"&lt;"&amp;J608,'Istoric_Nativ'!$P$6:$P$405,1)+COUNTIFS('Istoric_Nativ'!$B$6:$B$405,E608,'Istoric_Nativ'!$C$6:$C$405,F608,'Istoric_Nativ'!$F$6:$F$405,G608,'Istoric_Nativ'!$D$6:$D$405,"&lt;"&amp;J608,'Istoric_Nativ'!$P$6:$P$405,1))))</x:f>
        <x:v>0</x:v>
      </x:c>
      <x:c r="L608" s="17" t="n">
        <x:f>IF(AND(B608&lt;&gt;"",I608="RECENT",K608&gt;0),LARGE(_xlfn._xlws.FILTER('Istoric_Nativ'!$D$6:$D$405,('Istoric_Nativ'!$B$6:$B$405=E608)*('Istoric_Nativ'!$C$6:$C$405=F608)*('Istoric_Nativ'!$P$6:$P$405=1)*('Istoric_Nativ'!$D$6:$D$405&lt;J608)*((('Istoric_Nativ'!$E$6:$E$405=G608)+('Istoric_Nativ'!$F$6:$F$405=G608))&gt;0)),MIN('Config_v6'!$B$54,K608)),0)</x:f>
        <x:v>0</x:v>
      </x:c>
      <x:c r="M608" s="2" t="n">
        <x:f>IF(OR(B608="",F608=""),0,IF(H608="HOME",COUNTIFS('Istoric_Nativ'!$B$6:$B$405,E608,'Istoric_Nativ'!$C$6:$C$405,F608,'Istoric_Nativ'!$E$6:$E$405,G608,'Istoric_Nativ'!$D$6:$D$405,"&lt;"&amp;J608,'Istoric_Nativ'!$P$6:$P$405,1,'Istoric_Nativ'!$D$6:$D$405,"&gt;="&amp;L608),IF(H608="AWAY",COUNTIFS('Istoric_Nativ'!$B$6:$B$405,E608,'Istoric_Nativ'!$C$6:$C$405,F608,'Istoric_Nativ'!$F$6:$F$405,G608,'Istoric_Nativ'!$D$6:$D$405,"&lt;"&amp;J608,'Istoric_Nativ'!$P$6:$P$405,1,'Istoric_Nativ'!$D$6:$D$405,"&gt;="&amp;L608),COUNTIFS('Istoric_Nativ'!$B$6:$B$405,E608,'Istoric_Nativ'!$C$6:$C$405,F608,'Istoric_Nativ'!$E$6:$E$405,G608,'Istoric_Nativ'!$D$6:$D$405,"&lt;"&amp;J608,'Istoric_Nativ'!$P$6:$P$405,1,'Istoric_Nativ'!$D$6:$D$405,"&gt;="&amp;L608)+COUNTIFS('Istoric_Nativ'!$B$6:$B$405,E608,'Istoric_Nativ'!$C$6:$C$405,F608,'Istoric_Nativ'!$F$6:$F$405,G608,'Istoric_Nativ'!$D$6:$D$405,"&lt;"&amp;J608,'Istoric_Nativ'!$P$6:$P$405,1,'Istoric_Nativ'!$D$6:$D$405,"&gt;="&amp;L608))))</x:f>
        <x:v>0</x:v>
      </x:c>
      <x:c r="N608" s="11" t="str">
        <x:f>IF(M608=0,"",IF(H608="HOME",SUMIFS('Istoric_Nativ'!$G$6:$G$405,'Istoric_Nativ'!$B$6:$B$405,E608,'Istoric_Nativ'!$C$6:$C$405,F608,'Istoric_Nativ'!$E$6:$E$405,G608,'Istoric_Nativ'!$D$6:$D$405,"&lt;"&amp;J608,'Istoric_Nativ'!$P$6:$P$405,1,'Istoric_Nativ'!$D$6:$D$405,"&gt;="&amp;L608),IF(H608="AWAY",SUMIFS('Istoric_Nativ'!$H$6:$H$405,'Istoric_Nativ'!$B$6:$B$405,E608,'Istoric_Nativ'!$C$6:$C$405,F608,'Istoric_Nativ'!$F$6:$F$405,G608,'Istoric_Nativ'!$D$6:$D$405,"&lt;"&amp;J608,'Istoric_Nativ'!$P$6:$P$405,1,'Istoric_Nativ'!$D$6:$D$405,"&gt;="&amp;L608),SUMIFS('Istoric_Nativ'!$G$6:$G$405,'Istoric_Nativ'!$B$6:$B$405,E608,'Istoric_Nativ'!$C$6:$C$405,F608,'Istoric_Nativ'!$E$6:$E$405,G608,'Istoric_Nativ'!$D$6:$D$405,"&lt;"&amp;J608,'Istoric_Nativ'!$P$6:$P$405,1,'Istoric_Nativ'!$D$6:$D$405,"&gt;="&amp;L608)+SUMIFS('Istoric_Nativ'!$H$6:$H$405,'Istoric_Nativ'!$B$6:$B$405,E608,'Istoric_Nativ'!$C$6:$C$405,F608,'Istoric_Nativ'!$F$6:$F$405,G608,'Istoric_Nativ'!$D$6:$D$405,"&lt;"&amp;J608,'Istoric_Nativ'!$P$6:$P$405,1,'Istoric_Nativ'!$D$6:$D$405,"&gt;="&amp;L608)))/M608)</x:f>
      </x:c>
      <x:c r="O608" s="11" t="str">
        <x:f>IF(M608=0,"",IF(H608="HOME",SUMIFS('Istoric_Nativ'!$H$6:$H$405,'Istoric_Nativ'!$B$6:$B$405,E608,'Istoric_Nativ'!$C$6:$C$405,F608,'Istoric_Nativ'!$E$6:$E$405,G608,'Istoric_Nativ'!$D$6:$D$405,"&lt;"&amp;J608,'Istoric_Nativ'!$P$6:$P$405,1,'Istoric_Nativ'!$D$6:$D$405,"&gt;="&amp;L608),IF(H608="AWAY",SUMIFS('Istoric_Nativ'!$G$6:$G$405,'Istoric_Nativ'!$B$6:$B$405,E608,'Istoric_Nativ'!$C$6:$C$405,F608,'Istoric_Nativ'!$F$6:$F$405,G608,'Istoric_Nativ'!$D$6:$D$405,"&lt;"&amp;J608,'Istoric_Nativ'!$P$6:$P$405,1,'Istoric_Nativ'!$D$6:$D$405,"&gt;="&amp;L608),SUMIFS('Istoric_Nativ'!$H$6:$H$405,'Istoric_Nativ'!$B$6:$B$405,E608,'Istoric_Nativ'!$C$6:$C$405,F608,'Istoric_Nativ'!$E$6:$E$405,G608,'Istoric_Nativ'!$D$6:$D$405,"&lt;"&amp;J608,'Istoric_Nativ'!$P$6:$P$405,1,'Istoric_Nativ'!$D$6:$D$405,"&gt;="&amp;L608)+SUMIFS('Istoric_Nativ'!$G$6:$G$405,'Istoric_Nativ'!$B$6:$B$405,E608,'Istoric_Nativ'!$C$6:$C$405,F608,'Istoric_Nativ'!$F$6:$F$405,G608,'Istoric_Nativ'!$D$6:$D$405,"&lt;"&amp;J608,'Istoric_Nativ'!$P$6:$P$405,1,'Istoric_Nativ'!$D$6:$D$405,"&gt;="&amp;L608)))/M608)</x:f>
      </x:c>
      <x:c r="P608" s="2" t="n">
        <x:f>'Config_v6'!$B$9</x:f>
        <x:v>3</x:v>
      </x:c>
      <x:c r="Q608" s="2" t="n">
        <x:f>IF(OR(B608="",F608=""),0,IFERROR(MATCH(E608&amp;"|"&amp;F608,SourceTable[Source_Key],0),0))</x:f>
        <x:v>0</x:v>
      </x:c>
      <x:c r="R608" s="2" t="str">
        <x:f>IF(B608="","",IF(F608="","UNUSED",IF(Q608=0,"NOT CHECKED",IF(COUNTIF(SourceTable[Source_Key],E608&amp;"|"&amp;F608)&lt;&gt;1,"SOURCE CONFLICT",IF(NOT(OR(INDEX(SourceTable[Status],MAX(1,Q608))="IMPORTED",INDEX(SourceTable[Status],MAX(1,Q608))="PARTIAL",INDEX(SourceTable[Status],MAX(1,Q608))="SOURCE CONFLICT")),"ACCESS BLOCKED",IF(OR(INDEX(SourceTable[Coverage],Q608)&lt;&gt;"FULL SEASON EXPORT",INDEX(SourceTable[URL],Q608)="",INDEX(SourceTable[SHA256],Q608)=""),"EVIDENCE INCOMPLETE",IF(AND('Input_Meci'!H56="LIVE",INDEX(SourceTable[Retrieved_UTC],Q608)&gt;'Input_Meci'!G56),"POST CUTOFF","CLOSED")))))))</x:f>
      </x:c>
      <x:c r="S608" s="2" t="n">
        <x:f>IF(OR(B608="",F608=""),0,COUNTIFS('Istoric_Nativ'!$B$6:$B$405,E608,'Istoric_Nativ'!$C$6:$C$405,F608,'Istoric_Nativ'!$E$6:$E$405,G608,'Istoric_Nativ'!$D$6:$D$405,"&lt;"&amp;J608,'Istoric_Nativ'!$O$6:$O$405,"INVALID")+COUNTIFS('Istoric_Nativ'!$B$6:$B$405,E608,'Istoric_Nativ'!$C$6:$C$405,F608,'Istoric_Nativ'!$E$6:$E$405,G608,'Istoric_Nativ'!$O$6:$O$405,"INVALID",'Istoric_Nativ'!$D$6:$D$405,"*")+COUNTIFS('Istoric_Nativ'!$B$6:$B$405,E608,'Istoric_Nativ'!$C$6:$C$405,F608,'Istoric_Nativ'!$E$6:$E$405,G608,'Istoric_Nativ'!$D$6:$D$405,"&lt;"&amp;J608,'Istoric_Nativ'!$O$6:$O$405,"SOURCE CONFLICT")+COUNTIFS('Istoric_Nativ'!$B$6:$B$405,E608,'Istoric_Nativ'!$C$6:$C$405,F608,'Istoric_Nativ'!$F$6:$F$405,G608,'Istoric_Nativ'!$D$6:$D$405,"&lt;"&amp;J608,'Istoric_Nativ'!$O$6:$O$405,"INVALID")+COUNTIFS('Istoric_Nativ'!$B$6:$B$405,E608,'Istoric_Nativ'!$C$6:$C$405,F608,'Istoric_Nativ'!$F$6:$F$405,G608,'Istoric_Nativ'!$O$6:$O$405,"INVALID",'Istoric_Nativ'!$D$6:$D$405,"*")+COUNTIFS('Istoric_Nativ'!$B$6:$B$405,E608,'Istoric_Nativ'!$C$6:$C$405,F608,'Istoric_Nativ'!$F$6:$F$405,G608,'Istoric_Nativ'!$D$6:$D$405,"&lt;"&amp;J608,'Istoric_Nativ'!$O$6:$O$405,"SOURCE CONFLICT"))</x:f>
        <x:v>0</x:v>
      </x:c>
      <x:c r="T608" s="2" t="str">
        <x:f>IF(B608="","",IF(R608&lt;&gt;"CLOSED",R608,IF(S608&gt;0,"NATIVE INPUT ISSUE",IF(M608=0,"NO HISTORY",IF(M608&lt;P608,"SMALL SAMPLE","DERIVED")))))</x:f>
      </x:c>
      <x:c r="U608" s="2" t="str">
        <x:f>IF(B608="","","NativeTable; "&amp;E608&amp;"; "&amp;F608&amp;"; "&amp;G608&amp;"; "&amp;H608&amp;"; before "&amp;TEXT(J608,"yyyy-mm-dd")&amp;IF(I608="RECENT","; from "&amp;TEXT(L608,"yyyy-mm-dd"),""))</x:f>
      </x:c>
    </x:row>
    <x:row r="609" ht="21" customHeight="1">
      <x:c r="A609" s="2" t="n">
        <x:v>51</x:v>
      </x:c>
      <x:c r="B609" s="2" t="str">
        <x:f>IF('Input_Meci'!A56="","",'Input_Meci'!A56)</x:f>
      </x:c>
      <x:c r="C609" s="2" t="str">
        <x:v>A</x:v>
      </x:c>
      <x:c r="D609" s="2" t="str">
        <x:v>CURRENT</x:v>
      </x:c>
      <x:c r="E609" s="2" t="str">
        <x:f>IF(B609="","",'Input_Meci'!B56)</x:f>
      </x:c>
      <x:c r="F609" s="2" t="str">
        <x:f>IF(B609="","",IF('Input_Meci'!C56="","",'Input_Meci'!C56))</x:f>
      </x:c>
      <x:c r="G609" s="2" t="str">
        <x:f>IF(B609="","",'Input_Meci'!E56)</x:f>
      </x:c>
      <x:c r="H609" s="2" t="str">
        <x:v>ANY</x:v>
      </x:c>
      <x:c r="I609" s="2" t="str">
        <x:v>SEASON</x:v>
      </x:c>
      <x:c r="J609" s="9" t="n">
        <x:f>IF(AND(B609&lt;&gt;"",ISNUMBER('Input_Meci'!G56)),INT('Input_Meci'!G56),0)</x:f>
        <x:v>0</x:v>
      </x:c>
      <x:c r="K609" s="2" t="n">
        <x:f>IF(OR(B609="",F609=""),0,IF(H609="HOME",COUNTIFS('Istoric_Nativ'!$B$6:$B$405,E609,'Istoric_Nativ'!$C$6:$C$405,F609,'Istoric_Nativ'!$E$6:$E$405,G609,'Istoric_Nativ'!$D$6:$D$405,"&lt;"&amp;J609,'Istoric_Nativ'!$P$6:$P$405,1),IF(H609="AWAY",COUNTIFS('Istoric_Nativ'!$B$6:$B$405,E609,'Istoric_Nativ'!$C$6:$C$405,F609,'Istoric_Nativ'!$F$6:$F$405,G609,'Istoric_Nativ'!$D$6:$D$405,"&lt;"&amp;J609,'Istoric_Nativ'!$P$6:$P$405,1),COUNTIFS('Istoric_Nativ'!$B$6:$B$405,E609,'Istoric_Nativ'!$C$6:$C$405,F609,'Istoric_Nativ'!$E$6:$E$405,G609,'Istoric_Nativ'!$D$6:$D$405,"&lt;"&amp;J609,'Istoric_Nativ'!$P$6:$P$405,1)+COUNTIFS('Istoric_Nativ'!$B$6:$B$405,E609,'Istoric_Nativ'!$C$6:$C$405,F609,'Istoric_Nativ'!$F$6:$F$405,G609,'Istoric_Nativ'!$D$6:$D$405,"&lt;"&amp;J609,'Istoric_Nativ'!$P$6:$P$405,1))))</x:f>
        <x:v>0</x:v>
      </x:c>
      <x:c r="L609" s="17" t="n">
        <x:f>IF(AND(B609&lt;&gt;"",I609="RECENT",K609&gt;0),LARGE(_xlfn._xlws.FILTER('Istoric_Nativ'!$D$6:$D$405,('Istoric_Nativ'!$B$6:$B$405=E609)*('Istoric_Nativ'!$C$6:$C$405=F609)*('Istoric_Nativ'!$P$6:$P$405=1)*('Istoric_Nativ'!$D$6:$D$405&lt;J609)*((('Istoric_Nativ'!$E$6:$E$405=G609)+('Istoric_Nativ'!$F$6:$F$405=G609))&gt;0)),MIN('Config_v6'!$B$54,K609)),0)</x:f>
        <x:v>0</x:v>
      </x:c>
      <x:c r="M609" s="2" t="n">
        <x:f>IF(OR(B609="",F609=""),0,IF(H609="HOME",COUNTIFS('Istoric_Nativ'!$B$6:$B$405,E609,'Istoric_Nativ'!$C$6:$C$405,F609,'Istoric_Nativ'!$E$6:$E$405,G609,'Istoric_Nativ'!$D$6:$D$405,"&lt;"&amp;J609,'Istoric_Nativ'!$P$6:$P$405,1,'Istoric_Nativ'!$D$6:$D$405,"&gt;="&amp;L609),IF(H609="AWAY",COUNTIFS('Istoric_Nativ'!$B$6:$B$405,E609,'Istoric_Nativ'!$C$6:$C$405,F609,'Istoric_Nativ'!$F$6:$F$405,G609,'Istoric_Nativ'!$D$6:$D$405,"&lt;"&amp;J609,'Istoric_Nativ'!$P$6:$P$405,1,'Istoric_Nativ'!$D$6:$D$405,"&gt;="&amp;L609),COUNTIFS('Istoric_Nativ'!$B$6:$B$405,E609,'Istoric_Nativ'!$C$6:$C$405,F609,'Istoric_Nativ'!$E$6:$E$405,G609,'Istoric_Nativ'!$D$6:$D$405,"&lt;"&amp;J609,'Istoric_Nativ'!$P$6:$P$405,1,'Istoric_Nativ'!$D$6:$D$405,"&gt;="&amp;L609)+COUNTIFS('Istoric_Nativ'!$B$6:$B$405,E609,'Istoric_Nativ'!$C$6:$C$405,F609,'Istoric_Nativ'!$F$6:$F$405,G609,'Istoric_Nativ'!$D$6:$D$405,"&lt;"&amp;J609,'Istoric_Nativ'!$P$6:$P$405,1,'Istoric_Nativ'!$D$6:$D$405,"&gt;="&amp;L609))))</x:f>
        <x:v>0</x:v>
      </x:c>
      <x:c r="N609" s="11" t="str">
        <x:f>IF(M609=0,"",IF(H609="HOME",SUMIFS('Istoric_Nativ'!$G$6:$G$405,'Istoric_Nativ'!$B$6:$B$405,E609,'Istoric_Nativ'!$C$6:$C$405,F609,'Istoric_Nativ'!$E$6:$E$405,G609,'Istoric_Nativ'!$D$6:$D$405,"&lt;"&amp;J609,'Istoric_Nativ'!$P$6:$P$405,1,'Istoric_Nativ'!$D$6:$D$405,"&gt;="&amp;L609),IF(H609="AWAY",SUMIFS('Istoric_Nativ'!$H$6:$H$405,'Istoric_Nativ'!$B$6:$B$405,E609,'Istoric_Nativ'!$C$6:$C$405,F609,'Istoric_Nativ'!$F$6:$F$405,G609,'Istoric_Nativ'!$D$6:$D$405,"&lt;"&amp;J609,'Istoric_Nativ'!$P$6:$P$405,1,'Istoric_Nativ'!$D$6:$D$405,"&gt;="&amp;L609),SUMIFS('Istoric_Nativ'!$G$6:$G$405,'Istoric_Nativ'!$B$6:$B$405,E609,'Istoric_Nativ'!$C$6:$C$405,F609,'Istoric_Nativ'!$E$6:$E$405,G609,'Istoric_Nativ'!$D$6:$D$405,"&lt;"&amp;J609,'Istoric_Nativ'!$P$6:$P$405,1,'Istoric_Nativ'!$D$6:$D$405,"&gt;="&amp;L609)+SUMIFS('Istoric_Nativ'!$H$6:$H$405,'Istoric_Nativ'!$B$6:$B$405,E609,'Istoric_Nativ'!$C$6:$C$405,F609,'Istoric_Nativ'!$F$6:$F$405,G609,'Istoric_Nativ'!$D$6:$D$405,"&lt;"&amp;J609,'Istoric_Nativ'!$P$6:$P$405,1,'Istoric_Nativ'!$D$6:$D$405,"&gt;="&amp;L609)))/M609)</x:f>
      </x:c>
      <x:c r="O609" s="11" t="str">
        <x:f>IF(M609=0,"",IF(H609="HOME",SUMIFS('Istoric_Nativ'!$H$6:$H$405,'Istoric_Nativ'!$B$6:$B$405,E609,'Istoric_Nativ'!$C$6:$C$405,F609,'Istoric_Nativ'!$E$6:$E$405,G609,'Istoric_Nativ'!$D$6:$D$405,"&lt;"&amp;J609,'Istoric_Nativ'!$P$6:$P$405,1,'Istoric_Nativ'!$D$6:$D$405,"&gt;="&amp;L609),IF(H609="AWAY",SUMIFS('Istoric_Nativ'!$G$6:$G$405,'Istoric_Nativ'!$B$6:$B$405,E609,'Istoric_Nativ'!$C$6:$C$405,F609,'Istoric_Nativ'!$F$6:$F$405,G609,'Istoric_Nativ'!$D$6:$D$405,"&lt;"&amp;J609,'Istoric_Nativ'!$P$6:$P$405,1,'Istoric_Nativ'!$D$6:$D$405,"&gt;="&amp;L609),SUMIFS('Istoric_Nativ'!$H$6:$H$405,'Istoric_Nativ'!$B$6:$B$405,E609,'Istoric_Nativ'!$C$6:$C$405,F609,'Istoric_Nativ'!$E$6:$E$405,G609,'Istoric_Nativ'!$D$6:$D$405,"&lt;"&amp;J609,'Istoric_Nativ'!$P$6:$P$405,1,'Istoric_Nativ'!$D$6:$D$405,"&gt;="&amp;L609)+SUMIFS('Istoric_Nativ'!$G$6:$G$405,'Istoric_Nativ'!$B$6:$B$405,E609,'Istoric_Nativ'!$C$6:$C$405,F609,'Istoric_Nativ'!$F$6:$F$405,G609,'Istoric_Nativ'!$D$6:$D$405,"&lt;"&amp;J609,'Istoric_Nativ'!$P$6:$P$405,1,'Istoric_Nativ'!$D$6:$D$405,"&gt;="&amp;L609)))/M609)</x:f>
      </x:c>
      <x:c r="P609" s="2" t="n">
        <x:f>'Config_v6'!$B$7</x:f>
        <x:v>10</x:v>
      </x:c>
      <x:c r="Q609" s="2" t="n">
        <x:f>IF(OR(B609="",F609=""),0,IFERROR(MATCH(E609&amp;"|"&amp;F609,SourceTable[Source_Key],0),0))</x:f>
        <x:v>0</x:v>
      </x:c>
      <x:c r="R609" s="2" t="str">
        <x:f>IF(B609="","",IF(F609="","UNUSED",IF(Q609=0,"NOT CHECKED",IF(COUNTIF(SourceTable[Source_Key],E609&amp;"|"&amp;F609)&lt;&gt;1,"SOURCE CONFLICT",IF(NOT(OR(INDEX(SourceTable[Status],MAX(1,Q609))="IMPORTED",INDEX(SourceTable[Status],MAX(1,Q609))="PARTIAL",INDEX(SourceTable[Status],MAX(1,Q609))="SOURCE CONFLICT")),"ACCESS BLOCKED",IF(OR(INDEX(SourceTable[Coverage],Q609)&lt;&gt;"FULL SEASON EXPORT",INDEX(SourceTable[URL],Q609)="",INDEX(SourceTable[SHA256],Q609)=""),"EVIDENCE INCOMPLETE",IF(AND('Input_Meci'!H56="LIVE",INDEX(SourceTable[Retrieved_UTC],Q609)&gt;'Input_Meci'!G56),"POST CUTOFF","CLOSED")))))))</x:f>
      </x:c>
      <x:c r="S609" s="2" t="n">
        <x:f>IF(OR(B609="",F609=""),0,COUNTIFS('Istoric_Nativ'!$B$6:$B$405,E609,'Istoric_Nativ'!$C$6:$C$405,F609,'Istoric_Nativ'!$E$6:$E$405,G609,'Istoric_Nativ'!$D$6:$D$405,"&lt;"&amp;J609,'Istoric_Nativ'!$O$6:$O$405,"INVALID")+COUNTIFS('Istoric_Nativ'!$B$6:$B$405,E609,'Istoric_Nativ'!$C$6:$C$405,F609,'Istoric_Nativ'!$E$6:$E$405,G609,'Istoric_Nativ'!$O$6:$O$405,"INVALID",'Istoric_Nativ'!$D$6:$D$405,"*")+COUNTIFS('Istoric_Nativ'!$B$6:$B$405,E609,'Istoric_Nativ'!$C$6:$C$405,F609,'Istoric_Nativ'!$E$6:$E$405,G609,'Istoric_Nativ'!$D$6:$D$405,"&lt;"&amp;J609,'Istoric_Nativ'!$O$6:$O$405,"SOURCE CONFLICT")+COUNTIFS('Istoric_Nativ'!$B$6:$B$405,E609,'Istoric_Nativ'!$C$6:$C$405,F609,'Istoric_Nativ'!$F$6:$F$405,G609,'Istoric_Nativ'!$D$6:$D$405,"&lt;"&amp;J609,'Istoric_Nativ'!$O$6:$O$405,"INVALID")+COUNTIFS('Istoric_Nativ'!$B$6:$B$405,E609,'Istoric_Nativ'!$C$6:$C$405,F609,'Istoric_Nativ'!$F$6:$F$405,G609,'Istoric_Nativ'!$O$6:$O$405,"INVALID",'Istoric_Nativ'!$D$6:$D$405,"*")+COUNTIFS('Istoric_Nativ'!$B$6:$B$405,E609,'Istoric_Nativ'!$C$6:$C$405,F609,'Istoric_Nativ'!$F$6:$F$405,G609,'Istoric_Nativ'!$D$6:$D$405,"&lt;"&amp;J609,'Istoric_Nativ'!$O$6:$O$405,"SOURCE CONFLICT"))</x:f>
        <x:v>0</x:v>
      </x:c>
      <x:c r="T609" s="2" t="str">
        <x:f>IF(B609="","",IF(R609&lt;&gt;"CLOSED",R609,IF(S609&gt;0,"NATIVE INPUT ISSUE",IF(M609=0,"NO HISTORY",IF(M609&lt;P609,"SMALL SAMPLE","DERIVED")))))</x:f>
      </x:c>
      <x:c r="U609" s="2" t="str">
        <x:f>IF(B609="","","NativeTable; "&amp;E609&amp;"; "&amp;F609&amp;"; "&amp;G609&amp;"; "&amp;H609&amp;"; before "&amp;TEXT(J609,"yyyy-mm-dd")&amp;IF(I609="RECENT","; from "&amp;TEXT(L609,"yyyy-mm-dd"),""))</x:f>
      </x:c>
    </x:row>
    <x:row r="610" ht="21" customHeight="1">
      <x:c r="A610" s="2" t="n">
        <x:v>51</x:v>
      </x:c>
      <x:c r="B610" s="2" t="str">
        <x:f>IF('Input_Meci'!A56="","",'Input_Meci'!A56)</x:f>
      </x:c>
      <x:c r="C610" s="2" t="str">
        <x:v>A</x:v>
      </x:c>
      <x:c r="D610" s="2" t="str">
        <x:v>CURRENT</x:v>
      </x:c>
      <x:c r="E610" s="2" t="str">
        <x:f>IF(B610="","",'Input_Meci'!B56)</x:f>
      </x:c>
      <x:c r="F610" s="2" t="str">
        <x:f>IF(B610="","",IF('Input_Meci'!C56="","",'Input_Meci'!C56))</x:f>
      </x:c>
      <x:c r="G610" s="2" t="str">
        <x:f>IF(B610="","",'Input_Meci'!E56)</x:f>
      </x:c>
      <x:c r="H610" s="2" t="str">
        <x:v>AWAY</x:v>
      </x:c>
      <x:c r="I610" s="2" t="str">
        <x:v>HA</x:v>
      </x:c>
      <x:c r="J610" s="9" t="n">
        <x:f>IF(AND(B610&lt;&gt;"",ISNUMBER('Input_Meci'!G56)),INT('Input_Meci'!G56),0)</x:f>
        <x:v>0</x:v>
      </x:c>
      <x:c r="K610" s="2" t="n">
        <x:f>IF(OR(B610="",F610=""),0,IF(H610="HOME",COUNTIFS('Istoric_Nativ'!$B$6:$B$405,E610,'Istoric_Nativ'!$C$6:$C$405,F610,'Istoric_Nativ'!$E$6:$E$405,G610,'Istoric_Nativ'!$D$6:$D$405,"&lt;"&amp;J610,'Istoric_Nativ'!$P$6:$P$405,1),IF(H610="AWAY",COUNTIFS('Istoric_Nativ'!$B$6:$B$405,E610,'Istoric_Nativ'!$C$6:$C$405,F610,'Istoric_Nativ'!$F$6:$F$405,G610,'Istoric_Nativ'!$D$6:$D$405,"&lt;"&amp;J610,'Istoric_Nativ'!$P$6:$P$405,1),COUNTIFS('Istoric_Nativ'!$B$6:$B$405,E610,'Istoric_Nativ'!$C$6:$C$405,F610,'Istoric_Nativ'!$E$6:$E$405,G610,'Istoric_Nativ'!$D$6:$D$405,"&lt;"&amp;J610,'Istoric_Nativ'!$P$6:$P$405,1)+COUNTIFS('Istoric_Nativ'!$B$6:$B$405,E610,'Istoric_Nativ'!$C$6:$C$405,F610,'Istoric_Nativ'!$F$6:$F$405,G610,'Istoric_Nativ'!$D$6:$D$405,"&lt;"&amp;J610,'Istoric_Nativ'!$P$6:$P$405,1))))</x:f>
        <x:v>0</x:v>
      </x:c>
      <x:c r="L610" s="17" t="n">
        <x:f>IF(AND(B610&lt;&gt;"",I610="RECENT",K610&gt;0),LARGE(_xlfn._xlws.FILTER('Istoric_Nativ'!$D$6:$D$405,('Istoric_Nativ'!$B$6:$B$405=E610)*('Istoric_Nativ'!$C$6:$C$405=F610)*('Istoric_Nativ'!$P$6:$P$405=1)*('Istoric_Nativ'!$D$6:$D$405&lt;J610)*((('Istoric_Nativ'!$E$6:$E$405=G610)+('Istoric_Nativ'!$F$6:$F$405=G610))&gt;0)),MIN('Config_v6'!$B$54,K610)),0)</x:f>
        <x:v>0</x:v>
      </x:c>
      <x:c r="M610" s="2" t="n">
        <x:f>IF(OR(B610="",F610=""),0,IF(H610="HOME",COUNTIFS('Istoric_Nativ'!$B$6:$B$405,E610,'Istoric_Nativ'!$C$6:$C$405,F610,'Istoric_Nativ'!$E$6:$E$405,G610,'Istoric_Nativ'!$D$6:$D$405,"&lt;"&amp;J610,'Istoric_Nativ'!$P$6:$P$405,1,'Istoric_Nativ'!$D$6:$D$405,"&gt;="&amp;L610),IF(H610="AWAY",COUNTIFS('Istoric_Nativ'!$B$6:$B$405,E610,'Istoric_Nativ'!$C$6:$C$405,F610,'Istoric_Nativ'!$F$6:$F$405,G610,'Istoric_Nativ'!$D$6:$D$405,"&lt;"&amp;J610,'Istoric_Nativ'!$P$6:$P$405,1,'Istoric_Nativ'!$D$6:$D$405,"&gt;="&amp;L610),COUNTIFS('Istoric_Nativ'!$B$6:$B$405,E610,'Istoric_Nativ'!$C$6:$C$405,F610,'Istoric_Nativ'!$E$6:$E$405,G610,'Istoric_Nativ'!$D$6:$D$405,"&lt;"&amp;J610,'Istoric_Nativ'!$P$6:$P$405,1,'Istoric_Nativ'!$D$6:$D$405,"&gt;="&amp;L610)+COUNTIFS('Istoric_Nativ'!$B$6:$B$405,E610,'Istoric_Nativ'!$C$6:$C$405,F610,'Istoric_Nativ'!$F$6:$F$405,G610,'Istoric_Nativ'!$D$6:$D$405,"&lt;"&amp;J610,'Istoric_Nativ'!$P$6:$P$405,1,'Istoric_Nativ'!$D$6:$D$405,"&gt;="&amp;L610))))</x:f>
        <x:v>0</x:v>
      </x:c>
      <x:c r="N610" s="11" t="str">
        <x:f>IF(M610=0,"",IF(H610="HOME",SUMIFS('Istoric_Nativ'!$G$6:$G$405,'Istoric_Nativ'!$B$6:$B$405,E610,'Istoric_Nativ'!$C$6:$C$405,F610,'Istoric_Nativ'!$E$6:$E$405,G610,'Istoric_Nativ'!$D$6:$D$405,"&lt;"&amp;J610,'Istoric_Nativ'!$P$6:$P$405,1,'Istoric_Nativ'!$D$6:$D$405,"&gt;="&amp;L610),IF(H610="AWAY",SUMIFS('Istoric_Nativ'!$H$6:$H$405,'Istoric_Nativ'!$B$6:$B$405,E610,'Istoric_Nativ'!$C$6:$C$405,F610,'Istoric_Nativ'!$F$6:$F$405,G610,'Istoric_Nativ'!$D$6:$D$405,"&lt;"&amp;J610,'Istoric_Nativ'!$P$6:$P$405,1,'Istoric_Nativ'!$D$6:$D$405,"&gt;="&amp;L610),SUMIFS('Istoric_Nativ'!$G$6:$G$405,'Istoric_Nativ'!$B$6:$B$405,E610,'Istoric_Nativ'!$C$6:$C$405,F610,'Istoric_Nativ'!$E$6:$E$405,G610,'Istoric_Nativ'!$D$6:$D$405,"&lt;"&amp;J610,'Istoric_Nativ'!$P$6:$P$405,1,'Istoric_Nativ'!$D$6:$D$405,"&gt;="&amp;L610)+SUMIFS('Istoric_Nativ'!$H$6:$H$405,'Istoric_Nativ'!$B$6:$B$405,E610,'Istoric_Nativ'!$C$6:$C$405,F610,'Istoric_Nativ'!$F$6:$F$405,G610,'Istoric_Nativ'!$D$6:$D$405,"&lt;"&amp;J610,'Istoric_Nativ'!$P$6:$P$405,1,'Istoric_Nativ'!$D$6:$D$405,"&gt;="&amp;L610)))/M610)</x:f>
      </x:c>
      <x:c r="O610" s="11" t="str">
        <x:f>IF(M610=0,"",IF(H610="HOME",SUMIFS('Istoric_Nativ'!$H$6:$H$405,'Istoric_Nativ'!$B$6:$B$405,E610,'Istoric_Nativ'!$C$6:$C$405,F610,'Istoric_Nativ'!$E$6:$E$405,G610,'Istoric_Nativ'!$D$6:$D$405,"&lt;"&amp;J610,'Istoric_Nativ'!$P$6:$P$405,1,'Istoric_Nativ'!$D$6:$D$405,"&gt;="&amp;L610),IF(H610="AWAY",SUMIFS('Istoric_Nativ'!$G$6:$G$405,'Istoric_Nativ'!$B$6:$B$405,E610,'Istoric_Nativ'!$C$6:$C$405,F610,'Istoric_Nativ'!$F$6:$F$405,G610,'Istoric_Nativ'!$D$6:$D$405,"&lt;"&amp;J610,'Istoric_Nativ'!$P$6:$P$405,1,'Istoric_Nativ'!$D$6:$D$405,"&gt;="&amp;L610),SUMIFS('Istoric_Nativ'!$H$6:$H$405,'Istoric_Nativ'!$B$6:$B$405,E610,'Istoric_Nativ'!$C$6:$C$405,F610,'Istoric_Nativ'!$E$6:$E$405,G610,'Istoric_Nativ'!$D$6:$D$405,"&lt;"&amp;J610,'Istoric_Nativ'!$P$6:$P$405,1,'Istoric_Nativ'!$D$6:$D$405,"&gt;="&amp;L610)+SUMIFS('Istoric_Nativ'!$G$6:$G$405,'Istoric_Nativ'!$B$6:$B$405,E610,'Istoric_Nativ'!$C$6:$C$405,F610,'Istoric_Nativ'!$F$6:$F$405,G610,'Istoric_Nativ'!$D$6:$D$405,"&lt;"&amp;J610,'Istoric_Nativ'!$P$6:$P$405,1,'Istoric_Nativ'!$D$6:$D$405,"&gt;="&amp;L610)))/M610)</x:f>
      </x:c>
      <x:c r="P610" s="2" t="n">
        <x:f>'Config_v6'!$B$8</x:f>
        <x:v>5</x:v>
      </x:c>
      <x:c r="Q610" s="2" t="n">
        <x:f>IF(OR(B610="",F610=""),0,IFERROR(MATCH(E610&amp;"|"&amp;F610,SourceTable[Source_Key],0),0))</x:f>
        <x:v>0</x:v>
      </x:c>
      <x:c r="R610" s="2" t="str">
        <x:f>IF(B610="","",IF(F610="","UNUSED",IF(Q610=0,"NOT CHECKED",IF(COUNTIF(SourceTable[Source_Key],E610&amp;"|"&amp;F610)&lt;&gt;1,"SOURCE CONFLICT",IF(NOT(OR(INDEX(SourceTable[Status],MAX(1,Q610))="IMPORTED",INDEX(SourceTable[Status],MAX(1,Q610))="PARTIAL",INDEX(SourceTable[Status],MAX(1,Q610))="SOURCE CONFLICT")),"ACCESS BLOCKED",IF(OR(INDEX(SourceTable[Coverage],Q610)&lt;&gt;"FULL SEASON EXPORT",INDEX(SourceTable[URL],Q610)="",INDEX(SourceTable[SHA256],Q610)=""),"EVIDENCE INCOMPLETE",IF(AND('Input_Meci'!H56="LIVE",INDEX(SourceTable[Retrieved_UTC],Q610)&gt;'Input_Meci'!G56),"POST CUTOFF","CLOSED")))))))</x:f>
      </x:c>
      <x:c r="S610" s="2" t="n">
        <x:f>IF(OR(B610="",F610=""),0,COUNTIFS('Istoric_Nativ'!$B$6:$B$405,E610,'Istoric_Nativ'!$C$6:$C$405,F610,'Istoric_Nativ'!$E$6:$E$405,G610,'Istoric_Nativ'!$D$6:$D$405,"&lt;"&amp;J610,'Istoric_Nativ'!$O$6:$O$405,"INVALID")+COUNTIFS('Istoric_Nativ'!$B$6:$B$405,E610,'Istoric_Nativ'!$C$6:$C$405,F610,'Istoric_Nativ'!$E$6:$E$405,G610,'Istoric_Nativ'!$O$6:$O$405,"INVALID",'Istoric_Nativ'!$D$6:$D$405,"*")+COUNTIFS('Istoric_Nativ'!$B$6:$B$405,E610,'Istoric_Nativ'!$C$6:$C$405,F610,'Istoric_Nativ'!$E$6:$E$405,G610,'Istoric_Nativ'!$D$6:$D$405,"&lt;"&amp;J610,'Istoric_Nativ'!$O$6:$O$405,"SOURCE CONFLICT")+COUNTIFS('Istoric_Nativ'!$B$6:$B$405,E610,'Istoric_Nativ'!$C$6:$C$405,F610,'Istoric_Nativ'!$F$6:$F$405,G610,'Istoric_Nativ'!$D$6:$D$405,"&lt;"&amp;J610,'Istoric_Nativ'!$O$6:$O$405,"INVALID")+COUNTIFS('Istoric_Nativ'!$B$6:$B$405,E610,'Istoric_Nativ'!$C$6:$C$405,F610,'Istoric_Nativ'!$F$6:$F$405,G610,'Istoric_Nativ'!$O$6:$O$405,"INVALID",'Istoric_Nativ'!$D$6:$D$405,"*")+COUNTIFS('Istoric_Nativ'!$B$6:$B$405,E610,'Istoric_Nativ'!$C$6:$C$405,F610,'Istoric_Nativ'!$F$6:$F$405,G610,'Istoric_Nativ'!$D$6:$D$405,"&lt;"&amp;J610,'Istoric_Nativ'!$O$6:$O$405,"SOURCE CONFLICT"))</x:f>
        <x:v>0</x:v>
      </x:c>
      <x:c r="T610" s="2" t="str">
        <x:f>IF(B610="","",IF(R610&lt;&gt;"CLOSED",R610,IF(S610&gt;0,"NATIVE INPUT ISSUE",IF(M610=0,"NO HISTORY",IF(M610&lt;P610,"SMALL SAMPLE","DERIVED")))))</x:f>
      </x:c>
      <x:c r="U610" s="2" t="str">
        <x:f>IF(B610="","","NativeTable; "&amp;E610&amp;"; "&amp;F610&amp;"; "&amp;G610&amp;"; "&amp;H610&amp;"; before "&amp;TEXT(J610,"yyyy-mm-dd")&amp;IF(I610="RECENT","; from "&amp;TEXT(L610,"yyyy-mm-dd"),""))</x:f>
      </x:c>
    </x:row>
    <x:row r="611" ht="21" customHeight="1">
      <x:c r="A611" s="2" t="n">
        <x:v>51</x:v>
      </x:c>
      <x:c r="B611" s="2" t="str">
        <x:f>IF('Input_Meci'!A56="","",'Input_Meci'!A56)</x:f>
      </x:c>
      <x:c r="C611" s="2" t="str">
        <x:v>A</x:v>
      </x:c>
      <x:c r="D611" s="2" t="str">
        <x:v>CURRENT</x:v>
      </x:c>
      <x:c r="E611" s="2" t="str">
        <x:f>IF(B611="","",'Input_Meci'!B56)</x:f>
      </x:c>
      <x:c r="F611" s="2" t="str">
        <x:f>IF(B611="","",IF('Input_Meci'!C56="","",'Input_Meci'!C56))</x:f>
      </x:c>
      <x:c r="G611" s="2" t="str">
        <x:f>IF(B611="","",'Input_Meci'!E56)</x:f>
      </x:c>
      <x:c r="H611" s="2" t="str">
        <x:v>ANY</x:v>
      </x:c>
      <x:c r="I611" s="2" t="str">
        <x:v>RECENT</x:v>
      </x:c>
      <x:c r="J611" s="9" t="n">
        <x:f>IF(AND(B611&lt;&gt;"",ISNUMBER('Input_Meci'!G56)),INT('Input_Meci'!G56),0)</x:f>
        <x:v>0</x:v>
      </x:c>
      <x:c r="K611" s="2" t="n">
        <x:f>IF(OR(B611="",F611=""),0,IF(H611="HOME",COUNTIFS('Istoric_Nativ'!$B$6:$B$405,E611,'Istoric_Nativ'!$C$6:$C$405,F611,'Istoric_Nativ'!$E$6:$E$405,G611,'Istoric_Nativ'!$D$6:$D$405,"&lt;"&amp;J611,'Istoric_Nativ'!$P$6:$P$405,1),IF(H611="AWAY",COUNTIFS('Istoric_Nativ'!$B$6:$B$405,E611,'Istoric_Nativ'!$C$6:$C$405,F611,'Istoric_Nativ'!$F$6:$F$405,G611,'Istoric_Nativ'!$D$6:$D$405,"&lt;"&amp;J611,'Istoric_Nativ'!$P$6:$P$405,1),COUNTIFS('Istoric_Nativ'!$B$6:$B$405,E611,'Istoric_Nativ'!$C$6:$C$405,F611,'Istoric_Nativ'!$E$6:$E$405,G611,'Istoric_Nativ'!$D$6:$D$405,"&lt;"&amp;J611,'Istoric_Nativ'!$P$6:$P$405,1)+COUNTIFS('Istoric_Nativ'!$B$6:$B$405,E611,'Istoric_Nativ'!$C$6:$C$405,F611,'Istoric_Nativ'!$F$6:$F$405,G611,'Istoric_Nativ'!$D$6:$D$405,"&lt;"&amp;J611,'Istoric_Nativ'!$P$6:$P$405,1))))</x:f>
        <x:v>0</x:v>
      </x:c>
      <x:c r="L611" s="17" t="n">
        <x:f>IF(AND(B611&lt;&gt;"",I611="RECENT",K611&gt;0),LARGE(_xlfn._xlws.FILTER('Istoric_Nativ'!$D$6:$D$405,('Istoric_Nativ'!$B$6:$B$405=E611)*('Istoric_Nativ'!$C$6:$C$405=F611)*('Istoric_Nativ'!$P$6:$P$405=1)*('Istoric_Nativ'!$D$6:$D$405&lt;J611)*((('Istoric_Nativ'!$E$6:$E$405=G611)+('Istoric_Nativ'!$F$6:$F$405=G611))&gt;0)),MIN('Config_v6'!$B$54,K611)),0)</x:f>
        <x:v>0</x:v>
      </x:c>
      <x:c r="M611" s="2" t="n">
        <x:f>IF(OR(B611="",F611=""),0,IF(H611="HOME",COUNTIFS('Istoric_Nativ'!$B$6:$B$405,E611,'Istoric_Nativ'!$C$6:$C$405,F611,'Istoric_Nativ'!$E$6:$E$405,G611,'Istoric_Nativ'!$D$6:$D$405,"&lt;"&amp;J611,'Istoric_Nativ'!$P$6:$P$405,1,'Istoric_Nativ'!$D$6:$D$405,"&gt;="&amp;L611),IF(H611="AWAY",COUNTIFS('Istoric_Nativ'!$B$6:$B$405,E611,'Istoric_Nativ'!$C$6:$C$405,F611,'Istoric_Nativ'!$F$6:$F$405,G611,'Istoric_Nativ'!$D$6:$D$405,"&lt;"&amp;J611,'Istoric_Nativ'!$P$6:$P$405,1,'Istoric_Nativ'!$D$6:$D$405,"&gt;="&amp;L611),COUNTIFS('Istoric_Nativ'!$B$6:$B$405,E611,'Istoric_Nativ'!$C$6:$C$405,F611,'Istoric_Nativ'!$E$6:$E$405,G611,'Istoric_Nativ'!$D$6:$D$405,"&lt;"&amp;J611,'Istoric_Nativ'!$P$6:$P$405,1,'Istoric_Nativ'!$D$6:$D$405,"&gt;="&amp;L611)+COUNTIFS('Istoric_Nativ'!$B$6:$B$405,E611,'Istoric_Nativ'!$C$6:$C$405,F611,'Istoric_Nativ'!$F$6:$F$405,G611,'Istoric_Nativ'!$D$6:$D$405,"&lt;"&amp;J611,'Istoric_Nativ'!$P$6:$P$405,1,'Istoric_Nativ'!$D$6:$D$405,"&gt;="&amp;L611))))</x:f>
        <x:v>0</x:v>
      </x:c>
      <x:c r="N611" s="11" t="str">
        <x:f>IF(M611=0,"",IF(H611="HOME",SUMIFS('Istoric_Nativ'!$G$6:$G$405,'Istoric_Nativ'!$B$6:$B$405,E611,'Istoric_Nativ'!$C$6:$C$405,F611,'Istoric_Nativ'!$E$6:$E$405,G611,'Istoric_Nativ'!$D$6:$D$405,"&lt;"&amp;J611,'Istoric_Nativ'!$P$6:$P$405,1,'Istoric_Nativ'!$D$6:$D$405,"&gt;="&amp;L611),IF(H611="AWAY",SUMIFS('Istoric_Nativ'!$H$6:$H$405,'Istoric_Nativ'!$B$6:$B$405,E611,'Istoric_Nativ'!$C$6:$C$405,F611,'Istoric_Nativ'!$F$6:$F$405,G611,'Istoric_Nativ'!$D$6:$D$405,"&lt;"&amp;J611,'Istoric_Nativ'!$P$6:$P$405,1,'Istoric_Nativ'!$D$6:$D$405,"&gt;="&amp;L611),SUMIFS('Istoric_Nativ'!$G$6:$G$405,'Istoric_Nativ'!$B$6:$B$405,E611,'Istoric_Nativ'!$C$6:$C$405,F611,'Istoric_Nativ'!$E$6:$E$405,G611,'Istoric_Nativ'!$D$6:$D$405,"&lt;"&amp;J611,'Istoric_Nativ'!$P$6:$P$405,1,'Istoric_Nativ'!$D$6:$D$405,"&gt;="&amp;L611)+SUMIFS('Istoric_Nativ'!$H$6:$H$405,'Istoric_Nativ'!$B$6:$B$405,E611,'Istoric_Nativ'!$C$6:$C$405,F611,'Istoric_Nativ'!$F$6:$F$405,G611,'Istoric_Nativ'!$D$6:$D$405,"&lt;"&amp;J611,'Istoric_Nativ'!$P$6:$P$405,1,'Istoric_Nativ'!$D$6:$D$405,"&gt;="&amp;L611)))/M611)</x:f>
      </x:c>
      <x:c r="O611" s="11" t="str">
        <x:f>IF(M611=0,"",IF(H611="HOME",SUMIFS('Istoric_Nativ'!$H$6:$H$405,'Istoric_Nativ'!$B$6:$B$405,E611,'Istoric_Nativ'!$C$6:$C$405,F611,'Istoric_Nativ'!$E$6:$E$405,G611,'Istoric_Nativ'!$D$6:$D$405,"&lt;"&amp;J611,'Istoric_Nativ'!$P$6:$P$405,1,'Istoric_Nativ'!$D$6:$D$405,"&gt;="&amp;L611),IF(H611="AWAY",SUMIFS('Istoric_Nativ'!$G$6:$G$405,'Istoric_Nativ'!$B$6:$B$405,E611,'Istoric_Nativ'!$C$6:$C$405,F611,'Istoric_Nativ'!$F$6:$F$405,G611,'Istoric_Nativ'!$D$6:$D$405,"&lt;"&amp;J611,'Istoric_Nativ'!$P$6:$P$405,1,'Istoric_Nativ'!$D$6:$D$405,"&gt;="&amp;L611),SUMIFS('Istoric_Nativ'!$H$6:$H$405,'Istoric_Nativ'!$B$6:$B$405,E611,'Istoric_Nativ'!$C$6:$C$405,F611,'Istoric_Nativ'!$E$6:$E$405,G611,'Istoric_Nativ'!$D$6:$D$405,"&lt;"&amp;J611,'Istoric_Nativ'!$P$6:$P$405,1,'Istoric_Nativ'!$D$6:$D$405,"&gt;="&amp;L611)+SUMIFS('Istoric_Nativ'!$G$6:$G$405,'Istoric_Nativ'!$B$6:$B$405,E611,'Istoric_Nativ'!$C$6:$C$405,F611,'Istoric_Nativ'!$F$6:$F$405,G611,'Istoric_Nativ'!$D$6:$D$405,"&lt;"&amp;J611,'Istoric_Nativ'!$P$6:$P$405,1,'Istoric_Nativ'!$D$6:$D$405,"&gt;="&amp;L611)))/M611)</x:f>
      </x:c>
      <x:c r="P611" s="2" t="n">
        <x:f>'Config_v6'!$B$9</x:f>
        <x:v>3</x:v>
      </x:c>
      <x:c r="Q611" s="2" t="n">
        <x:f>IF(OR(B611="",F611=""),0,IFERROR(MATCH(E611&amp;"|"&amp;F611,SourceTable[Source_Key],0),0))</x:f>
        <x:v>0</x:v>
      </x:c>
      <x:c r="R611" s="2" t="str">
        <x:f>IF(B611="","",IF(F611="","UNUSED",IF(Q611=0,"NOT CHECKED",IF(COUNTIF(SourceTable[Source_Key],E611&amp;"|"&amp;F611)&lt;&gt;1,"SOURCE CONFLICT",IF(NOT(OR(INDEX(SourceTable[Status],MAX(1,Q611))="IMPORTED",INDEX(SourceTable[Status],MAX(1,Q611))="PARTIAL",INDEX(SourceTable[Status],MAX(1,Q611))="SOURCE CONFLICT")),"ACCESS BLOCKED",IF(OR(INDEX(SourceTable[Coverage],Q611)&lt;&gt;"FULL SEASON EXPORT",INDEX(SourceTable[URL],Q611)="",INDEX(SourceTable[SHA256],Q611)=""),"EVIDENCE INCOMPLETE",IF(AND('Input_Meci'!H56="LIVE",INDEX(SourceTable[Retrieved_UTC],Q611)&gt;'Input_Meci'!G56),"POST CUTOFF","CLOSED")))))))</x:f>
      </x:c>
      <x:c r="S611" s="2" t="n">
        <x:f>IF(OR(B611="",F611=""),0,COUNTIFS('Istoric_Nativ'!$B$6:$B$405,E611,'Istoric_Nativ'!$C$6:$C$405,F611,'Istoric_Nativ'!$E$6:$E$405,G611,'Istoric_Nativ'!$D$6:$D$405,"&lt;"&amp;J611,'Istoric_Nativ'!$O$6:$O$405,"INVALID")+COUNTIFS('Istoric_Nativ'!$B$6:$B$405,E611,'Istoric_Nativ'!$C$6:$C$405,F611,'Istoric_Nativ'!$E$6:$E$405,G611,'Istoric_Nativ'!$O$6:$O$405,"INVALID",'Istoric_Nativ'!$D$6:$D$405,"*")+COUNTIFS('Istoric_Nativ'!$B$6:$B$405,E611,'Istoric_Nativ'!$C$6:$C$405,F611,'Istoric_Nativ'!$E$6:$E$405,G611,'Istoric_Nativ'!$D$6:$D$405,"&lt;"&amp;J611,'Istoric_Nativ'!$O$6:$O$405,"SOURCE CONFLICT")+COUNTIFS('Istoric_Nativ'!$B$6:$B$405,E611,'Istoric_Nativ'!$C$6:$C$405,F611,'Istoric_Nativ'!$F$6:$F$405,G611,'Istoric_Nativ'!$D$6:$D$405,"&lt;"&amp;J611,'Istoric_Nativ'!$O$6:$O$405,"INVALID")+COUNTIFS('Istoric_Nativ'!$B$6:$B$405,E611,'Istoric_Nativ'!$C$6:$C$405,F611,'Istoric_Nativ'!$F$6:$F$405,G611,'Istoric_Nativ'!$O$6:$O$405,"INVALID",'Istoric_Nativ'!$D$6:$D$405,"*")+COUNTIFS('Istoric_Nativ'!$B$6:$B$405,E611,'Istoric_Nativ'!$C$6:$C$405,F611,'Istoric_Nativ'!$F$6:$F$405,G611,'Istoric_Nativ'!$D$6:$D$405,"&lt;"&amp;J611,'Istoric_Nativ'!$O$6:$O$405,"SOURCE CONFLICT"))</x:f>
        <x:v>0</x:v>
      </x:c>
      <x:c r="T611" s="2" t="str">
        <x:f>IF(B611="","",IF(R611&lt;&gt;"CLOSED",R611,IF(S611&gt;0,"NATIVE INPUT ISSUE",IF(M611=0,"NO HISTORY",IF(M611&lt;P611,"SMALL SAMPLE","DERIVED")))))</x:f>
      </x:c>
      <x:c r="U611" s="2" t="str">
        <x:f>IF(B611="","","NativeTable; "&amp;E611&amp;"; "&amp;F611&amp;"; "&amp;G611&amp;"; "&amp;H611&amp;"; before "&amp;TEXT(J611,"yyyy-mm-dd")&amp;IF(I611="RECENT","; from "&amp;TEXT(L611,"yyyy-mm-dd"),""))</x:f>
      </x:c>
    </x:row>
    <x:row r="612" ht="21" customHeight="1">
      <x:c r="A612" s="2" t="n">
        <x:v>51</x:v>
      </x:c>
      <x:c r="B612" s="2" t="str">
        <x:f>IF('Input_Meci'!A56="","",'Input_Meci'!A56)</x:f>
      </x:c>
      <x:c r="C612" s="2" t="str">
        <x:v>H</x:v>
      </x:c>
      <x:c r="D612" s="2" t="str">
        <x:v>PRIOR</x:v>
      </x:c>
      <x:c r="E612" s="2" t="str">
        <x:f>IF(B612="","",'Input_Meci'!B56)</x:f>
      </x:c>
      <x:c r="F612" s="2" t="str">
        <x:f>IF(B612="","",IF('Input_Meci'!K56="","",'Input_Meci'!K56))</x:f>
      </x:c>
      <x:c r="G612" s="2" t="str">
        <x:f>IF(B612="","",'Input_Meci'!D56)</x:f>
      </x:c>
      <x:c r="H612" s="2" t="str">
        <x:v>ANY</x:v>
      </x:c>
      <x:c r="I612" s="2" t="str">
        <x:v>SEASON</x:v>
      </x:c>
      <x:c r="J612" s="9" t="n">
        <x:f>IF(AND(B612&lt;&gt;"",ISNUMBER('Input_Meci'!G56)),INT('Input_Meci'!G56),0)</x:f>
        <x:v>0</x:v>
      </x:c>
      <x:c r="K612" s="2" t="n">
        <x:f>IF(OR(B612="",F612=""),0,IF(H612="HOME",COUNTIFS('Istoric_Nativ'!$B$6:$B$405,E612,'Istoric_Nativ'!$C$6:$C$405,F612,'Istoric_Nativ'!$E$6:$E$405,G612,'Istoric_Nativ'!$D$6:$D$405,"&lt;"&amp;J612,'Istoric_Nativ'!$P$6:$P$405,1),IF(H612="AWAY",COUNTIFS('Istoric_Nativ'!$B$6:$B$405,E612,'Istoric_Nativ'!$C$6:$C$405,F612,'Istoric_Nativ'!$F$6:$F$405,G612,'Istoric_Nativ'!$D$6:$D$405,"&lt;"&amp;J612,'Istoric_Nativ'!$P$6:$P$405,1),COUNTIFS('Istoric_Nativ'!$B$6:$B$405,E612,'Istoric_Nativ'!$C$6:$C$405,F612,'Istoric_Nativ'!$E$6:$E$405,G612,'Istoric_Nativ'!$D$6:$D$405,"&lt;"&amp;J612,'Istoric_Nativ'!$P$6:$P$405,1)+COUNTIFS('Istoric_Nativ'!$B$6:$B$405,E612,'Istoric_Nativ'!$C$6:$C$405,F612,'Istoric_Nativ'!$F$6:$F$405,G612,'Istoric_Nativ'!$D$6:$D$405,"&lt;"&amp;J612,'Istoric_Nativ'!$P$6:$P$405,1))))</x:f>
        <x:v>0</x:v>
      </x:c>
      <x:c r="L612" s="17" t="n">
        <x:f>IF(AND(B612&lt;&gt;"",I612="RECENT",K612&gt;0),LARGE(_xlfn._xlws.FILTER('Istoric_Nativ'!$D$6:$D$405,('Istoric_Nativ'!$B$6:$B$405=E612)*('Istoric_Nativ'!$C$6:$C$405=F612)*('Istoric_Nativ'!$P$6:$P$405=1)*('Istoric_Nativ'!$D$6:$D$405&lt;J612)*((('Istoric_Nativ'!$E$6:$E$405=G612)+('Istoric_Nativ'!$F$6:$F$405=G612))&gt;0)),MIN('Config_v6'!$B$54,K612)),0)</x:f>
        <x:v>0</x:v>
      </x:c>
      <x:c r="M612" s="2" t="n">
        <x:f>IF(OR(B612="",F612=""),0,IF(H612="HOME",COUNTIFS('Istoric_Nativ'!$B$6:$B$405,E612,'Istoric_Nativ'!$C$6:$C$405,F612,'Istoric_Nativ'!$E$6:$E$405,G612,'Istoric_Nativ'!$D$6:$D$405,"&lt;"&amp;J612,'Istoric_Nativ'!$P$6:$P$405,1,'Istoric_Nativ'!$D$6:$D$405,"&gt;="&amp;L612),IF(H612="AWAY",COUNTIFS('Istoric_Nativ'!$B$6:$B$405,E612,'Istoric_Nativ'!$C$6:$C$405,F612,'Istoric_Nativ'!$F$6:$F$405,G612,'Istoric_Nativ'!$D$6:$D$405,"&lt;"&amp;J612,'Istoric_Nativ'!$P$6:$P$405,1,'Istoric_Nativ'!$D$6:$D$405,"&gt;="&amp;L612),COUNTIFS('Istoric_Nativ'!$B$6:$B$405,E612,'Istoric_Nativ'!$C$6:$C$405,F612,'Istoric_Nativ'!$E$6:$E$405,G612,'Istoric_Nativ'!$D$6:$D$405,"&lt;"&amp;J612,'Istoric_Nativ'!$P$6:$P$405,1,'Istoric_Nativ'!$D$6:$D$405,"&gt;="&amp;L612)+COUNTIFS('Istoric_Nativ'!$B$6:$B$405,E612,'Istoric_Nativ'!$C$6:$C$405,F612,'Istoric_Nativ'!$F$6:$F$405,G612,'Istoric_Nativ'!$D$6:$D$405,"&lt;"&amp;J612,'Istoric_Nativ'!$P$6:$P$405,1,'Istoric_Nativ'!$D$6:$D$405,"&gt;="&amp;L612))))</x:f>
        <x:v>0</x:v>
      </x:c>
      <x:c r="N612" s="11" t="str">
        <x:f>IF(M612=0,"",IF(H612="HOME",SUMIFS('Istoric_Nativ'!$G$6:$G$405,'Istoric_Nativ'!$B$6:$B$405,E612,'Istoric_Nativ'!$C$6:$C$405,F612,'Istoric_Nativ'!$E$6:$E$405,G612,'Istoric_Nativ'!$D$6:$D$405,"&lt;"&amp;J612,'Istoric_Nativ'!$P$6:$P$405,1,'Istoric_Nativ'!$D$6:$D$405,"&gt;="&amp;L612),IF(H612="AWAY",SUMIFS('Istoric_Nativ'!$H$6:$H$405,'Istoric_Nativ'!$B$6:$B$405,E612,'Istoric_Nativ'!$C$6:$C$405,F612,'Istoric_Nativ'!$F$6:$F$405,G612,'Istoric_Nativ'!$D$6:$D$405,"&lt;"&amp;J612,'Istoric_Nativ'!$P$6:$P$405,1,'Istoric_Nativ'!$D$6:$D$405,"&gt;="&amp;L612),SUMIFS('Istoric_Nativ'!$G$6:$G$405,'Istoric_Nativ'!$B$6:$B$405,E612,'Istoric_Nativ'!$C$6:$C$405,F612,'Istoric_Nativ'!$E$6:$E$405,G612,'Istoric_Nativ'!$D$6:$D$405,"&lt;"&amp;J612,'Istoric_Nativ'!$P$6:$P$405,1,'Istoric_Nativ'!$D$6:$D$405,"&gt;="&amp;L612)+SUMIFS('Istoric_Nativ'!$H$6:$H$405,'Istoric_Nativ'!$B$6:$B$405,E612,'Istoric_Nativ'!$C$6:$C$405,F612,'Istoric_Nativ'!$F$6:$F$405,G612,'Istoric_Nativ'!$D$6:$D$405,"&lt;"&amp;J612,'Istoric_Nativ'!$P$6:$P$405,1,'Istoric_Nativ'!$D$6:$D$405,"&gt;="&amp;L612)))/M612)</x:f>
      </x:c>
      <x:c r="O612" s="11" t="str">
        <x:f>IF(M612=0,"",IF(H612="HOME",SUMIFS('Istoric_Nativ'!$H$6:$H$405,'Istoric_Nativ'!$B$6:$B$405,E612,'Istoric_Nativ'!$C$6:$C$405,F612,'Istoric_Nativ'!$E$6:$E$405,G612,'Istoric_Nativ'!$D$6:$D$405,"&lt;"&amp;J612,'Istoric_Nativ'!$P$6:$P$405,1,'Istoric_Nativ'!$D$6:$D$405,"&gt;="&amp;L612),IF(H612="AWAY",SUMIFS('Istoric_Nativ'!$G$6:$G$405,'Istoric_Nativ'!$B$6:$B$405,E612,'Istoric_Nativ'!$C$6:$C$405,F612,'Istoric_Nativ'!$F$6:$F$405,G612,'Istoric_Nativ'!$D$6:$D$405,"&lt;"&amp;J612,'Istoric_Nativ'!$P$6:$P$405,1,'Istoric_Nativ'!$D$6:$D$405,"&gt;="&amp;L612),SUMIFS('Istoric_Nativ'!$H$6:$H$405,'Istoric_Nativ'!$B$6:$B$405,E612,'Istoric_Nativ'!$C$6:$C$405,F612,'Istoric_Nativ'!$E$6:$E$405,G612,'Istoric_Nativ'!$D$6:$D$405,"&lt;"&amp;J612,'Istoric_Nativ'!$P$6:$P$405,1,'Istoric_Nativ'!$D$6:$D$405,"&gt;="&amp;L612)+SUMIFS('Istoric_Nativ'!$G$6:$G$405,'Istoric_Nativ'!$B$6:$B$405,E612,'Istoric_Nativ'!$C$6:$C$405,F612,'Istoric_Nativ'!$F$6:$F$405,G612,'Istoric_Nativ'!$D$6:$D$405,"&lt;"&amp;J612,'Istoric_Nativ'!$P$6:$P$405,1,'Istoric_Nativ'!$D$6:$D$405,"&gt;="&amp;L612)))/M612)</x:f>
      </x:c>
      <x:c r="P612" s="2" t="n">
        <x:f>'Config_v6'!$B$7</x:f>
        <x:v>10</x:v>
      </x:c>
      <x:c r="Q612" s="2" t="n">
        <x:f>IF(OR(B612="",F612=""),0,IFERROR(MATCH(E612&amp;"|"&amp;F612,SourceTable[Source_Key],0),0))</x:f>
        <x:v>0</x:v>
      </x:c>
      <x:c r="R612" s="2" t="str">
        <x:f>IF(B612="","",IF(F612="","UNUSED",IF(Q612=0,"NOT CHECKED",IF(COUNTIF(SourceTable[Source_Key],E612&amp;"|"&amp;F612)&lt;&gt;1,"SOURCE CONFLICT",IF(NOT(OR(INDEX(SourceTable[Status],MAX(1,Q612))="IMPORTED",INDEX(SourceTable[Status],MAX(1,Q612))="PARTIAL",INDEX(SourceTable[Status],MAX(1,Q612))="SOURCE CONFLICT")),"ACCESS BLOCKED",IF(OR(INDEX(SourceTable[Coverage],Q612)&lt;&gt;"FULL SEASON EXPORT",INDEX(SourceTable[URL],Q612)="",INDEX(SourceTable[SHA256],Q612)=""),"EVIDENCE INCOMPLETE",IF(AND('Input_Meci'!H56="LIVE",INDEX(SourceTable[Retrieved_UTC],Q612)&gt;'Input_Meci'!G56),"POST CUTOFF","CLOSED")))))))</x:f>
      </x:c>
      <x:c r="S612" s="2" t="n">
        <x:f>IF(OR(B612="",F612=""),0,COUNTIFS('Istoric_Nativ'!$B$6:$B$405,E612,'Istoric_Nativ'!$C$6:$C$405,F612,'Istoric_Nativ'!$E$6:$E$405,G612,'Istoric_Nativ'!$D$6:$D$405,"&lt;"&amp;J612,'Istoric_Nativ'!$O$6:$O$405,"INVALID")+COUNTIFS('Istoric_Nativ'!$B$6:$B$405,E612,'Istoric_Nativ'!$C$6:$C$405,F612,'Istoric_Nativ'!$E$6:$E$405,G612,'Istoric_Nativ'!$O$6:$O$405,"INVALID",'Istoric_Nativ'!$D$6:$D$405,"*")+COUNTIFS('Istoric_Nativ'!$B$6:$B$405,E612,'Istoric_Nativ'!$C$6:$C$405,F612,'Istoric_Nativ'!$E$6:$E$405,G612,'Istoric_Nativ'!$D$6:$D$405,"&lt;"&amp;J612,'Istoric_Nativ'!$O$6:$O$405,"SOURCE CONFLICT")+COUNTIFS('Istoric_Nativ'!$B$6:$B$405,E612,'Istoric_Nativ'!$C$6:$C$405,F612,'Istoric_Nativ'!$F$6:$F$405,G612,'Istoric_Nativ'!$D$6:$D$405,"&lt;"&amp;J612,'Istoric_Nativ'!$O$6:$O$405,"INVALID")+COUNTIFS('Istoric_Nativ'!$B$6:$B$405,E612,'Istoric_Nativ'!$C$6:$C$405,F612,'Istoric_Nativ'!$F$6:$F$405,G612,'Istoric_Nativ'!$O$6:$O$405,"INVALID",'Istoric_Nativ'!$D$6:$D$405,"*")+COUNTIFS('Istoric_Nativ'!$B$6:$B$405,E612,'Istoric_Nativ'!$C$6:$C$405,F612,'Istoric_Nativ'!$F$6:$F$405,G612,'Istoric_Nativ'!$D$6:$D$405,"&lt;"&amp;J612,'Istoric_Nativ'!$O$6:$O$405,"SOURCE CONFLICT"))</x:f>
        <x:v>0</x:v>
      </x:c>
      <x:c r="T612" s="2" t="str">
        <x:f>IF(B612="","",IF(R612&lt;&gt;"CLOSED",R612,IF(S612&gt;0,"NATIVE INPUT ISSUE",IF(M612=0,"NO HISTORY",IF(M612&lt;P612,"SMALL SAMPLE","DERIVED")))))</x:f>
      </x:c>
      <x:c r="U612" s="2" t="str">
        <x:f>IF(B612="","","NativeTable; "&amp;E612&amp;"; "&amp;F612&amp;"; "&amp;G612&amp;"; "&amp;H612&amp;"; before "&amp;TEXT(J612,"yyyy-mm-dd")&amp;IF(I612="RECENT","; from "&amp;TEXT(L612,"yyyy-mm-dd"),""))</x:f>
      </x:c>
    </x:row>
    <x:row r="613" ht="21" customHeight="1">
      <x:c r="A613" s="2" t="n">
        <x:v>51</x:v>
      </x:c>
      <x:c r="B613" s="2" t="str">
        <x:f>IF('Input_Meci'!A56="","",'Input_Meci'!A56)</x:f>
      </x:c>
      <x:c r="C613" s="2" t="str">
        <x:v>H</x:v>
      </x:c>
      <x:c r="D613" s="2" t="str">
        <x:v>PRIOR</x:v>
      </x:c>
      <x:c r="E613" s="2" t="str">
        <x:f>IF(B613="","",'Input_Meci'!B56)</x:f>
      </x:c>
      <x:c r="F613" s="2" t="str">
        <x:f>IF(B613="","",IF('Input_Meci'!K56="","",'Input_Meci'!K56))</x:f>
      </x:c>
      <x:c r="G613" s="2" t="str">
        <x:f>IF(B613="","",'Input_Meci'!D56)</x:f>
      </x:c>
      <x:c r="H613" s="2" t="str">
        <x:v>HOME</x:v>
      </x:c>
      <x:c r="I613" s="2" t="str">
        <x:v>HA</x:v>
      </x:c>
      <x:c r="J613" s="9" t="n">
        <x:f>IF(AND(B613&lt;&gt;"",ISNUMBER('Input_Meci'!G56)),INT('Input_Meci'!G56),0)</x:f>
        <x:v>0</x:v>
      </x:c>
      <x:c r="K613" s="2" t="n">
        <x:f>IF(OR(B613="",F613=""),0,IF(H613="HOME",COUNTIFS('Istoric_Nativ'!$B$6:$B$405,E613,'Istoric_Nativ'!$C$6:$C$405,F613,'Istoric_Nativ'!$E$6:$E$405,G613,'Istoric_Nativ'!$D$6:$D$405,"&lt;"&amp;J613,'Istoric_Nativ'!$P$6:$P$405,1),IF(H613="AWAY",COUNTIFS('Istoric_Nativ'!$B$6:$B$405,E613,'Istoric_Nativ'!$C$6:$C$405,F613,'Istoric_Nativ'!$F$6:$F$405,G613,'Istoric_Nativ'!$D$6:$D$405,"&lt;"&amp;J613,'Istoric_Nativ'!$P$6:$P$405,1),COUNTIFS('Istoric_Nativ'!$B$6:$B$405,E613,'Istoric_Nativ'!$C$6:$C$405,F613,'Istoric_Nativ'!$E$6:$E$405,G613,'Istoric_Nativ'!$D$6:$D$405,"&lt;"&amp;J613,'Istoric_Nativ'!$P$6:$P$405,1)+COUNTIFS('Istoric_Nativ'!$B$6:$B$405,E613,'Istoric_Nativ'!$C$6:$C$405,F613,'Istoric_Nativ'!$F$6:$F$405,G613,'Istoric_Nativ'!$D$6:$D$405,"&lt;"&amp;J613,'Istoric_Nativ'!$P$6:$P$405,1))))</x:f>
        <x:v>0</x:v>
      </x:c>
      <x:c r="L613" s="17" t="n">
        <x:f>IF(AND(B613&lt;&gt;"",I613="RECENT",K613&gt;0),LARGE(_xlfn._xlws.FILTER('Istoric_Nativ'!$D$6:$D$405,('Istoric_Nativ'!$B$6:$B$405=E613)*('Istoric_Nativ'!$C$6:$C$405=F613)*('Istoric_Nativ'!$P$6:$P$405=1)*('Istoric_Nativ'!$D$6:$D$405&lt;J613)*((('Istoric_Nativ'!$E$6:$E$405=G613)+('Istoric_Nativ'!$F$6:$F$405=G613))&gt;0)),MIN('Config_v6'!$B$54,K613)),0)</x:f>
        <x:v>0</x:v>
      </x:c>
      <x:c r="M613" s="2" t="n">
        <x:f>IF(OR(B613="",F613=""),0,IF(H613="HOME",COUNTIFS('Istoric_Nativ'!$B$6:$B$405,E613,'Istoric_Nativ'!$C$6:$C$405,F613,'Istoric_Nativ'!$E$6:$E$405,G613,'Istoric_Nativ'!$D$6:$D$405,"&lt;"&amp;J613,'Istoric_Nativ'!$P$6:$P$405,1,'Istoric_Nativ'!$D$6:$D$405,"&gt;="&amp;L613),IF(H613="AWAY",COUNTIFS('Istoric_Nativ'!$B$6:$B$405,E613,'Istoric_Nativ'!$C$6:$C$405,F613,'Istoric_Nativ'!$F$6:$F$405,G613,'Istoric_Nativ'!$D$6:$D$405,"&lt;"&amp;J613,'Istoric_Nativ'!$P$6:$P$405,1,'Istoric_Nativ'!$D$6:$D$405,"&gt;="&amp;L613),COUNTIFS('Istoric_Nativ'!$B$6:$B$405,E613,'Istoric_Nativ'!$C$6:$C$405,F613,'Istoric_Nativ'!$E$6:$E$405,G613,'Istoric_Nativ'!$D$6:$D$405,"&lt;"&amp;J613,'Istoric_Nativ'!$P$6:$P$405,1,'Istoric_Nativ'!$D$6:$D$405,"&gt;="&amp;L613)+COUNTIFS('Istoric_Nativ'!$B$6:$B$405,E613,'Istoric_Nativ'!$C$6:$C$405,F613,'Istoric_Nativ'!$F$6:$F$405,G613,'Istoric_Nativ'!$D$6:$D$405,"&lt;"&amp;J613,'Istoric_Nativ'!$P$6:$P$405,1,'Istoric_Nativ'!$D$6:$D$405,"&gt;="&amp;L613))))</x:f>
        <x:v>0</x:v>
      </x:c>
      <x:c r="N613" s="11" t="str">
        <x:f>IF(M613=0,"",IF(H613="HOME",SUMIFS('Istoric_Nativ'!$G$6:$G$405,'Istoric_Nativ'!$B$6:$B$405,E613,'Istoric_Nativ'!$C$6:$C$405,F613,'Istoric_Nativ'!$E$6:$E$405,G613,'Istoric_Nativ'!$D$6:$D$405,"&lt;"&amp;J613,'Istoric_Nativ'!$P$6:$P$405,1,'Istoric_Nativ'!$D$6:$D$405,"&gt;="&amp;L613),IF(H613="AWAY",SUMIFS('Istoric_Nativ'!$H$6:$H$405,'Istoric_Nativ'!$B$6:$B$405,E613,'Istoric_Nativ'!$C$6:$C$405,F613,'Istoric_Nativ'!$F$6:$F$405,G613,'Istoric_Nativ'!$D$6:$D$405,"&lt;"&amp;J613,'Istoric_Nativ'!$P$6:$P$405,1,'Istoric_Nativ'!$D$6:$D$405,"&gt;="&amp;L613),SUMIFS('Istoric_Nativ'!$G$6:$G$405,'Istoric_Nativ'!$B$6:$B$405,E613,'Istoric_Nativ'!$C$6:$C$405,F613,'Istoric_Nativ'!$E$6:$E$405,G613,'Istoric_Nativ'!$D$6:$D$405,"&lt;"&amp;J613,'Istoric_Nativ'!$P$6:$P$405,1,'Istoric_Nativ'!$D$6:$D$405,"&gt;="&amp;L613)+SUMIFS('Istoric_Nativ'!$H$6:$H$405,'Istoric_Nativ'!$B$6:$B$405,E613,'Istoric_Nativ'!$C$6:$C$405,F613,'Istoric_Nativ'!$F$6:$F$405,G613,'Istoric_Nativ'!$D$6:$D$405,"&lt;"&amp;J613,'Istoric_Nativ'!$P$6:$P$405,1,'Istoric_Nativ'!$D$6:$D$405,"&gt;="&amp;L613)))/M613)</x:f>
      </x:c>
      <x:c r="O613" s="11" t="str">
        <x:f>IF(M613=0,"",IF(H613="HOME",SUMIFS('Istoric_Nativ'!$H$6:$H$405,'Istoric_Nativ'!$B$6:$B$405,E613,'Istoric_Nativ'!$C$6:$C$405,F613,'Istoric_Nativ'!$E$6:$E$405,G613,'Istoric_Nativ'!$D$6:$D$405,"&lt;"&amp;J613,'Istoric_Nativ'!$P$6:$P$405,1,'Istoric_Nativ'!$D$6:$D$405,"&gt;="&amp;L613),IF(H613="AWAY",SUMIFS('Istoric_Nativ'!$G$6:$G$405,'Istoric_Nativ'!$B$6:$B$405,E613,'Istoric_Nativ'!$C$6:$C$405,F613,'Istoric_Nativ'!$F$6:$F$405,G613,'Istoric_Nativ'!$D$6:$D$405,"&lt;"&amp;J613,'Istoric_Nativ'!$P$6:$P$405,1,'Istoric_Nativ'!$D$6:$D$405,"&gt;="&amp;L613),SUMIFS('Istoric_Nativ'!$H$6:$H$405,'Istoric_Nativ'!$B$6:$B$405,E613,'Istoric_Nativ'!$C$6:$C$405,F613,'Istoric_Nativ'!$E$6:$E$405,G613,'Istoric_Nativ'!$D$6:$D$405,"&lt;"&amp;J613,'Istoric_Nativ'!$P$6:$P$405,1,'Istoric_Nativ'!$D$6:$D$405,"&gt;="&amp;L613)+SUMIFS('Istoric_Nativ'!$G$6:$G$405,'Istoric_Nativ'!$B$6:$B$405,E613,'Istoric_Nativ'!$C$6:$C$405,F613,'Istoric_Nativ'!$F$6:$F$405,G613,'Istoric_Nativ'!$D$6:$D$405,"&lt;"&amp;J613,'Istoric_Nativ'!$P$6:$P$405,1,'Istoric_Nativ'!$D$6:$D$405,"&gt;="&amp;L613)))/M613)</x:f>
      </x:c>
      <x:c r="P613" s="2" t="n">
        <x:f>'Config_v6'!$B$8</x:f>
        <x:v>5</x:v>
      </x:c>
      <x:c r="Q613" s="2" t="n">
        <x:f>IF(OR(B613="",F613=""),0,IFERROR(MATCH(E613&amp;"|"&amp;F613,SourceTable[Source_Key],0),0))</x:f>
        <x:v>0</x:v>
      </x:c>
      <x:c r="R613" s="2" t="str">
        <x:f>IF(B613="","",IF(F613="","UNUSED",IF(Q613=0,"NOT CHECKED",IF(COUNTIF(SourceTable[Source_Key],E613&amp;"|"&amp;F613)&lt;&gt;1,"SOURCE CONFLICT",IF(NOT(OR(INDEX(SourceTable[Status],MAX(1,Q613))="IMPORTED",INDEX(SourceTable[Status],MAX(1,Q613))="PARTIAL",INDEX(SourceTable[Status],MAX(1,Q613))="SOURCE CONFLICT")),"ACCESS BLOCKED",IF(OR(INDEX(SourceTable[Coverage],Q613)&lt;&gt;"FULL SEASON EXPORT",INDEX(SourceTable[URL],Q613)="",INDEX(SourceTable[SHA256],Q613)=""),"EVIDENCE INCOMPLETE",IF(AND('Input_Meci'!H56="LIVE",INDEX(SourceTable[Retrieved_UTC],Q613)&gt;'Input_Meci'!G56),"POST CUTOFF","CLOSED")))))))</x:f>
      </x:c>
      <x:c r="S613" s="2" t="n">
        <x:f>IF(OR(B613="",F613=""),0,COUNTIFS('Istoric_Nativ'!$B$6:$B$405,E613,'Istoric_Nativ'!$C$6:$C$405,F613,'Istoric_Nativ'!$E$6:$E$405,G613,'Istoric_Nativ'!$D$6:$D$405,"&lt;"&amp;J613,'Istoric_Nativ'!$O$6:$O$405,"INVALID")+COUNTIFS('Istoric_Nativ'!$B$6:$B$405,E613,'Istoric_Nativ'!$C$6:$C$405,F613,'Istoric_Nativ'!$E$6:$E$405,G613,'Istoric_Nativ'!$O$6:$O$405,"INVALID",'Istoric_Nativ'!$D$6:$D$405,"*")+COUNTIFS('Istoric_Nativ'!$B$6:$B$405,E613,'Istoric_Nativ'!$C$6:$C$405,F613,'Istoric_Nativ'!$E$6:$E$405,G613,'Istoric_Nativ'!$D$6:$D$405,"&lt;"&amp;J613,'Istoric_Nativ'!$O$6:$O$405,"SOURCE CONFLICT")+COUNTIFS('Istoric_Nativ'!$B$6:$B$405,E613,'Istoric_Nativ'!$C$6:$C$405,F613,'Istoric_Nativ'!$F$6:$F$405,G613,'Istoric_Nativ'!$D$6:$D$405,"&lt;"&amp;J613,'Istoric_Nativ'!$O$6:$O$405,"INVALID")+COUNTIFS('Istoric_Nativ'!$B$6:$B$405,E613,'Istoric_Nativ'!$C$6:$C$405,F613,'Istoric_Nativ'!$F$6:$F$405,G613,'Istoric_Nativ'!$O$6:$O$405,"INVALID",'Istoric_Nativ'!$D$6:$D$405,"*")+COUNTIFS('Istoric_Nativ'!$B$6:$B$405,E613,'Istoric_Nativ'!$C$6:$C$405,F613,'Istoric_Nativ'!$F$6:$F$405,G613,'Istoric_Nativ'!$D$6:$D$405,"&lt;"&amp;J613,'Istoric_Nativ'!$O$6:$O$405,"SOURCE CONFLICT"))</x:f>
        <x:v>0</x:v>
      </x:c>
      <x:c r="T613" s="2" t="str">
        <x:f>IF(B613="","",IF(R613&lt;&gt;"CLOSED",R613,IF(S613&gt;0,"NATIVE INPUT ISSUE",IF(M613=0,"NO HISTORY",IF(M613&lt;P613,"SMALL SAMPLE","DERIVED")))))</x:f>
      </x:c>
      <x:c r="U613" s="2" t="str">
        <x:f>IF(B613="","","NativeTable; "&amp;E613&amp;"; "&amp;F613&amp;"; "&amp;G613&amp;"; "&amp;H613&amp;"; before "&amp;TEXT(J613,"yyyy-mm-dd")&amp;IF(I613="RECENT","; from "&amp;TEXT(L613,"yyyy-mm-dd"),""))</x:f>
      </x:c>
    </x:row>
    <x:row r="614" ht="21" customHeight="1">
      <x:c r="A614" s="2" t="n">
        <x:v>51</x:v>
      </x:c>
      <x:c r="B614" s="2" t="str">
        <x:f>IF('Input_Meci'!A56="","",'Input_Meci'!A56)</x:f>
      </x:c>
      <x:c r="C614" s="2" t="str">
        <x:v>H</x:v>
      </x:c>
      <x:c r="D614" s="2" t="str">
        <x:v>PRIOR</x:v>
      </x:c>
      <x:c r="E614" s="2" t="str">
        <x:f>IF(B614="","",'Input_Meci'!B56)</x:f>
      </x:c>
      <x:c r="F614" s="2" t="str">
        <x:f>IF(B614="","",IF('Input_Meci'!K56="","",'Input_Meci'!K56))</x:f>
      </x:c>
      <x:c r="G614" s="2" t="str">
        <x:f>IF(B614="","",'Input_Meci'!D56)</x:f>
      </x:c>
      <x:c r="H614" s="2" t="str">
        <x:v>ANY</x:v>
      </x:c>
      <x:c r="I614" s="2" t="str">
        <x:v>RECENT</x:v>
      </x:c>
      <x:c r="J614" s="9" t="n">
        <x:f>IF(AND(B614&lt;&gt;"",ISNUMBER('Input_Meci'!G56)),INT('Input_Meci'!G56),0)</x:f>
        <x:v>0</x:v>
      </x:c>
      <x:c r="K614" s="2" t="n">
        <x:f>IF(OR(B614="",F614=""),0,IF(H614="HOME",COUNTIFS('Istoric_Nativ'!$B$6:$B$405,E614,'Istoric_Nativ'!$C$6:$C$405,F614,'Istoric_Nativ'!$E$6:$E$405,G614,'Istoric_Nativ'!$D$6:$D$405,"&lt;"&amp;J614,'Istoric_Nativ'!$P$6:$P$405,1),IF(H614="AWAY",COUNTIFS('Istoric_Nativ'!$B$6:$B$405,E614,'Istoric_Nativ'!$C$6:$C$405,F614,'Istoric_Nativ'!$F$6:$F$405,G614,'Istoric_Nativ'!$D$6:$D$405,"&lt;"&amp;J614,'Istoric_Nativ'!$P$6:$P$405,1),COUNTIFS('Istoric_Nativ'!$B$6:$B$405,E614,'Istoric_Nativ'!$C$6:$C$405,F614,'Istoric_Nativ'!$E$6:$E$405,G614,'Istoric_Nativ'!$D$6:$D$405,"&lt;"&amp;J614,'Istoric_Nativ'!$P$6:$P$405,1)+COUNTIFS('Istoric_Nativ'!$B$6:$B$405,E614,'Istoric_Nativ'!$C$6:$C$405,F614,'Istoric_Nativ'!$F$6:$F$405,G614,'Istoric_Nativ'!$D$6:$D$405,"&lt;"&amp;J614,'Istoric_Nativ'!$P$6:$P$405,1))))</x:f>
        <x:v>0</x:v>
      </x:c>
      <x:c r="L614" s="17" t="n">
        <x:f>IF(AND(B614&lt;&gt;"",I614="RECENT",K614&gt;0),LARGE(_xlfn._xlws.FILTER('Istoric_Nativ'!$D$6:$D$405,('Istoric_Nativ'!$B$6:$B$405=E614)*('Istoric_Nativ'!$C$6:$C$405=F614)*('Istoric_Nativ'!$P$6:$P$405=1)*('Istoric_Nativ'!$D$6:$D$405&lt;J614)*((('Istoric_Nativ'!$E$6:$E$405=G614)+('Istoric_Nativ'!$F$6:$F$405=G614))&gt;0)),MIN('Config_v6'!$B$54,K614)),0)</x:f>
        <x:v>0</x:v>
      </x:c>
      <x:c r="M614" s="2" t="n">
        <x:f>IF(OR(B614="",F614=""),0,IF(H614="HOME",COUNTIFS('Istoric_Nativ'!$B$6:$B$405,E614,'Istoric_Nativ'!$C$6:$C$405,F614,'Istoric_Nativ'!$E$6:$E$405,G614,'Istoric_Nativ'!$D$6:$D$405,"&lt;"&amp;J614,'Istoric_Nativ'!$P$6:$P$405,1,'Istoric_Nativ'!$D$6:$D$405,"&gt;="&amp;L614),IF(H614="AWAY",COUNTIFS('Istoric_Nativ'!$B$6:$B$405,E614,'Istoric_Nativ'!$C$6:$C$405,F614,'Istoric_Nativ'!$F$6:$F$405,G614,'Istoric_Nativ'!$D$6:$D$405,"&lt;"&amp;J614,'Istoric_Nativ'!$P$6:$P$405,1,'Istoric_Nativ'!$D$6:$D$405,"&gt;="&amp;L614),COUNTIFS('Istoric_Nativ'!$B$6:$B$405,E614,'Istoric_Nativ'!$C$6:$C$405,F614,'Istoric_Nativ'!$E$6:$E$405,G614,'Istoric_Nativ'!$D$6:$D$405,"&lt;"&amp;J614,'Istoric_Nativ'!$P$6:$P$405,1,'Istoric_Nativ'!$D$6:$D$405,"&gt;="&amp;L614)+COUNTIFS('Istoric_Nativ'!$B$6:$B$405,E614,'Istoric_Nativ'!$C$6:$C$405,F614,'Istoric_Nativ'!$F$6:$F$405,G614,'Istoric_Nativ'!$D$6:$D$405,"&lt;"&amp;J614,'Istoric_Nativ'!$P$6:$P$405,1,'Istoric_Nativ'!$D$6:$D$405,"&gt;="&amp;L614))))</x:f>
        <x:v>0</x:v>
      </x:c>
      <x:c r="N614" s="11" t="str">
        <x:f>IF(M614=0,"",IF(H614="HOME",SUMIFS('Istoric_Nativ'!$G$6:$G$405,'Istoric_Nativ'!$B$6:$B$405,E614,'Istoric_Nativ'!$C$6:$C$405,F614,'Istoric_Nativ'!$E$6:$E$405,G614,'Istoric_Nativ'!$D$6:$D$405,"&lt;"&amp;J614,'Istoric_Nativ'!$P$6:$P$405,1,'Istoric_Nativ'!$D$6:$D$405,"&gt;="&amp;L614),IF(H614="AWAY",SUMIFS('Istoric_Nativ'!$H$6:$H$405,'Istoric_Nativ'!$B$6:$B$405,E614,'Istoric_Nativ'!$C$6:$C$405,F614,'Istoric_Nativ'!$F$6:$F$405,G614,'Istoric_Nativ'!$D$6:$D$405,"&lt;"&amp;J614,'Istoric_Nativ'!$P$6:$P$405,1,'Istoric_Nativ'!$D$6:$D$405,"&gt;="&amp;L614),SUMIFS('Istoric_Nativ'!$G$6:$G$405,'Istoric_Nativ'!$B$6:$B$405,E614,'Istoric_Nativ'!$C$6:$C$405,F614,'Istoric_Nativ'!$E$6:$E$405,G614,'Istoric_Nativ'!$D$6:$D$405,"&lt;"&amp;J614,'Istoric_Nativ'!$P$6:$P$405,1,'Istoric_Nativ'!$D$6:$D$405,"&gt;="&amp;L614)+SUMIFS('Istoric_Nativ'!$H$6:$H$405,'Istoric_Nativ'!$B$6:$B$405,E614,'Istoric_Nativ'!$C$6:$C$405,F614,'Istoric_Nativ'!$F$6:$F$405,G614,'Istoric_Nativ'!$D$6:$D$405,"&lt;"&amp;J614,'Istoric_Nativ'!$P$6:$P$405,1,'Istoric_Nativ'!$D$6:$D$405,"&gt;="&amp;L614)))/M614)</x:f>
      </x:c>
      <x:c r="O614" s="11" t="str">
        <x:f>IF(M614=0,"",IF(H614="HOME",SUMIFS('Istoric_Nativ'!$H$6:$H$405,'Istoric_Nativ'!$B$6:$B$405,E614,'Istoric_Nativ'!$C$6:$C$405,F614,'Istoric_Nativ'!$E$6:$E$405,G614,'Istoric_Nativ'!$D$6:$D$405,"&lt;"&amp;J614,'Istoric_Nativ'!$P$6:$P$405,1,'Istoric_Nativ'!$D$6:$D$405,"&gt;="&amp;L614),IF(H614="AWAY",SUMIFS('Istoric_Nativ'!$G$6:$G$405,'Istoric_Nativ'!$B$6:$B$405,E614,'Istoric_Nativ'!$C$6:$C$405,F614,'Istoric_Nativ'!$F$6:$F$405,G614,'Istoric_Nativ'!$D$6:$D$405,"&lt;"&amp;J614,'Istoric_Nativ'!$P$6:$P$405,1,'Istoric_Nativ'!$D$6:$D$405,"&gt;="&amp;L614),SUMIFS('Istoric_Nativ'!$H$6:$H$405,'Istoric_Nativ'!$B$6:$B$405,E614,'Istoric_Nativ'!$C$6:$C$405,F614,'Istoric_Nativ'!$E$6:$E$405,G614,'Istoric_Nativ'!$D$6:$D$405,"&lt;"&amp;J614,'Istoric_Nativ'!$P$6:$P$405,1,'Istoric_Nativ'!$D$6:$D$405,"&gt;="&amp;L614)+SUMIFS('Istoric_Nativ'!$G$6:$G$405,'Istoric_Nativ'!$B$6:$B$405,E614,'Istoric_Nativ'!$C$6:$C$405,F614,'Istoric_Nativ'!$F$6:$F$405,G614,'Istoric_Nativ'!$D$6:$D$405,"&lt;"&amp;J614,'Istoric_Nativ'!$P$6:$P$405,1,'Istoric_Nativ'!$D$6:$D$405,"&gt;="&amp;L614)))/M614)</x:f>
      </x:c>
      <x:c r="P614" s="2" t="n">
        <x:f>'Config_v6'!$B$9</x:f>
        <x:v>3</x:v>
      </x:c>
      <x:c r="Q614" s="2" t="n">
        <x:f>IF(OR(B614="",F614=""),0,IFERROR(MATCH(E614&amp;"|"&amp;F614,SourceTable[Source_Key],0),0))</x:f>
        <x:v>0</x:v>
      </x:c>
      <x:c r="R614" s="2" t="str">
        <x:f>IF(B614="","",IF(F614="","UNUSED",IF(Q614=0,"NOT CHECKED",IF(COUNTIF(SourceTable[Source_Key],E614&amp;"|"&amp;F614)&lt;&gt;1,"SOURCE CONFLICT",IF(NOT(OR(INDEX(SourceTable[Status],MAX(1,Q614))="IMPORTED",INDEX(SourceTable[Status],MAX(1,Q614))="PARTIAL",INDEX(SourceTable[Status],MAX(1,Q614))="SOURCE CONFLICT")),"ACCESS BLOCKED",IF(OR(INDEX(SourceTable[Coverage],Q614)&lt;&gt;"FULL SEASON EXPORT",INDEX(SourceTable[URL],Q614)="",INDEX(SourceTable[SHA256],Q614)=""),"EVIDENCE INCOMPLETE",IF(AND('Input_Meci'!H56="LIVE",INDEX(SourceTable[Retrieved_UTC],Q614)&gt;'Input_Meci'!G56),"POST CUTOFF","CLOSED")))))))</x:f>
      </x:c>
      <x:c r="S614" s="2" t="n">
        <x:f>IF(OR(B614="",F614=""),0,COUNTIFS('Istoric_Nativ'!$B$6:$B$405,E614,'Istoric_Nativ'!$C$6:$C$405,F614,'Istoric_Nativ'!$E$6:$E$405,G614,'Istoric_Nativ'!$D$6:$D$405,"&lt;"&amp;J614,'Istoric_Nativ'!$O$6:$O$405,"INVALID")+COUNTIFS('Istoric_Nativ'!$B$6:$B$405,E614,'Istoric_Nativ'!$C$6:$C$405,F614,'Istoric_Nativ'!$E$6:$E$405,G614,'Istoric_Nativ'!$O$6:$O$405,"INVALID",'Istoric_Nativ'!$D$6:$D$405,"*")+COUNTIFS('Istoric_Nativ'!$B$6:$B$405,E614,'Istoric_Nativ'!$C$6:$C$405,F614,'Istoric_Nativ'!$E$6:$E$405,G614,'Istoric_Nativ'!$D$6:$D$405,"&lt;"&amp;J614,'Istoric_Nativ'!$O$6:$O$405,"SOURCE CONFLICT")+COUNTIFS('Istoric_Nativ'!$B$6:$B$405,E614,'Istoric_Nativ'!$C$6:$C$405,F614,'Istoric_Nativ'!$F$6:$F$405,G614,'Istoric_Nativ'!$D$6:$D$405,"&lt;"&amp;J614,'Istoric_Nativ'!$O$6:$O$405,"INVALID")+COUNTIFS('Istoric_Nativ'!$B$6:$B$405,E614,'Istoric_Nativ'!$C$6:$C$405,F614,'Istoric_Nativ'!$F$6:$F$405,G614,'Istoric_Nativ'!$O$6:$O$405,"INVALID",'Istoric_Nativ'!$D$6:$D$405,"*")+COUNTIFS('Istoric_Nativ'!$B$6:$B$405,E614,'Istoric_Nativ'!$C$6:$C$405,F614,'Istoric_Nativ'!$F$6:$F$405,G614,'Istoric_Nativ'!$D$6:$D$405,"&lt;"&amp;J614,'Istoric_Nativ'!$O$6:$O$405,"SOURCE CONFLICT"))</x:f>
        <x:v>0</x:v>
      </x:c>
      <x:c r="T614" s="2" t="str">
        <x:f>IF(B614="","",IF(R614&lt;&gt;"CLOSED",R614,IF(S614&gt;0,"NATIVE INPUT ISSUE",IF(M614=0,"NO HISTORY",IF(M614&lt;P614,"SMALL SAMPLE","DERIVED")))))</x:f>
      </x:c>
      <x:c r="U614" s="2" t="str">
        <x:f>IF(B614="","","NativeTable; "&amp;E614&amp;"; "&amp;F614&amp;"; "&amp;G614&amp;"; "&amp;H614&amp;"; before "&amp;TEXT(J614,"yyyy-mm-dd")&amp;IF(I614="RECENT","; from "&amp;TEXT(L614,"yyyy-mm-dd"),""))</x:f>
      </x:c>
    </x:row>
    <x:row r="615" ht="21" customHeight="1">
      <x:c r="A615" s="2" t="n">
        <x:v>51</x:v>
      </x:c>
      <x:c r="B615" s="2" t="str">
        <x:f>IF('Input_Meci'!A56="","",'Input_Meci'!A56)</x:f>
      </x:c>
      <x:c r="C615" s="2" t="str">
        <x:v>A</x:v>
      </x:c>
      <x:c r="D615" s="2" t="str">
        <x:v>PRIOR</x:v>
      </x:c>
      <x:c r="E615" s="2" t="str">
        <x:f>IF(B615="","",'Input_Meci'!B56)</x:f>
      </x:c>
      <x:c r="F615" s="2" t="str">
        <x:f>IF(B615="","",IF('Input_Meci'!K56="","",'Input_Meci'!K56))</x:f>
      </x:c>
      <x:c r="G615" s="2" t="str">
        <x:f>IF(B615="","",'Input_Meci'!E56)</x:f>
      </x:c>
      <x:c r="H615" s="2" t="str">
        <x:v>ANY</x:v>
      </x:c>
      <x:c r="I615" s="2" t="str">
        <x:v>SEASON</x:v>
      </x:c>
      <x:c r="J615" s="9" t="n">
        <x:f>IF(AND(B615&lt;&gt;"",ISNUMBER('Input_Meci'!G56)),INT('Input_Meci'!G56),0)</x:f>
        <x:v>0</x:v>
      </x:c>
      <x:c r="K615" s="2" t="n">
        <x:f>IF(OR(B615="",F615=""),0,IF(H615="HOME",COUNTIFS('Istoric_Nativ'!$B$6:$B$405,E615,'Istoric_Nativ'!$C$6:$C$405,F615,'Istoric_Nativ'!$E$6:$E$405,G615,'Istoric_Nativ'!$D$6:$D$405,"&lt;"&amp;J615,'Istoric_Nativ'!$P$6:$P$405,1),IF(H615="AWAY",COUNTIFS('Istoric_Nativ'!$B$6:$B$405,E615,'Istoric_Nativ'!$C$6:$C$405,F615,'Istoric_Nativ'!$F$6:$F$405,G615,'Istoric_Nativ'!$D$6:$D$405,"&lt;"&amp;J615,'Istoric_Nativ'!$P$6:$P$405,1),COUNTIFS('Istoric_Nativ'!$B$6:$B$405,E615,'Istoric_Nativ'!$C$6:$C$405,F615,'Istoric_Nativ'!$E$6:$E$405,G615,'Istoric_Nativ'!$D$6:$D$405,"&lt;"&amp;J615,'Istoric_Nativ'!$P$6:$P$405,1)+COUNTIFS('Istoric_Nativ'!$B$6:$B$405,E615,'Istoric_Nativ'!$C$6:$C$405,F615,'Istoric_Nativ'!$F$6:$F$405,G615,'Istoric_Nativ'!$D$6:$D$405,"&lt;"&amp;J615,'Istoric_Nativ'!$P$6:$P$405,1))))</x:f>
        <x:v>0</x:v>
      </x:c>
      <x:c r="L615" s="17" t="n">
        <x:f>IF(AND(B615&lt;&gt;"",I615="RECENT",K615&gt;0),LARGE(_xlfn._xlws.FILTER('Istoric_Nativ'!$D$6:$D$405,('Istoric_Nativ'!$B$6:$B$405=E615)*('Istoric_Nativ'!$C$6:$C$405=F615)*('Istoric_Nativ'!$P$6:$P$405=1)*('Istoric_Nativ'!$D$6:$D$405&lt;J615)*((('Istoric_Nativ'!$E$6:$E$405=G615)+('Istoric_Nativ'!$F$6:$F$405=G615))&gt;0)),MIN('Config_v6'!$B$54,K615)),0)</x:f>
        <x:v>0</x:v>
      </x:c>
      <x:c r="M615" s="2" t="n">
        <x:f>IF(OR(B615="",F615=""),0,IF(H615="HOME",COUNTIFS('Istoric_Nativ'!$B$6:$B$405,E615,'Istoric_Nativ'!$C$6:$C$405,F615,'Istoric_Nativ'!$E$6:$E$405,G615,'Istoric_Nativ'!$D$6:$D$405,"&lt;"&amp;J615,'Istoric_Nativ'!$P$6:$P$405,1,'Istoric_Nativ'!$D$6:$D$405,"&gt;="&amp;L615),IF(H615="AWAY",COUNTIFS('Istoric_Nativ'!$B$6:$B$405,E615,'Istoric_Nativ'!$C$6:$C$405,F615,'Istoric_Nativ'!$F$6:$F$405,G615,'Istoric_Nativ'!$D$6:$D$405,"&lt;"&amp;J615,'Istoric_Nativ'!$P$6:$P$405,1,'Istoric_Nativ'!$D$6:$D$405,"&gt;="&amp;L615),COUNTIFS('Istoric_Nativ'!$B$6:$B$405,E615,'Istoric_Nativ'!$C$6:$C$405,F615,'Istoric_Nativ'!$E$6:$E$405,G615,'Istoric_Nativ'!$D$6:$D$405,"&lt;"&amp;J615,'Istoric_Nativ'!$P$6:$P$405,1,'Istoric_Nativ'!$D$6:$D$405,"&gt;="&amp;L615)+COUNTIFS('Istoric_Nativ'!$B$6:$B$405,E615,'Istoric_Nativ'!$C$6:$C$405,F615,'Istoric_Nativ'!$F$6:$F$405,G615,'Istoric_Nativ'!$D$6:$D$405,"&lt;"&amp;J615,'Istoric_Nativ'!$P$6:$P$405,1,'Istoric_Nativ'!$D$6:$D$405,"&gt;="&amp;L615))))</x:f>
        <x:v>0</x:v>
      </x:c>
      <x:c r="N615" s="11" t="str">
        <x:f>IF(M615=0,"",IF(H615="HOME",SUMIFS('Istoric_Nativ'!$G$6:$G$405,'Istoric_Nativ'!$B$6:$B$405,E615,'Istoric_Nativ'!$C$6:$C$405,F615,'Istoric_Nativ'!$E$6:$E$405,G615,'Istoric_Nativ'!$D$6:$D$405,"&lt;"&amp;J615,'Istoric_Nativ'!$P$6:$P$405,1,'Istoric_Nativ'!$D$6:$D$405,"&gt;="&amp;L615),IF(H615="AWAY",SUMIFS('Istoric_Nativ'!$H$6:$H$405,'Istoric_Nativ'!$B$6:$B$405,E615,'Istoric_Nativ'!$C$6:$C$405,F615,'Istoric_Nativ'!$F$6:$F$405,G615,'Istoric_Nativ'!$D$6:$D$405,"&lt;"&amp;J615,'Istoric_Nativ'!$P$6:$P$405,1,'Istoric_Nativ'!$D$6:$D$405,"&gt;="&amp;L615),SUMIFS('Istoric_Nativ'!$G$6:$G$405,'Istoric_Nativ'!$B$6:$B$405,E615,'Istoric_Nativ'!$C$6:$C$405,F615,'Istoric_Nativ'!$E$6:$E$405,G615,'Istoric_Nativ'!$D$6:$D$405,"&lt;"&amp;J615,'Istoric_Nativ'!$P$6:$P$405,1,'Istoric_Nativ'!$D$6:$D$405,"&gt;="&amp;L615)+SUMIFS('Istoric_Nativ'!$H$6:$H$405,'Istoric_Nativ'!$B$6:$B$405,E615,'Istoric_Nativ'!$C$6:$C$405,F615,'Istoric_Nativ'!$F$6:$F$405,G615,'Istoric_Nativ'!$D$6:$D$405,"&lt;"&amp;J615,'Istoric_Nativ'!$P$6:$P$405,1,'Istoric_Nativ'!$D$6:$D$405,"&gt;="&amp;L615)))/M615)</x:f>
      </x:c>
      <x:c r="O615" s="11" t="str">
        <x:f>IF(M615=0,"",IF(H615="HOME",SUMIFS('Istoric_Nativ'!$H$6:$H$405,'Istoric_Nativ'!$B$6:$B$405,E615,'Istoric_Nativ'!$C$6:$C$405,F615,'Istoric_Nativ'!$E$6:$E$405,G615,'Istoric_Nativ'!$D$6:$D$405,"&lt;"&amp;J615,'Istoric_Nativ'!$P$6:$P$405,1,'Istoric_Nativ'!$D$6:$D$405,"&gt;="&amp;L615),IF(H615="AWAY",SUMIFS('Istoric_Nativ'!$G$6:$G$405,'Istoric_Nativ'!$B$6:$B$405,E615,'Istoric_Nativ'!$C$6:$C$405,F615,'Istoric_Nativ'!$F$6:$F$405,G615,'Istoric_Nativ'!$D$6:$D$405,"&lt;"&amp;J615,'Istoric_Nativ'!$P$6:$P$405,1,'Istoric_Nativ'!$D$6:$D$405,"&gt;="&amp;L615),SUMIFS('Istoric_Nativ'!$H$6:$H$405,'Istoric_Nativ'!$B$6:$B$405,E615,'Istoric_Nativ'!$C$6:$C$405,F615,'Istoric_Nativ'!$E$6:$E$405,G615,'Istoric_Nativ'!$D$6:$D$405,"&lt;"&amp;J615,'Istoric_Nativ'!$P$6:$P$405,1,'Istoric_Nativ'!$D$6:$D$405,"&gt;="&amp;L615)+SUMIFS('Istoric_Nativ'!$G$6:$G$405,'Istoric_Nativ'!$B$6:$B$405,E615,'Istoric_Nativ'!$C$6:$C$405,F615,'Istoric_Nativ'!$F$6:$F$405,G615,'Istoric_Nativ'!$D$6:$D$405,"&lt;"&amp;J615,'Istoric_Nativ'!$P$6:$P$405,1,'Istoric_Nativ'!$D$6:$D$405,"&gt;="&amp;L615)))/M615)</x:f>
      </x:c>
      <x:c r="P615" s="2" t="n">
        <x:f>'Config_v6'!$B$7</x:f>
        <x:v>10</x:v>
      </x:c>
      <x:c r="Q615" s="2" t="n">
        <x:f>IF(OR(B615="",F615=""),0,IFERROR(MATCH(E615&amp;"|"&amp;F615,SourceTable[Source_Key],0),0))</x:f>
        <x:v>0</x:v>
      </x:c>
      <x:c r="R615" s="2" t="str">
        <x:f>IF(B615="","",IF(F615="","UNUSED",IF(Q615=0,"NOT CHECKED",IF(COUNTIF(SourceTable[Source_Key],E615&amp;"|"&amp;F615)&lt;&gt;1,"SOURCE CONFLICT",IF(NOT(OR(INDEX(SourceTable[Status],MAX(1,Q615))="IMPORTED",INDEX(SourceTable[Status],MAX(1,Q615))="PARTIAL",INDEX(SourceTable[Status],MAX(1,Q615))="SOURCE CONFLICT")),"ACCESS BLOCKED",IF(OR(INDEX(SourceTable[Coverage],Q615)&lt;&gt;"FULL SEASON EXPORT",INDEX(SourceTable[URL],Q615)="",INDEX(SourceTable[SHA256],Q615)=""),"EVIDENCE INCOMPLETE",IF(AND('Input_Meci'!H56="LIVE",INDEX(SourceTable[Retrieved_UTC],Q615)&gt;'Input_Meci'!G56),"POST CUTOFF","CLOSED")))))))</x:f>
      </x:c>
      <x:c r="S615" s="2" t="n">
        <x:f>IF(OR(B615="",F615=""),0,COUNTIFS('Istoric_Nativ'!$B$6:$B$405,E615,'Istoric_Nativ'!$C$6:$C$405,F615,'Istoric_Nativ'!$E$6:$E$405,G615,'Istoric_Nativ'!$D$6:$D$405,"&lt;"&amp;J615,'Istoric_Nativ'!$O$6:$O$405,"INVALID")+COUNTIFS('Istoric_Nativ'!$B$6:$B$405,E615,'Istoric_Nativ'!$C$6:$C$405,F615,'Istoric_Nativ'!$E$6:$E$405,G615,'Istoric_Nativ'!$O$6:$O$405,"INVALID",'Istoric_Nativ'!$D$6:$D$405,"*")+COUNTIFS('Istoric_Nativ'!$B$6:$B$405,E615,'Istoric_Nativ'!$C$6:$C$405,F615,'Istoric_Nativ'!$E$6:$E$405,G615,'Istoric_Nativ'!$D$6:$D$405,"&lt;"&amp;J615,'Istoric_Nativ'!$O$6:$O$405,"SOURCE CONFLICT")+COUNTIFS('Istoric_Nativ'!$B$6:$B$405,E615,'Istoric_Nativ'!$C$6:$C$405,F615,'Istoric_Nativ'!$F$6:$F$405,G615,'Istoric_Nativ'!$D$6:$D$405,"&lt;"&amp;J615,'Istoric_Nativ'!$O$6:$O$405,"INVALID")+COUNTIFS('Istoric_Nativ'!$B$6:$B$405,E615,'Istoric_Nativ'!$C$6:$C$405,F615,'Istoric_Nativ'!$F$6:$F$405,G615,'Istoric_Nativ'!$O$6:$O$405,"INVALID",'Istoric_Nativ'!$D$6:$D$405,"*")+COUNTIFS('Istoric_Nativ'!$B$6:$B$405,E615,'Istoric_Nativ'!$C$6:$C$405,F615,'Istoric_Nativ'!$F$6:$F$405,G615,'Istoric_Nativ'!$D$6:$D$405,"&lt;"&amp;J615,'Istoric_Nativ'!$O$6:$O$405,"SOURCE CONFLICT"))</x:f>
        <x:v>0</x:v>
      </x:c>
      <x:c r="T615" s="2" t="str">
        <x:f>IF(B615="","",IF(R615&lt;&gt;"CLOSED",R615,IF(S615&gt;0,"NATIVE INPUT ISSUE",IF(M615=0,"NO HISTORY",IF(M615&lt;P615,"SMALL SAMPLE","DERIVED")))))</x:f>
      </x:c>
      <x:c r="U615" s="2" t="str">
        <x:f>IF(B615="","","NativeTable; "&amp;E615&amp;"; "&amp;F615&amp;"; "&amp;G615&amp;"; "&amp;H615&amp;"; before "&amp;TEXT(J615,"yyyy-mm-dd")&amp;IF(I615="RECENT","; from "&amp;TEXT(L615,"yyyy-mm-dd"),""))</x:f>
      </x:c>
    </x:row>
    <x:row r="616" ht="21" customHeight="1">
      <x:c r="A616" s="2" t="n">
        <x:v>51</x:v>
      </x:c>
      <x:c r="B616" s="2" t="str">
        <x:f>IF('Input_Meci'!A56="","",'Input_Meci'!A56)</x:f>
      </x:c>
      <x:c r="C616" s="2" t="str">
        <x:v>A</x:v>
      </x:c>
      <x:c r="D616" s="2" t="str">
        <x:v>PRIOR</x:v>
      </x:c>
      <x:c r="E616" s="2" t="str">
        <x:f>IF(B616="","",'Input_Meci'!B56)</x:f>
      </x:c>
      <x:c r="F616" s="2" t="str">
        <x:f>IF(B616="","",IF('Input_Meci'!K56="","",'Input_Meci'!K56))</x:f>
      </x:c>
      <x:c r="G616" s="2" t="str">
        <x:f>IF(B616="","",'Input_Meci'!E56)</x:f>
      </x:c>
      <x:c r="H616" s="2" t="str">
        <x:v>AWAY</x:v>
      </x:c>
      <x:c r="I616" s="2" t="str">
        <x:v>HA</x:v>
      </x:c>
      <x:c r="J616" s="9" t="n">
        <x:f>IF(AND(B616&lt;&gt;"",ISNUMBER('Input_Meci'!G56)),INT('Input_Meci'!G56),0)</x:f>
        <x:v>0</x:v>
      </x:c>
      <x:c r="K616" s="2" t="n">
        <x:f>IF(OR(B616="",F616=""),0,IF(H616="HOME",COUNTIFS('Istoric_Nativ'!$B$6:$B$405,E616,'Istoric_Nativ'!$C$6:$C$405,F616,'Istoric_Nativ'!$E$6:$E$405,G616,'Istoric_Nativ'!$D$6:$D$405,"&lt;"&amp;J616,'Istoric_Nativ'!$P$6:$P$405,1),IF(H616="AWAY",COUNTIFS('Istoric_Nativ'!$B$6:$B$405,E616,'Istoric_Nativ'!$C$6:$C$405,F616,'Istoric_Nativ'!$F$6:$F$405,G616,'Istoric_Nativ'!$D$6:$D$405,"&lt;"&amp;J616,'Istoric_Nativ'!$P$6:$P$405,1),COUNTIFS('Istoric_Nativ'!$B$6:$B$405,E616,'Istoric_Nativ'!$C$6:$C$405,F616,'Istoric_Nativ'!$E$6:$E$405,G616,'Istoric_Nativ'!$D$6:$D$405,"&lt;"&amp;J616,'Istoric_Nativ'!$P$6:$P$405,1)+COUNTIFS('Istoric_Nativ'!$B$6:$B$405,E616,'Istoric_Nativ'!$C$6:$C$405,F616,'Istoric_Nativ'!$F$6:$F$405,G616,'Istoric_Nativ'!$D$6:$D$405,"&lt;"&amp;J616,'Istoric_Nativ'!$P$6:$P$405,1))))</x:f>
        <x:v>0</x:v>
      </x:c>
      <x:c r="L616" s="17" t="n">
        <x:f>IF(AND(B616&lt;&gt;"",I616="RECENT",K616&gt;0),LARGE(_xlfn._xlws.FILTER('Istoric_Nativ'!$D$6:$D$405,('Istoric_Nativ'!$B$6:$B$405=E616)*('Istoric_Nativ'!$C$6:$C$405=F616)*('Istoric_Nativ'!$P$6:$P$405=1)*('Istoric_Nativ'!$D$6:$D$405&lt;J616)*((('Istoric_Nativ'!$E$6:$E$405=G616)+('Istoric_Nativ'!$F$6:$F$405=G616))&gt;0)),MIN('Config_v6'!$B$54,K616)),0)</x:f>
        <x:v>0</x:v>
      </x:c>
      <x:c r="M616" s="2" t="n">
        <x:f>IF(OR(B616="",F616=""),0,IF(H616="HOME",COUNTIFS('Istoric_Nativ'!$B$6:$B$405,E616,'Istoric_Nativ'!$C$6:$C$405,F616,'Istoric_Nativ'!$E$6:$E$405,G616,'Istoric_Nativ'!$D$6:$D$405,"&lt;"&amp;J616,'Istoric_Nativ'!$P$6:$P$405,1,'Istoric_Nativ'!$D$6:$D$405,"&gt;="&amp;L616),IF(H616="AWAY",COUNTIFS('Istoric_Nativ'!$B$6:$B$405,E616,'Istoric_Nativ'!$C$6:$C$405,F616,'Istoric_Nativ'!$F$6:$F$405,G616,'Istoric_Nativ'!$D$6:$D$405,"&lt;"&amp;J616,'Istoric_Nativ'!$P$6:$P$405,1,'Istoric_Nativ'!$D$6:$D$405,"&gt;="&amp;L616),COUNTIFS('Istoric_Nativ'!$B$6:$B$405,E616,'Istoric_Nativ'!$C$6:$C$405,F616,'Istoric_Nativ'!$E$6:$E$405,G616,'Istoric_Nativ'!$D$6:$D$405,"&lt;"&amp;J616,'Istoric_Nativ'!$P$6:$P$405,1,'Istoric_Nativ'!$D$6:$D$405,"&gt;="&amp;L616)+COUNTIFS('Istoric_Nativ'!$B$6:$B$405,E616,'Istoric_Nativ'!$C$6:$C$405,F616,'Istoric_Nativ'!$F$6:$F$405,G616,'Istoric_Nativ'!$D$6:$D$405,"&lt;"&amp;J616,'Istoric_Nativ'!$P$6:$P$405,1,'Istoric_Nativ'!$D$6:$D$405,"&gt;="&amp;L616))))</x:f>
        <x:v>0</x:v>
      </x:c>
      <x:c r="N616" s="11" t="str">
        <x:f>IF(M616=0,"",IF(H616="HOME",SUMIFS('Istoric_Nativ'!$G$6:$G$405,'Istoric_Nativ'!$B$6:$B$405,E616,'Istoric_Nativ'!$C$6:$C$405,F616,'Istoric_Nativ'!$E$6:$E$405,G616,'Istoric_Nativ'!$D$6:$D$405,"&lt;"&amp;J616,'Istoric_Nativ'!$P$6:$P$405,1,'Istoric_Nativ'!$D$6:$D$405,"&gt;="&amp;L616),IF(H616="AWAY",SUMIFS('Istoric_Nativ'!$H$6:$H$405,'Istoric_Nativ'!$B$6:$B$405,E616,'Istoric_Nativ'!$C$6:$C$405,F616,'Istoric_Nativ'!$F$6:$F$405,G616,'Istoric_Nativ'!$D$6:$D$405,"&lt;"&amp;J616,'Istoric_Nativ'!$P$6:$P$405,1,'Istoric_Nativ'!$D$6:$D$405,"&gt;="&amp;L616),SUMIFS('Istoric_Nativ'!$G$6:$G$405,'Istoric_Nativ'!$B$6:$B$405,E616,'Istoric_Nativ'!$C$6:$C$405,F616,'Istoric_Nativ'!$E$6:$E$405,G616,'Istoric_Nativ'!$D$6:$D$405,"&lt;"&amp;J616,'Istoric_Nativ'!$P$6:$P$405,1,'Istoric_Nativ'!$D$6:$D$405,"&gt;="&amp;L616)+SUMIFS('Istoric_Nativ'!$H$6:$H$405,'Istoric_Nativ'!$B$6:$B$405,E616,'Istoric_Nativ'!$C$6:$C$405,F616,'Istoric_Nativ'!$F$6:$F$405,G616,'Istoric_Nativ'!$D$6:$D$405,"&lt;"&amp;J616,'Istoric_Nativ'!$P$6:$P$405,1,'Istoric_Nativ'!$D$6:$D$405,"&gt;="&amp;L616)))/M616)</x:f>
      </x:c>
      <x:c r="O616" s="11" t="str">
        <x:f>IF(M616=0,"",IF(H616="HOME",SUMIFS('Istoric_Nativ'!$H$6:$H$405,'Istoric_Nativ'!$B$6:$B$405,E616,'Istoric_Nativ'!$C$6:$C$405,F616,'Istoric_Nativ'!$E$6:$E$405,G616,'Istoric_Nativ'!$D$6:$D$405,"&lt;"&amp;J616,'Istoric_Nativ'!$P$6:$P$405,1,'Istoric_Nativ'!$D$6:$D$405,"&gt;="&amp;L616),IF(H616="AWAY",SUMIFS('Istoric_Nativ'!$G$6:$G$405,'Istoric_Nativ'!$B$6:$B$405,E616,'Istoric_Nativ'!$C$6:$C$405,F616,'Istoric_Nativ'!$F$6:$F$405,G616,'Istoric_Nativ'!$D$6:$D$405,"&lt;"&amp;J616,'Istoric_Nativ'!$P$6:$P$405,1,'Istoric_Nativ'!$D$6:$D$405,"&gt;="&amp;L616),SUMIFS('Istoric_Nativ'!$H$6:$H$405,'Istoric_Nativ'!$B$6:$B$405,E616,'Istoric_Nativ'!$C$6:$C$405,F616,'Istoric_Nativ'!$E$6:$E$405,G616,'Istoric_Nativ'!$D$6:$D$405,"&lt;"&amp;J616,'Istoric_Nativ'!$P$6:$P$405,1,'Istoric_Nativ'!$D$6:$D$405,"&gt;="&amp;L616)+SUMIFS('Istoric_Nativ'!$G$6:$G$405,'Istoric_Nativ'!$B$6:$B$405,E616,'Istoric_Nativ'!$C$6:$C$405,F616,'Istoric_Nativ'!$F$6:$F$405,G616,'Istoric_Nativ'!$D$6:$D$405,"&lt;"&amp;J616,'Istoric_Nativ'!$P$6:$P$405,1,'Istoric_Nativ'!$D$6:$D$405,"&gt;="&amp;L616)))/M616)</x:f>
      </x:c>
      <x:c r="P616" s="2" t="n">
        <x:f>'Config_v6'!$B$8</x:f>
        <x:v>5</x:v>
      </x:c>
      <x:c r="Q616" s="2" t="n">
        <x:f>IF(OR(B616="",F616=""),0,IFERROR(MATCH(E616&amp;"|"&amp;F616,SourceTable[Source_Key],0),0))</x:f>
        <x:v>0</x:v>
      </x:c>
      <x:c r="R616" s="2" t="str">
        <x:f>IF(B616="","",IF(F616="","UNUSED",IF(Q616=0,"NOT CHECKED",IF(COUNTIF(SourceTable[Source_Key],E616&amp;"|"&amp;F616)&lt;&gt;1,"SOURCE CONFLICT",IF(NOT(OR(INDEX(SourceTable[Status],MAX(1,Q616))="IMPORTED",INDEX(SourceTable[Status],MAX(1,Q616))="PARTIAL",INDEX(SourceTable[Status],MAX(1,Q616))="SOURCE CONFLICT")),"ACCESS BLOCKED",IF(OR(INDEX(SourceTable[Coverage],Q616)&lt;&gt;"FULL SEASON EXPORT",INDEX(SourceTable[URL],Q616)="",INDEX(SourceTable[SHA256],Q616)=""),"EVIDENCE INCOMPLETE",IF(AND('Input_Meci'!H56="LIVE",INDEX(SourceTable[Retrieved_UTC],Q616)&gt;'Input_Meci'!G56),"POST CUTOFF","CLOSED")))))))</x:f>
      </x:c>
      <x:c r="S616" s="2" t="n">
        <x:f>IF(OR(B616="",F616=""),0,COUNTIFS('Istoric_Nativ'!$B$6:$B$405,E616,'Istoric_Nativ'!$C$6:$C$405,F616,'Istoric_Nativ'!$E$6:$E$405,G616,'Istoric_Nativ'!$D$6:$D$405,"&lt;"&amp;J616,'Istoric_Nativ'!$O$6:$O$405,"INVALID")+COUNTIFS('Istoric_Nativ'!$B$6:$B$405,E616,'Istoric_Nativ'!$C$6:$C$405,F616,'Istoric_Nativ'!$E$6:$E$405,G616,'Istoric_Nativ'!$O$6:$O$405,"INVALID",'Istoric_Nativ'!$D$6:$D$405,"*")+COUNTIFS('Istoric_Nativ'!$B$6:$B$405,E616,'Istoric_Nativ'!$C$6:$C$405,F616,'Istoric_Nativ'!$E$6:$E$405,G616,'Istoric_Nativ'!$D$6:$D$405,"&lt;"&amp;J616,'Istoric_Nativ'!$O$6:$O$405,"SOURCE CONFLICT")+COUNTIFS('Istoric_Nativ'!$B$6:$B$405,E616,'Istoric_Nativ'!$C$6:$C$405,F616,'Istoric_Nativ'!$F$6:$F$405,G616,'Istoric_Nativ'!$D$6:$D$405,"&lt;"&amp;J616,'Istoric_Nativ'!$O$6:$O$405,"INVALID")+COUNTIFS('Istoric_Nativ'!$B$6:$B$405,E616,'Istoric_Nativ'!$C$6:$C$405,F616,'Istoric_Nativ'!$F$6:$F$405,G616,'Istoric_Nativ'!$O$6:$O$405,"INVALID",'Istoric_Nativ'!$D$6:$D$405,"*")+COUNTIFS('Istoric_Nativ'!$B$6:$B$405,E616,'Istoric_Nativ'!$C$6:$C$405,F616,'Istoric_Nativ'!$F$6:$F$405,G616,'Istoric_Nativ'!$D$6:$D$405,"&lt;"&amp;J616,'Istoric_Nativ'!$O$6:$O$405,"SOURCE CONFLICT"))</x:f>
        <x:v>0</x:v>
      </x:c>
      <x:c r="T616" s="2" t="str">
        <x:f>IF(B616="","",IF(R616&lt;&gt;"CLOSED",R616,IF(S616&gt;0,"NATIVE INPUT ISSUE",IF(M616=0,"NO HISTORY",IF(M616&lt;P616,"SMALL SAMPLE","DERIVED")))))</x:f>
      </x:c>
      <x:c r="U616" s="2" t="str">
        <x:f>IF(B616="","","NativeTable; "&amp;E616&amp;"; "&amp;F616&amp;"; "&amp;G616&amp;"; "&amp;H616&amp;"; before "&amp;TEXT(J616,"yyyy-mm-dd")&amp;IF(I616="RECENT","; from "&amp;TEXT(L616,"yyyy-mm-dd"),""))</x:f>
      </x:c>
    </x:row>
    <x:row r="617" ht="21" customHeight="1">
      <x:c r="A617" s="2" t="n">
        <x:v>51</x:v>
      </x:c>
      <x:c r="B617" s="2" t="str">
        <x:f>IF('Input_Meci'!A56="","",'Input_Meci'!A56)</x:f>
      </x:c>
      <x:c r="C617" s="2" t="str">
        <x:v>A</x:v>
      </x:c>
      <x:c r="D617" s="2" t="str">
        <x:v>PRIOR</x:v>
      </x:c>
      <x:c r="E617" s="2" t="str">
        <x:f>IF(B617="","",'Input_Meci'!B56)</x:f>
      </x:c>
      <x:c r="F617" s="2" t="str">
        <x:f>IF(B617="","",IF('Input_Meci'!K56="","",'Input_Meci'!K56))</x:f>
      </x:c>
      <x:c r="G617" s="2" t="str">
        <x:f>IF(B617="","",'Input_Meci'!E56)</x:f>
      </x:c>
      <x:c r="H617" s="2" t="str">
        <x:v>ANY</x:v>
      </x:c>
      <x:c r="I617" s="2" t="str">
        <x:v>RECENT</x:v>
      </x:c>
      <x:c r="J617" s="9" t="n">
        <x:f>IF(AND(B617&lt;&gt;"",ISNUMBER('Input_Meci'!G56)),INT('Input_Meci'!G56),0)</x:f>
        <x:v>0</x:v>
      </x:c>
      <x:c r="K617" s="2" t="n">
        <x:f>IF(OR(B617="",F617=""),0,IF(H617="HOME",COUNTIFS('Istoric_Nativ'!$B$6:$B$405,E617,'Istoric_Nativ'!$C$6:$C$405,F617,'Istoric_Nativ'!$E$6:$E$405,G617,'Istoric_Nativ'!$D$6:$D$405,"&lt;"&amp;J617,'Istoric_Nativ'!$P$6:$P$405,1),IF(H617="AWAY",COUNTIFS('Istoric_Nativ'!$B$6:$B$405,E617,'Istoric_Nativ'!$C$6:$C$405,F617,'Istoric_Nativ'!$F$6:$F$405,G617,'Istoric_Nativ'!$D$6:$D$405,"&lt;"&amp;J617,'Istoric_Nativ'!$P$6:$P$405,1),COUNTIFS('Istoric_Nativ'!$B$6:$B$405,E617,'Istoric_Nativ'!$C$6:$C$405,F617,'Istoric_Nativ'!$E$6:$E$405,G617,'Istoric_Nativ'!$D$6:$D$405,"&lt;"&amp;J617,'Istoric_Nativ'!$P$6:$P$405,1)+COUNTIFS('Istoric_Nativ'!$B$6:$B$405,E617,'Istoric_Nativ'!$C$6:$C$405,F617,'Istoric_Nativ'!$F$6:$F$405,G617,'Istoric_Nativ'!$D$6:$D$405,"&lt;"&amp;J617,'Istoric_Nativ'!$P$6:$P$405,1))))</x:f>
        <x:v>0</x:v>
      </x:c>
      <x:c r="L617" s="17" t="n">
        <x:f>IF(AND(B617&lt;&gt;"",I617="RECENT",K617&gt;0),LARGE(_xlfn._xlws.FILTER('Istoric_Nativ'!$D$6:$D$405,('Istoric_Nativ'!$B$6:$B$405=E617)*('Istoric_Nativ'!$C$6:$C$405=F617)*('Istoric_Nativ'!$P$6:$P$405=1)*('Istoric_Nativ'!$D$6:$D$405&lt;J617)*((('Istoric_Nativ'!$E$6:$E$405=G617)+('Istoric_Nativ'!$F$6:$F$405=G617))&gt;0)),MIN('Config_v6'!$B$54,K617)),0)</x:f>
        <x:v>0</x:v>
      </x:c>
      <x:c r="M617" s="2" t="n">
        <x:f>IF(OR(B617="",F617=""),0,IF(H617="HOME",COUNTIFS('Istoric_Nativ'!$B$6:$B$405,E617,'Istoric_Nativ'!$C$6:$C$405,F617,'Istoric_Nativ'!$E$6:$E$405,G617,'Istoric_Nativ'!$D$6:$D$405,"&lt;"&amp;J617,'Istoric_Nativ'!$P$6:$P$405,1,'Istoric_Nativ'!$D$6:$D$405,"&gt;="&amp;L617),IF(H617="AWAY",COUNTIFS('Istoric_Nativ'!$B$6:$B$405,E617,'Istoric_Nativ'!$C$6:$C$405,F617,'Istoric_Nativ'!$F$6:$F$405,G617,'Istoric_Nativ'!$D$6:$D$405,"&lt;"&amp;J617,'Istoric_Nativ'!$P$6:$P$405,1,'Istoric_Nativ'!$D$6:$D$405,"&gt;="&amp;L617),COUNTIFS('Istoric_Nativ'!$B$6:$B$405,E617,'Istoric_Nativ'!$C$6:$C$405,F617,'Istoric_Nativ'!$E$6:$E$405,G617,'Istoric_Nativ'!$D$6:$D$405,"&lt;"&amp;J617,'Istoric_Nativ'!$P$6:$P$405,1,'Istoric_Nativ'!$D$6:$D$405,"&gt;="&amp;L617)+COUNTIFS('Istoric_Nativ'!$B$6:$B$405,E617,'Istoric_Nativ'!$C$6:$C$405,F617,'Istoric_Nativ'!$F$6:$F$405,G617,'Istoric_Nativ'!$D$6:$D$405,"&lt;"&amp;J617,'Istoric_Nativ'!$P$6:$P$405,1,'Istoric_Nativ'!$D$6:$D$405,"&gt;="&amp;L617))))</x:f>
        <x:v>0</x:v>
      </x:c>
      <x:c r="N617" s="11" t="str">
        <x:f>IF(M617=0,"",IF(H617="HOME",SUMIFS('Istoric_Nativ'!$G$6:$G$405,'Istoric_Nativ'!$B$6:$B$405,E617,'Istoric_Nativ'!$C$6:$C$405,F617,'Istoric_Nativ'!$E$6:$E$405,G617,'Istoric_Nativ'!$D$6:$D$405,"&lt;"&amp;J617,'Istoric_Nativ'!$P$6:$P$405,1,'Istoric_Nativ'!$D$6:$D$405,"&gt;="&amp;L617),IF(H617="AWAY",SUMIFS('Istoric_Nativ'!$H$6:$H$405,'Istoric_Nativ'!$B$6:$B$405,E617,'Istoric_Nativ'!$C$6:$C$405,F617,'Istoric_Nativ'!$F$6:$F$405,G617,'Istoric_Nativ'!$D$6:$D$405,"&lt;"&amp;J617,'Istoric_Nativ'!$P$6:$P$405,1,'Istoric_Nativ'!$D$6:$D$405,"&gt;="&amp;L617),SUMIFS('Istoric_Nativ'!$G$6:$G$405,'Istoric_Nativ'!$B$6:$B$405,E617,'Istoric_Nativ'!$C$6:$C$405,F617,'Istoric_Nativ'!$E$6:$E$405,G617,'Istoric_Nativ'!$D$6:$D$405,"&lt;"&amp;J617,'Istoric_Nativ'!$P$6:$P$405,1,'Istoric_Nativ'!$D$6:$D$405,"&gt;="&amp;L617)+SUMIFS('Istoric_Nativ'!$H$6:$H$405,'Istoric_Nativ'!$B$6:$B$405,E617,'Istoric_Nativ'!$C$6:$C$405,F617,'Istoric_Nativ'!$F$6:$F$405,G617,'Istoric_Nativ'!$D$6:$D$405,"&lt;"&amp;J617,'Istoric_Nativ'!$P$6:$P$405,1,'Istoric_Nativ'!$D$6:$D$405,"&gt;="&amp;L617)))/M617)</x:f>
      </x:c>
      <x:c r="O617" s="11" t="str">
        <x:f>IF(M617=0,"",IF(H617="HOME",SUMIFS('Istoric_Nativ'!$H$6:$H$405,'Istoric_Nativ'!$B$6:$B$405,E617,'Istoric_Nativ'!$C$6:$C$405,F617,'Istoric_Nativ'!$E$6:$E$405,G617,'Istoric_Nativ'!$D$6:$D$405,"&lt;"&amp;J617,'Istoric_Nativ'!$P$6:$P$405,1,'Istoric_Nativ'!$D$6:$D$405,"&gt;="&amp;L617),IF(H617="AWAY",SUMIFS('Istoric_Nativ'!$G$6:$G$405,'Istoric_Nativ'!$B$6:$B$405,E617,'Istoric_Nativ'!$C$6:$C$405,F617,'Istoric_Nativ'!$F$6:$F$405,G617,'Istoric_Nativ'!$D$6:$D$405,"&lt;"&amp;J617,'Istoric_Nativ'!$P$6:$P$405,1,'Istoric_Nativ'!$D$6:$D$405,"&gt;="&amp;L617),SUMIFS('Istoric_Nativ'!$H$6:$H$405,'Istoric_Nativ'!$B$6:$B$405,E617,'Istoric_Nativ'!$C$6:$C$405,F617,'Istoric_Nativ'!$E$6:$E$405,G617,'Istoric_Nativ'!$D$6:$D$405,"&lt;"&amp;J617,'Istoric_Nativ'!$P$6:$P$405,1,'Istoric_Nativ'!$D$6:$D$405,"&gt;="&amp;L617)+SUMIFS('Istoric_Nativ'!$G$6:$G$405,'Istoric_Nativ'!$B$6:$B$405,E617,'Istoric_Nativ'!$C$6:$C$405,F617,'Istoric_Nativ'!$F$6:$F$405,G617,'Istoric_Nativ'!$D$6:$D$405,"&lt;"&amp;J617,'Istoric_Nativ'!$P$6:$P$405,1,'Istoric_Nativ'!$D$6:$D$405,"&gt;="&amp;L617)))/M617)</x:f>
      </x:c>
      <x:c r="P617" s="2" t="n">
        <x:f>'Config_v6'!$B$9</x:f>
        <x:v>3</x:v>
      </x:c>
      <x:c r="Q617" s="2" t="n">
        <x:f>IF(OR(B617="",F617=""),0,IFERROR(MATCH(E617&amp;"|"&amp;F617,SourceTable[Source_Key],0),0))</x:f>
        <x:v>0</x:v>
      </x:c>
      <x:c r="R617" s="2" t="str">
        <x:f>IF(B617="","",IF(F617="","UNUSED",IF(Q617=0,"NOT CHECKED",IF(COUNTIF(SourceTable[Source_Key],E617&amp;"|"&amp;F617)&lt;&gt;1,"SOURCE CONFLICT",IF(NOT(OR(INDEX(SourceTable[Status],MAX(1,Q617))="IMPORTED",INDEX(SourceTable[Status],MAX(1,Q617))="PARTIAL",INDEX(SourceTable[Status],MAX(1,Q617))="SOURCE CONFLICT")),"ACCESS BLOCKED",IF(OR(INDEX(SourceTable[Coverage],Q617)&lt;&gt;"FULL SEASON EXPORT",INDEX(SourceTable[URL],Q617)="",INDEX(SourceTable[SHA256],Q617)=""),"EVIDENCE INCOMPLETE",IF(AND('Input_Meci'!H56="LIVE",INDEX(SourceTable[Retrieved_UTC],Q617)&gt;'Input_Meci'!G56),"POST CUTOFF","CLOSED")))))))</x:f>
      </x:c>
      <x:c r="S617" s="2" t="n">
        <x:f>IF(OR(B617="",F617=""),0,COUNTIFS('Istoric_Nativ'!$B$6:$B$405,E617,'Istoric_Nativ'!$C$6:$C$405,F617,'Istoric_Nativ'!$E$6:$E$405,G617,'Istoric_Nativ'!$D$6:$D$405,"&lt;"&amp;J617,'Istoric_Nativ'!$O$6:$O$405,"INVALID")+COUNTIFS('Istoric_Nativ'!$B$6:$B$405,E617,'Istoric_Nativ'!$C$6:$C$405,F617,'Istoric_Nativ'!$E$6:$E$405,G617,'Istoric_Nativ'!$O$6:$O$405,"INVALID",'Istoric_Nativ'!$D$6:$D$405,"*")+COUNTIFS('Istoric_Nativ'!$B$6:$B$405,E617,'Istoric_Nativ'!$C$6:$C$405,F617,'Istoric_Nativ'!$E$6:$E$405,G617,'Istoric_Nativ'!$D$6:$D$405,"&lt;"&amp;J617,'Istoric_Nativ'!$O$6:$O$405,"SOURCE CONFLICT")+COUNTIFS('Istoric_Nativ'!$B$6:$B$405,E617,'Istoric_Nativ'!$C$6:$C$405,F617,'Istoric_Nativ'!$F$6:$F$405,G617,'Istoric_Nativ'!$D$6:$D$405,"&lt;"&amp;J617,'Istoric_Nativ'!$O$6:$O$405,"INVALID")+COUNTIFS('Istoric_Nativ'!$B$6:$B$405,E617,'Istoric_Nativ'!$C$6:$C$405,F617,'Istoric_Nativ'!$F$6:$F$405,G617,'Istoric_Nativ'!$O$6:$O$405,"INVALID",'Istoric_Nativ'!$D$6:$D$405,"*")+COUNTIFS('Istoric_Nativ'!$B$6:$B$405,E617,'Istoric_Nativ'!$C$6:$C$405,F617,'Istoric_Nativ'!$F$6:$F$405,G617,'Istoric_Nativ'!$D$6:$D$405,"&lt;"&amp;J617,'Istoric_Nativ'!$O$6:$O$405,"SOURCE CONFLICT"))</x:f>
        <x:v>0</x:v>
      </x:c>
      <x:c r="T617" s="2" t="str">
        <x:f>IF(B617="","",IF(R617&lt;&gt;"CLOSED",R617,IF(S617&gt;0,"NATIVE INPUT ISSUE",IF(M617=0,"NO HISTORY",IF(M617&lt;P617,"SMALL SAMPLE","DERIVED")))))</x:f>
      </x:c>
      <x:c r="U617" s="2" t="str">
        <x:f>IF(B617="","","NativeTable; "&amp;E617&amp;"; "&amp;F617&amp;"; "&amp;G617&amp;"; "&amp;H617&amp;"; before "&amp;TEXT(J617,"yyyy-mm-dd")&amp;IF(I617="RECENT","; from "&amp;TEXT(L617,"yyyy-mm-dd"),""))</x:f>
      </x:c>
    </x:row>
    <x:row r="618" ht="21" customHeight="1">
      <x:c r="A618" s="2" t="n">
        <x:v>52</x:v>
      </x:c>
      <x:c r="B618" s="2" t="str">
        <x:f>IF('Input_Meci'!A57="","",'Input_Meci'!A57)</x:f>
      </x:c>
      <x:c r="C618" s="2" t="str">
        <x:v>H</x:v>
      </x:c>
      <x:c r="D618" s="2" t="str">
        <x:v>CURRENT</x:v>
      </x:c>
      <x:c r="E618" s="2" t="str">
        <x:f>IF(B618="","",'Input_Meci'!B57)</x:f>
      </x:c>
      <x:c r="F618" s="2" t="str">
        <x:f>IF(B618="","",IF('Input_Meci'!C57="","",'Input_Meci'!C57))</x:f>
      </x:c>
      <x:c r="G618" s="2" t="str">
        <x:f>IF(B618="","",'Input_Meci'!D57)</x:f>
      </x:c>
      <x:c r="H618" s="2" t="str">
        <x:v>ANY</x:v>
      </x:c>
      <x:c r="I618" s="2" t="str">
        <x:v>SEASON</x:v>
      </x:c>
      <x:c r="J618" s="9" t="n">
        <x:f>IF(AND(B618&lt;&gt;"",ISNUMBER('Input_Meci'!G57)),INT('Input_Meci'!G57),0)</x:f>
        <x:v>0</x:v>
      </x:c>
      <x:c r="K618" s="2" t="n">
        <x:f>IF(OR(B618="",F618=""),0,IF(H618="HOME",COUNTIFS('Istoric_Nativ'!$B$6:$B$405,E618,'Istoric_Nativ'!$C$6:$C$405,F618,'Istoric_Nativ'!$E$6:$E$405,G618,'Istoric_Nativ'!$D$6:$D$405,"&lt;"&amp;J618,'Istoric_Nativ'!$P$6:$P$405,1),IF(H618="AWAY",COUNTIFS('Istoric_Nativ'!$B$6:$B$405,E618,'Istoric_Nativ'!$C$6:$C$405,F618,'Istoric_Nativ'!$F$6:$F$405,G618,'Istoric_Nativ'!$D$6:$D$405,"&lt;"&amp;J618,'Istoric_Nativ'!$P$6:$P$405,1),COUNTIFS('Istoric_Nativ'!$B$6:$B$405,E618,'Istoric_Nativ'!$C$6:$C$405,F618,'Istoric_Nativ'!$E$6:$E$405,G618,'Istoric_Nativ'!$D$6:$D$405,"&lt;"&amp;J618,'Istoric_Nativ'!$P$6:$P$405,1)+COUNTIFS('Istoric_Nativ'!$B$6:$B$405,E618,'Istoric_Nativ'!$C$6:$C$405,F618,'Istoric_Nativ'!$F$6:$F$405,G618,'Istoric_Nativ'!$D$6:$D$405,"&lt;"&amp;J618,'Istoric_Nativ'!$P$6:$P$405,1))))</x:f>
        <x:v>0</x:v>
      </x:c>
      <x:c r="L618" s="17" t="n">
        <x:f>IF(AND(B618&lt;&gt;"",I618="RECENT",K618&gt;0),LARGE(_xlfn._xlws.FILTER('Istoric_Nativ'!$D$6:$D$405,('Istoric_Nativ'!$B$6:$B$405=E618)*('Istoric_Nativ'!$C$6:$C$405=F618)*('Istoric_Nativ'!$P$6:$P$405=1)*('Istoric_Nativ'!$D$6:$D$405&lt;J618)*((('Istoric_Nativ'!$E$6:$E$405=G618)+('Istoric_Nativ'!$F$6:$F$405=G618))&gt;0)),MIN('Config_v6'!$B$54,K618)),0)</x:f>
        <x:v>0</x:v>
      </x:c>
      <x:c r="M618" s="2" t="n">
        <x:f>IF(OR(B618="",F618=""),0,IF(H618="HOME",COUNTIFS('Istoric_Nativ'!$B$6:$B$405,E618,'Istoric_Nativ'!$C$6:$C$405,F618,'Istoric_Nativ'!$E$6:$E$405,G618,'Istoric_Nativ'!$D$6:$D$405,"&lt;"&amp;J618,'Istoric_Nativ'!$P$6:$P$405,1,'Istoric_Nativ'!$D$6:$D$405,"&gt;="&amp;L618),IF(H618="AWAY",COUNTIFS('Istoric_Nativ'!$B$6:$B$405,E618,'Istoric_Nativ'!$C$6:$C$405,F618,'Istoric_Nativ'!$F$6:$F$405,G618,'Istoric_Nativ'!$D$6:$D$405,"&lt;"&amp;J618,'Istoric_Nativ'!$P$6:$P$405,1,'Istoric_Nativ'!$D$6:$D$405,"&gt;="&amp;L618),COUNTIFS('Istoric_Nativ'!$B$6:$B$405,E618,'Istoric_Nativ'!$C$6:$C$405,F618,'Istoric_Nativ'!$E$6:$E$405,G618,'Istoric_Nativ'!$D$6:$D$405,"&lt;"&amp;J618,'Istoric_Nativ'!$P$6:$P$405,1,'Istoric_Nativ'!$D$6:$D$405,"&gt;="&amp;L618)+COUNTIFS('Istoric_Nativ'!$B$6:$B$405,E618,'Istoric_Nativ'!$C$6:$C$405,F618,'Istoric_Nativ'!$F$6:$F$405,G618,'Istoric_Nativ'!$D$6:$D$405,"&lt;"&amp;J618,'Istoric_Nativ'!$P$6:$P$405,1,'Istoric_Nativ'!$D$6:$D$405,"&gt;="&amp;L618))))</x:f>
        <x:v>0</x:v>
      </x:c>
      <x:c r="N618" s="11" t="str">
        <x:f>IF(M618=0,"",IF(H618="HOME",SUMIFS('Istoric_Nativ'!$G$6:$G$405,'Istoric_Nativ'!$B$6:$B$405,E618,'Istoric_Nativ'!$C$6:$C$405,F618,'Istoric_Nativ'!$E$6:$E$405,G618,'Istoric_Nativ'!$D$6:$D$405,"&lt;"&amp;J618,'Istoric_Nativ'!$P$6:$P$405,1,'Istoric_Nativ'!$D$6:$D$405,"&gt;="&amp;L618),IF(H618="AWAY",SUMIFS('Istoric_Nativ'!$H$6:$H$405,'Istoric_Nativ'!$B$6:$B$405,E618,'Istoric_Nativ'!$C$6:$C$405,F618,'Istoric_Nativ'!$F$6:$F$405,G618,'Istoric_Nativ'!$D$6:$D$405,"&lt;"&amp;J618,'Istoric_Nativ'!$P$6:$P$405,1,'Istoric_Nativ'!$D$6:$D$405,"&gt;="&amp;L618),SUMIFS('Istoric_Nativ'!$G$6:$G$405,'Istoric_Nativ'!$B$6:$B$405,E618,'Istoric_Nativ'!$C$6:$C$405,F618,'Istoric_Nativ'!$E$6:$E$405,G618,'Istoric_Nativ'!$D$6:$D$405,"&lt;"&amp;J618,'Istoric_Nativ'!$P$6:$P$405,1,'Istoric_Nativ'!$D$6:$D$405,"&gt;="&amp;L618)+SUMIFS('Istoric_Nativ'!$H$6:$H$405,'Istoric_Nativ'!$B$6:$B$405,E618,'Istoric_Nativ'!$C$6:$C$405,F618,'Istoric_Nativ'!$F$6:$F$405,G618,'Istoric_Nativ'!$D$6:$D$405,"&lt;"&amp;J618,'Istoric_Nativ'!$P$6:$P$405,1,'Istoric_Nativ'!$D$6:$D$405,"&gt;="&amp;L618)))/M618)</x:f>
      </x:c>
      <x:c r="O618" s="11" t="str">
        <x:f>IF(M618=0,"",IF(H618="HOME",SUMIFS('Istoric_Nativ'!$H$6:$H$405,'Istoric_Nativ'!$B$6:$B$405,E618,'Istoric_Nativ'!$C$6:$C$405,F618,'Istoric_Nativ'!$E$6:$E$405,G618,'Istoric_Nativ'!$D$6:$D$405,"&lt;"&amp;J618,'Istoric_Nativ'!$P$6:$P$405,1,'Istoric_Nativ'!$D$6:$D$405,"&gt;="&amp;L618),IF(H618="AWAY",SUMIFS('Istoric_Nativ'!$G$6:$G$405,'Istoric_Nativ'!$B$6:$B$405,E618,'Istoric_Nativ'!$C$6:$C$405,F618,'Istoric_Nativ'!$F$6:$F$405,G618,'Istoric_Nativ'!$D$6:$D$405,"&lt;"&amp;J618,'Istoric_Nativ'!$P$6:$P$405,1,'Istoric_Nativ'!$D$6:$D$405,"&gt;="&amp;L618),SUMIFS('Istoric_Nativ'!$H$6:$H$405,'Istoric_Nativ'!$B$6:$B$405,E618,'Istoric_Nativ'!$C$6:$C$405,F618,'Istoric_Nativ'!$E$6:$E$405,G618,'Istoric_Nativ'!$D$6:$D$405,"&lt;"&amp;J618,'Istoric_Nativ'!$P$6:$P$405,1,'Istoric_Nativ'!$D$6:$D$405,"&gt;="&amp;L618)+SUMIFS('Istoric_Nativ'!$G$6:$G$405,'Istoric_Nativ'!$B$6:$B$405,E618,'Istoric_Nativ'!$C$6:$C$405,F618,'Istoric_Nativ'!$F$6:$F$405,G618,'Istoric_Nativ'!$D$6:$D$405,"&lt;"&amp;J618,'Istoric_Nativ'!$P$6:$P$405,1,'Istoric_Nativ'!$D$6:$D$405,"&gt;="&amp;L618)))/M618)</x:f>
      </x:c>
      <x:c r="P618" s="2" t="n">
        <x:f>'Config_v6'!$B$7</x:f>
        <x:v>10</x:v>
      </x:c>
      <x:c r="Q618" s="2" t="n">
        <x:f>IF(OR(B618="",F618=""),0,IFERROR(MATCH(E618&amp;"|"&amp;F618,SourceTable[Source_Key],0),0))</x:f>
        <x:v>0</x:v>
      </x:c>
      <x:c r="R618" s="2" t="str">
        <x:f>IF(B618="","",IF(F618="","UNUSED",IF(Q618=0,"NOT CHECKED",IF(COUNTIF(SourceTable[Source_Key],E618&amp;"|"&amp;F618)&lt;&gt;1,"SOURCE CONFLICT",IF(NOT(OR(INDEX(SourceTable[Status],MAX(1,Q618))="IMPORTED",INDEX(SourceTable[Status],MAX(1,Q618))="PARTIAL",INDEX(SourceTable[Status],MAX(1,Q618))="SOURCE CONFLICT")),"ACCESS BLOCKED",IF(OR(INDEX(SourceTable[Coverage],Q618)&lt;&gt;"FULL SEASON EXPORT",INDEX(SourceTable[URL],Q618)="",INDEX(SourceTable[SHA256],Q618)=""),"EVIDENCE INCOMPLETE",IF(AND('Input_Meci'!H57="LIVE",INDEX(SourceTable[Retrieved_UTC],Q618)&gt;'Input_Meci'!G57),"POST CUTOFF","CLOSED")))))))</x:f>
      </x:c>
      <x:c r="S618" s="2" t="n">
        <x:f>IF(OR(B618="",F618=""),0,COUNTIFS('Istoric_Nativ'!$B$6:$B$405,E618,'Istoric_Nativ'!$C$6:$C$405,F618,'Istoric_Nativ'!$E$6:$E$405,G618,'Istoric_Nativ'!$D$6:$D$405,"&lt;"&amp;J618,'Istoric_Nativ'!$O$6:$O$405,"INVALID")+COUNTIFS('Istoric_Nativ'!$B$6:$B$405,E618,'Istoric_Nativ'!$C$6:$C$405,F618,'Istoric_Nativ'!$E$6:$E$405,G618,'Istoric_Nativ'!$O$6:$O$405,"INVALID",'Istoric_Nativ'!$D$6:$D$405,"*")+COUNTIFS('Istoric_Nativ'!$B$6:$B$405,E618,'Istoric_Nativ'!$C$6:$C$405,F618,'Istoric_Nativ'!$E$6:$E$405,G618,'Istoric_Nativ'!$D$6:$D$405,"&lt;"&amp;J618,'Istoric_Nativ'!$O$6:$O$405,"SOURCE CONFLICT")+COUNTIFS('Istoric_Nativ'!$B$6:$B$405,E618,'Istoric_Nativ'!$C$6:$C$405,F618,'Istoric_Nativ'!$F$6:$F$405,G618,'Istoric_Nativ'!$D$6:$D$405,"&lt;"&amp;J618,'Istoric_Nativ'!$O$6:$O$405,"INVALID")+COUNTIFS('Istoric_Nativ'!$B$6:$B$405,E618,'Istoric_Nativ'!$C$6:$C$405,F618,'Istoric_Nativ'!$F$6:$F$405,G618,'Istoric_Nativ'!$O$6:$O$405,"INVALID",'Istoric_Nativ'!$D$6:$D$405,"*")+COUNTIFS('Istoric_Nativ'!$B$6:$B$405,E618,'Istoric_Nativ'!$C$6:$C$405,F618,'Istoric_Nativ'!$F$6:$F$405,G618,'Istoric_Nativ'!$D$6:$D$405,"&lt;"&amp;J618,'Istoric_Nativ'!$O$6:$O$405,"SOURCE CONFLICT"))</x:f>
        <x:v>0</x:v>
      </x:c>
      <x:c r="T618" s="2" t="str">
        <x:f>IF(B618="","",IF(R618&lt;&gt;"CLOSED",R618,IF(S618&gt;0,"NATIVE INPUT ISSUE",IF(M618=0,"NO HISTORY",IF(M618&lt;P618,"SMALL SAMPLE","DERIVED")))))</x:f>
      </x:c>
      <x:c r="U618" s="2" t="str">
        <x:f>IF(B618="","","NativeTable; "&amp;E618&amp;"; "&amp;F618&amp;"; "&amp;G618&amp;"; "&amp;H618&amp;"; before "&amp;TEXT(J618,"yyyy-mm-dd")&amp;IF(I618="RECENT","; from "&amp;TEXT(L618,"yyyy-mm-dd"),""))</x:f>
      </x:c>
    </x:row>
    <x:row r="619" ht="21" customHeight="1">
      <x:c r="A619" s="2" t="n">
        <x:v>52</x:v>
      </x:c>
      <x:c r="B619" s="2" t="str">
        <x:f>IF('Input_Meci'!A57="","",'Input_Meci'!A57)</x:f>
      </x:c>
      <x:c r="C619" s="2" t="str">
        <x:v>H</x:v>
      </x:c>
      <x:c r="D619" s="2" t="str">
        <x:v>CURRENT</x:v>
      </x:c>
      <x:c r="E619" s="2" t="str">
        <x:f>IF(B619="","",'Input_Meci'!B57)</x:f>
      </x:c>
      <x:c r="F619" s="2" t="str">
        <x:f>IF(B619="","",IF('Input_Meci'!C57="","",'Input_Meci'!C57))</x:f>
      </x:c>
      <x:c r="G619" s="2" t="str">
        <x:f>IF(B619="","",'Input_Meci'!D57)</x:f>
      </x:c>
      <x:c r="H619" s="2" t="str">
        <x:v>HOME</x:v>
      </x:c>
      <x:c r="I619" s="2" t="str">
        <x:v>HA</x:v>
      </x:c>
      <x:c r="J619" s="9" t="n">
        <x:f>IF(AND(B619&lt;&gt;"",ISNUMBER('Input_Meci'!G57)),INT('Input_Meci'!G57),0)</x:f>
        <x:v>0</x:v>
      </x:c>
      <x:c r="K619" s="2" t="n">
        <x:f>IF(OR(B619="",F619=""),0,IF(H619="HOME",COUNTIFS('Istoric_Nativ'!$B$6:$B$405,E619,'Istoric_Nativ'!$C$6:$C$405,F619,'Istoric_Nativ'!$E$6:$E$405,G619,'Istoric_Nativ'!$D$6:$D$405,"&lt;"&amp;J619,'Istoric_Nativ'!$P$6:$P$405,1),IF(H619="AWAY",COUNTIFS('Istoric_Nativ'!$B$6:$B$405,E619,'Istoric_Nativ'!$C$6:$C$405,F619,'Istoric_Nativ'!$F$6:$F$405,G619,'Istoric_Nativ'!$D$6:$D$405,"&lt;"&amp;J619,'Istoric_Nativ'!$P$6:$P$405,1),COUNTIFS('Istoric_Nativ'!$B$6:$B$405,E619,'Istoric_Nativ'!$C$6:$C$405,F619,'Istoric_Nativ'!$E$6:$E$405,G619,'Istoric_Nativ'!$D$6:$D$405,"&lt;"&amp;J619,'Istoric_Nativ'!$P$6:$P$405,1)+COUNTIFS('Istoric_Nativ'!$B$6:$B$405,E619,'Istoric_Nativ'!$C$6:$C$405,F619,'Istoric_Nativ'!$F$6:$F$405,G619,'Istoric_Nativ'!$D$6:$D$405,"&lt;"&amp;J619,'Istoric_Nativ'!$P$6:$P$405,1))))</x:f>
        <x:v>0</x:v>
      </x:c>
      <x:c r="L619" s="17" t="n">
        <x:f>IF(AND(B619&lt;&gt;"",I619="RECENT",K619&gt;0),LARGE(_xlfn._xlws.FILTER('Istoric_Nativ'!$D$6:$D$405,('Istoric_Nativ'!$B$6:$B$405=E619)*('Istoric_Nativ'!$C$6:$C$405=F619)*('Istoric_Nativ'!$P$6:$P$405=1)*('Istoric_Nativ'!$D$6:$D$405&lt;J619)*((('Istoric_Nativ'!$E$6:$E$405=G619)+('Istoric_Nativ'!$F$6:$F$405=G619))&gt;0)),MIN('Config_v6'!$B$54,K619)),0)</x:f>
        <x:v>0</x:v>
      </x:c>
      <x:c r="M619" s="2" t="n">
        <x:f>IF(OR(B619="",F619=""),0,IF(H619="HOME",COUNTIFS('Istoric_Nativ'!$B$6:$B$405,E619,'Istoric_Nativ'!$C$6:$C$405,F619,'Istoric_Nativ'!$E$6:$E$405,G619,'Istoric_Nativ'!$D$6:$D$405,"&lt;"&amp;J619,'Istoric_Nativ'!$P$6:$P$405,1,'Istoric_Nativ'!$D$6:$D$405,"&gt;="&amp;L619),IF(H619="AWAY",COUNTIFS('Istoric_Nativ'!$B$6:$B$405,E619,'Istoric_Nativ'!$C$6:$C$405,F619,'Istoric_Nativ'!$F$6:$F$405,G619,'Istoric_Nativ'!$D$6:$D$405,"&lt;"&amp;J619,'Istoric_Nativ'!$P$6:$P$405,1,'Istoric_Nativ'!$D$6:$D$405,"&gt;="&amp;L619),COUNTIFS('Istoric_Nativ'!$B$6:$B$405,E619,'Istoric_Nativ'!$C$6:$C$405,F619,'Istoric_Nativ'!$E$6:$E$405,G619,'Istoric_Nativ'!$D$6:$D$405,"&lt;"&amp;J619,'Istoric_Nativ'!$P$6:$P$405,1,'Istoric_Nativ'!$D$6:$D$405,"&gt;="&amp;L619)+COUNTIFS('Istoric_Nativ'!$B$6:$B$405,E619,'Istoric_Nativ'!$C$6:$C$405,F619,'Istoric_Nativ'!$F$6:$F$405,G619,'Istoric_Nativ'!$D$6:$D$405,"&lt;"&amp;J619,'Istoric_Nativ'!$P$6:$P$405,1,'Istoric_Nativ'!$D$6:$D$405,"&gt;="&amp;L619))))</x:f>
        <x:v>0</x:v>
      </x:c>
      <x:c r="N619" s="11" t="str">
        <x:f>IF(M619=0,"",IF(H619="HOME",SUMIFS('Istoric_Nativ'!$G$6:$G$405,'Istoric_Nativ'!$B$6:$B$405,E619,'Istoric_Nativ'!$C$6:$C$405,F619,'Istoric_Nativ'!$E$6:$E$405,G619,'Istoric_Nativ'!$D$6:$D$405,"&lt;"&amp;J619,'Istoric_Nativ'!$P$6:$P$405,1,'Istoric_Nativ'!$D$6:$D$405,"&gt;="&amp;L619),IF(H619="AWAY",SUMIFS('Istoric_Nativ'!$H$6:$H$405,'Istoric_Nativ'!$B$6:$B$405,E619,'Istoric_Nativ'!$C$6:$C$405,F619,'Istoric_Nativ'!$F$6:$F$405,G619,'Istoric_Nativ'!$D$6:$D$405,"&lt;"&amp;J619,'Istoric_Nativ'!$P$6:$P$405,1,'Istoric_Nativ'!$D$6:$D$405,"&gt;="&amp;L619),SUMIFS('Istoric_Nativ'!$G$6:$G$405,'Istoric_Nativ'!$B$6:$B$405,E619,'Istoric_Nativ'!$C$6:$C$405,F619,'Istoric_Nativ'!$E$6:$E$405,G619,'Istoric_Nativ'!$D$6:$D$405,"&lt;"&amp;J619,'Istoric_Nativ'!$P$6:$P$405,1,'Istoric_Nativ'!$D$6:$D$405,"&gt;="&amp;L619)+SUMIFS('Istoric_Nativ'!$H$6:$H$405,'Istoric_Nativ'!$B$6:$B$405,E619,'Istoric_Nativ'!$C$6:$C$405,F619,'Istoric_Nativ'!$F$6:$F$405,G619,'Istoric_Nativ'!$D$6:$D$405,"&lt;"&amp;J619,'Istoric_Nativ'!$P$6:$P$405,1,'Istoric_Nativ'!$D$6:$D$405,"&gt;="&amp;L619)))/M619)</x:f>
      </x:c>
      <x:c r="O619" s="11" t="str">
        <x:f>IF(M619=0,"",IF(H619="HOME",SUMIFS('Istoric_Nativ'!$H$6:$H$405,'Istoric_Nativ'!$B$6:$B$405,E619,'Istoric_Nativ'!$C$6:$C$405,F619,'Istoric_Nativ'!$E$6:$E$405,G619,'Istoric_Nativ'!$D$6:$D$405,"&lt;"&amp;J619,'Istoric_Nativ'!$P$6:$P$405,1,'Istoric_Nativ'!$D$6:$D$405,"&gt;="&amp;L619),IF(H619="AWAY",SUMIFS('Istoric_Nativ'!$G$6:$G$405,'Istoric_Nativ'!$B$6:$B$405,E619,'Istoric_Nativ'!$C$6:$C$405,F619,'Istoric_Nativ'!$F$6:$F$405,G619,'Istoric_Nativ'!$D$6:$D$405,"&lt;"&amp;J619,'Istoric_Nativ'!$P$6:$P$405,1,'Istoric_Nativ'!$D$6:$D$405,"&gt;="&amp;L619),SUMIFS('Istoric_Nativ'!$H$6:$H$405,'Istoric_Nativ'!$B$6:$B$405,E619,'Istoric_Nativ'!$C$6:$C$405,F619,'Istoric_Nativ'!$E$6:$E$405,G619,'Istoric_Nativ'!$D$6:$D$405,"&lt;"&amp;J619,'Istoric_Nativ'!$P$6:$P$405,1,'Istoric_Nativ'!$D$6:$D$405,"&gt;="&amp;L619)+SUMIFS('Istoric_Nativ'!$G$6:$G$405,'Istoric_Nativ'!$B$6:$B$405,E619,'Istoric_Nativ'!$C$6:$C$405,F619,'Istoric_Nativ'!$F$6:$F$405,G619,'Istoric_Nativ'!$D$6:$D$405,"&lt;"&amp;J619,'Istoric_Nativ'!$P$6:$P$405,1,'Istoric_Nativ'!$D$6:$D$405,"&gt;="&amp;L619)))/M619)</x:f>
      </x:c>
      <x:c r="P619" s="2" t="n">
        <x:f>'Config_v6'!$B$8</x:f>
        <x:v>5</x:v>
      </x:c>
      <x:c r="Q619" s="2" t="n">
        <x:f>IF(OR(B619="",F619=""),0,IFERROR(MATCH(E619&amp;"|"&amp;F619,SourceTable[Source_Key],0),0))</x:f>
        <x:v>0</x:v>
      </x:c>
      <x:c r="R619" s="2" t="str">
        <x:f>IF(B619="","",IF(F619="","UNUSED",IF(Q619=0,"NOT CHECKED",IF(COUNTIF(SourceTable[Source_Key],E619&amp;"|"&amp;F619)&lt;&gt;1,"SOURCE CONFLICT",IF(NOT(OR(INDEX(SourceTable[Status],MAX(1,Q619))="IMPORTED",INDEX(SourceTable[Status],MAX(1,Q619))="PARTIAL",INDEX(SourceTable[Status],MAX(1,Q619))="SOURCE CONFLICT")),"ACCESS BLOCKED",IF(OR(INDEX(SourceTable[Coverage],Q619)&lt;&gt;"FULL SEASON EXPORT",INDEX(SourceTable[URL],Q619)="",INDEX(SourceTable[SHA256],Q619)=""),"EVIDENCE INCOMPLETE",IF(AND('Input_Meci'!H57="LIVE",INDEX(SourceTable[Retrieved_UTC],Q619)&gt;'Input_Meci'!G57),"POST CUTOFF","CLOSED")))))))</x:f>
      </x:c>
      <x:c r="S619" s="2" t="n">
        <x:f>IF(OR(B619="",F619=""),0,COUNTIFS('Istoric_Nativ'!$B$6:$B$405,E619,'Istoric_Nativ'!$C$6:$C$405,F619,'Istoric_Nativ'!$E$6:$E$405,G619,'Istoric_Nativ'!$D$6:$D$405,"&lt;"&amp;J619,'Istoric_Nativ'!$O$6:$O$405,"INVALID")+COUNTIFS('Istoric_Nativ'!$B$6:$B$405,E619,'Istoric_Nativ'!$C$6:$C$405,F619,'Istoric_Nativ'!$E$6:$E$405,G619,'Istoric_Nativ'!$O$6:$O$405,"INVALID",'Istoric_Nativ'!$D$6:$D$405,"*")+COUNTIFS('Istoric_Nativ'!$B$6:$B$405,E619,'Istoric_Nativ'!$C$6:$C$405,F619,'Istoric_Nativ'!$E$6:$E$405,G619,'Istoric_Nativ'!$D$6:$D$405,"&lt;"&amp;J619,'Istoric_Nativ'!$O$6:$O$405,"SOURCE CONFLICT")+COUNTIFS('Istoric_Nativ'!$B$6:$B$405,E619,'Istoric_Nativ'!$C$6:$C$405,F619,'Istoric_Nativ'!$F$6:$F$405,G619,'Istoric_Nativ'!$D$6:$D$405,"&lt;"&amp;J619,'Istoric_Nativ'!$O$6:$O$405,"INVALID")+COUNTIFS('Istoric_Nativ'!$B$6:$B$405,E619,'Istoric_Nativ'!$C$6:$C$405,F619,'Istoric_Nativ'!$F$6:$F$405,G619,'Istoric_Nativ'!$O$6:$O$405,"INVALID",'Istoric_Nativ'!$D$6:$D$405,"*")+COUNTIFS('Istoric_Nativ'!$B$6:$B$405,E619,'Istoric_Nativ'!$C$6:$C$405,F619,'Istoric_Nativ'!$F$6:$F$405,G619,'Istoric_Nativ'!$D$6:$D$405,"&lt;"&amp;J619,'Istoric_Nativ'!$O$6:$O$405,"SOURCE CONFLICT"))</x:f>
        <x:v>0</x:v>
      </x:c>
      <x:c r="T619" s="2" t="str">
        <x:f>IF(B619="","",IF(R619&lt;&gt;"CLOSED",R619,IF(S619&gt;0,"NATIVE INPUT ISSUE",IF(M619=0,"NO HISTORY",IF(M619&lt;P619,"SMALL SAMPLE","DERIVED")))))</x:f>
      </x:c>
      <x:c r="U619" s="2" t="str">
        <x:f>IF(B619="","","NativeTable; "&amp;E619&amp;"; "&amp;F619&amp;"; "&amp;G619&amp;"; "&amp;H619&amp;"; before "&amp;TEXT(J619,"yyyy-mm-dd")&amp;IF(I619="RECENT","; from "&amp;TEXT(L619,"yyyy-mm-dd"),""))</x:f>
      </x:c>
    </x:row>
    <x:row r="620" ht="21" customHeight="1">
      <x:c r="A620" s="2" t="n">
        <x:v>52</x:v>
      </x:c>
      <x:c r="B620" s="2" t="str">
        <x:f>IF('Input_Meci'!A57="","",'Input_Meci'!A57)</x:f>
      </x:c>
      <x:c r="C620" s="2" t="str">
        <x:v>H</x:v>
      </x:c>
      <x:c r="D620" s="2" t="str">
        <x:v>CURRENT</x:v>
      </x:c>
      <x:c r="E620" s="2" t="str">
        <x:f>IF(B620="","",'Input_Meci'!B57)</x:f>
      </x:c>
      <x:c r="F620" s="2" t="str">
        <x:f>IF(B620="","",IF('Input_Meci'!C57="","",'Input_Meci'!C57))</x:f>
      </x:c>
      <x:c r="G620" s="2" t="str">
        <x:f>IF(B620="","",'Input_Meci'!D57)</x:f>
      </x:c>
      <x:c r="H620" s="2" t="str">
        <x:v>ANY</x:v>
      </x:c>
      <x:c r="I620" s="2" t="str">
        <x:v>RECENT</x:v>
      </x:c>
      <x:c r="J620" s="9" t="n">
        <x:f>IF(AND(B620&lt;&gt;"",ISNUMBER('Input_Meci'!G57)),INT('Input_Meci'!G57),0)</x:f>
        <x:v>0</x:v>
      </x:c>
      <x:c r="K620" s="2" t="n">
        <x:f>IF(OR(B620="",F620=""),0,IF(H620="HOME",COUNTIFS('Istoric_Nativ'!$B$6:$B$405,E620,'Istoric_Nativ'!$C$6:$C$405,F620,'Istoric_Nativ'!$E$6:$E$405,G620,'Istoric_Nativ'!$D$6:$D$405,"&lt;"&amp;J620,'Istoric_Nativ'!$P$6:$P$405,1),IF(H620="AWAY",COUNTIFS('Istoric_Nativ'!$B$6:$B$405,E620,'Istoric_Nativ'!$C$6:$C$405,F620,'Istoric_Nativ'!$F$6:$F$405,G620,'Istoric_Nativ'!$D$6:$D$405,"&lt;"&amp;J620,'Istoric_Nativ'!$P$6:$P$405,1),COUNTIFS('Istoric_Nativ'!$B$6:$B$405,E620,'Istoric_Nativ'!$C$6:$C$405,F620,'Istoric_Nativ'!$E$6:$E$405,G620,'Istoric_Nativ'!$D$6:$D$405,"&lt;"&amp;J620,'Istoric_Nativ'!$P$6:$P$405,1)+COUNTIFS('Istoric_Nativ'!$B$6:$B$405,E620,'Istoric_Nativ'!$C$6:$C$405,F620,'Istoric_Nativ'!$F$6:$F$405,G620,'Istoric_Nativ'!$D$6:$D$405,"&lt;"&amp;J620,'Istoric_Nativ'!$P$6:$P$405,1))))</x:f>
        <x:v>0</x:v>
      </x:c>
      <x:c r="L620" s="17" t="n">
        <x:f>IF(AND(B620&lt;&gt;"",I620="RECENT",K620&gt;0),LARGE(_xlfn._xlws.FILTER('Istoric_Nativ'!$D$6:$D$405,('Istoric_Nativ'!$B$6:$B$405=E620)*('Istoric_Nativ'!$C$6:$C$405=F620)*('Istoric_Nativ'!$P$6:$P$405=1)*('Istoric_Nativ'!$D$6:$D$405&lt;J620)*((('Istoric_Nativ'!$E$6:$E$405=G620)+('Istoric_Nativ'!$F$6:$F$405=G620))&gt;0)),MIN('Config_v6'!$B$54,K620)),0)</x:f>
        <x:v>0</x:v>
      </x:c>
      <x:c r="M620" s="2" t="n">
        <x:f>IF(OR(B620="",F620=""),0,IF(H620="HOME",COUNTIFS('Istoric_Nativ'!$B$6:$B$405,E620,'Istoric_Nativ'!$C$6:$C$405,F620,'Istoric_Nativ'!$E$6:$E$405,G620,'Istoric_Nativ'!$D$6:$D$405,"&lt;"&amp;J620,'Istoric_Nativ'!$P$6:$P$405,1,'Istoric_Nativ'!$D$6:$D$405,"&gt;="&amp;L620),IF(H620="AWAY",COUNTIFS('Istoric_Nativ'!$B$6:$B$405,E620,'Istoric_Nativ'!$C$6:$C$405,F620,'Istoric_Nativ'!$F$6:$F$405,G620,'Istoric_Nativ'!$D$6:$D$405,"&lt;"&amp;J620,'Istoric_Nativ'!$P$6:$P$405,1,'Istoric_Nativ'!$D$6:$D$405,"&gt;="&amp;L620),COUNTIFS('Istoric_Nativ'!$B$6:$B$405,E620,'Istoric_Nativ'!$C$6:$C$405,F620,'Istoric_Nativ'!$E$6:$E$405,G620,'Istoric_Nativ'!$D$6:$D$405,"&lt;"&amp;J620,'Istoric_Nativ'!$P$6:$P$405,1,'Istoric_Nativ'!$D$6:$D$405,"&gt;="&amp;L620)+COUNTIFS('Istoric_Nativ'!$B$6:$B$405,E620,'Istoric_Nativ'!$C$6:$C$405,F620,'Istoric_Nativ'!$F$6:$F$405,G620,'Istoric_Nativ'!$D$6:$D$405,"&lt;"&amp;J620,'Istoric_Nativ'!$P$6:$P$405,1,'Istoric_Nativ'!$D$6:$D$405,"&gt;="&amp;L620))))</x:f>
        <x:v>0</x:v>
      </x:c>
      <x:c r="N620" s="11" t="str">
        <x:f>IF(M620=0,"",IF(H620="HOME",SUMIFS('Istoric_Nativ'!$G$6:$G$405,'Istoric_Nativ'!$B$6:$B$405,E620,'Istoric_Nativ'!$C$6:$C$405,F620,'Istoric_Nativ'!$E$6:$E$405,G620,'Istoric_Nativ'!$D$6:$D$405,"&lt;"&amp;J620,'Istoric_Nativ'!$P$6:$P$405,1,'Istoric_Nativ'!$D$6:$D$405,"&gt;="&amp;L620),IF(H620="AWAY",SUMIFS('Istoric_Nativ'!$H$6:$H$405,'Istoric_Nativ'!$B$6:$B$405,E620,'Istoric_Nativ'!$C$6:$C$405,F620,'Istoric_Nativ'!$F$6:$F$405,G620,'Istoric_Nativ'!$D$6:$D$405,"&lt;"&amp;J620,'Istoric_Nativ'!$P$6:$P$405,1,'Istoric_Nativ'!$D$6:$D$405,"&gt;="&amp;L620),SUMIFS('Istoric_Nativ'!$G$6:$G$405,'Istoric_Nativ'!$B$6:$B$405,E620,'Istoric_Nativ'!$C$6:$C$405,F620,'Istoric_Nativ'!$E$6:$E$405,G620,'Istoric_Nativ'!$D$6:$D$405,"&lt;"&amp;J620,'Istoric_Nativ'!$P$6:$P$405,1,'Istoric_Nativ'!$D$6:$D$405,"&gt;="&amp;L620)+SUMIFS('Istoric_Nativ'!$H$6:$H$405,'Istoric_Nativ'!$B$6:$B$405,E620,'Istoric_Nativ'!$C$6:$C$405,F620,'Istoric_Nativ'!$F$6:$F$405,G620,'Istoric_Nativ'!$D$6:$D$405,"&lt;"&amp;J620,'Istoric_Nativ'!$P$6:$P$405,1,'Istoric_Nativ'!$D$6:$D$405,"&gt;="&amp;L620)))/M620)</x:f>
      </x:c>
      <x:c r="O620" s="11" t="str">
        <x:f>IF(M620=0,"",IF(H620="HOME",SUMIFS('Istoric_Nativ'!$H$6:$H$405,'Istoric_Nativ'!$B$6:$B$405,E620,'Istoric_Nativ'!$C$6:$C$405,F620,'Istoric_Nativ'!$E$6:$E$405,G620,'Istoric_Nativ'!$D$6:$D$405,"&lt;"&amp;J620,'Istoric_Nativ'!$P$6:$P$405,1,'Istoric_Nativ'!$D$6:$D$405,"&gt;="&amp;L620),IF(H620="AWAY",SUMIFS('Istoric_Nativ'!$G$6:$G$405,'Istoric_Nativ'!$B$6:$B$405,E620,'Istoric_Nativ'!$C$6:$C$405,F620,'Istoric_Nativ'!$F$6:$F$405,G620,'Istoric_Nativ'!$D$6:$D$405,"&lt;"&amp;J620,'Istoric_Nativ'!$P$6:$P$405,1,'Istoric_Nativ'!$D$6:$D$405,"&gt;="&amp;L620),SUMIFS('Istoric_Nativ'!$H$6:$H$405,'Istoric_Nativ'!$B$6:$B$405,E620,'Istoric_Nativ'!$C$6:$C$405,F620,'Istoric_Nativ'!$E$6:$E$405,G620,'Istoric_Nativ'!$D$6:$D$405,"&lt;"&amp;J620,'Istoric_Nativ'!$P$6:$P$405,1,'Istoric_Nativ'!$D$6:$D$405,"&gt;="&amp;L620)+SUMIFS('Istoric_Nativ'!$G$6:$G$405,'Istoric_Nativ'!$B$6:$B$405,E620,'Istoric_Nativ'!$C$6:$C$405,F620,'Istoric_Nativ'!$F$6:$F$405,G620,'Istoric_Nativ'!$D$6:$D$405,"&lt;"&amp;J620,'Istoric_Nativ'!$P$6:$P$405,1,'Istoric_Nativ'!$D$6:$D$405,"&gt;="&amp;L620)))/M620)</x:f>
      </x:c>
      <x:c r="P620" s="2" t="n">
        <x:f>'Config_v6'!$B$9</x:f>
        <x:v>3</x:v>
      </x:c>
      <x:c r="Q620" s="2" t="n">
        <x:f>IF(OR(B620="",F620=""),0,IFERROR(MATCH(E620&amp;"|"&amp;F620,SourceTable[Source_Key],0),0))</x:f>
        <x:v>0</x:v>
      </x:c>
      <x:c r="R620" s="2" t="str">
        <x:f>IF(B620="","",IF(F620="","UNUSED",IF(Q620=0,"NOT CHECKED",IF(COUNTIF(SourceTable[Source_Key],E620&amp;"|"&amp;F620)&lt;&gt;1,"SOURCE CONFLICT",IF(NOT(OR(INDEX(SourceTable[Status],MAX(1,Q620))="IMPORTED",INDEX(SourceTable[Status],MAX(1,Q620))="PARTIAL",INDEX(SourceTable[Status],MAX(1,Q620))="SOURCE CONFLICT")),"ACCESS BLOCKED",IF(OR(INDEX(SourceTable[Coverage],Q620)&lt;&gt;"FULL SEASON EXPORT",INDEX(SourceTable[URL],Q620)="",INDEX(SourceTable[SHA256],Q620)=""),"EVIDENCE INCOMPLETE",IF(AND('Input_Meci'!H57="LIVE",INDEX(SourceTable[Retrieved_UTC],Q620)&gt;'Input_Meci'!G57),"POST CUTOFF","CLOSED")))))))</x:f>
      </x:c>
      <x:c r="S620" s="2" t="n">
        <x:f>IF(OR(B620="",F620=""),0,COUNTIFS('Istoric_Nativ'!$B$6:$B$405,E620,'Istoric_Nativ'!$C$6:$C$405,F620,'Istoric_Nativ'!$E$6:$E$405,G620,'Istoric_Nativ'!$D$6:$D$405,"&lt;"&amp;J620,'Istoric_Nativ'!$O$6:$O$405,"INVALID")+COUNTIFS('Istoric_Nativ'!$B$6:$B$405,E620,'Istoric_Nativ'!$C$6:$C$405,F620,'Istoric_Nativ'!$E$6:$E$405,G620,'Istoric_Nativ'!$O$6:$O$405,"INVALID",'Istoric_Nativ'!$D$6:$D$405,"*")+COUNTIFS('Istoric_Nativ'!$B$6:$B$405,E620,'Istoric_Nativ'!$C$6:$C$405,F620,'Istoric_Nativ'!$E$6:$E$405,G620,'Istoric_Nativ'!$D$6:$D$405,"&lt;"&amp;J620,'Istoric_Nativ'!$O$6:$O$405,"SOURCE CONFLICT")+COUNTIFS('Istoric_Nativ'!$B$6:$B$405,E620,'Istoric_Nativ'!$C$6:$C$405,F620,'Istoric_Nativ'!$F$6:$F$405,G620,'Istoric_Nativ'!$D$6:$D$405,"&lt;"&amp;J620,'Istoric_Nativ'!$O$6:$O$405,"INVALID")+COUNTIFS('Istoric_Nativ'!$B$6:$B$405,E620,'Istoric_Nativ'!$C$6:$C$405,F620,'Istoric_Nativ'!$F$6:$F$405,G620,'Istoric_Nativ'!$O$6:$O$405,"INVALID",'Istoric_Nativ'!$D$6:$D$405,"*")+COUNTIFS('Istoric_Nativ'!$B$6:$B$405,E620,'Istoric_Nativ'!$C$6:$C$405,F620,'Istoric_Nativ'!$F$6:$F$405,G620,'Istoric_Nativ'!$D$6:$D$405,"&lt;"&amp;J620,'Istoric_Nativ'!$O$6:$O$405,"SOURCE CONFLICT"))</x:f>
        <x:v>0</x:v>
      </x:c>
      <x:c r="T620" s="2" t="str">
        <x:f>IF(B620="","",IF(R620&lt;&gt;"CLOSED",R620,IF(S620&gt;0,"NATIVE INPUT ISSUE",IF(M620=0,"NO HISTORY",IF(M620&lt;P620,"SMALL SAMPLE","DERIVED")))))</x:f>
      </x:c>
      <x:c r="U620" s="2" t="str">
        <x:f>IF(B620="","","NativeTable; "&amp;E620&amp;"; "&amp;F620&amp;"; "&amp;G620&amp;"; "&amp;H620&amp;"; before "&amp;TEXT(J620,"yyyy-mm-dd")&amp;IF(I620="RECENT","; from "&amp;TEXT(L620,"yyyy-mm-dd"),""))</x:f>
      </x:c>
    </x:row>
    <x:row r="621" ht="21" customHeight="1">
      <x:c r="A621" s="2" t="n">
        <x:v>52</x:v>
      </x:c>
      <x:c r="B621" s="2" t="str">
        <x:f>IF('Input_Meci'!A57="","",'Input_Meci'!A57)</x:f>
      </x:c>
      <x:c r="C621" s="2" t="str">
        <x:v>A</x:v>
      </x:c>
      <x:c r="D621" s="2" t="str">
        <x:v>CURRENT</x:v>
      </x:c>
      <x:c r="E621" s="2" t="str">
        <x:f>IF(B621="","",'Input_Meci'!B57)</x:f>
      </x:c>
      <x:c r="F621" s="2" t="str">
        <x:f>IF(B621="","",IF('Input_Meci'!C57="","",'Input_Meci'!C57))</x:f>
      </x:c>
      <x:c r="G621" s="2" t="str">
        <x:f>IF(B621="","",'Input_Meci'!E57)</x:f>
      </x:c>
      <x:c r="H621" s="2" t="str">
        <x:v>ANY</x:v>
      </x:c>
      <x:c r="I621" s="2" t="str">
        <x:v>SEASON</x:v>
      </x:c>
      <x:c r="J621" s="9" t="n">
        <x:f>IF(AND(B621&lt;&gt;"",ISNUMBER('Input_Meci'!G57)),INT('Input_Meci'!G57),0)</x:f>
        <x:v>0</x:v>
      </x:c>
      <x:c r="K621" s="2" t="n">
        <x:f>IF(OR(B621="",F621=""),0,IF(H621="HOME",COUNTIFS('Istoric_Nativ'!$B$6:$B$405,E621,'Istoric_Nativ'!$C$6:$C$405,F621,'Istoric_Nativ'!$E$6:$E$405,G621,'Istoric_Nativ'!$D$6:$D$405,"&lt;"&amp;J621,'Istoric_Nativ'!$P$6:$P$405,1),IF(H621="AWAY",COUNTIFS('Istoric_Nativ'!$B$6:$B$405,E621,'Istoric_Nativ'!$C$6:$C$405,F621,'Istoric_Nativ'!$F$6:$F$405,G621,'Istoric_Nativ'!$D$6:$D$405,"&lt;"&amp;J621,'Istoric_Nativ'!$P$6:$P$405,1),COUNTIFS('Istoric_Nativ'!$B$6:$B$405,E621,'Istoric_Nativ'!$C$6:$C$405,F621,'Istoric_Nativ'!$E$6:$E$405,G621,'Istoric_Nativ'!$D$6:$D$405,"&lt;"&amp;J621,'Istoric_Nativ'!$P$6:$P$405,1)+COUNTIFS('Istoric_Nativ'!$B$6:$B$405,E621,'Istoric_Nativ'!$C$6:$C$405,F621,'Istoric_Nativ'!$F$6:$F$405,G621,'Istoric_Nativ'!$D$6:$D$405,"&lt;"&amp;J621,'Istoric_Nativ'!$P$6:$P$405,1))))</x:f>
        <x:v>0</x:v>
      </x:c>
      <x:c r="L621" s="17" t="n">
        <x:f>IF(AND(B621&lt;&gt;"",I621="RECENT",K621&gt;0),LARGE(_xlfn._xlws.FILTER('Istoric_Nativ'!$D$6:$D$405,('Istoric_Nativ'!$B$6:$B$405=E621)*('Istoric_Nativ'!$C$6:$C$405=F621)*('Istoric_Nativ'!$P$6:$P$405=1)*('Istoric_Nativ'!$D$6:$D$405&lt;J621)*((('Istoric_Nativ'!$E$6:$E$405=G621)+('Istoric_Nativ'!$F$6:$F$405=G621))&gt;0)),MIN('Config_v6'!$B$54,K621)),0)</x:f>
        <x:v>0</x:v>
      </x:c>
      <x:c r="M621" s="2" t="n">
        <x:f>IF(OR(B621="",F621=""),0,IF(H621="HOME",COUNTIFS('Istoric_Nativ'!$B$6:$B$405,E621,'Istoric_Nativ'!$C$6:$C$405,F621,'Istoric_Nativ'!$E$6:$E$405,G621,'Istoric_Nativ'!$D$6:$D$405,"&lt;"&amp;J621,'Istoric_Nativ'!$P$6:$P$405,1,'Istoric_Nativ'!$D$6:$D$405,"&gt;="&amp;L621),IF(H621="AWAY",COUNTIFS('Istoric_Nativ'!$B$6:$B$405,E621,'Istoric_Nativ'!$C$6:$C$405,F621,'Istoric_Nativ'!$F$6:$F$405,G621,'Istoric_Nativ'!$D$6:$D$405,"&lt;"&amp;J621,'Istoric_Nativ'!$P$6:$P$405,1,'Istoric_Nativ'!$D$6:$D$405,"&gt;="&amp;L621),COUNTIFS('Istoric_Nativ'!$B$6:$B$405,E621,'Istoric_Nativ'!$C$6:$C$405,F621,'Istoric_Nativ'!$E$6:$E$405,G621,'Istoric_Nativ'!$D$6:$D$405,"&lt;"&amp;J621,'Istoric_Nativ'!$P$6:$P$405,1,'Istoric_Nativ'!$D$6:$D$405,"&gt;="&amp;L621)+COUNTIFS('Istoric_Nativ'!$B$6:$B$405,E621,'Istoric_Nativ'!$C$6:$C$405,F621,'Istoric_Nativ'!$F$6:$F$405,G621,'Istoric_Nativ'!$D$6:$D$405,"&lt;"&amp;J621,'Istoric_Nativ'!$P$6:$P$405,1,'Istoric_Nativ'!$D$6:$D$405,"&gt;="&amp;L621))))</x:f>
        <x:v>0</x:v>
      </x:c>
      <x:c r="N621" s="11" t="str">
        <x:f>IF(M621=0,"",IF(H621="HOME",SUMIFS('Istoric_Nativ'!$G$6:$G$405,'Istoric_Nativ'!$B$6:$B$405,E621,'Istoric_Nativ'!$C$6:$C$405,F621,'Istoric_Nativ'!$E$6:$E$405,G621,'Istoric_Nativ'!$D$6:$D$405,"&lt;"&amp;J621,'Istoric_Nativ'!$P$6:$P$405,1,'Istoric_Nativ'!$D$6:$D$405,"&gt;="&amp;L621),IF(H621="AWAY",SUMIFS('Istoric_Nativ'!$H$6:$H$405,'Istoric_Nativ'!$B$6:$B$405,E621,'Istoric_Nativ'!$C$6:$C$405,F621,'Istoric_Nativ'!$F$6:$F$405,G621,'Istoric_Nativ'!$D$6:$D$405,"&lt;"&amp;J621,'Istoric_Nativ'!$P$6:$P$405,1,'Istoric_Nativ'!$D$6:$D$405,"&gt;="&amp;L621),SUMIFS('Istoric_Nativ'!$G$6:$G$405,'Istoric_Nativ'!$B$6:$B$405,E621,'Istoric_Nativ'!$C$6:$C$405,F621,'Istoric_Nativ'!$E$6:$E$405,G621,'Istoric_Nativ'!$D$6:$D$405,"&lt;"&amp;J621,'Istoric_Nativ'!$P$6:$P$405,1,'Istoric_Nativ'!$D$6:$D$405,"&gt;="&amp;L621)+SUMIFS('Istoric_Nativ'!$H$6:$H$405,'Istoric_Nativ'!$B$6:$B$405,E621,'Istoric_Nativ'!$C$6:$C$405,F621,'Istoric_Nativ'!$F$6:$F$405,G621,'Istoric_Nativ'!$D$6:$D$405,"&lt;"&amp;J621,'Istoric_Nativ'!$P$6:$P$405,1,'Istoric_Nativ'!$D$6:$D$405,"&gt;="&amp;L621)))/M621)</x:f>
      </x:c>
      <x:c r="O621" s="11" t="str">
        <x:f>IF(M621=0,"",IF(H621="HOME",SUMIFS('Istoric_Nativ'!$H$6:$H$405,'Istoric_Nativ'!$B$6:$B$405,E621,'Istoric_Nativ'!$C$6:$C$405,F621,'Istoric_Nativ'!$E$6:$E$405,G621,'Istoric_Nativ'!$D$6:$D$405,"&lt;"&amp;J621,'Istoric_Nativ'!$P$6:$P$405,1,'Istoric_Nativ'!$D$6:$D$405,"&gt;="&amp;L621),IF(H621="AWAY",SUMIFS('Istoric_Nativ'!$G$6:$G$405,'Istoric_Nativ'!$B$6:$B$405,E621,'Istoric_Nativ'!$C$6:$C$405,F621,'Istoric_Nativ'!$F$6:$F$405,G621,'Istoric_Nativ'!$D$6:$D$405,"&lt;"&amp;J621,'Istoric_Nativ'!$P$6:$P$405,1,'Istoric_Nativ'!$D$6:$D$405,"&gt;="&amp;L621),SUMIFS('Istoric_Nativ'!$H$6:$H$405,'Istoric_Nativ'!$B$6:$B$405,E621,'Istoric_Nativ'!$C$6:$C$405,F621,'Istoric_Nativ'!$E$6:$E$405,G621,'Istoric_Nativ'!$D$6:$D$405,"&lt;"&amp;J621,'Istoric_Nativ'!$P$6:$P$405,1,'Istoric_Nativ'!$D$6:$D$405,"&gt;="&amp;L621)+SUMIFS('Istoric_Nativ'!$G$6:$G$405,'Istoric_Nativ'!$B$6:$B$405,E621,'Istoric_Nativ'!$C$6:$C$405,F621,'Istoric_Nativ'!$F$6:$F$405,G621,'Istoric_Nativ'!$D$6:$D$405,"&lt;"&amp;J621,'Istoric_Nativ'!$P$6:$P$405,1,'Istoric_Nativ'!$D$6:$D$405,"&gt;="&amp;L621)))/M621)</x:f>
      </x:c>
      <x:c r="P621" s="2" t="n">
        <x:f>'Config_v6'!$B$7</x:f>
        <x:v>10</x:v>
      </x:c>
      <x:c r="Q621" s="2" t="n">
        <x:f>IF(OR(B621="",F621=""),0,IFERROR(MATCH(E621&amp;"|"&amp;F621,SourceTable[Source_Key],0),0))</x:f>
        <x:v>0</x:v>
      </x:c>
      <x:c r="R621" s="2" t="str">
        <x:f>IF(B621="","",IF(F621="","UNUSED",IF(Q621=0,"NOT CHECKED",IF(COUNTIF(SourceTable[Source_Key],E621&amp;"|"&amp;F621)&lt;&gt;1,"SOURCE CONFLICT",IF(NOT(OR(INDEX(SourceTable[Status],MAX(1,Q621))="IMPORTED",INDEX(SourceTable[Status],MAX(1,Q621))="PARTIAL",INDEX(SourceTable[Status],MAX(1,Q621))="SOURCE CONFLICT")),"ACCESS BLOCKED",IF(OR(INDEX(SourceTable[Coverage],Q621)&lt;&gt;"FULL SEASON EXPORT",INDEX(SourceTable[URL],Q621)="",INDEX(SourceTable[SHA256],Q621)=""),"EVIDENCE INCOMPLETE",IF(AND('Input_Meci'!H57="LIVE",INDEX(SourceTable[Retrieved_UTC],Q621)&gt;'Input_Meci'!G57),"POST CUTOFF","CLOSED")))))))</x:f>
      </x:c>
      <x:c r="S621" s="2" t="n">
        <x:f>IF(OR(B621="",F621=""),0,COUNTIFS('Istoric_Nativ'!$B$6:$B$405,E621,'Istoric_Nativ'!$C$6:$C$405,F621,'Istoric_Nativ'!$E$6:$E$405,G621,'Istoric_Nativ'!$D$6:$D$405,"&lt;"&amp;J621,'Istoric_Nativ'!$O$6:$O$405,"INVALID")+COUNTIFS('Istoric_Nativ'!$B$6:$B$405,E621,'Istoric_Nativ'!$C$6:$C$405,F621,'Istoric_Nativ'!$E$6:$E$405,G621,'Istoric_Nativ'!$O$6:$O$405,"INVALID",'Istoric_Nativ'!$D$6:$D$405,"*")+COUNTIFS('Istoric_Nativ'!$B$6:$B$405,E621,'Istoric_Nativ'!$C$6:$C$405,F621,'Istoric_Nativ'!$E$6:$E$405,G621,'Istoric_Nativ'!$D$6:$D$405,"&lt;"&amp;J621,'Istoric_Nativ'!$O$6:$O$405,"SOURCE CONFLICT")+COUNTIFS('Istoric_Nativ'!$B$6:$B$405,E621,'Istoric_Nativ'!$C$6:$C$405,F621,'Istoric_Nativ'!$F$6:$F$405,G621,'Istoric_Nativ'!$D$6:$D$405,"&lt;"&amp;J621,'Istoric_Nativ'!$O$6:$O$405,"INVALID")+COUNTIFS('Istoric_Nativ'!$B$6:$B$405,E621,'Istoric_Nativ'!$C$6:$C$405,F621,'Istoric_Nativ'!$F$6:$F$405,G621,'Istoric_Nativ'!$O$6:$O$405,"INVALID",'Istoric_Nativ'!$D$6:$D$405,"*")+COUNTIFS('Istoric_Nativ'!$B$6:$B$405,E621,'Istoric_Nativ'!$C$6:$C$405,F621,'Istoric_Nativ'!$F$6:$F$405,G621,'Istoric_Nativ'!$D$6:$D$405,"&lt;"&amp;J621,'Istoric_Nativ'!$O$6:$O$405,"SOURCE CONFLICT"))</x:f>
        <x:v>0</x:v>
      </x:c>
      <x:c r="T621" s="2" t="str">
        <x:f>IF(B621="","",IF(R621&lt;&gt;"CLOSED",R621,IF(S621&gt;0,"NATIVE INPUT ISSUE",IF(M621=0,"NO HISTORY",IF(M621&lt;P621,"SMALL SAMPLE","DERIVED")))))</x:f>
      </x:c>
      <x:c r="U621" s="2" t="str">
        <x:f>IF(B621="","","NativeTable; "&amp;E621&amp;"; "&amp;F621&amp;"; "&amp;G621&amp;"; "&amp;H621&amp;"; before "&amp;TEXT(J621,"yyyy-mm-dd")&amp;IF(I621="RECENT","; from "&amp;TEXT(L621,"yyyy-mm-dd"),""))</x:f>
      </x:c>
    </x:row>
    <x:row r="622" ht="21" customHeight="1">
      <x:c r="A622" s="2" t="n">
        <x:v>52</x:v>
      </x:c>
      <x:c r="B622" s="2" t="str">
        <x:f>IF('Input_Meci'!A57="","",'Input_Meci'!A57)</x:f>
      </x:c>
      <x:c r="C622" s="2" t="str">
        <x:v>A</x:v>
      </x:c>
      <x:c r="D622" s="2" t="str">
        <x:v>CURRENT</x:v>
      </x:c>
      <x:c r="E622" s="2" t="str">
        <x:f>IF(B622="","",'Input_Meci'!B57)</x:f>
      </x:c>
      <x:c r="F622" s="2" t="str">
        <x:f>IF(B622="","",IF('Input_Meci'!C57="","",'Input_Meci'!C57))</x:f>
      </x:c>
      <x:c r="G622" s="2" t="str">
        <x:f>IF(B622="","",'Input_Meci'!E57)</x:f>
      </x:c>
      <x:c r="H622" s="2" t="str">
        <x:v>AWAY</x:v>
      </x:c>
      <x:c r="I622" s="2" t="str">
        <x:v>HA</x:v>
      </x:c>
      <x:c r="J622" s="9" t="n">
        <x:f>IF(AND(B622&lt;&gt;"",ISNUMBER('Input_Meci'!G57)),INT('Input_Meci'!G57),0)</x:f>
        <x:v>0</x:v>
      </x:c>
      <x:c r="K622" s="2" t="n">
        <x:f>IF(OR(B622="",F622=""),0,IF(H622="HOME",COUNTIFS('Istoric_Nativ'!$B$6:$B$405,E622,'Istoric_Nativ'!$C$6:$C$405,F622,'Istoric_Nativ'!$E$6:$E$405,G622,'Istoric_Nativ'!$D$6:$D$405,"&lt;"&amp;J622,'Istoric_Nativ'!$P$6:$P$405,1),IF(H622="AWAY",COUNTIFS('Istoric_Nativ'!$B$6:$B$405,E622,'Istoric_Nativ'!$C$6:$C$405,F622,'Istoric_Nativ'!$F$6:$F$405,G622,'Istoric_Nativ'!$D$6:$D$405,"&lt;"&amp;J622,'Istoric_Nativ'!$P$6:$P$405,1),COUNTIFS('Istoric_Nativ'!$B$6:$B$405,E622,'Istoric_Nativ'!$C$6:$C$405,F622,'Istoric_Nativ'!$E$6:$E$405,G622,'Istoric_Nativ'!$D$6:$D$405,"&lt;"&amp;J622,'Istoric_Nativ'!$P$6:$P$405,1)+COUNTIFS('Istoric_Nativ'!$B$6:$B$405,E622,'Istoric_Nativ'!$C$6:$C$405,F622,'Istoric_Nativ'!$F$6:$F$405,G622,'Istoric_Nativ'!$D$6:$D$405,"&lt;"&amp;J622,'Istoric_Nativ'!$P$6:$P$405,1))))</x:f>
        <x:v>0</x:v>
      </x:c>
      <x:c r="L622" s="17" t="n">
        <x:f>IF(AND(B622&lt;&gt;"",I622="RECENT",K622&gt;0),LARGE(_xlfn._xlws.FILTER('Istoric_Nativ'!$D$6:$D$405,('Istoric_Nativ'!$B$6:$B$405=E622)*('Istoric_Nativ'!$C$6:$C$405=F622)*('Istoric_Nativ'!$P$6:$P$405=1)*('Istoric_Nativ'!$D$6:$D$405&lt;J622)*((('Istoric_Nativ'!$E$6:$E$405=G622)+('Istoric_Nativ'!$F$6:$F$405=G622))&gt;0)),MIN('Config_v6'!$B$54,K622)),0)</x:f>
        <x:v>0</x:v>
      </x:c>
      <x:c r="M622" s="2" t="n">
        <x:f>IF(OR(B622="",F622=""),0,IF(H622="HOME",COUNTIFS('Istoric_Nativ'!$B$6:$B$405,E622,'Istoric_Nativ'!$C$6:$C$405,F622,'Istoric_Nativ'!$E$6:$E$405,G622,'Istoric_Nativ'!$D$6:$D$405,"&lt;"&amp;J622,'Istoric_Nativ'!$P$6:$P$405,1,'Istoric_Nativ'!$D$6:$D$405,"&gt;="&amp;L622),IF(H622="AWAY",COUNTIFS('Istoric_Nativ'!$B$6:$B$405,E622,'Istoric_Nativ'!$C$6:$C$405,F622,'Istoric_Nativ'!$F$6:$F$405,G622,'Istoric_Nativ'!$D$6:$D$405,"&lt;"&amp;J622,'Istoric_Nativ'!$P$6:$P$405,1,'Istoric_Nativ'!$D$6:$D$405,"&gt;="&amp;L622),COUNTIFS('Istoric_Nativ'!$B$6:$B$405,E622,'Istoric_Nativ'!$C$6:$C$405,F622,'Istoric_Nativ'!$E$6:$E$405,G622,'Istoric_Nativ'!$D$6:$D$405,"&lt;"&amp;J622,'Istoric_Nativ'!$P$6:$P$405,1,'Istoric_Nativ'!$D$6:$D$405,"&gt;="&amp;L622)+COUNTIFS('Istoric_Nativ'!$B$6:$B$405,E622,'Istoric_Nativ'!$C$6:$C$405,F622,'Istoric_Nativ'!$F$6:$F$405,G622,'Istoric_Nativ'!$D$6:$D$405,"&lt;"&amp;J622,'Istoric_Nativ'!$P$6:$P$405,1,'Istoric_Nativ'!$D$6:$D$405,"&gt;="&amp;L622))))</x:f>
        <x:v>0</x:v>
      </x:c>
      <x:c r="N622" s="11" t="str">
        <x:f>IF(M622=0,"",IF(H622="HOME",SUMIFS('Istoric_Nativ'!$G$6:$G$405,'Istoric_Nativ'!$B$6:$B$405,E622,'Istoric_Nativ'!$C$6:$C$405,F622,'Istoric_Nativ'!$E$6:$E$405,G622,'Istoric_Nativ'!$D$6:$D$405,"&lt;"&amp;J622,'Istoric_Nativ'!$P$6:$P$405,1,'Istoric_Nativ'!$D$6:$D$405,"&gt;="&amp;L622),IF(H622="AWAY",SUMIFS('Istoric_Nativ'!$H$6:$H$405,'Istoric_Nativ'!$B$6:$B$405,E622,'Istoric_Nativ'!$C$6:$C$405,F622,'Istoric_Nativ'!$F$6:$F$405,G622,'Istoric_Nativ'!$D$6:$D$405,"&lt;"&amp;J622,'Istoric_Nativ'!$P$6:$P$405,1,'Istoric_Nativ'!$D$6:$D$405,"&gt;="&amp;L622),SUMIFS('Istoric_Nativ'!$G$6:$G$405,'Istoric_Nativ'!$B$6:$B$405,E622,'Istoric_Nativ'!$C$6:$C$405,F622,'Istoric_Nativ'!$E$6:$E$405,G622,'Istoric_Nativ'!$D$6:$D$405,"&lt;"&amp;J622,'Istoric_Nativ'!$P$6:$P$405,1,'Istoric_Nativ'!$D$6:$D$405,"&gt;="&amp;L622)+SUMIFS('Istoric_Nativ'!$H$6:$H$405,'Istoric_Nativ'!$B$6:$B$405,E622,'Istoric_Nativ'!$C$6:$C$405,F622,'Istoric_Nativ'!$F$6:$F$405,G622,'Istoric_Nativ'!$D$6:$D$405,"&lt;"&amp;J622,'Istoric_Nativ'!$P$6:$P$405,1,'Istoric_Nativ'!$D$6:$D$405,"&gt;="&amp;L622)))/M622)</x:f>
      </x:c>
      <x:c r="O622" s="11" t="str">
        <x:f>IF(M622=0,"",IF(H622="HOME",SUMIFS('Istoric_Nativ'!$H$6:$H$405,'Istoric_Nativ'!$B$6:$B$405,E622,'Istoric_Nativ'!$C$6:$C$405,F622,'Istoric_Nativ'!$E$6:$E$405,G622,'Istoric_Nativ'!$D$6:$D$405,"&lt;"&amp;J622,'Istoric_Nativ'!$P$6:$P$405,1,'Istoric_Nativ'!$D$6:$D$405,"&gt;="&amp;L622),IF(H622="AWAY",SUMIFS('Istoric_Nativ'!$G$6:$G$405,'Istoric_Nativ'!$B$6:$B$405,E622,'Istoric_Nativ'!$C$6:$C$405,F622,'Istoric_Nativ'!$F$6:$F$405,G622,'Istoric_Nativ'!$D$6:$D$405,"&lt;"&amp;J622,'Istoric_Nativ'!$P$6:$P$405,1,'Istoric_Nativ'!$D$6:$D$405,"&gt;="&amp;L622),SUMIFS('Istoric_Nativ'!$H$6:$H$405,'Istoric_Nativ'!$B$6:$B$405,E622,'Istoric_Nativ'!$C$6:$C$405,F622,'Istoric_Nativ'!$E$6:$E$405,G622,'Istoric_Nativ'!$D$6:$D$405,"&lt;"&amp;J622,'Istoric_Nativ'!$P$6:$P$405,1,'Istoric_Nativ'!$D$6:$D$405,"&gt;="&amp;L622)+SUMIFS('Istoric_Nativ'!$G$6:$G$405,'Istoric_Nativ'!$B$6:$B$405,E622,'Istoric_Nativ'!$C$6:$C$405,F622,'Istoric_Nativ'!$F$6:$F$405,G622,'Istoric_Nativ'!$D$6:$D$405,"&lt;"&amp;J622,'Istoric_Nativ'!$P$6:$P$405,1,'Istoric_Nativ'!$D$6:$D$405,"&gt;="&amp;L622)))/M622)</x:f>
      </x:c>
      <x:c r="P622" s="2" t="n">
        <x:f>'Config_v6'!$B$8</x:f>
        <x:v>5</x:v>
      </x:c>
      <x:c r="Q622" s="2" t="n">
        <x:f>IF(OR(B622="",F622=""),0,IFERROR(MATCH(E622&amp;"|"&amp;F622,SourceTable[Source_Key],0),0))</x:f>
        <x:v>0</x:v>
      </x:c>
      <x:c r="R622" s="2" t="str">
        <x:f>IF(B622="","",IF(F622="","UNUSED",IF(Q622=0,"NOT CHECKED",IF(COUNTIF(SourceTable[Source_Key],E622&amp;"|"&amp;F622)&lt;&gt;1,"SOURCE CONFLICT",IF(NOT(OR(INDEX(SourceTable[Status],MAX(1,Q622))="IMPORTED",INDEX(SourceTable[Status],MAX(1,Q622))="PARTIAL",INDEX(SourceTable[Status],MAX(1,Q622))="SOURCE CONFLICT")),"ACCESS BLOCKED",IF(OR(INDEX(SourceTable[Coverage],Q622)&lt;&gt;"FULL SEASON EXPORT",INDEX(SourceTable[URL],Q622)="",INDEX(SourceTable[SHA256],Q622)=""),"EVIDENCE INCOMPLETE",IF(AND('Input_Meci'!H57="LIVE",INDEX(SourceTable[Retrieved_UTC],Q622)&gt;'Input_Meci'!G57),"POST CUTOFF","CLOSED")))))))</x:f>
      </x:c>
      <x:c r="S622" s="2" t="n">
        <x:f>IF(OR(B622="",F622=""),0,COUNTIFS('Istoric_Nativ'!$B$6:$B$405,E622,'Istoric_Nativ'!$C$6:$C$405,F622,'Istoric_Nativ'!$E$6:$E$405,G622,'Istoric_Nativ'!$D$6:$D$405,"&lt;"&amp;J622,'Istoric_Nativ'!$O$6:$O$405,"INVALID")+COUNTIFS('Istoric_Nativ'!$B$6:$B$405,E622,'Istoric_Nativ'!$C$6:$C$405,F622,'Istoric_Nativ'!$E$6:$E$405,G622,'Istoric_Nativ'!$O$6:$O$405,"INVALID",'Istoric_Nativ'!$D$6:$D$405,"*")+COUNTIFS('Istoric_Nativ'!$B$6:$B$405,E622,'Istoric_Nativ'!$C$6:$C$405,F622,'Istoric_Nativ'!$E$6:$E$405,G622,'Istoric_Nativ'!$D$6:$D$405,"&lt;"&amp;J622,'Istoric_Nativ'!$O$6:$O$405,"SOURCE CONFLICT")+COUNTIFS('Istoric_Nativ'!$B$6:$B$405,E622,'Istoric_Nativ'!$C$6:$C$405,F622,'Istoric_Nativ'!$F$6:$F$405,G622,'Istoric_Nativ'!$D$6:$D$405,"&lt;"&amp;J622,'Istoric_Nativ'!$O$6:$O$405,"INVALID")+COUNTIFS('Istoric_Nativ'!$B$6:$B$405,E622,'Istoric_Nativ'!$C$6:$C$405,F622,'Istoric_Nativ'!$F$6:$F$405,G622,'Istoric_Nativ'!$O$6:$O$405,"INVALID",'Istoric_Nativ'!$D$6:$D$405,"*")+COUNTIFS('Istoric_Nativ'!$B$6:$B$405,E622,'Istoric_Nativ'!$C$6:$C$405,F622,'Istoric_Nativ'!$F$6:$F$405,G622,'Istoric_Nativ'!$D$6:$D$405,"&lt;"&amp;J622,'Istoric_Nativ'!$O$6:$O$405,"SOURCE CONFLICT"))</x:f>
        <x:v>0</x:v>
      </x:c>
      <x:c r="T622" s="2" t="str">
        <x:f>IF(B622="","",IF(R622&lt;&gt;"CLOSED",R622,IF(S622&gt;0,"NATIVE INPUT ISSUE",IF(M622=0,"NO HISTORY",IF(M622&lt;P622,"SMALL SAMPLE","DERIVED")))))</x:f>
      </x:c>
      <x:c r="U622" s="2" t="str">
        <x:f>IF(B622="","","NativeTable; "&amp;E622&amp;"; "&amp;F622&amp;"; "&amp;G622&amp;"; "&amp;H622&amp;"; before "&amp;TEXT(J622,"yyyy-mm-dd")&amp;IF(I622="RECENT","; from "&amp;TEXT(L622,"yyyy-mm-dd"),""))</x:f>
      </x:c>
    </x:row>
    <x:row r="623" ht="21" customHeight="1">
      <x:c r="A623" s="2" t="n">
        <x:v>52</x:v>
      </x:c>
      <x:c r="B623" s="2" t="str">
        <x:f>IF('Input_Meci'!A57="","",'Input_Meci'!A57)</x:f>
      </x:c>
      <x:c r="C623" s="2" t="str">
        <x:v>A</x:v>
      </x:c>
      <x:c r="D623" s="2" t="str">
        <x:v>CURRENT</x:v>
      </x:c>
      <x:c r="E623" s="2" t="str">
        <x:f>IF(B623="","",'Input_Meci'!B57)</x:f>
      </x:c>
      <x:c r="F623" s="2" t="str">
        <x:f>IF(B623="","",IF('Input_Meci'!C57="","",'Input_Meci'!C57))</x:f>
      </x:c>
      <x:c r="G623" s="2" t="str">
        <x:f>IF(B623="","",'Input_Meci'!E57)</x:f>
      </x:c>
      <x:c r="H623" s="2" t="str">
        <x:v>ANY</x:v>
      </x:c>
      <x:c r="I623" s="2" t="str">
        <x:v>RECENT</x:v>
      </x:c>
      <x:c r="J623" s="9" t="n">
        <x:f>IF(AND(B623&lt;&gt;"",ISNUMBER('Input_Meci'!G57)),INT('Input_Meci'!G57),0)</x:f>
        <x:v>0</x:v>
      </x:c>
      <x:c r="K623" s="2" t="n">
        <x:f>IF(OR(B623="",F623=""),0,IF(H623="HOME",COUNTIFS('Istoric_Nativ'!$B$6:$B$405,E623,'Istoric_Nativ'!$C$6:$C$405,F623,'Istoric_Nativ'!$E$6:$E$405,G623,'Istoric_Nativ'!$D$6:$D$405,"&lt;"&amp;J623,'Istoric_Nativ'!$P$6:$P$405,1),IF(H623="AWAY",COUNTIFS('Istoric_Nativ'!$B$6:$B$405,E623,'Istoric_Nativ'!$C$6:$C$405,F623,'Istoric_Nativ'!$F$6:$F$405,G623,'Istoric_Nativ'!$D$6:$D$405,"&lt;"&amp;J623,'Istoric_Nativ'!$P$6:$P$405,1),COUNTIFS('Istoric_Nativ'!$B$6:$B$405,E623,'Istoric_Nativ'!$C$6:$C$405,F623,'Istoric_Nativ'!$E$6:$E$405,G623,'Istoric_Nativ'!$D$6:$D$405,"&lt;"&amp;J623,'Istoric_Nativ'!$P$6:$P$405,1)+COUNTIFS('Istoric_Nativ'!$B$6:$B$405,E623,'Istoric_Nativ'!$C$6:$C$405,F623,'Istoric_Nativ'!$F$6:$F$405,G623,'Istoric_Nativ'!$D$6:$D$405,"&lt;"&amp;J623,'Istoric_Nativ'!$P$6:$P$405,1))))</x:f>
        <x:v>0</x:v>
      </x:c>
      <x:c r="L623" s="17" t="n">
        <x:f>IF(AND(B623&lt;&gt;"",I623="RECENT",K623&gt;0),LARGE(_xlfn._xlws.FILTER('Istoric_Nativ'!$D$6:$D$405,('Istoric_Nativ'!$B$6:$B$405=E623)*('Istoric_Nativ'!$C$6:$C$405=F623)*('Istoric_Nativ'!$P$6:$P$405=1)*('Istoric_Nativ'!$D$6:$D$405&lt;J623)*((('Istoric_Nativ'!$E$6:$E$405=G623)+('Istoric_Nativ'!$F$6:$F$405=G623))&gt;0)),MIN('Config_v6'!$B$54,K623)),0)</x:f>
        <x:v>0</x:v>
      </x:c>
      <x:c r="M623" s="2" t="n">
        <x:f>IF(OR(B623="",F623=""),0,IF(H623="HOME",COUNTIFS('Istoric_Nativ'!$B$6:$B$405,E623,'Istoric_Nativ'!$C$6:$C$405,F623,'Istoric_Nativ'!$E$6:$E$405,G623,'Istoric_Nativ'!$D$6:$D$405,"&lt;"&amp;J623,'Istoric_Nativ'!$P$6:$P$405,1,'Istoric_Nativ'!$D$6:$D$405,"&gt;="&amp;L623),IF(H623="AWAY",COUNTIFS('Istoric_Nativ'!$B$6:$B$405,E623,'Istoric_Nativ'!$C$6:$C$405,F623,'Istoric_Nativ'!$F$6:$F$405,G623,'Istoric_Nativ'!$D$6:$D$405,"&lt;"&amp;J623,'Istoric_Nativ'!$P$6:$P$405,1,'Istoric_Nativ'!$D$6:$D$405,"&gt;="&amp;L623),COUNTIFS('Istoric_Nativ'!$B$6:$B$405,E623,'Istoric_Nativ'!$C$6:$C$405,F623,'Istoric_Nativ'!$E$6:$E$405,G623,'Istoric_Nativ'!$D$6:$D$405,"&lt;"&amp;J623,'Istoric_Nativ'!$P$6:$P$405,1,'Istoric_Nativ'!$D$6:$D$405,"&gt;="&amp;L623)+COUNTIFS('Istoric_Nativ'!$B$6:$B$405,E623,'Istoric_Nativ'!$C$6:$C$405,F623,'Istoric_Nativ'!$F$6:$F$405,G623,'Istoric_Nativ'!$D$6:$D$405,"&lt;"&amp;J623,'Istoric_Nativ'!$P$6:$P$405,1,'Istoric_Nativ'!$D$6:$D$405,"&gt;="&amp;L623))))</x:f>
        <x:v>0</x:v>
      </x:c>
      <x:c r="N623" s="11" t="str">
        <x:f>IF(M623=0,"",IF(H623="HOME",SUMIFS('Istoric_Nativ'!$G$6:$G$405,'Istoric_Nativ'!$B$6:$B$405,E623,'Istoric_Nativ'!$C$6:$C$405,F623,'Istoric_Nativ'!$E$6:$E$405,G623,'Istoric_Nativ'!$D$6:$D$405,"&lt;"&amp;J623,'Istoric_Nativ'!$P$6:$P$405,1,'Istoric_Nativ'!$D$6:$D$405,"&gt;="&amp;L623),IF(H623="AWAY",SUMIFS('Istoric_Nativ'!$H$6:$H$405,'Istoric_Nativ'!$B$6:$B$405,E623,'Istoric_Nativ'!$C$6:$C$405,F623,'Istoric_Nativ'!$F$6:$F$405,G623,'Istoric_Nativ'!$D$6:$D$405,"&lt;"&amp;J623,'Istoric_Nativ'!$P$6:$P$405,1,'Istoric_Nativ'!$D$6:$D$405,"&gt;="&amp;L623),SUMIFS('Istoric_Nativ'!$G$6:$G$405,'Istoric_Nativ'!$B$6:$B$405,E623,'Istoric_Nativ'!$C$6:$C$405,F623,'Istoric_Nativ'!$E$6:$E$405,G623,'Istoric_Nativ'!$D$6:$D$405,"&lt;"&amp;J623,'Istoric_Nativ'!$P$6:$P$405,1,'Istoric_Nativ'!$D$6:$D$405,"&gt;="&amp;L623)+SUMIFS('Istoric_Nativ'!$H$6:$H$405,'Istoric_Nativ'!$B$6:$B$405,E623,'Istoric_Nativ'!$C$6:$C$405,F623,'Istoric_Nativ'!$F$6:$F$405,G623,'Istoric_Nativ'!$D$6:$D$405,"&lt;"&amp;J623,'Istoric_Nativ'!$P$6:$P$405,1,'Istoric_Nativ'!$D$6:$D$405,"&gt;="&amp;L623)))/M623)</x:f>
      </x:c>
      <x:c r="O623" s="11" t="str">
        <x:f>IF(M623=0,"",IF(H623="HOME",SUMIFS('Istoric_Nativ'!$H$6:$H$405,'Istoric_Nativ'!$B$6:$B$405,E623,'Istoric_Nativ'!$C$6:$C$405,F623,'Istoric_Nativ'!$E$6:$E$405,G623,'Istoric_Nativ'!$D$6:$D$405,"&lt;"&amp;J623,'Istoric_Nativ'!$P$6:$P$405,1,'Istoric_Nativ'!$D$6:$D$405,"&gt;="&amp;L623),IF(H623="AWAY",SUMIFS('Istoric_Nativ'!$G$6:$G$405,'Istoric_Nativ'!$B$6:$B$405,E623,'Istoric_Nativ'!$C$6:$C$405,F623,'Istoric_Nativ'!$F$6:$F$405,G623,'Istoric_Nativ'!$D$6:$D$405,"&lt;"&amp;J623,'Istoric_Nativ'!$P$6:$P$405,1,'Istoric_Nativ'!$D$6:$D$405,"&gt;="&amp;L623),SUMIFS('Istoric_Nativ'!$H$6:$H$405,'Istoric_Nativ'!$B$6:$B$405,E623,'Istoric_Nativ'!$C$6:$C$405,F623,'Istoric_Nativ'!$E$6:$E$405,G623,'Istoric_Nativ'!$D$6:$D$405,"&lt;"&amp;J623,'Istoric_Nativ'!$P$6:$P$405,1,'Istoric_Nativ'!$D$6:$D$405,"&gt;="&amp;L623)+SUMIFS('Istoric_Nativ'!$G$6:$G$405,'Istoric_Nativ'!$B$6:$B$405,E623,'Istoric_Nativ'!$C$6:$C$405,F623,'Istoric_Nativ'!$F$6:$F$405,G623,'Istoric_Nativ'!$D$6:$D$405,"&lt;"&amp;J623,'Istoric_Nativ'!$P$6:$P$405,1,'Istoric_Nativ'!$D$6:$D$405,"&gt;="&amp;L623)))/M623)</x:f>
      </x:c>
      <x:c r="P623" s="2" t="n">
        <x:f>'Config_v6'!$B$9</x:f>
        <x:v>3</x:v>
      </x:c>
      <x:c r="Q623" s="2" t="n">
        <x:f>IF(OR(B623="",F623=""),0,IFERROR(MATCH(E623&amp;"|"&amp;F623,SourceTable[Source_Key],0),0))</x:f>
        <x:v>0</x:v>
      </x:c>
      <x:c r="R623" s="2" t="str">
        <x:f>IF(B623="","",IF(F623="","UNUSED",IF(Q623=0,"NOT CHECKED",IF(COUNTIF(SourceTable[Source_Key],E623&amp;"|"&amp;F623)&lt;&gt;1,"SOURCE CONFLICT",IF(NOT(OR(INDEX(SourceTable[Status],MAX(1,Q623))="IMPORTED",INDEX(SourceTable[Status],MAX(1,Q623))="PARTIAL",INDEX(SourceTable[Status],MAX(1,Q623))="SOURCE CONFLICT")),"ACCESS BLOCKED",IF(OR(INDEX(SourceTable[Coverage],Q623)&lt;&gt;"FULL SEASON EXPORT",INDEX(SourceTable[URL],Q623)="",INDEX(SourceTable[SHA256],Q623)=""),"EVIDENCE INCOMPLETE",IF(AND('Input_Meci'!H57="LIVE",INDEX(SourceTable[Retrieved_UTC],Q623)&gt;'Input_Meci'!G57),"POST CUTOFF","CLOSED")))))))</x:f>
      </x:c>
      <x:c r="S623" s="2" t="n">
        <x:f>IF(OR(B623="",F623=""),0,COUNTIFS('Istoric_Nativ'!$B$6:$B$405,E623,'Istoric_Nativ'!$C$6:$C$405,F623,'Istoric_Nativ'!$E$6:$E$405,G623,'Istoric_Nativ'!$D$6:$D$405,"&lt;"&amp;J623,'Istoric_Nativ'!$O$6:$O$405,"INVALID")+COUNTIFS('Istoric_Nativ'!$B$6:$B$405,E623,'Istoric_Nativ'!$C$6:$C$405,F623,'Istoric_Nativ'!$E$6:$E$405,G623,'Istoric_Nativ'!$O$6:$O$405,"INVALID",'Istoric_Nativ'!$D$6:$D$405,"*")+COUNTIFS('Istoric_Nativ'!$B$6:$B$405,E623,'Istoric_Nativ'!$C$6:$C$405,F623,'Istoric_Nativ'!$E$6:$E$405,G623,'Istoric_Nativ'!$D$6:$D$405,"&lt;"&amp;J623,'Istoric_Nativ'!$O$6:$O$405,"SOURCE CONFLICT")+COUNTIFS('Istoric_Nativ'!$B$6:$B$405,E623,'Istoric_Nativ'!$C$6:$C$405,F623,'Istoric_Nativ'!$F$6:$F$405,G623,'Istoric_Nativ'!$D$6:$D$405,"&lt;"&amp;J623,'Istoric_Nativ'!$O$6:$O$405,"INVALID")+COUNTIFS('Istoric_Nativ'!$B$6:$B$405,E623,'Istoric_Nativ'!$C$6:$C$405,F623,'Istoric_Nativ'!$F$6:$F$405,G623,'Istoric_Nativ'!$O$6:$O$405,"INVALID",'Istoric_Nativ'!$D$6:$D$405,"*")+COUNTIFS('Istoric_Nativ'!$B$6:$B$405,E623,'Istoric_Nativ'!$C$6:$C$405,F623,'Istoric_Nativ'!$F$6:$F$405,G623,'Istoric_Nativ'!$D$6:$D$405,"&lt;"&amp;J623,'Istoric_Nativ'!$O$6:$O$405,"SOURCE CONFLICT"))</x:f>
        <x:v>0</x:v>
      </x:c>
      <x:c r="T623" s="2" t="str">
        <x:f>IF(B623="","",IF(R623&lt;&gt;"CLOSED",R623,IF(S623&gt;0,"NATIVE INPUT ISSUE",IF(M623=0,"NO HISTORY",IF(M623&lt;P623,"SMALL SAMPLE","DERIVED")))))</x:f>
      </x:c>
      <x:c r="U623" s="2" t="str">
        <x:f>IF(B623="","","NativeTable; "&amp;E623&amp;"; "&amp;F623&amp;"; "&amp;G623&amp;"; "&amp;H623&amp;"; before "&amp;TEXT(J623,"yyyy-mm-dd")&amp;IF(I623="RECENT","; from "&amp;TEXT(L623,"yyyy-mm-dd"),""))</x:f>
      </x:c>
    </x:row>
    <x:row r="624" ht="21" customHeight="1">
      <x:c r="A624" s="2" t="n">
        <x:v>52</x:v>
      </x:c>
      <x:c r="B624" s="2" t="str">
        <x:f>IF('Input_Meci'!A57="","",'Input_Meci'!A57)</x:f>
      </x:c>
      <x:c r="C624" s="2" t="str">
        <x:v>H</x:v>
      </x:c>
      <x:c r="D624" s="2" t="str">
        <x:v>PRIOR</x:v>
      </x:c>
      <x:c r="E624" s="2" t="str">
        <x:f>IF(B624="","",'Input_Meci'!B57)</x:f>
      </x:c>
      <x:c r="F624" s="2" t="str">
        <x:f>IF(B624="","",IF('Input_Meci'!K57="","",'Input_Meci'!K57))</x:f>
      </x:c>
      <x:c r="G624" s="2" t="str">
        <x:f>IF(B624="","",'Input_Meci'!D57)</x:f>
      </x:c>
      <x:c r="H624" s="2" t="str">
        <x:v>ANY</x:v>
      </x:c>
      <x:c r="I624" s="2" t="str">
        <x:v>SEASON</x:v>
      </x:c>
      <x:c r="J624" s="9" t="n">
        <x:f>IF(AND(B624&lt;&gt;"",ISNUMBER('Input_Meci'!G57)),INT('Input_Meci'!G57),0)</x:f>
        <x:v>0</x:v>
      </x:c>
      <x:c r="K624" s="2" t="n">
        <x:f>IF(OR(B624="",F624=""),0,IF(H624="HOME",COUNTIFS('Istoric_Nativ'!$B$6:$B$405,E624,'Istoric_Nativ'!$C$6:$C$405,F624,'Istoric_Nativ'!$E$6:$E$405,G624,'Istoric_Nativ'!$D$6:$D$405,"&lt;"&amp;J624,'Istoric_Nativ'!$P$6:$P$405,1),IF(H624="AWAY",COUNTIFS('Istoric_Nativ'!$B$6:$B$405,E624,'Istoric_Nativ'!$C$6:$C$405,F624,'Istoric_Nativ'!$F$6:$F$405,G624,'Istoric_Nativ'!$D$6:$D$405,"&lt;"&amp;J624,'Istoric_Nativ'!$P$6:$P$405,1),COUNTIFS('Istoric_Nativ'!$B$6:$B$405,E624,'Istoric_Nativ'!$C$6:$C$405,F624,'Istoric_Nativ'!$E$6:$E$405,G624,'Istoric_Nativ'!$D$6:$D$405,"&lt;"&amp;J624,'Istoric_Nativ'!$P$6:$P$405,1)+COUNTIFS('Istoric_Nativ'!$B$6:$B$405,E624,'Istoric_Nativ'!$C$6:$C$405,F624,'Istoric_Nativ'!$F$6:$F$405,G624,'Istoric_Nativ'!$D$6:$D$405,"&lt;"&amp;J624,'Istoric_Nativ'!$P$6:$P$405,1))))</x:f>
        <x:v>0</x:v>
      </x:c>
      <x:c r="L624" s="17" t="n">
        <x:f>IF(AND(B624&lt;&gt;"",I624="RECENT",K624&gt;0),LARGE(_xlfn._xlws.FILTER('Istoric_Nativ'!$D$6:$D$405,('Istoric_Nativ'!$B$6:$B$405=E624)*('Istoric_Nativ'!$C$6:$C$405=F624)*('Istoric_Nativ'!$P$6:$P$405=1)*('Istoric_Nativ'!$D$6:$D$405&lt;J624)*((('Istoric_Nativ'!$E$6:$E$405=G624)+('Istoric_Nativ'!$F$6:$F$405=G624))&gt;0)),MIN('Config_v6'!$B$54,K624)),0)</x:f>
        <x:v>0</x:v>
      </x:c>
      <x:c r="M624" s="2" t="n">
        <x:f>IF(OR(B624="",F624=""),0,IF(H624="HOME",COUNTIFS('Istoric_Nativ'!$B$6:$B$405,E624,'Istoric_Nativ'!$C$6:$C$405,F624,'Istoric_Nativ'!$E$6:$E$405,G624,'Istoric_Nativ'!$D$6:$D$405,"&lt;"&amp;J624,'Istoric_Nativ'!$P$6:$P$405,1,'Istoric_Nativ'!$D$6:$D$405,"&gt;="&amp;L624),IF(H624="AWAY",COUNTIFS('Istoric_Nativ'!$B$6:$B$405,E624,'Istoric_Nativ'!$C$6:$C$405,F624,'Istoric_Nativ'!$F$6:$F$405,G624,'Istoric_Nativ'!$D$6:$D$405,"&lt;"&amp;J624,'Istoric_Nativ'!$P$6:$P$405,1,'Istoric_Nativ'!$D$6:$D$405,"&gt;="&amp;L624),COUNTIFS('Istoric_Nativ'!$B$6:$B$405,E624,'Istoric_Nativ'!$C$6:$C$405,F624,'Istoric_Nativ'!$E$6:$E$405,G624,'Istoric_Nativ'!$D$6:$D$405,"&lt;"&amp;J624,'Istoric_Nativ'!$P$6:$P$405,1,'Istoric_Nativ'!$D$6:$D$405,"&gt;="&amp;L624)+COUNTIFS('Istoric_Nativ'!$B$6:$B$405,E624,'Istoric_Nativ'!$C$6:$C$405,F624,'Istoric_Nativ'!$F$6:$F$405,G624,'Istoric_Nativ'!$D$6:$D$405,"&lt;"&amp;J624,'Istoric_Nativ'!$P$6:$P$405,1,'Istoric_Nativ'!$D$6:$D$405,"&gt;="&amp;L624))))</x:f>
        <x:v>0</x:v>
      </x:c>
      <x:c r="N624" s="11" t="str">
        <x:f>IF(M624=0,"",IF(H624="HOME",SUMIFS('Istoric_Nativ'!$G$6:$G$405,'Istoric_Nativ'!$B$6:$B$405,E624,'Istoric_Nativ'!$C$6:$C$405,F624,'Istoric_Nativ'!$E$6:$E$405,G624,'Istoric_Nativ'!$D$6:$D$405,"&lt;"&amp;J624,'Istoric_Nativ'!$P$6:$P$405,1,'Istoric_Nativ'!$D$6:$D$405,"&gt;="&amp;L624),IF(H624="AWAY",SUMIFS('Istoric_Nativ'!$H$6:$H$405,'Istoric_Nativ'!$B$6:$B$405,E624,'Istoric_Nativ'!$C$6:$C$405,F624,'Istoric_Nativ'!$F$6:$F$405,G624,'Istoric_Nativ'!$D$6:$D$405,"&lt;"&amp;J624,'Istoric_Nativ'!$P$6:$P$405,1,'Istoric_Nativ'!$D$6:$D$405,"&gt;="&amp;L624),SUMIFS('Istoric_Nativ'!$G$6:$G$405,'Istoric_Nativ'!$B$6:$B$405,E624,'Istoric_Nativ'!$C$6:$C$405,F624,'Istoric_Nativ'!$E$6:$E$405,G624,'Istoric_Nativ'!$D$6:$D$405,"&lt;"&amp;J624,'Istoric_Nativ'!$P$6:$P$405,1,'Istoric_Nativ'!$D$6:$D$405,"&gt;="&amp;L624)+SUMIFS('Istoric_Nativ'!$H$6:$H$405,'Istoric_Nativ'!$B$6:$B$405,E624,'Istoric_Nativ'!$C$6:$C$405,F624,'Istoric_Nativ'!$F$6:$F$405,G624,'Istoric_Nativ'!$D$6:$D$405,"&lt;"&amp;J624,'Istoric_Nativ'!$P$6:$P$405,1,'Istoric_Nativ'!$D$6:$D$405,"&gt;="&amp;L624)))/M624)</x:f>
      </x:c>
      <x:c r="O624" s="11" t="str">
        <x:f>IF(M624=0,"",IF(H624="HOME",SUMIFS('Istoric_Nativ'!$H$6:$H$405,'Istoric_Nativ'!$B$6:$B$405,E624,'Istoric_Nativ'!$C$6:$C$405,F624,'Istoric_Nativ'!$E$6:$E$405,G624,'Istoric_Nativ'!$D$6:$D$405,"&lt;"&amp;J624,'Istoric_Nativ'!$P$6:$P$405,1,'Istoric_Nativ'!$D$6:$D$405,"&gt;="&amp;L624),IF(H624="AWAY",SUMIFS('Istoric_Nativ'!$G$6:$G$405,'Istoric_Nativ'!$B$6:$B$405,E624,'Istoric_Nativ'!$C$6:$C$405,F624,'Istoric_Nativ'!$F$6:$F$405,G624,'Istoric_Nativ'!$D$6:$D$405,"&lt;"&amp;J624,'Istoric_Nativ'!$P$6:$P$405,1,'Istoric_Nativ'!$D$6:$D$405,"&gt;="&amp;L624),SUMIFS('Istoric_Nativ'!$H$6:$H$405,'Istoric_Nativ'!$B$6:$B$405,E624,'Istoric_Nativ'!$C$6:$C$405,F624,'Istoric_Nativ'!$E$6:$E$405,G624,'Istoric_Nativ'!$D$6:$D$405,"&lt;"&amp;J624,'Istoric_Nativ'!$P$6:$P$405,1,'Istoric_Nativ'!$D$6:$D$405,"&gt;="&amp;L624)+SUMIFS('Istoric_Nativ'!$G$6:$G$405,'Istoric_Nativ'!$B$6:$B$405,E624,'Istoric_Nativ'!$C$6:$C$405,F624,'Istoric_Nativ'!$F$6:$F$405,G624,'Istoric_Nativ'!$D$6:$D$405,"&lt;"&amp;J624,'Istoric_Nativ'!$P$6:$P$405,1,'Istoric_Nativ'!$D$6:$D$405,"&gt;="&amp;L624)))/M624)</x:f>
      </x:c>
      <x:c r="P624" s="2" t="n">
        <x:f>'Config_v6'!$B$7</x:f>
        <x:v>10</x:v>
      </x:c>
      <x:c r="Q624" s="2" t="n">
        <x:f>IF(OR(B624="",F624=""),0,IFERROR(MATCH(E624&amp;"|"&amp;F624,SourceTable[Source_Key],0),0))</x:f>
        <x:v>0</x:v>
      </x:c>
      <x:c r="R624" s="2" t="str">
        <x:f>IF(B624="","",IF(F624="","UNUSED",IF(Q624=0,"NOT CHECKED",IF(COUNTIF(SourceTable[Source_Key],E624&amp;"|"&amp;F624)&lt;&gt;1,"SOURCE CONFLICT",IF(NOT(OR(INDEX(SourceTable[Status],MAX(1,Q624))="IMPORTED",INDEX(SourceTable[Status],MAX(1,Q624))="PARTIAL",INDEX(SourceTable[Status],MAX(1,Q624))="SOURCE CONFLICT")),"ACCESS BLOCKED",IF(OR(INDEX(SourceTable[Coverage],Q624)&lt;&gt;"FULL SEASON EXPORT",INDEX(SourceTable[URL],Q624)="",INDEX(SourceTable[SHA256],Q624)=""),"EVIDENCE INCOMPLETE",IF(AND('Input_Meci'!H57="LIVE",INDEX(SourceTable[Retrieved_UTC],Q624)&gt;'Input_Meci'!G57),"POST CUTOFF","CLOSED")))))))</x:f>
      </x:c>
      <x:c r="S624" s="2" t="n">
        <x:f>IF(OR(B624="",F624=""),0,COUNTIFS('Istoric_Nativ'!$B$6:$B$405,E624,'Istoric_Nativ'!$C$6:$C$405,F624,'Istoric_Nativ'!$E$6:$E$405,G624,'Istoric_Nativ'!$D$6:$D$405,"&lt;"&amp;J624,'Istoric_Nativ'!$O$6:$O$405,"INVALID")+COUNTIFS('Istoric_Nativ'!$B$6:$B$405,E624,'Istoric_Nativ'!$C$6:$C$405,F624,'Istoric_Nativ'!$E$6:$E$405,G624,'Istoric_Nativ'!$O$6:$O$405,"INVALID",'Istoric_Nativ'!$D$6:$D$405,"*")+COUNTIFS('Istoric_Nativ'!$B$6:$B$405,E624,'Istoric_Nativ'!$C$6:$C$405,F624,'Istoric_Nativ'!$E$6:$E$405,G624,'Istoric_Nativ'!$D$6:$D$405,"&lt;"&amp;J624,'Istoric_Nativ'!$O$6:$O$405,"SOURCE CONFLICT")+COUNTIFS('Istoric_Nativ'!$B$6:$B$405,E624,'Istoric_Nativ'!$C$6:$C$405,F624,'Istoric_Nativ'!$F$6:$F$405,G624,'Istoric_Nativ'!$D$6:$D$405,"&lt;"&amp;J624,'Istoric_Nativ'!$O$6:$O$405,"INVALID")+COUNTIFS('Istoric_Nativ'!$B$6:$B$405,E624,'Istoric_Nativ'!$C$6:$C$405,F624,'Istoric_Nativ'!$F$6:$F$405,G624,'Istoric_Nativ'!$O$6:$O$405,"INVALID",'Istoric_Nativ'!$D$6:$D$405,"*")+COUNTIFS('Istoric_Nativ'!$B$6:$B$405,E624,'Istoric_Nativ'!$C$6:$C$405,F624,'Istoric_Nativ'!$F$6:$F$405,G624,'Istoric_Nativ'!$D$6:$D$405,"&lt;"&amp;J624,'Istoric_Nativ'!$O$6:$O$405,"SOURCE CONFLICT"))</x:f>
        <x:v>0</x:v>
      </x:c>
      <x:c r="T624" s="2" t="str">
        <x:f>IF(B624="","",IF(R624&lt;&gt;"CLOSED",R624,IF(S624&gt;0,"NATIVE INPUT ISSUE",IF(M624=0,"NO HISTORY",IF(M624&lt;P624,"SMALL SAMPLE","DERIVED")))))</x:f>
      </x:c>
      <x:c r="U624" s="2" t="str">
        <x:f>IF(B624="","","NativeTable; "&amp;E624&amp;"; "&amp;F624&amp;"; "&amp;G624&amp;"; "&amp;H624&amp;"; before "&amp;TEXT(J624,"yyyy-mm-dd")&amp;IF(I624="RECENT","; from "&amp;TEXT(L624,"yyyy-mm-dd"),""))</x:f>
      </x:c>
    </x:row>
    <x:row r="625" ht="21" customHeight="1">
      <x:c r="A625" s="2" t="n">
        <x:v>52</x:v>
      </x:c>
      <x:c r="B625" s="2" t="str">
        <x:f>IF('Input_Meci'!A57="","",'Input_Meci'!A57)</x:f>
      </x:c>
      <x:c r="C625" s="2" t="str">
        <x:v>H</x:v>
      </x:c>
      <x:c r="D625" s="2" t="str">
        <x:v>PRIOR</x:v>
      </x:c>
      <x:c r="E625" s="2" t="str">
        <x:f>IF(B625="","",'Input_Meci'!B57)</x:f>
      </x:c>
      <x:c r="F625" s="2" t="str">
        <x:f>IF(B625="","",IF('Input_Meci'!K57="","",'Input_Meci'!K57))</x:f>
      </x:c>
      <x:c r="G625" s="2" t="str">
        <x:f>IF(B625="","",'Input_Meci'!D57)</x:f>
      </x:c>
      <x:c r="H625" s="2" t="str">
        <x:v>HOME</x:v>
      </x:c>
      <x:c r="I625" s="2" t="str">
        <x:v>HA</x:v>
      </x:c>
      <x:c r="J625" s="9" t="n">
        <x:f>IF(AND(B625&lt;&gt;"",ISNUMBER('Input_Meci'!G57)),INT('Input_Meci'!G57),0)</x:f>
        <x:v>0</x:v>
      </x:c>
      <x:c r="K625" s="2" t="n">
        <x:f>IF(OR(B625="",F625=""),0,IF(H625="HOME",COUNTIFS('Istoric_Nativ'!$B$6:$B$405,E625,'Istoric_Nativ'!$C$6:$C$405,F625,'Istoric_Nativ'!$E$6:$E$405,G625,'Istoric_Nativ'!$D$6:$D$405,"&lt;"&amp;J625,'Istoric_Nativ'!$P$6:$P$405,1),IF(H625="AWAY",COUNTIFS('Istoric_Nativ'!$B$6:$B$405,E625,'Istoric_Nativ'!$C$6:$C$405,F625,'Istoric_Nativ'!$F$6:$F$405,G625,'Istoric_Nativ'!$D$6:$D$405,"&lt;"&amp;J625,'Istoric_Nativ'!$P$6:$P$405,1),COUNTIFS('Istoric_Nativ'!$B$6:$B$405,E625,'Istoric_Nativ'!$C$6:$C$405,F625,'Istoric_Nativ'!$E$6:$E$405,G625,'Istoric_Nativ'!$D$6:$D$405,"&lt;"&amp;J625,'Istoric_Nativ'!$P$6:$P$405,1)+COUNTIFS('Istoric_Nativ'!$B$6:$B$405,E625,'Istoric_Nativ'!$C$6:$C$405,F625,'Istoric_Nativ'!$F$6:$F$405,G625,'Istoric_Nativ'!$D$6:$D$405,"&lt;"&amp;J625,'Istoric_Nativ'!$P$6:$P$405,1))))</x:f>
        <x:v>0</x:v>
      </x:c>
      <x:c r="L625" s="17" t="n">
        <x:f>IF(AND(B625&lt;&gt;"",I625="RECENT",K625&gt;0),LARGE(_xlfn._xlws.FILTER('Istoric_Nativ'!$D$6:$D$405,('Istoric_Nativ'!$B$6:$B$405=E625)*('Istoric_Nativ'!$C$6:$C$405=F625)*('Istoric_Nativ'!$P$6:$P$405=1)*('Istoric_Nativ'!$D$6:$D$405&lt;J625)*((('Istoric_Nativ'!$E$6:$E$405=G625)+('Istoric_Nativ'!$F$6:$F$405=G625))&gt;0)),MIN('Config_v6'!$B$54,K625)),0)</x:f>
        <x:v>0</x:v>
      </x:c>
      <x:c r="M625" s="2" t="n">
        <x:f>IF(OR(B625="",F625=""),0,IF(H625="HOME",COUNTIFS('Istoric_Nativ'!$B$6:$B$405,E625,'Istoric_Nativ'!$C$6:$C$405,F625,'Istoric_Nativ'!$E$6:$E$405,G625,'Istoric_Nativ'!$D$6:$D$405,"&lt;"&amp;J625,'Istoric_Nativ'!$P$6:$P$405,1,'Istoric_Nativ'!$D$6:$D$405,"&gt;="&amp;L625),IF(H625="AWAY",COUNTIFS('Istoric_Nativ'!$B$6:$B$405,E625,'Istoric_Nativ'!$C$6:$C$405,F625,'Istoric_Nativ'!$F$6:$F$405,G625,'Istoric_Nativ'!$D$6:$D$405,"&lt;"&amp;J625,'Istoric_Nativ'!$P$6:$P$405,1,'Istoric_Nativ'!$D$6:$D$405,"&gt;="&amp;L625),COUNTIFS('Istoric_Nativ'!$B$6:$B$405,E625,'Istoric_Nativ'!$C$6:$C$405,F625,'Istoric_Nativ'!$E$6:$E$405,G625,'Istoric_Nativ'!$D$6:$D$405,"&lt;"&amp;J625,'Istoric_Nativ'!$P$6:$P$405,1,'Istoric_Nativ'!$D$6:$D$405,"&gt;="&amp;L625)+COUNTIFS('Istoric_Nativ'!$B$6:$B$405,E625,'Istoric_Nativ'!$C$6:$C$405,F625,'Istoric_Nativ'!$F$6:$F$405,G625,'Istoric_Nativ'!$D$6:$D$405,"&lt;"&amp;J625,'Istoric_Nativ'!$P$6:$P$405,1,'Istoric_Nativ'!$D$6:$D$405,"&gt;="&amp;L625))))</x:f>
        <x:v>0</x:v>
      </x:c>
      <x:c r="N625" s="11" t="str">
        <x:f>IF(M625=0,"",IF(H625="HOME",SUMIFS('Istoric_Nativ'!$G$6:$G$405,'Istoric_Nativ'!$B$6:$B$405,E625,'Istoric_Nativ'!$C$6:$C$405,F625,'Istoric_Nativ'!$E$6:$E$405,G625,'Istoric_Nativ'!$D$6:$D$405,"&lt;"&amp;J625,'Istoric_Nativ'!$P$6:$P$405,1,'Istoric_Nativ'!$D$6:$D$405,"&gt;="&amp;L625),IF(H625="AWAY",SUMIFS('Istoric_Nativ'!$H$6:$H$405,'Istoric_Nativ'!$B$6:$B$405,E625,'Istoric_Nativ'!$C$6:$C$405,F625,'Istoric_Nativ'!$F$6:$F$405,G625,'Istoric_Nativ'!$D$6:$D$405,"&lt;"&amp;J625,'Istoric_Nativ'!$P$6:$P$405,1,'Istoric_Nativ'!$D$6:$D$405,"&gt;="&amp;L625),SUMIFS('Istoric_Nativ'!$G$6:$G$405,'Istoric_Nativ'!$B$6:$B$405,E625,'Istoric_Nativ'!$C$6:$C$405,F625,'Istoric_Nativ'!$E$6:$E$405,G625,'Istoric_Nativ'!$D$6:$D$405,"&lt;"&amp;J625,'Istoric_Nativ'!$P$6:$P$405,1,'Istoric_Nativ'!$D$6:$D$405,"&gt;="&amp;L625)+SUMIFS('Istoric_Nativ'!$H$6:$H$405,'Istoric_Nativ'!$B$6:$B$405,E625,'Istoric_Nativ'!$C$6:$C$405,F625,'Istoric_Nativ'!$F$6:$F$405,G625,'Istoric_Nativ'!$D$6:$D$405,"&lt;"&amp;J625,'Istoric_Nativ'!$P$6:$P$405,1,'Istoric_Nativ'!$D$6:$D$405,"&gt;="&amp;L625)))/M625)</x:f>
      </x:c>
      <x:c r="O625" s="11" t="str">
        <x:f>IF(M625=0,"",IF(H625="HOME",SUMIFS('Istoric_Nativ'!$H$6:$H$405,'Istoric_Nativ'!$B$6:$B$405,E625,'Istoric_Nativ'!$C$6:$C$405,F625,'Istoric_Nativ'!$E$6:$E$405,G625,'Istoric_Nativ'!$D$6:$D$405,"&lt;"&amp;J625,'Istoric_Nativ'!$P$6:$P$405,1,'Istoric_Nativ'!$D$6:$D$405,"&gt;="&amp;L625),IF(H625="AWAY",SUMIFS('Istoric_Nativ'!$G$6:$G$405,'Istoric_Nativ'!$B$6:$B$405,E625,'Istoric_Nativ'!$C$6:$C$405,F625,'Istoric_Nativ'!$F$6:$F$405,G625,'Istoric_Nativ'!$D$6:$D$405,"&lt;"&amp;J625,'Istoric_Nativ'!$P$6:$P$405,1,'Istoric_Nativ'!$D$6:$D$405,"&gt;="&amp;L625),SUMIFS('Istoric_Nativ'!$H$6:$H$405,'Istoric_Nativ'!$B$6:$B$405,E625,'Istoric_Nativ'!$C$6:$C$405,F625,'Istoric_Nativ'!$E$6:$E$405,G625,'Istoric_Nativ'!$D$6:$D$405,"&lt;"&amp;J625,'Istoric_Nativ'!$P$6:$P$405,1,'Istoric_Nativ'!$D$6:$D$405,"&gt;="&amp;L625)+SUMIFS('Istoric_Nativ'!$G$6:$G$405,'Istoric_Nativ'!$B$6:$B$405,E625,'Istoric_Nativ'!$C$6:$C$405,F625,'Istoric_Nativ'!$F$6:$F$405,G625,'Istoric_Nativ'!$D$6:$D$405,"&lt;"&amp;J625,'Istoric_Nativ'!$P$6:$P$405,1,'Istoric_Nativ'!$D$6:$D$405,"&gt;="&amp;L625)))/M625)</x:f>
      </x:c>
      <x:c r="P625" s="2" t="n">
        <x:f>'Config_v6'!$B$8</x:f>
        <x:v>5</x:v>
      </x:c>
      <x:c r="Q625" s="2" t="n">
        <x:f>IF(OR(B625="",F625=""),0,IFERROR(MATCH(E625&amp;"|"&amp;F625,SourceTable[Source_Key],0),0))</x:f>
        <x:v>0</x:v>
      </x:c>
      <x:c r="R625" s="2" t="str">
        <x:f>IF(B625="","",IF(F625="","UNUSED",IF(Q625=0,"NOT CHECKED",IF(COUNTIF(SourceTable[Source_Key],E625&amp;"|"&amp;F625)&lt;&gt;1,"SOURCE CONFLICT",IF(NOT(OR(INDEX(SourceTable[Status],MAX(1,Q625))="IMPORTED",INDEX(SourceTable[Status],MAX(1,Q625))="PARTIAL",INDEX(SourceTable[Status],MAX(1,Q625))="SOURCE CONFLICT")),"ACCESS BLOCKED",IF(OR(INDEX(SourceTable[Coverage],Q625)&lt;&gt;"FULL SEASON EXPORT",INDEX(SourceTable[URL],Q625)="",INDEX(SourceTable[SHA256],Q625)=""),"EVIDENCE INCOMPLETE",IF(AND('Input_Meci'!H57="LIVE",INDEX(SourceTable[Retrieved_UTC],Q625)&gt;'Input_Meci'!G57),"POST CUTOFF","CLOSED")))))))</x:f>
      </x:c>
      <x:c r="S625" s="2" t="n">
        <x:f>IF(OR(B625="",F625=""),0,COUNTIFS('Istoric_Nativ'!$B$6:$B$405,E625,'Istoric_Nativ'!$C$6:$C$405,F625,'Istoric_Nativ'!$E$6:$E$405,G625,'Istoric_Nativ'!$D$6:$D$405,"&lt;"&amp;J625,'Istoric_Nativ'!$O$6:$O$405,"INVALID")+COUNTIFS('Istoric_Nativ'!$B$6:$B$405,E625,'Istoric_Nativ'!$C$6:$C$405,F625,'Istoric_Nativ'!$E$6:$E$405,G625,'Istoric_Nativ'!$O$6:$O$405,"INVALID",'Istoric_Nativ'!$D$6:$D$405,"*")+COUNTIFS('Istoric_Nativ'!$B$6:$B$405,E625,'Istoric_Nativ'!$C$6:$C$405,F625,'Istoric_Nativ'!$E$6:$E$405,G625,'Istoric_Nativ'!$D$6:$D$405,"&lt;"&amp;J625,'Istoric_Nativ'!$O$6:$O$405,"SOURCE CONFLICT")+COUNTIFS('Istoric_Nativ'!$B$6:$B$405,E625,'Istoric_Nativ'!$C$6:$C$405,F625,'Istoric_Nativ'!$F$6:$F$405,G625,'Istoric_Nativ'!$D$6:$D$405,"&lt;"&amp;J625,'Istoric_Nativ'!$O$6:$O$405,"INVALID")+COUNTIFS('Istoric_Nativ'!$B$6:$B$405,E625,'Istoric_Nativ'!$C$6:$C$405,F625,'Istoric_Nativ'!$F$6:$F$405,G625,'Istoric_Nativ'!$O$6:$O$405,"INVALID",'Istoric_Nativ'!$D$6:$D$405,"*")+COUNTIFS('Istoric_Nativ'!$B$6:$B$405,E625,'Istoric_Nativ'!$C$6:$C$405,F625,'Istoric_Nativ'!$F$6:$F$405,G625,'Istoric_Nativ'!$D$6:$D$405,"&lt;"&amp;J625,'Istoric_Nativ'!$O$6:$O$405,"SOURCE CONFLICT"))</x:f>
        <x:v>0</x:v>
      </x:c>
      <x:c r="T625" s="2" t="str">
        <x:f>IF(B625="","",IF(R625&lt;&gt;"CLOSED",R625,IF(S625&gt;0,"NATIVE INPUT ISSUE",IF(M625=0,"NO HISTORY",IF(M625&lt;P625,"SMALL SAMPLE","DERIVED")))))</x:f>
      </x:c>
      <x:c r="U625" s="2" t="str">
        <x:f>IF(B625="","","NativeTable; "&amp;E625&amp;"; "&amp;F625&amp;"; "&amp;G625&amp;"; "&amp;H625&amp;"; before "&amp;TEXT(J625,"yyyy-mm-dd")&amp;IF(I625="RECENT","; from "&amp;TEXT(L625,"yyyy-mm-dd"),""))</x:f>
      </x:c>
    </x:row>
    <x:row r="626" ht="21" customHeight="1">
      <x:c r="A626" s="2" t="n">
        <x:v>52</x:v>
      </x:c>
      <x:c r="B626" s="2" t="str">
        <x:f>IF('Input_Meci'!A57="","",'Input_Meci'!A57)</x:f>
      </x:c>
      <x:c r="C626" s="2" t="str">
        <x:v>H</x:v>
      </x:c>
      <x:c r="D626" s="2" t="str">
        <x:v>PRIOR</x:v>
      </x:c>
      <x:c r="E626" s="2" t="str">
        <x:f>IF(B626="","",'Input_Meci'!B57)</x:f>
      </x:c>
      <x:c r="F626" s="2" t="str">
        <x:f>IF(B626="","",IF('Input_Meci'!K57="","",'Input_Meci'!K57))</x:f>
      </x:c>
      <x:c r="G626" s="2" t="str">
        <x:f>IF(B626="","",'Input_Meci'!D57)</x:f>
      </x:c>
      <x:c r="H626" s="2" t="str">
        <x:v>ANY</x:v>
      </x:c>
      <x:c r="I626" s="2" t="str">
        <x:v>RECENT</x:v>
      </x:c>
      <x:c r="J626" s="9" t="n">
        <x:f>IF(AND(B626&lt;&gt;"",ISNUMBER('Input_Meci'!G57)),INT('Input_Meci'!G57),0)</x:f>
        <x:v>0</x:v>
      </x:c>
      <x:c r="K626" s="2" t="n">
        <x:f>IF(OR(B626="",F626=""),0,IF(H626="HOME",COUNTIFS('Istoric_Nativ'!$B$6:$B$405,E626,'Istoric_Nativ'!$C$6:$C$405,F626,'Istoric_Nativ'!$E$6:$E$405,G626,'Istoric_Nativ'!$D$6:$D$405,"&lt;"&amp;J626,'Istoric_Nativ'!$P$6:$P$405,1),IF(H626="AWAY",COUNTIFS('Istoric_Nativ'!$B$6:$B$405,E626,'Istoric_Nativ'!$C$6:$C$405,F626,'Istoric_Nativ'!$F$6:$F$405,G626,'Istoric_Nativ'!$D$6:$D$405,"&lt;"&amp;J626,'Istoric_Nativ'!$P$6:$P$405,1),COUNTIFS('Istoric_Nativ'!$B$6:$B$405,E626,'Istoric_Nativ'!$C$6:$C$405,F626,'Istoric_Nativ'!$E$6:$E$405,G626,'Istoric_Nativ'!$D$6:$D$405,"&lt;"&amp;J626,'Istoric_Nativ'!$P$6:$P$405,1)+COUNTIFS('Istoric_Nativ'!$B$6:$B$405,E626,'Istoric_Nativ'!$C$6:$C$405,F626,'Istoric_Nativ'!$F$6:$F$405,G626,'Istoric_Nativ'!$D$6:$D$405,"&lt;"&amp;J626,'Istoric_Nativ'!$P$6:$P$405,1))))</x:f>
        <x:v>0</x:v>
      </x:c>
      <x:c r="L626" s="17" t="n">
        <x:f>IF(AND(B626&lt;&gt;"",I626="RECENT",K626&gt;0),LARGE(_xlfn._xlws.FILTER('Istoric_Nativ'!$D$6:$D$405,('Istoric_Nativ'!$B$6:$B$405=E626)*('Istoric_Nativ'!$C$6:$C$405=F626)*('Istoric_Nativ'!$P$6:$P$405=1)*('Istoric_Nativ'!$D$6:$D$405&lt;J626)*((('Istoric_Nativ'!$E$6:$E$405=G626)+('Istoric_Nativ'!$F$6:$F$405=G626))&gt;0)),MIN('Config_v6'!$B$54,K626)),0)</x:f>
        <x:v>0</x:v>
      </x:c>
      <x:c r="M626" s="2" t="n">
        <x:f>IF(OR(B626="",F626=""),0,IF(H626="HOME",COUNTIFS('Istoric_Nativ'!$B$6:$B$405,E626,'Istoric_Nativ'!$C$6:$C$405,F626,'Istoric_Nativ'!$E$6:$E$405,G626,'Istoric_Nativ'!$D$6:$D$405,"&lt;"&amp;J626,'Istoric_Nativ'!$P$6:$P$405,1,'Istoric_Nativ'!$D$6:$D$405,"&gt;="&amp;L626),IF(H626="AWAY",COUNTIFS('Istoric_Nativ'!$B$6:$B$405,E626,'Istoric_Nativ'!$C$6:$C$405,F626,'Istoric_Nativ'!$F$6:$F$405,G626,'Istoric_Nativ'!$D$6:$D$405,"&lt;"&amp;J626,'Istoric_Nativ'!$P$6:$P$405,1,'Istoric_Nativ'!$D$6:$D$405,"&gt;="&amp;L626),COUNTIFS('Istoric_Nativ'!$B$6:$B$405,E626,'Istoric_Nativ'!$C$6:$C$405,F626,'Istoric_Nativ'!$E$6:$E$405,G626,'Istoric_Nativ'!$D$6:$D$405,"&lt;"&amp;J626,'Istoric_Nativ'!$P$6:$P$405,1,'Istoric_Nativ'!$D$6:$D$405,"&gt;="&amp;L626)+COUNTIFS('Istoric_Nativ'!$B$6:$B$405,E626,'Istoric_Nativ'!$C$6:$C$405,F626,'Istoric_Nativ'!$F$6:$F$405,G626,'Istoric_Nativ'!$D$6:$D$405,"&lt;"&amp;J626,'Istoric_Nativ'!$P$6:$P$405,1,'Istoric_Nativ'!$D$6:$D$405,"&gt;="&amp;L626))))</x:f>
        <x:v>0</x:v>
      </x:c>
      <x:c r="N626" s="11" t="str">
        <x:f>IF(M626=0,"",IF(H626="HOME",SUMIFS('Istoric_Nativ'!$G$6:$G$405,'Istoric_Nativ'!$B$6:$B$405,E626,'Istoric_Nativ'!$C$6:$C$405,F626,'Istoric_Nativ'!$E$6:$E$405,G626,'Istoric_Nativ'!$D$6:$D$405,"&lt;"&amp;J626,'Istoric_Nativ'!$P$6:$P$405,1,'Istoric_Nativ'!$D$6:$D$405,"&gt;="&amp;L626),IF(H626="AWAY",SUMIFS('Istoric_Nativ'!$H$6:$H$405,'Istoric_Nativ'!$B$6:$B$405,E626,'Istoric_Nativ'!$C$6:$C$405,F626,'Istoric_Nativ'!$F$6:$F$405,G626,'Istoric_Nativ'!$D$6:$D$405,"&lt;"&amp;J626,'Istoric_Nativ'!$P$6:$P$405,1,'Istoric_Nativ'!$D$6:$D$405,"&gt;="&amp;L626),SUMIFS('Istoric_Nativ'!$G$6:$G$405,'Istoric_Nativ'!$B$6:$B$405,E626,'Istoric_Nativ'!$C$6:$C$405,F626,'Istoric_Nativ'!$E$6:$E$405,G626,'Istoric_Nativ'!$D$6:$D$405,"&lt;"&amp;J626,'Istoric_Nativ'!$P$6:$P$405,1,'Istoric_Nativ'!$D$6:$D$405,"&gt;="&amp;L626)+SUMIFS('Istoric_Nativ'!$H$6:$H$405,'Istoric_Nativ'!$B$6:$B$405,E626,'Istoric_Nativ'!$C$6:$C$405,F626,'Istoric_Nativ'!$F$6:$F$405,G626,'Istoric_Nativ'!$D$6:$D$405,"&lt;"&amp;J626,'Istoric_Nativ'!$P$6:$P$405,1,'Istoric_Nativ'!$D$6:$D$405,"&gt;="&amp;L626)))/M626)</x:f>
      </x:c>
      <x:c r="O626" s="11" t="str">
        <x:f>IF(M626=0,"",IF(H626="HOME",SUMIFS('Istoric_Nativ'!$H$6:$H$405,'Istoric_Nativ'!$B$6:$B$405,E626,'Istoric_Nativ'!$C$6:$C$405,F626,'Istoric_Nativ'!$E$6:$E$405,G626,'Istoric_Nativ'!$D$6:$D$405,"&lt;"&amp;J626,'Istoric_Nativ'!$P$6:$P$405,1,'Istoric_Nativ'!$D$6:$D$405,"&gt;="&amp;L626),IF(H626="AWAY",SUMIFS('Istoric_Nativ'!$G$6:$G$405,'Istoric_Nativ'!$B$6:$B$405,E626,'Istoric_Nativ'!$C$6:$C$405,F626,'Istoric_Nativ'!$F$6:$F$405,G626,'Istoric_Nativ'!$D$6:$D$405,"&lt;"&amp;J626,'Istoric_Nativ'!$P$6:$P$405,1,'Istoric_Nativ'!$D$6:$D$405,"&gt;="&amp;L626),SUMIFS('Istoric_Nativ'!$H$6:$H$405,'Istoric_Nativ'!$B$6:$B$405,E626,'Istoric_Nativ'!$C$6:$C$405,F626,'Istoric_Nativ'!$E$6:$E$405,G626,'Istoric_Nativ'!$D$6:$D$405,"&lt;"&amp;J626,'Istoric_Nativ'!$P$6:$P$405,1,'Istoric_Nativ'!$D$6:$D$405,"&gt;="&amp;L626)+SUMIFS('Istoric_Nativ'!$G$6:$G$405,'Istoric_Nativ'!$B$6:$B$405,E626,'Istoric_Nativ'!$C$6:$C$405,F626,'Istoric_Nativ'!$F$6:$F$405,G626,'Istoric_Nativ'!$D$6:$D$405,"&lt;"&amp;J626,'Istoric_Nativ'!$P$6:$P$405,1,'Istoric_Nativ'!$D$6:$D$405,"&gt;="&amp;L626)))/M626)</x:f>
      </x:c>
      <x:c r="P626" s="2" t="n">
        <x:f>'Config_v6'!$B$9</x:f>
        <x:v>3</x:v>
      </x:c>
      <x:c r="Q626" s="2" t="n">
        <x:f>IF(OR(B626="",F626=""),0,IFERROR(MATCH(E626&amp;"|"&amp;F626,SourceTable[Source_Key],0),0))</x:f>
        <x:v>0</x:v>
      </x:c>
      <x:c r="R626" s="2" t="str">
        <x:f>IF(B626="","",IF(F626="","UNUSED",IF(Q626=0,"NOT CHECKED",IF(COUNTIF(SourceTable[Source_Key],E626&amp;"|"&amp;F626)&lt;&gt;1,"SOURCE CONFLICT",IF(NOT(OR(INDEX(SourceTable[Status],MAX(1,Q626))="IMPORTED",INDEX(SourceTable[Status],MAX(1,Q626))="PARTIAL",INDEX(SourceTable[Status],MAX(1,Q626))="SOURCE CONFLICT")),"ACCESS BLOCKED",IF(OR(INDEX(SourceTable[Coverage],Q626)&lt;&gt;"FULL SEASON EXPORT",INDEX(SourceTable[URL],Q626)="",INDEX(SourceTable[SHA256],Q626)=""),"EVIDENCE INCOMPLETE",IF(AND('Input_Meci'!H57="LIVE",INDEX(SourceTable[Retrieved_UTC],Q626)&gt;'Input_Meci'!G57),"POST CUTOFF","CLOSED")))))))</x:f>
      </x:c>
      <x:c r="S626" s="2" t="n">
        <x:f>IF(OR(B626="",F626=""),0,COUNTIFS('Istoric_Nativ'!$B$6:$B$405,E626,'Istoric_Nativ'!$C$6:$C$405,F626,'Istoric_Nativ'!$E$6:$E$405,G626,'Istoric_Nativ'!$D$6:$D$405,"&lt;"&amp;J626,'Istoric_Nativ'!$O$6:$O$405,"INVALID")+COUNTIFS('Istoric_Nativ'!$B$6:$B$405,E626,'Istoric_Nativ'!$C$6:$C$405,F626,'Istoric_Nativ'!$E$6:$E$405,G626,'Istoric_Nativ'!$O$6:$O$405,"INVALID",'Istoric_Nativ'!$D$6:$D$405,"*")+COUNTIFS('Istoric_Nativ'!$B$6:$B$405,E626,'Istoric_Nativ'!$C$6:$C$405,F626,'Istoric_Nativ'!$E$6:$E$405,G626,'Istoric_Nativ'!$D$6:$D$405,"&lt;"&amp;J626,'Istoric_Nativ'!$O$6:$O$405,"SOURCE CONFLICT")+COUNTIFS('Istoric_Nativ'!$B$6:$B$405,E626,'Istoric_Nativ'!$C$6:$C$405,F626,'Istoric_Nativ'!$F$6:$F$405,G626,'Istoric_Nativ'!$D$6:$D$405,"&lt;"&amp;J626,'Istoric_Nativ'!$O$6:$O$405,"INVALID")+COUNTIFS('Istoric_Nativ'!$B$6:$B$405,E626,'Istoric_Nativ'!$C$6:$C$405,F626,'Istoric_Nativ'!$F$6:$F$405,G626,'Istoric_Nativ'!$O$6:$O$405,"INVALID",'Istoric_Nativ'!$D$6:$D$405,"*")+COUNTIFS('Istoric_Nativ'!$B$6:$B$405,E626,'Istoric_Nativ'!$C$6:$C$405,F626,'Istoric_Nativ'!$F$6:$F$405,G626,'Istoric_Nativ'!$D$6:$D$405,"&lt;"&amp;J626,'Istoric_Nativ'!$O$6:$O$405,"SOURCE CONFLICT"))</x:f>
        <x:v>0</x:v>
      </x:c>
      <x:c r="T626" s="2" t="str">
        <x:f>IF(B626="","",IF(R626&lt;&gt;"CLOSED",R626,IF(S626&gt;0,"NATIVE INPUT ISSUE",IF(M626=0,"NO HISTORY",IF(M626&lt;P626,"SMALL SAMPLE","DERIVED")))))</x:f>
      </x:c>
      <x:c r="U626" s="2" t="str">
        <x:f>IF(B626="","","NativeTable; "&amp;E626&amp;"; "&amp;F626&amp;"; "&amp;G626&amp;"; "&amp;H626&amp;"; before "&amp;TEXT(J626,"yyyy-mm-dd")&amp;IF(I626="RECENT","; from "&amp;TEXT(L626,"yyyy-mm-dd"),""))</x:f>
      </x:c>
    </x:row>
    <x:row r="627" ht="21" customHeight="1">
      <x:c r="A627" s="2" t="n">
        <x:v>52</x:v>
      </x:c>
      <x:c r="B627" s="2" t="str">
        <x:f>IF('Input_Meci'!A57="","",'Input_Meci'!A57)</x:f>
      </x:c>
      <x:c r="C627" s="2" t="str">
        <x:v>A</x:v>
      </x:c>
      <x:c r="D627" s="2" t="str">
        <x:v>PRIOR</x:v>
      </x:c>
      <x:c r="E627" s="2" t="str">
        <x:f>IF(B627="","",'Input_Meci'!B57)</x:f>
      </x:c>
      <x:c r="F627" s="2" t="str">
        <x:f>IF(B627="","",IF('Input_Meci'!K57="","",'Input_Meci'!K57))</x:f>
      </x:c>
      <x:c r="G627" s="2" t="str">
        <x:f>IF(B627="","",'Input_Meci'!E57)</x:f>
      </x:c>
      <x:c r="H627" s="2" t="str">
        <x:v>ANY</x:v>
      </x:c>
      <x:c r="I627" s="2" t="str">
        <x:v>SEASON</x:v>
      </x:c>
      <x:c r="J627" s="9" t="n">
        <x:f>IF(AND(B627&lt;&gt;"",ISNUMBER('Input_Meci'!G57)),INT('Input_Meci'!G57),0)</x:f>
        <x:v>0</x:v>
      </x:c>
      <x:c r="K627" s="2" t="n">
        <x:f>IF(OR(B627="",F627=""),0,IF(H627="HOME",COUNTIFS('Istoric_Nativ'!$B$6:$B$405,E627,'Istoric_Nativ'!$C$6:$C$405,F627,'Istoric_Nativ'!$E$6:$E$405,G627,'Istoric_Nativ'!$D$6:$D$405,"&lt;"&amp;J627,'Istoric_Nativ'!$P$6:$P$405,1),IF(H627="AWAY",COUNTIFS('Istoric_Nativ'!$B$6:$B$405,E627,'Istoric_Nativ'!$C$6:$C$405,F627,'Istoric_Nativ'!$F$6:$F$405,G627,'Istoric_Nativ'!$D$6:$D$405,"&lt;"&amp;J627,'Istoric_Nativ'!$P$6:$P$405,1),COUNTIFS('Istoric_Nativ'!$B$6:$B$405,E627,'Istoric_Nativ'!$C$6:$C$405,F627,'Istoric_Nativ'!$E$6:$E$405,G627,'Istoric_Nativ'!$D$6:$D$405,"&lt;"&amp;J627,'Istoric_Nativ'!$P$6:$P$405,1)+COUNTIFS('Istoric_Nativ'!$B$6:$B$405,E627,'Istoric_Nativ'!$C$6:$C$405,F627,'Istoric_Nativ'!$F$6:$F$405,G627,'Istoric_Nativ'!$D$6:$D$405,"&lt;"&amp;J627,'Istoric_Nativ'!$P$6:$P$405,1))))</x:f>
        <x:v>0</x:v>
      </x:c>
      <x:c r="L627" s="17" t="n">
        <x:f>IF(AND(B627&lt;&gt;"",I627="RECENT",K627&gt;0),LARGE(_xlfn._xlws.FILTER('Istoric_Nativ'!$D$6:$D$405,('Istoric_Nativ'!$B$6:$B$405=E627)*('Istoric_Nativ'!$C$6:$C$405=F627)*('Istoric_Nativ'!$P$6:$P$405=1)*('Istoric_Nativ'!$D$6:$D$405&lt;J627)*((('Istoric_Nativ'!$E$6:$E$405=G627)+('Istoric_Nativ'!$F$6:$F$405=G627))&gt;0)),MIN('Config_v6'!$B$54,K627)),0)</x:f>
        <x:v>0</x:v>
      </x:c>
      <x:c r="M627" s="2" t="n">
        <x:f>IF(OR(B627="",F627=""),0,IF(H627="HOME",COUNTIFS('Istoric_Nativ'!$B$6:$B$405,E627,'Istoric_Nativ'!$C$6:$C$405,F627,'Istoric_Nativ'!$E$6:$E$405,G627,'Istoric_Nativ'!$D$6:$D$405,"&lt;"&amp;J627,'Istoric_Nativ'!$P$6:$P$405,1,'Istoric_Nativ'!$D$6:$D$405,"&gt;="&amp;L627),IF(H627="AWAY",COUNTIFS('Istoric_Nativ'!$B$6:$B$405,E627,'Istoric_Nativ'!$C$6:$C$405,F627,'Istoric_Nativ'!$F$6:$F$405,G627,'Istoric_Nativ'!$D$6:$D$405,"&lt;"&amp;J627,'Istoric_Nativ'!$P$6:$P$405,1,'Istoric_Nativ'!$D$6:$D$405,"&gt;="&amp;L627),COUNTIFS('Istoric_Nativ'!$B$6:$B$405,E627,'Istoric_Nativ'!$C$6:$C$405,F627,'Istoric_Nativ'!$E$6:$E$405,G627,'Istoric_Nativ'!$D$6:$D$405,"&lt;"&amp;J627,'Istoric_Nativ'!$P$6:$P$405,1,'Istoric_Nativ'!$D$6:$D$405,"&gt;="&amp;L627)+COUNTIFS('Istoric_Nativ'!$B$6:$B$405,E627,'Istoric_Nativ'!$C$6:$C$405,F627,'Istoric_Nativ'!$F$6:$F$405,G627,'Istoric_Nativ'!$D$6:$D$405,"&lt;"&amp;J627,'Istoric_Nativ'!$P$6:$P$405,1,'Istoric_Nativ'!$D$6:$D$405,"&gt;="&amp;L627))))</x:f>
        <x:v>0</x:v>
      </x:c>
      <x:c r="N627" s="11" t="str">
        <x:f>IF(M627=0,"",IF(H627="HOME",SUMIFS('Istoric_Nativ'!$G$6:$G$405,'Istoric_Nativ'!$B$6:$B$405,E627,'Istoric_Nativ'!$C$6:$C$405,F627,'Istoric_Nativ'!$E$6:$E$405,G627,'Istoric_Nativ'!$D$6:$D$405,"&lt;"&amp;J627,'Istoric_Nativ'!$P$6:$P$405,1,'Istoric_Nativ'!$D$6:$D$405,"&gt;="&amp;L627),IF(H627="AWAY",SUMIFS('Istoric_Nativ'!$H$6:$H$405,'Istoric_Nativ'!$B$6:$B$405,E627,'Istoric_Nativ'!$C$6:$C$405,F627,'Istoric_Nativ'!$F$6:$F$405,G627,'Istoric_Nativ'!$D$6:$D$405,"&lt;"&amp;J627,'Istoric_Nativ'!$P$6:$P$405,1,'Istoric_Nativ'!$D$6:$D$405,"&gt;="&amp;L627),SUMIFS('Istoric_Nativ'!$G$6:$G$405,'Istoric_Nativ'!$B$6:$B$405,E627,'Istoric_Nativ'!$C$6:$C$405,F627,'Istoric_Nativ'!$E$6:$E$405,G627,'Istoric_Nativ'!$D$6:$D$405,"&lt;"&amp;J627,'Istoric_Nativ'!$P$6:$P$405,1,'Istoric_Nativ'!$D$6:$D$405,"&gt;="&amp;L627)+SUMIFS('Istoric_Nativ'!$H$6:$H$405,'Istoric_Nativ'!$B$6:$B$405,E627,'Istoric_Nativ'!$C$6:$C$405,F627,'Istoric_Nativ'!$F$6:$F$405,G627,'Istoric_Nativ'!$D$6:$D$405,"&lt;"&amp;J627,'Istoric_Nativ'!$P$6:$P$405,1,'Istoric_Nativ'!$D$6:$D$405,"&gt;="&amp;L627)))/M627)</x:f>
      </x:c>
      <x:c r="O627" s="11" t="str">
        <x:f>IF(M627=0,"",IF(H627="HOME",SUMIFS('Istoric_Nativ'!$H$6:$H$405,'Istoric_Nativ'!$B$6:$B$405,E627,'Istoric_Nativ'!$C$6:$C$405,F627,'Istoric_Nativ'!$E$6:$E$405,G627,'Istoric_Nativ'!$D$6:$D$405,"&lt;"&amp;J627,'Istoric_Nativ'!$P$6:$P$405,1,'Istoric_Nativ'!$D$6:$D$405,"&gt;="&amp;L627),IF(H627="AWAY",SUMIFS('Istoric_Nativ'!$G$6:$G$405,'Istoric_Nativ'!$B$6:$B$405,E627,'Istoric_Nativ'!$C$6:$C$405,F627,'Istoric_Nativ'!$F$6:$F$405,G627,'Istoric_Nativ'!$D$6:$D$405,"&lt;"&amp;J627,'Istoric_Nativ'!$P$6:$P$405,1,'Istoric_Nativ'!$D$6:$D$405,"&gt;="&amp;L627),SUMIFS('Istoric_Nativ'!$H$6:$H$405,'Istoric_Nativ'!$B$6:$B$405,E627,'Istoric_Nativ'!$C$6:$C$405,F627,'Istoric_Nativ'!$E$6:$E$405,G627,'Istoric_Nativ'!$D$6:$D$405,"&lt;"&amp;J627,'Istoric_Nativ'!$P$6:$P$405,1,'Istoric_Nativ'!$D$6:$D$405,"&gt;="&amp;L627)+SUMIFS('Istoric_Nativ'!$G$6:$G$405,'Istoric_Nativ'!$B$6:$B$405,E627,'Istoric_Nativ'!$C$6:$C$405,F627,'Istoric_Nativ'!$F$6:$F$405,G627,'Istoric_Nativ'!$D$6:$D$405,"&lt;"&amp;J627,'Istoric_Nativ'!$P$6:$P$405,1,'Istoric_Nativ'!$D$6:$D$405,"&gt;="&amp;L627)))/M627)</x:f>
      </x:c>
      <x:c r="P627" s="2" t="n">
        <x:f>'Config_v6'!$B$7</x:f>
        <x:v>10</x:v>
      </x:c>
      <x:c r="Q627" s="2" t="n">
        <x:f>IF(OR(B627="",F627=""),0,IFERROR(MATCH(E627&amp;"|"&amp;F627,SourceTable[Source_Key],0),0))</x:f>
        <x:v>0</x:v>
      </x:c>
      <x:c r="R627" s="2" t="str">
        <x:f>IF(B627="","",IF(F627="","UNUSED",IF(Q627=0,"NOT CHECKED",IF(COUNTIF(SourceTable[Source_Key],E627&amp;"|"&amp;F627)&lt;&gt;1,"SOURCE CONFLICT",IF(NOT(OR(INDEX(SourceTable[Status],MAX(1,Q627))="IMPORTED",INDEX(SourceTable[Status],MAX(1,Q627))="PARTIAL",INDEX(SourceTable[Status],MAX(1,Q627))="SOURCE CONFLICT")),"ACCESS BLOCKED",IF(OR(INDEX(SourceTable[Coverage],Q627)&lt;&gt;"FULL SEASON EXPORT",INDEX(SourceTable[URL],Q627)="",INDEX(SourceTable[SHA256],Q627)=""),"EVIDENCE INCOMPLETE",IF(AND('Input_Meci'!H57="LIVE",INDEX(SourceTable[Retrieved_UTC],Q627)&gt;'Input_Meci'!G57),"POST CUTOFF","CLOSED")))))))</x:f>
      </x:c>
      <x:c r="S627" s="2" t="n">
        <x:f>IF(OR(B627="",F627=""),0,COUNTIFS('Istoric_Nativ'!$B$6:$B$405,E627,'Istoric_Nativ'!$C$6:$C$405,F627,'Istoric_Nativ'!$E$6:$E$405,G627,'Istoric_Nativ'!$D$6:$D$405,"&lt;"&amp;J627,'Istoric_Nativ'!$O$6:$O$405,"INVALID")+COUNTIFS('Istoric_Nativ'!$B$6:$B$405,E627,'Istoric_Nativ'!$C$6:$C$405,F627,'Istoric_Nativ'!$E$6:$E$405,G627,'Istoric_Nativ'!$O$6:$O$405,"INVALID",'Istoric_Nativ'!$D$6:$D$405,"*")+COUNTIFS('Istoric_Nativ'!$B$6:$B$405,E627,'Istoric_Nativ'!$C$6:$C$405,F627,'Istoric_Nativ'!$E$6:$E$405,G627,'Istoric_Nativ'!$D$6:$D$405,"&lt;"&amp;J627,'Istoric_Nativ'!$O$6:$O$405,"SOURCE CONFLICT")+COUNTIFS('Istoric_Nativ'!$B$6:$B$405,E627,'Istoric_Nativ'!$C$6:$C$405,F627,'Istoric_Nativ'!$F$6:$F$405,G627,'Istoric_Nativ'!$D$6:$D$405,"&lt;"&amp;J627,'Istoric_Nativ'!$O$6:$O$405,"INVALID")+COUNTIFS('Istoric_Nativ'!$B$6:$B$405,E627,'Istoric_Nativ'!$C$6:$C$405,F627,'Istoric_Nativ'!$F$6:$F$405,G627,'Istoric_Nativ'!$O$6:$O$405,"INVALID",'Istoric_Nativ'!$D$6:$D$405,"*")+COUNTIFS('Istoric_Nativ'!$B$6:$B$405,E627,'Istoric_Nativ'!$C$6:$C$405,F627,'Istoric_Nativ'!$F$6:$F$405,G627,'Istoric_Nativ'!$D$6:$D$405,"&lt;"&amp;J627,'Istoric_Nativ'!$O$6:$O$405,"SOURCE CONFLICT"))</x:f>
        <x:v>0</x:v>
      </x:c>
      <x:c r="T627" s="2" t="str">
        <x:f>IF(B627="","",IF(R627&lt;&gt;"CLOSED",R627,IF(S627&gt;0,"NATIVE INPUT ISSUE",IF(M627=0,"NO HISTORY",IF(M627&lt;P627,"SMALL SAMPLE","DERIVED")))))</x:f>
      </x:c>
      <x:c r="U627" s="2" t="str">
        <x:f>IF(B627="","","NativeTable; "&amp;E627&amp;"; "&amp;F627&amp;"; "&amp;G627&amp;"; "&amp;H627&amp;"; before "&amp;TEXT(J627,"yyyy-mm-dd")&amp;IF(I627="RECENT","; from "&amp;TEXT(L627,"yyyy-mm-dd"),""))</x:f>
      </x:c>
    </x:row>
    <x:row r="628" ht="21" customHeight="1">
      <x:c r="A628" s="2" t="n">
        <x:v>52</x:v>
      </x:c>
      <x:c r="B628" s="2" t="str">
        <x:f>IF('Input_Meci'!A57="","",'Input_Meci'!A57)</x:f>
      </x:c>
      <x:c r="C628" s="2" t="str">
        <x:v>A</x:v>
      </x:c>
      <x:c r="D628" s="2" t="str">
        <x:v>PRIOR</x:v>
      </x:c>
      <x:c r="E628" s="2" t="str">
        <x:f>IF(B628="","",'Input_Meci'!B57)</x:f>
      </x:c>
      <x:c r="F628" s="2" t="str">
        <x:f>IF(B628="","",IF('Input_Meci'!K57="","",'Input_Meci'!K57))</x:f>
      </x:c>
      <x:c r="G628" s="2" t="str">
        <x:f>IF(B628="","",'Input_Meci'!E57)</x:f>
      </x:c>
      <x:c r="H628" s="2" t="str">
        <x:v>AWAY</x:v>
      </x:c>
      <x:c r="I628" s="2" t="str">
        <x:v>HA</x:v>
      </x:c>
      <x:c r="J628" s="9" t="n">
        <x:f>IF(AND(B628&lt;&gt;"",ISNUMBER('Input_Meci'!G57)),INT('Input_Meci'!G57),0)</x:f>
        <x:v>0</x:v>
      </x:c>
      <x:c r="K628" s="2" t="n">
        <x:f>IF(OR(B628="",F628=""),0,IF(H628="HOME",COUNTIFS('Istoric_Nativ'!$B$6:$B$405,E628,'Istoric_Nativ'!$C$6:$C$405,F628,'Istoric_Nativ'!$E$6:$E$405,G628,'Istoric_Nativ'!$D$6:$D$405,"&lt;"&amp;J628,'Istoric_Nativ'!$P$6:$P$405,1),IF(H628="AWAY",COUNTIFS('Istoric_Nativ'!$B$6:$B$405,E628,'Istoric_Nativ'!$C$6:$C$405,F628,'Istoric_Nativ'!$F$6:$F$405,G628,'Istoric_Nativ'!$D$6:$D$405,"&lt;"&amp;J628,'Istoric_Nativ'!$P$6:$P$405,1),COUNTIFS('Istoric_Nativ'!$B$6:$B$405,E628,'Istoric_Nativ'!$C$6:$C$405,F628,'Istoric_Nativ'!$E$6:$E$405,G628,'Istoric_Nativ'!$D$6:$D$405,"&lt;"&amp;J628,'Istoric_Nativ'!$P$6:$P$405,1)+COUNTIFS('Istoric_Nativ'!$B$6:$B$405,E628,'Istoric_Nativ'!$C$6:$C$405,F628,'Istoric_Nativ'!$F$6:$F$405,G628,'Istoric_Nativ'!$D$6:$D$405,"&lt;"&amp;J628,'Istoric_Nativ'!$P$6:$P$405,1))))</x:f>
        <x:v>0</x:v>
      </x:c>
      <x:c r="L628" s="17" t="n">
        <x:f>IF(AND(B628&lt;&gt;"",I628="RECENT",K628&gt;0),LARGE(_xlfn._xlws.FILTER('Istoric_Nativ'!$D$6:$D$405,('Istoric_Nativ'!$B$6:$B$405=E628)*('Istoric_Nativ'!$C$6:$C$405=F628)*('Istoric_Nativ'!$P$6:$P$405=1)*('Istoric_Nativ'!$D$6:$D$405&lt;J628)*((('Istoric_Nativ'!$E$6:$E$405=G628)+('Istoric_Nativ'!$F$6:$F$405=G628))&gt;0)),MIN('Config_v6'!$B$54,K628)),0)</x:f>
        <x:v>0</x:v>
      </x:c>
      <x:c r="M628" s="2" t="n">
        <x:f>IF(OR(B628="",F628=""),0,IF(H628="HOME",COUNTIFS('Istoric_Nativ'!$B$6:$B$405,E628,'Istoric_Nativ'!$C$6:$C$405,F628,'Istoric_Nativ'!$E$6:$E$405,G628,'Istoric_Nativ'!$D$6:$D$405,"&lt;"&amp;J628,'Istoric_Nativ'!$P$6:$P$405,1,'Istoric_Nativ'!$D$6:$D$405,"&gt;="&amp;L628),IF(H628="AWAY",COUNTIFS('Istoric_Nativ'!$B$6:$B$405,E628,'Istoric_Nativ'!$C$6:$C$405,F628,'Istoric_Nativ'!$F$6:$F$405,G628,'Istoric_Nativ'!$D$6:$D$405,"&lt;"&amp;J628,'Istoric_Nativ'!$P$6:$P$405,1,'Istoric_Nativ'!$D$6:$D$405,"&gt;="&amp;L628),COUNTIFS('Istoric_Nativ'!$B$6:$B$405,E628,'Istoric_Nativ'!$C$6:$C$405,F628,'Istoric_Nativ'!$E$6:$E$405,G628,'Istoric_Nativ'!$D$6:$D$405,"&lt;"&amp;J628,'Istoric_Nativ'!$P$6:$P$405,1,'Istoric_Nativ'!$D$6:$D$405,"&gt;="&amp;L628)+COUNTIFS('Istoric_Nativ'!$B$6:$B$405,E628,'Istoric_Nativ'!$C$6:$C$405,F628,'Istoric_Nativ'!$F$6:$F$405,G628,'Istoric_Nativ'!$D$6:$D$405,"&lt;"&amp;J628,'Istoric_Nativ'!$P$6:$P$405,1,'Istoric_Nativ'!$D$6:$D$405,"&gt;="&amp;L628))))</x:f>
        <x:v>0</x:v>
      </x:c>
      <x:c r="N628" s="11" t="str">
        <x:f>IF(M628=0,"",IF(H628="HOME",SUMIFS('Istoric_Nativ'!$G$6:$G$405,'Istoric_Nativ'!$B$6:$B$405,E628,'Istoric_Nativ'!$C$6:$C$405,F628,'Istoric_Nativ'!$E$6:$E$405,G628,'Istoric_Nativ'!$D$6:$D$405,"&lt;"&amp;J628,'Istoric_Nativ'!$P$6:$P$405,1,'Istoric_Nativ'!$D$6:$D$405,"&gt;="&amp;L628),IF(H628="AWAY",SUMIFS('Istoric_Nativ'!$H$6:$H$405,'Istoric_Nativ'!$B$6:$B$405,E628,'Istoric_Nativ'!$C$6:$C$405,F628,'Istoric_Nativ'!$F$6:$F$405,G628,'Istoric_Nativ'!$D$6:$D$405,"&lt;"&amp;J628,'Istoric_Nativ'!$P$6:$P$405,1,'Istoric_Nativ'!$D$6:$D$405,"&gt;="&amp;L628),SUMIFS('Istoric_Nativ'!$G$6:$G$405,'Istoric_Nativ'!$B$6:$B$405,E628,'Istoric_Nativ'!$C$6:$C$405,F628,'Istoric_Nativ'!$E$6:$E$405,G628,'Istoric_Nativ'!$D$6:$D$405,"&lt;"&amp;J628,'Istoric_Nativ'!$P$6:$P$405,1,'Istoric_Nativ'!$D$6:$D$405,"&gt;="&amp;L628)+SUMIFS('Istoric_Nativ'!$H$6:$H$405,'Istoric_Nativ'!$B$6:$B$405,E628,'Istoric_Nativ'!$C$6:$C$405,F628,'Istoric_Nativ'!$F$6:$F$405,G628,'Istoric_Nativ'!$D$6:$D$405,"&lt;"&amp;J628,'Istoric_Nativ'!$P$6:$P$405,1,'Istoric_Nativ'!$D$6:$D$405,"&gt;="&amp;L628)))/M628)</x:f>
      </x:c>
      <x:c r="O628" s="11" t="str">
        <x:f>IF(M628=0,"",IF(H628="HOME",SUMIFS('Istoric_Nativ'!$H$6:$H$405,'Istoric_Nativ'!$B$6:$B$405,E628,'Istoric_Nativ'!$C$6:$C$405,F628,'Istoric_Nativ'!$E$6:$E$405,G628,'Istoric_Nativ'!$D$6:$D$405,"&lt;"&amp;J628,'Istoric_Nativ'!$P$6:$P$405,1,'Istoric_Nativ'!$D$6:$D$405,"&gt;="&amp;L628),IF(H628="AWAY",SUMIFS('Istoric_Nativ'!$G$6:$G$405,'Istoric_Nativ'!$B$6:$B$405,E628,'Istoric_Nativ'!$C$6:$C$405,F628,'Istoric_Nativ'!$F$6:$F$405,G628,'Istoric_Nativ'!$D$6:$D$405,"&lt;"&amp;J628,'Istoric_Nativ'!$P$6:$P$405,1,'Istoric_Nativ'!$D$6:$D$405,"&gt;="&amp;L628),SUMIFS('Istoric_Nativ'!$H$6:$H$405,'Istoric_Nativ'!$B$6:$B$405,E628,'Istoric_Nativ'!$C$6:$C$405,F628,'Istoric_Nativ'!$E$6:$E$405,G628,'Istoric_Nativ'!$D$6:$D$405,"&lt;"&amp;J628,'Istoric_Nativ'!$P$6:$P$405,1,'Istoric_Nativ'!$D$6:$D$405,"&gt;="&amp;L628)+SUMIFS('Istoric_Nativ'!$G$6:$G$405,'Istoric_Nativ'!$B$6:$B$405,E628,'Istoric_Nativ'!$C$6:$C$405,F628,'Istoric_Nativ'!$F$6:$F$405,G628,'Istoric_Nativ'!$D$6:$D$405,"&lt;"&amp;J628,'Istoric_Nativ'!$P$6:$P$405,1,'Istoric_Nativ'!$D$6:$D$405,"&gt;="&amp;L628)))/M628)</x:f>
      </x:c>
      <x:c r="P628" s="2" t="n">
        <x:f>'Config_v6'!$B$8</x:f>
        <x:v>5</x:v>
      </x:c>
      <x:c r="Q628" s="2" t="n">
        <x:f>IF(OR(B628="",F628=""),0,IFERROR(MATCH(E628&amp;"|"&amp;F628,SourceTable[Source_Key],0),0))</x:f>
        <x:v>0</x:v>
      </x:c>
      <x:c r="R628" s="2" t="str">
        <x:f>IF(B628="","",IF(F628="","UNUSED",IF(Q628=0,"NOT CHECKED",IF(COUNTIF(SourceTable[Source_Key],E628&amp;"|"&amp;F628)&lt;&gt;1,"SOURCE CONFLICT",IF(NOT(OR(INDEX(SourceTable[Status],MAX(1,Q628))="IMPORTED",INDEX(SourceTable[Status],MAX(1,Q628))="PARTIAL",INDEX(SourceTable[Status],MAX(1,Q628))="SOURCE CONFLICT")),"ACCESS BLOCKED",IF(OR(INDEX(SourceTable[Coverage],Q628)&lt;&gt;"FULL SEASON EXPORT",INDEX(SourceTable[URL],Q628)="",INDEX(SourceTable[SHA256],Q628)=""),"EVIDENCE INCOMPLETE",IF(AND('Input_Meci'!H57="LIVE",INDEX(SourceTable[Retrieved_UTC],Q628)&gt;'Input_Meci'!G57),"POST CUTOFF","CLOSED")))))))</x:f>
      </x:c>
      <x:c r="S628" s="2" t="n">
        <x:f>IF(OR(B628="",F628=""),0,COUNTIFS('Istoric_Nativ'!$B$6:$B$405,E628,'Istoric_Nativ'!$C$6:$C$405,F628,'Istoric_Nativ'!$E$6:$E$405,G628,'Istoric_Nativ'!$D$6:$D$405,"&lt;"&amp;J628,'Istoric_Nativ'!$O$6:$O$405,"INVALID")+COUNTIFS('Istoric_Nativ'!$B$6:$B$405,E628,'Istoric_Nativ'!$C$6:$C$405,F628,'Istoric_Nativ'!$E$6:$E$405,G628,'Istoric_Nativ'!$O$6:$O$405,"INVALID",'Istoric_Nativ'!$D$6:$D$405,"*")+COUNTIFS('Istoric_Nativ'!$B$6:$B$405,E628,'Istoric_Nativ'!$C$6:$C$405,F628,'Istoric_Nativ'!$E$6:$E$405,G628,'Istoric_Nativ'!$D$6:$D$405,"&lt;"&amp;J628,'Istoric_Nativ'!$O$6:$O$405,"SOURCE CONFLICT")+COUNTIFS('Istoric_Nativ'!$B$6:$B$405,E628,'Istoric_Nativ'!$C$6:$C$405,F628,'Istoric_Nativ'!$F$6:$F$405,G628,'Istoric_Nativ'!$D$6:$D$405,"&lt;"&amp;J628,'Istoric_Nativ'!$O$6:$O$405,"INVALID")+COUNTIFS('Istoric_Nativ'!$B$6:$B$405,E628,'Istoric_Nativ'!$C$6:$C$405,F628,'Istoric_Nativ'!$F$6:$F$405,G628,'Istoric_Nativ'!$O$6:$O$405,"INVALID",'Istoric_Nativ'!$D$6:$D$405,"*")+COUNTIFS('Istoric_Nativ'!$B$6:$B$405,E628,'Istoric_Nativ'!$C$6:$C$405,F628,'Istoric_Nativ'!$F$6:$F$405,G628,'Istoric_Nativ'!$D$6:$D$405,"&lt;"&amp;J628,'Istoric_Nativ'!$O$6:$O$405,"SOURCE CONFLICT"))</x:f>
        <x:v>0</x:v>
      </x:c>
      <x:c r="T628" s="2" t="str">
        <x:f>IF(B628="","",IF(R628&lt;&gt;"CLOSED",R628,IF(S628&gt;0,"NATIVE INPUT ISSUE",IF(M628=0,"NO HISTORY",IF(M628&lt;P628,"SMALL SAMPLE","DERIVED")))))</x:f>
      </x:c>
      <x:c r="U628" s="2" t="str">
        <x:f>IF(B628="","","NativeTable; "&amp;E628&amp;"; "&amp;F628&amp;"; "&amp;G628&amp;"; "&amp;H628&amp;"; before "&amp;TEXT(J628,"yyyy-mm-dd")&amp;IF(I628="RECENT","; from "&amp;TEXT(L628,"yyyy-mm-dd"),""))</x:f>
      </x:c>
    </x:row>
    <x:row r="629" ht="21" customHeight="1">
      <x:c r="A629" s="2" t="n">
        <x:v>52</x:v>
      </x:c>
      <x:c r="B629" s="2" t="str">
        <x:f>IF('Input_Meci'!A57="","",'Input_Meci'!A57)</x:f>
      </x:c>
      <x:c r="C629" s="2" t="str">
        <x:v>A</x:v>
      </x:c>
      <x:c r="D629" s="2" t="str">
        <x:v>PRIOR</x:v>
      </x:c>
      <x:c r="E629" s="2" t="str">
        <x:f>IF(B629="","",'Input_Meci'!B57)</x:f>
      </x:c>
      <x:c r="F629" s="2" t="str">
        <x:f>IF(B629="","",IF('Input_Meci'!K57="","",'Input_Meci'!K57))</x:f>
      </x:c>
      <x:c r="G629" s="2" t="str">
        <x:f>IF(B629="","",'Input_Meci'!E57)</x:f>
      </x:c>
      <x:c r="H629" s="2" t="str">
        <x:v>ANY</x:v>
      </x:c>
      <x:c r="I629" s="2" t="str">
        <x:v>RECENT</x:v>
      </x:c>
      <x:c r="J629" s="9" t="n">
        <x:f>IF(AND(B629&lt;&gt;"",ISNUMBER('Input_Meci'!G57)),INT('Input_Meci'!G57),0)</x:f>
        <x:v>0</x:v>
      </x:c>
      <x:c r="K629" s="2" t="n">
        <x:f>IF(OR(B629="",F629=""),0,IF(H629="HOME",COUNTIFS('Istoric_Nativ'!$B$6:$B$405,E629,'Istoric_Nativ'!$C$6:$C$405,F629,'Istoric_Nativ'!$E$6:$E$405,G629,'Istoric_Nativ'!$D$6:$D$405,"&lt;"&amp;J629,'Istoric_Nativ'!$P$6:$P$405,1),IF(H629="AWAY",COUNTIFS('Istoric_Nativ'!$B$6:$B$405,E629,'Istoric_Nativ'!$C$6:$C$405,F629,'Istoric_Nativ'!$F$6:$F$405,G629,'Istoric_Nativ'!$D$6:$D$405,"&lt;"&amp;J629,'Istoric_Nativ'!$P$6:$P$405,1),COUNTIFS('Istoric_Nativ'!$B$6:$B$405,E629,'Istoric_Nativ'!$C$6:$C$405,F629,'Istoric_Nativ'!$E$6:$E$405,G629,'Istoric_Nativ'!$D$6:$D$405,"&lt;"&amp;J629,'Istoric_Nativ'!$P$6:$P$405,1)+COUNTIFS('Istoric_Nativ'!$B$6:$B$405,E629,'Istoric_Nativ'!$C$6:$C$405,F629,'Istoric_Nativ'!$F$6:$F$405,G629,'Istoric_Nativ'!$D$6:$D$405,"&lt;"&amp;J629,'Istoric_Nativ'!$P$6:$P$405,1))))</x:f>
        <x:v>0</x:v>
      </x:c>
      <x:c r="L629" s="17" t="n">
        <x:f>IF(AND(B629&lt;&gt;"",I629="RECENT",K629&gt;0),LARGE(_xlfn._xlws.FILTER('Istoric_Nativ'!$D$6:$D$405,('Istoric_Nativ'!$B$6:$B$405=E629)*('Istoric_Nativ'!$C$6:$C$405=F629)*('Istoric_Nativ'!$P$6:$P$405=1)*('Istoric_Nativ'!$D$6:$D$405&lt;J629)*((('Istoric_Nativ'!$E$6:$E$405=G629)+('Istoric_Nativ'!$F$6:$F$405=G629))&gt;0)),MIN('Config_v6'!$B$54,K629)),0)</x:f>
        <x:v>0</x:v>
      </x:c>
      <x:c r="M629" s="2" t="n">
        <x:f>IF(OR(B629="",F629=""),0,IF(H629="HOME",COUNTIFS('Istoric_Nativ'!$B$6:$B$405,E629,'Istoric_Nativ'!$C$6:$C$405,F629,'Istoric_Nativ'!$E$6:$E$405,G629,'Istoric_Nativ'!$D$6:$D$405,"&lt;"&amp;J629,'Istoric_Nativ'!$P$6:$P$405,1,'Istoric_Nativ'!$D$6:$D$405,"&gt;="&amp;L629),IF(H629="AWAY",COUNTIFS('Istoric_Nativ'!$B$6:$B$405,E629,'Istoric_Nativ'!$C$6:$C$405,F629,'Istoric_Nativ'!$F$6:$F$405,G629,'Istoric_Nativ'!$D$6:$D$405,"&lt;"&amp;J629,'Istoric_Nativ'!$P$6:$P$405,1,'Istoric_Nativ'!$D$6:$D$405,"&gt;="&amp;L629),COUNTIFS('Istoric_Nativ'!$B$6:$B$405,E629,'Istoric_Nativ'!$C$6:$C$405,F629,'Istoric_Nativ'!$E$6:$E$405,G629,'Istoric_Nativ'!$D$6:$D$405,"&lt;"&amp;J629,'Istoric_Nativ'!$P$6:$P$405,1,'Istoric_Nativ'!$D$6:$D$405,"&gt;="&amp;L629)+COUNTIFS('Istoric_Nativ'!$B$6:$B$405,E629,'Istoric_Nativ'!$C$6:$C$405,F629,'Istoric_Nativ'!$F$6:$F$405,G629,'Istoric_Nativ'!$D$6:$D$405,"&lt;"&amp;J629,'Istoric_Nativ'!$P$6:$P$405,1,'Istoric_Nativ'!$D$6:$D$405,"&gt;="&amp;L629))))</x:f>
        <x:v>0</x:v>
      </x:c>
      <x:c r="N629" s="11" t="str">
        <x:f>IF(M629=0,"",IF(H629="HOME",SUMIFS('Istoric_Nativ'!$G$6:$G$405,'Istoric_Nativ'!$B$6:$B$405,E629,'Istoric_Nativ'!$C$6:$C$405,F629,'Istoric_Nativ'!$E$6:$E$405,G629,'Istoric_Nativ'!$D$6:$D$405,"&lt;"&amp;J629,'Istoric_Nativ'!$P$6:$P$405,1,'Istoric_Nativ'!$D$6:$D$405,"&gt;="&amp;L629),IF(H629="AWAY",SUMIFS('Istoric_Nativ'!$H$6:$H$405,'Istoric_Nativ'!$B$6:$B$405,E629,'Istoric_Nativ'!$C$6:$C$405,F629,'Istoric_Nativ'!$F$6:$F$405,G629,'Istoric_Nativ'!$D$6:$D$405,"&lt;"&amp;J629,'Istoric_Nativ'!$P$6:$P$405,1,'Istoric_Nativ'!$D$6:$D$405,"&gt;="&amp;L629),SUMIFS('Istoric_Nativ'!$G$6:$G$405,'Istoric_Nativ'!$B$6:$B$405,E629,'Istoric_Nativ'!$C$6:$C$405,F629,'Istoric_Nativ'!$E$6:$E$405,G629,'Istoric_Nativ'!$D$6:$D$405,"&lt;"&amp;J629,'Istoric_Nativ'!$P$6:$P$405,1,'Istoric_Nativ'!$D$6:$D$405,"&gt;="&amp;L629)+SUMIFS('Istoric_Nativ'!$H$6:$H$405,'Istoric_Nativ'!$B$6:$B$405,E629,'Istoric_Nativ'!$C$6:$C$405,F629,'Istoric_Nativ'!$F$6:$F$405,G629,'Istoric_Nativ'!$D$6:$D$405,"&lt;"&amp;J629,'Istoric_Nativ'!$P$6:$P$405,1,'Istoric_Nativ'!$D$6:$D$405,"&gt;="&amp;L629)))/M629)</x:f>
      </x:c>
      <x:c r="O629" s="11" t="str">
        <x:f>IF(M629=0,"",IF(H629="HOME",SUMIFS('Istoric_Nativ'!$H$6:$H$405,'Istoric_Nativ'!$B$6:$B$405,E629,'Istoric_Nativ'!$C$6:$C$405,F629,'Istoric_Nativ'!$E$6:$E$405,G629,'Istoric_Nativ'!$D$6:$D$405,"&lt;"&amp;J629,'Istoric_Nativ'!$P$6:$P$405,1,'Istoric_Nativ'!$D$6:$D$405,"&gt;="&amp;L629),IF(H629="AWAY",SUMIFS('Istoric_Nativ'!$G$6:$G$405,'Istoric_Nativ'!$B$6:$B$405,E629,'Istoric_Nativ'!$C$6:$C$405,F629,'Istoric_Nativ'!$F$6:$F$405,G629,'Istoric_Nativ'!$D$6:$D$405,"&lt;"&amp;J629,'Istoric_Nativ'!$P$6:$P$405,1,'Istoric_Nativ'!$D$6:$D$405,"&gt;="&amp;L629),SUMIFS('Istoric_Nativ'!$H$6:$H$405,'Istoric_Nativ'!$B$6:$B$405,E629,'Istoric_Nativ'!$C$6:$C$405,F629,'Istoric_Nativ'!$E$6:$E$405,G629,'Istoric_Nativ'!$D$6:$D$405,"&lt;"&amp;J629,'Istoric_Nativ'!$P$6:$P$405,1,'Istoric_Nativ'!$D$6:$D$405,"&gt;="&amp;L629)+SUMIFS('Istoric_Nativ'!$G$6:$G$405,'Istoric_Nativ'!$B$6:$B$405,E629,'Istoric_Nativ'!$C$6:$C$405,F629,'Istoric_Nativ'!$F$6:$F$405,G629,'Istoric_Nativ'!$D$6:$D$405,"&lt;"&amp;J629,'Istoric_Nativ'!$P$6:$P$405,1,'Istoric_Nativ'!$D$6:$D$405,"&gt;="&amp;L629)))/M629)</x:f>
      </x:c>
      <x:c r="P629" s="2" t="n">
        <x:f>'Config_v6'!$B$9</x:f>
        <x:v>3</x:v>
      </x:c>
      <x:c r="Q629" s="2" t="n">
        <x:f>IF(OR(B629="",F629=""),0,IFERROR(MATCH(E629&amp;"|"&amp;F629,SourceTable[Source_Key],0),0))</x:f>
        <x:v>0</x:v>
      </x:c>
      <x:c r="R629" s="2" t="str">
        <x:f>IF(B629="","",IF(F629="","UNUSED",IF(Q629=0,"NOT CHECKED",IF(COUNTIF(SourceTable[Source_Key],E629&amp;"|"&amp;F629)&lt;&gt;1,"SOURCE CONFLICT",IF(NOT(OR(INDEX(SourceTable[Status],MAX(1,Q629))="IMPORTED",INDEX(SourceTable[Status],MAX(1,Q629))="PARTIAL",INDEX(SourceTable[Status],MAX(1,Q629))="SOURCE CONFLICT")),"ACCESS BLOCKED",IF(OR(INDEX(SourceTable[Coverage],Q629)&lt;&gt;"FULL SEASON EXPORT",INDEX(SourceTable[URL],Q629)="",INDEX(SourceTable[SHA256],Q629)=""),"EVIDENCE INCOMPLETE",IF(AND('Input_Meci'!H57="LIVE",INDEX(SourceTable[Retrieved_UTC],Q629)&gt;'Input_Meci'!G57),"POST CUTOFF","CLOSED")))))))</x:f>
      </x:c>
      <x:c r="S629" s="2" t="n">
        <x:f>IF(OR(B629="",F629=""),0,COUNTIFS('Istoric_Nativ'!$B$6:$B$405,E629,'Istoric_Nativ'!$C$6:$C$405,F629,'Istoric_Nativ'!$E$6:$E$405,G629,'Istoric_Nativ'!$D$6:$D$405,"&lt;"&amp;J629,'Istoric_Nativ'!$O$6:$O$405,"INVALID")+COUNTIFS('Istoric_Nativ'!$B$6:$B$405,E629,'Istoric_Nativ'!$C$6:$C$405,F629,'Istoric_Nativ'!$E$6:$E$405,G629,'Istoric_Nativ'!$O$6:$O$405,"INVALID",'Istoric_Nativ'!$D$6:$D$405,"*")+COUNTIFS('Istoric_Nativ'!$B$6:$B$405,E629,'Istoric_Nativ'!$C$6:$C$405,F629,'Istoric_Nativ'!$E$6:$E$405,G629,'Istoric_Nativ'!$D$6:$D$405,"&lt;"&amp;J629,'Istoric_Nativ'!$O$6:$O$405,"SOURCE CONFLICT")+COUNTIFS('Istoric_Nativ'!$B$6:$B$405,E629,'Istoric_Nativ'!$C$6:$C$405,F629,'Istoric_Nativ'!$F$6:$F$405,G629,'Istoric_Nativ'!$D$6:$D$405,"&lt;"&amp;J629,'Istoric_Nativ'!$O$6:$O$405,"INVALID")+COUNTIFS('Istoric_Nativ'!$B$6:$B$405,E629,'Istoric_Nativ'!$C$6:$C$405,F629,'Istoric_Nativ'!$F$6:$F$405,G629,'Istoric_Nativ'!$O$6:$O$405,"INVALID",'Istoric_Nativ'!$D$6:$D$405,"*")+COUNTIFS('Istoric_Nativ'!$B$6:$B$405,E629,'Istoric_Nativ'!$C$6:$C$405,F629,'Istoric_Nativ'!$F$6:$F$405,G629,'Istoric_Nativ'!$D$6:$D$405,"&lt;"&amp;J629,'Istoric_Nativ'!$O$6:$O$405,"SOURCE CONFLICT"))</x:f>
        <x:v>0</x:v>
      </x:c>
      <x:c r="T629" s="2" t="str">
        <x:f>IF(B629="","",IF(R629&lt;&gt;"CLOSED",R629,IF(S629&gt;0,"NATIVE INPUT ISSUE",IF(M629=0,"NO HISTORY",IF(M629&lt;P629,"SMALL SAMPLE","DERIVED")))))</x:f>
      </x:c>
      <x:c r="U629" s="2" t="str">
        <x:f>IF(B629="","","NativeTable; "&amp;E629&amp;"; "&amp;F629&amp;"; "&amp;G629&amp;"; "&amp;H629&amp;"; before "&amp;TEXT(J629,"yyyy-mm-dd")&amp;IF(I629="RECENT","; from "&amp;TEXT(L629,"yyyy-mm-dd"),""))</x:f>
      </x:c>
    </x:row>
    <x:row r="630" ht="21" customHeight="1">
      <x:c r="A630" s="2" t="n">
        <x:v>53</x:v>
      </x:c>
      <x:c r="B630" s="2" t="str">
        <x:f>IF('Input_Meci'!A58="","",'Input_Meci'!A58)</x:f>
      </x:c>
      <x:c r="C630" s="2" t="str">
        <x:v>H</x:v>
      </x:c>
      <x:c r="D630" s="2" t="str">
        <x:v>CURRENT</x:v>
      </x:c>
      <x:c r="E630" s="2" t="str">
        <x:f>IF(B630="","",'Input_Meci'!B58)</x:f>
      </x:c>
      <x:c r="F630" s="2" t="str">
        <x:f>IF(B630="","",IF('Input_Meci'!C58="","",'Input_Meci'!C58))</x:f>
      </x:c>
      <x:c r="G630" s="2" t="str">
        <x:f>IF(B630="","",'Input_Meci'!D58)</x:f>
      </x:c>
      <x:c r="H630" s="2" t="str">
        <x:v>ANY</x:v>
      </x:c>
      <x:c r="I630" s="2" t="str">
        <x:v>SEASON</x:v>
      </x:c>
      <x:c r="J630" s="9" t="n">
        <x:f>IF(AND(B630&lt;&gt;"",ISNUMBER('Input_Meci'!G58)),INT('Input_Meci'!G58),0)</x:f>
        <x:v>0</x:v>
      </x:c>
      <x:c r="K630" s="2" t="n">
        <x:f>IF(OR(B630="",F630=""),0,IF(H630="HOME",COUNTIFS('Istoric_Nativ'!$B$6:$B$405,E630,'Istoric_Nativ'!$C$6:$C$405,F630,'Istoric_Nativ'!$E$6:$E$405,G630,'Istoric_Nativ'!$D$6:$D$405,"&lt;"&amp;J630,'Istoric_Nativ'!$P$6:$P$405,1),IF(H630="AWAY",COUNTIFS('Istoric_Nativ'!$B$6:$B$405,E630,'Istoric_Nativ'!$C$6:$C$405,F630,'Istoric_Nativ'!$F$6:$F$405,G630,'Istoric_Nativ'!$D$6:$D$405,"&lt;"&amp;J630,'Istoric_Nativ'!$P$6:$P$405,1),COUNTIFS('Istoric_Nativ'!$B$6:$B$405,E630,'Istoric_Nativ'!$C$6:$C$405,F630,'Istoric_Nativ'!$E$6:$E$405,G630,'Istoric_Nativ'!$D$6:$D$405,"&lt;"&amp;J630,'Istoric_Nativ'!$P$6:$P$405,1)+COUNTIFS('Istoric_Nativ'!$B$6:$B$405,E630,'Istoric_Nativ'!$C$6:$C$405,F630,'Istoric_Nativ'!$F$6:$F$405,G630,'Istoric_Nativ'!$D$6:$D$405,"&lt;"&amp;J630,'Istoric_Nativ'!$P$6:$P$405,1))))</x:f>
        <x:v>0</x:v>
      </x:c>
      <x:c r="L630" s="17" t="n">
        <x:f>IF(AND(B630&lt;&gt;"",I630="RECENT",K630&gt;0),LARGE(_xlfn._xlws.FILTER('Istoric_Nativ'!$D$6:$D$405,('Istoric_Nativ'!$B$6:$B$405=E630)*('Istoric_Nativ'!$C$6:$C$405=F630)*('Istoric_Nativ'!$P$6:$P$405=1)*('Istoric_Nativ'!$D$6:$D$405&lt;J630)*((('Istoric_Nativ'!$E$6:$E$405=G630)+('Istoric_Nativ'!$F$6:$F$405=G630))&gt;0)),MIN('Config_v6'!$B$54,K630)),0)</x:f>
        <x:v>0</x:v>
      </x:c>
      <x:c r="M630" s="2" t="n">
        <x:f>IF(OR(B630="",F630=""),0,IF(H630="HOME",COUNTIFS('Istoric_Nativ'!$B$6:$B$405,E630,'Istoric_Nativ'!$C$6:$C$405,F630,'Istoric_Nativ'!$E$6:$E$405,G630,'Istoric_Nativ'!$D$6:$D$405,"&lt;"&amp;J630,'Istoric_Nativ'!$P$6:$P$405,1,'Istoric_Nativ'!$D$6:$D$405,"&gt;="&amp;L630),IF(H630="AWAY",COUNTIFS('Istoric_Nativ'!$B$6:$B$405,E630,'Istoric_Nativ'!$C$6:$C$405,F630,'Istoric_Nativ'!$F$6:$F$405,G630,'Istoric_Nativ'!$D$6:$D$405,"&lt;"&amp;J630,'Istoric_Nativ'!$P$6:$P$405,1,'Istoric_Nativ'!$D$6:$D$405,"&gt;="&amp;L630),COUNTIFS('Istoric_Nativ'!$B$6:$B$405,E630,'Istoric_Nativ'!$C$6:$C$405,F630,'Istoric_Nativ'!$E$6:$E$405,G630,'Istoric_Nativ'!$D$6:$D$405,"&lt;"&amp;J630,'Istoric_Nativ'!$P$6:$P$405,1,'Istoric_Nativ'!$D$6:$D$405,"&gt;="&amp;L630)+COUNTIFS('Istoric_Nativ'!$B$6:$B$405,E630,'Istoric_Nativ'!$C$6:$C$405,F630,'Istoric_Nativ'!$F$6:$F$405,G630,'Istoric_Nativ'!$D$6:$D$405,"&lt;"&amp;J630,'Istoric_Nativ'!$P$6:$P$405,1,'Istoric_Nativ'!$D$6:$D$405,"&gt;="&amp;L630))))</x:f>
        <x:v>0</x:v>
      </x:c>
      <x:c r="N630" s="11" t="str">
        <x:f>IF(M630=0,"",IF(H630="HOME",SUMIFS('Istoric_Nativ'!$G$6:$G$405,'Istoric_Nativ'!$B$6:$B$405,E630,'Istoric_Nativ'!$C$6:$C$405,F630,'Istoric_Nativ'!$E$6:$E$405,G630,'Istoric_Nativ'!$D$6:$D$405,"&lt;"&amp;J630,'Istoric_Nativ'!$P$6:$P$405,1,'Istoric_Nativ'!$D$6:$D$405,"&gt;="&amp;L630),IF(H630="AWAY",SUMIFS('Istoric_Nativ'!$H$6:$H$405,'Istoric_Nativ'!$B$6:$B$405,E630,'Istoric_Nativ'!$C$6:$C$405,F630,'Istoric_Nativ'!$F$6:$F$405,G630,'Istoric_Nativ'!$D$6:$D$405,"&lt;"&amp;J630,'Istoric_Nativ'!$P$6:$P$405,1,'Istoric_Nativ'!$D$6:$D$405,"&gt;="&amp;L630),SUMIFS('Istoric_Nativ'!$G$6:$G$405,'Istoric_Nativ'!$B$6:$B$405,E630,'Istoric_Nativ'!$C$6:$C$405,F630,'Istoric_Nativ'!$E$6:$E$405,G630,'Istoric_Nativ'!$D$6:$D$405,"&lt;"&amp;J630,'Istoric_Nativ'!$P$6:$P$405,1,'Istoric_Nativ'!$D$6:$D$405,"&gt;="&amp;L630)+SUMIFS('Istoric_Nativ'!$H$6:$H$405,'Istoric_Nativ'!$B$6:$B$405,E630,'Istoric_Nativ'!$C$6:$C$405,F630,'Istoric_Nativ'!$F$6:$F$405,G630,'Istoric_Nativ'!$D$6:$D$405,"&lt;"&amp;J630,'Istoric_Nativ'!$P$6:$P$405,1,'Istoric_Nativ'!$D$6:$D$405,"&gt;="&amp;L630)))/M630)</x:f>
      </x:c>
      <x:c r="O630" s="11" t="str">
        <x:f>IF(M630=0,"",IF(H630="HOME",SUMIFS('Istoric_Nativ'!$H$6:$H$405,'Istoric_Nativ'!$B$6:$B$405,E630,'Istoric_Nativ'!$C$6:$C$405,F630,'Istoric_Nativ'!$E$6:$E$405,G630,'Istoric_Nativ'!$D$6:$D$405,"&lt;"&amp;J630,'Istoric_Nativ'!$P$6:$P$405,1,'Istoric_Nativ'!$D$6:$D$405,"&gt;="&amp;L630),IF(H630="AWAY",SUMIFS('Istoric_Nativ'!$G$6:$G$405,'Istoric_Nativ'!$B$6:$B$405,E630,'Istoric_Nativ'!$C$6:$C$405,F630,'Istoric_Nativ'!$F$6:$F$405,G630,'Istoric_Nativ'!$D$6:$D$405,"&lt;"&amp;J630,'Istoric_Nativ'!$P$6:$P$405,1,'Istoric_Nativ'!$D$6:$D$405,"&gt;="&amp;L630),SUMIFS('Istoric_Nativ'!$H$6:$H$405,'Istoric_Nativ'!$B$6:$B$405,E630,'Istoric_Nativ'!$C$6:$C$405,F630,'Istoric_Nativ'!$E$6:$E$405,G630,'Istoric_Nativ'!$D$6:$D$405,"&lt;"&amp;J630,'Istoric_Nativ'!$P$6:$P$405,1,'Istoric_Nativ'!$D$6:$D$405,"&gt;="&amp;L630)+SUMIFS('Istoric_Nativ'!$G$6:$G$405,'Istoric_Nativ'!$B$6:$B$405,E630,'Istoric_Nativ'!$C$6:$C$405,F630,'Istoric_Nativ'!$F$6:$F$405,G630,'Istoric_Nativ'!$D$6:$D$405,"&lt;"&amp;J630,'Istoric_Nativ'!$P$6:$P$405,1,'Istoric_Nativ'!$D$6:$D$405,"&gt;="&amp;L630)))/M630)</x:f>
      </x:c>
      <x:c r="P630" s="2" t="n">
        <x:f>'Config_v6'!$B$7</x:f>
        <x:v>10</x:v>
      </x:c>
      <x:c r="Q630" s="2" t="n">
        <x:f>IF(OR(B630="",F630=""),0,IFERROR(MATCH(E630&amp;"|"&amp;F630,SourceTable[Source_Key],0),0))</x:f>
        <x:v>0</x:v>
      </x:c>
      <x:c r="R630" s="2" t="str">
        <x:f>IF(B630="","",IF(F630="","UNUSED",IF(Q630=0,"NOT CHECKED",IF(COUNTIF(SourceTable[Source_Key],E630&amp;"|"&amp;F630)&lt;&gt;1,"SOURCE CONFLICT",IF(NOT(OR(INDEX(SourceTable[Status],MAX(1,Q630))="IMPORTED",INDEX(SourceTable[Status],MAX(1,Q630))="PARTIAL",INDEX(SourceTable[Status],MAX(1,Q630))="SOURCE CONFLICT")),"ACCESS BLOCKED",IF(OR(INDEX(SourceTable[Coverage],Q630)&lt;&gt;"FULL SEASON EXPORT",INDEX(SourceTable[URL],Q630)="",INDEX(SourceTable[SHA256],Q630)=""),"EVIDENCE INCOMPLETE",IF(AND('Input_Meci'!H58="LIVE",INDEX(SourceTable[Retrieved_UTC],Q630)&gt;'Input_Meci'!G58),"POST CUTOFF","CLOSED")))))))</x:f>
      </x:c>
      <x:c r="S630" s="2" t="n">
        <x:f>IF(OR(B630="",F630=""),0,COUNTIFS('Istoric_Nativ'!$B$6:$B$405,E630,'Istoric_Nativ'!$C$6:$C$405,F630,'Istoric_Nativ'!$E$6:$E$405,G630,'Istoric_Nativ'!$D$6:$D$405,"&lt;"&amp;J630,'Istoric_Nativ'!$O$6:$O$405,"INVALID")+COUNTIFS('Istoric_Nativ'!$B$6:$B$405,E630,'Istoric_Nativ'!$C$6:$C$405,F630,'Istoric_Nativ'!$E$6:$E$405,G630,'Istoric_Nativ'!$O$6:$O$405,"INVALID",'Istoric_Nativ'!$D$6:$D$405,"*")+COUNTIFS('Istoric_Nativ'!$B$6:$B$405,E630,'Istoric_Nativ'!$C$6:$C$405,F630,'Istoric_Nativ'!$E$6:$E$405,G630,'Istoric_Nativ'!$D$6:$D$405,"&lt;"&amp;J630,'Istoric_Nativ'!$O$6:$O$405,"SOURCE CONFLICT")+COUNTIFS('Istoric_Nativ'!$B$6:$B$405,E630,'Istoric_Nativ'!$C$6:$C$405,F630,'Istoric_Nativ'!$F$6:$F$405,G630,'Istoric_Nativ'!$D$6:$D$405,"&lt;"&amp;J630,'Istoric_Nativ'!$O$6:$O$405,"INVALID")+COUNTIFS('Istoric_Nativ'!$B$6:$B$405,E630,'Istoric_Nativ'!$C$6:$C$405,F630,'Istoric_Nativ'!$F$6:$F$405,G630,'Istoric_Nativ'!$O$6:$O$405,"INVALID",'Istoric_Nativ'!$D$6:$D$405,"*")+COUNTIFS('Istoric_Nativ'!$B$6:$B$405,E630,'Istoric_Nativ'!$C$6:$C$405,F630,'Istoric_Nativ'!$F$6:$F$405,G630,'Istoric_Nativ'!$D$6:$D$405,"&lt;"&amp;J630,'Istoric_Nativ'!$O$6:$O$405,"SOURCE CONFLICT"))</x:f>
        <x:v>0</x:v>
      </x:c>
      <x:c r="T630" s="2" t="str">
        <x:f>IF(B630="","",IF(R630&lt;&gt;"CLOSED",R630,IF(S630&gt;0,"NATIVE INPUT ISSUE",IF(M630=0,"NO HISTORY",IF(M630&lt;P630,"SMALL SAMPLE","DERIVED")))))</x:f>
      </x:c>
      <x:c r="U630" s="2" t="str">
        <x:f>IF(B630="","","NativeTable; "&amp;E630&amp;"; "&amp;F630&amp;"; "&amp;G630&amp;"; "&amp;H630&amp;"; before "&amp;TEXT(J630,"yyyy-mm-dd")&amp;IF(I630="RECENT","; from "&amp;TEXT(L630,"yyyy-mm-dd"),""))</x:f>
      </x:c>
    </x:row>
    <x:row r="631" ht="21" customHeight="1">
      <x:c r="A631" s="2" t="n">
        <x:v>53</x:v>
      </x:c>
      <x:c r="B631" s="2" t="str">
        <x:f>IF('Input_Meci'!A58="","",'Input_Meci'!A58)</x:f>
      </x:c>
      <x:c r="C631" s="2" t="str">
        <x:v>H</x:v>
      </x:c>
      <x:c r="D631" s="2" t="str">
        <x:v>CURRENT</x:v>
      </x:c>
      <x:c r="E631" s="2" t="str">
        <x:f>IF(B631="","",'Input_Meci'!B58)</x:f>
      </x:c>
      <x:c r="F631" s="2" t="str">
        <x:f>IF(B631="","",IF('Input_Meci'!C58="","",'Input_Meci'!C58))</x:f>
      </x:c>
      <x:c r="G631" s="2" t="str">
        <x:f>IF(B631="","",'Input_Meci'!D58)</x:f>
      </x:c>
      <x:c r="H631" s="2" t="str">
        <x:v>HOME</x:v>
      </x:c>
      <x:c r="I631" s="2" t="str">
        <x:v>HA</x:v>
      </x:c>
      <x:c r="J631" s="9" t="n">
        <x:f>IF(AND(B631&lt;&gt;"",ISNUMBER('Input_Meci'!G58)),INT('Input_Meci'!G58),0)</x:f>
        <x:v>0</x:v>
      </x:c>
      <x:c r="K631" s="2" t="n">
        <x:f>IF(OR(B631="",F631=""),0,IF(H631="HOME",COUNTIFS('Istoric_Nativ'!$B$6:$B$405,E631,'Istoric_Nativ'!$C$6:$C$405,F631,'Istoric_Nativ'!$E$6:$E$405,G631,'Istoric_Nativ'!$D$6:$D$405,"&lt;"&amp;J631,'Istoric_Nativ'!$P$6:$P$405,1),IF(H631="AWAY",COUNTIFS('Istoric_Nativ'!$B$6:$B$405,E631,'Istoric_Nativ'!$C$6:$C$405,F631,'Istoric_Nativ'!$F$6:$F$405,G631,'Istoric_Nativ'!$D$6:$D$405,"&lt;"&amp;J631,'Istoric_Nativ'!$P$6:$P$405,1),COUNTIFS('Istoric_Nativ'!$B$6:$B$405,E631,'Istoric_Nativ'!$C$6:$C$405,F631,'Istoric_Nativ'!$E$6:$E$405,G631,'Istoric_Nativ'!$D$6:$D$405,"&lt;"&amp;J631,'Istoric_Nativ'!$P$6:$P$405,1)+COUNTIFS('Istoric_Nativ'!$B$6:$B$405,E631,'Istoric_Nativ'!$C$6:$C$405,F631,'Istoric_Nativ'!$F$6:$F$405,G631,'Istoric_Nativ'!$D$6:$D$405,"&lt;"&amp;J631,'Istoric_Nativ'!$P$6:$P$405,1))))</x:f>
        <x:v>0</x:v>
      </x:c>
      <x:c r="L631" s="17" t="n">
        <x:f>IF(AND(B631&lt;&gt;"",I631="RECENT",K631&gt;0),LARGE(_xlfn._xlws.FILTER('Istoric_Nativ'!$D$6:$D$405,('Istoric_Nativ'!$B$6:$B$405=E631)*('Istoric_Nativ'!$C$6:$C$405=F631)*('Istoric_Nativ'!$P$6:$P$405=1)*('Istoric_Nativ'!$D$6:$D$405&lt;J631)*((('Istoric_Nativ'!$E$6:$E$405=G631)+('Istoric_Nativ'!$F$6:$F$405=G631))&gt;0)),MIN('Config_v6'!$B$54,K631)),0)</x:f>
        <x:v>0</x:v>
      </x:c>
      <x:c r="M631" s="2" t="n">
        <x:f>IF(OR(B631="",F631=""),0,IF(H631="HOME",COUNTIFS('Istoric_Nativ'!$B$6:$B$405,E631,'Istoric_Nativ'!$C$6:$C$405,F631,'Istoric_Nativ'!$E$6:$E$405,G631,'Istoric_Nativ'!$D$6:$D$405,"&lt;"&amp;J631,'Istoric_Nativ'!$P$6:$P$405,1,'Istoric_Nativ'!$D$6:$D$405,"&gt;="&amp;L631),IF(H631="AWAY",COUNTIFS('Istoric_Nativ'!$B$6:$B$405,E631,'Istoric_Nativ'!$C$6:$C$405,F631,'Istoric_Nativ'!$F$6:$F$405,G631,'Istoric_Nativ'!$D$6:$D$405,"&lt;"&amp;J631,'Istoric_Nativ'!$P$6:$P$405,1,'Istoric_Nativ'!$D$6:$D$405,"&gt;="&amp;L631),COUNTIFS('Istoric_Nativ'!$B$6:$B$405,E631,'Istoric_Nativ'!$C$6:$C$405,F631,'Istoric_Nativ'!$E$6:$E$405,G631,'Istoric_Nativ'!$D$6:$D$405,"&lt;"&amp;J631,'Istoric_Nativ'!$P$6:$P$405,1,'Istoric_Nativ'!$D$6:$D$405,"&gt;="&amp;L631)+COUNTIFS('Istoric_Nativ'!$B$6:$B$405,E631,'Istoric_Nativ'!$C$6:$C$405,F631,'Istoric_Nativ'!$F$6:$F$405,G631,'Istoric_Nativ'!$D$6:$D$405,"&lt;"&amp;J631,'Istoric_Nativ'!$P$6:$P$405,1,'Istoric_Nativ'!$D$6:$D$405,"&gt;="&amp;L631))))</x:f>
        <x:v>0</x:v>
      </x:c>
      <x:c r="N631" s="11" t="str">
        <x:f>IF(M631=0,"",IF(H631="HOME",SUMIFS('Istoric_Nativ'!$G$6:$G$405,'Istoric_Nativ'!$B$6:$B$405,E631,'Istoric_Nativ'!$C$6:$C$405,F631,'Istoric_Nativ'!$E$6:$E$405,G631,'Istoric_Nativ'!$D$6:$D$405,"&lt;"&amp;J631,'Istoric_Nativ'!$P$6:$P$405,1,'Istoric_Nativ'!$D$6:$D$405,"&gt;="&amp;L631),IF(H631="AWAY",SUMIFS('Istoric_Nativ'!$H$6:$H$405,'Istoric_Nativ'!$B$6:$B$405,E631,'Istoric_Nativ'!$C$6:$C$405,F631,'Istoric_Nativ'!$F$6:$F$405,G631,'Istoric_Nativ'!$D$6:$D$405,"&lt;"&amp;J631,'Istoric_Nativ'!$P$6:$P$405,1,'Istoric_Nativ'!$D$6:$D$405,"&gt;="&amp;L631),SUMIFS('Istoric_Nativ'!$G$6:$G$405,'Istoric_Nativ'!$B$6:$B$405,E631,'Istoric_Nativ'!$C$6:$C$405,F631,'Istoric_Nativ'!$E$6:$E$405,G631,'Istoric_Nativ'!$D$6:$D$405,"&lt;"&amp;J631,'Istoric_Nativ'!$P$6:$P$405,1,'Istoric_Nativ'!$D$6:$D$405,"&gt;="&amp;L631)+SUMIFS('Istoric_Nativ'!$H$6:$H$405,'Istoric_Nativ'!$B$6:$B$405,E631,'Istoric_Nativ'!$C$6:$C$405,F631,'Istoric_Nativ'!$F$6:$F$405,G631,'Istoric_Nativ'!$D$6:$D$405,"&lt;"&amp;J631,'Istoric_Nativ'!$P$6:$P$405,1,'Istoric_Nativ'!$D$6:$D$405,"&gt;="&amp;L631)))/M631)</x:f>
      </x:c>
      <x:c r="O631" s="11" t="str">
        <x:f>IF(M631=0,"",IF(H631="HOME",SUMIFS('Istoric_Nativ'!$H$6:$H$405,'Istoric_Nativ'!$B$6:$B$405,E631,'Istoric_Nativ'!$C$6:$C$405,F631,'Istoric_Nativ'!$E$6:$E$405,G631,'Istoric_Nativ'!$D$6:$D$405,"&lt;"&amp;J631,'Istoric_Nativ'!$P$6:$P$405,1,'Istoric_Nativ'!$D$6:$D$405,"&gt;="&amp;L631),IF(H631="AWAY",SUMIFS('Istoric_Nativ'!$G$6:$G$405,'Istoric_Nativ'!$B$6:$B$405,E631,'Istoric_Nativ'!$C$6:$C$405,F631,'Istoric_Nativ'!$F$6:$F$405,G631,'Istoric_Nativ'!$D$6:$D$405,"&lt;"&amp;J631,'Istoric_Nativ'!$P$6:$P$405,1,'Istoric_Nativ'!$D$6:$D$405,"&gt;="&amp;L631),SUMIFS('Istoric_Nativ'!$H$6:$H$405,'Istoric_Nativ'!$B$6:$B$405,E631,'Istoric_Nativ'!$C$6:$C$405,F631,'Istoric_Nativ'!$E$6:$E$405,G631,'Istoric_Nativ'!$D$6:$D$405,"&lt;"&amp;J631,'Istoric_Nativ'!$P$6:$P$405,1,'Istoric_Nativ'!$D$6:$D$405,"&gt;="&amp;L631)+SUMIFS('Istoric_Nativ'!$G$6:$G$405,'Istoric_Nativ'!$B$6:$B$405,E631,'Istoric_Nativ'!$C$6:$C$405,F631,'Istoric_Nativ'!$F$6:$F$405,G631,'Istoric_Nativ'!$D$6:$D$405,"&lt;"&amp;J631,'Istoric_Nativ'!$P$6:$P$405,1,'Istoric_Nativ'!$D$6:$D$405,"&gt;="&amp;L631)))/M631)</x:f>
      </x:c>
      <x:c r="P631" s="2" t="n">
        <x:f>'Config_v6'!$B$8</x:f>
        <x:v>5</x:v>
      </x:c>
      <x:c r="Q631" s="2" t="n">
        <x:f>IF(OR(B631="",F631=""),0,IFERROR(MATCH(E631&amp;"|"&amp;F631,SourceTable[Source_Key],0),0))</x:f>
        <x:v>0</x:v>
      </x:c>
      <x:c r="R631" s="2" t="str">
        <x:f>IF(B631="","",IF(F631="","UNUSED",IF(Q631=0,"NOT CHECKED",IF(COUNTIF(SourceTable[Source_Key],E631&amp;"|"&amp;F631)&lt;&gt;1,"SOURCE CONFLICT",IF(NOT(OR(INDEX(SourceTable[Status],MAX(1,Q631))="IMPORTED",INDEX(SourceTable[Status],MAX(1,Q631))="PARTIAL",INDEX(SourceTable[Status],MAX(1,Q631))="SOURCE CONFLICT")),"ACCESS BLOCKED",IF(OR(INDEX(SourceTable[Coverage],Q631)&lt;&gt;"FULL SEASON EXPORT",INDEX(SourceTable[URL],Q631)="",INDEX(SourceTable[SHA256],Q631)=""),"EVIDENCE INCOMPLETE",IF(AND('Input_Meci'!H58="LIVE",INDEX(SourceTable[Retrieved_UTC],Q631)&gt;'Input_Meci'!G58),"POST CUTOFF","CLOSED")))))))</x:f>
      </x:c>
      <x:c r="S631" s="2" t="n">
        <x:f>IF(OR(B631="",F631=""),0,COUNTIFS('Istoric_Nativ'!$B$6:$B$405,E631,'Istoric_Nativ'!$C$6:$C$405,F631,'Istoric_Nativ'!$E$6:$E$405,G631,'Istoric_Nativ'!$D$6:$D$405,"&lt;"&amp;J631,'Istoric_Nativ'!$O$6:$O$405,"INVALID")+COUNTIFS('Istoric_Nativ'!$B$6:$B$405,E631,'Istoric_Nativ'!$C$6:$C$405,F631,'Istoric_Nativ'!$E$6:$E$405,G631,'Istoric_Nativ'!$O$6:$O$405,"INVALID",'Istoric_Nativ'!$D$6:$D$405,"*")+COUNTIFS('Istoric_Nativ'!$B$6:$B$405,E631,'Istoric_Nativ'!$C$6:$C$405,F631,'Istoric_Nativ'!$E$6:$E$405,G631,'Istoric_Nativ'!$D$6:$D$405,"&lt;"&amp;J631,'Istoric_Nativ'!$O$6:$O$405,"SOURCE CONFLICT")+COUNTIFS('Istoric_Nativ'!$B$6:$B$405,E631,'Istoric_Nativ'!$C$6:$C$405,F631,'Istoric_Nativ'!$F$6:$F$405,G631,'Istoric_Nativ'!$D$6:$D$405,"&lt;"&amp;J631,'Istoric_Nativ'!$O$6:$O$405,"INVALID")+COUNTIFS('Istoric_Nativ'!$B$6:$B$405,E631,'Istoric_Nativ'!$C$6:$C$405,F631,'Istoric_Nativ'!$F$6:$F$405,G631,'Istoric_Nativ'!$O$6:$O$405,"INVALID",'Istoric_Nativ'!$D$6:$D$405,"*")+COUNTIFS('Istoric_Nativ'!$B$6:$B$405,E631,'Istoric_Nativ'!$C$6:$C$405,F631,'Istoric_Nativ'!$F$6:$F$405,G631,'Istoric_Nativ'!$D$6:$D$405,"&lt;"&amp;J631,'Istoric_Nativ'!$O$6:$O$405,"SOURCE CONFLICT"))</x:f>
        <x:v>0</x:v>
      </x:c>
      <x:c r="T631" s="2" t="str">
        <x:f>IF(B631="","",IF(R631&lt;&gt;"CLOSED",R631,IF(S631&gt;0,"NATIVE INPUT ISSUE",IF(M631=0,"NO HISTORY",IF(M631&lt;P631,"SMALL SAMPLE","DERIVED")))))</x:f>
      </x:c>
      <x:c r="U631" s="2" t="str">
        <x:f>IF(B631="","","NativeTable; "&amp;E631&amp;"; "&amp;F631&amp;"; "&amp;G631&amp;"; "&amp;H631&amp;"; before "&amp;TEXT(J631,"yyyy-mm-dd")&amp;IF(I631="RECENT","; from "&amp;TEXT(L631,"yyyy-mm-dd"),""))</x:f>
      </x:c>
    </x:row>
    <x:row r="632" ht="21" customHeight="1">
      <x:c r="A632" s="2" t="n">
        <x:v>53</x:v>
      </x:c>
      <x:c r="B632" s="2" t="str">
        <x:f>IF('Input_Meci'!A58="","",'Input_Meci'!A58)</x:f>
      </x:c>
      <x:c r="C632" s="2" t="str">
        <x:v>H</x:v>
      </x:c>
      <x:c r="D632" s="2" t="str">
        <x:v>CURRENT</x:v>
      </x:c>
      <x:c r="E632" s="2" t="str">
        <x:f>IF(B632="","",'Input_Meci'!B58)</x:f>
      </x:c>
      <x:c r="F632" s="2" t="str">
        <x:f>IF(B632="","",IF('Input_Meci'!C58="","",'Input_Meci'!C58))</x:f>
      </x:c>
      <x:c r="G632" s="2" t="str">
        <x:f>IF(B632="","",'Input_Meci'!D58)</x:f>
      </x:c>
      <x:c r="H632" s="2" t="str">
        <x:v>ANY</x:v>
      </x:c>
      <x:c r="I632" s="2" t="str">
        <x:v>RECENT</x:v>
      </x:c>
      <x:c r="J632" s="9" t="n">
        <x:f>IF(AND(B632&lt;&gt;"",ISNUMBER('Input_Meci'!G58)),INT('Input_Meci'!G58),0)</x:f>
        <x:v>0</x:v>
      </x:c>
      <x:c r="K632" s="2" t="n">
        <x:f>IF(OR(B632="",F632=""),0,IF(H632="HOME",COUNTIFS('Istoric_Nativ'!$B$6:$B$405,E632,'Istoric_Nativ'!$C$6:$C$405,F632,'Istoric_Nativ'!$E$6:$E$405,G632,'Istoric_Nativ'!$D$6:$D$405,"&lt;"&amp;J632,'Istoric_Nativ'!$P$6:$P$405,1),IF(H632="AWAY",COUNTIFS('Istoric_Nativ'!$B$6:$B$405,E632,'Istoric_Nativ'!$C$6:$C$405,F632,'Istoric_Nativ'!$F$6:$F$405,G632,'Istoric_Nativ'!$D$6:$D$405,"&lt;"&amp;J632,'Istoric_Nativ'!$P$6:$P$405,1),COUNTIFS('Istoric_Nativ'!$B$6:$B$405,E632,'Istoric_Nativ'!$C$6:$C$405,F632,'Istoric_Nativ'!$E$6:$E$405,G632,'Istoric_Nativ'!$D$6:$D$405,"&lt;"&amp;J632,'Istoric_Nativ'!$P$6:$P$405,1)+COUNTIFS('Istoric_Nativ'!$B$6:$B$405,E632,'Istoric_Nativ'!$C$6:$C$405,F632,'Istoric_Nativ'!$F$6:$F$405,G632,'Istoric_Nativ'!$D$6:$D$405,"&lt;"&amp;J632,'Istoric_Nativ'!$P$6:$P$405,1))))</x:f>
        <x:v>0</x:v>
      </x:c>
      <x:c r="L632" s="17" t="n">
        <x:f>IF(AND(B632&lt;&gt;"",I632="RECENT",K632&gt;0),LARGE(_xlfn._xlws.FILTER('Istoric_Nativ'!$D$6:$D$405,('Istoric_Nativ'!$B$6:$B$405=E632)*('Istoric_Nativ'!$C$6:$C$405=F632)*('Istoric_Nativ'!$P$6:$P$405=1)*('Istoric_Nativ'!$D$6:$D$405&lt;J632)*((('Istoric_Nativ'!$E$6:$E$405=G632)+('Istoric_Nativ'!$F$6:$F$405=G632))&gt;0)),MIN('Config_v6'!$B$54,K632)),0)</x:f>
        <x:v>0</x:v>
      </x:c>
      <x:c r="M632" s="2" t="n">
        <x:f>IF(OR(B632="",F632=""),0,IF(H632="HOME",COUNTIFS('Istoric_Nativ'!$B$6:$B$405,E632,'Istoric_Nativ'!$C$6:$C$405,F632,'Istoric_Nativ'!$E$6:$E$405,G632,'Istoric_Nativ'!$D$6:$D$405,"&lt;"&amp;J632,'Istoric_Nativ'!$P$6:$P$405,1,'Istoric_Nativ'!$D$6:$D$405,"&gt;="&amp;L632),IF(H632="AWAY",COUNTIFS('Istoric_Nativ'!$B$6:$B$405,E632,'Istoric_Nativ'!$C$6:$C$405,F632,'Istoric_Nativ'!$F$6:$F$405,G632,'Istoric_Nativ'!$D$6:$D$405,"&lt;"&amp;J632,'Istoric_Nativ'!$P$6:$P$405,1,'Istoric_Nativ'!$D$6:$D$405,"&gt;="&amp;L632),COUNTIFS('Istoric_Nativ'!$B$6:$B$405,E632,'Istoric_Nativ'!$C$6:$C$405,F632,'Istoric_Nativ'!$E$6:$E$405,G632,'Istoric_Nativ'!$D$6:$D$405,"&lt;"&amp;J632,'Istoric_Nativ'!$P$6:$P$405,1,'Istoric_Nativ'!$D$6:$D$405,"&gt;="&amp;L632)+COUNTIFS('Istoric_Nativ'!$B$6:$B$405,E632,'Istoric_Nativ'!$C$6:$C$405,F632,'Istoric_Nativ'!$F$6:$F$405,G632,'Istoric_Nativ'!$D$6:$D$405,"&lt;"&amp;J632,'Istoric_Nativ'!$P$6:$P$405,1,'Istoric_Nativ'!$D$6:$D$405,"&gt;="&amp;L632))))</x:f>
        <x:v>0</x:v>
      </x:c>
      <x:c r="N632" s="11" t="str">
        <x:f>IF(M632=0,"",IF(H632="HOME",SUMIFS('Istoric_Nativ'!$G$6:$G$405,'Istoric_Nativ'!$B$6:$B$405,E632,'Istoric_Nativ'!$C$6:$C$405,F632,'Istoric_Nativ'!$E$6:$E$405,G632,'Istoric_Nativ'!$D$6:$D$405,"&lt;"&amp;J632,'Istoric_Nativ'!$P$6:$P$405,1,'Istoric_Nativ'!$D$6:$D$405,"&gt;="&amp;L632),IF(H632="AWAY",SUMIFS('Istoric_Nativ'!$H$6:$H$405,'Istoric_Nativ'!$B$6:$B$405,E632,'Istoric_Nativ'!$C$6:$C$405,F632,'Istoric_Nativ'!$F$6:$F$405,G632,'Istoric_Nativ'!$D$6:$D$405,"&lt;"&amp;J632,'Istoric_Nativ'!$P$6:$P$405,1,'Istoric_Nativ'!$D$6:$D$405,"&gt;="&amp;L632),SUMIFS('Istoric_Nativ'!$G$6:$G$405,'Istoric_Nativ'!$B$6:$B$405,E632,'Istoric_Nativ'!$C$6:$C$405,F632,'Istoric_Nativ'!$E$6:$E$405,G632,'Istoric_Nativ'!$D$6:$D$405,"&lt;"&amp;J632,'Istoric_Nativ'!$P$6:$P$405,1,'Istoric_Nativ'!$D$6:$D$405,"&gt;="&amp;L632)+SUMIFS('Istoric_Nativ'!$H$6:$H$405,'Istoric_Nativ'!$B$6:$B$405,E632,'Istoric_Nativ'!$C$6:$C$405,F632,'Istoric_Nativ'!$F$6:$F$405,G632,'Istoric_Nativ'!$D$6:$D$405,"&lt;"&amp;J632,'Istoric_Nativ'!$P$6:$P$405,1,'Istoric_Nativ'!$D$6:$D$405,"&gt;="&amp;L632)))/M632)</x:f>
      </x:c>
      <x:c r="O632" s="11" t="str">
        <x:f>IF(M632=0,"",IF(H632="HOME",SUMIFS('Istoric_Nativ'!$H$6:$H$405,'Istoric_Nativ'!$B$6:$B$405,E632,'Istoric_Nativ'!$C$6:$C$405,F632,'Istoric_Nativ'!$E$6:$E$405,G632,'Istoric_Nativ'!$D$6:$D$405,"&lt;"&amp;J632,'Istoric_Nativ'!$P$6:$P$405,1,'Istoric_Nativ'!$D$6:$D$405,"&gt;="&amp;L632),IF(H632="AWAY",SUMIFS('Istoric_Nativ'!$G$6:$G$405,'Istoric_Nativ'!$B$6:$B$405,E632,'Istoric_Nativ'!$C$6:$C$405,F632,'Istoric_Nativ'!$F$6:$F$405,G632,'Istoric_Nativ'!$D$6:$D$405,"&lt;"&amp;J632,'Istoric_Nativ'!$P$6:$P$405,1,'Istoric_Nativ'!$D$6:$D$405,"&gt;="&amp;L632),SUMIFS('Istoric_Nativ'!$H$6:$H$405,'Istoric_Nativ'!$B$6:$B$405,E632,'Istoric_Nativ'!$C$6:$C$405,F632,'Istoric_Nativ'!$E$6:$E$405,G632,'Istoric_Nativ'!$D$6:$D$405,"&lt;"&amp;J632,'Istoric_Nativ'!$P$6:$P$405,1,'Istoric_Nativ'!$D$6:$D$405,"&gt;="&amp;L632)+SUMIFS('Istoric_Nativ'!$G$6:$G$405,'Istoric_Nativ'!$B$6:$B$405,E632,'Istoric_Nativ'!$C$6:$C$405,F632,'Istoric_Nativ'!$F$6:$F$405,G632,'Istoric_Nativ'!$D$6:$D$405,"&lt;"&amp;J632,'Istoric_Nativ'!$P$6:$P$405,1,'Istoric_Nativ'!$D$6:$D$405,"&gt;="&amp;L632)))/M632)</x:f>
      </x:c>
      <x:c r="P632" s="2" t="n">
        <x:f>'Config_v6'!$B$9</x:f>
        <x:v>3</x:v>
      </x:c>
      <x:c r="Q632" s="2" t="n">
        <x:f>IF(OR(B632="",F632=""),0,IFERROR(MATCH(E632&amp;"|"&amp;F632,SourceTable[Source_Key],0),0))</x:f>
        <x:v>0</x:v>
      </x:c>
      <x:c r="R632" s="2" t="str">
        <x:f>IF(B632="","",IF(F632="","UNUSED",IF(Q632=0,"NOT CHECKED",IF(COUNTIF(SourceTable[Source_Key],E632&amp;"|"&amp;F632)&lt;&gt;1,"SOURCE CONFLICT",IF(NOT(OR(INDEX(SourceTable[Status],MAX(1,Q632))="IMPORTED",INDEX(SourceTable[Status],MAX(1,Q632))="PARTIAL",INDEX(SourceTable[Status],MAX(1,Q632))="SOURCE CONFLICT")),"ACCESS BLOCKED",IF(OR(INDEX(SourceTable[Coverage],Q632)&lt;&gt;"FULL SEASON EXPORT",INDEX(SourceTable[URL],Q632)="",INDEX(SourceTable[SHA256],Q632)=""),"EVIDENCE INCOMPLETE",IF(AND('Input_Meci'!H58="LIVE",INDEX(SourceTable[Retrieved_UTC],Q632)&gt;'Input_Meci'!G58),"POST CUTOFF","CLOSED")))))))</x:f>
      </x:c>
      <x:c r="S632" s="2" t="n">
        <x:f>IF(OR(B632="",F632=""),0,COUNTIFS('Istoric_Nativ'!$B$6:$B$405,E632,'Istoric_Nativ'!$C$6:$C$405,F632,'Istoric_Nativ'!$E$6:$E$405,G632,'Istoric_Nativ'!$D$6:$D$405,"&lt;"&amp;J632,'Istoric_Nativ'!$O$6:$O$405,"INVALID")+COUNTIFS('Istoric_Nativ'!$B$6:$B$405,E632,'Istoric_Nativ'!$C$6:$C$405,F632,'Istoric_Nativ'!$E$6:$E$405,G632,'Istoric_Nativ'!$O$6:$O$405,"INVALID",'Istoric_Nativ'!$D$6:$D$405,"*")+COUNTIFS('Istoric_Nativ'!$B$6:$B$405,E632,'Istoric_Nativ'!$C$6:$C$405,F632,'Istoric_Nativ'!$E$6:$E$405,G632,'Istoric_Nativ'!$D$6:$D$405,"&lt;"&amp;J632,'Istoric_Nativ'!$O$6:$O$405,"SOURCE CONFLICT")+COUNTIFS('Istoric_Nativ'!$B$6:$B$405,E632,'Istoric_Nativ'!$C$6:$C$405,F632,'Istoric_Nativ'!$F$6:$F$405,G632,'Istoric_Nativ'!$D$6:$D$405,"&lt;"&amp;J632,'Istoric_Nativ'!$O$6:$O$405,"INVALID")+COUNTIFS('Istoric_Nativ'!$B$6:$B$405,E632,'Istoric_Nativ'!$C$6:$C$405,F632,'Istoric_Nativ'!$F$6:$F$405,G632,'Istoric_Nativ'!$O$6:$O$405,"INVALID",'Istoric_Nativ'!$D$6:$D$405,"*")+COUNTIFS('Istoric_Nativ'!$B$6:$B$405,E632,'Istoric_Nativ'!$C$6:$C$405,F632,'Istoric_Nativ'!$F$6:$F$405,G632,'Istoric_Nativ'!$D$6:$D$405,"&lt;"&amp;J632,'Istoric_Nativ'!$O$6:$O$405,"SOURCE CONFLICT"))</x:f>
        <x:v>0</x:v>
      </x:c>
      <x:c r="T632" s="2" t="str">
        <x:f>IF(B632="","",IF(R632&lt;&gt;"CLOSED",R632,IF(S632&gt;0,"NATIVE INPUT ISSUE",IF(M632=0,"NO HISTORY",IF(M632&lt;P632,"SMALL SAMPLE","DERIVED")))))</x:f>
      </x:c>
      <x:c r="U632" s="2" t="str">
        <x:f>IF(B632="","","NativeTable; "&amp;E632&amp;"; "&amp;F632&amp;"; "&amp;G632&amp;"; "&amp;H632&amp;"; before "&amp;TEXT(J632,"yyyy-mm-dd")&amp;IF(I632="RECENT","; from "&amp;TEXT(L632,"yyyy-mm-dd"),""))</x:f>
      </x:c>
    </x:row>
    <x:row r="633" ht="21" customHeight="1">
      <x:c r="A633" s="2" t="n">
        <x:v>53</x:v>
      </x:c>
      <x:c r="B633" s="2" t="str">
        <x:f>IF('Input_Meci'!A58="","",'Input_Meci'!A58)</x:f>
      </x:c>
      <x:c r="C633" s="2" t="str">
        <x:v>A</x:v>
      </x:c>
      <x:c r="D633" s="2" t="str">
        <x:v>CURRENT</x:v>
      </x:c>
      <x:c r="E633" s="2" t="str">
        <x:f>IF(B633="","",'Input_Meci'!B58)</x:f>
      </x:c>
      <x:c r="F633" s="2" t="str">
        <x:f>IF(B633="","",IF('Input_Meci'!C58="","",'Input_Meci'!C58))</x:f>
      </x:c>
      <x:c r="G633" s="2" t="str">
        <x:f>IF(B633="","",'Input_Meci'!E58)</x:f>
      </x:c>
      <x:c r="H633" s="2" t="str">
        <x:v>ANY</x:v>
      </x:c>
      <x:c r="I633" s="2" t="str">
        <x:v>SEASON</x:v>
      </x:c>
      <x:c r="J633" s="9" t="n">
        <x:f>IF(AND(B633&lt;&gt;"",ISNUMBER('Input_Meci'!G58)),INT('Input_Meci'!G58),0)</x:f>
        <x:v>0</x:v>
      </x:c>
      <x:c r="K633" s="2" t="n">
        <x:f>IF(OR(B633="",F633=""),0,IF(H633="HOME",COUNTIFS('Istoric_Nativ'!$B$6:$B$405,E633,'Istoric_Nativ'!$C$6:$C$405,F633,'Istoric_Nativ'!$E$6:$E$405,G633,'Istoric_Nativ'!$D$6:$D$405,"&lt;"&amp;J633,'Istoric_Nativ'!$P$6:$P$405,1),IF(H633="AWAY",COUNTIFS('Istoric_Nativ'!$B$6:$B$405,E633,'Istoric_Nativ'!$C$6:$C$405,F633,'Istoric_Nativ'!$F$6:$F$405,G633,'Istoric_Nativ'!$D$6:$D$405,"&lt;"&amp;J633,'Istoric_Nativ'!$P$6:$P$405,1),COUNTIFS('Istoric_Nativ'!$B$6:$B$405,E633,'Istoric_Nativ'!$C$6:$C$405,F633,'Istoric_Nativ'!$E$6:$E$405,G633,'Istoric_Nativ'!$D$6:$D$405,"&lt;"&amp;J633,'Istoric_Nativ'!$P$6:$P$405,1)+COUNTIFS('Istoric_Nativ'!$B$6:$B$405,E633,'Istoric_Nativ'!$C$6:$C$405,F633,'Istoric_Nativ'!$F$6:$F$405,G633,'Istoric_Nativ'!$D$6:$D$405,"&lt;"&amp;J633,'Istoric_Nativ'!$P$6:$P$405,1))))</x:f>
        <x:v>0</x:v>
      </x:c>
      <x:c r="L633" s="17" t="n">
        <x:f>IF(AND(B633&lt;&gt;"",I633="RECENT",K633&gt;0),LARGE(_xlfn._xlws.FILTER('Istoric_Nativ'!$D$6:$D$405,('Istoric_Nativ'!$B$6:$B$405=E633)*('Istoric_Nativ'!$C$6:$C$405=F633)*('Istoric_Nativ'!$P$6:$P$405=1)*('Istoric_Nativ'!$D$6:$D$405&lt;J633)*((('Istoric_Nativ'!$E$6:$E$405=G633)+('Istoric_Nativ'!$F$6:$F$405=G633))&gt;0)),MIN('Config_v6'!$B$54,K633)),0)</x:f>
        <x:v>0</x:v>
      </x:c>
      <x:c r="M633" s="2" t="n">
        <x:f>IF(OR(B633="",F633=""),0,IF(H633="HOME",COUNTIFS('Istoric_Nativ'!$B$6:$B$405,E633,'Istoric_Nativ'!$C$6:$C$405,F633,'Istoric_Nativ'!$E$6:$E$405,G633,'Istoric_Nativ'!$D$6:$D$405,"&lt;"&amp;J633,'Istoric_Nativ'!$P$6:$P$405,1,'Istoric_Nativ'!$D$6:$D$405,"&gt;="&amp;L633),IF(H633="AWAY",COUNTIFS('Istoric_Nativ'!$B$6:$B$405,E633,'Istoric_Nativ'!$C$6:$C$405,F633,'Istoric_Nativ'!$F$6:$F$405,G633,'Istoric_Nativ'!$D$6:$D$405,"&lt;"&amp;J633,'Istoric_Nativ'!$P$6:$P$405,1,'Istoric_Nativ'!$D$6:$D$405,"&gt;="&amp;L633),COUNTIFS('Istoric_Nativ'!$B$6:$B$405,E633,'Istoric_Nativ'!$C$6:$C$405,F633,'Istoric_Nativ'!$E$6:$E$405,G633,'Istoric_Nativ'!$D$6:$D$405,"&lt;"&amp;J633,'Istoric_Nativ'!$P$6:$P$405,1,'Istoric_Nativ'!$D$6:$D$405,"&gt;="&amp;L633)+COUNTIFS('Istoric_Nativ'!$B$6:$B$405,E633,'Istoric_Nativ'!$C$6:$C$405,F633,'Istoric_Nativ'!$F$6:$F$405,G633,'Istoric_Nativ'!$D$6:$D$405,"&lt;"&amp;J633,'Istoric_Nativ'!$P$6:$P$405,1,'Istoric_Nativ'!$D$6:$D$405,"&gt;="&amp;L633))))</x:f>
        <x:v>0</x:v>
      </x:c>
      <x:c r="N633" s="11" t="str">
        <x:f>IF(M633=0,"",IF(H633="HOME",SUMIFS('Istoric_Nativ'!$G$6:$G$405,'Istoric_Nativ'!$B$6:$B$405,E633,'Istoric_Nativ'!$C$6:$C$405,F633,'Istoric_Nativ'!$E$6:$E$405,G633,'Istoric_Nativ'!$D$6:$D$405,"&lt;"&amp;J633,'Istoric_Nativ'!$P$6:$P$405,1,'Istoric_Nativ'!$D$6:$D$405,"&gt;="&amp;L633),IF(H633="AWAY",SUMIFS('Istoric_Nativ'!$H$6:$H$405,'Istoric_Nativ'!$B$6:$B$405,E633,'Istoric_Nativ'!$C$6:$C$405,F633,'Istoric_Nativ'!$F$6:$F$405,G633,'Istoric_Nativ'!$D$6:$D$405,"&lt;"&amp;J633,'Istoric_Nativ'!$P$6:$P$405,1,'Istoric_Nativ'!$D$6:$D$405,"&gt;="&amp;L633),SUMIFS('Istoric_Nativ'!$G$6:$G$405,'Istoric_Nativ'!$B$6:$B$405,E633,'Istoric_Nativ'!$C$6:$C$405,F633,'Istoric_Nativ'!$E$6:$E$405,G633,'Istoric_Nativ'!$D$6:$D$405,"&lt;"&amp;J633,'Istoric_Nativ'!$P$6:$P$405,1,'Istoric_Nativ'!$D$6:$D$405,"&gt;="&amp;L633)+SUMIFS('Istoric_Nativ'!$H$6:$H$405,'Istoric_Nativ'!$B$6:$B$405,E633,'Istoric_Nativ'!$C$6:$C$405,F633,'Istoric_Nativ'!$F$6:$F$405,G633,'Istoric_Nativ'!$D$6:$D$405,"&lt;"&amp;J633,'Istoric_Nativ'!$P$6:$P$405,1,'Istoric_Nativ'!$D$6:$D$405,"&gt;="&amp;L633)))/M633)</x:f>
      </x:c>
      <x:c r="O633" s="11" t="str">
        <x:f>IF(M633=0,"",IF(H633="HOME",SUMIFS('Istoric_Nativ'!$H$6:$H$405,'Istoric_Nativ'!$B$6:$B$405,E633,'Istoric_Nativ'!$C$6:$C$405,F633,'Istoric_Nativ'!$E$6:$E$405,G633,'Istoric_Nativ'!$D$6:$D$405,"&lt;"&amp;J633,'Istoric_Nativ'!$P$6:$P$405,1,'Istoric_Nativ'!$D$6:$D$405,"&gt;="&amp;L633),IF(H633="AWAY",SUMIFS('Istoric_Nativ'!$G$6:$G$405,'Istoric_Nativ'!$B$6:$B$405,E633,'Istoric_Nativ'!$C$6:$C$405,F633,'Istoric_Nativ'!$F$6:$F$405,G633,'Istoric_Nativ'!$D$6:$D$405,"&lt;"&amp;J633,'Istoric_Nativ'!$P$6:$P$405,1,'Istoric_Nativ'!$D$6:$D$405,"&gt;="&amp;L633),SUMIFS('Istoric_Nativ'!$H$6:$H$405,'Istoric_Nativ'!$B$6:$B$405,E633,'Istoric_Nativ'!$C$6:$C$405,F633,'Istoric_Nativ'!$E$6:$E$405,G633,'Istoric_Nativ'!$D$6:$D$405,"&lt;"&amp;J633,'Istoric_Nativ'!$P$6:$P$405,1,'Istoric_Nativ'!$D$6:$D$405,"&gt;="&amp;L633)+SUMIFS('Istoric_Nativ'!$G$6:$G$405,'Istoric_Nativ'!$B$6:$B$405,E633,'Istoric_Nativ'!$C$6:$C$405,F633,'Istoric_Nativ'!$F$6:$F$405,G633,'Istoric_Nativ'!$D$6:$D$405,"&lt;"&amp;J633,'Istoric_Nativ'!$P$6:$P$405,1,'Istoric_Nativ'!$D$6:$D$405,"&gt;="&amp;L633)))/M633)</x:f>
      </x:c>
      <x:c r="P633" s="2" t="n">
        <x:f>'Config_v6'!$B$7</x:f>
        <x:v>10</x:v>
      </x:c>
      <x:c r="Q633" s="2" t="n">
        <x:f>IF(OR(B633="",F633=""),0,IFERROR(MATCH(E633&amp;"|"&amp;F633,SourceTable[Source_Key],0),0))</x:f>
        <x:v>0</x:v>
      </x:c>
      <x:c r="R633" s="2" t="str">
        <x:f>IF(B633="","",IF(F633="","UNUSED",IF(Q633=0,"NOT CHECKED",IF(COUNTIF(SourceTable[Source_Key],E633&amp;"|"&amp;F633)&lt;&gt;1,"SOURCE CONFLICT",IF(NOT(OR(INDEX(SourceTable[Status],MAX(1,Q633))="IMPORTED",INDEX(SourceTable[Status],MAX(1,Q633))="PARTIAL",INDEX(SourceTable[Status],MAX(1,Q633))="SOURCE CONFLICT")),"ACCESS BLOCKED",IF(OR(INDEX(SourceTable[Coverage],Q633)&lt;&gt;"FULL SEASON EXPORT",INDEX(SourceTable[URL],Q633)="",INDEX(SourceTable[SHA256],Q633)=""),"EVIDENCE INCOMPLETE",IF(AND('Input_Meci'!H58="LIVE",INDEX(SourceTable[Retrieved_UTC],Q633)&gt;'Input_Meci'!G58),"POST CUTOFF","CLOSED")))))))</x:f>
      </x:c>
      <x:c r="S633" s="2" t="n">
        <x:f>IF(OR(B633="",F633=""),0,COUNTIFS('Istoric_Nativ'!$B$6:$B$405,E633,'Istoric_Nativ'!$C$6:$C$405,F633,'Istoric_Nativ'!$E$6:$E$405,G633,'Istoric_Nativ'!$D$6:$D$405,"&lt;"&amp;J633,'Istoric_Nativ'!$O$6:$O$405,"INVALID")+COUNTIFS('Istoric_Nativ'!$B$6:$B$405,E633,'Istoric_Nativ'!$C$6:$C$405,F633,'Istoric_Nativ'!$E$6:$E$405,G633,'Istoric_Nativ'!$O$6:$O$405,"INVALID",'Istoric_Nativ'!$D$6:$D$405,"*")+COUNTIFS('Istoric_Nativ'!$B$6:$B$405,E633,'Istoric_Nativ'!$C$6:$C$405,F633,'Istoric_Nativ'!$E$6:$E$405,G633,'Istoric_Nativ'!$D$6:$D$405,"&lt;"&amp;J633,'Istoric_Nativ'!$O$6:$O$405,"SOURCE CONFLICT")+COUNTIFS('Istoric_Nativ'!$B$6:$B$405,E633,'Istoric_Nativ'!$C$6:$C$405,F633,'Istoric_Nativ'!$F$6:$F$405,G633,'Istoric_Nativ'!$D$6:$D$405,"&lt;"&amp;J633,'Istoric_Nativ'!$O$6:$O$405,"INVALID")+COUNTIFS('Istoric_Nativ'!$B$6:$B$405,E633,'Istoric_Nativ'!$C$6:$C$405,F633,'Istoric_Nativ'!$F$6:$F$405,G633,'Istoric_Nativ'!$O$6:$O$405,"INVALID",'Istoric_Nativ'!$D$6:$D$405,"*")+COUNTIFS('Istoric_Nativ'!$B$6:$B$405,E633,'Istoric_Nativ'!$C$6:$C$405,F633,'Istoric_Nativ'!$F$6:$F$405,G633,'Istoric_Nativ'!$D$6:$D$405,"&lt;"&amp;J633,'Istoric_Nativ'!$O$6:$O$405,"SOURCE CONFLICT"))</x:f>
        <x:v>0</x:v>
      </x:c>
      <x:c r="T633" s="2" t="str">
        <x:f>IF(B633="","",IF(R633&lt;&gt;"CLOSED",R633,IF(S633&gt;0,"NATIVE INPUT ISSUE",IF(M633=0,"NO HISTORY",IF(M633&lt;P633,"SMALL SAMPLE","DERIVED")))))</x:f>
      </x:c>
      <x:c r="U633" s="2" t="str">
        <x:f>IF(B633="","","NativeTable; "&amp;E633&amp;"; "&amp;F633&amp;"; "&amp;G633&amp;"; "&amp;H633&amp;"; before "&amp;TEXT(J633,"yyyy-mm-dd")&amp;IF(I633="RECENT","; from "&amp;TEXT(L633,"yyyy-mm-dd"),""))</x:f>
      </x:c>
    </x:row>
    <x:row r="634" ht="21" customHeight="1">
      <x:c r="A634" s="2" t="n">
        <x:v>53</x:v>
      </x:c>
      <x:c r="B634" s="2" t="str">
        <x:f>IF('Input_Meci'!A58="","",'Input_Meci'!A58)</x:f>
      </x:c>
      <x:c r="C634" s="2" t="str">
        <x:v>A</x:v>
      </x:c>
      <x:c r="D634" s="2" t="str">
        <x:v>CURRENT</x:v>
      </x:c>
      <x:c r="E634" s="2" t="str">
        <x:f>IF(B634="","",'Input_Meci'!B58)</x:f>
      </x:c>
      <x:c r="F634" s="2" t="str">
        <x:f>IF(B634="","",IF('Input_Meci'!C58="","",'Input_Meci'!C58))</x:f>
      </x:c>
      <x:c r="G634" s="2" t="str">
        <x:f>IF(B634="","",'Input_Meci'!E58)</x:f>
      </x:c>
      <x:c r="H634" s="2" t="str">
        <x:v>AWAY</x:v>
      </x:c>
      <x:c r="I634" s="2" t="str">
        <x:v>HA</x:v>
      </x:c>
      <x:c r="J634" s="9" t="n">
        <x:f>IF(AND(B634&lt;&gt;"",ISNUMBER('Input_Meci'!G58)),INT('Input_Meci'!G58),0)</x:f>
        <x:v>0</x:v>
      </x:c>
      <x:c r="K634" s="2" t="n">
        <x:f>IF(OR(B634="",F634=""),0,IF(H634="HOME",COUNTIFS('Istoric_Nativ'!$B$6:$B$405,E634,'Istoric_Nativ'!$C$6:$C$405,F634,'Istoric_Nativ'!$E$6:$E$405,G634,'Istoric_Nativ'!$D$6:$D$405,"&lt;"&amp;J634,'Istoric_Nativ'!$P$6:$P$405,1),IF(H634="AWAY",COUNTIFS('Istoric_Nativ'!$B$6:$B$405,E634,'Istoric_Nativ'!$C$6:$C$405,F634,'Istoric_Nativ'!$F$6:$F$405,G634,'Istoric_Nativ'!$D$6:$D$405,"&lt;"&amp;J634,'Istoric_Nativ'!$P$6:$P$405,1),COUNTIFS('Istoric_Nativ'!$B$6:$B$405,E634,'Istoric_Nativ'!$C$6:$C$405,F634,'Istoric_Nativ'!$E$6:$E$405,G634,'Istoric_Nativ'!$D$6:$D$405,"&lt;"&amp;J634,'Istoric_Nativ'!$P$6:$P$405,1)+COUNTIFS('Istoric_Nativ'!$B$6:$B$405,E634,'Istoric_Nativ'!$C$6:$C$405,F634,'Istoric_Nativ'!$F$6:$F$405,G634,'Istoric_Nativ'!$D$6:$D$405,"&lt;"&amp;J634,'Istoric_Nativ'!$P$6:$P$405,1))))</x:f>
        <x:v>0</x:v>
      </x:c>
      <x:c r="L634" s="17" t="n">
        <x:f>IF(AND(B634&lt;&gt;"",I634="RECENT",K634&gt;0),LARGE(_xlfn._xlws.FILTER('Istoric_Nativ'!$D$6:$D$405,('Istoric_Nativ'!$B$6:$B$405=E634)*('Istoric_Nativ'!$C$6:$C$405=F634)*('Istoric_Nativ'!$P$6:$P$405=1)*('Istoric_Nativ'!$D$6:$D$405&lt;J634)*((('Istoric_Nativ'!$E$6:$E$405=G634)+('Istoric_Nativ'!$F$6:$F$405=G634))&gt;0)),MIN('Config_v6'!$B$54,K634)),0)</x:f>
        <x:v>0</x:v>
      </x:c>
      <x:c r="M634" s="2" t="n">
        <x:f>IF(OR(B634="",F634=""),0,IF(H634="HOME",COUNTIFS('Istoric_Nativ'!$B$6:$B$405,E634,'Istoric_Nativ'!$C$6:$C$405,F634,'Istoric_Nativ'!$E$6:$E$405,G634,'Istoric_Nativ'!$D$6:$D$405,"&lt;"&amp;J634,'Istoric_Nativ'!$P$6:$P$405,1,'Istoric_Nativ'!$D$6:$D$405,"&gt;="&amp;L634),IF(H634="AWAY",COUNTIFS('Istoric_Nativ'!$B$6:$B$405,E634,'Istoric_Nativ'!$C$6:$C$405,F634,'Istoric_Nativ'!$F$6:$F$405,G634,'Istoric_Nativ'!$D$6:$D$405,"&lt;"&amp;J634,'Istoric_Nativ'!$P$6:$P$405,1,'Istoric_Nativ'!$D$6:$D$405,"&gt;="&amp;L634),COUNTIFS('Istoric_Nativ'!$B$6:$B$405,E634,'Istoric_Nativ'!$C$6:$C$405,F634,'Istoric_Nativ'!$E$6:$E$405,G634,'Istoric_Nativ'!$D$6:$D$405,"&lt;"&amp;J634,'Istoric_Nativ'!$P$6:$P$405,1,'Istoric_Nativ'!$D$6:$D$405,"&gt;="&amp;L634)+COUNTIFS('Istoric_Nativ'!$B$6:$B$405,E634,'Istoric_Nativ'!$C$6:$C$405,F634,'Istoric_Nativ'!$F$6:$F$405,G634,'Istoric_Nativ'!$D$6:$D$405,"&lt;"&amp;J634,'Istoric_Nativ'!$P$6:$P$405,1,'Istoric_Nativ'!$D$6:$D$405,"&gt;="&amp;L634))))</x:f>
        <x:v>0</x:v>
      </x:c>
      <x:c r="N634" s="11" t="str">
        <x:f>IF(M634=0,"",IF(H634="HOME",SUMIFS('Istoric_Nativ'!$G$6:$G$405,'Istoric_Nativ'!$B$6:$B$405,E634,'Istoric_Nativ'!$C$6:$C$405,F634,'Istoric_Nativ'!$E$6:$E$405,G634,'Istoric_Nativ'!$D$6:$D$405,"&lt;"&amp;J634,'Istoric_Nativ'!$P$6:$P$405,1,'Istoric_Nativ'!$D$6:$D$405,"&gt;="&amp;L634),IF(H634="AWAY",SUMIFS('Istoric_Nativ'!$H$6:$H$405,'Istoric_Nativ'!$B$6:$B$405,E634,'Istoric_Nativ'!$C$6:$C$405,F634,'Istoric_Nativ'!$F$6:$F$405,G634,'Istoric_Nativ'!$D$6:$D$405,"&lt;"&amp;J634,'Istoric_Nativ'!$P$6:$P$405,1,'Istoric_Nativ'!$D$6:$D$405,"&gt;="&amp;L634),SUMIFS('Istoric_Nativ'!$G$6:$G$405,'Istoric_Nativ'!$B$6:$B$405,E634,'Istoric_Nativ'!$C$6:$C$405,F634,'Istoric_Nativ'!$E$6:$E$405,G634,'Istoric_Nativ'!$D$6:$D$405,"&lt;"&amp;J634,'Istoric_Nativ'!$P$6:$P$405,1,'Istoric_Nativ'!$D$6:$D$405,"&gt;="&amp;L634)+SUMIFS('Istoric_Nativ'!$H$6:$H$405,'Istoric_Nativ'!$B$6:$B$405,E634,'Istoric_Nativ'!$C$6:$C$405,F634,'Istoric_Nativ'!$F$6:$F$405,G634,'Istoric_Nativ'!$D$6:$D$405,"&lt;"&amp;J634,'Istoric_Nativ'!$P$6:$P$405,1,'Istoric_Nativ'!$D$6:$D$405,"&gt;="&amp;L634)))/M634)</x:f>
      </x:c>
      <x:c r="O634" s="11" t="str">
        <x:f>IF(M634=0,"",IF(H634="HOME",SUMIFS('Istoric_Nativ'!$H$6:$H$405,'Istoric_Nativ'!$B$6:$B$405,E634,'Istoric_Nativ'!$C$6:$C$405,F634,'Istoric_Nativ'!$E$6:$E$405,G634,'Istoric_Nativ'!$D$6:$D$405,"&lt;"&amp;J634,'Istoric_Nativ'!$P$6:$P$405,1,'Istoric_Nativ'!$D$6:$D$405,"&gt;="&amp;L634),IF(H634="AWAY",SUMIFS('Istoric_Nativ'!$G$6:$G$405,'Istoric_Nativ'!$B$6:$B$405,E634,'Istoric_Nativ'!$C$6:$C$405,F634,'Istoric_Nativ'!$F$6:$F$405,G634,'Istoric_Nativ'!$D$6:$D$405,"&lt;"&amp;J634,'Istoric_Nativ'!$P$6:$P$405,1,'Istoric_Nativ'!$D$6:$D$405,"&gt;="&amp;L634),SUMIFS('Istoric_Nativ'!$H$6:$H$405,'Istoric_Nativ'!$B$6:$B$405,E634,'Istoric_Nativ'!$C$6:$C$405,F634,'Istoric_Nativ'!$E$6:$E$405,G634,'Istoric_Nativ'!$D$6:$D$405,"&lt;"&amp;J634,'Istoric_Nativ'!$P$6:$P$405,1,'Istoric_Nativ'!$D$6:$D$405,"&gt;="&amp;L634)+SUMIFS('Istoric_Nativ'!$G$6:$G$405,'Istoric_Nativ'!$B$6:$B$405,E634,'Istoric_Nativ'!$C$6:$C$405,F634,'Istoric_Nativ'!$F$6:$F$405,G634,'Istoric_Nativ'!$D$6:$D$405,"&lt;"&amp;J634,'Istoric_Nativ'!$P$6:$P$405,1,'Istoric_Nativ'!$D$6:$D$405,"&gt;="&amp;L634)))/M634)</x:f>
      </x:c>
      <x:c r="P634" s="2" t="n">
        <x:f>'Config_v6'!$B$8</x:f>
        <x:v>5</x:v>
      </x:c>
      <x:c r="Q634" s="2" t="n">
        <x:f>IF(OR(B634="",F634=""),0,IFERROR(MATCH(E634&amp;"|"&amp;F634,SourceTable[Source_Key],0),0))</x:f>
        <x:v>0</x:v>
      </x:c>
      <x:c r="R634" s="2" t="str">
        <x:f>IF(B634="","",IF(F634="","UNUSED",IF(Q634=0,"NOT CHECKED",IF(COUNTIF(SourceTable[Source_Key],E634&amp;"|"&amp;F634)&lt;&gt;1,"SOURCE CONFLICT",IF(NOT(OR(INDEX(SourceTable[Status],MAX(1,Q634))="IMPORTED",INDEX(SourceTable[Status],MAX(1,Q634))="PARTIAL",INDEX(SourceTable[Status],MAX(1,Q634))="SOURCE CONFLICT")),"ACCESS BLOCKED",IF(OR(INDEX(SourceTable[Coverage],Q634)&lt;&gt;"FULL SEASON EXPORT",INDEX(SourceTable[URL],Q634)="",INDEX(SourceTable[SHA256],Q634)=""),"EVIDENCE INCOMPLETE",IF(AND('Input_Meci'!H58="LIVE",INDEX(SourceTable[Retrieved_UTC],Q634)&gt;'Input_Meci'!G58),"POST CUTOFF","CLOSED")))))))</x:f>
      </x:c>
      <x:c r="S634" s="2" t="n">
        <x:f>IF(OR(B634="",F634=""),0,COUNTIFS('Istoric_Nativ'!$B$6:$B$405,E634,'Istoric_Nativ'!$C$6:$C$405,F634,'Istoric_Nativ'!$E$6:$E$405,G634,'Istoric_Nativ'!$D$6:$D$405,"&lt;"&amp;J634,'Istoric_Nativ'!$O$6:$O$405,"INVALID")+COUNTIFS('Istoric_Nativ'!$B$6:$B$405,E634,'Istoric_Nativ'!$C$6:$C$405,F634,'Istoric_Nativ'!$E$6:$E$405,G634,'Istoric_Nativ'!$O$6:$O$405,"INVALID",'Istoric_Nativ'!$D$6:$D$405,"*")+COUNTIFS('Istoric_Nativ'!$B$6:$B$405,E634,'Istoric_Nativ'!$C$6:$C$405,F634,'Istoric_Nativ'!$E$6:$E$405,G634,'Istoric_Nativ'!$D$6:$D$405,"&lt;"&amp;J634,'Istoric_Nativ'!$O$6:$O$405,"SOURCE CONFLICT")+COUNTIFS('Istoric_Nativ'!$B$6:$B$405,E634,'Istoric_Nativ'!$C$6:$C$405,F634,'Istoric_Nativ'!$F$6:$F$405,G634,'Istoric_Nativ'!$D$6:$D$405,"&lt;"&amp;J634,'Istoric_Nativ'!$O$6:$O$405,"INVALID")+COUNTIFS('Istoric_Nativ'!$B$6:$B$405,E634,'Istoric_Nativ'!$C$6:$C$405,F634,'Istoric_Nativ'!$F$6:$F$405,G634,'Istoric_Nativ'!$O$6:$O$405,"INVALID",'Istoric_Nativ'!$D$6:$D$405,"*")+COUNTIFS('Istoric_Nativ'!$B$6:$B$405,E634,'Istoric_Nativ'!$C$6:$C$405,F634,'Istoric_Nativ'!$F$6:$F$405,G634,'Istoric_Nativ'!$D$6:$D$405,"&lt;"&amp;J634,'Istoric_Nativ'!$O$6:$O$405,"SOURCE CONFLICT"))</x:f>
        <x:v>0</x:v>
      </x:c>
      <x:c r="T634" s="2" t="str">
        <x:f>IF(B634="","",IF(R634&lt;&gt;"CLOSED",R634,IF(S634&gt;0,"NATIVE INPUT ISSUE",IF(M634=0,"NO HISTORY",IF(M634&lt;P634,"SMALL SAMPLE","DERIVED")))))</x:f>
      </x:c>
      <x:c r="U634" s="2" t="str">
        <x:f>IF(B634="","","NativeTable; "&amp;E634&amp;"; "&amp;F634&amp;"; "&amp;G634&amp;"; "&amp;H634&amp;"; before "&amp;TEXT(J634,"yyyy-mm-dd")&amp;IF(I634="RECENT","; from "&amp;TEXT(L634,"yyyy-mm-dd"),""))</x:f>
      </x:c>
    </x:row>
    <x:row r="635" ht="21" customHeight="1">
      <x:c r="A635" s="2" t="n">
        <x:v>53</x:v>
      </x:c>
      <x:c r="B635" s="2" t="str">
        <x:f>IF('Input_Meci'!A58="","",'Input_Meci'!A58)</x:f>
      </x:c>
      <x:c r="C635" s="2" t="str">
        <x:v>A</x:v>
      </x:c>
      <x:c r="D635" s="2" t="str">
        <x:v>CURRENT</x:v>
      </x:c>
      <x:c r="E635" s="2" t="str">
        <x:f>IF(B635="","",'Input_Meci'!B58)</x:f>
      </x:c>
      <x:c r="F635" s="2" t="str">
        <x:f>IF(B635="","",IF('Input_Meci'!C58="","",'Input_Meci'!C58))</x:f>
      </x:c>
      <x:c r="G635" s="2" t="str">
        <x:f>IF(B635="","",'Input_Meci'!E58)</x:f>
      </x:c>
      <x:c r="H635" s="2" t="str">
        <x:v>ANY</x:v>
      </x:c>
      <x:c r="I635" s="2" t="str">
        <x:v>RECENT</x:v>
      </x:c>
      <x:c r="J635" s="9" t="n">
        <x:f>IF(AND(B635&lt;&gt;"",ISNUMBER('Input_Meci'!G58)),INT('Input_Meci'!G58),0)</x:f>
        <x:v>0</x:v>
      </x:c>
      <x:c r="K635" s="2" t="n">
        <x:f>IF(OR(B635="",F635=""),0,IF(H635="HOME",COUNTIFS('Istoric_Nativ'!$B$6:$B$405,E635,'Istoric_Nativ'!$C$6:$C$405,F635,'Istoric_Nativ'!$E$6:$E$405,G635,'Istoric_Nativ'!$D$6:$D$405,"&lt;"&amp;J635,'Istoric_Nativ'!$P$6:$P$405,1),IF(H635="AWAY",COUNTIFS('Istoric_Nativ'!$B$6:$B$405,E635,'Istoric_Nativ'!$C$6:$C$405,F635,'Istoric_Nativ'!$F$6:$F$405,G635,'Istoric_Nativ'!$D$6:$D$405,"&lt;"&amp;J635,'Istoric_Nativ'!$P$6:$P$405,1),COUNTIFS('Istoric_Nativ'!$B$6:$B$405,E635,'Istoric_Nativ'!$C$6:$C$405,F635,'Istoric_Nativ'!$E$6:$E$405,G635,'Istoric_Nativ'!$D$6:$D$405,"&lt;"&amp;J635,'Istoric_Nativ'!$P$6:$P$405,1)+COUNTIFS('Istoric_Nativ'!$B$6:$B$405,E635,'Istoric_Nativ'!$C$6:$C$405,F635,'Istoric_Nativ'!$F$6:$F$405,G635,'Istoric_Nativ'!$D$6:$D$405,"&lt;"&amp;J635,'Istoric_Nativ'!$P$6:$P$405,1))))</x:f>
        <x:v>0</x:v>
      </x:c>
      <x:c r="L635" s="17" t="n">
        <x:f>IF(AND(B635&lt;&gt;"",I635="RECENT",K635&gt;0),LARGE(_xlfn._xlws.FILTER('Istoric_Nativ'!$D$6:$D$405,('Istoric_Nativ'!$B$6:$B$405=E635)*('Istoric_Nativ'!$C$6:$C$405=F635)*('Istoric_Nativ'!$P$6:$P$405=1)*('Istoric_Nativ'!$D$6:$D$405&lt;J635)*((('Istoric_Nativ'!$E$6:$E$405=G635)+('Istoric_Nativ'!$F$6:$F$405=G635))&gt;0)),MIN('Config_v6'!$B$54,K635)),0)</x:f>
        <x:v>0</x:v>
      </x:c>
      <x:c r="M635" s="2" t="n">
        <x:f>IF(OR(B635="",F635=""),0,IF(H635="HOME",COUNTIFS('Istoric_Nativ'!$B$6:$B$405,E635,'Istoric_Nativ'!$C$6:$C$405,F635,'Istoric_Nativ'!$E$6:$E$405,G635,'Istoric_Nativ'!$D$6:$D$405,"&lt;"&amp;J635,'Istoric_Nativ'!$P$6:$P$405,1,'Istoric_Nativ'!$D$6:$D$405,"&gt;="&amp;L635),IF(H635="AWAY",COUNTIFS('Istoric_Nativ'!$B$6:$B$405,E635,'Istoric_Nativ'!$C$6:$C$405,F635,'Istoric_Nativ'!$F$6:$F$405,G635,'Istoric_Nativ'!$D$6:$D$405,"&lt;"&amp;J635,'Istoric_Nativ'!$P$6:$P$405,1,'Istoric_Nativ'!$D$6:$D$405,"&gt;="&amp;L635),COUNTIFS('Istoric_Nativ'!$B$6:$B$405,E635,'Istoric_Nativ'!$C$6:$C$405,F635,'Istoric_Nativ'!$E$6:$E$405,G635,'Istoric_Nativ'!$D$6:$D$405,"&lt;"&amp;J635,'Istoric_Nativ'!$P$6:$P$405,1,'Istoric_Nativ'!$D$6:$D$405,"&gt;="&amp;L635)+COUNTIFS('Istoric_Nativ'!$B$6:$B$405,E635,'Istoric_Nativ'!$C$6:$C$405,F635,'Istoric_Nativ'!$F$6:$F$405,G635,'Istoric_Nativ'!$D$6:$D$405,"&lt;"&amp;J635,'Istoric_Nativ'!$P$6:$P$405,1,'Istoric_Nativ'!$D$6:$D$405,"&gt;="&amp;L635))))</x:f>
        <x:v>0</x:v>
      </x:c>
      <x:c r="N635" s="11" t="str">
        <x:f>IF(M635=0,"",IF(H635="HOME",SUMIFS('Istoric_Nativ'!$G$6:$G$405,'Istoric_Nativ'!$B$6:$B$405,E635,'Istoric_Nativ'!$C$6:$C$405,F635,'Istoric_Nativ'!$E$6:$E$405,G635,'Istoric_Nativ'!$D$6:$D$405,"&lt;"&amp;J635,'Istoric_Nativ'!$P$6:$P$405,1,'Istoric_Nativ'!$D$6:$D$405,"&gt;="&amp;L635),IF(H635="AWAY",SUMIFS('Istoric_Nativ'!$H$6:$H$405,'Istoric_Nativ'!$B$6:$B$405,E635,'Istoric_Nativ'!$C$6:$C$405,F635,'Istoric_Nativ'!$F$6:$F$405,G635,'Istoric_Nativ'!$D$6:$D$405,"&lt;"&amp;J635,'Istoric_Nativ'!$P$6:$P$405,1,'Istoric_Nativ'!$D$6:$D$405,"&gt;="&amp;L635),SUMIFS('Istoric_Nativ'!$G$6:$G$405,'Istoric_Nativ'!$B$6:$B$405,E635,'Istoric_Nativ'!$C$6:$C$405,F635,'Istoric_Nativ'!$E$6:$E$405,G635,'Istoric_Nativ'!$D$6:$D$405,"&lt;"&amp;J635,'Istoric_Nativ'!$P$6:$P$405,1,'Istoric_Nativ'!$D$6:$D$405,"&gt;="&amp;L635)+SUMIFS('Istoric_Nativ'!$H$6:$H$405,'Istoric_Nativ'!$B$6:$B$405,E635,'Istoric_Nativ'!$C$6:$C$405,F635,'Istoric_Nativ'!$F$6:$F$405,G635,'Istoric_Nativ'!$D$6:$D$405,"&lt;"&amp;J635,'Istoric_Nativ'!$P$6:$P$405,1,'Istoric_Nativ'!$D$6:$D$405,"&gt;="&amp;L635)))/M635)</x:f>
      </x:c>
      <x:c r="O635" s="11" t="str">
        <x:f>IF(M635=0,"",IF(H635="HOME",SUMIFS('Istoric_Nativ'!$H$6:$H$405,'Istoric_Nativ'!$B$6:$B$405,E635,'Istoric_Nativ'!$C$6:$C$405,F635,'Istoric_Nativ'!$E$6:$E$405,G635,'Istoric_Nativ'!$D$6:$D$405,"&lt;"&amp;J635,'Istoric_Nativ'!$P$6:$P$405,1,'Istoric_Nativ'!$D$6:$D$405,"&gt;="&amp;L635),IF(H635="AWAY",SUMIFS('Istoric_Nativ'!$G$6:$G$405,'Istoric_Nativ'!$B$6:$B$405,E635,'Istoric_Nativ'!$C$6:$C$405,F635,'Istoric_Nativ'!$F$6:$F$405,G635,'Istoric_Nativ'!$D$6:$D$405,"&lt;"&amp;J635,'Istoric_Nativ'!$P$6:$P$405,1,'Istoric_Nativ'!$D$6:$D$405,"&gt;="&amp;L635),SUMIFS('Istoric_Nativ'!$H$6:$H$405,'Istoric_Nativ'!$B$6:$B$405,E635,'Istoric_Nativ'!$C$6:$C$405,F635,'Istoric_Nativ'!$E$6:$E$405,G635,'Istoric_Nativ'!$D$6:$D$405,"&lt;"&amp;J635,'Istoric_Nativ'!$P$6:$P$405,1,'Istoric_Nativ'!$D$6:$D$405,"&gt;="&amp;L635)+SUMIFS('Istoric_Nativ'!$G$6:$G$405,'Istoric_Nativ'!$B$6:$B$405,E635,'Istoric_Nativ'!$C$6:$C$405,F635,'Istoric_Nativ'!$F$6:$F$405,G635,'Istoric_Nativ'!$D$6:$D$405,"&lt;"&amp;J635,'Istoric_Nativ'!$P$6:$P$405,1,'Istoric_Nativ'!$D$6:$D$405,"&gt;="&amp;L635)))/M635)</x:f>
      </x:c>
      <x:c r="P635" s="2" t="n">
        <x:f>'Config_v6'!$B$9</x:f>
        <x:v>3</x:v>
      </x:c>
      <x:c r="Q635" s="2" t="n">
        <x:f>IF(OR(B635="",F635=""),0,IFERROR(MATCH(E635&amp;"|"&amp;F635,SourceTable[Source_Key],0),0))</x:f>
        <x:v>0</x:v>
      </x:c>
      <x:c r="R635" s="2" t="str">
        <x:f>IF(B635="","",IF(F635="","UNUSED",IF(Q635=0,"NOT CHECKED",IF(COUNTIF(SourceTable[Source_Key],E635&amp;"|"&amp;F635)&lt;&gt;1,"SOURCE CONFLICT",IF(NOT(OR(INDEX(SourceTable[Status],MAX(1,Q635))="IMPORTED",INDEX(SourceTable[Status],MAX(1,Q635))="PARTIAL",INDEX(SourceTable[Status],MAX(1,Q635))="SOURCE CONFLICT")),"ACCESS BLOCKED",IF(OR(INDEX(SourceTable[Coverage],Q635)&lt;&gt;"FULL SEASON EXPORT",INDEX(SourceTable[URL],Q635)="",INDEX(SourceTable[SHA256],Q635)=""),"EVIDENCE INCOMPLETE",IF(AND('Input_Meci'!H58="LIVE",INDEX(SourceTable[Retrieved_UTC],Q635)&gt;'Input_Meci'!G58),"POST CUTOFF","CLOSED")))))))</x:f>
      </x:c>
      <x:c r="S635" s="2" t="n">
        <x:f>IF(OR(B635="",F635=""),0,COUNTIFS('Istoric_Nativ'!$B$6:$B$405,E635,'Istoric_Nativ'!$C$6:$C$405,F635,'Istoric_Nativ'!$E$6:$E$405,G635,'Istoric_Nativ'!$D$6:$D$405,"&lt;"&amp;J635,'Istoric_Nativ'!$O$6:$O$405,"INVALID")+COUNTIFS('Istoric_Nativ'!$B$6:$B$405,E635,'Istoric_Nativ'!$C$6:$C$405,F635,'Istoric_Nativ'!$E$6:$E$405,G635,'Istoric_Nativ'!$O$6:$O$405,"INVALID",'Istoric_Nativ'!$D$6:$D$405,"*")+COUNTIFS('Istoric_Nativ'!$B$6:$B$405,E635,'Istoric_Nativ'!$C$6:$C$405,F635,'Istoric_Nativ'!$E$6:$E$405,G635,'Istoric_Nativ'!$D$6:$D$405,"&lt;"&amp;J635,'Istoric_Nativ'!$O$6:$O$405,"SOURCE CONFLICT")+COUNTIFS('Istoric_Nativ'!$B$6:$B$405,E635,'Istoric_Nativ'!$C$6:$C$405,F635,'Istoric_Nativ'!$F$6:$F$405,G635,'Istoric_Nativ'!$D$6:$D$405,"&lt;"&amp;J635,'Istoric_Nativ'!$O$6:$O$405,"INVALID")+COUNTIFS('Istoric_Nativ'!$B$6:$B$405,E635,'Istoric_Nativ'!$C$6:$C$405,F635,'Istoric_Nativ'!$F$6:$F$405,G635,'Istoric_Nativ'!$O$6:$O$405,"INVALID",'Istoric_Nativ'!$D$6:$D$405,"*")+COUNTIFS('Istoric_Nativ'!$B$6:$B$405,E635,'Istoric_Nativ'!$C$6:$C$405,F635,'Istoric_Nativ'!$F$6:$F$405,G635,'Istoric_Nativ'!$D$6:$D$405,"&lt;"&amp;J635,'Istoric_Nativ'!$O$6:$O$405,"SOURCE CONFLICT"))</x:f>
        <x:v>0</x:v>
      </x:c>
      <x:c r="T635" s="2" t="str">
        <x:f>IF(B635="","",IF(R635&lt;&gt;"CLOSED",R635,IF(S635&gt;0,"NATIVE INPUT ISSUE",IF(M635=0,"NO HISTORY",IF(M635&lt;P635,"SMALL SAMPLE","DERIVED")))))</x:f>
      </x:c>
      <x:c r="U635" s="2" t="str">
        <x:f>IF(B635="","","NativeTable; "&amp;E635&amp;"; "&amp;F635&amp;"; "&amp;G635&amp;"; "&amp;H635&amp;"; before "&amp;TEXT(J635,"yyyy-mm-dd")&amp;IF(I635="RECENT","; from "&amp;TEXT(L635,"yyyy-mm-dd"),""))</x:f>
      </x:c>
    </x:row>
    <x:row r="636" ht="21" customHeight="1">
      <x:c r="A636" s="2" t="n">
        <x:v>53</x:v>
      </x:c>
      <x:c r="B636" s="2" t="str">
        <x:f>IF('Input_Meci'!A58="","",'Input_Meci'!A58)</x:f>
      </x:c>
      <x:c r="C636" s="2" t="str">
        <x:v>H</x:v>
      </x:c>
      <x:c r="D636" s="2" t="str">
        <x:v>PRIOR</x:v>
      </x:c>
      <x:c r="E636" s="2" t="str">
        <x:f>IF(B636="","",'Input_Meci'!B58)</x:f>
      </x:c>
      <x:c r="F636" s="2" t="str">
        <x:f>IF(B636="","",IF('Input_Meci'!K58="","",'Input_Meci'!K58))</x:f>
      </x:c>
      <x:c r="G636" s="2" t="str">
        <x:f>IF(B636="","",'Input_Meci'!D58)</x:f>
      </x:c>
      <x:c r="H636" s="2" t="str">
        <x:v>ANY</x:v>
      </x:c>
      <x:c r="I636" s="2" t="str">
        <x:v>SEASON</x:v>
      </x:c>
      <x:c r="J636" s="9" t="n">
        <x:f>IF(AND(B636&lt;&gt;"",ISNUMBER('Input_Meci'!G58)),INT('Input_Meci'!G58),0)</x:f>
        <x:v>0</x:v>
      </x:c>
      <x:c r="K636" s="2" t="n">
        <x:f>IF(OR(B636="",F636=""),0,IF(H636="HOME",COUNTIFS('Istoric_Nativ'!$B$6:$B$405,E636,'Istoric_Nativ'!$C$6:$C$405,F636,'Istoric_Nativ'!$E$6:$E$405,G636,'Istoric_Nativ'!$D$6:$D$405,"&lt;"&amp;J636,'Istoric_Nativ'!$P$6:$P$405,1),IF(H636="AWAY",COUNTIFS('Istoric_Nativ'!$B$6:$B$405,E636,'Istoric_Nativ'!$C$6:$C$405,F636,'Istoric_Nativ'!$F$6:$F$405,G636,'Istoric_Nativ'!$D$6:$D$405,"&lt;"&amp;J636,'Istoric_Nativ'!$P$6:$P$405,1),COUNTIFS('Istoric_Nativ'!$B$6:$B$405,E636,'Istoric_Nativ'!$C$6:$C$405,F636,'Istoric_Nativ'!$E$6:$E$405,G636,'Istoric_Nativ'!$D$6:$D$405,"&lt;"&amp;J636,'Istoric_Nativ'!$P$6:$P$405,1)+COUNTIFS('Istoric_Nativ'!$B$6:$B$405,E636,'Istoric_Nativ'!$C$6:$C$405,F636,'Istoric_Nativ'!$F$6:$F$405,G636,'Istoric_Nativ'!$D$6:$D$405,"&lt;"&amp;J636,'Istoric_Nativ'!$P$6:$P$405,1))))</x:f>
        <x:v>0</x:v>
      </x:c>
      <x:c r="L636" s="17" t="n">
        <x:f>IF(AND(B636&lt;&gt;"",I636="RECENT",K636&gt;0),LARGE(_xlfn._xlws.FILTER('Istoric_Nativ'!$D$6:$D$405,('Istoric_Nativ'!$B$6:$B$405=E636)*('Istoric_Nativ'!$C$6:$C$405=F636)*('Istoric_Nativ'!$P$6:$P$405=1)*('Istoric_Nativ'!$D$6:$D$405&lt;J636)*((('Istoric_Nativ'!$E$6:$E$405=G636)+('Istoric_Nativ'!$F$6:$F$405=G636))&gt;0)),MIN('Config_v6'!$B$54,K636)),0)</x:f>
        <x:v>0</x:v>
      </x:c>
      <x:c r="M636" s="2" t="n">
        <x:f>IF(OR(B636="",F636=""),0,IF(H636="HOME",COUNTIFS('Istoric_Nativ'!$B$6:$B$405,E636,'Istoric_Nativ'!$C$6:$C$405,F636,'Istoric_Nativ'!$E$6:$E$405,G636,'Istoric_Nativ'!$D$6:$D$405,"&lt;"&amp;J636,'Istoric_Nativ'!$P$6:$P$405,1,'Istoric_Nativ'!$D$6:$D$405,"&gt;="&amp;L636),IF(H636="AWAY",COUNTIFS('Istoric_Nativ'!$B$6:$B$405,E636,'Istoric_Nativ'!$C$6:$C$405,F636,'Istoric_Nativ'!$F$6:$F$405,G636,'Istoric_Nativ'!$D$6:$D$405,"&lt;"&amp;J636,'Istoric_Nativ'!$P$6:$P$405,1,'Istoric_Nativ'!$D$6:$D$405,"&gt;="&amp;L636),COUNTIFS('Istoric_Nativ'!$B$6:$B$405,E636,'Istoric_Nativ'!$C$6:$C$405,F636,'Istoric_Nativ'!$E$6:$E$405,G636,'Istoric_Nativ'!$D$6:$D$405,"&lt;"&amp;J636,'Istoric_Nativ'!$P$6:$P$405,1,'Istoric_Nativ'!$D$6:$D$405,"&gt;="&amp;L636)+COUNTIFS('Istoric_Nativ'!$B$6:$B$405,E636,'Istoric_Nativ'!$C$6:$C$405,F636,'Istoric_Nativ'!$F$6:$F$405,G636,'Istoric_Nativ'!$D$6:$D$405,"&lt;"&amp;J636,'Istoric_Nativ'!$P$6:$P$405,1,'Istoric_Nativ'!$D$6:$D$405,"&gt;="&amp;L636))))</x:f>
        <x:v>0</x:v>
      </x:c>
      <x:c r="N636" s="11" t="str">
        <x:f>IF(M636=0,"",IF(H636="HOME",SUMIFS('Istoric_Nativ'!$G$6:$G$405,'Istoric_Nativ'!$B$6:$B$405,E636,'Istoric_Nativ'!$C$6:$C$405,F636,'Istoric_Nativ'!$E$6:$E$405,G636,'Istoric_Nativ'!$D$6:$D$405,"&lt;"&amp;J636,'Istoric_Nativ'!$P$6:$P$405,1,'Istoric_Nativ'!$D$6:$D$405,"&gt;="&amp;L636),IF(H636="AWAY",SUMIFS('Istoric_Nativ'!$H$6:$H$405,'Istoric_Nativ'!$B$6:$B$405,E636,'Istoric_Nativ'!$C$6:$C$405,F636,'Istoric_Nativ'!$F$6:$F$405,G636,'Istoric_Nativ'!$D$6:$D$405,"&lt;"&amp;J636,'Istoric_Nativ'!$P$6:$P$405,1,'Istoric_Nativ'!$D$6:$D$405,"&gt;="&amp;L636),SUMIFS('Istoric_Nativ'!$G$6:$G$405,'Istoric_Nativ'!$B$6:$B$405,E636,'Istoric_Nativ'!$C$6:$C$405,F636,'Istoric_Nativ'!$E$6:$E$405,G636,'Istoric_Nativ'!$D$6:$D$405,"&lt;"&amp;J636,'Istoric_Nativ'!$P$6:$P$405,1,'Istoric_Nativ'!$D$6:$D$405,"&gt;="&amp;L636)+SUMIFS('Istoric_Nativ'!$H$6:$H$405,'Istoric_Nativ'!$B$6:$B$405,E636,'Istoric_Nativ'!$C$6:$C$405,F636,'Istoric_Nativ'!$F$6:$F$405,G636,'Istoric_Nativ'!$D$6:$D$405,"&lt;"&amp;J636,'Istoric_Nativ'!$P$6:$P$405,1,'Istoric_Nativ'!$D$6:$D$405,"&gt;="&amp;L636)))/M636)</x:f>
      </x:c>
      <x:c r="O636" s="11" t="str">
        <x:f>IF(M636=0,"",IF(H636="HOME",SUMIFS('Istoric_Nativ'!$H$6:$H$405,'Istoric_Nativ'!$B$6:$B$405,E636,'Istoric_Nativ'!$C$6:$C$405,F636,'Istoric_Nativ'!$E$6:$E$405,G636,'Istoric_Nativ'!$D$6:$D$405,"&lt;"&amp;J636,'Istoric_Nativ'!$P$6:$P$405,1,'Istoric_Nativ'!$D$6:$D$405,"&gt;="&amp;L636),IF(H636="AWAY",SUMIFS('Istoric_Nativ'!$G$6:$G$405,'Istoric_Nativ'!$B$6:$B$405,E636,'Istoric_Nativ'!$C$6:$C$405,F636,'Istoric_Nativ'!$F$6:$F$405,G636,'Istoric_Nativ'!$D$6:$D$405,"&lt;"&amp;J636,'Istoric_Nativ'!$P$6:$P$405,1,'Istoric_Nativ'!$D$6:$D$405,"&gt;="&amp;L636),SUMIFS('Istoric_Nativ'!$H$6:$H$405,'Istoric_Nativ'!$B$6:$B$405,E636,'Istoric_Nativ'!$C$6:$C$405,F636,'Istoric_Nativ'!$E$6:$E$405,G636,'Istoric_Nativ'!$D$6:$D$405,"&lt;"&amp;J636,'Istoric_Nativ'!$P$6:$P$405,1,'Istoric_Nativ'!$D$6:$D$405,"&gt;="&amp;L636)+SUMIFS('Istoric_Nativ'!$G$6:$G$405,'Istoric_Nativ'!$B$6:$B$405,E636,'Istoric_Nativ'!$C$6:$C$405,F636,'Istoric_Nativ'!$F$6:$F$405,G636,'Istoric_Nativ'!$D$6:$D$405,"&lt;"&amp;J636,'Istoric_Nativ'!$P$6:$P$405,1,'Istoric_Nativ'!$D$6:$D$405,"&gt;="&amp;L636)))/M636)</x:f>
      </x:c>
      <x:c r="P636" s="2" t="n">
        <x:f>'Config_v6'!$B$7</x:f>
        <x:v>10</x:v>
      </x:c>
      <x:c r="Q636" s="2" t="n">
        <x:f>IF(OR(B636="",F636=""),0,IFERROR(MATCH(E636&amp;"|"&amp;F636,SourceTable[Source_Key],0),0))</x:f>
        <x:v>0</x:v>
      </x:c>
      <x:c r="R636" s="2" t="str">
        <x:f>IF(B636="","",IF(F636="","UNUSED",IF(Q636=0,"NOT CHECKED",IF(COUNTIF(SourceTable[Source_Key],E636&amp;"|"&amp;F636)&lt;&gt;1,"SOURCE CONFLICT",IF(NOT(OR(INDEX(SourceTable[Status],MAX(1,Q636))="IMPORTED",INDEX(SourceTable[Status],MAX(1,Q636))="PARTIAL",INDEX(SourceTable[Status],MAX(1,Q636))="SOURCE CONFLICT")),"ACCESS BLOCKED",IF(OR(INDEX(SourceTable[Coverage],Q636)&lt;&gt;"FULL SEASON EXPORT",INDEX(SourceTable[URL],Q636)="",INDEX(SourceTable[SHA256],Q636)=""),"EVIDENCE INCOMPLETE",IF(AND('Input_Meci'!H58="LIVE",INDEX(SourceTable[Retrieved_UTC],Q636)&gt;'Input_Meci'!G58),"POST CUTOFF","CLOSED")))))))</x:f>
      </x:c>
      <x:c r="S636" s="2" t="n">
        <x:f>IF(OR(B636="",F636=""),0,COUNTIFS('Istoric_Nativ'!$B$6:$B$405,E636,'Istoric_Nativ'!$C$6:$C$405,F636,'Istoric_Nativ'!$E$6:$E$405,G636,'Istoric_Nativ'!$D$6:$D$405,"&lt;"&amp;J636,'Istoric_Nativ'!$O$6:$O$405,"INVALID")+COUNTIFS('Istoric_Nativ'!$B$6:$B$405,E636,'Istoric_Nativ'!$C$6:$C$405,F636,'Istoric_Nativ'!$E$6:$E$405,G636,'Istoric_Nativ'!$O$6:$O$405,"INVALID",'Istoric_Nativ'!$D$6:$D$405,"*")+COUNTIFS('Istoric_Nativ'!$B$6:$B$405,E636,'Istoric_Nativ'!$C$6:$C$405,F636,'Istoric_Nativ'!$E$6:$E$405,G636,'Istoric_Nativ'!$D$6:$D$405,"&lt;"&amp;J636,'Istoric_Nativ'!$O$6:$O$405,"SOURCE CONFLICT")+COUNTIFS('Istoric_Nativ'!$B$6:$B$405,E636,'Istoric_Nativ'!$C$6:$C$405,F636,'Istoric_Nativ'!$F$6:$F$405,G636,'Istoric_Nativ'!$D$6:$D$405,"&lt;"&amp;J636,'Istoric_Nativ'!$O$6:$O$405,"INVALID")+COUNTIFS('Istoric_Nativ'!$B$6:$B$405,E636,'Istoric_Nativ'!$C$6:$C$405,F636,'Istoric_Nativ'!$F$6:$F$405,G636,'Istoric_Nativ'!$O$6:$O$405,"INVALID",'Istoric_Nativ'!$D$6:$D$405,"*")+COUNTIFS('Istoric_Nativ'!$B$6:$B$405,E636,'Istoric_Nativ'!$C$6:$C$405,F636,'Istoric_Nativ'!$F$6:$F$405,G636,'Istoric_Nativ'!$D$6:$D$405,"&lt;"&amp;J636,'Istoric_Nativ'!$O$6:$O$405,"SOURCE CONFLICT"))</x:f>
        <x:v>0</x:v>
      </x:c>
      <x:c r="T636" s="2" t="str">
        <x:f>IF(B636="","",IF(R636&lt;&gt;"CLOSED",R636,IF(S636&gt;0,"NATIVE INPUT ISSUE",IF(M636=0,"NO HISTORY",IF(M636&lt;P636,"SMALL SAMPLE","DERIVED")))))</x:f>
      </x:c>
      <x:c r="U636" s="2" t="str">
        <x:f>IF(B636="","","NativeTable; "&amp;E636&amp;"; "&amp;F636&amp;"; "&amp;G636&amp;"; "&amp;H636&amp;"; before "&amp;TEXT(J636,"yyyy-mm-dd")&amp;IF(I636="RECENT","; from "&amp;TEXT(L636,"yyyy-mm-dd"),""))</x:f>
      </x:c>
    </x:row>
    <x:row r="637" ht="21" customHeight="1">
      <x:c r="A637" s="2" t="n">
        <x:v>53</x:v>
      </x:c>
      <x:c r="B637" s="2" t="str">
        <x:f>IF('Input_Meci'!A58="","",'Input_Meci'!A58)</x:f>
      </x:c>
      <x:c r="C637" s="2" t="str">
        <x:v>H</x:v>
      </x:c>
      <x:c r="D637" s="2" t="str">
        <x:v>PRIOR</x:v>
      </x:c>
      <x:c r="E637" s="2" t="str">
        <x:f>IF(B637="","",'Input_Meci'!B58)</x:f>
      </x:c>
      <x:c r="F637" s="2" t="str">
        <x:f>IF(B637="","",IF('Input_Meci'!K58="","",'Input_Meci'!K58))</x:f>
      </x:c>
      <x:c r="G637" s="2" t="str">
        <x:f>IF(B637="","",'Input_Meci'!D58)</x:f>
      </x:c>
      <x:c r="H637" s="2" t="str">
        <x:v>HOME</x:v>
      </x:c>
      <x:c r="I637" s="2" t="str">
        <x:v>HA</x:v>
      </x:c>
      <x:c r="J637" s="9" t="n">
        <x:f>IF(AND(B637&lt;&gt;"",ISNUMBER('Input_Meci'!G58)),INT('Input_Meci'!G58),0)</x:f>
        <x:v>0</x:v>
      </x:c>
      <x:c r="K637" s="2" t="n">
        <x:f>IF(OR(B637="",F637=""),0,IF(H637="HOME",COUNTIFS('Istoric_Nativ'!$B$6:$B$405,E637,'Istoric_Nativ'!$C$6:$C$405,F637,'Istoric_Nativ'!$E$6:$E$405,G637,'Istoric_Nativ'!$D$6:$D$405,"&lt;"&amp;J637,'Istoric_Nativ'!$P$6:$P$405,1),IF(H637="AWAY",COUNTIFS('Istoric_Nativ'!$B$6:$B$405,E637,'Istoric_Nativ'!$C$6:$C$405,F637,'Istoric_Nativ'!$F$6:$F$405,G637,'Istoric_Nativ'!$D$6:$D$405,"&lt;"&amp;J637,'Istoric_Nativ'!$P$6:$P$405,1),COUNTIFS('Istoric_Nativ'!$B$6:$B$405,E637,'Istoric_Nativ'!$C$6:$C$405,F637,'Istoric_Nativ'!$E$6:$E$405,G637,'Istoric_Nativ'!$D$6:$D$405,"&lt;"&amp;J637,'Istoric_Nativ'!$P$6:$P$405,1)+COUNTIFS('Istoric_Nativ'!$B$6:$B$405,E637,'Istoric_Nativ'!$C$6:$C$405,F637,'Istoric_Nativ'!$F$6:$F$405,G637,'Istoric_Nativ'!$D$6:$D$405,"&lt;"&amp;J637,'Istoric_Nativ'!$P$6:$P$405,1))))</x:f>
        <x:v>0</x:v>
      </x:c>
      <x:c r="L637" s="17" t="n">
        <x:f>IF(AND(B637&lt;&gt;"",I637="RECENT",K637&gt;0),LARGE(_xlfn._xlws.FILTER('Istoric_Nativ'!$D$6:$D$405,('Istoric_Nativ'!$B$6:$B$405=E637)*('Istoric_Nativ'!$C$6:$C$405=F637)*('Istoric_Nativ'!$P$6:$P$405=1)*('Istoric_Nativ'!$D$6:$D$405&lt;J637)*((('Istoric_Nativ'!$E$6:$E$405=G637)+('Istoric_Nativ'!$F$6:$F$405=G637))&gt;0)),MIN('Config_v6'!$B$54,K637)),0)</x:f>
        <x:v>0</x:v>
      </x:c>
      <x:c r="M637" s="2" t="n">
        <x:f>IF(OR(B637="",F637=""),0,IF(H637="HOME",COUNTIFS('Istoric_Nativ'!$B$6:$B$405,E637,'Istoric_Nativ'!$C$6:$C$405,F637,'Istoric_Nativ'!$E$6:$E$405,G637,'Istoric_Nativ'!$D$6:$D$405,"&lt;"&amp;J637,'Istoric_Nativ'!$P$6:$P$405,1,'Istoric_Nativ'!$D$6:$D$405,"&gt;="&amp;L637),IF(H637="AWAY",COUNTIFS('Istoric_Nativ'!$B$6:$B$405,E637,'Istoric_Nativ'!$C$6:$C$405,F637,'Istoric_Nativ'!$F$6:$F$405,G637,'Istoric_Nativ'!$D$6:$D$405,"&lt;"&amp;J637,'Istoric_Nativ'!$P$6:$P$405,1,'Istoric_Nativ'!$D$6:$D$405,"&gt;="&amp;L637),COUNTIFS('Istoric_Nativ'!$B$6:$B$405,E637,'Istoric_Nativ'!$C$6:$C$405,F637,'Istoric_Nativ'!$E$6:$E$405,G637,'Istoric_Nativ'!$D$6:$D$405,"&lt;"&amp;J637,'Istoric_Nativ'!$P$6:$P$405,1,'Istoric_Nativ'!$D$6:$D$405,"&gt;="&amp;L637)+COUNTIFS('Istoric_Nativ'!$B$6:$B$405,E637,'Istoric_Nativ'!$C$6:$C$405,F637,'Istoric_Nativ'!$F$6:$F$405,G637,'Istoric_Nativ'!$D$6:$D$405,"&lt;"&amp;J637,'Istoric_Nativ'!$P$6:$P$405,1,'Istoric_Nativ'!$D$6:$D$405,"&gt;="&amp;L637))))</x:f>
        <x:v>0</x:v>
      </x:c>
      <x:c r="N637" s="11" t="str">
        <x:f>IF(M637=0,"",IF(H637="HOME",SUMIFS('Istoric_Nativ'!$G$6:$G$405,'Istoric_Nativ'!$B$6:$B$405,E637,'Istoric_Nativ'!$C$6:$C$405,F637,'Istoric_Nativ'!$E$6:$E$405,G637,'Istoric_Nativ'!$D$6:$D$405,"&lt;"&amp;J637,'Istoric_Nativ'!$P$6:$P$405,1,'Istoric_Nativ'!$D$6:$D$405,"&gt;="&amp;L637),IF(H637="AWAY",SUMIFS('Istoric_Nativ'!$H$6:$H$405,'Istoric_Nativ'!$B$6:$B$405,E637,'Istoric_Nativ'!$C$6:$C$405,F637,'Istoric_Nativ'!$F$6:$F$405,G637,'Istoric_Nativ'!$D$6:$D$405,"&lt;"&amp;J637,'Istoric_Nativ'!$P$6:$P$405,1,'Istoric_Nativ'!$D$6:$D$405,"&gt;="&amp;L637),SUMIFS('Istoric_Nativ'!$G$6:$G$405,'Istoric_Nativ'!$B$6:$B$405,E637,'Istoric_Nativ'!$C$6:$C$405,F637,'Istoric_Nativ'!$E$6:$E$405,G637,'Istoric_Nativ'!$D$6:$D$405,"&lt;"&amp;J637,'Istoric_Nativ'!$P$6:$P$405,1,'Istoric_Nativ'!$D$6:$D$405,"&gt;="&amp;L637)+SUMIFS('Istoric_Nativ'!$H$6:$H$405,'Istoric_Nativ'!$B$6:$B$405,E637,'Istoric_Nativ'!$C$6:$C$405,F637,'Istoric_Nativ'!$F$6:$F$405,G637,'Istoric_Nativ'!$D$6:$D$405,"&lt;"&amp;J637,'Istoric_Nativ'!$P$6:$P$405,1,'Istoric_Nativ'!$D$6:$D$405,"&gt;="&amp;L637)))/M637)</x:f>
      </x:c>
      <x:c r="O637" s="11" t="str">
        <x:f>IF(M637=0,"",IF(H637="HOME",SUMIFS('Istoric_Nativ'!$H$6:$H$405,'Istoric_Nativ'!$B$6:$B$405,E637,'Istoric_Nativ'!$C$6:$C$405,F637,'Istoric_Nativ'!$E$6:$E$405,G637,'Istoric_Nativ'!$D$6:$D$405,"&lt;"&amp;J637,'Istoric_Nativ'!$P$6:$P$405,1,'Istoric_Nativ'!$D$6:$D$405,"&gt;="&amp;L637),IF(H637="AWAY",SUMIFS('Istoric_Nativ'!$G$6:$G$405,'Istoric_Nativ'!$B$6:$B$405,E637,'Istoric_Nativ'!$C$6:$C$405,F637,'Istoric_Nativ'!$F$6:$F$405,G637,'Istoric_Nativ'!$D$6:$D$405,"&lt;"&amp;J637,'Istoric_Nativ'!$P$6:$P$405,1,'Istoric_Nativ'!$D$6:$D$405,"&gt;="&amp;L637),SUMIFS('Istoric_Nativ'!$H$6:$H$405,'Istoric_Nativ'!$B$6:$B$405,E637,'Istoric_Nativ'!$C$6:$C$405,F637,'Istoric_Nativ'!$E$6:$E$405,G637,'Istoric_Nativ'!$D$6:$D$405,"&lt;"&amp;J637,'Istoric_Nativ'!$P$6:$P$405,1,'Istoric_Nativ'!$D$6:$D$405,"&gt;="&amp;L637)+SUMIFS('Istoric_Nativ'!$G$6:$G$405,'Istoric_Nativ'!$B$6:$B$405,E637,'Istoric_Nativ'!$C$6:$C$405,F637,'Istoric_Nativ'!$F$6:$F$405,G637,'Istoric_Nativ'!$D$6:$D$405,"&lt;"&amp;J637,'Istoric_Nativ'!$P$6:$P$405,1,'Istoric_Nativ'!$D$6:$D$405,"&gt;="&amp;L637)))/M637)</x:f>
      </x:c>
      <x:c r="P637" s="2" t="n">
        <x:f>'Config_v6'!$B$8</x:f>
        <x:v>5</x:v>
      </x:c>
      <x:c r="Q637" s="2" t="n">
        <x:f>IF(OR(B637="",F637=""),0,IFERROR(MATCH(E637&amp;"|"&amp;F637,SourceTable[Source_Key],0),0))</x:f>
        <x:v>0</x:v>
      </x:c>
      <x:c r="R637" s="2" t="str">
        <x:f>IF(B637="","",IF(F637="","UNUSED",IF(Q637=0,"NOT CHECKED",IF(COUNTIF(SourceTable[Source_Key],E637&amp;"|"&amp;F637)&lt;&gt;1,"SOURCE CONFLICT",IF(NOT(OR(INDEX(SourceTable[Status],MAX(1,Q637))="IMPORTED",INDEX(SourceTable[Status],MAX(1,Q637))="PARTIAL",INDEX(SourceTable[Status],MAX(1,Q637))="SOURCE CONFLICT")),"ACCESS BLOCKED",IF(OR(INDEX(SourceTable[Coverage],Q637)&lt;&gt;"FULL SEASON EXPORT",INDEX(SourceTable[URL],Q637)="",INDEX(SourceTable[SHA256],Q637)=""),"EVIDENCE INCOMPLETE",IF(AND('Input_Meci'!H58="LIVE",INDEX(SourceTable[Retrieved_UTC],Q637)&gt;'Input_Meci'!G58),"POST CUTOFF","CLOSED")))))))</x:f>
      </x:c>
      <x:c r="S637" s="2" t="n">
        <x:f>IF(OR(B637="",F637=""),0,COUNTIFS('Istoric_Nativ'!$B$6:$B$405,E637,'Istoric_Nativ'!$C$6:$C$405,F637,'Istoric_Nativ'!$E$6:$E$405,G637,'Istoric_Nativ'!$D$6:$D$405,"&lt;"&amp;J637,'Istoric_Nativ'!$O$6:$O$405,"INVALID")+COUNTIFS('Istoric_Nativ'!$B$6:$B$405,E637,'Istoric_Nativ'!$C$6:$C$405,F637,'Istoric_Nativ'!$E$6:$E$405,G637,'Istoric_Nativ'!$O$6:$O$405,"INVALID",'Istoric_Nativ'!$D$6:$D$405,"*")+COUNTIFS('Istoric_Nativ'!$B$6:$B$405,E637,'Istoric_Nativ'!$C$6:$C$405,F637,'Istoric_Nativ'!$E$6:$E$405,G637,'Istoric_Nativ'!$D$6:$D$405,"&lt;"&amp;J637,'Istoric_Nativ'!$O$6:$O$405,"SOURCE CONFLICT")+COUNTIFS('Istoric_Nativ'!$B$6:$B$405,E637,'Istoric_Nativ'!$C$6:$C$405,F637,'Istoric_Nativ'!$F$6:$F$405,G637,'Istoric_Nativ'!$D$6:$D$405,"&lt;"&amp;J637,'Istoric_Nativ'!$O$6:$O$405,"INVALID")+COUNTIFS('Istoric_Nativ'!$B$6:$B$405,E637,'Istoric_Nativ'!$C$6:$C$405,F637,'Istoric_Nativ'!$F$6:$F$405,G637,'Istoric_Nativ'!$O$6:$O$405,"INVALID",'Istoric_Nativ'!$D$6:$D$405,"*")+COUNTIFS('Istoric_Nativ'!$B$6:$B$405,E637,'Istoric_Nativ'!$C$6:$C$405,F637,'Istoric_Nativ'!$F$6:$F$405,G637,'Istoric_Nativ'!$D$6:$D$405,"&lt;"&amp;J637,'Istoric_Nativ'!$O$6:$O$405,"SOURCE CONFLICT"))</x:f>
        <x:v>0</x:v>
      </x:c>
      <x:c r="T637" s="2" t="str">
        <x:f>IF(B637="","",IF(R637&lt;&gt;"CLOSED",R637,IF(S637&gt;0,"NATIVE INPUT ISSUE",IF(M637=0,"NO HISTORY",IF(M637&lt;P637,"SMALL SAMPLE","DERIVED")))))</x:f>
      </x:c>
      <x:c r="U637" s="2" t="str">
        <x:f>IF(B637="","","NativeTable; "&amp;E637&amp;"; "&amp;F637&amp;"; "&amp;G637&amp;"; "&amp;H637&amp;"; before "&amp;TEXT(J637,"yyyy-mm-dd")&amp;IF(I637="RECENT","; from "&amp;TEXT(L637,"yyyy-mm-dd"),""))</x:f>
      </x:c>
    </x:row>
    <x:row r="638" ht="21" customHeight="1">
      <x:c r="A638" s="2" t="n">
        <x:v>53</x:v>
      </x:c>
      <x:c r="B638" s="2" t="str">
        <x:f>IF('Input_Meci'!A58="","",'Input_Meci'!A58)</x:f>
      </x:c>
      <x:c r="C638" s="2" t="str">
        <x:v>H</x:v>
      </x:c>
      <x:c r="D638" s="2" t="str">
        <x:v>PRIOR</x:v>
      </x:c>
      <x:c r="E638" s="2" t="str">
        <x:f>IF(B638="","",'Input_Meci'!B58)</x:f>
      </x:c>
      <x:c r="F638" s="2" t="str">
        <x:f>IF(B638="","",IF('Input_Meci'!K58="","",'Input_Meci'!K58))</x:f>
      </x:c>
      <x:c r="G638" s="2" t="str">
        <x:f>IF(B638="","",'Input_Meci'!D58)</x:f>
      </x:c>
      <x:c r="H638" s="2" t="str">
        <x:v>ANY</x:v>
      </x:c>
      <x:c r="I638" s="2" t="str">
        <x:v>RECENT</x:v>
      </x:c>
      <x:c r="J638" s="9" t="n">
        <x:f>IF(AND(B638&lt;&gt;"",ISNUMBER('Input_Meci'!G58)),INT('Input_Meci'!G58),0)</x:f>
        <x:v>0</x:v>
      </x:c>
      <x:c r="K638" s="2" t="n">
        <x:f>IF(OR(B638="",F638=""),0,IF(H638="HOME",COUNTIFS('Istoric_Nativ'!$B$6:$B$405,E638,'Istoric_Nativ'!$C$6:$C$405,F638,'Istoric_Nativ'!$E$6:$E$405,G638,'Istoric_Nativ'!$D$6:$D$405,"&lt;"&amp;J638,'Istoric_Nativ'!$P$6:$P$405,1),IF(H638="AWAY",COUNTIFS('Istoric_Nativ'!$B$6:$B$405,E638,'Istoric_Nativ'!$C$6:$C$405,F638,'Istoric_Nativ'!$F$6:$F$405,G638,'Istoric_Nativ'!$D$6:$D$405,"&lt;"&amp;J638,'Istoric_Nativ'!$P$6:$P$405,1),COUNTIFS('Istoric_Nativ'!$B$6:$B$405,E638,'Istoric_Nativ'!$C$6:$C$405,F638,'Istoric_Nativ'!$E$6:$E$405,G638,'Istoric_Nativ'!$D$6:$D$405,"&lt;"&amp;J638,'Istoric_Nativ'!$P$6:$P$405,1)+COUNTIFS('Istoric_Nativ'!$B$6:$B$405,E638,'Istoric_Nativ'!$C$6:$C$405,F638,'Istoric_Nativ'!$F$6:$F$405,G638,'Istoric_Nativ'!$D$6:$D$405,"&lt;"&amp;J638,'Istoric_Nativ'!$P$6:$P$405,1))))</x:f>
        <x:v>0</x:v>
      </x:c>
      <x:c r="L638" s="17" t="n">
        <x:f>IF(AND(B638&lt;&gt;"",I638="RECENT",K638&gt;0),LARGE(_xlfn._xlws.FILTER('Istoric_Nativ'!$D$6:$D$405,('Istoric_Nativ'!$B$6:$B$405=E638)*('Istoric_Nativ'!$C$6:$C$405=F638)*('Istoric_Nativ'!$P$6:$P$405=1)*('Istoric_Nativ'!$D$6:$D$405&lt;J638)*((('Istoric_Nativ'!$E$6:$E$405=G638)+('Istoric_Nativ'!$F$6:$F$405=G638))&gt;0)),MIN('Config_v6'!$B$54,K638)),0)</x:f>
        <x:v>0</x:v>
      </x:c>
      <x:c r="M638" s="2" t="n">
        <x:f>IF(OR(B638="",F638=""),0,IF(H638="HOME",COUNTIFS('Istoric_Nativ'!$B$6:$B$405,E638,'Istoric_Nativ'!$C$6:$C$405,F638,'Istoric_Nativ'!$E$6:$E$405,G638,'Istoric_Nativ'!$D$6:$D$405,"&lt;"&amp;J638,'Istoric_Nativ'!$P$6:$P$405,1,'Istoric_Nativ'!$D$6:$D$405,"&gt;="&amp;L638),IF(H638="AWAY",COUNTIFS('Istoric_Nativ'!$B$6:$B$405,E638,'Istoric_Nativ'!$C$6:$C$405,F638,'Istoric_Nativ'!$F$6:$F$405,G638,'Istoric_Nativ'!$D$6:$D$405,"&lt;"&amp;J638,'Istoric_Nativ'!$P$6:$P$405,1,'Istoric_Nativ'!$D$6:$D$405,"&gt;="&amp;L638),COUNTIFS('Istoric_Nativ'!$B$6:$B$405,E638,'Istoric_Nativ'!$C$6:$C$405,F638,'Istoric_Nativ'!$E$6:$E$405,G638,'Istoric_Nativ'!$D$6:$D$405,"&lt;"&amp;J638,'Istoric_Nativ'!$P$6:$P$405,1,'Istoric_Nativ'!$D$6:$D$405,"&gt;="&amp;L638)+COUNTIFS('Istoric_Nativ'!$B$6:$B$405,E638,'Istoric_Nativ'!$C$6:$C$405,F638,'Istoric_Nativ'!$F$6:$F$405,G638,'Istoric_Nativ'!$D$6:$D$405,"&lt;"&amp;J638,'Istoric_Nativ'!$P$6:$P$405,1,'Istoric_Nativ'!$D$6:$D$405,"&gt;="&amp;L638))))</x:f>
        <x:v>0</x:v>
      </x:c>
      <x:c r="N638" s="11" t="str">
        <x:f>IF(M638=0,"",IF(H638="HOME",SUMIFS('Istoric_Nativ'!$G$6:$G$405,'Istoric_Nativ'!$B$6:$B$405,E638,'Istoric_Nativ'!$C$6:$C$405,F638,'Istoric_Nativ'!$E$6:$E$405,G638,'Istoric_Nativ'!$D$6:$D$405,"&lt;"&amp;J638,'Istoric_Nativ'!$P$6:$P$405,1,'Istoric_Nativ'!$D$6:$D$405,"&gt;="&amp;L638),IF(H638="AWAY",SUMIFS('Istoric_Nativ'!$H$6:$H$405,'Istoric_Nativ'!$B$6:$B$405,E638,'Istoric_Nativ'!$C$6:$C$405,F638,'Istoric_Nativ'!$F$6:$F$405,G638,'Istoric_Nativ'!$D$6:$D$405,"&lt;"&amp;J638,'Istoric_Nativ'!$P$6:$P$405,1,'Istoric_Nativ'!$D$6:$D$405,"&gt;="&amp;L638),SUMIFS('Istoric_Nativ'!$G$6:$G$405,'Istoric_Nativ'!$B$6:$B$405,E638,'Istoric_Nativ'!$C$6:$C$405,F638,'Istoric_Nativ'!$E$6:$E$405,G638,'Istoric_Nativ'!$D$6:$D$405,"&lt;"&amp;J638,'Istoric_Nativ'!$P$6:$P$405,1,'Istoric_Nativ'!$D$6:$D$405,"&gt;="&amp;L638)+SUMIFS('Istoric_Nativ'!$H$6:$H$405,'Istoric_Nativ'!$B$6:$B$405,E638,'Istoric_Nativ'!$C$6:$C$405,F638,'Istoric_Nativ'!$F$6:$F$405,G638,'Istoric_Nativ'!$D$6:$D$405,"&lt;"&amp;J638,'Istoric_Nativ'!$P$6:$P$405,1,'Istoric_Nativ'!$D$6:$D$405,"&gt;="&amp;L638)))/M638)</x:f>
      </x:c>
      <x:c r="O638" s="11" t="str">
        <x:f>IF(M638=0,"",IF(H638="HOME",SUMIFS('Istoric_Nativ'!$H$6:$H$405,'Istoric_Nativ'!$B$6:$B$405,E638,'Istoric_Nativ'!$C$6:$C$405,F638,'Istoric_Nativ'!$E$6:$E$405,G638,'Istoric_Nativ'!$D$6:$D$405,"&lt;"&amp;J638,'Istoric_Nativ'!$P$6:$P$405,1,'Istoric_Nativ'!$D$6:$D$405,"&gt;="&amp;L638),IF(H638="AWAY",SUMIFS('Istoric_Nativ'!$G$6:$G$405,'Istoric_Nativ'!$B$6:$B$405,E638,'Istoric_Nativ'!$C$6:$C$405,F638,'Istoric_Nativ'!$F$6:$F$405,G638,'Istoric_Nativ'!$D$6:$D$405,"&lt;"&amp;J638,'Istoric_Nativ'!$P$6:$P$405,1,'Istoric_Nativ'!$D$6:$D$405,"&gt;="&amp;L638),SUMIFS('Istoric_Nativ'!$H$6:$H$405,'Istoric_Nativ'!$B$6:$B$405,E638,'Istoric_Nativ'!$C$6:$C$405,F638,'Istoric_Nativ'!$E$6:$E$405,G638,'Istoric_Nativ'!$D$6:$D$405,"&lt;"&amp;J638,'Istoric_Nativ'!$P$6:$P$405,1,'Istoric_Nativ'!$D$6:$D$405,"&gt;="&amp;L638)+SUMIFS('Istoric_Nativ'!$G$6:$G$405,'Istoric_Nativ'!$B$6:$B$405,E638,'Istoric_Nativ'!$C$6:$C$405,F638,'Istoric_Nativ'!$F$6:$F$405,G638,'Istoric_Nativ'!$D$6:$D$405,"&lt;"&amp;J638,'Istoric_Nativ'!$P$6:$P$405,1,'Istoric_Nativ'!$D$6:$D$405,"&gt;="&amp;L638)))/M638)</x:f>
      </x:c>
      <x:c r="P638" s="2" t="n">
        <x:f>'Config_v6'!$B$9</x:f>
        <x:v>3</x:v>
      </x:c>
      <x:c r="Q638" s="2" t="n">
        <x:f>IF(OR(B638="",F638=""),0,IFERROR(MATCH(E638&amp;"|"&amp;F638,SourceTable[Source_Key],0),0))</x:f>
        <x:v>0</x:v>
      </x:c>
      <x:c r="R638" s="2" t="str">
        <x:f>IF(B638="","",IF(F638="","UNUSED",IF(Q638=0,"NOT CHECKED",IF(COUNTIF(SourceTable[Source_Key],E638&amp;"|"&amp;F638)&lt;&gt;1,"SOURCE CONFLICT",IF(NOT(OR(INDEX(SourceTable[Status],MAX(1,Q638))="IMPORTED",INDEX(SourceTable[Status],MAX(1,Q638))="PARTIAL",INDEX(SourceTable[Status],MAX(1,Q638))="SOURCE CONFLICT")),"ACCESS BLOCKED",IF(OR(INDEX(SourceTable[Coverage],Q638)&lt;&gt;"FULL SEASON EXPORT",INDEX(SourceTable[URL],Q638)="",INDEX(SourceTable[SHA256],Q638)=""),"EVIDENCE INCOMPLETE",IF(AND('Input_Meci'!H58="LIVE",INDEX(SourceTable[Retrieved_UTC],Q638)&gt;'Input_Meci'!G58),"POST CUTOFF","CLOSED")))))))</x:f>
      </x:c>
      <x:c r="S638" s="2" t="n">
        <x:f>IF(OR(B638="",F638=""),0,COUNTIFS('Istoric_Nativ'!$B$6:$B$405,E638,'Istoric_Nativ'!$C$6:$C$405,F638,'Istoric_Nativ'!$E$6:$E$405,G638,'Istoric_Nativ'!$D$6:$D$405,"&lt;"&amp;J638,'Istoric_Nativ'!$O$6:$O$405,"INVALID")+COUNTIFS('Istoric_Nativ'!$B$6:$B$405,E638,'Istoric_Nativ'!$C$6:$C$405,F638,'Istoric_Nativ'!$E$6:$E$405,G638,'Istoric_Nativ'!$O$6:$O$405,"INVALID",'Istoric_Nativ'!$D$6:$D$405,"*")+COUNTIFS('Istoric_Nativ'!$B$6:$B$405,E638,'Istoric_Nativ'!$C$6:$C$405,F638,'Istoric_Nativ'!$E$6:$E$405,G638,'Istoric_Nativ'!$D$6:$D$405,"&lt;"&amp;J638,'Istoric_Nativ'!$O$6:$O$405,"SOURCE CONFLICT")+COUNTIFS('Istoric_Nativ'!$B$6:$B$405,E638,'Istoric_Nativ'!$C$6:$C$405,F638,'Istoric_Nativ'!$F$6:$F$405,G638,'Istoric_Nativ'!$D$6:$D$405,"&lt;"&amp;J638,'Istoric_Nativ'!$O$6:$O$405,"INVALID")+COUNTIFS('Istoric_Nativ'!$B$6:$B$405,E638,'Istoric_Nativ'!$C$6:$C$405,F638,'Istoric_Nativ'!$F$6:$F$405,G638,'Istoric_Nativ'!$O$6:$O$405,"INVALID",'Istoric_Nativ'!$D$6:$D$405,"*")+COUNTIFS('Istoric_Nativ'!$B$6:$B$405,E638,'Istoric_Nativ'!$C$6:$C$405,F638,'Istoric_Nativ'!$F$6:$F$405,G638,'Istoric_Nativ'!$D$6:$D$405,"&lt;"&amp;J638,'Istoric_Nativ'!$O$6:$O$405,"SOURCE CONFLICT"))</x:f>
        <x:v>0</x:v>
      </x:c>
      <x:c r="T638" s="2" t="str">
        <x:f>IF(B638="","",IF(R638&lt;&gt;"CLOSED",R638,IF(S638&gt;0,"NATIVE INPUT ISSUE",IF(M638=0,"NO HISTORY",IF(M638&lt;P638,"SMALL SAMPLE","DERIVED")))))</x:f>
      </x:c>
      <x:c r="U638" s="2" t="str">
        <x:f>IF(B638="","","NativeTable; "&amp;E638&amp;"; "&amp;F638&amp;"; "&amp;G638&amp;"; "&amp;H638&amp;"; before "&amp;TEXT(J638,"yyyy-mm-dd")&amp;IF(I638="RECENT","; from "&amp;TEXT(L638,"yyyy-mm-dd"),""))</x:f>
      </x:c>
    </x:row>
    <x:row r="639" ht="21" customHeight="1">
      <x:c r="A639" s="2" t="n">
        <x:v>53</x:v>
      </x:c>
      <x:c r="B639" s="2" t="str">
        <x:f>IF('Input_Meci'!A58="","",'Input_Meci'!A58)</x:f>
      </x:c>
      <x:c r="C639" s="2" t="str">
        <x:v>A</x:v>
      </x:c>
      <x:c r="D639" s="2" t="str">
        <x:v>PRIOR</x:v>
      </x:c>
      <x:c r="E639" s="2" t="str">
        <x:f>IF(B639="","",'Input_Meci'!B58)</x:f>
      </x:c>
      <x:c r="F639" s="2" t="str">
        <x:f>IF(B639="","",IF('Input_Meci'!K58="","",'Input_Meci'!K58))</x:f>
      </x:c>
      <x:c r="G639" s="2" t="str">
        <x:f>IF(B639="","",'Input_Meci'!E58)</x:f>
      </x:c>
      <x:c r="H639" s="2" t="str">
        <x:v>ANY</x:v>
      </x:c>
      <x:c r="I639" s="2" t="str">
        <x:v>SEASON</x:v>
      </x:c>
      <x:c r="J639" s="9" t="n">
        <x:f>IF(AND(B639&lt;&gt;"",ISNUMBER('Input_Meci'!G58)),INT('Input_Meci'!G58),0)</x:f>
        <x:v>0</x:v>
      </x:c>
      <x:c r="K639" s="2" t="n">
        <x:f>IF(OR(B639="",F639=""),0,IF(H639="HOME",COUNTIFS('Istoric_Nativ'!$B$6:$B$405,E639,'Istoric_Nativ'!$C$6:$C$405,F639,'Istoric_Nativ'!$E$6:$E$405,G639,'Istoric_Nativ'!$D$6:$D$405,"&lt;"&amp;J639,'Istoric_Nativ'!$P$6:$P$405,1),IF(H639="AWAY",COUNTIFS('Istoric_Nativ'!$B$6:$B$405,E639,'Istoric_Nativ'!$C$6:$C$405,F639,'Istoric_Nativ'!$F$6:$F$405,G639,'Istoric_Nativ'!$D$6:$D$405,"&lt;"&amp;J639,'Istoric_Nativ'!$P$6:$P$405,1),COUNTIFS('Istoric_Nativ'!$B$6:$B$405,E639,'Istoric_Nativ'!$C$6:$C$405,F639,'Istoric_Nativ'!$E$6:$E$405,G639,'Istoric_Nativ'!$D$6:$D$405,"&lt;"&amp;J639,'Istoric_Nativ'!$P$6:$P$405,1)+COUNTIFS('Istoric_Nativ'!$B$6:$B$405,E639,'Istoric_Nativ'!$C$6:$C$405,F639,'Istoric_Nativ'!$F$6:$F$405,G639,'Istoric_Nativ'!$D$6:$D$405,"&lt;"&amp;J639,'Istoric_Nativ'!$P$6:$P$405,1))))</x:f>
        <x:v>0</x:v>
      </x:c>
      <x:c r="L639" s="17" t="n">
        <x:f>IF(AND(B639&lt;&gt;"",I639="RECENT",K639&gt;0),LARGE(_xlfn._xlws.FILTER('Istoric_Nativ'!$D$6:$D$405,('Istoric_Nativ'!$B$6:$B$405=E639)*('Istoric_Nativ'!$C$6:$C$405=F639)*('Istoric_Nativ'!$P$6:$P$405=1)*('Istoric_Nativ'!$D$6:$D$405&lt;J639)*((('Istoric_Nativ'!$E$6:$E$405=G639)+('Istoric_Nativ'!$F$6:$F$405=G639))&gt;0)),MIN('Config_v6'!$B$54,K639)),0)</x:f>
        <x:v>0</x:v>
      </x:c>
      <x:c r="M639" s="2" t="n">
        <x:f>IF(OR(B639="",F639=""),0,IF(H639="HOME",COUNTIFS('Istoric_Nativ'!$B$6:$B$405,E639,'Istoric_Nativ'!$C$6:$C$405,F639,'Istoric_Nativ'!$E$6:$E$405,G639,'Istoric_Nativ'!$D$6:$D$405,"&lt;"&amp;J639,'Istoric_Nativ'!$P$6:$P$405,1,'Istoric_Nativ'!$D$6:$D$405,"&gt;="&amp;L639),IF(H639="AWAY",COUNTIFS('Istoric_Nativ'!$B$6:$B$405,E639,'Istoric_Nativ'!$C$6:$C$405,F639,'Istoric_Nativ'!$F$6:$F$405,G639,'Istoric_Nativ'!$D$6:$D$405,"&lt;"&amp;J639,'Istoric_Nativ'!$P$6:$P$405,1,'Istoric_Nativ'!$D$6:$D$405,"&gt;="&amp;L639),COUNTIFS('Istoric_Nativ'!$B$6:$B$405,E639,'Istoric_Nativ'!$C$6:$C$405,F639,'Istoric_Nativ'!$E$6:$E$405,G639,'Istoric_Nativ'!$D$6:$D$405,"&lt;"&amp;J639,'Istoric_Nativ'!$P$6:$P$405,1,'Istoric_Nativ'!$D$6:$D$405,"&gt;="&amp;L639)+COUNTIFS('Istoric_Nativ'!$B$6:$B$405,E639,'Istoric_Nativ'!$C$6:$C$405,F639,'Istoric_Nativ'!$F$6:$F$405,G639,'Istoric_Nativ'!$D$6:$D$405,"&lt;"&amp;J639,'Istoric_Nativ'!$P$6:$P$405,1,'Istoric_Nativ'!$D$6:$D$405,"&gt;="&amp;L639))))</x:f>
        <x:v>0</x:v>
      </x:c>
      <x:c r="N639" s="11" t="str">
        <x:f>IF(M639=0,"",IF(H639="HOME",SUMIFS('Istoric_Nativ'!$G$6:$G$405,'Istoric_Nativ'!$B$6:$B$405,E639,'Istoric_Nativ'!$C$6:$C$405,F639,'Istoric_Nativ'!$E$6:$E$405,G639,'Istoric_Nativ'!$D$6:$D$405,"&lt;"&amp;J639,'Istoric_Nativ'!$P$6:$P$405,1,'Istoric_Nativ'!$D$6:$D$405,"&gt;="&amp;L639),IF(H639="AWAY",SUMIFS('Istoric_Nativ'!$H$6:$H$405,'Istoric_Nativ'!$B$6:$B$405,E639,'Istoric_Nativ'!$C$6:$C$405,F639,'Istoric_Nativ'!$F$6:$F$405,G639,'Istoric_Nativ'!$D$6:$D$405,"&lt;"&amp;J639,'Istoric_Nativ'!$P$6:$P$405,1,'Istoric_Nativ'!$D$6:$D$405,"&gt;="&amp;L639),SUMIFS('Istoric_Nativ'!$G$6:$G$405,'Istoric_Nativ'!$B$6:$B$405,E639,'Istoric_Nativ'!$C$6:$C$405,F639,'Istoric_Nativ'!$E$6:$E$405,G639,'Istoric_Nativ'!$D$6:$D$405,"&lt;"&amp;J639,'Istoric_Nativ'!$P$6:$P$405,1,'Istoric_Nativ'!$D$6:$D$405,"&gt;="&amp;L639)+SUMIFS('Istoric_Nativ'!$H$6:$H$405,'Istoric_Nativ'!$B$6:$B$405,E639,'Istoric_Nativ'!$C$6:$C$405,F639,'Istoric_Nativ'!$F$6:$F$405,G639,'Istoric_Nativ'!$D$6:$D$405,"&lt;"&amp;J639,'Istoric_Nativ'!$P$6:$P$405,1,'Istoric_Nativ'!$D$6:$D$405,"&gt;="&amp;L639)))/M639)</x:f>
      </x:c>
      <x:c r="O639" s="11" t="str">
        <x:f>IF(M639=0,"",IF(H639="HOME",SUMIFS('Istoric_Nativ'!$H$6:$H$405,'Istoric_Nativ'!$B$6:$B$405,E639,'Istoric_Nativ'!$C$6:$C$405,F639,'Istoric_Nativ'!$E$6:$E$405,G639,'Istoric_Nativ'!$D$6:$D$405,"&lt;"&amp;J639,'Istoric_Nativ'!$P$6:$P$405,1,'Istoric_Nativ'!$D$6:$D$405,"&gt;="&amp;L639),IF(H639="AWAY",SUMIFS('Istoric_Nativ'!$G$6:$G$405,'Istoric_Nativ'!$B$6:$B$405,E639,'Istoric_Nativ'!$C$6:$C$405,F639,'Istoric_Nativ'!$F$6:$F$405,G639,'Istoric_Nativ'!$D$6:$D$405,"&lt;"&amp;J639,'Istoric_Nativ'!$P$6:$P$405,1,'Istoric_Nativ'!$D$6:$D$405,"&gt;="&amp;L639),SUMIFS('Istoric_Nativ'!$H$6:$H$405,'Istoric_Nativ'!$B$6:$B$405,E639,'Istoric_Nativ'!$C$6:$C$405,F639,'Istoric_Nativ'!$E$6:$E$405,G639,'Istoric_Nativ'!$D$6:$D$405,"&lt;"&amp;J639,'Istoric_Nativ'!$P$6:$P$405,1,'Istoric_Nativ'!$D$6:$D$405,"&gt;="&amp;L639)+SUMIFS('Istoric_Nativ'!$G$6:$G$405,'Istoric_Nativ'!$B$6:$B$405,E639,'Istoric_Nativ'!$C$6:$C$405,F639,'Istoric_Nativ'!$F$6:$F$405,G639,'Istoric_Nativ'!$D$6:$D$405,"&lt;"&amp;J639,'Istoric_Nativ'!$P$6:$P$405,1,'Istoric_Nativ'!$D$6:$D$405,"&gt;="&amp;L639)))/M639)</x:f>
      </x:c>
      <x:c r="P639" s="2" t="n">
        <x:f>'Config_v6'!$B$7</x:f>
        <x:v>10</x:v>
      </x:c>
      <x:c r="Q639" s="2" t="n">
        <x:f>IF(OR(B639="",F639=""),0,IFERROR(MATCH(E639&amp;"|"&amp;F639,SourceTable[Source_Key],0),0))</x:f>
        <x:v>0</x:v>
      </x:c>
      <x:c r="R639" s="2" t="str">
        <x:f>IF(B639="","",IF(F639="","UNUSED",IF(Q639=0,"NOT CHECKED",IF(COUNTIF(SourceTable[Source_Key],E639&amp;"|"&amp;F639)&lt;&gt;1,"SOURCE CONFLICT",IF(NOT(OR(INDEX(SourceTable[Status],MAX(1,Q639))="IMPORTED",INDEX(SourceTable[Status],MAX(1,Q639))="PARTIAL",INDEX(SourceTable[Status],MAX(1,Q639))="SOURCE CONFLICT")),"ACCESS BLOCKED",IF(OR(INDEX(SourceTable[Coverage],Q639)&lt;&gt;"FULL SEASON EXPORT",INDEX(SourceTable[URL],Q639)="",INDEX(SourceTable[SHA256],Q639)=""),"EVIDENCE INCOMPLETE",IF(AND('Input_Meci'!H58="LIVE",INDEX(SourceTable[Retrieved_UTC],Q639)&gt;'Input_Meci'!G58),"POST CUTOFF","CLOSED")))))))</x:f>
      </x:c>
      <x:c r="S639" s="2" t="n">
        <x:f>IF(OR(B639="",F639=""),0,COUNTIFS('Istoric_Nativ'!$B$6:$B$405,E639,'Istoric_Nativ'!$C$6:$C$405,F639,'Istoric_Nativ'!$E$6:$E$405,G639,'Istoric_Nativ'!$D$6:$D$405,"&lt;"&amp;J639,'Istoric_Nativ'!$O$6:$O$405,"INVALID")+COUNTIFS('Istoric_Nativ'!$B$6:$B$405,E639,'Istoric_Nativ'!$C$6:$C$405,F639,'Istoric_Nativ'!$E$6:$E$405,G639,'Istoric_Nativ'!$O$6:$O$405,"INVALID",'Istoric_Nativ'!$D$6:$D$405,"*")+COUNTIFS('Istoric_Nativ'!$B$6:$B$405,E639,'Istoric_Nativ'!$C$6:$C$405,F639,'Istoric_Nativ'!$E$6:$E$405,G639,'Istoric_Nativ'!$D$6:$D$405,"&lt;"&amp;J639,'Istoric_Nativ'!$O$6:$O$405,"SOURCE CONFLICT")+COUNTIFS('Istoric_Nativ'!$B$6:$B$405,E639,'Istoric_Nativ'!$C$6:$C$405,F639,'Istoric_Nativ'!$F$6:$F$405,G639,'Istoric_Nativ'!$D$6:$D$405,"&lt;"&amp;J639,'Istoric_Nativ'!$O$6:$O$405,"INVALID")+COUNTIFS('Istoric_Nativ'!$B$6:$B$405,E639,'Istoric_Nativ'!$C$6:$C$405,F639,'Istoric_Nativ'!$F$6:$F$405,G639,'Istoric_Nativ'!$O$6:$O$405,"INVALID",'Istoric_Nativ'!$D$6:$D$405,"*")+COUNTIFS('Istoric_Nativ'!$B$6:$B$405,E639,'Istoric_Nativ'!$C$6:$C$405,F639,'Istoric_Nativ'!$F$6:$F$405,G639,'Istoric_Nativ'!$D$6:$D$405,"&lt;"&amp;J639,'Istoric_Nativ'!$O$6:$O$405,"SOURCE CONFLICT"))</x:f>
        <x:v>0</x:v>
      </x:c>
      <x:c r="T639" s="2" t="str">
        <x:f>IF(B639="","",IF(R639&lt;&gt;"CLOSED",R639,IF(S639&gt;0,"NATIVE INPUT ISSUE",IF(M639=0,"NO HISTORY",IF(M639&lt;P639,"SMALL SAMPLE","DERIVED")))))</x:f>
      </x:c>
      <x:c r="U639" s="2" t="str">
        <x:f>IF(B639="","","NativeTable; "&amp;E639&amp;"; "&amp;F639&amp;"; "&amp;G639&amp;"; "&amp;H639&amp;"; before "&amp;TEXT(J639,"yyyy-mm-dd")&amp;IF(I639="RECENT","; from "&amp;TEXT(L639,"yyyy-mm-dd"),""))</x:f>
      </x:c>
    </x:row>
    <x:row r="640" ht="21" customHeight="1">
      <x:c r="A640" s="2" t="n">
        <x:v>53</x:v>
      </x:c>
      <x:c r="B640" s="2" t="str">
        <x:f>IF('Input_Meci'!A58="","",'Input_Meci'!A58)</x:f>
      </x:c>
      <x:c r="C640" s="2" t="str">
        <x:v>A</x:v>
      </x:c>
      <x:c r="D640" s="2" t="str">
        <x:v>PRIOR</x:v>
      </x:c>
      <x:c r="E640" s="2" t="str">
        <x:f>IF(B640="","",'Input_Meci'!B58)</x:f>
      </x:c>
      <x:c r="F640" s="2" t="str">
        <x:f>IF(B640="","",IF('Input_Meci'!K58="","",'Input_Meci'!K58))</x:f>
      </x:c>
      <x:c r="G640" s="2" t="str">
        <x:f>IF(B640="","",'Input_Meci'!E58)</x:f>
      </x:c>
      <x:c r="H640" s="2" t="str">
        <x:v>AWAY</x:v>
      </x:c>
      <x:c r="I640" s="2" t="str">
        <x:v>HA</x:v>
      </x:c>
      <x:c r="J640" s="9" t="n">
        <x:f>IF(AND(B640&lt;&gt;"",ISNUMBER('Input_Meci'!G58)),INT('Input_Meci'!G58),0)</x:f>
        <x:v>0</x:v>
      </x:c>
      <x:c r="K640" s="2" t="n">
        <x:f>IF(OR(B640="",F640=""),0,IF(H640="HOME",COUNTIFS('Istoric_Nativ'!$B$6:$B$405,E640,'Istoric_Nativ'!$C$6:$C$405,F640,'Istoric_Nativ'!$E$6:$E$405,G640,'Istoric_Nativ'!$D$6:$D$405,"&lt;"&amp;J640,'Istoric_Nativ'!$P$6:$P$405,1),IF(H640="AWAY",COUNTIFS('Istoric_Nativ'!$B$6:$B$405,E640,'Istoric_Nativ'!$C$6:$C$405,F640,'Istoric_Nativ'!$F$6:$F$405,G640,'Istoric_Nativ'!$D$6:$D$405,"&lt;"&amp;J640,'Istoric_Nativ'!$P$6:$P$405,1),COUNTIFS('Istoric_Nativ'!$B$6:$B$405,E640,'Istoric_Nativ'!$C$6:$C$405,F640,'Istoric_Nativ'!$E$6:$E$405,G640,'Istoric_Nativ'!$D$6:$D$405,"&lt;"&amp;J640,'Istoric_Nativ'!$P$6:$P$405,1)+COUNTIFS('Istoric_Nativ'!$B$6:$B$405,E640,'Istoric_Nativ'!$C$6:$C$405,F640,'Istoric_Nativ'!$F$6:$F$405,G640,'Istoric_Nativ'!$D$6:$D$405,"&lt;"&amp;J640,'Istoric_Nativ'!$P$6:$P$405,1))))</x:f>
        <x:v>0</x:v>
      </x:c>
      <x:c r="L640" s="17" t="n">
        <x:f>IF(AND(B640&lt;&gt;"",I640="RECENT",K640&gt;0),LARGE(_xlfn._xlws.FILTER('Istoric_Nativ'!$D$6:$D$405,('Istoric_Nativ'!$B$6:$B$405=E640)*('Istoric_Nativ'!$C$6:$C$405=F640)*('Istoric_Nativ'!$P$6:$P$405=1)*('Istoric_Nativ'!$D$6:$D$405&lt;J640)*((('Istoric_Nativ'!$E$6:$E$405=G640)+('Istoric_Nativ'!$F$6:$F$405=G640))&gt;0)),MIN('Config_v6'!$B$54,K640)),0)</x:f>
        <x:v>0</x:v>
      </x:c>
      <x:c r="M640" s="2" t="n">
        <x:f>IF(OR(B640="",F640=""),0,IF(H640="HOME",COUNTIFS('Istoric_Nativ'!$B$6:$B$405,E640,'Istoric_Nativ'!$C$6:$C$405,F640,'Istoric_Nativ'!$E$6:$E$405,G640,'Istoric_Nativ'!$D$6:$D$405,"&lt;"&amp;J640,'Istoric_Nativ'!$P$6:$P$405,1,'Istoric_Nativ'!$D$6:$D$405,"&gt;="&amp;L640),IF(H640="AWAY",COUNTIFS('Istoric_Nativ'!$B$6:$B$405,E640,'Istoric_Nativ'!$C$6:$C$405,F640,'Istoric_Nativ'!$F$6:$F$405,G640,'Istoric_Nativ'!$D$6:$D$405,"&lt;"&amp;J640,'Istoric_Nativ'!$P$6:$P$405,1,'Istoric_Nativ'!$D$6:$D$405,"&gt;="&amp;L640),COUNTIFS('Istoric_Nativ'!$B$6:$B$405,E640,'Istoric_Nativ'!$C$6:$C$405,F640,'Istoric_Nativ'!$E$6:$E$405,G640,'Istoric_Nativ'!$D$6:$D$405,"&lt;"&amp;J640,'Istoric_Nativ'!$P$6:$P$405,1,'Istoric_Nativ'!$D$6:$D$405,"&gt;="&amp;L640)+COUNTIFS('Istoric_Nativ'!$B$6:$B$405,E640,'Istoric_Nativ'!$C$6:$C$405,F640,'Istoric_Nativ'!$F$6:$F$405,G640,'Istoric_Nativ'!$D$6:$D$405,"&lt;"&amp;J640,'Istoric_Nativ'!$P$6:$P$405,1,'Istoric_Nativ'!$D$6:$D$405,"&gt;="&amp;L640))))</x:f>
        <x:v>0</x:v>
      </x:c>
      <x:c r="N640" s="11" t="str">
        <x:f>IF(M640=0,"",IF(H640="HOME",SUMIFS('Istoric_Nativ'!$G$6:$G$405,'Istoric_Nativ'!$B$6:$B$405,E640,'Istoric_Nativ'!$C$6:$C$405,F640,'Istoric_Nativ'!$E$6:$E$405,G640,'Istoric_Nativ'!$D$6:$D$405,"&lt;"&amp;J640,'Istoric_Nativ'!$P$6:$P$405,1,'Istoric_Nativ'!$D$6:$D$405,"&gt;="&amp;L640),IF(H640="AWAY",SUMIFS('Istoric_Nativ'!$H$6:$H$405,'Istoric_Nativ'!$B$6:$B$405,E640,'Istoric_Nativ'!$C$6:$C$405,F640,'Istoric_Nativ'!$F$6:$F$405,G640,'Istoric_Nativ'!$D$6:$D$405,"&lt;"&amp;J640,'Istoric_Nativ'!$P$6:$P$405,1,'Istoric_Nativ'!$D$6:$D$405,"&gt;="&amp;L640),SUMIFS('Istoric_Nativ'!$G$6:$G$405,'Istoric_Nativ'!$B$6:$B$405,E640,'Istoric_Nativ'!$C$6:$C$405,F640,'Istoric_Nativ'!$E$6:$E$405,G640,'Istoric_Nativ'!$D$6:$D$405,"&lt;"&amp;J640,'Istoric_Nativ'!$P$6:$P$405,1,'Istoric_Nativ'!$D$6:$D$405,"&gt;="&amp;L640)+SUMIFS('Istoric_Nativ'!$H$6:$H$405,'Istoric_Nativ'!$B$6:$B$405,E640,'Istoric_Nativ'!$C$6:$C$405,F640,'Istoric_Nativ'!$F$6:$F$405,G640,'Istoric_Nativ'!$D$6:$D$405,"&lt;"&amp;J640,'Istoric_Nativ'!$P$6:$P$405,1,'Istoric_Nativ'!$D$6:$D$405,"&gt;="&amp;L640)))/M640)</x:f>
      </x:c>
      <x:c r="O640" s="11" t="str">
        <x:f>IF(M640=0,"",IF(H640="HOME",SUMIFS('Istoric_Nativ'!$H$6:$H$405,'Istoric_Nativ'!$B$6:$B$405,E640,'Istoric_Nativ'!$C$6:$C$405,F640,'Istoric_Nativ'!$E$6:$E$405,G640,'Istoric_Nativ'!$D$6:$D$405,"&lt;"&amp;J640,'Istoric_Nativ'!$P$6:$P$405,1,'Istoric_Nativ'!$D$6:$D$405,"&gt;="&amp;L640),IF(H640="AWAY",SUMIFS('Istoric_Nativ'!$G$6:$G$405,'Istoric_Nativ'!$B$6:$B$405,E640,'Istoric_Nativ'!$C$6:$C$405,F640,'Istoric_Nativ'!$F$6:$F$405,G640,'Istoric_Nativ'!$D$6:$D$405,"&lt;"&amp;J640,'Istoric_Nativ'!$P$6:$P$405,1,'Istoric_Nativ'!$D$6:$D$405,"&gt;="&amp;L640),SUMIFS('Istoric_Nativ'!$H$6:$H$405,'Istoric_Nativ'!$B$6:$B$405,E640,'Istoric_Nativ'!$C$6:$C$405,F640,'Istoric_Nativ'!$E$6:$E$405,G640,'Istoric_Nativ'!$D$6:$D$405,"&lt;"&amp;J640,'Istoric_Nativ'!$P$6:$P$405,1,'Istoric_Nativ'!$D$6:$D$405,"&gt;="&amp;L640)+SUMIFS('Istoric_Nativ'!$G$6:$G$405,'Istoric_Nativ'!$B$6:$B$405,E640,'Istoric_Nativ'!$C$6:$C$405,F640,'Istoric_Nativ'!$F$6:$F$405,G640,'Istoric_Nativ'!$D$6:$D$405,"&lt;"&amp;J640,'Istoric_Nativ'!$P$6:$P$405,1,'Istoric_Nativ'!$D$6:$D$405,"&gt;="&amp;L640)))/M640)</x:f>
      </x:c>
      <x:c r="P640" s="2" t="n">
        <x:f>'Config_v6'!$B$8</x:f>
        <x:v>5</x:v>
      </x:c>
      <x:c r="Q640" s="2" t="n">
        <x:f>IF(OR(B640="",F640=""),0,IFERROR(MATCH(E640&amp;"|"&amp;F640,SourceTable[Source_Key],0),0))</x:f>
        <x:v>0</x:v>
      </x:c>
      <x:c r="R640" s="2" t="str">
        <x:f>IF(B640="","",IF(F640="","UNUSED",IF(Q640=0,"NOT CHECKED",IF(COUNTIF(SourceTable[Source_Key],E640&amp;"|"&amp;F640)&lt;&gt;1,"SOURCE CONFLICT",IF(NOT(OR(INDEX(SourceTable[Status],MAX(1,Q640))="IMPORTED",INDEX(SourceTable[Status],MAX(1,Q640))="PARTIAL",INDEX(SourceTable[Status],MAX(1,Q640))="SOURCE CONFLICT")),"ACCESS BLOCKED",IF(OR(INDEX(SourceTable[Coverage],Q640)&lt;&gt;"FULL SEASON EXPORT",INDEX(SourceTable[URL],Q640)="",INDEX(SourceTable[SHA256],Q640)=""),"EVIDENCE INCOMPLETE",IF(AND('Input_Meci'!H58="LIVE",INDEX(SourceTable[Retrieved_UTC],Q640)&gt;'Input_Meci'!G58),"POST CUTOFF","CLOSED")))))))</x:f>
      </x:c>
      <x:c r="S640" s="2" t="n">
        <x:f>IF(OR(B640="",F640=""),0,COUNTIFS('Istoric_Nativ'!$B$6:$B$405,E640,'Istoric_Nativ'!$C$6:$C$405,F640,'Istoric_Nativ'!$E$6:$E$405,G640,'Istoric_Nativ'!$D$6:$D$405,"&lt;"&amp;J640,'Istoric_Nativ'!$O$6:$O$405,"INVALID")+COUNTIFS('Istoric_Nativ'!$B$6:$B$405,E640,'Istoric_Nativ'!$C$6:$C$405,F640,'Istoric_Nativ'!$E$6:$E$405,G640,'Istoric_Nativ'!$O$6:$O$405,"INVALID",'Istoric_Nativ'!$D$6:$D$405,"*")+COUNTIFS('Istoric_Nativ'!$B$6:$B$405,E640,'Istoric_Nativ'!$C$6:$C$405,F640,'Istoric_Nativ'!$E$6:$E$405,G640,'Istoric_Nativ'!$D$6:$D$405,"&lt;"&amp;J640,'Istoric_Nativ'!$O$6:$O$405,"SOURCE CONFLICT")+COUNTIFS('Istoric_Nativ'!$B$6:$B$405,E640,'Istoric_Nativ'!$C$6:$C$405,F640,'Istoric_Nativ'!$F$6:$F$405,G640,'Istoric_Nativ'!$D$6:$D$405,"&lt;"&amp;J640,'Istoric_Nativ'!$O$6:$O$405,"INVALID")+COUNTIFS('Istoric_Nativ'!$B$6:$B$405,E640,'Istoric_Nativ'!$C$6:$C$405,F640,'Istoric_Nativ'!$F$6:$F$405,G640,'Istoric_Nativ'!$O$6:$O$405,"INVALID",'Istoric_Nativ'!$D$6:$D$405,"*")+COUNTIFS('Istoric_Nativ'!$B$6:$B$405,E640,'Istoric_Nativ'!$C$6:$C$405,F640,'Istoric_Nativ'!$F$6:$F$405,G640,'Istoric_Nativ'!$D$6:$D$405,"&lt;"&amp;J640,'Istoric_Nativ'!$O$6:$O$405,"SOURCE CONFLICT"))</x:f>
        <x:v>0</x:v>
      </x:c>
      <x:c r="T640" s="2" t="str">
        <x:f>IF(B640="","",IF(R640&lt;&gt;"CLOSED",R640,IF(S640&gt;0,"NATIVE INPUT ISSUE",IF(M640=0,"NO HISTORY",IF(M640&lt;P640,"SMALL SAMPLE","DERIVED")))))</x:f>
      </x:c>
      <x:c r="U640" s="2" t="str">
        <x:f>IF(B640="","","NativeTable; "&amp;E640&amp;"; "&amp;F640&amp;"; "&amp;G640&amp;"; "&amp;H640&amp;"; before "&amp;TEXT(J640,"yyyy-mm-dd")&amp;IF(I640="RECENT","; from "&amp;TEXT(L640,"yyyy-mm-dd"),""))</x:f>
      </x:c>
    </x:row>
    <x:row r="641" ht="21" customHeight="1">
      <x:c r="A641" s="2" t="n">
        <x:v>53</x:v>
      </x:c>
      <x:c r="B641" s="2" t="str">
        <x:f>IF('Input_Meci'!A58="","",'Input_Meci'!A58)</x:f>
      </x:c>
      <x:c r="C641" s="2" t="str">
        <x:v>A</x:v>
      </x:c>
      <x:c r="D641" s="2" t="str">
        <x:v>PRIOR</x:v>
      </x:c>
      <x:c r="E641" s="2" t="str">
        <x:f>IF(B641="","",'Input_Meci'!B58)</x:f>
      </x:c>
      <x:c r="F641" s="2" t="str">
        <x:f>IF(B641="","",IF('Input_Meci'!K58="","",'Input_Meci'!K58))</x:f>
      </x:c>
      <x:c r="G641" s="2" t="str">
        <x:f>IF(B641="","",'Input_Meci'!E58)</x:f>
      </x:c>
      <x:c r="H641" s="2" t="str">
        <x:v>ANY</x:v>
      </x:c>
      <x:c r="I641" s="2" t="str">
        <x:v>RECENT</x:v>
      </x:c>
      <x:c r="J641" s="9" t="n">
        <x:f>IF(AND(B641&lt;&gt;"",ISNUMBER('Input_Meci'!G58)),INT('Input_Meci'!G58),0)</x:f>
        <x:v>0</x:v>
      </x:c>
      <x:c r="K641" s="2" t="n">
        <x:f>IF(OR(B641="",F641=""),0,IF(H641="HOME",COUNTIFS('Istoric_Nativ'!$B$6:$B$405,E641,'Istoric_Nativ'!$C$6:$C$405,F641,'Istoric_Nativ'!$E$6:$E$405,G641,'Istoric_Nativ'!$D$6:$D$405,"&lt;"&amp;J641,'Istoric_Nativ'!$P$6:$P$405,1),IF(H641="AWAY",COUNTIFS('Istoric_Nativ'!$B$6:$B$405,E641,'Istoric_Nativ'!$C$6:$C$405,F641,'Istoric_Nativ'!$F$6:$F$405,G641,'Istoric_Nativ'!$D$6:$D$405,"&lt;"&amp;J641,'Istoric_Nativ'!$P$6:$P$405,1),COUNTIFS('Istoric_Nativ'!$B$6:$B$405,E641,'Istoric_Nativ'!$C$6:$C$405,F641,'Istoric_Nativ'!$E$6:$E$405,G641,'Istoric_Nativ'!$D$6:$D$405,"&lt;"&amp;J641,'Istoric_Nativ'!$P$6:$P$405,1)+COUNTIFS('Istoric_Nativ'!$B$6:$B$405,E641,'Istoric_Nativ'!$C$6:$C$405,F641,'Istoric_Nativ'!$F$6:$F$405,G641,'Istoric_Nativ'!$D$6:$D$405,"&lt;"&amp;J641,'Istoric_Nativ'!$P$6:$P$405,1))))</x:f>
        <x:v>0</x:v>
      </x:c>
      <x:c r="L641" s="17" t="n">
        <x:f>IF(AND(B641&lt;&gt;"",I641="RECENT",K641&gt;0),LARGE(_xlfn._xlws.FILTER('Istoric_Nativ'!$D$6:$D$405,('Istoric_Nativ'!$B$6:$B$405=E641)*('Istoric_Nativ'!$C$6:$C$405=F641)*('Istoric_Nativ'!$P$6:$P$405=1)*('Istoric_Nativ'!$D$6:$D$405&lt;J641)*((('Istoric_Nativ'!$E$6:$E$405=G641)+('Istoric_Nativ'!$F$6:$F$405=G641))&gt;0)),MIN('Config_v6'!$B$54,K641)),0)</x:f>
        <x:v>0</x:v>
      </x:c>
      <x:c r="M641" s="2" t="n">
        <x:f>IF(OR(B641="",F641=""),0,IF(H641="HOME",COUNTIFS('Istoric_Nativ'!$B$6:$B$405,E641,'Istoric_Nativ'!$C$6:$C$405,F641,'Istoric_Nativ'!$E$6:$E$405,G641,'Istoric_Nativ'!$D$6:$D$405,"&lt;"&amp;J641,'Istoric_Nativ'!$P$6:$P$405,1,'Istoric_Nativ'!$D$6:$D$405,"&gt;="&amp;L641),IF(H641="AWAY",COUNTIFS('Istoric_Nativ'!$B$6:$B$405,E641,'Istoric_Nativ'!$C$6:$C$405,F641,'Istoric_Nativ'!$F$6:$F$405,G641,'Istoric_Nativ'!$D$6:$D$405,"&lt;"&amp;J641,'Istoric_Nativ'!$P$6:$P$405,1,'Istoric_Nativ'!$D$6:$D$405,"&gt;="&amp;L641),COUNTIFS('Istoric_Nativ'!$B$6:$B$405,E641,'Istoric_Nativ'!$C$6:$C$405,F641,'Istoric_Nativ'!$E$6:$E$405,G641,'Istoric_Nativ'!$D$6:$D$405,"&lt;"&amp;J641,'Istoric_Nativ'!$P$6:$P$405,1,'Istoric_Nativ'!$D$6:$D$405,"&gt;="&amp;L641)+COUNTIFS('Istoric_Nativ'!$B$6:$B$405,E641,'Istoric_Nativ'!$C$6:$C$405,F641,'Istoric_Nativ'!$F$6:$F$405,G641,'Istoric_Nativ'!$D$6:$D$405,"&lt;"&amp;J641,'Istoric_Nativ'!$P$6:$P$405,1,'Istoric_Nativ'!$D$6:$D$405,"&gt;="&amp;L641))))</x:f>
        <x:v>0</x:v>
      </x:c>
      <x:c r="N641" s="11" t="str">
        <x:f>IF(M641=0,"",IF(H641="HOME",SUMIFS('Istoric_Nativ'!$G$6:$G$405,'Istoric_Nativ'!$B$6:$B$405,E641,'Istoric_Nativ'!$C$6:$C$405,F641,'Istoric_Nativ'!$E$6:$E$405,G641,'Istoric_Nativ'!$D$6:$D$405,"&lt;"&amp;J641,'Istoric_Nativ'!$P$6:$P$405,1,'Istoric_Nativ'!$D$6:$D$405,"&gt;="&amp;L641),IF(H641="AWAY",SUMIFS('Istoric_Nativ'!$H$6:$H$405,'Istoric_Nativ'!$B$6:$B$405,E641,'Istoric_Nativ'!$C$6:$C$405,F641,'Istoric_Nativ'!$F$6:$F$405,G641,'Istoric_Nativ'!$D$6:$D$405,"&lt;"&amp;J641,'Istoric_Nativ'!$P$6:$P$405,1,'Istoric_Nativ'!$D$6:$D$405,"&gt;="&amp;L641),SUMIFS('Istoric_Nativ'!$G$6:$G$405,'Istoric_Nativ'!$B$6:$B$405,E641,'Istoric_Nativ'!$C$6:$C$405,F641,'Istoric_Nativ'!$E$6:$E$405,G641,'Istoric_Nativ'!$D$6:$D$405,"&lt;"&amp;J641,'Istoric_Nativ'!$P$6:$P$405,1,'Istoric_Nativ'!$D$6:$D$405,"&gt;="&amp;L641)+SUMIFS('Istoric_Nativ'!$H$6:$H$405,'Istoric_Nativ'!$B$6:$B$405,E641,'Istoric_Nativ'!$C$6:$C$405,F641,'Istoric_Nativ'!$F$6:$F$405,G641,'Istoric_Nativ'!$D$6:$D$405,"&lt;"&amp;J641,'Istoric_Nativ'!$P$6:$P$405,1,'Istoric_Nativ'!$D$6:$D$405,"&gt;="&amp;L641)))/M641)</x:f>
      </x:c>
      <x:c r="O641" s="11" t="str">
        <x:f>IF(M641=0,"",IF(H641="HOME",SUMIFS('Istoric_Nativ'!$H$6:$H$405,'Istoric_Nativ'!$B$6:$B$405,E641,'Istoric_Nativ'!$C$6:$C$405,F641,'Istoric_Nativ'!$E$6:$E$405,G641,'Istoric_Nativ'!$D$6:$D$405,"&lt;"&amp;J641,'Istoric_Nativ'!$P$6:$P$405,1,'Istoric_Nativ'!$D$6:$D$405,"&gt;="&amp;L641),IF(H641="AWAY",SUMIFS('Istoric_Nativ'!$G$6:$G$405,'Istoric_Nativ'!$B$6:$B$405,E641,'Istoric_Nativ'!$C$6:$C$405,F641,'Istoric_Nativ'!$F$6:$F$405,G641,'Istoric_Nativ'!$D$6:$D$405,"&lt;"&amp;J641,'Istoric_Nativ'!$P$6:$P$405,1,'Istoric_Nativ'!$D$6:$D$405,"&gt;="&amp;L641),SUMIFS('Istoric_Nativ'!$H$6:$H$405,'Istoric_Nativ'!$B$6:$B$405,E641,'Istoric_Nativ'!$C$6:$C$405,F641,'Istoric_Nativ'!$E$6:$E$405,G641,'Istoric_Nativ'!$D$6:$D$405,"&lt;"&amp;J641,'Istoric_Nativ'!$P$6:$P$405,1,'Istoric_Nativ'!$D$6:$D$405,"&gt;="&amp;L641)+SUMIFS('Istoric_Nativ'!$G$6:$G$405,'Istoric_Nativ'!$B$6:$B$405,E641,'Istoric_Nativ'!$C$6:$C$405,F641,'Istoric_Nativ'!$F$6:$F$405,G641,'Istoric_Nativ'!$D$6:$D$405,"&lt;"&amp;J641,'Istoric_Nativ'!$P$6:$P$405,1,'Istoric_Nativ'!$D$6:$D$405,"&gt;="&amp;L641)))/M641)</x:f>
      </x:c>
      <x:c r="P641" s="2" t="n">
        <x:f>'Config_v6'!$B$9</x:f>
        <x:v>3</x:v>
      </x:c>
      <x:c r="Q641" s="2" t="n">
        <x:f>IF(OR(B641="",F641=""),0,IFERROR(MATCH(E641&amp;"|"&amp;F641,SourceTable[Source_Key],0),0))</x:f>
        <x:v>0</x:v>
      </x:c>
      <x:c r="R641" s="2" t="str">
        <x:f>IF(B641="","",IF(F641="","UNUSED",IF(Q641=0,"NOT CHECKED",IF(COUNTIF(SourceTable[Source_Key],E641&amp;"|"&amp;F641)&lt;&gt;1,"SOURCE CONFLICT",IF(NOT(OR(INDEX(SourceTable[Status],MAX(1,Q641))="IMPORTED",INDEX(SourceTable[Status],MAX(1,Q641))="PARTIAL",INDEX(SourceTable[Status],MAX(1,Q641))="SOURCE CONFLICT")),"ACCESS BLOCKED",IF(OR(INDEX(SourceTable[Coverage],Q641)&lt;&gt;"FULL SEASON EXPORT",INDEX(SourceTable[URL],Q641)="",INDEX(SourceTable[SHA256],Q641)=""),"EVIDENCE INCOMPLETE",IF(AND('Input_Meci'!H58="LIVE",INDEX(SourceTable[Retrieved_UTC],Q641)&gt;'Input_Meci'!G58),"POST CUTOFF","CLOSED")))))))</x:f>
      </x:c>
      <x:c r="S641" s="2" t="n">
        <x:f>IF(OR(B641="",F641=""),0,COUNTIFS('Istoric_Nativ'!$B$6:$B$405,E641,'Istoric_Nativ'!$C$6:$C$405,F641,'Istoric_Nativ'!$E$6:$E$405,G641,'Istoric_Nativ'!$D$6:$D$405,"&lt;"&amp;J641,'Istoric_Nativ'!$O$6:$O$405,"INVALID")+COUNTIFS('Istoric_Nativ'!$B$6:$B$405,E641,'Istoric_Nativ'!$C$6:$C$405,F641,'Istoric_Nativ'!$E$6:$E$405,G641,'Istoric_Nativ'!$O$6:$O$405,"INVALID",'Istoric_Nativ'!$D$6:$D$405,"*")+COUNTIFS('Istoric_Nativ'!$B$6:$B$405,E641,'Istoric_Nativ'!$C$6:$C$405,F641,'Istoric_Nativ'!$E$6:$E$405,G641,'Istoric_Nativ'!$D$6:$D$405,"&lt;"&amp;J641,'Istoric_Nativ'!$O$6:$O$405,"SOURCE CONFLICT")+COUNTIFS('Istoric_Nativ'!$B$6:$B$405,E641,'Istoric_Nativ'!$C$6:$C$405,F641,'Istoric_Nativ'!$F$6:$F$405,G641,'Istoric_Nativ'!$D$6:$D$405,"&lt;"&amp;J641,'Istoric_Nativ'!$O$6:$O$405,"INVALID")+COUNTIFS('Istoric_Nativ'!$B$6:$B$405,E641,'Istoric_Nativ'!$C$6:$C$405,F641,'Istoric_Nativ'!$F$6:$F$405,G641,'Istoric_Nativ'!$O$6:$O$405,"INVALID",'Istoric_Nativ'!$D$6:$D$405,"*")+COUNTIFS('Istoric_Nativ'!$B$6:$B$405,E641,'Istoric_Nativ'!$C$6:$C$405,F641,'Istoric_Nativ'!$F$6:$F$405,G641,'Istoric_Nativ'!$D$6:$D$405,"&lt;"&amp;J641,'Istoric_Nativ'!$O$6:$O$405,"SOURCE CONFLICT"))</x:f>
        <x:v>0</x:v>
      </x:c>
      <x:c r="T641" s="2" t="str">
        <x:f>IF(B641="","",IF(R641&lt;&gt;"CLOSED",R641,IF(S641&gt;0,"NATIVE INPUT ISSUE",IF(M641=0,"NO HISTORY",IF(M641&lt;P641,"SMALL SAMPLE","DERIVED")))))</x:f>
      </x:c>
      <x:c r="U641" s="2" t="str">
        <x:f>IF(B641="","","NativeTable; "&amp;E641&amp;"; "&amp;F641&amp;"; "&amp;G641&amp;"; "&amp;H641&amp;"; before "&amp;TEXT(J641,"yyyy-mm-dd")&amp;IF(I641="RECENT","; from "&amp;TEXT(L641,"yyyy-mm-dd"),""))</x:f>
      </x:c>
    </x:row>
    <x:row r="642" ht="21" customHeight="1">
      <x:c r="A642" s="2" t="n">
        <x:v>54</x:v>
      </x:c>
      <x:c r="B642" s="2" t="str">
        <x:f>IF('Input_Meci'!A59="","",'Input_Meci'!A59)</x:f>
      </x:c>
      <x:c r="C642" s="2" t="str">
        <x:v>H</x:v>
      </x:c>
      <x:c r="D642" s="2" t="str">
        <x:v>CURRENT</x:v>
      </x:c>
      <x:c r="E642" s="2" t="str">
        <x:f>IF(B642="","",'Input_Meci'!B59)</x:f>
      </x:c>
      <x:c r="F642" s="2" t="str">
        <x:f>IF(B642="","",IF('Input_Meci'!C59="","",'Input_Meci'!C59))</x:f>
      </x:c>
      <x:c r="G642" s="2" t="str">
        <x:f>IF(B642="","",'Input_Meci'!D59)</x:f>
      </x:c>
      <x:c r="H642" s="2" t="str">
        <x:v>ANY</x:v>
      </x:c>
      <x:c r="I642" s="2" t="str">
        <x:v>SEASON</x:v>
      </x:c>
      <x:c r="J642" s="9" t="n">
        <x:f>IF(AND(B642&lt;&gt;"",ISNUMBER('Input_Meci'!G59)),INT('Input_Meci'!G59),0)</x:f>
        <x:v>0</x:v>
      </x:c>
      <x:c r="K642" s="2" t="n">
        <x:f>IF(OR(B642="",F642=""),0,IF(H642="HOME",COUNTIFS('Istoric_Nativ'!$B$6:$B$405,E642,'Istoric_Nativ'!$C$6:$C$405,F642,'Istoric_Nativ'!$E$6:$E$405,G642,'Istoric_Nativ'!$D$6:$D$405,"&lt;"&amp;J642,'Istoric_Nativ'!$P$6:$P$405,1),IF(H642="AWAY",COUNTIFS('Istoric_Nativ'!$B$6:$B$405,E642,'Istoric_Nativ'!$C$6:$C$405,F642,'Istoric_Nativ'!$F$6:$F$405,G642,'Istoric_Nativ'!$D$6:$D$405,"&lt;"&amp;J642,'Istoric_Nativ'!$P$6:$P$405,1),COUNTIFS('Istoric_Nativ'!$B$6:$B$405,E642,'Istoric_Nativ'!$C$6:$C$405,F642,'Istoric_Nativ'!$E$6:$E$405,G642,'Istoric_Nativ'!$D$6:$D$405,"&lt;"&amp;J642,'Istoric_Nativ'!$P$6:$P$405,1)+COUNTIFS('Istoric_Nativ'!$B$6:$B$405,E642,'Istoric_Nativ'!$C$6:$C$405,F642,'Istoric_Nativ'!$F$6:$F$405,G642,'Istoric_Nativ'!$D$6:$D$405,"&lt;"&amp;J642,'Istoric_Nativ'!$P$6:$P$405,1))))</x:f>
        <x:v>0</x:v>
      </x:c>
      <x:c r="L642" s="17" t="n">
        <x:f>IF(AND(B642&lt;&gt;"",I642="RECENT",K642&gt;0),LARGE(_xlfn._xlws.FILTER('Istoric_Nativ'!$D$6:$D$405,('Istoric_Nativ'!$B$6:$B$405=E642)*('Istoric_Nativ'!$C$6:$C$405=F642)*('Istoric_Nativ'!$P$6:$P$405=1)*('Istoric_Nativ'!$D$6:$D$405&lt;J642)*((('Istoric_Nativ'!$E$6:$E$405=G642)+('Istoric_Nativ'!$F$6:$F$405=G642))&gt;0)),MIN('Config_v6'!$B$54,K642)),0)</x:f>
        <x:v>0</x:v>
      </x:c>
      <x:c r="M642" s="2" t="n">
        <x:f>IF(OR(B642="",F642=""),0,IF(H642="HOME",COUNTIFS('Istoric_Nativ'!$B$6:$B$405,E642,'Istoric_Nativ'!$C$6:$C$405,F642,'Istoric_Nativ'!$E$6:$E$405,G642,'Istoric_Nativ'!$D$6:$D$405,"&lt;"&amp;J642,'Istoric_Nativ'!$P$6:$P$405,1,'Istoric_Nativ'!$D$6:$D$405,"&gt;="&amp;L642),IF(H642="AWAY",COUNTIFS('Istoric_Nativ'!$B$6:$B$405,E642,'Istoric_Nativ'!$C$6:$C$405,F642,'Istoric_Nativ'!$F$6:$F$405,G642,'Istoric_Nativ'!$D$6:$D$405,"&lt;"&amp;J642,'Istoric_Nativ'!$P$6:$P$405,1,'Istoric_Nativ'!$D$6:$D$405,"&gt;="&amp;L642),COUNTIFS('Istoric_Nativ'!$B$6:$B$405,E642,'Istoric_Nativ'!$C$6:$C$405,F642,'Istoric_Nativ'!$E$6:$E$405,G642,'Istoric_Nativ'!$D$6:$D$405,"&lt;"&amp;J642,'Istoric_Nativ'!$P$6:$P$405,1,'Istoric_Nativ'!$D$6:$D$405,"&gt;="&amp;L642)+COUNTIFS('Istoric_Nativ'!$B$6:$B$405,E642,'Istoric_Nativ'!$C$6:$C$405,F642,'Istoric_Nativ'!$F$6:$F$405,G642,'Istoric_Nativ'!$D$6:$D$405,"&lt;"&amp;J642,'Istoric_Nativ'!$P$6:$P$405,1,'Istoric_Nativ'!$D$6:$D$405,"&gt;="&amp;L642))))</x:f>
        <x:v>0</x:v>
      </x:c>
      <x:c r="N642" s="11" t="str">
        <x:f>IF(M642=0,"",IF(H642="HOME",SUMIFS('Istoric_Nativ'!$G$6:$G$405,'Istoric_Nativ'!$B$6:$B$405,E642,'Istoric_Nativ'!$C$6:$C$405,F642,'Istoric_Nativ'!$E$6:$E$405,G642,'Istoric_Nativ'!$D$6:$D$405,"&lt;"&amp;J642,'Istoric_Nativ'!$P$6:$P$405,1,'Istoric_Nativ'!$D$6:$D$405,"&gt;="&amp;L642),IF(H642="AWAY",SUMIFS('Istoric_Nativ'!$H$6:$H$405,'Istoric_Nativ'!$B$6:$B$405,E642,'Istoric_Nativ'!$C$6:$C$405,F642,'Istoric_Nativ'!$F$6:$F$405,G642,'Istoric_Nativ'!$D$6:$D$405,"&lt;"&amp;J642,'Istoric_Nativ'!$P$6:$P$405,1,'Istoric_Nativ'!$D$6:$D$405,"&gt;="&amp;L642),SUMIFS('Istoric_Nativ'!$G$6:$G$405,'Istoric_Nativ'!$B$6:$B$405,E642,'Istoric_Nativ'!$C$6:$C$405,F642,'Istoric_Nativ'!$E$6:$E$405,G642,'Istoric_Nativ'!$D$6:$D$405,"&lt;"&amp;J642,'Istoric_Nativ'!$P$6:$P$405,1,'Istoric_Nativ'!$D$6:$D$405,"&gt;="&amp;L642)+SUMIFS('Istoric_Nativ'!$H$6:$H$405,'Istoric_Nativ'!$B$6:$B$405,E642,'Istoric_Nativ'!$C$6:$C$405,F642,'Istoric_Nativ'!$F$6:$F$405,G642,'Istoric_Nativ'!$D$6:$D$405,"&lt;"&amp;J642,'Istoric_Nativ'!$P$6:$P$405,1,'Istoric_Nativ'!$D$6:$D$405,"&gt;="&amp;L642)))/M642)</x:f>
      </x:c>
      <x:c r="O642" s="11" t="str">
        <x:f>IF(M642=0,"",IF(H642="HOME",SUMIFS('Istoric_Nativ'!$H$6:$H$405,'Istoric_Nativ'!$B$6:$B$405,E642,'Istoric_Nativ'!$C$6:$C$405,F642,'Istoric_Nativ'!$E$6:$E$405,G642,'Istoric_Nativ'!$D$6:$D$405,"&lt;"&amp;J642,'Istoric_Nativ'!$P$6:$P$405,1,'Istoric_Nativ'!$D$6:$D$405,"&gt;="&amp;L642),IF(H642="AWAY",SUMIFS('Istoric_Nativ'!$G$6:$G$405,'Istoric_Nativ'!$B$6:$B$405,E642,'Istoric_Nativ'!$C$6:$C$405,F642,'Istoric_Nativ'!$F$6:$F$405,G642,'Istoric_Nativ'!$D$6:$D$405,"&lt;"&amp;J642,'Istoric_Nativ'!$P$6:$P$405,1,'Istoric_Nativ'!$D$6:$D$405,"&gt;="&amp;L642),SUMIFS('Istoric_Nativ'!$H$6:$H$405,'Istoric_Nativ'!$B$6:$B$405,E642,'Istoric_Nativ'!$C$6:$C$405,F642,'Istoric_Nativ'!$E$6:$E$405,G642,'Istoric_Nativ'!$D$6:$D$405,"&lt;"&amp;J642,'Istoric_Nativ'!$P$6:$P$405,1,'Istoric_Nativ'!$D$6:$D$405,"&gt;="&amp;L642)+SUMIFS('Istoric_Nativ'!$G$6:$G$405,'Istoric_Nativ'!$B$6:$B$405,E642,'Istoric_Nativ'!$C$6:$C$405,F642,'Istoric_Nativ'!$F$6:$F$405,G642,'Istoric_Nativ'!$D$6:$D$405,"&lt;"&amp;J642,'Istoric_Nativ'!$P$6:$P$405,1,'Istoric_Nativ'!$D$6:$D$405,"&gt;="&amp;L642)))/M642)</x:f>
      </x:c>
      <x:c r="P642" s="2" t="n">
        <x:f>'Config_v6'!$B$7</x:f>
        <x:v>10</x:v>
      </x:c>
      <x:c r="Q642" s="2" t="n">
        <x:f>IF(OR(B642="",F642=""),0,IFERROR(MATCH(E642&amp;"|"&amp;F642,SourceTable[Source_Key],0),0))</x:f>
        <x:v>0</x:v>
      </x:c>
      <x:c r="R642" s="2" t="str">
        <x:f>IF(B642="","",IF(F642="","UNUSED",IF(Q642=0,"NOT CHECKED",IF(COUNTIF(SourceTable[Source_Key],E642&amp;"|"&amp;F642)&lt;&gt;1,"SOURCE CONFLICT",IF(NOT(OR(INDEX(SourceTable[Status],MAX(1,Q642))="IMPORTED",INDEX(SourceTable[Status],MAX(1,Q642))="PARTIAL",INDEX(SourceTable[Status],MAX(1,Q642))="SOURCE CONFLICT")),"ACCESS BLOCKED",IF(OR(INDEX(SourceTable[Coverage],Q642)&lt;&gt;"FULL SEASON EXPORT",INDEX(SourceTable[URL],Q642)="",INDEX(SourceTable[SHA256],Q642)=""),"EVIDENCE INCOMPLETE",IF(AND('Input_Meci'!H59="LIVE",INDEX(SourceTable[Retrieved_UTC],Q642)&gt;'Input_Meci'!G59),"POST CUTOFF","CLOSED")))))))</x:f>
      </x:c>
      <x:c r="S642" s="2" t="n">
        <x:f>IF(OR(B642="",F642=""),0,COUNTIFS('Istoric_Nativ'!$B$6:$B$405,E642,'Istoric_Nativ'!$C$6:$C$405,F642,'Istoric_Nativ'!$E$6:$E$405,G642,'Istoric_Nativ'!$D$6:$D$405,"&lt;"&amp;J642,'Istoric_Nativ'!$O$6:$O$405,"INVALID")+COUNTIFS('Istoric_Nativ'!$B$6:$B$405,E642,'Istoric_Nativ'!$C$6:$C$405,F642,'Istoric_Nativ'!$E$6:$E$405,G642,'Istoric_Nativ'!$O$6:$O$405,"INVALID",'Istoric_Nativ'!$D$6:$D$405,"*")+COUNTIFS('Istoric_Nativ'!$B$6:$B$405,E642,'Istoric_Nativ'!$C$6:$C$405,F642,'Istoric_Nativ'!$E$6:$E$405,G642,'Istoric_Nativ'!$D$6:$D$405,"&lt;"&amp;J642,'Istoric_Nativ'!$O$6:$O$405,"SOURCE CONFLICT")+COUNTIFS('Istoric_Nativ'!$B$6:$B$405,E642,'Istoric_Nativ'!$C$6:$C$405,F642,'Istoric_Nativ'!$F$6:$F$405,G642,'Istoric_Nativ'!$D$6:$D$405,"&lt;"&amp;J642,'Istoric_Nativ'!$O$6:$O$405,"INVALID")+COUNTIFS('Istoric_Nativ'!$B$6:$B$405,E642,'Istoric_Nativ'!$C$6:$C$405,F642,'Istoric_Nativ'!$F$6:$F$405,G642,'Istoric_Nativ'!$O$6:$O$405,"INVALID",'Istoric_Nativ'!$D$6:$D$405,"*")+COUNTIFS('Istoric_Nativ'!$B$6:$B$405,E642,'Istoric_Nativ'!$C$6:$C$405,F642,'Istoric_Nativ'!$F$6:$F$405,G642,'Istoric_Nativ'!$D$6:$D$405,"&lt;"&amp;J642,'Istoric_Nativ'!$O$6:$O$405,"SOURCE CONFLICT"))</x:f>
        <x:v>0</x:v>
      </x:c>
      <x:c r="T642" s="2" t="str">
        <x:f>IF(B642="","",IF(R642&lt;&gt;"CLOSED",R642,IF(S642&gt;0,"NATIVE INPUT ISSUE",IF(M642=0,"NO HISTORY",IF(M642&lt;P642,"SMALL SAMPLE","DERIVED")))))</x:f>
      </x:c>
      <x:c r="U642" s="2" t="str">
        <x:f>IF(B642="","","NativeTable; "&amp;E642&amp;"; "&amp;F642&amp;"; "&amp;G642&amp;"; "&amp;H642&amp;"; before "&amp;TEXT(J642,"yyyy-mm-dd")&amp;IF(I642="RECENT","; from "&amp;TEXT(L642,"yyyy-mm-dd"),""))</x:f>
      </x:c>
    </x:row>
    <x:row r="643" ht="21" customHeight="1">
      <x:c r="A643" s="2" t="n">
        <x:v>54</x:v>
      </x:c>
      <x:c r="B643" s="2" t="str">
        <x:f>IF('Input_Meci'!A59="","",'Input_Meci'!A59)</x:f>
      </x:c>
      <x:c r="C643" s="2" t="str">
        <x:v>H</x:v>
      </x:c>
      <x:c r="D643" s="2" t="str">
        <x:v>CURRENT</x:v>
      </x:c>
      <x:c r="E643" s="2" t="str">
        <x:f>IF(B643="","",'Input_Meci'!B59)</x:f>
      </x:c>
      <x:c r="F643" s="2" t="str">
        <x:f>IF(B643="","",IF('Input_Meci'!C59="","",'Input_Meci'!C59))</x:f>
      </x:c>
      <x:c r="G643" s="2" t="str">
        <x:f>IF(B643="","",'Input_Meci'!D59)</x:f>
      </x:c>
      <x:c r="H643" s="2" t="str">
        <x:v>HOME</x:v>
      </x:c>
      <x:c r="I643" s="2" t="str">
        <x:v>HA</x:v>
      </x:c>
      <x:c r="J643" s="9" t="n">
        <x:f>IF(AND(B643&lt;&gt;"",ISNUMBER('Input_Meci'!G59)),INT('Input_Meci'!G59),0)</x:f>
        <x:v>0</x:v>
      </x:c>
      <x:c r="K643" s="2" t="n">
        <x:f>IF(OR(B643="",F643=""),0,IF(H643="HOME",COUNTIFS('Istoric_Nativ'!$B$6:$B$405,E643,'Istoric_Nativ'!$C$6:$C$405,F643,'Istoric_Nativ'!$E$6:$E$405,G643,'Istoric_Nativ'!$D$6:$D$405,"&lt;"&amp;J643,'Istoric_Nativ'!$P$6:$P$405,1),IF(H643="AWAY",COUNTIFS('Istoric_Nativ'!$B$6:$B$405,E643,'Istoric_Nativ'!$C$6:$C$405,F643,'Istoric_Nativ'!$F$6:$F$405,G643,'Istoric_Nativ'!$D$6:$D$405,"&lt;"&amp;J643,'Istoric_Nativ'!$P$6:$P$405,1),COUNTIFS('Istoric_Nativ'!$B$6:$B$405,E643,'Istoric_Nativ'!$C$6:$C$405,F643,'Istoric_Nativ'!$E$6:$E$405,G643,'Istoric_Nativ'!$D$6:$D$405,"&lt;"&amp;J643,'Istoric_Nativ'!$P$6:$P$405,1)+COUNTIFS('Istoric_Nativ'!$B$6:$B$405,E643,'Istoric_Nativ'!$C$6:$C$405,F643,'Istoric_Nativ'!$F$6:$F$405,G643,'Istoric_Nativ'!$D$6:$D$405,"&lt;"&amp;J643,'Istoric_Nativ'!$P$6:$P$405,1))))</x:f>
        <x:v>0</x:v>
      </x:c>
      <x:c r="L643" s="17" t="n">
        <x:f>IF(AND(B643&lt;&gt;"",I643="RECENT",K643&gt;0),LARGE(_xlfn._xlws.FILTER('Istoric_Nativ'!$D$6:$D$405,('Istoric_Nativ'!$B$6:$B$405=E643)*('Istoric_Nativ'!$C$6:$C$405=F643)*('Istoric_Nativ'!$P$6:$P$405=1)*('Istoric_Nativ'!$D$6:$D$405&lt;J643)*((('Istoric_Nativ'!$E$6:$E$405=G643)+('Istoric_Nativ'!$F$6:$F$405=G643))&gt;0)),MIN('Config_v6'!$B$54,K643)),0)</x:f>
        <x:v>0</x:v>
      </x:c>
      <x:c r="M643" s="2" t="n">
        <x:f>IF(OR(B643="",F643=""),0,IF(H643="HOME",COUNTIFS('Istoric_Nativ'!$B$6:$B$405,E643,'Istoric_Nativ'!$C$6:$C$405,F643,'Istoric_Nativ'!$E$6:$E$405,G643,'Istoric_Nativ'!$D$6:$D$405,"&lt;"&amp;J643,'Istoric_Nativ'!$P$6:$P$405,1,'Istoric_Nativ'!$D$6:$D$405,"&gt;="&amp;L643),IF(H643="AWAY",COUNTIFS('Istoric_Nativ'!$B$6:$B$405,E643,'Istoric_Nativ'!$C$6:$C$405,F643,'Istoric_Nativ'!$F$6:$F$405,G643,'Istoric_Nativ'!$D$6:$D$405,"&lt;"&amp;J643,'Istoric_Nativ'!$P$6:$P$405,1,'Istoric_Nativ'!$D$6:$D$405,"&gt;="&amp;L643),COUNTIFS('Istoric_Nativ'!$B$6:$B$405,E643,'Istoric_Nativ'!$C$6:$C$405,F643,'Istoric_Nativ'!$E$6:$E$405,G643,'Istoric_Nativ'!$D$6:$D$405,"&lt;"&amp;J643,'Istoric_Nativ'!$P$6:$P$405,1,'Istoric_Nativ'!$D$6:$D$405,"&gt;="&amp;L643)+COUNTIFS('Istoric_Nativ'!$B$6:$B$405,E643,'Istoric_Nativ'!$C$6:$C$405,F643,'Istoric_Nativ'!$F$6:$F$405,G643,'Istoric_Nativ'!$D$6:$D$405,"&lt;"&amp;J643,'Istoric_Nativ'!$P$6:$P$405,1,'Istoric_Nativ'!$D$6:$D$405,"&gt;="&amp;L643))))</x:f>
        <x:v>0</x:v>
      </x:c>
      <x:c r="N643" s="11" t="str">
        <x:f>IF(M643=0,"",IF(H643="HOME",SUMIFS('Istoric_Nativ'!$G$6:$G$405,'Istoric_Nativ'!$B$6:$B$405,E643,'Istoric_Nativ'!$C$6:$C$405,F643,'Istoric_Nativ'!$E$6:$E$405,G643,'Istoric_Nativ'!$D$6:$D$405,"&lt;"&amp;J643,'Istoric_Nativ'!$P$6:$P$405,1,'Istoric_Nativ'!$D$6:$D$405,"&gt;="&amp;L643),IF(H643="AWAY",SUMIFS('Istoric_Nativ'!$H$6:$H$405,'Istoric_Nativ'!$B$6:$B$405,E643,'Istoric_Nativ'!$C$6:$C$405,F643,'Istoric_Nativ'!$F$6:$F$405,G643,'Istoric_Nativ'!$D$6:$D$405,"&lt;"&amp;J643,'Istoric_Nativ'!$P$6:$P$405,1,'Istoric_Nativ'!$D$6:$D$405,"&gt;="&amp;L643),SUMIFS('Istoric_Nativ'!$G$6:$G$405,'Istoric_Nativ'!$B$6:$B$405,E643,'Istoric_Nativ'!$C$6:$C$405,F643,'Istoric_Nativ'!$E$6:$E$405,G643,'Istoric_Nativ'!$D$6:$D$405,"&lt;"&amp;J643,'Istoric_Nativ'!$P$6:$P$405,1,'Istoric_Nativ'!$D$6:$D$405,"&gt;="&amp;L643)+SUMIFS('Istoric_Nativ'!$H$6:$H$405,'Istoric_Nativ'!$B$6:$B$405,E643,'Istoric_Nativ'!$C$6:$C$405,F643,'Istoric_Nativ'!$F$6:$F$405,G643,'Istoric_Nativ'!$D$6:$D$405,"&lt;"&amp;J643,'Istoric_Nativ'!$P$6:$P$405,1,'Istoric_Nativ'!$D$6:$D$405,"&gt;="&amp;L643)))/M643)</x:f>
      </x:c>
      <x:c r="O643" s="11" t="str">
        <x:f>IF(M643=0,"",IF(H643="HOME",SUMIFS('Istoric_Nativ'!$H$6:$H$405,'Istoric_Nativ'!$B$6:$B$405,E643,'Istoric_Nativ'!$C$6:$C$405,F643,'Istoric_Nativ'!$E$6:$E$405,G643,'Istoric_Nativ'!$D$6:$D$405,"&lt;"&amp;J643,'Istoric_Nativ'!$P$6:$P$405,1,'Istoric_Nativ'!$D$6:$D$405,"&gt;="&amp;L643),IF(H643="AWAY",SUMIFS('Istoric_Nativ'!$G$6:$G$405,'Istoric_Nativ'!$B$6:$B$405,E643,'Istoric_Nativ'!$C$6:$C$405,F643,'Istoric_Nativ'!$F$6:$F$405,G643,'Istoric_Nativ'!$D$6:$D$405,"&lt;"&amp;J643,'Istoric_Nativ'!$P$6:$P$405,1,'Istoric_Nativ'!$D$6:$D$405,"&gt;="&amp;L643),SUMIFS('Istoric_Nativ'!$H$6:$H$405,'Istoric_Nativ'!$B$6:$B$405,E643,'Istoric_Nativ'!$C$6:$C$405,F643,'Istoric_Nativ'!$E$6:$E$405,G643,'Istoric_Nativ'!$D$6:$D$405,"&lt;"&amp;J643,'Istoric_Nativ'!$P$6:$P$405,1,'Istoric_Nativ'!$D$6:$D$405,"&gt;="&amp;L643)+SUMIFS('Istoric_Nativ'!$G$6:$G$405,'Istoric_Nativ'!$B$6:$B$405,E643,'Istoric_Nativ'!$C$6:$C$405,F643,'Istoric_Nativ'!$F$6:$F$405,G643,'Istoric_Nativ'!$D$6:$D$405,"&lt;"&amp;J643,'Istoric_Nativ'!$P$6:$P$405,1,'Istoric_Nativ'!$D$6:$D$405,"&gt;="&amp;L643)))/M643)</x:f>
      </x:c>
      <x:c r="P643" s="2" t="n">
        <x:f>'Config_v6'!$B$8</x:f>
        <x:v>5</x:v>
      </x:c>
      <x:c r="Q643" s="2" t="n">
        <x:f>IF(OR(B643="",F643=""),0,IFERROR(MATCH(E643&amp;"|"&amp;F643,SourceTable[Source_Key],0),0))</x:f>
        <x:v>0</x:v>
      </x:c>
      <x:c r="R643" s="2" t="str">
        <x:f>IF(B643="","",IF(F643="","UNUSED",IF(Q643=0,"NOT CHECKED",IF(COUNTIF(SourceTable[Source_Key],E643&amp;"|"&amp;F643)&lt;&gt;1,"SOURCE CONFLICT",IF(NOT(OR(INDEX(SourceTable[Status],MAX(1,Q643))="IMPORTED",INDEX(SourceTable[Status],MAX(1,Q643))="PARTIAL",INDEX(SourceTable[Status],MAX(1,Q643))="SOURCE CONFLICT")),"ACCESS BLOCKED",IF(OR(INDEX(SourceTable[Coverage],Q643)&lt;&gt;"FULL SEASON EXPORT",INDEX(SourceTable[URL],Q643)="",INDEX(SourceTable[SHA256],Q643)=""),"EVIDENCE INCOMPLETE",IF(AND('Input_Meci'!H59="LIVE",INDEX(SourceTable[Retrieved_UTC],Q643)&gt;'Input_Meci'!G59),"POST CUTOFF","CLOSED")))))))</x:f>
      </x:c>
      <x:c r="S643" s="2" t="n">
        <x:f>IF(OR(B643="",F643=""),0,COUNTIFS('Istoric_Nativ'!$B$6:$B$405,E643,'Istoric_Nativ'!$C$6:$C$405,F643,'Istoric_Nativ'!$E$6:$E$405,G643,'Istoric_Nativ'!$D$6:$D$405,"&lt;"&amp;J643,'Istoric_Nativ'!$O$6:$O$405,"INVALID")+COUNTIFS('Istoric_Nativ'!$B$6:$B$405,E643,'Istoric_Nativ'!$C$6:$C$405,F643,'Istoric_Nativ'!$E$6:$E$405,G643,'Istoric_Nativ'!$O$6:$O$405,"INVALID",'Istoric_Nativ'!$D$6:$D$405,"*")+COUNTIFS('Istoric_Nativ'!$B$6:$B$405,E643,'Istoric_Nativ'!$C$6:$C$405,F643,'Istoric_Nativ'!$E$6:$E$405,G643,'Istoric_Nativ'!$D$6:$D$405,"&lt;"&amp;J643,'Istoric_Nativ'!$O$6:$O$405,"SOURCE CONFLICT")+COUNTIFS('Istoric_Nativ'!$B$6:$B$405,E643,'Istoric_Nativ'!$C$6:$C$405,F643,'Istoric_Nativ'!$F$6:$F$405,G643,'Istoric_Nativ'!$D$6:$D$405,"&lt;"&amp;J643,'Istoric_Nativ'!$O$6:$O$405,"INVALID")+COUNTIFS('Istoric_Nativ'!$B$6:$B$405,E643,'Istoric_Nativ'!$C$6:$C$405,F643,'Istoric_Nativ'!$F$6:$F$405,G643,'Istoric_Nativ'!$O$6:$O$405,"INVALID",'Istoric_Nativ'!$D$6:$D$405,"*")+COUNTIFS('Istoric_Nativ'!$B$6:$B$405,E643,'Istoric_Nativ'!$C$6:$C$405,F643,'Istoric_Nativ'!$F$6:$F$405,G643,'Istoric_Nativ'!$D$6:$D$405,"&lt;"&amp;J643,'Istoric_Nativ'!$O$6:$O$405,"SOURCE CONFLICT"))</x:f>
        <x:v>0</x:v>
      </x:c>
      <x:c r="T643" s="2" t="str">
        <x:f>IF(B643="","",IF(R643&lt;&gt;"CLOSED",R643,IF(S643&gt;0,"NATIVE INPUT ISSUE",IF(M643=0,"NO HISTORY",IF(M643&lt;P643,"SMALL SAMPLE","DERIVED")))))</x:f>
      </x:c>
      <x:c r="U643" s="2" t="str">
        <x:f>IF(B643="","","NativeTable; "&amp;E643&amp;"; "&amp;F643&amp;"; "&amp;G643&amp;"; "&amp;H643&amp;"; before "&amp;TEXT(J643,"yyyy-mm-dd")&amp;IF(I643="RECENT","; from "&amp;TEXT(L643,"yyyy-mm-dd"),""))</x:f>
      </x:c>
    </x:row>
    <x:row r="644" ht="21" customHeight="1">
      <x:c r="A644" s="2" t="n">
        <x:v>54</x:v>
      </x:c>
      <x:c r="B644" s="2" t="str">
        <x:f>IF('Input_Meci'!A59="","",'Input_Meci'!A59)</x:f>
      </x:c>
      <x:c r="C644" s="2" t="str">
        <x:v>H</x:v>
      </x:c>
      <x:c r="D644" s="2" t="str">
        <x:v>CURRENT</x:v>
      </x:c>
      <x:c r="E644" s="2" t="str">
        <x:f>IF(B644="","",'Input_Meci'!B59)</x:f>
      </x:c>
      <x:c r="F644" s="2" t="str">
        <x:f>IF(B644="","",IF('Input_Meci'!C59="","",'Input_Meci'!C59))</x:f>
      </x:c>
      <x:c r="G644" s="2" t="str">
        <x:f>IF(B644="","",'Input_Meci'!D59)</x:f>
      </x:c>
      <x:c r="H644" s="2" t="str">
        <x:v>ANY</x:v>
      </x:c>
      <x:c r="I644" s="2" t="str">
        <x:v>RECENT</x:v>
      </x:c>
      <x:c r="J644" s="9" t="n">
        <x:f>IF(AND(B644&lt;&gt;"",ISNUMBER('Input_Meci'!G59)),INT('Input_Meci'!G59),0)</x:f>
        <x:v>0</x:v>
      </x:c>
      <x:c r="K644" s="2" t="n">
        <x:f>IF(OR(B644="",F644=""),0,IF(H644="HOME",COUNTIFS('Istoric_Nativ'!$B$6:$B$405,E644,'Istoric_Nativ'!$C$6:$C$405,F644,'Istoric_Nativ'!$E$6:$E$405,G644,'Istoric_Nativ'!$D$6:$D$405,"&lt;"&amp;J644,'Istoric_Nativ'!$P$6:$P$405,1),IF(H644="AWAY",COUNTIFS('Istoric_Nativ'!$B$6:$B$405,E644,'Istoric_Nativ'!$C$6:$C$405,F644,'Istoric_Nativ'!$F$6:$F$405,G644,'Istoric_Nativ'!$D$6:$D$405,"&lt;"&amp;J644,'Istoric_Nativ'!$P$6:$P$405,1),COUNTIFS('Istoric_Nativ'!$B$6:$B$405,E644,'Istoric_Nativ'!$C$6:$C$405,F644,'Istoric_Nativ'!$E$6:$E$405,G644,'Istoric_Nativ'!$D$6:$D$405,"&lt;"&amp;J644,'Istoric_Nativ'!$P$6:$P$405,1)+COUNTIFS('Istoric_Nativ'!$B$6:$B$405,E644,'Istoric_Nativ'!$C$6:$C$405,F644,'Istoric_Nativ'!$F$6:$F$405,G644,'Istoric_Nativ'!$D$6:$D$405,"&lt;"&amp;J644,'Istoric_Nativ'!$P$6:$P$405,1))))</x:f>
        <x:v>0</x:v>
      </x:c>
      <x:c r="L644" s="17" t="n">
        <x:f>IF(AND(B644&lt;&gt;"",I644="RECENT",K644&gt;0),LARGE(_xlfn._xlws.FILTER('Istoric_Nativ'!$D$6:$D$405,('Istoric_Nativ'!$B$6:$B$405=E644)*('Istoric_Nativ'!$C$6:$C$405=F644)*('Istoric_Nativ'!$P$6:$P$405=1)*('Istoric_Nativ'!$D$6:$D$405&lt;J644)*((('Istoric_Nativ'!$E$6:$E$405=G644)+('Istoric_Nativ'!$F$6:$F$405=G644))&gt;0)),MIN('Config_v6'!$B$54,K644)),0)</x:f>
        <x:v>0</x:v>
      </x:c>
      <x:c r="M644" s="2" t="n">
        <x:f>IF(OR(B644="",F644=""),0,IF(H644="HOME",COUNTIFS('Istoric_Nativ'!$B$6:$B$405,E644,'Istoric_Nativ'!$C$6:$C$405,F644,'Istoric_Nativ'!$E$6:$E$405,G644,'Istoric_Nativ'!$D$6:$D$405,"&lt;"&amp;J644,'Istoric_Nativ'!$P$6:$P$405,1,'Istoric_Nativ'!$D$6:$D$405,"&gt;="&amp;L644),IF(H644="AWAY",COUNTIFS('Istoric_Nativ'!$B$6:$B$405,E644,'Istoric_Nativ'!$C$6:$C$405,F644,'Istoric_Nativ'!$F$6:$F$405,G644,'Istoric_Nativ'!$D$6:$D$405,"&lt;"&amp;J644,'Istoric_Nativ'!$P$6:$P$405,1,'Istoric_Nativ'!$D$6:$D$405,"&gt;="&amp;L644),COUNTIFS('Istoric_Nativ'!$B$6:$B$405,E644,'Istoric_Nativ'!$C$6:$C$405,F644,'Istoric_Nativ'!$E$6:$E$405,G644,'Istoric_Nativ'!$D$6:$D$405,"&lt;"&amp;J644,'Istoric_Nativ'!$P$6:$P$405,1,'Istoric_Nativ'!$D$6:$D$405,"&gt;="&amp;L644)+COUNTIFS('Istoric_Nativ'!$B$6:$B$405,E644,'Istoric_Nativ'!$C$6:$C$405,F644,'Istoric_Nativ'!$F$6:$F$405,G644,'Istoric_Nativ'!$D$6:$D$405,"&lt;"&amp;J644,'Istoric_Nativ'!$P$6:$P$405,1,'Istoric_Nativ'!$D$6:$D$405,"&gt;="&amp;L644))))</x:f>
        <x:v>0</x:v>
      </x:c>
      <x:c r="N644" s="11" t="str">
        <x:f>IF(M644=0,"",IF(H644="HOME",SUMIFS('Istoric_Nativ'!$G$6:$G$405,'Istoric_Nativ'!$B$6:$B$405,E644,'Istoric_Nativ'!$C$6:$C$405,F644,'Istoric_Nativ'!$E$6:$E$405,G644,'Istoric_Nativ'!$D$6:$D$405,"&lt;"&amp;J644,'Istoric_Nativ'!$P$6:$P$405,1,'Istoric_Nativ'!$D$6:$D$405,"&gt;="&amp;L644),IF(H644="AWAY",SUMIFS('Istoric_Nativ'!$H$6:$H$405,'Istoric_Nativ'!$B$6:$B$405,E644,'Istoric_Nativ'!$C$6:$C$405,F644,'Istoric_Nativ'!$F$6:$F$405,G644,'Istoric_Nativ'!$D$6:$D$405,"&lt;"&amp;J644,'Istoric_Nativ'!$P$6:$P$405,1,'Istoric_Nativ'!$D$6:$D$405,"&gt;="&amp;L644),SUMIFS('Istoric_Nativ'!$G$6:$G$405,'Istoric_Nativ'!$B$6:$B$405,E644,'Istoric_Nativ'!$C$6:$C$405,F644,'Istoric_Nativ'!$E$6:$E$405,G644,'Istoric_Nativ'!$D$6:$D$405,"&lt;"&amp;J644,'Istoric_Nativ'!$P$6:$P$405,1,'Istoric_Nativ'!$D$6:$D$405,"&gt;="&amp;L644)+SUMIFS('Istoric_Nativ'!$H$6:$H$405,'Istoric_Nativ'!$B$6:$B$405,E644,'Istoric_Nativ'!$C$6:$C$405,F644,'Istoric_Nativ'!$F$6:$F$405,G644,'Istoric_Nativ'!$D$6:$D$405,"&lt;"&amp;J644,'Istoric_Nativ'!$P$6:$P$405,1,'Istoric_Nativ'!$D$6:$D$405,"&gt;="&amp;L644)))/M644)</x:f>
      </x:c>
      <x:c r="O644" s="11" t="str">
        <x:f>IF(M644=0,"",IF(H644="HOME",SUMIFS('Istoric_Nativ'!$H$6:$H$405,'Istoric_Nativ'!$B$6:$B$405,E644,'Istoric_Nativ'!$C$6:$C$405,F644,'Istoric_Nativ'!$E$6:$E$405,G644,'Istoric_Nativ'!$D$6:$D$405,"&lt;"&amp;J644,'Istoric_Nativ'!$P$6:$P$405,1,'Istoric_Nativ'!$D$6:$D$405,"&gt;="&amp;L644),IF(H644="AWAY",SUMIFS('Istoric_Nativ'!$G$6:$G$405,'Istoric_Nativ'!$B$6:$B$405,E644,'Istoric_Nativ'!$C$6:$C$405,F644,'Istoric_Nativ'!$F$6:$F$405,G644,'Istoric_Nativ'!$D$6:$D$405,"&lt;"&amp;J644,'Istoric_Nativ'!$P$6:$P$405,1,'Istoric_Nativ'!$D$6:$D$405,"&gt;="&amp;L644),SUMIFS('Istoric_Nativ'!$H$6:$H$405,'Istoric_Nativ'!$B$6:$B$405,E644,'Istoric_Nativ'!$C$6:$C$405,F644,'Istoric_Nativ'!$E$6:$E$405,G644,'Istoric_Nativ'!$D$6:$D$405,"&lt;"&amp;J644,'Istoric_Nativ'!$P$6:$P$405,1,'Istoric_Nativ'!$D$6:$D$405,"&gt;="&amp;L644)+SUMIFS('Istoric_Nativ'!$G$6:$G$405,'Istoric_Nativ'!$B$6:$B$405,E644,'Istoric_Nativ'!$C$6:$C$405,F644,'Istoric_Nativ'!$F$6:$F$405,G644,'Istoric_Nativ'!$D$6:$D$405,"&lt;"&amp;J644,'Istoric_Nativ'!$P$6:$P$405,1,'Istoric_Nativ'!$D$6:$D$405,"&gt;="&amp;L644)))/M644)</x:f>
      </x:c>
      <x:c r="P644" s="2" t="n">
        <x:f>'Config_v6'!$B$9</x:f>
        <x:v>3</x:v>
      </x:c>
      <x:c r="Q644" s="2" t="n">
        <x:f>IF(OR(B644="",F644=""),0,IFERROR(MATCH(E644&amp;"|"&amp;F644,SourceTable[Source_Key],0),0))</x:f>
        <x:v>0</x:v>
      </x:c>
      <x:c r="R644" s="2" t="str">
        <x:f>IF(B644="","",IF(F644="","UNUSED",IF(Q644=0,"NOT CHECKED",IF(COUNTIF(SourceTable[Source_Key],E644&amp;"|"&amp;F644)&lt;&gt;1,"SOURCE CONFLICT",IF(NOT(OR(INDEX(SourceTable[Status],MAX(1,Q644))="IMPORTED",INDEX(SourceTable[Status],MAX(1,Q644))="PARTIAL",INDEX(SourceTable[Status],MAX(1,Q644))="SOURCE CONFLICT")),"ACCESS BLOCKED",IF(OR(INDEX(SourceTable[Coverage],Q644)&lt;&gt;"FULL SEASON EXPORT",INDEX(SourceTable[URL],Q644)="",INDEX(SourceTable[SHA256],Q644)=""),"EVIDENCE INCOMPLETE",IF(AND('Input_Meci'!H59="LIVE",INDEX(SourceTable[Retrieved_UTC],Q644)&gt;'Input_Meci'!G59),"POST CUTOFF","CLOSED")))))))</x:f>
      </x:c>
      <x:c r="S644" s="2" t="n">
        <x:f>IF(OR(B644="",F644=""),0,COUNTIFS('Istoric_Nativ'!$B$6:$B$405,E644,'Istoric_Nativ'!$C$6:$C$405,F644,'Istoric_Nativ'!$E$6:$E$405,G644,'Istoric_Nativ'!$D$6:$D$405,"&lt;"&amp;J644,'Istoric_Nativ'!$O$6:$O$405,"INVALID")+COUNTIFS('Istoric_Nativ'!$B$6:$B$405,E644,'Istoric_Nativ'!$C$6:$C$405,F644,'Istoric_Nativ'!$E$6:$E$405,G644,'Istoric_Nativ'!$O$6:$O$405,"INVALID",'Istoric_Nativ'!$D$6:$D$405,"*")+COUNTIFS('Istoric_Nativ'!$B$6:$B$405,E644,'Istoric_Nativ'!$C$6:$C$405,F644,'Istoric_Nativ'!$E$6:$E$405,G644,'Istoric_Nativ'!$D$6:$D$405,"&lt;"&amp;J644,'Istoric_Nativ'!$O$6:$O$405,"SOURCE CONFLICT")+COUNTIFS('Istoric_Nativ'!$B$6:$B$405,E644,'Istoric_Nativ'!$C$6:$C$405,F644,'Istoric_Nativ'!$F$6:$F$405,G644,'Istoric_Nativ'!$D$6:$D$405,"&lt;"&amp;J644,'Istoric_Nativ'!$O$6:$O$405,"INVALID")+COUNTIFS('Istoric_Nativ'!$B$6:$B$405,E644,'Istoric_Nativ'!$C$6:$C$405,F644,'Istoric_Nativ'!$F$6:$F$405,G644,'Istoric_Nativ'!$O$6:$O$405,"INVALID",'Istoric_Nativ'!$D$6:$D$405,"*")+COUNTIFS('Istoric_Nativ'!$B$6:$B$405,E644,'Istoric_Nativ'!$C$6:$C$405,F644,'Istoric_Nativ'!$F$6:$F$405,G644,'Istoric_Nativ'!$D$6:$D$405,"&lt;"&amp;J644,'Istoric_Nativ'!$O$6:$O$405,"SOURCE CONFLICT"))</x:f>
        <x:v>0</x:v>
      </x:c>
      <x:c r="T644" s="2" t="str">
        <x:f>IF(B644="","",IF(R644&lt;&gt;"CLOSED",R644,IF(S644&gt;0,"NATIVE INPUT ISSUE",IF(M644=0,"NO HISTORY",IF(M644&lt;P644,"SMALL SAMPLE","DERIVED")))))</x:f>
      </x:c>
      <x:c r="U644" s="2" t="str">
        <x:f>IF(B644="","","NativeTable; "&amp;E644&amp;"; "&amp;F644&amp;"; "&amp;G644&amp;"; "&amp;H644&amp;"; before "&amp;TEXT(J644,"yyyy-mm-dd")&amp;IF(I644="RECENT","; from "&amp;TEXT(L644,"yyyy-mm-dd"),""))</x:f>
      </x:c>
    </x:row>
    <x:row r="645" ht="21" customHeight="1">
      <x:c r="A645" s="2" t="n">
        <x:v>54</x:v>
      </x:c>
      <x:c r="B645" s="2" t="str">
        <x:f>IF('Input_Meci'!A59="","",'Input_Meci'!A59)</x:f>
      </x:c>
      <x:c r="C645" s="2" t="str">
        <x:v>A</x:v>
      </x:c>
      <x:c r="D645" s="2" t="str">
        <x:v>CURRENT</x:v>
      </x:c>
      <x:c r="E645" s="2" t="str">
        <x:f>IF(B645="","",'Input_Meci'!B59)</x:f>
      </x:c>
      <x:c r="F645" s="2" t="str">
        <x:f>IF(B645="","",IF('Input_Meci'!C59="","",'Input_Meci'!C59))</x:f>
      </x:c>
      <x:c r="G645" s="2" t="str">
        <x:f>IF(B645="","",'Input_Meci'!E59)</x:f>
      </x:c>
      <x:c r="H645" s="2" t="str">
        <x:v>ANY</x:v>
      </x:c>
      <x:c r="I645" s="2" t="str">
        <x:v>SEASON</x:v>
      </x:c>
      <x:c r="J645" s="9" t="n">
        <x:f>IF(AND(B645&lt;&gt;"",ISNUMBER('Input_Meci'!G59)),INT('Input_Meci'!G59),0)</x:f>
        <x:v>0</x:v>
      </x:c>
      <x:c r="K645" s="2" t="n">
        <x:f>IF(OR(B645="",F645=""),0,IF(H645="HOME",COUNTIFS('Istoric_Nativ'!$B$6:$B$405,E645,'Istoric_Nativ'!$C$6:$C$405,F645,'Istoric_Nativ'!$E$6:$E$405,G645,'Istoric_Nativ'!$D$6:$D$405,"&lt;"&amp;J645,'Istoric_Nativ'!$P$6:$P$405,1),IF(H645="AWAY",COUNTIFS('Istoric_Nativ'!$B$6:$B$405,E645,'Istoric_Nativ'!$C$6:$C$405,F645,'Istoric_Nativ'!$F$6:$F$405,G645,'Istoric_Nativ'!$D$6:$D$405,"&lt;"&amp;J645,'Istoric_Nativ'!$P$6:$P$405,1),COUNTIFS('Istoric_Nativ'!$B$6:$B$405,E645,'Istoric_Nativ'!$C$6:$C$405,F645,'Istoric_Nativ'!$E$6:$E$405,G645,'Istoric_Nativ'!$D$6:$D$405,"&lt;"&amp;J645,'Istoric_Nativ'!$P$6:$P$405,1)+COUNTIFS('Istoric_Nativ'!$B$6:$B$405,E645,'Istoric_Nativ'!$C$6:$C$405,F645,'Istoric_Nativ'!$F$6:$F$405,G645,'Istoric_Nativ'!$D$6:$D$405,"&lt;"&amp;J645,'Istoric_Nativ'!$P$6:$P$405,1))))</x:f>
        <x:v>0</x:v>
      </x:c>
      <x:c r="L645" s="17" t="n">
        <x:f>IF(AND(B645&lt;&gt;"",I645="RECENT",K645&gt;0),LARGE(_xlfn._xlws.FILTER('Istoric_Nativ'!$D$6:$D$405,('Istoric_Nativ'!$B$6:$B$405=E645)*('Istoric_Nativ'!$C$6:$C$405=F645)*('Istoric_Nativ'!$P$6:$P$405=1)*('Istoric_Nativ'!$D$6:$D$405&lt;J645)*((('Istoric_Nativ'!$E$6:$E$405=G645)+('Istoric_Nativ'!$F$6:$F$405=G645))&gt;0)),MIN('Config_v6'!$B$54,K645)),0)</x:f>
        <x:v>0</x:v>
      </x:c>
      <x:c r="M645" s="2" t="n">
        <x:f>IF(OR(B645="",F645=""),0,IF(H645="HOME",COUNTIFS('Istoric_Nativ'!$B$6:$B$405,E645,'Istoric_Nativ'!$C$6:$C$405,F645,'Istoric_Nativ'!$E$6:$E$405,G645,'Istoric_Nativ'!$D$6:$D$405,"&lt;"&amp;J645,'Istoric_Nativ'!$P$6:$P$405,1,'Istoric_Nativ'!$D$6:$D$405,"&gt;="&amp;L645),IF(H645="AWAY",COUNTIFS('Istoric_Nativ'!$B$6:$B$405,E645,'Istoric_Nativ'!$C$6:$C$405,F645,'Istoric_Nativ'!$F$6:$F$405,G645,'Istoric_Nativ'!$D$6:$D$405,"&lt;"&amp;J645,'Istoric_Nativ'!$P$6:$P$405,1,'Istoric_Nativ'!$D$6:$D$405,"&gt;="&amp;L645),COUNTIFS('Istoric_Nativ'!$B$6:$B$405,E645,'Istoric_Nativ'!$C$6:$C$405,F645,'Istoric_Nativ'!$E$6:$E$405,G645,'Istoric_Nativ'!$D$6:$D$405,"&lt;"&amp;J645,'Istoric_Nativ'!$P$6:$P$405,1,'Istoric_Nativ'!$D$6:$D$405,"&gt;="&amp;L645)+COUNTIFS('Istoric_Nativ'!$B$6:$B$405,E645,'Istoric_Nativ'!$C$6:$C$405,F645,'Istoric_Nativ'!$F$6:$F$405,G645,'Istoric_Nativ'!$D$6:$D$405,"&lt;"&amp;J645,'Istoric_Nativ'!$P$6:$P$405,1,'Istoric_Nativ'!$D$6:$D$405,"&gt;="&amp;L645))))</x:f>
        <x:v>0</x:v>
      </x:c>
      <x:c r="N645" s="11" t="str">
        <x:f>IF(M645=0,"",IF(H645="HOME",SUMIFS('Istoric_Nativ'!$G$6:$G$405,'Istoric_Nativ'!$B$6:$B$405,E645,'Istoric_Nativ'!$C$6:$C$405,F645,'Istoric_Nativ'!$E$6:$E$405,G645,'Istoric_Nativ'!$D$6:$D$405,"&lt;"&amp;J645,'Istoric_Nativ'!$P$6:$P$405,1,'Istoric_Nativ'!$D$6:$D$405,"&gt;="&amp;L645),IF(H645="AWAY",SUMIFS('Istoric_Nativ'!$H$6:$H$405,'Istoric_Nativ'!$B$6:$B$405,E645,'Istoric_Nativ'!$C$6:$C$405,F645,'Istoric_Nativ'!$F$6:$F$405,G645,'Istoric_Nativ'!$D$6:$D$405,"&lt;"&amp;J645,'Istoric_Nativ'!$P$6:$P$405,1,'Istoric_Nativ'!$D$6:$D$405,"&gt;="&amp;L645),SUMIFS('Istoric_Nativ'!$G$6:$G$405,'Istoric_Nativ'!$B$6:$B$405,E645,'Istoric_Nativ'!$C$6:$C$405,F645,'Istoric_Nativ'!$E$6:$E$405,G645,'Istoric_Nativ'!$D$6:$D$405,"&lt;"&amp;J645,'Istoric_Nativ'!$P$6:$P$405,1,'Istoric_Nativ'!$D$6:$D$405,"&gt;="&amp;L645)+SUMIFS('Istoric_Nativ'!$H$6:$H$405,'Istoric_Nativ'!$B$6:$B$405,E645,'Istoric_Nativ'!$C$6:$C$405,F645,'Istoric_Nativ'!$F$6:$F$405,G645,'Istoric_Nativ'!$D$6:$D$405,"&lt;"&amp;J645,'Istoric_Nativ'!$P$6:$P$405,1,'Istoric_Nativ'!$D$6:$D$405,"&gt;="&amp;L645)))/M645)</x:f>
      </x:c>
      <x:c r="O645" s="11" t="str">
        <x:f>IF(M645=0,"",IF(H645="HOME",SUMIFS('Istoric_Nativ'!$H$6:$H$405,'Istoric_Nativ'!$B$6:$B$405,E645,'Istoric_Nativ'!$C$6:$C$405,F645,'Istoric_Nativ'!$E$6:$E$405,G645,'Istoric_Nativ'!$D$6:$D$405,"&lt;"&amp;J645,'Istoric_Nativ'!$P$6:$P$405,1,'Istoric_Nativ'!$D$6:$D$405,"&gt;="&amp;L645),IF(H645="AWAY",SUMIFS('Istoric_Nativ'!$G$6:$G$405,'Istoric_Nativ'!$B$6:$B$405,E645,'Istoric_Nativ'!$C$6:$C$405,F645,'Istoric_Nativ'!$F$6:$F$405,G645,'Istoric_Nativ'!$D$6:$D$405,"&lt;"&amp;J645,'Istoric_Nativ'!$P$6:$P$405,1,'Istoric_Nativ'!$D$6:$D$405,"&gt;="&amp;L645),SUMIFS('Istoric_Nativ'!$H$6:$H$405,'Istoric_Nativ'!$B$6:$B$405,E645,'Istoric_Nativ'!$C$6:$C$405,F645,'Istoric_Nativ'!$E$6:$E$405,G645,'Istoric_Nativ'!$D$6:$D$405,"&lt;"&amp;J645,'Istoric_Nativ'!$P$6:$P$405,1,'Istoric_Nativ'!$D$6:$D$405,"&gt;="&amp;L645)+SUMIFS('Istoric_Nativ'!$G$6:$G$405,'Istoric_Nativ'!$B$6:$B$405,E645,'Istoric_Nativ'!$C$6:$C$405,F645,'Istoric_Nativ'!$F$6:$F$405,G645,'Istoric_Nativ'!$D$6:$D$405,"&lt;"&amp;J645,'Istoric_Nativ'!$P$6:$P$405,1,'Istoric_Nativ'!$D$6:$D$405,"&gt;="&amp;L645)))/M645)</x:f>
      </x:c>
      <x:c r="P645" s="2" t="n">
        <x:f>'Config_v6'!$B$7</x:f>
        <x:v>10</x:v>
      </x:c>
      <x:c r="Q645" s="2" t="n">
        <x:f>IF(OR(B645="",F645=""),0,IFERROR(MATCH(E645&amp;"|"&amp;F645,SourceTable[Source_Key],0),0))</x:f>
        <x:v>0</x:v>
      </x:c>
      <x:c r="R645" s="2" t="str">
        <x:f>IF(B645="","",IF(F645="","UNUSED",IF(Q645=0,"NOT CHECKED",IF(COUNTIF(SourceTable[Source_Key],E645&amp;"|"&amp;F645)&lt;&gt;1,"SOURCE CONFLICT",IF(NOT(OR(INDEX(SourceTable[Status],MAX(1,Q645))="IMPORTED",INDEX(SourceTable[Status],MAX(1,Q645))="PARTIAL",INDEX(SourceTable[Status],MAX(1,Q645))="SOURCE CONFLICT")),"ACCESS BLOCKED",IF(OR(INDEX(SourceTable[Coverage],Q645)&lt;&gt;"FULL SEASON EXPORT",INDEX(SourceTable[URL],Q645)="",INDEX(SourceTable[SHA256],Q645)=""),"EVIDENCE INCOMPLETE",IF(AND('Input_Meci'!H59="LIVE",INDEX(SourceTable[Retrieved_UTC],Q645)&gt;'Input_Meci'!G59),"POST CUTOFF","CLOSED")))))))</x:f>
      </x:c>
      <x:c r="S645" s="2" t="n">
        <x:f>IF(OR(B645="",F645=""),0,COUNTIFS('Istoric_Nativ'!$B$6:$B$405,E645,'Istoric_Nativ'!$C$6:$C$405,F645,'Istoric_Nativ'!$E$6:$E$405,G645,'Istoric_Nativ'!$D$6:$D$405,"&lt;"&amp;J645,'Istoric_Nativ'!$O$6:$O$405,"INVALID")+COUNTIFS('Istoric_Nativ'!$B$6:$B$405,E645,'Istoric_Nativ'!$C$6:$C$405,F645,'Istoric_Nativ'!$E$6:$E$405,G645,'Istoric_Nativ'!$O$6:$O$405,"INVALID",'Istoric_Nativ'!$D$6:$D$405,"*")+COUNTIFS('Istoric_Nativ'!$B$6:$B$405,E645,'Istoric_Nativ'!$C$6:$C$405,F645,'Istoric_Nativ'!$E$6:$E$405,G645,'Istoric_Nativ'!$D$6:$D$405,"&lt;"&amp;J645,'Istoric_Nativ'!$O$6:$O$405,"SOURCE CONFLICT")+COUNTIFS('Istoric_Nativ'!$B$6:$B$405,E645,'Istoric_Nativ'!$C$6:$C$405,F645,'Istoric_Nativ'!$F$6:$F$405,G645,'Istoric_Nativ'!$D$6:$D$405,"&lt;"&amp;J645,'Istoric_Nativ'!$O$6:$O$405,"INVALID")+COUNTIFS('Istoric_Nativ'!$B$6:$B$405,E645,'Istoric_Nativ'!$C$6:$C$405,F645,'Istoric_Nativ'!$F$6:$F$405,G645,'Istoric_Nativ'!$O$6:$O$405,"INVALID",'Istoric_Nativ'!$D$6:$D$405,"*")+COUNTIFS('Istoric_Nativ'!$B$6:$B$405,E645,'Istoric_Nativ'!$C$6:$C$405,F645,'Istoric_Nativ'!$F$6:$F$405,G645,'Istoric_Nativ'!$D$6:$D$405,"&lt;"&amp;J645,'Istoric_Nativ'!$O$6:$O$405,"SOURCE CONFLICT"))</x:f>
        <x:v>0</x:v>
      </x:c>
      <x:c r="T645" s="2" t="str">
        <x:f>IF(B645="","",IF(R645&lt;&gt;"CLOSED",R645,IF(S645&gt;0,"NATIVE INPUT ISSUE",IF(M645=0,"NO HISTORY",IF(M645&lt;P645,"SMALL SAMPLE","DERIVED")))))</x:f>
      </x:c>
      <x:c r="U645" s="2" t="str">
        <x:f>IF(B645="","","NativeTable; "&amp;E645&amp;"; "&amp;F645&amp;"; "&amp;G645&amp;"; "&amp;H645&amp;"; before "&amp;TEXT(J645,"yyyy-mm-dd")&amp;IF(I645="RECENT","; from "&amp;TEXT(L645,"yyyy-mm-dd"),""))</x:f>
      </x:c>
    </x:row>
    <x:row r="646" ht="21" customHeight="1">
      <x:c r="A646" s="2" t="n">
        <x:v>54</x:v>
      </x:c>
      <x:c r="B646" s="2" t="str">
        <x:f>IF('Input_Meci'!A59="","",'Input_Meci'!A59)</x:f>
      </x:c>
      <x:c r="C646" s="2" t="str">
        <x:v>A</x:v>
      </x:c>
      <x:c r="D646" s="2" t="str">
        <x:v>CURRENT</x:v>
      </x:c>
      <x:c r="E646" s="2" t="str">
        <x:f>IF(B646="","",'Input_Meci'!B59)</x:f>
      </x:c>
      <x:c r="F646" s="2" t="str">
        <x:f>IF(B646="","",IF('Input_Meci'!C59="","",'Input_Meci'!C59))</x:f>
      </x:c>
      <x:c r="G646" s="2" t="str">
        <x:f>IF(B646="","",'Input_Meci'!E59)</x:f>
      </x:c>
      <x:c r="H646" s="2" t="str">
        <x:v>AWAY</x:v>
      </x:c>
      <x:c r="I646" s="2" t="str">
        <x:v>HA</x:v>
      </x:c>
      <x:c r="J646" s="9" t="n">
        <x:f>IF(AND(B646&lt;&gt;"",ISNUMBER('Input_Meci'!G59)),INT('Input_Meci'!G59),0)</x:f>
        <x:v>0</x:v>
      </x:c>
      <x:c r="K646" s="2" t="n">
        <x:f>IF(OR(B646="",F646=""),0,IF(H646="HOME",COUNTIFS('Istoric_Nativ'!$B$6:$B$405,E646,'Istoric_Nativ'!$C$6:$C$405,F646,'Istoric_Nativ'!$E$6:$E$405,G646,'Istoric_Nativ'!$D$6:$D$405,"&lt;"&amp;J646,'Istoric_Nativ'!$P$6:$P$405,1),IF(H646="AWAY",COUNTIFS('Istoric_Nativ'!$B$6:$B$405,E646,'Istoric_Nativ'!$C$6:$C$405,F646,'Istoric_Nativ'!$F$6:$F$405,G646,'Istoric_Nativ'!$D$6:$D$405,"&lt;"&amp;J646,'Istoric_Nativ'!$P$6:$P$405,1),COUNTIFS('Istoric_Nativ'!$B$6:$B$405,E646,'Istoric_Nativ'!$C$6:$C$405,F646,'Istoric_Nativ'!$E$6:$E$405,G646,'Istoric_Nativ'!$D$6:$D$405,"&lt;"&amp;J646,'Istoric_Nativ'!$P$6:$P$405,1)+COUNTIFS('Istoric_Nativ'!$B$6:$B$405,E646,'Istoric_Nativ'!$C$6:$C$405,F646,'Istoric_Nativ'!$F$6:$F$405,G646,'Istoric_Nativ'!$D$6:$D$405,"&lt;"&amp;J646,'Istoric_Nativ'!$P$6:$P$405,1))))</x:f>
        <x:v>0</x:v>
      </x:c>
      <x:c r="L646" s="17" t="n">
        <x:f>IF(AND(B646&lt;&gt;"",I646="RECENT",K646&gt;0),LARGE(_xlfn._xlws.FILTER('Istoric_Nativ'!$D$6:$D$405,('Istoric_Nativ'!$B$6:$B$405=E646)*('Istoric_Nativ'!$C$6:$C$405=F646)*('Istoric_Nativ'!$P$6:$P$405=1)*('Istoric_Nativ'!$D$6:$D$405&lt;J646)*((('Istoric_Nativ'!$E$6:$E$405=G646)+('Istoric_Nativ'!$F$6:$F$405=G646))&gt;0)),MIN('Config_v6'!$B$54,K646)),0)</x:f>
        <x:v>0</x:v>
      </x:c>
      <x:c r="M646" s="2" t="n">
        <x:f>IF(OR(B646="",F646=""),0,IF(H646="HOME",COUNTIFS('Istoric_Nativ'!$B$6:$B$405,E646,'Istoric_Nativ'!$C$6:$C$405,F646,'Istoric_Nativ'!$E$6:$E$405,G646,'Istoric_Nativ'!$D$6:$D$405,"&lt;"&amp;J646,'Istoric_Nativ'!$P$6:$P$405,1,'Istoric_Nativ'!$D$6:$D$405,"&gt;="&amp;L646),IF(H646="AWAY",COUNTIFS('Istoric_Nativ'!$B$6:$B$405,E646,'Istoric_Nativ'!$C$6:$C$405,F646,'Istoric_Nativ'!$F$6:$F$405,G646,'Istoric_Nativ'!$D$6:$D$405,"&lt;"&amp;J646,'Istoric_Nativ'!$P$6:$P$405,1,'Istoric_Nativ'!$D$6:$D$405,"&gt;="&amp;L646),COUNTIFS('Istoric_Nativ'!$B$6:$B$405,E646,'Istoric_Nativ'!$C$6:$C$405,F646,'Istoric_Nativ'!$E$6:$E$405,G646,'Istoric_Nativ'!$D$6:$D$405,"&lt;"&amp;J646,'Istoric_Nativ'!$P$6:$P$405,1,'Istoric_Nativ'!$D$6:$D$405,"&gt;="&amp;L646)+COUNTIFS('Istoric_Nativ'!$B$6:$B$405,E646,'Istoric_Nativ'!$C$6:$C$405,F646,'Istoric_Nativ'!$F$6:$F$405,G646,'Istoric_Nativ'!$D$6:$D$405,"&lt;"&amp;J646,'Istoric_Nativ'!$P$6:$P$405,1,'Istoric_Nativ'!$D$6:$D$405,"&gt;="&amp;L646))))</x:f>
        <x:v>0</x:v>
      </x:c>
      <x:c r="N646" s="11" t="str">
        <x:f>IF(M646=0,"",IF(H646="HOME",SUMIFS('Istoric_Nativ'!$G$6:$G$405,'Istoric_Nativ'!$B$6:$B$405,E646,'Istoric_Nativ'!$C$6:$C$405,F646,'Istoric_Nativ'!$E$6:$E$405,G646,'Istoric_Nativ'!$D$6:$D$405,"&lt;"&amp;J646,'Istoric_Nativ'!$P$6:$P$405,1,'Istoric_Nativ'!$D$6:$D$405,"&gt;="&amp;L646),IF(H646="AWAY",SUMIFS('Istoric_Nativ'!$H$6:$H$405,'Istoric_Nativ'!$B$6:$B$405,E646,'Istoric_Nativ'!$C$6:$C$405,F646,'Istoric_Nativ'!$F$6:$F$405,G646,'Istoric_Nativ'!$D$6:$D$405,"&lt;"&amp;J646,'Istoric_Nativ'!$P$6:$P$405,1,'Istoric_Nativ'!$D$6:$D$405,"&gt;="&amp;L646),SUMIFS('Istoric_Nativ'!$G$6:$G$405,'Istoric_Nativ'!$B$6:$B$405,E646,'Istoric_Nativ'!$C$6:$C$405,F646,'Istoric_Nativ'!$E$6:$E$405,G646,'Istoric_Nativ'!$D$6:$D$405,"&lt;"&amp;J646,'Istoric_Nativ'!$P$6:$P$405,1,'Istoric_Nativ'!$D$6:$D$405,"&gt;="&amp;L646)+SUMIFS('Istoric_Nativ'!$H$6:$H$405,'Istoric_Nativ'!$B$6:$B$405,E646,'Istoric_Nativ'!$C$6:$C$405,F646,'Istoric_Nativ'!$F$6:$F$405,G646,'Istoric_Nativ'!$D$6:$D$405,"&lt;"&amp;J646,'Istoric_Nativ'!$P$6:$P$405,1,'Istoric_Nativ'!$D$6:$D$405,"&gt;="&amp;L646)))/M646)</x:f>
      </x:c>
      <x:c r="O646" s="11" t="str">
        <x:f>IF(M646=0,"",IF(H646="HOME",SUMIFS('Istoric_Nativ'!$H$6:$H$405,'Istoric_Nativ'!$B$6:$B$405,E646,'Istoric_Nativ'!$C$6:$C$405,F646,'Istoric_Nativ'!$E$6:$E$405,G646,'Istoric_Nativ'!$D$6:$D$405,"&lt;"&amp;J646,'Istoric_Nativ'!$P$6:$P$405,1,'Istoric_Nativ'!$D$6:$D$405,"&gt;="&amp;L646),IF(H646="AWAY",SUMIFS('Istoric_Nativ'!$G$6:$G$405,'Istoric_Nativ'!$B$6:$B$405,E646,'Istoric_Nativ'!$C$6:$C$405,F646,'Istoric_Nativ'!$F$6:$F$405,G646,'Istoric_Nativ'!$D$6:$D$405,"&lt;"&amp;J646,'Istoric_Nativ'!$P$6:$P$405,1,'Istoric_Nativ'!$D$6:$D$405,"&gt;="&amp;L646),SUMIFS('Istoric_Nativ'!$H$6:$H$405,'Istoric_Nativ'!$B$6:$B$405,E646,'Istoric_Nativ'!$C$6:$C$405,F646,'Istoric_Nativ'!$E$6:$E$405,G646,'Istoric_Nativ'!$D$6:$D$405,"&lt;"&amp;J646,'Istoric_Nativ'!$P$6:$P$405,1,'Istoric_Nativ'!$D$6:$D$405,"&gt;="&amp;L646)+SUMIFS('Istoric_Nativ'!$G$6:$G$405,'Istoric_Nativ'!$B$6:$B$405,E646,'Istoric_Nativ'!$C$6:$C$405,F646,'Istoric_Nativ'!$F$6:$F$405,G646,'Istoric_Nativ'!$D$6:$D$405,"&lt;"&amp;J646,'Istoric_Nativ'!$P$6:$P$405,1,'Istoric_Nativ'!$D$6:$D$405,"&gt;="&amp;L646)))/M646)</x:f>
      </x:c>
      <x:c r="P646" s="2" t="n">
        <x:f>'Config_v6'!$B$8</x:f>
        <x:v>5</x:v>
      </x:c>
      <x:c r="Q646" s="2" t="n">
        <x:f>IF(OR(B646="",F646=""),0,IFERROR(MATCH(E646&amp;"|"&amp;F646,SourceTable[Source_Key],0),0))</x:f>
        <x:v>0</x:v>
      </x:c>
      <x:c r="R646" s="2" t="str">
        <x:f>IF(B646="","",IF(F646="","UNUSED",IF(Q646=0,"NOT CHECKED",IF(COUNTIF(SourceTable[Source_Key],E646&amp;"|"&amp;F646)&lt;&gt;1,"SOURCE CONFLICT",IF(NOT(OR(INDEX(SourceTable[Status],MAX(1,Q646))="IMPORTED",INDEX(SourceTable[Status],MAX(1,Q646))="PARTIAL",INDEX(SourceTable[Status],MAX(1,Q646))="SOURCE CONFLICT")),"ACCESS BLOCKED",IF(OR(INDEX(SourceTable[Coverage],Q646)&lt;&gt;"FULL SEASON EXPORT",INDEX(SourceTable[URL],Q646)="",INDEX(SourceTable[SHA256],Q646)=""),"EVIDENCE INCOMPLETE",IF(AND('Input_Meci'!H59="LIVE",INDEX(SourceTable[Retrieved_UTC],Q646)&gt;'Input_Meci'!G59),"POST CUTOFF","CLOSED")))))))</x:f>
      </x:c>
      <x:c r="S646" s="2" t="n">
        <x:f>IF(OR(B646="",F646=""),0,COUNTIFS('Istoric_Nativ'!$B$6:$B$405,E646,'Istoric_Nativ'!$C$6:$C$405,F646,'Istoric_Nativ'!$E$6:$E$405,G646,'Istoric_Nativ'!$D$6:$D$405,"&lt;"&amp;J646,'Istoric_Nativ'!$O$6:$O$405,"INVALID")+COUNTIFS('Istoric_Nativ'!$B$6:$B$405,E646,'Istoric_Nativ'!$C$6:$C$405,F646,'Istoric_Nativ'!$E$6:$E$405,G646,'Istoric_Nativ'!$O$6:$O$405,"INVALID",'Istoric_Nativ'!$D$6:$D$405,"*")+COUNTIFS('Istoric_Nativ'!$B$6:$B$405,E646,'Istoric_Nativ'!$C$6:$C$405,F646,'Istoric_Nativ'!$E$6:$E$405,G646,'Istoric_Nativ'!$D$6:$D$405,"&lt;"&amp;J646,'Istoric_Nativ'!$O$6:$O$405,"SOURCE CONFLICT")+COUNTIFS('Istoric_Nativ'!$B$6:$B$405,E646,'Istoric_Nativ'!$C$6:$C$405,F646,'Istoric_Nativ'!$F$6:$F$405,G646,'Istoric_Nativ'!$D$6:$D$405,"&lt;"&amp;J646,'Istoric_Nativ'!$O$6:$O$405,"INVALID")+COUNTIFS('Istoric_Nativ'!$B$6:$B$405,E646,'Istoric_Nativ'!$C$6:$C$405,F646,'Istoric_Nativ'!$F$6:$F$405,G646,'Istoric_Nativ'!$O$6:$O$405,"INVALID",'Istoric_Nativ'!$D$6:$D$405,"*")+COUNTIFS('Istoric_Nativ'!$B$6:$B$405,E646,'Istoric_Nativ'!$C$6:$C$405,F646,'Istoric_Nativ'!$F$6:$F$405,G646,'Istoric_Nativ'!$D$6:$D$405,"&lt;"&amp;J646,'Istoric_Nativ'!$O$6:$O$405,"SOURCE CONFLICT"))</x:f>
        <x:v>0</x:v>
      </x:c>
      <x:c r="T646" s="2" t="str">
        <x:f>IF(B646="","",IF(R646&lt;&gt;"CLOSED",R646,IF(S646&gt;0,"NATIVE INPUT ISSUE",IF(M646=0,"NO HISTORY",IF(M646&lt;P646,"SMALL SAMPLE","DERIVED")))))</x:f>
      </x:c>
      <x:c r="U646" s="2" t="str">
        <x:f>IF(B646="","","NativeTable; "&amp;E646&amp;"; "&amp;F646&amp;"; "&amp;G646&amp;"; "&amp;H646&amp;"; before "&amp;TEXT(J646,"yyyy-mm-dd")&amp;IF(I646="RECENT","; from "&amp;TEXT(L646,"yyyy-mm-dd"),""))</x:f>
      </x:c>
    </x:row>
    <x:row r="647" ht="21" customHeight="1">
      <x:c r="A647" s="2" t="n">
        <x:v>54</x:v>
      </x:c>
      <x:c r="B647" s="2" t="str">
        <x:f>IF('Input_Meci'!A59="","",'Input_Meci'!A59)</x:f>
      </x:c>
      <x:c r="C647" s="2" t="str">
        <x:v>A</x:v>
      </x:c>
      <x:c r="D647" s="2" t="str">
        <x:v>CURRENT</x:v>
      </x:c>
      <x:c r="E647" s="2" t="str">
        <x:f>IF(B647="","",'Input_Meci'!B59)</x:f>
      </x:c>
      <x:c r="F647" s="2" t="str">
        <x:f>IF(B647="","",IF('Input_Meci'!C59="","",'Input_Meci'!C59))</x:f>
      </x:c>
      <x:c r="G647" s="2" t="str">
        <x:f>IF(B647="","",'Input_Meci'!E59)</x:f>
      </x:c>
      <x:c r="H647" s="2" t="str">
        <x:v>ANY</x:v>
      </x:c>
      <x:c r="I647" s="2" t="str">
        <x:v>RECENT</x:v>
      </x:c>
      <x:c r="J647" s="9" t="n">
        <x:f>IF(AND(B647&lt;&gt;"",ISNUMBER('Input_Meci'!G59)),INT('Input_Meci'!G59),0)</x:f>
        <x:v>0</x:v>
      </x:c>
      <x:c r="K647" s="2" t="n">
        <x:f>IF(OR(B647="",F647=""),0,IF(H647="HOME",COUNTIFS('Istoric_Nativ'!$B$6:$B$405,E647,'Istoric_Nativ'!$C$6:$C$405,F647,'Istoric_Nativ'!$E$6:$E$405,G647,'Istoric_Nativ'!$D$6:$D$405,"&lt;"&amp;J647,'Istoric_Nativ'!$P$6:$P$405,1),IF(H647="AWAY",COUNTIFS('Istoric_Nativ'!$B$6:$B$405,E647,'Istoric_Nativ'!$C$6:$C$405,F647,'Istoric_Nativ'!$F$6:$F$405,G647,'Istoric_Nativ'!$D$6:$D$405,"&lt;"&amp;J647,'Istoric_Nativ'!$P$6:$P$405,1),COUNTIFS('Istoric_Nativ'!$B$6:$B$405,E647,'Istoric_Nativ'!$C$6:$C$405,F647,'Istoric_Nativ'!$E$6:$E$405,G647,'Istoric_Nativ'!$D$6:$D$405,"&lt;"&amp;J647,'Istoric_Nativ'!$P$6:$P$405,1)+COUNTIFS('Istoric_Nativ'!$B$6:$B$405,E647,'Istoric_Nativ'!$C$6:$C$405,F647,'Istoric_Nativ'!$F$6:$F$405,G647,'Istoric_Nativ'!$D$6:$D$405,"&lt;"&amp;J647,'Istoric_Nativ'!$P$6:$P$405,1))))</x:f>
        <x:v>0</x:v>
      </x:c>
      <x:c r="L647" s="17" t="n">
        <x:f>IF(AND(B647&lt;&gt;"",I647="RECENT",K647&gt;0),LARGE(_xlfn._xlws.FILTER('Istoric_Nativ'!$D$6:$D$405,('Istoric_Nativ'!$B$6:$B$405=E647)*('Istoric_Nativ'!$C$6:$C$405=F647)*('Istoric_Nativ'!$P$6:$P$405=1)*('Istoric_Nativ'!$D$6:$D$405&lt;J647)*((('Istoric_Nativ'!$E$6:$E$405=G647)+('Istoric_Nativ'!$F$6:$F$405=G647))&gt;0)),MIN('Config_v6'!$B$54,K647)),0)</x:f>
        <x:v>0</x:v>
      </x:c>
      <x:c r="M647" s="2" t="n">
        <x:f>IF(OR(B647="",F647=""),0,IF(H647="HOME",COUNTIFS('Istoric_Nativ'!$B$6:$B$405,E647,'Istoric_Nativ'!$C$6:$C$405,F647,'Istoric_Nativ'!$E$6:$E$405,G647,'Istoric_Nativ'!$D$6:$D$405,"&lt;"&amp;J647,'Istoric_Nativ'!$P$6:$P$405,1,'Istoric_Nativ'!$D$6:$D$405,"&gt;="&amp;L647),IF(H647="AWAY",COUNTIFS('Istoric_Nativ'!$B$6:$B$405,E647,'Istoric_Nativ'!$C$6:$C$405,F647,'Istoric_Nativ'!$F$6:$F$405,G647,'Istoric_Nativ'!$D$6:$D$405,"&lt;"&amp;J647,'Istoric_Nativ'!$P$6:$P$405,1,'Istoric_Nativ'!$D$6:$D$405,"&gt;="&amp;L647),COUNTIFS('Istoric_Nativ'!$B$6:$B$405,E647,'Istoric_Nativ'!$C$6:$C$405,F647,'Istoric_Nativ'!$E$6:$E$405,G647,'Istoric_Nativ'!$D$6:$D$405,"&lt;"&amp;J647,'Istoric_Nativ'!$P$6:$P$405,1,'Istoric_Nativ'!$D$6:$D$405,"&gt;="&amp;L647)+COUNTIFS('Istoric_Nativ'!$B$6:$B$405,E647,'Istoric_Nativ'!$C$6:$C$405,F647,'Istoric_Nativ'!$F$6:$F$405,G647,'Istoric_Nativ'!$D$6:$D$405,"&lt;"&amp;J647,'Istoric_Nativ'!$P$6:$P$405,1,'Istoric_Nativ'!$D$6:$D$405,"&gt;="&amp;L647))))</x:f>
        <x:v>0</x:v>
      </x:c>
      <x:c r="N647" s="11" t="str">
        <x:f>IF(M647=0,"",IF(H647="HOME",SUMIFS('Istoric_Nativ'!$G$6:$G$405,'Istoric_Nativ'!$B$6:$B$405,E647,'Istoric_Nativ'!$C$6:$C$405,F647,'Istoric_Nativ'!$E$6:$E$405,G647,'Istoric_Nativ'!$D$6:$D$405,"&lt;"&amp;J647,'Istoric_Nativ'!$P$6:$P$405,1,'Istoric_Nativ'!$D$6:$D$405,"&gt;="&amp;L647),IF(H647="AWAY",SUMIFS('Istoric_Nativ'!$H$6:$H$405,'Istoric_Nativ'!$B$6:$B$405,E647,'Istoric_Nativ'!$C$6:$C$405,F647,'Istoric_Nativ'!$F$6:$F$405,G647,'Istoric_Nativ'!$D$6:$D$405,"&lt;"&amp;J647,'Istoric_Nativ'!$P$6:$P$405,1,'Istoric_Nativ'!$D$6:$D$405,"&gt;="&amp;L647),SUMIFS('Istoric_Nativ'!$G$6:$G$405,'Istoric_Nativ'!$B$6:$B$405,E647,'Istoric_Nativ'!$C$6:$C$405,F647,'Istoric_Nativ'!$E$6:$E$405,G647,'Istoric_Nativ'!$D$6:$D$405,"&lt;"&amp;J647,'Istoric_Nativ'!$P$6:$P$405,1,'Istoric_Nativ'!$D$6:$D$405,"&gt;="&amp;L647)+SUMIFS('Istoric_Nativ'!$H$6:$H$405,'Istoric_Nativ'!$B$6:$B$405,E647,'Istoric_Nativ'!$C$6:$C$405,F647,'Istoric_Nativ'!$F$6:$F$405,G647,'Istoric_Nativ'!$D$6:$D$405,"&lt;"&amp;J647,'Istoric_Nativ'!$P$6:$P$405,1,'Istoric_Nativ'!$D$6:$D$405,"&gt;="&amp;L647)))/M647)</x:f>
      </x:c>
      <x:c r="O647" s="11" t="str">
        <x:f>IF(M647=0,"",IF(H647="HOME",SUMIFS('Istoric_Nativ'!$H$6:$H$405,'Istoric_Nativ'!$B$6:$B$405,E647,'Istoric_Nativ'!$C$6:$C$405,F647,'Istoric_Nativ'!$E$6:$E$405,G647,'Istoric_Nativ'!$D$6:$D$405,"&lt;"&amp;J647,'Istoric_Nativ'!$P$6:$P$405,1,'Istoric_Nativ'!$D$6:$D$405,"&gt;="&amp;L647),IF(H647="AWAY",SUMIFS('Istoric_Nativ'!$G$6:$G$405,'Istoric_Nativ'!$B$6:$B$405,E647,'Istoric_Nativ'!$C$6:$C$405,F647,'Istoric_Nativ'!$F$6:$F$405,G647,'Istoric_Nativ'!$D$6:$D$405,"&lt;"&amp;J647,'Istoric_Nativ'!$P$6:$P$405,1,'Istoric_Nativ'!$D$6:$D$405,"&gt;="&amp;L647),SUMIFS('Istoric_Nativ'!$H$6:$H$405,'Istoric_Nativ'!$B$6:$B$405,E647,'Istoric_Nativ'!$C$6:$C$405,F647,'Istoric_Nativ'!$E$6:$E$405,G647,'Istoric_Nativ'!$D$6:$D$405,"&lt;"&amp;J647,'Istoric_Nativ'!$P$6:$P$405,1,'Istoric_Nativ'!$D$6:$D$405,"&gt;="&amp;L647)+SUMIFS('Istoric_Nativ'!$G$6:$G$405,'Istoric_Nativ'!$B$6:$B$405,E647,'Istoric_Nativ'!$C$6:$C$405,F647,'Istoric_Nativ'!$F$6:$F$405,G647,'Istoric_Nativ'!$D$6:$D$405,"&lt;"&amp;J647,'Istoric_Nativ'!$P$6:$P$405,1,'Istoric_Nativ'!$D$6:$D$405,"&gt;="&amp;L647)))/M647)</x:f>
      </x:c>
      <x:c r="P647" s="2" t="n">
        <x:f>'Config_v6'!$B$9</x:f>
        <x:v>3</x:v>
      </x:c>
      <x:c r="Q647" s="2" t="n">
        <x:f>IF(OR(B647="",F647=""),0,IFERROR(MATCH(E647&amp;"|"&amp;F647,SourceTable[Source_Key],0),0))</x:f>
        <x:v>0</x:v>
      </x:c>
      <x:c r="R647" s="2" t="str">
        <x:f>IF(B647="","",IF(F647="","UNUSED",IF(Q647=0,"NOT CHECKED",IF(COUNTIF(SourceTable[Source_Key],E647&amp;"|"&amp;F647)&lt;&gt;1,"SOURCE CONFLICT",IF(NOT(OR(INDEX(SourceTable[Status],MAX(1,Q647))="IMPORTED",INDEX(SourceTable[Status],MAX(1,Q647))="PARTIAL",INDEX(SourceTable[Status],MAX(1,Q647))="SOURCE CONFLICT")),"ACCESS BLOCKED",IF(OR(INDEX(SourceTable[Coverage],Q647)&lt;&gt;"FULL SEASON EXPORT",INDEX(SourceTable[URL],Q647)="",INDEX(SourceTable[SHA256],Q647)=""),"EVIDENCE INCOMPLETE",IF(AND('Input_Meci'!H59="LIVE",INDEX(SourceTable[Retrieved_UTC],Q647)&gt;'Input_Meci'!G59),"POST CUTOFF","CLOSED")))))))</x:f>
      </x:c>
      <x:c r="S647" s="2" t="n">
        <x:f>IF(OR(B647="",F647=""),0,COUNTIFS('Istoric_Nativ'!$B$6:$B$405,E647,'Istoric_Nativ'!$C$6:$C$405,F647,'Istoric_Nativ'!$E$6:$E$405,G647,'Istoric_Nativ'!$D$6:$D$405,"&lt;"&amp;J647,'Istoric_Nativ'!$O$6:$O$405,"INVALID")+COUNTIFS('Istoric_Nativ'!$B$6:$B$405,E647,'Istoric_Nativ'!$C$6:$C$405,F647,'Istoric_Nativ'!$E$6:$E$405,G647,'Istoric_Nativ'!$O$6:$O$405,"INVALID",'Istoric_Nativ'!$D$6:$D$405,"*")+COUNTIFS('Istoric_Nativ'!$B$6:$B$405,E647,'Istoric_Nativ'!$C$6:$C$405,F647,'Istoric_Nativ'!$E$6:$E$405,G647,'Istoric_Nativ'!$D$6:$D$405,"&lt;"&amp;J647,'Istoric_Nativ'!$O$6:$O$405,"SOURCE CONFLICT")+COUNTIFS('Istoric_Nativ'!$B$6:$B$405,E647,'Istoric_Nativ'!$C$6:$C$405,F647,'Istoric_Nativ'!$F$6:$F$405,G647,'Istoric_Nativ'!$D$6:$D$405,"&lt;"&amp;J647,'Istoric_Nativ'!$O$6:$O$405,"INVALID")+COUNTIFS('Istoric_Nativ'!$B$6:$B$405,E647,'Istoric_Nativ'!$C$6:$C$405,F647,'Istoric_Nativ'!$F$6:$F$405,G647,'Istoric_Nativ'!$O$6:$O$405,"INVALID",'Istoric_Nativ'!$D$6:$D$405,"*")+COUNTIFS('Istoric_Nativ'!$B$6:$B$405,E647,'Istoric_Nativ'!$C$6:$C$405,F647,'Istoric_Nativ'!$F$6:$F$405,G647,'Istoric_Nativ'!$D$6:$D$405,"&lt;"&amp;J647,'Istoric_Nativ'!$O$6:$O$405,"SOURCE CONFLICT"))</x:f>
        <x:v>0</x:v>
      </x:c>
      <x:c r="T647" s="2" t="str">
        <x:f>IF(B647="","",IF(R647&lt;&gt;"CLOSED",R647,IF(S647&gt;0,"NATIVE INPUT ISSUE",IF(M647=0,"NO HISTORY",IF(M647&lt;P647,"SMALL SAMPLE","DERIVED")))))</x:f>
      </x:c>
      <x:c r="U647" s="2" t="str">
        <x:f>IF(B647="","","NativeTable; "&amp;E647&amp;"; "&amp;F647&amp;"; "&amp;G647&amp;"; "&amp;H647&amp;"; before "&amp;TEXT(J647,"yyyy-mm-dd")&amp;IF(I647="RECENT","; from "&amp;TEXT(L647,"yyyy-mm-dd"),""))</x:f>
      </x:c>
    </x:row>
    <x:row r="648" ht="21" customHeight="1">
      <x:c r="A648" s="2" t="n">
        <x:v>54</x:v>
      </x:c>
      <x:c r="B648" s="2" t="str">
        <x:f>IF('Input_Meci'!A59="","",'Input_Meci'!A59)</x:f>
      </x:c>
      <x:c r="C648" s="2" t="str">
        <x:v>H</x:v>
      </x:c>
      <x:c r="D648" s="2" t="str">
        <x:v>PRIOR</x:v>
      </x:c>
      <x:c r="E648" s="2" t="str">
        <x:f>IF(B648="","",'Input_Meci'!B59)</x:f>
      </x:c>
      <x:c r="F648" s="2" t="str">
        <x:f>IF(B648="","",IF('Input_Meci'!K59="","",'Input_Meci'!K59))</x:f>
      </x:c>
      <x:c r="G648" s="2" t="str">
        <x:f>IF(B648="","",'Input_Meci'!D59)</x:f>
      </x:c>
      <x:c r="H648" s="2" t="str">
        <x:v>ANY</x:v>
      </x:c>
      <x:c r="I648" s="2" t="str">
        <x:v>SEASON</x:v>
      </x:c>
      <x:c r="J648" s="9" t="n">
        <x:f>IF(AND(B648&lt;&gt;"",ISNUMBER('Input_Meci'!G59)),INT('Input_Meci'!G59),0)</x:f>
        <x:v>0</x:v>
      </x:c>
      <x:c r="K648" s="2" t="n">
        <x:f>IF(OR(B648="",F648=""),0,IF(H648="HOME",COUNTIFS('Istoric_Nativ'!$B$6:$B$405,E648,'Istoric_Nativ'!$C$6:$C$405,F648,'Istoric_Nativ'!$E$6:$E$405,G648,'Istoric_Nativ'!$D$6:$D$405,"&lt;"&amp;J648,'Istoric_Nativ'!$P$6:$P$405,1),IF(H648="AWAY",COUNTIFS('Istoric_Nativ'!$B$6:$B$405,E648,'Istoric_Nativ'!$C$6:$C$405,F648,'Istoric_Nativ'!$F$6:$F$405,G648,'Istoric_Nativ'!$D$6:$D$405,"&lt;"&amp;J648,'Istoric_Nativ'!$P$6:$P$405,1),COUNTIFS('Istoric_Nativ'!$B$6:$B$405,E648,'Istoric_Nativ'!$C$6:$C$405,F648,'Istoric_Nativ'!$E$6:$E$405,G648,'Istoric_Nativ'!$D$6:$D$405,"&lt;"&amp;J648,'Istoric_Nativ'!$P$6:$P$405,1)+COUNTIFS('Istoric_Nativ'!$B$6:$B$405,E648,'Istoric_Nativ'!$C$6:$C$405,F648,'Istoric_Nativ'!$F$6:$F$405,G648,'Istoric_Nativ'!$D$6:$D$405,"&lt;"&amp;J648,'Istoric_Nativ'!$P$6:$P$405,1))))</x:f>
        <x:v>0</x:v>
      </x:c>
      <x:c r="L648" s="17" t="n">
        <x:f>IF(AND(B648&lt;&gt;"",I648="RECENT",K648&gt;0),LARGE(_xlfn._xlws.FILTER('Istoric_Nativ'!$D$6:$D$405,('Istoric_Nativ'!$B$6:$B$405=E648)*('Istoric_Nativ'!$C$6:$C$405=F648)*('Istoric_Nativ'!$P$6:$P$405=1)*('Istoric_Nativ'!$D$6:$D$405&lt;J648)*((('Istoric_Nativ'!$E$6:$E$405=G648)+('Istoric_Nativ'!$F$6:$F$405=G648))&gt;0)),MIN('Config_v6'!$B$54,K648)),0)</x:f>
        <x:v>0</x:v>
      </x:c>
      <x:c r="M648" s="2" t="n">
        <x:f>IF(OR(B648="",F648=""),0,IF(H648="HOME",COUNTIFS('Istoric_Nativ'!$B$6:$B$405,E648,'Istoric_Nativ'!$C$6:$C$405,F648,'Istoric_Nativ'!$E$6:$E$405,G648,'Istoric_Nativ'!$D$6:$D$405,"&lt;"&amp;J648,'Istoric_Nativ'!$P$6:$P$405,1,'Istoric_Nativ'!$D$6:$D$405,"&gt;="&amp;L648),IF(H648="AWAY",COUNTIFS('Istoric_Nativ'!$B$6:$B$405,E648,'Istoric_Nativ'!$C$6:$C$405,F648,'Istoric_Nativ'!$F$6:$F$405,G648,'Istoric_Nativ'!$D$6:$D$405,"&lt;"&amp;J648,'Istoric_Nativ'!$P$6:$P$405,1,'Istoric_Nativ'!$D$6:$D$405,"&gt;="&amp;L648),COUNTIFS('Istoric_Nativ'!$B$6:$B$405,E648,'Istoric_Nativ'!$C$6:$C$405,F648,'Istoric_Nativ'!$E$6:$E$405,G648,'Istoric_Nativ'!$D$6:$D$405,"&lt;"&amp;J648,'Istoric_Nativ'!$P$6:$P$405,1,'Istoric_Nativ'!$D$6:$D$405,"&gt;="&amp;L648)+COUNTIFS('Istoric_Nativ'!$B$6:$B$405,E648,'Istoric_Nativ'!$C$6:$C$405,F648,'Istoric_Nativ'!$F$6:$F$405,G648,'Istoric_Nativ'!$D$6:$D$405,"&lt;"&amp;J648,'Istoric_Nativ'!$P$6:$P$405,1,'Istoric_Nativ'!$D$6:$D$405,"&gt;="&amp;L648))))</x:f>
        <x:v>0</x:v>
      </x:c>
      <x:c r="N648" s="11" t="str">
        <x:f>IF(M648=0,"",IF(H648="HOME",SUMIFS('Istoric_Nativ'!$G$6:$G$405,'Istoric_Nativ'!$B$6:$B$405,E648,'Istoric_Nativ'!$C$6:$C$405,F648,'Istoric_Nativ'!$E$6:$E$405,G648,'Istoric_Nativ'!$D$6:$D$405,"&lt;"&amp;J648,'Istoric_Nativ'!$P$6:$P$405,1,'Istoric_Nativ'!$D$6:$D$405,"&gt;="&amp;L648),IF(H648="AWAY",SUMIFS('Istoric_Nativ'!$H$6:$H$405,'Istoric_Nativ'!$B$6:$B$405,E648,'Istoric_Nativ'!$C$6:$C$405,F648,'Istoric_Nativ'!$F$6:$F$405,G648,'Istoric_Nativ'!$D$6:$D$405,"&lt;"&amp;J648,'Istoric_Nativ'!$P$6:$P$405,1,'Istoric_Nativ'!$D$6:$D$405,"&gt;="&amp;L648),SUMIFS('Istoric_Nativ'!$G$6:$G$405,'Istoric_Nativ'!$B$6:$B$405,E648,'Istoric_Nativ'!$C$6:$C$405,F648,'Istoric_Nativ'!$E$6:$E$405,G648,'Istoric_Nativ'!$D$6:$D$405,"&lt;"&amp;J648,'Istoric_Nativ'!$P$6:$P$405,1,'Istoric_Nativ'!$D$6:$D$405,"&gt;="&amp;L648)+SUMIFS('Istoric_Nativ'!$H$6:$H$405,'Istoric_Nativ'!$B$6:$B$405,E648,'Istoric_Nativ'!$C$6:$C$405,F648,'Istoric_Nativ'!$F$6:$F$405,G648,'Istoric_Nativ'!$D$6:$D$405,"&lt;"&amp;J648,'Istoric_Nativ'!$P$6:$P$405,1,'Istoric_Nativ'!$D$6:$D$405,"&gt;="&amp;L648)))/M648)</x:f>
      </x:c>
      <x:c r="O648" s="11" t="str">
        <x:f>IF(M648=0,"",IF(H648="HOME",SUMIFS('Istoric_Nativ'!$H$6:$H$405,'Istoric_Nativ'!$B$6:$B$405,E648,'Istoric_Nativ'!$C$6:$C$405,F648,'Istoric_Nativ'!$E$6:$E$405,G648,'Istoric_Nativ'!$D$6:$D$405,"&lt;"&amp;J648,'Istoric_Nativ'!$P$6:$P$405,1,'Istoric_Nativ'!$D$6:$D$405,"&gt;="&amp;L648),IF(H648="AWAY",SUMIFS('Istoric_Nativ'!$G$6:$G$405,'Istoric_Nativ'!$B$6:$B$405,E648,'Istoric_Nativ'!$C$6:$C$405,F648,'Istoric_Nativ'!$F$6:$F$405,G648,'Istoric_Nativ'!$D$6:$D$405,"&lt;"&amp;J648,'Istoric_Nativ'!$P$6:$P$405,1,'Istoric_Nativ'!$D$6:$D$405,"&gt;="&amp;L648),SUMIFS('Istoric_Nativ'!$H$6:$H$405,'Istoric_Nativ'!$B$6:$B$405,E648,'Istoric_Nativ'!$C$6:$C$405,F648,'Istoric_Nativ'!$E$6:$E$405,G648,'Istoric_Nativ'!$D$6:$D$405,"&lt;"&amp;J648,'Istoric_Nativ'!$P$6:$P$405,1,'Istoric_Nativ'!$D$6:$D$405,"&gt;="&amp;L648)+SUMIFS('Istoric_Nativ'!$G$6:$G$405,'Istoric_Nativ'!$B$6:$B$405,E648,'Istoric_Nativ'!$C$6:$C$405,F648,'Istoric_Nativ'!$F$6:$F$405,G648,'Istoric_Nativ'!$D$6:$D$405,"&lt;"&amp;J648,'Istoric_Nativ'!$P$6:$P$405,1,'Istoric_Nativ'!$D$6:$D$405,"&gt;="&amp;L648)))/M648)</x:f>
      </x:c>
      <x:c r="P648" s="2" t="n">
        <x:f>'Config_v6'!$B$7</x:f>
        <x:v>10</x:v>
      </x:c>
      <x:c r="Q648" s="2" t="n">
        <x:f>IF(OR(B648="",F648=""),0,IFERROR(MATCH(E648&amp;"|"&amp;F648,SourceTable[Source_Key],0),0))</x:f>
        <x:v>0</x:v>
      </x:c>
      <x:c r="R648" s="2" t="str">
        <x:f>IF(B648="","",IF(F648="","UNUSED",IF(Q648=0,"NOT CHECKED",IF(COUNTIF(SourceTable[Source_Key],E648&amp;"|"&amp;F648)&lt;&gt;1,"SOURCE CONFLICT",IF(NOT(OR(INDEX(SourceTable[Status],MAX(1,Q648))="IMPORTED",INDEX(SourceTable[Status],MAX(1,Q648))="PARTIAL",INDEX(SourceTable[Status],MAX(1,Q648))="SOURCE CONFLICT")),"ACCESS BLOCKED",IF(OR(INDEX(SourceTable[Coverage],Q648)&lt;&gt;"FULL SEASON EXPORT",INDEX(SourceTable[URL],Q648)="",INDEX(SourceTable[SHA256],Q648)=""),"EVIDENCE INCOMPLETE",IF(AND('Input_Meci'!H59="LIVE",INDEX(SourceTable[Retrieved_UTC],Q648)&gt;'Input_Meci'!G59),"POST CUTOFF","CLOSED")))))))</x:f>
      </x:c>
      <x:c r="S648" s="2" t="n">
        <x:f>IF(OR(B648="",F648=""),0,COUNTIFS('Istoric_Nativ'!$B$6:$B$405,E648,'Istoric_Nativ'!$C$6:$C$405,F648,'Istoric_Nativ'!$E$6:$E$405,G648,'Istoric_Nativ'!$D$6:$D$405,"&lt;"&amp;J648,'Istoric_Nativ'!$O$6:$O$405,"INVALID")+COUNTIFS('Istoric_Nativ'!$B$6:$B$405,E648,'Istoric_Nativ'!$C$6:$C$405,F648,'Istoric_Nativ'!$E$6:$E$405,G648,'Istoric_Nativ'!$O$6:$O$405,"INVALID",'Istoric_Nativ'!$D$6:$D$405,"*")+COUNTIFS('Istoric_Nativ'!$B$6:$B$405,E648,'Istoric_Nativ'!$C$6:$C$405,F648,'Istoric_Nativ'!$E$6:$E$405,G648,'Istoric_Nativ'!$D$6:$D$405,"&lt;"&amp;J648,'Istoric_Nativ'!$O$6:$O$405,"SOURCE CONFLICT")+COUNTIFS('Istoric_Nativ'!$B$6:$B$405,E648,'Istoric_Nativ'!$C$6:$C$405,F648,'Istoric_Nativ'!$F$6:$F$405,G648,'Istoric_Nativ'!$D$6:$D$405,"&lt;"&amp;J648,'Istoric_Nativ'!$O$6:$O$405,"INVALID")+COUNTIFS('Istoric_Nativ'!$B$6:$B$405,E648,'Istoric_Nativ'!$C$6:$C$405,F648,'Istoric_Nativ'!$F$6:$F$405,G648,'Istoric_Nativ'!$O$6:$O$405,"INVALID",'Istoric_Nativ'!$D$6:$D$405,"*")+COUNTIFS('Istoric_Nativ'!$B$6:$B$405,E648,'Istoric_Nativ'!$C$6:$C$405,F648,'Istoric_Nativ'!$F$6:$F$405,G648,'Istoric_Nativ'!$D$6:$D$405,"&lt;"&amp;J648,'Istoric_Nativ'!$O$6:$O$405,"SOURCE CONFLICT"))</x:f>
        <x:v>0</x:v>
      </x:c>
      <x:c r="T648" s="2" t="str">
        <x:f>IF(B648="","",IF(R648&lt;&gt;"CLOSED",R648,IF(S648&gt;0,"NATIVE INPUT ISSUE",IF(M648=0,"NO HISTORY",IF(M648&lt;P648,"SMALL SAMPLE","DERIVED")))))</x:f>
      </x:c>
      <x:c r="U648" s="2" t="str">
        <x:f>IF(B648="","","NativeTable; "&amp;E648&amp;"; "&amp;F648&amp;"; "&amp;G648&amp;"; "&amp;H648&amp;"; before "&amp;TEXT(J648,"yyyy-mm-dd")&amp;IF(I648="RECENT","; from "&amp;TEXT(L648,"yyyy-mm-dd"),""))</x:f>
      </x:c>
    </x:row>
    <x:row r="649" ht="21" customHeight="1">
      <x:c r="A649" s="2" t="n">
        <x:v>54</x:v>
      </x:c>
      <x:c r="B649" s="2" t="str">
        <x:f>IF('Input_Meci'!A59="","",'Input_Meci'!A59)</x:f>
      </x:c>
      <x:c r="C649" s="2" t="str">
        <x:v>H</x:v>
      </x:c>
      <x:c r="D649" s="2" t="str">
        <x:v>PRIOR</x:v>
      </x:c>
      <x:c r="E649" s="2" t="str">
        <x:f>IF(B649="","",'Input_Meci'!B59)</x:f>
      </x:c>
      <x:c r="F649" s="2" t="str">
        <x:f>IF(B649="","",IF('Input_Meci'!K59="","",'Input_Meci'!K59))</x:f>
      </x:c>
      <x:c r="G649" s="2" t="str">
        <x:f>IF(B649="","",'Input_Meci'!D59)</x:f>
      </x:c>
      <x:c r="H649" s="2" t="str">
        <x:v>HOME</x:v>
      </x:c>
      <x:c r="I649" s="2" t="str">
        <x:v>HA</x:v>
      </x:c>
      <x:c r="J649" s="9" t="n">
        <x:f>IF(AND(B649&lt;&gt;"",ISNUMBER('Input_Meci'!G59)),INT('Input_Meci'!G59),0)</x:f>
        <x:v>0</x:v>
      </x:c>
      <x:c r="K649" s="2" t="n">
        <x:f>IF(OR(B649="",F649=""),0,IF(H649="HOME",COUNTIFS('Istoric_Nativ'!$B$6:$B$405,E649,'Istoric_Nativ'!$C$6:$C$405,F649,'Istoric_Nativ'!$E$6:$E$405,G649,'Istoric_Nativ'!$D$6:$D$405,"&lt;"&amp;J649,'Istoric_Nativ'!$P$6:$P$405,1),IF(H649="AWAY",COUNTIFS('Istoric_Nativ'!$B$6:$B$405,E649,'Istoric_Nativ'!$C$6:$C$405,F649,'Istoric_Nativ'!$F$6:$F$405,G649,'Istoric_Nativ'!$D$6:$D$405,"&lt;"&amp;J649,'Istoric_Nativ'!$P$6:$P$405,1),COUNTIFS('Istoric_Nativ'!$B$6:$B$405,E649,'Istoric_Nativ'!$C$6:$C$405,F649,'Istoric_Nativ'!$E$6:$E$405,G649,'Istoric_Nativ'!$D$6:$D$405,"&lt;"&amp;J649,'Istoric_Nativ'!$P$6:$P$405,1)+COUNTIFS('Istoric_Nativ'!$B$6:$B$405,E649,'Istoric_Nativ'!$C$6:$C$405,F649,'Istoric_Nativ'!$F$6:$F$405,G649,'Istoric_Nativ'!$D$6:$D$405,"&lt;"&amp;J649,'Istoric_Nativ'!$P$6:$P$405,1))))</x:f>
        <x:v>0</x:v>
      </x:c>
      <x:c r="L649" s="17" t="n">
        <x:f>IF(AND(B649&lt;&gt;"",I649="RECENT",K649&gt;0),LARGE(_xlfn._xlws.FILTER('Istoric_Nativ'!$D$6:$D$405,('Istoric_Nativ'!$B$6:$B$405=E649)*('Istoric_Nativ'!$C$6:$C$405=F649)*('Istoric_Nativ'!$P$6:$P$405=1)*('Istoric_Nativ'!$D$6:$D$405&lt;J649)*((('Istoric_Nativ'!$E$6:$E$405=G649)+('Istoric_Nativ'!$F$6:$F$405=G649))&gt;0)),MIN('Config_v6'!$B$54,K649)),0)</x:f>
        <x:v>0</x:v>
      </x:c>
      <x:c r="M649" s="2" t="n">
        <x:f>IF(OR(B649="",F649=""),0,IF(H649="HOME",COUNTIFS('Istoric_Nativ'!$B$6:$B$405,E649,'Istoric_Nativ'!$C$6:$C$405,F649,'Istoric_Nativ'!$E$6:$E$405,G649,'Istoric_Nativ'!$D$6:$D$405,"&lt;"&amp;J649,'Istoric_Nativ'!$P$6:$P$405,1,'Istoric_Nativ'!$D$6:$D$405,"&gt;="&amp;L649),IF(H649="AWAY",COUNTIFS('Istoric_Nativ'!$B$6:$B$405,E649,'Istoric_Nativ'!$C$6:$C$405,F649,'Istoric_Nativ'!$F$6:$F$405,G649,'Istoric_Nativ'!$D$6:$D$405,"&lt;"&amp;J649,'Istoric_Nativ'!$P$6:$P$405,1,'Istoric_Nativ'!$D$6:$D$405,"&gt;="&amp;L649),COUNTIFS('Istoric_Nativ'!$B$6:$B$405,E649,'Istoric_Nativ'!$C$6:$C$405,F649,'Istoric_Nativ'!$E$6:$E$405,G649,'Istoric_Nativ'!$D$6:$D$405,"&lt;"&amp;J649,'Istoric_Nativ'!$P$6:$P$405,1,'Istoric_Nativ'!$D$6:$D$405,"&gt;="&amp;L649)+COUNTIFS('Istoric_Nativ'!$B$6:$B$405,E649,'Istoric_Nativ'!$C$6:$C$405,F649,'Istoric_Nativ'!$F$6:$F$405,G649,'Istoric_Nativ'!$D$6:$D$405,"&lt;"&amp;J649,'Istoric_Nativ'!$P$6:$P$405,1,'Istoric_Nativ'!$D$6:$D$405,"&gt;="&amp;L649))))</x:f>
        <x:v>0</x:v>
      </x:c>
      <x:c r="N649" s="11" t="str">
        <x:f>IF(M649=0,"",IF(H649="HOME",SUMIFS('Istoric_Nativ'!$G$6:$G$405,'Istoric_Nativ'!$B$6:$B$405,E649,'Istoric_Nativ'!$C$6:$C$405,F649,'Istoric_Nativ'!$E$6:$E$405,G649,'Istoric_Nativ'!$D$6:$D$405,"&lt;"&amp;J649,'Istoric_Nativ'!$P$6:$P$405,1,'Istoric_Nativ'!$D$6:$D$405,"&gt;="&amp;L649),IF(H649="AWAY",SUMIFS('Istoric_Nativ'!$H$6:$H$405,'Istoric_Nativ'!$B$6:$B$405,E649,'Istoric_Nativ'!$C$6:$C$405,F649,'Istoric_Nativ'!$F$6:$F$405,G649,'Istoric_Nativ'!$D$6:$D$405,"&lt;"&amp;J649,'Istoric_Nativ'!$P$6:$P$405,1,'Istoric_Nativ'!$D$6:$D$405,"&gt;="&amp;L649),SUMIFS('Istoric_Nativ'!$G$6:$G$405,'Istoric_Nativ'!$B$6:$B$405,E649,'Istoric_Nativ'!$C$6:$C$405,F649,'Istoric_Nativ'!$E$6:$E$405,G649,'Istoric_Nativ'!$D$6:$D$405,"&lt;"&amp;J649,'Istoric_Nativ'!$P$6:$P$405,1,'Istoric_Nativ'!$D$6:$D$405,"&gt;="&amp;L649)+SUMIFS('Istoric_Nativ'!$H$6:$H$405,'Istoric_Nativ'!$B$6:$B$405,E649,'Istoric_Nativ'!$C$6:$C$405,F649,'Istoric_Nativ'!$F$6:$F$405,G649,'Istoric_Nativ'!$D$6:$D$405,"&lt;"&amp;J649,'Istoric_Nativ'!$P$6:$P$405,1,'Istoric_Nativ'!$D$6:$D$405,"&gt;="&amp;L649)))/M649)</x:f>
      </x:c>
      <x:c r="O649" s="11" t="str">
        <x:f>IF(M649=0,"",IF(H649="HOME",SUMIFS('Istoric_Nativ'!$H$6:$H$405,'Istoric_Nativ'!$B$6:$B$405,E649,'Istoric_Nativ'!$C$6:$C$405,F649,'Istoric_Nativ'!$E$6:$E$405,G649,'Istoric_Nativ'!$D$6:$D$405,"&lt;"&amp;J649,'Istoric_Nativ'!$P$6:$P$405,1,'Istoric_Nativ'!$D$6:$D$405,"&gt;="&amp;L649),IF(H649="AWAY",SUMIFS('Istoric_Nativ'!$G$6:$G$405,'Istoric_Nativ'!$B$6:$B$405,E649,'Istoric_Nativ'!$C$6:$C$405,F649,'Istoric_Nativ'!$F$6:$F$405,G649,'Istoric_Nativ'!$D$6:$D$405,"&lt;"&amp;J649,'Istoric_Nativ'!$P$6:$P$405,1,'Istoric_Nativ'!$D$6:$D$405,"&gt;="&amp;L649),SUMIFS('Istoric_Nativ'!$H$6:$H$405,'Istoric_Nativ'!$B$6:$B$405,E649,'Istoric_Nativ'!$C$6:$C$405,F649,'Istoric_Nativ'!$E$6:$E$405,G649,'Istoric_Nativ'!$D$6:$D$405,"&lt;"&amp;J649,'Istoric_Nativ'!$P$6:$P$405,1,'Istoric_Nativ'!$D$6:$D$405,"&gt;="&amp;L649)+SUMIFS('Istoric_Nativ'!$G$6:$G$405,'Istoric_Nativ'!$B$6:$B$405,E649,'Istoric_Nativ'!$C$6:$C$405,F649,'Istoric_Nativ'!$F$6:$F$405,G649,'Istoric_Nativ'!$D$6:$D$405,"&lt;"&amp;J649,'Istoric_Nativ'!$P$6:$P$405,1,'Istoric_Nativ'!$D$6:$D$405,"&gt;="&amp;L649)))/M649)</x:f>
      </x:c>
      <x:c r="P649" s="2" t="n">
        <x:f>'Config_v6'!$B$8</x:f>
        <x:v>5</x:v>
      </x:c>
      <x:c r="Q649" s="2" t="n">
        <x:f>IF(OR(B649="",F649=""),0,IFERROR(MATCH(E649&amp;"|"&amp;F649,SourceTable[Source_Key],0),0))</x:f>
        <x:v>0</x:v>
      </x:c>
      <x:c r="R649" s="2" t="str">
        <x:f>IF(B649="","",IF(F649="","UNUSED",IF(Q649=0,"NOT CHECKED",IF(COUNTIF(SourceTable[Source_Key],E649&amp;"|"&amp;F649)&lt;&gt;1,"SOURCE CONFLICT",IF(NOT(OR(INDEX(SourceTable[Status],MAX(1,Q649))="IMPORTED",INDEX(SourceTable[Status],MAX(1,Q649))="PARTIAL",INDEX(SourceTable[Status],MAX(1,Q649))="SOURCE CONFLICT")),"ACCESS BLOCKED",IF(OR(INDEX(SourceTable[Coverage],Q649)&lt;&gt;"FULL SEASON EXPORT",INDEX(SourceTable[URL],Q649)="",INDEX(SourceTable[SHA256],Q649)=""),"EVIDENCE INCOMPLETE",IF(AND('Input_Meci'!H59="LIVE",INDEX(SourceTable[Retrieved_UTC],Q649)&gt;'Input_Meci'!G59),"POST CUTOFF","CLOSED")))))))</x:f>
      </x:c>
      <x:c r="S649" s="2" t="n">
        <x:f>IF(OR(B649="",F649=""),0,COUNTIFS('Istoric_Nativ'!$B$6:$B$405,E649,'Istoric_Nativ'!$C$6:$C$405,F649,'Istoric_Nativ'!$E$6:$E$405,G649,'Istoric_Nativ'!$D$6:$D$405,"&lt;"&amp;J649,'Istoric_Nativ'!$O$6:$O$405,"INVALID")+COUNTIFS('Istoric_Nativ'!$B$6:$B$405,E649,'Istoric_Nativ'!$C$6:$C$405,F649,'Istoric_Nativ'!$E$6:$E$405,G649,'Istoric_Nativ'!$O$6:$O$405,"INVALID",'Istoric_Nativ'!$D$6:$D$405,"*")+COUNTIFS('Istoric_Nativ'!$B$6:$B$405,E649,'Istoric_Nativ'!$C$6:$C$405,F649,'Istoric_Nativ'!$E$6:$E$405,G649,'Istoric_Nativ'!$D$6:$D$405,"&lt;"&amp;J649,'Istoric_Nativ'!$O$6:$O$405,"SOURCE CONFLICT")+COUNTIFS('Istoric_Nativ'!$B$6:$B$405,E649,'Istoric_Nativ'!$C$6:$C$405,F649,'Istoric_Nativ'!$F$6:$F$405,G649,'Istoric_Nativ'!$D$6:$D$405,"&lt;"&amp;J649,'Istoric_Nativ'!$O$6:$O$405,"INVALID")+COUNTIFS('Istoric_Nativ'!$B$6:$B$405,E649,'Istoric_Nativ'!$C$6:$C$405,F649,'Istoric_Nativ'!$F$6:$F$405,G649,'Istoric_Nativ'!$O$6:$O$405,"INVALID",'Istoric_Nativ'!$D$6:$D$405,"*")+COUNTIFS('Istoric_Nativ'!$B$6:$B$405,E649,'Istoric_Nativ'!$C$6:$C$405,F649,'Istoric_Nativ'!$F$6:$F$405,G649,'Istoric_Nativ'!$D$6:$D$405,"&lt;"&amp;J649,'Istoric_Nativ'!$O$6:$O$405,"SOURCE CONFLICT"))</x:f>
        <x:v>0</x:v>
      </x:c>
      <x:c r="T649" s="2" t="str">
        <x:f>IF(B649="","",IF(R649&lt;&gt;"CLOSED",R649,IF(S649&gt;0,"NATIVE INPUT ISSUE",IF(M649=0,"NO HISTORY",IF(M649&lt;P649,"SMALL SAMPLE","DERIVED")))))</x:f>
      </x:c>
      <x:c r="U649" s="2" t="str">
        <x:f>IF(B649="","","NativeTable; "&amp;E649&amp;"; "&amp;F649&amp;"; "&amp;G649&amp;"; "&amp;H649&amp;"; before "&amp;TEXT(J649,"yyyy-mm-dd")&amp;IF(I649="RECENT","; from "&amp;TEXT(L649,"yyyy-mm-dd"),""))</x:f>
      </x:c>
    </x:row>
    <x:row r="650" ht="21" customHeight="1">
      <x:c r="A650" s="2" t="n">
        <x:v>54</x:v>
      </x:c>
      <x:c r="B650" s="2" t="str">
        <x:f>IF('Input_Meci'!A59="","",'Input_Meci'!A59)</x:f>
      </x:c>
      <x:c r="C650" s="2" t="str">
        <x:v>H</x:v>
      </x:c>
      <x:c r="D650" s="2" t="str">
        <x:v>PRIOR</x:v>
      </x:c>
      <x:c r="E650" s="2" t="str">
        <x:f>IF(B650="","",'Input_Meci'!B59)</x:f>
      </x:c>
      <x:c r="F650" s="2" t="str">
        <x:f>IF(B650="","",IF('Input_Meci'!K59="","",'Input_Meci'!K59))</x:f>
      </x:c>
      <x:c r="G650" s="2" t="str">
        <x:f>IF(B650="","",'Input_Meci'!D59)</x:f>
      </x:c>
      <x:c r="H650" s="2" t="str">
        <x:v>ANY</x:v>
      </x:c>
      <x:c r="I650" s="2" t="str">
        <x:v>RECENT</x:v>
      </x:c>
      <x:c r="J650" s="9" t="n">
        <x:f>IF(AND(B650&lt;&gt;"",ISNUMBER('Input_Meci'!G59)),INT('Input_Meci'!G59),0)</x:f>
        <x:v>0</x:v>
      </x:c>
      <x:c r="K650" s="2" t="n">
        <x:f>IF(OR(B650="",F650=""),0,IF(H650="HOME",COUNTIFS('Istoric_Nativ'!$B$6:$B$405,E650,'Istoric_Nativ'!$C$6:$C$405,F650,'Istoric_Nativ'!$E$6:$E$405,G650,'Istoric_Nativ'!$D$6:$D$405,"&lt;"&amp;J650,'Istoric_Nativ'!$P$6:$P$405,1),IF(H650="AWAY",COUNTIFS('Istoric_Nativ'!$B$6:$B$405,E650,'Istoric_Nativ'!$C$6:$C$405,F650,'Istoric_Nativ'!$F$6:$F$405,G650,'Istoric_Nativ'!$D$6:$D$405,"&lt;"&amp;J650,'Istoric_Nativ'!$P$6:$P$405,1),COUNTIFS('Istoric_Nativ'!$B$6:$B$405,E650,'Istoric_Nativ'!$C$6:$C$405,F650,'Istoric_Nativ'!$E$6:$E$405,G650,'Istoric_Nativ'!$D$6:$D$405,"&lt;"&amp;J650,'Istoric_Nativ'!$P$6:$P$405,1)+COUNTIFS('Istoric_Nativ'!$B$6:$B$405,E650,'Istoric_Nativ'!$C$6:$C$405,F650,'Istoric_Nativ'!$F$6:$F$405,G650,'Istoric_Nativ'!$D$6:$D$405,"&lt;"&amp;J650,'Istoric_Nativ'!$P$6:$P$405,1))))</x:f>
        <x:v>0</x:v>
      </x:c>
      <x:c r="L650" s="17" t="n">
        <x:f>IF(AND(B650&lt;&gt;"",I650="RECENT",K650&gt;0),LARGE(_xlfn._xlws.FILTER('Istoric_Nativ'!$D$6:$D$405,('Istoric_Nativ'!$B$6:$B$405=E650)*('Istoric_Nativ'!$C$6:$C$405=F650)*('Istoric_Nativ'!$P$6:$P$405=1)*('Istoric_Nativ'!$D$6:$D$405&lt;J650)*((('Istoric_Nativ'!$E$6:$E$405=G650)+('Istoric_Nativ'!$F$6:$F$405=G650))&gt;0)),MIN('Config_v6'!$B$54,K650)),0)</x:f>
        <x:v>0</x:v>
      </x:c>
      <x:c r="M650" s="2" t="n">
        <x:f>IF(OR(B650="",F650=""),0,IF(H650="HOME",COUNTIFS('Istoric_Nativ'!$B$6:$B$405,E650,'Istoric_Nativ'!$C$6:$C$405,F650,'Istoric_Nativ'!$E$6:$E$405,G650,'Istoric_Nativ'!$D$6:$D$405,"&lt;"&amp;J650,'Istoric_Nativ'!$P$6:$P$405,1,'Istoric_Nativ'!$D$6:$D$405,"&gt;="&amp;L650),IF(H650="AWAY",COUNTIFS('Istoric_Nativ'!$B$6:$B$405,E650,'Istoric_Nativ'!$C$6:$C$405,F650,'Istoric_Nativ'!$F$6:$F$405,G650,'Istoric_Nativ'!$D$6:$D$405,"&lt;"&amp;J650,'Istoric_Nativ'!$P$6:$P$405,1,'Istoric_Nativ'!$D$6:$D$405,"&gt;="&amp;L650),COUNTIFS('Istoric_Nativ'!$B$6:$B$405,E650,'Istoric_Nativ'!$C$6:$C$405,F650,'Istoric_Nativ'!$E$6:$E$405,G650,'Istoric_Nativ'!$D$6:$D$405,"&lt;"&amp;J650,'Istoric_Nativ'!$P$6:$P$405,1,'Istoric_Nativ'!$D$6:$D$405,"&gt;="&amp;L650)+COUNTIFS('Istoric_Nativ'!$B$6:$B$405,E650,'Istoric_Nativ'!$C$6:$C$405,F650,'Istoric_Nativ'!$F$6:$F$405,G650,'Istoric_Nativ'!$D$6:$D$405,"&lt;"&amp;J650,'Istoric_Nativ'!$P$6:$P$405,1,'Istoric_Nativ'!$D$6:$D$405,"&gt;="&amp;L650))))</x:f>
        <x:v>0</x:v>
      </x:c>
      <x:c r="N650" s="11" t="str">
        <x:f>IF(M650=0,"",IF(H650="HOME",SUMIFS('Istoric_Nativ'!$G$6:$G$405,'Istoric_Nativ'!$B$6:$B$405,E650,'Istoric_Nativ'!$C$6:$C$405,F650,'Istoric_Nativ'!$E$6:$E$405,G650,'Istoric_Nativ'!$D$6:$D$405,"&lt;"&amp;J650,'Istoric_Nativ'!$P$6:$P$405,1,'Istoric_Nativ'!$D$6:$D$405,"&gt;="&amp;L650),IF(H650="AWAY",SUMIFS('Istoric_Nativ'!$H$6:$H$405,'Istoric_Nativ'!$B$6:$B$405,E650,'Istoric_Nativ'!$C$6:$C$405,F650,'Istoric_Nativ'!$F$6:$F$405,G650,'Istoric_Nativ'!$D$6:$D$405,"&lt;"&amp;J650,'Istoric_Nativ'!$P$6:$P$405,1,'Istoric_Nativ'!$D$6:$D$405,"&gt;="&amp;L650),SUMIFS('Istoric_Nativ'!$G$6:$G$405,'Istoric_Nativ'!$B$6:$B$405,E650,'Istoric_Nativ'!$C$6:$C$405,F650,'Istoric_Nativ'!$E$6:$E$405,G650,'Istoric_Nativ'!$D$6:$D$405,"&lt;"&amp;J650,'Istoric_Nativ'!$P$6:$P$405,1,'Istoric_Nativ'!$D$6:$D$405,"&gt;="&amp;L650)+SUMIFS('Istoric_Nativ'!$H$6:$H$405,'Istoric_Nativ'!$B$6:$B$405,E650,'Istoric_Nativ'!$C$6:$C$405,F650,'Istoric_Nativ'!$F$6:$F$405,G650,'Istoric_Nativ'!$D$6:$D$405,"&lt;"&amp;J650,'Istoric_Nativ'!$P$6:$P$405,1,'Istoric_Nativ'!$D$6:$D$405,"&gt;="&amp;L650)))/M650)</x:f>
      </x:c>
      <x:c r="O650" s="11" t="str">
        <x:f>IF(M650=0,"",IF(H650="HOME",SUMIFS('Istoric_Nativ'!$H$6:$H$405,'Istoric_Nativ'!$B$6:$B$405,E650,'Istoric_Nativ'!$C$6:$C$405,F650,'Istoric_Nativ'!$E$6:$E$405,G650,'Istoric_Nativ'!$D$6:$D$405,"&lt;"&amp;J650,'Istoric_Nativ'!$P$6:$P$405,1,'Istoric_Nativ'!$D$6:$D$405,"&gt;="&amp;L650),IF(H650="AWAY",SUMIFS('Istoric_Nativ'!$G$6:$G$405,'Istoric_Nativ'!$B$6:$B$405,E650,'Istoric_Nativ'!$C$6:$C$405,F650,'Istoric_Nativ'!$F$6:$F$405,G650,'Istoric_Nativ'!$D$6:$D$405,"&lt;"&amp;J650,'Istoric_Nativ'!$P$6:$P$405,1,'Istoric_Nativ'!$D$6:$D$405,"&gt;="&amp;L650),SUMIFS('Istoric_Nativ'!$H$6:$H$405,'Istoric_Nativ'!$B$6:$B$405,E650,'Istoric_Nativ'!$C$6:$C$405,F650,'Istoric_Nativ'!$E$6:$E$405,G650,'Istoric_Nativ'!$D$6:$D$405,"&lt;"&amp;J650,'Istoric_Nativ'!$P$6:$P$405,1,'Istoric_Nativ'!$D$6:$D$405,"&gt;="&amp;L650)+SUMIFS('Istoric_Nativ'!$G$6:$G$405,'Istoric_Nativ'!$B$6:$B$405,E650,'Istoric_Nativ'!$C$6:$C$405,F650,'Istoric_Nativ'!$F$6:$F$405,G650,'Istoric_Nativ'!$D$6:$D$405,"&lt;"&amp;J650,'Istoric_Nativ'!$P$6:$P$405,1,'Istoric_Nativ'!$D$6:$D$405,"&gt;="&amp;L650)))/M650)</x:f>
      </x:c>
      <x:c r="P650" s="2" t="n">
        <x:f>'Config_v6'!$B$9</x:f>
        <x:v>3</x:v>
      </x:c>
      <x:c r="Q650" s="2" t="n">
        <x:f>IF(OR(B650="",F650=""),0,IFERROR(MATCH(E650&amp;"|"&amp;F650,SourceTable[Source_Key],0),0))</x:f>
        <x:v>0</x:v>
      </x:c>
      <x:c r="R650" s="2" t="str">
        <x:f>IF(B650="","",IF(F650="","UNUSED",IF(Q650=0,"NOT CHECKED",IF(COUNTIF(SourceTable[Source_Key],E650&amp;"|"&amp;F650)&lt;&gt;1,"SOURCE CONFLICT",IF(NOT(OR(INDEX(SourceTable[Status],MAX(1,Q650))="IMPORTED",INDEX(SourceTable[Status],MAX(1,Q650))="PARTIAL",INDEX(SourceTable[Status],MAX(1,Q650))="SOURCE CONFLICT")),"ACCESS BLOCKED",IF(OR(INDEX(SourceTable[Coverage],Q650)&lt;&gt;"FULL SEASON EXPORT",INDEX(SourceTable[URL],Q650)="",INDEX(SourceTable[SHA256],Q650)=""),"EVIDENCE INCOMPLETE",IF(AND('Input_Meci'!H59="LIVE",INDEX(SourceTable[Retrieved_UTC],Q650)&gt;'Input_Meci'!G59),"POST CUTOFF","CLOSED")))))))</x:f>
      </x:c>
      <x:c r="S650" s="2" t="n">
        <x:f>IF(OR(B650="",F650=""),0,COUNTIFS('Istoric_Nativ'!$B$6:$B$405,E650,'Istoric_Nativ'!$C$6:$C$405,F650,'Istoric_Nativ'!$E$6:$E$405,G650,'Istoric_Nativ'!$D$6:$D$405,"&lt;"&amp;J650,'Istoric_Nativ'!$O$6:$O$405,"INVALID")+COUNTIFS('Istoric_Nativ'!$B$6:$B$405,E650,'Istoric_Nativ'!$C$6:$C$405,F650,'Istoric_Nativ'!$E$6:$E$405,G650,'Istoric_Nativ'!$O$6:$O$405,"INVALID",'Istoric_Nativ'!$D$6:$D$405,"*")+COUNTIFS('Istoric_Nativ'!$B$6:$B$405,E650,'Istoric_Nativ'!$C$6:$C$405,F650,'Istoric_Nativ'!$E$6:$E$405,G650,'Istoric_Nativ'!$D$6:$D$405,"&lt;"&amp;J650,'Istoric_Nativ'!$O$6:$O$405,"SOURCE CONFLICT")+COUNTIFS('Istoric_Nativ'!$B$6:$B$405,E650,'Istoric_Nativ'!$C$6:$C$405,F650,'Istoric_Nativ'!$F$6:$F$405,G650,'Istoric_Nativ'!$D$6:$D$405,"&lt;"&amp;J650,'Istoric_Nativ'!$O$6:$O$405,"INVALID")+COUNTIFS('Istoric_Nativ'!$B$6:$B$405,E650,'Istoric_Nativ'!$C$6:$C$405,F650,'Istoric_Nativ'!$F$6:$F$405,G650,'Istoric_Nativ'!$O$6:$O$405,"INVALID",'Istoric_Nativ'!$D$6:$D$405,"*")+COUNTIFS('Istoric_Nativ'!$B$6:$B$405,E650,'Istoric_Nativ'!$C$6:$C$405,F650,'Istoric_Nativ'!$F$6:$F$405,G650,'Istoric_Nativ'!$D$6:$D$405,"&lt;"&amp;J650,'Istoric_Nativ'!$O$6:$O$405,"SOURCE CONFLICT"))</x:f>
        <x:v>0</x:v>
      </x:c>
      <x:c r="T650" s="2" t="str">
        <x:f>IF(B650="","",IF(R650&lt;&gt;"CLOSED",R650,IF(S650&gt;0,"NATIVE INPUT ISSUE",IF(M650=0,"NO HISTORY",IF(M650&lt;P650,"SMALL SAMPLE","DERIVED")))))</x:f>
      </x:c>
      <x:c r="U650" s="2" t="str">
        <x:f>IF(B650="","","NativeTable; "&amp;E650&amp;"; "&amp;F650&amp;"; "&amp;G650&amp;"; "&amp;H650&amp;"; before "&amp;TEXT(J650,"yyyy-mm-dd")&amp;IF(I650="RECENT","; from "&amp;TEXT(L650,"yyyy-mm-dd"),""))</x:f>
      </x:c>
    </x:row>
    <x:row r="651" ht="21" customHeight="1">
      <x:c r="A651" s="2" t="n">
        <x:v>54</x:v>
      </x:c>
      <x:c r="B651" s="2" t="str">
        <x:f>IF('Input_Meci'!A59="","",'Input_Meci'!A59)</x:f>
      </x:c>
      <x:c r="C651" s="2" t="str">
        <x:v>A</x:v>
      </x:c>
      <x:c r="D651" s="2" t="str">
        <x:v>PRIOR</x:v>
      </x:c>
      <x:c r="E651" s="2" t="str">
        <x:f>IF(B651="","",'Input_Meci'!B59)</x:f>
      </x:c>
      <x:c r="F651" s="2" t="str">
        <x:f>IF(B651="","",IF('Input_Meci'!K59="","",'Input_Meci'!K59))</x:f>
      </x:c>
      <x:c r="G651" s="2" t="str">
        <x:f>IF(B651="","",'Input_Meci'!E59)</x:f>
      </x:c>
      <x:c r="H651" s="2" t="str">
        <x:v>ANY</x:v>
      </x:c>
      <x:c r="I651" s="2" t="str">
        <x:v>SEASON</x:v>
      </x:c>
      <x:c r="J651" s="9" t="n">
        <x:f>IF(AND(B651&lt;&gt;"",ISNUMBER('Input_Meci'!G59)),INT('Input_Meci'!G59),0)</x:f>
        <x:v>0</x:v>
      </x:c>
      <x:c r="K651" s="2" t="n">
        <x:f>IF(OR(B651="",F651=""),0,IF(H651="HOME",COUNTIFS('Istoric_Nativ'!$B$6:$B$405,E651,'Istoric_Nativ'!$C$6:$C$405,F651,'Istoric_Nativ'!$E$6:$E$405,G651,'Istoric_Nativ'!$D$6:$D$405,"&lt;"&amp;J651,'Istoric_Nativ'!$P$6:$P$405,1),IF(H651="AWAY",COUNTIFS('Istoric_Nativ'!$B$6:$B$405,E651,'Istoric_Nativ'!$C$6:$C$405,F651,'Istoric_Nativ'!$F$6:$F$405,G651,'Istoric_Nativ'!$D$6:$D$405,"&lt;"&amp;J651,'Istoric_Nativ'!$P$6:$P$405,1),COUNTIFS('Istoric_Nativ'!$B$6:$B$405,E651,'Istoric_Nativ'!$C$6:$C$405,F651,'Istoric_Nativ'!$E$6:$E$405,G651,'Istoric_Nativ'!$D$6:$D$405,"&lt;"&amp;J651,'Istoric_Nativ'!$P$6:$P$405,1)+COUNTIFS('Istoric_Nativ'!$B$6:$B$405,E651,'Istoric_Nativ'!$C$6:$C$405,F651,'Istoric_Nativ'!$F$6:$F$405,G651,'Istoric_Nativ'!$D$6:$D$405,"&lt;"&amp;J651,'Istoric_Nativ'!$P$6:$P$405,1))))</x:f>
        <x:v>0</x:v>
      </x:c>
      <x:c r="L651" s="17" t="n">
        <x:f>IF(AND(B651&lt;&gt;"",I651="RECENT",K651&gt;0),LARGE(_xlfn._xlws.FILTER('Istoric_Nativ'!$D$6:$D$405,('Istoric_Nativ'!$B$6:$B$405=E651)*('Istoric_Nativ'!$C$6:$C$405=F651)*('Istoric_Nativ'!$P$6:$P$405=1)*('Istoric_Nativ'!$D$6:$D$405&lt;J651)*((('Istoric_Nativ'!$E$6:$E$405=G651)+('Istoric_Nativ'!$F$6:$F$405=G651))&gt;0)),MIN('Config_v6'!$B$54,K651)),0)</x:f>
        <x:v>0</x:v>
      </x:c>
      <x:c r="M651" s="2" t="n">
        <x:f>IF(OR(B651="",F651=""),0,IF(H651="HOME",COUNTIFS('Istoric_Nativ'!$B$6:$B$405,E651,'Istoric_Nativ'!$C$6:$C$405,F651,'Istoric_Nativ'!$E$6:$E$405,G651,'Istoric_Nativ'!$D$6:$D$405,"&lt;"&amp;J651,'Istoric_Nativ'!$P$6:$P$405,1,'Istoric_Nativ'!$D$6:$D$405,"&gt;="&amp;L651),IF(H651="AWAY",COUNTIFS('Istoric_Nativ'!$B$6:$B$405,E651,'Istoric_Nativ'!$C$6:$C$405,F651,'Istoric_Nativ'!$F$6:$F$405,G651,'Istoric_Nativ'!$D$6:$D$405,"&lt;"&amp;J651,'Istoric_Nativ'!$P$6:$P$405,1,'Istoric_Nativ'!$D$6:$D$405,"&gt;="&amp;L651),COUNTIFS('Istoric_Nativ'!$B$6:$B$405,E651,'Istoric_Nativ'!$C$6:$C$405,F651,'Istoric_Nativ'!$E$6:$E$405,G651,'Istoric_Nativ'!$D$6:$D$405,"&lt;"&amp;J651,'Istoric_Nativ'!$P$6:$P$405,1,'Istoric_Nativ'!$D$6:$D$405,"&gt;="&amp;L651)+COUNTIFS('Istoric_Nativ'!$B$6:$B$405,E651,'Istoric_Nativ'!$C$6:$C$405,F651,'Istoric_Nativ'!$F$6:$F$405,G651,'Istoric_Nativ'!$D$6:$D$405,"&lt;"&amp;J651,'Istoric_Nativ'!$P$6:$P$405,1,'Istoric_Nativ'!$D$6:$D$405,"&gt;="&amp;L651))))</x:f>
        <x:v>0</x:v>
      </x:c>
      <x:c r="N651" s="11" t="str">
        <x:f>IF(M651=0,"",IF(H651="HOME",SUMIFS('Istoric_Nativ'!$G$6:$G$405,'Istoric_Nativ'!$B$6:$B$405,E651,'Istoric_Nativ'!$C$6:$C$405,F651,'Istoric_Nativ'!$E$6:$E$405,G651,'Istoric_Nativ'!$D$6:$D$405,"&lt;"&amp;J651,'Istoric_Nativ'!$P$6:$P$405,1,'Istoric_Nativ'!$D$6:$D$405,"&gt;="&amp;L651),IF(H651="AWAY",SUMIFS('Istoric_Nativ'!$H$6:$H$405,'Istoric_Nativ'!$B$6:$B$405,E651,'Istoric_Nativ'!$C$6:$C$405,F651,'Istoric_Nativ'!$F$6:$F$405,G651,'Istoric_Nativ'!$D$6:$D$405,"&lt;"&amp;J651,'Istoric_Nativ'!$P$6:$P$405,1,'Istoric_Nativ'!$D$6:$D$405,"&gt;="&amp;L651),SUMIFS('Istoric_Nativ'!$G$6:$G$405,'Istoric_Nativ'!$B$6:$B$405,E651,'Istoric_Nativ'!$C$6:$C$405,F651,'Istoric_Nativ'!$E$6:$E$405,G651,'Istoric_Nativ'!$D$6:$D$405,"&lt;"&amp;J651,'Istoric_Nativ'!$P$6:$P$405,1,'Istoric_Nativ'!$D$6:$D$405,"&gt;="&amp;L651)+SUMIFS('Istoric_Nativ'!$H$6:$H$405,'Istoric_Nativ'!$B$6:$B$405,E651,'Istoric_Nativ'!$C$6:$C$405,F651,'Istoric_Nativ'!$F$6:$F$405,G651,'Istoric_Nativ'!$D$6:$D$405,"&lt;"&amp;J651,'Istoric_Nativ'!$P$6:$P$405,1,'Istoric_Nativ'!$D$6:$D$405,"&gt;="&amp;L651)))/M651)</x:f>
      </x:c>
      <x:c r="O651" s="11" t="str">
        <x:f>IF(M651=0,"",IF(H651="HOME",SUMIFS('Istoric_Nativ'!$H$6:$H$405,'Istoric_Nativ'!$B$6:$B$405,E651,'Istoric_Nativ'!$C$6:$C$405,F651,'Istoric_Nativ'!$E$6:$E$405,G651,'Istoric_Nativ'!$D$6:$D$405,"&lt;"&amp;J651,'Istoric_Nativ'!$P$6:$P$405,1,'Istoric_Nativ'!$D$6:$D$405,"&gt;="&amp;L651),IF(H651="AWAY",SUMIFS('Istoric_Nativ'!$G$6:$G$405,'Istoric_Nativ'!$B$6:$B$405,E651,'Istoric_Nativ'!$C$6:$C$405,F651,'Istoric_Nativ'!$F$6:$F$405,G651,'Istoric_Nativ'!$D$6:$D$405,"&lt;"&amp;J651,'Istoric_Nativ'!$P$6:$P$405,1,'Istoric_Nativ'!$D$6:$D$405,"&gt;="&amp;L651),SUMIFS('Istoric_Nativ'!$H$6:$H$405,'Istoric_Nativ'!$B$6:$B$405,E651,'Istoric_Nativ'!$C$6:$C$405,F651,'Istoric_Nativ'!$E$6:$E$405,G651,'Istoric_Nativ'!$D$6:$D$405,"&lt;"&amp;J651,'Istoric_Nativ'!$P$6:$P$405,1,'Istoric_Nativ'!$D$6:$D$405,"&gt;="&amp;L651)+SUMIFS('Istoric_Nativ'!$G$6:$G$405,'Istoric_Nativ'!$B$6:$B$405,E651,'Istoric_Nativ'!$C$6:$C$405,F651,'Istoric_Nativ'!$F$6:$F$405,G651,'Istoric_Nativ'!$D$6:$D$405,"&lt;"&amp;J651,'Istoric_Nativ'!$P$6:$P$405,1,'Istoric_Nativ'!$D$6:$D$405,"&gt;="&amp;L651)))/M651)</x:f>
      </x:c>
      <x:c r="P651" s="2" t="n">
        <x:f>'Config_v6'!$B$7</x:f>
        <x:v>10</x:v>
      </x:c>
      <x:c r="Q651" s="2" t="n">
        <x:f>IF(OR(B651="",F651=""),0,IFERROR(MATCH(E651&amp;"|"&amp;F651,SourceTable[Source_Key],0),0))</x:f>
        <x:v>0</x:v>
      </x:c>
      <x:c r="R651" s="2" t="str">
        <x:f>IF(B651="","",IF(F651="","UNUSED",IF(Q651=0,"NOT CHECKED",IF(COUNTIF(SourceTable[Source_Key],E651&amp;"|"&amp;F651)&lt;&gt;1,"SOURCE CONFLICT",IF(NOT(OR(INDEX(SourceTable[Status],MAX(1,Q651))="IMPORTED",INDEX(SourceTable[Status],MAX(1,Q651))="PARTIAL",INDEX(SourceTable[Status],MAX(1,Q651))="SOURCE CONFLICT")),"ACCESS BLOCKED",IF(OR(INDEX(SourceTable[Coverage],Q651)&lt;&gt;"FULL SEASON EXPORT",INDEX(SourceTable[URL],Q651)="",INDEX(SourceTable[SHA256],Q651)=""),"EVIDENCE INCOMPLETE",IF(AND('Input_Meci'!H59="LIVE",INDEX(SourceTable[Retrieved_UTC],Q651)&gt;'Input_Meci'!G59),"POST CUTOFF","CLOSED")))))))</x:f>
      </x:c>
      <x:c r="S651" s="2" t="n">
        <x:f>IF(OR(B651="",F651=""),0,COUNTIFS('Istoric_Nativ'!$B$6:$B$405,E651,'Istoric_Nativ'!$C$6:$C$405,F651,'Istoric_Nativ'!$E$6:$E$405,G651,'Istoric_Nativ'!$D$6:$D$405,"&lt;"&amp;J651,'Istoric_Nativ'!$O$6:$O$405,"INVALID")+COUNTIFS('Istoric_Nativ'!$B$6:$B$405,E651,'Istoric_Nativ'!$C$6:$C$405,F651,'Istoric_Nativ'!$E$6:$E$405,G651,'Istoric_Nativ'!$O$6:$O$405,"INVALID",'Istoric_Nativ'!$D$6:$D$405,"*")+COUNTIFS('Istoric_Nativ'!$B$6:$B$405,E651,'Istoric_Nativ'!$C$6:$C$405,F651,'Istoric_Nativ'!$E$6:$E$405,G651,'Istoric_Nativ'!$D$6:$D$405,"&lt;"&amp;J651,'Istoric_Nativ'!$O$6:$O$405,"SOURCE CONFLICT")+COUNTIFS('Istoric_Nativ'!$B$6:$B$405,E651,'Istoric_Nativ'!$C$6:$C$405,F651,'Istoric_Nativ'!$F$6:$F$405,G651,'Istoric_Nativ'!$D$6:$D$405,"&lt;"&amp;J651,'Istoric_Nativ'!$O$6:$O$405,"INVALID")+COUNTIFS('Istoric_Nativ'!$B$6:$B$405,E651,'Istoric_Nativ'!$C$6:$C$405,F651,'Istoric_Nativ'!$F$6:$F$405,G651,'Istoric_Nativ'!$O$6:$O$405,"INVALID",'Istoric_Nativ'!$D$6:$D$405,"*")+COUNTIFS('Istoric_Nativ'!$B$6:$B$405,E651,'Istoric_Nativ'!$C$6:$C$405,F651,'Istoric_Nativ'!$F$6:$F$405,G651,'Istoric_Nativ'!$D$6:$D$405,"&lt;"&amp;J651,'Istoric_Nativ'!$O$6:$O$405,"SOURCE CONFLICT"))</x:f>
        <x:v>0</x:v>
      </x:c>
      <x:c r="T651" s="2" t="str">
        <x:f>IF(B651="","",IF(R651&lt;&gt;"CLOSED",R651,IF(S651&gt;0,"NATIVE INPUT ISSUE",IF(M651=0,"NO HISTORY",IF(M651&lt;P651,"SMALL SAMPLE","DERIVED")))))</x:f>
      </x:c>
      <x:c r="U651" s="2" t="str">
        <x:f>IF(B651="","","NativeTable; "&amp;E651&amp;"; "&amp;F651&amp;"; "&amp;G651&amp;"; "&amp;H651&amp;"; before "&amp;TEXT(J651,"yyyy-mm-dd")&amp;IF(I651="RECENT","; from "&amp;TEXT(L651,"yyyy-mm-dd"),""))</x:f>
      </x:c>
    </x:row>
    <x:row r="652" ht="21" customHeight="1">
      <x:c r="A652" s="2" t="n">
        <x:v>54</x:v>
      </x:c>
      <x:c r="B652" s="2" t="str">
        <x:f>IF('Input_Meci'!A59="","",'Input_Meci'!A59)</x:f>
      </x:c>
      <x:c r="C652" s="2" t="str">
        <x:v>A</x:v>
      </x:c>
      <x:c r="D652" s="2" t="str">
        <x:v>PRIOR</x:v>
      </x:c>
      <x:c r="E652" s="2" t="str">
        <x:f>IF(B652="","",'Input_Meci'!B59)</x:f>
      </x:c>
      <x:c r="F652" s="2" t="str">
        <x:f>IF(B652="","",IF('Input_Meci'!K59="","",'Input_Meci'!K59))</x:f>
      </x:c>
      <x:c r="G652" s="2" t="str">
        <x:f>IF(B652="","",'Input_Meci'!E59)</x:f>
      </x:c>
      <x:c r="H652" s="2" t="str">
        <x:v>AWAY</x:v>
      </x:c>
      <x:c r="I652" s="2" t="str">
        <x:v>HA</x:v>
      </x:c>
      <x:c r="J652" s="9" t="n">
        <x:f>IF(AND(B652&lt;&gt;"",ISNUMBER('Input_Meci'!G59)),INT('Input_Meci'!G59),0)</x:f>
        <x:v>0</x:v>
      </x:c>
      <x:c r="K652" s="2" t="n">
        <x:f>IF(OR(B652="",F652=""),0,IF(H652="HOME",COUNTIFS('Istoric_Nativ'!$B$6:$B$405,E652,'Istoric_Nativ'!$C$6:$C$405,F652,'Istoric_Nativ'!$E$6:$E$405,G652,'Istoric_Nativ'!$D$6:$D$405,"&lt;"&amp;J652,'Istoric_Nativ'!$P$6:$P$405,1),IF(H652="AWAY",COUNTIFS('Istoric_Nativ'!$B$6:$B$405,E652,'Istoric_Nativ'!$C$6:$C$405,F652,'Istoric_Nativ'!$F$6:$F$405,G652,'Istoric_Nativ'!$D$6:$D$405,"&lt;"&amp;J652,'Istoric_Nativ'!$P$6:$P$405,1),COUNTIFS('Istoric_Nativ'!$B$6:$B$405,E652,'Istoric_Nativ'!$C$6:$C$405,F652,'Istoric_Nativ'!$E$6:$E$405,G652,'Istoric_Nativ'!$D$6:$D$405,"&lt;"&amp;J652,'Istoric_Nativ'!$P$6:$P$405,1)+COUNTIFS('Istoric_Nativ'!$B$6:$B$405,E652,'Istoric_Nativ'!$C$6:$C$405,F652,'Istoric_Nativ'!$F$6:$F$405,G652,'Istoric_Nativ'!$D$6:$D$405,"&lt;"&amp;J652,'Istoric_Nativ'!$P$6:$P$405,1))))</x:f>
        <x:v>0</x:v>
      </x:c>
      <x:c r="L652" s="17" t="n">
        <x:f>IF(AND(B652&lt;&gt;"",I652="RECENT",K652&gt;0),LARGE(_xlfn._xlws.FILTER('Istoric_Nativ'!$D$6:$D$405,('Istoric_Nativ'!$B$6:$B$405=E652)*('Istoric_Nativ'!$C$6:$C$405=F652)*('Istoric_Nativ'!$P$6:$P$405=1)*('Istoric_Nativ'!$D$6:$D$405&lt;J652)*((('Istoric_Nativ'!$E$6:$E$405=G652)+('Istoric_Nativ'!$F$6:$F$405=G652))&gt;0)),MIN('Config_v6'!$B$54,K652)),0)</x:f>
        <x:v>0</x:v>
      </x:c>
      <x:c r="M652" s="2" t="n">
        <x:f>IF(OR(B652="",F652=""),0,IF(H652="HOME",COUNTIFS('Istoric_Nativ'!$B$6:$B$405,E652,'Istoric_Nativ'!$C$6:$C$405,F652,'Istoric_Nativ'!$E$6:$E$405,G652,'Istoric_Nativ'!$D$6:$D$405,"&lt;"&amp;J652,'Istoric_Nativ'!$P$6:$P$405,1,'Istoric_Nativ'!$D$6:$D$405,"&gt;="&amp;L652),IF(H652="AWAY",COUNTIFS('Istoric_Nativ'!$B$6:$B$405,E652,'Istoric_Nativ'!$C$6:$C$405,F652,'Istoric_Nativ'!$F$6:$F$405,G652,'Istoric_Nativ'!$D$6:$D$405,"&lt;"&amp;J652,'Istoric_Nativ'!$P$6:$P$405,1,'Istoric_Nativ'!$D$6:$D$405,"&gt;="&amp;L652),COUNTIFS('Istoric_Nativ'!$B$6:$B$405,E652,'Istoric_Nativ'!$C$6:$C$405,F652,'Istoric_Nativ'!$E$6:$E$405,G652,'Istoric_Nativ'!$D$6:$D$405,"&lt;"&amp;J652,'Istoric_Nativ'!$P$6:$P$405,1,'Istoric_Nativ'!$D$6:$D$405,"&gt;="&amp;L652)+COUNTIFS('Istoric_Nativ'!$B$6:$B$405,E652,'Istoric_Nativ'!$C$6:$C$405,F652,'Istoric_Nativ'!$F$6:$F$405,G652,'Istoric_Nativ'!$D$6:$D$405,"&lt;"&amp;J652,'Istoric_Nativ'!$P$6:$P$405,1,'Istoric_Nativ'!$D$6:$D$405,"&gt;="&amp;L652))))</x:f>
        <x:v>0</x:v>
      </x:c>
      <x:c r="N652" s="11" t="str">
        <x:f>IF(M652=0,"",IF(H652="HOME",SUMIFS('Istoric_Nativ'!$G$6:$G$405,'Istoric_Nativ'!$B$6:$B$405,E652,'Istoric_Nativ'!$C$6:$C$405,F652,'Istoric_Nativ'!$E$6:$E$405,G652,'Istoric_Nativ'!$D$6:$D$405,"&lt;"&amp;J652,'Istoric_Nativ'!$P$6:$P$405,1,'Istoric_Nativ'!$D$6:$D$405,"&gt;="&amp;L652),IF(H652="AWAY",SUMIFS('Istoric_Nativ'!$H$6:$H$405,'Istoric_Nativ'!$B$6:$B$405,E652,'Istoric_Nativ'!$C$6:$C$405,F652,'Istoric_Nativ'!$F$6:$F$405,G652,'Istoric_Nativ'!$D$6:$D$405,"&lt;"&amp;J652,'Istoric_Nativ'!$P$6:$P$405,1,'Istoric_Nativ'!$D$6:$D$405,"&gt;="&amp;L652),SUMIFS('Istoric_Nativ'!$G$6:$G$405,'Istoric_Nativ'!$B$6:$B$405,E652,'Istoric_Nativ'!$C$6:$C$405,F652,'Istoric_Nativ'!$E$6:$E$405,G652,'Istoric_Nativ'!$D$6:$D$405,"&lt;"&amp;J652,'Istoric_Nativ'!$P$6:$P$405,1,'Istoric_Nativ'!$D$6:$D$405,"&gt;="&amp;L652)+SUMIFS('Istoric_Nativ'!$H$6:$H$405,'Istoric_Nativ'!$B$6:$B$405,E652,'Istoric_Nativ'!$C$6:$C$405,F652,'Istoric_Nativ'!$F$6:$F$405,G652,'Istoric_Nativ'!$D$6:$D$405,"&lt;"&amp;J652,'Istoric_Nativ'!$P$6:$P$405,1,'Istoric_Nativ'!$D$6:$D$405,"&gt;="&amp;L652)))/M652)</x:f>
      </x:c>
      <x:c r="O652" s="11" t="str">
        <x:f>IF(M652=0,"",IF(H652="HOME",SUMIFS('Istoric_Nativ'!$H$6:$H$405,'Istoric_Nativ'!$B$6:$B$405,E652,'Istoric_Nativ'!$C$6:$C$405,F652,'Istoric_Nativ'!$E$6:$E$405,G652,'Istoric_Nativ'!$D$6:$D$405,"&lt;"&amp;J652,'Istoric_Nativ'!$P$6:$P$405,1,'Istoric_Nativ'!$D$6:$D$405,"&gt;="&amp;L652),IF(H652="AWAY",SUMIFS('Istoric_Nativ'!$G$6:$G$405,'Istoric_Nativ'!$B$6:$B$405,E652,'Istoric_Nativ'!$C$6:$C$405,F652,'Istoric_Nativ'!$F$6:$F$405,G652,'Istoric_Nativ'!$D$6:$D$405,"&lt;"&amp;J652,'Istoric_Nativ'!$P$6:$P$405,1,'Istoric_Nativ'!$D$6:$D$405,"&gt;="&amp;L652),SUMIFS('Istoric_Nativ'!$H$6:$H$405,'Istoric_Nativ'!$B$6:$B$405,E652,'Istoric_Nativ'!$C$6:$C$405,F652,'Istoric_Nativ'!$E$6:$E$405,G652,'Istoric_Nativ'!$D$6:$D$405,"&lt;"&amp;J652,'Istoric_Nativ'!$P$6:$P$405,1,'Istoric_Nativ'!$D$6:$D$405,"&gt;="&amp;L652)+SUMIFS('Istoric_Nativ'!$G$6:$G$405,'Istoric_Nativ'!$B$6:$B$405,E652,'Istoric_Nativ'!$C$6:$C$405,F652,'Istoric_Nativ'!$F$6:$F$405,G652,'Istoric_Nativ'!$D$6:$D$405,"&lt;"&amp;J652,'Istoric_Nativ'!$P$6:$P$405,1,'Istoric_Nativ'!$D$6:$D$405,"&gt;="&amp;L652)))/M652)</x:f>
      </x:c>
      <x:c r="P652" s="2" t="n">
        <x:f>'Config_v6'!$B$8</x:f>
        <x:v>5</x:v>
      </x:c>
      <x:c r="Q652" s="2" t="n">
        <x:f>IF(OR(B652="",F652=""),0,IFERROR(MATCH(E652&amp;"|"&amp;F652,SourceTable[Source_Key],0),0))</x:f>
        <x:v>0</x:v>
      </x:c>
      <x:c r="R652" s="2" t="str">
        <x:f>IF(B652="","",IF(F652="","UNUSED",IF(Q652=0,"NOT CHECKED",IF(COUNTIF(SourceTable[Source_Key],E652&amp;"|"&amp;F652)&lt;&gt;1,"SOURCE CONFLICT",IF(NOT(OR(INDEX(SourceTable[Status],MAX(1,Q652))="IMPORTED",INDEX(SourceTable[Status],MAX(1,Q652))="PARTIAL",INDEX(SourceTable[Status],MAX(1,Q652))="SOURCE CONFLICT")),"ACCESS BLOCKED",IF(OR(INDEX(SourceTable[Coverage],Q652)&lt;&gt;"FULL SEASON EXPORT",INDEX(SourceTable[URL],Q652)="",INDEX(SourceTable[SHA256],Q652)=""),"EVIDENCE INCOMPLETE",IF(AND('Input_Meci'!H59="LIVE",INDEX(SourceTable[Retrieved_UTC],Q652)&gt;'Input_Meci'!G59),"POST CUTOFF","CLOSED")))))))</x:f>
      </x:c>
      <x:c r="S652" s="2" t="n">
        <x:f>IF(OR(B652="",F652=""),0,COUNTIFS('Istoric_Nativ'!$B$6:$B$405,E652,'Istoric_Nativ'!$C$6:$C$405,F652,'Istoric_Nativ'!$E$6:$E$405,G652,'Istoric_Nativ'!$D$6:$D$405,"&lt;"&amp;J652,'Istoric_Nativ'!$O$6:$O$405,"INVALID")+COUNTIFS('Istoric_Nativ'!$B$6:$B$405,E652,'Istoric_Nativ'!$C$6:$C$405,F652,'Istoric_Nativ'!$E$6:$E$405,G652,'Istoric_Nativ'!$O$6:$O$405,"INVALID",'Istoric_Nativ'!$D$6:$D$405,"*")+COUNTIFS('Istoric_Nativ'!$B$6:$B$405,E652,'Istoric_Nativ'!$C$6:$C$405,F652,'Istoric_Nativ'!$E$6:$E$405,G652,'Istoric_Nativ'!$D$6:$D$405,"&lt;"&amp;J652,'Istoric_Nativ'!$O$6:$O$405,"SOURCE CONFLICT")+COUNTIFS('Istoric_Nativ'!$B$6:$B$405,E652,'Istoric_Nativ'!$C$6:$C$405,F652,'Istoric_Nativ'!$F$6:$F$405,G652,'Istoric_Nativ'!$D$6:$D$405,"&lt;"&amp;J652,'Istoric_Nativ'!$O$6:$O$405,"INVALID")+COUNTIFS('Istoric_Nativ'!$B$6:$B$405,E652,'Istoric_Nativ'!$C$6:$C$405,F652,'Istoric_Nativ'!$F$6:$F$405,G652,'Istoric_Nativ'!$O$6:$O$405,"INVALID",'Istoric_Nativ'!$D$6:$D$405,"*")+COUNTIFS('Istoric_Nativ'!$B$6:$B$405,E652,'Istoric_Nativ'!$C$6:$C$405,F652,'Istoric_Nativ'!$F$6:$F$405,G652,'Istoric_Nativ'!$D$6:$D$405,"&lt;"&amp;J652,'Istoric_Nativ'!$O$6:$O$405,"SOURCE CONFLICT"))</x:f>
        <x:v>0</x:v>
      </x:c>
      <x:c r="T652" s="2" t="str">
        <x:f>IF(B652="","",IF(R652&lt;&gt;"CLOSED",R652,IF(S652&gt;0,"NATIVE INPUT ISSUE",IF(M652=0,"NO HISTORY",IF(M652&lt;P652,"SMALL SAMPLE","DERIVED")))))</x:f>
      </x:c>
      <x:c r="U652" s="2" t="str">
        <x:f>IF(B652="","","NativeTable; "&amp;E652&amp;"; "&amp;F652&amp;"; "&amp;G652&amp;"; "&amp;H652&amp;"; before "&amp;TEXT(J652,"yyyy-mm-dd")&amp;IF(I652="RECENT","; from "&amp;TEXT(L652,"yyyy-mm-dd"),""))</x:f>
      </x:c>
    </x:row>
    <x:row r="653" ht="21" customHeight="1">
      <x:c r="A653" s="2" t="n">
        <x:v>54</x:v>
      </x:c>
      <x:c r="B653" s="2" t="str">
        <x:f>IF('Input_Meci'!A59="","",'Input_Meci'!A59)</x:f>
      </x:c>
      <x:c r="C653" s="2" t="str">
        <x:v>A</x:v>
      </x:c>
      <x:c r="D653" s="2" t="str">
        <x:v>PRIOR</x:v>
      </x:c>
      <x:c r="E653" s="2" t="str">
        <x:f>IF(B653="","",'Input_Meci'!B59)</x:f>
      </x:c>
      <x:c r="F653" s="2" t="str">
        <x:f>IF(B653="","",IF('Input_Meci'!K59="","",'Input_Meci'!K59))</x:f>
      </x:c>
      <x:c r="G653" s="2" t="str">
        <x:f>IF(B653="","",'Input_Meci'!E59)</x:f>
      </x:c>
      <x:c r="H653" s="2" t="str">
        <x:v>ANY</x:v>
      </x:c>
      <x:c r="I653" s="2" t="str">
        <x:v>RECENT</x:v>
      </x:c>
      <x:c r="J653" s="9" t="n">
        <x:f>IF(AND(B653&lt;&gt;"",ISNUMBER('Input_Meci'!G59)),INT('Input_Meci'!G59),0)</x:f>
        <x:v>0</x:v>
      </x:c>
      <x:c r="K653" s="2" t="n">
        <x:f>IF(OR(B653="",F653=""),0,IF(H653="HOME",COUNTIFS('Istoric_Nativ'!$B$6:$B$405,E653,'Istoric_Nativ'!$C$6:$C$405,F653,'Istoric_Nativ'!$E$6:$E$405,G653,'Istoric_Nativ'!$D$6:$D$405,"&lt;"&amp;J653,'Istoric_Nativ'!$P$6:$P$405,1),IF(H653="AWAY",COUNTIFS('Istoric_Nativ'!$B$6:$B$405,E653,'Istoric_Nativ'!$C$6:$C$405,F653,'Istoric_Nativ'!$F$6:$F$405,G653,'Istoric_Nativ'!$D$6:$D$405,"&lt;"&amp;J653,'Istoric_Nativ'!$P$6:$P$405,1),COUNTIFS('Istoric_Nativ'!$B$6:$B$405,E653,'Istoric_Nativ'!$C$6:$C$405,F653,'Istoric_Nativ'!$E$6:$E$405,G653,'Istoric_Nativ'!$D$6:$D$405,"&lt;"&amp;J653,'Istoric_Nativ'!$P$6:$P$405,1)+COUNTIFS('Istoric_Nativ'!$B$6:$B$405,E653,'Istoric_Nativ'!$C$6:$C$405,F653,'Istoric_Nativ'!$F$6:$F$405,G653,'Istoric_Nativ'!$D$6:$D$405,"&lt;"&amp;J653,'Istoric_Nativ'!$P$6:$P$405,1))))</x:f>
        <x:v>0</x:v>
      </x:c>
      <x:c r="L653" s="17" t="n">
        <x:f>IF(AND(B653&lt;&gt;"",I653="RECENT",K653&gt;0),LARGE(_xlfn._xlws.FILTER('Istoric_Nativ'!$D$6:$D$405,('Istoric_Nativ'!$B$6:$B$405=E653)*('Istoric_Nativ'!$C$6:$C$405=F653)*('Istoric_Nativ'!$P$6:$P$405=1)*('Istoric_Nativ'!$D$6:$D$405&lt;J653)*((('Istoric_Nativ'!$E$6:$E$405=G653)+('Istoric_Nativ'!$F$6:$F$405=G653))&gt;0)),MIN('Config_v6'!$B$54,K653)),0)</x:f>
        <x:v>0</x:v>
      </x:c>
      <x:c r="M653" s="2" t="n">
        <x:f>IF(OR(B653="",F653=""),0,IF(H653="HOME",COUNTIFS('Istoric_Nativ'!$B$6:$B$405,E653,'Istoric_Nativ'!$C$6:$C$405,F653,'Istoric_Nativ'!$E$6:$E$405,G653,'Istoric_Nativ'!$D$6:$D$405,"&lt;"&amp;J653,'Istoric_Nativ'!$P$6:$P$405,1,'Istoric_Nativ'!$D$6:$D$405,"&gt;="&amp;L653),IF(H653="AWAY",COUNTIFS('Istoric_Nativ'!$B$6:$B$405,E653,'Istoric_Nativ'!$C$6:$C$405,F653,'Istoric_Nativ'!$F$6:$F$405,G653,'Istoric_Nativ'!$D$6:$D$405,"&lt;"&amp;J653,'Istoric_Nativ'!$P$6:$P$405,1,'Istoric_Nativ'!$D$6:$D$405,"&gt;="&amp;L653),COUNTIFS('Istoric_Nativ'!$B$6:$B$405,E653,'Istoric_Nativ'!$C$6:$C$405,F653,'Istoric_Nativ'!$E$6:$E$405,G653,'Istoric_Nativ'!$D$6:$D$405,"&lt;"&amp;J653,'Istoric_Nativ'!$P$6:$P$405,1,'Istoric_Nativ'!$D$6:$D$405,"&gt;="&amp;L653)+COUNTIFS('Istoric_Nativ'!$B$6:$B$405,E653,'Istoric_Nativ'!$C$6:$C$405,F653,'Istoric_Nativ'!$F$6:$F$405,G653,'Istoric_Nativ'!$D$6:$D$405,"&lt;"&amp;J653,'Istoric_Nativ'!$P$6:$P$405,1,'Istoric_Nativ'!$D$6:$D$405,"&gt;="&amp;L653))))</x:f>
        <x:v>0</x:v>
      </x:c>
      <x:c r="N653" s="11" t="str">
        <x:f>IF(M653=0,"",IF(H653="HOME",SUMIFS('Istoric_Nativ'!$G$6:$G$405,'Istoric_Nativ'!$B$6:$B$405,E653,'Istoric_Nativ'!$C$6:$C$405,F653,'Istoric_Nativ'!$E$6:$E$405,G653,'Istoric_Nativ'!$D$6:$D$405,"&lt;"&amp;J653,'Istoric_Nativ'!$P$6:$P$405,1,'Istoric_Nativ'!$D$6:$D$405,"&gt;="&amp;L653),IF(H653="AWAY",SUMIFS('Istoric_Nativ'!$H$6:$H$405,'Istoric_Nativ'!$B$6:$B$405,E653,'Istoric_Nativ'!$C$6:$C$405,F653,'Istoric_Nativ'!$F$6:$F$405,G653,'Istoric_Nativ'!$D$6:$D$405,"&lt;"&amp;J653,'Istoric_Nativ'!$P$6:$P$405,1,'Istoric_Nativ'!$D$6:$D$405,"&gt;="&amp;L653),SUMIFS('Istoric_Nativ'!$G$6:$G$405,'Istoric_Nativ'!$B$6:$B$405,E653,'Istoric_Nativ'!$C$6:$C$405,F653,'Istoric_Nativ'!$E$6:$E$405,G653,'Istoric_Nativ'!$D$6:$D$405,"&lt;"&amp;J653,'Istoric_Nativ'!$P$6:$P$405,1,'Istoric_Nativ'!$D$6:$D$405,"&gt;="&amp;L653)+SUMIFS('Istoric_Nativ'!$H$6:$H$405,'Istoric_Nativ'!$B$6:$B$405,E653,'Istoric_Nativ'!$C$6:$C$405,F653,'Istoric_Nativ'!$F$6:$F$405,G653,'Istoric_Nativ'!$D$6:$D$405,"&lt;"&amp;J653,'Istoric_Nativ'!$P$6:$P$405,1,'Istoric_Nativ'!$D$6:$D$405,"&gt;="&amp;L653)))/M653)</x:f>
      </x:c>
      <x:c r="O653" s="11" t="str">
        <x:f>IF(M653=0,"",IF(H653="HOME",SUMIFS('Istoric_Nativ'!$H$6:$H$405,'Istoric_Nativ'!$B$6:$B$405,E653,'Istoric_Nativ'!$C$6:$C$405,F653,'Istoric_Nativ'!$E$6:$E$405,G653,'Istoric_Nativ'!$D$6:$D$405,"&lt;"&amp;J653,'Istoric_Nativ'!$P$6:$P$405,1,'Istoric_Nativ'!$D$6:$D$405,"&gt;="&amp;L653),IF(H653="AWAY",SUMIFS('Istoric_Nativ'!$G$6:$G$405,'Istoric_Nativ'!$B$6:$B$405,E653,'Istoric_Nativ'!$C$6:$C$405,F653,'Istoric_Nativ'!$F$6:$F$405,G653,'Istoric_Nativ'!$D$6:$D$405,"&lt;"&amp;J653,'Istoric_Nativ'!$P$6:$P$405,1,'Istoric_Nativ'!$D$6:$D$405,"&gt;="&amp;L653),SUMIFS('Istoric_Nativ'!$H$6:$H$405,'Istoric_Nativ'!$B$6:$B$405,E653,'Istoric_Nativ'!$C$6:$C$405,F653,'Istoric_Nativ'!$E$6:$E$405,G653,'Istoric_Nativ'!$D$6:$D$405,"&lt;"&amp;J653,'Istoric_Nativ'!$P$6:$P$405,1,'Istoric_Nativ'!$D$6:$D$405,"&gt;="&amp;L653)+SUMIFS('Istoric_Nativ'!$G$6:$G$405,'Istoric_Nativ'!$B$6:$B$405,E653,'Istoric_Nativ'!$C$6:$C$405,F653,'Istoric_Nativ'!$F$6:$F$405,G653,'Istoric_Nativ'!$D$6:$D$405,"&lt;"&amp;J653,'Istoric_Nativ'!$P$6:$P$405,1,'Istoric_Nativ'!$D$6:$D$405,"&gt;="&amp;L653)))/M653)</x:f>
      </x:c>
      <x:c r="P653" s="2" t="n">
        <x:f>'Config_v6'!$B$9</x:f>
        <x:v>3</x:v>
      </x:c>
      <x:c r="Q653" s="2" t="n">
        <x:f>IF(OR(B653="",F653=""),0,IFERROR(MATCH(E653&amp;"|"&amp;F653,SourceTable[Source_Key],0),0))</x:f>
        <x:v>0</x:v>
      </x:c>
      <x:c r="R653" s="2" t="str">
        <x:f>IF(B653="","",IF(F653="","UNUSED",IF(Q653=0,"NOT CHECKED",IF(COUNTIF(SourceTable[Source_Key],E653&amp;"|"&amp;F653)&lt;&gt;1,"SOURCE CONFLICT",IF(NOT(OR(INDEX(SourceTable[Status],MAX(1,Q653))="IMPORTED",INDEX(SourceTable[Status],MAX(1,Q653))="PARTIAL",INDEX(SourceTable[Status],MAX(1,Q653))="SOURCE CONFLICT")),"ACCESS BLOCKED",IF(OR(INDEX(SourceTable[Coverage],Q653)&lt;&gt;"FULL SEASON EXPORT",INDEX(SourceTable[URL],Q653)="",INDEX(SourceTable[SHA256],Q653)=""),"EVIDENCE INCOMPLETE",IF(AND('Input_Meci'!H59="LIVE",INDEX(SourceTable[Retrieved_UTC],Q653)&gt;'Input_Meci'!G59),"POST CUTOFF","CLOSED")))))))</x:f>
      </x:c>
      <x:c r="S653" s="2" t="n">
        <x:f>IF(OR(B653="",F653=""),0,COUNTIFS('Istoric_Nativ'!$B$6:$B$405,E653,'Istoric_Nativ'!$C$6:$C$405,F653,'Istoric_Nativ'!$E$6:$E$405,G653,'Istoric_Nativ'!$D$6:$D$405,"&lt;"&amp;J653,'Istoric_Nativ'!$O$6:$O$405,"INVALID")+COUNTIFS('Istoric_Nativ'!$B$6:$B$405,E653,'Istoric_Nativ'!$C$6:$C$405,F653,'Istoric_Nativ'!$E$6:$E$405,G653,'Istoric_Nativ'!$O$6:$O$405,"INVALID",'Istoric_Nativ'!$D$6:$D$405,"*")+COUNTIFS('Istoric_Nativ'!$B$6:$B$405,E653,'Istoric_Nativ'!$C$6:$C$405,F653,'Istoric_Nativ'!$E$6:$E$405,G653,'Istoric_Nativ'!$D$6:$D$405,"&lt;"&amp;J653,'Istoric_Nativ'!$O$6:$O$405,"SOURCE CONFLICT")+COUNTIFS('Istoric_Nativ'!$B$6:$B$405,E653,'Istoric_Nativ'!$C$6:$C$405,F653,'Istoric_Nativ'!$F$6:$F$405,G653,'Istoric_Nativ'!$D$6:$D$405,"&lt;"&amp;J653,'Istoric_Nativ'!$O$6:$O$405,"INVALID")+COUNTIFS('Istoric_Nativ'!$B$6:$B$405,E653,'Istoric_Nativ'!$C$6:$C$405,F653,'Istoric_Nativ'!$F$6:$F$405,G653,'Istoric_Nativ'!$O$6:$O$405,"INVALID",'Istoric_Nativ'!$D$6:$D$405,"*")+COUNTIFS('Istoric_Nativ'!$B$6:$B$405,E653,'Istoric_Nativ'!$C$6:$C$405,F653,'Istoric_Nativ'!$F$6:$F$405,G653,'Istoric_Nativ'!$D$6:$D$405,"&lt;"&amp;J653,'Istoric_Nativ'!$O$6:$O$405,"SOURCE CONFLICT"))</x:f>
        <x:v>0</x:v>
      </x:c>
      <x:c r="T653" s="2" t="str">
        <x:f>IF(B653="","",IF(R653&lt;&gt;"CLOSED",R653,IF(S653&gt;0,"NATIVE INPUT ISSUE",IF(M653=0,"NO HISTORY",IF(M653&lt;P653,"SMALL SAMPLE","DERIVED")))))</x:f>
      </x:c>
      <x:c r="U653" s="2" t="str">
        <x:f>IF(B653="","","NativeTable; "&amp;E653&amp;"; "&amp;F653&amp;"; "&amp;G653&amp;"; "&amp;H653&amp;"; before "&amp;TEXT(J653,"yyyy-mm-dd")&amp;IF(I653="RECENT","; from "&amp;TEXT(L653,"yyyy-mm-dd"),""))</x:f>
      </x:c>
    </x:row>
    <x:row r="654" ht="21" customHeight="1">
      <x:c r="A654" s="2" t="n">
        <x:v>55</x:v>
      </x:c>
      <x:c r="B654" s="2" t="str">
        <x:f>IF('Input_Meci'!A60="","",'Input_Meci'!A60)</x:f>
      </x:c>
      <x:c r="C654" s="2" t="str">
        <x:v>H</x:v>
      </x:c>
      <x:c r="D654" s="2" t="str">
        <x:v>CURRENT</x:v>
      </x:c>
      <x:c r="E654" s="2" t="str">
        <x:f>IF(B654="","",'Input_Meci'!B60)</x:f>
      </x:c>
      <x:c r="F654" s="2" t="str">
        <x:f>IF(B654="","",IF('Input_Meci'!C60="","",'Input_Meci'!C60))</x:f>
      </x:c>
      <x:c r="G654" s="2" t="str">
        <x:f>IF(B654="","",'Input_Meci'!D60)</x:f>
      </x:c>
      <x:c r="H654" s="2" t="str">
        <x:v>ANY</x:v>
      </x:c>
      <x:c r="I654" s="2" t="str">
        <x:v>SEASON</x:v>
      </x:c>
      <x:c r="J654" s="9" t="n">
        <x:f>IF(AND(B654&lt;&gt;"",ISNUMBER('Input_Meci'!G60)),INT('Input_Meci'!G60),0)</x:f>
        <x:v>0</x:v>
      </x:c>
      <x:c r="K654" s="2" t="n">
        <x:f>IF(OR(B654="",F654=""),0,IF(H654="HOME",COUNTIFS('Istoric_Nativ'!$B$6:$B$405,E654,'Istoric_Nativ'!$C$6:$C$405,F654,'Istoric_Nativ'!$E$6:$E$405,G654,'Istoric_Nativ'!$D$6:$D$405,"&lt;"&amp;J654,'Istoric_Nativ'!$P$6:$P$405,1),IF(H654="AWAY",COUNTIFS('Istoric_Nativ'!$B$6:$B$405,E654,'Istoric_Nativ'!$C$6:$C$405,F654,'Istoric_Nativ'!$F$6:$F$405,G654,'Istoric_Nativ'!$D$6:$D$405,"&lt;"&amp;J654,'Istoric_Nativ'!$P$6:$P$405,1),COUNTIFS('Istoric_Nativ'!$B$6:$B$405,E654,'Istoric_Nativ'!$C$6:$C$405,F654,'Istoric_Nativ'!$E$6:$E$405,G654,'Istoric_Nativ'!$D$6:$D$405,"&lt;"&amp;J654,'Istoric_Nativ'!$P$6:$P$405,1)+COUNTIFS('Istoric_Nativ'!$B$6:$B$405,E654,'Istoric_Nativ'!$C$6:$C$405,F654,'Istoric_Nativ'!$F$6:$F$405,G654,'Istoric_Nativ'!$D$6:$D$405,"&lt;"&amp;J654,'Istoric_Nativ'!$P$6:$P$405,1))))</x:f>
        <x:v>0</x:v>
      </x:c>
      <x:c r="L654" s="17" t="n">
        <x:f>IF(AND(B654&lt;&gt;"",I654="RECENT",K654&gt;0),LARGE(_xlfn._xlws.FILTER('Istoric_Nativ'!$D$6:$D$405,('Istoric_Nativ'!$B$6:$B$405=E654)*('Istoric_Nativ'!$C$6:$C$405=F654)*('Istoric_Nativ'!$P$6:$P$405=1)*('Istoric_Nativ'!$D$6:$D$405&lt;J654)*((('Istoric_Nativ'!$E$6:$E$405=G654)+('Istoric_Nativ'!$F$6:$F$405=G654))&gt;0)),MIN('Config_v6'!$B$54,K654)),0)</x:f>
        <x:v>0</x:v>
      </x:c>
      <x:c r="M654" s="2" t="n">
        <x:f>IF(OR(B654="",F654=""),0,IF(H654="HOME",COUNTIFS('Istoric_Nativ'!$B$6:$B$405,E654,'Istoric_Nativ'!$C$6:$C$405,F654,'Istoric_Nativ'!$E$6:$E$405,G654,'Istoric_Nativ'!$D$6:$D$405,"&lt;"&amp;J654,'Istoric_Nativ'!$P$6:$P$405,1,'Istoric_Nativ'!$D$6:$D$405,"&gt;="&amp;L654),IF(H654="AWAY",COUNTIFS('Istoric_Nativ'!$B$6:$B$405,E654,'Istoric_Nativ'!$C$6:$C$405,F654,'Istoric_Nativ'!$F$6:$F$405,G654,'Istoric_Nativ'!$D$6:$D$405,"&lt;"&amp;J654,'Istoric_Nativ'!$P$6:$P$405,1,'Istoric_Nativ'!$D$6:$D$405,"&gt;="&amp;L654),COUNTIFS('Istoric_Nativ'!$B$6:$B$405,E654,'Istoric_Nativ'!$C$6:$C$405,F654,'Istoric_Nativ'!$E$6:$E$405,G654,'Istoric_Nativ'!$D$6:$D$405,"&lt;"&amp;J654,'Istoric_Nativ'!$P$6:$P$405,1,'Istoric_Nativ'!$D$6:$D$405,"&gt;="&amp;L654)+COUNTIFS('Istoric_Nativ'!$B$6:$B$405,E654,'Istoric_Nativ'!$C$6:$C$405,F654,'Istoric_Nativ'!$F$6:$F$405,G654,'Istoric_Nativ'!$D$6:$D$405,"&lt;"&amp;J654,'Istoric_Nativ'!$P$6:$P$405,1,'Istoric_Nativ'!$D$6:$D$405,"&gt;="&amp;L654))))</x:f>
        <x:v>0</x:v>
      </x:c>
      <x:c r="N654" s="11" t="str">
        <x:f>IF(M654=0,"",IF(H654="HOME",SUMIFS('Istoric_Nativ'!$G$6:$G$405,'Istoric_Nativ'!$B$6:$B$405,E654,'Istoric_Nativ'!$C$6:$C$405,F654,'Istoric_Nativ'!$E$6:$E$405,G654,'Istoric_Nativ'!$D$6:$D$405,"&lt;"&amp;J654,'Istoric_Nativ'!$P$6:$P$405,1,'Istoric_Nativ'!$D$6:$D$405,"&gt;="&amp;L654),IF(H654="AWAY",SUMIFS('Istoric_Nativ'!$H$6:$H$405,'Istoric_Nativ'!$B$6:$B$405,E654,'Istoric_Nativ'!$C$6:$C$405,F654,'Istoric_Nativ'!$F$6:$F$405,G654,'Istoric_Nativ'!$D$6:$D$405,"&lt;"&amp;J654,'Istoric_Nativ'!$P$6:$P$405,1,'Istoric_Nativ'!$D$6:$D$405,"&gt;="&amp;L654),SUMIFS('Istoric_Nativ'!$G$6:$G$405,'Istoric_Nativ'!$B$6:$B$405,E654,'Istoric_Nativ'!$C$6:$C$405,F654,'Istoric_Nativ'!$E$6:$E$405,G654,'Istoric_Nativ'!$D$6:$D$405,"&lt;"&amp;J654,'Istoric_Nativ'!$P$6:$P$405,1,'Istoric_Nativ'!$D$6:$D$405,"&gt;="&amp;L654)+SUMIFS('Istoric_Nativ'!$H$6:$H$405,'Istoric_Nativ'!$B$6:$B$405,E654,'Istoric_Nativ'!$C$6:$C$405,F654,'Istoric_Nativ'!$F$6:$F$405,G654,'Istoric_Nativ'!$D$6:$D$405,"&lt;"&amp;J654,'Istoric_Nativ'!$P$6:$P$405,1,'Istoric_Nativ'!$D$6:$D$405,"&gt;="&amp;L654)))/M654)</x:f>
      </x:c>
      <x:c r="O654" s="11" t="str">
        <x:f>IF(M654=0,"",IF(H654="HOME",SUMIFS('Istoric_Nativ'!$H$6:$H$405,'Istoric_Nativ'!$B$6:$B$405,E654,'Istoric_Nativ'!$C$6:$C$405,F654,'Istoric_Nativ'!$E$6:$E$405,G654,'Istoric_Nativ'!$D$6:$D$405,"&lt;"&amp;J654,'Istoric_Nativ'!$P$6:$P$405,1,'Istoric_Nativ'!$D$6:$D$405,"&gt;="&amp;L654),IF(H654="AWAY",SUMIFS('Istoric_Nativ'!$G$6:$G$405,'Istoric_Nativ'!$B$6:$B$405,E654,'Istoric_Nativ'!$C$6:$C$405,F654,'Istoric_Nativ'!$F$6:$F$405,G654,'Istoric_Nativ'!$D$6:$D$405,"&lt;"&amp;J654,'Istoric_Nativ'!$P$6:$P$405,1,'Istoric_Nativ'!$D$6:$D$405,"&gt;="&amp;L654),SUMIFS('Istoric_Nativ'!$H$6:$H$405,'Istoric_Nativ'!$B$6:$B$405,E654,'Istoric_Nativ'!$C$6:$C$405,F654,'Istoric_Nativ'!$E$6:$E$405,G654,'Istoric_Nativ'!$D$6:$D$405,"&lt;"&amp;J654,'Istoric_Nativ'!$P$6:$P$405,1,'Istoric_Nativ'!$D$6:$D$405,"&gt;="&amp;L654)+SUMIFS('Istoric_Nativ'!$G$6:$G$405,'Istoric_Nativ'!$B$6:$B$405,E654,'Istoric_Nativ'!$C$6:$C$405,F654,'Istoric_Nativ'!$F$6:$F$405,G654,'Istoric_Nativ'!$D$6:$D$405,"&lt;"&amp;J654,'Istoric_Nativ'!$P$6:$P$405,1,'Istoric_Nativ'!$D$6:$D$405,"&gt;="&amp;L654)))/M654)</x:f>
      </x:c>
      <x:c r="P654" s="2" t="n">
        <x:f>'Config_v6'!$B$7</x:f>
        <x:v>10</x:v>
      </x:c>
      <x:c r="Q654" s="2" t="n">
        <x:f>IF(OR(B654="",F654=""),0,IFERROR(MATCH(E654&amp;"|"&amp;F654,SourceTable[Source_Key],0),0))</x:f>
        <x:v>0</x:v>
      </x:c>
      <x:c r="R654" s="2" t="str">
        <x:f>IF(B654="","",IF(F654="","UNUSED",IF(Q654=0,"NOT CHECKED",IF(COUNTIF(SourceTable[Source_Key],E654&amp;"|"&amp;F654)&lt;&gt;1,"SOURCE CONFLICT",IF(NOT(OR(INDEX(SourceTable[Status],MAX(1,Q654))="IMPORTED",INDEX(SourceTable[Status],MAX(1,Q654))="PARTIAL",INDEX(SourceTable[Status],MAX(1,Q654))="SOURCE CONFLICT")),"ACCESS BLOCKED",IF(OR(INDEX(SourceTable[Coverage],Q654)&lt;&gt;"FULL SEASON EXPORT",INDEX(SourceTable[URL],Q654)="",INDEX(SourceTable[SHA256],Q654)=""),"EVIDENCE INCOMPLETE",IF(AND('Input_Meci'!H60="LIVE",INDEX(SourceTable[Retrieved_UTC],Q654)&gt;'Input_Meci'!G60),"POST CUTOFF","CLOSED")))))))</x:f>
      </x:c>
      <x:c r="S654" s="2" t="n">
        <x:f>IF(OR(B654="",F654=""),0,COUNTIFS('Istoric_Nativ'!$B$6:$B$405,E654,'Istoric_Nativ'!$C$6:$C$405,F654,'Istoric_Nativ'!$E$6:$E$405,G654,'Istoric_Nativ'!$D$6:$D$405,"&lt;"&amp;J654,'Istoric_Nativ'!$O$6:$O$405,"INVALID")+COUNTIFS('Istoric_Nativ'!$B$6:$B$405,E654,'Istoric_Nativ'!$C$6:$C$405,F654,'Istoric_Nativ'!$E$6:$E$405,G654,'Istoric_Nativ'!$O$6:$O$405,"INVALID",'Istoric_Nativ'!$D$6:$D$405,"*")+COUNTIFS('Istoric_Nativ'!$B$6:$B$405,E654,'Istoric_Nativ'!$C$6:$C$405,F654,'Istoric_Nativ'!$E$6:$E$405,G654,'Istoric_Nativ'!$D$6:$D$405,"&lt;"&amp;J654,'Istoric_Nativ'!$O$6:$O$405,"SOURCE CONFLICT")+COUNTIFS('Istoric_Nativ'!$B$6:$B$405,E654,'Istoric_Nativ'!$C$6:$C$405,F654,'Istoric_Nativ'!$F$6:$F$405,G654,'Istoric_Nativ'!$D$6:$D$405,"&lt;"&amp;J654,'Istoric_Nativ'!$O$6:$O$405,"INVALID")+COUNTIFS('Istoric_Nativ'!$B$6:$B$405,E654,'Istoric_Nativ'!$C$6:$C$405,F654,'Istoric_Nativ'!$F$6:$F$405,G654,'Istoric_Nativ'!$O$6:$O$405,"INVALID",'Istoric_Nativ'!$D$6:$D$405,"*")+COUNTIFS('Istoric_Nativ'!$B$6:$B$405,E654,'Istoric_Nativ'!$C$6:$C$405,F654,'Istoric_Nativ'!$F$6:$F$405,G654,'Istoric_Nativ'!$D$6:$D$405,"&lt;"&amp;J654,'Istoric_Nativ'!$O$6:$O$405,"SOURCE CONFLICT"))</x:f>
        <x:v>0</x:v>
      </x:c>
      <x:c r="T654" s="2" t="str">
        <x:f>IF(B654="","",IF(R654&lt;&gt;"CLOSED",R654,IF(S654&gt;0,"NATIVE INPUT ISSUE",IF(M654=0,"NO HISTORY",IF(M654&lt;P654,"SMALL SAMPLE","DERIVED")))))</x:f>
      </x:c>
      <x:c r="U654" s="2" t="str">
        <x:f>IF(B654="","","NativeTable; "&amp;E654&amp;"; "&amp;F654&amp;"; "&amp;G654&amp;"; "&amp;H654&amp;"; before "&amp;TEXT(J654,"yyyy-mm-dd")&amp;IF(I654="RECENT","; from "&amp;TEXT(L654,"yyyy-mm-dd"),""))</x:f>
      </x:c>
    </x:row>
    <x:row r="655" ht="21" customHeight="1">
      <x:c r="A655" s="2" t="n">
        <x:v>55</x:v>
      </x:c>
      <x:c r="B655" s="2" t="str">
        <x:f>IF('Input_Meci'!A60="","",'Input_Meci'!A60)</x:f>
      </x:c>
      <x:c r="C655" s="2" t="str">
        <x:v>H</x:v>
      </x:c>
      <x:c r="D655" s="2" t="str">
        <x:v>CURRENT</x:v>
      </x:c>
      <x:c r="E655" s="2" t="str">
        <x:f>IF(B655="","",'Input_Meci'!B60)</x:f>
      </x:c>
      <x:c r="F655" s="2" t="str">
        <x:f>IF(B655="","",IF('Input_Meci'!C60="","",'Input_Meci'!C60))</x:f>
      </x:c>
      <x:c r="G655" s="2" t="str">
        <x:f>IF(B655="","",'Input_Meci'!D60)</x:f>
      </x:c>
      <x:c r="H655" s="2" t="str">
        <x:v>HOME</x:v>
      </x:c>
      <x:c r="I655" s="2" t="str">
        <x:v>HA</x:v>
      </x:c>
      <x:c r="J655" s="9" t="n">
        <x:f>IF(AND(B655&lt;&gt;"",ISNUMBER('Input_Meci'!G60)),INT('Input_Meci'!G60),0)</x:f>
        <x:v>0</x:v>
      </x:c>
      <x:c r="K655" s="2" t="n">
        <x:f>IF(OR(B655="",F655=""),0,IF(H655="HOME",COUNTIFS('Istoric_Nativ'!$B$6:$B$405,E655,'Istoric_Nativ'!$C$6:$C$405,F655,'Istoric_Nativ'!$E$6:$E$405,G655,'Istoric_Nativ'!$D$6:$D$405,"&lt;"&amp;J655,'Istoric_Nativ'!$P$6:$P$405,1),IF(H655="AWAY",COUNTIFS('Istoric_Nativ'!$B$6:$B$405,E655,'Istoric_Nativ'!$C$6:$C$405,F655,'Istoric_Nativ'!$F$6:$F$405,G655,'Istoric_Nativ'!$D$6:$D$405,"&lt;"&amp;J655,'Istoric_Nativ'!$P$6:$P$405,1),COUNTIFS('Istoric_Nativ'!$B$6:$B$405,E655,'Istoric_Nativ'!$C$6:$C$405,F655,'Istoric_Nativ'!$E$6:$E$405,G655,'Istoric_Nativ'!$D$6:$D$405,"&lt;"&amp;J655,'Istoric_Nativ'!$P$6:$P$405,1)+COUNTIFS('Istoric_Nativ'!$B$6:$B$405,E655,'Istoric_Nativ'!$C$6:$C$405,F655,'Istoric_Nativ'!$F$6:$F$405,G655,'Istoric_Nativ'!$D$6:$D$405,"&lt;"&amp;J655,'Istoric_Nativ'!$P$6:$P$405,1))))</x:f>
        <x:v>0</x:v>
      </x:c>
      <x:c r="L655" s="17" t="n">
        <x:f>IF(AND(B655&lt;&gt;"",I655="RECENT",K655&gt;0),LARGE(_xlfn._xlws.FILTER('Istoric_Nativ'!$D$6:$D$405,('Istoric_Nativ'!$B$6:$B$405=E655)*('Istoric_Nativ'!$C$6:$C$405=F655)*('Istoric_Nativ'!$P$6:$P$405=1)*('Istoric_Nativ'!$D$6:$D$405&lt;J655)*((('Istoric_Nativ'!$E$6:$E$405=G655)+('Istoric_Nativ'!$F$6:$F$405=G655))&gt;0)),MIN('Config_v6'!$B$54,K655)),0)</x:f>
        <x:v>0</x:v>
      </x:c>
      <x:c r="M655" s="2" t="n">
        <x:f>IF(OR(B655="",F655=""),0,IF(H655="HOME",COUNTIFS('Istoric_Nativ'!$B$6:$B$405,E655,'Istoric_Nativ'!$C$6:$C$405,F655,'Istoric_Nativ'!$E$6:$E$405,G655,'Istoric_Nativ'!$D$6:$D$405,"&lt;"&amp;J655,'Istoric_Nativ'!$P$6:$P$405,1,'Istoric_Nativ'!$D$6:$D$405,"&gt;="&amp;L655),IF(H655="AWAY",COUNTIFS('Istoric_Nativ'!$B$6:$B$405,E655,'Istoric_Nativ'!$C$6:$C$405,F655,'Istoric_Nativ'!$F$6:$F$405,G655,'Istoric_Nativ'!$D$6:$D$405,"&lt;"&amp;J655,'Istoric_Nativ'!$P$6:$P$405,1,'Istoric_Nativ'!$D$6:$D$405,"&gt;="&amp;L655),COUNTIFS('Istoric_Nativ'!$B$6:$B$405,E655,'Istoric_Nativ'!$C$6:$C$405,F655,'Istoric_Nativ'!$E$6:$E$405,G655,'Istoric_Nativ'!$D$6:$D$405,"&lt;"&amp;J655,'Istoric_Nativ'!$P$6:$P$405,1,'Istoric_Nativ'!$D$6:$D$405,"&gt;="&amp;L655)+COUNTIFS('Istoric_Nativ'!$B$6:$B$405,E655,'Istoric_Nativ'!$C$6:$C$405,F655,'Istoric_Nativ'!$F$6:$F$405,G655,'Istoric_Nativ'!$D$6:$D$405,"&lt;"&amp;J655,'Istoric_Nativ'!$P$6:$P$405,1,'Istoric_Nativ'!$D$6:$D$405,"&gt;="&amp;L655))))</x:f>
        <x:v>0</x:v>
      </x:c>
      <x:c r="N655" s="11" t="str">
        <x:f>IF(M655=0,"",IF(H655="HOME",SUMIFS('Istoric_Nativ'!$G$6:$G$405,'Istoric_Nativ'!$B$6:$B$405,E655,'Istoric_Nativ'!$C$6:$C$405,F655,'Istoric_Nativ'!$E$6:$E$405,G655,'Istoric_Nativ'!$D$6:$D$405,"&lt;"&amp;J655,'Istoric_Nativ'!$P$6:$P$405,1,'Istoric_Nativ'!$D$6:$D$405,"&gt;="&amp;L655),IF(H655="AWAY",SUMIFS('Istoric_Nativ'!$H$6:$H$405,'Istoric_Nativ'!$B$6:$B$405,E655,'Istoric_Nativ'!$C$6:$C$405,F655,'Istoric_Nativ'!$F$6:$F$405,G655,'Istoric_Nativ'!$D$6:$D$405,"&lt;"&amp;J655,'Istoric_Nativ'!$P$6:$P$405,1,'Istoric_Nativ'!$D$6:$D$405,"&gt;="&amp;L655),SUMIFS('Istoric_Nativ'!$G$6:$G$405,'Istoric_Nativ'!$B$6:$B$405,E655,'Istoric_Nativ'!$C$6:$C$405,F655,'Istoric_Nativ'!$E$6:$E$405,G655,'Istoric_Nativ'!$D$6:$D$405,"&lt;"&amp;J655,'Istoric_Nativ'!$P$6:$P$405,1,'Istoric_Nativ'!$D$6:$D$405,"&gt;="&amp;L655)+SUMIFS('Istoric_Nativ'!$H$6:$H$405,'Istoric_Nativ'!$B$6:$B$405,E655,'Istoric_Nativ'!$C$6:$C$405,F655,'Istoric_Nativ'!$F$6:$F$405,G655,'Istoric_Nativ'!$D$6:$D$405,"&lt;"&amp;J655,'Istoric_Nativ'!$P$6:$P$405,1,'Istoric_Nativ'!$D$6:$D$405,"&gt;="&amp;L655)))/M655)</x:f>
      </x:c>
      <x:c r="O655" s="11" t="str">
        <x:f>IF(M655=0,"",IF(H655="HOME",SUMIFS('Istoric_Nativ'!$H$6:$H$405,'Istoric_Nativ'!$B$6:$B$405,E655,'Istoric_Nativ'!$C$6:$C$405,F655,'Istoric_Nativ'!$E$6:$E$405,G655,'Istoric_Nativ'!$D$6:$D$405,"&lt;"&amp;J655,'Istoric_Nativ'!$P$6:$P$405,1,'Istoric_Nativ'!$D$6:$D$405,"&gt;="&amp;L655),IF(H655="AWAY",SUMIFS('Istoric_Nativ'!$G$6:$G$405,'Istoric_Nativ'!$B$6:$B$405,E655,'Istoric_Nativ'!$C$6:$C$405,F655,'Istoric_Nativ'!$F$6:$F$405,G655,'Istoric_Nativ'!$D$6:$D$405,"&lt;"&amp;J655,'Istoric_Nativ'!$P$6:$P$405,1,'Istoric_Nativ'!$D$6:$D$405,"&gt;="&amp;L655),SUMIFS('Istoric_Nativ'!$H$6:$H$405,'Istoric_Nativ'!$B$6:$B$405,E655,'Istoric_Nativ'!$C$6:$C$405,F655,'Istoric_Nativ'!$E$6:$E$405,G655,'Istoric_Nativ'!$D$6:$D$405,"&lt;"&amp;J655,'Istoric_Nativ'!$P$6:$P$405,1,'Istoric_Nativ'!$D$6:$D$405,"&gt;="&amp;L655)+SUMIFS('Istoric_Nativ'!$G$6:$G$405,'Istoric_Nativ'!$B$6:$B$405,E655,'Istoric_Nativ'!$C$6:$C$405,F655,'Istoric_Nativ'!$F$6:$F$405,G655,'Istoric_Nativ'!$D$6:$D$405,"&lt;"&amp;J655,'Istoric_Nativ'!$P$6:$P$405,1,'Istoric_Nativ'!$D$6:$D$405,"&gt;="&amp;L655)))/M655)</x:f>
      </x:c>
      <x:c r="P655" s="2" t="n">
        <x:f>'Config_v6'!$B$8</x:f>
        <x:v>5</x:v>
      </x:c>
      <x:c r="Q655" s="2" t="n">
        <x:f>IF(OR(B655="",F655=""),0,IFERROR(MATCH(E655&amp;"|"&amp;F655,SourceTable[Source_Key],0),0))</x:f>
        <x:v>0</x:v>
      </x:c>
      <x:c r="R655" s="2" t="str">
        <x:f>IF(B655="","",IF(F655="","UNUSED",IF(Q655=0,"NOT CHECKED",IF(COUNTIF(SourceTable[Source_Key],E655&amp;"|"&amp;F655)&lt;&gt;1,"SOURCE CONFLICT",IF(NOT(OR(INDEX(SourceTable[Status],MAX(1,Q655))="IMPORTED",INDEX(SourceTable[Status],MAX(1,Q655))="PARTIAL",INDEX(SourceTable[Status],MAX(1,Q655))="SOURCE CONFLICT")),"ACCESS BLOCKED",IF(OR(INDEX(SourceTable[Coverage],Q655)&lt;&gt;"FULL SEASON EXPORT",INDEX(SourceTable[URL],Q655)="",INDEX(SourceTable[SHA256],Q655)=""),"EVIDENCE INCOMPLETE",IF(AND('Input_Meci'!H60="LIVE",INDEX(SourceTable[Retrieved_UTC],Q655)&gt;'Input_Meci'!G60),"POST CUTOFF","CLOSED")))))))</x:f>
      </x:c>
      <x:c r="S655" s="2" t="n">
        <x:f>IF(OR(B655="",F655=""),0,COUNTIFS('Istoric_Nativ'!$B$6:$B$405,E655,'Istoric_Nativ'!$C$6:$C$405,F655,'Istoric_Nativ'!$E$6:$E$405,G655,'Istoric_Nativ'!$D$6:$D$405,"&lt;"&amp;J655,'Istoric_Nativ'!$O$6:$O$405,"INVALID")+COUNTIFS('Istoric_Nativ'!$B$6:$B$405,E655,'Istoric_Nativ'!$C$6:$C$405,F655,'Istoric_Nativ'!$E$6:$E$405,G655,'Istoric_Nativ'!$O$6:$O$405,"INVALID",'Istoric_Nativ'!$D$6:$D$405,"*")+COUNTIFS('Istoric_Nativ'!$B$6:$B$405,E655,'Istoric_Nativ'!$C$6:$C$405,F655,'Istoric_Nativ'!$E$6:$E$405,G655,'Istoric_Nativ'!$D$6:$D$405,"&lt;"&amp;J655,'Istoric_Nativ'!$O$6:$O$405,"SOURCE CONFLICT")+COUNTIFS('Istoric_Nativ'!$B$6:$B$405,E655,'Istoric_Nativ'!$C$6:$C$405,F655,'Istoric_Nativ'!$F$6:$F$405,G655,'Istoric_Nativ'!$D$6:$D$405,"&lt;"&amp;J655,'Istoric_Nativ'!$O$6:$O$405,"INVALID")+COUNTIFS('Istoric_Nativ'!$B$6:$B$405,E655,'Istoric_Nativ'!$C$6:$C$405,F655,'Istoric_Nativ'!$F$6:$F$405,G655,'Istoric_Nativ'!$O$6:$O$405,"INVALID",'Istoric_Nativ'!$D$6:$D$405,"*")+COUNTIFS('Istoric_Nativ'!$B$6:$B$405,E655,'Istoric_Nativ'!$C$6:$C$405,F655,'Istoric_Nativ'!$F$6:$F$405,G655,'Istoric_Nativ'!$D$6:$D$405,"&lt;"&amp;J655,'Istoric_Nativ'!$O$6:$O$405,"SOURCE CONFLICT"))</x:f>
        <x:v>0</x:v>
      </x:c>
      <x:c r="T655" s="2" t="str">
        <x:f>IF(B655="","",IF(R655&lt;&gt;"CLOSED",R655,IF(S655&gt;0,"NATIVE INPUT ISSUE",IF(M655=0,"NO HISTORY",IF(M655&lt;P655,"SMALL SAMPLE","DERIVED")))))</x:f>
      </x:c>
      <x:c r="U655" s="2" t="str">
        <x:f>IF(B655="","","NativeTable; "&amp;E655&amp;"; "&amp;F655&amp;"; "&amp;G655&amp;"; "&amp;H655&amp;"; before "&amp;TEXT(J655,"yyyy-mm-dd")&amp;IF(I655="RECENT","; from "&amp;TEXT(L655,"yyyy-mm-dd"),""))</x:f>
      </x:c>
    </x:row>
    <x:row r="656" ht="21" customHeight="1">
      <x:c r="A656" s="2" t="n">
        <x:v>55</x:v>
      </x:c>
      <x:c r="B656" s="2" t="str">
        <x:f>IF('Input_Meci'!A60="","",'Input_Meci'!A60)</x:f>
      </x:c>
      <x:c r="C656" s="2" t="str">
        <x:v>H</x:v>
      </x:c>
      <x:c r="D656" s="2" t="str">
        <x:v>CURRENT</x:v>
      </x:c>
      <x:c r="E656" s="2" t="str">
        <x:f>IF(B656="","",'Input_Meci'!B60)</x:f>
      </x:c>
      <x:c r="F656" s="2" t="str">
        <x:f>IF(B656="","",IF('Input_Meci'!C60="","",'Input_Meci'!C60))</x:f>
      </x:c>
      <x:c r="G656" s="2" t="str">
        <x:f>IF(B656="","",'Input_Meci'!D60)</x:f>
      </x:c>
      <x:c r="H656" s="2" t="str">
        <x:v>ANY</x:v>
      </x:c>
      <x:c r="I656" s="2" t="str">
        <x:v>RECENT</x:v>
      </x:c>
      <x:c r="J656" s="9" t="n">
        <x:f>IF(AND(B656&lt;&gt;"",ISNUMBER('Input_Meci'!G60)),INT('Input_Meci'!G60),0)</x:f>
        <x:v>0</x:v>
      </x:c>
      <x:c r="K656" s="2" t="n">
        <x:f>IF(OR(B656="",F656=""),0,IF(H656="HOME",COUNTIFS('Istoric_Nativ'!$B$6:$B$405,E656,'Istoric_Nativ'!$C$6:$C$405,F656,'Istoric_Nativ'!$E$6:$E$405,G656,'Istoric_Nativ'!$D$6:$D$405,"&lt;"&amp;J656,'Istoric_Nativ'!$P$6:$P$405,1),IF(H656="AWAY",COUNTIFS('Istoric_Nativ'!$B$6:$B$405,E656,'Istoric_Nativ'!$C$6:$C$405,F656,'Istoric_Nativ'!$F$6:$F$405,G656,'Istoric_Nativ'!$D$6:$D$405,"&lt;"&amp;J656,'Istoric_Nativ'!$P$6:$P$405,1),COUNTIFS('Istoric_Nativ'!$B$6:$B$405,E656,'Istoric_Nativ'!$C$6:$C$405,F656,'Istoric_Nativ'!$E$6:$E$405,G656,'Istoric_Nativ'!$D$6:$D$405,"&lt;"&amp;J656,'Istoric_Nativ'!$P$6:$P$405,1)+COUNTIFS('Istoric_Nativ'!$B$6:$B$405,E656,'Istoric_Nativ'!$C$6:$C$405,F656,'Istoric_Nativ'!$F$6:$F$405,G656,'Istoric_Nativ'!$D$6:$D$405,"&lt;"&amp;J656,'Istoric_Nativ'!$P$6:$P$405,1))))</x:f>
        <x:v>0</x:v>
      </x:c>
      <x:c r="L656" s="17" t="n">
        <x:f>IF(AND(B656&lt;&gt;"",I656="RECENT",K656&gt;0),LARGE(_xlfn._xlws.FILTER('Istoric_Nativ'!$D$6:$D$405,('Istoric_Nativ'!$B$6:$B$405=E656)*('Istoric_Nativ'!$C$6:$C$405=F656)*('Istoric_Nativ'!$P$6:$P$405=1)*('Istoric_Nativ'!$D$6:$D$405&lt;J656)*((('Istoric_Nativ'!$E$6:$E$405=G656)+('Istoric_Nativ'!$F$6:$F$405=G656))&gt;0)),MIN('Config_v6'!$B$54,K656)),0)</x:f>
        <x:v>0</x:v>
      </x:c>
      <x:c r="M656" s="2" t="n">
        <x:f>IF(OR(B656="",F656=""),0,IF(H656="HOME",COUNTIFS('Istoric_Nativ'!$B$6:$B$405,E656,'Istoric_Nativ'!$C$6:$C$405,F656,'Istoric_Nativ'!$E$6:$E$405,G656,'Istoric_Nativ'!$D$6:$D$405,"&lt;"&amp;J656,'Istoric_Nativ'!$P$6:$P$405,1,'Istoric_Nativ'!$D$6:$D$405,"&gt;="&amp;L656),IF(H656="AWAY",COUNTIFS('Istoric_Nativ'!$B$6:$B$405,E656,'Istoric_Nativ'!$C$6:$C$405,F656,'Istoric_Nativ'!$F$6:$F$405,G656,'Istoric_Nativ'!$D$6:$D$405,"&lt;"&amp;J656,'Istoric_Nativ'!$P$6:$P$405,1,'Istoric_Nativ'!$D$6:$D$405,"&gt;="&amp;L656),COUNTIFS('Istoric_Nativ'!$B$6:$B$405,E656,'Istoric_Nativ'!$C$6:$C$405,F656,'Istoric_Nativ'!$E$6:$E$405,G656,'Istoric_Nativ'!$D$6:$D$405,"&lt;"&amp;J656,'Istoric_Nativ'!$P$6:$P$405,1,'Istoric_Nativ'!$D$6:$D$405,"&gt;="&amp;L656)+COUNTIFS('Istoric_Nativ'!$B$6:$B$405,E656,'Istoric_Nativ'!$C$6:$C$405,F656,'Istoric_Nativ'!$F$6:$F$405,G656,'Istoric_Nativ'!$D$6:$D$405,"&lt;"&amp;J656,'Istoric_Nativ'!$P$6:$P$405,1,'Istoric_Nativ'!$D$6:$D$405,"&gt;="&amp;L656))))</x:f>
        <x:v>0</x:v>
      </x:c>
      <x:c r="N656" s="11" t="str">
        <x:f>IF(M656=0,"",IF(H656="HOME",SUMIFS('Istoric_Nativ'!$G$6:$G$405,'Istoric_Nativ'!$B$6:$B$405,E656,'Istoric_Nativ'!$C$6:$C$405,F656,'Istoric_Nativ'!$E$6:$E$405,G656,'Istoric_Nativ'!$D$6:$D$405,"&lt;"&amp;J656,'Istoric_Nativ'!$P$6:$P$405,1,'Istoric_Nativ'!$D$6:$D$405,"&gt;="&amp;L656),IF(H656="AWAY",SUMIFS('Istoric_Nativ'!$H$6:$H$405,'Istoric_Nativ'!$B$6:$B$405,E656,'Istoric_Nativ'!$C$6:$C$405,F656,'Istoric_Nativ'!$F$6:$F$405,G656,'Istoric_Nativ'!$D$6:$D$405,"&lt;"&amp;J656,'Istoric_Nativ'!$P$6:$P$405,1,'Istoric_Nativ'!$D$6:$D$405,"&gt;="&amp;L656),SUMIFS('Istoric_Nativ'!$G$6:$G$405,'Istoric_Nativ'!$B$6:$B$405,E656,'Istoric_Nativ'!$C$6:$C$405,F656,'Istoric_Nativ'!$E$6:$E$405,G656,'Istoric_Nativ'!$D$6:$D$405,"&lt;"&amp;J656,'Istoric_Nativ'!$P$6:$P$405,1,'Istoric_Nativ'!$D$6:$D$405,"&gt;="&amp;L656)+SUMIFS('Istoric_Nativ'!$H$6:$H$405,'Istoric_Nativ'!$B$6:$B$405,E656,'Istoric_Nativ'!$C$6:$C$405,F656,'Istoric_Nativ'!$F$6:$F$405,G656,'Istoric_Nativ'!$D$6:$D$405,"&lt;"&amp;J656,'Istoric_Nativ'!$P$6:$P$405,1,'Istoric_Nativ'!$D$6:$D$405,"&gt;="&amp;L656)))/M656)</x:f>
      </x:c>
      <x:c r="O656" s="11" t="str">
        <x:f>IF(M656=0,"",IF(H656="HOME",SUMIFS('Istoric_Nativ'!$H$6:$H$405,'Istoric_Nativ'!$B$6:$B$405,E656,'Istoric_Nativ'!$C$6:$C$405,F656,'Istoric_Nativ'!$E$6:$E$405,G656,'Istoric_Nativ'!$D$6:$D$405,"&lt;"&amp;J656,'Istoric_Nativ'!$P$6:$P$405,1,'Istoric_Nativ'!$D$6:$D$405,"&gt;="&amp;L656),IF(H656="AWAY",SUMIFS('Istoric_Nativ'!$G$6:$G$405,'Istoric_Nativ'!$B$6:$B$405,E656,'Istoric_Nativ'!$C$6:$C$405,F656,'Istoric_Nativ'!$F$6:$F$405,G656,'Istoric_Nativ'!$D$6:$D$405,"&lt;"&amp;J656,'Istoric_Nativ'!$P$6:$P$405,1,'Istoric_Nativ'!$D$6:$D$405,"&gt;="&amp;L656),SUMIFS('Istoric_Nativ'!$H$6:$H$405,'Istoric_Nativ'!$B$6:$B$405,E656,'Istoric_Nativ'!$C$6:$C$405,F656,'Istoric_Nativ'!$E$6:$E$405,G656,'Istoric_Nativ'!$D$6:$D$405,"&lt;"&amp;J656,'Istoric_Nativ'!$P$6:$P$405,1,'Istoric_Nativ'!$D$6:$D$405,"&gt;="&amp;L656)+SUMIFS('Istoric_Nativ'!$G$6:$G$405,'Istoric_Nativ'!$B$6:$B$405,E656,'Istoric_Nativ'!$C$6:$C$405,F656,'Istoric_Nativ'!$F$6:$F$405,G656,'Istoric_Nativ'!$D$6:$D$405,"&lt;"&amp;J656,'Istoric_Nativ'!$P$6:$P$405,1,'Istoric_Nativ'!$D$6:$D$405,"&gt;="&amp;L656)))/M656)</x:f>
      </x:c>
      <x:c r="P656" s="2" t="n">
        <x:f>'Config_v6'!$B$9</x:f>
        <x:v>3</x:v>
      </x:c>
      <x:c r="Q656" s="2" t="n">
        <x:f>IF(OR(B656="",F656=""),0,IFERROR(MATCH(E656&amp;"|"&amp;F656,SourceTable[Source_Key],0),0))</x:f>
        <x:v>0</x:v>
      </x:c>
      <x:c r="R656" s="2" t="str">
        <x:f>IF(B656="","",IF(F656="","UNUSED",IF(Q656=0,"NOT CHECKED",IF(COUNTIF(SourceTable[Source_Key],E656&amp;"|"&amp;F656)&lt;&gt;1,"SOURCE CONFLICT",IF(NOT(OR(INDEX(SourceTable[Status],MAX(1,Q656))="IMPORTED",INDEX(SourceTable[Status],MAX(1,Q656))="PARTIAL",INDEX(SourceTable[Status],MAX(1,Q656))="SOURCE CONFLICT")),"ACCESS BLOCKED",IF(OR(INDEX(SourceTable[Coverage],Q656)&lt;&gt;"FULL SEASON EXPORT",INDEX(SourceTable[URL],Q656)="",INDEX(SourceTable[SHA256],Q656)=""),"EVIDENCE INCOMPLETE",IF(AND('Input_Meci'!H60="LIVE",INDEX(SourceTable[Retrieved_UTC],Q656)&gt;'Input_Meci'!G60),"POST CUTOFF","CLOSED")))))))</x:f>
      </x:c>
      <x:c r="S656" s="2" t="n">
        <x:f>IF(OR(B656="",F656=""),0,COUNTIFS('Istoric_Nativ'!$B$6:$B$405,E656,'Istoric_Nativ'!$C$6:$C$405,F656,'Istoric_Nativ'!$E$6:$E$405,G656,'Istoric_Nativ'!$D$6:$D$405,"&lt;"&amp;J656,'Istoric_Nativ'!$O$6:$O$405,"INVALID")+COUNTIFS('Istoric_Nativ'!$B$6:$B$405,E656,'Istoric_Nativ'!$C$6:$C$405,F656,'Istoric_Nativ'!$E$6:$E$405,G656,'Istoric_Nativ'!$O$6:$O$405,"INVALID",'Istoric_Nativ'!$D$6:$D$405,"*")+COUNTIFS('Istoric_Nativ'!$B$6:$B$405,E656,'Istoric_Nativ'!$C$6:$C$405,F656,'Istoric_Nativ'!$E$6:$E$405,G656,'Istoric_Nativ'!$D$6:$D$405,"&lt;"&amp;J656,'Istoric_Nativ'!$O$6:$O$405,"SOURCE CONFLICT")+COUNTIFS('Istoric_Nativ'!$B$6:$B$405,E656,'Istoric_Nativ'!$C$6:$C$405,F656,'Istoric_Nativ'!$F$6:$F$405,G656,'Istoric_Nativ'!$D$6:$D$405,"&lt;"&amp;J656,'Istoric_Nativ'!$O$6:$O$405,"INVALID")+COUNTIFS('Istoric_Nativ'!$B$6:$B$405,E656,'Istoric_Nativ'!$C$6:$C$405,F656,'Istoric_Nativ'!$F$6:$F$405,G656,'Istoric_Nativ'!$O$6:$O$405,"INVALID",'Istoric_Nativ'!$D$6:$D$405,"*")+COUNTIFS('Istoric_Nativ'!$B$6:$B$405,E656,'Istoric_Nativ'!$C$6:$C$405,F656,'Istoric_Nativ'!$F$6:$F$405,G656,'Istoric_Nativ'!$D$6:$D$405,"&lt;"&amp;J656,'Istoric_Nativ'!$O$6:$O$405,"SOURCE CONFLICT"))</x:f>
        <x:v>0</x:v>
      </x:c>
      <x:c r="T656" s="2" t="str">
        <x:f>IF(B656="","",IF(R656&lt;&gt;"CLOSED",R656,IF(S656&gt;0,"NATIVE INPUT ISSUE",IF(M656=0,"NO HISTORY",IF(M656&lt;P656,"SMALL SAMPLE","DERIVED")))))</x:f>
      </x:c>
      <x:c r="U656" s="2" t="str">
        <x:f>IF(B656="","","NativeTable; "&amp;E656&amp;"; "&amp;F656&amp;"; "&amp;G656&amp;"; "&amp;H656&amp;"; before "&amp;TEXT(J656,"yyyy-mm-dd")&amp;IF(I656="RECENT","; from "&amp;TEXT(L656,"yyyy-mm-dd"),""))</x:f>
      </x:c>
    </x:row>
    <x:row r="657" ht="21" customHeight="1">
      <x:c r="A657" s="2" t="n">
        <x:v>55</x:v>
      </x:c>
      <x:c r="B657" s="2" t="str">
        <x:f>IF('Input_Meci'!A60="","",'Input_Meci'!A60)</x:f>
      </x:c>
      <x:c r="C657" s="2" t="str">
        <x:v>A</x:v>
      </x:c>
      <x:c r="D657" s="2" t="str">
        <x:v>CURRENT</x:v>
      </x:c>
      <x:c r="E657" s="2" t="str">
        <x:f>IF(B657="","",'Input_Meci'!B60)</x:f>
      </x:c>
      <x:c r="F657" s="2" t="str">
        <x:f>IF(B657="","",IF('Input_Meci'!C60="","",'Input_Meci'!C60))</x:f>
      </x:c>
      <x:c r="G657" s="2" t="str">
        <x:f>IF(B657="","",'Input_Meci'!E60)</x:f>
      </x:c>
      <x:c r="H657" s="2" t="str">
        <x:v>ANY</x:v>
      </x:c>
      <x:c r="I657" s="2" t="str">
        <x:v>SEASON</x:v>
      </x:c>
      <x:c r="J657" s="9" t="n">
        <x:f>IF(AND(B657&lt;&gt;"",ISNUMBER('Input_Meci'!G60)),INT('Input_Meci'!G60),0)</x:f>
        <x:v>0</x:v>
      </x:c>
      <x:c r="K657" s="2" t="n">
        <x:f>IF(OR(B657="",F657=""),0,IF(H657="HOME",COUNTIFS('Istoric_Nativ'!$B$6:$B$405,E657,'Istoric_Nativ'!$C$6:$C$405,F657,'Istoric_Nativ'!$E$6:$E$405,G657,'Istoric_Nativ'!$D$6:$D$405,"&lt;"&amp;J657,'Istoric_Nativ'!$P$6:$P$405,1),IF(H657="AWAY",COUNTIFS('Istoric_Nativ'!$B$6:$B$405,E657,'Istoric_Nativ'!$C$6:$C$405,F657,'Istoric_Nativ'!$F$6:$F$405,G657,'Istoric_Nativ'!$D$6:$D$405,"&lt;"&amp;J657,'Istoric_Nativ'!$P$6:$P$405,1),COUNTIFS('Istoric_Nativ'!$B$6:$B$405,E657,'Istoric_Nativ'!$C$6:$C$405,F657,'Istoric_Nativ'!$E$6:$E$405,G657,'Istoric_Nativ'!$D$6:$D$405,"&lt;"&amp;J657,'Istoric_Nativ'!$P$6:$P$405,1)+COUNTIFS('Istoric_Nativ'!$B$6:$B$405,E657,'Istoric_Nativ'!$C$6:$C$405,F657,'Istoric_Nativ'!$F$6:$F$405,G657,'Istoric_Nativ'!$D$6:$D$405,"&lt;"&amp;J657,'Istoric_Nativ'!$P$6:$P$405,1))))</x:f>
        <x:v>0</x:v>
      </x:c>
      <x:c r="L657" s="17" t="n">
        <x:f>IF(AND(B657&lt;&gt;"",I657="RECENT",K657&gt;0),LARGE(_xlfn._xlws.FILTER('Istoric_Nativ'!$D$6:$D$405,('Istoric_Nativ'!$B$6:$B$405=E657)*('Istoric_Nativ'!$C$6:$C$405=F657)*('Istoric_Nativ'!$P$6:$P$405=1)*('Istoric_Nativ'!$D$6:$D$405&lt;J657)*((('Istoric_Nativ'!$E$6:$E$405=G657)+('Istoric_Nativ'!$F$6:$F$405=G657))&gt;0)),MIN('Config_v6'!$B$54,K657)),0)</x:f>
        <x:v>0</x:v>
      </x:c>
      <x:c r="M657" s="2" t="n">
        <x:f>IF(OR(B657="",F657=""),0,IF(H657="HOME",COUNTIFS('Istoric_Nativ'!$B$6:$B$405,E657,'Istoric_Nativ'!$C$6:$C$405,F657,'Istoric_Nativ'!$E$6:$E$405,G657,'Istoric_Nativ'!$D$6:$D$405,"&lt;"&amp;J657,'Istoric_Nativ'!$P$6:$P$405,1,'Istoric_Nativ'!$D$6:$D$405,"&gt;="&amp;L657),IF(H657="AWAY",COUNTIFS('Istoric_Nativ'!$B$6:$B$405,E657,'Istoric_Nativ'!$C$6:$C$405,F657,'Istoric_Nativ'!$F$6:$F$405,G657,'Istoric_Nativ'!$D$6:$D$405,"&lt;"&amp;J657,'Istoric_Nativ'!$P$6:$P$405,1,'Istoric_Nativ'!$D$6:$D$405,"&gt;="&amp;L657),COUNTIFS('Istoric_Nativ'!$B$6:$B$405,E657,'Istoric_Nativ'!$C$6:$C$405,F657,'Istoric_Nativ'!$E$6:$E$405,G657,'Istoric_Nativ'!$D$6:$D$405,"&lt;"&amp;J657,'Istoric_Nativ'!$P$6:$P$405,1,'Istoric_Nativ'!$D$6:$D$405,"&gt;="&amp;L657)+COUNTIFS('Istoric_Nativ'!$B$6:$B$405,E657,'Istoric_Nativ'!$C$6:$C$405,F657,'Istoric_Nativ'!$F$6:$F$405,G657,'Istoric_Nativ'!$D$6:$D$405,"&lt;"&amp;J657,'Istoric_Nativ'!$P$6:$P$405,1,'Istoric_Nativ'!$D$6:$D$405,"&gt;="&amp;L657))))</x:f>
        <x:v>0</x:v>
      </x:c>
      <x:c r="N657" s="11" t="str">
        <x:f>IF(M657=0,"",IF(H657="HOME",SUMIFS('Istoric_Nativ'!$G$6:$G$405,'Istoric_Nativ'!$B$6:$B$405,E657,'Istoric_Nativ'!$C$6:$C$405,F657,'Istoric_Nativ'!$E$6:$E$405,G657,'Istoric_Nativ'!$D$6:$D$405,"&lt;"&amp;J657,'Istoric_Nativ'!$P$6:$P$405,1,'Istoric_Nativ'!$D$6:$D$405,"&gt;="&amp;L657),IF(H657="AWAY",SUMIFS('Istoric_Nativ'!$H$6:$H$405,'Istoric_Nativ'!$B$6:$B$405,E657,'Istoric_Nativ'!$C$6:$C$405,F657,'Istoric_Nativ'!$F$6:$F$405,G657,'Istoric_Nativ'!$D$6:$D$405,"&lt;"&amp;J657,'Istoric_Nativ'!$P$6:$P$405,1,'Istoric_Nativ'!$D$6:$D$405,"&gt;="&amp;L657),SUMIFS('Istoric_Nativ'!$G$6:$G$405,'Istoric_Nativ'!$B$6:$B$405,E657,'Istoric_Nativ'!$C$6:$C$405,F657,'Istoric_Nativ'!$E$6:$E$405,G657,'Istoric_Nativ'!$D$6:$D$405,"&lt;"&amp;J657,'Istoric_Nativ'!$P$6:$P$405,1,'Istoric_Nativ'!$D$6:$D$405,"&gt;="&amp;L657)+SUMIFS('Istoric_Nativ'!$H$6:$H$405,'Istoric_Nativ'!$B$6:$B$405,E657,'Istoric_Nativ'!$C$6:$C$405,F657,'Istoric_Nativ'!$F$6:$F$405,G657,'Istoric_Nativ'!$D$6:$D$405,"&lt;"&amp;J657,'Istoric_Nativ'!$P$6:$P$405,1,'Istoric_Nativ'!$D$6:$D$405,"&gt;="&amp;L657)))/M657)</x:f>
      </x:c>
      <x:c r="O657" s="11" t="str">
        <x:f>IF(M657=0,"",IF(H657="HOME",SUMIFS('Istoric_Nativ'!$H$6:$H$405,'Istoric_Nativ'!$B$6:$B$405,E657,'Istoric_Nativ'!$C$6:$C$405,F657,'Istoric_Nativ'!$E$6:$E$405,G657,'Istoric_Nativ'!$D$6:$D$405,"&lt;"&amp;J657,'Istoric_Nativ'!$P$6:$P$405,1,'Istoric_Nativ'!$D$6:$D$405,"&gt;="&amp;L657),IF(H657="AWAY",SUMIFS('Istoric_Nativ'!$G$6:$G$405,'Istoric_Nativ'!$B$6:$B$405,E657,'Istoric_Nativ'!$C$6:$C$405,F657,'Istoric_Nativ'!$F$6:$F$405,G657,'Istoric_Nativ'!$D$6:$D$405,"&lt;"&amp;J657,'Istoric_Nativ'!$P$6:$P$405,1,'Istoric_Nativ'!$D$6:$D$405,"&gt;="&amp;L657),SUMIFS('Istoric_Nativ'!$H$6:$H$405,'Istoric_Nativ'!$B$6:$B$405,E657,'Istoric_Nativ'!$C$6:$C$405,F657,'Istoric_Nativ'!$E$6:$E$405,G657,'Istoric_Nativ'!$D$6:$D$405,"&lt;"&amp;J657,'Istoric_Nativ'!$P$6:$P$405,1,'Istoric_Nativ'!$D$6:$D$405,"&gt;="&amp;L657)+SUMIFS('Istoric_Nativ'!$G$6:$G$405,'Istoric_Nativ'!$B$6:$B$405,E657,'Istoric_Nativ'!$C$6:$C$405,F657,'Istoric_Nativ'!$F$6:$F$405,G657,'Istoric_Nativ'!$D$6:$D$405,"&lt;"&amp;J657,'Istoric_Nativ'!$P$6:$P$405,1,'Istoric_Nativ'!$D$6:$D$405,"&gt;="&amp;L657)))/M657)</x:f>
      </x:c>
      <x:c r="P657" s="2" t="n">
        <x:f>'Config_v6'!$B$7</x:f>
        <x:v>10</x:v>
      </x:c>
      <x:c r="Q657" s="2" t="n">
        <x:f>IF(OR(B657="",F657=""),0,IFERROR(MATCH(E657&amp;"|"&amp;F657,SourceTable[Source_Key],0),0))</x:f>
        <x:v>0</x:v>
      </x:c>
      <x:c r="R657" s="2" t="str">
        <x:f>IF(B657="","",IF(F657="","UNUSED",IF(Q657=0,"NOT CHECKED",IF(COUNTIF(SourceTable[Source_Key],E657&amp;"|"&amp;F657)&lt;&gt;1,"SOURCE CONFLICT",IF(NOT(OR(INDEX(SourceTable[Status],MAX(1,Q657))="IMPORTED",INDEX(SourceTable[Status],MAX(1,Q657))="PARTIAL",INDEX(SourceTable[Status],MAX(1,Q657))="SOURCE CONFLICT")),"ACCESS BLOCKED",IF(OR(INDEX(SourceTable[Coverage],Q657)&lt;&gt;"FULL SEASON EXPORT",INDEX(SourceTable[URL],Q657)="",INDEX(SourceTable[SHA256],Q657)=""),"EVIDENCE INCOMPLETE",IF(AND('Input_Meci'!H60="LIVE",INDEX(SourceTable[Retrieved_UTC],Q657)&gt;'Input_Meci'!G60),"POST CUTOFF","CLOSED")))))))</x:f>
      </x:c>
      <x:c r="S657" s="2" t="n">
        <x:f>IF(OR(B657="",F657=""),0,COUNTIFS('Istoric_Nativ'!$B$6:$B$405,E657,'Istoric_Nativ'!$C$6:$C$405,F657,'Istoric_Nativ'!$E$6:$E$405,G657,'Istoric_Nativ'!$D$6:$D$405,"&lt;"&amp;J657,'Istoric_Nativ'!$O$6:$O$405,"INVALID")+COUNTIFS('Istoric_Nativ'!$B$6:$B$405,E657,'Istoric_Nativ'!$C$6:$C$405,F657,'Istoric_Nativ'!$E$6:$E$405,G657,'Istoric_Nativ'!$O$6:$O$405,"INVALID",'Istoric_Nativ'!$D$6:$D$405,"*")+COUNTIFS('Istoric_Nativ'!$B$6:$B$405,E657,'Istoric_Nativ'!$C$6:$C$405,F657,'Istoric_Nativ'!$E$6:$E$405,G657,'Istoric_Nativ'!$D$6:$D$405,"&lt;"&amp;J657,'Istoric_Nativ'!$O$6:$O$405,"SOURCE CONFLICT")+COUNTIFS('Istoric_Nativ'!$B$6:$B$405,E657,'Istoric_Nativ'!$C$6:$C$405,F657,'Istoric_Nativ'!$F$6:$F$405,G657,'Istoric_Nativ'!$D$6:$D$405,"&lt;"&amp;J657,'Istoric_Nativ'!$O$6:$O$405,"INVALID")+COUNTIFS('Istoric_Nativ'!$B$6:$B$405,E657,'Istoric_Nativ'!$C$6:$C$405,F657,'Istoric_Nativ'!$F$6:$F$405,G657,'Istoric_Nativ'!$O$6:$O$405,"INVALID",'Istoric_Nativ'!$D$6:$D$405,"*")+COUNTIFS('Istoric_Nativ'!$B$6:$B$405,E657,'Istoric_Nativ'!$C$6:$C$405,F657,'Istoric_Nativ'!$F$6:$F$405,G657,'Istoric_Nativ'!$D$6:$D$405,"&lt;"&amp;J657,'Istoric_Nativ'!$O$6:$O$405,"SOURCE CONFLICT"))</x:f>
        <x:v>0</x:v>
      </x:c>
      <x:c r="T657" s="2" t="str">
        <x:f>IF(B657="","",IF(R657&lt;&gt;"CLOSED",R657,IF(S657&gt;0,"NATIVE INPUT ISSUE",IF(M657=0,"NO HISTORY",IF(M657&lt;P657,"SMALL SAMPLE","DERIVED")))))</x:f>
      </x:c>
      <x:c r="U657" s="2" t="str">
        <x:f>IF(B657="","","NativeTable; "&amp;E657&amp;"; "&amp;F657&amp;"; "&amp;G657&amp;"; "&amp;H657&amp;"; before "&amp;TEXT(J657,"yyyy-mm-dd")&amp;IF(I657="RECENT","; from "&amp;TEXT(L657,"yyyy-mm-dd"),""))</x:f>
      </x:c>
    </x:row>
    <x:row r="658" ht="21" customHeight="1">
      <x:c r="A658" s="2" t="n">
        <x:v>55</x:v>
      </x:c>
      <x:c r="B658" s="2" t="str">
        <x:f>IF('Input_Meci'!A60="","",'Input_Meci'!A60)</x:f>
      </x:c>
      <x:c r="C658" s="2" t="str">
        <x:v>A</x:v>
      </x:c>
      <x:c r="D658" s="2" t="str">
        <x:v>CURRENT</x:v>
      </x:c>
      <x:c r="E658" s="2" t="str">
        <x:f>IF(B658="","",'Input_Meci'!B60)</x:f>
      </x:c>
      <x:c r="F658" s="2" t="str">
        <x:f>IF(B658="","",IF('Input_Meci'!C60="","",'Input_Meci'!C60))</x:f>
      </x:c>
      <x:c r="G658" s="2" t="str">
        <x:f>IF(B658="","",'Input_Meci'!E60)</x:f>
      </x:c>
      <x:c r="H658" s="2" t="str">
        <x:v>AWAY</x:v>
      </x:c>
      <x:c r="I658" s="2" t="str">
        <x:v>HA</x:v>
      </x:c>
      <x:c r="J658" s="9" t="n">
        <x:f>IF(AND(B658&lt;&gt;"",ISNUMBER('Input_Meci'!G60)),INT('Input_Meci'!G60),0)</x:f>
        <x:v>0</x:v>
      </x:c>
      <x:c r="K658" s="2" t="n">
        <x:f>IF(OR(B658="",F658=""),0,IF(H658="HOME",COUNTIFS('Istoric_Nativ'!$B$6:$B$405,E658,'Istoric_Nativ'!$C$6:$C$405,F658,'Istoric_Nativ'!$E$6:$E$405,G658,'Istoric_Nativ'!$D$6:$D$405,"&lt;"&amp;J658,'Istoric_Nativ'!$P$6:$P$405,1),IF(H658="AWAY",COUNTIFS('Istoric_Nativ'!$B$6:$B$405,E658,'Istoric_Nativ'!$C$6:$C$405,F658,'Istoric_Nativ'!$F$6:$F$405,G658,'Istoric_Nativ'!$D$6:$D$405,"&lt;"&amp;J658,'Istoric_Nativ'!$P$6:$P$405,1),COUNTIFS('Istoric_Nativ'!$B$6:$B$405,E658,'Istoric_Nativ'!$C$6:$C$405,F658,'Istoric_Nativ'!$E$6:$E$405,G658,'Istoric_Nativ'!$D$6:$D$405,"&lt;"&amp;J658,'Istoric_Nativ'!$P$6:$P$405,1)+COUNTIFS('Istoric_Nativ'!$B$6:$B$405,E658,'Istoric_Nativ'!$C$6:$C$405,F658,'Istoric_Nativ'!$F$6:$F$405,G658,'Istoric_Nativ'!$D$6:$D$405,"&lt;"&amp;J658,'Istoric_Nativ'!$P$6:$P$405,1))))</x:f>
        <x:v>0</x:v>
      </x:c>
      <x:c r="L658" s="17" t="n">
        <x:f>IF(AND(B658&lt;&gt;"",I658="RECENT",K658&gt;0),LARGE(_xlfn._xlws.FILTER('Istoric_Nativ'!$D$6:$D$405,('Istoric_Nativ'!$B$6:$B$405=E658)*('Istoric_Nativ'!$C$6:$C$405=F658)*('Istoric_Nativ'!$P$6:$P$405=1)*('Istoric_Nativ'!$D$6:$D$405&lt;J658)*((('Istoric_Nativ'!$E$6:$E$405=G658)+('Istoric_Nativ'!$F$6:$F$405=G658))&gt;0)),MIN('Config_v6'!$B$54,K658)),0)</x:f>
        <x:v>0</x:v>
      </x:c>
      <x:c r="M658" s="2" t="n">
        <x:f>IF(OR(B658="",F658=""),0,IF(H658="HOME",COUNTIFS('Istoric_Nativ'!$B$6:$B$405,E658,'Istoric_Nativ'!$C$6:$C$405,F658,'Istoric_Nativ'!$E$6:$E$405,G658,'Istoric_Nativ'!$D$6:$D$405,"&lt;"&amp;J658,'Istoric_Nativ'!$P$6:$P$405,1,'Istoric_Nativ'!$D$6:$D$405,"&gt;="&amp;L658),IF(H658="AWAY",COUNTIFS('Istoric_Nativ'!$B$6:$B$405,E658,'Istoric_Nativ'!$C$6:$C$405,F658,'Istoric_Nativ'!$F$6:$F$405,G658,'Istoric_Nativ'!$D$6:$D$405,"&lt;"&amp;J658,'Istoric_Nativ'!$P$6:$P$405,1,'Istoric_Nativ'!$D$6:$D$405,"&gt;="&amp;L658),COUNTIFS('Istoric_Nativ'!$B$6:$B$405,E658,'Istoric_Nativ'!$C$6:$C$405,F658,'Istoric_Nativ'!$E$6:$E$405,G658,'Istoric_Nativ'!$D$6:$D$405,"&lt;"&amp;J658,'Istoric_Nativ'!$P$6:$P$405,1,'Istoric_Nativ'!$D$6:$D$405,"&gt;="&amp;L658)+COUNTIFS('Istoric_Nativ'!$B$6:$B$405,E658,'Istoric_Nativ'!$C$6:$C$405,F658,'Istoric_Nativ'!$F$6:$F$405,G658,'Istoric_Nativ'!$D$6:$D$405,"&lt;"&amp;J658,'Istoric_Nativ'!$P$6:$P$405,1,'Istoric_Nativ'!$D$6:$D$405,"&gt;="&amp;L658))))</x:f>
        <x:v>0</x:v>
      </x:c>
      <x:c r="N658" s="11" t="str">
        <x:f>IF(M658=0,"",IF(H658="HOME",SUMIFS('Istoric_Nativ'!$G$6:$G$405,'Istoric_Nativ'!$B$6:$B$405,E658,'Istoric_Nativ'!$C$6:$C$405,F658,'Istoric_Nativ'!$E$6:$E$405,G658,'Istoric_Nativ'!$D$6:$D$405,"&lt;"&amp;J658,'Istoric_Nativ'!$P$6:$P$405,1,'Istoric_Nativ'!$D$6:$D$405,"&gt;="&amp;L658),IF(H658="AWAY",SUMIFS('Istoric_Nativ'!$H$6:$H$405,'Istoric_Nativ'!$B$6:$B$405,E658,'Istoric_Nativ'!$C$6:$C$405,F658,'Istoric_Nativ'!$F$6:$F$405,G658,'Istoric_Nativ'!$D$6:$D$405,"&lt;"&amp;J658,'Istoric_Nativ'!$P$6:$P$405,1,'Istoric_Nativ'!$D$6:$D$405,"&gt;="&amp;L658),SUMIFS('Istoric_Nativ'!$G$6:$G$405,'Istoric_Nativ'!$B$6:$B$405,E658,'Istoric_Nativ'!$C$6:$C$405,F658,'Istoric_Nativ'!$E$6:$E$405,G658,'Istoric_Nativ'!$D$6:$D$405,"&lt;"&amp;J658,'Istoric_Nativ'!$P$6:$P$405,1,'Istoric_Nativ'!$D$6:$D$405,"&gt;="&amp;L658)+SUMIFS('Istoric_Nativ'!$H$6:$H$405,'Istoric_Nativ'!$B$6:$B$405,E658,'Istoric_Nativ'!$C$6:$C$405,F658,'Istoric_Nativ'!$F$6:$F$405,G658,'Istoric_Nativ'!$D$6:$D$405,"&lt;"&amp;J658,'Istoric_Nativ'!$P$6:$P$405,1,'Istoric_Nativ'!$D$6:$D$405,"&gt;="&amp;L658)))/M658)</x:f>
      </x:c>
      <x:c r="O658" s="11" t="str">
        <x:f>IF(M658=0,"",IF(H658="HOME",SUMIFS('Istoric_Nativ'!$H$6:$H$405,'Istoric_Nativ'!$B$6:$B$405,E658,'Istoric_Nativ'!$C$6:$C$405,F658,'Istoric_Nativ'!$E$6:$E$405,G658,'Istoric_Nativ'!$D$6:$D$405,"&lt;"&amp;J658,'Istoric_Nativ'!$P$6:$P$405,1,'Istoric_Nativ'!$D$6:$D$405,"&gt;="&amp;L658),IF(H658="AWAY",SUMIFS('Istoric_Nativ'!$G$6:$G$405,'Istoric_Nativ'!$B$6:$B$405,E658,'Istoric_Nativ'!$C$6:$C$405,F658,'Istoric_Nativ'!$F$6:$F$405,G658,'Istoric_Nativ'!$D$6:$D$405,"&lt;"&amp;J658,'Istoric_Nativ'!$P$6:$P$405,1,'Istoric_Nativ'!$D$6:$D$405,"&gt;="&amp;L658),SUMIFS('Istoric_Nativ'!$H$6:$H$405,'Istoric_Nativ'!$B$6:$B$405,E658,'Istoric_Nativ'!$C$6:$C$405,F658,'Istoric_Nativ'!$E$6:$E$405,G658,'Istoric_Nativ'!$D$6:$D$405,"&lt;"&amp;J658,'Istoric_Nativ'!$P$6:$P$405,1,'Istoric_Nativ'!$D$6:$D$405,"&gt;="&amp;L658)+SUMIFS('Istoric_Nativ'!$G$6:$G$405,'Istoric_Nativ'!$B$6:$B$405,E658,'Istoric_Nativ'!$C$6:$C$405,F658,'Istoric_Nativ'!$F$6:$F$405,G658,'Istoric_Nativ'!$D$6:$D$405,"&lt;"&amp;J658,'Istoric_Nativ'!$P$6:$P$405,1,'Istoric_Nativ'!$D$6:$D$405,"&gt;="&amp;L658)))/M658)</x:f>
      </x:c>
      <x:c r="P658" s="2" t="n">
        <x:f>'Config_v6'!$B$8</x:f>
        <x:v>5</x:v>
      </x:c>
      <x:c r="Q658" s="2" t="n">
        <x:f>IF(OR(B658="",F658=""),0,IFERROR(MATCH(E658&amp;"|"&amp;F658,SourceTable[Source_Key],0),0))</x:f>
        <x:v>0</x:v>
      </x:c>
      <x:c r="R658" s="2" t="str">
        <x:f>IF(B658="","",IF(F658="","UNUSED",IF(Q658=0,"NOT CHECKED",IF(COUNTIF(SourceTable[Source_Key],E658&amp;"|"&amp;F658)&lt;&gt;1,"SOURCE CONFLICT",IF(NOT(OR(INDEX(SourceTable[Status],MAX(1,Q658))="IMPORTED",INDEX(SourceTable[Status],MAX(1,Q658))="PARTIAL",INDEX(SourceTable[Status],MAX(1,Q658))="SOURCE CONFLICT")),"ACCESS BLOCKED",IF(OR(INDEX(SourceTable[Coverage],Q658)&lt;&gt;"FULL SEASON EXPORT",INDEX(SourceTable[URL],Q658)="",INDEX(SourceTable[SHA256],Q658)=""),"EVIDENCE INCOMPLETE",IF(AND('Input_Meci'!H60="LIVE",INDEX(SourceTable[Retrieved_UTC],Q658)&gt;'Input_Meci'!G60),"POST CUTOFF","CLOSED")))))))</x:f>
      </x:c>
      <x:c r="S658" s="2" t="n">
        <x:f>IF(OR(B658="",F658=""),0,COUNTIFS('Istoric_Nativ'!$B$6:$B$405,E658,'Istoric_Nativ'!$C$6:$C$405,F658,'Istoric_Nativ'!$E$6:$E$405,G658,'Istoric_Nativ'!$D$6:$D$405,"&lt;"&amp;J658,'Istoric_Nativ'!$O$6:$O$405,"INVALID")+COUNTIFS('Istoric_Nativ'!$B$6:$B$405,E658,'Istoric_Nativ'!$C$6:$C$405,F658,'Istoric_Nativ'!$E$6:$E$405,G658,'Istoric_Nativ'!$O$6:$O$405,"INVALID",'Istoric_Nativ'!$D$6:$D$405,"*")+COUNTIFS('Istoric_Nativ'!$B$6:$B$405,E658,'Istoric_Nativ'!$C$6:$C$405,F658,'Istoric_Nativ'!$E$6:$E$405,G658,'Istoric_Nativ'!$D$6:$D$405,"&lt;"&amp;J658,'Istoric_Nativ'!$O$6:$O$405,"SOURCE CONFLICT")+COUNTIFS('Istoric_Nativ'!$B$6:$B$405,E658,'Istoric_Nativ'!$C$6:$C$405,F658,'Istoric_Nativ'!$F$6:$F$405,G658,'Istoric_Nativ'!$D$6:$D$405,"&lt;"&amp;J658,'Istoric_Nativ'!$O$6:$O$405,"INVALID")+COUNTIFS('Istoric_Nativ'!$B$6:$B$405,E658,'Istoric_Nativ'!$C$6:$C$405,F658,'Istoric_Nativ'!$F$6:$F$405,G658,'Istoric_Nativ'!$O$6:$O$405,"INVALID",'Istoric_Nativ'!$D$6:$D$405,"*")+COUNTIFS('Istoric_Nativ'!$B$6:$B$405,E658,'Istoric_Nativ'!$C$6:$C$405,F658,'Istoric_Nativ'!$F$6:$F$405,G658,'Istoric_Nativ'!$D$6:$D$405,"&lt;"&amp;J658,'Istoric_Nativ'!$O$6:$O$405,"SOURCE CONFLICT"))</x:f>
        <x:v>0</x:v>
      </x:c>
      <x:c r="T658" s="2" t="str">
        <x:f>IF(B658="","",IF(R658&lt;&gt;"CLOSED",R658,IF(S658&gt;0,"NATIVE INPUT ISSUE",IF(M658=0,"NO HISTORY",IF(M658&lt;P658,"SMALL SAMPLE","DERIVED")))))</x:f>
      </x:c>
      <x:c r="U658" s="2" t="str">
        <x:f>IF(B658="","","NativeTable; "&amp;E658&amp;"; "&amp;F658&amp;"; "&amp;G658&amp;"; "&amp;H658&amp;"; before "&amp;TEXT(J658,"yyyy-mm-dd")&amp;IF(I658="RECENT","; from "&amp;TEXT(L658,"yyyy-mm-dd"),""))</x:f>
      </x:c>
    </x:row>
    <x:row r="659" ht="21" customHeight="1">
      <x:c r="A659" s="2" t="n">
        <x:v>55</x:v>
      </x:c>
      <x:c r="B659" s="2" t="str">
        <x:f>IF('Input_Meci'!A60="","",'Input_Meci'!A60)</x:f>
      </x:c>
      <x:c r="C659" s="2" t="str">
        <x:v>A</x:v>
      </x:c>
      <x:c r="D659" s="2" t="str">
        <x:v>CURRENT</x:v>
      </x:c>
      <x:c r="E659" s="2" t="str">
        <x:f>IF(B659="","",'Input_Meci'!B60)</x:f>
      </x:c>
      <x:c r="F659" s="2" t="str">
        <x:f>IF(B659="","",IF('Input_Meci'!C60="","",'Input_Meci'!C60))</x:f>
      </x:c>
      <x:c r="G659" s="2" t="str">
        <x:f>IF(B659="","",'Input_Meci'!E60)</x:f>
      </x:c>
      <x:c r="H659" s="2" t="str">
        <x:v>ANY</x:v>
      </x:c>
      <x:c r="I659" s="2" t="str">
        <x:v>RECENT</x:v>
      </x:c>
      <x:c r="J659" s="9" t="n">
        <x:f>IF(AND(B659&lt;&gt;"",ISNUMBER('Input_Meci'!G60)),INT('Input_Meci'!G60),0)</x:f>
        <x:v>0</x:v>
      </x:c>
      <x:c r="K659" s="2" t="n">
        <x:f>IF(OR(B659="",F659=""),0,IF(H659="HOME",COUNTIFS('Istoric_Nativ'!$B$6:$B$405,E659,'Istoric_Nativ'!$C$6:$C$405,F659,'Istoric_Nativ'!$E$6:$E$405,G659,'Istoric_Nativ'!$D$6:$D$405,"&lt;"&amp;J659,'Istoric_Nativ'!$P$6:$P$405,1),IF(H659="AWAY",COUNTIFS('Istoric_Nativ'!$B$6:$B$405,E659,'Istoric_Nativ'!$C$6:$C$405,F659,'Istoric_Nativ'!$F$6:$F$405,G659,'Istoric_Nativ'!$D$6:$D$405,"&lt;"&amp;J659,'Istoric_Nativ'!$P$6:$P$405,1),COUNTIFS('Istoric_Nativ'!$B$6:$B$405,E659,'Istoric_Nativ'!$C$6:$C$405,F659,'Istoric_Nativ'!$E$6:$E$405,G659,'Istoric_Nativ'!$D$6:$D$405,"&lt;"&amp;J659,'Istoric_Nativ'!$P$6:$P$405,1)+COUNTIFS('Istoric_Nativ'!$B$6:$B$405,E659,'Istoric_Nativ'!$C$6:$C$405,F659,'Istoric_Nativ'!$F$6:$F$405,G659,'Istoric_Nativ'!$D$6:$D$405,"&lt;"&amp;J659,'Istoric_Nativ'!$P$6:$P$405,1))))</x:f>
        <x:v>0</x:v>
      </x:c>
      <x:c r="L659" s="17" t="n">
        <x:f>IF(AND(B659&lt;&gt;"",I659="RECENT",K659&gt;0),LARGE(_xlfn._xlws.FILTER('Istoric_Nativ'!$D$6:$D$405,('Istoric_Nativ'!$B$6:$B$405=E659)*('Istoric_Nativ'!$C$6:$C$405=F659)*('Istoric_Nativ'!$P$6:$P$405=1)*('Istoric_Nativ'!$D$6:$D$405&lt;J659)*((('Istoric_Nativ'!$E$6:$E$405=G659)+('Istoric_Nativ'!$F$6:$F$405=G659))&gt;0)),MIN('Config_v6'!$B$54,K659)),0)</x:f>
        <x:v>0</x:v>
      </x:c>
      <x:c r="M659" s="2" t="n">
        <x:f>IF(OR(B659="",F659=""),0,IF(H659="HOME",COUNTIFS('Istoric_Nativ'!$B$6:$B$405,E659,'Istoric_Nativ'!$C$6:$C$405,F659,'Istoric_Nativ'!$E$6:$E$405,G659,'Istoric_Nativ'!$D$6:$D$405,"&lt;"&amp;J659,'Istoric_Nativ'!$P$6:$P$405,1,'Istoric_Nativ'!$D$6:$D$405,"&gt;="&amp;L659),IF(H659="AWAY",COUNTIFS('Istoric_Nativ'!$B$6:$B$405,E659,'Istoric_Nativ'!$C$6:$C$405,F659,'Istoric_Nativ'!$F$6:$F$405,G659,'Istoric_Nativ'!$D$6:$D$405,"&lt;"&amp;J659,'Istoric_Nativ'!$P$6:$P$405,1,'Istoric_Nativ'!$D$6:$D$405,"&gt;="&amp;L659),COUNTIFS('Istoric_Nativ'!$B$6:$B$405,E659,'Istoric_Nativ'!$C$6:$C$405,F659,'Istoric_Nativ'!$E$6:$E$405,G659,'Istoric_Nativ'!$D$6:$D$405,"&lt;"&amp;J659,'Istoric_Nativ'!$P$6:$P$405,1,'Istoric_Nativ'!$D$6:$D$405,"&gt;="&amp;L659)+COUNTIFS('Istoric_Nativ'!$B$6:$B$405,E659,'Istoric_Nativ'!$C$6:$C$405,F659,'Istoric_Nativ'!$F$6:$F$405,G659,'Istoric_Nativ'!$D$6:$D$405,"&lt;"&amp;J659,'Istoric_Nativ'!$P$6:$P$405,1,'Istoric_Nativ'!$D$6:$D$405,"&gt;="&amp;L659))))</x:f>
        <x:v>0</x:v>
      </x:c>
      <x:c r="N659" s="11" t="str">
        <x:f>IF(M659=0,"",IF(H659="HOME",SUMIFS('Istoric_Nativ'!$G$6:$G$405,'Istoric_Nativ'!$B$6:$B$405,E659,'Istoric_Nativ'!$C$6:$C$405,F659,'Istoric_Nativ'!$E$6:$E$405,G659,'Istoric_Nativ'!$D$6:$D$405,"&lt;"&amp;J659,'Istoric_Nativ'!$P$6:$P$405,1,'Istoric_Nativ'!$D$6:$D$405,"&gt;="&amp;L659),IF(H659="AWAY",SUMIFS('Istoric_Nativ'!$H$6:$H$405,'Istoric_Nativ'!$B$6:$B$405,E659,'Istoric_Nativ'!$C$6:$C$405,F659,'Istoric_Nativ'!$F$6:$F$405,G659,'Istoric_Nativ'!$D$6:$D$405,"&lt;"&amp;J659,'Istoric_Nativ'!$P$6:$P$405,1,'Istoric_Nativ'!$D$6:$D$405,"&gt;="&amp;L659),SUMIFS('Istoric_Nativ'!$G$6:$G$405,'Istoric_Nativ'!$B$6:$B$405,E659,'Istoric_Nativ'!$C$6:$C$405,F659,'Istoric_Nativ'!$E$6:$E$405,G659,'Istoric_Nativ'!$D$6:$D$405,"&lt;"&amp;J659,'Istoric_Nativ'!$P$6:$P$405,1,'Istoric_Nativ'!$D$6:$D$405,"&gt;="&amp;L659)+SUMIFS('Istoric_Nativ'!$H$6:$H$405,'Istoric_Nativ'!$B$6:$B$405,E659,'Istoric_Nativ'!$C$6:$C$405,F659,'Istoric_Nativ'!$F$6:$F$405,G659,'Istoric_Nativ'!$D$6:$D$405,"&lt;"&amp;J659,'Istoric_Nativ'!$P$6:$P$405,1,'Istoric_Nativ'!$D$6:$D$405,"&gt;="&amp;L659)))/M659)</x:f>
      </x:c>
      <x:c r="O659" s="11" t="str">
        <x:f>IF(M659=0,"",IF(H659="HOME",SUMIFS('Istoric_Nativ'!$H$6:$H$405,'Istoric_Nativ'!$B$6:$B$405,E659,'Istoric_Nativ'!$C$6:$C$405,F659,'Istoric_Nativ'!$E$6:$E$405,G659,'Istoric_Nativ'!$D$6:$D$405,"&lt;"&amp;J659,'Istoric_Nativ'!$P$6:$P$405,1,'Istoric_Nativ'!$D$6:$D$405,"&gt;="&amp;L659),IF(H659="AWAY",SUMIFS('Istoric_Nativ'!$G$6:$G$405,'Istoric_Nativ'!$B$6:$B$405,E659,'Istoric_Nativ'!$C$6:$C$405,F659,'Istoric_Nativ'!$F$6:$F$405,G659,'Istoric_Nativ'!$D$6:$D$405,"&lt;"&amp;J659,'Istoric_Nativ'!$P$6:$P$405,1,'Istoric_Nativ'!$D$6:$D$405,"&gt;="&amp;L659),SUMIFS('Istoric_Nativ'!$H$6:$H$405,'Istoric_Nativ'!$B$6:$B$405,E659,'Istoric_Nativ'!$C$6:$C$405,F659,'Istoric_Nativ'!$E$6:$E$405,G659,'Istoric_Nativ'!$D$6:$D$405,"&lt;"&amp;J659,'Istoric_Nativ'!$P$6:$P$405,1,'Istoric_Nativ'!$D$6:$D$405,"&gt;="&amp;L659)+SUMIFS('Istoric_Nativ'!$G$6:$G$405,'Istoric_Nativ'!$B$6:$B$405,E659,'Istoric_Nativ'!$C$6:$C$405,F659,'Istoric_Nativ'!$F$6:$F$405,G659,'Istoric_Nativ'!$D$6:$D$405,"&lt;"&amp;J659,'Istoric_Nativ'!$P$6:$P$405,1,'Istoric_Nativ'!$D$6:$D$405,"&gt;="&amp;L659)))/M659)</x:f>
      </x:c>
      <x:c r="P659" s="2" t="n">
        <x:f>'Config_v6'!$B$9</x:f>
        <x:v>3</x:v>
      </x:c>
      <x:c r="Q659" s="2" t="n">
        <x:f>IF(OR(B659="",F659=""),0,IFERROR(MATCH(E659&amp;"|"&amp;F659,SourceTable[Source_Key],0),0))</x:f>
        <x:v>0</x:v>
      </x:c>
      <x:c r="R659" s="2" t="str">
        <x:f>IF(B659="","",IF(F659="","UNUSED",IF(Q659=0,"NOT CHECKED",IF(COUNTIF(SourceTable[Source_Key],E659&amp;"|"&amp;F659)&lt;&gt;1,"SOURCE CONFLICT",IF(NOT(OR(INDEX(SourceTable[Status],MAX(1,Q659))="IMPORTED",INDEX(SourceTable[Status],MAX(1,Q659))="PARTIAL",INDEX(SourceTable[Status],MAX(1,Q659))="SOURCE CONFLICT")),"ACCESS BLOCKED",IF(OR(INDEX(SourceTable[Coverage],Q659)&lt;&gt;"FULL SEASON EXPORT",INDEX(SourceTable[URL],Q659)="",INDEX(SourceTable[SHA256],Q659)=""),"EVIDENCE INCOMPLETE",IF(AND('Input_Meci'!H60="LIVE",INDEX(SourceTable[Retrieved_UTC],Q659)&gt;'Input_Meci'!G60),"POST CUTOFF","CLOSED")))))))</x:f>
      </x:c>
      <x:c r="S659" s="2" t="n">
        <x:f>IF(OR(B659="",F659=""),0,COUNTIFS('Istoric_Nativ'!$B$6:$B$405,E659,'Istoric_Nativ'!$C$6:$C$405,F659,'Istoric_Nativ'!$E$6:$E$405,G659,'Istoric_Nativ'!$D$6:$D$405,"&lt;"&amp;J659,'Istoric_Nativ'!$O$6:$O$405,"INVALID")+COUNTIFS('Istoric_Nativ'!$B$6:$B$405,E659,'Istoric_Nativ'!$C$6:$C$405,F659,'Istoric_Nativ'!$E$6:$E$405,G659,'Istoric_Nativ'!$O$6:$O$405,"INVALID",'Istoric_Nativ'!$D$6:$D$405,"*")+COUNTIFS('Istoric_Nativ'!$B$6:$B$405,E659,'Istoric_Nativ'!$C$6:$C$405,F659,'Istoric_Nativ'!$E$6:$E$405,G659,'Istoric_Nativ'!$D$6:$D$405,"&lt;"&amp;J659,'Istoric_Nativ'!$O$6:$O$405,"SOURCE CONFLICT")+COUNTIFS('Istoric_Nativ'!$B$6:$B$405,E659,'Istoric_Nativ'!$C$6:$C$405,F659,'Istoric_Nativ'!$F$6:$F$405,G659,'Istoric_Nativ'!$D$6:$D$405,"&lt;"&amp;J659,'Istoric_Nativ'!$O$6:$O$405,"INVALID")+COUNTIFS('Istoric_Nativ'!$B$6:$B$405,E659,'Istoric_Nativ'!$C$6:$C$405,F659,'Istoric_Nativ'!$F$6:$F$405,G659,'Istoric_Nativ'!$O$6:$O$405,"INVALID",'Istoric_Nativ'!$D$6:$D$405,"*")+COUNTIFS('Istoric_Nativ'!$B$6:$B$405,E659,'Istoric_Nativ'!$C$6:$C$405,F659,'Istoric_Nativ'!$F$6:$F$405,G659,'Istoric_Nativ'!$D$6:$D$405,"&lt;"&amp;J659,'Istoric_Nativ'!$O$6:$O$405,"SOURCE CONFLICT"))</x:f>
        <x:v>0</x:v>
      </x:c>
      <x:c r="T659" s="2" t="str">
        <x:f>IF(B659="","",IF(R659&lt;&gt;"CLOSED",R659,IF(S659&gt;0,"NATIVE INPUT ISSUE",IF(M659=0,"NO HISTORY",IF(M659&lt;P659,"SMALL SAMPLE","DERIVED")))))</x:f>
      </x:c>
      <x:c r="U659" s="2" t="str">
        <x:f>IF(B659="","","NativeTable; "&amp;E659&amp;"; "&amp;F659&amp;"; "&amp;G659&amp;"; "&amp;H659&amp;"; before "&amp;TEXT(J659,"yyyy-mm-dd")&amp;IF(I659="RECENT","; from "&amp;TEXT(L659,"yyyy-mm-dd"),""))</x:f>
      </x:c>
    </x:row>
    <x:row r="660" ht="21" customHeight="1">
      <x:c r="A660" s="2" t="n">
        <x:v>55</x:v>
      </x:c>
      <x:c r="B660" s="2" t="str">
        <x:f>IF('Input_Meci'!A60="","",'Input_Meci'!A60)</x:f>
      </x:c>
      <x:c r="C660" s="2" t="str">
        <x:v>H</x:v>
      </x:c>
      <x:c r="D660" s="2" t="str">
        <x:v>PRIOR</x:v>
      </x:c>
      <x:c r="E660" s="2" t="str">
        <x:f>IF(B660="","",'Input_Meci'!B60)</x:f>
      </x:c>
      <x:c r="F660" s="2" t="str">
        <x:f>IF(B660="","",IF('Input_Meci'!K60="","",'Input_Meci'!K60))</x:f>
      </x:c>
      <x:c r="G660" s="2" t="str">
        <x:f>IF(B660="","",'Input_Meci'!D60)</x:f>
      </x:c>
      <x:c r="H660" s="2" t="str">
        <x:v>ANY</x:v>
      </x:c>
      <x:c r="I660" s="2" t="str">
        <x:v>SEASON</x:v>
      </x:c>
      <x:c r="J660" s="9" t="n">
        <x:f>IF(AND(B660&lt;&gt;"",ISNUMBER('Input_Meci'!G60)),INT('Input_Meci'!G60),0)</x:f>
        <x:v>0</x:v>
      </x:c>
      <x:c r="K660" s="2" t="n">
        <x:f>IF(OR(B660="",F660=""),0,IF(H660="HOME",COUNTIFS('Istoric_Nativ'!$B$6:$B$405,E660,'Istoric_Nativ'!$C$6:$C$405,F660,'Istoric_Nativ'!$E$6:$E$405,G660,'Istoric_Nativ'!$D$6:$D$405,"&lt;"&amp;J660,'Istoric_Nativ'!$P$6:$P$405,1),IF(H660="AWAY",COUNTIFS('Istoric_Nativ'!$B$6:$B$405,E660,'Istoric_Nativ'!$C$6:$C$405,F660,'Istoric_Nativ'!$F$6:$F$405,G660,'Istoric_Nativ'!$D$6:$D$405,"&lt;"&amp;J660,'Istoric_Nativ'!$P$6:$P$405,1),COUNTIFS('Istoric_Nativ'!$B$6:$B$405,E660,'Istoric_Nativ'!$C$6:$C$405,F660,'Istoric_Nativ'!$E$6:$E$405,G660,'Istoric_Nativ'!$D$6:$D$405,"&lt;"&amp;J660,'Istoric_Nativ'!$P$6:$P$405,1)+COUNTIFS('Istoric_Nativ'!$B$6:$B$405,E660,'Istoric_Nativ'!$C$6:$C$405,F660,'Istoric_Nativ'!$F$6:$F$405,G660,'Istoric_Nativ'!$D$6:$D$405,"&lt;"&amp;J660,'Istoric_Nativ'!$P$6:$P$405,1))))</x:f>
        <x:v>0</x:v>
      </x:c>
      <x:c r="L660" s="17" t="n">
        <x:f>IF(AND(B660&lt;&gt;"",I660="RECENT",K660&gt;0),LARGE(_xlfn._xlws.FILTER('Istoric_Nativ'!$D$6:$D$405,('Istoric_Nativ'!$B$6:$B$405=E660)*('Istoric_Nativ'!$C$6:$C$405=F660)*('Istoric_Nativ'!$P$6:$P$405=1)*('Istoric_Nativ'!$D$6:$D$405&lt;J660)*((('Istoric_Nativ'!$E$6:$E$405=G660)+('Istoric_Nativ'!$F$6:$F$405=G660))&gt;0)),MIN('Config_v6'!$B$54,K660)),0)</x:f>
        <x:v>0</x:v>
      </x:c>
      <x:c r="M660" s="2" t="n">
        <x:f>IF(OR(B660="",F660=""),0,IF(H660="HOME",COUNTIFS('Istoric_Nativ'!$B$6:$B$405,E660,'Istoric_Nativ'!$C$6:$C$405,F660,'Istoric_Nativ'!$E$6:$E$405,G660,'Istoric_Nativ'!$D$6:$D$405,"&lt;"&amp;J660,'Istoric_Nativ'!$P$6:$P$405,1,'Istoric_Nativ'!$D$6:$D$405,"&gt;="&amp;L660),IF(H660="AWAY",COUNTIFS('Istoric_Nativ'!$B$6:$B$405,E660,'Istoric_Nativ'!$C$6:$C$405,F660,'Istoric_Nativ'!$F$6:$F$405,G660,'Istoric_Nativ'!$D$6:$D$405,"&lt;"&amp;J660,'Istoric_Nativ'!$P$6:$P$405,1,'Istoric_Nativ'!$D$6:$D$405,"&gt;="&amp;L660),COUNTIFS('Istoric_Nativ'!$B$6:$B$405,E660,'Istoric_Nativ'!$C$6:$C$405,F660,'Istoric_Nativ'!$E$6:$E$405,G660,'Istoric_Nativ'!$D$6:$D$405,"&lt;"&amp;J660,'Istoric_Nativ'!$P$6:$P$405,1,'Istoric_Nativ'!$D$6:$D$405,"&gt;="&amp;L660)+COUNTIFS('Istoric_Nativ'!$B$6:$B$405,E660,'Istoric_Nativ'!$C$6:$C$405,F660,'Istoric_Nativ'!$F$6:$F$405,G660,'Istoric_Nativ'!$D$6:$D$405,"&lt;"&amp;J660,'Istoric_Nativ'!$P$6:$P$405,1,'Istoric_Nativ'!$D$6:$D$405,"&gt;="&amp;L660))))</x:f>
        <x:v>0</x:v>
      </x:c>
      <x:c r="N660" s="11" t="str">
        <x:f>IF(M660=0,"",IF(H660="HOME",SUMIFS('Istoric_Nativ'!$G$6:$G$405,'Istoric_Nativ'!$B$6:$B$405,E660,'Istoric_Nativ'!$C$6:$C$405,F660,'Istoric_Nativ'!$E$6:$E$405,G660,'Istoric_Nativ'!$D$6:$D$405,"&lt;"&amp;J660,'Istoric_Nativ'!$P$6:$P$405,1,'Istoric_Nativ'!$D$6:$D$405,"&gt;="&amp;L660),IF(H660="AWAY",SUMIFS('Istoric_Nativ'!$H$6:$H$405,'Istoric_Nativ'!$B$6:$B$405,E660,'Istoric_Nativ'!$C$6:$C$405,F660,'Istoric_Nativ'!$F$6:$F$405,G660,'Istoric_Nativ'!$D$6:$D$405,"&lt;"&amp;J660,'Istoric_Nativ'!$P$6:$P$405,1,'Istoric_Nativ'!$D$6:$D$405,"&gt;="&amp;L660),SUMIFS('Istoric_Nativ'!$G$6:$G$405,'Istoric_Nativ'!$B$6:$B$405,E660,'Istoric_Nativ'!$C$6:$C$405,F660,'Istoric_Nativ'!$E$6:$E$405,G660,'Istoric_Nativ'!$D$6:$D$405,"&lt;"&amp;J660,'Istoric_Nativ'!$P$6:$P$405,1,'Istoric_Nativ'!$D$6:$D$405,"&gt;="&amp;L660)+SUMIFS('Istoric_Nativ'!$H$6:$H$405,'Istoric_Nativ'!$B$6:$B$405,E660,'Istoric_Nativ'!$C$6:$C$405,F660,'Istoric_Nativ'!$F$6:$F$405,G660,'Istoric_Nativ'!$D$6:$D$405,"&lt;"&amp;J660,'Istoric_Nativ'!$P$6:$P$405,1,'Istoric_Nativ'!$D$6:$D$405,"&gt;="&amp;L660)))/M660)</x:f>
      </x:c>
      <x:c r="O660" s="11" t="str">
        <x:f>IF(M660=0,"",IF(H660="HOME",SUMIFS('Istoric_Nativ'!$H$6:$H$405,'Istoric_Nativ'!$B$6:$B$405,E660,'Istoric_Nativ'!$C$6:$C$405,F660,'Istoric_Nativ'!$E$6:$E$405,G660,'Istoric_Nativ'!$D$6:$D$405,"&lt;"&amp;J660,'Istoric_Nativ'!$P$6:$P$405,1,'Istoric_Nativ'!$D$6:$D$405,"&gt;="&amp;L660),IF(H660="AWAY",SUMIFS('Istoric_Nativ'!$G$6:$G$405,'Istoric_Nativ'!$B$6:$B$405,E660,'Istoric_Nativ'!$C$6:$C$405,F660,'Istoric_Nativ'!$F$6:$F$405,G660,'Istoric_Nativ'!$D$6:$D$405,"&lt;"&amp;J660,'Istoric_Nativ'!$P$6:$P$405,1,'Istoric_Nativ'!$D$6:$D$405,"&gt;="&amp;L660),SUMIFS('Istoric_Nativ'!$H$6:$H$405,'Istoric_Nativ'!$B$6:$B$405,E660,'Istoric_Nativ'!$C$6:$C$405,F660,'Istoric_Nativ'!$E$6:$E$405,G660,'Istoric_Nativ'!$D$6:$D$405,"&lt;"&amp;J660,'Istoric_Nativ'!$P$6:$P$405,1,'Istoric_Nativ'!$D$6:$D$405,"&gt;="&amp;L660)+SUMIFS('Istoric_Nativ'!$G$6:$G$405,'Istoric_Nativ'!$B$6:$B$405,E660,'Istoric_Nativ'!$C$6:$C$405,F660,'Istoric_Nativ'!$F$6:$F$405,G660,'Istoric_Nativ'!$D$6:$D$405,"&lt;"&amp;J660,'Istoric_Nativ'!$P$6:$P$405,1,'Istoric_Nativ'!$D$6:$D$405,"&gt;="&amp;L660)))/M660)</x:f>
      </x:c>
      <x:c r="P660" s="2" t="n">
        <x:f>'Config_v6'!$B$7</x:f>
        <x:v>10</x:v>
      </x:c>
      <x:c r="Q660" s="2" t="n">
        <x:f>IF(OR(B660="",F660=""),0,IFERROR(MATCH(E660&amp;"|"&amp;F660,SourceTable[Source_Key],0),0))</x:f>
        <x:v>0</x:v>
      </x:c>
      <x:c r="R660" s="2" t="str">
        <x:f>IF(B660="","",IF(F660="","UNUSED",IF(Q660=0,"NOT CHECKED",IF(COUNTIF(SourceTable[Source_Key],E660&amp;"|"&amp;F660)&lt;&gt;1,"SOURCE CONFLICT",IF(NOT(OR(INDEX(SourceTable[Status],MAX(1,Q660))="IMPORTED",INDEX(SourceTable[Status],MAX(1,Q660))="PARTIAL",INDEX(SourceTable[Status],MAX(1,Q660))="SOURCE CONFLICT")),"ACCESS BLOCKED",IF(OR(INDEX(SourceTable[Coverage],Q660)&lt;&gt;"FULL SEASON EXPORT",INDEX(SourceTable[URL],Q660)="",INDEX(SourceTable[SHA256],Q660)=""),"EVIDENCE INCOMPLETE",IF(AND('Input_Meci'!H60="LIVE",INDEX(SourceTable[Retrieved_UTC],Q660)&gt;'Input_Meci'!G60),"POST CUTOFF","CLOSED")))))))</x:f>
      </x:c>
      <x:c r="S660" s="2" t="n">
        <x:f>IF(OR(B660="",F660=""),0,COUNTIFS('Istoric_Nativ'!$B$6:$B$405,E660,'Istoric_Nativ'!$C$6:$C$405,F660,'Istoric_Nativ'!$E$6:$E$405,G660,'Istoric_Nativ'!$D$6:$D$405,"&lt;"&amp;J660,'Istoric_Nativ'!$O$6:$O$405,"INVALID")+COUNTIFS('Istoric_Nativ'!$B$6:$B$405,E660,'Istoric_Nativ'!$C$6:$C$405,F660,'Istoric_Nativ'!$E$6:$E$405,G660,'Istoric_Nativ'!$O$6:$O$405,"INVALID",'Istoric_Nativ'!$D$6:$D$405,"*")+COUNTIFS('Istoric_Nativ'!$B$6:$B$405,E660,'Istoric_Nativ'!$C$6:$C$405,F660,'Istoric_Nativ'!$E$6:$E$405,G660,'Istoric_Nativ'!$D$6:$D$405,"&lt;"&amp;J660,'Istoric_Nativ'!$O$6:$O$405,"SOURCE CONFLICT")+COUNTIFS('Istoric_Nativ'!$B$6:$B$405,E660,'Istoric_Nativ'!$C$6:$C$405,F660,'Istoric_Nativ'!$F$6:$F$405,G660,'Istoric_Nativ'!$D$6:$D$405,"&lt;"&amp;J660,'Istoric_Nativ'!$O$6:$O$405,"INVALID")+COUNTIFS('Istoric_Nativ'!$B$6:$B$405,E660,'Istoric_Nativ'!$C$6:$C$405,F660,'Istoric_Nativ'!$F$6:$F$405,G660,'Istoric_Nativ'!$O$6:$O$405,"INVALID",'Istoric_Nativ'!$D$6:$D$405,"*")+COUNTIFS('Istoric_Nativ'!$B$6:$B$405,E660,'Istoric_Nativ'!$C$6:$C$405,F660,'Istoric_Nativ'!$F$6:$F$405,G660,'Istoric_Nativ'!$D$6:$D$405,"&lt;"&amp;J660,'Istoric_Nativ'!$O$6:$O$405,"SOURCE CONFLICT"))</x:f>
        <x:v>0</x:v>
      </x:c>
      <x:c r="T660" s="2" t="str">
        <x:f>IF(B660="","",IF(R660&lt;&gt;"CLOSED",R660,IF(S660&gt;0,"NATIVE INPUT ISSUE",IF(M660=0,"NO HISTORY",IF(M660&lt;P660,"SMALL SAMPLE","DERIVED")))))</x:f>
      </x:c>
      <x:c r="U660" s="2" t="str">
        <x:f>IF(B660="","","NativeTable; "&amp;E660&amp;"; "&amp;F660&amp;"; "&amp;G660&amp;"; "&amp;H660&amp;"; before "&amp;TEXT(J660,"yyyy-mm-dd")&amp;IF(I660="RECENT","; from "&amp;TEXT(L660,"yyyy-mm-dd"),""))</x:f>
      </x:c>
    </x:row>
    <x:row r="661" ht="21" customHeight="1">
      <x:c r="A661" s="2" t="n">
        <x:v>55</x:v>
      </x:c>
      <x:c r="B661" s="2" t="str">
        <x:f>IF('Input_Meci'!A60="","",'Input_Meci'!A60)</x:f>
      </x:c>
      <x:c r="C661" s="2" t="str">
        <x:v>H</x:v>
      </x:c>
      <x:c r="D661" s="2" t="str">
        <x:v>PRIOR</x:v>
      </x:c>
      <x:c r="E661" s="2" t="str">
        <x:f>IF(B661="","",'Input_Meci'!B60)</x:f>
      </x:c>
      <x:c r="F661" s="2" t="str">
        <x:f>IF(B661="","",IF('Input_Meci'!K60="","",'Input_Meci'!K60))</x:f>
      </x:c>
      <x:c r="G661" s="2" t="str">
        <x:f>IF(B661="","",'Input_Meci'!D60)</x:f>
      </x:c>
      <x:c r="H661" s="2" t="str">
        <x:v>HOME</x:v>
      </x:c>
      <x:c r="I661" s="2" t="str">
        <x:v>HA</x:v>
      </x:c>
      <x:c r="J661" s="9" t="n">
        <x:f>IF(AND(B661&lt;&gt;"",ISNUMBER('Input_Meci'!G60)),INT('Input_Meci'!G60),0)</x:f>
        <x:v>0</x:v>
      </x:c>
      <x:c r="K661" s="2" t="n">
        <x:f>IF(OR(B661="",F661=""),0,IF(H661="HOME",COUNTIFS('Istoric_Nativ'!$B$6:$B$405,E661,'Istoric_Nativ'!$C$6:$C$405,F661,'Istoric_Nativ'!$E$6:$E$405,G661,'Istoric_Nativ'!$D$6:$D$405,"&lt;"&amp;J661,'Istoric_Nativ'!$P$6:$P$405,1),IF(H661="AWAY",COUNTIFS('Istoric_Nativ'!$B$6:$B$405,E661,'Istoric_Nativ'!$C$6:$C$405,F661,'Istoric_Nativ'!$F$6:$F$405,G661,'Istoric_Nativ'!$D$6:$D$405,"&lt;"&amp;J661,'Istoric_Nativ'!$P$6:$P$405,1),COUNTIFS('Istoric_Nativ'!$B$6:$B$405,E661,'Istoric_Nativ'!$C$6:$C$405,F661,'Istoric_Nativ'!$E$6:$E$405,G661,'Istoric_Nativ'!$D$6:$D$405,"&lt;"&amp;J661,'Istoric_Nativ'!$P$6:$P$405,1)+COUNTIFS('Istoric_Nativ'!$B$6:$B$405,E661,'Istoric_Nativ'!$C$6:$C$405,F661,'Istoric_Nativ'!$F$6:$F$405,G661,'Istoric_Nativ'!$D$6:$D$405,"&lt;"&amp;J661,'Istoric_Nativ'!$P$6:$P$405,1))))</x:f>
        <x:v>0</x:v>
      </x:c>
      <x:c r="L661" s="17" t="n">
        <x:f>IF(AND(B661&lt;&gt;"",I661="RECENT",K661&gt;0),LARGE(_xlfn._xlws.FILTER('Istoric_Nativ'!$D$6:$D$405,('Istoric_Nativ'!$B$6:$B$405=E661)*('Istoric_Nativ'!$C$6:$C$405=F661)*('Istoric_Nativ'!$P$6:$P$405=1)*('Istoric_Nativ'!$D$6:$D$405&lt;J661)*((('Istoric_Nativ'!$E$6:$E$405=G661)+('Istoric_Nativ'!$F$6:$F$405=G661))&gt;0)),MIN('Config_v6'!$B$54,K661)),0)</x:f>
        <x:v>0</x:v>
      </x:c>
      <x:c r="M661" s="2" t="n">
        <x:f>IF(OR(B661="",F661=""),0,IF(H661="HOME",COUNTIFS('Istoric_Nativ'!$B$6:$B$405,E661,'Istoric_Nativ'!$C$6:$C$405,F661,'Istoric_Nativ'!$E$6:$E$405,G661,'Istoric_Nativ'!$D$6:$D$405,"&lt;"&amp;J661,'Istoric_Nativ'!$P$6:$P$405,1,'Istoric_Nativ'!$D$6:$D$405,"&gt;="&amp;L661),IF(H661="AWAY",COUNTIFS('Istoric_Nativ'!$B$6:$B$405,E661,'Istoric_Nativ'!$C$6:$C$405,F661,'Istoric_Nativ'!$F$6:$F$405,G661,'Istoric_Nativ'!$D$6:$D$405,"&lt;"&amp;J661,'Istoric_Nativ'!$P$6:$P$405,1,'Istoric_Nativ'!$D$6:$D$405,"&gt;="&amp;L661),COUNTIFS('Istoric_Nativ'!$B$6:$B$405,E661,'Istoric_Nativ'!$C$6:$C$405,F661,'Istoric_Nativ'!$E$6:$E$405,G661,'Istoric_Nativ'!$D$6:$D$405,"&lt;"&amp;J661,'Istoric_Nativ'!$P$6:$P$405,1,'Istoric_Nativ'!$D$6:$D$405,"&gt;="&amp;L661)+COUNTIFS('Istoric_Nativ'!$B$6:$B$405,E661,'Istoric_Nativ'!$C$6:$C$405,F661,'Istoric_Nativ'!$F$6:$F$405,G661,'Istoric_Nativ'!$D$6:$D$405,"&lt;"&amp;J661,'Istoric_Nativ'!$P$6:$P$405,1,'Istoric_Nativ'!$D$6:$D$405,"&gt;="&amp;L661))))</x:f>
        <x:v>0</x:v>
      </x:c>
      <x:c r="N661" s="11" t="str">
        <x:f>IF(M661=0,"",IF(H661="HOME",SUMIFS('Istoric_Nativ'!$G$6:$G$405,'Istoric_Nativ'!$B$6:$B$405,E661,'Istoric_Nativ'!$C$6:$C$405,F661,'Istoric_Nativ'!$E$6:$E$405,G661,'Istoric_Nativ'!$D$6:$D$405,"&lt;"&amp;J661,'Istoric_Nativ'!$P$6:$P$405,1,'Istoric_Nativ'!$D$6:$D$405,"&gt;="&amp;L661),IF(H661="AWAY",SUMIFS('Istoric_Nativ'!$H$6:$H$405,'Istoric_Nativ'!$B$6:$B$405,E661,'Istoric_Nativ'!$C$6:$C$405,F661,'Istoric_Nativ'!$F$6:$F$405,G661,'Istoric_Nativ'!$D$6:$D$405,"&lt;"&amp;J661,'Istoric_Nativ'!$P$6:$P$405,1,'Istoric_Nativ'!$D$6:$D$405,"&gt;="&amp;L661),SUMIFS('Istoric_Nativ'!$G$6:$G$405,'Istoric_Nativ'!$B$6:$B$405,E661,'Istoric_Nativ'!$C$6:$C$405,F661,'Istoric_Nativ'!$E$6:$E$405,G661,'Istoric_Nativ'!$D$6:$D$405,"&lt;"&amp;J661,'Istoric_Nativ'!$P$6:$P$405,1,'Istoric_Nativ'!$D$6:$D$405,"&gt;="&amp;L661)+SUMIFS('Istoric_Nativ'!$H$6:$H$405,'Istoric_Nativ'!$B$6:$B$405,E661,'Istoric_Nativ'!$C$6:$C$405,F661,'Istoric_Nativ'!$F$6:$F$405,G661,'Istoric_Nativ'!$D$6:$D$405,"&lt;"&amp;J661,'Istoric_Nativ'!$P$6:$P$405,1,'Istoric_Nativ'!$D$6:$D$405,"&gt;="&amp;L661)))/M661)</x:f>
      </x:c>
      <x:c r="O661" s="11" t="str">
        <x:f>IF(M661=0,"",IF(H661="HOME",SUMIFS('Istoric_Nativ'!$H$6:$H$405,'Istoric_Nativ'!$B$6:$B$405,E661,'Istoric_Nativ'!$C$6:$C$405,F661,'Istoric_Nativ'!$E$6:$E$405,G661,'Istoric_Nativ'!$D$6:$D$405,"&lt;"&amp;J661,'Istoric_Nativ'!$P$6:$P$405,1,'Istoric_Nativ'!$D$6:$D$405,"&gt;="&amp;L661),IF(H661="AWAY",SUMIFS('Istoric_Nativ'!$G$6:$G$405,'Istoric_Nativ'!$B$6:$B$405,E661,'Istoric_Nativ'!$C$6:$C$405,F661,'Istoric_Nativ'!$F$6:$F$405,G661,'Istoric_Nativ'!$D$6:$D$405,"&lt;"&amp;J661,'Istoric_Nativ'!$P$6:$P$405,1,'Istoric_Nativ'!$D$6:$D$405,"&gt;="&amp;L661),SUMIFS('Istoric_Nativ'!$H$6:$H$405,'Istoric_Nativ'!$B$6:$B$405,E661,'Istoric_Nativ'!$C$6:$C$405,F661,'Istoric_Nativ'!$E$6:$E$405,G661,'Istoric_Nativ'!$D$6:$D$405,"&lt;"&amp;J661,'Istoric_Nativ'!$P$6:$P$405,1,'Istoric_Nativ'!$D$6:$D$405,"&gt;="&amp;L661)+SUMIFS('Istoric_Nativ'!$G$6:$G$405,'Istoric_Nativ'!$B$6:$B$405,E661,'Istoric_Nativ'!$C$6:$C$405,F661,'Istoric_Nativ'!$F$6:$F$405,G661,'Istoric_Nativ'!$D$6:$D$405,"&lt;"&amp;J661,'Istoric_Nativ'!$P$6:$P$405,1,'Istoric_Nativ'!$D$6:$D$405,"&gt;="&amp;L661)))/M661)</x:f>
      </x:c>
      <x:c r="P661" s="2" t="n">
        <x:f>'Config_v6'!$B$8</x:f>
        <x:v>5</x:v>
      </x:c>
      <x:c r="Q661" s="2" t="n">
        <x:f>IF(OR(B661="",F661=""),0,IFERROR(MATCH(E661&amp;"|"&amp;F661,SourceTable[Source_Key],0),0))</x:f>
        <x:v>0</x:v>
      </x:c>
      <x:c r="R661" s="2" t="str">
        <x:f>IF(B661="","",IF(F661="","UNUSED",IF(Q661=0,"NOT CHECKED",IF(COUNTIF(SourceTable[Source_Key],E661&amp;"|"&amp;F661)&lt;&gt;1,"SOURCE CONFLICT",IF(NOT(OR(INDEX(SourceTable[Status],MAX(1,Q661))="IMPORTED",INDEX(SourceTable[Status],MAX(1,Q661))="PARTIAL",INDEX(SourceTable[Status],MAX(1,Q661))="SOURCE CONFLICT")),"ACCESS BLOCKED",IF(OR(INDEX(SourceTable[Coverage],Q661)&lt;&gt;"FULL SEASON EXPORT",INDEX(SourceTable[URL],Q661)="",INDEX(SourceTable[SHA256],Q661)=""),"EVIDENCE INCOMPLETE",IF(AND('Input_Meci'!H60="LIVE",INDEX(SourceTable[Retrieved_UTC],Q661)&gt;'Input_Meci'!G60),"POST CUTOFF","CLOSED")))))))</x:f>
      </x:c>
      <x:c r="S661" s="2" t="n">
        <x:f>IF(OR(B661="",F661=""),0,COUNTIFS('Istoric_Nativ'!$B$6:$B$405,E661,'Istoric_Nativ'!$C$6:$C$405,F661,'Istoric_Nativ'!$E$6:$E$405,G661,'Istoric_Nativ'!$D$6:$D$405,"&lt;"&amp;J661,'Istoric_Nativ'!$O$6:$O$405,"INVALID")+COUNTIFS('Istoric_Nativ'!$B$6:$B$405,E661,'Istoric_Nativ'!$C$6:$C$405,F661,'Istoric_Nativ'!$E$6:$E$405,G661,'Istoric_Nativ'!$O$6:$O$405,"INVALID",'Istoric_Nativ'!$D$6:$D$405,"*")+COUNTIFS('Istoric_Nativ'!$B$6:$B$405,E661,'Istoric_Nativ'!$C$6:$C$405,F661,'Istoric_Nativ'!$E$6:$E$405,G661,'Istoric_Nativ'!$D$6:$D$405,"&lt;"&amp;J661,'Istoric_Nativ'!$O$6:$O$405,"SOURCE CONFLICT")+COUNTIFS('Istoric_Nativ'!$B$6:$B$405,E661,'Istoric_Nativ'!$C$6:$C$405,F661,'Istoric_Nativ'!$F$6:$F$405,G661,'Istoric_Nativ'!$D$6:$D$405,"&lt;"&amp;J661,'Istoric_Nativ'!$O$6:$O$405,"INVALID")+COUNTIFS('Istoric_Nativ'!$B$6:$B$405,E661,'Istoric_Nativ'!$C$6:$C$405,F661,'Istoric_Nativ'!$F$6:$F$405,G661,'Istoric_Nativ'!$O$6:$O$405,"INVALID",'Istoric_Nativ'!$D$6:$D$405,"*")+COUNTIFS('Istoric_Nativ'!$B$6:$B$405,E661,'Istoric_Nativ'!$C$6:$C$405,F661,'Istoric_Nativ'!$F$6:$F$405,G661,'Istoric_Nativ'!$D$6:$D$405,"&lt;"&amp;J661,'Istoric_Nativ'!$O$6:$O$405,"SOURCE CONFLICT"))</x:f>
        <x:v>0</x:v>
      </x:c>
      <x:c r="T661" s="2" t="str">
        <x:f>IF(B661="","",IF(R661&lt;&gt;"CLOSED",R661,IF(S661&gt;0,"NATIVE INPUT ISSUE",IF(M661=0,"NO HISTORY",IF(M661&lt;P661,"SMALL SAMPLE","DERIVED")))))</x:f>
      </x:c>
      <x:c r="U661" s="2" t="str">
        <x:f>IF(B661="","","NativeTable; "&amp;E661&amp;"; "&amp;F661&amp;"; "&amp;G661&amp;"; "&amp;H661&amp;"; before "&amp;TEXT(J661,"yyyy-mm-dd")&amp;IF(I661="RECENT","; from "&amp;TEXT(L661,"yyyy-mm-dd"),""))</x:f>
      </x:c>
    </x:row>
    <x:row r="662" ht="21" customHeight="1">
      <x:c r="A662" s="2" t="n">
        <x:v>55</x:v>
      </x:c>
      <x:c r="B662" s="2" t="str">
        <x:f>IF('Input_Meci'!A60="","",'Input_Meci'!A60)</x:f>
      </x:c>
      <x:c r="C662" s="2" t="str">
        <x:v>H</x:v>
      </x:c>
      <x:c r="D662" s="2" t="str">
        <x:v>PRIOR</x:v>
      </x:c>
      <x:c r="E662" s="2" t="str">
        <x:f>IF(B662="","",'Input_Meci'!B60)</x:f>
      </x:c>
      <x:c r="F662" s="2" t="str">
        <x:f>IF(B662="","",IF('Input_Meci'!K60="","",'Input_Meci'!K60))</x:f>
      </x:c>
      <x:c r="G662" s="2" t="str">
        <x:f>IF(B662="","",'Input_Meci'!D60)</x:f>
      </x:c>
      <x:c r="H662" s="2" t="str">
        <x:v>ANY</x:v>
      </x:c>
      <x:c r="I662" s="2" t="str">
        <x:v>RECENT</x:v>
      </x:c>
      <x:c r="J662" s="9" t="n">
        <x:f>IF(AND(B662&lt;&gt;"",ISNUMBER('Input_Meci'!G60)),INT('Input_Meci'!G60),0)</x:f>
        <x:v>0</x:v>
      </x:c>
      <x:c r="K662" s="2" t="n">
        <x:f>IF(OR(B662="",F662=""),0,IF(H662="HOME",COUNTIFS('Istoric_Nativ'!$B$6:$B$405,E662,'Istoric_Nativ'!$C$6:$C$405,F662,'Istoric_Nativ'!$E$6:$E$405,G662,'Istoric_Nativ'!$D$6:$D$405,"&lt;"&amp;J662,'Istoric_Nativ'!$P$6:$P$405,1),IF(H662="AWAY",COUNTIFS('Istoric_Nativ'!$B$6:$B$405,E662,'Istoric_Nativ'!$C$6:$C$405,F662,'Istoric_Nativ'!$F$6:$F$405,G662,'Istoric_Nativ'!$D$6:$D$405,"&lt;"&amp;J662,'Istoric_Nativ'!$P$6:$P$405,1),COUNTIFS('Istoric_Nativ'!$B$6:$B$405,E662,'Istoric_Nativ'!$C$6:$C$405,F662,'Istoric_Nativ'!$E$6:$E$405,G662,'Istoric_Nativ'!$D$6:$D$405,"&lt;"&amp;J662,'Istoric_Nativ'!$P$6:$P$405,1)+COUNTIFS('Istoric_Nativ'!$B$6:$B$405,E662,'Istoric_Nativ'!$C$6:$C$405,F662,'Istoric_Nativ'!$F$6:$F$405,G662,'Istoric_Nativ'!$D$6:$D$405,"&lt;"&amp;J662,'Istoric_Nativ'!$P$6:$P$405,1))))</x:f>
        <x:v>0</x:v>
      </x:c>
      <x:c r="L662" s="17" t="n">
        <x:f>IF(AND(B662&lt;&gt;"",I662="RECENT",K662&gt;0),LARGE(_xlfn._xlws.FILTER('Istoric_Nativ'!$D$6:$D$405,('Istoric_Nativ'!$B$6:$B$405=E662)*('Istoric_Nativ'!$C$6:$C$405=F662)*('Istoric_Nativ'!$P$6:$P$405=1)*('Istoric_Nativ'!$D$6:$D$405&lt;J662)*((('Istoric_Nativ'!$E$6:$E$405=G662)+('Istoric_Nativ'!$F$6:$F$405=G662))&gt;0)),MIN('Config_v6'!$B$54,K662)),0)</x:f>
        <x:v>0</x:v>
      </x:c>
      <x:c r="M662" s="2" t="n">
        <x:f>IF(OR(B662="",F662=""),0,IF(H662="HOME",COUNTIFS('Istoric_Nativ'!$B$6:$B$405,E662,'Istoric_Nativ'!$C$6:$C$405,F662,'Istoric_Nativ'!$E$6:$E$405,G662,'Istoric_Nativ'!$D$6:$D$405,"&lt;"&amp;J662,'Istoric_Nativ'!$P$6:$P$405,1,'Istoric_Nativ'!$D$6:$D$405,"&gt;="&amp;L662),IF(H662="AWAY",COUNTIFS('Istoric_Nativ'!$B$6:$B$405,E662,'Istoric_Nativ'!$C$6:$C$405,F662,'Istoric_Nativ'!$F$6:$F$405,G662,'Istoric_Nativ'!$D$6:$D$405,"&lt;"&amp;J662,'Istoric_Nativ'!$P$6:$P$405,1,'Istoric_Nativ'!$D$6:$D$405,"&gt;="&amp;L662),COUNTIFS('Istoric_Nativ'!$B$6:$B$405,E662,'Istoric_Nativ'!$C$6:$C$405,F662,'Istoric_Nativ'!$E$6:$E$405,G662,'Istoric_Nativ'!$D$6:$D$405,"&lt;"&amp;J662,'Istoric_Nativ'!$P$6:$P$405,1,'Istoric_Nativ'!$D$6:$D$405,"&gt;="&amp;L662)+COUNTIFS('Istoric_Nativ'!$B$6:$B$405,E662,'Istoric_Nativ'!$C$6:$C$405,F662,'Istoric_Nativ'!$F$6:$F$405,G662,'Istoric_Nativ'!$D$6:$D$405,"&lt;"&amp;J662,'Istoric_Nativ'!$P$6:$P$405,1,'Istoric_Nativ'!$D$6:$D$405,"&gt;="&amp;L662))))</x:f>
        <x:v>0</x:v>
      </x:c>
      <x:c r="N662" s="11" t="str">
        <x:f>IF(M662=0,"",IF(H662="HOME",SUMIFS('Istoric_Nativ'!$G$6:$G$405,'Istoric_Nativ'!$B$6:$B$405,E662,'Istoric_Nativ'!$C$6:$C$405,F662,'Istoric_Nativ'!$E$6:$E$405,G662,'Istoric_Nativ'!$D$6:$D$405,"&lt;"&amp;J662,'Istoric_Nativ'!$P$6:$P$405,1,'Istoric_Nativ'!$D$6:$D$405,"&gt;="&amp;L662),IF(H662="AWAY",SUMIFS('Istoric_Nativ'!$H$6:$H$405,'Istoric_Nativ'!$B$6:$B$405,E662,'Istoric_Nativ'!$C$6:$C$405,F662,'Istoric_Nativ'!$F$6:$F$405,G662,'Istoric_Nativ'!$D$6:$D$405,"&lt;"&amp;J662,'Istoric_Nativ'!$P$6:$P$405,1,'Istoric_Nativ'!$D$6:$D$405,"&gt;="&amp;L662),SUMIFS('Istoric_Nativ'!$G$6:$G$405,'Istoric_Nativ'!$B$6:$B$405,E662,'Istoric_Nativ'!$C$6:$C$405,F662,'Istoric_Nativ'!$E$6:$E$405,G662,'Istoric_Nativ'!$D$6:$D$405,"&lt;"&amp;J662,'Istoric_Nativ'!$P$6:$P$405,1,'Istoric_Nativ'!$D$6:$D$405,"&gt;="&amp;L662)+SUMIFS('Istoric_Nativ'!$H$6:$H$405,'Istoric_Nativ'!$B$6:$B$405,E662,'Istoric_Nativ'!$C$6:$C$405,F662,'Istoric_Nativ'!$F$6:$F$405,G662,'Istoric_Nativ'!$D$6:$D$405,"&lt;"&amp;J662,'Istoric_Nativ'!$P$6:$P$405,1,'Istoric_Nativ'!$D$6:$D$405,"&gt;="&amp;L662)))/M662)</x:f>
      </x:c>
      <x:c r="O662" s="11" t="str">
        <x:f>IF(M662=0,"",IF(H662="HOME",SUMIFS('Istoric_Nativ'!$H$6:$H$405,'Istoric_Nativ'!$B$6:$B$405,E662,'Istoric_Nativ'!$C$6:$C$405,F662,'Istoric_Nativ'!$E$6:$E$405,G662,'Istoric_Nativ'!$D$6:$D$405,"&lt;"&amp;J662,'Istoric_Nativ'!$P$6:$P$405,1,'Istoric_Nativ'!$D$6:$D$405,"&gt;="&amp;L662),IF(H662="AWAY",SUMIFS('Istoric_Nativ'!$G$6:$G$405,'Istoric_Nativ'!$B$6:$B$405,E662,'Istoric_Nativ'!$C$6:$C$405,F662,'Istoric_Nativ'!$F$6:$F$405,G662,'Istoric_Nativ'!$D$6:$D$405,"&lt;"&amp;J662,'Istoric_Nativ'!$P$6:$P$405,1,'Istoric_Nativ'!$D$6:$D$405,"&gt;="&amp;L662),SUMIFS('Istoric_Nativ'!$H$6:$H$405,'Istoric_Nativ'!$B$6:$B$405,E662,'Istoric_Nativ'!$C$6:$C$405,F662,'Istoric_Nativ'!$E$6:$E$405,G662,'Istoric_Nativ'!$D$6:$D$405,"&lt;"&amp;J662,'Istoric_Nativ'!$P$6:$P$405,1,'Istoric_Nativ'!$D$6:$D$405,"&gt;="&amp;L662)+SUMIFS('Istoric_Nativ'!$G$6:$G$405,'Istoric_Nativ'!$B$6:$B$405,E662,'Istoric_Nativ'!$C$6:$C$405,F662,'Istoric_Nativ'!$F$6:$F$405,G662,'Istoric_Nativ'!$D$6:$D$405,"&lt;"&amp;J662,'Istoric_Nativ'!$P$6:$P$405,1,'Istoric_Nativ'!$D$6:$D$405,"&gt;="&amp;L662)))/M662)</x:f>
      </x:c>
      <x:c r="P662" s="2" t="n">
        <x:f>'Config_v6'!$B$9</x:f>
        <x:v>3</x:v>
      </x:c>
      <x:c r="Q662" s="2" t="n">
        <x:f>IF(OR(B662="",F662=""),0,IFERROR(MATCH(E662&amp;"|"&amp;F662,SourceTable[Source_Key],0),0))</x:f>
        <x:v>0</x:v>
      </x:c>
      <x:c r="R662" s="2" t="str">
        <x:f>IF(B662="","",IF(F662="","UNUSED",IF(Q662=0,"NOT CHECKED",IF(COUNTIF(SourceTable[Source_Key],E662&amp;"|"&amp;F662)&lt;&gt;1,"SOURCE CONFLICT",IF(NOT(OR(INDEX(SourceTable[Status],MAX(1,Q662))="IMPORTED",INDEX(SourceTable[Status],MAX(1,Q662))="PARTIAL",INDEX(SourceTable[Status],MAX(1,Q662))="SOURCE CONFLICT")),"ACCESS BLOCKED",IF(OR(INDEX(SourceTable[Coverage],Q662)&lt;&gt;"FULL SEASON EXPORT",INDEX(SourceTable[URL],Q662)="",INDEX(SourceTable[SHA256],Q662)=""),"EVIDENCE INCOMPLETE",IF(AND('Input_Meci'!H60="LIVE",INDEX(SourceTable[Retrieved_UTC],Q662)&gt;'Input_Meci'!G60),"POST CUTOFF","CLOSED")))))))</x:f>
      </x:c>
      <x:c r="S662" s="2" t="n">
        <x:f>IF(OR(B662="",F662=""),0,COUNTIFS('Istoric_Nativ'!$B$6:$B$405,E662,'Istoric_Nativ'!$C$6:$C$405,F662,'Istoric_Nativ'!$E$6:$E$405,G662,'Istoric_Nativ'!$D$6:$D$405,"&lt;"&amp;J662,'Istoric_Nativ'!$O$6:$O$405,"INVALID")+COUNTIFS('Istoric_Nativ'!$B$6:$B$405,E662,'Istoric_Nativ'!$C$6:$C$405,F662,'Istoric_Nativ'!$E$6:$E$405,G662,'Istoric_Nativ'!$O$6:$O$405,"INVALID",'Istoric_Nativ'!$D$6:$D$405,"*")+COUNTIFS('Istoric_Nativ'!$B$6:$B$405,E662,'Istoric_Nativ'!$C$6:$C$405,F662,'Istoric_Nativ'!$E$6:$E$405,G662,'Istoric_Nativ'!$D$6:$D$405,"&lt;"&amp;J662,'Istoric_Nativ'!$O$6:$O$405,"SOURCE CONFLICT")+COUNTIFS('Istoric_Nativ'!$B$6:$B$405,E662,'Istoric_Nativ'!$C$6:$C$405,F662,'Istoric_Nativ'!$F$6:$F$405,G662,'Istoric_Nativ'!$D$6:$D$405,"&lt;"&amp;J662,'Istoric_Nativ'!$O$6:$O$405,"INVALID")+COUNTIFS('Istoric_Nativ'!$B$6:$B$405,E662,'Istoric_Nativ'!$C$6:$C$405,F662,'Istoric_Nativ'!$F$6:$F$405,G662,'Istoric_Nativ'!$O$6:$O$405,"INVALID",'Istoric_Nativ'!$D$6:$D$405,"*")+COUNTIFS('Istoric_Nativ'!$B$6:$B$405,E662,'Istoric_Nativ'!$C$6:$C$405,F662,'Istoric_Nativ'!$F$6:$F$405,G662,'Istoric_Nativ'!$D$6:$D$405,"&lt;"&amp;J662,'Istoric_Nativ'!$O$6:$O$405,"SOURCE CONFLICT"))</x:f>
        <x:v>0</x:v>
      </x:c>
      <x:c r="T662" s="2" t="str">
        <x:f>IF(B662="","",IF(R662&lt;&gt;"CLOSED",R662,IF(S662&gt;0,"NATIVE INPUT ISSUE",IF(M662=0,"NO HISTORY",IF(M662&lt;P662,"SMALL SAMPLE","DERIVED")))))</x:f>
      </x:c>
      <x:c r="U662" s="2" t="str">
        <x:f>IF(B662="","","NativeTable; "&amp;E662&amp;"; "&amp;F662&amp;"; "&amp;G662&amp;"; "&amp;H662&amp;"; before "&amp;TEXT(J662,"yyyy-mm-dd")&amp;IF(I662="RECENT","; from "&amp;TEXT(L662,"yyyy-mm-dd"),""))</x:f>
      </x:c>
    </x:row>
    <x:row r="663" ht="21" customHeight="1">
      <x:c r="A663" s="2" t="n">
        <x:v>55</x:v>
      </x:c>
      <x:c r="B663" s="2" t="str">
        <x:f>IF('Input_Meci'!A60="","",'Input_Meci'!A60)</x:f>
      </x:c>
      <x:c r="C663" s="2" t="str">
        <x:v>A</x:v>
      </x:c>
      <x:c r="D663" s="2" t="str">
        <x:v>PRIOR</x:v>
      </x:c>
      <x:c r="E663" s="2" t="str">
        <x:f>IF(B663="","",'Input_Meci'!B60)</x:f>
      </x:c>
      <x:c r="F663" s="2" t="str">
        <x:f>IF(B663="","",IF('Input_Meci'!K60="","",'Input_Meci'!K60))</x:f>
      </x:c>
      <x:c r="G663" s="2" t="str">
        <x:f>IF(B663="","",'Input_Meci'!E60)</x:f>
      </x:c>
      <x:c r="H663" s="2" t="str">
        <x:v>ANY</x:v>
      </x:c>
      <x:c r="I663" s="2" t="str">
        <x:v>SEASON</x:v>
      </x:c>
      <x:c r="J663" s="9" t="n">
        <x:f>IF(AND(B663&lt;&gt;"",ISNUMBER('Input_Meci'!G60)),INT('Input_Meci'!G60),0)</x:f>
        <x:v>0</x:v>
      </x:c>
      <x:c r="K663" s="2" t="n">
        <x:f>IF(OR(B663="",F663=""),0,IF(H663="HOME",COUNTIFS('Istoric_Nativ'!$B$6:$B$405,E663,'Istoric_Nativ'!$C$6:$C$405,F663,'Istoric_Nativ'!$E$6:$E$405,G663,'Istoric_Nativ'!$D$6:$D$405,"&lt;"&amp;J663,'Istoric_Nativ'!$P$6:$P$405,1),IF(H663="AWAY",COUNTIFS('Istoric_Nativ'!$B$6:$B$405,E663,'Istoric_Nativ'!$C$6:$C$405,F663,'Istoric_Nativ'!$F$6:$F$405,G663,'Istoric_Nativ'!$D$6:$D$405,"&lt;"&amp;J663,'Istoric_Nativ'!$P$6:$P$405,1),COUNTIFS('Istoric_Nativ'!$B$6:$B$405,E663,'Istoric_Nativ'!$C$6:$C$405,F663,'Istoric_Nativ'!$E$6:$E$405,G663,'Istoric_Nativ'!$D$6:$D$405,"&lt;"&amp;J663,'Istoric_Nativ'!$P$6:$P$405,1)+COUNTIFS('Istoric_Nativ'!$B$6:$B$405,E663,'Istoric_Nativ'!$C$6:$C$405,F663,'Istoric_Nativ'!$F$6:$F$405,G663,'Istoric_Nativ'!$D$6:$D$405,"&lt;"&amp;J663,'Istoric_Nativ'!$P$6:$P$405,1))))</x:f>
        <x:v>0</x:v>
      </x:c>
      <x:c r="L663" s="17" t="n">
        <x:f>IF(AND(B663&lt;&gt;"",I663="RECENT",K663&gt;0),LARGE(_xlfn._xlws.FILTER('Istoric_Nativ'!$D$6:$D$405,('Istoric_Nativ'!$B$6:$B$405=E663)*('Istoric_Nativ'!$C$6:$C$405=F663)*('Istoric_Nativ'!$P$6:$P$405=1)*('Istoric_Nativ'!$D$6:$D$405&lt;J663)*((('Istoric_Nativ'!$E$6:$E$405=G663)+('Istoric_Nativ'!$F$6:$F$405=G663))&gt;0)),MIN('Config_v6'!$B$54,K663)),0)</x:f>
        <x:v>0</x:v>
      </x:c>
      <x:c r="M663" s="2" t="n">
        <x:f>IF(OR(B663="",F663=""),0,IF(H663="HOME",COUNTIFS('Istoric_Nativ'!$B$6:$B$405,E663,'Istoric_Nativ'!$C$6:$C$405,F663,'Istoric_Nativ'!$E$6:$E$405,G663,'Istoric_Nativ'!$D$6:$D$405,"&lt;"&amp;J663,'Istoric_Nativ'!$P$6:$P$405,1,'Istoric_Nativ'!$D$6:$D$405,"&gt;="&amp;L663),IF(H663="AWAY",COUNTIFS('Istoric_Nativ'!$B$6:$B$405,E663,'Istoric_Nativ'!$C$6:$C$405,F663,'Istoric_Nativ'!$F$6:$F$405,G663,'Istoric_Nativ'!$D$6:$D$405,"&lt;"&amp;J663,'Istoric_Nativ'!$P$6:$P$405,1,'Istoric_Nativ'!$D$6:$D$405,"&gt;="&amp;L663),COUNTIFS('Istoric_Nativ'!$B$6:$B$405,E663,'Istoric_Nativ'!$C$6:$C$405,F663,'Istoric_Nativ'!$E$6:$E$405,G663,'Istoric_Nativ'!$D$6:$D$405,"&lt;"&amp;J663,'Istoric_Nativ'!$P$6:$P$405,1,'Istoric_Nativ'!$D$6:$D$405,"&gt;="&amp;L663)+COUNTIFS('Istoric_Nativ'!$B$6:$B$405,E663,'Istoric_Nativ'!$C$6:$C$405,F663,'Istoric_Nativ'!$F$6:$F$405,G663,'Istoric_Nativ'!$D$6:$D$405,"&lt;"&amp;J663,'Istoric_Nativ'!$P$6:$P$405,1,'Istoric_Nativ'!$D$6:$D$405,"&gt;="&amp;L663))))</x:f>
        <x:v>0</x:v>
      </x:c>
      <x:c r="N663" s="11" t="str">
        <x:f>IF(M663=0,"",IF(H663="HOME",SUMIFS('Istoric_Nativ'!$G$6:$G$405,'Istoric_Nativ'!$B$6:$B$405,E663,'Istoric_Nativ'!$C$6:$C$405,F663,'Istoric_Nativ'!$E$6:$E$405,G663,'Istoric_Nativ'!$D$6:$D$405,"&lt;"&amp;J663,'Istoric_Nativ'!$P$6:$P$405,1,'Istoric_Nativ'!$D$6:$D$405,"&gt;="&amp;L663),IF(H663="AWAY",SUMIFS('Istoric_Nativ'!$H$6:$H$405,'Istoric_Nativ'!$B$6:$B$405,E663,'Istoric_Nativ'!$C$6:$C$405,F663,'Istoric_Nativ'!$F$6:$F$405,G663,'Istoric_Nativ'!$D$6:$D$405,"&lt;"&amp;J663,'Istoric_Nativ'!$P$6:$P$405,1,'Istoric_Nativ'!$D$6:$D$405,"&gt;="&amp;L663),SUMIFS('Istoric_Nativ'!$G$6:$G$405,'Istoric_Nativ'!$B$6:$B$405,E663,'Istoric_Nativ'!$C$6:$C$405,F663,'Istoric_Nativ'!$E$6:$E$405,G663,'Istoric_Nativ'!$D$6:$D$405,"&lt;"&amp;J663,'Istoric_Nativ'!$P$6:$P$405,1,'Istoric_Nativ'!$D$6:$D$405,"&gt;="&amp;L663)+SUMIFS('Istoric_Nativ'!$H$6:$H$405,'Istoric_Nativ'!$B$6:$B$405,E663,'Istoric_Nativ'!$C$6:$C$405,F663,'Istoric_Nativ'!$F$6:$F$405,G663,'Istoric_Nativ'!$D$6:$D$405,"&lt;"&amp;J663,'Istoric_Nativ'!$P$6:$P$405,1,'Istoric_Nativ'!$D$6:$D$405,"&gt;="&amp;L663)))/M663)</x:f>
      </x:c>
      <x:c r="O663" s="11" t="str">
        <x:f>IF(M663=0,"",IF(H663="HOME",SUMIFS('Istoric_Nativ'!$H$6:$H$405,'Istoric_Nativ'!$B$6:$B$405,E663,'Istoric_Nativ'!$C$6:$C$405,F663,'Istoric_Nativ'!$E$6:$E$405,G663,'Istoric_Nativ'!$D$6:$D$405,"&lt;"&amp;J663,'Istoric_Nativ'!$P$6:$P$405,1,'Istoric_Nativ'!$D$6:$D$405,"&gt;="&amp;L663),IF(H663="AWAY",SUMIFS('Istoric_Nativ'!$G$6:$G$405,'Istoric_Nativ'!$B$6:$B$405,E663,'Istoric_Nativ'!$C$6:$C$405,F663,'Istoric_Nativ'!$F$6:$F$405,G663,'Istoric_Nativ'!$D$6:$D$405,"&lt;"&amp;J663,'Istoric_Nativ'!$P$6:$P$405,1,'Istoric_Nativ'!$D$6:$D$405,"&gt;="&amp;L663),SUMIFS('Istoric_Nativ'!$H$6:$H$405,'Istoric_Nativ'!$B$6:$B$405,E663,'Istoric_Nativ'!$C$6:$C$405,F663,'Istoric_Nativ'!$E$6:$E$405,G663,'Istoric_Nativ'!$D$6:$D$405,"&lt;"&amp;J663,'Istoric_Nativ'!$P$6:$P$405,1,'Istoric_Nativ'!$D$6:$D$405,"&gt;="&amp;L663)+SUMIFS('Istoric_Nativ'!$G$6:$G$405,'Istoric_Nativ'!$B$6:$B$405,E663,'Istoric_Nativ'!$C$6:$C$405,F663,'Istoric_Nativ'!$F$6:$F$405,G663,'Istoric_Nativ'!$D$6:$D$405,"&lt;"&amp;J663,'Istoric_Nativ'!$P$6:$P$405,1,'Istoric_Nativ'!$D$6:$D$405,"&gt;="&amp;L663)))/M663)</x:f>
      </x:c>
      <x:c r="P663" s="2" t="n">
        <x:f>'Config_v6'!$B$7</x:f>
        <x:v>10</x:v>
      </x:c>
      <x:c r="Q663" s="2" t="n">
        <x:f>IF(OR(B663="",F663=""),0,IFERROR(MATCH(E663&amp;"|"&amp;F663,SourceTable[Source_Key],0),0))</x:f>
        <x:v>0</x:v>
      </x:c>
      <x:c r="R663" s="2" t="str">
        <x:f>IF(B663="","",IF(F663="","UNUSED",IF(Q663=0,"NOT CHECKED",IF(COUNTIF(SourceTable[Source_Key],E663&amp;"|"&amp;F663)&lt;&gt;1,"SOURCE CONFLICT",IF(NOT(OR(INDEX(SourceTable[Status],MAX(1,Q663))="IMPORTED",INDEX(SourceTable[Status],MAX(1,Q663))="PARTIAL",INDEX(SourceTable[Status],MAX(1,Q663))="SOURCE CONFLICT")),"ACCESS BLOCKED",IF(OR(INDEX(SourceTable[Coverage],Q663)&lt;&gt;"FULL SEASON EXPORT",INDEX(SourceTable[URL],Q663)="",INDEX(SourceTable[SHA256],Q663)=""),"EVIDENCE INCOMPLETE",IF(AND('Input_Meci'!H60="LIVE",INDEX(SourceTable[Retrieved_UTC],Q663)&gt;'Input_Meci'!G60),"POST CUTOFF","CLOSED")))))))</x:f>
      </x:c>
      <x:c r="S663" s="2" t="n">
        <x:f>IF(OR(B663="",F663=""),0,COUNTIFS('Istoric_Nativ'!$B$6:$B$405,E663,'Istoric_Nativ'!$C$6:$C$405,F663,'Istoric_Nativ'!$E$6:$E$405,G663,'Istoric_Nativ'!$D$6:$D$405,"&lt;"&amp;J663,'Istoric_Nativ'!$O$6:$O$405,"INVALID")+COUNTIFS('Istoric_Nativ'!$B$6:$B$405,E663,'Istoric_Nativ'!$C$6:$C$405,F663,'Istoric_Nativ'!$E$6:$E$405,G663,'Istoric_Nativ'!$O$6:$O$405,"INVALID",'Istoric_Nativ'!$D$6:$D$405,"*")+COUNTIFS('Istoric_Nativ'!$B$6:$B$405,E663,'Istoric_Nativ'!$C$6:$C$405,F663,'Istoric_Nativ'!$E$6:$E$405,G663,'Istoric_Nativ'!$D$6:$D$405,"&lt;"&amp;J663,'Istoric_Nativ'!$O$6:$O$405,"SOURCE CONFLICT")+COUNTIFS('Istoric_Nativ'!$B$6:$B$405,E663,'Istoric_Nativ'!$C$6:$C$405,F663,'Istoric_Nativ'!$F$6:$F$405,G663,'Istoric_Nativ'!$D$6:$D$405,"&lt;"&amp;J663,'Istoric_Nativ'!$O$6:$O$405,"INVALID")+COUNTIFS('Istoric_Nativ'!$B$6:$B$405,E663,'Istoric_Nativ'!$C$6:$C$405,F663,'Istoric_Nativ'!$F$6:$F$405,G663,'Istoric_Nativ'!$O$6:$O$405,"INVALID",'Istoric_Nativ'!$D$6:$D$405,"*")+COUNTIFS('Istoric_Nativ'!$B$6:$B$405,E663,'Istoric_Nativ'!$C$6:$C$405,F663,'Istoric_Nativ'!$F$6:$F$405,G663,'Istoric_Nativ'!$D$6:$D$405,"&lt;"&amp;J663,'Istoric_Nativ'!$O$6:$O$405,"SOURCE CONFLICT"))</x:f>
        <x:v>0</x:v>
      </x:c>
      <x:c r="T663" s="2" t="str">
        <x:f>IF(B663="","",IF(R663&lt;&gt;"CLOSED",R663,IF(S663&gt;0,"NATIVE INPUT ISSUE",IF(M663=0,"NO HISTORY",IF(M663&lt;P663,"SMALL SAMPLE","DERIVED")))))</x:f>
      </x:c>
      <x:c r="U663" s="2" t="str">
        <x:f>IF(B663="","","NativeTable; "&amp;E663&amp;"; "&amp;F663&amp;"; "&amp;G663&amp;"; "&amp;H663&amp;"; before "&amp;TEXT(J663,"yyyy-mm-dd")&amp;IF(I663="RECENT","; from "&amp;TEXT(L663,"yyyy-mm-dd"),""))</x:f>
      </x:c>
    </x:row>
    <x:row r="664" ht="21" customHeight="1">
      <x:c r="A664" s="2" t="n">
        <x:v>55</x:v>
      </x:c>
      <x:c r="B664" s="2" t="str">
        <x:f>IF('Input_Meci'!A60="","",'Input_Meci'!A60)</x:f>
      </x:c>
      <x:c r="C664" s="2" t="str">
        <x:v>A</x:v>
      </x:c>
      <x:c r="D664" s="2" t="str">
        <x:v>PRIOR</x:v>
      </x:c>
      <x:c r="E664" s="2" t="str">
        <x:f>IF(B664="","",'Input_Meci'!B60)</x:f>
      </x:c>
      <x:c r="F664" s="2" t="str">
        <x:f>IF(B664="","",IF('Input_Meci'!K60="","",'Input_Meci'!K60))</x:f>
      </x:c>
      <x:c r="G664" s="2" t="str">
        <x:f>IF(B664="","",'Input_Meci'!E60)</x:f>
      </x:c>
      <x:c r="H664" s="2" t="str">
        <x:v>AWAY</x:v>
      </x:c>
      <x:c r="I664" s="2" t="str">
        <x:v>HA</x:v>
      </x:c>
      <x:c r="J664" s="9" t="n">
        <x:f>IF(AND(B664&lt;&gt;"",ISNUMBER('Input_Meci'!G60)),INT('Input_Meci'!G60),0)</x:f>
        <x:v>0</x:v>
      </x:c>
      <x:c r="K664" s="2" t="n">
        <x:f>IF(OR(B664="",F664=""),0,IF(H664="HOME",COUNTIFS('Istoric_Nativ'!$B$6:$B$405,E664,'Istoric_Nativ'!$C$6:$C$405,F664,'Istoric_Nativ'!$E$6:$E$405,G664,'Istoric_Nativ'!$D$6:$D$405,"&lt;"&amp;J664,'Istoric_Nativ'!$P$6:$P$405,1),IF(H664="AWAY",COUNTIFS('Istoric_Nativ'!$B$6:$B$405,E664,'Istoric_Nativ'!$C$6:$C$405,F664,'Istoric_Nativ'!$F$6:$F$405,G664,'Istoric_Nativ'!$D$6:$D$405,"&lt;"&amp;J664,'Istoric_Nativ'!$P$6:$P$405,1),COUNTIFS('Istoric_Nativ'!$B$6:$B$405,E664,'Istoric_Nativ'!$C$6:$C$405,F664,'Istoric_Nativ'!$E$6:$E$405,G664,'Istoric_Nativ'!$D$6:$D$405,"&lt;"&amp;J664,'Istoric_Nativ'!$P$6:$P$405,1)+COUNTIFS('Istoric_Nativ'!$B$6:$B$405,E664,'Istoric_Nativ'!$C$6:$C$405,F664,'Istoric_Nativ'!$F$6:$F$405,G664,'Istoric_Nativ'!$D$6:$D$405,"&lt;"&amp;J664,'Istoric_Nativ'!$P$6:$P$405,1))))</x:f>
        <x:v>0</x:v>
      </x:c>
      <x:c r="L664" s="17" t="n">
        <x:f>IF(AND(B664&lt;&gt;"",I664="RECENT",K664&gt;0),LARGE(_xlfn._xlws.FILTER('Istoric_Nativ'!$D$6:$D$405,('Istoric_Nativ'!$B$6:$B$405=E664)*('Istoric_Nativ'!$C$6:$C$405=F664)*('Istoric_Nativ'!$P$6:$P$405=1)*('Istoric_Nativ'!$D$6:$D$405&lt;J664)*((('Istoric_Nativ'!$E$6:$E$405=G664)+('Istoric_Nativ'!$F$6:$F$405=G664))&gt;0)),MIN('Config_v6'!$B$54,K664)),0)</x:f>
        <x:v>0</x:v>
      </x:c>
      <x:c r="M664" s="2" t="n">
        <x:f>IF(OR(B664="",F664=""),0,IF(H664="HOME",COUNTIFS('Istoric_Nativ'!$B$6:$B$405,E664,'Istoric_Nativ'!$C$6:$C$405,F664,'Istoric_Nativ'!$E$6:$E$405,G664,'Istoric_Nativ'!$D$6:$D$405,"&lt;"&amp;J664,'Istoric_Nativ'!$P$6:$P$405,1,'Istoric_Nativ'!$D$6:$D$405,"&gt;="&amp;L664),IF(H664="AWAY",COUNTIFS('Istoric_Nativ'!$B$6:$B$405,E664,'Istoric_Nativ'!$C$6:$C$405,F664,'Istoric_Nativ'!$F$6:$F$405,G664,'Istoric_Nativ'!$D$6:$D$405,"&lt;"&amp;J664,'Istoric_Nativ'!$P$6:$P$405,1,'Istoric_Nativ'!$D$6:$D$405,"&gt;="&amp;L664),COUNTIFS('Istoric_Nativ'!$B$6:$B$405,E664,'Istoric_Nativ'!$C$6:$C$405,F664,'Istoric_Nativ'!$E$6:$E$405,G664,'Istoric_Nativ'!$D$6:$D$405,"&lt;"&amp;J664,'Istoric_Nativ'!$P$6:$P$405,1,'Istoric_Nativ'!$D$6:$D$405,"&gt;="&amp;L664)+COUNTIFS('Istoric_Nativ'!$B$6:$B$405,E664,'Istoric_Nativ'!$C$6:$C$405,F664,'Istoric_Nativ'!$F$6:$F$405,G664,'Istoric_Nativ'!$D$6:$D$405,"&lt;"&amp;J664,'Istoric_Nativ'!$P$6:$P$405,1,'Istoric_Nativ'!$D$6:$D$405,"&gt;="&amp;L664))))</x:f>
        <x:v>0</x:v>
      </x:c>
      <x:c r="N664" s="11" t="str">
        <x:f>IF(M664=0,"",IF(H664="HOME",SUMIFS('Istoric_Nativ'!$G$6:$G$405,'Istoric_Nativ'!$B$6:$B$405,E664,'Istoric_Nativ'!$C$6:$C$405,F664,'Istoric_Nativ'!$E$6:$E$405,G664,'Istoric_Nativ'!$D$6:$D$405,"&lt;"&amp;J664,'Istoric_Nativ'!$P$6:$P$405,1,'Istoric_Nativ'!$D$6:$D$405,"&gt;="&amp;L664),IF(H664="AWAY",SUMIFS('Istoric_Nativ'!$H$6:$H$405,'Istoric_Nativ'!$B$6:$B$405,E664,'Istoric_Nativ'!$C$6:$C$405,F664,'Istoric_Nativ'!$F$6:$F$405,G664,'Istoric_Nativ'!$D$6:$D$405,"&lt;"&amp;J664,'Istoric_Nativ'!$P$6:$P$405,1,'Istoric_Nativ'!$D$6:$D$405,"&gt;="&amp;L664),SUMIFS('Istoric_Nativ'!$G$6:$G$405,'Istoric_Nativ'!$B$6:$B$405,E664,'Istoric_Nativ'!$C$6:$C$405,F664,'Istoric_Nativ'!$E$6:$E$405,G664,'Istoric_Nativ'!$D$6:$D$405,"&lt;"&amp;J664,'Istoric_Nativ'!$P$6:$P$405,1,'Istoric_Nativ'!$D$6:$D$405,"&gt;="&amp;L664)+SUMIFS('Istoric_Nativ'!$H$6:$H$405,'Istoric_Nativ'!$B$6:$B$405,E664,'Istoric_Nativ'!$C$6:$C$405,F664,'Istoric_Nativ'!$F$6:$F$405,G664,'Istoric_Nativ'!$D$6:$D$405,"&lt;"&amp;J664,'Istoric_Nativ'!$P$6:$P$405,1,'Istoric_Nativ'!$D$6:$D$405,"&gt;="&amp;L664)))/M664)</x:f>
      </x:c>
      <x:c r="O664" s="11" t="str">
        <x:f>IF(M664=0,"",IF(H664="HOME",SUMIFS('Istoric_Nativ'!$H$6:$H$405,'Istoric_Nativ'!$B$6:$B$405,E664,'Istoric_Nativ'!$C$6:$C$405,F664,'Istoric_Nativ'!$E$6:$E$405,G664,'Istoric_Nativ'!$D$6:$D$405,"&lt;"&amp;J664,'Istoric_Nativ'!$P$6:$P$405,1,'Istoric_Nativ'!$D$6:$D$405,"&gt;="&amp;L664),IF(H664="AWAY",SUMIFS('Istoric_Nativ'!$G$6:$G$405,'Istoric_Nativ'!$B$6:$B$405,E664,'Istoric_Nativ'!$C$6:$C$405,F664,'Istoric_Nativ'!$F$6:$F$405,G664,'Istoric_Nativ'!$D$6:$D$405,"&lt;"&amp;J664,'Istoric_Nativ'!$P$6:$P$405,1,'Istoric_Nativ'!$D$6:$D$405,"&gt;="&amp;L664),SUMIFS('Istoric_Nativ'!$H$6:$H$405,'Istoric_Nativ'!$B$6:$B$405,E664,'Istoric_Nativ'!$C$6:$C$405,F664,'Istoric_Nativ'!$E$6:$E$405,G664,'Istoric_Nativ'!$D$6:$D$405,"&lt;"&amp;J664,'Istoric_Nativ'!$P$6:$P$405,1,'Istoric_Nativ'!$D$6:$D$405,"&gt;="&amp;L664)+SUMIFS('Istoric_Nativ'!$G$6:$G$405,'Istoric_Nativ'!$B$6:$B$405,E664,'Istoric_Nativ'!$C$6:$C$405,F664,'Istoric_Nativ'!$F$6:$F$405,G664,'Istoric_Nativ'!$D$6:$D$405,"&lt;"&amp;J664,'Istoric_Nativ'!$P$6:$P$405,1,'Istoric_Nativ'!$D$6:$D$405,"&gt;="&amp;L664)))/M664)</x:f>
      </x:c>
      <x:c r="P664" s="2" t="n">
        <x:f>'Config_v6'!$B$8</x:f>
        <x:v>5</x:v>
      </x:c>
      <x:c r="Q664" s="2" t="n">
        <x:f>IF(OR(B664="",F664=""),0,IFERROR(MATCH(E664&amp;"|"&amp;F664,SourceTable[Source_Key],0),0))</x:f>
        <x:v>0</x:v>
      </x:c>
      <x:c r="R664" s="2" t="str">
        <x:f>IF(B664="","",IF(F664="","UNUSED",IF(Q664=0,"NOT CHECKED",IF(COUNTIF(SourceTable[Source_Key],E664&amp;"|"&amp;F664)&lt;&gt;1,"SOURCE CONFLICT",IF(NOT(OR(INDEX(SourceTable[Status],MAX(1,Q664))="IMPORTED",INDEX(SourceTable[Status],MAX(1,Q664))="PARTIAL",INDEX(SourceTable[Status],MAX(1,Q664))="SOURCE CONFLICT")),"ACCESS BLOCKED",IF(OR(INDEX(SourceTable[Coverage],Q664)&lt;&gt;"FULL SEASON EXPORT",INDEX(SourceTable[URL],Q664)="",INDEX(SourceTable[SHA256],Q664)=""),"EVIDENCE INCOMPLETE",IF(AND('Input_Meci'!H60="LIVE",INDEX(SourceTable[Retrieved_UTC],Q664)&gt;'Input_Meci'!G60),"POST CUTOFF","CLOSED")))))))</x:f>
      </x:c>
      <x:c r="S664" s="2" t="n">
        <x:f>IF(OR(B664="",F664=""),0,COUNTIFS('Istoric_Nativ'!$B$6:$B$405,E664,'Istoric_Nativ'!$C$6:$C$405,F664,'Istoric_Nativ'!$E$6:$E$405,G664,'Istoric_Nativ'!$D$6:$D$405,"&lt;"&amp;J664,'Istoric_Nativ'!$O$6:$O$405,"INVALID")+COUNTIFS('Istoric_Nativ'!$B$6:$B$405,E664,'Istoric_Nativ'!$C$6:$C$405,F664,'Istoric_Nativ'!$E$6:$E$405,G664,'Istoric_Nativ'!$O$6:$O$405,"INVALID",'Istoric_Nativ'!$D$6:$D$405,"*")+COUNTIFS('Istoric_Nativ'!$B$6:$B$405,E664,'Istoric_Nativ'!$C$6:$C$405,F664,'Istoric_Nativ'!$E$6:$E$405,G664,'Istoric_Nativ'!$D$6:$D$405,"&lt;"&amp;J664,'Istoric_Nativ'!$O$6:$O$405,"SOURCE CONFLICT")+COUNTIFS('Istoric_Nativ'!$B$6:$B$405,E664,'Istoric_Nativ'!$C$6:$C$405,F664,'Istoric_Nativ'!$F$6:$F$405,G664,'Istoric_Nativ'!$D$6:$D$405,"&lt;"&amp;J664,'Istoric_Nativ'!$O$6:$O$405,"INVALID")+COUNTIFS('Istoric_Nativ'!$B$6:$B$405,E664,'Istoric_Nativ'!$C$6:$C$405,F664,'Istoric_Nativ'!$F$6:$F$405,G664,'Istoric_Nativ'!$O$6:$O$405,"INVALID",'Istoric_Nativ'!$D$6:$D$405,"*")+COUNTIFS('Istoric_Nativ'!$B$6:$B$405,E664,'Istoric_Nativ'!$C$6:$C$405,F664,'Istoric_Nativ'!$F$6:$F$405,G664,'Istoric_Nativ'!$D$6:$D$405,"&lt;"&amp;J664,'Istoric_Nativ'!$O$6:$O$405,"SOURCE CONFLICT"))</x:f>
        <x:v>0</x:v>
      </x:c>
      <x:c r="T664" s="2" t="str">
        <x:f>IF(B664="","",IF(R664&lt;&gt;"CLOSED",R664,IF(S664&gt;0,"NATIVE INPUT ISSUE",IF(M664=0,"NO HISTORY",IF(M664&lt;P664,"SMALL SAMPLE","DERIVED")))))</x:f>
      </x:c>
      <x:c r="U664" s="2" t="str">
        <x:f>IF(B664="","","NativeTable; "&amp;E664&amp;"; "&amp;F664&amp;"; "&amp;G664&amp;"; "&amp;H664&amp;"; before "&amp;TEXT(J664,"yyyy-mm-dd")&amp;IF(I664="RECENT","; from "&amp;TEXT(L664,"yyyy-mm-dd"),""))</x:f>
      </x:c>
    </x:row>
    <x:row r="665" ht="21" customHeight="1">
      <x:c r="A665" s="2" t="n">
        <x:v>55</x:v>
      </x:c>
      <x:c r="B665" s="2" t="str">
        <x:f>IF('Input_Meci'!A60="","",'Input_Meci'!A60)</x:f>
      </x:c>
      <x:c r="C665" s="2" t="str">
        <x:v>A</x:v>
      </x:c>
      <x:c r="D665" s="2" t="str">
        <x:v>PRIOR</x:v>
      </x:c>
      <x:c r="E665" s="2" t="str">
        <x:f>IF(B665="","",'Input_Meci'!B60)</x:f>
      </x:c>
      <x:c r="F665" s="2" t="str">
        <x:f>IF(B665="","",IF('Input_Meci'!K60="","",'Input_Meci'!K60))</x:f>
      </x:c>
      <x:c r="G665" s="2" t="str">
        <x:f>IF(B665="","",'Input_Meci'!E60)</x:f>
      </x:c>
      <x:c r="H665" s="2" t="str">
        <x:v>ANY</x:v>
      </x:c>
      <x:c r="I665" s="2" t="str">
        <x:v>RECENT</x:v>
      </x:c>
      <x:c r="J665" s="9" t="n">
        <x:f>IF(AND(B665&lt;&gt;"",ISNUMBER('Input_Meci'!G60)),INT('Input_Meci'!G60),0)</x:f>
        <x:v>0</x:v>
      </x:c>
      <x:c r="K665" s="2" t="n">
        <x:f>IF(OR(B665="",F665=""),0,IF(H665="HOME",COUNTIFS('Istoric_Nativ'!$B$6:$B$405,E665,'Istoric_Nativ'!$C$6:$C$405,F665,'Istoric_Nativ'!$E$6:$E$405,G665,'Istoric_Nativ'!$D$6:$D$405,"&lt;"&amp;J665,'Istoric_Nativ'!$P$6:$P$405,1),IF(H665="AWAY",COUNTIFS('Istoric_Nativ'!$B$6:$B$405,E665,'Istoric_Nativ'!$C$6:$C$405,F665,'Istoric_Nativ'!$F$6:$F$405,G665,'Istoric_Nativ'!$D$6:$D$405,"&lt;"&amp;J665,'Istoric_Nativ'!$P$6:$P$405,1),COUNTIFS('Istoric_Nativ'!$B$6:$B$405,E665,'Istoric_Nativ'!$C$6:$C$405,F665,'Istoric_Nativ'!$E$6:$E$405,G665,'Istoric_Nativ'!$D$6:$D$405,"&lt;"&amp;J665,'Istoric_Nativ'!$P$6:$P$405,1)+COUNTIFS('Istoric_Nativ'!$B$6:$B$405,E665,'Istoric_Nativ'!$C$6:$C$405,F665,'Istoric_Nativ'!$F$6:$F$405,G665,'Istoric_Nativ'!$D$6:$D$405,"&lt;"&amp;J665,'Istoric_Nativ'!$P$6:$P$405,1))))</x:f>
        <x:v>0</x:v>
      </x:c>
      <x:c r="L665" s="17" t="n">
        <x:f>IF(AND(B665&lt;&gt;"",I665="RECENT",K665&gt;0),LARGE(_xlfn._xlws.FILTER('Istoric_Nativ'!$D$6:$D$405,('Istoric_Nativ'!$B$6:$B$405=E665)*('Istoric_Nativ'!$C$6:$C$405=F665)*('Istoric_Nativ'!$P$6:$P$405=1)*('Istoric_Nativ'!$D$6:$D$405&lt;J665)*((('Istoric_Nativ'!$E$6:$E$405=G665)+('Istoric_Nativ'!$F$6:$F$405=G665))&gt;0)),MIN('Config_v6'!$B$54,K665)),0)</x:f>
        <x:v>0</x:v>
      </x:c>
      <x:c r="M665" s="2" t="n">
        <x:f>IF(OR(B665="",F665=""),0,IF(H665="HOME",COUNTIFS('Istoric_Nativ'!$B$6:$B$405,E665,'Istoric_Nativ'!$C$6:$C$405,F665,'Istoric_Nativ'!$E$6:$E$405,G665,'Istoric_Nativ'!$D$6:$D$405,"&lt;"&amp;J665,'Istoric_Nativ'!$P$6:$P$405,1,'Istoric_Nativ'!$D$6:$D$405,"&gt;="&amp;L665),IF(H665="AWAY",COUNTIFS('Istoric_Nativ'!$B$6:$B$405,E665,'Istoric_Nativ'!$C$6:$C$405,F665,'Istoric_Nativ'!$F$6:$F$405,G665,'Istoric_Nativ'!$D$6:$D$405,"&lt;"&amp;J665,'Istoric_Nativ'!$P$6:$P$405,1,'Istoric_Nativ'!$D$6:$D$405,"&gt;="&amp;L665),COUNTIFS('Istoric_Nativ'!$B$6:$B$405,E665,'Istoric_Nativ'!$C$6:$C$405,F665,'Istoric_Nativ'!$E$6:$E$405,G665,'Istoric_Nativ'!$D$6:$D$405,"&lt;"&amp;J665,'Istoric_Nativ'!$P$6:$P$405,1,'Istoric_Nativ'!$D$6:$D$405,"&gt;="&amp;L665)+COUNTIFS('Istoric_Nativ'!$B$6:$B$405,E665,'Istoric_Nativ'!$C$6:$C$405,F665,'Istoric_Nativ'!$F$6:$F$405,G665,'Istoric_Nativ'!$D$6:$D$405,"&lt;"&amp;J665,'Istoric_Nativ'!$P$6:$P$405,1,'Istoric_Nativ'!$D$6:$D$405,"&gt;="&amp;L665))))</x:f>
        <x:v>0</x:v>
      </x:c>
      <x:c r="N665" s="11" t="str">
        <x:f>IF(M665=0,"",IF(H665="HOME",SUMIFS('Istoric_Nativ'!$G$6:$G$405,'Istoric_Nativ'!$B$6:$B$405,E665,'Istoric_Nativ'!$C$6:$C$405,F665,'Istoric_Nativ'!$E$6:$E$405,G665,'Istoric_Nativ'!$D$6:$D$405,"&lt;"&amp;J665,'Istoric_Nativ'!$P$6:$P$405,1,'Istoric_Nativ'!$D$6:$D$405,"&gt;="&amp;L665),IF(H665="AWAY",SUMIFS('Istoric_Nativ'!$H$6:$H$405,'Istoric_Nativ'!$B$6:$B$405,E665,'Istoric_Nativ'!$C$6:$C$405,F665,'Istoric_Nativ'!$F$6:$F$405,G665,'Istoric_Nativ'!$D$6:$D$405,"&lt;"&amp;J665,'Istoric_Nativ'!$P$6:$P$405,1,'Istoric_Nativ'!$D$6:$D$405,"&gt;="&amp;L665),SUMIFS('Istoric_Nativ'!$G$6:$G$405,'Istoric_Nativ'!$B$6:$B$405,E665,'Istoric_Nativ'!$C$6:$C$405,F665,'Istoric_Nativ'!$E$6:$E$405,G665,'Istoric_Nativ'!$D$6:$D$405,"&lt;"&amp;J665,'Istoric_Nativ'!$P$6:$P$405,1,'Istoric_Nativ'!$D$6:$D$405,"&gt;="&amp;L665)+SUMIFS('Istoric_Nativ'!$H$6:$H$405,'Istoric_Nativ'!$B$6:$B$405,E665,'Istoric_Nativ'!$C$6:$C$405,F665,'Istoric_Nativ'!$F$6:$F$405,G665,'Istoric_Nativ'!$D$6:$D$405,"&lt;"&amp;J665,'Istoric_Nativ'!$P$6:$P$405,1,'Istoric_Nativ'!$D$6:$D$405,"&gt;="&amp;L665)))/M665)</x:f>
      </x:c>
      <x:c r="O665" s="11" t="str">
        <x:f>IF(M665=0,"",IF(H665="HOME",SUMIFS('Istoric_Nativ'!$H$6:$H$405,'Istoric_Nativ'!$B$6:$B$405,E665,'Istoric_Nativ'!$C$6:$C$405,F665,'Istoric_Nativ'!$E$6:$E$405,G665,'Istoric_Nativ'!$D$6:$D$405,"&lt;"&amp;J665,'Istoric_Nativ'!$P$6:$P$405,1,'Istoric_Nativ'!$D$6:$D$405,"&gt;="&amp;L665),IF(H665="AWAY",SUMIFS('Istoric_Nativ'!$G$6:$G$405,'Istoric_Nativ'!$B$6:$B$405,E665,'Istoric_Nativ'!$C$6:$C$405,F665,'Istoric_Nativ'!$F$6:$F$405,G665,'Istoric_Nativ'!$D$6:$D$405,"&lt;"&amp;J665,'Istoric_Nativ'!$P$6:$P$405,1,'Istoric_Nativ'!$D$6:$D$405,"&gt;="&amp;L665),SUMIFS('Istoric_Nativ'!$H$6:$H$405,'Istoric_Nativ'!$B$6:$B$405,E665,'Istoric_Nativ'!$C$6:$C$405,F665,'Istoric_Nativ'!$E$6:$E$405,G665,'Istoric_Nativ'!$D$6:$D$405,"&lt;"&amp;J665,'Istoric_Nativ'!$P$6:$P$405,1,'Istoric_Nativ'!$D$6:$D$405,"&gt;="&amp;L665)+SUMIFS('Istoric_Nativ'!$G$6:$G$405,'Istoric_Nativ'!$B$6:$B$405,E665,'Istoric_Nativ'!$C$6:$C$405,F665,'Istoric_Nativ'!$F$6:$F$405,G665,'Istoric_Nativ'!$D$6:$D$405,"&lt;"&amp;J665,'Istoric_Nativ'!$P$6:$P$405,1,'Istoric_Nativ'!$D$6:$D$405,"&gt;="&amp;L665)))/M665)</x:f>
      </x:c>
      <x:c r="P665" s="2" t="n">
        <x:f>'Config_v6'!$B$9</x:f>
        <x:v>3</x:v>
      </x:c>
      <x:c r="Q665" s="2" t="n">
        <x:f>IF(OR(B665="",F665=""),0,IFERROR(MATCH(E665&amp;"|"&amp;F665,SourceTable[Source_Key],0),0))</x:f>
        <x:v>0</x:v>
      </x:c>
      <x:c r="R665" s="2" t="str">
        <x:f>IF(B665="","",IF(F665="","UNUSED",IF(Q665=0,"NOT CHECKED",IF(COUNTIF(SourceTable[Source_Key],E665&amp;"|"&amp;F665)&lt;&gt;1,"SOURCE CONFLICT",IF(NOT(OR(INDEX(SourceTable[Status],MAX(1,Q665))="IMPORTED",INDEX(SourceTable[Status],MAX(1,Q665))="PARTIAL",INDEX(SourceTable[Status],MAX(1,Q665))="SOURCE CONFLICT")),"ACCESS BLOCKED",IF(OR(INDEX(SourceTable[Coverage],Q665)&lt;&gt;"FULL SEASON EXPORT",INDEX(SourceTable[URL],Q665)="",INDEX(SourceTable[SHA256],Q665)=""),"EVIDENCE INCOMPLETE",IF(AND('Input_Meci'!H60="LIVE",INDEX(SourceTable[Retrieved_UTC],Q665)&gt;'Input_Meci'!G60),"POST CUTOFF","CLOSED")))))))</x:f>
      </x:c>
      <x:c r="S665" s="2" t="n">
        <x:f>IF(OR(B665="",F665=""),0,COUNTIFS('Istoric_Nativ'!$B$6:$B$405,E665,'Istoric_Nativ'!$C$6:$C$405,F665,'Istoric_Nativ'!$E$6:$E$405,G665,'Istoric_Nativ'!$D$6:$D$405,"&lt;"&amp;J665,'Istoric_Nativ'!$O$6:$O$405,"INVALID")+COUNTIFS('Istoric_Nativ'!$B$6:$B$405,E665,'Istoric_Nativ'!$C$6:$C$405,F665,'Istoric_Nativ'!$E$6:$E$405,G665,'Istoric_Nativ'!$O$6:$O$405,"INVALID",'Istoric_Nativ'!$D$6:$D$405,"*")+COUNTIFS('Istoric_Nativ'!$B$6:$B$405,E665,'Istoric_Nativ'!$C$6:$C$405,F665,'Istoric_Nativ'!$E$6:$E$405,G665,'Istoric_Nativ'!$D$6:$D$405,"&lt;"&amp;J665,'Istoric_Nativ'!$O$6:$O$405,"SOURCE CONFLICT")+COUNTIFS('Istoric_Nativ'!$B$6:$B$405,E665,'Istoric_Nativ'!$C$6:$C$405,F665,'Istoric_Nativ'!$F$6:$F$405,G665,'Istoric_Nativ'!$D$6:$D$405,"&lt;"&amp;J665,'Istoric_Nativ'!$O$6:$O$405,"INVALID")+COUNTIFS('Istoric_Nativ'!$B$6:$B$405,E665,'Istoric_Nativ'!$C$6:$C$405,F665,'Istoric_Nativ'!$F$6:$F$405,G665,'Istoric_Nativ'!$O$6:$O$405,"INVALID",'Istoric_Nativ'!$D$6:$D$405,"*")+COUNTIFS('Istoric_Nativ'!$B$6:$B$405,E665,'Istoric_Nativ'!$C$6:$C$405,F665,'Istoric_Nativ'!$F$6:$F$405,G665,'Istoric_Nativ'!$D$6:$D$405,"&lt;"&amp;J665,'Istoric_Nativ'!$O$6:$O$405,"SOURCE CONFLICT"))</x:f>
        <x:v>0</x:v>
      </x:c>
      <x:c r="T665" s="2" t="str">
        <x:f>IF(B665="","",IF(R665&lt;&gt;"CLOSED",R665,IF(S665&gt;0,"NATIVE INPUT ISSUE",IF(M665=0,"NO HISTORY",IF(M665&lt;P665,"SMALL SAMPLE","DERIVED")))))</x:f>
      </x:c>
      <x:c r="U665" s="2" t="str">
        <x:f>IF(B665="","","NativeTable; "&amp;E665&amp;"; "&amp;F665&amp;"; "&amp;G665&amp;"; "&amp;H665&amp;"; before "&amp;TEXT(J665,"yyyy-mm-dd")&amp;IF(I665="RECENT","; from "&amp;TEXT(L665,"yyyy-mm-dd"),""))</x:f>
      </x:c>
    </x:row>
    <x:row r="666" ht="21" customHeight="1">
      <x:c r="A666" s="2" t="n">
        <x:v>56</x:v>
      </x:c>
      <x:c r="B666" s="2" t="str">
        <x:f>IF('Input_Meci'!A61="","",'Input_Meci'!A61)</x:f>
      </x:c>
      <x:c r="C666" s="2" t="str">
        <x:v>H</x:v>
      </x:c>
      <x:c r="D666" s="2" t="str">
        <x:v>CURRENT</x:v>
      </x:c>
      <x:c r="E666" s="2" t="str">
        <x:f>IF(B666="","",'Input_Meci'!B61)</x:f>
      </x:c>
      <x:c r="F666" s="2" t="str">
        <x:f>IF(B666="","",IF('Input_Meci'!C61="","",'Input_Meci'!C61))</x:f>
      </x:c>
      <x:c r="G666" s="2" t="str">
        <x:f>IF(B666="","",'Input_Meci'!D61)</x:f>
      </x:c>
      <x:c r="H666" s="2" t="str">
        <x:v>ANY</x:v>
      </x:c>
      <x:c r="I666" s="2" t="str">
        <x:v>SEASON</x:v>
      </x:c>
      <x:c r="J666" s="9" t="n">
        <x:f>IF(AND(B666&lt;&gt;"",ISNUMBER('Input_Meci'!G61)),INT('Input_Meci'!G61),0)</x:f>
        <x:v>0</x:v>
      </x:c>
      <x:c r="K666" s="2" t="n">
        <x:f>IF(OR(B666="",F666=""),0,IF(H666="HOME",COUNTIFS('Istoric_Nativ'!$B$6:$B$405,E666,'Istoric_Nativ'!$C$6:$C$405,F666,'Istoric_Nativ'!$E$6:$E$405,G666,'Istoric_Nativ'!$D$6:$D$405,"&lt;"&amp;J666,'Istoric_Nativ'!$P$6:$P$405,1),IF(H666="AWAY",COUNTIFS('Istoric_Nativ'!$B$6:$B$405,E666,'Istoric_Nativ'!$C$6:$C$405,F666,'Istoric_Nativ'!$F$6:$F$405,G666,'Istoric_Nativ'!$D$6:$D$405,"&lt;"&amp;J666,'Istoric_Nativ'!$P$6:$P$405,1),COUNTIFS('Istoric_Nativ'!$B$6:$B$405,E666,'Istoric_Nativ'!$C$6:$C$405,F666,'Istoric_Nativ'!$E$6:$E$405,G666,'Istoric_Nativ'!$D$6:$D$405,"&lt;"&amp;J666,'Istoric_Nativ'!$P$6:$P$405,1)+COUNTIFS('Istoric_Nativ'!$B$6:$B$405,E666,'Istoric_Nativ'!$C$6:$C$405,F666,'Istoric_Nativ'!$F$6:$F$405,G666,'Istoric_Nativ'!$D$6:$D$405,"&lt;"&amp;J666,'Istoric_Nativ'!$P$6:$P$405,1))))</x:f>
        <x:v>0</x:v>
      </x:c>
      <x:c r="L666" s="17" t="n">
        <x:f>IF(AND(B666&lt;&gt;"",I666="RECENT",K666&gt;0),LARGE(_xlfn._xlws.FILTER('Istoric_Nativ'!$D$6:$D$405,('Istoric_Nativ'!$B$6:$B$405=E666)*('Istoric_Nativ'!$C$6:$C$405=F666)*('Istoric_Nativ'!$P$6:$P$405=1)*('Istoric_Nativ'!$D$6:$D$405&lt;J666)*((('Istoric_Nativ'!$E$6:$E$405=G666)+('Istoric_Nativ'!$F$6:$F$405=G666))&gt;0)),MIN('Config_v6'!$B$54,K666)),0)</x:f>
        <x:v>0</x:v>
      </x:c>
      <x:c r="M666" s="2" t="n">
        <x:f>IF(OR(B666="",F666=""),0,IF(H666="HOME",COUNTIFS('Istoric_Nativ'!$B$6:$B$405,E666,'Istoric_Nativ'!$C$6:$C$405,F666,'Istoric_Nativ'!$E$6:$E$405,G666,'Istoric_Nativ'!$D$6:$D$405,"&lt;"&amp;J666,'Istoric_Nativ'!$P$6:$P$405,1,'Istoric_Nativ'!$D$6:$D$405,"&gt;="&amp;L666),IF(H666="AWAY",COUNTIFS('Istoric_Nativ'!$B$6:$B$405,E666,'Istoric_Nativ'!$C$6:$C$405,F666,'Istoric_Nativ'!$F$6:$F$405,G666,'Istoric_Nativ'!$D$6:$D$405,"&lt;"&amp;J666,'Istoric_Nativ'!$P$6:$P$405,1,'Istoric_Nativ'!$D$6:$D$405,"&gt;="&amp;L666),COUNTIFS('Istoric_Nativ'!$B$6:$B$405,E666,'Istoric_Nativ'!$C$6:$C$405,F666,'Istoric_Nativ'!$E$6:$E$405,G666,'Istoric_Nativ'!$D$6:$D$405,"&lt;"&amp;J666,'Istoric_Nativ'!$P$6:$P$405,1,'Istoric_Nativ'!$D$6:$D$405,"&gt;="&amp;L666)+COUNTIFS('Istoric_Nativ'!$B$6:$B$405,E666,'Istoric_Nativ'!$C$6:$C$405,F666,'Istoric_Nativ'!$F$6:$F$405,G666,'Istoric_Nativ'!$D$6:$D$405,"&lt;"&amp;J666,'Istoric_Nativ'!$P$6:$P$405,1,'Istoric_Nativ'!$D$6:$D$405,"&gt;="&amp;L666))))</x:f>
        <x:v>0</x:v>
      </x:c>
      <x:c r="N666" s="11" t="str">
        <x:f>IF(M666=0,"",IF(H666="HOME",SUMIFS('Istoric_Nativ'!$G$6:$G$405,'Istoric_Nativ'!$B$6:$B$405,E666,'Istoric_Nativ'!$C$6:$C$405,F666,'Istoric_Nativ'!$E$6:$E$405,G666,'Istoric_Nativ'!$D$6:$D$405,"&lt;"&amp;J666,'Istoric_Nativ'!$P$6:$P$405,1,'Istoric_Nativ'!$D$6:$D$405,"&gt;="&amp;L666),IF(H666="AWAY",SUMIFS('Istoric_Nativ'!$H$6:$H$405,'Istoric_Nativ'!$B$6:$B$405,E666,'Istoric_Nativ'!$C$6:$C$405,F666,'Istoric_Nativ'!$F$6:$F$405,G666,'Istoric_Nativ'!$D$6:$D$405,"&lt;"&amp;J666,'Istoric_Nativ'!$P$6:$P$405,1,'Istoric_Nativ'!$D$6:$D$405,"&gt;="&amp;L666),SUMIFS('Istoric_Nativ'!$G$6:$G$405,'Istoric_Nativ'!$B$6:$B$405,E666,'Istoric_Nativ'!$C$6:$C$405,F666,'Istoric_Nativ'!$E$6:$E$405,G666,'Istoric_Nativ'!$D$6:$D$405,"&lt;"&amp;J666,'Istoric_Nativ'!$P$6:$P$405,1,'Istoric_Nativ'!$D$6:$D$405,"&gt;="&amp;L666)+SUMIFS('Istoric_Nativ'!$H$6:$H$405,'Istoric_Nativ'!$B$6:$B$405,E666,'Istoric_Nativ'!$C$6:$C$405,F666,'Istoric_Nativ'!$F$6:$F$405,G666,'Istoric_Nativ'!$D$6:$D$405,"&lt;"&amp;J666,'Istoric_Nativ'!$P$6:$P$405,1,'Istoric_Nativ'!$D$6:$D$405,"&gt;="&amp;L666)))/M666)</x:f>
      </x:c>
      <x:c r="O666" s="11" t="str">
        <x:f>IF(M666=0,"",IF(H666="HOME",SUMIFS('Istoric_Nativ'!$H$6:$H$405,'Istoric_Nativ'!$B$6:$B$405,E666,'Istoric_Nativ'!$C$6:$C$405,F666,'Istoric_Nativ'!$E$6:$E$405,G666,'Istoric_Nativ'!$D$6:$D$405,"&lt;"&amp;J666,'Istoric_Nativ'!$P$6:$P$405,1,'Istoric_Nativ'!$D$6:$D$405,"&gt;="&amp;L666),IF(H666="AWAY",SUMIFS('Istoric_Nativ'!$G$6:$G$405,'Istoric_Nativ'!$B$6:$B$405,E666,'Istoric_Nativ'!$C$6:$C$405,F666,'Istoric_Nativ'!$F$6:$F$405,G666,'Istoric_Nativ'!$D$6:$D$405,"&lt;"&amp;J666,'Istoric_Nativ'!$P$6:$P$405,1,'Istoric_Nativ'!$D$6:$D$405,"&gt;="&amp;L666),SUMIFS('Istoric_Nativ'!$H$6:$H$405,'Istoric_Nativ'!$B$6:$B$405,E666,'Istoric_Nativ'!$C$6:$C$405,F666,'Istoric_Nativ'!$E$6:$E$405,G666,'Istoric_Nativ'!$D$6:$D$405,"&lt;"&amp;J666,'Istoric_Nativ'!$P$6:$P$405,1,'Istoric_Nativ'!$D$6:$D$405,"&gt;="&amp;L666)+SUMIFS('Istoric_Nativ'!$G$6:$G$405,'Istoric_Nativ'!$B$6:$B$405,E666,'Istoric_Nativ'!$C$6:$C$405,F666,'Istoric_Nativ'!$F$6:$F$405,G666,'Istoric_Nativ'!$D$6:$D$405,"&lt;"&amp;J666,'Istoric_Nativ'!$P$6:$P$405,1,'Istoric_Nativ'!$D$6:$D$405,"&gt;="&amp;L666)))/M666)</x:f>
      </x:c>
      <x:c r="P666" s="2" t="n">
        <x:f>'Config_v6'!$B$7</x:f>
        <x:v>10</x:v>
      </x:c>
      <x:c r="Q666" s="2" t="n">
        <x:f>IF(OR(B666="",F666=""),0,IFERROR(MATCH(E666&amp;"|"&amp;F666,SourceTable[Source_Key],0),0))</x:f>
        <x:v>0</x:v>
      </x:c>
      <x:c r="R666" s="2" t="str">
        <x:f>IF(B666="","",IF(F666="","UNUSED",IF(Q666=0,"NOT CHECKED",IF(COUNTIF(SourceTable[Source_Key],E666&amp;"|"&amp;F666)&lt;&gt;1,"SOURCE CONFLICT",IF(NOT(OR(INDEX(SourceTable[Status],MAX(1,Q666))="IMPORTED",INDEX(SourceTable[Status],MAX(1,Q666))="PARTIAL",INDEX(SourceTable[Status],MAX(1,Q666))="SOURCE CONFLICT")),"ACCESS BLOCKED",IF(OR(INDEX(SourceTable[Coverage],Q666)&lt;&gt;"FULL SEASON EXPORT",INDEX(SourceTable[URL],Q666)="",INDEX(SourceTable[SHA256],Q666)=""),"EVIDENCE INCOMPLETE",IF(AND('Input_Meci'!H61="LIVE",INDEX(SourceTable[Retrieved_UTC],Q666)&gt;'Input_Meci'!G61),"POST CUTOFF","CLOSED")))))))</x:f>
      </x:c>
      <x:c r="S666" s="2" t="n">
        <x:f>IF(OR(B666="",F666=""),0,COUNTIFS('Istoric_Nativ'!$B$6:$B$405,E666,'Istoric_Nativ'!$C$6:$C$405,F666,'Istoric_Nativ'!$E$6:$E$405,G666,'Istoric_Nativ'!$D$6:$D$405,"&lt;"&amp;J666,'Istoric_Nativ'!$O$6:$O$405,"INVALID")+COUNTIFS('Istoric_Nativ'!$B$6:$B$405,E666,'Istoric_Nativ'!$C$6:$C$405,F666,'Istoric_Nativ'!$E$6:$E$405,G666,'Istoric_Nativ'!$O$6:$O$405,"INVALID",'Istoric_Nativ'!$D$6:$D$405,"*")+COUNTIFS('Istoric_Nativ'!$B$6:$B$405,E666,'Istoric_Nativ'!$C$6:$C$405,F666,'Istoric_Nativ'!$E$6:$E$405,G666,'Istoric_Nativ'!$D$6:$D$405,"&lt;"&amp;J666,'Istoric_Nativ'!$O$6:$O$405,"SOURCE CONFLICT")+COUNTIFS('Istoric_Nativ'!$B$6:$B$405,E666,'Istoric_Nativ'!$C$6:$C$405,F666,'Istoric_Nativ'!$F$6:$F$405,G666,'Istoric_Nativ'!$D$6:$D$405,"&lt;"&amp;J666,'Istoric_Nativ'!$O$6:$O$405,"INVALID")+COUNTIFS('Istoric_Nativ'!$B$6:$B$405,E666,'Istoric_Nativ'!$C$6:$C$405,F666,'Istoric_Nativ'!$F$6:$F$405,G666,'Istoric_Nativ'!$O$6:$O$405,"INVALID",'Istoric_Nativ'!$D$6:$D$405,"*")+COUNTIFS('Istoric_Nativ'!$B$6:$B$405,E666,'Istoric_Nativ'!$C$6:$C$405,F666,'Istoric_Nativ'!$F$6:$F$405,G666,'Istoric_Nativ'!$D$6:$D$405,"&lt;"&amp;J666,'Istoric_Nativ'!$O$6:$O$405,"SOURCE CONFLICT"))</x:f>
        <x:v>0</x:v>
      </x:c>
      <x:c r="T666" s="2" t="str">
        <x:f>IF(B666="","",IF(R666&lt;&gt;"CLOSED",R666,IF(S666&gt;0,"NATIVE INPUT ISSUE",IF(M666=0,"NO HISTORY",IF(M666&lt;P666,"SMALL SAMPLE","DERIVED")))))</x:f>
      </x:c>
      <x:c r="U666" s="2" t="str">
        <x:f>IF(B666="","","NativeTable; "&amp;E666&amp;"; "&amp;F666&amp;"; "&amp;G666&amp;"; "&amp;H666&amp;"; before "&amp;TEXT(J666,"yyyy-mm-dd")&amp;IF(I666="RECENT","; from "&amp;TEXT(L666,"yyyy-mm-dd"),""))</x:f>
      </x:c>
    </x:row>
    <x:row r="667" ht="21" customHeight="1">
      <x:c r="A667" s="2" t="n">
        <x:v>56</x:v>
      </x:c>
      <x:c r="B667" s="2" t="str">
        <x:f>IF('Input_Meci'!A61="","",'Input_Meci'!A61)</x:f>
      </x:c>
      <x:c r="C667" s="2" t="str">
        <x:v>H</x:v>
      </x:c>
      <x:c r="D667" s="2" t="str">
        <x:v>CURRENT</x:v>
      </x:c>
      <x:c r="E667" s="2" t="str">
        <x:f>IF(B667="","",'Input_Meci'!B61)</x:f>
      </x:c>
      <x:c r="F667" s="2" t="str">
        <x:f>IF(B667="","",IF('Input_Meci'!C61="","",'Input_Meci'!C61))</x:f>
      </x:c>
      <x:c r="G667" s="2" t="str">
        <x:f>IF(B667="","",'Input_Meci'!D61)</x:f>
      </x:c>
      <x:c r="H667" s="2" t="str">
        <x:v>HOME</x:v>
      </x:c>
      <x:c r="I667" s="2" t="str">
        <x:v>HA</x:v>
      </x:c>
      <x:c r="J667" s="9" t="n">
        <x:f>IF(AND(B667&lt;&gt;"",ISNUMBER('Input_Meci'!G61)),INT('Input_Meci'!G61),0)</x:f>
        <x:v>0</x:v>
      </x:c>
      <x:c r="K667" s="2" t="n">
        <x:f>IF(OR(B667="",F667=""),0,IF(H667="HOME",COUNTIFS('Istoric_Nativ'!$B$6:$B$405,E667,'Istoric_Nativ'!$C$6:$C$405,F667,'Istoric_Nativ'!$E$6:$E$405,G667,'Istoric_Nativ'!$D$6:$D$405,"&lt;"&amp;J667,'Istoric_Nativ'!$P$6:$P$405,1),IF(H667="AWAY",COUNTIFS('Istoric_Nativ'!$B$6:$B$405,E667,'Istoric_Nativ'!$C$6:$C$405,F667,'Istoric_Nativ'!$F$6:$F$405,G667,'Istoric_Nativ'!$D$6:$D$405,"&lt;"&amp;J667,'Istoric_Nativ'!$P$6:$P$405,1),COUNTIFS('Istoric_Nativ'!$B$6:$B$405,E667,'Istoric_Nativ'!$C$6:$C$405,F667,'Istoric_Nativ'!$E$6:$E$405,G667,'Istoric_Nativ'!$D$6:$D$405,"&lt;"&amp;J667,'Istoric_Nativ'!$P$6:$P$405,1)+COUNTIFS('Istoric_Nativ'!$B$6:$B$405,E667,'Istoric_Nativ'!$C$6:$C$405,F667,'Istoric_Nativ'!$F$6:$F$405,G667,'Istoric_Nativ'!$D$6:$D$405,"&lt;"&amp;J667,'Istoric_Nativ'!$P$6:$P$405,1))))</x:f>
        <x:v>0</x:v>
      </x:c>
      <x:c r="L667" s="17" t="n">
        <x:f>IF(AND(B667&lt;&gt;"",I667="RECENT",K667&gt;0),LARGE(_xlfn._xlws.FILTER('Istoric_Nativ'!$D$6:$D$405,('Istoric_Nativ'!$B$6:$B$405=E667)*('Istoric_Nativ'!$C$6:$C$405=F667)*('Istoric_Nativ'!$P$6:$P$405=1)*('Istoric_Nativ'!$D$6:$D$405&lt;J667)*((('Istoric_Nativ'!$E$6:$E$405=G667)+('Istoric_Nativ'!$F$6:$F$405=G667))&gt;0)),MIN('Config_v6'!$B$54,K667)),0)</x:f>
        <x:v>0</x:v>
      </x:c>
      <x:c r="M667" s="2" t="n">
        <x:f>IF(OR(B667="",F667=""),0,IF(H667="HOME",COUNTIFS('Istoric_Nativ'!$B$6:$B$405,E667,'Istoric_Nativ'!$C$6:$C$405,F667,'Istoric_Nativ'!$E$6:$E$405,G667,'Istoric_Nativ'!$D$6:$D$405,"&lt;"&amp;J667,'Istoric_Nativ'!$P$6:$P$405,1,'Istoric_Nativ'!$D$6:$D$405,"&gt;="&amp;L667),IF(H667="AWAY",COUNTIFS('Istoric_Nativ'!$B$6:$B$405,E667,'Istoric_Nativ'!$C$6:$C$405,F667,'Istoric_Nativ'!$F$6:$F$405,G667,'Istoric_Nativ'!$D$6:$D$405,"&lt;"&amp;J667,'Istoric_Nativ'!$P$6:$P$405,1,'Istoric_Nativ'!$D$6:$D$405,"&gt;="&amp;L667),COUNTIFS('Istoric_Nativ'!$B$6:$B$405,E667,'Istoric_Nativ'!$C$6:$C$405,F667,'Istoric_Nativ'!$E$6:$E$405,G667,'Istoric_Nativ'!$D$6:$D$405,"&lt;"&amp;J667,'Istoric_Nativ'!$P$6:$P$405,1,'Istoric_Nativ'!$D$6:$D$405,"&gt;="&amp;L667)+COUNTIFS('Istoric_Nativ'!$B$6:$B$405,E667,'Istoric_Nativ'!$C$6:$C$405,F667,'Istoric_Nativ'!$F$6:$F$405,G667,'Istoric_Nativ'!$D$6:$D$405,"&lt;"&amp;J667,'Istoric_Nativ'!$P$6:$P$405,1,'Istoric_Nativ'!$D$6:$D$405,"&gt;="&amp;L667))))</x:f>
        <x:v>0</x:v>
      </x:c>
      <x:c r="N667" s="11" t="str">
        <x:f>IF(M667=0,"",IF(H667="HOME",SUMIFS('Istoric_Nativ'!$G$6:$G$405,'Istoric_Nativ'!$B$6:$B$405,E667,'Istoric_Nativ'!$C$6:$C$405,F667,'Istoric_Nativ'!$E$6:$E$405,G667,'Istoric_Nativ'!$D$6:$D$405,"&lt;"&amp;J667,'Istoric_Nativ'!$P$6:$P$405,1,'Istoric_Nativ'!$D$6:$D$405,"&gt;="&amp;L667),IF(H667="AWAY",SUMIFS('Istoric_Nativ'!$H$6:$H$405,'Istoric_Nativ'!$B$6:$B$405,E667,'Istoric_Nativ'!$C$6:$C$405,F667,'Istoric_Nativ'!$F$6:$F$405,G667,'Istoric_Nativ'!$D$6:$D$405,"&lt;"&amp;J667,'Istoric_Nativ'!$P$6:$P$405,1,'Istoric_Nativ'!$D$6:$D$405,"&gt;="&amp;L667),SUMIFS('Istoric_Nativ'!$G$6:$G$405,'Istoric_Nativ'!$B$6:$B$405,E667,'Istoric_Nativ'!$C$6:$C$405,F667,'Istoric_Nativ'!$E$6:$E$405,G667,'Istoric_Nativ'!$D$6:$D$405,"&lt;"&amp;J667,'Istoric_Nativ'!$P$6:$P$405,1,'Istoric_Nativ'!$D$6:$D$405,"&gt;="&amp;L667)+SUMIFS('Istoric_Nativ'!$H$6:$H$405,'Istoric_Nativ'!$B$6:$B$405,E667,'Istoric_Nativ'!$C$6:$C$405,F667,'Istoric_Nativ'!$F$6:$F$405,G667,'Istoric_Nativ'!$D$6:$D$405,"&lt;"&amp;J667,'Istoric_Nativ'!$P$6:$P$405,1,'Istoric_Nativ'!$D$6:$D$405,"&gt;="&amp;L667)))/M667)</x:f>
      </x:c>
      <x:c r="O667" s="11" t="str">
        <x:f>IF(M667=0,"",IF(H667="HOME",SUMIFS('Istoric_Nativ'!$H$6:$H$405,'Istoric_Nativ'!$B$6:$B$405,E667,'Istoric_Nativ'!$C$6:$C$405,F667,'Istoric_Nativ'!$E$6:$E$405,G667,'Istoric_Nativ'!$D$6:$D$405,"&lt;"&amp;J667,'Istoric_Nativ'!$P$6:$P$405,1,'Istoric_Nativ'!$D$6:$D$405,"&gt;="&amp;L667),IF(H667="AWAY",SUMIFS('Istoric_Nativ'!$G$6:$G$405,'Istoric_Nativ'!$B$6:$B$405,E667,'Istoric_Nativ'!$C$6:$C$405,F667,'Istoric_Nativ'!$F$6:$F$405,G667,'Istoric_Nativ'!$D$6:$D$405,"&lt;"&amp;J667,'Istoric_Nativ'!$P$6:$P$405,1,'Istoric_Nativ'!$D$6:$D$405,"&gt;="&amp;L667),SUMIFS('Istoric_Nativ'!$H$6:$H$405,'Istoric_Nativ'!$B$6:$B$405,E667,'Istoric_Nativ'!$C$6:$C$405,F667,'Istoric_Nativ'!$E$6:$E$405,G667,'Istoric_Nativ'!$D$6:$D$405,"&lt;"&amp;J667,'Istoric_Nativ'!$P$6:$P$405,1,'Istoric_Nativ'!$D$6:$D$405,"&gt;="&amp;L667)+SUMIFS('Istoric_Nativ'!$G$6:$G$405,'Istoric_Nativ'!$B$6:$B$405,E667,'Istoric_Nativ'!$C$6:$C$405,F667,'Istoric_Nativ'!$F$6:$F$405,G667,'Istoric_Nativ'!$D$6:$D$405,"&lt;"&amp;J667,'Istoric_Nativ'!$P$6:$P$405,1,'Istoric_Nativ'!$D$6:$D$405,"&gt;="&amp;L667)))/M667)</x:f>
      </x:c>
      <x:c r="P667" s="2" t="n">
        <x:f>'Config_v6'!$B$8</x:f>
        <x:v>5</x:v>
      </x:c>
      <x:c r="Q667" s="2" t="n">
        <x:f>IF(OR(B667="",F667=""),0,IFERROR(MATCH(E667&amp;"|"&amp;F667,SourceTable[Source_Key],0),0))</x:f>
        <x:v>0</x:v>
      </x:c>
      <x:c r="R667" s="2" t="str">
        <x:f>IF(B667="","",IF(F667="","UNUSED",IF(Q667=0,"NOT CHECKED",IF(COUNTIF(SourceTable[Source_Key],E667&amp;"|"&amp;F667)&lt;&gt;1,"SOURCE CONFLICT",IF(NOT(OR(INDEX(SourceTable[Status],MAX(1,Q667))="IMPORTED",INDEX(SourceTable[Status],MAX(1,Q667))="PARTIAL",INDEX(SourceTable[Status],MAX(1,Q667))="SOURCE CONFLICT")),"ACCESS BLOCKED",IF(OR(INDEX(SourceTable[Coverage],Q667)&lt;&gt;"FULL SEASON EXPORT",INDEX(SourceTable[URL],Q667)="",INDEX(SourceTable[SHA256],Q667)=""),"EVIDENCE INCOMPLETE",IF(AND('Input_Meci'!H61="LIVE",INDEX(SourceTable[Retrieved_UTC],Q667)&gt;'Input_Meci'!G61),"POST CUTOFF","CLOSED")))))))</x:f>
      </x:c>
      <x:c r="S667" s="2" t="n">
        <x:f>IF(OR(B667="",F667=""),0,COUNTIFS('Istoric_Nativ'!$B$6:$B$405,E667,'Istoric_Nativ'!$C$6:$C$405,F667,'Istoric_Nativ'!$E$6:$E$405,G667,'Istoric_Nativ'!$D$6:$D$405,"&lt;"&amp;J667,'Istoric_Nativ'!$O$6:$O$405,"INVALID")+COUNTIFS('Istoric_Nativ'!$B$6:$B$405,E667,'Istoric_Nativ'!$C$6:$C$405,F667,'Istoric_Nativ'!$E$6:$E$405,G667,'Istoric_Nativ'!$O$6:$O$405,"INVALID",'Istoric_Nativ'!$D$6:$D$405,"*")+COUNTIFS('Istoric_Nativ'!$B$6:$B$405,E667,'Istoric_Nativ'!$C$6:$C$405,F667,'Istoric_Nativ'!$E$6:$E$405,G667,'Istoric_Nativ'!$D$6:$D$405,"&lt;"&amp;J667,'Istoric_Nativ'!$O$6:$O$405,"SOURCE CONFLICT")+COUNTIFS('Istoric_Nativ'!$B$6:$B$405,E667,'Istoric_Nativ'!$C$6:$C$405,F667,'Istoric_Nativ'!$F$6:$F$405,G667,'Istoric_Nativ'!$D$6:$D$405,"&lt;"&amp;J667,'Istoric_Nativ'!$O$6:$O$405,"INVALID")+COUNTIFS('Istoric_Nativ'!$B$6:$B$405,E667,'Istoric_Nativ'!$C$6:$C$405,F667,'Istoric_Nativ'!$F$6:$F$405,G667,'Istoric_Nativ'!$O$6:$O$405,"INVALID",'Istoric_Nativ'!$D$6:$D$405,"*")+COUNTIFS('Istoric_Nativ'!$B$6:$B$405,E667,'Istoric_Nativ'!$C$6:$C$405,F667,'Istoric_Nativ'!$F$6:$F$405,G667,'Istoric_Nativ'!$D$6:$D$405,"&lt;"&amp;J667,'Istoric_Nativ'!$O$6:$O$405,"SOURCE CONFLICT"))</x:f>
        <x:v>0</x:v>
      </x:c>
      <x:c r="T667" s="2" t="str">
        <x:f>IF(B667="","",IF(R667&lt;&gt;"CLOSED",R667,IF(S667&gt;0,"NATIVE INPUT ISSUE",IF(M667=0,"NO HISTORY",IF(M667&lt;P667,"SMALL SAMPLE","DERIVED")))))</x:f>
      </x:c>
      <x:c r="U667" s="2" t="str">
        <x:f>IF(B667="","","NativeTable; "&amp;E667&amp;"; "&amp;F667&amp;"; "&amp;G667&amp;"; "&amp;H667&amp;"; before "&amp;TEXT(J667,"yyyy-mm-dd")&amp;IF(I667="RECENT","; from "&amp;TEXT(L667,"yyyy-mm-dd"),""))</x:f>
      </x:c>
    </x:row>
    <x:row r="668" ht="21" customHeight="1">
      <x:c r="A668" s="2" t="n">
        <x:v>56</x:v>
      </x:c>
      <x:c r="B668" s="2" t="str">
        <x:f>IF('Input_Meci'!A61="","",'Input_Meci'!A61)</x:f>
      </x:c>
      <x:c r="C668" s="2" t="str">
        <x:v>H</x:v>
      </x:c>
      <x:c r="D668" s="2" t="str">
        <x:v>CURRENT</x:v>
      </x:c>
      <x:c r="E668" s="2" t="str">
        <x:f>IF(B668="","",'Input_Meci'!B61)</x:f>
      </x:c>
      <x:c r="F668" s="2" t="str">
        <x:f>IF(B668="","",IF('Input_Meci'!C61="","",'Input_Meci'!C61))</x:f>
      </x:c>
      <x:c r="G668" s="2" t="str">
        <x:f>IF(B668="","",'Input_Meci'!D61)</x:f>
      </x:c>
      <x:c r="H668" s="2" t="str">
        <x:v>ANY</x:v>
      </x:c>
      <x:c r="I668" s="2" t="str">
        <x:v>RECENT</x:v>
      </x:c>
      <x:c r="J668" s="9" t="n">
        <x:f>IF(AND(B668&lt;&gt;"",ISNUMBER('Input_Meci'!G61)),INT('Input_Meci'!G61),0)</x:f>
        <x:v>0</x:v>
      </x:c>
      <x:c r="K668" s="2" t="n">
        <x:f>IF(OR(B668="",F668=""),0,IF(H668="HOME",COUNTIFS('Istoric_Nativ'!$B$6:$B$405,E668,'Istoric_Nativ'!$C$6:$C$405,F668,'Istoric_Nativ'!$E$6:$E$405,G668,'Istoric_Nativ'!$D$6:$D$405,"&lt;"&amp;J668,'Istoric_Nativ'!$P$6:$P$405,1),IF(H668="AWAY",COUNTIFS('Istoric_Nativ'!$B$6:$B$405,E668,'Istoric_Nativ'!$C$6:$C$405,F668,'Istoric_Nativ'!$F$6:$F$405,G668,'Istoric_Nativ'!$D$6:$D$405,"&lt;"&amp;J668,'Istoric_Nativ'!$P$6:$P$405,1),COUNTIFS('Istoric_Nativ'!$B$6:$B$405,E668,'Istoric_Nativ'!$C$6:$C$405,F668,'Istoric_Nativ'!$E$6:$E$405,G668,'Istoric_Nativ'!$D$6:$D$405,"&lt;"&amp;J668,'Istoric_Nativ'!$P$6:$P$405,1)+COUNTIFS('Istoric_Nativ'!$B$6:$B$405,E668,'Istoric_Nativ'!$C$6:$C$405,F668,'Istoric_Nativ'!$F$6:$F$405,G668,'Istoric_Nativ'!$D$6:$D$405,"&lt;"&amp;J668,'Istoric_Nativ'!$P$6:$P$405,1))))</x:f>
        <x:v>0</x:v>
      </x:c>
      <x:c r="L668" s="17" t="n">
        <x:f>IF(AND(B668&lt;&gt;"",I668="RECENT",K668&gt;0),LARGE(_xlfn._xlws.FILTER('Istoric_Nativ'!$D$6:$D$405,('Istoric_Nativ'!$B$6:$B$405=E668)*('Istoric_Nativ'!$C$6:$C$405=F668)*('Istoric_Nativ'!$P$6:$P$405=1)*('Istoric_Nativ'!$D$6:$D$405&lt;J668)*((('Istoric_Nativ'!$E$6:$E$405=G668)+('Istoric_Nativ'!$F$6:$F$405=G668))&gt;0)),MIN('Config_v6'!$B$54,K668)),0)</x:f>
        <x:v>0</x:v>
      </x:c>
      <x:c r="M668" s="2" t="n">
        <x:f>IF(OR(B668="",F668=""),0,IF(H668="HOME",COUNTIFS('Istoric_Nativ'!$B$6:$B$405,E668,'Istoric_Nativ'!$C$6:$C$405,F668,'Istoric_Nativ'!$E$6:$E$405,G668,'Istoric_Nativ'!$D$6:$D$405,"&lt;"&amp;J668,'Istoric_Nativ'!$P$6:$P$405,1,'Istoric_Nativ'!$D$6:$D$405,"&gt;="&amp;L668),IF(H668="AWAY",COUNTIFS('Istoric_Nativ'!$B$6:$B$405,E668,'Istoric_Nativ'!$C$6:$C$405,F668,'Istoric_Nativ'!$F$6:$F$405,G668,'Istoric_Nativ'!$D$6:$D$405,"&lt;"&amp;J668,'Istoric_Nativ'!$P$6:$P$405,1,'Istoric_Nativ'!$D$6:$D$405,"&gt;="&amp;L668),COUNTIFS('Istoric_Nativ'!$B$6:$B$405,E668,'Istoric_Nativ'!$C$6:$C$405,F668,'Istoric_Nativ'!$E$6:$E$405,G668,'Istoric_Nativ'!$D$6:$D$405,"&lt;"&amp;J668,'Istoric_Nativ'!$P$6:$P$405,1,'Istoric_Nativ'!$D$6:$D$405,"&gt;="&amp;L668)+COUNTIFS('Istoric_Nativ'!$B$6:$B$405,E668,'Istoric_Nativ'!$C$6:$C$405,F668,'Istoric_Nativ'!$F$6:$F$405,G668,'Istoric_Nativ'!$D$6:$D$405,"&lt;"&amp;J668,'Istoric_Nativ'!$P$6:$P$405,1,'Istoric_Nativ'!$D$6:$D$405,"&gt;="&amp;L668))))</x:f>
        <x:v>0</x:v>
      </x:c>
      <x:c r="N668" s="11" t="str">
        <x:f>IF(M668=0,"",IF(H668="HOME",SUMIFS('Istoric_Nativ'!$G$6:$G$405,'Istoric_Nativ'!$B$6:$B$405,E668,'Istoric_Nativ'!$C$6:$C$405,F668,'Istoric_Nativ'!$E$6:$E$405,G668,'Istoric_Nativ'!$D$6:$D$405,"&lt;"&amp;J668,'Istoric_Nativ'!$P$6:$P$405,1,'Istoric_Nativ'!$D$6:$D$405,"&gt;="&amp;L668),IF(H668="AWAY",SUMIFS('Istoric_Nativ'!$H$6:$H$405,'Istoric_Nativ'!$B$6:$B$405,E668,'Istoric_Nativ'!$C$6:$C$405,F668,'Istoric_Nativ'!$F$6:$F$405,G668,'Istoric_Nativ'!$D$6:$D$405,"&lt;"&amp;J668,'Istoric_Nativ'!$P$6:$P$405,1,'Istoric_Nativ'!$D$6:$D$405,"&gt;="&amp;L668),SUMIFS('Istoric_Nativ'!$G$6:$G$405,'Istoric_Nativ'!$B$6:$B$405,E668,'Istoric_Nativ'!$C$6:$C$405,F668,'Istoric_Nativ'!$E$6:$E$405,G668,'Istoric_Nativ'!$D$6:$D$405,"&lt;"&amp;J668,'Istoric_Nativ'!$P$6:$P$405,1,'Istoric_Nativ'!$D$6:$D$405,"&gt;="&amp;L668)+SUMIFS('Istoric_Nativ'!$H$6:$H$405,'Istoric_Nativ'!$B$6:$B$405,E668,'Istoric_Nativ'!$C$6:$C$405,F668,'Istoric_Nativ'!$F$6:$F$405,G668,'Istoric_Nativ'!$D$6:$D$405,"&lt;"&amp;J668,'Istoric_Nativ'!$P$6:$P$405,1,'Istoric_Nativ'!$D$6:$D$405,"&gt;="&amp;L668)))/M668)</x:f>
      </x:c>
      <x:c r="O668" s="11" t="str">
        <x:f>IF(M668=0,"",IF(H668="HOME",SUMIFS('Istoric_Nativ'!$H$6:$H$405,'Istoric_Nativ'!$B$6:$B$405,E668,'Istoric_Nativ'!$C$6:$C$405,F668,'Istoric_Nativ'!$E$6:$E$405,G668,'Istoric_Nativ'!$D$6:$D$405,"&lt;"&amp;J668,'Istoric_Nativ'!$P$6:$P$405,1,'Istoric_Nativ'!$D$6:$D$405,"&gt;="&amp;L668),IF(H668="AWAY",SUMIFS('Istoric_Nativ'!$G$6:$G$405,'Istoric_Nativ'!$B$6:$B$405,E668,'Istoric_Nativ'!$C$6:$C$405,F668,'Istoric_Nativ'!$F$6:$F$405,G668,'Istoric_Nativ'!$D$6:$D$405,"&lt;"&amp;J668,'Istoric_Nativ'!$P$6:$P$405,1,'Istoric_Nativ'!$D$6:$D$405,"&gt;="&amp;L668),SUMIFS('Istoric_Nativ'!$H$6:$H$405,'Istoric_Nativ'!$B$6:$B$405,E668,'Istoric_Nativ'!$C$6:$C$405,F668,'Istoric_Nativ'!$E$6:$E$405,G668,'Istoric_Nativ'!$D$6:$D$405,"&lt;"&amp;J668,'Istoric_Nativ'!$P$6:$P$405,1,'Istoric_Nativ'!$D$6:$D$405,"&gt;="&amp;L668)+SUMIFS('Istoric_Nativ'!$G$6:$G$405,'Istoric_Nativ'!$B$6:$B$405,E668,'Istoric_Nativ'!$C$6:$C$405,F668,'Istoric_Nativ'!$F$6:$F$405,G668,'Istoric_Nativ'!$D$6:$D$405,"&lt;"&amp;J668,'Istoric_Nativ'!$P$6:$P$405,1,'Istoric_Nativ'!$D$6:$D$405,"&gt;="&amp;L668)))/M668)</x:f>
      </x:c>
      <x:c r="P668" s="2" t="n">
        <x:f>'Config_v6'!$B$9</x:f>
        <x:v>3</x:v>
      </x:c>
      <x:c r="Q668" s="2" t="n">
        <x:f>IF(OR(B668="",F668=""),0,IFERROR(MATCH(E668&amp;"|"&amp;F668,SourceTable[Source_Key],0),0))</x:f>
        <x:v>0</x:v>
      </x:c>
      <x:c r="R668" s="2" t="str">
        <x:f>IF(B668="","",IF(F668="","UNUSED",IF(Q668=0,"NOT CHECKED",IF(COUNTIF(SourceTable[Source_Key],E668&amp;"|"&amp;F668)&lt;&gt;1,"SOURCE CONFLICT",IF(NOT(OR(INDEX(SourceTable[Status],MAX(1,Q668))="IMPORTED",INDEX(SourceTable[Status],MAX(1,Q668))="PARTIAL",INDEX(SourceTable[Status],MAX(1,Q668))="SOURCE CONFLICT")),"ACCESS BLOCKED",IF(OR(INDEX(SourceTable[Coverage],Q668)&lt;&gt;"FULL SEASON EXPORT",INDEX(SourceTable[URL],Q668)="",INDEX(SourceTable[SHA256],Q668)=""),"EVIDENCE INCOMPLETE",IF(AND('Input_Meci'!H61="LIVE",INDEX(SourceTable[Retrieved_UTC],Q668)&gt;'Input_Meci'!G61),"POST CUTOFF","CLOSED")))))))</x:f>
      </x:c>
      <x:c r="S668" s="2" t="n">
        <x:f>IF(OR(B668="",F668=""),0,COUNTIFS('Istoric_Nativ'!$B$6:$B$405,E668,'Istoric_Nativ'!$C$6:$C$405,F668,'Istoric_Nativ'!$E$6:$E$405,G668,'Istoric_Nativ'!$D$6:$D$405,"&lt;"&amp;J668,'Istoric_Nativ'!$O$6:$O$405,"INVALID")+COUNTIFS('Istoric_Nativ'!$B$6:$B$405,E668,'Istoric_Nativ'!$C$6:$C$405,F668,'Istoric_Nativ'!$E$6:$E$405,G668,'Istoric_Nativ'!$O$6:$O$405,"INVALID",'Istoric_Nativ'!$D$6:$D$405,"*")+COUNTIFS('Istoric_Nativ'!$B$6:$B$405,E668,'Istoric_Nativ'!$C$6:$C$405,F668,'Istoric_Nativ'!$E$6:$E$405,G668,'Istoric_Nativ'!$D$6:$D$405,"&lt;"&amp;J668,'Istoric_Nativ'!$O$6:$O$405,"SOURCE CONFLICT")+COUNTIFS('Istoric_Nativ'!$B$6:$B$405,E668,'Istoric_Nativ'!$C$6:$C$405,F668,'Istoric_Nativ'!$F$6:$F$405,G668,'Istoric_Nativ'!$D$6:$D$405,"&lt;"&amp;J668,'Istoric_Nativ'!$O$6:$O$405,"INVALID")+COUNTIFS('Istoric_Nativ'!$B$6:$B$405,E668,'Istoric_Nativ'!$C$6:$C$405,F668,'Istoric_Nativ'!$F$6:$F$405,G668,'Istoric_Nativ'!$O$6:$O$405,"INVALID",'Istoric_Nativ'!$D$6:$D$405,"*")+COUNTIFS('Istoric_Nativ'!$B$6:$B$405,E668,'Istoric_Nativ'!$C$6:$C$405,F668,'Istoric_Nativ'!$F$6:$F$405,G668,'Istoric_Nativ'!$D$6:$D$405,"&lt;"&amp;J668,'Istoric_Nativ'!$O$6:$O$405,"SOURCE CONFLICT"))</x:f>
        <x:v>0</x:v>
      </x:c>
      <x:c r="T668" s="2" t="str">
        <x:f>IF(B668="","",IF(R668&lt;&gt;"CLOSED",R668,IF(S668&gt;0,"NATIVE INPUT ISSUE",IF(M668=0,"NO HISTORY",IF(M668&lt;P668,"SMALL SAMPLE","DERIVED")))))</x:f>
      </x:c>
      <x:c r="U668" s="2" t="str">
        <x:f>IF(B668="","","NativeTable; "&amp;E668&amp;"; "&amp;F668&amp;"; "&amp;G668&amp;"; "&amp;H668&amp;"; before "&amp;TEXT(J668,"yyyy-mm-dd")&amp;IF(I668="RECENT","; from "&amp;TEXT(L668,"yyyy-mm-dd"),""))</x:f>
      </x:c>
    </x:row>
    <x:row r="669" ht="21" customHeight="1">
      <x:c r="A669" s="2" t="n">
        <x:v>56</x:v>
      </x:c>
      <x:c r="B669" s="2" t="str">
        <x:f>IF('Input_Meci'!A61="","",'Input_Meci'!A61)</x:f>
      </x:c>
      <x:c r="C669" s="2" t="str">
        <x:v>A</x:v>
      </x:c>
      <x:c r="D669" s="2" t="str">
        <x:v>CURRENT</x:v>
      </x:c>
      <x:c r="E669" s="2" t="str">
        <x:f>IF(B669="","",'Input_Meci'!B61)</x:f>
      </x:c>
      <x:c r="F669" s="2" t="str">
        <x:f>IF(B669="","",IF('Input_Meci'!C61="","",'Input_Meci'!C61))</x:f>
      </x:c>
      <x:c r="G669" s="2" t="str">
        <x:f>IF(B669="","",'Input_Meci'!E61)</x:f>
      </x:c>
      <x:c r="H669" s="2" t="str">
        <x:v>ANY</x:v>
      </x:c>
      <x:c r="I669" s="2" t="str">
        <x:v>SEASON</x:v>
      </x:c>
      <x:c r="J669" s="9" t="n">
        <x:f>IF(AND(B669&lt;&gt;"",ISNUMBER('Input_Meci'!G61)),INT('Input_Meci'!G61),0)</x:f>
        <x:v>0</x:v>
      </x:c>
      <x:c r="K669" s="2" t="n">
        <x:f>IF(OR(B669="",F669=""),0,IF(H669="HOME",COUNTIFS('Istoric_Nativ'!$B$6:$B$405,E669,'Istoric_Nativ'!$C$6:$C$405,F669,'Istoric_Nativ'!$E$6:$E$405,G669,'Istoric_Nativ'!$D$6:$D$405,"&lt;"&amp;J669,'Istoric_Nativ'!$P$6:$P$405,1),IF(H669="AWAY",COUNTIFS('Istoric_Nativ'!$B$6:$B$405,E669,'Istoric_Nativ'!$C$6:$C$405,F669,'Istoric_Nativ'!$F$6:$F$405,G669,'Istoric_Nativ'!$D$6:$D$405,"&lt;"&amp;J669,'Istoric_Nativ'!$P$6:$P$405,1),COUNTIFS('Istoric_Nativ'!$B$6:$B$405,E669,'Istoric_Nativ'!$C$6:$C$405,F669,'Istoric_Nativ'!$E$6:$E$405,G669,'Istoric_Nativ'!$D$6:$D$405,"&lt;"&amp;J669,'Istoric_Nativ'!$P$6:$P$405,1)+COUNTIFS('Istoric_Nativ'!$B$6:$B$405,E669,'Istoric_Nativ'!$C$6:$C$405,F669,'Istoric_Nativ'!$F$6:$F$405,G669,'Istoric_Nativ'!$D$6:$D$405,"&lt;"&amp;J669,'Istoric_Nativ'!$P$6:$P$405,1))))</x:f>
        <x:v>0</x:v>
      </x:c>
      <x:c r="L669" s="17" t="n">
        <x:f>IF(AND(B669&lt;&gt;"",I669="RECENT",K669&gt;0),LARGE(_xlfn._xlws.FILTER('Istoric_Nativ'!$D$6:$D$405,('Istoric_Nativ'!$B$6:$B$405=E669)*('Istoric_Nativ'!$C$6:$C$405=F669)*('Istoric_Nativ'!$P$6:$P$405=1)*('Istoric_Nativ'!$D$6:$D$405&lt;J669)*((('Istoric_Nativ'!$E$6:$E$405=G669)+('Istoric_Nativ'!$F$6:$F$405=G669))&gt;0)),MIN('Config_v6'!$B$54,K669)),0)</x:f>
        <x:v>0</x:v>
      </x:c>
      <x:c r="M669" s="2" t="n">
        <x:f>IF(OR(B669="",F669=""),0,IF(H669="HOME",COUNTIFS('Istoric_Nativ'!$B$6:$B$405,E669,'Istoric_Nativ'!$C$6:$C$405,F669,'Istoric_Nativ'!$E$6:$E$405,G669,'Istoric_Nativ'!$D$6:$D$405,"&lt;"&amp;J669,'Istoric_Nativ'!$P$6:$P$405,1,'Istoric_Nativ'!$D$6:$D$405,"&gt;="&amp;L669),IF(H669="AWAY",COUNTIFS('Istoric_Nativ'!$B$6:$B$405,E669,'Istoric_Nativ'!$C$6:$C$405,F669,'Istoric_Nativ'!$F$6:$F$405,G669,'Istoric_Nativ'!$D$6:$D$405,"&lt;"&amp;J669,'Istoric_Nativ'!$P$6:$P$405,1,'Istoric_Nativ'!$D$6:$D$405,"&gt;="&amp;L669),COUNTIFS('Istoric_Nativ'!$B$6:$B$405,E669,'Istoric_Nativ'!$C$6:$C$405,F669,'Istoric_Nativ'!$E$6:$E$405,G669,'Istoric_Nativ'!$D$6:$D$405,"&lt;"&amp;J669,'Istoric_Nativ'!$P$6:$P$405,1,'Istoric_Nativ'!$D$6:$D$405,"&gt;="&amp;L669)+COUNTIFS('Istoric_Nativ'!$B$6:$B$405,E669,'Istoric_Nativ'!$C$6:$C$405,F669,'Istoric_Nativ'!$F$6:$F$405,G669,'Istoric_Nativ'!$D$6:$D$405,"&lt;"&amp;J669,'Istoric_Nativ'!$P$6:$P$405,1,'Istoric_Nativ'!$D$6:$D$405,"&gt;="&amp;L669))))</x:f>
        <x:v>0</x:v>
      </x:c>
      <x:c r="N669" s="11" t="str">
        <x:f>IF(M669=0,"",IF(H669="HOME",SUMIFS('Istoric_Nativ'!$G$6:$G$405,'Istoric_Nativ'!$B$6:$B$405,E669,'Istoric_Nativ'!$C$6:$C$405,F669,'Istoric_Nativ'!$E$6:$E$405,G669,'Istoric_Nativ'!$D$6:$D$405,"&lt;"&amp;J669,'Istoric_Nativ'!$P$6:$P$405,1,'Istoric_Nativ'!$D$6:$D$405,"&gt;="&amp;L669),IF(H669="AWAY",SUMIFS('Istoric_Nativ'!$H$6:$H$405,'Istoric_Nativ'!$B$6:$B$405,E669,'Istoric_Nativ'!$C$6:$C$405,F669,'Istoric_Nativ'!$F$6:$F$405,G669,'Istoric_Nativ'!$D$6:$D$405,"&lt;"&amp;J669,'Istoric_Nativ'!$P$6:$P$405,1,'Istoric_Nativ'!$D$6:$D$405,"&gt;="&amp;L669),SUMIFS('Istoric_Nativ'!$G$6:$G$405,'Istoric_Nativ'!$B$6:$B$405,E669,'Istoric_Nativ'!$C$6:$C$405,F669,'Istoric_Nativ'!$E$6:$E$405,G669,'Istoric_Nativ'!$D$6:$D$405,"&lt;"&amp;J669,'Istoric_Nativ'!$P$6:$P$405,1,'Istoric_Nativ'!$D$6:$D$405,"&gt;="&amp;L669)+SUMIFS('Istoric_Nativ'!$H$6:$H$405,'Istoric_Nativ'!$B$6:$B$405,E669,'Istoric_Nativ'!$C$6:$C$405,F669,'Istoric_Nativ'!$F$6:$F$405,G669,'Istoric_Nativ'!$D$6:$D$405,"&lt;"&amp;J669,'Istoric_Nativ'!$P$6:$P$405,1,'Istoric_Nativ'!$D$6:$D$405,"&gt;="&amp;L669)))/M669)</x:f>
      </x:c>
      <x:c r="O669" s="11" t="str">
        <x:f>IF(M669=0,"",IF(H669="HOME",SUMIFS('Istoric_Nativ'!$H$6:$H$405,'Istoric_Nativ'!$B$6:$B$405,E669,'Istoric_Nativ'!$C$6:$C$405,F669,'Istoric_Nativ'!$E$6:$E$405,G669,'Istoric_Nativ'!$D$6:$D$405,"&lt;"&amp;J669,'Istoric_Nativ'!$P$6:$P$405,1,'Istoric_Nativ'!$D$6:$D$405,"&gt;="&amp;L669),IF(H669="AWAY",SUMIFS('Istoric_Nativ'!$G$6:$G$405,'Istoric_Nativ'!$B$6:$B$405,E669,'Istoric_Nativ'!$C$6:$C$405,F669,'Istoric_Nativ'!$F$6:$F$405,G669,'Istoric_Nativ'!$D$6:$D$405,"&lt;"&amp;J669,'Istoric_Nativ'!$P$6:$P$405,1,'Istoric_Nativ'!$D$6:$D$405,"&gt;="&amp;L669),SUMIFS('Istoric_Nativ'!$H$6:$H$405,'Istoric_Nativ'!$B$6:$B$405,E669,'Istoric_Nativ'!$C$6:$C$405,F669,'Istoric_Nativ'!$E$6:$E$405,G669,'Istoric_Nativ'!$D$6:$D$405,"&lt;"&amp;J669,'Istoric_Nativ'!$P$6:$P$405,1,'Istoric_Nativ'!$D$6:$D$405,"&gt;="&amp;L669)+SUMIFS('Istoric_Nativ'!$G$6:$G$405,'Istoric_Nativ'!$B$6:$B$405,E669,'Istoric_Nativ'!$C$6:$C$405,F669,'Istoric_Nativ'!$F$6:$F$405,G669,'Istoric_Nativ'!$D$6:$D$405,"&lt;"&amp;J669,'Istoric_Nativ'!$P$6:$P$405,1,'Istoric_Nativ'!$D$6:$D$405,"&gt;="&amp;L669)))/M669)</x:f>
      </x:c>
      <x:c r="P669" s="2" t="n">
        <x:f>'Config_v6'!$B$7</x:f>
        <x:v>10</x:v>
      </x:c>
      <x:c r="Q669" s="2" t="n">
        <x:f>IF(OR(B669="",F669=""),0,IFERROR(MATCH(E669&amp;"|"&amp;F669,SourceTable[Source_Key],0),0))</x:f>
        <x:v>0</x:v>
      </x:c>
      <x:c r="R669" s="2" t="str">
        <x:f>IF(B669="","",IF(F669="","UNUSED",IF(Q669=0,"NOT CHECKED",IF(COUNTIF(SourceTable[Source_Key],E669&amp;"|"&amp;F669)&lt;&gt;1,"SOURCE CONFLICT",IF(NOT(OR(INDEX(SourceTable[Status],MAX(1,Q669))="IMPORTED",INDEX(SourceTable[Status],MAX(1,Q669))="PARTIAL",INDEX(SourceTable[Status],MAX(1,Q669))="SOURCE CONFLICT")),"ACCESS BLOCKED",IF(OR(INDEX(SourceTable[Coverage],Q669)&lt;&gt;"FULL SEASON EXPORT",INDEX(SourceTable[URL],Q669)="",INDEX(SourceTable[SHA256],Q669)=""),"EVIDENCE INCOMPLETE",IF(AND('Input_Meci'!H61="LIVE",INDEX(SourceTable[Retrieved_UTC],Q669)&gt;'Input_Meci'!G61),"POST CUTOFF","CLOSED")))))))</x:f>
      </x:c>
      <x:c r="S669" s="2" t="n">
        <x:f>IF(OR(B669="",F669=""),0,COUNTIFS('Istoric_Nativ'!$B$6:$B$405,E669,'Istoric_Nativ'!$C$6:$C$405,F669,'Istoric_Nativ'!$E$6:$E$405,G669,'Istoric_Nativ'!$D$6:$D$405,"&lt;"&amp;J669,'Istoric_Nativ'!$O$6:$O$405,"INVALID")+COUNTIFS('Istoric_Nativ'!$B$6:$B$405,E669,'Istoric_Nativ'!$C$6:$C$405,F669,'Istoric_Nativ'!$E$6:$E$405,G669,'Istoric_Nativ'!$O$6:$O$405,"INVALID",'Istoric_Nativ'!$D$6:$D$405,"*")+COUNTIFS('Istoric_Nativ'!$B$6:$B$405,E669,'Istoric_Nativ'!$C$6:$C$405,F669,'Istoric_Nativ'!$E$6:$E$405,G669,'Istoric_Nativ'!$D$6:$D$405,"&lt;"&amp;J669,'Istoric_Nativ'!$O$6:$O$405,"SOURCE CONFLICT")+COUNTIFS('Istoric_Nativ'!$B$6:$B$405,E669,'Istoric_Nativ'!$C$6:$C$405,F669,'Istoric_Nativ'!$F$6:$F$405,G669,'Istoric_Nativ'!$D$6:$D$405,"&lt;"&amp;J669,'Istoric_Nativ'!$O$6:$O$405,"INVALID")+COUNTIFS('Istoric_Nativ'!$B$6:$B$405,E669,'Istoric_Nativ'!$C$6:$C$405,F669,'Istoric_Nativ'!$F$6:$F$405,G669,'Istoric_Nativ'!$O$6:$O$405,"INVALID",'Istoric_Nativ'!$D$6:$D$405,"*")+COUNTIFS('Istoric_Nativ'!$B$6:$B$405,E669,'Istoric_Nativ'!$C$6:$C$405,F669,'Istoric_Nativ'!$F$6:$F$405,G669,'Istoric_Nativ'!$D$6:$D$405,"&lt;"&amp;J669,'Istoric_Nativ'!$O$6:$O$405,"SOURCE CONFLICT"))</x:f>
        <x:v>0</x:v>
      </x:c>
      <x:c r="T669" s="2" t="str">
        <x:f>IF(B669="","",IF(R669&lt;&gt;"CLOSED",R669,IF(S669&gt;0,"NATIVE INPUT ISSUE",IF(M669=0,"NO HISTORY",IF(M669&lt;P669,"SMALL SAMPLE","DERIVED")))))</x:f>
      </x:c>
      <x:c r="U669" s="2" t="str">
        <x:f>IF(B669="","","NativeTable; "&amp;E669&amp;"; "&amp;F669&amp;"; "&amp;G669&amp;"; "&amp;H669&amp;"; before "&amp;TEXT(J669,"yyyy-mm-dd")&amp;IF(I669="RECENT","; from "&amp;TEXT(L669,"yyyy-mm-dd"),""))</x:f>
      </x:c>
    </x:row>
    <x:row r="670" ht="21" customHeight="1">
      <x:c r="A670" s="2" t="n">
        <x:v>56</x:v>
      </x:c>
      <x:c r="B670" s="2" t="str">
        <x:f>IF('Input_Meci'!A61="","",'Input_Meci'!A61)</x:f>
      </x:c>
      <x:c r="C670" s="2" t="str">
        <x:v>A</x:v>
      </x:c>
      <x:c r="D670" s="2" t="str">
        <x:v>CURRENT</x:v>
      </x:c>
      <x:c r="E670" s="2" t="str">
        <x:f>IF(B670="","",'Input_Meci'!B61)</x:f>
      </x:c>
      <x:c r="F670" s="2" t="str">
        <x:f>IF(B670="","",IF('Input_Meci'!C61="","",'Input_Meci'!C61))</x:f>
      </x:c>
      <x:c r="G670" s="2" t="str">
        <x:f>IF(B670="","",'Input_Meci'!E61)</x:f>
      </x:c>
      <x:c r="H670" s="2" t="str">
        <x:v>AWAY</x:v>
      </x:c>
      <x:c r="I670" s="2" t="str">
        <x:v>HA</x:v>
      </x:c>
      <x:c r="J670" s="9" t="n">
        <x:f>IF(AND(B670&lt;&gt;"",ISNUMBER('Input_Meci'!G61)),INT('Input_Meci'!G61),0)</x:f>
        <x:v>0</x:v>
      </x:c>
      <x:c r="K670" s="2" t="n">
        <x:f>IF(OR(B670="",F670=""),0,IF(H670="HOME",COUNTIFS('Istoric_Nativ'!$B$6:$B$405,E670,'Istoric_Nativ'!$C$6:$C$405,F670,'Istoric_Nativ'!$E$6:$E$405,G670,'Istoric_Nativ'!$D$6:$D$405,"&lt;"&amp;J670,'Istoric_Nativ'!$P$6:$P$405,1),IF(H670="AWAY",COUNTIFS('Istoric_Nativ'!$B$6:$B$405,E670,'Istoric_Nativ'!$C$6:$C$405,F670,'Istoric_Nativ'!$F$6:$F$405,G670,'Istoric_Nativ'!$D$6:$D$405,"&lt;"&amp;J670,'Istoric_Nativ'!$P$6:$P$405,1),COUNTIFS('Istoric_Nativ'!$B$6:$B$405,E670,'Istoric_Nativ'!$C$6:$C$405,F670,'Istoric_Nativ'!$E$6:$E$405,G670,'Istoric_Nativ'!$D$6:$D$405,"&lt;"&amp;J670,'Istoric_Nativ'!$P$6:$P$405,1)+COUNTIFS('Istoric_Nativ'!$B$6:$B$405,E670,'Istoric_Nativ'!$C$6:$C$405,F670,'Istoric_Nativ'!$F$6:$F$405,G670,'Istoric_Nativ'!$D$6:$D$405,"&lt;"&amp;J670,'Istoric_Nativ'!$P$6:$P$405,1))))</x:f>
        <x:v>0</x:v>
      </x:c>
      <x:c r="L670" s="17" t="n">
        <x:f>IF(AND(B670&lt;&gt;"",I670="RECENT",K670&gt;0),LARGE(_xlfn._xlws.FILTER('Istoric_Nativ'!$D$6:$D$405,('Istoric_Nativ'!$B$6:$B$405=E670)*('Istoric_Nativ'!$C$6:$C$405=F670)*('Istoric_Nativ'!$P$6:$P$405=1)*('Istoric_Nativ'!$D$6:$D$405&lt;J670)*((('Istoric_Nativ'!$E$6:$E$405=G670)+('Istoric_Nativ'!$F$6:$F$405=G670))&gt;0)),MIN('Config_v6'!$B$54,K670)),0)</x:f>
        <x:v>0</x:v>
      </x:c>
      <x:c r="M670" s="2" t="n">
        <x:f>IF(OR(B670="",F670=""),0,IF(H670="HOME",COUNTIFS('Istoric_Nativ'!$B$6:$B$405,E670,'Istoric_Nativ'!$C$6:$C$405,F670,'Istoric_Nativ'!$E$6:$E$405,G670,'Istoric_Nativ'!$D$6:$D$405,"&lt;"&amp;J670,'Istoric_Nativ'!$P$6:$P$405,1,'Istoric_Nativ'!$D$6:$D$405,"&gt;="&amp;L670),IF(H670="AWAY",COUNTIFS('Istoric_Nativ'!$B$6:$B$405,E670,'Istoric_Nativ'!$C$6:$C$405,F670,'Istoric_Nativ'!$F$6:$F$405,G670,'Istoric_Nativ'!$D$6:$D$405,"&lt;"&amp;J670,'Istoric_Nativ'!$P$6:$P$405,1,'Istoric_Nativ'!$D$6:$D$405,"&gt;="&amp;L670),COUNTIFS('Istoric_Nativ'!$B$6:$B$405,E670,'Istoric_Nativ'!$C$6:$C$405,F670,'Istoric_Nativ'!$E$6:$E$405,G670,'Istoric_Nativ'!$D$6:$D$405,"&lt;"&amp;J670,'Istoric_Nativ'!$P$6:$P$405,1,'Istoric_Nativ'!$D$6:$D$405,"&gt;="&amp;L670)+COUNTIFS('Istoric_Nativ'!$B$6:$B$405,E670,'Istoric_Nativ'!$C$6:$C$405,F670,'Istoric_Nativ'!$F$6:$F$405,G670,'Istoric_Nativ'!$D$6:$D$405,"&lt;"&amp;J670,'Istoric_Nativ'!$P$6:$P$405,1,'Istoric_Nativ'!$D$6:$D$405,"&gt;="&amp;L670))))</x:f>
        <x:v>0</x:v>
      </x:c>
      <x:c r="N670" s="11" t="str">
        <x:f>IF(M670=0,"",IF(H670="HOME",SUMIFS('Istoric_Nativ'!$G$6:$G$405,'Istoric_Nativ'!$B$6:$B$405,E670,'Istoric_Nativ'!$C$6:$C$405,F670,'Istoric_Nativ'!$E$6:$E$405,G670,'Istoric_Nativ'!$D$6:$D$405,"&lt;"&amp;J670,'Istoric_Nativ'!$P$6:$P$405,1,'Istoric_Nativ'!$D$6:$D$405,"&gt;="&amp;L670),IF(H670="AWAY",SUMIFS('Istoric_Nativ'!$H$6:$H$405,'Istoric_Nativ'!$B$6:$B$405,E670,'Istoric_Nativ'!$C$6:$C$405,F670,'Istoric_Nativ'!$F$6:$F$405,G670,'Istoric_Nativ'!$D$6:$D$405,"&lt;"&amp;J670,'Istoric_Nativ'!$P$6:$P$405,1,'Istoric_Nativ'!$D$6:$D$405,"&gt;="&amp;L670),SUMIFS('Istoric_Nativ'!$G$6:$G$405,'Istoric_Nativ'!$B$6:$B$405,E670,'Istoric_Nativ'!$C$6:$C$405,F670,'Istoric_Nativ'!$E$6:$E$405,G670,'Istoric_Nativ'!$D$6:$D$405,"&lt;"&amp;J670,'Istoric_Nativ'!$P$6:$P$405,1,'Istoric_Nativ'!$D$6:$D$405,"&gt;="&amp;L670)+SUMIFS('Istoric_Nativ'!$H$6:$H$405,'Istoric_Nativ'!$B$6:$B$405,E670,'Istoric_Nativ'!$C$6:$C$405,F670,'Istoric_Nativ'!$F$6:$F$405,G670,'Istoric_Nativ'!$D$6:$D$405,"&lt;"&amp;J670,'Istoric_Nativ'!$P$6:$P$405,1,'Istoric_Nativ'!$D$6:$D$405,"&gt;="&amp;L670)))/M670)</x:f>
      </x:c>
      <x:c r="O670" s="11" t="str">
        <x:f>IF(M670=0,"",IF(H670="HOME",SUMIFS('Istoric_Nativ'!$H$6:$H$405,'Istoric_Nativ'!$B$6:$B$405,E670,'Istoric_Nativ'!$C$6:$C$405,F670,'Istoric_Nativ'!$E$6:$E$405,G670,'Istoric_Nativ'!$D$6:$D$405,"&lt;"&amp;J670,'Istoric_Nativ'!$P$6:$P$405,1,'Istoric_Nativ'!$D$6:$D$405,"&gt;="&amp;L670),IF(H670="AWAY",SUMIFS('Istoric_Nativ'!$G$6:$G$405,'Istoric_Nativ'!$B$6:$B$405,E670,'Istoric_Nativ'!$C$6:$C$405,F670,'Istoric_Nativ'!$F$6:$F$405,G670,'Istoric_Nativ'!$D$6:$D$405,"&lt;"&amp;J670,'Istoric_Nativ'!$P$6:$P$405,1,'Istoric_Nativ'!$D$6:$D$405,"&gt;="&amp;L670),SUMIFS('Istoric_Nativ'!$H$6:$H$405,'Istoric_Nativ'!$B$6:$B$405,E670,'Istoric_Nativ'!$C$6:$C$405,F670,'Istoric_Nativ'!$E$6:$E$405,G670,'Istoric_Nativ'!$D$6:$D$405,"&lt;"&amp;J670,'Istoric_Nativ'!$P$6:$P$405,1,'Istoric_Nativ'!$D$6:$D$405,"&gt;="&amp;L670)+SUMIFS('Istoric_Nativ'!$G$6:$G$405,'Istoric_Nativ'!$B$6:$B$405,E670,'Istoric_Nativ'!$C$6:$C$405,F670,'Istoric_Nativ'!$F$6:$F$405,G670,'Istoric_Nativ'!$D$6:$D$405,"&lt;"&amp;J670,'Istoric_Nativ'!$P$6:$P$405,1,'Istoric_Nativ'!$D$6:$D$405,"&gt;="&amp;L670)))/M670)</x:f>
      </x:c>
      <x:c r="P670" s="2" t="n">
        <x:f>'Config_v6'!$B$8</x:f>
        <x:v>5</x:v>
      </x:c>
      <x:c r="Q670" s="2" t="n">
        <x:f>IF(OR(B670="",F670=""),0,IFERROR(MATCH(E670&amp;"|"&amp;F670,SourceTable[Source_Key],0),0))</x:f>
        <x:v>0</x:v>
      </x:c>
      <x:c r="R670" s="2" t="str">
        <x:f>IF(B670="","",IF(F670="","UNUSED",IF(Q670=0,"NOT CHECKED",IF(COUNTIF(SourceTable[Source_Key],E670&amp;"|"&amp;F670)&lt;&gt;1,"SOURCE CONFLICT",IF(NOT(OR(INDEX(SourceTable[Status],MAX(1,Q670))="IMPORTED",INDEX(SourceTable[Status],MAX(1,Q670))="PARTIAL",INDEX(SourceTable[Status],MAX(1,Q670))="SOURCE CONFLICT")),"ACCESS BLOCKED",IF(OR(INDEX(SourceTable[Coverage],Q670)&lt;&gt;"FULL SEASON EXPORT",INDEX(SourceTable[URL],Q670)="",INDEX(SourceTable[SHA256],Q670)=""),"EVIDENCE INCOMPLETE",IF(AND('Input_Meci'!H61="LIVE",INDEX(SourceTable[Retrieved_UTC],Q670)&gt;'Input_Meci'!G61),"POST CUTOFF","CLOSED")))))))</x:f>
      </x:c>
      <x:c r="S670" s="2" t="n">
        <x:f>IF(OR(B670="",F670=""),0,COUNTIFS('Istoric_Nativ'!$B$6:$B$405,E670,'Istoric_Nativ'!$C$6:$C$405,F670,'Istoric_Nativ'!$E$6:$E$405,G670,'Istoric_Nativ'!$D$6:$D$405,"&lt;"&amp;J670,'Istoric_Nativ'!$O$6:$O$405,"INVALID")+COUNTIFS('Istoric_Nativ'!$B$6:$B$405,E670,'Istoric_Nativ'!$C$6:$C$405,F670,'Istoric_Nativ'!$E$6:$E$405,G670,'Istoric_Nativ'!$O$6:$O$405,"INVALID",'Istoric_Nativ'!$D$6:$D$405,"*")+COUNTIFS('Istoric_Nativ'!$B$6:$B$405,E670,'Istoric_Nativ'!$C$6:$C$405,F670,'Istoric_Nativ'!$E$6:$E$405,G670,'Istoric_Nativ'!$D$6:$D$405,"&lt;"&amp;J670,'Istoric_Nativ'!$O$6:$O$405,"SOURCE CONFLICT")+COUNTIFS('Istoric_Nativ'!$B$6:$B$405,E670,'Istoric_Nativ'!$C$6:$C$405,F670,'Istoric_Nativ'!$F$6:$F$405,G670,'Istoric_Nativ'!$D$6:$D$405,"&lt;"&amp;J670,'Istoric_Nativ'!$O$6:$O$405,"INVALID")+COUNTIFS('Istoric_Nativ'!$B$6:$B$405,E670,'Istoric_Nativ'!$C$6:$C$405,F670,'Istoric_Nativ'!$F$6:$F$405,G670,'Istoric_Nativ'!$O$6:$O$405,"INVALID",'Istoric_Nativ'!$D$6:$D$405,"*")+COUNTIFS('Istoric_Nativ'!$B$6:$B$405,E670,'Istoric_Nativ'!$C$6:$C$405,F670,'Istoric_Nativ'!$F$6:$F$405,G670,'Istoric_Nativ'!$D$6:$D$405,"&lt;"&amp;J670,'Istoric_Nativ'!$O$6:$O$405,"SOURCE CONFLICT"))</x:f>
        <x:v>0</x:v>
      </x:c>
      <x:c r="T670" s="2" t="str">
        <x:f>IF(B670="","",IF(R670&lt;&gt;"CLOSED",R670,IF(S670&gt;0,"NATIVE INPUT ISSUE",IF(M670=0,"NO HISTORY",IF(M670&lt;P670,"SMALL SAMPLE","DERIVED")))))</x:f>
      </x:c>
      <x:c r="U670" s="2" t="str">
        <x:f>IF(B670="","","NativeTable; "&amp;E670&amp;"; "&amp;F670&amp;"; "&amp;G670&amp;"; "&amp;H670&amp;"; before "&amp;TEXT(J670,"yyyy-mm-dd")&amp;IF(I670="RECENT","; from "&amp;TEXT(L670,"yyyy-mm-dd"),""))</x:f>
      </x:c>
    </x:row>
    <x:row r="671" ht="21" customHeight="1">
      <x:c r="A671" s="2" t="n">
        <x:v>56</x:v>
      </x:c>
      <x:c r="B671" s="2" t="str">
        <x:f>IF('Input_Meci'!A61="","",'Input_Meci'!A61)</x:f>
      </x:c>
      <x:c r="C671" s="2" t="str">
        <x:v>A</x:v>
      </x:c>
      <x:c r="D671" s="2" t="str">
        <x:v>CURRENT</x:v>
      </x:c>
      <x:c r="E671" s="2" t="str">
        <x:f>IF(B671="","",'Input_Meci'!B61)</x:f>
      </x:c>
      <x:c r="F671" s="2" t="str">
        <x:f>IF(B671="","",IF('Input_Meci'!C61="","",'Input_Meci'!C61))</x:f>
      </x:c>
      <x:c r="G671" s="2" t="str">
        <x:f>IF(B671="","",'Input_Meci'!E61)</x:f>
      </x:c>
      <x:c r="H671" s="2" t="str">
        <x:v>ANY</x:v>
      </x:c>
      <x:c r="I671" s="2" t="str">
        <x:v>RECENT</x:v>
      </x:c>
      <x:c r="J671" s="9" t="n">
        <x:f>IF(AND(B671&lt;&gt;"",ISNUMBER('Input_Meci'!G61)),INT('Input_Meci'!G61),0)</x:f>
        <x:v>0</x:v>
      </x:c>
      <x:c r="K671" s="2" t="n">
        <x:f>IF(OR(B671="",F671=""),0,IF(H671="HOME",COUNTIFS('Istoric_Nativ'!$B$6:$B$405,E671,'Istoric_Nativ'!$C$6:$C$405,F671,'Istoric_Nativ'!$E$6:$E$405,G671,'Istoric_Nativ'!$D$6:$D$405,"&lt;"&amp;J671,'Istoric_Nativ'!$P$6:$P$405,1),IF(H671="AWAY",COUNTIFS('Istoric_Nativ'!$B$6:$B$405,E671,'Istoric_Nativ'!$C$6:$C$405,F671,'Istoric_Nativ'!$F$6:$F$405,G671,'Istoric_Nativ'!$D$6:$D$405,"&lt;"&amp;J671,'Istoric_Nativ'!$P$6:$P$405,1),COUNTIFS('Istoric_Nativ'!$B$6:$B$405,E671,'Istoric_Nativ'!$C$6:$C$405,F671,'Istoric_Nativ'!$E$6:$E$405,G671,'Istoric_Nativ'!$D$6:$D$405,"&lt;"&amp;J671,'Istoric_Nativ'!$P$6:$P$405,1)+COUNTIFS('Istoric_Nativ'!$B$6:$B$405,E671,'Istoric_Nativ'!$C$6:$C$405,F671,'Istoric_Nativ'!$F$6:$F$405,G671,'Istoric_Nativ'!$D$6:$D$405,"&lt;"&amp;J671,'Istoric_Nativ'!$P$6:$P$405,1))))</x:f>
        <x:v>0</x:v>
      </x:c>
      <x:c r="L671" s="17" t="n">
        <x:f>IF(AND(B671&lt;&gt;"",I671="RECENT",K671&gt;0),LARGE(_xlfn._xlws.FILTER('Istoric_Nativ'!$D$6:$D$405,('Istoric_Nativ'!$B$6:$B$405=E671)*('Istoric_Nativ'!$C$6:$C$405=F671)*('Istoric_Nativ'!$P$6:$P$405=1)*('Istoric_Nativ'!$D$6:$D$405&lt;J671)*((('Istoric_Nativ'!$E$6:$E$405=G671)+('Istoric_Nativ'!$F$6:$F$405=G671))&gt;0)),MIN('Config_v6'!$B$54,K671)),0)</x:f>
        <x:v>0</x:v>
      </x:c>
      <x:c r="M671" s="2" t="n">
        <x:f>IF(OR(B671="",F671=""),0,IF(H671="HOME",COUNTIFS('Istoric_Nativ'!$B$6:$B$405,E671,'Istoric_Nativ'!$C$6:$C$405,F671,'Istoric_Nativ'!$E$6:$E$405,G671,'Istoric_Nativ'!$D$6:$D$405,"&lt;"&amp;J671,'Istoric_Nativ'!$P$6:$P$405,1,'Istoric_Nativ'!$D$6:$D$405,"&gt;="&amp;L671),IF(H671="AWAY",COUNTIFS('Istoric_Nativ'!$B$6:$B$405,E671,'Istoric_Nativ'!$C$6:$C$405,F671,'Istoric_Nativ'!$F$6:$F$405,G671,'Istoric_Nativ'!$D$6:$D$405,"&lt;"&amp;J671,'Istoric_Nativ'!$P$6:$P$405,1,'Istoric_Nativ'!$D$6:$D$405,"&gt;="&amp;L671),COUNTIFS('Istoric_Nativ'!$B$6:$B$405,E671,'Istoric_Nativ'!$C$6:$C$405,F671,'Istoric_Nativ'!$E$6:$E$405,G671,'Istoric_Nativ'!$D$6:$D$405,"&lt;"&amp;J671,'Istoric_Nativ'!$P$6:$P$405,1,'Istoric_Nativ'!$D$6:$D$405,"&gt;="&amp;L671)+COUNTIFS('Istoric_Nativ'!$B$6:$B$405,E671,'Istoric_Nativ'!$C$6:$C$405,F671,'Istoric_Nativ'!$F$6:$F$405,G671,'Istoric_Nativ'!$D$6:$D$405,"&lt;"&amp;J671,'Istoric_Nativ'!$P$6:$P$405,1,'Istoric_Nativ'!$D$6:$D$405,"&gt;="&amp;L671))))</x:f>
        <x:v>0</x:v>
      </x:c>
      <x:c r="N671" s="11" t="str">
        <x:f>IF(M671=0,"",IF(H671="HOME",SUMIFS('Istoric_Nativ'!$G$6:$G$405,'Istoric_Nativ'!$B$6:$B$405,E671,'Istoric_Nativ'!$C$6:$C$405,F671,'Istoric_Nativ'!$E$6:$E$405,G671,'Istoric_Nativ'!$D$6:$D$405,"&lt;"&amp;J671,'Istoric_Nativ'!$P$6:$P$405,1,'Istoric_Nativ'!$D$6:$D$405,"&gt;="&amp;L671),IF(H671="AWAY",SUMIFS('Istoric_Nativ'!$H$6:$H$405,'Istoric_Nativ'!$B$6:$B$405,E671,'Istoric_Nativ'!$C$6:$C$405,F671,'Istoric_Nativ'!$F$6:$F$405,G671,'Istoric_Nativ'!$D$6:$D$405,"&lt;"&amp;J671,'Istoric_Nativ'!$P$6:$P$405,1,'Istoric_Nativ'!$D$6:$D$405,"&gt;="&amp;L671),SUMIFS('Istoric_Nativ'!$G$6:$G$405,'Istoric_Nativ'!$B$6:$B$405,E671,'Istoric_Nativ'!$C$6:$C$405,F671,'Istoric_Nativ'!$E$6:$E$405,G671,'Istoric_Nativ'!$D$6:$D$405,"&lt;"&amp;J671,'Istoric_Nativ'!$P$6:$P$405,1,'Istoric_Nativ'!$D$6:$D$405,"&gt;="&amp;L671)+SUMIFS('Istoric_Nativ'!$H$6:$H$405,'Istoric_Nativ'!$B$6:$B$405,E671,'Istoric_Nativ'!$C$6:$C$405,F671,'Istoric_Nativ'!$F$6:$F$405,G671,'Istoric_Nativ'!$D$6:$D$405,"&lt;"&amp;J671,'Istoric_Nativ'!$P$6:$P$405,1,'Istoric_Nativ'!$D$6:$D$405,"&gt;="&amp;L671)))/M671)</x:f>
      </x:c>
      <x:c r="O671" s="11" t="str">
        <x:f>IF(M671=0,"",IF(H671="HOME",SUMIFS('Istoric_Nativ'!$H$6:$H$405,'Istoric_Nativ'!$B$6:$B$405,E671,'Istoric_Nativ'!$C$6:$C$405,F671,'Istoric_Nativ'!$E$6:$E$405,G671,'Istoric_Nativ'!$D$6:$D$405,"&lt;"&amp;J671,'Istoric_Nativ'!$P$6:$P$405,1,'Istoric_Nativ'!$D$6:$D$405,"&gt;="&amp;L671),IF(H671="AWAY",SUMIFS('Istoric_Nativ'!$G$6:$G$405,'Istoric_Nativ'!$B$6:$B$405,E671,'Istoric_Nativ'!$C$6:$C$405,F671,'Istoric_Nativ'!$F$6:$F$405,G671,'Istoric_Nativ'!$D$6:$D$405,"&lt;"&amp;J671,'Istoric_Nativ'!$P$6:$P$405,1,'Istoric_Nativ'!$D$6:$D$405,"&gt;="&amp;L671),SUMIFS('Istoric_Nativ'!$H$6:$H$405,'Istoric_Nativ'!$B$6:$B$405,E671,'Istoric_Nativ'!$C$6:$C$405,F671,'Istoric_Nativ'!$E$6:$E$405,G671,'Istoric_Nativ'!$D$6:$D$405,"&lt;"&amp;J671,'Istoric_Nativ'!$P$6:$P$405,1,'Istoric_Nativ'!$D$6:$D$405,"&gt;="&amp;L671)+SUMIFS('Istoric_Nativ'!$G$6:$G$405,'Istoric_Nativ'!$B$6:$B$405,E671,'Istoric_Nativ'!$C$6:$C$405,F671,'Istoric_Nativ'!$F$6:$F$405,G671,'Istoric_Nativ'!$D$6:$D$405,"&lt;"&amp;J671,'Istoric_Nativ'!$P$6:$P$405,1,'Istoric_Nativ'!$D$6:$D$405,"&gt;="&amp;L671)))/M671)</x:f>
      </x:c>
      <x:c r="P671" s="2" t="n">
        <x:f>'Config_v6'!$B$9</x:f>
        <x:v>3</x:v>
      </x:c>
      <x:c r="Q671" s="2" t="n">
        <x:f>IF(OR(B671="",F671=""),0,IFERROR(MATCH(E671&amp;"|"&amp;F671,SourceTable[Source_Key],0),0))</x:f>
        <x:v>0</x:v>
      </x:c>
      <x:c r="R671" s="2" t="str">
        <x:f>IF(B671="","",IF(F671="","UNUSED",IF(Q671=0,"NOT CHECKED",IF(COUNTIF(SourceTable[Source_Key],E671&amp;"|"&amp;F671)&lt;&gt;1,"SOURCE CONFLICT",IF(NOT(OR(INDEX(SourceTable[Status],MAX(1,Q671))="IMPORTED",INDEX(SourceTable[Status],MAX(1,Q671))="PARTIAL",INDEX(SourceTable[Status],MAX(1,Q671))="SOURCE CONFLICT")),"ACCESS BLOCKED",IF(OR(INDEX(SourceTable[Coverage],Q671)&lt;&gt;"FULL SEASON EXPORT",INDEX(SourceTable[URL],Q671)="",INDEX(SourceTable[SHA256],Q671)=""),"EVIDENCE INCOMPLETE",IF(AND('Input_Meci'!H61="LIVE",INDEX(SourceTable[Retrieved_UTC],Q671)&gt;'Input_Meci'!G61),"POST CUTOFF","CLOSED")))))))</x:f>
      </x:c>
      <x:c r="S671" s="2" t="n">
        <x:f>IF(OR(B671="",F671=""),0,COUNTIFS('Istoric_Nativ'!$B$6:$B$405,E671,'Istoric_Nativ'!$C$6:$C$405,F671,'Istoric_Nativ'!$E$6:$E$405,G671,'Istoric_Nativ'!$D$6:$D$405,"&lt;"&amp;J671,'Istoric_Nativ'!$O$6:$O$405,"INVALID")+COUNTIFS('Istoric_Nativ'!$B$6:$B$405,E671,'Istoric_Nativ'!$C$6:$C$405,F671,'Istoric_Nativ'!$E$6:$E$405,G671,'Istoric_Nativ'!$O$6:$O$405,"INVALID",'Istoric_Nativ'!$D$6:$D$405,"*")+COUNTIFS('Istoric_Nativ'!$B$6:$B$405,E671,'Istoric_Nativ'!$C$6:$C$405,F671,'Istoric_Nativ'!$E$6:$E$405,G671,'Istoric_Nativ'!$D$6:$D$405,"&lt;"&amp;J671,'Istoric_Nativ'!$O$6:$O$405,"SOURCE CONFLICT")+COUNTIFS('Istoric_Nativ'!$B$6:$B$405,E671,'Istoric_Nativ'!$C$6:$C$405,F671,'Istoric_Nativ'!$F$6:$F$405,G671,'Istoric_Nativ'!$D$6:$D$405,"&lt;"&amp;J671,'Istoric_Nativ'!$O$6:$O$405,"INVALID")+COUNTIFS('Istoric_Nativ'!$B$6:$B$405,E671,'Istoric_Nativ'!$C$6:$C$405,F671,'Istoric_Nativ'!$F$6:$F$405,G671,'Istoric_Nativ'!$O$6:$O$405,"INVALID",'Istoric_Nativ'!$D$6:$D$405,"*")+COUNTIFS('Istoric_Nativ'!$B$6:$B$405,E671,'Istoric_Nativ'!$C$6:$C$405,F671,'Istoric_Nativ'!$F$6:$F$405,G671,'Istoric_Nativ'!$D$6:$D$405,"&lt;"&amp;J671,'Istoric_Nativ'!$O$6:$O$405,"SOURCE CONFLICT"))</x:f>
        <x:v>0</x:v>
      </x:c>
      <x:c r="T671" s="2" t="str">
        <x:f>IF(B671="","",IF(R671&lt;&gt;"CLOSED",R671,IF(S671&gt;0,"NATIVE INPUT ISSUE",IF(M671=0,"NO HISTORY",IF(M671&lt;P671,"SMALL SAMPLE","DERIVED")))))</x:f>
      </x:c>
      <x:c r="U671" s="2" t="str">
        <x:f>IF(B671="","","NativeTable; "&amp;E671&amp;"; "&amp;F671&amp;"; "&amp;G671&amp;"; "&amp;H671&amp;"; before "&amp;TEXT(J671,"yyyy-mm-dd")&amp;IF(I671="RECENT","; from "&amp;TEXT(L671,"yyyy-mm-dd"),""))</x:f>
      </x:c>
    </x:row>
    <x:row r="672" ht="21" customHeight="1">
      <x:c r="A672" s="2" t="n">
        <x:v>56</x:v>
      </x:c>
      <x:c r="B672" s="2" t="str">
        <x:f>IF('Input_Meci'!A61="","",'Input_Meci'!A61)</x:f>
      </x:c>
      <x:c r="C672" s="2" t="str">
        <x:v>H</x:v>
      </x:c>
      <x:c r="D672" s="2" t="str">
        <x:v>PRIOR</x:v>
      </x:c>
      <x:c r="E672" s="2" t="str">
        <x:f>IF(B672="","",'Input_Meci'!B61)</x:f>
      </x:c>
      <x:c r="F672" s="2" t="str">
        <x:f>IF(B672="","",IF('Input_Meci'!K61="","",'Input_Meci'!K61))</x:f>
      </x:c>
      <x:c r="G672" s="2" t="str">
        <x:f>IF(B672="","",'Input_Meci'!D61)</x:f>
      </x:c>
      <x:c r="H672" s="2" t="str">
        <x:v>ANY</x:v>
      </x:c>
      <x:c r="I672" s="2" t="str">
        <x:v>SEASON</x:v>
      </x:c>
      <x:c r="J672" s="9" t="n">
        <x:f>IF(AND(B672&lt;&gt;"",ISNUMBER('Input_Meci'!G61)),INT('Input_Meci'!G61),0)</x:f>
        <x:v>0</x:v>
      </x:c>
      <x:c r="K672" s="2" t="n">
        <x:f>IF(OR(B672="",F672=""),0,IF(H672="HOME",COUNTIFS('Istoric_Nativ'!$B$6:$B$405,E672,'Istoric_Nativ'!$C$6:$C$405,F672,'Istoric_Nativ'!$E$6:$E$405,G672,'Istoric_Nativ'!$D$6:$D$405,"&lt;"&amp;J672,'Istoric_Nativ'!$P$6:$P$405,1),IF(H672="AWAY",COUNTIFS('Istoric_Nativ'!$B$6:$B$405,E672,'Istoric_Nativ'!$C$6:$C$405,F672,'Istoric_Nativ'!$F$6:$F$405,G672,'Istoric_Nativ'!$D$6:$D$405,"&lt;"&amp;J672,'Istoric_Nativ'!$P$6:$P$405,1),COUNTIFS('Istoric_Nativ'!$B$6:$B$405,E672,'Istoric_Nativ'!$C$6:$C$405,F672,'Istoric_Nativ'!$E$6:$E$405,G672,'Istoric_Nativ'!$D$6:$D$405,"&lt;"&amp;J672,'Istoric_Nativ'!$P$6:$P$405,1)+COUNTIFS('Istoric_Nativ'!$B$6:$B$405,E672,'Istoric_Nativ'!$C$6:$C$405,F672,'Istoric_Nativ'!$F$6:$F$405,G672,'Istoric_Nativ'!$D$6:$D$405,"&lt;"&amp;J672,'Istoric_Nativ'!$P$6:$P$405,1))))</x:f>
        <x:v>0</x:v>
      </x:c>
      <x:c r="L672" s="17" t="n">
        <x:f>IF(AND(B672&lt;&gt;"",I672="RECENT",K672&gt;0),LARGE(_xlfn._xlws.FILTER('Istoric_Nativ'!$D$6:$D$405,('Istoric_Nativ'!$B$6:$B$405=E672)*('Istoric_Nativ'!$C$6:$C$405=F672)*('Istoric_Nativ'!$P$6:$P$405=1)*('Istoric_Nativ'!$D$6:$D$405&lt;J672)*((('Istoric_Nativ'!$E$6:$E$405=G672)+('Istoric_Nativ'!$F$6:$F$405=G672))&gt;0)),MIN('Config_v6'!$B$54,K672)),0)</x:f>
        <x:v>0</x:v>
      </x:c>
      <x:c r="M672" s="2" t="n">
        <x:f>IF(OR(B672="",F672=""),0,IF(H672="HOME",COUNTIFS('Istoric_Nativ'!$B$6:$B$405,E672,'Istoric_Nativ'!$C$6:$C$405,F672,'Istoric_Nativ'!$E$6:$E$405,G672,'Istoric_Nativ'!$D$6:$D$405,"&lt;"&amp;J672,'Istoric_Nativ'!$P$6:$P$405,1,'Istoric_Nativ'!$D$6:$D$405,"&gt;="&amp;L672),IF(H672="AWAY",COUNTIFS('Istoric_Nativ'!$B$6:$B$405,E672,'Istoric_Nativ'!$C$6:$C$405,F672,'Istoric_Nativ'!$F$6:$F$405,G672,'Istoric_Nativ'!$D$6:$D$405,"&lt;"&amp;J672,'Istoric_Nativ'!$P$6:$P$405,1,'Istoric_Nativ'!$D$6:$D$405,"&gt;="&amp;L672),COUNTIFS('Istoric_Nativ'!$B$6:$B$405,E672,'Istoric_Nativ'!$C$6:$C$405,F672,'Istoric_Nativ'!$E$6:$E$405,G672,'Istoric_Nativ'!$D$6:$D$405,"&lt;"&amp;J672,'Istoric_Nativ'!$P$6:$P$405,1,'Istoric_Nativ'!$D$6:$D$405,"&gt;="&amp;L672)+COUNTIFS('Istoric_Nativ'!$B$6:$B$405,E672,'Istoric_Nativ'!$C$6:$C$405,F672,'Istoric_Nativ'!$F$6:$F$405,G672,'Istoric_Nativ'!$D$6:$D$405,"&lt;"&amp;J672,'Istoric_Nativ'!$P$6:$P$405,1,'Istoric_Nativ'!$D$6:$D$405,"&gt;="&amp;L672))))</x:f>
        <x:v>0</x:v>
      </x:c>
      <x:c r="N672" s="11" t="str">
        <x:f>IF(M672=0,"",IF(H672="HOME",SUMIFS('Istoric_Nativ'!$G$6:$G$405,'Istoric_Nativ'!$B$6:$B$405,E672,'Istoric_Nativ'!$C$6:$C$405,F672,'Istoric_Nativ'!$E$6:$E$405,G672,'Istoric_Nativ'!$D$6:$D$405,"&lt;"&amp;J672,'Istoric_Nativ'!$P$6:$P$405,1,'Istoric_Nativ'!$D$6:$D$405,"&gt;="&amp;L672),IF(H672="AWAY",SUMIFS('Istoric_Nativ'!$H$6:$H$405,'Istoric_Nativ'!$B$6:$B$405,E672,'Istoric_Nativ'!$C$6:$C$405,F672,'Istoric_Nativ'!$F$6:$F$405,G672,'Istoric_Nativ'!$D$6:$D$405,"&lt;"&amp;J672,'Istoric_Nativ'!$P$6:$P$405,1,'Istoric_Nativ'!$D$6:$D$405,"&gt;="&amp;L672),SUMIFS('Istoric_Nativ'!$G$6:$G$405,'Istoric_Nativ'!$B$6:$B$405,E672,'Istoric_Nativ'!$C$6:$C$405,F672,'Istoric_Nativ'!$E$6:$E$405,G672,'Istoric_Nativ'!$D$6:$D$405,"&lt;"&amp;J672,'Istoric_Nativ'!$P$6:$P$405,1,'Istoric_Nativ'!$D$6:$D$405,"&gt;="&amp;L672)+SUMIFS('Istoric_Nativ'!$H$6:$H$405,'Istoric_Nativ'!$B$6:$B$405,E672,'Istoric_Nativ'!$C$6:$C$405,F672,'Istoric_Nativ'!$F$6:$F$405,G672,'Istoric_Nativ'!$D$6:$D$405,"&lt;"&amp;J672,'Istoric_Nativ'!$P$6:$P$405,1,'Istoric_Nativ'!$D$6:$D$405,"&gt;="&amp;L672)))/M672)</x:f>
      </x:c>
      <x:c r="O672" s="11" t="str">
        <x:f>IF(M672=0,"",IF(H672="HOME",SUMIFS('Istoric_Nativ'!$H$6:$H$405,'Istoric_Nativ'!$B$6:$B$405,E672,'Istoric_Nativ'!$C$6:$C$405,F672,'Istoric_Nativ'!$E$6:$E$405,G672,'Istoric_Nativ'!$D$6:$D$405,"&lt;"&amp;J672,'Istoric_Nativ'!$P$6:$P$405,1,'Istoric_Nativ'!$D$6:$D$405,"&gt;="&amp;L672),IF(H672="AWAY",SUMIFS('Istoric_Nativ'!$G$6:$G$405,'Istoric_Nativ'!$B$6:$B$405,E672,'Istoric_Nativ'!$C$6:$C$405,F672,'Istoric_Nativ'!$F$6:$F$405,G672,'Istoric_Nativ'!$D$6:$D$405,"&lt;"&amp;J672,'Istoric_Nativ'!$P$6:$P$405,1,'Istoric_Nativ'!$D$6:$D$405,"&gt;="&amp;L672),SUMIFS('Istoric_Nativ'!$H$6:$H$405,'Istoric_Nativ'!$B$6:$B$405,E672,'Istoric_Nativ'!$C$6:$C$405,F672,'Istoric_Nativ'!$E$6:$E$405,G672,'Istoric_Nativ'!$D$6:$D$405,"&lt;"&amp;J672,'Istoric_Nativ'!$P$6:$P$405,1,'Istoric_Nativ'!$D$6:$D$405,"&gt;="&amp;L672)+SUMIFS('Istoric_Nativ'!$G$6:$G$405,'Istoric_Nativ'!$B$6:$B$405,E672,'Istoric_Nativ'!$C$6:$C$405,F672,'Istoric_Nativ'!$F$6:$F$405,G672,'Istoric_Nativ'!$D$6:$D$405,"&lt;"&amp;J672,'Istoric_Nativ'!$P$6:$P$405,1,'Istoric_Nativ'!$D$6:$D$405,"&gt;="&amp;L672)))/M672)</x:f>
      </x:c>
      <x:c r="P672" s="2" t="n">
        <x:f>'Config_v6'!$B$7</x:f>
        <x:v>10</x:v>
      </x:c>
      <x:c r="Q672" s="2" t="n">
        <x:f>IF(OR(B672="",F672=""),0,IFERROR(MATCH(E672&amp;"|"&amp;F672,SourceTable[Source_Key],0),0))</x:f>
        <x:v>0</x:v>
      </x:c>
      <x:c r="R672" s="2" t="str">
        <x:f>IF(B672="","",IF(F672="","UNUSED",IF(Q672=0,"NOT CHECKED",IF(COUNTIF(SourceTable[Source_Key],E672&amp;"|"&amp;F672)&lt;&gt;1,"SOURCE CONFLICT",IF(NOT(OR(INDEX(SourceTable[Status],MAX(1,Q672))="IMPORTED",INDEX(SourceTable[Status],MAX(1,Q672))="PARTIAL",INDEX(SourceTable[Status],MAX(1,Q672))="SOURCE CONFLICT")),"ACCESS BLOCKED",IF(OR(INDEX(SourceTable[Coverage],Q672)&lt;&gt;"FULL SEASON EXPORT",INDEX(SourceTable[URL],Q672)="",INDEX(SourceTable[SHA256],Q672)=""),"EVIDENCE INCOMPLETE",IF(AND('Input_Meci'!H61="LIVE",INDEX(SourceTable[Retrieved_UTC],Q672)&gt;'Input_Meci'!G61),"POST CUTOFF","CLOSED")))))))</x:f>
      </x:c>
      <x:c r="S672" s="2" t="n">
        <x:f>IF(OR(B672="",F672=""),0,COUNTIFS('Istoric_Nativ'!$B$6:$B$405,E672,'Istoric_Nativ'!$C$6:$C$405,F672,'Istoric_Nativ'!$E$6:$E$405,G672,'Istoric_Nativ'!$D$6:$D$405,"&lt;"&amp;J672,'Istoric_Nativ'!$O$6:$O$405,"INVALID")+COUNTIFS('Istoric_Nativ'!$B$6:$B$405,E672,'Istoric_Nativ'!$C$6:$C$405,F672,'Istoric_Nativ'!$E$6:$E$405,G672,'Istoric_Nativ'!$O$6:$O$405,"INVALID",'Istoric_Nativ'!$D$6:$D$405,"*")+COUNTIFS('Istoric_Nativ'!$B$6:$B$405,E672,'Istoric_Nativ'!$C$6:$C$405,F672,'Istoric_Nativ'!$E$6:$E$405,G672,'Istoric_Nativ'!$D$6:$D$405,"&lt;"&amp;J672,'Istoric_Nativ'!$O$6:$O$405,"SOURCE CONFLICT")+COUNTIFS('Istoric_Nativ'!$B$6:$B$405,E672,'Istoric_Nativ'!$C$6:$C$405,F672,'Istoric_Nativ'!$F$6:$F$405,G672,'Istoric_Nativ'!$D$6:$D$405,"&lt;"&amp;J672,'Istoric_Nativ'!$O$6:$O$405,"INVALID")+COUNTIFS('Istoric_Nativ'!$B$6:$B$405,E672,'Istoric_Nativ'!$C$6:$C$405,F672,'Istoric_Nativ'!$F$6:$F$405,G672,'Istoric_Nativ'!$O$6:$O$405,"INVALID",'Istoric_Nativ'!$D$6:$D$405,"*")+COUNTIFS('Istoric_Nativ'!$B$6:$B$405,E672,'Istoric_Nativ'!$C$6:$C$405,F672,'Istoric_Nativ'!$F$6:$F$405,G672,'Istoric_Nativ'!$D$6:$D$405,"&lt;"&amp;J672,'Istoric_Nativ'!$O$6:$O$405,"SOURCE CONFLICT"))</x:f>
        <x:v>0</x:v>
      </x:c>
      <x:c r="T672" s="2" t="str">
        <x:f>IF(B672="","",IF(R672&lt;&gt;"CLOSED",R672,IF(S672&gt;0,"NATIVE INPUT ISSUE",IF(M672=0,"NO HISTORY",IF(M672&lt;P672,"SMALL SAMPLE","DERIVED")))))</x:f>
      </x:c>
      <x:c r="U672" s="2" t="str">
        <x:f>IF(B672="","","NativeTable; "&amp;E672&amp;"; "&amp;F672&amp;"; "&amp;G672&amp;"; "&amp;H672&amp;"; before "&amp;TEXT(J672,"yyyy-mm-dd")&amp;IF(I672="RECENT","; from "&amp;TEXT(L672,"yyyy-mm-dd"),""))</x:f>
      </x:c>
    </x:row>
    <x:row r="673" ht="21" customHeight="1">
      <x:c r="A673" s="2" t="n">
        <x:v>56</x:v>
      </x:c>
      <x:c r="B673" s="2" t="str">
        <x:f>IF('Input_Meci'!A61="","",'Input_Meci'!A61)</x:f>
      </x:c>
      <x:c r="C673" s="2" t="str">
        <x:v>H</x:v>
      </x:c>
      <x:c r="D673" s="2" t="str">
        <x:v>PRIOR</x:v>
      </x:c>
      <x:c r="E673" s="2" t="str">
        <x:f>IF(B673="","",'Input_Meci'!B61)</x:f>
      </x:c>
      <x:c r="F673" s="2" t="str">
        <x:f>IF(B673="","",IF('Input_Meci'!K61="","",'Input_Meci'!K61))</x:f>
      </x:c>
      <x:c r="G673" s="2" t="str">
        <x:f>IF(B673="","",'Input_Meci'!D61)</x:f>
      </x:c>
      <x:c r="H673" s="2" t="str">
        <x:v>HOME</x:v>
      </x:c>
      <x:c r="I673" s="2" t="str">
        <x:v>HA</x:v>
      </x:c>
      <x:c r="J673" s="9" t="n">
        <x:f>IF(AND(B673&lt;&gt;"",ISNUMBER('Input_Meci'!G61)),INT('Input_Meci'!G61),0)</x:f>
        <x:v>0</x:v>
      </x:c>
      <x:c r="K673" s="2" t="n">
        <x:f>IF(OR(B673="",F673=""),0,IF(H673="HOME",COUNTIFS('Istoric_Nativ'!$B$6:$B$405,E673,'Istoric_Nativ'!$C$6:$C$405,F673,'Istoric_Nativ'!$E$6:$E$405,G673,'Istoric_Nativ'!$D$6:$D$405,"&lt;"&amp;J673,'Istoric_Nativ'!$P$6:$P$405,1),IF(H673="AWAY",COUNTIFS('Istoric_Nativ'!$B$6:$B$405,E673,'Istoric_Nativ'!$C$6:$C$405,F673,'Istoric_Nativ'!$F$6:$F$405,G673,'Istoric_Nativ'!$D$6:$D$405,"&lt;"&amp;J673,'Istoric_Nativ'!$P$6:$P$405,1),COUNTIFS('Istoric_Nativ'!$B$6:$B$405,E673,'Istoric_Nativ'!$C$6:$C$405,F673,'Istoric_Nativ'!$E$6:$E$405,G673,'Istoric_Nativ'!$D$6:$D$405,"&lt;"&amp;J673,'Istoric_Nativ'!$P$6:$P$405,1)+COUNTIFS('Istoric_Nativ'!$B$6:$B$405,E673,'Istoric_Nativ'!$C$6:$C$405,F673,'Istoric_Nativ'!$F$6:$F$405,G673,'Istoric_Nativ'!$D$6:$D$405,"&lt;"&amp;J673,'Istoric_Nativ'!$P$6:$P$405,1))))</x:f>
        <x:v>0</x:v>
      </x:c>
      <x:c r="L673" s="17" t="n">
        <x:f>IF(AND(B673&lt;&gt;"",I673="RECENT",K673&gt;0),LARGE(_xlfn._xlws.FILTER('Istoric_Nativ'!$D$6:$D$405,('Istoric_Nativ'!$B$6:$B$405=E673)*('Istoric_Nativ'!$C$6:$C$405=F673)*('Istoric_Nativ'!$P$6:$P$405=1)*('Istoric_Nativ'!$D$6:$D$405&lt;J673)*((('Istoric_Nativ'!$E$6:$E$405=G673)+('Istoric_Nativ'!$F$6:$F$405=G673))&gt;0)),MIN('Config_v6'!$B$54,K673)),0)</x:f>
        <x:v>0</x:v>
      </x:c>
      <x:c r="M673" s="2" t="n">
        <x:f>IF(OR(B673="",F673=""),0,IF(H673="HOME",COUNTIFS('Istoric_Nativ'!$B$6:$B$405,E673,'Istoric_Nativ'!$C$6:$C$405,F673,'Istoric_Nativ'!$E$6:$E$405,G673,'Istoric_Nativ'!$D$6:$D$405,"&lt;"&amp;J673,'Istoric_Nativ'!$P$6:$P$405,1,'Istoric_Nativ'!$D$6:$D$405,"&gt;="&amp;L673),IF(H673="AWAY",COUNTIFS('Istoric_Nativ'!$B$6:$B$405,E673,'Istoric_Nativ'!$C$6:$C$405,F673,'Istoric_Nativ'!$F$6:$F$405,G673,'Istoric_Nativ'!$D$6:$D$405,"&lt;"&amp;J673,'Istoric_Nativ'!$P$6:$P$405,1,'Istoric_Nativ'!$D$6:$D$405,"&gt;="&amp;L673),COUNTIFS('Istoric_Nativ'!$B$6:$B$405,E673,'Istoric_Nativ'!$C$6:$C$405,F673,'Istoric_Nativ'!$E$6:$E$405,G673,'Istoric_Nativ'!$D$6:$D$405,"&lt;"&amp;J673,'Istoric_Nativ'!$P$6:$P$405,1,'Istoric_Nativ'!$D$6:$D$405,"&gt;="&amp;L673)+COUNTIFS('Istoric_Nativ'!$B$6:$B$405,E673,'Istoric_Nativ'!$C$6:$C$405,F673,'Istoric_Nativ'!$F$6:$F$405,G673,'Istoric_Nativ'!$D$6:$D$405,"&lt;"&amp;J673,'Istoric_Nativ'!$P$6:$P$405,1,'Istoric_Nativ'!$D$6:$D$405,"&gt;="&amp;L673))))</x:f>
        <x:v>0</x:v>
      </x:c>
      <x:c r="N673" s="11" t="str">
        <x:f>IF(M673=0,"",IF(H673="HOME",SUMIFS('Istoric_Nativ'!$G$6:$G$405,'Istoric_Nativ'!$B$6:$B$405,E673,'Istoric_Nativ'!$C$6:$C$405,F673,'Istoric_Nativ'!$E$6:$E$405,G673,'Istoric_Nativ'!$D$6:$D$405,"&lt;"&amp;J673,'Istoric_Nativ'!$P$6:$P$405,1,'Istoric_Nativ'!$D$6:$D$405,"&gt;="&amp;L673),IF(H673="AWAY",SUMIFS('Istoric_Nativ'!$H$6:$H$405,'Istoric_Nativ'!$B$6:$B$405,E673,'Istoric_Nativ'!$C$6:$C$405,F673,'Istoric_Nativ'!$F$6:$F$405,G673,'Istoric_Nativ'!$D$6:$D$405,"&lt;"&amp;J673,'Istoric_Nativ'!$P$6:$P$405,1,'Istoric_Nativ'!$D$6:$D$405,"&gt;="&amp;L673),SUMIFS('Istoric_Nativ'!$G$6:$G$405,'Istoric_Nativ'!$B$6:$B$405,E673,'Istoric_Nativ'!$C$6:$C$405,F673,'Istoric_Nativ'!$E$6:$E$405,G673,'Istoric_Nativ'!$D$6:$D$405,"&lt;"&amp;J673,'Istoric_Nativ'!$P$6:$P$405,1,'Istoric_Nativ'!$D$6:$D$405,"&gt;="&amp;L673)+SUMIFS('Istoric_Nativ'!$H$6:$H$405,'Istoric_Nativ'!$B$6:$B$405,E673,'Istoric_Nativ'!$C$6:$C$405,F673,'Istoric_Nativ'!$F$6:$F$405,G673,'Istoric_Nativ'!$D$6:$D$405,"&lt;"&amp;J673,'Istoric_Nativ'!$P$6:$P$405,1,'Istoric_Nativ'!$D$6:$D$405,"&gt;="&amp;L673)))/M673)</x:f>
      </x:c>
      <x:c r="O673" s="11" t="str">
        <x:f>IF(M673=0,"",IF(H673="HOME",SUMIFS('Istoric_Nativ'!$H$6:$H$405,'Istoric_Nativ'!$B$6:$B$405,E673,'Istoric_Nativ'!$C$6:$C$405,F673,'Istoric_Nativ'!$E$6:$E$405,G673,'Istoric_Nativ'!$D$6:$D$405,"&lt;"&amp;J673,'Istoric_Nativ'!$P$6:$P$405,1,'Istoric_Nativ'!$D$6:$D$405,"&gt;="&amp;L673),IF(H673="AWAY",SUMIFS('Istoric_Nativ'!$G$6:$G$405,'Istoric_Nativ'!$B$6:$B$405,E673,'Istoric_Nativ'!$C$6:$C$405,F673,'Istoric_Nativ'!$F$6:$F$405,G673,'Istoric_Nativ'!$D$6:$D$405,"&lt;"&amp;J673,'Istoric_Nativ'!$P$6:$P$405,1,'Istoric_Nativ'!$D$6:$D$405,"&gt;="&amp;L673),SUMIFS('Istoric_Nativ'!$H$6:$H$405,'Istoric_Nativ'!$B$6:$B$405,E673,'Istoric_Nativ'!$C$6:$C$405,F673,'Istoric_Nativ'!$E$6:$E$405,G673,'Istoric_Nativ'!$D$6:$D$405,"&lt;"&amp;J673,'Istoric_Nativ'!$P$6:$P$405,1,'Istoric_Nativ'!$D$6:$D$405,"&gt;="&amp;L673)+SUMIFS('Istoric_Nativ'!$G$6:$G$405,'Istoric_Nativ'!$B$6:$B$405,E673,'Istoric_Nativ'!$C$6:$C$405,F673,'Istoric_Nativ'!$F$6:$F$405,G673,'Istoric_Nativ'!$D$6:$D$405,"&lt;"&amp;J673,'Istoric_Nativ'!$P$6:$P$405,1,'Istoric_Nativ'!$D$6:$D$405,"&gt;="&amp;L673)))/M673)</x:f>
      </x:c>
      <x:c r="P673" s="2" t="n">
        <x:f>'Config_v6'!$B$8</x:f>
        <x:v>5</x:v>
      </x:c>
      <x:c r="Q673" s="2" t="n">
        <x:f>IF(OR(B673="",F673=""),0,IFERROR(MATCH(E673&amp;"|"&amp;F673,SourceTable[Source_Key],0),0))</x:f>
        <x:v>0</x:v>
      </x:c>
      <x:c r="R673" s="2" t="str">
        <x:f>IF(B673="","",IF(F673="","UNUSED",IF(Q673=0,"NOT CHECKED",IF(COUNTIF(SourceTable[Source_Key],E673&amp;"|"&amp;F673)&lt;&gt;1,"SOURCE CONFLICT",IF(NOT(OR(INDEX(SourceTable[Status],MAX(1,Q673))="IMPORTED",INDEX(SourceTable[Status],MAX(1,Q673))="PARTIAL",INDEX(SourceTable[Status],MAX(1,Q673))="SOURCE CONFLICT")),"ACCESS BLOCKED",IF(OR(INDEX(SourceTable[Coverage],Q673)&lt;&gt;"FULL SEASON EXPORT",INDEX(SourceTable[URL],Q673)="",INDEX(SourceTable[SHA256],Q673)=""),"EVIDENCE INCOMPLETE",IF(AND('Input_Meci'!H61="LIVE",INDEX(SourceTable[Retrieved_UTC],Q673)&gt;'Input_Meci'!G61),"POST CUTOFF","CLOSED")))))))</x:f>
      </x:c>
      <x:c r="S673" s="2" t="n">
        <x:f>IF(OR(B673="",F673=""),0,COUNTIFS('Istoric_Nativ'!$B$6:$B$405,E673,'Istoric_Nativ'!$C$6:$C$405,F673,'Istoric_Nativ'!$E$6:$E$405,G673,'Istoric_Nativ'!$D$6:$D$405,"&lt;"&amp;J673,'Istoric_Nativ'!$O$6:$O$405,"INVALID")+COUNTIFS('Istoric_Nativ'!$B$6:$B$405,E673,'Istoric_Nativ'!$C$6:$C$405,F673,'Istoric_Nativ'!$E$6:$E$405,G673,'Istoric_Nativ'!$O$6:$O$405,"INVALID",'Istoric_Nativ'!$D$6:$D$405,"*")+COUNTIFS('Istoric_Nativ'!$B$6:$B$405,E673,'Istoric_Nativ'!$C$6:$C$405,F673,'Istoric_Nativ'!$E$6:$E$405,G673,'Istoric_Nativ'!$D$6:$D$405,"&lt;"&amp;J673,'Istoric_Nativ'!$O$6:$O$405,"SOURCE CONFLICT")+COUNTIFS('Istoric_Nativ'!$B$6:$B$405,E673,'Istoric_Nativ'!$C$6:$C$405,F673,'Istoric_Nativ'!$F$6:$F$405,G673,'Istoric_Nativ'!$D$6:$D$405,"&lt;"&amp;J673,'Istoric_Nativ'!$O$6:$O$405,"INVALID")+COUNTIFS('Istoric_Nativ'!$B$6:$B$405,E673,'Istoric_Nativ'!$C$6:$C$405,F673,'Istoric_Nativ'!$F$6:$F$405,G673,'Istoric_Nativ'!$O$6:$O$405,"INVALID",'Istoric_Nativ'!$D$6:$D$405,"*")+COUNTIFS('Istoric_Nativ'!$B$6:$B$405,E673,'Istoric_Nativ'!$C$6:$C$405,F673,'Istoric_Nativ'!$F$6:$F$405,G673,'Istoric_Nativ'!$D$6:$D$405,"&lt;"&amp;J673,'Istoric_Nativ'!$O$6:$O$405,"SOURCE CONFLICT"))</x:f>
        <x:v>0</x:v>
      </x:c>
      <x:c r="T673" s="2" t="str">
        <x:f>IF(B673="","",IF(R673&lt;&gt;"CLOSED",R673,IF(S673&gt;0,"NATIVE INPUT ISSUE",IF(M673=0,"NO HISTORY",IF(M673&lt;P673,"SMALL SAMPLE","DERIVED")))))</x:f>
      </x:c>
      <x:c r="U673" s="2" t="str">
        <x:f>IF(B673="","","NativeTable; "&amp;E673&amp;"; "&amp;F673&amp;"; "&amp;G673&amp;"; "&amp;H673&amp;"; before "&amp;TEXT(J673,"yyyy-mm-dd")&amp;IF(I673="RECENT","; from "&amp;TEXT(L673,"yyyy-mm-dd"),""))</x:f>
      </x:c>
    </x:row>
    <x:row r="674" ht="21" customHeight="1">
      <x:c r="A674" s="2" t="n">
        <x:v>56</x:v>
      </x:c>
      <x:c r="B674" s="2" t="str">
        <x:f>IF('Input_Meci'!A61="","",'Input_Meci'!A61)</x:f>
      </x:c>
      <x:c r="C674" s="2" t="str">
        <x:v>H</x:v>
      </x:c>
      <x:c r="D674" s="2" t="str">
        <x:v>PRIOR</x:v>
      </x:c>
      <x:c r="E674" s="2" t="str">
        <x:f>IF(B674="","",'Input_Meci'!B61)</x:f>
      </x:c>
      <x:c r="F674" s="2" t="str">
        <x:f>IF(B674="","",IF('Input_Meci'!K61="","",'Input_Meci'!K61))</x:f>
      </x:c>
      <x:c r="G674" s="2" t="str">
        <x:f>IF(B674="","",'Input_Meci'!D61)</x:f>
      </x:c>
      <x:c r="H674" s="2" t="str">
        <x:v>ANY</x:v>
      </x:c>
      <x:c r="I674" s="2" t="str">
        <x:v>RECENT</x:v>
      </x:c>
      <x:c r="J674" s="9" t="n">
        <x:f>IF(AND(B674&lt;&gt;"",ISNUMBER('Input_Meci'!G61)),INT('Input_Meci'!G61),0)</x:f>
        <x:v>0</x:v>
      </x:c>
      <x:c r="K674" s="2" t="n">
        <x:f>IF(OR(B674="",F674=""),0,IF(H674="HOME",COUNTIFS('Istoric_Nativ'!$B$6:$B$405,E674,'Istoric_Nativ'!$C$6:$C$405,F674,'Istoric_Nativ'!$E$6:$E$405,G674,'Istoric_Nativ'!$D$6:$D$405,"&lt;"&amp;J674,'Istoric_Nativ'!$P$6:$P$405,1),IF(H674="AWAY",COUNTIFS('Istoric_Nativ'!$B$6:$B$405,E674,'Istoric_Nativ'!$C$6:$C$405,F674,'Istoric_Nativ'!$F$6:$F$405,G674,'Istoric_Nativ'!$D$6:$D$405,"&lt;"&amp;J674,'Istoric_Nativ'!$P$6:$P$405,1),COUNTIFS('Istoric_Nativ'!$B$6:$B$405,E674,'Istoric_Nativ'!$C$6:$C$405,F674,'Istoric_Nativ'!$E$6:$E$405,G674,'Istoric_Nativ'!$D$6:$D$405,"&lt;"&amp;J674,'Istoric_Nativ'!$P$6:$P$405,1)+COUNTIFS('Istoric_Nativ'!$B$6:$B$405,E674,'Istoric_Nativ'!$C$6:$C$405,F674,'Istoric_Nativ'!$F$6:$F$405,G674,'Istoric_Nativ'!$D$6:$D$405,"&lt;"&amp;J674,'Istoric_Nativ'!$P$6:$P$405,1))))</x:f>
        <x:v>0</x:v>
      </x:c>
      <x:c r="L674" s="17" t="n">
        <x:f>IF(AND(B674&lt;&gt;"",I674="RECENT",K674&gt;0),LARGE(_xlfn._xlws.FILTER('Istoric_Nativ'!$D$6:$D$405,('Istoric_Nativ'!$B$6:$B$405=E674)*('Istoric_Nativ'!$C$6:$C$405=F674)*('Istoric_Nativ'!$P$6:$P$405=1)*('Istoric_Nativ'!$D$6:$D$405&lt;J674)*((('Istoric_Nativ'!$E$6:$E$405=G674)+('Istoric_Nativ'!$F$6:$F$405=G674))&gt;0)),MIN('Config_v6'!$B$54,K674)),0)</x:f>
        <x:v>0</x:v>
      </x:c>
      <x:c r="M674" s="2" t="n">
        <x:f>IF(OR(B674="",F674=""),0,IF(H674="HOME",COUNTIFS('Istoric_Nativ'!$B$6:$B$405,E674,'Istoric_Nativ'!$C$6:$C$405,F674,'Istoric_Nativ'!$E$6:$E$405,G674,'Istoric_Nativ'!$D$6:$D$405,"&lt;"&amp;J674,'Istoric_Nativ'!$P$6:$P$405,1,'Istoric_Nativ'!$D$6:$D$405,"&gt;="&amp;L674),IF(H674="AWAY",COUNTIFS('Istoric_Nativ'!$B$6:$B$405,E674,'Istoric_Nativ'!$C$6:$C$405,F674,'Istoric_Nativ'!$F$6:$F$405,G674,'Istoric_Nativ'!$D$6:$D$405,"&lt;"&amp;J674,'Istoric_Nativ'!$P$6:$P$405,1,'Istoric_Nativ'!$D$6:$D$405,"&gt;="&amp;L674),COUNTIFS('Istoric_Nativ'!$B$6:$B$405,E674,'Istoric_Nativ'!$C$6:$C$405,F674,'Istoric_Nativ'!$E$6:$E$405,G674,'Istoric_Nativ'!$D$6:$D$405,"&lt;"&amp;J674,'Istoric_Nativ'!$P$6:$P$405,1,'Istoric_Nativ'!$D$6:$D$405,"&gt;="&amp;L674)+COUNTIFS('Istoric_Nativ'!$B$6:$B$405,E674,'Istoric_Nativ'!$C$6:$C$405,F674,'Istoric_Nativ'!$F$6:$F$405,G674,'Istoric_Nativ'!$D$6:$D$405,"&lt;"&amp;J674,'Istoric_Nativ'!$P$6:$P$405,1,'Istoric_Nativ'!$D$6:$D$405,"&gt;="&amp;L674))))</x:f>
        <x:v>0</x:v>
      </x:c>
      <x:c r="N674" s="11" t="str">
        <x:f>IF(M674=0,"",IF(H674="HOME",SUMIFS('Istoric_Nativ'!$G$6:$G$405,'Istoric_Nativ'!$B$6:$B$405,E674,'Istoric_Nativ'!$C$6:$C$405,F674,'Istoric_Nativ'!$E$6:$E$405,G674,'Istoric_Nativ'!$D$6:$D$405,"&lt;"&amp;J674,'Istoric_Nativ'!$P$6:$P$405,1,'Istoric_Nativ'!$D$6:$D$405,"&gt;="&amp;L674),IF(H674="AWAY",SUMIFS('Istoric_Nativ'!$H$6:$H$405,'Istoric_Nativ'!$B$6:$B$405,E674,'Istoric_Nativ'!$C$6:$C$405,F674,'Istoric_Nativ'!$F$6:$F$405,G674,'Istoric_Nativ'!$D$6:$D$405,"&lt;"&amp;J674,'Istoric_Nativ'!$P$6:$P$405,1,'Istoric_Nativ'!$D$6:$D$405,"&gt;="&amp;L674),SUMIFS('Istoric_Nativ'!$G$6:$G$405,'Istoric_Nativ'!$B$6:$B$405,E674,'Istoric_Nativ'!$C$6:$C$405,F674,'Istoric_Nativ'!$E$6:$E$405,G674,'Istoric_Nativ'!$D$6:$D$405,"&lt;"&amp;J674,'Istoric_Nativ'!$P$6:$P$405,1,'Istoric_Nativ'!$D$6:$D$405,"&gt;="&amp;L674)+SUMIFS('Istoric_Nativ'!$H$6:$H$405,'Istoric_Nativ'!$B$6:$B$405,E674,'Istoric_Nativ'!$C$6:$C$405,F674,'Istoric_Nativ'!$F$6:$F$405,G674,'Istoric_Nativ'!$D$6:$D$405,"&lt;"&amp;J674,'Istoric_Nativ'!$P$6:$P$405,1,'Istoric_Nativ'!$D$6:$D$405,"&gt;="&amp;L674)))/M674)</x:f>
      </x:c>
      <x:c r="O674" s="11" t="str">
        <x:f>IF(M674=0,"",IF(H674="HOME",SUMIFS('Istoric_Nativ'!$H$6:$H$405,'Istoric_Nativ'!$B$6:$B$405,E674,'Istoric_Nativ'!$C$6:$C$405,F674,'Istoric_Nativ'!$E$6:$E$405,G674,'Istoric_Nativ'!$D$6:$D$405,"&lt;"&amp;J674,'Istoric_Nativ'!$P$6:$P$405,1,'Istoric_Nativ'!$D$6:$D$405,"&gt;="&amp;L674),IF(H674="AWAY",SUMIFS('Istoric_Nativ'!$G$6:$G$405,'Istoric_Nativ'!$B$6:$B$405,E674,'Istoric_Nativ'!$C$6:$C$405,F674,'Istoric_Nativ'!$F$6:$F$405,G674,'Istoric_Nativ'!$D$6:$D$405,"&lt;"&amp;J674,'Istoric_Nativ'!$P$6:$P$405,1,'Istoric_Nativ'!$D$6:$D$405,"&gt;="&amp;L674),SUMIFS('Istoric_Nativ'!$H$6:$H$405,'Istoric_Nativ'!$B$6:$B$405,E674,'Istoric_Nativ'!$C$6:$C$405,F674,'Istoric_Nativ'!$E$6:$E$405,G674,'Istoric_Nativ'!$D$6:$D$405,"&lt;"&amp;J674,'Istoric_Nativ'!$P$6:$P$405,1,'Istoric_Nativ'!$D$6:$D$405,"&gt;="&amp;L674)+SUMIFS('Istoric_Nativ'!$G$6:$G$405,'Istoric_Nativ'!$B$6:$B$405,E674,'Istoric_Nativ'!$C$6:$C$405,F674,'Istoric_Nativ'!$F$6:$F$405,G674,'Istoric_Nativ'!$D$6:$D$405,"&lt;"&amp;J674,'Istoric_Nativ'!$P$6:$P$405,1,'Istoric_Nativ'!$D$6:$D$405,"&gt;="&amp;L674)))/M674)</x:f>
      </x:c>
      <x:c r="P674" s="2" t="n">
        <x:f>'Config_v6'!$B$9</x:f>
        <x:v>3</x:v>
      </x:c>
      <x:c r="Q674" s="2" t="n">
        <x:f>IF(OR(B674="",F674=""),0,IFERROR(MATCH(E674&amp;"|"&amp;F674,SourceTable[Source_Key],0),0))</x:f>
        <x:v>0</x:v>
      </x:c>
      <x:c r="R674" s="2" t="str">
        <x:f>IF(B674="","",IF(F674="","UNUSED",IF(Q674=0,"NOT CHECKED",IF(COUNTIF(SourceTable[Source_Key],E674&amp;"|"&amp;F674)&lt;&gt;1,"SOURCE CONFLICT",IF(NOT(OR(INDEX(SourceTable[Status],MAX(1,Q674))="IMPORTED",INDEX(SourceTable[Status],MAX(1,Q674))="PARTIAL",INDEX(SourceTable[Status],MAX(1,Q674))="SOURCE CONFLICT")),"ACCESS BLOCKED",IF(OR(INDEX(SourceTable[Coverage],Q674)&lt;&gt;"FULL SEASON EXPORT",INDEX(SourceTable[URL],Q674)="",INDEX(SourceTable[SHA256],Q674)=""),"EVIDENCE INCOMPLETE",IF(AND('Input_Meci'!H61="LIVE",INDEX(SourceTable[Retrieved_UTC],Q674)&gt;'Input_Meci'!G61),"POST CUTOFF","CLOSED")))))))</x:f>
      </x:c>
      <x:c r="S674" s="2" t="n">
        <x:f>IF(OR(B674="",F674=""),0,COUNTIFS('Istoric_Nativ'!$B$6:$B$405,E674,'Istoric_Nativ'!$C$6:$C$405,F674,'Istoric_Nativ'!$E$6:$E$405,G674,'Istoric_Nativ'!$D$6:$D$405,"&lt;"&amp;J674,'Istoric_Nativ'!$O$6:$O$405,"INVALID")+COUNTIFS('Istoric_Nativ'!$B$6:$B$405,E674,'Istoric_Nativ'!$C$6:$C$405,F674,'Istoric_Nativ'!$E$6:$E$405,G674,'Istoric_Nativ'!$O$6:$O$405,"INVALID",'Istoric_Nativ'!$D$6:$D$405,"*")+COUNTIFS('Istoric_Nativ'!$B$6:$B$405,E674,'Istoric_Nativ'!$C$6:$C$405,F674,'Istoric_Nativ'!$E$6:$E$405,G674,'Istoric_Nativ'!$D$6:$D$405,"&lt;"&amp;J674,'Istoric_Nativ'!$O$6:$O$405,"SOURCE CONFLICT")+COUNTIFS('Istoric_Nativ'!$B$6:$B$405,E674,'Istoric_Nativ'!$C$6:$C$405,F674,'Istoric_Nativ'!$F$6:$F$405,G674,'Istoric_Nativ'!$D$6:$D$405,"&lt;"&amp;J674,'Istoric_Nativ'!$O$6:$O$405,"INVALID")+COUNTIFS('Istoric_Nativ'!$B$6:$B$405,E674,'Istoric_Nativ'!$C$6:$C$405,F674,'Istoric_Nativ'!$F$6:$F$405,G674,'Istoric_Nativ'!$O$6:$O$405,"INVALID",'Istoric_Nativ'!$D$6:$D$405,"*")+COUNTIFS('Istoric_Nativ'!$B$6:$B$405,E674,'Istoric_Nativ'!$C$6:$C$405,F674,'Istoric_Nativ'!$F$6:$F$405,G674,'Istoric_Nativ'!$D$6:$D$405,"&lt;"&amp;J674,'Istoric_Nativ'!$O$6:$O$405,"SOURCE CONFLICT"))</x:f>
        <x:v>0</x:v>
      </x:c>
      <x:c r="T674" s="2" t="str">
        <x:f>IF(B674="","",IF(R674&lt;&gt;"CLOSED",R674,IF(S674&gt;0,"NATIVE INPUT ISSUE",IF(M674=0,"NO HISTORY",IF(M674&lt;P674,"SMALL SAMPLE","DERIVED")))))</x:f>
      </x:c>
      <x:c r="U674" s="2" t="str">
        <x:f>IF(B674="","","NativeTable; "&amp;E674&amp;"; "&amp;F674&amp;"; "&amp;G674&amp;"; "&amp;H674&amp;"; before "&amp;TEXT(J674,"yyyy-mm-dd")&amp;IF(I674="RECENT","; from "&amp;TEXT(L674,"yyyy-mm-dd"),""))</x:f>
      </x:c>
    </x:row>
    <x:row r="675" ht="21" customHeight="1">
      <x:c r="A675" s="2" t="n">
        <x:v>56</x:v>
      </x:c>
      <x:c r="B675" s="2" t="str">
        <x:f>IF('Input_Meci'!A61="","",'Input_Meci'!A61)</x:f>
      </x:c>
      <x:c r="C675" s="2" t="str">
        <x:v>A</x:v>
      </x:c>
      <x:c r="D675" s="2" t="str">
        <x:v>PRIOR</x:v>
      </x:c>
      <x:c r="E675" s="2" t="str">
        <x:f>IF(B675="","",'Input_Meci'!B61)</x:f>
      </x:c>
      <x:c r="F675" s="2" t="str">
        <x:f>IF(B675="","",IF('Input_Meci'!K61="","",'Input_Meci'!K61))</x:f>
      </x:c>
      <x:c r="G675" s="2" t="str">
        <x:f>IF(B675="","",'Input_Meci'!E61)</x:f>
      </x:c>
      <x:c r="H675" s="2" t="str">
        <x:v>ANY</x:v>
      </x:c>
      <x:c r="I675" s="2" t="str">
        <x:v>SEASON</x:v>
      </x:c>
      <x:c r="J675" s="9" t="n">
        <x:f>IF(AND(B675&lt;&gt;"",ISNUMBER('Input_Meci'!G61)),INT('Input_Meci'!G61),0)</x:f>
        <x:v>0</x:v>
      </x:c>
      <x:c r="K675" s="2" t="n">
        <x:f>IF(OR(B675="",F675=""),0,IF(H675="HOME",COUNTIFS('Istoric_Nativ'!$B$6:$B$405,E675,'Istoric_Nativ'!$C$6:$C$405,F675,'Istoric_Nativ'!$E$6:$E$405,G675,'Istoric_Nativ'!$D$6:$D$405,"&lt;"&amp;J675,'Istoric_Nativ'!$P$6:$P$405,1),IF(H675="AWAY",COUNTIFS('Istoric_Nativ'!$B$6:$B$405,E675,'Istoric_Nativ'!$C$6:$C$405,F675,'Istoric_Nativ'!$F$6:$F$405,G675,'Istoric_Nativ'!$D$6:$D$405,"&lt;"&amp;J675,'Istoric_Nativ'!$P$6:$P$405,1),COUNTIFS('Istoric_Nativ'!$B$6:$B$405,E675,'Istoric_Nativ'!$C$6:$C$405,F675,'Istoric_Nativ'!$E$6:$E$405,G675,'Istoric_Nativ'!$D$6:$D$405,"&lt;"&amp;J675,'Istoric_Nativ'!$P$6:$P$405,1)+COUNTIFS('Istoric_Nativ'!$B$6:$B$405,E675,'Istoric_Nativ'!$C$6:$C$405,F675,'Istoric_Nativ'!$F$6:$F$405,G675,'Istoric_Nativ'!$D$6:$D$405,"&lt;"&amp;J675,'Istoric_Nativ'!$P$6:$P$405,1))))</x:f>
        <x:v>0</x:v>
      </x:c>
      <x:c r="L675" s="17" t="n">
        <x:f>IF(AND(B675&lt;&gt;"",I675="RECENT",K675&gt;0),LARGE(_xlfn._xlws.FILTER('Istoric_Nativ'!$D$6:$D$405,('Istoric_Nativ'!$B$6:$B$405=E675)*('Istoric_Nativ'!$C$6:$C$405=F675)*('Istoric_Nativ'!$P$6:$P$405=1)*('Istoric_Nativ'!$D$6:$D$405&lt;J675)*((('Istoric_Nativ'!$E$6:$E$405=G675)+('Istoric_Nativ'!$F$6:$F$405=G675))&gt;0)),MIN('Config_v6'!$B$54,K675)),0)</x:f>
        <x:v>0</x:v>
      </x:c>
      <x:c r="M675" s="2" t="n">
        <x:f>IF(OR(B675="",F675=""),0,IF(H675="HOME",COUNTIFS('Istoric_Nativ'!$B$6:$B$405,E675,'Istoric_Nativ'!$C$6:$C$405,F675,'Istoric_Nativ'!$E$6:$E$405,G675,'Istoric_Nativ'!$D$6:$D$405,"&lt;"&amp;J675,'Istoric_Nativ'!$P$6:$P$405,1,'Istoric_Nativ'!$D$6:$D$405,"&gt;="&amp;L675),IF(H675="AWAY",COUNTIFS('Istoric_Nativ'!$B$6:$B$405,E675,'Istoric_Nativ'!$C$6:$C$405,F675,'Istoric_Nativ'!$F$6:$F$405,G675,'Istoric_Nativ'!$D$6:$D$405,"&lt;"&amp;J675,'Istoric_Nativ'!$P$6:$P$405,1,'Istoric_Nativ'!$D$6:$D$405,"&gt;="&amp;L675),COUNTIFS('Istoric_Nativ'!$B$6:$B$405,E675,'Istoric_Nativ'!$C$6:$C$405,F675,'Istoric_Nativ'!$E$6:$E$405,G675,'Istoric_Nativ'!$D$6:$D$405,"&lt;"&amp;J675,'Istoric_Nativ'!$P$6:$P$405,1,'Istoric_Nativ'!$D$6:$D$405,"&gt;="&amp;L675)+COUNTIFS('Istoric_Nativ'!$B$6:$B$405,E675,'Istoric_Nativ'!$C$6:$C$405,F675,'Istoric_Nativ'!$F$6:$F$405,G675,'Istoric_Nativ'!$D$6:$D$405,"&lt;"&amp;J675,'Istoric_Nativ'!$P$6:$P$405,1,'Istoric_Nativ'!$D$6:$D$405,"&gt;="&amp;L675))))</x:f>
        <x:v>0</x:v>
      </x:c>
      <x:c r="N675" s="11" t="str">
        <x:f>IF(M675=0,"",IF(H675="HOME",SUMIFS('Istoric_Nativ'!$G$6:$G$405,'Istoric_Nativ'!$B$6:$B$405,E675,'Istoric_Nativ'!$C$6:$C$405,F675,'Istoric_Nativ'!$E$6:$E$405,G675,'Istoric_Nativ'!$D$6:$D$405,"&lt;"&amp;J675,'Istoric_Nativ'!$P$6:$P$405,1,'Istoric_Nativ'!$D$6:$D$405,"&gt;="&amp;L675),IF(H675="AWAY",SUMIFS('Istoric_Nativ'!$H$6:$H$405,'Istoric_Nativ'!$B$6:$B$405,E675,'Istoric_Nativ'!$C$6:$C$405,F675,'Istoric_Nativ'!$F$6:$F$405,G675,'Istoric_Nativ'!$D$6:$D$405,"&lt;"&amp;J675,'Istoric_Nativ'!$P$6:$P$405,1,'Istoric_Nativ'!$D$6:$D$405,"&gt;="&amp;L675),SUMIFS('Istoric_Nativ'!$G$6:$G$405,'Istoric_Nativ'!$B$6:$B$405,E675,'Istoric_Nativ'!$C$6:$C$405,F675,'Istoric_Nativ'!$E$6:$E$405,G675,'Istoric_Nativ'!$D$6:$D$405,"&lt;"&amp;J675,'Istoric_Nativ'!$P$6:$P$405,1,'Istoric_Nativ'!$D$6:$D$405,"&gt;="&amp;L675)+SUMIFS('Istoric_Nativ'!$H$6:$H$405,'Istoric_Nativ'!$B$6:$B$405,E675,'Istoric_Nativ'!$C$6:$C$405,F675,'Istoric_Nativ'!$F$6:$F$405,G675,'Istoric_Nativ'!$D$6:$D$405,"&lt;"&amp;J675,'Istoric_Nativ'!$P$6:$P$405,1,'Istoric_Nativ'!$D$6:$D$405,"&gt;="&amp;L675)))/M675)</x:f>
      </x:c>
      <x:c r="O675" s="11" t="str">
        <x:f>IF(M675=0,"",IF(H675="HOME",SUMIFS('Istoric_Nativ'!$H$6:$H$405,'Istoric_Nativ'!$B$6:$B$405,E675,'Istoric_Nativ'!$C$6:$C$405,F675,'Istoric_Nativ'!$E$6:$E$405,G675,'Istoric_Nativ'!$D$6:$D$405,"&lt;"&amp;J675,'Istoric_Nativ'!$P$6:$P$405,1,'Istoric_Nativ'!$D$6:$D$405,"&gt;="&amp;L675),IF(H675="AWAY",SUMIFS('Istoric_Nativ'!$G$6:$G$405,'Istoric_Nativ'!$B$6:$B$405,E675,'Istoric_Nativ'!$C$6:$C$405,F675,'Istoric_Nativ'!$F$6:$F$405,G675,'Istoric_Nativ'!$D$6:$D$405,"&lt;"&amp;J675,'Istoric_Nativ'!$P$6:$P$405,1,'Istoric_Nativ'!$D$6:$D$405,"&gt;="&amp;L675),SUMIFS('Istoric_Nativ'!$H$6:$H$405,'Istoric_Nativ'!$B$6:$B$405,E675,'Istoric_Nativ'!$C$6:$C$405,F675,'Istoric_Nativ'!$E$6:$E$405,G675,'Istoric_Nativ'!$D$6:$D$405,"&lt;"&amp;J675,'Istoric_Nativ'!$P$6:$P$405,1,'Istoric_Nativ'!$D$6:$D$405,"&gt;="&amp;L675)+SUMIFS('Istoric_Nativ'!$G$6:$G$405,'Istoric_Nativ'!$B$6:$B$405,E675,'Istoric_Nativ'!$C$6:$C$405,F675,'Istoric_Nativ'!$F$6:$F$405,G675,'Istoric_Nativ'!$D$6:$D$405,"&lt;"&amp;J675,'Istoric_Nativ'!$P$6:$P$405,1,'Istoric_Nativ'!$D$6:$D$405,"&gt;="&amp;L675)))/M675)</x:f>
      </x:c>
      <x:c r="P675" s="2" t="n">
        <x:f>'Config_v6'!$B$7</x:f>
        <x:v>10</x:v>
      </x:c>
      <x:c r="Q675" s="2" t="n">
        <x:f>IF(OR(B675="",F675=""),0,IFERROR(MATCH(E675&amp;"|"&amp;F675,SourceTable[Source_Key],0),0))</x:f>
        <x:v>0</x:v>
      </x:c>
      <x:c r="R675" s="2" t="str">
        <x:f>IF(B675="","",IF(F675="","UNUSED",IF(Q675=0,"NOT CHECKED",IF(COUNTIF(SourceTable[Source_Key],E675&amp;"|"&amp;F675)&lt;&gt;1,"SOURCE CONFLICT",IF(NOT(OR(INDEX(SourceTable[Status],MAX(1,Q675))="IMPORTED",INDEX(SourceTable[Status],MAX(1,Q675))="PARTIAL",INDEX(SourceTable[Status],MAX(1,Q675))="SOURCE CONFLICT")),"ACCESS BLOCKED",IF(OR(INDEX(SourceTable[Coverage],Q675)&lt;&gt;"FULL SEASON EXPORT",INDEX(SourceTable[URL],Q675)="",INDEX(SourceTable[SHA256],Q675)=""),"EVIDENCE INCOMPLETE",IF(AND('Input_Meci'!H61="LIVE",INDEX(SourceTable[Retrieved_UTC],Q675)&gt;'Input_Meci'!G61),"POST CUTOFF","CLOSED")))))))</x:f>
      </x:c>
      <x:c r="S675" s="2" t="n">
        <x:f>IF(OR(B675="",F675=""),0,COUNTIFS('Istoric_Nativ'!$B$6:$B$405,E675,'Istoric_Nativ'!$C$6:$C$405,F675,'Istoric_Nativ'!$E$6:$E$405,G675,'Istoric_Nativ'!$D$6:$D$405,"&lt;"&amp;J675,'Istoric_Nativ'!$O$6:$O$405,"INVALID")+COUNTIFS('Istoric_Nativ'!$B$6:$B$405,E675,'Istoric_Nativ'!$C$6:$C$405,F675,'Istoric_Nativ'!$E$6:$E$405,G675,'Istoric_Nativ'!$O$6:$O$405,"INVALID",'Istoric_Nativ'!$D$6:$D$405,"*")+COUNTIFS('Istoric_Nativ'!$B$6:$B$405,E675,'Istoric_Nativ'!$C$6:$C$405,F675,'Istoric_Nativ'!$E$6:$E$405,G675,'Istoric_Nativ'!$D$6:$D$405,"&lt;"&amp;J675,'Istoric_Nativ'!$O$6:$O$405,"SOURCE CONFLICT")+COUNTIFS('Istoric_Nativ'!$B$6:$B$405,E675,'Istoric_Nativ'!$C$6:$C$405,F675,'Istoric_Nativ'!$F$6:$F$405,G675,'Istoric_Nativ'!$D$6:$D$405,"&lt;"&amp;J675,'Istoric_Nativ'!$O$6:$O$405,"INVALID")+COUNTIFS('Istoric_Nativ'!$B$6:$B$405,E675,'Istoric_Nativ'!$C$6:$C$405,F675,'Istoric_Nativ'!$F$6:$F$405,G675,'Istoric_Nativ'!$O$6:$O$405,"INVALID",'Istoric_Nativ'!$D$6:$D$405,"*")+COUNTIFS('Istoric_Nativ'!$B$6:$B$405,E675,'Istoric_Nativ'!$C$6:$C$405,F675,'Istoric_Nativ'!$F$6:$F$405,G675,'Istoric_Nativ'!$D$6:$D$405,"&lt;"&amp;J675,'Istoric_Nativ'!$O$6:$O$405,"SOURCE CONFLICT"))</x:f>
        <x:v>0</x:v>
      </x:c>
      <x:c r="T675" s="2" t="str">
        <x:f>IF(B675="","",IF(R675&lt;&gt;"CLOSED",R675,IF(S675&gt;0,"NATIVE INPUT ISSUE",IF(M675=0,"NO HISTORY",IF(M675&lt;P675,"SMALL SAMPLE","DERIVED")))))</x:f>
      </x:c>
      <x:c r="U675" s="2" t="str">
        <x:f>IF(B675="","","NativeTable; "&amp;E675&amp;"; "&amp;F675&amp;"; "&amp;G675&amp;"; "&amp;H675&amp;"; before "&amp;TEXT(J675,"yyyy-mm-dd")&amp;IF(I675="RECENT","; from "&amp;TEXT(L675,"yyyy-mm-dd"),""))</x:f>
      </x:c>
    </x:row>
    <x:row r="676" ht="21" customHeight="1">
      <x:c r="A676" s="2" t="n">
        <x:v>56</x:v>
      </x:c>
      <x:c r="B676" s="2" t="str">
        <x:f>IF('Input_Meci'!A61="","",'Input_Meci'!A61)</x:f>
      </x:c>
      <x:c r="C676" s="2" t="str">
        <x:v>A</x:v>
      </x:c>
      <x:c r="D676" s="2" t="str">
        <x:v>PRIOR</x:v>
      </x:c>
      <x:c r="E676" s="2" t="str">
        <x:f>IF(B676="","",'Input_Meci'!B61)</x:f>
      </x:c>
      <x:c r="F676" s="2" t="str">
        <x:f>IF(B676="","",IF('Input_Meci'!K61="","",'Input_Meci'!K61))</x:f>
      </x:c>
      <x:c r="G676" s="2" t="str">
        <x:f>IF(B676="","",'Input_Meci'!E61)</x:f>
      </x:c>
      <x:c r="H676" s="2" t="str">
        <x:v>AWAY</x:v>
      </x:c>
      <x:c r="I676" s="2" t="str">
        <x:v>HA</x:v>
      </x:c>
      <x:c r="J676" s="9" t="n">
        <x:f>IF(AND(B676&lt;&gt;"",ISNUMBER('Input_Meci'!G61)),INT('Input_Meci'!G61),0)</x:f>
        <x:v>0</x:v>
      </x:c>
      <x:c r="K676" s="2" t="n">
        <x:f>IF(OR(B676="",F676=""),0,IF(H676="HOME",COUNTIFS('Istoric_Nativ'!$B$6:$B$405,E676,'Istoric_Nativ'!$C$6:$C$405,F676,'Istoric_Nativ'!$E$6:$E$405,G676,'Istoric_Nativ'!$D$6:$D$405,"&lt;"&amp;J676,'Istoric_Nativ'!$P$6:$P$405,1),IF(H676="AWAY",COUNTIFS('Istoric_Nativ'!$B$6:$B$405,E676,'Istoric_Nativ'!$C$6:$C$405,F676,'Istoric_Nativ'!$F$6:$F$405,G676,'Istoric_Nativ'!$D$6:$D$405,"&lt;"&amp;J676,'Istoric_Nativ'!$P$6:$P$405,1),COUNTIFS('Istoric_Nativ'!$B$6:$B$405,E676,'Istoric_Nativ'!$C$6:$C$405,F676,'Istoric_Nativ'!$E$6:$E$405,G676,'Istoric_Nativ'!$D$6:$D$405,"&lt;"&amp;J676,'Istoric_Nativ'!$P$6:$P$405,1)+COUNTIFS('Istoric_Nativ'!$B$6:$B$405,E676,'Istoric_Nativ'!$C$6:$C$405,F676,'Istoric_Nativ'!$F$6:$F$405,G676,'Istoric_Nativ'!$D$6:$D$405,"&lt;"&amp;J676,'Istoric_Nativ'!$P$6:$P$405,1))))</x:f>
        <x:v>0</x:v>
      </x:c>
      <x:c r="L676" s="17" t="n">
        <x:f>IF(AND(B676&lt;&gt;"",I676="RECENT",K676&gt;0),LARGE(_xlfn._xlws.FILTER('Istoric_Nativ'!$D$6:$D$405,('Istoric_Nativ'!$B$6:$B$405=E676)*('Istoric_Nativ'!$C$6:$C$405=F676)*('Istoric_Nativ'!$P$6:$P$405=1)*('Istoric_Nativ'!$D$6:$D$405&lt;J676)*((('Istoric_Nativ'!$E$6:$E$405=G676)+('Istoric_Nativ'!$F$6:$F$405=G676))&gt;0)),MIN('Config_v6'!$B$54,K676)),0)</x:f>
        <x:v>0</x:v>
      </x:c>
      <x:c r="M676" s="2" t="n">
        <x:f>IF(OR(B676="",F676=""),0,IF(H676="HOME",COUNTIFS('Istoric_Nativ'!$B$6:$B$405,E676,'Istoric_Nativ'!$C$6:$C$405,F676,'Istoric_Nativ'!$E$6:$E$405,G676,'Istoric_Nativ'!$D$6:$D$405,"&lt;"&amp;J676,'Istoric_Nativ'!$P$6:$P$405,1,'Istoric_Nativ'!$D$6:$D$405,"&gt;="&amp;L676),IF(H676="AWAY",COUNTIFS('Istoric_Nativ'!$B$6:$B$405,E676,'Istoric_Nativ'!$C$6:$C$405,F676,'Istoric_Nativ'!$F$6:$F$405,G676,'Istoric_Nativ'!$D$6:$D$405,"&lt;"&amp;J676,'Istoric_Nativ'!$P$6:$P$405,1,'Istoric_Nativ'!$D$6:$D$405,"&gt;="&amp;L676),COUNTIFS('Istoric_Nativ'!$B$6:$B$405,E676,'Istoric_Nativ'!$C$6:$C$405,F676,'Istoric_Nativ'!$E$6:$E$405,G676,'Istoric_Nativ'!$D$6:$D$405,"&lt;"&amp;J676,'Istoric_Nativ'!$P$6:$P$405,1,'Istoric_Nativ'!$D$6:$D$405,"&gt;="&amp;L676)+COUNTIFS('Istoric_Nativ'!$B$6:$B$405,E676,'Istoric_Nativ'!$C$6:$C$405,F676,'Istoric_Nativ'!$F$6:$F$405,G676,'Istoric_Nativ'!$D$6:$D$405,"&lt;"&amp;J676,'Istoric_Nativ'!$P$6:$P$405,1,'Istoric_Nativ'!$D$6:$D$405,"&gt;="&amp;L676))))</x:f>
        <x:v>0</x:v>
      </x:c>
      <x:c r="N676" s="11" t="str">
        <x:f>IF(M676=0,"",IF(H676="HOME",SUMIFS('Istoric_Nativ'!$G$6:$G$405,'Istoric_Nativ'!$B$6:$B$405,E676,'Istoric_Nativ'!$C$6:$C$405,F676,'Istoric_Nativ'!$E$6:$E$405,G676,'Istoric_Nativ'!$D$6:$D$405,"&lt;"&amp;J676,'Istoric_Nativ'!$P$6:$P$405,1,'Istoric_Nativ'!$D$6:$D$405,"&gt;="&amp;L676),IF(H676="AWAY",SUMIFS('Istoric_Nativ'!$H$6:$H$405,'Istoric_Nativ'!$B$6:$B$405,E676,'Istoric_Nativ'!$C$6:$C$405,F676,'Istoric_Nativ'!$F$6:$F$405,G676,'Istoric_Nativ'!$D$6:$D$405,"&lt;"&amp;J676,'Istoric_Nativ'!$P$6:$P$405,1,'Istoric_Nativ'!$D$6:$D$405,"&gt;="&amp;L676),SUMIFS('Istoric_Nativ'!$G$6:$G$405,'Istoric_Nativ'!$B$6:$B$405,E676,'Istoric_Nativ'!$C$6:$C$405,F676,'Istoric_Nativ'!$E$6:$E$405,G676,'Istoric_Nativ'!$D$6:$D$405,"&lt;"&amp;J676,'Istoric_Nativ'!$P$6:$P$405,1,'Istoric_Nativ'!$D$6:$D$405,"&gt;="&amp;L676)+SUMIFS('Istoric_Nativ'!$H$6:$H$405,'Istoric_Nativ'!$B$6:$B$405,E676,'Istoric_Nativ'!$C$6:$C$405,F676,'Istoric_Nativ'!$F$6:$F$405,G676,'Istoric_Nativ'!$D$6:$D$405,"&lt;"&amp;J676,'Istoric_Nativ'!$P$6:$P$405,1,'Istoric_Nativ'!$D$6:$D$405,"&gt;="&amp;L676)))/M676)</x:f>
      </x:c>
      <x:c r="O676" s="11" t="str">
        <x:f>IF(M676=0,"",IF(H676="HOME",SUMIFS('Istoric_Nativ'!$H$6:$H$405,'Istoric_Nativ'!$B$6:$B$405,E676,'Istoric_Nativ'!$C$6:$C$405,F676,'Istoric_Nativ'!$E$6:$E$405,G676,'Istoric_Nativ'!$D$6:$D$405,"&lt;"&amp;J676,'Istoric_Nativ'!$P$6:$P$405,1,'Istoric_Nativ'!$D$6:$D$405,"&gt;="&amp;L676),IF(H676="AWAY",SUMIFS('Istoric_Nativ'!$G$6:$G$405,'Istoric_Nativ'!$B$6:$B$405,E676,'Istoric_Nativ'!$C$6:$C$405,F676,'Istoric_Nativ'!$F$6:$F$405,G676,'Istoric_Nativ'!$D$6:$D$405,"&lt;"&amp;J676,'Istoric_Nativ'!$P$6:$P$405,1,'Istoric_Nativ'!$D$6:$D$405,"&gt;="&amp;L676),SUMIFS('Istoric_Nativ'!$H$6:$H$405,'Istoric_Nativ'!$B$6:$B$405,E676,'Istoric_Nativ'!$C$6:$C$405,F676,'Istoric_Nativ'!$E$6:$E$405,G676,'Istoric_Nativ'!$D$6:$D$405,"&lt;"&amp;J676,'Istoric_Nativ'!$P$6:$P$405,1,'Istoric_Nativ'!$D$6:$D$405,"&gt;="&amp;L676)+SUMIFS('Istoric_Nativ'!$G$6:$G$405,'Istoric_Nativ'!$B$6:$B$405,E676,'Istoric_Nativ'!$C$6:$C$405,F676,'Istoric_Nativ'!$F$6:$F$405,G676,'Istoric_Nativ'!$D$6:$D$405,"&lt;"&amp;J676,'Istoric_Nativ'!$P$6:$P$405,1,'Istoric_Nativ'!$D$6:$D$405,"&gt;="&amp;L676)))/M676)</x:f>
      </x:c>
      <x:c r="P676" s="2" t="n">
        <x:f>'Config_v6'!$B$8</x:f>
        <x:v>5</x:v>
      </x:c>
      <x:c r="Q676" s="2" t="n">
        <x:f>IF(OR(B676="",F676=""),0,IFERROR(MATCH(E676&amp;"|"&amp;F676,SourceTable[Source_Key],0),0))</x:f>
        <x:v>0</x:v>
      </x:c>
      <x:c r="R676" s="2" t="str">
        <x:f>IF(B676="","",IF(F676="","UNUSED",IF(Q676=0,"NOT CHECKED",IF(COUNTIF(SourceTable[Source_Key],E676&amp;"|"&amp;F676)&lt;&gt;1,"SOURCE CONFLICT",IF(NOT(OR(INDEX(SourceTable[Status],MAX(1,Q676))="IMPORTED",INDEX(SourceTable[Status],MAX(1,Q676))="PARTIAL",INDEX(SourceTable[Status],MAX(1,Q676))="SOURCE CONFLICT")),"ACCESS BLOCKED",IF(OR(INDEX(SourceTable[Coverage],Q676)&lt;&gt;"FULL SEASON EXPORT",INDEX(SourceTable[URL],Q676)="",INDEX(SourceTable[SHA256],Q676)=""),"EVIDENCE INCOMPLETE",IF(AND('Input_Meci'!H61="LIVE",INDEX(SourceTable[Retrieved_UTC],Q676)&gt;'Input_Meci'!G61),"POST CUTOFF","CLOSED")))))))</x:f>
      </x:c>
      <x:c r="S676" s="2" t="n">
        <x:f>IF(OR(B676="",F676=""),0,COUNTIFS('Istoric_Nativ'!$B$6:$B$405,E676,'Istoric_Nativ'!$C$6:$C$405,F676,'Istoric_Nativ'!$E$6:$E$405,G676,'Istoric_Nativ'!$D$6:$D$405,"&lt;"&amp;J676,'Istoric_Nativ'!$O$6:$O$405,"INVALID")+COUNTIFS('Istoric_Nativ'!$B$6:$B$405,E676,'Istoric_Nativ'!$C$6:$C$405,F676,'Istoric_Nativ'!$E$6:$E$405,G676,'Istoric_Nativ'!$O$6:$O$405,"INVALID",'Istoric_Nativ'!$D$6:$D$405,"*")+COUNTIFS('Istoric_Nativ'!$B$6:$B$405,E676,'Istoric_Nativ'!$C$6:$C$405,F676,'Istoric_Nativ'!$E$6:$E$405,G676,'Istoric_Nativ'!$D$6:$D$405,"&lt;"&amp;J676,'Istoric_Nativ'!$O$6:$O$405,"SOURCE CONFLICT")+COUNTIFS('Istoric_Nativ'!$B$6:$B$405,E676,'Istoric_Nativ'!$C$6:$C$405,F676,'Istoric_Nativ'!$F$6:$F$405,G676,'Istoric_Nativ'!$D$6:$D$405,"&lt;"&amp;J676,'Istoric_Nativ'!$O$6:$O$405,"INVALID")+COUNTIFS('Istoric_Nativ'!$B$6:$B$405,E676,'Istoric_Nativ'!$C$6:$C$405,F676,'Istoric_Nativ'!$F$6:$F$405,G676,'Istoric_Nativ'!$O$6:$O$405,"INVALID",'Istoric_Nativ'!$D$6:$D$405,"*")+COUNTIFS('Istoric_Nativ'!$B$6:$B$405,E676,'Istoric_Nativ'!$C$6:$C$405,F676,'Istoric_Nativ'!$F$6:$F$405,G676,'Istoric_Nativ'!$D$6:$D$405,"&lt;"&amp;J676,'Istoric_Nativ'!$O$6:$O$405,"SOURCE CONFLICT"))</x:f>
        <x:v>0</x:v>
      </x:c>
      <x:c r="T676" s="2" t="str">
        <x:f>IF(B676="","",IF(R676&lt;&gt;"CLOSED",R676,IF(S676&gt;0,"NATIVE INPUT ISSUE",IF(M676=0,"NO HISTORY",IF(M676&lt;P676,"SMALL SAMPLE","DERIVED")))))</x:f>
      </x:c>
      <x:c r="U676" s="2" t="str">
        <x:f>IF(B676="","","NativeTable; "&amp;E676&amp;"; "&amp;F676&amp;"; "&amp;G676&amp;"; "&amp;H676&amp;"; before "&amp;TEXT(J676,"yyyy-mm-dd")&amp;IF(I676="RECENT","; from "&amp;TEXT(L676,"yyyy-mm-dd"),""))</x:f>
      </x:c>
    </x:row>
    <x:row r="677" ht="21" customHeight="1">
      <x:c r="A677" s="2" t="n">
        <x:v>56</x:v>
      </x:c>
      <x:c r="B677" s="2" t="str">
        <x:f>IF('Input_Meci'!A61="","",'Input_Meci'!A61)</x:f>
      </x:c>
      <x:c r="C677" s="2" t="str">
        <x:v>A</x:v>
      </x:c>
      <x:c r="D677" s="2" t="str">
        <x:v>PRIOR</x:v>
      </x:c>
      <x:c r="E677" s="2" t="str">
        <x:f>IF(B677="","",'Input_Meci'!B61)</x:f>
      </x:c>
      <x:c r="F677" s="2" t="str">
        <x:f>IF(B677="","",IF('Input_Meci'!K61="","",'Input_Meci'!K61))</x:f>
      </x:c>
      <x:c r="G677" s="2" t="str">
        <x:f>IF(B677="","",'Input_Meci'!E61)</x:f>
      </x:c>
      <x:c r="H677" s="2" t="str">
        <x:v>ANY</x:v>
      </x:c>
      <x:c r="I677" s="2" t="str">
        <x:v>RECENT</x:v>
      </x:c>
      <x:c r="J677" s="9" t="n">
        <x:f>IF(AND(B677&lt;&gt;"",ISNUMBER('Input_Meci'!G61)),INT('Input_Meci'!G61),0)</x:f>
        <x:v>0</x:v>
      </x:c>
      <x:c r="K677" s="2" t="n">
        <x:f>IF(OR(B677="",F677=""),0,IF(H677="HOME",COUNTIFS('Istoric_Nativ'!$B$6:$B$405,E677,'Istoric_Nativ'!$C$6:$C$405,F677,'Istoric_Nativ'!$E$6:$E$405,G677,'Istoric_Nativ'!$D$6:$D$405,"&lt;"&amp;J677,'Istoric_Nativ'!$P$6:$P$405,1),IF(H677="AWAY",COUNTIFS('Istoric_Nativ'!$B$6:$B$405,E677,'Istoric_Nativ'!$C$6:$C$405,F677,'Istoric_Nativ'!$F$6:$F$405,G677,'Istoric_Nativ'!$D$6:$D$405,"&lt;"&amp;J677,'Istoric_Nativ'!$P$6:$P$405,1),COUNTIFS('Istoric_Nativ'!$B$6:$B$405,E677,'Istoric_Nativ'!$C$6:$C$405,F677,'Istoric_Nativ'!$E$6:$E$405,G677,'Istoric_Nativ'!$D$6:$D$405,"&lt;"&amp;J677,'Istoric_Nativ'!$P$6:$P$405,1)+COUNTIFS('Istoric_Nativ'!$B$6:$B$405,E677,'Istoric_Nativ'!$C$6:$C$405,F677,'Istoric_Nativ'!$F$6:$F$405,G677,'Istoric_Nativ'!$D$6:$D$405,"&lt;"&amp;J677,'Istoric_Nativ'!$P$6:$P$405,1))))</x:f>
        <x:v>0</x:v>
      </x:c>
      <x:c r="L677" s="17" t="n">
        <x:f>IF(AND(B677&lt;&gt;"",I677="RECENT",K677&gt;0),LARGE(_xlfn._xlws.FILTER('Istoric_Nativ'!$D$6:$D$405,('Istoric_Nativ'!$B$6:$B$405=E677)*('Istoric_Nativ'!$C$6:$C$405=F677)*('Istoric_Nativ'!$P$6:$P$405=1)*('Istoric_Nativ'!$D$6:$D$405&lt;J677)*((('Istoric_Nativ'!$E$6:$E$405=G677)+('Istoric_Nativ'!$F$6:$F$405=G677))&gt;0)),MIN('Config_v6'!$B$54,K677)),0)</x:f>
        <x:v>0</x:v>
      </x:c>
      <x:c r="M677" s="2" t="n">
        <x:f>IF(OR(B677="",F677=""),0,IF(H677="HOME",COUNTIFS('Istoric_Nativ'!$B$6:$B$405,E677,'Istoric_Nativ'!$C$6:$C$405,F677,'Istoric_Nativ'!$E$6:$E$405,G677,'Istoric_Nativ'!$D$6:$D$405,"&lt;"&amp;J677,'Istoric_Nativ'!$P$6:$P$405,1,'Istoric_Nativ'!$D$6:$D$405,"&gt;="&amp;L677),IF(H677="AWAY",COUNTIFS('Istoric_Nativ'!$B$6:$B$405,E677,'Istoric_Nativ'!$C$6:$C$405,F677,'Istoric_Nativ'!$F$6:$F$405,G677,'Istoric_Nativ'!$D$6:$D$405,"&lt;"&amp;J677,'Istoric_Nativ'!$P$6:$P$405,1,'Istoric_Nativ'!$D$6:$D$405,"&gt;="&amp;L677),COUNTIFS('Istoric_Nativ'!$B$6:$B$405,E677,'Istoric_Nativ'!$C$6:$C$405,F677,'Istoric_Nativ'!$E$6:$E$405,G677,'Istoric_Nativ'!$D$6:$D$405,"&lt;"&amp;J677,'Istoric_Nativ'!$P$6:$P$405,1,'Istoric_Nativ'!$D$6:$D$405,"&gt;="&amp;L677)+COUNTIFS('Istoric_Nativ'!$B$6:$B$405,E677,'Istoric_Nativ'!$C$6:$C$405,F677,'Istoric_Nativ'!$F$6:$F$405,G677,'Istoric_Nativ'!$D$6:$D$405,"&lt;"&amp;J677,'Istoric_Nativ'!$P$6:$P$405,1,'Istoric_Nativ'!$D$6:$D$405,"&gt;="&amp;L677))))</x:f>
        <x:v>0</x:v>
      </x:c>
      <x:c r="N677" s="11" t="str">
        <x:f>IF(M677=0,"",IF(H677="HOME",SUMIFS('Istoric_Nativ'!$G$6:$G$405,'Istoric_Nativ'!$B$6:$B$405,E677,'Istoric_Nativ'!$C$6:$C$405,F677,'Istoric_Nativ'!$E$6:$E$405,G677,'Istoric_Nativ'!$D$6:$D$405,"&lt;"&amp;J677,'Istoric_Nativ'!$P$6:$P$405,1,'Istoric_Nativ'!$D$6:$D$405,"&gt;="&amp;L677),IF(H677="AWAY",SUMIFS('Istoric_Nativ'!$H$6:$H$405,'Istoric_Nativ'!$B$6:$B$405,E677,'Istoric_Nativ'!$C$6:$C$405,F677,'Istoric_Nativ'!$F$6:$F$405,G677,'Istoric_Nativ'!$D$6:$D$405,"&lt;"&amp;J677,'Istoric_Nativ'!$P$6:$P$405,1,'Istoric_Nativ'!$D$6:$D$405,"&gt;="&amp;L677),SUMIFS('Istoric_Nativ'!$G$6:$G$405,'Istoric_Nativ'!$B$6:$B$405,E677,'Istoric_Nativ'!$C$6:$C$405,F677,'Istoric_Nativ'!$E$6:$E$405,G677,'Istoric_Nativ'!$D$6:$D$405,"&lt;"&amp;J677,'Istoric_Nativ'!$P$6:$P$405,1,'Istoric_Nativ'!$D$6:$D$405,"&gt;="&amp;L677)+SUMIFS('Istoric_Nativ'!$H$6:$H$405,'Istoric_Nativ'!$B$6:$B$405,E677,'Istoric_Nativ'!$C$6:$C$405,F677,'Istoric_Nativ'!$F$6:$F$405,G677,'Istoric_Nativ'!$D$6:$D$405,"&lt;"&amp;J677,'Istoric_Nativ'!$P$6:$P$405,1,'Istoric_Nativ'!$D$6:$D$405,"&gt;="&amp;L677)))/M677)</x:f>
      </x:c>
      <x:c r="O677" s="11" t="str">
        <x:f>IF(M677=0,"",IF(H677="HOME",SUMIFS('Istoric_Nativ'!$H$6:$H$405,'Istoric_Nativ'!$B$6:$B$405,E677,'Istoric_Nativ'!$C$6:$C$405,F677,'Istoric_Nativ'!$E$6:$E$405,G677,'Istoric_Nativ'!$D$6:$D$405,"&lt;"&amp;J677,'Istoric_Nativ'!$P$6:$P$405,1,'Istoric_Nativ'!$D$6:$D$405,"&gt;="&amp;L677),IF(H677="AWAY",SUMIFS('Istoric_Nativ'!$G$6:$G$405,'Istoric_Nativ'!$B$6:$B$405,E677,'Istoric_Nativ'!$C$6:$C$405,F677,'Istoric_Nativ'!$F$6:$F$405,G677,'Istoric_Nativ'!$D$6:$D$405,"&lt;"&amp;J677,'Istoric_Nativ'!$P$6:$P$405,1,'Istoric_Nativ'!$D$6:$D$405,"&gt;="&amp;L677),SUMIFS('Istoric_Nativ'!$H$6:$H$405,'Istoric_Nativ'!$B$6:$B$405,E677,'Istoric_Nativ'!$C$6:$C$405,F677,'Istoric_Nativ'!$E$6:$E$405,G677,'Istoric_Nativ'!$D$6:$D$405,"&lt;"&amp;J677,'Istoric_Nativ'!$P$6:$P$405,1,'Istoric_Nativ'!$D$6:$D$405,"&gt;="&amp;L677)+SUMIFS('Istoric_Nativ'!$G$6:$G$405,'Istoric_Nativ'!$B$6:$B$405,E677,'Istoric_Nativ'!$C$6:$C$405,F677,'Istoric_Nativ'!$F$6:$F$405,G677,'Istoric_Nativ'!$D$6:$D$405,"&lt;"&amp;J677,'Istoric_Nativ'!$P$6:$P$405,1,'Istoric_Nativ'!$D$6:$D$405,"&gt;="&amp;L677)))/M677)</x:f>
      </x:c>
      <x:c r="P677" s="2" t="n">
        <x:f>'Config_v6'!$B$9</x:f>
        <x:v>3</x:v>
      </x:c>
      <x:c r="Q677" s="2" t="n">
        <x:f>IF(OR(B677="",F677=""),0,IFERROR(MATCH(E677&amp;"|"&amp;F677,SourceTable[Source_Key],0),0))</x:f>
        <x:v>0</x:v>
      </x:c>
      <x:c r="R677" s="2" t="str">
        <x:f>IF(B677="","",IF(F677="","UNUSED",IF(Q677=0,"NOT CHECKED",IF(COUNTIF(SourceTable[Source_Key],E677&amp;"|"&amp;F677)&lt;&gt;1,"SOURCE CONFLICT",IF(NOT(OR(INDEX(SourceTable[Status],MAX(1,Q677))="IMPORTED",INDEX(SourceTable[Status],MAX(1,Q677))="PARTIAL",INDEX(SourceTable[Status],MAX(1,Q677))="SOURCE CONFLICT")),"ACCESS BLOCKED",IF(OR(INDEX(SourceTable[Coverage],Q677)&lt;&gt;"FULL SEASON EXPORT",INDEX(SourceTable[URL],Q677)="",INDEX(SourceTable[SHA256],Q677)=""),"EVIDENCE INCOMPLETE",IF(AND('Input_Meci'!H61="LIVE",INDEX(SourceTable[Retrieved_UTC],Q677)&gt;'Input_Meci'!G61),"POST CUTOFF","CLOSED")))))))</x:f>
      </x:c>
      <x:c r="S677" s="2" t="n">
        <x:f>IF(OR(B677="",F677=""),0,COUNTIFS('Istoric_Nativ'!$B$6:$B$405,E677,'Istoric_Nativ'!$C$6:$C$405,F677,'Istoric_Nativ'!$E$6:$E$405,G677,'Istoric_Nativ'!$D$6:$D$405,"&lt;"&amp;J677,'Istoric_Nativ'!$O$6:$O$405,"INVALID")+COUNTIFS('Istoric_Nativ'!$B$6:$B$405,E677,'Istoric_Nativ'!$C$6:$C$405,F677,'Istoric_Nativ'!$E$6:$E$405,G677,'Istoric_Nativ'!$O$6:$O$405,"INVALID",'Istoric_Nativ'!$D$6:$D$405,"*")+COUNTIFS('Istoric_Nativ'!$B$6:$B$405,E677,'Istoric_Nativ'!$C$6:$C$405,F677,'Istoric_Nativ'!$E$6:$E$405,G677,'Istoric_Nativ'!$D$6:$D$405,"&lt;"&amp;J677,'Istoric_Nativ'!$O$6:$O$405,"SOURCE CONFLICT")+COUNTIFS('Istoric_Nativ'!$B$6:$B$405,E677,'Istoric_Nativ'!$C$6:$C$405,F677,'Istoric_Nativ'!$F$6:$F$405,G677,'Istoric_Nativ'!$D$6:$D$405,"&lt;"&amp;J677,'Istoric_Nativ'!$O$6:$O$405,"INVALID")+COUNTIFS('Istoric_Nativ'!$B$6:$B$405,E677,'Istoric_Nativ'!$C$6:$C$405,F677,'Istoric_Nativ'!$F$6:$F$405,G677,'Istoric_Nativ'!$O$6:$O$405,"INVALID",'Istoric_Nativ'!$D$6:$D$405,"*")+COUNTIFS('Istoric_Nativ'!$B$6:$B$405,E677,'Istoric_Nativ'!$C$6:$C$405,F677,'Istoric_Nativ'!$F$6:$F$405,G677,'Istoric_Nativ'!$D$6:$D$405,"&lt;"&amp;J677,'Istoric_Nativ'!$O$6:$O$405,"SOURCE CONFLICT"))</x:f>
        <x:v>0</x:v>
      </x:c>
      <x:c r="T677" s="2" t="str">
        <x:f>IF(B677="","",IF(R677&lt;&gt;"CLOSED",R677,IF(S677&gt;0,"NATIVE INPUT ISSUE",IF(M677=0,"NO HISTORY",IF(M677&lt;P677,"SMALL SAMPLE","DERIVED")))))</x:f>
      </x:c>
      <x:c r="U677" s="2" t="str">
        <x:f>IF(B677="","","NativeTable; "&amp;E677&amp;"; "&amp;F677&amp;"; "&amp;G677&amp;"; "&amp;H677&amp;"; before "&amp;TEXT(J677,"yyyy-mm-dd")&amp;IF(I677="RECENT","; from "&amp;TEXT(L677,"yyyy-mm-dd"),""))</x:f>
      </x:c>
    </x:row>
    <x:row r="678" ht="21" customHeight="1">
      <x:c r="A678" s="2" t="n">
        <x:v>57</x:v>
      </x:c>
      <x:c r="B678" s="2" t="str">
        <x:f>IF('Input_Meci'!A62="","",'Input_Meci'!A62)</x:f>
      </x:c>
      <x:c r="C678" s="2" t="str">
        <x:v>H</x:v>
      </x:c>
      <x:c r="D678" s="2" t="str">
        <x:v>CURRENT</x:v>
      </x:c>
      <x:c r="E678" s="2" t="str">
        <x:f>IF(B678="","",'Input_Meci'!B62)</x:f>
      </x:c>
      <x:c r="F678" s="2" t="str">
        <x:f>IF(B678="","",IF('Input_Meci'!C62="","",'Input_Meci'!C62))</x:f>
      </x:c>
      <x:c r="G678" s="2" t="str">
        <x:f>IF(B678="","",'Input_Meci'!D62)</x:f>
      </x:c>
      <x:c r="H678" s="2" t="str">
        <x:v>ANY</x:v>
      </x:c>
      <x:c r="I678" s="2" t="str">
        <x:v>SEASON</x:v>
      </x:c>
      <x:c r="J678" s="9" t="n">
        <x:f>IF(AND(B678&lt;&gt;"",ISNUMBER('Input_Meci'!G62)),INT('Input_Meci'!G62),0)</x:f>
        <x:v>0</x:v>
      </x:c>
      <x:c r="K678" s="2" t="n">
        <x:f>IF(OR(B678="",F678=""),0,IF(H678="HOME",COUNTIFS('Istoric_Nativ'!$B$6:$B$405,E678,'Istoric_Nativ'!$C$6:$C$405,F678,'Istoric_Nativ'!$E$6:$E$405,G678,'Istoric_Nativ'!$D$6:$D$405,"&lt;"&amp;J678,'Istoric_Nativ'!$P$6:$P$405,1),IF(H678="AWAY",COUNTIFS('Istoric_Nativ'!$B$6:$B$405,E678,'Istoric_Nativ'!$C$6:$C$405,F678,'Istoric_Nativ'!$F$6:$F$405,G678,'Istoric_Nativ'!$D$6:$D$405,"&lt;"&amp;J678,'Istoric_Nativ'!$P$6:$P$405,1),COUNTIFS('Istoric_Nativ'!$B$6:$B$405,E678,'Istoric_Nativ'!$C$6:$C$405,F678,'Istoric_Nativ'!$E$6:$E$405,G678,'Istoric_Nativ'!$D$6:$D$405,"&lt;"&amp;J678,'Istoric_Nativ'!$P$6:$P$405,1)+COUNTIFS('Istoric_Nativ'!$B$6:$B$405,E678,'Istoric_Nativ'!$C$6:$C$405,F678,'Istoric_Nativ'!$F$6:$F$405,G678,'Istoric_Nativ'!$D$6:$D$405,"&lt;"&amp;J678,'Istoric_Nativ'!$P$6:$P$405,1))))</x:f>
        <x:v>0</x:v>
      </x:c>
      <x:c r="L678" s="17" t="n">
        <x:f>IF(AND(B678&lt;&gt;"",I678="RECENT",K678&gt;0),LARGE(_xlfn._xlws.FILTER('Istoric_Nativ'!$D$6:$D$405,('Istoric_Nativ'!$B$6:$B$405=E678)*('Istoric_Nativ'!$C$6:$C$405=F678)*('Istoric_Nativ'!$P$6:$P$405=1)*('Istoric_Nativ'!$D$6:$D$405&lt;J678)*((('Istoric_Nativ'!$E$6:$E$405=G678)+('Istoric_Nativ'!$F$6:$F$405=G678))&gt;0)),MIN('Config_v6'!$B$54,K678)),0)</x:f>
        <x:v>0</x:v>
      </x:c>
      <x:c r="M678" s="2" t="n">
        <x:f>IF(OR(B678="",F678=""),0,IF(H678="HOME",COUNTIFS('Istoric_Nativ'!$B$6:$B$405,E678,'Istoric_Nativ'!$C$6:$C$405,F678,'Istoric_Nativ'!$E$6:$E$405,G678,'Istoric_Nativ'!$D$6:$D$405,"&lt;"&amp;J678,'Istoric_Nativ'!$P$6:$P$405,1,'Istoric_Nativ'!$D$6:$D$405,"&gt;="&amp;L678),IF(H678="AWAY",COUNTIFS('Istoric_Nativ'!$B$6:$B$405,E678,'Istoric_Nativ'!$C$6:$C$405,F678,'Istoric_Nativ'!$F$6:$F$405,G678,'Istoric_Nativ'!$D$6:$D$405,"&lt;"&amp;J678,'Istoric_Nativ'!$P$6:$P$405,1,'Istoric_Nativ'!$D$6:$D$405,"&gt;="&amp;L678),COUNTIFS('Istoric_Nativ'!$B$6:$B$405,E678,'Istoric_Nativ'!$C$6:$C$405,F678,'Istoric_Nativ'!$E$6:$E$405,G678,'Istoric_Nativ'!$D$6:$D$405,"&lt;"&amp;J678,'Istoric_Nativ'!$P$6:$P$405,1,'Istoric_Nativ'!$D$6:$D$405,"&gt;="&amp;L678)+COUNTIFS('Istoric_Nativ'!$B$6:$B$405,E678,'Istoric_Nativ'!$C$6:$C$405,F678,'Istoric_Nativ'!$F$6:$F$405,G678,'Istoric_Nativ'!$D$6:$D$405,"&lt;"&amp;J678,'Istoric_Nativ'!$P$6:$P$405,1,'Istoric_Nativ'!$D$6:$D$405,"&gt;="&amp;L678))))</x:f>
        <x:v>0</x:v>
      </x:c>
      <x:c r="N678" s="11" t="str">
        <x:f>IF(M678=0,"",IF(H678="HOME",SUMIFS('Istoric_Nativ'!$G$6:$G$405,'Istoric_Nativ'!$B$6:$B$405,E678,'Istoric_Nativ'!$C$6:$C$405,F678,'Istoric_Nativ'!$E$6:$E$405,G678,'Istoric_Nativ'!$D$6:$D$405,"&lt;"&amp;J678,'Istoric_Nativ'!$P$6:$P$405,1,'Istoric_Nativ'!$D$6:$D$405,"&gt;="&amp;L678),IF(H678="AWAY",SUMIFS('Istoric_Nativ'!$H$6:$H$405,'Istoric_Nativ'!$B$6:$B$405,E678,'Istoric_Nativ'!$C$6:$C$405,F678,'Istoric_Nativ'!$F$6:$F$405,G678,'Istoric_Nativ'!$D$6:$D$405,"&lt;"&amp;J678,'Istoric_Nativ'!$P$6:$P$405,1,'Istoric_Nativ'!$D$6:$D$405,"&gt;="&amp;L678),SUMIFS('Istoric_Nativ'!$G$6:$G$405,'Istoric_Nativ'!$B$6:$B$405,E678,'Istoric_Nativ'!$C$6:$C$405,F678,'Istoric_Nativ'!$E$6:$E$405,G678,'Istoric_Nativ'!$D$6:$D$405,"&lt;"&amp;J678,'Istoric_Nativ'!$P$6:$P$405,1,'Istoric_Nativ'!$D$6:$D$405,"&gt;="&amp;L678)+SUMIFS('Istoric_Nativ'!$H$6:$H$405,'Istoric_Nativ'!$B$6:$B$405,E678,'Istoric_Nativ'!$C$6:$C$405,F678,'Istoric_Nativ'!$F$6:$F$405,G678,'Istoric_Nativ'!$D$6:$D$405,"&lt;"&amp;J678,'Istoric_Nativ'!$P$6:$P$405,1,'Istoric_Nativ'!$D$6:$D$405,"&gt;="&amp;L678)))/M678)</x:f>
      </x:c>
      <x:c r="O678" s="11" t="str">
        <x:f>IF(M678=0,"",IF(H678="HOME",SUMIFS('Istoric_Nativ'!$H$6:$H$405,'Istoric_Nativ'!$B$6:$B$405,E678,'Istoric_Nativ'!$C$6:$C$405,F678,'Istoric_Nativ'!$E$6:$E$405,G678,'Istoric_Nativ'!$D$6:$D$405,"&lt;"&amp;J678,'Istoric_Nativ'!$P$6:$P$405,1,'Istoric_Nativ'!$D$6:$D$405,"&gt;="&amp;L678),IF(H678="AWAY",SUMIFS('Istoric_Nativ'!$G$6:$G$405,'Istoric_Nativ'!$B$6:$B$405,E678,'Istoric_Nativ'!$C$6:$C$405,F678,'Istoric_Nativ'!$F$6:$F$405,G678,'Istoric_Nativ'!$D$6:$D$405,"&lt;"&amp;J678,'Istoric_Nativ'!$P$6:$P$405,1,'Istoric_Nativ'!$D$6:$D$405,"&gt;="&amp;L678),SUMIFS('Istoric_Nativ'!$H$6:$H$405,'Istoric_Nativ'!$B$6:$B$405,E678,'Istoric_Nativ'!$C$6:$C$405,F678,'Istoric_Nativ'!$E$6:$E$405,G678,'Istoric_Nativ'!$D$6:$D$405,"&lt;"&amp;J678,'Istoric_Nativ'!$P$6:$P$405,1,'Istoric_Nativ'!$D$6:$D$405,"&gt;="&amp;L678)+SUMIFS('Istoric_Nativ'!$G$6:$G$405,'Istoric_Nativ'!$B$6:$B$405,E678,'Istoric_Nativ'!$C$6:$C$405,F678,'Istoric_Nativ'!$F$6:$F$405,G678,'Istoric_Nativ'!$D$6:$D$405,"&lt;"&amp;J678,'Istoric_Nativ'!$P$6:$P$405,1,'Istoric_Nativ'!$D$6:$D$405,"&gt;="&amp;L678)))/M678)</x:f>
      </x:c>
      <x:c r="P678" s="2" t="n">
        <x:f>'Config_v6'!$B$7</x:f>
        <x:v>10</x:v>
      </x:c>
      <x:c r="Q678" s="2" t="n">
        <x:f>IF(OR(B678="",F678=""),0,IFERROR(MATCH(E678&amp;"|"&amp;F678,SourceTable[Source_Key],0),0))</x:f>
        <x:v>0</x:v>
      </x:c>
      <x:c r="R678" s="2" t="str">
        <x:f>IF(B678="","",IF(F678="","UNUSED",IF(Q678=0,"NOT CHECKED",IF(COUNTIF(SourceTable[Source_Key],E678&amp;"|"&amp;F678)&lt;&gt;1,"SOURCE CONFLICT",IF(NOT(OR(INDEX(SourceTable[Status],MAX(1,Q678))="IMPORTED",INDEX(SourceTable[Status],MAX(1,Q678))="PARTIAL",INDEX(SourceTable[Status],MAX(1,Q678))="SOURCE CONFLICT")),"ACCESS BLOCKED",IF(OR(INDEX(SourceTable[Coverage],Q678)&lt;&gt;"FULL SEASON EXPORT",INDEX(SourceTable[URL],Q678)="",INDEX(SourceTable[SHA256],Q678)=""),"EVIDENCE INCOMPLETE",IF(AND('Input_Meci'!H62="LIVE",INDEX(SourceTable[Retrieved_UTC],Q678)&gt;'Input_Meci'!G62),"POST CUTOFF","CLOSED")))))))</x:f>
      </x:c>
      <x:c r="S678" s="2" t="n">
        <x:f>IF(OR(B678="",F678=""),0,COUNTIFS('Istoric_Nativ'!$B$6:$B$405,E678,'Istoric_Nativ'!$C$6:$C$405,F678,'Istoric_Nativ'!$E$6:$E$405,G678,'Istoric_Nativ'!$D$6:$D$405,"&lt;"&amp;J678,'Istoric_Nativ'!$O$6:$O$405,"INVALID")+COUNTIFS('Istoric_Nativ'!$B$6:$B$405,E678,'Istoric_Nativ'!$C$6:$C$405,F678,'Istoric_Nativ'!$E$6:$E$405,G678,'Istoric_Nativ'!$O$6:$O$405,"INVALID",'Istoric_Nativ'!$D$6:$D$405,"*")+COUNTIFS('Istoric_Nativ'!$B$6:$B$405,E678,'Istoric_Nativ'!$C$6:$C$405,F678,'Istoric_Nativ'!$E$6:$E$405,G678,'Istoric_Nativ'!$D$6:$D$405,"&lt;"&amp;J678,'Istoric_Nativ'!$O$6:$O$405,"SOURCE CONFLICT")+COUNTIFS('Istoric_Nativ'!$B$6:$B$405,E678,'Istoric_Nativ'!$C$6:$C$405,F678,'Istoric_Nativ'!$F$6:$F$405,G678,'Istoric_Nativ'!$D$6:$D$405,"&lt;"&amp;J678,'Istoric_Nativ'!$O$6:$O$405,"INVALID")+COUNTIFS('Istoric_Nativ'!$B$6:$B$405,E678,'Istoric_Nativ'!$C$6:$C$405,F678,'Istoric_Nativ'!$F$6:$F$405,G678,'Istoric_Nativ'!$O$6:$O$405,"INVALID",'Istoric_Nativ'!$D$6:$D$405,"*")+COUNTIFS('Istoric_Nativ'!$B$6:$B$405,E678,'Istoric_Nativ'!$C$6:$C$405,F678,'Istoric_Nativ'!$F$6:$F$405,G678,'Istoric_Nativ'!$D$6:$D$405,"&lt;"&amp;J678,'Istoric_Nativ'!$O$6:$O$405,"SOURCE CONFLICT"))</x:f>
        <x:v>0</x:v>
      </x:c>
      <x:c r="T678" s="2" t="str">
        <x:f>IF(B678="","",IF(R678&lt;&gt;"CLOSED",R678,IF(S678&gt;0,"NATIVE INPUT ISSUE",IF(M678=0,"NO HISTORY",IF(M678&lt;P678,"SMALL SAMPLE","DERIVED")))))</x:f>
      </x:c>
      <x:c r="U678" s="2" t="str">
        <x:f>IF(B678="","","NativeTable; "&amp;E678&amp;"; "&amp;F678&amp;"; "&amp;G678&amp;"; "&amp;H678&amp;"; before "&amp;TEXT(J678,"yyyy-mm-dd")&amp;IF(I678="RECENT","; from "&amp;TEXT(L678,"yyyy-mm-dd"),""))</x:f>
      </x:c>
    </x:row>
    <x:row r="679" ht="21" customHeight="1">
      <x:c r="A679" s="2" t="n">
        <x:v>57</x:v>
      </x:c>
      <x:c r="B679" s="2" t="str">
        <x:f>IF('Input_Meci'!A62="","",'Input_Meci'!A62)</x:f>
      </x:c>
      <x:c r="C679" s="2" t="str">
        <x:v>H</x:v>
      </x:c>
      <x:c r="D679" s="2" t="str">
        <x:v>CURRENT</x:v>
      </x:c>
      <x:c r="E679" s="2" t="str">
        <x:f>IF(B679="","",'Input_Meci'!B62)</x:f>
      </x:c>
      <x:c r="F679" s="2" t="str">
        <x:f>IF(B679="","",IF('Input_Meci'!C62="","",'Input_Meci'!C62))</x:f>
      </x:c>
      <x:c r="G679" s="2" t="str">
        <x:f>IF(B679="","",'Input_Meci'!D62)</x:f>
      </x:c>
      <x:c r="H679" s="2" t="str">
        <x:v>HOME</x:v>
      </x:c>
      <x:c r="I679" s="2" t="str">
        <x:v>HA</x:v>
      </x:c>
      <x:c r="J679" s="9" t="n">
        <x:f>IF(AND(B679&lt;&gt;"",ISNUMBER('Input_Meci'!G62)),INT('Input_Meci'!G62),0)</x:f>
        <x:v>0</x:v>
      </x:c>
      <x:c r="K679" s="2" t="n">
        <x:f>IF(OR(B679="",F679=""),0,IF(H679="HOME",COUNTIFS('Istoric_Nativ'!$B$6:$B$405,E679,'Istoric_Nativ'!$C$6:$C$405,F679,'Istoric_Nativ'!$E$6:$E$405,G679,'Istoric_Nativ'!$D$6:$D$405,"&lt;"&amp;J679,'Istoric_Nativ'!$P$6:$P$405,1),IF(H679="AWAY",COUNTIFS('Istoric_Nativ'!$B$6:$B$405,E679,'Istoric_Nativ'!$C$6:$C$405,F679,'Istoric_Nativ'!$F$6:$F$405,G679,'Istoric_Nativ'!$D$6:$D$405,"&lt;"&amp;J679,'Istoric_Nativ'!$P$6:$P$405,1),COUNTIFS('Istoric_Nativ'!$B$6:$B$405,E679,'Istoric_Nativ'!$C$6:$C$405,F679,'Istoric_Nativ'!$E$6:$E$405,G679,'Istoric_Nativ'!$D$6:$D$405,"&lt;"&amp;J679,'Istoric_Nativ'!$P$6:$P$405,1)+COUNTIFS('Istoric_Nativ'!$B$6:$B$405,E679,'Istoric_Nativ'!$C$6:$C$405,F679,'Istoric_Nativ'!$F$6:$F$405,G679,'Istoric_Nativ'!$D$6:$D$405,"&lt;"&amp;J679,'Istoric_Nativ'!$P$6:$P$405,1))))</x:f>
        <x:v>0</x:v>
      </x:c>
      <x:c r="L679" s="17" t="n">
        <x:f>IF(AND(B679&lt;&gt;"",I679="RECENT",K679&gt;0),LARGE(_xlfn._xlws.FILTER('Istoric_Nativ'!$D$6:$D$405,('Istoric_Nativ'!$B$6:$B$405=E679)*('Istoric_Nativ'!$C$6:$C$405=F679)*('Istoric_Nativ'!$P$6:$P$405=1)*('Istoric_Nativ'!$D$6:$D$405&lt;J679)*((('Istoric_Nativ'!$E$6:$E$405=G679)+('Istoric_Nativ'!$F$6:$F$405=G679))&gt;0)),MIN('Config_v6'!$B$54,K679)),0)</x:f>
        <x:v>0</x:v>
      </x:c>
      <x:c r="M679" s="2" t="n">
        <x:f>IF(OR(B679="",F679=""),0,IF(H679="HOME",COUNTIFS('Istoric_Nativ'!$B$6:$B$405,E679,'Istoric_Nativ'!$C$6:$C$405,F679,'Istoric_Nativ'!$E$6:$E$405,G679,'Istoric_Nativ'!$D$6:$D$405,"&lt;"&amp;J679,'Istoric_Nativ'!$P$6:$P$405,1,'Istoric_Nativ'!$D$6:$D$405,"&gt;="&amp;L679),IF(H679="AWAY",COUNTIFS('Istoric_Nativ'!$B$6:$B$405,E679,'Istoric_Nativ'!$C$6:$C$405,F679,'Istoric_Nativ'!$F$6:$F$405,G679,'Istoric_Nativ'!$D$6:$D$405,"&lt;"&amp;J679,'Istoric_Nativ'!$P$6:$P$405,1,'Istoric_Nativ'!$D$6:$D$405,"&gt;="&amp;L679),COUNTIFS('Istoric_Nativ'!$B$6:$B$405,E679,'Istoric_Nativ'!$C$6:$C$405,F679,'Istoric_Nativ'!$E$6:$E$405,G679,'Istoric_Nativ'!$D$6:$D$405,"&lt;"&amp;J679,'Istoric_Nativ'!$P$6:$P$405,1,'Istoric_Nativ'!$D$6:$D$405,"&gt;="&amp;L679)+COUNTIFS('Istoric_Nativ'!$B$6:$B$405,E679,'Istoric_Nativ'!$C$6:$C$405,F679,'Istoric_Nativ'!$F$6:$F$405,G679,'Istoric_Nativ'!$D$6:$D$405,"&lt;"&amp;J679,'Istoric_Nativ'!$P$6:$P$405,1,'Istoric_Nativ'!$D$6:$D$405,"&gt;="&amp;L679))))</x:f>
        <x:v>0</x:v>
      </x:c>
      <x:c r="N679" s="11" t="str">
        <x:f>IF(M679=0,"",IF(H679="HOME",SUMIFS('Istoric_Nativ'!$G$6:$G$405,'Istoric_Nativ'!$B$6:$B$405,E679,'Istoric_Nativ'!$C$6:$C$405,F679,'Istoric_Nativ'!$E$6:$E$405,G679,'Istoric_Nativ'!$D$6:$D$405,"&lt;"&amp;J679,'Istoric_Nativ'!$P$6:$P$405,1,'Istoric_Nativ'!$D$6:$D$405,"&gt;="&amp;L679),IF(H679="AWAY",SUMIFS('Istoric_Nativ'!$H$6:$H$405,'Istoric_Nativ'!$B$6:$B$405,E679,'Istoric_Nativ'!$C$6:$C$405,F679,'Istoric_Nativ'!$F$6:$F$405,G679,'Istoric_Nativ'!$D$6:$D$405,"&lt;"&amp;J679,'Istoric_Nativ'!$P$6:$P$405,1,'Istoric_Nativ'!$D$6:$D$405,"&gt;="&amp;L679),SUMIFS('Istoric_Nativ'!$G$6:$G$405,'Istoric_Nativ'!$B$6:$B$405,E679,'Istoric_Nativ'!$C$6:$C$405,F679,'Istoric_Nativ'!$E$6:$E$405,G679,'Istoric_Nativ'!$D$6:$D$405,"&lt;"&amp;J679,'Istoric_Nativ'!$P$6:$P$405,1,'Istoric_Nativ'!$D$6:$D$405,"&gt;="&amp;L679)+SUMIFS('Istoric_Nativ'!$H$6:$H$405,'Istoric_Nativ'!$B$6:$B$405,E679,'Istoric_Nativ'!$C$6:$C$405,F679,'Istoric_Nativ'!$F$6:$F$405,G679,'Istoric_Nativ'!$D$6:$D$405,"&lt;"&amp;J679,'Istoric_Nativ'!$P$6:$P$405,1,'Istoric_Nativ'!$D$6:$D$405,"&gt;="&amp;L679)))/M679)</x:f>
      </x:c>
      <x:c r="O679" s="11" t="str">
        <x:f>IF(M679=0,"",IF(H679="HOME",SUMIFS('Istoric_Nativ'!$H$6:$H$405,'Istoric_Nativ'!$B$6:$B$405,E679,'Istoric_Nativ'!$C$6:$C$405,F679,'Istoric_Nativ'!$E$6:$E$405,G679,'Istoric_Nativ'!$D$6:$D$405,"&lt;"&amp;J679,'Istoric_Nativ'!$P$6:$P$405,1,'Istoric_Nativ'!$D$6:$D$405,"&gt;="&amp;L679),IF(H679="AWAY",SUMIFS('Istoric_Nativ'!$G$6:$G$405,'Istoric_Nativ'!$B$6:$B$405,E679,'Istoric_Nativ'!$C$6:$C$405,F679,'Istoric_Nativ'!$F$6:$F$405,G679,'Istoric_Nativ'!$D$6:$D$405,"&lt;"&amp;J679,'Istoric_Nativ'!$P$6:$P$405,1,'Istoric_Nativ'!$D$6:$D$405,"&gt;="&amp;L679),SUMIFS('Istoric_Nativ'!$H$6:$H$405,'Istoric_Nativ'!$B$6:$B$405,E679,'Istoric_Nativ'!$C$6:$C$405,F679,'Istoric_Nativ'!$E$6:$E$405,G679,'Istoric_Nativ'!$D$6:$D$405,"&lt;"&amp;J679,'Istoric_Nativ'!$P$6:$P$405,1,'Istoric_Nativ'!$D$6:$D$405,"&gt;="&amp;L679)+SUMIFS('Istoric_Nativ'!$G$6:$G$405,'Istoric_Nativ'!$B$6:$B$405,E679,'Istoric_Nativ'!$C$6:$C$405,F679,'Istoric_Nativ'!$F$6:$F$405,G679,'Istoric_Nativ'!$D$6:$D$405,"&lt;"&amp;J679,'Istoric_Nativ'!$P$6:$P$405,1,'Istoric_Nativ'!$D$6:$D$405,"&gt;="&amp;L679)))/M679)</x:f>
      </x:c>
      <x:c r="P679" s="2" t="n">
        <x:f>'Config_v6'!$B$8</x:f>
        <x:v>5</x:v>
      </x:c>
      <x:c r="Q679" s="2" t="n">
        <x:f>IF(OR(B679="",F679=""),0,IFERROR(MATCH(E679&amp;"|"&amp;F679,SourceTable[Source_Key],0),0))</x:f>
        <x:v>0</x:v>
      </x:c>
      <x:c r="R679" s="2" t="str">
        <x:f>IF(B679="","",IF(F679="","UNUSED",IF(Q679=0,"NOT CHECKED",IF(COUNTIF(SourceTable[Source_Key],E679&amp;"|"&amp;F679)&lt;&gt;1,"SOURCE CONFLICT",IF(NOT(OR(INDEX(SourceTable[Status],MAX(1,Q679))="IMPORTED",INDEX(SourceTable[Status],MAX(1,Q679))="PARTIAL",INDEX(SourceTable[Status],MAX(1,Q679))="SOURCE CONFLICT")),"ACCESS BLOCKED",IF(OR(INDEX(SourceTable[Coverage],Q679)&lt;&gt;"FULL SEASON EXPORT",INDEX(SourceTable[URL],Q679)="",INDEX(SourceTable[SHA256],Q679)=""),"EVIDENCE INCOMPLETE",IF(AND('Input_Meci'!H62="LIVE",INDEX(SourceTable[Retrieved_UTC],Q679)&gt;'Input_Meci'!G62),"POST CUTOFF","CLOSED")))))))</x:f>
      </x:c>
      <x:c r="S679" s="2" t="n">
        <x:f>IF(OR(B679="",F679=""),0,COUNTIFS('Istoric_Nativ'!$B$6:$B$405,E679,'Istoric_Nativ'!$C$6:$C$405,F679,'Istoric_Nativ'!$E$6:$E$405,G679,'Istoric_Nativ'!$D$6:$D$405,"&lt;"&amp;J679,'Istoric_Nativ'!$O$6:$O$405,"INVALID")+COUNTIFS('Istoric_Nativ'!$B$6:$B$405,E679,'Istoric_Nativ'!$C$6:$C$405,F679,'Istoric_Nativ'!$E$6:$E$405,G679,'Istoric_Nativ'!$O$6:$O$405,"INVALID",'Istoric_Nativ'!$D$6:$D$405,"*")+COUNTIFS('Istoric_Nativ'!$B$6:$B$405,E679,'Istoric_Nativ'!$C$6:$C$405,F679,'Istoric_Nativ'!$E$6:$E$405,G679,'Istoric_Nativ'!$D$6:$D$405,"&lt;"&amp;J679,'Istoric_Nativ'!$O$6:$O$405,"SOURCE CONFLICT")+COUNTIFS('Istoric_Nativ'!$B$6:$B$405,E679,'Istoric_Nativ'!$C$6:$C$405,F679,'Istoric_Nativ'!$F$6:$F$405,G679,'Istoric_Nativ'!$D$6:$D$405,"&lt;"&amp;J679,'Istoric_Nativ'!$O$6:$O$405,"INVALID")+COUNTIFS('Istoric_Nativ'!$B$6:$B$405,E679,'Istoric_Nativ'!$C$6:$C$405,F679,'Istoric_Nativ'!$F$6:$F$405,G679,'Istoric_Nativ'!$O$6:$O$405,"INVALID",'Istoric_Nativ'!$D$6:$D$405,"*")+COUNTIFS('Istoric_Nativ'!$B$6:$B$405,E679,'Istoric_Nativ'!$C$6:$C$405,F679,'Istoric_Nativ'!$F$6:$F$405,G679,'Istoric_Nativ'!$D$6:$D$405,"&lt;"&amp;J679,'Istoric_Nativ'!$O$6:$O$405,"SOURCE CONFLICT"))</x:f>
        <x:v>0</x:v>
      </x:c>
      <x:c r="T679" s="2" t="str">
        <x:f>IF(B679="","",IF(R679&lt;&gt;"CLOSED",R679,IF(S679&gt;0,"NATIVE INPUT ISSUE",IF(M679=0,"NO HISTORY",IF(M679&lt;P679,"SMALL SAMPLE","DERIVED")))))</x:f>
      </x:c>
      <x:c r="U679" s="2" t="str">
        <x:f>IF(B679="","","NativeTable; "&amp;E679&amp;"; "&amp;F679&amp;"; "&amp;G679&amp;"; "&amp;H679&amp;"; before "&amp;TEXT(J679,"yyyy-mm-dd")&amp;IF(I679="RECENT","; from "&amp;TEXT(L679,"yyyy-mm-dd"),""))</x:f>
      </x:c>
    </x:row>
    <x:row r="680" ht="21" customHeight="1">
      <x:c r="A680" s="2" t="n">
        <x:v>57</x:v>
      </x:c>
      <x:c r="B680" s="2" t="str">
        <x:f>IF('Input_Meci'!A62="","",'Input_Meci'!A62)</x:f>
      </x:c>
      <x:c r="C680" s="2" t="str">
        <x:v>H</x:v>
      </x:c>
      <x:c r="D680" s="2" t="str">
        <x:v>CURRENT</x:v>
      </x:c>
      <x:c r="E680" s="2" t="str">
        <x:f>IF(B680="","",'Input_Meci'!B62)</x:f>
      </x:c>
      <x:c r="F680" s="2" t="str">
        <x:f>IF(B680="","",IF('Input_Meci'!C62="","",'Input_Meci'!C62))</x:f>
      </x:c>
      <x:c r="G680" s="2" t="str">
        <x:f>IF(B680="","",'Input_Meci'!D62)</x:f>
      </x:c>
      <x:c r="H680" s="2" t="str">
        <x:v>ANY</x:v>
      </x:c>
      <x:c r="I680" s="2" t="str">
        <x:v>RECENT</x:v>
      </x:c>
      <x:c r="J680" s="9" t="n">
        <x:f>IF(AND(B680&lt;&gt;"",ISNUMBER('Input_Meci'!G62)),INT('Input_Meci'!G62),0)</x:f>
        <x:v>0</x:v>
      </x:c>
      <x:c r="K680" s="2" t="n">
        <x:f>IF(OR(B680="",F680=""),0,IF(H680="HOME",COUNTIFS('Istoric_Nativ'!$B$6:$B$405,E680,'Istoric_Nativ'!$C$6:$C$405,F680,'Istoric_Nativ'!$E$6:$E$405,G680,'Istoric_Nativ'!$D$6:$D$405,"&lt;"&amp;J680,'Istoric_Nativ'!$P$6:$P$405,1),IF(H680="AWAY",COUNTIFS('Istoric_Nativ'!$B$6:$B$405,E680,'Istoric_Nativ'!$C$6:$C$405,F680,'Istoric_Nativ'!$F$6:$F$405,G680,'Istoric_Nativ'!$D$6:$D$405,"&lt;"&amp;J680,'Istoric_Nativ'!$P$6:$P$405,1),COUNTIFS('Istoric_Nativ'!$B$6:$B$405,E680,'Istoric_Nativ'!$C$6:$C$405,F680,'Istoric_Nativ'!$E$6:$E$405,G680,'Istoric_Nativ'!$D$6:$D$405,"&lt;"&amp;J680,'Istoric_Nativ'!$P$6:$P$405,1)+COUNTIFS('Istoric_Nativ'!$B$6:$B$405,E680,'Istoric_Nativ'!$C$6:$C$405,F680,'Istoric_Nativ'!$F$6:$F$405,G680,'Istoric_Nativ'!$D$6:$D$405,"&lt;"&amp;J680,'Istoric_Nativ'!$P$6:$P$405,1))))</x:f>
        <x:v>0</x:v>
      </x:c>
      <x:c r="L680" s="17" t="n">
        <x:f>IF(AND(B680&lt;&gt;"",I680="RECENT",K680&gt;0),LARGE(_xlfn._xlws.FILTER('Istoric_Nativ'!$D$6:$D$405,('Istoric_Nativ'!$B$6:$B$405=E680)*('Istoric_Nativ'!$C$6:$C$405=F680)*('Istoric_Nativ'!$P$6:$P$405=1)*('Istoric_Nativ'!$D$6:$D$405&lt;J680)*((('Istoric_Nativ'!$E$6:$E$405=G680)+('Istoric_Nativ'!$F$6:$F$405=G680))&gt;0)),MIN('Config_v6'!$B$54,K680)),0)</x:f>
        <x:v>0</x:v>
      </x:c>
      <x:c r="M680" s="2" t="n">
        <x:f>IF(OR(B680="",F680=""),0,IF(H680="HOME",COUNTIFS('Istoric_Nativ'!$B$6:$B$405,E680,'Istoric_Nativ'!$C$6:$C$405,F680,'Istoric_Nativ'!$E$6:$E$405,G680,'Istoric_Nativ'!$D$6:$D$405,"&lt;"&amp;J680,'Istoric_Nativ'!$P$6:$P$405,1,'Istoric_Nativ'!$D$6:$D$405,"&gt;="&amp;L680),IF(H680="AWAY",COUNTIFS('Istoric_Nativ'!$B$6:$B$405,E680,'Istoric_Nativ'!$C$6:$C$405,F680,'Istoric_Nativ'!$F$6:$F$405,G680,'Istoric_Nativ'!$D$6:$D$405,"&lt;"&amp;J680,'Istoric_Nativ'!$P$6:$P$405,1,'Istoric_Nativ'!$D$6:$D$405,"&gt;="&amp;L680),COUNTIFS('Istoric_Nativ'!$B$6:$B$405,E680,'Istoric_Nativ'!$C$6:$C$405,F680,'Istoric_Nativ'!$E$6:$E$405,G680,'Istoric_Nativ'!$D$6:$D$405,"&lt;"&amp;J680,'Istoric_Nativ'!$P$6:$P$405,1,'Istoric_Nativ'!$D$6:$D$405,"&gt;="&amp;L680)+COUNTIFS('Istoric_Nativ'!$B$6:$B$405,E680,'Istoric_Nativ'!$C$6:$C$405,F680,'Istoric_Nativ'!$F$6:$F$405,G680,'Istoric_Nativ'!$D$6:$D$405,"&lt;"&amp;J680,'Istoric_Nativ'!$P$6:$P$405,1,'Istoric_Nativ'!$D$6:$D$405,"&gt;="&amp;L680))))</x:f>
        <x:v>0</x:v>
      </x:c>
      <x:c r="N680" s="11" t="str">
        <x:f>IF(M680=0,"",IF(H680="HOME",SUMIFS('Istoric_Nativ'!$G$6:$G$405,'Istoric_Nativ'!$B$6:$B$405,E680,'Istoric_Nativ'!$C$6:$C$405,F680,'Istoric_Nativ'!$E$6:$E$405,G680,'Istoric_Nativ'!$D$6:$D$405,"&lt;"&amp;J680,'Istoric_Nativ'!$P$6:$P$405,1,'Istoric_Nativ'!$D$6:$D$405,"&gt;="&amp;L680),IF(H680="AWAY",SUMIFS('Istoric_Nativ'!$H$6:$H$405,'Istoric_Nativ'!$B$6:$B$405,E680,'Istoric_Nativ'!$C$6:$C$405,F680,'Istoric_Nativ'!$F$6:$F$405,G680,'Istoric_Nativ'!$D$6:$D$405,"&lt;"&amp;J680,'Istoric_Nativ'!$P$6:$P$405,1,'Istoric_Nativ'!$D$6:$D$405,"&gt;="&amp;L680),SUMIFS('Istoric_Nativ'!$G$6:$G$405,'Istoric_Nativ'!$B$6:$B$405,E680,'Istoric_Nativ'!$C$6:$C$405,F680,'Istoric_Nativ'!$E$6:$E$405,G680,'Istoric_Nativ'!$D$6:$D$405,"&lt;"&amp;J680,'Istoric_Nativ'!$P$6:$P$405,1,'Istoric_Nativ'!$D$6:$D$405,"&gt;="&amp;L680)+SUMIFS('Istoric_Nativ'!$H$6:$H$405,'Istoric_Nativ'!$B$6:$B$405,E680,'Istoric_Nativ'!$C$6:$C$405,F680,'Istoric_Nativ'!$F$6:$F$405,G680,'Istoric_Nativ'!$D$6:$D$405,"&lt;"&amp;J680,'Istoric_Nativ'!$P$6:$P$405,1,'Istoric_Nativ'!$D$6:$D$405,"&gt;="&amp;L680)))/M680)</x:f>
      </x:c>
      <x:c r="O680" s="11" t="str">
        <x:f>IF(M680=0,"",IF(H680="HOME",SUMIFS('Istoric_Nativ'!$H$6:$H$405,'Istoric_Nativ'!$B$6:$B$405,E680,'Istoric_Nativ'!$C$6:$C$405,F680,'Istoric_Nativ'!$E$6:$E$405,G680,'Istoric_Nativ'!$D$6:$D$405,"&lt;"&amp;J680,'Istoric_Nativ'!$P$6:$P$405,1,'Istoric_Nativ'!$D$6:$D$405,"&gt;="&amp;L680),IF(H680="AWAY",SUMIFS('Istoric_Nativ'!$G$6:$G$405,'Istoric_Nativ'!$B$6:$B$405,E680,'Istoric_Nativ'!$C$6:$C$405,F680,'Istoric_Nativ'!$F$6:$F$405,G680,'Istoric_Nativ'!$D$6:$D$405,"&lt;"&amp;J680,'Istoric_Nativ'!$P$6:$P$405,1,'Istoric_Nativ'!$D$6:$D$405,"&gt;="&amp;L680),SUMIFS('Istoric_Nativ'!$H$6:$H$405,'Istoric_Nativ'!$B$6:$B$405,E680,'Istoric_Nativ'!$C$6:$C$405,F680,'Istoric_Nativ'!$E$6:$E$405,G680,'Istoric_Nativ'!$D$6:$D$405,"&lt;"&amp;J680,'Istoric_Nativ'!$P$6:$P$405,1,'Istoric_Nativ'!$D$6:$D$405,"&gt;="&amp;L680)+SUMIFS('Istoric_Nativ'!$G$6:$G$405,'Istoric_Nativ'!$B$6:$B$405,E680,'Istoric_Nativ'!$C$6:$C$405,F680,'Istoric_Nativ'!$F$6:$F$405,G680,'Istoric_Nativ'!$D$6:$D$405,"&lt;"&amp;J680,'Istoric_Nativ'!$P$6:$P$405,1,'Istoric_Nativ'!$D$6:$D$405,"&gt;="&amp;L680)))/M680)</x:f>
      </x:c>
      <x:c r="P680" s="2" t="n">
        <x:f>'Config_v6'!$B$9</x:f>
        <x:v>3</x:v>
      </x:c>
      <x:c r="Q680" s="2" t="n">
        <x:f>IF(OR(B680="",F680=""),0,IFERROR(MATCH(E680&amp;"|"&amp;F680,SourceTable[Source_Key],0),0))</x:f>
        <x:v>0</x:v>
      </x:c>
      <x:c r="R680" s="2" t="str">
        <x:f>IF(B680="","",IF(F680="","UNUSED",IF(Q680=0,"NOT CHECKED",IF(COUNTIF(SourceTable[Source_Key],E680&amp;"|"&amp;F680)&lt;&gt;1,"SOURCE CONFLICT",IF(NOT(OR(INDEX(SourceTable[Status],MAX(1,Q680))="IMPORTED",INDEX(SourceTable[Status],MAX(1,Q680))="PARTIAL",INDEX(SourceTable[Status],MAX(1,Q680))="SOURCE CONFLICT")),"ACCESS BLOCKED",IF(OR(INDEX(SourceTable[Coverage],Q680)&lt;&gt;"FULL SEASON EXPORT",INDEX(SourceTable[URL],Q680)="",INDEX(SourceTable[SHA256],Q680)=""),"EVIDENCE INCOMPLETE",IF(AND('Input_Meci'!H62="LIVE",INDEX(SourceTable[Retrieved_UTC],Q680)&gt;'Input_Meci'!G62),"POST CUTOFF","CLOSED")))))))</x:f>
      </x:c>
      <x:c r="S680" s="2" t="n">
        <x:f>IF(OR(B680="",F680=""),0,COUNTIFS('Istoric_Nativ'!$B$6:$B$405,E680,'Istoric_Nativ'!$C$6:$C$405,F680,'Istoric_Nativ'!$E$6:$E$405,G680,'Istoric_Nativ'!$D$6:$D$405,"&lt;"&amp;J680,'Istoric_Nativ'!$O$6:$O$405,"INVALID")+COUNTIFS('Istoric_Nativ'!$B$6:$B$405,E680,'Istoric_Nativ'!$C$6:$C$405,F680,'Istoric_Nativ'!$E$6:$E$405,G680,'Istoric_Nativ'!$O$6:$O$405,"INVALID",'Istoric_Nativ'!$D$6:$D$405,"*")+COUNTIFS('Istoric_Nativ'!$B$6:$B$405,E680,'Istoric_Nativ'!$C$6:$C$405,F680,'Istoric_Nativ'!$E$6:$E$405,G680,'Istoric_Nativ'!$D$6:$D$405,"&lt;"&amp;J680,'Istoric_Nativ'!$O$6:$O$405,"SOURCE CONFLICT")+COUNTIFS('Istoric_Nativ'!$B$6:$B$405,E680,'Istoric_Nativ'!$C$6:$C$405,F680,'Istoric_Nativ'!$F$6:$F$405,G680,'Istoric_Nativ'!$D$6:$D$405,"&lt;"&amp;J680,'Istoric_Nativ'!$O$6:$O$405,"INVALID")+COUNTIFS('Istoric_Nativ'!$B$6:$B$405,E680,'Istoric_Nativ'!$C$6:$C$405,F680,'Istoric_Nativ'!$F$6:$F$405,G680,'Istoric_Nativ'!$O$6:$O$405,"INVALID",'Istoric_Nativ'!$D$6:$D$405,"*")+COUNTIFS('Istoric_Nativ'!$B$6:$B$405,E680,'Istoric_Nativ'!$C$6:$C$405,F680,'Istoric_Nativ'!$F$6:$F$405,G680,'Istoric_Nativ'!$D$6:$D$405,"&lt;"&amp;J680,'Istoric_Nativ'!$O$6:$O$405,"SOURCE CONFLICT"))</x:f>
        <x:v>0</x:v>
      </x:c>
      <x:c r="T680" s="2" t="str">
        <x:f>IF(B680="","",IF(R680&lt;&gt;"CLOSED",R680,IF(S680&gt;0,"NATIVE INPUT ISSUE",IF(M680=0,"NO HISTORY",IF(M680&lt;P680,"SMALL SAMPLE","DERIVED")))))</x:f>
      </x:c>
      <x:c r="U680" s="2" t="str">
        <x:f>IF(B680="","","NativeTable; "&amp;E680&amp;"; "&amp;F680&amp;"; "&amp;G680&amp;"; "&amp;H680&amp;"; before "&amp;TEXT(J680,"yyyy-mm-dd")&amp;IF(I680="RECENT","; from "&amp;TEXT(L680,"yyyy-mm-dd"),""))</x:f>
      </x:c>
    </x:row>
    <x:row r="681" ht="21" customHeight="1">
      <x:c r="A681" s="2" t="n">
        <x:v>57</x:v>
      </x:c>
      <x:c r="B681" s="2" t="str">
        <x:f>IF('Input_Meci'!A62="","",'Input_Meci'!A62)</x:f>
      </x:c>
      <x:c r="C681" s="2" t="str">
        <x:v>A</x:v>
      </x:c>
      <x:c r="D681" s="2" t="str">
        <x:v>CURRENT</x:v>
      </x:c>
      <x:c r="E681" s="2" t="str">
        <x:f>IF(B681="","",'Input_Meci'!B62)</x:f>
      </x:c>
      <x:c r="F681" s="2" t="str">
        <x:f>IF(B681="","",IF('Input_Meci'!C62="","",'Input_Meci'!C62))</x:f>
      </x:c>
      <x:c r="G681" s="2" t="str">
        <x:f>IF(B681="","",'Input_Meci'!E62)</x:f>
      </x:c>
      <x:c r="H681" s="2" t="str">
        <x:v>ANY</x:v>
      </x:c>
      <x:c r="I681" s="2" t="str">
        <x:v>SEASON</x:v>
      </x:c>
      <x:c r="J681" s="9" t="n">
        <x:f>IF(AND(B681&lt;&gt;"",ISNUMBER('Input_Meci'!G62)),INT('Input_Meci'!G62),0)</x:f>
        <x:v>0</x:v>
      </x:c>
      <x:c r="K681" s="2" t="n">
        <x:f>IF(OR(B681="",F681=""),0,IF(H681="HOME",COUNTIFS('Istoric_Nativ'!$B$6:$B$405,E681,'Istoric_Nativ'!$C$6:$C$405,F681,'Istoric_Nativ'!$E$6:$E$405,G681,'Istoric_Nativ'!$D$6:$D$405,"&lt;"&amp;J681,'Istoric_Nativ'!$P$6:$P$405,1),IF(H681="AWAY",COUNTIFS('Istoric_Nativ'!$B$6:$B$405,E681,'Istoric_Nativ'!$C$6:$C$405,F681,'Istoric_Nativ'!$F$6:$F$405,G681,'Istoric_Nativ'!$D$6:$D$405,"&lt;"&amp;J681,'Istoric_Nativ'!$P$6:$P$405,1),COUNTIFS('Istoric_Nativ'!$B$6:$B$405,E681,'Istoric_Nativ'!$C$6:$C$405,F681,'Istoric_Nativ'!$E$6:$E$405,G681,'Istoric_Nativ'!$D$6:$D$405,"&lt;"&amp;J681,'Istoric_Nativ'!$P$6:$P$405,1)+COUNTIFS('Istoric_Nativ'!$B$6:$B$405,E681,'Istoric_Nativ'!$C$6:$C$405,F681,'Istoric_Nativ'!$F$6:$F$405,G681,'Istoric_Nativ'!$D$6:$D$405,"&lt;"&amp;J681,'Istoric_Nativ'!$P$6:$P$405,1))))</x:f>
        <x:v>0</x:v>
      </x:c>
      <x:c r="L681" s="17" t="n">
        <x:f>IF(AND(B681&lt;&gt;"",I681="RECENT",K681&gt;0),LARGE(_xlfn._xlws.FILTER('Istoric_Nativ'!$D$6:$D$405,('Istoric_Nativ'!$B$6:$B$405=E681)*('Istoric_Nativ'!$C$6:$C$405=F681)*('Istoric_Nativ'!$P$6:$P$405=1)*('Istoric_Nativ'!$D$6:$D$405&lt;J681)*((('Istoric_Nativ'!$E$6:$E$405=G681)+('Istoric_Nativ'!$F$6:$F$405=G681))&gt;0)),MIN('Config_v6'!$B$54,K681)),0)</x:f>
        <x:v>0</x:v>
      </x:c>
      <x:c r="M681" s="2" t="n">
        <x:f>IF(OR(B681="",F681=""),0,IF(H681="HOME",COUNTIFS('Istoric_Nativ'!$B$6:$B$405,E681,'Istoric_Nativ'!$C$6:$C$405,F681,'Istoric_Nativ'!$E$6:$E$405,G681,'Istoric_Nativ'!$D$6:$D$405,"&lt;"&amp;J681,'Istoric_Nativ'!$P$6:$P$405,1,'Istoric_Nativ'!$D$6:$D$405,"&gt;="&amp;L681),IF(H681="AWAY",COUNTIFS('Istoric_Nativ'!$B$6:$B$405,E681,'Istoric_Nativ'!$C$6:$C$405,F681,'Istoric_Nativ'!$F$6:$F$405,G681,'Istoric_Nativ'!$D$6:$D$405,"&lt;"&amp;J681,'Istoric_Nativ'!$P$6:$P$405,1,'Istoric_Nativ'!$D$6:$D$405,"&gt;="&amp;L681),COUNTIFS('Istoric_Nativ'!$B$6:$B$405,E681,'Istoric_Nativ'!$C$6:$C$405,F681,'Istoric_Nativ'!$E$6:$E$405,G681,'Istoric_Nativ'!$D$6:$D$405,"&lt;"&amp;J681,'Istoric_Nativ'!$P$6:$P$405,1,'Istoric_Nativ'!$D$6:$D$405,"&gt;="&amp;L681)+COUNTIFS('Istoric_Nativ'!$B$6:$B$405,E681,'Istoric_Nativ'!$C$6:$C$405,F681,'Istoric_Nativ'!$F$6:$F$405,G681,'Istoric_Nativ'!$D$6:$D$405,"&lt;"&amp;J681,'Istoric_Nativ'!$P$6:$P$405,1,'Istoric_Nativ'!$D$6:$D$405,"&gt;="&amp;L681))))</x:f>
        <x:v>0</x:v>
      </x:c>
      <x:c r="N681" s="11" t="str">
        <x:f>IF(M681=0,"",IF(H681="HOME",SUMIFS('Istoric_Nativ'!$G$6:$G$405,'Istoric_Nativ'!$B$6:$B$405,E681,'Istoric_Nativ'!$C$6:$C$405,F681,'Istoric_Nativ'!$E$6:$E$405,G681,'Istoric_Nativ'!$D$6:$D$405,"&lt;"&amp;J681,'Istoric_Nativ'!$P$6:$P$405,1,'Istoric_Nativ'!$D$6:$D$405,"&gt;="&amp;L681),IF(H681="AWAY",SUMIFS('Istoric_Nativ'!$H$6:$H$405,'Istoric_Nativ'!$B$6:$B$405,E681,'Istoric_Nativ'!$C$6:$C$405,F681,'Istoric_Nativ'!$F$6:$F$405,G681,'Istoric_Nativ'!$D$6:$D$405,"&lt;"&amp;J681,'Istoric_Nativ'!$P$6:$P$405,1,'Istoric_Nativ'!$D$6:$D$405,"&gt;="&amp;L681),SUMIFS('Istoric_Nativ'!$G$6:$G$405,'Istoric_Nativ'!$B$6:$B$405,E681,'Istoric_Nativ'!$C$6:$C$405,F681,'Istoric_Nativ'!$E$6:$E$405,G681,'Istoric_Nativ'!$D$6:$D$405,"&lt;"&amp;J681,'Istoric_Nativ'!$P$6:$P$405,1,'Istoric_Nativ'!$D$6:$D$405,"&gt;="&amp;L681)+SUMIFS('Istoric_Nativ'!$H$6:$H$405,'Istoric_Nativ'!$B$6:$B$405,E681,'Istoric_Nativ'!$C$6:$C$405,F681,'Istoric_Nativ'!$F$6:$F$405,G681,'Istoric_Nativ'!$D$6:$D$405,"&lt;"&amp;J681,'Istoric_Nativ'!$P$6:$P$405,1,'Istoric_Nativ'!$D$6:$D$405,"&gt;="&amp;L681)))/M681)</x:f>
      </x:c>
      <x:c r="O681" s="11" t="str">
        <x:f>IF(M681=0,"",IF(H681="HOME",SUMIFS('Istoric_Nativ'!$H$6:$H$405,'Istoric_Nativ'!$B$6:$B$405,E681,'Istoric_Nativ'!$C$6:$C$405,F681,'Istoric_Nativ'!$E$6:$E$405,G681,'Istoric_Nativ'!$D$6:$D$405,"&lt;"&amp;J681,'Istoric_Nativ'!$P$6:$P$405,1,'Istoric_Nativ'!$D$6:$D$405,"&gt;="&amp;L681),IF(H681="AWAY",SUMIFS('Istoric_Nativ'!$G$6:$G$405,'Istoric_Nativ'!$B$6:$B$405,E681,'Istoric_Nativ'!$C$6:$C$405,F681,'Istoric_Nativ'!$F$6:$F$405,G681,'Istoric_Nativ'!$D$6:$D$405,"&lt;"&amp;J681,'Istoric_Nativ'!$P$6:$P$405,1,'Istoric_Nativ'!$D$6:$D$405,"&gt;="&amp;L681),SUMIFS('Istoric_Nativ'!$H$6:$H$405,'Istoric_Nativ'!$B$6:$B$405,E681,'Istoric_Nativ'!$C$6:$C$405,F681,'Istoric_Nativ'!$E$6:$E$405,G681,'Istoric_Nativ'!$D$6:$D$405,"&lt;"&amp;J681,'Istoric_Nativ'!$P$6:$P$405,1,'Istoric_Nativ'!$D$6:$D$405,"&gt;="&amp;L681)+SUMIFS('Istoric_Nativ'!$G$6:$G$405,'Istoric_Nativ'!$B$6:$B$405,E681,'Istoric_Nativ'!$C$6:$C$405,F681,'Istoric_Nativ'!$F$6:$F$405,G681,'Istoric_Nativ'!$D$6:$D$405,"&lt;"&amp;J681,'Istoric_Nativ'!$P$6:$P$405,1,'Istoric_Nativ'!$D$6:$D$405,"&gt;="&amp;L681)))/M681)</x:f>
      </x:c>
      <x:c r="P681" s="2" t="n">
        <x:f>'Config_v6'!$B$7</x:f>
        <x:v>10</x:v>
      </x:c>
      <x:c r="Q681" s="2" t="n">
        <x:f>IF(OR(B681="",F681=""),0,IFERROR(MATCH(E681&amp;"|"&amp;F681,SourceTable[Source_Key],0),0))</x:f>
        <x:v>0</x:v>
      </x:c>
      <x:c r="R681" s="2" t="str">
        <x:f>IF(B681="","",IF(F681="","UNUSED",IF(Q681=0,"NOT CHECKED",IF(COUNTIF(SourceTable[Source_Key],E681&amp;"|"&amp;F681)&lt;&gt;1,"SOURCE CONFLICT",IF(NOT(OR(INDEX(SourceTable[Status],MAX(1,Q681))="IMPORTED",INDEX(SourceTable[Status],MAX(1,Q681))="PARTIAL",INDEX(SourceTable[Status],MAX(1,Q681))="SOURCE CONFLICT")),"ACCESS BLOCKED",IF(OR(INDEX(SourceTable[Coverage],Q681)&lt;&gt;"FULL SEASON EXPORT",INDEX(SourceTable[URL],Q681)="",INDEX(SourceTable[SHA256],Q681)=""),"EVIDENCE INCOMPLETE",IF(AND('Input_Meci'!H62="LIVE",INDEX(SourceTable[Retrieved_UTC],Q681)&gt;'Input_Meci'!G62),"POST CUTOFF","CLOSED")))))))</x:f>
      </x:c>
      <x:c r="S681" s="2" t="n">
        <x:f>IF(OR(B681="",F681=""),0,COUNTIFS('Istoric_Nativ'!$B$6:$B$405,E681,'Istoric_Nativ'!$C$6:$C$405,F681,'Istoric_Nativ'!$E$6:$E$405,G681,'Istoric_Nativ'!$D$6:$D$405,"&lt;"&amp;J681,'Istoric_Nativ'!$O$6:$O$405,"INVALID")+COUNTIFS('Istoric_Nativ'!$B$6:$B$405,E681,'Istoric_Nativ'!$C$6:$C$405,F681,'Istoric_Nativ'!$E$6:$E$405,G681,'Istoric_Nativ'!$O$6:$O$405,"INVALID",'Istoric_Nativ'!$D$6:$D$405,"*")+COUNTIFS('Istoric_Nativ'!$B$6:$B$405,E681,'Istoric_Nativ'!$C$6:$C$405,F681,'Istoric_Nativ'!$E$6:$E$405,G681,'Istoric_Nativ'!$D$6:$D$405,"&lt;"&amp;J681,'Istoric_Nativ'!$O$6:$O$405,"SOURCE CONFLICT")+COUNTIFS('Istoric_Nativ'!$B$6:$B$405,E681,'Istoric_Nativ'!$C$6:$C$405,F681,'Istoric_Nativ'!$F$6:$F$405,G681,'Istoric_Nativ'!$D$6:$D$405,"&lt;"&amp;J681,'Istoric_Nativ'!$O$6:$O$405,"INVALID")+COUNTIFS('Istoric_Nativ'!$B$6:$B$405,E681,'Istoric_Nativ'!$C$6:$C$405,F681,'Istoric_Nativ'!$F$6:$F$405,G681,'Istoric_Nativ'!$O$6:$O$405,"INVALID",'Istoric_Nativ'!$D$6:$D$405,"*")+COUNTIFS('Istoric_Nativ'!$B$6:$B$405,E681,'Istoric_Nativ'!$C$6:$C$405,F681,'Istoric_Nativ'!$F$6:$F$405,G681,'Istoric_Nativ'!$D$6:$D$405,"&lt;"&amp;J681,'Istoric_Nativ'!$O$6:$O$405,"SOURCE CONFLICT"))</x:f>
        <x:v>0</x:v>
      </x:c>
      <x:c r="T681" s="2" t="str">
        <x:f>IF(B681="","",IF(R681&lt;&gt;"CLOSED",R681,IF(S681&gt;0,"NATIVE INPUT ISSUE",IF(M681=0,"NO HISTORY",IF(M681&lt;P681,"SMALL SAMPLE","DERIVED")))))</x:f>
      </x:c>
      <x:c r="U681" s="2" t="str">
        <x:f>IF(B681="","","NativeTable; "&amp;E681&amp;"; "&amp;F681&amp;"; "&amp;G681&amp;"; "&amp;H681&amp;"; before "&amp;TEXT(J681,"yyyy-mm-dd")&amp;IF(I681="RECENT","; from "&amp;TEXT(L681,"yyyy-mm-dd"),""))</x:f>
      </x:c>
    </x:row>
    <x:row r="682" ht="21" customHeight="1">
      <x:c r="A682" s="2" t="n">
        <x:v>57</x:v>
      </x:c>
      <x:c r="B682" s="2" t="str">
        <x:f>IF('Input_Meci'!A62="","",'Input_Meci'!A62)</x:f>
      </x:c>
      <x:c r="C682" s="2" t="str">
        <x:v>A</x:v>
      </x:c>
      <x:c r="D682" s="2" t="str">
        <x:v>CURRENT</x:v>
      </x:c>
      <x:c r="E682" s="2" t="str">
        <x:f>IF(B682="","",'Input_Meci'!B62)</x:f>
      </x:c>
      <x:c r="F682" s="2" t="str">
        <x:f>IF(B682="","",IF('Input_Meci'!C62="","",'Input_Meci'!C62))</x:f>
      </x:c>
      <x:c r="G682" s="2" t="str">
        <x:f>IF(B682="","",'Input_Meci'!E62)</x:f>
      </x:c>
      <x:c r="H682" s="2" t="str">
        <x:v>AWAY</x:v>
      </x:c>
      <x:c r="I682" s="2" t="str">
        <x:v>HA</x:v>
      </x:c>
      <x:c r="J682" s="9" t="n">
        <x:f>IF(AND(B682&lt;&gt;"",ISNUMBER('Input_Meci'!G62)),INT('Input_Meci'!G62),0)</x:f>
        <x:v>0</x:v>
      </x:c>
      <x:c r="K682" s="2" t="n">
        <x:f>IF(OR(B682="",F682=""),0,IF(H682="HOME",COUNTIFS('Istoric_Nativ'!$B$6:$B$405,E682,'Istoric_Nativ'!$C$6:$C$405,F682,'Istoric_Nativ'!$E$6:$E$405,G682,'Istoric_Nativ'!$D$6:$D$405,"&lt;"&amp;J682,'Istoric_Nativ'!$P$6:$P$405,1),IF(H682="AWAY",COUNTIFS('Istoric_Nativ'!$B$6:$B$405,E682,'Istoric_Nativ'!$C$6:$C$405,F682,'Istoric_Nativ'!$F$6:$F$405,G682,'Istoric_Nativ'!$D$6:$D$405,"&lt;"&amp;J682,'Istoric_Nativ'!$P$6:$P$405,1),COUNTIFS('Istoric_Nativ'!$B$6:$B$405,E682,'Istoric_Nativ'!$C$6:$C$405,F682,'Istoric_Nativ'!$E$6:$E$405,G682,'Istoric_Nativ'!$D$6:$D$405,"&lt;"&amp;J682,'Istoric_Nativ'!$P$6:$P$405,1)+COUNTIFS('Istoric_Nativ'!$B$6:$B$405,E682,'Istoric_Nativ'!$C$6:$C$405,F682,'Istoric_Nativ'!$F$6:$F$405,G682,'Istoric_Nativ'!$D$6:$D$405,"&lt;"&amp;J682,'Istoric_Nativ'!$P$6:$P$405,1))))</x:f>
        <x:v>0</x:v>
      </x:c>
      <x:c r="L682" s="17" t="n">
        <x:f>IF(AND(B682&lt;&gt;"",I682="RECENT",K682&gt;0),LARGE(_xlfn._xlws.FILTER('Istoric_Nativ'!$D$6:$D$405,('Istoric_Nativ'!$B$6:$B$405=E682)*('Istoric_Nativ'!$C$6:$C$405=F682)*('Istoric_Nativ'!$P$6:$P$405=1)*('Istoric_Nativ'!$D$6:$D$405&lt;J682)*((('Istoric_Nativ'!$E$6:$E$405=G682)+('Istoric_Nativ'!$F$6:$F$405=G682))&gt;0)),MIN('Config_v6'!$B$54,K682)),0)</x:f>
        <x:v>0</x:v>
      </x:c>
      <x:c r="M682" s="2" t="n">
        <x:f>IF(OR(B682="",F682=""),0,IF(H682="HOME",COUNTIFS('Istoric_Nativ'!$B$6:$B$405,E682,'Istoric_Nativ'!$C$6:$C$405,F682,'Istoric_Nativ'!$E$6:$E$405,G682,'Istoric_Nativ'!$D$6:$D$405,"&lt;"&amp;J682,'Istoric_Nativ'!$P$6:$P$405,1,'Istoric_Nativ'!$D$6:$D$405,"&gt;="&amp;L682),IF(H682="AWAY",COUNTIFS('Istoric_Nativ'!$B$6:$B$405,E682,'Istoric_Nativ'!$C$6:$C$405,F682,'Istoric_Nativ'!$F$6:$F$405,G682,'Istoric_Nativ'!$D$6:$D$405,"&lt;"&amp;J682,'Istoric_Nativ'!$P$6:$P$405,1,'Istoric_Nativ'!$D$6:$D$405,"&gt;="&amp;L682),COUNTIFS('Istoric_Nativ'!$B$6:$B$405,E682,'Istoric_Nativ'!$C$6:$C$405,F682,'Istoric_Nativ'!$E$6:$E$405,G682,'Istoric_Nativ'!$D$6:$D$405,"&lt;"&amp;J682,'Istoric_Nativ'!$P$6:$P$405,1,'Istoric_Nativ'!$D$6:$D$405,"&gt;="&amp;L682)+COUNTIFS('Istoric_Nativ'!$B$6:$B$405,E682,'Istoric_Nativ'!$C$6:$C$405,F682,'Istoric_Nativ'!$F$6:$F$405,G682,'Istoric_Nativ'!$D$6:$D$405,"&lt;"&amp;J682,'Istoric_Nativ'!$P$6:$P$405,1,'Istoric_Nativ'!$D$6:$D$405,"&gt;="&amp;L682))))</x:f>
        <x:v>0</x:v>
      </x:c>
      <x:c r="N682" s="11" t="str">
        <x:f>IF(M682=0,"",IF(H682="HOME",SUMIFS('Istoric_Nativ'!$G$6:$G$405,'Istoric_Nativ'!$B$6:$B$405,E682,'Istoric_Nativ'!$C$6:$C$405,F682,'Istoric_Nativ'!$E$6:$E$405,G682,'Istoric_Nativ'!$D$6:$D$405,"&lt;"&amp;J682,'Istoric_Nativ'!$P$6:$P$405,1,'Istoric_Nativ'!$D$6:$D$405,"&gt;="&amp;L682),IF(H682="AWAY",SUMIFS('Istoric_Nativ'!$H$6:$H$405,'Istoric_Nativ'!$B$6:$B$405,E682,'Istoric_Nativ'!$C$6:$C$405,F682,'Istoric_Nativ'!$F$6:$F$405,G682,'Istoric_Nativ'!$D$6:$D$405,"&lt;"&amp;J682,'Istoric_Nativ'!$P$6:$P$405,1,'Istoric_Nativ'!$D$6:$D$405,"&gt;="&amp;L682),SUMIFS('Istoric_Nativ'!$G$6:$G$405,'Istoric_Nativ'!$B$6:$B$405,E682,'Istoric_Nativ'!$C$6:$C$405,F682,'Istoric_Nativ'!$E$6:$E$405,G682,'Istoric_Nativ'!$D$6:$D$405,"&lt;"&amp;J682,'Istoric_Nativ'!$P$6:$P$405,1,'Istoric_Nativ'!$D$6:$D$405,"&gt;="&amp;L682)+SUMIFS('Istoric_Nativ'!$H$6:$H$405,'Istoric_Nativ'!$B$6:$B$405,E682,'Istoric_Nativ'!$C$6:$C$405,F682,'Istoric_Nativ'!$F$6:$F$405,G682,'Istoric_Nativ'!$D$6:$D$405,"&lt;"&amp;J682,'Istoric_Nativ'!$P$6:$P$405,1,'Istoric_Nativ'!$D$6:$D$405,"&gt;="&amp;L682)))/M682)</x:f>
      </x:c>
      <x:c r="O682" s="11" t="str">
        <x:f>IF(M682=0,"",IF(H682="HOME",SUMIFS('Istoric_Nativ'!$H$6:$H$405,'Istoric_Nativ'!$B$6:$B$405,E682,'Istoric_Nativ'!$C$6:$C$405,F682,'Istoric_Nativ'!$E$6:$E$405,G682,'Istoric_Nativ'!$D$6:$D$405,"&lt;"&amp;J682,'Istoric_Nativ'!$P$6:$P$405,1,'Istoric_Nativ'!$D$6:$D$405,"&gt;="&amp;L682),IF(H682="AWAY",SUMIFS('Istoric_Nativ'!$G$6:$G$405,'Istoric_Nativ'!$B$6:$B$405,E682,'Istoric_Nativ'!$C$6:$C$405,F682,'Istoric_Nativ'!$F$6:$F$405,G682,'Istoric_Nativ'!$D$6:$D$405,"&lt;"&amp;J682,'Istoric_Nativ'!$P$6:$P$405,1,'Istoric_Nativ'!$D$6:$D$405,"&gt;="&amp;L682),SUMIFS('Istoric_Nativ'!$H$6:$H$405,'Istoric_Nativ'!$B$6:$B$405,E682,'Istoric_Nativ'!$C$6:$C$405,F682,'Istoric_Nativ'!$E$6:$E$405,G682,'Istoric_Nativ'!$D$6:$D$405,"&lt;"&amp;J682,'Istoric_Nativ'!$P$6:$P$405,1,'Istoric_Nativ'!$D$6:$D$405,"&gt;="&amp;L682)+SUMIFS('Istoric_Nativ'!$G$6:$G$405,'Istoric_Nativ'!$B$6:$B$405,E682,'Istoric_Nativ'!$C$6:$C$405,F682,'Istoric_Nativ'!$F$6:$F$405,G682,'Istoric_Nativ'!$D$6:$D$405,"&lt;"&amp;J682,'Istoric_Nativ'!$P$6:$P$405,1,'Istoric_Nativ'!$D$6:$D$405,"&gt;="&amp;L682)))/M682)</x:f>
      </x:c>
      <x:c r="P682" s="2" t="n">
        <x:f>'Config_v6'!$B$8</x:f>
        <x:v>5</x:v>
      </x:c>
      <x:c r="Q682" s="2" t="n">
        <x:f>IF(OR(B682="",F682=""),0,IFERROR(MATCH(E682&amp;"|"&amp;F682,SourceTable[Source_Key],0),0))</x:f>
        <x:v>0</x:v>
      </x:c>
      <x:c r="R682" s="2" t="str">
        <x:f>IF(B682="","",IF(F682="","UNUSED",IF(Q682=0,"NOT CHECKED",IF(COUNTIF(SourceTable[Source_Key],E682&amp;"|"&amp;F682)&lt;&gt;1,"SOURCE CONFLICT",IF(NOT(OR(INDEX(SourceTable[Status],MAX(1,Q682))="IMPORTED",INDEX(SourceTable[Status],MAX(1,Q682))="PARTIAL",INDEX(SourceTable[Status],MAX(1,Q682))="SOURCE CONFLICT")),"ACCESS BLOCKED",IF(OR(INDEX(SourceTable[Coverage],Q682)&lt;&gt;"FULL SEASON EXPORT",INDEX(SourceTable[URL],Q682)="",INDEX(SourceTable[SHA256],Q682)=""),"EVIDENCE INCOMPLETE",IF(AND('Input_Meci'!H62="LIVE",INDEX(SourceTable[Retrieved_UTC],Q682)&gt;'Input_Meci'!G62),"POST CUTOFF","CLOSED")))))))</x:f>
      </x:c>
      <x:c r="S682" s="2" t="n">
        <x:f>IF(OR(B682="",F682=""),0,COUNTIFS('Istoric_Nativ'!$B$6:$B$405,E682,'Istoric_Nativ'!$C$6:$C$405,F682,'Istoric_Nativ'!$E$6:$E$405,G682,'Istoric_Nativ'!$D$6:$D$405,"&lt;"&amp;J682,'Istoric_Nativ'!$O$6:$O$405,"INVALID")+COUNTIFS('Istoric_Nativ'!$B$6:$B$405,E682,'Istoric_Nativ'!$C$6:$C$405,F682,'Istoric_Nativ'!$E$6:$E$405,G682,'Istoric_Nativ'!$O$6:$O$405,"INVALID",'Istoric_Nativ'!$D$6:$D$405,"*")+COUNTIFS('Istoric_Nativ'!$B$6:$B$405,E682,'Istoric_Nativ'!$C$6:$C$405,F682,'Istoric_Nativ'!$E$6:$E$405,G682,'Istoric_Nativ'!$D$6:$D$405,"&lt;"&amp;J682,'Istoric_Nativ'!$O$6:$O$405,"SOURCE CONFLICT")+COUNTIFS('Istoric_Nativ'!$B$6:$B$405,E682,'Istoric_Nativ'!$C$6:$C$405,F682,'Istoric_Nativ'!$F$6:$F$405,G682,'Istoric_Nativ'!$D$6:$D$405,"&lt;"&amp;J682,'Istoric_Nativ'!$O$6:$O$405,"INVALID")+COUNTIFS('Istoric_Nativ'!$B$6:$B$405,E682,'Istoric_Nativ'!$C$6:$C$405,F682,'Istoric_Nativ'!$F$6:$F$405,G682,'Istoric_Nativ'!$O$6:$O$405,"INVALID",'Istoric_Nativ'!$D$6:$D$405,"*")+COUNTIFS('Istoric_Nativ'!$B$6:$B$405,E682,'Istoric_Nativ'!$C$6:$C$405,F682,'Istoric_Nativ'!$F$6:$F$405,G682,'Istoric_Nativ'!$D$6:$D$405,"&lt;"&amp;J682,'Istoric_Nativ'!$O$6:$O$405,"SOURCE CONFLICT"))</x:f>
        <x:v>0</x:v>
      </x:c>
      <x:c r="T682" s="2" t="str">
        <x:f>IF(B682="","",IF(R682&lt;&gt;"CLOSED",R682,IF(S682&gt;0,"NATIVE INPUT ISSUE",IF(M682=0,"NO HISTORY",IF(M682&lt;P682,"SMALL SAMPLE","DERIVED")))))</x:f>
      </x:c>
      <x:c r="U682" s="2" t="str">
        <x:f>IF(B682="","","NativeTable; "&amp;E682&amp;"; "&amp;F682&amp;"; "&amp;G682&amp;"; "&amp;H682&amp;"; before "&amp;TEXT(J682,"yyyy-mm-dd")&amp;IF(I682="RECENT","; from "&amp;TEXT(L682,"yyyy-mm-dd"),""))</x:f>
      </x:c>
    </x:row>
    <x:row r="683" ht="21" customHeight="1">
      <x:c r="A683" s="2" t="n">
        <x:v>57</x:v>
      </x:c>
      <x:c r="B683" s="2" t="str">
        <x:f>IF('Input_Meci'!A62="","",'Input_Meci'!A62)</x:f>
      </x:c>
      <x:c r="C683" s="2" t="str">
        <x:v>A</x:v>
      </x:c>
      <x:c r="D683" s="2" t="str">
        <x:v>CURRENT</x:v>
      </x:c>
      <x:c r="E683" s="2" t="str">
        <x:f>IF(B683="","",'Input_Meci'!B62)</x:f>
      </x:c>
      <x:c r="F683" s="2" t="str">
        <x:f>IF(B683="","",IF('Input_Meci'!C62="","",'Input_Meci'!C62))</x:f>
      </x:c>
      <x:c r="G683" s="2" t="str">
        <x:f>IF(B683="","",'Input_Meci'!E62)</x:f>
      </x:c>
      <x:c r="H683" s="2" t="str">
        <x:v>ANY</x:v>
      </x:c>
      <x:c r="I683" s="2" t="str">
        <x:v>RECENT</x:v>
      </x:c>
      <x:c r="J683" s="9" t="n">
        <x:f>IF(AND(B683&lt;&gt;"",ISNUMBER('Input_Meci'!G62)),INT('Input_Meci'!G62),0)</x:f>
        <x:v>0</x:v>
      </x:c>
      <x:c r="K683" s="2" t="n">
        <x:f>IF(OR(B683="",F683=""),0,IF(H683="HOME",COUNTIFS('Istoric_Nativ'!$B$6:$B$405,E683,'Istoric_Nativ'!$C$6:$C$405,F683,'Istoric_Nativ'!$E$6:$E$405,G683,'Istoric_Nativ'!$D$6:$D$405,"&lt;"&amp;J683,'Istoric_Nativ'!$P$6:$P$405,1),IF(H683="AWAY",COUNTIFS('Istoric_Nativ'!$B$6:$B$405,E683,'Istoric_Nativ'!$C$6:$C$405,F683,'Istoric_Nativ'!$F$6:$F$405,G683,'Istoric_Nativ'!$D$6:$D$405,"&lt;"&amp;J683,'Istoric_Nativ'!$P$6:$P$405,1),COUNTIFS('Istoric_Nativ'!$B$6:$B$405,E683,'Istoric_Nativ'!$C$6:$C$405,F683,'Istoric_Nativ'!$E$6:$E$405,G683,'Istoric_Nativ'!$D$6:$D$405,"&lt;"&amp;J683,'Istoric_Nativ'!$P$6:$P$405,1)+COUNTIFS('Istoric_Nativ'!$B$6:$B$405,E683,'Istoric_Nativ'!$C$6:$C$405,F683,'Istoric_Nativ'!$F$6:$F$405,G683,'Istoric_Nativ'!$D$6:$D$405,"&lt;"&amp;J683,'Istoric_Nativ'!$P$6:$P$405,1))))</x:f>
        <x:v>0</x:v>
      </x:c>
      <x:c r="L683" s="17" t="n">
        <x:f>IF(AND(B683&lt;&gt;"",I683="RECENT",K683&gt;0),LARGE(_xlfn._xlws.FILTER('Istoric_Nativ'!$D$6:$D$405,('Istoric_Nativ'!$B$6:$B$405=E683)*('Istoric_Nativ'!$C$6:$C$405=F683)*('Istoric_Nativ'!$P$6:$P$405=1)*('Istoric_Nativ'!$D$6:$D$405&lt;J683)*((('Istoric_Nativ'!$E$6:$E$405=G683)+('Istoric_Nativ'!$F$6:$F$405=G683))&gt;0)),MIN('Config_v6'!$B$54,K683)),0)</x:f>
        <x:v>0</x:v>
      </x:c>
      <x:c r="M683" s="2" t="n">
        <x:f>IF(OR(B683="",F683=""),0,IF(H683="HOME",COUNTIFS('Istoric_Nativ'!$B$6:$B$405,E683,'Istoric_Nativ'!$C$6:$C$405,F683,'Istoric_Nativ'!$E$6:$E$405,G683,'Istoric_Nativ'!$D$6:$D$405,"&lt;"&amp;J683,'Istoric_Nativ'!$P$6:$P$405,1,'Istoric_Nativ'!$D$6:$D$405,"&gt;="&amp;L683),IF(H683="AWAY",COUNTIFS('Istoric_Nativ'!$B$6:$B$405,E683,'Istoric_Nativ'!$C$6:$C$405,F683,'Istoric_Nativ'!$F$6:$F$405,G683,'Istoric_Nativ'!$D$6:$D$405,"&lt;"&amp;J683,'Istoric_Nativ'!$P$6:$P$405,1,'Istoric_Nativ'!$D$6:$D$405,"&gt;="&amp;L683),COUNTIFS('Istoric_Nativ'!$B$6:$B$405,E683,'Istoric_Nativ'!$C$6:$C$405,F683,'Istoric_Nativ'!$E$6:$E$405,G683,'Istoric_Nativ'!$D$6:$D$405,"&lt;"&amp;J683,'Istoric_Nativ'!$P$6:$P$405,1,'Istoric_Nativ'!$D$6:$D$405,"&gt;="&amp;L683)+COUNTIFS('Istoric_Nativ'!$B$6:$B$405,E683,'Istoric_Nativ'!$C$6:$C$405,F683,'Istoric_Nativ'!$F$6:$F$405,G683,'Istoric_Nativ'!$D$6:$D$405,"&lt;"&amp;J683,'Istoric_Nativ'!$P$6:$P$405,1,'Istoric_Nativ'!$D$6:$D$405,"&gt;="&amp;L683))))</x:f>
        <x:v>0</x:v>
      </x:c>
      <x:c r="N683" s="11" t="str">
        <x:f>IF(M683=0,"",IF(H683="HOME",SUMIFS('Istoric_Nativ'!$G$6:$G$405,'Istoric_Nativ'!$B$6:$B$405,E683,'Istoric_Nativ'!$C$6:$C$405,F683,'Istoric_Nativ'!$E$6:$E$405,G683,'Istoric_Nativ'!$D$6:$D$405,"&lt;"&amp;J683,'Istoric_Nativ'!$P$6:$P$405,1,'Istoric_Nativ'!$D$6:$D$405,"&gt;="&amp;L683),IF(H683="AWAY",SUMIFS('Istoric_Nativ'!$H$6:$H$405,'Istoric_Nativ'!$B$6:$B$405,E683,'Istoric_Nativ'!$C$6:$C$405,F683,'Istoric_Nativ'!$F$6:$F$405,G683,'Istoric_Nativ'!$D$6:$D$405,"&lt;"&amp;J683,'Istoric_Nativ'!$P$6:$P$405,1,'Istoric_Nativ'!$D$6:$D$405,"&gt;="&amp;L683),SUMIFS('Istoric_Nativ'!$G$6:$G$405,'Istoric_Nativ'!$B$6:$B$405,E683,'Istoric_Nativ'!$C$6:$C$405,F683,'Istoric_Nativ'!$E$6:$E$405,G683,'Istoric_Nativ'!$D$6:$D$405,"&lt;"&amp;J683,'Istoric_Nativ'!$P$6:$P$405,1,'Istoric_Nativ'!$D$6:$D$405,"&gt;="&amp;L683)+SUMIFS('Istoric_Nativ'!$H$6:$H$405,'Istoric_Nativ'!$B$6:$B$405,E683,'Istoric_Nativ'!$C$6:$C$405,F683,'Istoric_Nativ'!$F$6:$F$405,G683,'Istoric_Nativ'!$D$6:$D$405,"&lt;"&amp;J683,'Istoric_Nativ'!$P$6:$P$405,1,'Istoric_Nativ'!$D$6:$D$405,"&gt;="&amp;L683)))/M683)</x:f>
      </x:c>
      <x:c r="O683" s="11" t="str">
        <x:f>IF(M683=0,"",IF(H683="HOME",SUMIFS('Istoric_Nativ'!$H$6:$H$405,'Istoric_Nativ'!$B$6:$B$405,E683,'Istoric_Nativ'!$C$6:$C$405,F683,'Istoric_Nativ'!$E$6:$E$405,G683,'Istoric_Nativ'!$D$6:$D$405,"&lt;"&amp;J683,'Istoric_Nativ'!$P$6:$P$405,1,'Istoric_Nativ'!$D$6:$D$405,"&gt;="&amp;L683),IF(H683="AWAY",SUMIFS('Istoric_Nativ'!$G$6:$G$405,'Istoric_Nativ'!$B$6:$B$405,E683,'Istoric_Nativ'!$C$6:$C$405,F683,'Istoric_Nativ'!$F$6:$F$405,G683,'Istoric_Nativ'!$D$6:$D$405,"&lt;"&amp;J683,'Istoric_Nativ'!$P$6:$P$405,1,'Istoric_Nativ'!$D$6:$D$405,"&gt;="&amp;L683),SUMIFS('Istoric_Nativ'!$H$6:$H$405,'Istoric_Nativ'!$B$6:$B$405,E683,'Istoric_Nativ'!$C$6:$C$405,F683,'Istoric_Nativ'!$E$6:$E$405,G683,'Istoric_Nativ'!$D$6:$D$405,"&lt;"&amp;J683,'Istoric_Nativ'!$P$6:$P$405,1,'Istoric_Nativ'!$D$6:$D$405,"&gt;="&amp;L683)+SUMIFS('Istoric_Nativ'!$G$6:$G$405,'Istoric_Nativ'!$B$6:$B$405,E683,'Istoric_Nativ'!$C$6:$C$405,F683,'Istoric_Nativ'!$F$6:$F$405,G683,'Istoric_Nativ'!$D$6:$D$405,"&lt;"&amp;J683,'Istoric_Nativ'!$P$6:$P$405,1,'Istoric_Nativ'!$D$6:$D$405,"&gt;="&amp;L683)))/M683)</x:f>
      </x:c>
      <x:c r="P683" s="2" t="n">
        <x:f>'Config_v6'!$B$9</x:f>
        <x:v>3</x:v>
      </x:c>
      <x:c r="Q683" s="2" t="n">
        <x:f>IF(OR(B683="",F683=""),0,IFERROR(MATCH(E683&amp;"|"&amp;F683,SourceTable[Source_Key],0),0))</x:f>
        <x:v>0</x:v>
      </x:c>
      <x:c r="R683" s="2" t="str">
        <x:f>IF(B683="","",IF(F683="","UNUSED",IF(Q683=0,"NOT CHECKED",IF(COUNTIF(SourceTable[Source_Key],E683&amp;"|"&amp;F683)&lt;&gt;1,"SOURCE CONFLICT",IF(NOT(OR(INDEX(SourceTable[Status],MAX(1,Q683))="IMPORTED",INDEX(SourceTable[Status],MAX(1,Q683))="PARTIAL",INDEX(SourceTable[Status],MAX(1,Q683))="SOURCE CONFLICT")),"ACCESS BLOCKED",IF(OR(INDEX(SourceTable[Coverage],Q683)&lt;&gt;"FULL SEASON EXPORT",INDEX(SourceTable[URL],Q683)="",INDEX(SourceTable[SHA256],Q683)=""),"EVIDENCE INCOMPLETE",IF(AND('Input_Meci'!H62="LIVE",INDEX(SourceTable[Retrieved_UTC],Q683)&gt;'Input_Meci'!G62),"POST CUTOFF","CLOSED")))))))</x:f>
      </x:c>
      <x:c r="S683" s="2" t="n">
        <x:f>IF(OR(B683="",F683=""),0,COUNTIFS('Istoric_Nativ'!$B$6:$B$405,E683,'Istoric_Nativ'!$C$6:$C$405,F683,'Istoric_Nativ'!$E$6:$E$405,G683,'Istoric_Nativ'!$D$6:$D$405,"&lt;"&amp;J683,'Istoric_Nativ'!$O$6:$O$405,"INVALID")+COUNTIFS('Istoric_Nativ'!$B$6:$B$405,E683,'Istoric_Nativ'!$C$6:$C$405,F683,'Istoric_Nativ'!$E$6:$E$405,G683,'Istoric_Nativ'!$O$6:$O$405,"INVALID",'Istoric_Nativ'!$D$6:$D$405,"*")+COUNTIFS('Istoric_Nativ'!$B$6:$B$405,E683,'Istoric_Nativ'!$C$6:$C$405,F683,'Istoric_Nativ'!$E$6:$E$405,G683,'Istoric_Nativ'!$D$6:$D$405,"&lt;"&amp;J683,'Istoric_Nativ'!$O$6:$O$405,"SOURCE CONFLICT")+COUNTIFS('Istoric_Nativ'!$B$6:$B$405,E683,'Istoric_Nativ'!$C$6:$C$405,F683,'Istoric_Nativ'!$F$6:$F$405,G683,'Istoric_Nativ'!$D$6:$D$405,"&lt;"&amp;J683,'Istoric_Nativ'!$O$6:$O$405,"INVALID")+COUNTIFS('Istoric_Nativ'!$B$6:$B$405,E683,'Istoric_Nativ'!$C$6:$C$405,F683,'Istoric_Nativ'!$F$6:$F$405,G683,'Istoric_Nativ'!$O$6:$O$405,"INVALID",'Istoric_Nativ'!$D$6:$D$405,"*")+COUNTIFS('Istoric_Nativ'!$B$6:$B$405,E683,'Istoric_Nativ'!$C$6:$C$405,F683,'Istoric_Nativ'!$F$6:$F$405,G683,'Istoric_Nativ'!$D$6:$D$405,"&lt;"&amp;J683,'Istoric_Nativ'!$O$6:$O$405,"SOURCE CONFLICT"))</x:f>
        <x:v>0</x:v>
      </x:c>
      <x:c r="T683" s="2" t="str">
        <x:f>IF(B683="","",IF(R683&lt;&gt;"CLOSED",R683,IF(S683&gt;0,"NATIVE INPUT ISSUE",IF(M683=0,"NO HISTORY",IF(M683&lt;P683,"SMALL SAMPLE","DERIVED")))))</x:f>
      </x:c>
      <x:c r="U683" s="2" t="str">
        <x:f>IF(B683="","","NativeTable; "&amp;E683&amp;"; "&amp;F683&amp;"; "&amp;G683&amp;"; "&amp;H683&amp;"; before "&amp;TEXT(J683,"yyyy-mm-dd")&amp;IF(I683="RECENT","; from "&amp;TEXT(L683,"yyyy-mm-dd"),""))</x:f>
      </x:c>
    </x:row>
    <x:row r="684" ht="21" customHeight="1">
      <x:c r="A684" s="2" t="n">
        <x:v>57</x:v>
      </x:c>
      <x:c r="B684" s="2" t="str">
        <x:f>IF('Input_Meci'!A62="","",'Input_Meci'!A62)</x:f>
      </x:c>
      <x:c r="C684" s="2" t="str">
        <x:v>H</x:v>
      </x:c>
      <x:c r="D684" s="2" t="str">
        <x:v>PRIOR</x:v>
      </x:c>
      <x:c r="E684" s="2" t="str">
        <x:f>IF(B684="","",'Input_Meci'!B62)</x:f>
      </x:c>
      <x:c r="F684" s="2" t="str">
        <x:f>IF(B684="","",IF('Input_Meci'!K62="","",'Input_Meci'!K62))</x:f>
      </x:c>
      <x:c r="G684" s="2" t="str">
        <x:f>IF(B684="","",'Input_Meci'!D62)</x:f>
      </x:c>
      <x:c r="H684" s="2" t="str">
        <x:v>ANY</x:v>
      </x:c>
      <x:c r="I684" s="2" t="str">
        <x:v>SEASON</x:v>
      </x:c>
      <x:c r="J684" s="9" t="n">
        <x:f>IF(AND(B684&lt;&gt;"",ISNUMBER('Input_Meci'!G62)),INT('Input_Meci'!G62),0)</x:f>
        <x:v>0</x:v>
      </x:c>
      <x:c r="K684" s="2" t="n">
        <x:f>IF(OR(B684="",F684=""),0,IF(H684="HOME",COUNTIFS('Istoric_Nativ'!$B$6:$B$405,E684,'Istoric_Nativ'!$C$6:$C$405,F684,'Istoric_Nativ'!$E$6:$E$405,G684,'Istoric_Nativ'!$D$6:$D$405,"&lt;"&amp;J684,'Istoric_Nativ'!$P$6:$P$405,1),IF(H684="AWAY",COUNTIFS('Istoric_Nativ'!$B$6:$B$405,E684,'Istoric_Nativ'!$C$6:$C$405,F684,'Istoric_Nativ'!$F$6:$F$405,G684,'Istoric_Nativ'!$D$6:$D$405,"&lt;"&amp;J684,'Istoric_Nativ'!$P$6:$P$405,1),COUNTIFS('Istoric_Nativ'!$B$6:$B$405,E684,'Istoric_Nativ'!$C$6:$C$405,F684,'Istoric_Nativ'!$E$6:$E$405,G684,'Istoric_Nativ'!$D$6:$D$405,"&lt;"&amp;J684,'Istoric_Nativ'!$P$6:$P$405,1)+COUNTIFS('Istoric_Nativ'!$B$6:$B$405,E684,'Istoric_Nativ'!$C$6:$C$405,F684,'Istoric_Nativ'!$F$6:$F$405,G684,'Istoric_Nativ'!$D$6:$D$405,"&lt;"&amp;J684,'Istoric_Nativ'!$P$6:$P$405,1))))</x:f>
        <x:v>0</x:v>
      </x:c>
      <x:c r="L684" s="17" t="n">
        <x:f>IF(AND(B684&lt;&gt;"",I684="RECENT",K684&gt;0),LARGE(_xlfn._xlws.FILTER('Istoric_Nativ'!$D$6:$D$405,('Istoric_Nativ'!$B$6:$B$405=E684)*('Istoric_Nativ'!$C$6:$C$405=F684)*('Istoric_Nativ'!$P$6:$P$405=1)*('Istoric_Nativ'!$D$6:$D$405&lt;J684)*((('Istoric_Nativ'!$E$6:$E$405=G684)+('Istoric_Nativ'!$F$6:$F$405=G684))&gt;0)),MIN('Config_v6'!$B$54,K684)),0)</x:f>
        <x:v>0</x:v>
      </x:c>
      <x:c r="M684" s="2" t="n">
        <x:f>IF(OR(B684="",F684=""),0,IF(H684="HOME",COUNTIFS('Istoric_Nativ'!$B$6:$B$405,E684,'Istoric_Nativ'!$C$6:$C$405,F684,'Istoric_Nativ'!$E$6:$E$405,G684,'Istoric_Nativ'!$D$6:$D$405,"&lt;"&amp;J684,'Istoric_Nativ'!$P$6:$P$405,1,'Istoric_Nativ'!$D$6:$D$405,"&gt;="&amp;L684),IF(H684="AWAY",COUNTIFS('Istoric_Nativ'!$B$6:$B$405,E684,'Istoric_Nativ'!$C$6:$C$405,F684,'Istoric_Nativ'!$F$6:$F$405,G684,'Istoric_Nativ'!$D$6:$D$405,"&lt;"&amp;J684,'Istoric_Nativ'!$P$6:$P$405,1,'Istoric_Nativ'!$D$6:$D$405,"&gt;="&amp;L684),COUNTIFS('Istoric_Nativ'!$B$6:$B$405,E684,'Istoric_Nativ'!$C$6:$C$405,F684,'Istoric_Nativ'!$E$6:$E$405,G684,'Istoric_Nativ'!$D$6:$D$405,"&lt;"&amp;J684,'Istoric_Nativ'!$P$6:$P$405,1,'Istoric_Nativ'!$D$6:$D$405,"&gt;="&amp;L684)+COUNTIFS('Istoric_Nativ'!$B$6:$B$405,E684,'Istoric_Nativ'!$C$6:$C$405,F684,'Istoric_Nativ'!$F$6:$F$405,G684,'Istoric_Nativ'!$D$6:$D$405,"&lt;"&amp;J684,'Istoric_Nativ'!$P$6:$P$405,1,'Istoric_Nativ'!$D$6:$D$405,"&gt;="&amp;L684))))</x:f>
        <x:v>0</x:v>
      </x:c>
      <x:c r="N684" s="11" t="str">
        <x:f>IF(M684=0,"",IF(H684="HOME",SUMIFS('Istoric_Nativ'!$G$6:$G$405,'Istoric_Nativ'!$B$6:$B$405,E684,'Istoric_Nativ'!$C$6:$C$405,F684,'Istoric_Nativ'!$E$6:$E$405,G684,'Istoric_Nativ'!$D$6:$D$405,"&lt;"&amp;J684,'Istoric_Nativ'!$P$6:$P$405,1,'Istoric_Nativ'!$D$6:$D$405,"&gt;="&amp;L684),IF(H684="AWAY",SUMIFS('Istoric_Nativ'!$H$6:$H$405,'Istoric_Nativ'!$B$6:$B$405,E684,'Istoric_Nativ'!$C$6:$C$405,F684,'Istoric_Nativ'!$F$6:$F$405,G684,'Istoric_Nativ'!$D$6:$D$405,"&lt;"&amp;J684,'Istoric_Nativ'!$P$6:$P$405,1,'Istoric_Nativ'!$D$6:$D$405,"&gt;="&amp;L684),SUMIFS('Istoric_Nativ'!$G$6:$G$405,'Istoric_Nativ'!$B$6:$B$405,E684,'Istoric_Nativ'!$C$6:$C$405,F684,'Istoric_Nativ'!$E$6:$E$405,G684,'Istoric_Nativ'!$D$6:$D$405,"&lt;"&amp;J684,'Istoric_Nativ'!$P$6:$P$405,1,'Istoric_Nativ'!$D$6:$D$405,"&gt;="&amp;L684)+SUMIFS('Istoric_Nativ'!$H$6:$H$405,'Istoric_Nativ'!$B$6:$B$405,E684,'Istoric_Nativ'!$C$6:$C$405,F684,'Istoric_Nativ'!$F$6:$F$405,G684,'Istoric_Nativ'!$D$6:$D$405,"&lt;"&amp;J684,'Istoric_Nativ'!$P$6:$P$405,1,'Istoric_Nativ'!$D$6:$D$405,"&gt;="&amp;L684)))/M684)</x:f>
      </x:c>
      <x:c r="O684" s="11" t="str">
        <x:f>IF(M684=0,"",IF(H684="HOME",SUMIFS('Istoric_Nativ'!$H$6:$H$405,'Istoric_Nativ'!$B$6:$B$405,E684,'Istoric_Nativ'!$C$6:$C$405,F684,'Istoric_Nativ'!$E$6:$E$405,G684,'Istoric_Nativ'!$D$6:$D$405,"&lt;"&amp;J684,'Istoric_Nativ'!$P$6:$P$405,1,'Istoric_Nativ'!$D$6:$D$405,"&gt;="&amp;L684),IF(H684="AWAY",SUMIFS('Istoric_Nativ'!$G$6:$G$405,'Istoric_Nativ'!$B$6:$B$405,E684,'Istoric_Nativ'!$C$6:$C$405,F684,'Istoric_Nativ'!$F$6:$F$405,G684,'Istoric_Nativ'!$D$6:$D$405,"&lt;"&amp;J684,'Istoric_Nativ'!$P$6:$P$405,1,'Istoric_Nativ'!$D$6:$D$405,"&gt;="&amp;L684),SUMIFS('Istoric_Nativ'!$H$6:$H$405,'Istoric_Nativ'!$B$6:$B$405,E684,'Istoric_Nativ'!$C$6:$C$405,F684,'Istoric_Nativ'!$E$6:$E$405,G684,'Istoric_Nativ'!$D$6:$D$405,"&lt;"&amp;J684,'Istoric_Nativ'!$P$6:$P$405,1,'Istoric_Nativ'!$D$6:$D$405,"&gt;="&amp;L684)+SUMIFS('Istoric_Nativ'!$G$6:$G$405,'Istoric_Nativ'!$B$6:$B$405,E684,'Istoric_Nativ'!$C$6:$C$405,F684,'Istoric_Nativ'!$F$6:$F$405,G684,'Istoric_Nativ'!$D$6:$D$405,"&lt;"&amp;J684,'Istoric_Nativ'!$P$6:$P$405,1,'Istoric_Nativ'!$D$6:$D$405,"&gt;="&amp;L684)))/M684)</x:f>
      </x:c>
      <x:c r="P684" s="2" t="n">
        <x:f>'Config_v6'!$B$7</x:f>
        <x:v>10</x:v>
      </x:c>
      <x:c r="Q684" s="2" t="n">
        <x:f>IF(OR(B684="",F684=""),0,IFERROR(MATCH(E684&amp;"|"&amp;F684,SourceTable[Source_Key],0),0))</x:f>
        <x:v>0</x:v>
      </x:c>
      <x:c r="R684" s="2" t="str">
        <x:f>IF(B684="","",IF(F684="","UNUSED",IF(Q684=0,"NOT CHECKED",IF(COUNTIF(SourceTable[Source_Key],E684&amp;"|"&amp;F684)&lt;&gt;1,"SOURCE CONFLICT",IF(NOT(OR(INDEX(SourceTable[Status],MAX(1,Q684))="IMPORTED",INDEX(SourceTable[Status],MAX(1,Q684))="PARTIAL",INDEX(SourceTable[Status],MAX(1,Q684))="SOURCE CONFLICT")),"ACCESS BLOCKED",IF(OR(INDEX(SourceTable[Coverage],Q684)&lt;&gt;"FULL SEASON EXPORT",INDEX(SourceTable[URL],Q684)="",INDEX(SourceTable[SHA256],Q684)=""),"EVIDENCE INCOMPLETE",IF(AND('Input_Meci'!H62="LIVE",INDEX(SourceTable[Retrieved_UTC],Q684)&gt;'Input_Meci'!G62),"POST CUTOFF","CLOSED")))))))</x:f>
      </x:c>
      <x:c r="S684" s="2" t="n">
        <x:f>IF(OR(B684="",F684=""),0,COUNTIFS('Istoric_Nativ'!$B$6:$B$405,E684,'Istoric_Nativ'!$C$6:$C$405,F684,'Istoric_Nativ'!$E$6:$E$405,G684,'Istoric_Nativ'!$D$6:$D$405,"&lt;"&amp;J684,'Istoric_Nativ'!$O$6:$O$405,"INVALID")+COUNTIFS('Istoric_Nativ'!$B$6:$B$405,E684,'Istoric_Nativ'!$C$6:$C$405,F684,'Istoric_Nativ'!$E$6:$E$405,G684,'Istoric_Nativ'!$O$6:$O$405,"INVALID",'Istoric_Nativ'!$D$6:$D$405,"*")+COUNTIFS('Istoric_Nativ'!$B$6:$B$405,E684,'Istoric_Nativ'!$C$6:$C$405,F684,'Istoric_Nativ'!$E$6:$E$405,G684,'Istoric_Nativ'!$D$6:$D$405,"&lt;"&amp;J684,'Istoric_Nativ'!$O$6:$O$405,"SOURCE CONFLICT")+COUNTIFS('Istoric_Nativ'!$B$6:$B$405,E684,'Istoric_Nativ'!$C$6:$C$405,F684,'Istoric_Nativ'!$F$6:$F$405,G684,'Istoric_Nativ'!$D$6:$D$405,"&lt;"&amp;J684,'Istoric_Nativ'!$O$6:$O$405,"INVALID")+COUNTIFS('Istoric_Nativ'!$B$6:$B$405,E684,'Istoric_Nativ'!$C$6:$C$405,F684,'Istoric_Nativ'!$F$6:$F$405,G684,'Istoric_Nativ'!$O$6:$O$405,"INVALID",'Istoric_Nativ'!$D$6:$D$405,"*")+COUNTIFS('Istoric_Nativ'!$B$6:$B$405,E684,'Istoric_Nativ'!$C$6:$C$405,F684,'Istoric_Nativ'!$F$6:$F$405,G684,'Istoric_Nativ'!$D$6:$D$405,"&lt;"&amp;J684,'Istoric_Nativ'!$O$6:$O$405,"SOURCE CONFLICT"))</x:f>
        <x:v>0</x:v>
      </x:c>
      <x:c r="T684" s="2" t="str">
        <x:f>IF(B684="","",IF(R684&lt;&gt;"CLOSED",R684,IF(S684&gt;0,"NATIVE INPUT ISSUE",IF(M684=0,"NO HISTORY",IF(M684&lt;P684,"SMALL SAMPLE","DERIVED")))))</x:f>
      </x:c>
      <x:c r="U684" s="2" t="str">
        <x:f>IF(B684="","","NativeTable; "&amp;E684&amp;"; "&amp;F684&amp;"; "&amp;G684&amp;"; "&amp;H684&amp;"; before "&amp;TEXT(J684,"yyyy-mm-dd")&amp;IF(I684="RECENT","; from "&amp;TEXT(L684,"yyyy-mm-dd"),""))</x:f>
      </x:c>
    </x:row>
    <x:row r="685" ht="21" customHeight="1">
      <x:c r="A685" s="2" t="n">
        <x:v>57</x:v>
      </x:c>
      <x:c r="B685" s="2" t="str">
        <x:f>IF('Input_Meci'!A62="","",'Input_Meci'!A62)</x:f>
      </x:c>
      <x:c r="C685" s="2" t="str">
        <x:v>H</x:v>
      </x:c>
      <x:c r="D685" s="2" t="str">
        <x:v>PRIOR</x:v>
      </x:c>
      <x:c r="E685" s="2" t="str">
        <x:f>IF(B685="","",'Input_Meci'!B62)</x:f>
      </x:c>
      <x:c r="F685" s="2" t="str">
        <x:f>IF(B685="","",IF('Input_Meci'!K62="","",'Input_Meci'!K62))</x:f>
      </x:c>
      <x:c r="G685" s="2" t="str">
        <x:f>IF(B685="","",'Input_Meci'!D62)</x:f>
      </x:c>
      <x:c r="H685" s="2" t="str">
        <x:v>HOME</x:v>
      </x:c>
      <x:c r="I685" s="2" t="str">
        <x:v>HA</x:v>
      </x:c>
      <x:c r="J685" s="9" t="n">
        <x:f>IF(AND(B685&lt;&gt;"",ISNUMBER('Input_Meci'!G62)),INT('Input_Meci'!G62),0)</x:f>
        <x:v>0</x:v>
      </x:c>
      <x:c r="K685" s="2" t="n">
        <x:f>IF(OR(B685="",F685=""),0,IF(H685="HOME",COUNTIFS('Istoric_Nativ'!$B$6:$B$405,E685,'Istoric_Nativ'!$C$6:$C$405,F685,'Istoric_Nativ'!$E$6:$E$405,G685,'Istoric_Nativ'!$D$6:$D$405,"&lt;"&amp;J685,'Istoric_Nativ'!$P$6:$P$405,1),IF(H685="AWAY",COUNTIFS('Istoric_Nativ'!$B$6:$B$405,E685,'Istoric_Nativ'!$C$6:$C$405,F685,'Istoric_Nativ'!$F$6:$F$405,G685,'Istoric_Nativ'!$D$6:$D$405,"&lt;"&amp;J685,'Istoric_Nativ'!$P$6:$P$405,1),COUNTIFS('Istoric_Nativ'!$B$6:$B$405,E685,'Istoric_Nativ'!$C$6:$C$405,F685,'Istoric_Nativ'!$E$6:$E$405,G685,'Istoric_Nativ'!$D$6:$D$405,"&lt;"&amp;J685,'Istoric_Nativ'!$P$6:$P$405,1)+COUNTIFS('Istoric_Nativ'!$B$6:$B$405,E685,'Istoric_Nativ'!$C$6:$C$405,F685,'Istoric_Nativ'!$F$6:$F$405,G685,'Istoric_Nativ'!$D$6:$D$405,"&lt;"&amp;J685,'Istoric_Nativ'!$P$6:$P$405,1))))</x:f>
        <x:v>0</x:v>
      </x:c>
      <x:c r="L685" s="17" t="n">
        <x:f>IF(AND(B685&lt;&gt;"",I685="RECENT",K685&gt;0),LARGE(_xlfn._xlws.FILTER('Istoric_Nativ'!$D$6:$D$405,('Istoric_Nativ'!$B$6:$B$405=E685)*('Istoric_Nativ'!$C$6:$C$405=F685)*('Istoric_Nativ'!$P$6:$P$405=1)*('Istoric_Nativ'!$D$6:$D$405&lt;J685)*((('Istoric_Nativ'!$E$6:$E$405=G685)+('Istoric_Nativ'!$F$6:$F$405=G685))&gt;0)),MIN('Config_v6'!$B$54,K685)),0)</x:f>
        <x:v>0</x:v>
      </x:c>
      <x:c r="M685" s="2" t="n">
        <x:f>IF(OR(B685="",F685=""),0,IF(H685="HOME",COUNTIFS('Istoric_Nativ'!$B$6:$B$405,E685,'Istoric_Nativ'!$C$6:$C$405,F685,'Istoric_Nativ'!$E$6:$E$405,G685,'Istoric_Nativ'!$D$6:$D$405,"&lt;"&amp;J685,'Istoric_Nativ'!$P$6:$P$405,1,'Istoric_Nativ'!$D$6:$D$405,"&gt;="&amp;L685),IF(H685="AWAY",COUNTIFS('Istoric_Nativ'!$B$6:$B$405,E685,'Istoric_Nativ'!$C$6:$C$405,F685,'Istoric_Nativ'!$F$6:$F$405,G685,'Istoric_Nativ'!$D$6:$D$405,"&lt;"&amp;J685,'Istoric_Nativ'!$P$6:$P$405,1,'Istoric_Nativ'!$D$6:$D$405,"&gt;="&amp;L685),COUNTIFS('Istoric_Nativ'!$B$6:$B$405,E685,'Istoric_Nativ'!$C$6:$C$405,F685,'Istoric_Nativ'!$E$6:$E$405,G685,'Istoric_Nativ'!$D$6:$D$405,"&lt;"&amp;J685,'Istoric_Nativ'!$P$6:$P$405,1,'Istoric_Nativ'!$D$6:$D$405,"&gt;="&amp;L685)+COUNTIFS('Istoric_Nativ'!$B$6:$B$405,E685,'Istoric_Nativ'!$C$6:$C$405,F685,'Istoric_Nativ'!$F$6:$F$405,G685,'Istoric_Nativ'!$D$6:$D$405,"&lt;"&amp;J685,'Istoric_Nativ'!$P$6:$P$405,1,'Istoric_Nativ'!$D$6:$D$405,"&gt;="&amp;L685))))</x:f>
        <x:v>0</x:v>
      </x:c>
      <x:c r="N685" s="11" t="str">
        <x:f>IF(M685=0,"",IF(H685="HOME",SUMIFS('Istoric_Nativ'!$G$6:$G$405,'Istoric_Nativ'!$B$6:$B$405,E685,'Istoric_Nativ'!$C$6:$C$405,F685,'Istoric_Nativ'!$E$6:$E$405,G685,'Istoric_Nativ'!$D$6:$D$405,"&lt;"&amp;J685,'Istoric_Nativ'!$P$6:$P$405,1,'Istoric_Nativ'!$D$6:$D$405,"&gt;="&amp;L685),IF(H685="AWAY",SUMIFS('Istoric_Nativ'!$H$6:$H$405,'Istoric_Nativ'!$B$6:$B$405,E685,'Istoric_Nativ'!$C$6:$C$405,F685,'Istoric_Nativ'!$F$6:$F$405,G685,'Istoric_Nativ'!$D$6:$D$405,"&lt;"&amp;J685,'Istoric_Nativ'!$P$6:$P$405,1,'Istoric_Nativ'!$D$6:$D$405,"&gt;="&amp;L685),SUMIFS('Istoric_Nativ'!$G$6:$G$405,'Istoric_Nativ'!$B$6:$B$405,E685,'Istoric_Nativ'!$C$6:$C$405,F685,'Istoric_Nativ'!$E$6:$E$405,G685,'Istoric_Nativ'!$D$6:$D$405,"&lt;"&amp;J685,'Istoric_Nativ'!$P$6:$P$405,1,'Istoric_Nativ'!$D$6:$D$405,"&gt;="&amp;L685)+SUMIFS('Istoric_Nativ'!$H$6:$H$405,'Istoric_Nativ'!$B$6:$B$405,E685,'Istoric_Nativ'!$C$6:$C$405,F685,'Istoric_Nativ'!$F$6:$F$405,G685,'Istoric_Nativ'!$D$6:$D$405,"&lt;"&amp;J685,'Istoric_Nativ'!$P$6:$P$405,1,'Istoric_Nativ'!$D$6:$D$405,"&gt;="&amp;L685)))/M685)</x:f>
      </x:c>
      <x:c r="O685" s="11" t="str">
        <x:f>IF(M685=0,"",IF(H685="HOME",SUMIFS('Istoric_Nativ'!$H$6:$H$405,'Istoric_Nativ'!$B$6:$B$405,E685,'Istoric_Nativ'!$C$6:$C$405,F685,'Istoric_Nativ'!$E$6:$E$405,G685,'Istoric_Nativ'!$D$6:$D$405,"&lt;"&amp;J685,'Istoric_Nativ'!$P$6:$P$405,1,'Istoric_Nativ'!$D$6:$D$405,"&gt;="&amp;L685),IF(H685="AWAY",SUMIFS('Istoric_Nativ'!$G$6:$G$405,'Istoric_Nativ'!$B$6:$B$405,E685,'Istoric_Nativ'!$C$6:$C$405,F685,'Istoric_Nativ'!$F$6:$F$405,G685,'Istoric_Nativ'!$D$6:$D$405,"&lt;"&amp;J685,'Istoric_Nativ'!$P$6:$P$405,1,'Istoric_Nativ'!$D$6:$D$405,"&gt;="&amp;L685),SUMIFS('Istoric_Nativ'!$H$6:$H$405,'Istoric_Nativ'!$B$6:$B$405,E685,'Istoric_Nativ'!$C$6:$C$405,F685,'Istoric_Nativ'!$E$6:$E$405,G685,'Istoric_Nativ'!$D$6:$D$405,"&lt;"&amp;J685,'Istoric_Nativ'!$P$6:$P$405,1,'Istoric_Nativ'!$D$6:$D$405,"&gt;="&amp;L685)+SUMIFS('Istoric_Nativ'!$G$6:$G$405,'Istoric_Nativ'!$B$6:$B$405,E685,'Istoric_Nativ'!$C$6:$C$405,F685,'Istoric_Nativ'!$F$6:$F$405,G685,'Istoric_Nativ'!$D$6:$D$405,"&lt;"&amp;J685,'Istoric_Nativ'!$P$6:$P$405,1,'Istoric_Nativ'!$D$6:$D$405,"&gt;="&amp;L685)))/M685)</x:f>
      </x:c>
      <x:c r="P685" s="2" t="n">
        <x:f>'Config_v6'!$B$8</x:f>
        <x:v>5</x:v>
      </x:c>
      <x:c r="Q685" s="2" t="n">
        <x:f>IF(OR(B685="",F685=""),0,IFERROR(MATCH(E685&amp;"|"&amp;F685,SourceTable[Source_Key],0),0))</x:f>
        <x:v>0</x:v>
      </x:c>
      <x:c r="R685" s="2" t="str">
        <x:f>IF(B685="","",IF(F685="","UNUSED",IF(Q685=0,"NOT CHECKED",IF(COUNTIF(SourceTable[Source_Key],E685&amp;"|"&amp;F685)&lt;&gt;1,"SOURCE CONFLICT",IF(NOT(OR(INDEX(SourceTable[Status],MAX(1,Q685))="IMPORTED",INDEX(SourceTable[Status],MAX(1,Q685))="PARTIAL",INDEX(SourceTable[Status],MAX(1,Q685))="SOURCE CONFLICT")),"ACCESS BLOCKED",IF(OR(INDEX(SourceTable[Coverage],Q685)&lt;&gt;"FULL SEASON EXPORT",INDEX(SourceTable[URL],Q685)="",INDEX(SourceTable[SHA256],Q685)=""),"EVIDENCE INCOMPLETE",IF(AND('Input_Meci'!H62="LIVE",INDEX(SourceTable[Retrieved_UTC],Q685)&gt;'Input_Meci'!G62),"POST CUTOFF","CLOSED")))))))</x:f>
      </x:c>
      <x:c r="S685" s="2" t="n">
        <x:f>IF(OR(B685="",F685=""),0,COUNTIFS('Istoric_Nativ'!$B$6:$B$405,E685,'Istoric_Nativ'!$C$6:$C$405,F685,'Istoric_Nativ'!$E$6:$E$405,G685,'Istoric_Nativ'!$D$6:$D$405,"&lt;"&amp;J685,'Istoric_Nativ'!$O$6:$O$405,"INVALID")+COUNTIFS('Istoric_Nativ'!$B$6:$B$405,E685,'Istoric_Nativ'!$C$6:$C$405,F685,'Istoric_Nativ'!$E$6:$E$405,G685,'Istoric_Nativ'!$O$6:$O$405,"INVALID",'Istoric_Nativ'!$D$6:$D$405,"*")+COUNTIFS('Istoric_Nativ'!$B$6:$B$405,E685,'Istoric_Nativ'!$C$6:$C$405,F685,'Istoric_Nativ'!$E$6:$E$405,G685,'Istoric_Nativ'!$D$6:$D$405,"&lt;"&amp;J685,'Istoric_Nativ'!$O$6:$O$405,"SOURCE CONFLICT")+COUNTIFS('Istoric_Nativ'!$B$6:$B$405,E685,'Istoric_Nativ'!$C$6:$C$405,F685,'Istoric_Nativ'!$F$6:$F$405,G685,'Istoric_Nativ'!$D$6:$D$405,"&lt;"&amp;J685,'Istoric_Nativ'!$O$6:$O$405,"INVALID")+COUNTIFS('Istoric_Nativ'!$B$6:$B$405,E685,'Istoric_Nativ'!$C$6:$C$405,F685,'Istoric_Nativ'!$F$6:$F$405,G685,'Istoric_Nativ'!$O$6:$O$405,"INVALID",'Istoric_Nativ'!$D$6:$D$405,"*")+COUNTIFS('Istoric_Nativ'!$B$6:$B$405,E685,'Istoric_Nativ'!$C$6:$C$405,F685,'Istoric_Nativ'!$F$6:$F$405,G685,'Istoric_Nativ'!$D$6:$D$405,"&lt;"&amp;J685,'Istoric_Nativ'!$O$6:$O$405,"SOURCE CONFLICT"))</x:f>
        <x:v>0</x:v>
      </x:c>
      <x:c r="T685" s="2" t="str">
        <x:f>IF(B685="","",IF(R685&lt;&gt;"CLOSED",R685,IF(S685&gt;0,"NATIVE INPUT ISSUE",IF(M685=0,"NO HISTORY",IF(M685&lt;P685,"SMALL SAMPLE","DERIVED")))))</x:f>
      </x:c>
      <x:c r="U685" s="2" t="str">
        <x:f>IF(B685="","","NativeTable; "&amp;E685&amp;"; "&amp;F685&amp;"; "&amp;G685&amp;"; "&amp;H685&amp;"; before "&amp;TEXT(J685,"yyyy-mm-dd")&amp;IF(I685="RECENT","; from "&amp;TEXT(L685,"yyyy-mm-dd"),""))</x:f>
      </x:c>
    </x:row>
    <x:row r="686" ht="21" customHeight="1">
      <x:c r="A686" s="2" t="n">
        <x:v>57</x:v>
      </x:c>
      <x:c r="B686" s="2" t="str">
        <x:f>IF('Input_Meci'!A62="","",'Input_Meci'!A62)</x:f>
      </x:c>
      <x:c r="C686" s="2" t="str">
        <x:v>H</x:v>
      </x:c>
      <x:c r="D686" s="2" t="str">
        <x:v>PRIOR</x:v>
      </x:c>
      <x:c r="E686" s="2" t="str">
        <x:f>IF(B686="","",'Input_Meci'!B62)</x:f>
      </x:c>
      <x:c r="F686" s="2" t="str">
        <x:f>IF(B686="","",IF('Input_Meci'!K62="","",'Input_Meci'!K62))</x:f>
      </x:c>
      <x:c r="G686" s="2" t="str">
        <x:f>IF(B686="","",'Input_Meci'!D62)</x:f>
      </x:c>
      <x:c r="H686" s="2" t="str">
        <x:v>ANY</x:v>
      </x:c>
      <x:c r="I686" s="2" t="str">
        <x:v>RECENT</x:v>
      </x:c>
      <x:c r="J686" s="9" t="n">
        <x:f>IF(AND(B686&lt;&gt;"",ISNUMBER('Input_Meci'!G62)),INT('Input_Meci'!G62),0)</x:f>
        <x:v>0</x:v>
      </x:c>
      <x:c r="K686" s="2" t="n">
        <x:f>IF(OR(B686="",F686=""),0,IF(H686="HOME",COUNTIFS('Istoric_Nativ'!$B$6:$B$405,E686,'Istoric_Nativ'!$C$6:$C$405,F686,'Istoric_Nativ'!$E$6:$E$405,G686,'Istoric_Nativ'!$D$6:$D$405,"&lt;"&amp;J686,'Istoric_Nativ'!$P$6:$P$405,1),IF(H686="AWAY",COUNTIFS('Istoric_Nativ'!$B$6:$B$405,E686,'Istoric_Nativ'!$C$6:$C$405,F686,'Istoric_Nativ'!$F$6:$F$405,G686,'Istoric_Nativ'!$D$6:$D$405,"&lt;"&amp;J686,'Istoric_Nativ'!$P$6:$P$405,1),COUNTIFS('Istoric_Nativ'!$B$6:$B$405,E686,'Istoric_Nativ'!$C$6:$C$405,F686,'Istoric_Nativ'!$E$6:$E$405,G686,'Istoric_Nativ'!$D$6:$D$405,"&lt;"&amp;J686,'Istoric_Nativ'!$P$6:$P$405,1)+COUNTIFS('Istoric_Nativ'!$B$6:$B$405,E686,'Istoric_Nativ'!$C$6:$C$405,F686,'Istoric_Nativ'!$F$6:$F$405,G686,'Istoric_Nativ'!$D$6:$D$405,"&lt;"&amp;J686,'Istoric_Nativ'!$P$6:$P$405,1))))</x:f>
        <x:v>0</x:v>
      </x:c>
      <x:c r="L686" s="17" t="n">
        <x:f>IF(AND(B686&lt;&gt;"",I686="RECENT",K686&gt;0),LARGE(_xlfn._xlws.FILTER('Istoric_Nativ'!$D$6:$D$405,('Istoric_Nativ'!$B$6:$B$405=E686)*('Istoric_Nativ'!$C$6:$C$405=F686)*('Istoric_Nativ'!$P$6:$P$405=1)*('Istoric_Nativ'!$D$6:$D$405&lt;J686)*((('Istoric_Nativ'!$E$6:$E$405=G686)+('Istoric_Nativ'!$F$6:$F$405=G686))&gt;0)),MIN('Config_v6'!$B$54,K686)),0)</x:f>
        <x:v>0</x:v>
      </x:c>
      <x:c r="M686" s="2" t="n">
        <x:f>IF(OR(B686="",F686=""),0,IF(H686="HOME",COUNTIFS('Istoric_Nativ'!$B$6:$B$405,E686,'Istoric_Nativ'!$C$6:$C$405,F686,'Istoric_Nativ'!$E$6:$E$405,G686,'Istoric_Nativ'!$D$6:$D$405,"&lt;"&amp;J686,'Istoric_Nativ'!$P$6:$P$405,1,'Istoric_Nativ'!$D$6:$D$405,"&gt;="&amp;L686),IF(H686="AWAY",COUNTIFS('Istoric_Nativ'!$B$6:$B$405,E686,'Istoric_Nativ'!$C$6:$C$405,F686,'Istoric_Nativ'!$F$6:$F$405,G686,'Istoric_Nativ'!$D$6:$D$405,"&lt;"&amp;J686,'Istoric_Nativ'!$P$6:$P$405,1,'Istoric_Nativ'!$D$6:$D$405,"&gt;="&amp;L686),COUNTIFS('Istoric_Nativ'!$B$6:$B$405,E686,'Istoric_Nativ'!$C$6:$C$405,F686,'Istoric_Nativ'!$E$6:$E$405,G686,'Istoric_Nativ'!$D$6:$D$405,"&lt;"&amp;J686,'Istoric_Nativ'!$P$6:$P$405,1,'Istoric_Nativ'!$D$6:$D$405,"&gt;="&amp;L686)+COUNTIFS('Istoric_Nativ'!$B$6:$B$405,E686,'Istoric_Nativ'!$C$6:$C$405,F686,'Istoric_Nativ'!$F$6:$F$405,G686,'Istoric_Nativ'!$D$6:$D$405,"&lt;"&amp;J686,'Istoric_Nativ'!$P$6:$P$405,1,'Istoric_Nativ'!$D$6:$D$405,"&gt;="&amp;L686))))</x:f>
        <x:v>0</x:v>
      </x:c>
      <x:c r="N686" s="11" t="str">
        <x:f>IF(M686=0,"",IF(H686="HOME",SUMIFS('Istoric_Nativ'!$G$6:$G$405,'Istoric_Nativ'!$B$6:$B$405,E686,'Istoric_Nativ'!$C$6:$C$405,F686,'Istoric_Nativ'!$E$6:$E$405,G686,'Istoric_Nativ'!$D$6:$D$405,"&lt;"&amp;J686,'Istoric_Nativ'!$P$6:$P$405,1,'Istoric_Nativ'!$D$6:$D$405,"&gt;="&amp;L686),IF(H686="AWAY",SUMIFS('Istoric_Nativ'!$H$6:$H$405,'Istoric_Nativ'!$B$6:$B$405,E686,'Istoric_Nativ'!$C$6:$C$405,F686,'Istoric_Nativ'!$F$6:$F$405,G686,'Istoric_Nativ'!$D$6:$D$405,"&lt;"&amp;J686,'Istoric_Nativ'!$P$6:$P$405,1,'Istoric_Nativ'!$D$6:$D$405,"&gt;="&amp;L686),SUMIFS('Istoric_Nativ'!$G$6:$G$405,'Istoric_Nativ'!$B$6:$B$405,E686,'Istoric_Nativ'!$C$6:$C$405,F686,'Istoric_Nativ'!$E$6:$E$405,G686,'Istoric_Nativ'!$D$6:$D$405,"&lt;"&amp;J686,'Istoric_Nativ'!$P$6:$P$405,1,'Istoric_Nativ'!$D$6:$D$405,"&gt;="&amp;L686)+SUMIFS('Istoric_Nativ'!$H$6:$H$405,'Istoric_Nativ'!$B$6:$B$405,E686,'Istoric_Nativ'!$C$6:$C$405,F686,'Istoric_Nativ'!$F$6:$F$405,G686,'Istoric_Nativ'!$D$6:$D$405,"&lt;"&amp;J686,'Istoric_Nativ'!$P$6:$P$405,1,'Istoric_Nativ'!$D$6:$D$405,"&gt;="&amp;L686)))/M686)</x:f>
      </x:c>
      <x:c r="O686" s="11" t="str">
        <x:f>IF(M686=0,"",IF(H686="HOME",SUMIFS('Istoric_Nativ'!$H$6:$H$405,'Istoric_Nativ'!$B$6:$B$405,E686,'Istoric_Nativ'!$C$6:$C$405,F686,'Istoric_Nativ'!$E$6:$E$405,G686,'Istoric_Nativ'!$D$6:$D$405,"&lt;"&amp;J686,'Istoric_Nativ'!$P$6:$P$405,1,'Istoric_Nativ'!$D$6:$D$405,"&gt;="&amp;L686),IF(H686="AWAY",SUMIFS('Istoric_Nativ'!$G$6:$G$405,'Istoric_Nativ'!$B$6:$B$405,E686,'Istoric_Nativ'!$C$6:$C$405,F686,'Istoric_Nativ'!$F$6:$F$405,G686,'Istoric_Nativ'!$D$6:$D$405,"&lt;"&amp;J686,'Istoric_Nativ'!$P$6:$P$405,1,'Istoric_Nativ'!$D$6:$D$405,"&gt;="&amp;L686),SUMIFS('Istoric_Nativ'!$H$6:$H$405,'Istoric_Nativ'!$B$6:$B$405,E686,'Istoric_Nativ'!$C$6:$C$405,F686,'Istoric_Nativ'!$E$6:$E$405,G686,'Istoric_Nativ'!$D$6:$D$405,"&lt;"&amp;J686,'Istoric_Nativ'!$P$6:$P$405,1,'Istoric_Nativ'!$D$6:$D$405,"&gt;="&amp;L686)+SUMIFS('Istoric_Nativ'!$G$6:$G$405,'Istoric_Nativ'!$B$6:$B$405,E686,'Istoric_Nativ'!$C$6:$C$405,F686,'Istoric_Nativ'!$F$6:$F$405,G686,'Istoric_Nativ'!$D$6:$D$405,"&lt;"&amp;J686,'Istoric_Nativ'!$P$6:$P$405,1,'Istoric_Nativ'!$D$6:$D$405,"&gt;="&amp;L686)))/M686)</x:f>
      </x:c>
      <x:c r="P686" s="2" t="n">
        <x:f>'Config_v6'!$B$9</x:f>
        <x:v>3</x:v>
      </x:c>
      <x:c r="Q686" s="2" t="n">
        <x:f>IF(OR(B686="",F686=""),0,IFERROR(MATCH(E686&amp;"|"&amp;F686,SourceTable[Source_Key],0),0))</x:f>
        <x:v>0</x:v>
      </x:c>
      <x:c r="R686" s="2" t="str">
        <x:f>IF(B686="","",IF(F686="","UNUSED",IF(Q686=0,"NOT CHECKED",IF(COUNTIF(SourceTable[Source_Key],E686&amp;"|"&amp;F686)&lt;&gt;1,"SOURCE CONFLICT",IF(NOT(OR(INDEX(SourceTable[Status],MAX(1,Q686))="IMPORTED",INDEX(SourceTable[Status],MAX(1,Q686))="PARTIAL",INDEX(SourceTable[Status],MAX(1,Q686))="SOURCE CONFLICT")),"ACCESS BLOCKED",IF(OR(INDEX(SourceTable[Coverage],Q686)&lt;&gt;"FULL SEASON EXPORT",INDEX(SourceTable[URL],Q686)="",INDEX(SourceTable[SHA256],Q686)=""),"EVIDENCE INCOMPLETE",IF(AND('Input_Meci'!H62="LIVE",INDEX(SourceTable[Retrieved_UTC],Q686)&gt;'Input_Meci'!G62),"POST CUTOFF","CLOSED")))))))</x:f>
      </x:c>
      <x:c r="S686" s="2" t="n">
        <x:f>IF(OR(B686="",F686=""),0,COUNTIFS('Istoric_Nativ'!$B$6:$B$405,E686,'Istoric_Nativ'!$C$6:$C$405,F686,'Istoric_Nativ'!$E$6:$E$405,G686,'Istoric_Nativ'!$D$6:$D$405,"&lt;"&amp;J686,'Istoric_Nativ'!$O$6:$O$405,"INVALID")+COUNTIFS('Istoric_Nativ'!$B$6:$B$405,E686,'Istoric_Nativ'!$C$6:$C$405,F686,'Istoric_Nativ'!$E$6:$E$405,G686,'Istoric_Nativ'!$O$6:$O$405,"INVALID",'Istoric_Nativ'!$D$6:$D$405,"*")+COUNTIFS('Istoric_Nativ'!$B$6:$B$405,E686,'Istoric_Nativ'!$C$6:$C$405,F686,'Istoric_Nativ'!$E$6:$E$405,G686,'Istoric_Nativ'!$D$6:$D$405,"&lt;"&amp;J686,'Istoric_Nativ'!$O$6:$O$405,"SOURCE CONFLICT")+COUNTIFS('Istoric_Nativ'!$B$6:$B$405,E686,'Istoric_Nativ'!$C$6:$C$405,F686,'Istoric_Nativ'!$F$6:$F$405,G686,'Istoric_Nativ'!$D$6:$D$405,"&lt;"&amp;J686,'Istoric_Nativ'!$O$6:$O$405,"INVALID")+COUNTIFS('Istoric_Nativ'!$B$6:$B$405,E686,'Istoric_Nativ'!$C$6:$C$405,F686,'Istoric_Nativ'!$F$6:$F$405,G686,'Istoric_Nativ'!$O$6:$O$405,"INVALID",'Istoric_Nativ'!$D$6:$D$405,"*")+COUNTIFS('Istoric_Nativ'!$B$6:$B$405,E686,'Istoric_Nativ'!$C$6:$C$405,F686,'Istoric_Nativ'!$F$6:$F$405,G686,'Istoric_Nativ'!$D$6:$D$405,"&lt;"&amp;J686,'Istoric_Nativ'!$O$6:$O$405,"SOURCE CONFLICT"))</x:f>
        <x:v>0</x:v>
      </x:c>
      <x:c r="T686" s="2" t="str">
        <x:f>IF(B686="","",IF(R686&lt;&gt;"CLOSED",R686,IF(S686&gt;0,"NATIVE INPUT ISSUE",IF(M686=0,"NO HISTORY",IF(M686&lt;P686,"SMALL SAMPLE","DERIVED")))))</x:f>
      </x:c>
      <x:c r="U686" s="2" t="str">
        <x:f>IF(B686="","","NativeTable; "&amp;E686&amp;"; "&amp;F686&amp;"; "&amp;G686&amp;"; "&amp;H686&amp;"; before "&amp;TEXT(J686,"yyyy-mm-dd")&amp;IF(I686="RECENT","; from "&amp;TEXT(L686,"yyyy-mm-dd"),""))</x:f>
      </x:c>
    </x:row>
    <x:row r="687" ht="21" customHeight="1">
      <x:c r="A687" s="2" t="n">
        <x:v>57</x:v>
      </x:c>
      <x:c r="B687" s="2" t="str">
        <x:f>IF('Input_Meci'!A62="","",'Input_Meci'!A62)</x:f>
      </x:c>
      <x:c r="C687" s="2" t="str">
        <x:v>A</x:v>
      </x:c>
      <x:c r="D687" s="2" t="str">
        <x:v>PRIOR</x:v>
      </x:c>
      <x:c r="E687" s="2" t="str">
        <x:f>IF(B687="","",'Input_Meci'!B62)</x:f>
      </x:c>
      <x:c r="F687" s="2" t="str">
        <x:f>IF(B687="","",IF('Input_Meci'!K62="","",'Input_Meci'!K62))</x:f>
      </x:c>
      <x:c r="G687" s="2" t="str">
        <x:f>IF(B687="","",'Input_Meci'!E62)</x:f>
      </x:c>
      <x:c r="H687" s="2" t="str">
        <x:v>ANY</x:v>
      </x:c>
      <x:c r="I687" s="2" t="str">
        <x:v>SEASON</x:v>
      </x:c>
      <x:c r="J687" s="9" t="n">
        <x:f>IF(AND(B687&lt;&gt;"",ISNUMBER('Input_Meci'!G62)),INT('Input_Meci'!G62),0)</x:f>
        <x:v>0</x:v>
      </x:c>
      <x:c r="K687" s="2" t="n">
        <x:f>IF(OR(B687="",F687=""),0,IF(H687="HOME",COUNTIFS('Istoric_Nativ'!$B$6:$B$405,E687,'Istoric_Nativ'!$C$6:$C$405,F687,'Istoric_Nativ'!$E$6:$E$405,G687,'Istoric_Nativ'!$D$6:$D$405,"&lt;"&amp;J687,'Istoric_Nativ'!$P$6:$P$405,1),IF(H687="AWAY",COUNTIFS('Istoric_Nativ'!$B$6:$B$405,E687,'Istoric_Nativ'!$C$6:$C$405,F687,'Istoric_Nativ'!$F$6:$F$405,G687,'Istoric_Nativ'!$D$6:$D$405,"&lt;"&amp;J687,'Istoric_Nativ'!$P$6:$P$405,1),COUNTIFS('Istoric_Nativ'!$B$6:$B$405,E687,'Istoric_Nativ'!$C$6:$C$405,F687,'Istoric_Nativ'!$E$6:$E$405,G687,'Istoric_Nativ'!$D$6:$D$405,"&lt;"&amp;J687,'Istoric_Nativ'!$P$6:$P$405,1)+COUNTIFS('Istoric_Nativ'!$B$6:$B$405,E687,'Istoric_Nativ'!$C$6:$C$405,F687,'Istoric_Nativ'!$F$6:$F$405,G687,'Istoric_Nativ'!$D$6:$D$405,"&lt;"&amp;J687,'Istoric_Nativ'!$P$6:$P$405,1))))</x:f>
        <x:v>0</x:v>
      </x:c>
      <x:c r="L687" s="17" t="n">
        <x:f>IF(AND(B687&lt;&gt;"",I687="RECENT",K687&gt;0),LARGE(_xlfn._xlws.FILTER('Istoric_Nativ'!$D$6:$D$405,('Istoric_Nativ'!$B$6:$B$405=E687)*('Istoric_Nativ'!$C$6:$C$405=F687)*('Istoric_Nativ'!$P$6:$P$405=1)*('Istoric_Nativ'!$D$6:$D$405&lt;J687)*((('Istoric_Nativ'!$E$6:$E$405=G687)+('Istoric_Nativ'!$F$6:$F$405=G687))&gt;0)),MIN('Config_v6'!$B$54,K687)),0)</x:f>
        <x:v>0</x:v>
      </x:c>
      <x:c r="M687" s="2" t="n">
        <x:f>IF(OR(B687="",F687=""),0,IF(H687="HOME",COUNTIFS('Istoric_Nativ'!$B$6:$B$405,E687,'Istoric_Nativ'!$C$6:$C$405,F687,'Istoric_Nativ'!$E$6:$E$405,G687,'Istoric_Nativ'!$D$6:$D$405,"&lt;"&amp;J687,'Istoric_Nativ'!$P$6:$P$405,1,'Istoric_Nativ'!$D$6:$D$405,"&gt;="&amp;L687),IF(H687="AWAY",COUNTIFS('Istoric_Nativ'!$B$6:$B$405,E687,'Istoric_Nativ'!$C$6:$C$405,F687,'Istoric_Nativ'!$F$6:$F$405,G687,'Istoric_Nativ'!$D$6:$D$405,"&lt;"&amp;J687,'Istoric_Nativ'!$P$6:$P$405,1,'Istoric_Nativ'!$D$6:$D$405,"&gt;="&amp;L687),COUNTIFS('Istoric_Nativ'!$B$6:$B$405,E687,'Istoric_Nativ'!$C$6:$C$405,F687,'Istoric_Nativ'!$E$6:$E$405,G687,'Istoric_Nativ'!$D$6:$D$405,"&lt;"&amp;J687,'Istoric_Nativ'!$P$6:$P$405,1,'Istoric_Nativ'!$D$6:$D$405,"&gt;="&amp;L687)+COUNTIFS('Istoric_Nativ'!$B$6:$B$405,E687,'Istoric_Nativ'!$C$6:$C$405,F687,'Istoric_Nativ'!$F$6:$F$405,G687,'Istoric_Nativ'!$D$6:$D$405,"&lt;"&amp;J687,'Istoric_Nativ'!$P$6:$P$405,1,'Istoric_Nativ'!$D$6:$D$405,"&gt;="&amp;L687))))</x:f>
        <x:v>0</x:v>
      </x:c>
      <x:c r="N687" s="11" t="str">
        <x:f>IF(M687=0,"",IF(H687="HOME",SUMIFS('Istoric_Nativ'!$G$6:$G$405,'Istoric_Nativ'!$B$6:$B$405,E687,'Istoric_Nativ'!$C$6:$C$405,F687,'Istoric_Nativ'!$E$6:$E$405,G687,'Istoric_Nativ'!$D$6:$D$405,"&lt;"&amp;J687,'Istoric_Nativ'!$P$6:$P$405,1,'Istoric_Nativ'!$D$6:$D$405,"&gt;="&amp;L687),IF(H687="AWAY",SUMIFS('Istoric_Nativ'!$H$6:$H$405,'Istoric_Nativ'!$B$6:$B$405,E687,'Istoric_Nativ'!$C$6:$C$405,F687,'Istoric_Nativ'!$F$6:$F$405,G687,'Istoric_Nativ'!$D$6:$D$405,"&lt;"&amp;J687,'Istoric_Nativ'!$P$6:$P$405,1,'Istoric_Nativ'!$D$6:$D$405,"&gt;="&amp;L687),SUMIFS('Istoric_Nativ'!$G$6:$G$405,'Istoric_Nativ'!$B$6:$B$405,E687,'Istoric_Nativ'!$C$6:$C$405,F687,'Istoric_Nativ'!$E$6:$E$405,G687,'Istoric_Nativ'!$D$6:$D$405,"&lt;"&amp;J687,'Istoric_Nativ'!$P$6:$P$405,1,'Istoric_Nativ'!$D$6:$D$405,"&gt;="&amp;L687)+SUMIFS('Istoric_Nativ'!$H$6:$H$405,'Istoric_Nativ'!$B$6:$B$405,E687,'Istoric_Nativ'!$C$6:$C$405,F687,'Istoric_Nativ'!$F$6:$F$405,G687,'Istoric_Nativ'!$D$6:$D$405,"&lt;"&amp;J687,'Istoric_Nativ'!$P$6:$P$405,1,'Istoric_Nativ'!$D$6:$D$405,"&gt;="&amp;L687)))/M687)</x:f>
      </x:c>
      <x:c r="O687" s="11" t="str">
        <x:f>IF(M687=0,"",IF(H687="HOME",SUMIFS('Istoric_Nativ'!$H$6:$H$405,'Istoric_Nativ'!$B$6:$B$405,E687,'Istoric_Nativ'!$C$6:$C$405,F687,'Istoric_Nativ'!$E$6:$E$405,G687,'Istoric_Nativ'!$D$6:$D$405,"&lt;"&amp;J687,'Istoric_Nativ'!$P$6:$P$405,1,'Istoric_Nativ'!$D$6:$D$405,"&gt;="&amp;L687),IF(H687="AWAY",SUMIFS('Istoric_Nativ'!$G$6:$G$405,'Istoric_Nativ'!$B$6:$B$405,E687,'Istoric_Nativ'!$C$6:$C$405,F687,'Istoric_Nativ'!$F$6:$F$405,G687,'Istoric_Nativ'!$D$6:$D$405,"&lt;"&amp;J687,'Istoric_Nativ'!$P$6:$P$405,1,'Istoric_Nativ'!$D$6:$D$405,"&gt;="&amp;L687),SUMIFS('Istoric_Nativ'!$H$6:$H$405,'Istoric_Nativ'!$B$6:$B$405,E687,'Istoric_Nativ'!$C$6:$C$405,F687,'Istoric_Nativ'!$E$6:$E$405,G687,'Istoric_Nativ'!$D$6:$D$405,"&lt;"&amp;J687,'Istoric_Nativ'!$P$6:$P$405,1,'Istoric_Nativ'!$D$6:$D$405,"&gt;="&amp;L687)+SUMIFS('Istoric_Nativ'!$G$6:$G$405,'Istoric_Nativ'!$B$6:$B$405,E687,'Istoric_Nativ'!$C$6:$C$405,F687,'Istoric_Nativ'!$F$6:$F$405,G687,'Istoric_Nativ'!$D$6:$D$405,"&lt;"&amp;J687,'Istoric_Nativ'!$P$6:$P$405,1,'Istoric_Nativ'!$D$6:$D$405,"&gt;="&amp;L687)))/M687)</x:f>
      </x:c>
      <x:c r="P687" s="2" t="n">
        <x:f>'Config_v6'!$B$7</x:f>
        <x:v>10</x:v>
      </x:c>
      <x:c r="Q687" s="2" t="n">
        <x:f>IF(OR(B687="",F687=""),0,IFERROR(MATCH(E687&amp;"|"&amp;F687,SourceTable[Source_Key],0),0))</x:f>
        <x:v>0</x:v>
      </x:c>
      <x:c r="R687" s="2" t="str">
        <x:f>IF(B687="","",IF(F687="","UNUSED",IF(Q687=0,"NOT CHECKED",IF(COUNTIF(SourceTable[Source_Key],E687&amp;"|"&amp;F687)&lt;&gt;1,"SOURCE CONFLICT",IF(NOT(OR(INDEX(SourceTable[Status],MAX(1,Q687))="IMPORTED",INDEX(SourceTable[Status],MAX(1,Q687))="PARTIAL",INDEX(SourceTable[Status],MAX(1,Q687))="SOURCE CONFLICT")),"ACCESS BLOCKED",IF(OR(INDEX(SourceTable[Coverage],Q687)&lt;&gt;"FULL SEASON EXPORT",INDEX(SourceTable[URL],Q687)="",INDEX(SourceTable[SHA256],Q687)=""),"EVIDENCE INCOMPLETE",IF(AND('Input_Meci'!H62="LIVE",INDEX(SourceTable[Retrieved_UTC],Q687)&gt;'Input_Meci'!G62),"POST CUTOFF","CLOSED")))))))</x:f>
      </x:c>
      <x:c r="S687" s="2" t="n">
        <x:f>IF(OR(B687="",F687=""),0,COUNTIFS('Istoric_Nativ'!$B$6:$B$405,E687,'Istoric_Nativ'!$C$6:$C$405,F687,'Istoric_Nativ'!$E$6:$E$405,G687,'Istoric_Nativ'!$D$6:$D$405,"&lt;"&amp;J687,'Istoric_Nativ'!$O$6:$O$405,"INVALID")+COUNTIFS('Istoric_Nativ'!$B$6:$B$405,E687,'Istoric_Nativ'!$C$6:$C$405,F687,'Istoric_Nativ'!$E$6:$E$405,G687,'Istoric_Nativ'!$O$6:$O$405,"INVALID",'Istoric_Nativ'!$D$6:$D$405,"*")+COUNTIFS('Istoric_Nativ'!$B$6:$B$405,E687,'Istoric_Nativ'!$C$6:$C$405,F687,'Istoric_Nativ'!$E$6:$E$405,G687,'Istoric_Nativ'!$D$6:$D$405,"&lt;"&amp;J687,'Istoric_Nativ'!$O$6:$O$405,"SOURCE CONFLICT")+COUNTIFS('Istoric_Nativ'!$B$6:$B$405,E687,'Istoric_Nativ'!$C$6:$C$405,F687,'Istoric_Nativ'!$F$6:$F$405,G687,'Istoric_Nativ'!$D$6:$D$405,"&lt;"&amp;J687,'Istoric_Nativ'!$O$6:$O$405,"INVALID")+COUNTIFS('Istoric_Nativ'!$B$6:$B$405,E687,'Istoric_Nativ'!$C$6:$C$405,F687,'Istoric_Nativ'!$F$6:$F$405,G687,'Istoric_Nativ'!$O$6:$O$405,"INVALID",'Istoric_Nativ'!$D$6:$D$405,"*")+COUNTIFS('Istoric_Nativ'!$B$6:$B$405,E687,'Istoric_Nativ'!$C$6:$C$405,F687,'Istoric_Nativ'!$F$6:$F$405,G687,'Istoric_Nativ'!$D$6:$D$405,"&lt;"&amp;J687,'Istoric_Nativ'!$O$6:$O$405,"SOURCE CONFLICT"))</x:f>
        <x:v>0</x:v>
      </x:c>
      <x:c r="T687" s="2" t="str">
        <x:f>IF(B687="","",IF(R687&lt;&gt;"CLOSED",R687,IF(S687&gt;0,"NATIVE INPUT ISSUE",IF(M687=0,"NO HISTORY",IF(M687&lt;P687,"SMALL SAMPLE","DERIVED")))))</x:f>
      </x:c>
      <x:c r="U687" s="2" t="str">
        <x:f>IF(B687="","","NativeTable; "&amp;E687&amp;"; "&amp;F687&amp;"; "&amp;G687&amp;"; "&amp;H687&amp;"; before "&amp;TEXT(J687,"yyyy-mm-dd")&amp;IF(I687="RECENT","; from "&amp;TEXT(L687,"yyyy-mm-dd"),""))</x:f>
      </x:c>
    </x:row>
    <x:row r="688" ht="21" customHeight="1">
      <x:c r="A688" s="2" t="n">
        <x:v>57</x:v>
      </x:c>
      <x:c r="B688" s="2" t="str">
        <x:f>IF('Input_Meci'!A62="","",'Input_Meci'!A62)</x:f>
      </x:c>
      <x:c r="C688" s="2" t="str">
        <x:v>A</x:v>
      </x:c>
      <x:c r="D688" s="2" t="str">
        <x:v>PRIOR</x:v>
      </x:c>
      <x:c r="E688" s="2" t="str">
        <x:f>IF(B688="","",'Input_Meci'!B62)</x:f>
      </x:c>
      <x:c r="F688" s="2" t="str">
        <x:f>IF(B688="","",IF('Input_Meci'!K62="","",'Input_Meci'!K62))</x:f>
      </x:c>
      <x:c r="G688" s="2" t="str">
        <x:f>IF(B688="","",'Input_Meci'!E62)</x:f>
      </x:c>
      <x:c r="H688" s="2" t="str">
        <x:v>AWAY</x:v>
      </x:c>
      <x:c r="I688" s="2" t="str">
        <x:v>HA</x:v>
      </x:c>
      <x:c r="J688" s="9" t="n">
        <x:f>IF(AND(B688&lt;&gt;"",ISNUMBER('Input_Meci'!G62)),INT('Input_Meci'!G62),0)</x:f>
        <x:v>0</x:v>
      </x:c>
      <x:c r="K688" s="2" t="n">
        <x:f>IF(OR(B688="",F688=""),0,IF(H688="HOME",COUNTIFS('Istoric_Nativ'!$B$6:$B$405,E688,'Istoric_Nativ'!$C$6:$C$405,F688,'Istoric_Nativ'!$E$6:$E$405,G688,'Istoric_Nativ'!$D$6:$D$405,"&lt;"&amp;J688,'Istoric_Nativ'!$P$6:$P$405,1),IF(H688="AWAY",COUNTIFS('Istoric_Nativ'!$B$6:$B$405,E688,'Istoric_Nativ'!$C$6:$C$405,F688,'Istoric_Nativ'!$F$6:$F$405,G688,'Istoric_Nativ'!$D$6:$D$405,"&lt;"&amp;J688,'Istoric_Nativ'!$P$6:$P$405,1),COUNTIFS('Istoric_Nativ'!$B$6:$B$405,E688,'Istoric_Nativ'!$C$6:$C$405,F688,'Istoric_Nativ'!$E$6:$E$405,G688,'Istoric_Nativ'!$D$6:$D$405,"&lt;"&amp;J688,'Istoric_Nativ'!$P$6:$P$405,1)+COUNTIFS('Istoric_Nativ'!$B$6:$B$405,E688,'Istoric_Nativ'!$C$6:$C$405,F688,'Istoric_Nativ'!$F$6:$F$405,G688,'Istoric_Nativ'!$D$6:$D$405,"&lt;"&amp;J688,'Istoric_Nativ'!$P$6:$P$405,1))))</x:f>
        <x:v>0</x:v>
      </x:c>
      <x:c r="L688" s="17" t="n">
        <x:f>IF(AND(B688&lt;&gt;"",I688="RECENT",K688&gt;0),LARGE(_xlfn._xlws.FILTER('Istoric_Nativ'!$D$6:$D$405,('Istoric_Nativ'!$B$6:$B$405=E688)*('Istoric_Nativ'!$C$6:$C$405=F688)*('Istoric_Nativ'!$P$6:$P$405=1)*('Istoric_Nativ'!$D$6:$D$405&lt;J688)*((('Istoric_Nativ'!$E$6:$E$405=G688)+('Istoric_Nativ'!$F$6:$F$405=G688))&gt;0)),MIN('Config_v6'!$B$54,K688)),0)</x:f>
        <x:v>0</x:v>
      </x:c>
      <x:c r="M688" s="2" t="n">
        <x:f>IF(OR(B688="",F688=""),0,IF(H688="HOME",COUNTIFS('Istoric_Nativ'!$B$6:$B$405,E688,'Istoric_Nativ'!$C$6:$C$405,F688,'Istoric_Nativ'!$E$6:$E$405,G688,'Istoric_Nativ'!$D$6:$D$405,"&lt;"&amp;J688,'Istoric_Nativ'!$P$6:$P$405,1,'Istoric_Nativ'!$D$6:$D$405,"&gt;="&amp;L688),IF(H688="AWAY",COUNTIFS('Istoric_Nativ'!$B$6:$B$405,E688,'Istoric_Nativ'!$C$6:$C$405,F688,'Istoric_Nativ'!$F$6:$F$405,G688,'Istoric_Nativ'!$D$6:$D$405,"&lt;"&amp;J688,'Istoric_Nativ'!$P$6:$P$405,1,'Istoric_Nativ'!$D$6:$D$405,"&gt;="&amp;L688),COUNTIFS('Istoric_Nativ'!$B$6:$B$405,E688,'Istoric_Nativ'!$C$6:$C$405,F688,'Istoric_Nativ'!$E$6:$E$405,G688,'Istoric_Nativ'!$D$6:$D$405,"&lt;"&amp;J688,'Istoric_Nativ'!$P$6:$P$405,1,'Istoric_Nativ'!$D$6:$D$405,"&gt;="&amp;L688)+COUNTIFS('Istoric_Nativ'!$B$6:$B$405,E688,'Istoric_Nativ'!$C$6:$C$405,F688,'Istoric_Nativ'!$F$6:$F$405,G688,'Istoric_Nativ'!$D$6:$D$405,"&lt;"&amp;J688,'Istoric_Nativ'!$P$6:$P$405,1,'Istoric_Nativ'!$D$6:$D$405,"&gt;="&amp;L688))))</x:f>
        <x:v>0</x:v>
      </x:c>
      <x:c r="N688" s="11" t="str">
        <x:f>IF(M688=0,"",IF(H688="HOME",SUMIFS('Istoric_Nativ'!$G$6:$G$405,'Istoric_Nativ'!$B$6:$B$405,E688,'Istoric_Nativ'!$C$6:$C$405,F688,'Istoric_Nativ'!$E$6:$E$405,G688,'Istoric_Nativ'!$D$6:$D$405,"&lt;"&amp;J688,'Istoric_Nativ'!$P$6:$P$405,1,'Istoric_Nativ'!$D$6:$D$405,"&gt;="&amp;L688),IF(H688="AWAY",SUMIFS('Istoric_Nativ'!$H$6:$H$405,'Istoric_Nativ'!$B$6:$B$405,E688,'Istoric_Nativ'!$C$6:$C$405,F688,'Istoric_Nativ'!$F$6:$F$405,G688,'Istoric_Nativ'!$D$6:$D$405,"&lt;"&amp;J688,'Istoric_Nativ'!$P$6:$P$405,1,'Istoric_Nativ'!$D$6:$D$405,"&gt;="&amp;L688),SUMIFS('Istoric_Nativ'!$G$6:$G$405,'Istoric_Nativ'!$B$6:$B$405,E688,'Istoric_Nativ'!$C$6:$C$405,F688,'Istoric_Nativ'!$E$6:$E$405,G688,'Istoric_Nativ'!$D$6:$D$405,"&lt;"&amp;J688,'Istoric_Nativ'!$P$6:$P$405,1,'Istoric_Nativ'!$D$6:$D$405,"&gt;="&amp;L688)+SUMIFS('Istoric_Nativ'!$H$6:$H$405,'Istoric_Nativ'!$B$6:$B$405,E688,'Istoric_Nativ'!$C$6:$C$405,F688,'Istoric_Nativ'!$F$6:$F$405,G688,'Istoric_Nativ'!$D$6:$D$405,"&lt;"&amp;J688,'Istoric_Nativ'!$P$6:$P$405,1,'Istoric_Nativ'!$D$6:$D$405,"&gt;="&amp;L688)))/M688)</x:f>
      </x:c>
      <x:c r="O688" s="11" t="str">
        <x:f>IF(M688=0,"",IF(H688="HOME",SUMIFS('Istoric_Nativ'!$H$6:$H$405,'Istoric_Nativ'!$B$6:$B$405,E688,'Istoric_Nativ'!$C$6:$C$405,F688,'Istoric_Nativ'!$E$6:$E$405,G688,'Istoric_Nativ'!$D$6:$D$405,"&lt;"&amp;J688,'Istoric_Nativ'!$P$6:$P$405,1,'Istoric_Nativ'!$D$6:$D$405,"&gt;="&amp;L688),IF(H688="AWAY",SUMIFS('Istoric_Nativ'!$G$6:$G$405,'Istoric_Nativ'!$B$6:$B$405,E688,'Istoric_Nativ'!$C$6:$C$405,F688,'Istoric_Nativ'!$F$6:$F$405,G688,'Istoric_Nativ'!$D$6:$D$405,"&lt;"&amp;J688,'Istoric_Nativ'!$P$6:$P$405,1,'Istoric_Nativ'!$D$6:$D$405,"&gt;="&amp;L688),SUMIFS('Istoric_Nativ'!$H$6:$H$405,'Istoric_Nativ'!$B$6:$B$405,E688,'Istoric_Nativ'!$C$6:$C$405,F688,'Istoric_Nativ'!$E$6:$E$405,G688,'Istoric_Nativ'!$D$6:$D$405,"&lt;"&amp;J688,'Istoric_Nativ'!$P$6:$P$405,1,'Istoric_Nativ'!$D$6:$D$405,"&gt;="&amp;L688)+SUMIFS('Istoric_Nativ'!$G$6:$G$405,'Istoric_Nativ'!$B$6:$B$405,E688,'Istoric_Nativ'!$C$6:$C$405,F688,'Istoric_Nativ'!$F$6:$F$405,G688,'Istoric_Nativ'!$D$6:$D$405,"&lt;"&amp;J688,'Istoric_Nativ'!$P$6:$P$405,1,'Istoric_Nativ'!$D$6:$D$405,"&gt;="&amp;L688)))/M688)</x:f>
      </x:c>
      <x:c r="P688" s="2" t="n">
        <x:f>'Config_v6'!$B$8</x:f>
        <x:v>5</x:v>
      </x:c>
      <x:c r="Q688" s="2" t="n">
        <x:f>IF(OR(B688="",F688=""),0,IFERROR(MATCH(E688&amp;"|"&amp;F688,SourceTable[Source_Key],0),0))</x:f>
        <x:v>0</x:v>
      </x:c>
      <x:c r="R688" s="2" t="str">
        <x:f>IF(B688="","",IF(F688="","UNUSED",IF(Q688=0,"NOT CHECKED",IF(COUNTIF(SourceTable[Source_Key],E688&amp;"|"&amp;F688)&lt;&gt;1,"SOURCE CONFLICT",IF(NOT(OR(INDEX(SourceTable[Status],MAX(1,Q688))="IMPORTED",INDEX(SourceTable[Status],MAX(1,Q688))="PARTIAL",INDEX(SourceTable[Status],MAX(1,Q688))="SOURCE CONFLICT")),"ACCESS BLOCKED",IF(OR(INDEX(SourceTable[Coverage],Q688)&lt;&gt;"FULL SEASON EXPORT",INDEX(SourceTable[URL],Q688)="",INDEX(SourceTable[SHA256],Q688)=""),"EVIDENCE INCOMPLETE",IF(AND('Input_Meci'!H62="LIVE",INDEX(SourceTable[Retrieved_UTC],Q688)&gt;'Input_Meci'!G62),"POST CUTOFF","CLOSED")))))))</x:f>
      </x:c>
      <x:c r="S688" s="2" t="n">
        <x:f>IF(OR(B688="",F688=""),0,COUNTIFS('Istoric_Nativ'!$B$6:$B$405,E688,'Istoric_Nativ'!$C$6:$C$405,F688,'Istoric_Nativ'!$E$6:$E$405,G688,'Istoric_Nativ'!$D$6:$D$405,"&lt;"&amp;J688,'Istoric_Nativ'!$O$6:$O$405,"INVALID")+COUNTIFS('Istoric_Nativ'!$B$6:$B$405,E688,'Istoric_Nativ'!$C$6:$C$405,F688,'Istoric_Nativ'!$E$6:$E$405,G688,'Istoric_Nativ'!$O$6:$O$405,"INVALID",'Istoric_Nativ'!$D$6:$D$405,"*")+COUNTIFS('Istoric_Nativ'!$B$6:$B$405,E688,'Istoric_Nativ'!$C$6:$C$405,F688,'Istoric_Nativ'!$E$6:$E$405,G688,'Istoric_Nativ'!$D$6:$D$405,"&lt;"&amp;J688,'Istoric_Nativ'!$O$6:$O$405,"SOURCE CONFLICT")+COUNTIFS('Istoric_Nativ'!$B$6:$B$405,E688,'Istoric_Nativ'!$C$6:$C$405,F688,'Istoric_Nativ'!$F$6:$F$405,G688,'Istoric_Nativ'!$D$6:$D$405,"&lt;"&amp;J688,'Istoric_Nativ'!$O$6:$O$405,"INVALID")+COUNTIFS('Istoric_Nativ'!$B$6:$B$405,E688,'Istoric_Nativ'!$C$6:$C$405,F688,'Istoric_Nativ'!$F$6:$F$405,G688,'Istoric_Nativ'!$O$6:$O$405,"INVALID",'Istoric_Nativ'!$D$6:$D$405,"*")+COUNTIFS('Istoric_Nativ'!$B$6:$B$405,E688,'Istoric_Nativ'!$C$6:$C$405,F688,'Istoric_Nativ'!$F$6:$F$405,G688,'Istoric_Nativ'!$D$6:$D$405,"&lt;"&amp;J688,'Istoric_Nativ'!$O$6:$O$405,"SOURCE CONFLICT"))</x:f>
        <x:v>0</x:v>
      </x:c>
      <x:c r="T688" s="2" t="str">
        <x:f>IF(B688="","",IF(R688&lt;&gt;"CLOSED",R688,IF(S688&gt;0,"NATIVE INPUT ISSUE",IF(M688=0,"NO HISTORY",IF(M688&lt;P688,"SMALL SAMPLE","DERIVED")))))</x:f>
      </x:c>
      <x:c r="U688" s="2" t="str">
        <x:f>IF(B688="","","NativeTable; "&amp;E688&amp;"; "&amp;F688&amp;"; "&amp;G688&amp;"; "&amp;H688&amp;"; before "&amp;TEXT(J688,"yyyy-mm-dd")&amp;IF(I688="RECENT","; from "&amp;TEXT(L688,"yyyy-mm-dd"),""))</x:f>
      </x:c>
    </x:row>
    <x:row r="689" ht="21" customHeight="1">
      <x:c r="A689" s="2" t="n">
        <x:v>57</x:v>
      </x:c>
      <x:c r="B689" s="2" t="str">
        <x:f>IF('Input_Meci'!A62="","",'Input_Meci'!A62)</x:f>
      </x:c>
      <x:c r="C689" s="2" t="str">
        <x:v>A</x:v>
      </x:c>
      <x:c r="D689" s="2" t="str">
        <x:v>PRIOR</x:v>
      </x:c>
      <x:c r="E689" s="2" t="str">
        <x:f>IF(B689="","",'Input_Meci'!B62)</x:f>
      </x:c>
      <x:c r="F689" s="2" t="str">
        <x:f>IF(B689="","",IF('Input_Meci'!K62="","",'Input_Meci'!K62))</x:f>
      </x:c>
      <x:c r="G689" s="2" t="str">
        <x:f>IF(B689="","",'Input_Meci'!E62)</x:f>
      </x:c>
      <x:c r="H689" s="2" t="str">
        <x:v>ANY</x:v>
      </x:c>
      <x:c r="I689" s="2" t="str">
        <x:v>RECENT</x:v>
      </x:c>
      <x:c r="J689" s="9" t="n">
        <x:f>IF(AND(B689&lt;&gt;"",ISNUMBER('Input_Meci'!G62)),INT('Input_Meci'!G62),0)</x:f>
        <x:v>0</x:v>
      </x:c>
      <x:c r="K689" s="2" t="n">
        <x:f>IF(OR(B689="",F689=""),0,IF(H689="HOME",COUNTIFS('Istoric_Nativ'!$B$6:$B$405,E689,'Istoric_Nativ'!$C$6:$C$405,F689,'Istoric_Nativ'!$E$6:$E$405,G689,'Istoric_Nativ'!$D$6:$D$405,"&lt;"&amp;J689,'Istoric_Nativ'!$P$6:$P$405,1),IF(H689="AWAY",COUNTIFS('Istoric_Nativ'!$B$6:$B$405,E689,'Istoric_Nativ'!$C$6:$C$405,F689,'Istoric_Nativ'!$F$6:$F$405,G689,'Istoric_Nativ'!$D$6:$D$405,"&lt;"&amp;J689,'Istoric_Nativ'!$P$6:$P$405,1),COUNTIFS('Istoric_Nativ'!$B$6:$B$405,E689,'Istoric_Nativ'!$C$6:$C$405,F689,'Istoric_Nativ'!$E$6:$E$405,G689,'Istoric_Nativ'!$D$6:$D$405,"&lt;"&amp;J689,'Istoric_Nativ'!$P$6:$P$405,1)+COUNTIFS('Istoric_Nativ'!$B$6:$B$405,E689,'Istoric_Nativ'!$C$6:$C$405,F689,'Istoric_Nativ'!$F$6:$F$405,G689,'Istoric_Nativ'!$D$6:$D$405,"&lt;"&amp;J689,'Istoric_Nativ'!$P$6:$P$405,1))))</x:f>
        <x:v>0</x:v>
      </x:c>
      <x:c r="L689" s="17" t="n">
        <x:f>IF(AND(B689&lt;&gt;"",I689="RECENT",K689&gt;0),LARGE(_xlfn._xlws.FILTER('Istoric_Nativ'!$D$6:$D$405,('Istoric_Nativ'!$B$6:$B$405=E689)*('Istoric_Nativ'!$C$6:$C$405=F689)*('Istoric_Nativ'!$P$6:$P$405=1)*('Istoric_Nativ'!$D$6:$D$405&lt;J689)*((('Istoric_Nativ'!$E$6:$E$405=G689)+('Istoric_Nativ'!$F$6:$F$405=G689))&gt;0)),MIN('Config_v6'!$B$54,K689)),0)</x:f>
        <x:v>0</x:v>
      </x:c>
      <x:c r="M689" s="2" t="n">
        <x:f>IF(OR(B689="",F689=""),0,IF(H689="HOME",COUNTIFS('Istoric_Nativ'!$B$6:$B$405,E689,'Istoric_Nativ'!$C$6:$C$405,F689,'Istoric_Nativ'!$E$6:$E$405,G689,'Istoric_Nativ'!$D$6:$D$405,"&lt;"&amp;J689,'Istoric_Nativ'!$P$6:$P$405,1,'Istoric_Nativ'!$D$6:$D$405,"&gt;="&amp;L689),IF(H689="AWAY",COUNTIFS('Istoric_Nativ'!$B$6:$B$405,E689,'Istoric_Nativ'!$C$6:$C$405,F689,'Istoric_Nativ'!$F$6:$F$405,G689,'Istoric_Nativ'!$D$6:$D$405,"&lt;"&amp;J689,'Istoric_Nativ'!$P$6:$P$405,1,'Istoric_Nativ'!$D$6:$D$405,"&gt;="&amp;L689),COUNTIFS('Istoric_Nativ'!$B$6:$B$405,E689,'Istoric_Nativ'!$C$6:$C$405,F689,'Istoric_Nativ'!$E$6:$E$405,G689,'Istoric_Nativ'!$D$6:$D$405,"&lt;"&amp;J689,'Istoric_Nativ'!$P$6:$P$405,1,'Istoric_Nativ'!$D$6:$D$405,"&gt;="&amp;L689)+COUNTIFS('Istoric_Nativ'!$B$6:$B$405,E689,'Istoric_Nativ'!$C$6:$C$405,F689,'Istoric_Nativ'!$F$6:$F$405,G689,'Istoric_Nativ'!$D$6:$D$405,"&lt;"&amp;J689,'Istoric_Nativ'!$P$6:$P$405,1,'Istoric_Nativ'!$D$6:$D$405,"&gt;="&amp;L689))))</x:f>
        <x:v>0</x:v>
      </x:c>
      <x:c r="N689" s="11" t="str">
        <x:f>IF(M689=0,"",IF(H689="HOME",SUMIFS('Istoric_Nativ'!$G$6:$G$405,'Istoric_Nativ'!$B$6:$B$405,E689,'Istoric_Nativ'!$C$6:$C$405,F689,'Istoric_Nativ'!$E$6:$E$405,G689,'Istoric_Nativ'!$D$6:$D$405,"&lt;"&amp;J689,'Istoric_Nativ'!$P$6:$P$405,1,'Istoric_Nativ'!$D$6:$D$405,"&gt;="&amp;L689),IF(H689="AWAY",SUMIFS('Istoric_Nativ'!$H$6:$H$405,'Istoric_Nativ'!$B$6:$B$405,E689,'Istoric_Nativ'!$C$6:$C$405,F689,'Istoric_Nativ'!$F$6:$F$405,G689,'Istoric_Nativ'!$D$6:$D$405,"&lt;"&amp;J689,'Istoric_Nativ'!$P$6:$P$405,1,'Istoric_Nativ'!$D$6:$D$405,"&gt;="&amp;L689),SUMIFS('Istoric_Nativ'!$G$6:$G$405,'Istoric_Nativ'!$B$6:$B$405,E689,'Istoric_Nativ'!$C$6:$C$405,F689,'Istoric_Nativ'!$E$6:$E$405,G689,'Istoric_Nativ'!$D$6:$D$405,"&lt;"&amp;J689,'Istoric_Nativ'!$P$6:$P$405,1,'Istoric_Nativ'!$D$6:$D$405,"&gt;="&amp;L689)+SUMIFS('Istoric_Nativ'!$H$6:$H$405,'Istoric_Nativ'!$B$6:$B$405,E689,'Istoric_Nativ'!$C$6:$C$405,F689,'Istoric_Nativ'!$F$6:$F$405,G689,'Istoric_Nativ'!$D$6:$D$405,"&lt;"&amp;J689,'Istoric_Nativ'!$P$6:$P$405,1,'Istoric_Nativ'!$D$6:$D$405,"&gt;="&amp;L689)))/M689)</x:f>
      </x:c>
      <x:c r="O689" s="11" t="str">
        <x:f>IF(M689=0,"",IF(H689="HOME",SUMIFS('Istoric_Nativ'!$H$6:$H$405,'Istoric_Nativ'!$B$6:$B$405,E689,'Istoric_Nativ'!$C$6:$C$405,F689,'Istoric_Nativ'!$E$6:$E$405,G689,'Istoric_Nativ'!$D$6:$D$405,"&lt;"&amp;J689,'Istoric_Nativ'!$P$6:$P$405,1,'Istoric_Nativ'!$D$6:$D$405,"&gt;="&amp;L689),IF(H689="AWAY",SUMIFS('Istoric_Nativ'!$G$6:$G$405,'Istoric_Nativ'!$B$6:$B$405,E689,'Istoric_Nativ'!$C$6:$C$405,F689,'Istoric_Nativ'!$F$6:$F$405,G689,'Istoric_Nativ'!$D$6:$D$405,"&lt;"&amp;J689,'Istoric_Nativ'!$P$6:$P$405,1,'Istoric_Nativ'!$D$6:$D$405,"&gt;="&amp;L689),SUMIFS('Istoric_Nativ'!$H$6:$H$405,'Istoric_Nativ'!$B$6:$B$405,E689,'Istoric_Nativ'!$C$6:$C$405,F689,'Istoric_Nativ'!$E$6:$E$405,G689,'Istoric_Nativ'!$D$6:$D$405,"&lt;"&amp;J689,'Istoric_Nativ'!$P$6:$P$405,1,'Istoric_Nativ'!$D$6:$D$405,"&gt;="&amp;L689)+SUMIFS('Istoric_Nativ'!$G$6:$G$405,'Istoric_Nativ'!$B$6:$B$405,E689,'Istoric_Nativ'!$C$6:$C$405,F689,'Istoric_Nativ'!$F$6:$F$405,G689,'Istoric_Nativ'!$D$6:$D$405,"&lt;"&amp;J689,'Istoric_Nativ'!$P$6:$P$405,1,'Istoric_Nativ'!$D$6:$D$405,"&gt;="&amp;L689)))/M689)</x:f>
      </x:c>
      <x:c r="P689" s="2" t="n">
        <x:f>'Config_v6'!$B$9</x:f>
        <x:v>3</x:v>
      </x:c>
      <x:c r="Q689" s="2" t="n">
        <x:f>IF(OR(B689="",F689=""),0,IFERROR(MATCH(E689&amp;"|"&amp;F689,SourceTable[Source_Key],0),0))</x:f>
        <x:v>0</x:v>
      </x:c>
      <x:c r="R689" s="2" t="str">
        <x:f>IF(B689="","",IF(F689="","UNUSED",IF(Q689=0,"NOT CHECKED",IF(COUNTIF(SourceTable[Source_Key],E689&amp;"|"&amp;F689)&lt;&gt;1,"SOURCE CONFLICT",IF(NOT(OR(INDEX(SourceTable[Status],MAX(1,Q689))="IMPORTED",INDEX(SourceTable[Status],MAX(1,Q689))="PARTIAL",INDEX(SourceTable[Status],MAX(1,Q689))="SOURCE CONFLICT")),"ACCESS BLOCKED",IF(OR(INDEX(SourceTable[Coverage],Q689)&lt;&gt;"FULL SEASON EXPORT",INDEX(SourceTable[URL],Q689)="",INDEX(SourceTable[SHA256],Q689)=""),"EVIDENCE INCOMPLETE",IF(AND('Input_Meci'!H62="LIVE",INDEX(SourceTable[Retrieved_UTC],Q689)&gt;'Input_Meci'!G62),"POST CUTOFF","CLOSED")))))))</x:f>
      </x:c>
      <x:c r="S689" s="2" t="n">
        <x:f>IF(OR(B689="",F689=""),0,COUNTIFS('Istoric_Nativ'!$B$6:$B$405,E689,'Istoric_Nativ'!$C$6:$C$405,F689,'Istoric_Nativ'!$E$6:$E$405,G689,'Istoric_Nativ'!$D$6:$D$405,"&lt;"&amp;J689,'Istoric_Nativ'!$O$6:$O$405,"INVALID")+COUNTIFS('Istoric_Nativ'!$B$6:$B$405,E689,'Istoric_Nativ'!$C$6:$C$405,F689,'Istoric_Nativ'!$E$6:$E$405,G689,'Istoric_Nativ'!$O$6:$O$405,"INVALID",'Istoric_Nativ'!$D$6:$D$405,"*")+COUNTIFS('Istoric_Nativ'!$B$6:$B$405,E689,'Istoric_Nativ'!$C$6:$C$405,F689,'Istoric_Nativ'!$E$6:$E$405,G689,'Istoric_Nativ'!$D$6:$D$405,"&lt;"&amp;J689,'Istoric_Nativ'!$O$6:$O$405,"SOURCE CONFLICT")+COUNTIFS('Istoric_Nativ'!$B$6:$B$405,E689,'Istoric_Nativ'!$C$6:$C$405,F689,'Istoric_Nativ'!$F$6:$F$405,G689,'Istoric_Nativ'!$D$6:$D$405,"&lt;"&amp;J689,'Istoric_Nativ'!$O$6:$O$405,"INVALID")+COUNTIFS('Istoric_Nativ'!$B$6:$B$405,E689,'Istoric_Nativ'!$C$6:$C$405,F689,'Istoric_Nativ'!$F$6:$F$405,G689,'Istoric_Nativ'!$O$6:$O$405,"INVALID",'Istoric_Nativ'!$D$6:$D$405,"*")+COUNTIFS('Istoric_Nativ'!$B$6:$B$405,E689,'Istoric_Nativ'!$C$6:$C$405,F689,'Istoric_Nativ'!$F$6:$F$405,G689,'Istoric_Nativ'!$D$6:$D$405,"&lt;"&amp;J689,'Istoric_Nativ'!$O$6:$O$405,"SOURCE CONFLICT"))</x:f>
        <x:v>0</x:v>
      </x:c>
      <x:c r="T689" s="2" t="str">
        <x:f>IF(B689="","",IF(R689&lt;&gt;"CLOSED",R689,IF(S689&gt;0,"NATIVE INPUT ISSUE",IF(M689=0,"NO HISTORY",IF(M689&lt;P689,"SMALL SAMPLE","DERIVED")))))</x:f>
      </x:c>
      <x:c r="U689" s="2" t="str">
        <x:f>IF(B689="","","NativeTable; "&amp;E689&amp;"; "&amp;F689&amp;"; "&amp;G689&amp;"; "&amp;H689&amp;"; before "&amp;TEXT(J689,"yyyy-mm-dd")&amp;IF(I689="RECENT","; from "&amp;TEXT(L689,"yyyy-mm-dd"),""))</x:f>
      </x:c>
    </x:row>
    <x:row r="690" ht="21" customHeight="1">
      <x:c r="A690" s="2" t="n">
        <x:v>58</x:v>
      </x:c>
      <x:c r="B690" s="2" t="str">
        <x:f>IF('Input_Meci'!A63="","",'Input_Meci'!A63)</x:f>
      </x:c>
      <x:c r="C690" s="2" t="str">
        <x:v>H</x:v>
      </x:c>
      <x:c r="D690" s="2" t="str">
        <x:v>CURRENT</x:v>
      </x:c>
      <x:c r="E690" s="2" t="str">
        <x:f>IF(B690="","",'Input_Meci'!B63)</x:f>
      </x:c>
      <x:c r="F690" s="2" t="str">
        <x:f>IF(B690="","",IF('Input_Meci'!C63="","",'Input_Meci'!C63))</x:f>
      </x:c>
      <x:c r="G690" s="2" t="str">
        <x:f>IF(B690="","",'Input_Meci'!D63)</x:f>
      </x:c>
      <x:c r="H690" s="2" t="str">
        <x:v>ANY</x:v>
      </x:c>
      <x:c r="I690" s="2" t="str">
        <x:v>SEASON</x:v>
      </x:c>
      <x:c r="J690" s="9" t="n">
        <x:f>IF(AND(B690&lt;&gt;"",ISNUMBER('Input_Meci'!G63)),INT('Input_Meci'!G63),0)</x:f>
        <x:v>0</x:v>
      </x:c>
      <x:c r="K690" s="2" t="n">
        <x:f>IF(OR(B690="",F690=""),0,IF(H690="HOME",COUNTIFS('Istoric_Nativ'!$B$6:$B$405,E690,'Istoric_Nativ'!$C$6:$C$405,F690,'Istoric_Nativ'!$E$6:$E$405,G690,'Istoric_Nativ'!$D$6:$D$405,"&lt;"&amp;J690,'Istoric_Nativ'!$P$6:$P$405,1),IF(H690="AWAY",COUNTIFS('Istoric_Nativ'!$B$6:$B$405,E690,'Istoric_Nativ'!$C$6:$C$405,F690,'Istoric_Nativ'!$F$6:$F$405,G690,'Istoric_Nativ'!$D$6:$D$405,"&lt;"&amp;J690,'Istoric_Nativ'!$P$6:$P$405,1),COUNTIFS('Istoric_Nativ'!$B$6:$B$405,E690,'Istoric_Nativ'!$C$6:$C$405,F690,'Istoric_Nativ'!$E$6:$E$405,G690,'Istoric_Nativ'!$D$6:$D$405,"&lt;"&amp;J690,'Istoric_Nativ'!$P$6:$P$405,1)+COUNTIFS('Istoric_Nativ'!$B$6:$B$405,E690,'Istoric_Nativ'!$C$6:$C$405,F690,'Istoric_Nativ'!$F$6:$F$405,G690,'Istoric_Nativ'!$D$6:$D$405,"&lt;"&amp;J690,'Istoric_Nativ'!$P$6:$P$405,1))))</x:f>
        <x:v>0</x:v>
      </x:c>
      <x:c r="L690" s="17" t="n">
        <x:f>IF(AND(B690&lt;&gt;"",I690="RECENT",K690&gt;0),LARGE(_xlfn._xlws.FILTER('Istoric_Nativ'!$D$6:$D$405,('Istoric_Nativ'!$B$6:$B$405=E690)*('Istoric_Nativ'!$C$6:$C$405=F690)*('Istoric_Nativ'!$P$6:$P$405=1)*('Istoric_Nativ'!$D$6:$D$405&lt;J690)*((('Istoric_Nativ'!$E$6:$E$405=G690)+('Istoric_Nativ'!$F$6:$F$405=G690))&gt;0)),MIN('Config_v6'!$B$54,K690)),0)</x:f>
        <x:v>0</x:v>
      </x:c>
      <x:c r="M690" s="2" t="n">
        <x:f>IF(OR(B690="",F690=""),0,IF(H690="HOME",COUNTIFS('Istoric_Nativ'!$B$6:$B$405,E690,'Istoric_Nativ'!$C$6:$C$405,F690,'Istoric_Nativ'!$E$6:$E$405,G690,'Istoric_Nativ'!$D$6:$D$405,"&lt;"&amp;J690,'Istoric_Nativ'!$P$6:$P$405,1,'Istoric_Nativ'!$D$6:$D$405,"&gt;="&amp;L690),IF(H690="AWAY",COUNTIFS('Istoric_Nativ'!$B$6:$B$405,E690,'Istoric_Nativ'!$C$6:$C$405,F690,'Istoric_Nativ'!$F$6:$F$405,G690,'Istoric_Nativ'!$D$6:$D$405,"&lt;"&amp;J690,'Istoric_Nativ'!$P$6:$P$405,1,'Istoric_Nativ'!$D$6:$D$405,"&gt;="&amp;L690),COUNTIFS('Istoric_Nativ'!$B$6:$B$405,E690,'Istoric_Nativ'!$C$6:$C$405,F690,'Istoric_Nativ'!$E$6:$E$405,G690,'Istoric_Nativ'!$D$6:$D$405,"&lt;"&amp;J690,'Istoric_Nativ'!$P$6:$P$405,1,'Istoric_Nativ'!$D$6:$D$405,"&gt;="&amp;L690)+COUNTIFS('Istoric_Nativ'!$B$6:$B$405,E690,'Istoric_Nativ'!$C$6:$C$405,F690,'Istoric_Nativ'!$F$6:$F$405,G690,'Istoric_Nativ'!$D$6:$D$405,"&lt;"&amp;J690,'Istoric_Nativ'!$P$6:$P$405,1,'Istoric_Nativ'!$D$6:$D$405,"&gt;="&amp;L690))))</x:f>
        <x:v>0</x:v>
      </x:c>
      <x:c r="N690" s="11" t="str">
        <x:f>IF(M690=0,"",IF(H690="HOME",SUMIFS('Istoric_Nativ'!$G$6:$G$405,'Istoric_Nativ'!$B$6:$B$405,E690,'Istoric_Nativ'!$C$6:$C$405,F690,'Istoric_Nativ'!$E$6:$E$405,G690,'Istoric_Nativ'!$D$6:$D$405,"&lt;"&amp;J690,'Istoric_Nativ'!$P$6:$P$405,1,'Istoric_Nativ'!$D$6:$D$405,"&gt;="&amp;L690),IF(H690="AWAY",SUMIFS('Istoric_Nativ'!$H$6:$H$405,'Istoric_Nativ'!$B$6:$B$405,E690,'Istoric_Nativ'!$C$6:$C$405,F690,'Istoric_Nativ'!$F$6:$F$405,G690,'Istoric_Nativ'!$D$6:$D$405,"&lt;"&amp;J690,'Istoric_Nativ'!$P$6:$P$405,1,'Istoric_Nativ'!$D$6:$D$405,"&gt;="&amp;L690),SUMIFS('Istoric_Nativ'!$G$6:$G$405,'Istoric_Nativ'!$B$6:$B$405,E690,'Istoric_Nativ'!$C$6:$C$405,F690,'Istoric_Nativ'!$E$6:$E$405,G690,'Istoric_Nativ'!$D$6:$D$405,"&lt;"&amp;J690,'Istoric_Nativ'!$P$6:$P$405,1,'Istoric_Nativ'!$D$6:$D$405,"&gt;="&amp;L690)+SUMIFS('Istoric_Nativ'!$H$6:$H$405,'Istoric_Nativ'!$B$6:$B$405,E690,'Istoric_Nativ'!$C$6:$C$405,F690,'Istoric_Nativ'!$F$6:$F$405,G690,'Istoric_Nativ'!$D$6:$D$405,"&lt;"&amp;J690,'Istoric_Nativ'!$P$6:$P$405,1,'Istoric_Nativ'!$D$6:$D$405,"&gt;="&amp;L690)))/M690)</x:f>
      </x:c>
      <x:c r="O690" s="11" t="str">
        <x:f>IF(M690=0,"",IF(H690="HOME",SUMIFS('Istoric_Nativ'!$H$6:$H$405,'Istoric_Nativ'!$B$6:$B$405,E690,'Istoric_Nativ'!$C$6:$C$405,F690,'Istoric_Nativ'!$E$6:$E$405,G690,'Istoric_Nativ'!$D$6:$D$405,"&lt;"&amp;J690,'Istoric_Nativ'!$P$6:$P$405,1,'Istoric_Nativ'!$D$6:$D$405,"&gt;="&amp;L690),IF(H690="AWAY",SUMIFS('Istoric_Nativ'!$G$6:$G$405,'Istoric_Nativ'!$B$6:$B$405,E690,'Istoric_Nativ'!$C$6:$C$405,F690,'Istoric_Nativ'!$F$6:$F$405,G690,'Istoric_Nativ'!$D$6:$D$405,"&lt;"&amp;J690,'Istoric_Nativ'!$P$6:$P$405,1,'Istoric_Nativ'!$D$6:$D$405,"&gt;="&amp;L690),SUMIFS('Istoric_Nativ'!$H$6:$H$405,'Istoric_Nativ'!$B$6:$B$405,E690,'Istoric_Nativ'!$C$6:$C$405,F690,'Istoric_Nativ'!$E$6:$E$405,G690,'Istoric_Nativ'!$D$6:$D$405,"&lt;"&amp;J690,'Istoric_Nativ'!$P$6:$P$405,1,'Istoric_Nativ'!$D$6:$D$405,"&gt;="&amp;L690)+SUMIFS('Istoric_Nativ'!$G$6:$G$405,'Istoric_Nativ'!$B$6:$B$405,E690,'Istoric_Nativ'!$C$6:$C$405,F690,'Istoric_Nativ'!$F$6:$F$405,G690,'Istoric_Nativ'!$D$6:$D$405,"&lt;"&amp;J690,'Istoric_Nativ'!$P$6:$P$405,1,'Istoric_Nativ'!$D$6:$D$405,"&gt;="&amp;L690)))/M690)</x:f>
      </x:c>
      <x:c r="P690" s="2" t="n">
        <x:f>'Config_v6'!$B$7</x:f>
        <x:v>10</x:v>
      </x:c>
      <x:c r="Q690" s="2" t="n">
        <x:f>IF(OR(B690="",F690=""),0,IFERROR(MATCH(E690&amp;"|"&amp;F690,SourceTable[Source_Key],0),0))</x:f>
        <x:v>0</x:v>
      </x:c>
      <x:c r="R690" s="2" t="str">
        <x:f>IF(B690="","",IF(F690="","UNUSED",IF(Q690=0,"NOT CHECKED",IF(COUNTIF(SourceTable[Source_Key],E690&amp;"|"&amp;F690)&lt;&gt;1,"SOURCE CONFLICT",IF(NOT(OR(INDEX(SourceTable[Status],MAX(1,Q690))="IMPORTED",INDEX(SourceTable[Status],MAX(1,Q690))="PARTIAL",INDEX(SourceTable[Status],MAX(1,Q690))="SOURCE CONFLICT")),"ACCESS BLOCKED",IF(OR(INDEX(SourceTable[Coverage],Q690)&lt;&gt;"FULL SEASON EXPORT",INDEX(SourceTable[URL],Q690)="",INDEX(SourceTable[SHA256],Q690)=""),"EVIDENCE INCOMPLETE",IF(AND('Input_Meci'!H63="LIVE",INDEX(SourceTable[Retrieved_UTC],Q690)&gt;'Input_Meci'!G63),"POST CUTOFF","CLOSED")))))))</x:f>
      </x:c>
      <x:c r="S690" s="2" t="n">
        <x:f>IF(OR(B690="",F690=""),0,COUNTIFS('Istoric_Nativ'!$B$6:$B$405,E690,'Istoric_Nativ'!$C$6:$C$405,F690,'Istoric_Nativ'!$E$6:$E$405,G690,'Istoric_Nativ'!$D$6:$D$405,"&lt;"&amp;J690,'Istoric_Nativ'!$O$6:$O$405,"INVALID")+COUNTIFS('Istoric_Nativ'!$B$6:$B$405,E690,'Istoric_Nativ'!$C$6:$C$405,F690,'Istoric_Nativ'!$E$6:$E$405,G690,'Istoric_Nativ'!$O$6:$O$405,"INVALID",'Istoric_Nativ'!$D$6:$D$405,"*")+COUNTIFS('Istoric_Nativ'!$B$6:$B$405,E690,'Istoric_Nativ'!$C$6:$C$405,F690,'Istoric_Nativ'!$E$6:$E$405,G690,'Istoric_Nativ'!$D$6:$D$405,"&lt;"&amp;J690,'Istoric_Nativ'!$O$6:$O$405,"SOURCE CONFLICT")+COUNTIFS('Istoric_Nativ'!$B$6:$B$405,E690,'Istoric_Nativ'!$C$6:$C$405,F690,'Istoric_Nativ'!$F$6:$F$405,G690,'Istoric_Nativ'!$D$6:$D$405,"&lt;"&amp;J690,'Istoric_Nativ'!$O$6:$O$405,"INVALID")+COUNTIFS('Istoric_Nativ'!$B$6:$B$405,E690,'Istoric_Nativ'!$C$6:$C$405,F690,'Istoric_Nativ'!$F$6:$F$405,G690,'Istoric_Nativ'!$O$6:$O$405,"INVALID",'Istoric_Nativ'!$D$6:$D$405,"*")+COUNTIFS('Istoric_Nativ'!$B$6:$B$405,E690,'Istoric_Nativ'!$C$6:$C$405,F690,'Istoric_Nativ'!$F$6:$F$405,G690,'Istoric_Nativ'!$D$6:$D$405,"&lt;"&amp;J690,'Istoric_Nativ'!$O$6:$O$405,"SOURCE CONFLICT"))</x:f>
        <x:v>0</x:v>
      </x:c>
      <x:c r="T690" s="2" t="str">
        <x:f>IF(B690="","",IF(R690&lt;&gt;"CLOSED",R690,IF(S690&gt;0,"NATIVE INPUT ISSUE",IF(M690=0,"NO HISTORY",IF(M690&lt;P690,"SMALL SAMPLE","DERIVED")))))</x:f>
      </x:c>
      <x:c r="U690" s="2" t="str">
        <x:f>IF(B690="","","NativeTable; "&amp;E690&amp;"; "&amp;F690&amp;"; "&amp;G690&amp;"; "&amp;H690&amp;"; before "&amp;TEXT(J690,"yyyy-mm-dd")&amp;IF(I690="RECENT","; from "&amp;TEXT(L690,"yyyy-mm-dd"),""))</x:f>
      </x:c>
    </x:row>
    <x:row r="691" ht="21" customHeight="1">
      <x:c r="A691" s="2" t="n">
        <x:v>58</x:v>
      </x:c>
      <x:c r="B691" s="2" t="str">
        <x:f>IF('Input_Meci'!A63="","",'Input_Meci'!A63)</x:f>
      </x:c>
      <x:c r="C691" s="2" t="str">
        <x:v>H</x:v>
      </x:c>
      <x:c r="D691" s="2" t="str">
        <x:v>CURRENT</x:v>
      </x:c>
      <x:c r="E691" s="2" t="str">
        <x:f>IF(B691="","",'Input_Meci'!B63)</x:f>
      </x:c>
      <x:c r="F691" s="2" t="str">
        <x:f>IF(B691="","",IF('Input_Meci'!C63="","",'Input_Meci'!C63))</x:f>
      </x:c>
      <x:c r="G691" s="2" t="str">
        <x:f>IF(B691="","",'Input_Meci'!D63)</x:f>
      </x:c>
      <x:c r="H691" s="2" t="str">
        <x:v>HOME</x:v>
      </x:c>
      <x:c r="I691" s="2" t="str">
        <x:v>HA</x:v>
      </x:c>
      <x:c r="J691" s="9" t="n">
        <x:f>IF(AND(B691&lt;&gt;"",ISNUMBER('Input_Meci'!G63)),INT('Input_Meci'!G63),0)</x:f>
        <x:v>0</x:v>
      </x:c>
      <x:c r="K691" s="2" t="n">
        <x:f>IF(OR(B691="",F691=""),0,IF(H691="HOME",COUNTIFS('Istoric_Nativ'!$B$6:$B$405,E691,'Istoric_Nativ'!$C$6:$C$405,F691,'Istoric_Nativ'!$E$6:$E$405,G691,'Istoric_Nativ'!$D$6:$D$405,"&lt;"&amp;J691,'Istoric_Nativ'!$P$6:$P$405,1),IF(H691="AWAY",COUNTIFS('Istoric_Nativ'!$B$6:$B$405,E691,'Istoric_Nativ'!$C$6:$C$405,F691,'Istoric_Nativ'!$F$6:$F$405,G691,'Istoric_Nativ'!$D$6:$D$405,"&lt;"&amp;J691,'Istoric_Nativ'!$P$6:$P$405,1),COUNTIFS('Istoric_Nativ'!$B$6:$B$405,E691,'Istoric_Nativ'!$C$6:$C$405,F691,'Istoric_Nativ'!$E$6:$E$405,G691,'Istoric_Nativ'!$D$6:$D$405,"&lt;"&amp;J691,'Istoric_Nativ'!$P$6:$P$405,1)+COUNTIFS('Istoric_Nativ'!$B$6:$B$405,E691,'Istoric_Nativ'!$C$6:$C$405,F691,'Istoric_Nativ'!$F$6:$F$405,G691,'Istoric_Nativ'!$D$6:$D$405,"&lt;"&amp;J691,'Istoric_Nativ'!$P$6:$P$405,1))))</x:f>
        <x:v>0</x:v>
      </x:c>
      <x:c r="L691" s="17" t="n">
        <x:f>IF(AND(B691&lt;&gt;"",I691="RECENT",K691&gt;0),LARGE(_xlfn._xlws.FILTER('Istoric_Nativ'!$D$6:$D$405,('Istoric_Nativ'!$B$6:$B$405=E691)*('Istoric_Nativ'!$C$6:$C$405=F691)*('Istoric_Nativ'!$P$6:$P$405=1)*('Istoric_Nativ'!$D$6:$D$405&lt;J691)*((('Istoric_Nativ'!$E$6:$E$405=G691)+('Istoric_Nativ'!$F$6:$F$405=G691))&gt;0)),MIN('Config_v6'!$B$54,K691)),0)</x:f>
        <x:v>0</x:v>
      </x:c>
      <x:c r="M691" s="2" t="n">
        <x:f>IF(OR(B691="",F691=""),0,IF(H691="HOME",COUNTIFS('Istoric_Nativ'!$B$6:$B$405,E691,'Istoric_Nativ'!$C$6:$C$405,F691,'Istoric_Nativ'!$E$6:$E$405,G691,'Istoric_Nativ'!$D$6:$D$405,"&lt;"&amp;J691,'Istoric_Nativ'!$P$6:$P$405,1,'Istoric_Nativ'!$D$6:$D$405,"&gt;="&amp;L691),IF(H691="AWAY",COUNTIFS('Istoric_Nativ'!$B$6:$B$405,E691,'Istoric_Nativ'!$C$6:$C$405,F691,'Istoric_Nativ'!$F$6:$F$405,G691,'Istoric_Nativ'!$D$6:$D$405,"&lt;"&amp;J691,'Istoric_Nativ'!$P$6:$P$405,1,'Istoric_Nativ'!$D$6:$D$405,"&gt;="&amp;L691),COUNTIFS('Istoric_Nativ'!$B$6:$B$405,E691,'Istoric_Nativ'!$C$6:$C$405,F691,'Istoric_Nativ'!$E$6:$E$405,G691,'Istoric_Nativ'!$D$6:$D$405,"&lt;"&amp;J691,'Istoric_Nativ'!$P$6:$P$405,1,'Istoric_Nativ'!$D$6:$D$405,"&gt;="&amp;L691)+COUNTIFS('Istoric_Nativ'!$B$6:$B$405,E691,'Istoric_Nativ'!$C$6:$C$405,F691,'Istoric_Nativ'!$F$6:$F$405,G691,'Istoric_Nativ'!$D$6:$D$405,"&lt;"&amp;J691,'Istoric_Nativ'!$P$6:$P$405,1,'Istoric_Nativ'!$D$6:$D$405,"&gt;="&amp;L691))))</x:f>
        <x:v>0</x:v>
      </x:c>
      <x:c r="N691" s="11" t="str">
        <x:f>IF(M691=0,"",IF(H691="HOME",SUMIFS('Istoric_Nativ'!$G$6:$G$405,'Istoric_Nativ'!$B$6:$B$405,E691,'Istoric_Nativ'!$C$6:$C$405,F691,'Istoric_Nativ'!$E$6:$E$405,G691,'Istoric_Nativ'!$D$6:$D$405,"&lt;"&amp;J691,'Istoric_Nativ'!$P$6:$P$405,1,'Istoric_Nativ'!$D$6:$D$405,"&gt;="&amp;L691),IF(H691="AWAY",SUMIFS('Istoric_Nativ'!$H$6:$H$405,'Istoric_Nativ'!$B$6:$B$405,E691,'Istoric_Nativ'!$C$6:$C$405,F691,'Istoric_Nativ'!$F$6:$F$405,G691,'Istoric_Nativ'!$D$6:$D$405,"&lt;"&amp;J691,'Istoric_Nativ'!$P$6:$P$405,1,'Istoric_Nativ'!$D$6:$D$405,"&gt;="&amp;L691),SUMIFS('Istoric_Nativ'!$G$6:$G$405,'Istoric_Nativ'!$B$6:$B$405,E691,'Istoric_Nativ'!$C$6:$C$405,F691,'Istoric_Nativ'!$E$6:$E$405,G691,'Istoric_Nativ'!$D$6:$D$405,"&lt;"&amp;J691,'Istoric_Nativ'!$P$6:$P$405,1,'Istoric_Nativ'!$D$6:$D$405,"&gt;="&amp;L691)+SUMIFS('Istoric_Nativ'!$H$6:$H$405,'Istoric_Nativ'!$B$6:$B$405,E691,'Istoric_Nativ'!$C$6:$C$405,F691,'Istoric_Nativ'!$F$6:$F$405,G691,'Istoric_Nativ'!$D$6:$D$405,"&lt;"&amp;J691,'Istoric_Nativ'!$P$6:$P$405,1,'Istoric_Nativ'!$D$6:$D$405,"&gt;="&amp;L691)))/M691)</x:f>
      </x:c>
      <x:c r="O691" s="11" t="str">
        <x:f>IF(M691=0,"",IF(H691="HOME",SUMIFS('Istoric_Nativ'!$H$6:$H$405,'Istoric_Nativ'!$B$6:$B$405,E691,'Istoric_Nativ'!$C$6:$C$405,F691,'Istoric_Nativ'!$E$6:$E$405,G691,'Istoric_Nativ'!$D$6:$D$405,"&lt;"&amp;J691,'Istoric_Nativ'!$P$6:$P$405,1,'Istoric_Nativ'!$D$6:$D$405,"&gt;="&amp;L691),IF(H691="AWAY",SUMIFS('Istoric_Nativ'!$G$6:$G$405,'Istoric_Nativ'!$B$6:$B$405,E691,'Istoric_Nativ'!$C$6:$C$405,F691,'Istoric_Nativ'!$F$6:$F$405,G691,'Istoric_Nativ'!$D$6:$D$405,"&lt;"&amp;J691,'Istoric_Nativ'!$P$6:$P$405,1,'Istoric_Nativ'!$D$6:$D$405,"&gt;="&amp;L691),SUMIFS('Istoric_Nativ'!$H$6:$H$405,'Istoric_Nativ'!$B$6:$B$405,E691,'Istoric_Nativ'!$C$6:$C$405,F691,'Istoric_Nativ'!$E$6:$E$405,G691,'Istoric_Nativ'!$D$6:$D$405,"&lt;"&amp;J691,'Istoric_Nativ'!$P$6:$P$405,1,'Istoric_Nativ'!$D$6:$D$405,"&gt;="&amp;L691)+SUMIFS('Istoric_Nativ'!$G$6:$G$405,'Istoric_Nativ'!$B$6:$B$405,E691,'Istoric_Nativ'!$C$6:$C$405,F691,'Istoric_Nativ'!$F$6:$F$405,G691,'Istoric_Nativ'!$D$6:$D$405,"&lt;"&amp;J691,'Istoric_Nativ'!$P$6:$P$405,1,'Istoric_Nativ'!$D$6:$D$405,"&gt;="&amp;L691)))/M691)</x:f>
      </x:c>
      <x:c r="P691" s="2" t="n">
        <x:f>'Config_v6'!$B$8</x:f>
        <x:v>5</x:v>
      </x:c>
      <x:c r="Q691" s="2" t="n">
        <x:f>IF(OR(B691="",F691=""),0,IFERROR(MATCH(E691&amp;"|"&amp;F691,SourceTable[Source_Key],0),0))</x:f>
        <x:v>0</x:v>
      </x:c>
      <x:c r="R691" s="2" t="str">
        <x:f>IF(B691="","",IF(F691="","UNUSED",IF(Q691=0,"NOT CHECKED",IF(COUNTIF(SourceTable[Source_Key],E691&amp;"|"&amp;F691)&lt;&gt;1,"SOURCE CONFLICT",IF(NOT(OR(INDEX(SourceTable[Status],MAX(1,Q691))="IMPORTED",INDEX(SourceTable[Status],MAX(1,Q691))="PARTIAL",INDEX(SourceTable[Status],MAX(1,Q691))="SOURCE CONFLICT")),"ACCESS BLOCKED",IF(OR(INDEX(SourceTable[Coverage],Q691)&lt;&gt;"FULL SEASON EXPORT",INDEX(SourceTable[URL],Q691)="",INDEX(SourceTable[SHA256],Q691)=""),"EVIDENCE INCOMPLETE",IF(AND('Input_Meci'!H63="LIVE",INDEX(SourceTable[Retrieved_UTC],Q691)&gt;'Input_Meci'!G63),"POST CUTOFF","CLOSED")))))))</x:f>
      </x:c>
      <x:c r="S691" s="2" t="n">
        <x:f>IF(OR(B691="",F691=""),0,COUNTIFS('Istoric_Nativ'!$B$6:$B$405,E691,'Istoric_Nativ'!$C$6:$C$405,F691,'Istoric_Nativ'!$E$6:$E$405,G691,'Istoric_Nativ'!$D$6:$D$405,"&lt;"&amp;J691,'Istoric_Nativ'!$O$6:$O$405,"INVALID")+COUNTIFS('Istoric_Nativ'!$B$6:$B$405,E691,'Istoric_Nativ'!$C$6:$C$405,F691,'Istoric_Nativ'!$E$6:$E$405,G691,'Istoric_Nativ'!$O$6:$O$405,"INVALID",'Istoric_Nativ'!$D$6:$D$405,"*")+COUNTIFS('Istoric_Nativ'!$B$6:$B$405,E691,'Istoric_Nativ'!$C$6:$C$405,F691,'Istoric_Nativ'!$E$6:$E$405,G691,'Istoric_Nativ'!$D$6:$D$405,"&lt;"&amp;J691,'Istoric_Nativ'!$O$6:$O$405,"SOURCE CONFLICT")+COUNTIFS('Istoric_Nativ'!$B$6:$B$405,E691,'Istoric_Nativ'!$C$6:$C$405,F691,'Istoric_Nativ'!$F$6:$F$405,G691,'Istoric_Nativ'!$D$6:$D$405,"&lt;"&amp;J691,'Istoric_Nativ'!$O$6:$O$405,"INVALID")+COUNTIFS('Istoric_Nativ'!$B$6:$B$405,E691,'Istoric_Nativ'!$C$6:$C$405,F691,'Istoric_Nativ'!$F$6:$F$405,G691,'Istoric_Nativ'!$O$6:$O$405,"INVALID",'Istoric_Nativ'!$D$6:$D$405,"*")+COUNTIFS('Istoric_Nativ'!$B$6:$B$405,E691,'Istoric_Nativ'!$C$6:$C$405,F691,'Istoric_Nativ'!$F$6:$F$405,G691,'Istoric_Nativ'!$D$6:$D$405,"&lt;"&amp;J691,'Istoric_Nativ'!$O$6:$O$405,"SOURCE CONFLICT"))</x:f>
        <x:v>0</x:v>
      </x:c>
      <x:c r="T691" s="2" t="str">
        <x:f>IF(B691="","",IF(R691&lt;&gt;"CLOSED",R691,IF(S691&gt;0,"NATIVE INPUT ISSUE",IF(M691=0,"NO HISTORY",IF(M691&lt;P691,"SMALL SAMPLE","DERIVED")))))</x:f>
      </x:c>
      <x:c r="U691" s="2" t="str">
        <x:f>IF(B691="","","NativeTable; "&amp;E691&amp;"; "&amp;F691&amp;"; "&amp;G691&amp;"; "&amp;H691&amp;"; before "&amp;TEXT(J691,"yyyy-mm-dd")&amp;IF(I691="RECENT","; from "&amp;TEXT(L691,"yyyy-mm-dd"),""))</x:f>
      </x:c>
    </x:row>
    <x:row r="692" ht="21" customHeight="1">
      <x:c r="A692" s="2" t="n">
        <x:v>58</x:v>
      </x:c>
      <x:c r="B692" s="2" t="str">
        <x:f>IF('Input_Meci'!A63="","",'Input_Meci'!A63)</x:f>
      </x:c>
      <x:c r="C692" s="2" t="str">
        <x:v>H</x:v>
      </x:c>
      <x:c r="D692" s="2" t="str">
        <x:v>CURRENT</x:v>
      </x:c>
      <x:c r="E692" s="2" t="str">
        <x:f>IF(B692="","",'Input_Meci'!B63)</x:f>
      </x:c>
      <x:c r="F692" s="2" t="str">
        <x:f>IF(B692="","",IF('Input_Meci'!C63="","",'Input_Meci'!C63))</x:f>
      </x:c>
      <x:c r="G692" s="2" t="str">
        <x:f>IF(B692="","",'Input_Meci'!D63)</x:f>
      </x:c>
      <x:c r="H692" s="2" t="str">
        <x:v>ANY</x:v>
      </x:c>
      <x:c r="I692" s="2" t="str">
        <x:v>RECENT</x:v>
      </x:c>
      <x:c r="J692" s="9" t="n">
        <x:f>IF(AND(B692&lt;&gt;"",ISNUMBER('Input_Meci'!G63)),INT('Input_Meci'!G63),0)</x:f>
        <x:v>0</x:v>
      </x:c>
      <x:c r="K692" s="2" t="n">
        <x:f>IF(OR(B692="",F692=""),0,IF(H692="HOME",COUNTIFS('Istoric_Nativ'!$B$6:$B$405,E692,'Istoric_Nativ'!$C$6:$C$405,F692,'Istoric_Nativ'!$E$6:$E$405,G692,'Istoric_Nativ'!$D$6:$D$405,"&lt;"&amp;J692,'Istoric_Nativ'!$P$6:$P$405,1),IF(H692="AWAY",COUNTIFS('Istoric_Nativ'!$B$6:$B$405,E692,'Istoric_Nativ'!$C$6:$C$405,F692,'Istoric_Nativ'!$F$6:$F$405,G692,'Istoric_Nativ'!$D$6:$D$405,"&lt;"&amp;J692,'Istoric_Nativ'!$P$6:$P$405,1),COUNTIFS('Istoric_Nativ'!$B$6:$B$405,E692,'Istoric_Nativ'!$C$6:$C$405,F692,'Istoric_Nativ'!$E$6:$E$405,G692,'Istoric_Nativ'!$D$6:$D$405,"&lt;"&amp;J692,'Istoric_Nativ'!$P$6:$P$405,1)+COUNTIFS('Istoric_Nativ'!$B$6:$B$405,E692,'Istoric_Nativ'!$C$6:$C$405,F692,'Istoric_Nativ'!$F$6:$F$405,G692,'Istoric_Nativ'!$D$6:$D$405,"&lt;"&amp;J692,'Istoric_Nativ'!$P$6:$P$405,1))))</x:f>
        <x:v>0</x:v>
      </x:c>
      <x:c r="L692" s="17" t="n">
        <x:f>IF(AND(B692&lt;&gt;"",I692="RECENT",K692&gt;0),LARGE(_xlfn._xlws.FILTER('Istoric_Nativ'!$D$6:$D$405,('Istoric_Nativ'!$B$6:$B$405=E692)*('Istoric_Nativ'!$C$6:$C$405=F692)*('Istoric_Nativ'!$P$6:$P$405=1)*('Istoric_Nativ'!$D$6:$D$405&lt;J692)*((('Istoric_Nativ'!$E$6:$E$405=G692)+('Istoric_Nativ'!$F$6:$F$405=G692))&gt;0)),MIN('Config_v6'!$B$54,K692)),0)</x:f>
        <x:v>0</x:v>
      </x:c>
      <x:c r="M692" s="2" t="n">
        <x:f>IF(OR(B692="",F692=""),0,IF(H692="HOME",COUNTIFS('Istoric_Nativ'!$B$6:$B$405,E692,'Istoric_Nativ'!$C$6:$C$405,F692,'Istoric_Nativ'!$E$6:$E$405,G692,'Istoric_Nativ'!$D$6:$D$405,"&lt;"&amp;J692,'Istoric_Nativ'!$P$6:$P$405,1,'Istoric_Nativ'!$D$6:$D$405,"&gt;="&amp;L692),IF(H692="AWAY",COUNTIFS('Istoric_Nativ'!$B$6:$B$405,E692,'Istoric_Nativ'!$C$6:$C$405,F692,'Istoric_Nativ'!$F$6:$F$405,G692,'Istoric_Nativ'!$D$6:$D$405,"&lt;"&amp;J692,'Istoric_Nativ'!$P$6:$P$405,1,'Istoric_Nativ'!$D$6:$D$405,"&gt;="&amp;L692),COUNTIFS('Istoric_Nativ'!$B$6:$B$405,E692,'Istoric_Nativ'!$C$6:$C$405,F692,'Istoric_Nativ'!$E$6:$E$405,G692,'Istoric_Nativ'!$D$6:$D$405,"&lt;"&amp;J692,'Istoric_Nativ'!$P$6:$P$405,1,'Istoric_Nativ'!$D$6:$D$405,"&gt;="&amp;L692)+COUNTIFS('Istoric_Nativ'!$B$6:$B$405,E692,'Istoric_Nativ'!$C$6:$C$405,F692,'Istoric_Nativ'!$F$6:$F$405,G692,'Istoric_Nativ'!$D$6:$D$405,"&lt;"&amp;J692,'Istoric_Nativ'!$P$6:$P$405,1,'Istoric_Nativ'!$D$6:$D$405,"&gt;="&amp;L692))))</x:f>
        <x:v>0</x:v>
      </x:c>
      <x:c r="N692" s="11" t="str">
        <x:f>IF(M692=0,"",IF(H692="HOME",SUMIFS('Istoric_Nativ'!$G$6:$G$405,'Istoric_Nativ'!$B$6:$B$405,E692,'Istoric_Nativ'!$C$6:$C$405,F692,'Istoric_Nativ'!$E$6:$E$405,G692,'Istoric_Nativ'!$D$6:$D$405,"&lt;"&amp;J692,'Istoric_Nativ'!$P$6:$P$405,1,'Istoric_Nativ'!$D$6:$D$405,"&gt;="&amp;L692),IF(H692="AWAY",SUMIFS('Istoric_Nativ'!$H$6:$H$405,'Istoric_Nativ'!$B$6:$B$405,E692,'Istoric_Nativ'!$C$6:$C$405,F692,'Istoric_Nativ'!$F$6:$F$405,G692,'Istoric_Nativ'!$D$6:$D$405,"&lt;"&amp;J692,'Istoric_Nativ'!$P$6:$P$405,1,'Istoric_Nativ'!$D$6:$D$405,"&gt;="&amp;L692),SUMIFS('Istoric_Nativ'!$G$6:$G$405,'Istoric_Nativ'!$B$6:$B$405,E692,'Istoric_Nativ'!$C$6:$C$405,F692,'Istoric_Nativ'!$E$6:$E$405,G692,'Istoric_Nativ'!$D$6:$D$405,"&lt;"&amp;J692,'Istoric_Nativ'!$P$6:$P$405,1,'Istoric_Nativ'!$D$6:$D$405,"&gt;="&amp;L692)+SUMIFS('Istoric_Nativ'!$H$6:$H$405,'Istoric_Nativ'!$B$6:$B$405,E692,'Istoric_Nativ'!$C$6:$C$405,F692,'Istoric_Nativ'!$F$6:$F$405,G692,'Istoric_Nativ'!$D$6:$D$405,"&lt;"&amp;J692,'Istoric_Nativ'!$P$6:$P$405,1,'Istoric_Nativ'!$D$6:$D$405,"&gt;="&amp;L692)))/M692)</x:f>
      </x:c>
      <x:c r="O692" s="11" t="str">
        <x:f>IF(M692=0,"",IF(H692="HOME",SUMIFS('Istoric_Nativ'!$H$6:$H$405,'Istoric_Nativ'!$B$6:$B$405,E692,'Istoric_Nativ'!$C$6:$C$405,F692,'Istoric_Nativ'!$E$6:$E$405,G692,'Istoric_Nativ'!$D$6:$D$405,"&lt;"&amp;J692,'Istoric_Nativ'!$P$6:$P$405,1,'Istoric_Nativ'!$D$6:$D$405,"&gt;="&amp;L692),IF(H692="AWAY",SUMIFS('Istoric_Nativ'!$G$6:$G$405,'Istoric_Nativ'!$B$6:$B$405,E692,'Istoric_Nativ'!$C$6:$C$405,F692,'Istoric_Nativ'!$F$6:$F$405,G692,'Istoric_Nativ'!$D$6:$D$405,"&lt;"&amp;J692,'Istoric_Nativ'!$P$6:$P$405,1,'Istoric_Nativ'!$D$6:$D$405,"&gt;="&amp;L692),SUMIFS('Istoric_Nativ'!$H$6:$H$405,'Istoric_Nativ'!$B$6:$B$405,E692,'Istoric_Nativ'!$C$6:$C$405,F692,'Istoric_Nativ'!$E$6:$E$405,G692,'Istoric_Nativ'!$D$6:$D$405,"&lt;"&amp;J692,'Istoric_Nativ'!$P$6:$P$405,1,'Istoric_Nativ'!$D$6:$D$405,"&gt;="&amp;L692)+SUMIFS('Istoric_Nativ'!$G$6:$G$405,'Istoric_Nativ'!$B$6:$B$405,E692,'Istoric_Nativ'!$C$6:$C$405,F692,'Istoric_Nativ'!$F$6:$F$405,G692,'Istoric_Nativ'!$D$6:$D$405,"&lt;"&amp;J692,'Istoric_Nativ'!$P$6:$P$405,1,'Istoric_Nativ'!$D$6:$D$405,"&gt;="&amp;L692)))/M692)</x:f>
      </x:c>
      <x:c r="P692" s="2" t="n">
        <x:f>'Config_v6'!$B$9</x:f>
        <x:v>3</x:v>
      </x:c>
      <x:c r="Q692" s="2" t="n">
        <x:f>IF(OR(B692="",F692=""),0,IFERROR(MATCH(E692&amp;"|"&amp;F692,SourceTable[Source_Key],0),0))</x:f>
        <x:v>0</x:v>
      </x:c>
      <x:c r="R692" s="2" t="str">
        <x:f>IF(B692="","",IF(F692="","UNUSED",IF(Q692=0,"NOT CHECKED",IF(COUNTIF(SourceTable[Source_Key],E692&amp;"|"&amp;F692)&lt;&gt;1,"SOURCE CONFLICT",IF(NOT(OR(INDEX(SourceTable[Status],MAX(1,Q692))="IMPORTED",INDEX(SourceTable[Status],MAX(1,Q692))="PARTIAL",INDEX(SourceTable[Status],MAX(1,Q692))="SOURCE CONFLICT")),"ACCESS BLOCKED",IF(OR(INDEX(SourceTable[Coverage],Q692)&lt;&gt;"FULL SEASON EXPORT",INDEX(SourceTable[URL],Q692)="",INDEX(SourceTable[SHA256],Q692)=""),"EVIDENCE INCOMPLETE",IF(AND('Input_Meci'!H63="LIVE",INDEX(SourceTable[Retrieved_UTC],Q692)&gt;'Input_Meci'!G63),"POST CUTOFF","CLOSED")))))))</x:f>
      </x:c>
      <x:c r="S692" s="2" t="n">
        <x:f>IF(OR(B692="",F692=""),0,COUNTIFS('Istoric_Nativ'!$B$6:$B$405,E692,'Istoric_Nativ'!$C$6:$C$405,F692,'Istoric_Nativ'!$E$6:$E$405,G692,'Istoric_Nativ'!$D$6:$D$405,"&lt;"&amp;J692,'Istoric_Nativ'!$O$6:$O$405,"INVALID")+COUNTIFS('Istoric_Nativ'!$B$6:$B$405,E692,'Istoric_Nativ'!$C$6:$C$405,F692,'Istoric_Nativ'!$E$6:$E$405,G692,'Istoric_Nativ'!$O$6:$O$405,"INVALID",'Istoric_Nativ'!$D$6:$D$405,"*")+COUNTIFS('Istoric_Nativ'!$B$6:$B$405,E692,'Istoric_Nativ'!$C$6:$C$405,F692,'Istoric_Nativ'!$E$6:$E$405,G692,'Istoric_Nativ'!$D$6:$D$405,"&lt;"&amp;J692,'Istoric_Nativ'!$O$6:$O$405,"SOURCE CONFLICT")+COUNTIFS('Istoric_Nativ'!$B$6:$B$405,E692,'Istoric_Nativ'!$C$6:$C$405,F692,'Istoric_Nativ'!$F$6:$F$405,G692,'Istoric_Nativ'!$D$6:$D$405,"&lt;"&amp;J692,'Istoric_Nativ'!$O$6:$O$405,"INVALID")+COUNTIFS('Istoric_Nativ'!$B$6:$B$405,E692,'Istoric_Nativ'!$C$6:$C$405,F692,'Istoric_Nativ'!$F$6:$F$405,G692,'Istoric_Nativ'!$O$6:$O$405,"INVALID",'Istoric_Nativ'!$D$6:$D$405,"*")+COUNTIFS('Istoric_Nativ'!$B$6:$B$405,E692,'Istoric_Nativ'!$C$6:$C$405,F692,'Istoric_Nativ'!$F$6:$F$405,G692,'Istoric_Nativ'!$D$6:$D$405,"&lt;"&amp;J692,'Istoric_Nativ'!$O$6:$O$405,"SOURCE CONFLICT"))</x:f>
        <x:v>0</x:v>
      </x:c>
      <x:c r="T692" s="2" t="str">
        <x:f>IF(B692="","",IF(R692&lt;&gt;"CLOSED",R692,IF(S692&gt;0,"NATIVE INPUT ISSUE",IF(M692=0,"NO HISTORY",IF(M692&lt;P692,"SMALL SAMPLE","DERIVED")))))</x:f>
      </x:c>
      <x:c r="U692" s="2" t="str">
        <x:f>IF(B692="","","NativeTable; "&amp;E692&amp;"; "&amp;F692&amp;"; "&amp;G692&amp;"; "&amp;H692&amp;"; before "&amp;TEXT(J692,"yyyy-mm-dd")&amp;IF(I692="RECENT","; from "&amp;TEXT(L692,"yyyy-mm-dd"),""))</x:f>
      </x:c>
    </x:row>
    <x:row r="693" ht="21" customHeight="1">
      <x:c r="A693" s="2" t="n">
        <x:v>58</x:v>
      </x:c>
      <x:c r="B693" s="2" t="str">
        <x:f>IF('Input_Meci'!A63="","",'Input_Meci'!A63)</x:f>
      </x:c>
      <x:c r="C693" s="2" t="str">
        <x:v>A</x:v>
      </x:c>
      <x:c r="D693" s="2" t="str">
        <x:v>CURRENT</x:v>
      </x:c>
      <x:c r="E693" s="2" t="str">
        <x:f>IF(B693="","",'Input_Meci'!B63)</x:f>
      </x:c>
      <x:c r="F693" s="2" t="str">
        <x:f>IF(B693="","",IF('Input_Meci'!C63="","",'Input_Meci'!C63))</x:f>
      </x:c>
      <x:c r="G693" s="2" t="str">
        <x:f>IF(B693="","",'Input_Meci'!E63)</x:f>
      </x:c>
      <x:c r="H693" s="2" t="str">
        <x:v>ANY</x:v>
      </x:c>
      <x:c r="I693" s="2" t="str">
        <x:v>SEASON</x:v>
      </x:c>
      <x:c r="J693" s="9" t="n">
        <x:f>IF(AND(B693&lt;&gt;"",ISNUMBER('Input_Meci'!G63)),INT('Input_Meci'!G63),0)</x:f>
        <x:v>0</x:v>
      </x:c>
      <x:c r="K693" s="2" t="n">
        <x:f>IF(OR(B693="",F693=""),0,IF(H693="HOME",COUNTIFS('Istoric_Nativ'!$B$6:$B$405,E693,'Istoric_Nativ'!$C$6:$C$405,F693,'Istoric_Nativ'!$E$6:$E$405,G693,'Istoric_Nativ'!$D$6:$D$405,"&lt;"&amp;J693,'Istoric_Nativ'!$P$6:$P$405,1),IF(H693="AWAY",COUNTIFS('Istoric_Nativ'!$B$6:$B$405,E693,'Istoric_Nativ'!$C$6:$C$405,F693,'Istoric_Nativ'!$F$6:$F$405,G693,'Istoric_Nativ'!$D$6:$D$405,"&lt;"&amp;J693,'Istoric_Nativ'!$P$6:$P$405,1),COUNTIFS('Istoric_Nativ'!$B$6:$B$405,E693,'Istoric_Nativ'!$C$6:$C$405,F693,'Istoric_Nativ'!$E$6:$E$405,G693,'Istoric_Nativ'!$D$6:$D$405,"&lt;"&amp;J693,'Istoric_Nativ'!$P$6:$P$405,1)+COUNTIFS('Istoric_Nativ'!$B$6:$B$405,E693,'Istoric_Nativ'!$C$6:$C$405,F693,'Istoric_Nativ'!$F$6:$F$405,G693,'Istoric_Nativ'!$D$6:$D$405,"&lt;"&amp;J693,'Istoric_Nativ'!$P$6:$P$405,1))))</x:f>
        <x:v>0</x:v>
      </x:c>
      <x:c r="L693" s="17" t="n">
        <x:f>IF(AND(B693&lt;&gt;"",I693="RECENT",K693&gt;0),LARGE(_xlfn._xlws.FILTER('Istoric_Nativ'!$D$6:$D$405,('Istoric_Nativ'!$B$6:$B$405=E693)*('Istoric_Nativ'!$C$6:$C$405=F693)*('Istoric_Nativ'!$P$6:$P$405=1)*('Istoric_Nativ'!$D$6:$D$405&lt;J693)*((('Istoric_Nativ'!$E$6:$E$405=G693)+('Istoric_Nativ'!$F$6:$F$405=G693))&gt;0)),MIN('Config_v6'!$B$54,K693)),0)</x:f>
        <x:v>0</x:v>
      </x:c>
      <x:c r="M693" s="2" t="n">
        <x:f>IF(OR(B693="",F693=""),0,IF(H693="HOME",COUNTIFS('Istoric_Nativ'!$B$6:$B$405,E693,'Istoric_Nativ'!$C$6:$C$405,F693,'Istoric_Nativ'!$E$6:$E$405,G693,'Istoric_Nativ'!$D$6:$D$405,"&lt;"&amp;J693,'Istoric_Nativ'!$P$6:$P$405,1,'Istoric_Nativ'!$D$6:$D$405,"&gt;="&amp;L693),IF(H693="AWAY",COUNTIFS('Istoric_Nativ'!$B$6:$B$405,E693,'Istoric_Nativ'!$C$6:$C$405,F693,'Istoric_Nativ'!$F$6:$F$405,G693,'Istoric_Nativ'!$D$6:$D$405,"&lt;"&amp;J693,'Istoric_Nativ'!$P$6:$P$405,1,'Istoric_Nativ'!$D$6:$D$405,"&gt;="&amp;L693),COUNTIFS('Istoric_Nativ'!$B$6:$B$405,E693,'Istoric_Nativ'!$C$6:$C$405,F693,'Istoric_Nativ'!$E$6:$E$405,G693,'Istoric_Nativ'!$D$6:$D$405,"&lt;"&amp;J693,'Istoric_Nativ'!$P$6:$P$405,1,'Istoric_Nativ'!$D$6:$D$405,"&gt;="&amp;L693)+COUNTIFS('Istoric_Nativ'!$B$6:$B$405,E693,'Istoric_Nativ'!$C$6:$C$405,F693,'Istoric_Nativ'!$F$6:$F$405,G693,'Istoric_Nativ'!$D$6:$D$405,"&lt;"&amp;J693,'Istoric_Nativ'!$P$6:$P$405,1,'Istoric_Nativ'!$D$6:$D$405,"&gt;="&amp;L693))))</x:f>
        <x:v>0</x:v>
      </x:c>
      <x:c r="N693" s="11" t="str">
        <x:f>IF(M693=0,"",IF(H693="HOME",SUMIFS('Istoric_Nativ'!$G$6:$G$405,'Istoric_Nativ'!$B$6:$B$405,E693,'Istoric_Nativ'!$C$6:$C$405,F693,'Istoric_Nativ'!$E$6:$E$405,G693,'Istoric_Nativ'!$D$6:$D$405,"&lt;"&amp;J693,'Istoric_Nativ'!$P$6:$P$405,1,'Istoric_Nativ'!$D$6:$D$405,"&gt;="&amp;L693),IF(H693="AWAY",SUMIFS('Istoric_Nativ'!$H$6:$H$405,'Istoric_Nativ'!$B$6:$B$405,E693,'Istoric_Nativ'!$C$6:$C$405,F693,'Istoric_Nativ'!$F$6:$F$405,G693,'Istoric_Nativ'!$D$6:$D$405,"&lt;"&amp;J693,'Istoric_Nativ'!$P$6:$P$405,1,'Istoric_Nativ'!$D$6:$D$405,"&gt;="&amp;L693),SUMIFS('Istoric_Nativ'!$G$6:$G$405,'Istoric_Nativ'!$B$6:$B$405,E693,'Istoric_Nativ'!$C$6:$C$405,F693,'Istoric_Nativ'!$E$6:$E$405,G693,'Istoric_Nativ'!$D$6:$D$405,"&lt;"&amp;J693,'Istoric_Nativ'!$P$6:$P$405,1,'Istoric_Nativ'!$D$6:$D$405,"&gt;="&amp;L693)+SUMIFS('Istoric_Nativ'!$H$6:$H$405,'Istoric_Nativ'!$B$6:$B$405,E693,'Istoric_Nativ'!$C$6:$C$405,F693,'Istoric_Nativ'!$F$6:$F$405,G693,'Istoric_Nativ'!$D$6:$D$405,"&lt;"&amp;J693,'Istoric_Nativ'!$P$6:$P$405,1,'Istoric_Nativ'!$D$6:$D$405,"&gt;="&amp;L693)))/M693)</x:f>
      </x:c>
      <x:c r="O693" s="11" t="str">
        <x:f>IF(M693=0,"",IF(H693="HOME",SUMIFS('Istoric_Nativ'!$H$6:$H$405,'Istoric_Nativ'!$B$6:$B$405,E693,'Istoric_Nativ'!$C$6:$C$405,F693,'Istoric_Nativ'!$E$6:$E$405,G693,'Istoric_Nativ'!$D$6:$D$405,"&lt;"&amp;J693,'Istoric_Nativ'!$P$6:$P$405,1,'Istoric_Nativ'!$D$6:$D$405,"&gt;="&amp;L693),IF(H693="AWAY",SUMIFS('Istoric_Nativ'!$G$6:$G$405,'Istoric_Nativ'!$B$6:$B$405,E693,'Istoric_Nativ'!$C$6:$C$405,F693,'Istoric_Nativ'!$F$6:$F$405,G693,'Istoric_Nativ'!$D$6:$D$405,"&lt;"&amp;J693,'Istoric_Nativ'!$P$6:$P$405,1,'Istoric_Nativ'!$D$6:$D$405,"&gt;="&amp;L693),SUMIFS('Istoric_Nativ'!$H$6:$H$405,'Istoric_Nativ'!$B$6:$B$405,E693,'Istoric_Nativ'!$C$6:$C$405,F693,'Istoric_Nativ'!$E$6:$E$405,G693,'Istoric_Nativ'!$D$6:$D$405,"&lt;"&amp;J693,'Istoric_Nativ'!$P$6:$P$405,1,'Istoric_Nativ'!$D$6:$D$405,"&gt;="&amp;L693)+SUMIFS('Istoric_Nativ'!$G$6:$G$405,'Istoric_Nativ'!$B$6:$B$405,E693,'Istoric_Nativ'!$C$6:$C$405,F693,'Istoric_Nativ'!$F$6:$F$405,G693,'Istoric_Nativ'!$D$6:$D$405,"&lt;"&amp;J693,'Istoric_Nativ'!$P$6:$P$405,1,'Istoric_Nativ'!$D$6:$D$405,"&gt;="&amp;L693)))/M693)</x:f>
      </x:c>
      <x:c r="P693" s="2" t="n">
        <x:f>'Config_v6'!$B$7</x:f>
        <x:v>10</x:v>
      </x:c>
      <x:c r="Q693" s="2" t="n">
        <x:f>IF(OR(B693="",F693=""),0,IFERROR(MATCH(E693&amp;"|"&amp;F693,SourceTable[Source_Key],0),0))</x:f>
        <x:v>0</x:v>
      </x:c>
      <x:c r="R693" s="2" t="str">
        <x:f>IF(B693="","",IF(F693="","UNUSED",IF(Q693=0,"NOT CHECKED",IF(COUNTIF(SourceTable[Source_Key],E693&amp;"|"&amp;F693)&lt;&gt;1,"SOURCE CONFLICT",IF(NOT(OR(INDEX(SourceTable[Status],MAX(1,Q693))="IMPORTED",INDEX(SourceTable[Status],MAX(1,Q693))="PARTIAL",INDEX(SourceTable[Status],MAX(1,Q693))="SOURCE CONFLICT")),"ACCESS BLOCKED",IF(OR(INDEX(SourceTable[Coverage],Q693)&lt;&gt;"FULL SEASON EXPORT",INDEX(SourceTable[URL],Q693)="",INDEX(SourceTable[SHA256],Q693)=""),"EVIDENCE INCOMPLETE",IF(AND('Input_Meci'!H63="LIVE",INDEX(SourceTable[Retrieved_UTC],Q693)&gt;'Input_Meci'!G63),"POST CUTOFF","CLOSED")))))))</x:f>
      </x:c>
      <x:c r="S693" s="2" t="n">
        <x:f>IF(OR(B693="",F693=""),0,COUNTIFS('Istoric_Nativ'!$B$6:$B$405,E693,'Istoric_Nativ'!$C$6:$C$405,F693,'Istoric_Nativ'!$E$6:$E$405,G693,'Istoric_Nativ'!$D$6:$D$405,"&lt;"&amp;J693,'Istoric_Nativ'!$O$6:$O$405,"INVALID")+COUNTIFS('Istoric_Nativ'!$B$6:$B$405,E693,'Istoric_Nativ'!$C$6:$C$405,F693,'Istoric_Nativ'!$E$6:$E$405,G693,'Istoric_Nativ'!$O$6:$O$405,"INVALID",'Istoric_Nativ'!$D$6:$D$405,"*")+COUNTIFS('Istoric_Nativ'!$B$6:$B$405,E693,'Istoric_Nativ'!$C$6:$C$405,F693,'Istoric_Nativ'!$E$6:$E$405,G693,'Istoric_Nativ'!$D$6:$D$405,"&lt;"&amp;J693,'Istoric_Nativ'!$O$6:$O$405,"SOURCE CONFLICT")+COUNTIFS('Istoric_Nativ'!$B$6:$B$405,E693,'Istoric_Nativ'!$C$6:$C$405,F693,'Istoric_Nativ'!$F$6:$F$405,G693,'Istoric_Nativ'!$D$6:$D$405,"&lt;"&amp;J693,'Istoric_Nativ'!$O$6:$O$405,"INVALID")+COUNTIFS('Istoric_Nativ'!$B$6:$B$405,E693,'Istoric_Nativ'!$C$6:$C$405,F693,'Istoric_Nativ'!$F$6:$F$405,G693,'Istoric_Nativ'!$O$6:$O$405,"INVALID",'Istoric_Nativ'!$D$6:$D$405,"*")+COUNTIFS('Istoric_Nativ'!$B$6:$B$405,E693,'Istoric_Nativ'!$C$6:$C$405,F693,'Istoric_Nativ'!$F$6:$F$405,G693,'Istoric_Nativ'!$D$6:$D$405,"&lt;"&amp;J693,'Istoric_Nativ'!$O$6:$O$405,"SOURCE CONFLICT"))</x:f>
        <x:v>0</x:v>
      </x:c>
      <x:c r="T693" s="2" t="str">
        <x:f>IF(B693="","",IF(R693&lt;&gt;"CLOSED",R693,IF(S693&gt;0,"NATIVE INPUT ISSUE",IF(M693=0,"NO HISTORY",IF(M693&lt;P693,"SMALL SAMPLE","DERIVED")))))</x:f>
      </x:c>
      <x:c r="U693" s="2" t="str">
        <x:f>IF(B693="","","NativeTable; "&amp;E693&amp;"; "&amp;F693&amp;"; "&amp;G693&amp;"; "&amp;H693&amp;"; before "&amp;TEXT(J693,"yyyy-mm-dd")&amp;IF(I693="RECENT","; from "&amp;TEXT(L693,"yyyy-mm-dd"),""))</x:f>
      </x:c>
    </x:row>
    <x:row r="694" ht="21" customHeight="1">
      <x:c r="A694" s="2" t="n">
        <x:v>58</x:v>
      </x:c>
      <x:c r="B694" s="2" t="str">
        <x:f>IF('Input_Meci'!A63="","",'Input_Meci'!A63)</x:f>
      </x:c>
      <x:c r="C694" s="2" t="str">
        <x:v>A</x:v>
      </x:c>
      <x:c r="D694" s="2" t="str">
        <x:v>CURRENT</x:v>
      </x:c>
      <x:c r="E694" s="2" t="str">
        <x:f>IF(B694="","",'Input_Meci'!B63)</x:f>
      </x:c>
      <x:c r="F694" s="2" t="str">
        <x:f>IF(B694="","",IF('Input_Meci'!C63="","",'Input_Meci'!C63))</x:f>
      </x:c>
      <x:c r="G694" s="2" t="str">
        <x:f>IF(B694="","",'Input_Meci'!E63)</x:f>
      </x:c>
      <x:c r="H694" s="2" t="str">
        <x:v>AWAY</x:v>
      </x:c>
      <x:c r="I694" s="2" t="str">
        <x:v>HA</x:v>
      </x:c>
      <x:c r="J694" s="9" t="n">
        <x:f>IF(AND(B694&lt;&gt;"",ISNUMBER('Input_Meci'!G63)),INT('Input_Meci'!G63),0)</x:f>
        <x:v>0</x:v>
      </x:c>
      <x:c r="K694" s="2" t="n">
        <x:f>IF(OR(B694="",F694=""),0,IF(H694="HOME",COUNTIFS('Istoric_Nativ'!$B$6:$B$405,E694,'Istoric_Nativ'!$C$6:$C$405,F694,'Istoric_Nativ'!$E$6:$E$405,G694,'Istoric_Nativ'!$D$6:$D$405,"&lt;"&amp;J694,'Istoric_Nativ'!$P$6:$P$405,1),IF(H694="AWAY",COUNTIFS('Istoric_Nativ'!$B$6:$B$405,E694,'Istoric_Nativ'!$C$6:$C$405,F694,'Istoric_Nativ'!$F$6:$F$405,G694,'Istoric_Nativ'!$D$6:$D$405,"&lt;"&amp;J694,'Istoric_Nativ'!$P$6:$P$405,1),COUNTIFS('Istoric_Nativ'!$B$6:$B$405,E694,'Istoric_Nativ'!$C$6:$C$405,F694,'Istoric_Nativ'!$E$6:$E$405,G694,'Istoric_Nativ'!$D$6:$D$405,"&lt;"&amp;J694,'Istoric_Nativ'!$P$6:$P$405,1)+COUNTIFS('Istoric_Nativ'!$B$6:$B$405,E694,'Istoric_Nativ'!$C$6:$C$405,F694,'Istoric_Nativ'!$F$6:$F$405,G694,'Istoric_Nativ'!$D$6:$D$405,"&lt;"&amp;J694,'Istoric_Nativ'!$P$6:$P$405,1))))</x:f>
        <x:v>0</x:v>
      </x:c>
      <x:c r="L694" s="17" t="n">
        <x:f>IF(AND(B694&lt;&gt;"",I694="RECENT",K694&gt;0),LARGE(_xlfn._xlws.FILTER('Istoric_Nativ'!$D$6:$D$405,('Istoric_Nativ'!$B$6:$B$405=E694)*('Istoric_Nativ'!$C$6:$C$405=F694)*('Istoric_Nativ'!$P$6:$P$405=1)*('Istoric_Nativ'!$D$6:$D$405&lt;J694)*((('Istoric_Nativ'!$E$6:$E$405=G694)+('Istoric_Nativ'!$F$6:$F$405=G694))&gt;0)),MIN('Config_v6'!$B$54,K694)),0)</x:f>
        <x:v>0</x:v>
      </x:c>
      <x:c r="M694" s="2" t="n">
        <x:f>IF(OR(B694="",F694=""),0,IF(H694="HOME",COUNTIFS('Istoric_Nativ'!$B$6:$B$405,E694,'Istoric_Nativ'!$C$6:$C$405,F694,'Istoric_Nativ'!$E$6:$E$405,G694,'Istoric_Nativ'!$D$6:$D$405,"&lt;"&amp;J694,'Istoric_Nativ'!$P$6:$P$405,1,'Istoric_Nativ'!$D$6:$D$405,"&gt;="&amp;L694),IF(H694="AWAY",COUNTIFS('Istoric_Nativ'!$B$6:$B$405,E694,'Istoric_Nativ'!$C$6:$C$405,F694,'Istoric_Nativ'!$F$6:$F$405,G694,'Istoric_Nativ'!$D$6:$D$405,"&lt;"&amp;J694,'Istoric_Nativ'!$P$6:$P$405,1,'Istoric_Nativ'!$D$6:$D$405,"&gt;="&amp;L694),COUNTIFS('Istoric_Nativ'!$B$6:$B$405,E694,'Istoric_Nativ'!$C$6:$C$405,F694,'Istoric_Nativ'!$E$6:$E$405,G694,'Istoric_Nativ'!$D$6:$D$405,"&lt;"&amp;J694,'Istoric_Nativ'!$P$6:$P$405,1,'Istoric_Nativ'!$D$6:$D$405,"&gt;="&amp;L694)+COUNTIFS('Istoric_Nativ'!$B$6:$B$405,E694,'Istoric_Nativ'!$C$6:$C$405,F694,'Istoric_Nativ'!$F$6:$F$405,G694,'Istoric_Nativ'!$D$6:$D$405,"&lt;"&amp;J694,'Istoric_Nativ'!$P$6:$P$405,1,'Istoric_Nativ'!$D$6:$D$405,"&gt;="&amp;L694))))</x:f>
        <x:v>0</x:v>
      </x:c>
      <x:c r="N694" s="11" t="str">
        <x:f>IF(M694=0,"",IF(H694="HOME",SUMIFS('Istoric_Nativ'!$G$6:$G$405,'Istoric_Nativ'!$B$6:$B$405,E694,'Istoric_Nativ'!$C$6:$C$405,F694,'Istoric_Nativ'!$E$6:$E$405,G694,'Istoric_Nativ'!$D$6:$D$405,"&lt;"&amp;J694,'Istoric_Nativ'!$P$6:$P$405,1,'Istoric_Nativ'!$D$6:$D$405,"&gt;="&amp;L694),IF(H694="AWAY",SUMIFS('Istoric_Nativ'!$H$6:$H$405,'Istoric_Nativ'!$B$6:$B$405,E694,'Istoric_Nativ'!$C$6:$C$405,F694,'Istoric_Nativ'!$F$6:$F$405,G694,'Istoric_Nativ'!$D$6:$D$405,"&lt;"&amp;J694,'Istoric_Nativ'!$P$6:$P$405,1,'Istoric_Nativ'!$D$6:$D$405,"&gt;="&amp;L694),SUMIFS('Istoric_Nativ'!$G$6:$G$405,'Istoric_Nativ'!$B$6:$B$405,E694,'Istoric_Nativ'!$C$6:$C$405,F694,'Istoric_Nativ'!$E$6:$E$405,G694,'Istoric_Nativ'!$D$6:$D$405,"&lt;"&amp;J694,'Istoric_Nativ'!$P$6:$P$405,1,'Istoric_Nativ'!$D$6:$D$405,"&gt;="&amp;L694)+SUMIFS('Istoric_Nativ'!$H$6:$H$405,'Istoric_Nativ'!$B$6:$B$405,E694,'Istoric_Nativ'!$C$6:$C$405,F694,'Istoric_Nativ'!$F$6:$F$405,G694,'Istoric_Nativ'!$D$6:$D$405,"&lt;"&amp;J694,'Istoric_Nativ'!$P$6:$P$405,1,'Istoric_Nativ'!$D$6:$D$405,"&gt;="&amp;L694)))/M694)</x:f>
      </x:c>
      <x:c r="O694" s="11" t="str">
        <x:f>IF(M694=0,"",IF(H694="HOME",SUMIFS('Istoric_Nativ'!$H$6:$H$405,'Istoric_Nativ'!$B$6:$B$405,E694,'Istoric_Nativ'!$C$6:$C$405,F694,'Istoric_Nativ'!$E$6:$E$405,G694,'Istoric_Nativ'!$D$6:$D$405,"&lt;"&amp;J694,'Istoric_Nativ'!$P$6:$P$405,1,'Istoric_Nativ'!$D$6:$D$405,"&gt;="&amp;L694),IF(H694="AWAY",SUMIFS('Istoric_Nativ'!$G$6:$G$405,'Istoric_Nativ'!$B$6:$B$405,E694,'Istoric_Nativ'!$C$6:$C$405,F694,'Istoric_Nativ'!$F$6:$F$405,G694,'Istoric_Nativ'!$D$6:$D$405,"&lt;"&amp;J694,'Istoric_Nativ'!$P$6:$P$405,1,'Istoric_Nativ'!$D$6:$D$405,"&gt;="&amp;L694),SUMIFS('Istoric_Nativ'!$H$6:$H$405,'Istoric_Nativ'!$B$6:$B$405,E694,'Istoric_Nativ'!$C$6:$C$405,F694,'Istoric_Nativ'!$E$6:$E$405,G694,'Istoric_Nativ'!$D$6:$D$405,"&lt;"&amp;J694,'Istoric_Nativ'!$P$6:$P$405,1,'Istoric_Nativ'!$D$6:$D$405,"&gt;="&amp;L694)+SUMIFS('Istoric_Nativ'!$G$6:$G$405,'Istoric_Nativ'!$B$6:$B$405,E694,'Istoric_Nativ'!$C$6:$C$405,F694,'Istoric_Nativ'!$F$6:$F$405,G694,'Istoric_Nativ'!$D$6:$D$405,"&lt;"&amp;J694,'Istoric_Nativ'!$P$6:$P$405,1,'Istoric_Nativ'!$D$6:$D$405,"&gt;="&amp;L694)))/M694)</x:f>
      </x:c>
      <x:c r="P694" s="2" t="n">
        <x:f>'Config_v6'!$B$8</x:f>
        <x:v>5</x:v>
      </x:c>
      <x:c r="Q694" s="2" t="n">
        <x:f>IF(OR(B694="",F694=""),0,IFERROR(MATCH(E694&amp;"|"&amp;F694,SourceTable[Source_Key],0),0))</x:f>
        <x:v>0</x:v>
      </x:c>
      <x:c r="R694" s="2" t="str">
        <x:f>IF(B694="","",IF(F694="","UNUSED",IF(Q694=0,"NOT CHECKED",IF(COUNTIF(SourceTable[Source_Key],E694&amp;"|"&amp;F694)&lt;&gt;1,"SOURCE CONFLICT",IF(NOT(OR(INDEX(SourceTable[Status],MAX(1,Q694))="IMPORTED",INDEX(SourceTable[Status],MAX(1,Q694))="PARTIAL",INDEX(SourceTable[Status],MAX(1,Q694))="SOURCE CONFLICT")),"ACCESS BLOCKED",IF(OR(INDEX(SourceTable[Coverage],Q694)&lt;&gt;"FULL SEASON EXPORT",INDEX(SourceTable[URL],Q694)="",INDEX(SourceTable[SHA256],Q694)=""),"EVIDENCE INCOMPLETE",IF(AND('Input_Meci'!H63="LIVE",INDEX(SourceTable[Retrieved_UTC],Q694)&gt;'Input_Meci'!G63),"POST CUTOFF","CLOSED")))))))</x:f>
      </x:c>
      <x:c r="S694" s="2" t="n">
        <x:f>IF(OR(B694="",F694=""),0,COUNTIFS('Istoric_Nativ'!$B$6:$B$405,E694,'Istoric_Nativ'!$C$6:$C$405,F694,'Istoric_Nativ'!$E$6:$E$405,G694,'Istoric_Nativ'!$D$6:$D$405,"&lt;"&amp;J694,'Istoric_Nativ'!$O$6:$O$405,"INVALID")+COUNTIFS('Istoric_Nativ'!$B$6:$B$405,E694,'Istoric_Nativ'!$C$6:$C$405,F694,'Istoric_Nativ'!$E$6:$E$405,G694,'Istoric_Nativ'!$O$6:$O$405,"INVALID",'Istoric_Nativ'!$D$6:$D$405,"*")+COUNTIFS('Istoric_Nativ'!$B$6:$B$405,E694,'Istoric_Nativ'!$C$6:$C$405,F694,'Istoric_Nativ'!$E$6:$E$405,G694,'Istoric_Nativ'!$D$6:$D$405,"&lt;"&amp;J694,'Istoric_Nativ'!$O$6:$O$405,"SOURCE CONFLICT")+COUNTIFS('Istoric_Nativ'!$B$6:$B$405,E694,'Istoric_Nativ'!$C$6:$C$405,F694,'Istoric_Nativ'!$F$6:$F$405,G694,'Istoric_Nativ'!$D$6:$D$405,"&lt;"&amp;J694,'Istoric_Nativ'!$O$6:$O$405,"INVALID")+COUNTIFS('Istoric_Nativ'!$B$6:$B$405,E694,'Istoric_Nativ'!$C$6:$C$405,F694,'Istoric_Nativ'!$F$6:$F$405,G694,'Istoric_Nativ'!$O$6:$O$405,"INVALID",'Istoric_Nativ'!$D$6:$D$405,"*")+COUNTIFS('Istoric_Nativ'!$B$6:$B$405,E694,'Istoric_Nativ'!$C$6:$C$405,F694,'Istoric_Nativ'!$F$6:$F$405,G694,'Istoric_Nativ'!$D$6:$D$405,"&lt;"&amp;J694,'Istoric_Nativ'!$O$6:$O$405,"SOURCE CONFLICT"))</x:f>
        <x:v>0</x:v>
      </x:c>
      <x:c r="T694" s="2" t="str">
        <x:f>IF(B694="","",IF(R694&lt;&gt;"CLOSED",R694,IF(S694&gt;0,"NATIVE INPUT ISSUE",IF(M694=0,"NO HISTORY",IF(M694&lt;P694,"SMALL SAMPLE","DERIVED")))))</x:f>
      </x:c>
      <x:c r="U694" s="2" t="str">
        <x:f>IF(B694="","","NativeTable; "&amp;E694&amp;"; "&amp;F694&amp;"; "&amp;G694&amp;"; "&amp;H694&amp;"; before "&amp;TEXT(J694,"yyyy-mm-dd")&amp;IF(I694="RECENT","; from "&amp;TEXT(L694,"yyyy-mm-dd"),""))</x:f>
      </x:c>
    </x:row>
    <x:row r="695" ht="21" customHeight="1">
      <x:c r="A695" s="2" t="n">
        <x:v>58</x:v>
      </x:c>
      <x:c r="B695" s="2" t="str">
        <x:f>IF('Input_Meci'!A63="","",'Input_Meci'!A63)</x:f>
      </x:c>
      <x:c r="C695" s="2" t="str">
        <x:v>A</x:v>
      </x:c>
      <x:c r="D695" s="2" t="str">
        <x:v>CURRENT</x:v>
      </x:c>
      <x:c r="E695" s="2" t="str">
        <x:f>IF(B695="","",'Input_Meci'!B63)</x:f>
      </x:c>
      <x:c r="F695" s="2" t="str">
        <x:f>IF(B695="","",IF('Input_Meci'!C63="","",'Input_Meci'!C63))</x:f>
      </x:c>
      <x:c r="G695" s="2" t="str">
        <x:f>IF(B695="","",'Input_Meci'!E63)</x:f>
      </x:c>
      <x:c r="H695" s="2" t="str">
        <x:v>ANY</x:v>
      </x:c>
      <x:c r="I695" s="2" t="str">
        <x:v>RECENT</x:v>
      </x:c>
      <x:c r="J695" s="9" t="n">
        <x:f>IF(AND(B695&lt;&gt;"",ISNUMBER('Input_Meci'!G63)),INT('Input_Meci'!G63),0)</x:f>
        <x:v>0</x:v>
      </x:c>
      <x:c r="K695" s="2" t="n">
        <x:f>IF(OR(B695="",F695=""),0,IF(H695="HOME",COUNTIFS('Istoric_Nativ'!$B$6:$B$405,E695,'Istoric_Nativ'!$C$6:$C$405,F695,'Istoric_Nativ'!$E$6:$E$405,G695,'Istoric_Nativ'!$D$6:$D$405,"&lt;"&amp;J695,'Istoric_Nativ'!$P$6:$P$405,1),IF(H695="AWAY",COUNTIFS('Istoric_Nativ'!$B$6:$B$405,E695,'Istoric_Nativ'!$C$6:$C$405,F695,'Istoric_Nativ'!$F$6:$F$405,G695,'Istoric_Nativ'!$D$6:$D$405,"&lt;"&amp;J695,'Istoric_Nativ'!$P$6:$P$405,1),COUNTIFS('Istoric_Nativ'!$B$6:$B$405,E695,'Istoric_Nativ'!$C$6:$C$405,F695,'Istoric_Nativ'!$E$6:$E$405,G695,'Istoric_Nativ'!$D$6:$D$405,"&lt;"&amp;J695,'Istoric_Nativ'!$P$6:$P$405,1)+COUNTIFS('Istoric_Nativ'!$B$6:$B$405,E695,'Istoric_Nativ'!$C$6:$C$405,F695,'Istoric_Nativ'!$F$6:$F$405,G695,'Istoric_Nativ'!$D$6:$D$405,"&lt;"&amp;J695,'Istoric_Nativ'!$P$6:$P$405,1))))</x:f>
        <x:v>0</x:v>
      </x:c>
      <x:c r="L695" s="17" t="n">
        <x:f>IF(AND(B695&lt;&gt;"",I695="RECENT",K695&gt;0),LARGE(_xlfn._xlws.FILTER('Istoric_Nativ'!$D$6:$D$405,('Istoric_Nativ'!$B$6:$B$405=E695)*('Istoric_Nativ'!$C$6:$C$405=F695)*('Istoric_Nativ'!$P$6:$P$405=1)*('Istoric_Nativ'!$D$6:$D$405&lt;J695)*((('Istoric_Nativ'!$E$6:$E$405=G695)+('Istoric_Nativ'!$F$6:$F$405=G695))&gt;0)),MIN('Config_v6'!$B$54,K695)),0)</x:f>
        <x:v>0</x:v>
      </x:c>
      <x:c r="M695" s="2" t="n">
        <x:f>IF(OR(B695="",F695=""),0,IF(H695="HOME",COUNTIFS('Istoric_Nativ'!$B$6:$B$405,E695,'Istoric_Nativ'!$C$6:$C$405,F695,'Istoric_Nativ'!$E$6:$E$405,G695,'Istoric_Nativ'!$D$6:$D$405,"&lt;"&amp;J695,'Istoric_Nativ'!$P$6:$P$405,1,'Istoric_Nativ'!$D$6:$D$405,"&gt;="&amp;L695),IF(H695="AWAY",COUNTIFS('Istoric_Nativ'!$B$6:$B$405,E695,'Istoric_Nativ'!$C$6:$C$405,F695,'Istoric_Nativ'!$F$6:$F$405,G695,'Istoric_Nativ'!$D$6:$D$405,"&lt;"&amp;J695,'Istoric_Nativ'!$P$6:$P$405,1,'Istoric_Nativ'!$D$6:$D$405,"&gt;="&amp;L695),COUNTIFS('Istoric_Nativ'!$B$6:$B$405,E695,'Istoric_Nativ'!$C$6:$C$405,F695,'Istoric_Nativ'!$E$6:$E$405,G695,'Istoric_Nativ'!$D$6:$D$405,"&lt;"&amp;J695,'Istoric_Nativ'!$P$6:$P$405,1,'Istoric_Nativ'!$D$6:$D$405,"&gt;="&amp;L695)+COUNTIFS('Istoric_Nativ'!$B$6:$B$405,E695,'Istoric_Nativ'!$C$6:$C$405,F695,'Istoric_Nativ'!$F$6:$F$405,G695,'Istoric_Nativ'!$D$6:$D$405,"&lt;"&amp;J695,'Istoric_Nativ'!$P$6:$P$405,1,'Istoric_Nativ'!$D$6:$D$405,"&gt;="&amp;L695))))</x:f>
        <x:v>0</x:v>
      </x:c>
      <x:c r="N695" s="11" t="str">
        <x:f>IF(M695=0,"",IF(H695="HOME",SUMIFS('Istoric_Nativ'!$G$6:$G$405,'Istoric_Nativ'!$B$6:$B$405,E695,'Istoric_Nativ'!$C$6:$C$405,F695,'Istoric_Nativ'!$E$6:$E$405,G695,'Istoric_Nativ'!$D$6:$D$405,"&lt;"&amp;J695,'Istoric_Nativ'!$P$6:$P$405,1,'Istoric_Nativ'!$D$6:$D$405,"&gt;="&amp;L695),IF(H695="AWAY",SUMIFS('Istoric_Nativ'!$H$6:$H$405,'Istoric_Nativ'!$B$6:$B$405,E695,'Istoric_Nativ'!$C$6:$C$405,F695,'Istoric_Nativ'!$F$6:$F$405,G695,'Istoric_Nativ'!$D$6:$D$405,"&lt;"&amp;J695,'Istoric_Nativ'!$P$6:$P$405,1,'Istoric_Nativ'!$D$6:$D$405,"&gt;="&amp;L695),SUMIFS('Istoric_Nativ'!$G$6:$G$405,'Istoric_Nativ'!$B$6:$B$405,E695,'Istoric_Nativ'!$C$6:$C$405,F695,'Istoric_Nativ'!$E$6:$E$405,G695,'Istoric_Nativ'!$D$6:$D$405,"&lt;"&amp;J695,'Istoric_Nativ'!$P$6:$P$405,1,'Istoric_Nativ'!$D$6:$D$405,"&gt;="&amp;L695)+SUMIFS('Istoric_Nativ'!$H$6:$H$405,'Istoric_Nativ'!$B$6:$B$405,E695,'Istoric_Nativ'!$C$6:$C$405,F695,'Istoric_Nativ'!$F$6:$F$405,G695,'Istoric_Nativ'!$D$6:$D$405,"&lt;"&amp;J695,'Istoric_Nativ'!$P$6:$P$405,1,'Istoric_Nativ'!$D$6:$D$405,"&gt;="&amp;L695)))/M695)</x:f>
      </x:c>
      <x:c r="O695" s="11" t="str">
        <x:f>IF(M695=0,"",IF(H695="HOME",SUMIFS('Istoric_Nativ'!$H$6:$H$405,'Istoric_Nativ'!$B$6:$B$405,E695,'Istoric_Nativ'!$C$6:$C$405,F695,'Istoric_Nativ'!$E$6:$E$405,G695,'Istoric_Nativ'!$D$6:$D$405,"&lt;"&amp;J695,'Istoric_Nativ'!$P$6:$P$405,1,'Istoric_Nativ'!$D$6:$D$405,"&gt;="&amp;L695),IF(H695="AWAY",SUMIFS('Istoric_Nativ'!$G$6:$G$405,'Istoric_Nativ'!$B$6:$B$405,E695,'Istoric_Nativ'!$C$6:$C$405,F695,'Istoric_Nativ'!$F$6:$F$405,G695,'Istoric_Nativ'!$D$6:$D$405,"&lt;"&amp;J695,'Istoric_Nativ'!$P$6:$P$405,1,'Istoric_Nativ'!$D$6:$D$405,"&gt;="&amp;L695),SUMIFS('Istoric_Nativ'!$H$6:$H$405,'Istoric_Nativ'!$B$6:$B$405,E695,'Istoric_Nativ'!$C$6:$C$405,F695,'Istoric_Nativ'!$E$6:$E$405,G695,'Istoric_Nativ'!$D$6:$D$405,"&lt;"&amp;J695,'Istoric_Nativ'!$P$6:$P$405,1,'Istoric_Nativ'!$D$6:$D$405,"&gt;="&amp;L695)+SUMIFS('Istoric_Nativ'!$G$6:$G$405,'Istoric_Nativ'!$B$6:$B$405,E695,'Istoric_Nativ'!$C$6:$C$405,F695,'Istoric_Nativ'!$F$6:$F$405,G695,'Istoric_Nativ'!$D$6:$D$405,"&lt;"&amp;J695,'Istoric_Nativ'!$P$6:$P$405,1,'Istoric_Nativ'!$D$6:$D$405,"&gt;="&amp;L695)))/M695)</x:f>
      </x:c>
      <x:c r="P695" s="2" t="n">
        <x:f>'Config_v6'!$B$9</x:f>
        <x:v>3</x:v>
      </x:c>
      <x:c r="Q695" s="2" t="n">
        <x:f>IF(OR(B695="",F695=""),0,IFERROR(MATCH(E695&amp;"|"&amp;F695,SourceTable[Source_Key],0),0))</x:f>
        <x:v>0</x:v>
      </x:c>
      <x:c r="R695" s="2" t="str">
        <x:f>IF(B695="","",IF(F695="","UNUSED",IF(Q695=0,"NOT CHECKED",IF(COUNTIF(SourceTable[Source_Key],E695&amp;"|"&amp;F695)&lt;&gt;1,"SOURCE CONFLICT",IF(NOT(OR(INDEX(SourceTable[Status],MAX(1,Q695))="IMPORTED",INDEX(SourceTable[Status],MAX(1,Q695))="PARTIAL",INDEX(SourceTable[Status],MAX(1,Q695))="SOURCE CONFLICT")),"ACCESS BLOCKED",IF(OR(INDEX(SourceTable[Coverage],Q695)&lt;&gt;"FULL SEASON EXPORT",INDEX(SourceTable[URL],Q695)="",INDEX(SourceTable[SHA256],Q695)=""),"EVIDENCE INCOMPLETE",IF(AND('Input_Meci'!H63="LIVE",INDEX(SourceTable[Retrieved_UTC],Q695)&gt;'Input_Meci'!G63),"POST CUTOFF","CLOSED")))))))</x:f>
      </x:c>
      <x:c r="S695" s="2" t="n">
        <x:f>IF(OR(B695="",F695=""),0,COUNTIFS('Istoric_Nativ'!$B$6:$B$405,E695,'Istoric_Nativ'!$C$6:$C$405,F695,'Istoric_Nativ'!$E$6:$E$405,G695,'Istoric_Nativ'!$D$6:$D$405,"&lt;"&amp;J695,'Istoric_Nativ'!$O$6:$O$405,"INVALID")+COUNTIFS('Istoric_Nativ'!$B$6:$B$405,E695,'Istoric_Nativ'!$C$6:$C$405,F695,'Istoric_Nativ'!$E$6:$E$405,G695,'Istoric_Nativ'!$O$6:$O$405,"INVALID",'Istoric_Nativ'!$D$6:$D$405,"*")+COUNTIFS('Istoric_Nativ'!$B$6:$B$405,E695,'Istoric_Nativ'!$C$6:$C$405,F695,'Istoric_Nativ'!$E$6:$E$405,G695,'Istoric_Nativ'!$D$6:$D$405,"&lt;"&amp;J695,'Istoric_Nativ'!$O$6:$O$405,"SOURCE CONFLICT")+COUNTIFS('Istoric_Nativ'!$B$6:$B$405,E695,'Istoric_Nativ'!$C$6:$C$405,F695,'Istoric_Nativ'!$F$6:$F$405,G695,'Istoric_Nativ'!$D$6:$D$405,"&lt;"&amp;J695,'Istoric_Nativ'!$O$6:$O$405,"INVALID")+COUNTIFS('Istoric_Nativ'!$B$6:$B$405,E695,'Istoric_Nativ'!$C$6:$C$405,F695,'Istoric_Nativ'!$F$6:$F$405,G695,'Istoric_Nativ'!$O$6:$O$405,"INVALID",'Istoric_Nativ'!$D$6:$D$405,"*")+COUNTIFS('Istoric_Nativ'!$B$6:$B$405,E695,'Istoric_Nativ'!$C$6:$C$405,F695,'Istoric_Nativ'!$F$6:$F$405,G695,'Istoric_Nativ'!$D$6:$D$405,"&lt;"&amp;J695,'Istoric_Nativ'!$O$6:$O$405,"SOURCE CONFLICT"))</x:f>
        <x:v>0</x:v>
      </x:c>
      <x:c r="T695" s="2" t="str">
        <x:f>IF(B695="","",IF(R695&lt;&gt;"CLOSED",R695,IF(S695&gt;0,"NATIVE INPUT ISSUE",IF(M695=0,"NO HISTORY",IF(M695&lt;P695,"SMALL SAMPLE","DERIVED")))))</x:f>
      </x:c>
      <x:c r="U695" s="2" t="str">
        <x:f>IF(B695="","","NativeTable; "&amp;E695&amp;"; "&amp;F695&amp;"; "&amp;G695&amp;"; "&amp;H695&amp;"; before "&amp;TEXT(J695,"yyyy-mm-dd")&amp;IF(I695="RECENT","; from "&amp;TEXT(L695,"yyyy-mm-dd"),""))</x:f>
      </x:c>
    </x:row>
    <x:row r="696" ht="21" customHeight="1">
      <x:c r="A696" s="2" t="n">
        <x:v>58</x:v>
      </x:c>
      <x:c r="B696" s="2" t="str">
        <x:f>IF('Input_Meci'!A63="","",'Input_Meci'!A63)</x:f>
      </x:c>
      <x:c r="C696" s="2" t="str">
        <x:v>H</x:v>
      </x:c>
      <x:c r="D696" s="2" t="str">
        <x:v>PRIOR</x:v>
      </x:c>
      <x:c r="E696" s="2" t="str">
        <x:f>IF(B696="","",'Input_Meci'!B63)</x:f>
      </x:c>
      <x:c r="F696" s="2" t="str">
        <x:f>IF(B696="","",IF('Input_Meci'!K63="","",'Input_Meci'!K63))</x:f>
      </x:c>
      <x:c r="G696" s="2" t="str">
        <x:f>IF(B696="","",'Input_Meci'!D63)</x:f>
      </x:c>
      <x:c r="H696" s="2" t="str">
        <x:v>ANY</x:v>
      </x:c>
      <x:c r="I696" s="2" t="str">
        <x:v>SEASON</x:v>
      </x:c>
      <x:c r="J696" s="9" t="n">
        <x:f>IF(AND(B696&lt;&gt;"",ISNUMBER('Input_Meci'!G63)),INT('Input_Meci'!G63),0)</x:f>
        <x:v>0</x:v>
      </x:c>
      <x:c r="K696" s="2" t="n">
        <x:f>IF(OR(B696="",F696=""),0,IF(H696="HOME",COUNTIFS('Istoric_Nativ'!$B$6:$B$405,E696,'Istoric_Nativ'!$C$6:$C$405,F696,'Istoric_Nativ'!$E$6:$E$405,G696,'Istoric_Nativ'!$D$6:$D$405,"&lt;"&amp;J696,'Istoric_Nativ'!$P$6:$P$405,1),IF(H696="AWAY",COUNTIFS('Istoric_Nativ'!$B$6:$B$405,E696,'Istoric_Nativ'!$C$6:$C$405,F696,'Istoric_Nativ'!$F$6:$F$405,G696,'Istoric_Nativ'!$D$6:$D$405,"&lt;"&amp;J696,'Istoric_Nativ'!$P$6:$P$405,1),COUNTIFS('Istoric_Nativ'!$B$6:$B$405,E696,'Istoric_Nativ'!$C$6:$C$405,F696,'Istoric_Nativ'!$E$6:$E$405,G696,'Istoric_Nativ'!$D$6:$D$405,"&lt;"&amp;J696,'Istoric_Nativ'!$P$6:$P$405,1)+COUNTIFS('Istoric_Nativ'!$B$6:$B$405,E696,'Istoric_Nativ'!$C$6:$C$405,F696,'Istoric_Nativ'!$F$6:$F$405,G696,'Istoric_Nativ'!$D$6:$D$405,"&lt;"&amp;J696,'Istoric_Nativ'!$P$6:$P$405,1))))</x:f>
        <x:v>0</x:v>
      </x:c>
      <x:c r="L696" s="17" t="n">
        <x:f>IF(AND(B696&lt;&gt;"",I696="RECENT",K696&gt;0),LARGE(_xlfn._xlws.FILTER('Istoric_Nativ'!$D$6:$D$405,('Istoric_Nativ'!$B$6:$B$405=E696)*('Istoric_Nativ'!$C$6:$C$405=F696)*('Istoric_Nativ'!$P$6:$P$405=1)*('Istoric_Nativ'!$D$6:$D$405&lt;J696)*((('Istoric_Nativ'!$E$6:$E$405=G696)+('Istoric_Nativ'!$F$6:$F$405=G696))&gt;0)),MIN('Config_v6'!$B$54,K696)),0)</x:f>
        <x:v>0</x:v>
      </x:c>
      <x:c r="M696" s="2" t="n">
        <x:f>IF(OR(B696="",F696=""),0,IF(H696="HOME",COUNTIFS('Istoric_Nativ'!$B$6:$B$405,E696,'Istoric_Nativ'!$C$6:$C$405,F696,'Istoric_Nativ'!$E$6:$E$405,G696,'Istoric_Nativ'!$D$6:$D$405,"&lt;"&amp;J696,'Istoric_Nativ'!$P$6:$P$405,1,'Istoric_Nativ'!$D$6:$D$405,"&gt;="&amp;L696),IF(H696="AWAY",COUNTIFS('Istoric_Nativ'!$B$6:$B$405,E696,'Istoric_Nativ'!$C$6:$C$405,F696,'Istoric_Nativ'!$F$6:$F$405,G696,'Istoric_Nativ'!$D$6:$D$405,"&lt;"&amp;J696,'Istoric_Nativ'!$P$6:$P$405,1,'Istoric_Nativ'!$D$6:$D$405,"&gt;="&amp;L696),COUNTIFS('Istoric_Nativ'!$B$6:$B$405,E696,'Istoric_Nativ'!$C$6:$C$405,F696,'Istoric_Nativ'!$E$6:$E$405,G696,'Istoric_Nativ'!$D$6:$D$405,"&lt;"&amp;J696,'Istoric_Nativ'!$P$6:$P$405,1,'Istoric_Nativ'!$D$6:$D$405,"&gt;="&amp;L696)+COUNTIFS('Istoric_Nativ'!$B$6:$B$405,E696,'Istoric_Nativ'!$C$6:$C$405,F696,'Istoric_Nativ'!$F$6:$F$405,G696,'Istoric_Nativ'!$D$6:$D$405,"&lt;"&amp;J696,'Istoric_Nativ'!$P$6:$P$405,1,'Istoric_Nativ'!$D$6:$D$405,"&gt;="&amp;L696))))</x:f>
        <x:v>0</x:v>
      </x:c>
      <x:c r="N696" s="11" t="str">
        <x:f>IF(M696=0,"",IF(H696="HOME",SUMIFS('Istoric_Nativ'!$G$6:$G$405,'Istoric_Nativ'!$B$6:$B$405,E696,'Istoric_Nativ'!$C$6:$C$405,F696,'Istoric_Nativ'!$E$6:$E$405,G696,'Istoric_Nativ'!$D$6:$D$405,"&lt;"&amp;J696,'Istoric_Nativ'!$P$6:$P$405,1,'Istoric_Nativ'!$D$6:$D$405,"&gt;="&amp;L696),IF(H696="AWAY",SUMIFS('Istoric_Nativ'!$H$6:$H$405,'Istoric_Nativ'!$B$6:$B$405,E696,'Istoric_Nativ'!$C$6:$C$405,F696,'Istoric_Nativ'!$F$6:$F$405,G696,'Istoric_Nativ'!$D$6:$D$405,"&lt;"&amp;J696,'Istoric_Nativ'!$P$6:$P$405,1,'Istoric_Nativ'!$D$6:$D$405,"&gt;="&amp;L696),SUMIFS('Istoric_Nativ'!$G$6:$G$405,'Istoric_Nativ'!$B$6:$B$405,E696,'Istoric_Nativ'!$C$6:$C$405,F696,'Istoric_Nativ'!$E$6:$E$405,G696,'Istoric_Nativ'!$D$6:$D$405,"&lt;"&amp;J696,'Istoric_Nativ'!$P$6:$P$405,1,'Istoric_Nativ'!$D$6:$D$405,"&gt;="&amp;L696)+SUMIFS('Istoric_Nativ'!$H$6:$H$405,'Istoric_Nativ'!$B$6:$B$405,E696,'Istoric_Nativ'!$C$6:$C$405,F696,'Istoric_Nativ'!$F$6:$F$405,G696,'Istoric_Nativ'!$D$6:$D$405,"&lt;"&amp;J696,'Istoric_Nativ'!$P$6:$P$405,1,'Istoric_Nativ'!$D$6:$D$405,"&gt;="&amp;L696)))/M696)</x:f>
      </x:c>
      <x:c r="O696" s="11" t="str">
        <x:f>IF(M696=0,"",IF(H696="HOME",SUMIFS('Istoric_Nativ'!$H$6:$H$405,'Istoric_Nativ'!$B$6:$B$405,E696,'Istoric_Nativ'!$C$6:$C$405,F696,'Istoric_Nativ'!$E$6:$E$405,G696,'Istoric_Nativ'!$D$6:$D$405,"&lt;"&amp;J696,'Istoric_Nativ'!$P$6:$P$405,1,'Istoric_Nativ'!$D$6:$D$405,"&gt;="&amp;L696),IF(H696="AWAY",SUMIFS('Istoric_Nativ'!$G$6:$G$405,'Istoric_Nativ'!$B$6:$B$405,E696,'Istoric_Nativ'!$C$6:$C$405,F696,'Istoric_Nativ'!$F$6:$F$405,G696,'Istoric_Nativ'!$D$6:$D$405,"&lt;"&amp;J696,'Istoric_Nativ'!$P$6:$P$405,1,'Istoric_Nativ'!$D$6:$D$405,"&gt;="&amp;L696),SUMIFS('Istoric_Nativ'!$H$6:$H$405,'Istoric_Nativ'!$B$6:$B$405,E696,'Istoric_Nativ'!$C$6:$C$405,F696,'Istoric_Nativ'!$E$6:$E$405,G696,'Istoric_Nativ'!$D$6:$D$405,"&lt;"&amp;J696,'Istoric_Nativ'!$P$6:$P$405,1,'Istoric_Nativ'!$D$6:$D$405,"&gt;="&amp;L696)+SUMIFS('Istoric_Nativ'!$G$6:$G$405,'Istoric_Nativ'!$B$6:$B$405,E696,'Istoric_Nativ'!$C$6:$C$405,F696,'Istoric_Nativ'!$F$6:$F$405,G696,'Istoric_Nativ'!$D$6:$D$405,"&lt;"&amp;J696,'Istoric_Nativ'!$P$6:$P$405,1,'Istoric_Nativ'!$D$6:$D$405,"&gt;="&amp;L696)))/M696)</x:f>
      </x:c>
      <x:c r="P696" s="2" t="n">
        <x:f>'Config_v6'!$B$7</x:f>
        <x:v>10</x:v>
      </x:c>
      <x:c r="Q696" s="2" t="n">
        <x:f>IF(OR(B696="",F696=""),0,IFERROR(MATCH(E696&amp;"|"&amp;F696,SourceTable[Source_Key],0),0))</x:f>
        <x:v>0</x:v>
      </x:c>
      <x:c r="R696" s="2" t="str">
        <x:f>IF(B696="","",IF(F696="","UNUSED",IF(Q696=0,"NOT CHECKED",IF(COUNTIF(SourceTable[Source_Key],E696&amp;"|"&amp;F696)&lt;&gt;1,"SOURCE CONFLICT",IF(NOT(OR(INDEX(SourceTable[Status],MAX(1,Q696))="IMPORTED",INDEX(SourceTable[Status],MAX(1,Q696))="PARTIAL",INDEX(SourceTable[Status],MAX(1,Q696))="SOURCE CONFLICT")),"ACCESS BLOCKED",IF(OR(INDEX(SourceTable[Coverage],Q696)&lt;&gt;"FULL SEASON EXPORT",INDEX(SourceTable[URL],Q696)="",INDEX(SourceTable[SHA256],Q696)=""),"EVIDENCE INCOMPLETE",IF(AND('Input_Meci'!H63="LIVE",INDEX(SourceTable[Retrieved_UTC],Q696)&gt;'Input_Meci'!G63),"POST CUTOFF","CLOSED")))))))</x:f>
      </x:c>
      <x:c r="S696" s="2" t="n">
        <x:f>IF(OR(B696="",F696=""),0,COUNTIFS('Istoric_Nativ'!$B$6:$B$405,E696,'Istoric_Nativ'!$C$6:$C$405,F696,'Istoric_Nativ'!$E$6:$E$405,G696,'Istoric_Nativ'!$D$6:$D$405,"&lt;"&amp;J696,'Istoric_Nativ'!$O$6:$O$405,"INVALID")+COUNTIFS('Istoric_Nativ'!$B$6:$B$405,E696,'Istoric_Nativ'!$C$6:$C$405,F696,'Istoric_Nativ'!$E$6:$E$405,G696,'Istoric_Nativ'!$O$6:$O$405,"INVALID",'Istoric_Nativ'!$D$6:$D$405,"*")+COUNTIFS('Istoric_Nativ'!$B$6:$B$405,E696,'Istoric_Nativ'!$C$6:$C$405,F696,'Istoric_Nativ'!$E$6:$E$405,G696,'Istoric_Nativ'!$D$6:$D$405,"&lt;"&amp;J696,'Istoric_Nativ'!$O$6:$O$405,"SOURCE CONFLICT")+COUNTIFS('Istoric_Nativ'!$B$6:$B$405,E696,'Istoric_Nativ'!$C$6:$C$405,F696,'Istoric_Nativ'!$F$6:$F$405,G696,'Istoric_Nativ'!$D$6:$D$405,"&lt;"&amp;J696,'Istoric_Nativ'!$O$6:$O$405,"INVALID")+COUNTIFS('Istoric_Nativ'!$B$6:$B$405,E696,'Istoric_Nativ'!$C$6:$C$405,F696,'Istoric_Nativ'!$F$6:$F$405,G696,'Istoric_Nativ'!$O$6:$O$405,"INVALID",'Istoric_Nativ'!$D$6:$D$405,"*")+COUNTIFS('Istoric_Nativ'!$B$6:$B$405,E696,'Istoric_Nativ'!$C$6:$C$405,F696,'Istoric_Nativ'!$F$6:$F$405,G696,'Istoric_Nativ'!$D$6:$D$405,"&lt;"&amp;J696,'Istoric_Nativ'!$O$6:$O$405,"SOURCE CONFLICT"))</x:f>
        <x:v>0</x:v>
      </x:c>
      <x:c r="T696" s="2" t="str">
        <x:f>IF(B696="","",IF(R696&lt;&gt;"CLOSED",R696,IF(S696&gt;0,"NATIVE INPUT ISSUE",IF(M696=0,"NO HISTORY",IF(M696&lt;P696,"SMALL SAMPLE","DERIVED")))))</x:f>
      </x:c>
      <x:c r="U696" s="2" t="str">
        <x:f>IF(B696="","","NativeTable; "&amp;E696&amp;"; "&amp;F696&amp;"; "&amp;G696&amp;"; "&amp;H696&amp;"; before "&amp;TEXT(J696,"yyyy-mm-dd")&amp;IF(I696="RECENT","; from "&amp;TEXT(L696,"yyyy-mm-dd"),""))</x:f>
      </x:c>
    </x:row>
    <x:row r="697" ht="21" customHeight="1">
      <x:c r="A697" s="2" t="n">
        <x:v>58</x:v>
      </x:c>
      <x:c r="B697" s="2" t="str">
        <x:f>IF('Input_Meci'!A63="","",'Input_Meci'!A63)</x:f>
      </x:c>
      <x:c r="C697" s="2" t="str">
        <x:v>H</x:v>
      </x:c>
      <x:c r="D697" s="2" t="str">
        <x:v>PRIOR</x:v>
      </x:c>
      <x:c r="E697" s="2" t="str">
        <x:f>IF(B697="","",'Input_Meci'!B63)</x:f>
      </x:c>
      <x:c r="F697" s="2" t="str">
        <x:f>IF(B697="","",IF('Input_Meci'!K63="","",'Input_Meci'!K63))</x:f>
      </x:c>
      <x:c r="G697" s="2" t="str">
        <x:f>IF(B697="","",'Input_Meci'!D63)</x:f>
      </x:c>
      <x:c r="H697" s="2" t="str">
        <x:v>HOME</x:v>
      </x:c>
      <x:c r="I697" s="2" t="str">
        <x:v>HA</x:v>
      </x:c>
      <x:c r="J697" s="9" t="n">
        <x:f>IF(AND(B697&lt;&gt;"",ISNUMBER('Input_Meci'!G63)),INT('Input_Meci'!G63),0)</x:f>
        <x:v>0</x:v>
      </x:c>
      <x:c r="K697" s="2" t="n">
        <x:f>IF(OR(B697="",F697=""),0,IF(H697="HOME",COUNTIFS('Istoric_Nativ'!$B$6:$B$405,E697,'Istoric_Nativ'!$C$6:$C$405,F697,'Istoric_Nativ'!$E$6:$E$405,G697,'Istoric_Nativ'!$D$6:$D$405,"&lt;"&amp;J697,'Istoric_Nativ'!$P$6:$P$405,1),IF(H697="AWAY",COUNTIFS('Istoric_Nativ'!$B$6:$B$405,E697,'Istoric_Nativ'!$C$6:$C$405,F697,'Istoric_Nativ'!$F$6:$F$405,G697,'Istoric_Nativ'!$D$6:$D$405,"&lt;"&amp;J697,'Istoric_Nativ'!$P$6:$P$405,1),COUNTIFS('Istoric_Nativ'!$B$6:$B$405,E697,'Istoric_Nativ'!$C$6:$C$405,F697,'Istoric_Nativ'!$E$6:$E$405,G697,'Istoric_Nativ'!$D$6:$D$405,"&lt;"&amp;J697,'Istoric_Nativ'!$P$6:$P$405,1)+COUNTIFS('Istoric_Nativ'!$B$6:$B$405,E697,'Istoric_Nativ'!$C$6:$C$405,F697,'Istoric_Nativ'!$F$6:$F$405,G697,'Istoric_Nativ'!$D$6:$D$405,"&lt;"&amp;J697,'Istoric_Nativ'!$P$6:$P$405,1))))</x:f>
        <x:v>0</x:v>
      </x:c>
      <x:c r="L697" s="17" t="n">
        <x:f>IF(AND(B697&lt;&gt;"",I697="RECENT",K697&gt;0),LARGE(_xlfn._xlws.FILTER('Istoric_Nativ'!$D$6:$D$405,('Istoric_Nativ'!$B$6:$B$405=E697)*('Istoric_Nativ'!$C$6:$C$405=F697)*('Istoric_Nativ'!$P$6:$P$405=1)*('Istoric_Nativ'!$D$6:$D$405&lt;J697)*((('Istoric_Nativ'!$E$6:$E$405=G697)+('Istoric_Nativ'!$F$6:$F$405=G697))&gt;0)),MIN('Config_v6'!$B$54,K697)),0)</x:f>
        <x:v>0</x:v>
      </x:c>
      <x:c r="M697" s="2" t="n">
        <x:f>IF(OR(B697="",F697=""),0,IF(H697="HOME",COUNTIFS('Istoric_Nativ'!$B$6:$B$405,E697,'Istoric_Nativ'!$C$6:$C$405,F697,'Istoric_Nativ'!$E$6:$E$405,G697,'Istoric_Nativ'!$D$6:$D$405,"&lt;"&amp;J697,'Istoric_Nativ'!$P$6:$P$405,1,'Istoric_Nativ'!$D$6:$D$405,"&gt;="&amp;L697),IF(H697="AWAY",COUNTIFS('Istoric_Nativ'!$B$6:$B$405,E697,'Istoric_Nativ'!$C$6:$C$405,F697,'Istoric_Nativ'!$F$6:$F$405,G697,'Istoric_Nativ'!$D$6:$D$405,"&lt;"&amp;J697,'Istoric_Nativ'!$P$6:$P$405,1,'Istoric_Nativ'!$D$6:$D$405,"&gt;="&amp;L697),COUNTIFS('Istoric_Nativ'!$B$6:$B$405,E697,'Istoric_Nativ'!$C$6:$C$405,F697,'Istoric_Nativ'!$E$6:$E$405,G697,'Istoric_Nativ'!$D$6:$D$405,"&lt;"&amp;J697,'Istoric_Nativ'!$P$6:$P$405,1,'Istoric_Nativ'!$D$6:$D$405,"&gt;="&amp;L697)+COUNTIFS('Istoric_Nativ'!$B$6:$B$405,E697,'Istoric_Nativ'!$C$6:$C$405,F697,'Istoric_Nativ'!$F$6:$F$405,G697,'Istoric_Nativ'!$D$6:$D$405,"&lt;"&amp;J697,'Istoric_Nativ'!$P$6:$P$405,1,'Istoric_Nativ'!$D$6:$D$405,"&gt;="&amp;L697))))</x:f>
        <x:v>0</x:v>
      </x:c>
      <x:c r="N697" s="11" t="str">
        <x:f>IF(M697=0,"",IF(H697="HOME",SUMIFS('Istoric_Nativ'!$G$6:$G$405,'Istoric_Nativ'!$B$6:$B$405,E697,'Istoric_Nativ'!$C$6:$C$405,F697,'Istoric_Nativ'!$E$6:$E$405,G697,'Istoric_Nativ'!$D$6:$D$405,"&lt;"&amp;J697,'Istoric_Nativ'!$P$6:$P$405,1,'Istoric_Nativ'!$D$6:$D$405,"&gt;="&amp;L697),IF(H697="AWAY",SUMIFS('Istoric_Nativ'!$H$6:$H$405,'Istoric_Nativ'!$B$6:$B$405,E697,'Istoric_Nativ'!$C$6:$C$405,F697,'Istoric_Nativ'!$F$6:$F$405,G697,'Istoric_Nativ'!$D$6:$D$405,"&lt;"&amp;J697,'Istoric_Nativ'!$P$6:$P$405,1,'Istoric_Nativ'!$D$6:$D$405,"&gt;="&amp;L697),SUMIFS('Istoric_Nativ'!$G$6:$G$405,'Istoric_Nativ'!$B$6:$B$405,E697,'Istoric_Nativ'!$C$6:$C$405,F697,'Istoric_Nativ'!$E$6:$E$405,G697,'Istoric_Nativ'!$D$6:$D$405,"&lt;"&amp;J697,'Istoric_Nativ'!$P$6:$P$405,1,'Istoric_Nativ'!$D$6:$D$405,"&gt;="&amp;L697)+SUMIFS('Istoric_Nativ'!$H$6:$H$405,'Istoric_Nativ'!$B$6:$B$405,E697,'Istoric_Nativ'!$C$6:$C$405,F697,'Istoric_Nativ'!$F$6:$F$405,G697,'Istoric_Nativ'!$D$6:$D$405,"&lt;"&amp;J697,'Istoric_Nativ'!$P$6:$P$405,1,'Istoric_Nativ'!$D$6:$D$405,"&gt;="&amp;L697)))/M697)</x:f>
      </x:c>
      <x:c r="O697" s="11" t="str">
        <x:f>IF(M697=0,"",IF(H697="HOME",SUMIFS('Istoric_Nativ'!$H$6:$H$405,'Istoric_Nativ'!$B$6:$B$405,E697,'Istoric_Nativ'!$C$6:$C$405,F697,'Istoric_Nativ'!$E$6:$E$405,G697,'Istoric_Nativ'!$D$6:$D$405,"&lt;"&amp;J697,'Istoric_Nativ'!$P$6:$P$405,1,'Istoric_Nativ'!$D$6:$D$405,"&gt;="&amp;L697),IF(H697="AWAY",SUMIFS('Istoric_Nativ'!$G$6:$G$405,'Istoric_Nativ'!$B$6:$B$405,E697,'Istoric_Nativ'!$C$6:$C$405,F697,'Istoric_Nativ'!$F$6:$F$405,G697,'Istoric_Nativ'!$D$6:$D$405,"&lt;"&amp;J697,'Istoric_Nativ'!$P$6:$P$405,1,'Istoric_Nativ'!$D$6:$D$405,"&gt;="&amp;L697),SUMIFS('Istoric_Nativ'!$H$6:$H$405,'Istoric_Nativ'!$B$6:$B$405,E697,'Istoric_Nativ'!$C$6:$C$405,F697,'Istoric_Nativ'!$E$6:$E$405,G697,'Istoric_Nativ'!$D$6:$D$405,"&lt;"&amp;J697,'Istoric_Nativ'!$P$6:$P$405,1,'Istoric_Nativ'!$D$6:$D$405,"&gt;="&amp;L697)+SUMIFS('Istoric_Nativ'!$G$6:$G$405,'Istoric_Nativ'!$B$6:$B$405,E697,'Istoric_Nativ'!$C$6:$C$405,F697,'Istoric_Nativ'!$F$6:$F$405,G697,'Istoric_Nativ'!$D$6:$D$405,"&lt;"&amp;J697,'Istoric_Nativ'!$P$6:$P$405,1,'Istoric_Nativ'!$D$6:$D$405,"&gt;="&amp;L697)))/M697)</x:f>
      </x:c>
      <x:c r="P697" s="2" t="n">
        <x:f>'Config_v6'!$B$8</x:f>
        <x:v>5</x:v>
      </x:c>
      <x:c r="Q697" s="2" t="n">
        <x:f>IF(OR(B697="",F697=""),0,IFERROR(MATCH(E697&amp;"|"&amp;F697,SourceTable[Source_Key],0),0))</x:f>
        <x:v>0</x:v>
      </x:c>
      <x:c r="R697" s="2" t="str">
        <x:f>IF(B697="","",IF(F697="","UNUSED",IF(Q697=0,"NOT CHECKED",IF(COUNTIF(SourceTable[Source_Key],E697&amp;"|"&amp;F697)&lt;&gt;1,"SOURCE CONFLICT",IF(NOT(OR(INDEX(SourceTable[Status],MAX(1,Q697))="IMPORTED",INDEX(SourceTable[Status],MAX(1,Q697))="PARTIAL",INDEX(SourceTable[Status],MAX(1,Q697))="SOURCE CONFLICT")),"ACCESS BLOCKED",IF(OR(INDEX(SourceTable[Coverage],Q697)&lt;&gt;"FULL SEASON EXPORT",INDEX(SourceTable[URL],Q697)="",INDEX(SourceTable[SHA256],Q697)=""),"EVIDENCE INCOMPLETE",IF(AND('Input_Meci'!H63="LIVE",INDEX(SourceTable[Retrieved_UTC],Q697)&gt;'Input_Meci'!G63),"POST CUTOFF","CLOSED")))))))</x:f>
      </x:c>
      <x:c r="S697" s="2" t="n">
        <x:f>IF(OR(B697="",F697=""),0,COUNTIFS('Istoric_Nativ'!$B$6:$B$405,E697,'Istoric_Nativ'!$C$6:$C$405,F697,'Istoric_Nativ'!$E$6:$E$405,G697,'Istoric_Nativ'!$D$6:$D$405,"&lt;"&amp;J697,'Istoric_Nativ'!$O$6:$O$405,"INVALID")+COUNTIFS('Istoric_Nativ'!$B$6:$B$405,E697,'Istoric_Nativ'!$C$6:$C$405,F697,'Istoric_Nativ'!$E$6:$E$405,G697,'Istoric_Nativ'!$O$6:$O$405,"INVALID",'Istoric_Nativ'!$D$6:$D$405,"*")+COUNTIFS('Istoric_Nativ'!$B$6:$B$405,E697,'Istoric_Nativ'!$C$6:$C$405,F697,'Istoric_Nativ'!$E$6:$E$405,G697,'Istoric_Nativ'!$D$6:$D$405,"&lt;"&amp;J697,'Istoric_Nativ'!$O$6:$O$405,"SOURCE CONFLICT")+COUNTIFS('Istoric_Nativ'!$B$6:$B$405,E697,'Istoric_Nativ'!$C$6:$C$405,F697,'Istoric_Nativ'!$F$6:$F$405,G697,'Istoric_Nativ'!$D$6:$D$405,"&lt;"&amp;J697,'Istoric_Nativ'!$O$6:$O$405,"INVALID")+COUNTIFS('Istoric_Nativ'!$B$6:$B$405,E697,'Istoric_Nativ'!$C$6:$C$405,F697,'Istoric_Nativ'!$F$6:$F$405,G697,'Istoric_Nativ'!$O$6:$O$405,"INVALID",'Istoric_Nativ'!$D$6:$D$405,"*")+COUNTIFS('Istoric_Nativ'!$B$6:$B$405,E697,'Istoric_Nativ'!$C$6:$C$405,F697,'Istoric_Nativ'!$F$6:$F$405,G697,'Istoric_Nativ'!$D$6:$D$405,"&lt;"&amp;J697,'Istoric_Nativ'!$O$6:$O$405,"SOURCE CONFLICT"))</x:f>
        <x:v>0</x:v>
      </x:c>
      <x:c r="T697" s="2" t="str">
        <x:f>IF(B697="","",IF(R697&lt;&gt;"CLOSED",R697,IF(S697&gt;0,"NATIVE INPUT ISSUE",IF(M697=0,"NO HISTORY",IF(M697&lt;P697,"SMALL SAMPLE","DERIVED")))))</x:f>
      </x:c>
      <x:c r="U697" s="2" t="str">
        <x:f>IF(B697="","","NativeTable; "&amp;E697&amp;"; "&amp;F697&amp;"; "&amp;G697&amp;"; "&amp;H697&amp;"; before "&amp;TEXT(J697,"yyyy-mm-dd")&amp;IF(I697="RECENT","; from "&amp;TEXT(L697,"yyyy-mm-dd"),""))</x:f>
      </x:c>
    </x:row>
    <x:row r="698" ht="21" customHeight="1">
      <x:c r="A698" s="2" t="n">
        <x:v>58</x:v>
      </x:c>
      <x:c r="B698" s="2" t="str">
        <x:f>IF('Input_Meci'!A63="","",'Input_Meci'!A63)</x:f>
      </x:c>
      <x:c r="C698" s="2" t="str">
        <x:v>H</x:v>
      </x:c>
      <x:c r="D698" s="2" t="str">
        <x:v>PRIOR</x:v>
      </x:c>
      <x:c r="E698" s="2" t="str">
        <x:f>IF(B698="","",'Input_Meci'!B63)</x:f>
      </x:c>
      <x:c r="F698" s="2" t="str">
        <x:f>IF(B698="","",IF('Input_Meci'!K63="","",'Input_Meci'!K63))</x:f>
      </x:c>
      <x:c r="G698" s="2" t="str">
        <x:f>IF(B698="","",'Input_Meci'!D63)</x:f>
      </x:c>
      <x:c r="H698" s="2" t="str">
        <x:v>ANY</x:v>
      </x:c>
      <x:c r="I698" s="2" t="str">
        <x:v>RECENT</x:v>
      </x:c>
      <x:c r="J698" s="9" t="n">
        <x:f>IF(AND(B698&lt;&gt;"",ISNUMBER('Input_Meci'!G63)),INT('Input_Meci'!G63),0)</x:f>
        <x:v>0</x:v>
      </x:c>
      <x:c r="K698" s="2" t="n">
        <x:f>IF(OR(B698="",F698=""),0,IF(H698="HOME",COUNTIFS('Istoric_Nativ'!$B$6:$B$405,E698,'Istoric_Nativ'!$C$6:$C$405,F698,'Istoric_Nativ'!$E$6:$E$405,G698,'Istoric_Nativ'!$D$6:$D$405,"&lt;"&amp;J698,'Istoric_Nativ'!$P$6:$P$405,1),IF(H698="AWAY",COUNTIFS('Istoric_Nativ'!$B$6:$B$405,E698,'Istoric_Nativ'!$C$6:$C$405,F698,'Istoric_Nativ'!$F$6:$F$405,G698,'Istoric_Nativ'!$D$6:$D$405,"&lt;"&amp;J698,'Istoric_Nativ'!$P$6:$P$405,1),COUNTIFS('Istoric_Nativ'!$B$6:$B$405,E698,'Istoric_Nativ'!$C$6:$C$405,F698,'Istoric_Nativ'!$E$6:$E$405,G698,'Istoric_Nativ'!$D$6:$D$405,"&lt;"&amp;J698,'Istoric_Nativ'!$P$6:$P$405,1)+COUNTIFS('Istoric_Nativ'!$B$6:$B$405,E698,'Istoric_Nativ'!$C$6:$C$405,F698,'Istoric_Nativ'!$F$6:$F$405,G698,'Istoric_Nativ'!$D$6:$D$405,"&lt;"&amp;J698,'Istoric_Nativ'!$P$6:$P$405,1))))</x:f>
        <x:v>0</x:v>
      </x:c>
      <x:c r="L698" s="17" t="n">
        <x:f>IF(AND(B698&lt;&gt;"",I698="RECENT",K698&gt;0),LARGE(_xlfn._xlws.FILTER('Istoric_Nativ'!$D$6:$D$405,('Istoric_Nativ'!$B$6:$B$405=E698)*('Istoric_Nativ'!$C$6:$C$405=F698)*('Istoric_Nativ'!$P$6:$P$405=1)*('Istoric_Nativ'!$D$6:$D$405&lt;J698)*((('Istoric_Nativ'!$E$6:$E$405=G698)+('Istoric_Nativ'!$F$6:$F$405=G698))&gt;0)),MIN('Config_v6'!$B$54,K698)),0)</x:f>
        <x:v>0</x:v>
      </x:c>
      <x:c r="M698" s="2" t="n">
        <x:f>IF(OR(B698="",F698=""),0,IF(H698="HOME",COUNTIFS('Istoric_Nativ'!$B$6:$B$405,E698,'Istoric_Nativ'!$C$6:$C$405,F698,'Istoric_Nativ'!$E$6:$E$405,G698,'Istoric_Nativ'!$D$6:$D$405,"&lt;"&amp;J698,'Istoric_Nativ'!$P$6:$P$405,1,'Istoric_Nativ'!$D$6:$D$405,"&gt;="&amp;L698),IF(H698="AWAY",COUNTIFS('Istoric_Nativ'!$B$6:$B$405,E698,'Istoric_Nativ'!$C$6:$C$405,F698,'Istoric_Nativ'!$F$6:$F$405,G698,'Istoric_Nativ'!$D$6:$D$405,"&lt;"&amp;J698,'Istoric_Nativ'!$P$6:$P$405,1,'Istoric_Nativ'!$D$6:$D$405,"&gt;="&amp;L698),COUNTIFS('Istoric_Nativ'!$B$6:$B$405,E698,'Istoric_Nativ'!$C$6:$C$405,F698,'Istoric_Nativ'!$E$6:$E$405,G698,'Istoric_Nativ'!$D$6:$D$405,"&lt;"&amp;J698,'Istoric_Nativ'!$P$6:$P$405,1,'Istoric_Nativ'!$D$6:$D$405,"&gt;="&amp;L698)+COUNTIFS('Istoric_Nativ'!$B$6:$B$405,E698,'Istoric_Nativ'!$C$6:$C$405,F698,'Istoric_Nativ'!$F$6:$F$405,G698,'Istoric_Nativ'!$D$6:$D$405,"&lt;"&amp;J698,'Istoric_Nativ'!$P$6:$P$405,1,'Istoric_Nativ'!$D$6:$D$405,"&gt;="&amp;L698))))</x:f>
        <x:v>0</x:v>
      </x:c>
      <x:c r="N698" s="11" t="str">
        <x:f>IF(M698=0,"",IF(H698="HOME",SUMIFS('Istoric_Nativ'!$G$6:$G$405,'Istoric_Nativ'!$B$6:$B$405,E698,'Istoric_Nativ'!$C$6:$C$405,F698,'Istoric_Nativ'!$E$6:$E$405,G698,'Istoric_Nativ'!$D$6:$D$405,"&lt;"&amp;J698,'Istoric_Nativ'!$P$6:$P$405,1,'Istoric_Nativ'!$D$6:$D$405,"&gt;="&amp;L698),IF(H698="AWAY",SUMIFS('Istoric_Nativ'!$H$6:$H$405,'Istoric_Nativ'!$B$6:$B$405,E698,'Istoric_Nativ'!$C$6:$C$405,F698,'Istoric_Nativ'!$F$6:$F$405,G698,'Istoric_Nativ'!$D$6:$D$405,"&lt;"&amp;J698,'Istoric_Nativ'!$P$6:$P$405,1,'Istoric_Nativ'!$D$6:$D$405,"&gt;="&amp;L698),SUMIFS('Istoric_Nativ'!$G$6:$G$405,'Istoric_Nativ'!$B$6:$B$405,E698,'Istoric_Nativ'!$C$6:$C$405,F698,'Istoric_Nativ'!$E$6:$E$405,G698,'Istoric_Nativ'!$D$6:$D$405,"&lt;"&amp;J698,'Istoric_Nativ'!$P$6:$P$405,1,'Istoric_Nativ'!$D$6:$D$405,"&gt;="&amp;L698)+SUMIFS('Istoric_Nativ'!$H$6:$H$405,'Istoric_Nativ'!$B$6:$B$405,E698,'Istoric_Nativ'!$C$6:$C$405,F698,'Istoric_Nativ'!$F$6:$F$405,G698,'Istoric_Nativ'!$D$6:$D$405,"&lt;"&amp;J698,'Istoric_Nativ'!$P$6:$P$405,1,'Istoric_Nativ'!$D$6:$D$405,"&gt;="&amp;L698)))/M698)</x:f>
      </x:c>
      <x:c r="O698" s="11" t="str">
        <x:f>IF(M698=0,"",IF(H698="HOME",SUMIFS('Istoric_Nativ'!$H$6:$H$405,'Istoric_Nativ'!$B$6:$B$405,E698,'Istoric_Nativ'!$C$6:$C$405,F698,'Istoric_Nativ'!$E$6:$E$405,G698,'Istoric_Nativ'!$D$6:$D$405,"&lt;"&amp;J698,'Istoric_Nativ'!$P$6:$P$405,1,'Istoric_Nativ'!$D$6:$D$405,"&gt;="&amp;L698),IF(H698="AWAY",SUMIFS('Istoric_Nativ'!$G$6:$G$405,'Istoric_Nativ'!$B$6:$B$405,E698,'Istoric_Nativ'!$C$6:$C$405,F698,'Istoric_Nativ'!$F$6:$F$405,G698,'Istoric_Nativ'!$D$6:$D$405,"&lt;"&amp;J698,'Istoric_Nativ'!$P$6:$P$405,1,'Istoric_Nativ'!$D$6:$D$405,"&gt;="&amp;L698),SUMIFS('Istoric_Nativ'!$H$6:$H$405,'Istoric_Nativ'!$B$6:$B$405,E698,'Istoric_Nativ'!$C$6:$C$405,F698,'Istoric_Nativ'!$E$6:$E$405,G698,'Istoric_Nativ'!$D$6:$D$405,"&lt;"&amp;J698,'Istoric_Nativ'!$P$6:$P$405,1,'Istoric_Nativ'!$D$6:$D$405,"&gt;="&amp;L698)+SUMIFS('Istoric_Nativ'!$G$6:$G$405,'Istoric_Nativ'!$B$6:$B$405,E698,'Istoric_Nativ'!$C$6:$C$405,F698,'Istoric_Nativ'!$F$6:$F$405,G698,'Istoric_Nativ'!$D$6:$D$405,"&lt;"&amp;J698,'Istoric_Nativ'!$P$6:$P$405,1,'Istoric_Nativ'!$D$6:$D$405,"&gt;="&amp;L698)))/M698)</x:f>
      </x:c>
      <x:c r="P698" s="2" t="n">
        <x:f>'Config_v6'!$B$9</x:f>
        <x:v>3</x:v>
      </x:c>
      <x:c r="Q698" s="2" t="n">
        <x:f>IF(OR(B698="",F698=""),0,IFERROR(MATCH(E698&amp;"|"&amp;F698,SourceTable[Source_Key],0),0))</x:f>
        <x:v>0</x:v>
      </x:c>
      <x:c r="R698" s="2" t="str">
        <x:f>IF(B698="","",IF(F698="","UNUSED",IF(Q698=0,"NOT CHECKED",IF(COUNTIF(SourceTable[Source_Key],E698&amp;"|"&amp;F698)&lt;&gt;1,"SOURCE CONFLICT",IF(NOT(OR(INDEX(SourceTable[Status],MAX(1,Q698))="IMPORTED",INDEX(SourceTable[Status],MAX(1,Q698))="PARTIAL",INDEX(SourceTable[Status],MAX(1,Q698))="SOURCE CONFLICT")),"ACCESS BLOCKED",IF(OR(INDEX(SourceTable[Coverage],Q698)&lt;&gt;"FULL SEASON EXPORT",INDEX(SourceTable[URL],Q698)="",INDEX(SourceTable[SHA256],Q698)=""),"EVIDENCE INCOMPLETE",IF(AND('Input_Meci'!H63="LIVE",INDEX(SourceTable[Retrieved_UTC],Q698)&gt;'Input_Meci'!G63),"POST CUTOFF","CLOSED")))))))</x:f>
      </x:c>
      <x:c r="S698" s="2" t="n">
        <x:f>IF(OR(B698="",F698=""),0,COUNTIFS('Istoric_Nativ'!$B$6:$B$405,E698,'Istoric_Nativ'!$C$6:$C$405,F698,'Istoric_Nativ'!$E$6:$E$405,G698,'Istoric_Nativ'!$D$6:$D$405,"&lt;"&amp;J698,'Istoric_Nativ'!$O$6:$O$405,"INVALID")+COUNTIFS('Istoric_Nativ'!$B$6:$B$405,E698,'Istoric_Nativ'!$C$6:$C$405,F698,'Istoric_Nativ'!$E$6:$E$405,G698,'Istoric_Nativ'!$O$6:$O$405,"INVALID",'Istoric_Nativ'!$D$6:$D$405,"*")+COUNTIFS('Istoric_Nativ'!$B$6:$B$405,E698,'Istoric_Nativ'!$C$6:$C$405,F698,'Istoric_Nativ'!$E$6:$E$405,G698,'Istoric_Nativ'!$D$6:$D$405,"&lt;"&amp;J698,'Istoric_Nativ'!$O$6:$O$405,"SOURCE CONFLICT")+COUNTIFS('Istoric_Nativ'!$B$6:$B$405,E698,'Istoric_Nativ'!$C$6:$C$405,F698,'Istoric_Nativ'!$F$6:$F$405,G698,'Istoric_Nativ'!$D$6:$D$405,"&lt;"&amp;J698,'Istoric_Nativ'!$O$6:$O$405,"INVALID")+COUNTIFS('Istoric_Nativ'!$B$6:$B$405,E698,'Istoric_Nativ'!$C$6:$C$405,F698,'Istoric_Nativ'!$F$6:$F$405,G698,'Istoric_Nativ'!$O$6:$O$405,"INVALID",'Istoric_Nativ'!$D$6:$D$405,"*")+COUNTIFS('Istoric_Nativ'!$B$6:$B$405,E698,'Istoric_Nativ'!$C$6:$C$405,F698,'Istoric_Nativ'!$F$6:$F$405,G698,'Istoric_Nativ'!$D$6:$D$405,"&lt;"&amp;J698,'Istoric_Nativ'!$O$6:$O$405,"SOURCE CONFLICT"))</x:f>
        <x:v>0</x:v>
      </x:c>
      <x:c r="T698" s="2" t="str">
        <x:f>IF(B698="","",IF(R698&lt;&gt;"CLOSED",R698,IF(S698&gt;0,"NATIVE INPUT ISSUE",IF(M698=0,"NO HISTORY",IF(M698&lt;P698,"SMALL SAMPLE","DERIVED")))))</x:f>
      </x:c>
      <x:c r="U698" s="2" t="str">
        <x:f>IF(B698="","","NativeTable; "&amp;E698&amp;"; "&amp;F698&amp;"; "&amp;G698&amp;"; "&amp;H698&amp;"; before "&amp;TEXT(J698,"yyyy-mm-dd")&amp;IF(I698="RECENT","; from "&amp;TEXT(L698,"yyyy-mm-dd"),""))</x:f>
      </x:c>
    </x:row>
    <x:row r="699" ht="21" customHeight="1">
      <x:c r="A699" s="2" t="n">
        <x:v>58</x:v>
      </x:c>
      <x:c r="B699" s="2" t="str">
        <x:f>IF('Input_Meci'!A63="","",'Input_Meci'!A63)</x:f>
      </x:c>
      <x:c r="C699" s="2" t="str">
        <x:v>A</x:v>
      </x:c>
      <x:c r="D699" s="2" t="str">
        <x:v>PRIOR</x:v>
      </x:c>
      <x:c r="E699" s="2" t="str">
        <x:f>IF(B699="","",'Input_Meci'!B63)</x:f>
      </x:c>
      <x:c r="F699" s="2" t="str">
        <x:f>IF(B699="","",IF('Input_Meci'!K63="","",'Input_Meci'!K63))</x:f>
      </x:c>
      <x:c r="G699" s="2" t="str">
        <x:f>IF(B699="","",'Input_Meci'!E63)</x:f>
      </x:c>
      <x:c r="H699" s="2" t="str">
        <x:v>ANY</x:v>
      </x:c>
      <x:c r="I699" s="2" t="str">
        <x:v>SEASON</x:v>
      </x:c>
      <x:c r="J699" s="9" t="n">
        <x:f>IF(AND(B699&lt;&gt;"",ISNUMBER('Input_Meci'!G63)),INT('Input_Meci'!G63),0)</x:f>
        <x:v>0</x:v>
      </x:c>
      <x:c r="K699" s="2" t="n">
        <x:f>IF(OR(B699="",F699=""),0,IF(H699="HOME",COUNTIFS('Istoric_Nativ'!$B$6:$B$405,E699,'Istoric_Nativ'!$C$6:$C$405,F699,'Istoric_Nativ'!$E$6:$E$405,G699,'Istoric_Nativ'!$D$6:$D$405,"&lt;"&amp;J699,'Istoric_Nativ'!$P$6:$P$405,1),IF(H699="AWAY",COUNTIFS('Istoric_Nativ'!$B$6:$B$405,E699,'Istoric_Nativ'!$C$6:$C$405,F699,'Istoric_Nativ'!$F$6:$F$405,G699,'Istoric_Nativ'!$D$6:$D$405,"&lt;"&amp;J699,'Istoric_Nativ'!$P$6:$P$405,1),COUNTIFS('Istoric_Nativ'!$B$6:$B$405,E699,'Istoric_Nativ'!$C$6:$C$405,F699,'Istoric_Nativ'!$E$6:$E$405,G699,'Istoric_Nativ'!$D$6:$D$405,"&lt;"&amp;J699,'Istoric_Nativ'!$P$6:$P$405,1)+COUNTIFS('Istoric_Nativ'!$B$6:$B$405,E699,'Istoric_Nativ'!$C$6:$C$405,F699,'Istoric_Nativ'!$F$6:$F$405,G699,'Istoric_Nativ'!$D$6:$D$405,"&lt;"&amp;J699,'Istoric_Nativ'!$P$6:$P$405,1))))</x:f>
        <x:v>0</x:v>
      </x:c>
      <x:c r="L699" s="17" t="n">
        <x:f>IF(AND(B699&lt;&gt;"",I699="RECENT",K699&gt;0),LARGE(_xlfn._xlws.FILTER('Istoric_Nativ'!$D$6:$D$405,('Istoric_Nativ'!$B$6:$B$405=E699)*('Istoric_Nativ'!$C$6:$C$405=F699)*('Istoric_Nativ'!$P$6:$P$405=1)*('Istoric_Nativ'!$D$6:$D$405&lt;J699)*((('Istoric_Nativ'!$E$6:$E$405=G699)+('Istoric_Nativ'!$F$6:$F$405=G699))&gt;0)),MIN('Config_v6'!$B$54,K699)),0)</x:f>
        <x:v>0</x:v>
      </x:c>
      <x:c r="M699" s="2" t="n">
        <x:f>IF(OR(B699="",F699=""),0,IF(H699="HOME",COUNTIFS('Istoric_Nativ'!$B$6:$B$405,E699,'Istoric_Nativ'!$C$6:$C$405,F699,'Istoric_Nativ'!$E$6:$E$405,G699,'Istoric_Nativ'!$D$6:$D$405,"&lt;"&amp;J699,'Istoric_Nativ'!$P$6:$P$405,1,'Istoric_Nativ'!$D$6:$D$405,"&gt;="&amp;L699),IF(H699="AWAY",COUNTIFS('Istoric_Nativ'!$B$6:$B$405,E699,'Istoric_Nativ'!$C$6:$C$405,F699,'Istoric_Nativ'!$F$6:$F$405,G699,'Istoric_Nativ'!$D$6:$D$405,"&lt;"&amp;J699,'Istoric_Nativ'!$P$6:$P$405,1,'Istoric_Nativ'!$D$6:$D$405,"&gt;="&amp;L699),COUNTIFS('Istoric_Nativ'!$B$6:$B$405,E699,'Istoric_Nativ'!$C$6:$C$405,F699,'Istoric_Nativ'!$E$6:$E$405,G699,'Istoric_Nativ'!$D$6:$D$405,"&lt;"&amp;J699,'Istoric_Nativ'!$P$6:$P$405,1,'Istoric_Nativ'!$D$6:$D$405,"&gt;="&amp;L699)+COUNTIFS('Istoric_Nativ'!$B$6:$B$405,E699,'Istoric_Nativ'!$C$6:$C$405,F699,'Istoric_Nativ'!$F$6:$F$405,G699,'Istoric_Nativ'!$D$6:$D$405,"&lt;"&amp;J699,'Istoric_Nativ'!$P$6:$P$405,1,'Istoric_Nativ'!$D$6:$D$405,"&gt;="&amp;L699))))</x:f>
        <x:v>0</x:v>
      </x:c>
      <x:c r="N699" s="11" t="str">
        <x:f>IF(M699=0,"",IF(H699="HOME",SUMIFS('Istoric_Nativ'!$G$6:$G$405,'Istoric_Nativ'!$B$6:$B$405,E699,'Istoric_Nativ'!$C$6:$C$405,F699,'Istoric_Nativ'!$E$6:$E$405,G699,'Istoric_Nativ'!$D$6:$D$405,"&lt;"&amp;J699,'Istoric_Nativ'!$P$6:$P$405,1,'Istoric_Nativ'!$D$6:$D$405,"&gt;="&amp;L699),IF(H699="AWAY",SUMIFS('Istoric_Nativ'!$H$6:$H$405,'Istoric_Nativ'!$B$6:$B$405,E699,'Istoric_Nativ'!$C$6:$C$405,F699,'Istoric_Nativ'!$F$6:$F$405,G699,'Istoric_Nativ'!$D$6:$D$405,"&lt;"&amp;J699,'Istoric_Nativ'!$P$6:$P$405,1,'Istoric_Nativ'!$D$6:$D$405,"&gt;="&amp;L699),SUMIFS('Istoric_Nativ'!$G$6:$G$405,'Istoric_Nativ'!$B$6:$B$405,E699,'Istoric_Nativ'!$C$6:$C$405,F699,'Istoric_Nativ'!$E$6:$E$405,G699,'Istoric_Nativ'!$D$6:$D$405,"&lt;"&amp;J699,'Istoric_Nativ'!$P$6:$P$405,1,'Istoric_Nativ'!$D$6:$D$405,"&gt;="&amp;L699)+SUMIFS('Istoric_Nativ'!$H$6:$H$405,'Istoric_Nativ'!$B$6:$B$405,E699,'Istoric_Nativ'!$C$6:$C$405,F699,'Istoric_Nativ'!$F$6:$F$405,G699,'Istoric_Nativ'!$D$6:$D$405,"&lt;"&amp;J699,'Istoric_Nativ'!$P$6:$P$405,1,'Istoric_Nativ'!$D$6:$D$405,"&gt;="&amp;L699)))/M699)</x:f>
      </x:c>
      <x:c r="O699" s="11" t="str">
        <x:f>IF(M699=0,"",IF(H699="HOME",SUMIFS('Istoric_Nativ'!$H$6:$H$405,'Istoric_Nativ'!$B$6:$B$405,E699,'Istoric_Nativ'!$C$6:$C$405,F699,'Istoric_Nativ'!$E$6:$E$405,G699,'Istoric_Nativ'!$D$6:$D$405,"&lt;"&amp;J699,'Istoric_Nativ'!$P$6:$P$405,1,'Istoric_Nativ'!$D$6:$D$405,"&gt;="&amp;L699),IF(H699="AWAY",SUMIFS('Istoric_Nativ'!$G$6:$G$405,'Istoric_Nativ'!$B$6:$B$405,E699,'Istoric_Nativ'!$C$6:$C$405,F699,'Istoric_Nativ'!$F$6:$F$405,G699,'Istoric_Nativ'!$D$6:$D$405,"&lt;"&amp;J699,'Istoric_Nativ'!$P$6:$P$405,1,'Istoric_Nativ'!$D$6:$D$405,"&gt;="&amp;L699),SUMIFS('Istoric_Nativ'!$H$6:$H$405,'Istoric_Nativ'!$B$6:$B$405,E699,'Istoric_Nativ'!$C$6:$C$405,F699,'Istoric_Nativ'!$E$6:$E$405,G699,'Istoric_Nativ'!$D$6:$D$405,"&lt;"&amp;J699,'Istoric_Nativ'!$P$6:$P$405,1,'Istoric_Nativ'!$D$6:$D$405,"&gt;="&amp;L699)+SUMIFS('Istoric_Nativ'!$G$6:$G$405,'Istoric_Nativ'!$B$6:$B$405,E699,'Istoric_Nativ'!$C$6:$C$405,F699,'Istoric_Nativ'!$F$6:$F$405,G699,'Istoric_Nativ'!$D$6:$D$405,"&lt;"&amp;J699,'Istoric_Nativ'!$P$6:$P$405,1,'Istoric_Nativ'!$D$6:$D$405,"&gt;="&amp;L699)))/M699)</x:f>
      </x:c>
      <x:c r="P699" s="2" t="n">
        <x:f>'Config_v6'!$B$7</x:f>
        <x:v>10</x:v>
      </x:c>
      <x:c r="Q699" s="2" t="n">
        <x:f>IF(OR(B699="",F699=""),0,IFERROR(MATCH(E699&amp;"|"&amp;F699,SourceTable[Source_Key],0),0))</x:f>
        <x:v>0</x:v>
      </x:c>
      <x:c r="R699" s="2" t="str">
        <x:f>IF(B699="","",IF(F699="","UNUSED",IF(Q699=0,"NOT CHECKED",IF(COUNTIF(SourceTable[Source_Key],E699&amp;"|"&amp;F699)&lt;&gt;1,"SOURCE CONFLICT",IF(NOT(OR(INDEX(SourceTable[Status],MAX(1,Q699))="IMPORTED",INDEX(SourceTable[Status],MAX(1,Q699))="PARTIAL",INDEX(SourceTable[Status],MAX(1,Q699))="SOURCE CONFLICT")),"ACCESS BLOCKED",IF(OR(INDEX(SourceTable[Coverage],Q699)&lt;&gt;"FULL SEASON EXPORT",INDEX(SourceTable[URL],Q699)="",INDEX(SourceTable[SHA256],Q699)=""),"EVIDENCE INCOMPLETE",IF(AND('Input_Meci'!H63="LIVE",INDEX(SourceTable[Retrieved_UTC],Q699)&gt;'Input_Meci'!G63),"POST CUTOFF","CLOSED")))))))</x:f>
      </x:c>
      <x:c r="S699" s="2" t="n">
        <x:f>IF(OR(B699="",F699=""),0,COUNTIFS('Istoric_Nativ'!$B$6:$B$405,E699,'Istoric_Nativ'!$C$6:$C$405,F699,'Istoric_Nativ'!$E$6:$E$405,G699,'Istoric_Nativ'!$D$6:$D$405,"&lt;"&amp;J699,'Istoric_Nativ'!$O$6:$O$405,"INVALID")+COUNTIFS('Istoric_Nativ'!$B$6:$B$405,E699,'Istoric_Nativ'!$C$6:$C$405,F699,'Istoric_Nativ'!$E$6:$E$405,G699,'Istoric_Nativ'!$O$6:$O$405,"INVALID",'Istoric_Nativ'!$D$6:$D$405,"*")+COUNTIFS('Istoric_Nativ'!$B$6:$B$405,E699,'Istoric_Nativ'!$C$6:$C$405,F699,'Istoric_Nativ'!$E$6:$E$405,G699,'Istoric_Nativ'!$D$6:$D$405,"&lt;"&amp;J699,'Istoric_Nativ'!$O$6:$O$405,"SOURCE CONFLICT")+COUNTIFS('Istoric_Nativ'!$B$6:$B$405,E699,'Istoric_Nativ'!$C$6:$C$405,F699,'Istoric_Nativ'!$F$6:$F$405,G699,'Istoric_Nativ'!$D$6:$D$405,"&lt;"&amp;J699,'Istoric_Nativ'!$O$6:$O$405,"INVALID")+COUNTIFS('Istoric_Nativ'!$B$6:$B$405,E699,'Istoric_Nativ'!$C$6:$C$405,F699,'Istoric_Nativ'!$F$6:$F$405,G699,'Istoric_Nativ'!$O$6:$O$405,"INVALID",'Istoric_Nativ'!$D$6:$D$405,"*")+COUNTIFS('Istoric_Nativ'!$B$6:$B$405,E699,'Istoric_Nativ'!$C$6:$C$405,F699,'Istoric_Nativ'!$F$6:$F$405,G699,'Istoric_Nativ'!$D$6:$D$405,"&lt;"&amp;J699,'Istoric_Nativ'!$O$6:$O$405,"SOURCE CONFLICT"))</x:f>
        <x:v>0</x:v>
      </x:c>
      <x:c r="T699" s="2" t="str">
        <x:f>IF(B699="","",IF(R699&lt;&gt;"CLOSED",R699,IF(S699&gt;0,"NATIVE INPUT ISSUE",IF(M699=0,"NO HISTORY",IF(M699&lt;P699,"SMALL SAMPLE","DERIVED")))))</x:f>
      </x:c>
      <x:c r="U699" s="2" t="str">
        <x:f>IF(B699="","","NativeTable; "&amp;E699&amp;"; "&amp;F699&amp;"; "&amp;G699&amp;"; "&amp;H699&amp;"; before "&amp;TEXT(J699,"yyyy-mm-dd")&amp;IF(I699="RECENT","; from "&amp;TEXT(L699,"yyyy-mm-dd"),""))</x:f>
      </x:c>
    </x:row>
    <x:row r="700" ht="21" customHeight="1">
      <x:c r="A700" s="2" t="n">
        <x:v>58</x:v>
      </x:c>
      <x:c r="B700" s="2" t="str">
        <x:f>IF('Input_Meci'!A63="","",'Input_Meci'!A63)</x:f>
      </x:c>
      <x:c r="C700" s="2" t="str">
        <x:v>A</x:v>
      </x:c>
      <x:c r="D700" s="2" t="str">
        <x:v>PRIOR</x:v>
      </x:c>
      <x:c r="E700" s="2" t="str">
        <x:f>IF(B700="","",'Input_Meci'!B63)</x:f>
      </x:c>
      <x:c r="F700" s="2" t="str">
        <x:f>IF(B700="","",IF('Input_Meci'!K63="","",'Input_Meci'!K63))</x:f>
      </x:c>
      <x:c r="G700" s="2" t="str">
        <x:f>IF(B700="","",'Input_Meci'!E63)</x:f>
      </x:c>
      <x:c r="H700" s="2" t="str">
        <x:v>AWAY</x:v>
      </x:c>
      <x:c r="I700" s="2" t="str">
        <x:v>HA</x:v>
      </x:c>
      <x:c r="J700" s="9" t="n">
        <x:f>IF(AND(B700&lt;&gt;"",ISNUMBER('Input_Meci'!G63)),INT('Input_Meci'!G63),0)</x:f>
        <x:v>0</x:v>
      </x:c>
      <x:c r="K700" s="2" t="n">
        <x:f>IF(OR(B700="",F700=""),0,IF(H700="HOME",COUNTIFS('Istoric_Nativ'!$B$6:$B$405,E700,'Istoric_Nativ'!$C$6:$C$405,F700,'Istoric_Nativ'!$E$6:$E$405,G700,'Istoric_Nativ'!$D$6:$D$405,"&lt;"&amp;J700,'Istoric_Nativ'!$P$6:$P$405,1),IF(H700="AWAY",COUNTIFS('Istoric_Nativ'!$B$6:$B$405,E700,'Istoric_Nativ'!$C$6:$C$405,F700,'Istoric_Nativ'!$F$6:$F$405,G700,'Istoric_Nativ'!$D$6:$D$405,"&lt;"&amp;J700,'Istoric_Nativ'!$P$6:$P$405,1),COUNTIFS('Istoric_Nativ'!$B$6:$B$405,E700,'Istoric_Nativ'!$C$6:$C$405,F700,'Istoric_Nativ'!$E$6:$E$405,G700,'Istoric_Nativ'!$D$6:$D$405,"&lt;"&amp;J700,'Istoric_Nativ'!$P$6:$P$405,1)+COUNTIFS('Istoric_Nativ'!$B$6:$B$405,E700,'Istoric_Nativ'!$C$6:$C$405,F700,'Istoric_Nativ'!$F$6:$F$405,G700,'Istoric_Nativ'!$D$6:$D$405,"&lt;"&amp;J700,'Istoric_Nativ'!$P$6:$P$405,1))))</x:f>
        <x:v>0</x:v>
      </x:c>
      <x:c r="L700" s="17" t="n">
        <x:f>IF(AND(B700&lt;&gt;"",I700="RECENT",K700&gt;0),LARGE(_xlfn._xlws.FILTER('Istoric_Nativ'!$D$6:$D$405,('Istoric_Nativ'!$B$6:$B$405=E700)*('Istoric_Nativ'!$C$6:$C$405=F700)*('Istoric_Nativ'!$P$6:$P$405=1)*('Istoric_Nativ'!$D$6:$D$405&lt;J700)*((('Istoric_Nativ'!$E$6:$E$405=G700)+('Istoric_Nativ'!$F$6:$F$405=G700))&gt;0)),MIN('Config_v6'!$B$54,K700)),0)</x:f>
        <x:v>0</x:v>
      </x:c>
      <x:c r="M700" s="2" t="n">
        <x:f>IF(OR(B700="",F700=""),0,IF(H700="HOME",COUNTIFS('Istoric_Nativ'!$B$6:$B$405,E700,'Istoric_Nativ'!$C$6:$C$405,F700,'Istoric_Nativ'!$E$6:$E$405,G700,'Istoric_Nativ'!$D$6:$D$405,"&lt;"&amp;J700,'Istoric_Nativ'!$P$6:$P$405,1,'Istoric_Nativ'!$D$6:$D$405,"&gt;="&amp;L700),IF(H700="AWAY",COUNTIFS('Istoric_Nativ'!$B$6:$B$405,E700,'Istoric_Nativ'!$C$6:$C$405,F700,'Istoric_Nativ'!$F$6:$F$405,G700,'Istoric_Nativ'!$D$6:$D$405,"&lt;"&amp;J700,'Istoric_Nativ'!$P$6:$P$405,1,'Istoric_Nativ'!$D$6:$D$405,"&gt;="&amp;L700),COUNTIFS('Istoric_Nativ'!$B$6:$B$405,E700,'Istoric_Nativ'!$C$6:$C$405,F700,'Istoric_Nativ'!$E$6:$E$405,G700,'Istoric_Nativ'!$D$6:$D$405,"&lt;"&amp;J700,'Istoric_Nativ'!$P$6:$P$405,1,'Istoric_Nativ'!$D$6:$D$405,"&gt;="&amp;L700)+COUNTIFS('Istoric_Nativ'!$B$6:$B$405,E700,'Istoric_Nativ'!$C$6:$C$405,F700,'Istoric_Nativ'!$F$6:$F$405,G700,'Istoric_Nativ'!$D$6:$D$405,"&lt;"&amp;J700,'Istoric_Nativ'!$P$6:$P$405,1,'Istoric_Nativ'!$D$6:$D$405,"&gt;="&amp;L700))))</x:f>
        <x:v>0</x:v>
      </x:c>
      <x:c r="N700" s="11" t="str">
        <x:f>IF(M700=0,"",IF(H700="HOME",SUMIFS('Istoric_Nativ'!$G$6:$G$405,'Istoric_Nativ'!$B$6:$B$405,E700,'Istoric_Nativ'!$C$6:$C$405,F700,'Istoric_Nativ'!$E$6:$E$405,G700,'Istoric_Nativ'!$D$6:$D$405,"&lt;"&amp;J700,'Istoric_Nativ'!$P$6:$P$405,1,'Istoric_Nativ'!$D$6:$D$405,"&gt;="&amp;L700),IF(H700="AWAY",SUMIFS('Istoric_Nativ'!$H$6:$H$405,'Istoric_Nativ'!$B$6:$B$405,E700,'Istoric_Nativ'!$C$6:$C$405,F700,'Istoric_Nativ'!$F$6:$F$405,G700,'Istoric_Nativ'!$D$6:$D$405,"&lt;"&amp;J700,'Istoric_Nativ'!$P$6:$P$405,1,'Istoric_Nativ'!$D$6:$D$405,"&gt;="&amp;L700),SUMIFS('Istoric_Nativ'!$G$6:$G$405,'Istoric_Nativ'!$B$6:$B$405,E700,'Istoric_Nativ'!$C$6:$C$405,F700,'Istoric_Nativ'!$E$6:$E$405,G700,'Istoric_Nativ'!$D$6:$D$405,"&lt;"&amp;J700,'Istoric_Nativ'!$P$6:$P$405,1,'Istoric_Nativ'!$D$6:$D$405,"&gt;="&amp;L700)+SUMIFS('Istoric_Nativ'!$H$6:$H$405,'Istoric_Nativ'!$B$6:$B$405,E700,'Istoric_Nativ'!$C$6:$C$405,F700,'Istoric_Nativ'!$F$6:$F$405,G700,'Istoric_Nativ'!$D$6:$D$405,"&lt;"&amp;J700,'Istoric_Nativ'!$P$6:$P$405,1,'Istoric_Nativ'!$D$6:$D$405,"&gt;="&amp;L700)))/M700)</x:f>
      </x:c>
      <x:c r="O700" s="11" t="str">
        <x:f>IF(M700=0,"",IF(H700="HOME",SUMIFS('Istoric_Nativ'!$H$6:$H$405,'Istoric_Nativ'!$B$6:$B$405,E700,'Istoric_Nativ'!$C$6:$C$405,F700,'Istoric_Nativ'!$E$6:$E$405,G700,'Istoric_Nativ'!$D$6:$D$405,"&lt;"&amp;J700,'Istoric_Nativ'!$P$6:$P$405,1,'Istoric_Nativ'!$D$6:$D$405,"&gt;="&amp;L700),IF(H700="AWAY",SUMIFS('Istoric_Nativ'!$G$6:$G$405,'Istoric_Nativ'!$B$6:$B$405,E700,'Istoric_Nativ'!$C$6:$C$405,F700,'Istoric_Nativ'!$F$6:$F$405,G700,'Istoric_Nativ'!$D$6:$D$405,"&lt;"&amp;J700,'Istoric_Nativ'!$P$6:$P$405,1,'Istoric_Nativ'!$D$6:$D$405,"&gt;="&amp;L700),SUMIFS('Istoric_Nativ'!$H$6:$H$405,'Istoric_Nativ'!$B$6:$B$405,E700,'Istoric_Nativ'!$C$6:$C$405,F700,'Istoric_Nativ'!$E$6:$E$405,G700,'Istoric_Nativ'!$D$6:$D$405,"&lt;"&amp;J700,'Istoric_Nativ'!$P$6:$P$405,1,'Istoric_Nativ'!$D$6:$D$405,"&gt;="&amp;L700)+SUMIFS('Istoric_Nativ'!$G$6:$G$405,'Istoric_Nativ'!$B$6:$B$405,E700,'Istoric_Nativ'!$C$6:$C$405,F700,'Istoric_Nativ'!$F$6:$F$405,G700,'Istoric_Nativ'!$D$6:$D$405,"&lt;"&amp;J700,'Istoric_Nativ'!$P$6:$P$405,1,'Istoric_Nativ'!$D$6:$D$405,"&gt;="&amp;L700)))/M700)</x:f>
      </x:c>
      <x:c r="P700" s="2" t="n">
        <x:f>'Config_v6'!$B$8</x:f>
        <x:v>5</x:v>
      </x:c>
      <x:c r="Q700" s="2" t="n">
        <x:f>IF(OR(B700="",F700=""),0,IFERROR(MATCH(E700&amp;"|"&amp;F700,SourceTable[Source_Key],0),0))</x:f>
        <x:v>0</x:v>
      </x:c>
      <x:c r="R700" s="2" t="str">
        <x:f>IF(B700="","",IF(F700="","UNUSED",IF(Q700=0,"NOT CHECKED",IF(COUNTIF(SourceTable[Source_Key],E700&amp;"|"&amp;F700)&lt;&gt;1,"SOURCE CONFLICT",IF(NOT(OR(INDEX(SourceTable[Status],MAX(1,Q700))="IMPORTED",INDEX(SourceTable[Status],MAX(1,Q700))="PARTIAL",INDEX(SourceTable[Status],MAX(1,Q700))="SOURCE CONFLICT")),"ACCESS BLOCKED",IF(OR(INDEX(SourceTable[Coverage],Q700)&lt;&gt;"FULL SEASON EXPORT",INDEX(SourceTable[URL],Q700)="",INDEX(SourceTable[SHA256],Q700)=""),"EVIDENCE INCOMPLETE",IF(AND('Input_Meci'!H63="LIVE",INDEX(SourceTable[Retrieved_UTC],Q700)&gt;'Input_Meci'!G63),"POST CUTOFF","CLOSED")))))))</x:f>
      </x:c>
      <x:c r="S700" s="2" t="n">
        <x:f>IF(OR(B700="",F700=""),0,COUNTIFS('Istoric_Nativ'!$B$6:$B$405,E700,'Istoric_Nativ'!$C$6:$C$405,F700,'Istoric_Nativ'!$E$6:$E$405,G700,'Istoric_Nativ'!$D$6:$D$405,"&lt;"&amp;J700,'Istoric_Nativ'!$O$6:$O$405,"INVALID")+COUNTIFS('Istoric_Nativ'!$B$6:$B$405,E700,'Istoric_Nativ'!$C$6:$C$405,F700,'Istoric_Nativ'!$E$6:$E$405,G700,'Istoric_Nativ'!$O$6:$O$405,"INVALID",'Istoric_Nativ'!$D$6:$D$405,"*")+COUNTIFS('Istoric_Nativ'!$B$6:$B$405,E700,'Istoric_Nativ'!$C$6:$C$405,F700,'Istoric_Nativ'!$E$6:$E$405,G700,'Istoric_Nativ'!$D$6:$D$405,"&lt;"&amp;J700,'Istoric_Nativ'!$O$6:$O$405,"SOURCE CONFLICT")+COUNTIFS('Istoric_Nativ'!$B$6:$B$405,E700,'Istoric_Nativ'!$C$6:$C$405,F700,'Istoric_Nativ'!$F$6:$F$405,G700,'Istoric_Nativ'!$D$6:$D$405,"&lt;"&amp;J700,'Istoric_Nativ'!$O$6:$O$405,"INVALID")+COUNTIFS('Istoric_Nativ'!$B$6:$B$405,E700,'Istoric_Nativ'!$C$6:$C$405,F700,'Istoric_Nativ'!$F$6:$F$405,G700,'Istoric_Nativ'!$O$6:$O$405,"INVALID",'Istoric_Nativ'!$D$6:$D$405,"*")+COUNTIFS('Istoric_Nativ'!$B$6:$B$405,E700,'Istoric_Nativ'!$C$6:$C$405,F700,'Istoric_Nativ'!$F$6:$F$405,G700,'Istoric_Nativ'!$D$6:$D$405,"&lt;"&amp;J700,'Istoric_Nativ'!$O$6:$O$405,"SOURCE CONFLICT"))</x:f>
        <x:v>0</x:v>
      </x:c>
      <x:c r="T700" s="2" t="str">
        <x:f>IF(B700="","",IF(R700&lt;&gt;"CLOSED",R700,IF(S700&gt;0,"NATIVE INPUT ISSUE",IF(M700=0,"NO HISTORY",IF(M700&lt;P700,"SMALL SAMPLE","DERIVED")))))</x:f>
      </x:c>
      <x:c r="U700" s="2" t="str">
        <x:f>IF(B700="","","NativeTable; "&amp;E700&amp;"; "&amp;F700&amp;"; "&amp;G700&amp;"; "&amp;H700&amp;"; before "&amp;TEXT(J700,"yyyy-mm-dd")&amp;IF(I700="RECENT","; from "&amp;TEXT(L700,"yyyy-mm-dd"),""))</x:f>
      </x:c>
    </x:row>
    <x:row r="701" ht="21" customHeight="1">
      <x:c r="A701" s="2" t="n">
        <x:v>58</x:v>
      </x:c>
      <x:c r="B701" s="2" t="str">
        <x:f>IF('Input_Meci'!A63="","",'Input_Meci'!A63)</x:f>
      </x:c>
      <x:c r="C701" s="2" t="str">
        <x:v>A</x:v>
      </x:c>
      <x:c r="D701" s="2" t="str">
        <x:v>PRIOR</x:v>
      </x:c>
      <x:c r="E701" s="2" t="str">
        <x:f>IF(B701="","",'Input_Meci'!B63)</x:f>
      </x:c>
      <x:c r="F701" s="2" t="str">
        <x:f>IF(B701="","",IF('Input_Meci'!K63="","",'Input_Meci'!K63))</x:f>
      </x:c>
      <x:c r="G701" s="2" t="str">
        <x:f>IF(B701="","",'Input_Meci'!E63)</x:f>
      </x:c>
      <x:c r="H701" s="2" t="str">
        <x:v>ANY</x:v>
      </x:c>
      <x:c r="I701" s="2" t="str">
        <x:v>RECENT</x:v>
      </x:c>
      <x:c r="J701" s="9" t="n">
        <x:f>IF(AND(B701&lt;&gt;"",ISNUMBER('Input_Meci'!G63)),INT('Input_Meci'!G63),0)</x:f>
        <x:v>0</x:v>
      </x:c>
      <x:c r="K701" s="2" t="n">
        <x:f>IF(OR(B701="",F701=""),0,IF(H701="HOME",COUNTIFS('Istoric_Nativ'!$B$6:$B$405,E701,'Istoric_Nativ'!$C$6:$C$405,F701,'Istoric_Nativ'!$E$6:$E$405,G701,'Istoric_Nativ'!$D$6:$D$405,"&lt;"&amp;J701,'Istoric_Nativ'!$P$6:$P$405,1),IF(H701="AWAY",COUNTIFS('Istoric_Nativ'!$B$6:$B$405,E701,'Istoric_Nativ'!$C$6:$C$405,F701,'Istoric_Nativ'!$F$6:$F$405,G701,'Istoric_Nativ'!$D$6:$D$405,"&lt;"&amp;J701,'Istoric_Nativ'!$P$6:$P$405,1),COUNTIFS('Istoric_Nativ'!$B$6:$B$405,E701,'Istoric_Nativ'!$C$6:$C$405,F701,'Istoric_Nativ'!$E$6:$E$405,G701,'Istoric_Nativ'!$D$6:$D$405,"&lt;"&amp;J701,'Istoric_Nativ'!$P$6:$P$405,1)+COUNTIFS('Istoric_Nativ'!$B$6:$B$405,E701,'Istoric_Nativ'!$C$6:$C$405,F701,'Istoric_Nativ'!$F$6:$F$405,G701,'Istoric_Nativ'!$D$6:$D$405,"&lt;"&amp;J701,'Istoric_Nativ'!$P$6:$P$405,1))))</x:f>
        <x:v>0</x:v>
      </x:c>
      <x:c r="L701" s="17" t="n">
        <x:f>IF(AND(B701&lt;&gt;"",I701="RECENT",K701&gt;0),LARGE(_xlfn._xlws.FILTER('Istoric_Nativ'!$D$6:$D$405,('Istoric_Nativ'!$B$6:$B$405=E701)*('Istoric_Nativ'!$C$6:$C$405=F701)*('Istoric_Nativ'!$P$6:$P$405=1)*('Istoric_Nativ'!$D$6:$D$405&lt;J701)*((('Istoric_Nativ'!$E$6:$E$405=G701)+('Istoric_Nativ'!$F$6:$F$405=G701))&gt;0)),MIN('Config_v6'!$B$54,K701)),0)</x:f>
        <x:v>0</x:v>
      </x:c>
      <x:c r="M701" s="2" t="n">
        <x:f>IF(OR(B701="",F701=""),0,IF(H701="HOME",COUNTIFS('Istoric_Nativ'!$B$6:$B$405,E701,'Istoric_Nativ'!$C$6:$C$405,F701,'Istoric_Nativ'!$E$6:$E$405,G701,'Istoric_Nativ'!$D$6:$D$405,"&lt;"&amp;J701,'Istoric_Nativ'!$P$6:$P$405,1,'Istoric_Nativ'!$D$6:$D$405,"&gt;="&amp;L701),IF(H701="AWAY",COUNTIFS('Istoric_Nativ'!$B$6:$B$405,E701,'Istoric_Nativ'!$C$6:$C$405,F701,'Istoric_Nativ'!$F$6:$F$405,G701,'Istoric_Nativ'!$D$6:$D$405,"&lt;"&amp;J701,'Istoric_Nativ'!$P$6:$P$405,1,'Istoric_Nativ'!$D$6:$D$405,"&gt;="&amp;L701),COUNTIFS('Istoric_Nativ'!$B$6:$B$405,E701,'Istoric_Nativ'!$C$6:$C$405,F701,'Istoric_Nativ'!$E$6:$E$405,G701,'Istoric_Nativ'!$D$6:$D$405,"&lt;"&amp;J701,'Istoric_Nativ'!$P$6:$P$405,1,'Istoric_Nativ'!$D$6:$D$405,"&gt;="&amp;L701)+COUNTIFS('Istoric_Nativ'!$B$6:$B$405,E701,'Istoric_Nativ'!$C$6:$C$405,F701,'Istoric_Nativ'!$F$6:$F$405,G701,'Istoric_Nativ'!$D$6:$D$405,"&lt;"&amp;J701,'Istoric_Nativ'!$P$6:$P$405,1,'Istoric_Nativ'!$D$6:$D$405,"&gt;="&amp;L701))))</x:f>
        <x:v>0</x:v>
      </x:c>
      <x:c r="N701" s="11" t="str">
        <x:f>IF(M701=0,"",IF(H701="HOME",SUMIFS('Istoric_Nativ'!$G$6:$G$405,'Istoric_Nativ'!$B$6:$B$405,E701,'Istoric_Nativ'!$C$6:$C$405,F701,'Istoric_Nativ'!$E$6:$E$405,G701,'Istoric_Nativ'!$D$6:$D$405,"&lt;"&amp;J701,'Istoric_Nativ'!$P$6:$P$405,1,'Istoric_Nativ'!$D$6:$D$405,"&gt;="&amp;L701),IF(H701="AWAY",SUMIFS('Istoric_Nativ'!$H$6:$H$405,'Istoric_Nativ'!$B$6:$B$405,E701,'Istoric_Nativ'!$C$6:$C$405,F701,'Istoric_Nativ'!$F$6:$F$405,G701,'Istoric_Nativ'!$D$6:$D$405,"&lt;"&amp;J701,'Istoric_Nativ'!$P$6:$P$405,1,'Istoric_Nativ'!$D$6:$D$405,"&gt;="&amp;L701),SUMIFS('Istoric_Nativ'!$G$6:$G$405,'Istoric_Nativ'!$B$6:$B$405,E701,'Istoric_Nativ'!$C$6:$C$405,F701,'Istoric_Nativ'!$E$6:$E$405,G701,'Istoric_Nativ'!$D$6:$D$405,"&lt;"&amp;J701,'Istoric_Nativ'!$P$6:$P$405,1,'Istoric_Nativ'!$D$6:$D$405,"&gt;="&amp;L701)+SUMIFS('Istoric_Nativ'!$H$6:$H$405,'Istoric_Nativ'!$B$6:$B$405,E701,'Istoric_Nativ'!$C$6:$C$405,F701,'Istoric_Nativ'!$F$6:$F$405,G701,'Istoric_Nativ'!$D$6:$D$405,"&lt;"&amp;J701,'Istoric_Nativ'!$P$6:$P$405,1,'Istoric_Nativ'!$D$6:$D$405,"&gt;="&amp;L701)))/M701)</x:f>
      </x:c>
      <x:c r="O701" s="11" t="str">
        <x:f>IF(M701=0,"",IF(H701="HOME",SUMIFS('Istoric_Nativ'!$H$6:$H$405,'Istoric_Nativ'!$B$6:$B$405,E701,'Istoric_Nativ'!$C$6:$C$405,F701,'Istoric_Nativ'!$E$6:$E$405,G701,'Istoric_Nativ'!$D$6:$D$405,"&lt;"&amp;J701,'Istoric_Nativ'!$P$6:$P$405,1,'Istoric_Nativ'!$D$6:$D$405,"&gt;="&amp;L701),IF(H701="AWAY",SUMIFS('Istoric_Nativ'!$G$6:$G$405,'Istoric_Nativ'!$B$6:$B$405,E701,'Istoric_Nativ'!$C$6:$C$405,F701,'Istoric_Nativ'!$F$6:$F$405,G701,'Istoric_Nativ'!$D$6:$D$405,"&lt;"&amp;J701,'Istoric_Nativ'!$P$6:$P$405,1,'Istoric_Nativ'!$D$6:$D$405,"&gt;="&amp;L701),SUMIFS('Istoric_Nativ'!$H$6:$H$405,'Istoric_Nativ'!$B$6:$B$405,E701,'Istoric_Nativ'!$C$6:$C$405,F701,'Istoric_Nativ'!$E$6:$E$405,G701,'Istoric_Nativ'!$D$6:$D$405,"&lt;"&amp;J701,'Istoric_Nativ'!$P$6:$P$405,1,'Istoric_Nativ'!$D$6:$D$405,"&gt;="&amp;L701)+SUMIFS('Istoric_Nativ'!$G$6:$G$405,'Istoric_Nativ'!$B$6:$B$405,E701,'Istoric_Nativ'!$C$6:$C$405,F701,'Istoric_Nativ'!$F$6:$F$405,G701,'Istoric_Nativ'!$D$6:$D$405,"&lt;"&amp;J701,'Istoric_Nativ'!$P$6:$P$405,1,'Istoric_Nativ'!$D$6:$D$405,"&gt;="&amp;L701)))/M701)</x:f>
      </x:c>
      <x:c r="P701" s="2" t="n">
        <x:f>'Config_v6'!$B$9</x:f>
        <x:v>3</x:v>
      </x:c>
      <x:c r="Q701" s="2" t="n">
        <x:f>IF(OR(B701="",F701=""),0,IFERROR(MATCH(E701&amp;"|"&amp;F701,SourceTable[Source_Key],0),0))</x:f>
        <x:v>0</x:v>
      </x:c>
      <x:c r="R701" s="2" t="str">
        <x:f>IF(B701="","",IF(F701="","UNUSED",IF(Q701=0,"NOT CHECKED",IF(COUNTIF(SourceTable[Source_Key],E701&amp;"|"&amp;F701)&lt;&gt;1,"SOURCE CONFLICT",IF(NOT(OR(INDEX(SourceTable[Status],MAX(1,Q701))="IMPORTED",INDEX(SourceTable[Status],MAX(1,Q701))="PARTIAL",INDEX(SourceTable[Status],MAX(1,Q701))="SOURCE CONFLICT")),"ACCESS BLOCKED",IF(OR(INDEX(SourceTable[Coverage],Q701)&lt;&gt;"FULL SEASON EXPORT",INDEX(SourceTable[URL],Q701)="",INDEX(SourceTable[SHA256],Q701)=""),"EVIDENCE INCOMPLETE",IF(AND('Input_Meci'!H63="LIVE",INDEX(SourceTable[Retrieved_UTC],Q701)&gt;'Input_Meci'!G63),"POST CUTOFF","CLOSED")))))))</x:f>
      </x:c>
      <x:c r="S701" s="2" t="n">
        <x:f>IF(OR(B701="",F701=""),0,COUNTIFS('Istoric_Nativ'!$B$6:$B$405,E701,'Istoric_Nativ'!$C$6:$C$405,F701,'Istoric_Nativ'!$E$6:$E$405,G701,'Istoric_Nativ'!$D$6:$D$405,"&lt;"&amp;J701,'Istoric_Nativ'!$O$6:$O$405,"INVALID")+COUNTIFS('Istoric_Nativ'!$B$6:$B$405,E701,'Istoric_Nativ'!$C$6:$C$405,F701,'Istoric_Nativ'!$E$6:$E$405,G701,'Istoric_Nativ'!$O$6:$O$405,"INVALID",'Istoric_Nativ'!$D$6:$D$405,"*")+COUNTIFS('Istoric_Nativ'!$B$6:$B$405,E701,'Istoric_Nativ'!$C$6:$C$405,F701,'Istoric_Nativ'!$E$6:$E$405,G701,'Istoric_Nativ'!$D$6:$D$405,"&lt;"&amp;J701,'Istoric_Nativ'!$O$6:$O$405,"SOURCE CONFLICT")+COUNTIFS('Istoric_Nativ'!$B$6:$B$405,E701,'Istoric_Nativ'!$C$6:$C$405,F701,'Istoric_Nativ'!$F$6:$F$405,G701,'Istoric_Nativ'!$D$6:$D$405,"&lt;"&amp;J701,'Istoric_Nativ'!$O$6:$O$405,"INVALID")+COUNTIFS('Istoric_Nativ'!$B$6:$B$405,E701,'Istoric_Nativ'!$C$6:$C$405,F701,'Istoric_Nativ'!$F$6:$F$405,G701,'Istoric_Nativ'!$O$6:$O$405,"INVALID",'Istoric_Nativ'!$D$6:$D$405,"*")+COUNTIFS('Istoric_Nativ'!$B$6:$B$405,E701,'Istoric_Nativ'!$C$6:$C$405,F701,'Istoric_Nativ'!$F$6:$F$405,G701,'Istoric_Nativ'!$D$6:$D$405,"&lt;"&amp;J701,'Istoric_Nativ'!$O$6:$O$405,"SOURCE CONFLICT"))</x:f>
        <x:v>0</x:v>
      </x:c>
      <x:c r="T701" s="2" t="str">
        <x:f>IF(B701="","",IF(R701&lt;&gt;"CLOSED",R701,IF(S701&gt;0,"NATIVE INPUT ISSUE",IF(M701=0,"NO HISTORY",IF(M701&lt;P701,"SMALL SAMPLE","DERIVED")))))</x:f>
      </x:c>
      <x:c r="U701" s="2" t="str">
        <x:f>IF(B701="","","NativeTable; "&amp;E701&amp;"; "&amp;F701&amp;"; "&amp;G701&amp;"; "&amp;H701&amp;"; before "&amp;TEXT(J701,"yyyy-mm-dd")&amp;IF(I701="RECENT","; from "&amp;TEXT(L701,"yyyy-mm-dd"),""))</x:f>
      </x:c>
    </x:row>
    <x:row r="702" ht="21" customHeight="1">
      <x:c r="A702" s="2" t="n">
        <x:v>59</x:v>
      </x:c>
      <x:c r="B702" s="2" t="str">
        <x:f>IF('Input_Meci'!A64="","",'Input_Meci'!A64)</x:f>
      </x:c>
      <x:c r="C702" s="2" t="str">
        <x:v>H</x:v>
      </x:c>
      <x:c r="D702" s="2" t="str">
        <x:v>CURRENT</x:v>
      </x:c>
      <x:c r="E702" s="2" t="str">
        <x:f>IF(B702="","",'Input_Meci'!B64)</x:f>
      </x:c>
      <x:c r="F702" s="2" t="str">
        <x:f>IF(B702="","",IF('Input_Meci'!C64="","",'Input_Meci'!C64))</x:f>
      </x:c>
      <x:c r="G702" s="2" t="str">
        <x:f>IF(B702="","",'Input_Meci'!D64)</x:f>
      </x:c>
      <x:c r="H702" s="2" t="str">
        <x:v>ANY</x:v>
      </x:c>
      <x:c r="I702" s="2" t="str">
        <x:v>SEASON</x:v>
      </x:c>
      <x:c r="J702" s="9" t="n">
        <x:f>IF(AND(B702&lt;&gt;"",ISNUMBER('Input_Meci'!G64)),INT('Input_Meci'!G64),0)</x:f>
        <x:v>0</x:v>
      </x:c>
      <x:c r="K702" s="2" t="n">
        <x:f>IF(OR(B702="",F702=""),0,IF(H702="HOME",COUNTIFS('Istoric_Nativ'!$B$6:$B$405,E702,'Istoric_Nativ'!$C$6:$C$405,F702,'Istoric_Nativ'!$E$6:$E$405,G702,'Istoric_Nativ'!$D$6:$D$405,"&lt;"&amp;J702,'Istoric_Nativ'!$P$6:$P$405,1),IF(H702="AWAY",COUNTIFS('Istoric_Nativ'!$B$6:$B$405,E702,'Istoric_Nativ'!$C$6:$C$405,F702,'Istoric_Nativ'!$F$6:$F$405,G702,'Istoric_Nativ'!$D$6:$D$405,"&lt;"&amp;J702,'Istoric_Nativ'!$P$6:$P$405,1),COUNTIFS('Istoric_Nativ'!$B$6:$B$405,E702,'Istoric_Nativ'!$C$6:$C$405,F702,'Istoric_Nativ'!$E$6:$E$405,G702,'Istoric_Nativ'!$D$6:$D$405,"&lt;"&amp;J702,'Istoric_Nativ'!$P$6:$P$405,1)+COUNTIFS('Istoric_Nativ'!$B$6:$B$405,E702,'Istoric_Nativ'!$C$6:$C$405,F702,'Istoric_Nativ'!$F$6:$F$405,G702,'Istoric_Nativ'!$D$6:$D$405,"&lt;"&amp;J702,'Istoric_Nativ'!$P$6:$P$405,1))))</x:f>
        <x:v>0</x:v>
      </x:c>
      <x:c r="L702" s="17" t="n">
        <x:f>IF(AND(B702&lt;&gt;"",I702="RECENT",K702&gt;0),LARGE(_xlfn._xlws.FILTER('Istoric_Nativ'!$D$6:$D$405,('Istoric_Nativ'!$B$6:$B$405=E702)*('Istoric_Nativ'!$C$6:$C$405=F702)*('Istoric_Nativ'!$P$6:$P$405=1)*('Istoric_Nativ'!$D$6:$D$405&lt;J702)*((('Istoric_Nativ'!$E$6:$E$405=G702)+('Istoric_Nativ'!$F$6:$F$405=G702))&gt;0)),MIN('Config_v6'!$B$54,K702)),0)</x:f>
        <x:v>0</x:v>
      </x:c>
      <x:c r="M702" s="2" t="n">
        <x:f>IF(OR(B702="",F702=""),0,IF(H702="HOME",COUNTIFS('Istoric_Nativ'!$B$6:$B$405,E702,'Istoric_Nativ'!$C$6:$C$405,F702,'Istoric_Nativ'!$E$6:$E$405,G702,'Istoric_Nativ'!$D$6:$D$405,"&lt;"&amp;J702,'Istoric_Nativ'!$P$6:$P$405,1,'Istoric_Nativ'!$D$6:$D$405,"&gt;="&amp;L702),IF(H702="AWAY",COUNTIFS('Istoric_Nativ'!$B$6:$B$405,E702,'Istoric_Nativ'!$C$6:$C$405,F702,'Istoric_Nativ'!$F$6:$F$405,G702,'Istoric_Nativ'!$D$6:$D$405,"&lt;"&amp;J702,'Istoric_Nativ'!$P$6:$P$405,1,'Istoric_Nativ'!$D$6:$D$405,"&gt;="&amp;L702),COUNTIFS('Istoric_Nativ'!$B$6:$B$405,E702,'Istoric_Nativ'!$C$6:$C$405,F702,'Istoric_Nativ'!$E$6:$E$405,G702,'Istoric_Nativ'!$D$6:$D$405,"&lt;"&amp;J702,'Istoric_Nativ'!$P$6:$P$405,1,'Istoric_Nativ'!$D$6:$D$405,"&gt;="&amp;L702)+COUNTIFS('Istoric_Nativ'!$B$6:$B$405,E702,'Istoric_Nativ'!$C$6:$C$405,F702,'Istoric_Nativ'!$F$6:$F$405,G702,'Istoric_Nativ'!$D$6:$D$405,"&lt;"&amp;J702,'Istoric_Nativ'!$P$6:$P$405,1,'Istoric_Nativ'!$D$6:$D$405,"&gt;="&amp;L702))))</x:f>
        <x:v>0</x:v>
      </x:c>
      <x:c r="N702" s="11" t="str">
        <x:f>IF(M702=0,"",IF(H702="HOME",SUMIFS('Istoric_Nativ'!$G$6:$G$405,'Istoric_Nativ'!$B$6:$B$405,E702,'Istoric_Nativ'!$C$6:$C$405,F702,'Istoric_Nativ'!$E$6:$E$405,G702,'Istoric_Nativ'!$D$6:$D$405,"&lt;"&amp;J702,'Istoric_Nativ'!$P$6:$P$405,1,'Istoric_Nativ'!$D$6:$D$405,"&gt;="&amp;L702),IF(H702="AWAY",SUMIFS('Istoric_Nativ'!$H$6:$H$405,'Istoric_Nativ'!$B$6:$B$405,E702,'Istoric_Nativ'!$C$6:$C$405,F702,'Istoric_Nativ'!$F$6:$F$405,G702,'Istoric_Nativ'!$D$6:$D$405,"&lt;"&amp;J702,'Istoric_Nativ'!$P$6:$P$405,1,'Istoric_Nativ'!$D$6:$D$405,"&gt;="&amp;L702),SUMIFS('Istoric_Nativ'!$G$6:$G$405,'Istoric_Nativ'!$B$6:$B$405,E702,'Istoric_Nativ'!$C$6:$C$405,F702,'Istoric_Nativ'!$E$6:$E$405,G702,'Istoric_Nativ'!$D$6:$D$405,"&lt;"&amp;J702,'Istoric_Nativ'!$P$6:$P$405,1,'Istoric_Nativ'!$D$6:$D$405,"&gt;="&amp;L702)+SUMIFS('Istoric_Nativ'!$H$6:$H$405,'Istoric_Nativ'!$B$6:$B$405,E702,'Istoric_Nativ'!$C$6:$C$405,F702,'Istoric_Nativ'!$F$6:$F$405,G702,'Istoric_Nativ'!$D$6:$D$405,"&lt;"&amp;J702,'Istoric_Nativ'!$P$6:$P$405,1,'Istoric_Nativ'!$D$6:$D$405,"&gt;="&amp;L702)))/M702)</x:f>
      </x:c>
      <x:c r="O702" s="11" t="str">
        <x:f>IF(M702=0,"",IF(H702="HOME",SUMIFS('Istoric_Nativ'!$H$6:$H$405,'Istoric_Nativ'!$B$6:$B$405,E702,'Istoric_Nativ'!$C$6:$C$405,F702,'Istoric_Nativ'!$E$6:$E$405,G702,'Istoric_Nativ'!$D$6:$D$405,"&lt;"&amp;J702,'Istoric_Nativ'!$P$6:$P$405,1,'Istoric_Nativ'!$D$6:$D$405,"&gt;="&amp;L702),IF(H702="AWAY",SUMIFS('Istoric_Nativ'!$G$6:$G$405,'Istoric_Nativ'!$B$6:$B$405,E702,'Istoric_Nativ'!$C$6:$C$405,F702,'Istoric_Nativ'!$F$6:$F$405,G702,'Istoric_Nativ'!$D$6:$D$405,"&lt;"&amp;J702,'Istoric_Nativ'!$P$6:$P$405,1,'Istoric_Nativ'!$D$6:$D$405,"&gt;="&amp;L702),SUMIFS('Istoric_Nativ'!$H$6:$H$405,'Istoric_Nativ'!$B$6:$B$405,E702,'Istoric_Nativ'!$C$6:$C$405,F702,'Istoric_Nativ'!$E$6:$E$405,G702,'Istoric_Nativ'!$D$6:$D$405,"&lt;"&amp;J702,'Istoric_Nativ'!$P$6:$P$405,1,'Istoric_Nativ'!$D$6:$D$405,"&gt;="&amp;L702)+SUMIFS('Istoric_Nativ'!$G$6:$G$405,'Istoric_Nativ'!$B$6:$B$405,E702,'Istoric_Nativ'!$C$6:$C$405,F702,'Istoric_Nativ'!$F$6:$F$405,G702,'Istoric_Nativ'!$D$6:$D$405,"&lt;"&amp;J702,'Istoric_Nativ'!$P$6:$P$405,1,'Istoric_Nativ'!$D$6:$D$405,"&gt;="&amp;L702)))/M702)</x:f>
      </x:c>
      <x:c r="P702" s="2" t="n">
        <x:f>'Config_v6'!$B$7</x:f>
        <x:v>10</x:v>
      </x:c>
      <x:c r="Q702" s="2" t="n">
        <x:f>IF(OR(B702="",F702=""),0,IFERROR(MATCH(E702&amp;"|"&amp;F702,SourceTable[Source_Key],0),0))</x:f>
        <x:v>0</x:v>
      </x:c>
      <x:c r="R702" s="2" t="str">
        <x:f>IF(B702="","",IF(F702="","UNUSED",IF(Q702=0,"NOT CHECKED",IF(COUNTIF(SourceTable[Source_Key],E702&amp;"|"&amp;F702)&lt;&gt;1,"SOURCE CONFLICT",IF(NOT(OR(INDEX(SourceTable[Status],MAX(1,Q702))="IMPORTED",INDEX(SourceTable[Status],MAX(1,Q702))="PARTIAL",INDEX(SourceTable[Status],MAX(1,Q702))="SOURCE CONFLICT")),"ACCESS BLOCKED",IF(OR(INDEX(SourceTable[Coverage],Q702)&lt;&gt;"FULL SEASON EXPORT",INDEX(SourceTable[URL],Q702)="",INDEX(SourceTable[SHA256],Q702)=""),"EVIDENCE INCOMPLETE",IF(AND('Input_Meci'!H64="LIVE",INDEX(SourceTable[Retrieved_UTC],Q702)&gt;'Input_Meci'!G64),"POST CUTOFF","CLOSED")))))))</x:f>
      </x:c>
      <x:c r="S702" s="2" t="n">
        <x:f>IF(OR(B702="",F702=""),0,COUNTIFS('Istoric_Nativ'!$B$6:$B$405,E702,'Istoric_Nativ'!$C$6:$C$405,F702,'Istoric_Nativ'!$E$6:$E$405,G702,'Istoric_Nativ'!$D$6:$D$405,"&lt;"&amp;J702,'Istoric_Nativ'!$O$6:$O$405,"INVALID")+COUNTIFS('Istoric_Nativ'!$B$6:$B$405,E702,'Istoric_Nativ'!$C$6:$C$405,F702,'Istoric_Nativ'!$E$6:$E$405,G702,'Istoric_Nativ'!$O$6:$O$405,"INVALID",'Istoric_Nativ'!$D$6:$D$405,"*")+COUNTIFS('Istoric_Nativ'!$B$6:$B$405,E702,'Istoric_Nativ'!$C$6:$C$405,F702,'Istoric_Nativ'!$E$6:$E$405,G702,'Istoric_Nativ'!$D$6:$D$405,"&lt;"&amp;J702,'Istoric_Nativ'!$O$6:$O$405,"SOURCE CONFLICT")+COUNTIFS('Istoric_Nativ'!$B$6:$B$405,E702,'Istoric_Nativ'!$C$6:$C$405,F702,'Istoric_Nativ'!$F$6:$F$405,G702,'Istoric_Nativ'!$D$6:$D$405,"&lt;"&amp;J702,'Istoric_Nativ'!$O$6:$O$405,"INVALID")+COUNTIFS('Istoric_Nativ'!$B$6:$B$405,E702,'Istoric_Nativ'!$C$6:$C$405,F702,'Istoric_Nativ'!$F$6:$F$405,G702,'Istoric_Nativ'!$O$6:$O$405,"INVALID",'Istoric_Nativ'!$D$6:$D$405,"*")+COUNTIFS('Istoric_Nativ'!$B$6:$B$405,E702,'Istoric_Nativ'!$C$6:$C$405,F702,'Istoric_Nativ'!$F$6:$F$405,G702,'Istoric_Nativ'!$D$6:$D$405,"&lt;"&amp;J702,'Istoric_Nativ'!$O$6:$O$405,"SOURCE CONFLICT"))</x:f>
        <x:v>0</x:v>
      </x:c>
      <x:c r="T702" s="2" t="str">
        <x:f>IF(B702="","",IF(R702&lt;&gt;"CLOSED",R702,IF(S702&gt;0,"NATIVE INPUT ISSUE",IF(M702=0,"NO HISTORY",IF(M702&lt;P702,"SMALL SAMPLE","DERIVED")))))</x:f>
      </x:c>
      <x:c r="U702" s="2" t="str">
        <x:f>IF(B702="","","NativeTable; "&amp;E702&amp;"; "&amp;F702&amp;"; "&amp;G702&amp;"; "&amp;H702&amp;"; before "&amp;TEXT(J702,"yyyy-mm-dd")&amp;IF(I702="RECENT","; from "&amp;TEXT(L702,"yyyy-mm-dd"),""))</x:f>
      </x:c>
    </x:row>
    <x:row r="703" ht="21" customHeight="1">
      <x:c r="A703" s="2" t="n">
        <x:v>59</x:v>
      </x:c>
      <x:c r="B703" s="2" t="str">
        <x:f>IF('Input_Meci'!A64="","",'Input_Meci'!A64)</x:f>
      </x:c>
      <x:c r="C703" s="2" t="str">
        <x:v>H</x:v>
      </x:c>
      <x:c r="D703" s="2" t="str">
        <x:v>CURRENT</x:v>
      </x:c>
      <x:c r="E703" s="2" t="str">
        <x:f>IF(B703="","",'Input_Meci'!B64)</x:f>
      </x:c>
      <x:c r="F703" s="2" t="str">
        <x:f>IF(B703="","",IF('Input_Meci'!C64="","",'Input_Meci'!C64))</x:f>
      </x:c>
      <x:c r="G703" s="2" t="str">
        <x:f>IF(B703="","",'Input_Meci'!D64)</x:f>
      </x:c>
      <x:c r="H703" s="2" t="str">
        <x:v>HOME</x:v>
      </x:c>
      <x:c r="I703" s="2" t="str">
        <x:v>HA</x:v>
      </x:c>
      <x:c r="J703" s="9" t="n">
        <x:f>IF(AND(B703&lt;&gt;"",ISNUMBER('Input_Meci'!G64)),INT('Input_Meci'!G64),0)</x:f>
        <x:v>0</x:v>
      </x:c>
      <x:c r="K703" s="2" t="n">
        <x:f>IF(OR(B703="",F703=""),0,IF(H703="HOME",COUNTIFS('Istoric_Nativ'!$B$6:$B$405,E703,'Istoric_Nativ'!$C$6:$C$405,F703,'Istoric_Nativ'!$E$6:$E$405,G703,'Istoric_Nativ'!$D$6:$D$405,"&lt;"&amp;J703,'Istoric_Nativ'!$P$6:$P$405,1),IF(H703="AWAY",COUNTIFS('Istoric_Nativ'!$B$6:$B$405,E703,'Istoric_Nativ'!$C$6:$C$405,F703,'Istoric_Nativ'!$F$6:$F$405,G703,'Istoric_Nativ'!$D$6:$D$405,"&lt;"&amp;J703,'Istoric_Nativ'!$P$6:$P$405,1),COUNTIFS('Istoric_Nativ'!$B$6:$B$405,E703,'Istoric_Nativ'!$C$6:$C$405,F703,'Istoric_Nativ'!$E$6:$E$405,G703,'Istoric_Nativ'!$D$6:$D$405,"&lt;"&amp;J703,'Istoric_Nativ'!$P$6:$P$405,1)+COUNTIFS('Istoric_Nativ'!$B$6:$B$405,E703,'Istoric_Nativ'!$C$6:$C$405,F703,'Istoric_Nativ'!$F$6:$F$405,G703,'Istoric_Nativ'!$D$6:$D$405,"&lt;"&amp;J703,'Istoric_Nativ'!$P$6:$P$405,1))))</x:f>
        <x:v>0</x:v>
      </x:c>
      <x:c r="L703" s="17" t="n">
        <x:f>IF(AND(B703&lt;&gt;"",I703="RECENT",K703&gt;0),LARGE(_xlfn._xlws.FILTER('Istoric_Nativ'!$D$6:$D$405,('Istoric_Nativ'!$B$6:$B$405=E703)*('Istoric_Nativ'!$C$6:$C$405=F703)*('Istoric_Nativ'!$P$6:$P$405=1)*('Istoric_Nativ'!$D$6:$D$405&lt;J703)*((('Istoric_Nativ'!$E$6:$E$405=G703)+('Istoric_Nativ'!$F$6:$F$405=G703))&gt;0)),MIN('Config_v6'!$B$54,K703)),0)</x:f>
        <x:v>0</x:v>
      </x:c>
      <x:c r="M703" s="2" t="n">
        <x:f>IF(OR(B703="",F703=""),0,IF(H703="HOME",COUNTIFS('Istoric_Nativ'!$B$6:$B$405,E703,'Istoric_Nativ'!$C$6:$C$405,F703,'Istoric_Nativ'!$E$6:$E$405,G703,'Istoric_Nativ'!$D$6:$D$405,"&lt;"&amp;J703,'Istoric_Nativ'!$P$6:$P$405,1,'Istoric_Nativ'!$D$6:$D$405,"&gt;="&amp;L703),IF(H703="AWAY",COUNTIFS('Istoric_Nativ'!$B$6:$B$405,E703,'Istoric_Nativ'!$C$6:$C$405,F703,'Istoric_Nativ'!$F$6:$F$405,G703,'Istoric_Nativ'!$D$6:$D$405,"&lt;"&amp;J703,'Istoric_Nativ'!$P$6:$P$405,1,'Istoric_Nativ'!$D$6:$D$405,"&gt;="&amp;L703),COUNTIFS('Istoric_Nativ'!$B$6:$B$405,E703,'Istoric_Nativ'!$C$6:$C$405,F703,'Istoric_Nativ'!$E$6:$E$405,G703,'Istoric_Nativ'!$D$6:$D$405,"&lt;"&amp;J703,'Istoric_Nativ'!$P$6:$P$405,1,'Istoric_Nativ'!$D$6:$D$405,"&gt;="&amp;L703)+COUNTIFS('Istoric_Nativ'!$B$6:$B$405,E703,'Istoric_Nativ'!$C$6:$C$405,F703,'Istoric_Nativ'!$F$6:$F$405,G703,'Istoric_Nativ'!$D$6:$D$405,"&lt;"&amp;J703,'Istoric_Nativ'!$P$6:$P$405,1,'Istoric_Nativ'!$D$6:$D$405,"&gt;="&amp;L703))))</x:f>
        <x:v>0</x:v>
      </x:c>
      <x:c r="N703" s="11" t="str">
        <x:f>IF(M703=0,"",IF(H703="HOME",SUMIFS('Istoric_Nativ'!$G$6:$G$405,'Istoric_Nativ'!$B$6:$B$405,E703,'Istoric_Nativ'!$C$6:$C$405,F703,'Istoric_Nativ'!$E$6:$E$405,G703,'Istoric_Nativ'!$D$6:$D$405,"&lt;"&amp;J703,'Istoric_Nativ'!$P$6:$P$405,1,'Istoric_Nativ'!$D$6:$D$405,"&gt;="&amp;L703),IF(H703="AWAY",SUMIFS('Istoric_Nativ'!$H$6:$H$405,'Istoric_Nativ'!$B$6:$B$405,E703,'Istoric_Nativ'!$C$6:$C$405,F703,'Istoric_Nativ'!$F$6:$F$405,G703,'Istoric_Nativ'!$D$6:$D$405,"&lt;"&amp;J703,'Istoric_Nativ'!$P$6:$P$405,1,'Istoric_Nativ'!$D$6:$D$405,"&gt;="&amp;L703),SUMIFS('Istoric_Nativ'!$G$6:$G$405,'Istoric_Nativ'!$B$6:$B$405,E703,'Istoric_Nativ'!$C$6:$C$405,F703,'Istoric_Nativ'!$E$6:$E$405,G703,'Istoric_Nativ'!$D$6:$D$405,"&lt;"&amp;J703,'Istoric_Nativ'!$P$6:$P$405,1,'Istoric_Nativ'!$D$6:$D$405,"&gt;="&amp;L703)+SUMIFS('Istoric_Nativ'!$H$6:$H$405,'Istoric_Nativ'!$B$6:$B$405,E703,'Istoric_Nativ'!$C$6:$C$405,F703,'Istoric_Nativ'!$F$6:$F$405,G703,'Istoric_Nativ'!$D$6:$D$405,"&lt;"&amp;J703,'Istoric_Nativ'!$P$6:$P$405,1,'Istoric_Nativ'!$D$6:$D$405,"&gt;="&amp;L703)))/M703)</x:f>
      </x:c>
      <x:c r="O703" s="11" t="str">
        <x:f>IF(M703=0,"",IF(H703="HOME",SUMIFS('Istoric_Nativ'!$H$6:$H$405,'Istoric_Nativ'!$B$6:$B$405,E703,'Istoric_Nativ'!$C$6:$C$405,F703,'Istoric_Nativ'!$E$6:$E$405,G703,'Istoric_Nativ'!$D$6:$D$405,"&lt;"&amp;J703,'Istoric_Nativ'!$P$6:$P$405,1,'Istoric_Nativ'!$D$6:$D$405,"&gt;="&amp;L703),IF(H703="AWAY",SUMIFS('Istoric_Nativ'!$G$6:$G$405,'Istoric_Nativ'!$B$6:$B$405,E703,'Istoric_Nativ'!$C$6:$C$405,F703,'Istoric_Nativ'!$F$6:$F$405,G703,'Istoric_Nativ'!$D$6:$D$405,"&lt;"&amp;J703,'Istoric_Nativ'!$P$6:$P$405,1,'Istoric_Nativ'!$D$6:$D$405,"&gt;="&amp;L703),SUMIFS('Istoric_Nativ'!$H$6:$H$405,'Istoric_Nativ'!$B$6:$B$405,E703,'Istoric_Nativ'!$C$6:$C$405,F703,'Istoric_Nativ'!$E$6:$E$405,G703,'Istoric_Nativ'!$D$6:$D$405,"&lt;"&amp;J703,'Istoric_Nativ'!$P$6:$P$405,1,'Istoric_Nativ'!$D$6:$D$405,"&gt;="&amp;L703)+SUMIFS('Istoric_Nativ'!$G$6:$G$405,'Istoric_Nativ'!$B$6:$B$405,E703,'Istoric_Nativ'!$C$6:$C$405,F703,'Istoric_Nativ'!$F$6:$F$405,G703,'Istoric_Nativ'!$D$6:$D$405,"&lt;"&amp;J703,'Istoric_Nativ'!$P$6:$P$405,1,'Istoric_Nativ'!$D$6:$D$405,"&gt;="&amp;L703)))/M703)</x:f>
      </x:c>
      <x:c r="P703" s="2" t="n">
        <x:f>'Config_v6'!$B$8</x:f>
        <x:v>5</x:v>
      </x:c>
      <x:c r="Q703" s="2" t="n">
        <x:f>IF(OR(B703="",F703=""),0,IFERROR(MATCH(E703&amp;"|"&amp;F703,SourceTable[Source_Key],0),0))</x:f>
        <x:v>0</x:v>
      </x:c>
      <x:c r="R703" s="2" t="str">
        <x:f>IF(B703="","",IF(F703="","UNUSED",IF(Q703=0,"NOT CHECKED",IF(COUNTIF(SourceTable[Source_Key],E703&amp;"|"&amp;F703)&lt;&gt;1,"SOURCE CONFLICT",IF(NOT(OR(INDEX(SourceTable[Status],MAX(1,Q703))="IMPORTED",INDEX(SourceTable[Status],MAX(1,Q703))="PARTIAL",INDEX(SourceTable[Status],MAX(1,Q703))="SOURCE CONFLICT")),"ACCESS BLOCKED",IF(OR(INDEX(SourceTable[Coverage],Q703)&lt;&gt;"FULL SEASON EXPORT",INDEX(SourceTable[URL],Q703)="",INDEX(SourceTable[SHA256],Q703)=""),"EVIDENCE INCOMPLETE",IF(AND('Input_Meci'!H64="LIVE",INDEX(SourceTable[Retrieved_UTC],Q703)&gt;'Input_Meci'!G64),"POST CUTOFF","CLOSED")))))))</x:f>
      </x:c>
      <x:c r="S703" s="2" t="n">
        <x:f>IF(OR(B703="",F703=""),0,COUNTIFS('Istoric_Nativ'!$B$6:$B$405,E703,'Istoric_Nativ'!$C$6:$C$405,F703,'Istoric_Nativ'!$E$6:$E$405,G703,'Istoric_Nativ'!$D$6:$D$405,"&lt;"&amp;J703,'Istoric_Nativ'!$O$6:$O$405,"INVALID")+COUNTIFS('Istoric_Nativ'!$B$6:$B$405,E703,'Istoric_Nativ'!$C$6:$C$405,F703,'Istoric_Nativ'!$E$6:$E$405,G703,'Istoric_Nativ'!$O$6:$O$405,"INVALID",'Istoric_Nativ'!$D$6:$D$405,"*")+COUNTIFS('Istoric_Nativ'!$B$6:$B$405,E703,'Istoric_Nativ'!$C$6:$C$405,F703,'Istoric_Nativ'!$E$6:$E$405,G703,'Istoric_Nativ'!$D$6:$D$405,"&lt;"&amp;J703,'Istoric_Nativ'!$O$6:$O$405,"SOURCE CONFLICT")+COUNTIFS('Istoric_Nativ'!$B$6:$B$405,E703,'Istoric_Nativ'!$C$6:$C$405,F703,'Istoric_Nativ'!$F$6:$F$405,G703,'Istoric_Nativ'!$D$6:$D$405,"&lt;"&amp;J703,'Istoric_Nativ'!$O$6:$O$405,"INVALID")+COUNTIFS('Istoric_Nativ'!$B$6:$B$405,E703,'Istoric_Nativ'!$C$6:$C$405,F703,'Istoric_Nativ'!$F$6:$F$405,G703,'Istoric_Nativ'!$O$6:$O$405,"INVALID",'Istoric_Nativ'!$D$6:$D$405,"*")+COUNTIFS('Istoric_Nativ'!$B$6:$B$405,E703,'Istoric_Nativ'!$C$6:$C$405,F703,'Istoric_Nativ'!$F$6:$F$405,G703,'Istoric_Nativ'!$D$6:$D$405,"&lt;"&amp;J703,'Istoric_Nativ'!$O$6:$O$405,"SOURCE CONFLICT"))</x:f>
        <x:v>0</x:v>
      </x:c>
      <x:c r="T703" s="2" t="str">
        <x:f>IF(B703="","",IF(R703&lt;&gt;"CLOSED",R703,IF(S703&gt;0,"NATIVE INPUT ISSUE",IF(M703=0,"NO HISTORY",IF(M703&lt;P703,"SMALL SAMPLE","DERIVED")))))</x:f>
      </x:c>
      <x:c r="U703" s="2" t="str">
        <x:f>IF(B703="","","NativeTable; "&amp;E703&amp;"; "&amp;F703&amp;"; "&amp;G703&amp;"; "&amp;H703&amp;"; before "&amp;TEXT(J703,"yyyy-mm-dd")&amp;IF(I703="RECENT","; from "&amp;TEXT(L703,"yyyy-mm-dd"),""))</x:f>
      </x:c>
    </x:row>
    <x:row r="704" ht="21" customHeight="1">
      <x:c r="A704" s="2" t="n">
        <x:v>59</x:v>
      </x:c>
      <x:c r="B704" s="2" t="str">
        <x:f>IF('Input_Meci'!A64="","",'Input_Meci'!A64)</x:f>
      </x:c>
      <x:c r="C704" s="2" t="str">
        <x:v>H</x:v>
      </x:c>
      <x:c r="D704" s="2" t="str">
        <x:v>CURRENT</x:v>
      </x:c>
      <x:c r="E704" s="2" t="str">
        <x:f>IF(B704="","",'Input_Meci'!B64)</x:f>
      </x:c>
      <x:c r="F704" s="2" t="str">
        <x:f>IF(B704="","",IF('Input_Meci'!C64="","",'Input_Meci'!C64))</x:f>
      </x:c>
      <x:c r="G704" s="2" t="str">
        <x:f>IF(B704="","",'Input_Meci'!D64)</x:f>
      </x:c>
      <x:c r="H704" s="2" t="str">
        <x:v>ANY</x:v>
      </x:c>
      <x:c r="I704" s="2" t="str">
        <x:v>RECENT</x:v>
      </x:c>
      <x:c r="J704" s="9" t="n">
        <x:f>IF(AND(B704&lt;&gt;"",ISNUMBER('Input_Meci'!G64)),INT('Input_Meci'!G64),0)</x:f>
        <x:v>0</x:v>
      </x:c>
      <x:c r="K704" s="2" t="n">
        <x:f>IF(OR(B704="",F704=""),0,IF(H704="HOME",COUNTIFS('Istoric_Nativ'!$B$6:$B$405,E704,'Istoric_Nativ'!$C$6:$C$405,F704,'Istoric_Nativ'!$E$6:$E$405,G704,'Istoric_Nativ'!$D$6:$D$405,"&lt;"&amp;J704,'Istoric_Nativ'!$P$6:$P$405,1),IF(H704="AWAY",COUNTIFS('Istoric_Nativ'!$B$6:$B$405,E704,'Istoric_Nativ'!$C$6:$C$405,F704,'Istoric_Nativ'!$F$6:$F$405,G704,'Istoric_Nativ'!$D$6:$D$405,"&lt;"&amp;J704,'Istoric_Nativ'!$P$6:$P$405,1),COUNTIFS('Istoric_Nativ'!$B$6:$B$405,E704,'Istoric_Nativ'!$C$6:$C$405,F704,'Istoric_Nativ'!$E$6:$E$405,G704,'Istoric_Nativ'!$D$6:$D$405,"&lt;"&amp;J704,'Istoric_Nativ'!$P$6:$P$405,1)+COUNTIFS('Istoric_Nativ'!$B$6:$B$405,E704,'Istoric_Nativ'!$C$6:$C$405,F704,'Istoric_Nativ'!$F$6:$F$405,G704,'Istoric_Nativ'!$D$6:$D$405,"&lt;"&amp;J704,'Istoric_Nativ'!$P$6:$P$405,1))))</x:f>
        <x:v>0</x:v>
      </x:c>
      <x:c r="L704" s="17" t="n">
        <x:f>IF(AND(B704&lt;&gt;"",I704="RECENT",K704&gt;0),LARGE(_xlfn._xlws.FILTER('Istoric_Nativ'!$D$6:$D$405,('Istoric_Nativ'!$B$6:$B$405=E704)*('Istoric_Nativ'!$C$6:$C$405=F704)*('Istoric_Nativ'!$P$6:$P$405=1)*('Istoric_Nativ'!$D$6:$D$405&lt;J704)*((('Istoric_Nativ'!$E$6:$E$405=G704)+('Istoric_Nativ'!$F$6:$F$405=G704))&gt;0)),MIN('Config_v6'!$B$54,K704)),0)</x:f>
        <x:v>0</x:v>
      </x:c>
      <x:c r="M704" s="2" t="n">
        <x:f>IF(OR(B704="",F704=""),0,IF(H704="HOME",COUNTIFS('Istoric_Nativ'!$B$6:$B$405,E704,'Istoric_Nativ'!$C$6:$C$405,F704,'Istoric_Nativ'!$E$6:$E$405,G704,'Istoric_Nativ'!$D$6:$D$405,"&lt;"&amp;J704,'Istoric_Nativ'!$P$6:$P$405,1,'Istoric_Nativ'!$D$6:$D$405,"&gt;="&amp;L704),IF(H704="AWAY",COUNTIFS('Istoric_Nativ'!$B$6:$B$405,E704,'Istoric_Nativ'!$C$6:$C$405,F704,'Istoric_Nativ'!$F$6:$F$405,G704,'Istoric_Nativ'!$D$6:$D$405,"&lt;"&amp;J704,'Istoric_Nativ'!$P$6:$P$405,1,'Istoric_Nativ'!$D$6:$D$405,"&gt;="&amp;L704),COUNTIFS('Istoric_Nativ'!$B$6:$B$405,E704,'Istoric_Nativ'!$C$6:$C$405,F704,'Istoric_Nativ'!$E$6:$E$405,G704,'Istoric_Nativ'!$D$6:$D$405,"&lt;"&amp;J704,'Istoric_Nativ'!$P$6:$P$405,1,'Istoric_Nativ'!$D$6:$D$405,"&gt;="&amp;L704)+COUNTIFS('Istoric_Nativ'!$B$6:$B$405,E704,'Istoric_Nativ'!$C$6:$C$405,F704,'Istoric_Nativ'!$F$6:$F$405,G704,'Istoric_Nativ'!$D$6:$D$405,"&lt;"&amp;J704,'Istoric_Nativ'!$P$6:$P$405,1,'Istoric_Nativ'!$D$6:$D$405,"&gt;="&amp;L704))))</x:f>
        <x:v>0</x:v>
      </x:c>
      <x:c r="N704" s="11" t="str">
        <x:f>IF(M704=0,"",IF(H704="HOME",SUMIFS('Istoric_Nativ'!$G$6:$G$405,'Istoric_Nativ'!$B$6:$B$405,E704,'Istoric_Nativ'!$C$6:$C$405,F704,'Istoric_Nativ'!$E$6:$E$405,G704,'Istoric_Nativ'!$D$6:$D$405,"&lt;"&amp;J704,'Istoric_Nativ'!$P$6:$P$405,1,'Istoric_Nativ'!$D$6:$D$405,"&gt;="&amp;L704),IF(H704="AWAY",SUMIFS('Istoric_Nativ'!$H$6:$H$405,'Istoric_Nativ'!$B$6:$B$405,E704,'Istoric_Nativ'!$C$6:$C$405,F704,'Istoric_Nativ'!$F$6:$F$405,G704,'Istoric_Nativ'!$D$6:$D$405,"&lt;"&amp;J704,'Istoric_Nativ'!$P$6:$P$405,1,'Istoric_Nativ'!$D$6:$D$405,"&gt;="&amp;L704),SUMIFS('Istoric_Nativ'!$G$6:$G$405,'Istoric_Nativ'!$B$6:$B$405,E704,'Istoric_Nativ'!$C$6:$C$405,F704,'Istoric_Nativ'!$E$6:$E$405,G704,'Istoric_Nativ'!$D$6:$D$405,"&lt;"&amp;J704,'Istoric_Nativ'!$P$6:$P$405,1,'Istoric_Nativ'!$D$6:$D$405,"&gt;="&amp;L704)+SUMIFS('Istoric_Nativ'!$H$6:$H$405,'Istoric_Nativ'!$B$6:$B$405,E704,'Istoric_Nativ'!$C$6:$C$405,F704,'Istoric_Nativ'!$F$6:$F$405,G704,'Istoric_Nativ'!$D$6:$D$405,"&lt;"&amp;J704,'Istoric_Nativ'!$P$6:$P$405,1,'Istoric_Nativ'!$D$6:$D$405,"&gt;="&amp;L704)))/M704)</x:f>
      </x:c>
      <x:c r="O704" s="11" t="str">
        <x:f>IF(M704=0,"",IF(H704="HOME",SUMIFS('Istoric_Nativ'!$H$6:$H$405,'Istoric_Nativ'!$B$6:$B$405,E704,'Istoric_Nativ'!$C$6:$C$405,F704,'Istoric_Nativ'!$E$6:$E$405,G704,'Istoric_Nativ'!$D$6:$D$405,"&lt;"&amp;J704,'Istoric_Nativ'!$P$6:$P$405,1,'Istoric_Nativ'!$D$6:$D$405,"&gt;="&amp;L704),IF(H704="AWAY",SUMIFS('Istoric_Nativ'!$G$6:$G$405,'Istoric_Nativ'!$B$6:$B$405,E704,'Istoric_Nativ'!$C$6:$C$405,F704,'Istoric_Nativ'!$F$6:$F$405,G704,'Istoric_Nativ'!$D$6:$D$405,"&lt;"&amp;J704,'Istoric_Nativ'!$P$6:$P$405,1,'Istoric_Nativ'!$D$6:$D$405,"&gt;="&amp;L704),SUMIFS('Istoric_Nativ'!$H$6:$H$405,'Istoric_Nativ'!$B$6:$B$405,E704,'Istoric_Nativ'!$C$6:$C$405,F704,'Istoric_Nativ'!$E$6:$E$405,G704,'Istoric_Nativ'!$D$6:$D$405,"&lt;"&amp;J704,'Istoric_Nativ'!$P$6:$P$405,1,'Istoric_Nativ'!$D$6:$D$405,"&gt;="&amp;L704)+SUMIFS('Istoric_Nativ'!$G$6:$G$405,'Istoric_Nativ'!$B$6:$B$405,E704,'Istoric_Nativ'!$C$6:$C$405,F704,'Istoric_Nativ'!$F$6:$F$405,G704,'Istoric_Nativ'!$D$6:$D$405,"&lt;"&amp;J704,'Istoric_Nativ'!$P$6:$P$405,1,'Istoric_Nativ'!$D$6:$D$405,"&gt;="&amp;L704)))/M704)</x:f>
      </x:c>
      <x:c r="P704" s="2" t="n">
        <x:f>'Config_v6'!$B$9</x:f>
        <x:v>3</x:v>
      </x:c>
      <x:c r="Q704" s="2" t="n">
        <x:f>IF(OR(B704="",F704=""),0,IFERROR(MATCH(E704&amp;"|"&amp;F704,SourceTable[Source_Key],0),0))</x:f>
        <x:v>0</x:v>
      </x:c>
      <x:c r="R704" s="2" t="str">
        <x:f>IF(B704="","",IF(F704="","UNUSED",IF(Q704=0,"NOT CHECKED",IF(COUNTIF(SourceTable[Source_Key],E704&amp;"|"&amp;F704)&lt;&gt;1,"SOURCE CONFLICT",IF(NOT(OR(INDEX(SourceTable[Status],MAX(1,Q704))="IMPORTED",INDEX(SourceTable[Status],MAX(1,Q704))="PARTIAL",INDEX(SourceTable[Status],MAX(1,Q704))="SOURCE CONFLICT")),"ACCESS BLOCKED",IF(OR(INDEX(SourceTable[Coverage],Q704)&lt;&gt;"FULL SEASON EXPORT",INDEX(SourceTable[URL],Q704)="",INDEX(SourceTable[SHA256],Q704)=""),"EVIDENCE INCOMPLETE",IF(AND('Input_Meci'!H64="LIVE",INDEX(SourceTable[Retrieved_UTC],Q704)&gt;'Input_Meci'!G64),"POST CUTOFF","CLOSED")))))))</x:f>
      </x:c>
      <x:c r="S704" s="2" t="n">
        <x:f>IF(OR(B704="",F704=""),0,COUNTIFS('Istoric_Nativ'!$B$6:$B$405,E704,'Istoric_Nativ'!$C$6:$C$405,F704,'Istoric_Nativ'!$E$6:$E$405,G704,'Istoric_Nativ'!$D$6:$D$405,"&lt;"&amp;J704,'Istoric_Nativ'!$O$6:$O$405,"INVALID")+COUNTIFS('Istoric_Nativ'!$B$6:$B$405,E704,'Istoric_Nativ'!$C$6:$C$405,F704,'Istoric_Nativ'!$E$6:$E$405,G704,'Istoric_Nativ'!$O$6:$O$405,"INVALID",'Istoric_Nativ'!$D$6:$D$405,"*")+COUNTIFS('Istoric_Nativ'!$B$6:$B$405,E704,'Istoric_Nativ'!$C$6:$C$405,F704,'Istoric_Nativ'!$E$6:$E$405,G704,'Istoric_Nativ'!$D$6:$D$405,"&lt;"&amp;J704,'Istoric_Nativ'!$O$6:$O$405,"SOURCE CONFLICT")+COUNTIFS('Istoric_Nativ'!$B$6:$B$405,E704,'Istoric_Nativ'!$C$6:$C$405,F704,'Istoric_Nativ'!$F$6:$F$405,G704,'Istoric_Nativ'!$D$6:$D$405,"&lt;"&amp;J704,'Istoric_Nativ'!$O$6:$O$405,"INVALID")+COUNTIFS('Istoric_Nativ'!$B$6:$B$405,E704,'Istoric_Nativ'!$C$6:$C$405,F704,'Istoric_Nativ'!$F$6:$F$405,G704,'Istoric_Nativ'!$O$6:$O$405,"INVALID",'Istoric_Nativ'!$D$6:$D$405,"*")+COUNTIFS('Istoric_Nativ'!$B$6:$B$405,E704,'Istoric_Nativ'!$C$6:$C$405,F704,'Istoric_Nativ'!$F$6:$F$405,G704,'Istoric_Nativ'!$D$6:$D$405,"&lt;"&amp;J704,'Istoric_Nativ'!$O$6:$O$405,"SOURCE CONFLICT"))</x:f>
        <x:v>0</x:v>
      </x:c>
      <x:c r="T704" s="2" t="str">
        <x:f>IF(B704="","",IF(R704&lt;&gt;"CLOSED",R704,IF(S704&gt;0,"NATIVE INPUT ISSUE",IF(M704=0,"NO HISTORY",IF(M704&lt;P704,"SMALL SAMPLE","DERIVED")))))</x:f>
      </x:c>
      <x:c r="U704" s="2" t="str">
        <x:f>IF(B704="","","NativeTable; "&amp;E704&amp;"; "&amp;F704&amp;"; "&amp;G704&amp;"; "&amp;H704&amp;"; before "&amp;TEXT(J704,"yyyy-mm-dd")&amp;IF(I704="RECENT","; from "&amp;TEXT(L704,"yyyy-mm-dd"),""))</x:f>
      </x:c>
    </x:row>
    <x:row r="705" ht="21" customHeight="1">
      <x:c r="A705" s="2" t="n">
        <x:v>59</x:v>
      </x:c>
      <x:c r="B705" s="2" t="str">
        <x:f>IF('Input_Meci'!A64="","",'Input_Meci'!A64)</x:f>
      </x:c>
      <x:c r="C705" s="2" t="str">
        <x:v>A</x:v>
      </x:c>
      <x:c r="D705" s="2" t="str">
        <x:v>CURRENT</x:v>
      </x:c>
      <x:c r="E705" s="2" t="str">
        <x:f>IF(B705="","",'Input_Meci'!B64)</x:f>
      </x:c>
      <x:c r="F705" s="2" t="str">
        <x:f>IF(B705="","",IF('Input_Meci'!C64="","",'Input_Meci'!C64))</x:f>
      </x:c>
      <x:c r="G705" s="2" t="str">
        <x:f>IF(B705="","",'Input_Meci'!E64)</x:f>
      </x:c>
      <x:c r="H705" s="2" t="str">
        <x:v>ANY</x:v>
      </x:c>
      <x:c r="I705" s="2" t="str">
        <x:v>SEASON</x:v>
      </x:c>
      <x:c r="J705" s="9" t="n">
        <x:f>IF(AND(B705&lt;&gt;"",ISNUMBER('Input_Meci'!G64)),INT('Input_Meci'!G64),0)</x:f>
        <x:v>0</x:v>
      </x:c>
      <x:c r="K705" s="2" t="n">
        <x:f>IF(OR(B705="",F705=""),0,IF(H705="HOME",COUNTIFS('Istoric_Nativ'!$B$6:$B$405,E705,'Istoric_Nativ'!$C$6:$C$405,F705,'Istoric_Nativ'!$E$6:$E$405,G705,'Istoric_Nativ'!$D$6:$D$405,"&lt;"&amp;J705,'Istoric_Nativ'!$P$6:$P$405,1),IF(H705="AWAY",COUNTIFS('Istoric_Nativ'!$B$6:$B$405,E705,'Istoric_Nativ'!$C$6:$C$405,F705,'Istoric_Nativ'!$F$6:$F$405,G705,'Istoric_Nativ'!$D$6:$D$405,"&lt;"&amp;J705,'Istoric_Nativ'!$P$6:$P$405,1),COUNTIFS('Istoric_Nativ'!$B$6:$B$405,E705,'Istoric_Nativ'!$C$6:$C$405,F705,'Istoric_Nativ'!$E$6:$E$405,G705,'Istoric_Nativ'!$D$6:$D$405,"&lt;"&amp;J705,'Istoric_Nativ'!$P$6:$P$405,1)+COUNTIFS('Istoric_Nativ'!$B$6:$B$405,E705,'Istoric_Nativ'!$C$6:$C$405,F705,'Istoric_Nativ'!$F$6:$F$405,G705,'Istoric_Nativ'!$D$6:$D$405,"&lt;"&amp;J705,'Istoric_Nativ'!$P$6:$P$405,1))))</x:f>
        <x:v>0</x:v>
      </x:c>
      <x:c r="L705" s="17" t="n">
        <x:f>IF(AND(B705&lt;&gt;"",I705="RECENT",K705&gt;0),LARGE(_xlfn._xlws.FILTER('Istoric_Nativ'!$D$6:$D$405,('Istoric_Nativ'!$B$6:$B$405=E705)*('Istoric_Nativ'!$C$6:$C$405=F705)*('Istoric_Nativ'!$P$6:$P$405=1)*('Istoric_Nativ'!$D$6:$D$405&lt;J705)*((('Istoric_Nativ'!$E$6:$E$405=G705)+('Istoric_Nativ'!$F$6:$F$405=G705))&gt;0)),MIN('Config_v6'!$B$54,K705)),0)</x:f>
        <x:v>0</x:v>
      </x:c>
      <x:c r="M705" s="2" t="n">
        <x:f>IF(OR(B705="",F705=""),0,IF(H705="HOME",COUNTIFS('Istoric_Nativ'!$B$6:$B$405,E705,'Istoric_Nativ'!$C$6:$C$405,F705,'Istoric_Nativ'!$E$6:$E$405,G705,'Istoric_Nativ'!$D$6:$D$405,"&lt;"&amp;J705,'Istoric_Nativ'!$P$6:$P$405,1,'Istoric_Nativ'!$D$6:$D$405,"&gt;="&amp;L705),IF(H705="AWAY",COUNTIFS('Istoric_Nativ'!$B$6:$B$405,E705,'Istoric_Nativ'!$C$6:$C$405,F705,'Istoric_Nativ'!$F$6:$F$405,G705,'Istoric_Nativ'!$D$6:$D$405,"&lt;"&amp;J705,'Istoric_Nativ'!$P$6:$P$405,1,'Istoric_Nativ'!$D$6:$D$405,"&gt;="&amp;L705),COUNTIFS('Istoric_Nativ'!$B$6:$B$405,E705,'Istoric_Nativ'!$C$6:$C$405,F705,'Istoric_Nativ'!$E$6:$E$405,G705,'Istoric_Nativ'!$D$6:$D$405,"&lt;"&amp;J705,'Istoric_Nativ'!$P$6:$P$405,1,'Istoric_Nativ'!$D$6:$D$405,"&gt;="&amp;L705)+COUNTIFS('Istoric_Nativ'!$B$6:$B$405,E705,'Istoric_Nativ'!$C$6:$C$405,F705,'Istoric_Nativ'!$F$6:$F$405,G705,'Istoric_Nativ'!$D$6:$D$405,"&lt;"&amp;J705,'Istoric_Nativ'!$P$6:$P$405,1,'Istoric_Nativ'!$D$6:$D$405,"&gt;="&amp;L705))))</x:f>
        <x:v>0</x:v>
      </x:c>
      <x:c r="N705" s="11" t="str">
        <x:f>IF(M705=0,"",IF(H705="HOME",SUMIFS('Istoric_Nativ'!$G$6:$G$405,'Istoric_Nativ'!$B$6:$B$405,E705,'Istoric_Nativ'!$C$6:$C$405,F705,'Istoric_Nativ'!$E$6:$E$405,G705,'Istoric_Nativ'!$D$6:$D$405,"&lt;"&amp;J705,'Istoric_Nativ'!$P$6:$P$405,1,'Istoric_Nativ'!$D$6:$D$405,"&gt;="&amp;L705),IF(H705="AWAY",SUMIFS('Istoric_Nativ'!$H$6:$H$405,'Istoric_Nativ'!$B$6:$B$405,E705,'Istoric_Nativ'!$C$6:$C$405,F705,'Istoric_Nativ'!$F$6:$F$405,G705,'Istoric_Nativ'!$D$6:$D$405,"&lt;"&amp;J705,'Istoric_Nativ'!$P$6:$P$405,1,'Istoric_Nativ'!$D$6:$D$405,"&gt;="&amp;L705),SUMIFS('Istoric_Nativ'!$G$6:$G$405,'Istoric_Nativ'!$B$6:$B$405,E705,'Istoric_Nativ'!$C$6:$C$405,F705,'Istoric_Nativ'!$E$6:$E$405,G705,'Istoric_Nativ'!$D$6:$D$405,"&lt;"&amp;J705,'Istoric_Nativ'!$P$6:$P$405,1,'Istoric_Nativ'!$D$6:$D$405,"&gt;="&amp;L705)+SUMIFS('Istoric_Nativ'!$H$6:$H$405,'Istoric_Nativ'!$B$6:$B$405,E705,'Istoric_Nativ'!$C$6:$C$405,F705,'Istoric_Nativ'!$F$6:$F$405,G705,'Istoric_Nativ'!$D$6:$D$405,"&lt;"&amp;J705,'Istoric_Nativ'!$P$6:$P$405,1,'Istoric_Nativ'!$D$6:$D$405,"&gt;="&amp;L705)))/M705)</x:f>
      </x:c>
      <x:c r="O705" s="11" t="str">
        <x:f>IF(M705=0,"",IF(H705="HOME",SUMIFS('Istoric_Nativ'!$H$6:$H$405,'Istoric_Nativ'!$B$6:$B$405,E705,'Istoric_Nativ'!$C$6:$C$405,F705,'Istoric_Nativ'!$E$6:$E$405,G705,'Istoric_Nativ'!$D$6:$D$405,"&lt;"&amp;J705,'Istoric_Nativ'!$P$6:$P$405,1,'Istoric_Nativ'!$D$6:$D$405,"&gt;="&amp;L705),IF(H705="AWAY",SUMIFS('Istoric_Nativ'!$G$6:$G$405,'Istoric_Nativ'!$B$6:$B$405,E705,'Istoric_Nativ'!$C$6:$C$405,F705,'Istoric_Nativ'!$F$6:$F$405,G705,'Istoric_Nativ'!$D$6:$D$405,"&lt;"&amp;J705,'Istoric_Nativ'!$P$6:$P$405,1,'Istoric_Nativ'!$D$6:$D$405,"&gt;="&amp;L705),SUMIFS('Istoric_Nativ'!$H$6:$H$405,'Istoric_Nativ'!$B$6:$B$405,E705,'Istoric_Nativ'!$C$6:$C$405,F705,'Istoric_Nativ'!$E$6:$E$405,G705,'Istoric_Nativ'!$D$6:$D$405,"&lt;"&amp;J705,'Istoric_Nativ'!$P$6:$P$405,1,'Istoric_Nativ'!$D$6:$D$405,"&gt;="&amp;L705)+SUMIFS('Istoric_Nativ'!$G$6:$G$405,'Istoric_Nativ'!$B$6:$B$405,E705,'Istoric_Nativ'!$C$6:$C$405,F705,'Istoric_Nativ'!$F$6:$F$405,G705,'Istoric_Nativ'!$D$6:$D$405,"&lt;"&amp;J705,'Istoric_Nativ'!$P$6:$P$405,1,'Istoric_Nativ'!$D$6:$D$405,"&gt;="&amp;L705)))/M705)</x:f>
      </x:c>
      <x:c r="P705" s="2" t="n">
        <x:f>'Config_v6'!$B$7</x:f>
        <x:v>10</x:v>
      </x:c>
      <x:c r="Q705" s="2" t="n">
        <x:f>IF(OR(B705="",F705=""),0,IFERROR(MATCH(E705&amp;"|"&amp;F705,SourceTable[Source_Key],0),0))</x:f>
        <x:v>0</x:v>
      </x:c>
      <x:c r="R705" s="2" t="str">
        <x:f>IF(B705="","",IF(F705="","UNUSED",IF(Q705=0,"NOT CHECKED",IF(COUNTIF(SourceTable[Source_Key],E705&amp;"|"&amp;F705)&lt;&gt;1,"SOURCE CONFLICT",IF(NOT(OR(INDEX(SourceTable[Status],MAX(1,Q705))="IMPORTED",INDEX(SourceTable[Status],MAX(1,Q705))="PARTIAL",INDEX(SourceTable[Status],MAX(1,Q705))="SOURCE CONFLICT")),"ACCESS BLOCKED",IF(OR(INDEX(SourceTable[Coverage],Q705)&lt;&gt;"FULL SEASON EXPORT",INDEX(SourceTable[URL],Q705)="",INDEX(SourceTable[SHA256],Q705)=""),"EVIDENCE INCOMPLETE",IF(AND('Input_Meci'!H64="LIVE",INDEX(SourceTable[Retrieved_UTC],Q705)&gt;'Input_Meci'!G64),"POST CUTOFF","CLOSED")))))))</x:f>
      </x:c>
      <x:c r="S705" s="2" t="n">
        <x:f>IF(OR(B705="",F705=""),0,COUNTIFS('Istoric_Nativ'!$B$6:$B$405,E705,'Istoric_Nativ'!$C$6:$C$405,F705,'Istoric_Nativ'!$E$6:$E$405,G705,'Istoric_Nativ'!$D$6:$D$405,"&lt;"&amp;J705,'Istoric_Nativ'!$O$6:$O$405,"INVALID")+COUNTIFS('Istoric_Nativ'!$B$6:$B$405,E705,'Istoric_Nativ'!$C$6:$C$405,F705,'Istoric_Nativ'!$E$6:$E$405,G705,'Istoric_Nativ'!$O$6:$O$405,"INVALID",'Istoric_Nativ'!$D$6:$D$405,"*")+COUNTIFS('Istoric_Nativ'!$B$6:$B$405,E705,'Istoric_Nativ'!$C$6:$C$405,F705,'Istoric_Nativ'!$E$6:$E$405,G705,'Istoric_Nativ'!$D$6:$D$405,"&lt;"&amp;J705,'Istoric_Nativ'!$O$6:$O$405,"SOURCE CONFLICT")+COUNTIFS('Istoric_Nativ'!$B$6:$B$405,E705,'Istoric_Nativ'!$C$6:$C$405,F705,'Istoric_Nativ'!$F$6:$F$405,G705,'Istoric_Nativ'!$D$6:$D$405,"&lt;"&amp;J705,'Istoric_Nativ'!$O$6:$O$405,"INVALID")+COUNTIFS('Istoric_Nativ'!$B$6:$B$405,E705,'Istoric_Nativ'!$C$6:$C$405,F705,'Istoric_Nativ'!$F$6:$F$405,G705,'Istoric_Nativ'!$O$6:$O$405,"INVALID",'Istoric_Nativ'!$D$6:$D$405,"*")+COUNTIFS('Istoric_Nativ'!$B$6:$B$405,E705,'Istoric_Nativ'!$C$6:$C$405,F705,'Istoric_Nativ'!$F$6:$F$405,G705,'Istoric_Nativ'!$D$6:$D$405,"&lt;"&amp;J705,'Istoric_Nativ'!$O$6:$O$405,"SOURCE CONFLICT"))</x:f>
        <x:v>0</x:v>
      </x:c>
      <x:c r="T705" s="2" t="str">
        <x:f>IF(B705="","",IF(R705&lt;&gt;"CLOSED",R705,IF(S705&gt;0,"NATIVE INPUT ISSUE",IF(M705=0,"NO HISTORY",IF(M705&lt;P705,"SMALL SAMPLE","DERIVED")))))</x:f>
      </x:c>
      <x:c r="U705" s="2" t="str">
        <x:f>IF(B705="","","NativeTable; "&amp;E705&amp;"; "&amp;F705&amp;"; "&amp;G705&amp;"; "&amp;H705&amp;"; before "&amp;TEXT(J705,"yyyy-mm-dd")&amp;IF(I705="RECENT","; from "&amp;TEXT(L705,"yyyy-mm-dd"),""))</x:f>
      </x:c>
    </x:row>
    <x:row r="706" ht="21" customHeight="1">
      <x:c r="A706" s="2" t="n">
        <x:v>59</x:v>
      </x:c>
      <x:c r="B706" s="2" t="str">
        <x:f>IF('Input_Meci'!A64="","",'Input_Meci'!A64)</x:f>
      </x:c>
      <x:c r="C706" s="2" t="str">
        <x:v>A</x:v>
      </x:c>
      <x:c r="D706" s="2" t="str">
        <x:v>CURRENT</x:v>
      </x:c>
      <x:c r="E706" s="2" t="str">
        <x:f>IF(B706="","",'Input_Meci'!B64)</x:f>
      </x:c>
      <x:c r="F706" s="2" t="str">
        <x:f>IF(B706="","",IF('Input_Meci'!C64="","",'Input_Meci'!C64))</x:f>
      </x:c>
      <x:c r="G706" s="2" t="str">
        <x:f>IF(B706="","",'Input_Meci'!E64)</x:f>
      </x:c>
      <x:c r="H706" s="2" t="str">
        <x:v>AWAY</x:v>
      </x:c>
      <x:c r="I706" s="2" t="str">
        <x:v>HA</x:v>
      </x:c>
      <x:c r="J706" s="9" t="n">
        <x:f>IF(AND(B706&lt;&gt;"",ISNUMBER('Input_Meci'!G64)),INT('Input_Meci'!G64),0)</x:f>
        <x:v>0</x:v>
      </x:c>
      <x:c r="K706" s="2" t="n">
        <x:f>IF(OR(B706="",F706=""),0,IF(H706="HOME",COUNTIFS('Istoric_Nativ'!$B$6:$B$405,E706,'Istoric_Nativ'!$C$6:$C$405,F706,'Istoric_Nativ'!$E$6:$E$405,G706,'Istoric_Nativ'!$D$6:$D$405,"&lt;"&amp;J706,'Istoric_Nativ'!$P$6:$P$405,1),IF(H706="AWAY",COUNTIFS('Istoric_Nativ'!$B$6:$B$405,E706,'Istoric_Nativ'!$C$6:$C$405,F706,'Istoric_Nativ'!$F$6:$F$405,G706,'Istoric_Nativ'!$D$6:$D$405,"&lt;"&amp;J706,'Istoric_Nativ'!$P$6:$P$405,1),COUNTIFS('Istoric_Nativ'!$B$6:$B$405,E706,'Istoric_Nativ'!$C$6:$C$405,F706,'Istoric_Nativ'!$E$6:$E$405,G706,'Istoric_Nativ'!$D$6:$D$405,"&lt;"&amp;J706,'Istoric_Nativ'!$P$6:$P$405,1)+COUNTIFS('Istoric_Nativ'!$B$6:$B$405,E706,'Istoric_Nativ'!$C$6:$C$405,F706,'Istoric_Nativ'!$F$6:$F$405,G706,'Istoric_Nativ'!$D$6:$D$405,"&lt;"&amp;J706,'Istoric_Nativ'!$P$6:$P$405,1))))</x:f>
        <x:v>0</x:v>
      </x:c>
      <x:c r="L706" s="17" t="n">
        <x:f>IF(AND(B706&lt;&gt;"",I706="RECENT",K706&gt;0),LARGE(_xlfn._xlws.FILTER('Istoric_Nativ'!$D$6:$D$405,('Istoric_Nativ'!$B$6:$B$405=E706)*('Istoric_Nativ'!$C$6:$C$405=F706)*('Istoric_Nativ'!$P$6:$P$405=1)*('Istoric_Nativ'!$D$6:$D$405&lt;J706)*((('Istoric_Nativ'!$E$6:$E$405=G706)+('Istoric_Nativ'!$F$6:$F$405=G706))&gt;0)),MIN('Config_v6'!$B$54,K706)),0)</x:f>
        <x:v>0</x:v>
      </x:c>
      <x:c r="M706" s="2" t="n">
        <x:f>IF(OR(B706="",F706=""),0,IF(H706="HOME",COUNTIFS('Istoric_Nativ'!$B$6:$B$405,E706,'Istoric_Nativ'!$C$6:$C$405,F706,'Istoric_Nativ'!$E$6:$E$405,G706,'Istoric_Nativ'!$D$6:$D$405,"&lt;"&amp;J706,'Istoric_Nativ'!$P$6:$P$405,1,'Istoric_Nativ'!$D$6:$D$405,"&gt;="&amp;L706),IF(H706="AWAY",COUNTIFS('Istoric_Nativ'!$B$6:$B$405,E706,'Istoric_Nativ'!$C$6:$C$405,F706,'Istoric_Nativ'!$F$6:$F$405,G706,'Istoric_Nativ'!$D$6:$D$405,"&lt;"&amp;J706,'Istoric_Nativ'!$P$6:$P$405,1,'Istoric_Nativ'!$D$6:$D$405,"&gt;="&amp;L706),COUNTIFS('Istoric_Nativ'!$B$6:$B$405,E706,'Istoric_Nativ'!$C$6:$C$405,F706,'Istoric_Nativ'!$E$6:$E$405,G706,'Istoric_Nativ'!$D$6:$D$405,"&lt;"&amp;J706,'Istoric_Nativ'!$P$6:$P$405,1,'Istoric_Nativ'!$D$6:$D$405,"&gt;="&amp;L706)+COUNTIFS('Istoric_Nativ'!$B$6:$B$405,E706,'Istoric_Nativ'!$C$6:$C$405,F706,'Istoric_Nativ'!$F$6:$F$405,G706,'Istoric_Nativ'!$D$6:$D$405,"&lt;"&amp;J706,'Istoric_Nativ'!$P$6:$P$405,1,'Istoric_Nativ'!$D$6:$D$405,"&gt;="&amp;L706))))</x:f>
        <x:v>0</x:v>
      </x:c>
      <x:c r="N706" s="11" t="str">
        <x:f>IF(M706=0,"",IF(H706="HOME",SUMIFS('Istoric_Nativ'!$G$6:$G$405,'Istoric_Nativ'!$B$6:$B$405,E706,'Istoric_Nativ'!$C$6:$C$405,F706,'Istoric_Nativ'!$E$6:$E$405,G706,'Istoric_Nativ'!$D$6:$D$405,"&lt;"&amp;J706,'Istoric_Nativ'!$P$6:$P$405,1,'Istoric_Nativ'!$D$6:$D$405,"&gt;="&amp;L706),IF(H706="AWAY",SUMIFS('Istoric_Nativ'!$H$6:$H$405,'Istoric_Nativ'!$B$6:$B$405,E706,'Istoric_Nativ'!$C$6:$C$405,F706,'Istoric_Nativ'!$F$6:$F$405,G706,'Istoric_Nativ'!$D$6:$D$405,"&lt;"&amp;J706,'Istoric_Nativ'!$P$6:$P$405,1,'Istoric_Nativ'!$D$6:$D$405,"&gt;="&amp;L706),SUMIFS('Istoric_Nativ'!$G$6:$G$405,'Istoric_Nativ'!$B$6:$B$405,E706,'Istoric_Nativ'!$C$6:$C$405,F706,'Istoric_Nativ'!$E$6:$E$405,G706,'Istoric_Nativ'!$D$6:$D$405,"&lt;"&amp;J706,'Istoric_Nativ'!$P$6:$P$405,1,'Istoric_Nativ'!$D$6:$D$405,"&gt;="&amp;L706)+SUMIFS('Istoric_Nativ'!$H$6:$H$405,'Istoric_Nativ'!$B$6:$B$405,E706,'Istoric_Nativ'!$C$6:$C$405,F706,'Istoric_Nativ'!$F$6:$F$405,G706,'Istoric_Nativ'!$D$6:$D$405,"&lt;"&amp;J706,'Istoric_Nativ'!$P$6:$P$405,1,'Istoric_Nativ'!$D$6:$D$405,"&gt;="&amp;L706)))/M706)</x:f>
      </x:c>
      <x:c r="O706" s="11" t="str">
        <x:f>IF(M706=0,"",IF(H706="HOME",SUMIFS('Istoric_Nativ'!$H$6:$H$405,'Istoric_Nativ'!$B$6:$B$405,E706,'Istoric_Nativ'!$C$6:$C$405,F706,'Istoric_Nativ'!$E$6:$E$405,G706,'Istoric_Nativ'!$D$6:$D$405,"&lt;"&amp;J706,'Istoric_Nativ'!$P$6:$P$405,1,'Istoric_Nativ'!$D$6:$D$405,"&gt;="&amp;L706),IF(H706="AWAY",SUMIFS('Istoric_Nativ'!$G$6:$G$405,'Istoric_Nativ'!$B$6:$B$405,E706,'Istoric_Nativ'!$C$6:$C$405,F706,'Istoric_Nativ'!$F$6:$F$405,G706,'Istoric_Nativ'!$D$6:$D$405,"&lt;"&amp;J706,'Istoric_Nativ'!$P$6:$P$405,1,'Istoric_Nativ'!$D$6:$D$405,"&gt;="&amp;L706),SUMIFS('Istoric_Nativ'!$H$6:$H$405,'Istoric_Nativ'!$B$6:$B$405,E706,'Istoric_Nativ'!$C$6:$C$405,F706,'Istoric_Nativ'!$E$6:$E$405,G706,'Istoric_Nativ'!$D$6:$D$405,"&lt;"&amp;J706,'Istoric_Nativ'!$P$6:$P$405,1,'Istoric_Nativ'!$D$6:$D$405,"&gt;="&amp;L706)+SUMIFS('Istoric_Nativ'!$G$6:$G$405,'Istoric_Nativ'!$B$6:$B$405,E706,'Istoric_Nativ'!$C$6:$C$405,F706,'Istoric_Nativ'!$F$6:$F$405,G706,'Istoric_Nativ'!$D$6:$D$405,"&lt;"&amp;J706,'Istoric_Nativ'!$P$6:$P$405,1,'Istoric_Nativ'!$D$6:$D$405,"&gt;="&amp;L706)))/M706)</x:f>
      </x:c>
      <x:c r="P706" s="2" t="n">
        <x:f>'Config_v6'!$B$8</x:f>
        <x:v>5</x:v>
      </x:c>
      <x:c r="Q706" s="2" t="n">
        <x:f>IF(OR(B706="",F706=""),0,IFERROR(MATCH(E706&amp;"|"&amp;F706,SourceTable[Source_Key],0),0))</x:f>
        <x:v>0</x:v>
      </x:c>
      <x:c r="R706" s="2" t="str">
        <x:f>IF(B706="","",IF(F706="","UNUSED",IF(Q706=0,"NOT CHECKED",IF(COUNTIF(SourceTable[Source_Key],E706&amp;"|"&amp;F706)&lt;&gt;1,"SOURCE CONFLICT",IF(NOT(OR(INDEX(SourceTable[Status],MAX(1,Q706))="IMPORTED",INDEX(SourceTable[Status],MAX(1,Q706))="PARTIAL",INDEX(SourceTable[Status],MAX(1,Q706))="SOURCE CONFLICT")),"ACCESS BLOCKED",IF(OR(INDEX(SourceTable[Coverage],Q706)&lt;&gt;"FULL SEASON EXPORT",INDEX(SourceTable[URL],Q706)="",INDEX(SourceTable[SHA256],Q706)=""),"EVIDENCE INCOMPLETE",IF(AND('Input_Meci'!H64="LIVE",INDEX(SourceTable[Retrieved_UTC],Q706)&gt;'Input_Meci'!G64),"POST CUTOFF","CLOSED")))))))</x:f>
      </x:c>
      <x:c r="S706" s="2" t="n">
        <x:f>IF(OR(B706="",F706=""),0,COUNTIFS('Istoric_Nativ'!$B$6:$B$405,E706,'Istoric_Nativ'!$C$6:$C$405,F706,'Istoric_Nativ'!$E$6:$E$405,G706,'Istoric_Nativ'!$D$6:$D$405,"&lt;"&amp;J706,'Istoric_Nativ'!$O$6:$O$405,"INVALID")+COUNTIFS('Istoric_Nativ'!$B$6:$B$405,E706,'Istoric_Nativ'!$C$6:$C$405,F706,'Istoric_Nativ'!$E$6:$E$405,G706,'Istoric_Nativ'!$O$6:$O$405,"INVALID",'Istoric_Nativ'!$D$6:$D$405,"*")+COUNTIFS('Istoric_Nativ'!$B$6:$B$405,E706,'Istoric_Nativ'!$C$6:$C$405,F706,'Istoric_Nativ'!$E$6:$E$405,G706,'Istoric_Nativ'!$D$6:$D$405,"&lt;"&amp;J706,'Istoric_Nativ'!$O$6:$O$405,"SOURCE CONFLICT")+COUNTIFS('Istoric_Nativ'!$B$6:$B$405,E706,'Istoric_Nativ'!$C$6:$C$405,F706,'Istoric_Nativ'!$F$6:$F$405,G706,'Istoric_Nativ'!$D$6:$D$405,"&lt;"&amp;J706,'Istoric_Nativ'!$O$6:$O$405,"INVALID")+COUNTIFS('Istoric_Nativ'!$B$6:$B$405,E706,'Istoric_Nativ'!$C$6:$C$405,F706,'Istoric_Nativ'!$F$6:$F$405,G706,'Istoric_Nativ'!$O$6:$O$405,"INVALID",'Istoric_Nativ'!$D$6:$D$405,"*")+COUNTIFS('Istoric_Nativ'!$B$6:$B$405,E706,'Istoric_Nativ'!$C$6:$C$405,F706,'Istoric_Nativ'!$F$6:$F$405,G706,'Istoric_Nativ'!$D$6:$D$405,"&lt;"&amp;J706,'Istoric_Nativ'!$O$6:$O$405,"SOURCE CONFLICT"))</x:f>
        <x:v>0</x:v>
      </x:c>
      <x:c r="T706" s="2" t="str">
        <x:f>IF(B706="","",IF(R706&lt;&gt;"CLOSED",R706,IF(S706&gt;0,"NATIVE INPUT ISSUE",IF(M706=0,"NO HISTORY",IF(M706&lt;P706,"SMALL SAMPLE","DERIVED")))))</x:f>
      </x:c>
      <x:c r="U706" s="2" t="str">
        <x:f>IF(B706="","","NativeTable; "&amp;E706&amp;"; "&amp;F706&amp;"; "&amp;G706&amp;"; "&amp;H706&amp;"; before "&amp;TEXT(J706,"yyyy-mm-dd")&amp;IF(I706="RECENT","; from "&amp;TEXT(L706,"yyyy-mm-dd"),""))</x:f>
      </x:c>
    </x:row>
    <x:row r="707" ht="21" customHeight="1">
      <x:c r="A707" s="2" t="n">
        <x:v>59</x:v>
      </x:c>
      <x:c r="B707" s="2" t="str">
        <x:f>IF('Input_Meci'!A64="","",'Input_Meci'!A64)</x:f>
      </x:c>
      <x:c r="C707" s="2" t="str">
        <x:v>A</x:v>
      </x:c>
      <x:c r="D707" s="2" t="str">
        <x:v>CURRENT</x:v>
      </x:c>
      <x:c r="E707" s="2" t="str">
        <x:f>IF(B707="","",'Input_Meci'!B64)</x:f>
      </x:c>
      <x:c r="F707" s="2" t="str">
        <x:f>IF(B707="","",IF('Input_Meci'!C64="","",'Input_Meci'!C64))</x:f>
      </x:c>
      <x:c r="G707" s="2" t="str">
        <x:f>IF(B707="","",'Input_Meci'!E64)</x:f>
      </x:c>
      <x:c r="H707" s="2" t="str">
        <x:v>ANY</x:v>
      </x:c>
      <x:c r="I707" s="2" t="str">
        <x:v>RECENT</x:v>
      </x:c>
      <x:c r="J707" s="9" t="n">
        <x:f>IF(AND(B707&lt;&gt;"",ISNUMBER('Input_Meci'!G64)),INT('Input_Meci'!G64),0)</x:f>
        <x:v>0</x:v>
      </x:c>
      <x:c r="K707" s="2" t="n">
        <x:f>IF(OR(B707="",F707=""),0,IF(H707="HOME",COUNTIFS('Istoric_Nativ'!$B$6:$B$405,E707,'Istoric_Nativ'!$C$6:$C$405,F707,'Istoric_Nativ'!$E$6:$E$405,G707,'Istoric_Nativ'!$D$6:$D$405,"&lt;"&amp;J707,'Istoric_Nativ'!$P$6:$P$405,1),IF(H707="AWAY",COUNTIFS('Istoric_Nativ'!$B$6:$B$405,E707,'Istoric_Nativ'!$C$6:$C$405,F707,'Istoric_Nativ'!$F$6:$F$405,G707,'Istoric_Nativ'!$D$6:$D$405,"&lt;"&amp;J707,'Istoric_Nativ'!$P$6:$P$405,1),COUNTIFS('Istoric_Nativ'!$B$6:$B$405,E707,'Istoric_Nativ'!$C$6:$C$405,F707,'Istoric_Nativ'!$E$6:$E$405,G707,'Istoric_Nativ'!$D$6:$D$405,"&lt;"&amp;J707,'Istoric_Nativ'!$P$6:$P$405,1)+COUNTIFS('Istoric_Nativ'!$B$6:$B$405,E707,'Istoric_Nativ'!$C$6:$C$405,F707,'Istoric_Nativ'!$F$6:$F$405,G707,'Istoric_Nativ'!$D$6:$D$405,"&lt;"&amp;J707,'Istoric_Nativ'!$P$6:$P$405,1))))</x:f>
        <x:v>0</x:v>
      </x:c>
      <x:c r="L707" s="17" t="n">
        <x:f>IF(AND(B707&lt;&gt;"",I707="RECENT",K707&gt;0),LARGE(_xlfn._xlws.FILTER('Istoric_Nativ'!$D$6:$D$405,('Istoric_Nativ'!$B$6:$B$405=E707)*('Istoric_Nativ'!$C$6:$C$405=F707)*('Istoric_Nativ'!$P$6:$P$405=1)*('Istoric_Nativ'!$D$6:$D$405&lt;J707)*((('Istoric_Nativ'!$E$6:$E$405=G707)+('Istoric_Nativ'!$F$6:$F$405=G707))&gt;0)),MIN('Config_v6'!$B$54,K707)),0)</x:f>
        <x:v>0</x:v>
      </x:c>
      <x:c r="M707" s="2" t="n">
        <x:f>IF(OR(B707="",F707=""),0,IF(H707="HOME",COUNTIFS('Istoric_Nativ'!$B$6:$B$405,E707,'Istoric_Nativ'!$C$6:$C$405,F707,'Istoric_Nativ'!$E$6:$E$405,G707,'Istoric_Nativ'!$D$6:$D$405,"&lt;"&amp;J707,'Istoric_Nativ'!$P$6:$P$405,1,'Istoric_Nativ'!$D$6:$D$405,"&gt;="&amp;L707),IF(H707="AWAY",COUNTIFS('Istoric_Nativ'!$B$6:$B$405,E707,'Istoric_Nativ'!$C$6:$C$405,F707,'Istoric_Nativ'!$F$6:$F$405,G707,'Istoric_Nativ'!$D$6:$D$405,"&lt;"&amp;J707,'Istoric_Nativ'!$P$6:$P$405,1,'Istoric_Nativ'!$D$6:$D$405,"&gt;="&amp;L707),COUNTIFS('Istoric_Nativ'!$B$6:$B$405,E707,'Istoric_Nativ'!$C$6:$C$405,F707,'Istoric_Nativ'!$E$6:$E$405,G707,'Istoric_Nativ'!$D$6:$D$405,"&lt;"&amp;J707,'Istoric_Nativ'!$P$6:$P$405,1,'Istoric_Nativ'!$D$6:$D$405,"&gt;="&amp;L707)+COUNTIFS('Istoric_Nativ'!$B$6:$B$405,E707,'Istoric_Nativ'!$C$6:$C$405,F707,'Istoric_Nativ'!$F$6:$F$405,G707,'Istoric_Nativ'!$D$6:$D$405,"&lt;"&amp;J707,'Istoric_Nativ'!$P$6:$P$405,1,'Istoric_Nativ'!$D$6:$D$405,"&gt;="&amp;L707))))</x:f>
        <x:v>0</x:v>
      </x:c>
      <x:c r="N707" s="11" t="str">
        <x:f>IF(M707=0,"",IF(H707="HOME",SUMIFS('Istoric_Nativ'!$G$6:$G$405,'Istoric_Nativ'!$B$6:$B$405,E707,'Istoric_Nativ'!$C$6:$C$405,F707,'Istoric_Nativ'!$E$6:$E$405,G707,'Istoric_Nativ'!$D$6:$D$405,"&lt;"&amp;J707,'Istoric_Nativ'!$P$6:$P$405,1,'Istoric_Nativ'!$D$6:$D$405,"&gt;="&amp;L707),IF(H707="AWAY",SUMIFS('Istoric_Nativ'!$H$6:$H$405,'Istoric_Nativ'!$B$6:$B$405,E707,'Istoric_Nativ'!$C$6:$C$405,F707,'Istoric_Nativ'!$F$6:$F$405,G707,'Istoric_Nativ'!$D$6:$D$405,"&lt;"&amp;J707,'Istoric_Nativ'!$P$6:$P$405,1,'Istoric_Nativ'!$D$6:$D$405,"&gt;="&amp;L707),SUMIFS('Istoric_Nativ'!$G$6:$G$405,'Istoric_Nativ'!$B$6:$B$405,E707,'Istoric_Nativ'!$C$6:$C$405,F707,'Istoric_Nativ'!$E$6:$E$405,G707,'Istoric_Nativ'!$D$6:$D$405,"&lt;"&amp;J707,'Istoric_Nativ'!$P$6:$P$405,1,'Istoric_Nativ'!$D$6:$D$405,"&gt;="&amp;L707)+SUMIFS('Istoric_Nativ'!$H$6:$H$405,'Istoric_Nativ'!$B$6:$B$405,E707,'Istoric_Nativ'!$C$6:$C$405,F707,'Istoric_Nativ'!$F$6:$F$405,G707,'Istoric_Nativ'!$D$6:$D$405,"&lt;"&amp;J707,'Istoric_Nativ'!$P$6:$P$405,1,'Istoric_Nativ'!$D$6:$D$405,"&gt;="&amp;L707)))/M707)</x:f>
      </x:c>
      <x:c r="O707" s="11" t="str">
        <x:f>IF(M707=0,"",IF(H707="HOME",SUMIFS('Istoric_Nativ'!$H$6:$H$405,'Istoric_Nativ'!$B$6:$B$405,E707,'Istoric_Nativ'!$C$6:$C$405,F707,'Istoric_Nativ'!$E$6:$E$405,G707,'Istoric_Nativ'!$D$6:$D$405,"&lt;"&amp;J707,'Istoric_Nativ'!$P$6:$P$405,1,'Istoric_Nativ'!$D$6:$D$405,"&gt;="&amp;L707),IF(H707="AWAY",SUMIFS('Istoric_Nativ'!$G$6:$G$405,'Istoric_Nativ'!$B$6:$B$405,E707,'Istoric_Nativ'!$C$6:$C$405,F707,'Istoric_Nativ'!$F$6:$F$405,G707,'Istoric_Nativ'!$D$6:$D$405,"&lt;"&amp;J707,'Istoric_Nativ'!$P$6:$P$405,1,'Istoric_Nativ'!$D$6:$D$405,"&gt;="&amp;L707),SUMIFS('Istoric_Nativ'!$H$6:$H$405,'Istoric_Nativ'!$B$6:$B$405,E707,'Istoric_Nativ'!$C$6:$C$405,F707,'Istoric_Nativ'!$E$6:$E$405,G707,'Istoric_Nativ'!$D$6:$D$405,"&lt;"&amp;J707,'Istoric_Nativ'!$P$6:$P$405,1,'Istoric_Nativ'!$D$6:$D$405,"&gt;="&amp;L707)+SUMIFS('Istoric_Nativ'!$G$6:$G$405,'Istoric_Nativ'!$B$6:$B$405,E707,'Istoric_Nativ'!$C$6:$C$405,F707,'Istoric_Nativ'!$F$6:$F$405,G707,'Istoric_Nativ'!$D$6:$D$405,"&lt;"&amp;J707,'Istoric_Nativ'!$P$6:$P$405,1,'Istoric_Nativ'!$D$6:$D$405,"&gt;="&amp;L707)))/M707)</x:f>
      </x:c>
      <x:c r="P707" s="2" t="n">
        <x:f>'Config_v6'!$B$9</x:f>
        <x:v>3</x:v>
      </x:c>
      <x:c r="Q707" s="2" t="n">
        <x:f>IF(OR(B707="",F707=""),0,IFERROR(MATCH(E707&amp;"|"&amp;F707,SourceTable[Source_Key],0),0))</x:f>
        <x:v>0</x:v>
      </x:c>
      <x:c r="R707" s="2" t="str">
        <x:f>IF(B707="","",IF(F707="","UNUSED",IF(Q707=0,"NOT CHECKED",IF(COUNTIF(SourceTable[Source_Key],E707&amp;"|"&amp;F707)&lt;&gt;1,"SOURCE CONFLICT",IF(NOT(OR(INDEX(SourceTable[Status],MAX(1,Q707))="IMPORTED",INDEX(SourceTable[Status],MAX(1,Q707))="PARTIAL",INDEX(SourceTable[Status],MAX(1,Q707))="SOURCE CONFLICT")),"ACCESS BLOCKED",IF(OR(INDEX(SourceTable[Coverage],Q707)&lt;&gt;"FULL SEASON EXPORT",INDEX(SourceTable[URL],Q707)="",INDEX(SourceTable[SHA256],Q707)=""),"EVIDENCE INCOMPLETE",IF(AND('Input_Meci'!H64="LIVE",INDEX(SourceTable[Retrieved_UTC],Q707)&gt;'Input_Meci'!G64),"POST CUTOFF","CLOSED")))))))</x:f>
      </x:c>
      <x:c r="S707" s="2" t="n">
        <x:f>IF(OR(B707="",F707=""),0,COUNTIFS('Istoric_Nativ'!$B$6:$B$405,E707,'Istoric_Nativ'!$C$6:$C$405,F707,'Istoric_Nativ'!$E$6:$E$405,G707,'Istoric_Nativ'!$D$6:$D$405,"&lt;"&amp;J707,'Istoric_Nativ'!$O$6:$O$405,"INVALID")+COUNTIFS('Istoric_Nativ'!$B$6:$B$405,E707,'Istoric_Nativ'!$C$6:$C$405,F707,'Istoric_Nativ'!$E$6:$E$405,G707,'Istoric_Nativ'!$O$6:$O$405,"INVALID",'Istoric_Nativ'!$D$6:$D$405,"*")+COUNTIFS('Istoric_Nativ'!$B$6:$B$405,E707,'Istoric_Nativ'!$C$6:$C$405,F707,'Istoric_Nativ'!$E$6:$E$405,G707,'Istoric_Nativ'!$D$6:$D$405,"&lt;"&amp;J707,'Istoric_Nativ'!$O$6:$O$405,"SOURCE CONFLICT")+COUNTIFS('Istoric_Nativ'!$B$6:$B$405,E707,'Istoric_Nativ'!$C$6:$C$405,F707,'Istoric_Nativ'!$F$6:$F$405,G707,'Istoric_Nativ'!$D$6:$D$405,"&lt;"&amp;J707,'Istoric_Nativ'!$O$6:$O$405,"INVALID")+COUNTIFS('Istoric_Nativ'!$B$6:$B$405,E707,'Istoric_Nativ'!$C$6:$C$405,F707,'Istoric_Nativ'!$F$6:$F$405,G707,'Istoric_Nativ'!$O$6:$O$405,"INVALID",'Istoric_Nativ'!$D$6:$D$405,"*")+COUNTIFS('Istoric_Nativ'!$B$6:$B$405,E707,'Istoric_Nativ'!$C$6:$C$405,F707,'Istoric_Nativ'!$F$6:$F$405,G707,'Istoric_Nativ'!$D$6:$D$405,"&lt;"&amp;J707,'Istoric_Nativ'!$O$6:$O$405,"SOURCE CONFLICT"))</x:f>
        <x:v>0</x:v>
      </x:c>
      <x:c r="T707" s="2" t="str">
        <x:f>IF(B707="","",IF(R707&lt;&gt;"CLOSED",R707,IF(S707&gt;0,"NATIVE INPUT ISSUE",IF(M707=0,"NO HISTORY",IF(M707&lt;P707,"SMALL SAMPLE","DERIVED")))))</x:f>
      </x:c>
      <x:c r="U707" s="2" t="str">
        <x:f>IF(B707="","","NativeTable; "&amp;E707&amp;"; "&amp;F707&amp;"; "&amp;G707&amp;"; "&amp;H707&amp;"; before "&amp;TEXT(J707,"yyyy-mm-dd")&amp;IF(I707="RECENT","; from "&amp;TEXT(L707,"yyyy-mm-dd"),""))</x:f>
      </x:c>
    </x:row>
    <x:row r="708" ht="21" customHeight="1">
      <x:c r="A708" s="2" t="n">
        <x:v>59</x:v>
      </x:c>
      <x:c r="B708" s="2" t="str">
        <x:f>IF('Input_Meci'!A64="","",'Input_Meci'!A64)</x:f>
      </x:c>
      <x:c r="C708" s="2" t="str">
        <x:v>H</x:v>
      </x:c>
      <x:c r="D708" s="2" t="str">
        <x:v>PRIOR</x:v>
      </x:c>
      <x:c r="E708" s="2" t="str">
        <x:f>IF(B708="","",'Input_Meci'!B64)</x:f>
      </x:c>
      <x:c r="F708" s="2" t="str">
        <x:f>IF(B708="","",IF('Input_Meci'!K64="","",'Input_Meci'!K64))</x:f>
      </x:c>
      <x:c r="G708" s="2" t="str">
        <x:f>IF(B708="","",'Input_Meci'!D64)</x:f>
      </x:c>
      <x:c r="H708" s="2" t="str">
        <x:v>ANY</x:v>
      </x:c>
      <x:c r="I708" s="2" t="str">
        <x:v>SEASON</x:v>
      </x:c>
      <x:c r="J708" s="9" t="n">
        <x:f>IF(AND(B708&lt;&gt;"",ISNUMBER('Input_Meci'!G64)),INT('Input_Meci'!G64),0)</x:f>
        <x:v>0</x:v>
      </x:c>
      <x:c r="K708" s="2" t="n">
        <x:f>IF(OR(B708="",F708=""),0,IF(H708="HOME",COUNTIFS('Istoric_Nativ'!$B$6:$B$405,E708,'Istoric_Nativ'!$C$6:$C$405,F708,'Istoric_Nativ'!$E$6:$E$405,G708,'Istoric_Nativ'!$D$6:$D$405,"&lt;"&amp;J708,'Istoric_Nativ'!$P$6:$P$405,1),IF(H708="AWAY",COUNTIFS('Istoric_Nativ'!$B$6:$B$405,E708,'Istoric_Nativ'!$C$6:$C$405,F708,'Istoric_Nativ'!$F$6:$F$405,G708,'Istoric_Nativ'!$D$6:$D$405,"&lt;"&amp;J708,'Istoric_Nativ'!$P$6:$P$405,1),COUNTIFS('Istoric_Nativ'!$B$6:$B$405,E708,'Istoric_Nativ'!$C$6:$C$405,F708,'Istoric_Nativ'!$E$6:$E$405,G708,'Istoric_Nativ'!$D$6:$D$405,"&lt;"&amp;J708,'Istoric_Nativ'!$P$6:$P$405,1)+COUNTIFS('Istoric_Nativ'!$B$6:$B$405,E708,'Istoric_Nativ'!$C$6:$C$405,F708,'Istoric_Nativ'!$F$6:$F$405,G708,'Istoric_Nativ'!$D$6:$D$405,"&lt;"&amp;J708,'Istoric_Nativ'!$P$6:$P$405,1))))</x:f>
        <x:v>0</x:v>
      </x:c>
      <x:c r="L708" s="17" t="n">
        <x:f>IF(AND(B708&lt;&gt;"",I708="RECENT",K708&gt;0),LARGE(_xlfn._xlws.FILTER('Istoric_Nativ'!$D$6:$D$405,('Istoric_Nativ'!$B$6:$B$405=E708)*('Istoric_Nativ'!$C$6:$C$405=F708)*('Istoric_Nativ'!$P$6:$P$405=1)*('Istoric_Nativ'!$D$6:$D$405&lt;J708)*((('Istoric_Nativ'!$E$6:$E$405=G708)+('Istoric_Nativ'!$F$6:$F$405=G708))&gt;0)),MIN('Config_v6'!$B$54,K708)),0)</x:f>
        <x:v>0</x:v>
      </x:c>
      <x:c r="M708" s="2" t="n">
        <x:f>IF(OR(B708="",F708=""),0,IF(H708="HOME",COUNTIFS('Istoric_Nativ'!$B$6:$B$405,E708,'Istoric_Nativ'!$C$6:$C$405,F708,'Istoric_Nativ'!$E$6:$E$405,G708,'Istoric_Nativ'!$D$6:$D$405,"&lt;"&amp;J708,'Istoric_Nativ'!$P$6:$P$405,1,'Istoric_Nativ'!$D$6:$D$405,"&gt;="&amp;L708),IF(H708="AWAY",COUNTIFS('Istoric_Nativ'!$B$6:$B$405,E708,'Istoric_Nativ'!$C$6:$C$405,F708,'Istoric_Nativ'!$F$6:$F$405,G708,'Istoric_Nativ'!$D$6:$D$405,"&lt;"&amp;J708,'Istoric_Nativ'!$P$6:$P$405,1,'Istoric_Nativ'!$D$6:$D$405,"&gt;="&amp;L708),COUNTIFS('Istoric_Nativ'!$B$6:$B$405,E708,'Istoric_Nativ'!$C$6:$C$405,F708,'Istoric_Nativ'!$E$6:$E$405,G708,'Istoric_Nativ'!$D$6:$D$405,"&lt;"&amp;J708,'Istoric_Nativ'!$P$6:$P$405,1,'Istoric_Nativ'!$D$6:$D$405,"&gt;="&amp;L708)+COUNTIFS('Istoric_Nativ'!$B$6:$B$405,E708,'Istoric_Nativ'!$C$6:$C$405,F708,'Istoric_Nativ'!$F$6:$F$405,G708,'Istoric_Nativ'!$D$6:$D$405,"&lt;"&amp;J708,'Istoric_Nativ'!$P$6:$P$405,1,'Istoric_Nativ'!$D$6:$D$405,"&gt;="&amp;L708))))</x:f>
        <x:v>0</x:v>
      </x:c>
      <x:c r="N708" s="11" t="str">
        <x:f>IF(M708=0,"",IF(H708="HOME",SUMIFS('Istoric_Nativ'!$G$6:$G$405,'Istoric_Nativ'!$B$6:$B$405,E708,'Istoric_Nativ'!$C$6:$C$405,F708,'Istoric_Nativ'!$E$6:$E$405,G708,'Istoric_Nativ'!$D$6:$D$405,"&lt;"&amp;J708,'Istoric_Nativ'!$P$6:$P$405,1,'Istoric_Nativ'!$D$6:$D$405,"&gt;="&amp;L708),IF(H708="AWAY",SUMIFS('Istoric_Nativ'!$H$6:$H$405,'Istoric_Nativ'!$B$6:$B$405,E708,'Istoric_Nativ'!$C$6:$C$405,F708,'Istoric_Nativ'!$F$6:$F$405,G708,'Istoric_Nativ'!$D$6:$D$405,"&lt;"&amp;J708,'Istoric_Nativ'!$P$6:$P$405,1,'Istoric_Nativ'!$D$6:$D$405,"&gt;="&amp;L708),SUMIFS('Istoric_Nativ'!$G$6:$G$405,'Istoric_Nativ'!$B$6:$B$405,E708,'Istoric_Nativ'!$C$6:$C$405,F708,'Istoric_Nativ'!$E$6:$E$405,G708,'Istoric_Nativ'!$D$6:$D$405,"&lt;"&amp;J708,'Istoric_Nativ'!$P$6:$P$405,1,'Istoric_Nativ'!$D$6:$D$405,"&gt;="&amp;L708)+SUMIFS('Istoric_Nativ'!$H$6:$H$405,'Istoric_Nativ'!$B$6:$B$405,E708,'Istoric_Nativ'!$C$6:$C$405,F708,'Istoric_Nativ'!$F$6:$F$405,G708,'Istoric_Nativ'!$D$6:$D$405,"&lt;"&amp;J708,'Istoric_Nativ'!$P$6:$P$405,1,'Istoric_Nativ'!$D$6:$D$405,"&gt;="&amp;L708)))/M708)</x:f>
      </x:c>
      <x:c r="O708" s="11" t="str">
        <x:f>IF(M708=0,"",IF(H708="HOME",SUMIFS('Istoric_Nativ'!$H$6:$H$405,'Istoric_Nativ'!$B$6:$B$405,E708,'Istoric_Nativ'!$C$6:$C$405,F708,'Istoric_Nativ'!$E$6:$E$405,G708,'Istoric_Nativ'!$D$6:$D$405,"&lt;"&amp;J708,'Istoric_Nativ'!$P$6:$P$405,1,'Istoric_Nativ'!$D$6:$D$405,"&gt;="&amp;L708),IF(H708="AWAY",SUMIFS('Istoric_Nativ'!$G$6:$G$405,'Istoric_Nativ'!$B$6:$B$405,E708,'Istoric_Nativ'!$C$6:$C$405,F708,'Istoric_Nativ'!$F$6:$F$405,G708,'Istoric_Nativ'!$D$6:$D$405,"&lt;"&amp;J708,'Istoric_Nativ'!$P$6:$P$405,1,'Istoric_Nativ'!$D$6:$D$405,"&gt;="&amp;L708),SUMIFS('Istoric_Nativ'!$H$6:$H$405,'Istoric_Nativ'!$B$6:$B$405,E708,'Istoric_Nativ'!$C$6:$C$405,F708,'Istoric_Nativ'!$E$6:$E$405,G708,'Istoric_Nativ'!$D$6:$D$405,"&lt;"&amp;J708,'Istoric_Nativ'!$P$6:$P$405,1,'Istoric_Nativ'!$D$6:$D$405,"&gt;="&amp;L708)+SUMIFS('Istoric_Nativ'!$G$6:$G$405,'Istoric_Nativ'!$B$6:$B$405,E708,'Istoric_Nativ'!$C$6:$C$405,F708,'Istoric_Nativ'!$F$6:$F$405,G708,'Istoric_Nativ'!$D$6:$D$405,"&lt;"&amp;J708,'Istoric_Nativ'!$P$6:$P$405,1,'Istoric_Nativ'!$D$6:$D$405,"&gt;="&amp;L708)))/M708)</x:f>
      </x:c>
      <x:c r="P708" s="2" t="n">
        <x:f>'Config_v6'!$B$7</x:f>
        <x:v>10</x:v>
      </x:c>
      <x:c r="Q708" s="2" t="n">
        <x:f>IF(OR(B708="",F708=""),0,IFERROR(MATCH(E708&amp;"|"&amp;F708,SourceTable[Source_Key],0),0))</x:f>
        <x:v>0</x:v>
      </x:c>
      <x:c r="R708" s="2" t="str">
        <x:f>IF(B708="","",IF(F708="","UNUSED",IF(Q708=0,"NOT CHECKED",IF(COUNTIF(SourceTable[Source_Key],E708&amp;"|"&amp;F708)&lt;&gt;1,"SOURCE CONFLICT",IF(NOT(OR(INDEX(SourceTable[Status],MAX(1,Q708))="IMPORTED",INDEX(SourceTable[Status],MAX(1,Q708))="PARTIAL",INDEX(SourceTable[Status],MAX(1,Q708))="SOURCE CONFLICT")),"ACCESS BLOCKED",IF(OR(INDEX(SourceTable[Coverage],Q708)&lt;&gt;"FULL SEASON EXPORT",INDEX(SourceTable[URL],Q708)="",INDEX(SourceTable[SHA256],Q708)=""),"EVIDENCE INCOMPLETE",IF(AND('Input_Meci'!H64="LIVE",INDEX(SourceTable[Retrieved_UTC],Q708)&gt;'Input_Meci'!G64),"POST CUTOFF","CLOSED")))))))</x:f>
      </x:c>
      <x:c r="S708" s="2" t="n">
        <x:f>IF(OR(B708="",F708=""),0,COUNTIFS('Istoric_Nativ'!$B$6:$B$405,E708,'Istoric_Nativ'!$C$6:$C$405,F708,'Istoric_Nativ'!$E$6:$E$405,G708,'Istoric_Nativ'!$D$6:$D$405,"&lt;"&amp;J708,'Istoric_Nativ'!$O$6:$O$405,"INVALID")+COUNTIFS('Istoric_Nativ'!$B$6:$B$405,E708,'Istoric_Nativ'!$C$6:$C$405,F708,'Istoric_Nativ'!$E$6:$E$405,G708,'Istoric_Nativ'!$O$6:$O$405,"INVALID",'Istoric_Nativ'!$D$6:$D$405,"*")+COUNTIFS('Istoric_Nativ'!$B$6:$B$405,E708,'Istoric_Nativ'!$C$6:$C$405,F708,'Istoric_Nativ'!$E$6:$E$405,G708,'Istoric_Nativ'!$D$6:$D$405,"&lt;"&amp;J708,'Istoric_Nativ'!$O$6:$O$405,"SOURCE CONFLICT")+COUNTIFS('Istoric_Nativ'!$B$6:$B$405,E708,'Istoric_Nativ'!$C$6:$C$405,F708,'Istoric_Nativ'!$F$6:$F$405,G708,'Istoric_Nativ'!$D$6:$D$405,"&lt;"&amp;J708,'Istoric_Nativ'!$O$6:$O$405,"INVALID")+COUNTIFS('Istoric_Nativ'!$B$6:$B$405,E708,'Istoric_Nativ'!$C$6:$C$405,F708,'Istoric_Nativ'!$F$6:$F$405,G708,'Istoric_Nativ'!$O$6:$O$405,"INVALID",'Istoric_Nativ'!$D$6:$D$405,"*")+COUNTIFS('Istoric_Nativ'!$B$6:$B$405,E708,'Istoric_Nativ'!$C$6:$C$405,F708,'Istoric_Nativ'!$F$6:$F$405,G708,'Istoric_Nativ'!$D$6:$D$405,"&lt;"&amp;J708,'Istoric_Nativ'!$O$6:$O$405,"SOURCE CONFLICT"))</x:f>
        <x:v>0</x:v>
      </x:c>
      <x:c r="T708" s="2" t="str">
        <x:f>IF(B708="","",IF(R708&lt;&gt;"CLOSED",R708,IF(S708&gt;0,"NATIVE INPUT ISSUE",IF(M708=0,"NO HISTORY",IF(M708&lt;P708,"SMALL SAMPLE","DERIVED")))))</x:f>
      </x:c>
      <x:c r="U708" s="2" t="str">
        <x:f>IF(B708="","","NativeTable; "&amp;E708&amp;"; "&amp;F708&amp;"; "&amp;G708&amp;"; "&amp;H708&amp;"; before "&amp;TEXT(J708,"yyyy-mm-dd")&amp;IF(I708="RECENT","; from "&amp;TEXT(L708,"yyyy-mm-dd"),""))</x:f>
      </x:c>
    </x:row>
    <x:row r="709" ht="21" customHeight="1">
      <x:c r="A709" s="2" t="n">
        <x:v>59</x:v>
      </x:c>
      <x:c r="B709" s="2" t="str">
        <x:f>IF('Input_Meci'!A64="","",'Input_Meci'!A64)</x:f>
      </x:c>
      <x:c r="C709" s="2" t="str">
        <x:v>H</x:v>
      </x:c>
      <x:c r="D709" s="2" t="str">
        <x:v>PRIOR</x:v>
      </x:c>
      <x:c r="E709" s="2" t="str">
        <x:f>IF(B709="","",'Input_Meci'!B64)</x:f>
      </x:c>
      <x:c r="F709" s="2" t="str">
        <x:f>IF(B709="","",IF('Input_Meci'!K64="","",'Input_Meci'!K64))</x:f>
      </x:c>
      <x:c r="G709" s="2" t="str">
        <x:f>IF(B709="","",'Input_Meci'!D64)</x:f>
      </x:c>
      <x:c r="H709" s="2" t="str">
        <x:v>HOME</x:v>
      </x:c>
      <x:c r="I709" s="2" t="str">
        <x:v>HA</x:v>
      </x:c>
      <x:c r="J709" s="9" t="n">
        <x:f>IF(AND(B709&lt;&gt;"",ISNUMBER('Input_Meci'!G64)),INT('Input_Meci'!G64),0)</x:f>
        <x:v>0</x:v>
      </x:c>
      <x:c r="K709" s="2" t="n">
        <x:f>IF(OR(B709="",F709=""),0,IF(H709="HOME",COUNTIFS('Istoric_Nativ'!$B$6:$B$405,E709,'Istoric_Nativ'!$C$6:$C$405,F709,'Istoric_Nativ'!$E$6:$E$405,G709,'Istoric_Nativ'!$D$6:$D$405,"&lt;"&amp;J709,'Istoric_Nativ'!$P$6:$P$405,1),IF(H709="AWAY",COUNTIFS('Istoric_Nativ'!$B$6:$B$405,E709,'Istoric_Nativ'!$C$6:$C$405,F709,'Istoric_Nativ'!$F$6:$F$405,G709,'Istoric_Nativ'!$D$6:$D$405,"&lt;"&amp;J709,'Istoric_Nativ'!$P$6:$P$405,1),COUNTIFS('Istoric_Nativ'!$B$6:$B$405,E709,'Istoric_Nativ'!$C$6:$C$405,F709,'Istoric_Nativ'!$E$6:$E$405,G709,'Istoric_Nativ'!$D$6:$D$405,"&lt;"&amp;J709,'Istoric_Nativ'!$P$6:$P$405,1)+COUNTIFS('Istoric_Nativ'!$B$6:$B$405,E709,'Istoric_Nativ'!$C$6:$C$405,F709,'Istoric_Nativ'!$F$6:$F$405,G709,'Istoric_Nativ'!$D$6:$D$405,"&lt;"&amp;J709,'Istoric_Nativ'!$P$6:$P$405,1))))</x:f>
        <x:v>0</x:v>
      </x:c>
      <x:c r="L709" s="17" t="n">
        <x:f>IF(AND(B709&lt;&gt;"",I709="RECENT",K709&gt;0),LARGE(_xlfn._xlws.FILTER('Istoric_Nativ'!$D$6:$D$405,('Istoric_Nativ'!$B$6:$B$405=E709)*('Istoric_Nativ'!$C$6:$C$405=F709)*('Istoric_Nativ'!$P$6:$P$405=1)*('Istoric_Nativ'!$D$6:$D$405&lt;J709)*((('Istoric_Nativ'!$E$6:$E$405=G709)+('Istoric_Nativ'!$F$6:$F$405=G709))&gt;0)),MIN('Config_v6'!$B$54,K709)),0)</x:f>
        <x:v>0</x:v>
      </x:c>
      <x:c r="M709" s="2" t="n">
        <x:f>IF(OR(B709="",F709=""),0,IF(H709="HOME",COUNTIFS('Istoric_Nativ'!$B$6:$B$405,E709,'Istoric_Nativ'!$C$6:$C$405,F709,'Istoric_Nativ'!$E$6:$E$405,G709,'Istoric_Nativ'!$D$6:$D$405,"&lt;"&amp;J709,'Istoric_Nativ'!$P$6:$P$405,1,'Istoric_Nativ'!$D$6:$D$405,"&gt;="&amp;L709),IF(H709="AWAY",COUNTIFS('Istoric_Nativ'!$B$6:$B$405,E709,'Istoric_Nativ'!$C$6:$C$405,F709,'Istoric_Nativ'!$F$6:$F$405,G709,'Istoric_Nativ'!$D$6:$D$405,"&lt;"&amp;J709,'Istoric_Nativ'!$P$6:$P$405,1,'Istoric_Nativ'!$D$6:$D$405,"&gt;="&amp;L709),COUNTIFS('Istoric_Nativ'!$B$6:$B$405,E709,'Istoric_Nativ'!$C$6:$C$405,F709,'Istoric_Nativ'!$E$6:$E$405,G709,'Istoric_Nativ'!$D$6:$D$405,"&lt;"&amp;J709,'Istoric_Nativ'!$P$6:$P$405,1,'Istoric_Nativ'!$D$6:$D$405,"&gt;="&amp;L709)+COUNTIFS('Istoric_Nativ'!$B$6:$B$405,E709,'Istoric_Nativ'!$C$6:$C$405,F709,'Istoric_Nativ'!$F$6:$F$405,G709,'Istoric_Nativ'!$D$6:$D$405,"&lt;"&amp;J709,'Istoric_Nativ'!$P$6:$P$405,1,'Istoric_Nativ'!$D$6:$D$405,"&gt;="&amp;L709))))</x:f>
        <x:v>0</x:v>
      </x:c>
      <x:c r="N709" s="11" t="str">
        <x:f>IF(M709=0,"",IF(H709="HOME",SUMIFS('Istoric_Nativ'!$G$6:$G$405,'Istoric_Nativ'!$B$6:$B$405,E709,'Istoric_Nativ'!$C$6:$C$405,F709,'Istoric_Nativ'!$E$6:$E$405,G709,'Istoric_Nativ'!$D$6:$D$405,"&lt;"&amp;J709,'Istoric_Nativ'!$P$6:$P$405,1,'Istoric_Nativ'!$D$6:$D$405,"&gt;="&amp;L709),IF(H709="AWAY",SUMIFS('Istoric_Nativ'!$H$6:$H$405,'Istoric_Nativ'!$B$6:$B$405,E709,'Istoric_Nativ'!$C$6:$C$405,F709,'Istoric_Nativ'!$F$6:$F$405,G709,'Istoric_Nativ'!$D$6:$D$405,"&lt;"&amp;J709,'Istoric_Nativ'!$P$6:$P$405,1,'Istoric_Nativ'!$D$6:$D$405,"&gt;="&amp;L709),SUMIFS('Istoric_Nativ'!$G$6:$G$405,'Istoric_Nativ'!$B$6:$B$405,E709,'Istoric_Nativ'!$C$6:$C$405,F709,'Istoric_Nativ'!$E$6:$E$405,G709,'Istoric_Nativ'!$D$6:$D$405,"&lt;"&amp;J709,'Istoric_Nativ'!$P$6:$P$405,1,'Istoric_Nativ'!$D$6:$D$405,"&gt;="&amp;L709)+SUMIFS('Istoric_Nativ'!$H$6:$H$405,'Istoric_Nativ'!$B$6:$B$405,E709,'Istoric_Nativ'!$C$6:$C$405,F709,'Istoric_Nativ'!$F$6:$F$405,G709,'Istoric_Nativ'!$D$6:$D$405,"&lt;"&amp;J709,'Istoric_Nativ'!$P$6:$P$405,1,'Istoric_Nativ'!$D$6:$D$405,"&gt;="&amp;L709)))/M709)</x:f>
      </x:c>
      <x:c r="O709" s="11" t="str">
        <x:f>IF(M709=0,"",IF(H709="HOME",SUMIFS('Istoric_Nativ'!$H$6:$H$405,'Istoric_Nativ'!$B$6:$B$405,E709,'Istoric_Nativ'!$C$6:$C$405,F709,'Istoric_Nativ'!$E$6:$E$405,G709,'Istoric_Nativ'!$D$6:$D$405,"&lt;"&amp;J709,'Istoric_Nativ'!$P$6:$P$405,1,'Istoric_Nativ'!$D$6:$D$405,"&gt;="&amp;L709),IF(H709="AWAY",SUMIFS('Istoric_Nativ'!$G$6:$G$405,'Istoric_Nativ'!$B$6:$B$405,E709,'Istoric_Nativ'!$C$6:$C$405,F709,'Istoric_Nativ'!$F$6:$F$405,G709,'Istoric_Nativ'!$D$6:$D$405,"&lt;"&amp;J709,'Istoric_Nativ'!$P$6:$P$405,1,'Istoric_Nativ'!$D$6:$D$405,"&gt;="&amp;L709),SUMIFS('Istoric_Nativ'!$H$6:$H$405,'Istoric_Nativ'!$B$6:$B$405,E709,'Istoric_Nativ'!$C$6:$C$405,F709,'Istoric_Nativ'!$E$6:$E$405,G709,'Istoric_Nativ'!$D$6:$D$405,"&lt;"&amp;J709,'Istoric_Nativ'!$P$6:$P$405,1,'Istoric_Nativ'!$D$6:$D$405,"&gt;="&amp;L709)+SUMIFS('Istoric_Nativ'!$G$6:$G$405,'Istoric_Nativ'!$B$6:$B$405,E709,'Istoric_Nativ'!$C$6:$C$405,F709,'Istoric_Nativ'!$F$6:$F$405,G709,'Istoric_Nativ'!$D$6:$D$405,"&lt;"&amp;J709,'Istoric_Nativ'!$P$6:$P$405,1,'Istoric_Nativ'!$D$6:$D$405,"&gt;="&amp;L709)))/M709)</x:f>
      </x:c>
      <x:c r="P709" s="2" t="n">
        <x:f>'Config_v6'!$B$8</x:f>
        <x:v>5</x:v>
      </x:c>
      <x:c r="Q709" s="2" t="n">
        <x:f>IF(OR(B709="",F709=""),0,IFERROR(MATCH(E709&amp;"|"&amp;F709,SourceTable[Source_Key],0),0))</x:f>
        <x:v>0</x:v>
      </x:c>
      <x:c r="R709" s="2" t="str">
        <x:f>IF(B709="","",IF(F709="","UNUSED",IF(Q709=0,"NOT CHECKED",IF(COUNTIF(SourceTable[Source_Key],E709&amp;"|"&amp;F709)&lt;&gt;1,"SOURCE CONFLICT",IF(NOT(OR(INDEX(SourceTable[Status],MAX(1,Q709))="IMPORTED",INDEX(SourceTable[Status],MAX(1,Q709))="PARTIAL",INDEX(SourceTable[Status],MAX(1,Q709))="SOURCE CONFLICT")),"ACCESS BLOCKED",IF(OR(INDEX(SourceTable[Coverage],Q709)&lt;&gt;"FULL SEASON EXPORT",INDEX(SourceTable[URL],Q709)="",INDEX(SourceTable[SHA256],Q709)=""),"EVIDENCE INCOMPLETE",IF(AND('Input_Meci'!H64="LIVE",INDEX(SourceTable[Retrieved_UTC],Q709)&gt;'Input_Meci'!G64),"POST CUTOFF","CLOSED")))))))</x:f>
      </x:c>
      <x:c r="S709" s="2" t="n">
        <x:f>IF(OR(B709="",F709=""),0,COUNTIFS('Istoric_Nativ'!$B$6:$B$405,E709,'Istoric_Nativ'!$C$6:$C$405,F709,'Istoric_Nativ'!$E$6:$E$405,G709,'Istoric_Nativ'!$D$6:$D$405,"&lt;"&amp;J709,'Istoric_Nativ'!$O$6:$O$405,"INVALID")+COUNTIFS('Istoric_Nativ'!$B$6:$B$405,E709,'Istoric_Nativ'!$C$6:$C$405,F709,'Istoric_Nativ'!$E$6:$E$405,G709,'Istoric_Nativ'!$O$6:$O$405,"INVALID",'Istoric_Nativ'!$D$6:$D$405,"*")+COUNTIFS('Istoric_Nativ'!$B$6:$B$405,E709,'Istoric_Nativ'!$C$6:$C$405,F709,'Istoric_Nativ'!$E$6:$E$405,G709,'Istoric_Nativ'!$D$6:$D$405,"&lt;"&amp;J709,'Istoric_Nativ'!$O$6:$O$405,"SOURCE CONFLICT")+COUNTIFS('Istoric_Nativ'!$B$6:$B$405,E709,'Istoric_Nativ'!$C$6:$C$405,F709,'Istoric_Nativ'!$F$6:$F$405,G709,'Istoric_Nativ'!$D$6:$D$405,"&lt;"&amp;J709,'Istoric_Nativ'!$O$6:$O$405,"INVALID")+COUNTIFS('Istoric_Nativ'!$B$6:$B$405,E709,'Istoric_Nativ'!$C$6:$C$405,F709,'Istoric_Nativ'!$F$6:$F$405,G709,'Istoric_Nativ'!$O$6:$O$405,"INVALID",'Istoric_Nativ'!$D$6:$D$405,"*")+COUNTIFS('Istoric_Nativ'!$B$6:$B$405,E709,'Istoric_Nativ'!$C$6:$C$405,F709,'Istoric_Nativ'!$F$6:$F$405,G709,'Istoric_Nativ'!$D$6:$D$405,"&lt;"&amp;J709,'Istoric_Nativ'!$O$6:$O$405,"SOURCE CONFLICT"))</x:f>
        <x:v>0</x:v>
      </x:c>
      <x:c r="T709" s="2" t="str">
        <x:f>IF(B709="","",IF(R709&lt;&gt;"CLOSED",R709,IF(S709&gt;0,"NATIVE INPUT ISSUE",IF(M709=0,"NO HISTORY",IF(M709&lt;P709,"SMALL SAMPLE","DERIVED")))))</x:f>
      </x:c>
      <x:c r="U709" s="2" t="str">
        <x:f>IF(B709="","","NativeTable; "&amp;E709&amp;"; "&amp;F709&amp;"; "&amp;G709&amp;"; "&amp;H709&amp;"; before "&amp;TEXT(J709,"yyyy-mm-dd")&amp;IF(I709="RECENT","; from "&amp;TEXT(L709,"yyyy-mm-dd"),""))</x:f>
      </x:c>
    </x:row>
    <x:row r="710" ht="21" customHeight="1">
      <x:c r="A710" s="2" t="n">
        <x:v>59</x:v>
      </x:c>
      <x:c r="B710" s="2" t="str">
        <x:f>IF('Input_Meci'!A64="","",'Input_Meci'!A64)</x:f>
      </x:c>
      <x:c r="C710" s="2" t="str">
        <x:v>H</x:v>
      </x:c>
      <x:c r="D710" s="2" t="str">
        <x:v>PRIOR</x:v>
      </x:c>
      <x:c r="E710" s="2" t="str">
        <x:f>IF(B710="","",'Input_Meci'!B64)</x:f>
      </x:c>
      <x:c r="F710" s="2" t="str">
        <x:f>IF(B710="","",IF('Input_Meci'!K64="","",'Input_Meci'!K64))</x:f>
      </x:c>
      <x:c r="G710" s="2" t="str">
        <x:f>IF(B710="","",'Input_Meci'!D64)</x:f>
      </x:c>
      <x:c r="H710" s="2" t="str">
        <x:v>ANY</x:v>
      </x:c>
      <x:c r="I710" s="2" t="str">
        <x:v>RECENT</x:v>
      </x:c>
      <x:c r="J710" s="9" t="n">
        <x:f>IF(AND(B710&lt;&gt;"",ISNUMBER('Input_Meci'!G64)),INT('Input_Meci'!G64),0)</x:f>
        <x:v>0</x:v>
      </x:c>
      <x:c r="K710" s="2" t="n">
        <x:f>IF(OR(B710="",F710=""),0,IF(H710="HOME",COUNTIFS('Istoric_Nativ'!$B$6:$B$405,E710,'Istoric_Nativ'!$C$6:$C$405,F710,'Istoric_Nativ'!$E$6:$E$405,G710,'Istoric_Nativ'!$D$6:$D$405,"&lt;"&amp;J710,'Istoric_Nativ'!$P$6:$P$405,1),IF(H710="AWAY",COUNTIFS('Istoric_Nativ'!$B$6:$B$405,E710,'Istoric_Nativ'!$C$6:$C$405,F710,'Istoric_Nativ'!$F$6:$F$405,G710,'Istoric_Nativ'!$D$6:$D$405,"&lt;"&amp;J710,'Istoric_Nativ'!$P$6:$P$405,1),COUNTIFS('Istoric_Nativ'!$B$6:$B$405,E710,'Istoric_Nativ'!$C$6:$C$405,F710,'Istoric_Nativ'!$E$6:$E$405,G710,'Istoric_Nativ'!$D$6:$D$405,"&lt;"&amp;J710,'Istoric_Nativ'!$P$6:$P$405,1)+COUNTIFS('Istoric_Nativ'!$B$6:$B$405,E710,'Istoric_Nativ'!$C$6:$C$405,F710,'Istoric_Nativ'!$F$6:$F$405,G710,'Istoric_Nativ'!$D$6:$D$405,"&lt;"&amp;J710,'Istoric_Nativ'!$P$6:$P$405,1))))</x:f>
        <x:v>0</x:v>
      </x:c>
      <x:c r="L710" s="17" t="n">
        <x:f>IF(AND(B710&lt;&gt;"",I710="RECENT",K710&gt;0),LARGE(_xlfn._xlws.FILTER('Istoric_Nativ'!$D$6:$D$405,('Istoric_Nativ'!$B$6:$B$405=E710)*('Istoric_Nativ'!$C$6:$C$405=F710)*('Istoric_Nativ'!$P$6:$P$405=1)*('Istoric_Nativ'!$D$6:$D$405&lt;J710)*((('Istoric_Nativ'!$E$6:$E$405=G710)+('Istoric_Nativ'!$F$6:$F$405=G710))&gt;0)),MIN('Config_v6'!$B$54,K710)),0)</x:f>
        <x:v>0</x:v>
      </x:c>
      <x:c r="M710" s="2" t="n">
        <x:f>IF(OR(B710="",F710=""),0,IF(H710="HOME",COUNTIFS('Istoric_Nativ'!$B$6:$B$405,E710,'Istoric_Nativ'!$C$6:$C$405,F710,'Istoric_Nativ'!$E$6:$E$405,G710,'Istoric_Nativ'!$D$6:$D$405,"&lt;"&amp;J710,'Istoric_Nativ'!$P$6:$P$405,1,'Istoric_Nativ'!$D$6:$D$405,"&gt;="&amp;L710),IF(H710="AWAY",COUNTIFS('Istoric_Nativ'!$B$6:$B$405,E710,'Istoric_Nativ'!$C$6:$C$405,F710,'Istoric_Nativ'!$F$6:$F$405,G710,'Istoric_Nativ'!$D$6:$D$405,"&lt;"&amp;J710,'Istoric_Nativ'!$P$6:$P$405,1,'Istoric_Nativ'!$D$6:$D$405,"&gt;="&amp;L710),COUNTIFS('Istoric_Nativ'!$B$6:$B$405,E710,'Istoric_Nativ'!$C$6:$C$405,F710,'Istoric_Nativ'!$E$6:$E$405,G710,'Istoric_Nativ'!$D$6:$D$405,"&lt;"&amp;J710,'Istoric_Nativ'!$P$6:$P$405,1,'Istoric_Nativ'!$D$6:$D$405,"&gt;="&amp;L710)+COUNTIFS('Istoric_Nativ'!$B$6:$B$405,E710,'Istoric_Nativ'!$C$6:$C$405,F710,'Istoric_Nativ'!$F$6:$F$405,G710,'Istoric_Nativ'!$D$6:$D$405,"&lt;"&amp;J710,'Istoric_Nativ'!$P$6:$P$405,1,'Istoric_Nativ'!$D$6:$D$405,"&gt;="&amp;L710))))</x:f>
        <x:v>0</x:v>
      </x:c>
      <x:c r="N710" s="11" t="str">
        <x:f>IF(M710=0,"",IF(H710="HOME",SUMIFS('Istoric_Nativ'!$G$6:$G$405,'Istoric_Nativ'!$B$6:$B$405,E710,'Istoric_Nativ'!$C$6:$C$405,F710,'Istoric_Nativ'!$E$6:$E$405,G710,'Istoric_Nativ'!$D$6:$D$405,"&lt;"&amp;J710,'Istoric_Nativ'!$P$6:$P$405,1,'Istoric_Nativ'!$D$6:$D$405,"&gt;="&amp;L710),IF(H710="AWAY",SUMIFS('Istoric_Nativ'!$H$6:$H$405,'Istoric_Nativ'!$B$6:$B$405,E710,'Istoric_Nativ'!$C$6:$C$405,F710,'Istoric_Nativ'!$F$6:$F$405,G710,'Istoric_Nativ'!$D$6:$D$405,"&lt;"&amp;J710,'Istoric_Nativ'!$P$6:$P$405,1,'Istoric_Nativ'!$D$6:$D$405,"&gt;="&amp;L710),SUMIFS('Istoric_Nativ'!$G$6:$G$405,'Istoric_Nativ'!$B$6:$B$405,E710,'Istoric_Nativ'!$C$6:$C$405,F710,'Istoric_Nativ'!$E$6:$E$405,G710,'Istoric_Nativ'!$D$6:$D$405,"&lt;"&amp;J710,'Istoric_Nativ'!$P$6:$P$405,1,'Istoric_Nativ'!$D$6:$D$405,"&gt;="&amp;L710)+SUMIFS('Istoric_Nativ'!$H$6:$H$405,'Istoric_Nativ'!$B$6:$B$405,E710,'Istoric_Nativ'!$C$6:$C$405,F710,'Istoric_Nativ'!$F$6:$F$405,G710,'Istoric_Nativ'!$D$6:$D$405,"&lt;"&amp;J710,'Istoric_Nativ'!$P$6:$P$405,1,'Istoric_Nativ'!$D$6:$D$405,"&gt;="&amp;L710)))/M710)</x:f>
      </x:c>
      <x:c r="O710" s="11" t="str">
        <x:f>IF(M710=0,"",IF(H710="HOME",SUMIFS('Istoric_Nativ'!$H$6:$H$405,'Istoric_Nativ'!$B$6:$B$405,E710,'Istoric_Nativ'!$C$6:$C$405,F710,'Istoric_Nativ'!$E$6:$E$405,G710,'Istoric_Nativ'!$D$6:$D$405,"&lt;"&amp;J710,'Istoric_Nativ'!$P$6:$P$405,1,'Istoric_Nativ'!$D$6:$D$405,"&gt;="&amp;L710),IF(H710="AWAY",SUMIFS('Istoric_Nativ'!$G$6:$G$405,'Istoric_Nativ'!$B$6:$B$405,E710,'Istoric_Nativ'!$C$6:$C$405,F710,'Istoric_Nativ'!$F$6:$F$405,G710,'Istoric_Nativ'!$D$6:$D$405,"&lt;"&amp;J710,'Istoric_Nativ'!$P$6:$P$405,1,'Istoric_Nativ'!$D$6:$D$405,"&gt;="&amp;L710),SUMIFS('Istoric_Nativ'!$H$6:$H$405,'Istoric_Nativ'!$B$6:$B$405,E710,'Istoric_Nativ'!$C$6:$C$405,F710,'Istoric_Nativ'!$E$6:$E$405,G710,'Istoric_Nativ'!$D$6:$D$405,"&lt;"&amp;J710,'Istoric_Nativ'!$P$6:$P$405,1,'Istoric_Nativ'!$D$6:$D$405,"&gt;="&amp;L710)+SUMIFS('Istoric_Nativ'!$G$6:$G$405,'Istoric_Nativ'!$B$6:$B$405,E710,'Istoric_Nativ'!$C$6:$C$405,F710,'Istoric_Nativ'!$F$6:$F$405,G710,'Istoric_Nativ'!$D$6:$D$405,"&lt;"&amp;J710,'Istoric_Nativ'!$P$6:$P$405,1,'Istoric_Nativ'!$D$6:$D$405,"&gt;="&amp;L710)))/M710)</x:f>
      </x:c>
      <x:c r="P710" s="2" t="n">
        <x:f>'Config_v6'!$B$9</x:f>
        <x:v>3</x:v>
      </x:c>
      <x:c r="Q710" s="2" t="n">
        <x:f>IF(OR(B710="",F710=""),0,IFERROR(MATCH(E710&amp;"|"&amp;F710,SourceTable[Source_Key],0),0))</x:f>
        <x:v>0</x:v>
      </x:c>
      <x:c r="R710" s="2" t="str">
        <x:f>IF(B710="","",IF(F710="","UNUSED",IF(Q710=0,"NOT CHECKED",IF(COUNTIF(SourceTable[Source_Key],E710&amp;"|"&amp;F710)&lt;&gt;1,"SOURCE CONFLICT",IF(NOT(OR(INDEX(SourceTable[Status],MAX(1,Q710))="IMPORTED",INDEX(SourceTable[Status],MAX(1,Q710))="PARTIAL",INDEX(SourceTable[Status],MAX(1,Q710))="SOURCE CONFLICT")),"ACCESS BLOCKED",IF(OR(INDEX(SourceTable[Coverage],Q710)&lt;&gt;"FULL SEASON EXPORT",INDEX(SourceTable[URL],Q710)="",INDEX(SourceTable[SHA256],Q710)=""),"EVIDENCE INCOMPLETE",IF(AND('Input_Meci'!H64="LIVE",INDEX(SourceTable[Retrieved_UTC],Q710)&gt;'Input_Meci'!G64),"POST CUTOFF","CLOSED")))))))</x:f>
      </x:c>
      <x:c r="S710" s="2" t="n">
        <x:f>IF(OR(B710="",F710=""),0,COUNTIFS('Istoric_Nativ'!$B$6:$B$405,E710,'Istoric_Nativ'!$C$6:$C$405,F710,'Istoric_Nativ'!$E$6:$E$405,G710,'Istoric_Nativ'!$D$6:$D$405,"&lt;"&amp;J710,'Istoric_Nativ'!$O$6:$O$405,"INVALID")+COUNTIFS('Istoric_Nativ'!$B$6:$B$405,E710,'Istoric_Nativ'!$C$6:$C$405,F710,'Istoric_Nativ'!$E$6:$E$405,G710,'Istoric_Nativ'!$O$6:$O$405,"INVALID",'Istoric_Nativ'!$D$6:$D$405,"*")+COUNTIFS('Istoric_Nativ'!$B$6:$B$405,E710,'Istoric_Nativ'!$C$6:$C$405,F710,'Istoric_Nativ'!$E$6:$E$405,G710,'Istoric_Nativ'!$D$6:$D$405,"&lt;"&amp;J710,'Istoric_Nativ'!$O$6:$O$405,"SOURCE CONFLICT")+COUNTIFS('Istoric_Nativ'!$B$6:$B$405,E710,'Istoric_Nativ'!$C$6:$C$405,F710,'Istoric_Nativ'!$F$6:$F$405,G710,'Istoric_Nativ'!$D$6:$D$405,"&lt;"&amp;J710,'Istoric_Nativ'!$O$6:$O$405,"INVALID")+COUNTIFS('Istoric_Nativ'!$B$6:$B$405,E710,'Istoric_Nativ'!$C$6:$C$405,F710,'Istoric_Nativ'!$F$6:$F$405,G710,'Istoric_Nativ'!$O$6:$O$405,"INVALID",'Istoric_Nativ'!$D$6:$D$405,"*")+COUNTIFS('Istoric_Nativ'!$B$6:$B$405,E710,'Istoric_Nativ'!$C$6:$C$405,F710,'Istoric_Nativ'!$F$6:$F$405,G710,'Istoric_Nativ'!$D$6:$D$405,"&lt;"&amp;J710,'Istoric_Nativ'!$O$6:$O$405,"SOURCE CONFLICT"))</x:f>
        <x:v>0</x:v>
      </x:c>
      <x:c r="T710" s="2" t="str">
        <x:f>IF(B710="","",IF(R710&lt;&gt;"CLOSED",R710,IF(S710&gt;0,"NATIVE INPUT ISSUE",IF(M710=0,"NO HISTORY",IF(M710&lt;P710,"SMALL SAMPLE","DERIVED")))))</x:f>
      </x:c>
      <x:c r="U710" s="2" t="str">
        <x:f>IF(B710="","","NativeTable; "&amp;E710&amp;"; "&amp;F710&amp;"; "&amp;G710&amp;"; "&amp;H710&amp;"; before "&amp;TEXT(J710,"yyyy-mm-dd")&amp;IF(I710="RECENT","; from "&amp;TEXT(L710,"yyyy-mm-dd"),""))</x:f>
      </x:c>
    </x:row>
    <x:row r="711" ht="21" customHeight="1">
      <x:c r="A711" s="2" t="n">
        <x:v>59</x:v>
      </x:c>
      <x:c r="B711" s="2" t="str">
        <x:f>IF('Input_Meci'!A64="","",'Input_Meci'!A64)</x:f>
      </x:c>
      <x:c r="C711" s="2" t="str">
        <x:v>A</x:v>
      </x:c>
      <x:c r="D711" s="2" t="str">
        <x:v>PRIOR</x:v>
      </x:c>
      <x:c r="E711" s="2" t="str">
        <x:f>IF(B711="","",'Input_Meci'!B64)</x:f>
      </x:c>
      <x:c r="F711" s="2" t="str">
        <x:f>IF(B711="","",IF('Input_Meci'!K64="","",'Input_Meci'!K64))</x:f>
      </x:c>
      <x:c r="G711" s="2" t="str">
        <x:f>IF(B711="","",'Input_Meci'!E64)</x:f>
      </x:c>
      <x:c r="H711" s="2" t="str">
        <x:v>ANY</x:v>
      </x:c>
      <x:c r="I711" s="2" t="str">
        <x:v>SEASON</x:v>
      </x:c>
      <x:c r="J711" s="9" t="n">
        <x:f>IF(AND(B711&lt;&gt;"",ISNUMBER('Input_Meci'!G64)),INT('Input_Meci'!G64),0)</x:f>
        <x:v>0</x:v>
      </x:c>
      <x:c r="K711" s="2" t="n">
        <x:f>IF(OR(B711="",F711=""),0,IF(H711="HOME",COUNTIFS('Istoric_Nativ'!$B$6:$B$405,E711,'Istoric_Nativ'!$C$6:$C$405,F711,'Istoric_Nativ'!$E$6:$E$405,G711,'Istoric_Nativ'!$D$6:$D$405,"&lt;"&amp;J711,'Istoric_Nativ'!$P$6:$P$405,1),IF(H711="AWAY",COUNTIFS('Istoric_Nativ'!$B$6:$B$405,E711,'Istoric_Nativ'!$C$6:$C$405,F711,'Istoric_Nativ'!$F$6:$F$405,G711,'Istoric_Nativ'!$D$6:$D$405,"&lt;"&amp;J711,'Istoric_Nativ'!$P$6:$P$405,1),COUNTIFS('Istoric_Nativ'!$B$6:$B$405,E711,'Istoric_Nativ'!$C$6:$C$405,F711,'Istoric_Nativ'!$E$6:$E$405,G711,'Istoric_Nativ'!$D$6:$D$405,"&lt;"&amp;J711,'Istoric_Nativ'!$P$6:$P$405,1)+COUNTIFS('Istoric_Nativ'!$B$6:$B$405,E711,'Istoric_Nativ'!$C$6:$C$405,F711,'Istoric_Nativ'!$F$6:$F$405,G711,'Istoric_Nativ'!$D$6:$D$405,"&lt;"&amp;J711,'Istoric_Nativ'!$P$6:$P$405,1))))</x:f>
        <x:v>0</x:v>
      </x:c>
      <x:c r="L711" s="17" t="n">
        <x:f>IF(AND(B711&lt;&gt;"",I711="RECENT",K711&gt;0),LARGE(_xlfn._xlws.FILTER('Istoric_Nativ'!$D$6:$D$405,('Istoric_Nativ'!$B$6:$B$405=E711)*('Istoric_Nativ'!$C$6:$C$405=F711)*('Istoric_Nativ'!$P$6:$P$405=1)*('Istoric_Nativ'!$D$6:$D$405&lt;J711)*((('Istoric_Nativ'!$E$6:$E$405=G711)+('Istoric_Nativ'!$F$6:$F$405=G711))&gt;0)),MIN('Config_v6'!$B$54,K711)),0)</x:f>
        <x:v>0</x:v>
      </x:c>
      <x:c r="M711" s="2" t="n">
        <x:f>IF(OR(B711="",F711=""),0,IF(H711="HOME",COUNTIFS('Istoric_Nativ'!$B$6:$B$405,E711,'Istoric_Nativ'!$C$6:$C$405,F711,'Istoric_Nativ'!$E$6:$E$405,G711,'Istoric_Nativ'!$D$6:$D$405,"&lt;"&amp;J711,'Istoric_Nativ'!$P$6:$P$405,1,'Istoric_Nativ'!$D$6:$D$405,"&gt;="&amp;L711),IF(H711="AWAY",COUNTIFS('Istoric_Nativ'!$B$6:$B$405,E711,'Istoric_Nativ'!$C$6:$C$405,F711,'Istoric_Nativ'!$F$6:$F$405,G711,'Istoric_Nativ'!$D$6:$D$405,"&lt;"&amp;J711,'Istoric_Nativ'!$P$6:$P$405,1,'Istoric_Nativ'!$D$6:$D$405,"&gt;="&amp;L711),COUNTIFS('Istoric_Nativ'!$B$6:$B$405,E711,'Istoric_Nativ'!$C$6:$C$405,F711,'Istoric_Nativ'!$E$6:$E$405,G711,'Istoric_Nativ'!$D$6:$D$405,"&lt;"&amp;J711,'Istoric_Nativ'!$P$6:$P$405,1,'Istoric_Nativ'!$D$6:$D$405,"&gt;="&amp;L711)+COUNTIFS('Istoric_Nativ'!$B$6:$B$405,E711,'Istoric_Nativ'!$C$6:$C$405,F711,'Istoric_Nativ'!$F$6:$F$405,G711,'Istoric_Nativ'!$D$6:$D$405,"&lt;"&amp;J711,'Istoric_Nativ'!$P$6:$P$405,1,'Istoric_Nativ'!$D$6:$D$405,"&gt;="&amp;L711))))</x:f>
        <x:v>0</x:v>
      </x:c>
      <x:c r="N711" s="11" t="str">
        <x:f>IF(M711=0,"",IF(H711="HOME",SUMIFS('Istoric_Nativ'!$G$6:$G$405,'Istoric_Nativ'!$B$6:$B$405,E711,'Istoric_Nativ'!$C$6:$C$405,F711,'Istoric_Nativ'!$E$6:$E$405,G711,'Istoric_Nativ'!$D$6:$D$405,"&lt;"&amp;J711,'Istoric_Nativ'!$P$6:$P$405,1,'Istoric_Nativ'!$D$6:$D$405,"&gt;="&amp;L711),IF(H711="AWAY",SUMIFS('Istoric_Nativ'!$H$6:$H$405,'Istoric_Nativ'!$B$6:$B$405,E711,'Istoric_Nativ'!$C$6:$C$405,F711,'Istoric_Nativ'!$F$6:$F$405,G711,'Istoric_Nativ'!$D$6:$D$405,"&lt;"&amp;J711,'Istoric_Nativ'!$P$6:$P$405,1,'Istoric_Nativ'!$D$6:$D$405,"&gt;="&amp;L711),SUMIFS('Istoric_Nativ'!$G$6:$G$405,'Istoric_Nativ'!$B$6:$B$405,E711,'Istoric_Nativ'!$C$6:$C$405,F711,'Istoric_Nativ'!$E$6:$E$405,G711,'Istoric_Nativ'!$D$6:$D$405,"&lt;"&amp;J711,'Istoric_Nativ'!$P$6:$P$405,1,'Istoric_Nativ'!$D$6:$D$405,"&gt;="&amp;L711)+SUMIFS('Istoric_Nativ'!$H$6:$H$405,'Istoric_Nativ'!$B$6:$B$405,E711,'Istoric_Nativ'!$C$6:$C$405,F711,'Istoric_Nativ'!$F$6:$F$405,G711,'Istoric_Nativ'!$D$6:$D$405,"&lt;"&amp;J711,'Istoric_Nativ'!$P$6:$P$405,1,'Istoric_Nativ'!$D$6:$D$405,"&gt;="&amp;L711)))/M711)</x:f>
      </x:c>
      <x:c r="O711" s="11" t="str">
        <x:f>IF(M711=0,"",IF(H711="HOME",SUMIFS('Istoric_Nativ'!$H$6:$H$405,'Istoric_Nativ'!$B$6:$B$405,E711,'Istoric_Nativ'!$C$6:$C$405,F711,'Istoric_Nativ'!$E$6:$E$405,G711,'Istoric_Nativ'!$D$6:$D$405,"&lt;"&amp;J711,'Istoric_Nativ'!$P$6:$P$405,1,'Istoric_Nativ'!$D$6:$D$405,"&gt;="&amp;L711),IF(H711="AWAY",SUMIFS('Istoric_Nativ'!$G$6:$G$405,'Istoric_Nativ'!$B$6:$B$405,E711,'Istoric_Nativ'!$C$6:$C$405,F711,'Istoric_Nativ'!$F$6:$F$405,G711,'Istoric_Nativ'!$D$6:$D$405,"&lt;"&amp;J711,'Istoric_Nativ'!$P$6:$P$405,1,'Istoric_Nativ'!$D$6:$D$405,"&gt;="&amp;L711),SUMIFS('Istoric_Nativ'!$H$6:$H$405,'Istoric_Nativ'!$B$6:$B$405,E711,'Istoric_Nativ'!$C$6:$C$405,F711,'Istoric_Nativ'!$E$6:$E$405,G711,'Istoric_Nativ'!$D$6:$D$405,"&lt;"&amp;J711,'Istoric_Nativ'!$P$6:$P$405,1,'Istoric_Nativ'!$D$6:$D$405,"&gt;="&amp;L711)+SUMIFS('Istoric_Nativ'!$G$6:$G$405,'Istoric_Nativ'!$B$6:$B$405,E711,'Istoric_Nativ'!$C$6:$C$405,F711,'Istoric_Nativ'!$F$6:$F$405,G711,'Istoric_Nativ'!$D$6:$D$405,"&lt;"&amp;J711,'Istoric_Nativ'!$P$6:$P$405,1,'Istoric_Nativ'!$D$6:$D$405,"&gt;="&amp;L711)))/M711)</x:f>
      </x:c>
      <x:c r="P711" s="2" t="n">
        <x:f>'Config_v6'!$B$7</x:f>
        <x:v>10</x:v>
      </x:c>
      <x:c r="Q711" s="2" t="n">
        <x:f>IF(OR(B711="",F711=""),0,IFERROR(MATCH(E711&amp;"|"&amp;F711,SourceTable[Source_Key],0),0))</x:f>
        <x:v>0</x:v>
      </x:c>
      <x:c r="R711" s="2" t="str">
        <x:f>IF(B711="","",IF(F711="","UNUSED",IF(Q711=0,"NOT CHECKED",IF(COUNTIF(SourceTable[Source_Key],E711&amp;"|"&amp;F711)&lt;&gt;1,"SOURCE CONFLICT",IF(NOT(OR(INDEX(SourceTable[Status],MAX(1,Q711))="IMPORTED",INDEX(SourceTable[Status],MAX(1,Q711))="PARTIAL",INDEX(SourceTable[Status],MAX(1,Q711))="SOURCE CONFLICT")),"ACCESS BLOCKED",IF(OR(INDEX(SourceTable[Coverage],Q711)&lt;&gt;"FULL SEASON EXPORT",INDEX(SourceTable[URL],Q711)="",INDEX(SourceTable[SHA256],Q711)=""),"EVIDENCE INCOMPLETE",IF(AND('Input_Meci'!H64="LIVE",INDEX(SourceTable[Retrieved_UTC],Q711)&gt;'Input_Meci'!G64),"POST CUTOFF","CLOSED")))))))</x:f>
      </x:c>
      <x:c r="S711" s="2" t="n">
        <x:f>IF(OR(B711="",F711=""),0,COUNTIFS('Istoric_Nativ'!$B$6:$B$405,E711,'Istoric_Nativ'!$C$6:$C$405,F711,'Istoric_Nativ'!$E$6:$E$405,G711,'Istoric_Nativ'!$D$6:$D$405,"&lt;"&amp;J711,'Istoric_Nativ'!$O$6:$O$405,"INVALID")+COUNTIFS('Istoric_Nativ'!$B$6:$B$405,E711,'Istoric_Nativ'!$C$6:$C$405,F711,'Istoric_Nativ'!$E$6:$E$405,G711,'Istoric_Nativ'!$O$6:$O$405,"INVALID",'Istoric_Nativ'!$D$6:$D$405,"*")+COUNTIFS('Istoric_Nativ'!$B$6:$B$405,E711,'Istoric_Nativ'!$C$6:$C$405,F711,'Istoric_Nativ'!$E$6:$E$405,G711,'Istoric_Nativ'!$D$6:$D$405,"&lt;"&amp;J711,'Istoric_Nativ'!$O$6:$O$405,"SOURCE CONFLICT")+COUNTIFS('Istoric_Nativ'!$B$6:$B$405,E711,'Istoric_Nativ'!$C$6:$C$405,F711,'Istoric_Nativ'!$F$6:$F$405,G711,'Istoric_Nativ'!$D$6:$D$405,"&lt;"&amp;J711,'Istoric_Nativ'!$O$6:$O$405,"INVALID")+COUNTIFS('Istoric_Nativ'!$B$6:$B$405,E711,'Istoric_Nativ'!$C$6:$C$405,F711,'Istoric_Nativ'!$F$6:$F$405,G711,'Istoric_Nativ'!$O$6:$O$405,"INVALID",'Istoric_Nativ'!$D$6:$D$405,"*")+COUNTIFS('Istoric_Nativ'!$B$6:$B$405,E711,'Istoric_Nativ'!$C$6:$C$405,F711,'Istoric_Nativ'!$F$6:$F$405,G711,'Istoric_Nativ'!$D$6:$D$405,"&lt;"&amp;J711,'Istoric_Nativ'!$O$6:$O$405,"SOURCE CONFLICT"))</x:f>
        <x:v>0</x:v>
      </x:c>
      <x:c r="T711" s="2" t="str">
        <x:f>IF(B711="","",IF(R711&lt;&gt;"CLOSED",R711,IF(S711&gt;0,"NATIVE INPUT ISSUE",IF(M711=0,"NO HISTORY",IF(M711&lt;P711,"SMALL SAMPLE","DERIVED")))))</x:f>
      </x:c>
      <x:c r="U711" s="2" t="str">
        <x:f>IF(B711="","","NativeTable; "&amp;E711&amp;"; "&amp;F711&amp;"; "&amp;G711&amp;"; "&amp;H711&amp;"; before "&amp;TEXT(J711,"yyyy-mm-dd")&amp;IF(I711="RECENT","; from "&amp;TEXT(L711,"yyyy-mm-dd"),""))</x:f>
      </x:c>
    </x:row>
    <x:row r="712" ht="21" customHeight="1">
      <x:c r="A712" s="2" t="n">
        <x:v>59</x:v>
      </x:c>
      <x:c r="B712" s="2" t="str">
        <x:f>IF('Input_Meci'!A64="","",'Input_Meci'!A64)</x:f>
      </x:c>
      <x:c r="C712" s="2" t="str">
        <x:v>A</x:v>
      </x:c>
      <x:c r="D712" s="2" t="str">
        <x:v>PRIOR</x:v>
      </x:c>
      <x:c r="E712" s="2" t="str">
        <x:f>IF(B712="","",'Input_Meci'!B64)</x:f>
      </x:c>
      <x:c r="F712" s="2" t="str">
        <x:f>IF(B712="","",IF('Input_Meci'!K64="","",'Input_Meci'!K64))</x:f>
      </x:c>
      <x:c r="G712" s="2" t="str">
        <x:f>IF(B712="","",'Input_Meci'!E64)</x:f>
      </x:c>
      <x:c r="H712" s="2" t="str">
        <x:v>AWAY</x:v>
      </x:c>
      <x:c r="I712" s="2" t="str">
        <x:v>HA</x:v>
      </x:c>
      <x:c r="J712" s="9" t="n">
        <x:f>IF(AND(B712&lt;&gt;"",ISNUMBER('Input_Meci'!G64)),INT('Input_Meci'!G64),0)</x:f>
        <x:v>0</x:v>
      </x:c>
      <x:c r="K712" s="2" t="n">
        <x:f>IF(OR(B712="",F712=""),0,IF(H712="HOME",COUNTIFS('Istoric_Nativ'!$B$6:$B$405,E712,'Istoric_Nativ'!$C$6:$C$405,F712,'Istoric_Nativ'!$E$6:$E$405,G712,'Istoric_Nativ'!$D$6:$D$405,"&lt;"&amp;J712,'Istoric_Nativ'!$P$6:$P$405,1),IF(H712="AWAY",COUNTIFS('Istoric_Nativ'!$B$6:$B$405,E712,'Istoric_Nativ'!$C$6:$C$405,F712,'Istoric_Nativ'!$F$6:$F$405,G712,'Istoric_Nativ'!$D$6:$D$405,"&lt;"&amp;J712,'Istoric_Nativ'!$P$6:$P$405,1),COUNTIFS('Istoric_Nativ'!$B$6:$B$405,E712,'Istoric_Nativ'!$C$6:$C$405,F712,'Istoric_Nativ'!$E$6:$E$405,G712,'Istoric_Nativ'!$D$6:$D$405,"&lt;"&amp;J712,'Istoric_Nativ'!$P$6:$P$405,1)+COUNTIFS('Istoric_Nativ'!$B$6:$B$405,E712,'Istoric_Nativ'!$C$6:$C$405,F712,'Istoric_Nativ'!$F$6:$F$405,G712,'Istoric_Nativ'!$D$6:$D$405,"&lt;"&amp;J712,'Istoric_Nativ'!$P$6:$P$405,1))))</x:f>
        <x:v>0</x:v>
      </x:c>
      <x:c r="L712" s="17" t="n">
        <x:f>IF(AND(B712&lt;&gt;"",I712="RECENT",K712&gt;0),LARGE(_xlfn._xlws.FILTER('Istoric_Nativ'!$D$6:$D$405,('Istoric_Nativ'!$B$6:$B$405=E712)*('Istoric_Nativ'!$C$6:$C$405=F712)*('Istoric_Nativ'!$P$6:$P$405=1)*('Istoric_Nativ'!$D$6:$D$405&lt;J712)*((('Istoric_Nativ'!$E$6:$E$405=G712)+('Istoric_Nativ'!$F$6:$F$405=G712))&gt;0)),MIN('Config_v6'!$B$54,K712)),0)</x:f>
        <x:v>0</x:v>
      </x:c>
      <x:c r="M712" s="2" t="n">
        <x:f>IF(OR(B712="",F712=""),0,IF(H712="HOME",COUNTIFS('Istoric_Nativ'!$B$6:$B$405,E712,'Istoric_Nativ'!$C$6:$C$405,F712,'Istoric_Nativ'!$E$6:$E$405,G712,'Istoric_Nativ'!$D$6:$D$405,"&lt;"&amp;J712,'Istoric_Nativ'!$P$6:$P$405,1,'Istoric_Nativ'!$D$6:$D$405,"&gt;="&amp;L712),IF(H712="AWAY",COUNTIFS('Istoric_Nativ'!$B$6:$B$405,E712,'Istoric_Nativ'!$C$6:$C$405,F712,'Istoric_Nativ'!$F$6:$F$405,G712,'Istoric_Nativ'!$D$6:$D$405,"&lt;"&amp;J712,'Istoric_Nativ'!$P$6:$P$405,1,'Istoric_Nativ'!$D$6:$D$405,"&gt;="&amp;L712),COUNTIFS('Istoric_Nativ'!$B$6:$B$405,E712,'Istoric_Nativ'!$C$6:$C$405,F712,'Istoric_Nativ'!$E$6:$E$405,G712,'Istoric_Nativ'!$D$6:$D$405,"&lt;"&amp;J712,'Istoric_Nativ'!$P$6:$P$405,1,'Istoric_Nativ'!$D$6:$D$405,"&gt;="&amp;L712)+COUNTIFS('Istoric_Nativ'!$B$6:$B$405,E712,'Istoric_Nativ'!$C$6:$C$405,F712,'Istoric_Nativ'!$F$6:$F$405,G712,'Istoric_Nativ'!$D$6:$D$405,"&lt;"&amp;J712,'Istoric_Nativ'!$P$6:$P$405,1,'Istoric_Nativ'!$D$6:$D$405,"&gt;="&amp;L712))))</x:f>
        <x:v>0</x:v>
      </x:c>
      <x:c r="N712" s="11" t="str">
        <x:f>IF(M712=0,"",IF(H712="HOME",SUMIFS('Istoric_Nativ'!$G$6:$G$405,'Istoric_Nativ'!$B$6:$B$405,E712,'Istoric_Nativ'!$C$6:$C$405,F712,'Istoric_Nativ'!$E$6:$E$405,G712,'Istoric_Nativ'!$D$6:$D$405,"&lt;"&amp;J712,'Istoric_Nativ'!$P$6:$P$405,1,'Istoric_Nativ'!$D$6:$D$405,"&gt;="&amp;L712),IF(H712="AWAY",SUMIFS('Istoric_Nativ'!$H$6:$H$405,'Istoric_Nativ'!$B$6:$B$405,E712,'Istoric_Nativ'!$C$6:$C$405,F712,'Istoric_Nativ'!$F$6:$F$405,G712,'Istoric_Nativ'!$D$6:$D$405,"&lt;"&amp;J712,'Istoric_Nativ'!$P$6:$P$405,1,'Istoric_Nativ'!$D$6:$D$405,"&gt;="&amp;L712),SUMIFS('Istoric_Nativ'!$G$6:$G$405,'Istoric_Nativ'!$B$6:$B$405,E712,'Istoric_Nativ'!$C$6:$C$405,F712,'Istoric_Nativ'!$E$6:$E$405,G712,'Istoric_Nativ'!$D$6:$D$405,"&lt;"&amp;J712,'Istoric_Nativ'!$P$6:$P$405,1,'Istoric_Nativ'!$D$6:$D$405,"&gt;="&amp;L712)+SUMIFS('Istoric_Nativ'!$H$6:$H$405,'Istoric_Nativ'!$B$6:$B$405,E712,'Istoric_Nativ'!$C$6:$C$405,F712,'Istoric_Nativ'!$F$6:$F$405,G712,'Istoric_Nativ'!$D$6:$D$405,"&lt;"&amp;J712,'Istoric_Nativ'!$P$6:$P$405,1,'Istoric_Nativ'!$D$6:$D$405,"&gt;="&amp;L712)))/M712)</x:f>
      </x:c>
      <x:c r="O712" s="11" t="str">
        <x:f>IF(M712=0,"",IF(H712="HOME",SUMIFS('Istoric_Nativ'!$H$6:$H$405,'Istoric_Nativ'!$B$6:$B$405,E712,'Istoric_Nativ'!$C$6:$C$405,F712,'Istoric_Nativ'!$E$6:$E$405,G712,'Istoric_Nativ'!$D$6:$D$405,"&lt;"&amp;J712,'Istoric_Nativ'!$P$6:$P$405,1,'Istoric_Nativ'!$D$6:$D$405,"&gt;="&amp;L712),IF(H712="AWAY",SUMIFS('Istoric_Nativ'!$G$6:$G$405,'Istoric_Nativ'!$B$6:$B$405,E712,'Istoric_Nativ'!$C$6:$C$405,F712,'Istoric_Nativ'!$F$6:$F$405,G712,'Istoric_Nativ'!$D$6:$D$405,"&lt;"&amp;J712,'Istoric_Nativ'!$P$6:$P$405,1,'Istoric_Nativ'!$D$6:$D$405,"&gt;="&amp;L712),SUMIFS('Istoric_Nativ'!$H$6:$H$405,'Istoric_Nativ'!$B$6:$B$405,E712,'Istoric_Nativ'!$C$6:$C$405,F712,'Istoric_Nativ'!$E$6:$E$405,G712,'Istoric_Nativ'!$D$6:$D$405,"&lt;"&amp;J712,'Istoric_Nativ'!$P$6:$P$405,1,'Istoric_Nativ'!$D$6:$D$405,"&gt;="&amp;L712)+SUMIFS('Istoric_Nativ'!$G$6:$G$405,'Istoric_Nativ'!$B$6:$B$405,E712,'Istoric_Nativ'!$C$6:$C$405,F712,'Istoric_Nativ'!$F$6:$F$405,G712,'Istoric_Nativ'!$D$6:$D$405,"&lt;"&amp;J712,'Istoric_Nativ'!$P$6:$P$405,1,'Istoric_Nativ'!$D$6:$D$405,"&gt;="&amp;L712)))/M712)</x:f>
      </x:c>
      <x:c r="P712" s="2" t="n">
        <x:f>'Config_v6'!$B$8</x:f>
        <x:v>5</x:v>
      </x:c>
      <x:c r="Q712" s="2" t="n">
        <x:f>IF(OR(B712="",F712=""),0,IFERROR(MATCH(E712&amp;"|"&amp;F712,SourceTable[Source_Key],0),0))</x:f>
        <x:v>0</x:v>
      </x:c>
      <x:c r="R712" s="2" t="str">
        <x:f>IF(B712="","",IF(F712="","UNUSED",IF(Q712=0,"NOT CHECKED",IF(COUNTIF(SourceTable[Source_Key],E712&amp;"|"&amp;F712)&lt;&gt;1,"SOURCE CONFLICT",IF(NOT(OR(INDEX(SourceTable[Status],MAX(1,Q712))="IMPORTED",INDEX(SourceTable[Status],MAX(1,Q712))="PARTIAL",INDEX(SourceTable[Status],MAX(1,Q712))="SOURCE CONFLICT")),"ACCESS BLOCKED",IF(OR(INDEX(SourceTable[Coverage],Q712)&lt;&gt;"FULL SEASON EXPORT",INDEX(SourceTable[URL],Q712)="",INDEX(SourceTable[SHA256],Q712)=""),"EVIDENCE INCOMPLETE",IF(AND('Input_Meci'!H64="LIVE",INDEX(SourceTable[Retrieved_UTC],Q712)&gt;'Input_Meci'!G64),"POST CUTOFF","CLOSED")))))))</x:f>
      </x:c>
      <x:c r="S712" s="2" t="n">
        <x:f>IF(OR(B712="",F712=""),0,COUNTIFS('Istoric_Nativ'!$B$6:$B$405,E712,'Istoric_Nativ'!$C$6:$C$405,F712,'Istoric_Nativ'!$E$6:$E$405,G712,'Istoric_Nativ'!$D$6:$D$405,"&lt;"&amp;J712,'Istoric_Nativ'!$O$6:$O$405,"INVALID")+COUNTIFS('Istoric_Nativ'!$B$6:$B$405,E712,'Istoric_Nativ'!$C$6:$C$405,F712,'Istoric_Nativ'!$E$6:$E$405,G712,'Istoric_Nativ'!$O$6:$O$405,"INVALID",'Istoric_Nativ'!$D$6:$D$405,"*")+COUNTIFS('Istoric_Nativ'!$B$6:$B$405,E712,'Istoric_Nativ'!$C$6:$C$405,F712,'Istoric_Nativ'!$E$6:$E$405,G712,'Istoric_Nativ'!$D$6:$D$405,"&lt;"&amp;J712,'Istoric_Nativ'!$O$6:$O$405,"SOURCE CONFLICT")+COUNTIFS('Istoric_Nativ'!$B$6:$B$405,E712,'Istoric_Nativ'!$C$6:$C$405,F712,'Istoric_Nativ'!$F$6:$F$405,G712,'Istoric_Nativ'!$D$6:$D$405,"&lt;"&amp;J712,'Istoric_Nativ'!$O$6:$O$405,"INVALID")+COUNTIFS('Istoric_Nativ'!$B$6:$B$405,E712,'Istoric_Nativ'!$C$6:$C$405,F712,'Istoric_Nativ'!$F$6:$F$405,G712,'Istoric_Nativ'!$O$6:$O$405,"INVALID",'Istoric_Nativ'!$D$6:$D$405,"*")+COUNTIFS('Istoric_Nativ'!$B$6:$B$405,E712,'Istoric_Nativ'!$C$6:$C$405,F712,'Istoric_Nativ'!$F$6:$F$405,G712,'Istoric_Nativ'!$D$6:$D$405,"&lt;"&amp;J712,'Istoric_Nativ'!$O$6:$O$405,"SOURCE CONFLICT"))</x:f>
        <x:v>0</x:v>
      </x:c>
      <x:c r="T712" s="2" t="str">
        <x:f>IF(B712="","",IF(R712&lt;&gt;"CLOSED",R712,IF(S712&gt;0,"NATIVE INPUT ISSUE",IF(M712=0,"NO HISTORY",IF(M712&lt;P712,"SMALL SAMPLE","DERIVED")))))</x:f>
      </x:c>
      <x:c r="U712" s="2" t="str">
        <x:f>IF(B712="","","NativeTable; "&amp;E712&amp;"; "&amp;F712&amp;"; "&amp;G712&amp;"; "&amp;H712&amp;"; before "&amp;TEXT(J712,"yyyy-mm-dd")&amp;IF(I712="RECENT","; from "&amp;TEXT(L712,"yyyy-mm-dd"),""))</x:f>
      </x:c>
    </x:row>
    <x:row r="713" ht="21" customHeight="1">
      <x:c r="A713" s="2" t="n">
        <x:v>59</x:v>
      </x:c>
      <x:c r="B713" s="2" t="str">
        <x:f>IF('Input_Meci'!A64="","",'Input_Meci'!A64)</x:f>
      </x:c>
      <x:c r="C713" s="2" t="str">
        <x:v>A</x:v>
      </x:c>
      <x:c r="D713" s="2" t="str">
        <x:v>PRIOR</x:v>
      </x:c>
      <x:c r="E713" s="2" t="str">
        <x:f>IF(B713="","",'Input_Meci'!B64)</x:f>
      </x:c>
      <x:c r="F713" s="2" t="str">
        <x:f>IF(B713="","",IF('Input_Meci'!K64="","",'Input_Meci'!K64))</x:f>
      </x:c>
      <x:c r="G713" s="2" t="str">
        <x:f>IF(B713="","",'Input_Meci'!E64)</x:f>
      </x:c>
      <x:c r="H713" s="2" t="str">
        <x:v>ANY</x:v>
      </x:c>
      <x:c r="I713" s="2" t="str">
        <x:v>RECENT</x:v>
      </x:c>
      <x:c r="J713" s="9" t="n">
        <x:f>IF(AND(B713&lt;&gt;"",ISNUMBER('Input_Meci'!G64)),INT('Input_Meci'!G64),0)</x:f>
        <x:v>0</x:v>
      </x:c>
      <x:c r="K713" s="2" t="n">
        <x:f>IF(OR(B713="",F713=""),0,IF(H713="HOME",COUNTIFS('Istoric_Nativ'!$B$6:$B$405,E713,'Istoric_Nativ'!$C$6:$C$405,F713,'Istoric_Nativ'!$E$6:$E$405,G713,'Istoric_Nativ'!$D$6:$D$405,"&lt;"&amp;J713,'Istoric_Nativ'!$P$6:$P$405,1),IF(H713="AWAY",COUNTIFS('Istoric_Nativ'!$B$6:$B$405,E713,'Istoric_Nativ'!$C$6:$C$405,F713,'Istoric_Nativ'!$F$6:$F$405,G713,'Istoric_Nativ'!$D$6:$D$405,"&lt;"&amp;J713,'Istoric_Nativ'!$P$6:$P$405,1),COUNTIFS('Istoric_Nativ'!$B$6:$B$405,E713,'Istoric_Nativ'!$C$6:$C$405,F713,'Istoric_Nativ'!$E$6:$E$405,G713,'Istoric_Nativ'!$D$6:$D$405,"&lt;"&amp;J713,'Istoric_Nativ'!$P$6:$P$405,1)+COUNTIFS('Istoric_Nativ'!$B$6:$B$405,E713,'Istoric_Nativ'!$C$6:$C$405,F713,'Istoric_Nativ'!$F$6:$F$405,G713,'Istoric_Nativ'!$D$6:$D$405,"&lt;"&amp;J713,'Istoric_Nativ'!$P$6:$P$405,1))))</x:f>
        <x:v>0</x:v>
      </x:c>
      <x:c r="L713" s="17" t="n">
        <x:f>IF(AND(B713&lt;&gt;"",I713="RECENT",K713&gt;0),LARGE(_xlfn._xlws.FILTER('Istoric_Nativ'!$D$6:$D$405,('Istoric_Nativ'!$B$6:$B$405=E713)*('Istoric_Nativ'!$C$6:$C$405=F713)*('Istoric_Nativ'!$P$6:$P$405=1)*('Istoric_Nativ'!$D$6:$D$405&lt;J713)*((('Istoric_Nativ'!$E$6:$E$405=G713)+('Istoric_Nativ'!$F$6:$F$405=G713))&gt;0)),MIN('Config_v6'!$B$54,K713)),0)</x:f>
        <x:v>0</x:v>
      </x:c>
      <x:c r="M713" s="2" t="n">
        <x:f>IF(OR(B713="",F713=""),0,IF(H713="HOME",COUNTIFS('Istoric_Nativ'!$B$6:$B$405,E713,'Istoric_Nativ'!$C$6:$C$405,F713,'Istoric_Nativ'!$E$6:$E$405,G713,'Istoric_Nativ'!$D$6:$D$405,"&lt;"&amp;J713,'Istoric_Nativ'!$P$6:$P$405,1,'Istoric_Nativ'!$D$6:$D$405,"&gt;="&amp;L713),IF(H713="AWAY",COUNTIFS('Istoric_Nativ'!$B$6:$B$405,E713,'Istoric_Nativ'!$C$6:$C$405,F713,'Istoric_Nativ'!$F$6:$F$405,G713,'Istoric_Nativ'!$D$6:$D$405,"&lt;"&amp;J713,'Istoric_Nativ'!$P$6:$P$405,1,'Istoric_Nativ'!$D$6:$D$405,"&gt;="&amp;L713),COUNTIFS('Istoric_Nativ'!$B$6:$B$405,E713,'Istoric_Nativ'!$C$6:$C$405,F713,'Istoric_Nativ'!$E$6:$E$405,G713,'Istoric_Nativ'!$D$6:$D$405,"&lt;"&amp;J713,'Istoric_Nativ'!$P$6:$P$405,1,'Istoric_Nativ'!$D$6:$D$405,"&gt;="&amp;L713)+COUNTIFS('Istoric_Nativ'!$B$6:$B$405,E713,'Istoric_Nativ'!$C$6:$C$405,F713,'Istoric_Nativ'!$F$6:$F$405,G713,'Istoric_Nativ'!$D$6:$D$405,"&lt;"&amp;J713,'Istoric_Nativ'!$P$6:$P$405,1,'Istoric_Nativ'!$D$6:$D$405,"&gt;="&amp;L713))))</x:f>
        <x:v>0</x:v>
      </x:c>
      <x:c r="N713" s="11" t="str">
        <x:f>IF(M713=0,"",IF(H713="HOME",SUMIFS('Istoric_Nativ'!$G$6:$G$405,'Istoric_Nativ'!$B$6:$B$405,E713,'Istoric_Nativ'!$C$6:$C$405,F713,'Istoric_Nativ'!$E$6:$E$405,G713,'Istoric_Nativ'!$D$6:$D$405,"&lt;"&amp;J713,'Istoric_Nativ'!$P$6:$P$405,1,'Istoric_Nativ'!$D$6:$D$405,"&gt;="&amp;L713),IF(H713="AWAY",SUMIFS('Istoric_Nativ'!$H$6:$H$405,'Istoric_Nativ'!$B$6:$B$405,E713,'Istoric_Nativ'!$C$6:$C$405,F713,'Istoric_Nativ'!$F$6:$F$405,G713,'Istoric_Nativ'!$D$6:$D$405,"&lt;"&amp;J713,'Istoric_Nativ'!$P$6:$P$405,1,'Istoric_Nativ'!$D$6:$D$405,"&gt;="&amp;L713),SUMIFS('Istoric_Nativ'!$G$6:$G$405,'Istoric_Nativ'!$B$6:$B$405,E713,'Istoric_Nativ'!$C$6:$C$405,F713,'Istoric_Nativ'!$E$6:$E$405,G713,'Istoric_Nativ'!$D$6:$D$405,"&lt;"&amp;J713,'Istoric_Nativ'!$P$6:$P$405,1,'Istoric_Nativ'!$D$6:$D$405,"&gt;="&amp;L713)+SUMIFS('Istoric_Nativ'!$H$6:$H$405,'Istoric_Nativ'!$B$6:$B$405,E713,'Istoric_Nativ'!$C$6:$C$405,F713,'Istoric_Nativ'!$F$6:$F$405,G713,'Istoric_Nativ'!$D$6:$D$405,"&lt;"&amp;J713,'Istoric_Nativ'!$P$6:$P$405,1,'Istoric_Nativ'!$D$6:$D$405,"&gt;="&amp;L713)))/M713)</x:f>
      </x:c>
      <x:c r="O713" s="11" t="str">
        <x:f>IF(M713=0,"",IF(H713="HOME",SUMIFS('Istoric_Nativ'!$H$6:$H$405,'Istoric_Nativ'!$B$6:$B$405,E713,'Istoric_Nativ'!$C$6:$C$405,F713,'Istoric_Nativ'!$E$6:$E$405,G713,'Istoric_Nativ'!$D$6:$D$405,"&lt;"&amp;J713,'Istoric_Nativ'!$P$6:$P$405,1,'Istoric_Nativ'!$D$6:$D$405,"&gt;="&amp;L713),IF(H713="AWAY",SUMIFS('Istoric_Nativ'!$G$6:$G$405,'Istoric_Nativ'!$B$6:$B$405,E713,'Istoric_Nativ'!$C$6:$C$405,F713,'Istoric_Nativ'!$F$6:$F$405,G713,'Istoric_Nativ'!$D$6:$D$405,"&lt;"&amp;J713,'Istoric_Nativ'!$P$6:$P$405,1,'Istoric_Nativ'!$D$6:$D$405,"&gt;="&amp;L713),SUMIFS('Istoric_Nativ'!$H$6:$H$405,'Istoric_Nativ'!$B$6:$B$405,E713,'Istoric_Nativ'!$C$6:$C$405,F713,'Istoric_Nativ'!$E$6:$E$405,G713,'Istoric_Nativ'!$D$6:$D$405,"&lt;"&amp;J713,'Istoric_Nativ'!$P$6:$P$405,1,'Istoric_Nativ'!$D$6:$D$405,"&gt;="&amp;L713)+SUMIFS('Istoric_Nativ'!$G$6:$G$405,'Istoric_Nativ'!$B$6:$B$405,E713,'Istoric_Nativ'!$C$6:$C$405,F713,'Istoric_Nativ'!$F$6:$F$405,G713,'Istoric_Nativ'!$D$6:$D$405,"&lt;"&amp;J713,'Istoric_Nativ'!$P$6:$P$405,1,'Istoric_Nativ'!$D$6:$D$405,"&gt;="&amp;L713)))/M713)</x:f>
      </x:c>
      <x:c r="P713" s="2" t="n">
        <x:f>'Config_v6'!$B$9</x:f>
        <x:v>3</x:v>
      </x:c>
      <x:c r="Q713" s="2" t="n">
        <x:f>IF(OR(B713="",F713=""),0,IFERROR(MATCH(E713&amp;"|"&amp;F713,SourceTable[Source_Key],0),0))</x:f>
        <x:v>0</x:v>
      </x:c>
      <x:c r="R713" s="2" t="str">
        <x:f>IF(B713="","",IF(F713="","UNUSED",IF(Q713=0,"NOT CHECKED",IF(COUNTIF(SourceTable[Source_Key],E713&amp;"|"&amp;F713)&lt;&gt;1,"SOURCE CONFLICT",IF(NOT(OR(INDEX(SourceTable[Status],MAX(1,Q713))="IMPORTED",INDEX(SourceTable[Status],MAX(1,Q713))="PARTIAL",INDEX(SourceTable[Status],MAX(1,Q713))="SOURCE CONFLICT")),"ACCESS BLOCKED",IF(OR(INDEX(SourceTable[Coverage],Q713)&lt;&gt;"FULL SEASON EXPORT",INDEX(SourceTable[URL],Q713)="",INDEX(SourceTable[SHA256],Q713)=""),"EVIDENCE INCOMPLETE",IF(AND('Input_Meci'!H64="LIVE",INDEX(SourceTable[Retrieved_UTC],Q713)&gt;'Input_Meci'!G64),"POST CUTOFF","CLOSED")))))))</x:f>
      </x:c>
      <x:c r="S713" s="2" t="n">
        <x:f>IF(OR(B713="",F713=""),0,COUNTIFS('Istoric_Nativ'!$B$6:$B$405,E713,'Istoric_Nativ'!$C$6:$C$405,F713,'Istoric_Nativ'!$E$6:$E$405,G713,'Istoric_Nativ'!$D$6:$D$405,"&lt;"&amp;J713,'Istoric_Nativ'!$O$6:$O$405,"INVALID")+COUNTIFS('Istoric_Nativ'!$B$6:$B$405,E713,'Istoric_Nativ'!$C$6:$C$405,F713,'Istoric_Nativ'!$E$6:$E$405,G713,'Istoric_Nativ'!$O$6:$O$405,"INVALID",'Istoric_Nativ'!$D$6:$D$405,"*")+COUNTIFS('Istoric_Nativ'!$B$6:$B$405,E713,'Istoric_Nativ'!$C$6:$C$405,F713,'Istoric_Nativ'!$E$6:$E$405,G713,'Istoric_Nativ'!$D$6:$D$405,"&lt;"&amp;J713,'Istoric_Nativ'!$O$6:$O$405,"SOURCE CONFLICT")+COUNTIFS('Istoric_Nativ'!$B$6:$B$405,E713,'Istoric_Nativ'!$C$6:$C$405,F713,'Istoric_Nativ'!$F$6:$F$405,G713,'Istoric_Nativ'!$D$6:$D$405,"&lt;"&amp;J713,'Istoric_Nativ'!$O$6:$O$405,"INVALID")+COUNTIFS('Istoric_Nativ'!$B$6:$B$405,E713,'Istoric_Nativ'!$C$6:$C$405,F713,'Istoric_Nativ'!$F$6:$F$405,G713,'Istoric_Nativ'!$O$6:$O$405,"INVALID",'Istoric_Nativ'!$D$6:$D$405,"*")+COUNTIFS('Istoric_Nativ'!$B$6:$B$405,E713,'Istoric_Nativ'!$C$6:$C$405,F713,'Istoric_Nativ'!$F$6:$F$405,G713,'Istoric_Nativ'!$D$6:$D$405,"&lt;"&amp;J713,'Istoric_Nativ'!$O$6:$O$405,"SOURCE CONFLICT"))</x:f>
        <x:v>0</x:v>
      </x:c>
      <x:c r="T713" s="2" t="str">
        <x:f>IF(B713="","",IF(R713&lt;&gt;"CLOSED",R713,IF(S713&gt;0,"NATIVE INPUT ISSUE",IF(M713=0,"NO HISTORY",IF(M713&lt;P713,"SMALL SAMPLE","DERIVED")))))</x:f>
      </x:c>
      <x:c r="U713" s="2" t="str">
        <x:f>IF(B713="","","NativeTable; "&amp;E713&amp;"; "&amp;F713&amp;"; "&amp;G713&amp;"; "&amp;H713&amp;"; before "&amp;TEXT(J713,"yyyy-mm-dd")&amp;IF(I713="RECENT","; from "&amp;TEXT(L713,"yyyy-mm-dd"),""))</x:f>
      </x:c>
    </x:row>
    <x:row r="714" ht="21" customHeight="1">
      <x:c r="A714" s="2" t="n">
        <x:v>60</x:v>
      </x:c>
      <x:c r="B714" s="2" t="str">
        <x:f>IF('Input_Meci'!A65="","",'Input_Meci'!A65)</x:f>
      </x:c>
      <x:c r="C714" s="2" t="str">
        <x:v>H</x:v>
      </x:c>
      <x:c r="D714" s="2" t="str">
        <x:v>CURRENT</x:v>
      </x:c>
      <x:c r="E714" s="2" t="str">
        <x:f>IF(B714="","",'Input_Meci'!B65)</x:f>
      </x:c>
      <x:c r="F714" s="2" t="str">
        <x:f>IF(B714="","",IF('Input_Meci'!C65="","",'Input_Meci'!C65))</x:f>
      </x:c>
      <x:c r="G714" s="2" t="str">
        <x:f>IF(B714="","",'Input_Meci'!D65)</x:f>
      </x:c>
      <x:c r="H714" s="2" t="str">
        <x:v>ANY</x:v>
      </x:c>
      <x:c r="I714" s="2" t="str">
        <x:v>SEASON</x:v>
      </x:c>
      <x:c r="J714" s="9" t="n">
        <x:f>IF(AND(B714&lt;&gt;"",ISNUMBER('Input_Meci'!G65)),INT('Input_Meci'!G65),0)</x:f>
        <x:v>0</x:v>
      </x:c>
      <x:c r="K714" s="2" t="n">
        <x:f>IF(OR(B714="",F714=""),0,IF(H714="HOME",COUNTIFS('Istoric_Nativ'!$B$6:$B$405,E714,'Istoric_Nativ'!$C$6:$C$405,F714,'Istoric_Nativ'!$E$6:$E$405,G714,'Istoric_Nativ'!$D$6:$D$405,"&lt;"&amp;J714,'Istoric_Nativ'!$P$6:$P$405,1),IF(H714="AWAY",COUNTIFS('Istoric_Nativ'!$B$6:$B$405,E714,'Istoric_Nativ'!$C$6:$C$405,F714,'Istoric_Nativ'!$F$6:$F$405,G714,'Istoric_Nativ'!$D$6:$D$405,"&lt;"&amp;J714,'Istoric_Nativ'!$P$6:$P$405,1),COUNTIFS('Istoric_Nativ'!$B$6:$B$405,E714,'Istoric_Nativ'!$C$6:$C$405,F714,'Istoric_Nativ'!$E$6:$E$405,G714,'Istoric_Nativ'!$D$6:$D$405,"&lt;"&amp;J714,'Istoric_Nativ'!$P$6:$P$405,1)+COUNTIFS('Istoric_Nativ'!$B$6:$B$405,E714,'Istoric_Nativ'!$C$6:$C$405,F714,'Istoric_Nativ'!$F$6:$F$405,G714,'Istoric_Nativ'!$D$6:$D$405,"&lt;"&amp;J714,'Istoric_Nativ'!$P$6:$P$405,1))))</x:f>
        <x:v>0</x:v>
      </x:c>
      <x:c r="L714" s="17" t="n">
        <x:f>IF(AND(B714&lt;&gt;"",I714="RECENT",K714&gt;0),LARGE(_xlfn._xlws.FILTER('Istoric_Nativ'!$D$6:$D$405,('Istoric_Nativ'!$B$6:$B$405=E714)*('Istoric_Nativ'!$C$6:$C$405=F714)*('Istoric_Nativ'!$P$6:$P$405=1)*('Istoric_Nativ'!$D$6:$D$405&lt;J714)*((('Istoric_Nativ'!$E$6:$E$405=G714)+('Istoric_Nativ'!$F$6:$F$405=G714))&gt;0)),MIN('Config_v6'!$B$54,K714)),0)</x:f>
        <x:v>0</x:v>
      </x:c>
      <x:c r="M714" s="2" t="n">
        <x:f>IF(OR(B714="",F714=""),0,IF(H714="HOME",COUNTIFS('Istoric_Nativ'!$B$6:$B$405,E714,'Istoric_Nativ'!$C$6:$C$405,F714,'Istoric_Nativ'!$E$6:$E$405,G714,'Istoric_Nativ'!$D$6:$D$405,"&lt;"&amp;J714,'Istoric_Nativ'!$P$6:$P$405,1,'Istoric_Nativ'!$D$6:$D$405,"&gt;="&amp;L714),IF(H714="AWAY",COUNTIFS('Istoric_Nativ'!$B$6:$B$405,E714,'Istoric_Nativ'!$C$6:$C$405,F714,'Istoric_Nativ'!$F$6:$F$405,G714,'Istoric_Nativ'!$D$6:$D$405,"&lt;"&amp;J714,'Istoric_Nativ'!$P$6:$P$405,1,'Istoric_Nativ'!$D$6:$D$405,"&gt;="&amp;L714),COUNTIFS('Istoric_Nativ'!$B$6:$B$405,E714,'Istoric_Nativ'!$C$6:$C$405,F714,'Istoric_Nativ'!$E$6:$E$405,G714,'Istoric_Nativ'!$D$6:$D$405,"&lt;"&amp;J714,'Istoric_Nativ'!$P$6:$P$405,1,'Istoric_Nativ'!$D$6:$D$405,"&gt;="&amp;L714)+COUNTIFS('Istoric_Nativ'!$B$6:$B$405,E714,'Istoric_Nativ'!$C$6:$C$405,F714,'Istoric_Nativ'!$F$6:$F$405,G714,'Istoric_Nativ'!$D$6:$D$405,"&lt;"&amp;J714,'Istoric_Nativ'!$P$6:$P$405,1,'Istoric_Nativ'!$D$6:$D$405,"&gt;="&amp;L714))))</x:f>
        <x:v>0</x:v>
      </x:c>
      <x:c r="N714" s="11" t="str">
        <x:f>IF(M714=0,"",IF(H714="HOME",SUMIFS('Istoric_Nativ'!$G$6:$G$405,'Istoric_Nativ'!$B$6:$B$405,E714,'Istoric_Nativ'!$C$6:$C$405,F714,'Istoric_Nativ'!$E$6:$E$405,G714,'Istoric_Nativ'!$D$6:$D$405,"&lt;"&amp;J714,'Istoric_Nativ'!$P$6:$P$405,1,'Istoric_Nativ'!$D$6:$D$405,"&gt;="&amp;L714),IF(H714="AWAY",SUMIFS('Istoric_Nativ'!$H$6:$H$405,'Istoric_Nativ'!$B$6:$B$405,E714,'Istoric_Nativ'!$C$6:$C$405,F714,'Istoric_Nativ'!$F$6:$F$405,G714,'Istoric_Nativ'!$D$6:$D$405,"&lt;"&amp;J714,'Istoric_Nativ'!$P$6:$P$405,1,'Istoric_Nativ'!$D$6:$D$405,"&gt;="&amp;L714),SUMIFS('Istoric_Nativ'!$G$6:$G$405,'Istoric_Nativ'!$B$6:$B$405,E714,'Istoric_Nativ'!$C$6:$C$405,F714,'Istoric_Nativ'!$E$6:$E$405,G714,'Istoric_Nativ'!$D$6:$D$405,"&lt;"&amp;J714,'Istoric_Nativ'!$P$6:$P$405,1,'Istoric_Nativ'!$D$6:$D$405,"&gt;="&amp;L714)+SUMIFS('Istoric_Nativ'!$H$6:$H$405,'Istoric_Nativ'!$B$6:$B$405,E714,'Istoric_Nativ'!$C$6:$C$405,F714,'Istoric_Nativ'!$F$6:$F$405,G714,'Istoric_Nativ'!$D$6:$D$405,"&lt;"&amp;J714,'Istoric_Nativ'!$P$6:$P$405,1,'Istoric_Nativ'!$D$6:$D$405,"&gt;="&amp;L714)))/M714)</x:f>
      </x:c>
      <x:c r="O714" s="11" t="str">
        <x:f>IF(M714=0,"",IF(H714="HOME",SUMIFS('Istoric_Nativ'!$H$6:$H$405,'Istoric_Nativ'!$B$6:$B$405,E714,'Istoric_Nativ'!$C$6:$C$405,F714,'Istoric_Nativ'!$E$6:$E$405,G714,'Istoric_Nativ'!$D$6:$D$405,"&lt;"&amp;J714,'Istoric_Nativ'!$P$6:$P$405,1,'Istoric_Nativ'!$D$6:$D$405,"&gt;="&amp;L714),IF(H714="AWAY",SUMIFS('Istoric_Nativ'!$G$6:$G$405,'Istoric_Nativ'!$B$6:$B$405,E714,'Istoric_Nativ'!$C$6:$C$405,F714,'Istoric_Nativ'!$F$6:$F$405,G714,'Istoric_Nativ'!$D$6:$D$405,"&lt;"&amp;J714,'Istoric_Nativ'!$P$6:$P$405,1,'Istoric_Nativ'!$D$6:$D$405,"&gt;="&amp;L714),SUMIFS('Istoric_Nativ'!$H$6:$H$405,'Istoric_Nativ'!$B$6:$B$405,E714,'Istoric_Nativ'!$C$6:$C$405,F714,'Istoric_Nativ'!$E$6:$E$405,G714,'Istoric_Nativ'!$D$6:$D$405,"&lt;"&amp;J714,'Istoric_Nativ'!$P$6:$P$405,1,'Istoric_Nativ'!$D$6:$D$405,"&gt;="&amp;L714)+SUMIFS('Istoric_Nativ'!$G$6:$G$405,'Istoric_Nativ'!$B$6:$B$405,E714,'Istoric_Nativ'!$C$6:$C$405,F714,'Istoric_Nativ'!$F$6:$F$405,G714,'Istoric_Nativ'!$D$6:$D$405,"&lt;"&amp;J714,'Istoric_Nativ'!$P$6:$P$405,1,'Istoric_Nativ'!$D$6:$D$405,"&gt;="&amp;L714)))/M714)</x:f>
      </x:c>
      <x:c r="P714" s="2" t="n">
        <x:f>'Config_v6'!$B$7</x:f>
        <x:v>10</x:v>
      </x:c>
      <x:c r="Q714" s="2" t="n">
        <x:f>IF(OR(B714="",F714=""),0,IFERROR(MATCH(E714&amp;"|"&amp;F714,SourceTable[Source_Key],0),0))</x:f>
        <x:v>0</x:v>
      </x:c>
      <x:c r="R714" s="2" t="str">
        <x:f>IF(B714="","",IF(F714="","UNUSED",IF(Q714=0,"NOT CHECKED",IF(COUNTIF(SourceTable[Source_Key],E714&amp;"|"&amp;F714)&lt;&gt;1,"SOURCE CONFLICT",IF(NOT(OR(INDEX(SourceTable[Status],MAX(1,Q714))="IMPORTED",INDEX(SourceTable[Status],MAX(1,Q714))="PARTIAL",INDEX(SourceTable[Status],MAX(1,Q714))="SOURCE CONFLICT")),"ACCESS BLOCKED",IF(OR(INDEX(SourceTable[Coverage],Q714)&lt;&gt;"FULL SEASON EXPORT",INDEX(SourceTable[URL],Q714)="",INDEX(SourceTable[SHA256],Q714)=""),"EVIDENCE INCOMPLETE",IF(AND('Input_Meci'!H65="LIVE",INDEX(SourceTable[Retrieved_UTC],Q714)&gt;'Input_Meci'!G65),"POST CUTOFF","CLOSED")))))))</x:f>
      </x:c>
      <x:c r="S714" s="2" t="n">
        <x:f>IF(OR(B714="",F714=""),0,COUNTIFS('Istoric_Nativ'!$B$6:$B$405,E714,'Istoric_Nativ'!$C$6:$C$405,F714,'Istoric_Nativ'!$E$6:$E$405,G714,'Istoric_Nativ'!$D$6:$D$405,"&lt;"&amp;J714,'Istoric_Nativ'!$O$6:$O$405,"INVALID")+COUNTIFS('Istoric_Nativ'!$B$6:$B$405,E714,'Istoric_Nativ'!$C$6:$C$405,F714,'Istoric_Nativ'!$E$6:$E$405,G714,'Istoric_Nativ'!$O$6:$O$405,"INVALID",'Istoric_Nativ'!$D$6:$D$405,"*")+COUNTIFS('Istoric_Nativ'!$B$6:$B$405,E714,'Istoric_Nativ'!$C$6:$C$405,F714,'Istoric_Nativ'!$E$6:$E$405,G714,'Istoric_Nativ'!$D$6:$D$405,"&lt;"&amp;J714,'Istoric_Nativ'!$O$6:$O$405,"SOURCE CONFLICT")+COUNTIFS('Istoric_Nativ'!$B$6:$B$405,E714,'Istoric_Nativ'!$C$6:$C$405,F714,'Istoric_Nativ'!$F$6:$F$405,G714,'Istoric_Nativ'!$D$6:$D$405,"&lt;"&amp;J714,'Istoric_Nativ'!$O$6:$O$405,"INVALID")+COUNTIFS('Istoric_Nativ'!$B$6:$B$405,E714,'Istoric_Nativ'!$C$6:$C$405,F714,'Istoric_Nativ'!$F$6:$F$405,G714,'Istoric_Nativ'!$O$6:$O$405,"INVALID",'Istoric_Nativ'!$D$6:$D$405,"*")+COUNTIFS('Istoric_Nativ'!$B$6:$B$405,E714,'Istoric_Nativ'!$C$6:$C$405,F714,'Istoric_Nativ'!$F$6:$F$405,G714,'Istoric_Nativ'!$D$6:$D$405,"&lt;"&amp;J714,'Istoric_Nativ'!$O$6:$O$405,"SOURCE CONFLICT"))</x:f>
        <x:v>0</x:v>
      </x:c>
      <x:c r="T714" s="2" t="str">
        <x:f>IF(B714="","",IF(R714&lt;&gt;"CLOSED",R714,IF(S714&gt;0,"NATIVE INPUT ISSUE",IF(M714=0,"NO HISTORY",IF(M714&lt;P714,"SMALL SAMPLE","DERIVED")))))</x:f>
      </x:c>
      <x:c r="U714" s="2" t="str">
        <x:f>IF(B714="","","NativeTable; "&amp;E714&amp;"; "&amp;F714&amp;"; "&amp;G714&amp;"; "&amp;H714&amp;"; before "&amp;TEXT(J714,"yyyy-mm-dd")&amp;IF(I714="RECENT","; from "&amp;TEXT(L714,"yyyy-mm-dd"),""))</x:f>
      </x:c>
    </x:row>
    <x:row r="715" ht="21" customHeight="1">
      <x:c r="A715" s="2" t="n">
        <x:v>60</x:v>
      </x:c>
      <x:c r="B715" s="2" t="str">
        <x:f>IF('Input_Meci'!A65="","",'Input_Meci'!A65)</x:f>
      </x:c>
      <x:c r="C715" s="2" t="str">
        <x:v>H</x:v>
      </x:c>
      <x:c r="D715" s="2" t="str">
        <x:v>CURRENT</x:v>
      </x:c>
      <x:c r="E715" s="2" t="str">
        <x:f>IF(B715="","",'Input_Meci'!B65)</x:f>
      </x:c>
      <x:c r="F715" s="2" t="str">
        <x:f>IF(B715="","",IF('Input_Meci'!C65="","",'Input_Meci'!C65))</x:f>
      </x:c>
      <x:c r="G715" s="2" t="str">
        <x:f>IF(B715="","",'Input_Meci'!D65)</x:f>
      </x:c>
      <x:c r="H715" s="2" t="str">
        <x:v>HOME</x:v>
      </x:c>
      <x:c r="I715" s="2" t="str">
        <x:v>HA</x:v>
      </x:c>
      <x:c r="J715" s="9" t="n">
        <x:f>IF(AND(B715&lt;&gt;"",ISNUMBER('Input_Meci'!G65)),INT('Input_Meci'!G65),0)</x:f>
        <x:v>0</x:v>
      </x:c>
      <x:c r="K715" s="2" t="n">
        <x:f>IF(OR(B715="",F715=""),0,IF(H715="HOME",COUNTIFS('Istoric_Nativ'!$B$6:$B$405,E715,'Istoric_Nativ'!$C$6:$C$405,F715,'Istoric_Nativ'!$E$6:$E$405,G715,'Istoric_Nativ'!$D$6:$D$405,"&lt;"&amp;J715,'Istoric_Nativ'!$P$6:$P$405,1),IF(H715="AWAY",COUNTIFS('Istoric_Nativ'!$B$6:$B$405,E715,'Istoric_Nativ'!$C$6:$C$405,F715,'Istoric_Nativ'!$F$6:$F$405,G715,'Istoric_Nativ'!$D$6:$D$405,"&lt;"&amp;J715,'Istoric_Nativ'!$P$6:$P$405,1),COUNTIFS('Istoric_Nativ'!$B$6:$B$405,E715,'Istoric_Nativ'!$C$6:$C$405,F715,'Istoric_Nativ'!$E$6:$E$405,G715,'Istoric_Nativ'!$D$6:$D$405,"&lt;"&amp;J715,'Istoric_Nativ'!$P$6:$P$405,1)+COUNTIFS('Istoric_Nativ'!$B$6:$B$405,E715,'Istoric_Nativ'!$C$6:$C$405,F715,'Istoric_Nativ'!$F$6:$F$405,G715,'Istoric_Nativ'!$D$6:$D$405,"&lt;"&amp;J715,'Istoric_Nativ'!$P$6:$P$405,1))))</x:f>
        <x:v>0</x:v>
      </x:c>
      <x:c r="L715" s="17" t="n">
        <x:f>IF(AND(B715&lt;&gt;"",I715="RECENT",K715&gt;0),LARGE(_xlfn._xlws.FILTER('Istoric_Nativ'!$D$6:$D$405,('Istoric_Nativ'!$B$6:$B$405=E715)*('Istoric_Nativ'!$C$6:$C$405=F715)*('Istoric_Nativ'!$P$6:$P$405=1)*('Istoric_Nativ'!$D$6:$D$405&lt;J715)*((('Istoric_Nativ'!$E$6:$E$405=G715)+('Istoric_Nativ'!$F$6:$F$405=G715))&gt;0)),MIN('Config_v6'!$B$54,K715)),0)</x:f>
        <x:v>0</x:v>
      </x:c>
      <x:c r="M715" s="2" t="n">
        <x:f>IF(OR(B715="",F715=""),0,IF(H715="HOME",COUNTIFS('Istoric_Nativ'!$B$6:$B$405,E715,'Istoric_Nativ'!$C$6:$C$405,F715,'Istoric_Nativ'!$E$6:$E$405,G715,'Istoric_Nativ'!$D$6:$D$405,"&lt;"&amp;J715,'Istoric_Nativ'!$P$6:$P$405,1,'Istoric_Nativ'!$D$6:$D$405,"&gt;="&amp;L715),IF(H715="AWAY",COUNTIFS('Istoric_Nativ'!$B$6:$B$405,E715,'Istoric_Nativ'!$C$6:$C$405,F715,'Istoric_Nativ'!$F$6:$F$405,G715,'Istoric_Nativ'!$D$6:$D$405,"&lt;"&amp;J715,'Istoric_Nativ'!$P$6:$P$405,1,'Istoric_Nativ'!$D$6:$D$405,"&gt;="&amp;L715),COUNTIFS('Istoric_Nativ'!$B$6:$B$405,E715,'Istoric_Nativ'!$C$6:$C$405,F715,'Istoric_Nativ'!$E$6:$E$405,G715,'Istoric_Nativ'!$D$6:$D$405,"&lt;"&amp;J715,'Istoric_Nativ'!$P$6:$P$405,1,'Istoric_Nativ'!$D$6:$D$405,"&gt;="&amp;L715)+COUNTIFS('Istoric_Nativ'!$B$6:$B$405,E715,'Istoric_Nativ'!$C$6:$C$405,F715,'Istoric_Nativ'!$F$6:$F$405,G715,'Istoric_Nativ'!$D$6:$D$405,"&lt;"&amp;J715,'Istoric_Nativ'!$P$6:$P$405,1,'Istoric_Nativ'!$D$6:$D$405,"&gt;="&amp;L715))))</x:f>
        <x:v>0</x:v>
      </x:c>
      <x:c r="N715" s="11" t="str">
        <x:f>IF(M715=0,"",IF(H715="HOME",SUMIFS('Istoric_Nativ'!$G$6:$G$405,'Istoric_Nativ'!$B$6:$B$405,E715,'Istoric_Nativ'!$C$6:$C$405,F715,'Istoric_Nativ'!$E$6:$E$405,G715,'Istoric_Nativ'!$D$6:$D$405,"&lt;"&amp;J715,'Istoric_Nativ'!$P$6:$P$405,1,'Istoric_Nativ'!$D$6:$D$405,"&gt;="&amp;L715),IF(H715="AWAY",SUMIFS('Istoric_Nativ'!$H$6:$H$405,'Istoric_Nativ'!$B$6:$B$405,E715,'Istoric_Nativ'!$C$6:$C$405,F715,'Istoric_Nativ'!$F$6:$F$405,G715,'Istoric_Nativ'!$D$6:$D$405,"&lt;"&amp;J715,'Istoric_Nativ'!$P$6:$P$405,1,'Istoric_Nativ'!$D$6:$D$405,"&gt;="&amp;L715),SUMIFS('Istoric_Nativ'!$G$6:$G$405,'Istoric_Nativ'!$B$6:$B$405,E715,'Istoric_Nativ'!$C$6:$C$405,F715,'Istoric_Nativ'!$E$6:$E$405,G715,'Istoric_Nativ'!$D$6:$D$405,"&lt;"&amp;J715,'Istoric_Nativ'!$P$6:$P$405,1,'Istoric_Nativ'!$D$6:$D$405,"&gt;="&amp;L715)+SUMIFS('Istoric_Nativ'!$H$6:$H$405,'Istoric_Nativ'!$B$6:$B$405,E715,'Istoric_Nativ'!$C$6:$C$405,F715,'Istoric_Nativ'!$F$6:$F$405,G715,'Istoric_Nativ'!$D$6:$D$405,"&lt;"&amp;J715,'Istoric_Nativ'!$P$6:$P$405,1,'Istoric_Nativ'!$D$6:$D$405,"&gt;="&amp;L715)))/M715)</x:f>
      </x:c>
      <x:c r="O715" s="11" t="str">
        <x:f>IF(M715=0,"",IF(H715="HOME",SUMIFS('Istoric_Nativ'!$H$6:$H$405,'Istoric_Nativ'!$B$6:$B$405,E715,'Istoric_Nativ'!$C$6:$C$405,F715,'Istoric_Nativ'!$E$6:$E$405,G715,'Istoric_Nativ'!$D$6:$D$405,"&lt;"&amp;J715,'Istoric_Nativ'!$P$6:$P$405,1,'Istoric_Nativ'!$D$6:$D$405,"&gt;="&amp;L715),IF(H715="AWAY",SUMIFS('Istoric_Nativ'!$G$6:$G$405,'Istoric_Nativ'!$B$6:$B$405,E715,'Istoric_Nativ'!$C$6:$C$405,F715,'Istoric_Nativ'!$F$6:$F$405,G715,'Istoric_Nativ'!$D$6:$D$405,"&lt;"&amp;J715,'Istoric_Nativ'!$P$6:$P$405,1,'Istoric_Nativ'!$D$6:$D$405,"&gt;="&amp;L715),SUMIFS('Istoric_Nativ'!$H$6:$H$405,'Istoric_Nativ'!$B$6:$B$405,E715,'Istoric_Nativ'!$C$6:$C$405,F715,'Istoric_Nativ'!$E$6:$E$405,G715,'Istoric_Nativ'!$D$6:$D$405,"&lt;"&amp;J715,'Istoric_Nativ'!$P$6:$P$405,1,'Istoric_Nativ'!$D$6:$D$405,"&gt;="&amp;L715)+SUMIFS('Istoric_Nativ'!$G$6:$G$405,'Istoric_Nativ'!$B$6:$B$405,E715,'Istoric_Nativ'!$C$6:$C$405,F715,'Istoric_Nativ'!$F$6:$F$405,G715,'Istoric_Nativ'!$D$6:$D$405,"&lt;"&amp;J715,'Istoric_Nativ'!$P$6:$P$405,1,'Istoric_Nativ'!$D$6:$D$405,"&gt;="&amp;L715)))/M715)</x:f>
      </x:c>
      <x:c r="P715" s="2" t="n">
        <x:f>'Config_v6'!$B$8</x:f>
        <x:v>5</x:v>
      </x:c>
      <x:c r="Q715" s="2" t="n">
        <x:f>IF(OR(B715="",F715=""),0,IFERROR(MATCH(E715&amp;"|"&amp;F715,SourceTable[Source_Key],0),0))</x:f>
        <x:v>0</x:v>
      </x:c>
      <x:c r="R715" s="2" t="str">
        <x:f>IF(B715="","",IF(F715="","UNUSED",IF(Q715=0,"NOT CHECKED",IF(COUNTIF(SourceTable[Source_Key],E715&amp;"|"&amp;F715)&lt;&gt;1,"SOURCE CONFLICT",IF(NOT(OR(INDEX(SourceTable[Status],MAX(1,Q715))="IMPORTED",INDEX(SourceTable[Status],MAX(1,Q715))="PARTIAL",INDEX(SourceTable[Status],MAX(1,Q715))="SOURCE CONFLICT")),"ACCESS BLOCKED",IF(OR(INDEX(SourceTable[Coverage],Q715)&lt;&gt;"FULL SEASON EXPORT",INDEX(SourceTable[URL],Q715)="",INDEX(SourceTable[SHA256],Q715)=""),"EVIDENCE INCOMPLETE",IF(AND('Input_Meci'!H65="LIVE",INDEX(SourceTable[Retrieved_UTC],Q715)&gt;'Input_Meci'!G65),"POST CUTOFF","CLOSED")))))))</x:f>
      </x:c>
      <x:c r="S715" s="2" t="n">
        <x:f>IF(OR(B715="",F715=""),0,COUNTIFS('Istoric_Nativ'!$B$6:$B$405,E715,'Istoric_Nativ'!$C$6:$C$405,F715,'Istoric_Nativ'!$E$6:$E$405,G715,'Istoric_Nativ'!$D$6:$D$405,"&lt;"&amp;J715,'Istoric_Nativ'!$O$6:$O$405,"INVALID")+COUNTIFS('Istoric_Nativ'!$B$6:$B$405,E715,'Istoric_Nativ'!$C$6:$C$405,F715,'Istoric_Nativ'!$E$6:$E$405,G715,'Istoric_Nativ'!$O$6:$O$405,"INVALID",'Istoric_Nativ'!$D$6:$D$405,"*")+COUNTIFS('Istoric_Nativ'!$B$6:$B$405,E715,'Istoric_Nativ'!$C$6:$C$405,F715,'Istoric_Nativ'!$E$6:$E$405,G715,'Istoric_Nativ'!$D$6:$D$405,"&lt;"&amp;J715,'Istoric_Nativ'!$O$6:$O$405,"SOURCE CONFLICT")+COUNTIFS('Istoric_Nativ'!$B$6:$B$405,E715,'Istoric_Nativ'!$C$6:$C$405,F715,'Istoric_Nativ'!$F$6:$F$405,G715,'Istoric_Nativ'!$D$6:$D$405,"&lt;"&amp;J715,'Istoric_Nativ'!$O$6:$O$405,"INVALID")+COUNTIFS('Istoric_Nativ'!$B$6:$B$405,E715,'Istoric_Nativ'!$C$6:$C$405,F715,'Istoric_Nativ'!$F$6:$F$405,G715,'Istoric_Nativ'!$O$6:$O$405,"INVALID",'Istoric_Nativ'!$D$6:$D$405,"*")+COUNTIFS('Istoric_Nativ'!$B$6:$B$405,E715,'Istoric_Nativ'!$C$6:$C$405,F715,'Istoric_Nativ'!$F$6:$F$405,G715,'Istoric_Nativ'!$D$6:$D$405,"&lt;"&amp;J715,'Istoric_Nativ'!$O$6:$O$405,"SOURCE CONFLICT"))</x:f>
        <x:v>0</x:v>
      </x:c>
      <x:c r="T715" s="2" t="str">
        <x:f>IF(B715="","",IF(R715&lt;&gt;"CLOSED",R715,IF(S715&gt;0,"NATIVE INPUT ISSUE",IF(M715=0,"NO HISTORY",IF(M715&lt;P715,"SMALL SAMPLE","DERIVED")))))</x:f>
      </x:c>
      <x:c r="U715" s="2" t="str">
        <x:f>IF(B715="","","NativeTable; "&amp;E715&amp;"; "&amp;F715&amp;"; "&amp;G715&amp;"; "&amp;H715&amp;"; before "&amp;TEXT(J715,"yyyy-mm-dd")&amp;IF(I715="RECENT","; from "&amp;TEXT(L715,"yyyy-mm-dd"),""))</x:f>
      </x:c>
    </x:row>
    <x:row r="716" ht="21" customHeight="1">
      <x:c r="A716" s="2" t="n">
        <x:v>60</x:v>
      </x:c>
      <x:c r="B716" s="2" t="str">
        <x:f>IF('Input_Meci'!A65="","",'Input_Meci'!A65)</x:f>
      </x:c>
      <x:c r="C716" s="2" t="str">
        <x:v>H</x:v>
      </x:c>
      <x:c r="D716" s="2" t="str">
        <x:v>CURRENT</x:v>
      </x:c>
      <x:c r="E716" s="2" t="str">
        <x:f>IF(B716="","",'Input_Meci'!B65)</x:f>
      </x:c>
      <x:c r="F716" s="2" t="str">
        <x:f>IF(B716="","",IF('Input_Meci'!C65="","",'Input_Meci'!C65))</x:f>
      </x:c>
      <x:c r="G716" s="2" t="str">
        <x:f>IF(B716="","",'Input_Meci'!D65)</x:f>
      </x:c>
      <x:c r="H716" s="2" t="str">
        <x:v>ANY</x:v>
      </x:c>
      <x:c r="I716" s="2" t="str">
        <x:v>RECENT</x:v>
      </x:c>
      <x:c r="J716" s="9" t="n">
        <x:f>IF(AND(B716&lt;&gt;"",ISNUMBER('Input_Meci'!G65)),INT('Input_Meci'!G65),0)</x:f>
        <x:v>0</x:v>
      </x:c>
      <x:c r="K716" s="2" t="n">
        <x:f>IF(OR(B716="",F716=""),0,IF(H716="HOME",COUNTIFS('Istoric_Nativ'!$B$6:$B$405,E716,'Istoric_Nativ'!$C$6:$C$405,F716,'Istoric_Nativ'!$E$6:$E$405,G716,'Istoric_Nativ'!$D$6:$D$405,"&lt;"&amp;J716,'Istoric_Nativ'!$P$6:$P$405,1),IF(H716="AWAY",COUNTIFS('Istoric_Nativ'!$B$6:$B$405,E716,'Istoric_Nativ'!$C$6:$C$405,F716,'Istoric_Nativ'!$F$6:$F$405,G716,'Istoric_Nativ'!$D$6:$D$405,"&lt;"&amp;J716,'Istoric_Nativ'!$P$6:$P$405,1),COUNTIFS('Istoric_Nativ'!$B$6:$B$405,E716,'Istoric_Nativ'!$C$6:$C$405,F716,'Istoric_Nativ'!$E$6:$E$405,G716,'Istoric_Nativ'!$D$6:$D$405,"&lt;"&amp;J716,'Istoric_Nativ'!$P$6:$P$405,1)+COUNTIFS('Istoric_Nativ'!$B$6:$B$405,E716,'Istoric_Nativ'!$C$6:$C$405,F716,'Istoric_Nativ'!$F$6:$F$405,G716,'Istoric_Nativ'!$D$6:$D$405,"&lt;"&amp;J716,'Istoric_Nativ'!$P$6:$P$405,1))))</x:f>
        <x:v>0</x:v>
      </x:c>
      <x:c r="L716" s="17" t="n">
        <x:f>IF(AND(B716&lt;&gt;"",I716="RECENT",K716&gt;0),LARGE(_xlfn._xlws.FILTER('Istoric_Nativ'!$D$6:$D$405,('Istoric_Nativ'!$B$6:$B$405=E716)*('Istoric_Nativ'!$C$6:$C$405=F716)*('Istoric_Nativ'!$P$6:$P$405=1)*('Istoric_Nativ'!$D$6:$D$405&lt;J716)*((('Istoric_Nativ'!$E$6:$E$405=G716)+('Istoric_Nativ'!$F$6:$F$405=G716))&gt;0)),MIN('Config_v6'!$B$54,K716)),0)</x:f>
        <x:v>0</x:v>
      </x:c>
      <x:c r="M716" s="2" t="n">
        <x:f>IF(OR(B716="",F716=""),0,IF(H716="HOME",COUNTIFS('Istoric_Nativ'!$B$6:$B$405,E716,'Istoric_Nativ'!$C$6:$C$405,F716,'Istoric_Nativ'!$E$6:$E$405,G716,'Istoric_Nativ'!$D$6:$D$405,"&lt;"&amp;J716,'Istoric_Nativ'!$P$6:$P$405,1,'Istoric_Nativ'!$D$6:$D$405,"&gt;="&amp;L716),IF(H716="AWAY",COUNTIFS('Istoric_Nativ'!$B$6:$B$405,E716,'Istoric_Nativ'!$C$6:$C$405,F716,'Istoric_Nativ'!$F$6:$F$405,G716,'Istoric_Nativ'!$D$6:$D$405,"&lt;"&amp;J716,'Istoric_Nativ'!$P$6:$P$405,1,'Istoric_Nativ'!$D$6:$D$405,"&gt;="&amp;L716),COUNTIFS('Istoric_Nativ'!$B$6:$B$405,E716,'Istoric_Nativ'!$C$6:$C$405,F716,'Istoric_Nativ'!$E$6:$E$405,G716,'Istoric_Nativ'!$D$6:$D$405,"&lt;"&amp;J716,'Istoric_Nativ'!$P$6:$P$405,1,'Istoric_Nativ'!$D$6:$D$405,"&gt;="&amp;L716)+COUNTIFS('Istoric_Nativ'!$B$6:$B$405,E716,'Istoric_Nativ'!$C$6:$C$405,F716,'Istoric_Nativ'!$F$6:$F$405,G716,'Istoric_Nativ'!$D$6:$D$405,"&lt;"&amp;J716,'Istoric_Nativ'!$P$6:$P$405,1,'Istoric_Nativ'!$D$6:$D$405,"&gt;="&amp;L716))))</x:f>
        <x:v>0</x:v>
      </x:c>
      <x:c r="N716" s="11" t="str">
        <x:f>IF(M716=0,"",IF(H716="HOME",SUMIFS('Istoric_Nativ'!$G$6:$G$405,'Istoric_Nativ'!$B$6:$B$405,E716,'Istoric_Nativ'!$C$6:$C$405,F716,'Istoric_Nativ'!$E$6:$E$405,G716,'Istoric_Nativ'!$D$6:$D$405,"&lt;"&amp;J716,'Istoric_Nativ'!$P$6:$P$405,1,'Istoric_Nativ'!$D$6:$D$405,"&gt;="&amp;L716),IF(H716="AWAY",SUMIFS('Istoric_Nativ'!$H$6:$H$405,'Istoric_Nativ'!$B$6:$B$405,E716,'Istoric_Nativ'!$C$6:$C$405,F716,'Istoric_Nativ'!$F$6:$F$405,G716,'Istoric_Nativ'!$D$6:$D$405,"&lt;"&amp;J716,'Istoric_Nativ'!$P$6:$P$405,1,'Istoric_Nativ'!$D$6:$D$405,"&gt;="&amp;L716),SUMIFS('Istoric_Nativ'!$G$6:$G$405,'Istoric_Nativ'!$B$6:$B$405,E716,'Istoric_Nativ'!$C$6:$C$405,F716,'Istoric_Nativ'!$E$6:$E$405,G716,'Istoric_Nativ'!$D$6:$D$405,"&lt;"&amp;J716,'Istoric_Nativ'!$P$6:$P$405,1,'Istoric_Nativ'!$D$6:$D$405,"&gt;="&amp;L716)+SUMIFS('Istoric_Nativ'!$H$6:$H$405,'Istoric_Nativ'!$B$6:$B$405,E716,'Istoric_Nativ'!$C$6:$C$405,F716,'Istoric_Nativ'!$F$6:$F$405,G716,'Istoric_Nativ'!$D$6:$D$405,"&lt;"&amp;J716,'Istoric_Nativ'!$P$6:$P$405,1,'Istoric_Nativ'!$D$6:$D$405,"&gt;="&amp;L716)))/M716)</x:f>
      </x:c>
      <x:c r="O716" s="11" t="str">
        <x:f>IF(M716=0,"",IF(H716="HOME",SUMIFS('Istoric_Nativ'!$H$6:$H$405,'Istoric_Nativ'!$B$6:$B$405,E716,'Istoric_Nativ'!$C$6:$C$405,F716,'Istoric_Nativ'!$E$6:$E$405,G716,'Istoric_Nativ'!$D$6:$D$405,"&lt;"&amp;J716,'Istoric_Nativ'!$P$6:$P$405,1,'Istoric_Nativ'!$D$6:$D$405,"&gt;="&amp;L716),IF(H716="AWAY",SUMIFS('Istoric_Nativ'!$G$6:$G$405,'Istoric_Nativ'!$B$6:$B$405,E716,'Istoric_Nativ'!$C$6:$C$405,F716,'Istoric_Nativ'!$F$6:$F$405,G716,'Istoric_Nativ'!$D$6:$D$405,"&lt;"&amp;J716,'Istoric_Nativ'!$P$6:$P$405,1,'Istoric_Nativ'!$D$6:$D$405,"&gt;="&amp;L716),SUMIFS('Istoric_Nativ'!$H$6:$H$405,'Istoric_Nativ'!$B$6:$B$405,E716,'Istoric_Nativ'!$C$6:$C$405,F716,'Istoric_Nativ'!$E$6:$E$405,G716,'Istoric_Nativ'!$D$6:$D$405,"&lt;"&amp;J716,'Istoric_Nativ'!$P$6:$P$405,1,'Istoric_Nativ'!$D$6:$D$405,"&gt;="&amp;L716)+SUMIFS('Istoric_Nativ'!$G$6:$G$405,'Istoric_Nativ'!$B$6:$B$405,E716,'Istoric_Nativ'!$C$6:$C$405,F716,'Istoric_Nativ'!$F$6:$F$405,G716,'Istoric_Nativ'!$D$6:$D$405,"&lt;"&amp;J716,'Istoric_Nativ'!$P$6:$P$405,1,'Istoric_Nativ'!$D$6:$D$405,"&gt;="&amp;L716)))/M716)</x:f>
      </x:c>
      <x:c r="P716" s="2" t="n">
        <x:f>'Config_v6'!$B$9</x:f>
        <x:v>3</x:v>
      </x:c>
      <x:c r="Q716" s="2" t="n">
        <x:f>IF(OR(B716="",F716=""),0,IFERROR(MATCH(E716&amp;"|"&amp;F716,SourceTable[Source_Key],0),0))</x:f>
        <x:v>0</x:v>
      </x:c>
      <x:c r="R716" s="2" t="str">
        <x:f>IF(B716="","",IF(F716="","UNUSED",IF(Q716=0,"NOT CHECKED",IF(COUNTIF(SourceTable[Source_Key],E716&amp;"|"&amp;F716)&lt;&gt;1,"SOURCE CONFLICT",IF(NOT(OR(INDEX(SourceTable[Status],MAX(1,Q716))="IMPORTED",INDEX(SourceTable[Status],MAX(1,Q716))="PARTIAL",INDEX(SourceTable[Status],MAX(1,Q716))="SOURCE CONFLICT")),"ACCESS BLOCKED",IF(OR(INDEX(SourceTable[Coverage],Q716)&lt;&gt;"FULL SEASON EXPORT",INDEX(SourceTable[URL],Q716)="",INDEX(SourceTable[SHA256],Q716)=""),"EVIDENCE INCOMPLETE",IF(AND('Input_Meci'!H65="LIVE",INDEX(SourceTable[Retrieved_UTC],Q716)&gt;'Input_Meci'!G65),"POST CUTOFF","CLOSED")))))))</x:f>
      </x:c>
      <x:c r="S716" s="2" t="n">
        <x:f>IF(OR(B716="",F716=""),0,COUNTIFS('Istoric_Nativ'!$B$6:$B$405,E716,'Istoric_Nativ'!$C$6:$C$405,F716,'Istoric_Nativ'!$E$6:$E$405,G716,'Istoric_Nativ'!$D$6:$D$405,"&lt;"&amp;J716,'Istoric_Nativ'!$O$6:$O$405,"INVALID")+COUNTIFS('Istoric_Nativ'!$B$6:$B$405,E716,'Istoric_Nativ'!$C$6:$C$405,F716,'Istoric_Nativ'!$E$6:$E$405,G716,'Istoric_Nativ'!$O$6:$O$405,"INVALID",'Istoric_Nativ'!$D$6:$D$405,"*")+COUNTIFS('Istoric_Nativ'!$B$6:$B$405,E716,'Istoric_Nativ'!$C$6:$C$405,F716,'Istoric_Nativ'!$E$6:$E$405,G716,'Istoric_Nativ'!$D$6:$D$405,"&lt;"&amp;J716,'Istoric_Nativ'!$O$6:$O$405,"SOURCE CONFLICT")+COUNTIFS('Istoric_Nativ'!$B$6:$B$405,E716,'Istoric_Nativ'!$C$6:$C$405,F716,'Istoric_Nativ'!$F$6:$F$405,G716,'Istoric_Nativ'!$D$6:$D$405,"&lt;"&amp;J716,'Istoric_Nativ'!$O$6:$O$405,"INVALID")+COUNTIFS('Istoric_Nativ'!$B$6:$B$405,E716,'Istoric_Nativ'!$C$6:$C$405,F716,'Istoric_Nativ'!$F$6:$F$405,G716,'Istoric_Nativ'!$O$6:$O$405,"INVALID",'Istoric_Nativ'!$D$6:$D$405,"*")+COUNTIFS('Istoric_Nativ'!$B$6:$B$405,E716,'Istoric_Nativ'!$C$6:$C$405,F716,'Istoric_Nativ'!$F$6:$F$405,G716,'Istoric_Nativ'!$D$6:$D$405,"&lt;"&amp;J716,'Istoric_Nativ'!$O$6:$O$405,"SOURCE CONFLICT"))</x:f>
        <x:v>0</x:v>
      </x:c>
      <x:c r="T716" s="2" t="str">
        <x:f>IF(B716="","",IF(R716&lt;&gt;"CLOSED",R716,IF(S716&gt;0,"NATIVE INPUT ISSUE",IF(M716=0,"NO HISTORY",IF(M716&lt;P716,"SMALL SAMPLE","DERIVED")))))</x:f>
      </x:c>
      <x:c r="U716" s="2" t="str">
        <x:f>IF(B716="","","NativeTable; "&amp;E716&amp;"; "&amp;F716&amp;"; "&amp;G716&amp;"; "&amp;H716&amp;"; before "&amp;TEXT(J716,"yyyy-mm-dd")&amp;IF(I716="RECENT","; from "&amp;TEXT(L716,"yyyy-mm-dd"),""))</x:f>
      </x:c>
    </x:row>
    <x:row r="717" ht="21" customHeight="1">
      <x:c r="A717" s="2" t="n">
        <x:v>60</x:v>
      </x:c>
      <x:c r="B717" s="2" t="str">
        <x:f>IF('Input_Meci'!A65="","",'Input_Meci'!A65)</x:f>
      </x:c>
      <x:c r="C717" s="2" t="str">
        <x:v>A</x:v>
      </x:c>
      <x:c r="D717" s="2" t="str">
        <x:v>CURRENT</x:v>
      </x:c>
      <x:c r="E717" s="2" t="str">
        <x:f>IF(B717="","",'Input_Meci'!B65)</x:f>
      </x:c>
      <x:c r="F717" s="2" t="str">
        <x:f>IF(B717="","",IF('Input_Meci'!C65="","",'Input_Meci'!C65))</x:f>
      </x:c>
      <x:c r="G717" s="2" t="str">
        <x:f>IF(B717="","",'Input_Meci'!E65)</x:f>
      </x:c>
      <x:c r="H717" s="2" t="str">
        <x:v>ANY</x:v>
      </x:c>
      <x:c r="I717" s="2" t="str">
        <x:v>SEASON</x:v>
      </x:c>
      <x:c r="J717" s="9" t="n">
        <x:f>IF(AND(B717&lt;&gt;"",ISNUMBER('Input_Meci'!G65)),INT('Input_Meci'!G65),0)</x:f>
        <x:v>0</x:v>
      </x:c>
      <x:c r="K717" s="2" t="n">
        <x:f>IF(OR(B717="",F717=""),0,IF(H717="HOME",COUNTIFS('Istoric_Nativ'!$B$6:$B$405,E717,'Istoric_Nativ'!$C$6:$C$405,F717,'Istoric_Nativ'!$E$6:$E$405,G717,'Istoric_Nativ'!$D$6:$D$405,"&lt;"&amp;J717,'Istoric_Nativ'!$P$6:$P$405,1),IF(H717="AWAY",COUNTIFS('Istoric_Nativ'!$B$6:$B$405,E717,'Istoric_Nativ'!$C$6:$C$405,F717,'Istoric_Nativ'!$F$6:$F$405,G717,'Istoric_Nativ'!$D$6:$D$405,"&lt;"&amp;J717,'Istoric_Nativ'!$P$6:$P$405,1),COUNTIFS('Istoric_Nativ'!$B$6:$B$405,E717,'Istoric_Nativ'!$C$6:$C$405,F717,'Istoric_Nativ'!$E$6:$E$405,G717,'Istoric_Nativ'!$D$6:$D$405,"&lt;"&amp;J717,'Istoric_Nativ'!$P$6:$P$405,1)+COUNTIFS('Istoric_Nativ'!$B$6:$B$405,E717,'Istoric_Nativ'!$C$6:$C$405,F717,'Istoric_Nativ'!$F$6:$F$405,G717,'Istoric_Nativ'!$D$6:$D$405,"&lt;"&amp;J717,'Istoric_Nativ'!$P$6:$P$405,1))))</x:f>
        <x:v>0</x:v>
      </x:c>
      <x:c r="L717" s="17" t="n">
        <x:f>IF(AND(B717&lt;&gt;"",I717="RECENT",K717&gt;0),LARGE(_xlfn._xlws.FILTER('Istoric_Nativ'!$D$6:$D$405,('Istoric_Nativ'!$B$6:$B$405=E717)*('Istoric_Nativ'!$C$6:$C$405=F717)*('Istoric_Nativ'!$P$6:$P$405=1)*('Istoric_Nativ'!$D$6:$D$405&lt;J717)*((('Istoric_Nativ'!$E$6:$E$405=G717)+('Istoric_Nativ'!$F$6:$F$405=G717))&gt;0)),MIN('Config_v6'!$B$54,K717)),0)</x:f>
        <x:v>0</x:v>
      </x:c>
      <x:c r="M717" s="2" t="n">
        <x:f>IF(OR(B717="",F717=""),0,IF(H717="HOME",COUNTIFS('Istoric_Nativ'!$B$6:$B$405,E717,'Istoric_Nativ'!$C$6:$C$405,F717,'Istoric_Nativ'!$E$6:$E$405,G717,'Istoric_Nativ'!$D$6:$D$405,"&lt;"&amp;J717,'Istoric_Nativ'!$P$6:$P$405,1,'Istoric_Nativ'!$D$6:$D$405,"&gt;="&amp;L717),IF(H717="AWAY",COUNTIFS('Istoric_Nativ'!$B$6:$B$405,E717,'Istoric_Nativ'!$C$6:$C$405,F717,'Istoric_Nativ'!$F$6:$F$405,G717,'Istoric_Nativ'!$D$6:$D$405,"&lt;"&amp;J717,'Istoric_Nativ'!$P$6:$P$405,1,'Istoric_Nativ'!$D$6:$D$405,"&gt;="&amp;L717),COUNTIFS('Istoric_Nativ'!$B$6:$B$405,E717,'Istoric_Nativ'!$C$6:$C$405,F717,'Istoric_Nativ'!$E$6:$E$405,G717,'Istoric_Nativ'!$D$6:$D$405,"&lt;"&amp;J717,'Istoric_Nativ'!$P$6:$P$405,1,'Istoric_Nativ'!$D$6:$D$405,"&gt;="&amp;L717)+COUNTIFS('Istoric_Nativ'!$B$6:$B$405,E717,'Istoric_Nativ'!$C$6:$C$405,F717,'Istoric_Nativ'!$F$6:$F$405,G717,'Istoric_Nativ'!$D$6:$D$405,"&lt;"&amp;J717,'Istoric_Nativ'!$P$6:$P$405,1,'Istoric_Nativ'!$D$6:$D$405,"&gt;="&amp;L717))))</x:f>
        <x:v>0</x:v>
      </x:c>
      <x:c r="N717" s="11" t="str">
        <x:f>IF(M717=0,"",IF(H717="HOME",SUMIFS('Istoric_Nativ'!$G$6:$G$405,'Istoric_Nativ'!$B$6:$B$405,E717,'Istoric_Nativ'!$C$6:$C$405,F717,'Istoric_Nativ'!$E$6:$E$405,G717,'Istoric_Nativ'!$D$6:$D$405,"&lt;"&amp;J717,'Istoric_Nativ'!$P$6:$P$405,1,'Istoric_Nativ'!$D$6:$D$405,"&gt;="&amp;L717),IF(H717="AWAY",SUMIFS('Istoric_Nativ'!$H$6:$H$405,'Istoric_Nativ'!$B$6:$B$405,E717,'Istoric_Nativ'!$C$6:$C$405,F717,'Istoric_Nativ'!$F$6:$F$405,G717,'Istoric_Nativ'!$D$6:$D$405,"&lt;"&amp;J717,'Istoric_Nativ'!$P$6:$P$405,1,'Istoric_Nativ'!$D$6:$D$405,"&gt;="&amp;L717),SUMIFS('Istoric_Nativ'!$G$6:$G$405,'Istoric_Nativ'!$B$6:$B$405,E717,'Istoric_Nativ'!$C$6:$C$405,F717,'Istoric_Nativ'!$E$6:$E$405,G717,'Istoric_Nativ'!$D$6:$D$405,"&lt;"&amp;J717,'Istoric_Nativ'!$P$6:$P$405,1,'Istoric_Nativ'!$D$6:$D$405,"&gt;="&amp;L717)+SUMIFS('Istoric_Nativ'!$H$6:$H$405,'Istoric_Nativ'!$B$6:$B$405,E717,'Istoric_Nativ'!$C$6:$C$405,F717,'Istoric_Nativ'!$F$6:$F$405,G717,'Istoric_Nativ'!$D$6:$D$405,"&lt;"&amp;J717,'Istoric_Nativ'!$P$6:$P$405,1,'Istoric_Nativ'!$D$6:$D$405,"&gt;="&amp;L717)))/M717)</x:f>
      </x:c>
      <x:c r="O717" s="11" t="str">
        <x:f>IF(M717=0,"",IF(H717="HOME",SUMIFS('Istoric_Nativ'!$H$6:$H$405,'Istoric_Nativ'!$B$6:$B$405,E717,'Istoric_Nativ'!$C$6:$C$405,F717,'Istoric_Nativ'!$E$6:$E$405,G717,'Istoric_Nativ'!$D$6:$D$405,"&lt;"&amp;J717,'Istoric_Nativ'!$P$6:$P$405,1,'Istoric_Nativ'!$D$6:$D$405,"&gt;="&amp;L717),IF(H717="AWAY",SUMIFS('Istoric_Nativ'!$G$6:$G$405,'Istoric_Nativ'!$B$6:$B$405,E717,'Istoric_Nativ'!$C$6:$C$405,F717,'Istoric_Nativ'!$F$6:$F$405,G717,'Istoric_Nativ'!$D$6:$D$405,"&lt;"&amp;J717,'Istoric_Nativ'!$P$6:$P$405,1,'Istoric_Nativ'!$D$6:$D$405,"&gt;="&amp;L717),SUMIFS('Istoric_Nativ'!$H$6:$H$405,'Istoric_Nativ'!$B$6:$B$405,E717,'Istoric_Nativ'!$C$6:$C$405,F717,'Istoric_Nativ'!$E$6:$E$405,G717,'Istoric_Nativ'!$D$6:$D$405,"&lt;"&amp;J717,'Istoric_Nativ'!$P$6:$P$405,1,'Istoric_Nativ'!$D$6:$D$405,"&gt;="&amp;L717)+SUMIFS('Istoric_Nativ'!$G$6:$G$405,'Istoric_Nativ'!$B$6:$B$405,E717,'Istoric_Nativ'!$C$6:$C$405,F717,'Istoric_Nativ'!$F$6:$F$405,G717,'Istoric_Nativ'!$D$6:$D$405,"&lt;"&amp;J717,'Istoric_Nativ'!$P$6:$P$405,1,'Istoric_Nativ'!$D$6:$D$405,"&gt;="&amp;L717)))/M717)</x:f>
      </x:c>
      <x:c r="P717" s="2" t="n">
        <x:f>'Config_v6'!$B$7</x:f>
        <x:v>10</x:v>
      </x:c>
      <x:c r="Q717" s="2" t="n">
        <x:f>IF(OR(B717="",F717=""),0,IFERROR(MATCH(E717&amp;"|"&amp;F717,SourceTable[Source_Key],0),0))</x:f>
        <x:v>0</x:v>
      </x:c>
      <x:c r="R717" s="2" t="str">
        <x:f>IF(B717="","",IF(F717="","UNUSED",IF(Q717=0,"NOT CHECKED",IF(COUNTIF(SourceTable[Source_Key],E717&amp;"|"&amp;F717)&lt;&gt;1,"SOURCE CONFLICT",IF(NOT(OR(INDEX(SourceTable[Status],MAX(1,Q717))="IMPORTED",INDEX(SourceTable[Status],MAX(1,Q717))="PARTIAL",INDEX(SourceTable[Status],MAX(1,Q717))="SOURCE CONFLICT")),"ACCESS BLOCKED",IF(OR(INDEX(SourceTable[Coverage],Q717)&lt;&gt;"FULL SEASON EXPORT",INDEX(SourceTable[URL],Q717)="",INDEX(SourceTable[SHA256],Q717)=""),"EVIDENCE INCOMPLETE",IF(AND('Input_Meci'!H65="LIVE",INDEX(SourceTable[Retrieved_UTC],Q717)&gt;'Input_Meci'!G65),"POST CUTOFF","CLOSED")))))))</x:f>
      </x:c>
      <x:c r="S717" s="2" t="n">
        <x:f>IF(OR(B717="",F717=""),0,COUNTIFS('Istoric_Nativ'!$B$6:$B$405,E717,'Istoric_Nativ'!$C$6:$C$405,F717,'Istoric_Nativ'!$E$6:$E$405,G717,'Istoric_Nativ'!$D$6:$D$405,"&lt;"&amp;J717,'Istoric_Nativ'!$O$6:$O$405,"INVALID")+COUNTIFS('Istoric_Nativ'!$B$6:$B$405,E717,'Istoric_Nativ'!$C$6:$C$405,F717,'Istoric_Nativ'!$E$6:$E$405,G717,'Istoric_Nativ'!$O$6:$O$405,"INVALID",'Istoric_Nativ'!$D$6:$D$405,"*")+COUNTIFS('Istoric_Nativ'!$B$6:$B$405,E717,'Istoric_Nativ'!$C$6:$C$405,F717,'Istoric_Nativ'!$E$6:$E$405,G717,'Istoric_Nativ'!$D$6:$D$405,"&lt;"&amp;J717,'Istoric_Nativ'!$O$6:$O$405,"SOURCE CONFLICT")+COUNTIFS('Istoric_Nativ'!$B$6:$B$405,E717,'Istoric_Nativ'!$C$6:$C$405,F717,'Istoric_Nativ'!$F$6:$F$405,G717,'Istoric_Nativ'!$D$6:$D$405,"&lt;"&amp;J717,'Istoric_Nativ'!$O$6:$O$405,"INVALID")+COUNTIFS('Istoric_Nativ'!$B$6:$B$405,E717,'Istoric_Nativ'!$C$6:$C$405,F717,'Istoric_Nativ'!$F$6:$F$405,G717,'Istoric_Nativ'!$O$6:$O$405,"INVALID",'Istoric_Nativ'!$D$6:$D$405,"*")+COUNTIFS('Istoric_Nativ'!$B$6:$B$405,E717,'Istoric_Nativ'!$C$6:$C$405,F717,'Istoric_Nativ'!$F$6:$F$405,G717,'Istoric_Nativ'!$D$6:$D$405,"&lt;"&amp;J717,'Istoric_Nativ'!$O$6:$O$405,"SOURCE CONFLICT"))</x:f>
        <x:v>0</x:v>
      </x:c>
      <x:c r="T717" s="2" t="str">
        <x:f>IF(B717="","",IF(R717&lt;&gt;"CLOSED",R717,IF(S717&gt;0,"NATIVE INPUT ISSUE",IF(M717=0,"NO HISTORY",IF(M717&lt;P717,"SMALL SAMPLE","DERIVED")))))</x:f>
      </x:c>
      <x:c r="U717" s="2" t="str">
        <x:f>IF(B717="","","NativeTable; "&amp;E717&amp;"; "&amp;F717&amp;"; "&amp;G717&amp;"; "&amp;H717&amp;"; before "&amp;TEXT(J717,"yyyy-mm-dd")&amp;IF(I717="RECENT","; from "&amp;TEXT(L717,"yyyy-mm-dd"),""))</x:f>
      </x:c>
    </x:row>
    <x:row r="718" ht="21" customHeight="1">
      <x:c r="A718" s="2" t="n">
        <x:v>60</x:v>
      </x:c>
      <x:c r="B718" s="2" t="str">
        <x:f>IF('Input_Meci'!A65="","",'Input_Meci'!A65)</x:f>
      </x:c>
      <x:c r="C718" s="2" t="str">
        <x:v>A</x:v>
      </x:c>
      <x:c r="D718" s="2" t="str">
        <x:v>CURRENT</x:v>
      </x:c>
      <x:c r="E718" s="2" t="str">
        <x:f>IF(B718="","",'Input_Meci'!B65)</x:f>
      </x:c>
      <x:c r="F718" s="2" t="str">
        <x:f>IF(B718="","",IF('Input_Meci'!C65="","",'Input_Meci'!C65))</x:f>
      </x:c>
      <x:c r="G718" s="2" t="str">
        <x:f>IF(B718="","",'Input_Meci'!E65)</x:f>
      </x:c>
      <x:c r="H718" s="2" t="str">
        <x:v>AWAY</x:v>
      </x:c>
      <x:c r="I718" s="2" t="str">
        <x:v>HA</x:v>
      </x:c>
      <x:c r="J718" s="9" t="n">
        <x:f>IF(AND(B718&lt;&gt;"",ISNUMBER('Input_Meci'!G65)),INT('Input_Meci'!G65),0)</x:f>
        <x:v>0</x:v>
      </x:c>
      <x:c r="K718" s="2" t="n">
        <x:f>IF(OR(B718="",F718=""),0,IF(H718="HOME",COUNTIFS('Istoric_Nativ'!$B$6:$B$405,E718,'Istoric_Nativ'!$C$6:$C$405,F718,'Istoric_Nativ'!$E$6:$E$405,G718,'Istoric_Nativ'!$D$6:$D$405,"&lt;"&amp;J718,'Istoric_Nativ'!$P$6:$P$405,1),IF(H718="AWAY",COUNTIFS('Istoric_Nativ'!$B$6:$B$405,E718,'Istoric_Nativ'!$C$6:$C$405,F718,'Istoric_Nativ'!$F$6:$F$405,G718,'Istoric_Nativ'!$D$6:$D$405,"&lt;"&amp;J718,'Istoric_Nativ'!$P$6:$P$405,1),COUNTIFS('Istoric_Nativ'!$B$6:$B$405,E718,'Istoric_Nativ'!$C$6:$C$405,F718,'Istoric_Nativ'!$E$6:$E$405,G718,'Istoric_Nativ'!$D$6:$D$405,"&lt;"&amp;J718,'Istoric_Nativ'!$P$6:$P$405,1)+COUNTIFS('Istoric_Nativ'!$B$6:$B$405,E718,'Istoric_Nativ'!$C$6:$C$405,F718,'Istoric_Nativ'!$F$6:$F$405,G718,'Istoric_Nativ'!$D$6:$D$405,"&lt;"&amp;J718,'Istoric_Nativ'!$P$6:$P$405,1))))</x:f>
        <x:v>0</x:v>
      </x:c>
      <x:c r="L718" s="17" t="n">
        <x:f>IF(AND(B718&lt;&gt;"",I718="RECENT",K718&gt;0),LARGE(_xlfn._xlws.FILTER('Istoric_Nativ'!$D$6:$D$405,('Istoric_Nativ'!$B$6:$B$405=E718)*('Istoric_Nativ'!$C$6:$C$405=F718)*('Istoric_Nativ'!$P$6:$P$405=1)*('Istoric_Nativ'!$D$6:$D$405&lt;J718)*((('Istoric_Nativ'!$E$6:$E$405=G718)+('Istoric_Nativ'!$F$6:$F$405=G718))&gt;0)),MIN('Config_v6'!$B$54,K718)),0)</x:f>
        <x:v>0</x:v>
      </x:c>
      <x:c r="M718" s="2" t="n">
        <x:f>IF(OR(B718="",F718=""),0,IF(H718="HOME",COUNTIFS('Istoric_Nativ'!$B$6:$B$405,E718,'Istoric_Nativ'!$C$6:$C$405,F718,'Istoric_Nativ'!$E$6:$E$405,G718,'Istoric_Nativ'!$D$6:$D$405,"&lt;"&amp;J718,'Istoric_Nativ'!$P$6:$P$405,1,'Istoric_Nativ'!$D$6:$D$405,"&gt;="&amp;L718),IF(H718="AWAY",COUNTIFS('Istoric_Nativ'!$B$6:$B$405,E718,'Istoric_Nativ'!$C$6:$C$405,F718,'Istoric_Nativ'!$F$6:$F$405,G718,'Istoric_Nativ'!$D$6:$D$405,"&lt;"&amp;J718,'Istoric_Nativ'!$P$6:$P$405,1,'Istoric_Nativ'!$D$6:$D$405,"&gt;="&amp;L718),COUNTIFS('Istoric_Nativ'!$B$6:$B$405,E718,'Istoric_Nativ'!$C$6:$C$405,F718,'Istoric_Nativ'!$E$6:$E$405,G718,'Istoric_Nativ'!$D$6:$D$405,"&lt;"&amp;J718,'Istoric_Nativ'!$P$6:$P$405,1,'Istoric_Nativ'!$D$6:$D$405,"&gt;="&amp;L718)+COUNTIFS('Istoric_Nativ'!$B$6:$B$405,E718,'Istoric_Nativ'!$C$6:$C$405,F718,'Istoric_Nativ'!$F$6:$F$405,G718,'Istoric_Nativ'!$D$6:$D$405,"&lt;"&amp;J718,'Istoric_Nativ'!$P$6:$P$405,1,'Istoric_Nativ'!$D$6:$D$405,"&gt;="&amp;L718))))</x:f>
        <x:v>0</x:v>
      </x:c>
      <x:c r="N718" s="11" t="str">
        <x:f>IF(M718=0,"",IF(H718="HOME",SUMIFS('Istoric_Nativ'!$G$6:$G$405,'Istoric_Nativ'!$B$6:$B$405,E718,'Istoric_Nativ'!$C$6:$C$405,F718,'Istoric_Nativ'!$E$6:$E$405,G718,'Istoric_Nativ'!$D$6:$D$405,"&lt;"&amp;J718,'Istoric_Nativ'!$P$6:$P$405,1,'Istoric_Nativ'!$D$6:$D$405,"&gt;="&amp;L718),IF(H718="AWAY",SUMIFS('Istoric_Nativ'!$H$6:$H$405,'Istoric_Nativ'!$B$6:$B$405,E718,'Istoric_Nativ'!$C$6:$C$405,F718,'Istoric_Nativ'!$F$6:$F$405,G718,'Istoric_Nativ'!$D$6:$D$405,"&lt;"&amp;J718,'Istoric_Nativ'!$P$6:$P$405,1,'Istoric_Nativ'!$D$6:$D$405,"&gt;="&amp;L718),SUMIFS('Istoric_Nativ'!$G$6:$G$405,'Istoric_Nativ'!$B$6:$B$405,E718,'Istoric_Nativ'!$C$6:$C$405,F718,'Istoric_Nativ'!$E$6:$E$405,G718,'Istoric_Nativ'!$D$6:$D$405,"&lt;"&amp;J718,'Istoric_Nativ'!$P$6:$P$405,1,'Istoric_Nativ'!$D$6:$D$405,"&gt;="&amp;L718)+SUMIFS('Istoric_Nativ'!$H$6:$H$405,'Istoric_Nativ'!$B$6:$B$405,E718,'Istoric_Nativ'!$C$6:$C$405,F718,'Istoric_Nativ'!$F$6:$F$405,G718,'Istoric_Nativ'!$D$6:$D$405,"&lt;"&amp;J718,'Istoric_Nativ'!$P$6:$P$405,1,'Istoric_Nativ'!$D$6:$D$405,"&gt;="&amp;L718)))/M718)</x:f>
      </x:c>
      <x:c r="O718" s="11" t="str">
        <x:f>IF(M718=0,"",IF(H718="HOME",SUMIFS('Istoric_Nativ'!$H$6:$H$405,'Istoric_Nativ'!$B$6:$B$405,E718,'Istoric_Nativ'!$C$6:$C$405,F718,'Istoric_Nativ'!$E$6:$E$405,G718,'Istoric_Nativ'!$D$6:$D$405,"&lt;"&amp;J718,'Istoric_Nativ'!$P$6:$P$405,1,'Istoric_Nativ'!$D$6:$D$405,"&gt;="&amp;L718),IF(H718="AWAY",SUMIFS('Istoric_Nativ'!$G$6:$G$405,'Istoric_Nativ'!$B$6:$B$405,E718,'Istoric_Nativ'!$C$6:$C$405,F718,'Istoric_Nativ'!$F$6:$F$405,G718,'Istoric_Nativ'!$D$6:$D$405,"&lt;"&amp;J718,'Istoric_Nativ'!$P$6:$P$405,1,'Istoric_Nativ'!$D$6:$D$405,"&gt;="&amp;L718),SUMIFS('Istoric_Nativ'!$H$6:$H$405,'Istoric_Nativ'!$B$6:$B$405,E718,'Istoric_Nativ'!$C$6:$C$405,F718,'Istoric_Nativ'!$E$6:$E$405,G718,'Istoric_Nativ'!$D$6:$D$405,"&lt;"&amp;J718,'Istoric_Nativ'!$P$6:$P$405,1,'Istoric_Nativ'!$D$6:$D$405,"&gt;="&amp;L718)+SUMIFS('Istoric_Nativ'!$G$6:$G$405,'Istoric_Nativ'!$B$6:$B$405,E718,'Istoric_Nativ'!$C$6:$C$405,F718,'Istoric_Nativ'!$F$6:$F$405,G718,'Istoric_Nativ'!$D$6:$D$405,"&lt;"&amp;J718,'Istoric_Nativ'!$P$6:$P$405,1,'Istoric_Nativ'!$D$6:$D$405,"&gt;="&amp;L718)))/M718)</x:f>
      </x:c>
      <x:c r="P718" s="2" t="n">
        <x:f>'Config_v6'!$B$8</x:f>
        <x:v>5</x:v>
      </x:c>
      <x:c r="Q718" s="2" t="n">
        <x:f>IF(OR(B718="",F718=""),0,IFERROR(MATCH(E718&amp;"|"&amp;F718,SourceTable[Source_Key],0),0))</x:f>
        <x:v>0</x:v>
      </x:c>
      <x:c r="R718" s="2" t="str">
        <x:f>IF(B718="","",IF(F718="","UNUSED",IF(Q718=0,"NOT CHECKED",IF(COUNTIF(SourceTable[Source_Key],E718&amp;"|"&amp;F718)&lt;&gt;1,"SOURCE CONFLICT",IF(NOT(OR(INDEX(SourceTable[Status],MAX(1,Q718))="IMPORTED",INDEX(SourceTable[Status],MAX(1,Q718))="PARTIAL",INDEX(SourceTable[Status],MAX(1,Q718))="SOURCE CONFLICT")),"ACCESS BLOCKED",IF(OR(INDEX(SourceTable[Coverage],Q718)&lt;&gt;"FULL SEASON EXPORT",INDEX(SourceTable[URL],Q718)="",INDEX(SourceTable[SHA256],Q718)=""),"EVIDENCE INCOMPLETE",IF(AND('Input_Meci'!H65="LIVE",INDEX(SourceTable[Retrieved_UTC],Q718)&gt;'Input_Meci'!G65),"POST CUTOFF","CLOSED")))))))</x:f>
      </x:c>
      <x:c r="S718" s="2" t="n">
        <x:f>IF(OR(B718="",F718=""),0,COUNTIFS('Istoric_Nativ'!$B$6:$B$405,E718,'Istoric_Nativ'!$C$6:$C$405,F718,'Istoric_Nativ'!$E$6:$E$405,G718,'Istoric_Nativ'!$D$6:$D$405,"&lt;"&amp;J718,'Istoric_Nativ'!$O$6:$O$405,"INVALID")+COUNTIFS('Istoric_Nativ'!$B$6:$B$405,E718,'Istoric_Nativ'!$C$6:$C$405,F718,'Istoric_Nativ'!$E$6:$E$405,G718,'Istoric_Nativ'!$O$6:$O$405,"INVALID",'Istoric_Nativ'!$D$6:$D$405,"*")+COUNTIFS('Istoric_Nativ'!$B$6:$B$405,E718,'Istoric_Nativ'!$C$6:$C$405,F718,'Istoric_Nativ'!$E$6:$E$405,G718,'Istoric_Nativ'!$D$6:$D$405,"&lt;"&amp;J718,'Istoric_Nativ'!$O$6:$O$405,"SOURCE CONFLICT")+COUNTIFS('Istoric_Nativ'!$B$6:$B$405,E718,'Istoric_Nativ'!$C$6:$C$405,F718,'Istoric_Nativ'!$F$6:$F$405,G718,'Istoric_Nativ'!$D$6:$D$405,"&lt;"&amp;J718,'Istoric_Nativ'!$O$6:$O$405,"INVALID")+COUNTIFS('Istoric_Nativ'!$B$6:$B$405,E718,'Istoric_Nativ'!$C$6:$C$405,F718,'Istoric_Nativ'!$F$6:$F$405,G718,'Istoric_Nativ'!$O$6:$O$405,"INVALID",'Istoric_Nativ'!$D$6:$D$405,"*")+COUNTIFS('Istoric_Nativ'!$B$6:$B$405,E718,'Istoric_Nativ'!$C$6:$C$405,F718,'Istoric_Nativ'!$F$6:$F$405,G718,'Istoric_Nativ'!$D$6:$D$405,"&lt;"&amp;J718,'Istoric_Nativ'!$O$6:$O$405,"SOURCE CONFLICT"))</x:f>
        <x:v>0</x:v>
      </x:c>
      <x:c r="T718" s="2" t="str">
        <x:f>IF(B718="","",IF(R718&lt;&gt;"CLOSED",R718,IF(S718&gt;0,"NATIVE INPUT ISSUE",IF(M718=0,"NO HISTORY",IF(M718&lt;P718,"SMALL SAMPLE","DERIVED")))))</x:f>
      </x:c>
      <x:c r="U718" s="2" t="str">
        <x:f>IF(B718="","","NativeTable; "&amp;E718&amp;"; "&amp;F718&amp;"; "&amp;G718&amp;"; "&amp;H718&amp;"; before "&amp;TEXT(J718,"yyyy-mm-dd")&amp;IF(I718="RECENT","; from "&amp;TEXT(L718,"yyyy-mm-dd"),""))</x:f>
      </x:c>
    </x:row>
    <x:row r="719" ht="21" customHeight="1">
      <x:c r="A719" s="2" t="n">
        <x:v>60</x:v>
      </x:c>
      <x:c r="B719" s="2" t="str">
        <x:f>IF('Input_Meci'!A65="","",'Input_Meci'!A65)</x:f>
      </x:c>
      <x:c r="C719" s="2" t="str">
        <x:v>A</x:v>
      </x:c>
      <x:c r="D719" s="2" t="str">
        <x:v>CURRENT</x:v>
      </x:c>
      <x:c r="E719" s="2" t="str">
        <x:f>IF(B719="","",'Input_Meci'!B65)</x:f>
      </x:c>
      <x:c r="F719" s="2" t="str">
        <x:f>IF(B719="","",IF('Input_Meci'!C65="","",'Input_Meci'!C65))</x:f>
      </x:c>
      <x:c r="G719" s="2" t="str">
        <x:f>IF(B719="","",'Input_Meci'!E65)</x:f>
      </x:c>
      <x:c r="H719" s="2" t="str">
        <x:v>ANY</x:v>
      </x:c>
      <x:c r="I719" s="2" t="str">
        <x:v>RECENT</x:v>
      </x:c>
      <x:c r="J719" s="9" t="n">
        <x:f>IF(AND(B719&lt;&gt;"",ISNUMBER('Input_Meci'!G65)),INT('Input_Meci'!G65),0)</x:f>
        <x:v>0</x:v>
      </x:c>
      <x:c r="K719" s="2" t="n">
        <x:f>IF(OR(B719="",F719=""),0,IF(H719="HOME",COUNTIFS('Istoric_Nativ'!$B$6:$B$405,E719,'Istoric_Nativ'!$C$6:$C$405,F719,'Istoric_Nativ'!$E$6:$E$405,G719,'Istoric_Nativ'!$D$6:$D$405,"&lt;"&amp;J719,'Istoric_Nativ'!$P$6:$P$405,1),IF(H719="AWAY",COUNTIFS('Istoric_Nativ'!$B$6:$B$405,E719,'Istoric_Nativ'!$C$6:$C$405,F719,'Istoric_Nativ'!$F$6:$F$405,G719,'Istoric_Nativ'!$D$6:$D$405,"&lt;"&amp;J719,'Istoric_Nativ'!$P$6:$P$405,1),COUNTIFS('Istoric_Nativ'!$B$6:$B$405,E719,'Istoric_Nativ'!$C$6:$C$405,F719,'Istoric_Nativ'!$E$6:$E$405,G719,'Istoric_Nativ'!$D$6:$D$405,"&lt;"&amp;J719,'Istoric_Nativ'!$P$6:$P$405,1)+COUNTIFS('Istoric_Nativ'!$B$6:$B$405,E719,'Istoric_Nativ'!$C$6:$C$405,F719,'Istoric_Nativ'!$F$6:$F$405,G719,'Istoric_Nativ'!$D$6:$D$405,"&lt;"&amp;J719,'Istoric_Nativ'!$P$6:$P$405,1))))</x:f>
        <x:v>0</x:v>
      </x:c>
      <x:c r="L719" s="17" t="n">
        <x:f>IF(AND(B719&lt;&gt;"",I719="RECENT",K719&gt;0),LARGE(_xlfn._xlws.FILTER('Istoric_Nativ'!$D$6:$D$405,('Istoric_Nativ'!$B$6:$B$405=E719)*('Istoric_Nativ'!$C$6:$C$405=F719)*('Istoric_Nativ'!$P$6:$P$405=1)*('Istoric_Nativ'!$D$6:$D$405&lt;J719)*((('Istoric_Nativ'!$E$6:$E$405=G719)+('Istoric_Nativ'!$F$6:$F$405=G719))&gt;0)),MIN('Config_v6'!$B$54,K719)),0)</x:f>
        <x:v>0</x:v>
      </x:c>
      <x:c r="M719" s="2" t="n">
        <x:f>IF(OR(B719="",F719=""),0,IF(H719="HOME",COUNTIFS('Istoric_Nativ'!$B$6:$B$405,E719,'Istoric_Nativ'!$C$6:$C$405,F719,'Istoric_Nativ'!$E$6:$E$405,G719,'Istoric_Nativ'!$D$6:$D$405,"&lt;"&amp;J719,'Istoric_Nativ'!$P$6:$P$405,1,'Istoric_Nativ'!$D$6:$D$405,"&gt;="&amp;L719),IF(H719="AWAY",COUNTIFS('Istoric_Nativ'!$B$6:$B$405,E719,'Istoric_Nativ'!$C$6:$C$405,F719,'Istoric_Nativ'!$F$6:$F$405,G719,'Istoric_Nativ'!$D$6:$D$405,"&lt;"&amp;J719,'Istoric_Nativ'!$P$6:$P$405,1,'Istoric_Nativ'!$D$6:$D$405,"&gt;="&amp;L719),COUNTIFS('Istoric_Nativ'!$B$6:$B$405,E719,'Istoric_Nativ'!$C$6:$C$405,F719,'Istoric_Nativ'!$E$6:$E$405,G719,'Istoric_Nativ'!$D$6:$D$405,"&lt;"&amp;J719,'Istoric_Nativ'!$P$6:$P$405,1,'Istoric_Nativ'!$D$6:$D$405,"&gt;="&amp;L719)+COUNTIFS('Istoric_Nativ'!$B$6:$B$405,E719,'Istoric_Nativ'!$C$6:$C$405,F719,'Istoric_Nativ'!$F$6:$F$405,G719,'Istoric_Nativ'!$D$6:$D$405,"&lt;"&amp;J719,'Istoric_Nativ'!$P$6:$P$405,1,'Istoric_Nativ'!$D$6:$D$405,"&gt;="&amp;L719))))</x:f>
        <x:v>0</x:v>
      </x:c>
      <x:c r="N719" s="11" t="str">
        <x:f>IF(M719=0,"",IF(H719="HOME",SUMIFS('Istoric_Nativ'!$G$6:$G$405,'Istoric_Nativ'!$B$6:$B$405,E719,'Istoric_Nativ'!$C$6:$C$405,F719,'Istoric_Nativ'!$E$6:$E$405,G719,'Istoric_Nativ'!$D$6:$D$405,"&lt;"&amp;J719,'Istoric_Nativ'!$P$6:$P$405,1,'Istoric_Nativ'!$D$6:$D$405,"&gt;="&amp;L719),IF(H719="AWAY",SUMIFS('Istoric_Nativ'!$H$6:$H$405,'Istoric_Nativ'!$B$6:$B$405,E719,'Istoric_Nativ'!$C$6:$C$405,F719,'Istoric_Nativ'!$F$6:$F$405,G719,'Istoric_Nativ'!$D$6:$D$405,"&lt;"&amp;J719,'Istoric_Nativ'!$P$6:$P$405,1,'Istoric_Nativ'!$D$6:$D$405,"&gt;="&amp;L719),SUMIFS('Istoric_Nativ'!$G$6:$G$405,'Istoric_Nativ'!$B$6:$B$405,E719,'Istoric_Nativ'!$C$6:$C$405,F719,'Istoric_Nativ'!$E$6:$E$405,G719,'Istoric_Nativ'!$D$6:$D$405,"&lt;"&amp;J719,'Istoric_Nativ'!$P$6:$P$405,1,'Istoric_Nativ'!$D$6:$D$405,"&gt;="&amp;L719)+SUMIFS('Istoric_Nativ'!$H$6:$H$405,'Istoric_Nativ'!$B$6:$B$405,E719,'Istoric_Nativ'!$C$6:$C$405,F719,'Istoric_Nativ'!$F$6:$F$405,G719,'Istoric_Nativ'!$D$6:$D$405,"&lt;"&amp;J719,'Istoric_Nativ'!$P$6:$P$405,1,'Istoric_Nativ'!$D$6:$D$405,"&gt;="&amp;L719)))/M719)</x:f>
      </x:c>
      <x:c r="O719" s="11" t="str">
        <x:f>IF(M719=0,"",IF(H719="HOME",SUMIFS('Istoric_Nativ'!$H$6:$H$405,'Istoric_Nativ'!$B$6:$B$405,E719,'Istoric_Nativ'!$C$6:$C$405,F719,'Istoric_Nativ'!$E$6:$E$405,G719,'Istoric_Nativ'!$D$6:$D$405,"&lt;"&amp;J719,'Istoric_Nativ'!$P$6:$P$405,1,'Istoric_Nativ'!$D$6:$D$405,"&gt;="&amp;L719),IF(H719="AWAY",SUMIFS('Istoric_Nativ'!$G$6:$G$405,'Istoric_Nativ'!$B$6:$B$405,E719,'Istoric_Nativ'!$C$6:$C$405,F719,'Istoric_Nativ'!$F$6:$F$405,G719,'Istoric_Nativ'!$D$6:$D$405,"&lt;"&amp;J719,'Istoric_Nativ'!$P$6:$P$405,1,'Istoric_Nativ'!$D$6:$D$405,"&gt;="&amp;L719),SUMIFS('Istoric_Nativ'!$H$6:$H$405,'Istoric_Nativ'!$B$6:$B$405,E719,'Istoric_Nativ'!$C$6:$C$405,F719,'Istoric_Nativ'!$E$6:$E$405,G719,'Istoric_Nativ'!$D$6:$D$405,"&lt;"&amp;J719,'Istoric_Nativ'!$P$6:$P$405,1,'Istoric_Nativ'!$D$6:$D$405,"&gt;="&amp;L719)+SUMIFS('Istoric_Nativ'!$G$6:$G$405,'Istoric_Nativ'!$B$6:$B$405,E719,'Istoric_Nativ'!$C$6:$C$405,F719,'Istoric_Nativ'!$F$6:$F$405,G719,'Istoric_Nativ'!$D$6:$D$405,"&lt;"&amp;J719,'Istoric_Nativ'!$P$6:$P$405,1,'Istoric_Nativ'!$D$6:$D$405,"&gt;="&amp;L719)))/M719)</x:f>
      </x:c>
      <x:c r="P719" s="2" t="n">
        <x:f>'Config_v6'!$B$9</x:f>
        <x:v>3</x:v>
      </x:c>
      <x:c r="Q719" s="2" t="n">
        <x:f>IF(OR(B719="",F719=""),0,IFERROR(MATCH(E719&amp;"|"&amp;F719,SourceTable[Source_Key],0),0))</x:f>
        <x:v>0</x:v>
      </x:c>
      <x:c r="R719" s="2" t="str">
        <x:f>IF(B719="","",IF(F719="","UNUSED",IF(Q719=0,"NOT CHECKED",IF(COUNTIF(SourceTable[Source_Key],E719&amp;"|"&amp;F719)&lt;&gt;1,"SOURCE CONFLICT",IF(NOT(OR(INDEX(SourceTable[Status],MAX(1,Q719))="IMPORTED",INDEX(SourceTable[Status],MAX(1,Q719))="PARTIAL",INDEX(SourceTable[Status],MAX(1,Q719))="SOURCE CONFLICT")),"ACCESS BLOCKED",IF(OR(INDEX(SourceTable[Coverage],Q719)&lt;&gt;"FULL SEASON EXPORT",INDEX(SourceTable[URL],Q719)="",INDEX(SourceTable[SHA256],Q719)=""),"EVIDENCE INCOMPLETE",IF(AND('Input_Meci'!H65="LIVE",INDEX(SourceTable[Retrieved_UTC],Q719)&gt;'Input_Meci'!G65),"POST CUTOFF","CLOSED")))))))</x:f>
      </x:c>
      <x:c r="S719" s="2" t="n">
        <x:f>IF(OR(B719="",F719=""),0,COUNTIFS('Istoric_Nativ'!$B$6:$B$405,E719,'Istoric_Nativ'!$C$6:$C$405,F719,'Istoric_Nativ'!$E$6:$E$405,G719,'Istoric_Nativ'!$D$6:$D$405,"&lt;"&amp;J719,'Istoric_Nativ'!$O$6:$O$405,"INVALID")+COUNTIFS('Istoric_Nativ'!$B$6:$B$405,E719,'Istoric_Nativ'!$C$6:$C$405,F719,'Istoric_Nativ'!$E$6:$E$405,G719,'Istoric_Nativ'!$O$6:$O$405,"INVALID",'Istoric_Nativ'!$D$6:$D$405,"*")+COUNTIFS('Istoric_Nativ'!$B$6:$B$405,E719,'Istoric_Nativ'!$C$6:$C$405,F719,'Istoric_Nativ'!$E$6:$E$405,G719,'Istoric_Nativ'!$D$6:$D$405,"&lt;"&amp;J719,'Istoric_Nativ'!$O$6:$O$405,"SOURCE CONFLICT")+COUNTIFS('Istoric_Nativ'!$B$6:$B$405,E719,'Istoric_Nativ'!$C$6:$C$405,F719,'Istoric_Nativ'!$F$6:$F$405,G719,'Istoric_Nativ'!$D$6:$D$405,"&lt;"&amp;J719,'Istoric_Nativ'!$O$6:$O$405,"INVALID")+COUNTIFS('Istoric_Nativ'!$B$6:$B$405,E719,'Istoric_Nativ'!$C$6:$C$405,F719,'Istoric_Nativ'!$F$6:$F$405,G719,'Istoric_Nativ'!$O$6:$O$405,"INVALID",'Istoric_Nativ'!$D$6:$D$405,"*")+COUNTIFS('Istoric_Nativ'!$B$6:$B$405,E719,'Istoric_Nativ'!$C$6:$C$405,F719,'Istoric_Nativ'!$F$6:$F$405,G719,'Istoric_Nativ'!$D$6:$D$405,"&lt;"&amp;J719,'Istoric_Nativ'!$O$6:$O$405,"SOURCE CONFLICT"))</x:f>
        <x:v>0</x:v>
      </x:c>
      <x:c r="T719" s="2" t="str">
        <x:f>IF(B719="","",IF(R719&lt;&gt;"CLOSED",R719,IF(S719&gt;0,"NATIVE INPUT ISSUE",IF(M719=0,"NO HISTORY",IF(M719&lt;P719,"SMALL SAMPLE","DERIVED")))))</x:f>
      </x:c>
      <x:c r="U719" s="2" t="str">
        <x:f>IF(B719="","","NativeTable; "&amp;E719&amp;"; "&amp;F719&amp;"; "&amp;G719&amp;"; "&amp;H719&amp;"; before "&amp;TEXT(J719,"yyyy-mm-dd")&amp;IF(I719="RECENT","; from "&amp;TEXT(L719,"yyyy-mm-dd"),""))</x:f>
      </x:c>
    </x:row>
    <x:row r="720" ht="21" customHeight="1">
      <x:c r="A720" s="2" t="n">
        <x:v>60</x:v>
      </x:c>
      <x:c r="B720" s="2" t="str">
        <x:f>IF('Input_Meci'!A65="","",'Input_Meci'!A65)</x:f>
      </x:c>
      <x:c r="C720" s="2" t="str">
        <x:v>H</x:v>
      </x:c>
      <x:c r="D720" s="2" t="str">
        <x:v>PRIOR</x:v>
      </x:c>
      <x:c r="E720" s="2" t="str">
        <x:f>IF(B720="","",'Input_Meci'!B65)</x:f>
      </x:c>
      <x:c r="F720" s="2" t="str">
        <x:f>IF(B720="","",IF('Input_Meci'!K65="","",'Input_Meci'!K65))</x:f>
      </x:c>
      <x:c r="G720" s="2" t="str">
        <x:f>IF(B720="","",'Input_Meci'!D65)</x:f>
      </x:c>
      <x:c r="H720" s="2" t="str">
        <x:v>ANY</x:v>
      </x:c>
      <x:c r="I720" s="2" t="str">
        <x:v>SEASON</x:v>
      </x:c>
      <x:c r="J720" s="9" t="n">
        <x:f>IF(AND(B720&lt;&gt;"",ISNUMBER('Input_Meci'!G65)),INT('Input_Meci'!G65),0)</x:f>
        <x:v>0</x:v>
      </x:c>
      <x:c r="K720" s="2" t="n">
        <x:f>IF(OR(B720="",F720=""),0,IF(H720="HOME",COUNTIFS('Istoric_Nativ'!$B$6:$B$405,E720,'Istoric_Nativ'!$C$6:$C$405,F720,'Istoric_Nativ'!$E$6:$E$405,G720,'Istoric_Nativ'!$D$6:$D$405,"&lt;"&amp;J720,'Istoric_Nativ'!$P$6:$P$405,1),IF(H720="AWAY",COUNTIFS('Istoric_Nativ'!$B$6:$B$405,E720,'Istoric_Nativ'!$C$6:$C$405,F720,'Istoric_Nativ'!$F$6:$F$405,G720,'Istoric_Nativ'!$D$6:$D$405,"&lt;"&amp;J720,'Istoric_Nativ'!$P$6:$P$405,1),COUNTIFS('Istoric_Nativ'!$B$6:$B$405,E720,'Istoric_Nativ'!$C$6:$C$405,F720,'Istoric_Nativ'!$E$6:$E$405,G720,'Istoric_Nativ'!$D$6:$D$405,"&lt;"&amp;J720,'Istoric_Nativ'!$P$6:$P$405,1)+COUNTIFS('Istoric_Nativ'!$B$6:$B$405,E720,'Istoric_Nativ'!$C$6:$C$405,F720,'Istoric_Nativ'!$F$6:$F$405,G720,'Istoric_Nativ'!$D$6:$D$405,"&lt;"&amp;J720,'Istoric_Nativ'!$P$6:$P$405,1))))</x:f>
        <x:v>0</x:v>
      </x:c>
      <x:c r="L720" s="17" t="n">
        <x:f>IF(AND(B720&lt;&gt;"",I720="RECENT",K720&gt;0),LARGE(_xlfn._xlws.FILTER('Istoric_Nativ'!$D$6:$D$405,('Istoric_Nativ'!$B$6:$B$405=E720)*('Istoric_Nativ'!$C$6:$C$405=F720)*('Istoric_Nativ'!$P$6:$P$405=1)*('Istoric_Nativ'!$D$6:$D$405&lt;J720)*((('Istoric_Nativ'!$E$6:$E$405=G720)+('Istoric_Nativ'!$F$6:$F$405=G720))&gt;0)),MIN('Config_v6'!$B$54,K720)),0)</x:f>
        <x:v>0</x:v>
      </x:c>
      <x:c r="M720" s="2" t="n">
        <x:f>IF(OR(B720="",F720=""),0,IF(H720="HOME",COUNTIFS('Istoric_Nativ'!$B$6:$B$405,E720,'Istoric_Nativ'!$C$6:$C$405,F720,'Istoric_Nativ'!$E$6:$E$405,G720,'Istoric_Nativ'!$D$6:$D$405,"&lt;"&amp;J720,'Istoric_Nativ'!$P$6:$P$405,1,'Istoric_Nativ'!$D$6:$D$405,"&gt;="&amp;L720),IF(H720="AWAY",COUNTIFS('Istoric_Nativ'!$B$6:$B$405,E720,'Istoric_Nativ'!$C$6:$C$405,F720,'Istoric_Nativ'!$F$6:$F$405,G720,'Istoric_Nativ'!$D$6:$D$405,"&lt;"&amp;J720,'Istoric_Nativ'!$P$6:$P$405,1,'Istoric_Nativ'!$D$6:$D$405,"&gt;="&amp;L720),COUNTIFS('Istoric_Nativ'!$B$6:$B$405,E720,'Istoric_Nativ'!$C$6:$C$405,F720,'Istoric_Nativ'!$E$6:$E$405,G720,'Istoric_Nativ'!$D$6:$D$405,"&lt;"&amp;J720,'Istoric_Nativ'!$P$6:$P$405,1,'Istoric_Nativ'!$D$6:$D$405,"&gt;="&amp;L720)+COUNTIFS('Istoric_Nativ'!$B$6:$B$405,E720,'Istoric_Nativ'!$C$6:$C$405,F720,'Istoric_Nativ'!$F$6:$F$405,G720,'Istoric_Nativ'!$D$6:$D$405,"&lt;"&amp;J720,'Istoric_Nativ'!$P$6:$P$405,1,'Istoric_Nativ'!$D$6:$D$405,"&gt;="&amp;L720))))</x:f>
        <x:v>0</x:v>
      </x:c>
      <x:c r="N720" s="11" t="str">
        <x:f>IF(M720=0,"",IF(H720="HOME",SUMIFS('Istoric_Nativ'!$G$6:$G$405,'Istoric_Nativ'!$B$6:$B$405,E720,'Istoric_Nativ'!$C$6:$C$405,F720,'Istoric_Nativ'!$E$6:$E$405,G720,'Istoric_Nativ'!$D$6:$D$405,"&lt;"&amp;J720,'Istoric_Nativ'!$P$6:$P$405,1,'Istoric_Nativ'!$D$6:$D$405,"&gt;="&amp;L720),IF(H720="AWAY",SUMIFS('Istoric_Nativ'!$H$6:$H$405,'Istoric_Nativ'!$B$6:$B$405,E720,'Istoric_Nativ'!$C$6:$C$405,F720,'Istoric_Nativ'!$F$6:$F$405,G720,'Istoric_Nativ'!$D$6:$D$405,"&lt;"&amp;J720,'Istoric_Nativ'!$P$6:$P$405,1,'Istoric_Nativ'!$D$6:$D$405,"&gt;="&amp;L720),SUMIFS('Istoric_Nativ'!$G$6:$G$405,'Istoric_Nativ'!$B$6:$B$405,E720,'Istoric_Nativ'!$C$6:$C$405,F720,'Istoric_Nativ'!$E$6:$E$405,G720,'Istoric_Nativ'!$D$6:$D$405,"&lt;"&amp;J720,'Istoric_Nativ'!$P$6:$P$405,1,'Istoric_Nativ'!$D$6:$D$405,"&gt;="&amp;L720)+SUMIFS('Istoric_Nativ'!$H$6:$H$405,'Istoric_Nativ'!$B$6:$B$405,E720,'Istoric_Nativ'!$C$6:$C$405,F720,'Istoric_Nativ'!$F$6:$F$405,G720,'Istoric_Nativ'!$D$6:$D$405,"&lt;"&amp;J720,'Istoric_Nativ'!$P$6:$P$405,1,'Istoric_Nativ'!$D$6:$D$405,"&gt;="&amp;L720)))/M720)</x:f>
      </x:c>
      <x:c r="O720" s="11" t="str">
        <x:f>IF(M720=0,"",IF(H720="HOME",SUMIFS('Istoric_Nativ'!$H$6:$H$405,'Istoric_Nativ'!$B$6:$B$405,E720,'Istoric_Nativ'!$C$6:$C$405,F720,'Istoric_Nativ'!$E$6:$E$405,G720,'Istoric_Nativ'!$D$6:$D$405,"&lt;"&amp;J720,'Istoric_Nativ'!$P$6:$P$405,1,'Istoric_Nativ'!$D$6:$D$405,"&gt;="&amp;L720),IF(H720="AWAY",SUMIFS('Istoric_Nativ'!$G$6:$G$405,'Istoric_Nativ'!$B$6:$B$405,E720,'Istoric_Nativ'!$C$6:$C$405,F720,'Istoric_Nativ'!$F$6:$F$405,G720,'Istoric_Nativ'!$D$6:$D$405,"&lt;"&amp;J720,'Istoric_Nativ'!$P$6:$P$405,1,'Istoric_Nativ'!$D$6:$D$405,"&gt;="&amp;L720),SUMIFS('Istoric_Nativ'!$H$6:$H$405,'Istoric_Nativ'!$B$6:$B$405,E720,'Istoric_Nativ'!$C$6:$C$405,F720,'Istoric_Nativ'!$E$6:$E$405,G720,'Istoric_Nativ'!$D$6:$D$405,"&lt;"&amp;J720,'Istoric_Nativ'!$P$6:$P$405,1,'Istoric_Nativ'!$D$6:$D$405,"&gt;="&amp;L720)+SUMIFS('Istoric_Nativ'!$G$6:$G$405,'Istoric_Nativ'!$B$6:$B$405,E720,'Istoric_Nativ'!$C$6:$C$405,F720,'Istoric_Nativ'!$F$6:$F$405,G720,'Istoric_Nativ'!$D$6:$D$405,"&lt;"&amp;J720,'Istoric_Nativ'!$P$6:$P$405,1,'Istoric_Nativ'!$D$6:$D$405,"&gt;="&amp;L720)))/M720)</x:f>
      </x:c>
      <x:c r="P720" s="2" t="n">
        <x:f>'Config_v6'!$B$7</x:f>
        <x:v>10</x:v>
      </x:c>
      <x:c r="Q720" s="2" t="n">
        <x:f>IF(OR(B720="",F720=""),0,IFERROR(MATCH(E720&amp;"|"&amp;F720,SourceTable[Source_Key],0),0))</x:f>
        <x:v>0</x:v>
      </x:c>
      <x:c r="R720" s="2" t="str">
        <x:f>IF(B720="","",IF(F720="","UNUSED",IF(Q720=0,"NOT CHECKED",IF(COUNTIF(SourceTable[Source_Key],E720&amp;"|"&amp;F720)&lt;&gt;1,"SOURCE CONFLICT",IF(NOT(OR(INDEX(SourceTable[Status],MAX(1,Q720))="IMPORTED",INDEX(SourceTable[Status],MAX(1,Q720))="PARTIAL",INDEX(SourceTable[Status],MAX(1,Q720))="SOURCE CONFLICT")),"ACCESS BLOCKED",IF(OR(INDEX(SourceTable[Coverage],Q720)&lt;&gt;"FULL SEASON EXPORT",INDEX(SourceTable[URL],Q720)="",INDEX(SourceTable[SHA256],Q720)=""),"EVIDENCE INCOMPLETE",IF(AND('Input_Meci'!H65="LIVE",INDEX(SourceTable[Retrieved_UTC],Q720)&gt;'Input_Meci'!G65),"POST CUTOFF","CLOSED")))))))</x:f>
      </x:c>
      <x:c r="S720" s="2" t="n">
        <x:f>IF(OR(B720="",F720=""),0,COUNTIFS('Istoric_Nativ'!$B$6:$B$405,E720,'Istoric_Nativ'!$C$6:$C$405,F720,'Istoric_Nativ'!$E$6:$E$405,G720,'Istoric_Nativ'!$D$6:$D$405,"&lt;"&amp;J720,'Istoric_Nativ'!$O$6:$O$405,"INVALID")+COUNTIFS('Istoric_Nativ'!$B$6:$B$405,E720,'Istoric_Nativ'!$C$6:$C$405,F720,'Istoric_Nativ'!$E$6:$E$405,G720,'Istoric_Nativ'!$O$6:$O$405,"INVALID",'Istoric_Nativ'!$D$6:$D$405,"*")+COUNTIFS('Istoric_Nativ'!$B$6:$B$405,E720,'Istoric_Nativ'!$C$6:$C$405,F720,'Istoric_Nativ'!$E$6:$E$405,G720,'Istoric_Nativ'!$D$6:$D$405,"&lt;"&amp;J720,'Istoric_Nativ'!$O$6:$O$405,"SOURCE CONFLICT")+COUNTIFS('Istoric_Nativ'!$B$6:$B$405,E720,'Istoric_Nativ'!$C$6:$C$405,F720,'Istoric_Nativ'!$F$6:$F$405,G720,'Istoric_Nativ'!$D$6:$D$405,"&lt;"&amp;J720,'Istoric_Nativ'!$O$6:$O$405,"INVALID")+COUNTIFS('Istoric_Nativ'!$B$6:$B$405,E720,'Istoric_Nativ'!$C$6:$C$405,F720,'Istoric_Nativ'!$F$6:$F$405,G720,'Istoric_Nativ'!$O$6:$O$405,"INVALID",'Istoric_Nativ'!$D$6:$D$405,"*")+COUNTIFS('Istoric_Nativ'!$B$6:$B$405,E720,'Istoric_Nativ'!$C$6:$C$405,F720,'Istoric_Nativ'!$F$6:$F$405,G720,'Istoric_Nativ'!$D$6:$D$405,"&lt;"&amp;J720,'Istoric_Nativ'!$O$6:$O$405,"SOURCE CONFLICT"))</x:f>
        <x:v>0</x:v>
      </x:c>
      <x:c r="T720" s="2" t="str">
        <x:f>IF(B720="","",IF(R720&lt;&gt;"CLOSED",R720,IF(S720&gt;0,"NATIVE INPUT ISSUE",IF(M720=0,"NO HISTORY",IF(M720&lt;P720,"SMALL SAMPLE","DERIVED")))))</x:f>
      </x:c>
      <x:c r="U720" s="2" t="str">
        <x:f>IF(B720="","","NativeTable; "&amp;E720&amp;"; "&amp;F720&amp;"; "&amp;G720&amp;"; "&amp;H720&amp;"; before "&amp;TEXT(J720,"yyyy-mm-dd")&amp;IF(I720="RECENT","; from "&amp;TEXT(L720,"yyyy-mm-dd"),""))</x:f>
      </x:c>
    </x:row>
    <x:row r="721" ht="21" customHeight="1">
      <x:c r="A721" s="2" t="n">
        <x:v>60</x:v>
      </x:c>
      <x:c r="B721" s="2" t="str">
        <x:f>IF('Input_Meci'!A65="","",'Input_Meci'!A65)</x:f>
      </x:c>
      <x:c r="C721" s="2" t="str">
        <x:v>H</x:v>
      </x:c>
      <x:c r="D721" s="2" t="str">
        <x:v>PRIOR</x:v>
      </x:c>
      <x:c r="E721" s="2" t="str">
        <x:f>IF(B721="","",'Input_Meci'!B65)</x:f>
      </x:c>
      <x:c r="F721" s="2" t="str">
        <x:f>IF(B721="","",IF('Input_Meci'!K65="","",'Input_Meci'!K65))</x:f>
      </x:c>
      <x:c r="G721" s="2" t="str">
        <x:f>IF(B721="","",'Input_Meci'!D65)</x:f>
      </x:c>
      <x:c r="H721" s="2" t="str">
        <x:v>HOME</x:v>
      </x:c>
      <x:c r="I721" s="2" t="str">
        <x:v>HA</x:v>
      </x:c>
      <x:c r="J721" s="9" t="n">
        <x:f>IF(AND(B721&lt;&gt;"",ISNUMBER('Input_Meci'!G65)),INT('Input_Meci'!G65),0)</x:f>
        <x:v>0</x:v>
      </x:c>
      <x:c r="K721" s="2" t="n">
        <x:f>IF(OR(B721="",F721=""),0,IF(H721="HOME",COUNTIFS('Istoric_Nativ'!$B$6:$B$405,E721,'Istoric_Nativ'!$C$6:$C$405,F721,'Istoric_Nativ'!$E$6:$E$405,G721,'Istoric_Nativ'!$D$6:$D$405,"&lt;"&amp;J721,'Istoric_Nativ'!$P$6:$P$405,1),IF(H721="AWAY",COUNTIFS('Istoric_Nativ'!$B$6:$B$405,E721,'Istoric_Nativ'!$C$6:$C$405,F721,'Istoric_Nativ'!$F$6:$F$405,G721,'Istoric_Nativ'!$D$6:$D$405,"&lt;"&amp;J721,'Istoric_Nativ'!$P$6:$P$405,1),COUNTIFS('Istoric_Nativ'!$B$6:$B$405,E721,'Istoric_Nativ'!$C$6:$C$405,F721,'Istoric_Nativ'!$E$6:$E$405,G721,'Istoric_Nativ'!$D$6:$D$405,"&lt;"&amp;J721,'Istoric_Nativ'!$P$6:$P$405,1)+COUNTIFS('Istoric_Nativ'!$B$6:$B$405,E721,'Istoric_Nativ'!$C$6:$C$405,F721,'Istoric_Nativ'!$F$6:$F$405,G721,'Istoric_Nativ'!$D$6:$D$405,"&lt;"&amp;J721,'Istoric_Nativ'!$P$6:$P$405,1))))</x:f>
        <x:v>0</x:v>
      </x:c>
      <x:c r="L721" s="17" t="n">
        <x:f>IF(AND(B721&lt;&gt;"",I721="RECENT",K721&gt;0),LARGE(_xlfn._xlws.FILTER('Istoric_Nativ'!$D$6:$D$405,('Istoric_Nativ'!$B$6:$B$405=E721)*('Istoric_Nativ'!$C$6:$C$405=F721)*('Istoric_Nativ'!$P$6:$P$405=1)*('Istoric_Nativ'!$D$6:$D$405&lt;J721)*((('Istoric_Nativ'!$E$6:$E$405=G721)+('Istoric_Nativ'!$F$6:$F$405=G721))&gt;0)),MIN('Config_v6'!$B$54,K721)),0)</x:f>
        <x:v>0</x:v>
      </x:c>
      <x:c r="M721" s="2" t="n">
        <x:f>IF(OR(B721="",F721=""),0,IF(H721="HOME",COUNTIFS('Istoric_Nativ'!$B$6:$B$405,E721,'Istoric_Nativ'!$C$6:$C$405,F721,'Istoric_Nativ'!$E$6:$E$405,G721,'Istoric_Nativ'!$D$6:$D$405,"&lt;"&amp;J721,'Istoric_Nativ'!$P$6:$P$405,1,'Istoric_Nativ'!$D$6:$D$405,"&gt;="&amp;L721),IF(H721="AWAY",COUNTIFS('Istoric_Nativ'!$B$6:$B$405,E721,'Istoric_Nativ'!$C$6:$C$405,F721,'Istoric_Nativ'!$F$6:$F$405,G721,'Istoric_Nativ'!$D$6:$D$405,"&lt;"&amp;J721,'Istoric_Nativ'!$P$6:$P$405,1,'Istoric_Nativ'!$D$6:$D$405,"&gt;="&amp;L721),COUNTIFS('Istoric_Nativ'!$B$6:$B$405,E721,'Istoric_Nativ'!$C$6:$C$405,F721,'Istoric_Nativ'!$E$6:$E$405,G721,'Istoric_Nativ'!$D$6:$D$405,"&lt;"&amp;J721,'Istoric_Nativ'!$P$6:$P$405,1,'Istoric_Nativ'!$D$6:$D$405,"&gt;="&amp;L721)+COUNTIFS('Istoric_Nativ'!$B$6:$B$405,E721,'Istoric_Nativ'!$C$6:$C$405,F721,'Istoric_Nativ'!$F$6:$F$405,G721,'Istoric_Nativ'!$D$6:$D$405,"&lt;"&amp;J721,'Istoric_Nativ'!$P$6:$P$405,1,'Istoric_Nativ'!$D$6:$D$405,"&gt;="&amp;L721))))</x:f>
        <x:v>0</x:v>
      </x:c>
      <x:c r="N721" s="11" t="str">
        <x:f>IF(M721=0,"",IF(H721="HOME",SUMIFS('Istoric_Nativ'!$G$6:$G$405,'Istoric_Nativ'!$B$6:$B$405,E721,'Istoric_Nativ'!$C$6:$C$405,F721,'Istoric_Nativ'!$E$6:$E$405,G721,'Istoric_Nativ'!$D$6:$D$405,"&lt;"&amp;J721,'Istoric_Nativ'!$P$6:$P$405,1,'Istoric_Nativ'!$D$6:$D$405,"&gt;="&amp;L721),IF(H721="AWAY",SUMIFS('Istoric_Nativ'!$H$6:$H$405,'Istoric_Nativ'!$B$6:$B$405,E721,'Istoric_Nativ'!$C$6:$C$405,F721,'Istoric_Nativ'!$F$6:$F$405,G721,'Istoric_Nativ'!$D$6:$D$405,"&lt;"&amp;J721,'Istoric_Nativ'!$P$6:$P$405,1,'Istoric_Nativ'!$D$6:$D$405,"&gt;="&amp;L721),SUMIFS('Istoric_Nativ'!$G$6:$G$405,'Istoric_Nativ'!$B$6:$B$405,E721,'Istoric_Nativ'!$C$6:$C$405,F721,'Istoric_Nativ'!$E$6:$E$405,G721,'Istoric_Nativ'!$D$6:$D$405,"&lt;"&amp;J721,'Istoric_Nativ'!$P$6:$P$405,1,'Istoric_Nativ'!$D$6:$D$405,"&gt;="&amp;L721)+SUMIFS('Istoric_Nativ'!$H$6:$H$405,'Istoric_Nativ'!$B$6:$B$405,E721,'Istoric_Nativ'!$C$6:$C$405,F721,'Istoric_Nativ'!$F$6:$F$405,G721,'Istoric_Nativ'!$D$6:$D$405,"&lt;"&amp;J721,'Istoric_Nativ'!$P$6:$P$405,1,'Istoric_Nativ'!$D$6:$D$405,"&gt;="&amp;L721)))/M721)</x:f>
      </x:c>
      <x:c r="O721" s="11" t="str">
        <x:f>IF(M721=0,"",IF(H721="HOME",SUMIFS('Istoric_Nativ'!$H$6:$H$405,'Istoric_Nativ'!$B$6:$B$405,E721,'Istoric_Nativ'!$C$6:$C$405,F721,'Istoric_Nativ'!$E$6:$E$405,G721,'Istoric_Nativ'!$D$6:$D$405,"&lt;"&amp;J721,'Istoric_Nativ'!$P$6:$P$405,1,'Istoric_Nativ'!$D$6:$D$405,"&gt;="&amp;L721),IF(H721="AWAY",SUMIFS('Istoric_Nativ'!$G$6:$G$405,'Istoric_Nativ'!$B$6:$B$405,E721,'Istoric_Nativ'!$C$6:$C$405,F721,'Istoric_Nativ'!$F$6:$F$405,G721,'Istoric_Nativ'!$D$6:$D$405,"&lt;"&amp;J721,'Istoric_Nativ'!$P$6:$P$405,1,'Istoric_Nativ'!$D$6:$D$405,"&gt;="&amp;L721),SUMIFS('Istoric_Nativ'!$H$6:$H$405,'Istoric_Nativ'!$B$6:$B$405,E721,'Istoric_Nativ'!$C$6:$C$405,F721,'Istoric_Nativ'!$E$6:$E$405,G721,'Istoric_Nativ'!$D$6:$D$405,"&lt;"&amp;J721,'Istoric_Nativ'!$P$6:$P$405,1,'Istoric_Nativ'!$D$6:$D$405,"&gt;="&amp;L721)+SUMIFS('Istoric_Nativ'!$G$6:$G$405,'Istoric_Nativ'!$B$6:$B$405,E721,'Istoric_Nativ'!$C$6:$C$405,F721,'Istoric_Nativ'!$F$6:$F$405,G721,'Istoric_Nativ'!$D$6:$D$405,"&lt;"&amp;J721,'Istoric_Nativ'!$P$6:$P$405,1,'Istoric_Nativ'!$D$6:$D$405,"&gt;="&amp;L721)))/M721)</x:f>
      </x:c>
      <x:c r="P721" s="2" t="n">
        <x:f>'Config_v6'!$B$8</x:f>
        <x:v>5</x:v>
      </x:c>
      <x:c r="Q721" s="2" t="n">
        <x:f>IF(OR(B721="",F721=""),0,IFERROR(MATCH(E721&amp;"|"&amp;F721,SourceTable[Source_Key],0),0))</x:f>
        <x:v>0</x:v>
      </x:c>
      <x:c r="R721" s="2" t="str">
        <x:f>IF(B721="","",IF(F721="","UNUSED",IF(Q721=0,"NOT CHECKED",IF(COUNTIF(SourceTable[Source_Key],E721&amp;"|"&amp;F721)&lt;&gt;1,"SOURCE CONFLICT",IF(NOT(OR(INDEX(SourceTable[Status],MAX(1,Q721))="IMPORTED",INDEX(SourceTable[Status],MAX(1,Q721))="PARTIAL",INDEX(SourceTable[Status],MAX(1,Q721))="SOURCE CONFLICT")),"ACCESS BLOCKED",IF(OR(INDEX(SourceTable[Coverage],Q721)&lt;&gt;"FULL SEASON EXPORT",INDEX(SourceTable[URL],Q721)="",INDEX(SourceTable[SHA256],Q721)=""),"EVIDENCE INCOMPLETE",IF(AND('Input_Meci'!H65="LIVE",INDEX(SourceTable[Retrieved_UTC],Q721)&gt;'Input_Meci'!G65),"POST CUTOFF","CLOSED")))))))</x:f>
      </x:c>
      <x:c r="S721" s="2" t="n">
        <x:f>IF(OR(B721="",F721=""),0,COUNTIFS('Istoric_Nativ'!$B$6:$B$405,E721,'Istoric_Nativ'!$C$6:$C$405,F721,'Istoric_Nativ'!$E$6:$E$405,G721,'Istoric_Nativ'!$D$6:$D$405,"&lt;"&amp;J721,'Istoric_Nativ'!$O$6:$O$405,"INVALID")+COUNTIFS('Istoric_Nativ'!$B$6:$B$405,E721,'Istoric_Nativ'!$C$6:$C$405,F721,'Istoric_Nativ'!$E$6:$E$405,G721,'Istoric_Nativ'!$O$6:$O$405,"INVALID",'Istoric_Nativ'!$D$6:$D$405,"*")+COUNTIFS('Istoric_Nativ'!$B$6:$B$405,E721,'Istoric_Nativ'!$C$6:$C$405,F721,'Istoric_Nativ'!$E$6:$E$405,G721,'Istoric_Nativ'!$D$6:$D$405,"&lt;"&amp;J721,'Istoric_Nativ'!$O$6:$O$405,"SOURCE CONFLICT")+COUNTIFS('Istoric_Nativ'!$B$6:$B$405,E721,'Istoric_Nativ'!$C$6:$C$405,F721,'Istoric_Nativ'!$F$6:$F$405,G721,'Istoric_Nativ'!$D$6:$D$405,"&lt;"&amp;J721,'Istoric_Nativ'!$O$6:$O$405,"INVALID")+COUNTIFS('Istoric_Nativ'!$B$6:$B$405,E721,'Istoric_Nativ'!$C$6:$C$405,F721,'Istoric_Nativ'!$F$6:$F$405,G721,'Istoric_Nativ'!$O$6:$O$405,"INVALID",'Istoric_Nativ'!$D$6:$D$405,"*")+COUNTIFS('Istoric_Nativ'!$B$6:$B$405,E721,'Istoric_Nativ'!$C$6:$C$405,F721,'Istoric_Nativ'!$F$6:$F$405,G721,'Istoric_Nativ'!$D$6:$D$405,"&lt;"&amp;J721,'Istoric_Nativ'!$O$6:$O$405,"SOURCE CONFLICT"))</x:f>
        <x:v>0</x:v>
      </x:c>
      <x:c r="T721" s="2" t="str">
        <x:f>IF(B721="","",IF(R721&lt;&gt;"CLOSED",R721,IF(S721&gt;0,"NATIVE INPUT ISSUE",IF(M721=0,"NO HISTORY",IF(M721&lt;P721,"SMALL SAMPLE","DERIVED")))))</x:f>
      </x:c>
      <x:c r="U721" s="2" t="str">
        <x:f>IF(B721="","","NativeTable; "&amp;E721&amp;"; "&amp;F721&amp;"; "&amp;G721&amp;"; "&amp;H721&amp;"; before "&amp;TEXT(J721,"yyyy-mm-dd")&amp;IF(I721="RECENT","; from "&amp;TEXT(L721,"yyyy-mm-dd"),""))</x:f>
      </x:c>
    </x:row>
    <x:row r="722" ht="21" customHeight="1">
      <x:c r="A722" s="2" t="n">
        <x:v>60</x:v>
      </x:c>
      <x:c r="B722" s="2" t="str">
        <x:f>IF('Input_Meci'!A65="","",'Input_Meci'!A65)</x:f>
      </x:c>
      <x:c r="C722" s="2" t="str">
        <x:v>H</x:v>
      </x:c>
      <x:c r="D722" s="2" t="str">
        <x:v>PRIOR</x:v>
      </x:c>
      <x:c r="E722" s="2" t="str">
        <x:f>IF(B722="","",'Input_Meci'!B65)</x:f>
      </x:c>
      <x:c r="F722" s="2" t="str">
        <x:f>IF(B722="","",IF('Input_Meci'!K65="","",'Input_Meci'!K65))</x:f>
      </x:c>
      <x:c r="G722" s="2" t="str">
        <x:f>IF(B722="","",'Input_Meci'!D65)</x:f>
      </x:c>
      <x:c r="H722" s="2" t="str">
        <x:v>ANY</x:v>
      </x:c>
      <x:c r="I722" s="2" t="str">
        <x:v>RECENT</x:v>
      </x:c>
      <x:c r="J722" s="9" t="n">
        <x:f>IF(AND(B722&lt;&gt;"",ISNUMBER('Input_Meci'!G65)),INT('Input_Meci'!G65),0)</x:f>
        <x:v>0</x:v>
      </x:c>
      <x:c r="K722" s="2" t="n">
        <x:f>IF(OR(B722="",F722=""),0,IF(H722="HOME",COUNTIFS('Istoric_Nativ'!$B$6:$B$405,E722,'Istoric_Nativ'!$C$6:$C$405,F722,'Istoric_Nativ'!$E$6:$E$405,G722,'Istoric_Nativ'!$D$6:$D$405,"&lt;"&amp;J722,'Istoric_Nativ'!$P$6:$P$405,1),IF(H722="AWAY",COUNTIFS('Istoric_Nativ'!$B$6:$B$405,E722,'Istoric_Nativ'!$C$6:$C$405,F722,'Istoric_Nativ'!$F$6:$F$405,G722,'Istoric_Nativ'!$D$6:$D$405,"&lt;"&amp;J722,'Istoric_Nativ'!$P$6:$P$405,1),COUNTIFS('Istoric_Nativ'!$B$6:$B$405,E722,'Istoric_Nativ'!$C$6:$C$405,F722,'Istoric_Nativ'!$E$6:$E$405,G722,'Istoric_Nativ'!$D$6:$D$405,"&lt;"&amp;J722,'Istoric_Nativ'!$P$6:$P$405,1)+COUNTIFS('Istoric_Nativ'!$B$6:$B$405,E722,'Istoric_Nativ'!$C$6:$C$405,F722,'Istoric_Nativ'!$F$6:$F$405,G722,'Istoric_Nativ'!$D$6:$D$405,"&lt;"&amp;J722,'Istoric_Nativ'!$P$6:$P$405,1))))</x:f>
        <x:v>0</x:v>
      </x:c>
      <x:c r="L722" s="17" t="n">
        <x:f>IF(AND(B722&lt;&gt;"",I722="RECENT",K722&gt;0),LARGE(_xlfn._xlws.FILTER('Istoric_Nativ'!$D$6:$D$405,('Istoric_Nativ'!$B$6:$B$405=E722)*('Istoric_Nativ'!$C$6:$C$405=F722)*('Istoric_Nativ'!$P$6:$P$405=1)*('Istoric_Nativ'!$D$6:$D$405&lt;J722)*((('Istoric_Nativ'!$E$6:$E$405=G722)+('Istoric_Nativ'!$F$6:$F$405=G722))&gt;0)),MIN('Config_v6'!$B$54,K722)),0)</x:f>
        <x:v>0</x:v>
      </x:c>
      <x:c r="M722" s="2" t="n">
        <x:f>IF(OR(B722="",F722=""),0,IF(H722="HOME",COUNTIFS('Istoric_Nativ'!$B$6:$B$405,E722,'Istoric_Nativ'!$C$6:$C$405,F722,'Istoric_Nativ'!$E$6:$E$405,G722,'Istoric_Nativ'!$D$6:$D$405,"&lt;"&amp;J722,'Istoric_Nativ'!$P$6:$P$405,1,'Istoric_Nativ'!$D$6:$D$405,"&gt;="&amp;L722),IF(H722="AWAY",COUNTIFS('Istoric_Nativ'!$B$6:$B$405,E722,'Istoric_Nativ'!$C$6:$C$405,F722,'Istoric_Nativ'!$F$6:$F$405,G722,'Istoric_Nativ'!$D$6:$D$405,"&lt;"&amp;J722,'Istoric_Nativ'!$P$6:$P$405,1,'Istoric_Nativ'!$D$6:$D$405,"&gt;="&amp;L722),COUNTIFS('Istoric_Nativ'!$B$6:$B$405,E722,'Istoric_Nativ'!$C$6:$C$405,F722,'Istoric_Nativ'!$E$6:$E$405,G722,'Istoric_Nativ'!$D$6:$D$405,"&lt;"&amp;J722,'Istoric_Nativ'!$P$6:$P$405,1,'Istoric_Nativ'!$D$6:$D$405,"&gt;="&amp;L722)+COUNTIFS('Istoric_Nativ'!$B$6:$B$405,E722,'Istoric_Nativ'!$C$6:$C$405,F722,'Istoric_Nativ'!$F$6:$F$405,G722,'Istoric_Nativ'!$D$6:$D$405,"&lt;"&amp;J722,'Istoric_Nativ'!$P$6:$P$405,1,'Istoric_Nativ'!$D$6:$D$405,"&gt;="&amp;L722))))</x:f>
        <x:v>0</x:v>
      </x:c>
      <x:c r="N722" s="11" t="str">
        <x:f>IF(M722=0,"",IF(H722="HOME",SUMIFS('Istoric_Nativ'!$G$6:$G$405,'Istoric_Nativ'!$B$6:$B$405,E722,'Istoric_Nativ'!$C$6:$C$405,F722,'Istoric_Nativ'!$E$6:$E$405,G722,'Istoric_Nativ'!$D$6:$D$405,"&lt;"&amp;J722,'Istoric_Nativ'!$P$6:$P$405,1,'Istoric_Nativ'!$D$6:$D$405,"&gt;="&amp;L722),IF(H722="AWAY",SUMIFS('Istoric_Nativ'!$H$6:$H$405,'Istoric_Nativ'!$B$6:$B$405,E722,'Istoric_Nativ'!$C$6:$C$405,F722,'Istoric_Nativ'!$F$6:$F$405,G722,'Istoric_Nativ'!$D$6:$D$405,"&lt;"&amp;J722,'Istoric_Nativ'!$P$6:$P$405,1,'Istoric_Nativ'!$D$6:$D$405,"&gt;="&amp;L722),SUMIFS('Istoric_Nativ'!$G$6:$G$405,'Istoric_Nativ'!$B$6:$B$405,E722,'Istoric_Nativ'!$C$6:$C$405,F722,'Istoric_Nativ'!$E$6:$E$405,G722,'Istoric_Nativ'!$D$6:$D$405,"&lt;"&amp;J722,'Istoric_Nativ'!$P$6:$P$405,1,'Istoric_Nativ'!$D$6:$D$405,"&gt;="&amp;L722)+SUMIFS('Istoric_Nativ'!$H$6:$H$405,'Istoric_Nativ'!$B$6:$B$405,E722,'Istoric_Nativ'!$C$6:$C$405,F722,'Istoric_Nativ'!$F$6:$F$405,G722,'Istoric_Nativ'!$D$6:$D$405,"&lt;"&amp;J722,'Istoric_Nativ'!$P$6:$P$405,1,'Istoric_Nativ'!$D$6:$D$405,"&gt;="&amp;L722)))/M722)</x:f>
      </x:c>
      <x:c r="O722" s="11" t="str">
        <x:f>IF(M722=0,"",IF(H722="HOME",SUMIFS('Istoric_Nativ'!$H$6:$H$405,'Istoric_Nativ'!$B$6:$B$405,E722,'Istoric_Nativ'!$C$6:$C$405,F722,'Istoric_Nativ'!$E$6:$E$405,G722,'Istoric_Nativ'!$D$6:$D$405,"&lt;"&amp;J722,'Istoric_Nativ'!$P$6:$P$405,1,'Istoric_Nativ'!$D$6:$D$405,"&gt;="&amp;L722),IF(H722="AWAY",SUMIFS('Istoric_Nativ'!$G$6:$G$405,'Istoric_Nativ'!$B$6:$B$405,E722,'Istoric_Nativ'!$C$6:$C$405,F722,'Istoric_Nativ'!$F$6:$F$405,G722,'Istoric_Nativ'!$D$6:$D$405,"&lt;"&amp;J722,'Istoric_Nativ'!$P$6:$P$405,1,'Istoric_Nativ'!$D$6:$D$405,"&gt;="&amp;L722),SUMIFS('Istoric_Nativ'!$H$6:$H$405,'Istoric_Nativ'!$B$6:$B$405,E722,'Istoric_Nativ'!$C$6:$C$405,F722,'Istoric_Nativ'!$E$6:$E$405,G722,'Istoric_Nativ'!$D$6:$D$405,"&lt;"&amp;J722,'Istoric_Nativ'!$P$6:$P$405,1,'Istoric_Nativ'!$D$6:$D$405,"&gt;="&amp;L722)+SUMIFS('Istoric_Nativ'!$G$6:$G$405,'Istoric_Nativ'!$B$6:$B$405,E722,'Istoric_Nativ'!$C$6:$C$405,F722,'Istoric_Nativ'!$F$6:$F$405,G722,'Istoric_Nativ'!$D$6:$D$405,"&lt;"&amp;J722,'Istoric_Nativ'!$P$6:$P$405,1,'Istoric_Nativ'!$D$6:$D$405,"&gt;="&amp;L722)))/M722)</x:f>
      </x:c>
      <x:c r="P722" s="2" t="n">
        <x:f>'Config_v6'!$B$9</x:f>
        <x:v>3</x:v>
      </x:c>
      <x:c r="Q722" s="2" t="n">
        <x:f>IF(OR(B722="",F722=""),0,IFERROR(MATCH(E722&amp;"|"&amp;F722,SourceTable[Source_Key],0),0))</x:f>
        <x:v>0</x:v>
      </x:c>
      <x:c r="R722" s="2" t="str">
        <x:f>IF(B722="","",IF(F722="","UNUSED",IF(Q722=0,"NOT CHECKED",IF(COUNTIF(SourceTable[Source_Key],E722&amp;"|"&amp;F722)&lt;&gt;1,"SOURCE CONFLICT",IF(NOT(OR(INDEX(SourceTable[Status],MAX(1,Q722))="IMPORTED",INDEX(SourceTable[Status],MAX(1,Q722))="PARTIAL",INDEX(SourceTable[Status],MAX(1,Q722))="SOURCE CONFLICT")),"ACCESS BLOCKED",IF(OR(INDEX(SourceTable[Coverage],Q722)&lt;&gt;"FULL SEASON EXPORT",INDEX(SourceTable[URL],Q722)="",INDEX(SourceTable[SHA256],Q722)=""),"EVIDENCE INCOMPLETE",IF(AND('Input_Meci'!H65="LIVE",INDEX(SourceTable[Retrieved_UTC],Q722)&gt;'Input_Meci'!G65),"POST CUTOFF","CLOSED")))))))</x:f>
      </x:c>
      <x:c r="S722" s="2" t="n">
        <x:f>IF(OR(B722="",F722=""),0,COUNTIFS('Istoric_Nativ'!$B$6:$B$405,E722,'Istoric_Nativ'!$C$6:$C$405,F722,'Istoric_Nativ'!$E$6:$E$405,G722,'Istoric_Nativ'!$D$6:$D$405,"&lt;"&amp;J722,'Istoric_Nativ'!$O$6:$O$405,"INVALID")+COUNTIFS('Istoric_Nativ'!$B$6:$B$405,E722,'Istoric_Nativ'!$C$6:$C$405,F722,'Istoric_Nativ'!$E$6:$E$405,G722,'Istoric_Nativ'!$O$6:$O$405,"INVALID",'Istoric_Nativ'!$D$6:$D$405,"*")+COUNTIFS('Istoric_Nativ'!$B$6:$B$405,E722,'Istoric_Nativ'!$C$6:$C$405,F722,'Istoric_Nativ'!$E$6:$E$405,G722,'Istoric_Nativ'!$D$6:$D$405,"&lt;"&amp;J722,'Istoric_Nativ'!$O$6:$O$405,"SOURCE CONFLICT")+COUNTIFS('Istoric_Nativ'!$B$6:$B$405,E722,'Istoric_Nativ'!$C$6:$C$405,F722,'Istoric_Nativ'!$F$6:$F$405,G722,'Istoric_Nativ'!$D$6:$D$405,"&lt;"&amp;J722,'Istoric_Nativ'!$O$6:$O$405,"INVALID")+COUNTIFS('Istoric_Nativ'!$B$6:$B$405,E722,'Istoric_Nativ'!$C$6:$C$405,F722,'Istoric_Nativ'!$F$6:$F$405,G722,'Istoric_Nativ'!$O$6:$O$405,"INVALID",'Istoric_Nativ'!$D$6:$D$405,"*")+COUNTIFS('Istoric_Nativ'!$B$6:$B$405,E722,'Istoric_Nativ'!$C$6:$C$405,F722,'Istoric_Nativ'!$F$6:$F$405,G722,'Istoric_Nativ'!$D$6:$D$405,"&lt;"&amp;J722,'Istoric_Nativ'!$O$6:$O$405,"SOURCE CONFLICT"))</x:f>
        <x:v>0</x:v>
      </x:c>
      <x:c r="T722" s="2" t="str">
        <x:f>IF(B722="","",IF(R722&lt;&gt;"CLOSED",R722,IF(S722&gt;0,"NATIVE INPUT ISSUE",IF(M722=0,"NO HISTORY",IF(M722&lt;P722,"SMALL SAMPLE","DERIVED")))))</x:f>
      </x:c>
      <x:c r="U722" s="2" t="str">
        <x:f>IF(B722="","","NativeTable; "&amp;E722&amp;"; "&amp;F722&amp;"; "&amp;G722&amp;"; "&amp;H722&amp;"; before "&amp;TEXT(J722,"yyyy-mm-dd")&amp;IF(I722="RECENT","; from "&amp;TEXT(L722,"yyyy-mm-dd"),""))</x:f>
      </x:c>
    </x:row>
    <x:row r="723" ht="21" customHeight="1">
      <x:c r="A723" s="2" t="n">
        <x:v>60</x:v>
      </x:c>
      <x:c r="B723" s="2" t="str">
        <x:f>IF('Input_Meci'!A65="","",'Input_Meci'!A65)</x:f>
      </x:c>
      <x:c r="C723" s="2" t="str">
        <x:v>A</x:v>
      </x:c>
      <x:c r="D723" s="2" t="str">
        <x:v>PRIOR</x:v>
      </x:c>
      <x:c r="E723" s="2" t="str">
        <x:f>IF(B723="","",'Input_Meci'!B65)</x:f>
      </x:c>
      <x:c r="F723" s="2" t="str">
        <x:f>IF(B723="","",IF('Input_Meci'!K65="","",'Input_Meci'!K65))</x:f>
      </x:c>
      <x:c r="G723" s="2" t="str">
        <x:f>IF(B723="","",'Input_Meci'!E65)</x:f>
      </x:c>
      <x:c r="H723" s="2" t="str">
        <x:v>ANY</x:v>
      </x:c>
      <x:c r="I723" s="2" t="str">
        <x:v>SEASON</x:v>
      </x:c>
      <x:c r="J723" s="9" t="n">
        <x:f>IF(AND(B723&lt;&gt;"",ISNUMBER('Input_Meci'!G65)),INT('Input_Meci'!G65),0)</x:f>
        <x:v>0</x:v>
      </x:c>
      <x:c r="K723" s="2" t="n">
        <x:f>IF(OR(B723="",F723=""),0,IF(H723="HOME",COUNTIFS('Istoric_Nativ'!$B$6:$B$405,E723,'Istoric_Nativ'!$C$6:$C$405,F723,'Istoric_Nativ'!$E$6:$E$405,G723,'Istoric_Nativ'!$D$6:$D$405,"&lt;"&amp;J723,'Istoric_Nativ'!$P$6:$P$405,1),IF(H723="AWAY",COUNTIFS('Istoric_Nativ'!$B$6:$B$405,E723,'Istoric_Nativ'!$C$6:$C$405,F723,'Istoric_Nativ'!$F$6:$F$405,G723,'Istoric_Nativ'!$D$6:$D$405,"&lt;"&amp;J723,'Istoric_Nativ'!$P$6:$P$405,1),COUNTIFS('Istoric_Nativ'!$B$6:$B$405,E723,'Istoric_Nativ'!$C$6:$C$405,F723,'Istoric_Nativ'!$E$6:$E$405,G723,'Istoric_Nativ'!$D$6:$D$405,"&lt;"&amp;J723,'Istoric_Nativ'!$P$6:$P$405,1)+COUNTIFS('Istoric_Nativ'!$B$6:$B$405,E723,'Istoric_Nativ'!$C$6:$C$405,F723,'Istoric_Nativ'!$F$6:$F$405,G723,'Istoric_Nativ'!$D$6:$D$405,"&lt;"&amp;J723,'Istoric_Nativ'!$P$6:$P$405,1))))</x:f>
        <x:v>0</x:v>
      </x:c>
      <x:c r="L723" s="17" t="n">
        <x:f>IF(AND(B723&lt;&gt;"",I723="RECENT",K723&gt;0),LARGE(_xlfn._xlws.FILTER('Istoric_Nativ'!$D$6:$D$405,('Istoric_Nativ'!$B$6:$B$405=E723)*('Istoric_Nativ'!$C$6:$C$405=F723)*('Istoric_Nativ'!$P$6:$P$405=1)*('Istoric_Nativ'!$D$6:$D$405&lt;J723)*((('Istoric_Nativ'!$E$6:$E$405=G723)+('Istoric_Nativ'!$F$6:$F$405=G723))&gt;0)),MIN('Config_v6'!$B$54,K723)),0)</x:f>
        <x:v>0</x:v>
      </x:c>
      <x:c r="M723" s="2" t="n">
        <x:f>IF(OR(B723="",F723=""),0,IF(H723="HOME",COUNTIFS('Istoric_Nativ'!$B$6:$B$405,E723,'Istoric_Nativ'!$C$6:$C$405,F723,'Istoric_Nativ'!$E$6:$E$405,G723,'Istoric_Nativ'!$D$6:$D$405,"&lt;"&amp;J723,'Istoric_Nativ'!$P$6:$P$405,1,'Istoric_Nativ'!$D$6:$D$405,"&gt;="&amp;L723),IF(H723="AWAY",COUNTIFS('Istoric_Nativ'!$B$6:$B$405,E723,'Istoric_Nativ'!$C$6:$C$405,F723,'Istoric_Nativ'!$F$6:$F$405,G723,'Istoric_Nativ'!$D$6:$D$405,"&lt;"&amp;J723,'Istoric_Nativ'!$P$6:$P$405,1,'Istoric_Nativ'!$D$6:$D$405,"&gt;="&amp;L723),COUNTIFS('Istoric_Nativ'!$B$6:$B$405,E723,'Istoric_Nativ'!$C$6:$C$405,F723,'Istoric_Nativ'!$E$6:$E$405,G723,'Istoric_Nativ'!$D$6:$D$405,"&lt;"&amp;J723,'Istoric_Nativ'!$P$6:$P$405,1,'Istoric_Nativ'!$D$6:$D$405,"&gt;="&amp;L723)+COUNTIFS('Istoric_Nativ'!$B$6:$B$405,E723,'Istoric_Nativ'!$C$6:$C$405,F723,'Istoric_Nativ'!$F$6:$F$405,G723,'Istoric_Nativ'!$D$6:$D$405,"&lt;"&amp;J723,'Istoric_Nativ'!$P$6:$P$405,1,'Istoric_Nativ'!$D$6:$D$405,"&gt;="&amp;L723))))</x:f>
        <x:v>0</x:v>
      </x:c>
      <x:c r="N723" s="11" t="str">
        <x:f>IF(M723=0,"",IF(H723="HOME",SUMIFS('Istoric_Nativ'!$G$6:$G$405,'Istoric_Nativ'!$B$6:$B$405,E723,'Istoric_Nativ'!$C$6:$C$405,F723,'Istoric_Nativ'!$E$6:$E$405,G723,'Istoric_Nativ'!$D$6:$D$405,"&lt;"&amp;J723,'Istoric_Nativ'!$P$6:$P$405,1,'Istoric_Nativ'!$D$6:$D$405,"&gt;="&amp;L723),IF(H723="AWAY",SUMIFS('Istoric_Nativ'!$H$6:$H$405,'Istoric_Nativ'!$B$6:$B$405,E723,'Istoric_Nativ'!$C$6:$C$405,F723,'Istoric_Nativ'!$F$6:$F$405,G723,'Istoric_Nativ'!$D$6:$D$405,"&lt;"&amp;J723,'Istoric_Nativ'!$P$6:$P$405,1,'Istoric_Nativ'!$D$6:$D$405,"&gt;="&amp;L723),SUMIFS('Istoric_Nativ'!$G$6:$G$405,'Istoric_Nativ'!$B$6:$B$405,E723,'Istoric_Nativ'!$C$6:$C$405,F723,'Istoric_Nativ'!$E$6:$E$405,G723,'Istoric_Nativ'!$D$6:$D$405,"&lt;"&amp;J723,'Istoric_Nativ'!$P$6:$P$405,1,'Istoric_Nativ'!$D$6:$D$405,"&gt;="&amp;L723)+SUMIFS('Istoric_Nativ'!$H$6:$H$405,'Istoric_Nativ'!$B$6:$B$405,E723,'Istoric_Nativ'!$C$6:$C$405,F723,'Istoric_Nativ'!$F$6:$F$405,G723,'Istoric_Nativ'!$D$6:$D$405,"&lt;"&amp;J723,'Istoric_Nativ'!$P$6:$P$405,1,'Istoric_Nativ'!$D$6:$D$405,"&gt;="&amp;L723)))/M723)</x:f>
      </x:c>
      <x:c r="O723" s="11" t="str">
        <x:f>IF(M723=0,"",IF(H723="HOME",SUMIFS('Istoric_Nativ'!$H$6:$H$405,'Istoric_Nativ'!$B$6:$B$405,E723,'Istoric_Nativ'!$C$6:$C$405,F723,'Istoric_Nativ'!$E$6:$E$405,G723,'Istoric_Nativ'!$D$6:$D$405,"&lt;"&amp;J723,'Istoric_Nativ'!$P$6:$P$405,1,'Istoric_Nativ'!$D$6:$D$405,"&gt;="&amp;L723),IF(H723="AWAY",SUMIFS('Istoric_Nativ'!$G$6:$G$405,'Istoric_Nativ'!$B$6:$B$405,E723,'Istoric_Nativ'!$C$6:$C$405,F723,'Istoric_Nativ'!$F$6:$F$405,G723,'Istoric_Nativ'!$D$6:$D$405,"&lt;"&amp;J723,'Istoric_Nativ'!$P$6:$P$405,1,'Istoric_Nativ'!$D$6:$D$405,"&gt;="&amp;L723),SUMIFS('Istoric_Nativ'!$H$6:$H$405,'Istoric_Nativ'!$B$6:$B$405,E723,'Istoric_Nativ'!$C$6:$C$405,F723,'Istoric_Nativ'!$E$6:$E$405,G723,'Istoric_Nativ'!$D$6:$D$405,"&lt;"&amp;J723,'Istoric_Nativ'!$P$6:$P$405,1,'Istoric_Nativ'!$D$6:$D$405,"&gt;="&amp;L723)+SUMIFS('Istoric_Nativ'!$G$6:$G$405,'Istoric_Nativ'!$B$6:$B$405,E723,'Istoric_Nativ'!$C$6:$C$405,F723,'Istoric_Nativ'!$F$6:$F$405,G723,'Istoric_Nativ'!$D$6:$D$405,"&lt;"&amp;J723,'Istoric_Nativ'!$P$6:$P$405,1,'Istoric_Nativ'!$D$6:$D$405,"&gt;="&amp;L723)))/M723)</x:f>
      </x:c>
      <x:c r="P723" s="2" t="n">
        <x:f>'Config_v6'!$B$7</x:f>
        <x:v>10</x:v>
      </x:c>
      <x:c r="Q723" s="2" t="n">
        <x:f>IF(OR(B723="",F723=""),0,IFERROR(MATCH(E723&amp;"|"&amp;F723,SourceTable[Source_Key],0),0))</x:f>
        <x:v>0</x:v>
      </x:c>
      <x:c r="R723" s="2" t="str">
        <x:f>IF(B723="","",IF(F723="","UNUSED",IF(Q723=0,"NOT CHECKED",IF(COUNTIF(SourceTable[Source_Key],E723&amp;"|"&amp;F723)&lt;&gt;1,"SOURCE CONFLICT",IF(NOT(OR(INDEX(SourceTable[Status],MAX(1,Q723))="IMPORTED",INDEX(SourceTable[Status],MAX(1,Q723))="PARTIAL",INDEX(SourceTable[Status],MAX(1,Q723))="SOURCE CONFLICT")),"ACCESS BLOCKED",IF(OR(INDEX(SourceTable[Coverage],Q723)&lt;&gt;"FULL SEASON EXPORT",INDEX(SourceTable[URL],Q723)="",INDEX(SourceTable[SHA256],Q723)=""),"EVIDENCE INCOMPLETE",IF(AND('Input_Meci'!H65="LIVE",INDEX(SourceTable[Retrieved_UTC],Q723)&gt;'Input_Meci'!G65),"POST CUTOFF","CLOSED")))))))</x:f>
      </x:c>
      <x:c r="S723" s="2" t="n">
        <x:f>IF(OR(B723="",F723=""),0,COUNTIFS('Istoric_Nativ'!$B$6:$B$405,E723,'Istoric_Nativ'!$C$6:$C$405,F723,'Istoric_Nativ'!$E$6:$E$405,G723,'Istoric_Nativ'!$D$6:$D$405,"&lt;"&amp;J723,'Istoric_Nativ'!$O$6:$O$405,"INVALID")+COUNTIFS('Istoric_Nativ'!$B$6:$B$405,E723,'Istoric_Nativ'!$C$6:$C$405,F723,'Istoric_Nativ'!$E$6:$E$405,G723,'Istoric_Nativ'!$O$6:$O$405,"INVALID",'Istoric_Nativ'!$D$6:$D$405,"*")+COUNTIFS('Istoric_Nativ'!$B$6:$B$405,E723,'Istoric_Nativ'!$C$6:$C$405,F723,'Istoric_Nativ'!$E$6:$E$405,G723,'Istoric_Nativ'!$D$6:$D$405,"&lt;"&amp;J723,'Istoric_Nativ'!$O$6:$O$405,"SOURCE CONFLICT")+COUNTIFS('Istoric_Nativ'!$B$6:$B$405,E723,'Istoric_Nativ'!$C$6:$C$405,F723,'Istoric_Nativ'!$F$6:$F$405,G723,'Istoric_Nativ'!$D$6:$D$405,"&lt;"&amp;J723,'Istoric_Nativ'!$O$6:$O$405,"INVALID")+COUNTIFS('Istoric_Nativ'!$B$6:$B$405,E723,'Istoric_Nativ'!$C$6:$C$405,F723,'Istoric_Nativ'!$F$6:$F$405,G723,'Istoric_Nativ'!$O$6:$O$405,"INVALID",'Istoric_Nativ'!$D$6:$D$405,"*")+COUNTIFS('Istoric_Nativ'!$B$6:$B$405,E723,'Istoric_Nativ'!$C$6:$C$405,F723,'Istoric_Nativ'!$F$6:$F$405,G723,'Istoric_Nativ'!$D$6:$D$405,"&lt;"&amp;J723,'Istoric_Nativ'!$O$6:$O$405,"SOURCE CONFLICT"))</x:f>
        <x:v>0</x:v>
      </x:c>
      <x:c r="T723" s="2" t="str">
        <x:f>IF(B723="","",IF(R723&lt;&gt;"CLOSED",R723,IF(S723&gt;0,"NATIVE INPUT ISSUE",IF(M723=0,"NO HISTORY",IF(M723&lt;P723,"SMALL SAMPLE","DERIVED")))))</x:f>
      </x:c>
      <x:c r="U723" s="2" t="str">
        <x:f>IF(B723="","","NativeTable; "&amp;E723&amp;"; "&amp;F723&amp;"; "&amp;G723&amp;"; "&amp;H723&amp;"; before "&amp;TEXT(J723,"yyyy-mm-dd")&amp;IF(I723="RECENT","; from "&amp;TEXT(L723,"yyyy-mm-dd"),""))</x:f>
      </x:c>
    </x:row>
    <x:row r="724" ht="21" customHeight="1">
      <x:c r="A724" s="2" t="n">
        <x:v>60</x:v>
      </x:c>
      <x:c r="B724" s="2" t="str">
        <x:f>IF('Input_Meci'!A65="","",'Input_Meci'!A65)</x:f>
      </x:c>
      <x:c r="C724" s="2" t="str">
        <x:v>A</x:v>
      </x:c>
      <x:c r="D724" s="2" t="str">
        <x:v>PRIOR</x:v>
      </x:c>
      <x:c r="E724" s="2" t="str">
        <x:f>IF(B724="","",'Input_Meci'!B65)</x:f>
      </x:c>
      <x:c r="F724" s="2" t="str">
        <x:f>IF(B724="","",IF('Input_Meci'!K65="","",'Input_Meci'!K65))</x:f>
      </x:c>
      <x:c r="G724" s="2" t="str">
        <x:f>IF(B724="","",'Input_Meci'!E65)</x:f>
      </x:c>
      <x:c r="H724" s="2" t="str">
        <x:v>AWAY</x:v>
      </x:c>
      <x:c r="I724" s="2" t="str">
        <x:v>HA</x:v>
      </x:c>
      <x:c r="J724" s="9" t="n">
        <x:f>IF(AND(B724&lt;&gt;"",ISNUMBER('Input_Meci'!G65)),INT('Input_Meci'!G65),0)</x:f>
        <x:v>0</x:v>
      </x:c>
      <x:c r="K724" s="2" t="n">
        <x:f>IF(OR(B724="",F724=""),0,IF(H724="HOME",COUNTIFS('Istoric_Nativ'!$B$6:$B$405,E724,'Istoric_Nativ'!$C$6:$C$405,F724,'Istoric_Nativ'!$E$6:$E$405,G724,'Istoric_Nativ'!$D$6:$D$405,"&lt;"&amp;J724,'Istoric_Nativ'!$P$6:$P$405,1),IF(H724="AWAY",COUNTIFS('Istoric_Nativ'!$B$6:$B$405,E724,'Istoric_Nativ'!$C$6:$C$405,F724,'Istoric_Nativ'!$F$6:$F$405,G724,'Istoric_Nativ'!$D$6:$D$405,"&lt;"&amp;J724,'Istoric_Nativ'!$P$6:$P$405,1),COUNTIFS('Istoric_Nativ'!$B$6:$B$405,E724,'Istoric_Nativ'!$C$6:$C$405,F724,'Istoric_Nativ'!$E$6:$E$405,G724,'Istoric_Nativ'!$D$6:$D$405,"&lt;"&amp;J724,'Istoric_Nativ'!$P$6:$P$405,1)+COUNTIFS('Istoric_Nativ'!$B$6:$B$405,E724,'Istoric_Nativ'!$C$6:$C$405,F724,'Istoric_Nativ'!$F$6:$F$405,G724,'Istoric_Nativ'!$D$6:$D$405,"&lt;"&amp;J724,'Istoric_Nativ'!$P$6:$P$405,1))))</x:f>
        <x:v>0</x:v>
      </x:c>
      <x:c r="L724" s="17" t="n">
        <x:f>IF(AND(B724&lt;&gt;"",I724="RECENT",K724&gt;0),LARGE(_xlfn._xlws.FILTER('Istoric_Nativ'!$D$6:$D$405,('Istoric_Nativ'!$B$6:$B$405=E724)*('Istoric_Nativ'!$C$6:$C$405=F724)*('Istoric_Nativ'!$P$6:$P$405=1)*('Istoric_Nativ'!$D$6:$D$405&lt;J724)*((('Istoric_Nativ'!$E$6:$E$405=G724)+('Istoric_Nativ'!$F$6:$F$405=G724))&gt;0)),MIN('Config_v6'!$B$54,K724)),0)</x:f>
        <x:v>0</x:v>
      </x:c>
      <x:c r="M724" s="2" t="n">
        <x:f>IF(OR(B724="",F724=""),0,IF(H724="HOME",COUNTIFS('Istoric_Nativ'!$B$6:$B$405,E724,'Istoric_Nativ'!$C$6:$C$405,F724,'Istoric_Nativ'!$E$6:$E$405,G724,'Istoric_Nativ'!$D$6:$D$405,"&lt;"&amp;J724,'Istoric_Nativ'!$P$6:$P$405,1,'Istoric_Nativ'!$D$6:$D$405,"&gt;="&amp;L724),IF(H724="AWAY",COUNTIFS('Istoric_Nativ'!$B$6:$B$405,E724,'Istoric_Nativ'!$C$6:$C$405,F724,'Istoric_Nativ'!$F$6:$F$405,G724,'Istoric_Nativ'!$D$6:$D$405,"&lt;"&amp;J724,'Istoric_Nativ'!$P$6:$P$405,1,'Istoric_Nativ'!$D$6:$D$405,"&gt;="&amp;L724),COUNTIFS('Istoric_Nativ'!$B$6:$B$405,E724,'Istoric_Nativ'!$C$6:$C$405,F724,'Istoric_Nativ'!$E$6:$E$405,G724,'Istoric_Nativ'!$D$6:$D$405,"&lt;"&amp;J724,'Istoric_Nativ'!$P$6:$P$405,1,'Istoric_Nativ'!$D$6:$D$405,"&gt;="&amp;L724)+COUNTIFS('Istoric_Nativ'!$B$6:$B$405,E724,'Istoric_Nativ'!$C$6:$C$405,F724,'Istoric_Nativ'!$F$6:$F$405,G724,'Istoric_Nativ'!$D$6:$D$405,"&lt;"&amp;J724,'Istoric_Nativ'!$P$6:$P$405,1,'Istoric_Nativ'!$D$6:$D$405,"&gt;="&amp;L724))))</x:f>
        <x:v>0</x:v>
      </x:c>
      <x:c r="N724" s="11" t="str">
        <x:f>IF(M724=0,"",IF(H724="HOME",SUMIFS('Istoric_Nativ'!$G$6:$G$405,'Istoric_Nativ'!$B$6:$B$405,E724,'Istoric_Nativ'!$C$6:$C$405,F724,'Istoric_Nativ'!$E$6:$E$405,G724,'Istoric_Nativ'!$D$6:$D$405,"&lt;"&amp;J724,'Istoric_Nativ'!$P$6:$P$405,1,'Istoric_Nativ'!$D$6:$D$405,"&gt;="&amp;L724),IF(H724="AWAY",SUMIFS('Istoric_Nativ'!$H$6:$H$405,'Istoric_Nativ'!$B$6:$B$405,E724,'Istoric_Nativ'!$C$6:$C$405,F724,'Istoric_Nativ'!$F$6:$F$405,G724,'Istoric_Nativ'!$D$6:$D$405,"&lt;"&amp;J724,'Istoric_Nativ'!$P$6:$P$405,1,'Istoric_Nativ'!$D$6:$D$405,"&gt;="&amp;L724),SUMIFS('Istoric_Nativ'!$G$6:$G$405,'Istoric_Nativ'!$B$6:$B$405,E724,'Istoric_Nativ'!$C$6:$C$405,F724,'Istoric_Nativ'!$E$6:$E$405,G724,'Istoric_Nativ'!$D$6:$D$405,"&lt;"&amp;J724,'Istoric_Nativ'!$P$6:$P$405,1,'Istoric_Nativ'!$D$6:$D$405,"&gt;="&amp;L724)+SUMIFS('Istoric_Nativ'!$H$6:$H$405,'Istoric_Nativ'!$B$6:$B$405,E724,'Istoric_Nativ'!$C$6:$C$405,F724,'Istoric_Nativ'!$F$6:$F$405,G724,'Istoric_Nativ'!$D$6:$D$405,"&lt;"&amp;J724,'Istoric_Nativ'!$P$6:$P$405,1,'Istoric_Nativ'!$D$6:$D$405,"&gt;="&amp;L724)))/M724)</x:f>
      </x:c>
      <x:c r="O724" s="11" t="str">
        <x:f>IF(M724=0,"",IF(H724="HOME",SUMIFS('Istoric_Nativ'!$H$6:$H$405,'Istoric_Nativ'!$B$6:$B$405,E724,'Istoric_Nativ'!$C$6:$C$405,F724,'Istoric_Nativ'!$E$6:$E$405,G724,'Istoric_Nativ'!$D$6:$D$405,"&lt;"&amp;J724,'Istoric_Nativ'!$P$6:$P$405,1,'Istoric_Nativ'!$D$6:$D$405,"&gt;="&amp;L724),IF(H724="AWAY",SUMIFS('Istoric_Nativ'!$G$6:$G$405,'Istoric_Nativ'!$B$6:$B$405,E724,'Istoric_Nativ'!$C$6:$C$405,F724,'Istoric_Nativ'!$F$6:$F$405,G724,'Istoric_Nativ'!$D$6:$D$405,"&lt;"&amp;J724,'Istoric_Nativ'!$P$6:$P$405,1,'Istoric_Nativ'!$D$6:$D$405,"&gt;="&amp;L724),SUMIFS('Istoric_Nativ'!$H$6:$H$405,'Istoric_Nativ'!$B$6:$B$405,E724,'Istoric_Nativ'!$C$6:$C$405,F724,'Istoric_Nativ'!$E$6:$E$405,G724,'Istoric_Nativ'!$D$6:$D$405,"&lt;"&amp;J724,'Istoric_Nativ'!$P$6:$P$405,1,'Istoric_Nativ'!$D$6:$D$405,"&gt;="&amp;L724)+SUMIFS('Istoric_Nativ'!$G$6:$G$405,'Istoric_Nativ'!$B$6:$B$405,E724,'Istoric_Nativ'!$C$6:$C$405,F724,'Istoric_Nativ'!$F$6:$F$405,G724,'Istoric_Nativ'!$D$6:$D$405,"&lt;"&amp;J724,'Istoric_Nativ'!$P$6:$P$405,1,'Istoric_Nativ'!$D$6:$D$405,"&gt;="&amp;L724)))/M724)</x:f>
      </x:c>
      <x:c r="P724" s="2" t="n">
        <x:f>'Config_v6'!$B$8</x:f>
        <x:v>5</x:v>
      </x:c>
      <x:c r="Q724" s="2" t="n">
        <x:f>IF(OR(B724="",F724=""),0,IFERROR(MATCH(E724&amp;"|"&amp;F724,SourceTable[Source_Key],0),0))</x:f>
        <x:v>0</x:v>
      </x:c>
      <x:c r="R724" s="2" t="str">
        <x:f>IF(B724="","",IF(F724="","UNUSED",IF(Q724=0,"NOT CHECKED",IF(COUNTIF(SourceTable[Source_Key],E724&amp;"|"&amp;F724)&lt;&gt;1,"SOURCE CONFLICT",IF(NOT(OR(INDEX(SourceTable[Status],MAX(1,Q724))="IMPORTED",INDEX(SourceTable[Status],MAX(1,Q724))="PARTIAL",INDEX(SourceTable[Status],MAX(1,Q724))="SOURCE CONFLICT")),"ACCESS BLOCKED",IF(OR(INDEX(SourceTable[Coverage],Q724)&lt;&gt;"FULL SEASON EXPORT",INDEX(SourceTable[URL],Q724)="",INDEX(SourceTable[SHA256],Q724)=""),"EVIDENCE INCOMPLETE",IF(AND('Input_Meci'!H65="LIVE",INDEX(SourceTable[Retrieved_UTC],Q724)&gt;'Input_Meci'!G65),"POST CUTOFF","CLOSED")))))))</x:f>
      </x:c>
      <x:c r="S724" s="2" t="n">
        <x:f>IF(OR(B724="",F724=""),0,COUNTIFS('Istoric_Nativ'!$B$6:$B$405,E724,'Istoric_Nativ'!$C$6:$C$405,F724,'Istoric_Nativ'!$E$6:$E$405,G724,'Istoric_Nativ'!$D$6:$D$405,"&lt;"&amp;J724,'Istoric_Nativ'!$O$6:$O$405,"INVALID")+COUNTIFS('Istoric_Nativ'!$B$6:$B$405,E724,'Istoric_Nativ'!$C$6:$C$405,F724,'Istoric_Nativ'!$E$6:$E$405,G724,'Istoric_Nativ'!$O$6:$O$405,"INVALID",'Istoric_Nativ'!$D$6:$D$405,"*")+COUNTIFS('Istoric_Nativ'!$B$6:$B$405,E724,'Istoric_Nativ'!$C$6:$C$405,F724,'Istoric_Nativ'!$E$6:$E$405,G724,'Istoric_Nativ'!$D$6:$D$405,"&lt;"&amp;J724,'Istoric_Nativ'!$O$6:$O$405,"SOURCE CONFLICT")+COUNTIFS('Istoric_Nativ'!$B$6:$B$405,E724,'Istoric_Nativ'!$C$6:$C$405,F724,'Istoric_Nativ'!$F$6:$F$405,G724,'Istoric_Nativ'!$D$6:$D$405,"&lt;"&amp;J724,'Istoric_Nativ'!$O$6:$O$405,"INVALID")+COUNTIFS('Istoric_Nativ'!$B$6:$B$405,E724,'Istoric_Nativ'!$C$6:$C$405,F724,'Istoric_Nativ'!$F$6:$F$405,G724,'Istoric_Nativ'!$O$6:$O$405,"INVALID",'Istoric_Nativ'!$D$6:$D$405,"*")+COUNTIFS('Istoric_Nativ'!$B$6:$B$405,E724,'Istoric_Nativ'!$C$6:$C$405,F724,'Istoric_Nativ'!$F$6:$F$405,G724,'Istoric_Nativ'!$D$6:$D$405,"&lt;"&amp;J724,'Istoric_Nativ'!$O$6:$O$405,"SOURCE CONFLICT"))</x:f>
        <x:v>0</x:v>
      </x:c>
      <x:c r="T724" s="2" t="str">
        <x:f>IF(B724="","",IF(R724&lt;&gt;"CLOSED",R724,IF(S724&gt;0,"NATIVE INPUT ISSUE",IF(M724=0,"NO HISTORY",IF(M724&lt;P724,"SMALL SAMPLE","DERIVED")))))</x:f>
      </x:c>
      <x:c r="U724" s="2" t="str">
        <x:f>IF(B724="","","NativeTable; "&amp;E724&amp;"; "&amp;F724&amp;"; "&amp;G724&amp;"; "&amp;H724&amp;"; before "&amp;TEXT(J724,"yyyy-mm-dd")&amp;IF(I724="RECENT","; from "&amp;TEXT(L724,"yyyy-mm-dd"),""))</x:f>
      </x:c>
    </x:row>
    <x:row r="725" ht="21" customHeight="1">
      <x:c r="A725" s="2" t="n">
        <x:v>60</x:v>
      </x:c>
      <x:c r="B725" s="2" t="str">
        <x:f>IF('Input_Meci'!A65="","",'Input_Meci'!A65)</x:f>
      </x:c>
      <x:c r="C725" s="2" t="str">
        <x:v>A</x:v>
      </x:c>
      <x:c r="D725" s="2" t="str">
        <x:v>PRIOR</x:v>
      </x:c>
      <x:c r="E725" s="2" t="str">
        <x:f>IF(B725="","",'Input_Meci'!B65)</x:f>
      </x:c>
      <x:c r="F725" s="2" t="str">
        <x:f>IF(B725="","",IF('Input_Meci'!K65="","",'Input_Meci'!K65))</x:f>
      </x:c>
      <x:c r="G725" s="2" t="str">
        <x:f>IF(B725="","",'Input_Meci'!E65)</x:f>
      </x:c>
      <x:c r="H725" s="2" t="str">
        <x:v>ANY</x:v>
      </x:c>
      <x:c r="I725" s="2" t="str">
        <x:v>RECENT</x:v>
      </x:c>
      <x:c r="J725" s="9" t="n">
        <x:f>IF(AND(B725&lt;&gt;"",ISNUMBER('Input_Meci'!G65)),INT('Input_Meci'!G65),0)</x:f>
        <x:v>0</x:v>
      </x:c>
      <x:c r="K725" s="2" t="n">
        <x:f>IF(OR(B725="",F725=""),0,IF(H725="HOME",COUNTIFS('Istoric_Nativ'!$B$6:$B$405,E725,'Istoric_Nativ'!$C$6:$C$405,F725,'Istoric_Nativ'!$E$6:$E$405,G725,'Istoric_Nativ'!$D$6:$D$405,"&lt;"&amp;J725,'Istoric_Nativ'!$P$6:$P$405,1),IF(H725="AWAY",COUNTIFS('Istoric_Nativ'!$B$6:$B$405,E725,'Istoric_Nativ'!$C$6:$C$405,F725,'Istoric_Nativ'!$F$6:$F$405,G725,'Istoric_Nativ'!$D$6:$D$405,"&lt;"&amp;J725,'Istoric_Nativ'!$P$6:$P$405,1),COUNTIFS('Istoric_Nativ'!$B$6:$B$405,E725,'Istoric_Nativ'!$C$6:$C$405,F725,'Istoric_Nativ'!$E$6:$E$405,G725,'Istoric_Nativ'!$D$6:$D$405,"&lt;"&amp;J725,'Istoric_Nativ'!$P$6:$P$405,1)+COUNTIFS('Istoric_Nativ'!$B$6:$B$405,E725,'Istoric_Nativ'!$C$6:$C$405,F725,'Istoric_Nativ'!$F$6:$F$405,G725,'Istoric_Nativ'!$D$6:$D$405,"&lt;"&amp;J725,'Istoric_Nativ'!$P$6:$P$405,1))))</x:f>
        <x:v>0</x:v>
      </x:c>
      <x:c r="L725" s="17" t="n">
        <x:f>IF(AND(B725&lt;&gt;"",I725="RECENT",K725&gt;0),LARGE(_xlfn._xlws.FILTER('Istoric_Nativ'!$D$6:$D$405,('Istoric_Nativ'!$B$6:$B$405=E725)*('Istoric_Nativ'!$C$6:$C$405=F725)*('Istoric_Nativ'!$P$6:$P$405=1)*('Istoric_Nativ'!$D$6:$D$405&lt;J725)*((('Istoric_Nativ'!$E$6:$E$405=G725)+('Istoric_Nativ'!$F$6:$F$405=G725))&gt;0)),MIN('Config_v6'!$B$54,K725)),0)</x:f>
        <x:v>0</x:v>
      </x:c>
      <x:c r="M725" s="2" t="n">
        <x:f>IF(OR(B725="",F725=""),0,IF(H725="HOME",COUNTIFS('Istoric_Nativ'!$B$6:$B$405,E725,'Istoric_Nativ'!$C$6:$C$405,F725,'Istoric_Nativ'!$E$6:$E$405,G725,'Istoric_Nativ'!$D$6:$D$405,"&lt;"&amp;J725,'Istoric_Nativ'!$P$6:$P$405,1,'Istoric_Nativ'!$D$6:$D$405,"&gt;="&amp;L725),IF(H725="AWAY",COUNTIFS('Istoric_Nativ'!$B$6:$B$405,E725,'Istoric_Nativ'!$C$6:$C$405,F725,'Istoric_Nativ'!$F$6:$F$405,G725,'Istoric_Nativ'!$D$6:$D$405,"&lt;"&amp;J725,'Istoric_Nativ'!$P$6:$P$405,1,'Istoric_Nativ'!$D$6:$D$405,"&gt;="&amp;L725),COUNTIFS('Istoric_Nativ'!$B$6:$B$405,E725,'Istoric_Nativ'!$C$6:$C$405,F725,'Istoric_Nativ'!$E$6:$E$405,G725,'Istoric_Nativ'!$D$6:$D$405,"&lt;"&amp;J725,'Istoric_Nativ'!$P$6:$P$405,1,'Istoric_Nativ'!$D$6:$D$405,"&gt;="&amp;L725)+COUNTIFS('Istoric_Nativ'!$B$6:$B$405,E725,'Istoric_Nativ'!$C$6:$C$405,F725,'Istoric_Nativ'!$F$6:$F$405,G725,'Istoric_Nativ'!$D$6:$D$405,"&lt;"&amp;J725,'Istoric_Nativ'!$P$6:$P$405,1,'Istoric_Nativ'!$D$6:$D$405,"&gt;="&amp;L725))))</x:f>
        <x:v>0</x:v>
      </x:c>
      <x:c r="N725" s="11" t="str">
        <x:f>IF(M725=0,"",IF(H725="HOME",SUMIFS('Istoric_Nativ'!$G$6:$G$405,'Istoric_Nativ'!$B$6:$B$405,E725,'Istoric_Nativ'!$C$6:$C$405,F725,'Istoric_Nativ'!$E$6:$E$405,G725,'Istoric_Nativ'!$D$6:$D$405,"&lt;"&amp;J725,'Istoric_Nativ'!$P$6:$P$405,1,'Istoric_Nativ'!$D$6:$D$405,"&gt;="&amp;L725),IF(H725="AWAY",SUMIFS('Istoric_Nativ'!$H$6:$H$405,'Istoric_Nativ'!$B$6:$B$405,E725,'Istoric_Nativ'!$C$6:$C$405,F725,'Istoric_Nativ'!$F$6:$F$405,G725,'Istoric_Nativ'!$D$6:$D$405,"&lt;"&amp;J725,'Istoric_Nativ'!$P$6:$P$405,1,'Istoric_Nativ'!$D$6:$D$405,"&gt;="&amp;L725),SUMIFS('Istoric_Nativ'!$G$6:$G$405,'Istoric_Nativ'!$B$6:$B$405,E725,'Istoric_Nativ'!$C$6:$C$405,F725,'Istoric_Nativ'!$E$6:$E$405,G725,'Istoric_Nativ'!$D$6:$D$405,"&lt;"&amp;J725,'Istoric_Nativ'!$P$6:$P$405,1,'Istoric_Nativ'!$D$6:$D$405,"&gt;="&amp;L725)+SUMIFS('Istoric_Nativ'!$H$6:$H$405,'Istoric_Nativ'!$B$6:$B$405,E725,'Istoric_Nativ'!$C$6:$C$405,F725,'Istoric_Nativ'!$F$6:$F$405,G725,'Istoric_Nativ'!$D$6:$D$405,"&lt;"&amp;J725,'Istoric_Nativ'!$P$6:$P$405,1,'Istoric_Nativ'!$D$6:$D$405,"&gt;="&amp;L725)))/M725)</x:f>
      </x:c>
      <x:c r="O725" s="11" t="str">
        <x:f>IF(M725=0,"",IF(H725="HOME",SUMIFS('Istoric_Nativ'!$H$6:$H$405,'Istoric_Nativ'!$B$6:$B$405,E725,'Istoric_Nativ'!$C$6:$C$405,F725,'Istoric_Nativ'!$E$6:$E$405,G725,'Istoric_Nativ'!$D$6:$D$405,"&lt;"&amp;J725,'Istoric_Nativ'!$P$6:$P$405,1,'Istoric_Nativ'!$D$6:$D$405,"&gt;="&amp;L725),IF(H725="AWAY",SUMIFS('Istoric_Nativ'!$G$6:$G$405,'Istoric_Nativ'!$B$6:$B$405,E725,'Istoric_Nativ'!$C$6:$C$405,F725,'Istoric_Nativ'!$F$6:$F$405,G725,'Istoric_Nativ'!$D$6:$D$405,"&lt;"&amp;J725,'Istoric_Nativ'!$P$6:$P$405,1,'Istoric_Nativ'!$D$6:$D$405,"&gt;="&amp;L725),SUMIFS('Istoric_Nativ'!$H$6:$H$405,'Istoric_Nativ'!$B$6:$B$405,E725,'Istoric_Nativ'!$C$6:$C$405,F725,'Istoric_Nativ'!$E$6:$E$405,G725,'Istoric_Nativ'!$D$6:$D$405,"&lt;"&amp;J725,'Istoric_Nativ'!$P$6:$P$405,1,'Istoric_Nativ'!$D$6:$D$405,"&gt;="&amp;L725)+SUMIFS('Istoric_Nativ'!$G$6:$G$405,'Istoric_Nativ'!$B$6:$B$405,E725,'Istoric_Nativ'!$C$6:$C$405,F725,'Istoric_Nativ'!$F$6:$F$405,G725,'Istoric_Nativ'!$D$6:$D$405,"&lt;"&amp;J725,'Istoric_Nativ'!$P$6:$P$405,1,'Istoric_Nativ'!$D$6:$D$405,"&gt;="&amp;L725)))/M725)</x:f>
      </x:c>
      <x:c r="P725" s="2" t="n">
        <x:f>'Config_v6'!$B$9</x:f>
        <x:v>3</x:v>
      </x:c>
      <x:c r="Q725" s="2" t="n">
        <x:f>IF(OR(B725="",F725=""),0,IFERROR(MATCH(E725&amp;"|"&amp;F725,SourceTable[Source_Key],0),0))</x:f>
        <x:v>0</x:v>
      </x:c>
      <x:c r="R725" s="2" t="str">
        <x:f>IF(B725="","",IF(F725="","UNUSED",IF(Q725=0,"NOT CHECKED",IF(COUNTIF(SourceTable[Source_Key],E725&amp;"|"&amp;F725)&lt;&gt;1,"SOURCE CONFLICT",IF(NOT(OR(INDEX(SourceTable[Status],MAX(1,Q725))="IMPORTED",INDEX(SourceTable[Status],MAX(1,Q725))="PARTIAL",INDEX(SourceTable[Status],MAX(1,Q725))="SOURCE CONFLICT")),"ACCESS BLOCKED",IF(OR(INDEX(SourceTable[Coverage],Q725)&lt;&gt;"FULL SEASON EXPORT",INDEX(SourceTable[URL],Q725)="",INDEX(SourceTable[SHA256],Q725)=""),"EVIDENCE INCOMPLETE",IF(AND('Input_Meci'!H65="LIVE",INDEX(SourceTable[Retrieved_UTC],Q725)&gt;'Input_Meci'!G65),"POST CUTOFF","CLOSED")))))))</x:f>
      </x:c>
      <x:c r="S725" s="2" t="n">
        <x:f>IF(OR(B725="",F725=""),0,COUNTIFS('Istoric_Nativ'!$B$6:$B$405,E725,'Istoric_Nativ'!$C$6:$C$405,F725,'Istoric_Nativ'!$E$6:$E$405,G725,'Istoric_Nativ'!$D$6:$D$405,"&lt;"&amp;J725,'Istoric_Nativ'!$O$6:$O$405,"INVALID")+COUNTIFS('Istoric_Nativ'!$B$6:$B$405,E725,'Istoric_Nativ'!$C$6:$C$405,F725,'Istoric_Nativ'!$E$6:$E$405,G725,'Istoric_Nativ'!$O$6:$O$405,"INVALID",'Istoric_Nativ'!$D$6:$D$405,"*")+COUNTIFS('Istoric_Nativ'!$B$6:$B$405,E725,'Istoric_Nativ'!$C$6:$C$405,F725,'Istoric_Nativ'!$E$6:$E$405,G725,'Istoric_Nativ'!$D$6:$D$405,"&lt;"&amp;J725,'Istoric_Nativ'!$O$6:$O$405,"SOURCE CONFLICT")+COUNTIFS('Istoric_Nativ'!$B$6:$B$405,E725,'Istoric_Nativ'!$C$6:$C$405,F725,'Istoric_Nativ'!$F$6:$F$405,G725,'Istoric_Nativ'!$D$6:$D$405,"&lt;"&amp;J725,'Istoric_Nativ'!$O$6:$O$405,"INVALID")+COUNTIFS('Istoric_Nativ'!$B$6:$B$405,E725,'Istoric_Nativ'!$C$6:$C$405,F725,'Istoric_Nativ'!$F$6:$F$405,G725,'Istoric_Nativ'!$O$6:$O$405,"INVALID",'Istoric_Nativ'!$D$6:$D$405,"*")+COUNTIFS('Istoric_Nativ'!$B$6:$B$405,E725,'Istoric_Nativ'!$C$6:$C$405,F725,'Istoric_Nativ'!$F$6:$F$405,G725,'Istoric_Nativ'!$D$6:$D$405,"&lt;"&amp;J725,'Istoric_Nativ'!$O$6:$O$405,"SOURCE CONFLICT"))</x:f>
        <x:v>0</x:v>
      </x:c>
      <x:c r="T725" s="2" t="str">
        <x:f>IF(B725="","",IF(R725&lt;&gt;"CLOSED",R725,IF(S725&gt;0,"NATIVE INPUT ISSUE",IF(M725=0,"NO HISTORY",IF(M725&lt;P725,"SMALL SAMPLE","DERIVED")))))</x:f>
      </x:c>
      <x:c r="U725" s="2" t="str">
        <x:f>IF(B725="","","NativeTable; "&amp;E725&amp;"; "&amp;F725&amp;"; "&amp;G725&amp;"; "&amp;H725&amp;"; before "&amp;TEXT(J725,"yyyy-mm-dd")&amp;IF(I725="RECENT","; from "&amp;TEXT(L725,"yyyy-mm-dd"),""))</x:f>
      </x:c>
    </x:row>
    <x:row r="726" ht="21" customHeight="1">
      <x:c r="A726" s="2" t="n">
        <x:v>61</x:v>
      </x:c>
      <x:c r="B726" s="2" t="str">
        <x:f>IF('Input_Meci'!A66="","",'Input_Meci'!A66)</x:f>
      </x:c>
      <x:c r="C726" s="2" t="str">
        <x:v>H</x:v>
      </x:c>
      <x:c r="D726" s="2" t="str">
        <x:v>CURRENT</x:v>
      </x:c>
      <x:c r="E726" s="2" t="str">
        <x:f>IF(B726="","",'Input_Meci'!B66)</x:f>
      </x:c>
      <x:c r="F726" s="2" t="str">
        <x:f>IF(B726="","",IF('Input_Meci'!C66="","",'Input_Meci'!C66))</x:f>
      </x:c>
      <x:c r="G726" s="2" t="str">
        <x:f>IF(B726="","",'Input_Meci'!D66)</x:f>
      </x:c>
      <x:c r="H726" s="2" t="str">
        <x:v>ANY</x:v>
      </x:c>
      <x:c r="I726" s="2" t="str">
        <x:v>SEASON</x:v>
      </x:c>
      <x:c r="J726" s="9" t="n">
        <x:f>IF(AND(B726&lt;&gt;"",ISNUMBER('Input_Meci'!G66)),INT('Input_Meci'!G66),0)</x:f>
        <x:v>0</x:v>
      </x:c>
      <x:c r="K726" s="2" t="n">
        <x:f>IF(OR(B726="",F726=""),0,IF(H726="HOME",COUNTIFS('Istoric_Nativ'!$B$6:$B$405,E726,'Istoric_Nativ'!$C$6:$C$405,F726,'Istoric_Nativ'!$E$6:$E$405,G726,'Istoric_Nativ'!$D$6:$D$405,"&lt;"&amp;J726,'Istoric_Nativ'!$P$6:$P$405,1),IF(H726="AWAY",COUNTIFS('Istoric_Nativ'!$B$6:$B$405,E726,'Istoric_Nativ'!$C$6:$C$405,F726,'Istoric_Nativ'!$F$6:$F$405,G726,'Istoric_Nativ'!$D$6:$D$405,"&lt;"&amp;J726,'Istoric_Nativ'!$P$6:$P$405,1),COUNTIFS('Istoric_Nativ'!$B$6:$B$405,E726,'Istoric_Nativ'!$C$6:$C$405,F726,'Istoric_Nativ'!$E$6:$E$405,G726,'Istoric_Nativ'!$D$6:$D$405,"&lt;"&amp;J726,'Istoric_Nativ'!$P$6:$P$405,1)+COUNTIFS('Istoric_Nativ'!$B$6:$B$405,E726,'Istoric_Nativ'!$C$6:$C$405,F726,'Istoric_Nativ'!$F$6:$F$405,G726,'Istoric_Nativ'!$D$6:$D$405,"&lt;"&amp;J726,'Istoric_Nativ'!$P$6:$P$405,1))))</x:f>
        <x:v>0</x:v>
      </x:c>
      <x:c r="L726" s="17" t="n">
        <x:f>IF(AND(B726&lt;&gt;"",I726="RECENT",K726&gt;0),LARGE(_xlfn._xlws.FILTER('Istoric_Nativ'!$D$6:$D$405,('Istoric_Nativ'!$B$6:$B$405=E726)*('Istoric_Nativ'!$C$6:$C$405=F726)*('Istoric_Nativ'!$P$6:$P$405=1)*('Istoric_Nativ'!$D$6:$D$405&lt;J726)*((('Istoric_Nativ'!$E$6:$E$405=G726)+('Istoric_Nativ'!$F$6:$F$405=G726))&gt;0)),MIN('Config_v6'!$B$54,K726)),0)</x:f>
        <x:v>0</x:v>
      </x:c>
      <x:c r="M726" s="2" t="n">
        <x:f>IF(OR(B726="",F726=""),0,IF(H726="HOME",COUNTIFS('Istoric_Nativ'!$B$6:$B$405,E726,'Istoric_Nativ'!$C$6:$C$405,F726,'Istoric_Nativ'!$E$6:$E$405,G726,'Istoric_Nativ'!$D$6:$D$405,"&lt;"&amp;J726,'Istoric_Nativ'!$P$6:$P$405,1,'Istoric_Nativ'!$D$6:$D$405,"&gt;="&amp;L726),IF(H726="AWAY",COUNTIFS('Istoric_Nativ'!$B$6:$B$405,E726,'Istoric_Nativ'!$C$6:$C$405,F726,'Istoric_Nativ'!$F$6:$F$405,G726,'Istoric_Nativ'!$D$6:$D$405,"&lt;"&amp;J726,'Istoric_Nativ'!$P$6:$P$405,1,'Istoric_Nativ'!$D$6:$D$405,"&gt;="&amp;L726),COUNTIFS('Istoric_Nativ'!$B$6:$B$405,E726,'Istoric_Nativ'!$C$6:$C$405,F726,'Istoric_Nativ'!$E$6:$E$405,G726,'Istoric_Nativ'!$D$6:$D$405,"&lt;"&amp;J726,'Istoric_Nativ'!$P$6:$P$405,1,'Istoric_Nativ'!$D$6:$D$405,"&gt;="&amp;L726)+COUNTIFS('Istoric_Nativ'!$B$6:$B$405,E726,'Istoric_Nativ'!$C$6:$C$405,F726,'Istoric_Nativ'!$F$6:$F$405,G726,'Istoric_Nativ'!$D$6:$D$405,"&lt;"&amp;J726,'Istoric_Nativ'!$P$6:$P$405,1,'Istoric_Nativ'!$D$6:$D$405,"&gt;="&amp;L726))))</x:f>
        <x:v>0</x:v>
      </x:c>
      <x:c r="N726" s="11" t="str">
        <x:f>IF(M726=0,"",IF(H726="HOME",SUMIFS('Istoric_Nativ'!$G$6:$G$405,'Istoric_Nativ'!$B$6:$B$405,E726,'Istoric_Nativ'!$C$6:$C$405,F726,'Istoric_Nativ'!$E$6:$E$405,G726,'Istoric_Nativ'!$D$6:$D$405,"&lt;"&amp;J726,'Istoric_Nativ'!$P$6:$P$405,1,'Istoric_Nativ'!$D$6:$D$405,"&gt;="&amp;L726),IF(H726="AWAY",SUMIFS('Istoric_Nativ'!$H$6:$H$405,'Istoric_Nativ'!$B$6:$B$405,E726,'Istoric_Nativ'!$C$6:$C$405,F726,'Istoric_Nativ'!$F$6:$F$405,G726,'Istoric_Nativ'!$D$6:$D$405,"&lt;"&amp;J726,'Istoric_Nativ'!$P$6:$P$405,1,'Istoric_Nativ'!$D$6:$D$405,"&gt;="&amp;L726),SUMIFS('Istoric_Nativ'!$G$6:$G$405,'Istoric_Nativ'!$B$6:$B$405,E726,'Istoric_Nativ'!$C$6:$C$405,F726,'Istoric_Nativ'!$E$6:$E$405,G726,'Istoric_Nativ'!$D$6:$D$405,"&lt;"&amp;J726,'Istoric_Nativ'!$P$6:$P$405,1,'Istoric_Nativ'!$D$6:$D$405,"&gt;="&amp;L726)+SUMIFS('Istoric_Nativ'!$H$6:$H$405,'Istoric_Nativ'!$B$6:$B$405,E726,'Istoric_Nativ'!$C$6:$C$405,F726,'Istoric_Nativ'!$F$6:$F$405,G726,'Istoric_Nativ'!$D$6:$D$405,"&lt;"&amp;J726,'Istoric_Nativ'!$P$6:$P$405,1,'Istoric_Nativ'!$D$6:$D$405,"&gt;="&amp;L726)))/M726)</x:f>
      </x:c>
      <x:c r="O726" s="11" t="str">
        <x:f>IF(M726=0,"",IF(H726="HOME",SUMIFS('Istoric_Nativ'!$H$6:$H$405,'Istoric_Nativ'!$B$6:$B$405,E726,'Istoric_Nativ'!$C$6:$C$405,F726,'Istoric_Nativ'!$E$6:$E$405,G726,'Istoric_Nativ'!$D$6:$D$405,"&lt;"&amp;J726,'Istoric_Nativ'!$P$6:$P$405,1,'Istoric_Nativ'!$D$6:$D$405,"&gt;="&amp;L726),IF(H726="AWAY",SUMIFS('Istoric_Nativ'!$G$6:$G$405,'Istoric_Nativ'!$B$6:$B$405,E726,'Istoric_Nativ'!$C$6:$C$405,F726,'Istoric_Nativ'!$F$6:$F$405,G726,'Istoric_Nativ'!$D$6:$D$405,"&lt;"&amp;J726,'Istoric_Nativ'!$P$6:$P$405,1,'Istoric_Nativ'!$D$6:$D$405,"&gt;="&amp;L726),SUMIFS('Istoric_Nativ'!$H$6:$H$405,'Istoric_Nativ'!$B$6:$B$405,E726,'Istoric_Nativ'!$C$6:$C$405,F726,'Istoric_Nativ'!$E$6:$E$405,G726,'Istoric_Nativ'!$D$6:$D$405,"&lt;"&amp;J726,'Istoric_Nativ'!$P$6:$P$405,1,'Istoric_Nativ'!$D$6:$D$405,"&gt;="&amp;L726)+SUMIFS('Istoric_Nativ'!$G$6:$G$405,'Istoric_Nativ'!$B$6:$B$405,E726,'Istoric_Nativ'!$C$6:$C$405,F726,'Istoric_Nativ'!$F$6:$F$405,G726,'Istoric_Nativ'!$D$6:$D$405,"&lt;"&amp;J726,'Istoric_Nativ'!$P$6:$P$405,1,'Istoric_Nativ'!$D$6:$D$405,"&gt;="&amp;L726)))/M726)</x:f>
      </x:c>
      <x:c r="P726" s="2" t="n">
        <x:f>'Config_v6'!$B$7</x:f>
        <x:v>10</x:v>
      </x:c>
      <x:c r="Q726" s="2" t="n">
        <x:f>IF(OR(B726="",F726=""),0,IFERROR(MATCH(E726&amp;"|"&amp;F726,SourceTable[Source_Key],0),0))</x:f>
        <x:v>0</x:v>
      </x:c>
      <x:c r="R726" s="2" t="str">
        <x:f>IF(B726="","",IF(F726="","UNUSED",IF(Q726=0,"NOT CHECKED",IF(COUNTIF(SourceTable[Source_Key],E726&amp;"|"&amp;F726)&lt;&gt;1,"SOURCE CONFLICT",IF(NOT(OR(INDEX(SourceTable[Status],MAX(1,Q726))="IMPORTED",INDEX(SourceTable[Status],MAX(1,Q726))="PARTIAL",INDEX(SourceTable[Status],MAX(1,Q726))="SOURCE CONFLICT")),"ACCESS BLOCKED",IF(OR(INDEX(SourceTable[Coverage],Q726)&lt;&gt;"FULL SEASON EXPORT",INDEX(SourceTable[URL],Q726)="",INDEX(SourceTable[SHA256],Q726)=""),"EVIDENCE INCOMPLETE",IF(AND('Input_Meci'!H66="LIVE",INDEX(SourceTable[Retrieved_UTC],Q726)&gt;'Input_Meci'!G66),"POST CUTOFF","CLOSED")))))))</x:f>
      </x:c>
      <x:c r="S726" s="2" t="n">
        <x:f>IF(OR(B726="",F726=""),0,COUNTIFS('Istoric_Nativ'!$B$6:$B$405,E726,'Istoric_Nativ'!$C$6:$C$405,F726,'Istoric_Nativ'!$E$6:$E$405,G726,'Istoric_Nativ'!$D$6:$D$405,"&lt;"&amp;J726,'Istoric_Nativ'!$O$6:$O$405,"INVALID")+COUNTIFS('Istoric_Nativ'!$B$6:$B$405,E726,'Istoric_Nativ'!$C$6:$C$405,F726,'Istoric_Nativ'!$E$6:$E$405,G726,'Istoric_Nativ'!$O$6:$O$405,"INVALID",'Istoric_Nativ'!$D$6:$D$405,"*")+COUNTIFS('Istoric_Nativ'!$B$6:$B$405,E726,'Istoric_Nativ'!$C$6:$C$405,F726,'Istoric_Nativ'!$E$6:$E$405,G726,'Istoric_Nativ'!$D$6:$D$405,"&lt;"&amp;J726,'Istoric_Nativ'!$O$6:$O$405,"SOURCE CONFLICT")+COUNTIFS('Istoric_Nativ'!$B$6:$B$405,E726,'Istoric_Nativ'!$C$6:$C$405,F726,'Istoric_Nativ'!$F$6:$F$405,G726,'Istoric_Nativ'!$D$6:$D$405,"&lt;"&amp;J726,'Istoric_Nativ'!$O$6:$O$405,"INVALID")+COUNTIFS('Istoric_Nativ'!$B$6:$B$405,E726,'Istoric_Nativ'!$C$6:$C$405,F726,'Istoric_Nativ'!$F$6:$F$405,G726,'Istoric_Nativ'!$O$6:$O$405,"INVALID",'Istoric_Nativ'!$D$6:$D$405,"*")+COUNTIFS('Istoric_Nativ'!$B$6:$B$405,E726,'Istoric_Nativ'!$C$6:$C$405,F726,'Istoric_Nativ'!$F$6:$F$405,G726,'Istoric_Nativ'!$D$6:$D$405,"&lt;"&amp;J726,'Istoric_Nativ'!$O$6:$O$405,"SOURCE CONFLICT"))</x:f>
        <x:v>0</x:v>
      </x:c>
      <x:c r="T726" s="2" t="str">
        <x:f>IF(B726="","",IF(R726&lt;&gt;"CLOSED",R726,IF(S726&gt;0,"NATIVE INPUT ISSUE",IF(M726=0,"NO HISTORY",IF(M726&lt;P726,"SMALL SAMPLE","DERIVED")))))</x:f>
      </x:c>
      <x:c r="U726" s="2" t="str">
        <x:f>IF(B726="","","NativeTable; "&amp;E726&amp;"; "&amp;F726&amp;"; "&amp;G726&amp;"; "&amp;H726&amp;"; before "&amp;TEXT(J726,"yyyy-mm-dd")&amp;IF(I726="RECENT","; from "&amp;TEXT(L726,"yyyy-mm-dd"),""))</x:f>
      </x:c>
    </x:row>
    <x:row r="727" ht="21" customHeight="1">
      <x:c r="A727" s="2" t="n">
        <x:v>61</x:v>
      </x:c>
      <x:c r="B727" s="2" t="str">
        <x:f>IF('Input_Meci'!A66="","",'Input_Meci'!A66)</x:f>
      </x:c>
      <x:c r="C727" s="2" t="str">
        <x:v>H</x:v>
      </x:c>
      <x:c r="D727" s="2" t="str">
        <x:v>CURRENT</x:v>
      </x:c>
      <x:c r="E727" s="2" t="str">
        <x:f>IF(B727="","",'Input_Meci'!B66)</x:f>
      </x:c>
      <x:c r="F727" s="2" t="str">
        <x:f>IF(B727="","",IF('Input_Meci'!C66="","",'Input_Meci'!C66))</x:f>
      </x:c>
      <x:c r="G727" s="2" t="str">
        <x:f>IF(B727="","",'Input_Meci'!D66)</x:f>
      </x:c>
      <x:c r="H727" s="2" t="str">
        <x:v>HOME</x:v>
      </x:c>
      <x:c r="I727" s="2" t="str">
        <x:v>HA</x:v>
      </x:c>
      <x:c r="J727" s="9" t="n">
        <x:f>IF(AND(B727&lt;&gt;"",ISNUMBER('Input_Meci'!G66)),INT('Input_Meci'!G66),0)</x:f>
        <x:v>0</x:v>
      </x:c>
      <x:c r="K727" s="2" t="n">
        <x:f>IF(OR(B727="",F727=""),0,IF(H727="HOME",COUNTIFS('Istoric_Nativ'!$B$6:$B$405,E727,'Istoric_Nativ'!$C$6:$C$405,F727,'Istoric_Nativ'!$E$6:$E$405,G727,'Istoric_Nativ'!$D$6:$D$405,"&lt;"&amp;J727,'Istoric_Nativ'!$P$6:$P$405,1),IF(H727="AWAY",COUNTIFS('Istoric_Nativ'!$B$6:$B$405,E727,'Istoric_Nativ'!$C$6:$C$405,F727,'Istoric_Nativ'!$F$6:$F$405,G727,'Istoric_Nativ'!$D$6:$D$405,"&lt;"&amp;J727,'Istoric_Nativ'!$P$6:$P$405,1),COUNTIFS('Istoric_Nativ'!$B$6:$B$405,E727,'Istoric_Nativ'!$C$6:$C$405,F727,'Istoric_Nativ'!$E$6:$E$405,G727,'Istoric_Nativ'!$D$6:$D$405,"&lt;"&amp;J727,'Istoric_Nativ'!$P$6:$P$405,1)+COUNTIFS('Istoric_Nativ'!$B$6:$B$405,E727,'Istoric_Nativ'!$C$6:$C$405,F727,'Istoric_Nativ'!$F$6:$F$405,G727,'Istoric_Nativ'!$D$6:$D$405,"&lt;"&amp;J727,'Istoric_Nativ'!$P$6:$P$405,1))))</x:f>
        <x:v>0</x:v>
      </x:c>
      <x:c r="L727" s="17" t="n">
        <x:f>IF(AND(B727&lt;&gt;"",I727="RECENT",K727&gt;0),LARGE(_xlfn._xlws.FILTER('Istoric_Nativ'!$D$6:$D$405,('Istoric_Nativ'!$B$6:$B$405=E727)*('Istoric_Nativ'!$C$6:$C$405=F727)*('Istoric_Nativ'!$P$6:$P$405=1)*('Istoric_Nativ'!$D$6:$D$405&lt;J727)*((('Istoric_Nativ'!$E$6:$E$405=G727)+('Istoric_Nativ'!$F$6:$F$405=G727))&gt;0)),MIN('Config_v6'!$B$54,K727)),0)</x:f>
        <x:v>0</x:v>
      </x:c>
      <x:c r="M727" s="2" t="n">
        <x:f>IF(OR(B727="",F727=""),0,IF(H727="HOME",COUNTIFS('Istoric_Nativ'!$B$6:$B$405,E727,'Istoric_Nativ'!$C$6:$C$405,F727,'Istoric_Nativ'!$E$6:$E$405,G727,'Istoric_Nativ'!$D$6:$D$405,"&lt;"&amp;J727,'Istoric_Nativ'!$P$6:$P$405,1,'Istoric_Nativ'!$D$6:$D$405,"&gt;="&amp;L727),IF(H727="AWAY",COUNTIFS('Istoric_Nativ'!$B$6:$B$405,E727,'Istoric_Nativ'!$C$6:$C$405,F727,'Istoric_Nativ'!$F$6:$F$405,G727,'Istoric_Nativ'!$D$6:$D$405,"&lt;"&amp;J727,'Istoric_Nativ'!$P$6:$P$405,1,'Istoric_Nativ'!$D$6:$D$405,"&gt;="&amp;L727),COUNTIFS('Istoric_Nativ'!$B$6:$B$405,E727,'Istoric_Nativ'!$C$6:$C$405,F727,'Istoric_Nativ'!$E$6:$E$405,G727,'Istoric_Nativ'!$D$6:$D$405,"&lt;"&amp;J727,'Istoric_Nativ'!$P$6:$P$405,1,'Istoric_Nativ'!$D$6:$D$405,"&gt;="&amp;L727)+COUNTIFS('Istoric_Nativ'!$B$6:$B$405,E727,'Istoric_Nativ'!$C$6:$C$405,F727,'Istoric_Nativ'!$F$6:$F$405,G727,'Istoric_Nativ'!$D$6:$D$405,"&lt;"&amp;J727,'Istoric_Nativ'!$P$6:$P$405,1,'Istoric_Nativ'!$D$6:$D$405,"&gt;="&amp;L727))))</x:f>
        <x:v>0</x:v>
      </x:c>
      <x:c r="N727" s="11" t="str">
        <x:f>IF(M727=0,"",IF(H727="HOME",SUMIFS('Istoric_Nativ'!$G$6:$G$405,'Istoric_Nativ'!$B$6:$B$405,E727,'Istoric_Nativ'!$C$6:$C$405,F727,'Istoric_Nativ'!$E$6:$E$405,G727,'Istoric_Nativ'!$D$6:$D$405,"&lt;"&amp;J727,'Istoric_Nativ'!$P$6:$P$405,1,'Istoric_Nativ'!$D$6:$D$405,"&gt;="&amp;L727),IF(H727="AWAY",SUMIFS('Istoric_Nativ'!$H$6:$H$405,'Istoric_Nativ'!$B$6:$B$405,E727,'Istoric_Nativ'!$C$6:$C$405,F727,'Istoric_Nativ'!$F$6:$F$405,G727,'Istoric_Nativ'!$D$6:$D$405,"&lt;"&amp;J727,'Istoric_Nativ'!$P$6:$P$405,1,'Istoric_Nativ'!$D$6:$D$405,"&gt;="&amp;L727),SUMIFS('Istoric_Nativ'!$G$6:$G$405,'Istoric_Nativ'!$B$6:$B$405,E727,'Istoric_Nativ'!$C$6:$C$405,F727,'Istoric_Nativ'!$E$6:$E$405,G727,'Istoric_Nativ'!$D$6:$D$405,"&lt;"&amp;J727,'Istoric_Nativ'!$P$6:$P$405,1,'Istoric_Nativ'!$D$6:$D$405,"&gt;="&amp;L727)+SUMIFS('Istoric_Nativ'!$H$6:$H$405,'Istoric_Nativ'!$B$6:$B$405,E727,'Istoric_Nativ'!$C$6:$C$405,F727,'Istoric_Nativ'!$F$6:$F$405,G727,'Istoric_Nativ'!$D$6:$D$405,"&lt;"&amp;J727,'Istoric_Nativ'!$P$6:$P$405,1,'Istoric_Nativ'!$D$6:$D$405,"&gt;="&amp;L727)))/M727)</x:f>
      </x:c>
      <x:c r="O727" s="11" t="str">
        <x:f>IF(M727=0,"",IF(H727="HOME",SUMIFS('Istoric_Nativ'!$H$6:$H$405,'Istoric_Nativ'!$B$6:$B$405,E727,'Istoric_Nativ'!$C$6:$C$405,F727,'Istoric_Nativ'!$E$6:$E$405,G727,'Istoric_Nativ'!$D$6:$D$405,"&lt;"&amp;J727,'Istoric_Nativ'!$P$6:$P$405,1,'Istoric_Nativ'!$D$6:$D$405,"&gt;="&amp;L727),IF(H727="AWAY",SUMIFS('Istoric_Nativ'!$G$6:$G$405,'Istoric_Nativ'!$B$6:$B$405,E727,'Istoric_Nativ'!$C$6:$C$405,F727,'Istoric_Nativ'!$F$6:$F$405,G727,'Istoric_Nativ'!$D$6:$D$405,"&lt;"&amp;J727,'Istoric_Nativ'!$P$6:$P$405,1,'Istoric_Nativ'!$D$6:$D$405,"&gt;="&amp;L727),SUMIFS('Istoric_Nativ'!$H$6:$H$405,'Istoric_Nativ'!$B$6:$B$405,E727,'Istoric_Nativ'!$C$6:$C$405,F727,'Istoric_Nativ'!$E$6:$E$405,G727,'Istoric_Nativ'!$D$6:$D$405,"&lt;"&amp;J727,'Istoric_Nativ'!$P$6:$P$405,1,'Istoric_Nativ'!$D$6:$D$405,"&gt;="&amp;L727)+SUMIFS('Istoric_Nativ'!$G$6:$G$405,'Istoric_Nativ'!$B$6:$B$405,E727,'Istoric_Nativ'!$C$6:$C$405,F727,'Istoric_Nativ'!$F$6:$F$405,G727,'Istoric_Nativ'!$D$6:$D$405,"&lt;"&amp;J727,'Istoric_Nativ'!$P$6:$P$405,1,'Istoric_Nativ'!$D$6:$D$405,"&gt;="&amp;L727)))/M727)</x:f>
      </x:c>
      <x:c r="P727" s="2" t="n">
        <x:f>'Config_v6'!$B$8</x:f>
        <x:v>5</x:v>
      </x:c>
      <x:c r="Q727" s="2" t="n">
        <x:f>IF(OR(B727="",F727=""),0,IFERROR(MATCH(E727&amp;"|"&amp;F727,SourceTable[Source_Key],0),0))</x:f>
        <x:v>0</x:v>
      </x:c>
      <x:c r="R727" s="2" t="str">
        <x:f>IF(B727="","",IF(F727="","UNUSED",IF(Q727=0,"NOT CHECKED",IF(COUNTIF(SourceTable[Source_Key],E727&amp;"|"&amp;F727)&lt;&gt;1,"SOURCE CONFLICT",IF(NOT(OR(INDEX(SourceTable[Status],MAX(1,Q727))="IMPORTED",INDEX(SourceTable[Status],MAX(1,Q727))="PARTIAL",INDEX(SourceTable[Status],MAX(1,Q727))="SOURCE CONFLICT")),"ACCESS BLOCKED",IF(OR(INDEX(SourceTable[Coverage],Q727)&lt;&gt;"FULL SEASON EXPORT",INDEX(SourceTable[URL],Q727)="",INDEX(SourceTable[SHA256],Q727)=""),"EVIDENCE INCOMPLETE",IF(AND('Input_Meci'!H66="LIVE",INDEX(SourceTable[Retrieved_UTC],Q727)&gt;'Input_Meci'!G66),"POST CUTOFF","CLOSED")))))))</x:f>
      </x:c>
      <x:c r="S727" s="2" t="n">
        <x:f>IF(OR(B727="",F727=""),0,COUNTIFS('Istoric_Nativ'!$B$6:$B$405,E727,'Istoric_Nativ'!$C$6:$C$405,F727,'Istoric_Nativ'!$E$6:$E$405,G727,'Istoric_Nativ'!$D$6:$D$405,"&lt;"&amp;J727,'Istoric_Nativ'!$O$6:$O$405,"INVALID")+COUNTIFS('Istoric_Nativ'!$B$6:$B$405,E727,'Istoric_Nativ'!$C$6:$C$405,F727,'Istoric_Nativ'!$E$6:$E$405,G727,'Istoric_Nativ'!$O$6:$O$405,"INVALID",'Istoric_Nativ'!$D$6:$D$405,"*")+COUNTIFS('Istoric_Nativ'!$B$6:$B$405,E727,'Istoric_Nativ'!$C$6:$C$405,F727,'Istoric_Nativ'!$E$6:$E$405,G727,'Istoric_Nativ'!$D$6:$D$405,"&lt;"&amp;J727,'Istoric_Nativ'!$O$6:$O$405,"SOURCE CONFLICT")+COUNTIFS('Istoric_Nativ'!$B$6:$B$405,E727,'Istoric_Nativ'!$C$6:$C$405,F727,'Istoric_Nativ'!$F$6:$F$405,G727,'Istoric_Nativ'!$D$6:$D$405,"&lt;"&amp;J727,'Istoric_Nativ'!$O$6:$O$405,"INVALID")+COUNTIFS('Istoric_Nativ'!$B$6:$B$405,E727,'Istoric_Nativ'!$C$6:$C$405,F727,'Istoric_Nativ'!$F$6:$F$405,G727,'Istoric_Nativ'!$O$6:$O$405,"INVALID",'Istoric_Nativ'!$D$6:$D$405,"*")+COUNTIFS('Istoric_Nativ'!$B$6:$B$405,E727,'Istoric_Nativ'!$C$6:$C$405,F727,'Istoric_Nativ'!$F$6:$F$405,G727,'Istoric_Nativ'!$D$6:$D$405,"&lt;"&amp;J727,'Istoric_Nativ'!$O$6:$O$405,"SOURCE CONFLICT"))</x:f>
        <x:v>0</x:v>
      </x:c>
      <x:c r="T727" s="2" t="str">
        <x:f>IF(B727="","",IF(R727&lt;&gt;"CLOSED",R727,IF(S727&gt;0,"NATIVE INPUT ISSUE",IF(M727=0,"NO HISTORY",IF(M727&lt;P727,"SMALL SAMPLE","DERIVED")))))</x:f>
      </x:c>
      <x:c r="U727" s="2" t="str">
        <x:f>IF(B727="","","NativeTable; "&amp;E727&amp;"; "&amp;F727&amp;"; "&amp;G727&amp;"; "&amp;H727&amp;"; before "&amp;TEXT(J727,"yyyy-mm-dd")&amp;IF(I727="RECENT","; from "&amp;TEXT(L727,"yyyy-mm-dd"),""))</x:f>
      </x:c>
    </x:row>
    <x:row r="728" ht="21" customHeight="1">
      <x:c r="A728" s="2" t="n">
        <x:v>61</x:v>
      </x:c>
      <x:c r="B728" s="2" t="str">
        <x:f>IF('Input_Meci'!A66="","",'Input_Meci'!A66)</x:f>
      </x:c>
      <x:c r="C728" s="2" t="str">
        <x:v>H</x:v>
      </x:c>
      <x:c r="D728" s="2" t="str">
        <x:v>CURRENT</x:v>
      </x:c>
      <x:c r="E728" s="2" t="str">
        <x:f>IF(B728="","",'Input_Meci'!B66)</x:f>
      </x:c>
      <x:c r="F728" s="2" t="str">
        <x:f>IF(B728="","",IF('Input_Meci'!C66="","",'Input_Meci'!C66))</x:f>
      </x:c>
      <x:c r="G728" s="2" t="str">
        <x:f>IF(B728="","",'Input_Meci'!D66)</x:f>
      </x:c>
      <x:c r="H728" s="2" t="str">
        <x:v>ANY</x:v>
      </x:c>
      <x:c r="I728" s="2" t="str">
        <x:v>RECENT</x:v>
      </x:c>
      <x:c r="J728" s="9" t="n">
        <x:f>IF(AND(B728&lt;&gt;"",ISNUMBER('Input_Meci'!G66)),INT('Input_Meci'!G66),0)</x:f>
        <x:v>0</x:v>
      </x:c>
      <x:c r="K728" s="2" t="n">
        <x:f>IF(OR(B728="",F728=""),0,IF(H728="HOME",COUNTIFS('Istoric_Nativ'!$B$6:$B$405,E728,'Istoric_Nativ'!$C$6:$C$405,F728,'Istoric_Nativ'!$E$6:$E$405,G728,'Istoric_Nativ'!$D$6:$D$405,"&lt;"&amp;J728,'Istoric_Nativ'!$P$6:$P$405,1),IF(H728="AWAY",COUNTIFS('Istoric_Nativ'!$B$6:$B$405,E728,'Istoric_Nativ'!$C$6:$C$405,F728,'Istoric_Nativ'!$F$6:$F$405,G728,'Istoric_Nativ'!$D$6:$D$405,"&lt;"&amp;J728,'Istoric_Nativ'!$P$6:$P$405,1),COUNTIFS('Istoric_Nativ'!$B$6:$B$405,E728,'Istoric_Nativ'!$C$6:$C$405,F728,'Istoric_Nativ'!$E$6:$E$405,G728,'Istoric_Nativ'!$D$6:$D$405,"&lt;"&amp;J728,'Istoric_Nativ'!$P$6:$P$405,1)+COUNTIFS('Istoric_Nativ'!$B$6:$B$405,E728,'Istoric_Nativ'!$C$6:$C$405,F728,'Istoric_Nativ'!$F$6:$F$405,G728,'Istoric_Nativ'!$D$6:$D$405,"&lt;"&amp;J728,'Istoric_Nativ'!$P$6:$P$405,1))))</x:f>
        <x:v>0</x:v>
      </x:c>
      <x:c r="L728" s="17" t="n">
        <x:f>IF(AND(B728&lt;&gt;"",I728="RECENT",K728&gt;0),LARGE(_xlfn._xlws.FILTER('Istoric_Nativ'!$D$6:$D$405,('Istoric_Nativ'!$B$6:$B$405=E728)*('Istoric_Nativ'!$C$6:$C$405=F728)*('Istoric_Nativ'!$P$6:$P$405=1)*('Istoric_Nativ'!$D$6:$D$405&lt;J728)*((('Istoric_Nativ'!$E$6:$E$405=G728)+('Istoric_Nativ'!$F$6:$F$405=G728))&gt;0)),MIN('Config_v6'!$B$54,K728)),0)</x:f>
        <x:v>0</x:v>
      </x:c>
      <x:c r="M728" s="2" t="n">
        <x:f>IF(OR(B728="",F728=""),0,IF(H728="HOME",COUNTIFS('Istoric_Nativ'!$B$6:$B$405,E728,'Istoric_Nativ'!$C$6:$C$405,F728,'Istoric_Nativ'!$E$6:$E$405,G728,'Istoric_Nativ'!$D$6:$D$405,"&lt;"&amp;J728,'Istoric_Nativ'!$P$6:$P$405,1,'Istoric_Nativ'!$D$6:$D$405,"&gt;="&amp;L728),IF(H728="AWAY",COUNTIFS('Istoric_Nativ'!$B$6:$B$405,E728,'Istoric_Nativ'!$C$6:$C$405,F728,'Istoric_Nativ'!$F$6:$F$405,G728,'Istoric_Nativ'!$D$6:$D$405,"&lt;"&amp;J728,'Istoric_Nativ'!$P$6:$P$405,1,'Istoric_Nativ'!$D$6:$D$405,"&gt;="&amp;L728),COUNTIFS('Istoric_Nativ'!$B$6:$B$405,E728,'Istoric_Nativ'!$C$6:$C$405,F728,'Istoric_Nativ'!$E$6:$E$405,G728,'Istoric_Nativ'!$D$6:$D$405,"&lt;"&amp;J728,'Istoric_Nativ'!$P$6:$P$405,1,'Istoric_Nativ'!$D$6:$D$405,"&gt;="&amp;L728)+COUNTIFS('Istoric_Nativ'!$B$6:$B$405,E728,'Istoric_Nativ'!$C$6:$C$405,F728,'Istoric_Nativ'!$F$6:$F$405,G728,'Istoric_Nativ'!$D$6:$D$405,"&lt;"&amp;J728,'Istoric_Nativ'!$P$6:$P$405,1,'Istoric_Nativ'!$D$6:$D$405,"&gt;="&amp;L728))))</x:f>
        <x:v>0</x:v>
      </x:c>
      <x:c r="N728" s="11" t="str">
        <x:f>IF(M728=0,"",IF(H728="HOME",SUMIFS('Istoric_Nativ'!$G$6:$G$405,'Istoric_Nativ'!$B$6:$B$405,E728,'Istoric_Nativ'!$C$6:$C$405,F728,'Istoric_Nativ'!$E$6:$E$405,G728,'Istoric_Nativ'!$D$6:$D$405,"&lt;"&amp;J728,'Istoric_Nativ'!$P$6:$P$405,1,'Istoric_Nativ'!$D$6:$D$405,"&gt;="&amp;L728),IF(H728="AWAY",SUMIFS('Istoric_Nativ'!$H$6:$H$405,'Istoric_Nativ'!$B$6:$B$405,E728,'Istoric_Nativ'!$C$6:$C$405,F728,'Istoric_Nativ'!$F$6:$F$405,G728,'Istoric_Nativ'!$D$6:$D$405,"&lt;"&amp;J728,'Istoric_Nativ'!$P$6:$P$405,1,'Istoric_Nativ'!$D$6:$D$405,"&gt;="&amp;L728),SUMIFS('Istoric_Nativ'!$G$6:$G$405,'Istoric_Nativ'!$B$6:$B$405,E728,'Istoric_Nativ'!$C$6:$C$405,F728,'Istoric_Nativ'!$E$6:$E$405,G728,'Istoric_Nativ'!$D$6:$D$405,"&lt;"&amp;J728,'Istoric_Nativ'!$P$6:$P$405,1,'Istoric_Nativ'!$D$6:$D$405,"&gt;="&amp;L728)+SUMIFS('Istoric_Nativ'!$H$6:$H$405,'Istoric_Nativ'!$B$6:$B$405,E728,'Istoric_Nativ'!$C$6:$C$405,F728,'Istoric_Nativ'!$F$6:$F$405,G728,'Istoric_Nativ'!$D$6:$D$405,"&lt;"&amp;J728,'Istoric_Nativ'!$P$6:$P$405,1,'Istoric_Nativ'!$D$6:$D$405,"&gt;="&amp;L728)))/M728)</x:f>
      </x:c>
      <x:c r="O728" s="11" t="str">
        <x:f>IF(M728=0,"",IF(H728="HOME",SUMIFS('Istoric_Nativ'!$H$6:$H$405,'Istoric_Nativ'!$B$6:$B$405,E728,'Istoric_Nativ'!$C$6:$C$405,F728,'Istoric_Nativ'!$E$6:$E$405,G728,'Istoric_Nativ'!$D$6:$D$405,"&lt;"&amp;J728,'Istoric_Nativ'!$P$6:$P$405,1,'Istoric_Nativ'!$D$6:$D$405,"&gt;="&amp;L728),IF(H728="AWAY",SUMIFS('Istoric_Nativ'!$G$6:$G$405,'Istoric_Nativ'!$B$6:$B$405,E728,'Istoric_Nativ'!$C$6:$C$405,F728,'Istoric_Nativ'!$F$6:$F$405,G728,'Istoric_Nativ'!$D$6:$D$405,"&lt;"&amp;J728,'Istoric_Nativ'!$P$6:$P$405,1,'Istoric_Nativ'!$D$6:$D$405,"&gt;="&amp;L728),SUMIFS('Istoric_Nativ'!$H$6:$H$405,'Istoric_Nativ'!$B$6:$B$405,E728,'Istoric_Nativ'!$C$6:$C$405,F728,'Istoric_Nativ'!$E$6:$E$405,G728,'Istoric_Nativ'!$D$6:$D$405,"&lt;"&amp;J728,'Istoric_Nativ'!$P$6:$P$405,1,'Istoric_Nativ'!$D$6:$D$405,"&gt;="&amp;L728)+SUMIFS('Istoric_Nativ'!$G$6:$G$405,'Istoric_Nativ'!$B$6:$B$405,E728,'Istoric_Nativ'!$C$6:$C$405,F728,'Istoric_Nativ'!$F$6:$F$405,G728,'Istoric_Nativ'!$D$6:$D$405,"&lt;"&amp;J728,'Istoric_Nativ'!$P$6:$P$405,1,'Istoric_Nativ'!$D$6:$D$405,"&gt;="&amp;L728)))/M728)</x:f>
      </x:c>
      <x:c r="P728" s="2" t="n">
        <x:f>'Config_v6'!$B$9</x:f>
        <x:v>3</x:v>
      </x:c>
      <x:c r="Q728" s="2" t="n">
        <x:f>IF(OR(B728="",F728=""),0,IFERROR(MATCH(E728&amp;"|"&amp;F728,SourceTable[Source_Key],0),0))</x:f>
        <x:v>0</x:v>
      </x:c>
      <x:c r="R728" s="2" t="str">
        <x:f>IF(B728="","",IF(F728="","UNUSED",IF(Q728=0,"NOT CHECKED",IF(COUNTIF(SourceTable[Source_Key],E728&amp;"|"&amp;F728)&lt;&gt;1,"SOURCE CONFLICT",IF(NOT(OR(INDEX(SourceTable[Status],MAX(1,Q728))="IMPORTED",INDEX(SourceTable[Status],MAX(1,Q728))="PARTIAL",INDEX(SourceTable[Status],MAX(1,Q728))="SOURCE CONFLICT")),"ACCESS BLOCKED",IF(OR(INDEX(SourceTable[Coverage],Q728)&lt;&gt;"FULL SEASON EXPORT",INDEX(SourceTable[URL],Q728)="",INDEX(SourceTable[SHA256],Q728)=""),"EVIDENCE INCOMPLETE",IF(AND('Input_Meci'!H66="LIVE",INDEX(SourceTable[Retrieved_UTC],Q728)&gt;'Input_Meci'!G66),"POST CUTOFF","CLOSED")))))))</x:f>
      </x:c>
      <x:c r="S728" s="2" t="n">
        <x:f>IF(OR(B728="",F728=""),0,COUNTIFS('Istoric_Nativ'!$B$6:$B$405,E728,'Istoric_Nativ'!$C$6:$C$405,F728,'Istoric_Nativ'!$E$6:$E$405,G728,'Istoric_Nativ'!$D$6:$D$405,"&lt;"&amp;J728,'Istoric_Nativ'!$O$6:$O$405,"INVALID")+COUNTIFS('Istoric_Nativ'!$B$6:$B$405,E728,'Istoric_Nativ'!$C$6:$C$405,F728,'Istoric_Nativ'!$E$6:$E$405,G728,'Istoric_Nativ'!$O$6:$O$405,"INVALID",'Istoric_Nativ'!$D$6:$D$405,"*")+COUNTIFS('Istoric_Nativ'!$B$6:$B$405,E728,'Istoric_Nativ'!$C$6:$C$405,F728,'Istoric_Nativ'!$E$6:$E$405,G728,'Istoric_Nativ'!$D$6:$D$405,"&lt;"&amp;J728,'Istoric_Nativ'!$O$6:$O$405,"SOURCE CONFLICT")+COUNTIFS('Istoric_Nativ'!$B$6:$B$405,E728,'Istoric_Nativ'!$C$6:$C$405,F728,'Istoric_Nativ'!$F$6:$F$405,G728,'Istoric_Nativ'!$D$6:$D$405,"&lt;"&amp;J728,'Istoric_Nativ'!$O$6:$O$405,"INVALID")+COUNTIFS('Istoric_Nativ'!$B$6:$B$405,E728,'Istoric_Nativ'!$C$6:$C$405,F728,'Istoric_Nativ'!$F$6:$F$405,G728,'Istoric_Nativ'!$O$6:$O$405,"INVALID",'Istoric_Nativ'!$D$6:$D$405,"*")+COUNTIFS('Istoric_Nativ'!$B$6:$B$405,E728,'Istoric_Nativ'!$C$6:$C$405,F728,'Istoric_Nativ'!$F$6:$F$405,G728,'Istoric_Nativ'!$D$6:$D$405,"&lt;"&amp;J728,'Istoric_Nativ'!$O$6:$O$405,"SOURCE CONFLICT"))</x:f>
        <x:v>0</x:v>
      </x:c>
      <x:c r="T728" s="2" t="str">
        <x:f>IF(B728="","",IF(R728&lt;&gt;"CLOSED",R728,IF(S728&gt;0,"NATIVE INPUT ISSUE",IF(M728=0,"NO HISTORY",IF(M728&lt;P728,"SMALL SAMPLE","DERIVED")))))</x:f>
      </x:c>
      <x:c r="U728" s="2" t="str">
        <x:f>IF(B728="","","NativeTable; "&amp;E728&amp;"; "&amp;F728&amp;"; "&amp;G728&amp;"; "&amp;H728&amp;"; before "&amp;TEXT(J728,"yyyy-mm-dd")&amp;IF(I728="RECENT","; from "&amp;TEXT(L728,"yyyy-mm-dd"),""))</x:f>
      </x:c>
    </x:row>
    <x:row r="729" ht="21" customHeight="1">
      <x:c r="A729" s="2" t="n">
        <x:v>61</x:v>
      </x:c>
      <x:c r="B729" s="2" t="str">
        <x:f>IF('Input_Meci'!A66="","",'Input_Meci'!A66)</x:f>
      </x:c>
      <x:c r="C729" s="2" t="str">
        <x:v>A</x:v>
      </x:c>
      <x:c r="D729" s="2" t="str">
        <x:v>CURRENT</x:v>
      </x:c>
      <x:c r="E729" s="2" t="str">
        <x:f>IF(B729="","",'Input_Meci'!B66)</x:f>
      </x:c>
      <x:c r="F729" s="2" t="str">
        <x:f>IF(B729="","",IF('Input_Meci'!C66="","",'Input_Meci'!C66))</x:f>
      </x:c>
      <x:c r="G729" s="2" t="str">
        <x:f>IF(B729="","",'Input_Meci'!E66)</x:f>
      </x:c>
      <x:c r="H729" s="2" t="str">
        <x:v>ANY</x:v>
      </x:c>
      <x:c r="I729" s="2" t="str">
        <x:v>SEASON</x:v>
      </x:c>
      <x:c r="J729" s="9" t="n">
        <x:f>IF(AND(B729&lt;&gt;"",ISNUMBER('Input_Meci'!G66)),INT('Input_Meci'!G66),0)</x:f>
        <x:v>0</x:v>
      </x:c>
      <x:c r="K729" s="2" t="n">
        <x:f>IF(OR(B729="",F729=""),0,IF(H729="HOME",COUNTIFS('Istoric_Nativ'!$B$6:$B$405,E729,'Istoric_Nativ'!$C$6:$C$405,F729,'Istoric_Nativ'!$E$6:$E$405,G729,'Istoric_Nativ'!$D$6:$D$405,"&lt;"&amp;J729,'Istoric_Nativ'!$P$6:$P$405,1),IF(H729="AWAY",COUNTIFS('Istoric_Nativ'!$B$6:$B$405,E729,'Istoric_Nativ'!$C$6:$C$405,F729,'Istoric_Nativ'!$F$6:$F$405,G729,'Istoric_Nativ'!$D$6:$D$405,"&lt;"&amp;J729,'Istoric_Nativ'!$P$6:$P$405,1),COUNTIFS('Istoric_Nativ'!$B$6:$B$405,E729,'Istoric_Nativ'!$C$6:$C$405,F729,'Istoric_Nativ'!$E$6:$E$405,G729,'Istoric_Nativ'!$D$6:$D$405,"&lt;"&amp;J729,'Istoric_Nativ'!$P$6:$P$405,1)+COUNTIFS('Istoric_Nativ'!$B$6:$B$405,E729,'Istoric_Nativ'!$C$6:$C$405,F729,'Istoric_Nativ'!$F$6:$F$405,G729,'Istoric_Nativ'!$D$6:$D$405,"&lt;"&amp;J729,'Istoric_Nativ'!$P$6:$P$405,1))))</x:f>
        <x:v>0</x:v>
      </x:c>
      <x:c r="L729" s="17" t="n">
        <x:f>IF(AND(B729&lt;&gt;"",I729="RECENT",K729&gt;0),LARGE(_xlfn._xlws.FILTER('Istoric_Nativ'!$D$6:$D$405,('Istoric_Nativ'!$B$6:$B$405=E729)*('Istoric_Nativ'!$C$6:$C$405=F729)*('Istoric_Nativ'!$P$6:$P$405=1)*('Istoric_Nativ'!$D$6:$D$405&lt;J729)*((('Istoric_Nativ'!$E$6:$E$405=G729)+('Istoric_Nativ'!$F$6:$F$405=G729))&gt;0)),MIN('Config_v6'!$B$54,K729)),0)</x:f>
        <x:v>0</x:v>
      </x:c>
      <x:c r="M729" s="2" t="n">
        <x:f>IF(OR(B729="",F729=""),0,IF(H729="HOME",COUNTIFS('Istoric_Nativ'!$B$6:$B$405,E729,'Istoric_Nativ'!$C$6:$C$405,F729,'Istoric_Nativ'!$E$6:$E$405,G729,'Istoric_Nativ'!$D$6:$D$405,"&lt;"&amp;J729,'Istoric_Nativ'!$P$6:$P$405,1,'Istoric_Nativ'!$D$6:$D$405,"&gt;="&amp;L729),IF(H729="AWAY",COUNTIFS('Istoric_Nativ'!$B$6:$B$405,E729,'Istoric_Nativ'!$C$6:$C$405,F729,'Istoric_Nativ'!$F$6:$F$405,G729,'Istoric_Nativ'!$D$6:$D$405,"&lt;"&amp;J729,'Istoric_Nativ'!$P$6:$P$405,1,'Istoric_Nativ'!$D$6:$D$405,"&gt;="&amp;L729),COUNTIFS('Istoric_Nativ'!$B$6:$B$405,E729,'Istoric_Nativ'!$C$6:$C$405,F729,'Istoric_Nativ'!$E$6:$E$405,G729,'Istoric_Nativ'!$D$6:$D$405,"&lt;"&amp;J729,'Istoric_Nativ'!$P$6:$P$405,1,'Istoric_Nativ'!$D$6:$D$405,"&gt;="&amp;L729)+COUNTIFS('Istoric_Nativ'!$B$6:$B$405,E729,'Istoric_Nativ'!$C$6:$C$405,F729,'Istoric_Nativ'!$F$6:$F$405,G729,'Istoric_Nativ'!$D$6:$D$405,"&lt;"&amp;J729,'Istoric_Nativ'!$P$6:$P$405,1,'Istoric_Nativ'!$D$6:$D$405,"&gt;="&amp;L729))))</x:f>
        <x:v>0</x:v>
      </x:c>
      <x:c r="N729" s="11" t="str">
        <x:f>IF(M729=0,"",IF(H729="HOME",SUMIFS('Istoric_Nativ'!$G$6:$G$405,'Istoric_Nativ'!$B$6:$B$405,E729,'Istoric_Nativ'!$C$6:$C$405,F729,'Istoric_Nativ'!$E$6:$E$405,G729,'Istoric_Nativ'!$D$6:$D$405,"&lt;"&amp;J729,'Istoric_Nativ'!$P$6:$P$405,1,'Istoric_Nativ'!$D$6:$D$405,"&gt;="&amp;L729),IF(H729="AWAY",SUMIFS('Istoric_Nativ'!$H$6:$H$405,'Istoric_Nativ'!$B$6:$B$405,E729,'Istoric_Nativ'!$C$6:$C$405,F729,'Istoric_Nativ'!$F$6:$F$405,G729,'Istoric_Nativ'!$D$6:$D$405,"&lt;"&amp;J729,'Istoric_Nativ'!$P$6:$P$405,1,'Istoric_Nativ'!$D$6:$D$405,"&gt;="&amp;L729),SUMIFS('Istoric_Nativ'!$G$6:$G$405,'Istoric_Nativ'!$B$6:$B$405,E729,'Istoric_Nativ'!$C$6:$C$405,F729,'Istoric_Nativ'!$E$6:$E$405,G729,'Istoric_Nativ'!$D$6:$D$405,"&lt;"&amp;J729,'Istoric_Nativ'!$P$6:$P$405,1,'Istoric_Nativ'!$D$6:$D$405,"&gt;="&amp;L729)+SUMIFS('Istoric_Nativ'!$H$6:$H$405,'Istoric_Nativ'!$B$6:$B$405,E729,'Istoric_Nativ'!$C$6:$C$405,F729,'Istoric_Nativ'!$F$6:$F$405,G729,'Istoric_Nativ'!$D$6:$D$405,"&lt;"&amp;J729,'Istoric_Nativ'!$P$6:$P$405,1,'Istoric_Nativ'!$D$6:$D$405,"&gt;="&amp;L729)))/M729)</x:f>
      </x:c>
      <x:c r="O729" s="11" t="str">
        <x:f>IF(M729=0,"",IF(H729="HOME",SUMIFS('Istoric_Nativ'!$H$6:$H$405,'Istoric_Nativ'!$B$6:$B$405,E729,'Istoric_Nativ'!$C$6:$C$405,F729,'Istoric_Nativ'!$E$6:$E$405,G729,'Istoric_Nativ'!$D$6:$D$405,"&lt;"&amp;J729,'Istoric_Nativ'!$P$6:$P$405,1,'Istoric_Nativ'!$D$6:$D$405,"&gt;="&amp;L729),IF(H729="AWAY",SUMIFS('Istoric_Nativ'!$G$6:$G$405,'Istoric_Nativ'!$B$6:$B$405,E729,'Istoric_Nativ'!$C$6:$C$405,F729,'Istoric_Nativ'!$F$6:$F$405,G729,'Istoric_Nativ'!$D$6:$D$405,"&lt;"&amp;J729,'Istoric_Nativ'!$P$6:$P$405,1,'Istoric_Nativ'!$D$6:$D$405,"&gt;="&amp;L729),SUMIFS('Istoric_Nativ'!$H$6:$H$405,'Istoric_Nativ'!$B$6:$B$405,E729,'Istoric_Nativ'!$C$6:$C$405,F729,'Istoric_Nativ'!$E$6:$E$405,G729,'Istoric_Nativ'!$D$6:$D$405,"&lt;"&amp;J729,'Istoric_Nativ'!$P$6:$P$405,1,'Istoric_Nativ'!$D$6:$D$405,"&gt;="&amp;L729)+SUMIFS('Istoric_Nativ'!$G$6:$G$405,'Istoric_Nativ'!$B$6:$B$405,E729,'Istoric_Nativ'!$C$6:$C$405,F729,'Istoric_Nativ'!$F$6:$F$405,G729,'Istoric_Nativ'!$D$6:$D$405,"&lt;"&amp;J729,'Istoric_Nativ'!$P$6:$P$405,1,'Istoric_Nativ'!$D$6:$D$405,"&gt;="&amp;L729)))/M729)</x:f>
      </x:c>
      <x:c r="P729" s="2" t="n">
        <x:f>'Config_v6'!$B$7</x:f>
        <x:v>10</x:v>
      </x:c>
      <x:c r="Q729" s="2" t="n">
        <x:f>IF(OR(B729="",F729=""),0,IFERROR(MATCH(E729&amp;"|"&amp;F729,SourceTable[Source_Key],0),0))</x:f>
        <x:v>0</x:v>
      </x:c>
      <x:c r="R729" s="2" t="str">
        <x:f>IF(B729="","",IF(F729="","UNUSED",IF(Q729=0,"NOT CHECKED",IF(COUNTIF(SourceTable[Source_Key],E729&amp;"|"&amp;F729)&lt;&gt;1,"SOURCE CONFLICT",IF(NOT(OR(INDEX(SourceTable[Status],MAX(1,Q729))="IMPORTED",INDEX(SourceTable[Status],MAX(1,Q729))="PARTIAL",INDEX(SourceTable[Status],MAX(1,Q729))="SOURCE CONFLICT")),"ACCESS BLOCKED",IF(OR(INDEX(SourceTable[Coverage],Q729)&lt;&gt;"FULL SEASON EXPORT",INDEX(SourceTable[URL],Q729)="",INDEX(SourceTable[SHA256],Q729)=""),"EVIDENCE INCOMPLETE",IF(AND('Input_Meci'!H66="LIVE",INDEX(SourceTable[Retrieved_UTC],Q729)&gt;'Input_Meci'!G66),"POST CUTOFF","CLOSED")))))))</x:f>
      </x:c>
      <x:c r="S729" s="2" t="n">
        <x:f>IF(OR(B729="",F729=""),0,COUNTIFS('Istoric_Nativ'!$B$6:$B$405,E729,'Istoric_Nativ'!$C$6:$C$405,F729,'Istoric_Nativ'!$E$6:$E$405,G729,'Istoric_Nativ'!$D$6:$D$405,"&lt;"&amp;J729,'Istoric_Nativ'!$O$6:$O$405,"INVALID")+COUNTIFS('Istoric_Nativ'!$B$6:$B$405,E729,'Istoric_Nativ'!$C$6:$C$405,F729,'Istoric_Nativ'!$E$6:$E$405,G729,'Istoric_Nativ'!$O$6:$O$405,"INVALID",'Istoric_Nativ'!$D$6:$D$405,"*")+COUNTIFS('Istoric_Nativ'!$B$6:$B$405,E729,'Istoric_Nativ'!$C$6:$C$405,F729,'Istoric_Nativ'!$E$6:$E$405,G729,'Istoric_Nativ'!$D$6:$D$405,"&lt;"&amp;J729,'Istoric_Nativ'!$O$6:$O$405,"SOURCE CONFLICT")+COUNTIFS('Istoric_Nativ'!$B$6:$B$405,E729,'Istoric_Nativ'!$C$6:$C$405,F729,'Istoric_Nativ'!$F$6:$F$405,G729,'Istoric_Nativ'!$D$6:$D$405,"&lt;"&amp;J729,'Istoric_Nativ'!$O$6:$O$405,"INVALID")+COUNTIFS('Istoric_Nativ'!$B$6:$B$405,E729,'Istoric_Nativ'!$C$6:$C$405,F729,'Istoric_Nativ'!$F$6:$F$405,G729,'Istoric_Nativ'!$O$6:$O$405,"INVALID",'Istoric_Nativ'!$D$6:$D$405,"*")+COUNTIFS('Istoric_Nativ'!$B$6:$B$405,E729,'Istoric_Nativ'!$C$6:$C$405,F729,'Istoric_Nativ'!$F$6:$F$405,G729,'Istoric_Nativ'!$D$6:$D$405,"&lt;"&amp;J729,'Istoric_Nativ'!$O$6:$O$405,"SOURCE CONFLICT"))</x:f>
        <x:v>0</x:v>
      </x:c>
      <x:c r="T729" s="2" t="str">
        <x:f>IF(B729="","",IF(R729&lt;&gt;"CLOSED",R729,IF(S729&gt;0,"NATIVE INPUT ISSUE",IF(M729=0,"NO HISTORY",IF(M729&lt;P729,"SMALL SAMPLE","DERIVED")))))</x:f>
      </x:c>
      <x:c r="U729" s="2" t="str">
        <x:f>IF(B729="","","NativeTable; "&amp;E729&amp;"; "&amp;F729&amp;"; "&amp;G729&amp;"; "&amp;H729&amp;"; before "&amp;TEXT(J729,"yyyy-mm-dd")&amp;IF(I729="RECENT","; from "&amp;TEXT(L729,"yyyy-mm-dd"),""))</x:f>
      </x:c>
    </x:row>
    <x:row r="730" ht="21" customHeight="1">
      <x:c r="A730" s="2" t="n">
        <x:v>61</x:v>
      </x:c>
      <x:c r="B730" s="2" t="str">
        <x:f>IF('Input_Meci'!A66="","",'Input_Meci'!A66)</x:f>
      </x:c>
      <x:c r="C730" s="2" t="str">
        <x:v>A</x:v>
      </x:c>
      <x:c r="D730" s="2" t="str">
        <x:v>CURRENT</x:v>
      </x:c>
      <x:c r="E730" s="2" t="str">
        <x:f>IF(B730="","",'Input_Meci'!B66)</x:f>
      </x:c>
      <x:c r="F730" s="2" t="str">
        <x:f>IF(B730="","",IF('Input_Meci'!C66="","",'Input_Meci'!C66))</x:f>
      </x:c>
      <x:c r="G730" s="2" t="str">
        <x:f>IF(B730="","",'Input_Meci'!E66)</x:f>
      </x:c>
      <x:c r="H730" s="2" t="str">
        <x:v>AWAY</x:v>
      </x:c>
      <x:c r="I730" s="2" t="str">
        <x:v>HA</x:v>
      </x:c>
      <x:c r="J730" s="9" t="n">
        <x:f>IF(AND(B730&lt;&gt;"",ISNUMBER('Input_Meci'!G66)),INT('Input_Meci'!G66),0)</x:f>
        <x:v>0</x:v>
      </x:c>
      <x:c r="K730" s="2" t="n">
        <x:f>IF(OR(B730="",F730=""),0,IF(H730="HOME",COUNTIFS('Istoric_Nativ'!$B$6:$B$405,E730,'Istoric_Nativ'!$C$6:$C$405,F730,'Istoric_Nativ'!$E$6:$E$405,G730,'Istoric_Nativ'!$D$6:$D$405,"&lt;"&amp;J730,'Istoric_Nativ'!$P$6:$P$405,1),IF(H730="AWAY",COUNTIFS('Istoric_Nativ'!$B$6:$B$405,E730,'Istoric_Nativ'!$C$6:$C$405,F730,'Istoric_Nativ'!$F$6:$F$405,G730,'Istoric_Nativ'!$D$6:$D$405,"&lt;"&amp;J730,'Istoric_Nativ'!$P$6:$P$405,1),COUNTIFS('Istoric_Nativ'!$B$6:$B$405,E730,'Istoric_Nativ'!$C$6:$C$405,F730,'Istoric_Nativ'!$E$6:$E$405,G730,'Istoric_Nativ'!$D$6:$D$405,"&lt;"&amp;J730,'Istoric_Nativ'!$P$6:$P$405,1)+COUNTIFS('Istoric_Nativ'!$B$6:$B$405,E730,'Istoric_Nativ'!$C$6:$C$405,F730,'Istoric_Nativ'!$F$6:$F$405,G730,'Istoric_Nativ'!$D$6:$D$405,"&lt;"&amp;J730,'Istoric_Nativ'!$P$6:$P$405,1))))</x:f>
        <x:v>0</x:v>
      </x:c>
      <x:c r="L730" s="17" t="n">
        <x:f>IF(AND(B730&lt;&gt;"",I730="RECENT",K730&gt;0),LARGE(_xlfn._xlws.FILTER('Istoric_Nativ'!$D$6:$D$405,('Istoric_Nativ'!$B$6:$B$405=E730)*('Istoric_Nativ'!$C$6:$C$405=F730)*('Istoric_Nativ'!$P$6:$P$405=1)*('Istoric_Nativ'!$D$6:$D$405&lt;J730)*((('Istoric_Nativ'!$E$6:$E$405=G730)+('Istoric_Nativ'!$F$6:$F$405=G730))&gt;0)),MIN('Config_v6'!$B$54,K730)),0)</x:f>
        <x:v>0</x:v>
      </x:c>
      <x:c r="M730" s="2" t="n">
        <x:f>IF(OR(B730="",F730=""),0,IF(H730="HOME",COUNTIFS('Istoric_Nativ'!$B$6:$B$405,E730,'Istoric_Nativ'!$C$6:$C$405,F730,'Istoric_Nativ'!$E$6:$E$405,G730,'Istoric_Nativ'!$D$6:$D$405,"&lt;"&amp;J730,'Istoric_Nativ'!$P$6:$P$405,1,'Istoric_Nativ'!$D$6:$D$405,"&gt;="&amp;L730),IF(H730="AWAY",COUNTIFS('Istoric_Nativ'!$B$6:$B$405,E730,'Istoric_Nativ'!$C$6:$C$405,F730,'Istoric_Nativ'!$F$6:$F$405,G730,'Istoric_Nativ'!$D$6:$D$405,"&lt;"&amp;J730,'Istoric_Nativ'!$P$6:$P$405,1,'Istoric_Nativ'!$D$6:$D$405,"&gt;="&amp;L730),COUNTIFS('Istoric_Nativ'!$B$6:$B$405,E730,'Istoric_Nativ'!$C$6:$C$405,F730,'Istoric_Nativ'!$E$6:$E$405,G730,'Istoric_Nativ'!$D$6:$D$405,"&lt;"&amp;J730,'Istoric_Nativ'!$P$6:$P$405,1,'Istoric_Nativ'!$D$6:$D$405,"&gt;="&amp;L730)+COUNTIFS('Istoric_Nativ'!$B$6:$B$405,E730,'Istoric_Nativ'!$C$6:$C$405,F730,'Istoric_Nativ'!$F$6:$F$405,G730,'Istoric_Nativ'!$D$6:$D$405,"&lt;"&amp;J730,'Istoric_Nativ'!$P$6:$P$405,1,'Istoric_Nativ'!$D$6:$D$405,"&gt;="&amp;L730))))</x:f>
        <x:v>0</x:v>
      </x:c>
      <x:c r="N730" s="11" t="str">
        <x:f>IF(M730=0,"",IF(H730="HOME",SUMIFS('Istoric_Nativ'!$G$6:$G$405,'Istoric_Nativ'!$B$6:$B$405,E730,'Istoric_Nativ'!$C$6:$C$405,F730,'Istoric_Nativ'!$E$6:$E$405,G730,'Istoric_Nativ'!$D$6:$D$405,"&lt;"&amp;J730,'Istoric_Nativ'!$P$6:$P$405,1,'Istoric_Nativ'!$D$6:$D$405,"&gt;="&amp;L730),IF(H730="AWAY",SUMIFS('Istoric_Nativ'!$H$6:$H$405,'Istoric_Nativ'!$B$6:$B$405,E730,'Istoric_Nativ'!$C$6:$C$405,F730,'Istoric_Nativ'!$F$6:$F$405,G730,'Istoric_Nativ'!$D$6:$D$405,"&lt;"&amp;J730,'Istoric_Nativ'!$P$6:$P$405,1,'Istoric_Nativ'!$D$6:$D$405,"&gt;="&amp;L730),SUMIFS('Istoric_Nativ'!$G$6:$G$405,'Istoric_Nativ'!$B$6:$B$405,E730,'Istoric_Nativ'!$C$6:$C$405,F730,'Istoric_Nativ'!$E$6:$E$405,G730,'Istoric_Nativ'!$D$6:$D$405,"&lt;"&amp;J730,'Istoric_Nativ'!$P$6:$P$405,1,'Istoric_Nativ'!$D$6:$D$405,"&gt;="&amp;L730)+SUMIFS('Istoric_Nativ'!$H$6:$H$405,'Istoric_Nativ'!$B$6:$B$405,E730,'Istoric_Nativ'!$C$6:$C$405,F730,'Istoric_Nativ'!$F$6:$F$405,G730,'Istoric_Nativ'!$D$6:$D$405,"&lt;"&amp;J730,'Istoric_Nativ'!$P$6:$P$405,1,'Istoric_Nativ'!$D$6:$D$405,"&gt;="&amp;L730)))/M730)</x:f>
      </x:c>
      <x:c r="O730" s="11" t="str">
        <x:f>IF(M730=0,"",IF(H730="HOME",SUMIFS('Istoric_Nativ'!$H$6:$H$405,'Istoric_Nativ'!$B$6:$B$405,E730,'Istoric_Nativ'!$C$6:$C$405,F730,'Istoric_Nativ'!$E$6:$E$405,G730,'Istoric_Nativ'!$D$6:$D$405,"&lt;"&amp;J730,'Istoric_Nativ'!$P$6:$P$405,1,'Istoric_Nativ'!$D$6:$D$405,"&gt;="&amp;L730),IF(H730="AWAY",SUMIFS('Istoric_Nativ'!$G$6:$G$405,'Istoric_Nativ'!$B$6:$B$405,E730,'Istoric_Nativ'!$C$6:$C$405,F730,'Istoric_Nativ'!$F$6:$F$405,G730,'Istoric_Nativ'!$D$6:$D$405,"&lt;"&amp;J730,'Istoric_Nativ'!$P$6:$P$405,1,'Istoric_Nativ'!$D$6:$D$405,"&gt;="&amp;L730),SUMIFS('Istoric_Nativ'!$H$6:$H$405,'Istoric_Nativ'!$B$6:$B$405,E730,'Istoric_Nativ'!$C$6:$C$405,F730,'Istoric_Nativ'!$E$6:$E$405,G730,'Istoric_Nativ'!$D$6:$D$405,"&lt;"&amp;J730,'Istoric_Nativ'!$P$6:$P$405,1,'Istoric_Nativ'!$D$6:$D$405,"&gt;="&amp;L730)+SUMIFS('Istoric_Nativ'!$G$6:$G$405,'Istoric_Nativ'!$B$6:$B$405,E730,'Istoric_Nativ'!$C$6:$C$405,F730,'Istoric_Nativ'!$F$6:$F$405,G730,'Istoric_Nativ'!$D$6:$D$405,"&lt;"&amp;J730,'Istoric_Nativ'!$P$6:$P$405,1,'Istoric_Nativ'!$D$6:$D$405,"&gt;="&amp;L730)))/M730)</x:f>
      </x:c>
      <x:c r="P730" s="2" t="n">
        <x:f>'Config_v6'!$B$8</x:f>
        <x:v>5</x:v>
      </x:c>
      <x:c r="Q730" s="2" t="n">
        <x:f>IF(OR(B730="",F730=""),0,IFERROR(MATCH(E730&amp;"|"&amp;F730,SourceTable[Source_Key],0),0))</x:f>
        <x:v>0</x:v>
      </x:c>
      <x:c r="R730" s="2" t="str">
        <x:f>IF(B730="","",IF(F730="","UNUSED",IF(Q730=0,"NOT CHECKED",IF(COUNTIF(SourceTable[Source_Key],E730&amp;"|"&amp;F730)&lt;&gt;1,"SOURCE CONFLICT",IF(NOT(OR(INDEX(SourceTable[Status],MAX(1,Q730))="IMPORTED",INDEX(SourceTable[Status],MAX(1,Q730))="PARTIAL",INDEX(SourceTable[Status],MAX(1,Q730))="SOURCE CONFLICT")),"ACCESS BLOCKED",IF(OR(INDEX(SourceTable[Coverage],Q730)&lt;&gt;"FULL SEASON EXPORT",INDEX(SourceTable[URL],Q730)="",INDEX(SourceTable[SHA256],Q730)=""),"EVIDENCE INCOMPLETE",IF(AND('Input_Meci'!H66="LIVE",INDEX(SourceTable[Retrieved_UTC],Q730)&gt;'Input_Meci'!G66),"POST CUTOFF","CLOSED")))))))</x:f>
      </x:c>
      <x:c r="S730" s="2" t="n">
        <x:f>IF(OR(B730="",F730=""),0,COUNTIFS('Istoric_Nativ'!$B$6:$B$405,E730,'Istoric_Nativ'!$C$6:$C$405,F730,'Istoric_Nativ'!$E$6:$E$405,G730,'Istoric_Nativ'!$D$6:$D$405,"&lt;"&amp;J730,'Istoric_Nativ'!$O$6:$O$405,"INVALID")+COUNTIFS('Istoric_Nativ'!$B$6:$B$405,E730,'Istoric_Nativ'!$C$6:$C$405,F730,'Istoric_Nativ'!$E$6:$E$405,G730,'Istoric_Nativ'!$O$6:$O$405,"INVALID",'Istoric_Nativ'!$D$6:$D$405,"*")+COUNTIFS('Istoric_Nativ'!$B$6:$B$405,E730,'Istoric_Nativ'!$C$6:$C$405,F730,'Istoric_Nativ'!$E$6:$E$405,G730,'Istoric_Nativ'!$D$6:$D$405,"&lt;"&amp;J730,'Istoric_Nativ'!$O$6:$O$405,"SOURCE CONFLICT")+COUNTIFS('Istoric_Nativ'!$B$6:$B$405,E730,'Istoric_Nativ'!$C$6:$C$405,F730,'Istoric_Nativ'!$F$6:$F$405,G730,'Istoric_Nativ'!$D$6:$D$405,"&lt;"&amp;J730,'Istoric_Nativ'!$O$6:$O$405,"INVALID")+COUNTIFS('Istoric_Nativ'!$B$6:$B$405,E730,'Istoric_Nativ'!$C$6:$C$405,F730,'Istoric_Nativ'!$F$6:$F$405,G730,'Istoric_Nativ'!$O$6:$O$405,"INVALID",'Istoric_Nativ'!$D$6:$D$405,"*")+COUNTIFS('Istoric_Nativ'!$B$6:$B$405,E730,'Istoric_Nativ'!$C$6:$C$405,F730,'Istoric_Nativ'!$F$6:$F$405,G730,'Istoric_Nativ'!$D$6:$D$405,"&lt;"&amp;J730,'Istoric_Nativ'!$O$6:$O$405,"SOURCE CONFLICT"))</x:f>
        <x:v>0</x:v>
      </x:c>
      <x:c r="T730" s="2" t="str">
        <x:f>IF(B730="","",IF(R730&lt;&gt;"CLOSED",R730,IF(S730&gt;0,"NATIVE INPUT ISSUE",IF(M730=0,"NO HISTORY",IF(M730&lt;P730,"SMALL SAMPLE","DERIVED")))))</x:f>
      </x:c>
      <x:c r="U730" s="2" t="str">
        <x:f>IF(B730="","","NativeTable; "&amp;E730&amp;"; "&amp;F730&amp;"; "&amp;G730&amp;"; "&amp;H730&amp;"; before "&amp;TEXT(J730,"yyyy-mm-dd")&amp;IF(I730="RECENT","; from "&amp;TEXT(L730,"yyyy-mm-dd"),""))</x:f>
      </x:c>
    </x:row>
    <x:row r="731" ht="21" customHeight="1">
      <x:c r="A731" s="2" t="n">
        <x:v>61</x:v>
      </x:c>
      <x:c r="B731" s="2" t="str">
        <x:f>IF('Input_Meci'!A66="","",'Input_Meci'!A66)</x:f>
      </x:c>
      <x:c r="C731" s="2" t="str">
        <x:v>A</x:v>
      </x:c>
      <x:c r="D731" s="2" t="str">
        <x:v>CURRENT</x:v>
      </x:c>
      <x:c r="E731" s="2" t="str">
        <x:f>IF(B731="","",'Input_Meci'!B66)</x:f>
      </x:c>
      <x:c r="F731" s="2" t="str">
        <x:f>IF(B731="","",IF('Input_Meci'!C66="","",'Input_Meci'!C66))</x:f>
      </x:c>
      <x:c r="G731" s="2" t="str">
        <x:f>IF(B731="","",'Input_Meci'!E66)</x:f>
      </x:c>
      <x:c r="H731" s="2" t="str">
        <x:v>ANY</x:v>
      </x:c>
      <x:c r="I731" s="2" t="str">
        <x:v>RECENT</x:v>
      </x:c>
      <x:c r="J731" s="9" t="n">
        <x:f>IF(AND(B731&lt;&gt;"",ISNUMBER('Input_Meci'!G66)),INT('Input_Meci'!G66),0)</x:f>
        <x:v>0</x:v>
      </x:c>
      <x:c r="K731" s="2" t="n">
        <x:f>IF(OR(B731="",F731=""),0,IF(H731="HOME",COUNTIFS('Istoric_Nativ'!$B$6:$B$405,E731,'Istoric_Nativ'!$C$6:$C$405,F731,'Istoric_Nativ'!$E$6:$E$405,G731,'Istoric_Nativ'!$D$6:$D$405,"&lt;"&amp;J731,'Istoric_Nativ'!$P$6:$P$405,1),IF(H731="AWAY",COUNTIFS('Istoric_Nativ'!$B$6:$B$405,E731,'Istoric_Nativ'!$C$6:$C$405,F731,'Istoric_Nativ'!$F$6:$F$405,G731,'Istoric_Nativ'!$D$6:$D$405,"&lt;"&amp;J731,'Istoric_Nativ'!$P$6:$P$405,1),COUNTIFS('Istoric_Nativ'!$B$6:$B$405,E731,'Istoric_Nativ'!$C$6:$C$405,F731,'Istoric_Nativ'!$E$6:$E$405,G731,'Istoric_Nativ'!$D$6:$D$405,"&lt;"&amp;J731,'Istoric_Nativ'!$P$6:$P$405,1)+COUNTIFS('Istoric_Nativ'!$B$6:$B$405,E731,'Istoric_Nativ'!$C$6:$C$405,F731,'Istoric_Nativ'!$F$6:$F$405,G731,'Istoric_Nativ'!$D$6:$D$405,"&lt;"&amp;J731,'Istoric_Nativ'!$P$6:$P$405,1))))</x:f>
        <x:v>0</x:v>
      </x:c>
      <x:c r="L731" s="17" t="n">
        <x:f>IF(AND(B731&lt;&gt;"",I731="RECENT",K731&gt;0),LARGE(_xlfn._xlws.FILTER('Istoric_Nativ'!$D$6:$D$405,('Istoric_Nativ'!$B$6:$B$405=E731)*('Istoric_Nativ'!$C$6:$C$405=F731)*('Istoric_Nativ'!$P$6:$P$405=1)*('Istoric_Nativ'!$D$6:$D$405&lt;J731)*((('Istoric_Nativ'!$E$6:$E$405=G731)+('Istoric_Nativ'!$F$6:$F$405=G731))&gt;0)),MIN('Config_v6'!$B$54,K731)),0)</x:f>
        <x:v>0</x:v>
      </x:c>
      <x:c r="M731" s="2" t="n">
        <x:f>IF(OR(B731="",F731=""),0,IF(H731="HOME",COUNTIFS('Istoric_Nativ'!$B$6:$B$405,E731,'Istoric_Nativ'!$C$6:$C$405,F731,'Istoric_Nativ'!$E$6:$E$405,G731,'Istoric_Nativ'!$D$6:$D$405,"&lt;"&amp;J731,'Istoric_Nativ'!$P$6:$P$405,1,'Istoric_Nativ'!$D$6:$D$405,"&gt;="&amp;L731),IF(H731="AWAY",COUNTIFS('Istoric_Nativ'!$B$6:$B$405,E731,'Istoric_Nativ'!$C$6:$C$405,F731,'Istoric_Nativ'!$F$6:$F$405,G731,'Istoric_Nativ'!$D$6:$D$405,"&lt;"&amp;J731,'Istoric_Nativ'!$P$6:$P$405,1,'Istoric_Nativ'!$D$6:$D$405,"&gt;="&amp;L731),COUNTIFS('Istoric_Nativ'!$B$6:$B$405,E731,'Istoric_Nativ'!$C$6:$C$405,F731,'Istoric_Nativ'!$E$6:$E$405,G731,'Istoric_Nativ'!$D$6:$D$405,"&lt;"&amp;J731,'Istoric_Nativ'!$P$6:$P$405,1,'Istoric_Nativ'!$D$6:$D$405,"&gt;="&amp;L731)+COUNTIFS('Istoric_Nativ'!$B$6:$B$405,E731,'Istoric_Nativ'!$C$6:$C$405,F731,'Istoric_Nativ'!$F$6:$F$405,G731,'Istoric_Nativ'!$D$6:$D$405,"&lt;"&amp;J731,'Istoric_Nativ'!$P$6:$P$405,1,'Istoric_Nativ'!$D$6:$D$405,"&gt;="&amp;L731))))</x:f>
        <x:v>0</x:v>
      </x:c>
      <x:c r="N731" s="11" t="str">
        <x:f>IF(M731=0,"",IF(H731="HOME",SUMIFS('Istoric_Nativ'!$G$6:$G$405,'Istoric_Nativ'!$B$6:$B$405,E731,'Istoric_Nativ'!$C$6:$C$405,F731,'Istoric_Nativ'!$E$6:$E$405,G731,'Istoric_Nativ'!$D$6:$D$405,"&lt;"&amp;J731,'Istoric_Nativ'!$P$6:$P$405,1,'Istoric_Nativ'!$D$6:$D$405,"&gt;="&amp;L731),IF(H731="AWAY",SUMIFS('Istoric_Nativ'!$H$6:$H$405,'Istoric_Nativ'!$B$6:$B$405,E731,'Istoric_Nativ'!$C$6:$C$405,F731,'Istoric_Nativ'!$F$6:$F$405,G731,'Istoric_Nativ'!$D$6:$D$405,"&lt;"&amp;J731,'Istoric_Nativ'!$P$6:$P$405,1,'Istoric_Nativ'!$D$6:$D$405,"&gt;="&amp;L731),SUMIFS('Istoric_Nativ'!$G$6:$G$405,'Istoric_Nativ'!$B$6:$B$405,E731,'Istoric_Nativ'!$C$6:$C$405,F731,'Istoric_Nativ'!$E$6:$E$405,G731,'Istoric_Nativ'!$D$6:$D$405,"&lt;"&amp;J731,'Istoric_Nativ'!$P$6:$P$405,1,'Istoric_Nativ'!$D$6:$D$405,"&gt;="&amp;L731)+SUMIFS('Istoric_Nativ'!$H$6:$H$405,'Istoric_Nativ'!$B$6:$B$405,E731,'Istoric_Nativ'!$C$6:$C$405,F731,'Istoric_Nativ'!$F$6:$F$405,G731,'Istoric_Nativ'!$D$6:$D$405,"&lt;"&amp;J731,'Istoric_Nativ'!$P$6:$P$405,1,'Istoric_Nativ'!$D$6:$D$405,"&gt;="&amp;L731)))/M731)</x:f>
      </x:c>
      <x:c r="O731" s="11" t="str">
        <x:f>IF(M731=0,"",IF(H731="HOME",SUMIFS('Istoric_Nativ'!$H$6:$H$405,'Istoric_Nativ'!$B$6:$B$405,E731,'Istoric_Nativ'!$C$6:$C$405,F731,'Istoric_Nativ'!$E$6:$E$405,G731,'Istoric_Nativ'!$D$6:$D$405,"&lt;"&amp;J731,'Istoric_Nativ'!$P$6:$P$405,1,'Istoric_Nativ'!$D$6:$D$405,"&gt;="&amp;L731),IF(H731="AWAY",SUMIFS('Istoric_Nativ'!$G$6:$G$405,'Istoric_Nativ'!$B$6:$B$405,E731,'Istoric_Nativ'!$C$6:$C$405,F731,'Istoric_Nativ'!$F$6:$F$405,G731,'Istoric_Nativ'!$D$6:$D$405,"&lt;"&amp;J731,'Istoric_Nativ'!$P$6:$P$405,1,'Istoric_Nativ'!$D$6:$D$405,"&gt;="&amp;L731),SUMIFS('Istoric_Nativ'!$H$6:$H$405,'Istoric_Nativ'!$B$6:$B$405,E731,'Istoric_Nativ'!$C$6:$C$405,F731,'Istoric_Nativ'!$E$6:$E$405,G731,'Istoric_Nativ'!$D$6:$D$405,"&lt;"&amp;J731,'Istoric_Nativ'!$P$6:$P$405,1,'Istoric_Nativ'!$D$6:$D$405,"&gt;="&amp;L731)+SUMIFS('Istoric_Nativ'!$G$6:$G$405,'Istoric_Nativ'!$B$6:$B$405,E731,'Istoric_Nativ'!$C$6:$C$405,F731,'Istoric_Nativ'!$F$6:$F$405,G731,'Istoric_Nativ'!$D$6:$D$405,"&lt;"&amp;J731,'Istoric_Nativ'!$P$6:$P$405,1,'Istoric_Nativ'!$D$6:$D$405,"&gt;="&amp;L731)))/M731)</x:f>
      </x:c>
      <x:c r="P731" s="2" t="n">
        <x:f>'Config_v6'!$B$9</x:f>
        <x:v>3</x:v>
      </x:c>
      <x:c r="Q731" s="2" t="n">
        <x:f>IF(OR(B731="",F731=""),0,IFERROR(MATCH(E731&amp;"|"&amp;F731,SourceTable[Source_Key],0),0))</x:f>
        <x:v>0</x:v>
      </x:c>
      <x:c r="R731" s="2" t="str">
        <x:f>IF(B731="","",IF(F731="","UNUSED",IF(Q731=0,"NOT CHECKED",IF(COUNTIF(SourceTable[Source_Key],E731&amp;"|"&amp;F731)&lt;&gt;1,"SOURCE CONFLICT",IF(NOT(OR(INDEX(SourceTable[Status],MAX(1,Q731))="IMPORTED",INDEX(SourceTable[Status],MAX(1,Q731))="PARTIAL",INDEX(SourceTable[Status],MAX(1,Q731))="SOURCE CONFLICT")),"ACCESS BLOCKED",IF(OR(INDEX(SourceTable[Coverage],Q731)&lt;&gt;"FULL SEASON EXPORT",INDEX(SourceTable[URL],Q731)="",INDEX(SourceTable[SHA256],Q731)=""),"EVIDENCE INCOMPLETE",IF(AND('Input_Meci'!H66="LIVE",INDEX(SourceTable[Retrieved_UTC],Q731)&gt;'Input_Meci'!G66),"POST CUTOFF","CLOSED")))))))</x:f>
      </x:c>
      <x:c r="S731" s="2" t="n">
        <x:f>IF(OR(B731="",F731=""),0,COUNTIFS('Istoric_Nativ'!$B$6:$B$405,E731,'Istoric_Nativ'!$C$6:$C$405,F731,'Istoric_Nativ'!$E$6:$E$405,G731,'Istoric_Nativ'!$D$6:$D$405,"&lt;"&amp;J731,'Istoric_Nativ'!$O$6:$O$405,"INVALID")+COUNTIFS('Istoric_Nativ'!$B$6:$B$405,E731,'Istoric_Nativ'!$C$6:$C$405,F731,'Istoric_Nativ'!$E$6:$E$405,G731,'Istoric_Nativ'!$O$6:$O$405,"INVALID",'Istoric_Nativ'!$D$6:$D$405,"*")+COUNTIFS('Istoric_Nativ'!$B$6:$B$405,E731,'Istoric_Nativ'!$C$6:$C$405,F731,'Istoric_Nativ'!$E$6:$E$405,G731,'Istoric_Nativ'!$D$6:$D$405,"&lt;"&amp;J731,'Istoric_Nativ'!$O$6:$O$405,"SOURCE CONFLICT")+COUNTIFS('Istoric_Nativ'!$B$6:$B$405,E731,'Istoric_Nativ'!$C$6:$C$405,F731,'Istoric_Nativ'!$F$6:$F$405,G731,'Istoric_Nativ'!$D$6:$D$405,"&lt;"&amp;J731,'Istoric_Nativ'!$O$6:$O$405,"INVALID")+COUNTIFS('Istoric_Nativ'!$B$6:$B$405,E731,'Istoric_Nativ'!$C$6:$C$405,F731,'Istoric_Nativ'!$F$6:$F$405,G731,'Istoric_Nativ'!$O$6:$O$405,"INVALID",'Istoric_Nativ'!$D$6:$D$405,"*")+COUNTIFS('Istoric_Nativ'!$B$6:$B$405,E731,'Istoric_Nativ'!$C$6:$C$405,F731,'Istoric_Nativ'!$F$6:$F$405,G731,'Istoric_Nativ'!$D$6:$D$405,"&lt;"&amp;J731,'Istoric_Nativ'!$O$6:$O$405,"SOURCE CONFLICT"))</x:f>
        <x:v>0</x:v>
      </x:c>
      <x:c r="T731" s="2" t="str">
        <x:f>IF(B731="","",IF(R731&lt;&gt;"CLOSED",R731,IF(S731&gt;0,"NATIVE INPUT ISSUE",IF(M731=0,"NO HISTORY",IF(M731&lt;P731,"SMALL SAMPLE","DERIVED")))))</x:f>
      </x:c>
      <x:c r="U731" s="2" t="str">
        <x:f>IF(B731="","","NativeTable; "&amp;E731&amp;"; "&amp;F731&amp;"; "&amp;G731&amp;"; "&amp;H731&amp;"; before "&amp;TEXT(J731,"yyyy-mm-dd")&amp;IF(I731="RECENT","; from "&amp;TEXT(L731,"yyyy-mm-dd"),""))</x:f>
      </x:c>
    </x:row>
    <x:row r="732" ht="21" customHeight="1">
      <x:c r="A732" s="2" t="n">
        <x:v>61</x:v>
      </x:c>
      <x:c r="B732" s="2" t="str">
        <x:f>IF('Input_Meci'!A66="","",'Input_Meci'!A66)</x:f>
      </x:c>
      <x:c r="C732" s="2" t="str">
        <x:v>H</x:v>
      </x:c>
      <x:c r="D732" s="2" t="str">
        <x:v>PRIOR</x:v>
      </x:c>
      <x:c r="E732" s="2" t="str">
        <x:f>IF(B732="","",'Input_Meci'!B66)</x:f>
      </x:c>
      <x:c r="F732" s="2" t="str">
        <x:f>IF(B732="","",IF('Input_Meci'!K66="","",'Input_Meci'!K66))</x:f>
      </x:c>
      <x:c r="G732" s="2" t="str">
        <x:f>IF(B732="","",'Input_Meci'!D66)</x:f>
      </x:c>
      <x:c r="H732" s="2" t="str">
        <x:v>ANY</x:v>
      </x:c>
      <x:c r="I732" s="2" t="str">
        <x:v>SEASON</x:v>
      </x:c>
      <x:c r="J732" s="9" t="n">
        <x:f>IF(AND(B732&lt;&gt;"",ISNUMBER('Input_Meci'!G66)),INT('Input_Meci'!G66),0)</x:f>
        <x:v>0</x:v>
      </x:c>
      <x:c r="K732" s="2" t="n">
        <x:f>IF(OR(B732="",F732=""),0,IF(H732="HOME",COUNTIFS('Istoric_Nativ'!$B$6:$B$405,E732,'Istoric_Nativ'!$C$6:$C$405,F732,'Istoric_Nativ'!$E$6:$E$405,G732,'Istoric_Nativ'!$D$6:$D$405,"&lt;"&amp;J732,'Istoric_Nativ'!$P$6:$P$405,1),IF(H732="AWAY",COUNTIFS('Istoric_Nativ'!$B$6:$B$405,E732,'Istoric_Nativ'!$C$6:$C$405,F732,'Istoric_Nativ'!$F$6:$F$405,G732,'Istoric_Nativ'!$D$6:$D$405,"&lt;"&amp;J732,'Istoric_Nativ'!$P$6:$P$405,1),COUNTIFS('Istoric_Nativ'!$B$6:$B$405,E732,'Istoric_Nativ'!$C$6:$C$405,F732,'Istoric_Nativ'!$E$6:$E$405,G732,'Istoric_Nativ'!$D$6:$D$405,"&lt;"&amp;J732,'Istoric_Nativ'!$P$6:$P$405,1)+COUNTIFS('Istoric_Nativ'!$B$6:$B$405,E732,'Istoric_Nativ'!$C$6:$C$405,F732,'Istoric_Nativ'!$F$6:$F$405,G732,'Istoric_Nativ'!$D$6:$D$405,"&lt;"&amp;J732,'Istoric_Nativ'!$P$6:$P$405,1))))</x:f>
        <x:v>0</x:v>
      </x:c>
      <x:c r="L732" s="17" t="n">
        <x:f>IF(AND(B732&lt;&gt;"",I732="RECENT",K732&gt;0),LARGE(_xlfn._xlws.FILTER('Istoric_Nativ'!$D$6:$D$405,('Istoric_Nativ'!$B$6:$B$405=E732)*('Istoric_Nativ'!$C$6:$C$405=F732)*('Istoric_Nativ'!$P$6:$P$405=1)*('Istoric_Nativ'!$D$6:$D$405&lt;J732)*((('Istoric_Nativ'!$E$6:$E$405=G732)+('Istoric_Nativ'!$F$6:$F$405=G732))&gt;0)),MIN('Config_v6'!$B$54,K732)),0)</x:f>
        <x:v>0</x:v>
      </x:c>
      <x:c r="M732" s="2" t="n">
        <x:f>IF(OR(B732="",F732=""),0,IF(H732="HOME",COUNTIFS('Istoric_Nativ'!$B$6:$B$405,E732,'Istoric_Nativ'!$C$6:$C$405,F732,'Istoric_Nativ'!$E$6:$E$405,G732,'Istoric_Nativ'!$D$6:$D$405,"&lt;"&amp;J732,'Istoric_Nativ'!$P$6:$P$405,1,'Istoric_Nativ'!$D$6:$D$405,"&gt;="&amp;L732),IF(H732="AWAY",COUNTIFS('Istoric_Nativ'!$B$6:$B$405,E732,'Istoric_Nativ'!$C$6:$C$405,F732,'Istoric_Nativ'!$F$6:$F$405,G732,'Istoric_Nativ'!$D$6:$D$405,"&lt;"&amp;J732,'Istoric_Nativ'!$P$6:$P$405,1,'Istoric_Nativ'!$D$6:$D$405,"&gt;="&amp;L732),COUNTIFS('Istoric_Nativ'!$B$6:$B$405,E732,'Istoric_Nativ'!$C$6:$C$405,F732,'Istoric_Nativ'!$E$6:$E$405,G732,'Istoric_Nativ'!$D$6:$D$405,"&lt;"&amp;J732,'Istoric_Nativ'!$P$6:$P$405,1,'Istoric_Nativ'!$D$6:$D$405,"&gt;="&amp;L732)+COUNTIFS('Istoric_Nativ'!$B$6:$B$405,E732,'Istoric_Nativ'!$C$6:$C$405,F732,'Istoric_Nativ'!$F$6:$F$405,G732,'Istoric_Nativ'!$D$6:$D$405,"&lt;"&amp;J732,'Istoric_Nativ'!$P$6:$P$405,1,'Istoric_Nativ'!$D$6:$D$405,"&gt;="&amp;L732))))</x:f>
        <x:v>0</x:v>
      </x:c>
      <x:c r="N732" s="11" t="str">
        <x:f>IF(M732=0,"",IF(H732="HOME",SUMIFS('Istoric_Nativ'!$G$6:$G$405,'Istoric_Nativ'!$B$6:$B$405,E732,'Istoric_Nativ'!$C$6:$C$405,F732,'Istoric_Nativ'!$E$6:$E$405,G732,'Istoric_Nativ'!$D$6:$D$405,"&lt;"&amp;J732,'Istoric_Nativ'!$P$6:$P$405,1,'Istoric_Nativ'!$D$6:$D$405,"&gt;="&amp;L732),IF(H732="AWAY",SUMIFS('Istoric_Nativ'!$H$6:$H$405,'Istoric_Nativ'!$B$6:$B$405,E732,'Istoric_Nativ'!$C$6:$C$405,F732,'Istoric_Nativ'!$F$6:$F$405,G732,'Istoric_Nativ'!$D$6:$D$405,"&lt;"&amp;J732,'Istoric_Nativ'!$P$6:$P$405,1,'Istoric_Nativ'!$D$6:$D$405,"&gt;="&amp;L732),SUMIFS('Istoric_Nativ'!$G$6:$G$405,'Istoric_Nativ'!$B$6:$B$405,E732,'Istoric_Nativ'!$C$6:$C$405,F732,'Istoric_Nativ'!$E$6:$E$405,G732,'Istoric_Nativ'!$D$6:$D$405,"&lt;"&amp;J732,'Istoric_Nativ'!$P$6:$P$405,1,'Istoric_Nativ'!$D$6:$D$405,"&gt;="&amp;L732)+SUMIFS('Istoric_Nativ'!$H$6:$H$405,'Istoric_Nativ'!$B$6:$B$405,E732,'Istoric_Nativ'!$C$6:$C$405,F732,'Istoric_Nativ'!$F$6:$F$405,G732,'Istoric_Nativ'!$D$6:$D$405,"&lt;"&amp;J732,'Istoric_Nativ'!$P$6:$P$405,1,'Istoric_Nativ'!$D$6:$D$405,"&gt;="&amp;L732)))/M732)</x:f>
      </x:c>
      <x:c r="O732" s="11" t="str">
        <x:f>IF(M732=0,"",IF(H732="HOME",SUMIFS('Istoric_Nativ'!$H$6:$H$405,'Istoric_Nativ'!$B$6:$B$405,E732,'Istoric_Nativ'!$C$6:$C$405,F732,'Istoric_Nativ'!$E$6:$E$405,G732,'Istoric_Nativ'!$D$6:$D$405,"&lt;"&amp;J732,'Istoric_Nativ'!$P$6:$P$405,1,'Istoric_Nativ'!$D$6:$D$405,"&gt;="&amp;L732),IF(H732="AWAY",SUMIFS('Istoric_Nativ'!$G$6:$G$405,'Istoric_Nativ'!$B$6:$B$405,E732,'Istoric_Nativ'!$C$6:$C$405,F732,'Istoric_Nativ'!$F$6:$F$405,G732,'Istoric_Nativ'!$D$6:$D$405,"&lt;"&amp;J732,'Istoric_Nativ'!$P$6:$P$405,1,'Istoric_Nativ'!$D$6:$D$405,"&gt;="&amp;L732),SUMIFS('Istoric_Nativ'!$H$6:$H$405,'Istoric_Nativ'!$B$6:$B$405,E732,'Istoric_Nativ'!$C$6:$C$405,F732,'Istoric_Nativ'!$E$6:$E$405,G732,'Istoric_Nativ'!$D$6:$D$405,"&lt;"&amp;J732,'Istoric_Nativ'!$P$6:$P$405,1,'Istoric_Nativ'!$D$6:$D$405,"&gt;="&amp;L732)+SUMIFS('Istoric_Nativ'!$G$6:$G$405,'Istoric_Nativ'!$B$6:$B$405,E732,'Istoric_Nativ'!$C$6:$C$405,F732,'Istoric_Nativ'!$F$6:$F$405,G732,'Istoric_Nativ'!$D$6:$D$405,"&lt;"&amp;J732,'Istoric_Nativ'!$P$6:$P$405,1,'Istoric_Nativ'!$D$6:$D$405,"&gt;="&amp;L732)))/M732)</x:f>
      </x:c>
      <x:c r="P732" s="2" t="n">
        <x:f>'Config_v6'!$B$7</x:f>
        <x:v>10</x:v>
      </x:c>
      <x:c r="Q732" s="2" t="n">
        <x:f>IF(OR(B732="",F732=""),0,IFERROR(MATCH(E732&amp;"|"&amp;F732,SourceTable[Source_Key],0),0))</x:f>
        <x:v>0</x:v>
      </x:c>
      <x:c r="R732" s="2" t="str">
        <x:f>IF(B732="","",IF(F732="","UNUSED",IF(Q732=0,"NOT CHECKED",IF(COUNTIF(SourceTable[Source_Key],E732&amp;"|"&amp;F732)&lt;&gt;1,"SOURCE CONFLICT",IF(NOT(OR(INDEX(SourceTable[Status],MAX(1,Q732))="IMPORTED",INDEX(SourceTable[Status],MAX(1,Q732))="PARTIAL",INDEX(SourceTable[Status],MAX(1,Q732))="SOURCE CONFLICT")),"ACCESS BLOCKED",IF(OR(INDEX(SourceTable[Coverage],Q732)&lt;&gt;"FULL SEASON EXPORT",INDEX(SourceTable[URL],Q732)="",INDEX(SourceTable[SHA256],Q732)=""),"EVIDENCE INCOMPLETE",IF(AND('Input_Meci'!H66="LIVE",INDEX(SourceTable[Retrieved_UTC],Q732)&gt;'Input_Meci'!G66),"POST CUTOFF","CLOSED")))))))</x:f>
      </x:c>
      <x:c r="S732" s="2" t="n">
        <x:f>IF(OR(B732="",F732=""),0,COUNTIFS('Istoric_Nativ'!$B$6:$B$405,E732,'Istoric_Nativ'!$C$6:$C$405,F732,'Istoric_Nativ'!$E$6:$E$405,G732,'Istoric_Nativ'!$D$6:$D$405,"&lt;"&amp;J732,'Istoric_Nativ'!$O$6:$O$405,"INVALID")+COUNTIFS('Istoric_Nativ'!$B$6:$B$405,E732,'Istoric_Nativ'!$C$6:$C$405,F732,'Istoric_Nativ'!$E$6:$E$405,G732,'Istoric_Nativ'!$O$6:$O$405,"INVALID",'Istoric_Nativ'!$D$6:$D$405,"*")+COUNTIFS('Istoric_Nativ'!$B$6:$B$405,E732,'Istoric_Nativ'!$C$6:$C$405,F732,'Istoric_Nativ'!$E$6:$E$405,G732,'Istoric_Nativ'!$D$6:$D$405,"&lt;"&amp;J732,'Istoric_Nativ'!$O$6:$O$405,"SOURCE CONFLICT")+COUNTIFS('Istoric_Nativ'!$B$6:$B$405,E732,'Istoric_Nativ'!$C$6:$C$405,F732,'Istoric_Nativ'!$F$6:$F$405,G732,'Istoric_Nativ'!$D$6:$D$405,"&lt;"&amp;J732,'Istoric_Nativ'!$O$6:$O$405,"INVALID")+COUNTIFS('Istoric_Nativ'!$B$6:$B$405,E732,'Istoric_Nativ'!$C$6:$C$405,F732,'Istoric_Nativ'!$F$6:$F$405,G732,'Istoric_Nativ'!$O$6:$O$405,"INVALID",'Istoric_Nativ'!$D$6:$D$405,"*")+COUNTIFS('Istoric_Nativ'!$B$6:$B$405,E732,'Istoric_Nativ'!$C$6:$C$405,F732,'Istoric_Nativ'!$F$6:$F$405,G732,'Istoric_Nativ'!$D$6:$D$405,"&lt;"&amp;J732,'Istoric_Nativ'!$O$6:$O$405,"SOURCE CONFLICT"))</x:f>
        <x:v>0</x:v>
      </x:c>
      <x:c r="T732" s="2" t="str">
        <x:f>IF(B732="","",IF(R732&lt;&gt;"CLOSED",R732,IF(S732&gt;0,"NATIVE INPUT ISSUE",IF(M732=0,"NO HISTORY",IF(M732&lt;P732,"SMALL SAMPLE","DERIVED")))))</x:f>
      </x:c>
      <x:c r="U732" s="2" t="str">
        <x:f>IF(B732="","","NativeTable; "&amp;E732&amp;"; "&amp;F732&amp;"; "&amp;G732&amp;"; "&amp;H732&amp;"; before "&amp;TEXT(J732,"yyyy-mm-dd")&amp;IF(I732="RECENT","; from "&amp;TEXT(L732,"yyyy-mm-dd"),""))</x:f>
      </x:c>
    </x:row>
    <x:row r="733" ht="21" customHeight="1">
      <x:c r="A733" s="2" t="n">
        <x:v>61</x:v>
      </x:c>
      <x:c r="B733" s="2" t="str">
        <x:f>IF('Input_Meci'!A66="","",'Input_Meci'!A66)</x:f>
      </x:c>
      <x:c r="C733" s="2" t="str">
        <x:v>H</x:v>
      </x:c>
      <x:c r="D733" s="2" t="str">
        <x:v>PRIOR</x:v>
      </x:c>
      <x:c r="E733" s="2" t="str">
        <x:f>IF(B733="","",'Input_Meci'!B66)</x:f>
      </x:c>
      <x:c r="F733" s="2" t="str">
        <x:f>IF(B733="","",IF('Input_Meci'!K66="","",'Input_Meci'!K66))</x:f>
      </x:c>
      <x:c r="G733" s="2" t="str">
        <x:f>IF(B733="","",'Input_Meci'!D66)</x:f>
      </x:c>
      <x:c r="H733" s="2" t="str">
        <x:v>HOME</x:v>
      </x:c>
      <x:c r="I733" s="2" t="str">
        <x:v>HA</x:v>
      </x:c>
      <x:c r="J733" s="9" t="n">
        <x:f>IF(AND(B733&lt;&gt;"",ISNUMBER('Input_Meci'!G66)),INT('Input_Meci'!G66),0)</x:f>
        <x:v>0</x:v>
      </x:c>
      <x:c r="K733" s="2" t="n">
        <x:f>IF(OR(B733="",F733=""),0,IF(H733="HOME",COUNTIFS('Istoric_Nativ'!$B$6:$B$405,E733,'Istoric_Nativ'!$C$6:$C$405,F733,'Istoric_Nativ'!$E$6:$E$405,G733,'Istoric_Nativ'!$D$6:$D$405,"&lt;"&amp;J733,'Istoric_Nativ'!$P$6:$P$405,1),IF(H733="AWAY",COUNTIFS('Istoric_Nativ'!$B$6:$B$405,E733,'Istoric_Nativ'!$C$6:$C$405,F733,'Istoric_Nativ'!$F$6:$F$405,G733,'Istoric_Nativ'!$D$6:$D$405,"&lt;"&amp;J733,'Istoric_Nativ'!$P$6:$P$405,1),COUNTIFS('Istoric_Nativ'!$B$6:$B$405,E733,'Istoric_Nativ'!$C$6:$C$405,F733,'Istoric_Nativ'!$E$6:$E$405,G733,'Istoric_Nativ'!$D$6:$D$405,"&lt;"&amp;J733,'Istoric_Nativ'!$P$6:$P$405,1)+COUNTIFS('Istoric_Nativ'!$B$6:$B$405,E733,'Istoric_Nativ'!$C$6:$C$405,F733,'Istoric_Nativ'!$F$6:$F$405,G733,'Istoric_Nativ'!$D$6:$D$405,"&lt;"&amp;J733,'Istoric_Nativ'!$P$6:$P$405,1))))</x:f>
        <x:v>0</x:v>
      </x:c>
      <x:c r="L733" s="17" t="n">
        <x:f>IF(AND(B733&lt;&gt;"",I733="RECENT",K733&gt;0),LARGE(_xlfn._xlws.FILTER('Istoric_Nativ'!$D$6:$D$405,('Istoric_Nativ'!$B$6:$B$405=E733)*('Istoric_Nativ'!$C$6:$C$405=F733)*('Istoric_Nativ'!$P$6:$P$405=1)*('Istoric_Nativ'!$D$6:$D$405&lt;J733)*((('Istoric_Nativ'!$E$6:$E$405=G733)+('Istoric_Nativ'!$F$6:$F$405=G733))&gt;0)),MIN('Config_v6'!$B$54,K733)),0)</x:f>
        <x:v>0</x:v>
      </x:c>
      <x:c r="M733" s="2" t="n">
        <x:f>IF(OR(B733="",F733=""),0,IF(H733="HOME",COUNTIFS('Istoric_Nativ'!$B$6:$B$405,E733,'Istoric_Nativ'!$C$6:$C$405,F733,'Istoric_Nativ'!$E$6:$E$405,G733,'Istoric_Nativ'!$D$6:$D$405,"&lt;"&amp;J733,'Istoric_Nativ'!$P$6:$P$405,1,'Istoric_Nativ'!$D$6:$D$405,"&gt;="&amp;L733),IF(H733="AWAY",COUNTIFS('Istoric_Nativ'!$B$6:$B$405,E733,'Istoric_Nativ'!$C$6:$C$405,F733,'Istoric_Nativ'!$F$6:$F$405,G733,'Istoric_Nativ'!$D$6:$D$405,"&lt;"&amp;J733,'Istoric_Nativ'!$P$6:$P$405,1,'Istoric_Nativ'!$D$6:$D$405,"&gt;="&amp;L733),COUNTIFS('Istoric_Nativ'!$B$6:$B$405,E733,'Istoric_Nativ'!$C$6:$C$405,F733,'Istoric_Nativ'!$E$6:$E$405,G733,'Istoric_Nativ'!$D$6:$D$405,"&lt;"&amp;J733,'Istoric_Nativ'!$P$6:$P$405,1,'Istoric_Nativ'!$D$6:$D$405,"&gt;="&amp;L733)+COUNTIFS('Istoric_Nativ'!$B$6:$B$405,E733,'Istoric_Nativ'!$C$6:$C$405,F733,'Istoric_Nativ'!$F$6:$F$405,G733,'Istoric_Nativ'!$D$6:$D$405,"&lt;"&amp;J733,'Istoric_Nativ'!$P$6:$P$405,1,'Istoric_Nativ'!$D$6:$D$405,"&gt;="&amp;L733))))</x:f>
        <x:v>0</x:v>
      </x:c>
      <x:c r="N733" s="11" t="str">
        <x:f>IF(M733=0,"",IF(H733="HOME",SUMIFS('Istoric_Nativ'!$G$6:$G$405,'Istoric_Nativ'!$B$6:$B$405,E733,'Istoric_Nativ'!$C$6:$C$405,F733,'Istoric_Nativ'!$E$6:$E$405,G733,'Istoric_Nativ'!$D$6:$D$405,"&lt;"&amp;J733,'Istoric_Nativ'!$P$6:$P$405,1,'Istoric_Nativ'!$D$6:$D$405,"&gt;="&amp;L733),IF(H733="AWAY",SUMIFS('Istoric_Nativ'!$H$6:$H$405,'Istoric_Nativ'!$B$6:$B$405,E733,'Istoric_Nativ'!$C$6:$C$405,F733,'Istoric_Nativ'!$F$6:$F$405,G733,'Istoric_Nativ'!$D$6:$D$405,"&lt;"&amp;J733,'Istoric_Nativ'!$P$6:$P$405,1,'Istoric_Nativ'!$D$6:$D$405,"&gt;="&amp;L733),SUMIFS('Istoric_Nativ'!$G$6:$G$405,'Istoric_Nativ'!$B$6:$B$405,E733,'Istoric_Nativ'!$C$6:$C$405,F733,'Istoric_Nativ'!$E$6:$E$405,G733,'Istoric_Nativ'!$D$6:$D$405,"&lt;"&amp;J733,'Istoric_Nativ'!$P$6:$P$405,1,'Istoric_Nativ'!$D$6:$D$405,"&gt;="&amp;L733)+SUMIFS('Istoric_Nativ'!$H$6:$H$405,'Istoric_Nativ'!$B$6:$B$405,E733,'Istoric_Nativ'!$C$6:$C$405,F733,'Istoric_Nativ'!$F$6:$F$405,G733,'Istoric_Nativ'!$D$6:$D$405,"&lt;"&amp;J733,'Istoric_Nativ'!$P$6:$P$405,1,'Istoric_Nativ'!$D$6:$D$405,"&gt;="&amp;L733)))/M733)</x:f>
      </x:c>
      <x:c r="O733" s="11" t="str">
        <x:f>IF(M733=0,"",IF(H733="HOME",SUMIFS('Istoric_Nativ'!$H$6:$H$405,'Istoric_Nativ'!$B$6:$B$405,E733,'Istoric_Nativ'!$C$6:$C$405,F733,'Istoric_Nativ'!$E$6:$E$405,G733,'Istoric_Nativ'!$D$6:$D$405,"&lt;"&amp;J733,'Istoric_Nativ'!$P$6:$P$405,1,'Istoric_Nativ'!$D$6:$D$405,"&gt;="&amp;L733),IF(H733="AWAY",SUMIFS('Istoric_Nativ'!$G$6:$G$405,'Istoric_Nativ'!$B$6:$B$405,E733,'Istoric_Nativ'!$C$6:$C$405,F733,'Istoric_Nativ'!$F$6:$F$405,G733,'Istoric_Nativ'!$D$6:$D$405,"&lt;"&amp;J733,'Istoric_Nativ'!$P$6:$P$405,1,'Istoric_Nativ'!$D$6:$D$405,"&gt;="&amp;L733),SUMIFS('Istoric_Nativ'!$H$6:$H$405,'Istoric_Nativ'!$B$6:$B$405,E733,'Istoric_Nativ'!$C$6:$C$405,F733,'Istoric_Nativ'!$E$6:$E$405,G733,'Istoric_Nativ'!$D$6:$D$405,"&lt;"&amp;J733,'Istoric_Nativ'!$P$6:$P$405,1,'Istoric_Nativ'!$D$6:$D$405,"&gt;="&amp;L733)+SUMIFS('Istoric_Nativ'!$G$6:$G$405,'Istoric_Nativ'!$B$6:$B$405,E733,'Istoric_Nativ'!$C$6:$C$405,F733,'Istoric_Nativ'!$F$6:$F$405,G733,'Istoric_Nativ'!$D$6:$D$405,"&lt;"&amp;J733,'Istoric_Nativ'!$P$6:$P$405,1,'Istoric_Nativ'!$D$6:$D$405,"&gt;="&amp;L733)))/M733)</x:f>
      </x:c>
      <x:c r="P733" s="2" t="n">
        <x:f>'Config_v6'!$B$8</x:f>
        <x:v>5</x:v>
      </x:c>
      <x:c r="Q733" s="2" t="n">
        <x:f>IF(OR(B733="",F733=""),0,IFERROR(MATCH(E733&amp;"|"&amp;F733,SourceTable[Source_Key],0),0))</x:f>
        <x:v>0</x:v>
      </x:c>
      <x:c r="R733" s="2" t="str">
        <x:f>IF(B733="","",IF(F733="","UNUSED",IF(Q733=0,"NOT CHECKED",IF(COUNTIF(SourceTable[Source_Key],E733&amp;"|"&amp;F733)&lt;&gt;1,"SOURCE CONFLICT",IF(NOT(OR(INDEX(SourceTable[Status],MAX(1,Q733))="IMPORTED",INDEX(SourceTable[Status],MAX(1,Q733))="PARTIAL",INDEX(SourceTable[Status],MAX(1,Q733))="SOURCE CONFLICT")),"ACCESS BLOCKED",IF(OR(INDEX(SourceTable[Coverage],Q733)&lt;&gt;"FULL SEASON EXPORT",INDEX(SourceTable[URL],Q733)="",INDEX(SourceTable[SHA256],Q733)=""),"EVIDENCE INCOMPLETE",IF(AND('Input_Meci'!H66="LIVE",INDEX(SourceTable[Retrieved_UTC],Q733)&gt;'Input_Meci'!G66),"POST CUTOFF","CLOSED")))))))</x:f>
      </x:c>
      <x:c r="S733" s="2" t="n">
        <x:f>IF(OR(B733="",F733=""),0,COUNTIFS('Istoric_Nativ'!$B$6:$B$405,E733,'Istoric_Nativ'!$C$6:$C$405,F733,'Istoric_Nativ'!$E$6:$E$405,G733,'Istoric_Nativ'!$D$6:$D$405,"&lt;"&amp;J733,'Istoric_Nativ'!$O$6:$O$405,"INVALID")+COUNTIFS('Istoric_Nativ'!$B$6:$B$405,E733,'Istoric_Nativ'!$C$6:$C$405,F733,'Istoric_Nativ'!$E$6:$E$405,G733,'Istoric_Nativ'!$O$6:$O$405,"INVALID",'Istoric_Nativ'!$D$6:$D$405,"*")+COUNTIFS('Istoric_Nativ'!$B$6:$B$405,E733,'Istoric_Nativ'!$C$6:$C$405,F733,'Istoric_Nativ'!$E$6:$E$405,G733,'Istoric_Nativ'!$D$6:$D$405,"&lt;"&amp;J733,'Istoric_Nativ'!$O$6:$O$405,"SOURCE CONFLICT")+COUNTIFS('Istoric_Nativ'!$B$6:$B$405,E733,'Istoric_Nativ'!$C$6:$C$405,F733,'Istoric_Nativ'!$F$6:$F$405,G733,'Istoric_Nativ'!$D$6:$D$405,"&lt;"&amp;J733,'Istoric_Nativ'!$O$6:$O$405,"INVALID")+COUNTIFS('Istoric_Nativ'!$B$6:$B$405,E733,'Istoric_Nativ'!$C$6:$C$405,F733,'Istoric_Nativ'!$F$6:$F$405,G733,'Istoric_Nativ'!$O$6:$O$405,"INVALID",'Istoric_Nativ'!$D$6:$D$405,"*")+COUNTIFS('Istoric_Nativ'!$B$6:$B$405,E733,'Istoric_Nativ'!$C$6:$C$405,F733,'Istoric_Nativ'!$F$6:$F$405,G733,'Istoric_Nativ'!$D$6:$D$405,"&lt;"&amp;J733,'Istoric_Nativ'!$O$6:$O$405,"SOURCE CONFLICT"))</x:f>
        <x:v>0</x:v>
      </x:c>
      <x:c r="T733" s="2" t="str">
        <x:f>IF(B733="","",IF(R733&lt;&gt;"CLOSED",R733,IF(S733&gt;0,"NATIVE INPUT ISSUE",IF(M733=0,"NO HISTORY",IF(M733&lt;P733,"SMALL SAMPLE","DERIVED")))))</x:f>
      </x:c>
      <x:c r="U733" s="2" t="str">
        <x:f>IF(B733="","","NativeTable; "&amp;E733&amp;"; "&amp;F733&amp;"; "&amp;G733&amp;"; "&amp;H733&amp;"; before "&amp;TEXT(J733,"yyyy-mm-dd")&amp;IF(I733="RECENT","; from "&amp;TEXT(L733,"yyyy-mm-dd"),""))</x:f>
      </x:c>
    </x:row>
    <x:row r="734" ht="21" customHeight="1">
      <x:c r="A734" s="2" t="n">
        <x:v>61</x:v>
      </x:c>
      <x:c r="B734" s="2" t="str">
        <x:f>IF('Input_Meci'!A66="","",'Input_Meci'!A66)</x:f>
      </x:c>
      <x:c r="C734" s="2" t="str">
        <x:v>H</x:v>
      </x:c>
      <x:c r="D734" s="2" t="str">
        <x:v>PRIOR</x:v>
      </x:c>
      <x:c r="E734" s="2" t="str">
        <x:f>IF(B734="","",'Input_Meci'!B66)</x:f>
      </x:c>
      <x:c r="F734" s="2" t="str">
        <x:f>IF(B734="","",IF('Input_Meci'!K66="","",'Input_Meci'!K66))</x:f>
      </x:c>
      <x:c r="G734" s="2" t="str">
        <x:f>IF(B734="","",'Input_Meci'!D66)</x:f>
      </x:c>
      <x:c r="H734" s="2" t="str">
        <x:v>ANY</x:v>
      </x:c>
      <x:c r="I734" s="2" t="str">
        <x:v>RECENT</x:v>
      </x:c>
      <x:c r="J734" s="9" t="n">
        <x:f>IF(AND(B734&lt;&gt;"",ISNUMBER('Input_Meci'!G66)),INT('Input_Meci'!G66),0)</x:f>
        <x:v>0</x:v>
      </x:c>
      <x:c r="K734" s="2" t="n">
        <x:f>IF(OR(B734="",F734=""),0,IF(H734="HOME",COUNTIFS('Istoric_Nativ'!$B$6:$B$405,E734,'Istoric_Nativ'!$C$6:$C$405,F734,'Istoric_Nativ'!$E$6:$E$405,G734,'Istoric_Nativ'!$D$6:$D$405,"&lt;"&amp;J734,'Istoric_Nativ'!$P$6:$P$405,1),IF(H734="AWAY",COUNTIFS('Istoric_Nativ'!$B$6:$B$405,E734,'Istoric_Nativ'!$C$6:$C$405,F734,'Istoric_Nativ'!$F$6:$F$405,G734,'Istoric_Nativ'!$D$6:$D$405,"&lt;"&amp;J734,'Istoric_Nativ'!$P$6:$P$405,1),COUNTIFS('Istoric_Nativ'!$B$6:$B$405,E734,'Istoric_Nativ'!$C$6:$C$405,F734,'Istoric_Nativ'!$E$6:$E$405,G734,'Istoric_Nativ'!$D$6:$D$405,"&lt;"&amp;J734,'Istoric_Nativ'!$P$6:$P$405,1)+COUNTIFS('Istoric_Nativ'!$B$6:$B$405,E734,'Istoric_Nativ'!$C$6:$C$405,F734,'Istoric_Nativ'!$F$6:$F$405,G734,'Istoric_Nativ'!$D$6:$D$405,"&lt;"&amp;J734,'Istoric_Nativ'!$P$6:$P$405,1))))</x:f>
        <x:v>0</x:v>
      </x:c>
      <x:c r="L734" s="17" t="n">
        <x:f>IF(AND(B734&lt;&gt;"",I734="RECENT",K734&gt;0),LARGE(_xlfn._xlws.FILTER('Istoric_Nativ'!$D$6:$D$405,('Istoric_Nativ'!$B$6:$B$405=E734)*('Istoric_Nativ'!$C$6:$C$405=F734)*('Istoric_Nativ'!$P$6:$P$405=1)*('Istoric_Nativ'!$D$6:$D$405&lt;J734)*((('Istoric_Nativ'!$E$6:$E$405=G734)+('Istoric_Nativ'!$F$6:$F$405=G734))&gt;0)),MIN('Config_v6'!$B$54,K734)),0)</x:f>
        <x:v>0</x:v>
      </x:c>
      <x:c r="M734" s="2" t="n">
        <x:f>IF(OR(B734="",F734=""),0,IF(H734="HOME",COUNTIFS('Istoric_Nativ'!$B$6:$B$405,E734,'Istoric_Nativ'!$C$6:$C$405,F734,'Istoric_Nativ'!$E$6:$E$405,G734,'Istoric_Nativ'!$D$6:$D$405,"&lt;"&amp;J734,'Istoric_Nativ'!$P$6:$P$405,1,'Istoric_Nativ'!$D$6:$D$405,"&gt;="&amp;L734),IF(H734="AWAY",COUNTIFS('Istoric_Nativ'!$B$6:$B$405,E734,'Istoric_Nativ'!$C$6:$C$405,F734,'Istoric_Nativ'!$F$6:$F$405,G734,'Istoric_Nativ'!$D$6:$D$405,"&lt;"&amp;J734,'Istoric_Nativ'!$P$6:$P$405,1,'Istoric_Nativ'!$D$6:$D$405,"&gt;="&amp;L734),COUNTIFS('Istoric_Nativ'!$B$6:$B$405,E734,'Istoric_Nativ'!$C$6:$C$405,F734,'Istoric_Nativ'!$E$6:$E$405,G734,'Istoric_Nativ'!$D$6:$D$405,"&lt;"&amp;J734,'Istoric_Nativ'!$P$6:$P$405,1,'Istoric_Nativ'!$D$6:$D$405,"&gt;="&amp;L734)+COUNTIFS('Istoric_Nativ'!$B$6:$B$405,E734,'Istoric_Nativ'!$C$6:$C$405,F734,'Istoric_Nativ'!$F$6:$F$405,G734,'Istoric_Nativ'!$D$6:$D$405,"&lt;"&amp;J734,'Istoric_Nativ'!$P$6:$P$405,1,'Istoric_Nativ'!$D$6:$D$405,"&gt;="&amp;L734))))</x:f>
        <x:v>0</x:v>
      </x:c>
      <x:c r="N734" s="11" t="str">
        <x:f>IF(M734=0,"",IF(H734="HOME",SUMIFS('Istoric_Nativ'!$G$6:$G$405,'Istoric_Nativ'!$B$6:$B$405,E734,'Istoric_Nativ'!$C$6:$C$405,F734,'Istoric_Nativ'!$E$6:$E$405,G734,'Istoric_Nativ'!$D$6:$D$405,"&lt;"&amp;J734,'Istoric_Nativ'!$P$6:$P$405,1,'Istoric_Nativ'!$D$6:$D$405,"&gt;="&amp;L734),IF(H734="AWAY",SUMIFS('Istoric_Nativ'!$H$6:$H$405,'Istoric_Nativ'!$B$6:$B$405,E734,'Istoric_Nativ'!$C$6:$C$405,F734,'Istoric_Nativ'!$F$6:$F$405,G734,'Istoric_Nativ'!$D$6:$D$405,"&lt;"&amp;J734,'Istoric_Nativ'!$P$6:$P$405,1,'Istoric_Nativ'!$D$6:$D$405,"&gt;="&amp;L734),SUMIFS('Istoric_Nativ'!$G$6:$G$405,'Istoric_Nativ'!$B$6:$B$405,E734,'Istoric_Nativ'!$C$6:$C$405,F734,'Istoric_Nativ'!$E$6:$E$405,G734,'Istoric_Nativ'!$D$6:$D$405,"&lt;"&amp;J734,'Istoric_Nativ'!$P$6:$P$405,1,'Istoric_Nativ'!$D$6:$D$405,"&gt;="&amp;L734)+SUMIFS('Istoric_Nativ'!$H$6:$H$405,'Istoric_Nativ'!$B$6:$B$405,E734,'Istoric_Nativ'!$C$6:$C$405,F734,'Istoric_Nativ'!$F$6:$F$405,G734,'Istoric_Nativ'!$D$6:$D$405,"&lt;"&amp;J734,'Istoric_Nativ'!$P$6:$P$405,1,'Istoric_Nativ'!$D$6:$D$405,"&gt;="&amp;L734)))/M734)</x:f>
      </x:c>
      <x:c r="O734" s="11" t="str">
        <x:f>IF(M734=0,"",IF(H734="HOME",SUMIFS('Istoric_Nativ'!$H$6:$H$405,'Istoric_Nativ'!$B$6:$B$405,E734,'Istoric_Nativ'!$C$6:$C$405,F734,'Istoric_Nativ'!$E$6:$E$405,G734,'Istoric_Nativ'!$D$6:$D$405,"&lt;"&amp;J734,'Istoric_Nativ'!$P$6:$P$405,1,'Istoric_Nativ'!$D$6:$D$405,"&gt;="&amp;L734),IF(H734="AWAY",SUMIFS('Istoric_Nativ'!$G$6:$G$405,'Istoric_Nativ'!$B$6:$B$405,E734,'Istoric_Nativ'!$C$6:$C$405,F734,'Istoric_Nativ'!$F$6:$F$405,G734,'Istoric_Nativ'!$D$6:$D$405,"&lt;"&amp;J734,'Istoric_Nativ'!$P$6:$P$405,1,'Istoric_Nativ'!$D$6:$D$405,"&gt;="&amp;L734),SUMIFS('Istoric_Nativ'!$H$6:$H$405,'Istoric_Nativ'!$B$6:$B$405,E734,'Istoric_Nativ'!$C$6:$C$405,F734,'Istoric_Nativ'!$E$6:$E$405,G734,'Istoric_Nativ'!$D$6:$D$405,"&lt;"&amp;J734,'Istoric_Nativ'!$P$6:$P$405,1,'Istoric_Nativ'!$D$6:$D$405,"&gt;="&amp;L734)+SUMIFS('Istoric_Nativ'!$G$6:$G$405,'Istoric_Nativ'!$B$6:$B$405,E734,'Istoric_Nativ'!$C$6:$C$405,F734,'Istoric_Nativ'!$F$6:$F$405,G734,'Istoric_Nativ'!$D$6:$D$405,"&lt;"&amp;J734,'Istoric_Nativ'!$P$6:$P$405,1,'Istoric_Nativ'!$D$6:$D$405,"&gt;="&amp;L734)))/M734)</x:f>
      </x:c>
      <x:c r="P734" s="2" t="n">
        <x:f>'Config_v6'!$B$9</x:f>
        <x:v>3</x:v>
      </x:c>
      <x:c r="Q734" s="2" t="n">
        <x:f>IF(OR(B734="",F734=""),0,IFERROR(MATCH(E734&amp;"|"&amp;F734,SourceTable[Source_Key],0),0))</x:f>
        <x:v>0</x:v>
      </x:c>
      <x:c r="R734" s="2" t="str">
        <x:f>IF(B734="","",IF(F734="","UNUSED",IF(Q734=0,"NOT CHECKED",IF(COUNTIF(SourceTable[Source_Key],E734&amp;"|"&amp;F734)&lt;&gt;1,"SOURCE CONFLICT",IF(NOT(OR(INDEX(SourceTable[Status],MAX(1,Q734))="IMPORTED",INDEX(SourceTable[Status],MAX(1,Q734))="PARTIAL",INDEX(SourceTable[Status],MAX(1,Q734))="SOURCE CONFLICT")),"ACCESS BLOCKED",IF(OR(INDEX(SourceTable[Coverage],Q734)&lt;&gt;"FULL SEASON EXPORT",INDEX(SourceTable[URL],Q734)="",INDEX(SourceTable[SHA256],Q734)=""),"EVIDENCE INCOMPLETE",IF(AND('Input_Meci'!H66="LIVE",INDEX(SourceTable[Retrieved_UTC],Q734)&gt;'Input_Meci'!G66),"POST CUTOFF","CLOSED")))))))</x:f>
      </x:c>
      <x:c r="S734" s="2" t="n">
        <x:f>IF(OR(B734="",F734=""),0,COUNTIFS('Istoric_Nativ'!$B$6:$B$405,E734,'Istoric_Nativ'!$C$6:$C$405,F734,'Istoric_Nativ'!$E$6:$E$405,G734,'Istoric_Nativ'!$D$6:$D$405,"&lt;"&amp;J734,'Istoric_Nativ'!$O$6:$O$405,"INVALID")+COUNTIFS('Istoric_Nativ'!$B$6:$B$405,E734,'Istoric_Nativ'!$C$6:$C$405,F734,'Istoric_Nativ'!$E$6:$E$405,G734,'Istoric_Nativ'!$O$6:$O$405,"INVALID",'Istoric_Nativ'!$D$6:$D$405,"*")+COUNTIFS('Istoric_Nativ'!$B$6:$B$405,E734,'Istoric_Nativ'!$C$6:$C$405,F734,'Istoric_Nativ'!$E$6:$E$405,G734,'Istoric_Nativ'!$D$6:$D$405,"&lt;"&amp;J734,'Istoric_Nativ'!$O$6:$O$405,"SOURCE CONFLICT")+COUNTIFS('Istoric_Nativ'!$B$6:$B$405,E734,'Istoric_Nativ'!$C$6:$C$405,F734,'Istoric_Nativ'!$F$6:$F$405,G734,'Istoric_Nativ'!$D$6:$D$405,"&lt;"&amp;J734,'Istoric_Nativ'!$O$6:$O$405,"INVALID")+COUNTIFS('Istoric_Nativ'!$B$6:$B$405,E734,'Istoric_Nativ'!$C$6:$C$405,F734,'Istoric_Nativ'!$F$6:$F$405,G734,'Istoric_Nativ'!$O$6:$O$405,"INVALID",'Istoric_Nativ'!$D$6:$D$405,"*")+COUNTIFS('Istoric_Nativ'!$B$6:$B$405,E734,'Istoric_Nativ'!$C$6:$C$405,F734,'Istoric_Nativ'!$F$6:$F$405,G734,'Istoric_Nativ'!$D$6:$D$405,"&lt;"&amp;J734,'Istoric_Nativ'!$O$6:$O$405,"SOURCE CONFLICT"))</x:f>
        <x:v>0</x:v>
      </x:c>
      <x:c r="T734" s="2" t="str">
        <x:f>IF(B734="","",IF(R734&lt;&gt;"CLOSED",R734,IF(S734&gt;0,"NATIVE INPUT ISSUE",IF(M734=0,"NO HISTORY",IF(M734&lt;P734,"SMALL SAMPLE","DERIVED")))))</x:f>
      </x:c>
      <x:c r="U734" s="2" t="str">
        <x:f>IF(B734="","","NativeTable; "&amp;E734&amp;"; "&amp;F734&amp;"; "&amp;G734&amp;"; "&amp;H734&amp;"; before "&amp;TEXT(J734,"yyyy-mm-dd")&amp;IF(I734="RECENT","; from "&amp;TEXT(L734,"yyyy-mm-dd"),""))</x:f>
      </x:c>
    </x:row>
    <x:row r="735" ht="21" customHeight="1">
      <x:c r="A735" s="2" t="n">
        <x:v>61</x:v>
      </x:c>
      <x:c r="B735" s="2" t="str">
        <x:f>IF('Input_Meci'!A66="","",'Input_Meci'!A66)</x:f>
      </x:c>
      <x:c r="C735" s="2" t="str">
        <x:v>A</x:v>
      </x:c>
      <x:c r="D735" s="2" t="str">
        <x:v>PRIOR</x:v>
      </x:c>
      <x:c r="E735" s="2" t="str">
        <x:f>IF(B735="","",'Input_Meci'!B66)</x:f>
      </x:c>
      <x:c r="F735" s="2" t="str">
        <x:f>IF(B735="","",IF('Input_Meci'!K66="","",'Input_Meci'!K66))</x:f>
      </x:c>
      <x:c r="G735" s="2" t="str">
        <x:f>IF(B735="","",'Input_Meci'!E66)</x:f>
      </x:c>
      <x:c r="H735" s="2" t="str">
        <x:v>ANY</x:v>
      </x:c>
      <x:c r="I735" s="2" t="str">
        <x:v>SEASON</x:v>
      </x:c>
      <x:c r="J735" s="9" t="n">
        <x:f>IF(AND(B735&lt;&gt;"",ISNUMBER('Input_Meci'!G66)),INT('Input_Meci'!G66),0)</x:f>
        <x:v>0</x:v>
      </x:c>
      <x:c r="K735" s="2" t="n">
        <x:f>IF(OR(B735="",F735=""),0,IF(H735="HOME",COUNTIFS('Istoric_Nativ'!$B$6:$B$405,E735,'Istoric_Nativ'!$C$6:$C$405,F735,'Istoric_Nativ'!$E$6:$E$405,G735,'Istoric_Nativ'!$D$6:$D$405,"&lt;"&amp;J735,'Istoric_Nativ'!$P$6:$P$405,1),IF(H735="AWAY",COUNTIFS('Istoric_Nativ'!$B$6:$B$405,E735,'Istoric_Nativ'!$C$6:$C$405,F735,'Istoric_Nativ'!$F$6:$F$405,G735,'Istoric_Nativ'!$D$6:$D$405,"&lt;"&amp;J735,'Istoric_Nativ'!$P$6:$P$405,1),COUNTIFS('Istoric_Nativ'!$B$6:$B$405,E735,'Istoric_Nativ'!$C$6:$C$405,F735,'Istoric_Nativ'!$E$6:$E$405,G735,'Istoric_Nativ'!$D$6:$D$405,"&lt;"&amp;J735,'Istoric_Nativ'!$P$6:$P$405,1)+COUNTIFS('Istoric_Nativ'!$B$6:$B$405,E735,'Istoric_Nativ'!$C$6:$C$405,F735,'Istoric_Nativ'!$F$6:$F$405,G735,'Istoric_Nativ'!$D$6:$D$405,"&lt;"&amp;J735,'Istoric_Nativ'!$P$6:$P$405,1))))</x:f>
        <x:v>0</x:v>
      </x:c>
      <x:c r="L735" s="17" t="n">
        <x:f>IF(AND(B735&lt;&gt;"",I735="RECENT",K735&gt;0),LARGE(_xlfn._xlws.FILTER('Istoric_Nativ'!$D$6:$D$405,('Istoric_Nativ'!$B$6:$B$405=E735)*('Istoric_Nativ'!$C$6:$C$405=F735)*('Istoric_Nativ'!$P$6:$P$405=1)*('Istoric_Nativ'!$D$6:$D$405&lt;J735)*((('Istoric_Nativ'!$E$6:$E$405=G735)+('Istoric_Nativ'!$F$6:$F$405=G735))&gt;0)),MIN('Config_v6'!$B$54,K735)),0)</x:f>
        <x:v>0</x:v>
      </x:c>
      <x:c r="M735" s="2" t="n">
        <x:f>IF(OR(B735="",F735=""),0,IF(H735="HOME",COUNTIFS('Istoric_Nativ'!$B$6:$B$405,E735,'Istoric_Nativ'!$C$6:$C$405,F735,'Istoric_Nativ'!$E$6:$E$405,G735,'Istoric_Nativ'!$D$6:$D$405,"&lt;"&amp;J735,'Istoric_Nativ'!$P$6:$P$405,1,'Istoric_Nativ'!$D$6:$D$405,"&gt;="&amp;L735),IF(H735="AWAY",COUNTIFS('Istoric_Nativ'!$B$6:$B$405,E735,'Istoric_Nativ'!$C$6:$C$405,F735,'Istoric_Nativ'!$F$6:$F$405,G735,'Istoric_Nativ'!$D$6:$D$405,"&lt;"&amp;J735,'Istoric_Nativ'!$P$6:$P$405,1,'Istoric_Nativ'!$D$6:$D$405,"&gt;="&amp;L735),COUNTIFS('Istoric_Nativ'!$B$6:$B$405,E735,'Istoric_Nativ'!$C$6:$C$405,F735,'Istoric_Nativ'!$E$6:$E$405,G735,'Istoric_Nativ'!$D$6:$D$405,"&lt;"&amp;J735,'Istoric_Nativ'!$P$6:$P$405,1,'Istoric_Nativ'!$D$6:$D$405,"&gt;="&amp;L735)+COUNTIFS('Istoric_Nativ'!$B$6:$B$405,E735,'Istoric_Nativ'!$C$6:$C$405,F735,'Istoric_Nativ'!$F$6:$F$405,G735,'Istoric_Nativ'!$D$6:$D$405,"&lt;"&amp;J735,'Istoric_Nativ'!$P$6:$P$405,1,'Istoric_Nativ'!$D$6:$D$405,"&gt;="&amp;L735))))</x:f>
        <x:v>0</x:v>
      </x:c>
      <x:c r="N735" s="11" t="str">
        <x:f>IF(M735=0,"",IF(H735="HOME",SUMIFS('Istoric_Nativ'!$G$6:$G$405,'Istoric_Nativ'!$B$6:$B$405,E735,'Istoric_Nativ'!$C$6:$C$405,F735,'Istoric_Nativ'!$E$6:$E$405,G735,'Istoric_Nativ'!$D$6:$D$405,"&lt;"&amp;J735,'Istoric_Nativ'!$P$6:$P$405,1,'Istoric_Nativ'!$D$6:$D$405,"&gt;="&amp;L735),IF(H735="AWAY",SUMIFS('Istoric_Nativ'!$H$6:$H$405,'Istoric_Nativ'!$B$6:$B$405,E735,'Istoric_Nativ'!$C$6:$C$405,F735,'Istoric_Nativ'!$F$6:$F$405,G735,'Istoric_Nativ'!$D$6:$D$405,"&lt;"&amp;J735,'Istoric_Nativ'!$P$6:$P$405,1,'Istoric_Nativ'!$D$6:$D$405,"&gt;="&amp;L735),SUMIFS('Istoric_Nativ'!$G$6:$G$405,'Istoric_Nativ'!$B$6:$B$405,E735,'Istoric_Nativ'!$C$6:$C$405,F735,'Istoric_Nativ'!$E$6:$E$405,G735,'Istoric_Nativ'!$D$6:$D$405,"&lt;"&amp;J735,'Istoric_Nativ'!$P$6:$P$405,1,'Istoric_Nativ'!$D$6:$D$405,"&gt;="&amp;L735)+SUMIFS('Istoric_Nativ'!$H$6:$H$405,'Istoric_Nativ'!$B$6:$B$405,E735,'Istoric_Nativ'!$C$6:$C$405,F735,'Istoric_Nativ'!$F$6:$F$405,G735,'Istoric_Nativ'!$D$6:$D$405,"&lt;"&amp;J735,'Istoric_Nativ'!$P$6:$P$405,1,'Istoric_Nativ'!$D$6:$D$405,"&gt;="&amp;L735)))/M735)</x:f>
      </x:c>
      <x:c r="O735" s="11" t="str">
        <x:f>IF(M735=0,"",IF(H735="HOME",SUMIFS('Istoric_Nativ'!$H$6:$H$405,'Istoric_Nativ'!$B$6:$B$405,E735,'Istoric_Nativ'!$C$6:$C$405,F735,'Istoric_Nativ'!$E$6:$E$405,G735,'Istoric_Nativ'!$D$6:$D$405,"&lt;"&amp;J735,'Istoric_Nativ'!$P$6:$P$405,1,'Istoric_Nativ'!$D$6:$D$405,"&gt;="&amp;L735),IF(H735="AWAY",SUMIFS('Istoric_Nativ'!$G$6:$G$405,'Istoric_Nativ'!$B$6:$B$405,E735,'Istoric_Nativ'!$C$6:$C$405,F735,'Istoric_Nativ'!$F$6:$F$405,G735,'Istoric_Nativ'!$D$6:$D$405,"&lt;"&amp;J735,'Istoric_Nativ'!$P$6:$P$405,1,'Istoric_Nativ'!$D$6:$D$405,"&gt;="&amp;L735),SUMIFS('Istoric_Nativ'!$H$6:$H$405,'Istoric_Nativ'!$B$6:$B$405,E735,'Istoric_Nativ'!$C$6:$C$405,F735,'Istoric_Nativ'!$E$6:$E$405,G735,'Istoric_Nativ'!$D$6:$D$405,"&lt;"&amp;J735,'Istoric_Nativ'!$P$6:$P$405,1,'Istoric_Nativ'!$D$6:$D$405,"&gt;="&amp;L735)+SUMIFS('Istoric_Nativ'!$G$6:$G$405,'Istoric_Nativ'!$B$6:$B$405,E735,'Istoric_Nativ'!$C$6:$C$405,F735,'Istoric_Nativ'!$F$6:$F$405,G735,'Istoric_Nativ'!$D$6:$D$405,"&lt;"&amp;J735,'Istoric_Nativ'!$P$6:$P$405,1,'Istoric_Nativ'!$D$6:$D$405,"&gt;="&amp;L735)))/M735)</x:f>
      </x:c>
      <x:c r="P735" s="2" t="n">
        <x:f>'Config_v6'!$B$7</x:f>
        <x:v>10</x:v>
      </x:c>
      <x:c r="Q735" s="2" t="n">
        <x:f>IF(OR(B735="",F735=""),0,IFERROR(MATCH(E735&amp;"|"&amp;F735,SourceTable[Source_Key],0),0))</x:f>
        <x:v>0</x:v>
      </x:c>
      <x:c r="R735" s="2" t="str">
        <x:f>IF(B735="","",IF(F735="","UNUSED",IF(Q735=0,"NOT CHECKED",IF(COUNTIF(SourceTable[Source_Key],E735&amp;"|"&amp;F735)&lt;&gt;1,"SOURCE CONFLICT",IF(NOT(OR(INDEX(SourceTable[Status],MAX(1,Q735))="IMPORTED",INDEX(SourceTable[Status],MAX(1,Q735))="PARTIAL",INDEX(SourceTable[Status],MAX(1,Q735))="SOURCE CONFLICT")),"ACCESS BLOCKED",IF(OR(INDEX(SourceTable[Coverage],Q735)&lt;&gt;"FULL SEASON EXPORT",INDEX(SourceTable[URL],Q735)="",INDEX(SourceTable[SHA256],Q735)=""),"EVIDENCE INCOMPLETE",IF(AND('Input_Meci'!H66="LIVE",INDEX(SourceTable[Retrieved_UTC],Q735)&gt;'Input_Meci'!G66),"POST CUTOFF","CLOSED")))))))</x:f>
      </x:c>
      <x:c r="S735" s="2" t="n">
        <x:f>IF(OR(B735="",F735=""),0,COUNTIFS('Istoric_Nativ'!$B$6:$B$405,E735,'Istoric_Nativ'!$C$6:$C$405,F735,'Istoric_Nativ'!$E$6:$E$405,G735,'Istoric_Nativ'!$D$6:$D$405,"&lt;"&amp;J735,'Istoric_Nativ'!$O$6:$O$405,"INVALID")+COUNTIFS('Istoric_Nativ'!$B$6:$B$405,E735,'Istoric_Nativ'!$C$6:$C$405,F735,'Istoric_Nativ'!$E$6:$E$405,G735,'Istoric_Nativ'!$O$6:$O$405,"INVALID",'Istoric_Nativ'!$D$6:$D$405,"*")+COUNTIFS('Istoric_Nativ'!$B$6:$B$405,E735,'Istoric_Nativ'!$C$6:$C$405,F735,'Istoric_Nativ'!$E$6:$E$405,G735,'Istoric_Nativ'!$D$6:$D$405,"&lt;"&amp;J735,'Istoric_Nativ'!$O$6:$O$405,"SOURCE CONFLICT")+COUNTIFS('Istoric_Nativ'!$B$6:$B$405,E735,'Istoric_Nativ'!$C$6:$C$405,F735,'Istoric_Nativ'!$F$6:$F$405,G735,'Istoric_Nativ'!$D$6:$D$405,"&lt;"&amp;J735,'Istoric_Nativ'!$O$6:$O$405,"INVALID")+COUNTIFS('Istoric_Nativ'!$B$6:$B$405,E735,'Istoric_Nativ'!$C$6:$C$405,F735,'Istoric_Nativ'!$F$6:$F$405,G735,'Istoric_Nativ'!$O$6:$O$405,"INVALID",'Istoric_Nativ'!$D$6:$D$405,"*")+COUNTIFS('Istoric_Nativ'!$B$6:$B$405,E735,'Istoric_Nativ'!$C$6:$C$405,F735,'Istoric_Nativ'!$F$6:$F$405,G735,'Istoric_Nativ'!$D$6:$D$405,"&lt;"&amp;J735,'Istoric_Nativ'!$O$6:$O$405,"SOURCE CONFLICT"))</x:f>
        <x:v>0</x:v>
      </x:c>
      <x:c r="T735" s="2" t="str">
        <x:f>IF(B735="","",IF(R735&lt;&gt;"CLOSED",R735,IF(S735&gt;0,"NATIVE INPUT ISSUE",IF(M735=0,"NO HISTORY",IF(M735&lt;P735,"SMALL SAMPLE","DERIVED")))))</x:f>
      </x:c>
      <x:c r="U735" s="2" t="str">
        <x:f>IF(B735="","","NativeTable; "&amp;E735&amp;"; "&amp;F735&amp;"; "&amp;G735&amp;"; "&amp;H735&amp;"; before "&amp;TEXT(J735,"yyyy-mm-dd")&amp;IF(I735="RECENT","; from "&amp;TEXT(L735,"yyyy-mm-dd"),""))</x:f>
      </x:c>
    </x:row>
    <x:row r="736" ht="21" customHeight="1">
      <x:c r="A736" s="2" t="n">
        <x:v>61</x:v>
      </x:c>
      <x:c r="B736" s="2" t="str">
        <x:f>IF('Input_Meci'!A66="","",'Input_Meci'!A66)</x:f>
      </x:c>
      <x:c r="C736" s="2" t="str">
        <x:v>A</x:v>
      </x:c>
      <x:c r="D736" s="2" t="str">
        <x:v>PRIOR</x:v>
      </x:c>
      <x:c r="E736" s="2" t="str">
        <x:f>IF(B736="","",'Input_Meci'!B66)</x:f>
      </x:c>
      <x:c r="F736" s="2" t="str">
        <x:f>IF(B736="","",IF('Input_Meci'!K66="","",'Input_Meci'!K66))</x:f>
      </x:c>
      <x:c r="G736" s="2" t="str">
        <x:f>IF(B736="","",'Input_Meci'!E66)</x:f>
      </x:c>
      <x:c r="H736" s="2" t="str">
        <x:v>AWAY</x:v>
      </x:c>
      <x:c r="I736" s="2" t="str">
        <x:v>HA</x:v>
      </x:c>
      <x:c r="J736" s="9" t="n">
        <x:f>IF(AND(B736&lt;&gt;"",ISNUMBER('Input_Meci'!G66)),INT('Input_Meci'!G66),0)</x:f>
        <x:v>0</x:v>
      </x:c>
      <x:c r="K736" s="2" t="n">
        <x:f>IF(OR(B736="",F736=""),0,IF(H736="HOME",COUNTIFS('Istoric_Nativ'!$B$6:$B$405,E736,'Istoric_Nativ'!$C$6:$C$405,F736,'Istoric_Nativ'!$E$6:$E$405,G736,'Istoric_Nativ'!$D$6:$D$405,"&lt;"&amp;J736,'Istoric_Nativ'!$P$6:$P$405,1),IF(H736="AWAY",COUNTIFS('Istoric_Nativ'!$B$6:$B$405,E736,'Istoric_Nativ'!$C$6:$C$405,F736,'Istoric_Nativ'!$F$6:$F$405,G736,'Istoric_Nativ'!$D$6:$D$405,"&lt;"&amp;J736,'Istoric_Nativ'!$P$6:$P$405,1),COUNTIFS('Istoric_Nativ'!$B$6:$B$405,E736,'Istoric_Nativ'!$C$6:$C$405,F736,'Istoric_Nativ'!$E$6:$E$405,G736,'Istoric_Nativ'!$D$6:$D$405,"&lt;"&amp;J736,'Istoric_Nativ'!$P$6:$P$405,1)+COUNTIFS('Istoric_Nativ'!$B$6:$B$405,E736,'Istoric_Nativ'!$C$6:$C$405,F736,'Istoric_Nativ'!$F$6:$F$405,G736,'Istoric_Nativ'!$D$6:$D$405,"&lt;"&amp;J736,'Istoric_Nativ'!$P$6:$P$405,1))))</x:f>
        <x:v>0</x:v>
      </x:c>
      <x:c r="L736" s="17" t="n">
        <x:f>IF(AND(B736&lt;&gt;"",I736="RECENT",K736&gt;0),LARGE(_xlfn._xlws.FILTER('Istoric_Nativ'!$D$6:$D$405,('Istoric_Nativ'!$B$6:$B$405=E736)*('Istoric_Nativ'!$C$6:$C$405=F736)*('Istoric_Nativ'!$P$6:$P$405=1)*('Istoric_Nativ'!$D$6:$D$405&lt;J736)*((('Istoric_Nativ'!$E$6:$E$405=G736)+('Istoric_Nativ'!$F$6:$F$405=G736))&gt;0)),MIN('Config_v6'!$B$54,K736)),0)</x:f>
        <x:v>0</x:v>
      </x:c>
      <x:c r="M736" s="2" t="n">
        <x:f>IF(OR(B736="",F736=""),0,IF(H736="HOME",COUNTIFS('Istoric_Nativ'!$B$6:$B$405,E736,'Istoric_Nativ'!$C$6:$C$405,F736,'Istoric_Nativ'!$E$6:$E$405,G736,'Istoric_Nativ'!$D$6:$D$405,"&lt;"&amp;J736,'Istoric_Nativ'!$P$6:$P$405,1,'Istoric_Nativ'!$D$6:$D$405,"&gt;="&amp;L736),IF(H736="AWAY",COUNTIFS('Istoric_Nativ'!$B$6:$B$405,E736,'Istoric_Nativ'!$C$6:$C$405,F736,'Istoric_Nativ'!$F$6:$F$405,G736,'Istoric_Nativ'!$D$6:$D$405,"&lt;"&amp;J736,'Istoric_Nativ'!$P$6:$P$405,1,'Istoric_Nativ'!$D$6:$D$405,"&gt;="&amp;L736),COUNTIFS('Istoric_Nativ'!$B$6:$B$405,E736,'Istoric_Nativ'!$C$6:$C$405,F736,'Istoric_Nativ'!$E$6:$E$405,G736,'Istoric_Nativ'!$D$6:$D$405,"&lt;"&amp;J736,'Istoric_Nativ'!$P$6:$P$405,1,'Istoric_Nativ'!$D$6:$D$405,"&gt;="&amp;L736)+COUNTIFS('Istoric_Nativ'!$B$6:$B$405,E736,'Istoric_Nativ'!$C$6:$C$405,F736,'Istoric_Nativ'!$F$6:$F$405,G736,'Istoric_Nativ'!$D$6:$D$405,"&lt;"&amp;J736,'Istoric_Nativ'!$P$6:$P$405,1,'Istoric_Nativ'!$D$6:$D$405,"&gt;="&amp;L736))))</x:f>
        <x:v>0</x:v>
      </x:c>
      <x:c r="N736" s="11" t="str">
        <x:f>IF(M736=0,"",IF(H736="HOME",SUMIFS('Istoric_Nativ'!$G$6:$G$405,'Istoric_Nativ'!$B$6:$B$405,E736,'Istoric_Nativ'!$C$6:$C$405,F736,'Istoric_Nativ'!$E$6:$E$405,G736,'Istoric_Nativ'!$D$6:$D$405,"&lt;"&amp;J736,'Istoric_Nativ'!$P$6:$P$405,1,'Istoric_Nativ'!$D$6:$D$405,"&gt;="&amp;L736),IF(H736="AWAY",SUMIFS('Istoric_Nativ'!$H$6:$H$405,'Istoric_Nativ'!$B$6:$B$405,E736,'Istoric_Nativ'!$C$6:$C$405,F736,'Istoric_Nativ'!$F$6:$F$405,G736,'Istoric_Nativ'!$D$6:$D$405,"&lt;"&amp;J736,'Istoric_Nativ'!$P$6:$P$405,1,'Istoric_Nativ'!$D$6:$D$405,"&gt;="&amp;L736),SUMIFS('Istoric_Nativ'!$G$6:$G$405,'Istoric_Nativ'!$B$6:$B$405,E736,'Istoric_Nativ'!$C$6:$C$405,F736,'Istoric_Nativ'!$E$6:$E$405,G736,'Istoric_Nativ'!$D$6:$D$405,"&lt;"&amp;J736,'Istoric_Nativ'!$P$6:$P$405,1,'Istoric_Nativ'!$D$6:$D$405,"&gt;="&amp;L736)+SUMIFS('Istoric_Nativ'!$H$6:$H$405,'Istoric_Nativ'!$B$6:$B$405,E736,'Istoric_Nativ'!$C$6:$C$405,F736,'Istoric_Nativ'!$F$6:$F$405,G736,'Istoric_Nativ'!$D$6:$D$405,"&lt;"&amp;J736,'Istoric_Nativ'!$P$6:$P$405,1,'Istoric_Nativ'!$D$6:$D$405,"&gt;="&amp;L736)))/M736)</x:f>
      </x:c>
      <x:c r="O736" s="11" t="str">
        <x:f>IF(M736=0,"",IF(H736="HOME",SUMIFS('Istoric_Nativ'!$H$6:$H$405,'Istoric_Nativ'!$B$6:$B$405,E736,'Istoric_Nativ'!$C$6:$C$405,F736,'Istoric_Nativ'!$E$6:$E$405,G736,'Istoric_Nativ'!$D$6:$D$405,"&lt;"&amp;J736,'Istoric_Nativ'!$P$6:$P$405,1,'Istoric_Nativ'!$D$6:$D$405,"&gt;="&amp;L736),IF(H736="AWAY",SUMIFS('Istoric_Nativ'!$G$6:$G$405,'Istoric_Nativ'!$B$6:$B$405,E736,'Istoric_Nativ'!$C$6:$C$405,F736,'Istoric_Nativ'!$F$6:$F$405,G736,'Istoric_Nativ'!$D$6:$D$405,"&lt;"&amp;J736,'Istoric_Nativ'!$P$6:$P$405,1,'Istoric_Nativ'!$D$6:$D$405,"&gt;="&amp;L736),SUMIFS('Istoric_Nativ'!$H$6:$H$405,'Istoric_Nativ'!$B$6:$B$405,E736,'Istoric_Nativ'!$C$6:$C$405,F736,'Istoric_Nativ'!$E$6:$E$405,G736,'Istoric_Nativ'!$D$6:$D$405,"&lt;"&amp;J736,'Istoric_Nativ'!$P$6:$P$405,1,'Istoric_Nativ'!$D$6:$D$405,"&gt;="&amp;L736)+SUMIFS('Istoric_Nativ'!$G$6:$G$405,'Istoric_Nativ'!$B$6:$B$405,E736,'Istoric_Nativ'!$C$6:$C$405,F736,'Istoric_Nativ'!$F$6:$F$405,G736,'Istoric_Nativ'!$D$6:$D$405,"&lt;"&amp;J736,'Istoric_Nativ'!$P$6:$P$405,1,'Istoric_Nativ'!$D$6:$D$405,"&gt;="&amp;L736)))/M736)</x:f>
      </x:c>
      <x:c r="P736" s="2" t="n">
        <x:f>'Config_v6'!$B$8</x:f>
        <x:v>5</x:v>
      </x:c>
      <x:c r="Q736" s="2" t="n">
        <x:f>IF(OR(B736="",F736=""),0,IFERROR(MATCH(E736&amp;"|"&amp;F736,SourceTable[Source_Key],0),0))</x:f>
        <x:v>0</x:v>
      </x:c>
      <x:c r="R736" s="2" t="str">
        <x:f>IF(B736="","",IF(F736="","UNUSED",IF(Q736=0,"NOT CHECKED",IF(COUNTIF(SourceTable[Source_Key],E736&amp;"|"&amp;F736)&lt;&gt;1,"SOURCE CONFLICT",IF(NOT(OR(INDEX(SourceTable[Status],MAX(1,Q736))="IMPORTED",INDEX(SourceTable[Status],MAX(1,Q736))="PARTIAL",INDEX(SourceTable[Status],MAX(1,Q736))="SOURCE CONFLICT")),"ACCESS BLOCKED",IF(OR(INDEX(SourceTable[Coverage],Q736)&lt;&gt;"FULL SEASON EXPORT",INDEX(SourceTable[URL],Q736)="",INDEX(SourceTable[SHA256],Q736)=""),"EVIDENCE INCOMPLETE",IF(AND('Input_Meci'!H66="LIVE",INDEX(SourceTable[Retrieved_UTC],Q736)&gt;'Input_Meci'!G66),"POST CUTOFF","CLOSED")))))))</x:f>
      </x:c>
      <x:c r="S736" s="2" t="n">
        <x:f>IF(OR(B736="",F736=""),0,COUNTIFS('Istoric_Nativ'!$B$6:$B$405,E736,'Istoric_Nativ'!$C$6:$C$405,F736,'Istoric_Nativ'!$E$6:$E$405,G736,'Istoric_Nativ'!$D$6:$D$405,"&lt;"&amp;J736,'Istoric_Nativ'!$O$6:$O$405,"INVALID")+COUNTIFS('Istoric_Nativ'!$B$6:$B$405,E736,'Istoric_Nativ'!$C$6:$C$405,F736,'Istoric_Nativ'!$E$6:$E$405,G736,'Istoric_Nativ'!$O$6:$O$405,"INVALID",'Istoric_Nativ'!$D$6:$D$405,"*")+COUNTIFS('Istoric_Nativ'!$B$6:$B$405,E736,'Istoric_Nativ'!$C$6:$C$405,F736,'Istoric_Nativ'!$E$6:$E$405,G736,'Istoric_Nativ'!$D$6:$D$405,"&lt;"&amp;J736,'Istoric_Nativ'!$O$6:$O$405,"SOURCE CONFLICT")+COUNTIFS('Istoric_Nativ'!$B$6:$B$405,E736,'Istoric_Nativ'!$C$6:$C$405,F736,'Istoric_Nativ'!$F$6:$F$405,G736,'Istoric_Nativ'!$D$6:$D$405,"&lt;"&amp;J736,'Istoric_Nativ'!$O$6:$O$405,"INVALID")+COUNTIFS('Istoric_Nativ'!$B$6:$B$405,E736,'Istoric_Nativ'!$C$6:$C$405,F736,'Istoric_Nativ'!$F$6:$F$405,G736,'Istoric_Nativ'!$O$6:$O$405,"INVALID",'Istoric_Nativ'!$D$6:$D$405,"*")+COUNTIFS('Istoric_Nativ'!$B$6:$B$405,E736,'Istoric_Nativ'!$C$6:$C$405,F736,'Istoric_Nativ'!$F$6:$F$405,G736,'Istoric_Nativ'!$D$6:$D$405,"&lt;"&amp;J736,'Istoric_Nativ'!$O$6:$O$405,"SOURCE CONFLICT"))</x:f>
        <x:v>0</x:v>
      </x:c>
      <x:c r="T736" s="2" t="str">
        <x:f>IF(B736="","",IF(R736&lt;&gt;"CLOSED",R736,IF(S736&gt;0,"NATIVE INPUT ISSUE",IF(M736=0,"NO HISTORY",IF(M736&lt;P736,"SMALL SAMPLE","DERIVED")))))</x:f>
      </x:c>
      <x:c r="U736" s="2" t="str">
        <x:f>IF(B736="","","NativeTable; "&amp;E736&amp;"; "&amp;F736&amp;"; "&amp;G736&amp;"; "&amp;H736&amp;"; before "&amp;TEXT(J736,"yyyy-mm-dd")&amp;IF(I736="RECENT","; from "&amp;TEXT(L736,"yyyy-mm-dd"),""))</x:f>
      </x:c>
    </x:row>
    <x:row r="737" ht="21" customHeight="1">
      <x:c r="A737" s="2" t="n">
        <x:v>61</x:v>
      </x:c>
      <x:c r="B737" s="2" t="str">
        <x:f>IF('Input_Meci'!A66="","",'Input_Meci'!A66)</x:f>
      </x:c>
      <x:c r="C737" s="2" t="str">
        <x:v>A</x:v>
      </x:c>
      <x:c r="D737" s="2" t="str">
        <x:v>PRIOR</x:v>
      </x:c>
      <x:c r="E737" s="2" t="str">
        <x:f>IF(B737="","",'Input_Meci'!B66)</x:f>
      </x:c>
      <x:c r="F737" s="2" t="str">
        <x:f>IF(B737="","",IF('Input_Meci'!K66="","",'Input_Meci'!K66))</x:f>
      </x:c>
      <x:c r="G737" s="2" t="str">
        <x:f>IF(B737="","",'Input_Meci'!E66)</x:f>
      </x:c>
      <x:c r="H737" s="2" t="str">
        <x:v>ANY</x:v>
      </x:c>
      <x:c r="I737" s="2" t="str">
        <x:v>RECENT</x:v>
      </x:c>
      <x:c r="J737" s="9" t="n">
        <x:f>IF(AND(B737&lt;&gt;"",ISNUMBER('Input_Meci'!G66)),INT('Input_Meci'!G66),0)</x:f>
        <x:v>0</x:v>
      </x:c>
      <x:c r="K737" s="2" t="n">
        <x:f>IF(OR(B737="",F737=""),0,IF(H737="HOME",COUNTIFS('Istoric_Nativ'!$B$6:$B$405,E737,'Istoric_Nativ'!$C$6:$C$405,F737,'Istoric_Nativ'!$E$6:$E$405,G737,'Istoric_Nativ'!$D$6:$D$405,"&lt;"&amp;J737,'Istoric_Nativ'!$P$6:$P$405,1),IF(H737="AWAY",COUNTIFS('Istoric_Nativ'!$B$6:$B$405,E737,'Istoric_Nativ'!$C$6:$C$405,F737,'Istoric_Nativ'!$F$6:$F$405,G737,'Istoric_Nativ'!$D$6:$D$405,"&lt;"&amp;J737,'Istoric_Nativ'!$P$6:$P$405,1),COUNTIFS('Istoric_Nativ'!$B$6:$B$405,E737,'Istoric_Nativ'!$C$6:$C$405,F737,'Istoric_Nativ'!$E$6:$E$405,G737,'Istoric_Nativ'!$D$6:$D$405,"&lt;"&amp;J737,'Istoric_Nativ'!$P$6:$P$405,1)+COUNTIFS('Istoric_Nativ'!$B$6:$B$405,E737,'Istoric_Nativ'!$C$6:$C$405,F737,'Istoric_Nativ'!$F$6:$F$405,G737,'Istoric_Nativ'!$D$6:$D$405,"&lt;"&amp;J737,'Istoric_Nativ'!$P$6:$P$405,1))))</x:f>
        <x:v>0</x:v>
      </x:c>
      <x:c r="L737" s="17" t="n">
        <x:f>IF(AND(B737&lt;&gt;"",I737="RECENT",K737&gt;0),LARGE(_xlfn._xlws.FILTER('Istoric_Nativ'!$D$6:$D$405,('Istoric_Nativ'!$B$6:$B$405=E737)*('Istoric_Nativ'!$C$6:$C$405=F737)*('Istoric_Nativ'!$P$6:$P$405=1)*('Istoric_Nativ'!$D$6:$D$405&lt;J737)*((('Istoric_Nativ'!$E$6:$E$405=G737)+('Istoric_Nativ'!$F$6:$F$405=G737))&gt;0)),MIN('Config_v6'!$B$54,K737)),0)</x:f>
        <x:v>0</x:v>
      </x:c>
      <x:c r="M737" s="2" t="n">
        <x:f>IF(OR(B737="",F737=""),0,IF(H737="HOME",COUNTIFS('Istoric_Nativ'!$B$6:$B$405,E737,'Istoric_Nativ'!$C$6:$C$405,F737,'Istoric_Nativ'!$E$6:$E$405,G737,'Istoric_Nativ'!$D$6:$D$405,"&lt;"&amp;J737,'Istoric_Nativ'!$P$6:$P$405,1,'Istoric_Nativ'!$D$6:$D$405,"&gt;="&amp;L737),IF(H737="AWAY",COUNTIFS('Istoric_Nativ'!$B$6:$B$405,E737,'Istoric_Nativ'!$C$6:$C$405,F737,'Istoric_Nativ'!$F$6:$F$405,G737,'Istoric_Nativ'!$D$6:$D$405,"&lt;"&amp;J737,'Istoric_Nativ'!$P$6:$P$405,1,'Istoric_Nativ'!$D$6:$D$405,"&gt;="&amp;L737),COUNTIFS('Istoric_Nativ'!$B$6:$B$405,E737,'Istoric_Nativ'!$C$6:$C$405,F737,'Istoric_Nativ'!$E$6:$E$405,G737,'Istoric_Nativ'!$D$6:$D$405,"&lt;"&amp;J737,'Istoric_Nativ'!$P$6:$P$405,1,'Istoric_Nativ'!$D$6:$D$405,"&gt;="&amp;L737)+COUNTIFS('Istoric_Nativ'!$B$6:$B$405,E737,'Istoric_Nativ'!$C$6:$C$405,F737,'Istoric_Nativ'!$F$6:$F$405,G737,'Istoric_Nativ'!$D$6:$D$405,"&lt;"&amp;J737,'Istoric_Nativ'!$P$6:$P$405,1,'Istoric_Nativ'!$D$6:$D$405,"&gt;="&amp;L737))))</x:f>
        <x:v>0</x:v>
      </x:c>
      <x:c r="N737" s="11" t="str">
        <x:f>IF(M737=0,"",IF(H737="HOME",SUMIFS('Istoric_Nativ'!$G$6:$G$405,'Istoric_Nativ'!$B$6:$B$405,E737,'Istoric_Nativ'!$C$6:$C$405,F737,'Istoric_Nativ'!$E$6:$E$405,G737,'Istoric_Nativ'!$D$6:$D$405,"&lt;"&amp;J737,'Istoric_Nativ'!$P$6:$P$405,1,'Istoric_Nativ'!$D$6:$D$405,"&gt;="&amp;L737),IF(H737="AWAY",SUMIFS('Istoric_Nativ'!$H$6:$H$405,'Istoric_Nativ'!$B$6:$B$405,E737,'Istoric_Nativ'!$C$6:$C$405,F737,'Istoric_Nativ'!$F$6:$F$405,G737,'Istoric_Nativ'!$D$6:$D$405,"&lt;"&amp;J737,'Istoric_Nativ'!$P$6:$P$405,1,'Istoric_Nativ'!$D$6:$D$405,"&gt;="&amp;L737),SUMIFS('Istoric_Nativ'!$G$6:$G$405,'Istoric_Nativ'!$B$6:$B$405,E737,'Istoric_Nativ'!$C$6:$C$405,F737,'Istoric_Nativ'!$E$6:$E$405,G737,'Istoric_Nativ'!$D$6:$D$405,"&lt;"&amp;J737,'Istoric_Nativ'!$P$6:$P$405,1,'Istoric_Nativ'!$D$6:$D$405,"&gt;="&amp;L737)+SUMIFS('Istoric_Nativ'!$H$6:$H$405,'Istoric_Nativ'!$B$6:$B$405,E737,'Istoric_Nativ'!$C$6:$C$405,F737,'Istoric_Nativ'!$F$6:$F$405,G737,'Istoric_Nativ'!$D$6:$D$405,"&lt;"&amp;J737,'Istoric_Nativ'!$P$6:$P$405,1,'Istoric_Nativ'!$D$6:$D$405,"&gt;="&amp;L737)))/M737)</x:f>
      </x:c>
      <x:c r="O737" s="11" t="str">
        <x:f>IF(M737=0,"",IF(H737="HOME",SUMIFS('Istoric_Nativ'!$H$6:$H$405,'Istoric_Nativ'!$B$6:$B$405,E737,'Istoric_Nativ'!$C$6:$C$405,F737,'Istoric_Nativ'!$E$6:$E$405,G737,'Istoric_Nativ'!$D$6:$D$405,"&lt;"&amp;J737,'Istoric_Nativ'!$P$6:$P$405,1,'Istoric_Nativ'!$D$6:$D$405,"&gt;="&amp;L737),IF(H737="AWAY",SUMIFS('Istoric_Nativ'!$G$6:$G$405,'Istoric_Nativ'!$B$6:$B$405,E737,'Istoric_Nativ'!$C$6:$C$405,F737,'Istoric_Nativ'!$F$6:$F$405,G737,'Istoric_Nativ'!$D$6:$D$405,"&lt;"&amp;J737,'Istoric_Nativ'!$P$6:$P$405,1,'Istoric_Nativ'!$D$6:$D$405,"&gt;="&amp;L737),SUMIFS('Istoric_Nativ'!$H$6:$H$405,'Istoric_Nativ'!$B$6:$B$405,E737,'Istoric_Nativ'!$C$6:$C$405,F737,'Istoric_Nativ'!$E$6:$E$405,G737,'Istoric_Nativ'!$D$6:$D$405,"&lt;"&amp;J737,'Istoric_Nativ'!$P$6:$P$405,1,'Istoric_Nativ'!$D$6:$D$405,"&gt;="&amp;L737)+SUMIFS('Istoric_Nativ'!$G$6:$G$405,'Istoric_Nativ'!$B$6:$B$405,E737,'Istoric_Nativ'!$C$6:$C$405,F737,'Istoric_Nativ'!$F$6:$F$405,G737,'Istoric_Nativ'!$D$6:$D$405,"&lt;"&amp;J737,'Istoric_Nativ'!$P$6:$P$405,1,'Istoric_Nativ'!$D$6:$D$405,"&gt;="&amp;L737)))/M737)</x:f>
      </x:c>
      <x:c r="P737" s="2" t="n">
        <x:f>'Config_v6'!$B$9</x:f>
        <x:v>3</x:v>
      </x:c>
      <x:c r="Q737" s="2" t="n">
        <x:f>IF(OR(B737="",F737=""),0,IFERROR(MATCH(E737&amp;"|"&amp;F737,SourceTable[Source_Key],0),0))</x:f>
        <x:v>0</x:v>
      </x:c>
      <x:c r="R737" s="2" t="str">
        <x:f>IF(B737="","",IF(F737="","UNUSED",IF(Q737=0,"NOT CHECKED",IF(COUNTIF(SourceTable[Source_Key],E737&amp;"|"&amp;F737)&lt;&gt;1,"SOURCE CONFLICT",IF(NOT(OR(INDEX(SourceTable[Status],MAX(1,Q737))="IMPORTED",INDEX(SourceTable[Status],MAX(1,Q737))="PARTIAL",INDEX(SourceTable[Status],MAX(1,Q737))="SOURCE CONFLICT")),"ACCESS BLOCKED",IF(OR(INDEX(SourceTable[Coverage],Q737)&lt;&gt;"FULL SEASON EXPORT",INDEX(SourceTable[URL],Q737)="",INDEX(SourceTable[SHA256],Q737)=""),"EVIDENCE INCOMPLETE",IF(AND('Input_Meci'!H66="LIVE",INDEX(SourceTable[Retrieved_UTC],Q737)&gt;'Input_Meci'!G66),"POST CUTOFF","CLOSED")))))))</x:f>
      </x:c>
      <x:c r="S737" s="2" t="n">
        <x:f>IF(OR(B737="",F737=""),0,COUNTIFS('Istoric_Nativ'!$B$6:$B$405,E737,'Istoric_Nativ'!$C$6:$C$405,F737,'Istoric_Nativ'!$E$6:$E$405,G737,'Istoric_Nativ'!$D$6:$D$405,"&lt;"&amp;J737,'Istoric_Nativ'!$O$6:$O$405,"INVALID")+COUNTIFS('Istoric_Nativ'!$B$6:$B$405,E737,'Istoric_Nativ'!$C$6:$C$405,F737,'Istoric_Nativ'!$E$6:$E$405,G737,'Istoric_Nativ'!$O$6:$O$405,"INVALID",'Istoric_Nativ'!$D$6:$D$405,"*")+COUNTIFS('Istoric_Nativ'!$B$6:$B$405,E737,'Istoric_Nativ'!$C$6:$C$405,F737,'Istoric_Nativ'!$E$6:$E$405,G737,'Istoric_Nativ'!$D$6:$D$405,"&lt;"&amp;J737,'Istoric_Nativ'!$O$6:$O$405,"SOURCE CONFLICT")+COUNTIFS('Istoric_Nativ'!$B$6:$B$405,E737,'Istoric_Nativ'!$C$6:$C$405,F737,'Istoric_Nativ'!$F$6:$F$405,G737,'Istoric_Nativ'!$D$6:$D$405,"&lt;"&amp;J737,'Istoric_Nativ'!$O$6:$O$405,"INVALID")+COUNTIFS('Istoric_Nativ'!$B$6:$B$405,E737,'Istoric_Nativ'!$C$6:$C$405,F737,'Istoric_Nativ'!$F$6:$F$405,G737,'Istoric_Nativ'!$O$6:$O$405,"INVALID",'Istoric_Nativ'!$D$6:$D$405,"*")+COUNTIFS('Istoric_Nativ'!$B$6:$B$405,E737,'Istoric_Nativ'!$C$6:$C$405,F737,'Istoric_Nativ'!$F$6:$F$405,G737,'Istoric_Nativ'!$D$6:$D$405,"&lt;"&amp;J737,'Istoric_Nativ'!$O$6:$O$405,"SOURCE CONFLICT"))</x:f>
        <x:v>0</x:v>
      </x:c>
      <x:c r="T737" s="2" t="str">
        <x:f>IF(B737="","",IF(R737&lt;&gt;"CLOSED",R737,IF(S737&gt;0,"NATIVE INPUT ISSUE",IF(M737=0,"NO HISTORY",IF(M737&lt;P737,"SMALL SAMPLE","DERIVED")))))</x:f>
      </x:c>
      <x:c r="U737" s="2" t="str">
        <x:f>IF(B737="","","NativeTable; "&amp;E737&amp;"; "&amp;F737&amp;"; "&amp;G737&amp;"; "&amp;H737&amp;"; before "&amp;TEXT(J737,"yyyy-mm-dd")&amp;IF(I737="RECENT","; from "&amp;TEXT(L737,"yyyy-mm-dd"),""))</x:f>
      </x:c>
    </x:row>
    <x:row r="738" ht="21" customHeight="1">
      <x:c r="A738" s="2" t="n">
        <x:v>62</x:v>
      </x:c>
      <x:c r="B738" s="2" t="str">
        <x:f>IF('Input_Meci'!A67="","",'Input_Meci'!A67)</x:f>
      </x:c>
      <x:c r="C738" s="2" t="str">
        <x:v>H</x:v>
      </x:c>
      <x:c r="D738" s="2" t="str">
        <x:v>CURRENT</x:v>
      </x:c>
      <x:c r="E738" s="2" t="str">
        <x:f>IF(B738="","",'Input_Meci'!B67)</x:f>
      </x:c>
      <x:c r="F738" s="2" t="str">
        <x:f>IF(B738="","",IF('Input_Meci'!C67="","",'Input_Meci'!C67))</x:f>
      </x:c>
      <x:c r="G738" s="2" t="str">
        <x:f>IF(B738="","",'Input_Meci'!D67)</x:f>
      </x:c>
      <x:c r="H738" s="2" t="str">
        <x:v>ANY</x:v>
      </x:c>
      <x:c r="I738" s="2" t="str">
        <x:v>SEASON</x:v>
      </x:c>
      <x:c r="J738" s="9" t="n">
        <x:f>IF(AND(B738&lt;&gt;"",ISNUMBER('Input_Meci'!G67)),INT('Input_Meci'!G67),0)</x:f>
        <x:v>0</x:v>
      </x:c>
      <x:c r="K738" s="2" t="n">
        <x:f>IF(OR(B738="",F738=""),0,IF(H738="HOME",COUNTIFS('Istoric_Nativ'!$B$6:$B$405,E738,'Istoric_Nativ'!$C$6:$C$405,F738,'Istoric_Nativ'!$E$6:$E$405,G738,'Istoric_Nativ'!$D$6:$D$405,"&lt;"&amp;J738,'Istoric_Nativ'!$P$6:$P$405,1),IF(H738="AWAY",COUNTIFS('Istoric_Nativ'!$B$6:$B$405,E738,'Istoric_Nativ'!$C$6:$C$405,F738,'Istoric_Nativ'!$F$6:$F$405,G738,'Istoric_Nativ'!$D$6:$D$405,"&lt;"&amp;J738,'Istoric_Nativ'!$P$6:$P$405,1),COUNTIFS('Istoric_Nativ'!$B$6:$B$405,E738,'Istoric_Nativ'!$C$6:$C$405,F738,'Istoric_Nativ'!$E$6:$E$405,G738,'Istoric_Nativ'!$D$6:$D$405,"&lt;"&amp;J738,'Istoric_Nativ'!$P$6:$P$405,1)+COUNTIFS('Istoric_Nativ'!$B$6:$B$405,E738,'Istoric_Nativ'!$C$6:$C$405,F738,'Istoric_Nativ'!$F$6:$F$405,G738,'Istoric_Nativ'!$D$6:$D$405,"&lt;"&amp;J738,'Istoric_Nativ'!$P$6:$P$405,1))))</x:f>
        <x:v>0</x:v>
      </x:c>
      <x:c r="L738" s="17" t="n">
        <x:f>IF(AND(B738&lt;&gt;"",I738="RECENT",K738&gt;0),LARGE(_xlfn._xlws.FILTER('Istoric_Nativ'!$D$6:$D$405,('Istoric_Nativ'!$B$6:$B$405=E738)*('Istoric_Nativ'!$C$6:$C$405=F738)*('Istoric_Nativ'!$P$6:$P$405=1)*('Istoric_Nativ'!$D$6:$D$405&lt;J738)*((('Istoric_Nativ'!$E$6:$E$405=G738)+('Istoric_Nativ'!$F$6:$F$405=G738))&gt;0)),MIN('Config_v6'!$B$54,K738)),0)</x:f>
        <x:v>0</x:v>
      </x:c>
      <x:c r="M738" s="2" t="n">
        <x:f>IF(OR(B738="",F738=""),0,IF(H738="HOME",COUNTIFS('Istoric_Nativ'!$B$6:$B$405,E738,'Istoric_Nativ'!$C$6:$C$405,F738,'Istoric_Nativ'!$E$6:$E$405,G738,'Istoric_Nativ'!$D$6:$D$405,"&lt;"&amp;J738,'Istoric_Nativ'!$P$6:$P$405,1,'Istoric_Nativ'!$D$6:$D$405,"&gt;="&amp;L738),IF(H738="AWAY",COUNTIFS('Istoric_Nativ'!$B$6:$B$405,E738,'Istoric_Nativ'!$C$6:$C$405,F738,'Istoric_Nativ'!$F$6:$F$405,G738,'Istoric_Nativ'!$D$6:$D$405,"&lt;"&amp;J738,'Istoric_Nativ'!$P$6:$P$405,1,'Istoric_Nativ'!$D$6:$D$405,"&gt;="&amp;L738),COUNTIFS('Istoric_Nativ'!$B$6:$B$405,E738,'Istoric_Nativ'!$C$6:$C$405,F738,'Istoric_Nativ'!$E$6:$E$405,G738,'Istoric_Nativ'!$D$6:$D$405,"&lt;"&amp;J738,'Istoric_Nativ'!$P$6:$P$405,1,'Istoric_Nativ'!$D$6:$D$405,"&gt;="&amp;L738)+COUNTIFS('Istoric_Nativ'!$B$6:$B$405,E738,'Istoric_Nativ'!$C$6:$C$405,F738,'Istoric_Nativ'!$F$6:$F$405,G738,'Istoric_Nativ'!$D$6:$D$405,"&lt;"&amp;J738,'Istoric_Nativ'!$P$6:$P$405,1,'Istoric_Nativ'!$D$6:$D$405,"&gt;="&amp;L738))))</x:f>
        <x:v>0</x:v>
      </x:c>
      <x:c r="N738" s="11" t="str">
        <x:f>IF(M738=0,"",IF(H738="HOME",SUMIFS('Istoric_Nativ'!$G$6:$G$405,'Istoric_Nativ'!$B$6:$B$405,E738,'Istoric_Nativ'!$C$6:$C$405,F738,'Istoric_Nativ'!$E$6:$E$405,G738,'Istoric_Nativ'!$D$6:$D$405,"&lt;"&amp;J738,'Istoric_Nativ'!$P$6:$P$405,1,'Istoric_Nativ'!$D$6:$D$405,"&gt;="&amp;L738),IF(H738="AWAY",SUMIFS('Istoric_Nativ'!$H$6:$H$405,'Istoric_Nativ'!$B$6:$B$405,E738,'Istoric_Nativ'!$C$6:$C$405,F738,'Istoric_Nativ'!$F$6:$F$405,G738,'Istoric_Nativ'!$D$6:$D$405,"&lt;"&amp;J738,'Istoric_Nativ'!$P$6:$P$405,1,'Istoric_Nativ'!$D$6:$D$405,"&gt;="&amp;L738),SUMIFS('Istoric_Nativ'!$G$6:$G$405,'Istoric_Nativ'!$B$6:$B$405,E738,'Istoric_Nativ'!$C$6:$C$405,F738,'Istoric_Nativ'!$E$6:$E$405,G738,'Istoric_Nativ'!$D$6:$D$405,"&lt;"&amp;J738,'Istoric_Nativ'!$P$6:$P$405,1,'Istoric_Nativ'!$D$6:$D$405,"&gt;="&amp;L738)+SUMIFS('Istoric_Nativ'!$H$6:$H$405,'Istoric_Nativ'!$B$6:$B$405,E738,'Istoric_Nativ'!$C$6:$C$405,F738,'Istoric_Nativ'!$F$6:$F$405,G738,'Istoric_Nativ'!$D$6:$D$405,"&lt;"&amp;J738,'Istoric_Nativ'!$P$6:$P$405,1,'Istoric_Nativ'!$D$6:$D$405,"&gt;="&amp;L738)))/M738)</x:f>
      </x:c>
      <x:c r="O738" s="11" t="str">
        <x:f>IF(M738=0,"",IF(H738="HOME",SUMIFS('Istoric_Nativ'!$H$6:$H$405,'Istoric_Nativ'!$B$6:$B$405,E738,'Istoric_Nativ'!$C$6:$C$405,F738,'Istoric_Nativ'!$E$6:$E$405,G738,'Istoric_Nativ'!$D$6:$D$405,"&lt;"&amp;J738,'Istoric_Nativ'!$P$6:$P$405,1,'Istoric_Nativ'!$D$6:$D$405,"&gt;="&amp;L738),IF(H738="AWAY",SUMIFS('Istoric_Nativ'!$G$6:$G$405,'Istoric_Nativ'!$B$6:$B$405,E738,'Istoric_Nativ'!$C$6:$C$405,F738,'Istoric_Nativ'!$F$6:$F$405,G738,'Istoric_Nativ'!$D$6:$D$405,"&lt;"&amp;J738,'Istoric_Nativ'!$P$6:$P$405,1,'Istoric_Nativ'!$D$6:$D$405,"&gt;="&amp;L738),SUMIFS('Istoric_Nativ'!$H$6:$H$405,'Istoric_Nativ'!$B$6:$B$405,E738,'Istoric_Nativ'!$C$6:$C$405,F738,'Istoric_Nativ'!$E$6:$E$405,G738,'Istoric_Nativ'!$D$6:$D$405,"&lt;"&amp;J738,'Istoric_Nativ'!$P$6:$P$405,1,'Istoric_Nativ'!$D$6:$D$405,"&gt;="&amp;L738)+SUMIFS('Istoric_Nativ'!$G$6:$G$405,'Istoric_Nativ'!$B$6:$B$405,E738,'Istoric_Nativ'!$C$6:$C$405,F738,'Istoric_Nativ'!$F$6:$F$405,G738,'Istoric_Nativ'!$D$6:$D$405,"&lt;"&amp;J738,'Istoric_Nativ'!$P$6:$P$405,1,'Istoric_Nativ'!$D$6:$D$405,"&gt;="&amp;L738)))/M738)</x:f>
      </x:c>
      <x:c r="P738" s="2" t="n">
        <x:f>'Config_v6'!$B$7</x:f>
        <x:v>10</x:v>
      </x:c>
      <x:c r="Q738" s="2" t="n">
        <x:f>IF(OR(B738="",F738=""),0,IFERROR(MATCH(E738&amp;"|"&amp;F738,SourceTable[Source_Key],0),0))</x:f>
        <x:v>0</x:v>
      </x:c>
      <x:c r="R738" s="2" t="str">
        <x:f>IF(B738="","",IF(F738="","UNUSED",IF(Q738=0,"NOT CHECKED",IF(COUNTIF(SourceTable[Source_Key],E738&amp;"|"&amp;F738)&lt;&gt;1,"SOURCE CONFLICT",IF(NOT(OR(INDEX(SourceTable[Status],MAX(1,Q738))="IMPORTED",INDEX(SourceTable[Status],MAX(1,Q738))="PARTIAL",INDEX(SourceTable[Status],MAX(1,Q738))="SOURCE CONFLICT")),"ACCESS BLOCKED",IF(OR(INDEX(SourceTable[Coverage],Q738)&lt;&gt;"FULL SEASON EXPORT",INDEX(SourceTable[URL],Q738)="",INDEX(SourceTable[SHA256],Q738)=""),"EVIDENCE INCOMPLETE",IF(AND('Input_Meci'!H67="LIVE",INDEX(SourceTable[Retrieved_UTC],Q738)&gt;'Input_Meci'!G67),"POST CUTOFF","CLOSED")))))))</x:f>
      </x:c>
      <x:c r="S738" s="2" t="n">
        <x:f>IF(OR(B738="",F738=""),0,COUNTIFS('Istoric_Nativ'!$B$6:$B$405,E738,'Istoric_Nativ'!$C$6:$C$405,F738,'Istoric_Nativ'!$E$6:$E$405,G738,'Istoric_Nativ'!$D$6:$D$405,"&lt;"&amp;J738,'Istoric_Nativ'!$O$6:$O$405,"INVALID")+COUNTIFS('Istoric_Nativ'!$B$6:$B$405,E738,'Istoric_Nativ'!$C$6:$C$405,F738,'Istoric_Nativ'!$E$6:$E$405,G738,'Istoric_Nativ'!$O$6:$O$405,"INVALID",'Istoric_Nativ'!$D$6:$D$405,"*")+COUNTIFS('Istoric_Nativ'!$B$6:$B$405,E738,'Istoric_Nativ'!$C$6:$C$405,F738,'Istoric_Nativ'!$E$6:$E$405,G738,'Istoric_Nativ'!$D$6:$D$405,"&lt;"&amp;J738,'Istoric_Nativ'!$O$6:$O$405,"SOURCE CONFLICT")+COUNTIFS('Istoric_Nativ'!$B$6:$B$405,E738,'Istoric_Nativ'!$C$6:$C$405,F738,'Istoric_Nativ'!$F$6:$F$405,G738,'Istoric_Nativ'!$D$6:$D$405,"&lt;"&amp;J738,'Istoric_Nativ'!$O$6:$O$405,"INVALID")+COUNTIFS('Istoric_Nativ'!$B$6:$B$405,E738,'Istoric_Nativ'!$C$6:$C$405,F738,'Istoric_Nativ'!$F$6:$F$405,G738,'Istoric_Nativ'!$O$6:$O$405,"INVALID",'Istoric_Nativ'!$D$6:$D$405,"*")+COUNTIFS('Istoric_Nativ'!$B$6:$B$405,E738,'Istoric_Nativ'!$C$6:$C$405,F738,'Istoric_Nativ'!$F$6:$F$405,G738,'Istoric_Nativ'!$D$6:$D$405,"&lt;"&amp;J738,'Istoric_Nativ'!$O$6:$O$405,"SOURCE CONFLICT"))</x:f>
        <x:v>0</x:v>
      </x:c>
      <x:c r="T738" s="2" t="str">
        <x:f>IF(B738="","",IF(R738&lt;&gt;"CLOSED",R738,IF(S738&gt;0,"NATIVE INPUT ISSUE",IF(M738=0,"NO HISTORY",IF(M738&lt;P738,"SMALL SAMPLE","DERIVED")))))</x:f>
      </x:c>
      <x:c r="U738" s="2" t="str">
        <x:f>IF(B738="","","NativeTable; "&amp;E738&amp;"; "&amp;F738&amp;"; "&amp;G738&amp;"; "&amp;H738&amp;"; before "&amp;TEXT(J738,"yyyy-mm-dd")&amp;IF(I738="RECENT","; from "&amp;TEXT(L738,"yyyy-mm-dd"),""))</x:f>
      </x:c>
    </x:row>
    <x:row r="739" ht="21" customHeight="1">
      <x:c r="A739" s="2" t="n">
        <x:v>62</x:v>
      </x:c>
      <x:c r="B739" s="2" t="str">
        <x:f>IF('Input_Meci'!A67="","",'Input_Meci'!A67)</x:f>
      </x:c>
      <x:c r="C739" s="2" t="str">
        <x:v>H</x:v>
      </x:c>
      <x:c r="D739" s="2" t="str">
        <x:v>CURRENT</x:v>
      </x:c>
      <x:c r="E739" s="2" t="str">
        <x:f>IF(B739="","",'Input_Meci'!B67)</x:f>
      </x:c>
      <x:c r="F739" s="2" t="str">
        <x:f>IF(B739="","",IF('Input_Meci'!C67="","",'Input_Meci'!C67))</x:f>
      </x:c>
      <x:c r="G739" s="2" t="str">
        <x:f>IF(B739="","",'Input_Meci'!D67)</x:f>
      </x:c>
      <x:c r="H739" s="2" t="str">
        <x:v>HOME</x:v>
      </x:c>
      <x:c r="I739" s="2" t="str">
        <x:v>HA</x:v>
      </x:c>
      <x:c r="J739" s="9" t="n">
        <x:f>IF(AND(B739&lt;&gt;"",ISNUMBER('Input_Meci'!G67)),INT('Input_Meci'!G67),0)</x:f>
        <x:v>0</x:v>
      </x:c>
      <x:c r="K739" s="2" t="n">
        <x:f>IF(OR(B739="",F739=""),0,IF(H739="HOME",COUNTIFS('Istoric_Nativ'!$B$6:$B$405,E739,'Istoric_Nativ'!$C$6:$C$405,F739,'Istoric_Nativ'!$E$6:$E$405,G739,'Istoric_Nativ'!$D$6:$D$405,"&lt;"&amp;J739,'Istoric_Nativ'!$P$6:$P$405,1),IF(H739="AWAY",COUNTIFS('Istoric_Nativ'!$B$6:$B$405,E739,'Istoric_Nativ'!$C$6:$C$405,F739,'Istoric_Nativ'!$F$6:$F$405,G739,'Istoric_Nativ'!$D$6:$D$405,"&lt;"&amp;J739,'Istoric_Nativ'!$P$6:$P$405,1),COUNTIFS('Istoric_Nativ'!$B$6:$B$405,E739,'Istoric_Nativ'!$C$6:$C$405,F739,'Istoric_Nativ'!$E$6:$E$405,G739,'Istoric_Nativ'!$D$6:$D$405,"&lt;"&amp;J739,'Istoric_Nativ'!$P$6:$P$405,1)+COUNTIFS('Istoric_Nativ'!$B$6:$B$405,E739,'Istoric_Nativ'!$C$6:$C$405,F739,'Istoric_Nativ'!$F$6:$F$405,G739,'Istoric_Nativ'!$D$6:$D$405,"&lt;"&amp;J739,'Istoric_Nativ'!$P$6:$P$405,1))))</x:f>
        <x:v>0</x:v>
      </x:c>
      <x:c r="L739" s="17" t="n">
        <x:f>IF(AND(B739&lt;&gt;"",I739="RECENT",K739&gt;0),LARGE(_xlfn._xlws.FILTER('Istoric_Nativ'!$D$6:$D$405,('Istoric_Nativ'!$B$6:$B$405=E739)*('Istoric_Nativ'!$C$6:$C$405=F739)*('Istoric_Nativ'!$P$6:$P$405=1)*('Istoric_Nativ'!$D$6:$D$405&lt;J739)*((('Istoric_Nativ'!$E$6:$E$405=G739)+('Istoric_Nativ'!$F$6:$F$405=G739))&gt;0)),MIN('Config_v6'!$B$54,K739)),0)</x:f>
        <x:v>0</x:v>
      </x:c>
      <x:c r="M739" s="2" t="n">
        <x:f>IF(OR(B739="",F739=""),0,IF(H739="HOME",COUNTIFS('Istoric_Nativ'!$B$6:$B$405,E739,'Istoric_Nativ'!$C$6:$C$405,F739,'Istoric_Nativ'!$E$6:$E$405,G739,'Istoric_Nativ'!$D$6:$D$405,"&lt;"&amp;J739,'Istoric_Nativ'!$P$6:$P$405,1,'Istoric_Nativ'!$D$6:$D$405,"&gt;="&amp;L739),IF(H739="AWAY",COUNTIFS('Istoric_Nativ'!$B$6:$B$405,E739,'Istoric_Nativ'!$C$6:$C$405,F739,'Istoric_Nativ'!$F$6:$F$405,G739,'Istoric_Nativ'!$D$6:$D$405,"&lt;"&amp;J739,'Istoric_Nativ'!$P$6:$P$405,1,'Istoric_Nativ'!$D$6:$D$405,"&gt;="&amp;L739),COUNTIFS('Istoric_Nativ'!$B$6:$B$405,E739,'Istoric_Nativ'!$C$6:$C$405,F739,'Istoric_Nativ'!$E$6:$E$405,G739,'Istoric_Nativ'!$D$6:$D$405,"&lt;"&amp;J739,'Istoric_Nativ'!$P$6:$P$405,1,'Istoric_Nativ'!$D$6:$D$405,"&gt;="&amp;L739)+COUNTIFS('Istoric_Nativ'!$B$6:$B$405,E739,'Istoric_Nativ'!$C$6:$C$405,F739,'Istoric_Nativ'!$F$6:$F$405,G739,'Istoric_Nativ'!$D$6:$D$405,"&lt;"&amp;J739,'Istoric_Nativ'!$P$6:$P$405,1,'Istoric_Nativ'!$D$6:$D$405,"&gt;="&amp;L739))))</x:f>
        <x:v>0</x:v>
      </x:c>
      <x:c r="N739" s="11" t="str">
        <x:f>IF(M739=0,"",IF(H739="HOME",SUMIFS('Istoric_Nativ'!$G$6:$G$405,'Istoric_Nativ'!$B$6:$B$405,E739,'Istoric_Nativ'!$C$6:$C$405,F739,'Istoric_Nativ'!$E$6:$E$405,G739,'Istoric_Nativ'!$D$6:$D$405,"&lt;"&amp;J739,'Istoric_Nativ'!$P$6:$P$405,1,'Istoric_Nativ'!$D$6:$D$405,"&gt;="&amp;L739),IF(H739="AWAY",SUMIFS('Istoric_Nativ'!$H$6:$H$405,'Istoric_Nativ'!$B$6:$B$405,E739,'Istoric_Nativ'!$C$6:$C$405,F739,'Istoric_Nativ'!$F$6:$F$405,G739,'Istoric_Nativ'!$D$6:$D$405,"&lt;"&amp;J739,'Istoric_Nativ'!$P$6:$P$405,1,'Istoric_Nativ'!$D$6:$D$405,"&gt;="&amp;L739),SUMIFS('Istoric_Nativ'!$G$6:$G$405,'Istoric_Nativ'!$B$6:$B$405,E739,'Istoric_Nativ'!$C$6:$C$405,F739,'Istoric_Nativ'!$E$6:$E$405,G739,'Istoric_Nativ'!$D$6:$D$405,"&lt;"&amp;J739,'Istoric_Nativ'!$P$6:$P$405,1,'Istoric_Nativ'!$D$6:$D$405,"&gt;="&amp;L739)+SUMIFS('Istoric_Nativ'!$H$6:$H$405,'Istoric_Nativ'!$B$6:$B$405,E739,'Istoric_Nativ'!$C$6:$C$405,F739,'Istoric_Nativ'!$F$6:$F$405,G739,'Istoric_Nativ'!$D$6:$D$405,"&lt;"&amp;J739,'Istoric_Nativ'!$P$6:$P$405,1,'Istoric_Nativ'!$D$6:$D$405,"&gt;="&amp;L739)))/M739)</x:f>
      </x:c>
      <x:c r="O739" s="11" t="str">
        <x:f>IF(M739=0,"",IF(H739="HOME",SUMIFS('Istoric_Nativ'!$H$6:$H$405,'Istoric_Nativ'!$B$6:$B$405,E739,'Istoric_Nativ'!$C$6:$C$405,F739,'Istoric_Nativ'!$E$6:$E$405,G739,'Istoric_Nativ'!$D$6:$D$405,"&lt;"&amp;J739,'Istoric_Nativ'!$P$6:$P$405,1,'Istoric_Nativ'!$D$6:$D$405,"&gt;="&amp;L739),IF(H739="AWAY",SUMIFS('Istoric_Nativ'!$G$6:$G$405,'Istoric_Nativ'!$B$6:$B$405,E739,'Istoric_Nativ'!$C$6:$C$405,F739,'Istoric_Nativ'!$F$6:$F$405,G739,'Istoric_Nativ'!$D$6:$D$405,"&lt;"&amp;J739,'Istoric_Nativ'!$P$6:$P$405,1,'Istoric_Nativ'!$D$6:$D$405,"&gt;="&amp;L739),SUMIFS('Istoric_Nativ'!$H$6:$H$405,'Istoric_Nativ'!$B$6:$B$405,E739,'Istoric_Nativ'!$C$6:$C$405,F739,'Istoric_Nativ'!$E$6:$E$405,G739,'Istoric_Nativ'!$D$6:$D$405,"&lt;"&amp;J739,'Istoric_Nativ'!$P$6:$P$405,1,'Istoric_Nativ'!$D$6:$D$405,"&gt;="&amp;L739)+SUMIFS('Istoric_Nativ'!$G$6:$G$405,'Istoric_Nativ'!$B$6:$B$405,E739,'Istoric_Nativ'!$C$6:$C$405,F739,'Istoric_Nativ'!$F$6:$F$405,G739,'Istoric_Nativ'!$D$6:$D$405,"&lt;"&amp;J739,'Istoric_Nativ'!$P$6:$P$405,1,'Istoric_Nativ'!$D$6:$D$405,"&gt;="&amp;L739)))/M739)</x:f>
      </x:c>
      <x:c r="P739" s="2" t="n">
        <x:f>'Config_v6'!$B$8</x:f>
        <x:v>5</x:v>
      </x:c>
      <x:c r="Q739" s="2" t="n">
        <x:f>IF(OR(B739="",F739=""),0,IFERROR(MATCH(E739&amp;"|"&amp;F739,SourceTable[Source_Key],0),0))</x:f>
        <x:v>0</x:v>
      </x:c>
      <x:c r="R739" s="2" t="str">
        <x:f>IF(B739="","",IF(F739="","UNUSED",IF(Q739=0,"NOT CHECKED",IF(COUNTIF(SourceTable[Source_Key],E739&amp;"|"&amp;F739)&lt;&gt;1,"SOURCE CONFLICT",IF(NOT(OR(INDEX(SourceTable[Status],MAX(1,Q739))="IMPORTED",INDEX(SourceTable[Status],MAX(1,Q739))="PARTIAL",INDEX(SourceTable[Status],MAX(1,Q739))="SOURCE CONFLICT")),"ACCESS BLOCKED",IF(OR(INDEX(SourceTable[Coverage],Q739)&lt;&gt;"FULL SEASON EXPORT",INDEX(SourceTable[URL],Q739)="",INDEX(SourceTable[SHA256],Q739)=""),"EVIDENCE INCOMPLETE",IF(AND('Input_Meci'!H67="LIVE",INDEX(SourceTable[Retrieved_UTC],Q739)&gt;'Input_Meci'!G67),"POST CUTOFF","CLOSED")))))))</x:f>
      </x:c>
      <x:c r="S739" s="2" t="n">
        <x:f>IF(OR(B739="",F739=""),0,COUNTIFS('Istoric_Nativ'!$B$6:$B$405,E739,'Istoric_Nativ'!$C$6:$C$405,F739,'Istoric_Nativ'!$E$6:$E$405,G739,'Istoric_Nativ'!$D$6:$D$405,"&lt;"&amp;J739,'Istoric_Nativ'!$O$6:$O$405,"INVALID")+COUNTIFS('Istoric_Nativ'!$B$6:$B$405,E739,'Istoric_Nativ'!$C$6:$C$405,F739,'Istoric_Nativ'!$E$6:$E$405,G739,'Istoric_Nativ'!$O$6:$O$405,"INVALID",'Istoric_Nativ'!$D$6:$D$405,"*")+COUNTIFS('Istoric_Nativ'!$B$6:$B$405,E739,'Istoric_Nativ'!$C$6:$C$405,F739,'Istoric_Nativ'!$E$6:$E$405,G739,'Istoric_Nativ'!$D$6:$D$405,"&lt;"&amp;J739,'Istoric_Nativ'!$O$6:$O$405,"SOURCE CONFLICT")+COUNTIFS('Istoric_Nativ'!$B$6:$B$405,E739,'Istoric_Nativ'!$C$6:$C$405,F739,'Istoric_Nativ'!$F$6:$F$405,G739,'Istoric_Nativ'!$D$6:$D$405,"&lt;"&amp;J739,'Istoric_Nativ'!$O$6:$O$405,"INVALID")+COUNTIFS('Istoric_Nativ'!$B$6:$B$405,E739,'Istoric_Nativ'!$C$6:$C$405,F739,'Istoric_Nativ'!$F$6:$F$405,G739,'Istoric_Nativ'!$O$6:$O$405,"INVALID",'Istoric_Nativ'!$D$6:$D$405,"*")+COUNTIFS('Istoric_Nativ'!$B$6:$B$405,E739,'Istoric_Nativ'!$C$6:$C$405,F739,'Istoric_Nativ'!$F$6:$F$405,G739,'Istoric_Nativ'!$D$6:$D$405,"&lt;"&amp;J739,'Istoric_Nativ'!$O$6:$O$405,"SOURCE CONFLICT"))</x:f>
        <x:v>0</x:v>
      </x:c>
      <x:c r="T739" s="2" t="str">
        <x:f>IF(B739="","",IF(R739&lt;&gt;"CLOSED",R739,IF(S739&gt;0,"NATIVE INPUT ISSUE",IF(M739=0,"NO HISTORY",IF(M739&lt;P739,"SMALL SAMPLE","DERIVED")))))</x:f>
      </x:c>
      <x:c r="U739" s="2" t="str">
        <x:f>IF(B739="","","NativeTable; "&amp;E739&amp;"; "&amp;F739&amp;"; "&amp;G739&amp;"; "&amp;H739&amp;"; before "&amp;TEXT(J739,"yyyy-mm-dd")&amp;IF(I739="RECENT","; from "&amp;TEXT(L739,"yyyy-mm-dd"),""))</x:f>
      </x:c>
    </x:row>
    <x:row r="740" ht="21" customHeight="1">
      <x:c r="A740" s="2" t="n">
        <x:v>62</x:v>
      </x:c>
      <x:c r="B740" s="2" t="str">
        <x:f>IF('Input_Meci'!A67="","",'Input_Meci'!A67)</x:f>
      </x:c>
      <x:c r="C740" s="2" t="str">
        <x:v>H</x:v>
      </x:c>
      <x:c r="D740" s="2" t="str">
        <x:v>CURRENT</x:v>
      </x:c>
      <x:c r="E740" s="2" t="str">
        <x:f>IF(B740="","",'Input_Meci'!B67)</x:f>
      </x:c>
      <x:c r="F740" s="2" t="str">
        <x:f>IF(B740="","",IF('Input_Meci'!C67="","",'Input_Meci'!C67))</x:f>
      </x:c>
      <x:c r="G740" s="2" t="str">
        <x:f>IF(B740="","",'Input_Meci'!D67)</x:f>
      </x:c>
      <x:c r="H740" s="2" t="str">
        <x:v>ANY</x:v>
      </x:c>
      <x:c r="I740" s="2" t="str">
        <x:v>RECENT</x:v>
      </x:c>
      <x:c r="J740" s="9" t="n">
        <x:f>IF(AND(B740&lt;&gt;"",ISNUMBER('Input_Meci'!G67)),INT('Input_Meci'!G67),0)</x:f>
        <x:v>0</x:v>
      </x:c>
      <x:c r="K740" s="2" t="n">
        <x:f>IF(OR(B740="",F740=""),0,IF(H740="HOME",COUNTIFS('Istoric_Nativ'!$B$6:$B$405,E740,'Istoric_Nativ'!$C$6:$C$405,F740,'Istoric_Nativ'!$E$6:$E$405,G740,'Istoric_Nativ'!$D$6:$D$405,"&lt;"&amp;J740,'Istoric_Nativ'!$P$6:$P$405,1),IF(H740="AWAY",COUNTIFS('Istoric_Nativ'!$B$6:$B$405,E740,'Istoric_Nativ'!$C$6:$C$405,F740,'Istoric_Nativ'!$F$6:$F$405,G740,'Istoric_Nativ'!$D$6:$D$405,"&lt;"&amp;J740,'Istoric_Nativ'!$P$6:$P$405,1),COUNTIFS('Istoric_Nativ'!$B$6:$B$405,E740,'Istoric_Nativ'!$C$6:$C$405,F740,'Istoric_Nativ'!$E$6:$E$405,G740,'Istoric_Nativ'!$D$6:$D$405,"&lt;"&amp;J740,'Istoric_Nativ'!$P$6:$P$405,1)+COUNTIFS('Istoric_Nativ'!$B$6:$B$405,E740,'Istoric_Nativ'!$C$6:$C$405,F740,'Istoric_Nativ'!$F$6:$F$405,G740,'Istoric_Nativ'!$D$6:$D$405,"&lt;"&amp;J740,'Istoric_Nativ'!$P$6:$P$405,1))))</x:f>
        <x:v>0</x:v>
      </x:c>
      <x:c r="L740" s="17" t="n">
        <x:f>IF(AND(B740&lt;&gt;"",I740="RECENT",K740&gt;0),LARGE(_xlfn._xlws.FILTER('Istoric_Nativ'!$D$6:$D$405,('Istoric_Nativ'!$B$6:$B$405=E740)*('Istoric_Nativ'!$C$6:$C$405=F740)*('Istoric_Nativ'!$P$6:$P$405=1)*('Istoric_Nativ'!$D$6:$D$405&lt;J740)*((('Istoric_Nativ'!$E$6:$E$405=G740)+('Istoric_Nativ'!$F$6:$F$405=G740))&gt;0)),MIN('Config_v6'!$B$54,K740)),0)</x:f>
        <x:v>0</x:v>
      </x:c>
      <x:c r="M740" s="2" t="n">
        <x:f>IF(OR(B740="",F740=""),0,IF(H740="HOME",COUNTIFS('Istoric_Nativ'!$B$6:$B$405,E740,'Istoric_Nativ'!$C$6:$C$405,F740,'Istoric_Nativ'!$E$6:$E$405,G740,'Istoric_Nativ'!$D$6:$D$405,"&lt;"&amp;J740,'Istoric_Nativ'!$P$6:$P$405,1,'Istoric_Nativ'!$D$6:$D$405,"&gt;="&amp;L740),IF(H740="AWAY",COUNTIFS('Istoric_Nativ'!$B$6:$B$405,E740,'Istoric_Nativ'!$C$6:$C$405,F740,'Istoric_Nativ'!$F$6:$F$405,G740,'Istoric_Nativ'!$D$6:$D$405,"&lt;"&amp;J740,'Istoric_Nativ'!$P$6:$P$405,1,'Istoric_Nativ'!$D$6:$D$405,"&gt;="&amp;L740),COUNTIFS('Istoric_Nativ'!$B$6:$B$405,E740,'Istoric_Nativ'!$C$6:$C$405,F740,'Istoric_Nativ'!$E$6:$E$405,G740,'Istoric_Nativ'!$D$6:$D$405,"&lt;"&amp;J740,'Istoric_Nativ'!$P$6:$P$405,1,'Istoric_Nativ'!$D$6:$D$405,"&gt;="&amp;L740)+COUNTIFS('Istoric_Nativ'!$B$6:$B$405,E740,'Istoric_Nativ'!$C$6:$C$405,F740,'Istoric_Nativ'!$F$6:$F$405,G740,'Istoric_Nativ'!$D$6:$D$405,"&lt;"&amp;J740,'Istoric_Nativ'!$P$6:$P$405,1,'Istoric_Nativ'!$D$6:$D$405,"&gt;="&amp;L740))))</x:f>
        <x:v>0</x:v>
      </x:c>
      <x:c r="N740" s="11" t="str">
        <x:f>IF(M740=0,"",IF(H740="HOME",SUMIFS('Istoric_Nativ'!$G$6:$G$405,'Istoric_Nativ'!$B$6:$B$405,E740,'Istoric_Nativ'!$C$6:$C$405,F740,'Istoric_Nativ'!$E$6:$E$405,G740,'Istoric_Nativ'!$D$6:$D$405,"&lt;"&amp;J740,'Istoric_Nativ'!$P$6:$P$405,1,'Istoric_Nativ'!$D$6:$D$405,"&gt;="&amp;L740),IF(H740="AWAY",SUMIFS('Istoric_Nativ'!$H$6:$H$405,'Istoric_Nativ'!$B$6:$B$405,E740,'Istoric_Nativ'!$C$6:$C$405,F740,'Istoric_Nativ'!$F$6:$F$405,G740,'Istoric_Nativ'!$D$6:$D$405,"&lt;"&amp;J740,'Istoric_Nativ'!$P$6:$P$405,1,'Istoric_Nativ'!$D$6:$D$405,"&gt;="&amp;L740),SUMIFS('Istoric_Nativ'!$G$6:$G$405,'Istoric_Nativ'!$B$6:$B$405,E740,'Istoric_Nativ'!$C$6:$C$405,F740,'Istoric_Nativ'!$E$6:$E$405,G740,'Istoric_Nativ'!$D$6:$D$405,"&lt;"&amp;J740,'Istoric_Nativ'!$P$6:$P$405,1,'Istoric_Nativ'!$D$6:$D$405,"&gt;="&amp;L740)+SUMIFS('Istoric_Nativ'!$H$6:$H$405,'Istoric_Nativ'!$B$6:$B$405,E740,'Istoric_Nativ'!$C$6:$C$405,F740,'Istoric_Nativ'!$F$6:$F$405,G740,'Istoric_Nativ'!$D$6:$D$405,"&lt;"&amp;J740,'Istoric_Nativ'!$P$6:$P$405,1,'Istoric_Nativ'!$D$6:$D$405,"&gt;="&amp;L740)))/M740)</x:f>
      </x:c>
      <x:c r="O740" s="11" t="str">
        <x:f>IF(M740=0,"",IF(H740="HOME",SUMIFS('Istoric_Nativ'!$H$6:$H$405,'Istoric_Nativ'!$B$6:$B$405,E740,'Istoric_Nativ'!$C$6:$C$405,F740,'Istoric_Nativ'!$E$6:$E$405,G740,'Istoric_Nativ'!$D$6:$D$405,"&lt;"&amp;J740,'Istoric_Nativ'!$P$6:$P$405,1,'Istoric_Nativ'!$D$6:$D$405,"&gt;="&amp;L740),IF(H740="AWAY",SUMIFS('Istoric_Nativ'!$G$6:$G$405,'Istoric_Nativ'!$B$6:$B$405,E740,'Istoric_Nativ'!$C$6:$C$405,F740,'Istoric_Nativ'!$F$6:$F$405,G740,'Istoric_Nativ'!$D$6:$D$405,"&lt;"&amp;J740,'Istoric_Nativ'!$P$6:$P$405,1,'Istoric_Nativ'!$D$6:$D$405,"&gt;="&amp;L740),SUMIFS('Istoric_Nativ'!$H$6:$H$405,'Istoric_Nativ'!$B$6:$B$405,E740,'Istoric_Nativ'!$C$6:$C$405,F740,'Istoric_Nativ'!$E$6:$E$405,G740,'Istoric_Nativ'!$D$6:$D$405,"&lt;"&amp;J740,'Istoric_Nativ'!$P$6:$P$405,1,'Istoric_Nativ'!$D$6:$D$405,"&gt;="&amp;L740)+SUMIFS('Istoric_Nativ'!$G$6:$G$405,'Istoric_Nativ'!$B$6:$B$405,E740,'Istoric_Nativ'!$C$6:$C$405,F740,'Istoric_Nativ'!$F$6:$F$405,G740,'Istoric_Nativ'!$D$6:$D$405,"&lt;"&amp;J740,'Istoric_Nativ'!$P$6:$P$405,1,'Istoric_Nativ'!$D$6:$D$405,"&gt;="&amp;L740)))/M740)</x:f>
      </x:c>
      <x:c r="P740" s="2" t="n">
        <x:f>'Config_v6'!$B$9</x:f>
        <x:v>3</x:v>
      </x:c>
      <x:c r="Q740" s="2" t="n">
        <x:f>IF(OR(B740="",F740=""),0,IFERROR(MATCH(E740&amp;"|"&amp;F740,SourceTable[Source_Key],0),0))</x:f>
        <x:v>0</x:v>
      </x:c>
      <x:c r="R740" s="2" t="str">
        <x:f>IF(B740="","",IF(F740="","UNUSED",IF(Q740=0,"NOT CHECKED",IF(COUNTIF(SourceTable[Source_Key],E740&amp;"|"&amp;F740)&lt;&gt;1,"SOURCE CONFLICT",IF(NOT(OR(INDEX(SourceTable[Status],MAX(1,Q740))="IMPORTED",INDEX(SourceTable[Status],MAX(1,Q740))="PARTIAL",INDEX(SourceTable[Status],MAX(1,Q740))="SOURCE CONFLICT")),"ACCESS BLOCKED",IF(OR(INDEX(SourceTable[Coverage],Q740)&lt;&gt;"FULL SEASON EXPORT",INDEX(SourceTable[URL],Q740)="",INDEX(SourceTable[SHA256],Q740)=""),"EVIDENCE INCOMPLETE",IF(AND('Input_Meci'!H67="LIVE",INDEX(SourceTable[Retrieved_UTC],Q740)&gt;'Input_Meci'!G67),"POST CUTOFF","CLOSED")))))))</x:f>
      </x:c>
      <x:c r="S740" s="2" t="n">
        <x:f>IF(OR(B740="",F740=""),0,COUNTIFS('Istoric_Nativ'!$B$6:$B$405,E740,'Istoric_Nativ'!$C$6:$C$405,F740,'Istoric_Nativ'!$E$6:$E$405,G740,'Istoric_Nativ'!$D$6:$D$405,"&lt;"&amp;J740,'Istoric_Nativ'!$O$6:$O$405,"INVALID")+COUNTIFS('Istoric_Nativ'!$B$6:$B$405,E740,'Istoric_Nativ'!$C$6:$C$405,F740,'Istoric_Nativ'!$E$6:$E$405,G740,'Istoric_Nativ'!$O$6:$O$405,"INVALID",'Istoric_Nativ'!$D$6:$D$405,"*")+COUNTIFS('Istoric_Nativ'!$B$6:$B$405,E740,'Istoric_Nativ'!$C$6:$C$405,F740,'Istoric_Nativ'!$E$6:$E$405,G740,'Istoric_Nativ'!$D$6:$D$405,"&lt;"&amp;J740,'Istoric_Nativ'!$O$6:$O$405,"SOURCE CONFLICT")+COUNTIFS('Istoric_Nativ'!$B$6:$B$405,E740,'Istoric_Nativ'!$C$6:$C$405,F740,'Istoric_Nativ'!$F$6:$F$405,G740,'Istoric_Nativ'!$D$6:$D$405,"&lt;"&amp;J740,'Istoric_Nativ'!$O$6:$O$405,"INVALID")+COUNTIFS('Istoric_Nativ'!$B$6:$B$405,E740,'Istoric_Nativ'!$C$6:$C$405,F740,'Istoric_Nativ'!$F$6:$F$405,G740,'Istoric_Nativ'!$O$6:$O$405,"INVALID",'Istoric_Nativ'!$D$6:$D$405,"*")+COUNTIFS('Istoric_Nativ'!$B$6:$B$405,E740,'Istoric_Nativ'!$C$6:$C$405,F740,'Istoric_Nativ'!$F$6:$F$405,G740,'Istoric_Nativ'!$D$6:$D$405,"&lt;"&amp;J740,'Istoric_Nativ'!$O$6:$O$405,"SOURCE CONFLICT"))</x:f>
        <x:v>0</x:v>
      </x:c>
      <x:c r="T740" s="2" t="str">
        <x:f>IF(B740="","",IF(R740&lt;&gt;"CLOSED",R740,IF(S740&gt;0,"NATIVE INPUT ISSUE",IF(M740=0,"NO HISTORY",IF(M740&lt;P740,"SMALL SAMPLE","DERIVED")))))</x:f>
      </x:c>
      <x:c r="U740" s="2" t="str">
        <x:f>IF(B740="","","NativeTable; "&amp;E740&amp;"; "&amp;F740&amp;"; "&amp;G740&amp;"; "&amp;H740&amp;"; before "&amp;TEXT(J740,"yyyy-mm-dd")&amp;IF(I740="RECENT","; from "&amp;TEXT(L740,"yyyy-mm-dd"),""))</x:f>
      </x:c>
    </x:row>
    <x:row r="741" ht="21" customHeight="1">
      <x:c r="A741" s="2" t="n">
        <x:v>62</x:v>
      </x:c>
      <x:c r="B741" s="2" t="str">
        <x:f>IF('Input_Meci'!A67="","",'Input_Meci'!A67)</x:f>
      </x:c>
      <x:c r="C741" s="2" t="str">
        <x:v>A</x:v>
      </x:c>
      <x:c r="D741" s="2" t="str">
        <x:v>CURRENT</x:v>
      </x:c>
      <x:c r="E741" s="2" t="str">
        <x:f>IF(B741="","",'Input_Meci'!B67)</x:f>
      </x:c>
      <x:c r="F741" s="2" t="str">
        <x:f>IF(B741="","",IF('Input_Meci'!C67="","",'Input_Meci'!C67))</x:f>
      </x:c>
      <x:c r="G741" s="2" t="str">
        <x:f>IF(B741="","",'Input_Meci'!E67)</x:f>
      </x:c>
      <x:c r="H741" s="2" t="str">
        <x:v>ANY</x:v>
      </x:c>
      <x:c r="I741" s="2" t="str">
        <x:v>SEASON</x:v>
      </x:c>
      <x:c r="J741" s="9" t="n">
        <x:f>IF(AND(B741&lt;&gt;"",ISNUMBER('Input_Meci'!G67)),INT('Input_Meci'!G67),0)</x:f>
        <x:v>0</x:v>
      </x:c>
      <x:c r="K741" s="2" t="n">
        <x:f>IF(OR(B741="",F741=""),0,IF(H741="HOME",COUNTIFS('Istoric_Nativ'!$B$6:$B$405,E741,'Istoric_Nativ'!$C$6:$C$405,F741,'Istoric_Nativ'!$E$6:$E$405,G741,'Istoric_Nativ'!$D$6:$D$405,"&lt;"&amp;J741,'Istoric_Nativ'!$P$6:$P$405,1),IF(H741="AWAY",COUNTIFS('Istoric_Nativ'!$B$6:$B$405,E741,'Istoric_Nativ'!$C$6:$C$405,F741,'Istoric_Nativ'!$F$6:$F$405,G741,'Istoric_Nativ'!$D$6:$D$405,"&lt;"&amp;J741,'Istoric_Nativ'!$P$6:$P$405,1),COUNTIFS('Istoric_Nativ'!$B$6:$B$405,E741,'Istoric_Nativ'!$C$6:$C$405,F741,'Istoric_Nativ'!$E$6:$E$405,G741,'Istoric_Nativ'!$D$6:$D$405,"&lt;"&amp;J741,'Istoric_Nativ'!$P$6:$P$405,1)+COUNTIFS('Istoric_Nativ'!$B$6:$B$405,E741,'Istoric_Nativ'!$C$6:$C$405,F741,'Istoric_Nativ'!$F$6:$F$405,G741,'Istoric_Nativ'!$D$6:$D$405,"&lt;"&amp;J741,'Istoric_Nativ'!$P$6:$P$405,1))))</x:f>
        <x:v>0</x:v>
      </x:c>
      <x:c r="L741" s="17" t="n">
        <x:f>IF(AND(B741&lt;&gt;"",I741="RECENT",K741&gt;0),LARGE(_xlfn._xlws.FILTER('Istoric_Nativ'!$D$6:$D$405,('Istoric_Nativ'!$B$6:$B$405=E741)*('Istoric_Nativ'!$C$6:$C$405=F741)*('Istoric_Nativ'!$P$6:$P$405=1)*('Istoric_Nativ'!$D$6:$D$405&lt;J741)*((('Istoric_Nativ'!$E$6:$E$405=G741)+('Istoric_Nativ'!$F$6:$F$405=G741))&gt;0)),MIN('Config_v6'!$B$54,K741)),0)</x:f>
        <x:v>0</x:v>
      </x:c>
      <x:c r="M741" s="2" t="n">
        <x:f>IF(OR(B741="",F741=""),0,IF(H741="HOME",COUNTIFS('Istoric_Nativ'!$B$6:$B$405,E741,'Istoric_Nativ'!$C$6:$C$405,F741,'Istoric_Nativ'!$E$6:$E$405,G741,'Istoric_Nativ'!$D$6:$D$405,"&lt;"&amp;J741,'Istoric_Nativ'!$P$6:$P$405,1,'Istoric_Nativ'!$D$6:$D$405,"&gt;="&amp;L741),IF(H741="AWAY",COUNTIFS('Istoric_Nativ'!$B$6:$B$405,E741,'Istoric_Nativ'!$C$6:$C$405,F741,'Istoric_Nativ'!$F$6:$F$405,G741,'Istoric_Nativ'!$D$6:$D$405,"&lt;"&amp;J741,'Istoric_Nativ'!$P$6:$P$405,1,'Istoric_Nativ'!$D$6:$D$405,"&gt;="&amp;L741),COUNTIFS('Istoric_Nativ'!$B$6:$B$405,E741,'Istoric_Nativ'!$C$6:$C$405,F741,'Istoric_Nativ'!$E$6:$E$405,G741,'Istoric_Nativ'!$D$6:$D$405,"&lt;"&amp;J741,'Istoric_Nativ'!$P$6:$P$405,1,'Istoric_Nativ'!$D$6:$D$405,"&gt;="&amp;L741)+COUNTIFS('Istoric_Nativ'!$B$6:$B$405,E741,'Istoric_Nativ'!$C$6:$C$405,F741,'Istoric_Nativ'!$F$6:$F$405,G741,'Istoric_Nativ'!$D$6:$D$405,"&lt;"&amp;J741,'Istoric_Nativ'!$P$6:$P$405,1,'Istoric_Nativ'!$D$6:$D$405,"&gt;="&amp;L741))))</x:f>
        <x:v>0</x:v>
      </x:c>
      <x:c r="N741" s="11" t="str">
        <x:f>IF(M741=0,"",IF(H741="HOME",SUMIFS('Istoric_Nativ'!$G$6:$G$405,'Istoric_Nativ'!$B$6:$B$405,E741,'Istoric_Nativ'!$C$6:$C$405,F741,'Istoric_Nativ'!$E$6:$E$405,G741,'Istoric_Nativ'!$D$6:$D$405,"&lt;"&amp;J741,'Istoric_Nativ'!$P$6:$P$405,1,'Istoric_Nativ'!$D$6:$D$405,"&gt;="&amp;L741),IF(H741="AWAY",SUMIFS('Istoric_Nativ'!$H$6:$H$405,'Istoric_Nativ'!$B$6:$B$405,E741,'Istoric_Nativ'!$C$6:$C$405,F741,'Istoric_Nativ'!$F$6:$F$405,G741,'Istoric_Nativ'!$D$6:$D$405,"&lt;"&amp;J741,'Istoric_Nativ'!$P$6:$P$405,1,'Istoric_Nativ'!$D$6:$D$405,"&gt;="&amp;L741),SUMIFS('Istoric_Nativ'!$G$6:$G$405,'Istoric_Nativ'!$B$6:$B$405,E741,'Istoric_Nativ'!$C$6:$C$405,F741,'Istoric_Nativ'!$E$6:$E$405,G741,'Istoric_Nativ'!$D$6:$D$405,"&lt;"&amp;J741,'Istoric_Nativ'!$P$6:$P$405,1,'Istoric_Nativ'!$D$6:$D$405,"&gt;="&amp;L741)+SUMIFS('Istoric_Nativ'!$H$6:$H$405,'Istoric_Nativ'!$B$6:$B$405,E741,'Istoric_Nativ'!$C$6:$C$405,F741,'Istoric_Nativ'!$F$6:$F$405,G741,'Istoric_Nativ'!$D$6:$D$405,"&lt;"&amp;J741,'Istoric_Nativ'!$P$6:$P$405,1,'Istoric_Nativ'!$D$6:$D$405,"&gt;="&amp;L741)))/M741)</x:f>
      </x:c>
      <x:c r="O741" s="11" t="str">
        <x:f>IF(M741=0,"",IF(H741="HOME",SUMIFS('Istoric_Nativ'!$H$6:$H$405,'Istoric_Nativ'!$B$6:$B$405,E741,'Istoric_Nativ'!$C$6:$C$405,F741,'Istoric_Nativ'!$E$6:$E$405,G741,'Istoric_Nativ'!$D$6:$D$405,"&lt;"&amp;J741,'Istoric_Nativ'!$P$6:$P$405,1,'Istoric_Nativ'!$D$6:$D$405,"&gt;="&amp;L741),IF(H741="AWAY",SUMIFS('Istoric_Nativ'!$G$6:$G$405,'Istoric_Nativ'!$B$6:$B$405,E741,'Istoric_Nativ'!$C$6:$C$405,F741,'Istoric_Nativ'!$F$6:$F$405,G741,'Istoric_Nativ'!$D$6:$D$405,"&lt;"&amp;J741,'Istoric_Nativ'!$P$6:$P$405,1,'Istoric_Nativ'!$D$6:$D$405,"&gt;="&amp;L741),SUMIFS('Istoric_Nativ'!$H$6:$H$405,'Istoric_Nativ'!$B$6:$B$405,E741,'Istoric_Nativ'!$C$6:$C$405,F741,'Istoric_Nativ'!$E$6:$E$405,G741,'Istoric_Nativ'!$D$6:$D$405,"&lt;"&amp;J741,'Istoric_Nativ'!$P$6:$P$405,1,'Istoric_Nativ'!$D$6:$D$405,"&gt;="&amp;L741)+SUMIFS('Istoric_Nativ'!$G$6:$G$405,'Istoric_Nativ'!$B$6:$B$405,E741,'Istoric_Nativ'!$C$6:$C$405,F741,'Istoric_Nativ'!$F$6:$F$405,G741,'Istoric_Nativ'!$D$6:$D$405,"&lt;"&amp;J741,'Istoric_Nativ'!$P$6:$P$405,1,'Istoric_Nativ'!$D$6:$D$405,"&gt;="&amp;L741)))/M741)</x:f>
      </x:c>
      <x:c r="P741" s="2" t="n">
        <x:f>'Config_v6'!$B$7</x:f>
        <x:v>10</x:v>
      </x:c>
      <x:c r="Q741" s="2" t="n">
        <x:f>IF(OR(B741="",F741=""),0,IFERROR(MATCH(E741&amp;"|"&amp;F741,SourceTable[Source_Key],0),0))</x:f>
        <x:v>0</x:v>
      </x:c>
      <x:c r="R741" s="2" t="str">
        <x:f>IF(B741="","",IF(F741="","UNUSED",IF(Q741=0,"NOT CHECKED",IF(COUNTIF(SourceTable[Source_Key],E741&amp;"|"&amp;F741)&lt;&gt;1,"SOURCE CONFLICT",IF(NOT(OR(INDEX(SourceTable[Status],MAX(1,Q741))="IMPORTED",INDEX(SourceTable[Status],MAX(1,Q741))="PARTIAL",INDEX(SourceTable[Status],MAX(1,Q741))="SOURCE CONFLICT")),"ACCESS BLOCKED",IF(OR(INDEX(SourceTable[Coverage],Q741)&lt;&gt;"FULL SEASON EXPORT",INDEX(SourceTable[URL],Q741)="",INDEX(SourceTable[SHA256],Q741)=""),"EVIDENCE INCOMPLETE",IF(AND('Input_Meci'!H67="LIVE",INDEX(SourceTable[Retrieved_UTC],Q741)&gt;'Input_Meci'!G67),"POST CUTOFF","CLOSED")))))))</x:f>
      </x:c>
      <x:c r="S741" s="2" t="n">
        <x:f>IF(OR(B741="",F741=""),0,COUNTIFS('Istoric_Nativ'!$B$6:$B$405,E741,'Istoric_Nativ'!$C$6:$C$405,F741,'Istoric_Nativ'!$E$6:$E$405,G741,'Istoric_Nativ'!$D$6:$D$405,"&lt;"&amp;J741,'Istoric_Nativ'!$O$6:$O$405,"INVALID")+COUNTIFS('Istoric_Nativ'!$B$6:$B$405,E741,'Istoric_Nativ'!$C$6:$C$405,F741,'Istoric_Nativ'!$E$6:$E$405,G741,'Istoric_Nativ'!$O$6:$O$405,"INVALID",'Istoric_Nativ'!$D$6:$D$405,"*")+COUNTIFS('Istoric_Nativ'!$B$6:$B$405,E741,'Istoric_Nativ'!$C$6:$C$405,F741,'Istoric_Nativ'!$E$6:$E$405,G741,'Istoric_Nativ'!$D$6:$D$405,"&lt;"&amp;J741,'Istoric_Nativ'!$O$6:$O$405,"SOURCE CONFLICT")+COUNTIFS('Istoric_Nativ'!$B$6:$B$405,E741,'Istoric_Nativ'!$C$6:$C$405,F741,'Istoric_Nativ'!$F$6:$F$405,G741,'Istoric_Nativ'!$D$6:$D$405,"&lt;"&amp;J741,'Istoric_Nativ'!$O$6:$O$405,"INVALID")+COUNTIFS('Istoric_Nativ'!$B$6:$B$405,E741,'Istoric_Nativ'!$C$6:$C$405,F741,'Istoric_Nativ'!$F$6:$F$405,G741,'Istoric_Nativ'!$O$6:$O$405,"INVALID",'Istoric_Nativ'!$D$6:$D$405,"*")+COUNTIFS('Istoric_Nativ'!$B$6:$B$405,E741,'Istoric_Nativ'!$C$6:$C$405,F741,'Istoric_Nativ'!$F$6:$F$405,G741,'Istoric_Nativ'!$D$6:$D$405,"&lt;"&amp;J741,'Istoric_Nativ'!$O$6:$O$405,"SOURCE CONFLICT"))</x:f>
        <x:v>0</x:v>
      </x:c>
      <x:c r="T741" s="2" t="str">
        <x:f>IF(B741="","",IF(R741&lt;&gt;"CLOSED",R741,IF(S741&gt;0,"NATIVE INPUT ISSUE",IF(M741=0,"NO HISTORY",IF(M741&lt;P741,"SMALL SAMPLE","DERIVED")))))</x:f>
      </x:c>
      <x:c r="U741" s="2" t="str">
        <x:f>IF(B741="","","NativeTable; "&amp;E741&amp;"; "&amp;F741&amp;"; "&amp;G741&amp;"; "&amp;H741&amp;"; before "&amp;TEXT(J741,"yyyy-mm-dd")&amp;IF(I741="RECENT","; from "&amp;TEXT(L741,"yyyy-mm-dd"),""))</x:f>
      </x:c>
    </x:row>
    <x:row r="742" ht="21" customHeight="1">
      <x:c r="A742" s="2" t="n">
        <x:v>62</x:v>
      </x:c>
      <x:c r="B742" s="2" t="str">
        <x:f>IF('Input_Meci'!A67="","",'Input_Meci'!A67)</x:f>
      </x:c>
      <x:c r="C742" s="2" t="str">
        <x:v>A</x:v>
      </x:c>
      <x:c r="D742" s="2" t="str">
        <x:v>CURRENT</x:v>
      </x:c>
      <x:c r="E742" s="2" t="str">
        <x:f>IF(B742="","",'Input_Meci'!B67)</x:f>
      </x:c>
      <x:c r="F742" s="2" t="str">
        <x:f>IF(B742="","",IF('Input_Meci'!C67="","",'Input_Meci'!C67))</x:f>
      </x:c>
      <x:c r="G742" s="2" t="str">
        <x:f>IF(B742="","",'Input_Meci'!E67)</x:f>
      </x:c>
      <x:c r="H742" s="2" t="str">
        <x:v>AWAY</x:v>
      </x:c>
      <x:c r="I742" s="2" t="str">
        <x:v>HA</x:v>
      </x:c>
      <x:c r="J742" s="9" t="n">
        <x:f>IF(AND(B742&lt;&gt;"",ISNUMBER('Input_Meci'!G67)),INT('Input_Meci'!G67),0)</x:f>
        <x:v>0</x:v>
      </x:c>
      <x:c r="K742" s="2" t="n">
        <x:f>IF(OR(B742="",F742=""),0,IF(H742="HOME",COUNTIFS('Istoric_Nativ'!$B$6:$B$405,E742,'Istoric_Nativ'!$C$6:$C$405,F742,'Istoric_Nativ'!$E$6:$E$405,G742,'Istoric_Nativ'!$D$6:$D$405,"&lt;"&amp;J742,'Istoric_Nativ'!$P$6:$P$405,1),IF(H742="AWAY",COUNTIFS('Istoric_Nativ'!$B$6:$B$405,E742,'Istoric_Nativ'!$C$6:$C$405,F742,'Istoric_Nativ'!$F$6:$F$405,G742,'Istoric_Nativ'!$D$6:$D$405,"&lt;"&amp;J742,'Istoric_Nativ'!$P$6:$P$405,1),COUNTIFS('Istoric_Nativ'!$B$6:$B$405,E742,'Istoric_Nativ'!$C$6:$C$405,F742,'Istoric_Nativ'!$E$6:$E$405,G742,'Istoric_Nativ'!$D$6:$D$405,"&lt;"&amp;J742,'Istoric_Nativ'!$P$6:$P$405,1)+COUNTIFS('Istoric_Nativ'!$B$6:$B$405,E742,'Istoric_Nativ'!$C$6:$C$405,F742,'Istoric_Nativ'!$F$6:$F$405,G742,'Istoric_Nativ'!$D$6:$D$405,"&lt;"&amp;J742,'Istoric_Nativ'!$P$6:$P$405,1))))</x:f>
        <x:v>0</x:v>
      </x:c>
      <x:c r="L742" s="17" t="n">
        <x:f>IF(AND(B742&lt;&gt;"",I742="RECENT",K742&gt;0),LARGE(_xlfn._xlws.FILTER('Istoric_Nativ'!$D$6:$D$405,('Istoric_Nativ'!$B$6:$B$405=E742)*('Istoric_Nativ'!$C$6:$C$405=F742)*('Istoric_Nativ'!$P$6:$P$405=1)*('Istoric_Nativ'!$D$6:$D$405&lt;J742)*((('Istoric_Nativ'!$E$6:$E$405=G742)+('Istoric_Nativ'!$F$6:$F$405=G742))&gt;0)),MIN('Config_v6'!$B$54,K742)),0)</x:f>
        <x:v>0</x:v>
      </x:c>
      <x:c r="M742" s="2" t="n">
        <x:f>IF(OR(B742="",F742=""),0,IF(H742="HOME",COUNTIFS('Istoric_Nativ'!$B$6:$B$405,E742,'Istoric_Nativ'!$C$6:$C$405,F742,'Istoric_Nativ'!$E$6:$E$405,G742,'Istoric_Nativ'!$D$6:$D$405,"&lt;"&amp;J742,'Istoric_Nativ'!$P$6:$P$405,1,'Istoric_Nativ'!$D$6:$D$405,"&gt;="&amp;L742),IF(H742="AWAY",COUNTIFS('Istoric_Nativ'!$B$6:$B$405,E742,'Istoric_Nativ'!$C$6:$C$405,F742,'Istoric_Nativ'!$F$6:$F$405,G742,'Istoric_Nativ'!$D$6:$D$405,"&lt;"&amp;J742,'Istoric_Nativ'!$P$6:$P$405,1,'Istoric_Nativ'!$D$6:$D$405,"&gt;="&amp;L742),COUNTIFS('Istoric_Nativ'!$B$6:$B$405,E742,'Istoric_Nativ'!$C$6:$C$405,F742,'Istoric_Nativ'!$E$6:$E$405,G742,'Istoric_Nativ'!$D$6:$D$405,"&lt;"&amp;J742,'Istoric_Nativ'!$P$6:$P$405,1,'Istoric_Nativ'!$D$6:$D$405,"&gt;="&amp;L742)+COUNTIFS('Istoric_Nativ'!$B$6:$B$405,E742,'Istoric_Nativ'!$C$6:$C$405,F742,'Istoric_Nativ'!$F$6:$F$405,G742,'Istoric_Nativ'!$D$6:$D$405,"&lt;"&amp;J742,'Istoric_Nativ'!$P$6:$P$405,1,'Istoric_Nativ'!$D$6:$D$405,"&gt;="&amp;L742))))</x:f>
        <x:v>0</x:v>
      </x:c>
      <x:c r="N742" s="11" t="str">
        <x:f>IF(M742=0,"",IF(H742="HOME",SUMIFS('Istoric_Nativ'!$G$6:$G$405,'Istoric_Nativ'!$B$6:$B$405,E742,'Istoric_Nativ'!$C$6:$C$405,F742,'Istoric_Nativ'!$E$6:$E$405,G742,'Istoric_Nativ'!$D$6:$D$405,"&lt;"&amp;J742,'Istoric_Nativ'!$P$6:$P$405,1,'Istoric_Nativ'!$D$6:$D$405,"&gt;="&amp;L742),IF(H742="AWAY",SUMIFS('Istoric_Nativ'!$H$6:$H$405,'Istoric_Nativ'!$B$6:$B$405,E742,'Istoric_Nativ'!$C$6:$C$405,F742,'Istoric_Nativ'!$F$6:$F$405,G742,'Istoric_Nativ'!$D$6:$D$405,"&lt;"&amp;J742,'Istoric_Nativ'!$P$6:$P$405,1,'Istoric_Nativ'!$D$6:$D$405,"&gt;="&amp;L742),SUMIFS('Istoric_Nativ'!$G$6:$G$405,'Istoric_Nativ'!$B$6:$B$405,E742,'Istoric_Nativ'!$C$6:$C$405,F742,'Istoric_Nativ'!$E$6:$E$405,G742,'Istoric_Nativ'!$D$6:$D$405,"&lt;"&amp;J742,'Istoric_Nativ'!$P$6:$P$405,1,'Istoric_Nativ'!$D$6:$D$405,"&gt;="&amp;L742)+SUMIFS('Istoric_Nativ'!$H$6:$H$405,'Istoric_Nativ'!$B$6:$B$405,E742,'Istoric_Nativ'!$C$6:$C$405,F742,'Istoric_Nativ'!$F$6:$F$405,G742,'Istoric_Nativ'!$D$6:$D$405,"&lt;"&amp;J742,'Istoric_Nativ'!$P$6:$P$405,1,'Istoric_Nativ'!$D$6:$D$405,"&gt;="&amp;L742)))/M742)</x:f>
      </x:c>
      <x:c r="O742" s="11" t="str">
        <x:f>IF(M742=0,"",IF(H742="HOME",SUMIFS('Istoric_Nativ'!$H$6:$H$405,'Istoric_Nativ'!$B$6:$B$405,E742,'Istoric_Nativ'!$C$6:$C$405,F742,'Istoric_Nativ'!$E$6:$E$405,G742,'Istoric_Nativ'!$D$6:$D$405,"&lt;"&amp;J742,'Istoric_Nativ'!$P$6:$P$405,1,'Istoric_Nativ'!$D$6:$D$405,"&gt;="&amp;L742),IF(H742="AWAY",SUMIFS('Istoric_Nativ'!$G$6:$G$405,'Istoric_Nativ'!$B$6:$B$405,E742,'Istoric_Nativ'!$C$6:$C$405,F742,'Istoric_Nativ'!$F$6:$F$405,G742,'Istoric_Nativ'!$D$6:$D$405,"&lt;"&amp;J742,'Istoric_Nativ'!$P$6:$P$405,1,'Istoric_Nativ'!$D$6:$D$405,"&gt;="&amp;L742),SUMIFS('Istoric_Nativ'!$H$6:$H$405,'Istoric_Nativ'!$B$6:$B$405,E742,'Istoric_Nativ'!$C$6:$C$405,F742,'Istoric_Nativ'!$E$6:$E$405,G742,'Istoric_Nativ'!$D$6:$D$405,"&lt;"&amp;J742,'Istoric_Nativ'!$P$6:$P$405,1,'Istoric_Nativ'!$D$6:$D$405,"&gt;="&amp;L742)+SUMIFS('Istoric_Nativ'!$G$6:$G$405,'Istoric_Nativ'!$B$6:$B$405,E742,'Istoric_Nativ'!$C$6:$C$405,F742,'Istoric_Nativ'!$F$6:$F$405,G742,'Istoric_Nativ'!$D$6:$D$405,"&lt;"&amp;J742,'Istoric_Nativ'!$P$6:$P$405,1,'Istoric_Nativ'!$D$6:$D$405,"&gt;="&amp;L742)))/M742)</x:f>
      </x:c>
      <x:c r="P742" s="2" t="n">
        <x:f>'Config_v6'!$B$8</x:f>
        <x:v>5</x:v>
      </x:c>
      <x:c r="Q742" s="2" t="n">
        <x:f>IF(OR(B742="",F742=""),0,IFERROR(MATCH(E742&amp;"|"&amp;F742,SourceTable[Source_Key],0),0))</x:f>
        <x:v>0</x:v>
      </x:c>
      <x:c r="R742" s="2" t="str">
        <x:f>IF(B742="","",IF(F742="","UNUSED",IF(Q742=0,"NOT CHECKED",IF(COUNTIF(SourceTable[Source_Key],E742&amp;"|"&amp;F742)&lt;&gt;1,"SOURCE CONFLICT",IF(NOT(OR(INDEX(SourceTable[Status],MAX(1,Q742))="IMPORTED",INDEX(SourceTable[Status],MAX(1,Q742))="PARTIAL",INDEX(SourceTable[Status],MAX(1,Q742))="SOURCE CONFLICT")),"ACCESS BLOCKED",IF(OR(INDEX(SourceTable[Coverage],Q742)&lt;&gt;"FULL SEASON EXPORT",INDEX(SourceTable[URL],Q742)="",INDEX(SourceTable[SHA256],Q742)=""),"EVIDENCE INCOMPLETE",IF(AND('Input_Meci'!H67="LIVE",INDEX(SourceTable[Retrieved_UTC],Q742)&gt;'Input_Meci'!G67),"POST CUTOFF","CLOSED")))))))</x:f>
      </x:c>
      <x:c r="S742" s="2" t="n">
        <x:f>IF(OR(B742="",F742=""),0,COUNTIFS('Istoric_Nativ'!$B$6:$B$405,E742,'Istoric_Nativ'!$C$6:$C$405,F742,'Istoric_Nativ'!$E$6:$E$405,G742,'Istoric_Nativ'!$D$6:$D$405,"&lt;"&amp;J742,'Istoric_Nativ'!$O$6:$O$405,"INVALID")+COUNTIFS('Istoric_Nativ'!$B$6:$B$405,E742,'Istoric_Nativ'!$C$6:$C$405,F742,'Istoric_Nativ'!$E$6:$E$405,G742,'Istoric_Nativ'!$O$6:$O$405,"INVALID",'Istoric_Nativ'!$D$6:$D$405,"*")+COUNTIFS('Istoric_Nativ'!$B$6:$B$405,E742,'Istoric_Nativ'!$C$6:$C$405,F742,'Istoric_Nativ'!$E$6:$E$405,G742,'Istoric_Nativ'!$D$6:$D$405,"&lt;"&amp;J742,'Istoric_Nativ'!$O$6:$O$405,"SOURCE CONFLICT")+COUNTIFS('Istoric_Nativ'!$B$6:$B$405,E742,'Istoric_Nativ'!$C$6:$C$405,F742,'Istoric_Nativ'!$F$6:$F$405,G742,'Istoric_Nativ'!$D$6:$D$405,"&lt;"&amp;J742,'Istoric_Nativ'!$O$6:$O$405,"INVALID")+COUNTIFS('Istoric_Nativ'!$B$6:$B$405,E742,'Istoric_Nativ'!$C$6:$C$405,F742,'Istoric_Nativ'!$F$6:$F$405,G742,'Istoric_Nativ'!$O$6:$O$405,"INVALID",'Istoric_Nativ'!$D$6:$D$405,"*")+COUNTIFS('Istoric_Nativ'!$B$6:$B$405,E742,'Istoric_Nativ'!$C$6:$C$405,F742,'Istoric_Nativ'!$F$6:$F$405,G742,'Istoric_Nativ'!$D$6:$D$405,"&lt;"&amp;J742,'Istoric_Nativ'!$O$6:$O$405,"SOURCE CONFLICT"))</x:f>
        <x:v>0</x:v>
      </x:c>
      <x:c r="T742" s="2" t="str">
        <x:f>IF(B742="","",IF(R742&lt;&gt;"CLOSED",R742,IF(S742&gt;0,"NATIVE INPUT ISSUE",IF(M742=0,"NO HISTORY",IF(M742&lt;P742,"SMALL SAMPLE","DERIVED")))))</x:f>
      </x:c>
      <x:c r="U742" s="2" t="str">
        <x:f>IF(B742="","","NativeTable; "&amp;E742&amp;"; "&amp;F742&amp;"; "&amp;G742&amp;"; "&amp;H742&amp;"; before "&amp;TEXT(J742,"yyyy-mm-dd")&amp;IF(I742="RECENT","; from "&amp;TEXT(L742,"yyyy-mm-dd"),""))</x:f>
      </x:c>
    </x:row>
    <x:row r="743" ht="21" customHeight="1">
      <x:c r="A743" s="2" t="n">
        <x:v>62</x:v>
      </x:c>
      <x:c r="B743" s="2" t="str">
        <x:f>IF('Input_Meci'!A67="","",'Input_Meci'!A67)</x:f>
      </x:c>
      <x:c r="C743" s="2" t="str">
        <x:v>A</x:v>
      </x:c>
      <x:c r="D743" s="2" t="str">
        <x:v>CURRENT</x:v>
      </x:c>
      <x:c r="E743" s="2" t="str">
        <x:f>IF(B743="","",'Input_Meci'!B67)</x:f>
      </x:c>
      <x:c r="F743" s="2" t="str">
        <x:f>IF(B743="","",IF('Input_Meci'!C67="","",'Input_Meci'!C67))</x:f>
      </x:c>
      <x:c r="G743" s="2" t="str">
        <x:f>IF(B743="","",'Input_Meci'!E67)</x:f>
      </x:c>
      <x:c r="H743" s="2" t="str">
        <x:v>ANY</x:v>
      </x:c>
      <x:c r="I743" s="2" t="str">
        <x:v>RECENT</x:v>
      </x:c>
      <x:c r="J743" s="9" t="n">
        <x:f>IF(AND(B743&lt;&gt;"",ISNUMBER('Input_Meci'!G67)),INT('Input_Meci'!G67),0)</x:f>
        <x:v>0</x:v>
      </x:c>
      <x:c r="K743" s="2" t="n">
        <x:f>IF(OR(B743="",F743=""),0,IF(H743="HOME",COUNTIFS('Istoric_Nativ'!$B$6:$B$405,E743,'Istoric_Nativ'!$C$6:$C$405,F743,'Istoric_Nativ'!$E$6:$E$405,G743,'Istoric_Nativ'!$D$6:$D$405,"&lt;"&amp;J743,'Istoric_Nativ'!$P$6:$P$405,1),IF(H743="AWAY",COUNTIFS('Istoric_Nativ'!$B$6:$B$405,E743,'Istoric_Nativ'!$C$6:$C$405,F743,'Istoric_Nativ'!$F$6:$F$405,G743,'Istoric_Nativ'!$D$6:$D$405,"&lt;"&amp;J743,'Istoric_Nativ'!$P$6:$P$405,1),COUNTIFS('Istoric_Nativ'!$B$6:$B$405,E743,'Istoric_Nativ'!$C$6:$C$405,F743,'Istoric_Nativ'!$E$6:$E$405,G743,'Istoric_Nativ'!$D$6:$D$405,"&lt;"&amp;J743,'Istoric_Nativ'!$P$6:$P$405,1)+COUNTIFS('Istoric_Nativ'!$B$6:$B$405,E743,'Istoric_Nativ'!$C$6:$C$405,F743,'Istoric_Nativ'!$F$6:$F$405,G743,'Istoric_Nativ'!$D$6:$D$405,"&lt;"&amp;J743,'Istoric_Nativ'!$P$6:$P$405,1))))</x:f>
        <x:v>0</x:v>
      </x:c>
      <x:c r="L743" s="17" t="n">
        <x:f>IF(AND(B743&lt;&gt;"",I743="RECENT",K743&gt;0),LARGE(_xlfn._xlws.FILTER('Istoric_Nativ'!$D$6:$D$405,('Istoric_Nativ'!$B$6:$B$405=E743)*('Istoric_Nativ'!$C$6:$C$405=F743)*('Istoric_Nativ'!$P$6:$P$405=1)*('Istoric_Nativ'!$D$6:$D$405&lt;J743)*((('Istoric_Nativ'!$E$6:$E$405=G743)+('Istoric_Nativ'!$F$6:$F$405=G743))&gt;0)),MIN('Config_v6'!$B$54,K743)),0)</x:f>
        <x:v>0</x:v>
      </x:c>
      <x:c r="M743" s="2" t="n">
        <x:f>IF(OR(B743="",F743=""),0,IF(H743="HOME",COUNTIFS('Istoric_Nativ'!$B$6:$B$405,E743,'Istoric_Nativ'!$C$6:$C$405,F743,'Istoric_Nativ'!$E$6:$E$405,G743,'Istoric_Nativ'!$D$6:$D$405,"&lt;"&amp;J743,'Istoric_Nativ'!$P$6:$P$405,1,'Istoric_Nativ'!$D$6:$D$405,"&gt;="&amp;L743),IF(H743="AWAY",COUNTIFS('Istoric_Nativ'!$B$6:$B$405,E743,'Istoric_Nativ'!$C$6:$C$405,F743,'Istoric_Nativ'!$F$6:$F$405,G743,'Istoric_Nativ'!$D$6:$D$405,"&lt;"&amp;J743,'Istoric_Nativ'!$P$6:$P$405,1,'Istoric_Nativ'!$D$6:$D$405,"&gt;="&amp;L743),COUNTIFS('Istoric_Nativ'!$B$6:$B$405,E743,'Istoric_Nativ'!$C$6:$C$405,F743,'Istoric_Nativ'!$E$6:$E$405,G743,'Istoric_Nativ'!$D$6:$D$405,"&lt;"&amp;J743,'Istoric_Nativ'!$P$6:$P$405,1,'Istoric_Nativ'!$D$6:$D$405,"&gt;="&amp;L743)+COUNTIFS('Istoric_Nativ'!$B$6:$B$405,E743,'Istoric_Nativ'!$C$6:$C$405,F743,'Istoric_Nativ'!$F$6:$F$405,G743,'Istoric_Nativ'!$D$6:$D$405,"&lt;"&amp;J743,'Istoric_Nativ'!$P$6:$P$405,1,'Istoric_Nativ'!$D$6:$D$405,"&gt;="&amp;L743))))</x:f>
        <x:v>0</x:v>
      </x:c>
      <x:c r="N743" s="11" t="str">
        <x:f>IF(M743=0,"",IF(H743="HOME",SUMIFS('Istoric_Nativ'!$G$6:$G$405,'Istoric_Nativ'!$B$6:$B$405,E743,'Istoric_Nativ'!$C$6:$C$405,F743,'Istoric_Nativ'!$E$6:$E$405,G743,'Istoric_Nativ'!$D$6:$D$405,"&lt;"&amp;J743,'Istoric_Nativ'!$P$6:$P$405,1,'Istoric_Nativ'!$D$6:$D$405,"&gt;="&amp;L743),IF(H743="AWAY",SUMIFS('Istoric_Nativ'!$H$6:$H$405,'Istoric_Nativ'!$B$6:$B$405,E743,'Istoric_Nativ'!$C$6:$C$405,F743,'Istoric_Nativ'!$F$6:$F$405,G743,'Istoric_Nativ'!$D$6:$D$405,"&lt;"&amp;J743,'Istoric_Nativ'!$P$6:$P$405,1,'Istoric_Nativ'!$D$6:$D$405,"&gt;="&amp;L743),SUMIFS('Istoric_Nativ'!$G$6:$G$405,'Istoric_Nativ'!$B$6:$B$405,E743,'Istoric_Nativ'!$C$6:$C$405,F743,'Istoric_Nativ'!$E$6:$E$405,G743,'Istoric_Nativ'!$D$6:$D$405,"&lt;"&amp;J743,'Istoric_Nativ'!$P$6:$P$405,1,'Istoric_Nativ'!$D$6:$D$405,"&gt;="&amp;L743)+SUMIFS('Istoric_Nativ'!$H$6:$H$405,'Istoric_Nativ'!$B$6:$B$405,E743,'Istoric_Nativ'!$C$6:$C$405,F743,'Istoric_Nativ'!$F$6:$F$405,G743,'Istoric_Nativ'!$D$6:$D$405,"&lt;"&amp;J743,'Istoric_Nativ'!$P$6:$P$405,1,'Istoric_Nativ'!$D$6:$D$405,"&gt;="&amp;L743)))/M743)</x:f>
      </x:c>
      <x:c r="O743" s="11" t="str">
        <x:f>IF(M743=0,"",IF(H743="HOME",SUMIFS('Istoric_Nativ'!$H$6:$H$405,'Istoric_Nativ'!$B$6:$B$405,E743,'Istoric_Nativ'!$C$6:$C$405,F743,'Istoric_Nativ'!$E$6:$E$405,G743,'Istoric_Nativ'!$D$6:$D$405,"&lt;"&amp;J743,'Istoric_Nativ'!$P$6:$P$405,1,'Istoric_Nativ'!$D$6:$D$405,"&gt;="&amp;L743),IF(H743="AWAY",SUMIFS('Istoric_Nativ'!$G$6:$G$405,'Istoric_Nativ'!$B$6:$B$405,E743,'Istoric_Nativ'!$C$6:$C$405,F743,'Istoric_Nativ'!$F$6:$F$405,G743,'Istoric_Nativ'!$D$6:$D$405,"&lt;"&amp;J743,'Istoric_Nativ'!$P$6:$P$405,1,'Istoric_Nativ'!$D$6:$D$405,"&gt;="&amp;L743),SUMIFS('Istoric_Nativ'!$H$6:$H$405,'Istoric_Nativ'!$B$6:$B$405,E743,'Istoric_Nativ'!$C$6:$C$405,F743,'Istoric_Nativ'!$E$6:$E$405,G743,'Istoric_Nativ'!$D$6:$D$405,"&lt;"&amp;J743,'Istoric_Nativ'!$P$6:$P$405,1,'Istoric_Nativ'!$D$6:$D$405,"&gt;="&amp;L743)+SUMIFS('Istoric_Nativ'!$G$6:$G$405,'Istoric_Nativ'!$B$6:$B$405,E743,'Istoric_Nativ'!$C$6:$C$405,F743,'Istoric_Nativ'!$F$6:$F$405,G743,'Istoric_Nativ'!$D$6:$D$405,"&lt;"&amp;J743,'Istoric_Nativ'!$P$6:$P$405,1,'Istoric_Nativ'!$D$6:$D$405,"&gt;="&amp;L743)))/M743)</x:f>
      </x:c>
      <x:c r="P743" s="2" t="n">
        <x:f>'Config_v6'!$B$9</x:f>
        <x:v>3</x:v>
      </x:c>
      <x:c r="Q743" s="2" t="n">
        <x:f>IF(OR(B743="",F743=""),0,IFERROR(MATCH(E743&amp;"|"&amp;F743,SourceTable[Source_Key],0),0))</x:f>
        <x:v>0</x:v>
      </x:c>
      <x:c r="R743" s="2" t="str">
        <x:f>IF(B743="","",IF(F743="","UNUSED",IF(Q743=0,"NOT CHECKED",IF(COUNTIF(SourceTable[Source_Key],E743&amp;"|"&amp;F743)&lt;&gt;1,"SOURCE CONFLICT",IF(NOT(OR(INDEX(SourceTable[Status],MAX(1,Q743))="IMPORTED",INDEX(SourceTable[Status],MAX(1,Q743))="PARTIAL",INDEX(SourceTable[Status],MAX(1,Q743))="SOURCE CONFLICT")),"ACCESS BLOCKED",IF(OR(INDEX(SourceTable[Coverage],Q743)&lt;&gt;"FULL SEASON EXPORT",INDEX(SourceTable[URL],Q743)="",INDEX(SourceTable[SHA256],Q743)=""),"EVIDENCE INCOMPLETE",IF(AND('Input_Meci'!H67="LIVE",INDEX(SourceTable[Retrieved_UTC],Q743)&gt;'Input_Meci'!G67),"POST CUTOFF","CLOSED")))))))</x:f>
      </x:c>
      <x:c r="S743" s="2" t="n">
        <x:f>IF(OR(B743="",F743=""),0,COUNTIFS('Istoric_Nativ'!$B$6:$B$405,E743,'Istoric_Nativ'!$C$6:$C$405,F743,'Istoric_Nativ'!$E$6:$E$405,G743,'Istoric_Nativ'!$D$6:$D$405,"&lt;"&amp;J743,'Istoric_Nativ'!$O$6:$O$405,"INVALID")+COUNTIFS('Istoric_Nativ'!$B$6:$B$405,E743,'Istoric_Nativ'!$C$6:$C$405,F743,'Istoric_Nativ'!$E$6:$E$405,G743,'Istoric_Nativ'!$O$6:$O$405,"INVALID",'Istoric_Nativ'!$D$6:$D$405,"*")+COUNTIFS('Istoric_Nativ'!$B$6:$B$405,E743,'Istoric_Nativ'!$C$6:$C$405,F743,'Istoric_Nativ'!$E$6:$E$405,G743,'Istoric_Nativ'!$D$6:$D$405,"&lt;"&amp;J743,'Istoric_Nativ'!$O$6:$O$405,"SOURCE CONFLICT")+COUNTIFS('Istoric_Nativ'!$B$6:$B$405,E743,'Istoric_Nativ'!$C$6:$C$405,F743,'Istoric_Nativ'!$F$6:$F$405,G743,'Istoric_Nativ'!$D$6:$D$405,"&lt;"&amp;J743,'Istoric_Nativ'!$O$6:$O$405,"INVALID")+COUNTIFS('Istoric_Nativ'!$B$6:$B$405,E743,'Istoric_Nativ'!$C$6:$C$405,F743,'Istoric_Nativ'!$F$6:$F$405,G743,'Istoric_Nativ'!$O$6:$O$405,"INVALID",'Istoric_Nativ'!$D$6:$D$405,"*")+COUNTIFS('Istoric_Nativ'!$B$6:$B$405,E743,'Istoric_Nativ'!$C$6:$C$405,F743,'Istoric_Nativ'!$F$6:$F$405,G743,'Istoric_Nativ'!$D$6:$D$405,"&lt;"&amp;J743,'Istoric_Nativ'!$O$6:$O$405,"SOURCE CONFLICT"))</x:f>
        <x:v>0</x:v>
      </x:c>
      <x:c r="T743" s="2" t="str">
        <x:f>IF(B743="","",IF(R743&lt;&gt;"CLOSED",R743,IF(S743&gt;0,"NATIVE INPUT ISSUE",IF(M743=0,"NO HISTORY",IF(M743&lt;P743,"SMALL SAMPLE","DERIVED")))))</x:f>
      </x:c>
      <x:c r="U743" s="2" t="str">
        <x:f>IF(B743="","","NativeTable; "&amp;E743&amp;"; "&amp;F743&amp;"; "&amp;G743&amp;"; "&amp;H743&amp;"; before "&amp;TEXT(J743,"yyyy-mm-dd")&amp;IF(I743="RECENT","; from "&amp;TEXT(L743,"yyyy-mm-dd"),""))</x:f>
      </x:c>
    </x:row>
    <x:row r="744" ht="21" customHeight="1">
      <x:c r="A744" s="2" t="n">
        <x:v>62</x:v>
      </x:c>
      <x:c r="B744" s="2" t="str">
        <x:f>IF('Input_Meci'!A67="","",'Input_Meci'!A67)</x:f>
      </x:c>
      <x:c r="C744" s="2" t="str">
        <x:v>H</x:v>
      </x:c>
      <x:c r="D744" s="2" t="str">
        <x:v>PRIOR</x:v>
      </x:c>
      <x:c r="E744" s="2" t="str">
        <x:f>IF(B744="","",'Input_Meci'!B67)</x:f>
      </x:c>
      <x:c r="F744" s="2" t="str">
        <x:f>IF(B744="","",IF('Input_Meci'!K67="","",'Input_Meci'!K67))</x:f>
      </x:c>
      <x:c r="G744" s="2" t="str">
        <x:f>IF(B744="","",'Input_Meci'!D67)</x:f>
      </x:c>
      <x:c r="H744" s="2" t="str">
        <x:v>ANY</x:v>
      </x:c>
      <x:c r="I744" s="2" t="str">
        <x:v>SEASON</x:v>
      </x:c>
      <x:c r="J744" s="9" t="n">
        <x:f>IF(AND(B744&lt;&gt;"",ISNUMBER('Input_Meci'!G67)),INT('Input_Meci'!G67),0)</x:f>
        <x:v>0</x:v>
      </x:c>
      <x:c r="K744" s="2" t="n">
        <x:f>IF(OR(B744="",F744=""),0,IF(H744="HOME",COUNTIFS('Istoric_Nativ'!$B$6:$B$405,E744,'Istoric_Nativ'!$C$6:$C$405,F744,'Istoric_Nativ'!$E$6:$E$405,G744,'Istoric_Nativ'!$D$6:$D$405,"&lt;"&amp;J744,'Istoric_Nativ'!$P$6:$P$405,1),IF(H744="AWAY",COUNTIFS('Istoric_Nativ'!$B$6:$B$405,E744,'Istoric_Nativ'!$C$6:$C$405,F744,'Istoric_Nativ'!$F$6:$F$405,G744,'Istoric_Nativ'!$D$6:$D$405,"&lt;"&amp;J744,'Istoric_Nativ'!$P$6:$P$405,1),COUNTIFS('Istoric_Nativ'!$B$6:$B$405,E744,'Istoric_Nativ'!$C$6:$C$405,F744,'Istoric_Nativ'!$E$6:$E$405,G744,'Istoric_Nativ'!$D$6:$D$405,"&lt;"&amp;J744,'Istoric_Nativ'!$P$6:$P$405,1)+COUNTIFS('Istoric_Nativ'!$B$6:$B$405,E744,'Istoric_Nativ'!$C$6:$C$405,F744,'Istoric_Nativ'!$F$6:$F$405,G744,'Istoric_Nativ'!$D$6:$D$405,"&lt;"&amp;J744,'Istoric_Nativ'!$P$6:$P$405,1))))</x:f>
        <x:v>0</x:v>
      </x:c>
      <x:c r="L744" s="17" t="n">
        <x:f>IF(AND(B744&lt;&gt;"",I744="RECENT",K744&gt;0),LARGE(_xlfn._xlws.FILTER('Istoric_Nativ'!$D$6:$D$405,('Istoric_Nativ'!$B$6:$B$405=E744)*('Istoric_Nativ'!$C$6:$C$405=F744)*('Istoric_Nativ'!$P$6:$P$405=1)*('Istoric_Nativ'!$D$6:$D$405&lt;J744)*((('Istoric_Nativ'!$E$6:$E$405=G744)+('Istoric_Nativ'!$F$6:$F$405=G744))&gt;0)),MIN('Config_v6'!$B$54,K744)),0)</x:f>
        <x:v>0</x:v>
      </x:c>
      <x:c r="M744" s="2" t="n">
        <x:f>IF(OR(B744="",F744=""),0,IF(H744="HOME",COUNTIFS('Istoric_Nativ'!$B$6:$B$405,E744,'Istoric_Nativ'!$C$6:$C$405,F744,'Istoric_Nativ'!$E$6:$E$405,G744,'Istoric_Nativ'!$D$6:$D$405,"&lt;"&amp;J744,'Istoric_Nativ'!$P$6:$P$405,1,'Istoric_Nativ'!$D$6:$D$405,"&gt;="&amp;L744),IF(H744="AWAY",COUNTIFS('Istoric_Nativ'!$B$6:$B$405,E744,'Istoric_Nativ'!$C$6:$C$405,F744,'Istoric_Nativ'!$F$6:$F$405,G744,'Istoric_Nativ'!$D$6:$D$405,"&lt;"&amp;J744,'Istoric_Nativ'!$P$6:$P$405,1,'Istoric_Nativ'!$D$6:$D$405,"&gt;="&amp;L744),COUNTIFS('Istoric_Nativ'!$B$6:$B$405,E744,'Istoric_Nativ'!$C$6:$C$405,F744,'Istoric_Nativ'!$E$6:$E$405,G744,'Istoric_Nativ'!$D$6:$D$405,"&lt;"&amp;J744,'Istoric_Nativ'!$P$6:$P$405,1,'Istoric_Nativ'!$D$6:$D$405,"&gt;="&amp;L744)+COUNTIFS('Istoric_Nativ'!$B$6:$B$405,E744,'Istoric_Nativ'!$C$6:$C$405,F744,'Istoric_Nativ'!$F$6:$F$405,G744,'Istoric_Nativ'!$D$6:$D$405,"&lt;"&amp;J744,'Istoric_Nativ'!$P$6:$P$405,1,'Istoric_Nativ'!$D$6:$D$405,"&gt;="&amp;L744))))</x:f>
        <x:v>0</x:v>
      </x:c>
      <x:c r="N744" s="11" t="str">
        <x:f>IF(M744=0,"",IF(H744="HOME",SUMIFS('Istoric_Nativ'!$G$6:$G$405,'Istoric_Nativ'!$B$6:$B$405,E744,'Istoric_Nativ'!$C$6:$C$405,F744,'Istoric_Nativ'!$E$6:$E$405,G744,'Istoric_Nativ'!$D$6:$D$405,"&lt;"&amp;J744,'Istoric_Nativ'!$P$6:$P$405,1,'Istoric_Nativ'!$D$6:$D$405,"&gt;="&amp;L744),IF(H744="AWAY",SUMIFS('Istoric_Nativ'!$H$6:$H$405,'Istoric_Nativ'!$B$6:$B$405,E744,'Istoric_Nativ'!$C$6:$C$405,F744,'Istoric_Nativ'!$F$6:$F$405,G744,'Istoric_Nativ'!$D$6:$D$405,"&lt;"&amp;J744,'Istoric_Nativ'!$P$6:$P$405,1,'Istoric_Nativ'!$D$6:$D$405,"&gt;="&amp;L744),SUMIFS('Istoric_Nativ'!$G$6:$G$405,'Istoric_Nativ'!$B$6:$B$405,E744,'Istoric_Nativ'!$C$6:$C$405,F744,'Istoric_Nativ'!$E$6:$E$405,G744,'Istoric_Nativ'!$D$6:$D$405,"&lt;"&amp;J744,'Istoric_Nativ'!$P$6:$P$405,1,'Istoric_Nativ'!$D$6:$D$405,"&gt;="&amp;L744)+SUMIFS('Istoric_Nativ'!$H$6:$H$405,'Istoric_Nativ'!$B$6:$B$405,E744,'Istoric_Nativ'!$C$6:$C$405,F744,'Istoric_Nativ'!$F$6:$F$405,G744,'Istoric_Nativ'!$D$6:$D$405,"&lt;"&amp;J744,'Istoric_Nativ'!$P$6:$P$405,1,'Istoric_Nativ'!$D$6:$D$405,"&gt;="&amp;L744)))/M744)</x:f>
      </x:c>
      <x:c r="O744" s="11" t="str">
        <x:f>IF(M744=0,"",IF(H744="HOME",SUMIFS('Istoric_Nativ'!$H$6:$H$405,'Istoric_Nativ'!$B$6:$B$405,E744,'Istoric_Nativ'!$C$6:$C$405,F744,'Istoric_Nativ'!$E$6:$E$405,G744,'Istoric_Nativ'!$D$6:$D$405,"&lt;"&amp;J744,'Istoric_Nativ'!$P$6:$P$405,1,'Istoric_Nativ'!$D$6:$D$405,"&gt;="&amp;L744),IF(H744="AWAY",SUMIFS('Istoric_Nativ'!$G$6:$G$405,'Istoric_Nativ'!$B$6:$B$405,E744,'Istoric_Nativ'!$C$6:$C$405,F744,'Istoric_Nativ'!$F$6:$F$405,G744,'Istoric_Nativ'!$D$6:$D$405,"&lt;"&amp;J744,'Istoric_Nativ'!$P$6:$P$405,1,'Istoric_Nativ'!$D$6:$D$405,"&gt;="&amp;L744),SUMIFS('Istoric_Nativ'!$H$6:$H$405,'Istoric_Nativ'!$B$6:$B$405,E744,'Istoric_Nativ'!$C$6:$C$405,F744,'Istoric_Nativ'!$E$6:$E$405,G744,'Istoric_Nativ'!$D$6:$D$405,"&lt;"&amp;J744,'Istoric_Nativ'!$P$6:$P$405,1,'Istoric_Nativ'!$D$6:$D$405,"&gt;="&amp;L744)+SUMIFS('Istoric_Nativ'!$G$6:$G$405,'Istoric_Nativ'!$B$6:$B$405,E744,'Istoric_Nativ'!$C$6:$C$405,F744,'Istoric_Nativ'!$F$6:$F$405,G744,'Istoric_Nativ'!$D$6:$D$405,"&lt;"&amp;J744,'Istoric_Nativ'!$P$6:$P$405,1,'Istoric_Nativ'!$D$6:$D$405,"&gt;="&amp;L744)))/M744)</x:f>
      </x:c>
      <x:c r="P744" s="2" t="n">
        <x:f>'Config_v6'!$B$7</x:f>
        <x:v>10</x:v>
      </x:c>
      <x:c r="Q744" s="2" t="n">
        <x:f>IF(OR(B744="",F744=""),0,IFERROR(MATCH(E744&amp;"|"&amp;F744,SourceTable[Source_Key],0),0))</x:f>
        <x:v>0</x:v>
      </x:c>
      <x:c r="R744" s="2" t="str">
        <x:f>IF(B744="","",IF(F744="","UNUSED",IF(Q744=0,"NOT CHECKED",IF(COUNTIF(SourceTable[Source_Key],E744&amp;"|"&amp;F744)&lt;&gt;1,"SOURCE CONFLICT",IF(NOT(OR(INDEX(SourceTable[Status],MAX(1,Q744))="IMPORTED",INDEX(SourceTable[Status],MAX(1,Q744))="PARTIAL",INDEX(SourceTable[Status],MAX(1,Q744))="SOURCE CONFLICT")),"ACCESS BLOCKED",IF(OR(INDEX(SourceTable[Coverage],Q744)&lt;&gt;"FULL SEASON EXPORT",INDEX(SourceTable[URL],Q744)="",INDEX(SourceTable[SHA256],Q744)=""),"EVIDENCE INCOMPLETE",IF(AND('Input_Meci'!H67="LIVE",INDEX(SourceTable[Retrieved_UTC],Q744)&gt;'Input_Meci'!G67),"POST CUTOFF","CLOSED")))))))</x:f>
      </x:c>
      <x:c r="S744" s="2" t="n">
        <x:f>IF(OR(B744="",F744=""),0,COUNTIFS('Istoric_Nativ'!$B$6:$B$405,E744,'Istoric_Nativ'!$C$6:$C$405,F744,'Istoric_Nativ'!$E$6:$E$405,G744,'Istoric_Nativ'!$D$6:$D$405,"&lt;"&amp;J744,'Istoric_Nativ'!$O$6:$O$405,"INVALID")+COUNTIFS('Istoric_Nativ'!$B$6:$B$405,E744,'Istoric_Nativ'!$C$6:$C$405,F744,'Istoric_Nativ'!$E$6:$E$405,G744,'Istoric_Nativ'!$O$6:$O$405,"INVALID",'Istoric_Nativ'!$D$6:$D$405,"*")+COUNTIFS('Istoric_Nativ'!$B$6:$B$405,E744,'Istoric_Nativ'!$C$6:$C$405,F744,'Istoric_Nativ'!$E$6:$E$405,G744,'Istoric_Nativ'!$D$6:$D$405,"&lt;"&amp;J744,'Istoric_Nativ'!$O$6:$O$405,"SOURCE CONFLICT")+COUNTIFS('Istoric_Nativ'!$B$6:$B$405,E744,'Istoric_Nativ'!$C$6:$C$405,F744,'Istoric_Nativ'!$F$6:$F$405,G744,'Istoric_Nativ'!$D$6:$D$405,"&lt;"&amp;J744,'Istoric_Nativ'!$O$6:$O$405,"INVALID")+COUNTIFS('Istoric_Nativ'!$B$6:$B$405,E744,'Istoric_Nativ'!$C$6:$C$405,F744,'Istoric_Nativ'!$F$6:$F$405,G744,'Istoric_Nativ'!$O$6:$O$405,"INVALID",'Istoric_Nativ'!$D$6:$D$405,"*")+COUNTIFS('Istoric_Nativ'!$B$6:$B$405,E744,'Istoric_Nativ'!$C$6:$C$405,F744,'Istoric_Nativ'!$F$6:$F$405,G744,'Istoric_Nativ'!$D$6:$D$405,"&lt;"&amp;J744,'Istoric_Nativ'!$O$6:$O$405,"SOURCE CONFLICT"))</x:f>
        <x:v>0</x:v>
      </x:c>
      <x:c r="T744" s="2" t="str">
        <x:f>IF(B744="","",IF(R744&lt;&gt;"CLOSED",R744,IF(S744&gt;0,"NATIVE INPUT ISSUE",IF(M744=0,"NO HISTORY",IF(M744&lt;P744,"SMALL SAMPLE","DERIVED")))))</x:f>
      </x:c>
      <x:c r="U744" s="2" t="str">
        <x:f>IF(B744="","","NativeTable; "&amp;E744&amp;"; "&amp;F744&amp;"; "&amp;G744&amp;"; "&amp;H744&amp;"; before "&amp;TEXT(J744,"yyyy-mm-dd")&amp;IF(I744="RECENT","; from "&amp;TEXT(L744,"yyyy-mm-dd"),""))</x:f>
      </x:c>
    </x:row>
    <x:row r="745" ht="21" customHeight="1">
      <x:c r="A745" s="2" t="n">
        <x:v>62</x:v>
      </x:c>
      <x:c r="B745" s="2" t="str">
        <x:f>IF('Input_Meci'!A67="","",'Input_Meci'!A67)</x:f>
      </x:c>
      <x:c r="C745" s="2" t="str">
        <x:v>H</x:v>
      </x:c>
      <x:c r="D745" s="2" t="str">
        <x:v>PRIOR</x:v>
      </x:c>
      <x:c r="E745" s="2" t="str">
        <x:f>IF(B745="","",'Input_Meci'!B67)</x:f>
      </x:c>
      <x:c r="F745" s="2" t="str">
        <x:f>IF(B745="","",IF('Input_Meci'!K67="","",'Input_Meci'!K67))</x:f>
      </x:c>
      <x:c r="G745" s="2" t="str">
        <x:f>IF(B745="","",'Input_Meci'!D67)</x:f>
      </x:c>
      <x:c r="H745" s="2" t="str">
        <x:v>HOME</x:v>
      </x:c>
      <x:c r="I745" s="2" t="str">
        <x:v>HA</x:v>
      </x:c>
      <x:c r="J745" s="9" t="n">
        <x:f>IF(AND(B745&lt;&gt;"",ISNUMBER('Input_Meci'!G67)),INT('Input_Meci'!G67),0)</x:f>
        <x:v>0</x:v>
      </x:c>
      <x:c r="K745" s="2" t="n">
        <x:f>IF(OR(B745="",F745=""),0,IF(H745="HOME",COUNTIFS('Istoric_Nativ'!$B$6:$B$405,E745,'Istoric_Nativ'!$C$6:$C$405,F745,'Istoric_Nativ'!$E$6:$E$405,G745,'Istoric_Nativ'!$D$6:$D$405,"&lt;"&amp;J745,'Istoric_Nativ'!$P$6:$P$405,1),IF(H745="AWAY",COUNTIFS('Istoric_Nativ'!$B$6:$B$405,E745,'Istoric_Nativ'!$C$6:$C$405,F745,'Istoric_Nativ'!$F$6:$F$405,G745,'Istoric_Nativ'!$D$6:$D$405,"&lt;"&amp;J745,'Istoric_Nativ'!$P$6:$P$405,1),COUNTIFS('Istoric_Nativ'!$B$6:$B$405,E745,'Istoric_Nativ'!$C$6:$C$405,F745,'Istoric_Nativ'!$E$6:$E$405,G745,'Istoric_Nativ'!$D$6:$D$405,"&lt;"&amp;J745,'Istoric_Nativ'!$P$6:$P$405,1)+COUNTIFS('Istoric_Nativ'!$B$6:$B$405,E745,'Istoric_Nativ'!$C$6:$C$405,F745,'Istoric_Nativ'!$F$6:$F$405,G745,'Istoric_Nativ'!$D$6:$D$405,"&lt;"&amp;J745,'Istoric_Nativ'!$P$6:$P$405,1))))</x:f>
        <x:v>0</x:v>
      </x:c>
      <x:c r="L745" s="17" t="n">
        <x:f>IF(AND(B745&lt;&gt;"",I745="RECENT",K745&gt;0),LARGE(_xlfn._xlws.FILTER('Istoric_Nativ'!$D$6:$D$405,('Istoric_Nativ'!$B$6:$B$405=E745)*('Istoric_Nativ'!$C$6:$C$405=F745)*('Istoric_Nativ'!$P$6:$P$405=1)*('Istoric_Nativ'!$D$6:$D$405&lt;J745)*((('Istoric_Nativ'!$E$6:$E$405=G745)+('Istoric_Nativ'!$F$6:$F$405=G745))&gt;0)),MIN('Config_v6'!$B$54,K745)),0)</x:f>
        <x:v>0</x:v>
      </x:c>
      <x:c r="M745" s="2" t="n">
        <x:f>IF(OR(B745="",F745=""),0,IF(H745="HOME",COUNTIFS('Istoric_Nativ'!$B$6:$B$405,E745,'Istoric_Nativ'!$C$6:$C$405,F745,'Istoric_Nativ'!$E$6:$E$405,G745,'Istoric_Nativ'!$D$6:$D$405,"&lt;"&amp;J745,'Istoric_Nativ'!$P$6:$P$405,1,'Istoric_Nativ'!$D$6:$D$405,"&gt;="&amp;L745),IF(H745="AWAY",COUNTIFS('Istoric_Nativ'!$B$6:$B$405,E745,'Istoric_Nativ'!$C$6:$C$405,F745,'Istoric_Nativ'!$F$6:$F$405,G745,'Istoric_Nativ'!$D$6:$D$405,"&lt;"&amp;J745,'Istoric_Nativ'!$P$6:$P$405,1,'Istoric_Nativ'!$D$6:$D$405,"&gt;="&amp;L745),COUNTIFS('Istoric_Nativ'!$B$6:$B$405,E745,'Istoric_Nativ'!$C$6:$C$405,F745,'Istoric_Nativ'!$E$6:$E$405,G745,'Istoric_Nativ'!$D$6:$D$405,"&lt;"&amp;J745,'Istoric_Nativ'!$P$6:$P$405,1,'Istoric_Nativ'!$D$6:$D$405,"&gt;="&amp;L745)+COUNTIFS('Istoric_Nativ'!$B$6:$B$405,E745,'Istoric_Nativ'!$C$6:$C$405,F745,'Istoric_Nativ'!$F$6:$F$405,G745,'Istoric_Nativ'!$D$6:$D$405,"&lt;"&amp;J745,'Istoric_Nativ'!$P$6:$P$405,1,'Istoric_Nativ'!$D$6:$D$405,"&gt;="&amp;L745))))</x:f>
        <x:v>0</x:v>
      </x:c>
      <x:c r="N745" s="11" t="str">
        <x:f>IF(M745=0,"",IF(H745="HOME",SUMIFS('Istoric_Nativ'!$G$6:$G$405,'Istoric_Nativ'!$B$6:$B$405,E745,'Istoric_Nativ'!$C$6:$C$405,F745,'Istoric_Nativ'!$E$6:$E$405,G745,'Istoric_Nativ'!$D$6:$D$405,"&lt;"&amp;J745,'Istoric_Nativ'!$P$6:$P$405,1,'Istoric_Nativ'!$D$6:$D$405,"&gt;="&amp;L745),IF(H745="AWAY",SUMIFS('Istoric_Nativ'!$H$6:$H$405,'Istoric_Nativ'!$B$6:$B$405,E745,'Istoric_Nativ'!$C$6:$C$405,F745,'Istoric_Nativ'!$F$6:$F$405,G745,'Istoric_Nativ'!$D$6:$D$405,"&lt;"&amp;J745,'Istoric_Nativ'!$P$6:$P$405,1,'Istoric_Nativ'!$D$6:$D$405,"&gt;="&amp;L745),SUMIFS('Istoric_Nativ'!$G$6:$G$405,'Istoric_Nativ'!$B$6:$B$405,E745,'Istoric_Nativ'!$C$6:$C$405,F745,'Istoric_Nativ'!$E$6:$E$405,G745,'Istoric_Nativ'!$D$6:$D$405,"&lt;"&amp;J745,'Istoric_Nativ'!$P$6:$P$405,1,'Istoric_Nativ'!$D$6:$D$405,"&gt;="&amp;L745)+SUMIFS('Istoric_Nativ'!$H$6:$H$405,'Istoric_Nativ'!$B$6:$B$405,E745,'Istoric_Nativ'!$C$6:$C$405,F745,'Istoric_Nativ'!$F$6:$F$405,G745,'Istoric_Nativ'!$D$6:$D$405,"&lt;"&amp;J745,'Istoric_Nativ'!$P$6:$P$405,1,'Istoric_Nativ'!$D$6:$D$405,"&gt;="&amp;L745)))/M745)</x:f>
      </x:c>
      <x:c r="O745" s="11" t="str">
        <x:f>IF(M745=0,"",IF(H745="HOME",SUMIFS('Istoric_Nativ'!$H$6:$H$405,'Istoric_Nativ'!$B$6:$B$405,E745,'Istoric_Nativ'!$C$6:$C$405,F745,'Istoric_Nativ'!$E$6:$E$405,G745,'Istoric_Nativ'!$D$6:$D$405,"&lt;"&amp;J745,'Istoric_Nativ'!$P$6:$P$405,1,'Istoric_Nativ'!$D$6:$D$405,"&gt;="&amp;L745),IF(H745="AWAY",SUMIFS('Istoric_Nativ'!$G$6:$G$405,'Istoric_Nativ'!$B$6:$B$405,E745,'Istoric_Nativ'!$C$6:$C$405,F745,'Istoric_Nativ'!$F$6:$F$405,G745,'Istoric_Nativ'!$D$6:$D$405,"&lt;"&amp;J745,'Istoric_Nativ'!$P$6:$P$405,1,'Istoric_Nativ'!$D$6:$D$405,"&gt;="&amp;L745),SUMIFS('Istoric_Nativ'!$H$6:$H$405,'Istoric_Nativ'!$B$6:$B$405,E745,'Istoric_Nativ'!$C$6:$C$405,F745,'Istoric_Nativ'!$E$6:$E$405,G745,'Istoric_Nativ'!$D$6:$D$405,"&lt;"&amp;J745,'Istoric_Nativ'!$P$6:$P$405,1,'Istoric_Nativ'!$D$6:$D$405,"&gt;="&amp;L745)+SUMIFS('Istoric_Nativ'!$G$6:$G$405,'Istoric_Nativ'!$B$6:$B$405,E745,'Istoric_Nativ'!$C$6:$C$405,F745,'Istoric_Nativ'!$F$6:$F$405,G745,'Istoric_Nativ'!$D$6:$D$405,"&lt;"&amp;J745,'Istoric_Nativ'!$P$6:$P$405,1,'Istoric_Nativ'!$D$6:$D$405,"&gt;="&amp;L745)))/M745)</x:f>
      </x:c>
      <x:c r="P745" s="2" t="n">
        <x:f>'Config_v6'!$B$8</x:f>
        <x:v>5</x:v>
      </x:c>
      <x:c r="Q745" s="2" t="n">
        <x:f>IF(OR(B745="",F745=""),0,IFERROR(MATCH(E745&amp;"|"&amp;F745,SourceTable[Source_Key],0),0))</x:f>
        <x:v>0</x:v>
      </x:c>
      <x:c r="R745" s="2" t="str">
        <x:f>IF(B745="","",IF(F745="","UNUSED",IF(Q745=0,"NOT CHECKED",IF(COUNTIF(SourceTable[Source_Key],E745&amp;"|"&amp;F745)&lt;&gt;1,"SOURCE CONFLICT",IF(NOT(OR(INDEX(SourceTable[Status],MAX(1,Q745))="IMPORTED",INDEX(SourceTable[Status],MAX(1,Q745))="PARTIAL",INDEX(SourceTable[Status],MAX(1,Q745))="SOURCE CONFLICT")),"ACCESS BLOCKED",IF(OR(INDEX(SourceTable[Coverage],Q745)&lt;&gt;"FULL SEASON EXPORT",INDEX(SourceTable[URL],Q745)="",INDEX(SourceTable[SHA256],Q745)=""),"EVIDENCE INCOMPLETE",IF(AND('Input_Meci'!H67="LIVE",INDEX(SourceTable[Retrieved_UTC],Q745)&gt;'Input_Meci'!G67),"POST CUTOFF","CLOSED")))))))</x:f>
      </x:c>
      <x:c r="S745" s="2" t="n">
        <x:f>IF(OR(B745="",F745=""),0,COUNTIFS('Istoric_Nativ'!$B$6:$B$405,E745,'Istoric_Nativ'!$C$6:$C$405,F745,'Istoric_Nativ'!$E$6:$E$405,G745,'Istoric_Nativ'!$D$6:$D$405,"&lt;"&amp;J745,'Istoric_Nativ'!$O$6:$O$405,"INVALID")+COUNTIFS('Istoric_Nativ'!$B$6:$B$405,E745,'Istoric_Nativ'!$C$6:$C$405,F745,'Istoric_Nativ'!$E$6:$E$405,G745,'Istoric_Nativ'!$O$6:$O$405,"INVALID",'Istoric_Nativ'!$D$6:$D$405,"*")+COUNTIFS('Istoric_Nativ'!$B$6:$B$405,E745,'Istoric_Nativ'!$C$6:$C$405,F745,'Istoric_Nativ'!$E$6:$E$405,G745,'Istoric_Nativ'!$D$6:$D$405,"&lt;"&amp;J745,'Istoric_Nativ'!$O$6:$O$405,"SOURCE CONFLICT")+COUNTIFS('Istoric_Nativ'!$B$6:$B$405,E745,'Istoric_Nativ'!$C$6:$C$405,F745,'Istoric_Nativ'!$F$6:$F$405,G745,'Istoric_Nativ'!$D$6:$D$405,"&lt;"&amp;J745,'Istoric_Nativ'!$O$6:$O$405,"INVALID")+COUNTIFS('Istoric_Nativ'!$B$6:$B$405,E745,'Istoric_Nativ'!$C$6:$C$405,F745,'Istoric_Nativ'!$F$6:$F$405,G745,'Istoric_Nativ'!$O$6:$O$405,"INVALID",'Istoric_Nativ'!$D$6:$D$405,"*")+COUNTIFS('Istoric_Nativ'!$B$6:$B$405,E745,'Istoric_Nativ'!$C$6:$C$405,F745,'Istoric_Nativ'!$F$6:$F$405,G745,'Istoric_Nativ'!$D$6:$D$405,"&lt;"&amp;J745,'Istoric_Nativ'!$O$6:$O$405,"SOURCE CONFLICT"))</x:f>
        <x:v>0</x:v>
      </x:c>
      <x:c r="T745" s="2" t="str">
        <x:f>IF(B745="","",IF(R745&lt;&gt;"CLOSED",R745,IF(S745&gt;0,"NATIVE INPUT ISSUE",IF(M745=0,"NO HISTORY",IF(M745&lt;P745,"SMALL SAMPLE","DERIVED")))))</x:f>
      </x:c>
      <x:c r="U745" s="2" t="str">
        <x:f>IF(B745="","","NativeTable; "&amp;E745&amp;"; "&amp;F745&amp;"; "&amp;G745&amp;"; "&amp;H745&amp;"; before "&amp;TEXT(J745,"yyyy-mm-dd")&amp;IF(I745="RECENT","; from "&amp;TEXT(L745,"yyyy-mm-dd"),""))</x:f>
      </x:c>
    </x:row>
    <x:row r="746" ht="21" customHeight="1">
      <x:c r="A746" s="2" t="n">
        <x:v>62</x:v>
      </x:c>
      <x:c r="B746" s="2" t="str">
        <x:f>IF('Input_Meci'!A67="","",'Input_Meci'!A67)</x:f>
      </x:c>
      <x:c r="C746" s="2" t="str">
        <x:v>H</x:v>
      </x:c>
      <x:c r="D746" s="2" t="str">
        <x:v>PRIOR</x:v>
      </x:c>
      <x:c r="E746" s="2" t="str">
        <x:f>IF(B746="","",'Input_Meci'!B67)</x:f>
      </x:c>
      <x:c r="F746" s="2" t="str">
        <x:f>IF(B746="","",IF('Input_Meci'!K67="","",'Input_Meci'!K67))</x:f>
      </x:c>
      <x:c r="G746" s="2" t="str">
        <x:f>IF(B746="","",'Input_Meci'!D67)</x:f>
      </x:c>
      <x:c r="H746" s="2" t="str">
        <x:v>ANY</x:v>
      </x:c>
      <x:c r="I746" s="2" t="str">
        <x:v>RECENT</x:v>
      </x:c>
      <x:c r="J746" s="9" t="n">
        <x:f>IF(AND(B746&lt;&gt;"",ISNUMBER('Input_Meci'!G67)),INT('Input_Meci'!G67),0)</x:f>
        <x:v>0</x:v>
      </x:c>
      <x:c r="K746" s="2" t="n">
        <x:f>IF(OR(B746="",F746=""),0,IF(H746="HOME",COUNTIFS('Istoric_Nativ'!$B$6:$B$405,E746,'Istoric_Nativ'!$C$6:$C$405,F746,'Istoric_Nativ'!$E$6:$E$405,G746,'Istoric_Nativ'!$D$6:$D$405,"&lt;"&amp;J746,'Istoric_Nativ'!$P$6:$P$405,1),IF(H746="AWAY",COUNTIFS('Istoric_Nativ'!$B$6:$B$405,E746,'Istoric_Nativ'!$C$6:$C$405,F746,'Istoric_Nativ'!$F$6:$F$405,G746,'Istoric_Nativ'!$D$6:$D$405,"&lt;"&amp;J746,'Istoric_Nativ'!$P$6:$P$405,1),COUNTIFS('Istoric_Nativ'!$B$6:$B$405,E746,'Istoric_Nativ'!$C$6:$C$405,F746,'Istoric_Nativ'!$E$6:$E$405,G746,'Istoric_Nativ'!$D$6:$D$405,"&lt;"&amp;J746,'Istoric_Nativ'!$P$6:$P$405,1)+COUNTIFS('Istoric_Nativ'!$B$6:$B$405,E746,'Istoric_Nativ'!$C$6:$C$405,F746,'Istoric_Nativ'!$F$6:$F$405,G746,'Istoric_Nativ'!$D$6:$D$405,"&lt;"&amp;J746,'Istoric_Nativ'!$P$6:$P$405,1))))</x:f>
        <x:v>0</x:v>
      </x:c>
      <x:c r="L746" s="17" t="n">
        <x:f>IF(AND(B746&lt;&gt;"",I746="RECENT",K746&gt;0),LARGE(_xlfn._xlws.FILTER('Istoric_Nativ'!$D$6:$D$405,('Istoric_Nativ'!$B$6:$B$405=E746)*('Istoric_Nativ'!$C$6:$C$405=F746)*('Istoric_Nativ'!$P$6:$P$405=1)*('Istoric_Nativ'!$D$6:$D$405&lt;J746)*((('Istoric_Nativ'!$E$6:$E$405=G746)+('Istoric_Nativ'!$F$6:$F$405=G746))&gt;0)),MIN('Config_v6'!$B$54,K746)),0)</x:f>
        <x:v>0</x:v>
      </x:c>
      <x:c r="M746" s="2" t="n">
        <x:f>IF(OR(B746="",F746=""),0,IF(H746="HOME",COUNTIFS('Istoric_Nativ'!$B$6:$B$405,E746,'Istoric_Nativ'!$C$6:$C$405,F746,'Istoric_Nativ'!$E$6:$E$405,G746,'Istoric_Nativ'!$D$6:$D$405,"&lt;"&amp;J746,'Istoric_Nativ'!$P$6:$P$405,1,'Istoric_Nativ'!$D$6:$D$405,"&gt;="&amp;L746),IF(H746="AWAY",COUNTIFS('Istoric_Nativ'!$B$6:$B$405,E746,'Istoric_Nativ'!$C$6:$C$405,F746,'Istoric_Nativ'!$F$6:$F$405,G746,'Istoric_Nativ'!$D$6:$D$405,"&lt;"&amp;J746,'Istoric_Nativ'!$P$6:$P$405,1,'Istoric_Nativ'!$D$6:$D$405,"&gt;="&amp;L746),COUNTIFS('Istoric_Nativ'!$B$6:$B$405,E746,'Istoric_Nativ'!$C$6:$C$405,F746,'Istoric_Nativ'!$E$6:$E$405,G746,'Istoric_Nativ'!$D$6:$D$405,"&lt;"&amp;J746,'Istoric_Nativ'!$P$6:$P$405,1,'Istoric_Nativ'!$D$6:$D$405,"&gt;="&amp;L746)+COUNTIFS('Istoric_Nativ'!$B$6:$B$405,E746,'Istoric_Nativ'!$C$6:$C$405,F746,'Istoric_Nativ'!$F$6:$F$405,G746,'Istoric_Nativ'!$D$6:$D$405,"&lt;"&amp;J746,'Istoric_Nativ'!$P$6:$P$405,1,'Istoric_Nativ'!$D$6:$D$405,"&gt;="&amp;L746))))</x:f>
        <x:v>0</x:v>
      </x:c>
      <x:c r="N746" s="11" t="str">
        <x:f>IF(M746=0,"",IF(H746="HOME",SUMIFS('Istoric_Nativ'!$G$6:$G$405,'Istoric_Nativ'!$B$6:$B$405,E746,'Istoric_Nativ'!$C$6:$C$405,F746,'Istoric_Nativ'!$E$6:$E$405,G746,'Istoric_Nativ'!$D$6:$D$405,"&lt;"&amp;J746,'Istoric_Nativ'!$P$6:$P$405,1,'Istoric_Nativ'!$D$6:$D$405,"&gt;="&amp;L746),IF(H746="AWAY",SUMIFS('Istoric_Nativ'!$H$6:$H$405,'Istoric_Nativ'!$B$6:$B$405,E746,'Istoric_Nativ'!$C$6:$C$405,F746,'Istoric_Nativ'!$F$6:$F$405,G746,'Istoric_Nativ'!$D$6:$D$405,"&lt;"&amp;J746,'Istoric_Nativ'!$P$6:$P$405,1,'Istoric_Nativ'!$D$6:$D$405,"&gt;="&amp;L746),SUMIFS('Istoric_Nativ'!$G$6:$G$405,'Istoric_Nativ'!$B$6:$B$405,E746,'Istoric_Nativ'!$C$6:$C$405,F746,'Istoric_Nativ'!$E$6:$E$405,G746,'Istoric_Nativ'!$D$6:$D$405,"&lt;"&amp;J746,'Istoric_Nativ'!$P$6:$P$405,1,'Istoric_Nativ'!$D$6:$D$405,"&gt;="&amp;L746)+SUMIFS('Istoric_Nativ'!$H$6:$H$405,'Istoric_Nativ'!$B$6:$B$405,E746,'Istoric_Nativ'!$C$6:$C$405,F746,'Istoric_Nativ'!$F$6:$F$405,G746,'Istoric_Nativ'!$D$6:$D$405,"&lt;"&amp;J746,'Istoric_Nativ'!$P$6:$P$405,1,'Istoric_Nativ'!$D$6:$D$405,"&gt;="&amp;L746)))/M746)</x:f>
      </x:c>
      <x:c r="O746" s="11" t="str">
        <x:f>IF(M746=0,"",IF(H746="HOME",SUMIFS('Istoric_Nativ'!$H$6:$H$405,'Istoric_Nativ'!$B$6:$B$405,E746,'Istoric_Nativ'!$C$6:$C$405,F746,'Istoric_Nativ'!$E$6:$E$405,G746,'Istoric_Nativ'!$D$6:$D$405,"&lt;"&amp;J746,'Istoric_Nativ'!$P$6:$P$405,1,'Istoric_Nativ'!$D$6:$D$405,"&gt;="&amp;L746),IF(H746="AWAY",SUMIFS('Istoric_Nativ'!$G$6:$G$405,'Istoric_Nativ'!$B$6:$B$405,E746,'Istoric_Nativ'!$C$6:$C$405,F746,'Istoric_Nativ'!$F$6:$F$405,G746,'Istoric_Nativ'!$D$6:$D$405,"&lt;"&amp;J746,'Istoric_Nativ'!$P$6:$P$405,1,'Istoric_Nativ'!$D$6:$D$405,"&gt;="&amp;L746),SUMIFS('Istoric_Nativ'!$H$6:$H$405,'Istoric_Nativ'!$B$6:$B$405,E746,'Istoric_Nativ'!$C$6:$C$405,F746,'Istoric_Nativ'!$E$6:$E$405,G746,'Istoric_Nativ'!$D$6:$D$405,"&lt;"&amp;J746,'Istoric_Nativ'!$P$6:$P$405,1,'Istoric_Nativ'!$D$6:$D$405,"&gt;="&amp;L746)+SUMIFS('Istoric_Nativ'!$G$6:$G$405,'Istoric_Nativ'!$B$6:$B$405,E746,'Istoric_Nativ'!$C$6:$C$405,F746,'Istoric_Nativ'!$F$6:$F$405,G746,'Istoric_Nativ'!$D$6:$D$405,"&lt;"&amp;J746,'Istoric_Nativ'!$P$6:$P$405,1,'Istoric_Nativ'!$D$6:$D$405,"&gt;="&amp;L746)))/M746)</x:f>
      </x:c>
      <x:c r="P746" s="2" t="n">
        <x:f>'Config_v6'!$B$9</x:f>
        <x:v>3</x:v>
      </x:c>
      <x:c r="Q746" s="2" t="n">
        <x:f>IF(OR(B746="",F746=""),0,IFERROR(MATCH(E746&amp;"|"&amp;F746,SourceTable[Source_Key],0),0))</x:f>
        <x:v>0</x:v>
      </x:c>
      <x:c r="R746" s="2" t="str">
        <x:f>IF(B746="","",IF(F746="","UNUSED",IF(Q746=0,"NOT CHECKED",IF(COUNTIF(SourceTable[Source_Key],E746&amp;"|"&amp;F746)&lt;&gt;1,"SOURCE CONFLICT",IF(NOT(OR(INDEX(SourceTable[Status],MAX(1,Q746))="IMPORTED",INDEX(SourceTable[Status],MAX(1,Q746))="PARTIAL",INDEX(SourceTable[Status],MAX(1,Q746))="SOURCE CONFLICT")),"ACCESS BLOCKED",IF(OR(INDEX(SourceTable[Coverage],Q746)&lt;&gt;"FULL SEASON EXPORT",INDEX(SourceTable[URL],Q746)="",INDEX(SourceTable[SHA256],Q746)=""),"EVIDENCE INCOMPLETE",IF(AND('Input_Meci'!H67="LIVE",INDEX(SourceTable[Retrieved_UTC],Q746)&gt;'Input_Meci'!G67),"POST CUTOFF","CLOSED")))))))</x:f>
      </x:c>
      <x:c r="S746" s="2" t="n">
        <x:f>IF(OR(B746="",F746=""),0,COUNTIFS('Istoric_Nativ'!$B$6:$B$405,E746,'Istoric_Nativ'!$C$6:$C$405,F746,'Istoric_Nativ'!$E$6:$E$405,G746,'Istoric_Nativ'!$D$6:$D$405,"&lt;"&amp;J746,'Istoric_Nativ'!$O$6:$O$405,"INVALID")+COUNTIFS('Istoric_Nativ'!$B$6:$B$405,E746,'Istoric_Nativ'!$C$6:$C$405,F746,'Istoric_Nativ'!$E$6:$E$405,G746,'Istoric_Nativ'!$O$6:$O$405,"INVALID",'Istoric_Nativ'!$D$6:$D$405,"*")+COUNTIFS('Istoric_Nativ'!$B$6:$B$405,E746,'Istoric_Nativ'!$C$6:$C$405,F746,'Istoric_Nativ'!$E$6:$E$405,G746,'Istoric_Nativ'!$D$6:$D$405,"&lt;"&amp;J746,'Istoric_Nativ'!$O$6:$O$405,"SOURCE CONFLICT")+COUNTIFS('Istoric_Nativ'!$B$6:$B$405,E746,'Istoric_Nativ'!$C$6:$C$405,F746,'Istoric_Nativ'!$F$6:$F$405,G746,'Istoric_Nativ'!$D$6:$D$405,"&lt;"&amp;J746,'Istoric_Nativ'!$O$6:$O$405,"INVALID")+COUNTIFS('Istoric_Nativ'!$B$6:$B$405,E746,'Istoric_Nativ'!$C$6:$C$405,F746,'Istoric_Nativ'!$F$6:$F$405,G746,'Istoric_Nativ'!$O$6:$O$405,"INVALID",'Istoric_Nativ'!$D$6:$D$405,"*")+COUNTIFS('Istoric_Nativ'!$B$6:$B$405,E746,'Istoric_Nativ'!$C$6:$C$405,F746,'Istoric_Nativ'!$F$6:$F$405,G746,'Istoric_Nativ'!$D$6:$D$405,"&lt;"&amp;J746,'Istoric_Nativ'!$O$6:$O$405,"SOURCE CONFLICT"))</x:f>
        <x:v>0</x:v>
      </x:c>
      <x:c r="T746" s="2" t="str">
        <x:f>IF(B746="","",IF(R746&lt;&gt;"CLOSED",R746,IF(S746&gt;0,"NATIVE INPUT ISSUE",IF(M746=0,"NO HISTORY",IF(M746&lt;P746,"SMALL SAMPLE","DERIVED")))))</x:f>
      </x:c>
      <x:c r="U746" s="2" t="str">
        <x:f>IF(B746="","","NativeTable; "&amp;E746&amp;"; "&amp;F746&amp;"; "&amp;G746&amp;"; "&amp;H746&amp;"; before "&amp;TEXT(J746,"yyyy-mm-dd")&amp;IF(I746="RECENT","; from "&amp;TEXT(L746,"yyyy-mm-dd"),""))</x:f>
      </x:c>
    </x:row>
    <x:row r="747" ht="21" customHeight="1">
      <x:c r="A747" s="2" t="n">
        <x:v>62</x:v>
      </x:c>
      <x:c r="B747" s="2" t="str">
        <x:f>IF('Input_Meci'!A67="","",'Input_Meci'!A67)</x:f>
      </x:c>
      <x:c r="C747" s="2" t="str">
        <x:v>A</x:v>
      </x:c>
      <x:c r="D747" s="2" t="str">
        <x:v>PRIOR</x:v>
      </x:c>
      <x:c r="E747" s="2" t="str">
        <x:f>IF(B747="","",'Input_Meci'!B67)</x:f>
      </x:c>
      <x:c r="F747" s="2" t="str">
        <x:f>IF(B747="","",IF('Input_Meci'!K67="","",'Input_Meci'!K67))</x:f>
      </x:c>
      <x:c r="G747" s="2" t="str">
        <x:f>IF(B747="","",'Input_Meci'!E67)</x:f>
      </x:c>
      <x:c r="H747" s="2" t="str">
        <x:v>ANY</x:v>
      </x:c>
      <x:c r="I747" s="2" t="str">
        <x:v>SEASON</x:v>
      </x:c>
      <x:c r="J747" s="9" t="n">
        <x:f>IF(AND(B747&lt;&gt;"",ISNUMBER('Input_Meci'!G67)),INT('Input_Meci'!G67),0)</x:f>
        <x:v>0</x:v>
      </x:c>
      <x:c r="K747" s="2" t="n">
        <x:f>IF(OR(B747="",F747=""),0,IF(H747="HOME",COUNTIFS('Istoric_Nativ'!$B$6:$B$405,E747,'Istoric_Nativ'!$C$6:$C$405,F747,'Istoric_Nativ'!$E$6:$E$405,G747,'Istoric_Nativ'!$D$6:$D$405,"&lt;"&amp;J747,'Istoric_Nativ'!$P$6:$P$405,1),IF(H747="AWAY",COUNTIFS('Istoric_Nativ'!$B$6:$B$405,E747,'Istoric_Nativ'!$C$6:$C$405,F747,'Istoric_Nativ'!$F$6:$F$405,G747,'Istoric_Nativ'!$D$6:$D$405,"&lt;"&amp;J747,'Istoric_Nativ'!$P$6:$P$405,1),COUNTIFS('Istoric_Nativ'!$B$6:$B$405,E747,'Istoric_Nativ'!$C$6:$C$405,F747,'Istoric_Nativ'!$E$6:$E$405,G747,'Istoric_Nativ'!$D$6:$D$405,"&lt;"&amp;J747,'Istoric_Nativ'!$P$6:$P$405,1)+COUNTIFS('Istoric_Nativ'!$B$6:$B$405,E747,'Istoric_Nativ'!$C$6:$C$405,F747,'Istoric_Nativ'!$F$6:$F$405,G747,'Istoric_Nativ'!$D$6:$D$405,"&lt;"&amp;J747,'Istoric_Nativ'!$P$6:$P$405,1))))</x:f>
        <x:v>0</x:v>
      </x:c>
      <x:c r="L747" s="17" t="n">
        <x:f>IF(AND(B747&lt;&gt;"",I747="RECENT",K747&gt;0),LARGE(_xlfn._xlws.FILTER('Istoric_Nativ'!$D$6:$D$405,('Istoric_Nativ'!$B$6:$B$405=E747)*('Istoric_Nativ'!$C$6:$C$405=F747)*('Istoric_Nativ'!$P$6:$P$405=1)*('Istoric_Nativ'!$D$6:$D$405&lt;J747)*((('Istoric_Nativ'!$E$6:$E$405=G747)+('Istoric_Nativ'!$F$6:$F$405=G747))&gt;0)),MIN('Config_v6'!$B$54,K747)),0)</x:f>
        <x:v>0</x:v>
      </x:c>
      <x:c r="M747" s="2" t="n">
        <x:f>IF(OR(B747="",F747=""),0,IF(H747="HOME",COUNTIFS('Istoric_Nativ'!$B$6:$B$405,E747,'Istoric_Nativ'!$C$6:$C$405,F747,'Istoric_Nativ'!$E$6:$E$405,G747,'Istoric_Nativ'!$D$6:$D$405,"&lt;"&amp;J747,'Istoric_Nativ'!$P$6:$P$405,1,'Istoric_Nativ'!$D$6:$D$405,"&gt;="&amp;L747),IF(H747="AWAY",COUNTIFS('Istoric_Nativ'!$B$6:$B$405,E747,'Istoric_Nativ'!$C$6:$C$405,F747,'Istoric_Nativ'!$F$6:$F$405,G747,'Istoric_Nativ'!$D$6:$D$405,"&lt;"&amp;J747,'Istoric_Nativ'!$P$6:$P$405,1,'Istoric_Nativ'!$D$6:$D$405,"&gt;="&amp;L747),COUNTIFS('Istoric_Nativ'!$B$6:$B$405,E747,'Istoric_Nativ'!$C$6:$C$405,F747,'Istoric_Nativ'!$E$6:$E$405,G747,'Istoric_Nativ'!$D$6:$D$405,"&lt;"&amp;J747,'Istoric_Nativ'!$P$6:$P$405,1,'Istoric_Nativ'!$D$6:$D$405,"&gt;="&amp;L747)+COUNTIFS('Istoric_Nativ'!$B$6:$B$405,E747,'Istoric_Nativ'!$C$6:$C$405,F747,'Istoric_Nativ'!$F$6:$F$405,G747,'Istoric_Nativ'!$D$6:$D$405,"&lt;"&amp;J747,'Istoric_Nativ'!$P$6:$P$405,1,'Istoric_Nativ'!$D$6:$D$405,"&gt;="&amp;L747))))</x:f>
        <x:v>0</x:v>
      </x:c>
      <x:c r="N747" s="11" t="str">
        <x:f>IF(M747=0,"",IF(H747="HOME",SUMIFS('Istoric_Nativ'!$G$6:$G$405,'Istoric_Nativ'!$B$6:$B$405,E747,'Istoric_Nativ'!$C$6:$C$405,F747,'Istoric_Nativ'!$E$6:$E$405,G747,'Istoric_Nativ'!$D$6:$D$405,"&lt;"&amp;J747,'Istoric_Nativ'!$P$6:$P$405,1,'Istoric_Nativ'!$D$6:$D$405,"&gt;="&amp;L747),IF(H747="AWAY",SUMIFS('Istoric_Nativ'!$H$6:$H$405,'Istoric_Nativ'!$B$6:$B$405,E747,'Istoric_Nativ'!$C$6:$C$405,F747,'Istoric_Nativ'!$F$6:$F$405,G747,'Istoric_Nativ'!$D$6:$D$405,"&lt;"&amp;J747,'Istoric_Nativ'!$P$6:$P$405,1,'Istoric_Nativ'!$D$6:$D$405,"&gt;="&amp;L747),SUMIFS('Istoric_Nativ'!$G$6:$G$405,'Istoric_Nativ'!$B$6:$B$405,E747,'Istoric_Nativ'!$C$6:$C$405,F747,'Istoric_Nativ'!$E$6:$E$405,G747,'Istoric_Nativ'!$D$6:$D$405,"&lt;"&amp;J747,'Istoric_Nativ'!$P$6:$P$405,1,'Istoric_Nativ'!$D$6:$D$405,"&gt;="&amp;L747)+SUMIFS('Istoric_Nativ'!$H$6:$H$405,'Istoric_Nativ'!$B$6:$B$405,E747,'Istoric_Nativ'!$C$6:$C$405,F747,'Istoric_Nativ'!$F$6:$F$405,G747,'Istoric_Nativ'!$D$6:$D$405,"&lt;"&amp;J747,'Istoric_Nativ'!$P$6:$P$405,1,'Istoric_Nativ'!$D$6:$D$405,"&gt;="&amp;L747)))/M747)</x:f>
      </x:c>
      <x:c r="O747" s="11" t="str">
        <x:f>IF(M747=0,"",IF(H747="HOME",SUMIFS('Istoric_Nativ'!$H$6:$H$405,'Istoric_Nativ'!$B$6:$B$405,E747,'Istoric_Nativ'!$C$6:$C$405,F747,'Istoric_Nativ'!$E$6:$E$405,G747,'Istoric_Nativ'!$D$6:$D$405,"&lt;"&amp;J747,'Istoric_Nativ'!$P$6:$P$405,1,'Istoric_Nativ'!$D$6:$D$405,"&gt;="&amp;L747),IF(H747="AWAY",SUMIFS('Istoric_Nativ'!$G$6:$G$405,'Istoric_Nativ'!$B$6:$B$405,E747,'Istoric_Nativ'!$C$6:$C$405,F747,'Istoric_Nativ'!$F$6:$F$405,G747,'Istoric_Nativ'!$D$6:$D$405,"&lt;"&amp;J747,'Istoric_Nativ'!$P$6:$P$405,1,'Istoric_Nativ'!$D$6:$D$405,"&gt;="&amp;L747),SUMIFS('Istoric_Nativ'!$H$6:$H$405,'Istoric_Nativ'!$B$6:$B$405,E747,'Istoric_Nativ'!$C$6:$C$405,F747,'Istoric_Nativ'!$E$6:$E$405,G747,'Istoric_Nativ'!$D$6:$D$405,"&lt;"&amp;J747,'Istoric_Nativ'!$P$6:$P$405,1,'Istoric_Nativ'!$D$6:$D$405,"&gt;="&amp;L747)+SUMIFS('Istoric_Nativ'!$G$6:$G$405,'Istoric_Nativ'!$B$6:$B$405,E747,'Istoric_Nativ'!$C$6:$C$405,F747,'Istoric_Nativ'!$F$6:$F$405,G747,'Istoric_Nativ'!$D$6:$D$405,"&lt;"&amp;J747,'Istoric_Nativ'!$P$6:$P$405,1,'Istoric_Nativ'!$D$6:$D$405,"&gt;="&amp;L747)))/M747)</x:f>
      </x:c>
      <x:c r="P747" s="2" t="n">
        <x:f>'Config_v6'!$B$7</x:f>
        <x:v>10</x:v>
      </x:c>
      <x:c r="Q747" s="2" t="n">
        <x:f>IF(OR(B747="",F747=""),0,IFERROR(MATCH(E747&amp;"|"&amp;F747,SourceTable[Source_Key],0),0))</x:f>
        <x:v>0</x:v>
      </x:c>
      <x:c r="R747" s="2" t="str">
        <x:f>IF(B747="","",IF(F747="","UNUSED",IF(Q747=0,"NOT CHECKED",IF(COUNTIF(SourceTable[Source_Key],E747&amp;"|"&amp;F747)&lt;&gt;1,"SOURCE CONFLICT",IF(NOT(OR(INDEX(SourceTable[Status],MAX(1,Q747))="IMPORTED",INDEX(SourceTable[Status],MAX(1,Q747))="PARTIAL",INDEX(SourceTable[Status],MAX(1,Q747))="SOURCE CONFLICT")),"ACCESS BLOCKED",IF(OR(INDEX(SourceTable[Coverage],Q747)&lt;&gt;"FULL SEASON EXPORT",INDEX(SourceTable[URL],Q747)="",INDEX(SourceTable[SHA256],Q747)=""),"EVIDENCE INCOMPLETE",IF(AND('Input_Meci'!H67="LIVE",INDEX(SourceTable[Retrieved_UTC],Q747)&gt;'Input_Meci'!G67),"POST CUTOFF","CLOSED")))))))</x:f>
      </x:c>
      <x:c r="S747" s="2" t="n">
        <x:f>IF(OR(B747="",F747=""),0,COUNTIFS('Istoric_Nativ'!$B$6:$B$405,E747,'Istoric_Nativ'!$C$6:$C$405,F747,'Istoric_Nativ'!$E$6:$E$405,G747,'Istoric_Nativ'!$D$6:$D$405,"&lt;"&amp;J747,'Istoric_Nativ'!$O$6:$O$405,"INVALID")+COUNTIFS('Istoric_Nativ'!$B$6:$B$405,E747,'Istoric_Nativ'!$C$6:$C$405,F747,'Istoric_Nativ'!$E$6:$E$405,G747,'Istoric_Nativ'!$O$6:$O$405,"INVALID",'Istoric_Nativ'!$D$6:$D$405,"*")+COUNTIFS('Istoric_Nativ'!$B$6:$B$405,E747,'Istoric_Nativ'!$C$6:$C$405,F747,'Istoric_Nativ'!$E$6:$E$405,G747,'Istoric_Nativ'!$D$6:$D$405,"&lt;"&amp;J747,'Istoric_Nativ'!$O$6:$O$405,"SOURCE CONFLICT")+COUNTIFS('Istoric_Nativ'!$B$6:$B$405,E747,'Istoric_Nativ'!$C$6:$C$405,F747,'Istoric_Nativ'!$F$6:$F$405,G747,'Istoric_Nativ'!$D$6:$D$405,"&lt;"&amp;J747,'Istoric_Nativ'!$O$6:$O$405,"INVALID")+COUNTIFS('Istoric_Nativ'!$B$6:$B$405,E747,'Istoric_Nativ'!$C$6:$C$405,F747,'Istoric_Nativ'!$F$6:$F$405,G747,'Istoric_Nativ'!$O$6:$O$405,"INVALID",'Istoric_Nativ'!$D$6:$D$405,"*")+COUNTIFS('Istoric_Nativ'!$B$6:$B$405,E747,'Istoric_Nativ'!$C$6:$C$405,F747,'Istoric_Nativ'!$F$6:$F$405,G747,'Istoric_Nativ'!$D$6:$D$405,"&lt;"&amp;J747,'Istoric_Nativ'!$O$6:$O$405,"SOURCE CONFLICT"))</x:f>
        <x:v>0</x:v>
      </x:c>
      <x:c r="T747" s="2" t="str">
        <x:f>IF(B747="","",IF(R747&lt;&gt;"CLOSED",R747,IF(S747&gt;0,"NATIVE INPUT ISSUE",IF(M747=0,"NO HISTORY",IF(M747&lt;P747,"SMALL SAMPLE","DERIVED")))))</x:f>
      </x:c>
      <x:c r="U747" s="2" t="str">
        <x:f>IF(B747="","","NativeTable; "&amp;E747&amp;"; "&amp;F747&amp;"; "&amp;G747&amp;"; "&amp;H747&amp;"; before "&amp;TEXT(J747,"yyyy-mm-dd")&amp;IF(I747="RECENT","; from "&amp;TEXT(L747,"yyyy-mm-dd"),""))</x:f>
      </x:c>
    </x:row>
    <x:row r="748" ht="21" customHeight="1">
      <x:c r="A748" s="2" t="n">
        <x:v>62</x:v>
      </x:c>
      <x:c r="B748" s="2" t="str">
        <x:f>IF('Input_Meci'!A67="","",'Input_Meci'!A67)</x:f>
      </x:c>
      <x:c r="C748" s="2" t="str">
        <x:v>A</x:v>
      </x:c>
      <x:c r="D748" s="2" t="str">
        <x:v>PRIOR</x:v>
      </x:c>
      <x:c r="E748" s="2" t="str">
        <x:f>IF(B748="","",'Input_Meci'!B67)</x:f>
      </x:c>
      <x:c r="F748" s="2" t="str">
        <x:f>IF(B748="","",IF('Input_Meci'!K67="","",'Input_Meci'!K67))</x:f>
      </x:c>
      <x:c r="G748" s="2" t="str">
        <x:f>IF(B748="","",'Input_Meci'!E67)</x:f>
      </x:c>
      <x:c r="H748" s="2" t="str">
        <x:v>AWAY</x:v>
      </x:c>
      <x:c r="I748" s="2" t="str">
        <x:v>HA</x:v>
      </x:c>
      <x:c r="J748" s="9" t="n">
        <x:f>IF(AND(B748&lt;&gt;"",ISNUMBER('Input_Meci'!G67)),INT('Input_Meci'!G67),0)</x:f>
        <x:v>0</x:v>
      </x:c>
      <x:c r="K748" s="2" t="n">
        <x:f>IF(OR(B748="",F748=""),0,IF(H748="HOME",COUNTIFS('Istoric_Nativ'!$B$6:$B$405,E748,'Istoric_Nativ'!$C$6:$C$405,F748,'Istoric_Nativ'!$E$6:$E$405,G748,'Istoric_Nativ'!$D$6:$D$405,"&lt;"&amp;J748,'Istoric_Nativ'!$P$6:$P$405,1),IF(H748="AWAY",COUNTIFS('Istoric_Nativ'!$B$6:$B$405,E748,'Istoric_Nativ'!$C$6:$C$405,F748,'Istoric_Nativ'!$F$6:$F$405,G748,'Istoric_Nativ'!$D$6:$D$405,"&lt;"&amp;J748,'Istoric_Nativ'!$P$6:$P$405,1),COUNTIFS('Istoric_Nativ'!$B$6:$B$405,E748,'Istoric_Nativ'!$C$6:$C$405,F748,'Istoric_Nativ'!$E$6:$E$405,G748,'Istoric_Nativ'!$D$6:$D$405,"&lt;"&amp;J748,'Istoric_Nativ'!$P$6:$P$405,1)+COUNTIFS('Istoric_Nativ'!$B$6:$B$405,E748,'Istoric_Nativ'!$C$6:$C$405,F748,'Istoric_Nativ'!$F$6:$F$405,G748,'Istoric_Nativ'!$D$6:$D$405,"&lt;"&amp;J748,'Istoric_Nativ'!$P$6:$P$405,1))))</x:f>
        <x:v>0</x:v>
      </x:c>
      <x:c r="L748" s="17" t="n">
        <x:f>IF(AND(B748&lt;&gt;"",I748="RECENT",K748&gt;0),LARGE(_xlfn._xlws.FILTER('Istoric_Nativ'!$D$6:$D$405,('Istoric_Nativ'!$B$6:$B$405=E748)*('Istoric_Nativ'!$C$6:$C$405=F748)*('Istoric_Nativ'!$P$6:$P$405=1)*('Istoric_Nativ'!$D$6:$D$405&lt;J748)*((('Istoric_Nativ'!$E$6:$E$405=G748)+('Istoric_Nativ'!$F$6:$F$405=G748))&gt;0)),MIN('Config_v6'!$B$54,K748)),0)</x:f>
        <x:v>0</x:v>
      </x:c>
      <x:c r="M748" s="2" t="n">
        <x:f>IF(OR(B748="",F748=""),0,IF(H748="HOME",COUNTIFS('Istoric_Nativ'!$B$6:$B$405,E748,'Istoric_Nativ'!$C$6:$C$405,F748,'Istoric_Nativ'!$E$6:$E$405,G748,'Istoric_Nativ'!$D$6:$D$405,"&lt;"&amp;J748,'Istoric_Nativ'!$P$6:$P$405,1,'Istoric_Nativ'!$D$6:$D$405,"&gt;="&amp;L748),IF(H748="AWAY",COUNTIFS('Istoric_Nativ'!$B$6:$B$405,E748,'Istoric_Nativ'!$C$6:$C$405,F748,'Istoric_Nativ'!$F$6:$F$405,G748,'Istoric_Nativ'!$D$6:$D$405,"&lt;"&amp;J748,'Istoric_Nativ'!$P$6:$P$405,1,'Istoric_Nativ'!$D$6:$D$405,"&gt;="&amp;L748),COUNTIFS('Istoric_Nativ'!$B$6:$B$405,E748,'Istoric_Nativ'!$C$6:$C$405,F748,'Istoric_Nativ'!$E$6:$E$405,G748,'Istoric_Nativ'!$D$6:$D$405,"&lt;"&amp;J748,'Istoric_Nativ'!$P$6:$P$405,1,'Istoric_Nativ'!$D$6:$D$405,"&gt;="&amp;L748)+COUNTIFS('Istoric_Nativ'!$B$6:$B$405,E748,'Istoric_Nativ'!$C$6:$C$405,F748,'Istoric_Nativ'!$F$6:$F$405,G748,'Istoric_Nativ'!$D$6:$D$405,"&lt;"&amp;J748,'Istoric_Nativ'!$P$6:$P$405,1,'Istoric_Nativ'!$D$6:$D$405,"&gt;="&amp;L748))))</x:f>
        <x:v>0</x:v>
      </x:c>
      <x:c r="N748" s="11" t="str">
        <x:f>IF(M748=0,"",IF(H748="HOME",SUMIFS('Istoric_Nativ'!$G$6:$G$405,'Istoric_Nativ'!$B$6:$B$405,E748,'Istoric_Nativ'!$C$6:$C$405,F748,'Istoric_Nativ'!$E$6:$E$405,G748,'Istoric_Nativ'!$D$6:$D$405,"&lt;"&amp;J748,'Istoric_Nativ'!$P$6:$P$405,1,'Istoric_Nativ'!$D$6:$D$405,"&gt;="&amp;L748),IF(H748="AWAY",SUMIFS('Istoric_Nativ'!$H$6:$H$405,'Istoric_Nativ'!$B$6:$B$405,E748,'Istoric_Nativ'!$C$6:$C$405,F748,'Istoric_Nativ'!$F$6:$F$405,G748,'Istoric_Nativ'!$D$6:$D$405,"&lt;"&amp;J748,'Istoric_Nativ'!$P$6:$P$405,1,'Istoric_Nativ'!$D$6:$D$405,"&gt;="&amp;L748),SUMIFS('Istoric_Nativ'!$G$6:$G$405,'Istoric_Nativ'!$B$6:$B$405,E748,'Istoric_Nativ'!$C$6:$C$405,F748,'Istoric_Nativ'!$E$6:$E$405,G748,'Istoric_Nativ'!$D$6:$D$405,"&lt;"&amp;J748,'Istoric_Nativ'!$P$6:$P$405,1,'Istoric_Nativ'!$D$6:$D$405,"&gt;="&amp;L748)+SUMIFS('Istoric_Nativ'!$H$6:$H$405,'Istoric_Nativ'!$B$6:$B$405,E748,'Istoric_Nativ'!$C$6:$C$405,F748,'Istoric_Nativ'!$F$6:$F$405,G748,'Istoric_Nativ'!$D$6:$D$405,"&lt;"&amp;J748,'Istoric_Nativ'!$P$6:$P$405,1,'Istoric_Nativ'!$D$6:$D$405,"&gt;="&amp;L748)))/M748)</x:f>
      </x:c>
      <x:c r="O748" s="11" t="str">
        <x:f>IF(M748=0,"",IF(H748="HOME",SUMIFS('Istoric_Nativ'!$H$6:$H$405,'Istoric_Nativ'!$B$6:$B$405,E748,'Istoric_Nativ'!$C$6:$C$405,F748,'Istoric_Nativ'!$E$6:$E$405,G748,'Istoric_Nativ'!$D$6:$D$405,"&lt;"&amp;J748,'Istoric_Nativ'!$P$6:$P$405,1,'Istoric_Nativ'!$D$6:$D$405,"&gt;="&amp;L748),IF(H748="AWAY",SUMIFS('Istoric_Nativ'!$G$6:$G$405,'Istoric_Nativ'!$B$6:$B$405,E748,'Istoric_Nativ'!$C$6:$C$405,F748,'Istoric_Nativ'!$F$6:$F$405,G748,'Istoric_Nativ'!$D$6:$D$405,"&lt;"&amp;J748,'Istoric_Nativ'!$P$6:$P$405,1,'Istoric_Nativ'!$D$6:$D$405,"&gt;="&amp;L748),SUMIFS('Istoric_Nativ'!$H$6:$H$405,'Istoric_Nativ'!$B$6:$B$405,E748,'Istoric_Nativ'!$C$6:$C$405,F748,'Istoric_Nativ'!$E$6:$E$405,G748,'Istoric_Nativ'!$D$6:$D$405,"&lt;"&amp;J748,'Istoric_Nativ'!$P$6:$P$405,1,'Istoric_Nativ'!$D$6:$D$405,"&gt;="&amp;L748)+SUMIFS('Istoric_Nativ'!$G$6:$G$405,'Istoric_Nativ'!$B$6:$B$405,E748,'Istoric_Nativ'!$C$6:$C$405,F748,'Istoric_Nativ'!$F$6:$F$405,G748,'Istoric_Nativ'!$D$6:$D$405,"&lt;"&amp;J748,'Istoric_Nativ'!$P$6:$P$405,1,'Istoric_Nativ'!$D$6:$D$405,"&gt;="&amp;L748)))/M748)</x:f>
      </x:c>
      <x:c r="P748" s="2" t="n">
        <x:f>'Config_v6'!$B$8</x:f>
        <x:v>5</x:v>
      </x:c>
      <x:c r="Q748" s="2" t="n">
        <x:f>IF(OR(B748="",F748=""),0,IFERROR(MATCH(E748&amp;"|"&amp;F748,SourceTable[Source_Key],0),0))</x:f>
        <x:v>0</x:v>
      </x:c>
      <x:c r="R748" s="2" t="str">
        <x:f>IF(B748="","",IF(F748="","UNUSED",IF(Q748=0,"NOT CHECKED",IF(COUNTIF(SourceTable[Source_Key],E748&amp;"|"&amp;F748)&lt;&gt;1,"SOURCE CONFLICT",IF(NOT(OR(INDEX(SourceTable[Status],MAX(1,Q748))="IMPORTED",INDEX(SourceTable[Status],MAX(1,Q748))="PARTIAL",INDEX(SourceTable[Status],MAX(1,Q748))="SOURCE CONFLICT")),"ACCESS BLOCKED",IF(OR(INDEX(SourceTable[Coverage],Q748)&lt;&gt;"FULL SEASON EXPORT",INDEX(SourceTable[URL],Q748)="",INDEX(SourceTable[SHA256],Q748)=""),"EVIDENCE INCOMPLETE",IF(AND('Input_Meci'!H67="LIVE",INDEX(SourceTable[Retrieved_UTC],Q748)&gt;'Input_Meci'!G67),"POST CUTOFF","CLOSED")))))))</x:f>
      </x:c>
      <x:c r="S748" s="2" t="n">
        <x:f>IF(OR(B748="",F748=""),0,COUNTIFS('Istoric_Nativ'!$B$6:$B$405,E748,'Istoric_Nativ'!$C$6:$C$405,F748,'Istoric_Nativ'!$E$6:$E$405,G748,'Istoric_Nativ'!$D$6:$D$405,"&lt;"&amp;J748,'Istoric_Nativ'!$O$6:$O$405,"INVALID")+COUNTIFS('Istoric_Nativ'!$B$6:$B$405,E748,'Istoric_Nativ'!$C$6:$C$405,F748,'Istoric_Nativ'!$E$6:$E$405,G748,'Istoric_Nativ'!$O$6:$O$405,"INVALID",'Istoric_Nativ'!$D$6:$D$405,"*")+COUNTIFS('Istoric_Nativ'!$B$6:$B$405,E748,'Istoric_Nativ'!$C$6:$C$405,F748,'Istoric_Nativ'!$E$6:$E$405,G748,'Istoric_Nativ'!$D$6:$D$405,"&lt;"&amp;J748,'Istoric_Nativ'!$O$6:$O$405,"SOURCE CONFLICT")+COUNTIFS('Istoric_Nativ'!$B$6:$B$405,E748,'Istoric_Nativ'!$C$6:$C$405,F748,'Istoric_Nativ'!$F$6:$F$405,G748,'Istoric_Nativ'!$D$6:$D$405,"&lt;"&amp;J748,'Istoric_Nativ'!$O$6:$O$405,"INVALID")+COUNTIFS('Istoric_Nativ'!$B$6:$B$405,E748,'Istoric_Nativ'!$C$6:$C$405,F748,'Istoric_Nativ'!$F$6:$F$405,G748,'Istoric_Nativ'!$O$6:$O$405,"INVALID",'Istoric_Nativ'!$D$6:$D$405,"*")+COUNTIFS('Istoric_Nativ'!$B$6:$B$405,E748,'Istoric_Nativ'!$C$6:$C$405,F748,'Istoric_Nativ'!$F$6:$F$405,G748,'Istoric_Nativ'!$D$6:$D$405,"&lt;"&amp;J748,'Istoric_Nativ'!$O$6:$O$405,"SOURCE CONFLICT"))</x:f>
        <x:v>0</x:v>
      </x:c>
      <x:c r="T748" s="2" t="str">
        <x:f>IF(B748="","",IF(R748&lt;&gt;"CLOSED",R748,IF(S748&gt;0,"NATIVE INPUT ISSUE",IF(M748=0,"NO HISTORY",IF(M748&lt;P748,"SMALL SAMPLE","DERIVED")))))</x:f>
      </x:c>
      <x:c r="U748" s="2" t="str">
        <x:f>IF(B748="","","NativeTable; "&amp;E748&amp;"; "&amp;F748&amp;"; "&amp;G748&amp;"; "&amp;H748&amp;"; before "&amp;TEXT(J748,"yyyy-mm-dd")&amp;IF(I748="RECENT","; from "&amp;TEXT(L748,"yyyy-mm-dd"),""))</x:f>
      </x:c>
    </x:row>
    <x:row r="749" ht="21" customHeight="1">
      <x:c r="A749" s="2" t="n">
        <x:v>62</x:v>
      </x:c>
      <x:c r="B749" s="2" t="str">
        <x:f>IF('Input_Meci'!A67="","",'Input_Meci'!A67)</x:f>
      </x:c>
      <x:c r="C749" s="2" t="str">
        <x:v>A</x:v>
      </x:c>
      <x:c r="D749" s="2" t="str">
        <x:v>PRIOR</x:v>
      </x:c>
      <x:c r="E749" s="2" t="str">
        <x:f>IF(B749="","",'Input_Meci'!B67)</x:f>
      </x:c>
      <x:c r="F749" s="2" t="str">
        <x:f>IF(B749="","",IF('Input_Meci'!K67="","",'Input_Meci'!K67))</x:f>
      </x:c>
      <x:c r="G749" s="2" t="str">
        <x:f>IF(B749="","",'Input_Meci'!E67)</x:f>
      </x:c>
      <x:c r="H749" s="2" t="str">
        <x:v>ANY</x:v>
      </x:c>
      <x:c r="I749" s="2" t="str">
        <x:v>RECENT</x:v>
      </x:c>
      <x:c r="J749" s="9" t="n">
        <x:f>IF(AND(B749&lt;&gt;"",ISNUMBER('Input_Meci'!G67)),INT('Input_Meci'!G67),0)</x:f>
        <x:v>0</x:v>
      </x:c>
      <x:c r="K749" s="2" t="n">
        <x:f>IF(OR(B749="",F749=""),0,IF(H749="HOME",COUNTIFS('Istoric_Nativ'!$B$6:$B$405,E749,'Istoric_Nativ'!$C$6:$C$405,F749,'Istoric_Nativ'!$E$6:$E$405,G749,'Istoric_Nativ'!$D$6:$D$405,"&lt;"&amp;J749,'Istoric_Nativ'!$P$6:$P$405,1),IF(H749="AWAY",COUNTIFS('Istoric_Nativ'!$B$6:$B$405,E749,'Istoric_Nativ'!$C$6:$C$405,F749,'Istoric_Nativ'!$F$6:$F$405,G749,'Istoric_Nativ'!$D$6:$D$405,"&lt;"&amp;J749,'Istoric_Nativ'!$P$6:$P$405,1),COUNTIFS('Istoric_Nativ'!$B$6:$B$405,E749,'Istoric_Nativ'!$C$6:$C$405,F749,'Istoric_Nativ'!$E$6:$E$405,G749,'Istoric_Nativ'!$D$6:$D$405,"&lt;"&amp;J749,'Istoric_Nativ'!$P$6:$P$405,1)+COUNTIFS('Istoric_Nativ'!$B$6:$B$405,E749,'Istoric_Nativ'!$C$6:$C$405,F749,'Istoric_Nativ'!$F$6:$F$405,G749,'Istoric_Nativ'!$D$6:$D$405,"&lt;"&amp;J749,'Istoric_Nativ'!$P$6:$P$405,1))))</x:f>
        <x:v>0</x:v>
      </x:c>
      <x:c r="L749" s="17" t="n">
        <x:f>IF(AND(B749&lt;&gt;"",I749="RECENT",K749&gt;0),LARGE(_xlfn._xlws.FILTER('Istoric_Nativ'!$D$6:$D$405,('Istoric_Nativ'!$B$6:$B$405=E749)*('Istoric_Nativ'!$C$6:$C$405=F749)*('Istoric_Nativ'!$P$6:$P$405=1)*('Istoric_Nativ'!$D$6:$D$405&lt;J749)*((('Istoric_Nativ'!$E$6:$E$405=G749)+('Istoric_Nativ'!$F$6:$F$405=G749))&gt;0)),MIN('Config_v6'!$B$54,K749)),0)</x:f>
        <x:v>0</x:v>
      </x:c>
      <x:c r="M749" s="2" t="n">
        <x:f>IF(OR(B749="",F749=""),0,IF(H749="HOME",COUNTIFS('Istoric_Nativ'!$B$6:$B$405,E749,'Istoric_Nativ'!$C$6:$C$405,F749,'Istoric_Nativ'!$E$6:$E$405,G749,'Istoric_Nativ'!$D$6:$D$405,"&lt;"&amp;J749,'Istoric_Nativ'!$P$6:$P$405,1,'Istoric_Nativ'!$D$6:$D$405,"&gt;="&amp;L749),IF(H749="AWAY",COUNTIFS('Istoric_Nativ'!$B$6:$B$405,E749,'Istoric_Nativ'!$C$6:$C$405,F749,'Istoric_Nativ'!$F$6:$F$405,G749,'Istoric_Nativ'!$D$6:$D$405,"&lt;"&amp;J749,'Istoric_Nativ'!$P$6:$P$405,1,'Istoric_Nativ'!$D$6:$D$405,"&gt;="&amp;L749),COUNTIFS('Istoric_Nativ'!$B$6:$B$405,E749,'Istoric_Nativ'!$C$6:$C$405,F749,'Istoric_Nativ'!$E$6:$E$405,G749,'Istoric_Nativ'!$D$6:$D$405,"&lt;"&amp;J749,'Istoric_Nativ'!$P$6:$P$405,1,'Istoric_Nativ'!$D$6:$D$405,"&gt;="&amp;L749)+COUNTIFS('Istoric_Nativ'!$B$6:$B$405,E749,'Istoric_Nativ'!$C$6:$C$405,F749,'Istoric_Nativ'!$F$6:$F$405,G749,'Istoric_Nativ'!$D$6:$D$405,"&lt;"&amp;J749,'Istoric_Nativ'!$P$6:$P$405,1,'Istoric_Nativ'!$D$6:$D$405,"&gt;="&amp;L749))))</x:f>
        <x:v>0</x:v>
      </x:c>
      <x:c r="N749" s="11" t="str">
        <x:f>IF(M749=0,"",IF(H749="HOME",SUMIFS('Istoric_Nativ'!$G$6:$G$405,'Istoric_Nativ'!$B$6:$B$405,E749,'Istoric_Nativ'!$C$6:$C$405,F749,'Istoric_Nativ'!$E$6:$E$405,G749,'Istoric_Nativ'!$D$6:$D$405,"&lt;"&amp;J749,'Istoric_Nativ'!$P$6:$P$405,1,'Istoric_Nativ'!$D$6:$D$405,"&gt;="&amp;L749),IF(H749="AWAY",SUMIFS('Istoric_Nativ'!$H$6:$H$405,'Istoric_Nativ'!$B$6:$B$405,E749,'Istoric_Nativ'!$C$6:$C$405,F749,'Istoric_Nativ'!$F$6:$F$405,G749,'Istoric_Nativ'!$D$6:$D$405,"&lt;"&amp;J749,'Istoric_Nativ'!$P$6:$P$405,1,'Istoric_Nativ'!$D$6:$D$405,"&gt;="&amp;L749),SUMIFS('Istoric_Nativ'!$G$6:$G$405,'Istoric_Nativ'!$B$6:$B$405,E749,'Istoric_Nativ'!$C$6:$C$405,F749,'Istoric_Nativ'!$E$6:$E$405,G749,'Istoric_Nativ'!$D$6:$D$405,"&lt;"&amp;J749,'Istoric_Nativ'!$P$6:$P$405,1,'Istoric_Nativ'!$D$6:$D$405,"&gt;="&amp;L749)+SUMIFS('Istoric_Nativ'!$H$6:$H$405,'Istoric_Nativ'!$B$6:$B$405,E749,'Istoric_Nativ'!$C$6:$C$405,F749,'Istoric_Nativ'!$F$6:$F$405,G749,'Istoric_Nativ'!$D$6:$D$405,"&lt;"&amp;J749,'Istoric_Nativ'!$P$6:$P$405,1,'Istoric_Nativ'!$D$6:$D$405,"&gt;="&amp;L749)))/M749)</x:f>
      </x:c>
      <x:c r="O749" s="11" t="str">
        <x:f>IF(M749=0,"",IF(H749="HOME",SUMIFS('Istoric_Nativ'!$H$6:$H$405,'Istoric_Nativ'!$B$6:$B$405,E749,'Istoric_Nativ'!$C$6:$C$405,F749,'Istoric_Nativ'!$E$6:$E$405,G749,'Istoric_Nativ'!$D$6:$D$405,"&lt;"&amp;J749,'Istoric_Nativ'!$P$6:$P$405,1,'Istoric_Nativ'!$D$6:$D$405,"&gt;="&amp;L749),IF(H749="AWAY",SUMIFS('Istoric_Nativ'!$G$6:$G$405,'Istoric_Nativ'!$B$6:$B$405,E749,'Istoric_Nativ'!$C$6:$C$405,F749,'Istoric_Nativ'!$F$6:$F$405,G749,'Istoric_Nativ'!$D$6:$D$405,"&lt;"&amp;J749,'Istoric_Nativ'!$P$6:$P$405,1,'Istoric_Nativ'!$D$6:$D$405,"&gt;="&amp;L749),SUMIFS('Istoric_Nativ'!$H$6:$H$405,'Istoric_Nativ'!$B$6:$B$405,E749,'Istoric_Nativ'!$C$6:$C$405,F749,'Istoric_Nativ'!$E$6:$E$405,G749,'Istoric_Nativ'!$D$6:$D$405,"&lt;"&amp;J749,'Istoric_Nativ'!$P$6:$P$405,1,'Istoric_Nativ'!$D$6:$D$405,"&gt;="&amp;L749)+SUMIFS('Istoric_Nativ'!$G$6:$G$405,'Istoric_Nativ'!$B$6:$B$405,E749,'Istoric_Nativ'!$C$6:$C$405,F749,'Istoric_Nativ'!$F$6:$F$405,G749,'Istoric_Nativ'!$D$6:$D$405,"&lt;"&amp;J749,'Istoric_Nativ'!$P$6:$P$405,1,'Istoric_Nativ'!$D$6:$D$405,"&gt;="&amp;L749)))/M749)</x:f>
      </x:c>
      <x:c r="P749" s="2" t="n">
        <x:f>'Config_v6'!$B$9</x:f>
        <x:v>3</x:v>
      </x:c>
      <x:c r="Q749" s="2" t="n">
        <x:f>IF(OR(B749="",F749=""),0,IFERROR(MATCH(E749&amp;"|"&amp;F749,SourceTable[Source_Key],0),0))</x:f>
        <x:v>0</x:v>
      </x:c>
      <x:c r="R749" s="2" t="str">
        <x:f>IF(B749="","",IF(F749="","UNUSED",IF(Q749=0,"NOT CHECKED",IF(COUNTIF(SourceTable[Source_Key],E749&amp;"|"&amp;F749)&lt;&gt;1,"SOURCE CONFLICT",IF(NOT(OR(INDEX(SourceTable[Status],MAX(1,Q749))="IMPORTED",INDEX(SourceTable[Status],MAX(1,Q749))="PARTIAL",INDEX(SourceTable[Status],MAX(1,Q749))="SOURCE CONFLICT")),"ACCESS BLOCKED",IF(OR(INDEX(SourceTable[Coverage],Q749)&lt;&gt;"FULL SEASON EXPORT",INDEX(SourceTable[URL],Q749)="",INDEX(SourceTable[SHA256],Q749)=""),"EVIDENCE INCOMPLETE",IF(AND('Input_Meci'!H67="LIVE",INDEX(SourceTable[Retrieved_UTC],Q749)&gt;'Input_Meci'!G67),"POST CUTOFF","CLOSED")))))))</x:f>
      </x:c>
      <x:c r="S749" s="2" t="n">
        <x:f>IF(OR(B749="",F749=""),0,COUNTIFS('Istoric_Nativ'!$B$6:$B$405,E749,'Istoric_Nativ'!$C$6:$C$405,F749,'Istoric_Nativ'!$E$6:$E$405,G749,'Istoric_Nativ'!$D$6:$D$405,"&lt;"&amp;J749,'Istoric_Nativ'!$O$6:$O$405,"INVALID")+COUNTIFS('Istoric_Nativ'!$B$6:$B$405,E749,'Istoric_Nativ'!$C$6:$C$405,F749,'Istoric_Nativ'!$E$6:$E$405,G749,'Istoric_Nativ'!$O$6:$O$405,"INVALID",'Istoric_Nativ'!$D$6:$D$405,"*")+COUNTIFS('Istoric_Nativ'!$B$6:$B$405,E749,'Istoric_Nativ'!$C$6:$C$405,F749,'Istoric_Nativ'!$E$6:$E$405,G749,'Istoric_Nativ'!$D$6:$D$405,"&lt;"&amp;J749,'Istoric_Nativ'!$O$6:$O$405,"SOURCE CONFLICT")+COUNTIFS('Istoric_Nativ'!$B$6:$B$405,E749,'Istoric_Nativ'!$C$6:$C$405,F749,'Istoric_Nativ'!$F$6:$F$405,G749,'Istoric_Nativ'!$D$6:$D$405,"&lt;"&amp;J749,'Istoric_Nativ'!$O$6:$O$405,"INVALID")+COUNTIFS('Istoric_Nativ'!$B$6:$B$405,E749,'Istoric_Nativ'!$C$6:$C$405,F749,'Istoric_Nativ'!$F$6:$F$405,G749,'Istoric_Nativ'!$O$6:$O$405,"INVALID",'Istoric_Nativ'!$D$6:$D$405,"*")+COUNTIFS('Istoric_Nativ'!$B$6:$B$405,E749,'Istoric_Nativ'!$C$6:$C$405,F749,'Istoric_Nativ'!$F$6:$F$405,G749,'Istoric_Nativ'!$D$6:$D$405,"&lt;"&amp;J749,'Istoric_Nativ'!$O$6:$O$405,"SOURCE CONFLICT"))</x:f>
        <x:v>0</x:v>
      </x:c>
      <x:c r="T749" s="2" t="str">
        <x:f>IF(B749="","",IF(R749&lt;&gt;"CLOSED",R749,IF(S749&gt;0,"NATIVE INPUT ISSUE",IF(M749=0,"NO HISTORY",IF(M749&lt;P749,"SMALL SAMPLE","DERIVED")))))</x:f>
      </x:c>
      <x:c r="U749" s="2" t="str">
        <x:f>IF(B749="","","NativeTable; "&amp;E749&amp;"; "&amp;F749&amp;"; "&amp;G749&amp;"; "&amp;H749&amp;"; before "&amp;TEXT(J749,"yyyy-mm-dd")&amp;IF(I749="RECENT","; from "&amp;TEXT(L749,"yyyy-mm-dd"),""))</x:f>
      </x:c>
    </x:row>
    <x:row r="750" ht="21" customHeight="1">
      <x:c r="A750" s="2" t="n">
        <x:v>63</x:v>
      </x:c>
      <x:c r="B750" s="2" t="str">
        <x:f>IF('Input_Meci'!A68="","",'Input_Meci'!A68)</x:f>
      </x:c>
      <x:c r="C750" s="2" t="str">
        <x:v>H</x:v>
      </x:c>
      <x:c r="D750" s="2" t="str">
        <x:v>CURRENT</x:v>
      </x:c>
      <x:c r="E750" s="2" t="str">
        <x:f>IF(B750="","",'Input_Meci'!B68)</x:f>
      </x:c>
      <x:c r="F750" s="2" t="str">
        <x:f>IF(B750="","",IF('Input_Meci'!C68="","",'Input_Meci'!C68))</x:f>
      </x:c>
      <x:c r="G750" s="2" t="str">
        <x:f>IF(B750="","",'Input_Meci'!D68)</x:f>
      </x:c>
      <x:c r="H750" s="2" t="str">
        <x:v>ANY</x:v>
      </x:c>
      <x:c r="I750" s="2" t="str">
        <x:v>SEASON</x:v>
      </x:c>
      <x:c r="J750" s="9" t="n">
        <x:f>IF(AND(B750&lt;&gt;"",ISNUMBER('Input_Meci'!G68)),INT('Input_Meci'!G68),0)</x:f>
        <x:v>0</x:v>
      </x:c>
      <x:c r="K750" s="2" t="n">
        <x:f>IF(OR(B750="",F750=""),0,IF(H750="HOME",COUNTIFS('Istoric_Nativ'!$B$6:$B$405,E750,'Istoric_Nativ'!$C$6:$C$405,F750,'Istoric_Nativ'!$E$6:$E$405,G750,'Istoric_Nativ'!$D$6:$D$405,"&lt;"&amp;J750,'Istoric_Nativ'!$P$6:$P$405,1),IF(H750="AWAY",COUNTIFS('Istoric_Nativ'!$B$6:$B$405,E750,'Istoric_Nativ'!$C$6:$C$405,F750,'Istoric_Nativ'!$F$6:$F$405,G750,'Istoric_Nativ'!$D$6:$D$405,"&lt;"&amp;J750,'Istoric_Nativ'!$P$6:$P$405,1),COUNTIFS('Istoric_Nativ'!$B$6:$B$405,E750,'Istoric_Nativ'!$C$6:$C$405,F750,'Istoric_Nativ'!$E$6:$E$405,G750,'Istoric_Nativ'!$D$6:$D$405,"&lt;"&amp;J750,'Istoric_Nativ'!$P$6:$P$405,1)+COUNTIFS('Istoric_Nativ'!$B$6:$B$405,E750,'Istoric_Nativ'!$C$6:$C$405,F750,'Istoric_Nativ'!$F$6:$F$405,G750,'Istoric_Nativ'!$D$6:$D$405,"&lt;"&amp;J750,'Istoric_Nativ'!$P$6:$P$405,1))))</x:f>
        <x:v>0</x:v>
      </x:c>
      <x:c r="L750" s="17" t="n">
        <x:f>IF(AND(B750&lt;&gt;"",I750="RECENT",K750&gt;0),LARGE(_xlfn._xlws.FILTER('Istoric_Nativ'!$D$6:$D$405,('Istoric_Nativ'!$B$6:$B$405=E750)*('Istoric_Nativ'!$C$6:$C$405=F750)*('Istoric_Nativ'!$P$6:$P$405=1)*('Istoric_Nativ'!$D$6:$D$405&lt;J750)*((('Istoric_Nativ'!$E$6:$E$405=G750)+('Istoric_Nativ'!$F$6:$F$405=G750))&gt;0)),MIN('Config_v6'!$B$54,K750)),0)</x:f>
        <x:v>0</x:v>
      </x:c>
      <x:c r="M750" s="2" t="n">
        <x:f>IF(OR(B750="",F750=""),0,IF(H750="HOME",COUNTIFS('Istoric_Nativ'!$B$6:$B$405,E750,'Istoric_Nativ'!$C$6:$C$405,F750,'Istoric_Nativ'!$E$6:$E$405,G750,'Istoric_Nativ'!$D$6:$D$405,"&lt;"&amp;J750,'Istoric_Nativ'!$P$6:$P$405,1,'Istoric_Nativ'!$D$6:$D$405,"&gt;="&amp;L750),IF(H750="AWAY",COUNTIFS('Istoric_Nativ'!$B$6:$B$405,E750,'Istoric_Nativ'!$C$6:$C$405,F750,'Istoric_Nativ'!$F$6:$F$405,G750,'Istoric_Nativ'!$D$6:$D$405,"&lt;"&amp;J750,'Istoric_Nativ'!$P$6:$P$405,1,'Istoric_Nativ'!$D$6:$D$405,"&gt;="&amp;L750),COUNTIFS('Istoric_Nativ'!$B$6:$B$405,E750,'Istoric_Nativ'!$C$6:$C$405,F750,'Istoric_Nativ'!$E$6:$E$405,G750,'Istoric_Nativ'!$D$6:$D$405,"&lt;"&amp;J750,'Istoric_Nativ'!$P$6:$P$405,1,'Istoric_Nativ'!$D$6:$D$405,"&gt;="&amp;L750)+COUNTIFS('Istoric_Nativ'!$B$6:$B$405,E750,'Istoric_Nativ'!$C$6:$C$405,F750,'Istoric_Nativ'!$F$6:$F$405,G750,'Istoric_Nativ'!$D$6:$D$405,"&lt;"&amp;J750,'Istoric_Nativ'!$P$6:$P$405,1,'Istoric_Nativ'!$D$6:$D$405,"&gt;="&amp;L750))))</x:f>
        <x:v>0</x:v>
      </x:c>
      <x:c r="N750" s="11" t="str">
        <x:f>IF(M750=0,"",IF(H750="HOME",SUMIFS('Istoric_Nativ'!$G$6:$G$405,'Istoric_Nativ'!$B$6:$B$405,E750,'Istoric_Nativ'!$C$6:$C$405,F750,'Istoric_Nativ'!$E$6:$E$405,G750,'Istoric_Nativ'!$D$6:$D$405,"&lt;"&amp;J750,'Istoric_Nativ'!$P$6:$P$405,1,'Istoric_Nativ'!$D$6:$D$405,"&gt;="&amp;L750),IF(H750="AWAY",SUMIFS('Istoric_Nativ'!$H$6:$H$405,'Istoric_Nativ'!$B$6:$B$405,E750,'Istoric_Nativ'!$C$6:$C$405,F750,'Istoric_Nativ'!$F$6:$F$405,G750,'Istoric_Nativ'!$D$6:$D$405,"&lt;"&amp;J750,'Istoric_Nativ'!$P$6:$P$405,1,'Istoric_Nativ'!$D$6:$D$405,"&gt;="&amp;L750),SUMIFS('Istoric_Nativ'!$G$6:$G$405,'Istoric_Nativ'!$B$6:$B$405,E750,'Istoric_Nativ'!$C$6:$C$405,F750,'Istoric_Nativ'!$E$6:$E$405,G750,'Istoric_Nativ'!$D$6:$D$405,"&lt;"&amp;J750,'Istoric_Nativ'!$P$6:$P$405,1,'Istoric_Nativ'!$D$6:$D$405,"&gt;="&amp;L750)+SUMIFS('Istoric_Nativ'!$H$6:$H$405,'Istoric_Nativ'!$B$6:$B$405,E750,'Istoric_Nativ'!$C$6:$C$405,F750,'Istoric_Nativ'!$F$6:$F$405,G750,'Istoric_Nativ'!$D$6:$D$405,"&lt;"&amp;J750,'Istoric_Nativ'!$P$6:$P$405,1,'Istoric_Nativ'!$D$6:$D$405,"&gt;="&amp;L750)))/M750)</x:f>
      </x:c>
      <x:c r="O750" s="11" t="str">
        <x:f>IF(M750=0,"",IF(H750="HOME",SUMIFS('Istoric_Nativ'!$H$6:$H$405,'Istoric_Nativ'!$B$6:$B$405,E750,'Istoric_Nativ'!$C$6:$C$405,F750,'Istoric_Nativ'!$E$6:$E$405,G750,'Istoric_Nativ'!$D$6:$D$405,"&lt;"&amp;J750,'Istoric_Nativ'!$P$6:$P$405,1,'Istoric_Nativ'!$D$6:$D$405,"&gt;="&amp;L750),IF(H750="AWAY",SUMIFS('Istoric_Nativ'!$G$6:$G$405,'Istoric_Nativ'!$B$6:$B$405,E750,'Istoric_Nativ'!$C$6:$C$405,F750,'Istoric_Nativ'!$F$6:$F$405,G750,'Istoric_Nativ'!$D$6:$D$405,"&lt;"&amp;J750,'Istoric_Nativ'!$P$6:$P$405,1,'Istoric_Nativ'!$D$6:$D$405,"&gt;="&amp;L750),SUMIFS('Istoric_Nativ'!$H$6:$H$405,'Istoric_Nativ'!$B$6:$B$405,E750,'Istoric_Nativ'!$C$6:$C$405,F750,'Istoric_Nativ'!$E$6:$E$405,G750,'Istoric_Nativ'!$D$6:$D$405,"&lt;"&amp;J750,'Istoric_Nativ'!$P$6:$P$405,1,'Istoric_Nativ'!$D$6:$D$405,"&gt;="&amp;L750)+SUMIFS('Istoric_Nativ'!$G$6:$G$405,'Istoric_Nativ'!$B$6:$B$405,E750,'Istoric_Nativ'!$C$6:$C$405,F750,'Istoric_Nativ'!$F$6:$F$405,G750,'Istoric_Nativ'!$D$6:$D$405,"&lt;"&amp;J750,'Istoric_Nativ'!$P$6:$P$405,1,'Istoric_Nativ'!$D$6:$D$405,"&gt;="&amp;L750)))/M750)</x:f>
      </x:c>
      <x:c r="P750" s="2" t="n">
        <x:f>'Config_v6'!$B$7</x:f>
        <x:v>10</x:v>
      </x:c>
      <x:c r="Q750" s="2" t="n">
        <x:f>IF(OR(B750="",F750=""),0,IFERROR(MATCH(E750&amp;"|"&amp;F750,SourceTable[Source_Key],0),0))</x:f>
        <x:v>0</x:v>
      </x:c>
      <x:c r="R750" s="2" t="str">
        <x:f>IF(B750="","",IF(F750="","UNUSED",IF(Q750=0,"NOT CHECKED",IF(COUNTIF(SourceTable[Source_Key],E750&amp;"|"&amp;F750)&lt;&gt;1,"SOURCE CONFLICT",IF(NOT(OR(INDEX(SourceTable[Status],MAX(1,Q750))="IMPORTED",INDEX(SourceTable[Status],MAX(1,Q750))="PARTIAL",INDEX(SourceTable[Status],MAX(1,Q750))="SOURCE CONFLICT")),"ACCESS BLOCKED",IF(OR(INDEX(SourceTable[Coverage],Q750)&lt;&gt;"FULL SEASON EXPORT",INDEX(SourceTable[URL],Q750)="",INDEX(SourceTable[SHA256],Q750)=""),"EVIDENCE INCOMPLETE",IF(AND('Input_Meci'!H68="LIVE",INDEX(SourceTable[Retrieved_UTC],Q750)&gt;'Input_Meci'!G68),"POST CUTOFF","CLOSED")))))))</x:f>
      </x:c>
      <x:c r="S750" s="2" t="n">
        <x:f>IF(OR(B750="",F750=""),0,COUNTIFS('Istoric_Nativ'!$B$6:$B$405,E750,'Istoric_Nativ'!$C$6:$C$405,F750,'Istoric_Nativ'!$E$6:$E$405,G750,'Istoric_Nativ'!$D$6:$D$405,"&lt;"&amp;J750,'Istoric_Nativ'!$O$6:$O$405,"INVALID")+COUNTIFS('Istoric_Nativ'!$B$6:$B$405,E750,'Istoric_Nativ'!$C$6:$C$405,F750,'Istoric_Nativ'!$E$6:$E$405,G750,'Istoric_Nativ'!$O$6:$O$405,"INVALID",'Istoric_Nativ'!$D$6:$D$405,"*")+COUNTIFS('Istoric_Nativ'!$B$6:$B$405,E750,'Istoric_Nativ'!$C$6:$C$405,F750,'Istoric_Nativ'!$E$6:$E$405,G750,'Istoric_Nativ'!$D$6:$D$405,"&lt;"&amp;J750,'Istoric_Nativ'!$O$6:$O$405,"SOURCE CONFLICT")+COUNTIFS('Istoric_Nativ'!$B$6:$B$405,E750,'Istoric_Nativ'!$C$6:$C$405,F750,'Istoric_Nativ'!$F$6:$F$405,G750,'Istoric_Nativ'!$D$6:$D$405,"&lt;"&amp;J750,'Istoric_Nativ'!$O$6:$O$405,"INVALID")+COUNTIFS('Istoric_Nativ'!$B$6:$B$405,E750,'Istoric_Nativ'!$C$6:$C$405,F750,'Istoric_Nativ'!$F$6:$F$405,G750,'Istoric_Nativ'!$O$6:$O$405,"INVALID",'Istoric_Nativ'!$D$6:$D$405,"*")+COUNTIFS('Istoric_Nativ'!$B$6:$B$405,E750,'Istoric_Nativ'!$C$6:$C$405,F750,'Istoric_Nativ'!$F$6:$F$405,G750,'Istoric_Nativ'!$D$6:$D$405,"&lt;"&amp;J750,'Istoric_Nativ'!$O$6:$O$405,"SOURCE CONFLICT"))</x:f>
        <x:v>0</x:v>
      </x:c>
      <x:c r="T750" s="2" t="str">
        <x:f>IF(B750="","",IF(R750&lt;&gt;"CLOSED",R750,IF(S750&gt;0,"NATIVE INPUT ISSUE",IF(M750=0,"NO HISTORY",IF(M750&lt;P750,"SMALL SAMPLE","DERIVED")))))</x:f>
      </x:c>
      <x:c r="U750" s="2" t="str">
        <x:f>IF(B750="","","NativeTable; "&amp;E750&amp;"; "&amp;F750&amp;"; "&amp;G750&amp;"; "&amp;H750&amp;"; before "&amp;TEXT(J750,"yyyy-mm-dd")&amp;IF(I750="RECENT","; from "&amp;TEXT(L750,"yyyy-mm-dd"),""))</x:f>
      </x:c>
    </x:row>
    <x:row r="751" ht="21" customHeight="1">
      <x:c r="A751" s="2" t="n">
        <x:v>63</x:v>
      </x:c>
      <x:c r="B751" s="2" t="str">
        <x:f>IF('Input_Meci'!A68="","",'Input_Meci'!A68)</x:f>
      </x:c>
      <x:c r="C751" s="2" t="str">
        <x:v>H</x:v>
      </x:c>
      <x:c r="D751" s="2" t="str">
        <x:v>CURRENT</x:v>
      </x:c>
      <x:c r="E751" s="2" t="str">
        <x:f>IF(B751="","",'Input_Meci'!B68)</x:f>
      </x:c>
      <x:c r="F751" s="2" t="str">
        <x:f>IF(B751="","",IF('Input_Meci'!C68="","",'Input_Meci'!C68))</x:f>
      </x:c>
      <x:c r="G751" s="2" t="str">
        <x:f>IF(B751="","",'Input_Meci'!D68)</x:f>
      </x:c>
      <x:c r="H751" s="2" t="str">
        <x:v>HOME</x:v>
      </x:c>
      <x:c r="I751" s="2" t="str">
        <x:v>HA</x:v>
      </x:c>
      <x:c r="J751" s="9" t="n">
        <x:f>IF(AND(B751&lt;&gt;"",ISNUMBER('Input_Meci'!G68)),INT('Input_Meci'!G68),0)</x:f>
        <x:v>0</x:v>
      </x:c>
      <x:c r="K751" s="2" t="n">
        <x:f>IF(OR(B751="",F751=""),0,IF(H751="HOME",COUNTIFS('Istoric_Nativ'!$B$6:$B$405,E751,'Istoric_Nativ'!$C$6:$C$405,F751,'Istoric_Nativ'!$E$6:$E$405,G751,'Istoric_Nativ'!$D$6:$D$405,"&lt;"&amp;J751,'Istoric_Nativ'!$P$6:$P$405,1),IF(H751="AWAY",COUNTIFS('Istoric_Nativ'!$B$6:$B$405,E751,'Istoric_Nativ'!$C$6:$C$405,F751,'Istoric_Nativ'!$F$6:$F$405,G751,'Istoric_Nativ'!$D$6:$D$405,"&lt;"&amp;J751,'Istoric_Nativ'!$P$6:$P$405,1),COUNTIFS('Istoric_Nativ'!$B$6:$B$405,E751,'Istoric_Nativ'!$C$6:$C$405,F751,'Istoric_Nativ'!$E$6:$E$405,G751,'Istoric_Nativ'!$D$6:$D$405,"&lt;"&amp;J751,'Istoric_Nativ'!$P$6:$P$405,1)+COUNTIFS('Istoric_Nativ'!$B$6:$B$405,E751,'Istoric_Nativ'!$C$6:$C$405,F751,'Istoric_Nativ'!$F$6:$F$405,G751,'Istoric_Nativ'!$D$6:$D$405,"&lt;"&amp;J751,'Istoric_Nativ'!$P$6:$P$405,1))))</x:f>
        <x:v>0</x:v>
      </x:c>
      <x:c r="L751" s="17" t="n">
        <x:f>IF(AND(B751&lt;&gt;"",I751="RECENT",K751&gt;0),LARGE(_xlfn._xlws.FILTER('Istoric_Nativ'!$D$6:$D$405,('Istoric_Nativ'!$B$6:$B$405=E751)*('Istoric_Nativ'!$C$6:$C$405=F751)*('Istoric_Nativ'!$P$6:$P$405=1)*('Istoric_Nativ'!$D$6:$D$405&lt;J751)*((('Istoric_Nativ'!$E$6:$E$405=G751)+('Istoric_Nativ'!$F$6:$F$405=G751))&gt;0)),MIN('Config_v6'!$B$54,K751)),0)</x:f>
        <x:v>0</x:v>
      </x:c>
      <x:c r="M751" s="2" t="n">
        <x:f>IF(OR(B751="",F751=""),0,IF(H751="HOME",COUNTIFS('Istoric_Nativ'!$B$6:$B$405,E751,'Istoric_Nativ'!$C$6:$C$405,F751,'Istoric_Nativ'!$E$6:$E$405,G751,'Istoric_Nativ'!$D$6:$D$405,"&lt;"&amp;J751,'Istoric_Nativ'!$P$6:$P$405,1,'Istoric_Nativ'!$D$6:$D$405,"&gt;="&amp;L751),IF(H751="AWAY",COUNTIFS('Istoric_Nativ'!$B$6:$B$405,E751,'Istoric_Nativ'!$C$6:$C$405,F751,'Istoric_Nativ'!$F$6:$F$405,G751,'Istoric_Nativ'!$D$6:$D$405,"&lt;"&amp;J751,'Istoric_Nativ'!$P$6:$P$405,1,'Istoric_Nativ'!$D$6:$D$405,"&gt;="&amp;L751),COUNTIFS('Istoric_Nativ'!$B$6:$B$405,E751,'Istoric_Nativ'!$C$6:$C$405,F751,'Istoric_Nativ'!$E$6:$E$405,G751,'Istoric_Nativ'!$D$6:$D$405,"&lt;"&amp;J751,'Istoric_Nativ'!$P$6:$P$405,1,'Istoric_Nativ'!$D$6:$D$405,"&gt;="&amp;L751)+COUNTIFS('Istoric_Nativ'!$B$6:$B$405,E751,'Istoric_Nativ'!$C$6:$C$405,F751,'Istoric_Nativ'!$F$6:$F$405,G751,'Istoric_Nativ'!$D$6:$D$405,"&lt;"&amp;J751,'Istoric_Nativ'!$P$6:$P$405,1,'Istoric_Nativ'!$D$6:$D$405,"&gt;="&amp;L751))))</x:f>
        <x:v>0</x:v>
      </x:c>
      <x:c r="N751" s="11" t="str">
        <x:f>IF(M751=0,"",IF(H751="HOME",SUMIFS('Istoric_Nativ'!$G$6:$G$405,'Istoric_Nativ'!$B$6:$B$405,E751,'Istoric_Nativ'!$C$6:$C$405,F751,'Istoric_Nativ'!$E$6:$E$405,G751,'Istoric_Nativ'!$D$6:$D$405,"&lt;"&amp;J751,'Istoric_Nativ'!$P$6:$P$405,1,'Istoric_Nativ'!$D$6:$D$405,"&gt;="&amp;L751),IF(H751="AWAY",SUMIFS('Istoric_Nativ'!$H$6:$H$405,'Istoric_Nativ'!$B$6:$B$405,E751,'Istoric_Nativ'!$C$6:$C$405,F751,'Istoric_Nativ'!$F$6:$F$405,G751,'Istoric_Nativ'!$D$6:$D$405,"&lt;"&amp;J751,'Istoric_Nativ'!$P$6:$P$405,1,'Istoric_Nativ'!$D$6:$D$405,"&gt;="&amp;L751),SUMIFS('Istoric_Nativ'!$G$6:$G$405,'Istoric_Nativ'!$B$6:$B$405,E751,'Istoric_Nativ'!$C$6:$C$405,F751,'Istoric_Nativ'!$E$6:$E$405,G751,'Istoric_Nativ'!$D$6:$D$405,"&lt;"&amp;J751,'Istoric_Nativ'!$P$6:$P$405,1,'Istoric_Nativ'!$D$6:$D$405,"&gt;="&amp;L751)+SUMIFS('Istoric_Nativ'!$H$6:$H$405,'Istoric_Nativ'!$B$6:$B$405,E751,'Istoric_Nativ'!$C$6:$C$405,F751,'Istoric_Nativ'!$F$6:$F$405,G751,'Istoric_Nativ'!$D$6:$D$405,"&lt;"&amp;J751,'Istoric_Nativ'!$P$6:$P$405,1,'Istoric_Nativ'!$D$6:$D$405,"&gt;="&amp;L751)))/M751)</x:f>
      </x:c>
      <x:c r="O751" s="11" t="str">
        <x:f>IF(M751=0,"",IF(H751="HOME",SUMIFS('Istoric_Nativ'!$H$6:$H$405,'Istoric_Nativ'!$B$6:$B$405,E751,'Istoric_Nativ'!$C$6:$C$405,F751,'Istoric_Nativ'!$E$6:$E$405,G751,'Istoric_Nativ'!$D$6:$D$405,"&lt;"&amp;J751,'Istoric_Nativ'!$P$6:$P$405,1,'Istoric_Nativ'!$D$6:$D$405,"&gt;="&amp;L751),IF(H751="AWAY",SUMIFS('Istoric_Nativ'!$G$6:$G$405,'Istoric_Nativ'!$B$6:$B$405,E751,'Istoric_Nativ'!$C$6:$C$405,F751,'Istoric_Nativ'!$F$6:$F$405,G751,'Istoric_Nativ'!$D$6:$D$405,"&lt;"&amp;J751,'Istoric_Nativ'!$P$6:$P$405,1,'Istoric_Nativ'!$D$6:$D$405,"&gt;="&amp;L751),SUMIFS('Istoric_Nativ'!$H$6:$H$405,'Istoric_Nativ'!$B$6:$B$405,E751,'Istoric_Nativ'!$C$6:$C$405,F751,'Istoric_Nativ'!$E$6:$E$405,G751,'Istoric_Nativ'!$D$6:$D$405,"&lt;"&amp;J751,'Istoric_Nativ'!$P$6:$P$405,1,'Istoric_Nativ'!$D$6:$D$405,"&gt;="&amp;L751)+SUMIFS('Istoric_Nativ'!$G$6:$G$405,'Istoric_Nativ'!$B$6:$B$405,E751,'Istoric_Nativ'!$C$6:$C$405,F751,'Istoric_Nativ'!$F$6:$F$405,G751,'Istoric_Nativ'!$D$6:$D$405,"&lt;"&amp;J751,'Istoric_Nativ'!$P$6:$P$405,1,'Istoric_Nativ'!$D$6:$D$405,"&gt;="&amp;L751)))/M751)</x:f>
      </x:c>
      <x:c r="P751" s="2" t="n">
        <x:f>'Config_v6'!$B$8</x:f>
        <x:v>5</x:v>
      </x:c>
      <x:c r="Q751" s="2" t="n">
        <x:f>IF(OR(B751="",F751=""),0,IFERROR(MATCH(E751&amp;"|"&amp;F751,SourceTable[Source_Key],0),0))</x:f>
        <x:v>0</x:v>
      </x:c>
      <x:c r="R751" s="2" t="str">
        <x:f>IF(B751="","",IF(F751="","UNUSED",IF(Q751=0,"NOT CHECKED",IF(COUNTIF(SourceTable[Source_Key],E751&amp;"|"&amp;F751)&lt;&gt;1,"SOURCE CONFLICT",IF(NOT(OR(INDEX(SourceTable[Status],MAX(1,Q751))="IMPORTED",INDEX(SourceTable[Status],MAX(1,Q751))="PARTIAL",INDEX(SourceTable[Status],MAX(1,Q751))="SOURCE CONFLICT")),"ACCESS BLOCKED",IF(OR(INDEX(SourceTable[Coverage],Q751)&lt;&gt;"FULL SEASON EXPORT",INDEX(SourceTable[URL],Q751)="",INDEX(SourceTable[SHA256],Q751)=""),"EVIDENCE INCOMPLETE",IF(AND('Input_Meci'!H68="LIVE",INDEX(SourceTable[Retrieved_UTC],Q751)&gt;'Input_Meci'!G68),"POST CUTOFF","CLOSED")))))))</x:f>
      </x:c>
      <x:c r="S751" s="2" t="n">
        <x:f>IF(OR(B751="",F751=""),0,COUNTIFS('Istoric_Nativ'!$B$6:$B$405,E751,'Istoric_Nativ'!$C$6:$C$405,F751,'Istoric_Nativ'!$E$6:$E$405,G751,'Istoric_Nativ'!$D$6:$D$405,"&lt;"&amp;J751,'Istoric_Nativ'!$O$6:$O$405,"INVALID")+COUNTIFS('Istoric_Nativ'!$B$6:$B$405,E751,'Istoric_Nativ'!$C$6:$C$405,F751,'Istoric_Nativ'!$E$6:$E$405,G751,'Istoric_Nativ'!$O$6:$O$405,"INVALID",'Istoric_Nativ'!$D$6:$D$405,"*")+COUNTIFS('Istoric_Nativ'!$B$6:$B$405,E751,'Istoric_Nativ'!$C$6:$C$405,F751,'Istoric_Nativ'!$E$6:$E$405,G751,'Istoric_Nativ'!$D$6:$D$405,"&lt;"&amp;J751,'Istoric_Nativ'!$O$6:$O$405,"SOURCE CONFLICT")+COUNTIFS('Istoric_Nativ'!$B$6:$B$405,E751,'Istoric_Nativ'!$C$6:$C$405,F751,'Istoric_Nativ'!$F$6:$F$405,G751,'Istoric_Nativ'!$D$6:$D$405,"&lt;"&amp;J751,'Istoric_Nativ'!$O$6:$O$405,"INVALID")+COUNTIFS('Istoric_Nativ'!$B$6:$B$405,E751,'Istoric_Nativ'!$C$6:$C$405,F751,'Istoric_Nativ'!$F$6:$F$405,G751,'Istoric_Nativ'!$O$6:$O$405,"INVALID",'Istoric_Nativ'!$D$6:$D$405,"*")+COUNTIFS('Istoric_Nativ'!$B$6:$B$405,E751,'Istoric_Nativ'!$C$6:$C$405,F751,'Istoric_Nativ'!$F$6:$F$405,G751,'Istoric_Nativ'!$D$6:$D$405,"&lt;"&amp;J751,'Istoric_Nativ'!$O$6:$O$405,"SOURCE CONFLICT"))</x:f>
        <x:v>0</x:v>
      </x:c>
      <x:c r="T751" s="2" t="str">
        <x:f>IF(B751="","",IF(R751&lt;&gt;"CLOSED",R751,IF(S751&gt;0,"NATIVE INPUT ISSUE",IF(M751=0,"NO HISTORY",IF(M751&lt;P751,"SMALL SAMPLE","DERIVED")))))</x:f>
      </x:c>
      <x:c r="U751" s="2" t="str">
        <x:f>IF(B751="","","NativeTable; "&amp;E751&amp;"; "&amp;F751&amp;"; "&amp;G751&amp;"; "&amp;H751&amp;"; before "&amp;TEXT(J751,"yyyy-mm-dd")&amp;IF(I751="RECENT","; from "&amp;TEXT(L751,"yyyy-mm-dd"),""))</x:f>
      </x:c>
    </x:row>
    <x:row r="752" ht="21" customHeight="1">
      <x:c r="A752" s="2" t="n">
        <x:v>63</x:v>
      </x:c>
      <x:c r="B752" s="2" t="str">
        <x:f>IF('Input_Meci'!A68="","",'Input_Meci'!A68)</x:f>
      </x:c>
      <x:c r="C752" s="2" t="str">
        <x:v>H</x:v>
      </x:c>
      <x:c r="D752" s="2" t="str">
        <x:v>CURRENT</x:v>
      </x:c>
      <x:c r="E752" s="2" t="str">
        <x:f>IF(B752="","",'Input_Meci'!B68)</x:f>
      </x:c>
      <x:c r="F752" s="2" t="str">
        <x:f>IF(B752="","",IF('Input_Meci'!C68="","",'Input_Meci'!C68))</x:f>
      </x:c>
      <x:c r="G752" s="2" t="str">
        <x:f>IF(B752="","",'Input_Meci'!D68)</x:f>
      </x:c>
      <x:c r="H752" s="2" t="str">
        <x:v>ANY</x:v>
      </x:c>
      <x:c r="I752" s="2" t="str">
        <x:v>RECENT</x:v>
      </x:c>
      <x:c r="J752" s="9" t="n">
        <x:f>IF(AND(B752&lt;&gt;"",ISNUMBER('Input_Meci'!G68)),INT('Input_Meci'!G68),0)</x:f>
        <x:v>0</x:v>
      </x:c>
      <x:c r="K752" s="2" t="n">
        <x:f>IF(OR(B752="",F752=""),0,IF(H752="HOME",COUNTIFS('Istoric_Nativ'!$B$6:$B$405,E752,'Istoric_Nativ'!$C$6:$C$405,F752,'Istoric_Nativ'!$E$6:$E$405,G752,'Istoric_Nativ'!$D$6:$D$405,"&lt;"&amp;J752,'Istoric_Nativ'!$P$6:$P$405,1),IF(H752="AWAY",COUNTIFS('Istoric_Nativ'!$B$6:$B$405,E752,'Istoric_Nativ'!$C$6:$C$405,F752,'Istoric_Nativ'!$F$6:$F$405,G752,'Istoric_Nativ'!$D$6:$D$405,"&lt;"&amp;J752,'Istoric_Nativ'!$P$6:$P$405,1),COUNTIFS('Istoric_Nativ'!$B$6:$B$405,E752,'Istoric_Nativ'!$C$6:$C$405,F752,'Istoric_Nativ'!$E$6:$E$405,G752,'Istoric_Nativ'!$D$6:$D$405,"&lt;"&amp;J752,'Istoric_Nativ'!$P$6:$P$405,1)+COUNTIFS('Istoric_Nativ'!$B$6:$B$405,E752,'Istoric_Nativ'!$C$6:$C$405,F752,'Istoric_Nativ'!$F$6:$F$405,G752,'Istoric_Nativ'!$D$6:$D$405,"&lt;"&amp;J752,'Istoric_Nativ'!$P$6:$P$405,1))))</x:f>
        <x:v>0</x:v>
      </x:c>
      <x:c r="L752" s="17" t="n">
        <x:f>IF(AND(B752&lt;&gt;"",I752="RECENT",K752&gt;0),LARGE(_xlfn._xlws.FILTER('Istoric_Nativ'!$D$6:$D$405,('Istoric_Nativ'!$B$6:$B$405=E752)*('Istoric_Nativ'!$C$6:$C$405=F752)*('Istoric_Nativ'!$P$6:$P$405=1)*('Istoric_Nativ'!$D$6:$D$405&lt;J752)*((('Istoric_Nativ'!$E$6:$E$405=G752)+('Istoric_Nativ'!$F$6:$F$405=G752))&gt;0)),MIN('Config_v6'!$B$54,K752)),0)</x:f>
        <x:v>0</x:v>
      </x:c>
      <x:c r="M752" s="2" t="n">
        <x:f>IF(OR(B752="",F752=""),0,IF(H752="HOME",COUNTIFS('Istoric_Nativ'!$B$6:$B$405,E752,'Istoric_Nativ'!$C$6:$C$405,F752,'Istoric_Nativ'!$E$6:$E$405,G752,'Istoric_Nativ'!$D$6:$D$405,"&lt;"&amp;J752,'Istoric_Nativ'!$P$6:$P$405,1,'Istoric_Nativ'!$D$6:$D$405,"&gt;="&amp;L752),IF(H752="AWAY",COUNTIFS('Istoric_Nativ'!$B$6:$B$405,E752,'Istoric_Nativ'!$C$6:$C$405,F752,'Istoric_Nativ'!$F$6:$F$405,G752,'Istoric_Nativ'!$D$6:$D$405,"&lt;"&amp;J752,'Istoric_Nativ'!$P$6:$P$405,1,'Istoric_Nativ'!$D$6:$D$405,"&gt;="&amp;L752),COUNTIFS('Istoric_Nativ'!$B$6:$B$405,E752,'Istoric_Nativ'!$C$6:$C$405,F752,'Istoric_Nativ'!$E$6:$E$405,G752,'Istoric_Nativ'!$D$6:$D$405,"&lt;"&amp;J752,'Istoric_Nativ'!$P$6:$P$405,1,'Istoric_Nativ'!$D$6:$D$405,"&gt;="&amp;L752)+COUNTIFS('Istoric_Nativ'!$B$6:$B$405,E752,'Istoric_Nativ'!$C$6:$C$405,F752,'Istoric_Nativ'!$F$6:$F$405,G752,'Istoric_Nativ'!$D$6:$D$405,"&lt;"&amp;J752,'Istoric_Nativ'!$P$6:$P$405,1,'Istoric_Nativ'!$D$6:$D$405,"&gt;="&amp;L752))))</x:f>
        <x:v>0</x:v>
      </x:c>
      <x:c r="N752" s="11" t="str">
        <x:f>IF(M752=0,"",IF(H752="HOME",SUMIFS('Istoric_Nativ'!$G$6:$G$405,'Istoric_Nativ'!$B$6:$B$405,E752,'Istoric_Nativ'!$C$6:$C$405,F752,'Istoric_Nativ'!$E$6:$E$405,G752,'Istoric_Nativ'!$D$6:$D$405,"&lt;"&amp;J752,'Istoric_Nativ'!$P$6:$P$405,1,'Istoric_Nativ'!$D$6:$D$405,"&gt;="&amp;L752),IF(H752="AWAY",SUMIFS('Istoric_Nativ'!$H$6:$H$405,'Istoric_Nativ'!$B$6:$B$405,E752,'Istoric_Nativ'!$C$6:$C$405,F752,'Istoric_Nativ'!$F$6:$F$405,G752,'Istoric_Nativ'!$D$6:$D$405,"&lt;"&amp;J752,'Istoric_Nativ'!$P$6:$P$405,1,'Istoric_Nativ'!$D$6:$D$405,"&gt;="&amp;L752),SUMIFS('Istoric_Nativ'!$G$6:$G$405,'Istoric_Nativ'!$B$6:$B$405,E752,'Istoric_Nativ'!$C$6:$C$405,F752,'Istoric_Nativ'!$E$6:$E$405,G752,'Istoric_Nativ'!$D$6:$D$405,"&lt;"&amp;J752,'Istoric_Nativ'!$P$6:$P$405,1,'Istoric_Nativ'!$D$6:$D$405,"&gt;="&amp;L752)+SUMIFS('Istoric_Nativ'!$H$6:$H$405,'Istoric_Nativ'!$B$6:$B$405,E752,'Istoric_Nativ'!$C$6:$C$405,F752,'Istoric_Nativ'!$F$6:$F$405,G752,'Istoric_Nativ'!$D$6:$D$405,"&lt;"&amp;J752,'Istoric_Nativ'!$P$6:$P$405,1,'Istoric_Nativ'!$D$6:$D$405,"&gt;="&amp;L752)))/M752)</x:f>
      </x:c>
      <x:c r="O752" s="11" t="str">
        <x:f>IF(M752=0,"",IF(H752="HOME",SUMIFS('Istoric_Nativ'!$H$6:$H$405,'Istoric_Nativ'!$B$6:$B$405,E752,'Istoric_Nativ'!$C$6:$C$405,F752,'Istoric_Nativ'!$E$6:$E$405,G752,'Istoric_Nativ'!$D$6:$D$405,"&lt;"&amp;J752,'Istoric_Nativ'!$P$6:$P$405,1,'Istoric_Nativ'!$D$6:$D$405,"&gt;="&amp;L752),IF(H752="AWAY",SUMIFS('Istoric_Nativ'!$G$6:$G$405,'Istoric_Nativ'!$B$6:$B$405,E752,'Istoric_Nativ'!$C$6:$C$405,F752,'Istoric_Nativ'!$F$6:$F$405,G752,'Istoric_Nativ'!$D$6:$D$405,"&lt;"&amp;J752,'Istoric_Nativ'!$P$6:$P$405,1,'Istoric_Nativ'!$D$6:$D$405,"&gt;="&amp;L752),SUMIFS('Istoric_Nativ'!$H$6:$H$405,'Istoric_Nativ'!$B$6:$B$405,E752,'Istoric_Nativ'!$C$6:$C$405,F752,'Istoric_Nativ'!$E$6:$E$405,G752,'Istoric_Nativ'!$D$6:$D$405,"&lt;"&amp;J752,'Istoric_Nativ'!$P$6:$P$405,1,'Istoric_Nativ'!$D$6:$D$405,"&gt;="&amp;L752)+SUMIFS('Istoric_Nativ'!$G$6:$G$405,'Istoric_Nativ'!$B$6:$B$405,E752,'Istoric_Nativ'!$C$6:$C$405,F752,'Istoric_Nativ'!$F$6:$F$405,G752,'Istoric_Nativ'!$D$6:$D$405,"&lt;"&amp;J752,'Istoric_Nativ'!$P$6:$P$405,1,'Istoric_Nativ'!$D$6:$D$405,"&gt;="&amp;L752)))/M752)</x:f>
      </x:c>
      <x:c r="P752" s="2" t="n">
        <x:f>'Config_v6'!$B$9</x:f>
        <x:v>3</x:v>
      </x:c>
      <x:c r="Q752" s="2" t="n">
        <x:f>IF(OR(B752="",F752=""),0,IFERROR(MATCH(E752&amp;"|"&amp;F752,SourceTable[Source_Key],0),0))</x:f>
        <x:v>0</x:v>
      </x:c>
      <x:c r="R752" s="2" t="str">
        <x:f>IF(B752="","",IF(F752="","UNUSED",IF(Q752=0,"NOT CHECKED",IF(COUNTIF(SourceTable[Source_Key],E752&amp;"|"&amp;F752)&lt;&gt;1,"SOURCE CONFLICT",IF(NOT(OR(INDEX(SourceTable[Status],MAX(1,Q752))="IMPORTED",INDEX(SourceTable[Status],MAX(1,Q752))="PARTIAL",INDEX(SourceTable[Status],MAX(1,Q752))="SOURCE CONFLICT")),"ACCESS BLOCKED",IF(OR(INDEX(SourceTable[Coverage],Q752)&lt;&gt;"FULL SEASON EXPORT",INDEX(SourceTable[URL],Q752)="",INDEX(SourceTable[SHA256],Q752)=""),"EVIDENCE INCOMPLETE",IF(AND('Input_Meci'!H68="LIVE",INDEX(SourceTable[Retrieved_UTC],Q752)&gt;'Input_Meci'!G68),"POST CUTOFF","CLOSED")))))))</x:f>
      </x:c>
      <x:c r="S752" s="2" t="n">
        <x:f>IF(OR(B752="",F752=""),0,COUNTIFS('Istoric_Nativ'!$B$6:$B$405,E752,'Istoric_Nativ'!$C$6:$C$405,F752,'Istoric_Nativ'!$E$6:$E$405,G752,'Istoric_Nativ'!$D$6:$D$405,"&lt;"&amp;J752,'Istoric_Nativ'!$O$6:$O$405,"INVALID")+COUNTIFS('Istoric_Nativ'!$B$6:$B$405,E752,'Istoric_Nativ'!$C$6:$C$405,F752,'Istoric_Nativ'!$E$6:$E$405,G752,'Istoric_Nativ'!$O$6:$O$405,"INVALID",'Istoric_Nativ'!$D$6:$D$405,"*")+COUNTIFS('Istoric_Nativ'!$B$6:$B$405,E752,'Istoric_Nativ'!$C$6:$C$405,F752,'Istoric_Nativ'!$E$6:$E$405,G752,'Istoric_Nativ'!$D$6:$D$405,"&lt;"&amp;J752,'Istoric_Nativ'!$O$6:$O$405,"SOURCE CONFLICT")+COUNTIFS('Istoric_Nativ'!$B$6:$B$405,E752,'Istoric_Nativ'!$C$6:$C$405,F752,'Istoric_Nativ'!$F$6:$F$405,G752,'Istoric_Nativ'!$D$6:$D$405,"&lt;"&amp;J752,'Istoric_Nativ'!$O$6:$O$405,"INVALID")+COUNTIFS('Istoric_Nativ'!$B$6:$B$405,E752,'Istoric_Nativ'!$C$6:$C$405,F752,'Istoric_Nativ'!$F$6:$F$405,G752,'Istoric_Nativ'!$O$6:$O$405,"INVALID",'Istoric_Nativ'!$D$6:$D$405,"*")+COUNTIFS('Istoric_Nativ'!$B$6:$B$405,E752,'Istoric_Nativ'!$C$6:$C$405,F752,'Istoric_Nativ'!$F$6:$F$405,G752,'Istoric_Nativ'!$D$6:$D$405,"&lt;"&amp;J752,'Istoric_Nativ'!$O$6:$O$405,"SOURCE CONFLICT"))</x:f>
        <x:v>0</x:v>
      </x:c>
      <x:c r="T752" s="2" t="str">
        <x:f>IF(B752="","",IF(R752&lt;&gt;"CLOSED",R752,IF(S752&gt;0,"NATIVE INPUT ISSUE",IF(M752=0,"NO HISTORY",IF(M752&lt;P752,"SMALL SAMPLE","DERIVED")))))</x:f>
      </x:c>
      <x:c r="U752" s="2" t="str">
        <x:f>IF(B752="","","NativeTable; "&amp;E752&amp;"; "&amp;F752&amp;"; "&amp;G752&amp;"; "&amp;H752&amp;"; before "&amp;TEXT(J752,"yyyy-mm-dd")&amp;IF(I752="RECENT","; from "&amp;TEXT(L752,"yyyy-mm-dd"),""))</x:f>
      </x:c>
    </x:row>
    <x:row r="753" ht="21" customHeight="1">
      <x:c r="A753" s="2" t="n">
        <x:v>63</x:v>
      </x:c>
      <x:c r="B753" s="2" t="str">
        <x:f>IF('Input_Meci'!A68="","",'Input_Meci'!A68)</x:f>
      </x:c>
      <x:c r="C753" s="2" t="str">
        <x:v>A</x:v>
      </x:c>
      <x:c r="D753" s="2" t="str">
        <x:v>CURRENT</x:v>
      </x:c>
      <x:c r="E753" s="2" t="str">
        <x:f>IF(B753="","",'Input_Meci'!B68)</x:f>
      </x:c>
      <x:c r="F753" s="2" t="str">
        <x:f>IF(B753="","",IF('Input_Meci'!C68="","",'Input_Meci'!C68))</x:f>
      </x:c>
      <x:c r="G753" s="2" t="str">
        <x:f>IF(B753="","",'Input_Meci'!E68)</x:f>
      </x:c>
      <x:c r="H753" s="2" t="str">
        <x:v>ANY</x:v>
      </x:c>
      <x:c r="I753" s="2" t="str">
        <x:v>SEASON</x:v>
      </x:c>
      <x:c r="J753" s="9" t="n">
        <x:f>IF(AND(B753&lt;&gt;"",ISNUMBER('Input_Meci'!G68)),INT('Input_Meci'!G68),0)</x:f>
        <x:v>0</x:v>
      </x:c>
      <x:c r="K753" s="2" t="n">
        <x:f>IF(OR(B753="",F753=""),0,IF(H753="HOME",COUNTIFS('Istoric_Nativ'!$B$6:$B$405,E753,'Istoric_Nativ'!$C$6:$C$405,F753,'Istoric_Nativ'!$E$6:$E$405,G753,'Istoric_Nativ'!$D$6:$D$405,"&lt;"&amp;J753,'Istoric_Nativ'!$P$6:$P$405,1),IF(H753="AWAY",COUNTIFS('Istoric_Nativ'!$B$6:$B$405,E753,'Istoric_Nativ'!$C$6:$C$405,F753,'Istoric_Nativ'!$F$6:$F$405,G753,'Istoric_Nativ'!$D$6:$D$405,"&lt;"&amp;J753,'Istoric_Nativ'!$P$6:$P$405,1),COUNTIFS('Istoric_Nativ'!$B$6:$B$405,E753,'Istoric_Nativ'!$C$6:$C$405,F753,'Istoric_Nativ'!$E$6:$E$405,G753,'Istoric_Nativ'!$D$6:$D$405,"&lt;"&amp;J753,'Istoric_Nativ'!$P$6:$P$405,1)+COUNTIFS('Istoric_Nativ'!$B$6:$B$405,E753,'Istoric_Nativ'!$C$6:$C$405,F753,'Istoric_Nativ'!$F$6:$F$405,G753,'Istoric_Nativ'!$D$6:$D$405,"&lt;"&amp;J753,'Istoric_Nativ'!$P$6:$P$405,1))))</x:f>
        <x:v>0</x:v>
      </x:c>
      <x:c r="L753" s="17" t="n">
        <x:f>IF(AND(B753&lt;&gt;"",I753="RECENT",K753&gt;0),LARGE(_xlfn._xlws.FILTER('Istoric_Nativ'!$D$6:$D$405,('Istoric_Nativ'!$B$6:$B$405=E753)*('Istoric_Nativ'!$C$6:$C$405=F753)*('Istoric_Nativ'!$P$6:$P$405=1)*('Istoric_Nativ'!$D$6:$D$405&lt;J753)*((('Istoric_Nativ'!$E$6:$E$405=G753)+('Istoric_Nativ'!$F$6:$F$405=G753))&gt;0)),MIN('Config_v6'!$B$54,K753)),0)</x:f>
        <x:v>0</x:v>
      </x:c>
      <x:c r="M753" s="2" t="n">
        <x:f>IF(OR(B753="",F753=""),0,IF(H753="HOME",COUNTIFS('Istoric_Nativ'!$B$6:$B$405,E753,'Istoric_Nativ'!$C$6:$C$405,F753,'Istoric_Nativ'!$E$6:$E$405,G753,'Istoric_Nativ'!$D$6:$D$405,"&lt;"&amp;J753,'Istoric_Nativ'!$P$6:$P$405,1,'Istoric_Nativ'!$D$6:$D$405,"&gt;="&amp;L753),IF(H753="AWAY",COUNTIFS('Istoric_Nativ'!$B$6:$B$405,E753,'Istoric_Nativ'!$C$6:$C$405,F753,'Istoric_Nativ'!$F$6:$F$405,G753,'Istoric_Nativ'!$D$6:$D$405,"&lt;"&amp;J753,'Istoric_Nativ'!$P$6:$P$405,1,'Istoric_Nativ'!$D$6:$D$405,"&gt;="&amp;L753),COUNTIFS('Istoric_Nativ'!$B$6:$B$405,E753,'Istoric_Nativ'!$C$6:$C$405,F753,'Istoric_Nativ'!$E$6:$E$405,G753,'Istoric_Nativ'!$D$6:$D$405,"&lt;"&amp;J753,'Istoric_Nativ'!$P$6:$P$405,1,'Istoric_Nativ'!$D$6:$D$405,"&gt;="&amp;L753)+COUNTIFS('Istoric_Nativ'!$B$6:$B$405,E753,'Istoric_Nativ'!$C$6:$C$405,F753,'Istoric_Nativ'!$F$6:$F$405,G753,'Istoric_Nativ'!$D$6:$D$405,"&lt;"&amp;J753,'Istoric_Nativ'!$P$6:$P$405,1,'Istoric_Nativ'!$D$6:$D$405,"&gt;="&amp;L753))))</x:f>
        <x:v>0</x:v>
      </x:c>
      <x:c r="N753" s="11" t="str">
        <x:f>IF(M753=0,"",IF(H753="HOME",SUMIFS('Istoric_Nativ'!$G$6:$G$405,'Istoric_Nativ'!$B$6:$B$405,E753,'Istoric_Nativ'!$C$6:$C$405,F753,'Istoric_Nativ'!$E$6:$E$405,G753,'Istoric_Nativ'!$D$6:$D$405,"&lt;"&amp;J753,'Istoric_Nativ'!$P$6:$P$405,1,'Istoric_Nativ'!$D$6:$D$405,"&gt;="&amp;L753),IF(H753="AWAY",SUMIFS('Istoric_Nativ'!$H$6:$H$405,'Istoric_Nativ'!$B$6:$B$405,E753,'Istoric_Nativ'!$C$6:$C$405,F753,'Istoric_Nativ'!$F$6:$F$405,G753,'Istoric_Nativ'!$D$6:$D$405,"&lt;"&amp;J753,'Istoric_Nativ'!$P$6:$P$405,1,'Istoric_Nativ'!$D$6:$D$405,"&gt;="&amp;L753),SUMIFS('Istoric_Nativ'!$G$6:$G$405,'Istoric_Nativ'!$B$6:$B$405,E753,'Istoric_Nativ'!$C$6:$C$405,F753,'Istoric_Nativ'!$E$6:$E$405,G753,'Istoric_Nativ'!$D$6:$D$405,"&lt;"&amp;J753,'Istoric_Nativ'!$P$6:$P$405,1,'Istoric_Nativ'!$D$6:$D$405,"&gt;="&amp;L753)+SUMIFS('Istoric_Nativ'!$H$6:$H$405,'Istoric_Nativ'!$B$6:$B$405,E753,'Istoric_Nativ'!$C$6:$C$405,F753,'Istoric_Nativ'!$F$6:$F$405,G753,'Istoric_Nativ'!$D$6:$D$405,"&lt;"&amp;J753,'Istoric_Nativ'!$P$6:$P$405,1,'Istoric_Nativ'!$D$6:$D$405,"&gt;="&amp;L753)))/M753)</x:f>
      </x:c>
      <x:c r="O753" s="11" t="str">
        <x:f>IF(M753=0,"",IF(H753="HOME",SUMIFS('Istoric_Nativ'!$H$6:$H$405,'Istoric_Nativ'!$B$6:$B$405,E753,'Istoric_Nativ'!$C$6:$C$405,F753,'Istoric_Nativ'!$E$6:$E$405,G753,'Istoric_Nativ'!$D$6:$D$405,"&lt;"&amp;J753,'Istoric_Nativ'!$P$6:$P$405,1,'Istoric_Nativ'!$D$6:$D$405,"&gt;="&amp;L753),IF(H753="AWAY",SUMIFS('Istoric_Nativ'!$G$6:$G$405,'Istoric_Nativ'!$B$6:$B$405,E753,'Istoric_Nativ'!$C$6:$C$405,F753,'Istoric_Nativ'!$F$6:$F$405,G753,'Istoric_Nativ'!$D$6:$D$405,"&lt;"&amp;J753,'Istoric_Nativ'!$P$6:$P$405,1,'Istoric_Nativ'!$D$6:$D$405,"&gt;="&amp;L753),SUMIFS('Istoric_Nativ'!$H$6:$H$405,'Istoric_Nativ'!$B$6:$B$405,E753,'Istoric_Nativ'!$C$6:$C$405,F753,'Istoric_Nativ'!$E$6:$E$405,G753,'Istoric_Nativ'!$D$6:$D$405,"&lt;"&amp;J753,'Istoric_Nativ'!$P$6:$P$405,1,'Istoric_Nativ'!$D$6:$D$405,"&gt;="&amp;L753)+SUMIFS('Istoric_Nativ'!$G$6:$G$405,'Istoric_Nativ'!$B$6:$B$405,E753,'Istoric_Nativ'!$C$6:$C$405,F753,'Istoric_Nativ'!$F$6:$F$405,G753,'Istoric_Nativ'!$D$6:$D$405,"&lt;"&amp;J753,'Istoric_Nativ'!$P$6:$P$405,1,'Istoric_Nativ'!$D$6:$D$405,"&gt;="&amp;L753)))/M753)</x:f>
      </x:c>
      <x:c r="P753" s="2" t="n">
        <x:f>'Config_v6'!$B$7</x:f>
        <x:v>10</x:v>
      </x:c>
      <x:c r="Q753" s="2" t="n">
        <x:f>IF(OR(B753="",F753=""),0,IFERROR(MATCH(E753&amp;"|"&amp;F753,SourceTable[Source_Key],0),0))</x:f>
        <x:v>0</x:v>
      </x:c>
      <x:c r="R753" s="2" t="str">
        <x:f>IF(B753="","",IF(F753="","UNUSED",IF(Q753=0,"NOT CHECKED",IF(COUNTIF(SourceTable[Source_Key],E753&amp;"|"&amp;F753)&lt;&gt;1,"SOURCE CONFLICT",IF(NOT(OR(INDEX(SourceTable[Status],MAX(1,Q753))="IMPORTED",INDEX(SourceTable[Status],MAX(1,Q753))="PARTIAL",INDEX(SourceTable[Status],MAX(1,Q753))="SOURCE CONFLICT")),"ACCESS BLOCKED",IF(OR(INDEX(SourceTable[Coverage],Q753)&lt;&gt;"FULL SEASON EXPORT",INDEX(SourceTable[URL],Q753)="",INDEX(SourceTable[SHA256],Q753)=""),"EVIDENCE INCOMPLETE",IF(AND('Input_Meci'!H68="LIVE",INDEX(SourceTable[Retrieved_UTC],Q753)&gt;'Input_Meci'!G68),"POST CUTOFF","CLOSED")))))))</x:f>
      </x:c>
      <x:c r="S753" s="2" t="n">
        <x:f>IF(OR(B753="",F753=""),0,COUNTIFS('Istoric_Nativ'!$B$6:$B$405,E753,'Istoric_Nativ'!$C$6:$C$405,F753,'Istoric_Nativ'!$E$6:$E$405,G753,'Istoric_Nativ'!$D$6:$D$405,"&lt;"&amp;J753,'Istoric_Nativ'!$O$6:$O$405,"INVALID")+COUNTIFS('Istoric_Nativ'!$B$6:$B$405,E753,'Istoric_Nativ'!$C$6:$C$405,F753,'Istoric_Nativ'!$E$6:$E$405,G753,'Istoric_Nativ'!$O$6:$O$405,"INVALID",'Istoric_Nativ'!$D$6:$D$405,"*")+COUNTIFS('Istoric_Nativ'!$B$6:$B$405,E753,'Istoric_Nativ'!$C$6:$C$405,F753,'Istoric_Nativ'!$E$6:$E$405,G753,'Istoric_Nativ'!$D$6:$D$405,"&lt;"&amp;J753,'Istoric_Nativ'!$O$6:$O$405,"SOURCE CONFLICT")+COUNTIFS('Istoric_Nativ'!$B$6:$B$405,E753,'Istoric_Nativ'!$C$6:$C$405,F753,'Istoric_Nativ'!$F$6:$F$405,G753,'Istoric_Nativ'!$D$6:$D$405,"&lt;"&amp;J753,'Istoric_Nativ'!$O$6:$O$405,"INVALID")+COUNTIFS('Istoric_Nativ'!$B$6:$B$405,E753,'Istoric_Nativ'!$C$6:$C$405,F753,'Istoric_Nativ'!$F$6:$F$405,G753,'Istoric_Nativ'!$O$6:$O$405,"INVALID",'Istoric_Nativ'!$D$6:$D$405,"*")+COUNTIFS('Istoric_Nativ'!$B$6:$B$405,E753,'Istoric_Nativ'!$C$6:$C$405,F753,'Istoric_Nativ'!$F$6:$F$405,G753,'Istoric_Nativ'!$D$6:$D$405,"&lt;"&amp;J753,'Istoric_Nativ'!$O$6:$O$405,"SOURCE CONFLICT"))</x:f>
        <x:v>0</x:v>
      </x:c>
      <x:c r="T753" s="2" t="str">
        <x:f>IF(B753="","",IF(R753&lt;&gt;"CLOSED",R753,IF(S753&gt;0,"NATIVE INPUT ISSUE",IF(M753=0,"NO HISTORY",IF(M753&lt;P753,"SMALL SAMPLE","DERIVED")))))</x:f>
      </x:c>
      <x:c r="U753" s="2" t="str">
        <x:f>IF(B753="","","NativeTable; "&amp;E753&amp;"; "&amp;F753&amp;"; "&amp;G753&amp;"; "&amp;H753&amp;"; before "&amp;TEXT(J753,"yyyy-mm-dd")&amp;IF(I753="RECENT","; from "&amp;TEXT(L753,"yyyy-mm-dd"),""))</x:f>
      </x:c>
    </x:row>
    <x:row r="754" ht="21" customHeight="1">
      <x:c r="A754" s="2" t="n">
        <x:v>63</x:v>
      </x:c>
      <x:c r="B754" s="2" t="str">
        <x:f>IF('Input_Meci'!A68="","",'Input_Meci'!A68)</x:f>
      </x:c>
      <x:c r="C754" s="2" t="str">
        <x:v>A</x:v>
      </x:c>
      <x:c r="D754" s="2" t="str">
        <x:v>CURRENT</x:v>
      </x:c>
      <x:c r="E754" s="2" t="str">
        <x:f>IF(B754="","",'Input_Meci'!B68)</x:f>
      </x:c>
      <x:c r="F754" s="2" t="str">
        <x:f>IF(B754="","",IF('Input_Meci'!C68="","",'Input_Meci'!C68))</x:f>
      </x:c>
      <x:c r="G754" s="2" t="str">
        <x:f>IF(B754="","",'Input_Meci'!E68)</x:f>
      </x:c>
      <x:c r="H754" s="2" t="str">
        <x:v>AWAY</x:v>
      </x:c>
      <x:c r="I754" s="2" t="str">
        <x:v>HA</x:v>
      </x:c>
      <x:c r="J754" s="9" t="n">
        <x:f>IF(AND(B754&lt;&gt;"",ISNUMBER('Input_Meci'!G68)),INT('Input_Meci'!G68),0)</x:f>
        <x:v>0</x:v>
      </x:c>
      <x:c r="K754" s="2" t="n">
        <x:f>IF(OR(B754="",F754=""),0,IF(H754="HOME",COUNTIFS('Istoric_Nativ'!$B$6:$B$405,E754,'Istoric_Nativ'!$C$6:$C$405,F754,'Istoric_Nativ'!$E$6:$E$405,G754,'Istoric_Nativ'!$D$6:$D$405,"&lt;"&amp;J754,'Istoric_Nativ'!$P$6:$P$405,1),IF(H754="AWAY",COUNTIFS('Istoric_Nativ'!$B$6:$B$405,E754,'Istoric_Nativ'!$C$6:$C$405,F754,'Istoric_Nativ'!$F$6:$F$405,G754,'Istoric_Nativ'!$D$6:$D$405,"&lt;"&amp;J754,'Istoric_Nativ'!$P$6:$P$405,1),COUNTIFS('Istoric_Nativ'!$B$6:$B$405,E754,'Istoric_Nativ'!$C$6:$C$405,F754,'Istoric_Nativ'!$E$6:$E$405,G754,'Istoric_Nativ'!$D$6:$D$405,"&lt;"&amp;J754,'Istoric_Nativ'!$P$6:$P$405,1)+COUNTIFS('Istoric_Nativ'!$B$6:$B$405,E754,'Istoric_Nativ'!$C$6:$C$405,F754,'Istoric_Nativ'!$F$6:$F$405,G754,'Istoric_Nativ'!$D$6:$D$405,"&lt;"&amp;J754,'Istoric_Nativ'!$P$6:$P$405,1))))</x:f>
        <x:v>0</x:v>
      </x:c>
      <x:c r="L754" s="17" t="n">
        <x:f>IF(AND(B754&lt;&gt;"",I754="RECENT",K754&gt;0),LARGE(_xlfn._xlws.FILTER('Istoric_Nativ'!$D$6:$D$405,('Istoric_Nativ'!$B$6:$B$405=E754)*('Istoric_Nativ'!$C$6:$C$405=F754)*('Istoric_Nativ'!$P$6:$P$405=1)*('Istoric_Nativ'!$D$6:$D$405&lt;J754)*((('Istoric_Nativ'!$E$6:$E$405=G754)+('Istoric_Nativ'!$F$6:$F$405=G754))&gt;0)),MIN('Config_v6'!$B$54,K754)),0)</x:f>
        <x:v>0</x:v>
      </x:c>
      <x:c r="M754" s="2" t="n">
        <x:f>IF(OR(B754="",F754=""),0,IF(H754="HOME",COUNTIFS('Istoric_Nativ'!$B$6:$B$405,E754,'Istoric_Nativ'!$C$6:$C$405,F754,'Istoric_Nativ'!$E$6:$E$405,G754,'Istoric_Nativ'!$D$6:$D$405,"&lt;"&amp;J754,'Istoric_Nativ'!$P$6:$P$405,1,'Istoric_Nativ'!$D$6:$D$405,"&gt;="&amp;L754),IF(H754="AWAY",COUNTIFS('Istoric_Nativ'!$B$6:$B$405,E754,'Istoric_Nativ'!$C$6:$C$405,F754,'Istoric_Nativ'!$F$6:$F$405,G754,'Istoric_Nativ'!$D$6:$D$405,"&lt;"&amp;J754,'Istoric_Nativ'!$P$6:$P$405,1,'Istoric_Nativ'!$D$6:$D$405,"&gt;="&amp;L754),COUNTIFS('Istoric_Nativ'!$B$6:$B$405,E754,'Istoric_Nativ'!$C$6:$C$405,F754,'Istoric_Nativ'!$E$6:$E$405,G754,'Istoric_Nativ'!$D$6:$D$405,"&lt;"&amp;J754,'Istoric_Nativ'!$P$6:$P$405,1,'Istoric_Nativ'!$D$6:$D$405,"&gt;="&amp;L754)+COUNTIFS('Istoric_Nativ'!$B$6:$B$405,E754,'Istoric_Nativ'!$C$6:$C$405,F754,'Istoric_Nativ'!$F$6:$F$405,G754,'Istoric_Nativ'!$D$6:$D$405,"&lt;"&amp;J754,'Istoric_Nativ'!$P$6:$P$405,1,'Istoric_Nativ'!$D$6:$D$405,"&gt;="&amp;L754))))</x:f>
        <x:v>0</x:v>
      </x:c>
      <x:c r="N754" s="11" t="str">
        <x:f>IF(M754=0,"",IF(H754="HOME",SUMIFS('Istoric_Nativ'!$G$6:$G$405,'Istoric_Nativ'!$B$6:$B$405,E754,'Istoric_Nativ'!$C$6:$C$405,F754,'Istoric_Nativ'!$E$6:$E$405,G754,'Istoric_Nativ'!$D$6:$D$405,"&lt;"&amp;J754,'Istoric_Nativ'!$P$6:$P$405,1,'Istoric_Nativ'!$D$6:$D$405,"&gt;="&amp;L754),IF(H754="AWAY",SUMIFS('Istoric_Nativ'!$H$6:$H$405,'Istoric_Nativ'!$B$6:$B$405,E754,'Istoric_Nativ'!$C$6:$C$405,F754,'Istoric_Nativ'!$F$6:$F$405,G754,'Istoric_Nativ'!$D$6:$D$405,"&lt;"&amp;J754,'Istoric_Nativ'!$P$6:$P$405,1,'Istoric_Nativ'!$D$6:$D$405,"&gt;="&amp;L754),SUMIFS('Istoric_Nativ'!$G$6:$G$405,'Istoric_Nativ'!$B$6:$B$405,E754,'Istoric_Nativ'!$C$6:$C$405,F754,'Istoric_Nativ'!$E$6:$E$405,G754,'Istoric_Nativ'!$D$6:$D$405,"&lt;"&amp;J754,'Istoric_Nativ'!$P$6:$P$405,1,'Istoric_Nativ'!$D$6:$D$405,"&gt;="&amp;L754)+SUMIFS('Istoric_Nativ'!$H$6:$H$405,'Istoric_Nativ'!$B$6:$B$405,E754,'Istoric_Nativ'!$C$6:$C$405,F754,'Istoric_Nativ'!$F$6:$F$405,G754,'Istoric_Nativ'!$D$6:$D$405,"&lt;"&amp;J754,'Istoric_Nativ'!$P$6:$P$405,1,'Istoric_Nativ'!$D$6:$D$405,"&gt;="&amp;L754)))/M754)</x:f>
      </x:c>
      <x:c r="O754" s="11" t="str">
        <x:f>IF(M754=0,"",IF(H754="HOME",SUMIFS('Istoric_Nativ'!$H$6:$H$405,'Istoric_Nativ'!$B$6:$B$405,E754,'Istoric_Nativ'!$C$6:$C$405,F754,'Istoric_Nativ'!$E$6:$E$405,G754,'Istoric_Nativ'!$D$6:$D$405,"&lt;"&amp;J754,'Istoric_Nativ'!$P$6:$P$405,1,'Istoric_Nativ'!$D$6:$D$405,"&gt;="&amp;L754),IF(H754="AWAY",SUMIFS('Istoric_Nativ'!$G$6:$G$405,'Istoric_Nativ'!$B$6:$B$405,E754,'Istoric_Nativ'!$C$6:$C$405,F754,'Istoric_Nativ'!$F$6:$F$405,G754,'Istoric_Nativ'!$D$6:$D$405,"&lt;"&amp;J754,'Istoric_Nativ'!$P$6:$P$405,1,'Istoric_Nativ'!$D$6:$D$405,"&gt;="&amp;L754),SUMIFS('Istoric_Nativ'!$H$6:$H$405,'Istoric_Nativ'!$B$6:$B$405,E754,'Istoric_Nativ'!$C$6:$C$405,F754,'Istoric_Nativ'!$E$6:$E$405,G754,'Istoric_Nativ'!$D$6:$D$405,"&lt;"&amp;J754,'Istoric_Nativ'!$P$6:$P$405,1,'Istoric_Nativ'!$D$6:$D$405,"&gt;="&amp;L754)+SUMIFS('Istoric_Nativ'!$G$6:$G$405,'Istoric_Nativ'!$B$6:$B$405,E754,'Istoric_Nativ'!$C$6:$C$405,F754,'Istoric_Nativ'!$F$6:$F$405,G754,'Istoric_Nativ'!$D$6:$D$405,"&lt;"&amp;J754,'Istoric_Nativ'!$P$6:$P$405,1,'Istoric_Nativ'!$D$6:$D$405,"&gt;="&amp;L754)))/M754)</x:f>
      </x:c>
      <x:c r="P754" s="2" t="n">
        <x:f>'Config_v6'!$B$8</x:f>
        <x:v>5</x:v>
      </x:c>
      <x:c r="Q754" s="2" t="n">
        <x:f>IF(OR(B754="",F754=""),0,IFERROR(MATCH(E754&amp;"|"&amp;F754,SourceTable[Source_Key],0),0))</x:f>
        <x:v>0</x:v>
      </x:c>
      <x:c r="R754" s="2" t="str">
        <x:f>IF(B754="","",IF(F754="","UNUSED",IF(Q754=0,"NOT CHECKED",IF(COUNTIF(SourceTable[Source_Key],E754&amp;"|"&amp;F754)&lt;&gt;1,"SOURCE CONFLICT",IF(NOT(OR(INDEX(SourceTable[Status],MAX(1,Q754))="IMPORTED",INDEX(SourceTable[Status],MAX(1,Q754))="PARTIAL",INDEX(SourceTable[Status],MAX(1,Q754))="SOURCE CONFLICT")),"ACCESS BLOCKED",IF(OR(INDEX(SourceTable[Coverage],Q754)&lt;&gt;"FULL SEASON EXPORT",INDEX(SourceTable[URL],Q754)="",INDEX(SourceTable[SHA256],Q754)=""),"EVIDENCE INCOMPLETE",IF(AND('Input_Meci'!H68="LIVE",INDEX(SourceTable[Retrieved_UTC],Q754)&gt;'Input_Meci'!G68),"POST CUTOFF","CLOSED")))))))</x:f>
      </x:c>
      <x:c r="S754" s="2" t="n">
        <x:f>IF(OR(B754="",F754=""),0,COUNTIFS('Istoric_Nativ'!$B$6:$B$405,E754,'Istoric_Nativ'!$C$6:$C$405,F754,'Istoric_Nativ'!$E$6:$E$405,G754,'Istoric_Nativ'!$D$6:$D$405,"&lt;"&amp;J754,'Istoric_Nativ'!$O$6:$O$405,"INVALID")+COUNTIFS('Istoric_Nativ'!$B$6:$B$405,E754,'Istoric_Nativ'!$C$6:$C$405,F754,'Istoric_Nativ'!$E$6:$E$405,G754,'Istoric_Nativ'!$O$6:$O$405,"INVALID",'Istoric_Nativ'!$D$6:$D$405,"*")+COUNTIFS('Istoric_Nativ'!$B$6:$B$405,E754,'Istoric_Nativ'!$C$6:$C$405,F754,'Istoric_Nativ'!$E$6:$E$405,G754,'Istoric_Nativ'!$D$6:$D$405,"&lt;"&amp;J754,'Istoric_Nativ'!$O$6:$O$405,"SOURCE CONFLICT")+COUNTIFS('Istoric_Nativ'!$B$6:$B$405,E754,'Istoric_Nativ'!$C$6:$C$405,F754,'Istoric_Nativ'!$F$6:$F$405,G754,'Istoric_Nativ'!$D$6:$D$405,"&lt;"&amp;J754,'Istoric_Nativ'!$O$6:$O$405,"INVALID")+COUNTIFS('Istoric_Nativ'!$B$6:$B$405,E754,'Istoric_Nativ'!$C$6:$C$405,F754,'Istoric_Nativ'!$F$6:$F$405,G754,'Istoric_Nativ'!$O$6:$O$405,"INVALID",'Istoric_Nativ'!$D$6:$D$405,"*")+COUNTIFS('Istoric_Nativ'!$B$6:$B$405,E754,'Istoric_Nativ'!$C$6:$C$405,F754,'Istoric_Nativ'!$F$6:$F$405,G754,'Istoric_Nativ'!$D$6:$D$405,"&lt;"&amp;J754,'Istoric_Nativ'!$O$6:$O$405,"SOURCE CONFLICT"))</x:f>
        <x:v>0</x:v>
      </x:c>
      <x:c r="T754" s="2" t="str">
        <x:f>IF(B754="","",IF(R754&lt;&gt;"CLOSED",R754,IF(S754&gt;0,"NATIVE INPUT ISSUE",IF(M754=0,"NO HISTORY",IF(M754&lt;P754,"SMALL SAMPLE","DERIVED")))))</x:f>
      </x:c>
      <x:c r="U754" s="2" t="str">
        <x:f>IF(B754="","","NativeTable; "&amp;E754&amp;"; "&amp;F754&amp;"; "&amp;G754&amp;"; "&amp;H754&amp;"; before "&amp;TEXT(J754,"yyyy-mm-dd")&amp;IF(I754="RECENT","; from "&amp;TEXT(L754,"yyyy-mm-dd"),""))</x:f>
      </x:c>
    </x:row>
    <x:row r="755" ht="21" customHeight="1">
      <x:c r="A755" s="2" t="n">
        <x:v>63</x:v>
      </x:c>
      <x:c r="B755" s="2" t="str">
        <x:f>IF('Input_Meci'!A68="","",'Input_Meci'!A68)</x:f>
      </x:c>
      <x:c r="C755" s="2" t="str">
        <x:v>A</x:v>
      </x:c>
      <x:c r="D755" s="2" t="str">
        <x:v>CURRENT</x:v>
      </x:c>
      <x:c r="E755" s="2" t="str">
        <x:f>IF(B755="","",'Input_Meci'!B68)</x:f>
      </x:c>
      <x:c r="F755" s="2" t="str">
        <x:f>IF(B755="","",IF('Input_Meci'!C68="","",'Input_Meci'!C68))</x:f>
      </x:c>
      <x:c r="G755" s="2" t="str">
        <x:f>IF(B755="","",'Input_Meci'!E68)</x:f>
      </x:c>
      <x:c r="H755" s="2" t="str">
        <x:v>ANY</x:v>
      </x:c>
      <x:c r="I755" s="2" t="str">
        <x:v>RECENT</x:v>
      </x:c>
      <x:c r="J755" s="9" t="n">
        <x:f>IF(AND(B755&lt;&gt;"",ISNUMBER('Input_Meci'!G68)),INT('Input_Meci'!G68),0)</x:f>
        <x:v>0</x:v>
      </x:c>
      <x:c r="K755" s="2" t="n">
        <x:f>IF(OR(B755="",F755=""),0,IF(H755="HOME",COUNTIFS('Istoric_Nativ'!$B$6:$B$405,E755,'Istoric_Nativ'!$C$6:$C$405,F755,'Istoric_Nativ'!$E$6:$E$405,G755,'Istoric_Nativ'!$D$6:$D$405,"&lt;"&amp;J755,'Istoric_Nativ'!$P$6:$P$405,1),IF(H755="AWAY",COUNTIFS('Istoric_Nativ'!$B$6:$B$405,E755,'Istoric_Nativ'!$C$6:$C$405,F755,'Istoric_Nativ'!$F$6:$F$405,G755,'Istoric_Nativ'!$D$6:$D$405,"&lt;"&amp;J755,'Istoric_Nativ'!$P$6:$P$405,1),COUNTIFS('Istoric_Nativ'!$B$6:$B$405,E755,'Istoric_Nativ'!$C$6:$C$405,F755,'Istoric_Nativ'!$E$6:$E$405,G755,'Istoric_Nativ'!$D$6:$D$405,"&lt;"&amp;J755,'Istoric_Nativ'!$P$6:$P$405,1)+COUNTIFS('Istoric_Nativ'!$B$6:$B$405,E755,'Istoric_Nativ'!$C$6:$C$405,F755,'Istoric_Nativ'!$F$6:$F$405,G755,'Istoric_Nativ'!$D$6:$D$405,"&lt;"&amp;J755,'Istoric_Nativ'!$P$6:$P$405,1))))</x:f>
        <x:v>0</x:v>
      </x:c>
      <x:c r="L755" s="17" t="n">
        <x:f>IF(AND(B755&lt;&gt;"",I755="RECENT",K755&gt;0),LARGE(_xlfn._xlws.FILTER('Istoric_Nativ'!$D$6:$D$405,('Istoric_Nativ'!$B$6:$B$405=E755)*('Istoric_Nativ'!$C$6:$C$405=F755)*('Istoric_Nativ'!$P$6:$P$405=1)*('Istoric_Nativ'!$D$6:$D$405&lt;J755)*((('Istoric_Nativ'!$E$6:$E$405=G755)+('Istoric_Nativ'!$F$6:$F$405=G755))&gt;0)),MIN('Config_v6'!$B$54,K755)),0)</x:f>
        <x:v>0</x:v>
      </x:c>
      <x:c r="M755" s="2" t="n">
        <x:f>IF(OR(B755="",F755=""),0,IF(H755="HOME",COUNTIFS('Istoric_Nativ'!$B$6:$B$405,E755,'Istoric_Nativ'!$C$6:$C$405,F755,'Istoric_Nativ'!$E$6:$E$405,G755,'Istoric_Nativ'!$D$6:$D$405,"&lt;"&amp;J755,'Istoric_Nativ'!$P$6:$P$405,1,'Istoric_Nativ'!$D$6:$D$405,"&gt;="&amp;L755),IF(H755="AWAY",COUNTIFS('Istoric_Nativ'!$B$6:$B$405,E755,'Istoric_Nativ'!$C$6:$C$405,F755,'Istoric_Nativ'!$F$6:$F$405,G755,'Istoric_Nativ'!$D$6:$D$405,"&lt;"&amp;J755,'Istoric_Nativ'!$P$6:$P$405,1,'Istoric_Nativ'!$D$6:$D$405,"&gt;="&amp;L755),COUNTIFS('Istoric_Nativ'!$B$6:$B$405,E755,'Istoric_Nativ'!$C$6:$C$405,F755,'Istoric_Nativ'!$E$6:$E$405,G755,'Istoric_Nativ'!$D$6:$D$405,"&lt;"&amp;J755,'Istoric_Nativ'!$P$6:$P$405,1,'Istoric_Nativ'!$D$6:$D$405,"&gt;="&amp;L755)+COUNTIFS('Istoric_Nativ'!$B$6:$B$405,E755,'Istoric_Nativ'!$C$6:$C$405,F755,'Istoric_Nativ'!$F$6:$F$405,G755,'Istoric_Nativ'!$D$6:$D$405,"&lt;"&amp;J755,'Istoric_Nativ'!$P$6:$P$405,1,'Istoric_Nativ'!$D$6:$D$405,"&gt;="&amp;L755))))</x:f>
        <x:v>0</x:v>
      </x:c>
      <x:c r="N755" s="11" t="str">
        <x:f>IF(M755=0,"",IF(H755="HOME",SUMIFS('Istoric_Nativ'!$G$6:$G$405,'Istoric_Nativ'!$B$6:$B$405,E755,'Istoric_Nativ'!$C$6:$C$405,F755,'Istoric_Nativ'!$E$6:$E$405,G755,'Istoric_Nativ'!$D$6:$D$405,"&lt;"&amp;J755,'Istoric_Nativ'!$P$6:$P$405,1,'Istoric_Nativ'!$D$6:$D$405,"&gt;="&amp;L755),IF(H755="AWAY",SUMIFS('Istoric_Nativ'!$H$6:$H$405,'Istoric_Nativ'!$B$6:$B$405,E755,'Istoric_Nativ'!$C$6:$C$405,F755,'Istoric_Nativ'!$F$6:$F$405,G755,'Istoric_Nativ'!$D$6:$D$405,"&lt;"&amp;J755,'Istoric_Nativ'!$P$6:$P$405,1,'Istoric_Nativ'!$D$6:$D$405,"&gt;="&amp;L755),SUMIFS('Istoric_Nativ'!$G$6:$G$405,'Istoric_Nativ'!$B$6:$B$405,E755,'Istoric_Nativ'!$C$6:$C$405,F755,'Istoric_Nativ'!$E$6:$E$405,G755,'Istoric_Nativ'!$D$6:$D$405,"&lt;"&amp;J755,'Istoric_Nativ'!$P$6:$P$405,1,'Istoric_Nativ'!$D$6:$D$405,"&gt;="&amp;L755)+SUMIFS('Istoric_Nativ'!$H$6:$H$405,'Istoric_Nativ'!$B$6:$B$405,E755,'Istoric_Nativ'!$C$6:$C$405,F755,'Istoric_Nativ'!$F$6:$F$405,G755,'Istoric_Nativ'!$D$6:$D$405,"&lt;"&amp;J755,'Istoric_Nativ'!$P$6:$P$405,1,'Istoric_Nativ'!$D$6:$D$405,"&gt;="&amp;L755)))/M755)</x:f>
      </x:c>
      <x:c r="O755" s="11" t="str">
        <x:f>IF(M755=0,"",IF(H755="HOME",SUMIFS('Istoric_Nativ'!$H$6:$H$405,'Istoric_Nativ'!$B$6:$B$405,E755,'Istoric_Nativ'!$C$6:$C$405,F755,'Istoric_Nativ'!$E$6:$E$405,G755,'Istoric_Nativ'!$D$6:$D$405,"&lt;"&amp;J755,'Istoric_Nativ'!$P$6:$P$405,1,'Istoric_Nativ'!$D$6:$D$405,"&gt;="&amp;L755),IF(H755="AWAY",SUMIFS('Istoric_Nativ'!$G$6:$G$405,'Istoric_Nativ'!$B$6:$B$405,E755,'Istoric_Nativ'!$C$6:$C$405,F755,'Istoric_Nativ'!$F$6:$F$405,G755,'Istoric_Nativ'!$D$6:$D$405,"&lt;"&amp;J755,'Istoric_Nativ'!$P$6:$P$405,1,'Istoric_Nativ'!$D$6:$D$405,"&gt;="&amp;L755),SUMIFS('Istoric_Nativ'!$H$6:$H$405,'Istoric_Nativ'!$B$6:$B$405,E755,'Istoric_Nativ'!$C$6:$C$405,F755,'Istoric_Nativ'!$E$6:$E$405,G755,'Istoric_Nativ'!$D$6:$D$405,"&lt;"&amp;J755,'Istoric_Nativ'!$P$6:$P$405,1,'Istoric_Nativ'!$D$6:$D$405,"&gt;="&amp;L755)+SUMIFS('Istoric_Nativ'!$G$6:$G$405,'Istoric_Nativ'!$B$6:$B$405,E755,'Istoric_Nativ'!$C$6:$C$405,F755,'Istoric_Nativ'!$F$6:$F$405,G755,'Istoric_Nativ'!$D$6:$D$405,"&lt;"&amp;J755,'Istoric_Nativ'!$P$6:$P$405,1,'Istoric_Nativ'!$D$6:$D$405,"&gt;="&amp;L755)))/M755)</x:f>
      </x:c>
      <x:c r="P755" s="2" t="n">
        <x:f>'Config_v6'!$B$9</x:f>
        <x:v>3</x:v>
      </x:c>
      <x:c r="Q755" s="2" t="n">
        <x:f>IF(OR(B755="",F755=""),0,IFERROR(MATCH(E755&amp;"|"&amp;F755,SourceTable[Source_Key],0),0))</x:f>
        <x:v>0</x:v>
      </x:c>
      <x:c r="R755" s="2" t="str">
        <x:f>IF(B755="","",IF(F755="","UNUSED",IF(Q755=0,"NOT CHECKED",IF(COUNTIF(SourceTable[Source_Key],E755&amp;"|"&amp;F755)&lt;&gt;1,"SOURCE CONFLICT",IF(NOT(OR(INDEX(SourceTable[Status],MAX(1,Q755))="IMPORTED",INDEX(SourceTable[Status],MAX(1,Q755))="PARTIAL",INDEX(SourceTable[Status],MAX(1,Q755))="SOURCE CONFLICT")),"ACCESS BLOCKED",IF(OR(INDEX(SourceTable[Coverage],Q755)&lt;&gt;"FULL SEASON EXPORT",INDEX(SourceTable[URL],Q755)="",INDEX(SourceTable[SHA256],Q755)=""),"EVIDENCE INCOMPLETE",IF(AND('Input_Meci'!H68="LIVE",INDEX(SourceTable[Retrieved_UTC],Q755)&gt;'Input_Meci'!G68),"POST CUTOFF","CLOSED")))))))</x:f>
      </x:c>
      <x:c r="S755" s="2" t="n">
        <x:f>IF(OR(B755="",F755=""),0,COUNTIFS('Istoric_Nativ'!$B$6:$B$405,E755,'Istoric_Nativ'!$C$6:$C$405,F755,'Istoric_Nativ'!$E$6:$E$405,G755,'Istoric_Nativ'!$D$6:$D$405,"&lt;"&amp;J755,'Istoric_Nativ'!$O$6:$O$405,"INVALID")+COUNTIFS('Istoric_Nativ'!$B$6:$B$405,E755,'Istoric_Nativ'!$C$6:$C$405,F755,'Istoric_Nativ'!$E$6:$E$405,G755,'Istoric_Nativ'!$O$6:$O$405,"INVALID",'Istoric_Nativ'!$D$6:$D$405,"*")+COUNTIFS('Istoric_Nativ'!$B$6:$B$405,E755,'Istoric_Nativ'!$C$6:$C$405,F755,'Istoric_Nativ'!$E$6:$E$405,G755,'Istoric_Nativ'!$D$6:$D$405,"&lt;"&amp;J755,'Istoric_Nativ'!$O$6:$O$405,"SOURCE CONFLICT")+COUNTIFS('Istoric_Nativ'!$B$6:$B$405,E755,'Istoric_Nativ'!$C$6:$C$405,F755,'Istoric_Nativ'!$F$6:$F$405,G755,'Istoric_Nativ'!$D$6:$D$405,"&lt;"&amp;J755,'Istoric_Nativ'!$O$6:$O$405,"INVALID")+COUNTIFS('Istoric_Nativ'!$B$6:$B$405,E755,'Istoric_Nativ'!$C$6:$C$405,F755,'Istoric_Nativ'!$F$6:$F$405,G755,'Istoric_Nativ'!$O$6:$O$405,"INVALID",'Istoric_Nativ'!$D$6:$D$405,"*")+COUNTIFS('Istoric_Nativ'!$B$6:$B$405,E755,'Istoric_Nativ'!$C$6:$C$405,F755,'Istoric_Nativ'!$F$6:$F$405,G755,'Istoric_Nativ'!$D$6:$D$405,"&lt;"&amp;J755,'Istoric_Nativ'!$O$6:$O$405,"SOURCE CONFLICT"))</x:f>
        <x:v>0</x:v>
      </x:c>
      <x:c r="T755" s="2" t="str">
        <x:f>IF(B755="","",IF(R755&lt;&gt;"CLOSED",R755,IF(S755&gt;0,"NATIVE INPUT ISSUE",IF(M755=0,"NO HISTORY",IF(M755&lt;P755,"SMALL SAMPLE","DERIVED")))))</x:f>
      </x:c>
      <x:c r="U755" s="2" t="str">
        <x:f>IF(B755="","","NativeTable; "&amp;E755&amp;"; "&amp;F755&amp;"; "&amp;G755&amp;"; "&amp;H755&amp;"; before "&amp;TEXT(J755,"yyyy-mm-dd")&amp;IF(I755="RECENT","; from "&amp;TEXT(L755,"yyyy-mm-dd"),""))</x:f>
      </x:c>
    </x:row>
    <x:row r="756" ht="21" customHeight="1">
      <x:c r="A756" s="2" t="n">
        <x:v>63</x:v>
      </x:c>
      <x:c r="B756" s="2" t="str">
        <x:f>IF('Input_Meci'!A68="","",'Input_Meci'!A68)</x:f>
      </x:c>
      <x:c r="C756" s="2" t="str">
        <x:v>H</x:v>
      </x:c>
      <x:c r="D756" s="2" t="str">
        <x:v>PRIOR</x:v>
      </x:c>
      <x:c r="E756" s="2" t="str">
        <x:f>IF(B756="","",'Input_Meci'!B68)</x:f>
      </x:c>
      <x:c r="F756" s="2" t="str">
        <x:f>IF(B756="","",IF('Input_Meci'!K68="","",'Input_Meci'!K68))</x:f>
      </x:c>
      <x:c r="G756" s="2" t="str">
        <x:f>IF(B756="","",'Input_Meci'!D68)</x:f>
      </x:c>
      <x:c r="H756" s="2" t="str">
        <x:v>ANY</x:v>
      </x:c>
      <x:c r="I756" s="2" t="str">
        <x:v>SEASON</x:v>
      </x:c>
      <x:c r="J756" s="9" t="n">
        <x:f>IF(AND(B756&lt;&gt;"",ISNUMBER('Input_Meci'!G68)),INT('Input_Meci'!G68),0)</x:f>
        <x:v>0</x:v>
      </x:c>
      <x:c r="K756" s="2" t="n">
        <x:f>IF(OR(B756="",F756=""),0,IF(H756="HOME",COUNTIFS('Istoric_Nativ'!$B$6:$B$405,E756,'Istoric_Nativ'!$C$6:$C$405,F756,'Istoric_Nativ'!$E$6:$E$405,G756,'Istoric_Nativ'!$D$6:$D$405,"&lt;"&amp;J756,'Istoric_Nativ'!$P$6:$P$405,1),IF(H756="AWAY",COUNTIFS('Istoric_Nativ'!$B$6:$B$405,E756,'Istoric_Nativ'!$C$6:$C$405,F756,'Istoric_Nativ'!$F$6:$F$405,G756,'Istoric_Nativ'!$D$6:$D$405,"&lt;"&amp;J756,'Istoric_Nativ'!$P$6:$P$405,1),COUNTIFS('Istoric_Nativ'!$B$6:$B$405,E756,'Istoric_Nativ'!$C$6:$C$405,F756,'Istoric_Nativ'!$E$6:$E$405,G756,'Istoric_Nativ'!$D$6:$D$405,"&lt;"&amp;J756,'Istoric_Nativ'!$P$6:$P$405,1)+COUNTIFS('Istoric_Nativ'!$B$6:$B$405,E756,'Istoric_Nativ'!$C$6:$C$405,F756,'Istoric_Nativ'!$F$6:$F$405,G756,'Istoric_Nativ'!$D$6:$D$405,"&lt;"&amp;J756,'Istoric_Nativ'!$P$6:$P$405,1))))</x:f>
        <x:v>0</x:v>
      </x:c>
      <x:c r="L756" s="17" t="n">
        <x:f>IF(AND(B756&lt;&gt;"",I756="RECENT",K756&gt;0),LARGE(_xlfn._xlws.FILTER('Istoric_Nativ'!$D$6:$D$405,('Istoric_Nativ'!$B$6:$B$405=E756)*('Istoric_Nativ'!$C$6:$C$405=F756)*('Istoric_Nativ'!$P$6:$P$405=1)*('Istoric_Nativ'!$D$6:$D$405&lt;J756)*((('Istoric_Nativ'!$E$6:$E$405=G756)+('Istoric_Nativ'!$F$6:$F$405=G756))&gt;0)),MIN('Config_v6'!$B$54,K756)),0)</x:f>
        <x:v>0</x:v>
      </x:c>
      <x:c r="M756" s="2" t="n">
        <x:f>IF(OR(B756="",F756=""),0,IF(H756="HOME",COUNTIFS('Istoric_Nativ'!$B$6:$B$405,E756,'Istoric_Nativ'!$C$6:$C$405,F756,'Istoric_Nativ'!$E$6:$E$405,G756,'Istoric_Nativ'!$D$6:$D$405,"&lt;"&amp;J756,'Istoric_Nativ'!$P$6:$P$405,1,'Istoric_Nativ'!$D$6:$D$405,"&gt;="&amp;L756),IF(H756="AWAY",COUNTIFS('Istoric_Nativ'!$B$6:$B$405,E756,'Istoric_Nativ'!$C$6:$C$405,F756,'Istoric_Nativ'!$F$6:$F$405,G756,'Istoric_Nativ'!$D$6:$D$405,"&lt;"&amp;J756,'Istoric_Nativ'!$P$6:$P$405,1,'Istoric_Nativ'!$D$6:$D$405,"&gt;="&amp;L756),COUNTIFS('Istoric_Nativ'!$B$6:$B$405,E756,'Istoric_Nativ'!$C$6:$C$405,F756,'Istoric_Nativ'!$E$6:$E$405,G756,'Istoric_Nativ'!$D$6:$D$405,"&lt;"&amp;J756,'Istoric_Nativ'!$P$6:$P$405,1,'Istoric_Nativ'!$D$6:$D$405,"&gt;="&amp;L756)+COUNTIFS('Istoric_Nativ'!$B$6:$B$405,E756,'Istoric_Nativ'!$C$6:$C$405,F756,'Istoric_Nativ'!$F$6:$F$405,G756,'Istoric_Nativ'!$D$6:$D$405,"&lt;"&amp;J756,'Istoric_Nativ'!$P$6:$P$405,1,'Istoric_Nativ'!$D$6:$D$405,"&gt;="&amp;L756))))</x:f>
        <x:v>0</x:v>
      </x:c>
      <x:c r="N756" s="11" t="str">
        <x:f>IF(M756=0,"",IF(H756="HOME",SUMIFS('Istoric_Nativ'!$G$6:$G$405,'Istoric_Nativ'!$B$6:$B$405,E756,'Istoric_Nativ'!$C$6:$C$405,F756,'Istoric_Nativ'!$E$6:$E$405,G756,'Istoric_Nativ'!$D$6:$D$405,"&lt;"&amp;J756,'Istoric_Nativ'!$P$6:$P$405,1,'Istoric_Nativ'!$D$6:$D$405,"&gt;="&amp;L756),IF(H756="AWAY",SUMIFS('Istoric_Nativ'!$H$6:$H$405,'Istoric_Nativ'!$B$6:$B$405,E756,'Istoric_Nativ'!$C$6:$C$405,F756,'Istoric_Nativ'!$F$6:$F$405,G756,'Istoric_Nativ'!$D$6:$D$405,"&lt;"&amp;J756,'Istoric_Nativ'!$P$6:$P$405,1,'Istoric_Nativ'!$D$6:$D$405,"&gt;="&amp;L756),SUMIFS('Istoric_Nativ'!$G$6:$G$405,'Istoric_Nativ'!$B$6:$B$405,E756,'Istoric_Nativ'!$C$6:$C$405,F756,'Istoric_Nativ'!$E$6:$E$405,G756,'Istoric_Nativ'!$D$6:$D$405,"&lt;"&amp;J756,'Istoric_Nativ'!$P$6:$P$405,1,'Istoric_Nativ'!$D$6:$D$405,"&gt;="&amp;L756)+SUMIFS('Istoric_Nativ'!$H$6:$H$405,'Istoric_Nativ'!$B$6:$B$405,E756,'Istoric_Nativ'!$C$6:$C$405,F756,'Istoric_Nativ'!$F$6:$F$405,G756,'Istoric_Nativ'!$D$6:$D$405,"&lt;"&amp;J756,'Istoric_Nativ'!$P$6:$P$405,1,'Istoric_Nativ'!$D$6:$D$405,"&gt;="&amp;L756)))/M756)</x:f>
      </x:c>
      <x:c r="O756" s="11" t="str">
        <x:f>IF(M756=0,"",IF(H756="HOME",SUMIFS('Istoric_Nativ'!$H$6:$H$405,'Istoric_Nativ'!$B$6:$B$405,E756,'Istoric_Nativ'!$C$6:$C$405,F756,'Istoric_Nativ'!$E$6:$E$405,G756,'Istoric_Nativ'!$D$6:$D$405,"&lt;"&amp;J756,'Istoric_Nativ'!$P$6:$P$405,1,'Istoric_Nativ'!$D$6:$D$405,"&gt;="&amp;L756),IF(H756="AWAY",SUMIFS('Istoric_Nativ'!$G$6:$G$405,'Istoric_Nativ'!$B$6:$B$405,E756,'Istoric_Nativ'!$C$6:$C$405,F756,'Istoric_Nativ'!$F$6:$F$405,G756,'Istoric_Nativ'!$D$6:$D$405,"&lt;"&amp;J756,'Istoric_Nativ'!$P$6:$P$405,1,'Istoric_Nativ'!$D$6:$D$405,"&gt;="&amp;L756),SUMIFS('Istoric_Nativ'!$H$6:$H$405,'Istoric_Nativ'!$B$6:$B$405,E756,'Istoric_Nativ'!$C$6:$C$405,F756,'Istoric_Nativ'!$E$6:$E$405,G756,'Istoric_Nativ'!$D$6:$D$405,"&lt;"&amp;J756,'Istoric_Nativ'!$P$6:$P$405,1,'Istoric_Nativ'!$D$6:$D$405,"&gt;="&amp;L756)+SUMIFS('Istoric_Nativ'!$G$6:$G$405,'Istoric_Nativ'!$B$6:$B$405,E756,'Istoric_Nativ'!$C$6:$C$405,F756,'Istoric_Nativ'!$F$6:$F$405,G756,'Istoric_Nativ'!$D$6:$D$405,"&lt;"&amp;J756,'Istoric_Nativ'!$P$6:$P$405,1,'Istoric_Nativ'!$D$6:$D$405,"&gt;="&amp;L756)))/M756)</x:f>
      </x:c>
      <x:c r="P756" s="2" t="n">
        <x:f>'Config_v6'!$B$7</x:f>
        <x:v>10</x:v>
      </x:c>
      <x:c r="Q756" s="2" t="n">
        <x:f>IF(OR(B756="",F756=""),0,IFERROR(MATCH(E756&amp;"|"&amp;F756,SourceTable[Source_Key],0),0))</x:f>
        <x:v>0</x:v>
      </x:c>
      <x:c r="R756" s="2" t="str">
        <x:f>IF(B756="","",IF(F756="","UNUSED",IF(Q756=0,"NOT CHECKED",IF(COUNTIF(SourceTable[Source_Key],E756&amp;"|"&amp;F756)&lt;&gt;1,"SOURCE CONFLICT",IF(NOT(OR(INDEX(SourceTable[Status],MAX(1,Q756))="IMPORTED",INDEX(SourceTable[Status],MAX(1,Q756))="PARTIAL",INDEX(SourceTable[Status],MAX(1,Q756))="SOURCE CONFLICT")),"ACCESS BLOCKED",IF(OR(INDEX(SourceTable[Coverage],Q756)&lt;&gt;"FULL SEASON EXPORT",INDEX(SourceTable[URL],Q756)="",INDEX(SourceTable[SHA256],Q756)=""),"EVIDENCE INCOMPLETE",IF(AND('Input_Meci'!H68="LIVE",INDEX(SourceTable[Retrieved_UTC],Q756)&gt;'Input_Meci'!G68),"POST CUTOFF","CLOSED")))))))</x:f>
      </x:c>
      <x:c r="S756" s="2" t="n">
        <x:f>IF(OR(B756="",F756=""),0,COUNTIFS('Istoric_Nativ'!$B$6:$B$405,E756,'Istoric_Nativ'!$C$6:$C$405,F756,'Istoric_Nativ'!$E$6:$E$405,G756,'Istoric_Nativ'!$D$6:$D$405,"&lt;"&amp;J756,'Istoric_Nativ'!$O$6:$O$405,"INVALID")+COUNTIFS('Istoric_Nativ'!$B$6:$B$405,E756,'Istoric_Nativ'!$C$6:$C$405,F756,'Istoric_Nativ'!$E$6:$E$405,G756,'Istoric_Nativ'!$O$6:$O$405,"INVALID",'Istoric_Nativ'!$D$6:$D$405,"*")+COUNTIFS('Istoric_Nativ'!$B$6:$B$405,E756,'Istoric_Nativ'!$C$6:$C$405,F756,'Istoric_Nativ'!$E$6:$E$405,G756,'Istoric_Nativ'!$D$6:$D$405,"&lt;"&amp;J756,'Istoric_Nativ'!$O$6:$O$405,"SOURCE CONFLICT")+COUNTIFS('Istoric_Nativ'!$B$6:$B$405,E756,'Istoric_Nativ'!$C$6:$C$405,F756,'Istoric_Nativ'!$F$6:$F$405,G756,'Istoric_Nativ'!$D$6:$D$405,"&lt;"&amp;J756,'Istoric_Nativ'!$O$6:$O$405,"INVALID")+COUNTIFS('Istoric_Nativ'!$B$6:$B$405,E756,'Istoric_Nativ'!$C$6:$C$405,F756,'Istoric_Nativ'!$F$6:$F$405,G756,'Istoric_Nativ'!$O$6:$O$405,"INVALID",'Istoric_Nativ'!$D$6:$D$405,"*")+COUNTIFS('Istoric_Nativ'!$B$6:$B$405,E756,'Istoric_Nativ'!$C$6:$C$405,F756,'Istoric_Nativ'!$F$6:$F$405,G756,'Istoric_Nativ'!$D$6:$D$405,"&lt;"&amp;J756,'Istoric_Nativ'!$O$6:$O$405,"SOURCE CONFLICT"))</x:f>
        <x:v>0</x:v>
      </x:c>
      <x:c r="T756" s="2" t="str">
        <x:f>IF(B756="","",IF(R756&lt;&gt;"CLOSED",R756,IF(S756&gt;0,"NATIVE INPUT ISSUE",IF(M756=0,"NO HISTORY",IF(M756&lt;P756,"SMALL SAMPLE","DERIVED")))))</x:f>
      </x:c>
      <x:c r="U756" s="2" t="str">
        <x:f>IF(B756="","","NativeTable; "&amp;E756&amp;"; "&amp;F756&amp;"; "&amp;G756&amp;"; "&amp;H756&amp;"; before "&amp;TEXT(J756,"yyyy-mm-dd")&amp;IF(I756="RECENT","; from "&amp;TEXT(L756,"yyyy-mm-dd"),""))</x:f>
      </x:c>
    </x:row>
    <x:row r="757" ht="21" customHeight="1">
      <x:c r="A757" s="2" t="n">
        <x:v>63</x:v>
      </x:c>
      <x:c r="B757" s="2" t="str">
        <x:f>IF('Input_Meci'!A68="","",'Input_Meci'!A68)</x:f>
      </x:c>
      <x:c r="C757" s="2" t="str">
        <x:v>H</x:v>
      </x:c>
      <x:c r="D757" s="2" t="str">
        <x:v>PRIOR</x:v>
      </x:c>
      <x:c r="E757" s="2" t="str">
        <x:f>IF(B757="","",'Input_Meci'!B68)</x:f>
      </x:c>
      <x:c r="F757" s="2" t="str">
        <x:f>IF(B757="","",IF('Input_Meci'!K68="","",'Input_Meci'!K68))</x:f>
      </x:c>
      <x:c r="G757" s="2" t="str">
        <x:f>IF(B757="","",'Input_Meci'!D68)</x:f>
      </x:c>
      <x:c r="H757" s="2" t="str">
        <x:v>HOME</x:v>
      </x:c>
      <x:c r="I757" s="2" t="str">
        <x:v>HA</x:v>
      </x:c>
      <x:c r="J757" s="9" t="n">
        <x:f>IF(AND(B757&lt;&gt;"",ISNUMBER('Input_Meci'!G68)),INT('Input_Meci'!G68),0)</x:f>
        <x:v>0</x:v>
      </x:c>
      <x:c r="K757" s="2" t="n">
        <x:f>IF(OR(B757="",F757=""),0,IF(H757="HOME",COUNTIFS('Istoric_Nativ'!$B$6:$B$405,E757,'Istoric_Nativ'!$C$6:$C$405,F757,'Istoric_Nativ'!$E$6:$E$405,G757,'Istoric_Nativ'!$D$6:$D$405,"&lt;"&amp;J757,'Istoric_Nativ'!$P$6:$P$405,1),IF(H757="AWAY",COUNTIFS('Istoric_Nativ'!$B$6:$B$405,E757,'Istoric_Nativ'!$C$6:$C$405,F757,'Istoric_Nativ'!$F$6:$F$405,G757,'Istoric_Nativ'!$D$6:$D$405,"&lt;"&amp;J757,'Istoric_Nativ'!$P$6:$P$405,1),COUNTIFS('Istoric_Nativ'!$B$6:$B$405,E757,'Istoric_Nativ'!$C$6:$C$405,F757,'Istoric_Nativ'!$E$6:$E$405,G757,'Istoric_Nativ'!$D$6:$D$405,"&lt;"&amp;J757,'Istoric_Nativ'!$P$6:$P$405,1)+COUNTIFS('Istoric_Nativ'!$B$6:$B$405,E757,'Istoric_Nativ'!$C$6:$C$405,F757,'Istoric_Nativ'!$F$6:$F$405,G757,'Istoric_Nativ'!$D$6:$D$405,"&lt;"&amp;J757,'Istoric_Nativ'!$P$6:$P$405,1))))</x:f>
        <x:v>0</x:v>
      </x:c>
      <x:c r="L757" s="17" t="n">
        <x:f>IF(AND(B757&lt;&gt;"",I757="RECENT",K757&gt;0),LARGE(_xlfn._xlws.FILTER('Istoric_Nativ'!$D$6:$D$405,('Istoric_Nativ'!$B$6:$B$405=E757)*('Istoric_Nativ'!$C$6:$C$405=F757)*('Istoric_Nativ'!$P$6:$P$405=1)*('Istoric_Nativ'!$D$6:$D$405&lt;J757)*((('Istoric_Nativ'!$E$6:$E$405=G757)+('Istoric_Nativ'!$F$6:$F$405=G757))&gt;0)),MIN('Config_v6'!$B$54,K757)),0)</x:f>
        <x:v>0</x:v>
      </x:c>
      <x:c r="M757" s="2" t="n">
        <x:f>IF(OR(B757="",F757=""),0,IF(H757="HOME",COUNTIFS('Istoric_Nativ'!$B$6:$B$405,E757,'Istoric_Nativ'!$C$6:$C$405,F757,'Istoric_Nativ'!$E$6:$E$405,G757,'Istoric_Nativ'!$D$6:$D$405,"&lt;"&amp;J757,'Istoric_Nativ'!$P$6:$P$405,1,'Istoric_Nativ'!$D$6:$D$405,"&gt;="&amp;L757),IF(H757="AWAY",COUNTIFS('Istoric_Nativ'!$B$6:$B$405,E757,'Istoric_Nativ'!$C$6:$C$405,F757,'Istoric_Nativ'!$F$6:$F$405,G757,'Istoric_Nativ'!$D$6:$D$405,"&lt;"&amp;J757,'Istoric_Nativ'!$P$6:$P$405,1,'Istoric_Nativ'!$D$6:$D$405,"&gt;="&amp;L757),COUNTIFS('Istoric_Nativ'!$B$6:$B$405,E757,'Istoric_Nativ'!$C$6:$C$405,F757,'Istoric_Nativ'!$E$6:$E$405,G757,'Istoric_Nativ'!$D$6:$D$405,"&lt;"&amp;J757,'Istoric_Nativ'!$P$6:$P$405,1,'Istoric_Nativ'!$D$6:$D$405,"&gt;="&amp;L757)+COUNTIFS('Istoric_Nativ'!$B$6:$B$405,E757,'Istoric_Nativ'!$C$6:$C$405,F757,'Istoric_Nativ'!$F$6:$F$405,G757,'Istoric_Nativ'!$D$6:$D$405,"&lt;"&amp;J757,'Istoric_Nativ'!$P$6:$P$405,1,'Istoric_Nativ'!$D$6:$D$405,"&gt;="&amp;L757))))</x:f>
        <x:v>0</x:v>
      </x:c>
      <x:c r="N757" s="11" t="str">
        <x:f>IF(M757=0,"",IF(H757="HOME",SUMIFS('Istoric_Nativ'!$G$6:$G$405,'Istoric_Nativ'!$B$6:$B$405,E757,'Istoric_Nativ'!$C$6:$C$405,F757,'Istoric_Nativ'!$E$6:$E$405,G757,'Istoric_Nativ'!$D$6:$D$405,"&lt;"&amp;J757,'Istoric_Nativ'!$P$6:$P$405,1,'Istoric_Nativ'!$D$6:$D$405,"&gt;="&amp;L757),IF(H757="AWAY",SUMIFS('Istoric_Nativ'!$H$6:$H$405,'Istoric_Nativ'!$B$6:$B$405,E757,'Istoric_Nativ'!$C$6:$C$405,F757,'Istoric_Nativ'!$F$6:$F$405,G757,'Istoric_Nativ'!$D$6:$D$405,"&lt;"&amp;J757,'Istoric_Nativ'!$P$6:$P$405,1,'Istoric_Nativ'!$D$6:$D$405,"&gt;="&amp;L757),SUMIFS('Istoric_Nativ'!$G$6:$G$405,'Istoric_Nativ'!$B$6:$B$405,E757,'Istoric_Nativ'!$C$6:$C$405,F757,'Istoric_Nativ'!$E$6:$E$405,G757,'Istoric_Nativ'!$D$6:$D$405,"&lt;"&amp;J757,'Istoric_Nativ'!$P$6:$P$405,1,'Istoric_Nativ'!$D$6:$D$405,"&gt;="&amp;L757)+SUMIFS('Istoric_Nativ'!$H$6:$H$405,'Istoric_Nativ'!$B$6:$B$405,E757,'Istoric_Nativ'!$C$6:$C$405,F757,'Istoric_Nativ'!$F$6:$F$405,G757,'Istoric_Nativ'!$D$6:$D$405,"&lt;"&amp;J757,'Istoric_Nativ'!$P$6:$P$405,1,'Istoric_Nativ'!$D$6:$D$405,"&gt;="&amp;L757)))/M757)</x:f>
      </x:c>
      <x:c r="O757" s="11" t="str">
        <x:f>IF(M757=0,"",IF(H757="HOME",SUMIFS('Istoric_Nativ'!$H$6:$H$405,'Istoric_Nativ'!$B$6:$B$405,E757,'Istoric_Nativ'!$C$6:$C$405,F757,'Istoric_Nativ'!$E$6:$E$405,G757,'Istoric_Nativ'!$D$6:$D$405,"&lt;"&amp;J757,'Istoric_Nativ'!$P$6:$P$405,1,'Istoric_Nativ'!$D$6:$D$405,"&gt;="&amp;L757),IF(H757="AWAY",SUMIFS('Istoric_Nativ'!$G$6:$G$405,'Istoric_Nativ'!$B$6:$B$405,E757,'Istoric_Nativ'!$C$6:$C$405,F757,'Istoric_Nativ'!$F$6:$F$405,G757,'Istoric_Nativ'!$D$6:$D$405,"&lt;"&amp;J757,'Istoric_Nativ'!$P$6:$P$405,1,'Istoric_Nativ'!$D$6:$D$405,"&gt;="&amp;L757),SUMIFS('Istoric_Nativ'!$H$6:$H$405,'Istoric_Nativ'!$B$6:$B$405,E757,'Istoric_Nativ'!$C$6:$C$405,F757,'Istoric_Nativ'!$E$6:$E$405,G757,'Istoric_Nativ'!$D$6:$D$405,"&lt;"&amp;J757,'Istoric_Nativ'!$P$6:$P$405,1,'Istoric_Nativ'!$D$6:$D$405,"&gt;="&amp;L757)+SUMIFS('Istoric_Nativ'!$G$6:$G$405,'Istoric_Nativ'!$B$6:$B$405,E757,'Istoric_Nativ'!$C$6:$C$405,F757,'Istoric_Nativ'!$F$6:$F$405,G757,'Istoric_Nativ'!$D$6:$D$405,"&lt;"&amp;J757,'Istoric_Nativ'!$P$6:$P$405,1,'Istoric_Nativ'!$D$6:$D$405,"&gt;="&amp;L757)))/M757)</x:f>
      </x:c>
      <x:c r="P757" s="2" t="n">
        <x:f>'Config_v6'!$B$8</x:f>
        <x:v>5</x:v>
      </x:c>
      <x:c r="Q757" s="2" t="n">
        <x:f>IF(OR(B757="",F757=""),0,IFERROR(MATCH(E757&amp;"|"&amp;F757,SourceTable[Source_Key],0),0))</x:f>
        <x:v>0</x:v>
      </x:c>
      <x:c r="R757" s="2" t="str">
        <x:f>IF(B757="","",IF(F757="","UNUSED",IF(Q757=0,"NOT CHECKED",IF(COUNTIF(SourceTable[Source_Key],E757&amp;"|"&amp;F757)&lt;&gt;1,"SOURCE CONFLICT",IF(NOT(OR(INDEX(SourceTable[Status],MAX(1,Q757))="IMPORTED",INDEX(SourceTable[Status],MAX(1,Q757))="PARTIAL",INDEX(SourceTable[Status],MAX(1,Q757))="SOURCE CONFLICT")),"ACCESS BLOCKED",IF(OR(INDEX(SourceTable[Coverage],Q757)&lt;&gt;"FULL SEASON EXPORT",INDEX(SourceTable[URL],Q757)="",INDEX(SourceTable[SHA256],Q757)=""),"EVIDENCE INCOMPLETE",IF(AND('Input_Meci'!H68="LIVE",INDEX(SourceTable[Retrieved_UTC],Q757)&gt;'Input_Meci'!G68),"POST CUTOFF","CLOSED")))))))</x:f>
      </x:c>
      <x:c r="S757" s="2" t="n">
        <x:f>IF(OR(B757="",F757=""),0,COUNTIFS('Istoric_Nativ'!$B$6:$B$405,E757,'Istoric_Nativ'!$C$6:$C$405,F757,'Istoric_Nativ'!$E$6:$E$405,G757,'Istoric_Nativ'!$D$6:$D$405,"&lt;"&amp;J757,'Istoric_Nativ'!$O$6:$O$405,"INVALID")+COUNTIFS('Istoric_Nativ'!$B$6:$B$405,E757,'Istoric_Nativ'!$C$6:$C$405,F757,'Istoric_Nativ'!$E$6:$E$405,G757,'Istoric_Nativ'!$O$6:$O$405,"INVALID",'Istoric_Nativ'!$D$6:$D$405,"*")+COUNTIFS('Istoric_Nativ'!$B$6:$B$405,E757,'Istoric_Nativ'!$C$6:$C$405,F757,'Istoric_Nativ'!$E$6:$E$405,G757,'Istoric_Nativ'!$D$6:$D$405,"&lt;"&amp;J757,'Istoric_Nativ'!$O$6:$O$405,"SOURCE CONFLICT")+COUNTIFS('Istoric_Nativ'!$B$6:$B$405,E757,'Istoric_Nativ'!$C$6:$C$405,F757,'Istoric_Nativ'!$F$6:$F$405,G757,'Istoric_Nativ'!$D$6:$D$405,"&lt;"&amp;J757,'Istoric_Nativ'!$O$6:$O$405,"INVALID")+COUNTIFS('Istoric_Nativ'!$B$6:$B$405,E757,'Istoric_Nativ'!$C$6:$C$405,F757,'Istoric_Nativ'!$F$6:$F$405,G757,'Istoric_Nativ'!$O$6:$O$405,"INVALID",'Istoric_Nativ'!$D$6:$D$405,"*")+COUNTIFS('Istoric_Nativ'!$B$6:$B$405,E757,'Istoric_Nativ'!$C$6:$C$405,F757,'Istoric_Nativ'!$F$6:$F$405,G757,'Istoric_Nativ'!$D$6:$D$405,"&lt;"&amp;J757,'Istoric_Nativ'!$O$6:$O$405,"SOURCE CONFLICT"))</x:f>
        <x:v>0</x:v>
      </x:c>
      <x:c r="T757" s="2" t="str">
        <x:f>IF(B757="","",IF(R757&lt;&gt;"CLOSED",R757,IF(S757&gt;0,"NATIVE INPUT ISSUE",IF(M757=0,"NO HISTORY",IF(M757&lt;P757,"SMALL SAMPLE","DERIVED")))))</x:f>
      </x:c>
      <x:c r="U757" s="2" t="str">
        <x:f>IF(B757="","","NativeTable; "&amp;E757&amp;"; "&amp;F757&amp;"; "&amp;G757&amp;"; "&amp;H757&amp;"; before "&amp;TEXT(J757,"yyyy-mm-dd")&amp;IF(I757="RECENT","; from "&amp;TEXT(L757,"yyyy-mm-dd"),""))</x:f>
      </x:c>
    </x:row>
    <x:row r="758" ht="21" customHeight="1">
      <x:c r="A758" s="2" t="n">
        <x:v>63</x:v>
      </x:c>
      <x:c r="B758" s="2" t="str">
        <x:f>IF('Input_Meci'!A68="","",'Input_Meci'!A68)</x:f>
      </x:c>
      <x:c r="C758" s="2" t="str">
        <x:v>H</x:v>
      </x:c>
      <x:c r="D758" s="2" t="str">
        <x:v>PRIOR</x:v>
      </x:c>
      <x:c r="E758" s="2" t="str">
        <x:f>IF(B758="","",'Input_Meci'!B68)</x:f>
      </x:c>
      <x:c r="F758" s="2" t="str">
        <x:f>IF(B758="","",IF('Input_Meci'!K68="","",'Input_Meci'!K68))</x:f>
      </x:c>
      <x:c r="G758" s="2" t="str">
        <x:f>IF(B758="","",'Input_Meci'!D68)</x:f>
      </x:c>
      <x:c r="H758" s="2" t="str">
        <x:v>ANY</x:v>
      </x:c>
      <x:c r="I758" s="2" t="str">
        <x:v>RECENT</x:v>
      </x:c>
      <x:c r="J758" s="9" t="n">
        <x:f>IF(AND(B758&lt;&gt;"",ISNUMBER('Input_Meci'!G68)),INT('Input_Meci'!G68),0)</x:f>
        <x:v>0</x:v>
      </x:c>
      <x:c r="K758" s="2" t="n">
        <x:f>IF(OR(B758="",F758=""),0,IF(H758="HOME",COUNTIFS('Istoric_Nativ'!$B$6:$B$405,E758,'Istoric_Nativ'!$C$6:$C$405,F758,'Istoric_Nativ'!$E$6:$E$405,G758,'Istoric_Nativ'!$D$6:$D$405,"&lt;"&amp;J758,'Istoric_Nativ'!$P$6:$P$405,1),IF(H758="AWAY",COUNTIFS('Istoric_Nativ'!$B$6:$B$405,E758,'Istoric_Nativ'!$C$6:$C$405,F758,'Istoric_Nativ'!$F$6:$F$405,G758,'Istoric_Nativ'!$D$6:$D$405,"&lt;"&amp;J758,'Istoric_Nativ'!$P$6:$P$405,1),COUNTIFS('Istoric_Nativ'!$B$6:$B$405,E758,'Istoric_Nativ'!$C$6:$C$405,F758,'Istoric_Nativ'!$E$6:$E$405,G758,'Istoric_Nativ'!$D$6:$D$405,"&lt;"&amp;J758,'Istoric_Nativ'!$P$6:$P$405,1)+COUNTIFS('Istoric_Nativ'!$B$6:$B$405,E758,'Istoric_Nativ'!$C$6:$C$405,F758,'Istoric_Nativ'!$F$6:$F$405,G758,'Istoric_Nativ'!$D$6:$D$405,"&lt;"&amp;J758,'Istoric_Nativ'!$P$6:$P$405,1))))</x:f>
        <x:v>0</x:v>
      </x:c>
      <x:c r="L758" s="17" t="n">
        <x:f>IF(AND(B758&lt;&gt;"",I758="RECENT",K758&gt;0),LARGE(_xlfn._xlws.FILTER('Istoric_Nativ'!$D$6:$D$405,('Istoric_Nativ'!$B$6:$B$405=E758)*('Istoric_Nativ'!$C$6:$C$405=F758)*('Istoric_Nativ'!$P$6:$P$405=1)*('Istoric_Nativ'!$D$6:$D$405&lt;J758)*((('Istoric_Nativ'!$E$6:$E$405=G758)+('Istoric_Nativ'!$F$6:$F$405=G758))&gt;0)),MIN('Config_v6'!$B$54,K758)),0)</x:f>
        <x:v>0</x:v>
      </x:c>
      <x:c r="M758" s="2" t="n">
        <x:f>IF(OR(B758="",F758=""),0,IF(H758="HOME",COUNTIFS('Istoric_Nativ'!$B$6:$B$405,E758,'Istoric_Nativ'!$C$6:$C$405,F758,'Istoric_Nativ'!$E$6:$E$405,G758,'Istoric_Nativ'!$D$6:$D$405,"&lt;"&amp;J758,'Istoric_Nativ'!$P$6:$P$405,1,'Istoric_Nativ'!$D$6:$D$405,"&gt;="&amp;L758),IF(H758="AWAY",COUNTIFS('Istoric_Nativ'!$B$6:$B$405,E758,'Istoric_Nativ'!$C$6:$C$405,F758,'Istoric_Nativ'!$F$6:$F$405,G758,'Istoric_Nativ'!$D$6:$D$405,"&lt;"&amp;J758,'Istoric_Nativ'!$P$6:$P$405,1,'Istoric_Nativ'!$D$6:$D$405,"&gt;="&amp;L758),COUNTIFS('Istoric_Nativ'!$B$6:$B$405,E758,'Istoric_Nativ'!$C$6:$C$405,F758,'Istoric_Nativ'!$E$6:$E$405,G758,'Istoric_Nativ'!$D$6:$D$405,"&lt;"&amp;J758,'Istoric_Nativ'!$P$6:$P$405,1,'Istoric_Nativ'!$D$6:$D$405,"&gt;="&amp;L758)+COUNTIFS('Istoric_Nativ'!$B$6:$B$405,E758,'Istoric_Nativ'!$C$6:$C$405,F758,'Istoric_Nativ'!$F$6:$F$405,G758,'Istoric_Nativ'!$D$6:$D$405,"&lt;"&amp;J758,'Istoric_Nativ'!$P$6:$P$405,1,'Istoric_Nativ'!$D$6:$D$405,"&gt;="&amp;L758))))</x:f>
        <x:v>0</x:v>
      </x:c>
      <x:c r="N758" s="11" t="str">
        <x:f>IF(M758=0,"",IF(H758="HOME",SUMIFS('Istoric_Nativ'!$G$6:$G$405,'Istoric_Nativ'!$B$6:$B$405,E758,'Istoric_Nativ'!$C$6:$C$405,F758,'Istoric_Nativ'!$E$6:$E$405,G758,'Istoric_Nativ'!$D$6:$D$405,"&lt;"&amp;J758,'Istoric_Nativ'!$P$6:$P$405,1,'Istoric_Nativ'!$D$6:$D$405,"&gt;="&amp;L758),IF(H758="AWAY",SUMIFS('Istoric_Nativ'!$H$6:$H$405,'Istoric_Nativ'!$B$6:$B$405,E758,'Istoric_Nativ'!$C$6:$C$405,F758,'Istoric_Nativ'!$F$6:$F$405,G758,'Istoric_Nativ'!$D$6:$D$405,"&lt;"&amp;J758,'Istoric_Nativ'!$P$6:$P$405,1,'Istoric_Nativ'!$D$6:$D$405,"&gt;="&amp;L758),SUMIFS('Istoric_Nativ'!$G$6:$G$405,'Istoric_Nativ'!$B$6:$B$405,E758,'Istoric_Nativ'!$C$6:$C$405,F758,'Istoric_Nativ'!$E$6:$E$405,G758,'Istoric_Nativ'!$D$6:$D$405,"&lt;"&amp;J758,'Istoric_Nativ'!$P$6:$P$405,1,'Istoric_Nativ'!$D$6:$D$405,"&gt;="&amp;L758)+SUMIFS('Istoric_Nativ'!$H$6:$H$405,'Istoric_Nativ'!$B$6:$B$405,E758,'Istoric_Nativ'!$C$6:$C$405,F758,'Istoric_Nativ'!$F$6:$F$405,G758,'Istoric_Nativ'!$D$6:$D$405,"&lt;"&amp;J758,'Istoric_Nativ'!$P$6:$P$405,1,'Istoric_Nativ'!$D$6:$D$405,"&gt;="&amp;L758)))/M758)</x:f>
      </x:c>
      <x:c r="O758" s="11" t="str">
        <x:f>IF(M758=0,"",IF(H758="HOME",SUMIFS('Istoric_Nativ'!$H$6:$H$405,'Istoric_Nativ'!$B$6:$B$405,E758,'Istoric_Nativ'!$C$6:$C$405,F758,'Istoric_Nativ'!$E$6:$E$405,G758,'Istoric_Nativ'!$D$6:$D$405,"&lt;"&amp;J758,'Istoric_Nativ'!$P$6:$P$405,1,'Istoric_Nativ'!$D$6:$D$405,"&gt;="&amp;L758),IF(H758="AWAY",SUMIFS('Istoric_Nativ'!$G$6:$G$405,'Istoric_Nativ'!$B$6:$B$405,E758,'Istoric_Nativ'!$C$6:$C$405,F758,'Istoric_Nativ'!$F$6:$F$405,G758,'Istoric_Nativ'!$D$6:$D$405,"&lt;"&amp;J758,'Istoric_Nativ'!$P$6:$P$405,1,'Istoric_Nativ'!$D$6:$D$405,"&gt;="&amp;L758),SUMIFS('Istoric_Nativ'!$H$6:$H$405,'Istoric_Nativ'!$B$6:$B$405,E758,'Istoric_Nativ'!$C$6:$C$405,F758,'Istoric_Nativ'!$E$6:$E$405,G758,'Istoric_Nativ'!$D$6:$D$405,"&lt;"&amp;J758,'Istoric_Nativ'!$P$6:$P$405,1,'Istoric_Nativ'!$D$6:$D$405,"&gt;="&amp;L758)+SUMIFS('Istoric_Nativ'!$G$6:$G$405,'Istoric_Nativ'!$B$6:$B$405,E758,'Istoric_Nativ'!$C$6:$C$405,F758,'Istoric_Nativ'!$F$6:$F$405,G758,'Istoric_Nativ'!$D$6:$D$405,"&lt;"&amp;J758,'Istoric_Nativ'!$P$6:$P$405,1,'Istoric_Nativ'!$D$6:$D$405,"&gt;="&amp;L758)))/M758)</x:f>
      </x:c>
      <x:c r="P758" s="2" t="n">
        <x:f>'Config_v6'!$B$9</x:f>
        <x:v>3</x:v>
      </x:c>
      <x:c r="Q758" s="2" t="n">
        <x:f>IF(OR(B758="",F758=""),0,IFERROR(MATCH(E758&amp;"|"&amp;F758,SourceTable[Source_Key],0),0))</x:f>
        <x:v>0</x:v>
      </x:c>
      <x:c r="R758" s="2" t="str">
        <x:f>IF(B758="","",IF(F758="","UNUSED",IF(Q758=0,"NOT CHECKED",IF(COUNTIF(SourceTable[Source_Key],E758&amp;"|"&amp;F758)&lt;&gt;1,"SOURCE CONFLICT",IF(NOT(OR(INDEX(SourceTable[Status],MAX(1,Q758))="IMPORTED",INDEX(SourceTable[Status],MAX(1,Q758))="PARTIAL",INDEX(SourceTable[Status],MAX(1,Q758))="SOURCE CONFLICT")),"ACCESS BLOCKED",IF(OR(INDEX(SourceTable[Coverage],Q758)&lt;&gt;"FULL SEASON EXPORT",INDEX(SourceTable[URL],Q758)="",INDEX(SourceTable[SHA256],Q758)=""),"EVIDENCE INCOMPLETE",IF(AND('Input_Meci'!H68="LIVE",INDEX(SourceTable[Retrieved_UTC],Q758)&gt;'Input_Meci'!G68),"POST CUTOFF","CLOSED")))))))</x:f>
      </x:c>
      <x:c r="S758" s="2" t="n">
        <x:f>IF(OR(B758="",F758=""),0,COUNTIFS('Istoric_Nativ'!$B$6:$B$405,E758,'Istoric_Nativ'!$C$6:$C$405,F758,'Istoric_Nativ'!$E$6:$E$405,G758,'Istoric_Nativ'!$D$6:$D$405,"&lt;"&amp;J758,'Istoric_Nativ'!$O$6:$O$405,"INVALID")+COUNTIFS('Istoric_Nativ'!$B$6:$B$405,E758,'Istoric_Nativ'!$C$6:$C$405,F758,'Istoric_Nativ'!$E$6:$E$405,G758,'Istoric_Nativ'!$O$6:$O$405,"INVALID",'Istoric_Nativ'!$D$6:$D$405,"*")+COUNTIFS('Istoric_Nativ'!$B$6:$B$405,E758,'Istoric_Nativ'!$C$6:$C$405,F758,'Istoric_Nativ'!$E$6:$E$405,G758,'Istoric_Nativ'!$D$6:$D$405,"&lt;"&amp;J758,'Istoric_Nativ'!$O$6:$O$405,"SOURCE CONFLICT")+COUNTIFS('Istoric_Nativ'!$B$6:$B$405,E758,'Istoric_Nativ'!$C$6:$C$405,F758,'Istoric_Nativ'!$F$6:$F$405,G758,'Istoric_Nativ'!$D$6:$D$405,"&lt;"&amp;J758,'Istoric_Nativ'!$O$6:$O$405,"INVALID")+COUNTIFS('Istoric_Nativ'!$B$6:$B$405,E758,'Istoric_Nativ'!$C$6:$C$405,F758,'Istoric_Nativ'!$F$6:$F$405,G758,'Istoric_Nativ'!$O$6:$O$405,"INVALID",'Istoric_Nativ'!$D$6:$D$405,"*")+COUNTIFS('Istoric_Nativ'!$B$6:$B$405,E758,'Istoric_Nativ'!$C$6:$C$405,F758,'Istoric_Nativ'!$F$6:$F$405,G758,'Istoric_Nativ'!$D$6:$D$405,"&lt;"&amp;J758,'Istoric_Nativ'!$O$6:$O$405,"SOURCE CONFLICT"))</x:f>
        <x:v>0</x:v>
      </x:c>
      <x:c r="T758" s="2" t="str">
        <x:f>IF(B758="","",IF(R758&lt;&gt;"CLOSED",R758,IF(S758&gt;0,"NATIVE INPUT ISSUE",IF(M758=0,"NO HISTORY",IF(M758&lt;P758,"SMALL SAMPLE","DERIVED")))))</x:f>
      </x:c>
      <x:c r="U758" s="2" t="str">
        <x:f>IF(B758="","","NativeTable; "&amp;E758&amp;"; "&amp;F758&amp;"; "&amp;G758&amp;"; "&amp;H758&amp;"; before "&amp;TEXT(J758,"yyyy-mm-dd")&amp;IF(I758="RECENT","; from "&amp;TEXT(L758,"yyyy-mm-dd"),""))</x:f>
      </x:c>
    </x:row>
    <x:row r="759" ht="21" customHeight="1">
      <x:c r="A759" s="2" t="n">
        <x:v>63</x:v>
      </x:c>
      <x:c r="B759" s="2" t="str">
        <x:f>IF('Input_Meci'!A68="","",'Input_Meci'!A68)</x:f>
      </x:c>
      <x:c r="C759" s="2" t="str">
        <x:v>A</x:v>
      </x:c>
      <x:c r="D759" s="2" t="str">
        <x:v>PRIOR</x:v>
      </x:c>
      <x:c r="E759" s="2" t="str">
        <x:f>IF(B759="","",'Input_Meci'!B68)</x:f>
      </x:c>
      <x:c r="F759" s="2" t="str">
        <x:f>IF(B759="","",IF('Input_Meci'!K68="","",'Input_Meci'!K68))</x:f>
      </x:c>
      <x:c r="G759" s="2" t="str">
        <x:f>IF(B759="","",'Input_Meci'!E68)</x:f>
      </x:c>
      <x:c r="H759" s="2" t="str">
        <x:v>ANY</x:v>
      </x:c>
      <x:c r="I759" s="2" t="str">
        <x:v>SEASON</x:v>
      </x:c>
      <x:c r="J759" s="9" t="n">
        <x:f>IF(AND(B759&lt;&gt;"",ISNUMBER('Input_Meci'!G68)),INT('Input_Meci'!G68),0)</x:f>
        <x:v>0</x:v>
      </x:c>
      <x:c r="K759" s="2" t="n">
        <x:f>IF(OR(B759="",F759=""),0,IF(H759="HOME",COUNTIFS('Istoric_Nativ'!$B$6:$B$405,E759,'Istoric_Nativ'!$C$6:$C$405,F759,'Istoric_Nativ'!$E$6:$E$405,G759,'Istoric_Nativ'!$D$6:$D$405,"&lt;"&amp;J759,'Istoric_Nativ'!$P$6:$P$405,1),IF(H759="AWAY",COUNTIFS('Istoric_Nativ'!$B$6:$B$405,E759,'Istoric_Nativ'!$C$6:$C$405,F759,'Istoric_Nativ'!$F$6:$F$405,G759,'Istoric_Nativ'!$D$6:$D$405,"&lt;"&amp;J759,'Istoric_Nativ'!$P$6:$P$405,1),COUNTIFS('Istoric_Nativ'!$B$6:$B$405,E759,'Istoric_Nativ'!$C$6:$C$405,F759,'Istoric_Nativ'!$E$6:$E$405,G759,'Istoric_Nativ'!$D$6:$D$405,"&lt;"&amp;J759,'Istoric_Nativ'!$P$6:$P$405,1)+COUNTIFS('Istoric_Nativ'!$B$6:$B$405,E759,'Istoric_Nativ'!$C$6:$C$405,F759,'Istoric_Nativ'!$F$6:$F$405,G759,'Istoric_Nativ'!$D$6:$D$405,"&lt;"&amp;J759,'Istoric_Nativ'!$P$6:$P$405,1))))</x:f>
        <x:v>0</x:v>
      </x:c>
      <x:c r="L759" s="17" t="n">
        <x:f>IF(AND(B759&lt;&gt;"",I759="RECENT",K759&gt;0),LARGE(_xlfn._xlws.FILTER('Istoric_Nativ'!$D$6:$D$405,('Istoric_Nativ'!$B$6:$B$405=E759)*('Istoric_Nativ'!$C$6:$C$405=F759)*('Istoric_Nativ'!$P$6:$P$405=1)*('Istoric_Nativ'!$D$6:$D$405&lt;J759)*((('Istoric_Nativ'!$E$6:$E$405=G759)+('Istoric_Nativ'!$F$6:$F$405=G759))&gt;0)),MIN('Config_v6'!$B$54,K759)),0)</x:f>
        <x:v>0</x:v>
      </x:c>
      <x:c r="M759" s="2" t="n">
        <x:f>IF(OR(B759="",F759=""),0,IF(H759="HOME",COUNTIFS('Istoric_Nativ'!$B$6:$B$405,E759,'Istoric_Nativ'!$C$6:$C$405,F759,'Istoric_Nativ'!$E$6:$E$405,G759,'Istoric_Nativ'!$D$6:$D$405,"&lt;"&amp;J759,'Istoric_Nativ'!$P$6:$P$405,1,'Istoric_Nativ'!$D$6:$D$405,"&gt;="&amp;L759),IF(H759="AWAY",COUNTIFS('Istoric_Nativ'!$B$6:$B$405,E759,'Istoric_Nativ'!$C$6:$C$405,F759,'Istoric_Nativ'!$F$6:$F$405,G759,'Istoric_Nativ'!$D$6:$D$405,"&lt;"&amp;J759,'Istoric_Nativ'!$P$6:$P$405,1,'Istoric_Nativ'!$D$6:$D$405,"&gt;="&amp;L759),COUNTIFS('Istoric_Nativ'!$B$6:$B$405,E759,'Istoric_Nativ'!$C$6:$C$405,F759,'Istoric_Nativ'!$E$6:$E$405,G759,'Istoric_Nativ'!$D$6:$D$405,"&lt;"&amp;J759,'Istoric_Nativ'!$P$6:$P$405,1,'Istoric_Nativ'!$D$6:$D$405,"&gt;="&amp;L759)+COUNTIFS('Istoric_Nativ'!$B$6:$B$405,E759,'Istoric_Nativ'!$C$6:$C$405,F759,'Istoric_Nativ'!$F$6:$F$405,G759,'Istoric_Nativ'!$D$6:$D$405,"&lt;"&amp;J759,'Istoric_Nativ'!$P$6:$P$405,1,'Istoric_Nativ'!$D$6:$D$405,"&gt;="&amp;L759))))</x:f>
        <x:v>0</x:v>
      </x:c>
      <x:c r="N759" s="11" t="str">
        <x:f>IF(M759=0,"",IF(H759="HOME",SUMIFS('Istoric_Nativ'!$G$6:$G$405,'Istoric_Nativ'!$B$6:$B$405,E759,'Istoric_Nativ'!$C$6:$C$405,F759,'Istoric_Nativ'!$E$6:$E$405,G759,'Istoric_Nativ'!$D$6:$D$405,"&lt;"&amp;J759,'Istoric_Nativ'!$P$6:$P$405,1,'Istoric_Nativ'!$D$6:$D$405,"&gt;="&amp;L759),IF(H759="AWAY",SUMIFS('Istoric_Nativ'!$H$6:$H$405,'Istoric_Nativ'!$B$6:$B$405,E759,'Istoric_Nativ'!$C$6:$C$405,F759,'Istoric_Nativ'!$F$6:$F$405,G759,'Istoric_Nativ'!$D$6:$D$405,"&lt;"&amp;J759,'Istoric_Nativ'!$P$6:$P$405,1,'Istoric_Nativ'!$D$6:$D$405,"&gt;="&amp;L759),SUMIFS('Istoric_Nativ'!$G$6:$G$405,'Istoric_Nativ'!$B$6:$B$405,E759,'Istoric_Nativ'!$C$6:$C$405,F759,'Istoric_Nativ'!$E$6:$E$405,G759,'Istoric_Nativ'!$D$6:$D$405,"&lt;"&amp;J759,'Istoric_Nativ'!$P$6:$P$405,1,'Istoric_Nativ'!$D$6:$D$405,"&gt;="&amp;L759)+SUMIFS('Istoric_Nativ'!$H$6:$H$405,'Istoric_Nativ'!$B$6:$B$405,E759,'Istoric_Nativ'!$C$6:$C$405,F759,'Istoric_Nativ'!$F$6:$F$405,G759,'Istoric_Nativ'!$D$6:$D$405,"&lt;"&amp;J759,'Istoric_Nativ'!$P$6:$P$405,1,'Istoric_Nativ'!$D$6:$D$405,"&gt;="&amp;L759)))/M759)</x:f>
      </x:c>
      <x:c r="O759" s="11" t="str">
        <x:f>IF(M759=0,"",IF(H759="HOME",SUMIFS('Istoric_Nativ'!$H$6:$H$405,'Istoric_Nativ'!$B$6:$B$405,E759,'Istoric_Nativ'!$C$6:$C$405,F759,'Istoric_Nativ'!$E$6:$E$405,G759,'Istoric_Nativ'!$D$6:$D$405,"&lt;"&amp;J759,'Istoric_Nativ'!$P$6:$P$405,1,'Istoric_Nativ'!$D$6:$D$405,"&gt;="&amp;L759),IF(H759="AWAY",SUMIFS('Istoric_Nativ'!$G$6:$G$405,'Istoric_Nativ'!$B$6:$B$405,E759,'Istoric_Nativ'!$C$6:$C$405,F759,'Istoric_Nativ'!$F$6:$F$405,G759,'Istoric_Nativ'!$D$6:$D$405,"&lt;"&amp;J759,'Istoric_Nativ'!$P$6:$P$405,1,'Istoric_Nativ'!$D$6:$D$405,"&gt;="&amp;L759),SUMIFS('Istoric_Nativ'!$H$6:$H$405,'Istoric_Nativ'!$B$6:$B$405,E759,'Istoric_Nativ'!$C$6:$C$405,F759,'Istoric_Nativ'!$E$6:$E$405,G759,'Istoric_Nativ'!$D$6:$D$405,"&lt;"&amp;J759,'Istoric_Nativ'!$P$6:$P$405,1,'Istoric_Nativ'!$D$6:$D$405,"&gt;="&amp;L759)+SUMIFS('Istoric_Nativ'!$G$6:$G$405,'Istoric_Nativ'!$B$6:$B$405,E759,'Istoric_Nativ'!$C$6:$C$405,F759,'Istoric_Nativ'!$F$6:$F$405,G759,'Istoric_Nativ'!$D$6:$D$405,"&lt;"&amp;J759,'Istoric_Nativ'!$P$6:$P$405,1,'Istoric_Nativ'!$D$6:$D$405,"&gt;="&amp;L759)))/M759)</x:f>
      </x:c>
      <x:c r="P759" s="2" t="n">
        <x:f>'Config_v6'!$B$7</x:f>
        <x:v>10</x:v>
      </x:c>
      <x:c r="Q759" s="2" t="n">
        <x:f>IF(OR(B759="",F759=""),0,IFERROR(MATCH(E759&amp;"|"&amp;F759,SourceTable[Source_Key],0),0))</x:f>
        <x:v>0</x:v>
      </x:c>
      <x:c r="R759" s="2" t="str">
        <x:f>IF(B759="","",IF(F759="","UNUSED",IF(Q759=0,"NOT CHECKED",IF(COUNTIF(SourceTable[Source_Key],E759&amp;"|"&amp;F759)&lt;&gt;1,"SOURCE CONFLICT",IF(NOT(OR(INDEX(SourceTable[Status],MAX(1,Q759))="IMPORTED",INDEX(SourceTable[Status],MAX(1,Q759))="PARTIAL",INDEX(SourceTable[Status],MAX(1,Q759))="SOURCE CONFLICT")),"ACCESS BLOCKED",IF(OR(INDEX(SourceTable[Coverage],Q759)&lt;&gt;"FULL SEASON EXPORT",INDEX(SourceTable[URL],Q759)="",INDEX(SourceTable[SHA256],Q759)=""),"EVIDENCE INCOMPLETE",IF(AND('Input_Meci'!H68="LIVE",INDEX(SourceTable[Retrieved_UTC],Q759)&gt;'Input_Meci'!G68),"POST CUTOFF","CLOSED")))))))</x:f>
      </x:c>
      <x:c r="S759" s="2" t="n">
        <x:f>IF(OR(B759="",F759=""),0,COUNTIFS('Istoric_Nativ'!$B$6:$B$405,E759,'Istoric_Nativ'!$C$6:$C$405,F759,'Istoric_Nativ'!$E$6:$E$405,G759,'Istoric_Nativ'!$D$6:$D$405,"&lt;"&amp;J759,'Istoric_Nativ'!$O$6:$O$405,"INVALID")+COUNTIFS('Istoric_Nativ'!$B$6:$B$405,E759,'Istoric_Nativ'!$C$6:$C$405,F759,'Istoric_Nativ'!$E$6:$E$405,G759,'Istoric_Nativ'!$O$6:$O$405,"INVALID",'Istoric_Nativ'!$D$6:$D$405,"*")+COUNTIFS('Istoric_Nativ'!$B$6:$B$405,E759,'Istoric_Nativ'!$C$6:$C$405,F759,'Istoric_Nativ'!$E$6:$E$405,G759,'Istoric_Nativ'!$D$6:$D$405,"&lt;"&amp;J759,'Istoric_Nativ'!$O$6:$O$405,"SOURCE CONFLICT")+COUNTIFS('Istoric_Nativ'!$B$6:$B$405,E759,'Istoric_Nativ'!$C$6:$C$405,F759,'Istoric_Nativ'!$F$6:$F$405,G759,'Istoric_Nativ'!$D$6:$D$405,"&lt;"&amp;J759,'Istoric_Nativ'!$O$6:$O$405,"INVALID")+COUNTIFS('Istoric_Nativ'!$B$6:$B$405,E759,'Istoric_Nativ'!$C$6:$C$405,F759,'Istoric_Nativ'!$F$6:$F$405,G759,'Istoric_Nativ'!$O$6:$O$405,"INVALID",'Istoric_Nativ'!$D$6:$D$405,"*")+COUNTIFS('Istoric_Nativ'!$B$6:$B$405,E759,'Istoric_Nativ'!$C$6:$C$405,F759,'Istoric_Nativ'!$F$6:$F$405,G759,'Istoric_Nativ'!$D$6:$D$405,"&lt;"&amp;J759,'Istoric_Nativ'!$O$6:$O$405,"SOURCE CONFLICT"))</x:f>
        <x:v>0</x:v>
      </x:c>
      <x:c r="T759" s="2" t="str">
        <x:f>IF(B759="","",IF(R759&lt;&gt;"CLOSED",R759,IF(S759&gt;0,"NATIVE INPUT ISSUE",IF(M759=0,"NO HISTORY",IF(M759&lt;P759,"SMALL SAMPLE","DERIVED")))))</x:f>
      </x:c>
      <x:c r="U759" s="2" t="str">
        <x:f>IF(B759="","","NativeTable; "&amp;E759&amp;"; "&amp;F759&amp;"; "&amp;G759&amp;"; "&amp;H759&amp;"; before "&amp;TEXT(J759,"yyyy-mm-dd")&amp;IF(I759="RECENT","; from "&amp;TEXT(L759,"yyyy-mm-dd"),""))</x:f>
      </x:c>
    </x:row>
    <x:row r="760" ht="21" customHeight="1">
      <x:c r="A760" s="2" t="n">
        <x:v>63</x:v>
      </x:c>
      <x:c r="B760" s="2" t="str">
        <x:f>IF('Input_Meci'!A68="","",'Input_Meci'!A68)</x:f>
      </x:c>
      <x:c r="C760" s="2" t="str">
        <x:v>A</x:v>
      </x:c>
      <x:c r="D760" s="2" t="str">
        <x:v>PRIOR</x:v>
      </x:c>
      <x:c r="E760" s="2" t="str">
        <x:f>IF(B760="","",'Input_Meci'!B68)</x:f>
      </x:c>
      <x:c r="F760" s="2" t="str">
        <x:f>IF(B760="","",IF('Input_Meci'!K68="","",'Input_Meci'!K68))</x:f>
      </x:c>
      <x:c r="G760" s="2" t="str">
        <x:f>IF(B760="","",'Input_Meci'!E68)</x:f>
      </x:c>
      <x:c r="H760" s="2" t="str">
        <x:v>AWAY</x:v>
      </x:c>
      <x:c r="I760" s="2" t="str">
        <x:v>HA</x:v>
      </x:c>
      <x:c r="J760" s="9" t="n">
        <x:f>IF(AND(B760&lt;&gt;"",ISNUMBER('Input_Meci'!G68)),INT('Input_Meci'!G68),0)</x:f>
        <x:v>0</x:v>
      </x:c>
      <x:c r="K760" s="2" t="n">
        <x:f>IF(OR(B760="",F760=""),0,IF(H760="HOME",COUNTIFS('Istoric_Nativ'!$B$6:$B$405,E760,'Istoric_Nativ'!$C$6:$C$405,F760,'Istoric_Nativ'!$E$6:$E$405,G760,'Istoric_Nativ'!$D$6:$D$405,"&lt;"&amp;J760,'Istoric_Nativ'!$P$6:$P$405,1),IF(H760="AWAY",COUNTIFS('Istoric_Nativ'!$B$6:$B$405,E760,'Istoric_Nativ'!$C$6:$C$405,F760,'Istoric_Nativ'!$F$6:$F$405,G760,'Istoric_Nativ'!$D$6:$D$405,"&lt;"&amp;J760,'Istoric_Nativ'!$P$6:$P$405,1),COUNTIFS('Istoric_Nativ'!$B$6:$B$405,E760,'Istoric_Nativ'!$C$6:$C$405,F760,'Istoric_Nativ'!$E$6:$E$405,G760,'Istoric_Nativ'!$D$6:$D$405,"&lt;"&amp;J760,'Istoric_Nativ'!$P$6:$P$405,1)+COUNTIFS('Istoric_Nativ'!$B$6:$B$405,E760,'Istoric_Nativ'!$C$6:$C$405,F760,'Istoric_Nativ'!$F$6:$F$405,G760,'Istoric_Nativ'!$D$6:$D$405,"&lt;"&amp;J760,'Istoric_Nativ'!$P$6:$P$405,1))))</x:f>
        <x:v>0</x:v>
      </x:c>
      <x:c r="L760" s="17" t="n">
        <x:f>IF(AND(B760&lt;&gt;"",I760="RECENT",K760&gt;0),LARGE(_xlfn._xlws.FILTER('Istoric_Nativ'!$D$6:$D$405,('Istoric_Nativ'!$B$6:$B$405=E760)*('Istoric_Nativ'!$C$6:$C$405=F760)*('Istoric_Nativ'!$P$6:$P$405=1)*('Istoric_Nativ'!$D$6:$D$405&lt;J760)*((('Istoric_Nativ'!$E$6:$E$405=G760)+('Istoric_Nativ'!$F$6:$F$405=G760))&gt;0)),MIN('Config_v6'!$B$54,K760)),0)</x:f>
        <x:v>0</x:v>
      </x:c>
      <x:c r="M760" s="2" t="n">
        <x:f>IF(OR(B760="",F760=""),0,IF(H760="HOME",COUNTIFS('Istoric_Nativ'!$B$6:$B$405,E760,'Istoric_Nativ'!$C$6:$C$405,F760,'Istoric_Nativ'!$E$6:$E$405,G760,'Istoric_Nativ'!$D$6:$D$405,"&lt;"&amp;J760,'Istoric_Nativ'!$P$6:$P$405,1,'Istoric_Nativ'!$D$6:$D$405,"&gt;="&amp;L760),IF(H760="AWAY",COUNTIFS('Istoric_Nativ'!$B$6:$B$405,E760,'Istoric_Nativ'!$C$6:$C$405,F760,'Istoric_Nativ'!$F$6:$F$405,G760,'Istoric_Nativ'!$D$6:$D$405,"&lt;"&amp;J760,'Istoric_Nativ'!$P$6:$P$405,1,'Istoric_Nativ'!$D$6:$D$405,"&gt;="&amp;L760),COUNTIFS('Istoric_Nativ'!$B$6:$B$405,E760,'Istoric_Nativ'!$C$6:$C$405,F760,'Istoric_Nativ'!$E$6:$E$405,G760,'Istoric_Nativ'!$D$6:$D$405,"&lt;"&amp;J760,'Istoric_Nativ'!$P$6:$P$405,1,'Istoric_Nativ'!$D$6:$D$405,"&gt;="&amp;L760)+COUNTIFS('Istoric_Nativ'!$B$6:$B$405,E760,'Istoric_Nativ'!$C$6:$C$405,F760,'Istoric_Nativ'!$F$6:$F$405,G760,'Istoric_Nativ'!$D$6:$D$405,"&lt;"&amp;J760,'Istoric_Nativ'!$P$6:$P$405,1,'Istoric_Nativ'!$D$6:$D$405,"&gt;="&amp;L760))))</x:f>
        <x:v>0</x:v>
      </x:c>
      <x:c r="N760" s="11" t="str">
        <x:f>IF(M760=0,"",IF(H760="HOME",SUMIFS('Istoric_Nativ'!$G$6:$G$405,'Istoric_Nativ'!$B$6:$B$405,E760,'Istoric_Nativ'!$C$6:$C$405,F760,'Istoric_Nativ'!$E$6:$E$405,G760,'Istoric_Nativ'!$D$6:$D$405,"&lt;"&amp;J760,'Istoric_Nativ'!$P$6:$P$405,1,'Istoric_Nativ'!$D$6:$D$405,"&gt;="&amp;L760),IF(H760="AWAY",SUMIFS('Istoric_Nativ'!$H$6:$H$405,'Istoric_Nativ'!$B$6:$B$405,E760,'Istoric_Nativ'!$C$6:$C$405,F760,'Istoric_Nativ'!$F$6:$F$405,G760,'Istoric_Nativ'!$D$6:$D$405,"&lt;"&amp;J760,'Istoric_Nativ'!$P$6:$P$405,1,'Istoric_Nativ'!$D$6:$D$405,"&gt;="&amp;L760),SUMIFS('Istoric_Nativ'!$G$6:$G$405,'Istoric_Nativ'!$B$6:$B$405,E760,'Istoric_Nativ'!$C$6:$C$405,F760,'Istoric_Nativ'!$E$6:$E$405,G760,'Istoric_Nativ'!$D$6:$D$405,"&lt;"&amp;J760,'Istoric_Nativ'!$P$6:$P$405,1,'Istoric_Nativ'!$D$6:$D$405,"&gt;="&amp;L760)+SUMIFS('Istoric_Nativ'!$H$6:$H$405,'Istoric_Nativ'!$B$6:$B$405,E760,'Istoric_Nativ'!$C$6:$C$405,F760,'Istoric_Nativ'!$F$6:$F$405,G760,'Istoric_Nativ'!$D$6:$D$405,"&lt;"&amp;J760,'Istoric_Nativ'!$P$6:$P$405,1,'Istoric_Nativ'!$D$6:$D$405,"&gt;="&amp;L760)))/M760)</x:f>
      </x:c>
      <x:c r="O760" s="11" t="str">
        <x:f>IF(M760=0,"",IF(H760="HOME",SUMIFS('Istoric_Nativ'!$H$6:$H$405,'Istoric_Nativ'!$B$6:$B$405,E760,'Istoric_Nativ'!$C$6:$C$405,F760,'Istoric_Nativ'!$E$6:$E$405,G760,'Istoric_Nativ'!$D$6:$D$405,"&lt;"&amp;J760,'Istoric_Nativ'!$P$6:$P$405,1,'Istoric_Nativ'!$D$6:$D$405,"&gt;="&amp;L760),IF(H760="AWAY",SUMIFS('Istoric_Nativ'!$G$6:$G$405,'Istoric_Nativ'!$B$6:$B$405,E760,'Istoric_Nativ'!$C$6:$C$405,F760,'Istoric_Nativ'!$F$6:$F$405,G760,'Istoric_Nativ'!$D$6:$D$405,"&lt;"&amp;J760,'Istoric_Nativ'!$P$6:$P$405,1,'Istoric_Nativ'!$D$6:$D$405,"&gt;="&amp;L760),SUMIFS('Istoric_Nativ'!$H$6:$H$405,'Istoric_Nativ'!$B$6:$B$405,E760,'Istoric_Nativ'!$C$6:$C$405,F760,'Istoric_Nativ'!$E$6:$E$405,G760,'Istoric_Nativ'!$D$6:$D$405,"&lt;"&amp;J760,'Istoric_Nativ'!$P$6:$P$405,1,'Istoric_Nativ'!$D$6:$D$405,"&gt;="&amp;L760)+SUMIFS('Istoric_Nativ'!$G$6:$G$405,'Istoric_Nativ'!$B$6:$B$405,E760,'Istoric_Nativ'!$C$6:$C$405,F760,'Istoric_Nativ'!$F$6:$F$405,G760,'Istoric_Nativ'!$D$6:$D$405,"&lt;"&amp;J760,'Istoric_Nativ'!$P$6:$P$405,1,'Istoric_Nativ'!$D$6:$D$405,"&gt;="&amp;L760)))/M760)</x:f>
      </x:c>
      <x:c r="P760" s="2" t="n">
        <x:f>'Config_v6'!$B$8</x:f>
        <x:v>5</x:v>
      </x:c>
      <x:c r="Q760" s="2" t="n">
        <x:f>IF(OR(B760="",F760=""),0,IFERROR(MATCH(E760&amp;"|"&amp;F760,SourceTable[Source_Key],0),0))</x:f>
        <x:v>0</x:v>
      </x:c>
      <x:c r="R760" s="2" t="str">
        <x:f>IF(B760="","",IF(F760="","UNUSED",IF(Q760=0,"NOT CHECKED",IF(COUNTIF(SourceTable[Source_Key],E760&amp;"|"&amp;F760)&lt;&gt;1,"SOURCE CONFLICT",IF(NOT(OR(INDEX(SourceTable[Status],MAX(1,Q760))="IMPORTED",INDEX(SourceTable[Status],MAX(1,Q760))="PARTIAL",INDEX(SourceTable[Status],MAX(1,Q760))="SOURCE CONFLICT")),"ACCESS BLOCKED",IF(OR(INDEX(SourceTable[Coverage],Q760)&lt;&gt;"FULL SEASON EXPORT",INDEX(SourceTable[URL],Q760)="",INDEX(SourceTable[SHA256],Q760)=""),"EVIDENCE INCOMPLETE",IF(AND('Input_Meci'!H68="LIVE",INDEX(SourceTable[Retrieved_UTC],Q760)&gt;'Input_Meci'!G68),"POST CUTOFF","CLOSED")))))))</x:f>
      </x:c>
      <x:c r="S760" s="2" t="n">
        <x:f>IF(OR(B760="",F760=""),0,COUNTIFS('Istoric_Nativ'!$B$6:$B$405,E760,'Istoric_Nativ'!$C$6:$C$405,F760,'Istoric_Nativ'!$E$6:$E$405,G760,'Istoric_Nativ'!$D$6:$D$405,"&lt;"&amp;J760,'Istoric_Nativ'!$O$6:$O$405,"INVALID")+COUNTIFS('Istoric_Nativ'!$B$6:$B$405,E760,'Istoric_Nativ'!$C$6:$C$405,F760,'Istoric_Nativ'!$E$6:$E$405,G760,'Istoric_Nativ'!$O$6:$O$405,"INVALID",'Istoric_Nativ'!$D$6:$D$405,"*")+COUNTIFS('Istoric_Nativ'!$B$6:$B$405,E760,'Istoric_Nativ'!$C$6:$C$405,F760,'Istoric_Nativ'!$E$6:$E$405,G760,'Istoric_Nativ'!$D$6:$D$405,"&lt;"&amp;J760,'Istoric_Nativ'!$O$6:$O$405,"SOURCE CONFLICT")+COUNTIFS('Istoric_Nativ'!$B$6:$B$405,E760,'Istoric_Nativ'!$C$6:$C$405,F760,'Istoric_Nativ'!$F$6:$F$405,G760,'Istoric_Nativ'!$D$6:$D$405,"&lt;"&amp;J760,'Istoric_Nativ'!$O$6:$O$405,"INVALID")+COUNTIFS('Istoric_Nativ'!$B$6:$B$405,E760,'Istoric_Nativ'!$C$6:$C$405,F760,'Istoric_Nativ'!$F$6:$F$405,G760,'Istoric_Nativ'!$O$6:$O$405,"INVALID",'Istoric_Nativ'!$D$6:$D$405,"*")+COUNTIFS('Istoric_Nativ'!$B$6:$B$405,E760,'Istoric_Nativ'!$C$6:$C$405,F760,'Istoric_Nativ'!$F$6:$F$405,G760,'Istoric_Nativ'!$D$6:$D$405,"&lt;"&amp;J760,'Istoric_Nativ'!$O$6:$O$405,"SOURCE CONFLICT"))</x:f>
        <x:v>0</x:v>
      </x:c>
      <x:c r="T760" s="2" t="str">
        <x:f>IF(B760="","",IF(R760&lt;&gt;"CLOSED",R760,IF(S760&gt;0,"NATIVE INPUT ISSUE",IF(M760=0,"NO HISTORY",IF(M760&lt;P760,"SMALL SAMPLE","DERIVED")))))</x:f>
      </x:c>
      <x:c r="U760" s="2" t="str">
        <x:f>IF(B760="","","NativeTable; "&amp;E760&amp;"; "&amp;F760&amp;"; "&amp;G760&amp;"; "&amp;H760&amp;"; before "&amp;TEXT(J760,"yyyy-mm-dd")&amp;IF(I760="RECENT","; from "&amp;TEXT(L760,"yyyy-mm-dd"),""))</x:f>
      </x:c>
    </x:row>
    <x:row r="761" ht="21" customHeight="1">
      <x:c r="A761" s="2" t="n">
        <x:v>63</x:v>
      </x:c>
      <x:c r="B761" s="2" t="str">
        <x:f>IF('Input_Meci'!A68="","",'Input_Meci'!A68)</x:f>
      </x:c>
      <x:c r="C761" s="2" t="str">
        <x:v>A</x:v>
      </x:c>
      <x:c r="D761" s="2" t="str">
        <x:v>PRIOR</x:v>
      </x:c>
      <x:c r="E761" s="2" t="str">
        <x:f>IF(B761="","",'Input_Meci'!B68)</x:f>
      </x:c>
      <x:c r="F761" s="2" t="str">
        <x:f>IF(B761="","",IF('Input_Meci'!K68="","",'Input_Meci'!K68))</x:f>
      </x:c>
      <x:c r="G761" s="2" t="str">
        <x:f>IF(B761="","",'Input_Meci'!E68)</x:f>
      </x:c>
      <x:c r="H761" s="2" t="str">
        <x:v>ANY</x:v>
      </x:c>
      <x:c r="I761" s="2" t="str">
        <x:v>RECENT</x:v>
      </x:c>
      <x:c r="J761" s="9" t="n">
        <x:f>IF(AND(B761&lt;&gt;"",ISNUMBER('Input_Meci'!G68)),INT('Input_Meci'!G68),0)</x:f>
        <x:v>0</x:v>
      </x:c>
      <x:c r="K761" s="2" t="n">
        <x:f>IF(OR(B761="",F761=""),0,IF(H761="HOME",COUNTIFS('Istoric_Nativ'!$B$6:$B$405,E761,'Istoric_Nativ'!$C$6:$C$405,F761,'Istoric_Nativ'!$E$6:$E$405,G761,'Istoric_Nativ'!$D$6:$D$405,"&lt;"&amp;J761,'Istoric_Nativ'!$P$6:$P$405,1),IF(H761="AWAY",COUNTIFS('Istoric_Nativ'!$B$6:$B$405,E761,'Istoric_Nativ'!$C$6:$C$405,F761,'Istoric_Nativ'!$F$6:$F$405,G761,'Istoric_Nativ'!$D$6:$D$405,"&lt;"&amp;J761,'Istoric_Nativ'!$P$6:$P$405,1),COUNTIFS('Istoric_Nativ'!$B$6:$B$405,E761,'Istoric_Nativ'!$C$6:$C$405,F761,'Istoric_Nativ'!$E$6:$E$405,G761,'Istoric_Nativ'!$D$6:$D$405,"&lt;"&amp;J761,'Istoric_Nativ'!$P$6:$P$405,1)+COUNTIFS('Istoric_Nativ'!$B$6:$B$405,E761,'Istoric_Nativ'!$C$6:$C$405,F761,'Istoric_Nativ'!$F$6:$F$405,G761,'Istoric_Nativ'!$D$6:$D$405,"&lt;"&amp;J761,'Istoric_Nativ'!$P$6:$P$405,1))))</x:f>
        <x:v>0</x:v>
      </x:c>
      <x:c r="L761" s="17" t="n">
        <x:f>IF(AND(B761&lt;&gt;"",I761="RECENT",K761&gt;0),LARGE(_xlfn._xlws.FILTER('Istoric_Nativ'!$D$6:$D$405,('Istoric_Nativ'!$B$6:$B$405=E761)*('Istoric_Nativ'!$C$6:$C$405=F761)*('Istoric_Nativ'!$P$6:$P$405=1)*('Istoric_Nativ'!$D$6:$D$405&lt;J761)*((('Istoric_Nativ'!$E$6:$E$405=G761)+('Istoric_Nativ'!$F$6:$F$405=G761))&gt;0)),MIN('Config_v6'!$B$54,K761)),0)</x:f>
        <x:v>0</x:v>
      </x:c>
      <x:c r="M761" s="2" t="n">
        <x:f>IF(OR(B761="",F761=""),0,IF(H761="HOME",COUNTIFS('Istoric_Nativ'!$B$6:$B$405,E761,'Istoric_Nativ'!$C$6:$C$405,F761,'Istoric_Nativ'!$E$6:$E$405,G761,'Istoric_Nativ'!$D$6:$D$405,"&lt;"&amp;J761,'Istoric_Nativ'!$P$6:$P$405,1,'Istoric_Nativ'!$D$6:$D$405,"&gt;="&amp;L761),IF(H761="AWAY",COUNTIFS('Istoric_Nativ'!$B$6:$B$405,E761,'Istoric_Nativ'!$C$6:$C$405,F761,'Istoric_Nativ'!$F$6:$F$405,G761,'Istoric_Nativ'!$D$6:$D$405,"&lt;"&amp;J761,'Istoric_Nativ'!$P$6:$P$405,1,'Istoric_Nativ'!$D$6:$D$405,"&gt;="&amp;L761),COUNTIFS('Istoric_Nativ'!$B$6:$B$405,E761,'Istoric_Nativ'!$C$6:$C$405,F761,'Istoric_Nativ'!$E$6:$E$405,G761,'Istoric_Nativ'!$D$6:$D$405,"&lt;"&amp;J761,'Istoric_Nativ'!$P$6:$P$405,1,'Istoric_Nativ'!$D$6:$D$405,"&gt;="&amp;L761)+COUNTIFS('Istoric_Nativ'!$B$6:$B$405,E761,'Istoric_Nativ'!$C$6:$C$405,F761,'Istoric_Nativ'!$F$6:$F$405,G761,'Istoric_Nativ'!$D$6:$D$405,"&lt;"&amp;J761,'Istoric_Nativ'!$P$6:$P$405,1,'Istoric_Nativ'!$D$6:$D$405,"&gt;="&amp;L761))))</x:f>
        <x:v>0</x:v>
      </x:c>
      <x:c r="N761" s="11" t="str">
        <x:f>IF(M761=0,"",IF(H761="HOME",SUMIFS('Istoric_Nativ'!$G$6:$G$405,'Istoric_Nativ'!$B$6:$B$405,E761,'Istoric_Nativ'!$C$6:$C$405,F761,'Istoric_Nativ'!$E$6:$E$405,G761,'Istoric_Nativ'!$D$6:$D$405,"&lt;"&amp;J761,'Istoric_Nativ'!$P$6:$P$405,1,'Istoric_Nativ'!$D$6:$D$405,"&gt;="&amp;L761),IF(H761="AWAY",SUMIFS('Istoric_Nativ'!$H$6:$H$405,'Istoric_Nativ'!$B$6:$B$405,E761,'Istoric_Nativ'!$C$6:$C$405,F761,'Istoric_Nativ'!$F$6:$F$405,G761,'Istoric_Nativ'!$D$6:$D$405,"&lt;"&amp;J761,'Istoric_Nativ'!$P$6:$P$405,1,'Istoric_Nativ'!$D$6:$D$405,"&gt;="&amp;L761),SUMIFS('Istoric_Nativ'!$G$6:$G$405,'Istoric_Nativ'!$B$6:$B$405,E761,'Istoric_Nativ'!$C$6:$C$405,F761,'Istoric_Nativ'!$E$6:$E$405,G761,'Istoric_Nativ'!$D$6:$D$405,"&lt;"&amp;J761,'Istoric_Nativ'!$P$6:$P$405,1,'Istoric_Nativ'!$D$6:$D$405,"&gt;="&amp;L761)+SUMIFS('Istoric_Nativ'!$H$6:$H$405,'Istoric_Nativ'!$B$6:$B$405,E761,'Istoric_Nativ'!$C$6:$C$405,F761,'Istoric_Nativ'!$F$6:$F$405,G761,'Istoric_Nativ'!$D$6:$D$405,"&lt;"&amp;J761,'Istoric_Nativ'!$P$6:$P$405,1,'Istoric_Nativ'!$D$6:$D$405,"&gt;="&amp;L761)))/M761)</x:f>
      </x:c>
      <x:c r="O761" s="11" t="str">
        <x:f>IF(M761=0,"",IF(H761="HOME",SUMIFS('Istoric_Nativ'!$H$6:$H$405,'Istoric_Nativ'!$B$6:$B$405,E761,'Istoric_Nativ'!$C$6:$C$405,F761,'Istoric_Nativ'!$E$6:$E$405,G761,'Istoric_Nativ'!$D$6:$D$405,"&lt;"&amp;J761,'Istoric_Nativ'!$P$6:$P$405,1,'Istoric_Nativ'!$D$6:$D$405,"&gt;="&amp;L761),IF(H761="AWAY",SUMIFS('Istoric_Nativ'!$G$6:$G$405,'Istoric_Nativ'!$B$6:$B$405,E761,'Istoric_Nativ'!$C$6:$C$405,F761,'Istoric_Nativ'!$F$6:$F$405,G761,'Istoric_Nativ'!$D$6:$D$405,"&lt;"&amp;J761,'Istoric_Nativ'!$P$6:$P$405,1,'Istoric_Nativ'!$D$6:$D$405,"&gt;="&amp;L761),SUMIFS('Istoric_Nativ'!$H$6:$H$405,'Istoric_Nativ'!$B$6:$B$405,E761,'Istoric_Nativ'!$C$6:$C$405,F761,'Istoric_Nativ'!$E$6:$E$405,G761,'Istoric_Nativ'!$D$6:$D$405,"&lt;"&amp;J761,'Istoric_Nativ'!$P$6:$P$405,1,'Istoric_Nativ'!$D$6:$D$405,"&gt;="&amp;L761)+SUMIFS('Istoric_Nativ'!$G$6:$G$405,'Istoric_Nativ'!$B$6:$B$405,E761,'Istoric_Nativ'!$C$6:$C$405,F761,'Istoric_Nativ'!$F$6:$F$405,G761,'Istoric_Nativ'!$D$6:$D$405,"&lt;"&amp;J761,'Istoric_Nativ'!$P$6:$P$405,1,'Istoric_Nativ'!$D$6:$D$405,"&gt;="&amp;L761)))/M761)</x:f>
      </x:c>
      <x:c r="P761" s="2" t="n">
        <x:f>'Config_v6'!$B$9</x:f>
        <x:v>3</x:v>
      </x:c>
      <x:c r="Q761" s="2" t="n">
        <x:f>IF(OR(B761="",F761=""),0,IFERROR(MATCH(E761&amp;"|"&amp;F761,SourceTable[Source_Key],0),0))</x:f>
        <x:v>0</x:v>
      </x:c>
      <x:c r="R761" s="2" t="str">
        <x:f>IF(B761="","",IF(F761="","UNUSED",IF(Q761=0,"NOT CHECKED",IF(COUNTIF(SourceTable[Source_Key],E761&amp;"|"&amp;F761)&lt;&gt;1,"SOURCE CONFLICT",IF(NOT(OR(INDEX(SourceTable[Status],MAX(1,Q761))="IMPORTED",INDEX(SourceTable[Status],MAX(1,Q761))="PARTIAL",INDEX(SourceTable[Status],MAX(1,Q761))="SOURCE CONFLICT")),"ACCESS BLOCKED",IF(OR(INDEX(SourceTable[Coverage],Q761)&lt;&gt;"FULL SEASON EXPORT",INDEX(SourceTable[URL],Q761)="",INDEX(SourceTable[SHA256],Q761)=""),"EVIDENCE INCOMPLETE",IF(AND('Input_Meci'!H68="LIVE",INDEX(SourceTable[Retrieved_UTC],Q761)&gt;'Input_Meci'!G68),"POST CUTOFF","CLOSED")))))))</x:f>
      </x:c>
      <x:c r="S761" s="2" t="n">
        <x:f>IF(OR(B761="",F761=""),0,COUNTIFS('Istoric_Nativ'!$B$6:$B$405,E761,'Istoric_Nativ'!$C$6:$C$405,F761,'Istoric_Nativ'!$E$6:$E$405,G761,'Istoric_Nativ'!$D$6:$D$405,"&lt;"&amp;J761,'Istoric_Nativ'!$O$6:$O$405,"INVALID")+COUNTIFS('Istoric_Nativ'!$B$6:$B$405,E761,'Istoric_Nativ'!$C$6:$C$405,F761,'Istoric_Nativ'!$E$6:$E$405,G761,'Istoric_Nativ'!$O$6:$O$405,"INVALID",'Istoric_Nativ'!$D$6:$D$405,"*")+COUNTIFS('Istoric_Nativ'!$B$6:$B$405,E761,'Istoric_Nativ'!$C$6:$C$405,F761,'Istoric_Nativ'!$E$6:$E$405,G761,'Istoric_Nativ'!$D$6:$D$405,"&lt;"&amp;J761,'Istoric_Nativ'!$O$6:$O$405,"SOURCE CONFLICT")+COUNTIFS('Istoric_Nativ'!$B$6:$B$405,E761,'Istoric_Nativ'!$C$6:$C$405,F761,'Istoric_Nativ'!$F$6:$F$405,G761,'Istoric_Nativ'!$D$6:$D$405,"&lt;"&amp;J761,'Istoric_Nativ'!$O$6:$O$405,"INVALID")+COUNTIFS('Istoric_Nativ'!$B$6:$B$405,E761,'Istoric_Nativ'!$C$6:$C$405,F761,'Istoric_Nativ'!$F$6:$F$405,G761,'Istoric_Nativ'!$O$6:$O$405,"INVALID",'Istoric_Nativ'!$D$6:$D$405,"*")+COUNTIFS('Istoric_Nativ'!$B$6:$B$405,E761,'Istoric_Nativ'!$C$6:$C$405,F761,'Istoric_Nativ'!$F$6:$F$405,G761,'Istoric_Nativ'!$D$6:$D$405,"&lt;"&amp;J761,'Istoric_Nativ'!$O$6:$O$405,"SOURCE CONFLICT"))</x:f>
        <x:v>0</x:v>
      </x:c>
      <x:c r="T761" s="2" t="str">
        <x:f>IF(B761="","",IF(R761&lt;&gt;"CLOSED",R761,IF(S761&gt;0,"NATIVE INPUT ISSUE",IF(M761=0,"NO HISTORY",IF(M761&lt;P761,"SMALL SAMPLE","DERIVED")))))</x:f>
      </x:c>
      <x:c r="U761" s="2" t="str">
        <x:f>IF(B761="","","NativeTable; "&amp;E761&amp;"; "&amp;F761&amp;"; "&amp;G761&amp;"; "&amp;H761&amp;"; before "&amp;TEXT(J761,"yyyy-mm-dd")&amp;IF(I761="RECENT","; from "&amp;TEXT(L761,"yyyy-mm-dd"),""))</x:f>
      </x:c>
    </x:row>
    <x:row r="762" ht="21" customHeight="1">
      <x:c r="A762" s="2" t="n">
        <x:v>64</x:v>
      </x:c>
      <x:c r="B762" s="2" t="str">
        <x:f>IF('Input_Meci'!A69="","",'Input_Meci'!A69)</x:f>
      </x:c>
      <x:c r="C762" s="2" t="str">
        <x:v>H</x:v>
      </x:c>
      <x:c r="D762" s="2" t="str">
        <x:v>CURRENT</x:v>
      </x:c>
      <x:c r="E762" s="2" t="str">
        <x:f>IF(B762="","",'Input_Meci'!B69)</x:f>
      </x:c>
      <x:c r="F762" s="2" t="str">
        <x:f>IF(B762="","",IF('Input_Meci'!C69="","",'Input_Meci'!C69))</x:f>
      </x:c>
      <x:c r="G762" s="2" t="str">
        <x:f>IF(B762="","",'Input_Meci'!D69)</x:f>
      </x:c>
      <x:c r="H762" s="2" t="str">
        <x:v>ANY</x:v>
      </x:c>
      <x:c r="I762" s="2" t="str">
        <x:v>SEASON</x:v>
      </x:c>
      <x:c r="J762" s="9" t="n">
        <x:f>IF(AND(B762&lt;&gt;"",ISNUMBER('Input_Meci'!G69)),INT('Input_Meci'!G69),0)</x:f>
        <x:v>0</x:v>
      </x:c>
      <x:c r="K762" s="2" t="n">
        <x:f>IF(OR(B762="",F762=""),0,IF(H762="HOME",COUNTIFS('Istoric_Nativ'!$B$6:$B$405,E762,'Istoric_Nativ'!$C$6:$C$405,F762,'Istoric_Nativ'!$E$6:$E$405,G762,'Istoric_Nativ'!$D$6:$D$405,"&lt;"&amp;J762,'Istoric_Nativ'!$P$6:$P$405,1),IF(H762="AWAY",COUNTIFS('Istoric_Nativ'!$B$6:$B$405,E762,'Istoric_Nativ'!$C$6:$C$405,F762,'Istoric_Nativ'!$F$6:$F$405,G762,'Istoric_Nativ'!$D$6:$D$405,"&lt;"&amp;J762,'Istoric_Nativ'!$P$6:$P$405,1),COUNTIFS('Istoric_Nativ'!$B$6:$B$405,E762,'Istoric_Nativ'!$C$6:$C$405,F762,'Istoric_Nativ'!$E$6:$E$405,G762,'Istoric_Nativ'!$D$6:$D$405,"&lt;"&amp;J762,'Istoric_Nativ'!$P$6:$P$405,1)+COUNTIFS('Istoric_Nativ'!$B$6:$B$405,E762,'Istoric_Nativ'!$C$6:$C$405,F762,'Istoric_Nativ'!$F$6:$F$405,G762,'Istoric_Nativ'!$D$6:$D$405,"&lt;"&amp;J762,'Istoric_Nativ'!$P$6:$P$405,1))))</x:f>
        <x:v>0</x:v>
      </x:c>
      <x:c r="L762" s="17" t="n">
        <x:f>IF(AND(B762&lt;&gt;"",I762="RECENT",K762&gt;0),LARGE(_xlfn._xlws.FILTER('Istoric_Nativ'!$D$6:$D$405,('Istoric_Nativ'!$B$6:$B$405=E762)*('Istoric_Nativ'!$C$6:$C$405=F762)*('Istoric_Nativ'!$P$6:$P$405=1)*('Istoric_Nativ'!$D$6:$D$405&lt;J762)*((('Istoric_Nativ'!$E$6:$E$405=G762)+('Istoric_Nativ'!$F$6:$F$405=G762))&gt;0)),MIN('Config_v6'!$B$54,K762)),0)</x:f>
        <x:v>0</x:v>
      </x:c>
      <x:c r="M762" s="2" t="n">
        <x:f>IF(OR(B762="",F762=""),0,IF(H762="HOME",COUNTIFS('Istoric_Nativ'!$B$6:$B$405,E762,'Istoric_Nativ'!$C$6:$C$405,F762,'Istoric_Nativ'!$E$6:$E$405,G762,'Istoric_Nativ'!$D$6:$D$405,"&lt;"&amp;J762,'Istoric_Nativ'!$P$6:$P$405,1,'Istoric_Nativ'!$D$6:$D$405,"&gt;="&amp;L762),IF(H762="AWAY",COUNTIFS('Istoric_Nativ'!$B$6:$B$405,E762,'Istoric_Nativ'!$C$6:$C$405,F762,'Istoric_Nativ'!$F$6:$F$405,G762,'Istoric_Nativ'!$D$6:$D$405,"&lt;"&amp;J762,'Istoric_Nativ'!$P$6:$P$405,1,'Istoric_Nativ'!$D$6:$D$405,"&gt;="&amp;L762),COUNTIFS('Istoric_Nativ'!$B$6:$B$405,E762,'Istoric_Nativ'!$C$6:$C$405,F762,'Istoric_Nativ'!$E$6:$E$405,G762,'Istoric_Nativ'!$D$6:$D$405,"&lt;"&amp;J762,'Istoric_Nativ'!$P$6:$P$405,1,'Istoric_Nativ'!$D$6:$D$405,"&gt;="&amp;L762)+COUNTIFS('Istoric_Nativ'!$B$6:$B$405,E762,'Istoric_Nativ'!$C$6:$C$405,F762,'Istoric_Nativ'!$F$6:$F$405,G762,'Istoric_Nativ'!$D$6:$D$405,"&lt;"&amp;J762,'Istoric_Nativ'!$P$6:$P$405,1,'Istoric_Nativ'!$D$6:$D$405,"&gt;="&amp;L762))))</x:f>
        <x:v>0</x:v>
      </x:c>
      <x:c r="N762" s="11" t="str">
        <x:f>IF(M762=0,"",IF(H762="HOME",SUMIFS('Istoric_Nativ'!$G$6:$G$405,'Istoric_Nativ'!$B$6:$B$405,E762,'Istoric_Nativ'!$C$6:$C$405,F762,'Istoric_Nativ'!$E$6:$E$405,G762,'Istoric_Nativ'!$D$6:$D$405,"&lt;"&amp;J762,'Istoric_Nativ'!$P$6:$P$405,1,'Istoric_Nativ'!$D$6:$D$405,"&gt;="&amp;L762),IF(H762="AWAY",SUMIFS('Istoric_Nativ'!$H$6:$H$405,'Istoric_Nativ'!$B$6:$B$405,E762,'Istoric_Nativ'!$C$6:$C$405,F762,'Istoric_Nativ'!$F$6:$F$405,G762,'Istoric_Nativ'!$D$6:$D$405,"&lt;"&amp;J762,'Istoric_Nativ'!$P$6:$P$405,1,'Istoric_Nativ'!$D$6:$D$405,"&gt;="&amp;L762),SUMIFS('Istoric_Nativ'!$G$6:$G$405,'Istoric_Nativ'!$B$6:$B$405,E762,'Istoric_Nativ'!$C$6:$C$405,F762,'Istoric_Nativ'!$E$6:$E$405,G762,'Istoric_Nativ'!$D$6:$D$405,"&lt;"&amp;J762,'Istoric_Nativ'!$P$6:$P$405,1,'Istoric_Nativ'!$D$6:$D$405,"&gt;="&amp;L762)+SUMIFS('Istoric_Nativ'!$H$6:$H$405,'Istoric_Nativ'!$B$6:$B$405,E762,'Istoric_Nativ'!$C$6:$C$405,F762,'Istoric_Nativ'!$F$6:$F$405,G762,'Istoric_Nativ'!$D$6:$D$405,"&lt;"&amp;J762,'Istoric_Nativ'!$P$6:$P$405,1,'Istoric_Nativ'!$D$6:$D$405,"&gt;="&amp;L762)))/M762)</x:f>
      </x:c>
      <x:c r="O762" s="11" t="str">
        <x:f>IF(M762=0,"",IF(H762="HOME",SUMIFS('Istoric_Nativ'!$H$6:$H$405,'Istoric_Nativ'!$B$6:$B$405,E762,'Istoric_Nativ'!$C$6:$C$405,F762,'Istoric_Nativ'!$E$6:$E$405,G762,'Istoric_Nativ'!$D$6:$D$405,"&lt;"&amp;J762,'Istoric_Nativ'!$P$6:$P$405,1,'Istoric_Nativ'!$D$6:$D$405,"&gt;="&amp;L762),IF(H762="AWAY",SUMIFS('Istoric_Nativ'!$G$6:$G$405,'Istoric_Nativ'!$B$6:$B$405,E762,'Istoric_Nativ'!$C$6:$C$405,F762,'Istoric_Nativ'!$F$6:$F$405,G762,'Istoric_Nativ'!$D$6:$D$405,"&lt;"&amp;J762,'Istoric_Nativ'!$P$6:$P$405,1,'Istoric_Nativ'!$D$6:$D$405,"&gt;="&amp;L762),SUMIFS('Istoric_Nativ'!$H$6:$H$405,'Istoric_Nativ'!$B$6:$B$405,E762,'Istoric_Nativ'!$C$6:$C$405,F762,'Istoric_Nativ'!$E$6:$E$405,G762,'Istoric_Nativ'!$D$6:$D$405,"&lt;"&amp;J762,'Istoric_Nativ'!$P$6:$P$405,1,'Istoric_Nativ'!$D$6:$D$405,"&gt;="&amp;L762)+SUMIFS('Istoric_Nativ'!$G$6:$G$405,'Istoric_Nativ'!$B$6:$B$405,E762,'Istoric_Nativ'!$C$6:$C$405,F762,'Istoric_Nativ'!$F$6:$F$405,G762,'Istoric_Nativ'!$D$6:$D$405,"&lt;"&amp;J762,'Istoric_Nativ'!$P$6:$P$405,1,'Istoric_Nativ'!$D$6:$D$405,"&gt;="&amp;L762)))/M762)</x:f>
      </x:c>
      <x:c r="P762" s="2" t="n">
        <x:f>'Config_v6'!$B$7</x:f>
        <x:v>10</x:v>
      </x:c>
      <x:c r="Q762" s="2" t="n">
        <x:f>IF(OR(B762="",F762=""),0,IFERROR(MATCH(E762&amp;"|"&amp;F762,SourceTable[Source_Key],0),0))</x:f>
        <x:v>0</x:v>
      </x:c>
      <x:c r="R762" s="2" t="str">
        <x:f>IF(B762="","",IF(F762="","UNUSED",IF(Q762=0,"NOT CHECKED",IF(COUNTIF(SourceTable[Source_Key],E762&amp;"|"&amp;F762)&lt;&gt;1,"SOURCE CONFLICT",IF(NOT(OR(INDEX(SourceTable[Status],MAX(1,Q762))="IMPORTED",INDEX(SourceTable[Status],MAX(1,Q762))="PARTIAL",INDEX(SourceTable[Status],MAX(1,Q762))="SOURCE CONFLICT")),"ACCESS BLOCKED",IF(OR(INDEX(SourceTable[Coverage],Q762)&lt;&gt;"FULL SEASON EXPORT",INDEX(SourceTable[URL],Q762)="",INDEX(SourceTable[SHA256],Q762)=""),"EVIDENCE INCOMPLETE",IF(AND('Input_Meci'!H69="LIVE",INDEX(SourceTable[Retrieved_UTC],Q762)&gt;'Input_Meci'!G69),"POST CUTOFF","CLOSED")))))))</x:f>
      </x:c>
      <x:c r="S762" s="2" t="n">
        <x:f>IF(OR(B762="",F762=""),0,COUNTIFS('Istoric_Nativ'!$B$6:$B$405,E762,'Istoric_Nativ'!$C$6:$C$405,F762,'Istoric_Nativ'!$E$6:$E$405,G762,'Istoric_Nativ'!$D$6:$D$405,"&lt;"&amp;J762,'Istoric_Nativ'!$O$6:$O$405,"INVALID")+COUNTIFS('Istoric_Nativ'!$B$6:$B$405,E762,'Istoric_Nativ'!$C$6:$C$405,F762,'Istoric_Nativ'!$E$6:$E$405,G762,'Istoric_Nativ'!$O$6:$O$405,"INVALID",'Istoric_Nativ'!$D$6:$D$405,"*")+COUNTIFS('Istoric_Nativ'!$B$6:$B$405,E762,'Istoric_Nativ'!$C$6:$C$405,F762,'Istoric_Nativ'!$E$6:$E$405,G762,'Istoric_Nativ'!$D$6:$D$405,"&lt;"&amp;J762,'Istoric_Nativ'!$O$6:$O$405,"SOURCE CONFLICT")+COUNTIFS('Istoric_Nativ'!$B$6:$B$405,E762,'Istoric_Nativ'!$C$6:$C$405,F762,'Istoric_Nativ'!$F$6:$F$405,G762,'Istoric_Nativ'!$D$6:$D$405,"&lt;"&amp;J762,'Istoric_Nativ'!$O$6:$O$405,"INVALID")+COUNTIFS('Istoric_Nativ'!$B$6:$B$405,E762,'Istoric_Nativ'!$C$6:$C$405,F762,'Istoric_Nativ'!$F$6:$F$405,G762,'Istoric_Nativ'!$O$6:$O$405,"INVALID",'Istoric_Nativ'!$D$6:$D$405,"*")+COUNTIFS('Istoric_Nativ'!$B$6:$B$405,E762,'Istoric_Nativ'!$C$6:$C$405,F762,'Istoric_Nativ'!$F$6:$F$405,G762,'Istoric_Nativ'!$D$6:$D$405,"&lt;"&amp;J762,'Istoric_Nativ'!$O$6:$O$405,"SOURCE CONFLICT"))</x:f>
        <x:v>0</x:v>
      </x:c>
      <x:c r="T762" s="2" t="str">
        <x:f>IF(B762="","",IF(R762&lt;&gt;"CLOSED",R762,IF(S762&gt;0,"NATIVE INPUT ISSUE",IF(M762=0,"NO HISTORY",IF(M762&lt;P762,"SMALL SAMPLE","DERIVED")))))</x:f>
      </x:c>
      <x:c r="U762" s="2" t="str">
        <x:f>IF(B762="","","NativeTable; "&amp;E762&amp;"; "&amp;F762&amp;"; "&amp;G762&amp;"; "&amp;H762&amp;"; before "&amp;TEXT(J762,"yyyy-mm-dd")&amp;IF(I762="RECENT","; from "&amp;TEXT(L762,"yyyy-mm-dd"),""))</x:f>
      </x:c>
    </x:row>
    <x:row r="763" ht="21" customHeight="1">
      <x:c r="A763" s="2" t="n">
        <x:v>64</x:v>
      </x:c>
      <x:c r="B763" s="2" t="str">
        <x:f>IF('Input_Meci'!A69="","",'Input_Meci'!A69)</x:f>
      </x:c>
      <x:c r="C763" s="2" t="str">
        <x:v>H</x:v>
      </x:c>
      <x:c r="D763" s="2" t="str">
        <x:v>CURRENT</x:v>
      </x:c>
      <x:c r="E763" s="2" t="str">
        <x:f>IF(B763="","",'Input_Meci'!B69)</x:f>
      </x:c>
      <x:c r="F763" s="2" t="str">
        <x:f>IF(B763="","",IF('Input_Meci'!C69="","",'Input_Meci'!C69))</x:f>
      </x:c>
      <x:c r="G763" s="2" t="str">
        <x:f>IF(B763="","",'Input_Meci'!D69)</x:f>
      </x:c>
      <x:c r="H763" s="2" t="str">
        <x:v>HOME</x:v>
      </x:c>
      <x:c r="I763" s="2" t="str">
        <x:v>HA</x:v>
      </x:c>
      <x:c r="J763" s="9" t="n">
        <x:f>IF(AND(B763&lt;&gt;"",ISNUMBER('Input_Meci'!G69)),INT('Input_Meci'!G69),0)</x:f>
        <x:v>0</x:v>
      </x:c>
      <x:c r="K763" s="2" t="n">
        <x:f>IF(OR(B763="",F763=""),0,IF(H763="HOME",COUNTIFS('Istoric_Nativ'!$B$6:$B$405,E763,'Istoric_Nativ'!$C$6:$C$405,F763,'Istoric_Nativ'!$E$6:$E$405,G763,'Istoric_Nativ'!$D$6:$D$405,"&lt;"&amp;J763,'Istoric_Nativ'!$P$6:$P$405,1),IF(H763="AWAY",COUNTIFS('Istoric_Nativ'!$B$6:$B$405,E763,'Istoric_Nativ'!$C$6:$C$405,F763,'Istoric_Nativ'!$F$6:$F$405,G763,'Istoric_Nativ'!$D$6:$D$405,"&lt;"&amp;J763,'Istoric_Nativ'!$P$6:$P$405,1),COUNTIFS('Istoric_Nativ'!$B$6:$B$405,E763,'Istoric_Nativ'!$C$6:$C$405,F763,'Istoric_Nativ'!$E$6:$E$405,G763,'Istoric_Nativ'!$D$6:$D$405,"&lt;"&amp;J763,'Istoric_Nativ'!$P$6:$P$405,1)+COUNTIFS('Istoric_Nativ'!$B$6:$B$405,E763,'Istoric_Nativ'!$C$6:$C$405,F763,'Istoric_Nativ'!$F$6:$F$405,G763,'Istoric_Nativ'!$D$6:$D$405,"&lt;"&amp;J763,'Istoric_Nativ'!$P$6:$P$405,1))))</x:f>
        <x:v>0</x:v>
      </x:c>
      <x:c r="L763" s="17" t="n">
        <x:f>IF(AND(B763&lt;&gt;"",I763="RECENT",K763&gt;0),LARGE(_xlfn._xlws.FILTER('Istoric_Nativ'!$D$6:$D$405,('Istoric_Nativ'!$B$6:$B$405=E763)*('Istoric_Nativ'!$C$6:$C$405=F763)*('Istoric_Nativ'!$P$6:$P$405=1)*('Istoric_Nativ'!$D$6:$D$405&lt;J763)*((('Istoric_Nativ'!$E$6:$E$405=G763)+('Istoric_Nativ'!$F$6:$F$405=G763))&gt;0)),MIN('Config_v6'!$B$54,K763)),0)</x:f>
        <x:v>0</x:v>
      </x:c>
      <x:c r="M763" s="2" t="n">
        <x:f>IF(OR(B763="",F763=""),0,IF(H763="HOME",COUNTIFS('Istoric_Nativ'!$B$6:$B$405,E763,'Istoric_Nativ'!$C$6:$C$405,F763,'Istoric_Nativ'!$E$6:$E$405,G763,'Istoric_Nativ'!$D$6:$D$405,"&lt;"&amp;J763,'Istoric_Nativ'!$P$6:$P$405,1,'Istoric_Nativ'!$D$6:$D$405,"&gt;="&amp;L763),IF(H763="AWAY",COUNTIFS('Istoric_Nativ'!$B$6:$B$405,E763,'Istoric_Nativ'!$C$6:$C$405,F763,'Istoric_Nativ'!$F$6:$F$405,G763,'Istoric_Nativ'!$D$6:$D$405,"&lt;"&amp;J763,'Istoric_Nativ'!$P$6:$P$405,1,'Istoric_Nativ'!$D$6:$D$405,"&gt;="&amp;L763),COUNTIFS('Istoric_Nativ'!$B$6:$B$405,E763,'Istoric_Nativ'!$C$6:$C$405,F763,'Istoric_Nativ'!$E$6:$E$405,G763,'Istoric_Nativ'!$D$6:$D$405,"&lt;"&amp;J763,'Istoric_Nativ'!$P$6:$P$405,1,'Istoric_Nativ'!$D$6:$D$405,"&gt;="&amp;L763)+COUNTIFS('Istoric_Nativ'!$B$6:$B$405,E763,'Istoric_Nativ'!$C$6:$C$405,F763,'Istoric_Nativ'!$F$6:$F$405,G763,'Istoric_Nativ'!$D$6:$D$405,"&lt;"&amp;J763,'Istoric_Nativ'!$P$6:$P$405,1,'Istoric_Nativ'!$D$6:$D$405,"&gt;="&amp;L763))))</x:f>
        <x:v>0</x:v>
      </x:c>
      <x:c r="N763" s="11" t="str">
        <x:f>IF(M763=0,"",IF(H763="HOME",SUMIFS('Istoric_Nativ'!$G$6:$G$405,'Istoric_Nativ'!$B$6:$B$405,E763,'Istoric_Nativ'!$C$6:$C$405,F763,'Istoric_Nativ'!$E$6:$E$405,G763,'Istoric_Nativ'!$D$6:$D$405,"&lt;"&amp;J763,'Istoric_Nativ'!$P$6:$P$405,1,'Istoric_Nativ'!$D$6:$D$405,"&gt;="&amp;L763),IF(H763="AWAY",SUMIFS('Istoric_Nativ'!$H$6:$H$405,'Istoric_Nativ'!$B$6:$B$405,E763,'Istoric_Nativ'!$C$6:$C$405,F763,'Istoric_Nativ'!$F$6:$F$405,G763,'Istoric_Nativ'!$D$6:$D$405,"&lt;"&amp;J763,'Istoric_Nativ'!$P$6:$P$405,1,'Istoric_Nativ'!$D$6:$D$405,"&gt;="&amp;L763),SUMIFS('Istoric_Nativ'!$G$6:$G$405,'Istoric_Nativ'!$B$6:$B$405,E763,'Istoric_Nativ'!$C$6:$C$405,F763,'Istoric_Nativ'!$E$6:$E$405,G763,'Istoric_Nativ'!$D$6:$D$405,"&lt;"&amp;J763,'Istoric_Nativ'!$P$6:$P$405,1,'Istoric_Nativ'!$D$6:$D$405,"&gt;="&amp;L763)+SUMIFS('Istoric_Nativ'!$H$6:$H$405,'Istoric_Nativ'!$B$6:$B$405,E763,'Istoric_Nativ'!$C$6:$C$405,F763,'Istoric_Nativ'!$F$6:$F$405,G763,'Istoric_Nativ'!$D$6:$D$405,"&lt;"&amp;J763,'Istoric_Nativ'!$P$6:$P$405,1,'Istoric_Nativ'!$D$6:$D$405,"&gt;="&amp;L763)))/M763)</x:f>
      </x:c>
      <x:c r="O763" s="11" t="str">
        <x:f>IF(M763=0,"",IF(H763="HOME",SUMIFS('Istoric_Nativ'!$H$6:$H$405,'Istoric_Nativ'!$B$6:$B$405,E763,'Istoric_Nativ'!$C$6:$C$405,F763,'Istoric_Nativ'!$E$6:$E$405,G763,'Istoric_Nativ'!$D$6:$D$405,"&lt;"&amp;J763,'Istoric_Nativ'!$P$6:$P$405,1,'Istoric_Nativ'!$D$6:$D$405,"&gt;="&amp;L763),IF(H763="AWAY",SUMIFS('Istoric_Nativ'!$G$6:$G$405,'Istoric_Nativ'!$B$6:$B$405,E763,'Istoric_Nativ'!$C$6:$C$405,F763,'Istoric_Nativ'!$F$6:$F$405,G763,'Istoric_Nativ'!$D$6:$D$405,"&lt;"&amp;J763,'Istoric_Nativ'!$P$6:$P$405,1,'Istoric_Nativ'!$D$6:$D$405,"&gt;="&amp;L763),SUMIFS('Istoric_Nativ'!$H$6:$H$405,'Istoric_Nativ'!$B$6:$B$405,E763,'Istoric_Nativ'!$C$6:$C$405,F763,'Istoric_Nativ'!$E$6:$E$405,G763,'Istoric_Nativ'!$D$6:$D$405,"&lt;"&amp;J763,'Istoric_Nativ'!$P$6:$P$405,1,'Istoric_Nativ'!$D$6:$D$405,"&gt;="&amp;L763)+SUMIFS('Istoric_Nativ'!$G$6:$G$405,'Istoric_Nativ'!$B$6:$B$405,E763,'Istoric_Nativ'!$C$6:$C$405,F763,'Istoric_Nativ'!$F$6:$F$405,G763,'Istoric_Nativ'!$D$6:$D$405,"&lt;"&amp;J763,'Istoric_Nativ'!$P$6:$P$405,1,'Istoric_Nativ'!$D$6:$D$405,"&gt;="&amp;L763)))/M763)</x:f>
      </x:c>
      <x:c r="P763" s="2" t="n">
        <x:f>'Config_v6'!$B$8</x:f>
        <x:v>5</x:v>
      </x:c>
      <x:c r="Q763" s="2" t="n">
        <x:f>IF(OR(B763="",F763=""),0,IFERROR(MATCH(E763&amp;"|"&amp;F763,SourceTable[Source_Key],0),0))</x:f>
        <x:v>0</x:v>
      </x:c>
      <x:c r="R763" s="2" t="str">
        <x:f>IF(B763="","",IF(F763="","UNUSED",IF(Q763=0,"NOT CHECKED",IF(COUNTIF(SourceTable[Source_Key],E763&amp;"|"&amp;F763)&lt;&gt;1,"SOURCE CONFLICT",IF(NOT(OR(INDEX(SourceTable[Status],MAX(1,Q763))="IMPORTED",INDEX(SourceTable[Status],MAX(1,Q763))="PARTIAL",INDEX(SourceTable[Status],MAX(1,Q763))="SOURCE CONFLICT")),"ACCESS BLOCKED",IF(OR(INDEX(SourceTable[Coverage],Q763)&lt;&gt;"FULL SEASON EXPORT",INDEX(SourceTable[URL],Q763)="",INDEX(SourceTable[SHA256],Q763)=""),"EVIDENCE INCOMPLETE",IF(AND('Input_Meci'!H69="LIVE",INDEX(SourceTable[Retrieved_UTC],Q763)&gt;'Input_Meci'!G69),"POST CUTOFF","CLOSED")))))))</x:f>
      </x:c>
      <x:c r="S763" s="2" t="n">
        <x:f>IF(OR(B763="",F763=""),0,COUNTIFS('Istoric_Nativ'!$B$6:$B$405,E763,'Istoric_Nativ'!$C$6:$C$405,F763,'Istoric_Nativ'!$E$6:$E$405,G763,'Istoric_Nativ'!$D$6:$D$405,"&lt;"&amp;J763,'Istoric_Nativ'!$O$6:$O$405,"INVALID")+COUNTIFS('Istoric_Nativ'!$B$6:$B$405,E763,'Istoric_Nativ'!$C$6:$C$405,F763,'Istoric_Nativ'!$E$6:$E$405,G763,'Istoric_Nativ'!$O$6:$O$405,"INVALID",'Istoric_Nativ'!$D$6:$D$405,"*")+COUNTIFS('Istoric_Nativ'!$B$6:$B$405,E763,'Istoric_Nativ'!$C$6:$C$405,F763,'Istoric_Nativ'!$E$6:$E$405,G763,'Istoric_Nativ'!$D$6:$D$405,"&lt;"&amp;J763,'Istoric_Nativ'!$O$6:$O$405,"SOURCE CONFLICT")+COUNTIFS('Istoric_Nativ'!$B$6:$B$405,E763,'Istoric_Nativ'!$C$6:$C$405,F763,'Istoric_Nativ'!$F$6:$F$405,G763,'Istoric_Nativ'!$D$6:$D$405,"&lt;"&amp;J763,'Istoric_Nativ'!$O$6:$O$405,"INVALID")+COUNTIFS('Istoric_Nativ'!$B$6:$B$405,E763,'Istoric_Nativ'!$C$6:$C$405,F763,'Istoric_Nativ'!$F$6:$F$405,G763,'Istoric_Nativ'!$O$6:$O$405,"INVALID",'Istoric_Nativ'!$D$6:$D$405,"*")+COUNTIFS('Istoric_Nativ'!$B$6:$B$405,E763,'Istoric_Nativ'!$C$6:$C$405,F763,'Istoric_Nativ'!$F$6:$F$405,G763,'Istoric_Nativ'!$D$6:$D$405,"&lt;"&amp;J763,'Istoric_Nativ'!$O$6:$O$405,"SOURCE CONFLICT"))</x:f>
        <x:v>0</x:v>
      </x:c>
      <x:c r="T763" s="2" t="str">
        <x:f>IF(B763="","",IF(R763&lt;&gt;"CLOSED",R763,IF(S763&gt;0,"NATIVE INPUT ISSUE",IF(M763=0,"NO HISTORY",IF(M763&lt;P763,"SMALL SAMPLE","DERIVED")))))</x:f>
      </x:c>
      <x:c r="U763" s="2" t="str">
        <x:f>IF(B763="","","NativeTable; "&amp;E763&amp;"; "&amp;F763&amp;"; "&amp;G763&amp;"; "&amp;H763&amp;"; before "&amp;TEXT(J763,"yyyy-mm-dd")&amp;IF(I763="RECENT","; from "&amp;TEXT(L763,"yyyy-mm-dd"),""))</x:f>
      </x:c>
    </x:row>
    <x:row r="764" ht="21" customHeight="1">
      <x:c r="A764" s="2" t="n">
        <x:v>64</x:v>
      </x:c>
      <x:c r="B764" s="2" t="str">
        <x:f>IF('Input_Meci'!A69="","",'Input_Meci'!A69)</x:f>
      </x:c>
      <x:c r="C764" s="2" t="str">
        <x:v>H</x:v>
      </x:c>
      <x:c r="D764" s="2" t="str">
        <x:v>CURRENT</x:v>
      </x:c>
      <x:c r="E764" s="2" t="str">
        <x:f>IF(B764="","",'Input_Meci'!B69)</x:f>
      </x:c>
      <x:c r="F764" s="2" t="str">
        <x:f>IF(B764="","",IF('Input_Meci'!C69="","",'Input_Meci'!C69))</x:f>
      </x:c>
      <x:c r="G764" s="2" t="str">
        <x:f>IF(B764="","",'Input_Meci'!D69)</x:f>
      </x:c>
      <x:c r="H764" s="2" t="str">
        <x:v>ANY</x:v>
      </x:c>
      <x:c r="I764" s="2" t="str">
        <x:v>RECENT</x:v>
      </x:c>
      <x:c r="J764" s="9" t="n">
        <x:f>IF(AND(B764&lt;&gt;"",ISNUMBER('Input_Meci'!G69)),INT('Input_Meci'!G69),0)</x:f>
        <x:v>0</x:v>
      </x:c>
      <x:c r="K764" s="2" t="n">
        <x:f>IF(OR(B764="",F764=""),0,IF(H764="HOME",COUNTIFS('Istoric_Nativ'!$B$6:$B$405,E764,'Istoric_Nativ'!$C$6:$C$405,F764,'Istoric_Nativ'!$E$6:$E$405,G764,'Istoric_Nativ'!$D$6:$D$405,"&lt;"&amp;J764,'Istoric_Nativ'!$P$6:$P$405,1),IF(H764="AWAY",COUNTIFS('Istoric_Nativ'!$B$6:$B$405,E764,'Istoric_Nativ'!$C$6:$C$405,F764,'Istoric_Nativ'!$F$6:$F$405,G764,'Istoric_Nativ'!$D$6:$D$405,"&lt;"&amp;J764,'Istoric_Nativ'!$P$6:$P$405,1),COUNTIFS('Istoric_Nativ'!$B$6:$B$405,E764,'Istoric_Nativ'!$C$6:$C$405,F764,'Istoric_Nativ'!$E$6:$E$405,G764,'Istoric_Nativ'!$D$6:$D$405,"&lt;"&amp;J764,'Istoric_Nativ'!$P$6:$P$405,1)+COUNTIFS('Istoric_Nativ'!$B$6:$B$405,E764,'Istoric_Nativ'!$C$6:$C$405,F764,'Istoric_Nativ'!$F$6:$F$405,G764,'Istoric_Nativ'!$D$6:$D$405,"&lt;"&amp;J764,'Istoric_Nativ'!$P$6:$P$405,1))))</x:f>
        <x:v>0</x:v>
      </x:c>
      <x:c r="L764" s="17" t="n">
        <x:f>IF(AND(B764&lt;&gt;"",I764="RECENT",K764&gt;0),LARGE(_xlfn._xlws.FILTER('Istoric_Nativ'!$D$6:$D$405,('Istoric_Nativ'!$B$6:$B$405=E764)*('Istoric_Nativ'!$C$6:$C$405=F764)*('Istoric_Nativ'!$P$6:$P$405=1)*('Istoric_Nativ'!$D$6:$D$405&lt;J764)*((('Istoric_Nativ'!$E$6:$E$405=G764)+('Istoric_Nativ'!$F$6:$F$405=G764))&gt;0)),MIN('Config_v6'!$B$54,K764)),0)</x:f>
        <x:v>0</x:v>
      </x:c>
      <x:c r="M764" s="2" t="n">
        <x:f>IF(OR(B764="",F764=""),0,IF(H764="HOME",COUNTIFS('Istoric_Nativ'!$B$6:$B$405,E764,'Istoric_Nativ'!$C$6:$C$405,F764,'Istoric_Nativ'!$E$6:$E$405,G764,'Istoric_Nativ'!$D$6:$D$405,"&lt;"&amp;J764,'Istoric_Nativ'!$P$6:$P$405,1,'Istoric_Nativ'!$D$6:$D$405,"&gt;="&amp;L764),IF(H764="AWAY",COUNTIFS('Istoric_Nativ'!$B$6:$B$405,E764,'Istoric_Nativ'!$C$6:$C$405,F764,'Istoric_Nativ'!$F$6:$F$405,G764,'Istoric_Nativ'!$D$6:$D$405,"&lt;"&amp;J764,'Istoric_Nativ'!$P$6:$P$405,1,'Istoric_Nativ'!$D$6:$D$405,"&gt;="&amp;L764),COUNTIFS('Istoric_Nativ'!$B$6:$B$405,E764,'Istoric_Nativ'!$C$6:$C$405,F764,'Istoric_Nativ'!$E$6:$E$405,G764,'Istoric_Nativ'!$D$6:$D$405,"&lt;"&amp;J764,'Istoric_Nativ'!$P$6:$P$405,1,'Istoric_Nativ'!$D$6:$D$405,"&gt;="&amp;L764)+COUNTIFS('Istoric_Nativ'!$B$6:$B$405,E764,'Istoric_Nativ'!$C$6:$C$405,F764,'Istoric_Nativ'!$F$6:$F$405,G764,'Istoric_Nativ'!$D$6:$D$405,"&lt;"&amp;J764,'Istoric_Nativ'!$P$6:$P$405,1,'Istoric_Nativ'!$D$6:$D$405,"&gt;="&amp;L764))))</x:f>
        <x:v>0</x:v>
      </x:c>
      <x:c r="N764" s="11" t="str">
        <x:f>IF(M764=0,"",IF(H764="HOME",SUMIFS('Istoric_Nativ'!$G$6:$G$405,'Istoric_Nativ'!$B$6:$B$405,E764,'Istoric_Nativ'!$C$6:$C$405,F764,'Istoric_Nativ'!$E$6:$E$405,G764,'Istoric_Nativ'!$D$6:$D$405,"&lt;"&amp;J764,'Istoric_Nativ'!$P$6:$P$405,1,'Istoric_Nativ'!$D$6:$D$405,"&gt;="&amp;L764),IF(H764="AWAY",SUMIFS('Istoric_Nativ'!$H$6:$H$405,'Istoric_Nativ'!$B$6:$B$405,E764,'Istoric_Nativ'!$C$6:$C$405,F764,'Istoric_Nativ'!$F$6:$F$405,G764,'Istoric_Nativ'!$D$6:$D$405,"&lt;"&amp;J764,'Istoric_Nativ'!$P$6:$P$405,1,'Istoric_Nativ'!$D$6:$D$405,"&gt;="&amp;L764),SUMIFS('Istoric_Nativ'!$G$6:$G$405,'Istoric_Nativ'!$B$6:$B$405,E764,'Istoric_Nativ'!$C$6:$C$405,F764,'Istoric_Nativ'!$E$6:$E$405,G764,'Istoric_Nativ'!$D$6:$D$405,"&lt;"&amp;J764,'Istoric_Nativ'!$P$6:$P$405,1,'Istoric_Nativ'!$D$6:$D$405,"&gt;="&amp;L764)+SUMIFS('Istoric_Nativ'!$H$6:$H$405,'Istoric_Nativ'!$B$6:$B$405,E764,'Istoric_Nativ'!$C$6:$C$405,F764,'Istoric_Nativ'!$F$6:$F$405,G764,'Istoric_Nativ'!$D$6:$D$405,"&lt;"&amp;J764,'Istoric_Nativ'!$P$6:$P$405,1,'Istoric_Nativ'!$D$6:$D$405,"&gt;="&amp;L764)))/M764)</x:f>
      </x:c>
      <x:c r="O764" s="11" t="str">
        <x:f>IF(M764=0,"",IF(H764="HOME",SUMIFS('Istoric_Nativ'!$H$6:$H$405,'Istoric_Nativ'!$B$6:$B$405,E764,'Istoric_Nativ'!$C$6:$C$405,F764,'Istoric_Nativ'!$E$6:$E$405,G764,'Istoric_Nativ'!$D$6:$D$405,"&lt;"&amp;J764,'Istoric_Nativ'!$P$6:$P$405,1,'Istoric_Nativ'!$D$6:$D$405,"&gt;="&amp;L764),IF(H764="AWAY",SUMIFS('Istoric_Nativ'!$G$6:$G$405,'Istoric_Nativ'!$B$6:$B$405,E764,'Istoric_Nativ'!$C$6:$C$405,F764,'Istoric_Nativ'!$F$6:$F$405,G764,'Istoric_Nativ'!$D$6:$D$405,"&lt;"&amp;J764,'Istoric_Nativ'!$P$6:$P$405,1,'Istoric_Nativ'!$D$6:$D$405,"&gt;="&amp;L764),SUMIFS('Istoric_Nativ'!$H$6:$H$405,'Istoric_Nativ'!$B$6:$B$405,E764,'Istoric_Nativ'!$C$6:$C$405,F764,'Istoric_Nativ'!$E$6:$E$405,G764,'Istoric_Nativ'!$D$6:$D$405,"&lt;"&amp;J764,'Istoric_Nativ'!$P$6:$P$405,1,'Istoric_Nativ'!$D$6:$D$405,"&gt;="&amp;L764)+SUMIFS('Istoric_Nativ'!$G$6:$G$405,'Istoric_Nativ'!$B$6:$B$405,E764,'Istoric_Nativ'!$C$6:$C$405,F764,'Istoric_Nativ'!$F$6:$F$405,G764,'Istoric_Nativ'!$D$6:$D$405,"&lt;"&amp;J764,'Istoric_Nativ'!$P$6:$P$405,1,'Istoric_Nativ'!$D$6:$D$405,"&gt;="&amp;L764)))/M764)</x:f>
      </x:c>
      <x:c r="P764" s="2" t="n">
        <x:f>'Config_v6'!$B$9</x:f>
        <x:v>3</x:v>
      </x:c>
      <x:c r="Q764" s="2" t="n">
        <x:f>IF(OR(B764="",F764=""),0,IFERROR(MATCH(E764&amp;"|"&amp;F764,SourceTable[Source_Key],0),0))</x:f>
        <x:v>0</x:v>
      </x:c>
      <x:c r="R764" s="2" t="str">
        <x:f>IF(B764="","",IF(F764="","UNUSED",IF(Q764=0,"NOT CHECKED",IF(COUNTIF(SourceTable[Source_Key],E764&amp;"|"&amp;F764)&lt;&gt;1,"SOURCE CONFLICT",IF(NOT(OR(INDEX(SourceTable[Status],MAX(1,Q764))="IMPORTED",INDEX(SourceTable[Status],MAX(1,Q764))="PARTIAL",INDEX(SourceTable[Status],MAX(1,Q764))="SOURCE CONFLICT")),"ACCESS BLOCKED",IF(OR(INDEX(SourceTable[Coverage],Q764)&lt;&gt;"FULL SEASON EXPORT",INDEX(SourceTable[URL],Q764)="",INDEX(SourceTable[SHA256],Q764)=""),"EVIDENCE INCOMPLETE",IF(AND('Input_Meci'!H69="LIVE",INDEX(SourceTable[Retrieved_UTC],Q764)&gt;'Input_Meci'!G69),"POST CUTOFF","CLOSED")))))))</x:f>
      </x:c>
      <x:c r="S764" s="2" t="n">
        <x:f>IF(OR(B764="",F764=""),0,COUNTIFS('Istoric_Nativ'!$B$6:$B$405,E764,'Istoric_Nativ'!$C$6:$C$405,F764,'Istoric_Nativ'!$E$6:$E$405,G764,'Istoric_Nativ'!$D$6:$D$405,"&lt;"&amp;J764,'Istoric_Nativ'!$O$6:$O$405,"INVALID")+COUNTIFS('Istoric_Nativ'!$B$6:$B$405,E764,'Istoric_Nativ'!$C$6:$C$405,F764,'Istoric_Nativ'!$E$6:$E$405,G764,'Istoric_Nativ'!$O$6:$O$405,"INVALID",'Istoric_Nativ'!$D$6:$D$405,"*")+COUNTIFS('Istoric_Nativ'!$B$6:$B$405,E764,'Istoric_Nativ'!$C$6:$C$405,F764,'Istoric_Nativ'!$E$6:$E$405,G764,'Istoric_Nativ'!$D$6:$D$405,"&lt;"&amp;J764,'Istoric_Nativ'!$O$6:$O$405,"SOURCE CONFLICT")+COUNTIFS('Istoric_Nativ'!$B$6:$B$405,E764,'Istoric_Nativ'!$C$6:$C$405,F764,'Istoric_Nativ'!$F$6:$F$405,G764,'Istoric_Nativ'!$D$6:$D$405,"&lt;"&amp;J764,'Istoric_Nativ'!$O$6:$O$405,"INVALID")+COUNTIFS('Istoric_Nativ'!$B$6:$B$405,E764,'Istoric_Nativ'!$C$6:$C$405,F764,'Istoric_Nativ'!$F$6:$F$405,G764,'Istoric_Nativ'!$O$6:$O$405,"INVALID",'Istoric_Nativ'!$D$6:$D$405,"*")+COUNTIFS('Istoric_Nativ'!$B$6:$B$405,E764,'Istoric_Nativ'!$C$6:$C$405,F764,'Istoric_Nativ'!$F$6:$F$405,G764,'Istoric_Nativ'!$D$6:$D$405,"&lt;"&amp;J764,'Istoric_Nativ'!$O$6:$O$405,"SOURCE CONFLICT"))</x:f>
        <x:v>0</x:v>
      </x:c>
      <x:c r="T764" s="2" t="str">
        <x:f>IF(B764="","",IF(R764&lt;&gt;"CLOSED",R764,IF(S764&gt;0,"NATIVE INPUT ISSUE",IF(M764=0,"NO HISTORY",IF(M764&lt;P764,"SMALL SAMPLE","DERIVED")))))</x:f>
      </x:c>
      <x:c r="U764" s="2" t="str">
        <x:f>IF(B764="","","NativeTable; "&amp;E764&amp;"; "&amp;F764&amp;"; "&amp;G764&amp;"; "&amp;H764&amp;"; before "&amp;TEXT(J764,"yyyy-mm-dd")&amp;IF(I764="RECENT","; from "&amp;TEXT(L764,"yyyy-mm-dd"),""))</x:f>
      </x:c>
    </x:row>
    <x:row r="765" ht="21" customHeight="1">
      <x:c r="A765" s="2" t="n">
        <x:v>64</x:v>
      </x:c>
      <x:c r="B765" s="2" t="str">
        <x:f>IF('Input_Meci'!A69="","",'Input_Meci'!A69)</x:f>
      </x:c>
      <x:c r="C765" s="2" t="str">
        <x:v>A</x:v>
      </x:c>
      <x:c r="D765" s="2" t="str">
        <x:v>CURRENT</x:v>
      </x:c>
      <x:c r="E765" s="2" t="str">
        <x:f>IF(B765="","",'Input_Meci'!B69)</x:f>
      </x:c>
      <x:c r="F765" s="2" t="str">
        <x:f>IF(B765="","",IF('Input_Meci'!C69="","",'Input_Meci'!C69))</x:f>
      </x:c>
      <x:c r="G765" s="2" t="str">
        <x:f>IF(B765="","",'Input_Meci'!E69)</x:f>
      </x:c>
      <x:c r="H765" s="2" t="str">
        <x:v>ANY</x:v>
      </x:c>
      <x:c r="I765" s="2" t="str">
        <x:v>SEASON</x:v>
      </x:c>
      <x:c r="J765" s="9" t="n">
        <x:f>IF(AND(B765&lt;&gt;"",ISNUMBER('Input_Meci'!G69)),INT('Input_Meci'!G69),0)</x:f>
        <x:v>0</x:v>
      </x:c>
      <x:c r="K765" s="2" t="n">
        <x:f>IF(OR(B765="",F765=""),0,IF(H765="HOME",COUNTIFS('Istoric_Nativ'!$B$6:$B$405,E765,'Istoric_Nativ'!$C$6:$C$405,F765,'Istoric_Nativ'!$E$6:$E$405,G765,'Istoric_Nativ'!$D$6:$D$405,"&lt;"&amp;J765,'Istoric_Nativ'!$P$6:$P$405,1),IF(H765="AWAY",COUNTIFS('Istoric_Nativ'!$B$6:$B$405,E765,'Istoric_Nativ'!$C$6:$C$405,F765,'Istoric_Nativ'!$F$6:$F$405,G765,'Istoric_Nativ'!$D$6:$D$405,"&lt;"&amp;J765,'Istoric_Nativ'!$P$6:$P$405,1),COUNTIFS('Istoric_Nativ'!$B$6:$B$405,E765,'Istoric_Nativ'!$C$6:$C$405,F765,'Istoric_Nativ'!$E$6:$E$405,G765,'Istoric_Nativ'!$D$6:$D$405,"&lt;"&amp;J765,'Istoric_Nativ'!$P$6:$P$405,1)+COUNTIFS('Istoric_Nativ'!$B$6:$B$405,E765,'Istoric_Nativ'!$C$6:$C$405,F765,'Istoric_Nativ'!$F$6:$F$405,G765,'Istoric_Nativ'!$D$6:$D$405,"&lt;"&amp;J765,'Istoric_Nativ'!$P$6:$P$405,1))))</x:f>
        <x:v>0</x:v>
      </x:c>
      <x:c r="L765" s="17" t="n">
        <x:f>IF(AND(B765&lt;&gt;"",I765="RECENT",K765&gt;0),LARGE(_xlfn._xlws.FILTER('Istoric_Nativ'!$D$6:$D$405,('Istoric_Nativ'!$B$6:$B$405=E765)*('Istoric_Nativ'!$C$6:$C$405=F765)*('Istoric_Nativ'!$P$6:$P$405=1)*('Istoric_Nativ'!$D$6:$D$405&lt;J765)*((('Istoric_Nativ'!$E$6:$E$405=G765)+('Istoric_Nativ'!$F$6:$F$405=G765))&gt;0)),MIN('Config_v6'!$B$54,K765)),0)</x:f>
        <x:v>0</x:v>
      </x:c>
      <x:c r="M765" s="2" t="n">
        <x:f>IF(OR(B765="",F765=""),0,IF(H765="HOME",COUNTIFS('Istoric_Nativ'!$B$6:$B$405,E765,'Istoric_Nativ'!$C$6:$C$405,F765,'Istoric_Nativ'!$E$6:$E$405,G765,'Istoric_Nativ'!$D$6:$D$405,"&lt;"&amp;J765,'Istoric_Nativ'!$P$6:$P$405,1,'Istoric_Nativ'!$D$6:$D$405,"&gt;="&amp;L765),IF(H765="AWAY",COUNTIFS('Istoric_Nativ'!$B$6:$B$405,E765,'Istoric_Nativ'!$C$6:$C$405,F765,'Istoric_Nativ'!$F$6:$F$405,G765,'Istoric_Nativ'!$D$6:$D$405,"&lt;"&amp;J765,'Istoric_Nativ'!$P$6:$P$405,1,'Istoric_Nativ'!$D$6:$D$405,"&gt;="&amp;L765),COUNTIFS('Istoric_Nativ'!$B$6:$B$405,E765,'Istoric_Nativ'!$C$6:$C$405,F765,'Istoric_Nativ'!$E$6:$E$405,G765,'Istoric_Nativ'!$D$6:$D$405,"&lt;"&amp;J765,'Istoric_Nativ'!$P$6:$P$405,1,'Istoric_Nativ'!$D$6:$D$405,"&gt;="&amp;L765)+COUNTIFS('Istoric_Nativ'!$B$6:$B$405,E765,'Istoric_Nativ'!$C$6:$C$405,F765,'Istoric_Nativ'!$F$6:$F$405,G765,'Istoric_Nativ'!$D$6:$D$405,"&lt;"&amp;J765,'Istoric_Nativ'!$P$6:$P$405,1,'Istoric_Nativ'!$D$6:$D$405,"&gt;="&amp;L765))))</x:f>
        <x:v>0</x:v>
      </x:c>
      <x:c r="N765" s="11" t="str">
        <x:f>IF(M765=0,"",IF(H765="HOME",SUMIFS('Istoric_Nativ'!$G$6:$G$405,'Istoric_Nativ'!$B$6:$B$405,E765,'Istoric_Nativ'!$C$6:$C$405,F765,'Istoric_Nativ'!$E$6:$E$405,G765,'Istoric_Nativ'!$D$6:$D$405,"&lt;"&amp;J765,'Istoric_Nativ'!$P$6:$P$405,1,'Istoric_Nativ'!$D$6:$D$405,"&gt;="&amp;L765),IF(H765="AWAY",SUMIFS('Istoric_Nativ'!$H$6:$H$405,'Istoric_Nativ'!$B$6:$B$405,E765,'Istoric_Nativ'!$C$6:$C$405,F765,'Istoric_Nativ'!$F$6:$F$405,G765,'Istoric_Nativ'!$D$6:$D$405,"&lt;"&amp;J765,'Istoric_Nativ'!$P$6:$P$405,1,'Istoric_Nativ'!$D$6:$D$405,"&gt;="&amp;L765),SUMIFS('Istoric_Nativ'!$G$6:$G$405,'Istoric_Nativ'!$B$6:$B$405,E765,'Istoric_Nativ'!$C$6:$C$405,F765,'Istoric_Nativ'!$E$6:$E$405,G765,'Istoric_Nativ'!$D$6:$D$405,"&lt;"&amp;J765,'Istoric_Nativ'!$P$6:$P$405,1,'Istoric_Nativ'!$D$6:$D$405,"&gt;="&amp;L765)+SUMIFS('Istoric_Nativ'!$H$6:$H$405,'Istoric_Nativ'!$B$6:$B$405,E765,'Istoric_Nativ'!$C$6:$C$405,F765,'Istoric_Nativ'!$F$6:$F$405,G765,'Istoric_Nativ'!$D$6:$D$405,"&lt;"&amp;J765,'Istoric_Nativ'!$P$6:$P$405,1,'Istoric_Nativ'!$D$6:$D$405,"&gt;="&amp;L765)))/M765)</x:f>
      </x:c>
      <x:c r="O765" s="11" t="str">
        <x:f>IF(M765=0,"",IF(H765="HOME",SUMIFS('Istoric_Nativ'!$H$6:$H$405,'Istoric_Nativ'!$B$6:$B$405,E765,'Istoric_Nativ'!$C$6:$C$405,F765,'Istoric_Nativ'!$E$6:$E$405,G765,'Istoric_Nativ'!$D$6:$D$405,"&lt;"&amp;J765,'Istoric_Nativ'!$P$6:$P$405,1,'Istoric_Nativ'!$D$6:$D$405,"&gt;="&amp;L765),IF(H765="AWAY",SUMIFS('Istoric_Nativ'!$G$6:$G$405,'Istoric_Nativ'!$B$6:$B$405,E765,'Istoric_Nativ'!$C$6:$C$405,F765,'Istoric_Nativ'!$F$6:$F$405,G765,'Istoric_Nativ'!$D$6:$D$405,"&lt;"&amp;J765,'Istoric_Nativ'!$P$6:$P$405,1,'Istoric_Nativ'!$D$6:$D$405,"&gt;="&amp;L765),SUMIFS('Istoric_Nativ'!$H$6:$H$405,'Istoric_Nativ'!$B$6:$B$405,E765,'Istoric_Nativ'!$C$6:$C$405,F765,'Istoric_Nativ'!$E$6:$E$405,G765,'Istoric_Nativ'!$D$6:$D$405,"&lt;"&amp;J765,'Istoric_Nativ'!$P$6:$P$405,1,'Istoric_Nativ'!$D$6:$D$405,"&gt;="&amp;L765)+SUMIFS('Istoric_Nativ'!$G$6:$G$405,'Istoric_Nativ'!$B$6:$B$405,E765,'Istoric_Nativ'!$C$6:$C$405,F765,'Istoric_Nativ'!$F$6:$F$405,G765,'Istoric_Nativ'!$D$6:$D$405,"&lt;"&amp;J765,'Istoric_Nativ'!$P$6:$P$405,1,'Istoric_Nativ'!$D$6:$D$405,"&gt;="&amp;L765)))/M765)</x:f>
      </x:c>
      <x:c r="P765" s="2" t="n">
        <x:f>'Config_v6'!$B$7</x:f>
        <x:v>10</x:v>
      </x:c>
      <x:c r="Q765" s="2" t="n">
        <x:f>IF(OR(B765="",F765=""),0,IFERROR(MATCH(E765&amp;"|"&amp;F765,SourceTable[Source_Key],0),0))</x:f>
        <x:v>0</x:v>
      </x:c>
      <x:c r="R765" s="2" t="str">
        <x:f>IF(B765="","",IF(F765="","UNUSED",IF(Q765=0,"NOT CHECKED",IF(COUNTIF(SourceTable[Source_Key],E765&amp;"|"&amp;F765)&lt;&gt;1,"SOURCE CONFLICT",IF(NOT(OR(INDEX(SourceTable[Status],MAX(1,Q765))="IMPORTED",INDEX(SourceTable[Status],MAX(1,Q765))="PARTIAL",INDEX(SourceTable[Status],MAX(1,Q765))="SOURCE CONFLICT")),"ACCESS BLOCKED",IF(OR(INDEX(SourceTable[Coverage],Q765)&lt;&gt;"FULL SEASON EXPORT",INDEX(SourceTable[URL],Q765)="",INDEX(SourceTable[SHA256],Q765)=""),"EVIDENCE INCOMPLETE",IF(AND('Input_Meci'!H69="LIVE",INDEX(SourceTable[Retrieved_UTC],Q765)&gt;'Input_Meci'!G69),"POST CUTOFF","CLOSED")))))))</x:f>
      </x:c>
      <x:c r="S765" s="2" t="n">
        <x:f>IF(OR(B765="",F765=""),0,COUNTIFS('Istoric_Nativ'!$B$6:$B$405,E765,'Istoric_Nativ'!$C$6:$C$405,F765,'Istoric_Nativ'!$E$6:$E$405,G765,'Istoric_Nativ'!$D$6:$D$405,"&lt;"&amp;J765,'Istoric_Nativ'!$O$6:$O$405,"INVALID")+COUNTIFS('Istoric_Nativ'!$B$6:$B$405,E765,'Istoric_Nativ'!$C$6:$C$405,F765,'Istoric_Nativ'!$E$6:$E$405,G765,'Istoric_Nativ'!$O$6:$O$405,"INVALID",'Istoric_Nativ'!$D$6:$D$405,"*")+COUNTIFS('Istoric_Nativ'!$B$6:$B$405,E765,'Istoric_Nativ'!$C$6:$C$405,F765,'Istoric_Nativ'!$E$6:$E$405,G765,'Istoric_Nativ'!$D$6:$D$405,"&lt;"&amp;J765,'Istoric_Nativ'!$O$6:$O$405,"SOURCE CONFLICT")+COUNTIFS('Istoric_Nativ'!$B$6:$B$405,E765,'Istoric_Nativ'!$C$6:$C$405,F765,'Istoric_Nativ'!$F$6:$F$405,G765,'Istoric_Nativ'!$D$6:$D$405,"&lt;"&amp;J765,'Istoric_Nativ'!$O$6:$O$405,"INVALID")+COUNTIFS('Istoric_Nativ'!$B$6:$B$405,E765,'Istoric_Nativ'!$C$6:$C$405,F765,'Istoric_Nativ'!$F$6:$F$405,G765,'Istoric_Nativ'!$O$6:$O$405,"INVALID",'Istoric_Nativ'!$D$6:$D$405,"*")+COUNTIFS('Istoric_Nativ'!$B$6:$B$405,E765,'Istoric_Nativ'!$C$6:$C$405,F765,'Istoric_Nativ'!$F$6:$F$405,G765,'Istoric_Nativ'!$D$6:$D$405,"&lt;"&amp;J765,'Istoric_Nativ'!$O$6:$O$405,"SOURCE CONFLICT"))</x:f>
        <x:v>0</x:v>
      </x:c>
      <x:c r="T765" s="2" t="str">
        <x:f>IF(B765="","",IF(R765&lt;&gt;"CLOSED",R765,IF(S765&gt;0,"NATIVE INPUT ISSUE",IF(M765=0,"NO HISTORY",IF(M765&lt;P765,"SMALL SAMPLE","DERIVED")))))</x:f>
      </x:c>
      <x:c r="U765" s="2" t="str">
        <x:f>IF(B765="","","NativeTable; "&amp;E765&amp;"; "&amp;F765&amp;"; "&amp;G765&amp;"; "&amp;H765&amp;"; before "&amp;TEXT(J765,"yyyy-mm-dd")&amp;IF(I765="RECENT","; from "&amp;TEXT(L765,"yyyy-mm-dd"),""))</x:f>
      </x:c>
    </x:row>
    <x:row r="766" ht="21" customHeight="1">
      <x:c r="A766" s="2" t="n">
        <x:v>64</x:v>
      </x:c>
      <x:c r="B766" s="2" t="str">
        <x:f>IF('Input_Meci'!A69="","",'Input_Meci'!A69)</x:f>
      </x:c>
      <x:c r="C766" s="2" t="str">
        <x:v>A</x:v>
      </x:c>
      <x:c r="D766" s="2" t="str">
        <x:v>CURRENT</x:v>
      </x:c>
      <x:c r="E766" s="2" t="str">
        <x:f>IF(B766="","",'Input_Meci'!B69)</x:f>
      </x:c>
      <x:c r="F766" s="2" t="str">
        <x:f>IF(B766="","",IF('Input_Meci'!C69="","",'Input_Meci'!C69))</x:f>
      </x:c>
      <x:c r="G766" s="2" t="str">
        <x:f>IF(B766="","",'Input_Meci'!E69)</x:f>
      </x:c>
      <x:c r="H766" s="2" t="str">
        <x:v>AWAY</x:v>
      </x:c>
      <x:c r="I766" s="2" t="str">
        <x:v>HA</x:v>
      </x:c>
      <x:c r="J766" s="9" t="n">
        <x:f>IF(AND(B766&lt;&gt;"",ISNUMBER('Input_Meci'!G69)),INT('Input_Meci'!G69),0)</x:f>
        <x:v>0</x:v>
      </x:c>
      <x:c r="K766" s="2" t="n">
        <x:f>IF(OR(B766="",F766=""),0,IF(H766="HOME",COUNTIFS('Istoric_Nativ'!$B$6:$B$405,E766,'Istoric_Nativ'!$C$6:$C$405,F766,'Istoric_Nativ'!$E$6:$E$405,G766,'Istoric_Nativ'!$D$6:$D$405,"&lt;"&amp;J766,'Istoric_Nativ'!$P$6:$P$405,1),IF(H766="AWAY",COUNTIFS('Istoric_Nativ'!$B$6:$B$405,E766,'Istoric_Nativ'!$C$6:$C$405,F766,'Istoric_Nativ'!$F$6:$F$405,G766,'Istoric_Nativ'!$D$6:$D$405,"&lt;"&amp;J766,'Istoric_Nativ'!$P$6:$P$405,1),COUNTIFS('Istoric_Nativ'!$B$6:$B$405,E766,'Istoric_Nativ'!$C$6:$C$405,F766,'Istoric_Nativ'!$E$6:$E$405,G766,'Istoric_Nativ'!$D$6:$D$405,"&lt;"&amp;J766,'Istoric_Nativ'!$P$6:$P$405,1)+COUNTIFS('Istoric_Nativ'!$B$6:$B$405,E766,'Istoric_Nativ'!$C$6:$C$405,F766,'Istoric_Nativ'!$F$6:$F$405,G766,'Istoric_Nativ'!$D$6:$D$405,"&lt;"&amp;J766,'Istoric_Nativ'!$P$6:$P$405,1))))</x:f>
        <x:v>0</x:v>
      </x:c>
      <x:c r="L766" s="17" t="n">
        <x:f>IF(AND(B766&lt;&gt;"",I766="RECENT",K766&gt;0),LARGE(_xlfn._xlws.FILTER('Istoric_Nativ'!$D$6:$D$405,('Istoric_Nativ'!$B$6:$B$405=E766)*('Istoric_Nativ'!$C$6:$C$405=F766)*('Istoric_Nativ'!$P$6:$P$405=1)*('Istoric_Nativ'!$D$6:$D$405&lt;J766)*((('Istoric_Nativ'!$E$6:$E$405=G766)+('Istoric_Nativ'!$F$6:$F$405=G766))&gt;0)),MIN('Config_v6'!$B$54,K766)),0)</x:f>
        <x:v>0</x:v>
      </x:c>
      <x:c r="M766" s="2" t="n">
        <x:f>IF(OR(B766="",F766=""),0,IF(H766="HOME",COUNTIFS('Istoric_Nativ'!$B$6:$B$405,E766,'Istoric_Nativ'!$C$6:$C$405,F766,'Istoric_Nativ'!$E$6:$E$405,G766,'Istoric_Nativ'!$D$6:$D$405,"&lt;"&amp;J766,'Istoric_Nativ'!$P$6:$P$405,1,'Istoric_Nativ'!$D$6:$D$405,"&gt;="&amp;L766),IF(H766="AWAY",COUNTIFS('Istoric_Nativ'!$B$6:$B$405,E766,'Istoric_Nativ'!$C$6:$C$405,F766,'Istoric_Nativ'!$F$6:$F$405,G766,'Istoric_Nativ'!$D$6:$D$405,"&lt;"&amp;J766,'Istoric_Nativ'!$P$6:$P$405,1,'Istoric_Nativ'!$D$6:$D$405,"&gt;="&amp;L766),COUNTIFS('Istoric_Nativ'!$B$6:$B$405,E766,'Istoric_Nativ'!$C$6:$C$405,F766,'Istoric_Nativ'!$E$6:$E$405,G766,'Istoric_Nativ'!$D$6:$D$405,"&lt;"&amp;J766,'Istoric_Nativ'!$P$6:$P$405,1,'Istoric_Nativ'!$D$6:$D$405,"&gt;="&amp;L766)+COUNTIFS('Istoric_Nativ'!$B$6:$B$405,E766,'Istoric_Nativ'!$C$6:$C$405,F766,'Istoric_Nativ'!$F$6:$F$405,G766,'Istoric_Nativ'!$D$6:$D$405,"&lt;"&amp;J766,'Istoric_Nativ'!$P$6:$P$405,1,'Istoric_Nativ'!$D$6:$D$405,"&gt;="&amp;L766))))</x:f>
        <x:v>0</x:v>
      </x:c>
      <x:c r="N766" s="11" t="str">
        <x:f>IF(M766=0,"",IF(H766="HOME",SUMIFS('Istoric_Nativ'!$G$6:$G$405,'Istoric_Nativ'!$B$6:$B$405,E766,'Istoric_Nativ'!$C$6:$C$405,F766,'Istoric_Nativ'!$E$6:$E$405,G766,'Istoric_Nativ'!$D$6:$D$405,"&lt;"&amp;J766,'Istoric_Nativ'!$P$6:$P$405,1,'Istoric_Nativ'!$D$6:$D$405,"&gt;="&amp;L766),IF(H766="AWAY",SUMIFS('Istoric_Nativ'!$H$6:$H$405,'Istoric_Nativ'!$B$6:$B$405,E766,'Istoric_Nativ'!$C$6:$C$405,F766,'Istoric_Nativ'!$F$6:$F$405,G766,'Istoric_Nativ'!$D$6:$D$405,"&lt;"&amp;J766,'Istoric_Nativ'!$P$6:$P$405,1,'Istoric_Nativ'!$D$6:$D$405,"&gt;="&amp;L766),SUMIFS('Istoric_Nativ'!$G$6:$G$405,'Istoric_Nativ'!$B$6:$B$405,E766,'Istoric_Nativ'!$C$6:$C$405,F766,'Istoric_Nativ'!$E$6:$E$405,G766,'Istoric_Nativ'!$D$6:$D$405,"&lt;"&amp;J766,'Istoric_Nativ'!$P$6:$P$405,1,'Istoric_Nativ'!$D$6:$D$405,"&gt;="&amp;L766)+SUMIFS('Istoric_Nativ'!$H$6:$H$405,'Istoric_Nativ'!$B$6:$B$405,E766,'Istoric_Nativ'!$C$6:$C$405,F766,'Istoric_Nativ'!$F$6:$F$405,G766,'Istoric_Nativ'!$D$6:$D$405,"&lt;"&amp;J766,'Istoric_Nativ'!$P$6:$P$405,1,'Istoric_Nativ'!$D$6:$D$405,"&gt;="&amp;L766)))/M766)</x:f>
      </x:c>
      <x:c r="O766" s="11" t="str">
        <x:f>IF(M766=0,"",IF(H766="HOME",SUMIFS('Istoric_Nativ'!$H$6:$H$405,'Istoric_Nativ'!$B$6:$B$405,E766,'Istoric_Nativ'!$C$6:$C$405,F766,'Istoric_Nativ'!$E$6:$E$405,G766,'Istoric_Nativ'!$D$6:$D$405,"&lt;"&amp;J766,'Istoric_Nativ'!$P$6:$P$405,1,'Istoric_Nativ'!$D$6:$D$405,"&gt;="&amp;L766),IF(H766="AWAY",SUMIFS('Istoric_Nativ'!$G$6:$G$405,'Istoric_Nativ'!$B$6:$B$405,E766,'Istoric_Nativ'!$C$6:$C$405,F766,'Istoric_Nativ'!$F$6:$F$405,G766,'Istoric_Nativ'!$D$6:$D$405,"&lt;"&amp;J766,'Istoric_Nativ'!$P$6:$P$405,1,'Istoric_Nativ'!$D$6:$D$405,"&gt;="&amp;L766),SUMIFS('Istoric_Nativ'!$H$6:$H$405,'Istoric_Nativ'!$B$6:$B$405,E766,'Istoric_Nativ'!$C$6:$C$405,F766,'Istoric_Nativ'!$E$6:$E$405,G766,'Istoric_Nativ'!$D$6:$D$405,"&lt;"&amp;J766,'Istoric_Nativ'!$P$6:$P$405,1,'Istoric_Nativ'!$D$6:$D$405,"&gt;="&amp;L766)+SUMIFS('Istoric_Nativ'!$G$6:$G$405,'Istoric_Nativ'!$B$6:$B$405,E766,'Istoric_Nativ'!$C$6:$C$405,F766,'Istoric_Nativ'!$F$6:$F$405,G766,'Istoric_Nativ'!$D$6:$D$405,"&lt;"&amp;J766,'Istoric_Nativ'!$P$6:$P$405,1,'Istoric_Nativ'!$D$6:$D$405,"&gt;="&amp;L766)))/M766)</x:f>
      </x:c>
      <x:c r="P766" s="2" t="n">
        <x:f>'Config_v6'!$B$8</x:f>
        <x:v>5</x:v>
      </x:c>
      <x:c r="Q766" s="2" t="n">
        <x:f>IF(OR(B766="",F766=""),0,IFERROR(MATCH(E766&amp;"|"&amp;F766,SourceTable[Source_Key],0),0))</x:f>
        <x:v>0</x:v>
      </x:c>
      <x:c r="R766" s="2" t="str">
        <x:f>IF(B766="","",IF(F766="","UNUSED",IF(Q766=0,"NOT CHECKED",IF(COUNTIF(SourceTable[Source_Key],E766&amp;"|"&amp;F766)&lt;&gt;1,"SOURCE CONFLICT",IF(NOT(OR(INDEX(SourceTable[Status],MAX(1,Q766))="IMPORTED",INDEX(SourceTable[Status],MAX(1,Q766))="PARTIAL",INDEX(SourceTable[Status],MAX(1,Q766))="SOURCE CONFLICT")),"ACCESS BLOCKED",IF(OR(INDEX(SourceTable[Coverage],Q766)&lt;&gt;"FULL SEASON EXPORT",INDEX(SourceTable[URL],Q766)="",INDEX(SourceTable[SHA256],Q766)=""),"EVIDENCE INCOMPLETE",IF(AND('Input_Meci'!H69="LIVE",INDEX(SourceTable[Retrieved_UTC],Q766)&gt;'Input_Meci'!G69),"POST CUTOFF","CLOSED")))))))</x:f>
      </x:c>
      <x:c r="S766" s="2" t="n">
        <x:f>IF(OR(B766="",F766=""),0,COUNTIFS('Istoric_Nativ'!$B$6:$B$405,E766,'Istoric_Nativ'!$C$6:$C$405,F766,'Istoric_Nativ'!$E$6:$E$405,G766,'Istoric_Nativ'!$D$6:$D$405,"&lt;"&amp;J766,'Istoric_Nativ'!$O$6:$O$405,"INVALID")+COUNTIFS('Istoric_Nativ'!$B$6:$B$405,E766,'Istoric_Nativ'!$C$6:$C$405,F766,'Istoric_Nativ'!$E$6:$E$405,G766,'Istoric_Nativ'!$O$6:$O$405,"INVALID",'Istoric_Nativ'!$D$6:$D$405,"*")+COUNTIFS('Istoric_Nativ'!$B$6:$B$405,E766,'Istoric_Nativ'!$C$6:$C$405,F766,'Istoric_Nativ'!$E$6:$E$405,G766,'Istoric_Nativ'!$D$6:$D$405,"&lt;"&amp;J766,'Istoric_Nativ'!$O$6:$O$405,"SOURCE CONFLICT")+COUNTIFS('Istoric_Nativ'!$B$6:$B$405,E766,'Istoric_Nativ'!$C$6:$C$405,F766,'Istoric_Nativ'!$F$6:$F$405,G766,'Istoric_Nativ'!$D$6:$D$405,"&lt;"&amp;J766,'Istoric_Nativ'!$O$6:$O$405,"INVALID")+COUNTIFS('Istoric_Nativ'!$B$6:$B$405,E766,'Istoric_Nativ'!$C$6:$C$405,F766,'Istoric_Nativ'!$F$6:$F$405,G766,'Istoric_Nativ'!$O$6:$O$405,"INVALID",'Istoric_Nativ'!$D$6:$D$405,"*")+COUNTIFS('Istoric_Nativ'!$B$6:$B$405,E766,'Istoric_Nativ'!$C$6:$C$405,F766,'Istoric_Nativ'!$F$6:$F$405,G766,'Istoric_Nativ'!$D$6:$D$405,"&lt;"&amp;J766,'Istoric_Nativ'!$O$6:$O$405,"SOURCE CONFLICT"))</x:f>
        <x:v>0</x:v>
      </x:c>
      <x:c r="T766" s="2" t="str">
        <x:f>IF(B766="","",IF(R766&lt;&gt;"CLOSED",R766,IF(S766&gt;0,"NATIVE INPUT ISSUE",IF(M766=0,"NO HISTORY",IF(M766&lt;P766,"SMALL SAMPLE","DERIVED")))))</x:f>
      </x:c>
      <x:c r="U766" s="2" t="str">
        <x:f>IF(B766="","","NativeTable; "&amp;E766&amp;"; "&amp;F766&amp;"; "&amp;G766&amp;"; "&amp;H766&amp;"; before "&amp;TEXT(J766,"yyyy-mm-dd")&amp;IF(I766="RECENT","; from "&amp;TEXT(L766,"yyyy-mm-dd"),""))</x:f>
      </x:c>
    </x:row>
    <x:row r="767" ht="21" customHeight="1">
      <x:c r="A767" s="2" t="n">
        <x:v>64</x:v>
      </x:c>
      <x:c r="B767" s="2" t="str">
        <x:f>IF('Input_Meci'!A69="","",'Input_Meci'!A69)</x:f>
      </x:c>
      <x:c r="C767" s="2" t="str">
        <x:v>A</x:v>
      </x:c>
      <x:c r="D767" s="2" t="str">
        <x:v>CURRENT</x:v>
      </x:c>
      <x:c r="E767" s="2" t="str">
        <x:f>IF(B767="","",'Input_Meci'!B69)</x:f>
      </x:c>
      <x:c r="F767" s="2" t="str">
        <x:f>IF(B767="","",IF('Input_Meci'!C69="","",'Input_Meci'!C69))</x:f>
      </x:c>
      <x:c r="G767" s="2" t="str">
        <x:f>IF(B767="","",'Input_Meci'!E69)</x:f>
      </x:c>
      <x:c r="H767" s="2" t="str">
        <x:v>ANY</x:v>
      </x:c>
      <x:c r="I767" s="2" t="str">
        <x:v>RECENT</x:v>
      </x:c>
      <x:c r="J767" s="9" t="n">
        <x:f>IF(AND(B767&lt;&gt;"",ISNUMBER('Input_Meci'!G69)),INT('Input_Meci'!G69),0)</x:f>
        <x:v>0</x:v>
      </x:c>
      <x:c r="K767" s="2" t="n">
        <x:f>IF(OR(B767="",F767=""),0,IF(H767="HOME",COUNTIFS('Istoric_Nativ'!$B$6:$B$405,E767,'Istoric_Nativ'!$C$6:$C$405,F767,'Istoric_Nativ'!$E$6:$E$405,G767,'Istoric_Nativ'!$D$6:$D$405,"&lt;"&amp;J767,'Istoric_Nativ'!$P$6:$P$405,1),IF(H767="AWAY",COUNTIFS('Istoric_Nativ'!$B$6:$B$405,E767,'Istoric_Nativ'!$C$6:$C$405,F767,'Istoric_Nativ'!$F$6:$F$405,G767,'Istoric_Nativ'!$D$6:$D$405,"&lt;"&amp;J767,'Istoric_Nativ'!$P$6:$P$405,1),COUNTIFS('Istoric_Nativ'!$B$6:$B$405,E767,'Istoric_Nativ'!$C$6:$C$405,F767,'Istoric_Nativ'!$E$6:$E$405,G767,'Istoric_Nativ'!$D$6:$D$405,"&lt;"&amp;J767,'Istoric_Nativ'!$P$6:$P$405,1)+COUNTIFS('Istoric_Nativ'!$B$6:$B$405,E767,'Istoric_Nativ'!$C$6:$C$405,F767,'Istoric_Nativ'!$F$6:$F$405,G767,'Istoric_Nativ'!$D$6:$D$405,"&lt;"&amp;J767,'Istoric_Nativ'!$P$6:$P$405,1))))</x:f>
        <x:v>0</x:v>
      </x:c>
      <x:c r="L767" s="17" t="n">
        <x:f>IF(AND(B767&lt;&gt;"",I767="RECENT",K767&gt;0),LARGE(_xlfn._xlws.FILTER('Istoric_Nativ'!$D$6:$D$405,('Istoric_Nativ'!$B$6:$B$405=E767)*('Istoric_Nativ'!$C$6:$C$405=F767)*('Istoric_Nativ'!$P$6:$P$405=1)*('Istoric_Nativ'!$D$6:$D$405&lt;J767)*((('Istoric_Nativ'!$E$6:$E$405=G767)+('Istoric_Nativ'!$F$6:$F$405=G767))&gt;0)),MIN('Config_v6'!$B$54,K767)),0)</x:f>
        <x:v>0</x:v>
      </x:c>
      <x:c r="M767" s="2" t="n">
        <x:f>IF(OR(B767="",F767=""),0,IF(H767="HOME",COUNTIFS('Istoric_Nativ'!$B$6:$B$405,E767,'Istoric_Nativ'!$C$6:$C$405,F767,'Istoric_Nativ'!$E$6:$E$405,G767,'Istoric_Nativ'!$D$6:$D$405,"&lt;"&amp;J767,'Istoric_Nativ'!$P$6:$P$405,1,'Istoric_Nativ'!$D$6:$D$405,"&gt;="&amp;L767),IF(H767="AWAY",COUNTIFS('Istoric_Nativ'!$B$6:$B$405,E767,'Istoric_Nativ'!$C$6:$C$405,F767,'Istoric_Nativ'!$F$6:$F$405,G767,'Istoric_Nativ'!$D$6:$D$405,"&lt;"&amp;J767,'Istoric_Nativ'!$P$6:$P$405,1,'Istoric_Nativ'!$D$6:$D$405,"&gt;="&amp;L767),COUNTIFS('Istoric_Nativ'!$B$6:$B$405,E767,'Istoric_Nativ'!$C$6:$C$405,F767,'Istoric_Nativ'!$E$6:$E$405,G767,'Istoric_Nativ'!$D$6:$D$405,"&lt;"&amp;J767,'Istoric_Nativ'!$P$6:$P$405,1,'Istoric_Nativ'!$D$6:$D$405,"&gt;="&amp;L767)+COUNTIFS('Istoric_Nativ'!$B$6:$B$405,E767,'Istoric_Nativ'!$C$6:$C$405,F767,'Istoric_Nativ'!$F$6:$F$405,G767,'Istoric_Nativ'!$D$6:$D$405,"&lt;"&amp;J767,'Istoric_Nativ'!$P$6:$P$405,1,'Istoric_Nativ'!$D$6:$D$405,"&gt;="&amp;L767))))</x:f>
        <x:v>0</x:v>
      </x:c>
      <x:c r="N767" s="11" t="str">
        <x:f>IF(M767=0,"",IF(H767="HOME",SUMIFS('Istoric_Nativ'!$G$6:$G$405,'Istoric_Nativ'!$B$6:$B$405,E767,'Istoric_Nativ'!$C$6:$C$405,F767,'Istoric_Nativ'!$E$6:$E$405,G767,'Istoric_Nativ'!$D$6:$D$405,"&lt;"&amp;J767,'Istoric_Nativ'!$P$6:$P$405,1,'Istoric_Nativ'!$D$6:$D$405,"&gt;="&amp;L767),IF(H767="AWAY",SUMIFS('Istoric_Nativ'!$H$6:$H$405,'Istoric_Nativ'!$B$6:$B$405,E767,'Istoric_Nativ'!$C$6:$C$405,F767,'Istoric_Nativ'!$F$6:$F$405,G767,'Istoric_Nativ'!$D$6:$D$405,"&lt;"&amp;J767,'Istoric_Nativ'!$P$6:$P$405,1,'Istoric_Nativ'!$D$6:$D$405,"&gt;="&amp;L767),SUMIFS('Istoric_Nativ'!$G$6:$G$405,'Istoric_Nativ'!$B$6:$B$405,E767,'Istoric_Nativ'!$C$6:$C$405,F767,'Istoric_Nativ'!$E$6:$E$405,G767,'Istoric_Nativ'!$D$6:$D$405,"&lt;"&amp;J767,'Istoric_Nativ'!$P$6:$P$405,1,'Istoric_Nativ'!$D$6:$D$405,"&gt;="&amp;L767)+SUMIFS('Istoric_Nativ'!$H$6:$H$405,'Istoric_Nativ'!$B$6:$B$405,E767,'Istoric_Nativ'!$C$6:$C$405,F767,'Istoric_Nativ'!$F$6:$F$405,G767,'Istoric_Nativ'!$D$6:$D$405,"&lt;"&amp;J767,'Istoric_Nativ'!$P$6:$P$405,1,'Istoric_Nativ'!$D$6:$D$405,"&gt;="&amp;L767)))/M767)</x:f>
      </x:c>
      <x:c r="O767" s="11" t="str">
        <x:f>IF(M767=0,"",IF(H767="HOME",SUMIFS('Istoric_Nativ'!$H$6:$H$405,'Istoric_Nativ'!$B$6:$B$405,E767,'Istoric_Nativ'!$C$6:$C$405,F767,'Istoric_Nativ'!$E$6:$E$405,G767,'Istoric_Nativ'!$D$6:$D$405,"&lt;"&amp;J767,'Istoric_Nativ'!$P$6:$P$405,1,'Istoric_Nativ'!$D$6:$D$405,"&gt;="&amp;L767),IF(H767="AWAY",SUMIFS('Istoric_Nativ'!$G$6:$G$405,'Istoric_Nativ'!$B$6:$B$405,E767,'Istoric_Nativ'!$C$6:$C$405,F767,'Istoric_Nativ'!$F$6:$F$405,G767,'Istoric_Nativ'!$D$6:$D$405,"&lt;"&amp;J767,'Istoric_Nativ'!$P$6:$P$405,1,'Istoric_Nativ'!$D$6:$D$405,"&gt;="&amp;L767),SUMIFS('Istoric_Nativ'!$H$6:$H$405,'Istoric_Nativ'!$B$6:$B$405,E767,'Istoric_Nativ'!$C$6:$C$405,F767,'Istoric_Nativ'!$E$6:$E$405,G767,'Istoric_Nativ'!$D$6:$D$405,"&lt;"&amp;J767,'Istoric_Nativ'!$P$6:$P$405,1,'Istoric_Nativ'!$D$6:$D$405,"&gt;="&amp;L767)+SUMIFS('Istoric_Nativ'!$G$6:$G$405,'Istoric_Nativ'!$B$6:$B$405,E767,'Istoric_Nativ'!$C$6:$C$405,F767,'Istoric_Nativ'!$F$6:$F$405,G767,'Istoric_Nativ'!$D$6:$D$405,"&lt;"&amp;J767,'Istoric_Nativ'!$P$6:$P$405,1,'Istoric_Nativ'!$D$6:$D$405,"&gt;="&amp;L767)))/M767)</x:f>
      </x:c>
      <x:c r="P767" s="2" t="n">
        <x:f>'Config_v6'!$B$9</x:f>
        <x:v>3</x:v>
      </x:c>
      <x:c r="Q767" s="2" t="n">
        <x:f>IF(OR(B767="",F767=""),0,IFERROR(MATCH(E767&amp;"|"&amp;F767,SourceTable[Source_Key],0),0))</x:f>
        <x:v>0</x:v>
      </x:c>
      <x:c r="R767" s="2" t="str">
        <x:f>IF(B767="","",IF(F767="","UNUSED",IF(Q767=0,"NOT CHECKED",IF(COUNTIF(SourceTable[Source_Key],E767&amp;"|"&amp;F767)&lt;&gt;1,"SOURCE CONFLICT",IF(NOT(OR(INDEX(SourceTable[Status],MAX(1,Q767))="IMPORTED",INDEX(SourceTable[Status],MAX(1,Q767))="PARTIAL",INDEX(SourceTable[Status],MAX(1,Q767))="SOURCE CONFLICT")),"ACCESS BLOCKED",IF(OR(INDEX(SourceTable[Coverage],Q767)&lt;&gt;"FULL SEASON EXPORT",INDEX(SourceTable[URL],Q767)="",INDEX(SourceTable[SHA256],Q767)=""),"EVIDENCE INCOMPLETE",IF(AND('Input_Meci'!H69="LIVE",INDEX(SourceTable[Retrieved_UTC],Q767)&gt;'Input_Meci'!G69),"POST CUTOFF","CLOSED")))))))</x:f>
      </x:c>
      <x:c r="S767" s="2" t="n">
        <x:f>IF(OR(B767="",F767=""),0,COUNTIFS('Istoric_Nativ'!$B$6:$B$405,E767,'Istoric_Nativ'!$C$6:$C$405,F767,'Istoric_Nativ'!$E$6:$E$405,G767,'Istoric_Nativ'!$D$6:$D$405,"&lt;"&amp;J767,'Istoric_Nativ'!$O$6:$O$405,"INVALID")+COUNTIFS('Istoric_Nativ'!$B$6:$B$405,E767,'Istoric_Nativ'!$C$6:$C$405,F767,'Istoric_Nativ'!$E$6:$E$405,G767,'Istoric_Nativ'!$O$6:$O$405,"INVALID",'Istoric_Nativ'!$D$6:$D$405,"*")+COUNTIFS('Istoric_Nativ'!$B$6:$B$405,E767,'Istoric_Nativ'!$C$6:$C$405,F767,'Istoric_Nativ'!$E$6:$E$405,G767,'Istoric_Nativ'!$D$6:$D$405,"&lt;"&amp;J767,'Istoric_Nativ'!$O$6:$O$405,"SOURCE CONFLICT")+COUNTIFS('Istoric_Nativ'!$B$6:$B$405,E767,'Istoric_Nativ'!$C$6:$C$405,F767,'Istoric_Nativ'!$F$6:$F$405,G767,'Istoric_Nativ'!$D$6:$D$405,"&lt;"&amp;J767,'Istoric_Nativ'!$O$6:$O$405,"INVALID")+COUNTIFS('Istoric_Nativ'!$B$6:$B$405,E767,'Istoric_Nativ'!$C$6:$C$405,F767,'Istoric_Nativ'!$F$6:$F$405,G767,'Istoric_Nativ'!$O$6:$O$405,"INVALID",'Istoric_Nativ'!$D$6:$D$405,"*")+COUNTIFS('Istoric_Nativ'!$B$6:$B$405,E767,'Istoric_Nativ'!$C$6:$C$405,F767,'Istoric_Nativ'!$F$6:$F$405,G767,'Istoric_Nativ'!$D$6:$D$405,"&lt;"&amp;J767,'Istoric_Nativ'!$O$6:$O$405,"SOURCE CONFLICT"))</x:f>
        <x:v>0</x:v>
      </x:c>
      <x:c r="T767" s="2" t="str">
        <x:f>IF(B767="","",IF(R767&lt;&gt;"CLOSED",R767,IF(S767&gt;0,"NATIVE INPUT ISSUE",IF(M767=0,"NO HISTORY",IF(M767&lt;P767,"SMALL SAMPLE","DERIVED")))))</x:f>
      </x:c>
      <x:c r="U767" s="2" t="str">
        <x:f>IF(B767="","","NativeTable; "&amp;E767&amp;"; "&amp;F767&amp;"; "&amp;G767&amp;"; "&amp;H767&amp;"; before "&amp;TEXT(J767,"yyyy-mm-dd")&amp;IF(I767="RECENT","; from "&amp;TEXT(L767,"yyyy-mm-dd"),""))</x:f>
      </x:c>
    </x:row>
    <x:row r="768" ht="21" customHeight="1">
      <x:c r="A768" s="2" t="n">
        <x:v>64</x:v>
      </x:c>
      <x:c r="B768" s="2" t="str">
        <x:f>IF('Input_Meci'!A69="","",'Input_Meci'!A69)</x:f>
      </x:c>
      <x:c r="C768" s="2" t="str">
        <x:v>H</x:v>
      </x:c>
      <x:c r="D768" s="2" t="str">
        <x:v>PRIOR</x:v>
      </x:c>
      <x:c r="E768" s="2" t="str">
        <x:f>IF(B768="","",'Input_Meci'!B69)</x:f>
      </x:c>
      <x:c r="F768" s="2" t="str">
        <x:f>IF(B768="","",IF('Input_Meci'!K69="","",'Input_Meci'!K69))</x:f>
      </x:c>
      <x:c r="G768" s="2" t="str">
        <x:f>IF(B768="","",'Input_Meci'!D69)</x:f>
      </x:c>
      <x:c r="H768" s="2" t="str">
        <x:v>ANY</x:v>
      </x:c>
      <x:c r="I768" s="2" t="str">
        <x:v>SEASON</x:v>
      </x:c>
      <x:c r="J768" s="9" t="n">
        <x:f>IF(AND(B768&lt;&gt;"",ISNUMBER('Input_Meci'!G69)),INT('Input_Meci'!G69),0)</x:f>
        <x:v>0</x:v>
      </x:c>
      <x:c r="K768" s="2" t="n">
        <x:f>IF(OR(B768="",F768=""),0,IF(H768="HOME",COUNTIFS('Istoric_Nativ'!$B$6:$B$405,E768,'Istoric_Nativ'!$C$6:$C$405,F768,'Istoric_Nativ'!$E$6:$E$405,G768,'Istoric_Nativ'!$D$6:$D$405,"&lt;"&amp;J768,'Istoric_Nativ'!$P$6:$P$405,1),IF(H768="AWAY",COUNTIFS('Istoric_Nativ'!$B$6:$B$405,E768,'Istoric_Nativ'!$C$6:$C$405,F768,'Istoric_Nativ'!$F$6:$F$405,G768,'Istoric_Nativ'!$D$6:$D$405,"&lt;"&amp;J768,'Istoric_Nativ'!$P$6:$P$405,1),COUNTIFS('Istoric_Nativ'!$B$6:$B$405,E768,'Istoric_Nativ'!$C$6:$C$405,F768,'Istoric_Nativ'!$E$6:$E$405,G768,'Istoric_Nativ'!$D$6:$D$405,"&lt;"&amp;J768,'Istoric_Nativ'!$P$6:$P$405,1)+COUNTIFS('Istoric_Nativ'!$B$6:$B$405,E768,'Istoric_Nativ'!$C$6:$C$405,F768,'Istoric_Nativ'!$F$6:$F$405,G768,'Istoric_Nativ'!$D$6:$D$405,"&lt;"&amp;J768,'Istoric_Nativ'!$P$6:$P$405,1))))</x:f>
        <x:v>0</x:v>
      </x:c>
      <x:c r="L768" s="17" t="n">
        <x:f>IF(AND(B768&lt;&gt;"",I768="RECENT",K768&gt;0),LARGE(_xlfn._xlws.FILTER('Istoric_Nativ'!$D$6:$D$405,('Istoric_Nativ'!$B$6:$B$405=E768)*('Istoric_Nativ'!$C$6:$C$405=F768)*('Istoric_Nativ'!$P$6:$P$405=1)*('Istoric_Nativ'!$D$6:$D$405&lt;J768)*((('Istoric_Nativ'!$E$6:$E$405=G768)+('Istoric_Nativ'!$F$6:$F$405=G768))&gt;0)),MIN('Config_v6'!$B$54,K768)),0)</x:f>
        <x:v>0</x:v>
      </x:c>
      <x:c r="M768" s="2" t="n">
        <x:f>IF(OR(B768="",F768=""),0,IF(H768="HOME",COUNTIFS('Istoric_Nativ'!$B$6:$B$405,E768,'Istoric_Nativ'!$C$6:$C$405,F768,'Istoric_Nativ'!$E$6:$E$405,G768,'Istoric_Nativ'!$D$6:$D$405,"&lt;"&amp;J768,'Istoric_Nativ'!$P$6:$P$405,1,'Istoric_Nativ'!$D$6:$D$405,"&gt;="&amp;L768),IF(H768="AWAY",COUNTIFS('Istoric_Nativ'!$B$6:$B$405,E768,'Istoric_Nativ'!$C$6:$C$405,F768,'Istoric_Nativ'!$F$6:$F$405,G768,'Istoric_Nativ'!$D$6:$D$405,"&lt;"&amp;J768,'Istoric_Nativ'!$P$6:$P$405,1,'Istoric_Nativ'!$D$6:$D$405,"&gt;="&amp;L768),COUNTIFS('Istoric_Nativ'!$B$6:$B$405,E768,'Istoric_Nativ'!$C$6:$C$405,F768,'Istoric_Nativ'!$E$6:$E$405,G768,'Istoric_Nativ'!$D$6:$D$405,"&lt;"&amp;J768,'Istoric_Nativ'!$P$6:$P$405,1,'Istoric_Nativ'!$D$6:$D$405,"&gt;="&amp;L768)+COUNTIFS('Istoric_Nativ'!$B$6:$B$405,E768,'Istoric_Nativ'!$C$6:$C$405,F768,'Istoric_Nativ'!$F$6:$F$405,G768,'Istoric_Nativ'!$D$6:$D$405,"&lt;"&amp;J768,'Istoric_Nativ'!$P$6:$P$405,1,'Istoric_Nativ'!$D$6:$D$405,"&gt;="&amp;L768))))</x:f>
        <x:v>0</x:v>
      </x:c>
      <x:c r="N768" s="11" t="str">
        <x:f>IF(M768=0,"",IF(H768="HOME",SUMIFS('Istoric_Nativ'!$G$6:$G$405,'Istoric_Nativ'!$B$6:$B$405,E768,'Istoric_Nativ'!$C$6:$C$405,F768,'Istoric_Nativ'!$E$6:$E$405,G768,'Istoric_Nativ'!$D$6:$D$405,"&lt;"&amp;J768,'Istoric_Nativ'!$P$6:$P$405,1,'Istoric_Nativ'!$D$6:$D$405,"&gt;="&amp;L768),IF(H768="AWAY",SUMIFS('Istoric_Nativ'!$H$6:$H$405,'Istoric_Nativ'!$B$6:$B$405,E768,'Istoric_Nativ'!$C$6:$C$405,F768,'Istoric_Nativ'!$F$6:$F$405,G768,'Istoric_Nativ'!$D$6:$D$405,"&lt;"&amp;J768,'Istoric_Nativ'!$P$6:$P$405,1,'Istoric_Nativ'!$D$6:$D$405,"&gt;="&amp;L768),SUMIFS('Istoric_Nativ'!$G$6:$G$405,'Istoric_Nativ'!$B$6:$B$405,E768,'Istoric_Nativ'!$C$6:$C$405,F768,'Istoric_Nativ'!$E$6:$E$405,G768,'Istoric_Nativ'!$D$6:$D$405,"&lt;"&amp;J768,'Istoric_Nativ'!$P$6:$P$405,1,'Istoric_Nativ'!$D$6:$D$405,"&gt;="&amp;L768)+SUMIFS('Istoric_Nativ'!$H$6:$H$405,'Istoric_Nativ'!$B$6:$B$405,E768,'Istoric_Nativ'!$C$6:$C$405,F768,'Istoric_Nativ'!$F$6:$F$405,G768,'Istoric_Nativ'!$D$6:$D$405,"&lt;"&amp;J768,'Istoric_Nativ'!$P$6:$P$405,1,'Istoric_Nativ'!$D$6:$D$405,"&gt;="&amp;L768)))/M768)</x:f>
      </x:c>
      <x:c r="O768" s="11" t="str">
        <x:f>IF(M768=0,"",IF(H768="HOME",SUMIFS('Istoric_Nativ'!$H$6:$H$405,'Istoric_Nativ'!$B$6:$B$405,E768,'Istoric_Nativ'!$C$6:$C$405,F768,'Istoric_Nativ'!$E$6:$E$405,G768,'Istoric_Nativ'!$D$6:$D$405,"&lt;"&amp;J768,'Istoric_Nativ'!$P$6:$P$405,1,'Istoric_Nativ'!$D$6:$D$405,"&gt;="&amp;L768),IF(H768="AWAY",SUMIFS('Istoric_Nativ'!$G$6:$G$405,'Istoric_Nativ'!$B$6:$B$405,E768,'Istoric_Nativ'!$C$6:$C$405,F768,'Istoric_Nativ'!$F$6:$F$405,G768,'Istoric_Nativ'!$D$6:$D$405,"&lt;"&amp;J768,'Istoric_Nativ'!$P$6:$P$405,1,'Istoric_Nativ'!$D$6:$D$405,"&gt;="&amp;L768),SUMIFS('Istoric_Nativ'!$H$6:$H$405,'Istoric_Nativ'!$B$6:$B$405,E768,'Istoric_Nativ'!$C$6:$C$405,F768,'Istoric_Nativ'!$E$6:$E$405,G768,'Istoric_Nativ'!$D$6:$D$405,"&lt;"&amp;J768,'Istoric_Nativ'!$P$6:$P$405,1,'Istoric_Nativ'!$D$6:$D$405,"&gt;="&amp;L768)+SUMIFS('Istoric_Nativ'!$G$6:$G$405,'Istoric_Nativ'!$B$6:$B$405,E768,'Istoric_Nativ'!$C$6:$C$405,F768,'Istoric_Nativ'!$F$6:$F$405,G768,'Istoric_Nativ'!$D$6:$D$405,"&lt;"&amp;J768,'Istoric_Nativ'!$P$6:$P$405,1,'Istoric_Nativ'!$D$6:$D$405,"&gt;="&amp;L768)))/M768)</x:f>
      </x:c>
      <x:c r="P768" s="2" t="n">
        <x:f>'Config_v6'!$B$7</x:f>
        <x:v>10</x:v>
      </x:c>
      <x:c r="Q768" s="2" t="n">
        <x:f>IF(OR(B768="",F768=""),0,IFERROR(MATCH(E768&amp;"|"&amp;F768,SourceTable[Source_Key],0),0))</x:f>
        <x:v>0</x:v>
      </x:c>
      <x:c r="R768" s="2" t="str">
        <x:f>IF(B768="","",IF(F768="","UNUSED",IF(Q768=0,"NOT CHECKED",IF(COUNTIF(SourceTable[Source_Key],E768&amp;"|"&amp;F768)&lt;&gt;1,"SOURCE CONFLICT",IF(NOT(OR(INDEX(SourceTable[Status],MAX(1,Q768))="IMPORTED",INDEX(SourceTable[Status],MAX(1,Q768))="PARTIAL",INDEX(SourceTable[Status],MAX(1,Q768))="SOURCE CONFLICT")),"ACCESS BLOCKED",IF(OR(INDEX(SourceTable[Coverage],Q768)&lt;&gt;"FULL SEASON EXPORT",INDEX(SourceTable[URL],Q768)="",INDEX(SourceTable[SHA256],Q768)=""),"EVIDENCE INCOMPLETE",IF(AND('Input_Meci'!H69="LIVE",INDEX(SourceTable[Retrieved_UTC],Q768)&gt;'Input_Meci'!G69),"POST CUTOFF","CLOSED")))))))</x:f>
      </x:c>
      <x:c r="S768" s="2" t="n">
        <x:f>IF(OR(B768="",F768=""),0,COUNTIFS('Istoric_Nativ'!$B$6:$B$405,E768,'Istoric_Nativ'!$C$6:$C$405,F768,'Istoric_Nativ'!$E$6:$E$405,G768,'Istoric_Nativ'!$D$6:$D$405,"&lt;"&amp;J768,'Istoric_Nativ'!$O$6:$O$405,"INVALID")+COUNTIFS('Istoric_Nativ'!$B$6:$B$405,E768,'Istoric_Nativ'!$C$6:$C$405,F768,'Istoric_Nativ'!$E$6:$E$405,G768,'Istoric_Nativ'!$O$6:$O$405,"INVALID",'Istoric_Nativ'!$D$6:$D$405,"*")+COUNTIFS('Istoric_Nativ'!$B$6:$B$405,E768,'Istoric_Nativ'!$C$6:$C$405,F768,'Istoric_Nativ'!$E$6:$E$405,G768,'Istoric_Nativ'!$D$6:$D$405,"&lt;"&amp;J768,'Istoric_Nativ'!$O$6:$O$405,"SOURCE CONFLICT")+COUNTIFS('Istoric_Nativ'!$B$6:$B$405,E768,'Istoric_Nativ'!$C$6:$C$405,F768,'Istoric_Nativ'!$F$6:$F$405,G768,'Istoric_Nativ'!$D$6:$D$405,"&lt;"&amp;J768,'Istoric_Nativ'!$O$6:$O$405,"INVALID")+COUNTIFS('Istoric_Nativ'!$B$6:$B$405,E768,'Istoric_Nativ'!$C$6:$C$405,F768,'Istoric_Nativ'!$F$6:$F$405,G768,'Istoric_Nativ'!$O$6:$O$405,"INVALID",'Istoric_Nativ'!$D$6:$D$405,"*")+COUNTIFS('Istoric_Nativ'!$B$6:$B$405,E768,'Istoric_Nativ'!$C$6:$C$405,F768,'Istoric_Nativ'!$F$6:$F$405,G768,'Istoric_Nativ'!$D$6:$D$405,"&lt;"&amp;J768,'Istoric_Nativ'!$O$6:$O$405,"SOURCE CONFLICT"))</x:f>
        <x:v>0</x:v>
      </x:c>
      <x:c r="T768" s="2" t="str">
        <x:f>IF(B768="","",IF(R768&lt;&gt;"CLOSED",R768,IF(S768&gt;0,"NATIVE INPUT ISSUE",IF(M768=0,"NO HISTORY",IF(M768&lt;P768,"SMALL SAMPLE","DERIVED")))))</x:f>
      </x:c>
      <x:c r="U768" s="2" t="str">
        <x:f>IF(B768="","","NativeTable; "&amp;E768&amp;"; "&amp;F768&amp;"; "&amp;G768&amp;"; "&amp;H768&amp;"; before "&amp;TEXT(J768,"yyyy-mm-dd")&amp;IF(I768="RECENT","; from "&amp;TEXT(L768,"yyyy-mm-dd"),""))</x:f>
      </x:c>
    </x:row>
    <x:row r="769" ht="21" customHeight="1">
      <x:c r="A769" s="2" t="n">
        <x:v>64</x:v>
      </x:c>
      <x:c r="B769" s="2" t="str">
        <x:f>IF('Input_Meci'!A69="","",'Input_Meci'!A69)</x:f>
      </x:c>
      <x:c r="C769" s="2" t="str">
        <x:v>H</x:v>
      </x:c>
      <x:c r="D769" s="2" t="str">
        <x:v>PRIOR</x:v>
      </x:c>
      <x:c r="E769" s="2" t="str">
        <x:f>IF(B769="","",'Input_Meci'!B69)</x:f>
      </x:c>
      <x:c r="F769" s="2" t="str">
        <x:f>IF(B769="","",IF('Input_Meci'!K69="","",'Input_Meci'!K69))</x:f>
      </x:c>
      <x:c r="G769" s="2" t="str">
        <x:f>IF(B769="","",'Input_Meci'!D69)</x:f>
      </x:c>
      <x:c r="H769" s="2" t="str">
        <x:v>HOME</x:v>
      </x:c>
      <x:c r="I769" s="2" t="str">
        <x:v>HA</x:v>
      </x:c>
      <x:c r="J769" s="9" t="n">
        <x:f>IF(AND(B769&lt;&gt;"",ISNUMBER('Input_Meci'!G69)),INT('Input_Meci'!G69),0)</x:f>
        <x:v>0</x:v>
      </x:c>
      <x:c r="K769" s="2" t="n">
        <x:f>IF(OR(B769="",F769=""),0,IF(H769="HOME",COUNTIFS('Istoric_Nativ'!$B$6:$B$405,E769,'Istoric_Nativ'!$C$6:$C$405,F769,'Istoric_Nativ'!$E$6:$E$405,G769,'Istoric_Nativ'!$D$6:$D$405,"&lt;"&amp;J769,'Istoric_Nativ'!$P$6:$P$405,1),IF(H769="AWAY",COUNTIFS('Istoric_Nativ'!$B$6:$B$405,E769,'Istoric_Nativ'!$C$6:$C$405,F769,'Istoric_Nativ'!$F$6:$F$405,G769,'Istoric_Nativ'!$D$6:$D$405,"&lt;"&amp;J769,'Istoric_Nativ'!$P$6:$P$405,1),COUNTIFS('Istoric_Nativ'!$B$6:$B$405,E769,'Istoric_Nativ'!$C$6:$C$405,F769,'Istoric_Nativ'!$E$6:$E$405,G769,'Istoric_Nativ'!$D$6:$D$405,"&lt;"&amp;J769,'Istoric_Nativ'!$P$6:$P$405,1)+COUNTIFS('Istoric_Nativ'!$B$6:$B$405,E769,'Istoric_Nativ'!$C$6:$C$405,F769,'Istoric_Nativ'!$F$6:$F$405,G769,'Istoric_Nativ'!$D$6:$D$405,"&lt;"&amp;J769,'Istoric_Nativ'!$P$6:$P$405,1))))</x:f>
        <x:v>0</x:v>
      </x:c>
      <x:c r="L769" s="17" t="n">
        <x:f>IF(AND(B769&lt;&gt;"",I769="RECENT",K769&gt;0),LARGE(_xlfn._xlws.FILTER('Istoric_Nativ'!$D$6:$D$405,('Istoric_Nativ'!$B$6:$B$405=E769)*('Istoric_Nativ'!$C$6:$C$405=F769)*('Istoric_Nativ'!$P$6:$P$405=1)*('Istoric_Nativ'!$D$6:$D$405&lt;J769)*((('Istoric_Nativ'!$E$6:$E$405=G769)+('Istoric_Nativ'!$F$6:$F$405=G769))&gt;0)),MIN('Config_v6'!$B$54,K769)),0)</x:f>
        <x:v>0</x:v>
      </x:c>
      <x:c r="M769" s="2" t="n">
        <x:f>IF(OR(B769="",F769=""),0,IF(H769="HOME",COUNTIFS('Istoric_Nativ'!$B$6:$B$405,E769,'Istoric_Nativ'!$C$6:$C$405,F769,'Istoric_Nativ'!$E$6:$E$405,G769,'Istoric_Nativ'!$D$6:$D$405,"&lt;"&amp;J769,'Istoric_Nativ'!$P$6:$P$405,1,'Istoric_Nativ'!$D$6:$D$405,"&gt;="&amp;L769),IF(H769="AWAY",COUNTIFS('Istoric_Nativ'!$B$6:$B$405,E769,'Istoric_Nativ'!$C$6:$C$405,F769,'Istoric_Nativ'!$F$6:$F$405,G769,'Istoric_Nativ'!$D$6:$D$405,"&lt;"&amp;J769,'Istoric_Nativ'!$P$6:$P$405,1,'Istoric_Nativ'!$D$6:$D$405,"&gt;="&amp;L769),COUNTIFS('Istoric_Nativ'!$B$6:$B$405,E769,'Istoric_Nativ'!$C$6:$C$405,F769,'Istoric_Nativ'!$E$6:$E$405,G769,'Istoric_Nativ'!$D$6:$D$405,"&lt;"&amp;J769,'Istoric_Nativ'!$P$6:$P$405,1,'Istoric_Nativ'!$D$6:$D$405,"&gt;="&amp;L769)+COUNTIFS('Istoric_Nativ'!$B$6:$B$405,E769,'Istoric_Nativ'!$C$6:$C$405,F769,'Istoric_Nativ'!$F$6:$F$405,G769,'Istoric_Nativ'!$D$6:$D$405,"&lt;"&amp;J769,'Istoric_Nativ'!$P$6:$P$405,1,'Istoric_Nativ'!$D$6:$D$405,"&gt;="&amp;L769))))</x:f>
        <x:v>0</x:v>
      </x:c>
      <x:c r="N769" s="11" t="str">
        <x:f>IF(M769=0,"",IF(H769="HOME",SUMIFS('Istoric_Nativ'!$G$6:$G$405,'Istoric_Nativ'!$B$6:$B$405,E769,'Istoric_Nativ'!$C$6:$C$405,F769,'Istoric_Nativ'!$E$6:$E$405,G769,'Istoric_Nativ'!$D$6:$D$405,"&lt;"&amp;J769,'Istoric_Nativ'!$P$6:$P$405,1,'Istoric_Nativ'!$D$6:$D$405,"&gt;="&amp;L769),IF(H769="AWAY",SUMIFS('Istoric_Nativ'!$H$6:$H$405,'Istoric_Nativ'!$B$6:$B$405,E769,'Istoric_Nativ'!$C$6:$C$405,F769,'Istoric_Nativ'!$F$6:$F$405,G769,'Istoric_Nativ'!$D$6:$D$405,"&lt;"&amp;J769,'Istoric_Nativ'!$P$6:$P$405,1,'Istoric_Nativ'!$D$6:$D$405,"&gt;="&amp;L769),SUMIFS('Istoric_Nativ'!$G$6:$G$405,'Istoric_Nativ'!$B$6:$B$405,E769,'Istoric_Nativ'!$C$6:$C$405,F769,'Istoric_Nativ'!$E$6:$E$405,G769,'Istoric_Nativ'!$D$6:$D$405,"&lt;"&amp;J769,'Istoric_Nativ'!$P$6:$P$405,1,'Istoric_Nativ'!$D$6:$D$405,"&gt;="&amp;L769)+SUMIFS('Istoric_Nativ'!$H$6:$H$405,'Istoric_Nativ'!$B$6:$B$405,E769,'Istoric_Nativ'!$C$6:$C$405,F769,'Istoric_Nativ'!$F$6:$F$405,G769,'Istoric_Nativ'!$D$6:$D$405,"&lt;"&amp;J769,'Istoric_Nativ'!$P$6:$P$405,1,'Istoric_Nativ'!$D$6:$D$405,"&gt;="&amp;L769)))/M769)</x:f>
      </x:c>
      <x:c r="O769" s="11" t="str">
        <x:f>IF(M769=0,"",IF(H769="HOME",SUMIFS('Istoric_Nativ'!$H$6:$H$405,'Istoric_Nativ'!$B$6:$B$405,E769,'Istoric_Nativ'!$C$6:$C$405,F769,'Istoric_Nativ'!$E$6:$E$405,G769,'Istoric_Nativ'!$D$6:$D$405,"&lt;"&amp;J769,'Istoric_Nativ'!$P$6:$P$405,1,'Istoric_Nativ'!$D$6:$D$405,"&gt;="&amp;L769),IF(H769="AWAY",SUMIFS('Istoric_Nativ'!$G$6:$G$405,'Istoric_Nativ'!$B$6:$B$405,E769,'Istoric_Nativ'!$C$6:$C$405,F769,'Istoric_Nativ'!$F$6:$F$405,G769,'Istoric_Nativ'!$D$6:$D$405,"&lt;"&amp;J769,'Istoric_Nativ'!$P$6:$P$405,1,'Istoric_Nativ'!$D$6:$D$405,"&gt;="&amp;L769),SUMIFS('Istoric_Nativ'!$H$6:$H$405,'Istoric_Nativ'!$B$6:$B$405,E769,'Istoric_Nativ'!$C$6:$C$405,F769,'Istoric_Nativ'!$E$6:$E$405,G769,'Istoric_Nativ'!$D$6:$D$405,"&lt;"&amp;J769,'Istoric_Nativ'!$P$6:$P$405,1,'Istoric_Nativ'!$D$6:$D$405,"&gt;="&amp;L769)+SUMIFS('Istoric_Nativ'!$G$6:$G$405,'Istoric_Nativ'!$B$6:$B$405,E769,'Istoric_Nativ'!$C$6:$C$405,F769,'Istoric_Nativ'!$F$6:$F$405,G769,'Istoric_Nativ'!$D$6:$D$405,"&lt;"&amp;J769,'Istoric_Nativ'!$P$6:$P$405,1,'Istoric_Nativ'!$D$6:$D$405,"&gt;="&amp;L769)))/M769)</x:f>
      </x:c>
      <x:c r="P769" s="2" t="n">
        <x:f>'Config_v6'!$B$8</x:f>
        <x:v>5</x:v>
      </x:c>
      <x:c r="Q769" s="2" t="n">
        <x:f>IF(OR(B769="",F769=""),0,IFERROR(MATCH(E769&amp;"|"&amp;F769,SourceTable[Source_Key],0),0))</x:f>
        <x:v>0</x:v>
      </x:c>
      <x:c r="R769" s="2" t="str">
        <x:f>IF(B769="","",IF(F769="","UNUSED",IF(Q769=0,"NOT CHECKED",IF(COUNTIF(SourceTable[Source_Key],E769&amp;"|"&amp;F769)&lt;&gt;1,"SOURCE CONFLICT",IF(NOT(OR(INDEX(SourceTable[Status],MAX(1,Q769))="IMPORTED",INDEX(SourceTable[Status],MAX(1,Q769))="PARTIAL",INDEX(SourceTable[Status],MAX(1,Q769))="SOURCE CONFLICT")),"ACCESS BLOCKED",IF(OR(INDEX(SourceTable[Coverage],Q769)&lt;&gt;"FULL SEASON EXPORT",INDEX(SourceTable[URL],Q769)="",INDEX(SourceTable[SHA256],Q769)=""),"EVIDENCE INCOMPLETE",IF(AND('Input_Meci'!H69="LIVE",INDEX(SourceTable[Retrieved_UTC],Q769)&gt;'Input_Meci'!G69),"POST CUTOFF","CLOSED")))))))</x:f>
      </x:c>
      <x:c r="S769" s="2" t="n">
        <x:f>IF(OR(B769="",F769=""),0,COUNTIFS('Istoric_Nativ'!$B$6:$B$405,E769,'Istoric_Nativ'!$C$6:$C$405,F769,'Istoric_Nativ'!$E$6:$E$405,G769,'Istoric_Nativ'!$D$6:$D$405,"&lt;"&amp;J769,'Istoric_Nativ'!$O$6:$O$405,"INVALID")+COUNTIFS('Istoric_Nativ'!$B$6:$B$405,E769,'Istoric_Nativ'!$C$6:$C$405,F769,'Istoric_Nativ'!$E$6:$E$405,G769,'Istoric_Nativ'!$O$6:$O$405,"INVALID",'Istoric_Nativ'!$D$6:$D$405,"*")+COUNTIFS('Istoric_Nativ'!$B$6:$B$405,E769,'Istoric_Nativ'!$C$6:$C$405,F769,'Istoric_Nativ'!$E$6:$E$405,G769,'Istoric_Nativ'!$D$6:$D$405,"&lt;"&amp;J769,'Istoric_Nativ'!$O$6:$O$405,"SOURCE CONFLICT")+COUNTIFS('Istoric_Nativ'!$B$6:$B$405,E769,'Istoric_Nativ'!$C$6:$C$405,F769,'Istoric_Nativ'!$F$6:$F$405,G769,'Istoric_Nativ'!$D$6:$D$405,"&lt;"&amp;J769,'Istoric_Nativ'!$O$6:$O$405,"INVALID")+COUNTIFS('Istoric_Nativ'!$B$6:$B$405,E769,'Istoric_Nativ'!$C$6:$C$405,F769,'Istoric_Nativ'!$F$6:$F$405,G769,'Istoric_Nativ'!$O$6:$O$405,"INVALID",'Istoric_Nativ'!$D$6:$D$405,"*")+COUNTIFS('Istoric_Nativ'!$B$6:$B$405,E769,'Istoric_Nativ'!$C$6:$C$405,F769,'Istoric_Nativ'!$F$6:$F$405,G769,'Istoric_Nativ'!$D$6:$D$405,"&lt;"&amp;J769,'Istoric_Nativ'!$O$6:$O$405,"SOURCE CONFLICT"))</x:f>
        <x:v>0</x:v>
      </x:c>
      <x:c r="T769" s="2" t="str">
        <x:f>IF(B769="","",IF(R769&lt;&gt;"CLOSED",R769,IF(S769&gt;0,"NATIVE INPUT ISSUE",IF(M769=0,"NO HISTORY",IF(M769&lt;P769,"SMALL SAMPLE","DERIVED")))))</x:f>
      </x:c>
      <x:c r="U769" s="2" t="str">
        <x:f>IF(B769="","","NativeTable; "&amp;E769&amp;"; "&amp;F769&amp;"; "&amp;G769&amp;"; "&amp;H769&amp;"; before "&amp;TEXT(J769,"yyyy-mm-dd")&amp;IF(I769="RECENT","; from "&amp;TEXT(L769,"yyyy-mm-dd"),""))</x:f>
      </x:c>
    </x:row>
    <x:row r="770" ht="21" customHeight="1">
      <x:c r="A770" s="2" t="n">
        <x:v>64</x:v>
      </x:c>
      <x:c r="B770" s="2" t="str">
        <x:f>IF('Input_Meci'!A69="","",'Input_Meci'!A69)</x:f>
      </x:c>
      <x:c r="C770" s="2" t="str">
        <x:v>H</x:v>
      </x:c>
      <x:c r="D770" s="2" t="str">
        <x:v>PRIOR</x:v>
      </x:c>
      <x:c r="E770" s="2" t="str">
        <x:f>IF(B770="","",'Input_Meci'!B69)</x:f>
      </x:c>
      <x:c r="F770" s="2" t="str">
        <x:f>IF(B770="","",IF('Input_Meci'!K69="","",'Input_Meci'!K69))</x:f>
      </x:c>
      <x:c r="G770" s="2" t="str">
        <x:f>IF(B770="","",'Input_Meci'!D69)</x:f>
      </x:c>
      <x:c r="H770" s="2" t="str">
        <x:v>ANY</x:v>
      </x:c>
      <x:c r="I770" s="2" t="str">
        <x:v>RECENT</x:v>
      </x:c>
      <x:c r="J770" s="9" t="n">
        <x:f>IF(AND(B770&lt;&gt;"",ISNUMBER('Input_Meci'!G69)),INT('Input_Meci'!G69),0)</x:f>
        <x:v>0</x:v>
      </x:c>
      <x:c r="K770" s="2" t="n">
        <x:f>IF(OR(B770="",F770=""),0,IF(H770="HOME",COUNTIFS('Istoric_Nativ'!$B$6:$B$405,E770,'Istoric_Nativ'!$C$6:$C$405,F770,'Istoric_Nativ'!$E$6:$E$405,G770,'Istoric_Nativ'!$D$6:$D$405,"&lt;"&amp;J770,'Istoric_Nativ'!$P$6:$P$405,1),IF(H770="AWAY",COUNTIFS('Istoric_Nativ'!$B$6:$B$405,E770,'Istoric_Nativ'!$C$6:$C$405,F770,'Istoric_Nativ'!$F$6:$F$405,G770,'Istoric_Nativ'!$D$6:$D$405,"&lt;"&amp;J770,'Istoric_Nativ'!$P$6:$P$405,1),COUNTIFS('Istoric_Nativ'!$B$6:$B$405,E770,'Istoric_Nativ'!$C$6:$C$405,F770,'Istoric_Nativ'!$E$6:$E$405,G770,'Istoric_Nativ'!$D$6:$D$405,"&lt;"&amp;J770,'Istoric_Nativ'!$P$6:$P$405,1)+COUNTIFS('Istoric_Nativ'!$B$6:$B$405,E770,'Istoric_Nativ'!$C$6:$C$405,F770,'Istoric_Nativ'!$F$6:$F$405,G770,'Istoric_Nativ'!$D$6:$D$405,"&lt;"&amp;J770,'Istoric_Nativ'!$P$6:$P$405,1))))</x:f>
        <x:v>0</x:v>
      </x:c>
      <x:c r="L770" s="17" t="n">
        <x:f>IF(AND(B770&lt;&gt;"",I770="RECENT",K770&gt;0),LARGE(_xlfn._xlws.FILTER('Istoric_Nativ'!$D$6:$D$405,('Istoric_Nativ'!$B$6:$B$405=E770)*('Istoric_Nativ'!$C$6:$C$405=F770)*('Istoric_Nativ'!$P$6:$P$405=1)*('Istoric_Nativ'!$D$6:$D$405&lt;J770)*((('Istoric_Nativ'!$E$6:$E$405=G770)+('Istoric_Nativ'!$F$6:$F$405=G770))&gt;0)),MIN('Config_v6'!$B$54,K770)),0)</x:f>
        <x:v>0</x:v>
      </x:c>
      <x:c r="M770" s="2" t="n">
        <x:f>IF(OR(B770="",F770=""),0,IF(H770="HOME",COUNTIFS('Istoric_Nativ'!$B$6:$B$405,E770,'Istoric_Nativ'!$C$6:$C$405,F770,'Istoric_Nativ'!$E$6:$E$405,G770,'Istoric_Nativ'!$D$6:$D$405,"&lt;"&amp;J770,'Istoric_Nativ'!$P$6:$P$405,1,'Istoric_Nativ'!$D$6:$D$405,"&gt;="&amp;L770),IF(H770="AWAY",COUNTIFS('Istoric_Nativ'!$B$6:$B$405,E770,'Istoric_Nativ'!$C$6:$C$405,F770,'Istoric_Nativ'!$F$6:$F$405,G770,'Istoric_Nativ'!$D$6:$D$405,"&lt;"&amp;J770,'Istoric_Nativ'!$P$6:$P$405,1,'Istoric_Nativ'!$D$6:$D$405,"&gt;="&amp;L770),COUNTIFS('Istoric_Nativ'!$B$6:$B$405,E770,'Istoric_Nativ'!$C$6:$C$405,F770,'Istoric_Nativ'!$E$6:$E$405,G770,'Istoric_Nativ'!$D$6:$D$405,"&lt;"&amp;J770,'Istoric_Nativ'!$P$6:$P$405,1,'Istoric_Nativ'!$D$6:$D$405,"&gt;="&amp;L770)+COUNTIFS('Istoric_Nativ'!$B$6:$B$405,E770,'Istoric_Nativ'!$C$6:$C$405,F770,'Istoric_Nativ'!$F$6:$F$405,G770,'Istoric_Nativ'!$D$6:$D$405,"&lt;"&amp;J770,'Istoric_Nativ'!$P$6:$P$405,1,'Istoric_Nativ'!$D$6:$D$405,"&gt;="&amp;L770))))</x:f>
        <x:v>0</x:v>
      </x:c>
      <x:c r="N770" s="11" t="str">
        <x:f>IF(M770=0,"",IF(H770="HOME",SUMIFS('Istoric_Nativ'!$G$6:$G$405,'Istoric_Nativ'!$B$6:$B$405,E770,'Istoric_Nativ'!$C$6:$C$405,F770,'Istoric_Nativ'!$E$6:$E$405,G770,'Istoric_Nativ'!$D$6:$D$405,"&lt;"&amp;J770,'Istoric_Nativ'!$P$6:$P$405,1,'Istoric_Nativ'!$D$6:$D$405,"&gt;="&amp;L770),IF(H770="AWAY",SUMIFS('Istoric_Nativ'!$H$6:$H$405,'Istoric_Nativ'!$B$6:$B$405,E770,'Istoric_Nativ'!$C$6:$C$405,F770,'Istoric_Nativ'!$F$6:$F$405,G770,'Istoric_Nativ'!$D$6:$D$405,"&lt;"&amp;J770,'Istoric_Nativ'!$P$6:$P$405,1,'Istoric_Nativ'!$D$6:$D$405,"&gt;="&amp;L770),SUMIFS('Istoric_Nativ'!$G$6:$G$405,'Istoric_Nativ'!$B$6:$B$405,E770,'Istoric_Nativ'!$C$6:$C$405,F770,'Istoric_Nativ'!$E$6:$E$405,G770,'Istoric_Nativ'!$D$6:$D$405,"&lt;"&amp;J770,'Istoric_Nativ'!$P$6:$P$405,1,'Istoric_Nativ'!$D$6:$D$405,"&gt;="&amp;L770)+SUMIFS('Istoric_Nativ'!$H$6:$H$405,'Istoric_Nativ'!$B$6:$B$405,E770,'Istoric_Nativ'!$C$6:$C$405,F770,'Istoric_Nativ'!$F$6:$F$405,G770,'Istoric_Nativ'!$D$6:$D$405,"&lt;"&amp;J770,'Istoric_Nativ'!$P$6:$P$405,1,'Istoric_Nativ'!$D$6:$D$405,"&gt;="&amp;L770)))/M770)</x:f>
      </x:c>
      <x:c r="O770" s="11" t="str">
        <x:f>IF(M770=0,"",IF(H770="HOME",SUMIFS('Istoric_Nativ'!$H$6:$H$405,'Istoric_Nativ'!$B$6:$B$405,E770,'Istoric_Nativ'!$C$6:$C$405,F770,'Istoric_Nativ'!$E$6:$E$405,G770,'Istoric_Nativ'!$D$6:$D$405,"&lt;"&amp;J770,'Istoric_Nativ'!$P$6:$P$405,1,'Istoric_Nativ'!$D$6:$D$405,"&gt;="&amp;L770),IF(H770="AWAY",SUMIFS('Istoric_Nativ'!$G$6:$G$405,'Istoric_Nativ'!$B$6:$B$405,E770,'Istoric_Nativ'!$C$6:$C$405,F770,'Istoric_Nativ'!$F$6:$F$405,G770,'Istoric_Nativ'!$D$6:$D$405,"&lt;"&amp;J770,'Istoric_Nativ'!$P$6:$P$405,1,'Istoric_Nativ'!$D$6:$D$405,"&gt;="&amp;L770),SUMIFS('Istoric_Nativ'!$H$6:$H$405,'Istoric_Nativ'!$B$6:$B$405,E770,'Istoric_Nativ'!$C$6:$C$405,F770,'Istoric_Nativ'!$E$6:$E$405,G770,'Istoric_Nativ'!$D$6:$D$405,"&lt;"&amp;J770,'Istoric_Nativ'!$P$6:$P$405,1,'Istoric_Nativ'!$D$6:$D$405,"&gt;="&amp;L770)+SUMIFS('Istoric_Nativ'!$G$6:$G$405,'Istoric_Nativ'!$B$6:$B$405,E770,'Istoric_Nativ'!$C$6:$C$405,F770,'Istoric_Nativ'!$F$6:$F$405,G770,'Istoric_Nativ'!$D$6:$D$405,"&lt;"&amp;J770,'Istoric_Nativ'!$P$6:$P$405,1,'Istoric_Nativ'!$D$6:$D$405,"&gt;="&amp;L770)))/M770)</x:f>
      </x:c>
      <x:c r="P770" s="2" t="n">
        <x:f>'Config_v6'!$B$9</x:f>
        <x:v>3</x:v>
      </x:c>
      <x:c r="Q770" s="2" t="n">
        <x:f>IF(OR(B770="",F770=""),0,IFERROR(MATCH(E770&amp;"|"&amp;F770,SourceTable[Source_Key],0),0))</x:f>
        <x:v>0</x:v>
      </x:c>
      <x:c r="R770" s="2" t="str">
        <x:f>IF(B770="","",IF(F770="","UNUSED",IF(Q770=0,"NOT CHECKED",IF(COUNTIF(SourceTable[Source_Key],E770&amp;"|"&amp;F770)&lt;&gt;1,"SOURCE CONFLICT",IF(NOT(OR(INDEX(SourceTable[Status],MAX(1,Q770))="IMPORTED",INDEX(SourceTable[Status],MAX(1,Q770))="PARTIAL",INDEX(SourceTable[Status],MAX(1,Q770))="SOURCE CONFLICT")),"ACCESS BLOCKED",IF(OR(INDEX(SourceTable[Coverage],Q770)&lt;&gt;"FULL SEASON EXPORT",INDEX(SourceTable[URL],Q770)="",INDEX(SourceTable[SHA256],Q770)=""),"EVIDENCE INCOMPLETE",IF(AND('Input_Meci'!H69="LIVE",INDEX(SourceTable[Retrieved_UTC],Q770)&gt;'Input_Meci'!G69),"POST CUTOFF","CLOSED")))))))</x:f>
      </x:c>
      <x:c r="S770" s="2" t="n">
        <x:f>IF(OR(B770="",F770=""),0,COUNTIFS('Istoric_Nativ'!$B$6:$B$405,E770,'Istoric_Nativ'!$C$6:$C$405,F770,'Istoric_Nativ'!$E$6:$E$405,G770,'Istoric_Nativ'!$D$6:$D$405,"&lt;"&amp;J770,'Istoric_Nativ'!$O$6:$O$405,"INVALID")+COUNTIFS('Istoric_Nativ'!$B$6:$B$405,E770,'Istoric_Nativ'!$C$6:$C$405,F770,'Istoric_Nativ'!$E$6:$E$405,G770,'Istoric_Nativ'!$O$6:$O$405,"INVALID",'Istoric_Nativ'!$D$6:$D$405,"*")+COUNTIFS('Istoric_Nativ'!$B$6:$B$405,E770,'Istoric_Nativ'!$C$6:$C$405,F770,'Istoric_Nativ'!$E$6:$E$405,G770,'Istoric_Nativ'!$D$6:$D$405,"&lt;"&amp;J770,'Istoric_Nativ'!$O$6:$O$405,"SOURCE CONFLICT")+COUNTIFS('Istoric_Nativ'!$B$6:$B$405,E770,'Istoric_Nativ'!$C$6:$C$405,F770,'Istoric_Nativ'!$F$6:$F$405,G770,'Istoric_Nativ'!$D$6:$D$405,"&lt;"&amp;J770,'Istoric_Nativ'!$O$6:$O$405,"INVALID")+COUNTIFS('Istoric_Nativ'!$B$6:$B$405,E770,'Istoric_Nativ'!$C$6:$C$405,F770,'Istoric_Nativ'!$F$6:$F$405,G770,'Istoric_Nativ'!$O$6:$O$405,"INVALID",'Istoric_Nativ'!$D$6:$D$405,"*")+COUNTIFS('Istoric_Nativ'!$B$6:$B$405,E770,'Istoric_Nativ'!$C$6:$C$405,F770,'Istoric_Nativ'!$F$6:$F$405,G770,'Istoric_Nativ'!$D$6:$D$405,"&lt;"&amp;J770,'Istoric_Nativ'!$O$6:$O$405,"SOURCE CONFLICT"))</x:f>
        <x:v>0</x:v>
      </x:c>
      <x:c r="T770" s="2" t="str">
        <x:f>IF(B770="","",IF(R770&lt;&gt;"CLOSED",R770,IF(S770&gt;0,"NATIVE INPUT ISSUE",IF(M770=0,"NO HISTORY",IF(M770&lt;P770,"SMALL SAMPLE","DERIVED")))))</x:f>
      </x:c>
      <x:c r="U770" s="2" t="str">
        <x:f>IF(B770="","","NativeTable; "&amp;E770&amp;"; "&amp;F770&amp;"; "&amp;G770&amp;"; "&amp;H770&amp;"; before "&amp;TEXT(J770,"yyyy-mm-dd")&amp;IF(I770="RECENT","; from "&amp;TEXT(L770,"yyyy-mm-dd"),""))</x:f>
      </x:c>
    </x:row>
    <x:row r="771" ht="21" customHeight="1">
      <x:c r="A771" s="2" t="n">
        <x:v>64</x:v>
      </x:c>
      <x:c r="B771" s="2" t="str">
        <x:f>IF('Input_Meci'!A69="","",'Input_Meci'!A69)</x:f>
      </x:c>
      <x:c r="C771" s="2" t="str">
        <x:v>A</x:v>
      </x:c>
      <x:c r="D771" s="2" t="str">
        <x:v>PRIOR</x:v>
      </x:c>
      <x:c r="E771" s="2" t="str">
        <x:f>IF(B771="","",'Input_Meci'!B69)</x:f>
      </x:c>
      <x:c r="F771" s="2" t="str">
        <x:f>IF(B771="","",IF('Input_Meci'!K69="","",'Input_Meci'!K69))</x:f>
      </x:c>
      <x:c r="G771" s="2" t="str">
        <x:f>IF(B771="","",'Input_Meci'!E69)</x:f>
      </x:c>
      <x:c r="H771" s="2" t="str">
        <x:v>ANY</x:v>
      </x:c>
      <x:c r="I771" s="2" t="str">
        <x:v>SEASON</x:v>
      </x:c>
      <x:c r="J771" s="9" t="n">
        <x:f>IF(AND(B771&lt;&gt;"",ISNUMBER('Input_Meci'!G69)),INT('Input_Meci'!G69),0)</x:f>
        <x:v>0</x:v>
      </x:c>
      <x:c r="K771" s="2" t="n">
        <x:f>IF(OR(B771="",F771=""),0,IF(H771="HOME",COUNTIFS('Istoric_Nativ'!$B$6:$B$405,E771,'Istoric_Nativ'!$C$6:$C$405,F771,'Istoric_Nativ'!$E$6:$E$405,G771,'Istoric_Nativ'!$D$6:$D$405,"&lt;"&amp;J771,'Istoric_Nativ'!$P$6:$P$405,1),IF(H771="AWAY",COUNTIFS('Istoric_Nativ'!$B$6:$B$405,E771,'Istoric_Nativ'!$C$6:$C$405,F771,'Istoric_Nativ'!$F$6:$F$405,G771,'Istoric_Nativ'!$D$6:$D$405,"&lt;"&amp;J771,'Istoric_Nativ'!$P$6:$P$405,1),COUNTIFS('Istoric_Nativ'!$B$6:$B$405,E771,'Istoric_Nativ'!$C$6:$C$405,F771,'Istoric_Nativ'!$E$6:$E$405,G771,'Istoric_Nativ'!$D$6:$D$405,"&lt;"&amp;J771,'Istoric_Nativ'!$P$6:$P$405,1)+COUNTIFS('Istoric_Nativ'!$B$6:$B$405,E771,'Istoric_Nativ'!$C$6:$C$405,F771,'Istoric_Nativ'!$F$6:$F$405,G771,'Istoric_Nativ'!$D$6:$D$405,"&lt;"&amp;J771,'Istoric_Nativ'!$P$6:$P$405,1))))</x:f>
        <x:v>0</x:v>
      </x:c>
      <x:c r="L771" s="17" t="n">
        <x:f>IF(AND(B771&lt;&gt;"",I771="RECENT",K771&gt;0),LARGE(_xlfn._xlws.FILTER('Istoric_Nativ'!$D$6:$D$405,('Istoric_Nativ'!$B$6:$B$405=E771)*('Istoric_Nativ'!$C$6:$C$405=F771)*('Istoric_Nativ'!$P$6:$P$405=1)*('Istoric_Nativ'!$D$6:$D$405&lt;J771)*((('Istoric_Nativ'!$E$6:$E$405=G771)+('Istoric_Nativ'!$F$6:$F$405=G771))&gt;0)),MIN('Config_v6'!$B$54,K771)),0)</x:f>
        <x:v>0</x:v>
      </x:c>
      <x:c r="M771" s="2" t="n">
        <x:f>IF(OR(B771="",F771=""),0,IF(H771="HOME",COUNTIFS('Istoric_Nativ'!$B$6:$B$405,E771,'Istoric_Nativ'!$C$6:$C$405,F771,'Istoric_Nativ'!$E$6:$E$405,G771,'Istoric_Nativ'!$D$6:$D$405,"&lt;"&amp;J771,'Istoric_Nativ'!$P$6:$P$405,1,'Istoric_Nativ'!$D$6:$D$405,"&gt;="&amp;L771),IF(H771="AWAY",COUNTIFS('Istoric_Nativ'!$B$6:$B$405,E771,'Istoric_Nativ'!$C$6:$C$405,F771,'Istoric_Nativ'!$F$6:$F$405,G771,'Istoric_Nativ'!$D$6:$D$405,"&lt;"&amp;J771,'Istoric_Nativ'!$P$6:$P$405,1,'Istoric_Nativ'!$D$6:$D$405,"&gt;="&amp;L771),COUNTIFS('Istoric_Nativ'!$B$6:$B$405,E771,'Istoric_Nativ'!$C$6:$C$405,F771,'Istoric_Nativ'!$E$6:$E$405,G771,'Istoric_Nativ'!$D$6:$D$405,"&lt;"&amp;J771,'Istoric_Nativ'!$P$6:$P$405,1,'Istoric_Nativ'!$D$6:$D$405,"&gt;="&amp;L771)+COUNTIFS('Istoric_Nativ'!$B$6:$B$405,E771,'Istoric_Nativ'!$C$6:$C$405,F771,'Istoric_Nativ'!$F$6:$F$405,G771,'Istoric_Nativ'!$D$6:$D$405,"&lt;"&amp;J771,'Istoric_Nativ'!$P$6:$P$405,1,'Istoric_Nativ'!$D$6:$D$405,"&gt;="&amp;L771))))</x:f>
        <x:v>0</x:v>
      </x:c>
      <x:c r="N771" s="11" t="str">
        <x:f>IF(M771=0,"",IF(H771="HOME",SUMIFS('Istoric_Nativ'!$G$6:$G$405,'Istoric_Nativ'!$B$6:$B$405,E771,'Istoric_Nativ'!$C$6:$C$405,F771,'Istoric_Nativ'!$E$6:$E$405,G771,'Istoric_Nativ'!$D$6:$D$405,"&lt;"&amp;J771,'Istoric_Nativ'!$P$6:$P$405,1,'Istoric_Nativ'!$D$6:$D$405,"&gt;="&amp;L771),IF(H771="AWAY",SUMIFS('Istoric_Nativ'!$H$6:$H$405,'Istoric_Nativ'!$B$6:$B$405,E771,'Istoric_Nativ'!$C$6:$C$405,F771,'Istoric_Nativ'!$F$6:$F$405,G771,'Istoric_Nativ'!$D$6:$D$405,"&lt;"&amp;J771,'Istoric_Nativ'!$P$6:$P$405,1,'Istoric_Nativ'!$D$6:$D$405,"&gt;="&amp;L771),SUMIFS('Istoric_Nativ'!$G$6:$G$405,'Istoric_Nativ'!$B$6:$B$405,E771,'Istoric_Nativ'!$C$6:$C$405,F771,'Istoric_Nativ'!$E$6:$E$405,G771,'Istoric_Nativ'!$D$6:$D$405,"&lt;"&amp;J771,'Istoric_Nativ'!$P$6:$P$405,1,'Istoric_Nativ'!$D$6:$D$405,"&gt;="&amp;L771)+SUMIFS('Istoric_Nativ'!$H$6:$H$405,'Istoric_Nativ'!$B$6:$B$405,E771,'Istoric_Nativ'!$C$6:$C$405,F771,'Istoric_Nativ'!$F$6:$F$405,G771,'Istoric_Nativ'!$D$6:$D$405,"&lt;"&amp;J771,'Istoric_Nativ'!$P$6:$P$405,1,'Istoric_Nativ'!$D$6:$D$405,"&gt;="&amp;L771)))/M771)</x:f>
      </x:c>
      <x:c r="O771" s="11" t="str">
        <x:f>IF(M771=0,"",IF(H771="HOME",SUMIFS('Istoric_Nativ'!$H$6:$H$405,'Istoric_Nativ'!$B$6:$B$405,E771,'Istoric_Nativ'!$C$6:$C$405,F771,'Istoric_Nativ'!$E$6:$E$405,G771,'Istoric_Nativ'!$D$6:$D$405,"&lt;"&amp;J771,'Istoric_Nativ'!$P$6:$P$405,1,'Istoric_Nativ'!$D$6:$D$405,"&gt;="&amp;L771),IF(H771="AWAY",SUMIFS('Istoric_Nativ'!$G$6:$G$405,'Istoric_Nativ'!$B$6:$B$405,E771,'Istoric_Nativ'!$C$6:$C$405,F771,'Istoric_Nativ'!$F$6:$F$405,G771,'Istoric_Nativ'!$D$6:$D$405,"&lt;"&amp;J771,'Istoric_Nativ'!$P$6:$P$405,1,'Istoric_Nativ'!$D$6:$D$405,"&gt;="&amp;L771),SUMIFS('Istoric_Nativ'!$H$6:$H$405,'Istoric_Nativ'!$B$6:$B$405,E771,'Istoric_Nativ'!$C$6:$C$405,F771,'Istoric_Nativ'!$E$6:$E$405,G771,'Istoric_Nativ'!$D$6:$D$405,"&lt;"&amp;J771,'Istoric_Nativ'!$P$6:$P$405,1,'Istoric_Nativ'!$D$6:$D$405,"&gt;="&amp;L771)+SUMIFS('Istoric_Nativ'!$G$6:$G$405,'Istoric_Nativ'!$B$6:$B$405,E771,'Istoric_Nativ'!$C$6:$C$405,F771,'Istoric_Nativ'!$F$6:$F$405,G771,'Istoric_Nativ'!$D$6:$D$405,"&lt;"&amp;J771,'Istoric_Nativ'!$P$6:$P$405,1,'Istoric_Nativ'!$D$6:$D$405,"&gt;="&amp;L771)))/M771)</x:f>
      </x:c>
      <x:c r="P771" s="2" t="n">
        <x:f>'Config_v6'!$B$7</x:f>
        <x:v>10</x:v>
      </x:c>
      <x:c r="Q771" s="2" t="n">
        <x:f>IF(OR(B771="",F771=""),0,IFERROR(MATCH(E771&amp;"|"&amp;F771,SourceTable[Source_Key],0),0))</x:f>
        <x:v>0</x:v>
      </x:c>
      <x:c r="R771" s="2" t="str">
        <x:f>IF(B771="","",IF(F771="","UNUSED",IF(Q771=0,"NOT CHECKED",IF(COUNTIF(SourceTable[Source_Key],E771&amp;"|"&amp;F771)&lt;&gt;1,"SOURCE CONFLICT",IF(NOT(OR(INDEX(SourceTable[Status],MAX(1,Q771))="IMPORTED",INDEX(SourceTable[Status],MAX(1,Q771))="PARTIAL",INDEX(SourceTable[Status],MAX(1,Q771))="SOURCE CONFLICT")),"ACCESS BLOCKED",IF(OR(INDEX(SourceTable[Coverage],Q771)&lt;&gt;"FULL SEASON EXPORT",INDEX(SourceTable[URL],Q771)="",INDEX(SourceTable[SHA256],Q771)=""),"EVIDENCE INCOMPLETE",IF(AND('Input_Meci'!H69="LIVE",INDEX(SourceTable[Retrieved_UTC],Q771)&gt;'Input_Meci'!G69),"POST CUTOFF","CLOSED")))))))</x:f>
      </x:c>
      <x:c r="S771" s="2" t="n">
        <x:f>IF(OR(B771="",F771=""),0,COUNTIFS('Istoric_Nativ'!$B$6:$B$405,E771,'Istoric_Nativ'!$C$6:$C$405,F771,'Istoric_Nativ'!$E$6:$E$405,G771,'Istoric_Nativ'!$D$6:$D$405,"&lt;"&amp;J771,'Istoric_Nativ'!$O$6:$O$405,"INVALID")+COUNTIFS('Istoric_Nativ'!$B$6:$B$405,E771,'Istoric_Nativ'!$C$6:$C$405,F771,'Istoric_Nativ'!$E$6:$E$405,G771,'Istoric_Nativ'!$O$6:$O$405,"INVALID",'Istoric_Nativ'!$D$6:$D$405,"*")+COUNTIFS('Istoric_Nativ'!$B$6:$B$405,E771,'Istoric_Nativ'!$C$6:$C$405,F771,'Istoric_Nativ'!$E$6:$E$405,G771,'Istoric_Nativ'!$D$6:$D$405,"&lt;"&amp;J771,'Istoric_Nativ'!$O$6:$O$405,"SOURCE CONFLICT")+COUNTIFS('Istoric_Nativ'!$B$6:$B$405,E771,'Istoric_Nativ'!$C$6:$C$405,F771,'Istoric_Nativ'!$F$6:$F$405,G771,'Istoric_Nativ'!$D$6:$D$405,"&lt;"&amp;J771,'Istoric_Nativ'!$O$6:$O$405,"INVALID")+COUNTIFS('Istoric_Nativ'!$B$6:$B$405,E771,'Istoric_Nativ'!$C$6:$C$405,F771,'Istoric_Nativ'!$F$6:$F$405,G771,'Istoric_Nativ'!$O$6:$O$405,"INVALID",'Istoric_Nativ'!$D$6:$D$405,"*")+COUNTIFS('Istoric_Nativ'!$B$6:$B$405,E771,'Istoric_Nativ'!$C$6:$C$405,F771,'Istoric_Nativ'!$F$6:$F$405,G771,'Istoric_Nativ'!$D$6:$D$405,"&lt;"&amp;J771,'Istoric_Nativ'!$O$6:$O$405,"SOURCE CONFLICT"))</x:f>
        <x:v>0</x:v>
      </x:c>
      <x:c r="T771" s="2" t="str">
        <x:f>IF(B771="","",IF(R771&lt;&gt;"CLOSED",R771,IF(S771&gt;0,"NATIVE INPUT ISSUE",IF(M771=0,"NO HISTORY",IF(M771&lt;P771,"SMALL SAMPLE","DERIVED")))))</x:f>
      </x:c>
      <x:c r="U771" s="2" t="str">
        <x:f>IF(B771="","","NativeTable; "&amp;E771&amp;"; "&amp;F771&amp;"; "&amp;G771&amp;"; "&amp;H771&amp;"; before "&amp;TEXT(J771,"yyyy-mm-dd")&amp;IF(I771="RECENT","; from "&amp;TEXT(L771,"yyyy-mm-dd"),""))</x:f>
      </x:c>
    </x:row>
    <x:row r="772" ht="21" customHeight="1">
      <x:c r="A772" s="2" t="n">
        <x:v>64</x:v>
      </x:c>
      <x:c r="B772" s="2" t="str">
        <x:f>IF('Input_Meci'!A69="","",'Input_Meci'!A69)</x:f>
      </x:c>
      <x:c r="C772" s="2" t="str">
        <x:v>A</x:v>
      </x:c>
      <x:c r="D772" s="2" t="str">
        <x:v>PRIOR</x:v>
      </x:c>
      <x:c r="E772" s="2" t="str">
        <x:f>IF(B772="","",'Input_Meci'!B69)</x:f>
      </x:c>
      <x:c r="F772" s="2" t="str">
        <x:f>IF(B772="","",IF('Input_Meci'!K69="","",'Input_Meci'!K69))</x:f>
      </x:c>
      <x:c r="G772" s="2" t="str">
        <x:f>IF(B772="","",'Input_Meci'!E69)</x:f>
      </x:c>
      <x:c r="H772" s="2" t="str">
        <x:v>AWAY</x:v>
      </x:c>
      <x:c r="I772" s="2" t="str">
        <x:v>HA</x:v>
      </x:c>
      <x:c r="J772" s="9" t="n">
        <x:f>IF(AND(B772&lt;&gt;"",ISNUMBER('Input_Meci'!G69)),INT('Input_Meci'!G69),0)</x:f>
        <x:v>0</x:v>
      </x:c>
      <x:c r="K772" s="2" t="n">
        <x:f>IF(OR(B772="",F772=""),0,IF(H772="HOME",COUNTIFS('Istoric_Nativ'!$B$6:$B$405,E772,'Istoric_Nativ'!$C$6:$C$405,F772,'Istoric_Nativ'!$E$6:$E$405,G772,'Istoric_Nativ'!$D$6:$D$405,"&lt;"&amp;J772,'Istoric_Nativ'!$P$6:$P$405,1),IF(H772="AWAY",COUNTIFS('Istoric_Nativ'!$B$6:$B$405,E772,'Istoric_Nativ'!$C$6:$C$405,F772,'Istoric_Nativ'!$F$6:$F$405,G772,'Istoric_Nativ'!$D$6:$D$405,"&lt;"&amp;J772,'Istoric_Nativ'!$P$6:$P$405,1),COUNTIFS('Istoric_Nativ'!$B$6:$B$405,E772,'Istoric_Nativ'!$C$6:$C$405,F772,'Istoric_Nativ'!$E$6:$E$405,G772,'Istoric_Nativ'!$D$6:$D$405,"&lt;"&amp;J772,'Istoric_Nativ'!$P$6:$P$405,1)+COUNTIFS('Istoric_Nativ'!$B$6:$B$405,E772,'Istoric_Nativ'!$C$6:$C$405,F772,'Istoric_Nativ'!$F$6:$F$405,G772,'Istoric_Nativ'!$D$6:$D$405,"&lt;"&amp;J772,'Istoric_Nativ'!$P$6:$P$405,1))))</x:f>
        <x:v>0</x:v>
      </x:c>
      <x:c r="L772" s="17" t="n">
        <x:f>IF(AND(B772&lt;&gt;"",I772="RECENT",K772&gt;0),LARGE(_xlfn._xlws.FILTER('Istoric_Nativ'!$D$6:$D$405,('Istoric_Nativ'!$B$6:$B$405=E772)*('Istoric_Nativ'!$C$6:$C$405=F772)*('Istoric_Nativ'!$P$6:$P$405=1)*('Istoric_Nativ'!$D$6:$D$405&lt;J772)*((('Istoric_Nativ'!$E$6:$E$405=G772)+('Istoric_Nativ'!$F$6:$F$405=G772))&gt;0)),MIN('Config_v6'!$B$54,K772)),0)</x:f>
        <x:v>0</x:v>
      </x:c>
      <x:c r="M772" s="2" t="n">
        <x:f>IF(OR(B772="",F772=""),0,IF(H772="HOME",COUNTIFS('Istoric_Nativ'!$B$6:$B$405,E772,'Istoric_Nativ'!$C$6:$C$405,F772,'Istoric_Nativ'!$E$6:$E$405,G772,'Istoric_Nativ'!$D$6:$D$405,"&lt;"&amp;J772,'Istoric_Nativ'!$P$6:$P$405,1,'Istoric_Nativ'!$D$6:$D$405,"&gt;="&amp;L772),IF(H772="AWAY",COUNTIFS('Istoric_Nativ'!$B$6:$B$405,E772,'Istoric_Nativ'!$C$6:$C$405,F772,'Istoric_Nativ'!$F$6:$F$405,G772,'Istoric_Nativ'!$D$6:$D$405,"&lt;"&amp;J772,'Istoric_Nativ'!$P$6:$P$405,1,'Istoric_Nativ'!$D$6:$D$405,"&gt;="&amp;L772),COUNTIFS('Istoric_Nativ'!$B$6:$B$405,E772,'Istoric_Nativ'!$C$6:$C$405,F772,'Istoric_Nativ'!$E$6:$E$405,G772,'Istoric_Nativ'!$D$6:$D$405,"&lt;"&amp;J772,'Istoric_Nativ'!$P$6:$P$405,1,'Istoric_Nativ'!$D$6:$D$405,"&gt;="&amp;L772)+COUNTIFS('Istoric_Nativ'!$B$6:$B$405,E772,'Istoric_Nativ'!$C$6:$C$405,F772,'Istoric_Nativ'!$F$6:$F$405,G772,'Istoric_Nativ'!$D$6:$D$405,"&lt;"&amp;J772,'Istoric_Nativ'!$P$6:$P$405,1,'Istoric_Nativ'!$D$6:$D$405,"&gt;="&amp;L772))))</x:f>
        <x:v>0</x:v>
      </x:c>
      <x:c r="N772" s="11" t="str">
        <x:f>IF(M772=0,"",IF(H772="HOME",SUMIFS('Istoric_Nativ'!$G$6:$G$405,'Istoric_Nativ'!$B$6:$B$405,E772,'Istoric_Nativ'!$C$6:$C$405,F772,'Istoric_Nativ'!$E$6:$E$405,G772,'Istoric_Nativ'!$D$6:$D$405,"&lt;"&amp;J772,'Istoric_Nativ'!$P$6:$P$405,1,'Istoric_Nativ'!$D$6:$D$405,"&gt;="&amp;L772),IF(H772="AWAY",SUMIFS('Istoric_Nativ'!$H$6:$H$405,'Istoric_Nativ'!$B$6:$B$405,E772,'Istoric_Nativ'!$C$6:$C$405,F772,'Istoric_Nativ'!$F$6:$F$405,G772,'Istoric_Nativ'!$D$6:$D$405,"&lt;"&amp;J772,'Istoric_Nativ'!$P$6:$P$405,1,'Istoric_Nativ'!$D$6:$D$405,"&gt;="&amp;L772),SUMIFS('Istoric_Nativ'!$G$6:$G$405,'Istoric_Nativ'!$B$6:$B$405,E772,'Istoric_Nativ'!$C$6:$C$405,F772,'Istoric_Nativ'!$E$6:$E$405,G772,'Istoric_Nativ'!$D$6:$D$405,"&lt;"&amp;J772,'Istoric_Nativ'!$P$6:$P$405,1,'Istoric_Nativ'!$D$6:$D$405,"&gt;="&amp;L772)+SUMIFS('Istoric_Nativ'!$H$6:$H$405,'Istoric_Nativ'!$B$6:$B$405,E772,'Istoric_Nativ'!$C$6:$C$405,F772,'Istoric_Nativ'!$F$6:$F$405,G772,'Istoric_Nativ'!$D$6:$D$405,"&lt;"&amp;J772,'Istoric_Nativ'!$P$6:$P$405,1,'Istoric_Nativ'!$D$6:$D$405,"&gt;="&amp;L772)))/M772)</x:f>
      </x:c>
      <x:c r="O772" s="11" t="str">
        <x:f>IF(M772=0,"",IF(H772="HOME",SUMIFS('Istoric_Nativ'!$H$6:$H$405,'Istoric_Nativ'!$B$6:$B$405,E772,'Istoric_Nativ'!$C$6:$C$405,F772,'Istoric_Nativ'!$E$6:$E$405,G772,'Istoric_Nativ'!$D$6:$D$405,"&lt;"&amp;J772,'Istoric_Nativ'!$P$6:$P$405,1,'Istoric_Nativ'!$D$6:$D$405,"&gt;="&amp;L772),IF(H772="AWAY",SUMIFS('Istoric_Nativ'!$G$6:$G$405,'Istoric_Nativ'!$B$6:$B$405,E772,'Istoric_Nativ'!$C$6:$C$405,F772,'Istoric_Nativ'!$F$6:$F$405,G772,'Istoric_Nativ'!$D$6:$D$405,"&lt;"&amp;J772,'Istoric_Nativ'!$P$6:$P$405,1,'Istoric_Nativ'!$D$6:$D$405,"&gt;="&amp;L772),SUMIFS('Istoric_Nativ'!$H$6:$H$405,'Istoric_Nativ'!$B$6:$B$405,E772,'Istoric_Nativ'!$C$6:$C$405,F772,'Istoric_Nativ'!$E$6:$E$405,G772,'Istoric_Nativ'!$D$6:$D$405,"&lt;"&amp;J772,'Istoric_Nativ'!$P$6:$P$405,1,'Istoric_Nativ'!$D$6:$D$405,"&gt;="&amp;L772)+SUMIFS('Istoric_Nativ'!$G$6:$G$405,'Istoric_Nativ'!$B$6:$B$405,E772,'Istoric_Nativ'!$C$6:$C$405,F772,'Istoric_Nativ'!$F$6:$F$405,G772,'Istoric_Nativ'!$D$6:$D$405,"&lt;"&amp;J772,'Istoric_Nativ'!$P$6:$P$405,1,'Istoric_Nativ'!$D$6:$D$405,"&gt;="&amp;L772)))/M772)</x:f>
      </x:c>
      <x:c r="P772" s="2" t="n">
        <x:f>'Config_v6'!$B$8</x:f>
        <x:v>5</x:v>
      </x:c>
      <x:c r="Q772" s="2" t="n">
        <x:f>IF(OR(B772="",F772=""),0,IFERROR(MATCH(E772&amp;"|"&amp;F772,SourceTable[Source_Key],0),0))</x:f>
        <x:v>0</x:v>
      </x:c>
      <x:c r="R772" s="2" t="str">
        <x:f>IF(B772="","",IF(F772="","UNUSED",IF(Q772=0,"NOT CHECKED",IF(COUNTIF(SourceTable[Source_Key],E772&amp;"|"&amp;F772)&lt;&gt;1,"SOURCE CONFLICT",IF(NOT(OR(INDEX(SourceTable[Status],MAX(1,Q772))="IMPORTED",INDEX(SourceTable[Status],MAX(1,Q772))="PARTIAL",INDEX(SourceTable[Status],MAX(1,Q772))="SOURCE CONFLICT")),"ACCESS BLOCKED",IF(OR(INDEX(SourceTable[Coverage],Q772)&lt;&gt;"FULL SEASON EXPORT",INDEX(SourceTable[URL],Q772)="",INDEX(SourceTable[SHA256],Q772)=""),"EVIDENCE INCOMPLETE",IF(AND('Input_Meci'!H69="LIVE",INDEX(SourceTable[Retrieved_UTC],Q772)&gt;'Input_Meci'!G69),"POST CUTOFF","CLOSED")))))))</x:f>
      </x:c>
      <x:c r="S772" s="2" t="n">
        <x:f>IF(OR(B772="",F772=""),0,COUNTIFS('Istoric_Nativ'!$B$6:$B$405,E772,'Istoric_Nativ'!$C$6:$C$405,F772,'Istoric_Nativ'!$E$6:$E$405,G772,'Istoric_Nativ'!$D$6:$D$405,"&lt;"&amp;J772,'Istoric_Nativ'!$O$6:$O$405,"INVALID")+COUNTIFS('Istoric_Nativ'!$B$6:$B$405,E772,'Istoric_Nativ'!$C$6:$C$405,F772,'Istoric_Nativ'!$E$6:$E$405,G772,'Istoric_Nativ'!$O$6:$O$405,"INVALID",'Istoric_Nativ'!$D$6:$D$405,"*")+COUNTIFS('Istoric_Nativ'!$B$6:$B$405,E772,'Istoric_Nativ'!$C$6:$C$405,F772,'Istoric_Nativ'!$E$6:$E$405,G772,'Istoric_Nativ'!$D$6:$D$405,"&lt;"&amp;J772,'Istoric_Nativ'!$O$6:$O$405,"SOURCE CONFLICT")+COUNTIFS('Istoric_Nativ'!$B$6:$B$405,E772,'Istoric_Nativ'!$C$6:$C$405,F772,'Istoric_Nativ'!$F$6:$F$405,G772,'Istoric_Nativ'!$D$6:$D$405,"&lt;"&amp;J772,'Istoric_Nativ'!$O$6:$O$405,"INVALID")+COUNTIFS('Istoric_Nativ'!$B$6:$B$405,E772,'Istoric_Nativ'!$C$6:$C$405,F772,'Istoric_Nativ'!$F$6:$F$405,G772,'Istoric_Nativ'!$O$6:$O$405,"INVALID",'Istoric_Nativ'!$D$6:$D$405,"*")+COUNTIFS('Istoric_Nativ'!$B$6:$B$405,E772,'Istoric_Nativ'!$C$6:$C$405,F772,'Istoric_Nativ'!$F$6:$F$405,G772,'Istoric_Nativ'!$D$6:$D$405,"&lt;"&amp;J772,'Istoric_Nativ'!$O$6:$O$405,"SOURCE CONFLICT"))</x:f>
        <x:v>0</x:v>
      </x:c>
      <x:c r="T772" s="2" t="str">
        <x:f>IF(B772="","",IF(R772&lt;&gt;"CLOSED",R772,IF(S772&gt;0,"NATIVE INPUT ISSUE",IF(M772=0,"NO HISTORY",IF(M772&lt;P772,"SMALL SAMPLE","DERIVED")))))</x:f>
      </x:c>
      <x:c r="U772" s="2" t="str">
        <x:f>IF(B772="","","NativeTable; "&amp;E772&amp;"; "&amp;F772&amp;"; "&amp;G772&amp;"; "&amp;H772&amp;"; before "&amp;TEXT(J772,"yyyy-mm-dd")&amp;IF(I772="RECENT","; from "&amp;TEXT(L772,"yyyy-mm-dd"),""))</x:f>
      </x:c>
    </x:row>
    <x:row r="773" ht="21" customHeight="1">
      <x:c r="A773" s="2" t="n">
        <x:v>64</x:v>
      </x:c>
      <x:c r="B773" s="2" t="str">
        <x:f>IF('Input_Meci'!A69="","",'Input_Meci'!A69)</x:f>
      </x:c>
      <x:c r="C773" s="2" t="str">
        <x:v>A</x:v>
      </x:c>
      <x:c r="D773" s="2" t="str">
        <x:v>PRIOR</x:v>
      </x:c>
      <x:c r="E773" s="2" t="str">
        <x:f>IF(B773="","",'Input_Meci'!B69)</x:f>
      </x:c>
      <x:c r="F773" s="2" t="str">
        <x:f>IF(B773="","",IF('Input_Meci'!K69="","",'Input_Meci'!K69))</x:f>
      </x:c>
      <x:c r="G773" s="2" t="str">
        <x:f>IF(B773="","",'Input_Meci'!E69)</x:f>
      </x:c>
      <x:c r="H773" s="2" t="str">
        <x:v>ANY</x:v>
      </x:c>
      <x:c r="I773" s="2" t="str">
        <x:v>RECENT</x:v>
      </x:c>
      <x:c r="J773" s="9" t="n">
        <x:f>IF(AND(B773&lt;&gt;"",ISNUMBER('Input_Meci'!G69)),INT('Input_Meci'!G69),0)</x:f>
        <x:v>0</x:v>
      </x:c>
      <x:c r="K773" s="2" t="n">
        <x:f>IF(OR(B773="",F773=""),0,IF(H773="HOME",COUNTIFS('Istoric_Nativ'!$B$6:$B$405,E773,'Istoric_Nativ'!$C$6:$C$405,F773,'Istoric_Nativ'!$E$6:$E$405,G773,'Istoric_Nativ'!$D$6:$D$405,"&lt;"&amp;J773,'Istoric_Nativ'!$P$6:$P$405,1),IF(H773="AWAY",COUNTIFS('Istoric_Nativ'!$B$6:$B$405,E773,'Istoric_Nativ'!$C$6:$C$405,F773,'Istoric_Nativ'!$F$6:$F$405,G773,'Istoric_Nativ'!$D$6:$D$405,"&lt;"&amp;J773,'Istoric_Nativ'!$P$6:$P$405,1),COUNTIFS('Istoric_Nativ'!$B$6:$B$405,E773,'Istoric_Nativ'!$C$6:$C$405,F773,'Istoric_Nativ'!$E$6:$E$405,G773,'Istoric_Nativ'!$D$6:$D$405,"&lt;"&amp;J773,'Istoric_Nativ'!$P$6:$P$405,1)+COUNTIFS('Istoric_Nativ'!$B$6:$B$405,E773,'Istoric_Nativ'!$C$6:$C$405,F773,'Istoric_Nativ'!$F$6:$F$405,G773,'Istoric_Nativ'!$D$6:$D$405,"&lt;"&amp;J773,'Istoric_Nativ'!$P$6:$P$405,1))))</x:f>
        <x:v>0</x:v>
      </x:c>
      <x:c r="L773" s="17" t="n">
        <x:f>IF(AND(B773&lt;&gt;"",I773="RECENT",K773&gt;0),LARGE(_xlfn._xlws.FILTER('Istoric_Nativ'!$D$6:$D$405,('Istoric_Nativ'!$B$6:$B$405=E773)*('Istoric_Nativ'!$C$6:$C$405=F773)*('Istoric_Nativ'!$P$6:$P$405=1)*('Istoric_Nativ'!$D$6:$D$405&lt;J773)*((('Istoric_Nativ'!$E$6:$E$405=G773)+('Istoric_Nativ'!$F$6:$F$405=G773))&gt;0)),MIN('Config_v6'!$B$54,K773)),0)</x:f>
        <x:v>0</x:v>
      </x:c>
      <x:c r="M773" s="2" t="n">
        <x:f>IF(OR(B773="",F773=""),0,IF(H773="HOME",COUNTIFS('Istoric_Nativ'!$B$6:$B$405,E773,'Istoric_Nativ'!$C$6:$C$405,F773,'Istoric_Nativ'!$E$6:$E$405,G773,'Istoric_Nativ'!$D$6:$D$405,"&lt;"&amp;J773,'Istoric_Nativ'!$P$6:$P$405,1,'Istoric_Nativ'!$D$6:$D$405,"&gt;="&amp;L773),IF(H773="AWAY",COUNTIFS('Istoric_Nativ'!$B$6:$B$405,E773,'Istoric_Nativ'!$C$6:$C$405,F773,'Istoric_Nativ'!$F$6:$F$405,G773,'Istoric_Nativ'!$D$6:$D$405,"&lt;"&amp;J773,'Istoric_Nativ'!$P$6:$P$405,1,'Istoric_Nativ'!$D$6:$D$405,"&gt;="&amp;L773),COUNTIFS('Istoric_Nativ'!$B$6:$B$405,E773,'Istoric_Nativ'!$C$6:$C$405,F773,'Istoric_Nativ'!$E$6:$E$405,G773,'Istoric_Nativ'!$D$6:$D$405,"&lt;"&amp;J773,'Istoric_Nativ'!$P$6:$P$405,1,'Istoric_Nativ'!$D$6:$D$405,"&gt;="&amp;L773)+COUNTIFS('Istoric_Nativ'!$B$6:$B$405,E773,'Istoric_Nativ'!$C$6:$C$405,F773,'Istoric_Nativ'!$F$6:$F$405,G773,'Istoric_Nativ'!$D$6:$D$405,"&lt;"&amp;J773,'Istoric_Nativ'!$P$6:$P$405,1,'Istoric_Nativ'!$D$6:$D$405,"&gt;="&amp;L773))))</x:f>
        <x:v>0</x:v>
      </x:c>
      <x:c r="N773" s="11" t="str">
        <x:f>IF(M773=0,"",IF(H773="HOME",SUMIFS('Istoric_Nativ'!$G$6:$G$405,'Istoric_Nativ'!$B$6:$B$405,E773,'Istoric_Nativ'!$C$6:$C$405,F773,'Istoric_Nativ'!$E$6:$E$405,G773,'Istoric_Nativ'!$D$6:$D$405,"&lt;"&amp;J773,'Istoric_Nativ'!$P$6:$P$405,1,'Istoric_Nativ'!$D$6:$D$405,"&gt;="&amp;L773),IF(H773="AWAY",SUMIFS('Istoric_Nativ'!$H$6:$H$405,'Istoric_Nativ'!$B$6:$B$405,E773,'Istoric_Nativ'!$C$6:$C$405,F773,'Istoric_Nativ'!$F$6:$F$405,G773,'Istoric_Nativ'!$D$6:$D$405,"&lt;"&amp;J773,'Istoric_Nativ'!$P$6:$P$405,1,'Istoric_Nativ'!$D$6:$D$405,"&gt;="&amp;L773),SUMIFS('Istoric_Nativ'!$G$6:$G$405,'Istoric_Nativ'!$B$6:$B$405,E773,'Istoric_Nativ'!$C$6:$C$405,F773,'Istoric_Nativ'!$E$6:$E$405,G773,'Istoric_Nativ'!$D$6:$D$405,"&lt;"&amp;J773,'Istoric_Nativ'!$P$6:$P$405,1,'Istoric_Nativ'!$D$6:$D$405,"&gt;="&amp;L773)+SUMIFS('Istoric_Nativ'!$H$6:$H$405,'Istoric_Nativ'!$B$6:$B$405,E773,'Istoric_Nativ'!$C$6:$C$405,F773,'Istoric_Nativ'!$F$6:$F$405,G773,'Istoric_Nativ'!$D$6:$D$405,"&lt;"&amp;J773,'Istoric_Nativ'!$P$6:$P$405,1,'Istoric_Nativ'!$D$6:$D$405,"&gt;="&amp;L773)))/M773)</x:f>
      </x:c>
      <x:c r="O773" s="11" t="str">
        <x:f>IF(M773=0,"",IF(H773="HOME",SUMIFS('Istoric_Nativ'!$H$6:$H$405,'Istoric_Nativ'!$B$6:$B$405,E773,'Istoric_Nativ'!$C$6:$C$405,F773,'Istoric_Nativ'!$E$6:$E$405,G773,'Istoric_Nativ'!$D$6:$D$405,"&lt;"&amp;J773,'Istoric_Nativ'!$P$6:$P$405,1,'Istoric_Nativ'!$D$6:$D$405,"&gt;="&amp;L773),IF(H773="AWAY",SUMIFS('Istoric_Nativ'!$G$6:$G$405,'Istoric_Nativ'!$B$6:$B$405,E773,'Istoric_Nativ'!$C$6:$C$405,F773,'Istoric_Nativ'!$F$6:$F$405,G773,'Istoric_Nativ'!$D$6:$D$405,"&lt;"&amp;J773,'Istoric_Nativ'!$P$6:$P$405,1,'Istoric_Nativ'!$D$6:$D$405,"&gt;="&amp;L773),SUMIFS('Istoric_Nativ'!$H$6:$H$405,'Istoric_Nativ'!$B$6:$B$405,E773,'Istoric_Nativ'!$C$6:$C$405,F773,'Istoric_Nativ'!$E$6:$E$405,G773,'Istoric_Nativ'!$D$6:$D$405,"&lt;"&amp;J773,'Istoric_Nativ'!$P$6:$P$405,1,'Istoric_Nativ'!$D$6:$D$405,"&gt;="&amp;L773)+SUMIFS('Istoric_Nativ'!$G$6:$G$405,'Istoric_Nativ'!$B$6:$B$405,E773,'Istoric_Nativ'!$C$6:$C$405,F773,'Istoric_Nativ'!$F$6:$F$405,G773,'Istoric_Nativ'!$D$6:$D$405,"&lt;"&amp;J773,'Istoric_Nativ'!$P$6:$P$405,1,'Istoric_Nativ'!$D$6:$D$405,"&gt;="&amp;L773)))/M773)</x:f>
      </x:c>
      <x:c r="P773" s="2" t="n">
        <x:f>'Config_v6'!$B$9</x:f>
        <x:v>3</x:v>
      </x:c>
      <x:c r="Q773" s="2" t="n">
        <x:f>IF(OR(B773="",F773=""),0,IFERROR(MATCH(E773&amp;"|"&amp;F773,SourceTable[Source_Key],0),0))</x:f>
        <x:v>0</x:v>
      </x:c>
      <x:c r="R773" s="2" t="str">
        <x:f>IF(B773="","",IF(F773="","UNUSED",IF(Q773=0,"NOT CHECKED",IF(COUNTIF(SourceTable[Source_Key],E773&amp;"|"&amp;F773)&lt;&gt;1,"SOURCE CONFLICT",IF(NOT(OR(INDEX(SourceTable[Status],MAX(1,Q773))="IMPORTED",INDEX(SourceTable[Status],MAX(1,Q773))="PARTIAL",INDEX(SourceTable[Status],MAX(1,Q773))="SOURCE CONFLICT")),"ACCESS BLOCKED",IF(OR(INDEX(SourceTable[Coverage],Q773)&lt;&gt;"FULL SEASON EXPORT",INDEX(SourceTable[URL],Q773)="",INDEX(SourceTable[SHA256],Q773)=""),"EVIDENCE INCOMPLETE",IF(AND('Input_Meci'!H69="LIVE",INDEX(SourceTable[Retrieved_UTC],Q773)&gt;'Input_Meci'!G69),"POST CUTOFF","CLOSED")))))))</x:f>
      </x:c>
      <x:c r="S773" s="2" t="n">
        <x:f>IF(OR(B773="",F773=""),0,COUNTIFS('Istoric_Nativ'!$B$6:$B$405,E773,'Istoric_Nativ'!$C$6:$C$405,F773,'Istoric_Nativ'!$E$6:$E$405,G773,'Istoric_Nativ'!$D$6:$D$405,"&lt;"&amp;J773,'Istoric_Nativ'!$O$6:$O$405,"INVALID")+COUNTIFS('Istoric_Nativ'!$B$6:$B$405,E773,'Istoric_Nativ'!$C$6:$C$405,F773,'Istoric_Nativ'!$E$6:$E$405,G773,'Istoric_Nativ'!$O$6:$O$405,"INVALID",'Istoric_Nativ'!$D$6:$D$405,"*")+COUNTIFS('Istoric_Nativ'!$B$6:$B$405,E773,'Istoric_Nativ'!$C$6:$C$405,F773,'Istoric_Nativ'!$E$6:$E$405,G773,'Istoric_Nativ'!$D$6:$D$405,"&lt;"&amp;J773,'Istoric_Nativ'!$O$6:$O$405,"SOURCE CONFLICT")+COUNTIFS('Istoric_Nativ'!$B$6:$B$405,E773,'Istoric_Nativ'!$C$6:$C$405,F773,'Istoric_Nativ'!$F$6:$F$405,G773,'Istoric_Nativ'!$D$6:$D$405,"&lt;"&amp;J773,'Istoric_Nativ'!$O$6:$O$405,"INVALID")+COUNTIFS('Istoric_Nativ'!$B$6:$B$405,E773,'Istoric_Nativ'!$C$6:$C$405,F773,'Istoric_Nativ'!$F$6:$F$405,G773,'Istoric_Nativ'!$O$6:$O$405,"INVALID",'Istoric_Nativ'!$D$6:$D$405,"*")+COUNTIFS('Istoric_Nativ'!$B$6:$B$405,E773,'Istoric_Nativ'!$C$6:$C$405,F773,'Istoric_Nativ'!$F$6:$F$405,G773,'Istoric_Nativ'!$D$6:$D$405,"&lt;"&amp;J773,'Istoric_Nativ'!$O$6:$O$405,"SOURCE CONFLICT"))</x:f>
        <x:v>0</x:v>
      </x:c>
      <x:c r="T773" s="2" t="str">
        <x:f>IF(B773="","",IF(R773&lt;&gt;"CLOSED",R773,IF(S773&gt;0,"NATIVE INPUT ISSUE",IF(M773=0,"NO HISTORY",IF(M773&lt;P773,"SMALL SAMPLE","DERIVED")))))</x:f>
      </x:c>
      <x:c r="U773" s="2" t="str">
        <x:f>IF(B773="","","NativeTable; "&amp;E773&amp;"; "&amp;F773&amp;"; "&amp;G773&amp;"; "&amp;H773&amp;"; before "&amp;TEXT(J773,"yyyy-mm-dd")&amp;IF(I773="RECENT","; from "&amp;TEXT(L773,"yyyy-mm-dd"),""))</x:f>
      </x:c>
    </x:row>
    <x:row r="774" ht="21" customHeight="1">
      <x:c r="A774" s="2" t="n">
        <x:v>65</x:v>
      </x:c>
      <x:c r="B774" s="2" t="str">
        <x:f>IF('Input_Meci'!A70="","",'Input_Meci'!A70)</x:f>
      </x:c>
      <x:c r="C774" s="2" t="str">
        <x:v>H</x:v>
      </x:c>
      <x:c r="D774" s="2" t="str">
        <x:v>CURRENT</x:v>
      </x:c>
      <x:c r="E774" s="2" t="str">
        <x:f>IF(B774="","",'Input_Meci'!B70)</x:f>
      </x:c>
      <x:c r="F774" s="2" t="str">
        <x:f>IF(B774="","",IF('Input_Meci'!C70="","",'Input_Meci'!C70))</x:f>
      </x:c>
      <x:c r="G774" s="2" t="str">
        <x:f>IF(B774="","",'Input_Meci'!D70)</x:f>
      </x:c>
      <x:c r="H774" s="2" t="str">
        <x:v>ANY</x:v>
      </x:c>
      <x:c r="I774" s="2" t="str">
        <x:v>SEASON</x:v>
      </x:c>
      <x:c r="J774" s="9" t="n">
        <x:f>IF(AND(B774&lt;&gt;"",ISNUMBER('Input_Meci'!G70)),INT('Input_Meci'!G70),0)</x:f>
        <x:v>0</x:v>
      </x:c>
      <x:c r="K774" s="2" t="n">
        <x:f>IF(OR(B774="",F774=""),0,IF(H774="HOME",COUNTIFS('Istoric_Nativ'!$B$6:$B$405,E774,'Istoric_Nativ'!$C$6:$C$405,F774,'Istoric_Nativ'!$E$6:$E$405,G774,'Istoric_Nativ'!$D$6:$D$405,"&lt;"&amp;J774,'Istoric_Nativ'!$P$6:$P$405,1),IF(H774="AWAY",COUNTIFS('Istoric_Nativ'!$B$6:$B$405,E774,'Istoric_Nativ'!$C$6:$C$405,F774,'Istoric_Nativ'!$F$6:$F$405,G774,'Istoric_Nativ'!$D$6:$D$405,"&lt;"&amp;J774,'Istoric_Nativ'!$P$6:$P$405,1),COUNTIFS('Istoric_Nativ'!$B$6:$B$405,E774,'Istoric_Nativ'!$C$6:$C$405,F774,'Istoric_Nativ'!$E$6:$E$405,G774,'Istoric_Nativ'!$D$6:$D$405,"&lt;"&amp;J774,'Istoric_Nativ'!$P$6:$P$405,1)+COUNTIFS('Istoric_Nativ'!$B$6:$B$405,E774,'Istoric_Nativ'!$C$6:$C$405,F774,'Istoric_Nativ'!$F$6:$F$405,G774,'Istoric_Nativ'!$D$6:$D$405,"&lt;"&amp;J774,'Istoric_Nativ'!$P$6:$P$405,1))))</x:f>
        <x:v>0</x:v>
      </x:c>
      <x:c r="L774" s="17" t="n">
        <x:f>IF(AND(B774&lt;&gt;"",I774="RECENT",K774&gt;0),LARGE(_xlfn._xlws.FILTER('Istoric_Nativ'!$D$6:$D$405,('Istoric_Nativ'!$B$6:$B$405=E774)*('Istoric_Nativ'!$C$6:$C$405=F774)*('Istoric_Nativ'!$P$6:$P$405=1)*('Istoric_Nativ'!$D$6:$D$405&lt;J774)*((('Istoric_Nativ'!$E$6:$E$405=G774)+('Istoric_Nativ'!$F$6:$F$405=G774))&gt;0)),MIN('Config_v6'!$B$54,K774)),0)</x:f>
        <x:v>0</x:v>
      </x:c>
      <x:c r="M774" s="2" t="n">
        <x:f>IF(OR(B774="",F774=""),0,IF(H774="HOME",COUNTIFS('Istoric_Nativ'!$B$6:$B$405,E774,'Istoric_Nativ'!$C$6:$C$405,F774,'Istoric_Nativ'!$E$6:$E$405,G774,'Istoric_Nativ'!$D$6:$D$405,"&lt;"&amp;J774,'Istoric_Nativ'!$P$6:$P$405,1,'Istoric_Nativ'!$D$6:$D$405,"&gt;="&amp;L774),IF(H774="AWAY",COUNTIFS('Istoric_Nativ'!$B$6:$B$405,E774,'Istoric_Nativ'!$C$6:$C$405,F774,'Istoric_Nativ'!$F$6:$F$405,G774,'Istoric_Nativ'!$D$6:$D$405,"&lt;"&amp;J774,'Istoric_Nativ'!$P$6:$P$405,1,'Istoric_Nativ'!$D$6:$D$405,"&gt;="&amp;L774),COUNTIFS('Istoric_Nativ'!$B$6:$B$405,E774,'Istoric_Nativ'!$C$6:$C$405,F774,'Istoric_Nativ'!$E$6:$E$405,G774,'Istoric_Nativ'!$D$6:$D$405,"&lt;"&amp;J774,'Istoric_Nativ'!$P$6:$P$405,1,'Istoric_Nativ'!$D$6:$D$405,"&gt;="&amp;L774)+COUNTIFS('Istoric_Nativ'!$B$6:$B$405,E774,'Istoric_Nativ'!$C$6:$C$405,F774,'Istoric_Nativ'!$F$6:$F$405,G774,'Istoric_Nativ'!$D$6:$D$405,"&lt;"&amp;J774,'Istoric_Nativ'!$P$6:$P$405,1,'Istoric_Nativ'!$D$6:$D$405,"&gt;="&amp;L774))))</x:f>
        <x:v>0</x:v>
      </x:c>
      <x:c r="N774" s="11" t="str">
        <x:f>IF(M774=0,"",IF(H774="HOME",SUMIFS('Istoric_Nativ'!$G$6:$G$405,'Istoric_Nativ'!$B$6:$B$405,E774,'Istoric_Nativ'!$C$6:$C$405,F774,'Istoric_Nativ'!$E$6:$E$405,G774,'Istoric_Nativ'!$D$6:$D$405,"&lt;"&amp;J774,'Istoric_Nativ'!$P$6:$P$405,1,'Istoric_Nativ'!$D$6:$D$405,"&gt;="&amp;L774),IF(H774="AWAY",SUMIFS('Istoric_Nativ'!$H$6:$H$405,'Istoric_Nativ'!$B$6:$B$405,E774,'Istoric_Nativ'!$C$6:$C$405,F774,'Istoric_Nativ'!$F$6:$F$405,G774,'Istoric_Nativ'!$D$6:$D$405,"&lt;"&amp;J774,'Istoric_Nativ'!$P$6:$P$405,1,'Istoric_Nativ'!$D$6:$D$405,"&gt;="&amp;L774),SUMIFS('Istoric_Nativ'!$G$6:$G$405,'Istoric_Nativ'!$B$6:$B$405,E774,'Istoric_Nativ'!$C$6:$C$405,F774,'Istoric_Nativ'!$E$6:$E$405,G774,'Istoric_Nativ'!$D$6:$D$405,"&lt;"&amp;J774,'Istoric_Nativ'!$P$6:$P$405,1,'Istoric_Nativ'!$D$6:$D$405,"&gt;="&amp;L774)+SUMIFS('Istoric_Nativ'!$H$6:$H$405,'Istoric_Nativ'!$B$6:$B$405,E774,'Istoric_Nativ'!$C$6:$C$405,F774,'Istoric_Nativ'!$F$6:$F$405,G774,'Istoric_Nativ'!$D$6:$D$405,"&lt;"&amp;J774,'Istoric_Nativ'!$P$6:$P$405,1,'Istoric_Nativ'!$D$6:$D$405,"&gt;="&amp;L774)))/M774)</x:f>
      </x:c>
      <x:c r="O774" s="11" t="str">
        <x:f>IF(M774=0,"",IF(H774="HOME",SUMIFS('Istoric_Nativ'!$H$6:$H$405,'Istoric_Nativ'!$B$6:$B$405,E774,'Istoric_Nativ'!$C$6:$C$405,F774,'Istoric_Nativ'!$E$6:$E$405,G774,'Istoric_Nativ'!$D$6:$D$405,"&lt;"&amp;J774,'Istoric_Nativ'!$P$6:$P$405,1,'Istoric_Nativ'!$D$6:$D$405,"&gt;="&amp;L774),IF(H774="AWAY",SUMIFS('Istoric_Nativ'!$G$6:$G$405,'Istoric_Nativ'!$B$6:$B$405,E774,'Istoric_Nativ'!$C$6:$C$405,F774,'Istoric_Nativ'!$F$6:$F$405,G774,'Istoric_Nativ'!$D$6:$D$405,"&lt;"&amp;J774,'Istoric_Nativ'!$P$6:$P$405,1,'Istoric_Nativ'!$D$6:$D$405,"&gt;="&amp;L774),SUMIFS('Istoric_Nativ'!$H$6:$H$405,'Istoric_Nativ'!$B$6:$B$405,E774,'Istoric_Nativ'!$C$6:$C$405,F774,'Istoric_Nativ'!$E$6:$E$405,G774,'Istoric_Nativ'!$D$6:$D$405,"&lt;"&amp;J774,'Istoric_Nativ'!$P$6:$P$405,1,'Istoric_Nativ'!$D$6:$D$405,"&gt;="&amp;L774)+SUMIFS('Istoric_Nativ'!$G$6:$G$405,'Istoric_Nativ'!$B$6:$B$405,E774,'Istoric_Nativ'!$C$6:$C$405,F774,'Istoric_Nativ'!$F$6:$F$405,G774,'Istoric_Nativ'!$D$6:$D$405,"&lt;"&amp;J774,'Istoric_Nativ'!$P$6:$P$405,1,'Istoric_Nativ'!$D$6:$D$405,"&gt;="&amp;L774)))/M774)</x:f>
      </x:c>
      <x:c r="P774" s="2" t="n">
        <x:f>'Config_v6'!$B$7</x:f>
        <x:v>10</x:v>
      </x:c>
      <x:c r="Q774" s="2" t="n">
        <x:f>IF(OR(B774="",F774=""),0,IFERROR(MATCH(E774&amp;"|"&amp;F774,SourceTable[Source_Key],0),0))</x:f>
        <x:v>0</x:v>
      </x:c>
      <x:c r="R774" s="2" t="str">
        <x:f>IF(B774="","",IF(F774="","UNUSED",IF(Q774=0,"NOT CHECKED",IF(COUNTIF(SourceTable[Source_Key],E774&amp;"|"&amp;F774)&lt;&gt;1,"SOURCE CONFLICT",IF(NOT(OR(INDEX(SourceTable[Status],MAX(1,Q774))="IMPORTED",INDEX(SourceTable[Status],MAX(1,Q774))="PARTIAL",INDEX(SourceTable[Status],MAX(1,Q774))="SOURCE CONFLICT")),"ACCESS BLOCKED",IF(OR(INDEX(SourceTable[Coverage],Q774)&lt;&gt;"FULL SEASON EXPORT",INDEX(SourceTable[URL],Q774)="",INDEX(SourceTable[SHA256],Q774)=""),"EVIDENCE INCOMPLETE",IF(AND('Input_Meci'!H70="LIVE",INDEX(SourceTable[Retrieved_UTC],Q774)&gt;'Input_Meci'!G70),"POST CUTOFF","CLOSED")))))))</x:f>
      </x:c>
      <x:c r="S774" s="2" t="n">
        <x:f>IF(OR(B774="",F774=""),0,COUNTIFS('Istoric_Nativ'!$B$6:$B$405,E774,'Istoric_Nativ'!$C$6:$C$405,F774,'Istoric_Nativ'!$E$6:$E$405,G774,'Istoric_Nativ'!$D$6:$D$405,"&lt;"&amp;J774,'Istoric_Nativ'!$O$6:$O$405,"INVALID")+COUNTIFS('Istoric_Nativ'!$B$6:$B$405,E774,'Istoric_Nativ'!$C$6:$C$405,F774,'Istoric_Nativ'!$E$6:$E$405,G774,'Istoric_Nativ'!$O$6:$O$405,"INVALID",'Istoric_Nativ'!$D$6:$D$405,"*")+COUNTIFS('Istoric_Nativ'!$B$6:$B$405,E774,'Istoric_Nativ'!$C$6:$C$405,F774,'Istoric_Nativ'!$E$6:$E$405,G774,'Istoric_Nativ'!$D$6:$D$405,"&lt;"&amp;J774,'Istoric_Nativ'!$O$6:$O$405,"SOURCE CONFLICT")+COUNTIFS('Istoric_Nativ'!$B$6:$B$405,E774,'Istoric_Nativ'!$C$6:$C$405,F774,'Istoric_Nativ'!$F$6:$F$405,G774,'Istoric_Nativ'!$D$6:$D$405,"&lt;"&amp;J774,'Istoric_Nativ'!$O$6:$O$405,"INVALID")+COUNTIFS('Istoric_Nativ'!$B$6:$B$405,E774,'Istoric_Nativ'!$C$6:$C$405,F774,'Istoric_Nativ'!$F$6:$F$405,G774,'Istoric_Nativ'!$O$6:$O$405,"INVALID",'Istoric_Nativ'!$D$6:$D$405,"*")+COUNTIFS('Istoric_Nativ'!$B$6:$B$405,E774,'Istoric_Nativ'!$C$6:$C$405,F774,'Istoric_Nativ'!$F$6:$F$405,G774,'Istoric_Nativ'!$D$6:$D$405,"&lt;"&amp;J774,'Istoric_Nativ'!$O$6:$O$405,"SOURCE CONFLICT"))</x:f>
        <x:v>0</x:v>
      </x:c>
      <x:c r="T774" s="2" t="str">
        <x:f>IF(B774="","",IF(R774&lt;&gt;"CLOSED",R774,IF(S774&gt;0,"NATIVE INPUT ISSUE",IF(M774=0,"NO HISTORY",IF(M774&lt;P774,"SMALL SAMPLE","DERIVED")))))</x:f>
      </x:c>
      <x:c r="U774" s="2" t="str">
        <x:f>IF(B774="","","NativeTable; "&amp;E774&amp;"; "&amp;F774&amp;"; "&amp;G774&amp;"; "&amp;H774&amp;"; before "&amp;TEXT(J774,"yyyy-mm-dd")&amp;IF(I774="RECENT","; from "&amp;TEXT(L774,"yyyy-mm-dd"),""))</x:f>
      </x:c>
    </x:row>
    <x:row r="775" ht="21" customHeight="1">
      <x:c r="A775" s="2" t="n">
        <x:v>65</x:v>
      </x:c>
      <x:c r="B775" s="2" t="str">
        <x:f>IF('Input_Meci'!A70="","",'Input_Meci'!A70)</x:f>
      </x:c>
      <x:c r="C775" s="2" t="str">
        <x:v>H</x:v>
      </x:c>
      <x:c r="D775" s="2" t="str">
        <x:v>CURRENT</x:v>
      </x:c>
      <x:c r="E775" s="2" t="str">
        <x:f>IF(B775="","",'Input_Meci'!B70)</x:f>
      </x:c>
      <x:c r="F775" s="2" t="str">
        <x:f>IF(B775="","",IF('Input_Meci'!C70="","",'Input_Meci'!C70))</x:f>
      </x:c>
      <x:c r="G775" s="2" t="str">
        <x:f>IF(B775="","",'Input_Meci'!D70)</x:f>
      </x:c>
      <x:c r="H775" s="2" t="str">
        <x:v>HOME</x:v>
      </x:c>
      <x:c r="I775" s="2" t="str">
        <x:v>HA</x:v>
      </x:c>
      <x:c r="J775" s="9" t="n">
        <x:f>IF(AND(B775&lt;&gt;"",ISNUMBER('Input_Meci'!G70)),INT('Input_Meci'!G70),0)</x:f>
        <x:v>0</x:v>
      </x:c>
      <x:c r="K775" s="2" t="n">
        <x:f>IF(OR(B775="",F775=""),0,IF(H775="HOME",COUNTIFS('Istoric_Nativ'!$B$6:$B$405,E775,'Istoric_Nativ'!$C$6:$C$405,F775,'Istoric_Nativ'!$E$6:$E$405,G775,'Istoric_Nativ'!$D$6:$D$405,"&lt;"&amp;J775,'Istoric_Nativ'!$P$6:$P$405,1),IF(H775="AWAY",COUNTIFS('Istoric_Nativ'!$B$6:$B$405,E775,'Istoric_Nativ'!$C$6:$C$405,F775,'Istoric_Nativ'!$F$6:$F$405,G775,'Istoric_Nativ'!$D$6:$D$405,"&lt;"&amp;J775,'Istoric_Nativ'!$P$6:$P$405,1),COUNTIFS('Istoric_Nativ'!$B$6:$B$405,E775,'Istoric_Nativ'!$C$6:$C$405,F775,'Istoric_Nativ'!$E$6:$E$405,G775,'Istoric_Nativ'!$D$6:$D$405,"&lt;"&amp;J775,'Istoric_Nativ'!$P$6:$P$405,1)+COUNTIFS('Istoric_Nativ'!$B$6:$B$405,E775,'Istoric_Nativ'!$C$6:$C$405,F775,'Istoric_Nativ'!$F$6:$F$405,G775,'Istoric_Nativ'!$D$6:$D$405,"&lt;"&amp;J775,'Istoric_Nativ'!$P$6:$P$405,1))))</x:f>
        <x:v>0</x:v>
      </x:c>
      <x:c r="L775" s="17" t="n">
        <x:f>IF(AND(B775&lt;&gt;"",I775="RECENT",K775&gt;0),LARGE(_xlfn._xlws.FILTER('Istoric_Nativ'!$D$6:$D$405,('Istoric_Nativ'!$B$6:$B$405=E775)*('Istoric_Nativ'!$C$6:$C$405=F775)*('Istoric_Nativ'!$P$6:$P$405=1)*('Istoric_Nativ'!$D$6:$D$405&lt;J775)*((('Istoric_Nativ'!$E$6:$E$405=G775)+('Istoric_Nativ'!$F$6:$F$405=G775))&gt;0)),MIN('Config_v6'!$B$54,K775)),0)</x:f>
        <x:v>0</x:v>
      </x:c>
      <x:c r="M775" s="2" t="n">
        <x:f>IF(OR(B775="",F775=""),0,IF(H775="HOME",COUNTIFS('Istoric_Nativ'!$B$6:$B$405,E775,'Istoric_Nativ'!$C$6:$C$405,F775,'Istoric_Nativ'!$E$6:$E$405,G775,'Istoric_Nativ'!$D$6:$D$405,"&lt;"&amp;J775,'Istoric_Nativ'!$P$6:$P$405,1,'Istoric_Nativ'!$D$6:$D$405,"&gt;="&amp;L775),IF(H775="AWAY",COUNTIFS('Istoric_Nativ'!$B$6:$B$405,E775,'Istoric_Nativ'!$C$6:$C$405,F775,'Istoric_Nativ'!$F$6:$F$405,G775,'Istoric_Nativ'!$D$6:$D$405,"&lt;"&amp;J775,'Istoric_Nativ'!$P$6:$P$405,1,'Istoric_Nativ'!$D$6:$D$405,"&gt;="&amp;L775),COUNTIFS('Istoric_Nativ'!$B$6:$B$405,E775,'Istoric_Nativ'!$C$6:$C$405,F775,'Istoric_Nativ'!$E$6:$E$405,G775,'Istoric_Nativ'!$D$6:$D$405,"&lt;"&amp;J775,'Istoric_Nativ'!$P$6:$P$405,1,'Istoric_Nativ'!$D$6:$D$405,"&gt;="&amp;L775)+COUNTIFS('Istoric_Nativ'!$B$6:$B$405,E775,'Istoric_Nativ'!$C$6:$C$405,F775,'Istoric_Nativ'!$F$6:$F$405,G775,'Istoric_Nativ'!$D$6:$D$405,"&lt;"&amp;J775,'Istoric_Nativ'!$P$6:$P$405,1,'Istoric_Nativ'!$D$6:$D$405,"&gt;="&amp;L775))))</x:f>
        <x:v>0</x:v>
      </x:c>
      <x:c r="N775" s="11" t="str">
        <x:f>IF(M775=0,"",IF(H775="HOME",SUMIFS('Istoric_Nativ'!$G$6:$G$405,'Istoric_Nativ'!$B$6:$B$405,E775,'Istoric_Nativ'!$C$6:$C$405,F775,'Istoric_Nativ'!$E$6:$E$405,G775,'Istoric_Nativ'!$D$6:$D$405,"&lt;"&amp;J775,'Istoric_Nativ'!$P$6:$P$405,1,'Istoric_Nativ'!$D$6:$D$405,"&gt;="&amp;L775),IF(H775="AWAY",SUMIFS('Istoric_Nativ'!$H$6:$H$405,'Istoric_Nativ'!$B$6:$B$405,E775,'Istoric_Nativ'!$C$6:$C$405,F775,'Istoric_Nativ'!$F$6:$F$405,G775,'Istoric_Nativ'!$D$6:$D$405,"&lt;"&amp;J775,'Istoric_Nativ'!$P$6:$P$405,1,'Istoric_Nativ'!$D$6:$D$405,"&gt;="&amp;L775),SUMIFS('Istoric_Nativ'!$G$6:$G$405,'Istoric_Nativ'!$B$6:$B$405,E775,'Istoric_Nativ'!$C$6:$C$405,F775,'Istoric_Nativ'!$E$6:$E$405,G775,'Istoric_Nativ'!$D$6:$D$405,"&lt;"&amp;J775,'Istoric_Nativ'!$P$6:$P$405,1,'Istoric_Nativ'!$D$6:$D$405,"&gt;="&amp;L775)+SUMIFS('Istoric_Nativ'!$H$6:$H$405,'Istoric_Nativ'!$B$6:$B$405,E775,'Istoric_Nativ'!$C$6:$C$405,F775,'Istoric_Nativ'!$F$6:$F$405,G775,'Istoric_Nativ'!$D$6:$D$405,"&lt;"&amp;J775,'Istoric_Nativ'!$P$6:$P$405,1,'Istoric_Nativ'!$D$6:$D$405,"&gt;="&amp;L775)))/M775)</x:f>
      </x:c>
      <x:c r="O775" s="11" t="str">
        <x:f>IF(M775=0,"",IF(H775="HOME",SUMIFS('Istoric_Nativ'!$H$6:$H$405,'Istoric_Nativ'!$B$6:$B$405,E775,'Istoric_Nativ'!$C$6:$C$405,F775,'Istoric_Nativ'!$E$6:$E$405,G775,'Istoric_Nativ'!$D$6:$D$405,"&lt;"&amp;J775,'Istoric_Nativ'!$P$6:$P$405,1,'Istoric_Nativ'!$D$6:$D$405,"&gt;="&amp;L775),IF(H775="AWAY",SUMIFS('Istoric_Nativ'!$G$6:$G$405,'Istoric_Nativ'!$B$6:$B$405,E775,'Istoric_Nativ'!$C$6:$C$405,F775,'Istoric_Nativ'!$F$6:$F$405,G775,'Istoric_Nativ'!$D$6:$D$405,"&lt;"&amp;J775,'Istoric_Nativ'!$P$6:$P$405,1,'Istoric_Nativ'!$D$6:$D$405,"&gt;="&amp;L775),SUMIFS('Istoric_Nativ'!$H$6:$H$405,'Istoric_Nativ'!$B$6:$B$405,E775,'Istoric_Nativ'!$C$6:$C$405,F775,'Istoric_Nativ'!$E$6:$E$405,G775,'Istoric_Nativ'!$D$6:$D$405,"&lt;"&amp;J775,'Istoric_Nativ'!$P$6:$P$405,1,'Istoric_Nativ'!$D$6:$D$405,"&gt;="&amp;L775)+SUMIFS('Istoric_Nativ'!$G$6:$G$405,'Istoric_Nativ'!$B$6:$B$405,E775,'Istoric_Nativ'!$C$6:$C$405,F775,'Istoric_Nativ'!$F$6:$F$405,G775,'Istoric_Nativ'!$D$6:$D$405,"&lt;"&amp;J775,'Istoric_Nativ'!$P$6:$P$405,1,'Istoric_Nativ'!$D$6:$D$405,"&gt;="&amp;L775)))/M775)</x:f>
      </x:c>
      <x:c r="P775" s="2" t="n">
        <x:f>'Config_v6'!$B$8</x:f>
        <x:v>5</x:v>
      </x:c>
      <x:c r="Q775" s="2" t="n">
        <x:f>IF(OR(B775="",F775=""),0,IFERROR(MATCH(E775&amp;"|"&amp;F775,SourceTable[Source_Key],0),0))</x:f>
        <x:v>0</x:v>
      </x:c>
      <x:c r="R775" s="2" t="str">
        <x:f>IF(B775="","",IF(F775="","UNUSED",IF(Q775=0,"NOT CHECKED",IF(COUNTIF(SourceTable[Source_Key],E775&amp;"|"&amp;F775)&lt;&gt;1,"SOURCE CONFLICT",IF(NOT(OR(INDEX(SourceTable[Status],MAX(1,Q775))="IMPORTED",INDEX(SourceTable[Status],MAX(1,Q775))="PARTIAL",INDEX(SourceTable[Status],MAX(1,Q775))="SOURCE CONFLICT")),"ACCESS BLOCKED",IF(OR(INDEX(SourceTable[Coverage],Q775)&lt;&gt;"FULL SEASON EXPORT",INDEX(SourceTable[URL],Q775)="",INDEX(SourceTable[SHA256],Q775)=""),"EVIDENCE INCOMPLETE",IF(AND('Input_Meci'!H70="LIVE",INDEX(SourceTable[Retrieved_UTC],Q775)&gt;'Input_Meci'!G70),"POST CUTOFF","CLOSED")))))))</x:f>
      </x:c>
      <x:c r="S775" s="2" t="n">
        <x:f>IF(OR(B775="",F775=""),0,COUNTIFS('Istoric_Nativ'!$B$6:$B$405,E775,'Istoric_Nativ'!$C$6:$C$405,F775,'Istoric_Nativ'!$E$6:$E$405,G775,'Istoric_Nativ'!$D$6:$D$405,"&lt;"&amp;J775,'Istoric_Nativ'!$O$6:$O$405,"INVALID")+COUNTIFS('Istoric_Nativ'!$B$6:$B$405,E775,'Istoric_Nativ'!$C$6:$C$405,F775,'Istoric_Nativ'!$E$6:$E$405,G775,'Istoric_Nativ'!$O$6:$O$405,"INVALID",'Istoric_Nativ'!$D$6:$D$405,"*")+COUNTIFS('Istoric_Nativ'!$B$6:$B$405,E775,'Istoric_Nativ'!$C$6:$C$405,F775,'Istoric_Nativ'!$E$6:$E$405,G775,'Istoric_Nativ'!$D$6:$D$405,"&lt;"&amp;J775,'Istoric_Nativ'!$O$6:$O$405,"SOURCE CONFLICT")+COUNTIFS('Istoric_Nativ'!$B$6:$B$405,E775,'Istoric_Nativ'!$C$6:$C$405,F775,'Istoric_Nativ'!$F$6:$F$405,G775,'Istoric_Nativ'!$D$6:$D$405,"&lt;"&amp;J775,'Istoric_Nativ'!$O$6:$O$405,"INVALID")+COUNTIFS('Istoric_Nativ'!$B$6:$B$405,E775,'Istoric_Nativ'!$C$6:$C$405,F775,'Istoric_Nativ'!$F$6:$F$405,G775,'Istoric_Nativ'!$O$6:$O$405,"INVALID",'Istoric_Nativ'!$D$6:$D$405,"*")+COUNTIFS('Istoric_Nativ'!$B$6:$B$405,E775,'Istoric_Nativ'!$C$6:$C$405,F775,'Istoric_Nativ'!$F$6:$F$405,G775,'Istoric_Nativ'!$D$6:$D$405,"&lt;"&amp;J775,'Istoric_Nativ'!$O$6:$O$405,"SOURCE CONFLICT"))</x:f>
        <x:v>0</x:v>
      </x:c>
      <x:c r="T775" s="2" t="str">
        <x:f>IF(B775="","",IF(R775&lt;&gt;"CLOSED",R775,IF(S775&gt;0,"NATIVE INPUT ISSUE",IF(M775=0,"NO HISTORY",IF(M775&lt;P775,"SMALL SAMPLE","DERIVED")))))</x:f>
      </x:c>
      <x:c r="U775" s="2" t="str">
        <x:f>IF(B775="","","NativeTable; "&amp;E775&amp;"; "&amp;F775&amp;"; "&amp;G775&amp;"; "&amp;H775&amp;"; before "&amp;TEXT(J775,"yyyy-mm-dd")&amp;IF(I775="RECENT","; from "&amp;TEXT(L775,"yyyy-mm-dd"),""))</x:f>
      </x:c>
    </x:row>
    <x:row r="776" ht="21" customHeight="1">
      <x:c r="A776" s="2" t="n">
        <x:v>65</x:v>
      </x:c>
      <x:c r="B776" s="2" t="str">
        <x:f>IF('Input_Meci'!A70="","",'Input_Meci'!A70)</x:f>
      </x:c>
      <x:c r="C776" s="2" t="str">
        <x:v>H</x:v>
      </x:c>
      <x:c r="D776" s="2" t="str">
        <x:v>CURRENT</x:v>
      </x:c>
      <x:c r="E776" s="2" t="str">
        <x:f>IF(B776="","",'Input_Meci'!B70)</x:f>
      </x:c>
      <x:c r="F776" s="2" t="str">
        <x:f>IF(B776="","",IF('Input_Meci'!C70="","",'Input_Meci'!C70))</x:f>
      </x:c>
      <x:c r="G776" s="2" t="str">
        <x:f>IF(B776="","",'Input_Meci'!D70)</x:f>
      </x:c>
      <x:c r="H776" s="2" t="str">
        <x:v>ANY</x:v>
      </x:c>
      <x:c r="I776" s="2" t="str">
        <x:v>RECENT</x:v>
      </x:c>
      <x:c r="J776" s="9" t="n">
        <x:f>IF(AND(B776&lt;&gt;"",ISNUMBER('Input_Meci'!G70)),INT('Input_Meci'!G70),0)</x:f>
        <x:v>0</x:v>
      </x:c>
      <x:c r="K776" s="2" t="n">
        <x:f>IF(OR(B776="",F776=""),0,IF(H776="HOME",COUNTIFS('Istoric_Nativ'!$B$6:$B$405,E776,'Istoric_Nativ'!$C$6:$C$405,F776,'Istoric_Nativ'!$E$6:$E$405,G776,'Istoric_Nativ'!$D$6:$D$405,"&lt;"&amp;J776,'Istoric_Nativ'!$P$6:$P$405,1),IF(H776="AWAY",COUNTIFS('Istoric_Nativ'!$B$6:$B$405,E776,'Istoric_Nativ'!$C$6:$C$405,F776,'Istoric_Nativ'!$F$6:$F$405,G776,'Istoric_Nativ'!$D$6:$D$405,"&lt;"&amp;J776,'Istoric_Nativ'!$P$6:$P$405,1),COUNTIFS('Istoric_Nativ'!$B$6:$B$405,E776,'Istoric_Nativ'!$C$6:$C$405,F776,'Istoric_Nativ'!$E$6:$E$405,G776,'Istoric_Nativ'!$D$6:$D$405,"&lt;"&amp;J776,'Istoric_Nativ'!$P$6:$P$405,1)+COUNTIFS('Istoric_Nativ'!$B$6:$B$405,E776,'Istoric_Nativ'!$C$6:$C$405,F776,'Istoric_Nativ'!$F$6:$F$405,G776,'Istoric_Nativ'!$D$6:$D$405,"&lt;"&amp;J776,'Istoric_Nativ'!$P$6:$P$405,1))))</x:f>
        <x:v>0</x:v>
      </x:c>
      <x:c r="L776" s="17" t="n">
        <x:f>IF(AND(B776&lt;&gt;"",I776="RECENT",K776&gt;0),LARGE(_xlfn._xlws.FILTER('Istoric_Nativ'!$D$6:$D$405,('Istoric_Nativ'!$B$6:$B$405=E776)*('Istoric_Nativ'!$C$6:$C$405=F776)*('Istoric_Nativ'!$P$6:$P$405=1)*('Istoric_Nativ'!$D$6:$D$405&lt;J776)*((('Istoric_Nativ'!$E$6:$E$405=G776)+('Istoric_Nativ'!$F$6:$F$405=G776))&gt;0)),MIN('Config_v6'!$B$54,K776)),0)</x:f>
        <x:v>0</x:v>
      </x:c>
      <x:c r="M776" s="2" t="n">
        <x:f>IF(OR(B776="",F776=""),0,IF(H776="HOME",COUNTIFS('Istoric_Nativ'!$B$6:$B$405,E776,'Istoric_Nativ'!$C$6:$C$405,F776,'Istoric_Nativ'!$E$6:$E$405,G776,'Istoric_Nativ'!$D$6:$D$405,"&lt;"&amp;J776,'Istoric_Nativ'!$P$6:$P$405,1,'Istoric_Nativ'!$D$6:$D$405,"&gt;="&amp;L776),IF(H776="AWAY",COUNTIFS('Istoric_Nativ'!$B$6:$B$405,E776,'Istoric_Nativ'!$C$6:$C$405,F776,'Istoric_Nativ'!$F$6:$F$405,G776,'Istoric_Nativ'!$D$6:$D$405,"&lt;"&amp;J776,'Istoric_Nativ'!$P$6:$P$405,1,'Istoric_Nativ'!$D$6:$D$405,"&gt;="&amp;L776),COUNTIFS('Istoric_Nativ'!$B$6:$B$405,E776,'Istoric_Nativ'!$C$6:$C$405,F776,'Istoric_Nativ'!$E$6:$E$405,G776,'Istoric_Nativ'!$D$6:$D$405,"&lt;"&amp;J776,'Istoric_Nativ'!$P$6:$P$405,1,'Istoric_Nativ'!$D$6:$D$405,"&gt;="&amp;L776)+COUNTIFS('Istoric_Nativ'!$B$6:$B$405,E776,'Istoric_Nativ'!$C$6:$C$405,F776,'Istoric_Nativ'!$F$6:$F$405,G776,'Istoric_Nativ'!$D$6:$D$405,"&lt;"&amp;J776,'Istoric_Nativ'!$P$6:$P$405,1,'Istoric_Nativ'!$D$6:$D$405,"&gt;="&amp;L776))))</x:f>
        <x:v>0</x:v>
      </x:c>
      <x:c r="N776" s="11" t="str">
        <x:f>IF(M776=0,"",IF(H776="HOME",SUMIFS('Istoric_Nativ'!$G$6:$G$405,'Istoric_Nativ'!$B$6:$B$405,E776,'Istoric_Nativ'!$C$6:$C$405,F776,'Istoric_Nativ'!$E$6:$E$405,G776,'Istoric_Nativ'!$D$6:$D$405,"&lt;"&amp;J776,'Istoric_Nativ'!$P$6:$P$405,1,'Istoric_Nativ'!$D$6:$D$405,"&gt;="&amp;L776),IF(H776="AWAY",SUMIFS('Istoric_Nativ'!$H$6:$H$405,'Istoric_Nativ'!$B$6:$B$405,E776,'Istoric_Nativ'!$C$6:$C$405,F776,'Istoric_Nativ'!$F$6:$F$405,G776,'Istoric_Nativ'!$D$6:$D$405,"&lt;"&amp;J776,'Istoric_Nativ'!$P$6:$P$405,1,'Istoric_Nativ'!$D$6:$D$405,"&gt;="&amp;L776),SUMIFS('Istoric_Nativ'!$G$6:$G$405,'Istoric_Nativ'!$B$6:$B$405,E776,'Istoric_Nativ'!$C$6:$C$405,F776,'Istoric_Nativ'!$E$6:$E$405,G776,'Istoric_Nativ'!$D$6:$D$405,"&lt;"&amp;J776,'Istoric_Nativ'!$P$6:$P$405,1,'Istoric_Nativ'!$D$6:$D$405,"&gt;="&amp;L776)+SUMIFS('Istoric_Nativ'!$H$6:$H$405,'Istoric_Nativ'!$B$6:$B$405,E776,'Istoric_Nativ'!$C$6:$C$405,F776,'Istoric_Nativ'!$F$6:$F$405,G776,'Istoric_Nativ'!$D$6:$D$405,"&lt;"&amp;J776,'Istoric_Nativ'!$P$6:$P$405,1,'Istoric_Nativ'!$D$6:$D$405,"&gt;="&amp;L776)))/M776)</x:f>
      </x:c>
      <x:c r="O776" s="11" t="str">
        <x:f>IF(M776=0,"",IF(H776="HOME",SUMIFS('Istoric_Nativ'!$H$6:$H$405,'Istoric_Nativ'!$B$6:$B$405,E776,'Istoric_Nativ'!$C$6:$C$405,F776,'Istoric_Nativ'!$E$6:$E$405,G776,'Istoric_Nativ'!$D$6:$D$405,"&lt;"&amp;J776,'Istoric_Nativ'!$P$6:$P$405,1,'Istoric_Nativ'!$D$6:$D$405,"&gt;="&amp;L776),IF(H776="AWAY",SUMIFS('Istoric_Nativ'!$G$6:$G$405,'Istoric_Nativ'!$B$6:$B$405,E776,'Istoric_Nativ'!$C$6:$C$405,F776,'Istoric_Nativ'!$F$6:$F$405,G776,'Istoric_Nativ'!$D$6:$D$405,"&lt;"&amp;J776,'Istoric_Nativ'!$P$6:$P$405,1,'Istoric_Nativ'!$D$6:$D$405,"&gt;="&amp;L776),SUMIFS('Istoric_Nativ'!$H$6:$H$405,'Istoric_Nativ'!$B$6:$B$405,E776,'Istoric_Nativ'!$C$6:$C$405,F776,'Istoric_Nativ'!$E$6:$E$405,G776,'Istoric_Nativ'!$D$6:$D$405,"&lt;"&amp;J776,'Istoric_Nativ'!$P$6:$P$405,1,'Istoric_Nativ'!$D$6:$D$405,"&gt;="&amp;L776)+SUMIFS('Istoric_Nativ'!$G$6:$G$405,'Istoric_Nativ'!$B$6:$B$405,E776,'Istoric_Nativ'!$C$6:$C$405,F776,'Istoric_Nativ'!$F$6:$F$405,G776,'Istoric_Nativ'!$D$6:$D$405,"&lt;"&amp;J776,'Istoric_Nativ'!$P$6:$P$405,1,'Istoric_Nativ'!$D$6:$D$405,"&gt;="&amp;L776)))/M776)</x:f>
      </x:c>
      <x:c r="P776" s="2" t="n">
        <x:f>'Config_v6'!$B$9</x:f>
        <x:v>3</x:v>
      </x:c>
      <x:c r="Q776" s="2" t="n">
        <x:f>IF(OR(B776="",F776=""),0,IFERROR(MATCH(E776&amp;"|"&amp;F776,SourceTable[Source_Key],0),0))</x:f>
        <x:v>0</x:v>
      </x:c>
      <x:c r="R776" s="2" t="str">
        <x:f>IF(B776="","",IF(F776="","UNUSED",IF(Q776=0,"NOT CHECKED",IF(COUNTIF(SourceTable[Source_Key],E776&amp;"|"&amp;F776)&lt;&gt;1,"SOURCE CONFLICT",IF(NOT(OR(INDEX(SourceTable[Status],MAX(1,Q776))="IMPORTED",INDEX(SourceTable[Status],MAX(1,Q776))="PARTIAL",INDEX(SourceTable[Status],MAX(1,Q776))="SOURCE CONFLICT")),"ACCESS BLOCKED",IF(OR(INDEX(SourceTable[Coverage],Q776)&lt;&gt;"FULL SEASON EXPORT",INDEX(SourceTable[URL],Q776)="",INDEX(SourceTable[SHA256],Q776)=""),"EVIDENCE INCOMPLETE",IF(AND('Input_Meci'!H70="LIVE",INDEX(SourceTable[Retrieved_UTC],Q776)&gt;'Input_Meci'!G70),"POST CUTOFF","CLOSED")))))))</x:f>
      </x:c>
      <x:c r="S776" s="2" t="n">
        <x:f>IF(OR(B776="",F776=""),0,COUNTIFS('Istoric_Nativ'!$B$6:$B$405,E776,'Istoric_Nativ'!$C$6:$C$405,F776,'Istoric_Nativ'!$E$6:$E$405,G776,'Istoric_Nativ'!$D$6:$D$405,"&lt;"&amp;J776,'Istoric_Nativ'!$O$6:$O$405,"INVALID")+COUNTIFS('Istoric_Nativ'!$B$6:$B$405,E776,'Istoric_Nativ'!$C$6:$C$405,F776,'Istoric_Nativ'!$E$6:$E$405,G776,'Istoric_Nativ'!$O$6:$O$405,"INVALID",'Istoric_Nativ'!$D$6:$D$405,"*")+COUNTIFS('Istoric_Nativ'!$B$6:$B$405,E776,'Istoric_Nativ'!$C$6:$C$405,F776,'Istoric_Nativ'!$E$6:$E$405,G776,'Istoric_Nativ'!$D$6:$D$405,"&lt;"&amp;J776,'Istoric_Nativ'!$O$6:$O$405,"SOURCE CONFLICT")+COUNTIFS('Istoric_Nativ'!$B$6:$B$405,E776,'Istoric_Nativ'!$C$6:$C$405,F776,'Istoric_Nativ'!$F$6:$F$405,G776,'Istoric_Nativ'!$D$6:$D$405,"&lt;"&amp;J776,'Istoric_Nativ'!$O$6:$O$405,"INVALID")+COUNTIFS('Istoric_Nativ'!$B$6:$B$405,E776,'Istoric_Nativ'!$C$6:$C$405,F776,'Istoric_Nativ'!$F$6:$F$405,G776,'Istoric_Nativ'!$O$6:$O$405,"INVALID",'Istoric_Nativ'!$D$6:$D$405,"*")+COUNTIFS('Istoric_Nativ'!$B$6:$B$405,E776,'Istoric_Nativ'!$C$6:$C$405,F776,'Istoric_Nativ'!$F$6:$F$405,G776,'Istoric_Nativ'!$D$6:$D$405,"&lt;"&amp;J776,'Istoric_Nativ'!$O$6:$O$405,"SOURCE CONFLICT"))</x:f>
        <x:v>0</x:v>
      </x:c>
      <x:c r="T776" s="2" t="str">
        <x:f>IF(B776="","",IF(R776&lt;&gt;"CLOSED",R776,IF(S776&gt;0,"NATIVE INPUT ISSUE",IF(M776=0,"NO HISTORY",IF(M776&lt;P776,"SMALL SAMPLE","DERIVED")))))</x:f>
      </x:c>
      <x:c r="U776" s="2" t="str">
        <x:f>IF(B776="","","NativeTable; "&amp;E776&amp;"; "&amp;F776&amp;"; "&amp;G776&amp;"; "&amp;H776&amp;"; before "&amp;TEXT(J776,"yyyy-mm-dd")&amp;IF(I776="RECENT","; from "&amp;TEXT(L776,"yyyy-mm-dd"),""))</x:f>
      </x:c>
    </x:row>
    <x:row r="777" ht="21" customHeight="1">
      <x:c r="A777" s="2" t="n">
        <x:v>65</x:v>
      </x:c>
      <x:c r="B777" s="2" t="str">
        <x:f>IF('Input_Meci'!A70="","",'Input_Meci'!A70)</x:f>
      </x:c>
      <x:c r="C777" s="2" t="str">
        <x:v>A</x:v>
      </x:c>
      <x:c r="D777" s="2" t="str">
        <x:v>CURRENT</x:v>
      </x:c>
      <x:c r="E777" s="2" t="str">
        <x:f>IF(B777="","",'Input_Meci'!B70)</x:f>
      </x:c>
      <x:c r="F777" s="2" t="str">
        <x:f>IF(B777="","",IF('Input_Meci'!C70="","",'Input_Meci'!C70))</x:f>
      </x:c>
      <x:c r="G777" s="2" t="str">
        <x:f>IF(B777="","",'Input_Meci'!E70)</x:f>
      </x:c>
      <x:c r="H777" s="2" t="str">
        <x:v>ANY</x:v>
      </x:c>
      <x:c r="I777" s="2" t="str">
        <x:v>SEASON</x:v>
      </x:c>
      <x:c r="J777" s="9" t="n">
        <x:f>IF(AND(B777&lt;&gt;"",ISNUMBER('Input_Meci'!G70)),INT('Input_Meci'!G70),0)</x:f>
        <x:v>0</x:v>
      </x:c>
      <x:c r="K777" s="2" t="n">
        <x:f>IF(OR(B777="",F777=""),0,IF(H777="HOME",COUNTIFS('Istoric_Nativ'!$B$6:$B$405,E777,'Istoric_Nativ'!$C$6:$C$405,F777,'Istoric_Nativ'!$E$6:$E$405,G777,'Istoric_Nativ'!$D$6:$D$405,"&lt;"&amp;J777,'Istoric_Nativ'!$P$6:$P$405,1),IF(H777="AWAY",COUNTIFS('Istoric_Nativ'!$B$6:$B$405,E777,'Istoric_Nativ'!$C$6:$C$405,F777,'Istoric_Nativ'!$F$6:$F$405,G777,'Istoric_Nativ'!$D$6:$D$405,"&lt;"&amp;J777,'Istoric_Nativ'!$P$6:$P$405,1),COUNTIFS('Istoric_Nativ'!$B$6:$B$405,E777,'Istoric_Nativ'!$C$6:$C$405,F777,'Istoric_Nativ'!$E$6:$E$405,G777,'Istoric_Nativ'!$D$6:$D$405,"&lt;"&amp;J777,'Istoric_Nativ'!$P$6:$P$405,1)+COUNTIFS('Istoric_Nativ'!$B$6:$B$405,E777,'Istoric_Nativ'!$C$6:$C$405,F777,'Istoric_Nativ'!$F$6:$F$405,G777,'Istoric_Nativ'!$D$6:$D$405,"&lt;"&amp;J777,'Istoric_Nativ'!$P$6:$P$405,1))))</x:f>
        <x:v>0</x:v>
      </x:c>
      <x:c r="L777" s="17" t="n">
        <x:f>IF(AND(B777&lt;&gt;"",I777="RECENT",K777&gt;0),LARGE(_xlfn._xlws.FILTER('Istoric_Nativ'!$D$6:$D$405,('Istoric_Nativ'!$B$6:$B$405=E777)*('Istoric_Nativ'!$C$6:$C$405=F777)*('Istoric_Nativ'!$P$6:$P$405=1)*('Istoric_Nativ'!$D$6:$D$405&lt;J777)*((('Istoric_Nativ'!$E$6:$E$405=G777)+('Istoric_Nativ'!$F$6:$F$405=G777))&gt;0)),MIN('Config_v6'!$B$54,K777)),0)</x:f>
        <x:v>0</x:v>
      </x:c>
      <x:c r="M777" s="2" t="n">
        <x:f>IF(OR(B777="",F777=""),0,IF(H777="HOME",COUNTIFS('Istoric_Nativ'!$B$6:$B$405,E777,'Istoric_Nativ'!$C$6:$C$405,F777,'Istoric_Nativ'!$E$6:$E$405,G777,'Istoric_Nativ'!$D$6:$D$405,"&lt;"&amp;J777,'Istoric_Nativ'!$P$6:$P$405,1,'Istoric_Nativ'!$D$6:$D$405,"&gt;="&amp;L777),IF(H777="AWAY",COUNTIFS('Istoric_Nativ'!$B$6:$B$405,E777,'Istoric_Nativ'!$C$6:$C$405,F777,'Istoric_Nativ'!$F$6:$F$405,G777,'Istoric_Nativ'!$D$6:$D$405,"&lt;"&amp;J777,'Istoric_Nativ'!$P$6:$P$405,1,'Istoric_Nativ'!$D$6:$D$405,"&gt;="&amp;L777),COUNTIFS('Istoric_Nativ'!$B$6:$B$405,E777,'Istoric_Nativ'!$C$6:$C$405,F777,'Istoric_Nativ'!$E$6:$E$405,G777,'Istoric_Nativ'!$D$6:$D$405,"&lt;"&amp;J777,'Istoric_Nativ'!$P$6:$P$405,1,'Istoric_Nativ'!$D$6:$D$405,"&gt;="&amp;L777)+COUNTIFS('Istoric_Nativ'!$B$6:$B$405,E777,'Istoric_Nativ'!$C$6:$C$405,F777,'Istoric_Nativ'!$F$6:$F$405,G777,'Istoric_Nativ'!$D$6:$D$405,"&lt;"&amp;J777,'Istoric_Nativ'!$P$6:$P$405,1,'Istoric_Nativ'!$D$6:$D$405,"&gt;="&amp;L777))))</x:f>
        <x:v>0</x:v>
      </x:c>
      <x:c r="N777" s="11" t="str">
        <x:f>IF(M777=0,"",IF(H777="HOME",SUMIFS('Istoric_Nativ'!$G$6:$G$405,'Istoric_Nativ'!$B$6:$B$405,E777,'Istoric_Nativ'!$C$6:$C$405,F777,'Istoric_Nativ'!$E$6:$E$405,G777,'Istoric_Nativ'!$D$6:$D$405,"&lt;"&amp;J777,'Istoric_Nativ'!$P$6:$P$405,1,'Istoric_Nativ'!$D$6:$D$405,"&gt;="&amp;L777),IF(H777="AWAY",SUMIFS('Istoric_Nativ'!$H$6:$H$405,'Istoric_Nativ'!$B$6:$B$405,E777,'Istoric_Nativ'!$C$6:$C$405,F777,'Istoric_Nativ'!$F$6:$F$405,G777,'Istoric_Nativ'!$D$6:$D$405,"&lt;"&amp;J777,'Istoric_Nativ'!$P$6:$P$405,1,'Istoric_Nativ'!$D$6:$D$405,"&gt;="&amp;L777),SUMIFS('Istoric_Nativ'!$G$6:$G$405,'Istoric_Nativ'!$B$6:$B$405,E777,'Istoric_Nativ'!$C$6:$C$405,F777,'Istoric_Nativ'!$E$6:$E$405,G777,'Istoric_Nativ'!$D$6:$D$405,"&lt;"&amp;J777,'Istoric_Nativ'!$P$6:$P$405,1,'Istoric_Nativ'!$D$6:$D$405,"&gt;="&amp;L777)+SUMIFS('Istoric_Nativ'!$H$6:$H$405,'Istoric_Nativ'!$B$6:$B$405,E777,'Istoric_Nativ'!$C$6:$C$405,F777,'Istoric_Nativ'!$F$6:$F$405,G777,'Istoric_Nativ'!$D$6:$D$405,"&lt;"&amp;J777,'Istoric_Nativ'!$P$6:$P$405,1,'Istoric_Nativ'!$D$6:$D$405,"&gt;="&amp;L777)))/M777)</x:f>
      </x:c>
      <x:c r="O777" s="11" t="str">
        <x:f>IF(M777=0,"",IF(H777="HOME",SUMIFS('Istoric_Nativ'!$H$6:$H$405,'Istoric_Nativ'!$B$6:$B$405,E777,'Istoric_Nativ'!$C$6:$C$405,F777,'Istoric_Nativ'!$E$6:$E$405,G777,'Istoric_Nativ'!$D$6:$D$405,"&lt;"&amp;J777,'Istoric_Nativ'!$P$6:$P$405,1,'Istoric_Nativ'!$D$6:$D$405,"&gt;="&amp;L777),IF(H777="AWAY",SUMIFS('Istoric_Nativ'!$G$6:$G$405,'Istoric_Nativ'!$B$6:$B$405,E777,'Istoric_Nativ'!$C$6:$C$405,F777,'Istoric_Nativ'!$F$6:$F$405,G777,'Istoric_Nativ'!$D$6:$D$405,"&lt;"&amp;J777,'Istoric_Nativ'!$P$6:$P$405,1,'Istoric_Nativ'!$D$6:$D$405,"&gt;="&amp;L777),SUMIFS('Istoric_Nativ'!$H$6:$H$405,'Istoric_Nativ'!$B$6:$B$405,E777,'Istoric_Nativ'!$C$6:$C$405,F777,'Istoric_Nativ'!$E$6:$E$405,G777,'Istoric_Nativ'!$D$6:$D$405,"&lt;"&amp;J777,'Istoric_Nativ'!$P$6:$P$405,1,'Istoric_Nativ'!$D$6:$D$405,"&gt;="&amp;L777)+SUMIFS('Istoric_Nativ'!$G$6:$G$405,'Istoric_Nativ'!$B$6:$B$405,E777,'Istoric_Nativ'!$C$6:$C$405,F777,'Istoric_Nativ'!$F$6:$F$405,G777,'Istoric_Nativ'!$D$6:$D$405,"&lt;"&amp;J777,'Istoric_Nativ'!$P$6:$P$405,1,'Istoric_Nativ'!$D$6:$D$405,"&gt;="&amp;L777)))/M777)</x:f>
      </x:c>
      <x:c r="P777" s="2" t="n">
        <x:f>'Config_v6'!$B$7</x:f>
        <x:v>10</x:v>
      </x:c>
      <x:c r="Q777" s="2" t="n">
        <x:f>IF(OR(B777="",F777=""),0,IFERROR(MATCH(E777&amp;"|"&amp;F777,SourceTable[Source_Key],0),0))</x:f>
        <x:v>0</x:v>
      </x:c>
      <x:c r="R777" s="2" t="str">
        <x:f>IF(B777="","",IF(F777="","UNUSED",IF(Q777=0,"NOT CHECKED",IF(COUNTIF(SourceTable[Source_Key],E777&amp;"|"&amp;F777)&lt;&gt;1,"SOURCE CONFLICT",IF(NOT(OR(INDEX(SourceTable[Status],MAX(1,Q777))="IMPORTED",INDEX(SourceTable[Status],MAX(1,Q777))="PARTIAL",INDEX(SourceTable[Status],MAX(1,Q777))="SOURCE CONFLICT")),"ACCESS BLOCKED",IF(OR(INDEX(SourceTable[Coverage],Q777)&lt;&gt;"FULL SEASON EXPORT",INDEX(SourceTable[URL],Q777)="",INDEX(SourceTable[SHA256],Q777)=""),"EVIDENCE INCOMPLETE",IF(AND('Input_Meci'!H70="LIVE",INDEX(SourceTable[Retrieved_UTC],Q777)&gt;'Input_Meci'!G70),"POST CUTOFF","CLOSED")))))))</x:f>
      </x:c>
      <x:c r="S777" s="2" t="n">
        <x:f>IF(OR(B777="",F777=""),0,COUNTIFS('Istoric_Nativ'!$B$6:$B$405,E777,'Istoric_Nativ'!$C$6:$C$405,F777,'Istoric_Nativ'!$E$6:$E$405,G777,'Istoric_Nativ'!$D$6:$D$405,"&lt;"&amp;J777,'Istoric_Nativ'!$O$6:$O$405,"INVALID")+COUNTIFS('Istoric_Nativ'!$B$6:$B$405,E777,'Istoric_Nativ'!$C$6:$C$405,F777,'Istoric_Nativ'!$E$6:$E$405,G777,'Istoric_Nativ'!$O$6:$O$405,"INVALID",'Istoric_Nativ'!$D$6:$D$405,"*")+COUNTIFS('Istoric_Nativ'!$B$6:$B$405,E777,'Istoric_Nativ'!$C$6:$C$405,F777,'Istoric_Nativ'!$E$6:$E$405,G777,'Istoric_Nativ'!$D$6:$D$405,"&lt;"&amp;J777,'Istoric_Nativ'!$O$6:$O$405,"SOURCE CONFLICT")+COUNTIFS('Istoric_Nativ'!$B$6:$B$405,E777,'Istoric_Nativ'!$C$6:$C$405,F777,'Istoric_Nativ'!$F$6:$F$405,G777,'Istoric_Nativ'!$D$6:$D$405,"&lt;"&amp;J777,'Istoric_Nativ'!$O$6:$O$405,"INVALID")+COUNTIFS('Istoric_Nativ'!$B$6:$B$405,E777,'Istoric_Nativ'!$C$6:$C$405,F777,'Istoric_Nativ'!$F$6:$F$405,G777,'Istoric_Nativ'!$O$6:$O$405,"INVALID",'Istoric_Nativ'!$D$6:$D$405,"*")+COUNTIFS('Istoric_Nativ'!$B$6:$B$405,E777,'Istoric_Nativ'!$C$6:$C$405,F777,'Istoric_Nativ'!$F$6:$F$405,G777,'Istoric_Nativ'!$D$6:$D$405,"&lt;"&amp;J777,'Istoric_Nativ'!$O$6:$O$405,"SOURCE CONFLICT"))</x:f>
        <x:v>0</x:v>
      </x:c>
      <x:c r="T777" s="2" t="str">
        <x:f>IF(B777="","",IF(R777&lt;&gt;"CLOSED",R777,IF(S777&gt;0,"NATIVE INPUT ISSUE",IF(M777=0,"NO HISTORY",IF(M777&lt;P777,"SMALL SAMPLE","DERIVED")))))</x:f>
      </x:c>
      <x:c r="U777" s="2" t="str">
        <x:f>IF(B777="","","NativeTable; "&amp;E777&amp;"; "&amp;F777&amp;"; "&amp;G777&amp;"; "&amp;H777&amp;"; before "&amp;TEXT(J777,"yyyy-mm-dd")&amp;IF(I777="RECENT","; from "&amp;TEXT(L777,"yyyy-mm-dd"),""))</x:f>
      </x:c>
    </x:row>
    <x:row r="778" ht="21" customHeight="1">
      <x:c r="A778" s="2" t="n">
        <x:v>65</x:v>
      </x:c>
      <x:c r="B778" s="2" t="str">
        <x:f>IF('Input_Meci'!A70="","",'Input_Meci'!A70)</x:f>
      </x:c>
      <x:c r="C778" s="2" t="str">
        <x:v>A</x:v>
      </x:c>
      <x:c r="D778" s="2" t="str">
        <x:v>CURRENT</x:v>
      </x:c>
      <x:c r="E778" s="2" t="str">
        <x:f>IF(B778="","",'Input_Meci'!B70)</x:f>
      </x:c>
      <x:c r="F778" s="2" t="str">
        <x:f>IF(B778="","",IF('Input_Meci'!C70="","",'Input_Meci'!C70))</x:f>
      </x:c>
      <x:c r="G778" s="2" t="str">
        <x:f>IF(B778="","",'Input_Meci'!E70)</x:f>
      </x:c>
      <x:c r="H778" s="2" t="str">
        <x:v>AWAY</x:v>
      </x:c>
      <x:c r="I778" s="2" t="str">
        <x:v>HA</x:v>
      </x:c>
      <x:c r="J778" s="9" t="n">
        <x:f>IF(AND(B778&lt;&gt;"",ISNUMBER('Input_Meci'!G70)),INT('Input_Meci'!G70),0)</x:f>
        <x:v>0</x:v>
      </x:c>
      <x:c r="K778" s="2" t="n">
        <x:f>IF(OR(B778="",F778=""),0,IF(H778="HOME",COUNTIFS('Istoric_Nativ'!$B$6:$B$405,E778,'Istoric_Nativ'!$C$6:$C$405,F778,'Istoric_Nativ'!$E$6:$E$405,G778,'Istoric_Nativ'!$D$6:$D$405,"&lt;"&amp;J778,'Istoric_Nativ'!$P$6:$P$405,1),IF(H778="AWAY",COUNTIFS('Istoric_Nativ'!$B$6:$B$405,E778,'Istoric_Nativ'!$C$6:$C$405,F778,'Istoric_Nativ'!$F$6:$F$405,G778,'Istoric_Nativ'!$D$6:$D$405,"&lt;"&amp;J778,'Istoric_Nativ'!$P$6:$P$405,1),COUNTIFS('Istoric_Nativ'!$B$6:$B$405,E778,'Istoric_Nativ'!$C$6:$C$405,F778,'Istoric_Nativ'!$E$6:$E$405,G778,'Istoric_Nativ'!$D$6:$D$405,"&lt;"&amp;J778,'Istoric_Nativ'!$P$6:$P$405,1)+COUNTIFS('Istoric_Nativ'!$B$6:$B$405,E778,'Istoric_Nativ'!$C$6:$C$405,F778,'Istoric_Nativ'!$F$6:$F$405,G778,'Istoric_Nativ'!$D$6:$D$405,"&lt;"&amp;J778,'Istoric_Nativ'!$P$6:$P$405,1))))</x:f>
        <x:v>0</x:v>
      </x:c>
      <x:c r="L778" s="17" t="n">
        <x:f>IF(AND(B778&lt;&gt;"",I778="RECENT",K778&gt;0),LARGE(_xlfn._xlws.FILTER('Istoric_Nativ'!$D$6:$D$405,('Istoric_Nativ'!$B$6:$B$405=E778)*('Istoric_Nativ'!$C$6:$C$405=F778)*('Istoric_Nativ'!$P$6:$P$405=1)*('Istoric_Nativ'!$D$6:$D$405&lt;J778)*((('Istoric_Nativ'!$E$6:$E$405=G778)+('Istoric_Nativ'!$F$6:$F$405=G778))&gt;0)),MIN('Config_v6'!$B$54,K778)),0)</x:f>
        <x:v>0</x:v>
      </x:c>
      <x:c r="M778" s="2" t="n">
        <x:f>IF(OR(B778="",F778=""),0,IF(H778="HOME",COUNTIFS('Istoric_Nativ'!$B$6:$B$405,E778,'Istoric_Nativ'!$C$6:$C$405,F778,'Istoric_Nativ'!$E$6:$E$405,G778,'Istoric_Nativ'!$D$6:$D$405,"&lt;"&amp;J778,'Istoric_Nativ'!$P$6:$P$405,1,'Istoric_Nativ'!$D$6:$D$405,"&gt;="&amp;L778),IF(H778="AWAY",COUNTIFS('Istoric_Nativ'!$B$6:$B$405,E778,'Istoric_Nativ'!$C$6:$C$405,F778,'Istoric_Nativ'!$F$6:$F$405,G778,'Istoric_Nativ'!$D$6:$D$405,"&lt;"&amp;J778,'Istoric_Nativ'!$P$6:$P$405,1,'Istoric_Nativ'!$D$6:$D$405,"&gt;="&amp;L778),COUNTIFS('Istoric_Nativ'!$B$6:$B$405,E778,'Istoric_Nativ'!$C$6:$C$405,F778,'Istoric_Nativ'!$E$6:$E$405,G778,'Istoric_Nativ'!$D$6:$D$405,"&lt;"&amp;J778,'Istoric_Nativ'!$P$6:$P$405,1,'Istoric_Nativ'!$D$6:$D$405,"&gt;="&amp;L778)+COUNTIFS('Istoric_Nativ'!$B$6:$B$405,E778,'Istoric_Nativ'!$C$6:$C$405,F778,'Istoric_Nativ'!$F$6:$F$405,G778,'Istoric_Nativ'!$D$6:$D$405,"&lt;"&amp;J778,'Istoric_Nativ'!$P$6:$P$405,1,'Istoric_Nativ'!$D$6:$D$405,"&gt;="&amp;L778))))</x:f>
        <x:v>0</x:v>
      </x:c>
      <x:c r="N778" s="11" t="str">
        <x:f>IF(M778=0,"",IF(H778="HOME",SUMIFS('Istoric_Nativ'!$G$6:$G$405,'Istoric_Nativ'!$B$6:$B$405,E778,'Istoric_Nativ'!$C$6:$C$405,F778,'Istoric_Nativ'!$E$6:$E$405,G778,'Istoric_Nativ'!$D$6:$D$405,"&lt;"&amp;J778,'Istoric_Nativ'!$P$6:$P$405,1,'Istoric_Nativ'!$D$6:$D$405,"&gt;="&amp;L778),IF(H778="AWAY",SUMIFS('Istoric_Nativ'!$H$6:$H$405,'Istoric_Nativ'!$B$6:$B$405,E778,'Istoric_Nativ'!$C$6:$C$405,F778,'Istoric_Nativ'!$F$6:$F$405,G778,'Istoric_Nativ'!$D$6:$D$405,"&lt;"&amp;J778,'Istoric_Nativ'!$P$6:$P$405,1,'Istoric_Nativ'!$D$6:$D$405,"&gt;="&amp;L778),SUMIFS('Istoric_Nativ'!$G$6:$G$405,'Istoric_Nativ'!$B$6:$B$405,E778,'Istoric_Nativ'!$C$6:$C$405,F778,'Istoric_Nativ'!$E$6:$E$405,G778,'Istoric_Nativ'!$D$6:$D$405,"&lt;"&amp;J778,'Istoric_Nativ'!$P$6:$P$405,1,'Istoric_Nativ'!$D$6:$D$405,"&gt;="&amp;L778)+SUMIFS('Istoric_Nativ'!$H$6:$H$405,'Istoric_Nativ'!$B$6:$B$405,E778,'Istoric_Nativ'!$C$6:$C$405,F778,'Istoric_Nativ'!$F$6:$F$405,G778,'Istoric_Nativ'!$D$6:$D$405,"&lt;"&amp;J778,'Istoric_Nativ'!$P$6:$P$405,1,'Istoric_Nativ'!$D$6:$D$405,"&gt;="&amp;L778)))/M778)</x:f>
      </x:c>
      <x:c r="O778" s="11" t="str">
        <x:f>IF(M778=0,"",IF(H778="HOME",SUMIFS('Istoric_Nativ'!$H$6:$H$405,'Istoric_Nativ'!$B$6:$B$405,E778,'Istoric_Nativ'!$C$6:$C$405,F778,'Istoric_Nativ'!$E$6:$E$405,G778,'Istoric_Nativ'!$D$6:$D$405,"&lt;"&amp;J778,'Istoric_Nativ'!$P$6:$P$405,1,'Istoric_Nativ'!$D$6:$D$405,"&gt;="&amp;L778),IF(H778="AWAY",SUMIFS('Istoric_Nativ'!$G$6:$G$405,'Istoric_Nativ'!$B$6:$B$405,E778,'Istoric_Nativ'!$C$6:$C$405,F778,'Istoric_Nativ'!$F$6:$F$405,G778,'Istoric_Nativ'!$D$6:$D$405,"&lt;"&amp;J778,'Istoric_Nativ'!$P$6:$P$405,1,'Istoric_Nativ'!$D$6:$D$405,"&gt;="&amp;L778),SUMIFS('Istoric_Nativ'!$H$6:$H$405,'Istoric_Nativ'!$B$6:$B$405,E778,'Istoric_Nativ'!$C$6:$C$405,F778,'Istoric_Nativ'!$E$6:$E$405,G778,'Istoric_Nativ'!$D$6:$D$405,"&lt;"&amp;J778,'Istoric_Nativ'!$P$6:$P$405,1,'Istoric_Nativ'!$D$6:$D$405,"&gt;="&amp;L778)+SUMIFS('Istoric_Nativ'!$G$6:$G$405,'Istoric_Nativ'!$B$6:$B$405,E778,'Istoric_Nativ'!$C$6:$C$405,F778,'Istoric_Nativ'!$F$6:$F$405,G778,'Istoric_Nativ'!$D$6:$D$405,"&lt;"&amp;J778,'Istoric_Nativ'!$P$6:$P$405,1,'Istoric_Nativ'!$D$6:$D$405,"&gt;="&amp;L778)))/M778)</x:f>
      </x:c>
      <x:c r="P778" s="2" t="n">
        <x:f>'Config_v6'!$B$8</x:f>
        <x:v>5</x:v>
      </x:c>
      <x:c r="Q778" s="2" t="n">
        <x:f>IF(OR(B778="",F778=""),0,IFERROR(MATCH(E778&amp;"|"&amp;F778,SourceTable[Source_Key],0),0))</x:f>
        <x:v>0</x:v>
      </x:c>
      <x:c r="R778" s="2" t="str">
        <x:f>IF(B778="","",IF(F778="","UNUSED",IF(Q778=0,"NOT CHECKED",IF(COUNTIF(SourceTable[Source_Key],E778&amp;"|"&amp;F778)&lt;&gt;1,"SOURCE CONFLICT",IF(NOT(OR(INDEX(SourceTable[Status],MAX(1,Q778))="IMPORTED",INDEX(SourceTable[Status],MAX(1,Q778))="PARTIAL",INDEX(SourceTable[Status],MAX(1,Q778))="SOURCE CONFLICT")),"ACCESS BLOCKED",IF(OR(INDEX(SourceTable[Coverage],Q778)&lt;&gt;"FULL SEASON EXPORT",INDEX(SourceTable[URL],Q778)="",INDEX(SourceTable[SHA256],Q778)=""),"EVIDENCE INCOMPLETE",IF(AND('Input_Meci'!H70="LIVE",INDEX(SourceTable[Retrieved_UTC],Q778)&gt;'Input_Meci'!G70),"POST CUTOFF","CLOSED")))))))</x:f>
      </x:c>
      <x:c r="S778" s="2" t="n">
        <x:f>IF(OR(B778="",F778=""),0,COUNTIFS('Istoric_Nativ'!$B$6:$B$405,E778,'Istoric_Nativ'!$C$6:$C$405,F778,'Istoric_Nativ'!$E$6:$E$405,G778,'Istoric_Nativ'!$D$6:$D$405,"&lt;"&amp;J778,'Istoric_Nativ'!$O$6:$O$405,"INVALID")+COUNTIFS('Istoric_Nativ'!$B$6:$B$405,E778,'Istoric_Nativ'!$C$6:$C$405,F778,'Istoric_Nativ'!$E$6:$E$405,G778,'Istoric_Nativ'!$O$6:$O$405,"INVALID",'Istoric_Nativ'!$D$6:$D$405,"*")+COUNTIFS('Istoric_Nativ'!$B$6:$B$405,E778,'Istoric_Nativ'!$C$6:$C$405,F778,'Istoric_Nativ'!$E$6:$E$405,G778,'Istoric_Nativ'!$D$6:$D$405,"&lt;"&amp;J778,'Istoric_Nativ'!$O$6:$O$405,"SOURCE CONFLICT")+COUNTIFS('Istoric_Nativ'!$B$6:$B$405,E778,'Istoric_Nativ'!$C$6:$C$405,F778,'Istoric_Nativ'!$F$6:$F$405,G778,'Istoric_Nativ'!$D$6:$D$405,"&lt;"&amp;J778,'Istoric_Nativ'!$O$6:$O$405,"INVALID")+COUNTIFS('Istoric_Nativ'!$B$6:$B$405,E778,'Istoric_Nativ'!$C$6:$C$405,F778,'Istoric_Nativ'!$F$6:$F$405,G778,'Istoric_Nativ'!$O$6:$O$405,"INVALID",'Istoric_Nativ'!$D$6:$D$405,"*")+COUNTIFS('Istoric_Nativ'!$B$6:$B$405,E778,'Istoric_Nativ'!$C$6:$C$405,F778,'Istoric_Nativ'!$F$6:$F$405,G778,'Istoric_Nativ'!$D$6:$D$405,"&lt;"&amp;J778,'Istoric_Nativ'!$O$6:$O$405,"SOURCE CONFLICT"))</x:f>
        <x:v>0</x:v>
      </x:c>
      <x:c r="T778" s="2" t="str">
        <x:f>IF(B778="","",IF(R778&lt;&gt;"CLOSED",R778,IF(S778&gt;0,"NATIVE INPUT ISSUE",IF(M778=0,"NO HISTORY",IF(M778&lt;P778,"SMALL SAMPLE","DERIVED")))))</x:f>
      </x:c>
      <x:c r="U778" s="2" t="str">
        <x:f>IF(B778="","","NativeTable; "&amp;E778&amp;"; "&amp;F778&amp;"; "&amp;G778&amp;"; "&amp;H778&amp;"; before "&amp;TEXT(J778,"yyyy-mm-dd")&amp;IF(I778="RECENT","; from "&amp;TEXT(L778,"yyyy-mm-dd"),""))</x:f>
      </x:c>
    </x:row>
    <x:row r="779" ht="21" customHeight="1">
      <x:c r="A779" s="2" t="n">
        <x:v>65</x:v>
      </x:c>
      <x:c r="B779" s="2" t="str">
        <x:f>IF('Input_Meci'!A70="","",'Input_Meci'!A70)</x:f>
      </x:c>
      <x:c r="C779" s="2" t="str">
        <x:v>A</x:v>
      </x:c>
      <x:c r="D779" s="2" t="str">
        <x:v>CURRENT</x:v>
      </x:c>
      <x:c r="E779" s="2" t="str">
        <x:f>IF(B779="","",'Input_Meci'!B70)</x:f>
      </x:c>
      <x:c r="F779" s="2" t="str">
        <x:f>IF(B779="","",IF('Input_Meci'!C70="","",'Input_Meci'!C70))</x:f>
      </x:c>
      <x:c r="G779" s="2" t="str">
        <x:f>IF(B779="","",'Input_Meci'!E70)</x:f>
      </x:c>
      <x:c r="H779" s="2" t="str">
        <x:v>ANY</x:v>
      </x:c>
      <x:c r="I779" s="2" t="str">
        <x:v>RECENT</x:v>
      </x:c>
      <x:c r="J779" s="9" t="n">
        <x:f>IF(AND(B779&lt;&gt;"",ISNUMBER('Input_Meci'!G70)),INT('Input_Meci'!G70),0)</x:f>
        <x:v>0</x:v>
      </x:c>
      <x:c r="K779" s="2" t="n">
        <x:f>IF(OR(B779="",F779=""),0,IF(H779="HOME",COUNTIFS('Istoric_Nativ'!$B$6:$B$405,E779,'Istoric_Nativ'!$C$6:$C$405,F779,'Istoric_Nativ'!$E$6:$E$405,G779,'Istoric_Nativ'!$D$6:$D$405,"&lt;"&amp;J779,'Istoric_Nativ'!$P$6:$P$405,1),IF(H779="AWAY",COUNTIFS('Istoric_Nativ'!$B$6:$B$405,E779,'Istoric_Nativ'!$C$6:$C$405,F779,'Istoric_Nativ'!$F$6:$F$405,G779,'Istoric_Nativ'!$D$6:$D$405,"&lt;"&amp;J779,'Istoric_Nativ'!$P$6:$P$405,1),COUNTIFS('Istoric_Nativ'!$B$6:$B$405,E779,'Istoric_Nativ'!$C$6:$C$405,F779,'Istoric_Nativ'!$E$6:$E$405,G779,'Istoric_Nativ'!$D$6:$D$405,"&lt;"&amp;J779,'Istoric_Nativ'!$P$6:$P$405,1)+COUNTIFS('Istoric_Nativ'!$B$6:$B$405,E779,'Istoric_Nativ'!$C$6:$C$405,F779,'Istoric_Nativ'!$F$6:$F$405,G779,'Istoric_Nativ'!$D$6:$D$405,"&lt;"&amp;J779,'Istoric_Nativ'!$P$6:$P$405,1))))</x:f>
        <x:v>0</x:v>
      </x:c>
      <x:c r="L779" s="17" t="n">
        <x:f>IF(AND(B779&lt;&gt;"",I779="RECENT",K779&gt;0),LARGE(_xlfn._xlws.FILTER('Istoric_Nativ'!$D$6:$D$405,('Istoric_Nativ'!$B$6:$B$405=E779)*('Istoric_Nativ'!$C$6:$C$405=F779)*('Istoric_Nativ'!$P$6:$P$405=1)*('Istoric_Nativ'!$D$6:$D$405&lt;J779)*((('Istoric_Nativ'!$E$6:$E$405=G779)+('Istoric_Nativ'!$F$6:$F$405=G779))&gt;0)),MIN('Config_v6'!$B$54,K779)),0)</x:f>
        <x:v>0</x:v>
      </x:c>
      <x:c r="M779" s="2" t="n">
        <x:f>IF(OR(B779="",F779=""),0,IF(H779="HOME",COUNTIFS('Istoric_Nativ'!$B$6:$B$405,E779,'Istoric_Nativ'!$C$6:$C$405,F779,'Istoric_Nativ'!$E$6:$E$405,G779,'Istoric_Nativ'!$D$6:$D$405,"&lt;"&amp;J779,'Istoric_Nativ'!$P$6:$P$405,1,'Istoric_Nativ'!$D$6:$D$405,"&gt;="&amp;L779),IF(H779="AWAY",COUNTIFS('Istoric_Nativ'!$B$6:$B$405,E779,'Istoric_Nativ'!$C$6:$C$405,F779,'Istoric_Nativ'!$F$6:$F$405,G779,'Istoric_Nativ'!$D$6:$D$405,"&lt;"&amp;J779,'Istoric_Nativ'!$P$6:$P$405,1,'Istoric_Nativ'!$D$6:$D$405,"&gt;="&amp;L779),COUNTIFS('Istoric_Nativ'!$B$6:$B$405,E779,'Istoric_Nativ'!$C$6:$C$405,F779,'Istoric_Nativ'!$E$6:$E$405,G779,'Istoric_Nativ'!$D$6:$D$405,"&lt;"&amp;J779,'Istoric_Nativ'!$P$6:$P$405,1,'Istoric_Nativ'!$D$6:$D$405,"&gt;="&amp;L779)+COUNTIFS('Istoric_Nativ'!$B$6:$B$405,E779,'Istoric_Nativ'!$C$6:$C$405,F779,'Istoric_Nativ'!$F$6:$F$405,G779,'Istoric_Nativ'!$D$6:$D$405,"&lt;"&amp;J779,'Istoric_Nativ'!$P$6:$P$405,1,'Istoric_Nativ'!$D$6:$D$405,"&gt;="&amp;L779))))</x:f>
        <x:v>0</x:v>
      </x:c>
      <x:c r="N779" s="11" t="str">
        <x:f>IF(M779=0,"",IF(H779="HOME",SUMIFS('Istoric_Nativ'!$G$6:$G$405,'Istoric_Nativ'!$B$6:$B$405,E779,'Istoric_Nativ'!$C$6:$C$405,F779,'Istoric_Nativ'!$E$6:$E$405,G779,'Istoric_Nativ'!$D$6:$D$405,"&lt;"&amp;J779,'Istoric_Nativ'!$P$6:$P$405,1,'Istoric_Nativ'!$D$6:$D$405,"&gt;="&amp;L779),IF(H779="AWAY",SUMIFS('Istoric_Nativ'!$H$6:$H$405,'Istoric_Nativ'!$B$6:$B$405,E779,'Istoric_Nativ'!$C$6:$C$405,F779,'Istoric_Nativ'!$F$6:$F$405,G779,'Istoric_Nativ'!$D$6:$D$405,"&lt;"&amp;J779,'Istoric_Nativ'!$P$6:$P$405,1,'Istoric_Nativ'!$D$6:$D$405,"&gt;="&amp;L779),SUMIFS('Istoric_Nativ'!$G$6:$G$405,'Istoric_Nativ'!$B$6:$B$405,E779,'Istoric_Nativ'!$C$6:$C$405,F779,'Istoric_Nativ'!$E$6:$E$405,G779,'Istoric_Nativ'!$D$6:$D$405,"&lt;"&amp;J779,'Istoric_Nativ'!$P$6:$P$405,1,'Istoric_Nativ'!$D$6:$D$405,"&gt;="&amp;L779)+SUMIFS('Istoric_Nativ'!$H$6:$H$405,'Istoric_Nativ'!$B$6:$B$405,E779,'Istoric_Nativ'!$C$6:$C$405,F779,'Istoric_Nativ'!$F$6:$F$405,G779,'Istoric_Nativ'!$D$6:$D$405,"&lt;"&amp;J779,'Istoric_Nativ'!$P$6:$P$405,1,'Istoric_Nativ'!$D$6:$D$405,"&gt;="&amp;L779)))/M779)</x:f>
      </x:c>
      <x:c r="O779" s="11" t="str">
        <x:f>IF(M779=0,"",IF(H779="HOME",SUMIFS('Istoric_Nativ'!$H$6:$H$405,'Istoric_Nativ'!$B$6:$B$405,E779,'Istoric_Nativ'!$C$6:$C$405,F779,'Istoric_Nativ'!$E$6:$E$405,G779,'Istoric_Nativ'!$D$6:$D$405,"&lt;"&amp;J779,'Istoric_Nativ'!$P$6:$P$405,1,'Istoric_Nativ'!$D$6:$D$405,"&gt;="&amp;L779),IF(H779="AWAY",SUMIFS('Istoric_Nativ'!$G$6:$G$405,'Istoric_Nativ'!$B$6:$B$405,E779,'Istoric_Nativ'!$C$6:$C$405,F779,'Istoric_Nativ'!$F$6:$F$405,G779,'Istoric_Nativ'!$D$6:$D$405,"&lt;"&amp;J779,'Istoric_Nativ'!$P$6:$P$405,1,'Istoric_Nativ'!$D$6:$D$405,"&gt;="&amp;L779),SUMIFS('Istoric_Nativ'!$H$6:$H$405,'Istoric_Nativ'!$B$6:$B$405,E779,'Istoric_Nativ'!$C$6:$C$405,F779,'Istoric_Nativ'!$E$6:$E$405,G779,'Istoric_Nativ'!$D$6:$D$405,"&lt;"&amp;J779,'Istoric_Nativ'!$P$6:$P$405,1,'Istoric_Nativ'!$D$6:$D$405,"&gt;="&amp;L779)+SUMIFS('Istoric_Nativ'!$G$6:$G$405,'Istoric_Nativ'!$B$6:$B$405,E779,'Istoric_Nativ'!$C$6:$C$405,F779,'Istoric_Nativ'!$F$6:$F$405,G779,'Istoric_Nativ'!$D$6:$D$405,"&lt;"&amp;J779,'Istoric_Nativ'!$P$6:$P$405,1,'Istoric_Nativ'!$D$6:$D$405,"&gt;="&amp;L779)))/M779)</x:f>
      </x:c>
      <x:c r="P779" s="2" t="n">
        <x:f>'Config_v6'!$B$9</x:f>
        <x:v>3</x:v>
      </x:c>
      <x:c r="Q779" s="2" t="n">
        <x:f>IF(OR(B779="",F779=""),0,IFERROR(MATCH(E779&amp;"|"&amp;F779,SourceTable[Source_Key],0),0))</x:f>
        <x:v>0</x:v>
      </x:c>
      <x:c r="R779" s="2" t="str">
        <x:f>IF(B779="","",IF(F779="","UNUSED",IF(Q779=0,"NOT CHECKED",IF(COUNTIF(SourceTable[Source_Key],E779&amp;"|"&amp;F779)&lt;&gt;1,"SOURCE CONFLICT",IF(NOT(OR(INDEX(SourceTable[Status],MAX(1,Q779))="IMPORTED",INDEX(SourceTable[Status],MAX(1,Q779))="PARTIAL",INDEX(SourceTable[Status],MAX(1,Q779))="SOURCE CONFLICT")),"ACCESS BLOCKED",IF(OR(INDEX(SourceTable[Coverage],Q779)&lt;&gt;"FULL SEASON EXPORT",INDEX(SourceTable[URL],Q779)="",INDEX(SourceTable[SHA256],Q779)=""),"EVIDENCE INCOMPLETE",IF(AND('Input_Meci'!H70="LIVE",INDEX(SourceTable[Retrieved_UTC],Q779)&gt;'Input_Meci'!G70),"POST CUTOFF","CLOSED")))))))</x:f>
      </x:c>
      <x:c r="S779" s="2" t="n">
        <x:f>IF(OR(B779="",F779=""),0,COUNTIFS('Istoric_Nativ'!$B$6:$B$405,E779,'Istoric_Nativ'!$C$6:$C$405,F779,'Istoric_Nativ'!$E$6:$E$405,G779,'Istoric_Nativ'!$D$6:$D$405,"&lt;"&amp;J779,'Istoric_Nativ'!$O$6:$O$405,"INVALID")+COUNTIFS('Istoric_Nativ'!$B$6:$B$405,E779,'Istoric_Nativ'!$C$6:$C$405,F779,'Istoric_Nativ'!$E$6:$E$405,G779,'Istoric_Nativ'!$O$6:$O$405,"INVALID",'Istoric_Nativ'!$D$6:$D$405,"*")+COUNTIFS('Istoric_Nativ'!$B$6:$B$405,E779,'Istoric_Nativ'!$C$6:$C$405,F779,'Istoric_Nativ'!$E$6:$E$405,G779,'Istoric_Nativ'!$D$6:$D$405,"&lt;"&amp;J779,'Istoric_Nativ'!$O$6:$O$405,"SOURCE CONFLICT")+COUNTIFS('Istoric_Nativ'!$B$6:$B$405,E779,'Istoric_Nativ'!$C$6:$C$405,F779,'Istoric_Nativ'!$F$6:$F$405,G779,'Istoric_Nativ'!$D$6:$D$405,"&lt;"&amp;J779,'Istoric_Nativ'!$O$6:$O$405,"INVALID")+COUNTIFS('Istoric_Nativ'!$B$6:$B$405,E779,'Istoric_Nativ'!$C$6:$C$405,F779,'Istoric_Nativ'!$F$6:$F$405,G779,'Istoric_Nativ'!$O$6:$O$405,"INVALID",'Istoric_Nativ'!$D$6:$D$405,"*")+COUNTIFS('Istoric_Nativ'!$B$6:$B$405,E779,'Istoric_Nativ'!$C$6:$C$405,F779,'Istoric_Nativ'!$F$6:$F$405,G779,'Istoric_Nativ'!$D$6:$D$405,"&lt;"&amp;J779,'Istoric_Nativ'!$O$6:$O$405,"SOURCE CONFLICT"))</x:f>
        <x:v>0</x:v>
      </x:c>
      <x:c r="T779" s="2" t="str">
        <x:f>IF(B779="","",IF(R779&lt;&gt;"CLOSED",R779,IF(S779&gt;0,"NATIVE INPUT ISSUE",IF(M779=0,"NO HISTORY",IF(M779&lt;P779,"SMALL SAMPLE","DERIVED")))))</x:f>
      </x:c>
      <x:c r="U779" s="2" t="str">
        <x:f>IF(B779="","","NativeTable; "&amp;E779&amp;"; "&amp;F779&amp;"; "&amp;G779&amp;"; "&amp;H779&amp;"; before "&amp;TEXT(J779,"yyyy-mm-dd")&amp;IF(I779="RECENT","; from "&amp;TEXT(L779,"yyyy-mm-dd"),""))</x:f>
      </x:c>
    </x:row>
    <x:row r="780" ht="21" customHeight="1">
      <x:c r="A780" s="2" t="n">
        <x:v>65</x:v>
      </x:c>
      <x:c r="B780" s="2" t="str">
        <x:f>IF('Input_Meci'!A70="","",'Input_Meci'!A70)</x:f>
      </x:c>
      <x:c r="C780" s="2" t="str">
        <x:v>H</x:v>
      </x:c>
      <x:c r="D780" s="2" t="str">
        <x:v>PRIOR</x:v>
      </x:c>
      <x:c r="E780" s="2" t="str">
        <x:f>IF(B780="","",'Input_Meci'!B70)</x:f>
      </x:c>
      <x:c r="F780" s="2" t="str">
        <x:f>IF(B780="","",IF('Input_Meci'!K70="","",'Input_Meci'!K70))</x:f>
      </x:c>
      <x:c r="G780" s="2" t="str">
        <x:f>IF(B780="","",'Input_Meci'!D70)</x:f>
      </x:c>
      <x:c r="H780" s="2" t="str">
        <x:v>ANY</x:v>
      </x:c>
      <x:c r="I780" s="2" t="str">
        <x:v>SEASON</x:v>
      </x:c>
      <x:c r="J780" s="9" t="n">
        <x:f>IF(AND(B780&lt;&gt;"",ISNUMBER('Input_Meci'!G70)),INT('Input_Meci'!G70),0)</x:f>
        <x:v>0</x:v>
      </x:c>
      <x:c r="K780" s="2" t="n">
        <x:f>IF(OR(B780="",F780=""),0,IF(H780="HOME",COUNTIFS('Istoric_Nativ'!$B$6:$B$405,E780,'Istoric_Nativ'!$C$6:$C$405,F780,'Istoric_Nativ'!$E$6:$E$405,G780,'Istoric_Nativ'!$D$6:$D$405,"&lt;"&amp;J780,'Istoric_Nativ'!$P$6:$P$405,1),IF(H780="AWAY",COUNTIFS('Istoric_Nativ'!$B$6:$B$405,E780,'Istoric_Nativ'!$C$6:$C$405,F780,'Istoric_Nativ'!$F$6:$F$405,G780,'Istoric_Nativ'!$D$6:$D$405,"&lt;"&amp;J780,'Istoric_Nativ'!$P$6:$P$405,1),COUNTIFS('Istoric_Nativ'!$B$6:$B$405,E780,'Istoric_Nativ'!$C$6:$C$405,F780,'Istoric_Nativ'!$E$6:$E$405,G780,'Istoric_Nativ'!$D$6:$D$405,"&lt;"&amp;J780,'Istoric_Nativ'!$P$6:$P$405,1)+COUNTIFS('Istoric_Nativ'!$B$6:$B$405,E780,'Istoric_Nativ'!$C$6:$C$405,F780,'Istoric_Nativ'!$F$6:$F$405,G780,'Istoric_Nativ'!$D$6:$D$405,"&lt;"&amp;J780,'Istoric_Nativ'!$P$6:$P$405,1))))</x:f>
        <x:v>0</x:v>
      </x:c>
      <x:c r="L780" s="17" t="n">
        <x:f>IF(AND(B780&lt;&gt;"",I780="RECENT",K780&gt;0),LARGE(_xlfn._xlws.FILTER('Istoric_Nativ'!$D$6:$D$405,('Istoric_Nativ'!$B$6:$B$405=E780)*('Istoric_Nativ'!$C$6:$C$405=F780)*('Istoric_Nativ'!$P$6:$P$405=1)*('Istoric_Nativ'!$D$6:$D$405&lt;J780)*((('Istoric_Nativ'!$E$6:$E$405=G780)+('Istoric_Nativ'!$F$6:$F$405=G780))&gt;0)),MIN('Config_v6'!$B$54,K780)),0)</x:f>
        <x:v>0</x:v>
      </x:c>
      <x:c r="M780" s="2" t="n">
        <x:f>IF(OR(B780="",F780=""),0,IF(H780="HOME",COUNTIFS('Istoric_Nativ'!$B$6:$B$405,E780,'Istoric_Nativ'!$C$6:$C$405,F780,'Istoric_Nativ'!$E$6:$E$405,G780,'Istoric_Nativ'!$D$6:$D$405,"&lt;"&amp;J780,'Istoric_Nativ'!$P$6:$P$405,1,'Istoric_Nativ'!$D$6:$D$405,"&gt;="&amp;L780),IF(H780="AWAY",COUNTIFS('Istoric_Nativ'!$B$6:$B$405,E780,'Istoric_Nativ'!$C$6:$C$405,F780,'Istoric_Nativ'!$F$6:$F$405,G780,'Istoric_Nativ'!$D$6:$D$405,"&lt;"&amp;J780,'Istoric_Nativ'!$P$6:$P$405,1,'Istoric_Nativ'!$D$6:$D$405,"&gt;="&amp;L780),COUNTIFS('Istoric_Nativ'!$B$6:$B$405,E780,'Istoric_Nativ'!$C$6:$C$405,F780,'Istoric_Nativ'!$E$6:$E$405,G780,'Istoric_Nativ'!$D$6:$D$405,"&lt;"&amp;J780,'Istoric_Nativ'!$P$6:$P$405,1,'Istoric_Nativ'!$D$6:$D$405,"&gt;="&amp;L780)+COUNTIFS('Istoric_Nativ'!$B$6:$B$405,E780,'Istoric_Nativ'!$C$6:$C$405,F780,'Istoric_Nativ'!$F$6:$F$405,G780,'Istoric_Nativ'!$D$6:$D$405,"&lt;"&amp;J780,'Istoric_Nativ'!$P$6:$P$405,1,'Istoric_Nativ'!$D$6:$D$405,"&gt;="&amp;L780))))</x:f>
        <x:v>0</x:v>
      </x:c>
      <x:c r="N780" s="11" t="str">
        <x:f>IF(M780=0,"",IF(H780="HOME",SUMIFS('Istoric_Nativ'!$G$6:$G$405,'Istoric_Nativ'!$B$6:$B$405,E780,'Istoric_Nativ'!$C$6:$C$405,F780,'Istoric_Nativ'!$E$6:$E$405,G780,'Istoric_Nativ'!$D$6:$D$405,"&lt;"&amp;J780,'Istoric_Nativ'!$P$6:$P$405,1,'Istoric_Nativ'!$D$6:$D$405,"&gt;="&amp;L780),IF(H780="AWAY",SUMIFS('Istoric_Nativ'!$H$6:$H$405,'Istoric_Nativ'!$B$6:$B$405,E780,'Istoric_Nativ'!$C$6:$C$405,F780,'Istoric_Nativ'!$F$6:$F$405,G780,'Istoric_Nativ'!$D$6:$D$405,"&lt;"&amp;J780,'Istoric_Nativ'!$P$6:$P$405,1,'Istoric_Nativ'!$D$6:$D$405,"&gt;="&amp;L780),SUMIFS('Istoric_Nativ'!$G$6:$G$405,'Istoric_Nativ'!$B$6:$B$405,E780,'Istoric_Nativ'!$C$6:$C$405,F780,'Istoric_Nativ'!$E$6:$E$405,G780,'Istoric_Nativ'!$D$6:$D$405,"&lt;"&amp;J780,'Istoric_Nativ'!$P$6:$P$405,1,'Istoric_Nativ'!$D$6:$D$405,"&gt;="&amp;L780)+SUMIFS('Istoric_Nativ'!$H$6:$H$405,'Istoric_Nativ'!$B$6:$B$405,E780,'Istoric_Nativ'!$C$6:$C$405,F780,'Istoric_Nativ'!$F$6:$F$405,G780,'Istoric_Nativ'!$D$6:$D$405,"&lt;"&amp;J780,'Istoric_Nativ'!$P$6:$P$405,1,'Istoric_Nativ'!$D$6:$D$405,"&gt;="&amp;L780)))/M780)</x:f>
      </x:c>
      <x:c r="O780" s="11" t="str">
        <x:f>IF(M780=0,"",IF(H780="HOME",SUMIFS('Istoric_Nativ'!$H$6:$H$405,'Istoric_Nativ'!$B$6:$B$405,E780,'Istoric_Nativ'!$C$6:$C$405,F780,'Istoric_Nativ'!$E$6:$E$405,G780,'Istoric_Nativ'!$D$6:$D$405,"&lt;"&amp;J780,'Istoric_Nativ'!$P$6:$P$405,1,'Istoric_Nativ'!$D$6:$D$405,"&gt;="&amp;L780),IF(H780="AWAY",SUMIFS('Istoric_Nativ'!$G$6:$G$405,'Istoric_Nativ'!$B$6:$B$405,E780,'Istoric_Nativ'!$C$6:$C$405,F780,'Istoric_Nativ'!$F$6:$F$405,G780,'Istoric_Nativ'!$D$6:$D$405,"&lt;"&amp;J780,'Istoric_Nativ'!$P$6:$P$405,1,'Istoric_Nativ'!$D$6:$D$405,"&gt;="&amp;L780),SUMIFS('Istoric_Nativ'!$H$6:$H$405,'Istoric_Nativ'!$B$6:$B$405,E780,'Istoric_Nativ'!$C$6:$C$405,F780,'Istoric_Nativ'!$E$6:$E$405,G780,'Istoric_Nativ'!$D$6:$D$405,"&lt;"&amp;J780,'Istoric_Nativ'!$P$6:$P$405,1,'Istoric_Nativ'!$D$6:$D$405,"&gt;="&amp;L780)+SUMIFS('Istoric_Nativ'!$G$6:$G$405,'Istoric_Nativ'!$B$6:$B$405,E780,'Istoric_Nativ'!$C$6:$C$405,F780,'Istoric_Nativ'!$F$6:$F$405,G780,'Istoric_Nativ'!$D$6:$D$405,"&lt;"&amp;J780,'Istoric_Nativ'!$P$6:$P$405,1,'Istoric_Nativ'!$D$6:$D$405,"&gt;="&amp;L780)))/M780)</x:f>
      </x:c>
      <x:c r="P780" s="2" t="n">
        <x:f>'Config_v6'!$B$7</x:f>
        <x:v>10</x:v>
      </x:c>
      <x:c r="Q780" s="2" t="n">
        <x:f>IF(OR(B780="",F780=""),0,IFERROR(MATCH(E780&amp;"|"&amp;F780,SourceTable[Source_Key],0),0))</x:f>
        <x:v>0</x:v>
      </x:c>
      <x:c r="R780" s="2" t="str">
        <x:f>IF(B780="","",IF(F780="","UNUSED",IF(Q780=0,"NOT CHECKED",IF(COUNTIF(SourceTable[Source_Key],E780&amp;"|"&amp;F780)&lt;&gt;1,"SOURCE CONFLICT",IF(NOT(OR(INDEX(SourceTable[Status],MAX(1,Q780))="IMPORTED",INDEX(SourceTable[Status],MAX(1,Q780))="PARTIAL",INDEX(SourceTable[Status],MAX(1,Q780))="SOURCE CONFLICT")),"ACCESS BLOCKED",IF(OR(INDEX(SourceTable[Coverage],Q780)&lt;&gt;"FULL SEASON EXPORT",INDEX(SourceTable[URL],Q780)="",INDEX(SourceTable[SHA256],Q780)=""),"EVIDENCE INCOMPLETE",IF(AND('Input_Meci'!H70="LIVE",INDEX(SourceTable[Retrieved_UTC],Q780)&gt;'Input_Meci'!G70),"POST CUTOFF","CLOSED")))))))</x:f>
      </x:c>
      <x:c r="S780" s="2" t="n">
        <x:f>IF(OR(B780="",F780=""),0,COUNTIFS('Istoric_Nativ'!$B$6:$B$405,E780,'Istoric_Nativ'!$C$6:$C$405,F780,'Istoric_Nativ'!$E$6:$E$405,G780,'Istoric_Nativ'!$D$6:$D$405,"&lt;"&amp;J780,'Istoric_Nativ'!$O$6:$O$405,"INVALID")+COUNTIFS('Istoric_Nativ'!$B$6:$B$405,E780,'Istoric_Nativ'!$C$6:$C$405,F780,'Istoric_Nativ'!$E$6:$E$405,G780,'Istoric_Nativ'!$O$6:$O$405,"INVALID",'Istoric_Nativ'!$D$6:$D$405,"*")+COUNTIFS('Istoric_Nativ'!$B$6:$B$405,E780,'Istoric_Nativ'!$C$6:$C$405,F780,'Istoric_Nativ'!$E$6:$E$405,G780,'Istoric_Nativ'!$D$6:$D$405,"&lt;"&amp;J780,'Istoric_Nativ'!$O$6:$O$405,"SOURCE CONFLICT")+COUNTIFS('Istoric_Nativ'!$B$6:$B$405,E780,'Istoric_Nativ'!$C$6:$C$405,F780,'Istoric_Nativ'!$F$6:$F$405,G780,'Istoric_Nativ'!$D$6:$D$405,"&lt;"&amp;J780,'Istoric_Nativ'!$O$6:$O$405,"INVALID")+COUNTIFS('Istoric_Nativ'!$B$6:$B$405,E780,'Istoric_Nativ'!$C$6:$C$405,F780,'Istoric_Nativ'!$F$6:$F$405,G780,'Istoric_Nativ'!$O$6:$O$405,"INVALID",'Istoric_Nativ'!$D$6:$D$405,"*")+COUNTIFS('Istoric_Nativ'!$B$6:$B$405,E780,'Istoric_Nativ'!$C$6:$C$405,F780,'Istoric_Nativ'!$F$6:$F$405,G780,'Istoric_Nativ'!$D$6:$D$405,"&lt;"&amp;J780,'Istoric_Nativ'!$O$6:$O$405,"SOURCE CONFLICT"))</x:f>
        <x:v>0</x:v>
      </x:c>
      <x:c r="T780" s="2" t="str">
        <x:f>IF(B780="","",IF(R780&lt;&gt;"CLOSED",R780,IF(S780&gt;0,"NATIVE INPUT ISSUE",IF(M780=0,"NO HISTORY",IF(M780&lt;P780,"SMALL SAMPLE","DERIVED")))))</x:f>
      </x:c>
      <x:c r="U780" s="2" t="str">
        <x:f>IF(B780="","","NativeTable; "&amp;E780&amp;"; "&amp;F780&amp;"; "&amp;G780&amp;"; "&amp;H780&amp;"; before "&amp;TEXT(J780,"yyyy-mm-dd")&amp;IF(I780="RECENT","; from "&amp;TEXT(L780,"yyyy-mm-dd"),""))</x:f>
      </x:c>
    </x:row>
    <x:row r="781" ht="21" customHeight="1">
      <x:c r="A781" s="2" t="n">
        <x:v>65</x:v>
      </x:c>
      <x:c r="B781" s="2" t="str">
        <x:f>IF('Input_Meci'!A70="","",'Input_Meci'!A70)</x:f>
      </x:c>
      <x:c r="C781" s="2" t="str">
        <x:v>H</x:v>
      </x:c>
      <x:c r="D781" s="2" t="str">
        <x:v>PRIOR</x:v>
      </x:c>
      <x:c r="E781" s="2" t="str">
        <x:f>IF(B781="","",'Input_Meci'!B70)</x:f>
      </x:c>
      <x:c r="F781" s="2" t="str">
        <x:f>IF(B781="","",IF('Input_Meci'!K70="","",'Input_Meci'!K70))</x:f>
      </x:c>
      <x:c r="G781" s="2" t="str">
        <x:f>IF(B781="","",'Input_Meci'!D70)</x:f>
      </x:c>
      <x:c r="H781" s="2" t="str">
        <x:v>HOME</x:v>
      </x:c>
      <x:c r="I781" s="2" t="str">
        <x:v>HA</x:v>
      </x:c>
      <x:c r="J781" s="9" t="n">
        <x:f>IF(AND(B781&lt;&gt;"",ISNUMBER('Input_Meci'!G70)),INT('Input_Meci'!G70),0)</x:f>
        <x:v>0</x:v>
      </x:c>
      <x:c r="K781" s="2" t="n">
        <x:f>IF(OR(B781="",F781=""),0,IF(H781="HOME",COUNTIFS('Istoric_Nativ'!$B$6:$B$405,E781,'Istoric_Nativ'!$C$6:$C$405,F781,'Istoric_Nativ'!$E$6:$E$405,G781,'Istoric_Nativ'!$D$6:$D$405,"&lt;"&amp;J781,'Istoric_Nativ'!$P$6:$P$405,1),IF(H781="AWAY",COUNTIFS('Istoric_Nativ'!$B$6:$B$405,E781,'Istoric_Nativ'!$C$6:$C$405,F781,'Istoric_Nativ'!$F$6:$F$405,G781,'Istoric_Nativ'!$D$6:$D$405,"&lt;"&amp;J781,'Istoric_Nativ'!$P$6:$P$405,1),COUNTIFS('Istoric_Nativ'!$B$6:$B$405,E781,'Istoric_Nativ'!$C$6:$C$405,F781,'Istoric_Nativ'!$E$6:$E$405,G781,'Istoric_Nativ'!$D$6:$D$405,"&lt;"&amp;J781,'Istoric_Nativ'!$P$6:$P$405,1)+COUNTIFS('Istoric_Nativ'!$B$6:$B$405,E781,'Istoric_Nativ'!$C$6:$C$405,F781,'Istoric_Nativ'!$F$6:$F$405,G781,'Istoric_Nativ'!$D$6:$D$405,"&lt;"&amp;J781,'Istoric_Nativ'!$P$6:$P$405,1))))</x:f>
        <x:v>0</x:v>
      </x:c>
      <x:c r="L781" s="17" t="n">
        <x:f>IF(AND(B781&lt;&gt;"",I781="RECENT",K781&gt;0),LARGE(_xlfn._xlws.FILTER('Istoric_Nativ'!$D$6:$D$405,('Istoric_Nativ'!$B$6:$B$405=E781)*('Istoric_Nativ'!$C$6:$C$405=F781)*('Istoric_Nativ'!$P$6:$P$405=1)*('Istoric_Nativ'!$D$6:$D$405&lt;J781)*((('Istoric_Nativ'!$E$6:$E$405=G781)+('Istoric_Nativ'!$F$6:$F$405=G781))&gt;0)),MIN('Config_v6'!$B$54,K781)),0)</x:f>
        <x:v>0</x:v>
      </x:c>
      <x:c r="M781" s="2" t="n">
        <x:f>IF(OR(B781="",F781=""),0,IF(H781="HOME",COUNTIFS('Istoric_Nativ'!$B$6:$B$405,E781,'Istoric_Nativ'!$C$6:$C$405,F781,'Istoric_Nativ'!$E$6:$E$405,G781,'Istoric_Nativ'!$D$6:$D$405,"&lt;"&amp;J781,'Istoric_Nativ'!$P$6:$P$405,1,'Istoric_Nativ'!$D$6:$D$405,"&gt;="&amp;L781),IF(H781="AWAY",COUNTIFS('Istoric_Nativ'!$B$6:$B$405,E781,'Istoric_Nativ'!$C$6:$C$405,F781,'Istoric_Nativ'!$F$6:$F$405,G781,'Istoric_Nativ'!$D$6:$D$405,"&lt;"&amp;J781,'Istoric_Nativ'!$P$6:$P$405,1,'Istoric_Nativ'!$D$6:$D$405,"&gt;="&amp;L781),COUNTIFS('Istoric_Nativ'!$B$6:$B$405,E781,'Istoric_Nativ'!$C$6:$C$405,F781,'Istoric_Nativ'!$E$6:$E$405,G781,'Istoric_Nativ'!$D$6:$D$405,"&lt;"&amp;J781,'Istoric_Nativ'!$P$6:$P$405,1,'Istoric_Nativ'!$D$6:$D$405,"&gt;="&amp;L781)+COUNTIFS('Istoric_Nativ'!$B$6:$B$405,E781,'Istoric_Nativ'!$C$6:$C$405,F781,'Istoric_Nativ'!$F$6:$F$405,G781,'Istoric_Nativ'!$D$6:$D$405,"&lt;"&amp;J781,'Istoric_Nativ'!$P$6:$P$405,1,'Istoric_Nativ'!$D$6:$D$405,"&gt;="&amp;L781))))</x:f>
        <x:v>0</x:v>
      </x:c>
      <x:c r="N781" s="11" t="str">
        <x:f>IF(M781=0,"",IF(H781="HOME",SUMIFS('Istoric_Nativ'!$G$6:$G$405,'Istoric_Nativ'!$B$6:$B$405,E781,'Istoric_Nativ'!$C$6:$C$405,F781,'Istoric_Nativ'!$E$6:$E$405,G781,'Istoric_Nativ'!$D$6:$D$405,"&lt;"&amp;J781,'Istoric_Nativ'!$P$6:$P$405,1,'Istoric_Nativ'!$D$6:$D$405,"&gt;="&amp;L781),IF(H781="AWAY",SUMIFS('Istoric_Nativ'!$H$6:$H$405,'Istoric_Nativ'!$B$6:$B$405,E781,'Istoric_Nativ'!$C$6:$C$405,F781,'Istoric_Nativ'!$F$6:$F$405,G781,'Istoric_Nativ'!$D$6:$D$405,"&lt;"&amp;J781,'Istoric_Nativ'!$P$6:$P$405,1,'Istoric_Nativ'!$D$6:$D$405,"&gt;="&amp;L781),SUMIFS('Istoric_Nativ'!$G$6:$G$405,'Istoric_Nativ'!$B$6:$B$405,E781,'Istoric_Nativ'!$C$6:$C$405,F781,'Istoric_Nativ'!$E$6:$E$405,G781,'Istoric_Nativ'!$D$6:$D$405,"&lt;"&amp;J781,'Istoric_Nativ'!$P$6:$P$405,1,'Istoric_Nativ'!$D$6:$D$405,"&gt;="&amp;L781)+SUMIFS('Istoric_Nativ'!$H$6:$H$405,'Istoric_Nativ'!$B$6:$B$405,E781,'Istoric_Nativ'!$C$6:$C$405,F781,'Istoric_Nativ'!$F$6:$F$405,G781,'Istoric_Nativ'!$D$6:$D$405,"&lt;"&amp;J781,'Istoric_Nativ'!$P$6:$P$405,1,'Istoric_Nativ'!$D$6:$D$405,"&gt;="&amp;L781)))/M781)</x:f>
      </x:c>
      <x:c r="O781" s="11" t="str">
        <x:f>IF(M781=0,"",IF(H781="HOME",SUMIFS('Istoric_Nativ'!$H$6:$H$405,'Istoric_Nativ'!$B$6:$B$405,E781,'Istoric_Nativ'!$C$6:$C$405,F781,'Istoric_Nativ'!$E$6:$E$405,G781,'Istoric_Nativ'!$D$6:$D$405,"&lt;"&amp;J781,'Istoric_Nativ'!$P$6:$P$405,1,'Istoric_Nativ'!$D$6:$D$405,"&gt;="&amp;L781),IF(H781="AWAY",SUMIFS('Istoric_Nativ'!$G$6:$G$405,'Istoric_Nativ'!$B$6:$B$405,E781,'Istoric_Nativ'!$C$6:$C$405,F781,'Istoric_Nativ'!$F$6:$F$405,G781,'Istoric_Nativ'!$D$6:$D$405,"&lt;"&amp;J781,'Istoric_Nativ'!$P$6:$P$405,1,'Istoric_Nativ'!$D$6:$D$405,"&gt;="&amp;L781),SUMIFS('Istoric_Nativ'!$H$6:$H$405,'Istoric_Nativ'!$B$6:$B$405,E781,'Istoric_Nativ'!$C$6:$C$405,F781,'Istoric_Nativ'!$E$6:$E$405,G781,'Istoric_Nativ'!$D$6:$D$405,"&lt;"&amp;J781,'Istoric_Nativ'!$P$6:$P$405,1,'Istoric_Nativ'!$D$6:$D$405,"&gt;="&amp;L781)+SUMIFS('Istoric_Nativ'!$G$6:$G$405,'Istoric_Nativ'!$B$6:$B$405,E781,'Istoric_Nativ'!$C$6:$C$405,F781,'Istoric_Nativ'!$F$6:$F$405,G781,'Istoric_Nativ'!$D$6:$D$405,"&lt;"&amp;J781,'Istoric_Nativ'!$P$6:$P$405,1,'Istoric_Nativ'!$D$6:$D$405,"&gt;="&amp;L781)))/M781)</x:f>
      </x:c>
      <x:c r="P781" s="2" t="n">
        <x:f>'Config_v6'!$B$8</x:f>
        <x:v>5</x:v>
      </x:c>
      <x:c r="Q781" s="2" t="n">
        <x:f>IF(OR(B781="",F781=""),0,IFERROR(MATCH(E781&amp;"|"&amp;F781,SourceTable[Source_Key],0),0))</x:f>
        <x:v>0</x:v>
      </x:c>
      <x:c r="R781" s="2" t="str">
        <x:f>IF(B781="","",IF(F781="","UNUSED",IF(Q781=0,"NOT CHECKED",IF(COUNTIF(SourceTable[Source_Key],E781&amp;"|"&amp;F781)&lt;&gt;1,"SOURCE CONFLICT",IF(NOT(OR(INDEX(SourceTable[Status],MAX(1,Q781))="IMPORTED",INDEX(SourceTable[Status],MAX(1,Q781))="PARTIAL",INDEX(SourceTable[Status],MAX(1,Q781))="SOURCE CONFLICT")),"ACCESS BLOCKED",IF(OR(INDEX(SourceTable[Coverage],Q781)&lt;&gt;"FULL SEASON EXPORT",INDEX(SourceTable[URL],Q781)="",INDEX(SourceTable[SHA256],Q781)=""),"EVIDENCE INCOMPLETE",IF(AND('Input_Meci'!H70="LIVE",INDEX(SourceTable[Retrieved_UTC],Q781)&gt;'Input_Meci'!G70),"POST CUTOFF","CLOSED")))))))</x:f>
      </x:c>
      <x:c r="S781" s="2" t="n">
        <x:f>IF(OR(B781="",F781=""),0,COUNTIFS('Istoric_Nativ'!$B$6:$B$405,E781,'Istoric_Nativ'!$C$6:$C$405,F781,'Istoric_Nativ'!$E$6:$E$405,G781,'Istoric_Nativ'!$D$6:$D$405,"&lt;"&amp;J781,'Istoric_Nativ'!$O$6:$O$405,"INVALID")+COUNTIFS('Istoric_Nativ'!$B$6:$B$405,E781,'Istoric_Nativ'!$C$6:$C$405,F781,'Istoric_Nativ'!$E$6:$E$405,G781,'Istoric_Nativ'!$O$6:$O$405,"INVALID",'Istoric_Nativ'!$D$6:$D$405,"*")+COUNTIFS('Istoric_Nativ'!$B$6:$B$405,E781,'Istoric_Nativ'!$C$6:$C$405,F781,'Istoric_Nativ'!$E$6:$E$405,G781,'Istoric_Nativ'!$D$6:$D$405,"&lt;"&amp;J781,'Istoric_Nativ'!$O$6:$O$405,"SOURCE CONFLICT")+COUNTIFS('Istoric_Nativ'!$B$6:$B$405,E781,'Istoric_Nativ'!$C$6:$C$405,F781,'Istoric_Nativ'!$F$6:$F$405,G781,'Istoric_Nativ'!$D$6:$D$405,"&lt;"&amp;J781,'Istoric_Nativ'!$O$6:$O$405,"INVALID")+COUNTIFS('Istoric_Nativ'!$B$6:$B$405,E781,'Istoric_Nativ'!$C$6:$C$405,F781,'Istoric_Nativ'!$F$6:$F$405,G781,'Istoric_Nativ'!$O$6:$O$405,"INVALID",'Istoric_Nativ'!$D$6:$D$405,"*")+COUNTIFS('Istoric_Nativ'!$B$6:$B$405,E781,'Istoric_Nativ'!$C$6:$C$405,F781,'Istoric_Nativ'!$F$6:$F$405,G781,'Istoric_Nativ'!$D$6:$D$405,"&lt;"&amp;J781,'Istoric_Nativ'!$O$6:$O$405,"SOURCE CONFLICT"))</x:f>
        <x:v>0</x:v>
      </x:c>
      <x:c r="T781" s="2" t="str">
        <x:f>IF(B781="","",IF(R781&lt;&gt;"CLOSED",R781,IF(S781&gt;0,"NATIVE INPUT ISSUE",IF(M781=0,"NO HISTORY",IF(M781&lt;P781,"SMALL SAMPLE","DERIVED")))))</x:f>
      </x:c>
      <x:c r="U781" s="2" t="str">
        <x:f>IF(B781="","","NativeTable; "&amp;E781&amp;"; "&amp;F781&amp;"; "&amp;G781&amp;"; "&amp;H781&amp;"; before "&amp;TEXT(J781,"yyyy-mm-dd")&amp;IF(I781="RECENT","; from "&amp;TEXT(L781,"yyyy-mm-dd"),""))</x:f>
      </x:c>
    </x:row>
    <x:row r="782" ht="21" customHeight="1">
      <x:c r="A782" s="2" t="n">
        <x:v>65</x:v>
      </x:c>
      <x:c r="B782" s="2" t="str">
        <x:f>IF('Input_Meci'!A70="","",'Input_Meci'!A70)</x:f>
      </x:c>
      <x:c r="C782" s="2" t="str">
        <x:v>H</x:v>
      </x:c>
      <x:c r="D782" s="2" t="str">
        <x:v>PRIOR</x:v>
      </x:c>
      <x:c r="E782" s="2" t="str">
        <x:f>IF(B782="","",'Input_Meci'!B70)</x:f>
      </x:c>
      <x:c r="F782" s="2" t="str">
        <x:f>IF(B782="","",IF('Input_Meci'!K70="","",'Input_Meci'!K70))</x:f>
      </x:c>
      <x:c r="G782" s="2" t="str">
        <x:f>IF(B782="","",'Input_Meci'!D70)</x:f>
      </x:c>
      <x:c r="H782" s="2" t="str">
        <x:v>ANY</x:v>
      </x:c>
      <x:c r="I782" s="2" t="str">
        <x:v>RECENT</x:v>
      </x:c>
      <x:c r="J782" s="9" t="n">
        <x:f>IF(AND(B782&lt;&gt;"",ISNUMBER('Input_Meci'!G70)),INT('Input_Meci'!G70),0)</x:f>
        <x:v>0</x:v>
      </x:c>
      <x:c r="K782" s="2" t="n">
        <x:f>IF(OR(B782="",F782=""),0,IF(H782="HOME",COUNTIFS('Istoric_Nativ'!$B$6:$B$405,E782,'Istoric_Nativ'!$C$6:$C$405,F782,'Istoric_Nativ'!$E$6:$E$405,G782,'Istoric_Nativ'!$D$6:$D$405,"&lt;"&amp;J782,'Istoric_Nativ'!$P$6:$P$405,1),IF(H782="AWAY",COUNTIFS('Istoric_Nativ'!$B$6:$B$405,E782,'Istoric_Nativ'!$C$6:$C$405,F782,'Istoric_Nativ'!$F$6:$F$405,G782,'Istoric_Nativ'!$D$6:$D$405,"&lt;"&amp;J782,'Istoric_Nativ'!$P$6:$P$405,1),COUNTIFS('Istoric_Nativ'!$B$6:$B$405,E782,'Istoric_Nativ'!$C$6:$C$405,F782,'Istoric_Nativ'!$E$6:$E$405,G782,'Istoric_Nativ'!$D$6:$D$405,"&lt;"&amp;J782,'Istoric_Nativ'!$P$6:$P$405,1)+COUNTIFS('Istoric_Nativ'!$B$6:$B$405,E782,'Istoric_Nativ'!$C$6:$C$405,F782,'Istoric_Nativ'!$F$6:$F$405,G782,'Istoric_Nativ'!$D$6:$D$405,"&lt;"&amp;J782,'Istoric_Nativ'!$P$6:$P$405,1))))</x:f>
        <x:v>0</x:v>
      </x:c>
      <x:c r="L782" s="17" t="n">
        <x:f>IF(AND(B782&lt;&gt;"",I782="RECENT",K782&gt;0),LARGE(_xlfn._xlws.FILTER('Istoric_Nativ'!$D$6:$D$405,('Istoric_Nativ'!$B$6:$B$405=E782)*('Istoric_Nativ'!$C$6:$C$405=F782)*('Istoric_Nativ'!$P$6:$P$405=1)*('Istoric_Nativ'!$D$6:$D$405&lt;J782)*((('Istoric_Nativ'!$E$6:$E$405=G782)+('Istoric_Nativ'!$F$6:$F$405=G782))&gt;0)),MIN('Config_v6'!$B$54,K782)),0)</x:f>
        <x:v>0</x:v>
      </x:c>
      <x:c r="M782" s="2" t="n">
        <x:f>IF(OR(B782="",F782=""),0,IF(H782="HOME",COUNTIFS('Istoric_Nativ'!$B$6:$B$405,E782,'Istoric_Nativ'!$C$6:$C$405,F782,'Istoric_Nativ'!$E$6:$E$405,G782,'Istoric_Nativ'!$D$6:$D$405,"&lt;"&amp;J782,'Istoric_Nativ'!$P$6:$P$405,1,'Istoric_Nativ'!$D$6:$D$405,"&gt;="&amp;L782),IF(H782="AWAY",COUNTIFS('Istoric_Nativ'!$B$6:$B$405,E782,'Istoric_Nativ'!$C$6:$C$405,F782,'Istoric_Nativ'!$F$6:$F$405,G782,'Istoric_Nativ'!$D$6:$D$405,"&lt;"&amp;J782,'Istoric_Nativ'!$P$6:$P$405,1,'Istoric_Nativ'!$D$6:$D$405,"&gt;="&amp;L782),COUNTIFS('Istoric_Nativ'!$B$6:$B$405,E782,'Istoric_Nativ'!$C$6:$C$405,F782,'Istoric_Nativ'!$E$6:$E$405,G782,'Istoric_Nativ'!$D$6:$D$405,"&lt;"&amp;J782,'Istoric_Nativ'!$P$6:$P$405,1,'Istoric_Nativ'!$D$6:$D$405,"&gt;="&amp;L782)+COUNTIFS('Istoric_Nativ'!$B$6:$B$405,E782,'Istoric_Nativ'!$C$6:$C$405,F782,'Istoric_Nativ'!$F$6:$F$405,G782,'Istoric_Nativ'!$D$6:$D$405,"&lt;"&amp;J782,'Istoric_Nativ'!$P$6:$P$405,1,'Istoric_Nativ'!$D$6:$D$405,"&gt;="&amp;L782))))</x:f>
        <x:v>0</x:v>
      </x:c>
      <x:c r="N782" s="11" t="str">
        <x:f>IF(M782=0,"",IF(H782="HOME",SUMIFS('Istoric_Nativ'!$G$6:$G$405,'Istoric_Nativ'!$B$6:$B$405,E782,'Istoric_Nativ'!$C$6:$C$405,F782,'Istoric_Nativ'!$E$6:$E$405,G782,'Istoric_Nativ'!$D$6:$D$405,"&lt;"&amp;J782,'Istoric_Nativ'!$P$6:$P$405,1,'Istoric_Nativ'!$D$6:$D$405,"&gt;="&amp;L782),IF(H782="AWAY",SUMIFS('Istoric_Nativ'!$H$6:$H$405,'Istoric_Nativ'!$B$6:$B$405,E782,'Istoric_Nativ'!$C$6:$C$405,F782,'Istoric_Nativ'!$F$6:$F$405,G782,'Istoric_Nativ'!$D$6:$D$405,"&lt;"&amp;J782,'Istoric_Nativ'!$P$6:$P$405,1,'Istoric_Nativ'!$D$6:$D$405,"&gt;="&amp;L782),SUMIFS('Istoric_Nativ'!$G$6:$G$405,'Istoric_Nativ'!$B$6:$B$405,E782,'Istoric_Nativ'!$C$6:$C$405,F782,'Istoric_Nativ'!$E$6:$E$405,G782,'Istoric_Nativ'!$D$6:$D$405,"&lt;"&amp;J782,'Istoric_Nativ'!$P$6:$P$405,1,'Istoric_Nativ'!$D$6:$D$405,"&gt;="&amp;L782)+SUMIFS('Istoric_Nativ'!$H$6:$H$405,'Istoric_Nativ'!$B$6:$B$405,E782,'Istoric_Nativ'!$C$6:$C$405,F782,'Istoric_Nativ'!$F$6:$F$405,G782,'Istoric_Nativ'!$D$6:$D$405,"&lt;"&amp;J782,'Istoric_Nativ'!$P$6:$P$405,1,'Istoric_Nativ'!$D$6:$D$405,"&gt;="&amp;L782)))/M782)</x:f>
      </x:c>
      <x:c r="O782" s="11" t="str">
        <x:f>IF(M782=0,"",IF(H782="HOME",SUMIFS('Istoric_Nativ'!$H$6:$H$405,'Istoric_Nativ'!$B$6:$B$405,E782,'Istoric_Nativ'!$C$6:$C$405,F782,'Istoric_Nativ'!$E$6:$E$405,G782,'Istoric_Nativ'!$D$6:$D$405,"&lt;"&amp;J782,'Istoric_Nativ'!$P$6:$P$405,1,'Istoric_Nativ'!$D$6:$D$405,"&gt;="&amp;L782),IF(H782="AWAY",SUMIFS('Istoric_Nativ'!$G$6:$G$405,'Istoric_Nativ'!$B$6:$B$405,E782,'Istoric_Nativ'!$C$6:$C$405,F782,'Istoric_Nativ'!$F$6:$F$405,G782,'Istoric_Nativ'!$D$6:$D$405,"&lt;"&amp;J782,'Istoric_Nativ'!$P$6:$P$405,1,'Istoric_Nativ'!$D$6:$D$405,"&gt;="&amp;L782),SUMIFS('Istoric_Nativ'!$H$6:$H$405,'Istoric_Nativ'!$B$6:$B$405,E782,'Istoric_Nativ'!$C$6:$C$405,F782,'Istoric_Nativ'!$E$6:$E$405,G782,'Istoric_Nativ'!$D$6:$D$405,"&lt;"&amp;J782,'Istoric_Nativ'!$P$6:$P$405,1,'Istoric_Nativ'!$D$6:$D$405,"&gt;="&amp;L782)+SUMIFS('Istoric_Nativ'!$G$6:$G$405,'Istoric_Nativ'!$B$6:$B$405,E782,'Istoric_Nativ'!$C$6:$C$405,F782,'Istoric_Nativ'!$F$6:$F$405,G782,'Istoric_Nativ'!$D$6:$D$405,"&lt;"&amp;J782,'Istoric_Nativ'!$P$6:$P$405,1,'Istoric_Nativ'!$D$6:$D$405,"&gt;="&amp;L782)))/M782)</x:f>
      </x:c>
      <x:c r="P782" s="2" t="n">
        <x:f>'Config_v6'!$B$9</x:f>
        <x:v>3</x:v>
      </x:c>
      <x:c r="Q782" s="2" t="n">
        <x:f>IF(OR(B782="",F782=""),0,IFERROR(MATCH(E782&amp;"|"&amp;F782,SourceTable[Source_Key],0),0))</x:f>
        <x:v>0</x:v>
      </x:c>
      <x:c r="R782" s="2" t="str">
        <x:f>IF(B782="","",IF(F782="","UNUSED",IF(Q782=0,"NOT CHECKED",IF(COUNTIF(SourceTable[Source_Key],E782&amp;"|"&amp;F782)&lt;&gt;1,"SOURCE CONFLICT",IF(NOT(OR(INDEX(SourceTable[Status],MAX(1,Q782))="IMPORTED",INDEX(SourceTable[Status],MAX(1,Q782))="PARTIAL",INDEX(SourceTable[Status],MAX(1,Q782))="SOURCE CONFLICT")),"ACCESS BLOCKED",IF(OR(INDEX(SourceTable[Coverage],Q782)&lt;&gt;"FULL SEASON EXPORT",INDEX(SourceTable[URL],Q782)="",INDEX(SourceTable[SHA256],Q782)=""),"EVIDENCE INCOMPLETE",IF(AND('Input_Meci'!H70="LIVE",INDEX(SourceTable[Retrieved_UTC],Q782)&gt;'Input_Meci'!G70),"POST CUTOFF","CLOSED")))))))</x:f>
      </x:c>
      <x:c r="S782" s="2" t="n">
        <x:f>IF(OR(B782="",F782=""),0,COUNTIFS('Istoric_Nativ'!$B$6:$B$405,E782,'Istoric_Nativ'!$C$6:$C$405,F782,'Istoric_Nativ'!$E$6:$E$405,G782,'Istoric_Nativ'!$D$6:$D$405,"&lt;"&amp;J782,'Istoric_Nativ'!$O$6:$O$405,"INVALID")+COUNTIFS('Istoric_Nativ'!$B$6:$B$405,E782,'Istoric_Nativ'!$C$6:$C$405,F782,'Istoric_Nativ'!$E$6:$E$405,G782,'Istoric_Nativ'!$O$6:$O$405,"INVALID",'Istoric_Nativ'!$D$6:$D$405,"*")+COUNTIFS('Istoric_Nativ'!$B$6:$B$405,E782,'Istoric_Nativ'!$C$6:$C$405,F782,'Istoric_Nativ'!$E$6:$E$405,G782,'Istoric_Nativ'!$D$6:$D$405,"&lt;"&amp;J782,'Istoric_Nativ'!$O$6:$O$405,"SOURCE CONFLICT")+COUNTIFS('Istoric_Nativ'!$B$6:$B$405,E782,'Istoric_Nativ'!$C$6:$C$405,F782,'Istoric_Nativ'!$F$6:$F$405,G782,'Istoric_Nativ'!$D$6:$D$405,"&lt;"&amp;J782,'Istoric_Nativ'!$O$6:$O$405,"INVALID")+COUNTIFS('Istoric_Nativ'!$B$6:$B$405,E782,'Istoric_Nativ'!$C$6:$C$405,F782,'Istoric_Nativ'!$F$6:$F$405,G782,'Istoric_Nativ'!$O$6:$O$405,"INVALID",'Istoric_Nativ'!$D$6:$D$405,"*")+COUNTIFS('Istoric_Nativ'!$B$6:$B$405,E782,'Istoric_Nativ'!$C$6:$C$405,F782,'Istoric_Nativ'!$F$6:$F$405,G782,'Istoric_Nativ'!$D$6:$D$405,"&lt;"&amp;J782,'Istoric_Nativ'!$O$6:$O$405,"SOURCE CONFLICT"))</x:f>
        <x:v>0</x:v>
      </x:c>
      <x:c r="T782" s="2" t="str">
        <x:f>IF(B782="","",IF(R782&lt;&gt;"CLOSED",R782,IF(S782&gt;0,"NATIVE INPUT ISSUE",IF(M782=0,"NO HISTORY",IF(M782&lt;P782,"SMALL SAMPLE","DERIVED")))))</x:f>
      </x:c>
      <x:c r="U782" s="2" t="str">
        <x:f>IF(B782="","","NativeTable; "&amp;E782&amp;"; "&amp;F782&amp;"; "&amp;G782&amp;"; "&amp;H782&amp;"; before "&amp;TEXT(J782,"yyyy-mm-dd")&amp;IF(I782="RECENT","; from "&amp;TEXT(L782,"yyyy-mm-dd"),""))</x:f>
      </x:c>
    </x:row>
    <x:row r="783" ht="21" customHeight="1">
      <x:c r="A783" s="2" t="n">
        <x:v>65</x:v>
      </x:c>
      <x:c r="B783" s="2" t="str">
        <x:f>IF('Input_Meci'!A70="","",'Input_Meci'!A70)</x:f>
      </x:c>
      <x:c r="C783" s="2" t="str">
        <x:v>A</x:v>
      </x:c>
      <x:c r="D783" s="2" t="str">
        <x:v>PRIOR</x:v>
      </x:c>
      <x:c r="E783" s="2" t="str">
        <x:f>IF(B783="","",'Input_Meci'!B70)</x:f>
      </x:c>
      <x:c r="F783" s="2" t="str">
        <x:f>IF(B783="","",IF('Input_Meci'!K70="","",'Input_Meci'!K70))</x:f>
      </x:c>
      <x:c r="G783" s="2" t="str">
        <x:f>IF(B783="","",'Input_Meci'!E70)</x:f>
      </x:c>
      <x:c r="H783" s="2" t="str">
        <x:v>ANY</x:v>
      </x:c>
      <x:c r="I783" s="2" t="str">
        <x:v>SEASON</x:v>
      </x:c>
      <x:c r="J783" s="9" t="n">
        <x:f>IF(AND(B783&lt;&gt;"",ISNUMBER('Input_Meci'!G70)),INT('Input_Meci'!G70),0)</x:f>
        <x:v>0</x:v>
      </x:c>
      <x:c r="K783" s="2" t="n">
        <x:f>IF(OR(B783="",F783=""),0,IF(H783="HOME",COUNTIFS('Istoric_Nativ'!$B$6:$B$405,E783,'Istoric_Nativ'!$C$6:$C$405,F783,'Istoric_Nativ'!$E$6:$E$405,G783,'Istoric_Nativ'!$D$6:$D$405,"&lt;"&amp;J783,'Istoric_Nativ'!$P$6:$P$405,1),IF(H783="AWAY",COUNTIFS('Istoric_Nativ'!$B$6:$B$405,E783,'Istoric_Nativ'!$C$6:$C$405,F783,'Istoric_Nativ'!$F$6:$F$405,G783,'Istoric_Nativ'!$D$6:$D$405,"&lt;"&amp;J783,'Istoric_Nativ'!$P$6:$P$405,1),COUNTIFS('Istoric_Nativ'!$B$6:$B$405,E783,'Istoric_Nativ'!$C$6:$C$405,F783,'Istoric_Nativ'!$E$6:$E$405,G783,'Istoric_Nativ'!$D$6:$D$405,"&lt;"&amp;J783,'Istoric_Nativ'!$P$6:$P$405,1)+COUNTIFS('Istoric_Nativ'!$B$6:$B$405,E783,'Istoric_Nativ'!$C$6:$C$405,F783,'Istoric_Nativ'!$F$6:$F$405,G783,'Istoric_Nativ'!$D$6:$D$405,"&lt;"&amp;J783,'Istoric_Nativ'!$P$6:$P$405,1))))</x:f>
        <x:v>0</x:v>
      </x:c>
      <x:c r="L783" s="17" t="n">
        <x:f>IF(AND(B783&lt;&gt;"",I783="RECENT",K783&gt;0),LARGE(_xlfn._xlws.FILTER('Istoric_Nativ'!$D$6:$D$405,('Istoric_Nativ'!$B$6:$B$405=E783)*('Istoric_Nativ'!$C$6:$C$405=F783)*('Istoric_Nativ'!$P$6:$P$405=1)*('Istoric_Nativ'!$D$6:$D$405&lt;J783)*((('Istoric_Nativ'!$E$6:$E$405=G783)+('Istoric_Nativ'!$F$6:$F$405=G783))&gt;0)),MIN('Config_v6'!$B$54,K783)),0)</x:f>
        <x:v>0</x:v>
      </x:c>
      <x:c r="M783" s="2" t="n">
        <x:f>IF(OR(B783="",F783=""),0,IF(H783="HOME",COUNTIFS('Istoric_Nativ'!$B$6:$B$405,E783,'Istoric_Nativ'!$C$6:$C$405,F783,'Istoric_Nativ'!$E$6:$E$405,G783,'Istoric_Nativ'!$D$6:$D$405,"&lt;"&amp;J783,'Istoric_Nativ'!$P$6:$P$405,1,'Istoric_Nativ'!$D$6:$D$405,"&gt;="&amp;L783),IF(H783="AWAY",COUNTIFS('Istoric_Nativ'!$B$6:$B$405,E783,'Istoric_Nativ'!$C$6:$C$405,F783,'Istoric_Nativ'!$F$6:$F$405,G783,'Istoric_Nativ'!$D$6:$D$405,"&lt;"&amp;J783,'Istoric_Nativ'!$P$6:$P$405,1,'Istoric_Nativ'!$D$6:$D$405,"&gt;="&amp;L783),COUNTIFS('Istoric_Nativ'!$B$6:$B$405,E783,'Istoric_Nativ'!$C$6:$C$405,F783,'Istoric_Nativ'!$E$6:$E$405,G783,'Istoric_Nativ'!$D$6:$D$405,"&lt;"&amp;J783,'Istoric_Nativ'!$P$6:$P$405,1,'Istoric_Nativ'!$D$6:$D$405,"&gt;="&amp;L783)+COUNTIFS('Istoric_Nativ'!$B$6:$B$405,E783,'Istoric_Nativ'!$C$6:$C$405,F783,'Istoric_Nativ'!$F$6:$F$405,G783,'Istoric_Nativ'!$D$6:$D$405,"&lt;"&amp;J783,'Istoric_Nativ'!$P$6:$P$405,1,'Istoric_Nativ'!$D$6:$D$405,"&gt;="&amp;L783))))</x:f>
        <x:v>0</x:v>
      </x:c>
      <x:c r="N783" s="11" t="str">
        <x:f>IF(M783=0,"",IF(H783="HOME",SUMIFS('Istoric_Nativ'!$G$6:$G$405,'Istoric_Nativ'!$B$6:$B$405,E783,'Istoric_Nativ'!$C$6:$C$405,F783,'Istoric_Nativ'!$E$6:$E$405,G783,'Istoric_Nativ'!$D$6:$D$405,"&lt;"&amp;J783,'Istoric_Nativ'!$P$6:$P$405,1,'Istoric_Nativ'!$D$6:$D$405,"&gt;="&amp;L783),IF(H783="AWAY",SUMIFS('Istoric_Nativ'!$H$6:$H$405,'Istoric_Nativ'!$B$6:$B$405,E783,'Istoric_Nativ'!$C$6:$C$405,F783,'Istoric_Nativ'!$F$6:$F$405,G783,'Istoric_Nativ'!$D$6:$D$405,"&lt;"&amp;J783,'Istoric_Nativ'!$P$6:$P$405,1,'Istoric_Nativ'!$D$6:$D$405,"&gt;="&amp;L783),SUMIFS('Istoric_Nativ'!$G$6:$G$405,'Istoric_Nativ'!$B$6:$B$405,E783,'Istoric_Nativ'!$C$6:$C$405,F783,'Istoric_Nativ'!$E$6:$E$405,G783,'Istoric_Nativ'!$D$6:$D$405,"&lt;"&amp;J783,'Istoric_Nativ'!$P$6:$P$405,1,'Istoric_Nativ'!$D$6:$D$405,"&gt;="&amp;L783)+SUMIFS('Istoric_Nativ'!$H$6:$H$405,'Istoric_Nativ'!$B$6:$B$405,E783,'Istoric_Nativ'!$C$6:$C$405,F783,'Istoric_Nativ'!$F$6:$F$405,G783,'Istoric_Nativ'!$D$6:$D$405,"&lt;"&amp;J783,'Istoric_Nativ'!$P$6:$P$405,1,'Istoric_Nativ'!$D$6:$D$405,"&gt;="&amp;L783)))/M783)</x:f>
      </x:c>
      <x:c r="O783" s="11" t="str">
        <x:f>IF(M783=0,"",IF(H783="HOME",SUMIFS('Istoric_Nativ'!$H$6:$H$405,'Istoric_Nativ'!$B$6:$B$405,E783,'Istoric_Nativ'!$C$6:$C$405,F783,'Istoric_Nativ'!$E$6:$E$405,G783,'Istoric_Nativ'!$D$6:$D$405,"&lt;"&amp;J783,'Istoric_Nativ'!$P$6:$P$405,1,'Istoric_Nativ'!$D$6:$D$405,"&gt;="&amp;L783),IF(H783="AWAY",SUMIFS('Istoric_Nativ'!$G$6:$G$405,'Istoric_Nativ'!$B$6:$B$405,E783,'Istoric_Nativ'!$C$6:$C$405,F783,'Istoric_Nativ'!$F$6:$F$405,G783,'Istoric_Nativ'!$D$6:$D$405,"&lt;"&amp;J783,'Istoric_Nativ'!$P$6:$P$405,1,'Istoric_Nativ'!$D$6:$D$405,"&gt;="&amp;L783),SUMIFS('Istoric_Nativ'!$H$6:$H$405,'Istoric_Nativ'!$B$6:$B$405,E783,'Istoric_Nativ'!$C$6:$C$405,F783,'Istoric_Nativ'!$E$6:$E$405,G783,'Istoric_Nativ'!$D$6:$D$405,"&lt;"&amp;J783,'Istoric_Nativ'!$P$6:$P$405,1,'Istoric_Nativ'!$D$6:$D$405,"&gt;="&amp;L783)+SUMIFS('Istoric_Nativ'!$G$6:$G$405,'Istoric_Nativ'!$B$6:$B$405,E783,'Istoric_Nativ'!$C$6:$C$405,F783,'Istoric_Nativ'!$F$6:$F$405,G783,'Istoric_Nativ'!$D$6:$D$405,"&lt;"&amp;J783,'Istoric_Nativ'!$P$6:$P$405,1,'Istoric_Nativ'!$D$6:$D$405,"&gt;="&amp;L783)))/M783)</x:f>
      </x:c>
      <x:c r="P783" s="2" t="n">
        <x:f>'Config_v6'!$B$7</x:f>
        <x:v>10</x:v>
      </x:c>
      <x:c r="Q783" s="2" t="n">
        <x:f>IF(OR(B783="",F783=""),0,IFERROR(MATCH(E783&amp;"|"&amp;F783,SourceTable[Source_Key],0),0))</x:f>
        <x:v>0</x:v>
      </x:c>
      <x:c r="R783" s="2" t="str">
        <x:f>IF(B783="","",IF(F783="","UNUSED",IF(Q783=0,"NOT CHECKED",IF(COUNTIF(SourceTable[Source_Key],E783&amp;"|"&amp;F783)&lt;&gt;1,"SOURCE CONFLICT",IF(NOT(OR(INDEX(SourceTable[Status],MAX(1,Q783))="IMPORTED",INDEX(SourceTable[Status],MAX(1,Q783))="PARTIAL",INDEX(SourceTable[Status],MAX(1,Q783))="SOURCE CONFLICT")),"ACCESS BLOCKED",IF(OR(INDEX(SourceTable[Coverage],Q783)&lt;&gt;"FULL SEASON EXPORT",INDEX(SourceTable[URL],Q783)="",INDEX(SourceTable[SHA256],Q783)=""),"EVIDENCE INCOMPLETE",IF(AND('Input_Meci'!H70="LIVE",INDEX(SourceTable[Retrieved_UTC],Q783)&gt;'Input_Meci'!G70),"POST CUTOFF","CLOSED")))))))</x:f>
      </x:c>
      <x:c r="S783" s="2" t="n">
        <x:f>IF(OR(B783="",F783=""),0,COUNTIFS('Istoric_Nativ'!$B$6:$B$405,E783,'Istoric_Nativ'!$C$6:$C$405,F783,'Istoric_Nativ'!$E$6:$E$405,G783,'Istoric_Nativ'!$D$6:$D$405,"&lt;"&amp;J783,'Istoric_Nativ'!$O$6:$O$405,"INVALID")+COUNTIFS('Istoric_Nativ'!$B$6:$B$405,E783,'Istoric_Nativ'!$C$6:$C$405,F783,'Istoric_Nativ'!$E$6:$E$405,G783,'Istoric_Nativ'!$O$6:$O$405,"INVALID",'Istoric_Nativ'!$D$6:$D$405,"*")+COUNTIFS('Istoric_Nativ'!$B$6:$B$405,E783,'Istoric_Nativ'!$C$6:$C$405,F783,'Istoric_Nativ'!$E$6:$E$405,G783,'Istoric_Nativ'!$D$6:$D$405,"&lt;"&amp;J783,'Istoric_Nativ'!$O$6:$O$405,"SOURCE CONFLICT")+COUNTIFS('Istoric_Nativ'!$B$6:$B$405,E783,'Istoric_Nativ'!$C$6:$C$405,F783,'Istoric_Nativ'!$F$6:$F$405,G783,'Istoric_Nativ'!$D$6:$D$405,"&lt;"&amp;J783,'Istoric_Nativ'!$O$6:$O$405,"INVALID")+COUNTIFS('Istoric_Nativ'!$B$6:$B$405,E783,'Istoric_Nativ'!$C$6:$C$405,F783,'Istoric_Nativ'!$F$6:$F$405,G783,'Istoric_Nativ'!$O$6:$O$405,"INVALID",'Istoric_Nativ'!$D$6:$D$405,"*")+COUNTIFS('Istoric_Nativ'!$B$6:$B$405,E783,'Istoric_Nativ'!$C$6:$C$405,F783,'Istoric_Nativ'!$F$6:$F$405,G783,'Istoric_Nativ'!$D$6:$D$405,"&lt;"&amp;J783,'Istoric_Nativ'!$O$6:$O$405,"SOURCE CONFLICT"))</x:f>
        <x:v>0</x:v>
      </x:c>
      <x:c r="T783" s="2" t="str">
        <x:f>IF(B783="","",IF(R783&lt;&gt;"CLOSED",R783,IF(S783&gt;0,"NATIVE INPUT ISSUE",IF(M783=0,"NO HISTORY",IF(M783&lt;P783,"SMALL SAMPLE","DERIVED")))))</x:f>
      </x:c>
      <x:c r="U783" s="2" t="str">
        <x:f>IF(B783="","","NativeTable; "&amp;E783&amp;"; "&amp;F783&amp;"; "&amp;G783&amp;"; "&amp;H783&amp;"; before "&amp;TEXT(J783,"yyyy-mm-dd")&amp;IF(I783="RECENT","; from "&amp;TEXT(L783,"yyyy-mm-dd"),""))</x:f>
      </x:c>
    </x:row>
    <x:row r="784" ht="21" customHeight="1">
      <x:c r="A784" s="2" t="n">
        <x:v>65</x:v>
      </x:c>
      <x:c r="B784" s="2" t="str">
        <x:f>IF('Input_Meci'!A70="","",'Input_Meci'!A70)</x:f>
      </x:c>
      <x:c r="C784" s="2" t="str">
        <x:v>A</x:v>
      </x:c>
      <x:c r="D784" s="2" t="str">
        <x:v>PRIOR</x:v>
      </x:c>
      <x:c r="E784" s="2" t="str">
        <x:f>IF(B784="","",'Input_Meci'!B70)</x:f>
      </x:c>
      <x:c r="F784" s="2" t="str">
        <x:f>IF(B784="","",IF('Input_Meci'!K70="","",'Input_Meci'!K70))</x:f>
      </x:c>
      <x:c r="G784" s="2" t="str">
        <x:f>IF(B784="","",'Input_Meci'!E70)</x:f>
      </x:c>
      <x:c r="H784" s="2" t="str">
        <x:v>AWAY</x:v>
      </x:c>
      <x:c r="I784" s="2" t="str">
        <x:v>HA</x:v>
      </x:c>
      <x:c r="J784" s="9" t="n">
        <x:f>IF(AND(B784&lt;&gt;"",ISNUMBER('Input_Meci'!G70)),INT('Input_Meci'!G70),0)</x:f>
        <x:v>0</x:v>
      </x:c>
      <x:c r="K784" s="2" t="n">
        <x:f>IF(OR(B784="",F784=""),0,IF(H784="HOME",COUNTIFS('Istoric_Nativ'!$B$6:$B$405,E784,'Istoric_Nativ'!$C$6:$C$405,F784,'Istoric_Nativ'!$E$6:$E$405,G784,'Istoric_Nativ'!$D$6:$D$405,"&lt;"&amp;J784,'Istoric_Nativ'!$P$6:$P$405,1),IF(H784="AWAY",COUNTIFS('Istoric_Nativ'!$B$6:$B$405,E784,'Istoric_Nativ'!$C$6:$C$405,F784,'Istoric_Nativ'!$F$6:$F$405,G784,'Istoric_Nativ'!$D$6:$D$405,"&lt;"&amp;J784,'Istoric_Nativ'!$P$6:$P$405,1),COUNTIFS('Istoric_Nativ'!$B$6:$B$405,E784,'Istoric_Nativ'!$C$6:$C$405,F784,'Istoric_Nativ'!$E$6:$E$405,G784,'Istoric_Nativ'!$D$6:$D$405,"&lt;"&amp;J784,'Istoric_Nativ'!$P$6:$P$405,1)+COUNTIFS('Istoric_Nativ'!$B$6:$B$405,E784,'Istoric_Nativ'!$C$6:$C$405,F784,'Istoric_Nativ'!$F$6:$F$405,G784,'Istoric_Nativ'!$D$6:$D$405,"&lt;"&amp;J784,'Istoric_Nativ'!$P$6:$P$405,1))))</x:f>
        <x:v>0</x:v>
      </x:c>
      <x:c r="L784" s="17" t="n">
        <x:f>IF(AND(B784&lt;&gt;"",I784="RECENT",K784&gt;0),LARGE(_xlfn._xlws.FILTER('Istoric_Nativ'!$D$6:$D$405,('Istoric_Nativ'!$B$6:$B$405=E784)*('Istoric_Nativ'!$C$6:$C$405=F784)*('Istoric_Nativ'!$P$6:$P$405=1)*('Istoric_Nativ'!$D$6:$D$405&lt;J784)*((('Istoric_Nativ'!$E$6:$E$405=G784)+('Istoric_Nativ'!$F$6:$F$405=G784))&gt;0)),MIN('Config_v6'!$B$54,K784)),0)</x:f>
        <x:v>0</x:v>
      </x:c>
      <x:c r="M784" s="2" t="n">
        <x:f>IF(OR(B784="",F784=""),0,IF(H784="HOME",COUNTIFS('Istoric_Nativ'!$B$6:$B$405,E784,'Istoric_Nativ'!$C$6:$C$405,F784,'Istoric_Nativ'!$E$6:$E$405,G784,'Istoric_Nativ'!$D$6:$D$405,"&lt;"&amp;J784,'Istoric_Nativ'!$P$6:$P$405,1,'Istoric_Nativ'!$D$6:$D$405,"&gt;="&amp;L784),IF(H784="AWAY",COUNTIFS('Istoric_Nativ'!$B$6:$B$405,E784,'Istoric_Nativ'!$C$6:$C$405,F784,'Istoric_Nativ'!$F$6:$F$405,G784,'Istoric_Nativ'!$D$6:$D$405,"&lt;"&amp;J784,'Istoric_Nativ'!$P$6:$P$405,1,'Istoric_Nativ'!$D$6:$D$405,"&gt;="&amp;L784),COUNTIFS('Istoric_Nativ'!$B$6:$B$405,E784,'Istoric_Nativ'!$C$6:$C$405,F784,'Istoric_Nativ'!$E$6:$E$405,G784,'Istoric_Nativ'!$D$6:$D$405,"&lt;"&amp;J784,'Istoric_Nativ'!$P$6:$P$405,1,'Istoric_Nativ'!$D$6:$D$405,"&gt;="&amp;L784)+COUNTIFS('Istoric_Nativ'!$B$6:$B$405,E784,'Istoric_Nativ'!$C$6:$C$405,F784,'Istoric_Nativ'!$F$6:$F$405,G784,'Istoric_Nativ'!$D$6:$D$405,"&lt;"&amp;J784,'Istoric_Nativ'!$P$6:$P$405,1,'Istoric_Nativ'!$D$6:$D$405,"&gt;="&amp;L784))))</x:f>
        <x:v>0</x:v>
      </x:c>
      <x:c r="N784" s="11" t="str">
        <x:f>IF(M784=0,"",IF(H784="HOME",SUMIFS('Istoric_Nativ'!$G$6:$G$405,'Istoric_Nativ'!$B$6:$B$405,E784,'Istoric_Nativ'!$C$6:$C$405,F784,'Istoric_Nativ'!$E$6:$E$405,G784,'Istoric_Nativ'!$D$6:$D$405,"&lt;"&amp;J784,'Istoric_Nativ'!$P$6:$P$405,1,'Istoric_Nativ'!$D$6:$D$405,"&gt;="&amp;L784),IF(H784="AWAY",SUMIFS('Istoric_Nativ'!$H$6:$H$405,'Istoric_Nativ'!$B$6:$B$405,E784,'Istoric_Nativ'!$C$6:$C$405,F784,'Istoric_Nativ'!$F$6:$F$405,G784,'Istoric_Nativ'!$D$6:$D$405,"&lt;"&amp;J784,'Istoric_Nativ'!$P$6:$P$405,1,'Istoric_Nativ'!$D$6:$D$405,"&gt;="&amp;L784),SUMIFS('Istoric_Nativ'!$G$6:$G$405,'Istoric_Nativ'!$B$6:$B$405,E784,'Istoric_Nativ'!$C$6:$C$405,F784,'Istoric_Nativ'!$E$6:$E$405,G784,'Istoric_Nativ'!$D$6:$D$405,"&lt;"&amp;J784,'Istoric_Nativ'!$P$6:$P$405,1,'Istoric_Nativ'!$D$6:$D$405,"&gt;="&amp;L784)+SUMIFS('Istoric_Nativ'!$H$6:$H$405,'Istoric_Nativ'!$B$6:$B$405,E784,'Istoric_Nativ'!$C$6:$C$405,F784,'Istoric_Nativ'!$F$6:$F$405,G784,'Istoric_Nativ'!$D$6:$D$405,"&lt;"&amp;J784,'Istoric_Nativ'!$P$6:$P$405,1,'Istoric_Nativ'!$D$6:$D$405,"&gt;="&amp;L784)))/M784)</x:f>
      </x:c>
      <x:c r="O784" s="11" t="str">
        <x:f>IF(M784=0,"",IF(H784="HOME",SUMIFS('Istoric_Nativ'!$H$6:$H$405,'Istoric_Nativ'!$B$6:$B$405,E784,'Istoric_Nativ'!$C$6:$C$405,F784,'Istoric_Nativ'!$E$6:$E$405,G784,'Istoric_Nativ'!$D$6:$D$405,"&lt;"&amp;J784,'Istoric_Nativ'!$P$6:$P$405,1,'Istoric_Nativ'!$D$6:$D$405,"&gt;="&amp;L784),IF(H784="AWAY",SUMIFS('Istoric_Nativ'!$G$6:$G$405,'Istoric_Nativ'!$B$6:$B$405,E784,'Istoric_Nativ'!$C$6:$C$405,F784,'Istoric_Nativ'!$F$6:$F$405,G784,'Istoric_Nativ'!$D$6:$D$405,"&lt;"&amp;J784,'Istoric_Nativ'!$P$6:$P$405,1,'Istoric_Nativ'!$D$6:$D$405,"&gt;="&amp;L784),SUMIFS('Istoric_Nativ'!$H$6:$H$405,'Istoric_Nativ'!$B$6:$B$405,E784,'Istoric_Nativ'!$C$6:$C$405,F784,'Istoric_Nativ'!$E$6:$E$405,G784,'Istoric_Nativ'!$D$6:$D$405,"&lt;"&amp;J784,'Istoric_Nativ'!$P$6:$P$405,1,'Istoric_Nativ'!$D$6:$D$405,"&gt;="&amp;L784)+SUMIFS('Istoric_Nativ'!$G$6:$G$405,'Istoric_Nativ'!$B$6:$B$405,E784,'Istoric_Nativ'!$C$6:$C$405,F784,'Istoric_Nativ'!$F$6:$F$405,G784,'Istoric_Nativ'!$D$6:$D$405,"&lt;"&amp;J784,'Istoric_Nativ'!$P$6:$P$405,1,'Istoric_Nativ'!$D$6:$D$405,"&gt;="&amp;L784)))/M784)</x:f>
      </x:c>
      <x:c r="P784" s="2" t="n">
        <x:f>'Config_v6'!$B$8</x:f>
        <x:v>5</x:v>
      </x:c>
      <x:c r="Q784" s="2" t="n">
        <x:f>IF(OR(B784="",F784=""),0,IFERROR(MATCH(E784&amp;"|"&amp;F784,SourceTable[Source_Key],0),0))</x:f>
        <x:v>0</x:v>
      </x:c>
      <x:c r="R784" s="2" t="str">
        <x:f>IF(B784="","",IF(F784="","UNUSED",IF(Q784=0,"NOT CHECKED",IF(COUNTIF(SourceTable[Source_Key],E784&amp;"|"&amp;F784)&lt;&gt;1,"SOURCE CONFLICT",IF(NOT(OR(INDEX(SourceTable[Status],MAX(1,Q784))="IMPORTED",INDEX(SourceTable[Status],MAX(1,Q784))="PARTIAL",INDEX(SourceTable[Status],MAX(1,Q784))="SOURCE CONFLICT")),"ACCESS BLOCKED",IF(OR(INDEX(SourceTable[Coverage],Q784)&lt;&gt;"FULL SEASON EXPORT",INDEX(SourceTable[URL],Q784)="",INDEX(SourceTable[SHA256],Q784)=""),"EVIDENCE INCOMPLETE",IF(AND('Input_Meci'!H70="LIVE",INDEX(SourceTable[Retrieved_UTC],Q784)&gt;'Input_Meci'!G70),"POST CUTOFF","CLOSED")))))))</x:f>
      </x:c>
      <x:c r="S784" s="2" t="n">
        <x:f>IF(OR(B784="",F784=""),0,COUNTIFS('Istoric_Nativ'!$B$6:$B$405,E784,'Istoric_Nativ'!$C$6:$C$405,F784,'Istoric_Nativ'!$E$6:$E$405,G784,'Istoric_Nativ'!$D$6:$D$405,"&lt;"&amp;J784,'Istoric_Nativ'!$O$6:$O$405,"INVALID")+COUNTIFS('Istoric_Nativ'!$B$6:$B$405,E784,'Istoric_Nativ'!$C$6:$C$405,F784,'Istoric_Nativ'!$E$6:$E$405,G784,'Istoric_Nativ'!$O$6:$O$405,"INVALID",'Istoric_Nativ'!$D$6:$D$405,"*")+COUNTIFS('Istoric_Nativ'!$B$6:$B$405,E784,'Istoric_Nativ'!$C$6:$C$405,F784,'Istoric_Nativ'!$E$6:$E$405,G784,'Istoric_Nativ'!$D$6:$D$405,"&lt;"&amp;J784,'Istoric_Nativ'!$O$6:$O$405,"SOURCE CONFLICT")+COUNTIFS('Istoric_Nativ'!$B$6:$B$405,E784,'Istoric_Nativ'!$C$6:$C$405,F784,'Istoric_Nativ'!$F$6:$F$405,G784,'Istoric_Nativ'!$D$6:$D$405,"&lt;"&amp;J784,'Istoric_Nativ'!$O$6:$O$405,"INVALID")+COUNTIFS('Istoric_Nativ'!$B$6:$B$405,E784,'Istoric_Nativ'!$C$6:$C$405,F784,'Istoric_Nativ'!$F$6:$F$405,G784,'Istoric_Nativ'!$O$6:$O$405,"INVALID",'Istoric_Nativ'!$D$6:$D$405,"*")+COUNTIFS('Istoric_Nativ'!$B$6:$B$405,E784,'Istoric_Nativ'!$C$6:$C$405,F784,'Istoric_Nativ'!$F$6:$F$405,G784,'Istoric_Nativ'!$D$6:$D$405,"&lt;"&amp;J784,'Istoric_Nativ'!$O$6:$O$405,"SOURCE CONFLICT"))</x:f>
        <x:v>0</x:v>
      </x:c>
      <x:c r="T784" s="2" t="str">
        <x:f>IF(B784="","",IF(R784&lt;&gt;"CLOSED",R784,IF(S784&gt;0,"NATIVE INPUT ISSUE",IF(M784=0,"NO HISTORY",IF(M784&lt;P784,"SMALL SAMPLE","DERIVED")))))</x:f>
      </x:c>
      <x:c r="U784" s="2" t="str">
        <x:f>IF(B784="","","NativeTable; "&amp;E784&amp;"; "&amp;F784&amp;"; "&amp;G784&amp;"; "&amp;H784&amp;"; before "&amp;TEXT(J784,"yyyy-mm-dd")&amp;IF(I784="RECENT","; from "&amp;TEXT(L784,"yyyy-mm-dd"),""))</x:f>
      </x:c>
    </x:row>
    <x:row r="785" ht="21" customHeight="1">
      <x:c r="A785" s="2" t="n">
        <x:v>65</x:v>
      </x:c>
      <x:c r="B785" s="2" t="str">
        <x:f>IF('Input_Meci'!A70="","",'Input_Meci'!A70)</x:f>
      </x:c>
      <x:c r="C785" s="2" t="str">
        <x:v>A</x:v>
      </x:c>
      <x:c r="D785" s="2" t="str">
        <x:v>PRIOR</x:v>
      </x:c>
      <x:c r="E785" s="2" t="str">
        <x:f>IF(B785="","",'Input_Meci'!B70)</x:f>
      </x:c>
      <x:c r="F785" s="2" t="str">
        <x:f>IF(B785="","",IF('Input_Meci'!K70="","",'Input_Meci'!K70))</x:f>
      </x:c>
      <x:c r="G785" s="2" t="str">
        <x:f>IF(B785="","",'Input_Meci'!E70)</x:f>
      </x:c>
      <x:c r="H785" s="2" t="str">
        <x:v>ANY</x:v>
      </x:c>
      <x:c r="I785" s="2" t="str">
        <x:v>RECENT</x:v>
      </x:c>
      <x:c r="J785" s="9" t="n">
        <x:f>IF(AND(B785&lt;&gt;"",ISNUMBER('Input_Meci'!G70)),INT('Input_Meci'!G70),0)</x:f>
        <x:v>0</x:v>
      </x:c>
      <x:c r="K785" s="2" t="n">
        <x:f>IF(OR(B785="",F785=""),0,IF(H785="HOME",COUNTIFS('Istoric_Nativ'!$B$6:$B$405,E785,'Istoric_Nativ'!$C$6:$C$405,F785,'Istoric_Nativ'!$E$6:$E$405,G785,'Istoric_Nativ'!$D$6:$D$405,"&lt;"&amp;J785,'Istoric_Nativ'!$P$6:$P$405,1),IF(H785="AWAY",COUNTIFS('Istoric_Nativ'!$B$6:$B$405,E785,'Istoric_Nativ'!$C$6:$C$405,F785,'Istoric_Nativ'!$F$6:$F$405,G785,'Istoric_Nativ'!$D$6:$D$405,"&lt;"&amp;J785,'Istoric_Nativ'!$P$6:$P$405,1),COUNTIFS('Istoric_Nativ'!$B$6:$B$405,E785,'Istoric_Nativ'!$C$6:$C$405,F785,'Istoric_Nativ'!$E$6:$E$405,G785,'Istoric_Nativ'!$D$6:$D$405,"&lt;"&amp;J785,'Istoric_Nativ'!$P$6:$P$405,1)+COUNTIFS('Istoric_Nativ'!$B$6:$B$405,E785,'Istoric_Nativ'!$C$6:$C$405,F785,'Istoric_Nativ'!$F$6:$F$405,G785,'Istoric_Nativ'!$D$6:$D$405,"&lt;"&amp;J785,'Istoric_Nativ'!$P$6:$P$405,1))))</x:f>
        <x:v>0</x:v>
      </x:c>
      <x:c r="L785" s="17" t="n">
        <x:f>IF(AND(B785&lt;&gt;"",I785="RECENT",K785&gt;0),LARGE(_xlfn._xlws.FILTER('Istoric_Nativ'!$D$6:$D$405,('Istoric_Nativ'!$B$6:$B$405=E785)*('Istoric_Nativ'!$C$6:$C$405=F785)*('Istoric_Nativ'!$P$6:$P$405=1)*('Istoric_Nativ'!$D$6:$D$405&lt;J785)*((('Istoric_Nativ'!$E$6:$E$405=G785)+('Istoric_Nativ'!$F$6:$F$405=G785))&gt;0)),MIN('Config_v6'!$B$54,K785)),0)</x:f>
        <x:v>0</x:v>
      </x:c>
      <x:c r="M785" s="2" t="n">
        <x:f>IF(OR(B785="",F785=""),0,IF(H785="HOME",COUNTIFS('Istoric_Nativ'!$B$6:$B$405,E785,'Istoric_Nativ'!$C$6:$C$405,F785,'Istoric_Nativ'!$E$6:$E$405,G785,'Istoric_Nativ'!$D$6:$D$405,"&lt;"&amp;J785,'Istoric_Nativ'!$P$6:$P$405,1,'Istoric_Nativ'!$D$6:$D$405,"&gt;="&amp;L785),IF(H785="AWAY",COUNTIFS('Istoric_Nativ'!$B$6:$B$405,E785,'Istoric_Nativ'!$C$6:$C$405,F785,'Istoric_Nativ'!$F$6:$F$405,G785,'Istoric_Nativ'!$D$6:$D$405,"&lt;"&amp;J785,'Istoric_Nativ'!$P$6:$P$405,1,'Istoric_Nativ'!$D$6:$D$405,"&gt;="&amp;L785),COUNTIFS('Istoric_Nativ'!$B$6:$B$405,E785,'Istoric_Nativ'!$C$6:$C$405,F785,'Istoric_Nativ'!$E$6:$E$405,G785,'Istoric_Nativ'!$D$6:$D$405,"&lt;"&amp;J785,'Istoric_Nativ'!$P$6:$P$405,1,'Istoric_Nativ'!$D$6:$D$405,"&gt;="&amp;L785)+COUNTIFS('Istoric_Nativ'!$B$6:$B$405,E785,'Istoric_Nativ'!$C$6:$C$405,F785,'Istoric_Nativ'!$F$6:$F$405,G785,'Istoric_Nativ'!$D$6:$D$405,"&lt;"&amp;J785,'Istoric_Nativ'!$P$6:$P$405,1,'Istoric_Nativ'!$D$6:$D$405,"&gt;="&amp;L785))))</x:f>
        <x:v>0</x:v>
      </x:c>
      <x:c r="N785" s="11" t="str">
        <x:f>IF(M785=0,"",IF(H785="HOME",SUMIFS('Istoric_Nativ'!$G$6:$G$405,'Istoric_Nativ'!$B$6:$B$405,E785,'Istoric_Nativ'!$C$6:$C$405,F785,'Istoric_Nativ'!$E$6:$E$405,G785,'Istoric_Nativ'!$D$6:$D$405,"&lt;"&amp;J785,'Istoric_Nativ'!$P$6:$P$405,1,'Istoric_Nativ'!$D$6:$D$405,"&gt;="&amp;L785),IF(H785="AWAY",SUMIFS('Istoric_Nativ'!$H$6:$H$405,'Istoric_Nativ'!$B$6:$B$405,E785,'Istoric_Nativ'!$C$6:$C$405,F785,'Istoric_Nativ'!$F$6:$F$405,G785,'Istoric_Nativ'!$D$6:$D$405,"&lt;"&amp;J785,'Istoric_Nativ'!$P$6:$P$405,1,'Istoric_Nativ'!$D$6:$D$405,"&gt;="&amp;L785),SUMIFS('Istoric_Nativ'!$G$6:$G$405,'Istoric_Nativ'!$B$6:$B$405,E785,'Istoric_Nativ'!$C$6:$C$405,F785,'Istoric_Nativ'!$E$6:$E$405,G785,'Istoric_Nativ'!$D$6:$D$405,"&lt;"&amp;J785,'Istoric_Nativ'!$P$6:$P$405,1,'Istoric_Nativ'!$D$6:$D$405,"&gt;="&amp;L785)+SUMIFS('Istoric_Nativ'!$H$6:$H$405,'Istoric_Nativ'!$B$6:$B$405,E785,'Istoric_Nativ'!$C$6:$C$405,F785,'Istoric_Nativ'!$F$6:$F$405,G785,'Istoric_Nativ'!$D$6:$D$405,"&lt;"&amp;J785,'Istoric_Nativ'!$P$6:$P$405,1,'Istoric_Nativ'!$D$6:$D$405,"&gt;="&amp;L785)))/M785)</x:f>
      </x:c>
      <x:c r="O785" s="11" t="str">
        <x:f>IF(M785=0,"",IF(H785="HOME",SUMIFS('Istoric_Nativ'!$H$6:$H$405,'Istoric_Nativ'!$B$6:$B$405,E785,'Istoric_Nativ'!$C$6:$C$405,F785,'Istoric_Nativ'!$E$6:$E$405,G785,'Istoric_Nativ'!$D$6:$D$405,"&lt;"&amp;J785,'Istoric_Nativ'!$P$6:$P$405,1,'Istoric_Nativ'!$D$6:$D$405,"&gt;="&amp;L785),IF(H785="AWAY",SUMIFS('Istoric_Nativ'!$G$6:$G$405,'Istoric_Nativ'!$B$6:$B$405,E785,'Istoric_Nativ'!$C$6:$C$405,F785,'Istoric_Nativ'!$F$6:$F$405,G785,'Istoric_Nativ'!$D$6:$D$405,"&lt;"&amp;J785,'Istoric_Nativ'!$P$6:$P$405,1,'Istoric_Nativ'!$D$6:$D$405,"&gt;="&amp;L785),SUMIFS('Istoric_Nativ'!$H$6:$H$405,'Istoric_Nativ'!$B$6:$B$405,E785,'Istoric_Nativ'!$C$6:$C$405,F785,'Istoric_Nativ'!$E$6:$E$405,G785,'Istoric_Nativ'!$D$6:$D$405,"&lt;"&amp;J785,'Istoric_Nativ'!$P$6:$P$405,1,'Istoric_Nativ'!$D$6:$D$405,"&gt;="&amp;L785)+SUMIFS('Istoric_Nativ'!$G$6:$G$405,'Istoric_Nativ'!$B$6:$B$405,E785,'Istoric_Nativ'!$C$6:$C$405,F785,'Istoric_Nativ'!$F$6:$F$405,G785,'Istoric_Nativ'!$D$6:$D$405,"&lt;"&amp;J785,'Istoric_Nativ'!$P$6:$P$405,1,'Istoric_Nativ'!$D$6:$D$405,"&gt;="&amp;L785)))/M785)</x:f>
      </x:c>
      <x:c r="P785" s="2" t="n">
        <x:f>'Config_v6'!$B$9</x:f>
        <x:v>3</x:v>
      </x:c>
      <x:c r="Q785" s="2" t="n">
        <x:f>IF(OR(B785="",F785=""),0,IFERROR(MATCH(E785&amp;"|"&amp;F785,SourceTable[Source_Key],0),0))</x:f>
        <x:v>0</x:v>
      </x:c>
      <x:c r="R785" s="2" t="str">
        <x:f>IF(B785="","",IF(F785="","UNUSED",IF(Q785=0,"NOT CHECKED",IF(COUNTIF(SourceTable[Source_Key],E785&amp;"|"&amp;F785)&lt;&gt;1,"SOURCE CONFLICT",IF(NOT(OR(INDEX(SourceTable[Status],MAX(1,Q785))="IMPORTED",INDEX(SourceTable[Status],MAX(1,Q785))="PARTIAL",INDEX(SourceTable[Status],MAX(1,Q785))="SOURCE CONFLICT")),"ACCESS BLOCKED",IF(OR(INDEX(SourceTable[Coverage],Q785)&lt;&gt;"FULL SEASON EXPORT",INDEX(SourceTable[URL],Q785)="",INDEX(SourceTable[SHA256],Q785)=""),"EVIDENCE INCOMPLETE",IF(AND('Input_Meci'!H70="LIVE",INDEX(SourceTable[Retrieved_UTC],Q785)&gt;'Input_Meci'!G70),"POST CUTOFF","CLOSED")))))))</x:f>
      </x:c>
      <x:c r="S785" s="2" t="n">
        <x:f>IF(OR(B785="",F785=""),0,COUNTIFS('Istoric_Nativ'!$B$6:$B$405,E785,'Istoric_Nativ'!$C$6:$C$405,F785,'Istoric_Nativ'!$E$6:$E$405,G785,'Istoric_Nativ'!$D$6:$D$405,"&lt;"&amp;J785,'Istoric_Nativ'!$O$6:$O$405,"INVALID")+COUNTIFS('Istoric_Nativ'!$B$6:$B$405,E785,'Istoric_Nativ'!$C$6:$C$405,F785,'Istoric_Nativ'!$E$6:$E$405,G785,'Istoric_Nativ'!$O$6:$O$405,"INVALID",'Istoric_Nativ'!$D$6:$D$405,"*")+COUNTIFS('Istoric_Nativ'!$B$6:$B$405,E785,'Istoric_Nativ'!$C$6:$C$405,F785,'Istoric_Nativ'!$E$6:$E$405,G785,'Istoric_Nativ'!$D$6:$D$405,"&lt;"&amp;J785,'Istoric_Nativ'!$O$6:$O$405,"SOURCE CONFLICT")+COUNTIFS('Istoric_Nativ'!$B$6:$B$405,E785,'Istoric_Nativ'!$C$6:$C$405,F785,'Istoric_Nativ'!$F$6:$F$405,G785,'Istoric_Nativ'!$D$6:$D$405,"&lt;"&amp;J785,'Istoric_Nativ'!$O$6:$O$405,"INVALID")+COUNTIFS('Istoric_Nativ'!$B$6:$B$405,E785,'Istoric_Nativ'!$C$6:$C$405,F785,'Istoric_Nativ'!$F$6:$F$405,G785,'Istoric_Nativ'!$O$6:$O$405,"INVALID",'Istoric_Nativ'!$D$6:$D$405,"*")+COUNTIFS('Istoric_Nativ'!$B$6:$B$405,E785,'Istoric_Nativ'!$C$6:$C$405,F785,'Istoric_Nativ'!$F$6:$F$405,G785,'Istoric_Nativ'!$D$6:$D$405,"&lt;"&amp;J785,'Istoric_Nativ'!$O$6:$O$405,"SOURCE CONFLICT"))</x:f>
        <x:v>0</x:v>
      </x:c>
      <x:c r="T785" s="2" t="str">
        <x:f>IF(B785="","",IF(R785&lt;&gt;"CLOSED",R785,IF(S785&gt;0,"NATIVE INPUT ISSUE",IF(M785=0,"NO HISTORY",IF(M785&lt;P785,"SMALL SAMPLE","DERIVED")))))</x:f>
      </x:c>
      <x:c r="U785" s="2" t="str">
        <x:f>IF(B785="","","NativeTable; "&amp;E785&amp;"; "&amp;F785&amp;"; "&amp;G785&amp;"; "&amp;H785&amp;"; before "&amp;TEXT(J785,"yyyy-mm-dd")&amp;IF(I785="RECENT","; from "&amp;TEXT(L785,"yyyy-mm-dd"),""))</x:f>
      </x:c>
    </x:row>
    <x:row r="786" ht="21" customHeight="1">
      <x:c r="A786" s="2" t="n">
        <x:v>66</x:v>
      </x:c>
      <x:c r="B786" s="2" t="str">
        <x:f>IF('Input_Meci'!A71="","",'Input_Meci'!A71)</x:f>
      </x:c>
      <x:c r="C786" s="2" t="str">
        <x:v>H</x:v>
      </x:c>
      <x:c r="D786" s="2" t="str">
        <x:v>CURRENT</x:v>
      </x:c>
      <x:c r="E786" s="2" t="str">
        <x:f>IF(B786="","",'Input_Meci'!B71)</x:f>
      </x:c>
      <x:c r="F786" s="2" t="str">
        <x:f>IF(B786="","",IF('Input_Meci'!C71="","",'Input_Meci'!C71))</x:f>
      </x:c>
      <x:c r="G786" s="2" t="str">
        <x:f>IF(B786="","",'Input_Meci'!D71)</x:f>
      </x:c>
      <x:c r="H786" s="2" t="str">
        <x:v>ANY</x:v>
      </x:c>
      <x:c r="I786" s="2" t="str">
        <x:v>SEASON</x:v>
      </x:c>
      <x:c r="J786" s="9" t="n">
        <x:f>IF(AND(B786&lt;&gt;"",ISNUMBER('Input_Meci'!G71)),INT('Input_Meci'!G71),0)</x:f>
        <x:v>0</x:v>
      </x:c>
      <x:c r="K786" s="2" t="n">
        <x:f>IF(OR(B786="",F786=""),0,IF(H786="HOME",COUNTIFS('Istoric_Nativ'!$B$6:$B$405,E786,'Istoric_Nativ'!$C$6:$C$405,F786,'Istoric_Nativ'!$E$6:$E$405,G786,'Istoric_Nativ'!$D$6:$D$405,"&lt;"&amp;J786,'Istoric_Nativ'!$P$6:$P$405,1),IF(H786="AWAY",COUNTIFS('Istoric_Nativ'!$B$6:$B$405,E786,'Istoric_Nativ'!$C$6:$C$405,F786,'Istoric_Nativ'!$F$6:$F$405,G786,'Istoric_Nativ'!$D$6:$D$405,"&lt;"&amp;J786,'Istoric_Nativ'!$P$6:$P$405,1),COUNTIFS('Istoric_Nativ'!$B$6:$B$405,E786,'Istoric_Nativ'!$C$6:$C$405,F786,'Istoric_Nativ'!$E$6:$E$405,G786,'Istoric_Nativ'!$D$6:$D$405,"&lt;"&amp;J786,'Istoric_Nativ'!$P$6:$P$405,1)+COUNTIFS('Istoric_Nativ'!$B$6:$B$405,E786,'Istoric_Nativ'!$C$6:$C$405,F786,'Istoric_Nativ'!$F$6:$F$405,G786,'Istoric_Nativ'!$D$6:$D$405,"&lt;"&amp;J786,'Istoric_Nativ'!$P$6:$P$405,1))))</x:f>
        <x:v>0</x:v>
      </x:c>
      <x:c r="L786" s="17" t="n">
        <x:f>IF(AND(B786&lt;&gt;"",I786="RECENT",K786&gt;0),LARGE(_xlfn._xlws.FILTER('Istoric_Nativ'!$D$6:$D$405,('Istoric_Nativ'!$B$6:$B$405=E786)*('Istoric_Nativ'!$C$6:$C$405=F786)*('Istoric_Nativ'!$P$6:$P$405=1)*('Istoric_Nativ'!$D$6:$D$405&lt;J786)*((('Istoric_Nativ'!$E$6:$E$405=G786)+('Istoric_Nativ'!$F$6:$F$405=G786))&gt;0)),MIN('Config_v6'!$B$54,K786)),0)</x:f>
        <x:v>0</x:v>
      </x:c>
      <x:c r="M786" s="2" t="n">
        <x:f>IF(OR(B786="",F786=""),0,IF(H786="HOME",COUNTIFS('Istoric_Nativ'!$B$6:$B$405,E786,'Istoric_Nativ'!$C$6:$C$405,F786,'Istoric_Nativ'!$E$6:$E$405,G786,'Istoric_Nativ'!$D$6:$D$405,"&lt;"&amp;J786,'Istoric_Nativ'!$P$6:$P$405,1,'Istoric_Nativ'!$D$6:$D$405,"&gt;="&amp;L786),IF(H786="AWAY",COUNTIFS('Istoric_Nativ'!$B$6:$B$405,E786,'Istoric_Nativ'!$C$6:$C$405,F786,'Istoric_Nativ'!$F$6:$F$405,G786,'Istoric_Nativ'!$D$6:$D$405,"&lt;"&amp;J786,'Istoric_Nativ'!$P$6:$P$405,1,'Istoric_Nativ'!$D$6:$D$405,"&gt;="&amp;L786),COUNTIFS('Istoric_Nativ'!$B$6:$B$405,E786,'Istoric_Nativ'!$C$6:$C$405,F786,'Istoric_Nativ'!$E$6:$E$405,G786,'Istoric_Nativ'!$D$6:$D$405,"&lt;"&amp;J786,'Istoric_Nativ'!$P$6:$P$405,1,'Istoric_Nativ'!$D$6:$D$405,"&gt;="&amp;L786)+COUNTIFS('Istoric_Nativ'!$B$6:$B$405,E786,'Istoric_Nativ'!$C$6:$C$405,F786,'Istoric_Nativ'!$F$6:$F$405,G786,'Istoric_Nativ'!$D$6:$D$405,"&lt;"&amp;J786,'Istoric_Nativ'!$P$6:$P$405,1,'Istoric_Nativ'!$D$6:$D$405,"&gt;="&amp;L786))))</x:f>
        <x:v>0</x:v>
      </x:c>
      <x:c r="N786" s="11" t="str">
        <x:f>IF(M786=0,"",IF(H786="HOME",SUMIFS('Istoric_Nativ'!$G$6:$G$405,'Istoric_Nativ'!$B$6:$B$405,E786,'Istoric_Nativ'!$C$6:$C$405,F786,'Istoric_Nativ'!$E$6:$E$405,G786,'Istoric_Nativ'!$D$6:$D$405,"&lt;"&amp;J786,'Istoric_Nativ'!$P$6:$P$405,1,'Istoric_Nativ'!$D$6:$D$405,"&gt;="&amp;L786),IF(H786="AWAY",SUMIFS('Istoric_Nativ'!$H$6:$H$405,'Istoric_Nativ'!$B$6:$B$405,E786,'Istoric_Nativ'!$C$6:$C$405,F786,'Istoric_Nativ'!$F$6:$F$405,G786,'Istoric_Nativ'!$D$6:$D$405,"&lt;"&amp;J786,'Istoric_Nativ'!$P$6:$P$405,1,'Istoric_Nativ'!$D$6:$D$405,"&gt;="&amp;L786),SUMIFS('Istoric_Nativ'!$G$6:$G$405,'Istoric_Nativ'!$B$6:$B$405,E786,'Istoric_Nativ'!$C$6:$C$405,F786,'Istoric_Nativ'!$E$6:$E$405,G786,'Istoric_Nativ'!$D$6:$D$405,"&lt;"&amp;J786,'Istoric_Nativ'!$P$6:$P$405,1,'Istoric_Nativ'!$D$6:$D$405,"&gt;="&amp;L786)+SUMIFS('Istoric_Nativ'!$H$6:$H$405,'Istoric_Nativ'!$B$6:$B$405,E786,'Istoric_Nativ'!$C$6:$C$405,F786,'Istoric_Nativ'!$F$6:$F$405,G786,'Istoric_Nativ'!$D$6:$D$405,"&lt;"&amp;J786,'Istoric_Nativ'!$P$6:$P$405,1,'Istoric_Nativ'!$D$6:$D$405,"&gt;="&amp;L786)))/M786)</x:f>
      </x:c>
      <x:c r="O786" s="11" t="str">
        <x:f>IF(M786=0,"",IF(H786="HOME",SUMIFS('Istoric_Nativ'!$H$6:$H$405,'Istoric_Nativ'!$B$6:$B$405,E786,'Istoric_Nativ'!$C$6:$C$405,F786,'Istoric_Nativ'!$E$6:$E$405,G786,'Istoric_Nativ'!$D$6:$D$405,"&lt;"&amp;J786,'Istoric_Nativ'!$P$6:$P$405,1,'Istoric_Nativ'!$D$6:$D$405,"&gt;="&amp;L786),IF(H786="AWAY",SUMIFS('Istoric_Nativ'!$G$6:$G$405,'Istoric_Nativ'!$B$6:$B$405,E786,'Istoric_Nativ'!$C$6:$C$405,F786,'Istoric_Nativ'!$F$6:$F$405,G786,'Istoric_Nativ'!$D$6:$D$405,"&lt;"&amp;J786,'Istoric_Nativ'!$P$6:$P$405,1,'Istoric_Nativ'!$D$6:$D$405,"&gt;="&amp;L786),SUMIFS('Istoric_Nativ'!$H$6:$H$405,'Istoric_Nativ'!$B$6:$B$405,E786,'Istoric_Nativ'!$C$6:$C$405,F786,'Istoric_Nativ'!$E$6:$E$405,G786,'Istoric_Nativ'!$D$6:$D$405,"&lt;"&amp;J786,'Istoric_Nativ'!$P$6:$P$405,1,'Istoric_Nativ'!$D$6:$D$405,"&gt;="&amp;L786)+SUMIFS('Istoric_Nativ'!$G$6:$G$405,'Istoric_Nativ'!$B$6:$B$405,E786,'Istoric_Nativ'!$C$6:$C$405,F786,'Istoric_Nativ'!$F$6:$F$405,G786,'Istoric_Nativ'!$D$6:$D$405,"&lt;"&amp;J786,'Istoric_Nativ'!$P$6:$P$405,1,'Istoric_Nativ'!$D$6:$D$405,"&gt;="&amp;L786)))/M786)</x:f>
      </x:c>
      <x:c r="P786" s="2" t="n">
        <x:f>'Config_v6'!$B$7</x:f>
        <x:v>10</x:v>
      </x:c>
      <x:c r="Q786" s="2" t="n">
        <x:f>IF(OR(B786="",F786=""),0,IFERROR(MATCH(E786&amp;"|"&amp;F786,SourceTable[Source_Key],0),0))</x:f>
        <x:v>0</x:v>
      </x:c>
      <x:c r="R786" s="2" t="str">
        <x:f>IF(B786="","",IF(F786="","UNUSED",IF(Q786=0,"NOT CHECKED",IF(COUNTIF(SourceTable[Source_Key],E786&amp;"|"&amp;F786)&lt;&gt;1,"SOURCE CONFLICT",IF(NOT(OR(INDEX(SourceTable[Status],MAX(1,Q786))="IMPORTED",INDEX(SourceTable[Status],MAX(1,Q786))="PARTIAL",INDEX(SourceTable[Status],MAX(1,Q786))="SOURCE CONFLICT")),"ACCESS BLOCKED",IF(OR(INDEX(SourceTable[Coverage],Q786)&lt;&gt;"FULL SEASON EXPORT",INDEX(SourceTable[URL],Q786)="",INDEX(SourceTable[SHA256],Q786)=""),"EVIDENCE INCOMPLETE",IF(AND('Input_Meci'!H71="LIVE",INDEX(SourceTable[Retrieved_UTC],Q786)&gt;'Input_Meci'!G71),"POST CUTOFF","CLOSED")))))))</x:f>
      </x:c>
      <x:c r="S786" s="2" t="n">
        <x:f>IF(OR(B786="",F786=""),0,COUNTIFS('Istoric_Nativ'!$B$6:$B$405,E786,'Istoric_Nativ'!$C$6:$C$405,F786,'Istoric_Nativ'!$E$6:$E$405,G786,'Istoric_Nativ'!$D$6:$D$405,"&lt;"&amp;J786,'Istoric_Nativ'!$O$6:$O$405,"INVALID")+COUNTIFS('Istoric_Nativ'!$B$6:$B$405,E786,'Istoric_Nativ'!$C$6:$C$405,F786,'Istoric_Nativ'!$E$6:$E$405,G786,'Istoric_Nativ'!$O$6:$O$405,"INVALID",'Istoric_Nativ'!$D$6:$D$405,"*")+COUNTIFS('Istoric_Nativ'!$B$6:$B$405,E786,'Istoric_Nativ'!$C$6:$C$405,F786,'Istoric_Nativ'!$E$6:$E$405,G786,'Istoric_Nativ'!$D$6:$D$405,"&lt;"&amp;J786,'Istoric_Nativ'!$O$6:$O$405,"SOURCE CONFLICT")+COUNTIFS('Istoric_Nativ'!$B$6:$B$405,E786,'Istoric_Nativ'!$C$6:$C$405,F786,'Istoric_Nativ'!$F$6:$F$405,G786,'Istoric_Nativ'!$D$6:$D$405,"&lt;"&amp;J786,'Istoric_Nativ'!$O$6:$O$405,"INVALID")+COUNTIFS('Istoric_Nativ'!$B$6:$B$405,E786,'Istoric_Nativ'!$C$6:$C$405,F786,'Istoric_Nativ'!$F$6:$F$405,G786,'Istoric_Nativ'!$O$6:$O$405,"INVALID",'Istoric_Nativ'!$D$6:$D$405,"*")+COUNTIFS('Istoric_Nativ'!$B$6:$B$405,E786,'Istoric_Nativ'!$C$6:$C$405,F786,'Istoric_Nativ'!$F$6:$F$405,G786,'Istoric_Nativ'!$D$6:$D$405,"&lt;"&amp;J786,'Istoric_Nativ'!$O$6:$O$405,"SOURCE CONFLICT"))</x:f>
        <x:v>0</x:v>
      </x:c>
      <x:c r="T786" s="2" t="str">
        <x:f>IF(B786="","",IF(R786&lt;&gt;"CLOSED",R786,IF(S786&gt;0,"NATIVE INPUT ISSUE",IF(M786=0,"NO HISTORY",IF(M786&lt;P786,"SMALL SAMPLE","DERIVED")))))</x:f>
      </x:c>
      <x:c r="U786" s="2" t="str">
        <x:f>IF(B786="","","NativeTable; "&amp;E786&amp;"; "&amp;F786&amp;"; "&amp;G786&amp;"; "&amp;H786&amp;"; before "&amp;TEXT(J786,"yyyy-mm-dd")&amp;IF(I786="RECENT","; from "&amp;TEXT(L786,"yyyy-mm-dd"),""))</x:f>
      </x:c>
    </x:row>
    <x:row r="787" ht="21" customHeight="1">
      <x:c r="A787" s="2" t="n">
        <x:v>66</x:v>
      </x:c>
      <x:c r="B787" s="2" t="str">
        <x:f>IF('Input_Meci'!A71="","",'Input_Meci'!A71)</x:f>
      </x:c>
      <x:c r="C787" s="2" t="str">
        <x:v>H</x:v>
      </x:c>
      <x:c r="D787" s="2" t="str">
        <x:v>CURRENT</x:v>
      </x:c>
      <x:c r="E787" s="2" t="str">
        <x:f>IF(B787="","",'Input_Meci'!B71)</x:f>
      </x:c>
      <x:c r="F787" s="2" t="str">
        <x:f>IF(B787="","",IF('Input_Meci'!C71="","",'Input_Meci'!C71))</x:f>
      </x:c>
      <x:c r="G787" s="2" t="str">
        <x:f>IF(B787="","",'Input_Meci'!D71)</x:f>
      </x:c>
      <x:c r="H787" s="2" t="str">
        <x:v>HOME</x:v>
      </x:c>
      <x:c r="I787" s="2" t="str">
        <x:v>HA</x:v>
      </x:c>
      <x:c r="J787" s="9" t="n">
        <x:f>IF(AND(B787&lt;&gt;"",ISNUMBER('Input_Meci'!G71)),INT('Input_Meci'!G71),0)</x:f>
        <x:v>0</x:v>
      </x:c>
      <x:c r="K787" s="2" t="n">
        <x:f>IF(OR(B787="",F787=""),0,IF(H787="HOME",COUNTIFS('Istoric_Nativ'!$B$6:$B$405,E787,'Istoric_Nativ'!$C$6:$C$405,F787,'Istoric_Nativ'!$E$6:$E$405,G787,'Istoric_Nativ'!$D$6:$D$405,"&lt;"&amp;J787,'Istoric_Nativ'!$P$6:$P$405,1),IF(H787="AWAY",COUNTIFS('Istoric_Nativ'!$B$6:$B$405,E787,'Istoric_Nativ'!$C$6:$C$405,F787,'Istoric_Nativ'!$F$6:$F$405,G787,'Istoric_Nativ'!$D$6:$D$405,"&lt;"&amp;J787,'Istoric_Nativ'!$P$6:$P$405,1),COUNTIFS('Istoric_Nativ'!$B$6:$B$405,E787,'Istoric_Nativ'!$C$6:$C$405,F787,'Istoric_Nativ'!$E$6:$E$405,G787,'Istoric_Nativ'!$D$6:$D$405,"&lt;"&amp;J787,'Istoric_Nativ'!$P$6:$P$405,1)+COUNTIFS('Istoric_Nativ'!$B$6:$B$405,E787,'Istoric_Nativ'!$C$6:$C$405,F787,'Istoric_Nativ'!$F$6:$F$405,G787,'Istoric_Nativ'!$D$6:$D$405,"&lt;"&amp;J787,'Istoric_Nativ'!$P$6:$P$405,1))))</x:f>
        <x:v>0</x:v>
      </x:c>
      <x:c r="L787" s="17" t="n">
        <x:f>IF(AND(B787&lt;&gt;"",I787="RECENT",K787&gt;0),LARGE(_xlfn._xlws.FILTER('Istoric_Nativ'!$D$6:$D$405,('Istoric_Nativ'!$B$6:$B$405=E787)*('Istoric_Nativ'!$C$6:$C$405=F787)*('Istoric_Nativ'!$P$6:$P$405=1)*('Istoric_Nativ'!$D$6:$D$405&lt;J787)*((('Istoric_Nativ'!$E$6:$E$405=G787)+('Istoric_Nativ'!$F$6:$F$405=G787))&gt;0)),MIN('Config_v6'!$B$54,K787)),0)</x:f>
        <x:v>0</x:v>
      </x:c>
      <x:c r="M787" s="2" t="n">
        <x:f>IF(OR(B787="",F787=""),0,IF(H787="HOME",COUNTIFS('Istoric_Nativ'!$B$6:$B$405,E787,'Istoric_Nativ'!$C$6:$C$405,F787,'Istoric_Nativ'!$E$6:$E$405,G787,'Istoric_Nativ'!$D$6:$D$405,"&lt;"&amp;J787,'Istoric_Nativ'!$P$6:$P$405,1,'Istoric_Nativ'!$D$6:$D$405,"&gt;="&amp;L787),IF(H787="AWAY",COUNTIFS('Istoric_Nativ'!$B$6:$B$405,E787,'Istoric_Nativ'!$C$6:$C$405,F787,'Istoric_Nativ'!$F$6:$F$405,G787,'Istoric_Nativ'!$D$6:$D$405,"&lt;"&amp;J787,'Istoric_Nativ'!$P$6:$P$405,1,'Istoric_Nativ'!$D$6:$D$405,"&gt;="&amp;L787),COUNTIFS('Istoric_Nativ'!$B$6:$B$405,E787,'Istoric_Nativ'!$C$6:$C$405,F787,'Istoric_Nativ'!$E$6:$E$405,G787,'Istoric_Nativ'!$D$6:$D$405,"&lt;"&amp;J787,'Istoric_Nativ'!$P$6:$P$405,1,'Istoric_Nativ'!$D$6:$D$405,"&gt;="&amp;L787)+COUNTIFS('Istoric_Nativ'!$B$6:$B$405,E787,'Istoric_Nativ'!$C$6:$C$405,F787,'Istoric_Nativ'!$F$6:$F$405,G787,'Istoric_Nativ'!$D$6:$D$405,"&lt;"&amp;J787,'Istoric_Nativ'!$P$6:$P$405,1,'Istoric_Nativ'!$D$6:$D$405,"&gt;="&amp;L787))))</x:f>
        <x:v>0</x:v>
      </x:c>
      <x:c r="N787" s="11" t="str">
        <x:f>IF(M787=0,"",IF(H787="HOME",SUMIFS('Istoric_Nativ'!$G$6:$G$405,'Istoric_Nativ'!$B$6:$B$405,E787,'Istoric_Nativ'!$C$6:$C$405,F787,'Istoric_Nativ'!$E$6:$E$405,G787,'Istoric_Nativ'!$D$6:$D$405,"&lt;"&amp;J787,'Istoric_Nativ'!$P$6:$P$405,1,'Istoric_Nativ'!$D$6:$D$405,"&gt;="&amp;L787),IF(H787="AWAY",SUMIFS('Istoric_Nativ'!$H$6:$H$405,'Istoric_Nativ'!$B$6:$B$405,E787,'Istoric_Nativ'!$C$6:$C$405,F787,'Istoric_Nativ'!$F$6:$F$405,G787,'Istoric_Nativ'!$D$6:$D$405,"&lt;"&amp;J787,'Istoric_Nativ'!$P$6:$P$405,1,'Istoric_Nativ'!$D$6:$D$405,"&gt;="&amp;L787),SUMIFS('Istoric_Nativ'!$G$6:$G$405,'Istoric_Nativ'!$B$6:$B$405,E787,'Istoric_Nativ'!$C$6:$C$405,F787,'Istoric_Nativ'!$E$6:$E$405,G787,'Istoric_Nativ'!$D$6:$D$405,"&lt;"&amp;J787,'Istoric_Nativ'!$P$6:$P$405,1,'Istoric_Nativ'!$D$6:$D$405,"&gt;="&amp;L787)+SUMIFS('Istoric_Nativ'!$H$6:$H$405,'Istoric_Nativ'!$B$6:$B$405,E787,'Istoric_Nativ'!$C$6:$C$405,F787,'Istoric_Nativ'!$F$6:$F$405,G787,'Istoric_Nativ'!$D$6:$D$405,"&lt;"&amp;J787,'Istoric_Nativ'!$P$6:$P$405,1,'Istoric_Nativ'!$D$6:$D$405,"&gt;="&amp;L787)))/M787)</x:f>
      </x:c>
      <x:c r="O787" s="11" t="str">
        <x:f>IF(M787=0,"",IF(H787="HOME",SUMIFS('Istoric_Nativ'!$H$6:$H$405,'Istoric_Nativ'!$B$6:$B$405,E787,'Istoric_Nativ'!$C$6:$C$405,F787,'Istoric_Nativ'!$E$6:$E$405,G787,'Istoric_Nativ'!$D$6:$D$405,"&lt;"&amp;J787,'Istoric_Nativ'!$P$6:$P$405,1,'Istoric_Nativ'!$D$6:$D$405,"&gt;="&amp;L787),IF(H787="AWAY",SUMIFS('Istoric_Nativ'!$G$6:$G$405,'Istoric_Nativ'!$B$6:$B$405,E787,'Istoric_Nativ'!$C$6:$C$405,F787,'Istoric_Nativ'!$F$6:$F$405,G787,'Istoric_Nativ'!$D$6:$D$405,"&lt;"&amp;J787,'Istoric_Nativ'!$P$6:$P$405,1,'Istoric_Nativ'!$D$6:$D$405,"&gt;="&amp;L787),SUMIFS('Istoric_Nativ'!$H$6:$H$405,'Istoric_Nativ'!$B$6:$B$405,E787,'Istoric_Nativ'!$C$6:$C$405,F787,'Istoric_Nativ'!$E$6:$E$405,G787,'Istoric_Nativ'!$D$6:$D$405,"&lt;"&amp;J787,'Istoric_Nativ'!$P$6:$P$405,1,'Istoric_Nativ'!$D$6:$D$405,"&gt;="&amp;L787)+SUMIFS('Istoric_Nativ'!$G$6:$G$405,'Istoric_Nativ'!$B$6:$B$405,E787,'Istoric_Nativ'!$C$6:$C$405,F787,'Istoric_Nativ'!$F$6:$F$405,G787,'Istoric_Nativ'!$D$6:$D$405,"&lt;"&amp;J787,'Istoric_Nativ'!$P$6:$P$405,1,'Istoric_Nativ'!$D$6:$D$405,"&gt;="&amp;L787)))/M787)</x:f>
      </x:c>
      <x:c r="P787" s="2" t="n">
        <x:f>'Config_v6'!$B$8</x:f>
        <x:v>5</x:v>
      </x:c>
      <x:c r="Q787" s="2" t="n">
        <x:f>IF(OR(B787="",F787=""),0,IFERROR(MATCH(E787&amp;"|"&amp;F787,SourceTable[Source_Key],0),0))</x:f>
        <x:v>0</x:v>
      </x:c>
      <x:c r="R787" s="2" t="str">
        <x:f>IF(B787="","",IF(F787="","UNUSED",IF(Q787=0,"NOT CHECKED",IF(COUNTIF(SourceTable[Source_Key],E787&amp;"|"&amp;F787)&lt;&gt;1,"SOURCE CONFLICT",IF(NOT(OR(INDEX(SourceTable[Status],MAX(1,Q787))="IMPORTED",INDEX(SourceTable[Status],MAX(1,Q787))="PARTIAL",INDEX(SourceTable[Status],MAX(1,Q787))="SOURCE CONFLICT")),"ACCESS BLOCKED",IF(OR(INDEX(SourceTable[Coverage],Q787)&lt;&gt;"FULL SEASON EXPORT",INDEX(SourceTable[URL],Q787)="",INDEX(SourceTable[SHA256],Q787)=""),"EVIDENCE INCOMPLETE",IF(AND('Input_Meci'!H71="LIVE",INDEX(SourceTable[Retrieved_UTC],Q787)&gt;'Input_Meci'!G71),"POST CUTOFF","CLOSED")))))))</x:f>
      </x:c>
      <x:c r="S787" s="2" t="n">
        <x:f>IF(OR(B787="",F787=""),0,COUNTIFS('Istoric_Nativ'!$B$6:$B$405,E787,'Istoric_Nativ'!$C$6:$C$405,F787,'Istoric_Nativ'!$E$6:$E$405,G787,'Istoric_Nativ'!$D$6:$D$405,"&lt;"&amp;J787,'Istoric_Nativ'!$O$6:$O$405,"INVALID")+COUNTIFS('Istoric_Nativ'!$B$6:$B$405,E787,'Istoric_Nativ'!$C$6:$C$405,F787,'Istoric_Nativ'!$E$6:$E$405,G787,'Istoric_Nativ'!$O$6:$O$405,"INVALID",'Istoric_Nativ'!$D$6:$D$405,"*")+COUNTIFS('Istoric_Nativ'!$B$6:$B$405,E787,'Istoric_Nativ'!$C$6:$C$405,F787,'Istoric_Nativ'!$E$6:$E$405,G787,'Istoric_Nativ'!$D$6:$D$405,"&lt;"&amp;J787,'Istoric_Nativ'!$O$6:$O$405,"SOURCE CONFLICT")+COUNTIFS('Istoric_Nativ'!$B$6:$B$405,E787,'Istoric_Nativ'!$C$6:$C$405,F787,'Istoric_Nativ'!$F$6:$F$405,G787,'Istoric_Nativ'!$D$6:$D$405,"&lt;"&amp;J787,'Istoric_Nativ'!$O$6:$O$405,"INVALID")+COUNTIFS('Istoric_Nativ'!$B$6:$B$405,E787,'Istoric_Nativ'!$C$6:$C$405,F787,'Istoric_Nativ'!$F$6:$F$405,G787,'Istoric_Nativ'!$O$6:$O$405,"INVALID",'Istoric_Nativ'!$D$6:$D$405,"*")+COUNTIFS('Istoric_Nativ'!$B$6:$B$405,E787,'Istoric_Nativ'!$C$6:$C$405,F787,'Istoric_Nativ'!$F$6:$F$405,G787,'Istoric_Nativ'!$D$6:$D$405,"&lt;"&amp;J787,'Istoric_Nativ'!$O$6:$O$405,"SOURCE CONFLICT"))</x:f>
        <x:v>0</x:v>
      </x:c>
      <x:c r="T787" s="2" t="str">
        <x:f>IF(B787="","",IF(R787&lt;&gt;"CLOSED",R787,IF(S787&gt;0,"NATIVE INPUT ISSUE",IF(M787=0,"NO HISTORY",IF(M787&lt;P787,"SMALL SAMPLE","DERIVED")))))</x:f>
      </x:c>
      <x:c r="U787" s="2" t="str">
        <x:f>IF(B787="","","NativeTable; "&amp;E787&amp;"; "&amp;F787&amp;"; "&amp;G787&amp;"; "&amp;H787&amp;"; before "&amp;TEXT(J787,"yyyy-mm-dd")&amp;IF(I787="RECENT","; from "&amp;TEXT(L787,"yyyy-mm-dd"),""))</x:f>
      </x:c>
    </x:row>
    <x:row r="788" ht="21" customHeight="1">
      <x:c r="A788" s="2" t="n">
        <x:v>66</x:v>
      </x:c>
      <x:c r="B788" s="2" t="str">
        <x:f>IF('Input_Meci'!A71="","",'Input_Meci'!A71)</x:f>
      </x:c>
      <x:c r="C788" s="2" t="str">
        <x:v>H</x:v>
      </x:c>
      <x:c r="D788" s="2" t="str">
        <x:v>CURRENT</x:v>
      </x:c>
      <x:c r="E788" s="2" t="str">
        <x:f>IF(B788="","",'Input_Meci'!B71)</x:f>
      </x:c>
      <x:c r="F788" s="2" t="str">
        <x:f>IF(B788="","",IF('Input_Meci'!C71="","",'Input_Meci'!C71))</x:f>
      </x:c>
      <x:c r="G788" s="2" t="str">
        <x:f>IF(B788="","",'Input_Meci'!D71)</x:f>
      </x:c>
      <x:c r="H788" s="2" t="str">
        <x:v>ANY</x:v>
      </x:c>
      <x:c r="I788" s="2" t="str">
        <x:v>RECENT</x:v>
      </x:c>
      <x:c r="J788" s="9" t="n">
        <x:f>IF(AND(B788&lt;&gt;"",ISNUMBER('Input_Meci'!G71)),INT('Input_Meci'!G71),0)</x:f>
        <x:v>0</x:v>
      </x:c>
      <x:c r="K788" s="2" t="n">
        <x:f>IF(OR(B788="",F788=""),0,IF(H788="HOME",COUNTIFS('Istoric_Nativ'!$B$6:$B$405,E788,'Istoric_Nativ'!$C$6:$C$405,F788,'Istoric_Nativ'!$E$6:$E$405,G788,'Istoric_Nativ'!$D$6:$D$405,"&lt;"&amp;J788,'Istoric_Nativ'!$P$6:$P$405,1),IF(H788="AWAY",COUNTIFS('Istoric_Nativ'!$B$6:$B$405,E788,'Istoric_Nativ'!$C$6:$C$405,F788,'Istoric_Nativ'!$F$6:$F$405,G788,'Istoric_Nativ'!$D$6:$D$405,"&lt;"&amp;J788,'Istoric_Nativ'!$P$6:$P$405,1),COUNTIFS('Istoric_Nativ'!$B$6:$B$405,E788,'Istoric_Nativ'!$C$6:$C$405,F788,'Istoric_Nativ'!$E$6:$E$405,G788,'Istoric_Nativ'!$D$6:$D$405,"&lt;"&amp;J788,'Istoric_Nativ'!$P$6:$P$405,1)+COUNTIFS('Istoric_Nativ'!$B$6:$B$405,E788,'Istoric_Nativ'!$C$6:$C$405,F788,'Istoric_Nativ'!$F$6:$F$405,G788,'Istoric_Nativ'!$D$6:$D$405,"&lt;"&amp;J788,'Istoric_Nativ'!$P$6:$P$405,1))))</x:f>
        <x:v>0</x:v>
      </x:c>
      <x:c r="L788" s="17" t="n">
        <x:f>IF(AND(B788&lt;&gt;"",I788="RECENT",K788&gt;0),LARGE(_xlfn._xlws.FILTER('Istoric_Nativ'!$D$6:$D$405,('Istoric_Nativ'!$B$6:$B$405=E788)*('Istoric_Nativ'!$C$6:$C$405=F788)*('Istoric_Nativ'!$P$6:$P$405=1)*('Istoric_Nativ'!$D$6:$D$405&lt;J788)*((('Istoric_Nativ'!$E$6:$E$405=G788)+('Istoric_Nativ'!$F$6:$F$405=G788))&gt;0)),MIN('Config_v6'!$B$54,K788)),0)</x:f>
        <x:v>0</x:v>
      </x:c>
      <x:c r="M788" s="2" t="n">
        <x:f>IF(OR(B788="",F788=""),0,IF(H788="HOME",COUNTIFS('Istoric_Nativ'!$B$6:$B$405,E788,'Istoric_Nativ'!$C$6:$C$405,F788,'Istoric_Nativ'!$E$6:$E$405,G788,'Istoric_Nativ'!$D$6:$D$405,"&lt;"&amp;J788,'Istoric_Nativ'!$P$6:$P$405,1,'Istoric_Nativ'!$D$6:$D$405,"&gt;="&amp;L788),IF(H788="AWAY",COUNTIFS('Istoric_Nativ'!$B$6:$B$405,E788,'Istoric_Nativ'!$C$6:$C$405,F788,'Istoric_Nativ'!$F$6:$F$405,G788,'Istoric_Nativ'!$D$6:$D$405,"&lt;"&amp;J788,'Istoric_Nativ'!$P$6:$P$405,1,'Istoric_Nativ'!$D$6:$D$405,"&gt;="&amp;L788),COUNTIFS('Istoric_Nativ'!$B$6:$B$405,E788,'Istoric_Nativ'!$C$6:$C$405,F788,'Istoric_Nativ'!$E$6:$E$405,G788,'Istoric_Nativ'!$D$6:$D$405,"&lt;"&amp;J788,'Istoric_Nativ'!$P$6:$P$405,1,'Istoric_Nativ'!$D$6:$D$405,"&gt;="&amp;L788)+COUNTIFS('Istoric_Nativ'!$B$6:$B$405,E788,'Istoric_Nativ'!$C$6:$C$405,F788,'Istoric_Nativ'!$F$6:$F$405,G788,'Istoric_Nativ'!$D$6:$D$405,"&lt;"&amp;J788,'Istoric_Nativ'!$P$6:$P$405,1,'Istoric_Nativ'!$D$6:$D$405,"&gt;="&amp;L788))))</x:f>
        <x:v>0</x:v>
      </x:c>
      <x:c r="N788" s="11" t="str">
        <x:f>IF(M788=0,"",IF(H788="HOME",SUMIFS('Istoric_Nativ'!$G$6:$G$405,'Istoric_Nativ'!$B$6:$B$405,E788,'Istoric_Nativ'!$C$6:$C$405,F788,'Istoric_Nativ'!$E$6:$E$405,G788,'Istoric_Nativ'!$D$6:$D$405,"&lt;"&amp;J788,'Istoric_Nativ'!$P$6:$P$405,1,'Istoric_Nativ'!$D$6:$D$405,"&gt;="&amp;L788),IF(H788="AWAY",SUMIFS('Istoric_Nativ'!$H$6:$H$405,'Istoric_Nativ'!$B$6:$B$405,E788,'Istoric_Nativ'!$C$6:$C$405,F788,'Istoric_Nativ'!$F$6:$F$405,G788,'Istoric_Nativ'!$D$6:$D$405,"&lt;"&amp;J788,'Istoric_Nativ'!$P$6:$P$405,1,'Istoric_Nativ'!$D$6:$D$405,"&gt;="&amp;L788),SUMIFS('Istoric_Nativ'!$G$6:$G$405,'Istoric_Nativ'!$B$6:$B$405,E788,'Istoric_Nativ'!$C$6:$C$405,F788,'Istoric_Nativ'!$E$6:$E$405,G788,'Istoric_Nativ'!$D$6:$D$405,"&lt;"&amp;J788,'Istoric_Nativ'!$P$6:$P$405,1,'Istoric_Nativ'!$D$6:$D$405,"&gt;="&amp;L788)+SUMIFS('Istoric_Nativ'!$H$6:$H$405,'Istoric_Nativ'!$B$6:$B$405,E788,'Istoric_Nativ'!$C$6:$C$405,F788,'Istoric_Nativ'!$F$6:$F$405,G788,'Istoric_Nativ'!$D$6:$D$405,"&lt;"&amp;J788,'Istoric_Nativ'!$P$6:$P$405,1,'Istoric_Nativ'!$D$6:$D$405,"&gt;="&amp;L788)))/M788)</x:f>
      </x:c>
      <x:c r="O788" s="11" t="str">
        <x:f>IF(M788=0,"",IF(H788="HOME",SUMIFS('Istoric_Nativ'!$H$6:$H$405,'Istoric_Nativ'!$B$6:$B$405,E788,'Istoric_Nativ'!$C$6:$C$405,F788,'Istoric_Nativ'!$E$6:$E$405,G788,'Istoric_Nativ'!$D$6:$D$405,"&lt;"&amp;J788,'Istoric_Nativ'!$P$6:$P$405,1,'Istoric_Nativ'!$D$6:$D$405,"&gt;="&amp;L788),IF(H788="AWAY",SUMIFS('Istoric_Nativ'!$G$6:$G$405,'Istoric_Nativ'!$B$6:$B$405,E788,'Istoric_Nativ'!$C$6:$C$405,F788,'Istoric_Nativ'!$F$6:$F$405,G788,'Istoric_Nativ'!$D$6:$D$405,"&lt;"&amp;J788,'Istoric_Nativ'!$P$6:$P$405,1,'Istoric_Nativ'!$D$6:$D$405,"&gt;="&amp;L788),SUMIFS('Istoric_Nativ'!$H$6:$H$405,'Istoric_Nativ'!$B$6:$B$405,E788,'Istoric_Nativ'!$C$6:$C$405,F788,'Istoric_Nativ'!$E$6:$E$405,G788,'Istoric_Nativ'!$D$6:$D$405,"&lt;"&amp;J788,'Istoric_Nativ'!$P$6:$P$405,1,'Istoric_Nativ'!$D$6:$D$405,"&gt;="&amp;L788)+SUMIFS('Istoric_Nativ'!$G$6:$G$405,'Istoric_Nativ'!$B$6:$B$405,E788,'Istoric_Nativ'!$C$6:$C$405,F788,'Istoric_Nativ'!$F$6:$F$405,G788,'Istoric_Nativ'!$D$6:$D$405,"&lt;"&amp;J788,'Istoric_Nativ'!$P$6:$P$405,1,'Istoric_Nativ'!$D$6:$D$405,"&gt;="&amp;L788)))/M788)</x:f>
      </x:c>
      <x:c r="P788" s="2" t="n">
        <x:f>'Config_v6'!$B$9</x:f>
        <x:v>3</x:v>
      </x:c>
      <x:c r="Q788" s="2" t="n">
        <x:f>IF(OR(B788="",F788=""),0,IFERROR(MATCH(E788&amp;"|"&amp;F788,SourceTable[Source_Key],0),0))</x:f>
        <x:v>0</x:v>
      </x:c>
      <x:c r="R788" s="2" t="str">
        <x:f>IF(B788="","",IF(F788="","UNUSED",IF(Q788=0,"NOT CHECKED",IF(COUNTIF(SourceTable[Source_Key],E788&amp;"|"&amp;F788)&lt;&gt;1,"SOURCE CONFLICT",IF(NOT(OR(INDEX(SourceTable[Status],MAX(1,Q788))="IMPORTED",INDEX(SourceTable[Status],MAX(1,Q788))="PARTIAL",INDEX(SourceTable[Status],MAX(1,Q788))="SOURCE CONFLICT")),"ACCESS BLOCKED",IF(OR(INDEX(SourceTable[Coverage],Q788)&lt;&gt;"FULL SEASON EXPORT",INDEX(SourceTable[URL],Q788)="",INDEX(SourceTable[SHA256],Q788)=""),"EVIDENCE INCOMPLETE",IF(AND('Input_Meci'!H71="LIVE",INDEX(SourceTable[Retrieved_UTC],Q788)&gt;'Input_Meci'!G71),"POST CUTOFF","CLOSED")))))))</x:f>
      </x:c>
      <x:c r="S788" s="2" t="n">
        <x:f>IF(OR(B788="",F788=""),0,COUNTIFS('Istoric_Nativ'!$B$6:$B$405,E788,'Istoric_Nativ'!$C$6:$C$405,F788,'Istoric_Nativ'!$E$6:$E$405,G788,'Istoric_Nativ'!$D$6:$D$405,"&lt;"&amp;J788,'Istoric_Nativ'!$O$6:$O$405,"INVALID")+COUNTIFS('Istoric_Nativ'!$B$6:$B$405,E788,'Istoric_Nativ'!$C$6:$C$405,F788,'Istoric_Nativ'!$E$6:$E$405,G788,'Istoric_Nativ'!$O$6:$O$405,"INVALID",'Istoric_Nativ'!$D$6:$D$405,"*")+COUNTIFS('Istoric_Nativ'!$B$6:$B$405,E788,'Istoric_Nativ'!$C$6:$C$405,F788,'Istoric_Nativ'!$E$6:$E$405,G788,'Istoric_Nativ'!$D$6:$D$405,"&lt;"&amp;J788,'Istoric_Nativ'!$O$6:$O$405,"SOURCE CONFLICT")+COUNTIFS('Istoric_Nativ'!$B$6:$B$405,E788,'Istoric_Nativ'!$C$6:$C$405,F788,'Istoric_Nativ'!$F$6:$F$405,G788,'Istoric_Nativ'!$D$6:$D$405,"&lt;"&amp;J788,'Istoric_Nativ'!$O$6:$O$405,"INVALID")+COUNTIFS('Istoric_Nativ'!$B$6:$B$405,E788,'Istoric_Nativ'!$C$6:$C$405,F788,'Istoric_Nativ'!$F$6:$F$405,G788,'Istoric_Nativ'!$O$6:$O$405,"INVALID",'Istoric_Nativ'!$D$6:$D$405,"*")+COUNTIFS('Istoric_Nativ'!$B$6:$B$405,E788,'Istoric_Nativ'!$C$6:$C$405,F788,'Istoric_Nativ'!$F$6:$F$405,G788,'Istoric_Nativ'!$D$6:$D$405,"&lt;"&amp;J788,'Istoric_Nativ'!$O$6:$O$405,"SOURCE CONFLICT"))</x:f>
        <x:v>0</x:v>
      </x:c>
      <x:c r="T788" s="2" t="str">
        <x:f>IF(B788="","",IF(R788&lt;&gt;"CLOSED",R788,IF(S788&gt;0,"NATIVE INPUT ISSUE",IF(M788=0,"NO HISTORY",IF(M788&lt;P788,"SMALL SAMPLE","DERIVED")))))</x:f>
      </x:c>
      <x:c r="U788" s="2" t="str">
        <x:f>IF(B788="","","NativeTable; "&amp;E788&amp;"; "&amp;F788&amp;"; "&amp;G788&amp;"; "&amp;H788&amp;"; before "&amp;TEXT(J788,"yyyy-mm-dd")&amp;IF(I788="RECENT","; from "&amp;TEXT(L788,"yyyy-mm-dd"),""))</x:f>
      </x:c>
    </x:row>
    <x:row r="789" ht="21" customHeight="1">
      <x:c r="A789" s="2" t="n">
        <x:v>66</x:v>
      </x:c>
      <x:c r="B789" s="2" t="str">
        <x:f>IF('Input_Meci'!A71="","",'Input_Meci'!A71)</x:f>
      </x:c>
      <x:c r="C789" s="2" t="str">
        <x:v>A</x:v>
      </x:c>
      <x:c r="D789" s="2" t="str">
        <x:v>CURRENT</x:v>
      </x:c>
      <x:c r="E789" s="2" t="str">
        <x:f>IF(B789="","",'Input_Meci'!B71)</x:f>
      </x:c>
      <x:c r="F789" s="2" t="str">
        <x:f>IF(B789="","",IF('Input_Meci'!C71="","",'Input_Meci'!C71))</x:f>
      </x:c>
      <x:c r="G789" s="2" t="str">
        <x:f>IF(B789="","",'Input_Meci'!E71)</x:f>
      </x:c>
      <x:c r="H789" s="2" t="str">
        <x:v>ANY</x:v>
      </x:c>
      <x:c r="I789" s="2" t="str">
        <x:v>SEASON</x:v>
      </x:c>
      <x:c r="J789" s="9" t="n">
        <x:f>IF(AND(B789&lt;&gt;"",ISNUMBER('Input_Meci'!G71)),INT('Input_Meci'!G71),0)</x:f>
        <x:v>0</x:v>
      </x:c>
      <x:c r="K789" s="2" t="n">
        <x:f>IF(OR(B789="",F789=""),0,IF(H789="HOME",COUNTIFS('Istoric_Nativ'!$B$6:$B$405,E789,'Istoric_Nativ'!$C$6:$C$405,F789,'Istoric_Nativ'!$E$6:$E$405,G789,'Istoric_Nativ'!$D$6:$D$405,"&lt;"&amp;J789,'Istoric_Nativ'!$P$6:$P$405,1),IF(H789="AWAY",COUNTIFS('Istoric_Nativ'!$B$6:$B$405,E789,'Istoric_Nativ'!$C$6:$C$405,F789,'Istoric_Nativ'!$F$6:$F$405,G789,'Istoric_Nativ'!$D$6:$D$405,"&lt;"&amp;J789,'Istoric_Nativ'!$P$6:$P$405,1),COUNTIFS('Istoric_Nativ'!$B$6:$B$405,E789,'Istoric_Nativ'!$C$6:$C$405,F789,'Istoric_Nativ'!$E$6:$E$405,G789,'Istoric_Nativ'!$D$6:$D$405,"&lt;"&amp;J789,'Istoric_Nativ'!$P$6:$P$405,1)+COUNTIFS('Istoric_Nativ'!$B$6:$B$405,E789,'Istoric_Nativ'!$C$6:$C$405,F789,'Istoric_Nativ'!$F$6:$F$405,G789,'Istoric_Nativ'!$D$6:$D$405,"&lt;"&amp;J789,'Istoric_Nativ'!$P$6:$P$405,1))))</x:f>
        <x:v>0</x:v>
      </x:c>
      <x:c r="L789" s="17" t="n">
        <x:f>IF(AND(B789&lt;&gt;"",I789="RECENT",K789&gt;0),LARGE(_xlfn._xlws.FILTER('Istoric_Nativ'!$D$6:$D$405,('Istoric_Nativ'!$B$6:$B$405=E789)*('Istoric_Nativ'!$C$6:$C$405=F789)*('Istoric_Nativ'!$P$6:$P$405=1)*('Istoric_Nativ'!$D$6:$D$405&lt;J789)*((('Istoric_Nativ'!$E$6:$E$405=G789)+('Istoric_Nativ'!$F$6:$F$405=G789))&gt;0)),MIN('Config_v6'!$B$54,K789)),0)</x:f>
        <x:v>0</x:v>
      </x:c>
      <x:c r="M789" s="2" t="n">
        <x:f>IF(OR(B789="",F789=""),0,IF(H789="HOME",COUNTIFS('Istoric_Nativ'!$B$6:$B$405,E789,'Istoric_Nativ'!$C$6:$C$405,F789,'Istoric_Nativ'!$E$6:$E$405,G789,'Istoric_Nativ'!$D$6:$D$405,"&lt;"&amp;J789,'Istoric_Nativ'!$P$6:$P$405,1,'Istoric_Nativ'!$D$6:$D$405,"&gt;="&amp;L789),IF(H789="AWAY",COUNTIFS('Istoric_Nativ'!$B$6:$B$405,E789,'Istoric_Nativ'!$C$6:$C$405,F789,'Istoric_Nativ'!$F$6:$F$405,G789,'Istoric_Nativ'!$D$6:$D$405,"&lt;"&amp;J789,'Istoric_Nativ'!$P$6:$P$405,1,'Istoric_Nativ'!$D$6:$D$405,"&gt;="&amp;L789),COUNTIFS('Istoric_Nativ'!$B$6:$B$405,E789,'Istoric_Nativ'!$C$6:$C$405,F789,'Istoric_Nativ'!$E$6:$E$405,G789,'Istoric_Nativ'!$D$6:$D$405,"&lt;"&amp;J789,'Istoric_Nativ'!$P$6:$P$405,1,'Istoric_Nativ'!$D$6:$D$405,"&gt;="&amp;L789)+COUNTIFS('Istoric_Nativ'!$B$6:$B$405,E789,'Istoric_Nativ'!$C$6:$C$405,F789,'Istoric_Nativ'!$F$6:$F$405,G789,'Istoric_Nativ'!$D$6:$D$405,"&lt;"&amp;J789,'Istoric_Nativ'!$P$6:$P$405,1,'Istoric_Nativ'!$D$6:$D$405,"&gt;="&amp;L789))))</x:f>
        <x:v>0</x:v>
      </x:c>
      <x:c r="N789" s="11" t="str">
        <x:f>IF(M789=0,"",IF(H789="HOME",SUMIFS('Istoric_Nativ'!$G$6:$G$405,'Istoric_Nativ'!$B$6:$B$405,E789,'Istoric_Nativ'!$C$6:$C$405,F789,'Istoric_Nativ'!$E$6:$E$405,G789,'Istoric_Nativ'!$D$6:$D$405,"&lt;"&amp;J789,'Istoric_Nativ'!$P$6:$P$405,1,'Istoric_Nativ'!$D$6:$D$405,"&gt;="&amp;L789),IF(H789="AWAY",SUMIFS('Istoric_Nativ'!$H$6:$H$405,'Istoric_Nativ'!$B$6:$B$405,E789,'Istoric_Nativ'!$C$6:$C$405,F789,'Istoric_Nativ'!$F$6:$F$405,G789,'Istoric_Nativ'!$D$6:$D$405,"&lt;"&amp;J789,'Istoric_Nativ'!$P$6:$P$405,1,'Istoric_Nativ'!$D$6:$D$405,"&gt;="&amp;L789),SUMIFS('Istoric_Nativ'!$G$6:$G$405,'Istoric_Nativ'!$B$6:$B$405,E789,'Istoric_Nativ'!$C$6:$C$405,F789,'Istoric_Nativ'!$E$6:$E$405,G789,'Istoric_Nativ'!$D$6:$D$405,"&lt;"&amp;J789,'Istoric_Nativ'!$P$6:$P$405,1,'Istoric_Nativ'!$D$6:$D$405,"&gt;="&amp;L789)+SUMIFS('Istoric_Nativ'!$H$6:$H$405,'Istoric_Nativ'!$B$6:$B$405,E789,'Istoric_Nativ'!$C$6:$C$405,F789,'Istoric_Nativ'!$F$6:$F$405,G789,'Istoric_Nativ'!$D$6:$D$405,"&lt;"&amp;J789,'Istoric_Nativ'!$P$6:$P$405,1,'Istoric_Nativ'!$D$6:$D$405,"&gt;="&amp;L789)))/M789)</x:f>
      </x:c>
      <x:c r="O789" s="11" t="str">
        <x:f>IF(M789=0,"",IF(H789="HOME",SUMIFS('Istoric_Nativ'!$H$6:$H$405,'Istoric_Nativ'!$B$6:$B$405,E789,'Istoric_Nativ'!$C$6:$C$405,F789,'Istoric_Nativ'!$E$6:$E$405,G789,'Istoric_Nativ'!$D$6:$D$405,"&lt;"&amp;J789,'Istoric_Nativ'!$P$6:$P$405,1,'Istoric_Nativ'!$D$6:$D$405,"&gt;="&amp;L789),IF(H789="AWAY",SUMIFS('Istoric_Nativ'!$G$6:$G$405,'Istoric_Nativ'!$B$6:$B$405,E789,'Istoric_Nativ'!$C$6:$C$405,F789,'Istoric_Nativ'!$F$6:$F$405,G789,'Istoric_Nativ'!$D$6:$D$405,"&lt;"&amp;J789,'Istoric_Nativ'!$P$6:$P$405,1,'Istoric_Nativ'!$D$6:$D$405,"&gt;="&amp;L789),SUMIFS('Istoric_Nativ'!$H$6:$H$405,'Istoric_Nativ'!$B$6:$B$405,E789,'Istoric_Nativ'!$C$6:$C$405,F789,'Istoric_Nativ'!$E$6:$E$405,G789,'Istoric_Nativ'!$D$6:$D$405,"&lt;"&amp;J789,'Istoric_Nativ'!$P$6:$P$405,1,'Istoric_Nativ'!$D$6:$D$405,"&gt;="&amp;L789)+SUMIFS('Istoric_Nativ'!$G$6:$G$405,'Istoric_Nativ'!$B$6:$B$405,E789,'Istoric_Nativ'!$C$6:$C$405,F789,'Istoric_Nativ'!$F$6:$F$405,G789,'Istoric_Nativ'!$D$6:$D$405,"&lt;"&amp;J789,'Istoric_Nativ'!$P$6:$P$405,1,'Istoric_Nativ'!$D$6:$D$405,"&gt;="&amp;L789)))/M789)</x:f>
      </x:c>
      <x:c r="P789" s="2" t="n">
        <x:f>'Config_v6'!$B$7</x:f>
        <x:v>10</x:v>
      </x:c>
      <x:c r="Q789" s="2" t="n">
        <x:f>IF(OR(B789="",F789=""),0,IFERROR(MATCH(E789&amp;"|"&amp;F789,SourceTable[Source_Key],0),0))</x:f>
        <x:v>0</x:v>
      </x:c>
      <x:c r="R789" s="2" t="str">
        <x:f>IF(B789="","",IF(F789="","UNUSED",IF(Q789=0,"NOT CHECKED",IF(COUNTIF(SourceTable[Source_Key],E789&amp;"|"&amp;F789)&lt;&gt;1,"SOURCE CONFLICT",IF(NOT(OR(INDEX(SourceTable[Status],MAX(1,Q789))="IMPORTED",INDEX(SourceTable[Status],MAX(1,Q789))="PARTIAL",INDEX(SourceTable[Status],MAX(1,Q789))="SOURCE CONFLICT")),"ACCESS BLOCKED",IF(OR(INDEX(SourceTable[Coverage],Q789)&lt;&gt;"FULL SEASON EXPORT",INDEX(SourceTable[URL],Q789)="",INDEX(SourceTable[SHA256],Q789)=""),"EVIDENCE INCOMPLETE",IF(AND('Input_Meci'!H71="LIVE",INDEX(SourceTable[Retrieved_UTC],Q789)&gt;'Input_Meci'!G71),"POST CUTOFF","CLOSED")))))))</x:f>
      </x:c>
      <x:c r="S789" s="2" t="n">
        <x:f>IF(OR(B789="",F789=""),0,COUNTIFS('Istoric_Nativ'!$B$6:$B$405,E789,'Istoric_Nativ'!$C$6:$C$405,F789,'Istoric_Nativ'!$E$6:$E$405,G789,'Istoric_Nativ'!$D$6:$D$405,"&lt;"&amp;J789,'Istoric_Nativ'!$O$6:$O$405,"INVALID")+COUNTIFS('Istoric_Nativ'!$B$6:$B$405,E789,'Istoric_Nativ'!$C$6:$C$405,F789,'Istoric_Nativ'!$E$6:$E$405,G789,'Istoric_Nativ'!$O$6:$O$405,"INVALID",'Istoric_Nativ'!$D$6:$D$405,"*")+COUNTIFS('Istoric_Nativ'!$B$6:$B$405,E789,'Istoric_Nativ'!$C$6:$C$405,F789,'Istoric_Nativ'!$E$6:$E$405,G789,'Istoric_Nativ'!$D$6:$D$405,"&lt;"&amp;J789,'Istoric_Nativ'!$O$6:$O$405,"SOURCE CONFLICT")+COUNTIFS('Istoric_Nativ'!$B$6:$B$405,E789,'Istoric_Nativ'!$C$6:$C$405,F789,'Istoric_Nativ'!$F$6:$F$405,G789,'Istoric_Nativ'!$D$6:$D$405,"&lt;"&amp;J789,'Istoric_Nativ'!$O$6:$O$405,"INVALID")+COUNTIFS('Istoric_Nativ'!$B$6:$B$405,E789,'Istoric_Nativ'!$C$6:$C$405,F789,'Istoric_Nativ'!$F$6:$F$405,G789,'Istoric_Nativ'!$O$6:$O$405,"INVALID",'Istoric_Nativ'!$D$6:$D$405,"*")+COUNTIFS('Istoric_Nativ'!$B$6:$B$405,E789,'Istoric_Nativ'!$C$6:$C$405,F789,'Istoric_Nativ'!$F$6:$F$405,G789,'Istoric_Nativ'!$D$6:$D$405,"&lt;"&amp;J789,'Istoric_Nativ'!$O$6:$O$405,"SOURCE CONFLICT"))</x:f>
        <x:v>0</x:v>
      </x:c>
      <x:c r="T789" s="2" t="str">
        <x:f>IF(B789="","",IF(R789&lt;&gt;"CLOSED",R789,IF(S789&gt;0,"NATIVE INPUT ISSUE",IF(M789=0,"NO HISTORY",IF(M789&lt;P789,"SMALL SAMPLE","DERIVED")))))</x:f>
      </x:c>
      <x:c r="U789" s="2" t="str">
        <x:f>IF(B789="","","NativeTable; "&amp;E789&amp;"; "&amp;F789&amp;"; "&amp;G789&amp;"; "&amp;H789&amp;"; before "&amp;TEXT(J789,"yyyy-mm-dd")&amp;IF(I789="RECENT","; from "&amp;TEXT(L789,"yyyy-mm-dd"),""))</x:f>
      </x:c>
    </x:row>
    <x:row r="790" ht="21" customHeight="1">
      <x:c r="A790" s="2" t="n">
        <x:v>66</x:v>
      </x:c>
      <x:c r="B790" s="2" t="str">
        <x:f>IF('Input_Meci'!A71="","",'Input_Meci'!A71)</x:f>
      </x:c>
      <x:c r="C790" s="2" t="str">
        <x:v>A</x:v>
      </x:c>
      <x:c r="D790" s="2" t="str">
        <x:v>CURRENT</x:v>
      </x:c>
      <x:c r="E790" s="2" t="str">
        <x:f>IF(B790="","",'Input_Meci'!B71)</x:f>
      </x:c>
      <x:c r="F790" s="2" t="str">
        <x:f>IF(B790="","",IF('Input_Meci'!C71="","",'Input_Meci'!C71))</x:f>
      </x:c>
      <x:c r="G790" s="2" t="str">
        <x:f>IF(B790="","",'Input_Meci'!E71)</x:f>
      </x:c>
      <x:c r="H790" s="2" t="str">
        <x:v>AWAY</x:v>
      </x:c>
      <x:c r="I790" s="2" t="str">
        <x:v>HA</x:v>
      </x:c>
      <x:c r="J790" s="9" t="n">
        <x:f>IF(AND(B790&lt;&gt;"",ISNUMBER('Input_Meci'!G71)),INT('Input_Meci'!G71),0)</x:f>
        <x:v>0</x:v>
      </x:c>
      <x:c r="K790" s="2" t="n">
        <x:f>IF(OR(B790="",F790=""),0,IF(H790="HOME",COUNTIFS('Istoric_Nativ'!$B$6:$B$405,E790,'Istoric_Nativ'!$C$6:$C$405,F790,'Istoric_Nativ'!$E$6:$E$405,G790,'Istoric_Nativ'!$D$6:$D$405,"&lt;"&amp;J790,'Istoric_Nativ'!$P$6:$P$405,1),IF(H790="AWAY",COUNTIFS('Istoric_Nativ'!$B$6:$B$405,E790,'Istoric_Nativ'!$C$6:$C$405,F790,'Istoric_Nativ'!$F$6:$F$405,G790,'Istoric_Nativ'!$D$6:$D$405,"&lt;"&amp;J790,'Istoric_Nativ'!$P$6:$P$405,1),COUNTIFS('Istoric_Nativ'!$B$6:$B$405,E790,'Istoric_Nativ'!$C$6:$C$405,F790,'Istoric_Nativ'!$E$6:$E$405,G790,'Istoric_Nativ'!$D$6:$D$405,"&lt;"&amp;J790,'Istoric_Nativ'!$P$6:$P$405,1)+COUNTIFS('Istoric_Nativ'!$B$6:$B$405,E790,'Istoric_Nativ'!$C$6:$C$405,F790,'Istoric_Nativ'!$F$6:$F$405,G790,'Istoric_Nativ'!$D$6:$D$405,"&lt;"&amp;J790,'Istoric_Nativ'!$P$6:$P$405,1))))</x:f>
        <x:v>0</x:v>
      </x:c>
      <x:c r="L790" s="17" t="n">
        <x:f>IF(AND(B790&lt;&gt;"",I790="RECENT",K790&gt;0),LARGE(_xlfn._xlws.FILTER('Istoric_Nativ'!$D$6:$D$405,('Istoric_Nativ'!$B$6:$B$405=E790)*('Istoric_Nativ'!$C$6:$C$405=F790)*('Istoric_Nativ'!$P$6:$P$405=1)*('Istoric_Nativ'!$D$6:$D$405&lt;J790)*((('Istoric_Nativ'!$E$6:$E$405=G790)+('Istoric_Nativ'!$F$6:$F$405=G790))&gt;0)),MIN('Config_v6'!$B$54,K790)),0)</x:f>
        <x:v>0</x:v>
      </x:c>
      <x:c r="M790" s="2" t="n">
        <x:f>IF(OR(B790="",F790=""),0,IF(H790="HOME",COUNTIFS('Istoric_Nativ'!$B$6:$B$405,E790,'Istoric_Nativ'!$C$6:$C$405,F790,'Istoric_Nativ'!$E$6:$E$405,G790,'Istoric_Nativ'!$D$6:$D$405,"&lt;"&amp;J790,'Istoric_Nativ'!$P$6:$P$405,1,'Istoric_Nativ'!$D$6:$D$405,"&gt;="&amp;L790),IF(H790="AWAY",COUNTIFS('Istoric_Nativ'!$B$6:$B$405,E790,'Istoric_Nativ'!$C$6:$C$405,F790,'Istoric_Nativ'!$F$6:$F$405,G790,'Istoric_Nativ'!$D$6:$D$405,"&lt;"&amp;J790,'Istoric_Nativ'!$P$6:$P$405,1,'Istoric_Nativ'!$D$6:$D$405,"&gt;="&amp;L790),COUNTIFS('Istoric_Nativ'!$B$6:$B$405,E790,'Istoric_Nativ'!$C$6:$C$405,F790,'Istoric_Nativ'!$E$6:$E$405,G790,'Istoric_Nativ'!$D$6:$D$405,"&lt;"&amp;J790,'Istoric_Nativ'!$P$6:$P$405,1,'Istoric_Nativ'!$D$6:$D$405,"&gt;="&amp;L790)+COUNTIFS('Istoric_Nativ'!$B$6:$B$405,E790,'Istoric_Nativ'!$C$6:$C$405,F790,'Istoric_Nativ'!$F$6:$F$405,G790,'Istoric_Nativ'!$D$6:$D$405,"&lt;"&amp;J790,'Istoric_Nativ'!$P$6:$P$405,1,'Istoric_Nativ'!$D$6:$D$405,"&gt;="&amp;L790))))</x:f>
        <x:v>0</x:v>
      </x:c>
      <x:c r="N790" s="11" t="str">
        <x:f>IF(M790=0,"",IF(H790="HOME",SUMIFS('Istoric_Nativ'!$G$6:$G$405,'Istoric_Nativ'!$B$6:$B$405,E790,'Istoric_Nativ'!$C$6:$C$405,F790,'Istoric_Nativ'!$E$6:$E$405,G790,'Istoric_Nativ'!$D$6:$D$405,"&lt;"&amp;J790,'Istoric_Nativ'!$P$6:$P$405,1,'Istoric_Nativ'!$D$6:$D$405,"&gt;="&amp;L790),IF(H790="AWAY",SUMIFS('Istoric_Nativ'!$H$6:$H$405,'Istoric_Nativ'!$B$6:$B$405,E790,'Istoric_Nativ'!$C$6:$C$405,F790,'Istoric_Nativ'!$F$6:$F$405,G790,'Istoric_Nativ'!$D$6:$D$405,"&lt;"&amp;J790,'Istoric_Nativ'!$P$6:$P$405,1,'Istoric_Nativ'!$D$6:$D$405,"&gt;="&amp;L790),SUMIFS('Istoric_Nativ'!$G$6:$G$405,'Istoric_Nativ'!$B$6:$B$405,E790,'Istoric_Nativ'!$C$6:$C$405,F790,'Istoric_Nativ'!$E$6:$E$405,G790,'Istoric_Nativ'!$D$6:$D$405,"&lt;"&amp;J790,'Istoric_Nativ'!$P$6:$P$405,1,'Istoric_Nativ'!$D$6:$D$405,"&gt;="&amp;L790)+SUMIFS('Istoric_Nativ'!$H$6:$H$405,'Istoric_Nativ'!$B$6:$B$405,E790,'Istoric_Nativ'!$C$6:$C$405,F790,'Istoric_Nativ'!$F$6:$F$405,G790,'Istoric_Nativ'!$D$6:$D$405,"&lt;"&amp;J790,'Istoric_Nativ'!$P$6:$P$405,1,'Istoric_Nativ'!$D$6:$D$405,"&gt;="&amp;L790)))/M790)</x:f>
      </x:c>
      <x:c r="O790" s="11" t="str">
        <x:f>IF(M790=0,"",IF(H790="HOME",SUMIFS('Istoric_Nativ'!$H$6:$H$405,'Istoric_Nativ'!$B$6:$B$405,E790,'Istoric_Nativ'!$C$6:$C$405,F790,'Istoric_Nativ'!$E$6:$E$405,G790,'Istoric_Nativ'!$D$6:$D$405,"&lt;"&amp;J790,'Istoric_Nativ'!$P$6:$P$405,1,'Istoric_Nativ'!$D$6:$D$405,"&gt;="&amp;L790),IF(H790="AWAY",SUMIFS('Istoric_Nativ'!$G$6:$G$405,'Istoric_Nativ'!$B$6:$B$405,E790,'Istoric_Nativ'!$C$6:$C$405,F790,'Istoric_Nativ'!$F$6:$F$405,G790,'Istoric_Nativ'!$D$6:$D$405,"&lt;"&amp;J790,'Istoric_Nativ'!$P$6:$P$405,1,'Istoric_Nativ'!$D$6:$D$405,"&gt;="&amp;L790),SUMIFS('Istoric_Nativ'!$H$6:$H$405,'Istoric_Nativ'!$B$6:$B$405,E790,'Istoric_Nativ'!$C$6:$C$405,F790,'Istoric_Nativ'!$E$6:$E$405,G790,'Istoric_Nativ'!$D$6:$D$405,"&lt;"&amp;J790,'Istoric_Nativ'!$P$6:$P$405,1,'Istoric_Nativ'!$D$6:$D$405,"&gt;="&amp;L790)+SUMIFS('Istoric_Nativ'!$G$6:$G$405,'Istoric_Nativ'!$B$6:$B$405,E790,'Istoric_Nativ'!$C$6:$C$405,F790,'Istoric_Nativ'!$F$6:$F$405,G790,'Istoric_Nativ'!$D$6:$D$405,"&lt;"&amp;J790,'Istoric_Nativ'!$P$6:$P$405,1,'Istoric_Nativ'!$D$6:$D$405,"&gt;="&amp;L790)))/M790)</x:f>
      </x:c>
      <x:c r="P790" s="2" t="n">
        <x:f>'Config_v6'!$B$8</x:f>
        <x:v>5</x:v>
      </x:c>
      <x:c r="Q790" s="2" t="n">
        <x:f>IF(OR(B790="",F790=""),0,IFERROR(MATCH(E790&amp;"|"&amp;F790,SourceTable[Source_Key],0),0))</x:f>
        <x:v>0</x:v>
      </x:c>
      <x:c r="R790" s="2" t="str">
        <x:f>IF(B790="","",IF(F790="","UNUSED",IF(Q790=0,"NOT CHECKED",IF(COUNTIF(SourceTable[Source_Key],E790&amp;"|"&amp;F790)&lt;&gt;1,"SOURCE CONFLICT",IF(NOT(OR(INDEX(SourceTable[Status],MAX(1,Q790))="IMPORTED",INDEX(SourceTable[Status],MAX(1,Q790))="PARTIAL",INDEX(SourceTable[Status],MAX(1,Q790))="SOURCE CONFLICT")),"ACCESS BLOCKED",IF(OR(INDEX(SourceTable[Coverage],Q790)&lt;&gt;"FULL SEASON EXPORT",INDEX(SourceTable[URL],Q790)="",INDEX(SourceTable[SHA256],Q790)=""),"EVIDENCE INCOMPLETE",IF(AND('Input_Meci'!H71="LIVE",INDEX(SourceTable[Retrieved_UTC],Q790)&gt;'Input_Meci'!G71),"POST CUTOFF","CLOSED")))))))</x:f>
      </x:c>
      <x:c r="S790" s="2" t="n">
        <x:f>IF(OR(B790="",F790=""),0,COUNTIFS('Istoric_Nativ'!$B$6:$B$405,E790,'Istoric_Nativ'!$C$6:$C$405,F790,'Istoric_Nativ'!$E$6:$E$405,G790,'Istoric_Nativ'!$D$6:$D$405,"&lt;"&amp;J790,'Istoric_Nativ'!$O$6:$O$405,"INVALID")+COUNTIFS('Istoric_Nativ'!$B$6:$B$405,E790,'Istoric_Nativ'!$C$6:$C$405,F790,'Istoric_Nativ'!$E$6:$E$405,G790,'Istoric_Nativ'!$O$6:$O$405,"INVALID",'Istoric_Nativ'!$D$6:$D$405,"*")+COUNTIFS('Istoric_Nativ'!$B$6:$B$405,E790,'Istoric_Nativ'!$C$6:$C$405,F790,'Istoric_Nativ'!$E$6:$E$405,G790,'Istoric_Nativ'!$D$6:$D$405,"&lt;"&amp;J790,'Istoric_Nativ'!$O$6:$O$405,"SOURCE CONFLICT")+COUNTIFS('Istoric_Nativ'!$B$6:$B$405,E790,'Istoric_Nativ'!$C$6:$C$405,F790,'Istoric_Nativ'!$F$6:$F$405,G790,'Istoric_Nativ'!$D$6:$D$405,"&lt;"&amp;J790,'Istoric_Nativ'!$O$6:$O$405,"INVALID")+COUNTIFS('Istoric_Nativ'!$B$6:$B$405,E790,'Istoric_Nativ'!$C$6:$C$405,F790,'Istoric_Nativ'!$F$6:$F$405,G790,'Istoric_Nativ'!$O$6:$O$405,"INVALID",'Istoric_Nativ'!$D$6:$D$405,"*")+COUNTIFS('Istoric_Nativ'!$B$6:$B$405,E790,'Istoric_Nativ'!$C$6:$C$405,F790,'Istoric_Nativ'!$F$6:$F$405,G790,'Istoric_Nativ'!$D$6:$D$405,"&lt;"&amp;J790,'Istoric_Nativ'!$O$6:$O$405,"SOURCE CONFLICT"))</x:f>
        <x:v>0</x:v>
      </x:c>
      <x:c r="T790" s="2" t="str">
        <x:f>IF(B790="","",IF(R790&lt;&gt;"CLOSED",R790,IF(S790&gt;0,"NATIVE INPUT ISSUE",IF(M790=0,"NO HISTORY",IF(M790&lt;P790,"SMALL SAMPLE","DERIVED")))))</x:f>
      </x:c>
      <x:c r="U790" s="2" t="str">
        <x:f>IF(B790="","","NativeTable; "&amp;E790&amp;"; "&amp;F790&amp;"; "&amp;G790&amp;"; "&amp;H790&amp;"; before "&amp;TEXT(J790,"yyyy-mm-dd")&amp;IF(I790="RECENT","; from "&amp;TEXT(L790,"yyyy-mm-dd"),""))</x:f>
      </x:c>
    </x:row>
    <x:row r="791" ht="21" customHeight="1">
      <x:c r="A791" s="2" t="n">
        <x:v>66</x:v>
      </x:c>
      <x:c r="B791" s="2" t="str">
        <x:f>IF('Input_Meci'!A71="","",'Input_Meci'!A71)</x:f>
      </x:c>
      <x:c r="C791" s="2" t="str">
        <x:v>A</x:v>
      </x:c>
      <x:c r="D791" s="2" t="str">
        <x:v>CURRENT</x:v>
      </x:c>
      <x:c r="E791" s="2" t="str">
        <x:f>IF(B791="","",'Input_Meci'!B71)</x:f>
      </x:c>
      <x:c r="F791" s="2" t="str">
        <x:f>IF(B791="","",IF('Input_Meci'!C71="","",'Input_Meci'!C71))</x:f>
      </x:c>
      <x:c r="G791" s="2" t="str">
        <x:f>IF(B791="","",'Input_Meci'!E71)</x:f>
      </x:c>
      <x:c r="H791" s="2" t="str">
        <x:v>ANY</x:v>
      </x:c>
      <x:c r="I791" s="2" t="str">
        <x:v>RECENT</x:v>
      </x:c>
      <x:c r="J791" s="9" t="n">
        <x:f>IF(AND(B791&lt;&gt;"",ISNUMBER('Input_Meci'!G71)),INT('Input_Meci'!G71),0)</x:f>
        <x:v>0</x:v>
      </x:c>
      <x:c r="K791" s="2" t="n">
        <x:f>IF(OR(B791="",F791=""),0,IF(H791="HOME",COUNTIFS('Istoric_Nativ'!$B$6:$B$405,E791,'Istoric_Nativ'!$C$6:$C$405,F791,'Istoric_Nativ'!$E$6:$E$405,G791,'Istoric_Nativ'!$D$6:$D$405,"&lt;"&amp;J791,'Istoric_Nativ'!$P$6:$P$405,1),IF(H791="AWAY",COUNTIFS('Istoric_Nativ'!$B$6:$B$405,E791,'Istoric_Nativ'!$C$6:$C$405,F791,'Istoric_Nativ'!$F$6:$F$405,G791,'Istoric_Nativ'!$D$6:$D$405,"&lt;"&amp;J791,'Istoric_Nativ'!$P$6:$P$405,1),COUNTIFS('Istoric_Nativ'!$B$6:$B$405,E791,'Istoric_Nativ'!$C$6:$C$405,F791,'Istoric_Nativ'!$E$6:$E$405,G791,'Istoric_Nativ'!$D$6:$D$405,"&lt;"&amp;J791,'Istoric_Nativ'!$P$6:$P$405,1)+COUNTIFS('Istoric_Nativ'!$B$6:$B$405,E791,'Istoric_Nativ'!$C$6:$C$405,F791,'Istoric_Nativ'!$F$6:$F$405,G791,'Istoric_Nativ'!$D$6:$D$405,"&lt;"&amp;J791,'Istoric_Nativ'!$P$6:$P$405,1))))</x:f>
        <x:v>0</x:v>
      </x:c>
      <x:c r="L791" s="17" t="n">
        <x:f>IF(AND(B791&lt;&gt;"",I791="RECENT",K791&gt;0),LARGE(_xlfn._xlws.FILTER('Istoric_Nativ'!$D$6:$D$405,('Istoric_Nativ'!$B$6:$B$405=E791)*('Istoric_Nativ'!$C$6:$C$405=F791)*('Istoric_Nativ'!$P$6:$P$405=1)*('Istoric_Nativ'!$D$6:$D$405&lt;J791)*((('Istoric_Nativ'!$E$6:$E$405=G791)+('Istoric_Nativ'!$F$6:$F$405=G791))&gt;0)),MIN('Config_v6'!$B$54,K791)),0)</x:f>
        <x:v>0</x:v>
      </x:c>
      <x:c r="M791" s="2" t="n">
        <x:f>IF(OR(B791="",F791=""),0,IF(H791="HOME",COUNTIFS('Istoric_Nativ'!$B$6:$B$405,E791,'Istoric_Nativ'!$C$6:$C$405,F791,'Istoric_Nativ'!$E$6:$E$405,G791,'Istoric_Nativ'!$D$6:$D$405,"&lt;"&amp;J791,'Istoric_Nativ'!$P$6:$P$405,1,'Istoric_Nativ'!$D$6:$D$405,"&gt;="&amp;L791),IF(H791="AWAY",COUNTIFS('Istoric_Nativ'!$B$6:$B$405,E791,'Istoric_Nativ'!$C$6:$C$405,F791,'Istoric_Nativ'!$F$6:$F$405,G791,'Istoric_Nativ'!$D$6:$D$405,"&lt;"&amp;J791,'Istoric_Nativ'!$P$6:$P$405,1,'Istoric_Nativ'!$D$6:$D$405,"&gt;="&amp;L791),COUNTIFS('Istoric_Nativ'!$B$6:$B$405,E791,'Istoric_Nativ'!$C$6:$C$405,F791,'Istoric_Nativ'!$E$6:$E$405,G791,'Istoric_Nativ'!$D$6:$D$405,"&lt;"&amp;J791,'Istoric_Nativ'!$P$6:$P$405,1,'Istoric_Nativ'!$D$6:$D$405,"&gt;="&amp;L791)+COUNTIFS('Istoric_Nativ'!$B$6:$B$405,E791,'Istoric_Nativ'!$C$6:$C$405,F791,'Istoric_Nativ'!$F$6:$F$405,G791,'Istoric_Nativ'!$D$6:$D$405,"&lt;"&amp;J791,'Istoric_Nativ'!$P$6:$P$405,1,'Istoric_Nativ'!$D$6:$D$405,"&gt;="&amp;L791))))</x:f>
        <x:v>0</x:v>
      </x:c>
      <x:c r="N791" s="11" t="str">
        <x:f>IF(M791=0,"",IF(H791="HOME",SUMIFS('Istoric_Nativ'!$G$6:$G$405,'Istoric_Nativ'!$B$6:$B$405,E791,'Istoric_Nativ'!$C$6:$C$405,F791,'Istoric_Nativ'!$E$6:$E$405,G791,'Istoric_Nativ'!$D$6:$D$405,"&lt;"&amp;J791,'Istoric_Nativ'!$P$6:$P$405,1,'Istoric_Nativ'!$D$6:$D$405,"&gt;="&amp;L791),IF(H791="AWAY",SUMIFS('Istoric_Nativ'!$H$6:$H$405,'Istoric_Nativ'!$B$6:$B$405,E791,'Istoric_Nativ'!$C$6:$C$405,F791,'Istoric_Nativ'!$F$6:$F$405,G791,'Istoric_Nativ'!$D$6:$D$405,"&lt;"&amp;J791,'Istoric_Nativ'!$P$6:$P$405,1,'Istoric_Nativ'!$D$6:$D$405,"&gt;="&amp;L791),SUMIFS('Istoric_Nativ'!$G$6:$G$405,'Istoric_Nativ'!$B$6:$B$405,E791,'Istoric_Nativ'!$C$6:$C$405,F791,'Istoric_Nativ'!$E$6:$E$405,G791,'Istoric_Nativ'!$D$6:$D$405,"&lt;"&amp;J791,'Istoric_Nativ'!$P$6:$P$405,1,'Istoric_Nativ'!$D$6:$D$405,"&gt;="&amp;L791)+SUMIFS('Istoric_Nativ'!$H$6:$H$405,'Istoric_Nativ'!$B$6:$B$405,E791,'Istoric_Nativ'!$C$6:$C$405,F791,'Istoric_Nativ'!$F$6:$F$405,G791,'Istoric_Nativ'!$D$6:$D$405,"&lt;"&amp;J791,'Istoric_Nativ'!$P$6:$P$405,1,'Istoric_Nativ'!$D$6:$D$405,"&gt;="&amp;L791)))/M791)</x:f>
      </x:c>
      <x:c r="O791" s="11" t="str">
        <x:f>IF(M791=0,"",IF(H791="HOME",SUMIFS('Istoric_Nativ'!$H$6:$H$405,'Istoric_Nativ'!$B$6:$B$405,E791,'Istoric_Nativ'!$C$6:$C$405,F791,'Istoric_Nativ'!$E$6:$E$405,G791,'Istoric_Nativ'!$D$6:$D$405,"&lt;"&amp;J791,'Istoric_Nativ'!$P$6:$P$405,1,'Istoric_Nativ'!$D$6:$D$405,"&gt;="&amp;L791),IF(H791="AWAY",SUMIFS('Istoric_Nativ'!$G$6:$G$405,'Istoric_Nativ'!$B$6:$B$405,E791,'Istoric_Nativ'!$C$6:$C$405,F791,'Istoric_Nativ'!$F$6:$F$405,G791,'Istoric_Nativ'!$D$6:$D$405,"&lt;"&amp;J791,'Istoric_Nativ'!$P$6:$P$405,1,'Istoric_Nativ'!$D$6:$D$405,"&gt;="&amp;L791),SUMIFS('Istoric_Nativ'!$H$6:$H$405,'Istoric_Nativ'!$B$6:$B$405,E791,'Istoric_Nativ'!$C$6:$C$405,F791,'Istoric_Nativ'!$E$6:$E$405,G791,'Istoric_Nativ'!$D$6:$D$405,"&lt;"&amp;J791,'Istoric_Nativ'!$P$6:$P$405,1,'Istoric_Nativ'!$D$6:$D$405,"&gt;="&amp;L791)+SUMIFS('Istoric_Nativ'!$G$6:$G$405,'Istoric_Nativ'!$B$6:$B$405,E791,'Istoric_Nativ'!$C$6:$C$405,F791,'Istoric_Nativ'!$F$6:$F$405,G791,'Istoric_Nativ'!$D$6:$D$405,"&lt;"&amp;J791,'Istoric_Nativ'!$P$6:$P$405,1,'Istoric_Nativ'!$D$6:$D$405,"&gt;="&amp;L791)))/M791)</x:f>
      </x:c>
      <x:c r="P791" s="2" t="n">
        <x:f>'Config_v6'!$B$9</x:f>
        <x:v>3</x:v>
      </x:c>
      <x:c r="Q791" s="2" t="n">
        <x:f>IF(OR(B791="",F791=""),0,IFERROR(MATCH(E791&amp;"|"&amp;F791,SourceTable[Source_Key],0),0))</x:f>
        <x:v>0</x:v>
      </x:c>
      <x:c r="R791" s="2" t="str">
        <x:f>IF(B791="","",IF(F791="","UNUSED",IF(Q791=0,"NOT CHECKED",IF(COUNTIF(SourceTable[Source_Key],E791&amp;"|"&amp;F791)&lt;&gt;1,"SOURCE CONFLICT",IF(NOT(OR(INDEX(SourceTable[Status],MAX(1,Q791))="IMPORTED",INDEX(SourceTable[Status],MAX(1,Q791))="PARTIAL",INDEX(SourceTable[Status],MAX(1,Q791))="SOURCE CONFLICT")),"ACCESS BLOCKED",IF(OR(INDEX(SourceTable[Coverage],Q791)&lt;&gt;"FULL SEASON EXPORT",INDEX(SourceTable[URL],Q791)="",INDEX(SourceTable[SHA256],Q791)=""),"EVIDENCE INCOMPLETE",IF(AND('Input_Meci'!H71="LIVE",INDEX(SourceTable[Retrieved_UTC],Q791)&gt;'Input_Meci'!G71),"POST CUTOFF","CLOSED")))))))</x:f>
      </x:c>
      <x:c r="S791" s="2" t="n">
        <x:f>IF(OR(B791="",F791=""),0,COUNTIFS('Istoric_Nativ'!$B$6:$B$405,E791,'Istoric_Nativ'!$C$6:$C$405,F791,'Istoric_Nativ'!$E$6:$E$405,G791,'Istoric_Nativ'!$D$6:$D$405,"&lt;"&amp;J791,'Istoric_Nativ'!$O$6:$O$405,"INVALID")+COUNTIFS('Istoric_Nativ'!$B$6:$B$405,E791,'Istoric_Nativ'!$C$6:$C$405,F791,'Istoric_Nativ'!$E$6:$E$405,G791,'Istoric_Nativ'!$O$6:$O$405,"INVALID",'Istoric_Nativ'!$D$6:$D$405,"*")+COUNTIFS('Istoric_Nativ'!$B$6:$B$405,E791,'Istoric_Nativ'!$C$6:$C$405,F791,'Istoric_Nativ'!$E$6:$E$405,G791,'Istoric_Nativ'!$D$6:$D$405,"&lt;"&amp;J791,'Istoric_Nativ'!$O$6:$O$405,"SOURCE CONFLICT")+COUNTIFS('Istoric_Nativ'!$B$6:$B$405,E791,'Istoric_Nativ'!$C$6:$C$405,F791,'Istoric_Nativ'!$F$6:$F$405,G791,'Istoric_Nativ'!$D$6:$D$405,"&lt;"&amp;J791,'Istoric_Nativ'!$O$6:$O$405,"INVALID")+COUNTIFS('Istoric_Nativ'!$B$6:$B$405,E791,'Istoric_Nativ'!$C$6:$C$405,F791,'Istoric_Nativ'!$F$6:$F$405,G791,'Istoric_Nativ'!$O$6:$O$405,"INVALID",'Istoric_Nativ'!$D$6:$D$405,"*")+COUNTIFS('Istoric_Nativ'!$B$6:$B$405,E791,'Istoric_Nativ'!$C$6:$C$405,F791,'Istoric_Nativ'!$F$6:$F$405,G791,'Istoric_Nativ'!$D$6:$D$405,"&lt;"&amp;J791,'Istoric_Nativ'!$O$6:$O$405,"SOURCE CONFLICT"))</x:f>
        <x:v>0</x:v>
      </x:c>
      <x:c r="T791" s="2" t="str">
        <x:f>IF(B791="","",IF(R791&lt;&gt;"CLOSED",R791,IF(S791&gt;0,"NATIVE INPUT ISSUE",IF(M791=0,"NO HISTORY",IF(M791&lt;P791,"SMALL SAMPLE","DERIVED")))))</x:f>
      </x:c>
      <x:c r="U791" s="2" t="str">
        <x:f>IF(B791="","","NativeTable; "&amp;E791&amp;"; "&amp;F791&amp;"; "&amp;G791&amp;"; "&amp;H791&amp;"; before "&amp;TEXT(J791,"yyyy-mm-dd")&amp;IF(I791="RECENT","; from "&amp;TEXT(L791,"yyyy-mm-dd"),""))</x:f>
      </x:c>
    </x:row>
    <x:row r="792" ht="21" customHeight="1">
      <x:c r="A792" s="2" t="n">
        <x:v>66</x:v>
      </x:c>
      <x:c r="B792" s="2" t="str">
        <x:f>IF('Input_Meci'!A71="","",'Input_Meci'!A71)</x:f>
      </x:c>
      <x:c r="C792" s="2" t="str">
        <x:v>H</x:v>
      </x:c>
      <x:c r="D792" s="2" t="str">
        <x:v>PRIOR</x:v>
      </x:c>
      <x:c r="E792" s="2" t="str">
        <x:f>IF(B792="","",'Input_Meci'!B71)</x:f>
      </x:c>
      <x:c r="F792" s="2" t="str">
        <x:f>IF(B792="","",IF('Input_Meci'!K71="","",'Input_Meci'!K71))</x:f>
      </x:c>
      <x:c r="G792" s="2" t="str">
        <x:f>IF(B792="","",'Input_Meci'!D71)</x:f>
      </x:c>
      <x:c r="H792" s="2" t="str">
        <x:v>ANY</x:v>
      </x:c>
      <x:c r="I792" s="2" t="str">
        <x:v>SEASON</x:v>
      </x:c>
      <x:c r="J792" s="9" t="n">
        <x:f>IF(AND(B792&lt;&gt;"",ISNUMBER('Input_Meci'!G71)),INT('Input_Meci'!G71),0)</x:f>
        <x:v>0</x:v>
      </x:c>
      <x:c r="K792" s="2" t="n">
        <x:f>IF(OR(B792="",F792=""),0,IF(H792="HOME",COUNTIFS('Istoric_Nativ'!$B$6:$B$405,E792,'Istoric_Nativ'!$C$6:$C$405,F792,'Istoric_Nativ'!$E$6:$E$405,G792,'Istoric_Nativ'!$D$6:$D$405,"&lt;"&amp;J792,'Istoric_Nativ'!$P$6:$P$405,1),IF(H792="AWAY",COUNTIFS('Istoric_Nativ'!$B$6:$B$405,E792,'Istoric_Nativ'!$C$6:$C$405,F792,'Istoric_Nativ'!$F$6:$F$405,G792,'Istoric_Nativ'!$D$6:$D$405,"&lt;"&amp;J792,'Istoric_Nativ'!$P$6:$P$405,1),COUNTIFS('Istoric_Nativ'!$B$6:$B$405,E792,'Istoric_Nativ'!$C$6:$C$405,F792,'Istoric_Nativ'!$E$6:$E$405,G792,'Istoric_Nativ'!$D$6:$D$405,"&lt;"&amp;J792,'Istoric_Nativ'!$P$6:$P$405,1)+COUNTIFS('Istoric_Nativ'!$B$6:$B$405,E792,'Istoric_Nativ'!$C$6:$C$405,F792,'Istoric_Nativ'!$F$6:$F$405,G792,'Istoric_Nativ'!$D$6:$D$405,"&lt;"&amp;J792,'Istoric_Nativ'!$P$6:$P$405,1))))</x:f>
        <x:v>0</x:v>
      </x:c>
      <x:c r="L792" s="17" t="n">
        <x:f>IF(AND(B792&lt;&gt;"",I792="RECENT",K792&gt;0),LARGE(_xlfn._xlws.FILTER('Istoric_Nativ'!$D$6:$D$405,('Istoric_Nativ'!$B$6:$B$405=E792)*('Istoric_Nativ'!$C$6:$C$405=F792)*('Istoric_Nativ'!$P$6:$P$405=1)*('Istoric_Nativ'!$D$6:$D$405&lt;J792)*((('Istoric_Nativ'!$E$6:$E$405=G792)+('Istoric_Nativ'!$F$6:$F$405=G792))&gt;0)),MIN('Config_v6'!$B$54,K792)),0)</x:f>
        <x:v>0</x:v>
      </x:c>
      <x:c r="M792" s="2" t="n">
        <x:f>IF(OR(B792="",F792=""),0,IF(H792="HOME",COUNTIFS('Istoric_Nativ'!$B$6:$B$405,E792,'Istoric_Nativ'!$C$6:$C$405,F792,'Istoric_Nativ'!$E$6:$E$405,G792,'Istoric_Nativ'!$D$6:$D$405,"&lt;"&amp;J792,'Istoric_Nativ'!$P$6:$P$405,1,'Istoric_Nativ'!$D$6:$D$405,"&gt;="&amp;L792),IF(H792="AWAY",COUNTIFS('Istoric_Nativ'!$B$6:$B$405,E792,'Istoric_Nativ'!$C$6:$C$405,F792,'Istoric_Nativ'!$F$6:$F$405,G792,'Istoric_Nativ'!$D$6:$D$405,"&lt;"&amp;J792,'Istoric_Nativ'!$P$6:$P$405,1,'Istoric_Nativ'!$D$6:$D$405,"&gt;="&amp;L792),COUNTIFS('Istoric_Nativ'!$B$6:$B$405,E792,'Istoric_Nativ'!$C$6:$C$405,F792,'Istoric_Nativ'!$E$6:$E$405,G792,'Istoric_Nativ'!$D$6:$D$405,"&lt;"&amp;J792,'Istoric_Nativ'!$P$6:$P$405,1,'Istoric_Nativ'!$D$6:$D$405,"&gt;="&amp;L792)+COUNTIFS('Istoric_Nativ'!$B$6:$B$405,E792,'Istoric_Nativ'!$C$6:$C$405,F792,'Istoric_Nativ'!$F$6:$F$405,G792,'Istoric_Nativ'!$D$6:$D$405,"&lt;"&amp;J792,'Istoric_Nativ'!$P$6:$P$405,1,'Istoric_Nativ'!$D$6:$D$405,"&gt;="&amp;L792))))</x:f>
        <x:v>0</x:v>
      </x:c>
      <x:c r="N792" s="11" t="str">
        <x:f>IF(M792=0,"",IF(H792="HOME",SUMIFS('Istoric_Nativ'!$G$6:$G$405,'Istoric_Nativ'!$B$6:$B$405,E792,'Istoric_Nativ'!$C$6:$C$405,F792,'Istoric_Nativ'!$E$6:$E$405,G792,'Istoric_Nativ'!$D$6:$D$405,"&lt;"&amp;J792,'Istoric_Nativ'!$P$6:$P$405,1,'Istoric_Nativ'!$D$6:$D$405,"&gt;="&amp;L792),IF(H792="AWAY",SUMIFS('Istoric_Nativ'!$H$6:$H$405,'Istoric_Nativ'!$B$6:$B$405,E792,'Istoric_Nativ'!$C$6:$C$405,F792,'Istoric_Nativ'!$F$6:$F$405,G792,'Istoric_Nativ'!$D$6:$D$405,"&lt;"&amp;J792,'Istoric_Nativ'!$P$6:$P$405,1,'Istoric_Nativ'!$D$6:$D$405,"&gt;="&amp;L792),SUMIFS('Istoric_Nativ'!$G$6:$G$405,'Istoric_Nativ'!$B$6:$B$405,E792,'Istoric_Nativ'!$C$6:$C$405,F792,'Istoric_Nativ'!$E$6:$E$405,G792,'Istoric_Nativ'!$D$6:$D$405,"&lt;"&amp;J792,'Istoric_Nativ'!$P$6:$P$405,1,'Istoric_Nativ'!$D$6:$D$405,"&gt;="&amp;L792)+SUMIFS('Istoric_Nativ'!$H$6:$H$405,'Istoric_Nativ'!$B$6:$B$405,E792,'Istoric_Nativ'!$C$6:$C$405,F792,'Istoric_Nativ'!$F$6:$F$405,G792,'Istoric_Nativ'!$D$6:$D$405,"&lt;"&amp;J792,'Istoric_Nativ'!$P$6:$P$405,1,'Istoric_Nativ'!$D$6:$D$405,"&gt;="&amp;L792)))/M792)</x:f>
      </x:c>
      <x:c r="O792" s="11" t="str">
        <x:f>IF(M792=0,"",IF(H792="HOME",SUMIFS('Istoric_Nativ'!$H$6:$H$405,'Istoric_Nativ'!$B$6:$B$405,E792,'Istoric_Nativ'!$C$6:$C$405,F792,'Istoric_Nativ'!$E$6:$E$405,G792,'Istoric_Nativ'!$D$6:$D$405,"&lt;"&amp;J792,'Istoric_Nativ'!$P$6:$P$405,1,'Istoric_Nativ'!$D$6:$D$405,"&gt;="&amp;L792),IF(H792="AWAY",SUMIFS('Istoric_Nativ'!$G$6:$G$405,'Istoric_Nativ'!$B$6:$B$405,E792,'Istoric_Nativ'!$C$6:$C$405,F792,'Istoric_Nativ'!$F$6:$F$405,G792,'Istoric_Nativ'!$D$6:$D$405,"&lt;"&amp;J792,'Istoric_Nativ'!$P$6:$P$405,1,'Istoric_Nativ'!$D$6:$D$405,"&gt;="&amp;L792),SUMIFS('Istoric_Nativ'!$H$6:$H$405,'Istoric_Nativ'!$B$6:$B$405,E792,'Istoric_Nativ'!$C$6:$C$405,F792,'Istoric_Nativ'!$E$6:$E$405,G792,'Istoric_Nativ'!$D$6:$D$405,"&lt;"&amp;J792,'Istoric_Nativ'!$P$6:$P$405,1,'Istoric_Nativ'!$D$6:$D$405,"&gt;="&amp;L792)+SUMIFS('Istoric_Nativ'!$G$6:$G$405,'Istoric_Nativ'!$B$6:$B$405,E792,'Istoric_Nativ'!$C$6:$C$405,F792,'Istoric_Nativ'!$F$6:$F$405,G792,'Istoric_Nativ'!$D$6:$D$405,"&lt;"&amp;J792,'Istoric_Nativ'!$P$6:$P$405,1,'Istoric_Nativ'!$D$6:$D$405,"&gt;="&amp;L792)))/M792)</x:f>
      </x:c>
      <x:c r="P792" s="2" t="n">
        <x:f>'Config_v6'!$B$7</x:f>
        <x:v>10</x:v>
      </x:c>
      <x:c r="Q792" s="2" t="n">
        <x:f>IF(OR(B792="",F792=""),0,IFERROR(MATCH(E792&amp;"|"&amp;F792,SourceTable[Source_Key],0),0))</x:f>
        <x:v>0</x:v>
      </x:c>
      <x:c r="R792" s="2" t="str">
        <x:f>IF(B792="","",IF(F792="","UNUSED",IF(Q792=0,"NOT CHECKED",IF(COUNTIF(SourceTable[Source_Key],E792&amp;"|"&amp;F792)&lt;&gt;1,"SOURCE CONFLICT",IF(NOT(OR(INDEX(SourceTable[Status],MAX(1,Q792))="IMPORTED",INDEX(SourceTable[Status],MAX(1,Q792))="PARTIAL",INDEX(SourceTable[Status],MAX(1,Q792))="SOURCE CONFLICT")),"ACCESS BLOCKED",IF(OR(INDEX(SourceTable[Coverage],Q792)&lt;&gt;"FULL SEASON EXPORT",INDEX(SourceTable[URL],Q792)="",INDEX(SourceTable[SHA256],Q792)=""),"EVIDENCE INCOMPLETE",IF(AND('Input_Meci'!H71="LIVE",INDEX(SourceTable[Retrieved_UTC],Q792)&gt;'Input_Meci'!G71),"POST CUTOFF","CLOSED")))))))</x:f>
      </x:c>
      <x:c r="S792" s="2" t="n">
        <x:f>IF(OR(B792="",F792=""),0,COUNTIFS('Istoric_Nativ'!$B$6:$B$405,E792,'Istoric_Nativ'!$C$6:$C$405,F792,'Istoric_Nativ'!$E$6:$E$405,G792,'Istoric_Nativ'!$D$6:$D$405,"&lt;"&amp;J792,'Istoric_Nativ'!$O$6:$O$405,"INVALID")+COUNTIFS('Istoric_Nativ'!$B$6:$B$405,E792,'Istoric_Nativ'!$C$6:$C$405,F792,'Istoric_Nativ'!$E$6:$E$405,G792,'Istoric_Nativ'!$O$6:$O$405,"INVALID",'Istoric_Nativ'!$D$6:$D$405,"*")+COUNTIFS('Istoric_Nativ'!$B$6:$B$405,E792,'Istoric_Nativ'!$C$6:$C$405,F792,'Istoric_Nativ'!$E$6:$E$405,G792,'Istoric_Nativ'!$D$6:$D$405,"&lt;"&amp;J792,'Istoric_Nativ'!$O$6:$O$405,"SOURCE CONFLICT")+COUNTIFS('Istoric_Nativ'!$B$6:$B$405,E792,'Istoric_Nativ'!$C$6:$C$405,F792,'Istoric_Nativ'!$F$6:$F$405,G792,'Istoric_Nativ'!$D$6:$D$405,"&lt;"&amp;J792,'Istoric_Nativ'!$O$6:$O$405,"INVALID")+COUNTIFS('Istoric_Nativ'!$B$6:$B$405,E792,'Istoric_Nativ'!$C$6:$C$405,F792,'Istoric_Nativ'!$F$6:$F$405,G792,'Istoric_Nativ'!$O$6:$O$405,"INVALID",'Istoric_Nativ'!$D$6:$D$405,"*")+COUNTIFS('Istoric_Nativ'!$B$6:$B$405,E792,'Istoric_Nativ'!$C$6:$C$405,F792,'Istoric_Nativ'!$F$6:$F$405,G792,'Istoric_Nativ'!$D$6:$D$405,"&lt;"&amp;J792,'Istoric_Nativ'!$O$6:$O$405,"SOURCE CONFLICT"))</x:f>
        <x:v>0</x:v>
      </x:c>
      <x:c r="T792" s="2" t="str">
        <x:f>IF(B792="","",IF(R792&lt;&gt;"CLOSED",R792,IF(S792&gt;0,"NATIVE INPUT ISSUE",IF(M792=0,"NO HISTORY",IF(M792&lt;P792,"SMALL SAMPLE","DERIVED")))))</x:f>
      </x:c>
      <x:c r="U792" s="2" t="str">
        <x:f>IF(B792="","","NativeTable; "&amp;E792&amp;"; "&amp;F792&amp;"; "&amp;G792&amp;"; "&amp;H792&amp;"; before "&amp;TEXT(J792,"yyyy-mm-dd")&amp;IF(I792="RECENT","; from "&amp;TEXT(L792,"yyyy-mm-dd"),""))</x:f>
      </x:c>
    </x:row>
    <x:row r="793" ht="21" customHeight="1">
      <x:c r="A793" s="2" t="n">
        <x:v>66</x:v>
      </x:c>
      <x:c r="B793" s="2" t="str">
        <x:f>IF('Input_Meci'!A71="","",'Input_Meci'!A71)</x:f>
      </x:c>
      <x:c r="C793" s="2" t="str">
        <x:v>H</x:v>
      </x:c>
      <x:c r="D793" s="2" t="str">
        <x:v>PRIOR</x:v>
      </x:c>
      <x:c r="E793" s="2" t="str">
        <x:f>IF(B793="","",'Input_Meci'!B71)</x:f>
      </x:c>
      <x:c r="F793" s="2" t="str">
        <x:f>IF(B793="","",IF('Input_Meci'!K71="","",'Input_Meci'!K71))</x:f>
      </x:c>
      <x:c r="G793" s="2" t="str">
        <x:f>IF(B793="","",'Input_Meci'!D71)</x:f>
      </x:c>
      <x:c r="H793" s="2" t="str">
        <x:v>HOME</x:v>
      </x:c>
      <x:c r="I793" s="2" t="str">
        <x:v>HA</x:v>
      </x:c>
      <x:c r="J793" s="9" t="n">
        <x:f>IF(AND(B793&lt;&gt;"",ISNUMBER('Input_Meci'!G71)),INT('Input_Meci'!G71),0)</x:f>
        <x:v>0</x:v>
      </x:c>
      <x:c r="K793" s="2" t="n">
        <x:f>IF(OR(B793="",F793=""),0,IF(H793="HOME",COUNTIFS('Istoric_Nativ'!$B$6:$B$405,E793,'Istoric_Nativ'!$C$6:$C$405,F793,'Istoric_Nativ'!$E$6:$E$405,G793,'Istoric_Nativ'!$D$6:$D$405,"&lt;"&amp;J793,'Istoric_Nativ'!$P$6:$P$405,1),IF(H793="AWAY",COUNTIFS('Istoric_Nativ'!$B$6:$B$405,E793,'Istoric_Nativ'!$C$6:$C$405,F793,'Istoric_Nativ'!$F$6:$F$405,G793,'Istoric_Nativ'!$D$6:$D$405,"&lt;"&amp;J793,'Istoric_Nativ'!$P$6:$P$405,1),COUNTIFS('Istoric_Nativ'!$B$6:$B$405,E793,'Istoric_Nativ'!$C$6:$C$405,F793,'Istoric_Nativ'!$E$6:$E$405,G793,'Istoric_Nativ'!$D$6:$D$405,"&lt;"&amp;J793,'Istoric_Nativ'!$P$6:$P$405,1)+COUNTIFS('Istoric_Nativ'!$B$6:$B$405,E793,'Istoric_Nativ'!$C$6:$C$405,F793,'Istoric_Nativ'!$F$6:$F$405,G793,'Istoric_Nativ'!$D$6:$D$405,"&lt;"&amp;J793,'Istoric_Nativ'!$P$6:$P$405,1))))</x:f>
        <x:v>0</x:v>
      </x:c>
      <x:c r="L793" s="17" t="n">
        <x:f>IF(AND(B793&lt;&gt;"",I793="RECENT",K793&gt;0),LARGE(_xlfn._xlws.FILTER('Istoric_Nativ'!$D$6:$D$405,('Istoric_Nativ'!$B$6:$B$405=E793)*('Istoric_Nativ'!$C$6:$C$405=F793)*('Istoric_Nativ'!$P$6:$P$405=1)*('Istoric_Nativ'!$D$6:$D$405&lt;J793)*((('Istoric_Nativ'!$E$6:$E$405=G793)+('Istoric_Nativ'!$F$6:$F$405=G793))&gt;0)),MIN('Config_v6'!$B$54,K793)),0)</x:f>
        <x:v>0</x:v>
      </x:c>
      <x:c r="M793" s="2" t="n">
        <x:f>IF(OR(B793="",F793=""),0,IF(H793="HOME",COUNTIFS('Istoric_Nativ'!$B$6:$B$405,E793,'Istoric_Nativ'!$C$6:$C$405,F793,'Istoric_Nativ'!$E$6:$E$405,G793,'Istoric_Nativ'!$D$6:$D$405,"&lt;"&amp;J793,'Istoric_Nativ'!$P$6:$P$405,1,'Istoric_Nativ'!$D$6:$D$405,"&gt;="&amp;L793),IF(H793="AWAY",COUNTIFS('Istoric_Nativ'!$B$6:$B$405,E793,'Istoric_Nativ'!$C$6:$C$405,F793,'Istoric_Nativ'!$F$6:$F$405,G793,'Istoric_Nativ'!$D$6:$D$405,"&lt;"&amp;J793,'Istoric_Nativ'!$P$6:$P$405,1,'Istoric_Nativ'!$D$6:$D$405,"&gt;="&amp;L793),COUNTIFS('Istoric_Nativ'!$B$6:$B$405,E793,'Istoric_Nativ'!$C$6:$C$405,F793,'Istoric_Nativ'!$E$6:$E$405,G793,'Istoric_Nativ'!$D$6:$D$405,"&lt;"&amp;J793,'Istoric_Nativ'!$P$6:$P$405,1,'Istoric_Nativ'!$D$6:$D$405,"&gt;="&amp;L793)+COUNTIFS('Istoric_Nativ'!$B$6:$B$405,E793,'Istoric_Nativ'!$C$6:$C$405,F793,'Istoric_Nativ'!$F$6:$F$405,G793,'Istoric_Nativ'!$D$6:$D$405,"&lt;"&amp;J793,'Istoric_Nativ'!$P$6:$P$405,1,'Istoric_Nativ'!$D$6:$D$405,"&gt;="&amp;L793))))</x:f>
        <x:v>0</x:v>
      </x:c>
      <x:c r="N793" s="11" t="str">
        <x:f>IF(M793=0,"",IF(H793="HOME",SUMIFS('Istoric_Nativ'!$G$6:$G$405,'Istoric_Nativ'!$B$6:$B$405,E793,'Istoric_Nativ'!$C$6:$C$405,F793,'Istoric_Nativ'!$E$6:$E$405,G793,'Istoric_Nativ'!$D$6:$D$405,"&lt;"&amp;J793,'Istoric_Nativ'!$P$6:$P$405,1,'Istoric_Nativ'!$D$6:$D$405,"&gt;="&amp;L793),IF(H793="AWAY",SUMIFS('Istoric_Nativ'!$H$6:$H$405,'Istoric_Nativ'!$B$6:$B$405,E793,'Istoric_Nativ'!$C$6:$C$405,F793,'Istoric_Nativ'!$F$6:$F$405,G793,'Istoric_Nativ'!$D$6:$D$405,"&lt;"&amp;J793,'Istoric_Nativ'!$P$6:$P$405,1,'Istoric_Nativ'!$D$6:$D$405,"&gt;="&amp;L793),SUMIFS('Istoric_Nativ'!$G$6:$G$405,'Istoric_Nativ'!$B$6:$B$405,E793,'Istoric_Nativ'!$C$6:$C$405,F793,'Istoric_Nativ'!$E$6:$E$405,G793,'Istoric_Nativ'!$D$6:$D$405,"&lt;"&amp;J793,'Istoric_Nativ'!$P$6:$P$405,1,'Istoric_Nativ'!$D$6:$D$405,"&gt;="&amp;L793)+SUMIFS('Istoric_Nativ'!$H$6:$H$405,'Istoric_Nativ'!$B$6:$B$405,E793,'Istoric_Nativ'!$C$6:$C$405,F793,'Istoric_Nativ'!$F$6:$F$405,G793,'Istoric_Nativ'!$D$6:$D$405,"&lt;"&amp;J793,'Istoric_Nativ'!$P$6:$P$405,1,'Istoric_Nativ'!$D$6:$D$405,"&gt;="&amp;L793)))/M793)</x:f>
      </x:c>
      <x:c r="O793" s="11" t="str">
        <x:f>IF(M793=0,"",IF(H793="HOME",SUMIFS('Istoric_Nativ'!$H$6:$H$405,'Istoric_Nativ'!$B$6:$B$405,E793,'Istoric_Nativ'!$C$6:$C$405,F793,'Istoric_Nativ'!$E$6:$E$405,G793,'Istoric_Nativ'!$D$6:$D$405,"&lt;"&amp;J793,'Istoric_Nativ'!$P$6:$P$405,1,'Istoric_Nativ'!$D$6:$D$405,"&gt;="&amp;L793),IF(H793="AWAY",SUMIFS('Istoric_Nativ'!$G$6:$G$405,'Istoric_Nativ'!$B$6:$B$405,E793,'Istoric_Nativ'!$C$6:$C$405,F793,'Istoric_Nativ'!$F$6:$F$405,G793,'Istoric_Nativ'!$D$6:$D$405,"&lt;"&amp;J793,'Istoric_Nativ'!$P$6:$P$405,1,'Istoric_Nativ'!$D$6:$D$405,"&gt;="&amp;L793),SUMIFS('Istoric_Nativ'!$H$6:$H$405,'Istoric_Nativ'!$B$6:$B$405,E793,'Istoric_Nativ'!$C$6:$C$405,F793,'Istoric_Nativ'!$E$6:$E$405,G793,'Istoric_Nativ'!$D$6:$D$405,"&lt;"&amp;J793,'Istoric_Nativ'!$P$6:$P$405,1,'Istoric_Nativ'!$D$6:$D$405,"&gt;="&amp;L793)+SUMIFS('Istoric_Nativ'!$G$6:$G$405,'Istoric_Nativ'!$B$6:$B$405,E793,'Istoric_Nativ'!$C$6:$C$405,F793,'Istoric_Nativ'!$F$6:$F$405,G793,'Istoric_Nativ'!$D$6:$D$405,"&lt;"&amp;J793,'Istoric_Nativ'!$P$6:$P$405,1,'Istoric_Nativ'!$D$6:$D$405,"&gt;="&amp;L793)))/M793)</x:f>
      </x:c>
      <x:c r="P793" s="2" t="n">
        <x:f>'Config_v6'!$B$8</x:f>
        <x:v>5</x:v>
      </x:c>
      <x:c r="Q793" s="2" t="n">
        <x:f>IF(OR(B793="",F793=""),0,IFERROR(MATCH(E793&amp;"|"&amp;F793,SourceTable[Source_Key],0),0))</x:f>
        <x:v>0</x:v>
      </x:c>
      <x:c r="R793" s="2" t="str">
        <x:f>IF(B793="","",IF(F793="","UNUSED",IF(Q793=0,"NOT CHECKED",IF(COUNTIF(SourceTable[Source_Key],E793&amp;"|"&amp;F793)&lt;&gt;1,"SOURCE CONFLICT",IF(NOT(OR(INDEX(SourceTable[Status],MAX(1,Q793))="IMPORTED",INDEX(SourceTable[Status],MAX(1,Q793))="PARTIAL",INDEX(SourceTable[Status],MAX(1,Q793))="SOURCE CONFLICT")),"ACCESS BLOCKED",IF(OR(INDEX(SourceTable[Coverage],Q793)&lt;&gt;"FULL SEASON EXPORT",INDEX(SourceTable[URL],Q793)="",INDEX(SourceTable[SHA256],Q793)=""),"EVIDENCE INCOMPLETE",IF(AND('Input_Meci'!H71="LIVE",INDEX(SourceTable[Retrieved_UTC],Q793)&gt;'Input_Meci'!G71),"POST CUTOFF","CLOSED")))))))</x:f>
      </x:c>
      <x:c r="S793" s="2" t="n">
        <x:f>IF(OR(B793="",F793=""),0,COUNTIFS('Istoric_Nativ'!$B$6:$B$405,E793,'Istoric_Nativ'!$C$6:$C$405,F793,'Istoric_Nativ'!$E$6:$E$405,G793,'Istoric_Nativ'!$D$6:$D$405,"&lt;"&amp;J793,'Istoric_Nativ'!$O$6:$O$405,"INVALID")+COUNTIFS('Istoric_Nativ'!$B$6:$B$405,E793,'Istoric_Nativ'!$C$6:$C$405,F793,'Istoric_Nativ'!$E$6:$E$405,G793,'Istoric_Nativ'!$O$6:$O$405,"INVALID",'Istoric_Nativ'!$D$6:$D$405,"*")+COUNTIFS('Istoric_Nativ'!$B$6:$B$405,E793,'Istoric_Nativ'!$C$6:$C$405,F793,'Istoric_Nativ'!$E$6:$E$405,G793,'Istoric_Nativ'!$D$6:$D$405,"&lt;"&amp;J793,'Istoric_Nativ'!$O$6:$O$405,"SOURCE CONFLICT")+COUNTIFS('Istoric_Nativ'!$B$6:$B$405,E793,'Istoric_Nativ'!$C$6:$C$405,F793,'Istoric_Nativ'!$F$6:$F$405,G793,'Istoric_Nativ'!$D$6:$D$405,"&lt;"&amp;J793,'Istoric_Nativ'!$O$6:$O$405,"INVALID")+COUNTIFS('Istoric_Nativ'!$B$6:$B$405,E793,'Istoric_Nativ'!$C$6:$C$405,F793,'Istoric_Nativ'!$F$6:$F$405,G793,'Istoric_Nativ'!$O$6:$O$405,"INVALID",'Istoric_Nativ'!$D$6:$D$405,"*")+COUNTIFS('Istoric_Nativ'!$B$6:$B$405,E793,'Istoric_Nativ'!$C$6:$C$405,F793,'Istoric_Nativ'!$F$6:$F$405,G793,'Istoric_Nativ'!$D$6:$D$405,"&lt;"&amp;J793,'Istoric_Nativ'!$O$6:$O$405,"SOURCE CONFLICT"))</x:f>
        <x:v>0</x:v>
      </x:c>
      <x:c r="T793" s="2" t="str">
        <x:f>IF(B793="","",IF(R793&lt;&gt;"CLOSED",R793,IF(S793&gt;0,"NATIVE INPUT ISSUE",IF(M793=0,"NO HISTORY",IF(M793&lt;P793,"SMALL SAMPLE","DERIVED")))))</x:f>
      </x:c>
      <x:c r="U793" s="2" t="str">
        <x:f>IF(B793="","","NativeTable; "&amp;E793&amp;"; "&amp;F793&amp;"; "&amp;G793&amp;"; "&amp;H793&amp;"; before "&amp;TEXT(J793,"yyyy-mm-dd")&amp;IF(I793="RECENT","; from "&amp;TEXT(L793,"yyyy-mm-dd"),""))</x:f>
      </x:c>
    </x:row>
    <x:row r="794" ht="21" customHeight="1">
      <x:c r="A794" s="2" t="n">
        <x:v>66</x:v>
      </x:c>
      <x:c r="B794" s="2" t="str">
        <x:f>IF('Input_Meci'!A71="","",'Input_Meci'!A71)</x:f>
      </x:c>
      <x:c r="C794" s="2" t="str">
        <x:v>H</x:v>
      </x:c>
      <x:c r="D794" s="2" t="str">
        <x:v>PRIOR</x:v>
      </x:c>
      <x:c r="E794" s="2" t="str">
        <x:f>IF(B794="","",'Input_Meci'!B71)</x:f>
      </x:c>
      <x:c r="F794" s="2" t="str">
        <x:f>IF(B794="","",IF('Input_Meci'!K71="","",'Input_Meci'!K71))</x:f>
      </x:c>
      <x:c r="G794" s="2" t="str">
        <x:f>IF(B794="","",'Input_Meci'!D71)</x:f>
      </x:c>
      <x:c r="H794" s="2" t="str">
        <x:v>ANY</x:v>
      </x:c>
      <x:c r="I794" s="2" t="str">
        <x:v>RECENT</x:v>
      </x:c>
      <x:c r="J794" s="9" t="n">
        <x:f>IF(AND(B794&lt;&gt;"",ISNUMBER('Input_Meci'!G71)),INT('Input_Meci'!G71),0)</x:f>
        <x:v>0</x:v>
      </x:c>
      <x:c r="K794" s="2" t="n">
        <x:f>IF(OR(B794="",F794=""),0,IF(H794="HOME",COUNTIFS('Istoric_Nativ'!$B$6:$B$405,E794,'Istoric_Nativ'!$C$6:$C$405,F794,'Istoric_Nativ'!$E$6:$E$405,G794,'Istoric_Nativ'!$D$6:$D$405,"&lt;"&amp;J794,'Istoric_Nativ'!$P$6:$P$405,1),IF(H794="AWAY",COUNTIFS('Istoric_Nativ'!$B$6:$B$405,E794,'Istoric_Nativ'!$C$6:$C$405,F794,'Istoric_Nativ'!$F$6:$F$405,G794,'Istoric_Nativ'!$D$6:$D$405,"&lt;"&amp;J794,'Istoric_Nativ'!$P$6:$P$405,1),COUNTIFS('Istoric_Nativ'!$B$6:$B$405,E794,'Istoric_Nativ'!$C$6:$C$405,F794,'Istoric_Nativ'!$E$6:$E$405,G794,'Istoric_Nativ'!$D$6:$D$405,"&lt;"&amp;J794,'Istoric_Nativ'!$P$6:$P$405,1)+COUNTIFS('Istoric_Nativ'!$B$6:$B$405,E794,'Istoric_Nativ'!$C$6:$C$405,F794,'Istoric_Nativ'!$F$6:$F$405,G794,'Istoric_Nativ'!$D$6:$D$405,"&lt;"&amp;J794,'Istoric_Nativ'!$P$6:$P$405,1))))</x:f>
        <x:v>0</x:v>
      </x:c>
      <x:c r="L794" s="17" t="n">
        <x:f>IF(AND(B794&lt;&gt;"",I794="RECENT",K794&gt;0),LARGE(_xlfn._xlws.FILTER('Istoric_Nativ'!$D$6:$D$405,('Istoric_Nativ'!$B$6:$B$405=E794)*('Istoric_Nativ'!$C$6:$C$405=F794)*('Istoric_Nativ'!$P$6:$P$405=1)*('Istoric_Nativ'!$D$6:$D$405&lt;J794)*((('Istoric_Nativ'!$E$6:$E$405=G794)+('Istoric_Nativ'!$F$6:$F$405=G794))&gt;0)),MIN('Config_v6'!$B$54,K794)),0)</x:f>
        <x:v>0</x:v>
      </x:c>
      <x:c r="M794" s="2" t="n">
        <x:f>IF(OR(B794="",F794=""),0,IF(H794="HOME",COUNTIFS('Istoric_Nativ'!$B$6:$B$405,E794,'Istoric_Nativ'!$C$6:$C$405,F794,'Istoric_Nativ'!$E$6:$E$405,G794,'Istoric_Nativ'!$D$6:$D$405,"&lt;"&amp;J794,'Istoric_Nativ'!$P$6:$P$405,1,'Istoric_Nativ'!$D$6:$D$405,"&gt;="&amp;L794),IF(H794="AWAY",COUNTIFS('Istoric_Nativ'!$B$6:$B$405,E794,'Istoric_Nativ'!$C$6:$C$405,F794,'Istoric_Nativ'!$F$6:$F$405,G794,'Istoric_Nativ'!$D$6:$D$405,"&lt;"&amp;J794,'Istoric_Nativ'!$P$6:$P$405,1,'Istoric_Nativ'!$D$6:$D$405,"&gt;="&amp;L794),COUNTIFS('Istoric_Nativ'!$B$6:$B$405,E794,'Istoric_Nativ'!$C$6:$C$405,F794,'Istoric_Nativ'!$E$6:$E$405,G794,'Istoric_Nativ'!$D$6:$D$405,"&lt;"&amp;J794,'Istoric_Nativ'!$P$6:$P$405,1,'Istoric_Nativ'!$D$6:$D$405,"&gt;="&amp;L794)+COUNTIFS('Istoric_Nativ'!$B$6:$B$405,E794,'Istoric_Nativ'!$C$6:$C$405,F794,'Istoric_Nativ'!$F$6:$F$405,G794,'Istoric_Nativ'!$D$6:$D$405,"&lt;"&amp;J794,'Istoric_Nativ'!$P$6:$P$405,1,'Istoric_Nativ'!$D$6:$D$405,"&gt;="&amp;L794))))</x:f>
        <x:v>0</x:v>
      </x:c>
      <x:c r="N794" s="11" t="str">
        <x:f>IF(M794=0,"",IF(H794="HOME",SUMIFS('Istoric_Nativ'!$G$6:$G$405,'Istoric_Nativ'!$B$6:$B$405,E794,'Istoric_Nativ'!$C$6:$C$405,F794,'Istoric_Nativ'!$E$6:$E$405,G794,'Istoric_Nativ'!$D$6:$D$405,"&lt;"&amp;J794,'Istoric_Nativ'!$P$6:$P$405,1,'Istoric_Nativ'!$D$6:$D$405,"&gt;="&amp;L794),IF(H794="AWAY",SUMIFS('Istoric_Nativ'!$H$6:$H$405,'Istoric_Nativ'!$B$6:$B$405,E794,'Istoric_Nativ'!$C$6:$C$405,F794,'Istoric_Nativ'!$F$6:$F$405,G794,'Istoric_Nativ'!$D$6:$D$405,"&lt;"&amp;J794,'Istoric_Nativ'!$P$6:$P$405,1,'Istoric_Nativ'!$D$6:$D$405,"&gt;="&amp;L794),SUMIFS('Istoric_Nativ'!$G$6:$G$405,'Istoric_Nativ'!$B$6:$B$405,E794,'Istoric_Nativ'!$C$6:$C$405,F794,'Istoric_Nativ'!$E$6:$E$405,G794,'Istoric_Nativ'!$D$6:$D$405,"&lt;"&amp;J794,'Istoric_Nativ'!$P$6:$P$405,1,'Istoric_Nativ'!$D$6:$D$405,"&gt;="&amp;L794)+SUMIFS('Istoric_Nativ'!$H$6:$H$405,'Istoric_Nativ'!$B$6:$B$405,E794,'Istoric_Nativ'!$C$6:$C$405,F794,'Istoric_Nativ'!$F$6:$F$405,G794,'Istoric_Nativ'!$D$6:$D$405,"&lt;"&amp;J794,'Istoric_Nativ'!$P$6:$P$405,1,'Istoric_Nativ'!$D$6:$D$405,"&gt;="&amp;L794)))/M794)</x:f>
      </x:c>
      <x:c r="O794" s="11" t="str">
        <x:f>IF(M794=0,"",IF(H794="HOME",SUMIFS('Istoric_Nativ'!$H$6:$H$405,'Istoric_Nativ'!$B$6:$B$405,E794,'Istoric_Nativ'!$C$6:$C$405,F794,'Istoric_Nativ'!$E$6:$E$405,G794,'Istoric_Nativ'!$D$6:$D$405,"&lt;"&amp;J794,'Istoric_Nativ'!$P$6:$P$405,1,'Istoric_Nativ'!$D$6:$D$405,"&gt;="&amp;L794),IF(H794="AWAY",SUMIFS('Istoric_Nativ'!$G$6:$G$405,'Istoric_Nativ'!$B$6:$B$405,E794,'Istoric_Nativ'!$C$6:$C$405,F794,'Istoric_Nativ'!$F$6:$F$405,G794,'Istoric_Nativ'!$D$6:$D$405,"&lt;"&amp;J794,'Istoric_Nativ'!$P$6:$P$405,1,'Istoric_Nativ'!$D$6:$D$405,"&gt;="&amp;L794),SUMIFS('Istoric_Nativ'!$H$6:$H$405,'Istoric_Nativ'!$B$6:$B$405,E794,'Istoric_Nativ'!$C$6:$C$405,F794,'Istoric_Nativ'!$E$6:$E$405,G794,'Istoric_Nativ'!$D$6:$D$405,"&lt;"&amp;J794,'Istoric_Nativ'!$P$6:$P$405,1,'Istoric_Nativ'!$D$6:$D$405,"&gt;="&amp;L794)+SUMIFS('Istoric_Nativ'!$G$6:$G$405,'Istoric_Nativ'!$B$6:$B$405,E794,'Istoric_Nativ'!$C$6:$C$405,F794,'Istoric_Nativ'!$F$6:$F$405,G794,'Istoric_Nativ'!$D$6:$D$405,"&lt;"&amp;J794,'Istoric_Nativ'!$P$6:$P$405,1,'Istoric_Nativ'!$D$6:$D$405,"&gt;="&amp;L794)))/M794)</x:f>
      </x:c>
      <x:c r="P794" s="2" t="n">
        <x:f>'Config_v6'!$B$9</x:f>
        <x:v>3</x:v>
      </x:c>
      <x:c r="Q794" s="2" t="n">
        <x:f>IF(OR(B794="",F794=""),0,IFERROR(MATCH(E794&amp;"|"&amp;F794,SourceTable[Source_Key],0),0))</x:f>
        <x:v>0</x:v>
      </x:c>
      <x:c r="R794" s="2" t="str">
        <x:f>IF(B794="","",IF(F794="","UNUSED",IF(Q794=0,"NOT CHECKED",IF(COUNTIF(SourceTable[Source_Key],E794&amp;"|"&amp;F794)&lt;&gt;1,"SOURCE CONFLICT",IF(NOT(OR(INDEX(SourceTable[Status],MAX(1,Q794))="IMPORTED",INDEX(SourceTable[Status],MAX(1,Q794))="PARTIAL",INDEX(SourceTable[Status],MAX(1,Q794))="SOURCE CONFLICT")),"ACCESS BLOCKED",IF(OR(INDEX(SourceTable[Coverage],Q794)&lt;&gt;"FULL SEASON EXPORT",INDEX(SourceTable[URL],Q794)="",INDEX(SourceTable[SHA256],Q794)=""),"EVIDENCE INCOMPLETE",IF(AND('Input_Meci'!H71="LIVE",INDEX(SourceTable[Retrieved_UTC],Q794)&gt;'Input_Meci'!G71),"POST CUTOFF","CLOSED")))))))</x:f>
      </x:c>
      <x:c r="S794" s="2" t="n">
        <x:f>IF(OR(B794="",F794=""),0,COUNTIFS('Istoric_Nativ'!$B$6:$B$405,E794,'Istoric_Nativ'!$C$6:$C$405,F794,'Istoric_Nativ'!$E$6:$E$405,G794,'Istoric_Nativ'!$D$6:$D$405,"&lt;"&amp;J794,'Istoric_Nativ'!$O$6:$O$405,"INVALID")+COUNTIFS('Istoric_Nativ'!$B$6:$B$405,E794,'Istoric_Nativ'!$C$6:$C$405,F794,'Istoric_Nativ'!$E$6:$E$405,G794,'Istoric_Nativ'!$O$6:$O$405,"INVALID",'Istoric_Nativ'!$D$6:$D$405,"*")+COUNTIFS('Istoric_Nativ'!$B$6:$B$405,E794,'Istoric_Nativ'!$C$6:$C$405,F794,'Istoric_Nativ'!$E$6:$E$405,G794,'Istoric_Nativ'!$D$6:$D$405,"&lt;"&amp;J794,'Istoric_Nativ'!$O$6:$O$405,"SOURCE CONFLICT")+COUNTIFS('Istoric_Nativ'!$B$6:$B$405,E794,'Istoric_Nativ'!$C$6:$C$405,F794,'Istoric_Nativ'!$F$6:$F$405,G794,'Istoric_Nativ'!$D$6:$D$405,"&lt;"&amp;J794,'Istoric_Nativ'!$O$6:$O$405,"INVALID")+COUNTIFS('Istoric_Nativ'!$B$6:$B$405,E794,'Istoric_Nativ'!$C$6:$C$405,F794,'Istoric_Nativ'!$F$6:$F$405,G794,'Istoric_Nativ'!$O$6:$O$405,"INVALID",'Istoric_Nativ'!$D$6:$D$405,"*")+COUNTIFS('Istoric_Nativ'!$B$6:$B$405,E794,'Istoric_Nativ'!$C$6:$C$405,F794,'Istoric_Nativ'!$F$6:$F$405,G794,'Istoric_Nativ'!$D$6:$D$405,"&lt;"&amp;J794,'Istoric_Nativ'!$O$6:$O$405,"SOURCE CONFLICT"))</x:f>
        <x:v>0</x:v>
      </x:c>
      <x:c r="T794" s="2" t="str">
        <x:f>IF(B794="","",IF(R794&lt;&gt;"CLOSED",R794,IF(S794&gt;0,"NATIVE INPUT ISSUE",IF(M794=0,"NO HISTORY",IF(M794&lt;P794,"SMALL SAMPLE","DERIVED")))))</x:f>
      </x:c>
      <x:c r="U794" s="2" t="str">
        <x:f>IF(B794="","","NativeTable; "&amp;E794&amp;"; "&amp;F794&amp;"; "&amp;G794&amp;"; "&amp;H794&amp;"; before "&amp;TEXT(J794,"yyyy-mm-dd")&amp;IF(I794="RECENT","; from "&amp;TEXT(L794,"yyyy-mm-dd"),""))</x:f>
      </x:c>
    </x:row>
    <x:row r="795" ht="21" customHeight="1">
      <x:c r="A795" s="2" t="n">
        <x:v>66</x:v>
      </x:c>
      <x:c r="B795" s="2" t="str">
        <x:f>IF('Input_Meci'!A71="","",'Input_Meci'!A71)</x:f>
      </x:c>
      <x:c r="C795" s="2" t="str">
        <x:v>A</x:v>
      </x:c>
      <x:c r="D795" s="2" t="str">
        <x:v>PRIOR</x:v>
      </x:c>
      <x:c r="E795" s="2" t="str">
        <x:f>IF(B795="","",'Input_Meci'!B71)</x:f>
      </x:c>
      <x:c r="F795" s="2" t="str">
        <x:f>IF(B795="","",IF('Input_Meci'!K71="","",'Input_Meci'!K71))</x:f>
      </x:c>
      <x:c r="G795" s="2" t="str">
        <x:f>IF(B795="","",'Input_Meci'!E71)</x:f>
      </x:c>
      <x:c r="H795" s="2" t="str">
        <x:v>ANY</x:v>
      </x:c>
      <x:c r="I795" s="2" t="str">
        <x:v>SEASON</x:v>
      </x:c>
      <x:c r="J795" s="9" t="n">
        <x:f>IF(AND(B795&lt;&gt;"",ISNUMBER('Input_Meci'!G71)),INT('Input_Meci'!G71),0)</x:f>
        <x:v>0</x:v>
      </x:c>
      <x:c r="K795" s="2" t="n">
        <x:f>IF(OR(B795="",F795=""),0,IF(H795="HOME",COUNTIFS('Istoric_Nativ'!$B$6:$B$405,E795,'Istoric_Nativ'!$C$6:$C$405,F795,'Istoric_Nativ'!$E$6:$E$405,G795,'Istoric_Nativ'!$D$6:$D$405,"&lt;"&amp;J795,'Istoric_Nativ'!$P$6:$P$405,1),IF(H795="AWAY",COUNTIFS('Istoric_Nativ'!$B$6:$B$405,E795,'Istoric_Nativ'!$C$6:$C$405,F795,'Istoric_Nativ'!$F$6:$F$405,G795,'Istoric_Nativ'!$D$6:$D$405,"&lt;"&amp;J795,'Istoric_Nativ'!$P$6:$P$405,1),COUNTIFS('Istoric_Nativ'!$B$6:$B$405,E795,'Istoric_Nativ'!$C$6:$C$405,F795,'Istoric_Nativ'!$E$6:$E$405,G795,'Istoric_Nativ'!$D$6:$D$405,"&lt;"&amp;J795,'Istoric_Nativ'!$P$6:$P$405,1)+COUNTIFS('Istoric_Nativ'!$B$6:$B$405,E795,'Istoric_Nativ'!$C$6:$C$405,F795,'Istoric_Nativ'!$F$6:$F$405,G795,'Istoric_Nativ'!$D$6:$D$405,"&lt;"&amp;J795,'Istoric_Nativ'!$P$6:$P$405,1))))</x:f>
        <x:v>0</x:v>
      </x:c>
      <x:c r="L795" s="17" t="n">
        <x:f>IF(AND(B795&lt;&gt;"",I795="RECENT",K795&gt;0),LARGE(_xlfn._xlws.FILTER('Istoric_Nativ'!$D$6:$D$405,('Istoric_Nativ'!$B$6:$B$405=E795)*('Istoric_Nativ'!$C$6:$C$405=F795)*('Istoric_Nativ'!$P$6:$P$405=1)*('Istoric_Nativ'!$D$6:$D$405&lt;J795)*((('Istoric_Nativ'!$E$6:$E$405=G795)+('Istoric_Nativ'!$F$6:$F$405=G795))&gt;0)),MIN('Config_v6'!$B$54,K795)),0)</x:f>
        <x:v>0</x:v>
      </x:c>
      <x:c r="M795" s="2" t="n">
        <x:f>IF(OR(B795="",F795=""),0,IF(H795="HOME",COUNTIFS('Istoric_Nativ'!$B$6:$B$405,E795,'Istoric_Nativ'!$C$6:$C$405,F795,'Istoric_Nativ'!$E$6:$E$405,G795,'Istoric_Nativ'!$D$6:$D$405,"&lt;"&amp;J795,'Istoric_Nativ'!$P$6:$P$405,1,'Istoric_Nativ'!$D$6:$D$405,"&gt;="&amp;L795),IF(H795="AWAY",COUNTIFS('Istoric_Nativ'!$B$6:$B$405,E795,'Istoric_Nativ'!$C$6:$C$405,F795,'Istoric_Nativ'!$F$6:$F$405,G795,'Istoric_Nativ'!$D$6:$D$405,"&lt;"&amp;J795,'Istoric_Nativ'!$P$6:$P$405,1,'Istoric_Nativ'!$D$6:$D$405,"&gt;="&amp;L795),COUNTIFS('Istoric_Nativ'!$B$6:$B$405,E795,'Istoric_Nativ'!$C$6:$C$405,F795,'Istoric_Nativ'!$E$6:$E$405,G795,'Istoric_Nativ'!$D$6:$D$405,"&lt;"&amp;J795,'Istoric_Nativ'!$P$6:$P$405,1,'Istoric_Nativ'!$D$6:$D$405,"&gt;="&amp;L795)+COUNTIFS('Istoric_Nativ'!$B$6:$B$405,E795,'Istoric_Nativ'!$C$6:$C$405,F795,'Istoric_Nativ'!$F$6:$F$405,G795,'Istoric_Nativ'!$D$6:$D$405,"&lt;"&amp;J795,'Istoric_Nativ'!$P$6:$P$405,1,'Istoric_Nativ'!$D$6:$D$405,"&gt;="&amp;L795))))</x:f>
        <x:v>0</x:v>
      </x:c>
      <x:c r="N795" s="11" t="str">
        <x:f>IF(M795=0,"",IF(H795="HOME",SUMIFS('Istoric_Nativ'!$G$6:$G$405,'Istoric_Nativ'!$B$6:$B$405,E795,'Istoric_Nativ'!$C$6:$C$405,F795,'Istoric_Nativ'!$E$6:$E$405,G795,'Istoric_Nativ'!$D$6:$D$405,"&lt;"&amp;J795,'Istoric_Nativ'!$P$6:$P$405,1,'Istoric_Nativ'!$D$6:$D$405,"&gt;="&amp;L795),IF(H795="AWAY",SUMIFS('Istoric_Nativ'!$H$6:$H$405,'Istoric_Nativ'!$B$6:$B$405,E795,'Istoric_Nativ'!$C$6:$C$405,F795,'Istoric_Nativ'!$F$6:$F$405,G795,'Istoric_Nativ'!$D$6:$D$405,"&lt;"&amp;J795,'Istoric_Nativ'!$P$6:$P$405,1,'Istoric_Nativ'!$D$6:$D$405,"&gt;="&amp;L795),SUMIFS('Istoric_Nativ'!$G$6:$G$405,'Istoric_Nativ'!$B$6:$B$405,E795,'Istoric_Nativ'!$C$6:$C$405,F795,'Istoric_Nativ'!$E$6:$E$405,G795,'Istoric_Nativ'!$D$6:$D$405,"&lt;"&amp;J795,'Istoric_Nativ'!$P$6:$P$405,1,'Istoric_Nativ'!$D$6:$D$405,"&gt;="&amp;L795)+SUMIFS('Istoric_Nativ'!$H$6:$H$405,'Istoric_Nativ'!$B$6:$B$405,E795,'Istoric_Nativ'!$C$6:$C$405,F795,'Istoric_Nativ'!$F$6:$F$405,G795,'Istoric_Nativ'!$D$6:$D$405,"&lt;"&amp;J795,'Istoric_Nativ'!$P$6:$P$405,1,'Istoric_Nativ'!$D$6:$D$405,"&gt;="&amp;L795)))/M795)</x:f>
      </x:c>
      <x:c r="O795" s="11" t="str">
        <x:f>IF(M795=0,"",IF(H795="HOME",SUMIFS('Istoric_Nativ'!$H$6:$H$405,'Istoric_Nativ'!$B$6:$B$405,E795,'Istoric_Nativ'!$C$6:$C$405,F795,'Istoric_Nativ'!$E$6:$E$405,G795,'Istoric_Nativ'!$D$6:$D$405,"&lt;"&amp;J795,'Istoric_Nativ'!$P$6:$P$405,1,'Istoric_Nativ'!$D$6:$D$405,"&gt;="&amp;L795),IF(H795="AWAY",SUMIFS('Istoric_Nativ'!$G$6:$G$405,'Istoric_Nativ'!$B$6:$B$405,E795,'Istoric_Nativ'!$C$6:$C$405,F795,'Istoric_Nativ'!$F$6:$F$405,G795,'Istoric_Nativ'!$D$6:$D$405,"&lt;"&amp;J795,'Istoric_Nativ'!$P$6:$P$405,1,'Istoric_Nativ'!$D$6:$D$405,"&gt;="&amp;L795),SUMIFS('Istoric_Nativ'!$H$6:$H$405,'Istoric_Nativ'!$B$6:$B$405,E795,'Istoric_Nativ'!$C$6:$C$405,F795,'Istoric_Nativ'!$E$6:$E$405,G795,'Istoric_Nativ'!$D$6:$D$405,"&lt;"&amp;J795,'Istoric_Nativ'!$P$6:$P$405,1,'Istoric_Nativ'!$D$6:$D$405,"&gt;="&amp;L795)+SUMIFS('Istoric_Nativ'!$G$6:$G$405,'Istoric_Nativ'!$B$6:$B$405,E795,'Istoric_Nativ'!$C$6:$C$405,F795,'Istoric_Nativ'!$F$6:$F$405,G795,'Istoric_Nativ'!$D$6:$D$405,"&lt;"&amp;J795,'Istoric_Nativ'!$P$6:$P$405,1,'Istoric_Nativ'!$D$6:$D$405,"&gt;="&amp;L795)))/M795)</x:f>
      </x:c>
      <x:c r="P795" s="2" t="n">
        <x:f>'Config_v6'!$B$7</x:f>
        <x:v>10</x:v>
      </x:c>
      <x:c r="Q795" s="2" t="n">
        <x:f>IF(OR(B795="",F795=""),0,IFERROR(MATCH(E795&amp;"|"&amp;F795,SourceTable[Source_Key],0),0))</x:f>
        <x:v>0</x:v>
      </x:c>
      <x:c r="R795" s="2" t="str">
        <x:f>IF(B795="","",IF(F795="","UNUSED",IF(Q795=0,"NOT CHECKED",IF(COUNTIF(SourceTable[Source_Key],E795&amp;"|"&amp;F795)&lt;&gt;1,"SOURCE CONFLICT",IF(NOT(OR(INDEX(SourceTable[Status],MAX(1,Q795))="IMPORTED",INDEX(SourceTable[Status],MAX(1,Q795))="PARTIAL",INDEX(SourceTable[Status],MAX(1,Q795))="SOURCE CONFLICT")),"ACCESS BLOCKED",IF(OR(INDEX(SourceTable[Coverage],Q795)&lt;&gt;"FULL SEASON EXPORT",INDEX(SourceTable[URL],Q795)="",INDEX(SourceTable[SHA256],Q795)=""),"EVIDENCE INCOMPLETE",IF(AND('Input_Meci'!H71="LIVE",INDEX(SourceTable[Retrieved_UTC],Q795)&gt;'Input_Meci'!G71),"POST CUTOFF","CLOSED")))))))</x:f>
      </x:c>
      <x:c r="S795" s="2" t="n">
        <x:f>IF(OR(B795="",F795=""),0,COUNTIFS('Istoric_Nativ'!$B$6:$B$405,E795,'Istoric_Nativ'!$C$6:$C$405,F795,'Istoric_Nativ'!$E$6:$E$405,G795,'Istoric_Nativ'!$D$6:$D$405,"&lt;"&amp;J795,'Istoric_Nativ'!$O$6:$O$405,"INVALID")+COUNTIFS('Istoric_Nativ'!$B$6:$B$405,E795,'Istoric_Nativ'!$C$6:$C$405,F795,'Istoric_Nativ'!$E$6:$E$405,G795,'Istoric_Nativ'!$O$6:$O$405,"INVALID",'Istoric_Nativ'!$D$6:$D$405,"*")+COUNTIFS('Istoric_Nativ'!$B$6:$B$405,E795,'Istoric_Nativ'!$C$6:$C$405,F795,'Istoric_Nativ'!$E$6:$E$405,G795,'Istoric_Nativ'!$D$6:$D$405,"&lt;"&amp;J795,'Istoric_Nativ'!$O$6:$O$405,"SOURCE CONFLICT")+COUNTIFS('Istoric_Nativ'!$B$6:$B$405,E795,'Istoric_Nativ'!$C$6:$C$405,F795,'Istoric_Nativ'!$F$6:$F$405,G795,'Istoric_Nativ'!$D$6:$D$405,"&lt;"&amp;J795,'Istoric_Nativ'!$O$6:$O$405,"INVALID")+COUNTIFS('Istoric_Nativ'!$B$6:$B$405,E795,'Istoric_Nativ'!$C$6:$C$405,F795,'Istoric_Nativ'!$F$6:$F$405,G795,'Istoric_Nativ'!$O$6:$O$405,"INVALID",'Istoric_Nativ'!$D$6:$D$405,"*")+COUNTIFS('Istoric_Nativ'!$B$6:$B$405,E795,'Istoric_Nativ'!$C$6:$C$405,F795,'Istoric_Nativ'!$F$6:$F$405,G795,'Istoric_Nativ'!$D$6:$D$405,"&lt;"&amp;J795,'Istoric_Nativ'!$O$6:$O$405,"SOURCE CONFLICT"))</x:f>
        <x:v>0</x:v>
      </x:c>
      <x:c r="T795" s="2" t="str">
        <x:f>IF(B795="","",IF(R795&lt;&gt;"CLOSED",R795,IF(S795&gt;0,"NATIVE INPUT ISSUE",IF(M795=0,"NO HISTORY",IF(M795&lt;P795,"SMALL SAMPLE","DERIVED")))))</x:f>
      </x:c>
      <x:c r="U795" s="2" t="str">
        <x:f>IF(B795="","","NativeTable; "&amp;E795&amp;"; "&amp;F795&amp;"; "&amp;G795&amp;"; "&amp;H795&amp;"; before "&amp;TEXT(J795,"yyyy-mm-dd")&amp;IF(I795="RECENT","; from "&amp;TEXT(L795,"yyyy-mm-dd"),""))</x:f>
      </x:c>
    </x:row>
    <x:row r="796" ht="21" customHeight="1">
      <x:c r="A796" s="2" t="n">
        <x:v>66</x:v>
      </x:c>
      <x:c r="B796" s="2" t="str">
        <x:f>IF('Input_Meci'!A71="","",'Input_Meci'!A71)</x:f>
      </x:c>
      <x:c r="C796" s="2" t="str">
        <x:v>A</x:v>
      </x:c>
      <x:c r="D796" s="2" t="str">
        <x:v>PRIOR</x:v>
      </x:c>
      <x:c r="E796" s="2" t="str">
        <x:f>IF(B796="","",'Input_Meci'!B71)</x:f>
      </x:c>
      <x:c r="F796" s="2" t="str">
        <x:f>IF(B796="","",IF('Input_Meci'!K71="","",'Input_Meci'!K71))</x:f>
      </x:c>
      <x:c r="G796" s="2" t="str">
        <x:f>IF(B796="","",'Input_Meci'!E71)</x:f>
      </x:c>
      <x:c r="H796" s="2" t="str">
        <x:v>AWAY</x:v>
      </x:c>
      <x:c r="I796" s="2" t="str">
        <x:v>HA</x:v>
      </x:c>
      <x:c r="J796" s="9" t="n">
        <x:f>IF(AND(B796&lt;&gt;"",ISNUMBER('Input_Meci'!G71)),INT('Input_Meci'!G71),0)</x:f>
        <x:v>0</x:v>
      </x:c>
      <x:c r="K796" s="2" t="n">
        <x:f>IF(OR(B796="",F796=""),0,IF(H796="HOME",COUNTIFS('Istoric_Nativ'!$B$6:$B$405,E796,'Istoric_Nativ'!$C$6:$C$405,F796,'Istoric_Nativ'!$E$6:$E$405,G796,'Istoric_Nativ'!$D$6:$D$405,"&lt;"&amp;J796,'Istoric_Nativ'!$P$6:$P$405,1),IF(H796="AWAY",COUNTIFS('Istoric_Nativ'!$B$6:$B$405,E796,'Istoric_Nativ'!$C$6:$C$405,F796,'Istoric_Nativ'!$F$6:$F$405,G796,'Istoric_Nativ'!$D$6:$D$405,"&lt;"&amp;J796,'Istoric_Nativ'!$P$6:$P$405,1),COUNTIFS('Istoric_Nativ'!$B$6:$B$405,E796,'Istoric_Nativ'!$C$6:$C$405,F796,'Istoric_Nativ'!$E$6:$E$405,G796,'Istoric_Nativ'!$D$6:$D$405,"&lt;"&amp;J796,'Istoric_Nativ'!$P$6:$P$405,1)+COUNTIFS('Istoric_Nativ'!$B$6:$B$405,E796,'Istoric_Nativ'!$C$6:$C$405,F796,'Istoric_Nativ'!$F$6:$F$405,G796,'Istoric_Nativ'!$D$6:$D$405,"&lt;"&amp;J796,'Istoric_Nativ'!$P$6:$P$405,1))))</x:f>
        <x:v>0</x:v>
      </x:c>
      <x:c r="L796" s="17" t="n">
        <x:f>IF(AND(B796&lt;&gt;"",I796="RECENT",K796&gt;0),LARGE(_xlfn._xlws.FILTER('Istoric_Nativ'!$D$6:$D$405,('Istoric_Nativ'!$B$6:$B$405=E796)*('Istoric_Nativ'!$C$6:$C$405=F796)*('Istoric_Nativ'!$P$6:$P$405=1)*('Istoric_Nativ'!$D$6:$D$405&lt;J796)*((('Istoric_Nativ'!$E$6:$E$405=G796)+('Istoric_Nativ'!$F$6:$F$405=G796))&gt;0)),MIN('Config_v6'!$B$54,K796)),0)</x:f>
        <x:v>0</x:v>
      </x:c>
      <x:c r="M796" s="2" t="n">
        <x:f>IF(OR(B796="",F796=""),0,IF(H796="HOME",COUNTIFS('Istoric_Nativ'!$B$6:$B$405,E796,'Istoric_Nativ'!$C$6:$C$405,F796,'Istoric_Nativ'!$E$6:$E$405,G796,'Istoric_Nativ'!$D$6:$D$405,"&lt;"&amp;J796,'Istoric_Nativ'!$P$6:$P$405,1,'Istoric_Nativ'!$D$6:$D$405,"&gt;="&amp;L796),IF(H796="AWAY",COUNTIFS('Istoric_Nativ'!$B$6:$B$405,E796,'Istoric_Nativ'!$C$6:$C$405,F796,'Istoric_Nativ'!$F$6:$F$405,G796,'Istoric_Nativ'!$D$6:$D$405,"&lt;"&amp;J796,'Istoric_Nativ'!$P$6:$P$405,1,'Istoric_Nativ'!$D$6:$D$405,"&gt;="&amp;L796),COUNTIFS('Istoric_Nativ'!$B$6:$B$405,E796,'Istoric_Nativ'!$C$6:$C$405,F796,'Istoric_Nativ'!$E$6:$E$405,G796,'Istoric_Nativ'!$D$6:$D$405,"&lt;"&amp;J796,'Istoric_Nativ'!$P$6:$P$405,1,'Istoric_Nativ'!$D$6:$D$405,"&gt;="&amp;L796)+COUNTIFS('Istoric_Nativ'!$B$6:$B$405,E796,'Istoric_Nativ'!$C$6:$C$405,F796,'Istoric_Nativ'!$F$6:$F$405,G796,'Istoric_Nativ'!$D$6:$D$405,"&lt;"&amp;J796,'Istoric_Nativ'!$P$6:$P$405,1,'Istoric_Nativ'!$D$6:$D$405,"&gt;="&amp;L796))))</x:f>
        <x:v>0</x:v>
      </x:c>
      <x:c r="N796" s="11" t="str">
        <x:f>IF(M796=0,"",IF(H796="HOME",SUMIFS('Istoric_Nativ'!$G$6:$G$405,'Istoric_Nativ'!$B$6:$B$405,E796,'Istoric_Nativ'!$C$6:$C$405,F796,'Istoric_Nativ'!$E$6:$E$405,G796,'Istoric_Nativ'!$D$6:$D$405,"&lt;"&amp;J796,'Istoric_Nativ'!$P$6:$P$405,1,'Istoric_Nativ'!$D$6:$D$405,"&gt;="&amp;L796),IF(H796="AWAY",SUMIFS('Istoric_Nativ'!$H$6:$H$405,'Istoric_Nativ'!$B$6:$B$405,E796,'Istoric_Nativ'!$C$6:$C$405,F796,'Istoric_Nativ'!$F$6:$F$405,G796,'Istoric_Nativ'!$D$6:$D$405,"&lt;"&amp;J796,'Istoric_Nativ'!$P$6:$P$405,1,'Istoric_Nativ'!$D$6:$D$405,"&gt;="&amp;L796),SUMIFS('Istoric_Nativ'!$G$6:$G$405,'Istoric_Nativ'!$B$6:$B$405,E796,'Istoric_Nativ'!$C$6:$C$405,F796,'Istoric_Nativ'!$E$6:$E$405,G796,'Istoric_Nativ'!$D$6:$D$405,"&lt;"&amp;J796,'Istoric_Nativ'!$P$6:$P$405,1,'Istoric_Nativ'!$D$6:$D$405,"&gt;="&amp;L796)+SUMIFS('Istoric_Nativ'!$H$6:$H$405,'Istoric_Nativ'!$B$6:$B$405,E796,'Istoric_Nativ'!$C$6:$C$405,F796,'Istoric_Nativ'!$F$6:$F$405,G796,'Istoric_Nativ'!$D$6:$D$405,"&lt;"&amp;J796,'Istoric_Nativ'!$P$6:$P$405,1,'Istoric_Nativ'!$D$6:$D$405,"&gt;="&amp;L796)))/M796)</x:f>
      </x:c>
      <x:c r="O796" s="11" t="str">
        <x:f>IF(M796=0,"",IF(H796="HOME",SUMIFS('Istoric_Nativ'!$H$6:$H$405,'Istoric_Nativ'!$B$6:$B$405,E796,'Istoric_Nativ'!$C$6:$C$405,F796,'Istoric_Nativ'!$E$6:$E$405,G796,'Istoric_Nativ'!$D$6:$D$405,"&lt;"&amp;J796,'Istoric_Nativ'!$P$6:$P$405,1,'Istoric_Nativ'!$D$6:$D$405,"&gt;="&amp;L796),IF(H796="AWAY",SUMIFS('Istoric_Nativ'!$G$6:$G$405,'Istoric_Nativ'!$B$6:$B$405,E796,'Istoric_Nativ'!$C$6:$C$405,F796,'Istoric_Nativ'!$F$6:$F$405,G796,'Istoric_Nativ'!$D$6:$D$405,"&lt;"&amp;J796,'Istoric_Nativ'!$P$6:$P$405,1,'Istoric_Nativ'!$D$6:$D$405,"&gt;="&amp;L796),SUMIFS('Istoric_Nativ'!$H$6:$H$405,'Istoric_Nativ'!$B$6:$B$405,E796,'Istoric_Nativ'!$C$6:$C$405,F796,'Istoric_Nativ'!$E$6:$E$405,G796,'Istoric_Nativ'!$D$6:$D$405,"&lt;"&amp;J796,'Istoric_Nativ'!$P$6:$P$405,1,'Istoric_Nativ'!$D$6:$D$405,"&gt;="&amp;L796)+SUMIFS('Istoric_Nativ'!$G$6:$G$405,'Istoric_Nativ'!$B$6:$B$405,E796,'Istoric_Nativ'!$C$6:$C$405,F796,'Istoric_Nativ'!$F$6:$F$405,G796,'Istoric_Nativ'!$D$6:$D$405,"&lt;"&amp;J796,'Istoric_Nativ'!$P$6:$P$405,1,'Istoric_Nativ'!$D$6:$D$405,"&gt;="&amp;L796)))/M796)</x:f>
      </x:c>
      <x:c r="P796" s="2" t="n">
        <x:f>'Config_v6'!$B$8</x:f>
        <x:v>5</x:v>
      </x:c>
      <x:c r="Q796" s="2" t="n">
        <x:f>IF(OR(B796="",F796=""),0,IFERROR(MATCH(E796&amp;"|"&amp;F796,SourceTable[Source_Key],0),0))</x:f>
        <x:v>0</x:v>
      </x:c>
      <x:c r="R796" s="2" t="str">
        <x:f>IF(B796="","",IF(F796="","UNUSED",IF(Q796=0,"NOT CHECKED",IF(COUNTIF(SourceTable[Source_Key],E796&amp;"|"&amp;F796)&lt;&gt;1,"SOURCE CONFLICT",IF(NOT(OR(INDEX(SourceTable[Status],MAX(1,Q796))="IMPORTED",INDEX(SourceTable[Status],MAX(1,Q796))="PARTIAL",INDEX(SourceTable[Status],MAX(1,Q796))="SOURCE CONFLICT")),"ACCESS BLOCKED",IF(OR(INDEX(SourceTable[Coverage],Q796)&lt;&gt;"FULL SEASON EXPORT",INDEX(SourceTable[URL],Q796)="",INDEX(SourceTable[SHA256],Q796)=""),"EVIDENCE INCOMPLETE",IF(AND('Input_Meci'!H71="LIVE",INDEX(SourceTable[Retrieved_UTC],Q796)&gt;'Input_Meci'!G71),"POST CUTOFF","CLOSED")))))))</x:f>
      </x:c>
      <x:c r="S796" s="2" t="n">
        <x:f>IF(OR(B796="",F796=""),0,COUNTIFS('Istoric_Nativ'!$B$6:$B$405,E796,'Istoric_Nativ'!$C$6:$C$405,F796,'Istoric_Nativ'!$E$6:$E$405,G796,'Istoric_Nativ'!$D$6:$D$405,"&lt;"&amp;J796,'Istoric_Nativ'!$O$6:$O$405,"INVALID")+COUNTIFS('Istoric_Nativ'!$B$6:$B$405,E796,'Istoric_Nativ'!$C$6:$C$405,F796,'Istoric_Nativ'!$E$6:$E$405,G796,'Istoric_Nativ'!$O$6:$O$405,"INVALID",'Istoric_Nativ'!$D$6:$D$405,"*")+COUNTIFS('Istoric_Nativ'!$B$6:$B$405,E796,'Istoric_Nativ'!$C$6:$C$405,F796,'Istoric_Nativ'!$E$6:$E$405,G796,'Istoric_Nativ'!$D$6:$D$405,"&lt;"&amp;J796,'Istoric_Nativ'!$O$6:$O$405,"SOURCE CONFLICT")+COUNTIFS('Istoric_Nativ'!$B$6:$B$405,E796,'Istoric_Nativ'!$C$6:$C$405,F796,'Istoric_Nativ'!$F$6:$F$405,G796,'Istoric_Nativ'!$D$6:$D$405,"&lt;"&amp;J796,'Istoric_Nativ'!$O$6:$O$405,"INVALID")+COUNTIFS('Istoric_Nativ'!$B$6:$B$405,E796,'Istoric_Nativ'!$C$6:$C$405,F796,'Istoric_Nativ'!$F$6:$F$405,G796,'Istoric_Nativ'!$O$6:$O$405,"INVALID",'Istoric_Nativ'!$D$6:$D$405,"*")+COUNTIFS('Istoric_Nativ'!$B$6:$B$405,E796,'Istoric_Nativ'!$C$6:$C$405,F796,'Istoric_Nativ'!$F$6:$F$405,G796,'Istoric_Nativ'!$D$6:$D$405,"&lt;"&amp;J796,'Istoric_Nativ'!$O$6:$O$405,"SOURCE CONFLICT"))</x:f>
        <x:v>0</x:v>
      </x:c>
      <x:c r="T796" s="2" t="str">
        <x:f>IF(B796="","",IF(R796&lt;&gt;"CLOSED",R796,IF(S796&gt;0,"NATIVE INPUT ISSUE",IF(M796=0,"NO HISTORY",IF(M796&lt;P796,"SMALL SAMPLE","DERIVED")))))</x:f>
      </x:c>
      <x:c r="U796" s="2" t="str">
        <x:f>IF(B796="","","NativeTable; "&amp;E796&amp;"; "&amp;F796&amp;"; "&amp;G796&amp;"; "&amp;H796&amp;"; before "&amp;TEXT(J796,"yyyy-mm-dd")&amp;IF(I796="RECENT","; from "&amp;TEXT(L796,"yyyy-mm-dd"),""))</x:f>
      </x:c>
    </x:row>
    <x:row r="797" ht="21" customHeight="1">
      <x:c r="A797" s="2" t="n">
        <x:v>66</x:v>
      </x:c>
      <x:c r="B797" s="2" t="str">
        <x:f>IF('Input_Meci'!A71="","",'Input_Meci'!A71)</x:f>
      </x:c>
      <x:c r="C797" s="2" t="str">
        <x:v>A</x:v>
      </x:c>
      <x:c r="D797" s="2" t="str">
        <x:v>PRIOR</x:v>
      </x:c>
      <x:c r="E797" s="2" t="str">
        <x:f>IF(B797="","",'Input_Meci'!B71)</x:f>
      </x:c>
      <x:c r="F797" s="2" t="str">
        <x:f>IF(B797="","",IF('Input_Meci'!K71="","",'Input_Meci'!K71))</x:f>
      </x:c>
      <x:c r="G797" s="2" t="str">
        <x:f>IF(B797="","",'Input_Meci'!E71)</x:f>
      </x:c>
      <x:c r="H797" s="2" t="str">
        <x:v>ANY</x:v>
      </x:c>
      <x:c r="I797" s="2" t="str">
        <x:v>RECENT</x:v>
      </x:c>
      <x:c r="J797" s="9" t="n">
        <x:f>IF(AND(B797&lt;&gt;"",ISNUMBER('Input_Meci'!G71)),INT('Input_Meci'!G71),0)</x:f>
        <x:v>0</x:v>
      </x:c>
      <x:c r="K797" s="2" t="n">
        <x:f>IF(OR(B797="",F797=""),0,IF(H797="HOME",COUNTIFS('Istoric_Nativ'!$B$6:$B$405,E797,'Istoric_Nativ'!$C$6:$C$405,F797,'Istoric_Nativ'!$E$6:$E$405,G797,'Istoric_Nativ'!$D$6:$D$405,"&lt;"&amp;J797,'Istoric_Nativ'!$P$6:$P$405,1),IF(H797="AWAY",COUNTIFS('Istoric_Nativ'!$B$6:$B$405,E797,'Istoric_Nativ'!$C$6:$C$405,F797,'Istoric_Nativ'!$F$6:$F$405,G797,'Istoric_Nativ'!$D$6:$D$405,"&lt;"&amp;J797,'Istoric_Nativ'!$P$6:$P$405,1),COUNTIFS('Istoric_Nativ'!$B$6:$B$405,E797,'Istoric_Nativ'!$C$6:$C$405,F797,'Istoric_Nativ'!$E$6:$E$405,G797,'Istoric_Nativ'!$D$6:$D$405,"&lt;"&amp;J797,'Istoric_Nativ'!$P$6:$P$405,1)+COUNTIFS('Istoric_Nativ'!$B$6:$B$405,E797,'Istoric_Nativ'!$C$6:$C$405,F797,'Istoric_Nativ'!$F$6:$F$405,G797,'Istoric_Nativ'!$D$6:$D$405,"&lt;"&amp;J797,'Istoric_Nativ'!$P$6:$P$405,1))))</x:f>
        <x:v>0</x:v>
      </x:c>
      <x:c r="L797" s="17" t="n">
        <x:f>IF(AND(B797&lt;&gt;"",I797="RECENT",K797&gt;0),LARGE(_xlfn._xlws.FILTER('Istoric_Nativ'!$D$6:$D$405,('Istoric_Nativ'!$B$6:$B$405=E797)*('Istoric_Nativ'!$C$6:$C$405=F797)*('Istoric_Nativ'!$P$6:$P$405=1)*('Istoric_Nativ'!$D$6:$D$405&lt;J797)*((('Istoric_Nativ'!$E$6:$E$405=G797)+('Istoric_Nativ'!$F$6:$F$405=G797))&gt;0)),MIN('Config_v6'!$B$54,K797)),0)</x:f>
        <x:v>0</x:v>
      </x:c>
      <x:c r="M797" s="2" t="n">
        <x:f>IF(OR(B797="",F797=""),0,IF(H797="HOME",COUNTIFS('Istoric_Nativ'!$B$6:$B$405,E797,'Istoric_Nativ'!$C$6:$C$405,F797,'Istoric_Nativ'!$E$6:$E$405,G797,'Istoric_Nativ'!$D$6:$D$405,"&lt;"&amp;J797,'Istoric_Nativ'!$P$6:$P$405,1,'Istoric_Nativ'!$D$6:$D$405,"&gt;="&amp;L797),IF(H797="AWAY",COUNTIFS('Istoric_Nativ'!$B$6:$B$405,E797,'Istoric_Nativ'!$C$6:$C$405,F797,'Istoric_Nativ'!$F$6:$F$405,G797,'Istoric_Nativ'!$D$6:$D$405,"&lt;"&amp;J797,'Istoric_Nativ'!$P$6:$P$405,1,'Istoric_Nativ'!$D$6:$D$405,"&gt;="&amp;L797),COUNTIFS('Istoric_Nativ'!$B$6:$B$405,E797,'Istoric_Nativ'!$C$6:$C$405,F797,'Istoric_Nativ'!$E$6:$E$405,G797,'Istoric_Nativ'!$D$6:$D$405,"&lt;"&amp;J797,'Istoric_Nativ'!$P$6:$P$405,1,'Istoric_Nativ'!$D$6:$D$405,"&gt;="&amp;L797)+COUNTIFS('Istoric_Nativ'!$B$6:$B$405,E797,'Istoric_Nativ'!$C$6:$C$405,F797,'Istoric_Nativ'!$F$6:$F$405,G797,'Istoric_Nativ'!$D$6:$D$405,"&lt;"&amp;J797,'Istoric_Nativ'!$P$6:$P$405,1,'Istoric_Nativ'!$D$6:$D$405,"&gt;="&amp;L797))))</x:f>
        <x:v>0</x:v>
      </x:c>
      <x:c r="N797" s="11" t="str">
        <x:f>IF(M797=0,"",IF(H797="HOME",SUMIFS('Istoric_Nativ'!$G$6:$G$405,'Istoric_Nativ'!$B$6:$B$405,E797,'Istoric_Nativ'!$C$6:$C$405,F797,'Istoric_Nativ'!$E$6:$E$405,G797,'Istoric_Nativ'!$D$6:$D$405,"&lt;"&amp;J797,'Istoric_Nativ'!$P$6:$P$405,1,'Istoric_Nativ'!$D$6:$D$405,"&gt;="&amp;L797),IF(H797="AWAY",SUMIFS('Istoric_Nativ'!$H$6:$H$405,'Istoric_Nativ'!$B$6:$B$405,E797,'Istoric_Nativ'!$C$6:$C$405,F797,'Istoric_Nativ'!$F$6:$F$405,G797,'Istoric_Nativ'!$D$6:$D$405,"&lt;"&amp;J797,'Istoric_Nativ'!$P$6:$P$405,1,'Istoric_Nativ'!$D$6:$D$405,"&gt;="&amp;L797),SUMIFS('Istoric_Nativ'!$G$6:$G$405,'Istoric_Nativ'!$B$6:$B$405,E797,'Istoric_Nativ'!$C$6:$C$405,F797,'Istoric_Nativ'!$E$6:$E$405,G797,'Istoric_Nativ'!$D$6:$D$405,"&lt;"&amp;J797,'Istoric_Nativ'!$P$6:$P$405,1,'Istoric_Nativ'!$D$6:$D$405,"&gt;="&amp;L797)+SUMIFS('Istoric_Nativ'!$H$6:$H$405,'Istoric_Nativ'!$B$6:$B$405,E797,'Istoric_Nativ'!$C$6:$C$405,F797,'Istoric_Nativ'!$F$6:$F$405,G797,'Istoric_Nativ'!$D$6:$D$405,"&lt;"&amp;J797,'Istoric_Nativ'!$P$6:$P$405,1,'Istoric_Nativ'!$D$6:$D$405,"&gt;="&amp;L797)))/M797)</x:f>
      </x:c>
      <x:c r="O797" s="11" t="str">
        <x:f>IF(M797=0,"",IF(H797="HOME",SUMIFS('Istoric_Nativ'!$H$6:$H$405,'Istoric_Nativ'!$B$6:$B$405,E797,'Istoric_Nativ'!$C$6:$C$405,F797,'Istoric_Nativ'!$E$6:$E$405,G797,'Istoric_Nativ'!$D$6:$D$405,"&lt;"&amp;J797,'Istoric_Nativ'!$P$6:$P$405,1,'Istoric_Nativ'!$D$6:$D$405,"&gt;="&amp;L797),IF(H797="AWAY",SUMIFS('Istoric_Nativ'!$G$6:$G$405,'Istoric_Nativ'!$B$6:$B$405,E797,'Istoric_Nativ'!$C$6:$C$405,F797,'Istoric_Nativ'!$F$6:$F$405,G797,'Istoric_Nativ'!$D$6:$D$405,"&lt;"&amp;J797,'Istoric_Nativ'!$P$6:$P$405,1,'Istoric_Nativ'!$D$6:$D$405,"&gt;="&amp;L797),SUMIFS('Istoric_Nativ'!$H$6:$H$405,'Istoric_Nativ'!$B$6:$B$405,E797,'Istoric_Nativ'!$C$6:$C$405,F797,'Istoric_Nativ'!$E$6:$E$405,G797,'Istoric_Nativ'!$D$6:$D$405,"&lt;"&amp;J797,'Istoric_Nativ'!$P$6:$P$405,1,'Istoric_Nativ'!$D$6:$D$405,"&gt;="&amp;L797)+SUMIFS('Istoric_Nativ'!$G$6:$G$405,'Istoric_Nativ'!$B$6:$B$405,E797,'Istoric_Nativ'!$C$6:$C$405,F797,'Istoric_Nativ'!$F$6:$F$405,G797,'Istoric_Nativ'!$D$6:$D$405,"&lt;"&amp;J797,'Istoric_Nativ'!$P$6:$P$405,1,'Istoric_Nativ'!$D$6:$D$405,"&gt;="&amp;L797)))/M797)</x:f>
      </x:c>
      <x:c r="P797" s="2" t="n">
        <x:f>'Config_v6'!$B$9</x:f>
        <x:v>3</x:v>
      </x:c>
      <x:c r="Q797" s="2" t="n">
        <x:f>IF(OR(B797="",F797=""),0,IFERROR(MATCH(E797&amp;"|"&amp;F797,SourceTable[Source_Key],0),0))</x:f>
        <x:v>0</x:v>
      </x:c>
      <x:c r="R797" s="2" t="str">
        <x:f>IF(B797="","",IF(F797="","UNUSED",IF(Q797=0,"NOT CHECKED",IF(COUNTIF(SourceTable[Source_Key],E797&amp;"|"&amp;F797)&lt;&gt;1,"SOURCE CONFLICT",IF(NOT(OR(INDEX(SourceTable[Status],MAX(1,Q797))="IMPORTED",INDEX(SourceTable[Status],MAX(1,Q797))="PARTIAL",INDEX(SourceTable[Status],MAX(1,Q797))="SOURCE CONFLICT")),"ACCESS BLOCKED",IF(OR(INDEX(SourceTable[Coverage],Q797)&lt;&gt;"FULL SEASON EXPORT",INDEX(SourceTable[URL],Q797)="",INDEX(SourceTable[SHA256],Q797)=""),"EVIDENCE INCOMPLETE",IF(AND('Input_Meci'!H71="LIVE",INDEX(SourceTable[Retrieved_UTC],Q797)&gt;'Input_Meci'!G71),"POST CUTOFF","CLOSED")))))))</x:f>
      </x:c>
      <x:c r="S797" s="2" t="n">
        <x:f>IF(OR(B797="",F797=""),0,COUNTIFS('Istoric_Nativ'!$B$6:$B$405,E797,'Istoric_Nativ'!$C$6:$C$405,F797,'Istoric_Nativ'!$E$6:$E$405,G797,'Istoric_Nativ'!$D$6:$D$405,"&lt;"&amp;J797,'Istoric_Nativ'!$O$6:$O$405,"INVALID")+COUNTIFS('Istoric_Nativ'!$B$6:$B$405,E797,'Istoric_Nativ'!$C$6:$C$405,F797,'Istoric_Nativ'!$E$6:$E$405,G797,'Istoric_Nativ'!$O$6:$O$405,"INVALID",'Istoric_Nativ'!$D$6:$D$405,"*")+COUNTIFS('Istoric_Nativ'!$B$6:$B$405,E797,'Istoric_Nativ'!$C$6:$C$405,F797,'Istoric_Nativ'!$E$6:$E$405,G797,'Istoric_Nativ'!$D$6:$D$405,"&lt;"&amp;J797,'Istoric_Nativ'!$O$6:$O$405,"SOURCE CONFLICT")+COUNTIFS('Istoric_Nativ'!$B$6:$B$405,E797,'Istoric_Nativ'!$C$6:$C$405,F797,'Istoric_Nativ'!$F$6:$F$405,G797,'Istoric_Nativ'!$D$6:$D$405,"&lt;"&amp;J797,'Istoric_Nativ'!$O$6:$O$405,"INVALID")+COUNTIFS('Istoric_Nativ'!$B$6:$B$405,E797,'Istoric_Nativ'!$C$6:$C$405,F797,'Istoric_Nativ'!$F$6:$F$405,G797,'Istoric_Nativ'!$O$6:$O$405,"INVALID",'Istoric_Nativ'!$D$6:$D$405,"*")+COUNTIFS('Istoric_Nativ'!$B$6:$B$405,E797,'Istoric_Nativ'!$C$6:$C$405,F797,'Istoric_Nativ'!$F$6:$F$405,G797,'Istoric_Nativ'!$D$6:$D$405,"&lt;"&amp;J797,'Istoric_Nativ'!$O$6:$O$405,"SOURCE CONFLICT"))</x:f>
        <x:v>0</x:v>
      </x:c>
      <x:c r="T797" s="2" t="str">
        <x:f>IF(B797="","",IF(R797&lt;&gt;"CLOSED",R797,IF(S797&gt;0,"NATIVE INPUT ISSUE",IF(M797=0,"NO HISTORY",IF(M797&lt;P797,"SMALL SAMPLE","DERIVED")))))</x:f>
      </x:c>
      <x:c r="U797" s="2" t="str">
        <x:f>IF(B797="","","NativeTable; "&amp;E797&amp;"; "&amp;F797&amp;"; "&amp;G797&amp;"; "&amp;H797&amp;"; before "&amp;TEXT(J797,"yyyy-mm-dd")&amp;IF(I797="RECENT","; from "&amp;TEXT(L797,"yyyy-mm-dd"),""))</x:f>
      </x:c>
    </x:row>
    <x:row r="798" ht="21" customHeight="1">
      <x:c r="A798" s="2" t="n">
        <x:v>67</x:v>
      </x:c>
      <x:c r="B798" s="2" t="str">
        <x:f>IF('Input_Meci'!A72="","",'Input_Meci'!A72)</x:f>
      </x:c>
      <x:c r="C798" s="2" t="str">
        <x:v>H</x:v>
      </x:c>
      <x:c r="D798" s="2" t="str">
        <x:v>CURRENT</x:v>
      </x:c>
      <x:c r="E798" s="2" t="str">
        <x:f>IF(B798="","",'Input_Meci'!B72)</x:f>
      </x:c>
      <x:c r="F798" s="2" t="str">
        <x:f>IF(B798="","",IF('Input_Meci'!C72="","",'Input_Meci'!C72))</x:f>
      </x:c>
      <x:c r="G798" s="2" t="str">
        <x:f>IF(B798="","",'Input_Meci'!D72)</x:f>
      </x:c>
      <x:c r="H798" s="2" t="str">
        <x:v>ANY</x:v>
      </x:c>
      <x:c r="I798" s="2" t="str">
        <x:v>SEASON</x:v>
      </x:c>
      <x:c r="J798" s="9" t="n">
        <x:f>IF(AND(B798&lt;&gt;"",ISNUMBER('Input_Meci'!G72)),INT('Input_Meci'!G72),0)</x:f>
        <x:v>0</x:v>
      </x:c>
      <x:c r="K798" s="2" t="n">
        <x:f>IF(OR(B798="",F798=""),0,IF(H798="HOME",COUNTIFS('Istoric_Nativ'!$B$6:$B$405,E798,'Istoric_Nativ'!$C$6:$C$405,F798,'Istoric_Nativ'!$E$6:$E$405,G798,'Istoric_Nativ'!$D$6:$D$405,"&lt;"&amp;J798,'Istoric_Nativ'!$P$6:$P$405,1),IF(H798="AWAY",COUNTIFS('Istoric_Nativ'!$B$6:$B$405,E798,'Istoric_Nativ'!$C$6:$C$405,F798,'Istoric_Nativ'!$F$6:$F$405,G798,'Istoric_Nativ'!$D$6:$D$405,"&lt;"&amp;J798,'Istoric_Nativ'!$P$6:$P$405,1),COUNTIFS('Istoric_Nativ'!$B$6:$B$405,E798,'Istoric_Nativ'!$C$6:$C$405,F798,'Istoric_Nativ'!$E$6:$E$405,G798,'Istoric_Nativ'!$D$6:$D$405,"&lt;"&amp;J798,'Istoric_Nativ'!$P$6:$P$405,1)+COUNTIFS('Istoric_Nativ'!$B$6:$B$405,E798,'Istoric_Nativ'!$C$6:$C$405,F798,'Istoric_Nativ'!$F$6:$F$405,G798,'Istoric_Nativ'!$D$6:$D$405,"&lt;"&amp;J798,'Istoric_Nativ'!$P$6:$P$405,1))))</x:f>
        <x:v>0</x:v>
      </x:c>
      <x:c r="L798" s="17" t="n">
        <x:f>IF(AND(B798&lt;&gt;"",I798="RECENT",K798&gt;0),LARGE(_xlfn._xlws.FILTER('Istoric_Nativ'!$D$6:$D$405,('Istoric_Nativ'!$B$6:$B$405=E798)*('Istoric_Nativ'!$C$6:$C$405=F798)*('Istoric_Nativ'!$P$6:$P$405=1)*('Istoric_Nativ'!$D$6:$D$405&lt;J798)*((('Istoric_Nativ'!$E$6:$E$405=G798)+('Istoric_Nativ'!$F$6:$F$405=G798))&gt;0)),MIN('Config_v6'!$B$54,K798)),0)</x:f>
        <x:v>0</x:v>
      </x:c>
      <x:c r="M798" s="2" t="n">
        <x:f>IF(OR(B798="",F798=""),0,IF(H798="HOME",COUNTIFS('Istoric_Nativ'!$B$6:$B$405,E798,'Istoric_Nativ'!$C$6:$C$405,F798,'Istoric_Nativ'!$E$6:$E$405,G798,'Istoric_Nativ'!$D$6:$D$405,"&lt;"&amp;J798,'Istoric_Nativ'!$P$6:$P$405,1,'Istoric_Nativ'!$D$6:$D$405,"&gt;="&amp;L798),IF(H798="AWAY",COUNTIFS('Istoric_Nativ'!$B$6:$B$405,E798,'Istoric_Nativ'!$C$6:$C$405,F798,'Istoric_Nativ'!$F$6:$F$405,G798,'Istoric_Nativ'!$D$6:$D$405,"&lt;"&amp;J798,'Istoric_Nativ'!$P$6:$P$405,1,'Istoric_Nativ'!$D$6:$D$405,"&gt;="&amp;L798),COUNTIFS('Istoric_Nativ'!$B$6:$B$405,E798,'Istoric_Nativ'!$C$6:$C$405,F798,'Istoric_Nativ'!$E$6:$E$405,G798,'Istoric_Nativ'!$D$6:$D$405,"&lt;"&amp;J798,'Istoric_Nativ'!$P$6:$P$405,1,'Istoric_Nativ'!$D$6:$D$405,"&gt;="&amp;L798)+COUNTIFS('Istoric_Nativ'!$B$6:$B$405,E798,'Istoric_Nativ'!$C$6:$C$405,F798,'Istoric_Nativ'!$F$6:$F$405,G798,'Istoric_Nativ'!$D$6:$D$405,"&lt;"&amp;J798,'Istoric_Nativ'!$P$6:$P$405,1,'Istoric_Nativ'!$D$6:$D$405,"&gt;="&amp;L798))))</x:f>
        <x:v>0</x:v>
      </x:c>
      <x:c r="N798" s="11" t="str">
        <x:f>IF(M798=0,"",IF(H798="HOME",SUMIFS('Istoric_Nativ'!$G$6:$G$405,'Istoric_Nativ'!$B$6:$B$405,E798,'Istoric_Nativ'!$C$6:$C$405,F798,'Istoric_Nativ'!$E$6:$E$405,G798,'Istoric_Nativ'!$D$6:$D$405,"&lt;"&amp;J798,'Istoric_Nativ'!$P$6:$P$405,1,'Istoric_Nativ'!$D$6:$D$405,"&gt;="&amp;L798),IF(H798="AWAY",SUMIFS('Istoric_Nativ'!$H$6:$H$405,'Istoric_Nativ'!$B$6:$B$405,E798,'Istoric_Nativ'!$C$6:$C$405,F798,'Istoric_Nativ'!$F$6:$F$405,G798,'Istoric_Nativ'!$D$6:$D$405,"&lt;"&amp;J798,'Istoric_Nativ'!$P$6:$P$405,1,'Istoric_Nativ'!$D$6:$D$405,"&gt;="&amp;L798),SUMIFS('Istoric_Nativ'!$G$6:$G$405,'Istoric_Nativ'!$B$6:$B$405,E798,'Istoric_Nativ'!$C$6:$C$405,F798,'Istoric_Nativ'!$E$6:$E$405,G798,'Istoric_Nativ'!$D$6:$D$405,"&lt;"&amp;J798,'Istoric_Nativ'!$P$6:$P$405,1,'Istoric_Nativ'!$D$6:$D$405,"&gt;="&amp;L798)+SUMIFS('Istoric_Nativ'!$H$6:$H$405,'Istoric_Nativ'!$B$6:$B$405,E798,'Istoric_Nativ'!$C$6:$C$405,F798,'Istoric_Nativ'!$F$6:$F$405,G798,'Istoric_Nativ'!$D$6:$D$405,"&lt;"&amp;J798,'Istoric_Nativ'!$P$6:$P$405,1,'Istoric_Nativ'!$D$6:$D$405,"&gt;="&amp;L798)))/M798)</x:f>
      </x:c>
      <x:c r="O798" s="11" t="str">
        <x:f>IF(M798=0,"",IF(H798="HOME",SUMIFS('Istoric_Nativ'!$H$6:$H$405,'Istoric_Nativ'!$B$6:$B$405,E798,'Istoric_Nativ'!$C$6:$C$405,F798,'Istoric_Nativ'!$E$6:$E$405,G798,'Istoric_Nativ'!$D$6:$D$405,"&lt;"&amp;J798,'Istoric_Nativ'!$P$6:$P$405,1,'Istoric_Nativ'!$D$6:$D$405,"&gt;="&amp;L798),IF(H798="AWAY",SUMIFS('Istoric_Nativ'!$G$6:$G$405,'Istoric_Nativ'!$B$6:$B$405,E798,'Istoric_Nativ'!$C$6:$C$405,F798,'Istoric_Nativ'!$F$6:$F$405,G798,'Istoric_Nativ'!$D$6:$D$405,"&lt;"&amp;J798,'Istoric_Nativ'!$P$6:$P$405,1,'Istoric_Nativ'!$D$6:$D$405,"&gt;="&amp;L798),SUMIFS('Istoric_Nativ'!$H$6:$H$405,'Istoric_Nativ'!$B$6:$B$405,E798,'Istoric_Nativ'!$C$6:$C$405,F798,'Istoric_Nativ'!$E$6:$E$405,G798,'Istoric_Nativ'!$D$6:$D$405,"&lt;"&amp;J798,'Istoric_Nativ'!$P$6:$P$405,1,'Istoric_Nativ'!$D$6:$D$405,"&gt;="&amp;L798)+SUMIFS('Istoric_Nativ'!$G$6:$G$405,'Istoric_Nativ'!$B$6:$B$405,E798,'Istoric_Nativ'!$C$6:$C$405,F798,'Istoric_Nativ'!$F$6:$F$405,G798,'Istoric_Nativ'!$D$6:$D$405,"&lt;"&amp;J798,'Istoric_Nativ'!$P$6:$P$405,1,'Istoric_Nativ'!$D$6:$D$405,"&gt;="&amp;L798)))/M798)</x:f>
      </x:c>
      <x:c r="P798" s="2" t="n">
        <x:f>'Config_v6'!$B$7</x:f>
        <x:v>10</x:v>
      </x:c>
      <x:c r="Q798" s="2" t="n">
        <x:f>IF(OR(B798="",F798=""),0,IFERROR(MATCH(E798&amp;"|"&amp;F798,SourceTable[Source_Key],0),0))</x:f>
        <x:v>0</x:v>
      </x:c>
      <x:c r="R798" s="2" t="str">
        <x:f>IF(B798="","",IF(F798="","UNUSED",IF(Q798=0,"NOT CHECKED",IF(COUNTIF(SourceTable[Source_Key],E798&amp;"|"&amp;F798)&lt;&gt;1,"SOURCE CONFLICT",IF(NOT(OR(INDEX(SourceTable[Status],MAX(1,Q798))="IMPORTED",INDEX(SourceTable[Status],MAX(1,Q798))="PARTIAL",INDEX(SourceTable[Status],MAX(1,Q798))="SOURCE CONFLICT")),"ACCESS BLOCKED",IF(OR(INDEX(SourceTable[Coverage],Q798)&lt;&gt;"FULL SEASON EXPORT",INDEX(SourceTable[URL],Q798)="",INDEX(SourceTable[SHA256],Q798)=""),"EVIDENCE INCOMPLETE",IF(AND('Input_Meci'!H72="LIVE",INDEX(SourceTable[Retrieved_UTC],Q798)&gt;'Input_Meci'!G72),"POST CUTOFF","CLOSED")))))))</x:f>
      </x:c>
      <x:c r="S798" s="2" t="n">
        <x:f>IF(OR(B798="",F798=""),0,COUNTIFS('Istoric_Nativ'!$B$6:$B$405,E798,'Istoric_Nativ'!$C$6:$C$405,F798,'Istoric_Nativ'!$E$6:$E$405,G798,'Istoric_Nativ'!$D$6:$D$405,"&lt;"&amp;J798,'Istoric_Nativ'!$O$6:$O$405,"INVALID")+COUNTIFS('Istoric_Nativ'!$B$6:$B$405,E798,'Istoric_Nativ'!$C$6:$C$405,F798,'Istoric_Nativ'!$E$6:$E$405,G798,'Istoric_Nativ'!$O$6:$O$405,"INVALID",'Istoric_Nativ'!$D$6:$D$405,"*")+COUNTIFS('Istoric_Nativ'!$B$6:$B$405,E798,'Istoric_Nativ'!$C$6:$C$405,F798,'Istoric_Nativ'!$E$6:$E$405,G798,'Istoric_Nativ'!$D$6:$D$405,"&lt;"&amp;J798,'Istoric_Nativ'!$O$6:$O$405,"SOURCE CONFLICT")+COUNTIFS('Istoric_Nativ'!$B$6:$B$405,E798,'Istoric_Nativ'!$C$6:$C$405,F798,'Istoric_Nativ'!$F$6:$F$405,G798,'Istoric_Nativ'!$D$6:$D$405,"&lt;"&amp;J798,'Istoric_Nativ'!$O$6:$O$405,"INVALID")+COUNTIFS('Istoric_Nativ'!$B$6:$B$405,E798,'Istoric_Nativ'!$C$6:$C$405,F798,'Istoric_Nativ'!$F$6:$F$405,G798,'Istoric_Nativ'!$O$6:$O$405,"INVALID",'Istoric_Nativ'!$D$6:$D$405,"*")+COUNTIFS('Istoric_Nativ'!$B$6:$B$405,E798,'Istoric_Nativ'!$C$6:$C$405,F798,'Istoric_Nativ'!$F$6:$F$405,G798,'Istoric_Nativ'!$D$6:$D$405,"&lt;"&amp;J798,'Istoric_Nativ'!$O$6:$O$405,"SOURCE CONFLICT"))</x:f>
        <x:v>0</x:v>
      </x:c>
      <x:c r="T798" s="2" t="str">
        <x:f>IF(B798="","",IF(R798&lt;&gt;"CLOSED",R798,IF(S798&gt;0,"NATIVE INPUT ISSUE",IF(M798=0,"NO HISTORY",IF(M798&lt;P798,"SMALL SAMPLE","DERIVED")))))</x:f>
      </x:c>
      <x:c r="U798" s="2" t="str">
        <x:f>IF(B798="","","NativeTable; "&amp;E798&amp;"; "&amp;F798&amp;"; "&amp;G798&amp;"; "&amp;H798&amp;"; before "&amp;TEXT(J798,"yyyy-mm-dd")&amp;IF(I798="RECENT","; from "&amp;TEXT(L798,"yyyy-mm-dd"),""))</x:f>
      </x:c>
    </x:row>
    <x:row r="799" ht="21" customHeight="1">
      <x:c r="A799" s="2" t="n">
        <x:v>67</x:v>
      </x:c>
      <x:c r="B799" s="2" t="str">
        <x:f>IF('Input_Meci'!A72="","",'Input_Meci'!A72)</x:f>
      </x:c>
      <x:c r="C799" s="2" t="str">
        <x:v>H</x:v>
      </x:c>
      <x:c r="D799" s="2" t="str">
        <x:v>CURRENT</x:v>
      </x:c>
      <x:c r="E799" s="2" t="str">
        <x:f>IF(B799="","",'Input_Meci'!B72)</x:f>
      </x:c>
      <x:c r="F799" s="2" t="str">
        <x:f>IF(B799="","",IF('Input_Meci'!C72="","",'Input_Meci'!C72))</x:f>
      </x:c>
      <x:c r="G799" s="2" t="str">
        <x:f>IF(B799="","",'Input_Meci'!D72)</x:f>
      </x:c>
      <x:c r="H799" s="2" t="str">
        <x:v>HOME</x:v>
      </x:c>
      <x:c r="I799" s="2" t="str">
        <x:v>HA</x:v>
      </x:c>
      <x:c r="J799" s="9" t="n">
        <x:f>IF(AND(B799&lt;&gt;"",ISNUMBER('Input_Meci'!G72)),INT('Input_Meci'!G72),0)</x:f>
        <x:v>0</x:v>
      </x:c>
      <x:c r="K799" s="2" t="n">
        <x:f>IF(OR(B799="",F799=""),0,IF(H799="HOME",COUNTIFS('Istoric_Nativ'!$B$6:$B$405,E799,'Istoric_Nativ'!$C$6:$C$405,F799,'Istoric_Nativ'!$E$6:$E$405,G799,'Istoric_Nativ'!$D$6:$D$405,"&lt;"&amp;J799,'Istoric_Nativ'!$P$6:$P$405,1),IF(H799="AWAY",COUNTIFS('Istoric_Nativ'!$B$6:$B$405,E799,'Istoric_Nativ'!$C$6:$C$405,F799,'Istoric_Nativ'!$F$6:$F$405,G799,'Istoric_Nativ'!$D$6:$D$405,"&lt;"&amp;J799,'Istoric_Nativ'!$P$6:$P$405,1),COUNTIFS('Istoric_Nativ'!$B$6:$B$405,E799,'Istoric_Nativ'!$C$6:$C$405,F799,'Istoric_Nativ'!$E$6:$E$405,G799,'Istoric_Nativ'!$D$6:$D$405,"&lt;"&amp;J799,'Istoric_Nativ'!$P$6:$P$405,1)+COUNTIFS('Istoric_Nativ'!$B$6:$B$405,E799,'Istoric_Nativ'!$C$6:$C$405,F799,'Istoric_Nativ'!$F$6:$F$405,G799,'Istoric_Nativ'!$D$6:$D$405,"&lt;"&amp;J799,'Istoric_Nativ'!$P$6:$P$405,1))))</x:f>
        <x:v>0</x:v>
      </x:c>
      <x:c r="L799" s="17" t="n">
        <x:f>IF(AND(B799&lt;&gt;"",I799="RECENT",K799&gt;0),LARGE(_xlfn._xlws.FILTER('Istoric_Nativ'!$D$6:$D$405,('Istoric_Nativ'!$B$6:$B$405=E799)*('Istoric_Nativ'!$C$6:$C$405=F799)*('Istoric_Nativ'!$P$6:$P$405=1)*('Istoric_Nativ'!$D$6:$D$405&lt;J799)*((('Istoric_Nativ'!$E$6:$E$405=G799)+('Istoric_Nativ'!$F$6:$F$405=G799))&gt;0)),MIN('Config_v6'!$B$54,K799)),0)</x:f>
        <x:v>0</x:v>
      </x:c>
      <x:c r="M799" s="2" t="n">
        <x:f>IF(OR(B799="",F799=""),0,IF(H799="HOME",COUNTIFS('Istoric_Nativ'!$B$6:$B$405,E799,'Istoric_Nativ'!$C$6:$C$405,F799,'Istoric_Nativ'!$E$6:$E$405,G799,'Istoric_Nativ'!$D$6:$D$405,"&lt;"&amp;J799,'Istoric_Nativ'!$P$6:$P$405,1,'Istoric_Nativ'!$D$6:$D$405,"&gt;="&amp;L799),IF(H799="AWAY",COUNTIFS('Istoric_Nativ'!$B$6:$B$405,E799,'Istoric_Nativ'!$C$6:$C$405,F799,'Istoric_Nativ'!$F$6:$F$405,G799,'Istoric_Nativ'!$D$6:$D$405,"&lt;"&amp;J799,'Istoric_Nativ'!$P$6:$P$405,1,'Istoric_Nativ'!$D$6:$D$405,"&gt;="&amp;L799),COUNTIFS('Istoric_Nativ'!$B$6:$B$405,E799,'Istoric_Nativ'!$C$6:$C$405,F799,'Istoric_Nativ'!$E$6:$E$405,G799,'Istoric_Nativ'!$D$6:$D$405,"&lt;"&amp;J799,'Istoric_Nativ'!$P$6:$P$405,1,'Istoric_Nativ'!$D$6:$D$405,"&gt;="&amp;L799)+COUNTIFS('Istoric_Nativ'!$B$6:$B$405,E799,'Istoric_Nativ'!$C$6:$C$405,F799,'Istoric_Nativ'!$F$6:$F$405,G799,'Istoric_Nativ'!$D$6:$D$405,"&lt;"&amp;J799,'Istoric_Nativ'!$P$6:$P$405,1,'Istoric_Nativ'!$D$6:$D$405,"&gt;="&amp;L799))))</x:f>
        <x:v>0</x:v>
      </x:c>
      <x:c r="N799" s="11" t="str">
        <x:f>IF(M799=0,"",IF(H799="HOME",SUMIFS('Istoric_Nativ'!$G$6:$G$405,'Istoric_Nativ'!$B$6:$B$405,E799,'Istoric_Nativ'!$C$6:$C$405,F799,'Istoric_Nativ'!$E$6:$E$405,G799,'Istoric_Nativ'!$D$6:$D$405,"&lt;"&amp;J799,'Istoric_Nativ'!$P$6:$P$405,1,'Istoric_Nativ'!$D$6:$D$405,"&gt;="&amp;L799),IF(H799="AWAY",SUMIFS('Istoric_Nativ'!$H$6:$H$405,'Istoric_Nativ'!$B$6:$B$405,E799,'Istoric_Nativ'!$C$6:$C$405,F799,'Istoric_Nativ'!$F$6:$F$405,G799,'Istoric_Nativ'!$D$6:$D$405,"&lt;"&amp;J799,'Istoric_Nativ'!$P$6:$P$405,1,'Istoric_Nativ'!$D$6:$D$405,"&gt;="&amp;L799),SUMIFS('Istoric_Nativ'!$G$6:$G$405,'Istoric_Nativ'!$B$6:$B$405,E799,'Istoric_Nativ'!$C$6:$C$405,F799,'Istoric_Nativ'!$E$6:$E$405,G799,'Istoric_Nativ'!$D$6:$D$405,"&lt;"&amp;J799,'Istoric_Nativ'!$P$6:$P$405,1,'Istoric_Nativ'!$D$6:$D$405,"&gt;="&amp;L799)+SUMIFS('Istoric_Nativ'!$H$6:$H$405,'Istoric_Nativ'!$B$6:$B$405,E799,'Istoric_Nativ'!$C$6:$C$405,F799,'Istoric_Nativ'!$F$6:$F$405,G799,'Istoric_Nativ'!$D$6:$D$405,"&lt;"&amp;J799,'Istoric_Nativ'!$P$6:$P$405,1,'Istoric_Nativ'!$D$6:$D$405,"&gt;="&amp;L799)))/M799)</x:f>
      </x:c>
      <x:c r="O799" s="11" t="str">
        <x:f>IF(M799=0,"",IF(H799="HOME",SUMIFS('Istoric_Nativ'!$H$6:$H$405,'Istoric_Nativ'!$B$6:$B$405,E799,'Istoric_Nativ'!$C$6:$C$405,F799,'Istoric_Nativ'!$E$6:$E$405,G799,'Istoric_Nativ'!$D$6:$D$405,"&lt;"&amp;J799,'Istoric_Nativ'!$P$6:$P$405,1,'Istoric_Nativ'!$D$6:$D$405,"&gt;="&amp;L799),IF(H799="AWAY",SUMIFS('Istoric_Nativ'!$G$6:$G$405,'Istoric_Nativ'!$B$6:$B$405,E799,'Istoric_Nativ'!$C$6:$C$405,F799,'Istoric_Nativ'!$F$6:$F$405,G799,'Istoric_Nativ'!$D$6:$D$405,"&lt;"&amp;J799,'Istoric_Nativ'!$P$6:$P$405,1,'Istoric_Nativ'!$D$6:$D$405,"&gt;="&amp;L799),SUMIFS('Istoric_Nativ'!$H$6:$H$405,'Istoric_Nativ'!$B$6:$B$405,E799,'Istoric_Nativ'!$C$6:$C$405,F799,'Istoric_Nativ'!$E$6:$E$405,G799,'Istoric_Nativ'!$D$6:$D$405,"&lt;"&amp;J799,'Istoric_Nativ'!$P$6:$P$405,1,'Istoric_Nativ'!$D$6:$D$405,"&gt;="&amp;L799)+SUMIFS('Istoric_Nativ'!$G$6:$G$405,'Istoric_Nativ'!$B$6:$B$405,E799,'Istoric_Nativ'!$C$6:$C$405,F799,'Istoric_Nativ'!$F$6:$F$405,G799,'Istoric_Nativ'!$D$6:$D$405,"&lt;"&amp;J799,'Istoric_Nativ'!$P$6:$P$405,1,'Istoric_Nativ'!$D$6:$D$405,"&gt;="&amp;L799)))/M799)</x:f>
      </x:c>
      <x:c r="P799" s="2" t="n">
        <x:f>'Config_v6'!$B$8</x:f>
        <x:v>5</x:v>
      </x:c>
      <x:c r="Q799" s="2" t="n">
        <x:f>IF(OR(B799="",F799=""),0,IFERROR(MATCH(E799&amp;"|"&amp;F799,SourceTable[Source_Key],0),0))</x:f>
        <x:v>0</x:v>
      </x:c>
      <x:c r="R799" s="2" t="str">
        <x:f>IF(B799="","",IF(F799="","UNUSED",IF(Q799=0,"NOT CHECKED",IF(COUNTIF(SourceTable[Source_Key],E799&amp;"|"&amp;F799)&lt;&gt;1,"SOURCE CONFLICT",IF(NOT(OR(INDEX(SourceTable[Status],MAX(1,Q799))="IMPORTED",INDEX(SourceTable[Status],MAX(1,Q799))="PARTIAL",INDEX(SourceTable[Status],MAX(1,Q799))="SOURCE CONFLICT")),"ACCESS BLOCKED",IF(OR(INDEX(SourceTable[Coverage],Q799)&lt;&gt;"FULL SEASON EXPORT",INDEX(SourceTable[URL],Q799)="",INDEX(SourceTable[SHA256],Q799)=""),"EVIDENCE INCOMPLETE",IF(AND('Input_Meci'!H72="LIVE",INDEX(SourceTable[Retrieved_UTC],Q799)&gt;'Input_Meci'!G72),"POST CUTOFF","CLOSED")))))))</x:f>
      </x:c>
      <x:c r="S799" s="2" t="n">
        <x:f>IF(OR(B799="",F799=""),0,COUNTIFS('Istoric_Nativ'!$B$6:$B$405,E799,'Istoric_Nativ'!$C$6:$C$405,F799,'Istoric_Nativ'!$E$6:$E$405,G799,'Istoric_Nativ'!$D$6:$D$405,"&lt;"&amp;J799,'Istoric_Nativ'!$O$6:$O$405,"INVALID")+COUNTIFS('Istoric_Nativ'!$B$6:$B$405,E799,'Istoric_Nativ'!$C$6:$C$405,F799,'Istoric_Nativ'!$E$6:$E$405,G799,'Istoric_Nativ'!$O$6:$O$405,"INVALID",'Istoric_Nativ'!$D$6:$D$405,"*")+COUNTIFS('Istoric_Nativ'!$B$6:$B$405,E799,'Istoric_Nativ'!$C$6:$C$405,F799,'Istoric_Nativ'!$E$6:$E$405,G799,'Istoric_Nativ'!$D$6:$D$405,"&lt;"&amp;J799,'Istoric_Nativ'!$O$6:$O$405,"SOURCE CONFLICT")+COUNTIFS('Istoric_Nativ'!$B$6:$B$405,E799,'Istoric_Nativ'!$C$6:$C$405,F799,'Istoric_Nativ'!$F$6:$F$405,G799,'Istoric_Nativ'!$D$6:$D$405,"&lt;"&amp;J799,'Istoric_Nativ'!$O$6:$O$405,"INVALID")+COUNTIFS('Istoric_Nativ'!$B$6:$B$405,E799,'Istoric_Nativ'!$C$6:$C$405,F799,'Istoric_Nativ'!$F$6:$F$405,G799,'Istoric_Nativ'!$O$6:$O$405,"INVALID",'Istoric_Nativ'!$D$6:$D$405,"*")+COUNTIFS('Istoric_Nativ'!$B$6:$B$405,E799,'Istoric_Nativ'!$C$6:$C$405,F799,'Istoric_Nativ'!$F$6:$F$405,G799,'Istoric_Nativ'!$D$6:$D$405,"&lt;"&amp;J799,'Istoric_Nativ'!$O$6:$O$405,"SOURCE CONFLICT"))</x:f>
        <x:v>0</x:v>
      </x:c>
      <x:c r="T799" s="2" t="str">
        <x:f>IF(B799="","",IF(R799&lt;&gt;"CLOSED",R799,IF(S799&gt;0,"NATIVE INPUT ISSUE",IF(M799=0,"NO HISTORY",IF(M799&lt;P799,"SMALL SAMPLE","DERIVED")))))</x:f>
      </x:c>
      <x:c r="U799" s="2" t="str">
        <x:f>IF(B799="","","NativeTable; "&amp;E799&amp;"; "&amp;F799&amp;"; "&amp;G799&amp;"; "&amp;H799&amp;"; before "&amp;TEXT(J799,"yyyy-mm-dd")&amp;IF(I799="RECENT","; from "&amp;TEXT(L799,"yyyy-mm-dd"),""))</x:f>
      </x:c>
    </x:row>
    <x:row r="800" ht="21" customHeight="1">
      <x:c r="A800" s="2" t="n">
        <x:v>67</x:v>
      </x:c>
      <x:c r="B800" s="2" t="str">
        <x:f>IF('Input_Meci'!A72="","",'Input_Meci'!A72)</x:f>
      </x:c>
      <x:c r="C800" s="2" t="str">
        <x:v>H</x:v>
      </x:c>
      <x:c r="D800" s="2" t="str">
        <x:v>CURRENT</x:v>
      </x:c>
      <x:c r="E800" s="2" t="str">
        <x:f>IF(B800="","",'Input_Meci'!B72)</x:f>
      </x:c>
      <x:c r="F800" s="2" t="str">
        <x:f>IF(B800="","",IF('Input_Meci'!C72="","",'Input_Meci'!C72))</x:f>
      </x:c>
      <x:c r="G800" s="2" t="str">
        <x:f>IF(B800="","",'Input_Meci'!D72)</x:f>
      </x:c>
      <x:c r="H800" s="2" t="str">
        <x:v>ANY</x:v>
      </x:c>
      <x:c r="I800" s="2" t="str">
        <x:v>RECENT</x:v>
      </x:c>
      <x:c r="J800" s="9" t="n">
        <x:f>IF(AND(B800&lt;&gt;"",ISNUMBER('Input_Meci'!G72)),INT('Input_Meci'!G72),0)</x:f>
        <x:v>0</x:v>
      </x:c>
      <x:c r="K800" s="2" t="n">
        <x:f>IF(OR(B800="",F800=""),0,IF(H800="HOME",COUNTIFS('Istoric_Nativ'!$B$6:$B$405,E800,'Istoric_Nativ'!$C$6:$C$405,F800,'Istoric_Nativ'!$E$6:$E$405,G800,'Istoric_Nativ'!$D$6:$D$405,"&lt;"&amp;J800,'Istoric_Nativ'!$P$6:$P$405,1),IF(H800="AWAY",COUNTIFS('Istoric_Nativ'!$B$6:$B$405,E800,'Istoric_Nativ'!$C$6:$C$405,F800,'Istoric_Nativ'!$F$6:$F$405,G800,'Istoric_Nativ'!$D$6:$D$405,"&lt;"&amp;J800,'Istoric_Nativ'!$P$6:$P$405,1),COUNTIFS('Istoric_Nativ'!$B$6:$B$405,E800,'Istoric_Nativ'!$C$6:$C$405,F800,'Istoric_Nativ'!$E$6:$E$405,G800,'Istoric_Nativ'!$D$6:$D$405,"&lt;"&amp;J800,'Istoric_Nativ'!$P$6:$P$405,1)+COUNTIFS('Istoric_Nativ'!$B$6:$B$405,E800,'Istoric_Nativ'!$C$6:$C$405,F800,'Istoric_Nativ'!$F$6:$F$405,G800,'Istoric_Nativ'!$D$6:$D$405,"&lt;"&amp;J800,'Istoric_Nativ'!$P$6:$P$405,1))))</x:f>
        <x:v>0</x:v>
      </x:c>
      <x:c r="L800" s="17" t="n">
        <x:f>IF(AND(B800&lt;&gt;"",I800="RECENT",K800&gt;0),LARGE(_xlfn._xlws.FILTER('Istoric_Nativ'!$D$6:$D$405,('Istoric_Nativ'!$B$6:$B$405=E800)*('Istoric_Nativ'!$C$6:$C$405=F800)*('Istoric_Nativ'!$P$6:$P$405=1)*('Istoric_Nativ'!$D$6:$D$405&lt;J800)*((('Istoric_Nativ'!$E$6:$E$405=G800)+('Istoric_Nativ'!$F$6:$F$405=G800))&gt;0)),MIN('Config_v6'!$B$54,K800)),0)</x:f>
        <x:v>0</x:v>
      </x:c>
      <x:c r="M800" s="2" t="n">
        <x:f>IF(OR(B800="",F800=""),0,IF(H800="HOME",COUNTIFS('Istoric_Nativ'!$B$6:$B$405,E800,'Istoric_Nativ'!$C$6:$C$405,F800,'Istoric_Nativ'!$E$6:$E$405,G800,'Istoric_Nativ'!$D$6:$D$405,"&lt;"&amp;J800,'Istoric_Nativ'!$P$6:$P$405,1,'Istoric_Nativ'!$D$6:$D$405,"&gt;="&amp;L800),IF(H800="AWAY",COUNTIFS('Istoric_Nativ'!$B$6:$B$405,E800,'Istoric_Nativ'!$C$6:$C$405,F800,'Istoric_Nativ'!$F$6:$F$405,G800,'Istoric_Nativ'!$D$6:$D$405,"&lt;"&amp;J800,'Istoric_Nativ'!$P$6:$P$405,1,'Istoric_Nativ'!$D$6:$D$405,"&gt;="&amp;L800),COUNTIFS('Istoric_Nativ'!$B$6:$B$405,E800,'Istoric_Nativ'!$C$6:$C$405,F800,'Istoric_Nativ'!$E$6:$E$405,G800,'Istoric_Nativ'!$D$6:$D$405,"&lt;"&amp;J800,'Istoric_Nativ'!$P$6:$P$405,1,'Istoric_Nativ'!$D$6:$D$405,"&gt;="&amp;L800)+COUNTIFS('Istoric_Nativ'!$B$6:$B$405,E800,'Istoric_Nativ'!$C$6:$C$405,F800,'Istoric_Nativ'!$F$6:$F$405,G800,'Istoric_Nativ'!$D$6:$D$405,"&lt;"&amp;J800,'Istoric_Nativ'!$P$6:$P$405,1,'Istoric_Nativ'!$D$6:$D$405,"&gt;="&amp;L800))))</x:f>
        <x:v>0</x:v>
      </x:c>
      <x:c r="N800" s="11" t="str">
        <x:f>IF(M800=0,"",IF(H800="HOME",SUMIFS('Istoric_Nativ'!$G$6:$G$405,'Istoric_Nativ'!$B$6:$B$405,E800,'Istoric_Nativ'!$C$6:$C$405,F800,'Istoric_Nativ'!$E$6:$E$405,G800,'Istoric_Nativ'!$D$6:$D$405,"&lt;"&amp;J800,'Istoric_Nativ'!$P$6:$P$405,1,'Istoric_Nativ'!$D$6:$D$405,"&gt;="&amp;L800),IF(H800="AWAY",SUMIFS('Istoric_Nativ'!$H$6:$H$405,'Istoric_Nativ'!$B$6:$B$405,E800,'Istoric_Nativ'!$C$6:$C$405,F800,'Istoric_Nativ'!$F$6:$F$405,G800,'Istoric_Nativ'!$D$6:$D$405,"&lt;"&amp;J800,'Istoric_Nativ'!$P$6:$P$405,1,'Istoric_Nativ'!$D$6:$D$405,"&gt;="&amp;L800),SUMIFS('Istoric_Nativ'!$G$6:$G$405,'Istoric_Nativ'!$B$6:$B$405,E800,'Istoric_Nativ'!$C$6:$C$405,F800,'Istoric_Nativ'!$E$6:$E$405,G800,'Istoric_Nativ'!$D$6:$D$405,"&lt;"&amp;J800,'Istoric_Nativ'!$P$6:$P$405,1,'Istoric_Nativ'!$D$6:$D$405,"&gt;="&amp;L800)+SUMIFS('Istoric_Nativ'!$H$6:$H$405,'Istoric_Nativ'!$B$6:$B$405,E800,'Istoric_Nativ'!$C$6:$C$405,F800,'Istoric_Nativ'!$F$6:$F$405,G800,'Istoric_Nativ'!$D$6:$D$405,"&lt;"&amp;J800,'Istoric_Nativ'!$P$6:$P$405,1,'Istoric_Nativ'!$D$6:$D$405,"&gt;="&amp;L800)))/M800)</x:f>
      </x:c>
      <x:c r="O800" s="11" t="str">
        <x:f>IF(M800=0,"",IF(H800="HOME",SUMIFS('Istoric_Nativ'!$H$6:$H$405,'Istoric_Nativ'!$B$6:$B$405,E800,'Istoric_Nativ'!$C$6:$C$405,F800,'Istoric_Nativ'!$E$6:$E$405,G800,'Istoric_Nativ'!$D$6:$D$405,"&lt;"&amp;J800,'Istoric_Nativ'!$P$6:$P$405,1,'Istoric_Nativ'!$D$6:$D$405,"&gt;="&amp;L800),IF(H800="AWAY",SUMIFS('Istoric_Nativ'!$G$6:$G$405,'Istoric_Nativ'!$B$6:$B$405,E800,'Istoric_Nativ'!$C$6:$C$405,F800,'Istoric_Nativ'!$F$6:$F$405,G800,'Istoric_Nativ'!$D$6:$D$405,"&lt;"&amp;J800,'Istoric_Nativ'!$P$6:$P$405,1,'Istoric_Nativ'!$D$6:$D$405,"&gt;="&amp;L800),SUMIFS('Istoric_Nativ'!$H$6:$H$405,'Istoric_Nativ'!$B$6:$B$405,E800,'Istoric_Nativ'!$C$6:$C$405,F800,'Istoric_Nativ'!$E$6:$E$405,G800,'Istoric_Nativ'!$D$6:$D$405,"&lt;"&amp;J800,'Istoric_Nativ'!$P$6:$P$405,1,'Istoric_Nativ'!$D$6:$D$405,"&gt;="&amp;L800)+SUMIFS('Istoric_Nativ'!$G$6:$G$405,'Istoric_Nativ'!$B$6:$B$405,E800,'Istoric_Nativ'!$C$6:$C$405,F800,'Istoric_Nativ'!$F$6:$F$405,G800,'Istoric_Nativ'!$D$6:$D$405,"&lt;"&amp;J800,'Istoric_Nativ'!$P$6:$P$405,1,'Istoric_Nativ'!$D$6:$D$405,"&gt;="&amp;L800)))/M800)</x:f>
      </x:c>
      <x:c r="P800" s="2" t="n">
        <x:f>'Config_v6'!$B$9</x:f>
        <x:v>3</x:v>
      </x:c>
      <x:c r="Q800" s="2" t="n">
        <x:f>IF(OR(B800="",F800=""),0,IFERROR(MATCH(E800&amp;"|"&amp;F800,SourceTable[Source_Key],0),0))</x:f>
        <x:v>0</x:v>
      </x:c>
      <x:c r="R800" s="2" t="str">
        <x:f>IF(B800="","",IF(F800="","UNUSED",IF(Q800=0,"NOT CHECKED",IF(COUNTIF(SourceTable[Source_Key],E800&amp;"|"&amp;F800)&lt;&gt;1,"SOURCE CONFLICT",IF(NOT(OR(INDEX(SourceTable[Status],MAX(1,Q800))="IMPORTED",INDEX(SourceTable[Status],MAX(1,Q800))="PARTIAL",INDEX(SourceTable[Status],MAX(1,Q800))="SOURCE CONFLICT")),"ACCESS BLOCKED",IF(OR(INDEX(SourceTable[Coverage],Q800)&lt;&gt;"FULL SEASON EXPORT",INDEX(SourceTable[URL],Q800)="",INDEX(SourceTable[SHA256],Q800)=""),"EVIDENCE INCOMPLETE",IF(AND('Input_Meci'!H72="LIVE",INDEX(SourceTable[Retrieved_UTC],Q800)&gt;'Input_Meci'!G72),"POST CUTOFF","CLOSED")))))))</x:f>
      </x:c>
      <x:c r="S800" s="2" t="n">
        <x:f>IF(OR(B800="",F800=""),0,COUNTIFS('Istoric_Nativ'!$B$6:$B$405,E800,'Istoric_Nativ'!$C$6:$C$405,F800,'Istoric_Nativ'!$E$6:$E$405,G800,'Istoric_Nativ'!$D$6:$D$405,"&lt;"&amp;J800,'Istoric_Nativ'!$O$6:$O$405,"INVALID")+COUNTIFS('Istoric_Nativ'!$B$6:$B$405,E800,'Istoric_Nativ'!$C$6:$C$405,F800,'Istoric_Nativ'!$E$6:$E$405,G800,'Istoric_Nativ'!$O$6:$O$405,"INVALID",'Istoric_Nativ'!$D$6:$D$405,"*")+COUNTIFS('Istoric_Nativ'!$B$6:$B$405,E800,'Istoric_Nativ'!$C$6:$C$405,F800,'Istoric_Nativ'!$E$6:$E$405,G800,'Istoric_Nativ'!$D$6:$D$405,"&lt;"&amp;J800,'Istoric_Nativ'!$O$6:$O$405,"SOURCE CONFLICT")+COUNTIFS('Istoric_Nativ'!$B$6:$B$405,E800,'Istoric_Nativ'!$C$6:$C$405,F800,'Istoric_Nativ'!$F$6:$F$405,G800,'Istoric_Nativ'!$D$6:$D$405,"&lt;"&amp;J800,'Istoric_Nativ'!$O$6:$O$405,"INVALID")+COUNTIFS('Istoric_Nativ'!$B$6:$B$405,E800,'Istoric_Nativ'!$C$6:$C$405,F800,'Istoric_Nativ'!$F$6:$F$405,G800,'Istoric_Nativ'!$O$6:$O$405,"INVALID",'Istoric_Nativ'!$D$6:$D$405,"*")+COUNTIFS('Istoric_Nativ'!$B$6:$B$405,E800,'Istoric_Nativ'!$C$6:$C$405,F800,'Istoric_Nativ'!$F$6:$F$405,G800,'Istoric_Nativ'!$D$6:$D$405,"&lt;"&amp;J800,'Istoric_Nativ'!$O$6:$O$405,"SOURCE CONFLICT"))</x:f>
        <x:v>0</x:v>
      </x:c>
      <x:c r="T800" s="2" t="str">
        <x:f>IF(B800="","",IF(R800&lt;&gt;"CLOSED",R800,IF(S800&gt;0,"NATIVE INPUT ISSUE",IF(M800=0,"NO HISTORY",IF(M800&lt;P800,"SMALL SAMPLE","DERIVED")))))</x:f>
      </x:c>
      <x:c r="U800" s="2" t="str">
        <x:f>IF(B800="","","NativeTable; "&amp;E800&amp;"; "&amp;F800&amp;"; "&amp;G800&amp;"; "&amp;H800&amp;"; before "&amp;TEXT(J800,"yyyy-mm-dd")&amp;IF(I800="RECENT","; from "&amp;TEXT(L800,"yyyy-mm-dd"),""))</x:f>
      </x:c>
    </x:row>
    <x:row r="801" ht="21" customHeight="1">
      <x:c r="A801" s="2" t="n">
        <x:v>67</x:v>
      </x:c>
      <x:c r="B801" s="2" t="str">
        <x:f>IF('Input_Meci'!A72="","",'Input_Meci'!A72)</x:f>
      </x:c>
      <x:c r="C801" s="2" t="str">
        <x:v>A</x:v>
      </x:c>
      <x:c r="D801" s="2" t="str">
        <x:v>CURRENT</x:v>
      </x:c>
      <x:c r="E801" s="2" t="str">
        <x:f>IF(B801="","",'Input_Meci'!B72)</x:f>
      </x:c>
      <x:c r="F801" s="2" t="str">
        <x:f>IF(B801="","",IF('Input_Meci'!C72="","",'Input_Meci'!C72))</x:f>
      </x:c>
      <x:c r="G801" s="2" t="str">
        <x:f>IF(B801="","",'Input_Meci'!E72)</x:f>
      </x:c>
      <x:c r="H801" s="2" t="str">
        <x:v>ANY</x:v>
      </x:c>
      <x:c r="I801" s="2" t="str">
        <x:v>SEASON</x:v>
      </x:c>
      <x:c r="J801" s="9" t="n">
        <x:f>IF(AND(B801&lt;&gt;"",ISNUMBER('Input_Meci'!G72)),INT('Input_Meci'!G72),0)</x:f>
        <x:v>0</x:v>
      </x:c>
      <x:c r="K801" s="2" t="n">
        <x:f>IF(OR(B801="",F801=""),0,IF(H801="HOME",COUNTIFS('Istoric_Nativ'!$B$6:$B$405,E801,'Istoric_Nativ'!$C$6:$C$405,F801,'Istoric_Nativ'!$E$6:$E$405,G801,'Istoric_Nativ'!$D$6:$D$405,"&lt;"&amp;J801,'Istoric_Nativ'!$P$6:$P$405,1),IF(H801="AWAY",COUNTIFS('Istoric_Nativ'!$B$6:$B$405,E801,'Istoric_Nativ'!$C$6:$C$405,F801,'Istoric_Nativ'!$F$6:$F$405,G801,'Istoric_Nativ'!$D$6:$D$405,"&lt;"&amp;J801,'Istoric_Nativ'!$P$6:$P$405,1),COUNTIFS('Istoric_Nativ'!$B$6:$B$405,E801,'Istoric_Nativ'!$C$6:$C$405,F801,'Istoric_Nativ'!$E$6:$E$405,G801,'Istoric_Nativ'!$D$6:$D$405,"&lt;"&amp;J801,'Istoric_Nativ'!$P$6:$P$405,1)+COUNTIFS('Istoric_Nativ'!$B$6:$B$405,E801,'Istoric_Nativ'!$C$6:$C$405,F801,'Istoric_Nativ'!$F$6:$F$405,G801,'Istoric_Nativ'!$D$6:$D$405,"&lt;"&amp;J801,'Istoric_Nativ'!$P$6:$P$405,1))))</x:f>
        <x:v>0</x:v>
      </x:c>
      <x:c r="L801" s="17" t="n">
        <x:f>IF(AND(B801&lt;&gt;"",I801="RECENT",K801&gt;0),LARGE(_xlfn._xlws.FILTER('Istoric_Nativ'!$D$6:$D$405,('Istoric_Nativ'!$B$6:$B$405=E801)*('Istoric_Nativ'!$C$6:$C$405=F801)*('Istoric_Nativ'!$P$6:$P$405=1)*('Istoric_Nativ'!$D$6:$D$405&lt;J801)*((('Istoric_Nativ'!$E$6:$E$405=G801)+('Istoric_Nativ'!$F$6:$F$405=G801))&gt;0)),MIN('Config_v6'!$B$54,K801)),0)</x:f>
        <x:v>0</x:v>
      </x:c>
      <x:c r="M801" s="2" t="n">
        <x:f>IF(OR(B801="",F801=""),0,IF(H801="HOME",COUNTIFS('Istoric_Nativ'!$B$6:$B$405,E801,'Istoric_Nativ'!$C$6:$C$405,F801,'Istoric_Nativ'!$E$6:$E$405,G801,'Istoric_Nativ'!$D$6:$D$405,"&lt;"&amp;J801,'Istoric_Nativ'!$P$6:$P$405,1,'Istoric_Nativ'!$D$6:$D$405,"&gt;="&amp;L801),IF(H801="AWAY",COUNTIFS('Istoric_Nativ'!$B$6:$B$405,E801,'Istoric_Nativ'!$C$6:$C$405,F801,'Istoric_Nativ'!$F$6:$F$405,G801,'Istoric_Nativ'!$D$6:$D$405,"&lt;"&amp;J801,'Istoric_Nativ'!$P$6:$P$405,1,'Istoric_Nativ'!$D$6:$D$405,"&gt;="&amp;L801),COUNTIFS('Istoric_Nativ'!$B$6:$B$405,E801,'Istoric_Nativ'!$C$6:$C$405,F801,'Istoric_Nativ'!$E$6:$E$405,G801,'Istoric_Nativ'!$D$6:$D$405,"&lt;"&amp;J801,'Istoric_Nativ'!$P$6:$P$405,1,'Istoric_Nativ'!$D$6:$D$405,"&gt;="&amp;L801)+COUNTIFS('Istoric_Nativ'!$B$6:$B$405,E801,'Istoric_Nativ'!$C$6:$C$405,F801,'Istoric_Nativ'!$F$6:$F$405,G801,'Istoric_Nativ'!$D$6:$D$405,"&lt;"&amp;J801,'Istoric_Nativ'!$P$6:$P$405,1,'Istoric_Nativ'!$D$6:$D$405,"&gt;="&amp;L801))))</x:f>
        <x:v>0</x:v>
      </x:c>
      <x:c r="N801" s="11" t="str">
        <x:f>IF(M801=0,"",IF(H801="HOME",SUMIFS('Istoric_Nativ'!$G$6:$G$405,'Istoric_Nativ'!$B$6:$B$405,E801,'Istoric_Nativ'!$C$6:$C$405,F801,'Istoric_Nativ'!$E$6:$E$405,G801,'Istoric_Nativ'!$D$6:$D$405,"&lt;"&amp;J801,'Istoric_Nativ'!$P$6:$P$405,1,'Istoric_Nativ'!$D$6:$D$405,"&gt;="&amp;L801),IF(H801="AWAY",SUMIFS('Istoric_Nativ'!$H$6:$H$405,'Istoric_Nativ'!$B$6:$B$405,E801,'Istoric_Nativ'!$C$6:$C$405,F801,'Istoric_Nativ'!$F$6:$F$405,G801,'Istoric_Nativ'!$D$6:$D$405,"&lt;"&amp;J801,'Istoric_Nativ'!$P$6:$P$405,1,'Istoric_Nativ'!$D$6:$D$405,"&gt;="&amp;L801),SUMIFS('Istoric_Nativ'!$G$6:$G$405,'Istoric_Nativ'!$B$6:$B$405,E801,'Istoric_Nativ'!$C$6:$C$405,F801,'Istoric_Nativ'!$E$6:$E$405,G801,'Istoric_Nativ'!$D$6:$D$405,"&lt;"&amp;J801,'Istoric_Nativ'!$P$6:$P$405,1,'Istoric_Nativ'!$D$6:$D$405,"&gt;="&amp;L801)+SUMIFS('Istoric_Nativ'!$H$6:$H$405,'Istoric_Nativ'!$B$6:$B$405,E801,'Istoric_Nativ'!$C$6:$C$405,F801,'Istoric_Nativ'!$F$6:$F$405,G801,'Istoric_Nativ'!$D$6:$D$405,"&lt;"&amp;J801,'Istoric_Nativ'!$P$6:$P$405,1,'Istoric_Nativ'!$D$6:$D$405,"&gt;="&amp;L801)))/M801)</x:f>
      </x:c>
      <x:c r="O801" s="11" t="str">
        <x:f>IF(M801=0,"",IF(H801="HOME",SUMIFS('Istoric_Nativ'!$H$6:$H$405,'Istoric_Nativ'!$B$6:$B$405,E801,'Istoric_Nativ'!$C$6:$C$405,F801,'Istoric_Nativ'!$E$6:$E$405,G801,'Istoric_Nativ'!$D$6:$D$405,"&lt;"&amp;J801,'Istoric_Nativ'!$P$6:$P$405,1,'Istoric_Nativ'!$D$6:$D$405,"&gt;="&amp;L801),IF(H801="AWAY",SUMIFS('Istoric_Nativ'!$G$6:$G$405,'Istoric_Nativ'!$B$6:$B$405,E801,'Istoric_Nativ'!$C$6:$C$405,F801,'Istoric_Nativ'!$F$6:$F$405,G801,'Istoric_Nativ'!$D$6:$D$405,"&lt;"&amp;J801,'Istoric_Nativ'!$P$6:$P$405,1,'Istoric_Nativ'!$D$6:$D$405,"&gt;="&amp;L801),SUMIFS('Istoric_Nativ'!$H$6:$H$405,'Istoric_Nativ'!$B$6:$B$405,E801,'Istoric_Nativ'!$C$6:$C$405,F801,'Istoric_Nativ'!$E$6:$E$405,G801,'Istoric_Nativ'!$D$6:$D$405,"&lt;"&amp;J801,'Istoric_Nativ'!$P$6:$P$405,1,'Istoric_Nativ'!$D$6:$D$405,"&gt;="&amp;L801)+SUMIFS('Istoric_Nativ'!$G$6:$G$405,'Istoric_Nativ'!$B$6:$B$405,E801,'Istoric_Nativ'!$C$6:$C$405,F801,'Istoric_Nativ'!$F$6:$F$405,G801,'Istoric_Nativ'!$D$6:$D$405,"&lt;"&amp;J801,'Istoric_Nativ'!$P$6:$P$405,1,'Istoric_Nativ'!$D$6:$D$405,"&gt;="&amp;L801)))/M801)</x:f>
      </x:c>
      <x:c r="P801" s="2" t="n">
        <x:f>'Config_v6'!$B$7</x:f>
        <x:v>10</x:v>
      </x:c>
      <x:c r="Q801" s="2" t="n">
        <x:f>IF(OR(B801="",F801=""),0,IFERROR(MATCH(E801&amp;"|"&amp;F801,SourceTable[Source_Key],0),0))</x:f>
        <x:v>0</x:v>
      </x:c>
      <x:c r="R801" s="2" t="str">
        <x:f>IF(B801="","",IF(F801="","UNUSED",IF(Q801=0,"NOT CHECKED",IF(COUNTIF(SourceTable[Source_Key],E801&amp;"|"&amp;F801)&lt;&gt;1,"SOURCE CONFLICT",IF(NOT(OR(INDEX(SourceTable[Status],MAX(1,Q801))="IMPORTED",INDEX(SourceTable[Status],MAX(1,Q801))="PARTIAL",INDEX(SourceTable[Status],MAX(1,Q801))="SOURCE CONFLICT")),"ACCESS BLOCKED",IF(OR(INDEX(SourceTable[Coverage],Q801)&lt;&gt;"FULL SEASON EXPORT",INDEX(SourceTable[URL],Q801)="",INDEX(SourceTable[SHA256],Q801)=""),"EVIDENCE INCOMPLETE",IF(AND('Input_Meci'!H72="LIVE",INDEX(SourceTable[Retrieved_UTC],Q801)&gt;'Input_Meci'!G72),"POST CUTOFF","CLOSED")))))))</x:f>
      </x:c>
      <x:c r="S801" s="2" t="n">
        <x:f>IF(OR(B801="",F801=""),0,COUNTIFS('Istoric_Nativ'!$B$6:$B$405,E801,'Istoric_Nativ'!$C$6:$C$405,F801,'Istoric_Nativ'!$E$6:$E$405,G801,'Istoric_Nativ'!$D$6:$D$405,"&lt;"&amp;J801,'Istoric_Nativ'!$O$6:$O$405,"INVALID")+COUNTIFS('Istoric_Nativ'!$B$6:$B$405,E801,'Istoric_Nativ'!$C$6:$C$405,F801,'Istoric_Nativ'!$E$6:$E$405,G801,'Istoric_Nativ'!$O$6:$O$405,"INVALID",'Istoric_Nativ'!$D$6:$D$405,"*")+COUNTIFS('Istoric_Nativ'!$B$6:$B$405,E801,'Istoric_Nativ'!$C$6:$C$405,F801,'Istoric_Nativ'!$E$6:$E$405,G801,'Istoric_Nativ'!$D$6:$D$405,"&lt;"&amp;J801,'Istoric_Nativ'!$O$6:$O$405,"SOURCE CONFLICT")+COUNTIFS('Istoric_Nativ'!$B$6:$B$405,E801,'Istoric_Nativ'!$C$6:$C$405,F801,'Istoric_Nativ'!$F$6:$F$405,G801,'Istoric_Nativ'!$D$6:$D$405,"&lt;"&amp;J801,'Istoric_Nativ'!$O$6:$O$405,"INVALID")+COUNTIFS('Istoric_Nativ'!$B$6:$B$405,E801,'Istoric_Nativ'!$C$6:$C$405,F801,'Istoric_Nativ'!$F$6:$F$405,G801,'Istoric_Nativ'!$O$6:$O$405,"INVALID",'Istoric_Nativ'!$D$6:$D$405,"*")+COUNTIFS('Istoric_Nativ'!$B$6:$B$405,E801,'Istoric_Nativ'!$C$6:$C$405,F801,'Istoric_Nativ'!$F$6:$F$405,G801,'Istoric_Nativ'!$D$6:$D$405,"&lt;"&amp;J801,'Istoric_Nativ'!$O$6:$O$405,"SOURCE CONFLICT"))</x:f>
        <x:v>0</x:v>
      </x:c>
      <x:c r="T801" s="2" t="str">
        <x:f>IF(B801="","",IF(R801&lt;&gt;"CLOSED",R801,IF(S801&gt;0,"NATIVE INPUT ISSUE",IF(M801=0,"NO HISTORY",IF(M801&lt;P801,"SMALL SAMPLE","DERIVED")))))</x:f>
      </x:c>
      <x:c r="U801" s="2" t="str">
        <x:f>IF(B801="","","NativeTable; "&amp;E801&amp;"; "&amp;F801&amp;"; "&amp;G801&amp;"; "&amp;H801&amp;"; before "&amp;TEXT(J801,"yyyy-mm-dd")&amp;IF(I801="RECENT","; from "&amp;TEXT(L801,"yyyy-mm-dd"),""))</x:f>
      </x:c>
    </x:row>
    <x:row r="802" ht="21" customHeight="1">
      <x:c r="A802" s="2" t="n">
        <x:v>67</x:v>
      </x:c>
      <x:c r="B802" s="2" t="str">
        <x:f>IF('Input_Meci'!A72="","",'Input_Meci'!A72)</x:f>
      </x:c>
      <x:c r="C802" s="2" t="str">
        <x:v>A</x:v>
      </x:c>
      <x:c r="D802" s="2" t="str">
        <x:v>CURRENT</x:v>
      </x:c>
      <x:c r="E802" s="2" t="str">
        <x:f>IF(B802="","",'Input_Meci'!B72)</x:f>
      </x:c>
      <x:c r="F802" s="2" t="str">
        <x:f>IF(B802="","",IF('Input_Meci'!C72="","",'Input_Meci'!C72))</x:f>
      </x:c>
      <x:c r="G802" s="2" t="str">
        <x:f>IF(B802="","",'Input_Meci'!E72)</x:f>
      </x:c>
      <x:c r="H802" s="2" t="str">
        <x:v>AWAY</x:v>
      </x:c>
      <x:c r="I802" s="2" t="str">
        <x:v>HA</x:v>
      </x:c>
      <x:c r="J802" s="9" t="n">
        <x:f>IF(AND(B802&lt;&gt;"",ISNUMBER('Input_Meci'!G72)),INT('Input_Meci'!G72),0)</x:f>
        <x:v>0</x:v>
      </x:c>
      <x:c r="K802" s="2" t="n">
        <x:f>IF(OR(B802="",F802=""),0,IF(H802="HOME",COUNTIFS('Istoric_Nativ'!$B$6:$B$405,E802,'Istoric_Nativ'!$C$6:$C$405,F802,'Istoric_Nativ'!$E$6:$E$405,G802,'Istoric_Nativ'!$D$6:$D$405,"&lt;"&amp;J802,'Istoric_Nativ'!$P$6:$P$405,1),IF(H802="AWAY",COUNTIFS('Istoric_Nativ'!$B$6:$B$405,E802,'Istoric_Nativ'!$C$6:$C$405,F802,'Istoric_Nativ'!$F$6:$F$405,G802,'Istoric_Nativ'!$D$6:$D$405,"&lt;"&amp;J802,'Istoric_Nativ'!$P$6:$P$405,1),COUNTIFS('Istoric_Nativ'!$B$6:$B$405,E802,'Istoric_Nativ'!$C$6:$C$405,F802,'Istoric_Nativ'!$E$6:$E$405,G802,'Istoric_Nativ'!$D$6:$D$405,"&lt;"&amp;J802,'Istoric_Nativ'!$P$6:$P$405,1)+COUNTIFS('Istoric_Nativ'!$B$6:$B$405,E802,'Istoric_Nativ'!$C$6:$C$405,F802,'Istoric_Nativ'!$F$6:$F$405,G802,'Istoric_Nativ'!$D$6:$D$405,"&lt;"&amp;J802,'Istoric_Nativ'!$P$6:$P$405,1))))</x:f>
        <x:v>0</x:v>
      </x:c>
      <x:c r="L802" s="17" t="n">
        <x:f>IF(AND(B802&lt;&gt;"",I802="RECENT",K802&gt;0),LARGE(_xlfn._xlws.FILTER('Istoric_Nativ'!$D$6:$D$405,('Istoric_Nativ'!$B$6:$B$405=E802)*('Istoric_Nativ'!$C$6:$C$405=F802)*('Istoric_Nativ'!$P$6:$P$405=1)*('Istoric_Nativ'!$D$6:$D$405&lt;J802)*((('Istoric_Nativ'!$E$6:$E$405=G802)+('Istoric_Nativ'!$F$6:$F$405=G802))&gt;0)),MIN('Config_v6'!$B$54,K802)),0)</x:f>
        <x:v>0</x:v>
      </x:c>
      <x:c r="M802" s="2" t="n">
        <x:f>IF(OR(B802="",F802=""),0,IF(H802="HOME",COUNTIFS('Istoric_Nativ'!$B$6:$B$405,E802,'Istoric_Nativ'!$C$6:$C$405,F802,'Istoric_Nativ'!$E$6:$E$405,G802,'Istoric_Nativ'!$D$6:$D$405,"&lt;"&amp;J802,'Istoric_Nativ'!$P$6:$P$405,1,'Istoric_Nativ'!$D$6:$D$405,"&gt;="&amp;L802),IF(H802="AWAY",COUNTIFS('Istoric_Nativ'!$B$6:$B$405,E802,'Istoric_Nativ'!$C$6:$C$405,F802,'Istoric_Nativ'!$F$6:$F$405,G802,'Istoric_Nativ'!$D$6:$D$405,"&lt;"&amp;J802,'Istoric_Nativ'!$P$6:$P$405,1,'Istoric_Nativ'!$D$6:$D$405,"&gt;="&amp;L802),COUNTIFS('Istoric_Nativ'!$B$6:$B$405,E802,'Istoric_Nativ'!$C$6:$C$405,F802,'Istoric_Nativ'!$E$6:$E$405,G802,'Istoric_Nativ'!$D$6:$D$405,"&lt;"&amp;J802,'Istoric_Nativ'!$P$6:$P$405,1,'Istoric_Nativ'!$D$6:$D$405,"&gt;="&amp;L802)+COUNTIFS('Istoric_Nativ'!$B$6:$B$405,E802,'Istoric_Nativ'!$C$6:$C$405,F802,'Istoric_Nativ'!$F$6:$F$405,G802,'Istoric_Nativ'!$D$6:$D$405,"&lt;"&amp;J802,'Istoric_Nativ'!$P$6:$P$405,1,'Istoric_Nativ'!$D$6:$D$405,"&gt;="&amp;L802))))</x:f>
        <x:v>0</x:v>
      </x:c>
      <x:c r="N802" s="11" t="str">
        <x:f>IF(M802=0,"",IF(H802="HOME",SUMIFS('Istoric_Nativ'!$G$6:$G$405,'Istoric_Nativ'!$B$6:$B$405,E802,'Istoric_Nativ'!$C$6:$C$405,F802,'Istoric_Nativ'!$E$6:$E$405,G802,'Istoric_Nativ'!$D$6:$D$405,"&lt;"&amp;J802,'Istoric_Nativ'!$P$6:$P$405,1,'Istoric_Nativ'!$D$6:$D$405,"&gt;="&amp;L802),IF(H802="AWAY",SUMIFS('Istoric_Nativ'!$H$6:$H$405,'Istoric_Nativ'!$B$6:$B$405,E802,'Istoric_Nativ'!$C$6:$C$405,F802,'Istoric_Nativ'!$F$6:$F$405,G802,'Istoric_Nativ'!$D$6:$D$405,"&lt;"&amp;J802,'Istoric_Nativ'!$P$6:$P$405,1,'Istoric_Nativ'!$D$6:$D$405,"&gt;="&amp;L802),SUMIFS('Istoric_Nativ'!$G$6:$G$405,'Istoric_Nativ'!$B$6:$B$405,E802,'Istoric_Nativ'!$C$6:$C$405,F802,'Istoric_Nativ'!$E$6:$E$405,G802,'Istoric_Nativ'!$D$6:$D$405,"&lt;"&amp;J802,'Istoric_Nativ'!$P$6:$P$405,1,'Istoric_Nativ'!$D$6:$D$405,"&gt;="&amp;L802)+SUMIFS('Istoric_Nativ'!$H$6:$H$405,'Istoric_Nativ'!$B$6:$B$405,E802,'Istoric_Nativ'!$C$6:$C$405,F802,'Istoric_Nativ'!$F$6:$F$405,G802,'Istoric_Nativ'!$D$6:$D$405,"&lt;"&amp;J802,'Istoric_Nativ'!$P$6:$P$405,1,'Istoric_Nativ'!$D$6:$D$405,"&gt;="&amp;L802)))/M802)</x:f>
      </x:c>
      <x:c r="O802" s="11" t="str">
        <x:f>IF(M802=0,"",IF(H802="HOME",SUMIFS('Istoric_Nativ'!$H$6:$H$405,'Istoric_Nativ'!$B$6:$B$405,E802,'Istoric_Nativ'!$C$6:$C$405,F802,'Istoric_Nativ'!$E$6:$E$405,G802,'Istoric_Nativ'!$D$6:$D$405,"&lt;"&amp;J802,'Istoric_Nativ'!$P$6:$P$405,1,'Istoric_Nativ'!$D$6:$D$405,"&gt;="&amp;L802),IF(H802="AWAY",SUMIFS('Istoric_Nativ'!$G$6:$G$405,'Istoric_Nativ'!$B$6:$B$405,E802,'Istoric_Nativ'!$C$6:$C$405,F802,'Istoric_Nativ'!$F$6:$F$405,G802,'Istoric_Nativ'!$D$6:$D$405,"&lt;"&amp;J802,'Istoric_Nativ'!$P$6:$P$405,1,'Istoric_Nativ'!$D$6:$D$405,"&gt;="&amp;L802),SUMIFS('Istoric_Nativ'!$H$6:$H$405,'Istoric_Nativ'!$B$6:$B$405,E802,'Istoric_Nativ'!$C$6:$C$405,F802,'Istoric_Nativ'!$E$6:$E$405,G802,'Istoric_Nativ'!$D$6:$D$405,"&lt;"&amp;J802,'Istoric_Nativ'!$P$6:$P$405,1,'Istoric_Nativ'!$D$6:$D$405,"&gt;="&amp;L802)+SUMIFS('Istoric_Nativ'!$G$6:$G$405,'Istoric_Nativ'!$B$6:$B$405,E802,'Istoric_Nativ'!$C$6:$C$405,F802,'Istoric_Nativ'!$F$6:$F$405,G802,'Istoric_Nativ'!$D$6:$D$405,"&lt;"&amp;J802,'Istoric_Nativ'!$P$6:$P$405,1,'Istoric_Nativ'!$D$6:$D$405,"&gt;="&amp;L802)))/M802)</x:f>
      </x:c>
      <x:c r="P802" s="2" t="n">
        <x:f>'Config_v6'!$B$8</x:f>
        <x:v>5</x:v>
      </x:c>
      <x:c r="Q802" s="2" t="n">
        <x:f>IF(OR(B802="",F802=""),0,IFERROR(MATCH(E802&amp;"|"&amp;F802,SourceTable[Source_Key],0),0))</x:f>
        <x:v>0</x:v>
      </x:c>
      <x:c r="R802" s="2" t="str">
        <x:f>IF(B802="","",IF(F802="","UNUSED",IF(Q802=0,"NOT CHECKED",IF(COUNTIF(SourceTable[Source_Key],E802&amp;"|"&amp;F802)&lt;&gt;1,"SOURCE CONFLICT",IF(NOT(OR(INDEX(SourceTable[Status],MAX(1,Q802))="IMPORTED",INDEX(SourceTable[Status],MAX(1,Q802))="PARTIAL",INDEX(SourceTable[Status],MAX(1,Q802))="SOURCE CONFLICT")),"ACCESS BLOCKED",IF(OR(INDEX(SourceTable[Coverage],Q802)&lt;&gt;"FULL SEASON EXPORT",INDEX(SourceTable[URL],Q802)="",INDEX(SourceTable[SHA256],Q802)=""),"EVIDENCE INCOMPLETE",IF(AND('Input_Meci'!H72="LIVE",INDEX(SourceTable[Retrieved_UTC],Q802)&gt;'Input_Meci'!G72),"POST CUTOFF","CLOSED")))))))</x:f>
      </x:c>
      <x:c r="S802" s="2" t="n">
        <x:f>IF(OR(B802="",F802=""),0,COUNTIFS('Istoric_Nativ'!$B$6:$B$405,E802,'Istoric_Nativ'!$C$6:$C$405,F802,'Istoric_Nativ'!$E$6:$E$405,G802,'Istoric_Nativ'!$D$6:$D$405,"&lt;"&amp;J802,'Istoric_Nativ'!$O$6:$O$405,"INVALID")+COUNTIFS('Istoric_Nativ'!$B$6:$B$405,E802,'Istoric_Nativ'!$C$6:$C$405,F802,'Istoric_Nativ'!$E$6:$E$405,G802,'Istoric_Nativ'!$O$6:$O$405,"INVALID",'Istoric_Nativ'!$D$6:$D$405,"*")+COUNTIFS('Istoric_Nativ'!$B$6:$B$405,E802,'Istoric_Nativ'!$C$6:$C$405,F802,'Istoric_Nativ'!$E$6:$E$405,G802,'Istoric_Nativ'!$D$6:$D$405,"&lt;"&amp;J802,'Istoric_Nativ'!$O$6:$O$405,"SOURCE CONFLICT")+COUNTIFS('Istoric_Nativ'!$B$6:$B$405,E802,'Istoric_Nativ'!$C$6:$C$405,F802,'Istoric_Nativ'!$F$6:$F$405,G802,'Istoric_Nativ'!$D$6:$D$405,"&lt;"&amp;J802,'Istoric_Nativ'!$O$6:$O$405,"INVALID")+COUNTIFS('Istoric_Nativ'!$B$6:$B$405,E802,'Istoric_Nativ'!$C$6:$C$405,F802,'Istoric_Nativ'!$F$6:$F$405,G802,'Istoric_Nativ'!$O$6:$O$405,"INVALID",'Istoric_Nativ'!$D$6:$D$405,"*")+COUNTIFS('Istoric_Nativ'!$B$6:$B$405,E802,'Istoric_Nativ'!$C$6:$C$405,F802,'Istoric_Nativ'!$F$6:$F$405,G802,'Istoric_Nativ'!$D$6:$D$405,"&lt;"&amp;J802,'Istoric_Nativ'!$O$6:$O$405,"SOURCE CONFLICT"))</x:f>
        <x:v>0</x:v>
      </x:c>
      <x:c r="T802" s="2" t="str">
        <x:f>IF(B802="","",IF(R802&lt;&gt;"CLOSED",R802,IF(S802&gt;0,"NATIVE INPUT ISSUE",IF(M802=0,"NO HISTORY",IF(M802&lt;P802,"SMALL SAMPLE","DERIVED")))))</x:f>
      </x:c>
      <x:c r="U802" s="2" t="str">
        <x:f>IF(B802="","","NativeTable; "&amp;E802&amp;"; "&amp;F802&amp;"; "&amp;G802&amp;"; "&amp;H802&amp;"; before "&amp;TEXT(J802,"yyyy-mm-dd")&amp;IF(I802="RECENT","; from "&amp;TEXT(L802,"yyyy-mm-dd"),""))</x:f>
      </x:c>
    </x:row>
    <x:row r="803" ht="21" customHeight="1">
      <x:c r="A803" s="2" t="n">
        <x:v>67</x:v>
      </x:c>
      <x:c r="B803" s="2" t="str">
        <x:f>IF('Input_Meci'!A72="","",'Input_Meci'!A72)</x:f>
      </x:c>
      <x:c r="C803" s="2" t="str">
        <x:v>A</x:v>
      </x:c>
      <x:c r="D803" s="2" t="str">
        <x:v>CURRENT</x:v>
      </x:c>
      <x:c r="E803" s="2" t="str">
        <x:f>IF(B803="","",'Input_Meci'!B72)</x:f>
      </x:c>
      <x:c r="F803" s="2" t="str">
        <x:f>IF(B803="","",IF('Input_Meci'!C72="","",'Input_Meci'!C72))</x:f>
      </x:c>
      <x:c r="G803" s="2" t="str">
        <x:f>IF(B803="","",'Input_Meci'!E72)</x:f>
      </x:c>
      <x:c r="H803" s="2" t="str">
        <x:v>ANY</x:v>
      </x:c>
      <x:c r="I803" s="2" t="str">
        <x:v>RECENT</x:v>
      </x:c>
      <x:c r="J803" s="9" t="n">
        <x:f>IF(AND(B803&lt;&gt;"",ISNUMBER('Input_Meci'!G72)),INT('Input_Meci'!G72),0)</x:f>
        <x:v>0</x:v>
      </x:c>
      <x:c r="K803" s="2" t="n">
        <x:f>IF(OR(B803="",F803=""),0,IF(H803="HOME",COUNTIFS('Istoric_Nativ'!$B$6:$B$405,E803,'Istoric_Nativ'!$C$6:$C$405,F803,'Istoric_Nativ'!$E$6:$E$405,G803,'Istoric_Nativ'!$D$6:$D$405,"&lt;"&amp;J803,'Istoric_Nativ'!$P$6:$P$405,1),IF(H803="AWAY",COUNTIFS('Istoric_Nativ'!$B$6:$B$405,E803,'Istoric_Nativ'!$C$6:$C$405,F803,'Istoric_Nativ'!$F$6:$F$405,G803,'Istoric_Nativ'!$D$6:$D$405,"&lt;"&amp;J803,'Istoric_Nativ'!$P$6:$P$405,1),COUNTIFS('Istoric_Nativ'!$B$6:$B$405,E803,'Istoric_Nativ'!$C$6:$C$405,F803,'Istoric_Nativ'!$E$6:$E$405,G803,'Istoric_Nativ'!$D$6:$D$405,"&lt;"&amp;J803,'Istoric_Nativ'!$P$6:$P$405,1)+COUNTIFS('Istoric_Nativ'!$B$6:$B$405,E803,'Istoric_Nativ'!$C$6:$C$405,F803,'Istoric_Nativ'!$F$6:$F$405,G803,'Istoric_Nativ'!$D$6:$D$405,"&lt;"&amp;J803,'Istoric_Nativ'!$P$6:$P$405,1))))</x:f>
        <x:v>0</x:v>
      </x:c>
      <x:c r="L803" s="17" t="n">
        <x:f>IF(AND(B803&lt;&gt;"",I803="RECENT",K803&gt;0),LARGE(_xlfn._xlws.FILTER('Istoric_Nativ'!$D$6:$D$405,('Istoric_Nativ'!$B$6:$B$405=E803)*('Istoric_Nativ'!$C$6:$C$405=F803)*('Istoric_Nativ'!$P$6:$P$405=1)*('Istoric_Nativ'!$D$6:$D$405&lt;J803)*((('Istoric_Nativ'!$E$6:$E$405=G803)+('Istoric_Nativ'!$F$6:$F$405=G803))&gt;0)),MIN('Config_v6'!$B$54,K803)),0)</x:f>
        <x:v>0</x:v>
      </x:c>
      <x:c r="M803" s="2" t="n">
        <x:f>IF(OR(B803="",F803=""),0,IF(H803="HOME",COUNTIFS('Istoric_Nativ'!$B$6:$B$405,E803,'Istoric_Nativ'!$C$6:$C$405,F803,'Istoric_Nativ'!$E$6:$E$405,G803,'Istoric_Nativ'!$D$6:$D$405,"&lt;"&amp;J803,'Istoric_Nativ'!$P$6:$P$405,1,'Istoric_Nativ'!$D$6:$D$405,"&gt;="&amp;L803),IF(H803="AWAY",COUNTIFS('Istoric_Nativ'!$B$6:$B$405,E803,'Istoric_Nativ'!$C$6:$C$405,F803,'Istoric_Nativ'!$F$6:$F$405,G803,'Istoric_Nativ'!$D$6:$D$405,"&lt;"&amp;J803,'Istoric_Nativ'!$P$6:$P$405,1,'Istoric_Nativ'!$D$6:$D$405,"&gt;="&amp;L803),COUNTIFS('Istoric_Nativ'!$B$6:$B$405,E803,'Istoric_Nativ'!$C$6:$C$405,F803,'Istoric_Nativ'!$E$6:$E$405,G803,'Istoric_Nativ'!$D$6:$D$405,"&lt;"&amp;J803,'Istoric_Nativ'!$P$6:$P$405,1,'Istoric_Nativ'!$D$6:$D$405,"&gt;="&amp;L803)+COUNTIFS('Istoric_Nativ'!$B$6:$B$405,E803,'Istoric_Nativ'!$C$6:$C$405,F803,'Istoric_Nativ'!$F$6:$F$405,G803,'Istoric_Nativ'!$D$6:$D$405,"&lt;"&amp;J803,'Istoric_Nativ'!$P$6:$P$405,1,'Istoric_Nativ'!$D$6:$D$405,"&gt;="&amp;L803))))</x:f>
        <x:v>0</x:v>
      </x:c>
      <x:c r="N803" s="11" t="str">
        <x:f>IF(M803=0,"",IF(H803="HOME",SUMIFS('Istoric_Nativ'!$G$6:$G$405,'Istoric_Nativ'!$B$6:$B$405,E803,'Istoric_Nativ'!$C$6:$C$405,F803,'Istoric_Nativ'!$E$6:$E$405,G803,'Istoric_Nativ'!$D$6:$D$405,"&lt;"&amp;J803,'Istoric_Nativ'!$P$6:$P$405,1,'Istoric_Nativ'!$D$6:$D$405,"&gt;="&amp;L803),IF(H803="AWAY",SUMIFS('Istoric_Nativ'!$H$6:$H$405,'Istoric_Nativ'!$B$6:$B$405,E803,'Istoric_Nativ'!$C$6:$C$405,F803,'Istoric_Nativ'!$F$6:$F$405,G803,'Istoric_Nativ'!$D$6:$D$405,"&lt;"&amp;J803,'Istoric_Nativ'!$P$6:$P$405,1,'Istoric_Nativ'!$D$6:$D$405,"&gt;="&amp;L803),SUMIFS('Istoric_Nativ'!$G$6:$G$405,'Istoric_Nativ'!$B$6:$B$405,E803,'Istoric_Nativ'!$C$6:$C$405,F803,'Istoric_Nativ'!$E$6:$E$405,G803,'Istoric_Nativ'!$D$6:$D$405,"&lt;"&amp;J803,'Istoric_Nativ'!$P$6:$P$405,1,'Istoric_Nativ'!$D$6:$D$405,"&gt;="&amp;L803)+SUMIFS('Istoric_Nativ'!$H$6:$H$405,'Istoric_Nativ'!$B$6:$B$405,E803,'Istoric_Nativ'!$C$6:$C$405,F803,'Istoric_Nativ'!$F$6:$F$405,G803,'Istoric_Nativ'!$D$6:$D$405,"&lt;"&amp;J803,'Istoric_Nativ'!$P$6:$P$405,1,'Istoric_Nativ'!$D$6:$D$405,"&gt;="&amp;L803)))/M803)</x:f>
      </x:c>
      <x:c r="O803" s="11" t="str">
        <x:f>IF(M803=0,"",IF(H803="HOME",SUMIFS('Istoric_Nativ'!$H$6:$H$405,'Istoric_Nativ'!$B$6:$B$405,E803,'Istoric_Nativ'!$C$6:$C$405,F803,'Istoric_Nativ'!$E$6:$E$405,G803,'Istoric_Nativ'!$D$6:$D$405,"&lt;"&amp;J803,'Istoric_Nativ'!$P$6:$P$405,1,'Istoric_Nativ'!$D$6:$D$405,"&gt;="&amp;L803),IF(H803="AWAY",SUMIFS('Istoric_Nativ'!$G$6:$G$405,'Istoric_Nativ'!$B$6:$B$405,E803,'Istoric_Nativ'!$C$6:$C$405,F803,'Istoric_Nativ'!$F$6:$F$405,G803,'Istoric_Nativ'!$D$6:$D$405,"&lt;"&amp;J803,'Istoric_Nativ'!$P$6:$P$405,1,'Istoric_Nativ'!$D$6:$D$405,"&gt;="&amp;L803),SUMIFS('Istoric_Nativ'!$H$6:$H$405,'Istoric_Nativ'!$B$6:$B$405,E803,'Istoric_Nativ'!$C$6:$C$405,F803,'Istoric_Nativ'!$E$6:$E$405,G803,'Istoric_Nativ'!$D$6:$D$405,"&lt;"&amp;J803,'Istoric_Nativ'!$P$6:$P$405,1,'Istoric_Nativ'!$D$6:$D$405,"&gt;="&amp;L803)+SUMIFS('Istoric_Nativ'!$G$6:$G$405,'Istoric_Nativ'!$B$6:$B$405,E803,'Istoric_Nativ'!$C$6:$C$405,F803,'Istoric_Nativ'!$F$6:$F$405,G803,'Istoric_Nativ'!$D$6:$D$405,"&lt;"&amp;J803,'Istoric_Nativ'!$P$6:$P$405,1,'Istoric_Nativ'!$D$6:$D$405,"&gt;="&amp;L803)))/M803)</x:f>
      </x:c>
      <x:c r="P803" s="2" t="n">
        <x:f>'Config_v6'!$B$9</x:f>
        <x:v>3</x:v>
      </x:c>
      <x:c r="Q803" s="2" t="n">
        <x:f>IF(OR(B803="",F803=""),0,IFERROR(MATCH(E803&amp;"|"&amp;F803,SourceTable[Source_Key],0),0))</x:f>
        <x:v>0</x:v>
      </x:c>
      <x:c r="R803" s="2" t="str">
        <x:f>IF(B803="","",IF(F803="","UNUSED",IF(Q803=0,"NOT CHECKED",IF(COUNTIF(SourceTable[Source_Key],E803&amp;"|"&amp;F803)&lt;&gt;1,"SOURCE CONFLICT",IF(NOT(OR(INDEX(SourceTable[Status],MAX(1,Q803))="IMPORTED",INDEX(SourceTable[Status],MAX(1,Q803))="PARTIAL",INDEX(SourceTable[Status],MAX(1,Q803))="SOURCE CONFLICT")),"ACCESS BLOCKED",IF(OR(INDEX(SourceTable[Coverage],Q803)&lt;&gt;"FULL SEASON EXPORT",INDEX(SourceTable[URL],Q803)="",INDEX(SourceTable[SHA256],Q803)=""),"EVIDENCE INCOMPLETE",IF(AND('Input_Meci'!H72="LIVE",INDEX(SourceTable[Retrieved_UTC],Q803)&gt;'Input_Meci'!G72),"POST CUTOFF","CLOSED")))))))</x:f>
      </x:c>
      <x:c r="S803" s="2" t="n">
        <x:f>IF(OR(B803="",F803=""),0,COUNTIFS('Istoric_Nativ'!$B$6:$B$405,E803,'Istoric_Nativ'!$C$6:$C$405,F803,'Istoric_Nativ'!$E$6:$E$405,G803,'Istoric_Nativ'!$D$6:$D$405,"&lt;"&amp;J803,'Istoric_Nativ'!$O$6:$O$405,"INVALID")+COUNTIFS('Istoric_Nativ'!$B$6:$B$405,E803,'Istoric_Nativ'!$C$6:$C$405,F803,'Istoric_Nativ'!$E$6:$E$405,G803,'Istoric_Nativ'!$O$6:$O$405,"INVALID",'Istoric_Nativ'!$D$6:$D$405,"*")+COUNTIFS('Istoric_Nativ'!$B$6:$B$405,E803,'Istoric_Nativ'!$C$6:$C$405,F803,'Istoric_Nativ'!$E$6:$E$405,G803,'Istoric_Nativ'!$D$6:$D$405,"&lt;"&amp;J803,'Istoric_Nativ'!$O$6:$O$405,"SOURCE CONFLICT")+COUNTIFS('Istoric_Nativ'!$B$6:$B$405,E803,'Istoric_Nativ'!$C$6:$C$405,F803,'Istoric_Nativ'!$F$6:$F$405,G803,'Istoric_Nativ'!$D$6:$D$405,"&lt;"&amp;J803,'Istoric_Nativ'!$O$6:$O$405,"INVALID")+COUNTIFS('Istoric_Nativ'!$B$6:$B$405,E803,'Istoric_Nativ'!$C$6:$C$405,F803,'Istoric_Nativ'!$F$6:$F$405,G803,'Istoric_Nativ'!$O$6:$O$405,"INVALID",'Istoric_Nativ'!$D$6:$D$405,"*")+COUNTIFS('Istoric_Nativ'!$B$6:$B$405,E803,'Istoric_Nativ'!$C$6:$C$405,F803,'Istoric_Nativ'!$F$6:$F$405,G803,'Istoric_Nativ'!$D$6:$D$405,"&lt;"&amp;J803,'Istoric_Nativ'!$O$6:$O$405,"SOURCE CONFLICT"))</x:f>
        <x:v>0</x:v>
      </x:c>
      <x:c r="T803" s="2" t="str">
        <x:f>IF(B803="","",IF(R803&lt;&gt;"CLOSED",R803,IF(S803&gt;0,"NATIVE INPUT ISSUE",IF(M803=0,"NO HISTORY",IF(M803&lt;P803,"SMALL SAMPLE","DERIVED")))))</x:f>
      </x:c>
      <x:c r="U803" s="2" t="str">
        <x:f>IF(B803="","","NativeTable; "&amp;E803&amp;"; "&amp;F803&amp;"; "&amp;G803&amp;"; "&amp;H803&amp;"; before "&amp;TEXT(J803,"yyyy-mm-dd")&amp;IF(I803="RECENT","; from "&amp;TEXT(L803,"yyyy-mm-dd"),""))</x:f>
      </x:c>
    </x:row>
    <x:row r="804" ht="21" customHeight="1">
      <x:c r="A804" s="2" t="n">
        <x:v>67</x:v>
      </x:c>
      <x:c r="B804" s="2" t="str">
        <x:f>IF('Input_Meci'!A72="","",'Input_Meci'!A72)</x:f>
      </x:c>
      <x:c r="C804" s="2" t="str">
        <x:v>H</x:v>
      </x:c>
      <x:c r="D804" s="2" t="str">
        <x:v>PRIOR</x:v>
      </x:c>
      <x:c r="E804" s="2" t="str">
        <x:f>IF(B804="","",'Input_Meci'!B72)</x:f>
      </x:c>
      <x:c r="F804" s="2" t="str">
        <x:f>IF(B804="","",IF('Input_Meci'!K72="","",'Input_Meci'!K72))</x:f>
      </x:c>
      <x:c r="G804" s="2" t="str">
        <x:f>IF(B804="","",'Input_Meci'!D72)</x:f>
      </x:c>
      <x:c r="H804" s="2" t="str">
        <x:v>ANY</x:v>
      </x:c>
      <x:c r="I804" s="2" t="str">
        <x:v>SEASON</x:v>
      </x:c>
      <x:c r="J804" s="9" t="n">
        <x:f>IF(AND(B804&lt;&gt;"",ISNUMBER('Input_Meci'!G72)),INT('Input_Meci'!G72),0)</x:f>
        <x:v>0</x:v>
      </x:c>
      <x:c r="K804" s="2" t="n">
        <x:f>IF(OR(B804="",F804=""),0,IF(H804="HOME",COUNTIFS('Istoric_Nativ'!$B$6:$B$405,E804,'Istoric_Nativ'!$C$6:$C$405,F804,'Istoric_Nativ'!$E$6:$E$405,G804,'Istoric_Nativ'!$D$6:$D$405,"&lt;"&amp;J804,'Istoric_Nativ'!$P$6:$P$405,1),IF(H804="AWAY",COUNTIFS('Istoric_Nativ'!$B$6:$B$405,E804,'Istoric_Nativ'!$C$6:$C$405,F804,'Istoric_Nativ'!$F$6:$F$405,G804,'Istoric_Nativ'!$D$6:$D$405,"&lt;"&amp;J804,'Istoric_Nativ'!$P$6:$P$405,1),COUNTIFS('Istoric_Nativ'!$B$6:$B$405,E804,'Istoric_Nativ'!$C$6:$C$405,F804,'Istoric_Nativ'!$E$6:$E$405,G804,'Istoric_Nativ'!$D$6:$D$405,"&lt;"&amp;J804,'Istoric_Nativ'!$P$6:$P$405,1)+COUNTIFS('Istoric_Nativ'!$B$6:$B$405,E804,'Istoric_Nativ'!$C$6:$C$405,F804,'Istoric_Nativ'!$F$6:$F$405,G804,'Istoric_Nativ'!$D$6:$D$405,"&lt;"&amp;J804,'Istoric_Nativ'!$P$6:$P$405,1))))</x:f>
        <x:v>0</x:v>
      </x:c>
      <x:c r="L804" s="17" t="n">
        <x:f>IF(AND(B804&lt;&gt;"",I804="RECENT",K804&gt;0),LARGE(_xlfn._xlws.FILTER('Istoric_Nativ'!$D$6:$D$405,('Istoric_Nativ'!$B$6:$B$405=E804)*('Istoric_Nativ'!$C$6:$C$405=F804)*('Istoric_Nativ'!$P$6:$P$405=1)*('Istoric_Nativ'!$D$6:$D$405&lt;J804)*((('Istoric_Nativ'!$E$6:$E$405=G804)+('Istoric_Nativ'!$F$6:$F$405=G804))&gt;0)),MIN('Config_v6'!$B$54,K804)),0)</x:f>
        <x:v>0</x:v>
      </x:c>
      <x:c r="M804" s="2" t="n">
        <x:f>IF(OR(B804="",F804=""),0,IF(H804="HOME",COUNTIFS('Istoric_Nativ'!$B$6:$B$405,E804,'Istoric_Nativ'!$C$6:$C$405,F804,'Istoric_Nativ'!$E$6:$E$405,G804,'Istoric_Nativ'!$D$6:$D$405,"&lt;"&amp;J804,'Istoric_Nativ'!$P$6:$P$405,1,'Istoric_Nativ'!$D$6:$D$405,"&gt;="&amp;L804),IF(H804="AWAY",COUNTIFS('Istoric_Nativ'!$B$6:$B$405,E804,'Istoric_Nativ'!$C$6:$C$405,F804,'Istoric_Nativ'!$F$6:$F$405,G804,'Istoric_Nativ'!$D$6:$D$405,"&lt;"&amp;J804,'Istoric_Nativ'!$P$6:$P$405,1,'Istoric_Nativ'!$D$6:$D$405,"&gt;="&amp;L804),COUNTIFS('Istoric_Nativ'!$B$6:$B$405,E804,'Istoric_Nativ'!$C$6:$C$405,F804,'Istoric_Nativ'!$E$6:$E$405,G804,'Istoric_Nativ'!$D$6:$D$405,"&lt;"&amp;J804,'Istoric_Nativ'!$P$6:$P$405,1,'Istoric_Nativ'!$D$6:$D$405,"&gt;="&amp;L804)+COUNTIFS('Istoric_Nativ'!$B$6:$B$405,E804,'Istoric_Nativ'!$C$6:$C$405,F804,'Istoric_Nativ'!$F$6:$F$405,G804,'Istoric_Nativ'!$D$6:$D$405,"&lt;"&amp;J804,'Istoric_Nativ'!$P$6:$P$405,1,'Istoric_Nativ'!$D$6:$D$405,"&gt;="&amp;L804))))</x:f>
        <x:v>0</x:v>
      </x:c>
      <x:c r="N804" s="11" t="str">
        <x:f>IF(M804=0,"",IF(H804="HOME",SUMIFS('Istoric_Nativ'!$G$6:$G$405,'Istoric_Nativ'!$B$6:$B$405,E804,'Istoric_Nativ'!$C$6:$C$405,F804,'Istoric_Nativ'!$E$6:$E$405,G804,'Istoric_Nativ'!$D$6:$D$405,"&lt;"&amp;J804,'Istoric_Nativ'!$P$6:$P$405,1,'Istoric_Nativ'!$D$6:$D$405,"&gt;="&amp;L804),IF(H804="AWAY",SUMIFS('Istoric_Nativ'!$H$6:$H$405,'Istoric_Nativ'!$B$6:$B$405,E804,'Istoric_Nativ'!$C$6:$C$405,F804,'Istoric_Nativ'!$F$6:$F$405,G804,'Istoric_Nativ'!$D$6:$D$405,"&lt;"&amp;J804,'Istoric_Nativ'!$P$6:$P$405,1,'Istoric_Nativ'!$D$6:$D$405,"&gt;="&amp;L804),SUMIFS('Istoric_Nativ'!$G$6:$G$405,'Istoric_Nativ'!$B$6:$B$405,E804,'Istoric_Nativ'!$C$6:$C$405,F804,'Istoric_Nativ'!$E$6:$E$405,G804,'Istoric_Nativ'!$D$6:$D$405,"&lt;"&amp;J804,'Istoric_Nativ'!$P$6:$P$405,1,'Istoric_Nativ'!$D$6:$D$405,"&gt;="&amp;L804)+SUMIFS('Istoric_Nativ'!$H$6:$H$405,'Istoric_Nativ'!$B$6:$B$405,E804,'Istoric_Nativ'!$C$6:$C$405,F804,'Istoric_Nativ'!$F$6:$F$405,G804,'Istoric_Nativ'!$D$6:$D$405,"&lt;"&amp;J804,'Istoric_Nativ'!$P$6:$P$405,1,'Istoric_Nativ'!$D$6:$D$405,"&gt;="&amp;L804)))/M804)</x:f>
      </x:c>
      <x:c r="O804" s="11" t="str">
        <x:f>IF(M804=0,"",IF(H804="HOME",SUMIFS('Istoric_Nativ'!$H$6:$H$405,'Istoric_Nativ'!$B$6:$B$405,E804,'Istoric_Nativ'!$C$6:$C$405,F804,'Istoric_Nativ'!$E$6:$E$405,G804,'Istoric_Nativ'!$D$6:$D$405,"&lt;"&amp;J804,'Istoric_Nativ'!$P$6:$P$405,1,'Istoric_Nativ'!$D$6:$D$405,"&gt;="&amp;L804),IF(H804="AWAY",SUMIFS('Istoric_Nativ'!$G$6:$G$405,'Istoric_Nativ'!$B$6:$B$405,E804,'Istoric_Nativ'!$C$6:$C$405,F804,'Istoric_Nativ'!$F$6:$F$405,G804,'Istoric_Nativ'!$D$6:$D$405,"&lt;"&amp;J804,'Istoric_Nativ'!$P$6:$P$405,1,'Istoric_Nativ'!$D$6:$D$405,"&gt;="&amp;L804),SUMIFS('Istoric_Nativ'!$H$6:$H$405,'Istoric_Nativ'!$B$6:$B$405,E804,'Istoric_Nativ'!$C$6:$C$405,F804,'Istoric_Nativ'!$E$6:$E$405,G804,'Istoric_Nativ'!$D$6:$D$405,"&lt;"&amp;J804,'Istoric_Nativ'!$P$6:$P$405,1,'Istoric_Nativ'!$D$6:$D$405,"&gt;="&amp;L804)+SUMIFS('Istoric_Nativ'!$G$6:$G$405,'Istoric_Nativ'!$B$6:$B$405,E804,'Istoric_Nativ'!$C$6:$C$405,F804,'Istoric_Nativ'!$F$6:$F$405,G804,'Istoric_Nativ'!$D$6:$D$405,"&lt;"&amp;J804,'Istoric_Nativ'!$P$6:$P$405,1,'Istoric_Nativ'!$D$6:$D$405,"&gt;="&amp;L804)))/M804)</x:f>
      </x:c>
      <x:c r="P804" s="2" t="n">
        <x:f>'Config_v6'!$B$7</x:f>
        <x:v>10</x:v>
      </x:c>
      <x:c r="Q804" s="2" t="n">
        <x:f>IF(OR(B804="",F804=""),0,IFERROR(MATCH(E804&amp;"|"&amp;F804,SourceTable[Source_Key],0),0))</x:f>
        <x:v>0</x:v>
      </x:c>
      <x:c r="R804" s="2" t="str">
        <x:f>IF(B804="","",IF(F804="","UNUSED",IF(Q804=0,"NOT CHECKED",IF(COUNTIF(SourceTable[Source_Key],E804&amp;"|"&amp;F804)&lt;&gt;1,"SOURCE CONFLICT",IF(NOT(OR(INDEX(SourceTable[Status],MAX(1,Q804))="IMPORTED",INDEX(SourceTable[Status],MAX(1,Q804))="PARTIAL",INDEX(SourceTable[Status],MAX(1,Q804))="SOURCE CONFLICT")),"ACCESS BLOCKED",IF(OR(INDEX(SourceTable[Coverage],Q804)&lt;&gt;"FULL SEASON EXPORT",INDEX(SourceTable[URL],Q804)="",INDEX(SourceTable[SHA256],Q804)=""),"EVIDENCE INCOMPLETE",IF(AND('Input_Meci'!H72="LIVE",INDEX(SourceTable[Retrieved_UTC],Q804)&gt;'Input_Meci'!G72),"POST CUTOFF","CLOSED")))))))</x:f>
      </x:c>
      <x:c r="S804" s="2" t="n">
        <x:f>IF(OR(B804="",F804=""),0,COUNTIFS('Istoric_Nativ'!$B$6:$B$405,E804,'Istoric_Nativ'!$C$6:$C$405,F804,'Istoric_Nativ'!$E$6:$E$405,G804,'Istoric_Nativ'!$D$6:$D$405,"&lt;"&amp;J804,'Istoric_Nativ'!$O$6:$O$405,"INVALID")+COUNTIFS('Istoric_Nativ'!$B$6:$B$405,E804,'Istoric_Nativ'!$C$6:$C$405,F804,'Istoric_Nativ'!$E$6:$E$405,G804,'Istoric_Nativ'!$O$6:$O$405,"INVALID",'Istoric_Nativ'!$D$6:$D$405,"*")+COUNTIFS('Istoric_Nativ'!$B$6:$B$405,E804,'Istoric_Nativ'!$C$6:$C$405,F804,'Istoric_Nativ'!$E$6:$E$405,G804,'Istoric_Nativ'!$D$6:$D$405,"&lt;"&amp;J804,'Istoric_Nativ'!$O$6:$O$405,"SOURCE CONFLICT")+COUNTIFS('Istoric_Nativ'!$B$6:$B$405,E804,'Istoric_Nativ'!$C$6:$C$405,F804,'Istoric_Nativ'!$F$6:$F$405,G804,'Istoric_Nativ'!$D$6:$D$405,"&lt;"&amp;J804,'Istoric_Nativ'!$O$6:$O$405,"INVALID")+COUNTIFS('Istoric_Nativ'!$B$6:$B$405,E804,'Istoric_Nativ'!$C$6:$C$405,F804,'Istoric_Nativ'!$F$6:$F$405,G804,'Istoric_Nativ'!$O$6:$O$405,"INVALID",'Istoric_Nativ'!$D$6:$D$405,"*")+COUNTIFS('Istoric_Nativ'!$B$6:$B$405,E804,'Istoric_Nativ'!$C$6:$C$405,F804,'Istoric_Nativ'!$F$6:$F$405,G804,'Istoric_Nativ'!$D$6:$D$405,"&lt;"&amp;J804,'Istoric_Nativ'!$O$6:$O$405,"SOURCE CONFLICT"))</x:f>
        <x:v>0</x:v>
      </x:c>
      <x:c r="T804" s="2" t="str">
        <x:f>IF(B804="","",IF(R804&lt;&gt;"CLOSED",R804,IF(S804&gt;0,"NATIVE INPUT ISSUE",IF(M804=0,"NO HISTORY",IF(M804&lt;P804,"SMALL SAMPLE","DERIVED")))))</x:f>
      </x:c>
      <x:c r="U804" s="2" t="str">
        <x:f>IF(B804="","","NativeTable; "&amp;E804&amp;"; "&amp;F804&amp;"; "&amp;G804&amp;"; "&amp;H804&amp;"; before "&amp;TEXT(J804,"yyyy-mm-dd")&amp;IF(I804="RECENT","; from "&amp;TEXT(L804,"yyyy-mm-dd"),""))</x:f>
      </x:c>
    </x:row>
    <x:row r="805" ht="21" customHeight="1">
      <x:c r="A805" s="2" t="n">
        <x:v>67</x:v>
      </x:c>
      <x:c r="B805" s="2" t="str">
        <x:f>IF('Input_Meci'!A72="","",'Input_Meci'!A72)</x:f>
      </x:c>
      <x:c r="C805" s="2" t="str">
        <x:v>H</x:v>
      </x:c>
      <x:c r="D805" s="2" t="str">
        <x:v>PRIOR</x:v>
      </x:c>
      <x:c r="E805" s="2" t="str">
        <x:f>IF(B805="","",'Input_Meci'!B72)</x:f>
      </x:c>
      <x:c r="F805" s="2" t="str">
        <x:f>IF(B805="","",IF('Input_Meci'!K72="","",'Input_Meci'!K72))</x:f>
      </x:c>
      <x:c r="G805" s="2" t="str">
        <x:f>IF(B805="","",'Input_Meci'!D72)</x:f>
      </x:c>
      <x:c r="H805" s="2" t="str">
        <x:v>HOME</x:v>
      </x:c>
      <x:c r="I805" s="2" t="str">
        <x:v>HA</x:v>
      </x:c>
      <x:c r="J805" s="9" t="n">
        <x:f>IF(AND(B805&lt;&gt;"",ISNUMBER('Input_Meci'!G72)),INT('Input_Meci'!G72),0)</x:f>
        <x:v>0</x:v>
      </x:c>
      <x:c r="K805" s="2" t="n">
        <x:f>IF(OR(B805="",F805=""),0,IF(H805="HOME",COUNTIFS('Istoric_Nativ'!$B$6:$B$405,E805,'Istoric_Nativ'!$C$6:$C$405,F805,'Istoric_Nativ'!$E$6:$E$405,G805,'Istoric_Nativ'!$D$6:$D$405,"&lt;"&amp;J805,'Istoric_Nativ'!$P$6:$P$405,1),IF(H805="AWAY",COUNTIFS('Istoric_Nativ'!$B$6:$B$405,E805,'Istoric_Nativ'!$C$6:$C$405,F805,'Istoric_Nativ'!$F$6:$F$405,G805,'Istoric_Nativ'!$D$6:$D$405,"&lt;"&amp;J805,'Istoric_Nativ'!$P$6:$P$405,1),COUNTIFS('Istoric_Nativ'!$B$6:$B$405,E805,'Istoric_Nativ'!$C$6:$C$405,F805,'Istoric_Nativ'!$E$6:$E$405,G805,'Istoric_Nativ'!$D$6:$D$405,"&lt;"&amp;J805,'Istoric_Nativ'!$P$6:$P$405,1)+COUNTIFS('Istoric_Nativ'!$B$6:$B$405,E805,'Istoric_Nativ'!$C$6:$C$405,F805,'Istoric_Nativ'!$F$6:$F$405,G805,'Istoric_Nativ'!$D$6:$D$405,"&lt;"&amp;J805,'Istoric_Nativ'!$P$6:$P$405,1))))</x:f>
        <x:v>0</x:v>
      </x:c>
      <x:c r="L805" s="17" t="n">
        <x:f>IF(AND(B805&lt;&gt;"",I805="RECENT",K805&gt;0),LARGE(_xlfn._xlws.FILTER('Istoric_Nativ'!$D$6:$D$405,('Istoric_Nativ'!$B$6:$B$405=E805)*('Istoric_Nativ'!$C$6:$C$405=F805)*('Istoric_Nativ'!$P$6:$P$405=1)*('Istoric_Nativ'!$D$6:$D$405&lt;J805)*((('Istoric_Nativ'!$E$6:$E$405=G805)+('Istoric_Nativ'!$F$6:$F$405=G805))&gt;0)),MIN('Config_v6'!$B$54,K805)),0)</x:f>
        <x:v>0</x:v>
      </x:c>
      <x:c r="M805" s="2" t="n">
        <x:f>IF(OR(B805="",F805=""),0,IF(H805="HOME",COUNTIFS('Istoric_Nativ'!$B$6:$B$405,E805,'Istoric_Nativ'!$C$6:$C$405,F805,'Istoric_Nativ'!$E$6:$E$405,G805,'Istoric_Nativ'!$D$6:$D$405,"&lt;"&amp;J805,'Istoric_Nativ'!$P$6:$P$405,1,'Istoric_Nativ'!$D$6:$D$405,"&gt;="&amp;L805),IF(H805="AWAY",COUNTIFS('Istoric_Nativ'!$B$6:$B$405,E805,'Istoric_Nativ'!$C$6:$C$405,F805,'Istoric_Nativ'!$F$6:$F$405,G805,'Istoric_Nativ'!$D$6:$D$405,"&lt;"&amp;J805,'Istoric_Nativ'!$P$6:$P$405,1,'Istoric_Nativ'!$D$6:$D$405,"&gt;="&amp;L805),COUNTIFS('Istoric_Nativ'!$B$6:$B$405,E805,'Istoric_Nativ'!$C$6:$C$405,F805,'Istoric_Nativ'!$E$6:$E$405,G805,'Istoric_Nativ'!$D$6:$D$405,"&lt;"&amp;J805,'Istoric_Nativ'!$P$6:$P$405,1,'Istoric_Nativ'!$D$6:$D$405,"&gt;="&amp;L805)+COUNTIFS('Istoric_Nativ'!$B$6:$B$405,E805,'Istoric_Nativ'!$C$6:$C$405,F805,'Istoric_Nativ'!$F$6:$F$405,G805,'Istoric_Nativ'!$D$6:$D$405,"&lt;"&amp;J805,'Istoric_Nativ'!$P$6:$P$405,1,'Istoric_Nativ'!$D$6:$D$405,"&gt;="&amp;L805))))</x:f>
        <x:v>0</x:v>
      </x:c>
      <x:c r="N805" s="11" t="str">
        <x:f>IF(M805=0,"",IF(H805="HOME",SUMIFS('Istoric_Nativ'!$G$6:$G$405,'Istoric_Nativ'!$B$6:$B$405,E805,'Istoric_Nativ'!$C$6:$C$405,F805,'Istoric_Nativ'!$E$6:$E$405,G805,'Istoric_Nativ'!$D$6:$D$405,"&lt;"&amp;J805,'Istoric_Nativ'!$P$6:$P$405,1,'Istoric_Nativ'!$D$6:$D$405,"&gt;="&amp;L805),IF(H805="AWAY",SUMIFS('Istoric_Nativ'!$H$6:$H$405,'Istoric_Nativ'!$B$6:$B$405,E805,'Istoric_Nativ'!$C$6:$C$405,F805,'Istoric_Nativ'!$F$6:$F$405,G805,'Istoric_Nativ'!$D$6:$D$405,"&lt;"&amp;J805,'Istoric_Nativ'!$P$6:$P$405,1,'Istoric_Nativ'!$D$6:$D$405,"&gt;="&amp;L805),SUMIFS('Istoric_Nativ'!$G$6:$G$405,'Istoric_Nativ'!$B$6:$B$405,E805,'Istoric_Nativ'!$C$6:$C$405,F805,'Istoric_Nativ'!$E$6:$E$405,G805,'Istoric_Nativ'!$D$6:$D$405,"&lt;"&amp;J805,'Istoric_Nativ'!$P$6:$P$405,1,'Istoric_Nativ'!$D$6:$D$405,"&gt;="&amp;L805)+SUMIFS('Istoric_Nativ'!$H$6:$H$405,'Istoric_Nativ'!$B$6:$B$405,E805,'Istoric_Nativ'!$C$6:$C$405,F805,'Istoric_Nativ'!$F$6:$F$405,G805,'Istoric_Nativ'!$D$6:$D$405,"&lt;"&amp;J805,'Istoric_Nativ'!$P$6:$P$405,1,'Istoric_Nativ'!$D$6:$D$405,"&gt;="&amp;L805)))/M805)</x:f>
      </x:c>
      <x:c r="O805" s="11" t="str">
        <x:f>IF(M805=0,"",IF(H805="HOME",SUMIFS('Istoric_Nativ'!$H$6:$H$405,'Istoric_Nativ'!$B$6:$B$405,E805,'Istoric_Nativ'!$C$6:$C$405,F805,'Istoric_Nativ'!$E$6:$E$405,G805,'Istoric_Nativ'!$D$6:$D$405,"&lt;"&amp;J805,'Istoric_Nativ'!$P$6:$P$405,1,'Istoric_Nativ'!$D$6:$D$405,"&gt;="&amp;L805),IF(H805="AWAY",SUMIFS('Istoric_Nativ'!$G$6:$G$405,'Istoric_Nativ'!$B$6:$B$405,E805,'Istoric_Nativ'!$C$6:$C$405,F805,'Istoric_Nativ'!$F$6:$F$405,G805,'Istoric_Nativ'!$D$6:$D$405,"&lt;"&amp;J805,'Istoric_Nativ'!$P$6:$P$405,1,'Istoric_Nativ'!$D$6:$D$405,"&gt;="&amp;L805),SUMIFS('Istoric_Nativ'!$H$6:$H$405,'Istoric_Nativ'!$B$6:$B$405,E805,'Istoric_Nativ'!$C$6:$C$405,F805,'Istoric_Nativ'!$E$6:$E$405,G805,'Istoric_Nativ'!$D$6:$D$405,"&lt;"&amp;J805,'Istoric_Nativ'!$P$6:$P$405,1,'Istoric_Nativ'!$D$6:$D$405,"&gt;="&amp;L805)+SUMIFS('Istoric_Nativ'!$G$6:$G$405,'Istoric_Nativ'!$B$6:$B$405,E805,'Istoric_Nativ'!$C$6:$C$405,F805,'Istoric_Nativ'!$F$6:$F$405,G805,'Istoric_Nativ'!$D$6:$D$405,"&lt;"&amp;J805,'Istoric_Nativ'!$P$6:$P$405,1,'Istoric_Nativ'!$D$6:$D$405,"&gt;="&amp;L805)))/M805)</x:f>
      </x:c>
      <x:c r="P805" s="2" t="n">
        <x:f>'Config_v6'!$B$8</x:f>
        <x:v>5</x:v>
      </x:c>
      <x:c r="Q805" s="2" t="n">
        <x:f>IF(OR(B805="",F805=""),0,IFERROR(MATCH(E805&amp;"|"&amp;F805,SourceTable[Source_Key],0),0))</x:f>
        <x:v>0</x:v>
      </x:c>
      <x:c r="R805" s="2" t="str">
        <x:f>IF(B805="","",IF(F805="","UNUSED",IF(Q805=0,"NOT CHECKED",IF(COUNTIF(SourceTable[Source_Key],E805&amp;"|"&amp;F805)&lt;&gt;1,"SOURCE CONFLICT",IF(NOT(OR(INDEX(SourceTable[Status],MAX(1,Q805))="IMPORTED",INDEX(SourceTable[Status],MAX(1,Q805))="PARTIAL",INDEX(SourceTable[Status],MAX(1,Q805))="SOURCE CONFLICT")),"ACCESS BLOCKED",IF(OR(INDEX(SourceTable[Coverage],Q805)&lt;&gt;"FULL SEASON EXPORT",INDEX(SourceTable[URL],Q805)="",INDEX(SourceTable[SHA256],Q805)=""),"EVIDENCE INCOMPLETE",IF(AND('Input_Meci'!H72="LIVE",INDEX(SourceTable[Retrieved_UTC],Q805)&gt;'Input_Meci'!G72),"POST CUTOFF","CLOSED")))))))</x:f>
      </x:c>
      <x:c r="S805" s="2" t="n">
        <x:f>IF(OR(B805="",F805=""),0,COUNTIFS('Istoric_Nativ'!$B$6:$B$405,E805,'Istoric_Nativ'!$C$6:$C$405,F805,'Istoric_Nativ'!$E$6:$E$405,G805,'Istoric_Nativ'!$D$6:$D$405,"&lt;"&amp;J805,'Istoric_Nativ'!$O$6:$O$405,"INVALID")+COUNTIFS('Istoric_Nativ'!$B$6:$B$405,E805,'Istoric_Nativ'!$C$6:$C$405,F805,'Istoric_Nativ'!$E$6:$E$405,G805,'Istoric_Nativ'!$O$6:$O$405,"INVALID",'Istoric_Nativ'!$D$6:$D$405,"*")+COUNTIFS('Istoric_Nativ'!$B$6:$B$405,E805,'Istoric_Nativ'!$C$6:$C$405,F805,'Istoric_Nativ'!$E$6:$E$405,G805,'Istoric_Nativ'!$D$6:$D$405,"&lt;"&amp;J805,'Istoric_Nativ'!$O$6:$O$405,"SOURCE CONFLICT")+COUNTIFS('Istoric_Nativ'!$B$6:$B$405,E805,'Istoric_Nativ'!$C$6:$C$405,F805,'Istoric_Nativ'!$F$6:$F$405,G805,'Istoric_Nativ'!$D$6:$D$405,"&lt;"&amp;J805,'Istoric_Nativ'!$O$6:$O$405,"INVALID")+COUNTIFS('Istoric_Nativ'!$B$6:$B$405,E805,'Istoric_Nativ'!$C$6:$C$405,F805,'Istoric_Nativ'!$F$6:$F$405,G805,'Istoric_Nativ'!$O$6:$O$405,"INVALID",'Istoric_Nativ'!$D$6:$D$405,"*")+COUNTIFS('Istoric_Nativ'!$B$6:$B$405,E805,'Istoric_Nativ'!$C$6:$C$405,F805,'Istoric_Nativ'!$F$6:$F$405,G805,'Istoric_Nativ'!$D$6:$D$405,"&lt;"&amp;J805,'Istoric_Nativ'!$O$6:$O$405,"SOURCE CONFLICT"))</x:f>
        <x:v>0</x:v>
      </x:c>
      <x:c r="T805" s="2" t="str">
        <x:f>IF(B805="","",IF(R805&lt;&gt;"CLOSED",R805,IF(S805&gt;0,"NATIVE INPUT ISSUE",IF(M805=0,"NO HISTORY",IF(M805&lt;P805,"SMALL SAMPLE","DERIVED")))))</x:f>
      </x:c>
      <x:c r="U805" s="2" t="str">
        <x:f>IF(B805="","","NativeTable; "&amp;E805&amp;"; "&amp;F805&amp;"; "&amp;G805&amp;"; "&amp;H805&amp;"; before "&amp;TEXT(J805,"yyyy-mm-dd")&amp;IF(I805="RECENT","; from "&amp;TEXT(L805,"yyyy-mm-dd"),""))</x:f>
      </x:c>
    </x:row>
    <x:row r="806" ht="21" customHeight="1">
      <x:c r="A806" s="2" t="n">
        <x:v>67</x:v>
      </x:c>
      <x:c r="B806" s="2" t="str">
        <x:f>IF('Input_Meci'!A72="","",'Input_Meci'!A72)</x:f>
      </x:c>
      <x:c r="C806" s="2" t="str">
        <x:v>H</x:v>
      </x:c>
      <x:c r="D806" s="2" t="str">
        <x:v>PRIOR</x:v>
      </x:c>
      <x:c r="E806" s="2" t="str">
        <x:f>IF(B806="","",'Input_Meci'!B72)</x:f>
      </x:c>
      <x:c r="F806" s="2" t="str">
        <x:f>IF(B806="","",IF('Input_Meci'!K72="","",'Input_Meci'!K72))</x:f>
      </x:c>
      <x:c r="G806" s="2" t="str">
        <x:f>IF(B806="","",'Input_Meci'!D72)</x:f>
      </x:c>
      <x:c r="H806" s="2" t="str">
        <x:v>ANY</x:v>
      </x:c>
      <x:c r="I806" s="2" t="str">
        <x:v>RECENT</x:v>
      </x:c>
      <x:c r="J806" s="9" t="n">
        <x:f>IF(AND(B806&lt;&gt;"",ISNUMBER('Input_Meci'!G72)),INT('Input_Meci'!G72),0)</x:f>
        <x:v>0</x:v>
      </x:c>
      <x:c r="K806" s="2" t="n">
        <x:f>IF(OR(B806="",F806=""),0,IF(H806="HOME",COUNTIFS('Istoric_Nativ'!$B$6:$B$405,E806,'Istoric_Nativ'!$C$6:$C$405,F806,'Istoric_Nativ'!$E$6:$E$405,G806,'Istoric_Nativ'!$D$6:$D$405,"&lt;"&amp;J806,'Istoric_Nativ'!$P$6:$P$405,1),IF(H806="AWAY",COUNTIFS('Istoric_Nativ'!$B$6:$B$405,E806,'Istoric_Nativ'!$C$6:$C$405,F806,'Istoric_Nativ'!$F$6:$F$405,G806,'Istoric_Nativ'!$D$6:$D$405,"&lt;"&amp;J806,'Istoric_Nativ'!$P$6:$P$405,1),COUNTIFS('Istoric_Nativ'!$B$6:$B$405,E806,'Istoric_Nativ'!$C$6:$C$405,F806,'Istoric_Nativ'!$E$6:$E$405,G806,'Istoric_Nativ'!$D$6:$D$405,"&lt;"&amp;J806,'Istoric_Nativ'!$P$6:$P$405,1)+COUNTIFS('Istoric_Nativ'!$B$6:$B$405,E806,'Istoric_Nativ'!$C$6:$C$405,F806,'Istoric_Nativ'!$F$6:$F$405,G806,'Istoric_Nativ'!$D$6:$D$405,"&lt;"&amp;J806,'Istoric_Nativ'!$P$6:$P$405,1))))</x:f>
        <x:v>0</x:v>
      </x:c>
      <x:c r="L806" s="17" t="n">
        <x:f>IF(AND(B806&lt;&gt;"",I806="RECENT",K806&gt;0),LARGE(_xlfn._xlws.FILTER('Istoric_Nativ'!$D$6:$D$405,('Istoric_Nativ'!$B$6:$B$405=E806)*('Istoric_Nativ'!$C$6:$C$405=F806)*('Istoric_Nativ'!$P$6:$P$405=1)*('Istoric_Nativ'!$D$6:$D$405&lt;J806)*((('Istoric_Nativ'!$E$6:$E$405=G806)+('Istoric_Nativ'!$F$6:$F$405=G806))&gt;0)),MIN('Config_v6'!$B$54,K806)),0)</x:f>
        <x:v>0</x:v>
      </x:c>
      <x:c r="M806" s="2" t="n">
        <x:f>IF(OR(B806="",F806=""),0,IF(H806="HOME",COUNTIFS('Istoric_Nativ'!$B$6:$B$405,E806,'Istoric_Nativ'!$C$6:$C$405,F806,'Istoric_Nativ'!$E$6:$E$405,G806,'Istoric_Nativ'!$D$6:$D$405,"&lt;"&amp;J806,'Istoric_Nativ'!$P$6:$P$405,1,'Istoric_Nativ'!$D$6:$D$405,"&gt;="&amp;L806),IF(H806="AWAY",COUNTIFS('Istoric_Nativ'!$B$6:$B$405,E806,'Istoric_Nativ'!$C$6:$C$405,F806,'Istoric_Nativ'!$F$6:$F$405,G806,'Istoric_Nativ'!$D$6:$D$405,"&lt;"&amp;J806,'Istoric_Nativ'!$P$6:$P$405,1,'Istoric_Nativ'!$D$6:$D$405,"&gt;="&amp;L806),COUNTIFS('Istoric_Nativ'!$B$6:$B$405,E806,'Istoric_Nativ'!$C$6:$C$405,F806,'Istoric_Nativ'!$E$6:$E$405,G806,'Istoric_Nativ'!$D$6:$D$405,"&lt;"&amp;J806,'Istoric_Nativ'!$P$6:$P$405,1,'Istoric_Nativ'!$D$6:$D$405,"&gt;="&amp;L806)+COUNTIFS('Istoric_Nativ'!$B$6:$B$405,E806,'Istoric_Nativ'!$C$6:$C$405,F806,'Istoric_Nativ'!$F$6:$F$405,G806,'Istoric_Nativ'!$D$6:$D$405,"&lt;"&amp;J806,'Istoric_Nativ'!$P$6:$P$405,1,'Istoric_Nativ'!$D$6:$D$405,"&gt;="&amp;L806))))</x:f>
        <x:v>0</x:v>
      </x:c>
      <x:c r="N806" s="11" t="str">
        <x:f>IF(M806=0,"",IF(H806="HOME",SUMIFS('Istoric_Nativ'!$G$6:$G$405,'Istoric_Nativ'!$B$6:$B$405,E806,'Istoric_Nativ'!$C$6:$C$405,F806,'Istoric_Nativ'!$E$6:$E$405,G806,'Istoric_Nativ'!$D$6:$D$405,"&lt;"&amp;J806,'Istoric_Nativ'!$P$6:$P$405,1,'Istoric_Nativ'!$D$6:$D$405,"&gt;="&amp;L806),IF(H806="AWAY",SUMIFS('Istoric_Nativ'!$H$6:$H$405,'Istoric_Nativ'!$B$6:$B$405,E806,'Istoric_Nativ'!$C$6:$C$405,F806,'Istoric_Nativ'!$F$6:$F$405,G806,'Istoric_Nativ'!$D$6:$D$405,"&lt;"&amp;J806,'Istoric_Nativ'!$P$6:$P$405,1,'Istoric_Nativ'!$D$6:$D$405,"&gt;="&amp;L806),SUMIFS('Istoric_Nativ'!$G$6:$G$405,'Istoric_Nativ'!$B$6:$B$405,E806,'Istoric_Nativ'!$C$6:$C$405,F806,'Istoric_Nativ'!$E$6:$E$405,G806,'Istoric_Nativ'!$D$6:$D$405,"&lt;"&amp;J806,'Istoric_Nativ'!$P$6:$P$405,1,'Istoric_Nativ'!$D$6:$D$405,"&gt;="&amp;L806)+SUMIFS('Istoric_Nativ'!$H$6:$H$405,'Istoric_Nativ'!$B$6:$B$405,E806,'Istoric_Nativ'!$C$6:$C$405,F806,'Istoric_Nativ'!$F$6:$F$405,G806,'Istoric_Nativ'!$D$6:$D$405,"&lt;"&amp;J806,'Istoric_Nativ'!$P$6:$P$405,1,'Istoric_Nativ'!$D$6:$D$405,"&gt;="&amp;L806)))/M806)</x:f>
      </x:c>
      <x:c r="O806" s="11" t="str">
        <x:f>IF(M806=0,"",IF(H806="HOME",SUMIFS('Istoric_Nativ'!$H$6:$H$405,'Istoric_Nativ'!$B$6:$B$405,E806,'Istoric_Nativ'!$C$6:$C$405,F806,'Istoric_Nativ'!$E$6:$E$405,G806,'Istoric_Nativ'!$D$6:$D$405,"&lt;"&amp;J806,'Istoric_Nativ'!$P$6:$P$405,1,'Istoric_Nativ'!$D$6:$D$405,"&gt;="&amp;L806),IF(H806="AWAY",SUMIFS('Istoric_Nativ'!$G$6:$G$405,'Istoric_Nativ'!$B$6:$B$405,E806,'Istoric_Nativ'!$C$6:$C$405,F806,'Istoric_Nativ'!$F$6:$F$405,G806,'Istoric_Nativ'!$D$6:$D$405,"&lt;"&amp;J806,'Istoric_Nativ'!$P$6:$P$405,1,'Istoric_Nativ'!$D$6:$D$405,"&gt;="&amp;L806),SUMIFS('Istoric_Nativ'!$H$6:$H$405,'Istoric_Nativ'!$B$6:$B$405,E806,'Istoric_Nativ'!$C$6:$C$405,F806,'Istoric_Nativ'!$E$6:$E$405,G806,'Istoric_Nativ'!$D$6:$D$405,"&lt;"&amp;J806,'Istoric_Nativ'!$P$6:$P$405,1,'Istoric_Nativ'!$D$6:$D$405,"&gt;="&amp;L806)+SUMIFS('Istoric_Nativ'!$G$6:$G$405,'Istoric_Nativ'!$B$6:$B$405,E806,'Istoric_Nativ'!$C$6:$C$405,F806,'Istoric_Nativ'!$F$6:$F$405,G806,'Istoric_Nativ'!$D$6:$D$405,"&lt;"&amp;J806,'Istoric_Nativ'!$P$6:$P$405,1,'Istoric_Nativ'!$D$6:$D$405,"&gt;="&amp;L806)))/M806)</x:f>
      </x:c>
      <x:c r="P806" s="2" t="n">
        <x:f>'Config_v6'!$B$9</x:f>
        <x:v>3</x:v>
      </x:c>
      <x:c r="Q806" s="2" t="n">
        <x:f>IF(OR(B806="",F806=""),0,IFERROR(MATCH(E806&amp;"|"&amp;F806,SourceTable[Source_Key],0),0))</x:f>
        <x:v>0</x:v>
      </x:c>
      <x:c r="R806" s="2" t="str">
        <x:f>IF(B806="","",IF(F806="","UNUSED",IF(Q806=0,"NOT CHECKED",IF(COUNTIF(SourceTable[Source_Key],E806&amp;"|"&amp;F806)&lt;&gt;1,"SOURCE CONFLICT",IF(NOT(OR(INDEX(SourceTable[Status],MAX(1,Q806))="IMPORTED",INDEX(SourceTable[Status],MAX(1,Q806))="PARTIAL",INDEX(SourceTable[Status],MAX(1,Q806))="SOURCE CONFLICT")),"ACCESS BLOCKED",IF(OR(INDEX(SourceTable[Coverage],Q806)&lt;&gt;"FULL SEASON EXPORT",INDEX(SourceTable[URL],Q806)="",INDEX(SourceTable[SHA256],Q806)=""),"EVIDENCE INCOMPLETE",IF(AND('Input_Meci'!H72="LIVE",INDEX(SourceTable[Retrieved_UTC],Q806)&gt;'Input_Meci'!G72),"POST CUTOFF","CLOSED")))))))</x:f>
      </x:c>
      <x:c r="S806" s="2" t="n">
        <x:f>IF(OR(B806="",F806=""),0,COUNTIFS('Istoric_Nativ'!$B$6:$B$405,E806,'Istoric_Nativ'!$C$6:$C$405,F806,'Istoric_Nativ'!$E$6:$E$405,G806,'Istoric_Nativ'!$D$6:$D$405,"&lt;"&amp;J806,'Istoric_Nativ'!$O$6:$O$405,"INVALID")+COUNTIFS('Istoric_Nativ'!$B$6:$B$405,E806,'Istoric_Nativ'!$C$6:$C$405,F806,'Istoric_Nativ'!$E$6:$E$405,G806,'Istoric_Nativ'!$O$6:$O$405,"INVALID",'Istoric_Nativ'!$D$6:$D$405,"*")+COUNTIFS('Istoric_Nativ'!$B$6:$B$405,E806,'Istoric_Nativ'!$C$6:$C$405,F806,'Istoric_Nativ'!$E$6:$E$405,G806,'Istoric_Nativ'!$D$6:$D$405,"&lt;"&amp;J806,'Istoric_Nativ'!$O$6:$O$405,"SOURCE CONFLICT")+COUNTIFS('Istoric_Nativ'!$B$6:$B$405,E806,'Istoric_Nativ'!$C$6:$C$405,F806,'Istoric_Nativ'!$F$6:$F$405,G806,'Istoric_Nativ'!$D$6:$D$405,"&lt;"&amp;J806,'Istoric_Nativ'!$O$6:$O$405,"INVALID")+COUNTIFS('Istoric_Nativ'!$B$6:$B$405,E806,'Istoric_Nativ'!$C$6:$C$405,F806,'Istoric_Nativ'!$F$6:$F$405,G806,'Istoric_Nativ'!$O$6:$O$405,"INVALID",'Istoric_Nativ'!$D$6:$D$405,"*")+COUNTIFS('Istoric_Nativ'!$B$6:$B$405,E806,'Istoric_Nativ'!$C$6:$C$405,F806,'Istoric_Nativ'!$F$6:$F$405,G806,'Istoric_Nativ'!$D$6:$D$405,"&lt;"&amp;J806,'Istoric_Nativ'!$O$6:$O$405,"SOURCE CONFLICT"))</x:f>
        <x:v>0</x:v>
      </x:c>
      <x:c r="T806" s="2" t="str">
        <x:f>IF(B806="","",IF(R806&lt;&gt;"CLOSED",R806,IF(S806&gt;0,"NATIVE INPUT ISSUE",IF(M806=0,"NO HISTORY",IF(M806&lt;P806,"SMALL SAMPLE","DERIVED")))))</x:f>
      </x:c>
      <x:c r="U806" s="2" t="str">
        <x:f>IF(B806="","","NativeTable; "&amp;E806&amp;"; "&amp;F806&amp;"; "&amp;G806&amp;"; "&amp;H806&amp;"; before "&amp;TEXT(J806,"yyyy-mm-dd")&amp;IF(I806="RECENT","; from "&amp;TEXT(L806,"yyyy-mm-dd"),""))</x:f>
      </x:c>
    </x:row>
    <x:row r="807" ht="21" customHeight="1">
      <x:c r="A807" s="2" t="n">
        <x:v>67</x:v>
      </x:c>
      <x:c r="B807" s="2" t="str">
        <x:f>IF('Input_Meci'!A72="","",'Input_Meci'!A72)</x:f>
      </x:c>
      <x:c r="C807" s="2" t="str">
        <x:v>A</x:v>
      </x:c>
      <x:c r="D807" s="2" t="str">
        <x:v>PRIOR</x:v>
      </x:c>
      <x:c r="E807" s="2" t="str">
        <x:f>IF(B807="","",'Input_Meci'!B72)</x:f>
      </x:c>
      <x:c r="F807" s="2" t="str">
        <x:f>IF(B807="","",IF('Input_Meci'!K72="","",'Input_Meci'!K72))</x:f>
      </x:c>
      <x:c r="G807" s="2" t="str">
        <x:f>IF(B807="","",'Input_Meci'!E72)</x:f>
      </x:c>
      <x:c r="H807" s="2" t="str">
        <x:v>ANY</x:v>
      </x:c>
      <x:c r="I807" s="2" t="str">
        <x:v>SEASON</x:v>
      </x:c>
      <x:c r="J807" s="9" t="n">
        <x:f>IF(AND(B807&lt;&gt;"",ISNUMBER('Input_Meci'!G72)),INT('Input_Meci'!G72),0)</x:f>
        <x:v>0</x:v>
      </x:c>
      <x:c r="K807" s="2" t="n">
        <x:f>IF(OR(B807="",F807=""),0,IF(H807="HOME",COUNTIFS('Istoric_Nativ'!$B$6:$B$405,E807,'Istoric_Nativ'!$C$6:$C$405,F807,'Istoric_Nativ'!$E$6:$E$405,G807,'Istoric_Nativ'!$D$6:$D$405,"&lt;"&amp;J807,'Istoric_Nativ'!$P$6:$P$405,1),IF(H807="AWAY",COUNTIFS('Istoric_Nativ'!$B$6:$B$405,E807,'Istoric_Nativ'!$C$6:$C$405,F807,'Istoric_Nativ'!$F$6:$F$405,G807,'Istoric_Nativ'!$D$6:$D$405,"&lt;"&amp;J807,'Istoric_Nativ'!$P$6:$P$405,1),COUNTIFS('Istoric_Nativ'!$B$6:$B$405,E807,'Istoric_Nativ'!$C$6:$C$405,F807,'Istoric_Nativ'!$E$6:$E$405,G807,'Istoric_Nativ'!$D$6:$D$405,"&lt;"&amp;J807,'Istoric_Nativ'!$P$6:$P$405,1)+COUNTIFS('Istoric_Nativ'!$B$6:$B$405,E807,'Istoric_Nativ'!$C$6:$C$405,F807,'Istoric_Nativ'!$F$6:$F$405,G807,'Istoric_Nativ'!$D$6:$D$405,"&lt;"&amp;J807,'Istoric_Nativ'!$P$6:$P$405,1))))</x:f>
        <x:v>0</x:v>
      </x:c>
      <x:c r="L807" s="17" t="n">
        <x:f>IF(AND(B807&lt;&gt;"",I807="RECENT",K807&gt;0),LARGE(_xlfn._xlws.FILTER('Istoric_Nativ'!$D$6:$D$405,('Istoric_Nativ'!$B$6:$B$405=E807)*('Istoric_Nativ'!$C$6:$C$405=F807)*('Istoric_Nativ'!$P$6:$P$405=1)*('Istoric_Nativ'!$D$6:$D$405&lt;J807)*((('Istoric_Nativ'!$E$6:$E$405=G807)+('Istoric_Nativ'!$F$6:$F$405=G807))&gt;0)),MIN('Config_v6'!$B$54,K807)),0)</x:f>
        <x:v>0</x:v>
      </x:c>
      <x:c r="M807" s="2" t="n">
        <x:f>IF(OR(B807="",F807=""),0,IF(H807="HOME",COUNTIFS('Istoric_Nativ'!$B$6:$B$405,E807,'Istoric_Nativ'!$C$6:$C$405,F807,'Istoric_Nativ'!$E$6:$E$405,G807,'Istoric_Nativ'!$D$6:$D$405,"&lt;"&amp;J807,'Istoric_Nativ'!$P$6:$P$405,1,'Istoric_Nativ'!$D$6:$D$405,"&gt;="&amp;L807),IF(H807="AWAY",COUNTIFS('Istoric_Nativ'!$B$6:$B$405,E807,'Istoric_Nativ'!$C$6:$C$405,F807,'Istoric_Nativ'!$F$6:$F$405,G807,'Istoric_Nativ'!$D$6:$D$405,"&lt;"&amp;J807,'Istoric_Nativ'!$P$6:$P$405,1,'Istoric_Nativ'!$D$6:$D$405,"&gt;="&amp;L807),COUNTIFS('Istoric_Nativ'!$B$6:$B$405,E807,'Istoric_Nativ'!$C$6:$C$405,F807,'Istoric_Nativ'!$E$6:$E$405,G807,'Istoric_Nativ'!$D$6:$D$405,"&lt;"&amp;J807,'Istoric_Nativ'!$P$6:$P$405,1,'Istoric_Nativ'!$D$6:$D$405,"&gt;="&amp;L807)+COUNTIFS('Istoric_Nativ'!$B$6:$B$405,E807,'Istoric_Nativ'!$C$6:$C$405,F807,'Istoric_Nativ'!$F$6:$F$405,G807,'Istoric_Nativ'!$D$6:$D$405,"&lt;"&amp;J807,'Istoric_Nativ'!$P$6:$P$405,1,'Istoric_Nativ'!$D$6:$D$405,"&gt;="&amp;L807))))</x:f>
        <x:v>0</x:v>
      </x:c>
      <x:c r="N807" s="11" t="str">
        <x:f>IF(M807=0,"",IF(H807="HOME",SUMIFS('Istoric_Nativ'!$G$6:$G$405,'Istoric_Nativ'!$B$6:$B$405,E807,'Istoric_Nativ'!$C$6:$C$405,F807,'Istoric_Nativ'!$E$6:$E$405,G807,'Istoric_Nativ'!$D$6:$D$405,"&lt;"&amp;J807,'Istoric_Nativ'!$P$6:$P$405,1,'Istoric_Nativ'!$D$6:$D$405,"&gt;="&amp;L807),IF(H807="AWAY",SUMIFS('Istoric_Nativ'!$H$6:$H$405,'Istoric_Nativ'!$B$6:$B$405,E807,'Istoric_Nativ'!$C$6:$C$405,F807,'Istoric_Nativ'!$F$6:$F$405,G807,'Istoric_Nativ'!$D$6:$D$405,"&lt;"&amp;J807,'Istoric_Nativ'!$P$6:$P$405,1,'Istoric_Nativ'!$D$6:$D$405,"&gt;="&amp;L807),SUMIFS('Istoric_Nativ'!$G$6:$G$405,'Istoric_Nativ'!$B$6:$B$405,E807,'Istoric_Nativ'!$C$6:$C$405,F807,'Istoric_Nativ'!$E$6:$E$405,G807,'Istoric_Nativ'!$D$6:$D$405,"&lt;"&amp;J807,'Istoric_Nativ'!$P$6:$P$405,1,'Istoric_Nativ'!$D$6:$D$405,"&gt;="&amp;L807)+SUMIFS('Istoric_Nativ'!$H$6:$H$405,'Istoric_Nativ'!$B$6:$B$405,E807,'Istoric_Nativ'!$C$6:$C$405,F807,'Istoric_Nativ'!$F$6:$F$405,G807,'Istoric_Nativ'!$D$6:$D$405,"&lt;"&amp;J807,'Istoric_Nativ'!$P$6:$P$405,1,'Istoric_Nativ'!$D$6:$D$405,"&gt;="&amp;L807)))/M807)</x:f>
      </x:c>
      <x:c r="O807" s="11" t="str">
        <x:f>IF(M807=0,"",IF(H807="HOME",SUMIFS('Istoric_Nativ'!$H$6:$H$405,'Istoric_Nativ'!$B$6:$B$405,E807,'Istoric_Nativ'!$C$6:$C$405,F807,'Istoric_Nativ'!$E$6:$E$405,G807,'Istoric_Nativ'!$D$6:$D$405,"&lt;"&amp;J807,'Istoric_Nativ'!$P$6:$P$405,1,'Istoric_Nativ'!$D$6:$D$405,"&gt;="&amp;L807),IF(H807="AWAY",SUMIFS('Istoric_Nativ'!$G$6:$G$405,'Istoric_Nativ'!$B$6:$B$405,E807,'Istoric_Nativ'!$C$6:$C$405,F807,'Istoric_Nativ'!$F$6:$F$405,G807,'Istoric_Nativ'!$D$6:$D$405,"&lt;"&amp;J807,'Istoric_Nativ'!$P$6:$P$405,1,'Istoric_Nativ'!$D$6:$D$405,"&gt;="&amp;L807),SUMIFS('Istoric_Nativ'!$H$6:$H$405,'Istoric_Nativ'!$B$6:$B$405,E807,'Istoric_Nativ'!$C$6:$C$405,F807,'Istoric_Nativ'!$E$6:$E$405,G807,'Istoric_Nativ'!$D$6:$D$405,"&lt;"&amp;J807,'Istoric_Nativ'!$P$6:$P$405,1,'Istoric_Nativ'!$D$6:$D$405,"&gt;="&amp;L807)+SUMIFS('Istoric_Nativ'!$G$6:$G$405,'Istoric_Nativ'!$B$6:$B$405,E807,'Istoric_Nativ'!$C$6:$C$405,F807,'Istoric_Nativ'!$F$6:$F$405,G807,'Istoric_Nativ'!$D$6:$D$405,"&lt;"&amp;J807,'Istoric_Nativ'!$P$6:$P$405,1,'Istoric_Nativ'!$D$6:$D$405,"&gt;="&amp;L807)))/M807)</x:f>
      </x:c>
      <x:c r="P807" s="2" t="n">
        <x:f>'Config_v6'!$B$7</x:f>
        <x:v>10</x:v>
      </x:c>
      <x:c r="Q807" s="2" t="n">
        <x:f>IF(OR(B807="",F807=""),0,IFERROR(MATCH(E807&amp;"|"&amp;F807,SourceTable[Source_Key],0),0))</x:f>
        <x:v>0</x:v>
      </x:c>
      <x:c r="R807" s="2" t="str">
        <x:f>IF(B807="","",IF(F807="","UNUSED",IF(Q807=0,"NOT CHECKED",IF(COUNTIF(SourceTable[Source_Key],E807&amp;"|"&amp;F807)&lt;&gt;1,"SOURCE CONFLICT",IF(NOT(OR(INDEX(SourceTable[Status],MAX(1,Q807))="IMPORTED",INDEX(SourceTable[Status],MAX(1,Q807))="PARTIAL",INDEX(SourceTable[Status],MAX(1,Q807))="SOURCE CONFLICT")),"ACCESS BLOCKED",IF(OR(INDEX(SourceTable[Coverage],Q807)&lt;&gt;"FULL SEASON EXPORT",INDEX(SourceTable[URL],Q807)="",INDEX(SourceTable[SHA256],Q807)=""),"EVIDENCE INCOMPLETE",IF(AND('Input_Meci'!H72="LIVE",INDEX(SourceTable[Retrieved_UTC],Q807)&gt;'Input_Meci'!G72),"POST CUTOFF","CLOSED")))))))</x:f>
      </x:c>
      <x:c r="S807" s="2" t="n">
        <x:f>IF(OR(B807="",F807=""),0,COUNTIFS('Istoric_Nativ'!$B$6:$B$405,E807,'Istoric_Nativ'!$C$6:$C$405,F807,'Istoric_Nativ'!$E$6:$E$405,G807,'Istoric_Nativ'!$D$6:$D$405,"&lt;"&amp;J807,'Istoric_Nativ'!$O$6:$O$405,"INVALID")+COUNTIFS('Istoric_Nativ'!$B$6:$B$405,E807,'Istoric_Nativ'!$C$6:$C$405,F807,'Istoric_Nativ'!$E$6:$E$405,G807,'Istoric_Nativ'!$O$6:$O$405,"INVALID",'Istoric_Nativ'!$D$6:$D$405,"*")+COUNTIFS('Istoric_Nativ'!$B$6:$B$405,E807,'Istoric_Nativ'!$C$6:$C$405,F807,'Istoric_Nativ'!$E$6:$E$405,G807,'Istoric_Nativ'!$D$6:$D$405,"&lt;"&amp;J807,'Istoric_Nativ'!$O$6:$O$405,"SOURCE CONFLICT")+COUNTIFS('Istoric_Nativ'!$B$6:$B$405,E807,'Istoric_Nativ'!$C$6:$C$405,F807,'Istoric_Nativ'!$F$6:$F$405,G807,'Istoric_Nativ'!$D$6:$D$405,"&lt;"&amp;J807,'Istoric_Nativ'!$O$6:$O$405,"INVALID")+COUNTIFS('Istoric_Nativ'!$B$6:$B$405,E807,'Istoric_Nativ'!$C$6:$C$405,F807,'Istoric_Nativ'!$F$6:$F$405,G807,'Istoric_Nativ'!$O$6:$O$405,"INVALID",'Istoric_Nativ'!$D$6:$D$405,"*")+COUNTIFS('Istoric_Nativ'!$B$6:$B$405,E807,'Istoric_Nativ'!$C$6:$C$405,F807,'Istoric_Nativ'!$F$6:$F$405,G807,'Istoric_Nativ'!$D$6:$D$405,"&lt;"&amp;J807,'Istoric_Nativ'!$O$6:$O$405,"SOURCE CONFLICT"))</x:f>
        <x:v>0</x:v>
      </x:c>
      <x:c r="T807" s="2" t="str">
        <x:f>IF(B807="","",IF(R807&lt;&gt;"CLOSED",R807,IF(S807&gt;0,"NATIVE INPUT ISSUE",IF(M807=0,"NO HISTORY",IF(M807&lt;P807,"SMALL SAMPLE","DERIVED")))))</x:f>
      </x:c>
      <x:c r="U807" s="2" t="str">
        <x:f>IF(B807="","","NativeTable; "&amp;E807&amp;"; "&amp;F807&amp;"; "&amp;G807&amp;"; "&amp;H807&amp;"; before "&amp;TEXT(J807,"yyyy-mm-dd")&amp;IF(I807="RECENT","; from "&amp;TEXT(L807,"yyyy-mm-dd"),""))</x:f>
      </x:c>
    </x:row>
    <x:row r="808" ht="21" customHeight="1">
      <x:c r="A808" s="2" t="n">
        <x:v>67</x:v>
      </x:c>
      <x:c r="B808" s="2" t="str">
        <x:f>IF('Input_Meci'!A72="","",'Input_Meci'!A72)</x:f>
      </x:c>
      <x:c r="C808" s="2" t="str">
        <x:v>A</x:v>
      </x:c>
      <x:c r="D808" s="2" t="str">
        <x:v>PRIOR</x:v>
      </x:c>
      <x:c r="E808" s="2" t="str">
        <x:f>IF(B808="","",'Input_Meci'!B72)</x:f>
      </x:c>
      <x:c r="F808" s="2" t="str">
        <x:f>IF(B808="","",IF('Input_Meci'!K72="","",'Input_Meci'!K72))</x:f>
      </x:c>
      <x:c r="G808" s="2" t="str">
        <x:f>IF(B808="","",'Input_Meci'!E72)</x:f>
      </x:c>
      <x:c r="H808" s="2" t="str">
        <x:v>AWAY</x:v>
      </x:c>
      <x:c r="I808" s="2" t="str">
        <x:v>HA</x:v>
      </x:c>
      <x:c r="J808" s="9" t="n">
        <x:f>IF(AND(B808&lt;&gt;"",ISNUMBER('Input_Meci'!G72)),INT('Input_Meci'!G72),0)</x:f>
        <x:v>0</x:v>
      </x:c>
      <x:c r="K808" s="2" t="n">
        <x:f>IF(OR(B808="",F808=""),0,IF(H808="HOME",COUNTIFS('Istoric_Nativ'!$B$6:$B$405,E808,'Istoric_Nativ'!$C$6:$C$405,F808,'Istoric_Nativ'!$E$6:$E$405,G808,'Istoric_Nativ'!$D$6:$D$405,"&lt;"&amp;J808,'Istoric_Nativ'!$P$6:$P$405,1),IF(H808="AWAY",COUNTIFS('Istoric_Nativ'!$B$6:$B$405,E808,'Istoric_Nativ'!$C$6:$C$405,F808,'Istoric_Nativ'!$F$6:$F$405,G808,'Istoric_Nativ'!$D$6:$D$405,"&lt;"&amp;J808,'Istoric_Nativ'!$P$6:$P$405,1),COUNTIFS('Istoric_Nativ'!$B$6:$B$405,E808,'Istoric_Nativ'!$C$6:$C$405,F808,'Istoric_Nativ'!$E$6:$E$405,G808,'Istoric_Nativ'!$D$6:$D$405,"&lt;"&amp;J808,'Istoric_Nativ'!$P$6:$P$405,1)+COUNTIFS('Istoric_Nativ'!$B$6:$B$405,E808,'Istoric_Nativ'!$C$6:$C$405,F808,'Istoric_Nativ'!$F$6:$F$405,G808,'Istoric_Nativ'!$D$6:$D$405,"&lt;"&amp;J808,'Istoric_Nativ'!$P$6:$P$405,1))))</x:f>
        <x:v>0</x:v>
      </x:c>
      <x:c r="L808" s="17" t="n">
        <x:f>IF(AND(B808&lt;&gt;"",I808="RECENT",K808&gt;0),LARGE(_xlfn._xlws.FILTER('Istoric_Nativ'!$D$6:$D$405,('Istoric_Nativ'!$B$6:$B$405=E808)*('Istoric_Nativ'!$C$6:$C$405=F808)*('Istoric_Nativ'!$P$6:$P$405=1)*('Istoric_Nativ'!$D$6:$D$405&lt;J808)*((('Istoric_Nativ'!$E$6:$E$405=G808)+('Istoric_Nativ'!$F$6:$F$405=G808))&gt;0)),MIN('Config_v6'!$B$54,K808)),0)</x:f>
        <x:v>0</x:v>
      </x:c>
      <x:c r="M808" s="2" t="n">
        <x:f>IF(OR(B808="",F808=""),0,IF(H808="HOME",COUNTIFS('Istoric_Nativ'!$B$6:$B$405,E808,'Istoric_Nativ'!$C$6:$C$405,F808,'Istoric_Nativ'!$E$6:$E$405,G808,'Istoric_Nativ'!$D$6:$D$405,"&lt;"&amp;J808,'Istoric_Nativ'!$P$6:$P$405,1,'Istoric_Nativ'!$D$6:$D$405,"&gt;="&amp;L808),IF(H808="AWAY",COUNTIFS('Istoric_Nativ'!$B$6:$B$405,E808,'Istoric_Nativ'!$C$6:$C$405,F808,'Istoric_Nativ'!$F$6:$F$405,G808,'Istoric_Nativ'!$D$6:$D$405,"&lt;"&amp;J808,'Istoric_Nativ'!$P$6:$P$405,1,'Istoric_Nativ'!$D$6:$D$405,"&gt;="&amp;L808),COUNTIFS('Istoric_Nativ'!$B$6:$B$405,E808,'Istoric_Nativ'!$C$6:$C$405,F808,'Istoric_Nativ'!$E$6:$E$405,G808,'Istoric_Nativ'!$D$6:$D$405,"&lt;"&amp;J808,'Istoric_Nativ'!$P$6:$P$405,1,'Istoric_Nativ'!$D$6:$D$405,"&gt;="&amp;L808)+COUNTIFS('Istoric_Nativ'!$B$6:$B$405,E808,'Istoric_Nativ'!$C$6:$C$405,F808,'Istoric_Nativ'!$F$6:$F$405,G808,'Istoric_Nativ'!$D$6:$D$405,"&lt;"&amp;J808,'Istoric_Nativ'!$P$6:$P$405,1,'Istoric_Nativ'!$D$6:$D$405,"&gt;="&amp;L808))))</x:f>
        <x:v>0</x:v>
      </x:c>
      <x:c r="N808" s="11" t="str">
        <x:f>IF(M808=0,"",IF(H808="HOME",SUMIFS('Istoric_Nativ'!$G$6:$G$405,'Istoric_Nativ'!$B$6:$B$405,E808,'Istoric_Nativ'!$C$6:$C$405,F808,'Istoric_Nativ'!$E$6:$E$405,G808,'Istoric_Nativ'!$D$6:$D$405,"&lt;"&amp;J808,'Istoric_Nativ'!$P$6:$P$405,1,'Istoric_Nativ'!$D$6:$D$405,"&gt;="&amp;L808),IF(H808="AWAY",SUMIFS('Istoric_Nativ'!$H$6:$H$405,'Istoric_Nativ'!$B$6:$B$405,E808,'Istoric_Nativ'!$C$6:$C$405,F808,'Istoric_Nativ'!$F$6:$F$405,G808,'Istoric_Nativ'!$D$6:$D$405,"&lt;"&amp;J808,'Istoric_Nativ'!$P$6:$P$405,1,'Istoric_Nativ'!$D$6:$D$405,"&gt;="&amp;L808),SUMIFS('Istoric_Nativ'!$G$6:$G$405,'Istoric_Nativ'!$B$6:$B$405,E808,'Istoric_Nativ'!$C$6:$C$405,F808,'Istoric_Nativ'!$E$6:$E$405,G808,'Istoric_Nativ'!$D$6:$D$405,"&lt;"&amp;J808,'Istoric_Nativ'!$P$6:$P$405,1,'Istoric_Nativ'!$D$6:$D$405,"&gt;="&amp;L808)+SUMIFS('Istoric_Nativ'!$H$6:$H$405,'Istoric_Nativ'!$B$6:$B$405,E808,'Istoric_Nativ'!$C$6:$C$405,F808,'Istoric_Nativ'!$F$6:$F$405,G808,'Istoric_Nativ'!$D$6:$D$405,"&lt;"&amp;J808,'Istoric_Nativ'!$P$6:$P$405,1,'Istoric_Nativ'!$D$6:$D$405,"&gt;="&amp;L808)))/M808)</x:f>
      </x:c>
      <x:c r="O808" s="11" t="str">
        <x:f>IF(M808=0,"",IF(H808="HOME",SUMIFS('Istoric_Nativ'!$H$6:$H$405,'Istoric_Nativ'!$B$6:$B$405,E808,'Istoric_Nativ'!$C$6:$C$405,F808,'Istoric_Nativ'!$E$6:$E$405,G808,'Istoric_Nativ'!$D$6:$D$405,"&lt;"&amp;J808,'Istoric_Nativ'!$P$6:$P$405,1,'Istoric_Nativ'!$D$6:$D$405,"&gt;="&amp;L808),IF(H808="AWAY",SUMIFS('Istoric_Nativ'!$G$6:$G$405,'Istoric_Nativ'!$B$6:$B$405,E808,'Istoric_Nativ'!$C$6:$C$405,F808,'Istoric_Nativ'!$F$6:$F$405,G808,'Istoric_Nativ'!$D$6:$D$405,"&lt;"&amp;J808,'Istoric_Nativ'!$P$6:$P$405,1,'Istoric_Nativ'!$D$6:$D$405,"&gt;="&amp;L808),SUMIFS('Istoric_Nativ'!$H$6:$H$405,'Istoric_Nativ'!$B$6:$B$405,E808,'Istoric_Nativ'!$C$6:$C$405,F808,'Istoric_Nativ'!$E$6:$E$405,G808,'Istoric_Nativ'!$D$6:$D$405,"&lt;"&amp;J808,'Istoric_Nativ'!$P$6:$P$405,1,'Istoric_Nativ'!$D$6:$D$405,"&gt;="&amp;L808)+SUMIFS('Istoric_Nativ'!$G$6:$G$405,'Istoric_Nativ'!$B$6:$B$405,E808,'Istoric_Nativ'!$C$6:$C$405,F808,'Istoric_Nativ'!$F$6:$F$405,G808,'Istoric_Nativ'!$D$6:$D$405,"&lt;"&amp;J808,'Istoric_Nativ'!$P$6:$P$405,1,'Istoric_Nativ'!$D$6:$D$405,"&gt;="&amp;L808)))/M808)</x:f>
      </x:c>
      <x:c r="P808" s="2" t="n">
        <x:f>'Config_v6'!$B$8</x:f>
        <x:v>5</x:v>
      </x:c>
      <x:c r="Q808" s="2" t="n">
        <x:f>IF(OR(B808="",F808=""),0,IFERROR(MATCH(E808&amp;"|"&amp;F808,SourceTable[Source_Key],0),0))</x:f>
        <x:v>0</x:v>
      </x:c>
      <x:c r="R808" s="2" t="str">
        <x:f>IF(B808="","",IF(F808="","UNUSED",IF(Q808=0,"NOT CHECKED",IF(COUNTIF(SourceTable[Source_Key],E808&amp;"|"&amp;F808)&lt;&gt;1,"SOURCE CONFLICT",IF(NOT(OR(INDEX(SourceTable[Status],MAX(1,Q808))="IMPORTED",INDEX(SourceTable[Status],MAX(1,Q808))="PARTIAL",INDEX(SourceTable[Status],MAX(1,Q808))="SOURCE CONFLICT")),"ACCESS BLOCKED",IF(OR(INDEX(SourceTable[Coverage],Q808)&lt;&gt;"FULL SEASON EXPORT",INDEX(SourceTable[URL],Q808)="",INDEX(SourceTable[SHA256],Q808)=""),"EVIDENCE INCOMPLETE",IF(AND('Input_Meci'!H72="LIVE",INDEX(SourceTable[Retrieved_UTC],Q808)&gt;'Input_Meci'!G72),"POST CUTOFF","CLOSED")))))))</x:f>
      </x:c>
      <x:c r="S808" s="2" t="n">
        <x:f>IF(OR(B808="",F808=""),0,COUNTIFS('Istoric_Nativ'!$B$6:$B$405,E808,'Istoric_Nativ'!$C$6:$C$405,F808,'Istoric_Nativ'!$E$6:$E$405,G808,'Istoric_Nativ'!$D$6:$D$405,"&lt;"&amp;J808,'Istoric_Nativ'!$O$6:$O$405,"INVALID")+COUNTIFS('Istoric_Nativ'!$B$6:$B$405,E808,'Istoric_Nativ'!$C$6:$C$405,F808,'Istoric_Nativ'!$E$6:$E$405,G808,'Istoric_Nativ'!$O$6:$O$405,"INVALID",'Istoric_Nativ'!$D$6:$D$405,"*")+COUNTIFS('Istoric_Nativ'!$B$6:$B$405,E808,'Istoric_Nativ'!$C$6:$C$405,F808,'Istoric_Nativ'!$E$6:$E$405,G808,'Istoric_Nativ'!$D$6:$D$405,"&lt;"&amp;J808,'Istoric_Nativ'!$O$6:$O$405,"SOURCE CONFLICT")+COUNTIFS('Istoric_Nativ'!$B$6:$B$405,E808,'Istoric_Nativ'!$C$6:$C$405,F808,'Istoric_Nativ'!$F$6:$F$405,G808,'Istoric_Nativ'!$D$6:$D$405,"&lt;"&amp;J808,'Istoric_Nativ'!$O$6:$O$405,"INVALID")+COUNTIFS('Istoric_Nativ'!$B$6:$B$405,E808,'Istoric_Nativ'!$C$6:$C$405,F808,'Istoric_Nativ'!$F$6:$F$405,G808,'Istoric_Nativ'!$O$6:$O$405,"INVALID",'Istoric_Nativ'!$D$6:$D$405,"*")+COUNTIFS('Istoric_Nativ'!$B$6:$B$405,E808,'Istoric_Nativ'!$C$6:$C$405,F808,'Istoric_Nativ'!$F$6:$F$405,G808,'Istoric_Nativ'!$D$6:$D$405,"&lt;"&amp;J808,'Istoric_Nativ'!$O$6:$O$405,"SOURCE CONFLICT"))</x:f>
        <x:v>0</x:v>
      </x:c>
      <x:c r="T808" s="2" t="str">
        <x:f>IF(B808="","",IF(R808&lt;&gt;"CLOSED",R808,IF(S808&gt;0,"NATIVE INPUT ISSUE",IF(M808=0,"NO HISTORY",IF(M808&lt;P808,"SMALL SAMPLE","DERIVED")))))</x:f>
      </x:c>
      <x:c r="U808" s="2" t="str">
        <x:f>IF(B808="","","NativeTable; "&amp;E808&amp;"; "&amp;F808&amp;"; "&amp;G808&amp;"; "&amp;H808&amp;"; before "&amp;TEXT(J808,"yyyy-mm-dd")&amp;IF(I808="RECENT","; from "&amp;TEXT(L808,"yyyy-mm-dd"),""))</x:f>
      </x:c>
    </x:row>
    <x:row r="809" ht="21" customHeight="1">
      <x:c r="A809" s="2" t="n">
        <x:v>67</x:v>
      </x:c>
      <x:c r="B809" s="2" t="str">
        <x:f>IF('Input_Meci'!A72="","",'Input_Meci'!A72)</x:f>
      </x:c>
      <x:c r="C809" s="2" t="str">
        <x:v>A</x:v>
      </x:c>
      <x:c r="D809" s="2" t="str">
        <x:v>PRIOR</x:v>
      </x:c>
      <x:c r="E809" s="2" t="str">
        <x:f>IF(B809="","",'Input_Meci'!B72)</x:f>
      </x:c>
      <x:c r="F809" s="2" t="str">
        <x:f>IF(B809="","",IF('Input_Meci'!K72="","",'Input_Meci'!K72))</x:f>
      </x:c>
      <x:c r="G809" s="2" t="str">
        <x:f>IF(B809="","",'Input_Meci'!E72)</x:f>
      </x:c>
      <x:c r="H809" s="2" t="str">
        <x:v>ANY</x:v>
      </x:c>
      <x:c r="I809" s="2" t="str">
        <x:v>RECENT</x:v>
      </x:c>
      <x:c r="J809" s="9" t="n">
        <x:f>IF(AND(B809&lt;&gt;"",ISNUMBER('Input_Meci'!G72)),INT('Input_Meci'!G72),0)</x:f>
        <x:v>0</x:v>
      </x:c>
      <x:c r="K809" s="2" t="n">
        <x:f>IF(OR(B809="",F809=""),0,IF(H809="HOME",COUNTIFS('Istoric_Nativ'!$B$6:$B$405,E809,'Istoric_Nativ'!$C$6:$C$405,F809,'Istoric_Nativ'!$E$6:$E$405,G809,'Istoric_Nativ'!$D$6:$D$405,"&lt;"&amp;J809,'Istoric_Nativ'!$P$6:$P$405,1),IF(H809="AWAY",COUNTIFS('Istoric_Nativ'!$B$6:$B$405,E809,'Istoric_Nativ'!$C$6:$C$405,F809,'Istoric_Nativ'!$F$6:$F$405,G809,'Istoric_Nativ'!$D$6:$D$405,"&lt;"&amp;J809,'Istoric_Nativ'!$P$6:$P$405,1),COUNTIFS('Istoric_Nativ'!$B$6:$B$405,E809,'Istoric_Nativ'!$C$6:$C$405,F809,'Istoric_Nativ'!$E$6:$E$405,G809,'Istoric_Nativ'!$D$6:$D$405,"&lt;"&amp;J809,'Istoric_Nativ'!$P$6:$P$405,1)+COUNTIFS('Istoric_Nativ'!$B$6:$B$405,E809,'Istoric_Nativ'!$C$6:$C$405,F809,'Istoric_Nativ'!$F$6:$F$405,G809,'Istoric_Nativ'!$D$6:$D$405,"&lt;"&amp;J809,'Istoric_Nativ'!$P$6:$P$405,1))))</x:f>
        <x:v>0</x:v>
      </x:c>
      <x:c r="L809" s="17" t="n">
        <x:f>IF(AND(B809&lt;&gt;"",I809="RECENT",K809&gt;0),LARGE(_xlfn._xlws.FILTER('Istoric_Nativ'!$D$6:$D$405,('Istoric_Nativ'!$B$6:$B$405=E809)*('Istoric_Nativ'!$C$6:$C$405=F809)*('Istoric_Nativ'!$P$6:$P$405=1)*('Istoric_Nativ'!$D$6:$D$405&lt;J809)*((('Istoric_Nativ'!$E$6:$E$405=G809)+('Istoric_Nativ'!$F$6:$F$405=G809))&gt;0)),MIN('Config_v6'!$B$54,K809)),0)</x:f>
        <x:v>0</x:v>
      </x:c>
      <x:c r="M809" s="2" t="n">
        <x:f>IF(OR(B809="",F809=""),0,IF(H809="HOME",COUNTIFS('Istoric_Nativ'!$B$6:$B$405,E809,'Istoric_Nativ'!$C$6:$C$405,F809,'Istoric_Nativ'!$E$6:$E$405,G809,'Istoric_Nativ'!$D$6:$D$405,"&lt;"&amp;J809,'Istoric_Nativ'!$P$6:$P$405,1,'Istoric_Nativ'!$D$6:$D$405,"&gt;="&amp;L809),IF(H809="AWAY",COUNTIFS('Istoric_Nativ'!$B$6:$B$405,E809,'Istoric_Nativ'!$C$6:$C$405,F809,'Istoric_Nativ'!$F$6:$F$405,G809,'Istoric_Nativ'!$D$6:$D$405,"&lt;"&amp;J809,'Istoric_Nativ'!$P$6:$P$405,1,'Istoric_Nativ'!$D$6:$D$405,"&gt;="&amp;L809),COUNTIFS('Istoric_Nativ'!$B$6:$B$405,E809,'Istoric_Nativ'!$C$6:$C$405,F809,'Istoric_Nativ'!$E$6:$E$405,G809,'Istoric_Nativ'!$D$6:$D$405,"&lt;"&amp;J809,'Istoric_Nativ'!$P$6:$P$405,1,'Istoric_Nativ'!$D$6:$D$405,"&gt;="&amp;L809)+COUNTIFS('Istoric_Nativ'!$B$6:$B$405,E809,'Istoric_Nativ'!$C$6:$C$405,F809,'Istoric_Nativ'!$F$6:$F$405,G809,'Istoric_Nativ'!$D$6:$D$405,"&lt;"&amp;J809,'Istoric_Nativ'!$P$6:$P$405,1,'Istoric_Nativ'!$D$6:$D$405,"&gt;="&amp;L809))))</x:f>
        <x:v>0</x:v>
      </x:c>
      <x:c r="N809" s="11" t="str">
        <x:f>IF(M809=0,"",IF(H809="HOME",SUMIFS('Istoric_Nativ'!$G$6:$G$405,'Istoric_Nativ'!$B$6:$B$405,E809,'Istoric_Nativ'!$C$6:$C$405,F809,'Istoric_Nativ'!$E$6:$E$405,G809,'Istoric_Nativ'!$D$6:$D$405,"&lt;"&amp;J809,'Istoric_Nativ'!$P$6:$P$405,1,'Istoric_Nativ'!$D$6:$D$405,"&gt;="&amp;L809),IF(H809="AWAY",SUMIFS('Istoric_Nativ'!$H$6:$H$405,'Istoric_Nativ'!$B$6:$B$405,E809,'Istoric_Nativ'!$C$6:$C$405,F809,'Istoric_Nativ'!$F$6:$F$405,G809,'Istoric_Nativ'!$D$6:$D$405,"&lt;"&amp;J809,'Istoric_Nativ'!$P$6:$P$405,1,'Istoric_Nativ'!$D$6:$D$405,"&gt;="&amp;L809),SUMIFS('Istoric_Nativ'!$G$6:$G$405,'Istoric_Nativ'!$B$6:$B$405,E809,'Istoric_Nativ'!$C$6:$C$405,F809,'Istoric_Nativ'!$E$6:$E$405,G809,'Istoric_Nativ'!$D$6:$D$405,"&lt;"&amp;J809,'Istoric_Nativ'!$P$6:$P$405,1,'Istoric_Nativ'!$D$6:$D$405,"&gt;="&amp;L809)+SUMIFS('Istoric_Nativ'!$H$6:$H$405,'Istoric_Nativ'!$B$6:$B$405,E809,'Istoric_Nativ'!$C$6:$C$405,F809,'Istoric_Nativ'!$F$6:$F$405,G809,'Istoric_Nativ'!$D$6:$D$405,"&lt;"&amp;J809,'Istoric_Nativ'!$P$6:$P$405,1,'Istoric_Nativ'!$D$6:$D$405,"&gt;="&amp;L809)))/M809)</x:f>
      </x:c>
      <x:c r="O809" s="11" t="str">
        <x:f>IF(M809=0,"",IF(H809="HOME",SUMIFS('Istoric_Nativ'!$H$6:$H$405,'Istoric_Nativ'!$B$6:$B$405,E809,'Istoric_Nativ'!$C$6:$C$405,F809,'Istoric_Nativ'!$E$6:$E$405,G809,'Istoric_Nativ'!$D$6:$D$405,"&lt;"&amp;J809,'Istoric_Nativ'!$P$6:$P$405,1,'Istoric_Nativ'!$D$6:$D$405,"&gt;="&amp;L809),IF(H809="AWAY",SUMIFS('Istoric_Nativ'!$G$6:$G$405,'Istoric_Nativ'!$B$6:$B$405,E809,'Istoric_Nativ'!$C$6:$C$405,F809,'Istoric_Nativ'!$F$6:$F$405,G809,'Istoric_Nativ'!$D$6:$D$405,"&lt;"&amp;J809,'Istoric_Nativ'!$P$6:$P$405,1,'Istoric_Nativ'!$D$6:$D$405,"&gt;="&amp;L809),SUMIFS('Istoric_Nativ'!$H$6:$H$405,'Istoric_Nativ'!$B$6:$B$405,E809,'Istoric_Nativ'!$C$6:$C$405,F809,'Istoric_Nativ'!$E$6:$E$405,G809,'Istoric_Nativ'!$D$6:$D$405,"&lt;"&amp;J809,'Istoric_Nativ'!$P$6:$P$405,1,'Istoric_Nativ'!$D$6:$D$405,"&gt;="&amp;L809)+SUMIFS('Istoric_Nativ'!$G$6:$G$405,'Istoric_Nativ'!$B$6:$B$405,E809,'Istoric_Nativ'!$C$6:$C$405,F809,'Istoric_Nativ'!$F$6:$F$405,G809,'Istoric_Nativ'!$D$6:$D$405,"&lt;"&amp;J809,'Istoric_Nativ'!$P$6:$P$405,1,'Istoric_Nativ'!$D$6:$D$405,"&gt;="&amp;L809)))/M809)</x:f>
      </x:c>
      <x:c r="P809" s="2" t="n">
        <x:f>'Config_v6'!$B$9</x:f>
        <x:v>3</x:v>
      </x:c>
      <x:c r="Q809" s="2" t="n">
        <x:f>IF(OR(B809="",F809=""),0,IFERROR(MATCH(E809&amp;"|"&amp;F809,SourceTable[Source_Key],0),0))</x:f>
        <x:v>0</x:v>
      </x:c>
      <x:c r="R809" s="2" t="str">
        <x:f>IF(B809="","",IF(F809="","UNUSED",IF(Q809=0,"NOT CHECKED",IF(COUNTIF(SourceTable[Source_Key],E809&amp;"|"&amp;F809)&lt;&gt;1,"SOURCE CONFLICT",IF(NOT(OR(INDEX(SourceTable[Status],MAX(1,Q809))="IMPORTED",INDEX(SourceTable[Status],MAX(1,Q809))="PARTIAL",INDEX(SourceTable[Status],MAX(1,Q809))="SOURCE CONFLICT")),"ACCESS BLOCKED",IF(OR(INDEX(SourceTable[Coverage],Q809)&lt;&gt;"FULL SEASON EXPORT",INDEX(SourceTable[URL],Q809)="",INDEX(SourceTable[SHA256],Q809)=""),"EVIDENCE INCOMPLETE",IF(AND('Input_Meci'!H72="LIVE",INDEX(SourceTable[Retrieved_UTC],Q809)&gt;'Input_Meci'!G72),"POST CUTOFF","CLOSED")))))))</x:f>
      </x:c>
      <x:c r="S809" s="2" t="n">
        <x:f>IF(OR(B809="",F809=""),0,COUNTIFS('Istoric_Nativ'!$B$6:$B$405,E809,'Istoric_Nativ'!$C$6:$C$405,F809,'Istoric_Nativ'!$E$6:$E$405,G809,'Istoric_Nativ'!$D$6:$D$405,"&lt;"&amp;J809,'Istoric_Nativ'!$O$6:$O$405,"INVALID")+COUNTIFS('Istoric_Nativ'!$B$6:$B$405,E809,'Istoric_Nativ'!$C$6:$C$405,F809,'Istoric_Nativ'!$E$6:$E$405,G809,'Istoric_Nativ'!$O$6:$O$405,"INVALID",'Istoric_Nativ'!$D$6:$D$405,"*")+COUNTIFS('Istoric_Nativ'!$B$6:$B$405,E809,'Istoric_Nativ'!$C$6:$C$405,F809,'Istoric_Nativ'!$E$6:$E$405,G809,'Istoric_Nativ'!$D$6:$D$405,"&lt;"&amp;J809,'Istoric_Nativ'!$O$6:$O$405,"SOURCE CONFLICT")+COUNTIFS('Istoric_Nativ'!$B$6:$B$405,E809,'Istoric_Nativ'!$C$6:$C$405,F809,'Istoric_Nativ'!$F$6:$F$405,G809,'Istoric_Nativ'!$D$6:$D$405,"&lt;"&amp;J809,'Istoric_Nativ'!$O$6:$O$405,"INVALID")+COUNTIFS('Istoric_Nativ'!$B$6:$B$405,E809,'Istoric_Nativ'!$C$6:$C$405,F809,'Istoric_Nativ'!$F$6:$F$405,G809,'Istoric_Nativ'!$O$6:$O$405,"INVALID",'Istoric_Nativ'!$D$6:$D$405,"*")+COUNTIFS('Istoric_Nativ'!$B$6:$B$405,E809,'Istoric_Nativ'!$C$6:$C$405,F809,'Istoric_Nativ'!$F$6:$F$405,G809,'Istoric_Nativ'!$D$6:$D$405,"&lt;"&amp;J809,'Istoric_Nativ'!$O$6:$O$405,"SOURCE CONFLICT"))</x:f>
        <x:v>0</x:v>
      </x:c>
      <x:c r="T809" s="2" t="str">
        <x:f>IF(B809="","",IF(R809&lt;&gt;"CLOSED",R809,IF(S809&gt;0,"NATIVE INPUT ISSUE",IF(M809=0,"NO HISTORY",IF(M809&lt;P809,"SMALL SAMPLE","DERIVED")))))</x:f>
      </x:c>
      <x:c r="U809" s="2" t="str">
        <x:f>IF(B809="","","NativeTable; "&amp;E809&amp;"; "&amp;F809&amp;"; "&amp;G809&amp;"; "&amp;H809&amp;"; before "&amp;TEXT(J809,"yyyy-mm-dd")&amp;IF(I809="RECENT","; from "&amp;TEXT(L809,"yyyy-mm-dd"),""))</x:f>
      </x:c>
    </x:row>
    <x:row r="810" ht="21" customHeight="1">
      <x:c r="A810" s="2" t="n">
        <x:v>68</x:v>
      </x:c>
      <x:c r="B810" s="2" t="str">
        <x:f>IF('Input_Meci'!A73="","",'Input_Meci'!A73)</x:f>
      </x:c>
      <x:c r="C810" s="2" t="str">
        <x:v>H</x:v>
      </x:c>
      <x:c r="D810" s="2" t="str">
        <x:v>CURRENT</x:v>
      </x:c>
      <x:c r="E810" s="2" t="str">
        <x:f>IF(B810="","",'Input_Meci'!B73)</x:f>
      </x:c>
      <x:c r="F810" s="2" t="str">
        <x:f>IF(B810="","",IF('Input_Meci'!C73="","",'Input_Meci'!C73))</x:f>
      </x:c>
      <x:c r="G810" s="2" t="str">
        <x:f>IF(B810="","",'Input_Meci'!D73)</x:f>
      </x:c>
      <x:c r="H810" s="2" t="str">
        <x:v>ANY</x:v>
      </x:c>
      <x:c r="I810" s="2" t="str">
        <x:v>SEASON</x:v>
      </x:c>
      <x:c r="J810" s="9" t="n">
        <x:f>IF(AND(B810&lt;&gt;"",ISNUMBER('Input_Meci'!G73)),INT('Input_Meci'!G73),0)</x:f>
        <x:v>0</x:v>
      </x:c>
      <x:c r="K810" s="2" t="n">
        <x:f>IF(OR(B810="",F810=""),0,IF(H810="HOME",COUNTIFS('Istoric_Nativ'!$B$6:$B$405,E810,'Istoric_Nativ'!$C$6:$C$405,F810,'Istoric_Nativ'!$E$6:$E$405,G810,'Istoric_Nativ'!$D$6:$D$405,"&lt;"&amp;J810,'Istoric_Nativ'!$P$6:$P$405,1),IF(H810="AWAY",COUNTIFS('Istoric_Nativ'!$B$6:$B$405,E810,'Istoric_Nativ'!$C$6:$C$405,F810,'Istoric_Nativ'!$F$6:$F$405,G810,'Istoric_Nativ'!$D$6:$D$405,"&lt;"&amp;J810,'Istoric_Nativ'!$P$6:$P$405,1),COUNTIFS('Istoric_Nativ'!$B$6:$B$405,E810,'Istoric_Nativ'!$C$6:$C$405,F810,'Istoric_Nativ'!$E$6:$E$405,G810,'Istoric_Nativ'!$D$6:$D$405,"&lt;"&amp;J810,'Istoric_Nativ'!$P$6:$P$405,1)+COUNTIFS('Istoric_Nativ'!$B$6:$B$405,E810,'Istoric_Nativ'!$C$6:$C$405,F810,'Istoric_Nativ'!$F$6:$F$405,G810,'Istoric_Nativ'!$D$6:$D$405,"&lt;"&amp;J810,'Istoric_Nativ'!$P$6:$P$405,1))))</x:f>
        <x:v>0</x:v>
      </x:c>
      <x:c r="L810" s="17" t="n">
        <x:f>IF(AND(B810&lt;&gt;"",I810="RECENT",K810&gt;0),LARGE(_xlfn._xlws.FILTER('Istoric_Nativ'!$D$6:$D$405,('Istoric_Nativ'!$B$6:$B$405=E810)*('Istoric_Nativ'!$C$6:$C$405=F810)*('Istoric_Nativ'!$P$6:$P$405=1)*('Istoric_Nativ'!$D$6:$D$405&lt;J810)*((('Istoric_Nativ'!$E$6:$E$405=G810)+('Istoric_Nativ'!$F$6:$F$405=G810))&gt;0)),MIN('Config_v6'!$B$54,K810)),0)</x:f>
        <x:v>0</x:v>
      </x:c>
      <x:c r="M810" s="2" t="n">
        <x:f>IF(OR(B810="",F810=""),0,IF(H810="HOME",COUNTIFS('Istoric_Nativ'!$B$6:$B$405,E810,'Istoric_Nativ'!$C$6:$C$405,F810,'Istoric_Nativ'!$E$6:$E$405,G810,'Istoric_Nativ'!$D$6:$D$405,"&lt;"&amp;J810,'Istoric_Nativ'!$P$6:$P$405,1,'Istoric_Nativ'!$D$6:$D$405,"&gt;="&amp;L810),IF(H810="AWAY",COUNTIFS('Istoric_Nativ'!$B$6:$B$405,E810,'Istoric_Nativ'!$C$6:$C$405,F810,'Istoric_Nativ'!$F$6:$F$405,G810,'Istoric_Nativ'!$D$6:$D$405,"&lt;"&amp;J810,'Istoric_Nativ'!$P$6:$P$405,1,'Istoric_Nativ'!$D$6:$D$405,"&gt;="&amp;L810),COUNTIFS('Istoric_Nativ'!$B$6:$B$405,E810,'Istoric_Nativ'!$C$6:$C$405,F810,'Istoric_Nativ'!$E$6:$E$405,G810,'Istoric_Nativ'!$D$6:$D$405,"&lt;"&amp;J810,'Istoric_Nativ'!$P$6:$P$405,1,'Istoric_Nativ'!$D$6:$D$405,"&gt;="&amp;L810)+COUNTIFS('Istoric_Nativ'!$B$6:$B$405,E810,'Istoric_Nativ'!$C$6:$C$405,F810,'Istoric_Nativ'!$F$6:$F$405,G810,'Istoric_Nativ'!$D$6:$D$405,"&lt;"&amp;J810,'Istoric_Nativ'!$P$6:$P$405,1,'Istoric_Nativ'!$D$6:$D$405,"&gt;="&amp;L810))))</x:f>
        <x:v>0</x:v>
      </x:c>
      <x:c r="N810" s="11" t="str">
        <x:f>IF(M810=0,"",IF(H810="HOME",SUMIFS('Istoric_Nativ'!$G$6:$G$405,'Istoric_Nativ'!$B$6:$B$405,E810,'Istoric_Nativ'!$C$6:$C$405,F810,'Istoric_Nativ'!$E$6:$E$405,G810,'Istoric_Nativ'!$D$6:$D$405,"&lt;"&amp;J810,'Istoric_Nativ'!$P$6:$P$405,1,'Istoric_Nativ'!$D$6:$D$405,"&gt;="&amp;L810),IF(H810="AWAY",SUMIFS('Istoric_Nativ'!$H$6:$H$405,'Istoric_Nativ'!$B$6:$B$405,E810,'Istoric_Nativ'!$C$6:$C$405,F810,'Istoric_Nativ'!$F$6:$F$405,G810,'Istoric_Nativ'!$D$6:$D$405,"&lt;"&amp;J810,'Istoric_Nativ'!$P$6:$P$405,1,'Istoric_Nativ'!$D$6:$D$405,"&gt;="&amp;L810),SUMIFS('Istoric_Nativ'!$G$6:$G$405,'Istoric_Nativ'!$B$6:$B$405,E810,'Istoric_Nativ'!$C$6:$C$405,F810,'Istoric_Nativ'!$E$6:$E$405,G810,'Istoric_Nativ'!$D$6:$D$405,"&lt;"&amp;J810,'Istoric_Nativ'!$P$6:$P$405,1,'Istoric_Nativ'!$D$6:$D$405,"&gt;="&amp;L810)+SUMIFS('Istoric_Nativ'!$H$6:$H$405,'Istoric_Nativ'!$B$6:$B$405,E810,'Istoric_Nativ'!$C$6:$C$405,F810,'Istoric_Nativ'!$F$6:$F$405,G810,'Istoric_Nativ'!$D$6:$D$405,"&lt;"&amp;J810,'Istoric_Nativ'!$P$6:$P$405,1,'Istoric_Nativ'!$D$6:$D$405,"&gt;="&amp;L810)))/M810)</x:f>
      </x:c>
      <x:c r="O810" s="11" t="str">
        <x:f>IF(M810=0,"",IF(H810="HOME",SUMIFS('Istoric_Nativ'!$H$6:$H$405,'Istoric_Nativ'!$B$6:$B$405,E810,'Istoric_Nativ'!$C$6:$C$405,F810,'Istoric_Nativ'!$E$6:$E$405,G810,'Istoric_Nativ'!$D$6:$D$405,"&lt;"&amp;J810,'Istoric_Nativ'!$P$6:$P$405,1,'Istoric_Nativ'!$D$6:$D$405,"&gt;="&amp;L810),IF(H810="AWAY",SUMIFS('Istoric_Nativ'!$G$6:$G$405,'Istoric_Nativ'!$B$6:$B$405,E810,'Istoric_Nativ'!$C$6:$C$405,F810,'Istoric_Nativ'!$F$6:$F$405,G810,'Istoric_Nativ'!$D$6:$D$405,"&lt;"&amp;J810,'Istoric_Nativ'!$P$6:$P$405,1,'Istoric_Nativ'!$D$6:$D$405,"&gt;="&amp;L810),SUMIFS('Istoric_Nativ'!$H$6:$H$405,'Istoric_Nativ'!$B$6:$B$405,E810,'Istoric_Nativ'!$C$6:$C$405,F810,'Istoric_Nativ'!$E$6:$E$405,G810,'Istoric_Nativ'!$D$6:$D$405,"&lt;"&amp;J810,'Istoric_Nativ'!$P$6:$P$405,1,'Istoric_Nativ'!$D$6:$D$405,"&gt;="&amp;L810)+SUMIFS('Istoric_Nativ'!$G$6:$G$405,'Istoric_Nativ'!$B$6:$B$405,E810,'Istoric_Nativ'!$C$6:$C$405,F810,'Istoric_Nativ'!$F$6:$F$405,G810,'Istoric_Nativ'!$D$6:$D$405,"&lt;"&amp;J810,'Istoric_Nativ'!$P$6:$P$405,1,'Istoric_Nativ'!$D$6:$D$405,"&gt;="&amp;L810)))/M810)</x:f>
      </x:c>
      <x:c r="P810" s="2" t="n">
        <x:f>'Config_v6'!$B$7</x:f>
        <x:v>10</x:v>
      </x:c>
      <x:c r="Q810" s="2" t="n">
        <x:f>IF(OR(B810="",F810=""),0,IFERROR(MATCH(E810&amp;"|"&amp;F810,SourceTable[Source_Key],0),0))</x:f>
        <x:v>0</x:v>
      </x:c>
      <x:c r="R810" s="2" t="str">
        <x:f>IF(B810="","",IF(F810="","UNUSED",IF(Q810=0,"NOT CHECKED",IF(COUNTIF(SourceTable[Source_Key],E810&amp;"|"&amp;F810)&lt;&gt;1,"SOURCE CONFLICT",IF(NOT(OR(INDEX(SourceTable[Status],MAX(1,Q810))="IMPORTED",INDEX(SourceTable[Status],MAX(1,Q810))="PARTIAL",INDEX(SourceTable[Status],MAX(1,Q810))="SOURCE CONFLICT")),"ACCESS BLOCKED",IF(OR(INDEX(SourceTable[Coverage],Q810)&lt;&gt;"FULL SEASON EXPORT",INDEX(SourceTable[URL],Q810)="",INDEX(SourceTable[SHA256],Q810)=""),"EVIDENCE INCOMPLETE",IF(AND('Input_Meci'!H73="LIVE",INDEX(SourceTable[Retrieved_UTC],Q810)&gt;'Input_Meci'!G73),"POST CUTOFF","CLOSED")))))))</x:f>
      </x:c>
      <x:c r="S810" s="2" t="n">
        <x:f>IF(OR(B810="",F810=""),0,COUNTIFS('Istoric_Nativ'!$B$6:$B$405,E810,'Istoric_Nativ'!$C$6:$C$405,F810,'Istoric_Nativ'!$E$6:$E$405,G810,'Istoric_Nativ'!$D$6:$D$405,"&lt;"&amp;J810,'Istoric_Nativ'!$O$6:$O$405,"INVALID")+COUNTIFS('Istoric_Nativ'!$B$6:$B$405,E810,'Istoric_Nativ'!$C$6:$C$405,F810,'Istoric_Nativ'!$E$6:$E$405,G810,'Istoric_Nativ'!$O$6:$O$405,"INVALID",'Istoric_Nativ'!$D$6:$D$405,"*")+COUNTIFS('Istoric_Nativ'!$B$6:$B$405,E810,'Istoric_Nativ'!$C$6:$C$405,F810,'Istoric_Nativ'!$E$6:$E$405,G810,'Istoric_Nativ'!$D$6:$D$405,"&lt;"&amp;J810,'Istoric_Nativ'!$O$6:$O$405,"SOURCE CONFLICT")+COUNTIFS('Istoric_Nativ'!$B$6:$B$405,E810,'Istoric_Nativ'!$C$6:$C$405,F810,'Istoric_Nativ'!$F$6:$F$405,G810,'Istoric_Nativ'!$D$6:$D$405,"&lt;"&amp;J810,'Istoric_Nativ'!$O$6:$O$405,"INVALID")+COUNTIFS('Istoric_Nativ'!$B$6:$B$405,E810,'Istoric_Nativ'!$C$6:$C$405,F810,'Istoric_Nativ'!$F$6:$F$405,G810,'Istoric_Nativ'!$O$6:$O$405,"INVALID",'Istoric_Nativ'!$D$6:$D$405,"*")+COUNTIFS('Istoric_Nativ'!$B$6:$B$405,E810,'Istoric_Nativ'!$C$6:$C$405,F810,'Istoric_Nativ'!$F$6:$F$405,G810,'Istoric_Nativ'!$D$6:$D$405,"&lt;"&amp;J810,'Istoric_Nativ'!$O$6:$O$405,"SOURCE CONFLICT"))</x:f>
        <x:v>0</x:v>
      </x:c>
      <x:c r="T810" s="2" t="str">
        <x:f>IF(B810="","",IF(R810&lt;&gt;"CLOSED",R810,IF(S810&gt;0,"NATIVE INPUT ISSUE",IF(M810=0,"NO HISTORY",IF(M810&lt;P810,"SMALL SAMPLE","DERIVED")))))</x:f>
      </x:c>
      <x:c r="U810" s="2" t="str">
        <x:f>IF(B810="","","NativeTable; "&amp;E810&amp;"; "&amp;F810&amp;"; "&amp;G810&amp;"; "&amp;H810&amp;"; before "&amp;TEXT(J810,"yyyy-mm-dd")&amp;IF(I810="RECENT","; from "&amp;TEXT(L810,"yyyy-mm-dd"),""))</x:f>
      </x:c>
    </x:row>
    <x:row r="811" ht="21" customHeight="1">
      <x:c r="A811" s="2" t="n">
        <x:v>68</x:v>
      </x:c>
      <x:c r="B811" s="2" t="str">
        <x:f>IF('Input_Meci'!A73="","",'Input_Meci'!A73)</x:f>
      </x:c>
      <x:c r="C811" s="2" t="str">
        <x:v>H</x:v>
      </x:c>
      <x:c r="D811" s="2" t="str">
        <x:v>CURRENT</x:v>
      </x:c>
      <x:c r="E811" s="2" t="str">
        <x:f>IF(B811="","",'Input_Meci'!B73)</x:f>
      </x:c>
      <x:c r="F811" s="2" t="str">
        <x:f>IF(B811="","",IF('Input_Meci'!C73="","",'Input_Meci'!C73))</x:f>
      </x:c>
      <x:c r="G811" s="2" t="str">
        <x:f>IF(B811="","",'Input_Meci'!D73)</x:f>
      </x:c>
      <x:c r="H811" s="2" t="str">
        <x:v>HOME</x:v>
      </x:c>
      <x:c r="I811" s="2" t="str">
        <x:v>HA</x:v>
      </x:c>
      <x:c r="J811" s="9" t="n">
        <x:f>IF(AND(B811&lt;&gt;"",ISNUMBER('Input_Meci'!G73)),INT('Input_Meci'!G73),0)</x:f>
        <x:v>0</x:v>
      </x:c>
      <x:c r="K811" s="2" t="n">
        <x:f>IF(OR(B811="",F811=""),0,IF(H811="HOME",COUNTIFS('Istoric_Nativ'!$B$6:$B$405,E811,'Istoric_Nativ'!$C$6:$C$405,F811,'Istoric_Nativ'!$E$6:$E$405,G811,'Istoric_Nativ'!$D$6:$D$405,"&lt;"&amp;J811,'Istoric_Nativ'!$P$6:$P$405,1),IF(H811="AWAY",COUNTIFS('Istoric_Nativ'!$B$6:$B$405,E811,'Istoric_Nativ'!$C$6:$C$405,F811,'Istoric_Nativ'!$F$6:$F$405,G811,'Istoric_Nativ'!$D$6:$D$405,"&lt;"&amp;J811,'Istoric_Nativ'!$P$6:$P$405,1),COUNTIFS('Istoric_Nativ'!$B$6:$B$405,E811,'Istoric_Nativ'!$C$6:$C$405,F811,'Istoric_Nativ'!$E$6:$E$405,G811,'Istoric_Nativ'!$D$6:$D$405,"&lt;"&amp;J811,'Istoric_Nativ'!$P$6:$P$405,1)+COUNTIFS('Istoric_Nativ'!$B$6:$B$405,E811,'Istoric_Nativ'!$C$6:$C$405,F811,'Istoric_Nativ'!$F$6:$F$405,G811,'Istoric_Nativ'!$D$6:$D$405,"&lt;"&amp;J811,'Istoric_Nativ'!$P$6:$P$405,1))))</x:f>
        <x:v>0</x:v>
      </x:c>
      <x:c r="L811" s="17" t="n">
        <x:f>IF(AND(B811&lt;&gt;"",I811="RECENT",K811&gt;0),LARGE(_xlfn._xlws.FILTER('Istoric_Nativ'!$D$6:$D$405,('Istoric_Nativ'!$B$6:$B$405=E811)*('Istoric_Nativ'!$C$6:$C$405=F811)*('Istoric_Nativ'!$P$6:$P$405=1)*('Istoric_Nativ'!$D$6:$D$405&lt;J811)*((('Istoric_Nativ'!$E$6:$E$405=G811)+('Istoric_Nativ'!$F$6:$F$405=G811))&gt;0)),MIN('Config_v6'!$B$54,K811)),0)</x:f>
        <x:v>0</x:v>
      </x:c>
      <x:c r="M811" s="2" t="n">
        <x:f>IF(OR(B811="",F811=""),0,IF(H811="HOME",COUNTIFS('Istoric_Nativ'!$B$6:$B$405,E811,'Istoric_Nativ'!$C$6:$C$405,F811,'Istoric_Nativ'!$E$6:$E$405,G811,'Istoric_Nativ'!$D$6:$D$405,"&lt;"&amp;J811,'Istoric_Nativ'!$P$6:$P$405,1,'Istoric_Nativ'!$D$6:$D$405,"&gt;="&amp;L811),IF(H811="AWAY",COUNTIFS('Istoric_Nativ'!$B$6:$B$405,E811,'Istoric_Nativ'!$C$6:$C$405,F811,'Istoric_Nativ'!$F$6:$F$405,G811,'Istoric_Nativ'!$D$6:$D$405,"&lt;"&amp;J811,'Istoric_Nativ'!$P$6:$P$405,1,'Istoric_Nativ'!$D$6:$D$405,"&gt;="&amp;L811),COUNTIFS('Istoric_Nativ'!$B$6:$B$405,E811,'Istoric_Nativ'!$C$6:$C$405,F811,'Istoric_Nativ'!$E$6:$E$405,G811,'Istoric_Nativ'!$D$6:$D$405,"&lt;"&amp;J811,'Istoric_Nativ'!$P$6:$P$405,1,'Istoric_Nativ'!$D$6:$D$405,"&gt;="&amp;L811)+COUNTIFS('Istoric_Nativ'!$B$6:$B$405,E811,'Istoric_Nativ'!$C$6:$C$405,F811,'Istoric_Nativ'!$F$6:$F$405,G811,'Istoric_Nativ'!$D$6:$D$405,"&lt;"&amp;J811,'Istoric_Nativ'!$P$6:$P$405,1,'Istoric_Nativ'!$D$6:$D$405,"&gt;="&amp;L811))))</x:f>
        <x:v>0</x:v>
      </x:c>
      <x:c r="N811" s="11" t="str">
        <x:f>IF(M811=0,"",IF(H811="HOME",SUMIFS('Istoric_Nativ'!$G$6:$G$405,'Istoric_Nativ'!$B$6:$B$405,E811,'Istoric_Nativ'!$C$6:$C$405,F811,'Istoric_Nativ'!$E$6:$E$405,G811,'Istoric_Nativ'!$D$6:$D$405,"&lt;"&amp;J811,'Istoric_Nativ'!$P$6:$P$405,1,'Istoric_Nativ'!$D$6:$D$405,"&gt;="&amp;L811),IF(H811="AWAY",SUMIFS('Istoric_Nativ'!$H$6:$H$405,'Istoric_Nativ'!$B$6:$B$405,E811,'Istoric_Nativ'!$C$6:$C$405,F811,'Istoric_Nativ'!$F$6:$F$405,G811,'Istoric_Nativ'!$D$6:$D$405,"&lt;"&amp;J811,'Istoric_Nativ'!$P$6:$P$405,1,'Istoric_Nativ'!$D$6:$D$405,"&gt;="&amp;L811),SUMIFS('Istoric_Nativ'!$G$6:$G$405,'Istoric_Nativ'!$B$6:$B$405,E811,'Istoric_Nativ'!$C$6:$C$405,F811,'Istoric_Nativ'!$E$6:$E$405,G811,'Istoric_Nativ'!$D$6:$D$405,"&lt;"&amp;J811,'Istoric_Nativ'!$P$6:$P$405,1,'Istoric_Nativ'!$D$6:$D$405,"&gt;="&amp;L811)+SUMIFS('Istoric_Nativ'!$H$6:$H$405,'Istoric_Nativ'!$B$6:$B$405,E811,'Istoric_Nativ'!$C$6:$C$405,F811,'Istoric_Nativ'!$F$6:$F$405,G811,'Istoric_Nativ'!$D$6:$D$405,"&lt;"&amp;J811,'Istoric_Nativ'!$P$6:$P$405,1,'Istoric_Nativ'!$D$6:$D$405,"&gt;="&amp;L811)))/M811)</x:f>
      </x:c>
      <x:c r="O811" s="11" t="str">
        <x:f>IF(M811=0,"",IF(H811="HOME",SUMIFS('Istoric_Nativ'!$H$6:$H$405,'Istoric_Nativ'!$B$6:$B$405,E811,'Istoric_Nativ'!$C$6:$C$405,F811,'Istoric_Nativ'!$E$6:$E$405,G811,'Istoric_Nativ'!$D$6:$D$405,"&lt;"&amp;J811,'Istoric_Nativ'!$P$6:$P$405,1,'Istoric_Nativ'!$D$6:$D$405,"&gt;="&amp;L811),IF(H811="AWAY",SUMIFS('Istoric_Nativ'!$G$6:$G$405,'Istoric_Nativ'!$B$6:$B$405,E811,'Istoric_Nativ'!$C$6:$C$405,F811,'Istoric_Nativ'!$F$6:$F$405,G811,'Istoric_Nativ'!$D$6:$D$405,"&lt;"&amp;J811,'Istoric_Nativ'!$P$6:$P$405,1,'Istoric_Nativ'!$D$6:$D$405,"&gt;="&amp;L811),SUMIFS('Istoric_Nativ'!$H$6:$H$405,'Istoric_Nativ'!$B$6:$B$405,E811,'Istoric_Nativ'!$C$6:$C$405,F811,'Istoric_Nativ'!$E$6:$E$405,G811,'Istoric_Nativ'!$D$6:$D$405,"&lt;"&amp;J811,'Istoric_Nativ'!$P$6:$P$405,1,'Istoric_Nativ'!$D$6:$D$405,"&gt;="&amp;L811)+SUMIFS('Istoric_Nativ'!$G$6:$G$405,'Istoric_Nativ'!$B$6:$B$405,E811,'Istoric_Nativ'!$C$6:$C$405,F811,'Istoric_Nativ'!$F$6:$F$405,G811,'Istoric_Nativ'!$D$6:$D$405,"&lt;"&amp;J811,'Istoric_Nativ'!$P$6:$P$405,1,'Istoric_Nativ'!$D$6:$D$405,"&gt;="&amp;L811)))/M811)</x:f>
      </x:c>
      <x:c r="P811" s="2" t="n">
        <x:f>'Config_v6'!$B$8</x:f>
        <x:v>5</x:v>
      </x:c>
      <x:c r="Q811" s="2" t="n">
        <x:f>IF(OR(B811="",F811=""),0,IFERROR(MATCH(E811&amp;"|"&amp;F811,SourceTable[Source_Key],0),0))</x:f>
        <x:v>0</x:v>
      </x:c>
      <x:c r="R811" s="2" t="str">
        <x:f>IF(B811="","",IF(F811="","UNUSED",IF(Q811=0,"NOT CHECKED",IF(COUNTIF(SourceTable[Source_Key],E811&amp;"|"&amp;F811)&lt;&gt;1,"SOURCE CONFLICT",IF(NOT(OR(INDEX(SourceTable[Status],MAX(1,Q811))="IMPORTED",INDEX(SourceTable[Status],MAX(1,Q811))="PARTIAL",INDEX(SourceTable[Status],MAX(1,Q811))="SOURCE CONFLICT")),"ACCESS BLOCKED",IF(OR(INDEX(SourceTable[Coverage],Q811)&lt;&gt;"FULL SEASON EXPORT",INDEX(SourceTable[URL],Q811)="",INDEX(SourceTable[SHA256],Q811)=""),"EVIDENCE INCOMPLETE",IF(AND('Input_Meci'!H73="LIVE",INDEX(SourceTable[Retrieved_UTC],Q811)&gt;'Input_Meci'!G73),"POST CUTOFF","CLOSED")))))))</x:f>
      </x:c>
      <x:c r="S811" s="2" t="n">
        <x:f>IF(OR(B811="",F811=""),0,COUNTIFS('Istoric_Nativ'!$B$6:$B$405,E811,'Istoric_Nativ'!$C$6:$C$405,F811,'Istoric_Nativ'!$E$6:$E$405,G811,'Istoric_Nativ'!$D$6:$D$405,"&lt;"&amp;J811,'Istoric_Nativ'!$O$6:$O$405,"INVALID")+COUNTIFS('Istoric_Nativ'!$B$6:$B$405,E811,'Istoric_Nativ'!$C$6:$C$405,F811,'Istoric_Nativ'!$E$6:$E$405,G811,'Istoric_Nativ'!$O$6:$O$405,"INVALID",'Istoric_Nativ'!$D$6:$D$405,"*")+COUNTIFS('Istoric_Nativ'!$B$6:$B$405,E811,'Istoric_Nativ'!$C$6:$C$405,F811,'Istoric_Nativ'!$E$6:$E$405,G811,'Istoric_Nativ'!$D$6:$D$405,"&lt;"&amp;J811,'Istoric_Nativ'!$O$6:$O$405,"SOURCE CONFLICT")+COUNTIFS('Istoric_Nativ'!$B$6:$B$405,E811,'Istoric_Nativ'!$C$6:$C$405,F811,'Istoric_Nativ'!$F$6:$F$405,G811,'Istoric_Nativ'!$D$6:$D$405,"&lt;"&amp;J811,'Istoric_Nativ'!$O$6:$O$405,"INVALID")+COUNTIFS('Istoric_Nativ'!$B$6:$B$405,E811,'Istoric_Nativ'!$C$6:$C$405,F811,'Istoric_Nativ'!$F$6:$F$405,G811,'Istoric_Nativ'!$O$6:$O$405,"INVALID",'Istoric_Nativ'!$D$6:$D$405,"*")+COUNTIFS('Istoric_Nativ'!$B$6:$B$405,E811,'Istoric_Nativ'!$C$6:$C$405,F811,'Istoric_Nativ'!$F$6:$F$405,G811,'Istoric_Nativ'!$D$6:$D$405,"&lt;"&amp;J811,'Istoric_Nativ'!$O$6:$O$405,"SOURCE CONFLICT"))</x:f>
        <x:v>0</x:v>
      </x:c>
      <x:c r="T811" s="2" t="str">
        <x:f>IF(B811="","",IF(R811&lt;&gt;"CLOSED",R811,IF(S811&gt;0,"NATIVE INPUT ISSUE",IF(M811=0,"NO HISTORY",IF(M811&lt;P811,"SMALL SAMPLE","DERIVED")))))</x:f>
      </x:c>
      <x:c r="U811" s="2" t="str">
        <x:f>IF(B811="","","NativeTable; "&amp;E811&amp;"; "&amp;F811&amp;"; "&amp;G811&amp;"; "&amp;H811&amp;"; before "&amp;TEXT(J811,"yyyy-mm-dd")&amp;IF(I811="RECENT","; from "&amp;TEXT(L811,"yyyy-mm-dd"),""))</x:f>
      </x:c>
    </x:row>
    <x:row r="812" ht="21" customHeight="1">
      <x:c r="A812" s="2" t="n">
        <x:v>68</x:v>
      </x:c>
      <x:c r="B812" s="2" t="str">
        <x:f>IF('Input_Meci'!A73="","",'Input_Meci'!A73)</x:f>
      </x:c>
      <x:c r="C812" s="2" t="str">
        <x:v>H</x:v>
      </x:c>
      <x:c r="D812" s="2" t="str">
        <x:v>CURRENT</x:v>
      </x:c>
      <x:c r="E812" s="2" t="str">
        <x:f>IF(B812="","",'Input_Meci'!B73)</x:f>
      </x:c>
      <x:c r="F812" s="2" t="str">
        <x:f>IF(B812="","",IF('Input_Meci'!C73="","",'Input_Meci'!C73))</x:f>
      </x:c>
      <x:c r="G812" s="2" t="str">
        <x:f>IF(B812="","",'Input_Meci'!D73)</x:f>
      </x:c>
      <x:c r="H812" s="2" t="str">
        <x:v>ANY</x:v>
      </x:c>
      <x:c r="I812" s="2" t="str">
        <x:v>RECENT</x:v>
      </x:c>
      <x:c r="J812" s="9" t="n">
        <x:f>IF(AND(B812&lt;&gt;"",ISNUMBER('Input_Meci'!G73)),INT('Input_Meci'!G73),0)</x:f>
        <x:v>0</x:v>
      </x:c>
      <x:c r="K812" s="2" t="n">
        <x:f>IF(OR(B812="",F812=""),0,IF(H812="HOME",COUNTIFS('Istoric_Nativ'!$B$6:$B$405,E812,'Istoric_Nativ'!$C$6:$C$405,F812,'Istoric_Nativ'!$E$6:$E$405,G812,'Istoric_Nativ'!$D$6:$D$405,"&lt;"&amp;J812,'Istoric_Nativ'!$P$6:$P$405,1),IF(H812="AWAY",COUNTIFS('Istoric_Nativ'!$B$6:$B$405,E812,'Istoric_Nativ'!$C$6:$C$405,F812,'Istoric_Nativ'!$F$6:$F$405,G812,'Istoric_Nativ'!$D$6:$D$405,"&lt;"&amp;J812,'Istoric_Nativ'!$P$6:$P$405,1),COUNTIFS('Istoric_Nativ'!$B$6:$B$405,E812,'Istoric_Nativ'!$C$6:$C$405,F812,'Istoric_Nativ'!$E$6:$E$405,G812,'Istoric_Nativ'!$D$6:$D$405,"&lt;"&amp;J812,'Istoric_Nativ'!$P$6:$P$405,1)+COUNTIFS('Istoric_Nativ'!$B$6:$B$405,E812,'Istoric_Nativ'!$C$6:$C$405,F812,'Istoric_Nativ'!$F$6:$F$405,G812,'Istoric_Nativ'!$D$6:$D$405,"&lt;"&amp;J812,'Istoric_Nativ'!$P$6:$P$405,1))))</x:f>
        <x:v>0</x:v>
      </x:c>
      <x:c r="L812" s="17" t="n">
        <x:f>IF(AND(B812&lt;&gt;"",I812="RECENT",K812&gt;0),LARGE(_xlfn._xlws.FILTER('Istoric_Nativ'!$D$6:$D$405,('Istoric_Nativ'!$B$6:$B$405=E812)*('Istoric_Nativ'!$C$6:$C$405=F812)*('Istoric_Nativ'!$P$6:$P$405=1)*('Istoric_Nativ'!$D$6:$D$405&lt;J812)*((('Istoric_Nativ'!$E$6:$E$405=G812)+('Istoric_Nativ'!$F$6:$F$405=G812))&gt;0)),MIN('Config_v6'!$B$54,K812)),0)</x:f>
        <x:v>0</x:v>
      </x:c>
      <x:c r="M812" s="2" t="n">
        <x:f>IF(OR(B812="",F812=""),0,IF(H812="HOME",COUNTIFS('Istoric_Nativ'!$B$6:$B$405,E812,'Istoric_Nativ'!$C$6:$C$405,F812,'Istoric_Nativ'!$E$6:$E$405,G812,'Istoric_Nativ'!$D$6:$D$405,"&lt;"&amp;J812,'Istoric_Nativ'!$P$6:$P$405,1,'Istoric_Nativ'!$D$6:$D$405,"&gt;="&amp;L812),IF(H812="AWAY",COUNTIFS('Istoric_Nativ'!$B$6:$B$405,E812,'Istoric_Nativ'!$C$6:$C$405,F812,'Istoric_Nativ'!$F$6:$F$405,G812,'Istoric_Nativ'!$D$6:$D$405,"&lt;"&amp;J812,'Istoric_Nativ'!$P$6:$P$405,1,'Istoric_Nativ'!$D$6:$D$405,"&gt;="&amp;L812),COUNTIFS('Istoric_Nativ'!$B$6:$B$405,E812,'Istoric_Nativ'!$C$6:$C$405,F812,'Istoric_Nativ'!$E$6:$E$405,G812,'Istoric_Nativ'!$D$6:$D$405,"&lt;"&amp;J812,'Istoric_Nativ'!$P$6:$P$405,1,'Istoric_Nativ'!$D$6:$D$405,"&gt;="&amp;L812)+COUNTIFS('Istoric_Nativ'!$B$6:$B$405,E812,'Istoric_Nativ'!$C$6:$C$405,F812,'Istoric_Nativ'!$F$6:$F$405,G812,'Istoric_Nativ'!$D$6:$D$405,"&lt;"&amp;J812,'Istoric_Nativ'!$P$6:$P$405,1,'Istoric_Nativ'!$D$6:$D$405,"&gt;="&amp;L812))))</x:f>
        <x:v>0</x:v>
      </x:c>
      <x:c r="N812" s="11" t="str">
        <x:f>IF(M812=0,"",IF(H812="HOME",SUMIFS('Istoric_Nativ'!$G$6:$G$405,'Istoric_Nativ'!$B$6:$B$405,E812,'Istoric_Nativ'!$C$6:$C$405,F812,'Istoric_Nativ'!$E$6:$E$405,G812,'Istoric_Nativ'!$D$6:$D$405,"&lt;"&amp;J812,'Istoric_Nativ'!$P$6:$P$405,1,'Istoric_Nativ'!$D$6:$D$405,"&gt;="&amp;L812),IF(H812="AWAY",SUMIFS('Istoric_Nativ'!$H$6:$H$405,'Istoric_Nativ'!$B$6:$B$405,E812,'Istoric_Nativ'!$C$6:$C$405,F812,'Istoric_Nativ'!$F$6:$F$405,G812,'Istoric_Nativ'!$D$6:$D$405,"&lt;"&amp;J812,'Istoric_Nativ'!$P$6:$P$405,1,'Istoric_Nativ'!$D$6:$D$405,"&gt;="&amp;L812),SUMIFS('Istoric_Nativ'!$G$6:$G$405,'Istoric_Nativ'!$B$6:$B$405,E812,'Istoric_Nativ'!$C$6:$C$405,F812,'Istoric_Nativ'!$E$6:$E$405,G812,'Istoric_Nativ'!$D$6:$D$405,"&lt;"&amp;J812,'Istoric_Nativ'!$P$6:$P$405,1,'Istoric_Nativ'!$D$6:$D$405,"&gt;="&amp;L812)+SUMIFS('Istoric_Nativ'!$H$6:$H$405,'Istoric_Nativ'!$B$6:$B$405,E812,'Istoric_Nativ'!$C$6:$C$405,F812,'Istoric_Nativ'!$F$6:$F$405,G812,'Istoric_Nativ'!$D$6:$D$405,"&lt;"&amp;J812,'Istoric_Nativ'!$P$6:$P$405,1,'Istoric_Nativ'!$D$6:$D$405,"&gt;="&amp;L812)))/M812)</x:f>
      </x:c>
      <x:c r="O812" s="11" t="str">
        <x:f>IF(M812=0,"",IF(H812="HOME",SUMIFS('Istoric_Nativ'!$H$6:$H$405,'Istoric_Nativ'!$B$6:$B$405,E812,'Istoric_Nativ'!$C$6:$C$405,F812,'Istoric_Nativ'!$E$6:$E$405,G812,'Istoric_Nativ'!$D$6:$D$405,"&lt;"&amp;J812,'Istoric_Nativ'!$P$6:$P$405,1,'Istoric_Nativ'!$D$6:$D$405,"&gt;="&amp;L812),IF(H812="AWAY",SUMIFS('Istoric_Nativ'!$G$6:$G$405,'Istoric_Nativ'!$B$6:$B$405,E812,'Istoric_Nativ'!$C$6:$C$405,F812,'Istoric_Nativ'!$F$6:$F$405,G812,'Istoric_Nativ'!$D$6:$D$405,"&lt;"&amp;J812,'Istoric_Nativ'!$P$6:$P$405,1,'Istoric_Nativ'!$D$6:$D$405,"&gt;="&amp;L812),SUMIFS('Istoric_Nativ'!$H$6:$H$405,'Istoric_Nativ'!$B$6:$B$405,E812,'Istoric_Nativ'!$C$6:$C$405,F812,'Istoric_Nativ'!$E$6:$E$405,G812,'Istoric_Nativ'!$D$6:$D$405,"&lt;"&amp;J812,'Istoric_Nativ'!$P$6:$P$405,1,'Istoric_Nativ'!$D$6:$D$405,"&gt;="&amp;L812)+SUMIFS('Istoric_Nativ'!$G$6:$G$405,'Istoric_Nativ'!$B$6:$B$405,E812,'Istoric_Nativ'!$C$6:$C$405,F812,'Istoric_Nativ'!$F$6:$F$405,G812,'Istoric_Nativ'!$D$6:$D$405,"&lt;"&amp;J812,'Istoric_Nativ'!$P$6:$P$405,1,'Istoric_Nativ'!$D$6:$D$405,"&gt;="&amp;L812)))/M812)</x:f>
      </x:c>
      <x:c r="P812" s="2" t="n">
        <x:f>'Config_v6'!$B$9</x:f>
        <x:v>3</x:v>
      </x:c>
      <x:c r="Q812" s="2" t="n">
        <x:f>IF(OR(B812="",F812=""),0,IFERROR(MATCH(E812&amp;"|"&amp;F812,SourceTable[Source_Key],0),0))</x:f>
        <x:v>0</x:v>
      </x:c>
      <x:c r="R812" s="2" t="str">
        <x:f>IF(B812="","",IF(F812="","UNUSED",IF(Q812=0,"NOT CHECKED",IF(COUNTIF(SourceTable[Source_Key],E812&amp;"|"&amp;F812)&lt;&gt;1,"SOURCE CONFLICT",IF(NOT(OR(INDEX(SourceTable[Status],MAX(1,Q812))="IMPORTED",INDEX(SourceTable[Status],MAX(1,Q812))="PARTIAL",INDEX(SourceTable[Status],MAX(1,Q812))="SOURCE CONFLICT")),"ACCESS BLOCKED",IF(OR(INDEX(SourceTable[Coverage],Q812)&lt;&gt;"FULL SEASON EXPORT",INDEX(SourceTable[URL],Q812)="",INDEX(SourceTable[SHA256],Q812)=""),"EVIDENCE INCOMPLETE",IF(AND('Input_Meci'!H73="LIVE",INDEX(SourceTable[Retrieved_UTC],Q812)&gt;'Input_Meci'!G73),"POST CUTOFF","CLOSED")))))))</x:f>
      </x:c>
      <x:c r="S812" s="2" t="n">
        <x:f>IF(OR(B812="",F812=""),0,COUNTIFS('Istoric_Nativ'!$B$6:$B$405,E812,'Istoric_Nativ'!$C$6:$C$405,F812,'Istoric_Nativ'!$E$6:$E$405,G812,'Istoric_Nativ'!$D$6:$D$405,"&lt;"&amp;J812,'Istoric_Nativ'!$O$6:$O$405,"INVALID")+COUNTIFS('Istoric_Nativ'!$B$6:$B$405,E812,'Istoric_Nativ'!$C$6:$C$405,F812,'Istoric_Nativ'!$E$6:$E$405,G812,'Istoric_Nativ'!$O$6:$O$405,"INVALID",'Istoric_Nativ'!$D$6:$D$405,"*")+COUNTIFS('Istoric_Nativ'!$B$6:$B$405,E812,'Istoric_Nativ'!$C$6:$C$405,F812,'Istoric_Nativ'!$E$6:$E$405,G812,'Istoric_Nativ'!$D$6:$D$405,"&lt;"&amp;J812,'Istoric_Nativ'!$O$6:$O$405,"SOURCE CONFLICT")+COUNTIFS('Istoric_Nativ'!$B$6:$B$405,E812,'Istoric_Nativ'!$C$6:$C$405,F812,'Istoric_Nativ'!$F$6:$F$405,G812,'Istoric_Nativ'!$D$6:$D$405,"&lt;"&amp;J812,'Istoric_Nativ'!$O$6:$O$405,"INVALID")+COUNTIFS('Istoric_Nativ'!$B$6:$B$405,E812,'Istoric_Nativ'!$C$6:$C$405,F812,'Istoric_Nativ'!$F$6:$F$405,G812,'Istoric_Nativ'!$O$6:$O$405,"INVALID",'Istoric_Nativ'!$D$6:$D$405,"*")+COUNTIFS('Istoric_Nativ'!$B$6:$B$405,E812,'Istoric_Nativ'!$C$6:$C$405,F812,'Istoric_Nativ'!$F$6:$F$405,G812,'Istoric_Nativ'!$D$6:$D$405,"&lt;"&amp;J812,'Istoric_Nativ'!$O$6:$O$405,"SOURCE CONFLICT"))</x:f>
        <x:v>0</x:v>
      </x:c>
      <x:c r="T812" s="2" t="str">
        <x:f>IF(B812="","",IF(R812&lt;&gt;"CLOSED",R812,IF(S812&gt;0,"NATIVE INPUT ISSUE",IF(M812=0,"NO HISTORY",IF(M812&lt;P812,"SMALL SAMPLE","DERIVED")))))</x:f>
      </x:c>
      <x:c r="U812" s="2" t="str">
        <x:f>IF(B812="","","NativeTable; "&amp;E812&amp;"; "&amp;F812&amp;"; "&amp;G812&amp;"; "&amp;H812&amp;"; before "&amp;TEXT(J812,"yyyy-mm-dd")&amp;IF(I812="RECENT","; from "&amp;TEXT(L812,"yyyy-mm-dd"),""))</x:f>
      </x:c>
    </x:row>
    <x:row r="813" ht="21" customHeight="1">
      <x:c r="A813" s="2" t="n">
        <x:v>68</x:v>
      </x:c>
      <x:c r="B813" s="2" t="str">
        <x:f>IF('Input_Meci'!A73="","",'Input_Meci'!A73)</x:f>
      </x:c>
      <x:c r="C813" s="2" t="str">
        <x:v>A</x:v>
      </x:c>
      <x:c r="D813" s="2" t="str">
        <x:v>CURRENT</x:v>
      </x:c>
      <x:c r="E813" s="2" t="str">
        <x:f>IF(B813="","",'Input_Meci'!B73)</x:f>
      </x:c>
      <x:c r="F813" s="2" t="str">
        <x:f>IF(B813="","",IF('Input_Meci'!C73="","",'Input_Meci'!C73))</x:f>
      </x:c>
      <x:c r="G813" s="2" t="str">
        <x:f>IF(B813="","",'Input_Meci'!E73)</x:f>
      </x:c>
      <x:c r="H813" s="2" t="str">
        <x:v>ANY</x:v>
      </x:c>
      <x:c r="I813" s="2" t="str">
        <x:v>SEASON</x:v>
      </x:c>
      <x:c r="J813" s="9" t="n">
        <x:f>IF(AND(B813&lt;&gt;"",ISNUMBER('Input_Meci'!G73)),INT('Input_Meci'!G73),0)</x:f>
        <x:v>0</x:v>
      </x:c>
      <x:c r="K813" s="2" t="n">
        <x:f>IF(OR(B813="",F813=""),0,IF(H813="HOME",COUNTIFS('Istoric_Nativ'!$B$6:$B$405,E813,'Istoric_Nativ'!$C$6:$C$405,F813,'Istoric_Nativ'!$E$6:$E$405,G813,'Istoric_Nativ'!$D$6:$D$405,"&lt;"&amp;J813,'Istoric_Nativ'!$P$6:$P$405,1),IF(H813="AWAY",COUNTIFS('Istoric_Nativ'!$B$6:$B$405,E813,'Istoric_Nativ'!$C$6:$C$405,F813,'Istoric_Nativ'!$F$6:$F$405,G813,'Istoric_Nativ'!$D$6:$D$405,"&lt;"&amp;J813,'Istoric_Nativ'!$P$6:$P$405,1),COUNTIFS('Istoric_Nativ'!$B$6:$B$405,E813,'Istoric_Nativ'!$C$6:$C$405,F813,'Istoric_Nativ'!$E$6:$E$405,G813,'Istoric_Nativ'!$D$6:$D$405,"&lt;"&amp;J813,'Istoric_Nativ'!$P$6:$P$405,1)+COUNTIFS('Istoric_Nativ'!$B$6:$B$405,E813,'Istoric_Nativ'!$C$6:$C$405,F813,'Istoric_Nativ'!$F$6:$F$405,G813,'Istoric_Nativ'!$D$6:$D$405,"&lt;"&amp;J813,'Istoric_Nativ'!$P$6:$P$405,1))))</x:f>
        <x:v>0</x:v>
      </x:c>
      <x:c r="L813" s="17" t="n">
        <x:f>IF(AND(B813&lt;&gt;"",I813="RECENT",K813&gt;0),LARGE(_xlfn._xlws.FILTER('Istoric_Nativ'!$D$6:$D$405,('Istoric_Nativ'!$B$6:$B$405=E813)*('Istoric_Nativ'!$C$6:$C$405=F813)*('Istoric_Nativ'!$P$6:$P$405=1)*('Istoric_Nativ'!$D$6:$D$405&lt;J813)*((('Istoric_Nativ'!$E$6:$E$405=G813)+('Istoric_Nativ'!$F$6:$F$405=G813))&gt;0)),MIN('Config_v6'!$B$54,K813)),0)</x:f>
        <x:v>0</x:v>
      </x:c>
      <x:c r="M813" s="2" t="n">
        <x:f>IF(OR(B813="",F813=""),0,IF(H813="HOME",COUNTIFS('Istoric_Nativ'!$B$6:$B$405,E813,'Istoric_Nativ'!$C$6:$C$405,F813,'Istoric_Nativ'!$E$6:$E$405,G813,'Istoric_Nativ'!$D$6:$D$405,"&lt;"&amp;J813,'Istoric_Nativ'!$P$6:$P$405,1,'Istoric_Nativ'!$D$6:$D$405,"&gt;="&amp;L813),IF(H813="AWAY",COUNTIFS('Istoric_Nativ'!$B$6:$B$405,E813,'Istoric_Nativ'!$C$6:$C$405,F813,'Istoric_Nativ'!$F$6:$F$405,G813,'Istoric_Nativ'!$D$6:$D$405,"&lt;"&amp;J813,'Istoric_Nativ'!$P$6:$P$405,1,'Istoric_Nativ'!$D$6:$D$405,"&gt;="&amp;L813),COUNTIFS('Istoric_Nativ'!$B$6:$B$405,E813,'Istoric_Nativ'!$C$6:$C$405,F813,'Istoric_Nativ'!$E$6:$E$405,G813,'Istoric_Nativ'!$D$6:$D$405,"&lt;"&amp;J813,'Istoric_Nativ'!$P$6:$P$405,1,'Istoric_Nativ'!$D$6:$D$405,"&gt;="&amp;L813)+COUNTIFS('Istoric_Nativ'!$B$6:$B$405,E813,'Istoric_Nativ'!$C$6:$C$405,F813,'Istoric_Nativ'!$F$6:$F$405,G813,'Istoric_Nativ'!$D$6:$D$405,"&lt;"&amp;J813,'Istoric_Nativ'!$P$6:$P$405,1,'Istoric_Nativ'!$D$6:$D$405,"&gt;="&amp;L813))))</x:f>
        <x:v>0</x:v>
      </x:c>
      <x:c r="N813" s="11" t="str">
        <x:f>IF(M813=0,"",IF(H813="HOME",SUMIFS('Istoric_Nativ'!$G$6:$G$405,'Istoric_Nativ'!$B$6:$B$405,E813,'Istoric_Nativ'!$C$6:$C$405,F813,'Istoric_Nativ'!$E$6:$E$405,G813,'Istoric_Nativ'!$D$6:$D$405,"&lt;"&amp;J813,'Istoric_Nativ'!$P$6:$P$405,1,'Istoric_Nativ'!$D$6:$D$405,"&gt;="&amp;L813),IF(H813="AWAY",SUMIFS('Istoric_Nativ'!$H$6:$H$405,'Istoric_Nativ'!$B$6:$B$405,E813,'Istoric_Nativ'!$C$6:$C$405,F813,'Istoric_Nativ'!$F$6:$F$405,G813,'Istoric_Nativ'!$D$6:$D$405,"&lt;"&amp;J813,'Istoric_Nativ'!$P$6:$P$405,1,'Istoric_Nativ'!$D$6:$D$405,"&gt;="&amp;L813),SUMIFS('Istoric_Nativ'!$G$6:$G$405,'Istoric_Nativ'!$B$6:$B$405,E813,'Istoric_Nativ'!$C$6:$C$405,F813,'Istoric_Nativ'!$E$6:$E$405,G813,'Istoric_Nativ'!$D$6:$D$405,"&lt;"&amp;J813,'Istoric_Nativ'!$P$6:$P$405,1,'Istoric_Nativ'!$D$6:$D$405,"&gt;="&amp;L813)+SUMIFS('Istoric_Nativ'!$H$6:$H$405,'Istoric_Nativ'!$B$6:$B$405,E813,'Istoric_Nativ'!$C$6:$C$405,F813,'Istoric_Nativ'!$F$6:$F$405,G813,'Istoric_Nativ'!$D$6:$D$405,"&lt;"&amp;J813,'Istoric_Nativ'!$P$6:$P$405,1,'Istoric_Nativ'!$D$6:$D$405,"&gt;="&amp;L813)))/M813)</x:f>
      </x:c>
      <x:c r="O813" s="11" t="str">
        <x:f>IF(M813=0,"",IF(H813="HOME",SUMIFS('Istoric_Nativ'!$H$6:$H$405,'Istoric_Nativ'!$B$6:$B$405,E813,'Istoric_Nativ'!$C$6:$C$405,F813,'Istoric_Nativ'!$E$6:$E$405,G813,'Istoric_Nativ'!$D$6:$D$405,"&lt;"&amp;J813,'Istoric_Nativ'!$P$6:$P$405,1,'Istoric_Nativ'!$D$6:$D$405,"&gt;="&amp;L813),IF(H813="AWAY",SUMIFS('Istoric_Nativ'!$G$6:$G$405,'Istoric_Nativ'!$B$6:$B$405,E813,'Istoric_Nativ'!$C$6:$C$405,F813,'Istoric_Nativ'!$F$6:$F$405,G813,'Istoric_Nativ'!$D$6:$D$405,"&lt;"&amp;J813,'Istoric_Nativ'!$P$6:$P$405,1,'Istoric_Nativ'!$D$6:$D$405,"&gt;="&amp;L813),SUMIFS('Istoric_Nativ'!$H$6:$H$405,'Istoric_Nativ'!$B$6:$B$405,E813,'Istoric_Nativ'!$C$6:$C$405,F813,'Istoric_Nativ'!$E$6:$E$405,G813,'Istoric_Nativ'!$D$6:$D$405,"&lt;"&amp;J813,'Istoric_Nativ'!$P$6:$P$405,1,'Istoric_Nativ'!$D$6:$D$405,"&gt;="&amp;L813)+SUMIFS('Istoric_Nativ'!$G$6:$G$405,'Istoric_Nativ'!$B$6:$B$405,E813,'Istoric_Nativ'!$C$6:$C$405,F813,'Istoric_Nativ'!$F$6:$F$405,G813,'Istoric_Nativ'!$D$6:$D$405,"&lt;"&amp;J813,'Istoric_Nativ'!$P$6:$P$405,1,'Istoric_Nativ'!$D$6:$D$405,"&gt;="&amp;L813)))/M813)</x:f>
      </x:c>
      <x:c r="P813" s="2" t="n">
        <x:f>'Config_v6'!$B$7</x:f>
        <x:v>10</x:v>
      </x:c>
      <x:c r="Q813" s="2" t="n">
        <x:f>IF(OR(B813="",F813=""),0,IFERROR(MATCH(E813&amp;"|"&amp;F813,SourceTable[Source_Key],0),0))</x:f>
        <x:v>0</x:v>
      </x:c>
      <x:c r="R813" s="2" t="str">
        <x:f>IF(B813="","",IF(F813="","UNUSED",IF(Q813=0,"NOT CHECKED",IF(COUNTIF(SourceTable[Source_Key],E813&amp;"|"&amp;F813)&lt;&gt;1,"SOURCE CONFLICT",IF(NOT(OR(INDEX(SourceTable[Status],MAX(1,Q813))="IMPORTED",INDEX(SourceTable[Status],MAX(1,Q813))="PARTIAL",INDEX(SourceTable[Status],MAX(1,Q813))="SOURCE CONFLICT")),"ACCESS BLOCKED",IF(OR(INDEX(SourceTable[Coverage],Q813)&lt;&gt;"FULL SEASON EXPORT",INDEX(SourceTable[URL],Q813)="",INDEX(SourceTable[SHA256],Q813)=""),"EVIDENCE INCOMPLETE",IF(AND('Input_Meci'!H73="LIVE",INDEX(SourceTable[Retrieved_UTC],Q813)&gt;'Input_Meci'!G73),"POST CUTOFF","CLOSED")))))))</x:f>
      </x:c>
      <x:c r="S813" s="2" t="n">
        <x:f>IF(OR(B813="",F813=""),0,COUNTIFS('Istoric_Nativ'!$B$6:$B$405,E813,'Istoric_Nativ'!$C$6:$C$405,F813,'Istoric_Nativ'!$E$6:$E$405,G813,'Istoric_Nativ'!$D$6:$D$405,"&lt;"&amp;J813,'Istoric_Nativ'!$O$6:$O$405,"INVALID")+COUNTIFS('Istoric_Nativ'!$B$6:$B$405,E813,'Istoric_Nativ'!$C$6:$C$405,F813,'Istoric_Nativ'!$E$6:$E$405,G813,'Istoric_Nativ'!$O$6:$O$405,"INVALID",'Istoric_Nativ'!$D$6:$D$405,"*")+COUNTIFS('Istoric_Nativ'!$B$6:$B$405,E813,'Istoric_Nativ'!$C$6:$C$405,F813,'Istoric_Nativ'!$E$6:$E$405,G813,'Istoric_Nativ'!$D$6:$D$405,"&lt;"&amp;J813,'Istoric_Nativ'!$O$6:$O$405,"SOURCE CONFLICT")+COUNTIFS('Istoric_Nativ'!$B$6:$B$405,E813,'Istoric_Nativ'!$C$6:$C$405,F813,'Istoric_Nativ'!$F$6:$F$405,G813,'Istoric_Nativ'!$D$6:$D$405,"&lt;"&amp;J813,'Istoric_Nativ'!$O$6:$O$405,"INVALID")+COUNTIFS('Istoric_Nativ'!$B$6:$B$405,E813,'Istoric_Nativ'!$C$6:$C$405,F813,'Istoric_Nativ'!$F$6:$F$405,G813,'Istoric_Nativ'!$O$6:$O$405,"INVALID",'Istoric_Nativ'!$D$6:$D$405,"*")+COUNTIFS('Istoric_Nativ'!$B$6:$B$405,E813,'Istoric_Nativ'!$C$6:$C$405,F813,'Istoric_Nativ'!$F$6:$F$405,G813,'Istoric_Nativ'!$D$6:$D$405,"&lt;"&amp;J813,'Istoric_Nativ'!$O$6:$O$405,"SOURCE CONFLICT"))</x:f>
        <x:v>0</x:v>
      </x:c>
      <x:c r="T813" s="2" t="str">
        <x:f>IF(B813="","",IF(R813&lt;&gt;"CLOSED",R813,IF(S813&gt;0,"NATIVE INPUT ISSUE",IF(M813=0,"NO HISTORY",IF(M813&lt;P813,"SMALL SAMPLE","DERIVED")))))</x:f>
      </x:c>
      <x:c r="U813" s="2" t="str">
        <x:f>IF(B813="","","NativeTable; "&amp;E813&amp;"; "&amp;F813&amp;"; "&amp;G813&amp;"; "&amp;H813&amp;"; before "&amp;TEXT(J813,"yyyy-mm-dd")&amp;IF(I813="RECENT","; from "&amp;TEXT(L813,"yyyy-mm-dd"),""))</x:f>
      </x:c>
    </x:row>
    <x:row r="814" ht="21" customHeight="1">
      <x:c r="A814" s="2" t="n">
        <x:v>68</x:v>
      </x:c>
      <x:c r="B814" s="2" t="str">
        <x:f>IF('Input_Meci'!A73="","",'Input_Meci'!A73)</x:f>
      </x:c>
      <x:c r="C814" s="2" t="str">
        <x:v>A</x:v>
      </x:c>
      <x:c r="D814" s="2" t="str">
        <x:v>CURRENT</x:v>
      </x:c>
      <x:c r="E814" s="2" t="str">
        <x:f>IF(B814="","",'Input_Meci'!B73)</x:f>
      </x:c>
      <x:c r="F814" s="2" t="str">
        <x:f>IF(B814="","",IF('Input_Meci'!C73="","",'Input_Meci'!C73))</x:f>
      </x:c>
      <x:c r="G814" s="2" t="str">
        <x:f>IF(B814="","",'Input_Meci'!E73)</x:f>
      </x:c>
      <x:c r="H814" s="2" t="str">
        <x:v>AWAY</x:v>
      </x:c>
      <x:c r="I814" s="2" t="str">
        <x:v>HA</x:v>
      </x:c>
      <x:c r="J814" s="9" t="n">
        <x:f>IF(AND(B814&lt;&gt;"",ISNUMBER('Input_Meci'!G73)),INT('Input_Meci'!G73),0)</x:f>
        <x:v>0</x:v>
      </x:c>
      <x:c r="K814" s="2" t="n">
        <x:f>IF(OR(B814="",F814=""),0,IF(H814="HOME",COUNTIFS('Istoric_Nativ'!$B$6:$B$405,E814,'Istoric_Nativ'!$C$6:$C$405,F814,'Istoric_Nativ'!$E$6:$E$405,G814,'Istoric_Nativ'!$D$6:$D$405,"&lt;"&amp;J814,'Istoric_Nativ'!$P$6:$P$405,1),IF(H814="AWAY",COUNTIFS('Istoric_Nativ'!$B$6:$B$405,E814,'Istoric_Nativ'!$C$6:$C$405,F814,'Istoric_Nativ'!$F$6:$F$405,G814,'Istoric_Nativ'!$D$6:$D$405,"&lt;"&amp;J814,'Istoric_Nativ'!$P$6:$P$405,1),COUNTIFS('Istoric_Nativ'!$B$6:$B$405,E814,'Istoric_Nativ'!$C$6:$C$405,F814,'Istoric_Nativ'!$E$6:$E$405,G814,'Istoric_Nativ'!$D$6:$D$405,"&lt;"&amp;J814,'Istoric_Nativ'!$P$6:$P$405,1)+COUNTIFS('Istoric_Nativ'!$B$6:$B$405,E814,'Istoric_Nativ'!$C$6:$C$405,F814,'Istoric_Nativ'!$F$6:$F$405,G814,'Istoric_Nativ'!$D$6:$D$405,"&lt;"&amp;J814,'Istoric_Nativ'!$P$6:$P$405,1))))</x:f>
        <x:v>0</x:v>
      </x:c>
      <x:c r="L814" s="17" t="n">
        <x:f>IF(AND(B814&lt;&gt;"",I814="RECENT",K814&gt;0),LARGE(_xlfn._xlws.FILTER('Istoric_Nativ'!$D$6:$D$405,('Istoric_Nativ'!$B$6:$B$405=E814)*('Istoric_Nativ'!$C$6:$C$405=F814)*('Istoric_Nativ'!$P$6:$P$405=1)*('Istoric_Nativ'!$D$6:$D$405&lt;J814)*((('Istoric_Nativ'!$E$6:$E$405=G814)+('Istoric_Nativ'!$F$6:$F$405=G814))&gt;0)),MIN('Config_v6'!$B$54,K814)),0)</x:f>
        <x:v>0</x:v>
      </x:c>
      <x:c r="M814" s="2" t="n">
        <x:f>IF(OR(B814="",F814=""),0,IF(H814="HOME",COUNTIFS('Istoric_Nativ'!$B$6:$B$405,E814,'Istoric_Nativ'!$C$6:$C$405,F814,'Istoric_Nativ'!$E$6:$E$405,G814,'Istoric_Nativ'!$D$6:$D$405,"&lt;"&amp;J814,'Istoric_Nativ'!$P$6:$P$405,1,'Istoric_Nativ'!$D$6:$D$405,"&gt;="&amp;L814),IF(H814="AWAY",COUNTIFS('Istoric_Nativ'!$B$6:$B$405,E814,'Istoric_Nativ'!$C$6:$C$405,F814,'Istoric_Nativ'!$F$6:$F$405,G814,'Istoric_Nativ'!$D$6:$D$405,"&lt;"&amp;J814,'Istoric_Nativ'!$P$6:$P$405,1,'Istoric_Nativ'!$D$6:$D$405,"&gt;="&amp;L814),COUNTIFS('Istoric_Nativ'!$B$6:$B$405,E814,'Istoric_Nativ'!$C$6:$C$405,F814,'Istoric_Nativ'!$E$6:$E$405,G814,'Istoric_Nativ'!$D$6:$D$405,"&lt;"&amp;J814,'Istoric_Nativ'!$P$6:$P$405,1,'Istoric_Nativ'!$D$6:$D$405,"&gt;="&amp;L814)+COUNTIFS('Istoric_Nativ'!$B$6:$B$405,E814,'Istoric_Nativ'!$C$6:$C$405,F814,'Istoric_Nativ'!$F$6:$F$405,G814,'Istoric_Nativ'!$D$6:$D$405,"&lt;"&amp;J814,'Istoric_Nativ'!$P$6:$P$405,1,'Istoric_Nativ'!$D$6:$D$405,"&gt;="&amp;L814))))</x:f>
        <x:v>0</x:v>
      </x:c>
      <x:c r="N814" s="11" t="str">
        <x:f>IF(M814=0,"",IF(H814="HOME",SUMIFS('Istoric_Nativ'!$G$6:$G$405,'Istoric_Nativ'!$B$6:$B$405,E814,'Istoric_Nativ'!$C$6:$C$405,F814,'Istoric_Nativ'!$E$6:$E$405,G814,'Istoric_Nativ'!$D$6:$D$405,"&lt;"&amp;J814,'Istoric_Nativ'!$P$6:$P$405,1,'Istoric_Nativ'!$D$6:$D$405,"&gt;="&amp;L814),IF(H814="AWAY",SUMIFS('Istoric_Nativ'!$H$6:$H$405,'Istoric_Nativ'!$B$6:$B$405,E814,'Istoric_Nativ'!$C$6:$C$405,F814,'Istoric_Nativ'!$F$6:$F$405,G814,'Istoric_Nativ'!$D$6:$D$405,"&lt;"&amp;J814,'Istoric_Nativ'!$P$6:$P$405,1,'Istoric_Nativ'!$D$6:$D$405,"&gt;="&amp;L814),SUMIFS('Istoric_Nativ'!$G$6:$G$405,'Istoric_Nativ'!$B$6:$B$405,E814,'Istoric_Nativ'!$C$6:$C$405,F814,'Istoric_Nativ'!$E$6:$E$405,G814,'Istoric_Nativ'!$D$6:$D$405,"&lt;"&amp;J814,'Istoric_Nativ'!$P$6:$P$405,1,'Istoric_Nativ'!$D$6:$D$405,"&gt;="&amp;L814)+SUMIFS('Istoric_Nativ'!$H$6:$H$405,'Istoric_Nativ'!$B$6:$B$405,E814,'Istoric_Nativ'!$C$6:$C$405,F814,'Istoric_Nativ'!$F$6:$F$405,G814,'Istoric_Nativ'!$D$6:$D$405,"&lt;"&amp;J814,'Istoric_Nativ'!$P$6:$P$405,1,'Istoric_Nativ'!$D$6:$D$405,"&gt;="&amp;L814)))/M814)</x:f>
      </x:c>
      <x:c r="O814" s="11" t="str">
        <x:f>IF(M814=0,"",IF(H814="HOME",SUMIFS('Istoric_Nativ'!$H$6:$H$405,'Istoric_Nativ'!$B$6:$B$405,E814,'Istoric_Nativ'!$C$6:$C$405,F814,'Istoric_Nativ'!$E$6:$E$405,G814,'Istoric_Nativ'!$D$6:$D$405,"&lt;"&amp;J814,'Istoric_Nativ'!$P$6:$P$405,1,'Istoric_Nativ'!$D$6:$D$405,"&gt;="&amp;L814),IF(H814="AWAY",SUMIFS('Istoric_Nativ'!$G$6:$G$405,'Istoric_Nativ'!$B$6:$B$405,E814,'Istoric_Nativ'!$C$6:$C$405,F814,'Istoric_Nativ'!$F$6:$F$405,G814,'Istoric_Nativ'!$D$6:$D$405,"&lt;"&amp;J814,'Istoric_Nativ'!$P$6:$P$405,1,'Istoric_Nativ'!$D$6:$D$405,"&gt;="&amp;L814),SUMIFS('Istoric_Nativ'!$H$6:$H$405,'Istoric_Nativ'!$B$6:$B$405,E814,'Istoric_Nativ'!$C$6:$C$405,F814,'Istoric_Nativ'!$E$6:$E$405,G814,'Istoric_Nativ'!$D$6:$D$405,"&lt;"&amp;J814,'Istoric_Nativ'!$P$6:$P$405,1,'Istoric_Nativ'!$D$6:$D$405,"&gt;="&amp;L814)+SUMIFS('Istoric_Nativ'!$G$6:$G$405,'Istoric_Nativ'!$B$6:$B$405,E814,'Istoric_Nativ'!$C$6:$C$405,F814,'Istoric_Nativ'!$F$6:$F$405,G814,'Istoric_Nativ'!$D$6:$D$405,"&lt;"&amp;J814,'Istoric_Nativ'!$P$6:$P$405,1,'Istoric_Nativ'!$D$6:$D$405,"&gt;="&amp;L814)))/M814)</x:f>
      </x:c>
      <x:c r="P814" s="2" t="n">
        <x:f>'Config_v6'!$B$8</x:f>
        <x:v>5</x:v>
      </x:c>
      <x:c r="Q814" s="2" t="n">
        <x:f>IF(OR(B814="",F814=""),0,IFERROR(MATCH(E814&amp;"|"&amp;F814,SourceTable[Source_Key],0),0))</x:f>
        <x:v>0</x:v>
      </x:c>
      <x:c r="R814" s="2" t="str">
        <x:f>IF(B814="","",IF(F814="","UNUSED",IF(Q814=0,"NOT CHECKED",IF(COUNTIF(SourceTable[Source_Key],E814&amp;"|"&amp;F814)&lt;&gt;1,"SOURCE CONFLICT",IF(NOT(OR(INDEX(SourceTable[Status],MAX(1,Q814))="IMPORTED",INDEX(SourceTable[Status],MAX(1,Q814))="PARTIAL",INDEX(SourceTable[Status],MAX(1,Q814))="SOURCE CONFLICT")),"ACCESS BLOCKED",IF(OR(INDEX(SourceTable[Coverage],Q814)&lt;&gt;"FULL SEASON EXPORT",INDEX(SourceTable[URL],Q814)="",INDEX(SourceTable[SHA256],Q814)=""),"EVIDENCE INCOMPLETE",IF(AND('Input_Meci'!H73="LIVE",INDEX(SourceTable[Retrieved_UTC],Q814)&gt;'Input_Meci'!G73),"POST CUTOFF","CLOSED")))))))</x:f>
      </x:c>
      <x:c r="S814" s="2" t="n">
        <x:f>IF(OR(B814="",F814=""),0,COUNTIFS('Istoric_Nativ'!$B$6:$B$405,E814,'Istoric_Nativ'!$C$6:$C$405,F814,'Istoric_Nativ'!$E$6:$E$405,G814,'Istoric_Nativ'!$D$6:$D$405,"&lt;"&amp;J814,'Istoric_Nativ'!$O$6:$O$405,"INVALID")+COUNTIFS('Istoric_Nativ'!$B$6:$B$405,E814,'Istoric_Nativ'!$C$6:$C$405,F814,'Istoric_Nativ'!$E$6:$E$405,G814,'Istoric_Nativ'!$O$6:$O$405,"INVALID",'Istoric_Nativ'!$D$6:$D$405,"*")+COUNTIFS('Istoric_Nativ'!$B$6:$B$405,E814,'Istoric_Nativ'!$C$6:$C$405,F814,'Istoric_Nativ'!$E$6:$E$405,G814,'Istoric_Nativ'!$D$6:$D$405,"&lt;"&amp;J814,'Istoric_Nativ'!$O$6:$O$405,"SOURCE CONFLICT")+COUNTIFS('Istoric_Nativ'!$B$6:$B$405,E814,'Istoric_Nativ'!$C$6:$C$405,F814,'Istoric_Nativ'!$F$6:$F$405,G814,'Istoric_Nativ'!$D$6:$D$405,"&lt;"&amp;J814,'Istoric_Nativ'!$O$6:$O$405,"INVALID")+COUNTIFS('Istoric_Nativ'!$B$6:$B$405,E814,'Istoric_Nativ'!$C$6:$C$405,F814,'Istoric_Nativ'!$F$6:$F$405,G814,'Istoric_Nativ'!$O$6:$O$405,"INVALID",'Istoric_Nativ'!$D$6:$D$405,"*")+COUNTIFS('Istoric_Nativ'!$B$6:$B$405,E814,'Istoric_Nativ'!$C$6:$C$405,F814,'Istoric_Nativ'!$F$6:$F$405,G814,'Istoric_Nativ'!$D$6:$D$405,"&lt;"&amp;J814,'Istoric_Nativ'!$O$6:$O$405,"SOURCE CONFLICT"))</x:f>
        <x:v>0</x:v>
      </x:c>
      <x:c r="T814" s="2" t="str">
        <x:f>IF(B814="","",IF(R814&lt;&gt;"CLOSED",R814,IF(S814&gt;0,"NATIVE INPUT ISSUE",IF(M814=0,"NO HISTORY",IF(M814&lt;P814,"SMALL SAMPLE","DERIVED")))))</x:f>
      </x:c>
      <x:c r="U814" s="2" t="str">
        <x:f>IF(B814="","","NativeTable; "&amp;E814&amp;"; "&amp;F814&amp;"; "&amp;G814&amp;"; "&amp;H814&amp;"; before "&amp;TEXT(J814,"yyyy-mm-dd")&amp;IF(I814="RECENT","; from "&amp;TEXT(L814,"yyyy-mm-dd"),""))</x:f>
      </x:c>
    </x:row>
    <x:row r="815" ht="21" customHeight="1">
      <x:c r="A815" s="2" t="n">
        <x:v>68</x:v>
      </x:c>
      <x:c r="B815" s="2" t="str">
        <x:f>IF('Input_Meci'!A73="","",'Input_Meci'!A73)</x:f>
      </x:c>
      <x:c r="C815" s="2" t="str">
        <x:v>A</x:v>
      </x:c>
      <x:c r="D815" s="2" t="str">
        <x:v>CURRENT</x:v>
      </x:c>
      <x:c r="E815" s="2" t="str">
        <x:f>IF(B815="","",'Input_Meci'!B73)</x:f>
      </x:c>
      <x:c r="F815" s="2" t="str">
        <x:f>IF(B815="","",IF('Input_Meci'!C73="","",'Input_Meci'!C73))</x:f>
      </x:c>
      <x:c r="G815" s="2" t="str">
        <x:f>IF(B815="","",'Input_Meci'!E73)</x:f>
      </x:c>
      <x:c r="H815" s="2" t="str">
        <x:v>ANY</x:v>
      </x:c>
      <x:c r="I815" s="2" t="str">
        <x:v>RECENT</x:v>
      </x:c>
      <x:c r="J815" s="9" t="n">
        <x:f>IF(AND(B815&lt;&gt;"",ISNUMBER('Input_Meci'!G73)),INT('Input_Meci'!G73),0)</x:f>
        <x:v>0</x:v>
      </x:c>
      <x:c r="K815" s="2" t="n">
        <x:f>IF(OR(B815="",F815=""),0,IF(H815="HOME",COUNTIFS('Istoric_Nativ'!$B$6:$B$405,E815,'Istoric_Nativ'!$C$6:$C$405,F815,'Istoric_Nativ'!$E$6:$E$405,G815,'Istoric_Nativ'!$D$6:$D$405,"&lt;"&amp;J815,'Istoric_Nativ'!$P$6:$P$405,1),IF(H815="AWAY",COUNTIFS('Istoric_Nativ'!$B$6:$B$405,E815,'Istoric_Nativ'!$C$6:$C$405,F815,'Istoric_Nativ'!$F$6:$F$405,G815,'Istoric_Nativ'!$D$6:$D$405,"&lt;"&amp;J815,'Istoric_Nativ'!$P$6:$P$405,1),COUNTIFS('Istoric_Nativ'!$B$6:$B$405,E815,'Istoric_Nativ'!$C$6:$C$405,F815,'Istoric_Nativ'!$E$6:$E$405,G815,'Istoric_Nativ'!$D$6:$D$405,"&lt;"&amp;J815,'Istoric_Nativ'!$P$6:$P$405,1)+COUNTIFS('Istoric_Nativ'!$B$6:$B$405,E815,'Istoric_Nativ'!$C$6:$C$405,F815,'Istoric_Nativ'!$F$6:$F$405,G815,'Istoric_Nativ'!$D$6:$D$405,"&lt;"&amp;J815,'Istoric_Nativ'!$P$6:$P$405,1))))</x:f>
        <x:v>0</x:v>
      </x:c>
      <x:c r="L815" s="17" t="n">
        <x:f>IF(AND(B815&lt;&gt;"",I815="RECENT",K815&gt;0),LARGE(_xlfn._xlws.FILTER('Istoric_Nativ'!$D$6:$D$405,('Istoric_Nativ'!$B$6:$B$405=E815)*('Istoric_Nativ'!$C$6:$C$405=F815)*('Istoric_Nativ'!$P$6:$P$405=1)*('Istoric_Nativ'!$D$6:$D$405&lt;J815)*((('Istoric_Nativ'!$E$6:$E$405=G815)+('Istoric_Nativ'!$F$6:$F$405=G815))&gt;0)),MIN('Config_v6'!$B$54,K815)),0)</x:f>
        <x:v>0</x:v>
      </x:c>
      <x:c r="M815" s="2" t="n">
        <x:f>IF(OR(B815="",F815=""),0,IF(H815="HOME",COUNTIFS('Istoric_Nativ'!$B$6:$B$405,E815,'Istoric_Nativ'!$C$6:$C$405,F815,'Istoric_Nativ'!$E$6:$E$405,G815,'Istoric_Nativ'!$D$6:$D$405,"&lt;"&amp;J815,'Istoric_Nativ'!$P$6:$P$405,1,'Istoric_Nativ'!$D$6:$D$405,"&gt;="&amp;L815),IF(H815="AWAY",COUNTIFS('Istoric_Nativ'!$B$6:$B$405,E815,'Istoric_Nativ'!$C$6:$C$405,F815,'Istoric_Nativ'!$F$6:$F$405,G815,'Istoric_Nativ'!$D$6:$D$405,"&lt;"&amp;J815,'Istoric_Nativ'!$P$6:$P$405,1,'Istoric_Nativ'!$D$6:$D$405,"&gt;="&amp;L815),COUNTIFS('Istoric_Nativ'!$B$6:$B$405,E815,'Istoric_Nativ'!$C$6:$C$405,F815,'Istoric_Nativ'!$E$6:$E$405,G815,'Istoric_Nativ'!$D$6:$D$405,"&lt;"&amp;J815,'Istoric_Nativ'!$P$6:$P$405,1,'Istoric_Nativ'!$D$6:$D$405,"&gt;="&amp;L815)+COUNTIFS('Istoric_Nativ'!$B$6:$B$405,E815,'Istoric_Nativ'!$C$6:$C$405,F815,'Istoric_Nativ'!$F$6:$F$405,G815,'Istoric_Nativ'!$D$6:$D$405,"&lt;"&amp;J815,'Istoric_Nativ'!$P$6:$P$405,1,'Istoric_Nativ'!$D$6:$D$405,"&gt;="&amp;L815))))</x:f>
        <x:v>0</x:v>
      </x:c>
      <x:c r="N815" s="11" t="str">
        <x:f>IF(M815=0,"",IF(H815="HOME",SUMIFS('Istoric_Nativ'!$G$6:$G$405,'Istoric_Nativ'!$B$6:$B$405,E815,'Istoric_Nativ'!$C$6:$C$405,F815,'Istoric_Nativ'!$E$6:$E$405,G815,'Istoric_Nativ'!$D$6:$D$405,"&lt;"&amp;J815,'Istoric_Nativ'!$P$6:$P$405,1,'Istoric_Nativ'!$D$6:$D$405,"&gt;="&amp;L815),IF(H815="AWAY",SUMIFS('Istoric_Nativ'!$H$6:$H$405,'Istoric_Nativ'!$B$6:$B$405,E815,'Istoric_Nativ'!$C$6:$C$405,F815,'Istoric_Nativ'!$F$6:$F$405,G815,'Istoric_Nativ'!$D$6:$D$405,"&lt;"&amp;J815,'Istoric_Nativ'!$P$6:$P$405,1,'Istoric_Nativ'!$D$6:$D$405,"&gt;="&amp;L815),SUMIFS('Istoric_Nativ'!$G$6:$G$405,'Istoric_Nativ'!$B$6:$B$405,E815,'Istoric_Nativ'!$C$6:$C$405,F815,'Istoric_Nativ'!$E$6:$E$405,G815,'Istoric_Nativ'!$D$6:$D$405,"&lt;"&amp;J815,'Istoric_Nativ'!$P$6:$P$405,1,'Istoric_Nativ'!$D$6:$D$405,"&gt;="&amp;L815)+SUMIFS('Istoric_Nativ'!$H$6:$H$405,'Istoric_Nativ'!$B$6:$B$405,E815,'Istoric_Nativ'!$C$6:$C$405,F815,'Istoric_Nativ'!$F$6:$F$405,G815,'Istoric_Nativ'!$D$6:$D$405,"&lt;"&amp;J815,'Istoric_Nativ'!$P$6:$P$405,1,'Istoric_Nativ'!$D$6:$D$405,"&gt;="&amp;L815)))/M815)</x:f>
      </x:c>
      <x:c r="O815" s="11" t="str">
        <x:f>IF(M815=0,"",IF(H815="HOME",SUMIFS('Istoric_Nativ'!$H$6:$H$405,'Istoric_Nativ'!$B$6:$B$405,E815,'Istoric_Nativ'!$C$6:$C$405,F815,'Istoric_Nativ'!$E$6:$E$405,G815,'Istoric_Nativ'!$D$6:$D$405,"&lt;"&amp;J815,'Istoric_Nativ'!$P$6:$P$405,1,'Istoric_Nativ'!$D$6:$D$405,"&gt;="&amp;L815),IF(H815="AWAY",SUMIFS('Istoric_Nativ'!$G$6:$G$405,'Istoric_Nativ'!$B$6:$B$405,E815,'Istoric_Nativ'!$C$6:$C$405,F815,'Istoric_Nativ'!$F$6:$F$405,G815,'Istoric_Nativ'!$D$6:$D$405,"&lt;"&amp;J815,'Istoric_Nativ'!$P$6:$P$405,1,'Istoric_Nativ'!$D$6:$D$405,"&gt;="&amp;L815),SUMIFS('Istoric_Nativ'!$H$6:$H$405,'Istoric_Nativ'!$B$6:$B$405,E815,'Istoric_Nativ'!$C$6:$C$405,F815,'Istoric_Nativ'!$E$6:$E$405,G815,'Istoric_Nativ'!$D$6:$D$405,"&lt;"&amp;J815,'Istoric_Nativ'!$P$6:$P$405,1,'Istoric_Nativ'!$D$6:$D$405,"&gt;="&amp;L815)+SUMIFS('Istoric_Nativ'!$G$6:$G$405,'Istoric_Nativ'!$B$6:$B$405,E815,'Istoric_Nativ'!$C$6:$C$405,F815,'Istoric_Nativ'!$F$6:$F$405,G815,'Istoric_Nativ'!$D$6:$D$405,"&lt;"&amp;J815,'Istoric_Nativ'!$P$6:$P$405,1,'Istoric_Nativ'!$D$6:$D$405,"&gt;="&amp;L815)))/M815)</x:f>
      </x:c>
      <x:c r="P815" s="2" t="n">
        <x:f>'Config_v6'!$B$9</x:f>
        <x:v>3</x:v>
      </x:c>
      <x:c r="Q815" s="2" t="n">
        <x:f>IF(OR(B815="",F815=""),0,IFERROR(MATCH(E815&amp;"|"&amp;F815,SourceTable[Source_Key],0),0))</x:f>
        <x:v>0</x:v>
      </x:c>
      <x:c r="R815" s="2" t="str">
        <x:f>IF(B815="","",IF(F815="","UNUSED",IF(Q815=0,"NOT CHECKED",IF(COUNTIF(SourceTable[Source_Key],E815&amp;"|"&amp;F815)&lt;&gt;1,"SOURCE CONFLICT",IF(NOT(OR(INDEX(SourceTable[Status],MAX(1,Q815))="IMPORTED",INDEX(SourceTable[Status],MAX(1,Q815))="PARTIAL",INDEX(SourceTable[Status],MAX(1,Q815))="SOURCE CONFLICT")),"ACCESS BLOCKED",IF(OR(INDEX(SourceTable[Coverage],Q815)&lt;&gt;"FULL SEASON EXPORT",INDEX(SourceTable[URL],Q815)="",INDEX(SourceTable[SHA256],Q815)=""),"EVIDENCE INCOMPLETE",IF(AND('Input_Meci'!H73="LIVE",INDEX(SourceTable[Retrieved_UTC],Q815)&gt;'Input_Meci'!G73),"POST CUTOFF","CLOSED")))))))</x:f>
      </x:c>
      <x:c r="S815" s="2" t="n">
        <x:f>IF(OR(B815="",F815=""),0,COUNTIFS('Istoric_Nativ'!$B$6:$B$405,E815,'Istoric_Nativ'!$C$6:$C$405,F815,'Istoric_Nativ'!$E$6:$E$405,G815,'Istoric_Nativ'!$D$6:$D$405,"&lt;"&amp;J815,'Istoric_Nativ'!$O$6:$O$405,"INVALID")+COUNTIFS('Istoric_Nativ'!$B$6:$B$405,E815,'Istoric_Nativ'!$C$6:$C$405,F815,'Istoric_Nativ'!$E$6:$E$405,G815,'Istoric_Nativ'!$O$6:$O$405,"INVALID",'Istoric_Nativ'!$D$6:$D$405,"*")+COUNTIFS('Istoric_Nativ'!$B$6:$B$405,E815,'Istoric_Nativ'!$C$6:$C$405,F815,'Istoric_Nativ'!$E$6:$E$405,G815,'Istoric_Nativ'!$D$6:$D$405,"&lt;"&amp;J815,'Istoric_Nativ'!$O$6:$O$405,"SOURCE CONFLICT")+COUNTIFS('Istoric_Nativ'!$B$6:$B$405,E815,'Istoric_Nativ'!$C$6:$C$405,F815,'Istoric_Nativ'!$F$6:$F$405,G815,'Istoric_Nativ'!$D$6:$D$405,"&lt;"&amp;J815,'Istoric_Nativ'!$O$6:$O$405,"INVALID")+COUNTIFS('Istoric_Nativ'!$B$6:$B$405,E815,'Istoric_Nativ'!$C$6:$C$405,F815,'Istoric_Nativ'!$F$6:$F$405,G815,'Istoric_Nativ'!$O$6:$O$405,"INVALID",'Istoric_Nativ'!$D$6:$D$405,"*")+COUNTIFS('Istoric_Nativ'!$B$6:$B$405,E815,'Istoric_Nativ'!$C$6:$C$405,F815,'Istoric_Nativ'!$F$6:$F$405,G815,'Istoric_Nativ'!$D$6:$D$405,"&lt;"&amp;J815,'Istoric_Nativ'!$O$6:$O$405,"SOURCE CONFLICT"))</x:f>
        <x:v>0</x:v>
      </x:c>
      <x:c r="T815" s="2" t="str">
        <x:f>IF(B815="","",IF(R815&lt;&gt;"CLOSED",R815,IF(S815&gt;0,"NATIVE INPUT ISSUE",IF(M815=0,"NO HISTORY",IF(M815&lt;P815,"SMALL SAMPLE","DERIVED")))))</x:f>
      </x:c>
      <x:c r="U815" s="2" t="str">
        <x:f>IF(B815="","","NativeTable; "&amp;E815&amp;"; "&amp;F815&amp;"; "&amp;G815&amp;"; "&amp;H815&amp;"; before "&amp;TEXT(J815,"yyyy-mm-dd")&amp;IF(I815="RECENT","; from "&amp;TEXT(L815,"yyyy-mm-dd"),""))</x:f>
      </x:c>
    </x:row>
    <x:row r="816" ht="21" customHeight="1">
      <x:c r="A816" s="2" t="n">
        <x:v>68</x:v>
      </x:c>
      <x:c r="B816" s="2" t="str">
        <x:f>IF('Input_Meci'!A73="","",'Input_Meci'!A73)</x:f>
      </x:c>
      <x:c r="C816" s="2" t="str">
        <x:v>H</x:v>
      </x:c>
      <x:c r="D816" s="2" t="str">
        <x:v>PRIOR</x:v>
      </x:c>
      <x:c r="E816" s="2" t="str">
        <x:f>IF(B816="","",'Input_Meci'!B73)</x:f>
      </x:c>
      <x:c r="F816" s="2" t="str">
        <x:f>IF(B816="","",IF('Input_Meci'!K73="","",'Input_Meci'!K73))</x:f>
      </x:c>
      <x:c r="G816" s="2" t="str">
        <x:f>IF(B816="","",'Input_Meci'!D73)</x:f>
      </x:c>
      <x:c r="H816" s="2" t="str">
        <x:v>ANY</x:v>
      </x:c>
      <x:c r="I816" s="2" t="str">
        <x:v>SEASON</x:v>
      </x:c>
      <x:c r="J816" s="9" t="n">
        <x:f>IF(AND(B816&lt;&gt;"",ISNUMBER('Input_Meci'!G73)),INT('Input_Meci'!G73),0)</x:f>
        <x:v>0</x:v>
      </x:c>
      <x:c r="K816" s="2" t="n">
        <x:f>IF(OR(B816="",F816=""),0,IF(H816="HOME",COUNTIFS('Istoric_Nativ'!$B$6:$B$405,E816,'Istoric_Nativ'!$C$6:$C$405,F816,'Istoric_Nativ'!$E$6:$E$405,G816,'Istoric_Nativ'!$D$6:$D$405,"&lt;"&amp;J816,'Istoric_Nativ'!$P$6:$P$405,1),IF(H816="AWAY",COUNTIFS('Istoric_Nativ'!$B$6:$B$405,E816,'Istoric_Nativ'!$C$6:$C$405,F816,'Istoric_Nativ'!$F$6:$F$405,G816,'Istoric_Nativ'!$D$6:$D$405,"&lt;"&amp;J816,'Istoric_Nativ'!$P$6:$P$405,1),COUNTIFS('Istoric_Nativ'!$B$6:$B$405,E816,'Istoric_Nativ'!$C$6:$C$405,F816,'Istoric_Nativ'!$E$6:$E$405,G816,'Istoric_Nativ'!$D$6:$D$405,"&lt;"&amp;J816,'Istoric_Nativ'!$P$6:$P$405,1)+COUNTIFS('Istoric_Nativ'!$B$6:$B$405,E816,'Istoric_Nativ'!$C$6:$C$405,F816,'Istoric_Nativ'!$F$6:$F$405,G816,'Istoric_Nativ'!$D$6:$D$405,"&lt;"&amp;J816,'Istoric_Nativ'!$P$6:$P$405,1))))</x:f>
        <x:v>0</x:v>
      </x:c>
      <x:c r="L816" s="17" t="n">
        <x:f>IF(AND(B816&lt;&gt;"",I816="RECENT",K816&gt;0),LARGE(_xlfn._xlws.FILTER('Istoric_Nativ'!$D$6:$D$405,('Istoric_Nativ'!$B$6:$B$405=E816)*('Istoric_Nativ'!$C$6:$C$405=F816)*('Istoric_Nativ'!$P$6:$P$405=1)*('Istoric_Nativ'!$D$6:$D$405&lt;J816)*((('Istoric_Nativ'!$E$6:$E$405=G816)+('Istoric_Nativ'!$F$6:$F$405=G816))&gt;0)),MIN('Config_v6'!$B$54,K816)),0)</x:f>
        <x:v>0</x:v>
      </x:c>
      <x:c r="M816" s="2" t="n">
        <x:f>IF(OR(B816="",F816=""),0,IF(H816="HOME",COUNTIFS('Istoric_Nativ'!$B$6:$B$405,E816,'Istoric_Nativ'!$C$6:$C$405,F816,'Istoric_Nativ'!$E$6:$E$405,G816,'Istoric_Nativ'!$D$6:$D$405,"&lt;"&amp;J816,'Istoric_Nativ'!$P$6:$P$405,1,'Istoric_Nativ'!$D$6:$D$405,"&gt;="&amp;L816),IF(H816="AWAY",COUNTIFS('Istoric_Nativ'!$B$6:$B$405,E816,'Istoric_Nativ'!$C$6:$C$405,F816,'Istoric_Nativ'!$F$6:$F$405,G816,'Istoric_Nativ'!$D$6:$D$405,"&lt;"&amp;J816,'Istoric_Nativ'!$P$6:$P$405,1,'Istoric_Nativ'!$D$6:$D$405,"&gt;="&amp;L816),COUNTIFS('Istoric_Nativ'!$B$6:$B$405,E816,'Istoric_Nativ'!$C$6:$C$405,F816,'Istoric_Nativ'!$E$6:$E$405,G816,'Istoric_Nativ'!$D$6:$D$405,"&lt;"&amp;J816,'Istoric_Nativ'!$P$6:$P$405,1,'Istoric_Nativ'!$D$6:$D$405,"&gt;="&amp;L816)+COUNTIFS('Istoric_Nativ'!$B$6:$B$405,E816,'Istoric_Nativ'!$C$6:$C$405,F816,'Istoric_Nativ'!$F$6:$F$405,G816,'Istoric_Nativ'!$D$6:$D$405,"&lt;"&amp;J816,'Istoric_Nativ'!$P$6:$P$405,1,'Istoric_Nativ'!$D$6:$D$405,"&gt;="&amp;L816))))</x:f>
        <x:v>0</x:v>
      </x:c>
      <x:c r="N816" s="11" t="str">
        <x:f>IF(M816=0,"",IF(H816="HOME",SUMIFS('Istoric_Nativ'!$G$6:$G$405,'Istoric_Nativ'!$B$6:$B$405,E816,'Istoric_Nativ'!$C$6:$C$405,F816,'Istoric_Nativ'!$E$6:$E$405,G816,'Istoric_Nativ'!$D$6:$D$405,"&lt;"&amp;J816,'Istoric_Nativ'!$P$6:$P$405,1,'Istoric_Nativ'!$D$6:$D$405,"&gt;="&amp;L816),IF(H816="AWAY",SUMIFS('Istoric_Nativ'!$H$6:$H$405,'Istoric_Nativ'!$B$6:$B$405,E816,'Istoric_Nativ'!$C$6:$C$405,F816,'Istoric_Nativ'!$F$6:$F$405,G816,'Istoric_Nativ'!$D$6:$D$405,"&lt;"&amp;J816,'Istoric_Nativ'!$P$6:$P$405,1,'Istoric_Nativ'!$D$6:$D$405,"&gt;="&amp;L816),SUMIFS('Istoric_Nativ'!$G$6:$G$405,'Istoric_Nativ'!$B$6:$B$405,E816,'Istoric_Nativ'!$C$6:$C$405,F816,'Istoric_Nativ'!$E$6:$E$405,G816,'Istoric_Nativ'!$D$6:$D$405,"&lt;"&amp;J816,'Istoric_Nativ'!$P$6:$P$405,1,'Istoric_Nativ'!$D$6:$D$405,"&gt;="&amp;L816)+SUMIFS('Istoric_Nativ'!$H$6:$H$405,'Istoric_Nativ'!$B$6:$B$405,E816,'Istoric_Nativ'!$C$6:$C$405,F816,'Istoric_Nativ'!$F$6:$F$405,G816,'Istoric_Nativ'!$D$6:$D$405,"&lt;"&amp;J816,'Istoric_Nativ'!$P$6:$P$405,1,'Istoric_Nativ'!$D$6:$D$405,"&gt;="&amp;L816)))/M816)</x:f>
      </x:c>
      <x:c r="O816" s="11" t="str">
        <x:f>IF(M816=0,"",IF(H816="HOME",SUMIFS('Istoric_Nativ'!$H$6:$H$405,'Istoric_Nativ'!$B$6:$B$405,E816,'Istoric_Nativ'!$C$6:$C$405,F816,'Istoric_Nativ'!$E$6:$E$405,G816,'Istoric_Nativ'!$D$6:$D$405,"&lt;"&amp;J816,'Istoric_Nativ'!$P$6:$P$405,1,'Istoric_Nativ'!$D$6:$D$405,"&gt;="&amp;L816),IF(H816="AWAY",SUMIFS('Istoric_Nativ'!$G$6:$G$405,'Istoric_Nativ'!$B$6:$B$405,E816,'Istoric_Nativ'!$C$6:$C$405,F816,'Istoric_Nativ'!$F$6:$F$405,G816,'Istoric_Nativ'!$D$6:$D$405,"&lt;"&amp;J816,'Istoric_Nativ'!$P$6:$P$405,1,'Istoric_Nativ'!$D$6:$D$405,"&gt;="&amp;L816),SUMIFS('Istoric_Nativ'!$H$6:$H$405,'Istoric_Nativ'!$B$6:$B$405,E816,'Istoric_Nativ'!$C$6:$C$405,F816,'Istoric_Nativ'!$E$6:$E$405,G816,'Istoric_Nativ'!$D$6:$D$405,"&lt;"&amp;J816,'Istoric_Nativ'!$P$6:$P$405,1,'Istoric_Nativ'!$D$6:$D$405,"&gt;="&amp;L816)+SUMIFS('Istoric_Nativ'!$G$6:$G$405,'Istoric_Nativ'!$B$6:$B$405,E816,'Istoric_Nativ'!$C$6:$C$405,F816,'Istoric_Nativ'!$F$6:$F$405,G816,'Istoric_Nativ'!$D$6:$D$405,"&lt;"&amp;J816,'Istoric_Nativ'!$P$6:$P$405,1,'Istoric_Nativ'!$D$6:$D$405,"&gt;="&amp;L816)))/M816)</x:f>
      </x:c>
      <x:c r="P816" s="2" t="n">
        <x:f>'Config_v6'!$B$7</x:f>
        <x:v>10</x:v>
      </x:c>
      <x:c r="Q816" s="2" t="n">
        <x:f>IF(OR(B816="",F816=""),0,IFERROR(MATCH(E816&amp;"|"&amp;F816,SourceTable[Source_Key],0),0))</x:f>
        <x:v>0</x:v>
      </x:c>
      <x:c r="R816" s="2" t="str">
        <x:f>IF(B816="","",IF(F816="","UNUSED",IF(Q816=0,"NOT CHECKED",IF(COUNTIF(SourceTable[Source_Key],E816&amp;"|"&amp;F816)&lt;&gt;1,"SOURCE CONFLICT",IF(NOT(OR(INDEX(SourceTable[Status],MAX(1,Q816))="IMPORTED",INDEX(SourceTable[Status],MAX(1,Q816))="PARTIAL",INDEX(SourceTable[Status],MAX(1,Q816))="SOURCE CONFLICT")),"ACCESS BLOCKED",IF(OR(INDEX(SourceTable[Coverage],Q816)&lt;&gt;"FULL SEASON EXPORT",INDEX(SourceTable[URL],Q816)="",INDEX(SourceTable[SHA256],Q816)=""),"EVIDENCE INCOMPLETE",IF(AND('Input_Meci'!H73="LIVE",INDEX(SourceTable[Retrieved_UTC],Q816)&gt;'Input_Meci'!G73),"POST CUTOFF","CLOSED")))))))</x:f>
      </x:c>
      <x:c r="S816" s="2" t="n">
        <x:f>IF(OR(B816="",F816=""),0,COUNTIFS('Istoric_Nativ'!$B$6:$B$405,E816,'Istoric_Nativ'!$C$6:$C$405,F816,'Istoric_Nativ'!$E$6:$E$405,G816,'Istoric_Nativ'!$D$6:$D$405,"&lt;"&amp;J816,'Istoric_Nativ'!$O$6:$O$405,"INVALID")+COUNTIFS('Istoric_Nativ'!$B$6:$B$405,E816,'Istoric_Nativ'!$C$6:$C$405,F816,'Istoric_Nativ'!$E$6:$E$405,G816,'Istoric_Nativ'!$O$6:$O$405,"INVALID",'Istoric_Nativ'!$D$6:$D$405,"*")+COUNTIFS('Istoric_Nativ'!$B$6:$B$405,E816,'Istoric_Nativ'!$C$6:$C$405,F816,'Istoric_Nativ'!$E$6:$E$405,G816,'Istoric_Nativ'!$D$6:$D$405,"&lt;"&amp;J816,'Istoric_Nativ'!$O$6:$O$405,"SOURCE CONFLICT")+COUNTIFS('Istoric_Nativ'!$B$6:$B$405,E816,'Istoric_Nativ'!$C$6:$C$405,F816,'Istoric_Nativ'!$F$6:$F$405,G816,'Istoric_Nativ'!$D$6:$D$405,"&lt;"&amp;J816,'Istoric_Nativ'!$O$6:$O$405,"INVALID")+COUNTIFS('Istoric_Nativ'!$B$6:$B$405,E816,'Istoric_Nativ'!$C$6:$C$405,F816,'Istoric_Nativ'!$F$6:$F$405,G816,'Istoric_Nativ'!$O$6:$O$405,"INVALID",'Istoric_Nativ'!$D$6:$D$405,"*")+COUNTIFS('Istoric_Nativ'!$B$6:$B$405,E816,'Istoric_Nativ'!$C$6:$C$405,F816,'Istoric_Nativ'!$F$6:$F$405,G816,'Istoric_Nativ'!$D$6:$D$405,"&lt;"&amp;J816,'Istoric_Nativ'!$O$6:$O$405,"SOURCE CONFLICT"))</x:f>
        <x:v>0</x:v>
      </x:c>
      <x:c r="T816" s="2" t="str">
        <x:f>IF(B816="","",IF(R816&lt;&gt;"CLOSED",R816,IF(S816&gt;0,"NATIVE INPUT ISSUE",IF(M816=0,"NO HISTORY",IF(M816&lt;P816,"SMALL SAMPLE","DERIVED")))))</x:f>
      </x:c>
      <x:c r="U816" s="2" t="str">
        <x:f>IF(B816="","","NativeTable; "&amp;E816&amp;"; "&amp;F816&amp;"; "&amp;G816&amp;"; "&amp;H816&amp;"; before "&amp;TEXT(J816,"yyyy-mm-dd")&amp;IF(I816="RECENT","; from "&amp;TEXT(L816,"yyyy-mm-dd"),""))</x:f>
      </x:c>
    </x:row>
    <x:row r="817" ht="21" customHeight="1">
      <x:c r="A817" s="2" t="n">
        <x:v>68</x:v>
      </x:c>
      <x:c r="B817" s="2" t="str">
        <x:f>IF('Input_Meci'!A73="","",'Input_Meci'!A73)</x:f>
      </x:c>
      <x:c r="C817" s="2" t="str">
        <x:v>H</x:v>
      </x:c>
      <x:c r="D817" s="2" t="str">
        <x:v>PRIOR</x:v>
      </x:c>
      <x:c r="E817" s="2" t="str">
        <x:f>IF(B817="","",'Input_Meci'!B73)</x:f>
      </x:c>
      <x:c r="F817" s="2" t="str">
        <x:f>IF(B817="","",IF('Input_Meci'!K73="","",'Input_Meci'!K73))</x:f>
      </x:c>
      <x:c r="G817" s="2" t="str">
        <x:f>IF(B817="","",'Input_Meci'!D73)</x:f>
      </x:c>
      <x:c r="H817" s="2" t="str">
        <x:v>HOME</x:v>
      </x:c>
      <x:c r="I817" s="2" t="str">
        <x:v>HA</x:v>
      </x:c>
      <x:c r="J817" s="9" t="n">
        <x:f>IF(AND(B817&lt;&gt;"",ISNUMBER('Input_Meci'!G73)),INT('Input_Meci'!G73),0)</x:f>
        <x:v>0</x:v>
      </x:c>
      <x:c r="K817" s="2" t="n">
        <x:f>IF(OR(B817="",F817=""),0,IF(H817="HOME",COUNTIFS('Istoric_Nativ'!$B$6:$B$405,E817,'Istoric_Nativ'!$C$6:$C$405,F817,'Istoric_Nativ'!$E$6:$E$405,G817,'Istoric_Nativ'!$D$6:$D$405,"&lt;"&amp;J817,'Istoric_Nativ'!$P$6:$P$405,1),IF(H817="AWAY",COUNTIFS('Istoric_Nativ'!$B$6:$B$405,E817,'Istoric_Nativ'!$C$6:$C$405,F817,'Istoric_Nativ'!$F$6:$F$405,G817,'Istoric_Nativ'!$D$6:$D$405,"&lt;"&amp;J817,'Istoric_Nativ'!$P$6:$P$405,1),COUNTIFS('Istoric_Nativ'!$B$6:$B$405,E817,'Istoric_Nativ'!$C$6:$C$405,F817,'Istoric_Nativ'!$E$6:$E$405,G817,'Istoric_Nativ'!$D$6:$D$405,"&lt;"&amp;J817,'Istoric_Nativ'!$P$6:$P$405,1)+COUNTIFS('Istoric_Nativ'!$B$6:$B$405,E817,'Istoric_Nativ'!$C$6:$C$405,F817,'Istoric_Nativ'!$F$6:$F$405,G817,'Istoric_Nativ'!$D$6:$D$405,"&lt;"&amp;J817,'Istoric_Nativ'!$P$6:$P$405,1))))</x:f>
        <x:v>0</x:v>
      </x:c>
      <x:c r="L817" s="17" t="n">
        <x:f>IF(AND(B817&lt;&gt;"",I817="RECENT",K817&gt;0),LARGE(_xlfn._xlws.FILTER('Istoric_Nativ'!$D$6:$D$405,('Istoric_Nativ'!$B$6:$B$405=E817)*('Istoric_Nativ'!$C$6:$C$405=F817)*('Istoric_Nativ'!$P$6:$P$405=1)*('Istoric_Nativ'!$D$6:$D$405&lt;J817)*((('Istoric_Nativ'!$E$6:$E$405=G817)+('Istoric_Nativ'!$F$6:$F$405=G817))&gt;0)),MIN('Config_v6'!$B$54,K817)),0)</x:f>
        <x:v>0</x:v>
      </x:c>
      <x:c r="M817" s="2" t="n">
        <x:f>IF(OR(B817="",F817=""),0,IF(H817="HOME",COUNTIFS('Istoric_Nativ'!$B$6:$B$405,E817,'Istoric_Nativ'!$C$6:$C$405,F817,'Istoric_Nativ'!$E$6:$E$405,G817,'Istoric_Nativ'!$D$6:$D$405,"&lt;"&amp;J817,'Istoric_Nativ'!$P$6:$P$405,1,'Istoric_Nativ'!$D$6:$D$405,"&gt;="&amp;L817),IF(H817="AWAY",COUNTIFS('Istoric_Nativ'!$B$6:$B$405,E817,'Istoric_Nativ'!$C$6:$C$405,F817,'Istoric_Nativ'!$F$6:$F$405,G817,'Istoric_Nativ'!$D$6:$D$405,"&lt;"&amp;J817,'Istoric_Nativ'!$P$6:$P$405,1,'Istoric_Nativ'!$D$6:$D$405,"&gt;="&amp;L817),COUNTIFS('Istoric_Nativ'!$B$6:$B$405,E817,'Istoric_Nativ'!$C$6:$C$405,F817,'Istoric_Nativ'!$E$6:$E$405,G817,'Istoric_Nativ'!$D$6:$D$405,"&lt;"&amp;J817,'Istoric_Nativ'!$P$6:$P$405,1,'Istoric_Nativ'!$D$6:$D$405,"&gt;="&amp;L817)+COUNTIFS('Istoric_Nativ'!$B$6:$B$405,E817,'Istoric_Nativ'!$C$6:$C$405,F817,'Istoric_Nativ'!$F$6:$F$405,G817,'Istoric_Nativ'!$D$6:$D$405,"&lt;"&amp;J817,'Istoric_Nativ'!$P$6:$P$405,1,'Istoric_Nativ'!$D$6:$D$405,"&gt;="&amp;L817))))</x:f>
        <x:v>0</x:v>
      </x:c>
      <x:c r="N817" s="11" t="str">
        <x:f>IF(M817=0,"",IF(H817="HOME",SUMIFS('Istoric_Nativ'!$G$6:$G$405,'Istoric_Nativ'!$B$6:$B$405,E817,'Istoric_Nativ'!$C$6:$C$405,F817,'Istoric_Nativ'!$E$6:$E$405,G817,'Istoric_Nativ'!$D$6:$D$405,"&lt;"&amp;J817,'Istoric_Nativ'!$P$6:$P$405,1,'Istoric_Nativ'!$D$6:$D$405,"&gt;="&amp;L817),IF(H817="AWAY",SUMIFS('Istoric_Nativ'!$H$6:$H$405,'Istoric_Nativ'!$B$6:$B$405,E817,'Istoric_Nativ'!$C$6:$C$405,F817,'Istoric_Nativ'!$F$6:$F$405,G817,'Istoric_Nativ'!$D$6:$D$405,"&lt;"&amp;J817,'Istoric_Nativ'!$P$6:$P$405,1,'Istoric_Nativ'!$D$6:$D$405,"&gt;="&amp;L817),SUMIFS('Istoric_Nativ'!$G$6:$G$405,'Istoric_Nativ'!$B$6:$B$405,E817,'Istoric_Nativ'!$C$6:$C$405,F817,'Istoric_Nativ'!$E$6:$E$405,G817,'Istoric_Nativ'!$D$6:$D$405,"&lt;"&amp;J817,'Istoric_Nativ'!$P$6:$P$405,1,'Istoric_Nativ'!$D$6:$D$405,"&gt;="&amp;L817)+SUMIFS('Istoric_Nativ'!$H$6:$H$405,'Istoric_Nativ'!$B$6:$B$405,E817,'Istoric_Nativ'!$C$6:$C$405,F817,'Istoric_Nativ'!$F$6:$F$405,G817,'Istoric_Nativ'!$D$6:$D$405,"&lt;"&amp;J817,'Istoric_Nativ'!$P$6:$P$405,1,'Istoric_Nativ'!$D$6:$D$405,"&gt;="&amp;L817)))/M817)</x:f>
      </x:c>
      <x:c r="O817" s="11" t="str">
        <x:f>IF(M817=0,"",IF(H817="HOME",SUMIFS('Istoric_Nativ'!$H$6:$H$405,'Istoric_Nativ'!$B$6:$B$405,E817,'Istoric_Nativ'!$C$6:$C$405,F817,'Istoric_Nativ'!$E$6:$E$405,G817,'Istoric_Nativ'!$D$6:$D$405,"&lt;"&amp;J817,'Istoric_Nativ'!$P$6:$P$405,1,'Istoric_Nativ'!$D$6:$D$405,"&gt;="&amp;L817),IF(H817="AWAY",SUMIFS('Istoric_Nativ'!$G$6:$G$405,'Istoric_Nativ'!$B$6:$B$405,E817,'Istoric_Nativ'!$C$6:$C$405,F817,'Istoric_Nativ'!$F$6:$F$405,G817,'Istoric_Nativ'!$D$6:$D$405,"&lt;"&amp;J817,'Istoric_Nativ'!$P$6:$P$405,1,'Istoric_Nativ'!$D$6:$D$405,"&gt;="&amp;L817),SUMIFS('Istoric_Nativ'!$H$6:$H$405,'Istoric_Nativ'!$B$6:$B$405,E817,'Istoric_Nativ'!$C$6:$C$405,F817,'Istoric_Nativ'!$E$6:$E$405,G817,'Istoric_Nativ'!$D$6:$D$405,"&lt;"&amp;J817,'Istoric_Nativ'!$P$6:$P$405,1,'Istoric_Nativ'!$D$6:$D$405,"&gt;="&amp;L817)+SUMIFS('Istoric_Nativ'!$G$6:$G$405,'Istoric_Nativ'!$B$6:$B$405,E817,'Istoric_Nativ'!$C$6:$C$405,F817,'Istoric_Nativ'!$F$6:$F$405,G817,'Istoric_Nativ'!$D$6:$D$405,"&lt;"&amp;J817,'Istoric_Nativ'!$P$6:$P$405,1,'Istoric_Nativ'!$D$6:$D$405,"&gt;="&amp;L817)))/M817)</x:f>
      </x:c>
      <x:c r="P817" s="2" t="n">
        <x:f>'Config_v6'!$B$8</x:f>
        <x:v>5</x:v>
      </x:c>
      <x:c r="Q817" s="2" t="n">
        <x:f>IF(OR(B817="",F817=""),0,IFERROR(MATCH(E817&amp;"|"&amp;F817,SourceTable[Source_Key],0),0))</x:f>
        <x:v>0</x:v>
      </x:c>
      <x:c r="R817" s="2" t="str">
        <x:f>IF(B817="","",IF(F817="","UNUSED",IF(Q817=0,"NOT CHECKED",IF(COUNTIF(SourceTable[Source_Key],E817&amp;"|"&amp;F817)&lt;&gt;1,"SOURCE CONFLICT",IF(NOT(OR(INDEX(SourceTable[Status],MAX(1,Q817))="IMPORTED",INDEX(SourceTable[Status],MAX(1,Q817))="PARTIAL",INDEX(SourceTable[Status],MAX(1,Q817))="SOURCE CONFLICT")),"ACCESS BLOCKED",IF(OR(INDEX(SourceTable[Coverage],Q817)&lt;&gt;"FULL SEASON EXPORT",INDEX(SourceTable[URL],Q817)="",INDEX(SourceTable[SHA256],Q817)=""),"EVIDENCE INCOMPLETE",IF(AND('Input_Meci'!H73="LIVE",INDEX(SourceTable[Retrieved_UTC],Q817)&gt;'Input_Meci'!G73),"POST CUTOFF","CLOSED")))))))</x:f>
      </x:c>
      <x:c r="S817" s="2" t="n">
        <x:f>IF(OR(B817="",F817=""),0,COUNTIFS('Istoric_Nativ'!$B$6:$B$405,E817,'Istoric_Nativ'!$C$6:$C$405,F817,'Istoric_Nativ'!$E$6:$E$405,G817,'Istoric_Nativ'!$D$6:$D$405,"&lt;"&amp;J817,'Istoric_Nativ'!$O$6:$O$405,"INVALID")+COUNTIFS('Istoric_Nativ'!$B$6:$B$405,E817,'Istoric_Nativ'!$C$6:$C$405,F817,'Istoric_Nativ'!$E$6:$E$405,G817,'Istoric_Nativ'!$O$6:$O$405,"INVALID",'Istoric_Nativ'!$D$6:$D$405,"*")+COUNTIFS('Istoric_Nativ'!$B$6:$B$405,E817,'Istoric_Nativ'!$C$6:$C$405,F817,'Istoric_Nativ'!$E$6:$E$405,G817,'Istoric_Nativ'!$D$6:$D$405,"&lt;"&amp;J817,'Istoric_Nativ'!$O$6:$O$405,"SOURCE CONFLICT")+COUNTIFS('Istoric_Nativ'!$B$6:$B$405,E817,'Istoric_Nativ'!$C$6:$C$405,F817,'Istoric_Nativ'!$F$6:$F$405,G817,'Istoric_Nativ'!$D$6:$D$405,"&lt;"&amp;J817,'Istoric_Nativ'!$O$6:$O$405,"INVALID")+COUNTIFS('Istoric_Nativ'!$B$6:$B$405,E817,'Istoric_Nativ'!$C$6:$C$405,F817,'Istoric_Nativ'!$F$6:$F$405,G817,'Istoric_Nativ'!$O$6:$O$405,"INVALID",'Istoric_Nativ'!$D$6:$D$405,"*")+COUNTIFS('Istoric_Nativ'!$B$6:$B$405,E817,'Istoric_Nativ'!$C$6:$C$405,F817,'Istoric_Nativ'!$F$6:$F$405,G817,'Istoric_Nativ'!$D$6:$D$405,"&lt;"&amp;J817,'Istoric_Nativ'!$O$6:$O$405,"SOURCE CONFLICT"))</x:f>
        <x:v>0</x:v>
      </x:c>
      <x:c r="T817" s="2" t="str">
        <x:f>IF(B817="","",IF(R817&lt;&gt;"CLOSED",R817,IF(S817&gt;0,"NATIVE INPUT ISSUE",IF(M817=0,"NO HISTORY",IF(M817&lt;P817,"SMALL SAMPLE","DERIVED")))))</x:f>
      </x:c>
      <x:c r="U817" s="2" t="str">
        <x:f>IF(B817="","","NativeTable; "&amp;E817&amp;"; "&amp;F817&amp;"; "&amp;G817&amp;"; "&amp;H817&amp;"; before "&amp;TEXT(J817,"yyyy-mm-dd")&amp;IF(I817="RECENT","; from "&amp;TEXT(L817,"yyyy-mm-dd"),""))</x:f>
      </x:c>
    </x:row>
    <x:row r="818" ht="21" customHeight="1">
      <x:c r="A818" s="2" t="n">
        <x:v>68</x:v>
      </x:c>
      <x:c r="B818" s="2" t="str">
        <x:f>IF('Input_Meci'!A73="","",'Input_Meci'!A73)</x:f>
      </x:c>
      <x:c r="C818" s="2" t="str">
        <x:v>H</x:v>
      </x:c>
      <x:c r="D818" s="2" t="str">
        <x:v>PRIOR</x:v>
      </x:c>
      <x:c r="E818" s="2" t="str">
        <x:f>IF(B818="","",'Input_Meci'!B73)</x:f>
      </x:c>
      <x:c r="F818" s="2" t="str">
        <x:f>IF(B818="","",IF('Input_Meci'!K73="","",'Input_Meci'!K73))</x:f>
      </x:c>
      <x:c r="G818" s="2" t="str">
        <x:f>IF(B818="","",'Input_Meci'!D73)</x:f>
      </x:c>
      <x:c r="H818" s="2" t="str">
        <x:v>ANY</x:v>
      </x:c>
      <x:c r="I818" s="2" t="str">
        <x:v>RECENT</x:v>
      </x:c>
      <x:c r="J818" s="9" t="n">
        <x:f>IF(AND(B818&lt;&gt;"",ISNUMBER('Input_Meci'!G73)),INT('Input_Meci'!G73),0)</x:f>
        <x:v>0</x:v>
      </x:c>
      <x:c r="K818" s="2" t="n">
        <x:f>IF(OR(B818="",F818=""),0,IF(H818="HOME",COUNTIFS('Istoric_Nativ'!$B$6:$B$405,E818,'Istoric_Nativ'!$C$6:$C$405,F818,'Istoric_Nativ'!$E$6:$E$405,G818,'Istoric_Nativ'!$D$6:$D$405,"&lt;"&amp;J818,'Istoric_Nativ'!$P$6:$P$405,1),IF(H818="AWAY",COUNTIFS('Istoric_Nativ'!$B$6:$B$405,E818,'Istoric_Nativ'!$C$6:$C$405,F818,'Istoric_Nativ'!$F$6:$F$405,G818,'Istoric_Nativ'!$D$6:$D$405,"&lt;"&amp;J818,'Istoric_Nativ'!$P$6:$P$405,1),COUNTIFS('Istoric_Nativ'!$B$6:$B$405,E818,'Istoric_Nativ'!$C$6:$C$405,F818,'Istoric_Nativ'!$E$6:$E$405,G818,'Istoric_Nativ'!$D$6:$D$405,"&lt;"&amp;J818,'Istoric_Nativ'!$P$6:$P$405,1)+COUNTIFS('Istoric_Nativ'!$B$6:$B$405,E818,'Istoric_Nativ'!$C$6:$C$405,F818,'Istoric_Nativ'!$F$6:$F$405,G818,'Istoric_Nativ'!$D$6:$D$405,"&lt;"&amp;J818,'Istoric_Nativ'!$P$6:$P$405,1))))</x:f>
        <x:v>0</x:v>
      </x:c>
      <x:c r="L818" s="17" t="n">
        <x:f>IF(AND(B818&lt;&gt;"",I818="RECENT",K818&gt;0),LARGE(_xlfn._xlws.FILTER('Istoric_Nativ'!$D$6:$D$405,('Istoric_Nativ'!$B$6:$B$405=E818)*('Istoric_Nativ'!$C$6:$C$405=F818)*('Istoric_Nativ'!$P$6:$P$405=1)*('Istoric_Nativ'!$D$6:$D$405&lt;J818)*((('Istoric_Nativ'!$E$6:$E$405=G818)+('Istoric_Nativ'!$F$6:$F$405=G818))&gt;0)),MIN('Config_v6'!$B$54,K818)),0)</x:f>
        <x:v>0</x:v>
      </x:c>
      <x:c r="M818" s="2" t="n">
        <x:f>IF(OR(B818="",F818=""),0,IF(H818="HOME",COUNTIFS('Istoric_Nativ'!$B$6:$B$405,E818,'Istoric_Nativ'!$C$6:$C$405,F818,'Istoric_Nativ'!$E$6:$E$405,G818,'Istoric_Nativ'!$D$6:$D$405,"&lt;"&amp;J818,'Istoric_Nativ'!$P$6:$P$405,1,'Istoric_Nativ'!$D$6:$D$405,"&gt;="&amp;L818),IF(H818="AWAY",COUNTIFS('Istoric_Nativ'!$B$6:$B$405,E818,'Istoric_Nativ'!$C$6:$C$405,F818,'Istoric_Nativ'!$F$6:$F$405,G818,'Istoric_Nativ'!$D$6:$D$405,"&lt;"&amp;J818,'Istoric_Nativ'!$P$6:$P$405,1,'Istoric_Nativ'!$D$6:$D$405,"&gt;="&amp;L818),COUNTIFS('Istoric_Nativ'!$B$6:$B$405,E818,'Istoric_Nativ'!$C$6:$C$405,F818,'Istoric_Nativ'!$E$6:$E$405,G818,'Istoric_Nativ'!$D$6:$D$405,"&lt;"&amp;J818,'Istoric_Nativ'!$P$6:$P$405,1,'Istoric_Nativ'!$D$6:$D$405,"&gt;="&amp;L818)+COUNTIFS('Istoric_Nativ'!$B$6:$B$405,E818,'Istoric_Nativ'!$C$6:$C$405,F818,'Istoric_Nativ'!$F$6:$F$405,G818,'Istoric_Nativ'!$D$6:$D$405,"&lt;"&amp;J818,'Istoric_Nativ'!$P$6:$P$405,1,'Istoric_Nativ'!$D$6:$D$405,"&gt;="&amp;L818))))</x:f>
        <x:v>0</x:v>
      </x:c>
      <x:c r="N818" s="11" t="str">
        <x:f>IF(M818=0,"",IF(H818="HOME",SUMIFS('Istoric_Nativ'!$G$6:$G$405,'Istoric_Nativ'!$B$6:$B$405,E818,'Istoric_Nativ'!$C$6:$C$405,F818,'Istoric_Nativ'!$E$6:$E$405,G818,'Istoric_Nativ'!$D$6:$D$405,"&lt;"&amp;J818,'Istoric_Nativ'!$P$6:$P$405,1,'Istoric_Nativ'!$D$6:$D$405,"&gt;="&amp;L818),IF(H818="AWAY",SUMIFS('Istoric_Nativ'!$H$6:$H$405,'Istoric_Nativ'!$B$6:$B$405,E818,'Istoric_Nativ'!$C$6:$C$405,F818,'Istoric_Nativ'!$F$6:$F$405,G818,'Istoric_Nativ'!$D$6:$D$405,"&lt;"&amp;J818,'Istoric_Nativ'!$P$6:$P$405,1,'Istoric_Nativ'!$D$6:$D$405,"&gt;="&amp;L818),SUMIFS('Istoric_Nativ'!$G$6:$G$405,'Istoric_Nativ'!$B$6:$B$405,E818,'Istoric_Nativ'!$C$6:$C$405,F818,'Istoric_Nativ'!$E$6:$E$405,G818,'Istoric_Nativ'!$D$6:$D$405,"&lt;"&amp;J818,'Istoric_Nativ'!$P$6:$P$405,1,'Istoric_Nativ'!$D$6:$D$405,"&gt;="&amp;L818)+SUMIFS('Istoric_Nativ'!$H$6:$H$405,'Istoric_Nativ'!$B$6:$B$405,E818,'Istoric_Nativ'!$C$6:$C$405,F818,'Istoric_Nativ'!$F$6:$F$405,G818,'Istoric_Nativ'!$D$6:$D$405,"&lt;"&amp;J818,'Istoric_Nativ'!$P$6:$P$405,1,'Istoric_Nativ'!$D$6:$D$405,"&gt;="&amp;L818)))/M818)</x:f>
      </x:c>
      <x:c r="O818" s="11" t="str">
        <x:f>IF(M818=0,"",IF(H818="HOME",SUMIFS('Istoric_Nativ'!$H$6:$H$405,'Istoric_Nativ'!$B$6:$B$405,E818,'Istoric_Nativ'!$C$6:$C$405,F818,'Istoric_Nativ'!$E$6:$E$405,G818,'Istoric_Nativ'!$D$6:$D$405,"&lt;"&amp;J818,'Istoric_Nativ'!$P$6:$P$405,1,'Istoric_Nativ'!$D$6:$D$405,"&gt;="&amp;L818),IF(H818="AWAY",SUMIFS('Istoric_Nativ'!$G$6:$G$405,'Istoric_Nativ'!$B$6:$B$405,E818,'Istoric_Nativ'!$C$6:$C$405,F818,'Istoric_Nativ'!$F$6:$F$405,G818,'Istoric_Nativ'!$D$6:$D$405,"&lt;"&amp;J818,'Istoric_Nativ'!$P$6:$P$405,1,'Istoric_Nativ'!$D$6:$D$405,"&gt;="&amp;L818),SUMIFS('Istoric_Nativ'!$H$6:$H$405,'Istoric_Nativ'!$B$6:$B$405,E818,'Istoric_Nativ'!$C$6:$C$405,F818,'Istoric_Nativ'!$E$6:$E$405,G818,'Istoric_Nativ'!$D$6:$D$405,"&lt;"&amp;J818,'Istoric_Nativ'!$P$6:$P$405,1,'Istoric_Nativ'!$D$6:$D$405,"&gt;="&amp;L818)+SUMIFS('Istoric_Nativ'!$G$6:$G$405,'Istoric_Nativ'!$B$6:$B$405,E818,'Istoric_Nativ'!$C$6:$C$405,F818,'Istoric_Nativ'!$F$6:$F$405,G818,'Istoric_Nativ'!$D$6:$D$405,"&lt;"&amp;J818,'Istoric_Nativ'!$P$6:$P$405,1,'Istoric_Nativ'!$D$6:$D$405,"&gt;="&amp;L818)))/M818)</x:f>
      </x:c>
      <x:c r="P818" s="2" t="n">
        <x:f>'Config_v6'!$B$9</x:f>
        <x:v>3</x:v>
      </x:c>
      <x:c r="Q818" s="2" t="n">
        <x:f>IF(OR(B818="",F818=""),0,IFERROR(MATCH(E818&amp;"|"&amp;F818,SourceTable[Source_Key],0),0))</x:f>
        <x:v>0</x:v>
      </x:c>
      <x:c r="R818" s="2" t="str">
        <x:f>IF(B818="","",IF(F818="","UNUSED",IF(Q818=0,"NOT CHECKED",IF(COUNTIF(SourceTable[Source_Key],E818&amp;"|"&amp;F818)&lt;&gt;1,"SOURCE CONFLICT",IF(NOT(OR(INDEX(SourceTable[Status],MAX(1,Q818))="IMPORTED",INDEX(SourceTable[Status],MAX(1,Q818))="PARTIAL",INDEX(SourceTable[Status],MAX(1,Q818))="SOURCE CONFLICT")),"ACCESS BLOCKED",IF(OR(INDEX(SourceTable[Coverage],Q818)&lt;&gt;"FULL SEASON EXPORT",INDEX(SourceTable[URL],Q818)="",INDEX(SourceTable[SHA256],Q818)=""),"EVIDENCE INCOMPLETE",IF(AND('Input_Meci'!H73="LIVE",INDEX(SourceTable[Retrieved_UTC],Q818)&gt;'Input_Meci'!G73),"POST CUTOFF","CLOSED")))))))</x:f>
      </x:c>
      <x:c r="S818" s="2" t="n">
        <x:f>IF(OR(B818="",F818=""),0,COUNTIFS('Istoric_Nativ'!$B$6:$B$405,E818,'Istoric_Nativ'!$C$6:$C$405,F818,'Istoric_Nativ'!$E$6:$E$405,G818,'Istoric_Nativ'!$D$6:$D$405,"&lt;"&amp;J818,'Istoric_Nativ'!$O$6:$O$405,"INVALID")+COUNTIFS('Istoric_Nativ'!$B$6:$B$405,E818,'Istoric_Nativ'!$C$6:$C$405,F818,'Istoric_Nativ'!$E$6:$E$405,G818,'Istoric_Nativ'!$O$6:$O$405,"INVALID",'Istoric_Nativ'!$D$6:$D$405,"*")+COUNTIFS('Istoric_Nativ'!$B$6:$B$405,E818,'Istoric_Nativ'!$C$6:$C$405,F818,'Istoric_Nativ'!$E$6:$E$405,G818,'Istoric_Nativ'!$D$6:$D$405,"&lt;"&amp;J818,'Istoric_Nativ'!$O$6:$O$405,"SOURCE CONFLICT")+COUNTIFS('Istoric_Nativ'!$B$6:$B$405,E818,'Istoric_Nativ'!$C$6:$C$405,F818,'Istoric_Nativ'!$F$6:$F$405,G818,'Istoric_Nativ'!$D$6:$D$405,"&lt;"&amp;J818,'Istoric_Nativ'!$O$6:$O$405,"INVALID")+COUNTIFS('Istoric_Nativ'!$B$6:$B$405,E818,'Istoric_Nativ'!$C$6:$C$405,F818,'Istoric_Nativ'!$F$6:$F$405,G818,'Istoric_Nativ'!$O$6:$O$405,"INVALID",'Istoric_Nativ'!$D$6:$D$405,"*")+COUNTIFS('Istoric_Nativ'!$B$6:$B$405,E818,'Istoric_Nativ'!$C$6:$C$405,F818,'Istoric_Nativ'!$F$6:$F$405,G818,'Istoric_Nativ'!$D$6:$D$405,"&lt;"&amp;J818,'Istoric_Nativ'!$O$6:$O$405,"SOURCE CONFLICT"))</x:f>
        <x:v>0</x:v>
      </x:c>
      <x:c r="T818" s="2" t="str">
        <x:f>IF(B818="","",IF(R818&lt;&gt;"CLOSED",R818,IF(S818&gt;0,"NATIVE INPUT ISSUE",IF(M818=0,"NO HISTORY",IF(M818&lt;P818,"SMALL SAMPLE","DERIVED")))))</x:f>
      </x:c>
      <x:c r="U818" s="2" t="str">
        <x:f>IF(B818="","","NativeTable; "&amp;E818&amp;"; "&amp;F818&amp;"; "&amp;G818&amp;"; "&amp;H818&amp;"; before "&amp;TEXT(J818,"yyyy-mm-dd")&amp;IF(I818="RECENT","; from "&amp;TEXT(L818,"yyyy-mm-dd"),""))</x:f>
      </x:c>
    </x:row>
    <x:row r="819" ht="21" customHeight="1">
      <x:c r="A819" s="2" t="n">
        <x:v>68</x:v>
      </x:c>
      <x:c r="B819" s="2" t="str">
        <x:f>IF('Input_Meci'!A73="","",'Input_Meci'!A73)</x:f>
      </x:c>
      <x:c r="C819" s="2" t="str">
        <x:v>A</x:v>
      </x:c>
      <x:c r="D819" s="2" t="str">
        <x:v>PRIOR</x:v>
      </x:c>
      <x:c r="E819" s="2" t="str">
        <x:f>IF(B819="","",'Input_Meci'!B73)</x:f>
      </x:c>
      <x:c r="F819" s="2" t="str">
        <x:f>IF(B819="","",IF('Input_Meci'!K73="","",'Input_Meci'!K73))</x:f>
      </x:c>
      <x:c r="G819" s="2" t="str">
        <x:f>IF(B819="","",'Input_Meci'!E73)</x:f>
      </x:c>
      <x:c r="H819" s="2" t="str">
        <x:v>ANY</x:v>
      </x:c>
      <x:c r="I819" s="2" t="str">
        <x:v>SEASON</x:v>
      </x:c>
      <x:c r="J819" s="9" t="n">
        <x:f>IF(AND(B819&lt;&gt;"",ISNUMBER('Input_Meci'!G73)),INT('Input_Meci'!G73),0)</x:f>
        <x:v>0</x:v>
      </x:c>
      <x:c r="K819" s="2" t="n">
        <x:f>IF(OR(B819="",F819=""),0,IF(H819="HOME",COUNTIFS('Istoric_Nativ'!$B$6:$B$405,E819,'Istoric_Nativ'!$C$6:$C$405,F819,'Istoric_Nativ'!$E$6:$E$405,G819,'Istoric_Nativ'!$D$6:$D$405,"&lt;"&amp;J819,'Istoric_Nativ'!$P$6:$P$405,1),IF(H819="AWAY",COUNTIFS('Istoric_Nativ'!$B$6:$B$405,E819,'Istoric_Nativ'!$C$6:$C$405,F819,'Istoric_Nativ'!$F$6:$F$405,G819,'Istoric_Nativ'!$D$6:$D$405,"&lt;"&amp;J819,'Istoric_Nativ'!$P$6:$P$405,1),COUNTIFS('Istoric_Nativ'!$B$6:$B$405,E819,'Istoric_Nativ'!$C$6:$C$405,F819,'Istoric_Nativ'!$E$6:$E$405,G819,'Istoric_Nativ'!$D$6:$D$405,"&lt;"&amp;J819,'Istoric_Nativ'!$P$6:$P$405,1)+COUNTIFS('Istoric_Nativ'!$B$6:$B$405,E819,'Istoric_Nativ'!$C$6:$C$405,F819,'Istoric_Nativ'!$F$6:$F$405,G819,'Istoric_Nativ'!$D$6:$D$405,"&lt;"&amp;J819,'Istoric_Nativ'!$P$6:$P$405,1))))</x:f>
        <x:v>0</x:v>
      </x:c>
      <x:c r="L819" s="17" t="n">
        <x:f>IF(AND(B819&lt;&gt;"",I819="RECENT",K819&gt;0),LARGE(_xlfn._xlws.FILTER('Istoric_Nativ'!$D$6:$D$405,('Istoric_Nativ'!$B$6:$B$405=E819)*('Istoric_Nativ'!$C$6:$C$405=F819)*('Istoric_Nativ'!$P$6:$P$405=1)*('Istoric_Nativ'!$D$6:$D$405&lt;J819)*((('Istoric_Nativ'!$E$6:$E$405=G819)+('Istoric_Nativ'!$F$6:$F$405=G819))&gt;0)),MIN('Config_v6'!$B$54,K819)),0)</x:f>
        <x:v>0</x:v>
      </x:c>
      <x:c r="M819" s="2" t="n">
        <x:f>IF(OR(B819="",F819=""),0,IF(H819="HOME",COUNTIFS('Istoric_Nativ'!$B$6:$B$405,E819,'Istoric_Nativ'!$C$6:$C$405,F819,'Istoric_Nativ'!$E$6:$E$405,G819,'Istoric_Nativ'!$D$6:$D$405,"&lt;"&amp;J819,'Istoric_Nativ'!$P$6:$P$405,1,'Istoric_Nativ'!$D$6:$D$405,"&gt;="&amp;L819),IF(H819="AWAY",COUNTIFS('Istoric_Nativ'!$B$6:$B$405,E819,'Istoric_Nativ'!$C$6:$C$405,F819,'Istoric_Nativ'!$F$6:$F$405,G819,'Istoric_Nativ'!$D$6:$D$405,"&lt;"&amp;J819,'Istoric_Nativ'!$P$6:$P$405,1,'Istoric_Nativ'!$D$6:$D$405,"&gt;="&amp;L819),COUNTIFS('Istoric_Nativ'!$B$6:$B$405,E819,'Istoric_Nativ'!$C$6:$C$405,F819,'Istoric_Nativ'!$E$6:$E$405,G819,'Istoric_Nativ'!$D$6:$D$405,"&lt;"&amp;J819,'Istoric_Nativ'!$P$6:$P$405,1,'Istoric_Nativ'!$D$6:$D$405,"&gt;="&amp;L819)+COUNTIFS('Istoric_Nativ'!$B$6:$B$405,E819,'Istoric_Nativ'!$C$6:$C$405,F819,'Istoric_Nativ'!$F$6:$F$405,G819,'Istoric_Nativ'!$D$6:$D$405,"&lt;"&amp;J819,'Istoric_Nativ'!$P$6:$P$405,1,'Istoric_Nativ'!$D$6:$D$405,"&gt;="&amp;L819))))</x:f>
        <x:v>0</x:v>
      </x:c>
      <x:c r="N819" s="11" t="str">
        <x:f>IF(M819=0,"",IF(H819="HOME",SUMIFS('Istoric_Nativ'!$G$6:$G$405,'Istoric_Nativ'!$B$6:$B$405,E819,'Istoric_Nativ'!$C$6:$C$405,F819,'Istoric_Nativ'!$E$6:$E$405,G819,'Istoric_Nativ'!$D$6:$D$405,"&lt;"&amp;J819,'Istoric_Nativ'!$P$6:$P$405,1,'Istoric_Nativ'!$D$6:$D$405,"&gt;="&amp;L819),IF(H819="AWAY",SUMIFS('Istoric_Nativ'!$H$6:$H$405,'Istoric_Nativ'!$B$6:$B$405,E819,'Istoric_Nativ'!$C$6:$C$405,F819,'Istoric_Nativ'!$F$6:$F$405,G819,'Istoric_Nativ'!$D$6:$D$405,"&lt;"&amp;J819,'Istoric_Nativ'!$P$6:$P$405,1,'Istoric_Nativ'!$D$6:$D$405,"&gt;="&amp;L819),SUMIFS('Istoric_Nativ'!$G$6:$G$405,'Istoric_Nativ'!$B$6:$B$405,E819,'Istoric_Nativ'!$C$6:$C$405,F819,'Istoric_Nativ'!$E$6:$E$405,G819,'Istoric_Nativ'!$D$6:$D$405,"&lt;"&amp;J819,'Istoric_Nativ'!$P$6:$P$405,1,'Istoric_Nativ'!$D$6:$D$405,"&gt;="&amp;L819)+SUMIFS('Istoric_Nativ'!$H$6:$H$405,'Istoric_Nativ'!$B$6:$B$405,E819,'Istoric_Nativ'!$C$6:$C$405,F819,'Istoric_Nativ'!$F$6:$F$405,G819,'Istoric_Nativ'!$D$6:$D$405,"&lt;"&amp;J819,'Istoric_Nativ'!$P$6:$P$405,1,'Istoric_Nativ'!$D$6:$D$405,"&gt;="&amp;L819)))/M819)</x:f>
      </x:c>
      <x:c r="O819" s="11" t="str">
        <x:f>IF(M819=0,"",IF(H819="HOME",SUMIFS('Istoric_Nativ'!$H$6:$H$405,'Istoric_Nativ'!$B$6:$B$405,E819,'Istoric_Nativ'!$C$6:$C$405,F819,'Istoric_Nativ'!$E$6:$E$405,G819,'Istoric_Nativ'!$D$6:$D$405,"&lt;"&amp;J819,'Istoric_Nativ'!$P$6:$P$405,1,'Istoric_Nativ'!$D$6:$D$405,"&gt;="&amp;L819),IF(H819="AWAY",SUMIFS('Istoric_Nativ'!$G$6:$G$405,'Istoric_Nativ'!$B$6:$B$405,E819,'Istoric_Nativ'!$C$6:$C$405,F819,'Istoric_Nativ'!$F$6:$F$405,G819,'Istoric_Nativ'!$D$6:$D$405,"&lt;"&amp;J819,'Istoric_Nativ'!$P$6:$P$405,1,'Istoric_Nativ'!$D$6:$D$405,"&gt;="&amp;L819),SUMIFS('Istoric_Nativ'!$H$6:$H$405,'Istoric_Nativ'!$B$6:$B$405,E819,'Istoric_Nativ'!$C$6:$C$405,F819,'Istoric_Nativ'!$E$6:$E$405,G819,'Istoric_Nativ'!$D$6:$D$405,"&lt;"&amp;J819,'Istoric_Nativ'!$P$6:$P$405,1,'Istoric_Nativ'!$D$6:$D$405,"&gt;="&amp;L819)+SUMIFS('Istoric_Nativ'!$G$6:$G$405,'Istoric_Nativ'!$B$6:$B$405,E819,'Istoric_Nativ'!$C$6:$C$405,F819,'Istoric_Nativ'!$F$6:$F$405,G819,'Istoric_Nativ'!$D$6:$D$405,"&lt;"&amp;J819,'Istoric_Nativ'!$P$6:$P$405,1,'Istoric_Nativ'!$D$6:$D$405,"&gt;="&amp;L819)))/M819)</x:f>
      </x:c>
      <x:c r="P819" s="2" t="n">
        <x:f>'Config_v6'!$B$7</x:f>
        <x:v>10</x:v>
      </x:c>
      <x:c r="Q819" s="2" t="n">
        <x:f>IF(OR(B819="",F819=""),0,IFERROR(MATCH(E819&amp;"|"&amp;F819,SourceTable[Source_Key],0),0))</x:f>
        <x:v>0</x:v>
      </x:c>
      <x:c r="R819" s="2" t="str">
        <x:f>IF(B819="","",IF(F819="","UNUSED",IF(Q819=0,"NOT CHECKED",IF(COUNTIF(SourceTable[Source_Key],E819&amp;"|"&amp;F819)&lt;&gt;1,"SOURCE CONFLICT",IF(NOT(OR(INDEX(SourceTable[Status],MAX(1,Q819))="IMPORTED",INDEX(SourceTable[Status],MAX(1,Q819))="PARTIAL",INDEX(SourceTable[Status],MAX(1,Q819))="SOURCE CONFLICT")),"ACCESS BLOCKED",IF(OR(INDEX(SourceTable[Coverage],Q819)&lt;&gt;"FULL SEASON EXPORT",INDEX(SourceTable[URL],Q819)="",INDEX(SourceTable[SHA256],Q819)=""),"EVIDENCE INCOMPLETE",IF(AND('Input_Meci'!H73="LIVE",INDEX(SourceTable[Retrieved_UTC],Q819)&gt;'Input_Meci'!G73),"POST CUTOFF","CLOSED")))))))</x:f>
      </x:c>
      <x:c r="S819" s="2" t="n">
        <x:f>IF(OR(B819="",F819=""),0,COUNTIFS('Istoric_Nativ'!$B$6:$B$405,E819,'Istoric_Nativ'!$C$6:$C$405,F819,'Istoric_Nativ'!$E$6:$E$405,G819,'Istoric_Nativ'!$D$6:$D$405,"&lt;"&amp;J819,'Istoric_Nativ'!$O$6:$O$405,"INVALID")+COUNTIFS('Istoric_Nativ'!$B$6:$B$405,E819,'Istoric_Nativ'!$C$6:$C$405,F819,'Istoric_Nativ'!$E$6:$E$405,G819,'Istoric_Nativ'!$O$6:$O$405,"INVALID",'Istoric_Nativ'!$D$6:$D$405,"*")+COUNTIFS('Istoric_Nativ'!$B$6:$B$405,E819,'Istoric_Nativ'!$C$6:$C$405,F819,'Istoric_Nativ'!$E$6:$E$405,G819,'Istoric_Nativ'!$D$6:$D$405,"&lt;"&amp;J819,'Istoric_Nativ'!$O$6:$O$405,"SOURCE CONFLICT")+COUNTIFS('Istoric_Nativ'!$B$6:$B$405,E819,'Istoric_Nativ'!$C$6:$C$405,F819,'Istoric_Nativ'!$F$6:$F$405,G819,'Istoric_Nativ'!$D$6:$D$405,"&lt;"&amp;J819,'Istoric_Nativ'!$O$6:$O$405,"INVALID")+COUNTIFS('Istoric_Nativ'!$B$6:$B$405,E819,'Istoric_Nativ'!$C$6:$C$405,F819,'Istoric_Nativ'!$F$6:$F$405,G819,'Istoric_Nativ'!$O$6:$O$405,"INVALID",'Istoric_Nativ'!$D$6:$D$405,"*")+COUNTIFS('Istoric_Nativ'!$B$6:$B$405,E819,'Istoric_Nativ'!$C$6:$C$405,F819,'Istoric_Nativ'!$F$6:$F$405,G819,'Istoric_Nativ'!$D$6:$D$405,"&lt;"&amp;J819,'Istoric_Nativ'!$O$6:$O$405,"SOURCE CONFLICT"))</x:f>
        <x:v>0</x:v>
      </x:c>
      <x:c r="T819" s="2" t="str">
        <x:f>IF(B819="","",IF(R819&lt;&gt;"CLOSED",R819,IF(S819&gt;0,"NATIVE INPUT ISSUE",IF(M819=0,"NO HISTORY",IF(M819&lt;P819,"SMALL SAMPLE","DERIVED")))))</x:f>
      </x:c>
      <x:c r="U819" s="2" t="str">
        <x:f>IF(B819="","","NativeTable; "&amp;E819&amp;"; "&amp;F819&amp;"; "&amp;G819&amp;"; "&amp;H819&amp;"; before "&amp;TEXT(J819,"yyyy-mm-dd")&amp;IF(I819="RECENT","; from "&amp;TEXT(L819,"yyyy-mm-dd"),""))</x:f>
      </x:c>
    </x:row>
    <x:row r="820" ht="21" customHeight="1">
      <x:c r="A820" s="2" t="n">
        <x:v>68</x:v>
      </x:c>
      <x:c r="B820" s="2" t="str">
        <x:f>IF('Input_Meci'!A73="","",'Input_Meci'!A73)</x:f>
      </x:c>
      <x:c r="C820" s="2" t="str">
        <x:v>A</x:v>
      </x:c>
      <x:c r="D820" s="2" t="str">
        <x:v>PRIOR</x:v>
      </x:c>
      <x:c r="E820" s="2" t="str">
        <x:f>IF(B820="","",'Input_Meci'!B73)</x:f>
      </x:c>
      <x:c r="F820" s="2" t="str">
        <x:f>IF(B820="","",IF('Input_Meci'!K73="","",'Input_Meci'!K73))</x:f>
      </x:c>
      <x:c r="G820" s="2" t="str">
        <x:f>IF(B820="","",'Input_Meci'!E73)</x:f>
      </x:c>
      <x:c r="H820" s="2" t="str">
        <x:v>AWAY</x:v>
      </x:c>
      <x:c r="I820" s="2" t="str">
        <x:v>HA</x:v>
      </x:c>
      <x:c r="J820" s="9" t="n">
        <x:f>IF(AND(B820&lt;&gt;"",ISNUMBER('Input_Meci'!G73)),INT('Input_Meci'!G73),0)</x:f>
        <x:v>0</x:v>
      </x:c>
      <x:c r="K820" s="2" t="n">
        <x:f>IF(OR(B820="",F820=""),0,IF(H820="HOME",COUNTIFS('Istoric_Nativ'!$B$6:$B$405,E820,'Istoric_Nativ'!$C$6:$C$405,F820,'Istoric_Nativ'!$E$6:$E$405,G820,'Istoric_Nativ'!$D$6:$D$405,"&lt;"&amp;J820,'Istoric_Nativ'!$P$6:$P$405,1),IF(H820="AWAY",COUNTIFS('Istoric_Nativ'!$B$6:$B$405,E820,'Istoric_Nativ'!$C$6:$C$405,F820,'Istoric_Nativ'!$F$6:$F$405,G820,'Istoric_Nativ'!$D$6:$D$405,"&lt;"&amp;J820,'Istoric_Nativ'!$P$6:$P$405,1),COUNTIFS('Istoric_Nativ'!$B$6:$B$405,E820,'Istoric_Nativ'!$C$6:$C$405,F820,'Istoric_Nativ'!$E$6:$E$405,G820,'Istoric_Nativ'!$D$6:$D$405,"&lt;"&amp;J820,'Istoric_Nativ'!$P$6:$P$405,1)+COUNTIFS('Istoric_Nativ'!$B$6:$B$405,E820,'Istoric_Nativ'!$C$6:$C$405,F820,'Istoric_Nativ'!$F$6:$F$405,G820,'Istoric_Nativ'!$D$6:$D$405,"&lt;"&amp;J820,'Istoric_Nativ'!$P$6:$P$405,1))))</x:f>
        <x:v>0</x:v>
      </x:c>
      <x:c r="L820" s="17" t="n">
        <x:f>IF(AND(B820&lt;&gt;"",I820="RECENT",K820&gt;0),LARGE(_xlfn._xlws.FILTER('Istoric_Nativ'!$D$6:$D$405,('Istoric_Nativ'!$B$6:$B$405=E820)*('Istoric_Nativ'!$C$6:$C$405=F820)*('Istoric_Nativ'!$P$6:$P$405=1)*('Istoric_Nativ'!$D$6:$D$405&lt;J820)*((('Istoric_Nativ'!$E$6:$E$405=G820)+('Istoric_Nativ'!$F$6:$F$405=G820))&gt;0)),MIN('Config_v6'!$B$54,K820)),0)</x:f>
        <x:v>0</x:v>
      </x:c>
      <x:c r="M820" s="2" t="n">
        <x:f>IF(OR(B820="",F820=""),0,IF(H820="HOME",COUNTIFS('Istoric_Nativ'!$B$6:$B$405,E820,'Istoric_Nativ'!$C$6:$C$405,F820,'Istoric_Nativ'!$E$6:$E$405,G820,'Istoric_Nativ'!$D$6:$D$405,"&lt;"&amp;J820,'Istoric_Nativ'!$P$6:$P$405,1,'Istoric_Nativ'!$D$6:$D$405,"&gt;="&amp;L820),IF(H820="AWAY",COUNTIFS('Istoric_Nativ'!$B$6:$B$405,E820,'Istoric_Nativ'!$C$6:$C$405,F820,'Istoric_Nativ'!$F$6:$F$405,G820,'Istoric_Nativ'!$D$6:$D$405,"&lt;"&amp;J820,'Istoric_Nativ'!$P$6:$P$405,1,'Istoric_Nativ'!$D$6:$D$405,"&gt;="&amp;L820),COUNTIFS('Istoric_Nativ'!$B$6:$B$405,E820,'Istoric_Nativ'!$C$6:$C$405,F820,'Istoric_Nativ'!$E$6:$E$405,G820,'Istoric_Nativ'!$D$6:$D$405,"&lt;"&amp;J820,'Istoric_Nativ'!$P$6:$P$405,1,'Istoric_Nativ'!$D$6:$D$405,"&gt;="&amp;L820)+COUNTIFS('Istoric_Nativ'!$B$6:$B$405,E820,'Istoric_Nativ'!$C$6:$C$405,F820,'Istoric_Nativ'!$F$6:$F$405,G820,'Istoric_Nativ'!$D$6:$D$405,"&lt;"&amp;J820,'Istoric_Nativ'!$P$6:$P$405,1,'Istoric_Nativ'!$D$6:$D$405,"&gt;="&amp;L820))))</x:f>
        <x:v>0</x:v>
      </x:c>
      <x:c r="N820" s="11" t="str">
        <x:f>IF(M820=0,"",IF(H820="HOME",SUMIFS('Istoric_Nativ'!$G$6:$G$405,'Istoric_Nativ'!$B$6:$B$405,E820,'Istoric_Nativ'!$C$6:$C$405,F820,'Istoric_Nativ'!$E$6:$E$405,G820,'Istoric_Nativ'!$D$6:$D$405,"&lt;"&amp;J820,'Istoric_Nativ'!$P$6:$P$405,1,'Istoric_Nativ'!$D$6:$D$405,"&gt;="&amp;L820),IF(H820="AWAY",SUMIFS('Istoric_Nativ'!$H$6:$H$405,'Istoric_Nativ'!$B$6:$B$405,E820,'Istoric_Nativ'!$C$6:$C$405,F820,'Istoric_Nativ'!$F$6:$F$405,G820,'Istoric_Nativ'!$D$6:$D$405,"&lt;"&amp;J820,'Istoric_Nativ'!$P$6:$P$405,1,'Istoric_Nativ'!$D$6:$D$405,"&gt;="&amp;L820),SUMIFS('Istoric_Nativ'!$G$6:$G$405,'Istoric_Nativ'!$B$6:$B$405,E820,'Istoric_Nativ'!$C$6:$C$405,F820,'Istoric_Nativ'!$E$6:$E$405,G820,'Istoric_Nativ'!$D$6:$D$405,"&lt;"&amp;J820,'Istoric_Nativ'!$P$6:$P$405,1,'Istoric_Nativ'!$D$6:$D$405,"&gt;="&amp;L820)+SUMIFS('Istoric_Nativ'!$H$6:$H$405,'Istoric_Nativ'!$B$6:$B$405,E820,'Istoric_Nativ'!$C$6:$C$405,F820,'Istoric_Nativ'!$F$6:$F$405,G820,'Istoric_Nativ'!$D$6:$D$405,"&lt;"&amp;J820,'Istoric_Nativ'!$P$6:$P$405,1,'Istoric_Nativ'!$D$6:$D$405,"&gt;="&amp;L820)))/M820)</x:f>
      </x:c>
      <x:c r="O820" s="11" t="str">
        <x:f>IF(M820=0,"",IF(H820="HOME",SUMIFS('Istoric_Nativ'!$H$6:$H$405,'Istoric_Nativ'!$B$6:$B$405,E820,'Istoric_Nativ'!$C$6:$C$405,F820,'Istoric_Nativ'!$E$6:$E$405,G820,'Istoric_Nativ'!$D$6:$D$405,"&lt;"&amp;J820,'Istoric_Nativ'!$P$6:$P$405,1,'Istoric_Nativ'!$D$6:$D$405,"&gt;="&amp;L820),IF(H820="AWAY",SUMIFS('Istoric_Nativ'!$G$6:$G$405,'Istoric_Nativ'!$B$6:$B$405,E820,'Istoric_Nativ'!$C$6:$C$405,F820,'Istoric_Nativ'!$F$6:$F$405,G820,'Istoric_Nativ'!$D$6:$D$405,"&lt;"&amp;J820,'Istoric_Nativ'!$P$6:$P$405,1,'Istoric_Nativ'!$D$6:$D$405,"&gt;="&amp;L820),SUMIFS('Istoric_Nativ'!$H$6:$H$405,'Istoric_Nativ'!$B$6:$B$405,E820,'Istoric_Nativ'!$C$6:$C$405,F820,'Istoric_Nativ'!$E$6:$E$405,G820,'Istoric_Nativ'!$D$6:$D$405,"&lt;"&amp;J820,'Istoric_Nativ'!$P$6:$P$405,1,'Istoric_Nativ'!$D$6:$D$405,"&gt;="&amp;L820)+SUMIFS('Istoric_Nativ'!$G$6:$G$405,'Istoric_Nativ'!$B$6:$B$405,E820,'Istoric_Nativ'!$C$6:$C$405,F820,'Istoric_Nativ'!$F$6:$F$405,G820,'Istoric_Nativ'!$D$6:$D$405,"&lt;"&amp;J820,'Istoric_Nativ'!$P$6:$P$405,1,'Istoric_Nativ'!$D$6:$D$405,"&gt;="&amp;L820)))/M820)</x:f>
      </x:c>
      <x:c r="P820" s="2" t="n">
        <x:f>'Config_v6'!$B$8</x:f>
        <x:v>5</x:v>
      </x:c>
      <x:c r="Q820" s="2" t="n">
        <x:f>IF(OR(B820="",F820=""),0,IFERROR(MATCH(E820&amp;"|"&amp;F820,SourceTable[Source_Key],0),0))</x:f>
        <x:v>0</x:v>
      </x:c>
      <x:c r="R820" s="2" t="str">
        <x:f>IF(B820="","",IF(F820="","UNUSED",IF(Q820=0,"NOT CHECKED",IF(COUNTIF(SourceTable[Source_Key],E820&amp;"|"&amp;F820)&lt;&gt;1,"SOURCE CONFLICT",IF(NOT(OR(INDEX(SourceTable[Status],MAX(1,Q820))="IMPORTED",INDEX(SourceTable[Status],MAX(1,Q820))="PARTIAL",INDEX(SourceTable[Status],MAX(1,Q820))="SOURCE CONFLICT")),"ACCESS BLOCKED",IF(OR(INDEX(SourceTable[Coverage],Q820)&lt;&gt;"FULL SEASON EXPORT",INDEX(SourceTable[URL],Q820)="",INDEX(SourceTable[SHA256],Q820)=""),"EVIDENCE INCOMPLETE",IF(AND('Input_Meci'!H73="LIVE",INDEX(SourceTable[Retrieved_UTC],Q820)&gt;'Input_Meci'!G73),"POST CUTOFF","CLOSED")))))))</x:f>
      </x:c>
      <x:c r="S820" s="2" t="n">
        <x:f>IF(OR(B820="",F820=""),0,COUNTIFS('Istoric_Nativ'!$B$6:$B$405,E820,'Istoric_Nativ'!$C$6:$C$405,F820,'Istoric_Nativ'!$E$6:$E$405,G820,'Istoric_Nativ'!$D$6:$D$405,"&lt;"&amp;J820,'Istoric_Nativ'!$O$6:$O$405,"INVALID")+COUNTIFS('Istoric_Nativ'!$B$6:$B$405,E820,'Istoric_Nativ'!$C$6:$C$405,F820,'Istoric_Nativ'!$E$6:$E$405,G820,'Istoric_Nativ'!$O$6:$O$405,"INVALID",'Istoric_Nativ'!$D$6:$D$405,"*")+COUNTIFS('Istoric_Nativ'!$B$6:$B$405,E820,'Istoric_Nativ'!$C$6:$C$405,F820,'Istoric_Nativ'!$E$6:$E$405,G820,'Istoric_Nativ'!$D$6:$D$405,"&lt;"&amp;J820,'Istoric_Nativ'!$O$6:$O$405,"SOURCE CONFLICT")+COUNTIFS('Istoric_Nativ'!$B$6:$B$405,E820,'Istoric_Nativ'!$C$6:$C$405,F820,'Istoric_Nativ'!$F$6:$F$405,G820,'Istoric_Nativ'!$D$6:$D$405,"&lt;"&amp;J820,'Istoric_Nativ'!$O$6:$O$405,"INVALID")+COUNTIFS('Istoric_Nativ'!$B$6:$B$405,E820,'Istoric_Nativ'!$C$6:$C$405,F820,'Istoric_Nativ'!$F$6:$F$405,G820,'Istoric_Nativ'!$O$6:$O$405,"INVALID",'Istoric_Nativ'!$D$6:$D$405,"*")+COUNTIFS('Istoric_Nativ'!$B$6:$B$405,E820,'Istoric_Nativ'!$C$6:$C$405,F820,'Istoric_Nativ'!$F$6:$F$405,G820,'Istoric_Nativ'!$D$6:$D$405,"&lt;"&amp;J820,'Istoric_Nativ'!$O$6:$O$405,"SOURCE CONFLICT"))</x:f>
        <x:v>0</x:v>
      </x:c>
      <x:c r="T820" s="2" t="str">
        <x:f>IF(B820="","",IF(R820&lt;&gt;"CLOSED",R820,IF(S820&gt;0,"NATIVE INPUT ISSUE",IF(M820=0,"NO HISTORY",IF(M820&lt;P820,"SMALL SAMPLE","DERIVED")))))</x:f>
      </x:c>
      <x:c r="U820" s="2" t="str">
        <x:f>IF(B820="","","NativeTable; "&amp;E820&amp;"; "&amp;F820&amp;"; "&amp;G820&amp;"; "&amp;H820&amp;"; before "&amp;TEXT(J820,"yyyy-mm-dd")&amp;IF(I820="RECENT","; from "&amp;TEXT(L820,"yyyy-mm-dd"),""))</x:f>
      </x:c>
    </x:row>
    <x:row r="821" ht="21" customHeight="1">
      <x:c r="A821" s="2" t="n">
        <x:v>68</x:v>
      </x:c>
      <x:c r="B821" s="2" t="str">
        <x:f>IF('Input_Meci'!A73="","",'Input_Meci'!A73)</x:f>
      </x:c>
      <x:c r="C821" s="2" t="str">
        <x:v>A</x:v>
      </x:c>
      <x:c r="D821" s="2" t="str">
        <x:v>PRIOR</x:v>
      </x:c>
      <x:c r="E821" s="2" t="str">
        <x:f>IF(B821="","",'Input_Meci'!B73)</x:f>
      </x:c>
      <x:c r="F821" s="2" t="str">
        <x:f>IF(B821="","",IF('Input_Meci'!K73="","",'Input_Meci'!K73))</x:f>
      </x:c>
      <x:c r="G821" s="2" t="str">
        <x:f>IF(B821="","",'Input_Meci'!E73)</x:f>
      </x:c>
      <x:c r="H821" s="2" t="str">
        <x:v>ANY</x:v>
      </x:c>
      <x:c r="I821" s="2" t="str">
        <x:v>RECENT</x:v>
      </x:c>
      <x:c r="J821" s="9" t="n">
        <x:f>IF(AND(B821&lt;&gt;"",ISNUMBER('Input_Meci'!G73)),INT('Input_Meci'!G73),0)</x:f>
        <x:v>0</x:v>
      </x:c>
      <x:c r="K821" s="2" t="n">
        <x:f>IF(OR(B821="",F821=""),0,IF(H821="HOME",COUNTIFS('Istoric_Nativ'!$B$6:$B$405,E821,'Istoric_Nativ'!$C$6:$C$405,F821,'Istoric_Nativ'!$E$6:$E$405,G821,'Istoric_Nativ'!$D$6:$D$405,"&lt;"&amp;J821,'Istoric_Nativ'!$P$6:$P$405,1),IF(H821="AWAY",COUNTIFS('Istoric_Nativ'!$B$6:$B$405,E821,'Istoric_Nativ'!$C$6:$C$405,F821,'Istoric_Nativ'!$F$6:$F$405,G821,'Istoric_Nativ'!$D$6:$D$405,"&lt;"&amp;J821,'Istoric_Nativ'!$P$6:$P$405,1),COUNTIFS('Istoric_Nativ'!$B$6:$B$405,E821,'Istoric_Nativ'!$C$6:$C$405,F821,'Istoric_Nativ'!$E$6:$E$405,G821,'Istoric_Nativ'!$D$6:$D$405,"&lt;"&amp;J821,'Istoric_Nativ'!$P$6:$P$405,1)+COUNTIFS('Istoric_Nativ'!$B$6:$B$405,E821,'Istoric_Nativ'!$C$6:$C$405,F821,'Istoric_Nativ'!$F$6:$F$405,G821,'Istoric_Nativ'!$D$6:$D$405,"&lt;"&amp;J821,'Istoric_Nativ'!$P$6:$P$405,1))))</x:f>
        <x:v>0</x:v>
      </x:c>
      <x:c r="L821" s="17" t="n">
        <x:f>IF(AND(B821&lt;&gt;"",I821="RECENT",K821&gt;0),LARGE(_xlfn._xlws.FILTER('Istoric_Nativ'!$D$6:$D$405,('Istoric_Nativ'!$B$6:$B$405=E821)*('Istoric_Nativ'!$C$6:$C$405=F821)*('Istoric_Nativ'!$P$6:$P$405=1)*('Istoric_Nativ'!$D$6:$D$405&lt;J821)*((('Istoric_Nativ'!$E$6:$E$405=G821)+('Istoric_Nativ'!$F$6:$F$405=G821))&gt;0)),MIN('Config_v6'!$B$54,K821)),0)</x:f>
        <x:v>0</x:v>
      </x:c>
      <x:c r="M821" s="2" t="n">
        <x:f>IF(OR(B821="",F821=""),0,IF(H821="HOME",COUNTIFS('Istoric_Nativ'!$B$6:$B$405,E821,'Istoric_Nativ'!$C$6:$C$405,F821,'Istoric_Nativ'!$E$6:$E$405,G821,'Istoric_Nativ'!$D$6:$D$405,"&lt;"&amp;J821,'Istoric_Nativ'!$P$6:$P$405,1,'Istoric_Nativ'!$D$6:$D$405,"&gt;="&amp;L821),IF(H821="AWAY",COUNTIFS('Istoric_Nativ'!$B$6:$B$405,E821,'Istoric_Nativ'!$C$6:$C$405,F821,'Istoric_Nativ'!$F$6:$F$405,G821,'Istoric_Nativ'!$D$6:$D$405,"&lt;"&amp;J821,'Istoric_Nativ'!$P$6:$P$405,1,'Istoric_Nativ'!$D$6:$D$405,"&gt;="&amp;L821),COUNTIFS('Istoric_Nativ'!$B$6:$B$405,E821,'Istoric_Nativ'!$C$6:$C$405,F821,'Istoric_Nativ'!$E$6:$E$405,G821,'Istoric_Nativ'!$D$6:$D$405,"&lt;"&amp;J821,'Istoric_Nativ'!$P$6:$P$405,1,'Istoric_Nativ'!$D$6:$D$405,"&gt;="&amp;L821)+COUNTIFS('Istoric_Nativ'!$B$6:$B$405,E821,'Istoric_Nativ'!$C$6:$C$405,F821,'Istoric_Nativ'!$F$6:$F$405,G821,'Istoric_Nativ'!$D$6:$D$405,"&lt;"&amp;J821,'Istoric_Nativ'!$P$6:$P$405,1,'Istoric_Nativ'!$D$6:$D$405,"&gt;="&amp;L821))))</x:f>
        <x:v>0</x:v>
      </x:c>
      <x:c r="N821" s="11" t="str">
        <x:f>IF(M821=0,"",IF(H821="HOME",SUMIFS('Istoric_Nativ'!$G$6:$G$405,'Istoric_Nativ'!$B$6:$B$405,E821,'Istoric_Nativ'!$C$6:$C$405,F821,'Istoric_Nativ'!$E$6:$E$405,G821,'Istoric_Nativ'!$D$6:$D$405,"&lt;"&amp;J821,'Istoric_Nativ'!$P$6:$P$405,1,'Istoric_Nativ'!$D$6:$D$405,"&gt;="&amp;L821),IF(H821="AWAY",SUMIFS('Istoric_Nativ'!$H$6:$H$405,'Istoric_Nativ'!$B$6:$B$405,E821,'Istoric_Nativ'!$C$6:$C$405,F821,'Istoric_Nativ'!$F$6:$F$405,G821,'Istoric_Nativ'!$D$6:$D$405,"&lt;"&amp;J821,'Istoric_Nativ'!$P$6:$P$405,1,'Istoric_Nativ'!$D$6:$D$405,"&gt;="&amp;L821),SUMIFS('Istoric_Nativ'!$G$6:$G$405,'Istoric_Nativ'!$B$6:$B$405,E821,'Istoric_Nativ'!$C$6:$C$405,F821,'Istoric_Nativ'!$E$6:$E$405,G821,'Istoric_Nativ'!$D$6:$D$405,"&lt;"&amp;J821,'Istoric_Nativ'!$P$6:$P$405,1,'Istoric_Nativ'!$D$6:$D$405,"&gt;="&amp;L821)+SUMIFS('Istoric_Nativ'!$H$6:$H$405,'Istoric_Nativ'!$B$6:$B$405,E821,'Istoric_Nativ'!$C$6:$C$405,F821,'Istoric_Nativ'!$F$6:$F$405,G821,'Istoric_Nativ'!$D$6:$D$405,"&lt;"&amp;J821,'Istoric_Nativ'!$P$6:$P$405,1,'Istoric_Nativ'!$D$6:$D$405,"&gt;="&amp;L821)))/M821)</x:f>
      </x:c>
      <x:c r="O821" s="11" t="str">
        <x:f>IF(M821=0,"",IF(H821="HOME",SUMIFS('Istoric_Nativ'!$H$6:$H$405,'Istoric_Nativ'!$B$6:$B$405,E821,'Istoric_Nativ'!$C$6:$C$405,F821,'Istoric_Nativ'!$E$6:$E$405,G821,'Istoric_Nativ'!$D$6:$D$405,"&lt;"&amp;J821,'Istoric_Nativ'!$P$6:$P$405,1,'Istoric_Nativ'!$D$6:$D$405,"&gt;="&amp;L821),IF(H821="AWAY",SUMIFS('Istoric_Nativ'!$G$6:$G$405,'Istoric_Nativ'!$B$6:$B$405,E821,'Istoric_Nativ'!$C$6:$C$405,F821,'Istoric_Nativ'!$F$6:$F$405,G821,'Istoric_Nativ'!$D$6:$D$405,"&lt;"&amp;J821,'Istoric_Nativ'!$P$6:$P$405,1,'Istoric_Nativ'!$D$6:$D$405,"&gt;="&amp;L821),SUMIFS('Istoric_Nativ'!$H$6:$H$405,'Istoric_Nativ'!$B$6:$B$405,E821,'Istoric_Nativ'!$C$6:$C$405,F821,'Istoric_Nativ'!$E$6:$E$405,G821,'Istoric_Nativ'!$D$6:$D$405,"&lt;"&amp;J821,'Istoric_Nativ'!$P$6:$P$405,1,'Istoric_Nativ'!$D$6:$D$405,"&gt;="&amp;L821)+SUMIFS('Istoric_Nativ'!$G$6:$G$405,'Istoric_Nativ'!$B$6:$B$405,E821,'Istoric_Nativ'!$C$6:$C$405,F821,'Istoric_Nativ'!$F$6:$F$405,G821,'Istoric_Nativ'!$D$6:$D$405,"&lt;"&amp;J821,'Istoric_Nativ'!$P$6:$P$405,1,'Istoric_Nativ'!$D$6:$D$405,"&gt;="&amp;L821)))/M821)</x:f>
      </x:c>
      <x:c r="P821" s="2" t="n">
        <x:f>'Config_v6'!$B$9</x:f>
        <x:v>3</x:v>
      </x:c>
      <x:c r="Q821" s="2" t="n">
        <x:f>IF(OR(B821="",F821=""),0,IFERROR(MATCH(E821&amp;"|"&amp;F821,SourceTable[Source_Key],0),0))</x:f>
        <x:v>0</x:v>
      </x:c>
      <x:c r="R821" s="2" t="str">
        <x:f>IF(B821="","",IF(F821="","UNUSED",IF(Q821=0,"NOT CHECKED",IF(COUNTIF(SourceTable[Source_Key],E821&amp;"|"&amp;F821)&lt;&gt;1,"SOURCE CONFLICT",IF(NOT(OR(INDEX(SourceTable[Status],MAX(1,Q821))="IMPORTED",INDEX(SourceTable[Status],MAX(1,Q821))="PARTIAL",INDEX(SourceTable[Status],MAX(1,Q821))="SOURCE CONFLICT")),"ACCESS BLOCKED",IF(OR(INDEX(SourceTable[Coverage],Q821)&lt;&gt;"FULL SEASON EXPORT",INDEX(SourceTable[URL],Q821)="",INDEX(SourceTable[SHA256],Q821)=""),"EVIDENCE INCOMPLETE",IF(AND('Input_Meci'!H73="LIVE",INDEX(SourceTable[Retrieved_UTC],Q821)&gt;'Input_Meci'!G73),"POST CUTOFF","CLOSED")))))))</x:f>
      </x:c>
      <x:c r="S821" s="2" t="n">
        <x:f>IF(OR(B821="",F821=""),0,COUNTIFS('Istoric_Nativ'!$B$6:$B$405,E821,'Istoric_Nativ'!$C$6:$C$405,F821,'Istoric_Nativ'!$E$6:$E$405,G821,'Istoric_Nativ'!$D$6:$D$405,"&lt;"&amp;J821,'Istoric_Nativ'!$O$6:$O$405,"INVALID")+COUNTIFS('Istoric_Nativ'!$B$6:$B$405,E821,'Istoric_Nativ'!$C$6:$C$405,F821,'Istoric_Nativ'!$E$6:$E$405,G821,'Istoric_Nativ'!$O$6:$O$405,"INVALID",'Istoric_Nativ'!$D$6:$D$405,"*")+COUNTIFS('Istoric_Nativ'!$B$6:$B$405,E821,'Istoric_Nativ'!$C$6:$C$405,F821,'Istoric_Nativ'!$E$6:$E$405,G821,'Istoric_Nativ'!$D$6:$D$405,"&lt;"&amp;J821,'Istoric_Nativ'!$O$6:$O$405,"SOURCE CONFLICT")+COUNTIFS('Istoric_Nativ'!$B$6:$B$405,E821,'Istoric_Nativ'!$C$6:$C$405,F821,'Istoric_Nativ'!$F$6:$F$405,G821,'Istoric_Nativ'!$D$6:$D$405,"&lt;"&amp;J821,'Istoric_Nativ'!$O$6:$O$405,"INVALID")+COUNTIFS('Istoric_Nativ'!$B$6:$B$405,E821,'Istoric_Nativ'!$C$6:$C$405,F821,'Istoric_Nativ'!$F$6:$F$405,G821,'Istoric_Nativ'!$O$6:$O$405,"INVALID",'Istoric_Nativ'!$D$6:$D$405,"*")+COUNTIFS('Istoric_Nativ'!$B$6:$B$405,E821,'Istoric_Nativ'!$C$6:$C$405,F821,'Istoric_Nativ'!$F$6:$F$405,G821,'Istoric_Nativ'!$D$6:$D$405,"&lt;"&amp;J821,'Istoric_Nativ'!$O$6:$O$405,"SOURCE CONFLICT"))</x:f>
        <x:v>0</x:v>
      </x:c>
      <x:c r="T821" s="2" t="str">
        <x:f>IF(B821="","",IF(R821&lt;&gt;"CLOSED",R821,IF(S821&gt;0,"NATIVE INPUT ISSUE",IF(M821=0,"NO HISTORY",IF(M821&lt;P821,"SMALL SAMPLE","DERIVED")))))</x:f>
      </x:c>
      <x:c r="U821" s="2" t="str">
        <x:f>IF(B821="","","NativeTable; "&amp;E821&amp;"; "&amp;F821&amp;"; "&amp;G821&amp;"; "&amp;H821&amp;"; before "&amp;TEXT(J821,"yyyy-mm-dd")&amp;IF(I821="RECENT","; from "&amp;TEXT(L821,"yyyy-mm-dd"),""))</x:f>
      </x:c>
    </x:row>
    <x:row r="822" ht="21" customHeight="1">
      <x:c r="A822" s="2" t="n">
        <x:v>69</x:v>
      </x:c>
      <x:c r="B822" s="2" t="str">
        <x:f>IF('Input_Meci'!A74="","",'Input_Meci'!A74)</x:f>
      </x:c>
      <x:c r="C822" s="2" t="str">
        <x:v>H</x:v>
      </x:c>
      <x:c r="D822" s="2" t="str">
        <x:v>CURRENT</x:v>
      </x:c>
      <x:c r="E822" s="2" t="str">
        <x:f>IF(B822="","",'Input_Meci'!B74)</x:f>
      </x:c>
      <x:c r="F822" s="2" t="str">
        <x:f>IF(B822="","",IF('Input_Meci'!C74="","",'Input_Meci'!C74))</x:f>
      </x:c>
      <x:c r="G822" s="2" t="str">
        <x:f>IF(B822="","",'Input_Meci'!D74)</x:f>
      </x:c>
      <x:c r="H822" s="2" t="str">
        <x:v>ANY</x:v>
      </x:c>
      <x:c r="I822" s="2" t="str">
        <x:v>SEASON</x:v>
      </x:c>
      <x:c r="J822" s="9" t="n">
        <x:f>IF(AND(B822&lt;&gt;"",ISNUMBER('Input_Meci'!G74)),INT('Input_Meci'!G74),0)</x:f>
        <x:v>0</x:v>
      </x:c>
      <x:c r="K822" s="2" t="n">
        <x:f>IF(OR(B822="",F822=""),0,IF(H822="HOME",COUNTIFS('Istoric_Nativ'!$B$6:$B$405,E822,'Istoric_Nativ'!$C$6:$C$405,F822,'Istoric_Nativ'!$E$6:$E$405,G822,'Istoric_Nativ'!$D$6:$D$405,"&lt;"&amp;J822,'Istoric_Nativ'!$P$6:$P$405,1),IF(H822="AWAY",COUNTIFS('Istoric_Nativ'!$B$6:$B$405,E822,'Istoric_Nativ'!$C$6:$C$405,F822,'Istoric_Nativ'!$F$6:$F$405,G822,'Istoric_Nativ'!$D$6:$D$405,"&lt;"&amp;J822,'Istoric_Nativ'!$P$6:$P$405,1),COUNTIFS('Istoric_Nativ'!$B$6:$B$405,E822,'Istoric_Nativ'!$C$6:$C$405,F822,'Istoric_Nativ'!$E$6:$E$405,G822,'Istoric_Nativ'!$D$6:$D$405,"&lt;"&amp;J822,'Istoric_Nativ'!$P$6:$P$405,1)+COUNTIFS('Istoric_Nativ'!$B$6:$B$405,E822,'Istoric_Nativ'!$C$6:$C$405,F822,'Istoric_Nativ'!$F$6:$F$405,G822,'Istoric_Nativ'!$D$6:$D$405,"&lt;"&amp;J822,'Istoric_Nativ'!$P$6:$P$405,1))))</x:f>
        <x:v>0</x:v>
      </x:c>
      <x:c r="L822" s="17" t="n">
        <x:f>IF(AND(B822&lt;&gt;"",I822="RECENT",K822&gt;0),LARGE(_xlfn._xlws.FILTER('Istoric_Nativ'!$D$6:$D$405,('Istoric_Nativ'!$B$6:$B$405=E822)*('Istoric_Nativ'!$C$6:$C$405=F822)*('Istoric_Nativ'!$P$6:$P$405=1)*('Istoric_Nativ'!$D$6:$D$405&lt;J822)*((('Istoric_Nativ'!$E$6:$E$405=G822)+('Istoric_Nativ'!$F$6:$F$405=G822))&gt;0)),MIN('Config_v6'!$B$54,K822)),0)</x:f>
        <x:v>0</x:v>
      </x:c>
      <x:c r="M822" s="2" t="n">
        <x:f>IF(OR(B822="",F822=""),0,IF(H822="HOME",COUNTIFS('Istoric_Nativ'!$B$6:$B$405,E822,'Istoric_Nativ'!$C$6:$C$405,F822,'Istoric_Nativ'!$E$6:$E$405,G822,'Istoric_Nativ'!$D$6:$D$405,"&lt;"&amp;J822,'Istoric_Nativ'!$P$6:$P$405,1,'Istoric_Nativ'!$D$6:$D$405,"&gt;="&amp;L822),IF(H822="AWAY",COUNTIFS('Istoric_Nativ'!$B$6:$B$405,E822,'Istoric_Nativ'!$C$6:$C$405,F822,'Istoric_Nativ'!$F$6:$F$405,G822,'Istoric_Nativ'!$D$6:$D$405,"&lt;"&amp;J822,'Istoric_Nativ'!$P$6:$P$405,1,'Istoric_Nativ'!$D$6:$D$405,"&gt;="&amp;L822),COUNTIFS('Istoric_Nativ'!$B$6:$B$405,E822,'Istoric_Nativ'!$C$6:$C$405,F822,'Istoric_Nativ'!$E$6:$E$405,G822,'Istoric_Nativ'!$D$6:$D$405,"&lt;"&amp;J822,'Istoric_Nativ'!$P$6:$P$405,1,'Istoric_Nativ'!$D$6:$D$405,"&gt;="&amp;L822)+COUNTIFS('Istoric_Nativ'!$B$6:$B$405,E822,'Istoric_Nativ'!$C$6:$C$405,F822,'Istoric_Nativ'!$F$6:$F$405,G822,'Istoric_Nativ'!$D$6:$D$405,"&lt;"&amp;J822,'Istoric_Nativ'!$P$6:$P$405,1,'Istoric_Nativ'!$D$6:$D$405,"&gt;="&amp;L822))))</x:f>
        <x:v>0</x:v>
      </x:c>
      <x:c r="N822" s="11" t="str">
        <x:f>IF(M822=0,"",IF(H822="HOME",SUMIFS('Istoric_Nativ'!$G$6:$G$405,'Istoric_Nativ'!$B$6:$B$405,E822,'Istoric_Nativ'!$C$6:$C$405,F822,'Istoric_Nativ'!$E$6:$E$405,G822,'Istoric_Nativ'!$D$6:$D$405,"&lt;"&amp;J822,'Istoric_Nativ'!$P$6:$P$405,1,'Istoric_Nativ'!$D$6:$D$405,"&gt;="&amp;L822),IF(H822="AWAY",SUMIFS('Istoric_Nativ'!$H$6:$H$405,'Istoric_Nativ'!$B$6:$B$405,E822,'Istoric_Nativ'!$C$6:$C$405,F822,'Istoric_Nativ'!$F$6:$F$405,G822,'Istoric_Nativ'!$D$6:$D$405,"&lt;"&amp;J822,'Istoric_Nativ'!$P$6:$P$405,1,'Istoric_Nativ'!$D$6:$D$405,"&gt;="&amp;L822),SUMIFS('Istoric_Nativ'!$G$6:$G$405,'Istoric_Nativ'!$B$6:$B$405,E822,'Istoric_Nativ'!$C$6:$C$405,F822,'Istoric_Nativ'!$E$6:$E$405,G822,'Istoric_Nativ'!$D$6:$D$405,"&lt;"&amp;J822,'Istoric_Nativ'!$P$6:$P$405,1,'Istoric_Nativ'!$D$6:$D$405,"&gt;="&amp;L822)+SUMIFS('Istoric_Nativ'!$H$6:$H$405,'Istoric_Nativ'!$B$6:$B$405,E822,'Istoric_Nativ'!$C$6:$C$405,F822,'Istoric_Nativ'!$F$6:$F$405,G822,'Istoric_Nativ'!$D$6:$D$405,"&lt;"&amp;J822,'Istoric_Nativ'!$P$6:$P$405,1,'Istoric_Nativ'!$D$6:$D$405,"&gt;="&amp;L822)))/M822)</x:f>
      </x:c>
      <x:c r="O822" s="11" t="str">
        <x:f>IF(M822=0,"",IF(H822="HOME",SUMIFS('Istoric_Nativ'!$H$6:$H$405,'Istoric_Nativ'!$B$6:$B$405,E822,'Istoric_Nativ'!$C$6:$C$405,F822,'Istoric_Nativ'!$E$6:$E$405,G822,'Istoric_Nativ'!$D$6:$D$405,"&lt;"&amp;J822,'Istoric_Nativ'!$P$6:$P$405,1,'Istoric_Nativ'!$D$6:$D$405,"&gt;="&amp;L822),IF(H822="AWAY",SUMIFS('Istoric_Nativ'!$G$6:$G$405,'Istoric_Nativ'!$B$6:$B$405,E822,'Istoric_Nativ'!$C$6:$C$405,F822,'Istoric_Nativ'!$F$6:$F$405,G822,'Istoric_Nativ'!$D$6:$D$405,"&lt;"&amp;J822,'Istoric_Nativ'!$P$6:$P$405,1,'Istoric_Nativ'!$D$6:$D$405,"&gt;="&amp;L822),SUMIFS('Istoric_Nativ'!$H$6:$H$405,'Istoric_Nativ'!$B$6:$B$405,E822,'Istoric_Nativ'!$C$6:$C$405,F822,'Istoric_Nativ'!$E$6:$E$405,G822,'Istoric_Nativ'!$D$6:$D$405,"&lt;"&amp;J822,'Istoric_Nativ'!$P$6:$P$405,1,'Istoric_Nativ'!$D$6:$D$405,"&gt;="&amp;L822)+SUMIFS('Istoric_Nativ'!$G$6:$G$405,'Istoric_Nativ'!$B$6:$B$405,E822,'Istoric_Nativ'!$C$6:$C$405,F822,'Istoric_Nativ'!$F$6:$F$405,G822,'Istoric_Nativ'!$D$6:$D$405,"&lt;"&amp;J822,'Istoric_Nativ'!$P$6:$P$405,1,'Istoric_Nativ'!$D$6:$D$405,"&gt;="&amp;L822)))/M822)</x:f>
      </x:c>
      <x:c r="P822" s="2" t="n">
        <x:f>'Config_v6'!$B$7</x:f>
        <x:v>10</x:v>
      </x:c>
      <x:c r="Q822" s="2" t="n">
        <x:f>IF(OR(B822="",F822=""),0,IFERROR(MATCH(E822&amp;"|"&amp;F822,SourceTable[Source_Key],0),0))</x:f>
        <x:v>0</x:v>
      </x:c>
      <x:c r="R822" s="2" t="str">
        <x:f>IF(B822="","",IF(F822="","UNUSED",IF(Q822=0,"NOT CHECKED",IF(COUNTIF(SourceTable[Source_Key],E822&amp;"|"&amp;F822)&lt;&gt;1,"SOURCE CONFLICT",IF(NOT(OR(INDEX(SourceTable[Status],MAX(1,Q822))="IMPORTED",INDEX(SourceTable[Status],MAX(1,Q822))="PARTIAL",INDEX(SourceTable[Status],MAX(1,Q822))="SOURCE CONFLICT")),"ACCESS BLOCKED",IF(OR(INDEX(SourceTable[Coverage],Q822)&lt;&gt;"FULL SEASON EXPORT",INDEX(SourceTable[URL],Q822)="",INDEX(SourceTable[SHA256],Q822)=""),"EVIDENCE INCOMPLETE",IF(AND('Input_Meci'!H74="LIVE",INDEX(SourceTable[Retrieved_UTC],Q822)&gt;'Input_Meci'!G74),"POST CUTOFF","CLOSED")))))))</x:f>
      </x:c>
      <x:c r="S822" s="2" t="n">
        <x:f>IF(OR(B822="",F822=""),0,COUNTIFS('Istoric_Nativ'!$B$6:$B$405,E822,'Istoric_Nativ'!$C$6:$C$405,F822,'Istoric_Nativ'!$E$6:$E$405,G822,'Istoric_Nativ'!$D$6:$D$405,"&lt;"&amp;J822,'Istoric_Nativ'!$O$6:$O$405,"INVALID")+COUNTIFS('Istoric_Nativ'!$B$6:$B$405,E822,'Istoric_Nativ'!$C$6:$C$405,F822,'Istoric_Nativ'!$E$6:$E$405,G822,'Istoric_Nativ'!$O$6:$O$405,"INVALID",'Istoric_Nativ'!$D$6:$D$405,"*")+COUNTIFS('Istoric_Nativ'!$B$6:$B$405,E822,'Istoric_Nativ'!$C$6:$C$405,F822,'Istoric_Nativ'!$E$6:$E$405,G822,'Istoric_Nativ'!$D$6:$D$405,"&lt;"&amp;J822,'Istoric_Nativ'!$O$6:$O$405,"SOURCE CONFLICT")+COUNTIFS('Istoric_Nativ'!$B$6:$B$405,E822,'Istoric_Nativ'!$C$6:$C$405,F822,'Istoric_Nativ'!$F$6:$F$405,G822,'Istoric_Nativ'!$D$6:$D$405,"&lt;"&amp;J822,'Istoric_Nativ'!$O$6:$O$405,"INVALID")+COUNTIFS('Istoric_Nativ'!$B$6:$B$405,E822,'Istoric_Nativ'!$C$6:$C$405,F822,'Istoric_Nativ'!$F$6:$F$405,G822,'Istoric_Nativ'!$O$6:$O$405,"INVALID",'Istoric_Nativ'!$D$6:$D$405,"*")+COUNTIFS('Istoric_Nativ'!$B$6:$B$405,E822,'Istoric_Nativ'!$C$6:$C$405,F822,'Istoric_Nativ'!$F$6:$F$405,G822,'Istoric_Nativ'!$D$6:$D$405,"&lt;"&amp;J822,'Istoric_Nativ'!$O$6:$O$405,"SOURCE CONFLICT"))</x:f>
        <x:v>0</x:v>
      </x:c>
      <x:c r="T822" s="2" t="str">
        <x:f>IF(B822="","",IF(R822&lt;&gt;"CLOSED",R822,IF(S822&gt;0,"NATIVE INPUT ISSUE",IF(M822=0,"NO HISTORY",IF(M822&lt;P822,"SMALL SAMPLE","DERIVED")))))</x:f>
      </x:c>
      <x:c r="U822" s="2" t="str">
        <x:f>IF(B822="","","NativeTable; "&amp;E822&amp;"; "&amp;F822&amp;"; "&amp;G822&amp;"; "&amp;H822&amp;"; before "&amp;TEXT(J822,"yyyy-mm-dd")&amp;IF(I822="RECENT","; from "&amp;TEXT(L822,"yyyy-mm-dd"),""))</x:f>
      </x:c>
    </x:row>
    <x:row r="823" ht="21" customHeight="1">
      <x:c r="A823" s="2" t="n">
        <x:v>69</x:v>
      </x:c>
      <x:c r="B823" s="2" t="str">
        <x:f>IF('Input_Meci'!A74="","",'Input_Meci'!A74)</x:f>
      </x:c>
      <x:c r="C823" s="2" t="str">
        <x:v>H</x:v>
      </x:c>
      <x:c r="D823" s="2" t="str">
        <x:v>CURRENT</x:v>
      </x:c>
      <x:c r="E823" s="2" t="str">
        <x:f>IF(B823="","",'Input_Meci'!B74)</x:f>
      </x:c>
      <x:c r="F823" s="2" t="str">
        <x:f>IF(B823="","",IF('Input_Meci'!C74="","",'Input_Meci'!C74))</x:f>
      </x:c>
      <x:c r="G823" s="2" t="str">
        <x:f>IF(B823="","",'Input_Meci'!D74)</x:f>
      </x:c>
      <x:c r="H823" s="2" t="str">
        <x:v>HOME</x:v>
      </x:c>
      <x:c r="I823" s="2" t="str">
        <x:v>HA</x:v>
      </x:c>
      <x:c r="J823" s="9" t="n">
        <x:f>IF(AND(B823&lt;&gt;"",ISNUMBER('Input_Meci'!G74)),INT('Input_Meci'!G74),0)</x:f>
        <x:v>0</x:v>
      </x:c>
      <x:c r="K823" s="2" t="n">
        <x:f>IF(OR(B823="",F823=""),0,IF(H823="HOME",COUNTIFS('Istoric_Nativ'!$B$6:$B$405,E823,'Istoric_Nativ'!$C$6:$C$405,F823,'Istoric_Nativ'!$E$6:$E$405,G823,'Istoric_Nativ'!$D$6:$D$405,"&lt;"&amp;J823,'Istoric_Nativ'!$P$6:$P$405,1),IF(H823="AWAY",COUNTIFS('Istoric_Nativ'!$B$6:$B$405,E823,'Istoric_Nativ'!$C$6:$C$405,F823,'Istoric_Nativ'!$F$6:$F$405,G823,'Istoric_Nativ'!$D$6:$D$405,"&lt;"&amp;J823,'Istoric_Nativ'!$P$6:$P$405,1),COUNTIFS('Istoric_Nativ'!$B$6:$B$405,E823,'Istoric_Nativ'!$C$6:$C$405,F823,'Istoric_Nativ'!$E$6:$E$405,G823,'Istoric_Nativ'!$D$6:$D$405,"&lt;"&amp;J823,'Istoric_Nativ'!$P$6:$P$405,1)+COUNTIFS('Istoric_Nativ'!$B$6:$B$405,E823,'Istoric_Nativ'!$C$6:$C$405,F823,'Istoric_Nativ'!$F$6:$F$405,G823,'Istoric_Nativ'!$D$6:$D$405,"&lt;"&amp;J823,'Istoric_Nativ'!$P$6:$P$405,1))))</x:f>
        <x:v>0</x:v>
      </x:c>
      <x:c r="L823" s="17" t="n">
        <x:f>IF(AND(B823&lt;&gt;"",I823="RECENT",K823&gt;0),LARGE(_xlfn._xlws.FILTER('Istoric_Nativ'!$D$6:$D$405,('Istoric_Nativ'!$B$6:$B$405=E823)*('Istoric_Nativ'!$C$6:$C$405=F823)*('Istoric_Nativ'!$P$6:$P$405=1)*('Istoric_Nativ'!$D$6:$D$405&lt;J823)*((('Istoric_Nativ'!$E$6:$E$405=G823)+('Istoric_Nativ'!$F$6:$F$405=G823))&gt;0)),MIN('Config_v6'!$B$54,K823)),0)</x:f>
        <x:v>0</x:v>
      </x:c>
      <x:c r="M823" s="2" t="n">
        <x:f>IF(OR(B823="",F823=""),0,IF(H823="HOME",COUNTIFS('Istoric_Nativ'!$B$6:$B$405,E823,'Istoric_Nativ'!$C$6:$C$405,F823,'Istoric_Nativ'!$E$6:$E$405,G823,'Istoric_Nativ'!$D$6:$D$405,"&lt;"&amp;J823,'Istoric_Nativ'!$P$6:$P$405,1,'Istoric_Nativ'!$D$6:$D$405,"&gt;="&amp;L823),IF(H823="AWAY",COUNTIFS('Istoric_Nativ'!$B$6:$B$405,E823,'Istoric_Nativ'!$C$6:$C$405,F823,'Istoric_Nativ'!$F$6:$F$405,G823,'Istoric_Nativ'!$D$6:$D$405,"&lt;"&amp;J823,'Istoric_Nativ'!$P$6:$P$405,1,'Istoric_Nativ'!$D$6:$D$405,"&gt;="&amp;L823),COUNTIFS('Istoric_Nativ'!$B$6:$B$405,E823,'Istoric_Nativ'!$C$6:$C$405,F823,'Istoric_Nativ'!$E$6:$E$405,G823,'Istoric_Nativ'!$D$6:$D$405,"&lt;"&amp;J823,'Istoric_Nativ'!$P$6:$P$405,1,'Istoric_Nativ'!$D$6:$D$405,"&gt;="&amp;L823)+COUNTIFS('Istoric_Nativ'!$B$6:$B$405,E823,'Istoric_Nativ'!$C$6:$C$405,F823,'Istoric_Nativ'!$F$6:$F$405,G823,'Istoric_Nativ'!$D$6:$D$405,"&lt;"&amp;J823,'Istoric_Nativ'!$P$6:$P$405,1,'Istoric_Nativ'!$D$6:$D$405,"&gt;="&amp;L823))))</x:f>
        <x:v>0</x:v>
      </x:c>
      <x:c r="N823" s="11" t="str">
        <x:f>IF(M823=0,"",IF(H823="HOME",SUMIFS('Istoric_Nativ'!$G$6:$G$405,'Istoric_Nativ'!$B$6:$B$405,E823,'Istoric_Nativ'!$C$6:$C$405,F823,'Istoric_Nativ'!$E$6:$E$405,G823,'Istoric_Nativ'!$D$6:$D$405,"&lt;"&amp;J823,'Istoric_Nativ'!$P$6:$P$405,1,'Istoric_Nativ'!$D$6:$D$405,"&gt;="&amp;L823),IF(H823="AWAY",SUMIFS('Istoric_Nativ'!$H$6:$H$405,'Istoric_Nativ'!$B$6:$B$405,E823,'Istoric_Nativ'!$C$6:$C$405,F823,'Istoric_Nativ'!$F$6:$F$405,G823,'Istoric_Nativ'!$D$6:$D$405,"&lt;"&amp;J823,'Istoric_Nativ'!$P$6:$P$405,1,'Istoric_Nativ'!$D$6:$D$405,"&gt;="&amp;L823),SUMIFS('Istoric_Nativ'!$G$6:$G$405,'Istoric_Nativ'!$B$6:$B$405,E823,'Istoric_Nativ'!$C$6:$C$405,F823,'Istoric_Nativ'!$E$6:$E$405,G823,'Istoric_Nativ'!$D$6:$D$405,"&lt;"&amp;J823,'Istoric_Nativ'!$P$6:$P$405,1,'Istoric_Nativ'!$D$6:$D$405,"&gt;="&amp;L823)+SUMIFS('Istoric_Nativ'!$H$6:$H$405,'Istoric_Nativ'!$B$6:$B$405,E823,'Istoric_Nativ'!$C$6:$C$405,F823,'Istoric_Nativ'!$F$6:$F$405,G823,'Istoric_Nativ'!$D$6:$D$405,"&lt;"&amp;J823,'Istoric_Nativ'!$P$6:$P$405,1,'Istoric_Nativ'!$D$6:$D$405,"&gt;="&amp;L823)))/M823)</x:f>
      </x:c>
      <x:c r="O823" s="11" t="str">
        <x:f>IF(M823=0,"",IF(H823="HOME",SUMIFS('Istoric_Nativ'!$H$6:$H$405,'Istoric_Nativ'!$B$6:$B$405,E823,'Istoric_Nativ'!$C$6:$C$405,F823,'Istoric_Nativ'!$E$6:$E$405,G823,'Istoric_Nativ'!$D$6:$D$405,"&lt;"&amp;J823,'Istoric_Nativ'!$P$6:$P$405,1,'Istoric_Nativ'!$D$6:$D$405,"&gt;="&amp;L823),IF(H823="AWAY",SUMIFS('Istoric_Nativ'!$G$6:$G$405,'Istoric_Nativ'!$B$6:$B$405,E823,'Istoric_Nativ'!$C$6:$C$405,F823,'Istoric_Nativ'!$F$6:$F$405,G823,'Istoric_Nativ'!$D$6:$D$405,"&lt;"&amp;J823,'Istoric_Nativ'!$P$6:$P$405,1,'Istoric_Nativ'!$D$6:$D$405,"&gt;="&amp;L823),SUMIFS('Istoric_Nativ'!$H$6:$H$405,'Istoric_Nativ'!$B$6:$B$405,E823,'Istoric_Nativ'!$C$6:$C$405,F823,'Istoric_Nativ'!$E$6:$E$405,G823,'Istoric_Nativ'!$D$6:$D$405,"&lt;"&amp;J823,'Istoric_Nativ'!$P$6:$P$405,1,'Istoric_Nativ'!$D$6:$D$405,"&gt;="&amp;L823)+SUMIFS('Istoric_Nativ'!$G$6:$G$405,'Istoric_Nativ'!$B$6:$B$405,E823,'Istoric_Nativ'!$C$6:$C$405,F823,'Istoric_Nativ'!$F$6:$F$405,G823,'Istoric_Nativ'!$D$6:$D$405,"&lt;"&amp;J823,'Istoric_Nativ'!$P$6:$P$405,1,'Istoric_Nativ'!$D$6:$D$405,"&gt;="&amp;L823)))/M823)</x:f>
      </x:c>
      <x:c r="P823" s="2" t="n">
        <x:f>'Config_v6'!$B$8</x:f>
        <x:v>5</x:v>
      </x:c>
      <x:c r="Q823" s="2" t="n">
        <x:f>IF(OR(B823="",F823=""),0,IFERROR(MATCH(E823&amp;"|"&amp;F823,SourceTable[Source_Key],0),0))</x:f>
        <x:v>0</x:v>
      </x:c>
      <x:c r="R823" s="2" t="str">
        <x:f>IF(B823="","",IF(F823="","UNUSED",IF(Q823=0,"NOT CHECKED",IF(COUNTIF(SourceTable[Source_Key],E823&amp;"|"&amp;F823)&lt;&gt;1,"SOURCE CONFLICT",IF(NOT(OR(INDEX(SourceTable[Status],MAX(1,Q823))="IMPORTED",INDEX(SourceTable[Status],MAX(1,Q823))="PARTIAL",INDEX(SourceTable[Status],MAX(1,Q823))="SOURCE CONFLICT")),"ACCESS BLOCKED",IF(OR(INDEX(SourceTable[Coverage],Q823)&lt;&gt;"FULL SEASON EXPORT",INDEX(SourceTable[URL],Q823)="",INDEX(SourceTable[SHA256],Q823)=""),"EVIDENCE INCOMPLETE",IF(AND('Input_Meci'!H74="LIVE",INDEX(SourceTable[Retrieved_UTC],Q823)&gt;'Input_Meci'!G74),"POST CUTOFF","CLOSED")))))))</x:f>
      </x:c>
      <x:c r="S823" s="2" t="n">
        <x:f>IF(OR(B823="",F823=""),0,COUNTIFS('Istoric_Nativ'!$B$6:$B$405,E823,'Istoric_Nativ'!$C$6:$C$405,F823,'Istoric_Nativ'!$E$6:$E$405,G823,'Istoric_Nativ'!$D$6:$D$405,"&lt;"&amp;J823,'Istoric_Nativ'!$O$6:$O$405,"INVALID")+COUNTIFS('Istoric_Nativ'!$B$6:$B$405,E823,'Istoric_Nativ'!$C$6:$C$405,F823,'Istoric_Nativ'!$E$6:$E$405,G823,'Istoric_Nativ'!$O$6:$O$405,"INVALID",'Istoric_Nativ'!$D$6:$D$405,"*")+COUNTIFS('Istoric_Nativ'!$B$6:$B$405,E823,'Istoric_Nativ'!$C$6:$C$405,F823,'Istoric_Nativ'!$E$6:$E$405,G823,'Istoric_Nativ'!$D$6:$D$405,"&lt;"&amp;J823,'Istoric_Nativ'!$O$6:$O$405,"SOURCE CONFLICT")+COUNTIFS('Istoric_Nativ'!$B$6:$B$405,E823,'Istoric_Nativ'!$C$6:$C$405,F823,'Istoric_Nativ'!$F$6:$F$405,G823,'Istoric_Nativ'!$D$6:$D$405,"&lt;"&amp;J823,'Istoric_Nativ'!$O$6:$O$405,"INVALID")+COUNTIFS('Istoric_Nativ'!$B$6:$B$405,E823,'Istoric_Nativ'!$C$6:$C$405,F823,'Istoric_Nativ'!$F$6:$F$405,G823,'Istoric_Nativ'!$O$6:$O$405,"INVALID",'Istoric_Nativ'!$D$6:$D$405,"*")+COUNTIFS('Istoric_Nativ'!$B$6:$B$405,E823,'Istoric_Nativ'!$C$6:$C$405,F823,'Istoric_Nativ'!$F$6:$F$405,G823,'Istoric_Nativ'!$D$6:$D$405,"&lt;"&amp;J823,'Istoric_Nativ'!$O$6:$O$405,"SOURCE CONFLICT"))</x:f>
        <x:v>0</x:v>
      </x:c>
      <x:c r="T823" s="2" t="str">
        <x:f>IF(B823="","",IF(R823&lt;&gt;"CLOSED",R823,IF(S823&gt;0,"NATIVE INPUT ISSUE",IF(M823=0,"NO HISTORY",IF(M823&lt;P823,"SMALL SAMPLE","DERIVED")))))</x:f>
      </x:c>
      <x:c r="U823" s="2" t="str">
        <x:f>IF(B823="","","NativeTable; "&amp;E823&amp;"; "&amp;F823&amp;"; "&amp;G823&amp;"; "&amp;H823&amp;"; before "&amp;TEXT(J823,"yyyy-mm-dd")&amp;IF(I823="RECENT","; from "&amp;TEXT(L823,"yyyy-mm-dd"),""))</x:f>
      </x:c>
    </x:row>
    <x:row r="824" ht="21" customHeight="1">
      <x:c r="A824" s="2" t="n">
        <x:v>69</x:v>
      </x:c>
      <x:c r="B824" s="2" t="str">
        <x:f>IF('Input_Meci'!A74="","",'Input_Meci'!A74)</x:f>
      </x:c>
      <x:c r="C824" s="2" t="str">
        <x:v>H</x:v>
      </x:c>
      <x:c r="D824" s="2" t="str">
        <x:v>CURRENT</x:v>
      </x:c>
      <x:c r="E824" s="2" t="str">
        <x:f>IF(B824="","",'Input_Meci'!B74)</x:f>
      </x:c>
      <x:c r="F824" s="2" t="str">
        <x:f>IF(B824="","",IF('Input_Meci'!C74="","",'Input_Meci'!C74))</x:f>
      </x:c>
      <x:c r="G824" s="2" t="str">
        <x:f>IF(B824="","",'Input_Meci'!D74)</x:f>
      </x:c>
      <x:c r="H824" s="2" t="str">
        <x:v>ANY</x:v>
      </x:c>
      <x:c r="I824" s="2" t="str">
        <x:v>RECENT</x:v>
      </x:c>
      <x:c r="J824" s="9" t="n">
        <x:f>IF(AND(B824&lt;&gt;"",ISNUMBER('Input_Meci'!G74)),INT('Input_Meci'!G74),0)</x:f>
        <x:v>0</x:v>
      </x:c>
      <x:c r="K824" s="2" t="n">
        <x:f>IF(OR(B824="",F824=""),0,IF(H824="HOME",COUNTIFS('Istoric_Nativ'!$B$6:$B$405,E824,'Istoric_Nativ'!$C$6:$C$405,F824,'Istoric_Nativ'!$E$6:$E$405,G824,'Istoric_Nativ'!$D$6:$D$405,"&lt;"&amp;J824,'Istoric_Nativ'!$P$6:$P$405,1),IF(H824="AWAY",COUNTIFS('Istoric_Nativ'!$B$6:$B$405,E824,'Istoric_Nativ'!$C$6:$C$405,F824,'Istoric_Nativ'!$F$6:$F$405,G824,'Istoric_Nativ'!$D$6:$D$405,"&lt;"&amp;J824,'Istoric_Nativ'!$P$6:$P$405,1),COUNTIFS('Istoric_Nativ'!$B$6:$B$405,E824,'Istoric_Nativ'!$C$6:$C$405,F824,'Istoric_Nativ'!$E$6:$E$405,G824,'Istoric_Nativ'!$D$6:$D$405,"&lt;"&amp;J824,'Istoric_Nativ'!$P$6:$P$405,1)+COUNTIFS('Istoric_Nativ'!$B$6:$B$405,E824,'Istoric_Nativ'!$C$6:$C$405,F824,'Istoric_Nativ'!$F$6:$F$405,G824,'Istoric_Nativ'!$D$6:$D$405,"&lt;"&amp;J824,'Istoric_Nativ'!$P$6:$P$405,1))))</x:f>
        <x:v>0</x:v>
      </x:c>
      <x:c r="L824" s="17" t="n">
        <x:f>IF(AND(B824&lt;&gt;"",I824="RECENT",K824&gt;0),LARGE(_xlfn._xlws.FILTER('Istoric_Nativ'!$D$6:$D$405,('Istoric_Nativ'!$B$6:$B$405=E824)*('Istoric_Nativ'!$C$6:$C$405=F824)*('Istoric_Nativ'!$P$6:$P$405=1)*('Istoric_Nativ'!$D$6:$D$405&lt;J824)*((('Istoric_Nativ'!$E$6:$E$405=G824)+('Istoric_Nativ'!$F$6:$F$405=G824))&gt;0)),MIN('Config_v6'!$B$54,K824)),0)</x:f>
        <x:v>0</x:v>
      </x:c>
      <x:c r="M824" s="2" t="n">
        <x:f>IF(OR(B824="",F824=""),0,IF(H824="HOME",COUNTIFS('Istoric_Nativ'!$B$6:$B$405,E824,'Istoric_Nativ'!$C$6:$C$405,F824,'Istoric_Nativ'!$E$6:$E$405,G824,'Istoric_Nativ'!$D$6:$D$405,"&lt;"&amp;J824,'Istoric_Nativ'!$P$6:$P$405,1,'Istoric_Nativ'!$D$6:$D$405,"&gt;="&amp;L824),IF(H824="AWAY",COUNTIFS('Istoric_Nativ'!$B$6:$B$405,E824,'Istoric_Nativ'!$C$6:$C$405,F824,'Istoric_Nativ'!$F$6:$F$405,G824,'Istoric_Nativ'!$D$6:$D$405,"&lt;"&amp;J824,'Istoric_Nativ'!$P$6:$P$405,1,'Istoric_Nativ'!$D$6:$D$405,"&gt;="&amp;L824),COUNTIFS('Istoric_Nativ'!$B$6:$B$405,E824,'Istoric_Nativ'!$C$6:$C$405,F824,'Istoric_Nativ'!$E$6:$E$405,G824,'Istoric_Nativ'!$D$6:$D$405,"&lt;"&amp;J824,'Istoric_Nativ'!$P$6:$P$405,1,'Istoric_Nativ'!$D$6:$D$405,"&gt;="&amp;L824)+COUNTIFS('Istoric_Nativ'!$B$6:$B$405,E824,'Istoric_Nativ'!$C$6:$C$405,F824,'Istoric_Nativ'!$F$6:$F$405,G824,'Istoric_Nativ'!$D$6:$D$405,"&lt;"&amp;J824,'Istoric_Nativ'!$P$6:$P$405,1,'Istoric_Nativ'!$D$6:$D$405,"&gt;="&amp;L824))))</x:f>
        <x:v>0</x:v>
      </x:c>
      <x:c r="N824" s="11" t="str">
        <x:f>IF(M824=0,"",IF(H824="HOME",SUMIFS('Istoric_Nativ'!$G$6:$G$405,'Istoric_Nativ'!$B$6:$B$405,E824,'Istoric_Nativ'!$C$6:$C$405,F824,'Istoric_Nativ'!$E$6:$E$405,G824,'Istoric_Nativ'!$D$6:$D$405,"&lt;"&amp;J824,'Istoric_Nativ'!$P$6:$P$405,1,'Istoric_Nativ'!$D$6:$D$405,"&gt;="&amp;L824),IF(H824="AWAY",SUMIFS('Istoric_Nativ'!$H$6:$H$405,'Istoric_Nativ'!$B$6:$B$405,E824,'Istoric_Nativ'!$C$6:$C$405,F824,'Istoric_Nativ'!$F$6:$F$405,G824,'Istoric_Nativ'!$D$6:$D$405,"&lt;"&amp;J824,'Istoric_Nativ'!$P$6:$P$405,1,'Istoric_Nativ'!$D$6:$D$405,"&gt;="&amp;L824),SUMIFS('Istoric_Nativ'!$G$6:$G$405,'Istoric_Nativ'!$B$6:$B$405,E824,'Istoric_Nativ'!$C$6:$C$405,F824,'Istoric_Nativ'!$E$6:$E$405,G824,'Istoric_Nativ'!$D$6:$D$405,"&lt;"&amp;J824,'Istoric_Nativ'!$P$6:$P$405,1,'Istoric_Nativ'!$D$6:$D$405,"&gt;="&amp;L824)+SUMIFS('Istoric_Nativ'!$H$6:$H$405,'Istoric_Nativ'!$B$6:$B$405,E824,'Istoric_Nativ'!$C$6:$C$405,F824,'Istoric_Nativ'!$F$6:$F$405,G824,'Istoric_Nativ'!$D$6:$D$405,"&lt;"&amp;J824,'Istoric_Nativ'!$P$6:$P$405,1,'Istoric_Nativ'!$D$6:$D$405,"&gt;="&amp;L824)))/M824)</x:f>
      </x:c>
      <x:c r="O824" s="11" t="str">
        <x:f>IF(M824=0,"",IF(H824="HOME",SUMIFS('Istoric_Nativ'!$H$6:$H$405,'Istoric_Nativ'!$B$6:$B$405,E824,'Istoric_Nativ'!$C$6:$C$405,F824,'Istoric_Nativ'!$E$6:$E$405,G824,'Istoric_Nativ'!$D$6:$D$405,"&lt;"&amp;J824,'Istoric_Nativ'!$P$6:$P$405,1,'Istoric_Nativ'!$D$6:$D$405,"&gt;="&amp;L824),IF(H824="AWAY",SUMIFS('Istoric_Nativ'!$G$6:$G$405,'Istoric_Nativ'!$B$6:$B$405,E824,'Istoric_Nativ'!$C$6:$C$405,F824,'Istoric_Nativ'!$F$6:$F$405,G824,'Istoric_Nativ'!$D$6:$D$405,"&lt;"&amp;J824,'Istoric_Nativ'!$P$6:$P$405,1,'Istoric_Nativ'!$D$6:$D$405,"&gt;="&amp;L824),SUMIFS('Istoric_Nativ'!$H$6:$H$405,'Istoric_Nativ'!$B$6:$B$405,E824,'Istoric_Nativ'!$C$6:$C$405,F824,'Istoric_Nativ'!$E$6:$E$405,G824,'Istoric_Nativ'!$D$6:$D$405,"&lt;"&amp;J824,'Istoric_Nativ'!$P$6:$P$405,1,'Istoric_Nativ'!$D$6:$D$405,"&gt;="&amp;L824)+SUMIFS('Istoric_Nativ'!$G$6:$G$405,'Istoric_Nativ'!$B$6:$B$405,E824,'Istoric_Nativ'!$C$6:$C$405,F824,'Istoric_Nativ'!$F$6:$F$405,G824,'Istoric_Nativ'!$D$6:$D$405,"&lt;"&amp;J824,'Istoric_Nativ'!$P$6:$P$405,1,'Istoric_Nativ'!$D$6:$D$405,"&gt;="&amp;L824)))/M824)</x:f>
      </x:c>
      <x:c r="P824" s="2" t="n">
        <x:f>'Config_v6'!$B$9</x:f>
        <x:v>3</x:v>
      </x:c>
      <x:c r="Q824" s="2" t="n">
        <x:f>IF(OR(B824="",F824=""),0,IFERROR(MATCH(E824&amp;"|"&amp;F824,SourceTable[Source_Key],0),0))</x:f>
        <x:v>0</x:v>
      </x:c>
      <x:c r="R824" s="2" t="str">
        <x:f>IF(B824="","",IF(F824="","UNUSED",IF(Q824=0,"NOT CHECKED",IF(COUNTIF(SourceTable[Source_Key],E824&amp;"|"&amp;F824)&lt;&gt;1,"SOURCE CONFLICT",IF(NOT(OR(INDEX(SourceTable[Status],MAX(1,Q824))="IMPORTED",INDEX(SourceTable[Status],MAX(1,Q824))="PARTIAL",INDEX(SourceTable[Status],MAX(1,Q824))="SOURCE CONFLICT")),"ACCESS BLOCKED",IF(OR(INDEX(SourceTable[Coverage],Q824)&lt;&gt;"FULL SEASON EXPORT",INDEX(SourceTable[URL],Q824)="",INDEX(SourceTable[SHA256],Q824)=""),"EVIDENCE INCOMPLETE",IF(AND('Input_Meci'!H74="LIVE",INDEX(SourceTable[Retrieved_UTC],Q824)&gt;'Input_Meci'!G74),"POST CUTOFF","CLOSED")))))))</x:f>
      </x:c>
      <x:c r="S824" s="2" t="n">
        <x:f>IF(OR(B824="",F824=""),0,COUNTIFS('Istoric_Nativ'!$B$6:$B$405,E824,'Istoric_Nativ'!$C$6:$C$405,F824,'Istoric_Nativ'!$E$6:$E$405,G824,'Istoric_Nativ'!$D$6:$D$405,"&lt;"&amp;J824,'Istoric_Nativ'!$O$6:$O$405,"INVALID")+COUNTIFS('Istoric_Nativ'!$B$6:$B$405,E824,'Istoric_Nativ'!$C$6:$C$405,F824,'Istoric_Nativ'!$E$6:$E$405,G824,'Istoric_Nativ'!$O$6:$O$405,"INVALID",'Istoric_Nativ'!$D$6:$D$405,"*")+COUNTIFS('Istoric_Nativ'!$B$6:$B$405,E824,'Istoric_Nativ'!$C$6:$C$405,F824,'Istoric_Nativ'!$E$6:$E$405,G824,'Istoric_Nativ'!$D$6:$D$405,"&lt;"&amp;J824,'Istoric_Nativ'!$O$6:$O$405,"SOURCE CONFLICT")+COUNTIFS('Istoric_Nativ'!$B$6:$B$405,E824,'Istoric_Nativ'!$C$6:$C$405,F824,'Istoric_Nativ'!$F$6:$F$405,G824,'Istoric_Nativ'!$D$6:$D$405,"&lt;"&amp;J824,'Istoric_Nativ'!$O$6:$O$405,"INVALID")+COUNTIFS('Istoric_Nativ'!$B$6:$B$405,E824,'Istoric_Nativ'!$C$6:$C$405,F824,'Istoric_Nativ'!$F$6:$F$405,G824,'Istoric_Nativ'!$O$6:$O$405,"INVALID",'Istoric_Nativ'!$D$6:$D$405,"*")+COUNTIFS('Istoric_Nativ'!$B$6:$B$405,E824,'Istoric_Nativ'!$C$6:$C$405,F824,'Istoric_Nativ'!$F$6:$F$405,G824,'Istoric_Nativ'!$D$6:$D$405,"&lt;"&amp;J824,'Istoric_Nativ'!$O$6:$O$405,"SOURCE CONFLICT"))</x:f>
        <x:v>0</x:v>
      </x:c>
      <x:c r="T824" s="2" t="str">
        <x:f>IF(B824="","",IF(R824&lt;&gt;"CLOSED",R824,IF(S824&gt;0,"NATIVE INPUT ISSUE",IF(M824=0,"NO HISTORY",IF(M824&lt;P824,"SMALL SAMPLE","DERIVED")))))</x:f>
      </x:c>
      <x:c r="U824" s="2" t="str">
        <x:f>IF(B824="","","NativeTable; "&amp;E824&amp;"; "&amp;F824&amp;"; "&amp;G824&amp;"; "&amp;H824&amp;"; before "&amp;TEXT(J824,"yyyy-mm-dd")&amp;IF(I824="RECENT","; from "&amp;TEXT(L824,"yyyy-mm-dd"),""))</x:f>
      </x:c>
    </x:row>
    <x:row r="825" ht="21" customHeight="1">
      <x:c r="A825" s="2" t="n">
        <x:v>69</x:v>
      </x:c>
      <x:c r="B825" s="2" t="str">
        <x:f>IF('Input_Meci'!A74="","",'Input_Meci'!A74)</x:f>
      </x:c>
      <x:c r="C825" s="2" t="str">
        <x:v>A</x:v>
      </x:c>
      <x:c r="D825" s="2" t="str">
        <x:v>CURRENT</x:v>
      </x:c>
      <x:c r="E825" s="2" t="str">
        <x:f>IF(B825="","",'Input_Meci'!B74)</x:f>
      </x:c>
      <x:c r="F825" s="2" t="str">
        <x:f>IF(B825="","",IF('Input_Meci'!C74="","",'Input_Meci'!C74))</x:f>
      </x:c>
      <x:c r="G825" s="2" t="str">
        <x:f>IF(B825="","",'Input_Meci'!E74)</x:f>
      </x:c>
      <x:c r="H825" s="2" t="str">
        <x:v>ANY</x:v>
      </x:c>
      <x:c r="I825" s="2" t="str">
        <x:v>SEASON</x:v>
      </x:c>
      <x:c r="J825" s="9" t="n">
        <x:f>IF(AND(B825&lt;&gt;"",ISNUMBER('Input_Meci'!G74)),INT('Input_Meci'!G74),0)</x:f>
        <x:v>0</x:v>
      </x:c>
      <x:c r="K825" s="2" t="n">
        <x:f>IF(OR(B825="",F825=""),0,IF(H825="HOME",COUNTIFS('Istoric_Nativ'!$B$6:$B$405,E825,'Istoric_Nativ'!$C$6:$C$405,F825,'Istoric_Nativ'!$E$6:$E$405,G825,'Istoric_Nativ'!$D$6:$D$405,"&lt;"&amp;J825,'Istoric_Nativ'!$P$6:$P$405,1),IF(H825="AWAY",COUNTIFS('Istoric_Nativ'!$B$6:$B$405,E825,'Istoric_Nativ'!$C$6:$C$405,F825,'Istoric_Nativ'!$F$6:$F$405,G825,'Istoric_Nativ'!$D$6:$D$405,"&lt;"&amp;J825,'Istoric_Nativ'!$P$6:$P$405,1),COUNTIFS('Istoric_Nativ'!$B$6:$B$405,E825,'Istoric_Nativ'!$C$6:$C$405,F825,'Istoric_Nativ'!$E$6:$E$405,G825,'Istoric_Nativ'!$D$6:$D$405,"&lt;"&amp;J825,'Istoric_Nativ'!$P$6:$P$405,1)+COUNTIFS('Istoric_Nativ'!$B$6:$B$405,E825,'Istoric_Nativ'!$C$6:$C$405,F825,'Istoric_Nativ'!$F$6:$F$405,G825,'Istoric_Nativ'!$D$6:$D$405,"&lt;"&amp;J825,'Istoric_Nativ'!$P$6:$P$405,1))))</x:f>
        <x:v>0</x:v>
      </x:c>
      <x:c r="L825" s="17" t="n">
        <x:f>IF(AND(B825&lt;&gt;"",I825="RECENT",K825&gt;0),LARGE(_xlfn._xlws.FILTER('Istoric_Nativ'!$D$6:$D$405,('Istoric_Nativ'!$B$6:$B$405=E825)*('Istoric_Nativ'!$C$6:$C$405=F825)*('Istoric_Nativ'!$P$6:$P$405=1)*('Istoric_Nativ'!$D$6:$D$405&lt;J825)*((('Istoric_Nativ'!$E$6:$E$405=G825)+('Istoric_Nativ'!$F$6:$F$405=G825))&gt;0)),MIN('Config_v6'!$B$54,K825)),0)</x:f>
        <x:v>0</x:v>
      </x:c>
      <x:c r="M825" s="2" t="n">
        <x:f>IF(OR(B825="",F825=""),0,IF(H825="HOME",COUNTIFS('Istoric_Nativ'!$B$6:$B$405,E825,'Istoric_Nativ'!$C$6:$C$405,F825,'Istoric_Nativ'!$E$6:$E$405,G825,'Istoric_Nativ'!$D$6:$D$405,"&lt;"&amp;J825,'Istoric_Nativ'!$P$6:$P$405,1,'Istoric_Nativ'!$D$6:$D$405,"&gt;="&amp;L825),IF(H825="AWAY",COUNTIFS('Istoric_Nativ'!$B$6:$B$405,E825,'Istoric_Nativ'!$C$6:$C$405,F825,'Istoric_Nativ'!$F$6:$F$405,G825,'Istoric_Nativ'!$D$6:$D$405,"&lt;"&amp;J825,'Istoric_Nativ'!$P$6:$P$405,1,'Istoric_Nativ'!$D$6:$D$405,"&gt;="&amp;L825),COUNTIFS('Istoric_Nativ'!$B$6:$B$405,E825,'Istoric_Nativ'!$C$6:$C$405,F825,'Istoric_Nativ'!$E$6:$E$405,G825,'Istoric_Nativ'!$D$6:$D$405,"&lt;"&amp;J825,'Istoric_Nativ'!$P$6:$P$405,1,'Istoric_Nativ'!$D$6:$D$405,"&gt;="&amp;L825)+COUNTIFS('Istoric_Nativ'!$B$6:$B$405,E825,'Istoric_Nativ'!$C$6:$C$405,F825,'Istoric_Nativ'!$F$6:$F$405,G825,'Istoric_Nativ'!$D$6:$D$405,"&lt;"&amp;J825,'Istoric_Nativ'!$P$6:$P$405,1,'Istoric_Nativ'!$D$6:$D$405,"&gt;="&amp;L825))))</x:f>
        <x:v>0</x:v>
      </x:c>
      <x:c r="N825" s="11" t="str">
        <x:f>IF(M825=0,"",IF(H825="HOME",SUMIFS('Istoric_Nativ'!$G$6:$G$405,'Istoric_Nativ'!$B$6:$B$405,E825,'Istoric_Nativ'!$C$6:$C$405,F825,'Istoric_Nativ'!$E$6:$E$405,G825,'Istoric_Nativ'!$D$6:$D$405,"&lt;"&amp;J825,'Istoric_Nativ'!$P$6:$P$405,1,'Istoric_Nativ'!$D$6:$D$405,"&gt;="&amp;L825),IF(H825="AWAY",SUMIFS('Istoric_Nativ'!$H$6:$H$405,'Istoric_Nativ'!$B$6:$B$405,E825,'Istoric_Nativ'!$C$6:$C$405,F825,'Istoric_Nativ'!$F$6:$F$405,G825,'Istoric_Nativ'!$D$6:$D$405,"&lt;"&amp;J825,'Istoric_Nativ'!$P$6:$P$405,1,'Istoric_Nativ'!$D$6:$D$405,"&gt;="&amp;L825),SUMIFS('Istoric_Nativ'!$G$6:$G$405,'Istoric_Nativ'!$B$6:$B$405,E825,'Istoric_Nativ'!$C$6:$C$405,F825,'Istoric_Nativ'!$E$6:$E$405,G825,'Istoric_Nativ'!$D$6:$D$405,"&lt;"&amp;J825,'Istoric_Nativ'!$P$6:$P$405,1,'Istoric_Nativ'!$D$6:$D$405,"&gt;="&amp;L825)+SUMIFS('Istoric_Nativ'!$H$6:$H$405,'Istoric_Nativ'!$B$6:$B$405,E825,'Istoric_Nativ'!$C$6:$C$405,F825,'Istoric_Nativ'!$F$6:$F$405,G825,'Istoric_Nativ'!$D$6:$D$405,"&lt;"&amp;J825,'Istoric_Nativ'!$P$6:$P$405,1,'Istoric_Nativ'!$D$6:$D$405,"&gt;="&amp;L825)))/M825)</x:f>
      </x:c>
      <x:c r="O825" s="11" t="str">
        <x:f>IF(M825=0,"",IF(H825="HOME",SUMIFS('Istoric_Nativ'!$H$6:$H$405,'Istoric_Nativ'!$B$6:$B$405,E825,'Istoric_Nativ'!$C$6:$C$405,F825,'Istoric_Nativ'!$E$6:$E$405,G825,'Istoric_Nativ'!$D$6:$D$405,"&lt;"&amp;J825,'Istoric_Nativ'!$P$6:$P$405,1,'Istoric_Nativ'!$D$6:$D$405,"&gt;="&amp;L825),IF(H825="AWAY",SUMIFS('Istoric_Nativ'!$G$6:$G$405,'Istoric_Nativ'!$B$6:$B$405,E825,'Istoric_Nativ'!$C$6:$C$405,F825,'Istoric_Nativ'!$F$6:$F$405,G825,'Istoric_Nativ'!$D$6:$D$405,"&lt;"&amp;J825,'Istoric_Nativ'!$P$6:$P$405,1,'Istoric_Nativ'!$D$6:$D$405,"&gt;="&amp;L825),SUMIFS('Istoric_Nativ'!$H$6:$H$405,'Istoric_Nativ'!$B$6:$B$405,E825,'Istoric_Nativ'!$C$6:$C$405,F825,'Istoric_Nativ'!$E$6:$E$405,G825,'Istoric_Nativ'!$D$6:$D$405,"&lt;"&amp;J825,'Istoric_Nativ'!$P$6:$P$405,1,'Istoric_Nativ'!$D$6:$D$405,"&gt;="&amp;L825)+SUMIFS('Istoric_Nativ'!$G$6:$G$405,'Istoric_Nativ'!$B$6:$B$405,E825,'Istoric_Nativ'!$C$6:$C$405,F825,'Istoric_Nativ'!$F$6:$F$405,G825,'Istoric_Nativ'!$D$6:$D$405,"&lt;"&amp;J825,'Istoric_Nativ'!$P$6:$P$405,1,'Istoric_Nativ'!$D$6:$D$405,"&gt;="&amp;L825)))/M825)</x:f>
      </x:c>
      <x:c r="P825" s="2" t="n">
        <x:f>'Config_v6'!$B$7</x:f>
        <x:v>10</x:v>
      </x:c>
      <x:c r="Q825" s="2" t="n">
        <x:f>IF(OR(B825="",F825=""),0,IFERROR(MATCH(E825&amp;"|"&amp;F825,SourceTable[Source_Key],0),0))</x:f>
        <x:v>0</x:v>
      </x:c>
      <x:c r="R825" s="2" t="str">
        <x:f>IF(B825="","",IF(F825="","UNUSED",IF(Q825=0,"NOT CHECKED",IF(COUNTIF(SourceTable[Source_Key],E825&amp;"|"&amp;F825)&lt;&gt;1,"SOURCE CONFLICT",IF(NOT(OR(INDEX(SourceTable[Status],MAX(1,Q825))="IMPORTED",INDEX(SourceTable[Status],MAX(1,Q825))="PARTIAL",INDEX(SourceTable[Status],MAX(1,Q825))="SOURCE CONFLICT")),"ACCESS BLOCKED",IF(OR(INDEX(SourceTable[Coverage],Q825)&lt;&gt;"FULL SEASON EXPORT",INDEX(SourceTable[URL],Q825)="",INDEX(SourceTable[SHA256],Q825)=""),"EVIDENCE INCOMPLETE",IF(AND('Input_Meci'!H74="LIVE",INDEX(SourceTable[Retrieved_UTC],Q825)&gt;'Input_Meci'!G74),"POST CUTOFF","CLOSED")))))))</x:f>
      </x:c>
      <x:c r="S825" s="2" t="n">
        <x:f>IF(OR(B825="",F825=""),0,COUNTIFS('Istoric_Nativ'!$B$6:$B$405,E825,'Istoric_Nativ'!$C$6:$C$405,F825,'Istoric_Nativ'!$E$6:$E$405,G825,'Istoric_Nativ'!$D$6:$D$405,"&lt;"&amp;J825,'Istoric_Nativ'!$O$6:$O$405,"INVALID")+COUNTIFS('Istoric_Nativ'!$B$6:$B$405,E825,'Istoric_Nativ'!$C$6:$C$405,F825,'Istoric_Nativ'!$E$6:$E$405,G825,'Istoric_Nativ'!$O$6:$O$405,"INVALID",'Istoric_Nativ'!$D$6:$D$405,"*")+COUNTIFS('Istoric_Nativ'!$B$6:$B$405,E825,'Istoric_Nativ'!$C$6:$C$405,F825,'Istoric_Nativ'!$E$6:$E$405,G825,'Istoric_Nativ'!$D$6:$D$405,"&lt;"&amp;J825,'Istoric_Nativ'!$O$6:$O$405,"SOURCE CONFLICT")+COUNTIFS('Istoric_Nativ'!$B$6:$B$405,E825,'Istoric_Nativ'!$C$6:$C$405,F825,'Istoric_Nativ'!$F$6:$F$405,G825,'Istoric_Nativ'!$D$6:$D$405,"&lt;"&amp;J825,'Istoric_Nativ'!$O$6:$O$405,"INVALID")+COUNTIFS('Istoric_Nativ'!$B$6:$B$405,E825,'Istoric_Nativ'!$C$6:$C$405,F825,'Istoric_Nativ'!$F$6:$F$405,G825,'Istoric_Nativ'!$O$6:$O$405,"INVALID",'Istoric_Nativ'!$D$6:$D$405,"*")+COUNTIFS('Istoric_Nativ'!$B$6:$B$405,E825,'Istoric_Nativ'!$C$6:$C$405,F825,'Istoric_Nativ'!$F$6:$F$405,G825,'Istoric_Nativ'!$D$6:$D$405,"&lt;"&amp;J825,'Istoric_Nativ'!$O$6:$O$405,"SOURCE CONFLICT"))</x:f>
        <x:v>0</x:v>
      </x:c>
      <x:c r="T825" s="2" t="str">
        <x:f>IF(B825="","",IF(R825&lt;&gt;"CLOSED",R825,IF(S825&gt;0,"NATIVE INPUT ISSUE",IF(M825=0,"NO HISTORY",IF(M825&lt;P825,"SMALL SAMPLE","DERIVED")))))</x:f>
      </x:c>
      <x:c r="U825" s="2" t="str">
        <x:f>IF(B825="","","NativeTable; "&amp;E825&amp;"; "&amp;F825&amp;"; "&amp;G825&amp;"; "&amp;H825&amp;"; before "&amp;TEXT(J825,"yyyy-mm-dd")&amp;IF(I825="RECENT","; from "&amp;TEXT(L825,"yyyy-mm-dd"),""))</x:f>
      </x:c>
    </x:row>
    <x:row r="826" ht="21" customHeight="1">
      <x:c r="A826" s="2" t="n">
        <x:v>69</x:v>
      </x:c>
      <x:c r="B826" s="2" t="str">
        <x:f>IF('Input_Meci'!A74="","",'Input_Meci'!A74)</x:f>
      </x:c>
      <x:c r="C826" s="2" t="str">
        <x:v>A</x:v>
      </x:c>
      <x:c r="D826" s="2" t="str">
        <x:v>CURRENT</x:v>
      </x:c>
      <x:c r="E826" s="2" t="str">
        <x:f>IF(B826="","",'Input_Meci'!B74)</x:f>
      </x:c>
      <x:c r="F826" s="2" t="str">
        <x:f>IF(B826="","",IF('Input_Meci'!C74="","",'Input_Meci'!C74))</x:f>
      </x:c>
      <x:c r="G826" s="2" t="str">
        <x:f>IF(B826="","",'Input_Meci'!E74)</x:f>
      </x:c>
      <x:c r="H826" s="2" t="str">
        <x:v>AWAY</x:v>
      </x:c>
      <x:c r="I826" s="2" t="str">
        <x:v>HA</x:v>
      </x:c>
      <x:c r="J826" s="9" t="n">
        <x:f>IF(AND(B826&lt;&gt;"",ISNUMBER('Input_Meci'!G74)),INT('Input_Meci'!G74),0)</x:f>
        <x:v>0</x:v>
      </x:c>
      <x:c r="K826" s="2" t="n">
        <x:f>IF(OR(B826="",F826=""),0,IF(H826="HOME",COUNTIFS('Istoric_Nativ'!$B$6:$B$405,E826,'Istoric_Nativ'!$C$6:$C$405,F826,'Istoric_Nativ'!$E$6:$E$405,G826,'Istoric_Nativ'!$D$6:$D$405,"&lt;"&amp;J826,'Istoric_Nativ'!$P$6:$P$405,1),IF(H826="AWAY",COUNTIFS('Istoric_Nativ'!$B$6:$B$405,E826,'Istoric_Nativ'!$C$6:$C$405,F826,'Istoric_Nativ'!$F$6:$F$405,G826,'Istoric_Nativ'!$D$6:$D$405,"&lt;"&amp;J826,'Istoric_Nativ'!$P$6:$P$405,1),COUNTIFS('Istoric_Nativ'!$B$6:$B$405,E826,'Istoric_Nativ'!$C$6:$C$405,F826,'Istoric_Nativ'!$E$6:$E$405,G826,'Istoric_Nativ'!$D$6:$D$405,"&lt;"&amp;J826,'Istoric_Nativ'!$P$6:$P$405,1)+COUNTIFS('Istoric_Nativ'!$B$6:$B$405,E826,'Istoric_Nativ'!$C$6:$C$405,F826,'Istoric_Nativ'!$F$6:$F$405,G826,'Istoric_Nativ'!$D$6:$D$405,"&lt;"&amp;J826,'Istoric_Nativ'!$P$6:$P$405,1))))</x:f>
        <x:v>0</x:v>
      </x:c>
      <x:c r="L826" s="17" t="n">
        <x:f>IF(AND(B826&lt;&gt;"",I826="RECENT",K826&gt;0),LARGE(_xlfn._xlws.FILTER('Istoric_Nativ'!$D$6:$D$405,('Istoric_Nativ'!$B$6:$B$405=E826)*('Istoric_Nativ'!$C$6:$C$405=F826)*('Istoric_Nativ'!$P$6:$P$405=1)*('Istoric_Nativ'!$D$6:$D$405&lt;J826)*((('Istoric_Nativ'!$E$6:$E$405=G826)+('Istoric_Nativ'!$F$6:$F$405=G826))&gt;0)),MIN('Config_v6'!$B$54,K826)),0)</x:f>
        <x:v>0</x:v>
      </x:c>
      <x:c r="M826" s="2" t="n">
        <x:f>IF(OR(B826="",F826=""),0,IF(H826="HOME",COUNTIFS('Istoric_Nativ'!$B$6:$B$405,E826,'Istoric_Nativ'!$C$6:$C$405,F826,'Istoric_Nativ'!$E$6:$E$405,G826,'Istoric_Nativ'!$D$6:$D$405,"&lt;"&amp;J826,'Istoric_Nativ'!$P$6:$P$405,1,'Istoric_Nativ'!$D$6:$D$405,"&gt;="&amp;L826),IF(H826="AWAY",COUNTIFS('Istoric_Nativ'!$B$6:$B$405,E826,'Istoric_Nativ'!$C$6:$C$405,F826,'Istoric_Nativ'!$F$6:$F$405,G826,'Istoric_Nativ'!$D$6:$D$405,"&lt;"&amp;J826,'Istoric_Nativ'!$P$6:$P$405,1,'Istoric_Nativ'!$D$6:$D$405,"&gt;="&amp;L826),COUNTIFS('Istoric_Nativ'!$B$6:$B$405,E826,'Istoric_Nativ'!$C$6:$C$405,F826,'Istoric_Nativ'!$E$6:$E$405,G826,'Istoric_Nativ'!$D$6:$D$405,"&lt;"&amp;J826,'Istoric_Nativ'!$P$6:$P$405,1,'Istoric_Nativ'!$D$6:$D$405,"&gt;="&amp;L826)+COUNTIFS('Istoric_Nativ'!$B$6:$B$405,E826,'Istoric_Nativ'!$C$6:$C$405,F826,'Istoric_Nativ'!$F$6:$F$405,G826,'Istoric_Nativ'!$D$6:$D$405,"&lt;"&amp;J826,'Istoric_Nativ'!$P$6:$P$405,1,'Istoric_Nativ'!$D$6:$D$405,"&gt;="&amp;L826))))</x:f>
        <x:v>0</x:v>
      </x:c>
      <x:c r="N826" s="11" t="str">
        <x:f>IF(M826=0,"",IF(H826="HOME",SUMIFS('Istoric_Nativ'!$G$6:$G$405,'Istoric_Nativ'!$B$6:$B$405,E826,'Istoric_Nativ'!$C$6:$C$405,F826,'Istoric_Nativ'!$E$6:$E$405,G826,'Istoric_Nativ'!$D$6:$D$405,"&lt;"&amp;J826,'Istoric_Nativ'!$P$6:$P$405,1,'Istoric_Nativ'!$D$6:$D$405,"&gt;="&amp;L826),IF(H826="AWAY",SUMIFS('Istoric_Nativ'!$H$6:$H$405,'Istoric_Nativ'!$B$6:$B$405,E826,'Istoric_Nativ'!$C$6:$C$405,F826,'Istoric_Nativ'!$F$6:$F$405,G826,'Istoric_Nativ'!$D$6:$D$405,"&lt;"&amp;J826,'Istoric_Nativ'!$P$6:$P$405,1,'Istoric_Nativ'!$D$6:$D$405,"&gt;="&amp;L826),SUMIFS('Istoric_Nativ'!$G$6:$G$405,'Istoric_Nativ'!$B$6:$B$405,E826,'Istoric_Nativ'!$C$6:$C$405,F826,'Istoric_Nativ'!$E$6:$E$405,G826,'Istoric_Nativ'!$D$6:$D$405,"&lt;"&amp;J826,'Istoric_Nativ'!$P$6:$P$405,1,'Istoric_Nativ'!$D$6:$D$405,"&gt;="&amp;L826)+SUMIFS('Istoric_Nativ'!$H$6:$H$405,'Istoric_Nativ'!$B$6:$B$405,E826,'Istoric_Nativ'!$C$6:$C$405,F826,'Istoric_Nativ'!$F$6:$F$405,G826,'Istoric_Nativ'!$D$6:$D$405,"&lt;"&amp;J826,'Istoric_Nativ'!$P$6:$P$405,1,'Istoric_Nativ'!$D$6:$D$405,"&gt;="&amp;L826)))/M826)</x:f>
      </x:c>
      <x:c r="O826" s="11" t="str">
        <x:f>IF(M826=0,"",IF(H826="HOME",SUMIFS('Istoric_Nativ'!$H$6:$H$405,'Istoric_Nativ'!$B$6:$B$405,E826,'Istoric_Nativ'!$C$6:$C$405,F826,'Istoric_Nativ'!$E$6:$E$405,G826,'Istoric_Nativ'!$D$6:$D$405,"&lt;"&amp;J826,'Istoric_Nativ'!$P$6:$P$405,1,'Istoric_Nativ'!$D$6:$D$405,"&gt;="&amp;L826),IF(H826="AWAY",SUMIFS('Istoric_Nativ'!$G$6:$G$405,'Istoric_Nativ'!$B$6:$B$405,E826,'Istoric_Nativ'!$C$6:$C$405,F826,'Istoric_Nativ'!$F$6:$F$405,G826,'Istoric_Nativ'!$D$6:$D$405,"&lt;"&amp;J826,'Istoric_Nativ'!$P$6:$P$405,1,'Istoric_Nativ'!$D$6:$D$405,"&gt;="&amp;L826),SUMIFS('Istoric_Nativ'!$H$6:$H$405,'Istoric_Nativ'!$B$6:$B$405,E826,'Istoric_Nativ'!$C$6:$C$405,F826,'Istoric_Nativ'!$E$6:$E$405,G826,'Istoric_Nativ'!$D$6:$D$405,"&lt;"&amp;J826,'Istoric_Nativ'!$P$6:$P$405,1,'Istoric_Nativ'!$D$6:$D$405,"&gt;="&amp;L826)+SUMIFS('Istoric_Nativ'!$G$6:$G$405,'Istoric_Nativ'!$B$6:$B$405,E826,'Istoric_Nativ'!$C$6:$C$405,F826,'Istoric_Nativ'!$F$6:$F$405,G826,'Istoric_Nativ'!$D$6:$D$405,"&lt;"&amp;J826,'Istoric_Nativ'!$P$6:$P$405,1,'Istoric_Nativ'!$D$6:$D$405,"&gt;="&amp;L826)))/M826)</x:f>
      </x:c>
      <x:c r="P826" s="2" t="n">
        <x:f>'Config_v6'!$B$8</x:f>
        <x:v>5</x:v>
      </x:c>
      <x:c r="Q826" s="2" t="n">
        <x:f>IF(OR(B826="",F826=""),0,IFERROR(MATCH(E826&amp;"|"&amp;F826,SourceTable[Source_Key],0),0))</x:f>
        <x:v>0</x:v>
      </x:c>
      <x:c r="R826" s="2" t="str">
        <x:f>IF(B826="","",IF(F826="","UNUSED",IF(Q826=0,"NOT CHECKED",IF(COUNTIF(SourceTable[Source_Key],E826&amp;"|"&amp;F826)&lt;&gt;1,"SOURCE CONFLICT",IF(NOT(OR(INDEX(SourceTable[Status],MAX(1,Q826))="IMPORTED",INDEX(SourceTable[Status],MAX(1,Q826))="PARTIAL",INDEX(SourceTable[Status],MAX(1,Q826))="SOURCE CONFLICT")),"ACCESS BLOCKED",IF(OR(INDEX(SourceTable[Coverage],Q826)&lt;&gt;"FULL SEASON EXPORT",INDEX(SourceTable[URL],Q826)="",INDEX(SourceTable[SHA256],Q826)=""),"EVIDENCE INCOMPLETE",IF(AND('Input_Meci'!H74="LIVE",INDEX(SourceTable[Retrieved_UTC],Q826)&gt;'Input_Meci'!G74),"POST CUTOFF","CLOSED")))))))</x:f>
      </x:c>
      <x:c r="S826" s="2" t="n">
        <x:f>IF(OR(B826="",F826=""),0,COUNTIFS('Istoric_Nativ'!$B$6:$B$405,E826,'Istoric_Nativ'!$C$6:$C$405,F826,'Istoric_Nativ'!$E$6:$E$405,G826,'Istoric_Nativ'!$D$6:$D$405,"&lt;"&amp;J826,'Istoric_Nativ'!$O$6:$O$405,"INVALID")+COUNTIFS('Istoric_Nativ'!$B$6:$B$405,E826,'Istoric_Nativ'!$C$6:$C$405,F826,'Istoric_Nativ'!$E$6:$E$405,G826,'Istoric_Nativ'!$O$6:$O$405,"INVALID",'Istoric_Nativ'!$D$6:$D$405,"*")+COUNTIFS('Istoric_Nativ'!$B$6:$B$405,E826,'Istoric_Nativ'!$C$6:$C$405,F826,'Istoric_Nativ'!$E$6:$E$405,G826,'Istoric_Nativ'!$D$6:$D$405,"&lt;"&amp;J826,'Istoric_Nativ'!$O$6:$O$405,"SOURCE CONFLICT")+COUNTIFS('Istoric_Nativ'!$B$6:$B$405,E826,'Istoric_Nativ'!$C$6:$C$405,F826,'Istoric_Nativ'!$F$6:$F$405,G826,'Istoric_Nativ'!$D$6:$D$405,"&lt;"&amp;J826,'Istoric_Nativ'!$O$6:$O$405,"INVALID")+COUNTIFS('Istoric_Nativ'!$B$6:$B$405,E826,'Istoric_Nativ'!$C$6:$C$405,F826,'Istoric_Nativ'!$F$6:$F$405,G826,'Istoric_Nativ'!$O$6:$O$405,"INVALID",'Istoric_Nativ'!$D$6:$D$405,"*")+COUNTIFS('Istoric_Nativ'!$B$6:$B$405,E826,'Istoric_Nativ'!$C$6:$C$405,F826,'Istoric_Nativ'!$F$6:$F$405,G826,'Istoric_Nativ'!$D$6:$D$405,"&lt;"&amp;J826,'Istoric_Nativ'!$O$6:$O$405,"SOURCE CONFLICT"))</x:f>
        <x:v>0</x:v>
      </x:c>
      <x:c r="T826" s="2" t="str">
        <x:f>IF(B826="","",IF(R826&lt;&gt;"CLOSED",R826,IF(S826&gt;0,"NATIVE INPUT ISSUE",IF(M826=0,"NO HISTORY",IF(M826&lt;P826,"SMALL SAMPLE","DERIVED")))))</x:f>
      </x:c>
      <x:c r="U826" s="2" t="str">
        <x:f>IF(B826="","","NativeTable; "&amp;E826&amp;"; "&amp;F826&amp;"; "&amp;G826&amp;"; "&amp;H826&amp;"; before "&amp;TEXT(J826,"yyyy-mm-dd")&amp;IF(I826="RECENT","; from "&amp;TEXT(L826,"yyyy-mm-dd"),""))</x:f>
      </x:c>
    </x:row>
    <x:row r="827" ht="21" customHeight="1">
      <x:c r="A827" s="2" t="n">
        <x:v>69</x:v>
      </x:c>
      <x:c r="B827" s="2" t="str">
        <x:f>IF('Input_Meci'!A74="","",'Input_Meci'!A74)</x:f>
      </x:c>
      <x:c r="C827" s="2" t="str">
        <x:v>A</x:v>
      </x:c>
      <x:c r="D827" s="2" t="str">
        <x:v>CURRENT</x:v>
      </x:c>
      <x:c r="E827" s="2" t="str">
        <x:f>IF(B827="","",'Input_Meci'!B74)</x:f>
      </x:c>
      <x:c r="F827" s="2" t="str">
        <x:f>IF(B827="","",IF('Input_Meci'!C74="","",'Input_Meci'!C74))</x:f>
      </x:c>
      <x:c r="G827" s="2" t="str">
        <x:f>IF(B827="","",'Input_Meci'!E74)</x:f>
      </x:c>
      <x:c r="H827" s="2" t="str">
        <x:v>ANY</x:v>
      </x:c>
      <x:c r="I827" s="2" t="str">
        <x:v>RECENT</x:v>
      </x:c>
      <x:c r="J827" s="9" t="n">
        <x:f>IF(AND(B827&lt;&gt;"",ISNUMBER('Input_Meci'!G74)),INT('Input_Meci'!G74),0)</x:f>
        <x:v>0</x:v>
      </x:c>
      <x:c r="K827" s="2" t="n">
        <x:f>IF(OR(B827="",F827=""),0,IF(H827="HOME",COUNTIFS('Istoric_Nativ'!$B$6:$B$405,E827,'Istoric_Nativ'!$C$6:$C$405,F827,'Istoric_Nativ'!$E$6:$E$405,G827,'Istoric_Nativ'!$D$6:$D$405,"&lt;"&amp;J827,'Istoric_Nativ'!$P$6:$P$405,1),IF(H827="AWAY",COUNTIFS('Istoric_Nativ'!$B$6:$B$405,E827,'Istoric_Nativ'!$C$6:$C$405,F827,'Istoric_Nativ'!$F$6:$F$405,G827,'Istoric_Nativ'!$D$6:$D$405,"&lt;"&amp;J827,'Istoric_Nativ'!$P$6:$P$405,1),COUNTIFS('Istoric_Nativ'!$B$6:$B$405,E827,'Istoric_Nativ'!$C$6:$C$405,F827,'Istoric_Nativ'!$E$6:$E$405,G827,'Istoric_Nativ'!$D$6:$D$405,"&lt;"&amp;J827,'Istoric_Nativ'!$P$6:$P$405,1)+COUNTIFS('Istoric_Nativ'!$B$6:$B$405,E827,'Istoric_Nativ'!$C$6:$C$405,F827,'Istoric_Nativ'!$F$6:$F$405,G827,'Istoric_Nativ'!$D$6:$D$405,"&lt;"&amp;J827,'Istoric_Nativ'!$P$6:$P$405,1))))</x:f>
        <x:v>0</x:v>
      </x:c>
      <x:c r="L827" s="17" t="n">
        <x:f>IF(AND(B827&lt;&gt;"",I827="RECENT",K827&gt;0),LARGE(_xlfn._xlws.FILTER('Istoric_Nativ'!$D$6:$D$405,('Istoric_Nativ'!$B$6:$B$405=E827)*('Istoric_Nativ'!$C$6:$C$405=F827)*('Istoric_Nativ'!$P$6:$P$405=1)*('Istoric_Nativ'!$D$6:$D$405&lt;J827)*((('Istoric_Nativ'!$E$6:$E$405=G827)+('Istoric_Nativ'!$F$6:$F$405=G827))&gt;0)),MIN('Config_v6'!$B$54,K827)),0)</x:f>
        <x:v>0</x:v>
      </x:c>
      <x:c r="M827" s="2" t="n">
        <x:f>IF(OR(B827="",F827=""),0,IF(H827="HOME",COUNTIFS('Istoric_Nativ'!$B$6:$B$405,E827,'Istoric_Nativ'!$C$6:$C$405,F827,'Istoric_Nativ'!$E$6:$E$405,G827,'Istoric_Nativ'!$D$6:$D$405,"&lt;"&amp;J827,'Istoric_Nativ'!$P$6:$P$405,1,'Istoric_Nativ'!$D$6:$D$405,"&gt;="&amp;L827),IF(H827="AWAY",COUNTIFS('Istoric_Nativ'!$B$6:$B$405,E827,'Istoric_Nativ'!$C$6:$C$405,F827,'Istoric_Nativ'!$F$6:$F$405,G827,'Istoric_Nativ'!$D$6:$D$405,"&lt;"&amp;J827,'Istoric_Nativ'!$P$6:$P$405,1,'Istoric_Nativ'!$D$6:$D$405,"&gt;="&amp;L827),COUNTIFS('Istoric_Nativ'!$B$6:$B$405,E827,'Istoric_Nativ'!$C$6:$C$405,F827,'Istoric_Nativ'!$E$6:$E$405,G827,'Istoric_Nativ'!$D$6:$D$405,"&lt;"&amp;J827,'Istoric_Nativ'!$P$6:$P$405,1,'Istoric_Nativ'!$D$6:$D$405,"&gt;="&amp;L827)+COUNTIFS('Istoric_Nativ'!$B$6:$B$405,E827,'Istoric_Nativ'!$C$6:$C$405,F827,'Istoric_Nativ'!$F$6:$F$405,G827,'Istoric_Nativ'!$D$6:$D$405,"&lt;"&amp;J827,'Istoric_Nativ'!$P$6:$P$405,1,'Istoric_Nativ'!$D$6:$D$405,"&gt;="&amp;L827))))</x:f>
        <x:v>0</x:v>
      </x:c>
      <x:c r="N827" s="11" t="str">
        <x:f>IF(M827=0,"",IF(H827="HOME",SUMIFS('Istoric_Nativ'!$G$6:$G$405,'Istoric_Nativ'!$B$6:$B$405,E827,'Istoric_Nativ'!$C$6:$C$405,F827,'Istoric_Nativ'!$E$6:$E$405,G827,'Istoric_Nativ'!$D$6:$D$405,"&lt;"&amp;J827,'Istoric_Nativ'!$P$6:$P$405,1,'Istoric_Nativ'!$D$6:$D$405,"&gt;="&amp;L827),IF(H827="AWAY",SUMIFS('Istoric_Nativ'!$H$6:$H$405,'Istoric_Nativ'!$B$6:$B$405,E827,'Istoric_Nativ'!$C$6:$C$405,F827,'Istoric_Nativ'!$F$6:$F$405,G827,'Istoric_Nativ'!$D$6:$D$405,"&lt;"&amp;J827,'Istoric_Nativ'!$P$6:$P$405,1,'Istoric_Nativ'!$D$6:$D$405,"&gt;="&amp;L827),SUMIFS('Istoric_Nativ'!$G$6:$G$405,'Istoric_Nativ'!$B$6:$B$405,E827,'Istoric_Nativ'!$C$6:$C$405,F827,'Istoric_Nativ'!$E$6:$E$405,G827,'Istoric_Nativ'!$D$6:$D$405,"&lt;"&amp;J827,'Istoric_Nativ'!$P$6:$P$405,1,'Istoric_Nativ'!$D$6:$D$405,"&gt;="&amp;L827)+SUMIFS('Istoric_Nativ'!$H$6:$H$405,'Istoric_Nativ'!$B$6:$B$405,E827,'Istoric_Nativ'!$C$6:$C$405,F827,'Istoric_Nativ'!$F$6:$F$405,G827,'Istoric_Nativ'!$D$6:$D$405,"&lt;"&amp;J827,'Istoric_Nativ'!$P$6:$P$405,1,'Istoric_Nativ'!$D$6:$D$405,"&gt;="&amp;L827)))/M827)</x:f>
      </x:c>
      <x:c r="O827" s="11" t="str">
        <x:f>IF(M827=0,"",IF(H827="HOME",SUMIFS('Istoric_Nativ'!$H$6:$H$405,'Istoric_Nativ'!$B$6:$B$405,E827,'Istoric_Nativ'!$C$6:$C$405,F827,'Istoric_Nativ'!$E$6:$E$405,G827,'Istoric_Nativ'!$D$6:$D$405,"&lt;"&amp;J827,'Istoric_Nativ'!$P$6:$P$405,1,'Istoric_Nativ'!$D$6:$D$405,"&gt;="&amp;L827),IF(H827="AWAY",SUMIFS('Istoric_Nativ'!$G$6:$G$405,'Istoric_Nativ'!$B$6:$B$405,E827,'Istoric_Nativ'!$C$6:$C$405,F827,'Istoric_Nativ'!$F$6:$F$405,G827,'Istoric_Nativ'!$D$6:$D$405,"&lt;"&amp;J827,'Istoric_Nativ'!$P$6:$P$405,1,'Istoric_Nativ'!$D$6:$D$405,"&gt;="&amp;L827),SUMIFS('Istoric_Nativ'!$H$6:$H$405,'Istoric_Nativ'!$B$6:$B$405,E827,'Istoric_Nativ'!$C$6:$C$405,F827,'Istoric_Nativ'!$E$6:$E$405,G827,'Istoric_Nativ'!$D$6:$D$405,"&lt;"&amp;J827,'Istoric_Nativ'!$P$6:$P$405,1,'Istoric_Nativ'!$D$6:$D$405,"&gt;="&amp;L827)+SUMIFS('Istoric_Nativ'!$G$6:$G$405,'Istoric_Nativ'!$B$6:$B$405,E827,'Istoric_Nativ'!$C$6:$C$405,F827,'Istoric_Nativ'!$F$6:$F$405,G827,'Istoric_Nativ'!$D$6:$D$405,"&lt;"&amp;J827,'Istoric_Nativ'!$P$6:$P$405,1,'Istoric_Nativ'!$D$6:$D$405,"&gt;="&amp;L827)))/M827)</x:f>
      </x:c>
      <x:c r="P827" s="2" t="n">
        <x:f>'Config_v6'!$B$9</x:f>
        <x:v>3</x:v>
      </x:c>
      <x:c r="Q827" s="2" t="n">
        <x:f>IF(OR(B827="",F827=""),0,IFERROR(MATCH(E827&amp;"|"&amp;F827,SourceTable[Source_Key],0),0))</x:f>
        <x:v>0</x:v>
      </x:c>
      <x:c r="R827" s="2" t="str">
        <x:f>IF(B827="","",IF(F827="","UNUSED",IF(Q827=0,"NOT CHECKED",IF(COUNTIF(SourceTable[Source_Key],E827&amp;"|"&amp;F827)&lt;&gt;1,"SOURCE CONFLICT",IF(NOT(OR(INDEX(SourceTable[Status],MAX(1,Q827))="IMPORTED",INDEX(SourceTable[Status],MAX(1,Q827))="PARTIAL",INDEX(SourceTable[Status],MAX(1,Q827))="SOURCE CONFLICT")),"ACCESS BLOCKED",IF(OR(INDEX(SourceTable[Coverage],Q827)&lt;&gt;"FULL SEASON EXPORT",INDEX(SourceTable[URL],Q827)="",INDEX(SourceTable[SHA256],Q827)=""),"EVIDENCE INCOMPLETE",IF(AND('Input_Meci'!H74="LIVE",INDEX(SourceTable[Retrieved_UTC],Q827)&gt;'Input_Meci'!G74),"POST CUTOFF","CLOSED")))))))</x:f>
      </x:c>
      <x:c r="S827" s="2" t="n">
        <x:f>IF(OR(B827="",F827=""),0,COUNTIFS('Istoric_Nativ'!$B$6:$B$405,E827,'Istoric_Nativ'!$C$6:$C$405,F827,'Istoric_Nativ'!$E$6:$E$405,G827,'Istoric_Nativ'!$D$6:$D$405,"&lt;"&amp;J827,'Istoric_Nativ'!$O$6:$O$405,"INVALID")+COUNTIFS('Istoric_Nativ'!$B$6:$B$405,E827,'Istoric_Nativ'!$C$6:$C$405,F827,'Istoric_Nativ'!$E$6:$E$405,G827,'Istoric_Nativ'!$O$6:$O$405,"INVALID",'Istoric_Nativ'!$D$6:$D$405,"*")+COUNTIFS('Istoric_Nativ'!$B$6:$B$405,E827,'Istoric_Nativ'!$C$6:$C$405,F827,'Istoric_Nativ'!$E$6:$E$405,G827,'Istoric_Nativ'!$D$6:$D$405,"&lt;"&amp;J827,'Istoric_Nativ'!$O$6:$O$405,"SOURCE CONFLICT")+COUNTIFS('Istoric_Nativ'!$B$6:$B$405,E827,'Istoric_Nativ'!$C$6:$C$405,F827,'Istoric_Nativ'!$F$6:$F$405,G827,'Istoric_Nativ'!$D$6:$D$405,"&lt;"&amp;J827,'Istoric_Nativ'!$O$6:$O$405,"INVALID")+COUNTIFS('Istoric_Nativ'!$B$6:$B$405,E827,'Istoric_Nativ'!$C$6:$C$405,F827,'Istoric_Nativ'!$F$6:$F$405,G827,'Istoric_Nativ'!$O$6:$O$405,"INVALID",'Istoric_Nativ'!$D$6:$D$405,"*")+COUNTIFS('Istoric_Nativ'!$B$6:$B$405,E827,'Istoric_Nativ'!$C$6:$C$405,F827,'Istoric_Nativ'!$F$6:$F$405,G827,'Istoric_Nativ'!$D$6:$D$405,"&lt;"&amp;J827,'Istoric_Nativ'!$O$6:$O$405,"SOURCE CONFLICT"))</x:f>
        <x:v>0</x:v>
      </x:c>
      <x:c r="T827" s="2" t="str">
        <x:f>IF(B827="","",IF(R827&lt;&gt;"CLOSED",R827,IF(S827&gt;0,"NATIVE INPUT ISSUE",IF(M827=0,"NO HISTORY",IF(M827&lt;P827,"SMALL SAMPLE","DERIVED")))))</x:f>
      </x:c>
      <x:c r="U827" s="2" t="str">
        <x:f>IF(B827="","","NativeTable; "&amp;E827&amp;"; "&amp;F827&amp;"; "&amp;G827&amp;"; "&amp;H827&amp;"; before "&amp;TEXT(J827,"yyyy-mm-dd")&amp;IF(I827="RECENT","; from "&amp;TEXT(L827,"yyyy-mm-dd"),""))</x:f>
      </x:c>
    </x:row>
    <x:row r="828" ht="21" customHeight="1">
      <x:c r="A828" s="2" t="n">
        <x:v>69</x:v>
      </x:c>
      <x:c r="B828" s="2" t="str">
        <x:f>IF('Input_Meci'!A74="","",'Input_Meci'!A74)</x:f>
      </x:c>
      <x:c r="C828" s="2" t="str">
        <x:v>H</x:v>
      </x:c>
      <x:c r="D828" s="2" t="str">
        <x:v>PRIOR</x:v>
      </x:c>
      <x:c r="E828" s="2" t="str">
        <x:f>IF(B828="","",'Input_Meci'!B74)</x:f>
      </x:c>
      <x:c r="F828" s="2" t="str">
        <x:f>IF(B828="","",IF('Input_Meci'!K74="","",'Input_Meci'!K74))</x:f>
      </x:c>
      <x:c r="G828" s="2" t="str">
        <x:f>IF(B828="","",'Input_Meci'!D74)</x:f>
      </x:c>
      <x:c r="H828" s="2" t="str">
        <x:v>ANY</x:v>
      </x:c>
      <x:c r="I828" s="2" t="str">
        <x:v>SEASON</x:v>
      </x:c>
      <x:c r="J828" s="9" t="n">
        <x:f>IF(AND(B828&lt;&gt;"",ISNUMBER('Input_Meci'!G74)),INT('Input_Meci'!G74),0)</x:f>
        <x:v>0</x:v>
      </x:c>
      <x:c r="K828" s="2" t="n">
        <x:f>IF(OR(B828="",F828=""),0,IF(H828="HOME",COUNTIFS('Istoric_Nativ'!$B$6:$B$405,E828,'Istoric_Nativ'!$C$6:$C$405,F828,'Istoric_Nativ'!$E$6:$E$405,G828,'Istoric_Nativ'!$D$6:$D$405,"&lt;"&amp;J828,'Istoric_Nativ'!$P$6:$P$405,1),IF(H828="AWAY",COUNTIFS('Istoric_Nativ'!$B$6:$B$405,E828,'Istoric_Nativ'!$C$6:$C$405,F828,'Istoric_Nativ'!$F$6:$F$405,G828,'Istoric_Nativ'!$D$6:$D$405,"&lt;"&amp;J828,'Istoric_Nativ'!$P$6:$P$405,1),COUNTIFS('Istoric_Nativ'!$B$6:$B$405,E828,'Istoric_Nativ'!$C$6:$C$405,F828,'Istoric_Nativ'!$E$6:$E$405,G828,'Istoric_Nativ'!$D$6:$D$405,"&lt;"&amp;J828,'Istoric_Nativ'!$P$6:$P$405,1)+COUNTIFS('Istoric_Nativ'!$B$6:$B$405,E828,'Istoric_Nativ'!$C$6:$C$405,F828,'Istoric_Nativ'!$F$6:$F$405,G828,'Istoric_Nativ'!$D$6:$D$405,"&lt;"&amp;J828,'Istoric_Nativ'!$P$6:$P$405,1))))</x:f>
        <x:v>0</x:v>
      </x:c>
      <x:c r="L828" s="17" t="n">
        <x:f>IF(AND(B828&lt;&gt;"",I828="RECENT",K828&gt;0),LARGE(_xlfn._xlws.FILTER('Istoric_Nativ'!$D$6:$D$405,('Istoric_Nativ'!$B$6:$B$405=E828)*('Istoric_Nativ'!$C$6:$C$405=F828)*('Istoric_Nativ'!$P$6:$P$405=1)*('Istoric_Nativ'!$D$6:$D$405&lt;J828)*((('Istoric_Nativ'!$E$6:$E$405=G828)+('Istoric_Nativ'!$F$6:$F$405=G828))&gt;0)),MIN('Config_v6'!$B$54,K828)),0)</x:f>
        <x:v>0</x:v>
      </x:c>
      <x:c r="M828" s="2" t="n">
        <x:f>IF(OR(B828="",F828=""),0,IF(H828="HOME",COUNTIFS('Istoric_Nativ'!$B$6:$B$405,E828,'Istoric_Nativ'!$C$6:$C$405,F828,'Istoric_Nativ'!$E$6:$E$405,G828,'Istoric_Nativ'!$D$6:$D$405,"&lt;"&amp;J828,'Istoric_Nativ'!$P$6:$P$405,1,'Istoric_Nativ'!$D$6:$D$405,"&gt;="&amp;L828),IF(H828="AWAY",COUNTIFS('Istoric_Nativ'!$B$6:$B$405,E828,'Istoric_Nativ'!$C$6:$C$405,F828,'Istoric_Nativ'!$F$6:$F$405,G828,'Istoric_Nativ'!$D$6:$D$405,"&lt;"&amp;J828,'Istoric_Nativ'!$P$6:$P$405,1,'Istoric_Nativ'!$D$6:$D$405,"&gt;="&amp;L828),COUNTIFS('Istoric_Nativ'!$B$6:$B$405,E828,'Istoric_Nativ'!$C$6:$C$405,F828,'Istoric_Nativ'!$E$6:$E$405,G828,'Istoric_Nativ'!$D$6:$D$405,"&lt;"&amp;J828,'Istoric_Nativ'!$P$6:$P$405,1,'Istoric_Nativ'!$D$6:$D$405,"&gt;="&amp;L828)+COUNTIFS('Istoric_Nativ'!$B$6:$B$405,E828,'Istoric_Nativ'!$C$6:$C$405,F828,'Istoric_Nativ'!$F$6:$F$405,G828,'Istoric_Nativ'!$D$6:$D$405,"&lt;"&amp;J828,'Istoric_Nativ'!$P$6:$P$405,1,'Istoric_Nativ'!$D$6:$D$405,"&gt;="&amp;L828))))</x:f>
        <x:v>0</x:v>
      </x:c>
      <x:c r="N828" s="11" t="str">
        <x:f>IF(M828=0,"",IF(H828="HOME",SUMIFS('Istoric_Nativ'!$G$6:$G$405,'Istoric_Nativ'!$B$6:$B$405,E828,'Istoric_Nativ'!$C$6:$C$405,F828,'Istoric_Nativ'!$E$6:$E$405,G828,'Istoric_Nativ'!$D$6:$D$405,"&lt;"&amp;J828,'Istoric_Nativ'!$P$6:$P$405,1,'Istoric_Nativ'!$D$6:$D$405,"&gt;="&amp;L828),IF(H828="AWAY",SUMIFS('Istoric_Nativ'!$H$6:$H$405,'Istoric_Nativ'!$B$6:$B$405,E828,'Istoric_Nativ'!$C$6:$C$405,F828,'Istoric_Nativ'!$F$6:$F$405,G828,'Istoric_Nativ'!$D$6:$D$405,"&lt;"&amp;J828,'Istoric_Nativ'!$P$6:$P$405,1,'Istoric_Nativ'!$D$6:$D$405,"&gt;="&amp;L828),SUMIFS('Istoric_Nativ'!$G$6:$G$405,'Istoric_Nativ'!$B$6:$B$405,E828,'Istoric_Nativ'!$C$6:$C$405,F828,'Istoric_Nativ'!$E$6:$E$405,G828,'Istoric_Nativ'!$D$6:$D$405,"&lt;"&amp;J828,'Istoric_Nativ'!$P$6:$P$405,1,'Istoric_Nativ'!$D$6:$D$405,"&gt;="&amp;L828)+SUMIFS('Istoric_Nativ'!$H$6:$H$405,'Istoric_Nativ'!$B$6:$B$405,E828,'Istoric_Nativ'!$C$6:$C$405,F828,'Istoric_Nativ'!$F$6:$F$405,G828,'Istoric_Nativ'!$D$6:$D$405,"&lt;"&amp;J828,'Istoric_Nativ'!$P$6:$P$405,1,'Istoric_Nativ'!$D$6:$D$405,"&gt;="&amp;L828)))/M828)</x:f>
      </x:c>
      <x:c r="O828" s="11" t="str">
        <x:f>IF(M828=0,"",IF(H828="HOME",SUMIFS('Istoric_Nativ'!$H$6:$H$405,'Istoric_Nativ'!$B$6:$B$405,E828,'Istoric_Nativ'!$C$6:$C$405,F828,'Istoric_Nativ'!$E$6:$E$405,G828,'Istoric_Nativ'!$D$6:$D$405,"&lt;"&amp;J828,'Istoric_Nativ'!$P$6:$P$405,1,'Istoric_Nativ'!$D$6:$D$405,"&gt;="&amp;L828),IF(H828="AWAY",SUMIFS('Istoric_Nativ'!$G$6:$G$405,'Istoric_Nativ'!$B$6:$B$405,E828,'Istoric_Nativ'!$C$6:$C$405,F828,'Istoric_Nativ'!$F$6:$F$405,G828,'Istoric_Nativ'!$D$6:$D$405,"&lt;"&amp;J828,'Istoric_Nativ'!$P$6:$P$405,1,'Istoric_Nativ'!$D$6:$D$405,"&gt;="&amp;L828),SUMIFS('Istoric_Nativ'!$H$6:$H$405,'Istoric_Nativ'!$B$6:$B$405,E828,'Istoric_Nativ'!$C$6:$C$405,F828,'Istoric_Nativ'!$E$6:$E$405,G828,'Istoric_Nativ'!$D$6:$D$405,"&lt;"&amp;J828,'Istoric_Nativ'!$P$6:$P$405,1,'Istoric_Nativ'!$D$6:$D$405,"&gt;="&amp;L828)+SUMIFS('Istoric_Nativ'!$G$6:$G$405,'Istoric_Nativ'!$B$6:$B$405,E828,'Istoric_Nativ'!$C$6:$C$405,F828,'Istoric_Nativ'!$F$6:$F$405,G828,'Istoric_Nativ'!$D$6:$D$405,"&lt;"&amp;J828,'Istoric_Nativ'!$P$6:$P$405,1,'Istoric_Nativ'!$D$6:$D$405,"&gt;="&amp;L828)))/M828)</x:f>
      </x:c>
      <x:c r="P828" s="2" t="n">
        <x:f>'Config_v6'!$B$7</x:f>
        <x:v>10</x:v>
      </x:c>
      <x:c r="Q828" s="2" t="n">
        <x:f>IF(OR(B828="",F828=""),0,IFERROR(MATCH(E828&amp;"|"&amp;F828,SourceTable[Source_Key],0),0))</x:f>
        <x:v>0</x:v>
      </x:c>
      <x:c r="R828" s="2" t="str">
        <x:f>IF(B828="","",IF(F828="","UNUSED",IF(Q828=0,"NOT CHECKED",IF(COUNTIF(SourceTable[Source_Key],E828&amp;"|"&amp;F828)&lt;&gt;1,"SOURCE CONFLICT",IF(NOT(OR(INDEX(SourceTable[Status],MAX(1,Q828))="IMPORTED",INDEX(SourceTable[Status],MAX(1,Q828))="PARTIAL",INDEX(SourceTable[Status],MAX(1,Q828))="SOURCE CONFLICT")),"ACCESS BLOCKED",IF(OR(INDEX(SourceTable[Coverage],Q828)&lt;&gt;"FULL SEASON EXPORT",INDEX(SourceTable[URL],Q828)="",INDEX(SourceTable[SHA256],Q828)=""),"EVIDENCE INCOMPLETE",IF(AND('Input_Meci'!H74="LIVE",INDEX(SourceTable[Retrieved_UTC],Q828)&gt;'Input_Meci'!G74),"POST CUTOFF","CLOSED")))))))</x:f>
      </x:c>
      <x:c r="S828" s="2" t="n">
        <x:f>IF(OR(B828="",F828=""),0,COUNTIFS('Istoric_Nativ'!$B$6:$B$405,E828,'Istoric_Nativ'!$C$6:$C$405,F828,'Istoric_Nativ'!$E$6:$E$405,G828,'Istoric_Nativ'!$D$6:$D$405,"&lt;"&amp;J828,'Istoric_Nativ'!$O$6:$O$405,"INVALID")+COUNTIFS('Istoric_Nativ'!$B$6:$B$405,E828,'Istoric_Nativ'!$C$6:$C$405,F828,'Istoric_Nativ'!$E$6:$E$405,G828,'Istoric_Nativ'!$O$6:$O$405,"INVALID",'Istoric_Nativ'!$D$6:$D$405,"*")+COUNTIFS('Istoric_Nativ'!$B$6:$B$405,E828,'Istoric_Nativ'!$C$6:$C$405,F828,'Istoric_Nativ'!$E$6:$E$405,G828,'Istoric_Nativ'!$D$6:$D$405,"&lt;"&amp;J828,'Istoric_Nativ'!$O$6:$O$405,"SOURCE CONFLICT")+COUNTIFS('Istoric_Nativ'!$B$6:$B$405,E828,'Istoric_Nativ'!$C$6:$C$405,F828,'Istoric_Nativ'!$F$6:$F$405,G828,'Istoric_Nativ'!$D$6:$D$405,"&lt;"&amp;J828,'Istoric_Nativ'!$O$6:$O$405,"INVALID")+COUNTIFS('Istoric_Nativ'!$B$6:$B$405,E828,'Istoric_Nativ'!$C$6:$C$405,F828,'Istoric_Nativ'!$F$6:$F$405,G828,'Istoric_Nativ'!$O$6:$O$405,"INVALID",'Istoric_Nativ'!$D$6:$D$405,"*")+COUNTIFS('Istoric_Nativ'!$B$6:$B$405,E828,'Istoric_Nativ'!$C$6:$C$405,F828,'Istoric_Nativ'!$F$6:$F$405,G828,'Istoric_Nativ'!$D$6:$D$405,"&lt;"&amp;J828,'Istoric_Nativ'!$O$6:$O$405,"SOURCE CONFLICT"))</x:f>
        <x:v>0</x:v>
      </x:c>
      <x:c r="T828" s="2" t="str">
        <x:f>IF(B828="","",IF(R828&lt;&gt;"CLOSED",R828,IF(S828&gt;0,"NATIVE INPUT ISSUE",IF(M828=0,"NO HISTORY",IF(M828&lt;P828,"SMALL SAMPLE","DERIVED")))))</x:f>
      </x:c>
      <x:c r="U828" s="2" t="str">
        <x:f>IF(B828="","","NativeTable; "&amp;E828&amp;"; "&amp;F828&amp;"; "&amp;G828&amp;"; "&amp;H828&amp;"; before "&amp;TEXT(J828,"yyyy-mm-dd")&amp;IF(I828="RECENT","; from "&amp;TEXT(L828,"yyyy-mm-dd"),""))</x:f>
      </x:c>
    </x:row>
    <x:row r="829" ht="21" customHeight="1">
      <x:c r="A829" s="2" t="n">
        <x:v>69</x:v>
      </x:c>
      <x:c r="B829" s="2" t="str">
        <x:f>IF('Input_Meci'!A74="","",'Input_Meci'!A74)</x:f>
      </x:c>
      <x:c r="C829" s="2" t="str">
        <x:v>H</x:v>
      </x:c>
      <x:c r="D829" s="2" t="str">
        <x:v>PRIOR</x:v>
      </x:c>
      <x:c r="E829" s="2" t="str">
        <x:f>IF(B829="","",'Input_Meci'!B74)</x:f>
      </x:c>
      <x:c r="F829" s="2" t="str">
        <x:f>IF(B829="","",IF('Input_Meci'!K74="","",'Input_Meci'!K74))</x:f>
      </x:c>
      <x:c r="G829" s="2" t="str">
        <x:f>IF(B829="","",'Input_Meci'!D74)</x:f>
      </x:c>
      <x:c r="H829" s="2" t="str">
        <x:v>HOME</x:v>
      </x:c>
      <x:c r="I829" s="2" t="str">
        <x:v>HA</x:v>
      </x:c>
      <x:c r="J829" s="9" t="n">
        <x:f>IF(AND(B829&lt;&gt;"",ISNUMBER('Input_Meci'!G74)),INT('Input_Meci'!G74),0)</x:f>
        <x:v>0</x:v>
      </x:c>
      <x:c r="K829" s="2" t="n">
        <x:f>IF(OR(B829="",F829=""),0,IF(H829="HOME",COUNTIFS('Istoric_Nativ'!$B$6:$B$405,E829,'Istoric_Nativ'!$C$6:$C$405,F829,'Istoric_Nativ'!$E$6:$E$405,G829,'Istoric_Nativ'!$D$6:$D$405,"&lt;"&amp;J829,'Istoric_Nativ'!$P$6:$P$405,1),IF(H829="AWAY",COUNTIFS('Istoric_Nativ'!$B$6:$B$405,E829,'Istoric_Nativ'!$C$6:$C$405,F829,'Istoric_Nativ'!$F$6:$F$405,G829,'Istoric_Nativ'!$D$6:$D$405,"&lt;"&amp;J829,'Istoric_Nativ'!$P$6:$P$405,1),COUNTIFS('Istoric_Nativ'!$B$6:$B$405,E829,'Istoric_Nativ'!$C$6:$C$405,F829,'Istoric_Nativ'!$E$6:$E$405,G829,'Istoric_Nativ'!$D$6:$D$405,"&lt;"&amp;J829,'Istoric_Nativ'!$P$6:$P$405,1)+COUNTIFS('Istoric_Nativ'!$B$6:$B$405,E829,'Istoric_Nativ'!$C$6:$C$405,F829,'Istoric_Nativ'!$F$6:$F$405,G829,'Istoric_Nativ'!$D$6:$D$405,"&lt;"&amp;J829,'Istoric_Nativ'!$P$6:$P$405,1))))</x:f>
        <x:v>0</x:v>
      </x:c>
      <x:c r="L829" s="17" t="n">
        <x:f>IF(AND(B829&lt;&gt;"",I829="RECENT",K829&gt;0),LARGE(_xlfn._xlws.FILTER('Istoric_Nativ'!$D$6:$D$405,('Istoric_Nativ'!$B$6:$B$405=E829)*('Istoric_Nativ'!$C$6:$C$405=F829)*('Istoric_Nativ'!$P$6:$P$405=1)*('Istoric_Nativ'!$D$6:$D$405&lt;J829)*((('Istoric_Nativ'!$E$6:$E$405=G829)+('Istoric_Nativ'!$F$6:$F$405=G829))&gt;0)),MIN('Config_v6'!$B$54,K829)),0)</x:f>
        <x:v>0</x:v>
      </x:c>
      <x:c r="M829" s="2" t="n">
        <x:f>IF(OR(B829="",F829=""),0,IF(H829="HOME",COUNTIFS('Istoric_Nativ'!$B$6:$B$405,E829,'Istoric_Nativ'!$C$6:$C$405,F829,'Istoric_Nativ'!$E$6:$E$405,G829,'Istoric_Nativ'!$D$6:$D$405,"&lt;"&amp;J829,'Istoric_Nativ'!$P$6:$P$405,1,'Istoric_Nativ'!$D$6:$D$405,"&gt;="&amp;L829),IF(H829="AWAY",COUNTIFS('Istoric_Nativ'!$B$6:$B$405,E829,'Istoric_Nativ'!$C$6:$C$405,F829,'Istoric_Nativ'!$F$6:$F$405,G829,'Istoric_Nativ'!$D$6:$D$405,"&lt;"&amp;J829,'Istoric_Nativ'!$P$6:$P$405,1,'Istoric_Nativ'!$D$6:$D$405,"&gt;="&amp;L829),COUNTIFS('Istoric_Nativ'!$B$6:$B$405,E829,'Istoric_Nativ'!$C$6:$C$405,F829,'Istoric_Nativ'!$E$6:$E$405,G829,'Istoric_Nativ'!$D$6:$D$405,"&lt;"&amp;J829,'Istoric_Nativ'!$P$6:$P$405,1,'Istoric_Nativ'!$D$6:$D$405,"&gt;="&amp;L829)+COUNTIFS('Istoric_Nativ'!$B$6:$B$405,E829,'Istoric_Nativ'!$C$6:$C$405,F829,'Istoric_Nativ'!$F$6:$F$405,G829,'Istoric_Nativ'!$D$6:$D$405,"&lt;"&amp;J829,'Istoric_Nativ'!$P$6:$P$405,1,'Istoric_Nativ'!$D$6:$D$405,"&gt;="&amp;L829))))</x:f>
        <x:v>0</x:v>
      </x:c>
      <x:c r="N829" s="11" t="str">
        <x:f>IF(M829=0,"",IF(H829="HOME",SUMIFS('Istoric_Nativ'!$G$6:$G$405,'Istoric_Nativ'!$B$6:$B$405,E829,'Istoric_Nativ'!$C$6:$C$405,F829,'Istoric_Nativ'!$E$6:$E$405,G829,'Istoric_Nativ'!$D$6:$D$405,"&lt;"&amp;J829,'Istoric_Nativ'!$P$6:$P$405,1,'Istoric_Nativ'!$D$6:$D$405,"&gt;="&amp;L829),IF(H829="AWAY",SUMIFS('Istoric_Nativ'!$H$6:$H$405,'Istoric_Nativ'!$B$6:$B$405,E829,'Istoric_Nativ'!$C$6:$C$405,F829,'Istoric_Nativ'!$F$6:$F$405,G829,'Istoric_Nativ'!$D$6:$D$405,"&lt;"&amp;J829,'Istoric_Nativ'!$P$6:$P$405,1,'Istoric_Nativ'!$D$6:$D$405,"&gt;="&amp;L829),SUMIFS('Istoric_Nativ'!$G$6:$G$405,'Istoric_Nativ'!$B$6:$B$405,E829,'Istoric_Nativ'!$C$6:$C$405,F829,'Istoric_Nativ'!$E$6:$E$405,G829,'Istoric_Nativ'!$D$6:$D$405,"&lt;"&amp;J829,'Istoric_Nativ'!$P$6:$P$405,1,'Istoric_Nativ'!$D$6:$D$405,"&gt;="&amp;L829)+SUMIFS('Istoric_Nativ'!$H$6:$H$405,'Istoric_Nativ'!$B$6:$B$405,E829,'Istoric_Nativ'!$C$6:$C$405,F829,'Istoric_Nativ'!$F$6:$F$405,G829,'Istoric_Nativ'!$D$6:$D$405,"&lt;"&amp;J829,'Istoric_Nativ'!$P$6:$P$405,1,'Istoric_Nativ'!$D$6:$D$405,"&gt;="&amp;L829)))/M829)</x:f>
      </x:c>
      <x:c r="O829" s="11" t="str">
        <x:f>IF(M829=0,"",IF(H829="HOME",SUMIFS('Istoric_Nativ'!$H$6:$H$405,'Istoric_Nativ'!$B$6:$B$405,E829,'Istoric_Nativ'!$C$6:$C$405,F829,'Istoric_Nativ'!$E$6:$E$405,G829,'Istoric_Nativ'!$D$6:$D$405,"&lt;"&amp;J829,'Istoric_Nativ'!$P$6:$P$405,1,'Istoric_Nativ'!$D$6:$D$405,"&gt;="&amp;L829),IF(H829="AWAY",SUMIFS('Istoric_Nativ'!$G$6:$G$405,'Istoric_Nativ'!$B$6:$B$405,E829,'Istoric_Nativ'!$C$6:$C$405,F829,'Istoric_Nativ'!$F$6:$F$405,G829,'Istoric_Nativ'!$D$6:$D$405,"&lt;"&amp;J829,'Istoric_Nativ'!$P$6:$P$405,1,'Istoric_Nativ'!$D$6:$D$405,"&gt;="&amp;L829),SUMIFS('Istoric_Nativ'!$H$6:$H$405,'Istoric_Nativ'!$B$6:$B$405,E829,'Istoric_Nativ'!$C$6:$C$405,F829,'Istoric_Nativ'!$E$6:$E$405,G829,'Istoric_Nativ'!$D$6:$D$405,"&lt;"&amp;J829,'Istoric_Nativ'!$P$6:$P$405,1,'Istoric_Nativ'!$D$6:$D$405,"&gt;="&amp;L829)+SUMIFS('Istoric_Nativ'!$G$6:$G$405,'Istoric_Nativ'!$B$6:$B$405,E829,'Istoric_Nativ'!$C$6:$C$405,F829,'Istoric_Nativ'!$F$6:$F$405,G829,'Istoric_Nativ'!$D$6:$D$405,"&lt;"&amp;J829,'Istoric_Nativ'!$P$6:$P$405,1,'Istoric_Nativ'!$D$6:$D$405,"&gt;="&amp;L829)))/M829)</x:f>
      </x:c>
      <x:c r="P829" s="2" t="n">
        <x:f>'Config_v6'!$B$8</x:f>
        <x:v>5</x:v>
      </x:c>
      <x:c r="Q829" s="2" t="n">
        <x:f>IF(OR(B829="",F829=""),0,IFERROR(MATCH(E829&amp;"|"&amp;F829,SourceTable[Source_Key],0),0))</x:f>
        <x:v>0</x:v>
      </x:c>
      <x:c r="R829" s="2" t="str">
        <x:f>IF(B829="","",IF(F829="","UNUSED",IF(Q829=0,"NOT CHECKED",IF(COUNTIF(SourceTable[Source_Key],E829&amp;"|"&amp;F829)&lt;&gt;1,"SOURCE CONFLICT",IF(NOT(OR(INDEX(SourceTable[Status],MAX(1,Q829))="IMPORTED",INDEX(SourceTable[Status],MAX(1,Q829))="PARTIAL",INDEX(SourceTable[Status],MAX(1,Q829))="SOURCE CONFLICT")),"ACCESS BLOCKED",IF(OR(INDEX(SourceTable[Coverage],Q829)&lt;&gt;"FULL SEASON EXPORT",INDEX(SourceTable[URL],Q829)="",INDEX(SourceTable[SHA256],Q829)=""),"EVIDENCE INCOMPLETE",IF(AND('Input_Meci'!H74="LIVE",INDEX(SourceTable[Retrieved_UTC],Q829)&gt;'Input_Meci'!G74),"POST CUTOFF","CLOSED")))))))</x:f>
      </x:c>
      <x:c r="S829" s="2" t="n">
        <x:f>IF(OR(B829="",F829=""),0,COUNTIFS('Istoric_Nativ'!$B$6:$B$405,E829,'Istoric_Nativ'!$C$6:$C$405,F829,'Istoric_Nativ'!$E$6:$E$405,G829,'Istoric_Nativ'!$D$6:$D$405,"&lt;"&amp;J829,'Istoric_Nativ'!$O$6:$O$405,"INVALID")+COUNTIFS('Istoric_Nativ'!$B$6:$B$405,E829,'Istoric_Nativ'!$C$6:$C$405,F829,'Istoric_Nativ'!$E$6:$E$405,G829,'Istoric_Nativ'!$O$6:$O$405,"INVALID",'Istoric_Nativ'!$D$6:$D$405,"*")+COUNTIFS('Istoric_Nativ'!$B$6:$B$405,E829,'Istoric_Nativ'!$C$6:$C$405,F829,'Istoric_Nativ'!$E$6:$E$405,G829,'Istoric_Nativ'!$D$6:$D$405,"&lt;"&amp;J829,'Istoric_Nativ'!$O$6:$O$405,"SOURCE CONFLICT")+COUNTIFS('Istoric_Nativ'!$B$6:$B$405,E829,'Istoric_Nativ'!$C$6:$C$405,F829,'Istoric_Nativ'!$F$6:$F$405,G829,'Istoric_Nativ'!$D$6:$D$405,"&lt;"&amp;J829,'Istoric_Nativ'!$O$6:$O$405,"INVALID")+COUNTIFS('Istoric_Nativ'!$B$6:$B$405,E829,'Istoric_Nativ'!$C$6:$C$405,F829,'Istoric_Nativ'!$F$6:$F$405,G829,'Istoric_Nativ'!$O$6:$O$405,"INVALID",'Istoric_Nativ'!$D$6:$D$405,"*")+COUNTIFS('Istoric_Nativ'!$B$6:$B$405,E829,'Istoric_Nativ'!$C$6:$C$405,F829,'Istoric_Nativ'!$F$6:$F$405,G829,'Istoric_Nativ'!$D$6:$D$405,"&lt;"&amp;J829,'Istoric_Nativ'!$O$6:$O$405,"SOURCE CONFLICT"))</x:f>
        <x:v>0</x:v>
      </x:c>
      <x:c r="T829" s="2" t="str">
        <x:f>IF(B829="","",IF(R829&lt;&gt;"CLOSED",R829,IF(S829&gt;0,"NATIVE INPUT ISSUE",IF(M829=0,"NO HISTORY",IF(M829&lt;P829,"SMALL SAMPLE","DERIVED")))))</x:f>
      </x:c>
      <x:c r="U829" s="2" t="str">
        <x:f>IF(B829="","","NativeTable; "&amp;E829&amp;"; "&amp;F829&amp;"; "&amp;G829&amp;"; "&amp;H829&amp;"; before "&amp;TEXT(J829,"yyyy-mm-dd")&amp;IF(I829="RECENT","; from "&amp;TEXT(L829,"yyyy-mm-dd"),""))</x:f>
      </x:c>
    </x:row>
    <x:row r="830" ht="21" customHeight="1">
      <x:c r="A830" s="2" t="n">
        <x:v>69</x:v>
      </x:c>
      <x:c r="B830" s="2" t="str">
        <x:f>IF('Input_Meci'!A74="","",'Input_Meci'!A74)</x:f>
      </x:c>
      <x:c r="C830" s="2" t="str">
        <x:v>H</x:v>
      </x:c>
      <x:c r="D830" s="2" t="str">
        <x:v>PRIOR</x:v>
      </x:c>
      <x:c r="E830" s="2" t="str">
        <x:f>IF(B830="","",'Input_Meci'!B74)</x:f>
      </x:c>
      <x:c r="F830" s="2" t="str">
        <x:f>IF(B830="","",IF('Input_Meci'!K74="","",'Input_Meci'!K74))</x:f>
      </x:c>
      <x:c r="G830" s="2" t="str">
        <x:f>IF(B830="","",'Input_Meci'!D74)</x:f>
      </x:c>
      <x:c r="H830" s="2" t="str">
        <x:v>ANY</x:v>
      </x:c>
      <x:c r="I830" s="2" t="str">
        <x:v>RECENT</x:v>
      </x:c>
      <x:c r="J830" s="9" t="n">
        <x:f>IF(AND(B830&lt;&gt;"",ISNUMBER('Input_Meci'!G74)),INT('Input_Meci'!G74),0)</x:f>
        <x:v>0</x:v>
      </x:c>
      <x:c r="K830" s="2" t="n">
        <x:f>IF(OR(B830="",F830=""),0,IF(H830="HOME",COUNTIFS('Istoric_Nativ'!$B$6:$B$405,E830,'Istoric_Nativ'!$C$6:$C$405,F830,'Istoric_Nativ'!$E$6:$E$405,G830,'Istoric_Nativ'!$D$6:$D$405,"&lt;"&amp;J830,'Istoric_Nativ'!$P$6:$P$405,1),IF(H830="AWAY",COUNTIFS('Istoric_Nativ'!$B$6:$B$405,E830,'Istoric_Nativ'!$C$6:$C$405,F830,'Istoric_Nativ'!$F$6:$F$405,G830,'Istoric_Nativ'!$D$6:$D$405,"&lt;"&amp;J830,'Istoric_Nativ'!$P$6:$P$405,1),COUNTIFS('Istoric_Nativ'!$B$6:$B$405,E830,'Istoric_Nativ'!$C$6:$C$405,F830,'Istoric_Nativ'!$E$6:$E$405,G830,'Istoric_Nativ'!$D$6:$D$405,"&lt;"&amp;J830,'Istoric_Nativ'!$P$6:$P$405,1)+COUNTIFS('Istoric_Nativ'!$B$6:$B$405,E830,'Istoric_Nativ'!$C$6:$C$405,F830,'Istoric_Nativ'!$F$6:$F$405,G830,'Istoric_Nativ'!$D$6:$D$405,"&lt;"&amp;J830,'Istoric_Nativ'!$P$6:$P$405,1))))</x:f>
        <x:v>0</x:v>
      </x:c>
      <x:c r="L830" s="17" t="n">
        <x:f>IF(AND(B830&lt;&gt;"",I830="RECENT",K830&gt;0),LARGE(_xlfn._xlws.FILTER('Istoric_Nativ'!$D$6:$D$405,('Istoric_Nativ'!$B$6:$B$405=E830)*('Istoric_Nativ'!$C$6:$C$405=F830)*('Istoric_Nativ'!$P$6:$P$405=1)*('Istoric_Nativ'!$D$6:$D$405&lt;J830)*((('Istoric_Nativ'!$E$6:$E$405=G830)+('Istoric_Nativ'!$F$6:$F$405=G830))&gt;0)),MIN('Config_v6'!$B$54,K830)),0)</x:f>
        <x:v>0</x:v>
      </x:c>
      <x:c r="M830" s="2" t="n">
        <x:f>IF(OR(B830="",F830=""),0,IF(H830="HOME",COUNTIFS('Istoric_Nativ'!$B$6:$B$405,E830,'Istoric_Nativ'!$C$6:$C$405,F830,'Istoric_Nativ'!$E$6:$E$405,G830,'Istoric_Nativ'!$D$6:$D$405,"&lt;"&amp;J830,'Istoric_Nativ'!$P$6:$P$405,1,'Istoric_Nativ'!$D$6:$D$405,"&gt;="&amp;L830),IF(H830="AWAY",COUNTIFS('Istoric_Nativ'!$B$6:$B$405,E830,'Istoric_Nativ'!$C$6:$C$405,F830,'Istoric_Nativ'!$F$6:$F$405,G830,'Istoric_Nativ'!$D$6:$D$405,"&lt;"&amp;J830,'Istoric_Nativ'!$P$6:$P$405,1,'Istoric_Nativ'!$D$6:$D$405,"&gt;="&amp;L830),COUNTIFS('Istoric_Nativ'!$B$6:$B$405,E830,'Istoric_Nativ'!$C$6:$C$405,F830,'Istoric_Nativ'!$E$6:$E$405,G830,'Istoric_Nativ'!$D$6:$D$405,"&lt;"&amp;J830,'Istoric_Nativ'!$P$6:$P$405,1,'Istoric_Nativ'!$D$6:$D$405,"&gt;="&amp;L830)+COUNTIFS('Istoric_Nativ'!$B$6:$B$405,E830,'Istoric_Nativ'!$C$6:$C$405,F830,'Istoric_Nativ'!$F$6:$F$405,G830,'Istoric_Nativ'!$D$6:$D$405,"&lt;"&amp;J830,'Istoric_Nativ'!$P$6:$P$405,1,'Istoric_Nativ'!$D$6:$D$405,"&gt;="&amp;L830))))</x:f>
        <x:v>0</x:v>
      </x:c>
      <x:c r="N830" s="11" t="str">
        <x:f>IF(M830=0,"",IF(H830="HOME",SUMIFS('Istoric_Nativ'!$G$6:$G$405,'Istoric_Nativ'!$B$6:$B$405,E830,'Istoric_Nativ'!$C$6:$C$405,F830,'Istoric_Nativ'!$E$6:$E$405,G830,'Istoric_Nativ'!$D$6:$D$405,"&lt;"&amp;J830,'Istoric_Nativ'!$P$6:$P$405,1,'Istoric_Nativ'!$D$6:$D$405,"&gt;="&amp;L830),IF(H830="AWAY",SUMIFS('Istoric_Nativ'!$H$6:$H$405,'Istoric_Nativ'!$B$6:$B$405,E830,'Istoric_Nativ'!$C$6:$C$405,F830,'Istoric_Nativ'!$F$6:$F$405,G830,'Istoric_Nativ'!$D$6:$D$405,"&lt;"&amp;J830,'Istoric_Nativ'!$P$6:$P$405,1,'Istoric_Nativ'!$D$6:$D$405,"&gt;="&amp;L830),SUMIFS('Istoric_Nativ'!$G$6:$G$405,'Istoric_Nativ'!$B$6:$B$405,E830,'Istoric_Nativ'!$C$6:$C$405,F830,'Istoric_Nativ'!$E$6:$E$405,G830,'Istoric_Nativ'!$D$6:$D$405,"&lt;"&amp;J830,'Istoric_Nativ'!$P$6:$P$405,1,'Istoric_Nativ'!$D$6:$D$405,"&gt;="&amp;L830)+SUMIFS('Istoric_Nativ'!$H$6:$H$405,'Istoric_Nativ'!$B$6:$B$405,E830,'Istoric_Nativ'!$C$6:$C$405,F830,'Istoric_Nativ'!$F$6:$F$405,G830,'Istoric_Nativ'!$D$6:$D$405,"&lt;"&amp;J830,'Istoric_Nativ'!$P$6:$P$405,1,'Istoric_Nativ'!$D$6:$D$405,"&gt;="&amp;L830)))/M830)</x:f>
      </x:c>
      <x:c r="O830" s="11" t="str">
        <x:f>IF(M830=0,"",IF(H830="HOME",SUMIFS('Istoric_Nativ'!$H$6:$H$405,'Istoric_Nativ'!$B$6:$B$405,E830,'Istoric_Nativ'!$C$6:$C$405,F830,'Istoric_Nativ'!$E$6:$E$405,G830,'Istoric_Nativ'!$D$6:$D$405,"&lt;"&amp;J830,'Istoric_Nativ'!$P$6:$P$405,1,'Istoric_Nativ'!$D$6:$D$405,"&gt;="&amp;L830),IF(H830="AWAY",SUMIFS('Istoric_Nativ'!$G$6:$G$405,'Istoric_Nativ'!$B$6:$B$405,E830,'Istoric_Nativ'!$C$6:$C$405,F830,'Istoric_Nativ'!$F$6:$F$405,G830,'Istoric_Nativ'!$D$6:$D$405,"&lt;"&amp;J830,'Istoric_Nativ'!$P$6:$P$405,1,'Istoric_Nativ'!$D$6:$D$405,"&gt;="&amp;L830),SUMIFS('Istoric_Nativ'!$H$6:$H$405,'Istoric_Nativ'!$B$6:$B$405,E830,'Istoric_Nativ'!$C$6:$C$405,F830,'Istoric_Nativ'!$E$6:$E$405,G830,'Istoric_Nativ'!$D$6:$D$405,"&lt;"&amp;J830,'Istoric_Nativ'!$P$6:$P$405,1,'Istoric_Nativ'!$D$6:$D$405,"&gt;="&amp;L830)+SUMIFS('Istoric_Nativ'!$G$6:$G$405,'Istoric_Nativ'!$B$6:$B$405,E830,'Istoric_Nativ'!$C$6:$C$405,F830,'Istoric_Nativ'!$F$6:$F$405,G830,'Istoric_Nativ'!$D$6:$D$405,"&lt;"&amp;J830,'Istoric_Nativ'!$P$6:$P$405,1,'Istoric_Nativ'!$D$6:$D$405,"&gt;="&amp;L830)))/M830)</x:f>
      </x:c>
      <x:c r="P830" s="2" t="n">
        <x:f>'Config_v6'!$B$9</x:f>
        <x:v>3</x:v>
      </x:c>
      <x:c r="Q830" s="2" t="n">
        <x:f>IF(OR(B830="",F830=""),0,IFERROR(MATCH(E830&amp;"|"&amp;F830,SourceTable[Source_Key],0),0))</x:f>
        <x:v>0</x:v>
      </x:c>
      <x:c r="R830" s="2" t="str">
        <x:f>IF(B830="","",IF(F830="","UNUSED",IF(Q830=0,"NOT CHECKED",IF(COUNTIF(SourceTable[Source_Key],E830&amp;"|"&amp;F830)&lt;&gt;1,"SOURCE CONFLICT",IF(NOT(OR(INDEX(SourceTable[Status],MAX(1,Q830))="IMPORTED",INDEX(SourceTable[Status],MAX(1,Q830))="PARTIAL",INDEX(SourceTable[Status],MAX(1,Q830))="SOURCE CONFLICT")),"ACCESS BLOCKED",IF(OR(INDEX(SourceTable[Coverage],Q830)&lt;&gt;"FULL SEASON EXPORT",INDEX(SourceTable[URL],Q830)="",INDEX(SourceTable[SHA256],Q830)=""),"EVIDENCE INCOMPLETE",IF(AND('Input_Meci'!H74="LIVE",INDEX(SourceTable[Retrieved_UTC],Q830)&gt;'Input_Meci'!G74),"POST CUTOFF","CLOSED")))))))</x:f>
      </x:c>
      <x:c r="S830" s="2" t="n">
        <x:f>IF(OR(B830="",F830=""),0,COUNTIFS('Istoric_Nativ'!$B$6:$B$405,E830,'Istoric_Nativ'!$C$6:$C$405,F830,'Istoric_Nativ'!$E$6:$E$405,G830,'Istoric_Nativ'!$D$6:$D$405,"&lt;"&amp;J830,'Istoric_Nativ'!$O$6:$O$405,"INVALID")+COUNTIFS('Istoric_Nativ'!$B$6:$B$405,E830,'Istoric_Nativ'!$C$6:$C$405,F830,'Istoric_Nativ'!$E$6:$E$405,G830,'Istoric_Nativ'!$O$6:$O$405,"INVALID",'Istoric_Nativ'!$D$6:$D$405,"*")+COUNTIFS('Istoric_Nativ'!$B$6:$B$405,E830,'Istoric_Nativ'!$C$6:$C$405,F830,'Istoric_Nativ'!$E$6:$E$405,G830,'Istoric_Nativ'!$D$6:$D$405,"&lt;"&amp;J830,'Istoric_Nativ'!$O$6:$O$405,"SOURCE CONFLICT")+COUNTIFS('Istoric_Nativ'!$B$6:$B$405,E830,'Istoric_Nativ'!$C$6:$C$405,F830,'Istoric_Nativ'!$F$6:$F$405,G830,'Istoric_Nativ'!$D$6:$D$405,"&lt;"&amp;J830,'Istoric_Nativ'!$O$6:$O$405,"INVALID")+COUNTIFS('Istoric_Nativ'!$B$6:$B$405,E830,'Istoric_Nativ'!$C$6:$C$405,F830,'Istoric_Nativ'!$F$6:$F$405,G830,'Istoric_Nativ'!$O$6:$O$405,"INVALID",'Istoric_Nativ'!$D$6:$D$405,"*")+COUNTIFS('Istoric_Nativ'!$B$6:$B$405,E830,'Istoric_Nativ'!$C$6:$C$405,F830,'Istoric_Nativ'!$F$6:$F$405,G830,'Istoric_Nativ'!$D$6:$D$405,"&lt;"&amp;J830,'Istoric_Nativ'!$O$6:$O$405,"SOURCE CONFLICT"))</x:f>
        <x:v>0</x:v>
      </x:c>
      <x:c r="T830" s="2" t="str">
        <x:f>IF(B830="","",IF(R830&lt;&gt;"CLOSED",R830,IF(S830&gt;0,"NATIVE INPUT ISSUE",IF(M830=0,"NO HISTORY",IF(M830&lt;P830,"SMALL SAMPLE","DERIVED")))))</x:f>
      </x:c>
      <x:c r="U830" s="2" t="str">
        <x:f>IF(B830="","","NativeTable; "&amp;E830&amp;"; "&amp;F830&amp;"; "&amp;G830&amp;"; "&amp;H830&amp;"; before "&amp;TEXT(J830,"yyyy-mm-dd")&amp;IF(I830="RECENT","; from "&amp;TEXT(L830,"yyyy-mm-dd"),""))</x:f>
      </x:c>
    </x:row>
    <x:row r="831" ht="21" customHeight="1">
      <x:c r="A831" s="2" t="n">
        <x:v>69</x:v>
      </x:c>
      <x:c r="B831" s="2" t="str">
        <x:f>IF('Input_Meci'!A74="","",'Input_Meci'!A74)</x:f>
      </x:c>
      <x:c r="C831" s="2" t="str">
        <x:v>A</x:v>
      </x:c>
      <x:c r="D831" s="2" t="str">
        <x:v>PRIOR</x:v>
      </x:c>
      <x:c r="E831" s="2" t="str">
        <x:f>IF(B831="","",'Input_Meci'!B74)</x:f>
      </x:c>
      <x:c r="F831" s="2" t="str">
        <x:f>IF(B831="","",IF('Input_Meci'!K74="","",'Input_Meci'!K74))</x:f>
      </x:c>
      <x:c r="G831" s="2" t="str">
        <x:f>IF(B831="","",'Input_Meci'!E74)</x:f>
      </x:c>
      <x:c r="H831" s="2" t="str">
        <x:v>ANY</x:v>
      </x:c>
      <x:c r="I831" s="2" t="str">
        <x:v>SEASON</x:v>
      </x:c>
      <x:c r="J831" s="9" t="n">
        <x:f>IF(AND(B831&lt;&gt;"",ISNUMBER('Input_Meci'!G74)),INT('Input_Meci'!G74),0)</x:f>
        <x:v>0</x:v>
      </x:c>
      <x:c r="K831" s="2" t="n">
        <x:f>IF(OR(B831="",F831=""),0,IF(H831="HOME",COUNTIFS('Istoric_Nativ'!$B$6:$B$405,E831,'Istoric_Nativ'!$C$6:$C$405,F831,'Istoric_Nativ'!$E$6:$E$405,G831,'Istoric_Nativ'!$D$6:$D$405,"&lt;"&amp;J831,'Istoric_Nativ'!$P$6:$P$405,1),IF(H831="AWAY",COUNTIFS('Istoric_Nativ'!$B$6:$B$405,E831,'Istoric_Nativ'!$C$6:$C$405,F831,'Istoric_Nativ'!$F$6:$F$405,G831,'Istoric_Nativ'!$D$6:$D$405,"&lt;"&amp;J831,'Istoric_Nativ'!$P$6:$P$405,1),COUNTIFS('Istoric_Nativ'!$B$6:$B$405,E831,'Istoric_Nativ'!$C$6:$C$405,F831,'Istoric_Nativ'!$E$6:$E$405,G831,'Istoric_Nativ'!$D$6:$D$405,"&lt;"&amp;J831,'Istoric_Nativ'!$P$6:$P$405,1)+COUNTIFS('Istoric_Nativ'!$B$6:$B$405,E831,'Istoric_Nativ'!$C$6:$C$405,F831,'Istoric_Nativ'!$F$6:$F$405,G831,'Istoric_Nativ'!$D$6:$D$405,"&lt;"&amp;J831,'Istoric_Nativ'!$P$6:$P$405,1))))</x:f>
        <x:v>0</x:v>
      </x:c>
      <x:c r="L831" s="17" t="n">
        <x:f>IF(AND(B831&lt;&gt;"",I831="RECENT",K831&gt;0),LARGE(_xlfn._xlws.FILTER('Istoric_Nativ'!$D$6:$D$405,('Istoric_Nativ'!$B$6:$B$405=E831)*('Istoric_Nativ'!$C$6:$C$405=F831)*('Istoric_Nativ'!$P$6:$P$405=1)*('Istoric_Nativ'!$D$6:$D$405&lt;J831)*((('Istoric_Nativ'!$E$6:$E$405=G831)+('Istoric_Nativ'!$F$6:$F$405=G831))&gt;0)),MIN('Config_v6'!$B$54,K831)),0)</x:f>
        <x:v>0</x:v>
      </x:c>
      <x:c r="M831" s="2" t="n">
        <x:f>IF(OR(B831="",F831=""),0,IF(H831="HOME",COUNTIFS('Istoric_Nativ'!$B$6:$B$405,E831,'Istoric_Nativ'!$C$6:$C$405,F831,'Istoric_Nativ'!$E$6:$E$405,G831,'Istoric_Nativ'!$D$6:$D$405,"&lt;"&amp;J831,'Istoric_Nativ'!$P$6:$P$405,1,'Istoric_Nativ'!$D$6:$D$405,"&gt;="&amp;L831),IF(H831="AWAY",COUNTIFS('Istoric_Nativ'!$B$6:$B$405,E831,'Istoric_Nativ'!$C$6:$C$405,F831,'Istoric_Nativ'!$F$6:$F$405,G831,'Istoric_Nativ'!$D$6:$D$405,"&lt;"&amp;J831,'Istoric_Nativ'!$P$6:$P$405,1,'Istoric_Nativ'!$D$6:$D$405,"&gt;="&amp;L831),COUNTIFS('Istoric_Nativ'!$B$6:$B$405,E831,'Istoric_Nativ'!$C$6:$C$405,F831,'Istoric_Nativ'!$E$6:$E$405,G831,'Istoric_Nativ'!$D$6:$D$405,"&lt;"&amp;J831,'Istoric_Nativ'!$P$6:$P$405,1,'Istoric_Nativ'!$D$6:$D$405,"&gt;="&amp;L831)+COUNTIFS('Istoric_Nativ'!$B$6:$B$405,E831,'Istoric_Nativ'!$C$6:$C$405,F831,'Istoric_Nativ'!$F$6:$F$405,G831,'Istoric_Nativ'!$D$6:$D$405,"&lt;"&amp;J831,'Istoric_Nativ'!$P$6:$P$405,1,'Istoric_Nativ'!$D$6:$D$405,"&gt;="&amp;L831))))</x:f>
        <x:v>0</x:v>
      </x:c>
      <x:c r="N831" s="11" t="str">
        <x:f>IF(M831=0,"",IF(H831="HOME",SUMIFS('Istoric_Nativ'!$G$6:$G$405,'Istoric_Nativ'!$B$6:$B$405,E831,'Istoric_Nativ'!$C$6:$C$405,F831,'Istoric_Nativ'!$E$6:$E$405,G831,'Istoric_Nativ'!$D$6:$D$405,"&lt;"&amp;J831,'Istoric_Nativ'!$P$6:$P$405,1,'Istoric_Nativ'!$D$6:$D$405,"&gt;="&amp;L831),IF(H831="AWAY",SUMIFS('Istoric_Nativ'!$H$6:$H$405,'Istoric_Nativ'!$B$6:$B$405,E831,'Istoric_Nativ'!$C$6:$C$405,F831,'Istoric_Nativ'!$F$6:$F$405,G831,'Istoric_Nativ'!$D$6:$D$405,"&lt;"&amp;J831,'Istoric_Nativ'!$P$6:$P$405,1,'Istoric_Nativ'!$D$6:$D$405,"&gt;="&amp;L831),SUMIFS('Istoric_Nativ'!$G$6:$G$405,'Istoric_Nativ'!$B$6:$B$405,E831,'Istoric_Nativ'!$C$6:$C$405,F831,'Istoric_Nativ'!$E$6:$E$405,G831,'Istoric_Nativ'!$D$6:$D$405,"&lt;"&amp;J831,'Istoric_Nativ'!$P$6:$P$405,1,'Istoric_Nativ'!$D$6:$D$405,"&gt;="&amp;L831)+SUMIFS('Istoric_Nativ'!$H$6:$H$405,'Istoric_Nativ'!$B$6:$B$405,E831,'Istoric_Nativ'!$C$6:$C$405,F831,'Istoric_Nativ'!$F$6:$F$405,G831,'Istoric_Nativ'!$D$6:$D$405,"&lt;"&amp;J831,'Istoric_Nativ'!$P$6:$P$405,1,'Istoric_Nativ'!$D$6:$D$405,"&gt;="&amp;L831)))/M831)</x:f>
      </x:c>
      <x:c r="O831" s="11" t="str">
        <x:f>IF(M831=0,"",IF(H831="HOME",SUMIFS('Istoric_Nativ'!$H$6:$H$405,'Istoric_Nativ'!$B$6:$B$405,E831,'Istoric_Nativ'!$C$6:$C$405,F831,'Istoric_Nativ'!$E$6:$E$405,G831,'Istoric_Nativ'!$D$6:$D$405,"&lt;"&amp;J831,'Istoric_Nativ'!$P$6:$P$405,1,'Istoric_Nativ'!$D$6:$D$405,"&gt;="&amp;L831),IF(H831="AWAY",SUMIFS('Istoric_Nativ'!$G$6:$G$405,'Istoric_Nativ'!$B$6:$B$405,E831,'Istoric_Nativ'!$C$6:$C$405,F831,'Istoric_Nativ'!$F$6:$F$405,G831,'Istoric_Nativ'!$D$6:$D$405,"&lt;"&amp;J831,'Istoric_Nativ'!$P$6:$P$405,1,'Istoric_Nativ'!$D$6:$D$405,"&gt;="&amp;L831),SUMIFS('Istoric_Nativ'!$H$6:$H$405,'Istoric_Nativ'!$B$6:$B$405,E831,'Istoric_Nativ'!$C$6:$C$405,F831,'Istoric_Nativ'!$E$6:$E$405,G831,'Istoric_Nativ'!$D$6:$D$405,"&lt;"&amp;J831,'Istoric_Nativ'!$P$6:$P$405,1,'Istoric_Nativ'!$D$6:$D$405,"&gt;="&amp;L831)+SUMIFS('Istoric_Nativ'!$G$6:$G$405,'Istoric_Nativ'!$B$6:$B$405,E831,'Istoric_Nativ'!$C$6:$C$405,F831,'Istoric_Nativ'!$F$6:$F$405,G831,'Istoric_Nativ'!$D$6:$D$405,"&lt;"&amp;J831,'Istoric_Nativ'!$P$6:$P$405,1,'Istoric_Nativ'!$D$6:$D$405,"&gt;="&amp;L831)))/M831)</x:f>
      </x:c>
      <x:c r="P831" s="2" t="n">
        <x:f>'Config_v6'!$B$7</x:f>
        <x:v>10</x:v>
      </x:c>
      <x:c r="Q831" s="2" t="n">
        <x:f>IF(OR(B831="",F831=""),0,IFERROR(MATCH(E831&amp;"|"&amp;F831,SourceTable[Source_Key],0),0))</x:f>
        <x:v>0</x:v>
      </x:c>
      <x:c r="R831" s="2" t="str">
        <x:f>IF(B831="","",IF(F831="","UNUSED",IF(Q831=0,"NOT CHECKED",IF(COUNTIF(SourceTable[Source_Key],E831&amp;"|"&amp;F831)&lt;&gt;1,"SOURCE CONFLICT",IF(NOT(OR(INDEX(SourceTable[Status],MAX(1,Q831))="IMPORTED",INDEX(SourceTable[Status],MAX(1,Q831))="PARTIAL",INDEX(SourceTable[Status],MAX(1,Q831))="SOURCE CONFLICT")),"ACCESS BLOCKED",IF(OR(INDEX(SourceTable[Coverage],Q831)&lt;&gt;"FULL SEASON EXPORT",INDEX(SourceTable[URL],Q831)="",INDEX(SourceTable[SHA256],Q831)=""),"EVIDENCE INCOMPLETE",IF(AND('Input_Meci'!H74="LIVE",INDEX(SourceTable[Retrieved_UTC],Q831)&gt;'Input_Meci'!G74),"POST CUTOFF","CLOSED")))))))</x:f>
      </x:c>
      <x:c r="S831" s="2" t="n">
        <x:f>IF(OR(B831="",F831=""),0,COUNTIFS('Istoric_Nativ'!$B$6:$B$405,E831,'Istoric_Nativ'!$C$6:$C$405,F831,'Istoric_Nativ'!$E$6:$E$405,G831,'Istoric_Nativ'!$D$6:$D$405,"&lt;"&amp;J831,'Istoric_Nativ'!$O$6:$O$405,"INVALID")+COUNTIFS('Istoric_Nativ'!$B$6:$B$405,E831,'Istoric_Nativ'!$C$6:$C$405,F831,'Istoric_Nativ'!$E$6:$E$405,G831,'Istoric_Nativ'!$O$6:$O$405,"INVALID",'Istoric_Nativ'!$D$6:$D$405,"*")+COUNTIFS('Istoric_Nativ'!$B$6:$B$405,E831,'Istoric_Nativ'!$C$6:$C$405,F831,'Istoric_Nativ'!$E$6:$E$405,G831,'Istoric_Nativ'!$D$6:$D$405,"&lt;"&amp;J831,'Istoric_Nativ'!$O$6:$O$405,"SOURCE CONFLICT")+COUNTIFS('Istoric_Nativ'!$B$6:$B$405,E831,'Istoric_Nativ'!$C$6:$C$405,F831,'Istoric_Nativ'!$F$6:$F$405,G831,'Istoric_Nativ'!$D$6:$D$405,"&lt;"&amp;J831,'Istoric_Nativ'!$O$6:$O$405,"INVALID")+COUNTIFS('Istoric_Nativ'!$B$6:$B$405,E831,'Istoric_Nativ'!$C$6:$C$405,F831,'Istoric_Nativ'!$F$6:$F$405,G831,'Istoric_Nativ'!$O$6:$O$405,"INVALID",'Istoric_Nativ'!$D$6:$D$405,"*")+COUNTIFS('Istoric_Nativ'!$B$6:$B$405,E831,'Istoric_Nativ'!$C$6:$C$405,F831,'Istoric_Nativ'!$F$6:$F$405,G831,'Istoric_Nativ'!$D$6:$D$405,"&lt;"&amp;J831,'Istoric_Nativ'!$O$6:$O$405,"SOURCE CONFLICT"))</x:f>
        <x:v>0</x:v>
      </x:c>
      <x:c r="T831" s="2" t="str">
        <x:f>IF(B831="","",IF(R831&lt;&gt;"CLOSED",R831,IF(S831&gt;0,"NATIVE INPUT ISSUE",IF(M831=0,"NO HISTORY",IF(M831&lt;P831,"SMALL SAMPLE","DERIVED")))))</x:f>
      </x:c>
      <x:c r="U831" s="2" t="str">
        <x:f>IF(B831="","","NativeTable; "&amp;E831&amp;"; "&amp;F831&amp;"; "&amp;G831&amp;"; "&amp;H831&amp;"; before "&amp;TEXT(J831,"yyyy-mm-dd")&amp;IF(I831="RECENT","; from "&amp;TEXT(L831,"yyyy-mm-dd"),""))</x:f>
      </x:c>
    </x:row>
    <x:row r="832" ht="21" customHeight="1">
      <x:c r="A832" s="2" t="n">
        <x:v>69</x:v>
      </x:c>
      <x:c r="B832" s="2" t="str">
        <x:f>IF('Input_Meci'!A74="","",'Input_Meci'!A74)</x:f>
      </x:c>
      <x:c r="C832" s="2" t="str">
        <x:v>A</x:v>
      </x:c>
      <x:c r="D832" s="2" t="str">
        <x:v>PRIOR</x:v>
      </x:c>
      <x:c r="E832" s="2" t="str">
        <x:f>IF(B832="","",'Input_Meci'!B74)</x:f>
      </x:c>
      <x:c r="F832" s="2" t="str">
        <x:f>IF(B832="","",IF('Input_Meci'!K74="","",'Input_Meci'!K74))</x:f>
      </x:c>
      <x:c r="G832" s="2" t="str">
        <x:f>IF(B832="","",'Input_Meci'!E74)</x:f>
      </x:c>
      <x:c r="H832" s="2" t="str">
        <x:v>AWAY</x:v>
      </x:c>
      <x:c r="I832" s="2" t="str">
        <x:v>HA</x:v>
      </x:c>
      <x:c r="J832" s="9" t="n">
        <x:f>IF(AND(B832&lt;&gt;"",ISNUMBER('Input_Meci'!G74)),INT('Input_Meci'!G74),0)</x:f>
        <x:v>0</x:v>
      </x:c>
      <x:c r="K832" s="2" t="n">
        <x:f>IF(OR(B832="",F832=""),0,IF(H832="HOME",COUNTIFS('Istoric_Nativ'!$B$6:$B$405,E832,'Istoric_Nativ'!$C$6:$C$405,F832,'Istoric_Nativ'!$E$6:$E$405,G832,'Istoric_Nativ'!$D$6:$D$405,"&lt;"&amp;J832,'Istoric_Nativ'!$P$6:$P$405,1),IF(H832="AWAY",COUNTIFS('Istoric_Nativ'!$B$6:$B$405,E832,'Istoric_Nativ'!$C$6:$C$405,F832,'Istoric_Nativ'!$F$6:$F$405,G832,'Istoric_Nativ'!$D$6:$D$405,"&lt;"&amp;J832,'Istoric_Nativ'!$P$6:$P$405,1),COUNTIFS('Istoric_Nativ'!$B$6:$B$405,E832,'Istoric_Nativ'!$C$6:$C$405,F832,'Istoric_Nativ'!$E$6:$E$405,G832,'Istoric_Nativ'!$D$6:$D$405,"&lt;"&amp;J832,'Istoric_Nativ'!$P$6:$P$405,1)+COUNTIFS('Istoric_Nativ'!$B$6:$B$405,E832,'Istoric_Nativ'!$C$6:$C$405,F832,'Istoric_Nativ'!$F$6:$F$405,G832,'Istoric_Nativ'!$D$6:$D$405,"&lt;"&amp;J832,'Istoric_Nativ'!$P$6:$P$405,1))))</x:f>
        <x:v>0</x:v>
      </x:c>
      <x:c r="L832" s="17" t="n">
        <x:f>IF(AND(B832&lt;&gt;"",I832="RECENT",K832&gt;0),LARGE(_xlfn._xlws.FILTER('Istoric_Nativ'!$D$6:$D$405,('Istoric_Nativ'!$B$6:$B$405=E832)*('Istoric_Nativ'!$C$6:$C$405=F832)*('Istoric_Nativ'!$P$6:$P$405=1)*('Istoric_Nativ'!$D$6:$D$405&lt;J832)*((('Istoric_Nativ'!$E$6:$E$405=G832)+('Istoric_Nativ'!$F$6:$F$405=G832))&gt;0)),MIN('Config_v6'!$B$54,K832)),0)</x:f>
        <x:v>0</x:v>
      </x:c>
      <x:c r="M832" s="2" t="n">
        <x:f>IF(OR(B832="",F832=""),0,IF(H832="HOME",COUNTIFS('Istoric_Nativ'!$B$6:$B$405,E832,'Istoric_Nativ'!$C$6:$C$405,F832,'Istoric_Nativ'!$E$6:$E$405,G832,'Istoric_Nativ'!$D$6:$D$405,"&lt;"&amp;J832,'Istoric_Nativ'!$P$6:$P$405,1,'Istoric_Nativ'!$D$6:$D$405,"&gt;="&amp;L832),IF(H832="AWAY",COUNTIFS('Istoric_Nativ'!$B$6:$B$405,E832,'Istoric_Nativ'!$C$6:$C$405,F832,'Istoric_Nativ'!$F$6:$F$405,G832,'Istoric_Nativ'!$D$6:$D$405,"&lt;"&amp;J832,'Istoric_Nativ'!$P$6:$P$405,1,'Istoric_Nativ'!$D$6:$D$405,"&gt;="&amp;L832),COUNTIFS('Istoric_Nativ'!$B$6:$B$405,E832,'Istoric_Nativ'!$C$6:$C$405,F832,'Istoric_Nativ'!$E$6:$E$405,G832,'Istoric_Nativ'!$D$6:$D$405,"&lt;"&amp;J832,'Istoric_Nativ'!$P$6:$P$405,1,'Istoric_Nativ'!$D$6:$D$405,"&gt;="&amp;L832)+COUNTIFS('Istoric_Nativ'!$B$6:$B$405,E832,'Istoric_Nativ'!$C$6:$C$405,F832,'Istoric_Nativ'!$F$6:$F$405,G832,'Istoric_Nativ'!$D$6:$D$405,"&lt;"&amp;J832,'Istoric_Nativ'!$P$6:$P$405,1,'Istoric_Nativ'!$D$6:$D$405,"&gt;="&amp;L832))))</x:f>
        <x:v>0</x:v>
      </x:c>
      <x:c r="N832" s="11" t="str">
        <x:f>IF(M832=0,"",IF(H832="HOME",SUMIFS('Istoric_Nativ'!$G$6:$G$405,'Istoric_Nativ'!$B$6:$B$405,E832,'Istoric_Nativ'!$C$6:$C$405,F832,'Istoric_Nativ'!$E$6:$E$405,G832,'Istoric_Nativ'!$D$6:$D$405,"&lt;"&amp;J832,'Istoric_Nativ'!$P$6:$P$405,1,'Istoric_Nativ'!$D$6:$D$405,"&gt;="&amp;L832),IF(H832="AWAY",SUMIFS('Istoric_Nativ'!$H$6:$H$405,'Istoric_Nativ'!$B$6:$B$405,E832,'Istoric_Nativ'!$C$6:$C$405,F832,'Istoric_Nativ'!$F$6:$F$405,G832,'Istoric_Nativ'!$D$6:$D$405,"&lt;"&amp;J832,'Istoric_Nativ'!$P$6:$P$405,1,'Istoric_Nativ'!$D$6:$D$405,"&gt;="&amp;L832),SUMIFS('Istoric_Nativ'!$G$6:$G$405,'Istoric_Nativ'!$B$6:$B$405,E832,'Istoric_Nativ'!$C$6:$C$405,F832,'Istoric_Nativ'!$E$6:$E$405,G832,'Istoric_Nativ'!$D$6:$D$405,"&lt;"&amp;J832,'Istoric_Nativ'!$P$6:$P$405,1,'Istoric_Nativ'!$D$6:$D$405,"&gt;="&amp;L832)+SUMIFS('Istoric_Nativ'!$H$6:$H$405,'Istoric_Nativ'!$B$6:$B$405,E832,'Istoric_Nativ'!$C$6:$C$405,F832,'Istoric_Nativ'!$F$6:$F$405,G832,'Istoric_Nativ'!$D$6:$D$405,"&lt;"&amp;J832,'Istoric_Nativ'!$P$6:$P$405,1,'Istoric_Nativ'!$D$6:$D$405,"&gt;="&amp;L832)))/M832)</x:f>
      </x:c>
      <x:c r="O832" s="11" t="str">
        <x:f>IF(M832=0,"",IF(H832="HOME",SUMIFS('Istoric_Nativ'!$H$6:$H$405,'Istoric_Nativ'!$B$6:$B$405,E832,'Istoric_Nativ'!$C$6:$C$405,F832,'Istoric_Nativ'!$E$6:$E$405,G832,'Istoric_Nativ'!$D$6:$D$405,"&lt;"&amp;J832,'Istoric_Nativ'!$P$6:$P$405,1,'Istoric_Nativ'!$D$6:$D$405,"&gt;="&amp;L832),IF(H832="AWAY",SUMIFS('Istoric_Nativ'!$G$6:$G$405,'Istoric_Nativ'!$B$6:$B$405,E832,'Istoric_Nativ'!$C$6:$C$405,F832,'Istoric_Nativ'!$F$6:$F$405,G832,'Istoric_Nativ'!$D$6:$D$405,"&lt;"&amp;J832,'Istoric_Nativ'!$P$6:$P$405,1,'Istoric_Nativ'!$D$6:$D$405,"&gt;="&amp;L832),SUMIFS('Istoric_Nativ'!$H$6:$H$405,'Istoric_Nativ'!$B$6:$B$405,E832,'Istoric_Nativ'!$C$6:$C$405,F832,'Istoric_Nativ'!$E$6:$E$405,G832,'Istoric_Nativ'!$D$6:$D$405,"&lt;"&amp;J832,'Istoric_Nativ'!$P$6:$P$405,1,'Istoric_Nativ'!$D$6:$D$405,"&gt;="&amp;L832)+SUMIFS('Istoric_Nativ'!$G$6:$G$405,'Istoric_Nativ'!$B$6:$B$405,E832,'Istoric_Nativ'!$C$6:$C$405,F832,'Istoric_Nativ'!$F$6:$F$405,G832,'Istoric_Nativ'!$D$6:$D$405,"&lt;"&amp;J832,'Istoric_Nativ'!$P$6:$P$405,1,'Istoric_Nativ'!$D$6:$D$405,"&gt;="&amp;L832)))/M832)</x:f>
      </x:c>
      <x:c r="P832" s="2" t="n">
        <x:f>'Config_v6'!$B$8</x:f>
        <x:v>5</x:v>
      </x:c>
      <x:c r="Q832" s="2" t="n">
        <x:f>IF(OR(B832="",F832=""),0,IFERROR(MATCH(E832&amp;"|"&amp;F832,SourceTable[Source_Key],0),0))</x:f>
        <x:v>0</x:v>
      </x:c>
      <x:c r="R832" s="2" t="str">
        <x:f>IF(B832="","",IF(F832="","UNUSED",IF(Q832=0,"NOT CHECKED",IF(COUNTIF(SourceTable[Source_Key],E832&amp;"|"&amp;F832)&lt;&gt;1,"SOURCE CONFLICT",IF(NOT(OR(INDEX(SourceTable[Status],MAX(1,Q832))="IMPORTED",INDEX(SourceTable[Status],MAX(1,Q832))="PARTIAL",INDEX(SourceTable[Status],MAX(1,Q832))="SOURCE CONFLICT")),"ACCESS BLOCKED",IF(OR(INDEX(SourceTable[Coverage],Q832)&lt;&gt;"FULL SEASON EXPORT",INDEX(SourceTable[URL],Q832)="",INDEX(SourceTable[SHA256],Q832)=""),"EVIDENCE INCOMPLETE",IF(AND('Input_Meci'!H74="LIVE",INDEX(SourceTable[Retrieved_UTC],Q832)&gt;'Input_Meci'!G74),"POST CUTOFF","CLOSED")))))))</x:f>
      </x:c>
      <x:c r="S832" s="2" t="n">
        <x:f>IF(OR(B832="",F832=""),0,COUNTIFS('Istoric_Nativ'!$B$6:$B$405,E832,'Istoric_Nativ'!$C$6:$C$405,F832,'Istoric_Nativ'!$E$6:$E$405,G832,'Istoric_Nativ'!$D$6:$D$405,"&lt;"&amp;J832,'Istoric_Nativ'!$O$6:$O$405,"INVALID")+COUNTIFS('Istoric_Nativ'!$B$6:$B$405,E832,'Istoric_Nativ'!$C$6:$C$405,F832,'Istoric_Nativ'!$E$6:$E$405,G832,'Istoric_Nativ'!$O$6:$O$405,"INVALID",'Istoric_Nativ'!$D$6:$D$405,"*")+COUNTIFS('Istoric_Nativ'!$B$6:$B$405,E832,'Istoric_Nativ'!$C$6:$C$405,F832,'Istoric_Nativ'!$E$6:$E$405,G832,'Istoric_Nativ'!$D$6:$D$405,"&lt;"&amp;J832,'Istoric_Nativ'!$O$6:$O$405,"SOURCE CONFLICT")+COUNTIFS('Istoric_Nativ'!$B$6:$B$405,E832,'Istoric_Nativ'!$C$6:$C$405,F832,'Istoric_Nativ'!$F$6:$F$405,G832,'Istoric_Nativ'!$D$6:$D$405,"&lt;"&amp;J832,'Istoric_Nativ'!$O$6:$O$405,"INVALID")+COUNTIFS('Istoric_Nativ'!$B$6:$B$405,E832,'Istoric_Nativ'!$C$6:$C$405,F832,'Istoric_Nativ'!$F$6:$F$405,G832,'Istoric_Nativ'!$O$6:$O$405,"INVALID",'Istoric_Nativ'!$D$6:$D$405,"*")+COUNTIFS('Istoric_Nativ'!$B$6:$B$405,E832,'Istoric_Nativ'!$C$6:$C$405,F832,'Istoric_Nativ'!$F$6:$F$405,G832,'Istoric_Nativ'!$D$6:$D$405,"&lt;"&amp;J832,'Istoric_Nativ'!$O$6:$O$405,"SOURCE CONFLICT"))</x:f>
        <x:v>0</x:v>
      </x:c>
      <x:c r="T832" s="2" t="str">
        <x:f>IF(B832="","",IF(R832&lt;&gt;"CLOSED",R832,IF(S832&gt;0,"NATIVE INPUT ISSUE",IF(M832=0,"NO HISTORY",IF(M832&lt;P832,"SMALL SAMPLE","DERIVED")))))</x:f>
      </x:c>
      <x:c r="U832" s="2" t="str">
        <x:f>IF(B832="","","NativeTable; "&amp;E832&amp;"; "&amp;F832&amp;"; "&amp;G832&amp;"; "&amp;H832&amp;"; before "&amp;TEXT(J832,"yyyy-mm-dd")&amp;IF(I832="RECENT","; from "&amp;TEXT(L832,"yyyy-mm-dd"),""))</x:f>
      </x:c>
    </x:row>
    <x:row r="833" ht="21" customHeight="1">
      <x:c r="A833" s="2" t="n">
        <x:v>69</x:v>
      </x:c>
      <x:c r="B833" s="2" t="str">
        <x:f>IF('Input_Meci'!A74="","",'Input_Meci'!A74)</x:f>
      </x:c>
      <x:c r="C833" s="2" t="str">
        <x:v>A</x:v>
      </x:c>
      <x:c r="D833" s="2" t="str">
        <x:v>PRIOR</x:v>
      </x:c>
      <x:c r="E833" s="2" t="str">
        <x:f>IF(B833="","",'Input_Meci'!B74)</x:f>
      </x:c>
      <x:c r="F833" s="2" t="str">
        <x:f>IF(B833="","",IF('Input_Meci'!K74="","",'Input_Meci'!K74))</x:f>
      </x:c>
      <x:c r="G833" s="2" t="str">
        <x:f>IF(B833="","",'Input_Meci'!E74)</x:f>
      </x:c>
      <x:c r="H833" s="2" t="str">
        <x:v>ANY</x:v>
      </x:c>
      <x:c r="I833" s="2" t="str">
        <x:v>RECENT</x:v>
      </x:c>
      <x:c r="J833" s="9" t="n">
        <x:f>IF(AND(B833&lt;&gt;"",ISNUMBER('Input_Meci'!G74)),INT('Input_Meci'!G74),0)</x:f>
        <x:v>0</x:v>
      </x:c>
      <x:c r="K833" s="2" t="n">
        <x:f>IF(OR(B833="",F833=""),0,IF(H833="HOME",COUNTIFS('Istoric_Nativ'!$B$6:$B$405,E833,'Istoric_Nativ'!$C$6:$C$405,F833,'Istoric_Nativ'!$E$6:$E$405,G833,'Istoric_Nativ'!$D$6:$D$405,"&lt;"&amp;J833,'Istoric_Nativ'!$P$6:$P$405,1),IF(H833="AWAY",COUNTIFS('Istoric_Nativ'!$B$6:$B$405,E833,'Istoric_Nativ'!$C$6:$C$405,F833,'Istoric_Nativ'!$F$6:$F$405,G833,'Istoric_Nativ'!$D$6:$D$405,"&lt;"&amp;J833,'Istoric_Nativ'!$P$6:$P$405,1),COUNTIFS('Istoric_Nativ'!$B$6:$B$405,E833,'Istoric_Nativ'!$C$6:$C$405,F833,'Istoric_Nativ'!$E$6:$E$405,G833,'Istoric_Nativ'!$D$6:$D$405,"&lt;"&amp;J833,'Istoric_Nativ'!$P$6:$P$405,1)+COUNTIFS('Istoric_Nativ'!$B$6:$B$405,E833,'Istoric_Nativ'!$C$6:$C$405,F833,'Istoric_Nativ'!$F$6:$F$405,G833,'Istoric_Nativ'!$D$6:$D$405,"&lt;"&amp;J833,'Istoric_Nativ'!$P$6:$P$405,1))))</x:f>
        <x:v>0</x:v>
      </x:c>
      <x:c r="L833" s="17" t="n">
        <x:f>IF(AND(B833&lt;&gt;"",I833="RECENT",K833&gt;0),LARGE(_xlfn._xlws.FILTER('Istoric_Nativ'!$D$6:$D$405,('Istoric_Nativ'!$B$6:$B$405=E833)*('Istoric_Nativ'!$C$6:$C$405=F833)*('Istoric_Nativ'!$P$6:$P$405=1)*('Istoric_Nativ'!$D$6:$D$405&lt;J833)*((('Istoric_Nativ'!$E$6:$E$405=G833)+('Istoric_Nativ'!$F$6:$F$405=G833))&gt;0)),MIN('Config_v6'!$B$54,K833)),0)</x:f>
        <x:v>0</x:v>
      </x:c>
      <x:c r="M833" s="2" t="n">
        <x:f>IF(OR(B833="",F833=""),0,IF(H833="HOME",COUNTIFS('Istoric_Nativ'!$B$6:$B$405,E833,'Istoric_Nativ'!$C$6:$C$405,F833,'Istoric_Nativ'!$E$6:$E$405,G833,'Istoric_Nativ'!$D$6:$D$405,"&lt;"&amp;J833,'Istoric_Nativ'!$P$6:$P$405,1,'Istoric_Nativ'!$D$6:$D$405,"&gt;="&amp;L833),IF(H833="AWAY",COUNTIFS('Istoric_Nativ'!$B$6:$B$405,E833,'Istoric_Nativ'!$C$6:$C$405,F833,'Istoric_Nativ'!$F$6:$F$405,G833,'Istoric_Nativ'!$D$6:$D$405,"&lt;"&amp;J833,'Istoric_Nativ'!$P$6:$P$405,1,'Istoric_Nativ'!$D$6:$D$405,"&gt;="&amp;L833),COUNTIFS('Istoric_Nativ'!$B$6:$B$405,E833,'Istoric_Nativ'!$C$6:$C$405,F833,'Istoric_Nativ'!$E$6:$E$405,G833,'Istoric_Nativ'!$D$6:$D$405,"&lt;"&amp;J833,'Istoric_Nativ'!$P$6:$P$405,1,'Istoric_Nativ'!$D$6:$D$405,"&gt;="&amp;L833)+COUNTIFS('Istoric_Nativ'!$B$6:$B$405,E833,'Istoric_Nativ'!$C$6:$C$405,F833,'Istoric_Nativ'!$F$6:$F$405,G833,'Istoric_Nativ'!$D$6:$D$405,"&lt;"&amp;J833,'Istoric_Nativ'!$P$6:$P$405,1,'Istoric_Nativ'!$D$6:$D$405,"&gt;="&amp;L833))))</x:f>
        <x:v>0</x:v>
      </x:c>
      <x:c r="N833" s="11" t="str">
        <x:f>IF(M833=0,"",IF(H833="HOME",SUMIFS('Istoric_Nativ'!$G$6:$G$405,'Istoric_Nativ'!$B$6:$B$405,E833,'Istoric_Nativ'!$C$6:$C$405,F833,'Istoric_Nativ'!$E$6:$E$405,G833,'Istoric_Nativ'!$D$6:$D$405,"&lt;"&amp;J833,'Istoric_Nativ'!$P$6:$P$405,1,'Istoric_Nativ'!$D$6:$D$405,"&gt;="&amp;L833),IF(H833="AWAY",SUMIFS('Istoric_Nativ'!$H$6:$H$405,'Istoric_Nativ'!$B$6:$B$405,E833,'Istoric_Nativ'!$C$6:$C$405,F833,'Istoric_Nativ'!$F$6:$F$405,G833,'Istoric_Nativ'!$D$6:$D$405,"&lt;"&amp;J833,'Istoric_Nativ'!$P$6:$P$405,1,'Istoric_Nativ'!$D$6:$D$405,"&gt;="&amp;L833),SUMIFS('Istoric_Nativ'!$G$6:$G$405,'Istoric_Nativ'!$B$6:$B$405,E833,'Istoric_Nativ'!$C$6:$C$405,F833,'Istoric_Nativ'!$E$6:$E$405,G833,'Istoric_Nativ'!$D$6:$D$405,"&lt;"&amp;J833,'Istoric_Nativ'!$P$6:$P$405,1,'Istoric_Nativ'!$D$6:$D$405,"&gt;="&amp;L833)+SUMIFS('Istoric_Nativ'!$H$6:$H$405,'Istoric_Nativ'!$B$6:$B$405,E833,'Istoric_Nativ'!$C$6:$C$405,F833,'Istoric_Nativ'!$F$6:$F$405,G833,'Istoric_Nativ'!$D$6:$D$405,"&lt;"&amp;J833,'Istoric_Nativ'!$P$6:$P$405,1,'Istoric_Nativ'!$D$6:$D$405,"&gt;="&amp;L833)))/M833)</x:f>
      </x:c>
      <x:c r="O833" s="11" t="str">
        <x:f>IF(M833=0,"",IF(H833="HOME",SUMIFS('Istoric_Nativ'!$H$6:$H$405,'Istoric_Nativ'!$B$6:$B$405,E833,'Istoric_Nativ'!$C$6:$C$405,F833,'Istoric_Nativ'!$E$6:$E$405,G833,'Istoric_Nativ'!$D$6:$D$405,"&lt;"&amp;J833,'Istoric_Nativ'!$P$6:$P$405,1,'Istoric_Nativ'!$D$6:$D$405,"&gt;="&amp;L833),IF(H833="AWAY",SUMIFS('Istoric_Nativ'!$G$6:$G$405,'Istoric_Nativ'!$B$6:$B$405,E833,'Istoric_Nativ'!$C$6:$C$405,F833,'Istoric_Nativ'!$F$6:$F$405,G833,'Istoric_Nativ'!$D$6:$D$405,"&lt;"&amp;J833,'Istoric_Nativ'!$P$6:$P$405,1,'Istoric_Nativ'!$D$6:$D$405,"&gt;="&amp;L833),SUMIFS('Istoric_Nativ'!$H$6:$H$405,'Istoric_Nativ'!$B$6:$B$405,E833,'Istoric_Nativ'!$C$6:$C$405,F833,'Istoric_Nativ'!$E$6:$E$405,G833,'Istoric_Nativ'!$D$6:$D$405,"&lt;"&amp;J833,'Istoric_Nativ'!$P$6:$P$405,1,'Istoric_Nativ'!$D$6:$D$405,"&gt;="&amp;L833)+SUMIFS('Istoric_Nativ'!$G$6:$G$405,'Istoric_Nativ'!$B$6:$B$405,E833,'Istoric_Nativ'!$C$6:$C$405,F833,'Istoric_Nativ'!$F$6:$F$405,G833,'Istoric_Nativ'!$D$6:$D$405,"&lt;"&amp;J833,'Istoric_Nativ'!$P$6:$P$405,1,'Istoric_Nativ'!$D$6:$D$405,"&gt;="&amp;L833)))/M833)</x:f>
      </x:c>
      <x:c r="P833" s="2" t="n">
        <x:f>'Config_v6'!$B$9</x:f>
        <x:v>3</x:v>
      </x:c>
      <x:c r="Q833" s="2" t="n">
        <x:f>IF(OR(B833="",F833=""),0,IFERROR(MATCH(E833&amp;"|"&amp;F833,SourceTable[Source_Key],0),0))</x:f>
        <x:v>0</x:v>
      </x:c>
      <x:c r="R833" s="2" t="str">
        <x:f>IF(B833="","",IF(F833="","UNUSED",IF(Q833=0,"NOT CHECKED",IF(COUNTIF(SourceTable[Source_Key],E833&amp;"|"&amp;F833)&lt;&gt;1,"SOURCE CONFLICT",IF(NOT(OR(INDEX(SourceTable[Status],MAX(1,Q833))="IMPORTED",INDEX(SourceTable[Status],MAX(1,Q833))="PARTIAL",INDEX(SourceTable[Status],MAX(1,Q833))="SOURCE CONFLICT")),"ACCESS BLOCKED",IF(OR(INDEX(SourceTable[Coverage],Q833)&lt;&gt;"FULL SEASON EXPORT",INDEX(SourceTable[URL],Q833)="",INDEX(SourceTable[SHA256],Q833)=""),"EVIDENCE INCOMPLETE",IF(AND('Input_Meci'!H74="LIVE",INDEX(SourceTable[Retrieved_UTC],Q833)&gt;'Input_Meci'!G74),"POST CUTOFF","CLOSED")))))))</x:f>
      </x:c>
      <x:c r="S833" s="2" t="n">
        <x:f>IF(OR(B833="",F833=""),0,COUNTIFS('Istoric_Nativ'!$B$6:$B$405,E833,'Istoric_Nativ'!$C$6:$C$405,F833,'Istoric_Nativ'!$E$6:$E$405,G833,'Istoric_Nativ'!$D$6:$D$405,"&lt;"&amp;J833,'Istoric_Nativ'!$O$6:$O$405,"INVALID")+COUNTIFS('Istoric_Nativ'!$B$6:$B$405,E833,'Istoric_Nativ'!$C$6:$C$405,F833,'Istoric_Nativ'!$E$6:$E$405,G833,'Istoric_Nativ'!$O$6:$O$405,"INVALID",'Istoric_Nativ'!$D$6:$D$405,"*")+COUNTIFS('Istoric_Nativ'!$B$6:$B$405,E833,'Istoric_Nativ'!$C$6:$C$405,F833,'Istoric_Nativ'!$E$6:$E$405,G833,'Istoric_Nativ'!$D$6:$D$405,"&lt;"&amp;J833,'Istoric_Nativ'!$O$6:$O$405,"SOURCE CONFLICT")+COUNTIFS('Istoric_Nativ'!$B$6:$B$405,E833,'Istoric_Nativ'!$C$6:$C$405,F833,'Istoric_Nativ'!$F$6:$F$405,G833,'Istoric_Nativ'!$D$6:$D$405,"&lt;"&amp;J833,'Istoric_Nativ'!$O$6:$O$405,"INVALID")+COUNTIFS('Istoric_Nativ'!$B$6:$B$405,E833,'Istoric_Nativ'!$C$6:$C$405,F833,'Istoric_Nativ'!$F$6:$F$405,G833,'Istoric_Nativ'!$O$6:$O$405,"INVALID",'Istoric_Nativ'!$D$6:$D$405,"*")+COUNTIFS('Istoric_Nativ'!$B$6:$B$405,E833,'Istoric_Nativ'!$C$6:$C$405,F833,'Istoric_Nativ'!$F$6:$F$405,G833,'Istoric_Nativ'!$D$6:$D$405,"&lt;"&amp;J833,'Istoric_Nativ'!$O$6:$O$405,"SOURCE CONFLICT"))</x:f>
        <x:v>0</x:v>
      </x:c>
      <x:c r="T833" s="2" t="str">
        <x:f>IF(B833="","",IF(R833&lt;&gt;"CLOSED",R833,IF(S833&gt;0,"NATIVE INPUT ISSUE",IF(M833=0,"NO HISTORY",IF(M833&lt;P833,"SMALL SAMPLE","DERIVED")))))</x:f>
      </x:c>
      <x:c r="U833" s="2" t="str">
        <x:f>IF(B833="","","NativeTable; "&amp;E833&amp;"; "&amp;F833&amp;"; "&amp;G833&amp;"; "&amp;H833&amp;"; before "&amp;TEXT(J833,"yyyy-mm-dd")&amp;IF(I833="RECENT","; from "&amp;TEXT(L833,"yyyy-mm-dd"),""))</x:f>
      </x:c>
    </x:row>
    <x:row r="834" ht="21" customHeight="1">
      <x:c r="A834" s="2" t="n">
        <x:v>70</x:v>
      </x:c>
      <x:c r="B834" s="2" t="str">
        <x:f>IF('Input_Meci'!A75="","",'Input_Meci'!A75)</x:f>
      </x:c>
      <x:c r="C834" s="2" t="str">
        <x:v>H</x:v>
      </x:c>
      <x:c r="D834" s="2" t="str">
        <x:v>CURRENT</x:v>
      </x:c>
      <x:c r="E834" s="2" t="str">
        <x:f>IF(B834="","",'Input_Meci'!B75)</x:f>
      </x:c>
      <x:c r="F834" s="2" t="str">
        <x:f>IF(B834="","",IF('Input_Meci'!C75="","",'Input_Meci'!C75))</x:f>
      </x:c>
      <x:c r="G834" s="2" t="str">
        <x:f>IF(B834="","",'Input_Meci'!D75)</x:f>
      </x:c>
      <x:c r="H834" s="2" t="str">
        <x:v>ANY</x:v>
      </x:c>
      <x:c r="I834" s="2" t="str">
        <x:v>SEASON</x:v>
      </x:c>
      <x:c r="J834" s="9" t="n">
        <x:f>IF(AND(B834&lt;&gt;"",ISNUMBER('Input_Meci'!G75)),INT('Input_Meci'!G75),0)</x:f>
        <x:v>0</x:v>
      </x:c>
      <x:c r="K834" s="2" t="n">
        <x:f>IF(OR(B834="",F834=""),0,IF(H834="HOME",COUNTIFS('Istoric_Nativ'!$B$6:$B$405,E834,'Istoric_Nativ'!$C$6:$C$405,F834,'Istoric_Nativ'!$E$6:$E$405,G834,'Istoric_Nativ'!$D$6:$D$405,"&lt;"&amp;J834,'Istoric_Nativ'!$P$6:$P$405,1),IF(H834="AWAY",COUNTIFS('Istoric_Nativ'!$B$6:$B$405,E834,'Istoric_Nativ'!$C$6:$C$405,F834,'Istoric_Nativ'!$F$6:$F$405,G834,'Istoric_Nativ'!$D$6:$D$405,"&lt;"&amp;J834,'Istoric_Nativ'!$P$6:$P$405,1),COUNTIFS('Istoric_Nativ'!$B$6:$B$405,E834,'Istoric_Nativ'!$C$6:$C$405,F834,'Istoric_Nativ'!$E$6:$E$405,G834,'Istoric_Nativ'!$D$6:$D$405,"&lt;"&amp;J834,'Istoric_Nativ'!$P$6:$P$405,1)+COUNTIFS('Istoric_Nativ'!$B$6:$B$405,E834,'Istoric_Nativ'!$C$6:$C$405,F834,'Istoric_Nativ'!$F$6:$F$405,G834,'Istoric_Nativ'!$D$6:$D$405,"&lt;"&amp;J834,'Istoric_Nativ'!$P$6:$P$405,1))))</x:f>
        <x:v>0</x:v>
      </x:c>
      <x:c r="L834" s="17" t="n">
        <x:f>IF(AND(B834&lt;&gt;"",I834="RECENT",K834&gt;0),LARGE(_xlfn._xlws.FILTER('Istoric_Nativ'!$D$6:$D$405,('Istoric_Nativ'!$B$6:$B$405=E834)*('Istoric_Nativ'!$C$6:$C$405=F834)*('Istoric_Nativ'!$P$6:$P$405=1)*('Istoric_Nativ'!$D$6:$D$405&lt;J834)*((('Istoric_Nativ'!$E$6:$E$405=G834)+('Istoric_Nativ'!$F$6:$F$405=G834))&gt;0)),MIN('Config_v6'!$B$54,K834)),0)</x:f>
        <x:v>0</x:v>
      </x:c>
      <x:c r="M834" s="2" t="n">
        <x:f>IF(OR(B834="",F834=""),0,IF(H834="HOME",COUNTIFS('Istoric_Nativ'!$B$6:$B$405,E834,'Istoric_Nativ'!$C$6:$C$405,F834,'Istoric_Nativ'!$E$6:$E$405,G834,'Istoric_Nativ'!$D$6:$D$405,"&lt;"&amp;J834,'Istoric_Nativ'!$P$6:$P$405,1,'Istoric_Nativ'!$D$6:$D$405,"&gt;="&amp;L834),IF(H834="AWAY",COUNTIFS('Istoric_Nativ'!$B$6:$B$405,E834,'Istoric_Nativ'!$C$6:$C$405,F834,'Istoric_Nativ'!$F$6:$F$405,G834,'Istoric_Nativ'!$D$6:$D$405,"&lt;"&amp;J834,'Istoric_Nativ'!$P$6:$P$405,1,'Istoric_Nativ'!$D$6:$D$405,"&gt;="&amp;L834),COUNTIFS('Istoric_Nativ'!$B$6:$B$405,E834,'Istoric_Nativ'!$C$6:$C$405,F834,'Istoric_Nativ'!$E$6:$E$405,G834,'Istoric_Nativ'!$D$6:$D$405,"&lt;"&amp;J834,'Istoric_Nativ'!$P$6:$P$405,1,'Istoric_Nativ'!$D$6:$D$405,"&gt;="&amp;L834)+COUNTIFS('Istoric_Nativ'!$B$6:$B$405,E834,'Istoric_Nativ'!$C$6:$C$405,F834,'Istoric_Nativ'!$F$6:$F$405,G834,'Istoric_Nativ'!$D$6:$D$405,"&lt;"&amp;J834,'Istoric_Nativ'!$P$6:$P$405,1,'Istoric_Nativ'!$D$6:$D$405,"&gt;="&amp;L834))))</x:f>
        <x:v>0</x:v>
      </x:c>
      <x:c r="N834" s="11" t="str">
        <x:f>IF(M834=0,"",IF(H834="HOME",SUMIFS('Istoric_Nativ'!$G$6:$G$405,'Istoric_Nativ'!$B$6:$B$405,E834,'Istoric_Nativ'!$C$6:$C$405,F834,'Istoric_Nativ'!$E$6:$E$405,G834,'Istoric_Nativ'!$D$6:$D$405,"&lt;"&amp;J834,'Istoric_Nativ'!$P$6:$P$405,1,'Istoric_Nativ'!$D$6:$D$405,"&gt;="&amp;L834),IF(H834="AWAY",SUMIFS('Istoric_Nativ'!$H$6:$H$405,'Istoric_Nativ'!$B$6:$B$405,E834,'Istoric_Nativ'!$C$6:$C$405,F834,'Istoric_Nativ'!$F$6:$F$405,G834,'Istoric_Nativ'!$D$6:$D$405,"&lt;"&amp;J834,'Istoric_Nativ'!$P$6:$P$405,1,'Istoric_Nativ'!$D$6:$D$405,"&gt;="&amp;L834),SUMIFS('Istoric_Nativ'!$G$6:$G$405,'Istoric_Nativ'!$B$6:$B$405,E834,'Istoric_Nativ'!$C$6:$C$405,F834,'Istoric_Nativ'!$E$6:$E$405,G834,'Istoric_Nativ'!$D$6:$D$405,"&lt;"&amp;J834,'Istoric_Nativ'!$P$6:$P$405,1,'Istoric_Nativ'!$D$6:$D$405,"&gt;="&amp;L834)+SUMIFS('Istoric_Nativ'!$H$6:$H$405,'Istoric_Nativ'!$B$6:$B$405,E834,'Istoric_Nativ'!$C$6:$C$405,F834,'Istoric_Nativ'!$F$6:$F$405,G834,'Istoric_Nativ'!$D$6:$D$405,"&lt;"&amp;J834,'Istoric_Nativ'!$P$6:$P$405,1,'Istoric_Nativ'!$D$6:$D$405,"&gt;="&amp;L834)))/M834)</x:f>
      </x:c>
      <x:c r="O834" s="11" t="str">
        <x:f>IF(M834=0,"",IF(H834="HOME",SUMIFS('Istoric_Nativ'!$H$6:$H$405,'Istoric_Nativ'!$B$6:$B$405,E834,'Istoric_Nativ'!$C$6:$C$405,F834,'Istoric_Nativ'!$E$6:$E$405,G834,'Istoric_Nativ'!$D$6:$D$405,"&lt;"&amp;J834,'Istoric_Nativ'!$P$6:$P$405,1,'Istoric_Nativ'!$D$6:$D$405,"&gt;="&amp;L834),IF(H834="AWAY",SUMIFS('Istoric_Nativ'!$G$6:$G$405,'Istoric_Nativ'!$B$6:$B$405,E834,'Istoric_Nativ'!$C$6:$C$405,F834,'Istoric_Nativ'!$F$6:$F$405,G834,'Istoric_Nativ'!$D$6:$D$405,"&lt;"&amp;J834,'Istoric_Nativ'!$P$6:$P$405,1,'Istoric_Nativ'!$D$6:$D$405,"&gt;="&amp;L834),SUMIFS('Istoric_Nativ'!$H$6:$H$405,'Istoric_Nativ'!$B$6:$B$405,E834,'Istoric_Nativ'!$C$6:$C$405,F834,'Istoric_Nativ'!$E$6:$E$405,G834,'Istoric_Nativ'!$D$6:$D$405,"&lt;"&amp;J834,'Istoric_Nativ'!$P$6:$P$405,1,'Istoric_Nativ'!$D$6:$D$405,"&gt;="&amp;L834)+SUMIFS('Istoric_Nativ'!$G$6:$G$405,'Istoric_Nativ'!$B$6:$B$405,E834,'Istoric_Nativ'!$C$6:$C$405,F834,'Istoric_Nativ'!$F$6:$F$405,G834,'Istoric_Nativ'!$D$6:$D$405,"&lt;"&amp;J834,'Istoric_Nativ'!$P$6:$P$405,1,'Istoric_Nativ'!$D$6:$D$405,"&gt;="&amp;L834)))/M834)</x:f>
      </x:c>
      <x:c r="P834" s="2" t="n">
        <x:f>'Config_v6'!$B$7</x:f>
        <x:v>10</x:v>
      </x:c>
      <x:c r="Q834" s="2" t="n">
        <x:f>IF(OR(B834="",F834=""),0,IFERROR(MATCH(E834&amp;"|"&amp;F834,SourceTable[Source_Key],0),0))</x:f>
        <x:v>0</x:v>
      </x:c>
      <x:c r="R834" s="2" t="str">
        <x:f>IF(B834="","",IF(F834="","UNUSED",IF(Q834=0,"NOT CHECKED",IF(COUNTIF(SourceTable[Source_Key],E834&amp;"|"&amp;F834)&lt;&gt;1,"SOURCE CONFLICT",IF(NOT(OR(INDEX(SourceTable[Status],MAX(1,Q834))="IMPORTED",INDEX(SourceTable[Status],MAX(1,Q834))="PARTIAL",INDEX(SourceTable[Status],MAX(1,Q834))="SOURCE CONFLICT")),"ACCESS BLOCKED",IF(OR(INDEX(SourceTable[Coverage],Q834)&lt;&gt;"FULL SEASON EXPORT",INDEX(SourceTable[URL],Q834)="",INDEX(SourceTable[SHA256],Q834)=""),"EVIDENCE INCOMPLETE",IF(AND('Input_Meci'!H75="LIVE",INDEX(SourceTable[Retrieved_UTC],Q834)&gt;'Input_Meci'!G75),"POST CUTOFF","CLOSED")))))))</x:f>
      </x:c>
      <x:c r="S834" s="2" t="n">
        <x:f>IF(OR(B834="",F834=""),0,COUNTIFS('Istoric_Nativ'!$B$6:$B$405,E834,'Istoric_Nativ'!$C$6:$C$405,F834,'Istoric_Nativ'!$E$6:$E$405,G834,'Istoric_Nativ'!$D$6:$D$405,"&lt;"&amp;J834,'Istoric_Nativ'!$O$6:$O$405,"INVALID")+COUNTIFS('Istoric_Nativ'!$B$6:$B$405,E834,'Istoric_Nativ'!$C$6:$C$405,F834,'Istoric_Nativ'!$E$6:$E$405,G834,'Istoric_Nativ'!$O$6:$O$405,"INVALID",'Istoric_Nativ'!$D$6:$D$405,"*")+COUNTIFS('Istoric_Nativ'!$B$6:$B$405,E834,'Istoric_Nativ'!$C$6:$C$405,F834,'Istoric_Nativ'!$E$6:$E$405,G834,'Istoric_Nativ'!$D$6:$D$405,"&lt;"&amp;J834,'Istoric_Nativ'!$O$6:$O$405,"SOURCE CONFLICT")+COUNTIFS('Istoric_Nativ'!$B$6:$B$405,E834,'Istoric_Nativ'!$C$6:$C$405,F834,'Istoric_Nativ'!$F$6:$F$405,G834,'Istoric_Nativ'!$D$6:$D$405,"&lt;"&amp;J834,'Istoric_Nativ'!$O$6:$O$405,"INVALID")+COUNTIFS('Istoric_Nativ'!$B$6:$B$405,E834,'Istoric_Nativ'!$C$6:$C$405,F834,'Istoric_Nativ'!$F$6:$F$405,G834,'Istoric_Nativ'!$O$6:$O$405,"INVALID",'Istoric_Nativ'!$D$6:$D$405,"*")+COUNTIFS('Istoric_Nativ'!$B$6:$B$405,E834,'Istoric_Nativ'!$C$6:$C$405,F834,'Istoric_Nativ'!$F$6:$F$405,G834,'Istoric_Nativ'!$D$6:$D$405,"&lt;"&amp;J834,'Istoric_Nativ'!$O$6:$O$405,"SOURCE CONFLICT"))</x:f>
        <x:v>0</x:v>
      </x:c>
      <x:c r="T834" s="2" t="str">
        <x:f>IF(B834="","",IF(R834&lt;&gt;"CLOSED",R834,IF(S834&gt;0,"NATIVE INPUT ISSUE",IF(M834=0,"NO HISTORY",IF(M834&lt;P834,"SMALL SAMPLE","DERIVED")))))</x:f>
      </x:c>
      <x:c r="U834" s="2" t="str">
        <x:f>IF(B834="","","NativeTable; "&amp;E834&amp;"; "&amp;F834&amp;"; "&amp;G834&amp;"; "&amp;H834&amp;"; before "&amp;TEXT(J834,"yyyy-mm-dd")&amp;IF(I834="RECENT","; from "&amp;TEXT(L834,"yyyy-mm-dd"),""))</x:f>
      </x:c>
    </x:row>
    <x:row r="835" ht="21" customHeight="1">
      <x:c r="A835" s="2" t="n">
        <x:v>70</x:v>
      </x:c>
      <x:c r="B835" s="2" t="str">
        <x:f>IF('Input_Meci'!A75="","",'Input_Meci'!A75)</x:f>
      </x:c>
      <x:c r="C835" s="2" t="str">
        <x:v>H</x:v>
      </x:c>
      <x:c r="D835" s="2" t="str">
        <x:v>CURRENT</x:v>
      </x:c>
      <x:c r="E835" s="2" t="str">
        <x:f>IF(B835="","",'Input_Meci'!B75)</x:f>
      </x:c>
      <x:c r="F835" s="2" t="str">
        <x:f>IF(B835="","",IF('Input_Meci'!C75="","",'Input_Meci'!C75))</x:f>
      </x:c>
      <x:c r="G835" s="2" t="str">
        <x:f>IF(B835="","",'Input_Meci'!D75)</x:f>
      </x:c>
      <x:c r="H835" s="2" t="str">
        <x:v>HOME</x:v>
      </x:c>
      <x:c r="I835" s="2" t="str">
        <x:v>HA</x:v>
      </x:c>
      <x:c r="J835" s="9" t="n">
        <x:f>IF(AND(B835&lt;&gt;"",ISNUMBER('Input_Meci'!G75)),INT('Input_Meci'!G75),0)</x:f>
        <x:v>0</x:v>
      </x:c>
      <x:c r="K835" s="2" t="n">
        <x:f>IF(OR(B835="",F835=""),0,IF(H835="HOME",COUNTIFS('Istoric_Nativ'!$B$6:$B$405,E835,'Istoric_Nativ'!$C$6:$C$405,F835,'Istoric_Nativ'!$E$6:$E$405,G835,'Istoric_Nativ'!$D$6:$D$405,"&lt;"&amp;J835,'Istoric_Nativ'!$P$6:$P$405,1),IF(H835="AWAY",COUNTIFS('Istoric_Nativ'!$B$6:$B$405,E835,'Istoric_Nativ'!$C$6:$C$405,F835,'Istoric_Nativ'!$F$6:$F$405,G835,'Istoric_Nativ'!$D$6:$D$405,"&lt;"&amp;J835,'Istoric_Nativ'!$P$6:$P$405,1),COUNTIFS('Istoric_Nativ'!$B$6:$B$405,E835,'Istoric_Nativ'!$C$6:$C$405,F835,'Istoric_Nativ'!$E$6:$E$405,G835,'Istoric_Nativ'!$D$6:$D$405,"&lt;"&amp;J835,'Istoric_Nativ'!$P$6:$P$405,1)+COUNTIFS('Istoric_Nativ'!$B$6:$B$405,E835,'Istoric_Nativ'!$C$6:$C$405,F835,'Istoric_Nativ'!$F$6:$F$405,G835,'Istoric_Nativ'!$D$6:$D$405,"&lt;"&amp;J835,'Istoric_Nativ'!$P$6:$P$405,1))))</x:f>
        <x:v>0</x:v>
      </x:c>
      <x:c r="L835" s="17" t="n">
        <x:f>IF(AND(B835&lt;&gt;"",I835="RECENT",K835&gt;0),LARGE(_xlfn._xlws.FILTER('Istoric_Nativ'!$D$6:$D$405,('Istoric_Nativ'!$B$6:$B$405=E835)*('Istoric_Nativ'!$C$6:$C$405=F835)*('Istoric_Nativ'!$P$6:$P$405=1)*('Istoric_Nativ'!$D$6:$D$405&lt;J835)*((('Istoric_Nativ'!$E$6:$E$405=G835)+('Istoric_Nativ'!$F$6:$F$405=G835))&gt;0)),MIN('Config_v6'!$B$54,K835)),0)</x:f>
        <x:v>0</x:v>
      </x:c>
      <x:c r="M835" s="2" t="n">
        <x:f>IF(OR(B835="",F835=""),0,IF(H835="HOME",COUNTIFS('Istoric_Nativ'!$B$6:$B$405,E835,'Istoric_Nativ'!$C$6:$C$405,F835,'Istoric_Nativ'!$E$6:$E$405,G835,'Istoric_Nativ'!$D$6:$D$405,"&lt;"&amp;J835,'Istoric_Nativ'!$P$6:$P$405,1,'Istoric_Nativ'!$D$6:$D$405,"&gt;="&amp;L835),IF(H835="AWAY",COUNTIFS('Istoric_Nativ'!$B$6:$B$405,E835,'Istoric_Nativ'!$C$6:$C$405,F835,'Istoric_Nativ'!$F$6:$F$405,G835,'Istoric_Nativ'!$D$6:$D$405,"&lt;"&amp;J835,'Istoric_Nativ'!$P$6:$P$405,1,'Istoric_Nativ'!$D$6:$D$405,"&gt;="&amp;L835),COUNTIFS('Istoric_Nativ'!$B$6:$B$405,E835,'Istoric_Nativ'!$C$6:$C$405,F835,'Istoric_Nativ'!$E$6:$E$405,G835,'Istoric_Nativ'!$D$6:$D$405,"&lt;"&amp;J835,'Istoric_Nativ'!$P$6:$P$405,1,'Istoric_Nativ'!$D$6:$D$405,"&gt;="&amp;L835)+COUNTIFS('Istoric_Nativ'!$B$6:$B$405,E835,'Istoric_Nativ'!$C$6:$C$405,F835,'Istoric_Nativ'!$F$6:$F$405,G835,'Istoric_Nativ'!$D$6:$D$405,"&lt;"&amp;J835,'Istoric_Nativ'!$P$6:$P$405,1,'Istoric_Nativ'!$D$6:$D$405,"&gt;="&amp;L835))))</x:f>
        <x:v>0</x:v>
      </x:c>
      <x:c r="N835" s="11" t="str">
        <x:f>IF(M835=0,"",IF(H835="HOME",SUMIFS('Istoric_Nativ'!$G$6:$G$405,'Istoric_Nativ'!$B$6:$B$405,E835,'Istoric_Nativ'!$C$6:$C$405,F835,'Istoric_Nativ'!$E$6:$E$405,G835,'Istoric_Nativ'!$D$6:$D$405,"&lt;"&amp;J835,'Istoric_Nativ'!$P$6:$P$405,1,'Istoric_Nativ'!$D$6:$D$405,"&gt;="&amp;L835),IF(H835="AWAY",SUMIFS('Istoric_Nativ'!$H$6:$H$405,'Istoric_Nativ'!$B$6:$B$405,E835,'Istoric_Nativ'!$C$6:$C$405,F835,'Istoric_Nativ'!$F$6:$F$405,G835,'Istoric_Nativ'!$D$6:$D$405,"&lt;"&amp;J835,'Istoric_Nativ'!$P$6:$P$405,1,'Istoric_Nativ'!$D$6:$D$405,"&gt;="&amp;L835),SUMIFS('Istoric_Nativ'!$G$6:$G$405,'Istoric_Nativ'!$B$6:$B$405,E835,'Istoric_Nativ'!$C$6:$C$405,F835,'Istoric_Nativ'!$E$6:$E$405,G835,'Istoric_Nativ'!$D$6:$D$405,"&lt;"&amp;J835,'Istoric_Nativ'!$P$6:$P$405,1,'Istoric_Nativ'!$D$6:$D$405,"&gt;="&amp;L835)+SUMIFS('Istoric_Nativ'!$H$6:$H$405,'Istoric_Nativ'!$B$6:$B$405,E835,'Istoric_Nativ'!$C$6:$C$405,F835,'Istoric_Nativ'!$F$6:$F$405,G835,'Istoric_Nativ'!$D$6:$D$405,"&lt;"&amp;J835,'Istoric_Nativ'!$P$6:$P$405,1,'Istoric_Nativ'!$D$6:$D$405,"&gt;="&amp;L835)))/M835)</x:f>
      </x:c>
      <x:c r="O835" s="11" t="str">
        <x:f>IF(M835=0,"",IF(H835="HOME",SUMIFS('Istoric_Nativ'!$H$6:$H$405,'Istoric_Nativ'!$B$6:$B$405,E835,'Istoric_Nativ'!$C$6:$C$405,F835,'Istoric_Nativ'!$E$6:$E$405,G835,'Istoric_Nativ'!$D$6:$D$405,"&lt;"&amp;J835,'Istoric_Nativ'!$P$6:$P$405,1,'Istoric_Nativ'!$D$6:$D$405,"&gt;="&amp;L835),IF(H835="AWAY",SUMIFS('Istoric_Nativ'!$G$6:$G$405,'Istoric_Nativ'!$B$6:$B$405,E835,'Istoric_Nativ'!$C$6:$C$405,F835,'Istoric_Nativ'!$F$6:$F$405,G835,'Istoric_Nativ'!$D$6:$D$405,"&lt;"&amp;J835,'Istoric_Nativ'!$P$6:$P$405,1,'Istoric_Nativ'!$D$6:$D$405,"&gt;="&amp;L835),SUMIFS('Istoric_Nativ'!$H$6:$H$405,'Istoric_Nativ'!$B$6:$B$405,E835,'Istoric_Nativ'!$C$6:$C$405,F835,'Istoric_Nativ'!$E$6:$E$405,G835,'Istoric_Nativ'!$D$6:$D$405,"&lt;"&amp;J835,'Istoric_Nativ'!$P$6:$P$405,1,'Istoric_Nativ'!$D$6:$D$405,"&gt;="&amp;L835)+SUMIFS('Istoric_Nativ'!$G$6:$G$405,'Istoric_Nativ'!$B$6:$B$405,E835,'Istoric_Nativ'!$C$6:$C$405,F835,'Istoric_Nativ'!$F$6:$F$405,G835,'Istoric_Nativ'!$D$6:$D$405,"&lt;"&amp;J835,'Istoric_Nativ'!$P$6:$P$405,1,'Istoric_Nativ'!$D$6:$D$405,"&gt;="&amp;L835)))/M835)</x:f>
      </x:c>
      <x:c r="P835" s="2" t="n">
        <x:f>'Config_v6'!$B$8</x:f>
        <x:v>5</x:v>
      </x:c>
      <x:c r="Q835" s="2" t="n">
        <x:f>IF(OR(B835="",F835=""),0,IFERROR(MATCH(E835&amp;"|"&amp;F835,SourceTable[Source_Key],0),0))</x:f>
        <x:v>0</x:v>
      </x:c>
      <x:c r="R835" s="2" t="str">
        <x:f>IF(B835="","",IF(F835="","UNUSED",IF(Q835=0,"NOT CHECKED",IF(COUNTIF(SourceTable[Source_Key],E835&amp;"|"&amp;F835)&lt;&gt;1,"SOURCE CONFLICT",IF(NOT(OR(INDEX(SourceTable[Status],MAX(1,Q835))="IMPORTED",INDEX(SourceTable[Status],MAX(1,Q835))="PARTIAL",INDEX(SourceTable[Status],MAX(1,Q835))="SOURCE CONFLICT")),"ACCESS BLOCKED",IF(OR(INDEX(SourceTable[Coverage],Q835)&lt;&gt;"FULL SEASON EXPORT",INDEX(SourceTable[URL],Q835)="",INDEX(SourceTable[SHA256],Q835)=""),"EVIDENCE INCOMPLETE",IF(AND('Input_Meci'!H75="LIVE",INDEX(SourceTable[Retrieved_UTC],Q835)&gt;'Input_Meci'!G75),"POST CUTOFF","CLOSED")))))))</x:f>
      </x:c>
      <x:c r="S835" s="2" t="n">
        <x:f>IF(OR(B835="",F835=""),0,COUNTIFS('Istoric_Nativ'!$B$6:$B$405,E835,'Istoric_Nativ'!$C$6:$C$405,F835,'Istoric_Nativ'!$E$6:$E$405,G835,'Istoric_Nativ'!$D$6:$D$405,"&lt;"&amp;J835,'Istoric_Nativ'!$O$6:$O$405,"INVALID")+COUNTIFS('Istoric_Nativ'!$B$6:$B$405,E835,'Istoric_Nativ'!$C$6:$C$405,F835,'Istoric_Nativ'!$E$6:$E$405,G835,'Istoric_Nativ'!$O$6:$O$405,"INVALID",'Istoric_Nativ'!$D$6:$D$405,"*")+COUNTIFS('Istoric_Nativ'!$B$6:$B$405,E835,'Istoric_Nativ'!$C$6:$C$405,F835,'Istoric_Nativ'!$E$6:$E$405,G835,'Istoric_Nativ'!$D$6:$D$405,"&lt;"&amp;J835,'Istoric_Nativ'!$O$6:$O$405,"SOURCE CONFLICT")+COUNTIFS('Istoric_Nativ'!$B$6:$B$405,E835,'Istoric_Nativ'!$C$6:$C$405,F835,'Istoric_Nativ'!$F$6:$F$405,G835,'Istoric_Nativ'!$D$6:$D$405,"&lt;"&amp;J835,'Istoric_Nativ'!$O$6:$O$405,"INVALID")+COUNTIFS('Istoric_Nativ'!$B$6:$B$405,E835,'Istoric_Nativ'!$C$6:$C$405,F835,'Istoric_Nativ'!$F$6:$F$405,G835,'Istoric_Nativ'!$O$6:$O$405,"INVALID",'Istoric_Nativ'!$D$6:$D$405,"*")+COUNTIFS('Istoric_Nativ'!$B$6:$B$405,E835,'Istoric_Nativ'!$C$6:$C$405,F835,'Istoric_Nativ'!$F$6:$F$405,G835,'Istoric_Nativ'!$D$6:$D$405,"&lt;"&amp;J835,'Istoric_Nativ'!$O$6:$O$405,"SOURCE CONFLICT"))</x:f>
        <x:v>0</x:v>
      </x:c>
      <x:c r="T835" s="2" t="str">
        <x:f>IF(B835="","",IF(R835&lt;&gt;"CLOSED",R835,IF(S835&gt;0,"NATIVE INPUT ISSUE",IF(M835=0,"NO HISTORY",IF(M835&lt;P835,"SMALL SAMPLE","DERIVED")))))</x:f>
      </x:c>
      <x:c r="U835" s="2" t="str">
        <x:f>IF(B835="","","NativeTable; "&amp;E835&amp;"; "&amp;F835&amp;"; "&amp;G835&amp;"; "&amp;H835&amp;"; before "&amp;TEXT(J835,"yyyy-mm-dd")&amp;IF(I835="RECENT","; from "&amp;TEXT(L835,"yyyy-mm-dd"),""))</x:f>
      </x:c>
    </x:row>
    <x:row r="836" ht="21" customHeight="1">
      <x:c r="A836" s="2" t="n">
        <x:v>70</x:v>
      </x:c>
      <x:c r="B836" s="2" t="str">
        <x:f>IF('Input_Meci'!A75="","",'Input_Meci'!A75)</x:f>
      </x:c>
      <x:c r="C836" s="2" t="str">
        <x:v>H</x:v>
      </x:c>
      <x:c r="D836" s="2" t="str">
        <x:v>CURRENT</x:v>
      </x:c>
      <x:c r="E836" s="2" t="str">
        <x:f>IF(B836="","",'Input_Meci'!B75)</x:f>
      </x:c>
      <x:c r="F836" s="2" t="str">
        <x:f>IF(B836="","",IF('Input_Meci'!C75="","",'Input_Meci'!C75))</x:f>
      </x:c>
      <x:c r="G836" s="2" t="str">
        <x:f>IF(B836="","",'Input_Meci'!D75)</x:f>
      </x:c>
      <x:c r="H836" s="2" t="str">
        <x:v>ANY</x:v>
      </x:c>
      <x:c r="I836" s="2" t="str">
        <x:v>RECENT</x:v>
      </x:c>
      <x:c r="J836" s="9" t="n">
        <x:f>IF(AND(B836&lt;&gt;"",ISNUMBER('Input_Meci'!G75)),INT('Input_Meci'!G75),0)</x:f>
        <x:v>0</x:v>
      </x:c>
      <x:c r="K836" s="2" t="n">
        <x:f>IF(OR(B836="",F836=""),0,IF(H836="HOME",COUNTIFS('Istoric_Nativ'!$B$6:$B$405,E836,'Istoric_Nativ'!$C$6:$C$405,F836,'Istoric_Nativ'!$E$6:$E$405,G836,'Istoric_Nativ'!$D$6:$D$405,"&lt;"&amp;J836,'Istoric_Nativ'!$P$6:$P$405,1),IF(H836="AWAY",COUNTIFS('Istoric_Nativ'!$B$6:$B$405,E836,'Istoric_Nativ'!$C$6:$C$405,F836,'Istoric_Nativ'!$F$6:$F$405,G836,'Istoric_Nativ'!$D$6:$D$405,"&lt;"&amp;J836,'Istoric_Nativ'!$P$6:$P$405,1),COUNTIFS('Istoric_Nativ'!$B$6:$B$405,E836,'Istoric_Nativ'!$C$6:$C$405,F836,'Istoric_Nativ'!$E$6:$E$405,G836,'Istoric_Nativ'!$D$6:$D$405,"&lt;"&amp;J836,'Istoric_Nativ'!$P$6:$P$405,1)+COUNTIFS('Istoric_Nativ'!$B$6:$B$405,E836,'Istoric_Nativ'!$C$6:$C$405,F836,'Istoric_Nativ'!$F$6:$F$405,G836,'Istoric_Nativ'!$D$6:$D$405,"&lt;"&amp;J836,'Istoric_Nativ'!$P$6:$P$405,1))))</x:f>
        <x:v>0</x:v>
      </x:c>
      <x:c r="L836" s="17" t="n">
        <x:f>IF(AND(B836&lt;&gt;"",I836="RECENT",K836&gt;0),LARGE(_xlfn._xlws.FILTER('Istoric_Nativ'!$D$6:$D$405,('Istoric_Nativ'!$B$6:$B$405=E836)*('Istoric_Nativ'!$C$6:$C$405=F836)*('Istoric_Nativ'!$P$6:$P$405=1)*('Istoric_Nativ'!$D$6:$D$405&lt;J836)*((('Istoric_Nativ'!$E$6:$E$405=G836)+('Istoric_Nativ'!$F$6:$F$405=G836))&gt;0)),MIN('Config_v6'!$B$54,K836)),0)</x:f>
        <x:v>0</x:v>
      </x:c>
      <x:c r="M836" s="2" t="n">
        <x:f>IF(OR(B836="",F836=""),0,IF(H836="HOME",COUNTIFS('Istoric_Nativ'!$B$6:$B$405,E836,'Istoric_Nativ'!$C$6:$C$405,F836,'Istoric_Nativ'!$E$6:$E$405,G836,'Istoric_Nativ'!$D$6:$D$405,"&lt;"&amp;J836,'Istoric_Nativ'!$P$6:$P$405,1,'Istoric_Nativ'!$D$6:$D$405,"&gt;="&amp;L836),IF(H836="AWAY",COUNTIFS('Istoric_Nativ'!$B$6:$B$405,E836,'Istoric_Nativ'!$C$6:$C$405,F836,'Istoric_Nativ'!$F$6:$F$405,G836,'Istoric_Nativ'!$D$6:$D$405,"&lt;"&amp;J836,'Istoric_Nativ'!$P$6:$P$405,1,'Istoric_Nativ'!$D$6:$D$405,"&gt;="&amp;L836),COUNTIFS('Istoric_Nativ'!$B$6:$B$405,E836,'Istoric_Nativ'!$C$6:$C$405,F836,'Istoric_Nativ'!$E$6:$E$405,G836,'Istoric_Nativ'!$D$6:$D$405,"&lt;"&amp;J836,'Istoric_Nativ'!$P$6:$P$405,1,'Istoric_Nativ'!$D$6:$D$405,"&gt;="&amp;L836)+COUNTIFS('Istoric_Nativ'!$B$6:$B$405,E836,'Istoric_Nativ'!$C$6:$C$405,F836,'Istoric_Nativ'!$F$6:$F$405,G836,'Istoric_Nativ'!$D$6:$D$405,"&lt;"&amp;J836,'Istoric_Nativ'!$P$6:$P$405,1,'Istoric_Nativ'!$D$6:$D$405,"&gt;="&amp;L836))))</x:f>
        <x:v>0</x:v>
      </x:c>
      <x:c r="N836" s="11" t="str">
        <x:f>IF(M836=0,"",IF(H836="HOME",SUMIFS('Istoric_Nativ'!$G$6:$G$405,'Istoric_Nativ'!$B$6:$B$405,E836,'Istoric_Nativ'!$C$6:$C$405,F836,'Istoric_Nativ'!$E$6:$E$405,G836,'Istoric_Nativ'!$D$6:$D$405,"&lt;"&amp;J836,'Istoric_Nativ'!$P$6:$P$405,1,'Istoric_Nativ'!$D$6:$D$405,"&gt;="&amp;L836),IF(H836="AWAY",SUMIFS('Istoric_Nativ'!$H$6:$H$405,'Istoric_Nativ'!$B$6:$B$405,E836,'Istoric_Nativ'!$C$6:$C$405,F836,'Istoric_Nativ'!$F$6:$F$405,G836,'Istoric_Nativ'!$D$6:$D$405,"&lt;"&amp;J836,'Istoric_Nativ'!$P$6:$P$405,1,'Istoric_Nativ'!$D$6:$D$405,"&gt;="&amp;L836),SUMIFS('Istoric_Nativ'!$G$6:$G$405,'Istoric_Nativ'!$B$6:$B$405,E836,'Istoric_Nativ'!$C$6:$C$405,F836,'Istoric_Nativ'!$E$6:$E$405,G836,'Istoric_Nativ'!$D$6:$D$405,"&lt;"&amp;J836,'Istoric_Nativ'!$P$6:$P$405,1,'Istoric_Nativ'!$D$6:$D$405,"&gt;="&amp;L836)+SUMIFS('Istoric_Nativ'!$H$6:$H$405,'Istoric_Nativ'!$B$6:$B$405,E836,'Istoric_Nativ'!$C$6:$C$405,F836,'Istoric_Nativ'!$F$6:$F$405,G836,'Istoric_Nativ'!$D$6:$D$405,"&lt;"&amp;J836,'Istoric_Nativ'!$P$6:$P$405,1,'Istoric_Nativ'!$D$6:$D$405,"&gt;="&amp;L836)))/M836)</x:f>
      </x:c>
      <x:c r="O836" s="11" t="str">
        <x:f>IF(M836=0,"",IF(H836="HOME",SUMIFS('Istoric_Nativ'!$H$6:$H$405,'Istoric_Nativ'!$B$6:$B$405,E836,'Istoric_Nativ'!$C$6:$C$405,F836,'Istoric_Nativ'!$E$6:$E$405,G836,'Istoric_Nativ'!$D$6:$D$405,"&lt;"&amp;J836,'Istoric_Nativ'!$P$6:$P$405,1,'Istoric_Nativ'!$D$6:$D$405,"&gt;="&amp;L836),IF(H836="AWAY",SUMIFS('Istoric_Nativ'!$G$6:$G$405,'Istoric_Nativ'!$B$6:$B$405,E836,'Istoric_Nativ'!$C$6:$C$405,F836,'Istoric_Nativ'!$F$6:$F$405,G836,'Istoric_Nativ'!$D$6:$D$405,"&lt;"&amp;J836,'Istoric_Nativ'!$P$6:$P$405,1,'Istoric_Nativ'!$D$6:$D$405,"&gt;="&amp;L836),SUMIFS('Istoric_Nativ'!$H$6:$H$405,'Istoric_Nativ'!$B$6:$B$405,E836,'Istoric_Nativ'!$C$6:$C$405,F836,'Istoric_Nativ'!$E$6:$E$405,G836,'Istoric_Nativ'!$D$6:$D$405,"&lt;"&amp;J836,'Istoric_Nativ'!$P$6:$P$405,1,'Istoric_Nativ'!$D$6:$D$405,"&gt;="&amp;L836)+SUMIFS('Istoric_Nativ'!$G$6:$G$405,'Istoric_Nativ'!$B$6:$B$405,E836,'Istoric_Nativ'!$C$6:$C$405,F836,'Istoric_Nativ'!$F$6:$F$405,G836,'Istoric_Nativ'!$D$6:$D$405,"&lt;"&amp;J836,'Istoric_Nativ'!$P$6:$P$405,1,'Istoric_Nativ'!$D$6:$D$405,"&gt;="&amp;L836)))/M836)</x:f>
      </x:c>
      <x:c r="P836" s="2" t="n">
        <x:f>'Config_v6'!$B$9</x:f>
        <x:v>3</x:v>
      </x:c>
      <x:c r="Q836" s="2" t="n">
        <x:f>IF(OR(B836="",F836=""),0,IFERROR(MATCH(E836&amp;"|"&amp;F836,SourceTable[Source_Key],0),0))</x:f>
        <x:v>0</x:v>
      </x:c>
      <x:c r="R836" s="2" t="str">
        <x:f>IF(B836="","",IF(F836="","UNUSED",IF(Q836=0,"NOT CHECKED",IF(COUNTIF(SourceTable[Source_Key],E836&amp;"|"&amp;F836)&lt;&gt;1,"SOURCE CONFLICT",IF(NOT(OR(INDEX(SourceTable[Status],MAX(1,Q836))="IMPORTED",INDEX(SourceTable[Status],MAX(1,Q836))="PARTIAL",INDEX(SourceTable[Status],MAX(1,Q836))="SOURCE CONFLICT")),"ACCESS BLOCKED",IF(OR(INDEX(SourceTable[Coverage],Q836)&lt;&gt;"FULL SEASON EXPORT",INDEX(SourceTable[URL],Q836)="",INDEX(SourceTable[SHA256],Q836)=""),"EVIDENCE INCOMPLETE",IF(AND('Input_Meci'!H75="LIVE",INDEX(SourceTable[Retrieved_UTC],Q836)&gt;'Input_Meci'!G75),"POST CUTOFF","CLOSED")))))))</x:f>
      </x:c>
      <x:c r="S836" s="2" t="n">
        <x:f>IF(OR(B836="",F836=""),0,COUNTIFS('Istoric_Nativ'!$B$6:$B$405,E836,'Istoric_Nativ'!$C$6:$C$405,F836,'Istoric_Nativ'!$E$6:$E$405,G836,'Istoric_Nativ'!$D$6:$D$405,"&lt;"&amp;J836,'Istoric_Nativ'!$O$6:$O$405,"INVALID")+COUNTIFS('Istoric_Nativ'!$B$6:$B$405,E836,'Istoric_Nativ'!$C$6:$C$405,F836,'Istoric_Nativ'!$E$6:$E$405,G836,'Istoric_Nativ'!$O$6:$O$405,"INVALID",'Istoric_Nativ'!$D$6:$D$405,"*")+COUNTIFS('Istoric_Nativ'!$B$6:$B$405,E836,'Istoric_Nativ'!$C$6:$C$405,F836,'Istoric_Nativ'!$E$6:$E$405,G836,'Istoric_Nativ'!$D$6:$D$405,"&lt;"&amp;J836,'Istoric_Nativ'!$O$6:$O$405,"SOURCE CONFLICT")+COUNTIFS('Istoric_Nativ'!$B$6:$B$405,E836,'Istoric_Nativ'!$C$6:$C$405,F836,'Istoric_Nativ'!$F$6:$F$405,G836,'Istoric_Nativ'!$D$6:$D$405,"&lt;"&amp;J836,'Istoric_Nativ'!$O$6:$O$405,"INVALID")+COUNTIFS('Istoric_Nativ'!$B$6:$B$405,E836,'Istoric_Nativ'!$C$6:$C$405,F836,'Istoric_Nativ'!$F$6:$F$405,G836,'Istoric_Nativ'!$O$6:$O$405,"INVALID",'Istoric_Nativ'!$D$6:$D$405,"*")+COUNTIFS('Istoric_Nativ'!$B$6:$B$405,E836,'Istoric_Nativ'!$C$6:$C$405,F836,'Istoric_Nativ'!$F$6:$F$405,G836,'Istoric_Nativ'!$D$6:$D$405,"&lt;"&amp;J836,'Istoric_Nativ'!$O$6:$O$405,"SOURCE CONFLICT"))</x:f>
        <x:v>0</x:v>
      </x:c>
      <x:c r="T836" s="2" t="str">
        <x:f>IF(B836="","",IF(R836&lt;&gt;"CLOSED",R836,IF(S836&gt;0,"NATIVE INPUT ISSUE",IF(M836=0,"NO HISTORY",IF(M836&lt;P836,"SMALL SAMPLE","DERIVED")))))</x:f>
      </x:c>
      <x:c r="U836" s="2" t="str">
        <x:f>IF(B836="","","NativeTable; "&amp;E836&amp;"; "&amp;F836&amp;"; "&amp;G836&amp;"; "&amp;H836&amp;"; before "&amp;TEXT(J836,"yyyy-mm-dd")&amp;IF(I836="RECENT","; from "&amp;TEXT(L836,"yyyy-mm-dd"),""))</x:f>
      </x:c>
    </x:row>
    <x:row r="837" ht="21" customHeight="1">
      <x:c r="A837" s="2" t="n">
        <x:v>70</x:v>
      </x:c>
      <x:c r="B837" s="2" t="str">
        <x:f>IF('Input_Meci'!A75="","",'Input_Meci'!A75)</x:f>
      </x:c>
      <x:c r="C837" s="2" t="str">
        <x:v>A</x:v>
      </x:c>
      <x:c r="D837" s="2" t="str">
        <x:v>CURRENT</x:v>
      </x:c>
      <x:c r="E837" s="2" t="str">
        <x:f>IF(B837="","",'Input_Meci'!B75)</x:f>
      </x:c>
      <x:c r="F837" s="2" t="str">
        <x:f>IF(B837="","",IF('Input_Meci'!C75="","",'Input_Meci'!C75))</x:f>
      </x:c>
      <x:c r="G837" s="2" t="str">
        <x:f>IF(B837="","",'Input_Meci'!E75)</x:f>
      </x:c>
      <x:c r="H837" s="2" t="str">
        <x:v>ANY</x:v>
      </x:c>
      <x:c r="I837" s="2" t="str">
        <x:v>SEASON</x:v>
      </x:c>
      <x:c r="J837" s="9" t="n">
        <x:f>IF(AND(B837&lt;&gt;"",ISNUMBER('Input_Meci'!G75)),INT('Input_Meci'!G75),0)</x:f>
        <x:v>0</x:v>
      </x:c>
      <x:c r="K837" s="2" t="n">
        <x:f>IF(OR(B837="",F837=""),0,IF(H837="HOME",COUNTIFS('Istoric_Nativ'!$B$6:$B$405,E837,'Istoric_Nativ'!$C$6:$C$405,F837,'Istoric_Nativ'!$E$6:$E$405,G837,'Istoric_Nativ'!$D$6:$D$405,"&lt;"&amp;J837,'Istoric_Nativ'!$P$6:$P$405,1),IF(H837="AWAY",COUNTIFS('Istoric_Nativ'!$B$6:$B$405,E837,'Istoric_Nativ'!$C$6:$C$405,F837,'Istoric_Nativ'!$F$6:$F$405,G837,'Istoric_Nativ'!$D$6:$D$405,"&lt;"&amp;J837,'Istoric_Nativ'!$P$6:$P$405,1),COUNTIFS('Istoric_Nativ'!$B$6:$B$405,E837,'Istoric_Nativ'!$C$6:$C$405,F837,'Istoric_Nativ'!$E$6:$E$405,G837,'Istoric_Nativ'!$D$6:$D$405,"&lt;"&amp;J837,'Istoric_Nativ'!$P$6:$P$405,1)+COUNTIFS('Istoric_Nativ'!$B$6:$B$405,E837,'Istoric_Nativ'!$C$6:$C$405,F837,'Istoric_Nativ'!$F$6:$F$405,G837,'Istoric_Nativ'!$D$6:$D$405,"&lt;"&amp;J837,'Istoric_Nativ'!$P$6:$P$405,1))))</x:f>
        <x:v>0</x:v>
      </x:c>
      <x:c r="L837" s="17" t="n">
        <x:f>IF(AND(B837&lt;&gt;"",I837="RECENT",K837&gt;0),LARGE(_xlfn._xlws.FILTER('Istoric_Nativ'!$D$6:$D$405,('Istoric_Nativ'!$B$6:$B$405=E837)*('Istoric_Nativ'!$C$6:$C$405=F837)*('Istoric_Nativ'!$P$6:$P$405=1)*('Istoric_Nativ'!$D$6:$D$405&lt;J837)*((('Istoric_Nativ'!$E$6:$E$405=G837)+('Istoric_Nativ'!$F$6:$F$405=G837))&gt;0)),MIN('Config_v6'!$B$54,K837)),0)</x:f>
        <x:v>0</x:v>
      </x:c>
      <x:c r="M837" s="2" t="n">
        <x:f>IF(OR(B837="",F837=""),0,IF(H837="HOME",COUNTIFS('Istoric_Nativ'!$B$6:$B$405,E837,'Istoric_Nativ'!$C$6:$C$405,F837,'Istoric_Nativ'!$E$6:$E$405,G837,'Istoric_Nativ'!$D$6:$D$405,"&lt;"&amp;J837,'Istoric_Nativ'!$P$6:$P$405,1,'Istoric_Nativ'!$D$6:$D$405,"&gt;="&amp;L837),IF(H837="AWAY",COUNTIFS('Istoric_Nativ'!$B$6:$B$405,E837,'Istoric_Nativ'!$C$6:$C$405,F837,'Istoric_Nativ'!$F$6:$F$405,G837,'Istoric_Nativ'!$D$6:$D$405,"&lt;"&amp;J837,'Istoric_Nativ'!$P$6:$P$405,1,'Istoric_Nativ'!$D$6:$D$405,"&gt;="&amp;L837),COUNTIFS('Istoric_Nativ'!$B$6:$B$405,E837,'Istoric_Nativ'!$C$6:$C$405,F837,'Istoric_Nativ'!$E$6:$E$405,G837,'Istoric_Nativ'!$D$6:$D$405,"&lt;"&amp;J837,'Istoric_Nativ'!$P$6:$P$405,1,'Istoric_Nativ'!$D$6:$D$405,"&gt;="&amp;L837)+COUNTIFS('Istoric_Nativ'!$B$6:$B$405,E837,'Istoric_Nativ'!$C$6:$C$405,F837,'Istoric_Nativ'!$F$6:$F$405,G837,'Istoric_Nativ'!$D$6:$D$405,"&lt;"&amp;J837,'Istoric_Nativ'!$P$6:$P$405,1,'Istoric_Nativ'!$D$6:$D$405,"&gt;="&amp;L837))))</x:f>
        <x:v>0</x:v>
      </x:c>
      <x:c r="N837" s="11" t="str">
        <x:f>IF(M837=0,"",IF(H837="HOME",SUMIFS('Istoric_Nativ'!$G$6:$G$405,'Istoric_Nativ'!$B$6:$B$405,E837,'Istoric_Nativ'!$C$6:$C$405,F837,'Istoric_Nativ'!$E$6:$E$405,G837,'Istoric_Nativ'!$D$6:$D$405,"&lt;"&amp;J837,'Istoric_Nativ'!$P$6:$P$405,1,'Istoric_Nativ'!$D$6:$D$405,"&gt;="&amp;L837),IF(H837="AWAY",SUMIFS('Istoric_Nativ'!$H$6:$H$405,'Istoric_Nativ'!$B$6:$B$405,E837,'Istoric_Nativ'!$C$6:$C$405,F837,'Istoric_Nativ'!$F$6:$F$405,G837,'Istoric_Nativ'!$D$6:$D$405,"&lt;"&amp;J837,'Istoric_Nativ'!$P$6:$P$405,1,'Istoric_Nativ'!$D$6:$D$405,"&gt;="&amp;L837),SUMIFS('Istoric_Nativ'!$G$6:$G$405,'Istoric_Nativ'!$B$6:$B$405,E837,'Istoric_Nativ'!$C$6:$C$405,F837,'Istoric_Nativ'!$E$6:$E$405,G837,'Istoric_Nativ'!$D$6:$D$405,"&lt;"&amp;J837,'Istoric_Nativ'!$P$6:$P$405,1,'Istoric_Nativ'!$D$6:$D$405,"&gt;="&amp;L837)+SUMIFS('Istoric_Nativ'!$H$6:$H$405,'Istoric_Nativ'!$B$6:$B$405,E837,'Istoric_Nativ'!$C$6:$C$405,F837,'Istoric_Nativ'!$F$6:$F$405,G837,'Istoric_Nativ'!$D$6:$D$405,"&lt;"&amp;J837,'Istoric_Nativ'!$P$6:$P$405,1,'Istoric_Nativ'!$D$6:$D$405,"&gt;="&amp;L837)))/M837)</x:f>
      </x:c>
      <x:c r="O837" s="11" t="str">
        <x:f>IF(M837=0,"",IF(H837="HOME",SUMIFS('Istoric_Nativ'!$H$6:$H$405,'Istoric_Nativ'!$B$6:$B$405,E837,'Istoric_Nativ'!$C$6:$C$405,F837,'Istoric_Nativ'!$E$6:$E$405,G837,'Istoric_Nativ'!$D$6:$D$405,"&lt;"&amp;J837,'Istoric_Nativ'!$P$6:$P$405,1,'Istoric_Nativ'!$D$6:$D$405,"&gt;="&amp;L837),IF(H837="AWAY",SUMIFS('Istoric_Nativ'!$G$6:$G$405,'Istoric_Nativ'!$B$6:$B$405,E837,'Istoric_Nativ'!$C$6:$C$405,F837,'Istoric_Nativ'!$F$6:$F$405,G837,'Istoric_Nativ'!$D$6:$D$405,"&lt;"&amp;J837,'Istoric_Nativ'!$P$6:$P$405,1,'Istoric_Nativ'!$D$6:$D$405,"&gt;="&amp;L837),SUMIFS('Istoric_Nativ'!$H$6:$H$405,'Istoric_Nativ'!$B$6:$B$405,E837,'Istoric_Nativ'!$C$6:$C$405,F837,'Istoric_Nativ'!$E$6:$E$405,G837,'Istoric_Nativ'!$D$6:$D$405,"&lt;"&amp;J837,'Istoric_Nativ'!$P$6:$P$405,1,'Istoric_Nativ'!$D$6:$D$405,"&gt;="&amp;L837)+SUMIFS('Istoric_Nativ'!$G$6:$G$405,'Istoric_Nativ'!$B$6:$B$405,E837,'Istoric_Nativ'!$C$6:$C$405,F837,'Istoric_Nativ'!$F$6:$F$405,G837,'Istoric_Nativ'!$D$6:$D$405,"&lt;"&amp;J837,'Istoric_Nativ'!$P$6:$P$405,1,'Istoric_Nativ'!$D$6:$D$405,"&gt;="&amp;L837)))/M837)</x:f>
      </x:c>
      <x:c r="P837" s="2" t="n">
        <x:f>'Config_v6'!$B$7</x:f>
        <x:v>10</x:v>
      </x:c>
      <x:c r="Q837" s="2" t="n">
        <x:f>IF(OR(B837="",F837=""),0,IFERROR(MATCH(E837&amp;"|"&amp;F837,SourceTable[Source_Key],0),0))</x:f>
        <x:v>0</x:v>
      </x:c>
      <x:c r="R837" s="2" t="str">
        <x:f>IF(B837="","",IF(F837="","UNUSED",IF(Q837=0,"NOT CHECKED",IF(COUNTIF(SourceTable[Source_Key],E837&amp;"|"&amp;F837)&lt;&gt;1,"SOURCE CONFLICT",IF(NOT(OR(INDEX(SourceTable[Status],MAX(1,Q837))="IMPORTED",INDEX(SourceTable[Status],MAX(1,Q837))="PARTIAL",INDEX(SourceTable[Status],MAX(1,Q837))="SOURCE CONFLICT")),"ACCESS BLOCKED",IF(OR(INDEX(SourceTable[Coverage],Q837)&lt;&gt;"FULL SEASON EXPORT",INDEX(SourceTable[URL],Q837)="",INDEX(SourceTable[SHA256],Q837)=""),"EVIDENCE INCOMPLETE",IF(AND('Input_Meci'!H75="LIVE",INDEX(SourceTable[Retrieved_UTC],Q837)&gt;'Input_Meci'!G75),"POST CUTOFF","CLOSED")))))))</x:f>
      </x:c>
      <x:c r="S837" s="2" t="n">
        <x:f>IF(OR(B837="",F837=""),0,COUNTIFS('Istoric_Nativ'!$B$6:$B$405,E837,'Istoric_Nativ'!$C$6:$C$405,F837,'Istoric_Nativ'!$E$6:$E$405,G837,'Istoric_Nativ'!$D$6:$D$405,"&lt;"&amp;J837,'Istoric_Nativ'!$O$6:$O$405,"INVALID")+COUNTIFS('Istoric_Nativ'!$B$6:$B$405,E837,'Istoric_Nativ'!$C$6:$C$405,F837,'Istoric_Nativ'!$E$6:$E$405,G837,'Istoric_Nativ'!$O$6:$O$405,"INVALID",'Istoric_Nativ'!$D$6:$D$405,"*")+COUNTIFS('Istoric_Nativ'!$B$6:$B$405,E837,'Istoric_Nativ'!$C$6:$C$405,F837,'Istoric_Nativ'!$E$6:$E$405,G837,'Istoric_Nativ'!$D$6:$D$405,"&lt;"&amp;J837,'Istoric_Nativ'!$O$6:$O$405,"SOURCE CONFLICT")+COUNTIFS('Istoric_Nativ'!$B$6:$B$405,E837,'Istoric_Nativ'!$C$6:$C$405,F837,'Istoric_Nativ'!$F$6:$F$405,G837,'Istoric_Nativ'!$D$6:$D$405,"&lt;"&amp;J837,'Istoric_Nativ'!$O$6:$O$405,"INVALID")+COUNTIFS('Istoric_Nativ'!$B$6:$B$405,E837,'Istoric_Nativ'!$C$6:$C$405,F837,'Istoric_Nativ'!$F$6:$F$405,G837,'Istoric_Nativ'!$O$6:$O$405,"INVALID",'Istoric_Nativ'!$D$6:$D$405,"*")+COUNTIFS('Istoric_Nativ'!$B$6:$B$405,E837,'Istoric_Nativ'!$C$6:$C$405,F837,'Istoric_Nativ'!$F$6:$F$405,G837,'Istoric_Nativ'!$D$6:$D$405,"&lt;"&amp;J837,'Istoric_Nativ'!$O$6:$O$405,"SOURCE CONFLICT"))</x:f>
        <x:v>0</x:v>
      </x:c>
      <x:c r="T837" s="2" t="str">
        <x:f>IF(B837="","",IF(R837&lt;&gt;"CLOSED",R837,IF(S837&gt;0,"NATIVE INPUT ISSUE",IF(M837=0,"NO HISTORY",IF(M837&lt;P837,"SMALL SAMPLE","DERIVED")))))</x:f>
      </x:c>
      <x:c r="U837" s="2" t="str">
        <x:f>IF(B837="","","NativeTable; "&amp;E837&amp;"; "&amp;F837&amp;"; "&amp;G837&amp;"; "&amp;H837&amp;"; before "&amp;TEXT(J837,"yyyy-mm-dd")&amp;IF(I837="RECENT","; from "&amp;TEXT(L837,"yyyy-mm-dd"),""))</x:f>
      </x:c>
    </x:row>
    <x:row r="838" ht="21" customHeight="1">
      <x:c r="A838" s="2" t="n">
        <x:v>70</x:v>
      </x:c>
      <x:c r="B838" s="2" t="str">
        <x:f>IF('Input_Meci'!A75="","",'Input_Meci'!A75)</x:f>
      </x:c>
      <x:c r="C838" s="2" t="str">
        <x:v>A</x:v>
      </x:c>
      <x:c r="D838" s="2" t="str">
        <x:v>CURRENT</x:v>
      </x:c>
      <x:c r="E838" s="2" t="str">
        <x:f>IF(B838="","",'Input_Meci'!B75)</x:f>
      </x:c>
      <x:c r="F838" s="2" t="str">
        <x:f>IF(B838="","",IF('Input_Meci'!C75="","",'Input_Meci'!C75))</x:f>
      </x:c>
      <x:c r="G838" s="2" t="str">
        <x:f>IF(B838="","",'Input_Meci'!E75)</x:f>
      </x:c>
      <x:c r="H838" s="2" t="str">
        <x:v>AWAY</x:v>
      </x:c>
      <x:c r="I838" s="2" t="str">
        <x:v>HA</x:v>
      </x:c>
      <x:c r="J838" s="9" t="n">
        <x:f>IF(AND(B838&lt;&gt;"",ISNUMBER('Input_Meci'!G75)),INT('Input_Meci'!G75),0)</x:f>
        <x:v>0</x:v>
      </x:c>
      <x:c r="K838" s="2" t="n">
        <x:f>IF(OR(B838="",F838=""),0,IF(H838="HOME",COUNTIFS('Istoric_Nativ'!$B$6:$B$405,E838,'Istoric_Nativ'!$C$6:$C$405,F838,'Istoric_Nativ'!$E$6:$E$405,G838,'Istoric_Nativ'!$D$6:$D$405,"&lt;"&amp;J838,'Istoric_Nativ'!$P$6:$P$405,1),IF(H838="AWAY",COUNTIFS('Istoric_Nativ'!$B$6:$B$405,E838,'Istoric_Nativ'!$C$6:$C$405,F838,'Istoric_Nativ'!$F$6:$F$405,G838,'Istoric_Nativ'!$D$6:$D$405,"&lt;"&amp;J838,'Istoric_Nativ'!$P$6:$P$405,1),COUNTIFS('Istoric_Nativ'!$B$6:$B$405,E838,'Istoric_Nativ'!$C$6:$C$405,F838,'Istoric_Nativ'!$E$6:$E$405,G838,'Istoric_Nativ'!$D$6:$D$405,"&lt;"&amp;J838,'Istoric_Nativ'!$P$6:$P$405,1)+COUNTIFS('Istoric_Nativ'!$B$6:$B$405,E838,'Istoric_Nativ'!$C$6:$C$405,F838,'Istoric_Nativ'!$F$6:$F$405,G838,'Istoric_Nativ'!$D$6:$D$405,"&lt;"&amp;J838,'Istoric_Nativ'!$P$6:$P$405,1))))</x:f>
        <x:v>0</x:v>
      </x:c>
      <x:c r="L838" s="17" t="n">
        <x:f>IF(AND(B838&lt;&gt;"",I838="RECENT",K838&gt;0),LARGE(_xlfn._xlws.FILTER('Istoric_Nativ'!$D$6:$D$405,('Istoric_Nativ'!$B$6:$B$405=E838)*('Istoric_Nativ'!$C$6:$C$405=F838)*('Istoric_Nativ'!$P$6:$P$405=1)*('Istoric_Nativ'!$D$6:$D$405&lt;J838)*((('Istoric_Nativ'!$E$6:$E$405=G838)+('Istoric_Nativ'!$F$6:$F$405=G838))&gt;0)),MIN('Config_v6'!$B$54,K838)),0)</x:f>
        <x:v>0</x:v>
      </x:c>
      <x:c r="M838" s="2" t="n">
        <x:f>IF(OR(B838="",F838=""),0,IF(H838="HOME",COUNTIFS('Istoric_Nativ'!$B$6:$B$405,E838,'Istoric_Nativ'!$C$6:$C$405,F838,'Istoric_Nativ'!$E$6:$E$405,G838,'Istoric_Nativ'!$D$6:$D$405,"&lt;"&amp;J838,'Istoric_Nativ'!$P$6:$P$405,1,'Istoric_Nativ'!$D$6:$D$405,"&gt;="&amp;L838),IF(H838="AWAY",COUNTIFS('Istoric_Nativ'!$B$6:$B$405,E838,'Istoric_Nativ'!$C$6:$C$405,F838,'Istoric_Nativ'!$F$6:$F$405,G838,'Istoric_Nativ'!$D$6:$D$405,"&lt;"&amp;J838,'Istoric_Nativ'!$P$6:$P$405,1,'Istoric_Nativ'!$D$6:$D$405,"&gt;="&amp;L838),COUNTIFS('Istoric_Nativ'!$B$6:$B$405,E838,'Istoric_Nativ'!$C$6:$C$405,F838,'Istoric_Nativ'!$E$6:$E$405,G838,'Istoric_Nativ'!$D$6:$D$405,"&lt;"&amp;J838,'Istoric_Nativ'!$P$6:$P$405,1,'Istoric_Nativ'!$D$6:$D$405,"&gt;="&amp;L838)+COUNTIFS('Istoric_Nativ'!$B$6:$B$405,E838,'Istoric_Nativ'!$C$6:$C$405,F838,'Istoric_Nativ'!$F$6:$F$405,G838,'Istoric_Nativ'!$D$6:$D$405,"&lt;"&amp;J838,'Istoric_Nativ'!$P$6:$P$405,1,'Istoric_Nativ'!$D$6:$D$405,"&gt;="&amp;L838))))</x:f>
        <x:v>0</x:v>
      </x:c>
      <x:c r="N838" s="11" t="str">
        <x:f>IF(M838=0,"",IF(H838="HOME",SUMIFS('Istoric_Nativ'!$G$6:$G$405,'Istoric_Nativ'!$B$6:$B$405,E838,'Istoric_Nativ'!$C$6:$C$405,F838,'Istoric_Nativ'!$E$6:$E$405,G838,'Istoric_Nativ'!$D$6:$D$405,"&lt;"&amp;J838,'Istoric_Nativ'!$P$6:$P$405,1,'Istoric_Nativ'!$D$6:$D$405,"&gt;="&amp;L838),IF(H838="AWAY",SUMIFS('Istoric_Nativ'!$H$6:$H$405,'Istoric_Nativ'!$B$6:$B$405,E838,'Istoric_Nativ'!$C$6:$C$405,F838,'Istoric_Nativ'!$F$6:$F$405,G838,'Istoric_Nativ'!$D$6:$D$405,"&lt;"&amp;J838,'Istoric_Nativ'!$P$6:$P$405,1,'Istoric_Nativ'!$D$6:$D$405,"&gt;="&amp;L838),SUMIFS('Istoric_Nativ'!$G$6:$G$405,'Istoric_Nativ'!$B$6:$B$405,E838,'Istoric_Nativ'!$C$6:$C$405,F838,'Istoric_Nativ'!$E$6:$E$405,G838,'Istoric_Nativ'!$D$6:$D$405,"&lt;"&amp;J838,'Istoric_Nativ'!$P$6:$P$405,1,'Istoric_Nativ'!$D$6:$D$405,"&gt;="&amp;L838)+SUMIFS('Istoric_Nativ'!$H$6:$H$405,'Istoric_Nativ'!$B$6:$B$405,E838,'Istoric_Nativ'!$C$6:$C$405,F838,'Istoric_Nativ'!$F$6:$F$405,G838,'Istoric_Nativ'!$D$6:$D$405,"&lt;"&amp;J838,'Istoric_Nativ'!$P$6:$P$405,1,'Istoric_Nativ'!$D$6:$D$405,"&gt;="&amp;L838)))/M838)</x:f>
      </x:c>
      <x:c r="O838" s="11" t="str">
        <x:f>IF(M838=0,"",IF(H838="HOME",SUMIFS('Istoric_Nativ'!$H$6:$H$405,'Istoric_Nativ'!$B$6:$B$405,E838,'Istoric_Nativ'!$C$6:$C$405,F838,'Istoric_Nativ'!$E$6:$E$405,G838,'Istoric_Nativ'!$D$6:$D$405,"&lt;"&amp;J838,'Istoric_Nativ'!$P$6:$P$405,1,'Istoric_Nativ'!$D$6:$D$405,"&gt;="&amp;L838),IF(H838="AWAY",SUMIFS('Istoric_Nativ'!$G$6:$G$405,'Istoric_Nativ'!$B$6:$B$405,E838,'Istoric_Nativ'!$C$6:$C$405,F838,'Istoric_Nativ'!$F$6:$F$405,G838,'Istoric_Nativ'!$D$6:$D$405,"&lt;"&amp;J838,'Istoric_Nativ'!$P$6:$P$405,1,'Istoric_Nativ'!$D$6:$D$405,"&gt;="&amp;L838),SUMIFS('Istoric_Nativ'!$H$6:$H$405,'Istoric_Nativ'!$B$6:$B$405,E838,'Istoric_Nativ'!$C$6:$C$405,F838,'Istoric_Nativ'!$E$6:$E$405,G838,'Istoric_Nativ'!$D$6:$D$405,"&lt;"&amp;J838,'Istoric_Nativ'!$P$6:$P$405,1,'Istoric_Nativ'!$D$6:$D$405,"&gt;="&amp;L838)+SUMIFS('Istoric_Nativ'!$G$6:$G$405,'Istoric_Nativ'!$B$6:$B$405,E838,'Istoric_Nativ'!$C$6:$C$405,F838,'Istoric_Nativ'!$F$6:$F$405,G838,'Istoric_Nativ'!$D$6:$D$405,"&lt;"&amp;J838,'Istoric_Nativ'!$P$6:$P$405,1,'Istoric_Nativ'!$D$6:$D$405,"&gt;="&amp;L838)))/M838)</x:f>
      </x:c>
      <x:c r="P838" s="2" t="n">
        <x:f>'Config_v6'!$B$8</x:f>
        <x:v>5</x:v>
      </x:c>
      <x:c r="Q838" s="2" t="n">
        <x:f>IF(OR(B838="",F838=""),0,IFERROR(MATCH(E838&amp;"|"&amp;F838,SourceTable[Source_Key],0),0))</x:f>
        <x:v>0</x:v>
      </x:c>
      <x:c r="R838" s="2" t="str">
        <x:f>IF(B838="","",IF(F838="","UNUSED",IF(Q838=0,"NOT CHECKED",IF(COUNTIF(SourceTable[Source_Key],E838&amp;"|"&amp;F838)&lt;&gt;1,"SOURCE CONFLICT",IF(NOT(OR(INDEX(SourceTable[Status],MAX(1,Q838))="IMPORTED",INDEX(SourceTable[Status],MAX(1,Q838))="PARTIAL",INDEX(SourceTable[Status],MAX(1,Q838))="SOURCE CONFLICT")),"ACCESS BLOCKED",IF(OR(INDEX(SourceTable[Coverage],Q838)&lt;&gt;"FULL SEASON EXPORT",INDEX(SourceTable[URL],Q838)="",INDEX(SourceTable[SHA256],Q838)=""),"EVIDENCE INCOMPLETE",IF(AND('Input_Meci'!H75="LIVE",INDEX(SourceTable[Retrieved_UTC],Q838)&gt;'Input_Meci'!G75),"POST CUTOFF","CLOSED")))))))</x:f>
      </x:c>
      <x:c r="S838" s="2" t="n">
        <x:f>IF(OR(B838="",F838=""),0,COUNTIFS('Istoric_Nativ'!$B$6:$B$405,E838,'Istoric_Nativ'!$C$6:$C$405,F838,'Istoric_Nativ'!$E$6:$E$405,G838,'Istoric_Nativ'!$D$6:$D$405,"&lt;"&amp;J838,'Istoric_Nativ'!$O$6:$O$405,"INVALID")+COUNTIFS('Istoric_Nativ'!$B$6:$B$405,E838,'Istoric_Nativ'!$C$6:$C$405,F838,'Istoric_Nativ'!$E$6:$E$405,G838,'Istoric_Nativ'!$O$6:$O$405,"INVALID",'Istoric_Nativ'!$D$6:$D$405,"*")+COUNTIFS('Istoric_Nativ'!$B$6:$B$405,E838,'Istoric_Nativ'!$C$6:$C$405,F838,'Istoric_Nativ'!$E$6:$E$405,G838,'Istoric_Nativ'!$D$6:$D$405,"&lt;"&amp;J838,'Istoric_Nativ'!$O$6:$O$405,"SOURCE CONFLICT")+COUNTIFS('Istoric_Nativ'!$B$6:$B$405,E838,'Istoric_Nativ'!$C$6:$C$405,F838,'Istoric_Nativ'!$F$6:$F$405,G838,'Istoric_Nativ'!$D$6:$D$405,"&lt;"&amp;J838,'Istoric_Nativ'!$O$6:$O$405,"INVALID")+COUNTIFS('Istoric_Nativ'!$B$6:$B$405,E838,'Istoric_Nativ'!$C$6:$C$405,F838,'Istoric_Nativ'!$F$6:$F$405,G838,'Istoric_Nativ'!$O$6:$O$405,"INVALID",'Istoric_Nativ'!$D$6:$D$405,"*")+COUNTIFS('Istoric_Nativ'!$B$6:$B$405,E838,'Istoric_Nativ'!$C$6:$C$405,F838,'Istoric_Nativ'!$F$6:$F$405,G838,'Istoric_Nativ'!$D$6:$D$405,"&lt;"&amp;J838,'Istoric_Nativ'!$O$6:$O$405,"SOURCE CONFLICT"))</x:f>
        <x:v>0</x:v>
      </x:c>
      <x:c r="T838" s="2" t="str">
        <x:f>IF(B838="","",IF(R838&lt;&gt;"CLOSED",R838,IF(S838&gt;0,"NATIVE INPUT ISSUE",IF(M838=0,"NO HISTORY",IF(M838&lt;P838,"SMALL SAMPLE","DERIVED")))))</x:f>
      </x:c>
      <x:c r="U838" s="2" t="str">
        <x:f>IF(B838="","","NativeTable; "&amp;E838&amp;"; "&amp;F838&amp;"; "&amp;G838&amp;"; "&amp;H838&amp;"; before "&amp;TEXT(J838,"yyyy-mm-dd")&amp;IF(I838="RECENT","; from "&amp;TEXT(L838,"yyyy-mm-dd"),""))</x:f>
      </x:c>
    </x:row>
    <x:row r="839" ht="21" customHeight="1">
      <x:c r="A839" s="2" t="n">
        <x:v>70</x:v>
      </x:c>
      <x:c r="B839" s="2" t="str">
        <x:f>IF('Input_Meci'!A75="","",'Input_Meci'!A75)</x:f>
      </x:c>
      <x:c r="C839" s="2" t="str">
        <x:v>A</x:v>
      </x:c>
      <x:c r="D839" s="2" t="str">
        <x:v>CURRENT</x:v>
      </x:c>
      <x:c r="E839" s="2" t="str">
        <x:f>IF(B839="","",'Input_Meci'!B75)</x:f>
      </x:c>
      <x:c r="F839" s="2" t="str">
        <x:f>IF(B839="","",IF('Input_Meci'!C75="","",'Input_Meci'!C75))</x:f>
      </x:c>
      <x:c r="G839" s="2" t="str">
        <x:f>IF(B839="","",'Input_Meci'!E75)</x:f>
      </x:c>
      <x:c r="H839" s="2" t="str">
        <x:v>ANY</x:v>
      </x:c>
      <x:c r="I839" s="2" t="str">
        <x:v>RECENT</x:v>
      </x:c>
      <x:c r="J839" s="9" t="n">
        <x:f>IF(AND(B839&lt;&gt;"",ISNUMBER('Input_Meci'!G75)),INT('Input_Meci'!G75),0)</x:f>
        <x:v>0</x:v>
      </x:c>
      <x:c r="K839" s="2" t="n">
        <x:f>IF(OR(B839="",F839=""),0,IF(H839="HOME",COUNTIFS('Istoric_Nativ'!$B$6:$B$405,E839,'Istoric_Nativ'!$C$6:$C$405,F839,'Istoric_Nativ'!$E$6:$E$405,G839,'Istoric_Nativ'!$D$6:$D$405,"&lt;"&amp;J839,'Istoric_Nativ'!$P$6:$P$405,1),IF(H839="AWAY",COUNTIFS('Istoric_Nativ'!$B$6:$B$405,E839,'Istoric_Nativ'!$C$6:$C$405,F839,'Istoric_Nativ'!$F$6:$F$405,G839,'Istoric_Nativ'!$D$6:$D$405,"&lt;"&amp;J839,'Istoric_Nativ'!$P$6:$P$405,1),COUNTIFS('Istoric_Nativ'!$B$6:$B$405,E839,'Istoric_Nativ'!$C$6:$C$405,F839,'Istoric_Nativ'!$E$6:$E$405,G839,'Istoric_Nativ'!$D$6:$D$405,"&lt;"&amp;J839,'Istoric_Nativ'!$P$6:$P$405,1)+COUNTIFS('Istoric_Nativ'!$B$6:$B$405,E839,'Istoric_Nativ'!$C$6:$C$405,F839,'Istoric_Nativ'!$F$6:$F$405,G839,'Istoric_Nativ'!$D$6:$D$405,"&lt;"&amp;J839,'Istoric_Nativ'!$P$6:$P$405,1))))</x:f>
        <x:v>0</x:v>
      </x:c>
      <x:c r="L839" s="17" t="n">
        <x:f>IF(AND(B839&lt;&gt;"",I839="RECENT",K839&gt;0),LARGE(_xlfn._xlws.FILTER('Istoric_Nativ'!$D$6:$D$405,('Istoric_Nativ'!$B$6:$B$405=E839)*('Istoric_Nativ'!$C$6:$C$405=F839)*('Istoric_Nativ'!$P$6:$P$405=1)*('Istoric_Nativ'!$D$6:$D$405&lt;J839)*((('Istoric_Nativ'!$E$6:$E$405=G839)+('Istoric_Nativ'!$F$6:$F$405=G839))&gt;0)),MIN('Config_v6'!$B$54,K839)),0)</x:f>
        <x:v>0</x:v>
      </x:c>
      <x:c r="M839" s="2" t="n">
        <x:f>IF(OR(B839="",F839=""),0,IF(H839="HOME",COUNTIFS('Istoric_Nativ'!$B$6:$B$405,E839,'Istoric_Nativ'!$C$6:$C$405,F839,'Istoric_Nativ'!$E$6:$E$405,G839,'Istoric_Nativ'!$D$6:$D$405,"&lt;"&amp;J839,'Istoric_Nativ'!$P$6:$P$405,1,'Istoric_Nativ'!$D$6:$D$405,"&gt;="&amp;L839),IF(H839="AWAY",COUNTIFS('Istoric_Nativ'!$B$6:$B$405,E839,'Istoric_Nativ'!$C$6:$C$405,F839,'Istoric_Nativ'!$F$6:$F$405,G839,'Istoric_Nativ'!$D$6:$D$405,"&lt;"&amp;J839,'Istoric_Nativ'!$P$6:$P$405,1,'Istoric_Nativ'!$D$6:$D$405,"&gt;="&amp;L839),COUNTIFS('Istoric_Nativ'!$B$6:$B$405,E839,'Istoric_Nativ'!$C$6:$C$405,F839,'Istoric_Nativ'!$E$6:$E$405,G839,'Istoric_Nativ'!$D$6:$D$405,"&lt;"&amp;J839,'Istoric_Nativ'!$P$6:$P$405,1,'Istoric_Nativ'!$D$6:$D$405,"&gt;="&amp;L839)+COUNTIFS('Istoric_Nativ'!$B$6:$B$405,E839,'Istoric_Nativ'!$C$6:$C$405,F839,'Istoric_Nativ'!$F$6:$F$405,G839,'Istoric_Nativ'!$D$6:$D$405,"&lt;"&amp;J839,'Istoric_Nativ'!$P$6:$P$405,1,'Istoric_Nativ'!$D$6:$D$405,"&gt;="&amp;L839))))</x:f>
        <x:v>0</x:v>
      </x:c>
      <x:c r="N839" s="11" t="str">
        <x:f>IF(M839=0,"",IF(H839="HOME",SUMIFS('Istoric_Nativ'!$G$6:$G$405,'Istoric_Nativ'!$B$6:$B$405,E839,'Istoric_Nativ'!$C$6:$C$405,F839,'Istoric_Nativ'!$E$6:$E$405,G839,'Istoric_Nativ'!$D$6:$D$405,"&lt;"&amp;J839,'Istoric_Nativ'!$P$6:$P$405,1,'Istoric_Nativ'!$D$6:$D$405,"&gt;="&amp;L839),IF(H839="AWAY",SUMIFS('Istoric_Nativ'!$H$6:$H$405,'Istoric_Nativ'!$B$6:$B$405,E839,'Istoric_Nativ'!$C$6:$C$405,F839,'Istoric_Nativ'!$F$6:$F$405,G839,'Istoric_Nativ'!$D$6:$D$405,"&lt;"&amp;J839,'Istoric_Nativ'!$P$6:$P$405,1,'Istoric_Nativ'!$D$6:$D$405,"&gt;="&amp;L839),SUMIFS('Istoric_Nativ'!$G$6:$G$405,'Istoric_Nativ'!$B$6:$B$405,E839,'Istoric_Nativ'!$C$6:$C$405,F839,'Istoric_Nativ'!$E$6:$E$405,G839,'Istoric_Nativ'!$D$6:$D$405,"&lt;"&amp;J839,'Istoric_Nativ'!$P$6:$P$405,1,'Istoric_Nativ'!$D$6:$D$405,"&gt;="&amp;L839)+SUMIFS('Istoric_Nativ'!$H$6:$H$405,'Istoric_Nativ'!$B$6:$B$405,E839,'Istoric_Nativ'!$C$6:$C$405,F839,'Istoric_Nativ'!$F$6:$F$405,G839,'Istoric_Nativ'!$D$6:$D$405,"&lt;"&amp;J839,'Istoric_Nativ'!$P$6:$P$405,1,'Istoric_Nativ'!$D$6:$D$405,"&gt;="&amp;L839)))/M839)</x:f>
      </x:c>
      <x:c r="O839" s="11" t="str">
        <x:f>IF(M839=0,"",IF(H839="HOME",SUMIFS('Istoric_Nativ'!$H$6:$H$405,'Istoric_Nativ'!$B$6:$B$405,E839,'Istoric_Nativ'!$C$6:$C$405,F839,'Istoric_Nativ'!$E$6:$E$405,G839,'Istoric_Nativ'!$D$6:$D$405,"&lt;"&amp;J839,'Istoric_Nativ'!$P$6:$P$405,1,'Istoric_Nativ'!$D$6:$D$405,"&gt;="&amp;L839),IF(H839="AWAY",SUMIFS('Istoric_Nativ'!$G$6:$G$405,'Istoric_Nativ'!$B$6:$B$405,E839,'Istoric_Nativ'!$C$6:$C$405,F839,'Istoric_Nativ'!$F$6:$F$405,G839,'Istoric_Nativ'!$D$6:$D$405,"&lt;"&amp;J839,'Istoric_Nativ'!$P$6:$P$405,1,'Istoric_Nativ'!$D$6:$D$405,"&gt;="&amp;L839),SUMIFS('Istoric_Nativ'!$H$6:$H$405,'Istoric_Nativ'!$B$6:$B$405,E839,'Istoric_Nativ'!$C$6:$C$405,F839,'Istoric_Nativ'!$E$6:$E$405,G839,'Istoric_Nativ'!$D$6:$D$405,"&lt;"&amp;J839,'Istoric_Nativ'!$P$6:$P$405,1,'Istoric_Nativ'!$D$6:$D$405,"&gt;="&amp;L839)+SUMIFS('Istoric_Nativ'!$G$6:$G$405,'Istoric_Nativ'!$B$6:$B$405,E839,'Istoric_Nativ'!$C$6:$C$405,F839,'Istoric_Nativ'!$F$6:$F$405,G839,'Istoric_Nativ'!$D$6:$D$405,"&lt;"&amp;J839,'Istoric_Nativ'!$P$6:$P$405,1,'Istoric_Nativ'!$D$6:$D$405,"&gt;="&amp;L839)))/M839)</x:f>
      </x:c>
      <x:c r="P839" s="2" t="n">
        <x:f>'Config_v6'!$B$9</x:f>
        <x:v>3</x:v>
      </x:c>
      <x:c r="Q839" s="2" t="n">
        <x:f>IF(OR(B839="",F839=""),0,IFERROR(MATCH(E839&amp;"|"&amp;F839,SourceTable[Source_Key],0),0))</x:f>
        <x:v>0</x:v>
      </x:c>
      <x:c r="R839" s="2" t="str">
        <x:f>IF(B839="","",IF(F839="","UNUSED",IF(Q839=0,"NOT CHECKED",IF(COUNTIF(SourceTable[Source_Key],E839&amp;"|"&amp;F839)&lt;&gt;1,"SOURCE CONFLICT",IF(NOT(OR(INDEX(SourceTable[Status],MAX(1,Q839))="IMPORTED",INDEX(SourceTable[Status],MAX(1,Q839))="PARTIAL",INDEX(SourceTable[Status],MAX(1,Q839))="SOURCE CONFLICT")),"ACCESS BLOCKED",IF(OR(INDEX(SourceTable[Coverage],Q839)&lt;&gt;"FULL SEASON EXPORT",INDEX(SourceTable[URL],Q839)="",INDEX(SourceTable[SHA256],Q839)=""),"EVIDENCE INCOMPLETE",IF(AND('Input_Meci'!H75="LIVE",INDEX(SourceTable[Retrieved_UTC],Q839)&gt;'Input_Meci'!G75),"POST CUTOFF","CLOSED")))))))</x:f>
      </x:c>
      <x:c r="S839" s="2" t="n">
        <x:f>IF(OR(B839="",F839=""),0,COUNTIFS('Istoric_Nativ'!$B$6:$B$405,E839,'Istoric_Nativ'!$C$6:$C$405,F839,'Istoric_Nativ'!$E$6:$E$405,G839,'Istoric_Nativ'!$D$6:$D$405,"&lt;"&amp;J839,'Istoric_Nativ'!$O$6:$O$405,"INVALID")+COUNTIFS('Istoric_Nativ'!$B$6:$B$405,E839,'Istoric_Nativ'!$C$6:$C$405,F839,'Istoric_Nativ'!$E$6:$E$405,G839,'Istoric_Nativ'!$O$6:$O$405,"INVALID",'Istoric_Nativ'!$D$6:$D$405,"*")+COUNTIFS('Istoric_Nativ'!$B$6:$B$405,E839,'Istoric_Nativ'!$C$6:$C$405,F839,'Istoric_Nativ'!$E$6:$E$405,G839,'Istoric_Nativ'!$D$6:$D$405,"&lt;"&amp;J839,'Istoric_Nativ'!$O$6:$O$405,"SOURCE CONFLICT")+COUNTIFS('Istoric_Nativ'!$B$6:$B$405,E839,'Istoric_Nativ'!$C$6:$C$405,F839,'Istoric_Nativ'!$F$6:$F$405,G839,'Istoric_Nativ'!$D$6:$D$405,"&lt;"&amp;J839,'Istoric_Nativ'!$O$6:$O$405,"INVALID")+COUNTIFS('Istoric_Nativ'!$B$6:$B$405,E839,'Istoric_Nativ'!$C$6:$C$405,F839,'Istoric_Nativ'!$F$6:$F$405,G839,'Istoric_Nativ'!$O$6:$O$405,"INVALID",'Istoric_Nativ'!$D$6:$D$405,"*")+COUNTIFS('Istoric_Nativ'!$B$6:$B$405,E839,'Istoric_Nativ'!$C$6:$C$405,F839,'Istoric_Nativ'!$F$6:$F$405,G839,'Istoric_Nativ'!$D$6:$D$405,"&lt;"&amp;J839,'Istoric_Nativ'!$O$6:$O$405,"SOURCE CONFLICT"))</x:f>
        <x:v>0</x:v>
      </x:c>
      <x:c r="T839" s="2" t="str">
        <x:f>IF(B839="","",IF(R839&lt;&gt;"CLOSED",R839,IF(S839&gt;0,"NATIVE INPUT ISSUE",IF(M839=0,"NO HISTORY",IF(M839&lt;P839,"SMALL SAMPLE","DERIVED")))))</x:f>
      </x:c>
      <x:c r="U839" s="2" t="str">
        <x:f>IF(B839="","","NativeTable; "&amp;E839&amp;"; "&amp;F839&amp;"; "&amp;G839&amp;"; "&amp;H839&amp;"; before "&amp;TEXT(J839,"yyyy-mm-dd")&amp;IF(I839="RECENT","; from "&amp;TEXT(L839,"yyyy-mm-dd"),""))</x:f>
      </x:c>
    </x:row>
    <x:row r="840" ht="21" customHeight="1">
      <x:c r="A840" s="2" t="n">
        <x:v>70</x:v>
      </x:c>
      <x:c r="B840" s="2" t="str">
        <x:f>IF('Input_Meci'!A75="","",'Input_Meci'!A75)</x:f>
      </x:c>
      <x:c r="C840" s="2" t="str">
        <x:v>H</x:v>
      </x:c>
      <x:c r="D840" s="2" t="str">
        <x:v>PRIOR</x:v>
      </x:c>
      <x:c r="E840" s="2" t="str">
        <x:f>IF(B840="","",'Input_Meci'!B75)</x:f>
      </x:c>
      <x:c r="F840" s="2" t="str">
        <x:f>IF(B840="","",IF('Input_Meci'!K75="","",'Input_Meci'!K75))</x:f>
      </x:c>
      <x:c r="G840" s="2" t="str">
        <x:f>IF(B840="","",'Input_Meci'!D75)</x:f>
      </x:c>
      <x:c r="H840" s="2" t="str">
        <x:v>ANY</x:v>
      </x:c>
      <x:c r="I840" s="2" t="str">
        <x:v>SEASON</x:v>
      </x:c>
      <x:c r="J840" s="9" t="n">
        <x:f>IF(AND(B840&lt;&gt;"",ISNUMBER('Input_Meci'!G75)),INT('Input_Meci'!G75),0)</x:f>
        <x:v>0</x:v>
      </x:c>
      <x:c r="K840" s="2" t="n">
        <x:f>IF(OR(B840="",F840=""),0,IF(H840="HOME",COUNTIFS('Istoric_Nativ'!$B$6:$B$405,E840,'Istoric_Nativ'!$C$6:$C$405,F840,'Istoric_Nativ'!$E$6:$E$405,G840,'Istoric_Nativ'!$D$6:$D$405,"&lt;"&amp;J840,'Istoric_Nativ'!$P$6:$P$405,1),IF(H840="AWAY",COUNTIFS('Istoric_Nativ'!$B$6:$B$405,E840,'Istoric_Nativ'!$C$6:$C$405,F840,'Istoric_Nativ'!$F$6:$F$405,G840,'Istoric_Nativ'!$D$6:$D$405,"&lt;"&amp;J840,'Istoric_Nativ'!$P$6:$P$405,1),COUNTIFS('Istoric_Nativ'!$B$6:$B$405,E840,'Istoric_Nativ'!$C$6:$C$405,F840,'Istoric_Nativ'!$E$6:$E$405,G840,'Istoric_Nativ'!$D$6:$D$405,"&lt;"&amp;J840,'Istoric_Nativ'!$P$6:$P$405,1)+COUNTIFS('Istoric_Nativ'!$B$6:$B$405,E840,'Istoric_Nativ'!$C$6:$C$405,F840,'Istoric_Nativ'!$F$6:$F$405,G840,'Istoric_Nativ'!$D$6:$D$405,"&lt;"&amp;J840,'Istoric_Nativ'!$P$6:$P$405,1))))</x:f>
        <x:v>0</x:v>
      </x:c>
      <x:c r="L840" s="17" t="n">
        <x:f>IF(AND(B840&lt;&gt;"",I840="RECENT",K840&gt;0),LARGE(_xlfn._xlws.FILTER('Istoric_Nativ'!$D$6:$D$405,('Istoric_Nativ'!$B$6:$B$405=E840)*('Istoric_Nativ'!$C$6:$C$405=F840)*('Istoric_Nativ'!$P$6:$P$405=1)*('Istoric_Nativ'!$D$6:$D$405&lt;J840)*((('Istoric_Nativ'!$E$6:$E$405=G840)+('Istoric_Nativ'!$F$6:$F$405=G840))&gt;0)),MIN('Config_v6'!$B$54,K840)),0)</x:f>
        <x:v>0</x:v>
      </x:c>
      <x:c r="M840" s="2" t="n">
        <x:f>IF(OR(B840="",F840=""),0,IF(H840="HOME",COUNTIFS('Istoric_Nativ'!$B$6:$B$405,E840,'Istoric_Nativ'!$C$6:$C$405,F840,'Istoric_Nativ'!$E$6:$E$405,G840,'Istoric_Nativ'!$D$6:$D$405,"&lt;"&amp;J840,'Istoric_Nativ'!$P$6:$P$405,1,'Istoric_Nativ'!$D$6:$D$405,"&gt;="&amp;L840),IF(H840="AWAY",COUNTIFS('Istoric_Nativ'!$B$6:$B$405,E840,'Istoric_Nativ'!$C$6:$C$405,F840,'Istoric_Nativ'!$F$6:$F$405,G840,'Istoric_Nativ'!$D$6:$D$405,"&lt;"&amp;J840,'Istoric_Nativ'!$P$6:$P$405,1,'Istoric_Nativ'!$D$6:$D$405,"&gt;="&amp;L840),COUNTIFS('Istoric_Nativ'!$B$6:$B$405,E840,'Istoric_Nativ'!$C$6:$C$405,F840,'Istoric_Nativ'!$E$6:$E$405,G840,'Istoric_Nativ'!$D$6:$D$405,"&lt;"&amp;J840,'Istoric_Nativ'!$P$6:$P$405,1,'Istoric_Nativ'!$D$6:$D$405,"&gt;="&amp;L840)+COUNTIFS('Istoric_Nativ'!$B$6:$B$405,E840,'Istoric_Nativ'!$C$6:$C$405,F840,'Istoric_Nativ'!$F$6:$F$405,G840,'Istoric_Nativ'!$D$6:$D$405,"&lt;"&amp;J840,'Istoric_Nativ'!$P$6:$P$405,1,'Istoric_Nativ'!$D$6:$D$405,"&gt;="&amp;L840))))</x:f>
        <x:v>0</x:v>
      </x:c>
      <x:c r="N840" s="11" t="str">
        <x:f>IF(M840=0,"",IF(H840="HOME",SUMIFS('Istoric_Nativ'!$G$6:$G$405,'Istoric_Nativ'!$B$6:$B$405,E840,'Istoric_Nativ'!$C$6:$C$405,F840,'Istoric_Nativ'!$E$6:$E$405,G840,'Istoric_Nativ'!$D$6:$D$405,"&lt;"&amp;J840,'Istoric_Nativ'!$P$6:$P$405,1,'Istoric_Nativ'!$D$6:$D$405,"&gt;="&amp;L840),IF(H840="AWAY",SUMIFS('Istoric_Nativ'!$H$6:$H$405,'Istoric_Nativ'!$B$6:$B$405,E840,'Istoric_Nativ'!$C$6:$C$405,F840,'Istoric_Nativ'!$F$6:$F$405,G840,'Istoric_Nativ'!$D$6:$D$405,"&lt;"&amp;J840,'Istoric_Nativ'!$P$6:$P$405,1,'Istoric_Nativ'!$D$6:$D$405,"&gt;="&amp;L840),SUMIFS('Istoric_Nativ'!$G$6:$G$405,'Istoric_Nativ'!$B$6:$B$405,E840,'Istoric_Nativ'!$C$6:$C$405,F840,'Istoric_Nativ'!$E$6:$E$405,G840,'Istoric_Nativ'!$D$6:$D$405,"&lt;"&amp;J840,'Istoric_Nativ'!$P$6:$P$405,1,'Istoric_Nativ'!$D$6:$D$405,"&gt;="&amp;L840)+SUMIFS('Istoric_Nativ'!$H$6:$H$405,'Istoric_Nativ'!$B$6:$B$405,E840,'Istoric_Nativ'!$C$6:$C$405,F840,'Istoric_Nativ'!$F$6:$F$405,G840,'Istoric_Nativ'!$D$6:$D$405,"&lt;"&amp;J840,'Istoric_Nativ'!$P$6:$P$405,1,'Istoric_Nativ'!$D$6:$D$405,"&gt;="&amp;L840)))/M840)</x:f>
      </x:c>
      <x:c r="O840" s="11" t="str">
        <x:f>IF(M840=0,"",IF(H840="HOME",SUMIFS('Istoric_Nativ'!$H$6:$H$405,'Istoric_Nativ'!$B$6:$B$405,E840,'Istoric_Nativ'!$C$6:$C$405,F840,'Istoric_Nativ'!$E$6:$E$405,G840,'Istoric_Nativ'!$D$6:$D$405,"&lt;"&amp;J840,'Istoric_Nativ'!$P$6:$P$405,1,'Istoric_Nativ'!$D$6:$D$405,"&gt;="&amp;L840),IF(H840="AWAY",SUMIFS('Istoric_Nativ'!$G$6:$G$405,'Istoric_Nativ'!$B$6:$B$405,E840,'Istoric_Nativ'!$C$6:$C$405,F840,'Istoric_Nativ'!$F$6:$F$405,G840,'Istoric_Nativ'!$D$6:$D$405,"&lt;"&amp;J840,'Istoric_Nativ'!$P$6:$P$405,1,'Istoric_Nativ'!$D$6:$D$405,"&gt;="&amp;L840),SUMIFS('Istoric_Nativ'!$H$6:$H$405,'Istoric_Nativ'!$B$6:$B$405,E840,'Istoric_Nativ'!$C$6:$C$405,F840,'Istoric_Nativ'!$E$6:$E$405,G840,'Istoric_Nativ'!$D$6:$D$405,"&lt;"&amp;J840,'Istoric_Nativ'!$P$6:$P$405,1,'Istoric_Nativ'!$D$6:$D$405,"&gt;="&amp;L840)+SUMIFS('Istoric_Nativ'!$G$6:$G$405,'Istoric_Nativ'!$B$6:$B$405,E840,'Istoric_Nativ'!$C$6:$C$405,F840,'Istoric_Nativ'!$F$6:$F$405,G840,'Istoric_Nativ'!$D$6:$D$405,"&lt;"&amp;J840,'Istoric_Nativ'!$P$6:$P$405,1,'Istoric_Nativ'!$D$6:$D$405,"&gt;="&amp;L840)))/M840)</x:f>
      </x:c>
      <x:c r="P840" s="2" t="n">
        <x:f>'Config_v6'!$B$7</x:f>
        <x:v>10</x:v>
      </x:c>
      <x:c r="Q840" s="2" t="n">
        <x:f>IF(OR(B840="",F840=""),0,IFERROR(MATCH(E840&amp;"|"&amp;F840,SourceTable[Source_Key],0),0))</x:f>
        <x:v>0</x:v>
      </x:c>
      <x:c r="R840" s="2" t="str">
        <x:f>IF(B840="","",IF(F840="","UNUSED",IF(Q840=0,"NOT CHECKED",IF(COUNTIF(SourceTable[Source_Key],E840&amp;"|"&amp;F840)&lt;&gt;1,"SOURCE CONFLICT",IF(NOT(OR(INDEX(SourceTable[Status],MAX(1,Q840))="IMPORTED",INDEX(SourceTable[Status],MAX(1,Q840))="PARTIAL",INDEX(SourceTable[Status],MAX(1,Q840))="SOURCE CONFLICT")),"ACCESS BLOCKED",IF(OR(INDEX(SourceTable[Coverage],Q840)&lt;&gt;"FULL SEASON EXPORT",INDEX(SourceTable[URL],Q840)="",INDEX(SourceTable[SHA256],Q840)=""),"EVIDENCE INCOMPLETE",IF(AND('Input_Meci'!H75="LIVE",INDEX(SourceTable[Retrieved_UTC],Q840)&gt;'Input_Meci'!G75),"POST CUTOFF","CLOSED")))))))</x:f>
      </x:c>
      <x:c r="S840" s="2" t="n">
        <x:f>IF(OR(B840="",F840=""),0,COUNTIFS('Istoric_Nativ'!$B$6:$B$405,E840,'Istoric_Nativ'!$C$6:$C$405,F840,'Istoric_Nativ'!$E$6:$E$405,G840,'Istoric_Nativ'!$D$6:$D$405,"&lt;"&amp;J840,'Istoric_Nativ'!$O$6:$O$405,"INVALID")+COUNTIFS('Istoric_Nativ'!$B$6:$B$405,E840,'Istoric_Nativ'!$C$6:$C$405,F840,'Istoric_Nativ'!$E$6:$E$405,G840,'Istoric_Nativ'!$O$6:$O$405,"INVALID",'Istoric_Nativ'!$D$6:$D$405,"*")+COUNTIFS('Istoric_Nativ'!$B$6:$B$405,E840,'Istoric_Nativ'!$C$6:$C$405,F840,'Istoric_Nativ'!$E$6:$E$405,G840,'Istoric_Nativ'!$D$6:$D$405,"&lt;"&amp;J840,'Istoric_Nativ'!$O$6:$O$405,"SOURCE CONFLICT")+COUNTIFS('Istoric_Nativ'!$B$6:$B$405,E840,'Istoric_Nativ'!$C$6:$C$405,F840,'Istoric_Nativ'!$F$6:$F$405,G840,'Istoric_Nativ'!$D$6:$D$405,"&lt;"&amp;J840,'Istoric_Nativ'!$O$6:$O$405,"INVALID")+COUNTIFS('Istoric_Nativ'!$B$6:$B$405,E840,'Istoric_Nativ'!$C$6:$C$405,F840,'Istoric_Nativ'!$F$6:$F$405,G840,'Istoric_Nativ'!$O$6:$O$405,"INVALID",'Istoric_Nativ'!$D$6:$D$405,"*")+COUNTIFS('Istoric_Nativ'!$B$6:$B$405,E840,'Istoric_Nativ'!$C$6:$C$405,F840,'Istoric_Nativ'!$F$6:$F$405,G840,'Istoric_Nativ'!$D$6:$D$405,"&lt;"&amp;J840,'Istoric_Nativ'!$O$6:$O$405,"SOURCE CONFLICT"))</x:f>
        <x:v>0</x:v>
      </x:c>
      <x:c r="T840" s="2" t="str">
        <x:f>IF(B840="","",IF(R840&lt;&gt;"CLOSED",R840,IF(S840&gt;0,"NATIVE INPUT ISSUE",IF(M840=0,"NO HISTORY",IF(M840&lt;P840,"SMALL SAMPLE","DERIVED")))))</x:f>
      </x:c>
      <x:c r="U840" s="2" t="str">
        <x:f>IF(B840="","","NativeTable; "&amp;E840&amp;"; "&amp;F840&amp;"; "&amp;G840&amp;"; "&amp;H840&amp;"; before "&amp;TEXT(J840,"yyyy-mm-dd")&amp;IF(I840="RECENT","; from "&amp;TEXT(L840,"yyyy-mm-dd"),""))</x:f>
      </x:c>
    </x:row>
    <x:row r="841" ht="21" customHeight="1">
      <x:c r="A841" s="2" t="n">
        <x:v>70</x:v>
      </x:c>
      <x:c r="B841" s="2" t="str">
        <x:f>IF('Input_Meci'!A75="","",'Input_Meci'!A75)</x:f>
      </x:c>
      <x:c r="C841" s="2" t="str">
        <x:v>H</x:v>
      </x:c>
      <x:c r="D841" s="2" t="str">
        <x:v>PRIOR</x:v>
      </x:c>
      <x:c r="E841" s="2" t="str">
        <x:f>IF(B841="","",'Input_Meci'!B75)</x:f>
      </x:c>
      <x:c r="F841" s="2" t="str">
        <x:f>IF(B841="","",IF('Input_Meci'!K75="","",'Input_Meci'!K75))</x:f>
      </x:c>
      <x:c r="G841" s="2" t="str">
        <x:f>IF(B841="","",'Input_Meci'!D75)</x:f>
      </x:c>
      <x:c r="H841" s="2" t="str">
        <x:v>HOME</x:v>
      </x:c>
      <x:c r="I841" s="2" t="str">
        <x:v>HA</x:v>
      </x:c>
      <x:c r="J841" s="9" t="n">
        <x:f>IF(AND(B841&lt;&gt;"",ISNUMBER('Input_Meci'!G75)),INT('Input_Meci'!G75),0)</x:f>
        <x:v>0</x:v>
      </x:c>
      <x:c r="K841" s="2" t="n">
        <x:f>IF(OR(B841="",F841=""),0,IF(H841="HOME",COUNTIFS('Istoric_Nativ'!$B$6:$B$405,E841,'Istoric_Nativ'!$C$6:$C$405,F841,'Istoric_Nativ'!$E$6:$E$405,G841,'Istoric_Nativ'!$D$6:$D$405,"&lt;"&amp;J841,'Istoric_Nativ'!$P$6:$P$405,1),IF(H841="AWAY",COUNTIFS('Istoric_Nativ'!$B$6:$B$405,E841,'Istoric_Nativ'!$C$6:$C$405,F841,'Istoric_Nativ'!$F$6:$F$405,G841,'Istoric_Nativ'!$D$6:$D$405,"&lt;"&amp;J841,'Istoric_Nativ'!$P$6:$P$405,1),COUNTIFS('Istoric_Nativ'!$B$6:$B$405,E841,'Istoric_Nativ'!$C$6:$C$405,F841,'Istoric_Nativ'!$E$6:$E$405,G841,'Istoric_Nativ'!$D$6:$D$405,"&lt;"&amp;J841,'Istoric_Nativ'!$P$6:$P$405,1)+COUNTIFS('Istoric_Nativ'!$B$6:$B$405,E841,'Istoric_Nativ'!$C$6:$C$405,F841,'Istoric_Nativ'!$F$6:$F$405,G841,'Istoric_Nativ'!$D$6:$D$405,"&lt;"&amp;J841,'Istoric_Nativ'!$P$6:$P$405,1))))</x:f>
        <x:v>0</x:v>
      </x:c>
      <x:c r="L841" s="17" t="n">
        <x:f>IF(AND(B841&lt;&gt;"",I841="RECENT",K841&gt;0),LARGE(_xlfn._xlws.FILTER('Istoric_Nativ'!$D$6:$D$405,('Istoric_Nativ'!$B$6:$B$405=E841)*('Istoric_Nativ'!$C$6:$C$405=F841)*('Istoric_Nativ'!$P$6:$P$405=1)*('Istoric_Nativ'!$D$6:$D$405&lt;J841)*((('Istoric_Nativ'!$E$6:$E$405=G841)+('Istoric_Nativ'!$F$6:$F$405=G841))&gt;0)),MIN('Config_v6'!$B$54,K841)),0)</x:f>
        <x:v>0</x:v>
      </x:c>
      <x:c r="M841" s="2" t="n">
        <x:f>IF(OR(B841="",F841=""),0,IF(H841="HOME",COUNTIFS('Istoric_Nativ'!$B$6:$B$405,E841,'Istoric_Nativ'!$C$6:$C$405,F841,'Istoric_Nativ'!$E$6:$E$405,G841,'Istoric_Nativ'!$D$6:$D$405,"&lt;"&amp;J841,'Istoric_Nativ'!$P$6:$P$405,1,'Istoric_Nativ'!$D$6:$D$405,"&gt;="&amp;L841),IF(H841="AWAY",COUNTIFS('Istoric_Nativ'!$B$6:$B$405,E841,'Istoric_Nativ'!$C$6:$C$405,F841,'Istoric_Nativ'!$F$6:$F$405,G841,'Istoric_Nativ'!$D$6:$D$405,"&lt;"&amp;J841,'Istoric_Nativ'!$P$6:$P$405,1,'Istoric_Nativ'!$D$6:$D$405,"&gt;="&amp;L841),COUNTIFS('Istoric_Nativ'!$B$6:$B$405,E841,'Istoric_Nativ'!$C$6:$C$405,F841,'Istoric_Nativ'!$E$6:$E$405,G841,'Istoric_Nativ'!$D$6:$D$405,"&lt;"&amp;J841,'Istoric_Nativ'!$P$6:$P$405,1,'Istoric_Nativ'!$D$6:$D$405,"&gt;="&amp;L841)+COUNTIFS('Istoric_Nativ'!$B$6:$B$405,E841,'Istoric_Nativ'!$C$6:$C$405,F841,'Istoric_Nativ'!$F$6:$F$405,G841,'Istoric_Nativ'!$D$6:$D$405,"&lt;"&amp;J841,'Istoric_Nativ'!$P$6:$P$405,1,'Istoric_Nativ'!$D$6:$D$405,"&gt;="&amp;L841))))</x:f>
        <x:v>0</x:v>
      </x:c>
      <x:c r="N841" s="11" t="str">
        <x:f>IF(M841=0,"",IF(H841="HOME",SUMIFS('Istoric_Nativ'!$G$6:$G$405,'Istoric_Nativ'!$B$6:$B$405,E841,'Istoric_Nativ'!$C$6:$C$405,F841,'Istoric_Nativ'!$E$6:$E$405,G841,'Istoric_Nativ'!$D$6:$D$405,"&lt;"&amp;J841,'Istoric_Nativ'!$P$6:$P$405,1,'Istoric_Nativ'!$D$6:$D$405,"&gt;="&amp;L841),IF(H841="AWAY",SUMIFS('Istoric_Nativ'!$H$6:$H$405,'Istoric_Nativ'!$B$6:$B$405,E841,'Istoric_Nativ'!$C$6:$C$405,F841,'Istoric_Nativ'!$F$6:$F$405,G841,'Istoric_Nativ'!$D$6:$D$405,"&lt;"&amp;J841,'Istoric_Nativ'!$P$6:$P$405,1,'Istoric_Nativ'!$D$6:$D$405,"&gt;="&amp;L841),SUMIFS('Istoric_Nativ'!$G$6:$G$405,'Istoric_Nativ'!$B$6:$B$405,E841,'Istoric_Nativ'!$C$6:$C$405,F841,'Istoric_Nativ'!$E$6:$E$405,G841,'Istoric_Nativ'!$D$6:$D$405,"&lt;"&amp;J841,'Istoric_Nativ'!$P$6:$P$405,1,'Istoric_Nativ'!$D$6:$D$405,"&gt;="&amp;L841)+SUMIFS('Istoric_Nativ'!$H$6:$H$405,'Istoric_Nativ'!$B$6:$B$405,E841,'Istoric_Nativ'!$C$6:$C$405,F841,'Istoric_Nativ'!$F$6:$F$405,G841,'Istoric_Nativ'!$D$6:$D$405,"&lt;"&amp;J841,'Istoric_Nativ'!$P$6:$P$405,1,'Istoric_Nativ'!$D$6:$D$405,"&gt;="&amp;L841)))/M841)</x:f>
      </x:c>
      <x:c r="O841" s="11" t="str">
        <x:f>IF(M841=0,"",IF(H841="HOME",SUMIFS('Istoric_Nativ'!$H$6:$H$405,'Istoric_Nativ'!$B$6:$B$405,E841,'Istoric_Nativ'!$C$6:$C$405,F841,'Istoric_Nativ'!$E$6:$E$405,G841,'Istoric_Nativ'!$D$6:$D$405,"&lt;"&amp;J841,'Istoric_Nativ'!$P$6:$P$405,1,'Istoric_Nativ'!$D$6:$D$405,"&gt;="&amp;L841),IF(H841="AWAY",SUMIFS('Istoric_Nativ'!$G$6:$G$405,'Istoric_Nativ'!$B$6:$B$405,E841,'Istoric_Nativ'!$C$6:$C$405,F841,'Istoric_Nativ'!$F$6:$F$405,G841,'Istoric_Nativ'!$D$6:$D$405,"&lt;"&amp;J841,'Istoric_Nativ'!$P$6:$P$405,1,'Istoric_Nativ'!$D$6:$D$405,"&gt;="&amp;L841),SUMIFS('Istoric_Nativ'!$H$6:$H$405,'Istoric_Nativ'!$B$6:$B$405,E841,'Istoric_Nativ'!$C$6:$C$405,F841,'Istoric_Nativ'!$E$6:$E$405,G841,'Istoric_Nativ'!$D$6:$D$405,"&lt;"&amp;J841,'Istoric_Nativ'!$P$6:$P$405,1,'Istoric_Nativ'!$D$6:$D$405,"&gt;="&amp;L841)+SUMIFS('Istoric_Nativ'!$G$6:$G$405,'Istoric_Nativ'!$B$6:$B$405,E841,'Istoric_Nativ'!$C$6:$C$405,F841,'Istoric_Nativ'!$F$6:$F$405,G841,'Istoric_Nativ'!$D$6:$D$405,"&lt;"&amp;J841,'Istoric_Nativ'!$P$6:$P$405,1,'Istoric_Nativ'!$D$6:$D$405,"&gt;="&amp;L841)))/M841)</x:f>
      </x:c>
      <x:c r="P841" s="2" t="n">
        <x:f>'Config_v6'!$B$8</x:f>
        <x:v>5</x:v>
      </x:c>
      <x:c r="Q841" s="2" t="n">
        <x:f>IF(OR(B841="",F841=""),0,IFERROR(MATCH(E841&amp;"|"&amp;F841,SourceTable[Source_Key],0),0))</x:f>
        <x:v>0</x:v>
      </x:c>
      <x:c r="R841" s="2" t="str">
        <x:f>IF(B841="","",IF(F841="","UNUSED",IF(Q841=0,"NOT CHECKED",IF(COUNTIF(SourceTable[Source_Key],E841&amp;"|"&amp;F841)&lt;&gt;1,"SOURCE CONFLICT",IF(NOT(OR(INDEX(SourceTable[Status],MAX(1,Q841))="IMPORTED",INDEX(SourceTable[Status],MAX(1,Q841))="PARTIAL",INDEX(SourceTable[Status],MAX(1,Q841))="SOURCE CONFLICT")),"ACCESS BLOCKED",IF(OR(INDEX(SourceTable[Coverage],Q841)&lt;&gt;"FULL SEASON EXPORT",INDEX(SourceTable[URL],Q841)="",INDEX(SourceTable[SHA256],Q841)=""),"EVIDENCE INCOMPLETE",IF(AND('Input_Meci'!H75="LIVE",INDEX(SourceTable[Retrieved_UTC],Q841)&gt;'Input_Meci'!G75),"POST CUTOFF","CLOSED")))))))</x:f>
      </x:c>
      <x:c r="S841" s="2" t="n">
        <x:f>IF(OR(B841="",F841=""),0,COUNTIFS('Istoric_Nativ'!$B$6:$B$405,E841,'Istoric_Nativ'!$C$6:$C$405,F841,'Istoric_Nativ'!$E$6:$E$405,G841,'Istoric_Nativ'!$D$6:$D$405,"&lt;"&amp;J841,'Istoric_Nativ'!$O$6:$O$405,"INVALID")+COUNTIFS('Istoric_Nativ'!$B$6:$B$405,E841,'Istoric_Nativ'!$C$6:$C$405,F841,'Istoric_Nativ'!$E$6:$E$405,G841,'Istoric_Nativ'!$O$6:$O$405,"INVALID",'Istoric_Nativ'!$D$6:$D$405,"*")+COUNTIFS('Istoric_Nativ'!$B$6:$B$405,E841,'Istoric_Nativ'!$C$6:$C$405,F841,'Istoric_Nativ'!$E$6:$E$405,G841,'Istoric_Nativ'!$D$6:$D$405,"&lt;"&amp;J841,'Istoric_Nativ'!$O$6:$O$405,"SOURCE CONFLICT")+COUNTIFS('Istoric_Nativ'!$B$6:$B$405,E841,'Istoric_Nativ'!$C$6:$C$405,F841,'Istoric_Nativ'!$F$6:$F$405,G841,'Istoric_Nativ'!$D$6:$D$405,"&lt;"&amp;J841,'Istoric_Nativ'!$O$6:$O$405,"INVALID")+COUNTIFS('Istoric_Nativ'!$B$6:$B$405,E841,'Istoric_Nativ'!$C$6:$C$405,F841,'Istoric_Nativ'!$F$6:$F$405,G841,'Istoric_Nativ'!$O$6:$O$405,"INVALID",'Istoric_Nativ'!$D$6:$D$405,"*")+COUNTIFS('Istoric_Nativ'!$B$6:$B$405,E841,'Istoric_Nativ'!$C$6:$C$405,F841,'Istoric_Nativ'!$F$6:$F$405,G841,'Istoric_Nativ'!$D$6:$D$405,"&lt;"&amp;J841,'Istoric_Nativ'!$O$6:$O$405,"SOURCE CONFLICT"))</x:f>
        <x:v>0</x:v>
      </x:c>
      <x:c r="T841" s="2" t="str">
        <x:f>IF(B841="","",IF(R841&lt;&gt;"CLOSED",R841,IF(S841&gt;0,"NATIVE INPUT ISSUE",IF(M841=0,"NO HISTORY",IF(M841&lt;P841,"SMALL SAMPLE","DERIVED")))))</x:f>
      </x:c>
      <x:c r="U841" s="2" t="str">
        <x:f>IF(B841="","","NativeTable; "&amp;E841&amp;"; "&amp;F841&amp;"; "&amp;G841&amp;"; "&amp;H841&amp;"; before "&amp;TEXT(J841,"yyyy-mm-dd")&amp;IF(I841="RECENT","; from "&amp;TEXT(L841,"yyyy-mm-dd"),""))</x:f>
      </x:c>
    </x:row>
    <x:row r="842" ht="21" customHeight="1">
      <x:c r="A842" s="2" t="n">
        <x:v>70</x:v>
      </x:c>
      <x:c r="B842" s="2" t="str">
        <x:f>IF('Input_Meci'!A75="","",'Input_Meci'!A75)</x:f>
      </x:c>
      <x:c r="C842" s="2" t="str">
        <x:v>H</x:v>
      </x:c>
      <x:c r="D842" s="2" t="str">
        <x:v>PRIOR</x:v>
      </x:c>
      <x:c r="E842" s="2" t="str">
        <x:f>IF(B842="","",'Input_Meci'!B75)</x:f>
      </x:c>
      <x:c r="F842" s="2" t="str">
        <x:f>IF(B842="","",IF('Input_Meci'!K75="","",'Input_Meci'!K75))</x:f>
      </x:c>
      <x:c r="G842" s="2" t="str">
        <x:f>IF(B842="","",'Input_Meci'!D75)</x:f>
      </x:c>
      <x:c r="H842" s="2" t="str">
        <x:v>ANY</x:v>
      </x:c>
      <x:c r="I842" s="2" t="str">
        <x:v>RECENT</x:v>
      </x:c>
      <x:c r="J842" s="9" t="n">
        <x:f>IF(AND(B842&lt;&gt;"",ISNUMBER('Input_Meci'!G75)),INT('Input_Meci'!G75),0)</x:f>
        <x:v>0</x:v>
      </x:c>
      <x:c r="K842" s="2" t="n">
        <x:f>IF(OR(B842="",F842=""),0,IF(H842="HOME",COUNTIFS('Istoric_Nativ'!$B$6:$B$405,E842,'Istoric_Nativ'!$C$6:$C$405,F842,'Istoric_Nativ'!$E$6:$E$405,G842,'Istoric_Nativ'!$D$6:$D$405,"&lt;"&amp;J842,'Istoric_Nativ'!$P$6:$P$405,1),IF(H842="AWAY",COUNTIFS('Istoric_Nativ'!$B$6:$B$405,E842,'Istoric_Nativ'!$C$6:$C$405,F842,'Istoric_Nativ'!$F$6:$F$405,G842,'Istoric_Nativ'!$D$6:$D$405,"&lt;"&amp;J842,'Istoric_Nativ'!$P$6:$P$405,1),COUNTIFS('Istoric_Nativ'!$B$6:$B$405,E842,'Istoric_Nativ'!$C$6:$C$405,F842,'Istoric_Nativ'!$E$6:$E$405,G842,'Istoric_Nativ'!$D$6:$D$405,"&lt;"&amp;J842,'Istoric_Nativ'!$P$6:$P$405,1)+COUNTIFS('Istoric_Nativ'!$B$6:$B$405,E842,'Istoric_Nativ'!$C$6:$C$405,F842,'Istoric_Nativ'!$F$6:$F$405,G842,'Istoric_Nativ'!$D$6:$D$405,"&lt;"&amp;J842,'Istoric_Nativ'!$P$6:$P$405,1))))</x:f>
        <x:v>0</x:v>
      </x:c>
      <x:c r="L842" s="17" t="n">
        <x:f>IF(AND(B842&lt;&gt;"",I842="RECENT",K842&gt;0),LARGE(_xlfn._xlws.FILTER('Istoric_Nativ'!$D$6:$D$405,('Istoric_Nativ'!$B$6:$B$405=E842)*('Istoric_Nativ'!$C$6:$C$405=F842)*('Istoric_Nativ'!$P$6:$P$405=1)*('Istoric_Nativ'!$D$6:$D$405&lt;J842)*((('Istoric_Nativ'!$E$6:$E$405=G842)+('Istoric_Nativ'!$F$6:$F$405=G842))&gt;0)),MIN('Config_v6'!$B$54,K842)),0)</x:f>
        <x:v>0</x:v>
      </x:c>
      <x:c r="M842" s="2" t="n">
        <x:f>IF(OR(B842="",F842=""),0,IF(H842="HOME",COUNTIFS('Istoric_Nativ'!$B$6:$B$405,E842,'Istoric_Nativ'!$C$6:$C$405,F842,'Istoric_Nativ'!$E$6:$E$405,G842,'Istoric_Nativ'!$D$6:$D$405,"&lt;"&amp;J842,'Istoric_Nativ'!$P$6:$P$405,1,'Istoric_Nativ'!$D$6:$D$405,"&gt;="&amp;L842),IF(H842="AWAY",COUNTIFS('Istoric_Nativ'!$B$6:$B$405,E842,'Istoric_Nativ'!$C$6:$C$405,F842,'Istoric_Nativ'!$F$6:$F$405,G842,'Istoric_Nativ'!$D$6:$D$405,"&lt;"&amp;J842,'Istoric_Nativ'!$P$6:$P$405,1,'Istoric_Nativ'!$D$6:$D$405,"&gt;="&amp;L842),COUNTIFS('Istoric_Nativ'!$B$6:$B$405,E842,'Istoric_Nativ'!$C$6:$C$405,F842,'Istoric_Nativ'!$E$6:$E$405,G842,'Istoric_Nativ'!$D$6:$D$405,"&lt;"&amp;J842,'Istoric_Nativ'!$P$6:$P$405,1,'Istoric_Nativ'!$D$6:$D$405,"&gt;="&amp;L842)+COUNTIFS('Istoric_Nativ'!$B$6:$B$405,E842,'Istoric_Nativ'!$C$6:$C$405,F842,'Istoric_Nativ'!$F$6:$F$405,G842,'Istoric_Nativ'!$D$6:$D$405,"&lt;"&amp;J842,'Istoric_Nativ'!$P$6:$P$405,1,'Istoric_Nativ'!$D$6:$D$405,"&gt;="&amp;L842))))</x:f>
        <x:v>0</x:v>
      </x:c>
      <x:c r="N842" s="11" t="str">
        <x:f>IF(M842=0,"",IF(H842="HOME",SUMIFS('Istoric_Nativ'!$G$6:$G$405,'Istoric_Nativ'!$B$6:$B$405,E842,'Istoric_Nativ'!$C$6:$C$405,F842,'Istoric_Nativ'!$E$6:$E$405,G842,'Istoric_Nativ'!$D$6:$D$405,"&lt;"&amp;J842,'Istoric_Nativ'!$P$6:$P$405,1,'Istoric_Nativ'!$D$6:$D$405,"&gt;="&amp;L842),IF(H842="AWAY",SUMIFS('Istoric_Nativ'!$H$6:$H$405,'Istoric_Nativ'!$B$6:$B$405,E842,'Istoric_Nativ'!$C$6:$C$405,F842,'Istoric_Nativ'!$F$6:$F$405,G842,'Istoric_Nativ'!$D$6:$D$405,"&lt;"&amp;J842,'Istoric_Nativ'!$P$6:$P$405,1,'Istoric_Nativ'!$D$6:$D$405,"&gt;="&amp;L842),SUMIFS('Istoric_Nativ'!$G$6:$G$405,'Istoric_Nativ'!$B$6:$B$405,E842,'Istoric_Nativ'!$C$6:$C$405,F842,'Istoric_Nativ'!$E$6:$E$405,G842,'Istoric_Nativ'!$D$6:$D$405,"&lt;"&amp;J842,'Istoric_Nativ'!$P$6:$P$405,1,'Istoric_Nativ'!$D$6:$D$405,"&gt;="&amp;L842)+SUMIFS('Istoric_Nativ'!$H$6:$H$405,'Istoric_Nativ'!$B$6:$B$405,E842,'Istoric_Nativ'!$C$6:$C$405,F842,'Istoric_Nativ'!$F$6:$F$405,G842,'Istoric_Nativ'!$D$6:$D$405,"&lt;"&amp;J842,'Istoric_Nativ'!$P$6:$P$405,1,'Istoric_Nativ'!$D$6:$D$405,"&gt;="&amp;L842)))/M842)</x:f>
      </x:c>
      <x:c r="O842" s="11" t="str">
        <x:f>IF(M842=0,"",IF(H842="HOME",SUMIFS('Istoric_Nativ'!$H$6:$H$405,'Istoric_Nativ'!$B$6:$B$405,E842,'Istoric_Nativ'!$C$6:$C$405,F842,'Istoric_Nativ'!$E$6:$E$405,G842,'Istoric_Nativ'!$D$6:$D$405,"&lt;"&amp;J842,'Istoric_Nativ'!$P$6:$P$405,1,'Istoric_Nativ'!$D$6:$D$405,"&gt;="&amp;L842),IF(H842="AWAY",SUMIFS('Istoric_Nativ'!$G$6:$G$405,'Istoric_Nativ'!$B$6:$B$405,E842,'Istoric_Nativ'!$C$6:$C$405,F842,'Istoric_Nativ'!$F$6:$F$405,G842,'Istoric_Nativ'!$D$6:$D$405,"&lt;"&amp;J842,'Istoric_Nativ'!$P$6:$P$405,1,'Istoric_Nativ'!$D$6:$D$405,"&gt;="&amp;L842),SUMIFS('Istoric_Nativ'!$H$6:$H$405,'Istoric_Nativ'!$B$6:$B$405,E842,'Istoric_Nativ'!$C$6:$C$405,F842,'Istoric_Nativ'!$E$6:$E$405,G842,'Istoric_Nativ'!$D$6:$D$405,"&lt;"&amp;J842,'Istoric_Nativ'!$P$6:$P$405,1,'Istoric_Nativ'!$D$6:$D$405,"&gt;="&amp;L842)+SUMIFS('Istoric_Nativ'!$G$6:$G$405,'Istoric_Nativ'!$B$6:$B$405,E842,'Istoric_Nativ'!$C$6:$C$405,F842,'Istoric_Nativ'!$F$6:$F$405,G842,'Istoric_Nativ'!$D$6:$D$405,"&lt;"&amp;J842,'Istoric_Nativ'!$P$6:$P$405,1,'Istoric_Nativ'!$D$6:$D$405,"&gt;="&amp;L842)))/M842)</x:f>
      </x:c>
      <x:c r="P842" s="2" t="n">
        <x:f>'Config_v6'!$B$9</x:f>
        <x:v>3</x:v>
      </x:c>
      <x:c r="Q842" s="2" t="n">
        <x:f>IF(OR(B842="",F842=""),0,IFERROR(MATCH(E842&amp;"|"&amp;F842,SourceTable[Source_Key],0),0))</x:f>
        <x:v>0</x:v>
      </x:c>
      <x:c r="R842" s="2" t="str">
        <x:f>IF(B842="","",IF(F842="","UNUSED",IF(Q842=0,"NOT CHECKED",IF(COUNTIF(SourceTable[Source_Key],E842&amp;"|"&amp;F842)&lt;&gt;1,"SOURCE CONFLICT",IF(NOT(OR(INDEX(SourceTable[Status],MAX(1,Q842))="IMPORTED",INDEX(SourceTable[Status],MAX(1,Q842))="PARTIAL",INDEX(SourceTable[Status],MAX(1,Q842))="SOURCE CONFLICT")),"ACCESS BLOCKED",IF(OR(INDEX(SourceTable[Coverage],Q842)&lt;&gt;"FULL SEASON EXPORT",INDEX(SourceTable[URL],Q842)="",INDEX(SourceTable[SHA256],Q842)=""),"EVIDENCE INCOMPLETE",IF(AND('Input_Meci'!H75="LIVE",INDEX(SourceTable[Retrieved_UTC],Q842)&gt;'Input_Meci'!G75),"POST CUTOFF","CLOSED")))))))</x:f>
      </x:c>
      <x:c r="S842" s="2" t="n">
        <x:f>IF(OR(B842="",F842=""),0,COUNTIFS('Istoric_Nativ'!$B$6:$B$405,E842,'Istoric_Nativ'!$C$6:$C$405,F842,'Istoric_Nativ'!$E$6:$E$405,G842,'Istoric_Nativ'!$D$6:$D$405,"&lt;"&amp;J842,'Istoric_Nativ'!$O$6:$O$405,"INVALID")+COUNTIFS('Istoric_Nativ'!$B$6:$B$405,E842,'Istoric_Nativ'!$C$6:$C$405,F842,'Istoric_Nativ'!$E$6:$E$405,G842,'Istoric_Nativ'!$O$6:$O$405,"INVALID",'Istoric_Nativ'!$D$6:$D$405,"*")+COUNTIFS('Istoric_Nativ'!$B$6:$B$405,E842,'Istoric_Nativ'!$C$6:$C$405,F842,'Istoric_Nativ'!$E$6:$E$405,G842,'Istoric_Nativ'!$D$6:$D$405,"&lt;"&amp;J842,'Istoric_Nativ'!$O$6:$O$405,"SOURCE CONFLICT")+COUNTIFS('Istoric_Nativ'!$B$6:$B$405,E842,'Istoric_Nativ'!$C$6:$C$405,F842,'Istoric_Nativ'!$F$6:$F$405,G842,'Istoric_Nativ'!$D$6:$D$405,"&lt;"&amp;J842,'Istoric_Nativ'!$O$6:$O$405,"INVALID")+COUNTIFS('Istoric_Nativ'!$B$6:$B$405,E842,'Istoric_Nativ'!$C$6:$C$405,F842,'Istoric_Nativ'!$F$6:$F$405,G842,'Istoric_Nativ'!$O$6:$O$405,"INVALID",'Istoric_Nativ'!$D$6:$D$405,"*")+COUNTIFS('Istoric_Nativ'!$B$6:$B$405,E842,'Istoric_Nativ'!$C$6:$C$405,F842,'Istoric_Nativ'!$F$6:$F$405,G842,'Istoric_Nativ'!$D$6:$D$405,"&lt;"&amp;J842,'Istoric_Nativ'!$O$6:$O$405,"SOURCE CONFLICT"))</x:f>
        <x:v>0</x:v>
      </x:c>
      <x:c r="T842" s="2" t="str">
        <x:f>IF(B842="","",IF(R842&lt;&gt;"CLOSED",R842,IF(S842&gt;0,"NATIVE INPUT ISSUE",IF(M842=0,"NO HISTORY",IF(M842&lt;P842,"SMALL SAMPLE","DERIVED")))))</x:f>
      </x:c>
      <x:c r="U842" s="2" t="str">
        <x:f>IF(B842="","","NativeTable; "&amp;E842&amp;"; "&amp;F842&amp;"; "&amp;G842&amp;"; "&amp;H842&amp;"; before "&amp;TEXT(J842,"yyyy-mm-dd")&amp;IF(I842="RECENT","; from "&amp;TEXT(L842,"yyyy-mm-dd"),""))</x:f>
      </x:c>
    </x:row>
    <x:row r="843" ht="21" customHeight="1">
      <x:c r="A843" s="2" t="n">
        <x:v>70</x:v>
      </x:c>
      <x:c r="B843" s="2" t="str">
        <x:f>IF('Input_Meci'!A75="","",'Input_Meci'!A75)</x:f>
      </x:c>
      <x:c r="C843" s="2" t="str">
        <x:v>A</x:v>
      </x:c>
      <x:c r="D843" s="2" t="str">
        <x:v>PRIOR</x:v>
      </x:c>
      <x:c r="E843" s="2" t="str">
        <x:f>IF(B843="","",'Input_Meci'!B75)</x:f>
      </x:c>
      <x:c r="F843" s="2" t="str">
        <x:f>IF(B843="","",IF('Input_Meci'!K75="","",'Input_Meci'!K75))</x:f>
      </x:c>
      <x:c r="G843" s="2" t="str">
        <x:f>IF(B843="","",'Input_Meci'!E75)</x:f>
      </x:c>
      <x:c r="H843" s="2" t="str">
        <x:v>ANY</x:v>
      </x:c>
      <x:c r="I843" s="2" t="str">
        <x:v>SEASON</x:v>
      </x:c>
      <x:c r="J843" s="9" t="n">
        <x:f>IF(AND(B843&lt;&gt;"",ISNUMBER('Input_Meci'!G75)),INT('Input_Meci'!G75),0)</x:f>
        <x:v>0</x:v>
      </x:c>
      <x:c r="K843" s="2" t="n">
        <x:f>IF(OR(B843="",F843=""),0,IF(H843="HOME",COUNTIFS('Istoric_Nativ'!$B$6:$B$405,E843,'Istoric_Nativ'!$C$6:$C$405,F843,'Istoric_Nativ'!$E$6:$E$405,G843,'Istoric_Nativ'!$D$6:$D$405,"&lt;"&amp;J843,'Istoric_Nativ'!$P$6:$P$405,1),IF(H843="AWAY",COUNTIFS('Istoric_Nativ'!$B$6:$B$405,E843,'Istoric_Nativ'!$C$6:$C$405,F843,'Istoric_Nativ'!$F$6:$F$405,G843,'Istoric_Nativ'!$D$6:$D$405,"&lt;"&amp;J843,'Istoric_Nativ'!$P$6:$P$405,1),COUNTIFS('Istoric_Nativ'!$B$6:$B$405,E843,'Istoric_Nativ'!$C$6:$C$405,F843,'Istoric_Nativ'!$E$6:$E$405,G843,'Istoric_Nativ'!$D$6:$D$405,"&lt;"&amp;J843,'Istoric_Nativ'!$P$6:$P$405,1)+COUNTIFS('Istoric_Nativ'!$B$6:$B$405,E843,'Istoric_Nativ'!$C$6:$C$405,F843,'Istoric_Nativ'!$F$6:$F$405,G843,'Istoric_Nativ'!$D$6:$D$405,"&lt;"&amp;J843,'Istoric_Nativ'!$P$6:$P$405,1))))</x:f>
        <x:v>0</x:v>
      </x:c>
      <x:c r="L843" s="17" t="n">
        <x:f>IF(AND(B843&lt;&gt;"",I843="RECENT",K843&gt;0),LARGE(_xlfn._xlws.FILTER('Istoric_Nativ'!$D$6:$D$405,('Istoric_Nativ'!$B$6:$B$405=E843)*('Istoric_Nativ'!$C$6:$C$405=F843)*('Istoric_Nativ'!$P$6:$P$405=1)*('Istoric_Nativ'!$D$6:$D$405&lt;J843)*((('Istoric_Nativ'!$E$6:$E$405=G843)+('Istoric_Nativ'!$F$6:$F$405=G843))&gt;0)),MIN('Config_v6'!$B$54,K843)),0)</x:f>
        <x:v>0</x:v>
      </x:c>
      <x:c r="M843" s="2" t="n">
        <x:f>IF(OR(B843="",F843=""),0,IF(H843="HOME",COUNTIFS('Istoric_Nativ'!$B$6:$B$405,E843,'Istoric_Nativ'!$C$6:$C$405,F843,'Istoric_Nativ'!$E$6:$E$405,G843,'Istoric_Nativ'!$D$6:$D$405,"&lt;"&amp;J843,'Istoric_Nativ'!$P$6:$P$405,1,'Istoric_Nativ'!$D$6:$D$405,"&gt;="&amp;L843),IF(H843="AWAY",COUNTIFS('Istoric_Nativ'!$B$6:$B$405,E843,'Istoric_Nativ'!$C$6:$C$405,F843,'Istoric_Nativ'!$F$6:$F$405,G843,'Istoric_Nativ'!$D$6:$D$405,"&lt;"&amp;J843,'Istoric_Nativ'!$P$6:$P$405,1,'Istoric_Nativ'!$D$6:$D$405,"&gt;="&amp;L843),COUNTIFS('Istoric_Nativ'!$B$6:$B$405,E843,'Istoric_Nativ'!$C$6:$C$405,F843,'Istoric_Nativ'!$E$6:$E$405,G843,'Istoric_Nativ'!$D$6:$D$405,"&lt;"&amp;J843,'Istoric_Nativ'!$P$6:$P$405,1,'Istoric_Nativ'!$D$6:$D$405,"&gt;="&amp;L843)+COUNTIFS('Istoric_Nativ'!$B$6:$B$405,E843,'Istoric_Nativ'!$C$6:$C$405,F843,'Istoric_Nativ'!$F$6:$F$405,G843,'Istoric_Nativ'!$D$6:$D$405,"&lt;"&amp;J843,'Istoric_Nativ'!$P$6:$P$405,1,'Istoric_Nativ'!$D$6:$D$405,"&gt;="&amp;L843))))</x:f>
        <x:v>0</x:v>
      </x:c>
      <x:c r="N843" s="11" t="str">
        <x:f>IF(M843=0,"",IF(H843="HOME",SUMIFS('Istoric_Nativ'!$G$6:$G$405,'Istoric_Nativ'!$B$6:$B$405,E843,'Istoric_Nativ'!$C$6:$C$405,F843,'Istoric_Nativ'!$E$6:$E$405,G843,'Istoric_Nativ'!$D$6:$D$405,"&lt;"&amp;J843,'Istoric_Nativ'!$P$6:$P$405,1,'Istoric_Nativ'!$D$6:$D$405,"&gt;="&amp;L843),IF(H843="AWAY",SUMIFS('Istoric_Nativ'!$H$6:$H$405,'Istoric_Nativ'!$B$6:$B$405,E843,'Istoric_Nativ'!$C$6:$C$405,F843,'Istoric_Nativ'!$F$6:$F$405,G843,'Istoric_Nativ'!$D$6:$D$405,"&lt;"&amp;J843,'Istoric_Nativ'!$P$6:$P$405,1,'Istoric_Nativ'!$D$6:$D$405,"&gt;="&amp;L843),SUMIFS('Istoric_Nativ'!$G$6:$G$405,'Istoric_Nativ'!$B$6:$B$405,E843,'Istoric_Nativ'!$C$6:$C$405,F843,'Istoric_Nativ'!$E$6:$E$405,G843,'Istoric_Nativ'!$D$6:$D$405,"&lt;"&amp;J843,'Istoric_Nativ'!$P$6:$P$405,1,'Istoric_Nativ'!$D$6:$D$405,"&gt;="&amp;L843)+SUMIFS('Istoric_Nativ'!$H$6:$H$405,'Istoric_Nativ'!$B$6:$B$405,E843,'Istoric_Nativ'!$C$6:$C$405,F843,'Istoric_Nativ'!$F$6:$F$405,G843,'Istoric_Nativ'!$D$6:$D$405,"&lt;"&amp;J843,'Istoric_Nativ'!$P$6:$P$405,1,'Istoric_Nativ'!$D$6:$D$405,"&gt;="&amp;L843)))/M843)</x:f>
      </x:c>
      <x:c r="O843" s="11" t="str">
        <x:f>IF(M843=0,"",IF(H843="HOME",SUMIFS('Istoric_Nativ'!$H$6:$H$405,'Istoric_Nativ'!$B$6:$B$405,E843,'Istoric_Nativ'!$C$6:$C$405,F843,'Istoric_Nativ'!$E$6:$E$405,G843,'Istoric_Nativ'!$D$6:$D$405,"&lt;"&amp;J843,'Istoric_Nativ'!$P$6:$P$405,1,'Istoric_Nativ'!$D$6:$D$405,"&gt;="&amp;L843),IF(H843="AWAY",SUMIFS('Istoric_Nativ'!$G$6:$G$405,'Istoric_Nativ'!$B$6:$B$405,E843,'Istoric_Nativ'!$C$6:$C$405,F843,'Istoric_Nativ'!$F$6:$F$405,G843,'Istoric_Nativ'!$D$6:$D$405,"&lt;"&amp;J843,'Istoric_Nativ'!$P$6:$P$405,1,'Istoric_Nativ'!$D$6:$D$405,"&gt;="&amp;L843),SUMIFS('Istoric_Nativ'!$H$6:$H$405,'Istoric_Nativ'!$B$6:$B$405,E843,'Istoric_Nativ'!$C$6:$C$405,F843,'Istoric_Nativ'!$E$6:$E$405,G843,'Istoric_Nativ'!$D$6:$D$405,"&lt;"&amp;J843,'Istoric_Nativ'!$P$6:$P$405,1,'Istoric_Nativ'!$D$6:$D$405,"&gt;="&amp;L843)+SUMIFS('Istoric_Nativ'!$G$6:$G$405,'Istoric_Nativ'!$B$6:$B$405,E843,'Istoric_Nativ'!$C$6:$C$405,F843,'Istoric_Nativ'!$F$6:$F$405,G843,'Istoric_Nativ'!$D$6:$D$405,"&lt;"&amp;J843,'Istoric_Nativ'!$P$6:$P$405,1,'Istoric_Nativ'!$D$6:$D$405,"&gt;="&amp;L843)))/M843)</x:f>
      </x:c>
      <x:c r="P843" s="2" t="n">
        <x:f>'Config_v6'!$B$7</x:f>
        <x:v>10</x:v>
      </x:c>
      <x:c r="Q843" s="2" t="n">
        <x:f>IF(OR(B843="",F843=""),0,IFERROR(MATCH(E843&amp;"|"&amp;F843,SourceTable[Source_Key],0),0))</x:f>
        <x:v>0</x:v>
      </x:c>
      <x:c r="R843" s="2" t="str">
        <x:f>IF(B843="","",IF(F843="","UNUSED",IF(Q843=0,"NOT CHECKED",IF(COUNTIF(SourceTable[Source_Key],E843&amp;"|"&amp;F843)&lt;&gt;1,"SOURCE CONFLICT",IF(NOT(OR(INDEX(SourceTable[Status],MAX(1,Q843))="IMPORTED",INDEX(SourceTable[Status],MAX(1,Q843))="PARTIAL",INDEX(SourceTable[Status],MAX(1,Q843))="SOURCE CONFLICT")),"ACCESS BLOCKED",IF(OR(INDEX(SourceTable[Coverage],Q843)&lt;&gt;"FULL SEASON EXPORT",INDEX(SourceTable[URL],Q843)="",INDEX(SourceTable[SHA256],Q843)=""),"EVIDENCE INCOMPLETE",IF(AND('Input_Meci'!H75="LIVE",INDEX(SourceTable[Retrieved_UTC],Q843)&gt;'Input_Meci'!G75),"POST CUTOFF","CLOSED")))))))</x:f>
      </x:c>
      <x:c r="S843" s="2" t="n">
        <x:f>IF(OR(B843="",F843=""),0,COUNTIFS('Istoric_Nativ'!$B$6:$B$405,E843,'Istoric_Nativ'!$C$6:$C$405,F843,'Istoric_Nativ'!$E$6:$E$405,G843,'Istoric_Nativ'!$D$6:$D$405,"&lt;"&amp;J843,'Istoric_Nativ'!$O$6:$O$405,"INVALID")+COUNTIFS('Istoric_Nativ'!$B$6:$B$405,E843,'Istoric_Nativ'!$C$6:$C$405,F843,'Istoric_Nativ'!$E$6:$E$405,G843,'Istoric_Nativ'!$O$6:$O$405,"INVALID",'Istoric_Nativ'!$D$6:$D$405,"*")+COUNTIFS('Istoric_Nativ'!$B$6:$B$405,E843,'Istoric_Nativ'!$C$6:$C$405,F843,'Istoric_Nativ'!$E$6:$E$405,G843,'Istoric_Nativ'!$D$6:$D$405,"&lt;"&amp;J843,'Istoric_Nativ'!$O$6:$O$405,"SOURCE CONFLICT")+COUNTIFS('Istoric_Nativ'!$B$6:$B$405,E843,'Istoric_Nativ'!$C$6:$C$405,F843,'Istoric_Nativ'!$F$6:$F$405,G843,'Istoric_Nativ'!$D$6:$D$405,"&lt;"&amp;J843,'Istoric_Nativ'!$O$6:$O$405,"INVALID")+COUNTIFS('Istoric_Nativ'!$B$6:$B$405,E843,'Istoric_Nativ'!$C$6:$C$405,F843,'Istoric_Nativ'!$F$6:$F$405,G843,'Istoric_Nativ'!$O$6:$O$405,"INVALID",'Istoric_Nativ'!$D$6:$D$405,"*")+COUNTIFS('Istoric_Nativ'!$B$6:$B$405,E843,'Istoric_Nativ'!$C$6:$C$405,F843,'Istoric_Nativ'!$F$6:$F$405,G843,'Istoric_Nativ'!$D$6:$D$405,"&lt;"&amp;J843,'Istoric_Nativ'!$O$6:$O$405,"SOURCE CONFLICT"))</x:f>
        <x:v>0</x:v>
      </x:c>
      <x:c r="T843" s="2" t="str">
        <x:f>IF(B843="","",IF(R843&lt;&gt;"CLOSED",R843,IF(S843&gt;0,"NATIVE INPUT ISSUE",IF(M843=0,"NO HISTORY",IF(M843&lt;P843,"SMALL SAMPLE","DERIVED")))))</x:f>
      </x:c>
      <x:c r="U843" s="2" t="str">
        <x:f>IF(B843="","","NativeTable; "&amp;E843&amp;"; "&amp;F843&amp;"; "&amp;G843&amp;"; "&amp;H843&amp;"; before "&amp;TEXT(J843,"yyyy-mm-dd")&amp;IF(I843="RECENT","; from "&amp;TEXT(L843,"yyyy-mm-dd"),""))</x:f>
      </x:c>
    </x:row>
    <x:row r="844" ht="21" customHeight="1">
      <x:c r="A844" s="2" t="n">
        <x:v>70</x:v>
      </x:c>
      <x:c r="B844" s="2" t="str">
        <x:f>IF('Input_Meci'!A75="","",'Input_Meci'!A75)</x:f>
      </x:c>
      <x:c r="C844" s="2" t="str">
        <x:v>A</x:v>
      </x:c>
      <x:c r="D844" s="2" t="str">
        <x:v>PRIOR</x:v>
      </x:c>
      <x:c r="E844" s="2" t="str">
        <x:f>IF(B844="","",'Input_Meci'!B75)</x:f>
      </x:c>
      <x:c r="F844" s="2" t="str">
        <x:f>IF(B844="","",IF('Input_Meci'!K75="","",'Input_Meci'!K75))</x:f>
      </x:c>
      <x:c r="G844" s="2" t="str">
        <x:f>IF(B844="","",'Input_Meci'!E75)</x:f>
      </x:c>
      <x:c r="H844" s="2" t="str">
        <x:v>AWAY</x:v>
      </x:c>
      <x:c r="I844" s="2" t="str">
        <x:v>HA</x:v>
      </x:c>
      <x:c r="J844" s="9" t="n">
        <x:f>IF(AND(B844&lt;&gt;"",ISNUMBER('Input_Meci'!G75)),INT('Input_Meci'!G75),0)</x:f>
        <x:v>0</x:v>
      </x:c>
      <x:c r="K844" s="2" t="n">
        <x:f>IF(OR(B844="",F844=""),0,IF(H844="HOME",COUNTIFS('Istoric_Nativ'!$B$6:$B$405,E844,'Istoric_Nativ'!$C$6:$C$405,F844,'Istoric_Nativ'!$E$6:$E$405,G844,'Istoric_Nativ'!$D$6:$D$405,"&lt;"&amp;J844,'Istoric_Nativ'!$P$6:$P$405,1),IF(H844="AWAY",COUNTIFS('Istoric_Nativ'!$B$6:$B$405,E844,'Istoric_Nativ'!$C$6:$C$405,F844,'Istoric_Nativ'!$F$6:$F$405,G844,'Istoric_Nativ'!$D$6:$D$405,"&lt;"&amp;J844,'Istoric_Nativ'!$P$6:$P$405,1),COUNTIFS('Istoric_Nativ'!$B$6:$B$405,E844,'Istoric_Nativ'!$C$6:$C$405,F844,'Istoric_Nativ'!$E$6:$E$405,G844,'Istoric_Nativ'!$D$6:$D$405,"&lt;"&amp;J844,'Istoric_Nativ'!$P$6:$P$405,1)+COUNTIFS('Istoric_Nativ'!$B$6:$B$405,E844,'Istoric_Nativ'!$C$6:$C$405,F844,'Istoric_Nativ'!$F$6:$F$405,G844,'Istoric_Nativ'!$D$6:$D$405,"&lt;"&amp;J844,'Istoric_Nativ'!$P$6:$P$405,1))))</x:f>
        <x:v>0</x:v>
      </x:c>
      <x:c r="L844" s="17" t="n">
        <x:f>IF(AND(B844&lt;&gt;"",I844="RECENT",K844&gt;0),LARGE(_xlfn._xlws.FILTER('Istoric_Nativ'!$D$6:$D$405,('Istoric_Nativ'!$B$6:$B$405=E844)*('Istoric_Nativ'!$C$6:$C$405=F844)*('Istoric_Nativ'!$P$6:$P$405=1)*('Istoric_Nativ'!$D$6:$D$405&lt;J844)*((('Istoric_Nativ'!$E$6:$E$405=G844)+('Istoric_Nativ'!$F$6:$F$405=G844))&gt;0)),MIN('Config_v6'!$B$54,K844)),0)</x:f>
        <x:v>0</x:v>
      </x:c>
      <x:c r="M844" s="2" t="n">
        <x:f>IF(OR(B844="",F844=""),0,IF(H844="HOME",COUNTIFS('Istoric_Nativ'!$B$6:$B$405,E844,'Istoric_Nativ'!$C$6:$C$405,F844,'Istoric_Nativ'!$E$6:$E$405,G844,'Istoric_Nativ'!$D$6:$D$405,"&lt;"&amp;J844,'Istoric_Nativ'!$P$6:$P$405,1,'Istoric_Nativ'!$D$6:$D$405,"&gt;="&amp;L844),IF(H844="AWAY",COUNTIFS('Istoric_Nativ'!$B$6:$B$405,E844,'Istoric_Nativ'!$C$6:$C$405,F844,'Istoric_Nativ'!$F$6:$F$405,G844,'Istoric_Nativ'!$D$6:$D$405,"&lt;"&amp;J844,'Istoric_Nativ'!$P$6:$P$405,1,'Istoric_Nativ'!$D$6:$D$405,"&gt;="&amp;L844),COUNTIFS('Istoric_Nativ'!$B$6:$B$405,E844,'Istoric_Nativ'!$C$6:$C$405,F844,'Istoric_Nativ'!$E$6:$E$405,G844,'Istoric_Nativ'!$D$6:$D$405,"&lt;"&amp;J844,'Istoric_Nativ'!$P$6:$P$405,1,'Istoric_Nativ'!$D$6:$D$405,"&gt;="&amp;L844)+COUNTIFS('Istoric_Nativ'!$B$6:$B$405,E844,'Istoric_Nativ'!$C$6:$C$405,F844,'Istoric_Nativ'!$F$6:$F$405,G844,'Istoric_Nativ'!$D$6:$D$405,"&lt;"&amp;J844,'Istoric_Nativ'!$P$6:$P$405,1,'Istoric_Nativ'!$D$6:$D$405,"&gt;="&amp;L844))))</x:f>
        <x:v>0</x:v>
      </x:c>
      <x:c r="N844" s="11" t="str">
        <x:f>IF(M844=0,"",IF(H844="HOME",SUMIFS('Istoric_Nativ'!$G$6:$G$405,'Istoric_Nativ'!$B$6:$B$405,E844,'Istoric_Nativ'!$C$6:$C$405,F844,'Istoric_Nativ'!$E$6:$E$405,G844,'Istoric_Nativ'!$D$6:$D$405,"&lt;"&amp;J844,'Istoric_Nativ'!$P$6:$P$405,1,'Istoric_Nativ'!$D$6:$D$405,"&gt;="&amp;L844),IF(H844="AWAY",SUMIFS('Istoric_Nativ'!$H$6:$H$405,'Istoric_Nativ'!$B$6:$B$405,E844,'Istoric_Nativ'!$C$6:$C$405,F844,'Istoric_Nativ'!$F$6:$F$405,G844,'Istoric_Nativ'!$D$6:$D$405,"&lt;"&amp;J844,'Istoric_Nativ'!$P$6:$P$405,1,'Istoric_Nativ'!$D$6:$D$405,"&gt;="&amp;L844),SUMIFS('Istoric_Nativ'!$G$6:$G$405,'Istoric_Nativ'!$B$6:$B$405,E844,'Istoric_Nativ'!$C$6:$C$405,F844,'Istoric_Nativ'!$E$6:$E$405,G844,'Istoric_Nativ'!$D$6:$D$405,"&lt;"&amp;J844,'Istoric_Nativ'!$P$6:$P$405,1,'Istoric_Nativ'!$D$6:$D$405,"&gt;="&amp;L844)+SUMIFS('Istoric_Nativ'!$H$6:$H$405,'Istoric_Nativ'!$B$6:$B$405,E844,'Istoric_Nativ'!$C$6:$C$405,F844,'Istoric_Nativ'!$F$6:$F$405,G844,'Istoric_Nativ'!$D$6:$D$405,"&lt;"&amp;J844,'Istoric_Nativ'!$P$6:$P$405,1,'Istoric_Nativ'!$D$6:$D$405,"&gt;="&amp;L844)))/M844)</x:f>
      </x:c>
      <x:c r="O844" s="11" t="str">
        <x:f>IF(M844=0,"",IF(H844="HOME",SUMIFS('Istoric_Nativ'!$H$6:$H$405,'Istoric_Nativ'!$B$6:$B$405,E844,'Istoric_Nativ'!$C$6:$C$405,F844,'Istoric_Nativ'!$E$6:$E$405,G844,'Istoric_Nativ'!$D$6:$D$405,"&lt;"&amp;J844,'Istoric_Nativ'!$P$6:$P$405,1,'Istoric_Nativ'!$D$6:$D$405,"&gt;="&amp;L844),IF(H844="AWAY",SUMIFS('Istoric_Nativ'!$G$6:$G$405,'Istoric_Nativ'!$B$6:$B$405,E844,'Istoric_Nativ'!$C$6:$C$405,F844,'Istoric_Nativ'!$F$6:$F$405,G844,'Istoric_Nativ'!$D$6:$D$405,"&lt;"&amp;J844,'Istoric_Nativ'!$P$6:$P$405,1,'Istoric_Nativ'!$D$6:$D$405,"&gt;="&amp;L844),SUMIFS('Istoric_Nativ'!$H$6:$H$405,'Istoric_Nativ'!$B$6:$B$405,E844,'Istoric_Nativ'!$C$6:$C$405,F844,'Istoric_Nativ'!$E$6:$E$405,G844,'Istoric_Nativ'!$D$6:$D$405,"&lt;"&amp;J844,'Istoric_Nativ'!$P$6:$P$405,1,'Istoric_Nativ'!$D$6:$D$405,"&gt;="&amp;L844)+SUMIFS('Istoric_Nativ'!$G$6:$G$405,'Istoric_Nativ'!$B$6:$B$405,E844,'Istoric_Nativ'!$C$6:$C$405,F844,'Istoric_Nativ'!$F$6:$F$405,G844,'Istoric_Nativ'!$D$6:$D$405,"&lt;"&amp;J844,'Istoric_Nativ'!$P$6:$P$405,1,'Istoric_Nativ'!$D$6:$D$405,"&gt;="&amp;L844)))/M844)</x:f>
      </x:c>
      <x:c r="P844" s="2" t="n">
        <x:f>'Config_v6'!$B$8</x:f>
        <x:v>5</x:v>
      </x:c>
      <x:c r="Q844" s="2" t="n">
        <x:f>IF(OR(B844="",F844=""),0,IFERROR(MATCH(E844&amp;"|"&amp;F844,SourceTable[Source_Key],0),0))</x:f>
        <x:v>0</x:v>
      </x:c>
      <x:c r="R844" s="2" t="str">
        <x:f>IF(B844="","",IF(F844="","UNUSED",IF(Q844=0,"NOT CHECKED",IF(COUNTIF(SourceTable[Source_Key],E844&amp;"|"&amp;F844)&lt;&gt;1,"SOURCE CONFLICT",IF(NOT(OR(INDEX(SourceTable[Status],MAX(1,Q844))="IMPORTED",INDEX(SourceTable[Status],MAX(1,Q844))="PARTIAL",INDEX(SourceTable[Status],MAX(1,Q844))="SOURCE CONFLICT")),"ACCESS BLOCKED",IF(OR(INDEX(SourceTable[Coverage],Q844)&lt;&gt;"FULL SEASON EXPORT",INDEX(SourceTable[URL],Q844)="",INDEX(SourceTable[SHA256],Q844)=""),"EVIDENCE INCOMPLETE",IF(AND('Input_Meci'!H75="LIVE",INDEX(SourceTable[Retrieved_UTC],Q844)&gt;'Input_Meci'!G75),"POST CUTOFF","CLOSED")))))))</x:f>
      </x:c>
      <x:c r="S844" s="2" t="n">
        <x:f>IF(OR(B844="",F844=""),0,COUNTIFS('Istoric_Nativ'!$B$6:$B$405,E844,'Istoric_Nativ'!$C$6:$C$405,F844,'Istoric_Nativ'!$E$6:$E$405,G844,'Istoric_Nativ'!$D$6:$D$405,"&lt;"&amp;J844,'Istoric_Nativ'!$O$6:$O$405,"INVALID")+COUNTIFS('Istoric_Nativ'!$B$6:$B$405,E844,'Istoric_Nativ'!$C$6:$C$405,F844,'Istoric_Nativ'!$E$6:$E$405,G844,'Istoric_Nativ'!$O$6:$O$405,"INVALID",'Istoric_Nativ'!$D$6:$D$405,"*")+COUNTIFS('Istoric_Nativ'!$B$6:$B$405,E844,'Istoric_Nativ'!$C$6:$C$405,F844,'Istoric_Nativ'!$E$6:$E$405,G844,'Istoric_Nativ'!$D$6:$D$405,"&lt;"&amp;J844,'Istoric_Nativ'!$O$6:$O$405,"SOURCE CONFLICT")+COUNTIFS('Istoric_Nativ'!$B$6:$B$405,E844,'Istoric_Nativ'!$C$6:$C$405,F844,'Istoric_Nativ'!$F$6:$F$405,G844,'Istoric_Nativ'!$D$6:$D$405,"&lt;"&amp;J844,'Istoric_Nativ'!$O$6:$O$405,"INVALID")+COUNTIFS('Istoric_Nativ'!$B$6:$B$405,E844,'Istoric_Nativ'!$C$6:$C$405,F844,'Istoric_Nativ'!$F$6:$F$405,G844,'Istoric_Nativ'!$O$6:$O$405,"INVALID",'Istoric_Nativ'!$D$6:$D$405,"*")+COUNTIFS('Istoric_Nativ'!$B$6:$B$405,E844,'Istoric_Nativ'!$C$6:$C$405,F844,'Istoric_Nativ'!$F$6:$F$405,G844,'Istoric_Nativ'!$D$6:$D$405,"&lt;"&amp;J844,'Istoric_Nativ'!$O$6:$O$405,"SOURCE CONFLICT"))</x:f>
        <x:v>0</x:v>
      </x:c>
      <x:c r="T844" s="2" t="str">
        <x:f>IF(B844="","",IF(R844&lt;&gt;"CLOSED",R844,IF(S844&gt;0,"NATIVE INPUT ISSUE",IF(M844=0,"NO HISTORY",IF(M844&lt;P844,"SMALL SAMPLE","DERIVED")))))</x:f>
      </x:c>
      <x:c r="U844" s="2" t="str">
        <x:f>IF(B844="","","NativeTable; "&amp;E844&amp;"; "&amp;F844&amp;"; "&amp;G844&amp;"; "&amp;H844&amp;"; before "&amp;TEXT(J844,"yyyy-mm-dd")&amp;IF(I844="RECENT","; from "&amp;TEXT(L844,"yyyy-mm-dd"),""))</x:f>
      </x:c>
    </x:row>
    <x:row r="845" ht="21" customHeight="1">
      <x:c r="A845" s="2" t="n">
        <x:v>70</x:v>
      </x:c>
      <x:c r="B845" s="2" t="str">
        <x:f>IF('Input_Meci'!A75="","",'Input_Meci'!A75)</x:f>
      </x:c>
      <x:c r="C845" s="2" t="str">
        <x:v>A</x:v>
      </x:c>
      <x:c r="D845" s="2" t="str">
        <x:v>PRIOR</x:v>
      </x:c>
      <x:c r="E845" s="2" t="str">
        <x:f>IF(B845="","",'Input_Meci'!B75)</x:f>
      </x:c>
      <x:c r="F845" s="2" t="str">
        <x:f>IF(B845="","",IF('Input_Meci'!K75="","",'Input_Meci'!K75))</x:f>
      </x:c>
      <x:c r="G845" s="2" t="str">
        <x:f>IF(B845="","",'Input_Meci'!E75)</x:f>
      </x:c>
      <x:c r="H845" s="2" t="str">
        <x:v>ANY</x:v>
      </x:c>
      <x:c r="I845" s="2" t="str">
        <x:v>RECENT</x:v>
      </x:c>
      <x:c r="J845" s="9" t="n">
        <x:f>IF(AND(B845&lt;&gt;"",ISNUMBER('Input_Meci'!G75)),INT('Input_Meci'!G75),0)</x:f>
        <x:v>0</x:v>
      </x:c>
      <x:c r="K845" s="2" t="n">
        <x:f>IF(OR(B845="",F845=""),0,IF(H845="HOME",COUNTIFS('Istoric_Nativ'!$B$6:$B$405,E845,'Istoric_Nativ'!$C$6:$C$405,F845,'Istoric_Nativ'!$E$6:$E$405,G845,'Istoric_Nativ'!$D$6:$D$405,"&lt;"&amp;J845,'Istoric_Nativ'!$P$6:$P$405,1),IF(H845="AWAY",COUNTIFS('Istoric_Nativ'!$B$6:$B$405,E845,'Istoric_Nativ'!$C$6:$C$405,F845,'Istoric_Nativ'!$F$6:$F$405,G845,'Istoric_Nativ'!$D$6:$D$405,"&lt;"&amp;J845,'Istoric_Nativ'!$P$6:$P$405,1),COUNTIFS('Istoric_Nativ'!$B$6:$B$405,E845,'Istoric_Nativ'!$C$6:$C$405,F845,'Istoric_Nativ'!$E$6:$E$405,G845,'Istoric_Nativ'!$D$6:$D$405,"&lt;"&amp;J845,'Istoric_Nativ'!$P$6:$P$405,1)+COUNTIFS('Istoric_Nativ'!$B$6:$B$405,E845,'Istoric_Nativ'!$C$6:$C$405,F845,'Istoric_Nativ'!$F$6:$F$405,G845,'Istoric_Nativ'!$D$6:$D$405,"&lt;"&amp;J845,'Istoric_Nativ'!$P$6:$P$405,1))))</x:f>
        <x:v>0</x:v>
      </x:c>
      <x:c r="L845" s="17" t="n">
        <x:f>IF(AND(B845&lt;&gt;"",I845="RECENT",K845&gt;0),LARGE(_xlfn._xlws.FILTER('Istoric_Nativ'!$D$6:$D$405,('Istoric_Nativ'!$B$6:$B$405=E845)*('Istoric_Nativ'!$C$6:$C$405=F845)*('Istoric_Nativ'!$P$6:$P$405=1)*('Istoric_Nativ'!$D$6:$D$405&lt;J845)*((('Istoric_Nativ'!$E$6:$E$405=G845)+('Istoric_Nativ'!$F$6:$F$405=G845))&gt;0)),MIN('Config_v6'!$B$54,K845)),0)</x:f>
        <x:v>0</x:v>
      </x:c>
      <x:c r="M845" s="2" t="n">
        <x:f>IF(OR(B845="",F845=""),0,IF(H845="HOME",COUNTIFS('Istoric_Nativ'!$B$6:$B$405,E845,'Istoric_Nativ'!$C$6:$C$405,F845,'Istoric_Nativ'!$E$6:$E$405,G845,'Istoric_Nativ'!$D$6:$D$405,"&lt;"&amp;J845,'Istoric_Nativ'!$P$6:$P$405,1,'Istoric_Nativ'!$D$6:$D$405,"&gt;="&amp;L845),IF(H845="AWAY",COUNTIFS('Istoric_Nativ'!$B$6:$B$405,E845,'Istoric_Nativ'!$C$6:$C$405,F845,'Istoric_Nativ'!$F$6:$F$405,G845,'Istoric_Nativ'!$D$6:$D$405,"&lt;"&amp;J845,'Istoric_Nativ'!$P$6:$P$405,1,'Istoric_Nativ'!$D$6:$D$405,"&gt;="&amp;L845),COUNTIFS('Istoric_Nativ'!$B$6:$B$405,E845,'Istoric_Nativ'!$C$6:$C$405,F845,'Istoric_Nativ'!$E$6:$E$405,G845,'Istoric_Nativ'!$D$6:$D$405,"&lt;"&amp;J845,'Istoric_Nativ'!$P$6:$P$405,1,'Istoric_Nativ'!$D$6:$D$405,"&gt;="&amp;L845)+COUNTIFS('Istoric_Nativ'!$B$6:$B$405,E845,'Istoric_Nativ'!$C$6:$C$405,F845,'Istoric_Nativ'!$F$6:$F$405,G845,'Istoric_Nativ'!$D$6:$D$405,"&lt;"&amp;J845,'Istoric_Nativ'!$P$6:$P$405,1,'Istoric_Nativ'!$D$6:$D$405,"&gt;="&amp;L845))))</x:f>
        <x:v>0</x:v>
      </x:c>
      <x:c r="N845" s="11" t="str">
        <x:f>IF(M845=0,"",IF(H845="HOME",SUMIFS('Istoric_Nativ'!$G$6:$G$405,'Istoric_Nativ'!$B$6:$B$405,E845,'Istoric_Nativ'!$C$6:$C$405,F845,'Istoric_Nativ'!$E$6:$E$405,G845,'Istoric_Nativ'!$D$6:$D$405,"&lt;"&amp;J845,'Istoric_Nativ'!$P$6:$P$405,1,'Istoric_Nativ'!$D$6:$D$405,"&gt;="&amp;L845),IF(H845="AWAY",SUMIFS('Istoric_Nativ'!$H$6:$H$405,'Istoric_Nativ'!$B$6:$B$405,E845,'Istoric_Nativ'!$C$6:$C$405,F845,'Istoric_Nativ'!$F$6:$F$405,G845,'Istoric_Nativ'!$D$6:$D$405,"&lt;"&amp;J845,'Istoric_Nativ'!$P$6:$P$405,1,'Istoric_Nativ'!$D$6:$D$405,"&gt;="&amp;L845),SUMIFS('Istoric_Nativ'!$G$6:$G$405,'Istoric_Nativ'!$B$6:$B$405,E845,'Istoric_Nativ'!$C$6:$C$405,F845,'Istoric_Nativ'!$E$6:$E$405,G845,'Istoric_Nativ'!$D$6:$D$405,"&lt;"&amp;J845,'Istoric_Nativ'!$P$6:$P$405,1,'Istoric_Nativ'!$D$6:$D$405,"&gt;="&amp;L845)+SUMIFS('Istoric_Nativ'!$H$6:$H$405,'Istoric_Nativ'!$B$6:$B$405,E845,'Istoric_Nativ'!$C$6:$C$405,F845,'Istoric_Nativ'!$F$6:$F$405,G845,'Istoric_Nativ'!$D$6:$D$405,"&lt;"&amp;J845,'Istoric_Nativ'!$P$6:$P$405,1,'Istoric_Nativ'!$D$6:$D$405,"&gt;="&amp;L845)))/M845)</x:f>
      </x:c>
      <x:c r="O845" s="11" t="str">
        <x:f>IF(M845=0,"",IF(H845="HOME",SUMIFS('Istoric_Nativ'!$H$6:$H$405,'Istoric_Nativ'!$B$6:$B$405,E845,'Istoric_Nativ'!$C$6:$C$405,F845,'Istoric_Nativ'!$E$6:$E$405,G845,'Istoric_Nativ'!$D$6:$D$405,"&lt;"&amp;J845,'Istoric_Nativ'!$P$6:$P$405,1,'Istoric_Nativ'!$D$6:$D$405,"&gt;="&amp;L845),IF(H845="AWAY",SUMIFS('Istoric_Nativ'!$G$6:$G$405,'Istoric_Nativ'!$B$6:$B$405,E845,'Istoric_Nativ'!$C$6:$C$405,F845,'Istoric_Nativ'!$F$6:$F$405,G845,'Istoric_Nativ'!$D$6:$D$405,"&lt;"&amp;J845,'Istoric_Nativ'!$P$6:$P$405,1,'Istoric_Nativ'!$D$6:$D$405,"&gt;="&amp;L845),SUMIFS('Istoric_Nativ'!$H$6:$H$405,'Istoric_Nativ'!$B$6:$B$405,E845,'Istoric_Nativ'!$C$6:$C$405,F845,'Istoric_Nativ'!$E$6:$E$405,G845,'Istoric_Nativ'!$D$6:$D$405,"&lt;"&amp;J845,'Istoric_Nativ'!$P$6:$P$405,1,'Istoric_Nativ'!$D$6:$D$405,"&gt;="&amp;L845)+SUMIFS('Istoric_Nativ'!$G$6:$G$405,'Istoric_Nativ'!$B$6:$B$405,E845,'Istoric_Nativ'!$C$6:$C$405,F845,'Istoric_Nativ'!$F$6:$F$405,G845,'Istoric_Nativ'!$D$6:$D$405,"&lt;"&amp;J845,'Istoric_Nativ'!$P$6:$P$405,1,'Istoric_Nativ'!$D$6:$D$405,"&gt;="&amp;L845)))/M845)</x:f>
      </x:c>
      <x:c r="P845" s="2" t="n">
        <x:f>'Config_v6'!$B$9</x:f>
        <x:v>3</x:v>
      </x:c>
      <x:c r="Q845" s="2" t="n">
        <x:f>IF(OR(B845="",F845=""),0,IFERROR(MATCH(E845&amp;"|"&amp;F845,SourceTable[Source_Key],0),0))</x:f>
        <x:v>0</x:v>
      </x:c>
      <x:c r="R845" s="2" t="str">
        <x:f>IF(B845="","",IF(F845="","UNUSED",IF(Q845=0,"NOT CHECKED",IF(COUNTIF(SourceTable[Source_Key],E845&amp;"|"&amp;F845)&lt;&gt;1,"SOURCE CONFLICT",IF(NOT(OR(INDEX(SourceTable[Status],MAX(1,Q845))="IMPORTED",INDEX(SourceTable[Status],MAX(1,Q845))="PARTIAL",INDEX(SourceTable[Status],MAX(1,Q845))="SOURCE CONFLICT")),"ACCESS BLOCKED",IF(OR(INDEX(SourceTable[Coverage],Q845)&lt;&gt;"FULL SEASON EXPORT",INDEX(SourceTable[URL],Q845)="",INDEX(SourceTable[SHA256],Q845)=""),"EVIDENCE INCOMPLETE",IF(AND('Input_Meci'!H75="LIVE",INDEX(SourceTable[Retrieved_UTC],Q845)&gt;'Input_Meci'!G75),"POST CUTOFF","CLOSED")))))))</x:f>
      </x:c>
      <x:c r="S845" s="2" t="n">
        <x:f>IF(OR(B845="",F845=""),0,COUNTIFS('Istoric_Nativ'!$B$6:$B$405,E845,'Istoric_Nativ'!$C$6:$C$405,F845,'Istoric_Nativ'!$E$6:$E$405,G845,'Istoric_Nativ'!$D$6:$D$405,"&lt;"&amp;J845,'Istoric_Nativ'!$O$6:$O$405,"INVALID")+COUNTIFS('Istoric_Nativ'!$B$6:$B$405,E845,'Istoric_Nativ'!$C$6:$C$405,F845,'Istoric_Nativ'!$E$6:$E$405,G845,'Istoric_Nativ'!$O$6:$O$405,"INVALID",'Istoric_Nativ'!$D$6:$D$405,"*")+COUNTIFS('Istoric_Nativ'!$B$6:$B$405,E845,'Istoric_Nativ'!$C$6:$C$405,F845,'Istoric_Nativ'!$E$6:$E$405,G845,'Istoric_Nativ'!$D$6:$D$405,"&lt;"&amp;J845,'Istoric_Nativ'!$O$6:$O$405,"SOURCE CONFLICT")+COUNTIFS('Istoric_Nativ'!$B$6:$B$405,E845,'Istoric_Nativ'!$C$6:$C$405,F845,'Istoric_Nativ'!$F$6:$F$405,G845,'Istoric_Nativ'!$D$6:$D$405,"&lt;"&amp;J845,'Istoric_Nativ'!$O$6:$O$405,"INVALID")+COUNTIFS('Istoric_Nativ'!$B$6:$B$405,E845,'Istoric_Nativ'!$C$6:$C$405,F845,'Istoric_Nativ'!$F$6:$F$405,G845,'Istoric_Nativ'!$O$6:$O$405,"INVALID",'Istoric_Nativ'!$D$6:$D$405,"*")+COUNTIFS('Istoric_Nativ'!$B$6:$B$405,E845,'Istoric_Nativ'!$C$6:$C$405,F845,'Istoric_Nativ'!$F$6:$F$405,G845,'Istoric_Nativ'!$D$6:$D$405,"&lt;"&amp;J845,'Istoric_Nativ'!$O$6:$O$405,"SOURCE CONFLICT"))</x:f>
        <x:v>0</x:v>
      </x:c>
      <x:c r="T845" s="2" t="str">
        <x:f>IF(B845="","",IF(R845&lt;&gt;"CLOSED",R845,IF(S845&gt;0,"NATIVE INPUT ISSUE",IF(M845=0,"NO HISTORY",IF(M845&lt;P845,"SMALL SAMPLE","DERIVED")))))</x:f>
      </x:c>
      <x:c r="U845" s="2" t="str">
        <x:f>IF(B845="","","NativeTable; "&amp;E845&amp;"; "&amp;F845&amp;"; "&amp;G845&amp;"; "&amp;H845&amp;"; before "&amp;TEXT(J845,"yyyy-mm-dd")&amp;IF(I845="RECENT","; from "&amp;TEXT(L845,"yyyy-mm-dd"),""))</x:f>
      </x:c>
    </x:row>
    <x:row r="846" ht="21" customHeight="1">
      <x:c r="A846" s="2" t="n">
        <x:v>71</x:v>
      </x:c>
      <x:c r="B846" s="2" t="str">
        <x:f>IF('Input_Meci'!A76="","",'Input_Meci'!A76)</x:f>
      </x:c>
      <x:c r="C846" s="2" t="str">
        <x:v>H</x:v>
      </x:c>
      <x:c r="D846" s="2" t="str">
        <x:v>CURRENT</x:v>
      </x:c>
      <x:c r="E846" s="2" t="str">
        <x:f>IF(B846="","",'Input_Meci'!B76)</x:f>
      </x:c>
      <x:c r="F846" s="2" t="str">
        <x:f>IF(B846="","",IF('Input_Meci'!C76="","",'Input_Meci'!C76))</x:f>
      </x:c>
      <x:c r="G846" s="2" t="str">
        <x:f>IF(B846="","",'Input_Meci'!D76)</x:f>
      </x:c>
      <x:c r="H846" s="2" t="str">
        <x:v>ANY</x:v>
      </x:c>
      <x:c r="I846" s="2" t="str">
        <x:v>SEASON</x:v>
      </x:c>
      <x:c r="J846" s="9" t="n">
        <x:f>IF(AND(B846&lt;&gt;"",ISNUMBER('Input_Meci'!G76)),INT('Input_Meci'!G76),0)</x:f>
        <x:v>0</x:v>
      </x:c>
      <x:c r="K846" s="2" t="n">
        <x:f>IF(OR(B846="",F846=""),0,IF(H846="HOME",COUNTIFS('Istoric_Nativ'!$B$6:$B$405,E846,'Istoric_Nativ'!$C$6:$C$405,F846,'Istoric_Nativ'!$E$6:$E$405,G846,'Istoric_Nativ'!$D$6:$D$405,"&lt;"&amp;J846,'Istoric_Nativ'!$P$6:$P$405,1),IF(H846="AWAY",COUNTIFS('Istoric_Nativ'!$B$6:$B$405,E846,'Istoric_Nativ'!$C$6:$C$405,F846,'Istoric_Nativ'!$F$6:$F$405,G846,'Istoric_Nativ'!$D$6:$D$405,"&lt;"&amp;J846,'Istoric_Nativ'!$P$6:$P$405,1),COUNTIFS('Istoric_Nativ'!$B$6:$B$405,E846,'Istoric_Nativ'!$C$6:$C$405,F846,'Istoric_Nativ'!$E$6:$E$405,G846,'Istoric_Nativ'!$D$6:$D$405,"&lt;"&amp;J846,'Istoric_Nativ'!$P$6:$P$405,1)+COUNTIFS('Istoric_Nativ'!$B$6:$B$405,E846,'Istoric_Nativ'!$C$6:$C$405,F846,'Istoric_Nativ'!$F$6:$F$405,G846,'Istoric_Nativ'!$D$6:$D$405,"&lt;"&amp;J846,'Istoric_Nativ'!$P$6:$P$405,1))))</x:f>
        <x:v>0</x:v>
      </x:c>
      <x:c r="L846" s="17" t="n">
        <x:f>IF(AND(B846&lt;&gt;"",I846="RECENT",K846&gt;0),LARGE(_xlfn._xlws.FILTER('Istoric_Nativ'!$D$6:$D$405,('Istoric_Nativ'!$B$6:$B$405=E846)*('Istoric_Nativ'!$C$6:$C$405=F846)*('Istoric_Nativ'!$P$6:$P$405=1)*('Istoric_Nativ'!$D$6:$D$405&lt;J846)*((('Istoric_Nativ'!$E$6:$E$405=G846)+('Istoric_Nativ'!$F$6:$F$405=G846))&gt;0)),MIN('Config_v6'!$B$54,K846)),0)</x:f>
        <x:v>0</x:v>
      </x:c>
      <x:c r="M846" s="2" t="n">
        <x:f>IF(OR(B846="",F846=""),0,IF(H846="HOME",COUNTIFS('Istoric_Nativ'!$B$6:$B$405,E846,'Istoric_Nativ'!$C$6:$C$405,F846,'Istoric_Nativ'!$E$6:$E$405,G846,'Istoric_Nativ'!$D$6:$D$405,"&lt;"&amp;J846,'Istoric_Nativ'!$P$6:$P$405,1,'Istoric_Nativ'!$D$6:$D$405,"&gt;="&amp;L846),IF(H846="AWAY",COUNTIFS('Istoric_Nativ'!$B$6:$B$405,E846,'Istoric_Nativ'!$C$6:$C$405,F846,'Istoric_Nativ'!$F$6:$F$405,G846,'Istoric_Nativ'!$D$6:$D$405,"&lt;"&amp;J846,'Istoric_Nativ'!$P$6:$P$405,1,'Istoric_Nativ'!$D$6:$D$405,"&gt;="&amp;L846),COUNTIFS('Istoric_Nativ'!$B$6:$B$405,E846,'Istoric_Nativ'!$C$6:$C$405,F846,'Istoric_Nativ'!$E$6:$E$405,G846,'Istoric_Nativ'!$D$6:$D$405,"&lt;"&amp;J846,'Istoric_Nativ'!$P$6:$P$405,1,'Istoric_Nativ'!$D$6:$D$405,"&gt;="&amp;L846)+COUNTIFS('Istoric_Nativ'!$B$6:$B$405,E846,'Istoric_Nativ'!$C$6:$C$405,F846,'Istoric_Nativ'!$F$6:$F$405,G846,'Istoric_Nativ'!$D$6:$D$405,"&lt;"&amp;J846,'Istoric_Nativ'!$P$6:$P$405,1,'Istoric_Nativ'!$D$6:$D$405,"&gt;="&amp;L846))))</x:f>
        <x:v>0</x:v>
      </x:c>
      <x:c r="N846" s="11" t="str">
        <x:f>IF(M846=0,"",IF(H846="HOME",SUMIFS('Istoric_Nativ'!$G$6:$G$405,'Istoric_Nativ'!$B$6:$B$405,E846,'Istoric_Nativ'!$C$6:$C$405,F846,'Istoric_Nativ'!$E$6:$E$405,G846,'Istoric_Nativ'!$D$6:$D$405,"&lt;"&amp;J846,'Istoric_Nativ'!$P$6:$P$405,1,'Istoric_Nativ'!$D$6:$D$405,"&gt;="&amp;L846),IF(H846="AWAY",SUMIFS('Istoric_Nativ'!$H$6:$H$405,'Istoric_Nativ'!$B$6:$B$405,E846,'Istoric_Nativ'!$C$6:$C$405,F846,'Istoric_Nativ'!$F$6:$F$405,G846,'Istoric_Nativ'!$D$6:$D$405,"&lt;"&amp;J846,'Istoric_Nativ'!$P$6:$P$405,1,'Istoric_Nativ'!$D$6:$D$405,"&gt;="&amp;L846),SUMIFS('Istoric_Nativ'!$G$6:$G$405,'Istoric_Nativ'!$B$6:$B$405,E846,'Istoric_Nativ'!$C$6:$C$405,F846,'Istoric_Nativ'!$E$6:$E$405,G846,'Istoric_Nativ'!$D$6:$D$405,"&lt;"&amp;J846,'Istoric_Nativ'!$P$6:$P$405,1,'Istoric_Nativ'!$D$6:$D$405,"&gt;="&amp;L846)+SUMIFS('Istoric_Nativ'!$H$6:$H$405,'Istoric_Nativ'!$B$6:$B$405,E846,'Istoric_Nativ'!$C$6:$C$405,F846,'Istoric_Nativ'!$F$6:$F$405,G846,'Istoric_Nativ'!$D$6:$D$405,"&lt;"&amp;J846,'Istoric_Nativ'!$P$6:$P$405,1,'Istoric_Nativ'!$D$6:$D$405,"&gt;="&amp;L846)))/M846)</x:f>
      </x:c>
      <x:c r="O846" s="11" t="str">
        <x:f>IF(M846=0,"",IF(H846="HOME",SUMIFS('Istoric_Nativ'!$H$6:$H$405,'Istoric_Nativ'!$B$6:$B$405,E846,'Istoric_Nativ'!$C$6:$C$405,F846,'Istoric_Nativ'!$E$6:$E$405,G846,'Istoric_Nativ'!$D$6:$D$405,"&lt;"&amp;J846,'Istoric_Nativ'!$P$6:$P$405,1,'Istoric_Nativ'!$D$6:$D$405,"&gt;="&amp;L846),IF(H846="AWAY",SUMIFS('Istoric_Nativ'!$G$6:$G$405,'Istoric_Nativ'!$B$6:$B$405,E846,'Istoric_Nativ'!$C$6:$C$405,F846,'Istoric_Nativ'!$F$6:$F$405,G846,'Istoric_Nativ'!$D$6:$D$405,"&lt;"&amp;J846,'Istoric_Nativ'!$P$6:$P$405,1,'Istoric_Nativ'!$D$6:$D$405,"&gt;="&amp;L846),SUMIFS('Istoric_Nativ'!$H$6:$H$405,'Istoric_Nativ'!$B$6:$B$405,E846,'Istoric_Nativ'!$C$6:$C$405,F846,'Istoric_Nativ'!$E$6:$E$405,G846,'Istoric_Nativ'!$D$6:$D$405,"&lt;"&amp;J846,'Istoric_Nativ'!$P$6:$P$405,1,'Istoric_Nativ'!$D$6:$D$405,"&gt;="&amp;L846)+SUMIFS('Istoric_Nativ'!$G$6:$G$405,'Istoric_Nativ'!$B$6:$B$405,E846,'Istoric_Nativ'!$C$6:$C$405,F846,'Istoric_Nativ'!$F$6:$F$405,G846,'Istoric_Nativ'!$D$6:$D$405,"&lt;"&amp;J846,'Istoric_Nativ'!$P$6:$P$405,1,'Istoric_Nativ'!$D$6:$D$405,"&gt;="&amp;L846)))/M846)</x:f>
      </x:c>
      <x:c r="P846" s="2" t="n">
        <x:f>'Config_v6'!$B$7</x:f>
        <x:v>10</x:v>
      </x:c>
      <x:c r="Q846" s="2" t="n">
        <x:f>IF(OR(B846="",F846=""),0,IFERROR(MATCH(E846&amp;"|"&amp;F846,SourceTable[Source_Key],0),0))</x:f>
        <x:v>0</x:v>
      </x:c>
      <x:c r="R846" s="2" t="str">
        <x:f>IF(B846="","",IF(F846="","UNUSED",IF(Q846=0,"NOT CHECKED",IF(COUNTIF(SourceTable[Source_Key],E846&amp;"|"&amp;F846)&lt;&gt;1,"SOURCE CONFLICT",IF(NOT(OR(INDEX(SourceTable[Status],MAX(1,Q846))="IMPORTED",INDEX(SourceTable[Status],MAX(1,Q846))="PARTIAL",INDEX(SourceTable[Status],MAX(1,Q846))="SOURCE CONFLICT")),"ACCESS BLOCKED",IF(OR(INDEX(SourceTable[Coverage],Q846)&lt;&gt;"FULL SEASON EXPORT",INDEX(SourceTable[URL],Q846)="",INDEX(SourceTable[SHA256],Q846)=""),"EVIDENCE INCOMPLETE",IF(AND('Input_Meci'!H76="LIVE",INDEX(SourceTable[Retrieved_UTC],Q846)&gt;'Input_Meci'!G76),"POST CUTOFF","CLOSED")))))))</x:f>
      </x:c>
      <x:c r="S846" s="2" t="n">
        <x:f>IF(OR(B846="",F846=""),0,COUNTIFS('Istoric_Nativ'!$B$6:$B$405,E846,'Istoric_Nativ'!$C$6:$C$405,F846,'Istoric_Nativ'!$E$6:$E$405,G846,'Istoric_Nativ'!$D$6:$D$405,"&lt;"&amp;J846,'Istoric_Nativ'!$O$6:$O$405,"INVALID")+COUNTIFS('Istoric_Nativ'!$B$6:$B$405,E846,'Istoric_Nativ'!$C$6:$C$405,F846,'Istoric_Nativ'!$E$6:$E$405,G846,'Istoric_Nativ'!$O$6:$O$405,"INVALID",'Istoric_Nativ'!$D$6:$D$405,"*")+COUNTIFS('Istoric_Nativ'!$B$6:$B$405,E846,'Istoric_Nativ'!$C$6:$C$405,F846,'Istoric_Nativ'!$E$6:$E$405,G846,'Istoric_Nativ'!$D$6:$D$405,"&lt;"&amp;J846,'Istoric_Nativ'!$O$6:$O$405,"SOURCE CONFLICT")+COUNTIFS('Istoric_Nativ'!$B$6:$B$405,E846,'Istoric_Nativ'!$C$6:$C$405,F846,'Istoric_Nativ'!$F$6:$F$405,G846,'Istoric_Nativ'!$D$6:$D$405,"&lt;"&amp;J846,'Istoric_Nativ'!$O$6:$O$405,"INVALID")+COUNTIFS('Istoric_Nativ'!$B$6:$B$405,E846,'Istoric_Nativ'!$C$6:$C$405,F846,'Istoric_Nativ'!$F$6:$F$405,G846,'Istoric_Nativ'!$O$6:$O$405,"INVALID",'Istoric_Nativ'!$D$6:$D$405,"*")+COUNTIFS('Istoric_Nativ'!$B$6:$B$405,E846,'Istoric_Nativ'!$C$6:$C$405,F846,'Istoric_Nativ'!$F$6:$F$405,G846,'Istoric_Nativ'!$D$6:$D$405,"&lt;"&amp;J846,'Istoric_Nativ'!$O$6:$O$405,"SOURCE CONFLICT"))</x:f>
        <x:v>0</x:v>
      </x:c>
      <x:c r="T846" s="2" t="str">
        <x:f>IF(B846="","",IF(R846&lt;&gt;"CLOSED",R846,IF(S846&gt;0,"NATIVE INPUT ISSUE",IF(M846=0,"NO HISTORY",IF(M846&lt;P846,"SMALL SAMPLE","DERIVED")))))</x:f>
      </x:c>
      <x:c r="U846" s="2" t="str">
        <x:f>IF(B846="","","NativeTable; "&amp;E846&amp;"; "&amp;F846&amp;"; "&amp;G846&amp;"; "&amp;H846&amp;"; before "&amp;TEXT(J846,"yyyy-mm-dd")&amp;IF(I846="RECENT","; from "&amp;TEXT(L846,"yyyy-mm-dd"),""))</x:f>
      </x:c>
    </x:row>
    <x:row r="847" ht="21" customHeight="1">
      <x:c r="A847" s="2" t="n">
        <x:v>71</x:v>
      </x:c>
      <x:c r="B847" s="2" t="str">
        <x:f>IF('Input_Meci'!A76="","",'Input_Meci'!A76)</x:f>
      </x:c>
      <x:c r="C847" s="2" t="str">
        <x:v>H</x:v>
      </x:c>
      <x:c r="D847" s="2" t="str">
        <x:v>CURRENT</x:v>
      </x:c>
      <x:c r="E847" s="2" t="str">
        <x:f>IF(B847="","",'Input_Meci'!B76)</x:f>
      </x:c>
      <x:c r="F847" s="2" t="str">
        <x:f>IF(B847="","",IF('Input_Meci'!C76="","",'Input_Meci'!C76))</x:f>
      </x:c>
      <x:c r="G847" s="2" t="str">
        <x:f>IF(B847="","",'Input_Meci'!D76)</x:f>
      </x:c>
      <x:c r="H847" s="2" t="str">
        <x:v>HOME</x:v>
      </x:c>
      <x:c r="I847" s="2" t="str">
        <x:v>HA</x:v>
      </x:c>
      <x:c r="J847" s="9" t="n">
        <x:f>IF(AND(B847&lt;&gt;"",ISNUMBER('Input_Meci'!G76)),INT('Input_Meci'!G76),0)</x:f>
        <x:v>0</x:v>
      </x:c>
      <x:c r="K847" s="2" t="n">
        <x:f>IF(OR(B847="",F847=""),0,IF(H847="HOME",COUNTIFS('Istoric_Nativ'!$B$6:$B$405,E847,'Istoric_Nativ'!$C$6:$C$405,F847,'Istoric_Nativ'!$E$6:$E$405,G847,'Istoric_Nativ'!$D$6:$D$405,"&lt;"&amp;J847,'Istoric_Nativ'!$P$6:$P$405,1),IF(H847="AWAY",COUNTIFS('Istoric_Nativ'!$B$6:$B$405,E847,'Istoric_Nativ'!$C$6:$C$405,F847,'Istoric_Nativ'!$F$6:$F$405,G847,'Istoric_Nativ'!$D$6:$D$405,"&lt;"&amp;J847,'Istoric_Nativ'!$P$6:$P$405,1),COUNTIFS('Istoric_Nativ'!$B$6:$B$405,E847,'Istoric_Nativ'!$C$6:$C$405,F847,'Istoric_Nativ'!$E$6:$E$405,G847,'Istoric_Nativ'!$D$6:$D$405,"&lt;"&amp;J847,'Istoric_Nativ'!$P$6:$P$405,1)+COUNTIFS('Istoric_Nativ'!$B$6:$B$405,E847,'Istoric_Nativ'!$C$6:$C$405,F847,'Istoric_Nativ'!$F$6:$F$405,G847,'Istoric_Nativ'!$D$6:$D$405,"&lt;"&amp;J847,'Istoric_Nativ'!$P$6:$P$405,1))))</x:f>
        <x:v>0</x:v>
      </x:c>
      <x:c r="L847" s="17" t="n">
        <x:f>IF(AND(B847&lt;&gt;"",I847="RECENT",K847&gt;0),LARGE(_xlfn._xlws.FILTER('Istoric_Nativ'!$D$6:$D$405,('Istoric_Nativ'!$B$6:$B$405=E847)*('Istoric_Nativ'!$C$6:$C$405=F847)*('Istoric_Nativ'!$P$6:$P$405=1)*('Istoric_Nativ'!$D$6:$D$405&lt;J847)*((('Istoric_Nativ'!$E$6:$E$405=G847)+('Istoric_Nativ'!$F$6:$F$405=G847))&gt;0)),MIN('Config_v6'!$B$54,K847)),0)</x:f>
        <x:v>0</x:v>
      </x:c>
      <x:c r="M847" s="2" t="n">
        <x:f>IF(OR(B847="",F847=""),0,IF(H847="HOME",COUNTIFS('Istoric_Nativ'!$B$6:$B$405,E847,'Istoric_Nativ'!$C$6:$C$405,F847,'Istoric_Nativ'!$E$6:$E$405,G847,'Istoric_Nativ'!$D$6:$D$405,"&lt;"&amp;J847,'Istoric_Nativ'!$P$6:$P$405,1,'Istoric_Nativ'!$D$6:$D$405,"&gt;="&amp;L847),IF(H847="AWAY",COUNTIFS('Istoric_Nativ'!$B$6:$B$405,E847,'Istoric_Nativ'!$C$6:$C$405,F847,'Istoric_Nativ'!$F$6:$F$405,G847,'Istoric_Nativ'!$D$6:$D$405,"&lt;"&amp;J847,'Istoric_Nativ'!$P$6:$P$405,1,'Istoric_Nativ'!$D$6:$D$405,"&gt;="&amp;L847),COUNTIFS('Istoric_Nativ'!$B$6:$B$405,E847,'Istoric_Nativ'!$C$6:$C$405,F847,'Istoric_Nativ'!$E$6:$E$405,G847,'Istoric_Nativ'!$D$6:$D$405,"&lt;"&amp;J847,'Istoric_Nativ'!$P$6:$P$405,1,'Istoric_Nativ'!$D$6:$D$405,"&gt;="&amp;L847)+COUNTIFS('Istoric_Nativ'!$B$6:$B$405,E847,'Istoric_Nativ'!$C$6:$C$405,F847,'Istoric_Nativ'!$F$6:$F$405,G847,'Istoric_Nativ'!$D$6:$D$405,"&lt;"&amp;J847,'Istoric_Nativ'!$P$6:$P$405,1,'Istoric_Nativ'!$D$6:$D$405,"&gt;="&amp;L847))))</x:f>
        <x:v>0</x:v>
      </x:c>
      <x:c r="N847" s="11" t="str">
        <x:f>IF(M847=0,"",IF(H847="HOME",SUMIFS('Istoric_Nativ'!$G$6:$G$405,'Istoric_Nativ'!$B$6:$B$405,E847,'Istoric_Nativ'!$C$6:$C$405,F847,'Istoric_Nativ'!$E$6:$E$405,G847,'Istoric_Nativ'!$D$6:$D$405,"&lt;"&amp;J847,'Istoric_Nativ'!$P$6:$P$405,1,'Istoric_Nativ'!$D$6:$D$405,"&gt;="&amp;L847),IF(H847="AWAY",SUMIFS('Istoric_Nativ'!$H$6:$H$405,'Istoric_Nativ'!$B$6:$B$405,E847,'Istoric_Nativ'!$C$6:$C$405,F847,'Istoric_Nativ'!$F$6:$F$405,G847,'Istoric_Nativ'!$D$6:$D$405,"&lt;"&amp;J847,'Istoric_Nativ'!$P$6:$P$405,1,'Istoric_Nativ'!$D$6:$D$405,"&gt;="&amp;L847),SUMIFS('Istoric_Nativ'!$G$6:$G$405,'Istoric_Nativ'!$B$6:$B$405,E847,'Istoric_Nativ'!$C$6:$C$405,F847,'Istoric_Nativ'!$E$6:$E$405,G847,'Istoric_Nativ'!$D$6:$D$405,"&lt;"&amp;J847,'Istoric_Nativ'!$P$6:$P$405,1,'Istoric_Nativ'!$D$6:$D$405,"&gt;="&amp;L847)+SUMIFS('Istoric_Nativ'!$H$6:$H$405,'Istoric_Nativ'!$B$6:$B$405,E847,'Istoric_Nativ'!$C$6:$C$405,F847,'Istoric_Nativ'!$F$6:$F$405,G847,'Istoric_Nativ'!$D$6:$D$405,"&lt;"&amp;J847,'Istoric_Nativ'!$P$6:$P$405,1,'Istoric_Nativ'!$D$6:$D$405,"&gt;="&amp;L847)))/M847)</x:f>
      </x:c>
      <x:c r="O847" s="11" t="str">
        <x:f>IF(M847=0,"",IF(H847="HOME",SUMIFS('Istoric_Nativ'!$H$6:$H$405,'Istoric_Nativ'!$B$6:$B$405,E847,'Istoric_Nativ'!$C$6:$C$405,F847,'Istoric_Nativ'!$E$6:$E$405,G847,'Istoric_Nativ'!$D$6:$D$405,"&lt;"&amp;J847,'Istoric_Nativ'!$P$6:$P$405,1,'Istoric_Nativ'!$D$6:$D$405,"&gt;="&amp;L847),IF(H847="AWAY",SUMIFS('Istoric_Nativ'!$G$6:$G$405,'Istoric_Nativ'!$B$6:$B$405,E847,'Istoric_Nativ'!$C$6:$C$405,F847,'Istoric_Nativ'!$F$6:$F$405,G847,'Istoric_Nativ'!$D$6:$D$405,"&lt;"&amp;J847,'Istoric_Nativ'!$P$6:$P$405,1,'Istoric_Nativ'!$D$6:$D$405,"&gt;="&amp;L847),SUMIFS('Istoric_Nativ'!$H$6:$H$405,'Istoric_Nativ'!$B$6:$B$405,E847,'Istoric_Nativ'!$C$6:$C$405,F847,'Istoric_Nativ'!$E$6:$E$405,G847,'Istoric_Nativ'!$D$6:$D$405,"&lt;"&amp;J847,'Istoric_Nativ'!$P$6:$P$405,1,'Istoric_Nativ'!$D$6:$D$405,"&gt;="&amp;L847)+SUMIFS('Istoric_Nativ'!$G$6:$G$405,'Istoric_Nativ'!$B$6:$B$405,E847,'Istoric_Nativ'!$C$6:$C$405,F847,'Istoric_Nativ'!$F$6:$F$405,G847,'Istoric_Nativ'!$D$6:$D$405,"&lt;"&amp;J847,'Istoric_Nativ'!$P$6:$P$405,1,'Istoric_Nativ'!$D$6:$D$405,"&gt;="&amp;L847)))/M847)</x:f>
      </x:c>
      <x:c r="P847" s="2" t="n">
        <x:f>'Config_v6'!$B$8</x:f>
        <x:v>5</x:v>
      </x:c>
      <x:c r="Q847" s="2" t="n">
        <x:f>IF(OR(B847="",F847=""),0,IFERROR(MATCH(E847&amp;"|"&amp;F847,SourceTable[Source_Key],0),0))</x:f>
        <x:v>0</x:v>
      </x:c>
      <x:c r="R847" s="2" t="str">
        <x:f>IF(B847="","",IF(F847="","UNUSED",IF(Q847=0,"NOT CHECKED",IF(COUNTIF(SourceTable[Source_Key],E847&amp;"|"&amp;F847)&lt;&gt;1,"SOURCE CONFLICT",IF(NOT(OR(INDEX(SourceTable[Status],MAX(1,Q847))="IMPORTED",INDEX(SourceTable[Status],MAX(1,Q847))="PARTIAL",INDEX(SourceTable[Status],MAX(1,Q847))="SOURCE CONFLICT")),"ACCESS BLOCKED",IF(OR(INDEX(SourceTable[Coverage],Q847)&lt;&gt;"FULL SEASON EXPORT",INDEX(SourceTable[URL],Q847)="",INDEX(SourceTable[SHA256],Q847)=""),"EVIDENCE INCOMPLETE",IF(AND('Input_Meci'!H76="LIVE",INDEX(SourceTable[Retrieved_UTC],Q847)&gt;'Input_Meci'!G76),"POST CUTOFF","CLOSED")))))))</x:f>
      </x:c>
      <x:c r="S847" s="2" t="n">
        <x:f>IF(OR(B847="",F847=""),0,COUNTIFS('Istoric_Nativ'!$B$6:$B$405,E847,'Istoric_Nativ'!$C$6:$C$405,F847,'Istoric_Nativ'!$E$6:$E$405,G847,'Istoric_Nativ'!$D$6:$D$405,"&lt;"&amp;J847,'Istoric_Nativ'!$O$6:$O$405,"INVALID")+COUNTIFS('Istoric_Nativ'!$B$6:$B$405,E847,'Istoric_Nativ'!$C$6:$C$405,F847,'Istoric_Nativ'!$E$6:$E$405,G847,'Istoric_Nativ'!$O$6:$O$405,"INVALID",'Istoric_Nativ'!$D$6:$D$405,"*")+COUNTIFS('Istoric_Nativ'!$B$6:$B$405,E847,'Istoric_Nativ'!$C$6:$C$405,F847,'Istoric_Nativ'!$E$6:$E$405,G847,'Istoric_Nativ'!$D$6:$D$405,"&lt;"&amp;J847,'Istoric_Nativ'!$O$6:$O$405,"SOURCE CONFLICT")+COUNTIFS('Istoric_Nativ'!$B$6:$B$405,E847,'Istoric_Nativ'!$C$6:$C$405,F847,'Istoric_Nativ'!$F$6:$F$405,G847,'Istoric_Nativ'!$D$6:$D$405,"&lt;"&amp;J847,'Istoric_Nativ'!$O$6:$O$405,"INVALID")+COUNTIFS('Istoric_Nativ'!$B$6:$B$405,E847,'Istoric_Nativ'!$C$6:$C$405,F847,'Istoric_Nativ'!$F$6:$F$405,G847,'Istoric_Nativ'!$O$6:$O$405,"INVALID",'Istoric_Nativ'!$D$6:$D$405,"*")+COUNTIFS('Istoric_Nativ'!$B$6:$B$405,E847,'Istoric_Nativ'!$C$6:$C$405,F847,'Istoric_Nativ'!$F$6:$F$405,G847,'Istoric_Nativ'!$D$6:$D$405,"&lt;"&amp;J847,'Istoric_Nativ'!$O$6:$O$405,"SOURCE CONFLICT"))</x:f>
        <x:v>0</x:v>
      </x:c>
      <x:c r="T847" s="2" t="str">
        <x:f>IF(B847="","",IF(R847&lt;&gt;"CLOSED",R847,IF(S847&gt;0,"NATIVE INPUT ISSUE",IF(M847=0,"NO HISTORY",IF(M847&lt;P847,"SMALL SAMPLE","DERIVED")))))</x:f>
      </x:c>
      <x:c r="U847" s="2" t="str">
        <x:f>IF(B847="","","NativeTable; "&amp;E847&amp;"; "&amp;F847&amp;"; "&amp;G847&amp;"; "&amp;H847&amp;"; before "&amp;TEXT(J847,"yyyy-mm-dd")&amp;IF(I847="RECENT","; from "&amp;TEXT(L847,"yyyy-mm-dd"),""))</x:f>
      </x:c>
    </x:row>
    <x:row r="848" ht="21" customHeight="1">
      <x:c r="A848" s="2" t="n">
        <x:v>71</x:v>
      </x:c>
      <x:c r="B848" s="2" t="str">
        <x:f>IF('Input_Meci'!A76="","",'Input_Meci'!A76)</x:f>
      </x:c>
      <x:c r="C848" s="2" t="str">
        <x:v>H</x:v>
      </x:c>
      <x:c r="D848" s="2" t="str">
        <x:v>CURRENT</x:v>
      </x:c>
      <x:c r="E848" s="2" t="str">
        <x:f>IF(B848="","",'Input_Meci'!B76)</x:f>
      </x:c>
      <x:c r="F848" s="2" t="str">
        <x:f>IF(B848="","",IF('Input_Meci'!C76="","",'Input_Meci'!C76))</x:f>
      </x:c>
      <x:c r="G848" s="2" t="str">
        <x:f>IF(B848="","",'Input_Meci'!D76)</x:f>
      </x:c>
      <x:c r="H848" s="2" t="str">
        <x:v>ANY</x:v>
      </x:c>
      <x:c r="I848" s="2" t="str">
        <x:v>RECENT</x:v>
      </x:c>
      <x:c r="J848" s="9" t="n">
        <x:f>IF(AND(B848&lt;&gt;"",ISNUMBER('Input_Meci'!G76)),INT('Input_Meci'!G76),0)</x:f>
        <x:v>0</x:v>
      </x:c>
      <x:c r="K848" s="2" t="n">
        <x:f>IF(OR(B848="",F848=""),0,IF(H848="HOME",COUNTIFS('Istoric_Nativ'!$B$6:$B$405,E848,'Istoric_Nativ'!$C$6:$C$405,F848,'Istoric_Nativ'!$E$6:$E$405,G848,'Istoric_Nativ'!$D$6:$D$405,"&lt;"&amp;J848,'Istoric_Nativ'!$P$6:$P$405,1),IF(H848="AWAY",COUNTIFS('Istoric_Nativ'!$B$6:$B$405,E848,'Istoric_Nativ'!$C$6:$C$405,F848,'Istoric_Nativ'!$F$6:$F$405,G848,'Istoric_Nativ'!$D$6:$D$405,"&lt;"&amp;J848,'Istoric_Nativ'!$P$6:$P$405,1),COUNTIFS('Istoric_Nativ'!$B$6:$B$405,E848,'Istoric_Nativ'!$C$6:$C$405,F848,'Istoric_Nativ'!$E$6:$E$405,G848,'Istoric_Nativ'!$D$6:$D$405,"&lt;"&amp;J848,'Istoric_Nativ'!$P$6:$P$405,1)+COUNTIFS('Istoric_Nativ'!$B$6:$B$405,E848,'Istoric_Nativ'!$C$6:$C$405,F848,'Istoric_Nativ'!$F$6:$F$405,G848,'Istoric_Nativ'!$D$6:$D$405,"&lt;"&amp;J848,'Istoric_Nativ'!$P$6:$P$405,1))))</x:f>
        <x:v>0</x:v>
      </x:c>
      <x:c r="L848" s="17" t="n">
        <x:f>IF(AND(B848&lt;&gt;"",I848="RECENT",K848&gt;0),LARGE(_xlfn._xlws.FILTER('Istoric_Nativ'!$D$6:$D$405,('Istoric_Nativ'!$B$6:$B$405=E848)*('Istoric_Nativ'!$C$6:$C$405=F848)*('Istoric_Nativ'!$P$6:$P$405=1)*('Istoric_Nativ'!$D$6:$D$405&lt;J848)*((('Istoric_Nativ'!$E$6:$E$405=G848)+('Istoric_Nativ'!$F$6:$F$405=G848))&gt;0)),MIN('Config_v6'!$B$54,K848)),0)</x:f>
        <x:v>0</x:v>
      </x:c>
      <x:c r="M848" s="2" t="n">
        <x:f>IF(OR(B848="",F848=""),0,IF(H848="HOME",COUNTIFS('Istoric_Nativ'!$B$6:$B$405,E848,'Istoric_Nativ'!$C$6:$C$405,F848,'Istoric_Nativ'!$E$6:$E$405,G848,'Istoric_Nativ'!$D$6:$D$405,"&lt;"&amp;J848,'Istoric_Nativ'!$P$6:$P$405,1,'Istoric_Nativ'!$D$6:$D$405,"&gt;="&amp;L848),IF(H848="AWAY",COUNTIFS('Istoric_Nativ'!$B$6:$B$405,E848,'Istoric_Nativ'!$C$6:$C$405,F848,'Istoric_Nativ'!$F$6:$F$405,G848,'Istoric_Nativ'!$D$6:$D$405,"&lt;"&amp;J848,'Istoric_Nativ'!$P$6:$P$405,1,'Istoric_Nativ'!$D$6:$D$405,"&gt;="&amp;L848),COUNTIFS('Istoric_Nativ'!$B$6:$B$405,E848,'Istoric_Nativ'!$C$6:$C$405,F848,'Istoric_Nativ'!$E$6:$E$405,G848,'Istoric_Nativ'!$D$6:$D$405,"&lt;"&amp;J848,'Istoric_Nativ'!$P$6:$P$405,1,'Istoric_Nativ'!$D$6:$D$405,"&gt;="&amp;L848)+COUNTIFS('Istoric_Nativ'!$B$6:$B$405,E848,'Istoric_Nativ'!$C$6:$C$405,F848,'Istoric_Nativ'!$F$6:$F$405,G848,'Istoric_Nativ'!$D$6:$D$405,"&lt;"&amp;J848,'Istoric_Nativ'!$P$6:$P$405,1,'Istoric_Nativ'!$D$6:$D$405,"&gt;="&amp;L848))))</x:f>
        <x:v>0</x:v>
      </x:c>
      <x:c r="N848" s="11" t="str">
        <x:f>IF(M848=0,"",IF(H848="HOME",SUMIFS('Istoric_Nativ'!$G$6:$G$405,'Istoric_Nativ'!$B$6:$B$405,E848,'Istoric_Nativ'!$C$6:$C$405,F848,'Istoric_Nativ'!$E$6:$E$405,G848,'Istoric_Nativ'!$D$6:$D$405,"&lt;"&amp;J848,'Istoric_Nativ'!$P$6:$P$405,1,'Istoric_Nativ'!$D$6:$D$405,"&gt;="&amp;L848),IF(H848="AWAY",SUMIFS('Istoric_Nativ'!$H$6:$H$405,'Istoric_Nativ'!$B$6:$B$405,E848,'Istoric_Nativ'!$C$6:$C$405,F848,'Istoric_Nativ'!$F$6:$F$405,G848,'Istoric_Nativ'!$D$6:$D$405,"&lt;"&amp;J848,'Istoric_Nativ'!$P$6:$P$405,1,'Istoric_Nativ'!$D$6:$D$405,"&gt;="&amp;L848),SUMIFS('Istoric_Nativ'!$G$6:$G$405,'Istoric_Nativ'!$B$6:$B$405,E848,'Istoric_Nativ'!$C$6:$C$405,F848,'Istoric_Nativ'!$E$6:$E$405,G848,'Istoric_Nativ'!$D$6:$D$405,"&lt;"&amp;J848,'Istoric_Nativ'!$P$6:$P$405,1,'Istoric_Nativ'!$D$6:$D$405,"&gt;="&amp;L848)+SUMIFS('Istoric_Nativ'!$H$6:$H$405,'Istoric_Nativ'!$B$6:$B$405,E848,'Istoric_Nativ'!$C$6:$C$405,F848,'Istoric_Nativ'!$F$6:$F$405,G848,'Istoric_Nativ'!$D$6:$D$405,"&lt;"&amp;J848,'Istoric_Nativ'!$P$6:$P$405,1,'Istoric_Nativ'!$D$6:$D$405,"&gt;="&amp;L848)))/M848)</x:f>
      </x:c>
      <x:c r="O848" s="11" t="str">
        <x:f>IF(M848=0,"",IF(H848="HOME",SUMIFS('Istoric_Nativ'!$H$6:$H$405,'Istoric_Nativ'!$B$6:$B$405,E848,'Istoric_Nativ'!$C$6:$C$405,F848,'Istoric_Nativ'!$E$6:$E$405,G848,'Istoric_Nativ'!$D$6:$D$405,"&lt;"&amp;J848,'Istoric_Nativ'!$P$6:$P$405,1,'Istoric_Nativ'!$D$6:$D$405,"&gt;="&amp;L848),IF(H848="AWAY",SUMIFS('Istoric_Nativ'!$G$6:$G$405,'Istoric_Nativ'!$B$6:$B$405,E848,'Istoric_Nativ'!$C$6:$C$405,F848,'Istoric_Nativ'!$F$6:$F$405,G848,'Istoric_Nativ'!$D$6:$D$405,"&lt;"&amp;J848,'Istoric_Nativ'!$P$6:$P$405,1,'Istoric_Nativ'!$D$6:$D$405,"&gt;="&amp;L848),SUMIFS('Istoric_Nativ'!$H$6:$H$405,'Istoric_Nativ'!$B$6:$B$405,E848,'Istoric_Nativ'!$C$6:$C$405,F848,'Istoric_Nativ'!$E$6:$E$405,G848,'Istoric_Nativ'!$D$6:$D$405,"&lt;"&amp;J848,'Istoric_Nativ'!$P$6:$P$405,1,'Istoric_Nativ'!$D$6:$D$405,"&gt;="&amp;L848)+SUMIFS('Istoric_Nativ'!$G$6:$G$405,'Istoric_Nativ'!$B$6:$B$405,E848,'Istoric_Nativ'!$C$6:$C$405,F848,'Istoric_Nativ'!$F$6:$F$405,G848,'Istoric_Nativ'!$D$6:$D$405,"&lt;"&amp;J848,'Istoric_Nativ'!$P$6:$P$405,1,'Istoric_Nativ'!$D$6:$D$405,"&gt;="&amp;L848)))/M848)</x:f>
      </x:c>
      <x:c r="P848" s="2" t="n">
        <x:f>'Config_v6'!$B$9</x:f>
        <x:v>3</x:v>
      </x:c>
      <x:c r="Q848" s="2" t="n">
        <x:f>IF(OR(B848="",F848=""),0,IFERROR(MATCH(E848&amp;"|"&amp;F848,SourceTable[Source_Key],0),0))</x:f>
        <x:v>0</x:v>
      </x:c>
      <x:c r="R848" s="2" t="str">
        <x:f>IF(B848="","",IF(F848="","UNUSED",IF(Q848=0,"NOT CHECKED",IF(COUNTIF(SourceTable[Source_Key],E848&amp;"|"&amp;F848)&lt;&gt;1,"SOURCE CONFLICT",IF(NOT(OR(INDEX(SourceTable[Status],MAX(1,Q848))="IMPORTED",INDEX(SourceTable[Status],MAX(1,Q848))="PARTIAL",INDEX(SourceTable[Status],MAX(1,Q848))="SOURCE CONFLICT")),"ACCESS BLOCKED",IF(OR(INDEX(SourceTable[Coverage],Q848)&lt;&gt;"FULL SEASON EXPORT",INDEX(SourceTable[URL],Q848)="",INDEX(SourceTable[SHA256],Q848)=""),"EVIDENCE INCOMPLETE",IF(AND('Input_Meci'!H76="LIVE",INDEX(SourceTable[Retrieved_UTC],Q848)&gt;'Input_Meci'!G76),"POST CUTOFF","CLOSED")))))))</x:f>
      </x:c>
      <x:c r="S848" s="2" t="n">
        <x:f>IF(OR(B848="",F848=""),0,COUNTIFS('Istoric_Nativ'!$B$6:$B$405,E848,'Istoric_Nativ'!$C$6:$C$405,F848,'Istoric_Nativ'!$E$6:$E$405,G848,'Istoric_Nativ'!$D$6:$D$405,"&lt;"&amp;J848,'Istoric_Nativ'!$O$6:$O$405,"INVALID")+COUNTIFS('Istoric_Nativ'!$B$6:$B$405,E848,'Istoric_Nativ'!$C$6:$C$405,F848,'Istoric_Nativ'!$E$6:$E$405,G848,'Istoric_Nativ'!$O$6:$O$405,"INVALID",'Istoric_Nativ'!$D$6:$D$405,"*")+COUNTIFS('Istoric_Nativ'!$B$6:$B$405,E848,'Istoric_Nativ'!$C$6:$C$405,F848,'Istoric_Nativ'!$E$6:$E$405,G848,'Istoric_Nativ'!$D$6:$D$405,"&lt;"&amp;J848,'Istoric_Nativ'!$O$6:$O$405,"SOURCE CONFLICT")+COUNTIFS('Istoric_Nativ'!$B$6:$B$405,E848,'Istoric_Nativ'!$C$6:$C$405,F848,'Istoric_Nativ'!$F$6:$F$405,G848,'Istoric_Nativ'!$D$6:$D$405,"&lt;"&amp;J848,'Istoric_Nativ'!$O$6:$O$405,"INVALID")+COUNTIFS('Istoric_Nativ'!$B$6:$B$405,E848,'Istoric_Nativ'!$C$6:$C$405,F848,'Istoric_Nativ'!$F$6:$F$405,G848,'Istoric_Nativ'!$O$6:$O$405,"INVALID",'Istoric_Nativ'!$D$6:$D$405,"*")+COUNTIFS('Istoric_Nativ'!$B$6:$B$405,E848,'Istoric_Nativ'!$C$6:$C$405,F848,'Istoric_Nativ'!$F$6:$F$405,G848,'Istoric_Nativ'!$D$6:$D$405,"&lt;"&amp;J848,'Istoric_Nativ'!$O$6:$O$405,"SOURCE CONFLICT"))</x:f>
        <x:v>0</x:v>
      </x:c>
      <x:c r="T848" s="2" t="str">
        <x:f>IF(B848="","",IF(R848&lt;&gt;"CLOSED",R848,IF(S848&gt;0,"NATIVE INPUT ISSUE",IF(M848=0,"NO HISTORY",IF(M848&lt;P848,"SMALL SAMPLE","DERIVED")))))</x:f>
      </x:c>
      <x:c r="U848" s="2" t="str">
        <x:f>IF(B848="","","NativeTable; "&amp;E848&amp;"; "&amp;F848&amp;"; "&amp;G848&amp;"; "&amp;H848&amp;"; before "&amp;TEXT(J848,"yyyy-mm-dd")&amp;IF(I848="RECENT","; from "&amp;TEXT(L848,"yyyy-mm-dd"),""))</x:f>
      </x:c>
    </x:row>
    <x:row r="849" ht="21" customHeight="1">
      <x:c r="A849" s="2" t="n">
        <x:v>71</x:v>
      </x:c>
      <x:c r="B849" s="2" t="str">
        <x:f>IF('Input_Meci'!A76="","",'Input_Meci'!A76)</x:f>
      </x:c>
      <x:c r="C849" s="2" t="str">
        <x:v>A</x:v>
      </x:c>
      <x:c r="D849" s="2" t="str">
        <x:v>CURRENT</x:v>
      </x:c>
      <x:c r="E849" s="2" t="str">
        <x:f>IF(B849="","",'Input_Meci'!B76)</x:f>
      </x:c>
      <x:c r="F849" s="2" t="str">
        <x:f>IF(B849="","",IF('Input_Meci'!C76="","",'Input_Meci'!C76))</x:f>
      </x:c>
      <x:c r="G849" s="2" t="str">
        <x:f>IF(B849="","",'Input_Meci'!E76)</x:f>
      </x:c>
      <x:c r="H849" s="2" t="str">
        <x:v>ANY</x:v>
      </x:c>
      <x:c r="I849" s="2" t="str">
        <x:v>SEASON</x:v>
      </x:c>
      <x:c r="J849" s="9" t="n">
        <x:f>IF(AND(B849&lt;&gt;"",ISNUMBER('Input_Meci'!G76)),INT('Input_Meci'!G76),0)</x:f>
        <x:v>0</x:v>
      </x:c>
      <x:c r="K849" s="2" t="n">
        <x:f>IF(OR(B849="",F849=""),0,IF(H849="HOME",COUNTIFS('Istoric_Nativ'!$B$6:$B$405,E849,'Istoric_Nativ'!$C$6:$C$405,F849,'Istoric_Nativ'!$E$6:$E$405,G849,'Istoric_Nativ'!$D$6:$D$405,"&lt;"&amp;J849,'Istoric_Nativ'!$P$6:$P$405,1),IF(H849="AWAY",COUNTIFS('Istoric_Nativ'!$B$6:$B$405,E849,'Istoric_Nativ'!$C$6:$C$405,F849,'Istoric_Nativ'!$F$6:$F$405,G849,'Istoric_Nativ'!$D$6:$D$405,"&lt;"&amp;J849,'Istoric_Nativ'!$P$6:$P$405,1),COUNTIFS('Istoric_Nativ'!$B$6:$B$405,E849,'Istoric_Nativ'!$C$6:$C$405,F849,'Istoric_Nativ'!$E$6:$E$405,G849,'Istoric_Nativ'!$D$6:$D$405,"&lt;"&amp;J849,'Istoric_Nativ'!$P$6:$P$405,1)+COUNTIFS('Istoric_Nativ'!$B$6:$B$405,E849,'Istoric_Nativ'!$C$6:$C$405,F849,'Istoric_Nativ'!$F$6:$F$405,G849,'Istoric_Nativ'!$D$6:$D$405,"&lt;"&amp;J849,'Istoric_Nativ'!$P$6:$P$405,1))))</x:f>
        <x:v>0</x:v>
      </x:c>
      <x:c r="L849" s="17" t="n">
        <x:f>IF(AND(B849&lt;&gt;"",I849="RECENT",K849&gt;0),LARGE(_xlfn._xlws.FILTER('Istoric_Nativ'!$D$6:$D$405,('Istoric_Nativ'!$B$6:$B$405=E849)*('Istoric_Nativ'!$C$6:$C$405=F849)*('Istoric_Nativ'!$P$6:$P$405=1)*('Istoric_Nativ'!$D$6:$D$405&lt;J849)*((('Istoric_Nativ'!$E$6:$E$405=G849)+('Istoric_Nativ'!$F$6:$F$405=G849))&gt;0)),MIN('Config_v6'!$B$54,K849)),0)</x:f>
        <x:v>0</x:v>
      </x:c>
      <x:c r="M849" s="2" t="n">
        <x:f>IF(OR(B849="",F849=""),0,IF(H849="HOME",COUNTIFS('Istoric_Nativ'!$B$6:$B$405,E849,'Istoric_Nativ'!$C$6:$C$405,F849,'Istoric_Nativ'!$E$6:$E$405,G849,'Istoric_Nativ'!$D$6:$D$405,"&lt;"&amp;J849,'Istoric_Nativ'!$P$6:$P$405,1,'Istoric_Nativ'!$D$6:$D$405,"&gt;="&amp;L849),IF(H849="AWAY",COUNTIFS('Istoric_Nativ'!$B$6:$B$405,E849,'Istoric_Nativ'!$C$6:$C$405,F849,'Istoric_Nativ'!$F$6:$F$405,G849,'Istoric_Nativ'!$D$6:$D$405,"&lt;"&amp;J849,'Istoric_Nativ'!$P$6:$P$405,1,'Istoric_Nativ'!$D$6:$D$405,"&gt;="&amp;L849),COUNTIFS('Istoric_Nativ'!$B$6:$B$405,E849,'Istoric_Nativ'!$C$6:$C$405,F849,'Istoric_Nativ'!$E$6:$E$405,G849,'Istoric_Nativ'!$D$6:$D$405,"&lt;"&amp;J849,'Istoric_Nativ'!$P$6:$P$405,1,'Istoric_Nativ'!$D$6:$D$405,"&gt;="&amp;L849)+COUNTIFS('Istoric_Nativ'!$B$6:$B$405,E849,'Istoric_Nativ'!$C$6:$C$405,F849,'Istoric_Nativ'!$F$6:$F$405,G849,'Istoric_Nativ'!$D$6:$D$405,"&lt;"&amp;J849,'Istoric_Nativ'!$P$6:$P$405,1,'Istoric_Nativ'!$D$6:$D$405,"&gt;="&amp;L849))))</x:f>
        <x:v>0</x:v>
      </x:c>
      <x:c r="N849" s="11" t="str">
        <x:f>IF(M849=0,"",IF(H849="HOME",SUMIFS('Istoric_Nativ'!$G$6:$G$405,'Istoric_Nativ'!$B$6:$B$405,E849,'Istoric_Nativ'!$C$6:$C$405,F849,'Istoric_Nativ'!$E$6:$E$405,G849,'Istoric_Nativ'!$D$6:$D$405,"&lt;"&amp;J849,'Istoric_Nativ'!$P$6:$P$405,1,'Istoric_Nativ'!$D$6:$D$405,"&gt;="&amp;L849),IF(H849="AWAY",SUMIFS('Istoric_Nativ'!$H$6:$H$405,'Istoric_Nativ'!$B$6:$B$405,E849,'Istoric_Nativ'!$C$6:$C$405,F849,'Istoric_Nativ'!$F$6:$F$405,G849,'Istoric_Nativ'!$D$6:$D$405,"&lt;"&amp;J849,'Istoric_Nativ'!$P$6:$P$405,1,'Istoric_Nativ'!$D$6:$D$405,"&gt;="&amp;L849),SUMIFS('Istoric_Nativ'!$G$6:$G$405,'Istoric_Nativ'!$B$6:$B$405,E849,'Istoric_Nativ'!$C$6:$C$405,F849,'Istoric_Nativ'!$E$6:$E$405,G849,'Istoric_Nativ'!$D$6:$D$405,"&lt;"&amp;J849,'Istoric_Nativ'!$P$6:$P$405,1,'Istoric_Nativ'!$D$6:$D$405,"&gt;="&amp;L849)+SUMIFS('Istoric_Nativ'!$H$6:$H$405,'Istoric_Nativ'!$B$6:$B$405,E849,'Istoric_Nativ'!$C$6:$C$405,F849,'Istoric_Nativ'!$F$6:$F$405,G849,'Istoric_Nativ'!$D$6:$D$405,"&lt;"&amp;J849,'Istoric_Nativ'!$P$6:$P$405,1,'Istoric_Nativ'!$D$6:$D$405,"&gt;="&amp;L849)))/M849)</x:f>
      </x:c>
      <x:c r="O849" s="11" t="str">
        <x:f>IF(M849=0,"",IF(H849="HOME",SUMIFS('Istoric_Nativ'!$H$6:$H$405,'Istoric_Nativ'!$B$6:$B$405,E849,'Istoric_Nativ'!$C$6:$C$405,F849,'Istoric_Nativ'!$E$6:$E$405,G849,'Istoric_Nativ'!$D$6:$D$405,"&lt;"&amp;J849,'Istoric_Nativ'!$P$6:$P$405,1,'Istoric_Nativ'!$D$6:$D$405,"&gt;="&amp;L849),IF(H849="AWAY",SUMIFS('Istoric_Nativ'!$G$6:$G$405,'Istoric_Nativ'!$B$6:$B$405,E849,'Istoric_Nativ'!$C$6:$C$405,F849,'Istoric_Nativ'!$F$6:$F$405,G849,'Istoric_Nativ'!$D$6:$D$405,"&lt;"&amp;J849,'Istoric_Nativ'!$P$6:$P$405,1,'Istoric_Nativ'!$D$6:$D$405,"&gt;="&amp;L849),SUMIFS('Istoric_Nativ'!$H$6:$H$405,'Istoric_Nativ'!$B$6:$B$405,E849,'Istoric_Nativ'!$C$6:$C$405,F849,'Istoric_Nativ'!$E$6:$E$405,G849,'Istoric_Nativ'!$D$6:$D$405,"&lt;"&amp;J849,'Istoric_Nativ'!$P$6:$P$405,1,'Istoric_Nativ'!$D$6:$D$405,"&gt;="&amp;L849)+SUMIFS('Istoric_Nativ'!$G$6:$G$405,'Istoric_Nativ'!$B$6:$B$405,E849,'Istoric_Nativ'!$C$6:$C$405,F849,'Istoric_Nativ'!$F$6:$F$405,G849,'Istoric_Nativ'!$D$6:$D$405,"&lt;"&amp;J849,'Istoric_Nativ'!$P$6:$P$405,1,'Istoric_Nativ'!$D$6:$D$405,"&gt;="&amp;L849)))/M849)</x:f>
      </x:c>
      <x:c r="P849" s="2" t="n">
        <x:f>'Config_v6'!$B$7</x:f>
        <x:v>10</x:v>
      </x:c>
      <x:c r="Q849" s="2" t="n">
        <x:f>IF(OR(B849="",F849=""),0,IFERROR(MATCH(E849&amp;"|"&amp;F849,SourceTable[Source_Key],0),0))</x:f>
        <x:v>0</x:v>
      </x:c>
      <x:c r="R849" s="2" t="str">
        <x:f>IF(B849="","",IF(F849="","UNUSED",IF(Q849=0,"NOT CHECKED",IF(COUNTIF(SourceTable[Source_Key],E849&amp;"|"&amp;F849)&lt;&gt;1,"SOURCE CONFLICT",IF(NOT(OR(INDEX(SourceTable[Status],MAX(1,Q849))="IMPORTED",INDEX(SourceTable[Status],MAX(1,Q849))="PARTIAL",INDEX(SourceTable[Status],MAX(1,Q849))="SOURCE CONFLICT")),"ACCESS BLOCKED",IF(OR(INDEX(SourceTable[Coverage],Q849)&lt;&gt;"FULL SEASON EXPORT",INDEX(SourceTable[URL],Q849)="",INDEX(SourceTable[SHA256],Q849)=""),"EVIDENCE INCOMPLETE",IF(AND('Input_Meci'!H76="LIVE",INDEX(SourceTable[Retrieved_UTC],Q849)&gt;'Input_Meci'!G76),"POST CUTOFF","CLOSED")))))))</x:f>
      </x:c>
      <x:c r="S849" s="2" t="n">
        <x:f>IF(OR(B849="",F849=""),0,COUNTIFS('Istoric_Nativ'!$B$6:$B$405,E849,'Istoric_Nativ'!$C$6:$C$405,F849,'Istoric_Nativ'!$E$6:$E$405,G849,'Istoric_Nativ'!$D$6:$D$405,"&lt;"&amp;J849,'Istoric_Nativ'!$O$6:$O$405,"INVALID")+COUNTIFS('Istoric_Nativ'!$B$6:$B$405,E849,'Istoric_Nativ'!$C$6:$C$405,F849,'Istoric_Nativ'!$E$6:$E$405,G849,'Istoric_Nativ'!$O$6:$O$405,"INVALID",'Istoric_Nativ'!$D$6:$D$405,"*")+COUNTIFS('Istoric_Nativ'!$B$6:$B$405,E849,'Istoric_Nativ'!$C$6:$C$405,F849,'Istoric_Nativ'!$E$6:$E$405,G849,'Istoric_Nativ'!$D$6:$D$405,"&lt;"&amp;J849,'Istoric_Nativ'!$O$6:$O$405,"SOURCE CONFLICT")+COUNTIFS('Istoric_Nativ'!$B$6:$B$405,E849,'Istoric_Nativ'!$C$6:$C$405,F849,'Istoric_Nativ'!$F$6:$F$405,G849,'Istoric_Nativ'!$D$6:$D$405,"&lt;"&amp;J849,'Istoric_Nativ'!$O$6:$O$405,"INVALID")+COUNTIFS('Istoric_Nativ'!$B$6:$B$405,E849,'Istoric_Nativ'!$C$6:$C$405,F849,'Istoric_Nativ'!$F$6:$F$405,G849,'Istoric_Nativ'!$O$6:$O$405,"INVALID",'Istoric_Nativ'!$D$6:$D$405,"*")+COUNTIFS('Istoric_Nativ'!$B$6:$B$405,E849,'Istoric_Nativ'!$C$6:$C$405,F849,'Istoric_Nativ'!$F$6:$F$405,G849,'Istoric_Nativ'!$D$6:$D$405,"&lt;"&amp;J849,'Istoric_Nativ'!$O$6:$O$405,"SOURCE CONFLICT"))</x:f>
        <x:v>0</x:v>
      </x:c>
      <x:c r="T849" s="2" t="str">
        <x:f>IF(B849="","",IF(R849&lt;&gt;"CLOSED",R849,IF(S849&gt;0,"NATIVE INPUT ISSUE",IF(M849=0,"NO HISTORY",IF(M849&lt;P849,"SMALL SAMPLE","DERIVED")))))</x:f>
      </x:c>
      <x:c r="U849" s="2" t="str">
        <x:f>IF(B849="","","NativeTable; "&amp;E849&amp;"; "&amp;F849&amp;"; "&amp;G849&amp;"; "&amp;H849&amp;"; before "&amp;TEXT(J849,"yyyy-mm-dd")&amp;IF(I849="RECENT","; from "&amp;TEXT(L849,"yyyy-mm-dd"),""))</x:f>
      </x:c>
    </x:row>
    <x:row r="850" ht="21" customHeight="1">
      <x:c r="A850" s="2" t="n">
        <x:v>71</x:v>
      </x:c>
      <x:c r="B850" s="2" t="str">
        <x:f>IF('Input_Meci'!A76="","",'Input_Meci'!A76)</x:f>
      </x:c>
      <x:c r="C850" s="2" t="str">
        <x:v>A</x:v>
      </x:c>
      <x:c r="D850" s="2" t="str">
        <x:v>CURRENT</x:v>
      </x:c>
      <x:c r="E850" s="2" t="str">
        <x:f>IF(B850="","",'Input_Meci'!B76)</x:f>
      </x:c>
      <x:c r="F850" s="2" t="str">
        <x:f>IF(B850="","",IF('Input_Meci'!C76="","",'Input_Meci'!C76))</x:f>
      </x:c>
      <x:c r="G850" s="2" t="str">
        <x:f>IF(B850="","",'Input_Meci'!E76)</x:f>
      </x:c>
      <x:c r="H850" s="2" t="str">
        <x:v>AWAY</x:v>
      </x:c>
      <x:c r="I850" s="2" t="str">
        <x:v>HA</x:v>
      </x:c>
      <x:c r="J850" s="9" t="n">
        <x:f>IF(AND(B850&lt;&gt;"",ISNUMBER('Input_Meci'!G76)),INT('Input_Meci'!G76),0)</x:f>
        <x:v>0</x:v>
      </x:c>
      <x:c r="K850" s="2" t="n">
        <x:f>IF(OR(B850="",F850=""),0,IF(H850="HOME",COUNTIFS('Istoric_Nativ'!$B$6:$B$405,E850,'Istoric_Nativ'!$C$6:$C$405,F850,'Istoric_Nativ'!$E$6:$E$405,G850,'Istoric_Nativ'!$D$6:$D$405,"&lt;"&amp;J850,'Istoric_Nativ'!$P$6:$P$405,1),IF(H850="AWAY",COUNTIFS('Istoric_Nativ'!$B$6:$B$405,E850,'Istoric_Nativ'!$C$6:$C$405,F850,'Istoric_Nativ'!$F$6:$F$405,G850,'Istoric_Nativ'!$D$6:$D$405,"&lt;"&amp;J850,'Istoric_Nativ'!$P$6:$P$405,1),COUNTIFS('Istoric_Nativ'!$B$6:$B$405,E850,'Istoric_Nativ'!$C$6:$C$405,F850,'Istoric_Nativ'!$E$6:$E$405,G850,'Istoric_Nativ'!$D$6:$D$405,"&lt;"&amp;J850,'Istoric_Nativ'!$P$6:$P$405,1)+COUNTIFS('Istoric_Nativ'!$B$6:$B$405,E850,'Istoric_Nativ'!$C$6:$C$405,F850,'Istoric_Nativ'!$F$6:$F$405,G850,'Istoric_Nativ'!$D$6:$D$405,"&lt;"&amp;J850,'Istoric_Nativ'!$P$6:$P$405,1))))</x:f>
        <x:v>0</x:v>
      </x:c>
      <x:c r="L850" s="17" t="n">
        <x:f>IF(AND(B850&lt;&gt;"",I850="RECENT",K850&gt;0),LARGE(_xlfn._xlws.FILTER('Istoric_Nativ'!$D$6:$D$405,('Istoric_Nativ'!$B$6:$B$405=E850)*('Istoric_Nativ'!$C$6:$C$405=F850)*('Istoric_Nativ'!$P$6:$P$405=1)*('Istoric_Nativ'!$D$6:$D$405&lt;J850)*((('Istoric_Nativ'!$E$6:$E$405=G850)+('Istoric_Nativ'!$F$6:$F$405=G850))&gt;0)),MIN('Config_v6'!$B$54,K850)),0)</x:f>
        <x:v>0</x:v>
      </x:c>
      <x:c r="M850" s="2" t="n">
        <x:f>IF(OR(B850="",F850=""),0,IF(H850="HOME",COUNTIFS('Istoric_Nativ'!$B$6:$B$405,E850,'Istoric_Nativ'!$C$6:$C$405,F850,'Istoric_Nativ'!$E$6:$E$405,G850,'Istoric_Nativ'!$D$6:$D$405,"&lt;"&amp;J850,'Istoric_Nativ'!$P$6:$P$405,1,'Istoric_Nativ'!$D$6:$D$405,"&gt;="&amp;L850),IF(H850="AWAY",COUNTIFS('Istoric_Nativ'!$B$6:$B$405,E850,'Istoric_Nativ'!$C$6:$C$405,F850,'Istoric_Nativ'!$F$6:$F$405,G850,'Istoric_Nativ'!$D$6:$D$405,"&lt;"&amp;J850,'Istoric_Nativ'!$P$6:$P$405,1,'Istoric_Nativ'!$D$6:$D$405,"&gt;="&amp;L850),COUNTIFS('Istoric_Nativ'!$B$6:$B$405,E850,'Istoric_Nativ'!$C$6:$C$405,F850,'Istoric_Nativ'!$E$6:$E$405,G850,'Istoric_Nativ'!$D$6:$D$405,"&lt;"&amp;J850,'Istoric_Nativ'!$P$6:$P$405,1,'Istoric_Nativ'!$D$6:$D$405,"&gt;="&amp;L850)+COUNTIFS('Istoric_Nativ'!$B$6:$B$405,E850,'Istoric_Nativ'!$C$6:$C$405,F850,'Istoric_Nativ'!$F$6:$F$405,G850,'Istoric_Nativ'!$D$6:$D$405,"&lt;"&amp;J850,'Istoric_Nativ'!$P$6:$P$405,1,'Istoric_Nativ'!$D$6:$D$405,"&gt;="&amp;L850))))</x:f>
        <x:v>0</x:v>
      </x:c>
      <x:c r="N850" s="11" t="str">
        <x:f>IF(M850=0,"",IF(H850="HOME",SUMIFS('Istoric_Nativ'!$G$6:$G$405,'Istoric_Nativ'!$B$6:$B$405,E850,'Istoric_Nativ'!$C$6:$C$405,F850,'Istoric_Nativ'!$E$6:$E$405,G850,'Istoric_Nativ'!$D$6:$D$405,"&lt;"&amp;J850,'Istoric_Nativ'!$P$6:$P$405,1,'Istoric_Nativ'!$D$6:$D$405,"&gt;="&amp;L850),IF(H850="AWAY",SUMIFS('Istoric_Nativ'!$H$6:$H$405,'Istoric_Nativ'!$B$6:$B$405,E850,'Istoric_Nativ'!$C$6:$C$405,F850,'Istoric_Nativ'!$F$6:$F$405,G850,'Istoric_Nativ'!$D$6:$D$405,"&lt;"&amp;J850,'Istoric_Nativ'!$P$6:$P$405,1,'Istoric_Nativ'!$D$6:$D$405,"&gt;="&amp;L850),SUMIFS('Istoric_Nativ'!$G$6:$G$405,'Istoric_Nativ'!$B$6:$B$405,E850,'Istoric_Nativ'!$C$6:$C$405,F850,'Istoric_Nativ'!$E$6:$E$405,G850,'Istoric_Nativ'!$D$6:$D$405,"&lt;"&amp;J850,'Istoric_Nativ'!$P$6:$P$405,1,'Istoric_Nativ'!$D$6:$D$405,"&gt;="&amp;L850)+SUMIFS('Istoric_Nativ'!$H$6:$H$405,'Istoric_Nativ'!$B$6:$B$405,E850,'Istoric_Nativ'!$C$6:$C$405,F850,'Istoric_Nativ'!$F$6:$F$405,G850,'Istoric_Nativ'!$D$6:$D$405,"&lt;"&amp;J850,'Istoric_Nativ'!$P$6:$P$405,1,'Istoric_Nativ'!$D$6:$D$405,"&gt;="&amp;L850)))/M850)</x:f>
      </x:c>
      <x:c r="O850" s="11" t="str">
        <x:f>IF(M850=0,"",IF(H850="HOME",SUMIFS('Istoric_Nativ'!$H$6:$H$405,'Istoric_Nativ'!$B$6:$B$405,E850,'Istoric_Nativ'!$C$6:$C$405,F850,'Istoric_Nativ'!$E$6:$E$405,G850,'Istoric_Nativ'!$D$6:$D$405,"&lt;"&amp;J850,'Istoric_Nativ'!$P$6:$P$405,1,'Istoric_Nativ'!$D$6:$D$405,"&gt;="&amp;L850),IF(H850="AWAY",SUMIFS('Istoric_Nativ'!$G$6:$G$405,'Istoric_Nativ'!$B$6:$B$405,E850,'Istoric_Nativ'!$C$6:$C$405,F850,'Istoric_Nativ'!$F$6:$F$405,G850,'Istoric_Nativ'!$D$6:$D$405,"&lt;"&amp;J850,'Istoric_Nativ'!$P$6:$P$405,1,'Istoric_Nativ'!$D$6:$D$405,"&gt;="&amp;L850),SUMIFS('Istoric_Nativ'!$H$6:$H$405,'Istoric_Nativ'!$B$6:$B$405,E850,'Istoric_Nativ'!$C$6:$C$405,F850,'Istoric_Nativ'!$E$6:$E$405,G850,'Istoric_Nativ'!$D$6:$D$405,"&lt;"&amp;J850,'Istoric_Nativ'!$P$6:$P$405,1,'Istoric_Nativ'!$D$6:$D$405,"&gt;="&amp;L850)+SUMIFS('Istoric_Nativ'!$G$6:$G$405,'Istoric_Nativ'!$B$6:$B$405,E850,'Istoric_Nativ'!$C$6:$C$405,F850,'Istoric_Nativ'!$F$6:$F$405,G850,'Istoric_Nativ'!$D$6:$D$405,"&lt;"&amp;J850,'Istoric_Nativ'!$P$6:$P$405,1,'Istoric_Nativ'!$D$6:$D$405,"&gt;="&amp;L850)))/M850)</x:f>
      </x:c>
      <x:c r="P850" s="2" t="n">
        <x:f>'Config_v6'!$B$8</x:f>
        <x:v>5</x:v>
      </x:c>
      <x:c r="Q850" s="2" t="n">
        <x:f>IF(OR(B850="",F850=""),0,IFERROR(MATCH(E850&amp;"|"&amp;F850,SourceTable[Source_Key],0),0))</x:f>
        <x:v>0</x:v>
      </x:c>
      <x:c r="R850" s="2" t="str">
        <x:f>IF(B850="","",IF(F850="","UNUSED",IF(Q850=0,"NOT CHECKED",IF(COUNTIF(SourceTable[Source_Key],E850&amp;"|"&amp;F850)&lt;&gt;1,"SOURCE CONFLICT",IF(NOT(OR(INDEX(SourceTable[Status],MAX(1,Q850))="IMPORTED",INDEX(SourceTable[Status],MAX(1,Q850))="PARTIAL",INDEX(SourceTable[Status],MAX(1,Q850))="SOURCE CONFLICT")),"ACCESS BLOCKED",IF(OR(INDEX(SourceTable[Coverage],Q850)&lt;&gt;"FULL SEASON EXPORT",INDEX(SourceTable[URL],Q850)="",INDEX(SourceTable[SHA256],Q850)=""),"EVIDENCE INCOMPLETE",IF(AND('Input_Meci'!H76="LIVE",INDEX(SourceTable[Retrieved_UTC],Q850)&gt;'Input_Meci'!G76),"POST CUTOFF","CLOSED")))))))</x:f>
      </x:c>
      <x:c r="S850" s="2" t="n">
        <x:f>IF(OR(B850="",F850=""),0,COUNTIFS('Istoric_Nativ'!$B$6:$B$405,E850,'Istoric_Nativ'!$C$6:$C$405,F850,'Istoric_Nativ'!$E$6:$E$405,G850,'Istoric_Nativ'!$D$6:$D$405,"&lt;"&amp;J850,'Istoric_Nativ'!$O$6:$O$405,"INVALID")+COUNTIFS('Istoric_Nativ'!$B$6:$B$405,E850,'Istoric_Nativ'!$C$6:$C$405,F850,'Istoric_Nativ'!$E$6:$E$405,G850,'Istoric_Nativ'!$O$6:$O$405,"INVALID",'Istoric_Nativ'!$D$6:$D$405,"*")+COUNTIFS('Istoric_Nativ'!$B$6:$B$405,E850,'Istoric_Nativ'!$C$6:$C$405,F850,'Istoric_Nativ'!$E$6:$E$405,G850,'Istoric_Nativ'!$D$6:$D$405,"&lt;"&amp;J850,'Istoric_Nativ'!$O$6:$O$405,"SOURCE CONFLICT")+COUNTIFS('Istoric_Nativ'!$B$6:$B$405,E850,'Istoric_Nativ'!$C$6:$C$405,F850,'Istoric_Nativ'!$F$6:$F$405,G850,'Istoric_Nativ'!$D$6:$D$405,"&lt;"&amp;J850,'Istoric_Nativ'!$O$6:$O$405,"INVALID")+COUNTIFS('Istoric_Nativ'!$B$6:$B$405,E850,'Istoric_Nativ'!$C$6:$C$405,F850,'Istoric_Nativ'!$F$6:$F$405,G850,'Istoric_Nativ'!$O$6:$O$405,"INVALID",'Istoric_Nativ'!$D$6:$D$405,"*")+COUNTIFS('Istoric_Nativ'!$B$6:$B$405,E850,'Istoric_Nativ'!$C$6:$C$405,F850,'Istoric_Nativ'!$F$6:$F$405,G850,'Istoric_Nativ'!$D$6:$D$405,"&lt;"&amp;J850,'Istoric_Nativ'!$O$6:$O$405,"SOURCE CONFLICT"))</x:f>
        <x:v>0</x:v>
      </x:c>
      <x:c r="T850" s="2" t="str">
        <x:f>IF(B850="","",IF(R850&lt;&gt;"CLOSED",R850,IF(S850&gt;0,"NATIVE INPUT ISSUE",IF(M850=0,"NO HISTORY",IF(M850&lt;P850,"SMALL SAMPLE","DERIVED")))))</x:f>
      </x:c>
      <x:c r="U850" s="2" t="str">
        <x:f>IF(B850="","","NativeTable; "&amp;E850&amp;"; "&amp;F850&amp;"; "&amp;G850&amp;"; "&amp;H850&amp;"; before "&amp;TEXT(J850,"yyyy-mm-dd")&amp;IF(I850="RECENT","; from "&amp;TEXT(L850,"yyyy-mm-dd"),""))</x:f>
      </x:c>
    </x:row>
    <x:row r="851" ht="21" customHeight="1">
      <x:c r="A851" s="2" t="n">
        <x:v>71</x:v>
      </x:c>
      <x:c r="B851" s="2" t="str">
        <x:f>IF('Input_Meci'!A76="","",'Input_Meci'!A76)</x:f>
      </x:c>
      <x:c r="C851" s="2" t="str">
        <x:v>A</x:v>
      </x:c>
      <x:c r="D851" s="2" t="str">
        <x:v>CURRENT</x:v>
      </x:c>
      <x:c r="E851" s="2" t="str">
        <x:f>IF(B851="","",'Input_Meci'!B76)</x:f>
      </x:c>
      <x:c r="F851" s="2" t="str">
        <x:f>IF(B851="","",IF('Input_Meci'!C76="","",'Input_Meci'!C76))</x:f>
      </x:c>
      <x:c r="G851" s="2" t="str">
        <x:f>IF(B851="","",'Input_Meci'!E76)</x:f>
      </x:c>
      <x:c r="H851" s="2" t="str">
        <x:v>ANY</x:v>
      </x:c>
      <x:c r="I851" s="2" t="str">
        <x:v>RECENT</x:v>
      </x:c>
      <x:c r="J851" s="9" t="n">
        <x:f>IF(AND(B851&lt;&gt;"",ISNUMBER('Input_Meci'!G76)),INT('Input_Meci'!G76),0)</x:f>
        <x:v>0</x:v>
      </x:c>
      <x:c r="K851" s="2" t="n">
        <x:f>IF(OR(B851="",F851=""),0,IF(H851="HOME",COUNTIFS('Istoric_Nativ'!$B$6:$B$405,E851,'Istoric_Nativ'!$C$6:$C$405,F851,'Istoric_Nativ'!$E$6:$E$405,G851,'Istoric_Nativ'!$D$6:$D$405,"&lt;"&amp;J851,'Istoric_Nativ'!$P$6:$P$405,1),IF(H851="AWAY",COUNTIFS('Istoric_Nativ'!$B$6:$B$405,E851,'Istoric_Nativ'!$C$6:$C$405,F851,'Istoric_Nativ'!$F$6:$F$405,G851,'Istoric_Nativ'!$D$6:$D$405,"&lt;"&amp;J851,'Istoric_Nativ'!$P$6:$P$405,1),COUNTIFS('Istoric_Nativ'!$B$6:$B$405,E851,'Istoric_Nativ'!$C$6:$C$405,F851,'Istoric_Nativ'!$E$6:$E$405,G851,'Istoric_Nativ'!$D$6:$D$405,"&lt;"&amp;J851,'Istoric_Nativ'!$P$6:$P$405,1)+COUNTIFS('Istoric_Nativ'!$B$6:$B$405,E851,'Istoric_Nativ'!$C$6:$C$405,F851,'Istoric_Nativ'!$F$6:$F$405,G851,'Istoric_Nativ'!$D$6:$D$405,"&lt;"&amp;J851,'Istoric_Nativ'!$P$6:$P$405,1))))</x:f>
        <x:v>0</x:v>
      </x:c>
      <x:c r="L851" s="17" t="n">
        <x:f>IF(AND(B851&lt;&gt;"",I851="RECENT",K851&gt;0),LARGE(_xlfn._xlws.FILTER('Istoric_Nativ'!$D$6:$D$405,('Istoric_Nativ'!$B$6:$B$405=E851)*('Istoric_Nativ'!$C$6:$C$405=F851)*('Istoric_Nativ'!$P$6:$P$405=1)*('Istoric_Nativ'!$D$6:$D$405&lt;J851)*((('Istoric_Nativ'!$E$6:$E$405=G851)+('Istoric_Nativ'!$F$6:$F$405=G851))&gt;0)),MIN('Config_v6'!$B$54,K851)),0)</x:f>
        <x:v>0</x:v>
      </x:c>
      <x:c r="M851" s="2" t="n">
        <x:f>IF(OR(B851="",F851=""),0,IF(H851="HOME",COUNTIFS('Istoric_Nativ'!$B$6:$B$405,E851,'Istoric_Nativ'!$C$6:$C$405,F851,'Istoric_Nativ'!$E$6:$E$405,G851,'Istoric_Nativ'!$D$6:$D$405,"&lt;"&amp;J851,'Istoric_Nativ'!$P$6:$P$405,1,'Istoric_Nativ'!$D$6:$D$405,"&gt;="&amp;L851),IF(H851="AWAY",COUNTIFS('Istoric_Nativ'!$B$6:$B$405,E851,'Istoric_Nativ'!$C$6:$C$405,F851,'Istoric_Nativ'!$F$6:$F$405,G851,'Istoric_Nativ'!$D$6:$D$405,"&lt;"&amp;J851,'Istoric_Nativ'!$P$6:$P$405,1,'Istoric_Nativ'!$D$6:$D$405,"&gt;="&amp;L851),COUNTIFS('Istoric_Nativ'!$B$6:$B$405,E851,'Istoric_Nativ'!$C$6:$C$405,F851,'Istoric_Nativ'!$E$6:$E$405,G851,'Istoric_Nativ'!$D$6:$D$405,"&lt;"&amp;J851,'Istoric_Nativ'!$P$6:$P$405,1,'Istoric_Nativ'!$D$6:$D$405,"&gt;="&amp;L851)+COUNTIFS('Istoric_Nativ'!$B$6:$B$405,E851,'Istoric_Nativ'!$C$6:$C$405,F851,'Istoric_Nativ'!$F$6:$F$405,G851,'Istoric_Nativ'!$D$6:$D$405,"&lt;"&amp;J851,'Istoric_Nativ'!$P$6:$P$405,1,'Istoric_Nativ'!$D$6:$D$405,"&gt;="&amp;L851))))</x:f>
        <x:v>0</x:v>
      </x:c>
      <x:c r="N851" s="11" t="str">
        <x:f>IF(M851=0,"",IF(H851="HOME",SUMIFS('Istoric_Nativ'!$G$6:$G$405,'Istoric_Nativ'!$B$6:$B$405,E851,'Istoric_Nativ'!$C$6:$C$405,F851,'Istoric_Nativ'!$E$6:$E$405,G851,'Istoric_Nativ'!$D$6:$D$405,"&lt;"&amp;J851,'Istoric_Nativ'!$P$6:$P$405,1,'Istoric_Nativ'!$D$6:$D$405,"&gt;="&amp;L851),IF(H851="AWAY",SUMIFS('Istoric_Nativ'!$H$6:$H$405,'Istoric_Nativ'!$B$6:$B$405,E851,'Istoric_Nativ'!$C$6:$C$405,F851,'Istoric_Nativ'!$F$6:$F$405,G851,'Istoric_Nativ'!$D$6:$D$405,"&lt;"&amp;J851,'Istoric_Nativ'!$P$6:$P$405,1,'Istoric_Nativ'!$D$6:$D$405,"&gt;="&amp;L851),SUMIFS('Istoric_Nativ'!$G$6:$G$405,'Istoric_Nativ'!$B$6:$B$405,E851,'Istoric_Nativ'!$C$6:$C$405,F851,'Istoric_Nativ'!$E$6:$E$405,G851,'Istoric_Nativ'!$D$6:$D$405,"&lt;"&amp;J851,'Istoric_Nativ'!$P$6:$P$405,1,'Istoric_Nativ'!$D$6:$D$405,"&gt;="&amp;L851)+SUMIFS('Istoric_Nativ'!$H$6:$H$405,'Istoric_Nativ'!$B$6:$B$405,E851,'Istoric_Nativ'!$C$6:$C$405,F851,'Istoric_Nativ'!$F$6:$F$405,G851,'Istoric_Nativ'!$D$6:$D$405,"&lt;"&amp;J851,'Istoric_Nativ'!$P$6:$P$405,1,'Istoric_Nativ'!$D$6:$D$405,"&gt;="&amp;L851)))/M851)</x:f>
      </x:c>
      <x:c r="O851" s="11" t="str">
        <x:f>IF(M851=0,"",IF(H851="HOME",SUMIFS('Istoric_Nativ'!$H$6:$H$405,'Istoric_Nativ'!$B$6:$B$405,E851,'Istoric_Nativ'!$C$6:$C$405,F851,'Istoric_Nativ'!$E$6:$E$405,G851,'Istoric_Nativ'!$D$6:$D$405,"&lt;"&amp;J851,'Istoric_Nativ'!$P$6:$P$405,1,'Istoric_Nativ'!$D$6:$D$405,"&gt;="&amp;L851),IF(H851="AWAY",SUMIFS('Istoric_Nativ'!$G$6:$G$405,'Istoric_Nativ'!$B$6:$B$405,E851,'Istoric_Nativ'!$C$6:$C$405,F851,'Istoric_Nativ'!$F$6:$F$405,G851,'Istoric_Nativ'!$D$6:$D$405,"&lt;"&amp;J851,'Istoric_Nativ'!$P$6:$P$405,1,'Istoric_Nativ'!$D$6:$D$405,"&gt;="&amp;L851),SUMIFS('Istoric_Nativ'!$H$6:$H$405,'Istoric_Nativ'!$B$6:$B$405,E851,'Istoric_Nativ'!$C$6:$C$405,F851,'Istoric_Nativ'!$E$6:$E$405,G851,'Istoric_Nativ'!$D$6:$D$405,"&lt;"&amp;J851,'Istoric_Nativ'!$P$6:$P$405,1,'Istoric_Nativ'!$D$6:$D$405,"&gt;="&amp;L851)+SUMIFS('Istoric_Nativ'!$G$6:$G$405,'Istoric_Nativ'!$B$6:$B$405,E851,'Istoric_Nativ'!$C$6:$C$405,F851,'Istoric_Nativ'!$F$6:$F$405,G851,'Istoric_Nativ'!$D$6:$D$405,"&lt;"&amp;J851,'Istoric_Nativ'!$P$6:$P$405,1,'Istoric_Nativ'!$D$6:$D$405,"&gt;="&amp;L851)))/M851)</x:f>
      </x:c>
      <x:c r="P851" s="2" t="n">
        <x:f>'Config_v6'!$B$9</x:f>
        <x:v>3</x:v>
      </x:c>
      <x:c r="Q851" s="2" t="n">
        <x:f>IF(OR(B851="",F851=""),0,IFERROR(MATCH(E851&amp;"|"&amp;F851,SourceTable[Source_Key],0),0))</x:f>
        <x:v>0</x:v>
      </x:c>
      <x:c r="R851" s="2" t="str">
        <x:f>IF(B851="","",IF(F851="","UNUSED",IF(Q851=0,"NOT CHECKED",IF(COUNTIF(SourceTable[Source_Key],E851&amp;"|"&amp;F851)&lt;&gt;1,"SOURCE CONFLICT",IF(NOT(OR(INDEX(SourceTable[Status],MAX(1,Q851))="IMPORTED",INDEX(SourceTable[Status],MAX(1,Q851))="PARTIAL",INDEX(SourceTable[Status],MAX(1,Q851))="SOURCE CONFLICT")),"ACCESS BLOCKED",IF(OR(INDEX(SourceTable[Coverage],Q851)&lt;&gt;"FULL SEASON EXPORT",INDEX(SourceTable[URL],Q851)="",INDEX(SourceTable[SHA256],Q851)=""),"EVIDENCE INCOMPLETE",IF(AND('Input_Meci'!H76="LIVE",INDEX(SourceTable[Retrieved_UTC],Q851)&gt;'Input_Meci'!G76),"POST CUTOFF","CLOSED")))))))</x:f>
      </x:c>
      <x:c r="S851" s="2" t="n">
        <x:f>IF(OR(B851="",F851=""),0,COUNTIFS('Istoric_Nativ'!$B$6:$B$405,E851,'Istoric_Nativ'!$C$6:$C$405,F851,'Istoric_Nativ'!$E$6:$E$405,G851,'Istoric_Nativ'!$D$6:$D$405,"&lt;"&amp;J851,'Istoric_Nativ'!$O$6:$O$405,"INVALID")+COUNTIFS('Istoric_Nativ'!$B$6:$B$405,E851,'Istoric_Nativ'!$C$6:$C$405,F851,'Istoric_Nativ'!$E$6:$E$405,G851,'Istoric_Nativ'!$O$6:$O$405,"INVALID",'Istoric_Nativ'!$D$6:$D$405,"*")+COUNTIFS('Istoric_Nativ'!$B$6:$B$405,E851,'Istoric_Nativ'!$C$6:$C$405,F851,'Istoric_Nativ'!$E$6:$E$405,G851,'Istoric_Nativ'!$D$6:$D$405,"&lt;"&amp;J851,'Istoric_Nativ'!$O$6:$O$405,"SOURCE CONFLICT")+COUNTIFS('Istoric_Nativ'!$B$6:$B$405,E851,'Istoric_Nativ'!$C$6:$C$405,F851,'Istoric_Nativ'!$F$6:$F$405,G851,'Istoric_Nativ'!$D$6:$D$405,"&lt;"&amp;J851,'Istoric_Nativ'!$O$6:$O$405,"INVALID")+COUNTIFS('Istoric_Nativ'!$B$6:$B$405,E851,'Istoric_Nativ'!$C$6:$C$405,F851,'Istoric_Nativ'!$F$6:$F$405,G851,'Istoric_Nativ'!$O$6:$O$405,"INVALID",'Istoric_Nativ'!$D$6:$D$405,"*")+COUNTIFS('Istoric_Nativ'!$B$6:$B$405,E851,'Istoric_Nativ'!$C$6:$C$405,F851,'Istoric_Nativ'!$F$6:$F$405,G851,'Istoric_Nativ'!$D$6:$D$405,"&lt;"&amp;J851,'Istoric_Nativ'!$O$6:$O$405,"SOURCE CONFLICT"))</x:f>
        <x:v>0</x:v>
      </x:c>
      <x:c r="T851" s="2" t="str">
        <x:f>IF(B851="","",IF(R851&lt;&gt;"CLOSED",R851,IF(S851&gt;0,"NATIVE INPUT ISSUE",IF(M851=0,"NO HISTORY",IF(M851&lt;P851,"SMALL SAMPLE","DERIVED")))))</x:f>
      </x:c>
      <x:c r="U851" s="2" t="str">
        <x:f>IF(B851="","","NativeTable; "&amp;E851&amp;"; "&amp;F851&amp;"; "&amp;G851&amp;"; "&amp;H851&amp;"; before "&amp;TEXT(J851,"yyyy-mm-dd")&amp;IF(I851="RECENT","; from "&amp;TEXT(L851,"yyyy-mm-dd"),""))</x:f>
      </x:c>
    </x:row>
    <x:row r="852" ht="21" customHeight="1">
      <x:c r="A852" s="2" t="n">
        <x:v>71</x:v>
      </x:c>
      <x:c r="B852" s="2" t="str">
        <x:f>IF('Input_Meci'!A76="","",'Input_Meci'!A76)</x:f>
      </x:c>
      <x:c r="C852" s="2" t="str">
        <x:v>H</x:v>
      </x:c>
      <x:c r="D852" s="2" t="str">
        <x:v>PRIOR</x:v>
      </x:c>
      <x:c r="E852" s="2" t="str">
        <x:f>IF(B852="","",'Input_Meci'!B76)</x:f>
      </x:c>
      <x:c r="F852" s="2" t="str">
        <x:f>IF(B852="","",IF('Input_Meci'!K76="","",'Input_Meci'!K76))</x:f>
      </x:c>
      <x:c r="G852" s="2" t="str">
        <x:f>IF(B852="","",'Input_Meci'!D76)</x:f>
      </x:c>
      <x:c r="H852" s="2" t="str">
        <x:v>ANY</x:v>
      </x:c>
      <x:c r="I852" s="2" t="str">
        <x:v>SEASON</x:v>
      </x:c>
      <x:c r="J852" s="9" t="n">
        <x:f>IF(AND(B852&lt;&gt;"",ISNUMBER('Input_Meci'!G76)),INT('Input_Meci'!G76),0)</x:f>
        <x:v>0</x:v>
      </x:c>
      <x:c r="K852" s="2" t="n">
        <x:f>IF(OR(B852="",F852=""),0,IF(H852="HOME",COUNTIFS('Istoric_Nativ'!$B$6:$B$405,E852,'Istoric_Nativ'!$C$6:$C$405,F852,'Istoric_Nativ'!$E$6:$E$405,G852,'Istoric_Nativ'!$D$6:$D$405,"&lt;"&amp;J852,'Istoric_Nativ'!$P$6:$P$405,1),IF(H852="AWAY",COUNTIFS('Istoric_Nativ'!$B$6:$B$405,E852,'Istoric_Nativ'!$C$6:$C$405,F852,'Istoric_Nativ'!$F$6:$F$405,G852,'Istoric_Nativ'!$D$6:$D$405,"&lt;"&amp;J852,'Istoric_Nativ'!$P$6:$P$405,1),COUNTIFS('Istoric_Nativ'!$B$6:$B$405,E852,'Istoric_Nativ'!$C$6:$C$405,F852,'Istoric_Nativ'!$E$6:$E$405,G852,'Istoric_Nativ'!$D$6:$D$405,"&lt;"&amp;J852,'Istoric_Nativ'!$P$6:$P$405,1)+COUNTIFS('Istoric_Nativ'!$B$6:$B$405,E852,'Istoric_Nativ'!$C$6:$C$405,F852,'Istoric_Nativ'!$F$6:$F$405,G852,'Istoric_Nativ'!$D$6:$D$405,"&lt;"&amp;J852,'Istoric_Nativ'!$P$6:$P$405,1))))</x:f>
        <x:v>0</x:v>
      </x:c>
      <x:c r="L852" s="17" t="n">
        <x:f>IF(AND(B852&lt;&gt;"",I852="RECENT",K852&gt;0),LARGE(_xlfn._xlws.FILTER('Istoric_Nativ'!$D$6:$D$405,('Istoric_Nativ'!$B$6:$B$405=E852)*('Istoric_Nativ'!$C$6:$C$405=F852)*('Istoric_Nativ'!$P$6:$P$405=1)*('Istoric_Nativ'!$D$6:$D$405&lt;J852)*((('Istoric_Nativ'!$E$6:$E$405=G852)+('Istoric_Nativ'!$F$6:$F$405=G852))&gt;0)),MIN('Config_v6'!$B$54,K852)),0)</x:f>
        <x:v>0</x:v>
      </x:c>
      <x:c r="M852" s="2" t="n">
        <x:f>IF(OR(B852="",F852=""),0,IF(H852="HOME",COUNTIFS('Istoric_Nativ'!$B$6:$B$405,E852,'Istoric_Nativ'!$C$6:$C$405,F852,'Istoric_Nativ'!$E$6:$E$405,G852,'Istoric_Nativ'!$D$6:$D$405,"&lt;"&amp;J852,'Istoric_Nativ'!$P$6:$P$405,1,'Istoric_Nativ'!$D$6:$D$405,"&gt;="&amp;L852),IF(H852="AWAY",COUNTIFS('Istoric_Nativ'!$B$6:$B$405,E852,'Istoric_Nativ'!$C$6:$C$405,F852,'Istoric_Nativ'!$F$6:$F$405,G852,'Istoric_Nativ'!$D$6:$D$405,"&lt;"&amp;J852,'Istoric_Nativ'!$P$6:$P$405,1,'Istoric_Nativ'!$D$6:$D$405,"&gt;="&amp;L852),COUNTIFS('Istoric_Nativ'!$B$6:$B$405,E852,'Istoric_Nativ'!$C$6:$C$405,F852,'Istoric_Nativ'!$E$6:$E$405,G852,'Istoric_Nativ'!$D$6:$D$405,"&lt;"&amp;J852,'Istoric_Nativ'!$P$6:$P$405,1,'Istoric_Nativ'!$D$6:$D$405,"&gt;="&amp;L852)+COUNTIFS('Istoric_Nativ'!$B$6:$B$405,E852,'Istoric_Nativ'!$C$6:$C$405,F852,'Istoric_Nativ'!$F$6:$F$405,G852,'Istoric_Nativ'!$D$6:$D$405,"&lt;"&amp;J852,'Istoric_Nativ'!$P$6:$P$405,1,'Istoric_Nativ'!$D$6:$D$405,"&gt;="&amp;L852))))</x:f>
        <x:v>0</x:v>
      </x:c>
      <x:c r="N852" s="11" t="str">
        <x:f>IF(M852=0,"",IF(H852="HOME",SUMIFS('Istoric_Nativ'!$G$6:$G$405,'Istoric_Nativ'!$B$6:$B$405,E852,'Istoric_Nativ'!$C$6:$C$405,F852,'Istoric_Nativ'!$E$6:$E$405,G852,'Istoric_Nativ'!$D$6:$D$405,"&lt;"&amp;J852,'Istoric_Nativ'!$P$6:$P$405,1,'Istoric_Nativ'!$D$6:$D$405,"&gt;="&amp;L852),IF(H852="AWAY",SUMIFS('Istoric_Nativ'!$H$6:$H$405,'Istoric_Nativ'!$B$6:$B$405,E852,'Istoric_Nativ'!$C$6:$C$405,F852,'Istoric_Nativ'!$F$6:$F$405,G852,'Istoric_Nativ'!$D$6:$D$405,"&lt;"&amp;J852,'Istoric_Nativ'!$P$6:$P$405,1,'Istoric_Nativ'!$D$6:$D$405,"&gt;="&amp;L852),SUMIFS('Istoric_Nativ'!$G$6:$G$405,'Istoric_Nativ'!$B$6:$B$405,E852,'Istoric_Nativ'!$C$6:$C$405,F852,'Istoric_Nativ'!$E$6:$E$405,G852,'Istoric_Nativ'!$D$6:$D$405,"&lt;"&amp;J852,'Istoric_Nativ'!$P$6:$P$405,1,'Istoric_Nativ'!$D$6:$D$405,"&gt;="&amp;L852)+SUMIFS('Istoric_Nativ'!$H$6:$H$405,'Istoric_Nativ'!$B$6:$B$405,E852,'Istoric_Nativ'!$C$6:$C$405,F852,'Istoric_Nativ'!$F$6:$F$405,G852,'Istoric_Nativ'!$D$6:$D$405,"&lt;"&amp;J852,'Istoric_Nativ'!$P$6:$P$405,1,'Istoric_Nativ'!$D$6:$D$405,"&gt;="&amp;L852)))/M852)</x:f>
      </x:c>
      <x:c r="O852" s="11" t="str">
        <x:f>IF(M852=0,"",IF(H852="HOME",SUMIFS('Istoric_Nativ'!$H$6:$H$405,'Istoric_Nativ'!$B$6:$B$405,E852,'Istoric_Nativ'!$C$6:$C$405,F852,'Istoric_Nativ'!$E$6:$E$405,G852,'Istoric_Nativ'!$D$6:$D$405,"&lt;"&amp;J852,'Istoric_Nativ'!$P$6:$P$405,1,'Istoric_Nativ'!$D$6:$D$405,"&gt;="&amp;L852),IF(H852="AWAY",SUMIFS('Istoric_Nativ'!$G$6:$G$405,'Istoric_Nativ'!$B$6:$B$405,E852,'Istoric_Nativ'!$C$6:$C$405,F852,'Istoric_Nativ'!$F$6:$F$405,G852,'Istoric_Nativ'!$D$6:$D$405,"&lt;"&amp;J852,'Istoric_Nativ'!$P$6:$P$405,1,'Istoric_Nativ'!$D$6:$D$405,"&gt;="&amp;L852),SUMIFS('Istoric_Nativ'!$H$6:$H$405,'Istoric_Nativ'!$B$6:$B$405,E852,'Istoric_Nativ'!$C$6:$C$405,F852,'Istoric_Nativ'!$E$6:$E$405,G852,'Istoric_Nativ'!$D$6:$D$405,"&lt;"&amp;J852,'Istoric_Nativ'!$P$6:$P$405,1,'Istoric_Nativ'!$D$6:$D$405,"&gt;="&amp;L852)+SUMIFS('Istoric_Nativ'!$G$6:$G$405,'Istoric_Nativ'!$B$6:$B$405,E852,'Istoric_Nativ'!$C$6:$C$405,F852,'Istoric_Nativ'!$F$6:$F$405,G852,'Istoric_Nativ'!$D$6:$D$405,"&lt;"&amp;J852,'Istoric_Nativ'!$P$6:$P$405,1,'Istoric_Nativ'!$D$6:$D$405,"&gt;="&amp;L852)))/M852)</x:f>
      </x:c>
      <x:c r="P852" s="2" t="n">
        <x:f>'Config_v6'!$B$7</x:f>
        <x:v>10</x:v>
      </x:c>
      <x:c r="Q852" s="2" t="n">
        <x:f>IF(OR(B852="",F852=""),0,IFERROR(MATCH(E852&amp;"|"&amp;F852,SourceTable[Source_Key],0),0))</x:f>
        <x:v>0</x:v>
      </x:c>
      <x:c r="R852" s="2" t="str">
        <x:f>IF(B852="","",IF(F852="","UNUSED",IF(Q852=0,"NOT CHECKED",IF(COUNTIF(SourceTable[Source_Key],E852&amp;"|"&amp;F852)&lt;&gt;1,"SOURCE CONFLICT",IF(NOT(OR(INDEX(SourceTable[Status],MAX(1,Q852))="IMPORTED",INDEX(SourceTable[Status],MAX(1,Q852))="PARTIAL",INDEX(SourceTable[Status],MAX(1,Q852))="SOURCE CONFLICT")),"ACCESS BLOCKED",IF(OR(INDEX(SourceTable[Coverage],Q852)&lt;&gt;"FULL SEASON EXPORT",INDEX(SourceTable[URL],Q852)="",INDEX(SourceTable[SHA256],Q852)=""),"EVIDENCE INCOMPLETE",IF(AND('Input_Meci'!H76="LIVE",INDEX(SourceTable[Retrieved_UTC],Q852)&gt;'Input_Meci'!G76),"POST CUTOFF","CLOSED")))))))</x:f>
      </x:c>
      <x:c r="S852" s="2" t="n">
        <x:f>IF(OR(B852="",F852=""),0,COUNTIFS('Istoric_Nativ'!$B$6:$B$405,E852,'Istoric_Nativ'!$C$6:$C$405,F852,'Istoric_Nativ'!$E$6:$E$405,G852,'Istoric_Nativ'!$D$6:$D$405,"&lt;"&amp;J852,'Istoric_Nativ'!$O$6:$O$405,"INVALID")+COUNTIFS('Istoric_Nativ'!$B$6:$B$405,E852,'Istoric_Nativ'!$C$6:$C$405,F852,'Istoric_Nativ'!$E$6:$E$405,G852,'Istoric_Nativ'!$O$6:$O$405,"INVALID",'Istoric_Nativ'!$D$6:$D$405,"*")+COUNTIFS('Istoric_Nativ'!$B$6:$B$405,E852,'Istoric_Nativ'!$C$6:$C$405,F852,'Istoric_Nativ'!$E$6:$E$405,G852,'Istoric_Nativ'!$D$6:$D$405,"&lt;"&amp;J852,'Istoric_Nativ'!$O$6:$O$405,"SOURCE CONFLICT")+COUNTIFS('Istoric_Nativ'!$B$6:$B$405,E852,'Istoric_Nativ'!$C$6:$C$405,F852,'Istoric_Nativ'!$F$6:$F$405,G852,'Istoric_Nativ'!$D$6:$D$405,"&lt;"&amp;J852,'Istoric_Nativ'!$O$6:$O$405,"INVALID")+COUNTIFS('Istoric_Nativ'!$B$6:$B$405,E852,'Istoric_Nativ'!$C$6:$C$405,F852,'Istoric_Nativ'!$F$6:$F$405,G852,'Istoric_Nativ'!$O$6:$O$405,"INVALID",'Istoric_Nativ'!$D$6:$D$405,"*")+COUNTIFS('Istoric_Nativ'!$B$6:$B$405,E852,'Istoric_Nativ'!$C$6:$C$405,F852,'Istoric_Nativ'!$F$6:$F$405,G852,'Istoric_Nativ'!$D$6:$D$405,"&lt;"&amp;J852,'Istoric_Nativ'!$O$6:$O$405,"SOURCE CONFLICT"))</x:f>
        <x:v>0</x:v>
      </x:c>
      <x:c r="T852" s="2" t="str">
        <x:f>IF(B852="","",IF(R852&lt;&gt;"CLOSED",R852,IF(S852&gt;0,"NATIVE INPUT ISSUE",IF(M852=0,"NO HISTORY",IF(M852&lt;P852,"SMALL SAMPLE","DERIVED")))))</x:f>
      </x:c>
      <x:c r="U852" s="2" t="str">
        <x:f>IF(B852="","","NativeTable; "&amp;E852&amp;"; "&amp;F852&amp;"; "&amp;G852&amp;"; "&amp;H852&amp;"; before "&amp;TEXT(J852,"yyyy-mm-dd")&amp;IF(I852="RECENT","; from "&amp;TEXT(L852,"yyyy-mm-dd"),""))</x:f>
      </x:c>
    </x:row>
    <x:row r="853" ht="21" customHeight="1">
      <x:c r="A853" s="2" t="n">
        <x:v>71</x:v>
      </x:c>
      <x:c r="B853" s="2" t="str">
        <x:f>IF('Input_Meci'!A76="","",'Input_Meci'!A76)</x:f>
      </x:c>
      <x:c r="C853" s="2" t="str">
        <x:v>H</x:v>
      </x:c>
      <x:c r="D853" s="2" t="str">
        <x:v>PRIOR</x:v>
      </x:c>
      <x:c r="E853" s="2" t="str">
        <x:f>IF(B853="","",'Input_Meci'!B76)</x:f>
      </x:c>
      <x:c r="F853" s="2" t="str">
        <x:f>IF(B853="","",IF('Input_Meci'!K76="","",'Input_Meci'!K76))</x:f>
      </x:c>
      <x:c r="G853" s="2" t="str">
        <x:f>IF(B853="","",'Input_Meci'!D76)</x:f>
      </x:c>
      <x:c r="H853" s="2" t="str">
        <x:v>HOME</x:v>
      </x:c>
      <x:c r="I853" s="2" t="str">
        <x:v>HA</x:v>
      </x:c>
      <x:c r="J853" s="9" t="n">
        <x:f>IF(AND(B853&lt;&gt;"",ISNUMBER('Input_Meci'!G76)),INT('Input_Meci'!G76),0)</x:f>
        <x:v>0</x:v>
      </x:c>
      <x:c r="K853" s="2" t="n">
        <x:f>IF(OR(B853="",F853=""),0,IF(H853="HOME",COUNTIFS('Istoric_Nativ'!$B$6:$B$405,E853,'Istoric_Nativ'!$C$6:$C$405,F853,'Istoric_Nativ'!$E$6:$E$405,G853,'Istoric_Nativ'!$D$6:$D$405,"&lt;"&amp;J853,'Istoric_Nativ'!$P$6:$P$405,1),IF(H853="AWAY",COUNTIFS('Istoric_Nativ'!$B$6:$B$405,E853,'Istoric_Nativ'!$C$6:$C$405,F853,'Istoric_Nativ'!$F$6:$F$405,G853,'Istoric_Nativ'!$D$6:$D$405,"&lt;"&amp;J853,'Istoric_Nativ'!$P$6:$P$405,1),COUNTIFS('Istoric_Nativ'!$B$6:$B$405,E853,'Istoric_Nativ'!$C$6:$C$405,F853,'Istoric_Nativ'!$E$6:$E$405,G853,'Istoric_Nativ'!$D$6:$D$405,"&lt;"&amp;J853,'Istoric_Nativ'!$P$6:$P$405,1)+COUNTIFS('Istoric_Nativ'!$B$6:$B$405,E853,'Istoric_Nativ'!$C$6:$C$405,F853,'Istoric_Nativ'!$F$6:$F$405,G853,'Istoric_Nativ'!$D$6:$D$405,"&lt;"&amp;J853,'Istoric_Nativ'!$P$6:$P$405,1))))</x:f>
        <x:v>0</x:v>
      </x:c>
      <x:c r="L853" s="17" t="n">
        <x:f>IF(AND(B853&lt;&gt;"",I853="RECENT",K853&gt;0),LARGE(_xlfn._xlws.FILTER('Istoric_Nativ'!$D$6:$D$405,('Istoric_Nativ'!$B$6:$B$405=E853)*('Istoric_Nativ'!$C$6:$C$405=F853)*('Istoric_Nativ'!$P$6:$P$405=1)*('Istoric_Nativ'!$D$6:$D$405&lt;J853)*((('Istoric_Nativ'!$E$6:$E$405=G853)+('Istoric_Nativ'!$F$6:$F$405=G853))&gt;0)),MIN('Config_v6'!$B$54,K853)),0)</x:f>
        <x:v>0</x:v>
      </x:c>
      <x:c r="M853" s="2" t="n">
        <x:f>IF(OR(B853="",F853=""),0,IF(H853="HOME",COUNTIFS('Istoric_Nativ'!$B$6:$B$405,E853,'Istoric_Nativ'!$C$6:$C$405,F853,'Istoric_Nativ'!$E$6:$E$405,G853,'Istoric_Nativ'!$D$6:$D$405,"&lt;"&amp;J853,'Istoric_Nativ'!$P$6:$P$405,1,'Istoric_Nativ'!$D$6:$D$405,"&gt;="&amp;L853),IF(H853="AWAY",COUNTIFS('Istoric_Nativ'!$B$6:$B$405,E853,'Istoric_Nativ'!$C$6:$C$405,F853,'Istoric_Nativ'!$F$6:$F$405,G853,'Istoric_Nativ'!$D$6:$D$405,"&lt;"&amp;J853,'Istoric_Nativ'!$P$6:$P$405,1,'Istoric_Nativ'!$D$6:$D$405,"&gt;="&amp;L853),COUNTIFS('Istoric_Nativ'!$B$6:$B$405,E853,'Istoric_Nativ'!$C$6:$C$405,F853,'Istoric_Nativ'!$E$6:$E$405,G853,'Istoric_Nativ'!$D$6:$D$405,"&lt;"&amp;J853,'Istoric_Nativ'!$P$6:$P$405,1,'Istoric_Nativ'!$D$6:$D$405,"&gt;="&amp;L853)+COUNTIFS('Istoric_Nativ'!$B$6:$B$405,E853,'Istoric_Nativ'!$C$6:$C$405,F853,'Istoric_Nativ'!$F$6:$F$405,G853,'Istoric_Nativ'!$D$6:$D$405,"&lt;"&amp;J853,'Istoric_Nativ'!$P$6:$P$405,1,'Istoric_Nativ'!$D$6:$D$405,"&gt;="&amp;L853))))</x:f>
        <x:v>0</x:v>
      </x:c>
      <x:c r="N853" s="11" t="str">
        <x:f>IF(M853=0,"",IF(H853="HOME",SUMIFS('Istoric_Nativ'!$G$6:$G$405,'Istoric_Nativ'!$B$6:$B$405,E853,'Istoric_Nativ'!$C$6:$C$405,F853,'Istoric_Nativ'!$E$6:$E$405,G853,'Istoric_Nativ'!$D$6:$D$405,"&lt;"&amp;J853,'Istoric_Nativ'!$P$6:$P$405,1,'Istoric_Nativ'!$D$6:$D$405,"&gt;="&amp;L853),IF(H853="AWAY",SUMIFS('Istoric_Nativ'!$H$6:$H$405,'Istoric_Nativ'!$B$6:$B$405,E853,'Istoric_Nativ'!$C$6:$C$405,F853,'Istoric_Nativ'!$F$6:$F$405,G853,'Istoric_Nativ'!$D$6:$D$405,"&lt;"&amp;J853,'Istoric_Nativ'!$P$6:$P$405,1,'Istoric_Nativ'!$D$6:$D$405,"&gt;="&amp;L853),SUMIFS('Istoric_Nativ'!$G$6:$G$405,'Istoric_Nativ'!$B$6:$B$405,E853,'Istoric_Nativ'!$C$6:$C$405,F853,'Istoric_Nativ'!$E$6:$E$405,G853,'Istoric_Nativ'!$D$6:$D$405,"&lt;"&amp;J853,'Istoric_Nativ'!$P$6:$P$405,1,'Istoric_Nativ'!$D$6:$D$405,"&gt;="&amp;L853)+SUMIFS('Istoric_Nativ'!$H$6:$H$405,'Istoric_Nativ'!$B$6:$B$405,E853,'Istoric_Nativ'!$C$6:$C$405,F853,'Istoric_Nativ'!$F$6:$F$405,G853,'Istoric_Nativ'!$D$6:$D$405,"&lt;"&amp;J853,'Istoric_Nativ'!$P$6:$P$405,1,'Istoric_Nativ'!$D$6:$D$405,"&gt;="&amp;L853)))/M853)</x:f>
      </x:c>
      <x:c r="O853" s="11" t="str">
        <x:f>IF(M853=0,"",IF(H853="HOME",SUMIFS('Istoric_Nativ'!$H$6:$H$405,'Istoric_Nativ'!$B$6:$B$405,E853,'Istoric_Nativ'!$C$6:$C$405,F853,'Istoric_Nativ'!$E$6:$E$405,G853,'Istoric_Nativ'!$D$6:$D$405,"&lt;"&amp;J853,'Istoric_Nativ'!$P$6:$P$405,1,'Istoric_Nativ'!$D$6:$D$405,"&gt;="&amp;L853),IF(H853="AWAY",SUMIFS('Istoric_Nativ'!$G$6:$G$405,'Istoric_Nativ'!$B$6:$B$405,E853,'Istoric_Nativ'!$C$6:$C$405,F853,'Istoric_Nativ'!$F$6:$F$405,G853,'Istoric_Nativ'!$D$6:$D$405,"&lt;"&amp;J853,'Istoric_Nativ'!$P$6:$P$405,1,'Istoric_Nativ'!$D$6:$D$405,"&gt;="&amp;L853),SUMIFS('Istoric_Nativ'!$H$6:$H$405,'Istoric_Nativ'!$B$6:$B$405,E853,'Istoric_Nativ'!$C$6:$C$405,F853,'Istoric_Nativ'!$E$6:$E$405,G853,'Istoric_Nativ'!$D$6:$D$405,"&lt;"&amp;J853,'Istoric_Nativ'!$P$6:$P$405,1,'Istoric_Nativ'!$D$6:$D$405,"&gt;="&amp;L853)+SUMIFS('Istoric_Nativ'!$G$6:$G$405,'Istoric_Nativ'!$B$6:$B$405,E853,'Istoric_Nativ'!$C$6:$C$405,F853,'Istoric_Nativ'!$F$6:$F$405,G853,'Istoric_Nativ'!$D$6:$D$405,"&lt;"&amp;J853,'Istoric_Nativ'!$P$6:$P$405,1,'Istoric_Nativ'!$D$6:$D$405,"&gt;="&amp;L853)))/M853)</x:f>
      </x:c>
      <x:c r="P853" s="2" t="n">
        <x:f>'Config_v6'!$B$8</x:f>
        <x:v>5</x:v>
      </x:c>
      <x:c r="Q853" s="2" t="n">
        <x:f>IF(OR(B853="",F853=""),0,IFERROR(MATCH(E853&amp;"|"&amp;F853,SourceTable[Source_Key],0),0))</x:f>
        <x:v>0</x:v>
      </x:c>
      <x:c r="R853" s="2" t="str">
        <x:f>IF(B853="","",IF(F853="","UNUSED",IF(Q853=0,"NOT CHECKED",IF(COUNTIF(SourceTable[Source_Key],E853&amp;"|"&amp;F853)&lt;&gt;1,"SOURCE CONFLICT",IF(NOT(OR(INDEX(SourceTable[Status],MAX(1,Q853))="IMPORTED",INDEX(SourceTable[Status],MAX(1,Q853))="PARTIAL",INDEX(SourceTable[Status],MAX(1,Q853))="SOURCE CONFLICT")),"ACCESS BLOCKED",IF(OR(INDEX(SourceTable[Coverage],Q853)&lt;&gt;"FULL SEASON EXPORT",INDEX(SourceTable[URL],Q853)="",INDEX(SourceTable[SHA256],Q853)=""),"EVIDENCE INCOMPLETE",IF(AND('Input_Meci'!H76="LIVE",INDEX(SourceTable[Retrieved_UTC],Q853)&gt;'Input_Meci'!G76),"POST CUTOFF","CLOSED")))))))</x:f>
      </x:c>
      <x:c r="S853" s="2" t="n">
        <x:f>IF(OR(B853="",F853=""),0,COUNTIFS('Istoric_Nativ'!$B$6:$B$405,E853,'Istoric_Nativ'!$C$6:$C$405,F853,'Istoric_Nativ'!$E$6:$E$405,G853,'Istoric_Nativ'!$D$6:$D$405,"&lt;"&amp;J853,'Istoric_Nativ'!$O$6:$O$405,"INVALID")+COUNTIFS('Istoric_Nativ'!$B$6:$B$405,E853,'Istoric_Nativ'!$C$6:$C$405,F853,'Istoric_Nativ'!$E$6:$E$405,G853,'Istoric_Nativ'!$O$6:$O$405,"INVALID",'Istoric_Nativ'!$D$6:$D$405,"*")+COUNTIFS('Istoric_Nativ'!$B$6:$B$405,E853,'Istoric_Nativ'!$C$6:$C$405,F853,'Istoric_Nativ'!$E$6:$E$405,G853,'Istoric_Nativ'!$D$6:$D$405,"&lt;"&amp;J853,'Istoric_Nativ'!$O$6:$O$405,"SOURCE CONFLICT")+COUNTIFS('Istoric_Nativ'!$B$6:$B$405,E853,'Istoric_Nativ'!$C$6:$C$405,F853,'Istoric_Nativ'!$F$6:$F$405,G853,'Istoric_Nativ'!$D$6:$D$405,"&lt;"&amp;J853,'Istoric_Nativ'!$O$6:$O$405,"INVALID")+COUNTIFS('Istoric_Nativ'!$B$6:$B$405,E853,'Istoric_Nativ'!$C$6:$C$405,F853,'Istoric_Nativ'!$F$6:$F$405,G853,'Istoric_Nativ'!$O$6:$O$405,"INVALID",'Istoric_Nativ'!$D$6:$D$405,"*")+COUNTIFS('Istoric_Nativ'!$B$6:$B$405,E853,'Istoric_Nativ'!$C$6:$C$405,F853,'Istoric_Nativ'!$F$6:$F$405,G853,'Istoric_Nativ'!$D$6:$D$405,"&lt;"&amp;J853,'Istoric_Nativ'!$O$6:$O$405,"SOURCE CONFLICT"))</x:f>
        <x:v>0</x:v>
      </x:c>
      <x:c r="T853" s="2" t="str">
        <x:f>IF(B853="","",IF(R853&lt;&gt;"CLOSED",R853,IF(S853&gt;0,"NATIVE INPUT ISSUE",IF(M853=0,"NO HISTORY",IF(M853&lt;P853,"SMALL SAMPLE","DERIVED")))))</x:f>
      </x:c>
      <x:c r="U853" s="2" t="str">
        <x:f>IF(B853="","","NativeTable; "&amp;E853&amp;"; "&amp;F853&amp;"; "&amp;G853&amp;"; "&amp;H853&amp;"; before "&amp;TEXT(J853,"yyyy-mm-dd")&amp;IF(I853="RECENT","; from "&amp;TEXT(L853,"yyyy-mm-dd"),""))</x:f>
      </x:c>
    </x:row>
    <x:row r="854" ht="21" customHeight="1">
      <x:c r="A854" s="2" t="n">
        <x:v>71</x:v>
      </x:c>
      <x:c r="B854" s="2" t="str">
        <x:f>IF('Input_Meci'!A76="","",'Input_Meci'!A76)</x:f>
      </x:c>
      <x:c r="C854" s="2" t="str">
        <x:v>H</x:v>
      </x:c>
      <x:c r="D854" s="2" t="str">
        <x:v>PRIOR</x:v>
      </x:c>
      <x:c r="E854" s="2" t="str">
        <x:f>IF(B854="","",'Input_Meci'!B76)</x:f>
      </x:c>
      <x:c r="F854" s="2" t="str">
        <x:f>IF(B854="","",IF('Input_Meci'!K76="","",'Input_Meci'!K76))</x:f>
      </x:c>
      <x:c r="G854" s="2" t="str">
        <x:f>IF(B854="","",'Input_Meci'!D76)</x:f>
      </x:c>
      <x:c r="H854" s="2" t="str">
        <x:v>ANY</x:v>
      </x:c>
      <x:c r="I854" s="2" t="str">
        <x:v>RECENT</x:v>
      </x:c>
      <x:c r="J854" s="9" t="n">
        <x:f>IF(AND(B854&lt;&gt;"",ISNUMBER('Input_Meci'!G76)),INT('Input_Meci'!G76),0)</x:f>
        <x:v>0</x:v>
      </x:c>
      <x:c r="K854" s="2" t="n">
        <x:f>IF(OR(B854="",F854=""),0,IF(H854="HOME",COUNTIFS('Istoric_Nativ'!$B$6:$B$405,E854,'Istoric_Nativ'!$C$6:$C$405,F854,'Istoric_Nativ'!$E$6:$E$405,G854,'Istoric_Nativ'!$D$6:$D$405,"&lt;"&amp;J854,'Istoric_Nativ'!$P$6:$P$405,1),IF(H854="AWAY",COUNTIFS('Istoric_Nativ'!$B$6:$B$405,E854,'Istoric_Nativ'!$C$6:$C$405,F854,'Istoric_Nativ'!$F$6:$F$405,G854,'Istoric_Nativ'!$D$6:$D$405,"&lt;"&amp;J854,'Istoric_Nativ'!$P$6:$P$405,1),COUNTIFS('Istoric_Nativ'!$B$6:$B$405,E854,'Istoric_Nativ'!$C$6:$C$405,F854,'Istoric_Nativ'!$E$6:$E$405,G854,'Istoric_Nativ'!$D$6:$D$405,"&lt;"&amp;J854,'Istoric_Nativ'!$P$6:$P$405,1)+COUNTIFS('Istoric_Nativ'!$B$6:$B$405,E854,'Istoric_Nativ'!$C$6:$C$405,F854,'Istoric_Nativ'!$F$6:$F$405,G854,'Istoric_Nativ'!$D$6:$D$405,"&lt;"&amp;J854,'Istoric_Nativ'!$P$6:$P$405,1))))</x:f>
        <x:v>0</x:v>
      </x:c>
      <x:c r="L854" s="17" t="n">
        <x:f>IF(AND(B854&lt;&gt;"",I854="RECENT",K854&gt;0),LARGE(_xlfn._xlws.FILTER('Istoric_Nativ'!$D$6:$D$405,('Istoric_Nativ'!$B$6:$B$405=E854)*('Istoric_Nativ'!$C$6:$C$405=F854)*('Istoric_Nativ'!$P$6:$P$405=1)*('Istoric_Nativ'!$D$6:$D$405&lt;J854)*((('Istoric_Nativ'!$E$6:$E$405=G854)+('Istoric_Nativ'!$F$6:$F$405=G854))&gt;0)),MIN('Config_v6'!$B$54,K854)),0)</x:f>
        <x:v>0</x:v>
      </x:c>
      <x:c r="M854" s="2" t="n">
        <x:f>IF(OR(B854="",F854=""),0,IF(H854="HOME",COUNTIFS('Istoric_Nativ'!$B$6:$B$405,E854,'Istoric_Nativ'!$C$6:$C$405,F854,'Istoric_Nativ'!$E$6:$E$405,G854,'Istoric_Nativ'!$D$6:$D$405,"&lt;"&amp;J854,'Istoric_Nativ'!$P$6:$P$405,1,'Istoric_Nativ'!$D$6:$D$405,"&gt;="&amp;L854),IF(H854="AWAY",COUNTIFS('Istoric_Nativ'!$B$6:$B$405,E854,'Istoric_Nativ'!$C$6:$C$405,F854,'Istoric_Nativ'!$F$6:$F$405,G854,'Istoric_Nativ'!$D$6:$D$405,"&lt;"&amp;J854,'Istoric_Nativ'!$P$6:$P$405,1,'Istoric_Nativ'!$D$6:$D$405,"&gt;="&amp;L854),COUNTIFS('Istoric_Nativ'!$B$6:$B$405,E854,'Istoric_Nativ'!$C$6:$C$405,F854,'Istoric_Nativ'!$E$6:$E$405,G854,'Istoric_Nativ'!$D$6:$D$405,"&lt;"&amp;J854,'Istoric_Nativ'!$P$6:$P$405,1,'Istoric_Nativ'!$D$6:$D$405,"&gt;="&amp;L854)+COUNTIFS('Istoric_Nativ'!$B$6:$B$405,E854,'Istoric_Nativ'!$C$6:$C$405,F854,'Istoric_Nativ'!$F$6:$F$405,G854,'Istoric_Nativ'!$D$6:$D$405,"&lt;"&amp;J854,'Istoric_Nativ'!$P$6:$P$405,1,'Istoric_Nativ'!$D$6:$D$405,"&gt;="&amp;L854))))</x:f>
        <x:v>0</x:v>
      </x:c>
      <x:c r="N854" s="11" t="str">
        <x:f>IF(M854=0,"",IF(H854="HOME",SUMIFS('Istoric_Nativ'!$G$6:$G$405,'Istoric_Nativ'!$B$6:$B$405,E854,'Istoric_Nativ'!$C$6:$C$405,F854,'Istoric_Nativ'!$E$6:$E$405,G854,'Istoric_Nativ'!$D$6:$D$405,"&lt;"&amp;J854,'Istoric_Nativ'!$P$6:$P$405,1,'Istoric_Nativ'!$D$6:$D$405,"&gt;="&amp;L854),IF(H854="AWAY",SUMIFS('Istoric_Nativ'!$H$6:$H$405,'Istoric_Nativ'!$B$6:$B$405,E854,'Istoric_Nativ'!$C$6:$C$405,F854,'Istoric_Nativ'!$F$6:$F$405,G854,'Istoric_Nativ'!$D$6:$D$405,"&lt;"&amp;J854,'Istoric_Nativ'!$P$6:$P$405,1,'Istoric_Nativ'!$D$6:$D$405,"&gt;="&amp;L854),SUMIFS('Istoric_Nativ'!$G$6:$G$405,'Istoric_Nativ'!$B$6:$B$405,E854,'Istoric_Nativ'!$C$6:$C$405,F854,'Istoric_Nativ'!$E$6:$E$405,G854,'Istoric_Nativ'!$D$6:$D$405,"&lt;"&amp;J854,'Istoric_Nativ'!$P$6:$P$405,1,'Istoric_Nativ'!$D$6:$D$405,"&gt;="&amp;L854)+SUMIFS('Istoric_Nativ'!$H$6:$H$405,'Istoric_Nativ'!$B$6:$B$405,E854,'Istoric_Nativ'!$C$6:$C$405,F854,'Istoric_Nativ'!$F$6:$F$405,G854,'Istoric_Nativ'!$D$6:$D$405,"&lt;"&amp;J854,'Istoric_Nativ'!$P$6:$P$405,1,'Istoric_Nativ'!$D$6:$D$405,"&gt;="&amp;L854)))/M854)</x:f>
      </x:c>
      <x:c r="O854" s="11" t="str">
        <x:f>IF(M854=0,"",IF(H854="HOME",SUMIFS('Istoric_Nativ'!$H$6:$H$405,'Istoric_Nativ'!$B$6:$B$405,E854,'Istoric_Nativ'!$C$6:$C$405,F854,'Istoric_Nativ'!$E$6:$E$405,G854,'Istoric_Nativ'!$D$6:$D$405,"&lt;"&amp;J854,'Istoric_Nativ'!$P$6:$P$405,1,'Istoric_Nativ'!$D$6:$D$405,"&gt;="&amp;L854),IF(H854="AWAY",SUMIFS('Istoric_Nativ'!$G$6:$G$405,'Istoric_Nativ'!$B$6:$B$405,E854,'Istoric_Nativ'!$C$6:$C$405,F854,'Istoric_Nativ'!$F$6:$F$405,G854,'Istoric_Nativ'!$D$6:$D$405,"&lt;"&amp;J854,'Istoric_Nativ'!$P$6:$P$405,1,'Istoric_Nativ'!$D$6:$D$405,"&gt;="&amp;L854),SUMIFS('Istoric_Nativ'!$H$6:$H$405,'Istoric_Nativ'!$B$6:$B$405,E854,'Istoric_Nativ'!$C$6:$C$405,F854,'Istoric_Nativ'!$E$6:$E$405,G854,'Istoric_Nativ'!$D$6:$D$405,"&lt;"&amp;J854,'Istoric_Nativ'!$P$6:$P$405,1,'Istoric_Nativ'!$D$6:$D$405,"&gt;="&amp;L854)+SUMIFS('Istoric_Nativ'!$G$6:$G$405,'Istoric_Nativ'!$B$6:$B$405,E854,'Istoric_Nativ'!$C$6:$C$405,F854,'Istoric_Nativ'!$F$6:$F$405,G854,'Istoric_Nativ'!$D$6:$D$405,"&lt;"&amp;J854,'Istoric_Nativ'!$P$6:$P$405,1,'Istoric_Nativ'!$D$6:$D$405,"&gt;="&amp;L854)))/M854)</x:f>
      </x:c>
      <x:c r="P854" s="2" t="n">
        <x:f>'Config_v6'!$B$9</x:f>
        <x:v>3</x:v>
      </x:c>
      <x:c r="Q854" s="2" t="n">
        <x:f>IF(OR(B854="",F854=""),0,IFERROR(MATCH(E854&amp;"|"&amp;F854,SourceTable[Source_Key],0),0))</x:f>
        <x:v>0</x:v>
      </x:c>
      <x:c r="R854" s="2" t="str">
        <x:f>IF(B854="","",IF(F854="","UNUSED",IF(Q854=0,"NOT CHECKED",IF(COUNTIF(SourceTable[Source_Key],E854&amp;"|"&amp;F854)&lt;&gt;1,"SOURCE CONFLICT",IF(NOT(OR(INDEX(SourceTable[Status],MAX(1,Q854))="IMPORTED",INDEX(SourceTable[Status],MAX(1,Q854))="PARTIAL",INDEX(SourceTable[Status],MAX(1,Q854))="SOURCE CONFLICT")),"ACCESS BLOCKED",IF(OR(INDEX(SourceTable[Coverage],Q854)&lt;&gt;"FULL SEASON EXPORT",INDEX(SourceTable[URL],Q854)="",INDEX(SourceTable[SHA256],Q854)=""),"EVIDENCE INCOMPLETE",IF(AND('Input_Meci'!H76="LIVE",INDEX(SourceTable[Retrieved_UTC],Q854)&gt;'Input_Meci'!G76),"POST CUTOFF","CLOSED")))))))</x:f>
      </x:c>
      <x:c r="S854" s="2" t="n">
        <x:f>IF(OR(B854="",F854=""),0,COUNTIFS('Istoric_Nativ'!$B$6:$B$405,E854,'Istoric_Nativ'!$C$6:$C$405,F854,'Istoric_Nativ'!$E$6:$E$405,G854,'Istoric_Nativ'!$D$6:$D$405,"&lt;"&amp;J854,'Istoric_Nativ'!$O$6:$O$405,"INVALID")+COUNTIFS('Istoric_Nativ'!$B$6:$B$405,E854,'Istoric_Nativ'!$C$6:$C$405,F854,'Istoric_Nativ'!$E$6:$E$405,G854,'Istoric_Nativ'!$O$6:$O$405,"INVALID",'Istoric_Nativ'!$D$6:$D$405,"*")+COUNTIFS('Istoric_Nativ'!$B$6:$B$405,E854,'Istoric_Nativ'!$C$6:$C$405,F854,'Istoric_Nativ'!$E$6:$E$405,G854,'Istoric_Nativ'!$D$6:$D$405,"&lt;"&amp;J854,'Istoric_Nativ'!$O$6:$O$405,"SOURCE CONFLICT")+COUNTIFS('Istoric_Nativ'!$B$6:$B$405,E854,'Istoric_Nativ'!$C$6:$C$405,F854,'Istoric_Nativ'!$F$6:$F$405,G854,'Istoric_Nativ'!$D$6:$D$405,"&lt;"&amp;J854,'Istoric_Nativ'!$O$6:$O$405,"INVALID")+COUNTIFS('Istoric_Nativ'!$B$6:$B$405,E854,'Istoric_Nativ'!$C$6:$C$405,F854,'Istoric_Nativ'!$F$6:$F$405,G854,'Istoric_Nativ'!$O$6:$O$405,"INVALID",'Istoric_Nativ'!$D$6:$D$405,"*")+COUNTIFS('Istoric_Nativ'!$B$6:$B$405,E854,'Istoric_Nativ'!$C$6:$C$405,F854,'Istoric_Nativ'!$F$6:$F$405,G854,'Istoric_Nativ'!$D$6:$D$405,"&lt;"&amp;J854,'Istoric_Nativ'!$O$6:$O$405,"SOURCE CONFLICT"))</x:f>
        <x:v>0</x:v>
      </x:c>
      <x:c r="T854" s="2" t="str">
        <x:f>IF(B854="","",IF(R854&lt;&gt;"CLOSED",R854,IF(S854&gt;0,"NATIVE INPUT ISSUE",IF(M854=0,"NO HISTORY",IF(M854&lt;P854,"SMALL SAMPLE","DERIVED")))))</x:f>
      </x:c>
      <x:c r="U854" s="2" t="str">
        <x:f>IF(B854="","","NativeTable; "&amp;E854&amp;"; "&amp;F854&amp;"; "&amp;G854&amp;"; "&amp;H854&amp;"; before "&amp;TEXT(J854,"yyyy-mm-dd")&amp;IF(I854="RECENT","; from "&amp;TEXT(L854,"yyyy-mm-dd"),""))</x:f>
      </x:c>
    </x:row>
    <x:row r="855" ht="21" customHeight="1">
      <x:c r="A855" s="2" t="n">
        <x:v>71</x:v>
      </x:c>
      <x:c r="B855" s="2" t="str">
        <x:f>IF('Input_Meci'!A76="","",'Input_Meci'!A76)</x:f>
      </x:c>
      <x:c r="C855" s="2" t="str">
        <x:v>A</x:v>
      </x:c>
      <x:c r="D855" s="2" t="str">
        <x:v>PRIOR</x:v>
      </x:c>
      <x:c r="E855" s="2" t="str">
        <x:f>IF(B855="","",'Input_Meci'!B76)</x:f>
      </x:c>
      <x:c r="F855" s="2" t="str">
        <x:f>IF(B855="","",IF('Input_Meci'!K76="","",'Input_Meci'!K76))</x:f>
      </x:c>
      <x:c r="G855" s="2" t="str">
        <x:f>IF(B855="","",'Input_Meci'!E76)</x:f>
      </x:c>
      <x:c r="H855" s="2" t="str">
        <x:v>ANY</x:v>
      </x:c>
      <x:c r="I855" s="2" t="str">
        <x:v>SEASON</x:v>
      </x:c>
      <x:c r="J855" s="9" t="n">
        <x:f>IF(AND(B855&lt;&gt;"",ISNUMBER('Input_Meci'!G76)),INT('Input_Meci'!G76),0)</x:f>
        <x:v>0</x:v>
      </x:c>
      <x:c r="K855" s="2" t="n">
        <x:f>IF(OR(B855="",F855=""),0,IF(H855="HOME",COUNTIFS('Istoric_Nativ'!$B$6:$B$405,E855,'Istoric_Nativ'!$C$6:$C$405,F855,'Istoric_Nativ'!$E$6:$E$405,G855,'Istoric_Nativ'!$D$6:$D$405,"&lt;"&amp;J855,'Istoric_Nativ'!$P$6:$P$405,1),IF(H855="AWAY",COUNTIFS('Istoric_Nativ'!$B$6:$B$405,E855,'Istoric_Nativ'!$C$6:$C$405,F855,'Istoric_Nativ'!$F$6:$F$405,G855,'Istoric_Nativ'!$D$6:$D$405,"&lt;"&amp;J855,'Istoric_Nativ'!$P$6:$P$405,1),COUNTIFS('Istoric_Nativ'!$B$6:$B$405,E855,'Istoric_Nativ'!$C$6:$C$405,F855,'Istoric_Nativ'!$E$6:$E$405,G855,'Istoric_Nativ'!$D$6:$D$405,"&lt;"&amp;J855,'Istoric_Nativ'!$P$6:$P$405,1)+COUNTIFS('Istoric_Nativ'!$B$6:$B$405,E855,'Istoric_Nativ'!$C$6:$C$405,F855,'Istoric_Nativ'!$F$6:$F$405,G855,'Istoric_Nativ'!$D$6:$D$405,"&lt;"&amp;J855,'Istoric_Nativ'!$P$6:$P$405,1))))</x:f>
        <x:v>0</x:v>
      </x:c>
      <x:c r="L855" s="17" t="n">
        <x:f>IF(AND(B855&lt;&gt;"",I855="RECENT",K855&gt;0),LARGE(_xlfn._xlws.FILTER('Istoric_Nativ'!$D$6:$D$405,('Istoric_Nativ'!$B$6:$B$405=E855)*('Istoric_Nativ'!$C$6:$C$405=F855)*('Istoric_Nativ'!$P$6:$P$405=1)*('Istoric_Nativ'!$D$6:$D$405&lt;J855)*((('Istoric_Nativ'!$E$6:$E$405=G855)+('Istoric_Nativ'!$F$6:$F$405=G855))&gt;0)),MIN('Config_v6'!$B$54,K855)),0)</x:f>
        <x:v>0</x:v>
      </x:c>
      <x:c r="M855" s="2" t="n">
        <x:f>IF(OR(B855="",F855=""),0,IF(H855="HOME",COUNTIFS('Istoric_Nativ'!$B$6:$B$405,E855,'Istoric_Nativ'!$C$6:$C$405,F855,'Istoric_Nativ'!$E$6:$E$405,G855,'Istoric_Nativ'!$D$6:$D$405,"&lt;"&amp;J855,'Istoric_Nativ'!$P$6:$P$405,1,'Istoric_Nativ'!$D$6:$D$405,"&gt;="&amp;L855),IF(H855="AWAY",COUNTIFS('Istoric_Nativ'!$B$6:$B$405,E855,'Istoric_Nativ'!$C$6:$C$405,F855,'Istoric_Nativ'!$F$6:$F$405,G855,'Istoric_Nativ'!$D$6:$D$405,"&lt;"&amp;J855,'Istoric_Nativ'!$P$6:$P$405,1,'Istoric_Nativ'!$D$6:$D$405,"&gt;="&amp;L855),COUNTIFS('Istoric_Nativ'!$B$6:$B$405,E855,'Istoric_Nativ'!$C$6:$C$405,F855,'Istoric_Nativ'!$E$6:$E$405,G855,'Istoric_Nativ'!$D$6:$D$405,"&lt;"&amp;J855,'Istoric_Nativ'!$P$6:$P$405,1,'Istoric_Nativ'!$D$6:$D$405,"&gt;="&amp;L855)+COUNTIFS('Istoric_Nativ'!$B$6:$B$405,E855,'Istoric_Nativ'!$C$6:$C$405,F855,'Istoric_Nativ'!$F$6:$F$405,G855,'Istoric_Nativ'!$D$6:$D$405,"&lt;"&amp;J855,'Istoric_Nativ'!$P$6:$P$405,1,'Istoric_Nativ'!$D$6:$D$405,"&gt;="&amp;L855))))</x:f>
        <x:v>0</x:v>
      </x:c>
      <x:c r="N855" s="11" t="str">
        <x:f>IF(M855=0,"",IF(H855="HOME",SUMIFS('Istoric_Nativ'!$G$6:$G$405,'Istoric_Nativ'!$B$6:$B$405,E855,'Istoric_Nativ'!$C$6:$C$405,F855,'Istoric_Nativ'!$E$6:$E$405,G855,'Istoric_Nativ'!$D$6:$D$405,"&lt;"&amp;J855,'Istoric_Nativ'!$P$6:$P$405,1,'Istoric_Nativ'!$D$6:$D$405,"&gt;="&amp;L855),IF(H855="AWAY",SUMIFS('Istoric_Nativ'!$H$6:$H$405,'Istoric_Nativ'!$B$6:$B$405,E855,'Istoric_Nativ'!$C$6:$C$405,F855,'Istoric_Nativ'!$F$6:$F$405,G855,'Istoric_Nativ'!$D$6:$D$405,"&lt;"&amp;J855,'Istoric_Nativ'!$P$6:$P$405,1,'Istoric_Nativ'!$D$6:$D$405,"&gt;="&amp;L855),SUMIFS('Istoric_Nativ'!$G$6:$G$405,'Istoric_Nativ'!$B$6:$B$405,E855,'Istoric_Nativ'!$C$6:$C$405,F855,'Istoric_Nativ'!$E$6:$E$405,G855,'Istoric_Nativ'!$D$6:$D$405,"&lt;"&amp;J855,'Istoric_Nativ'!$P$6:$P$405,1,'Istoric_Nativ'!$D$6:$D$405,"&gt;="&amp;L855)+SUMIFS('Istoric_Nativ'!$H$6:$H$405,'Istoric_Nativ'!$B$6:$B$405,E855,'Istoric_Nativ'!$C$6:$C$405,F855,'Istoric_Nativ'!$F$6:$F$405,G855,'Istoric_Nativ'!$D$6:$D$405,"&lt;"&amp;J855,'Istoric_Nativ'!$P$6:$P$405,1,'Istoric_Nativ'!$D$6:$D$405,"&gt;="&amp;L855)))/M855)</x:f>
      </x:c>
      <x:c r="O855" s="11" t="str">
        <x:f>IF(M855=0,"",IF(H855="HOME",SUMIFS('Istoric_Nativ'!$H$6:$H$405,'Istoric_Nativ'!$B$6:$B$405,E855,'Istoric_Nativ'!$C$6:$C$405,F855,'Istoric_Nativ'!$E$6:$E$405,G855,'Istoric_Nativ'!$D$6:$D$405,"&lt;"&amp;J855,'Istoric_Nativ'!$P$6:$P$405,1,'Istoric_Nativ'!$D$6:$D$405,"&gt;="&amp;L855),IF(H855="AWAY",SUMIFS('Istoric_Nativ'!$G$6:$G$405,'Istoric_Nativ'!$B$6:$B$405,E855,'Istoric_Nativ'!$C$6:$C$405,F855,'Istoric_Nativ'!$F$6:$F$405,G855,'Istoric_Nativ'!$D$6:$D$405,"&lt;"&amp;J855,'Istoric_Nativ'!$P$6:$P$405,1,'Istoric_Nativ'!$D$6:$D$405,"&gt;="&amp;L855),SUMIFS('Istoric_Nativ'!$H$6:$H$405,'Istoric_Nativ'!$B$6:$B$405,E855,'Istoric_Nativ'!$C$6:$C$405,F855,'Istoric_Nativ'!$E$6:$E$405,G855,'Istoric_Nativ'!$D$6:$D$405,"&lt;"&amp;J855,'Istoric_Nativ'!$P$6:$P$405,1,'Istoric_Nativ'!$D$6:$D$405,"&gt;="&amp;L855)+SUMIFS('Istoric_Nativ'!$G$6:$G$405,'Istoric_Nativ'!$B$6:$B$405,E855,'Istoric_Nativ'!$C$6:$C$405,F855,'Istoric_Nativ'!$F$6:$F$405,G855,'Istoric_Nativ'!$D$6:$D$405,"&lt;"&amp;J855,'Istoric_Nativ'!$P$6:$P$405,1,'Istoric_Nativ'!$D$6:$D$405,"&gt;="&amp;L855)))/M855)</x:f>
      </x:c>
      <x:c r="P855" s="2" t="n">
        <x:f>'Config_v6'!$B$7</x:f>
        <x:v>10</x:v>
      </x:c>
      <x:c r="Q855" s="2" t="n">
        <x:f>IF(OR(B855="",F855=""),0,IFERROR(MATCH(E855&amp;"|"&amp;F855,SourceTable[Source_Key],0),0))</x:f>
        <x:v>0</x:v>
      </x:c>
      <x:c r="R855" s="2" t="str">
        <x:f>IF(B855="","",IF(F855="","UNUSED",IF(Q855=0,"NOT CHECKED",IF(COUNTIF(SourceTable[Source_Key],E855&amp;"|"&amp;F855)&lt;&gt;1,"SOURCE CONFLICT",IF(NOT(OR(INDEX(SourceTable[Status],MAX(1,Q855))="IMPORTED",INDEX(SourceTable[Status],MAX(1,Q855))="PARTIAL",INDEX(SourceTable[Status],MAX(1,Q855))="SOURCE CONFLICT")),"ACCESS BLOCKED",IF(OR(INDEX(SourceTable[Coverage],Q855)&lt;&gt;"FULL SEASON EXPORT",INDEX(SourceTable[URL],Q855)="",INDEX(SourceTable[SHA256],Q855)=""),"EVIDENCE INCOMPLETE",IF(AND('Input_Meci'!H76="LIVE",INDEX(SourceTable[Retrieved_UTC],Q855)&gt;'Input_Meci'!G76),"POST CUTOFF","CLOSED")))))))</x:f>
      </x:c>
      <x:c r="S855" s="2" t="n">
        <x:f>IF(OR(B855="",F855=""),0,COUNTIFS('Istoric_Nativ'!$B$6:$B$405,E855,'Istoric_Nativ'!$C$6:$C$405,F855,'Istoric_Nativ'!$E$6:$E$405,G855,'Istoric_Nativ'!$D$6:$D$405,"&lt;"&amp;J855,'Istoric_Nativ'!$O$6:$O$405,"INVALID")+COUNTIFS('Istoric_Nativ'!$B$6:$B$405,E855,'Istoric_Nativ'!$C$6:$C$405,F855,'Istoric_Nativ'!$E$6:$E$405,G855,'Istoric_Nativ'!$O$6:$O$405,"INVALID",'Istoric_Nativ'!$D$6:$D$405,"*")+COUNTIFS('Istoric_Nativ'!$B$6:$B$405,E855,'Istoric_Nativ'!$C$6:$C$405,F855,'Istoric_Nativ'!$E$6:$E$405,G855,'Istoric_Nativ'!$D$6:$D$405,"&lt;"&amp;J855,'Istoric_Nativ'!$O$6:$O$405,"SOURCE CONFLICT")+COUNTIFS('Istoric_Nativ'!$B$6:$B$405,E855,'Istoric_Nativ'!$C$6:$C$405,F855,'Istoric_Nativ'!$F$6:$F$405,G855,'Istoric_Nativ'!$D$6:$D$405,"&lt;"&amp;J855,'Istoric_Nativ'!$O$6:$O$405,"INVALID")+COUNTIFS('Istoric_Nativ'!$B$6:$B$405,E855,'Istoric_Nativ'!$C$6:$C$405,F855,'Istoric_Nativ'!$F$6:$F$405,G855,'Istoric_Nativ'!$O$6:$O$405,"INVALID",'Istoric_Nativ'!$D$6:$D$405,"*")+COUNTIFS('Istoric_Nativ'!$B$6:$B$405,E855,'Istoric_Nativ'!$C$6:$C$405,F855,'Istoric_Nativ'!$F$6:$F$405,G855,'Istoric_Nativ'!$D$6:$D$405,"&lt;"&amp;J855,'Istoric_Nativ'!$O$6:$O$405,"SOURCE CONFLICT"))</x:f>
        <x:v>0</x:v>
      </x:c>
      <x:c r="T855" s="2" t="str">
        <x:f>IF(B855="","",IF(R855&lt;&gt;"CLOSED",R855,IF(S855&gt;0,"NATIVE INPUT ISSUE",IF(M855=0,"NO HISTORY",IF(M855&lt;P855,"SMALL SAMPLE","DERIVED")))))</x:f>
      </x:c>
      <x:c r="U855" s="2" t="str">
        <x:f>IF(B855="","","NativeTable; "&amp;E855&amp;"; "&amp;F855&amp;"; "&amp;G855&amp;"; "&amp;H855&amp;"; before "&amp;TEXT(J855,"yyyy-mm-dd")&amp;IF(I855="RECENT","; from "&amp;TEXT(L855,"yyyy-mm-dd"),""))</x:f>
      </x:c>
    </x:row>
    <x:row r="856" ht="21" customHeight="1">
      <x:c r="A856" s="2" t="n">
        <x:v>71</x:v>
      </x:c>
      <x:c r="B856" s="2" t="str">
        <x:f>IF('Input_Meci'!A76="","",'Input_Meci'!A76)</x:f>
      </x:c>
      <x:c r="C856" s="2" t="str">
        <x:v>A</x:v>
      </x:c>
      <x:c r="D856" s="2" t="str">
        <x:v>PRIOR</x:v>
      </x:c>
      <x:c r="E856" s="2" t="str">
        <x:f>IF(B856="","",'Input_Meci'!B76)</x:f>
      </x:c>
      <x:c r="F856" s="2" t="str">
        <x:f>IF(B856="","",IF('Input_Meci'!K76="","",'Input_Meci'!K76))</x:f>
      </x:c>
      <x:c r="G856" s="2" t="str">
        <x:f>IF(B856="","",'Input_Meci'!E76)</x:f>
      </x:c>
      <x:c r="H856" s="2" t="str">
        <x:v>AWAY</x:v>
      </x:c>
      <x:c r="I856" s="2" t="str">
        <x:v>HA</x:v>
      </x:c>
      <x:c r="J856" s="9" t="n">
        <x:f>IF(AND(B856&lt;&gt;"",ISNUMBER('Input_Meci'!G76)),INT('Input_Meci'!G76),0)</x:f>
        <x:v>0</x:v>
      </x:c>
      <x:c r="K856" s="2" t="n">
        <x:f>IF(OR(B856="",F856=""),0,IF(H856="HOME",COUNTIFS('Istoric_Nativ'!$B$6:$B$405,E856,'Istoric_Nativ'!$C$6:$C$405,F856,'Istoric_Nativ'!$E$6:$E$405,G856,'Istoric_Nativ'!$D$6:$D$405,"&lt;"&amp;J856,'Istoric_Nativ'!$P$6:$P$405,1),IF(H856="AWAY",COUNTIFS('Istoric_Nativ'!$B$6:$B$405,E856,'Istoric_Nativ'!$C$6:$C$405,F856,'Istoric_Nativ'!$F$6:$F$405,G856,'Istoric_Nativ'!$D$6:$D$405,"&lt;"&amp;J856,'Istoric_Nativ'!$P$6:$P$405,1),COUNTIFS('Istoric_Nativ'!$B$6:$B$405,E856,'Istoric_Nativ'!$C$6:$C$405,F856,'Istoric_Nativ'!$E$6:$E$405,G856,'Istoric_Nativ'!$D$6:$D$405,"&lt;"&amp;J856,'Istoric_Nativ'!$P$6:$P$405,1)+COUNTIFS('Istoric_Nativ'!$B$6:$B$405,E856,'Istoric_Nativ'!$C$6:$C$405,F856,'Istoric_Nativ'!$F$6:$F$405,G856,'Istoric_Nativ'!$D$6:$D$405,"&lt;"&amp;J856,'Istoric_Nativ'!$P$6:$P$405,1))))</x:f>
        <x:v>0</x:v>
      </x:c>
      <x:c r="L856" s="17" t="n">
        <x:f>IF(AND(B856&lt;&gt;"",I856="RECENT",K856&gt;0),LARGE(_xlfn._xlws.FILTER('Istoric_Nativ'!$D$6:$D$405,('Istoric_Nativ'!$B$6:$B$405=E856)*('Istoric_Nativ'!$C$6:$C$405=F856)*('Istoric_Nativ'!$P$6:$P$405=1)*('Istoric_Nativ'!$D$6:$D$405&lt;J856)*((('Istoric_Nativ'!$E$6:$E$405=G856)+('Istoric_Nativ'!$F$6:$F$405=G856))&gt;0)),MIN('Config_v6'!$B$54,K856)),0)</x:f>
        <x:v>0</x:v>
      </x:c>
      <x:c r="M856" s="2" t="n">
        <x:f>IF(OR(B856="",F856=""),0,IF(H856="HOME",COUNTIFS('Istoric_Nativ'!$B$6:$B$405,E856,'Istoric_Nativ'!$C$6:$C$405,F856,'Istoric_Nativ'!$E$6:$E$405,G856,'Istoric_Nativ'!$D$6:$D$405,"&lt;"&amp;J856,'Istoric_Nativ'!$P$6:$P$405,1,'Istoric_Nativ'!$D$6:$D$405,"&gt;="&amp;L856),IF(H856="AWAY",COUNTIFS('Istoric_Nativ'!$B$6:$B$405,E856,'Istoric_Nativ'!$C$6:$C$405,F856,'Istoric_Nativ'!$F$6:$F$405,G856,'Istoric_Nativ'!$D$6:$D$405,"&lt;"&amp;J856,'Istoric_Nativ'!$P$6:$P$405,1,'Istoric_Nativ'!$D$6:$D$405,"&gt;="&amp;L856),COUNTIFS('Istoric_Nativ'!$B$6:$B$405,E856,'Istoric_Nativ'!$C$6:$C$405,F856,'Istoric_Nativ'!$E$6:$E$405,G856,'Istoric_Nativ'!$D$6:$D$405,"&lt;"&amp;J856,'Istoric_Nativ'!$P$6:$P$405,1,'Istoric_Nativ'!$D$6:$D$405,"&gt;="&amp;L856)+COUNTIFS('Istoric_Nativ'!$B$6:$B$405,E856,'Istoric_Nativ'!$C$6:$C$405,F856,'Istoric_Nativ'!$F$6:$F$405,G856,'Istoric_Nativ'!$D$6:$D$405,"&lt;"&amp;J856,'Istoric_Nativ'!$P$6:$P$405,1,'Istoric_Nativ'!$D$6:$D$405,"&gt;="&amp;L856))))</x:f>
        <x:v>0</x:v>
      </x:c>
      <x:c r="N856" s="11" t="str">
        <x:f>IF(M856=0,"",IF(H856="HOME",SUMIFS('Istoric_Nativ'!$G$6:$G$405,'Istoric_Nativ'!$B$6:$B$405,E856,'Istoric_Nativ'!$C$6:$C$405,F856,'Istoric_Nativ'!$E$6:$E$405,G856,'Istoric_Nativ'!$D$6:$D$405,"&lt;"&amp;J856,'Istoric_Nativ'!$P$6:$P$405,1,'Istoric_Nativ'!$D$6:$D$405,"&gt;="&amp;L856),IF(H856="AWAY",SUMIFS('Istoric_Nativ'!$H$6:$H$405,'Istoric_Nativ'!$B$6:$B$405,E856,'Istoric_Nativ'!$C$6:$C$405,F856,'Istoric_Nativ'!$F$6:$F$405,G856,'Istoric_Nativ'!$D$6:$D$405,"&lt;"&amp;J856,'Istoric_Nativ'!$P$6:$P$405,1,'Istoric_Nativ'!$D$6:$D$405,"&gt;="&amp;L856),SUMIFS('Istoric_Nativ'!$G$6:$G$405,'Istoric_Nativ'!$B$6:$B$405,E856,'Istoric_Nativ'!$C$6:$C$405,F856,'Istoric_Nativ'!$E$6:$E$405,G856,'Istoric_Nativ'!$D$6:$D$405,"&lt;"&amp;J856,'Istoric_Nativ'!$P$6:$P$405,1,'Istoric_Nativ'!$D$6:$D$405,"&gt;="&amp;L856)+SUMIFS('Istoric_Nativ'!$H$6:$H$405,'Istoric_Nativ'!$B$6:$B$405,E856,'Istoric_Nativ'!$C$6:$C$405,F856,'Istoric_Nativ'!$F$6:$F$405,G856,'Istoric_Nativ'!$D$6:$D$405,"&lt;"&amp;J856,'Istoric_Nativ'!$P$6:$P$405,1,'Istoric_Nativ'!$D$6:$D$405,"&gt;="&amp;L856)))/M856)</x:f>
      </x:c>
      <x:c r="O856" s="11" t="str">
        <x:f>IF(M856=0,"",IF(H856="HOME",SUMIFS('Istoric_Nativ'!$H$6:$H$405,'Istoric_Nativ'!$B$6:$B$405,E856,'Istoric_Nativ'!$C$6:$C$405,F856,'Istoric_Nativ'!$E$6:$E$405,G856,'Istoric_Nativ'!$D$6:$D$405,"&lt;"&amp;J856,'Istoric_Nativ'!$P$6:$P$405,1,'Istoric_Nativ'!$D$6:$D$405,"&gt;="&amp;L856),IF(H856="AWAY",SUMIFS('Istoric_Nativ'!$G$6:$G$405,'Istoric_Nativ'!$B$6:$B$405,E856,'Istoric_Nativ'!$C$6:$C$405,F856,'Istoric_Nativ'!$F$6:$F$405,G856,'Istoric_Nativ'!$D$6:$D$405,"&lt;"&amp;J856,'Istoric_Nativ'!$P$6:$P$405,1,'Istoric_Nativ'!$D$6:$D$405,"&gt;="&amp;L856),SUMIFS('Istoric_Nativ'!$H$6:$H$405,'Istoric_Nativ'!$B$6:$B$405,E856,'Istoric_Nativ'!$C$6:$C$405,F856,'Istoric_Nativ'!$E$6:$E$405,G856,'Istoric_Nativ'!$D$6:$D$405,"&lt;"&amp;J856,'Istoric_Nativ'!$P$6:$P$405,1,'Istoric_Nativ'!$D$6:$D$405,"&gt;="&amp;L856)+SUMIFS('Istoric_Nativ'!$G$6:$G$405,'Istoric_Nativ'!$B$6:$B$405,E856,'Istoric_Nativ'!$C$6:$C$405,F856,'Istoric_Nativ'!$F$6:$F$405,G856,'Istoric_Nativ'!$D$6:$D$405,"&lt;"&amp;J856,'Istoric_Nativ'!$P$6:$P$405,1,'Istoric_Nativ'!$D$6:$D$405,"&gt;="&amp;L856)))/M856)</x:f>
      </x:c>
      <x:c r="P856" s="2" t="n">
        <x:f>'Config_v6'!$B$8</x:f>
        <x:v>5</x:v>
      </x:c>
      <x:c r="Q856" s="2" t="n">
        <x:f>IF(OR(B856="",F856=""),0,IFERROR(MATCH(E856&amp;"|"&amp;F856,SourceTable[Source_Key],0),0))</x:f>
        <x:v>0</x:v>
      </x:c>
      <x:c r="R856" s="2" t="str">
        <x:f>IF(B856="","",IF(F856="","UNUSED",IF(Q856=0,"NOT CHECKED",IF(COUNTIF(SourceTable[Source_Key],E856&amp;"|"&amp;F856)&lt;&gt;1,"SOURCE CONFLICT",IF(NOT(OR(INDEX(SourceTable[Status],MAX(1,Q856))="IMPORTED",INDEX(SourceTable[Status],MAX(1,Q856))="PARTIAL",INDEX(SourceTable[Status],MAX(1,Q856))="SOURCE CONFLICT")),"ACCESS BLOCKED",IF(OR(INDEX(SourceTable[Coverage],Q856)&lt;&gt;"FULL SEASON EXPORT",INDEX(SourceTable[URL],Q856)="",INDEX(SourceTable[SHA256],Q856)=""),"EVIDENCE INCOMPLETE",IF(AND('Input_Meci'!H76="LIVE",INDEX(SourceTable[Retrieved_UTC],Q856)&gt;'Input_Meci'!G76),"POST CUTOFF","CLOSED")))))))</x:f>
      </x:c>
      <x:c r="S856" s="2" t="n">
        <x:f>IF(OR(B856="",F856=""),0,COUNTIFS('Istoric_Nativ'!$B$6:$B$405,E856,'Istoric_Nativ'!$C$6:$C$405,F856,'Istoric_Nativ'!$E$6:$E$405,G856,'Istoric_Nativ'!$D$6:$D$405,"&lt;"&amp;J856,'Istoric_Nativ'!$O$6:$O$405,"INVALID")+COUNTIFS('Istoric_Nativ'!$B$6:$B$405,E856,'Istoric_Nativ'!$C$6:$C$405,F856,'Istoric_Nativ'!$E$6:$E$405,G856,'Istoric_Nativ'!$O$6:$O$405,"INVALID",'Istoric_Nativ'!$D$6:$D$405,"*")+COUNTIFS('Istoric_Nativ'!$B$6:$B$405,E856,'Istoric_Nativ'!$C$6:$C$405,F856,'Istoric_Nativ'!$E$6:$E$405,G856,'Istoric_Nativ'!$D$6:$D$405,"&lt;"&amp;J856,'Istoric_Nativ'!$O$6:$O$405,"SOURCE CONFLICT")+COUNTIFS('Istoric_Nativ'!$B$6:$B$405,E856,'Istoric_Nativ'!$C$6:$C$405,F856,'Istoric_Nativ'!$F$6:$F$405,G856,'Istoric_Nativ'!$D$6:$D$405,"&lt;"&amp;J856,'Istoric_Nativ'!$O$6:$O$405,"INVALID")+COUNTIFS('Istoric_Nativ'!$B$6:$B$405,E856,'Istoric_Nativ'!$C$6:$C$405,F856,'Istoric_Nativ'!$F$6:$F$405,G856,'Istoric_Nativ'!$O$6:$O$405,"INVALID",'Istoric_Nativ'!$D$6:$D$405,"*")+COUNTIFS('Istoric_Nativ'!$B$6:$B$405,E856,'Istoric_Nativ'!$C$6:$C$405,F856,'Istoric_Nativ'!$F$6:$F$405,G856,'Istoric_Nativ'!$D$6:$D$405,"&lt;"&amp;J856,'Istoric_Nativ'!$O$6:$O$405,"SOURCE CONFLICT"))</x:f>
        <x:v>0</x:v>
      </x:c>
      <x:c r="T856" s="2" t="str">
        <x:f>IF(B856="","",IF(R856&lt;&gt;"CLOSED",R856,IF(S856&gt;0,"NATIVE INPUT ISSUE",IF(M856=0,"NO HISTORY",IF(M856&lt;P856,"SMALL SAMPLE","DERIVED")))))</x:f>
      </x:c>
      <x:c r="U856" s="2" t="str">
        <x:f>IF(B856="","","NativeTable; "&amp;E856&amp;"; "&amp;F856&amp;"; "&amp;G856&amp;"; "&amp;H856&amp;"; before "&amp;TEXT(J856,"yyyy-mm-dd")&amp;IF(I856="RECENT","; from "&amp;TEXT(L856,"yyyy-mm-dd"),""))</x:f>
      </x:c>
    </x:row>
    <x:row r="857" ht="21" customHeight="1">
      <x:c r="A857" s="2" t="n">
        <x:v>71</x:v>
      </x:c>
      <x:c r="B857" s="2" t="str">
        <x:f>IF('Input_Meci'!A76="","",'Input_Meci'!A76)</x:f>
      </x:c>
      <x:c r="C857" s="2" t="str">
        <x:v>A</x:v>
      </x:c>
      <x:c r="D857" s="2" t="str">
        <x:v>PRIOR</x:v>
      </x:c>
      <x:c r="E857" s="2" t="str">
        <x:f>IF(B857="","",'Input_Meci'!B76)</x:f>
      </x:c>
      <x:c r="F857" s="2" t="str">
        <x:f>IF(B857="","",IF('Input_Meci'!K76="","",'Input_Meci'!K76))</x:f>
      </x:c>
      <x:c r="G857" s="2" t="str">
        <x:f>IF(B857="","",'Input_Meci'!E76)</x:f>
      </x:c>
      <x:c r="H857" s="2" t="str">
        <x:v>ANY</x:v>
      </x:c>
      <x:c r="I857" s="2" t="str">
        <x:v>RECENT</x:v>
      </x:c>
      <x:c r="J857" s="9" t="n">
        <x:f>IF(AND(B857&lt;&gt;"",ISNUMBER('Input_Meci'!G76)),INT('Input_Meci'!G76),0)</x:f>
        <x:v>0</x:v>
      </x:c>
      <x:c r="K857" s="2" t="n">
        <x:f>IF(OR(B857="",F857=""),0,IF(H857="HOME",COUNTIFS('Istoric_Nativ'!$B$6:$B$405,E857,'Istoric_Nativ'!$C$6:$C$405,F857,'Istoric_Nativ'!$E$6:$E$405,G857,'Istoric_Nativ'!$D$6:$D$405,"&lt;"&amp;J857,'Istoric_Nativ'!$P$6:$P$405,1),IF(H857="AWAY",COUNTIFS('Istoric_Nativ'!$B$6:$B$405,E857,'Istoric_Nativ'!$C$6:$C$405,F857,'Istoric_Nativ'!$F$6:$F$405,G857,'Istoric_Nativ'!$D$6:$D$405,"&lt;"&amp;J857,'Istoric_Nativ'!$P$6:$P$405,1),COUNTIFS('Istoric_Nativ'!$B$6:$B$405,E857,'Istoric_Nativ'!$C$6:$C$405,F857,'Istoric_Nativ'!$E$6:$E$405,G857,'Istoric_Nativ'!$D$6:$D$405,"&lt;"&amp;J857,'Istoric_Nativ'!$P$6:$P$405,1)+COUNTIFS('Istoric_Nativ'!$B$6:$B$405,E857,'Istoric_Nativ'!$C$6:$C$405,F857,'Istoric_Nativ'!$F$6:$F$405,G857,'Istoric_Nativ'!$D$6:$D$405,"&lt;"&amp;J857,'Istoric_Nativ'!$P$6:$P$405,1))))</x:f>
        <x:v>0</x:v>
      </x:c>
      <x:c r="L857" s="17" t="n">
        <x:f>IF(AND(B857&lt;&gt;"",I857="RECENT",K857&gt;0),LARGE(_xlfn._xlws.FILTER('Istoric_Nativ'!$D$6:$D$405,('Istoric_Nativ'!$B$6:$B$405=E857)*('Istoric_Nativ'!$C$6:$C$405=F857)*('Istoric_Nativ'!$P$6:$P$405=1)*('Istoric_Nativ'!$D$6:$D$405&lt;J857)*((('Istoric_Nativ'!$E$6:$E$405=G857)+('Istoric_Nativ'!$F$6:$F$405=G857))&gt;0)),MIN('Config_v6'!$B$54,K857)),0)</x:f>
        <x:v>0</x:v>
      </x:c>
      <x:c r="M857" s="2" t="n">
        <x:f>IF(OR(B857="",F857=""),0,IF(H857="HOME",COUNTIFS('Istoric_Nativ'!$B$6:$B$405,E857,'Istoric_Nativ'!$C$6:$C$405,F857,'Istoric_Nativ'!$E$6:$E$405,G857,'Istoric_Nativ'!$D$6:$D$405,"&lt;"&amp;J857,'Istoric_Nativ'!$P$6:$P$405,1,'Istoric_Nativ'!$D$6:$D$405,"&gt;="&amp;L857),IF(H857="AWAY",COUNTIFS('Istoric_Nativ'!$B$6:$B$405,E857,'Istoric_Nativ'!$C$6:$C$405,F857,'Istoric_Nativ'!$F$6:$F$405,G857,'Istoric_Nativ'!$D$6:$D$405,"&lt;"&amp;J857,'Istoric_Nativ'!$P$6:$P$405,1,'Istoric_Nativ'!$D$6:$D$405,"&gt;="&amp;L857),COUNTIFS('Istoric_Nativ'!$B$6:$B$405,E857,'Istoric_Nativ'!$C$6:$C$405,F857,'Istoric_Nativ'!$E$6:$E$405,G857,'Istoric_Nativ'!$D$6:$D$405,"&lt;"&amp;J857,'Istoric_Nativ'!$P$6:$P$405,1,'Istoric_Nativ'!$D$6:$D$405,"&gt;="&amp;L857)+COUNTIFS('Istoric_Nativ'!$B$6:$B$405,E857,'Istoric_Nativ'!$C$6:$C$405,F857,'Istoric_Nativ'!$F$6:$F$405,G857,'Istoric_Nativ'!$D$6:$D$405,"&lt;"&amp;J857,'Istoric_Nativ'!$P$6:$P$405,1,'Istoric_Nativ'!$D$6:$D$405,"&gt;="&amp;L857))))</x:f>
        <x:v>0</x:v>
      </x:c>
      <x:c r="N857" s="11" t="str">
        <x:f>IF(M857=0,"",IF(H857="HOME",SUMIFS('Istoric_Nativ'!$G$6:$G$405,'Istoric_Nativ'!$B$6:$B$405,E857,'Istoric_Nativ'!$C$6:$C$405,F857,'Istoric_Nativ'!$E$6:$E$405,G857,'Istoric_Nativ'!$D$6:$D$405,"&lt;"&amp;J857,'Istoric_Nativ'!$P$6:$P$405,1,'Istoric_Nativ'!$D$6:$D$405,"&gt;="&amp;L857),IF(H857="AWAY",SUMIFS('Istoric_Nativ'!$H$6:$H$405,'Istoric_Nativ'!$B$6:$B$405,E857,'Istoric_Nativ'!$C$6:$C$405,F857,'Istoric_Nativ'!$F$6:$F$405,G857,'Istoric_Nativ'!$D$6:$D$405,"&lt;"&amp;J857,'Istoric_Nativ'!$P$6:$P$405,1,'Istoric_Nativ'!$D$6:$D$405,"&gt;="&amp;L857),SUMIFS('Istoric_Nativ'!$G$6:$G$405,'Istoric_Nativ'!$B$6:$B$405,E857,'Istoric_Nativ'!$C$6:$C$405,F857,'Istoric_Nativ'!$E$6:$E$405,G857,'Istoric_Nativ'!$D$6:$D$405,"&lt;"&amp;J857,'Istoric_Nativ'!$P$6:$P$405,1,'Istoric_Nativ'!$D$6:$D$405,"&gt;="&amp;L857)+SUMIFS('Istoric_Nativ'!$H$6:$H$405,'Istoric_Nativ'!$B$6:$B$405,E857,'Istoric_Nativ'!$C$6:$C$405,F857,'Istoric_Nativ'!$F$6:$F$405,G857,'Istoric_Nativ'!$D$6:$D$405,"&lt;"&amp;J857,'Istoric_Nativ'!$P$6:$P$405,1,'Istoric_Nativ'!$D$6:$D$405,"&gt;="&amp;L857)))/M857)</x:f>
      </x:c>
      <x:c r="O857" s="11" t="str">
        <x:f>IF(M857=0,"",IF(H857="HOME",SUMIFS('Istoric_Nativ'!$H$6:$H$405,'Istoric_Nativ'!$B$6:$B$405,E857,'Istoric_Nativ'!$C$6:$C$405,F857,'Istoric_Nativ'!$E$6:$E$405,G857,'Istoric_Nativ'!$D$6:$D$405,"&lt;"&amp;J857,'Istoric_Nativ'!$P$6:$P$405,1,'Istoric_Nativ'!$D$6:$D$405,"&gt;="&amp;L857),IF(H857="AWAY",SUMIFS('Istoric_Nativ'!$G$6:$G$405,'Istoric_Nativ'!$B$6:$B$405,E857,'Istoric_Nativ'!$C$6:$C$405,F857,'Istoric_Nativ'!$F$6:$F$405,G857,'Istoric_Nativ'!$D$6:$D$405,"&lt;"&amp;J857,'Istoric_Nativ'!$P$6:$P$405,1,'Istoric_Nativ'!$D$6:$D$405,"&gt;="&amp;L857),SUMIFS('Istoric_Nativ'!$H$6:$H$405,'Istoric_Nativ'!$B$6:$B$405,E857,'Istoric_Nativ'!$C$6:$C$405,F857,'Istoric_Nativ'!$E$6:$E$405,G857,'Istoric_Nativ'!$D$6:$D$405,"&lt;"&amp;J857,'Istoric_Nativ'!$P$6:$P$405,1,'Istoric_Nativ'!$D$6:$D$405,"&gt;="&amp;L857)+SUMIFS('Istoric_Nativ'!$G$6:$G$405,'Istoric_Nativ'!$B$6:$B$405,E857,'Istoric_Nativ'!$C$6:$C$405,F857,'Istoric_Nativ'!$F$6:$F$405,G857,'Istoric_Nativ'!$D$6:$D$405,"&lt;"&amp;J857,'Istoric_Nativ'!$P$6:$P$405,1,'Istoric_Nativ'!$D$6:$D$405,"&gt;="&amp;L857)))/M857)</x:f>
      </x:c>
      <x:c r="P857" s="2" t="n">
        <x:f>'Config_v6'!$B$9</x:f>
        <x:v>3</x:v>
      </x:c>
      <x:c r="Q857" s="2" t="n">
        <x:f>IF(OR(B857="",F857=""),0,IFERROR(MATCH(E857&amp;"|"&amp;F857,SourceTable[Source_Key],0),0))</x:f>
        <x:v>0</x:v>
      </x:c>
      <x:c r="R857" s="2" t="str">
        <x:f>IF(B857="","",IF(F857="","UNUSED",IF(Q857=0,"NOT CHECKED",IF(COUNTIF(SourceTable[Source_Key],E857&amp;"|"&amp;F857)&lt;&gt;1,"SOURCE CONFLICT",IF(NOT(OR(INDEX(SourceTable[Status],MAX(1,Q857))="IMPORTED",INDEX(SourceTable[Status],MAX(1,Q857))="PARTIAL",INDEX(SourceTable[Status],MAX(1,Q857))="SOURCE CONFLICT")),"ACCESS BLOCKED",IF(OR(INDEX(SourceTable[Coverage],Q857)&lt;&gt;"FULL SEASON EXPORT",INDEX(SourceTable[URL],Q857)="",INDEX(SourceTable[SHA256],Q857)=""),"EVIDENCE INCOMPLETE",IF(AND('Input_Meci'!H76="LIVE",INDEX(SourceTable[Retrieved_UTC],Q857)&gt;'Input_Meci'!G76),"POST CUTOFF","CLOSED")))))))</x:f>
      </x:c>
      <x:c r="S857" s="2" t="n">
        <x:f>IF(OR(B857="",F857=""),0,COUNTIFS('Istoric_Nativ'!$B$6:$B$405,E857,'Istoric_Nativ'!$C$6:$C$405,F857,'Istoric_Nativ'!$E$6:$E$405,G857,'Istoric_Nativ'!$D$6:$D$405,"&lt;"&amp;J857,'Istoric_Nativ'!$O$6:$O$405,"INVALID")+COUNTIFS('Istoric_Nativ'!$B$6:$B$405,E857,'Istoric_Nativ'!$C$6:$C$405,F857,'Istoric_Nativ'!$E$6:$E$405,G857,'Istoric_Nativ'!$O$6:$O$405,"INVALID",'Istoric_Nativ'!$D$6:$D$405,"*")+COUNTIFS('Istoric_Nativ'!$B$6:$B$405,E857,'Istoric_Nativ'!$C$6:$C$405,F857,'Istoric_Nativ'!$E$6:$E$405,G857,'Istoric_Nativ'!$D$6:$D$405,"&lt;"&amp;J857,'Istoric_Nativ'!$O$6:$O$405,"SOURCE CONFLICT")+COUNTIFS('Istoric_Nativ'!$B$6:$B$405,E857,'Istoric_Nativ'!$C$6:$C$405,F857,'Istoric_Nativ'!$F$6:$F$405,G857,'Istoric_Nativ'!$D$6:$D$405,"&lt;"&amp;J857,'Istoric_Nativ'!$O$6:$O$405,"INVALID")+COUNTIFS('Istoric_Nativ'!$B$6:$B$405,E857,'Istoric_Nativ'!$C$6:$C$405,F857,'Istoric_Nativ'!$F$6:$F$405,G857,'Istoric_Nativ'!$O$6:$O$405,"INVALID",'Istoric_Nativ'!$D$6:$D$405,"*")+COUNTIFS('Istoric_Nativ'!$B$6:$B$405,E857,'Istoric_Nativ'!$C$6:$C$405,F857,'Istoric_Nativ'!$F$6:$F$405,G857,'Istoric_Nativ'!$D$6:$D$405,"&lt;"&amp;J857,'Istoric_Nativ'!$O$6:$O$405,"SOURCE CONFLICT"))</x:f>
        <x:v>0</x:v>
      </x:c>
      <x:c r="T857" s="2" t="str">
        <x:f>IF(B857="","",IF(R857&lt;&gt;"CLOSED",R857,IF(S857&gt;0,"NATIVE INPUT ISSUE",IF(M857=0,"NO HISTORY",IF(M857&lt;P857,"SMALL SAMPLE","DERIVED")))))</x:f>
      </x:c>
      <x:c r="U857" s="2" t="str">
        <x:f>IF(B857="","","NativeTable; "&amp;E857&amp;"; "&amp;F857&amp;"; "&amp;G857&amp;"; "&amp;H857&amp;"; before "&amp;TEXT(J857,"yyyy-mm-dd")&amp;IF(I857="RECENT","; from "&amp;TEXT(L857,"yyyy-mm-dd"),""))</x:f>
      </x:c>
    </x:row>
    <x:row r="858" ht="21" customHeight="1">
      <x:c r="A858" s="2" t="n">
        <x:v>72</x:v>
      </x:c>
      <x:c r="B858" s="2" t="str">
        <x:f>IF('Input_Meci'!A77="","",'Input_Meci'!A77)</x:f>
      </x:c>
      <x:c r="C858" s="2" t="str">
        <x:v>H</x:v>
      </x:c>
      <x:c r="D858" s="2" t="str">
        <x:v>CURRENT</x:v>
      </x:c>
      <x:c r="E858" s="2" t="str">
        <x:f>IF(B858="","",'Input_Meci'!B77)</x:f>
      </x:c>
      <x:c r="F858" s="2" t="str">
        <x:f>IF(B858="","",IF('Input_Meci'!C77="","",'Input_Meci'!C77))</x:f>
      </x:c>
      <x:c r="G858" s="2" t="str">
        <x:f>IF(B858="","",'Input_Meci'!D77)</x:f>
      </x:c>
      <x:c r="H858" s="2" t="str">
        <x:v>ANY</x:v>
      </x:c>
      <x:c r="I858" s="2" t="str">
        <x:v>SEASON</x:v>
      </x:c>
      <x:c r="J858" s="9" t="n">
        <x:f>IF(AND(B858&lt;&gt;"",ISNUMBER('Input_Meci'!G77)),INT('Input_Meci'!G77),0)</x:f>
        <x:v>0</x:v>
      </x:c>
      <x:c r="K858" s="2" t="n">
        <x:f>IF(OR(B858="",F858=""),0,IF(H858="HOME",COUNTIFS('Istoric_Nativ'!$B$6:$B$405,E858,'Istoric_Nativ'!$C$6:$C$405,F858,'Istoric_Nativ'!$E$6:$E$405,G858,'Istoric_Nativ'!$D$6:$D$405,"&lt;"&amp;J858,'Istoric_Nativ'!$P$6:$P$405,1),IF(H858="AWAY",COUNTIFS('Istoric_Nativ'!$B$6:$B$405,E858,'Istoric_Nativ'!$C$6:$C$405,F858,'Istoric_Nativ'!$F$6:$F$405,G858,'Istoric_Nativ'!$D$6:$D$405,"&lt;"&amp;J858,'Istoric_Nativ'!$P$6:$P$405,1),COUNTIFS('Istoric_Nativ'!$B$6:$B$405,E858,'Istoric_Nativ'!$C$6:$C$405,F858,'Istoric_Nativ'!$E$6:$E$405,G858,'Istoric_Nativ'!$D$6:$D$405,"&lt;"&amp;J858,'Istoric_Nativ'!$P$6:$P$405,1)+COUNTIFS('Istoric_Nativ'!$B$6:$B$405,E858,'Istoric_Nativ'!$C$6:$C$405,F858,'Istoric_Nativ'!$F$6:$F$405,G858,'Istoric_Nativ'!$D$6:$D$405,"&lt;"&amp;J858,'Istoric_Nativ'!$P$6:$P$405,1))))</x:f>
        <x:v>0</x:v>
      </x:c>
      <x:c r="L858" s="17" t="n">
        <x:f>IF(AND(B858&lt;&gt;"",I858="RECENT",K858&gt;0),LARGE(_xlfn._xlws.FILTER('Istoric_Nativ'!$D$6:$D$405,('Istoric_Nativ'!$B$6:$B$405=E858)*('Istoric_Nativ'!$C$6:$C$405=F858)*('Istoric_Nativ'!$P$6:$P$405=1)*('Istoric_Nativ'!$D$6:$D$405&lt;J858)*((('Istoric_Nativ'!$E$6:$E$405=G858)+('Istoric_Nativ'!$F$6:$F$405=G858))&gt;0)),MIN('Config_v6'!$B$54,K858)),0)</x:f>
        <x:v>0</x:v>
      </x:c>
      <x:c r="M858" s="2" t="n">
        <x:f>IF(OR(B858="",F858=""),0,IF(H858="HOME",COUNTIFS('Istoric_Nativ'!$B$6:$B$405,E858,'Istoric_Nativ'!$C$6:$C$405,F858,'Istoric_Nativ'!$E$6:$E$405,G858,'Istoric_Nativ'!$D$6:$D$405,"&lt;"&amp;J858,'Istoric_Nativ'!$P$6:$P$405,1,'Istoric_Nativ'!$D$6:$D$405,"&gt;="&amp;L858),IF(H858="AWAY",COUNTIFS('Istoric_Nativ'!$B$6:$B$405,E858,'Istoric_Nativ'!$C$6:$C$405,F858,'Istoric_Nativ'!$F$6:$F$405,G858,'Istoric_Nativ'!$D$6:$D$405,"&lt;"&amp;J858,'Istoric_Nativ'!$P$6:$P$405,1,'Istoric_Nativ'!$D$6:$D$405,"&gt;="&amp;L858),COUNTIFS('Istoric_Nativ'!$B$6:$B$405,E858,'Istoric_Nativ'!$C$6:$C$405,F858,'Istoric_Nativ'!$E$6:$E$405,G858,'Istoric_Nativ'!$D$6:$D$405,"&lt;"&amp;J858,'Istoric_Nativ'!$P$6:$P$405,1,'Istoric_Nativ'!$D$6:$D$405,"&gt;="&amp;L858)+COUNTIFS('Istoric_Nativ'!$B$6:$B$405,E858,'Istoric_Nativ'!$C$6:$C$405,F858,'Istoric_Nativ'!$F$6:$F$405,G858,'Istoric_Nativ'!$D$6:$D$405,"&lt;"&amp;J858,'Istoric_Nativ'!$P$6:$P$405,1,'Istoric_Nativ'!$D$6:$D$405,"&gt;="&amp;L858))))</x:f>
        <x:v>0</x:v>
      </x:c>
      <x:c r="N858" s="11" t="str">
        <x:f>IF(M858=0,"",IF(H858="HOME",SUMIFS('Istoric_Nativ'!$G$6:$G$405,'Istoric_Nativ'!$B$6:$B$405,E858,'Istoric_Nativ'!$C$6:$C$405,F858,'Istoric_Nativ'!$E$6:$E$405,G858,'Istoric_Nativ'!$D$6:$D$405,"&lt;"&amp;J858,'Istoric_Nativ'!$P$6:$P$405,1,'Istoric_Nativ'!$D$6:$D$405,"&gt;="&amp;L858),IF(H858="AWAY",SUMIFS('Istoric_Nativ'!$H$6:$H$405,'Istoric_Nativ'!$B$6:$B$405,E858,'Istoric_Nativ'!$C$6:$C$405,F858,'Istoric_Nativ'!$F$6:$F$405,G858,'Istoric_Nativ'!$D$6:$D$405,"&lt;"&amp;J858,'Istoric_Nativ'!$P$6:$P$405,1,'Istoric_Nativ'!$D$6:$D$405,"&gt;="&amp;L858),SUMIFS('Istoric_Nativ'!$G$6:$G$405,'Istoric_Nativ'!$B$6:$B$405,E858,'Istoric_Nativ'!$C$6:$C$405,F858,'Istoric_Nativ'!$E$6:$E$405,G858,'Istoric_Nativ'!$D$6:$D$405,"&lt;"&amp;J858,'Istoric_Nativ'!$P$6:$P$405,1,'Istoric_Nativ'!$D$6:$D$405,"&gt;="&amp;L858)+SUMIFS('Istoric_Nativ'!$H$6:$H$405,'Istoric_Nativ'!$B$6:$B$405,E858,'Istoric_Nativ'!$C$6:$C$405,F858,'Istoric_Nativ'!$F$6:$F$405,G858,'Istoric_Nativ'!$D$6:$D$405,"&lt;"&amp;J858,'Istoric_Nativ'!$P$6:$P$405,1,'Istoric_Nativ'!$D$6:$D$405,"&gt;="&amp;L858)))/M858)</x:f>
      </x:c>
      <x:c r="O858" s="11" t="str">
        <x:f>IF(M858=0,"",IF(H858="HOME",SUMIFS('Istoric_Nativ'!$H$6:$H$405,'Istoric_Nativ'!$B$6:$B$405,E858,'Istoric_Nativ'!$C$6:$C$405,F858,'Istoric_Nativ'!$E$6:$E$405,G858,'Istoric_Nativ'!$D$6:$D$405,"&lt;"&amp;J858,'Istoric_Nativ'!$P$6:$P$405,1,'Istoric_Nativ'!$D$6:$D$405,"&gt;="&amp;L858),IF(H858="AWAY",SUMIFS('Istoric_Nativ'!$G$6:$G$405,'Istoric_Nativ'!$B$6:$B$405,E858,'Istoric_Nativ'!$C$6:$C$405,F858,'Istoric_Nativ'!$F$6:$F$405,G858,'Istoric_Nativ'!$D$6:$D$405,"&lt;"&amp;J858,'Istoric_Nativ'!$P$6:$P$405,1,'Istoric_Nativ'!$D$6:$D$405,"&gt;="&amp;L858),SUMIFS('Istoric_Nativ'!$H$6:$H$405,'Istoric_Nativ'!$B$6:$B$405,E858,'Istoric_Nativ'!$C$6:$C$405,F858,'Istoric_Nativ'!$E$6:$E$405,G858,'Istoric_Nativ'!$D$6:$D$405,"&lt;"&amp;J858,'Istoric_Nativ'!$P$6:$P$405,1,'Istoric_Nativ'!$D$6:$D$405,"&gt;="&amp;L858)+SUMIFS('Istoric_Nativ'!$G$6:$G$405,'Istoric_Nativ'!$B$6:$B$405,E858,'Istoric_Nativ'!$C$6:$C$405,F858,'Istoric_Nativ'!$F$6:$F$405,G858,'Istoric_Nativ'!$D$6:$D$405,"&lt;"&amp;J858,'Istoric_Nativ'!$P$6:$P$405,1,'Istoric_Nativ'!$D$6:$D$405,"&gt;="&amp;L858)))/M858)</x:f>
      </x:c>
      <x:c r="P858" s="2" t="n">
        <x:f>'Config_v6'!$B$7</x:f>
        <x:v>10</x:v>
      </x:c>
      <x:c r="Q858" s="2" t="n">
        <x:f>IF(OR(B858="",F858=""),0,IFERROR(MATCH(E858&amp;"|"&amp;F858,SourceTable[Source_Key],0),0))</x:f>
        <x:v>0</x:v>
      </x:c>
      <x:c r="R858" s="2" t="str">
        <x:f>IF(B858="","",IF(F858="","UNUSED",IF(Q858=0,"NOT CHECKED",IF(COUNTIF(SourceTable[Source_Key],E858&amp;"|"&amp;F858)&lt;&gt;1,"SOURCE CONFLICT",IF(NOT(OR(INDEX(SourceTable[Status],MAX(1,Q858))="IMPORTED",INDEX(SourceTable[Status],MAX(1,Q858))="PARTIAL",INDEX(SourceTable[Status],MAX(1,Q858))="SOURCE CONFLICT")),"ACCESS BLOCKED",IF(OR(INDEX(SourceTable[Coverage],Q858)&lt;&gt;"FULL SEASON EXPORT",INDEX(SourceTable[URL],Q858)="",INDEX(SourceTable[SHA256],Q858)=""),"EVIDENCE INCOMPLETE",IF(AND('Input_Meci'!H77="LIVE",INDEX(SourceTable[Retrieved_UTC],Q858)&gt;'Input_Meci'!G77),"POST CUTOFF","CLOSED")))))))</x:f>
      </x:c>
      <x:c r="S858" s="2" t="n">
        <x:f>IF(OR(B858="",F858=""),0,COUNTIFS('Istoric_Nativ'!$B$6:$B$405,E858,'Istoric_Nativ'!$C$6:$C$405,F858,'Istoric_Nativ'!$E$6:$E$405,G858,'Istoric_Nativ'!$D$6:$D$405,"&lt;"&amp;J858,'Istoric_Nativ'!$O$6:$O$405,"INVALID")+COUNTIFS('Istoric_Nativ'!$B$6:$B$405,E858,'Istoric_Nativ'!$C$6:$C$405,F858,'Istoric_Nativ'!$E$6:$E$405,G858,'Istoric_Nativ'!$O$6:$O$405,"INVALID",'Istoric_Nativ'!$D$6:$D$405,"*")+COUNTIFS('Istoric_Nativ'!$B$6:$B$405,E858,'Istoric_Nativ'!$C$6:$C$405,F858,'Istoric_Nativ'!$E$6:$E$405,G858,'Istoric_Nativ'!$D$6:$D$405,"&lt;"&amp;J858,'Istoric_Nativ'!$O$6:$O$405,"SOURCE CONFLICT")+COUNTIFS('Istoric_Nativ'!$B$6:$B$405,E858,'Istoric_Nativ'!$C$6:$C$405,F858,'Istoric_Nativ'!$F$6:$F$405,G858,'Istoric_Nativ'!$D$6:$D$405,"&lt;"&amp;J858,'Istoric_Nativ'!$O$6:$O$405,"INVALID")+COUNTIFS('Istoric_Nativ'!$B$6:$B$405,E858,'Istoric_Nativ'!$C$6:$C$405,F858,'Istoric_Nativ'!$F$6:$F$405,G858,'Istoric_Nativ'!$O$6:$O$405,"INVALID",'Istoric_Nativ'!$D$6:$D$405,"*")+COUNTIFS('Istoric_Nativ'!$B$6:$B$405,E858,'Istoric_Nativ'!$C$6:$C$405,F858,'Istoric_Nativ'!$F$6:$F$405,G858,'Istoric_Nativ'!$D$6:$D$405,"&lt;"&amp;J858,'Istoric_Nativ'!$O$6:$O$405,"SOURCE CONFLICT"))</x:f>
        <x:v>0</x:v>
      </x:c>
      <x:c r="T858" s="2" t="str">
        <x:f>IF(B858="","",IF(R858&lt;&gt;"CLOSED",R858,IF(S858&gt;0,"NATIVE INPUT ISSUE",IF(M858=0,"NO HISTORY",IF(M858&lt;P858,"SMALL SAMPLE","DERIVED")))))</x:f>
      </x:c>
      <x:c r="U858" s="2" t="str">
        <x:f>IF(B858="","","NativeTable; "&amp;E858&amp;"; "&amp;F858&amp;"; "&amp;G858&amp;"; "&amp;H858&amp;"; before "&amp;TEXT(J858,"yyyy-mm-dd")&amp;IF(I858="RECENT","; from "&amp;TEXT(L858,"yyyy-mm-dd"),""))</x:f>
      </x:c>
    </x:row>
    <x:row r="859" ht="21" customHeight="1">
      <x:c r="A859" s="2" t="n">
        <x:v>72</x:v>
      </x:c>
      <x:c r="B859" s="2" t="str">
        <x:f>IF('Input_Meci'!A77="","",'Input_Meci'!A77)</x:f>
      </x:c>
      <x:c r="C859" s="2" t="str">
        <x:v>H</x:v>
      </x:c>
      <x:c r="D859" s="2" t="str">
        <x:v>CURRENT</x:v>
      </x:c>
      <x:c r="E859" s="2" t="str">
        <x:f>IF(B859="","",'Input_Meci'!B77)</x:f>
      </x:c>
      <x:c r="F859" s="2" t="str">
        <x:f>IF(B859="","",IF('Input_Meci'!C77="","",'Input_Meci'!C77))</x:f>
      </x:c>
      <x:c r="G859" s="2" t="str">
        <x:f>IF(B859="","",'Input_Meci'!D77)</x:f>
      </x:c>
      <x:c r="H859" s="2" t="str">
        <x:v>HOME</x:v>
      </x:c>
      <x:c r="I859" s="2" t="str">
        <x:v>HA</x:v>
      </x:c>
      <x:c r="J859" s="9" t="n">
        <x:f>IF(AND(B859&lt;&gt;"",ISNUMBER('Input_Meci'!G77)),INT('Input_Meci'!G77),0)</x:f>
        <x:v>0</x:v>
      </x:c>
      <x:c r="K859" s="2" t="n">
        <x:f>IF(OR(B859="",F859=""),0,IF(H859="HOME",COUNTIFS('Istoric_Nativ'!$B$6:$B$405,E859,'Istoric_Nativ'!$C$6:$C$405,F859,'Istoric_Nativ'!$E$6:$E$405,G859,'Istoric_Nativ'!$D$6:$D$405,"&lt;"&amp;J859,'Istoric_Nativ'!$P$6:$P$405,1),IF(H859="AWAY",COUNTIFS('Istoric_Nativ'!$B$6:$B$405,E859,'Istoric_Nativ'!$C$6:$C$405,F859,'Istoric_Nativ'!$F$6:$F$405,G859,'Istoric_Nativ'!$D$6:$D$405,"&lt;"&amp;J859,'Istoric_Nativ'!$P$6:$P$405,1),COUNTIFS('Istoric_Nativ'!$B$6:$B$405,E859,'Istoric_Nativ'!$C$6:$C$405,F859,'Istoric_Nativ'!$E$6:$E$405,G859,'Istoric_Nativ'!$D$6:$D$405,"&lt;"&amp;J859,'Istoric_Nativ'!$P$6:$P$405,1)+COUNTIFS('Istoric_Nativ'!$B$6:$B$405,E859,'Istoric_Nativ'!$C$6:$C$405,F859,'Istoric_Nativ'!$F$6:$F$405,G859,'Istoric_Nativ'!$D$6:$D$405,"&lt;"&amp;J859,'Istoric_Nativ'!$P$6:$P$405,1))))</x:f>
        <x:v>0</x:v>
      </x:c>
      <x:c r="L859" s="17" t="n">
        <x:f>IF(AND(B859&lt;&gt;"",I859="RECENT",K859&gt;0),LARGE(_xlfn._xlws.FILTER('Istoric_Nativ'!$D$6:$D$405,('Istoric_Nativ'!$B$6:$B$405=E859)*('Istoric_Nativ'!$C$6:$C$405=F859)*('Istoric_Nativ'!$P$6:$P$405=1)*('Istoric_Nativ'!$D$6:$D$405&lt;J859)*((('Istoric_Nativ'!$E$6:$E$405=G859)+('Istoric_Nativ'!$F$6:$F$405=G859))&gt;0)),MIN('Config_v6'!$B$54,K859)),0)</x:f>
        <x:v>0</x:v>
      </x:c>
      <x:c r="M859" s="2" t="n">
        <x:f>IF(OR(B859="",F859=""),0,IF(H859="HOME",COUNTIFS('Istoric_Nativ'!$B$6:$B$405,E859,'Istoric_Nativ'!$C$6:$C$405,F859,'Istoric_Nativ'!$E$6:$E$405,G859,'Istoric_Nativ'!$D$6:$D$405,"&lt;"&amp;J859,'Istoric_Nativ'!$P$6:$P$405,1,'Istoric_Nativ'!$D$6:$D$405,"&gt;="&amp;L859),IF(H859="AWAY",COUNTIFS('Istoric_Nativ'!$B$6:$B$405,E859,'Istoric_Nativ'!$C$6:$C$405,F859,'Istoric_Nativ'!$F$6:$F$405,G859,'Istoric_Nativ'!$D$6:$D$405,"&lt;"&amp;J859,'Istoric_Nativ'!$P$6:$P$405,1,'Istoric_Nativ'!$D$6:$D$405,"&gt;="&amp;L859),COUNTIFS('Istoric_Nativ'!$B$6:$B$405,E859,'Istoric_Nativ'!$C$6:$C$405,F859,'Istoric_Nativ'!$E$6:$E$405,G859,'Istoric_Nativ'!$D$6:$D$405,"&lt;"&amp;J859,'Istoric_Nativ'!$P$6:$P$405,1,'Istoric_Nativ'!$D$6:$D$405,"&gt;="&amp;L859)+COUNTIFS('Istoric_Nativ'!$B$6:$B$405,E859,'Istoric_Nativ'!$C$6:$C$405,F859,'Istoric_Nativ'!$F$6:$F$405,G859,'Istoric_Nativ'!$D$6:$D$405,"&lt;"&amp;J859,'Istoric_Nativ'!$P$6:$P$405,1,'Istoric_Nativ'!$D$6:$D$405,"&gt;="&amp;L859))))</x:f>
        <x:v>0</x:v>
      </x:c>
      <x:c r="N859" s="11" t="str">
        <x:f>IF(M859=0,"",IF(H859="HOME",SUMIFS('Istoric_Nativ'!$G$6:$G$405,'Istoric_Nativ'!$B$6:$B$405,E859,'Istoric_Nativ'!$C$6:$C$405,F859,'Istoric_Nativ'!$E$6:$E$405,G859,'Istoric_Nativ'!$D$6:$D$405,"&lt;"&amp;J859,'Istoric_Nativ'!$P$6:$P$405,1,'Istoric_Nativ'!$D$6:$D$405,"&gt;="&amp;L859),IF(H859="AWAY",SUMIFS('Istoric_Nativ'!$H$6:$H$405,'Istoric_Nativ'!$B$6:$B$405,E859,'Istoric_Nativ'!$C$6:$C$405,F859,'Istoric_Nativ'!$F$6:$F$405,G859,'Istoric_Nativ'!$D$6:$D$405,"&lt;"&amp;J859,'Istoric_Nativ'!$P$6:$P$405,1,'Istoric_Nativ'!$D$6:$D$405,"&gt;="&amp;L859),SUMIFS('Istoric_Nativ'!$G$6:$G$405,'Istoric_Nativ'!$B$6:$B$405,E859,'Istoric_Nativ'!$C$6:$C$405,F859,'Istoric_Nativ'!$E$6:$E$405,G859,'Istoric_Nativ'!$D$6:$D$405,"&lt;"&amp;J859,'Istoric_Nativ'!$P$6:$P$405,1,'Istoric_Nativ'!$D$6:$D$405,"&gt;="&amp;L859)+SUMIFS('Istoric_Nativ'!$H$6:$H$405,'Istoric_Nativ'!$B$6:$B$405,E859,'Istoric_Nativ'!$C$6:$C$405,F859,'Istoric_Nativ'!$F$6:$F$405,G859,'Istoric_Nativ'!$D$6:$D$405,"&lt;"&amp;J859,'Istoric_Nativ'!$P$6:$P$405,1,'Istoric_Nativ'!$D$6:$D$405,"&gt;="&amp;L859)))/M859)</x:f>
      </x:c>
      <x:c r="O859" s="11" t="str">
        <x:f>IF(M859=0,"",IF(H859="HOME",SUMIFS('Istoric_Nativ'!$H$6:$H$405,'Istoric_Nativ'!$B$6:$B$405,E859,'Istoric_Nativ'!$C$6:$C$405,F859,'Istoric_Nativ'!$E$6:$E$405,G859,'Istoric_Nativ'!$D$6:$D$405,"&lt;"&amp;J859,'Istoric_Nativ'!$P$6:$P$405,1,'Istoric_Nativ'!$D$6:$D$405,"&gt;="&amp;L859),IF(H859="AWAY",SUMIFS('Istoric_Nativ'!$G$6:$G$405,'Istoric_Nativ'!$B$6:$B$405,E859,'Istoric_Nativ'!$C$6:$C$405,F859,'Istoric_Nativ'!$F$6:$F$405,G859,'Istoric_Nativ'!$D$6:$D$405,"&lt;"&amp;J859,'Istoric_Nativ'!$P$6:$P$405,1,'Istoric_Nativ'!$D$6:$D$405,"&gt;="&amp;L859),SUMIFS('Istoric_Nativ'!$H$6:$H$405,'Istoric_Nativ'!$B$6:$B$405,E859,'Istoric_Nativ'!$C$6:$C$405,F859,'Istoric_Nativ'!$E$6:$E$405,G859,'Istoric_Nativ'!$D$6:$D$405,"&lt;"&amp;J859,'Istoric_Nativ'!$P$6:$P$405,1,'Istoric_Nativ'!$D$6:$D$405,"&gt;="&amp;L859)+SUMIFS('Istoric_Nativ'!$G$6:$G$405,'Istoric_Nativ'!$B$6:$B$405,E859,'Istoric_Nativ'!$C$6:$C$405,F859,'Istoric_Nativ'!$F$6:$F$405,G859,'Istoric_Nativ'!$D$6:$D$405,"&lt;"&amp;J859,'Istoric_Nativ'!$P$6:$P$405,1,'Istoric_Nativ'!$D$6:$D$405,"&gt;="&amp;L859)))/M859)</x:f>
      </x:c>
      <x:c r="P859" s="2" t="n">
        <x:f>'Config_v6'!$B$8</x:f>
        <x:v>5</x:v>
      </x:c>
      <x:c r="Q859" s="2" t="n">
        <x:f>IF(OR(B859="",F859=""),0,IFERROR(MATCH(E859&amp;"|"&amp;F859,SourceTable[Source_Key],0),0))</x:f>
        <x:v>0</x:v>
      </x:c>
      <x:c r="R859" s="2" t="str">
        <x:f>IF(B859="","",IF(F859="","UNUSED",IF(Q859=0,"NOT CHECKED",IF(COUNTIF(SourceTable[Source_Key],E859&amp;"|"&amp;F859)&lt;&gt;1,"SOURCE CONFLICT",IF(NOT(OR(INDEX(SourceTable[Status],MAX(1,Q859))="IMPORTED",INDEX(SourceTable[Status],MAX(1,Q859))="PARTIAL",INDEX(SourceTable[Status],MAX(1,Q859))="SOURCE CONFLICT")),"ACCESS BLOCKED",IF(OR(INDEX(SourceTable[Coverage],Q859)&lt;&gt;"FULL SEASON EXPORT",INDEX(SourceTable[URL],Q859)="",INDEX(SourceTable[SHA256],Q859)=""),"EVIDENCE INCOMPLETE",IF(AND('Input_Meci'!H77="LIVE",INDEX(SourceTable[Retrieved_UTC],Q859)&gt;'Input_Meci'!G77),"POST CUTOFF","CLOSED")))))))</x:f>
      </x:c>
      <x:c r="S859" s="2" t="n">
        <x:f>IF(OR(B859="",F859=""),0,COUNTIFS('Istoric_Nativ'!$B$6:$B$405,E859,'Istoric_Nativ'!$C$6:$C$405,F859,'Istoric_Nativ'!$E$6:$E$405,G859,'Istoric_Nativ'!$D$6:$D$405,"&lt;"&amp;J859,'Istoric_Nativ'!$O$6:$O$405,"INVALID")+COUNTIFS('Istoric_Nativ'!$B$6:$B$405,E859,'Istoric_Nativ'!$C$6:$C$405,F859,'Istoric_Nativ'!$E$6:$E$405,G859,'Istoric_Nativ'!$O$6:$O$405,"INVALID",'Istoric_Nativ'!$D$6:$D$405,"*")+COUNTIFS('Istoric_Nativ'!$B$6:$B$405,E859,'Istoric_Nativ'!$C$6:$C$405,F859,'Istoric_Nativ'!$E$6:$E$405,G859,'Istoric_Nativ'!$D$6:$D$405,"&lt;"&amp;J859,'Istoric_Nativ'!$O$6:$O$405,"SOURCE CONFLICT")+COUNTIFS('Istoric_Nativ'!$B$6:$B$405,E859,'Istoric_Nativ'!$C$6:$C$405,F859,'Istoric_Nativ'!$F$6:$F$405,G859,'Istoric_Nativ'!$D$6:$D$405,"&lt;"&amp;J859,'Istoric_Nativ'!$O$6:$O$405,"INVALID")+COUNTIFS('Istoric_Nativ'!$B$6:$B$405,E859,'Istoric_Nativ'!$C$6:$C$405,F859,'Istoric_Nativ'!$F$6:$F$405,G859,'Istoric_Nativ'!$O$6:$O$405,"INVALID",'Istoric_Nativ'!$D$6:$D$405,"*")+COUNTIFS('Istoric_Nativ'!$B$6:$B$405,E859,'Istoric_Nativ'!$C$6:$C$405,F859,'Istoric_Nativ'!$F$6:$F$405,G859,'Istoric_Nativ'!$D$6:$D$405,"&lt;"&amp;J859,'Istoric_Nativ'!$O$6:$O$405,"SOURCE CONFLICT"))</x:f>
        <x:v>0</x:v>
      </x:c>
      <x:c r="T859" s="2" t="str">
        <x:f>IF(B859="","",IF(R859&lt;&gt;"CLOSED",R859,IF(S859&gt;0,"NATIVE INPUT ISSUE",IF(M859=0,"NO HISTORY",IF(M859&lt;P859,"SMALL SAMPLE","DERIVED")))))</x:f>
      </x:c>
      <x:c r="U859" s="2" t="str">
        <x:f>IF(B859="","","NativeTable; "&amp;E859&amp;"; "&amp;F859&amp;"; "&amp;G859&amp;"; "&amp;H859&amp;"; before "&amp;TEXT(J859,"yyyy-mm-dd")&amp;IF(I859="RECENT","; from "&amp;TEXT(L859,"yyyy-mm-dd"),""))</x:f>
      </x:c>
    </x:row>
    <x:row r="860" ht="21" customHeight="1">
      <x:c r="A860" s="2" t="n">
        <x:v>72</x:v>
      </x:c>
      <x:c r="B860" s="2" t="str">
        <x:f>IF('Input_Meci'!A77="","",'Input_Meci'!A77)</x:f>
      </x:c>
      <x:c r="C860" s="2" t="str">
        <x:v>H</x:v>
      </x:c>
      <x:c r="D860" s="2" t="str">
        <x:v>CURRENT</x:v>
      </x:c>
      <x:c r="E860" s="2" t="str">
        <x:f>IF(B860="","",'Input_Meci'!B77)</x:f>
      </x:c>
      <x:c r="F860" s="2" t="str">
        <x:f>IF(B860="","",IF('Input_Meci'!C77="","",'Input_Meci'!C77))</x:f>
      </x:c>
      <x:c r="G860" s="2" t="str">
        <x:f>IF(B860="","",'Input_Meci'!D77)</x:f>
      </x:c>
      <x:c r="H860" s="2" t="str">
        <x:v>ANY</x:v>
      </x:c>
      <x:c r="I860" s="2" t="str">
        <x:v>RECENT</x:v>
      </x:c>
      <x:c r="J860" s="9" t="n">
        <x:f>IF(AND(B860&lt;&gt;"",ISNUMBER('Input_Meci'!G77)),INT('Input_Meci'!G77),0)</x:f>
        <x:v>0</x:v>
      </x:c>
      <x:c r="K860" s="2" t="n">
        <x:f>IF(OR(B860="",F860=""),0,IF(H860="HOME",COUNTIFS('Istoric_Nativ'!$B$6:$B$405,E860,'Istoric_Nativ'!$C$6:$C$405,F860,'Istoric_Nativ'!$E$6:$E$405,G860,'Istoric_Nativ'!$D$6:$D$405,"&lt;"&amp;J860,'Istoric_Nativ'!$P$6:$P$405,1),IF(H860="AWAY",COUNTIFS('Istoric_Nativ'!$B$6:$B$405,E860,'Istoric_Nativ'!$C$6:$C$405,F860,'Istoric_Nativ'!$F$6:$F$405,G860,'Istoric_Nativ'!$D$6:$D$405,"&lt;"&amp;J860,'Istoric_Nativ'!$P$6:$P$405,1),COUNTIFS('Istoric_Nativ'!$B$6:$B$405,E860,'Istoric_Nativ'!$C$6:$C$405,F860,'Istoric_Nativ'!$E$6:$E$405,G860,'Istoric_Nativ'!$D$6:$D$405,"&lt;"&amp;J860,'Istoric_Nativ'!$P$6:$P$405,1)+COUNTIFS('Istoric_Nativ'!$B$6:$B$405,E860,'Istoric_Nativ'!$C$6:$C$405,F860,'Istoric_Nativ'!$F$6:$F$405,G860,'Istoric_Nativ'!$D$6:$D$405,"&lt;"&amp;J860,'Istoric_Nativ'!$P$6:$P$405,1))))</x:f>
        <x:v>0</x:v>
      </x:c>
      <x:c r="L860" s="17" t="n">
        <x:f>IF(AND(B860&lt;&gt;"",I860="RECENT",K860&gt;0),LARGE(_xlfn._xlws.FILTER('Istoric_Nativ'!$D$6:$D$405,('Istoric_Nativ'!$B$6:$B$405=E860)*('Istoric_Nativ'!$C$6:$C$405=F860)*('Istoric_Nativ'!$P$6:$P$405=1)*('Istoric_Nativ'!$D$6:$D$405&lt;J860)*((('Istoric_Nativ'!$E$6:$E$405=G860)+('Istoric_Nativ'!$F$6:$F$405=G860))&gt;0)),MIN('Config_v6'!$B$54,K860)),0)</x:f>
        <x:v>0</x:v>
      </x:c>
      <x:c r="M860" s="2" t="n">
        <x:f>IF(OR(B860="",F860=""),0,IF(H860="HOME",COUNTIFS('Istoric_Nativ'!$B$6:$B$405,E860,'Istoric_Nativ'!$C$6:$C$405,F860,'Istoric_Nativ'!$E$6:$E$405,G860,'Istoric_Nativ'!$D$6:$D$405,"&lt;"&amp;J860,'Istoric_Nativ'!$P$6:$P$405,1,'Istoric_Nativ'!$D$6:$D$405,"&gt;="&amp;L860),IF(H860="AWAY",COUNTIFS('Istoric_Nativ'!$B$6:$B$405,E860,'Istoric_Nativ'!$C$6:$C$405,F860,'Istoric_Nativ'!$F$6:$F$405,G860,'Istoric_Nativ'!$D$6:$D$405,"&lt;"&amp;J860,'Istoric_Nativ'!$P$6:$P$405,1,'Istoric_Nativ'!$D$6:$D$405,"&gt;="&amp;L860),COUNTIFS('Istoric_Nativ'!$B$6:$B$405,E860,'Istoric_Nativ'!$C$6:$C$405,F860,'Istoric_Nativ'!$E$6:$E$405,G860,'Istoric_Nativ'!$D$6:$D$405,"&lt;"&amp;J860,'Istoric_Nativ'!$P$6:$P$405,1,'Istoric_Nativ'!$D$6:$D$405,"&gt;="&amp;L860)+COUNTIFS('Istoric_Nativ'!$B$6:$B$405,E860,'Istoric_Nativ'!$C$6:$C$405,F860,'Istoric_Nativ'!$F$6:$F$405,G860,'Istoric_Nativ'!$D$6:$D$405,"&lt;"&amp;J860,'Istoric_Nativ'!$P$6:$P$405,1,'Istoric_Nativ'!$D$6:$D$405,"&gt;="&amp;L860))))</x:f>
        <x:v>0</x:v>
      </x:c>
      <x:c r="N860" s="11" t="str">
        <x:f>IF(M860=0,"",IF(H860="HOME",SUMIFS('Istoric_Nativ'!$G$6:$G$405,'Istoric_Nativ'!$B$6:$B$405,E860,'Istoric_Nativ'!$C$6:$C$405,F860,'Istoric_Nativ'!$E$6:$E$405,G860,'Istoric_Nativ'!$D$6:$D$405,"&lt;"&amp;J860,'Istoric_Nativ'!$P$6:$P$405,1,'Istoric_Nativ'!$D$6:$D$405,"&gt;="&amp;L860),IF(H860="AWAY",SUMIFS('Istoric_Nativ'!$H$6:$H$405,'Istoric_Nativ'!$B$6:$B$405,E860,'Istoric_Nativ'!$C$6:$C$405,F860,'Istoric_Nativ'!$F$6:$F$405,G860,'Istoric_Nativ'!$D$6:$D$405,"&lt;"&amp;J860,'Istoric_Nativ'!$P$6:$P$405,1,'Istoric_Nativ'!$D$6:$D$405,"&gt;="&amp;L860),SUMIFS('Istoric_Nativ'!$G$6:$G$405,'Istoric_Nativ'!$B$6:$B$405,E860,'Istoric_Nativ'!$C$6:$C$405,F860,'Istoric_Nativ'!$E$6:$E$405,G860,'Istoric_Nativ'!$D$6:$D$405,"&lt;"&amp;J860,'Istoric_Nativ'!$P$6:$P$405,1,'Istoric_Nativ'!$D$6:$D$405,"&gt;="&amp;L860)+SUMIFS('Istoric_Nativ'!$H$6:$H$405,'Istoric_Nativ'!$B$6:$B$405,E860,'Istoric_Nativ'!$C$6:$C$405,F860,'Istoric_Nativ'!$F$6:$F$405,G860,'Istoric_Nativ'!$D$6:$D$405,"&lt;"&amp;J860,'Istoric_Nativ'!$P$6:$P$405,1,'Istoric_Nativ'!$D$6:$D$405,"&gt;="&amp;L860)))/M860)</x:f>
      </x:c>
      <x:c r="O860" s="11" t="str">
        <x:f>IF(M860=0,"",IF(H860="HOME",SUMIFS('Istoric_Nativ'!$H$6:$H$405,'Istoric_Nativ'!$B$6:$B$405,E860,'Istoric_Nativ'!$C$6:$C$405,F860,'Istoric_Nativ'!$E$6:$E$405,G860,'Istoric_Nativ'!$D$6:$D$405,"&lt;"&amp;J860,'Istoric_Nativ'!$P$6:$P$405,1,'Istoric_Nativ'!$D$6:$D$405,"&gt;="&amp;L860),IF(H860="AWAY",SUMIFS('Istoric_Nativ'!$G$6:$G$405,'Istoric_Nativ'!$B$6:$B$405,E860,'Istoric_Nativ'!$C$6:$C$405,F860,'Istoric_Nativ'!$F$6:$F$405,G860,'Istoric_Nativ'!$D$6:$D$405,"&lt;"&amp;J860,'Istoric_Nativ'!$P$6:$P$405,1,'Istoric_Nativ'!$D$6:$D$405,"&gt;="&amp;L860),SUMIFS('Istoric_Nativ'!$H$6:$H$405,'Istoric_Nativ'!$B$6:$B$405,E860,'Istoric_Nativ'!$C$6:$C$405,F860,'Istoric_Nativ'!$E$6:$E$405,G860,'Istoric_Nativ'!$D$6:$D$405,"&lt;"&amp;J860,'Istoric_Nativ'!$P$6:$P$405,1,'Istoric_Nativ'!$D$6:$D$405,"&gt;="&amp;L860)+SUMIFS('Istoric_Nativ'!$G$6:$G$405,'Istoric_Nativ'!$B$6:$B$405,E860,'Istoric_Nativ'!$C$6:$C$405,F860,'Istoric_Nativ'!$F$6:$F$405,G860,'Istoric_Nativ'!$D$6:$D$405,"&lt;"&amp;J860,'Istoric_Nativ'!$P$6:$P$405,1,'Istoric_Nativ'!$D$6:$D$405,"&gt;="&amp;L860)))/M860)</x:f>
      </x:c>
      <x:c r="P860" s="2" t="n">
        <x:f>'Config_v6'!$B$9</x:f>
        <x:v>3</x:v>
      </x:c>
      <x:c r="Q860" s="2" t="n">
        <x:f>IF(OR(B860="",F860=""),0,IFERROR(MATCH(E860&amp;"|"&amp;F860,SourceTable[Source_Key],0),0))</x:f>
        <x:v>0</x:v>
      </x:c>
      <x:c r="R860" s="2" t="str">
        <x:f>IF(B860="","",IF(F860="","UNUSED",IF(Q860=0,"NOT CHECKED",IF(COUNTIF(SourceTable[Source_Key],E860&amp;"|"&amp;F860)&lt;&gt;1,"SOURCE CONFLICT",IF(NOT(OR(INDEX(SourceTable[Status],MAX(1,Q860))="IMPORTED",INDEX(SourceTable[Status],MAX(1,Q860))="PARTIAL",INDEX(SourceTable[Status],MAX(1,Q860))="SOURCE CONFLICT")),"ACCESS BLOCKED",IF(OR(INDEX(SourceTable[Coverage],Q860)&lt;&gt;"FULL SEASON EXPORT",INDEX(SourceTable[URL],Q860)="",INDEX(SourceTable[SHA256],Q860)=""),"EVIDENCE INCOMPLETE",IF(AND('Input_Meci'!H77="LIVE",INDEX(SourceTable[Retrieved_UTC],Q860)&gt;'Input_Meci'!G77),"POST CUTOFF","CLOSED")))))))</x:f>
      </x:c>
      <x:c r="S860" s="2" t="n">
        <x:f>IF(OR(B860="",F860=""),0,COUNTIFS('Istoric_Nativ'!$B$6:$B$405,E860,'Istoric_Nativ'!$C$6:$C$405,F860,'Istoric_Nativ'!$E$6:$E$405,G860,'Istoric_Nativ'!$D$6:$D$405,"&lt;"&amp;J860,'Istoric_Nativ'!$O$6:$O$405,"INVALID")+COUNTIFS('Istoric_Nativ'!$B$6:$B$405,E860,'Istoric_Nativ'!$C$6:$C$405,F860,'Istoric_Nativ'!$E$6:$E$405,G860,'Istoric_Nativ'!$O$6:$O$405,"INVALID",'Istoric_Nativ'!$D$6:$D$405,"*")+COUNTIFS('Istoric_Nativ'!$B$6:$B$405,E860,'Istoric_Nativ'!$C$6:$C$405,F860,'Istoric_Nativ'!$E$6:$E$405,G860,'Istoric_Nativ'!$D$6:$D$405,"&lt;"&amp;J860,'Istoric_Nativ'!$O$6:$O$405,"SOURCE CONFLICT")+COUNTIFS('Istoric_Nativ'!$B$6:$B$405,E860,'Istoric_Nativ'!$C$6:$C$405,F860,'Istoric_Nativ'!$F$6:$F$405,G860,'Istoric_Nativ'!$D$6:$D$405,"&lt;"&amp;J860,'Istoric_Nativ'!$O$6:$O$405,"INVALID")+COUNTIFS('Istoric_Nativ'!$B$6:$B$405,E860,'Istoric_Nativ'!$C$6:$C$405,F860,'Istoric_Nativ'!$F$6:$F$405,G860,'Istoric_Nativ'!$O$6:$O$405,"INVALID",'Istoric_Nativ'!$D$6:$D$405,"*")+COUNTIFS('Istoric_Nativ'!$B$6:$B$405,E860,'Istoric_Nativ'!$C$6:$C$405,F860,'Istoric_Nativ'!$F$6:$F$405,G860,'Istoric_Nativ'!$D$6:$D$405,"&lt;"&amp;J860,'Istoric_Nativ'!$O$6:$O$405,"SOURCE CONFLICT"))</x:f>
        <x:v>0</x:v>
      </x:c>
      <x:c r="T860" s="2" t="str">
        <x:f>IF(B860="","",IF(R860&lt;&gt;"CLOSED",R860,IF(S860&gt;0,"NATIVE INPUT ISSUE",IF(M860=0,"NO HISTORY",IF(M860&lt;P860,"SMALL SAMPLE","DERIVED")))))</x:f>
      </x:c>
      <x:c r="U860" s="2" t="str">
        <x:f>IF(B860="","","NativeTable; "&amp;E860&amp;"; "&amp;F860&amp;"; "&amp;G860&amp;"; "&amp;H860&amp;"; before "&amp;TEXT(J860,"yyyy-mm-dd")&amp;IF(I860="RECENT","; from "&amp;TEXT(L860,"yyyy-mm-dd"),""))</x:f>
      </x:c>
    </x:row>
    <x:row r="861" ht="21" customHeight="1">
      <x:c r="A861" s="2" t="n">
        <x:v>72</x:v>
      </x:c>
      <x:c r="B861" s="2" t="str">
        <x:f>IF('Input_Meci'!A77="","",'Input_Meci'!A77)</x:f>
      </x:c>
      <x:c r="C861" s="2" t="str">
        <x:v>A</x:v>
      </x:c>
      <x:c r="D861" s="2" t="str">
        <x:v>CURRENT</x:v>
      </x:c>
      <x:c r="E861" s="2" t="str">
        <x:f>IF(B861="","",'Input_Meci'!B77)</x:f>
      </x:c>
      <x:c r="F861" s="2" t="str">
        <x:f>IF(B861="","",IF('Input_Meci'!C77="","",'Input_Meci'!C77))</x:f>
      </x:c>
      <x:c r="G861" s="2" t="str">
        <x:f>IF(B861="","",'Input_Meci'!E77)</x:f>
      </x:c>
      <x:c r="H861" s="2" t="str">
        <x:v>ANY</x:v>
      </x:c>
      <x:c r="I861" s="2" t="str">
        <x:v>SEASON</x:v>
      </x:c>
      <x:c r="J861" s="9" t="n">
        <x:f>IF(AND(B861&lt;&gt;"",ISNUMBER('Input_Meci'!G77)),INT('Input_Meci'!G77),0)</x:f>
        <x:v>0</x:v>
      </x:c>
      <x:c r="K861" s="2" t="n">
        <x:f>IF(OR(B861="",F861=""),0,IF(H861="HOME",COUNTIFS('Istoric_Nativ'!$B$6:$B$405,E861,'Istoric_Nativ'!$C$6:$C$405,F861,'Istoric_Nativ'!$E$6:$E$405,G861,'Istoric_Nativ'!$D$6:$D$405,"&lt;"&amp;J861,'Istoric_Nativ'!$P$6:$P$405,1),IF(H861="AWAY",COUNTIFS('Istoric_Nativ'!$B$6:$B$405,E861,'Istoric_Nativ'!$C$6:$C$405,F861,'Istoric_Nativ'!$F$6:$F$405,G861,'Istoric_Nativ'!$D$6:$D$405,"&lt;"&amp;J861,'Istoric_Nativ'!$P$6:$P$405,1),COUNTIFS('Istoric_Nativ'!$B$6:$B$405,E861,'Istoric_Nativ'!$C$6:$C$405,F861,'Istoric_Nativ'!$E$6:$E$405,G861,'Istoric_Nativ'!$D$6:$D$405,"&lt;"&amp;J861,'Istoric_Nativ'!$P$6:$P$405,1)+COUNTIFS('Istoric_Nativ'!$B$6:$B$405,E861,'Istoric_Nativ'!$C$6:$C$405,F861,'Istoric_Nativ'!$F$6:$F$405,G861,'Istoric_Nativ'!$D$6:$D$405,"&lt;"&amp;J861,'Istoric_Nativ'!$P$6:$P$405,1))))</x:f>
        <x:v>0</x:v>
      </x:c>
      <x:c r="L861" s="17" t="n">
        <x:f>IF(AND(B861&lt;&gt;"",I861="RECENT",K861&gt;0),LARGE(_xlfn._xlws.FILTER('Istoric_Nativ'!$D$6:$D$405,('Istoric_Nativ'!$B$6:$B$405=E861)*('Istoric_Nativ'!$C$6:$C$405=F861)*('Istoric_Nativ'!$P$6:$P$405=1)*('Istoric_Nativ'!$D$6:$D$405&lt;J861)*((('Istoric_Nativ'!$E$6:$E$405=G861)+('Istoric_Nativ'!$F$6:$F$405=G861))&gt;0)),MIN('Config_v6'!$B$54,K861)),0)</x:f>
        <x:v>0</x:v>
      </x:c>
      <x:c r="M861" s="2" t="n">
        <x:f>IF(OR(B861="",F861=""),0,IF(H861="HOME",COUNTIFS('Istoric_Nativ'!$B$6:$B$405,E861,'Istoric_Nativ'!$C$6:$C$405,F861,'Istoric_Nativ'!$E$6:$E$405,G861,'Istoric_Nativ'!$D$6:$D$405,"&lt;"&amp;J861,'Istoric_Nativ'!$P$6:$P$405,1,'Istoric_Nativ'!$D$6:$D$405,"&gt;="&amp;L861),IF(H861="AWAY",COUNTIFS('Istoric_Nativ'!$B$6:$B$405,E861,'Istoric_Nativ'!$C$6:$C$405,F861,'Istoric_Nativ'!$F$6:$F$405,G861,'Istoric_Nativ'!$D$6:$D$405,"&lt;"&amp;J861,'Istoric_Nativ'!$P$6:$P$405,1,'Istoric_Nativ'!$D$6:$D$405,"&gt;="&amp;L861),COUNTIFS('Istoric_Nativ'!$B$6:$B$405,E861,'Istoric_Nativ'!$C$6:$C$405,F861,'Istoric_Nativ'!$E$6:$E$405,G861,'Istoric_Nativ'!$D$6:$D$405,"&lt;"&amp;J861,'Istoric_Nativ'!$P$6:$P$405,1,'Istoric_Nativ'!$D$6:$D$405,"&gt;="&amp;L861)+COUNTIFS('Istoric_Nativ'!$B$6:$B$405,E861,'Istoric_Nativ'!$C$6:$C$405,F861,'Istoric_Nativ'!$F$6:$F$405,G861,'Istoric_Nativ'!$D$6:$D$405,"&lt;"&amp;J861,'Istoric_Nativ'!$P$6:$P$405,1,'Istoric_Nativ'!$D$6:$D$405,"&gt;="&amp;L861))))</x:f>
        <x:v>0</x:v>
      </x:c>
      <x:c r="N861" s="11" t="str">
        <x:f>IF(M861=0,"",IF(H861="HOME",SUMIFS('Istoric_Nativ'!$G$6:$G$405,'Istoric_Nativ'!$B$6:$B$405,E861,'Istoric_Nativ'!$C$6:$C$405,F861,'Istoric_Nativ'!$E$6:$E$405,G861,'Istoric_Nativ'!$D$6:$D$405,"&lt;"&amp;J861,'Istoric_Nativ'!$P$6:$P$405,1,'Istoric_Nativ'!$D$6:$D$405,"&gt;="&amp;L861),IF(H861="AWAY",SUMIFS('Istoric_Nativ'!$H$6:$H$405,'Istoric_Nativ'!$B$6:$B$405,E861,'Istoric_Nativ'!$C$6:$C$405,F861,'Istoric_Nativ'!$F$6:$F$405,G861,'Istoric_Nativ'!$D$6:$D$405,"&lt;"&amp;J861,'Istoric_Nativ'!$P$6:$P$405,1,'Istoric_Nativ'!$D$6:$D$405,"&gt;="&amp;L861),SUMIFS('Istoric_Nativ'!$G$6:$G$405,'Istoric_Nativ'!$B$6:$B$405,E861,'Istoric_Nativ'!$C$6:$C$405,F861,'Istoric_Nativ'!$E$6:$E$405,G861,'Istoric_Nativ'!$D$6:$D$405,"&lt;"&amp;J861,'Istoric_Nativ'!$P$6:$P$405,1,'Istoric_Nativ'!$D$6:$D$405,"&gt;="&amp;L861)+SUMIFS('Istoric_Nativ'!$H$6:$H$405,'Istoric_Nativ'!$B$6:$B$405,E861,'Istoric_Nativ'!$C$6:$C$405,F861,'Istoric_Nativ'!$F$6:$F$405,G861,'Istoric_Nativ'!$D$6:$D$405,"&lt;"&amp;J861,'Istoric_Nativ'!$P$6:$P$405,1,'Istoric_Nativ'!$D$6:$D$405,"&gt;="&amp;L861)))/M861)</x:f>
      </x:c>
      <x:c r="O861" s="11" t="str">
        <x:f>IF(M861=0,"",IF(H861="HOME",SUMIFS('Istoric_Nativ'!$H$6:$H$405,'Istoric_Nativ'!$B$6:$B$405,E861,'Istoric_Nativ'!$C$6:$C$405,F861,'Istoric_Nativ'!$E$6:$E$405,G861,'Istoric_Nativ'!$D$6:$D$405,"&lt;"&amp;J861,'Istoric_Nativ'!$P$6:$P$405,1,'Istoric_Nativ'!$D$6:$D$405,"&gt;="&amp;L861),IF(H861="AWAY",SUMIFS('Istoric_Nativ'!$G$6:$G$405,'Istoric_Nativ'!$B$6:$B$405,E861,'Istoric_Nativ'!$C$6:$C$405,F861,'Istoric_Nativ'!$F$6:$F$405,G861,'Istoric_Nativ'!$D$6:$D$405,"&lt;"&amp;J861,'Istoric_Nativ'!$P$6:$P$405,1,'Istoric_Nativ'!$D$6:$D$405,"&gt;="&amp;L861),SUMIFS('Istoric_Nativ'!$H$6:$H$405,'Istoric_Nativ'!$B$6:$B$405,E861,'Istoric_Nativ'!$C$6:$C$405,F861,'Istoric_Nativ'!$E$6:$E$405,G861,'Istoric_Nativ'!$D$6:$D$405,"&lt;"&amp;J861,'Istoric_Nativ'!$P$6:$P$405,1,'Istoric_Nativ'!$D$6:$D$405,"&gt;="&amp;L861)+SUMIFS('Istoric_Nativ'!$G$6:$G$405,'Istoric_Nativ'!$B$6:$B$405,E861,'Istoric_Nativ'!$C$6:$C$405,F861,'Istoric_Nativ'!$F$6:$F$405,G861,'Istoric_Nativ'!$D$6:$D$405,"&lt;"&amp;J861,'Istoric_Nativ'!$P$6:$P$405,1,'Istoric_Nativ'!$D$6:$D$405,"&gt;="&amp;L861)))/M861)</x:f>
      </x:c>
      <x:c r="P861" s="2" t="n">
        <x:f>'Config_v6'!$B$7</x:f>
        <x:v>10</x:v>
      </x:c>
      <x:c r="Q861" s="2" t="n">
        <x:f>IF(OR(B861="",F861=""),0,IFERROR(MATCH(E861&amp;"|"&amp;F861,SourceTable[Source_Key],0),0))</x:f>
        <x:v>0</x:v>
      </x:c>
      <x:c r="R861" s="2" t="str">
        <x:f>IF(B861="","",IF(F861="","UNUSED",IF(Q861=0,"NOT CHECKED",IF(COUNTIF(SourceTable[Source_Key],E861&amp;"|"&amp;F861)&lt;&gt;1,"SOURCE CONFLICT",IF(NOT(OR(INDEX(SourceTable[Status],MAX(1,Q861))="IMPORTED",INDEX(SourceTable[Status],MAX(1,Q861))="PARTIAL",INDEX(SourceTable[Status],MAX(1,Q861))="SOURCE CONFLICT")),"ACCESS BLOCKED",IF(OR(INDEX(SourceTable[Coverage],Q861)&lt;&gt;"FULL SEASON EXPORT",INDEX(SourceTable[URL],Q861)="",INDEX(SourceTable[SHA256],Q861)=""),"EVIDENCE INCOMPLETE",IF(AND('Input_Meci'!H77="LIVE",INDEX(SourceTable[Retrieved_UTC],Q861)&gt;'Input_Meci'!G77),"POST CUTOFF","CLOSED")))))))</x:f>
      </x:c>
      <x:c r="S861" s="2" t="n">
        <x:f>IF(OR(B861="",F861=""),0,COUNTIFS('Istoric_Nativ'!$B$6:$B$405,E861,'Istoric_Nativ'!$C$6:$C$405,F861,'Istoric_Nativ'!$E$6:$E$405,G861,'Istoric_Nativ'!$D$6:$D$405,"&lt;"&amp;J861,'Istoric_Nativ'!$O$6:$O$405,"INVALID")+COUNTIFS('Istoric_Nativ'!$B$6:$B$405,E861,'Istoric_Nativ'!$C$6:$C$405,F861,'Istoric_Nativ'!$E$6:$E$405,G861,'Istoric_Nativ'!$O$6:$O$405,"INVALID",'Istoric_Nativ'!$D$6:$D$405,"*")+COUNTIFS('Istoric_Nativ'!$B$6:$B$405,E861,'Istoric_Nativ'!$C$6:$C$405,F861,'Istoric_Nativ'!$E$6:$E$405,G861,'Istoric_Nativ'!$D$6:$D$405,"&lt;"&amp;J861,'Istoric_Nativ'!$O$6:$O$405,"SOURCE CONFLICT")+COUNTIFS('Istoric_Nativ'!$B$6:$B$405,E861,'Istoric_Nativ'!$C$6:$C$405,F861,'Istoric_Nativ'!$F$6:$F$405,G861,'Istoric_Nativ'!$D$6:$D$405,"&lt;"&amp;J861,'Istoric_Nativ'!$O$6:$O$405,"INVALID")+COUNTIFS('Istoric_Nativ'!$B$6:$B$405,E861,'Istoric_Nativ'!$C$6:$C$405,F861,'Istoric_Nativ'!$F$6:$F$405,G861,'Istoric_Nativ'!$O$6:$O$405,"INVALID",'Istoric_Nativ'!$D$6:$D$405,"*")+COUNTIFS('Istoric_Nativ'!$B$6:$B$405,E861,'Istoric_Nativ'!$C$6:$C$405,F861,'Istoric_Nativ'!$F$6:$F$405,G861,'Istoric_Nativ'!$D$6:$D$405,"&lt;"&amp;J861,'Istoric_Nativ'!$O$6:$O$405,"SOURCE CONFLICT"))</x:f>
        <x:v>0</x:v>
      </x:c>
      <x:c r="T861" s="2" t="str">
        <x:f>IF(B861="","",IF(R861&lt;&gt;"CLOSED",R861,IF(S861&gt;0,"NATIVE INPUT ISSUE",IF(M861=0,"NO HISTORY",IF(M861&lt;P861,"SMALL SAMPLE","DERIVED")))))</x:f>
      </x:c>
      <x:c r="U861" s="2" t="str">
        <x:f>IF(B861="","","NativeTable; "&amp;E861&amp;"; "&amp;F861&amp;"; "&amp;G861&amp;"; "&amp;H861&amp;"; before "&amp;TEXT(J861,"yyyy-mm-dd")&amp;IF(I861="RECENT","; from "&amp;TEXT(L861,"yyyy-mm-dd"),""))</x:f>
      </x:c>
    </x:row>
    <x:row r="862" ht="21" customHeight="1">
      <x:c r="A862" s="2" t="n">
        <x:v>72</x:v>
      </x:c>
      <x:c r="B862" s="2" t="str">
        <x:f>IF('Input_Meci'!A77="","",'Input_Meci'!A77)</x:f>
      </x:c>
      <x:c r="C862" s="2" t="str">
        <x:v>A</x:v>
      </x:c>
      <x:c r="D862" s="2" t="str">
        <x:v>CURRENT</x:v>
      </x:c>
      <x:c r="E862" s="2" t="str">
        <x:f>IF(B862="","",'Input_Meci'!B77)</x:f>
      </x:c>
      <x:c r="F862" s="2" t="str">
        <x:f>IF(B862="","",IF('Input_Meci'!C77="","",'Input_Meci'!C77))</x:f>
      </x:c>
      <x:c r="G862" s="2" t="str">
        <x:f>IF(B862="","",'Input_Meci'!E77)</x:f>
      </x:c>
      <x:c r="H862" s="2" t="str">
        <x:v>AWAY</x:v>
      </x:c>
      <x:c r="I862" s="2" t="str">
        <x:v>HA</x:v>
      </x:c>
      <x:c r="J862" s="9" t="n">
        <x:f>IF(AND(B862&lt;&gt;"",ISNUMBER('Input_Meci'!G77)),INT('Input_Meci'!G77),0)</x:f>
        <x:v>0</x:v>
      </x:c>
      <x:c r="K862" s="2" t="n">
        <x:f>IF(OR(B862="",F862=""),0,IF(H862="HOME",COUNTIFS('Istoric_Nativ'!$B$6:$B$405,E862,'Istoric_Nativ'!$C$6:$C$405,F862,'Istoric_Nativ'!$E$6:$E$405,G862,'Istoric_Nativ'!$D$6:$D$405,"&lt;"&amp;J862,'Istoric_Nativ'!$P$6:$P$405,1),IF(H862="AWAY",COUNTIFS('Istoric_Nativ'!$B$6:$B$405,E862,'Istoric_Nativ'!$C$6:$C$405,F862,'Istoric_Nativ'!$F$6:$F$405,G862,'Istoric_Nativ'!$D$6:$D$405,"&lt;"&amp;J862,'Istoric_Nativ'!$P$6:$P$405,1),COUNTIFS('Istoric_Nativ'!$B$6:$B$405,E862,'Istoric_Nativ'!$C$6:$C$405,F862,'Istoric_Nativ'!$E$6:$E$405,G862,'Istoric_Nativ'!$D$6:$D$405,"&lt;"&amp;J862,'Istoric_Nativ'!$P$6:$P$405,1)+COUNTIFS('Istoric_Nativ'!$B$6:$B$405,E862,'Istoric_Nativ'!$C$6:$C$405,F862,'Istoric_Nativ'!$F$6:$F$405,G862,'Istoric_Nativ'!$D$6:$D$405,"&lt;"&amp;J862,'Istoric_Nativ'!$P$6:$P$405,1))))</x:f>
        <x:v>0</x:v>
      </x:c>
      <x:c r="L862" s="17" t="n">
        <x:f>IF(AND(B862&lt;&gt;"",I862="RECENT",K862&gt;0),LARGE(_xlfn._xlws.FILTER('Istoric_Nativ'!$D$6:$D$405,('Istoric_Nativ'!$B$6:$B$405=E862)*('Istoric_Nativ'!$C$6:$C$405=F862)*('Istoric_Nativ'!$P$6:$P$405=1)*('Istoric_Nativ'!$D$6:$D$405&lt;J862)*((('Istoric_Nativ'!$E$6:$E$405=G862)+('Istoric_Nativ'!$F$6:$F$405=G862))&gt;0)),MIN('Config_v6'!$B$54,K862)),0)</x:f>
        <x:v>0</x:v>
      </x:c>
      <x:c r="M862" s="2" t="n">
        <x:f>IF(OR(B862="",F862=""),0,IF(H862="HOME",COUNTIFS('Istoric_Nativ'!$B$6:$B$405,E862,'Istoric_Nativ'!$C$6:$C$405,F862,'Istoric_Nativ'!$E$6:$E$405,G862,'Istoric_Nativ'!$D$6:$D$405,"&lt;"&amp;J862,'Istoric_Nativ'!$P$6:$P$405,1,'Istoric_Nativ'!$D$6:$D$405,"&gt;="&amp;L862),IF(H862="AWAY",COUNTIFS('Istoric_Nativ'!$B$6:$B$405,E862,'Istoric_Nativ'!$C$6:$C$405,F862,'Istoric_Nativ'!$F$6:$F$405,G862,'Istoric_Nativ'!$D$6:$D$405,"&lt;"&amp;J862,'Istoric_Nativ'!$P$6:$P$405,1,'Istoric_Nativ'!$D$6:$D$405,"&gt;="&amp;L862),COUNTIFS('Istoric_Nativ'!$B$6:$B$405,E862,'Istoric_Nativ'!$C$6:$C$405,F862,'Istoric_Nativ'!$E$6:$E$405,G862,'Istoric_Nativ'!$D$6:$D$405,"&lt;"&amp;J862,'Istoric_Nativ'!$P$6:$P$405,1,'Istoric_Nativ'!$D$6:$D$405,"&gt;="&amp;L862)+COUNTIFS('Istoric_Nativ'!$B$6:$B$405,E862,'Istoric_Nativ'!$C$6:$C$405,F862,'Istoric_Nativ'!$F$6:$F$405,G862,'Istoric_Nativ'!$D$6:$D$405,"&lt;"&amp;J862,'Istoric_Nativ'!$P$6:$P$405,1,'Istoric_Nativ'!$D$6:$D$405,"&gt;="&amp;L862))))</x:f>
        <x:v>0</x:v>
      </x:c>
      <x:c r="N862" s="11" t="str">
        <x:f>IF(M862=0,"",IF(H862="HOME",SUMIFS('Istoric_Nativ'!$G$6:$G$405,'Istoric_Nativ'!$B$6:$B$405,E862,'Istoric_Nativ'!$C$6:$C$405,F862,'Istoric_Nativ'!$E$6:$E$405,G862,'Istoric_Nativ'!$D$6:$D$405,"&lt;"&amp;J862,'Istoric_Nativ'!$P$6:$P$405,1,'Istoric_Nativ'!$D$6:$D$405,"&gt;="&amp;L862),IF(H862="AWAY",SUMIFS('Istoric_Nativ'!$H$6:$H$405,'Istoric_Nativ'!$B$6:$B$405,E862,'Istoric_Nativ'!$C$6:$C$405,F862,'Istoric_Nativ'!$F$6:$F$405,G862,'Istoric_Nativ'!$D$6:$D$405,"&lt;"&amp;J862,'Istoric_Nativ'!$P$6:$P$405,1,'Istoric_Nativ'!$D$6:$D$405,"&gt;="&amp;L862),SUMIFS('Istoric_Nativ'!$G$6:$G$405,'Istoric_Nativ'!$B$6:$B$405,E862,'Istoric_Nativ'!$C$6:$C$405,F862,'Istoric_Nativ'!$E$6:$E$405,G862,'Istoric_Nativ'!$D$6:$D$405,"&lt;"&amp;J862,'Istoric_Nativ'!$P$6:$P$405,1,'Istoric_Nativ'!$D$6:$D$405,"&gt;="&amp;L862)+SUMIFS('Istoric_Nativ'!$H$6:$H$405,'Istoric_Nativ'!$B$6:$B$405,E862,'Istoric_Nativ'!$C$6:$C$405,F862,'Istoric_Nativ'!$F$6:$F$405,G862,'Istoric_Nativ'!$D$6:$D$405,"&lt;"&amp;J862,'Istoric_Nativ'!$P$6:$P$405,1,'Istoric_Nativ'!$D$6:$D$405,"&gt;="&amp;L862)))/M862)</x:f>
      </x:c>
      <x:c r="O862" s="11" t="str">
        <x:f>IF(M862=0,"",IF(H862="HOME",SUMIFS('Istoric_Nativ'!$H$6:$H$405,'Istoric_Nativ'!$B$6:$B$405,E862,'Istoric_Nativ'!$C$6:$C$405,F862,'Istoric_Nativ'!$E$6:$E$405,G862,'Istoric_Nativ'!$D$6:$D$405,"&lt;"&amp;J862,'Istoric_Nativ'!$P$6:$P$405,1,'Istoric_Nativ'!$D$6:$D$405,"&gt;="&amp;L862),IF(H862="AWAY",SUMIFS('Istoric_Nativ'!$G$6:$G$405,'Istoric_Nativ'!$B$6:$B$405,E862,'Istoric_Nativ'!$C$6:$C$405,F862,'Istoric_Nativ'!$F$6:$F$405,G862,'Istoric_Nativ'!$D$6:$D$405,"&lt;"&amp;J862,'Istoric_Nativ'!$P$6:$P$405,1,'Istoric_Nativ'!$D$6:$D$405,"&gt;="&amp;L862),SUMIFS('Istoric_Nativ'!$H$6:$H$405,'Istoric_Nativ'!$B$6:$B$405,E862,'Istoric_Nativ'!$C$6:$C$405,F862,'Istoric_Nativ'!$E$6:$E$405,G862,'Istoric_Nativ'!$D$6:$D$405,"&lt;"&amp;J862,'Istoric_Nativ'!$P$6:$P$405,1,'Istoric_Nativ'!$D$6:$D$405,"&gt;="&amp;L862)+SUMIFS('Istoric_Nativ'!$G$6:$G$405,'Istoric_Nativ'!$B$6:$B$405,E862,'Istoric_Nativ'!$C$6:$C$405,F862,'Istoric_Nativ'!$F$6:$F$405,G862,'Istoric_Nativ'!$D$6:$D$405,"&lt;"&amp;J862,'Istoric_Nativ'!$P$6:$P$405,1,'Istoric_Nativ'!$D$6:$D$405,"&gt;="&amp;L862)))/M862)</x:f>
      </x:c>
      <x:c r="P862" s="2" t="n">
        <x:f>'Config_v6'!$B$8</x:f>
        <x:v>5</x:v>
      </x:c>
      <x:c r="Q862" s="2" t="n">
        <x:f>IF(OR(B862="",F862=""),0,IFERROR(MATCH(E862&amp;"|"&amp;F862,SourceTable[Source_Key],0),0))</x:f>
        <x:v>0</x:v>
      </x:c>
      <x:c r="R862" s="2" t="str">
        <x:f>IF(B862="","",IF(F862="","UNUSED",IF(Q862=0,"NOT CHECKED",IF(COUNTIF(SourceTable[Source_Key],E862&amp;"|"&amp;F862)&lt;&gt;1,"SOURCE CONFLICT",IF(NOT(OR(INDEX(SourceTable[Status],MAX(1,Q862))="IMPORTED",INDEX(SourceTable[Status],MAX(1,Q862))="PARTIAL",INDEX(SourceTable[Status],MAX(1,Q862))="SOURCE CONFLICT")),"ACCESS BLOCKED",IF(OR(INDEX(SourceTable[Coverage],Q862)&lt;&gt;"FULL SEASON EXPORT",INDEX(SourceTable[URL],Q862)="",INDEX(SourceTable[SHA256],Q862)=""),"EVIDENCE INCOMPLETE",IF(AND('Input_Meci'!H77="LIVE",INDEX(SourceTable[Retrieved_UTC],Q862)&gt;'Input_Meci'!G77),"POST CUTOFF","CLOSED")))))))</x:f>
      </x:c>
      <x:c r="S862" s="2" t="n">
        <x:f>IF(OR(B862="",F862=""),0,COUNTIFS('Istoric_Nativ'!$B$6:$B$405,E862,'Istoric_Nativ'!$C$6:$C$405,F862,'Istoric_Nativ'!$E$6:$E$405,G862,'Istoric_Nativ'!$D$6:$D$405,"&lt;"&amp;J862,'Istoric_Nativ'!$O$6:$O$405,"INVALID")+COUNTIFS('Istoric_Nativ'!$B$6:$B$405,E862,'Istoric_Nativ'!$C$6:$C$405,F862,'Istoric_Nativ'!$E$6:$E$405,G862,'Istoric_Nativ'!$O$6:$O$405,"INVALID",'Istoric_Nativ'!$D$6:$D$405,"*")+COUNTIFS('Istoric_Nativ'!$B$6:$B$405,E862,'Istoric_Nativ'!$C$6:$C$405,F862,'Istoric_Nativ'!$E$6:$E$405,G862,'Istoric_Nativ'!$D$6:$D$405,"&lt;"&amp;J862,'Istoric_Nativ'!$O$6:$O$405,"SOURCE CONFLICT")+COUNTIFS('Istoric_Nativ'!$B$6:$B$405,E862,'Istoric_Nativ'!$C$6:$C$405,F862,'Istoric_Nativ'!$F$6:$F$405,G862,'Istoric_Nativ'!$D$6:$D$405,"&lt;"&amp;J862,'Istoric_Nativ'!$O$6:$O$405,"INVALID")+COUNTIFS('Istoric_Nativ'!$B$6:$B$405,E862,'Istoric_Nativ'!$C$6:$C$405,F862,'Istoric_Nativ'!$F$6:$F$405,G862,'Istoric_Nativ'!$O$6:$O$405,"INVALID",'Istoric_Nativ'!$D$6:$D$405,"*")+COUNTIFS('Istoric_Nativ'!$B$6:$B$405,E862,'Istoric_Nativ'!$C$6:$C$405,F862,'Istoric_Nativ'!$F$6:$F$405,G862,'Istoric_Nativ'!$D$6:$D$405,"&lt;"&amp;J862,'Istoric_Nativ'!$O$6:$O$405,"SOURCE CONFLICT"))</x:f>
        <x:v>0</x:v>
      </x:c>
      <x:c r="T862" s="2" t="str">
        <x:f>IF(B862="","",IF(R862&lt;&gt;"CLOSED",R862,IF(S862&gt;0,"NATIVE INPUT ISSUE",IF(M862=0,"NO HISTORY",IF(M862&lt;P862,"SMALL SAMPLE","DERIVED")))))</x:f>
      </x:c>
      <x:c r="U862" s="2" t="str">
        <x:f>IF(B862="","","NativeTable; "&amp;E862&amp;"; "&amp;F862&amp;"; "&amp;G862&amp;"; "&amp;H862&amp;"; before "&amp;TEXT(J862,"yyyy-mm-dd")&amp;IF(I862="RECENT","; from "&amp;TEXT(L862,"yyyy-mm-dd"),""))</x:f>
      </x:c>
    </x:row>
    <x:row r="863" ht="21" customHeight="1">
      <x:c r="A863" s="2" t="n">
        <x:v>72</x:v>
      </x:c>
      <x:c r="B863" s="2" t="str">
        <x:f>IF('Input_Meci'!A77="","",'Input_Meci'!A77)</x:f>
      </x:c>
      <x:c r="C863" s="2" t="str">
        <x:v>A</x:v>
      </x:c>
      <x:c r="D863" s="2" t="str">
        <x:v>CURRENT</x:v>
      </x:c>
      <x:c r="E863" s="2" t="str">
        <x:f>IF(B863="","",'Input_Meci'!B77)</x:f>
      </x:c>
      <x:c r="F863" s="2" t="str">
        <x:f>IF(B863="","",IF('Input_Meci'!C77="","",'Input_Meci'!C77))</x:f>
      </x:c>
      <x:c r="G863" s="2" t="str">
        <x:f>IF(B863="","",'Input_Meci'!E77)</x:f>
      </x:c>
      <x:c r="H863" s="2" t="str">
        <x:v>ANY</x:v>
      </x:c>
      <x:c r="I863" s="2" t="str">
        <x:v>RECENT</x:v>
      </x:c>
      <x:c r="J863" s="9" t="n">
        <x:f>IF(AND(B863&lt;&gt;"",ISNUMBER('Input_Meci'!G77)),INT('Input_Meci'!G77),0)</x:f>
        <x:v>0</x:v>
      </x:c>
      <x:c r="K863" s="2" t="n">
        <x:f>IF(OR(B863="",F863=""),0,IF(H863="HOME",COUNTIFS('Istoric_Nativ'!$B$6:$B$405,E863,'Istoric_Nativ'!$C$6:$C$405,F863,'Istoric_Nativ'!$E$6:$E$405,G863,'Istoric_Nativ'!$D$6:$D$405,"&lt;"&amp;J863,'Istoric_Nativ'!$P$6:$P$405,1),IF(H863="AWAY",COUNTIFS('Istoric_Nativ'!$B$6:$B$405,E863,'Istoric_Nativ'!$C$6:$C$405,F863,'Istoric_Nativ'!$F$6:$F$405,G863,'Istoric_Nativ'!$D$6:$D$405,"&lt;"&amp;J863,'Istoric_Nativ'!$P$6:$P$405,1),COUNTIFS('Istoric_Nativ'!$B$6:$B$405,E863,'Istoric_Nativ'!$C$6:$C$405,F863,'Istoric_Nativ'!$E$6:$E$405,G863,'Istoric_Nativ'!$D$6:$D$405,"&lt;"&amp;J863,'Istoric_Nativ'!$P$6:$P$405,1)+COUNTIFS('Istoric_Nativ'!$B$6:$B$405,E863,'Istoric_Nativ'!$C$6:$C$405,F863,'Istoric_Nativ'!$F$6:$F$405,G863,'Istoric_Nativ'!$D$6:$D$405,"&lt;"&amp;J863,'Istoric_Nativ'!$P$6:$P$405,1))))</x:f>
        <x:v>0</x:v>
      </x:c>
      <x:c r="L863" s="17" t="n">
        <x:f>IF(AND(B863&lt;&gt;"",I863="RECENT",K863&gt;0),LARGE(_xlfn._xlws.FILTER('Istoric_Nativ'!$D$6:$D$405,('Istoric_Nativ'!$B$6:$B$405=E863)*('Istoric_Nativ'!$C$6:$C$405=F863)*('Istoric_Nativ'!$P$6:$P$405=1)*('Istoric_Nativ'!$D$6:$D$405&lt;J863)*((('Istoric_Nativ'!$E$6:$E$405=G863)+('Istoric_Nativ'!$F$6:$F$405=G863))&gt;0)),MIN('Config_v6'!$B$54,K863)),0)</x:f>
        <x:v>0</x:v>
      </x:c>
      <x:c r="M863" s="2" t="n">
        <x:f>IF(OR(B863="",F863=""),0,IF(H863="HOME",COUNTIFS('Istoric_Nativ'!$B$6:$B$405,E863,'Istoric_Nativ'!$C$6:$C$405,F863,'Istoric_Nativ'!$E$6:$E$405,G863,'Istoric_Nativ'!$D$6:$D$405,"&lt;"&amp;J863,'Istoric_Nativ'!$P$6:$P$405,1,'Istoric_Nativ'!$D$6:$D$405,"&gt;="&amp;L863),IF(H863="AWAY",COUNTIFS('Istoric_Nativ'!$B$6:$B$405,E863,'Istoric_Nativ'!$C$6:$C$405,F863,'Istoric_Nativ'!$F$6:$F$405,G863,'Istoric_Nativ'!$D$6:$D$405,"&lt;"&amp;J863,'Istoric_Nativ'!$P$6:$P$405,1,'Istoric_Nativ'!$D$6:$D$405,"&gt;="&amp;L863),COUNTIFS('Istoric_Nativ'!$B$6:$B$405,E863,'Istoric_Nativ'!$C$6:$C$405,F863,'Istoric_Nativ'!$E$6:$E$405,G863,'Istoric_Nativ'!$D$6:$D$405,"&lt;"&amp;J863,'Istoric_Nativ'!$P$6:$P$405,1,'Istoric_Nativ'!$D$6:$D$405,"&gt;="&amp;L863)+COUNTIFS('Istoric_Nativ'!$B$6:$B$405,E863,'Istoric_Nativ'!$C$6:$C$405,F863,'Istoric_Nativ'!$F$6:$F$405,G863,'Istoric_Nativ'!$D$6:$D$405,"&lt;"&amp;J863,'Istoric_Nativ'!$P$6:$P$405,1,'Istoric_Nativ'!$D$6:$D$405,"&gt;="&amp;L863))))</x:f>
        <x:v>0</x:v>
      </x:c>
      <x:c r="N863" s="11" t="str">
        <x:f>IF(M863=0,"",IF(H863="HOME",SUMIFS('Istoric_Nativ'!$G$6:$G$405,'Istoric_Nativ'!$B$6:$B$405,E863,'Istoric_Nativ'!$C$6:$C$405,F863,'Istoric_Nativ'!$E$6:$E$405,G863,'Istoric_Nativ'!$D$6:$D$405,"&lt;"&amp;J863,'Istoric_Nativ'!$P$6:$P$405,1,'Istoric_Nativ'!$D$6:$D$405,"&gt;="&amp;L863),IF(H863="AWAY",SUMIFS('Istoric_Nativ'!$H$6:$H$405,'Istoric_Nativ'!$B$6:$B$405,E863,'Istoric_Nativ'!$C$6:$C$405,F863,'Istoric_Nativ'!$F$6:$F$405,G863,'Istoric_Nativ'!$D$6:$D$405,"&lt;"&amp;J863,'Istoric_Nativ'!$P$6:$P$405,1,'Istoric_Nativ'!$D$6:$D$405,"&gt;="&amp;L863),SUMIFS('Istoric_Nativ'!$G$6:$G$405,'Istoric_Nativ'!$B$6:$B$405,E863,'Istoric_Nativ'!$C$6:$C$405,F863,'Istoric_Nativ'!$E$6:$E$405,G863,'Istoric_Nativ'!$D$6:$D$405,"&lt;"&amp;J863,'Istoric_Nativ'!$P$6:$P$405,1,'Istoric_Nativ'!$D$6:$D$405,"&gt;="&amp;L863)+SUMIFS('Istoric_Nativ'!$H$6:$H$405,'Istoric_Nativ'!$B$6:$B$405,E863,'Istoric_Nativ'!$C$6:$C$405,F863,'Istoric_Nativ'!$F$6:$F$405,G863,'Istoric_Nativ'!$D$6:$D$405,"&lt;"&amp;J863,'Istoric_Nativ'!$P$6:$P$405,1,'Istoric_Nativ'!$D$6:$D$405,"&gt;="&amp;L863)))/M863)</x:f>
      </x:c>
      <x:c r="O863" s="11" t="str">
        <x:f>IF(M863=0,"",IF(H863="HOME",SUMIFS('Istoric_Nativ'!$H$6:$H$405,'Istoric_Nativ'!$B$6:$B$405,E863,'Istoric_Nativ'!$C$6:$C$405,F863,'Istoric_Nativ'!$E$6:$E$405,G863,'Istoric_Nativ'!$D$6:$D$405,"&lt;"&amp;J863,'Istoric_Nativ'!$P$6:$P$405,1,'Istoric_Nativ'!$D$6:$D$405,"&gt;="&amp;L863),IF(H863="AWAY",SUMIFS('Istoric_Nativ'!$G$6:$G$405,'Istoric_Nativ'!$B$6:$B$405,E863,'Istoric_Nativ'!$C$6:$C$405,F863,'Istoric_Nativ'!$F$6:$F$405,G863,'Istoric_Nativ'!$D$6:$D$405,"&lt;"&amp;J863,'Istoric_Nativ'!$P$6:$P$405,1,'Istoric_Nativ'!$D$6:$D$405,"&gt;="&amp;L863),SUMIFS('Istoric_Nativ'!$H$6:$H$405,'Istoric_Nativ'!$B$6:$B$405,E863,'Istoric_Nativ'!$C$6:$C$405,F863,'Istoric_Nativ'!$E$6:$E$405,G863,'Istoric_Nativ'!$D$6:$D$405,"&lt;"&amp;J863,'Istoric_Nativ'!$P$6:$P$405,1,'Istoric_Nativ'!$D$6:$D$405,"&gt;="&amp;L863)+SUMIFS('Istoric_Nativ'!$G$6:$G$405,'Istoric_Nativ'!$B$6:$B$405,E863,'Istoric_Nativ'!$C$6:$C$405,F863,'Istoric_Nativ'!$F$6:$F$405,G863,'Istoric_Nativ'!$D$6:$D$405,"&lt;"&amp;J863,'Istoric_Nativ'!$P$6:$P$405,1,'Istoric_Nativ'!$D$6:$D$405,"&gt;="&amp;L863)))/M863)</x:f>
      </x:c>
      <x:c r="P863" s="2" t="n">
        <x:f>'Config_v6'!$B$9</x:f>
        <x:v>3</x:v>
      </x:c>
      <x:c r="Q863" s="2" t="n">
        <x:f>IF(OR(B863="",F863=""),0,IFERROR(MATCH(E863&amp;"|"&amp;F863,SourceTable[Source_Key],0),0))</x:f>
        <x:v>0</x:v>
      </x:c>
      <x:c r="R863" s="2" t="str">
        <x:f>IF(B863="","",IF(F863="","UNUSED",IF(Q863=0,"NOT CHECKED",IF(COUNTIF(SourceTable[Source_Key],E863&amp;"|"&amp;F863)&lt;&gt;1,"SOURCE CONFLICT",IF(NOT(OR(INDEX(SourceTable[Status],MAX(1,Q863))="IMPORTED",INDEX(SourceTable[Status],MAX(1,Q863))="PARTIAL",INDEX(SourceTable[Status],MAX(1,Q863))="SOURCE CONFLICT")),"ACCESS BLOCKED",IF(OR(INDEX(SourceTable[Coverage],Q863)&lt;&gt;"FULL SEASON EXPORT",INDEX(SourceTable[URL],Q863)="",INDEX(SourceTable[SHA256],Q863)=""),"EVIDENCE INCOMPLETE",IF(AND('Input_Meci'!H77="LIVE",INDEX(SourceTable[Retrieved_UTC],Q863)&gt;'Input_Meci'!G77),"POST CUTOFF","CLOSED")))))))</x:f>
      </x:c>
      <x:c r="S863" s="2" t="n">
        <x:f>IF(OR(B863="",F863=""),0,COUNTIFS('Istoric_Nativ'!$B$6:$B$405,E863,'Istoric_Nativ'!$C$6:$C$405,F863,'Istoric_Nativ'!$E$6:$E$405,G863,'Istoric_Nativ'!$D$6:$D$405,"&lt;"&amp;J863,'Istoric_Nativ'!$O$6:$O$405,"INVALID")+COUNTIFS('Istoric_Nativ'!$B$6:$B$405,E863,'Istoric_Nativ'!$C$6:$C$405,F863,'Istoric_Nativ'!$E$6:$E$405,G863,'Istoric_Nativ'!$O$6:$O$405,"INVALID",'Istoric_Nativ'!$D$6:$D$405,"*")+COUNTIFS('Istoric_Nativ'!$B$6:$B$405,E863,'Istoric_Nativ'!$C$6:$C$405,F863,'Istoric_Nativ'!$E$6:$E$405,G863,'Istoric_Nativ'!$D$6:$D$405,"&lt;"&amp;J863,'Istoric_Nativ'!$O$6:$O$405,"SOURCE CONFLICT")+COUNTIFS('Istoric_Nativ'!$B$6:$B$405,E863,'Istoric_Nativ'!$C$6:$C$405,F863,'Istoric_Nativ'!$F$6:$F$405,G863,'Istoric_Nativ'!$D$6:$D$405,"&lt;"&amp;J863,'Istoric_Nativ'!$O$6:$O$405,"INVALID")+COUNTIFS('Istoric_Nativ'!$B$6:$B$405,E863,'Istoric_Nativ'!$C$6:$C$405,F863,'Istoric_Nativ'!$F$6:$F$405,G863,'Istoric_Nativ'!$O$6:$O$405,"INVALID",'Istoric_Nativ'!$D$6:$D$405,"*")+COUNTIFS('Istoric_Nativ'!$B$6:$B$405,E863,'Istoric_Nativ'!$C$6:$C$405,F863,'Istoric_Nativ'!$F$6:$F$405,G863,'Istoric_Nativ'!$D$6:$D$405,"&lt;"&amp;J863,'Istoric_Nativ'!$O$6:$O$405,"SOURCE CONFLICT"))</x:f>
        <x:v>0</x:v>
      </x:c>
      <x:c r="T863" s="2" t="str">
        <x:f>IF(B863="","",IF(R863&lt;&gt;"CLOSED",R863,IF(S863&gt;0,"NATIVE INPUT ISSUE",IF(M863=0,"NO HISTORY",IF(M863&lt;P863,"SMALL SAMPLE","DERIVED")))))</x:f>
      </x:c>
      <x:c r="U863" s="2" t="str">
        <x:f>IF(B863="","","NativeTable; "&amp;E863&amp;"; "&amp;F863&amp;"; "&amp;G863&amp;"; "&amp;H863&amp;"; before "&amp;TEXT(J863,"yyyy-mm-dd")&amp;IF(I863="RECENT","; from "&amp;TEXT(L863,"yyyy-mm-dd"),""))</x:f>
      </x:c>
    </x:row>
    <x:row r="864" ht="21" customHeight="1">
      <x:c r="A864" s="2" t="n">
        <x:v>72</x:v>
      </x:c>
      <x:c r="B864" s="2" t="str">
        <x:f>IF('Input_Meci'!A77="","",'Input_Meci'!A77)</x:f>
      </x:c>
      <x:c r="C864" s="2" t="str">
        <x:v>H</x:v>
      </x:c>
      <x:c r="D864" s="2" t="str">
        <x:v>PRIOR</x:v>
      </x:c>
      <x:c r="E864" s="2" t="str">
        <x:f>IF(B864="","",'Input_Meci'!B77)</x:f>
      </x:c>
      <x:c r="F864" s="2" t="str">
        <x:f>IF(B864="","",IF('Input_Meci'!K77="","",'Input_Meci'!K77))</x:f>
      </x:c>
      <x:c r="G864" s="2" t="str">
        <x:f>IF(B864="","",'Input_Meci'!D77)</x:f>
      </x:c>
      <x:c r="H864" s="2" t="str">
        <x:v>ANY</x:v>
      </x:c>
      <x:c r="I864" s="2" t="str">
        <x:v>SEASON</x:v>
      </x:c>
      <x:c r="J864" s="9" t="n">
        <x:f>IF(AND(B864&lt;&gt;"",ISNUMBER('Input_Meci'!G77)),INT('Input_Meci'!G77),0)</x:f>
        <x:v>0</x:v>
      </x:c>
      <x:c r="K864" s="2" t="n">
        <x:f>IF(OR(B864="",F864=""),0,IF(H864="HOME",COUNTIFS('Istoric_Nativ'!$B$6:$B$405,E864,'Istoric_Nativ'!$C$6:$C$405,F864,'Istoric_Nativ'!$E$6:$E$405,G864,'Istoric_Nativ'!$D$6:$D$405,"&lt;"&amp;J864,'Istoric_Nativ'!$P$6:$P$405,1),IF(H864="AWAY",COUNTIFS('Istoric_Nativ'!$B$6:$B$405,E864,'Istoric_Nativ'!$C$6:$C$405,F864,'Istoric_Nativ'!$F$6:$F$405,G864,'Istoric_Nativ'!$D$6:$D$405,"&lt;"&amp;J864,'Istoric_Nativ'!$P$6:$P$405,1),COUNTIFS('Istoric_Nativ'!$B$6:$B$405,E864,'Istoric_Nativ'!$C$6:$C$405,F864,'Istoric_Nativ'!$E$6:$E$405,G864,'Istoric_Nativ'!$D$6:$D$405,"&lt;"&amp;J864,'Istoric_Nativ'!$P$6:$P$405,1)+COUNTIFS('Istoric_Nativ'!$B$6:$B$405,E864,'Istoric_Nativ'!$C$6:$C$405,F864,'Istoric_Nativ'!$F$6:$F$405,G864,'Istoric_Nativ'!$D$6:$D$405,"&lt;"&amp;J864,'Istoric_Nativ'!$P$6:$P$405,1))))</x:f>
        <x:v>0</x:v>
      </x:c>
      <x:c r="L864" s="17" t="n">
        <x:f>IF(AND(B864&lt;&gt;"",I864="RECENT",K864&gt;0),LARGE(_xlfn._xlws.FILTER('Istoric_Nativ'!$D$6:$D$405,('Istoric_Nativ'!$B$6:$B$405=E864)*('Istoric_Nativ'!$C$6:$C$405=F864)*('Istoric_Nativ'!$P$6:$P$405=1)*('Istoric_Nativ'!$D$6:$D$405&lt;J864)*((('Istoric_Nativ'!$E$6:$E$405=G864)+('Istoric_Nativ'!$F$6:$F$405=G864))&gt;0)),MIN('Config_v6'!$B$54,K864)),0)</x:f>
        <x:v>0</x:v>
      </x:c>
      <x:c r="M864" s="2" t="n">
        <x:f>IF(OR(B864="",F864=""),0,IF(H864="HOME",COUNTIFS('Istoric_Nativ'!$B$6:$B$405,E864,'Istoric_Nativ'!$C$6:$C$405,F864,'Istoric_Nativ'!$E$6:$E$405,G864,'Istoric_Nativ'!$D$6:$D$405,"&lt;"&amp;J864,'Istoric_Nativ'!$P$6:$P$405,1,'Istoric_Nativ'!$D$6:$D$405,"&gt;="&amp;L864),IF(H864="AWAY",COUNTIFS('Istoric_Nativ'!$B$6:$B$405,E864,'Istoric_Nativ'!$C$6:$C$405,F864,'Istoric_Nativ'!$F$6:$F$405,G864,'Istoric_Nativ'!$D$6:$D$405,"&lt;"&amp;J864,'Istoric_Nativ'!$P$6:$P$405,1,'Istoric_Nativ'!$D$6:$D$405,"&gt;="&amp;L864),COUNTIFS('Istoric_Nativ'!$B$6:$B$405,E864,'Istoric_Nativ'!$C$6:$C$405,F864,'Istoric_Nativ'!$E$6:$E$405,G864,'Istoric_Nativ'!$D$6:$D$405,"&lt;"&amp;J864,'Istoric_Nativ'!$P$6:$P$405,1,'Istoric_Nativ'!$D$6:$D$405,"&gt;="&amp;L864)+COUNTIFS('Istoric_Nativ'!$B$6:$B$405,E864,'Istoric_Nativ'!$C$6:$C$405,F864,'Istoric_Nativ'!$F$6:$F$405,G864,'Istoric_Nativ'!$D$6:$D$405,"&lt;"&amp;J864,'Istoric_Nativ'!$P$6:$P$405,1,'Istoric_Nativ'!$D$6:$D$405,"&gt;="&amp;L864))))</x:f>
        <x:v>0</x:v>
      </x:c>
      <x:c r="N864" s="11" t="str">
        <x:f>IF(M864=0,"",IF(H864="HOME",SUMIFS('Istoric_Nativ'!$G$6:$G$405,'Istoric_Nativ'!$B$6:$B$405,E864,'Istoric_Nativ'!$C$6:$C$405,F864,'Istoric_Nativ'!$E$6:$E$405,G864,'Istoric_Nativ'!$D$6:$D$405,"&lt;"&amp;J864,'Istoric_Nativ'!$P$6:$P$405,1,'Istoric_Nativ'!$D$6:$D$405,"&gt;="&amp;L864),IF(H864="AWAY",SUMIFS('Istoric_Nativ'!$H$6:$H$405,'Istoric_Nativ'!$B$6:$B$405,E864,'Istoric_Nativ'!$C$6:$C$405,F864,'Istoric_Nativ'!$F$6:$F$405,G864,'Istoric_Nativ'!$D$6:$D$405,"&lt;"&amp;J864,'Istoric_Nativ'!$P$6:$P$405,1,'Istoric_Nativ'!$D$6:$D$405,"&gt;="&amp;L864),SUMIFS('Istoric_Nativ'!$G$6:$G$405,'Istoric_Nativ'!$B$6:$B$405,E864,'Istoric_Nativ'!$C$6:$C$405,F864,'Istoric_Nativ'!$E$6:$E$405,G864,'Istoric_Nativ'!$D$6:$D$405,"&lt;"&amp;J864,'Istoric_Nativ'!$P$6:$P$405,1,'Istoric_Nativ'!$D$6:$D$405,"&gt;="&amp;L864)+SUMIFS('Istoric_Nativ'!$H$6:$H$405,'Istoric_Nativ'!$B$6:$B$405,E864,'Istoric_Nativ'!$C$6:$C$405,F864,'Istoric_Nativ'!$F$6:$F$405,G864,'Istoric_Nativ'!$D$6:$D$405,"&lt;"&amp;J864,'Istoric_Nativ'!$P$6:$P$405,1,'Istoric_Nativ'!$D$6:$D$405,"&gt;="&amp;L864)))/M864)</x:f>
      </x:c>
      <x:c r="O864" s="11" t="str">
        <x:f>IF(M864=0,"",IF(H864="HOME",SUMIFS('Istoric_Nativ'!$H$6:$H$405,'Istoric_Nativ'!$B$6:$B$405,E864,'Istoric_Nativ'!$C$6:$C$405,F864,'Istoric_Nativ'!$E$6:$E$405,G864,'Istoric_Nativ'!$D$6:$D$405,"&lt;"&amp;J864,'Istoric_Nativ'!$P$6:$P$405,1,'Istoric_Nativ'!$D$6:$D$405,"&gt;="&amp;L864),IF(H864="AWAY",SUMIFS('Istoric_Nativ'!$G$6:$G$405,'Istoric_Nativ'!$B$6:$B$405,E864,'Istoric_Nativ'!$C$6:$C$405,F864,'Istoric_Nativ'!$F$6:$F$405,G864,'Istoric_Nativ'!$D$6:$D$405,"&lt;"&amp;J864,'Istoric_Nativ'!$P$6:$P$405,1,'Istoric_Nativ'!$D$6:$D$405,"&gt;="&amp;L864),SUMIFS('Istoric_Nativ'!$H$6:$H$405,'Istoric_Nativ'!$B$6:$B$405,E864,'Istoric_Nativ'!$C$6:$C$405,F864,'Istoric_Nativ'!$E$6:$E$405,G864,'Istoric_Nativ'!$D$6:$D$405,"&lt;"&amp;J864,'Istoric_Nativ'!$P$6:$P$405,1,'Istoric_Nativ'!$D$6:$D$405,"&gt;="&amp;L864)+SUMIFS('Istoric_Nativ'!$G$6:$G$405,'Istoric_Nativ'!$B$6:$B$405,E864,'Istoric_Nativ'!$C$6:$C$405,F864,'Istoric_Nativ'!$F$6:$F$405,G864,'Istoric_Nativ'!$D$6:$D$405,"&lt;"&amp;J864,'Istoric_Nativ'!$P$6:$P$405,1,'Istoric_Nativ'!$D$6:$D$405,"&gt;="&amp;L864)))/M864)</x:f>
      </x:c>
      <x:c r="P864" s="2" t="n">
        <x:f>'Config_v6'!$B$7</x:f>
        <x:v>10</x:v>
      </x:c>
      <x:c r="Q864" s="2" t="n">
        <x:f>IF(OR(B864="",F864=""),0,IFERROR(MATCH(E864&amp;"|"&amp;F864,SourceTable[Source_Key],0),0))</x:f>
        <x:v>0</x:v>
      </x:c>
      <x:c r="R864" s="2" t="str">
        <x:f>IF(B864="","",IF(F864="","UNUSED",IF(Q864=0,"NOT CHECKED",IF(COUNTIF(SourceTable[Source_Key],E864&amp;"|"&amp;F864)&lt;&gt;1,"SOURCE CONFLICT",IF(NOT(OR(INDEX(SourceTable[Status],MAX(1,Q864))="IMPORTED",INDEX(SourceTable[Status],MAX(1,Q864))="PARTIAL",INDEX(SourceTable[Status],MAX(1,Q864))="SOURCE CONFLICT")),"ACCESS BLOCKED",IF(OR(INDEX(SourceTable[Coverage],Q864)&lt;&gt;"FULL SEASON EXPORT",INDEX(SourceTable[URL],Q864)="",INDEX(SourceTable[SHA256],Q864)=""),"EVIDENCE INCOMPLETE",IF(AND('Input_Meci'!H77="LIVE",INDEX(SourceTable[Retrieved_UTC],Q864)&gt;'Input_Meci'!G77),"POST CUTOFF","CLOSED")))))))</x:f>
      </x:c>
      <x:c r="S864" s="2" t="n">
        <x:f>IF(OR(B864="",F864=""),0,COUNTIFS('Istoric_Nativ'!$B$6:$B$405,E864,'Istoric_Nativ'!$C$6:$C$405,F864,'Istoric_Nativ'!$E$6:$E$405,G864,'Istoric_Nativ'!$D$6:$D$405,"&lt;"&amp;J864,'Istoric_Nativ'!$O$6:$O$405,"INVALID")+COUNTIFS('Istoric_Nativ'!$B$6:$B$405,E864,'Istoric_Nativ'!$C$6:$C$405,F864,'Istoric_Nativ'!$E$6:$E$405,G864,'Istoric_Nativ'!$O$6:$O$405,"INVALID",'Istoric_Nativ'!$D$6:$D$405,"*")+COUNTIFS('Istoric_Nativ'!$B$6:$B$405,E864,'Istoric_Nativ'!$C$6:$C$405,F864,'Istoric_Nativ'!$E$6:$E$405,G864,'Istoric_Nativ'!$D$6:$D$405,"&lt;"&amp;J864,'Istoric_Nativ'!$O$6:$O$405,"SOURCE CONFLICT")+COUNTIFS('Istoric_Nativ'!$B$6:$B$405,E864,'Istoric_Nativ'!$C$6:$C$405,F864,'Istoric_Nativ'!$F$6:$F$405,G864,'Istoric_Nativ'!$D$6:$D$405,"&lt;"&amp;J864,'Istoric_Nativ'!$O$6:$O$405,"INVALID")+COUNTIFS('Istoric_Nativ'!$B$6:$B$405,E864,'Istoric_Nativ'!$C$6:$C$405,F864,'Istoric_Nativ'!$F$6:$F$405,G864,'Istoric_Nativ'!$O$6:$O$405,"INVALID",'Istoric_Nativ'!$D$6:$D$405,"*")+COUNTIFS('Istoric_Nativ'!$B$6:$B$405,E864,'Istoric_Nativ'!$C$6:$C$405,F864,'Istoric_Nativ'!$F$6:$F$405,G864,'Istoric_Nativ'!$D$6:$D$405,"&lt;"&amp;J864,'Istoric_Nativ'!$O$6:$O$405,"SOURCE CONFLICT"))</x:f>
        <x:v>0</x:v>
      </x:c>
      <x:c r="T864" s="2" t="str">
        <x:f>IF(B864="","",IF(R864&lt;&gt;"CLOSED",R864,IF(S864&gt;0,"NATIVE INPUT ISSUE",IF(M864=0,"NO HISTORY",IF(M864&lt;P864,"SMALL SAMPLE","DERIVED")))))</x:f>
      </x:c>
      <x:c r="U864" s="2" t="str">
        <x:f>IF(B864="","","NativeTable; "&amp;E864&amp;"; "&amp;F864&amp;"; "&amp;G864&amp;"; "&amp;H864&amp;"; before "&amp;TEXT(J864,"yyyy-mm-dd")&amp;IF(I864="RECENT","; from "&amp;TEXT(L864,"yyyy-mm-dd"),""))</x:f>
      </x:c>
    </x:row>
    <x:row r="865" ht="21" customHeight="1">
      <x:c r="A865" s="2" t="n">
        <x:v>72</x:v>
      </x:c>
      <x:c r="B865" s="2" t="str">
        <x:f>IF('Input_Meci'!A77="","",'Input_Meci'!A77)</x:f>
      </x:c>
      <x:c r="C865" s="2" t="str">
        <x:v>H</x:v>
      </x:c>
      <x:c r="D865" s="2" t="str">
        <x:v>PRIOR</x:v>
      </x:c>
      <x:c r="E865" s="2" t="str">
        <x:f>IF(B865="","",'Input_Meci'!B77)</x:f>
      </x:c>
      <x:c r="F865" s="2" t="str">
        <x:f>IF(B865="","",IF('Input_Meci'!K77="","",'Input_Meci'!K77))</x:f>
      </x:c>
      <x:c r="G865" s="2" t="str">
        <x:f>IF(B865="","",'Input_Meci'!D77)</x:f>
      </x:c>
      <x:c r="H865" s="2" t="str">
        <x:v>HOME</x:v>
      </x:c>
      <x:c r="I865" s="2" t="str">
        <x:v>HA</x:v>
      </x:c>
      <x:c r="J865" s="9" t="n">
        <x:f>IF(AND(B865&lt;&gt;"",ISNUMBER('Input_Meci'!G77)),INT('Input_Meci'!G77),0)</x:f>
        <x:v>0</x:v>
      </x:c>
      <x:c r="K865" s="2" t="n">
        <x:f>IF(OR(B865="",F865=""),0,IF(H865="HOME",COUNTIFS('Istoric_Nativ'!$B$6:$B$405,E865,'Istoric_Nativ'!$C$6:$C$405,F865,'Istoric_Nativ'!$E$6:$E$405,G865,'Istoric_Nativ'!$D$6:$D$405,"&lt;"&amp;J865,'Istoric_Nativ'!$P$6:$P$405,1),IF(H865="AWAY",COUNTIFS('Istoric_Nativ'!$B$6:$B$405,E865,'Istoric_Nativ'!$C$6:$C$405,F865,'Istoric_Nativ'!$F$6:$F$405,G865,'Istoric_Nativ'!$D$6:$D$405,"&lt;"&amp;J865,'Istoric_Nativ'!$P$6:$P$405,1),COUNTIFS('Istoric_Nativ'!$B$6:$B$405,E865,'Istoric_Nativ'!$C$6:$C$405,F865,'Istoric_Nativ'!$E$6:$E$405,G865,'Istoric_Nativ'!$D$6:$D$405,"&lt;"&amp;J865,'Istoric_Nativ'!$P$6:$P$405,1)+COUNTIFS('Istoric_Nativ'!$B$6:$B$405,E865,'Istoric_Nativ'!$C$6:$C$405,F865,'Istoric_Nativ'!$F$6:$F$405,G865,'Istoric_Nativ'!$D$6:$D$405,"&lt;"&amp;J865,'Istoric_Nativ'!$P$6:$P$405,1))))</x:f>
        <x:v>0</x:v>
      </x:c>
      <x:c r="L865" s="17" t="n">
        <x:f>IF(AND(B865&lt;&gt;"",I865="RECENT",K865&gt;0),LARGE(_xlfn._xlws.FILTER('Istoric_Nativ'!$D$6:$D$405,('Istoric_Nativ'!$B$6:$B$405=E865)*('Istoric_Nativ'!$C$6:$C$405=F865)*('Istoric_Nativ'!$P$6:$P$405=1)*('Istoric_Nativ'!$D$6:$D$405&lt;J865)*((('Istoric_Nativ'!$E$6:$E$405=G865)+('Istoric_Nativ'!$F$6:$F$405=G865))&gt;0)),MIN('Config_v6'!$B$54,K865)),0)</x:f>
        <x:v>0</x:v>
      </x:c>
      <x:c r="M865" s="2" t="n">
        <x:f>IF(OR(B865="",F865=""),0,IF(H865="HOME",COUNTIFS('Istoric_Nativ'!$B$6:$B$405,E865,'Istoric_Nativ'!$C$6:$C$405,F865,'Istoric_Nativ'!$E$6:$E$405,G865,'Istoric_Nativ'!$D$6:$D$405,"&lt;"&amp;J865,'Istoric_Nativ'!$P$6:$P$405,1,'Istoric_Nativ'!$D$6:$D$405,"&gt;="&amp;L865),IF(H865="AWAY",COUNTIFS('Istoric_Nativ'!$B$6:$B$405,E865,'Istoric_Nativ'!$C$6:$C$405,F865,'Istoric_Nativ'!$F$6:$F$405,G865,'Istoric_Nativ'!$D$6:$D$405,"&lt;"&amp;J865,'Istoric_Nativ'!$P$6:$P$405,1,'Istoric_Nativ'!$D$6:$D$405,"&gt;="&amp;L865),COUNTIFS('Istoric_Nativ'!$B$6:$B$405,E865,'Istoric_Nativ'!$C$6:$C$405,F865,'Istoric_Nativ'!$E$6:$E$405,G865,'Istoric_Nativ'!$D$6:$D$405,"&lt;"&amp;J865,'Istoric_Nativ'!$P$6:$P$405,1,'Istoric_Nativ'!$D$6:$D$405,"&gt;="&amp;L865)+COUNTIFS('Istoric_Nativ'!$B$6:$B$405,E865,'Istoric_Nativ'!$C$6:$C$405,F865,'Istoric_Nativ'!$F$6:$F$405,G865,'Istoric_Nativ'!$D$6:$D$405,"&lt;"&amp;J865,'Istoric_Nativ'!$P$6:$P$405,1,'Istoric_Nativ'!$D$6:$D$405,"&gt;="&amp;L865))))</x:f>
        <x:v>0</x:v>
      </x:c>
      <x:c r="N865" s="11" t="str">
        <x:f>IF(M865=0,"",IF(H865="HOME",SUMIFS('Istoric_Nativ'!$G$6:$G$405,'Istoric_Nativ'!$B$6:$B$405,E865,'Istoric_Nativ'!$C$6:$C$405,F865,'Istoric_Nativ'!$E$6:$E$405,G865,'Istoric_Nativ'!$D$6:$D$405,"&lt;"&amp;J865,'Istoric_Nativ'!$P$6:$P$405,1,'Istoric_Nativ'!$D$6:$D$405,"&gt;="&amp;L865),IF(H865="AWAY",SUMIFS('Istoric_Nativ'!$H$6:$H$405,'Istoric_Nativ'!$B$6:$B$405,E865,'Istoric_Nativ'!$C$6:$C$405,F865,'Istoric_Nativ'!$F$6:$F$405,G865,'Istoric_Nativ'!$D$6:$D$405,"&lt;"&amp;J865,'Istoric_Nativ'!$P$6:$P$405,1,'Istoric_Nativ'!$D$6:$D$405,"&gt;="&amp;L865),SUMIFS('Istoric_Nativ'!$G$6:$G$405,'Istoric_Nativ'!$B$6:$B$405,E865,'Istoric_Nativ'!$C$6:$C$405,F865,'Istoric_Nativ'!$E$6:$E$405,G865,'Istoric_Nativ'!$D$6:$D$405,"&lt;"&amp;J865,'Istoric_Nativ'!$P$6:$P$405,1,'Istoric_Nativ'!$D$6:$D$405,"&gt;="&amp;L865)+SUMIFS('Istoric_Nativ'!$H$6:$H$405,'Istoric_Nativ'!$B$6:$B$405,E865,'Istoric_Nativ'!$C$6:$C$405,F865,'Istoric_Nativ'!$F$6:$F$405,G865,'Istoric_Nativ'!$D$6:$D$405,"&lt;"&amp;J865,'Istoric_Nativ'!$P$6:$P$405,1,'Istoric_Nativ'!$D$6:$D$405,"&gt;="&amp;L865)))/M865)</x:f>
      </x:c>
      <x:c r="O865" s="11" t="str">
        <x:f>IF(M865=0,"",IF(H865="HOME",SUMIFS('Istoric_Nativ'!$H$6:$H$405,'Istoric_Nativ'!$B$6:$B$405,E865,'Istoric_Nativ'!$C$6:$C$405,F865,'Istoric_Nativ'!$E$6:$E$405,G865,'Istoric_Nativ'!$D$6:$D$405,"&lt;"&amp;J865,'Istoric_Nativ'!$P$6:$P$405,1,'Istoric_Nativ'!$D$6:$D$405,"&gt;="&amp;L865),IF(H865="AWAY",SUMIFS('Istoric_Nativ'!$G$6:$G$405,'Istoric_Nativ'!$B$6:$B$405,E865,'Istoric_Nativ'!$C$6:$C$405,F865,'Istoric_Nativ'!$F$6:$F$405,G865,'Istoric_Nativ'!$D$6:$D$405,"&lt;"&amp;J865,'Istoric_Nativ'!$P$6:$P$405,1,'Istoric_Nativ'!$D$6:$D$405,"&gt;="&amp;L865),SUMIFS('Istoric_Nativ'!$H$6:$H$405,'Istoric_Nativ'!$B$6:$B$405,E865,'Istoric_Nativ'!$C$6:$C$405,F865,'Istoric_Nativ'!$E$6:$E$405,G865,'Istoric_Nativ'!$D$6:$D$405,"&lt;"&amp;J865,'Istoric_Nativ'!$P$6:$P$405,1,'Istoric_Nativ'!$D$6:$D$405,"&gt;="&amp;L865)+SUMIFS('Istoric_Nativ'!$G$6:$G$405,'Istoric_Nativ'!$B$6:$B$405,E865,'Istoric_Nativ'!$C$6:$C$405,F865,'Istoric_Nativ'!$F$6:$F$405,G865,'Istoric_Nativ'!$D$6:$D$405,"&lt;"&amp;J865,'Istoric_Nativ'!$P$6:$P$405,1,'Istoric_Nativ'!$D$6:$D$405,"&gt;="&amp;L865)))/M865)</x:f>
      </x:c>
      <x:c r="P865" s="2" t="n">
        <x:f>'Config_v6'!$B$8</x:f>
        <x:v>5</x:v>
      </x:c>
      <x:c r="Q865" s="2" t="n">
        <x:f>IF(OR(B865="",F865=""),0,IFERROR(MATCH(E865&amp;"|"&amp;F865,SourceTable[Source_Key],0),0))</x:f>
        <x:v>0</x:v>
      </x:c>
      <x:c r="R865" s="2" t="str">
        <x:f>IF(B865="","",IF(F865="","UNUSED",IF(Q865=0,"NOT CHECKED",IF(COUNTIF(SourceTable[Source_Key],E865&amp;"|"&amp;F865)&lt;&gt;1,"SOURCE CONFLICT",IF(NOT(OR(INDEX(SourceTable[Status],MAX(1,Q865))="IMPORTED",INDEX(SourceTable[Status],MAX(1,Q865))="PARTIAL",INDEX(SourceTable[Status],MAX(1,Q865))="SOURCE CONFLICT")),"ACCESS BLOCKED",IF(OR(INDEX(SourceTable[Coverage],Q865)&lt;&gt;"FULL SEASON EXPORT",INDEX(SourceTable[URL],Q865)="",INDEX(SourceTable[SHA256],Q865)=""),"EVIDENCE INCOMPLETE",IF(AND('Input_Meci'!H77="LIVE",INDEX(SourceTable[Retrieved_UTC],Q865)&gt;'Input_Meci'!G77),"POST CUTOFF","CLOSED")))))))</x:f>
      </x:c>
      <x:c r="S865" s="2" t="n">
        <x:f>IF(OR(B865="",F865=""),0,COUNTIFS('Istoric_Nativ'!$B$6:$B$405,E865,'Istoric_Nativ'!$C$6:$C$405,F865,'Istoric_Nativ'!$E$6:$E$405,G865,'Istoric_Nativ'!$D$6:$D$405,"&lt;"&amp;J865,'Istoric_Nativ'!$O$6:$O$405,"INVALID")+COUNTIFS('Istoric_Nativ'!$B$6:$B$405,E865,'Istoric_Nativ'!$C$6:$C$405,F865,'Istoric_Nativ'!$E$6:$E$405,G865,'Istoric_Nativ'!$O$6:$O$405,"INVALID",'Istoric_Nativ'!$D$6:$D$405,"*")+COUNTIFS('Istoric_Nativ'!$B$6:$B$405,E865,'Istoric_Nativ'!$C$6:$C$405,F865,'Istoric_Nativ'!$E$6:$E$405,G865,'Istoric_Nativ'!$D$6:$D$405,"&lt;"&amp;J865,'Istoric_Nativ'!$O$6:$O$405,"SOURCE CONFLICT")+COUNTIFS('Istoric_Nativ'!$B$6:$B$405,E865,'Istoric_Nativ'!$C$6:$C$405,F865,'Istoric_Nativ'!$F$6:$F$405,G865,'Istoric_Nativ'!$D$6:$D$405,"&lt;"&amp;J865,'Istoric_Nativ'!$O$6:$O$405,"INVALID")+COUNTIFS('Istoric_Nativ'!$B$6:$B$405,E865,'Istoric_Nativ'!$C$6:$C$405,F865,'Istoric_Nativ'!$F$6:$F$405,G865,'Istoric_Nativ'!$O$6:$O$405,"INVALID",'Istoric_Nativ'!$D$6:$D$405,"*")+COUNTIFS('Istoric_Nativ'!$B$6:$B$405,E865,'Istoric_Nativ'!$C$6:$C$405,F865,'Istoric_Nativ'!$F$6:$F$405,G865,'Istoric_Nativ'!$D$6:$D$405,"&lt;"&amp;J865,'Istoric_Nativ'!$O$6:$O$405,"SOURCE CONFLICT"))</x:f>
        <x:v>0</x:v>
      </x:c>
      <x:c r="T865" s="2" t="str">
        <x:f>IF(B865="","",IF(R865&lt;&gt;"CLOSED",R865,IF(S865&gt;0,"NATIVE INPUT ISSUE",IF(M865=0,"NO HISTORY",IF(M865&lt;P865,"SMALL SAMPLE","DERIVED")))))</x:f>
      </x:c>
      <x:c r="U865" s="2" t="str">
        <x:f>IF(B865="","","NativeTable; "&amp;E865&amp;"; "&amp;F865&amp;"; "&amp;G865&amp;"; "&amp;H865&amp;"; before "&amp;TEXT(J865,"yyyy-mm-dd")&amp;IF(I865="RECENT","; from "&amp;TEXT(L865,"yyyy-mm-dd"),""))</x:f>
      </x:c>
    </x:row>
    <x:row r="866" ht="21" customHeight="1">
      <x:c r="A866" s="2" t="n">
        <x:v>72</x:v>
      </x:c>
      <x:c r="B866" s="2" t="str">
        <x:f>IF('Input_Meci'!A77="","",'Input_Meci'!A77)</x:f>
      </x:c>
      <x:c r="C866" s="2" t="str">
        <x:v>H</x:v>
      </x:c>
      <x:c r="D866" s="2" t="str">
        <x:v>PRIOR</x:v>
      </x:c>
      <x:c r="E866" s="2" t="str">
        <x:f>IF(B866="","",'Input_Meci'!B77)</x:f>
      </x:c>
      <x:c r="F866" s="2" t="str">
        <x:f>IF(B866="","",IF('Input_Meci'!K77="","",'Input_Meci'!K77))</x:f>
      </x:c>
      <x:c r="G866" s="2" t="str">
        <x:f>IF(B866="","",'Input_Meci'!D77)</x:f>
      </x:c>
      <x:c r="H866" s="2" t="str">
        <x:v>ANY</x:v>
      </x:c>
      <x:c r="I866" s="2" t="str">
        <x:v>RECENT</x:v>
      </x:c>
      <x:c r="J866" s="9" t="n">
        <x:f>IF(AND(B866&lt;&gt;"",ISNUMBER('Input_Meci'!G77)),INT('Input_Meci'!G77),0)</x:f>
        <x:v>0</x:v>
      </x:c>
      <x:c r="K866" s="2" t="n">
        <x:f>IF(OR(B866="",F866=""),0,IF(H866="HOME",COUNTIFS('Istoric_Nativ'!$B$6:$B$405,E866,'Istoric_Nativ'!$C$6:$C$405,F866,'Istoric_Nativ'!$E$6:$E$405,G866,'Istoric_Nativ'!$D$6:$D$405,"&lt;"&amp;J866,'Istoric_Nativ'!$P$6:$P$405,1),IF(H866="AWAY",COUNTIFS('Istoric_Nativ'!$B$6:$B$405,E866,'Istoric_Nativ'!$C$6:$C$405,F866,'Istoric_Nativ'!$F$6:$F$405,G866,'Istoric_Nativ'!$D$6:$D$405,"&lt;"&amp;J866,'Istoric_Nativ'!$P$6:$P$405,1),COUNTIFS('Istoric_Nativ'!$B$6:$B$405,E866,'Istoric_Nativ'!$C$6:$C$405,F866,'Istoric_Nativ'!$E$6:$E$405,G866,'Istoric_Nativ'!$D$6:$D$405,"&lt;"&amp;J866,'Istoric_Nativ'!$P$6:$P$405,1)+COUNTIFS('Istoric_Nativ'!$B$6:$B$405,E866,'Istoric_Nativ'!$C$6:$C$405,F866,'Istoric_Nativ'!$F$6:$F$405,G866,'Istoric_Nativ'!$D$6:$D$405,"&lt;"&amp;J866,'Istoric_Nativ'!$P$6:$P$405,1))))</x:f>
        <x:v>0</x:v>
      </x:c>
      <x:c r="L866" s="17" t="n">
        <x:f>IF(AND(B866&lt;&gt;"",I866="RECENT",K866&gt;0),LARGE(_xlfn._xlws.FILTER('Istoric_Nativ'!$D$6:$D$405,('Istoric_Nativ'!$B$6:$B$405=E866)*('Istoric_Nativ'!$C$6:$C$405=F866)*('Istoric_Nativ'!$P$6:$P$405=1)*('Istoric_Nativ'!$D$6:$D$405&lt;J866)*((('Istoric_Nativ'!$E$6:$E$405=G866)+('Istoric_Nativ'!$F$6:$F$405=G866))&gt;0)),MIN('Config_v6'!$B$54,K866)),0)</x:f>
        <x:v>0</x:v>
      </x:c>
      <x:c r="M866" s="2" t="n">
        <x:f>IF(OR(B866="",F866=""),0,IF(H866="HOME",COUNTIFS('Istoric_Nativ'!$B$6:$B$405,E866,'Istoric_Nativ'!$C$6:$C$405,F866,'Istoric_Nativ'!$E$6:$E$405,G866,'Istoric_Nativ'!$D$6:$D$405,"&lt;"&amp;J866,'Istoric_Nativ'!$P$6:$P$405,1,'Istoric_Nativ'!$D$6:$D$405,"&gt;="&amp;L866),IF(H866="AWAY",COUNTIFS('Istoric_Nativ'!$B$6:$B$405,E866,'Istoric_Nativ'!$C$6:$C$405,F866,'Istoric_Nativ'!$F$6:$F$405,G866,'Istoric_Nativ'!$D$6:$D$405,"&lt;"&amp;J866,'Istoric_Nativ'!$P$6:$P$405,1,'Istoric_Nativ'!$D$6:$D$405,"&gt;="&amp;L866),COUNTIFS('Istoric_Nativ'!$B$6:$B$405,E866,'Istoric_Nativ'!$C$6:$C$405,F866,'Istoric_Nativ'!$E$6:$E$405,G866,'Istoric_Nativ'!$D$6:$D$405,"&lt;"&amp;J866,'Istoric_Nativ'!$P$6:$P$405,1,'Istoric_Nativ'!$D$6:$D$405,"&gt;="&amp;L866)+COUNTIFS('Istoric_Nativ'!$B$6:$B$405,E866,'Istoric_Nativ'!$C$6:$C$405,F866,'Istoric_Nativ'!$F$6:$F$405,G866,'Istoric_Nativ'!$D$6:$D$405,"&lt;"&amp;J866,'Istoric_Nativ'!$P$6:$P$405,1,'Istoric_Nativ'!$D$6:$D$405,"&gt;="&amp;L866))))</x:f>
        <x:v>0</x:v>
      </x:c>
      <x:c r="N866" s="11" t="str">
        <x:f>IF(M866=0,"",IF(H866="HOME",SUMIFS('Istoric_Nativ'!$G$6:$G$405,'Istoric_Nativ'!$B$6:$B$405,E866,'Istoric_Nativ'!$C$6:$C$405,F866,'Istoric_Nativ'!$E$6:$E$405,G866,'Istoric_Nativ'!$D$6:$D$405,"&lt;"&amp;J866,'Istoric_Nativ'!$P$6:$P$405,1,'Istoric_Nativ'!$D$6:$D$405,"&gt;="&amp;L866),IF(H866="AWAY",SUMIFS('Istoric_Nativ'!$H$6:$H$405,'Istoric_Nativ'!$B$6:$B$405,E866,'Istoric_Nativ'!$C$6:$C$405,F866,'Istoric_Nativ'!$F$6:$F$405,G866,'Istoric_Nativ'!$D$6:$D$405,"&lt;"&amp;J866,'Istoric_Nativ'!$P$6:$P$405,1,'Istoric_Nativ'!$D$6:$D$405,"&gt;="&amp;L866),SUMIFS('Istoric_Nativ'!$G$6:$G$405,'Istoric_Nativ'!$B$6:$B$405,E866,'Istoric_Nativ'!$C$6:$C$405,F866,'Istoric_Nativ'!$E$6:$E$405,G866,'Istoric_Nativ'!$D$6:$D$405,"&lt;"&amp;J866,'Istoric_Nativ'!$P$6:$P$405,1,'Istoric_Nativ'!$D$6:$D$405,"&gt;="&amp;L866)+SUMIFS('Istoric_Nativ'!$H$6:$H$405,'Istoric_Nativ'!$B$6:$B$405,E866,'Istoric_Nativ'!$C$6:$C$405,F866,'Istoric_Nativ'!$F$6:$F$405,G866,'Istoric_Nativ'!$D$6:$D$405,"&lt;"&amp;J866,'Istoric_Nativ'!$P$6:$P$405,1,'Istoric_Nativ'!$D$6:$D$405,"&gt;="&amp;L866)))/M866)</x:f>
      </x:c>
      <x:c r="O866" s="11" t="str">
        <x:f>IF(M866=0,"",IF(H866="HOME",SUMIFS('Istoric_Nativ'!$H$6:$H$405,'Istoric_Nativ'!$B$6:$B$405,E866,'Istoric_Nativ'!$C$6:$C$405,F866,'Istoric_Nativ'!$E$6:$E$405,G866,'Istoric_Nativ'!$D$6:$D$405,"&lt;"&amp;J866,'Istoric_Nativ'!$P$6:$P$405,1,'Istoric_Nativ'!$D$6:$D$405,"&gt;="&amp;L866),IF(H866="AWAY",SUMIFS('Istoric_Nativ'!$G$6:$G$405,'Istoric_Nativ'!$B$6:$B$405,E866,'Istoric_Nativ'!$C$6:$C$405,F866,'Istoric_Nativ'!$F$6:$F$405,G866,'Istoric_Nativ'!$D$6:$D$405,"&lt;"&amp;J866,'Istoric_Nativ'!$P$6:$P$405,1,'Istoric_Nativ'!$D$6:$D$405,"&gt;="&amp;L866),SUMIFS('Istoric_Nativ'!$H$6:$H$405,'Istoric_Nativ'!$B$6:$B$405,E866,'Istoric_Nativ'!$C$6:$C$405,F866,'Istoric_Nativ'!$E$6:$E$405,G866,'Istoric_Nativ'!$D$6:$D$405,"&lt;"&amp;J866,'Istoric_Nativ'!$P$6:$P$405,1,'Istoric_Nativ'!$D$6:$D$405,"&gt;="&amp;L866)+SUMIFS('Istoric_Nativ'!$G$6:$G$405,'Istoric_Nativ'!$B$6:$B$405,E866,'Istoric_Nativ'!$C$6:$C$405,F866,'Istoric_Nativ'!$F$6:$F$405,G866,'Istoric_Nativ'!$D$6:$D$405,"&lt;"&amp;J866,'Istoric_Nativ'!$P$6:$P$405,1,'Istoric_Nativ'!$D$6:$D$405,"&gt;="&amp;L866)))/M866)</x:f>
      </x:c>
      <x:c r="P866" s="2" t="n">
        <x:f>'Config_v6'!$B$9</x:f>
        <x:v>3</x:v>
      </x:c>
      <x:c r="Q866" s="2" t="n">
        <x:f>IF(OR(B866="",F866=""),0,IFERROR(MATCH(E866&amp;"|"&amp;F866,SourceTable[Source_Key],0),0))</x:f>
        <x:v>0</x:v>
      </x:c>
      <x:c r="R866" s="2" t="str">
        <x:f>IF(B866="","",IF(F866="","UNUSED",IF(Q866=0,"NOT CHECKED",IF(COUNTIF(SourceTable[Source_Key],E866&amp;"|"&amp;F866)&lt;&gt;1,"SOURCE CONFLICT",IF(NOT(OR(INDEX(SourceTable[Status],MAX(1,Q866))="IMPORTED",INDEX(SourceTable[Status],MAX(1,Q866))="PARTIAL",INDEX(SourceTable[Status],MAX(1,Q866))="SOURCE CONFLICT")),"ACCESS BLOCKED",IF(OR(INDEX(SourceTable[Coverage],Q866)&lt;&gt;"FULL SEASON EXPORT",INDEX(SourceTable[URL],Q866)="",INDEX(SourceTable[SHA256],Q866)=""),"EVIDENCE INCOMPLETE",IF(AND('Input_Meci'!H77="LIVE",INDEX(SourceTable[Retrieved_UTC],Q866)&gt;'Input_Meci'!G77),"POST CUTOFF","CLOSED")))))))</x:f>
      </x:c>
      <x:c r="S866" s="2" t="n">
        <x:f>IF(OR(B866="",F866=""),0,COUNTIFS('Istoric_Nativ'!$B$6:$B$405,E866,'Istoric_Nativ'!$C$6:$C$405,F866,'Istoric_Nativ'!$E$6:$E$405,G866,'Istoric_Nativ'!$D$6:$D$405,"&lt;"&amp;J866,'Istoric_Nativ'!$O$6:$O$405,"INVALID")+COUNTIFS('Istoric_Nativ'!$B$6:$B$405,E866,'Istoric_Nativ'!$C$6:$C$405,F866,'Istoric_Nativ'!$E$6:$E$405,G866,'Istoric_Nativ'!$O$6:$O$405,"INVALID",'Istoric_Nativ'!$D$6:$D$405,"*")+COUNTIFS('Istoric_Nativ'!$B$6:$B$405,E866,'Istoric_Nativ'!$C$6:$C$405,F866,'Istoric_Nativ'!$E$6:$E$405,G866,'Istoric_Nativ'!$D$6:$D$405,"&lt;"&amp;J866,'Istoric_Nativ'!$O$6:$O$405,"SOURCE CONFLICT")+COUNTIFS('Istoric_Nativ'!$B$6:$B$405,E866,'Istoric_Nativ'!$C$6:$C$405,F866,'Istoric_Nativ'!$F$6:$F$405,G866,'Istoric_Nativ'!$D$6:$D$405,"&lt;"&amp;J866,'Istoric_Nativ'!$O$6:$O$405,"INVALID")+COUNTIFS('Istoric_Nativ'!$B$6:$B$405,E866,'Istoric_Nativ'!$C$6:$C$405,F866,'Istoric_Nativ'!$F$6:$F$405,G866,'Istoric_Nativ'!$O$6:$O$405,"INVALID",'Istoric_Nativ'!$D$6:$D$405,"*")+COUNTIFS('Istoric_Nativ'!$B$6:$B$405,E866,'Istoric_Nativ'!$C$6:$C$405,F866,'Istoric_Nativ'!$F$6:$F$405,G866,'Istoric_Nativ'!$D$6:$D$405,"&lt;"&amp;J866,'Istoric_Nativ'!$O$6:$O$405,"SOURCE CONFLICT"))</x:f>
        <x:v>0</x:v>
      </x:c>
      <x:c r="T866" s="2" t="str">
        <x:f>IF(B866="","",IF(R866&lt;&gt;"CLOSED",R866,IF(S866&gt;0,"NATIVE INPUT ISSUE",IF(M866=0,"NO HISTORY",IF(M866&lt;P866,"SMALL SAMPLE","DERIVED")))))</x:f>
      </x:c>
      <x:c r="U866" s="2" t="str">
        <x:f>IF(B866="","","NativeTable; "&amp;E866&amp;"; "&amp;F866&amp;"; "&amp;G866&amp;"; "&amp;H866&amp;"; before "&amp;TEXT(J866,"yyyy-mm-dd")&amp;IF(I866="RECENT","; from "&amp;TEXT(L866,"yyyy-mm-dd"),""))</x:f>
      </x:c>
    </x:row>
    <x:row r="867" ht="21" customHeight="1">
      <x:c r="A867" s="2" t="n">
        <x:v>72</x:v>
      </x:c>
      <x:c r="B867" s="2" t="str">
        <x:f>IF('Input_Meci'!A77="","",'Input_Meci'!A77)</x:f>
      </x:c>
      <x:c r="C867" s="2" t="str">
        <x:v>A</x:v>
      </x:c>
      <x:c r="D867" s="2" t="str">
        <x:v>PRIOR</x:v>
      </x:c>
      <x:c r="E867" s="2" t="str">
        <x:f>IF(B867="","",'Input_Meci'!B77)</x:f>
      </x:c>
      <x:c r="F867" s="2" t="str">
        <x:f>IF(B867="","",IF('Input_Meci'!K77="","",'Input_Meci'!K77))</x:f>
      </x:c>
      <x:c r="G867" s="2" t="str">
        <x:f>IF(B867="","",'Input_Meci'!E77)</x:f>
      </x:c>
      <x:c r="H867" s="2" t="str">
        <x:v>ANY</x:v>
      </x:c>
      <x:c r="I867" s="2" t="str">
        <x:v>SEASON</x:v>
      </x:c>
      <x:c r="J867" s="9" t="n">
        <x:f>IF(AND(B867&lt;&gt;"",ISNUMBER('Input_Meci'!G77)),INT('Input_Meci'!G77),0)</x:f>
        <x:v>0</x:v>
      </x:c>
      <x:c r="K867" s="2" t="n">
        <x:f>IF(OR(B867="",F867=""),0,IF(H867="HOME",COUNTIFS('Istoric_Nativ'!$B$6:$B$405,E867,'Istoric_Nativ'!$C$6:$C$405,F867,'Istoric_Nativ'!$E$6:$E$405,G867,'Istoric_Nativ'!$D$6:$D$405,"&lt;"&amp;J867,'Istoric_Nativ'!$P$6:$P$405,1),IF(H867="AWAY",COUNTIFS('Istoric_Nativ'!$B$6:$B$405,E867,'Istoric_Nativ'!$C$6:$C$405,F867,'Istoric_Nativ'!$F$6:$F$405,G867,'Istoric_Nativ'!$D$6:$D$405,"&lt;"&amp;J867,'Istoric_Nativ'!$P$6:$P$405,1),COUNTIFS('Istoric_Nativ'!$B$6:$B$405,E867,'Istoric_Nativ'!$C$6:$C$405,F867,'Istoric_Nativ'!$E$6:$E$405,G867,'Istoric_Nativ'!$D$6:$D$405,"&lt;"&amp;J867,'Istoric_Nativ'!$P$6:$P$405,1)+COUNTIFS('Istoric_Nativ'!$B$6:$B$405,E867,'Istoric_Nativ'!$C$6:$C$405,F867,'Istoric_Nativ'!$F$6:$F$405,G867,'Istoric_Nativ'!$D$6:$D$405,"&lt;"&amp;J867,'Istoric_Nativ'!$P$6:$P$405,1))))</x:f>
        <x:v>0</x:v>
      </x:c>
      <x:c r="L867" s="17" t="n">
        <x:f>IF(AND(B867&lt;&gt;"",I867="RECENT",K867&gt;0),LARGE(_xlfn._xlws.FILTER('Istoric_Nativ'!$D$6:$D$405,('Istoric_Nativ'!$B$6:$B$405=E867)*('Istoric_Nativ'!$C$6:$C$405=F867)*('Istoric_Nativ'!$P$6:$P$405=1)*('Istoric_Nativ'!$D$6:$D$405&lt;J867)*((('Istoric_Nativ'!$E$6:$E$405=G867)+('Istoric_Nativ'!$F$6:$F$405=G867))&gt;0)),MIN('Config_v6'!$B$54,K867)),0)</x:f>
        <x:v>0</x:v>
      </x:c>
      <x:c r="M867" s="2" t="n">
        <x:f>IF(OR(B867="",F867=""),0,IF(H867="HOME",COUNTIFS('Istoric_Nativ'!$B$6:$B$405,E867,'Istoric_Nativ'!$C$6:$C$405,F867,'Istoric_Nativ'!$E$6:$E$405,G867,'Istoric_Nativ'!$D$6:$D$405,"&lt;"&amp;J867,'Istoric_Nativ'!$P$6:$P$405,1,'Istoric_Nativ'!$D$6:$D$405,"&gt;="&amp;L867),IF(H867="AWAY",COUNTIFS('Istoric_Nativ'!$B$6:$B$405,E867,'Istoric_Nativ'!$C$6:$C$405,F867,'Istoric_Nativ'!$F$6:$F$405,G867,'Istoric_Nativ'!$D$6:$D$405,"&lt;"&amp;J867,'Istoric_Nativ'!$P$6:$P$405,1,'Istoric_Nativ'!$D$6:$D$405,"&gt;="&amp;L867),COUNTIFS('Istoric_Nativ'!$B$6:$B$405,E867,'Istoric_Nativ'!$C$6:$C$405,F867,'Istoric_Nativ'!$E$6:$E$405,G867,'Istoric_Nativ'!$D$6:$D$405,"&lt;"&amp;J867,'Istoric_Nativ'!$P$6:$P$405,1,'Istoric_Nativ'!$D$6:$D$405,"&gt;="&amp;L867)+COUNTIFS('Istoric_Nativ'!$B$6:$B$405,E867,'Istoric_Nativ'!$C$6:$C$405,F867,'Istoric_Nativ'!$F$6:$F$405,G867,'Istoric_Nativ'!$D$6:$D$405,"&lt;"&amp;J867,'Istoric_Nativ'!$P$6:$P$405,1,'Istoric_Nativ'!$D$6:$D$405,"&gt;="&amp;L867))))</x:f>
        <x:v>0</x:v>
      </x:c>
      <x:c r="N867" s="11" t="str">
        <x:f>IF(M867=0,"",IF(H867="HOME",SUMIFS('Istoric_Nativ'!$G$6:$G$405,'Istoric_Nativ'!$B$6:$B$405,E867,'Istoric_Nativ'!$C$6:$C$405,F867,'Istoric_Nativ'!$E$6:$E$405,G867,'Istoric_Nativ'!$D$6:$D$405,"&lt;"&amp;J867,'Istoric_Nativ'!$P$6:$P$405,1,'Istoric_Nativ'!$D$6:$D$405,"&gt;="&amp;L867),IF(H867="AWAY",SUMIFS('Istoric_Nativ'!$H$6:$H$405,'Istoric_Nativ'!$B$6:$B$405,E867,'Istoric_Nativ'!$C$6:$C$405,F867,'Istoric_Nativ'!$F$6:$F$405,G867,'Istoric_Nativ'!$D$6:$D$405,"&lt;"&amp;J867,'Istoric_Nativ'!$P$6:$P$405,1,'Istoric_Nativ'!$D$6:$D$405,"&gt;="&amp;L867),SUMIFS('Istoric_Nativ'!$G$6:$G$405,'Istoric_Nativ'!$B$6:$B$405,E867,'Istoric_Nativ'!$C$6:$C$405,F867,'Istoric_Nativ'!$E$6:$E$405,G867,'Istoric_Nativ'!$D$6:$D$405,"&lt;"&amp;J867,'Istoric_Nativ'!$P$6:$P$405,1,'Istoric_Nativ'!$D$6:$D$405,"&gt;="&amp;L867)+SUMIFS('Istoric_Nativ'!$H$6:$H$405,'Istoric_Nativ'!$B$6:$B$405,E867,'Istoric_Nativ'!$C$6:$C$405,F867,'Istoric_Nativ'!$F$6:$F$405,G867,'Istoric_Nativ'!$D$6:$D$405,"&lt;"&amp;J867,'Istoric_Nativ'!$P$6:$P$405,1,'Istoric_Nativ'!$D$6:$D$405,"&gt;="&amp;L867)))/M867)</x:f>
      </x:c>
      <x:c r="O867" s="11" t="str">
        <x:f>IF(M867=0,"",IF(H867="HOME",SUMIFS('Istoric_Nativ'!$H$6:$H$405,'Istoric_Nativ'!$B$6:$B$405,E867,'Istoric_Nativ'!$C$6:$C$405,F867,'Istoric_Nativ'!$E$6:$E$405,G867,'Istoric_Nativ'!$D$6:$D$405,"&lt;"&amp;J867,'Istoric_Nativ'!$P$6:$P$405,1,'Istoric_Nativ'!$D$6:$D$405,"&gt;="&amp;L867),IF(H867="AWAY",SUMIFS('Istoric_Nativ'!$G$6:$G$405,'Istoric_Nativ'!$B$6:$B$405,E867,'Istoric_Nativ'!$C$6:$C$405,F867,'Istoric_Nativ'!$F$6:$F$405,G867,'Istoric_Nativ'!$D$6:$D$405,"&lt;"&amp;J867,'Istoric_Nativ'!$P$6:$P$405,1,'Istoric_Nativ'!$D$6:$D$405,"&gt;="&amp;L867),SUMIFS('Istoric_Nativ'!$H$6:$H$405,'Istoric_Nativ'!$B$6:$B$405,E867,'Istoric_Nativ'!$C$6:$C$405,F867,'Istoric_Nativ'!$E$6:$E$405,G867,'Istoric_Nativ'!$D$6:$D$405,"&lt;"&amp;J867,'Istoric_Nativ'!$P$6:$P$405,1,'Istoric_Nativ'!$D$6:$D$405,"&gt;="&amp;L867)+SUMIFS('Istoric_Nativ'!$G$6:$G$405,'Istoric_Nativ'!$B$6:$B$405,E867,'Istoric_Nativ'!$C$6:$C$405,F867,'Istoric_Nativ'!$F$6:$F$405,G867,'Istoric_Nativ'!$D$6:$D$405,"&lt;"&amp;J867,'Istoric_Nativ'!$P$6:$P$405,1,'Istoric_Nativ'!$D$6:$D$405,"&gt;="&amp;L867)))/M867)</x:f>
      </x:c>
      <x:c r="P867" s="2" t="n">
        <x:f>'Config_v6'!$B$7</x:f>
        <x:v>10</x:v>
      </x:c>
      <x:c r="Q867" s="2" t="n">
        <x:f>IF(OR(B867="",F867=""),0,IFERROR(MATCH(E867&amp;"|"&amp;F867,SourceTable[Source_Key],0),0))</x:f>
        <x:v>0</x:v>
      </x:c>
      <x:c r="R867" s="2" t="str">
        <x:f>IF(B867="","",IF(F867="","UNUSED",IF(Q867=0,"NOT CHECKED",IF(COUNTIF(SourceTable[Source_Key],E867&amp;"|"&amp;F867)&lt;&gt;1,"SOURCE CONFLICT",IF(NOT(OR(INDEX(SourceTable[Status],MAX(1,Q867))="IMPORTED",INDEX(SourceTable[Status],MAX(1,Q867))="PARTIAL",INDEX(SourceTable[Status],MAX(1,Q867))="SOURCE CONFLICT")),"ACCESS BLOCKED",IF(OR(INDEX(SourceTable[Coverage],Q867)&lt;&gt;"FULL SEASON EXPORT",INDEX(SourceTable[URL],Q867)="",INDEX(SourceTable[SHA256],Q867)=""),"EVIDENCE INCOMPLETE",IF(AND('Input_Meci'!H77="LIVE",INDEX(SourceTable[Retrieved_UTC],Q867)&gt;'Input_Meci'!G77),"POST CUTOFF","CLOSED")))))))</x:f>
      </x:c>
      <x:c r="S867" s="2" t="n">
        <x:f>IF(OR(B867="",F867=""),0,COUNTIFS('Istoric_Nativ'!$B$6:$B$405,E867,'Istoric_Nativ'!$C$6:$C$405,F867,'Istoric_Nativ'!$E$6:$E$405,G867,'Istoric_Nativ'!$D$6:$D$405,"&lt;"&amp;J867,'Istoric_Nativ'!$O$6:$O$405,"INVALID")+COUNTIFS('Istoric_Nativ'!$B$6:$B$405,E867,'Istoric_Nativ'!$C$6:$C$405,F867,'Istoric_Nativ'!$E$6:$E$405,G867,'Istoric_Nativ'!$O$6:$O$405,"INVALID",'Istoric_Nativ'!$D$6:$D$405,"*")+COUNTIFS('Istoric_Nativ'!$B$6:$B$405,E867,'Istoric_Nativ'!$C$6:$C$405,F867,'Istoric_Nativ'!$E$6:$E$405,G867,'Istoric_Nativ'!$D$6:$D$405,"&lt;"&amp;J867,'Istoric_Nativ'!$O$6:$O$405,"SOURCE CONFLICT")+COUNTIFS('Istoric_Nativ'!$B$6:$B$405,E867,'Istoric_Nativ'!$C$6:$C$405,F867,'Istoric_Nativ'!$F$6:$F$405,G867,'Istoric_Nativ'!$D$6:$D$405,"&lt;"&amp;J867,'Istoric_Nativ'!$O$6:$O$405,"INVALID")+COUNTIFS('Istoric_Nativ'!$B$6:$B$405,E867,'Istoric_Nativ'!$C$6:$C$405,F867,'Istoric_Nativ'!$F$6:$F$405,G867,'Istoric_Nativ'!$O$6:$O$405,"INVALID",'Istoric_Nativ'!$D$6:$D$405,"*")+COUNTIFS('Istoric_Nativ'!$B$6:$B$405,E867,'Istoric_Nativ'!$C$6:$C$405,F867,'Istoric_Nativ'!$F$6:$F$405,G867,'Istoric_Nativ'!$D$6:$D$405,"&lt;"&amp;J867,'Istoric_Nativ'!$O$6:$O$405,"SOURCE CONFLICT"))</x:f>
        <x:v>0</x:v>
      </x:c>
      <x:c r="T867" s="2" t="str">
        <x:f>IF(B867="","",IF(R867&lt;&gt;"CLOSED",R867,IF(S867&gt;0,"NATIVE INPUT ISSUE",IF(M867=0,"NO HISTORY",IF(M867&lt;P867,"SMALL SAMPLE","DERIVED")))))</x:f>
      </x:c>
      <x:c r="U867" s="2" t="str">
        <x:f>IF(B867="","","NativeTable; "&amp;E867&amp;"; "&amp;F867&amp;"; "&amp;G867&amp;"; "&amp;H867&amp;"; before "&amp;TEXT(J867,"yyyy-mm-dd")&amp;IF(I867="RECENT","; from "&amp;TEXT(L867,"yyyy-mm-dd"),""))</x:f>
      </x:c>
    </x:row>
    <x:row r="868" ht="21" customHeight="1">
      <x:c r="A868" s="2" t="n">
        <x:v>72</x:v>
      </x:c>
      <x:c r="B868" s="2" t="str">
        <x:f>IF('Input_Meci'!A77="","",'Input_Meci'!A77)</x:f>
      </x:c>
      <x:c r="C868" s="2" t="str">
        <x:v>A</x:v>
      </x:c>
      <x:c r="D868" s="2" t="str">
        <x:v>PRIOR</x:v>
      </x:c>
      <x:c r="E868" s="2" t="str">
        <x:f>IF(B868="","",'Input_Meci'!B77)</x:f>
      </x:c>
      <x:c r="F868" s="2" t="str">
        <x:f>IF(B868="","",IF('Input_Meci'!K77="","",'Input_Meci'!K77))</x:f>
      </x:c>
      <x:c r="G868" s="2" t="str">
        <x:f>IF(B868="","",'Input_Meci'!E77)</x:f>
      </x:c>
      <x:c r="H868" s="2" t="str">
        <x:v>AWAY</x:v>
      </x:c>
      <x:c r="I868" s="2" t="str">
        <x:v>HA</x:v>
      </x:c>
      <x:c r="J868" s="9" t="n">
        <x:f>IF(AND(B868&lt;&gt;"",ISNUMBER('Input_Meci'!G77)),INT('Input_Meci'!G77),0)</x:f>
        <x:v>0</x:v>
      </x:c>
      <x:c r="K868" s="2" t="n">
        <x:f>IF(OR(B868="",F868=""),0,IF(H868="HOME",COUNTIFS('Istoric_Nativ'!$B$6:$B$405,E868,'Istoric_Nativ'!$C$6:$C$405,F868,'Istoric_Nativ'!$E$6:$E$405,G868,'Istoric_Nativ'!$D$6:$D$405,"&lt;"&amp;J868,'Istoric_Nativ'!$P$6:$P$405,1),IF(H868="AWAY",COUNTIFS('Istoric_Nativ'!$B$6:$B$405,E868,'Istoric_Nativ'!$C$6:$C$405,F868,'Istoric_Nativ'!$F$6:$F$405,G868,'Istoric_Nativ'!$D$6:$D$405,"&lt;"&amp;J868,'Istoric_Nativ'!$P$6:$P$405,1),COUNTIFS('Istoric_Nativ'!$B$6:$B$405,E868,'Istoric_Nativ'!$C$6:$C$405,F868,'Istoric_Nativ'!$E$6:$E$405,G868,'Istoric_Nativ'!$D$6:$D$405,"&lt;"&amp;J868,'Istoric_Nativ'!$P$6:$P$405,1)+COUNTIFS('Istoric_Nativ'!$B$6:$B$405,E868,'Istoric_Nativ'!$C$6:$C$405,F868,'Istoric_Nativ'!$F$6:$F$405,G868,'Istoric_Nativ'!$D$6:$D$405,"&lt;"&amp;J868,'Istoric_Nativ'!$P$6:$P$405,1))))</x:f>
        <x:v>0</x:v>
      </x:c>
      <x:c r="L868" s="17" t="n">
        <x:f>IF(AND(B868&lt;&gt;"",I868="RECENT",K868&gt;0),LARGE(_xlfn._xlws.FILTER('Istoric_Nativ'!$D$6:$D$405,('Istoric_Nativ'!$B$6:$B$405=E868)*('Istoric_Nativ'!$C$6:$C$405=F868)*('Istoric_Nativ'!$P$6:$P$405=1)*('Istoric_Nativ'!$D$6:$D$405&lt;J868)*((('Istoric_Nativ'!$E$6:$E$405=G868)+('Istoric_Nativ'!$F$6:$F$405=G868))&gt;0)),MIN('Config_v6'!$B$54,K868)),0)</x:f>
        <x:v>0</x:v>
      </x:c>
      <x:c r="M868" s="2" t="n">
        <x:f>IF(OR(B868="",F868=""),0,IF(H868="HOME",COUNTIFS('Istoric_Nativ'!$B$6:$B$405,E868,'Istoric_Nativ'!$C$6:$C$405,F868,'Istoric_Nativ'!$E$6:$E$405,G868,'Istoric_Nativ'!$D$6:$D$405,"&lt;"&amp;J868,'Istoric_Nativ'!$P$6:$P$405,1,'Istoric_Nativ'!$D$6:$D$405,"&gt;="&amp;L868),IF(H868="AWAY",COUNTIFS('Istoric_Nativ'!$B$6:$B$405,E868,'Istoric_Nativ'!$C$6:$C$405,F868,'Istoric_Nativ'!$F$6:$F$405,G868,'Istoric_Nativ'!$D$6:$D$405,"&lt;"&amp;J868,'Istoric_Nativ'!$P$6:$P$405,1,'Istoric_Nativ'!$D$6:$D$405,"&gt;="&amp;L868),COUNTIFS('Istoric_Nativ'!$B$6:$B$405,E868,'Istoric_Nativ'!$C$6:$C$405,F868,'Istoric_Nativ'!$E$6:$E$405,G868,'Istoric_Nativ'!$D$6:$D$405,"&lt;"&amp;J868,'Istoric_Nativ'!$P$6:$P$405,1,'Istoric_Nativ'!$D$6:$D$405,"&gt;="&amp;L868)+COUNTIFS('Istoric_Nativ'!$B$6:$B$405,E868,'Istoric_Nativ'!$C$6:$C$405,F868,'Istoric_Nativ'!$F$6:$F$405,G868,'Istoric_Nativ'!$D$6:$D$405,"&lt;"&amp;J868,'Istoric_Nativ'!$P$6:$P$405,1,'Istoric_Nativ'!$D$6:$D$405,"&gt;="&amp;L868))))</x:f>
        <x:v>0</x:v>
      </x:c>
      <x:c r="N868" s="11" t="str">
        <x:f>IF(M868=0,"",IF(H868="HOME",SUMIFS('Istoric_Nativ'!$G$6:$G$405,'Istoric_Nativ'!$B$6:$B$405,E868,'Istoric_Nativ'!$C$6:$C$405,F868,'Istoric_Nativ'!$E$6:$E$405,G868,'Istoric_Nativ'!$D$6:$D$405,"&lt;"&amp;J868,'Istoric_Nativ'!$P$6:$P$405,1,'Istoric_Nativ'!$D$6:$D$405,"&gt;="&amp;L868),IF(H868="AWAY",SUMIFS('Istoric_Nativ'!$H$6:$H$405,'Istoric_Nativ'!$B$6:$B$405,E868,'Istoric_Nativ'!$C$6:$C$405,F868,'Istoric_Nativ'!$F$6:$F$405,G868,'Istoric_Nativ'!$D$6:$D$405,"&lt;"&amp;J868,'Istoric_Nativ'!$P$6:$P$405,1,'Istoric_Nativ'!$D$6:$D$405,"&gt;="&amp;L868),SUMIFS('Istoric_Nativ'!$G$6:$G$405,'Istoric_Nativ'!$B$6:$B$405,E868,'Istoric_Nativ'!$C$6:$C$405,F868,'Istoric_Nativ'!$E$6:$E$405,G868,'Istoric_Nativ'!$D$6:$D$405,"&lt;"&amp;J868,'Istoric_Nativ'!$P$6:$P$405,1,'Istoric_Nativ'!$D$6:$D$405,"&gt;="&amp;L868)+SUMIFS('Istoric_Nativ'!$H$6:$H$405,'Istoric_Nativ'!$B$6:$B$405,E868,'Istoric_Nativ'!$C$6:$C$405,F868,'Istoric_Nativ'!$F$6:$F$405,G868,'Istoric_Nativ'!$D$6:$D$405,"&lt;"&amp;J868,'Istoric_Nativ'!$P$6:$P$405,1,'Istoric_Nativ'!$D$6:$D$405,"&gt;="&amp;L868)))/M868)</x:f>
      </x:c>
      <x:c r="O868" s="11" t="str">
        <x:f>IF(M868=0,"",IF(H868="HOME",SUMIFS('Istoric_Nativ'!$H$6:$H$405,'Istoric_Nativ'!$B$6:$B$405,E868,'Istoric_Nativ'!$C$6:$C$405,F868,'Istoric_Nativ'!$E$6:$E$405,G868,'Istoric_Nativ'!$D$6:$D$405,"&lt;"&amp;J868,'Istoric_Nativ'!$P$6:$P$405,1,'Istoric_Nativ'!$D$6:$D$405,"&gt;="&amp;L868),IF(H868="AWAY",SUMIFS('Istoric_Nativ'!$G$6:$G$405,'Istoric_Nativ'!$B$6:$B$405,E868,'Istoric_Nativ'!$C$6:$C$405,F868,'Istoric_Nativ'!$F$6:$F$405,G868,'Istoric_Nativ'!$D$6:$D$405,"&lt;"&amp;J868,'Istoric_Nativ'!$P$6:$P$405,1,'Istoric_Nativ'!$D$6:$D$405,"&gt;="&amp;L868),SUMIFS('Istoric_Nativ'!$H$6:$H$405,'Istoric_Nativ'!$B$6:$B$405,E868,'Istoric_Nativ'!$C$6:$C$405,F868,'Istoric_Nativ'!$E$6:$E$405,G868,'Istoric_Nativ'!$D$6:$D$405,"&lt;"&amp;J868,'Istoric_Nativ'!$P$6:$P$405,1,'Istoric_Nativ'!$D$6:$D$405,"&gt;="&amp;L868)+SUMIFS('Istoric_Nativ'!$G$6:$G$405,'Istoric_Nativ'!$B$6:$B$405,E868,'Istoric_Nativ'!$C$6:$C$405,F868,'Istoric_Nativ'!$F$6:$F$405,G868,'Istoric_Nativ'!$D$6:$D$405,"&lt;"&amp;J868,'Istoric_Nativ'!$P$6:$P$405,1,'Istoric_Nativ'!$D$6:$D$405,"&gt;="&amp;L868)))/M868)</x:f>
      </x:c>
      <x:c r="P868" s="2" t="n">
        <x:f>'Config_v6'!$B$8</x:f>
        <x:v>5</x:v>
      </x:c>
      <x:c r="Q868" s="2" t="n">
        <x:f>IF(OR(B868="",F868=""),0,IFERROR(MATCH(E868&amp;"|"&amp;F868,SourceTable[Source_Key],0),0))</x:f>
        <x:v>0</x:v>
      </x:c>
      <x:c r="R868" s="2" t="str">
        <x:f>IF(B868="","",IF(F868="","UNUSED",IF(Q868=0,"NOT CHECKED",IF(COUNTIF(SourceTable[Source_Key],E868&amp;"|"&amp;F868)&lt;&gt;1,"SOURCE CONFLICT",IF(NOT(OR(INDEX(SourceTable[Status],MAX(1,Q868))="IMPORTED",INDEX(SourceTable[Status],MAX(1,Q868))="PARTIAL",INDEX(SourceTable[Status],MAX(1,Q868))="SOURCE CONFLICT")),"ACCESS BLOCKED",IF(OR(INDEX(SourceTable[Coverage],Q868)&lt;&gt;"FULL SEASON EXPORT",INDEX(SourceTable[URL],Q868)="",INDEX(SourceTable[SHA256],Q868)=""),"EVIDENCE INCOMPLETE",IF(AND('Input_Meci'!H77="LIVE",INDEX(SourceTable[Retrieved_UTC],Q868)&gt;'Input_Meci'!G77),"POST CUTOFF","CLOSED")))))))</x:f>
      </x:c>
      <x:c r="S868" s="2" t="n">
        <x:f>IF(OR(B868="",F868=""),0,COUNTIFS('Istoric_Nativ'!$B$6:$B$405,E868,'Istoric_Nativ'!$C$6:$C$405,F868,'Istoric_Nativ'!$E$6:$E$405,G868,'Istoric_Nativ'!$D$6:$D$405,"&lt;"&amp;J868,'Istoric_Nativ'!$O$6:$O$405,"INVALID")+COUNTIFS('Istoric_Nativ'!$B$6:$B$405,E868,'Istoric_Nativ'!$C$6:$C$405,F868,'Istoric_Nativ'!$E$6:$E$405,G868,'Istoric_Nativ'!$O$6:$O$405,"INVALID",'Istoric_Nativ'!$D$6:$D$405,"*")+COUNTIFS('Istoric_Nativ'!$B$6:$B$405,E868,'Istoric_Nativ'!$C$6:$C$405,F868,'Istoric_Nativ'!$E$6:$E$405,G868,'Istoric_Nativ'!$D$6:$D$405,"&lt;"&amp;J868,'Istoric_Nativ'!$O$6:$O$405,"SOURCE CONFLICT")+COUNTIFS('Istoric_Nativ'!$B$6:$B$405,E868,'Istoric_Nativ'!$C$6:$C$405,F868,'Istoric_Nativ'!$F$6:$F$405,G868,'Istoric_Nativ'!$D$6:$D$405,"&lt;"&amp;J868,'Istoric_Nativ'!$O$6:$O$405,"INVALID")+COUNTIFS('Istoric_Nativ'!$B$6:$B$405,E868,'Istoric_Nativ'!$C$6:$C$405,F868,'Istoric_Nativ'!$F$6:$F$405,G868,'Istoric_Nativ'!$O$6:$O$405,"INVALID",'Istoric_Nativ'!$D$6:$D$405,"*")+COUNTIFS('Istoric_Nativ'!$B$6:$B$405,E868,'Istoric_Nativ'!$C$6:$C$405,F868,'Istoric_Nativ'!$F$6:$F$405,G868,'Istoric_Nativ'!$D$6:$D$405,"&lt;"&amp;J868,'Istoric_Nativ'!$O$6:$O$405,"SOURCE CONFLICT"))</x:f>
        <x:v>0</x:v>
      </x:c>
      <x:c r="T868" s="2" t="str">
        <x:f>IF(B868="","",IF(R868&lt;&gt;"CLOSED",R868,IF(S868&gt;0,"NATIVE INPUT ISSUE",IF(M868=0,"NO HISTORY",IF(M868&lt;P868,"SMALL SAMPLE","DERIVED")))))</x:f>
      </x:c>
      <x:c r="U868" s="2" t="str">
        <x:f>IF(B868="","","NativeTable; "&amp;E868&amp;"; "&amp;F868&amp;"; "&amp;G868&amp;"; "&amp;H868&amp;"; before "&amp;TEXT(J868,"yyyy-mm-dd")&amp;IF(I868="RECENT","; from "&amp;TEXT(L868,"yyyy-mm-dd"),""))</x:f>
      </x:c>
    </x:row>
    <x:row r="869" ht="21" customHeight="1">
      <x:c r="A869" s="2" t="n">
        <x:v>72</x:v>
      </x:c>
      <x:c r="B869" s="2" t="str">
        <x:f>IF('Input_Meci'!A77="","",'Input_Meci'!A77)</x:f>
      </x:c>
      <x:c r="C869" s="2" t="str">
        <x:v>A</x:v>
      </x:c>
      <x:c r="D869" s="2" t="str">
        <x:v>PRIOR</x:v>
      </x:c>
      <x:c r="E869" s="2" t="str">
        <x:f>IF(B869="","",'Input_Meci'!B77)</x:f>
      </x:c>
      <x:c r="F869" s="2" t="str">
        <x:f>IF(B869="","",IF('Input_Meci'!K77="","",'Input_Meci'!K77))</x:f>
      </x:c>
      <x:c r="G869" s="2" t="str">
        <x:f>IF(B869="","",'Input_Meci'!E77)</x:f>
      </x:c>
      <x:c r="H869" s="2" t="str">
        <x:v>ANY</x:v>
      </x:c>
      <x:c r="I869" s="2" t="str">
        <x:v>RECENT</x:v>
      </x:c>
      <x:c r="J869" s="9" t="n">
        <x:f>IF(AND(B869&lt;&gt;"",ISNUMBER('Input_Meci'!G77)),INT('Input_Meci'!G77),0)</x:f>
        <x:v>0</x:v>
      </x:c>
      <x:c r="K869" s="2" t="n">
        <x:f>IF(OR(B869="",F869=""),0,IF(H869="HOME",COUNTIFS('Istoric_Nativ'!$B$6:$B$405,E869,'Istoric_Nativ'!$C$6:$C$405,F869,'Istoric_Nativ'!$E$6:$E$405,G869,'Istoric_Nativ'!$D$6:$D$405,"&lt;"&amp;J869,'Istoric_Nativ'!$P$6:$P$405,1),IF(H869="AWAY",COUNTIFS('Istoric_Nativ'!$B$6:$B$405,E869,'Istoric_Nativ'!$C$6:$C$405,F869,'Istoric_Nativ'!$F$6:$F$405,G869,'Istoric_Nativ'!$D$6:$D$405,"&lt;"&amp;J869,'Istoric_Nativ'!$P$6:$P$405,1),COUNTIFS('Istoric_Nativ'!$B$6:$B$405,E869,'Istoric_Nativ'!$C$6:$C$405,F869,'Istoric_Nativ'!$E$6:$E$405,G869,'Istoric_Nativ'!$D$6:$D$405,"&lt;"&amp;J869,'Istoric_Nativ'!$P$6:$P$405,1)+COUNTIFS('Istoric_Nativ'!$B$6:$B$405,E869,'Istoric_Nativ'!$C$6:$C$405,F869,'Istoric_Nativ'!$F$6:$F$405,G869,'Istoric_Nativ'!$D$6:$D$405,"&lt;"&amp;J869,'Istoric_Nativ'!$P$6:$P$405,1))))</x:f>
        <x:v>0</x:v>
      </x:c>
      <x:c r="L869" s="17" t="n">
        <x:f>IF(AND(B869&lt;&gt;"",I869="RECENT",K869&gt;0),LARGE(_xlfn._xlws.FILTER('Istoric_Nativ'!$D$6:$D$405,('Istoric_Nativ'!$B$6:$B$405=E869)*('Istoric_Nativ'!$C$6:$C$405=F869)*('Istoric_Nativ'!$P$6:$P$405=1)*('Istoric_Nativ'!$D$6:$D$405&lt;J869)*((('Istoric_Nativ'!$E$6:$E$405=G869)+('Istoric_Nativ'!$F$6:$F$405=G869))&gt;0)),MIN('Config_v6'!$B$54,K869)),0)</x:f>
        <x:v>0</x:v>
      </x:c>
      <x:c r="M869" s="2" t="n">
        <x:f>IF(OR(B869="",F869=""),0,IF(H869="HOME",COUNTIFS('Istoric_Nativ'!$B$6:$B$405,E869,'Istoric_Nativ'!$C$6:$C$405,F869,'Istoric_Nativ'!$E$6:$E$405,G869,'Istoric_Nativ'!$D$6:$D$405,"&lt;"&amp;J869,'Istoric_Nativ'!$P$6:$P$405,1,'Istoric_Nativ'!$D$6:$D$405,"&gt;="&amp;L869),IF(H869="AWAY",COUNTIFS('Istoric_Nativ'!$B$6:$B$405,E869,'Istoric_Nativ'!$C$6:$C$405,F869,'Istoric_Nativ'!$F$6:$F$405,G869,'Istoric_Nativ'!$D$6:$D$405,"&lt;"&amp;J869,'Istoric_Nativ'!$P$6:$P$405,1,'Istoric_Nativ'!$D$6:$D$405,"&gt;="&amp;L869),COUNTIFS('Istoric_Nativ'!$B$6:$B$405,E869,'Istoric_Nativ'!$C$6:$C$405,F869,'Istoric_Nativ'!$E$6:$E$405,G869,'Istoric_Nativ'!$D$6:$D$405,"&lt;"&amp;J869,'Istoric_Nativ'!$P$6:$P$405,1,'Istoric_Nativ'!$D$6:$D$405,"&gt;="&amp;L869)+COUNTIFS('Istoric_Nativ'!$B$6:$B$405,E869,'Istoric_Nativ'!$C$6:$C$405,F869,'Istoric_Nativ'!$F$6:$F$405,G869,'Istoric_Nativ'!$D$6:$D$405,"&lt;"&amp;J869,'Istoric_Nativ'!$P$6:$P$405,1,'Istoric_Nativ'!$D$6:$D$405,"&gt;="&amp;L869))))</x:f>
        <x:v>0</x:v>
      </x:c>
      <x:c r="N869" s="11" t="str">
        <x:f>IF(M869=0,"",IF(H869="HOME",SUMIFS('Istoric_Nativ'!$G$6:$G$405,'Istoric_Nativ'!$B$6:$B$405,E869,'Istoric_Nativ'!$C$6:$C$405,F869,'Istoric_Nativ'!$E$6:$E$405,G869,'Istoric_Nativ'!$D$6:$D$405,"&lt;"&amp;J869,'Istoric_Nativ'!$P$6:$P$405,1,'Istoric_Nativ'!$D$6:$D$405,"&gt;="&amp;L869),IF(H869="AWAY",SUMIFS('Istoric_Nativ'!$H$6:$H$405,'Istoric_Nativ'!$B$6:$B$405,E869,'Istoric_Nativ'!$C$6:$C$405,F869,'Istoric_Nativ'!$F$6:$F$405,G869,'Istoric_Nativ'!$D$6:$D$405,"&lt;"&amp;J869,'Istoric_Nativ'!$P$6:$P$405,1,'Istoric_Nativ'!$D$6:$D$405,"&gt;="&amp;L869),SUMIFS('Istoric_Nativ'!$G$6:$G$405,'Istoric_Nativ'!$B$6:$B$405,E869,'Istoric_Nativ'!$C$6:$C$405,F869,'Istoric_Nativ'!$E$6:$E$405,G869,'Istoric_Nativ'!$D$6:$D$405,"&lt;"&amp;J869,'Istoric_Nativ'!$P$6:$P$405,1,'Istoric_Nativ'!$D$6:$D$405,"&gt;="&amp;L869)+SUMIFS('Istoric_Nativ'!$H$6:$H$405,'Istoric_Nativ'!$B$6:$B$405,E869,'Istoric_Nativ'!$C$6:$C$405,F869,'Istoric_Nativ'!$F$6:$F$405,G869,'Istoric_Nativ'!$D$6:$D$405,"&lt;"&amp;J869,'Istoric_Nativ'!$P$6:$P$405,1,'Istoric_Nativ'!$D$6:$D$405,"&gt;="&amp;L869)))/M869)</x:f>
      </x:c>
      <x:c r="O869" s="11" t="str">
        <x:f>IF(M869=0,"",IF(H869="HOME",SUMIFS('Istoric_Nativ'!$H$6:$H$405,'Istoric_Nativ'!$B$6:$B$405,E869,'Istoric_Nativ'!$C$6:$C$405,F869,'Istoric_Nativ'!$E$6:$E$405,G869,'Istoric_Nativ'!$D$6:$D$405,"&lt;"&amp;J869,'Istoric_Nativ'!$P$6:$P$405,1,'Istoric_Nativ'!$D$6:$D$405,"&gt;="&amp;L869),IF(H869="AWAY",SUMIFS('Istoric_Nativ'!$G$6:$G$405,'Istoric_Nativ'!$B$6:$B$405,E869,'Istoric_Nativ'!$C$6:$C$405,F869,'Istoric_Nativ'!$F$6:$F$405,G869,'Istoric_Nativ'!$D$6:$D$405,"&lt;"&amp;J869,'Istoric_Nativ'!$P$6:$P$405,1,'Istoric_Nativ'!$D$6:$D$405,"&gt;="&amp;L869),SUMIFS('Istoric_Nativ'!$H$6:$H$405,'Istoric_Nativ'!$B$6:$B$405,E869,'Istoric_Nativ'!$C$6:$C$405,F869,'Istoric_Nativ'!$E$6:$E$405,G869,'Istoric_Nativ'!$D$6:$D$405,"&lt;"&amp;J869,'Istoric_Nativ'!$P$6:$P$405,1,'Istoric_Nativ'!$D$6:$D$405,"&gt;="&amp;L869)+SUMIFS('Istoric_Nativ'!$G$6:$G$405,'Istoric_Nativ'!$B$6:$B$405,E869,'Istoric_Nativ'!$C$6:$C$405,F869,'Istoric_Nativ'!$F$6:$F$405,G869,'Istoric_Nativ'!$D$6:$D$405,"&lt;"&amp;J869,'Istoric_Nativ'!$P$6:$P$405,1,'Istoric_Nativ'!$D$6:$D$405,"&gt;="&amp;L869)))/M869)</x:f>
      </x:c>
      <x:c r="P869" s="2" t="n">
        <x:f>'Config_v6'!$B$9</x:f>
        <x:v>3</x:v>
      </x:c>
      <x:c r="Q869" s="2" t="n">
        <x:f>IF(OR(B869="",F869=""),0,IFERROR(MATCH(E869&amp;"|"&amp;F869,SourceTable[Source_Key],0),0))</x:f>
        <x:v>0</x:v>
      </x:c>
      <x:c r="R869" s="2" t="str">
        <x:f>IF(B869="","",IF(F869="","UNUSED",IF(Q869=0,"NOT CHECKED",IF(COUNTIF(SourceTable[Source_Key],E869&amp;"|"&amp;F869)&lt;&gt;1,"SOURCE CONFLICT",IF(NOT(OR(INDEX(SourceTable[Status],MAX(1,Q869))="IMPORTED",INDEX(SourceTable[Status],MAX(1,Q869))="PARTIAL",INDEX(SourceTable[Status],MAX(1,Q869))="SOURCE CONFLICT")),"ACCESS BLOCKED",IF(OR(INDEX(SourceTable[Coverage],Q869)&lt;&gt;"FULL SEASON EXPORT",INDEX(SourceTable[URL],Q869)="",INDEX(SourceTable[SHA256],Q869)=""),"EVIDENCE INCOMPLETE",IF(AND('Input_Meci'!H77="LIVE",INDEX(SourceTable[Retrieved_UTC],Q869)&gt;'Input_Meci'!G77),"POST CUTOFF","CLOSED")))))))</x:f>
      </x:c>
      <x:c r="S869" s="2" t="n">
        <x:f>IF(OR(B869="",F869=""),0,COUNTIFS('Istoric_Nativ'!$B$6:$B$405,E869,'Istoric_Nativ'!$C$6:$C$405,F869,'Istoric_Nativ'!$E$6:$E$405,G869,'Istoric_Nativ'!$D$6:$D$405,"&lt;"&amp;J869,'Istoric_Nativ'!$O$6:$O$405,"INVALID")+COUNTIFS('Istoric_Nativ'!$B$6:$B$405,E869,'Istoric_Nativ'!$C$6:$C$405,F869,'Istoric_Nativ'!$E$6:$E$405,G869,'Istoric_Nativ'!$O$6:$O$405,"INVALID",'Istoric_Nativ'!$D$6:$D$405,"*")+COUNTIFS('Istoric_Nativ'!$B$6:$B$405,E869,'Istoric_Nativ'!$C$6:$C$405,F869,'Istoric_Nativ'!$E$6:$E$405,G869,'Istoric_Nativ'!$D$6:$D$405,"&lt;"&amp;J869,'Istoric_Nativ'!$O$6:$O$405,"SOURCE CONFLICT")+COUNTIFS('Istoric_Nativ'!$B$6:$B$405,E869,'Istoric_Nativ'!$C$6:$C$405,F869,'Istoric_Nativ'!$F$6:$F$405,G869,'Istoric_Nativ'!$D$6:$D$405,"&lt;"&amp;J869,'Istoric_Nativ'!$O$6:$O$405,"INVALID")+COUNTIFS('Istoric_Nativ'!$B$6:$B$405,E869,'Istoric_Nativ'!$C$6:$C$405,F869,'Istoric_Nativ'!$F$6:$F$405,G869,'Istoric_Nativ'!$O$6:$O$405,"INVALID",'Istoric_Nativ'!$D$6:$D$405,"*")+COUNTIFS('Istoric_Nativ'!$B$6:$B$405,E869,'Istoric_Nativ'!$C$6:$C$405,F869,'Istoric_Nativ'!$F$6:$F$405,G869,'Istoric_Nativ'!$D$6:$D$405,"&lt;"&amp;J869,'Istoric_Nativ'!$O$6:$O$405,"SOURCE CONFLICT"))</x:f>
        <x:v>0</x:v>
      </x:c>
      <x:c r="T869" s="2" t="str">
        <x:f>IF(B869="","",IF(R869&lt;&gt;"CLOSED",R869,IF(S869&gt;0,"NATIVE INPUT ISSUE",IF(M869=0,"NO HISTORY",IF(M869&lt;P869,"SMALL SAMPLE","DERIVED")))))</x:f>
      </x:c>
      <x:c r="U869" s="2" t="str">
        <x:f>IF(B869="","","NativeTable; "&amp;E869&amp;"; "&amp;F869&amp;"; "&amp;G869&amp;"; "&amp;H869&amp;"; before "&amp;TEXT(J869,"yyyy-mm-dd")&amp;IF(I869="RECENT","; from "&amp;TEXT(L869,"yyyy-mm-dd"),""))</x:f>
      </x:c>
    </x:row>
    <x:row r="870" ht="21" customHeight="1">
      <x:c r="A870" s="2" t="n">
        <x:v>73</x:v>
      </x:c>
      <x:c r="B870" s="2" t="str">
        <x:f>IF('Input_Meci'!A78="","",'Input_Meci'!A78)</x:f>
      </x:c>
      <x:c r="C870" s="2" t="str">
        <x:v>H</x:v>
      </x:c>
      <x:c r="D870" s="2" t="str">
        <x:v>CURRENT</x:v>
      </x:c>
      <x:c r="E870" s="2" t="str">
        <x:f>IF(B870="","",'Input_Meci'!B78)</x:f>
      </x:c>
      <x:c r="F870" s="2" t="str">
        <x:f>IF(B870="","",IF('Input_Meci'!C78="","",'Input_Meci'!C78))</x:f>
      </x:c>
      <x:c r="G870" s="2" t="str">
        <x:f>IF(B870="","",'Input_Meci'!D78)</x:f>
      </x:c>
      <x:c r="H870" s="2" t="str">
        <x:v>ANY</x:v>
      </x:c>
      <x:c r="I870" s="2" t="str">
        <x:v>SEASON</x:v>
      </x:c>
      <x:c r="J870" s="9" t="n">
        <x:f>IF(AND(B870&lt;&gt;"",ISNUMBER('Input_Meci'!G78)),INT('Input_Meci'!G78),0)</x:f>
        <x:v>0</x:v>
      </x:c>
      <x:c r="K870" s="2" t="n">
        <x:f>IF(OR(B870="",F870=""),0,IF(H870="HOME",COUNTIFS('Istoric_Nativ'!$B$6:$B$405,E870,'Istoric_Nativ'!$C$6:$C$405,F870,'Istoric_Nativ'!$E$6:$E$405,G870,'Istoric_Nativ'!$D$6:$D$405,"&lt;"&amp;J870,'Istoric_Nativ'!$P$6:$P$405,1),IF(H870="AWAY",COUNTIFS('Istoric_Nativ'!$B$6:$B$405,E870,'Istoric_Nativ'!$C$6:$C$405,F870,'Istoric_Nativ'!$F$6:$F$405,G870,'Istoric_Nativ'!$D$6:$D$405,"&lt;"&amp;J870,'Istoric_Nativ'!$P$6:$P$405,1),COUNTIFS('Istoric_Nativ'!$B$6:$B$405,E870,'Istoric_Nativ'!$C$6:$C$405,F870,'Istoric_Nativ'!$E$6:$E$405,G870,'Istoric_Nativ'!$D$6:$D$405,"&lt;"&amp;J870,'Istoric_Nativ'!$P$6:$P$405,1)+COUNTIFS('Istoric_Nativ'!$B$6:$B$405,E870,'Istoric_Nativ'!$C$6:$C$405,F870,'Istoric_Nativ'!$F$6:$F$405,G870,'Istoric_Nativ'!$D$6:$D$405,"&lt;"&amp;J870,'Istoric_Nativ'!$P$6:$P$405,1))))</x:f>
        <x:v>0</x:v>
      </x:c>
      <x:c r="L870" s="17" t="n">
        <x:f>IF(AND(B870&lt;&gt;"",I870="RECENT",K870&gt;0),LARGE(_xlfn._xlws.FILTER('Istoric_Nativ'!$D$6:$D$405,('Istoric_Nativ'!$B$6:$B$405=E870)*('Istoric_Nativ'!$C$6:$C$405=F870)*('Istoric_Nativ'!$P$6:$P$405=1)*('Istoric_Nativ'!$D$6:$D$405&lt;J870)*((('Istoric_Nativ'!$E$6:$E$405=G870)+('Istoric_Nativ'!$F$6:$F$405=G870))&gt;0)),MIN('Config_v6'!$B$54,K870)),0)</x:f>
        <x:v>0</x:v>
      </x:c>
      <x:c r="M870" s="2" t="n">
        <x:f>IF(OR(B870="",F870=""),0,IF(H870="HOME",COUNTIFS('Istoric_Nativ'!$B$6:$B$405,E870,'Istoric_Nativ'!$C$6:$C$405,F870,'Istoric_Nativ'!$E$6:$E$405,G870,'Istoric_Nativ'!$D$6:$D$405,"&lt;"&amp;J870,'Istoric_Nativ'!$P$6:$P$405,1,'Istoric_Nativ'!$D$6:$D$405,"&gt;="&amp;L870),IF(H870="AWAY",COUNTIFS('Istoric_Nativ'!$B$6:$B$405,E870,'Istoric_Nativ'!$C$6:$C$405,F870,'Istoric_Nativ'!$F$6:$F$405,G870,'Istoric_Nativ'!$D$6:$D$405,"&lt;"&amp;J870,'Istoric_Nativ'!$P$6:$P$405,1,'Istoric_Nativ'!$D$6:$D$405,"&gt;="&amp;L870),COUNTIFS('Istoric_Nativ'!$B$6:$B$405,E870,'Istoric_Nativ'!$C$6:$C$405,F870,'Istoric_Nativ'!$E$6:$E$405,G870,'Istoric_Nativ'!$D$6:$D$405,"&lt;"&amp;J870,'Istoric_Nativ'!$P$6:$P$405,1,'Istoric_Nativ'!$D$6:$D$405,"&gt;="&amp;L870)+COUNTIFS('Istoric_Nativ'!$B$6:$B$405,E870,'Istoric_Nativ'!$C$6:$C$405,F870,'Istoric_Nativ'!$F$6:$F$405,G870,'Istoric_Nativ'!$D$6:$D$405,"&lt;"&amp;J870,'Istoric_Nativ'!$P$6:$P$405,1,'Istoric_Nativ'!$D$6:$D$405,"&gt;="&amp;L870))))</x:f>
        <x:v>0</x:v>
      </x:c>
      <x:c r="N870" s="11" t="str">
        <x:f>IF(M870=0,"",IF(H870="HOME",SUMIFS('Istoric_Nativ'!$G$6:$G$405,'Istoric_Nativ'!$B$6:$B$405,E870,'Istoric_Nativ'!$C$6:$C$405,F870,'Istoric_Nativ'!$E$6:$E$405,G870,'Istoric_Nativ'!$D$6:$D$405,"&lt;"&amp;J870,'Istoric_Nativ'!$P$6:$P$405,1,'Istoric_Nativ'!$D$6:$D$405,"&gt;="&amp;L870),IF(H870="AWAY",SUMIFS('Istoric_Nativ'!$H$6:$H$405,'Istoric_Nativ'!$B$6:$B$405,E870,'Istoric_Nativ'!$C$6:$C$405,F870,'Istoric_Nativ'!$F$6:$F$405,G870,'Istoric_Nativ'!$D$6:$D$405,"&lt;"&amp;J870,'Istoric_Nativ'!$P$6:$P$405,1,'Istoric_Nativ'!$D$6:$D$405,"&gt;="&amp;L870),SUMIFS('Istoric_Nativ'!$G$6:$G$405,'Istoric_Nativ'!$B$6:$B$405,E870,'Istoric_Nativ'!$C$6:$C$405,F870,'Istoric_Nativ'!$E$6:$E$405,G870,'Istoric_Nativ'!$D$6:$D$405,"&lt;"&amp;J870,'Istoric_Nativ'!$P$6:$P$405,1,'Istoric_Nativ'!$D$6:$D$405,"&gt;="&amp;L870)+SUMIFS('Istoric_Nativ'!$H$6:$H$405,'Istoric_Nativ'!$B$6:$B$405,E870,'Istoric_Nativ'!$C$6:$C$405,F870,'Istoric_Nativ'!$F$6:$F$405,G870,'Istoric_Nativ'!$D$6:$D$405,"&lt;"&amp;J870,'Istoric_Nativ'!$P$6:$P$405,1,'Istoric_Nativ'!$D$6:$D$405,"&gt;="&amp;L870)))/M870)</x:f>
      </x:c>
      <x:c r="O870" s="11" t="str">
        <x:f>IF(M870=0,"",IF(H870="HOME",SUMIFS('Istoric_Nativ'!$H$6:$H$405,'Istoric_Nativ'!$B$6:$B$405,E870,'Istoric_Nativ'!$C$6:$C$405,F870,'Istoric_Nativ'!$E$6:$E$405,G870,'Istoric_Nativ'!$D$6:$D$405,"&lt;"&amp;J870,'Istoric_Nativ'!$P$6:$P$405,1,'Istoric_Nativ'!$D$6:$D$405,"&gt;="&amp;L870),IF(H870="AWAY",SUMIFS('Istoric_Nativ'!$G$6:$G$405,'Istoric_Nativ'!$B$6:$B$405,E870,'Istoric_Nativ'!$C$6:$C$405,F870,'Istoric_Nativ'!$F$6:$F$405,G870,'Istoric_Nativ'!$D$6:$D$405,"&lt;"&amp;J870,'Istoric_Nativ'!$P$6:$P$405,1,'Istoric_Nativ'!$D$6:$D$405,"&gt;="&amp;L870),SUMIFS('Istoric_Nativ'!$H$6:$H$405,'Istoric_Nativ'!$B$6:$B$405,E870,'Istoric_Nativ'!$C$6:$C$405,F870,'Istoric_Nativ'!$E$6:$E$405,G870,'Istoric_Nativ'!$D$6:$D$405,"&lt;"&amp;J870,'Istoric_Nativ'!$P$6:$P$405,1,'Istoric_Nativ'!$D$6:$D$405,"&gt;="&amp;L870)+SUMIFS('Istoric_Nativ'!$G$6:$G$405,'Istoric_Nativ'!$B$6:$B$405,E870,'Istoric_Nativ'!$C$6:$C$405,F870,'Istoric_Nativ'!$F$6:$F$405,G870,'Istoric_Nativ'!$D$6:$D$405,"&lt;"&amp;J870,'Istoric_Nativ'!$P$6:$P$405,1,'Istoric_Nativ'!$D$6:$D$405,"&gt;="&amp;L870)))/M870)</x:f>
      </x:c>
      <x:c r="P870" s="2" t="n">
        <x:f>'Config_v6'!$B$7</x:f>
        <x:v>10</x:v>
      </x:c>
      <x:c r="Q870" s="2" t="n">
        <x:f>IF(OR(B870="",F870=""),0,IFERROR(MATCH(E870&amp;"|"&amp;F870,SourceTable[Source_Key],0),0))</x:f>
        <x:v>0</x:v>
      </x:c>
      <x:c r="R870" s="2" t="str">
        <x:f>IF(B870="","",IF(F870="","UNUSED",IF(Q870=0,"NOT CHECKED",IF(COUNTIF(SourceTable[Source_Key],E870&amp;"|"&amp;F870)&lt;&gt;1,"SOURCE CONFLICT",IF(NOT(OR(INDEX(SourceTable[Status],MAX(1,Q870))="IMPORTED",INDEX(SourceTable[Status],MAX(1,Q870))="PARTIAL",INDEX(SourceTable[Status],MAX(1,Q870))="SOURCE CONFLICT")),"ACCESS BLOCKED",IF(OR(INDEX(SourceTable[Coverage],Q870)&lt;&gt;"FULL SEASON EXPORT",INDEX(SourceTable[URL],Q870)="",INDEX(SourceTable[SHA256],Q870)=""),"EVIDENCE INCOMPLETE",IF(AND('Input_Meci'!H78="LIVE",INDEX(SourceTable[Retrieved_UTC],Q870)&gt;'Input_Meci'!G78),"POST CUTOFF","CLOSED")))))))</x:f>
      </x:c>
      <x:c r="S870" s="2" t="n">
        <x:f>IF(OR(B870="",F870=""),0,COUNTIFS('Istoric_Nativ'!$B$6:$B$405,E870,'Istoric_Nativ'!$C$6:$C$405,F870,'Istoric_Nativ'!$E$6:$E$405,G870,'Istoric_Nativ'!$D$6:$D$405,"&lt;"&amp;J870,'Istoric_Nativ'!$O$6:$O$405,"INVALID")+COUNTIFS('Istoric_Nativ'!$B$6:$B$405,E870,'Istoric_Nativ'!$C$6:$C$405,F870,'Istoric_Nativ'!$E$6:$E$405,G870,'Istoric_Nativ'!$O$6:$O$405,"INVALID",'Istoric_Nativ'!$D$6:$D$405,"*")+COUNTIFS('Istoric_Nativ'!$B$6:$B$405,E870,'Istoric_Nativ'!$C$6:$C$405,F870,'Istoric_Nativ'!$E$6:$E$405,G870,'Istoric_Nativ'!$D$6:$D$405,"&lt;"&amp;J870,'Istoric_Nativ'!$O$6:$O$405,"SOURCE CONFLICT")+COUNTIFS('Istoric_Nativ'!$B$6:$B$405,E870,'Istoric_Nativ'!$C$6:$C$405,F870,'Istoric_Nativ'!$F$6:$F$405,G870,'Istoric_Nativ'!$D$6:$D$405,"&lt;"&amp;J870,'Istoric_Nativ'!$O$6:$O$405,"INVALID")+COUNTIFS('Istoric_Nativ'!$B$6:$B$405,E870,'Istoric_Nativ'!$C$6:$C$405,F870,'Istoric_Nativ'!$F$6:$F$405,G870,'Istoric_Nativ'!$O$6:$O$405,"INVALID",'Istoric_Nativ'!$D$6:$D$405,"*")+COUNTIFS('Istoric_Nativ'!$B$6:$B$405,E870,'Istoric_Nativ'!$C$6:$C$405,F870,'Istoric_Nativ'!$F$6:$F$405,G870,'Istoric_Nativ'!$D$6:$D$405,"&lt;"&amp;J870,'Istoric_Nativ'!$O$6:$O$405,"SOURCE CONFLICT"))</x:f>
        <x:v>0</x:v>
      </x:c>
      <x:c r="T870" s="2" t="str">
        <x:f>IF(B870="","",IF(R870&lt;&gt;"CLOSED",R870,IF(S870&gt;0,"NATIVE INPUT ISSUE",IF(M870=0,"NO HISTORY",IF(M870&lt;P870,"SMALL SAMPLE","DERIVED")))))</x:f>
      </x:c>
      <x:c r="U870" s="2" t="str">
        <x:f>IF(B870="","","NativeTable; "&amp;E870&amp;"; "&amp;F870&amp;"; "&amp;G870&amp;"; "&amp;H870&amp;"; before "&amp;TEXT(J870,"yyyy-mm-dd")&amp;IF(I870="RECENT","; from "&amp;TEXT(L870,"yyyy-mm-dd"),""))</x:f>
      </x:c>
    </x:row>
    <x:row r="871" ht="21" customHeight="1">
      <x:c r="A871" s="2" t="n">
        <x:v>73</x:v>
      </x:c>
      <x:c r="B871" s="2" t="str">
        <x:f>IF('Input_Meci'!A78="","",'Input_Meci'!A78)</x:f>
      </x:c>
      <x:c r="C871" s="2" t="str">
        <x:v>H</x:v>
      </x:c>
      <x:c r="D871" s="2" t="str">
        <x:v>CURRENT</x:v>
      </x:c>
      <x:c r="E871" s="2" t="str">
        <x:f>IF(B871="","",'Input_Meci'!B78)</x:f>
      </x:c>
      <x:c r="F871" s="2" t="str">
        <x:f>IF(B871="","",IF('Input_Meci'!C78="","",'Input_Meci'!C78))</x:f>
      </x:c>
      <x:c r="G871" s="2" t="str">
        <x:f>IF(B871="","",'Input_Meci'!D78)</x:f>
      </x:c>
      <x:c r="H871" s="2" t="str">
        <x:v>HOME</x:v>
      </x:c>
      <x:c r="I871" s="2" t="str">
        <x:v>HA</x:v>
      </x:c>
      <x:c r="J871" s="9" t="n">
        <x:f>IF(AND(B871&lt;&gt;"",ISNUMBER('Input_Meci'!G78)),INT('Input_Meci'!G78),0)</x:f>
        <x:v>0</x:v>
      </x:c>
      <x:c r="K871" s="2" t="n">
        <x:f>IF(OR(B871="",F871=""),0,IF(H871="HOME",COUNTIFS('Istoric_Nativ'!$B$6:$B$405,E871,'Istoric_Nativ'!$C$6:$C$405,F871,'Istoric_Nativ'!$E$6:$E$405,G871,'Istoric_Nativ'!$D$6:$D$405,"&lt;"&amp;J871,'Istoric_Nativ'!$P$6:$P$405,1),IF(H871="AWAY",COUNTIFS('Istoric_Nativ'!$B$6:$B$405,E871,'Istoric_Nativ'!$C$6:$C$405,F871,'Istoric_Nativ'!$F$6:$F$405,G871,'Istoric_Nativ'!$D$6:$D$405,"&lt;"&amp;J871,'Istoric_Nativ'!$P$6:$P$405,1),COUNTIFS('Istoric_Nativ'!$B$6:$B$405,E871,'Istoric_Nativ'!$C$6:$C$405,F871,'Istoric_Nativ'!$E$6:$E$405,G871,'Istoric_Nativ'!$D$6:$D$405,"&lt;"&amp;J871,'Istoric_Nativ'!$P$6:$P$405,1)+COUNTIFS('Istoric_Nativ'!$B$6:$B$405,E871,'Istoric_Nativ'!$C$6:$C$405,F871,'Istoric_Nativ'!$F$6:$F$405,G871,'Istoric_Nativ'!$D$6:$D$405,"&lt;"&amp;J871,'Istoric_Nativ'!$P$6:$P$405,1))))</x:f>
        <x:v>0</x:v>
      </x:c>
      <x:c r="L871" s="17" t="n">
        <x:f>IF(AND(B871&lt;&gt;"",I871="RECENT",K871&gt;0),LARGE(_xlfn._xlws.FILTER('Istoric_Nativ'!$D$6:$D$405,('Istoric_Nativ'!$B$6:$B$405=E871)*('Istoric_Nativ'!$C$6:$C$405=F871)*('Istoric_Nativ'!$P$6:$P$405=1)*('Istoric_Nativ'!$D$6:$D$405&lt;J871)*((('Istoric_Nativ'!$E$6:$E$405=G871)+('Istoric_Nativ'!$F$6:$F$405=G871))&gt;0)),MIN('Config_v6'!$B$54,K871)),0)</x:f>
        <x:v>0</x:v>
      </x:c>
      <x:c r="M871" s="2" t="n">
        <x:f>IF(OR(B871="",F871=""),0,IF(H871="HOME",COUNTIFS('Istoric_Nativ'!$B$6:$B$405,E871,'Istoric_Nativ'!$C$6:$C$405,F871,'Istoric_Nativ'!$E$6:$E$405,G871,'Istoric_Nativ'!$D$6:$D$405,"&lt;"&amp;J871,'Istoric_Nativ'!$P$6:$P$405,1,'Istoric_Nativ'!$D$6:$D$405,"&gt;="&amp;L871),IF(H871="AWAY",COUNTIFS('Istoric_Nativ'!$B$6:$B$405,E871,'Istoric_Nativ'!$C$6:$C$405,F871,'Istoric_Nativ'!$F$6:$F$405,G871,'Istoric_Nativ'!$D$6:$D$405,"&lt;"&amp;J871,'Istoric_Nativ'!$P$6:$P$405,1,'Istoric_Nativ'!$D$6:$D$405,"&gt;="&amp;L871),COUNTIFS('Istoric_Nativ'!$B$6:$B$405,E871,'Istoric_Nativ'!$C$6:$C$405,F871,'Istoric_Nativ'!$E$6:$E$405,G871,'Istoric_Nativ'!$D$6:$D$405,"&lt;"&amp;J871,'Istoric_Nativ'!$P$6:$P$405,1,'Istoric_Nativ'!$D$6:$D$405,"&gt;="&amp;L871)+COUNTIFS('Istoric_Nativ'!$B$6:$B$405,E871,'Istoric_Nativ'!$C$6:$C$405,F871,'Istoric_Nativ'!$F$6:$F$405,G871,'Istoric_Nativ'!$D$6:$D$405,"&lt;"&amp;J871,'Istoric_Nativ'!$P$6:$P$405,1,'Istoric_Nativ'!$D$6:$D$405,"&gt;="&amp;L871))))</x:f>
        <x:v>0</x:v>
      </x:c>
      <x:c r="N871" s="11" t="str">
        <x:f>IF(M871=0,"",IF(H871="HOME",SUMIFS('Istoric_Nativ'!$G$6:$G$405,'Istoric_Nativ'!$B$6:$B$405,E871,'Istoric_Nativ'!$C$6:$C$405,F871,'Istoric_Nativ'!$E$6:$E$405,G871,'Istoric_Nativ'!$D$6:$D$405,"&lt;"&amp;J871,'Istoric_Nativ'!$P$6:$P$405,1,'Istoric_Nativ'!$D$6:$D$405,"&gt;="&amp;L871),IF(H871="AWAY",SUMIFS('Istoric_Nativ'!$H$6:$H$405,'Istoric_Nativ'!$B$6:$B$405,E871,'Istoric_Nativ'!$C$6:$C$405,F871,'Istoric_Nativ'!$F$6:$F$405,G871,'Istoric_Nativ'!$D$6:$D$405,"&lt;"&amp;J871,'Istoric_Nativ'!$P$6:$P$405,1,'Istoric_Nativ'!$D$6:$D$405,"&gt;="&amp;L871),SUMIFS('Istoric_Nativ'!$G$6:$G$405,'Istoric_Nativ'!$B$6:$B$405,E871,'Istoric_Nativ'!$C$6:$C$405,F871,'Istoric_Nativ'!$E$6:$E$405,G871,'Istoric_Nativ'!$D$6:$D$405,"&lt;"&amp;J871,'Istoric_Nativ'!$P$6:$P$405,1,'Istoric_Nativ'!$D$6:$D$405,"&gt;="&amp;L871)+SUMIFS('Istoric_Nativ'!$H$6:$H$405,'Istoric_Nativ'!$B$6:$B$405,E871,'Istoric_Nativ'!$C$6:$C$405,F871,'Istoric_Nativ'!$F$6:$F$405,G871,'Istoric_Nativ'!$D$6:$D$405,"&lt;"&amp;J871,'Istoric_Nativ'!$P$6:$P$405,1,'Istoric_Nativ'!$D$6:$D$405,"&gt;="&amp;L871)))/M871)</x:f>
      </x:c>
      <x:c r="O871" s="11" t="str">
        <x:f>IF(M871=0,"",IF(H871="HOME",SUMIFS('Istoric_Nativ'!$H$6:$H$405,'Istoric_Nativ'!$B$6:$B$405,E871,'Istoric_Nativ'!$C$6:$C$405,F871,'Istoric_Nativ'!$E$6:$E$405,G871,'Istoric_Nativ'!$D$6:$D$405,"&lt;"&amp;J871,'Istoric_Nativ'!$P$6:$P$405,1,'Istoric_Nativ'!$D$6:$D$405,"&gt;="&amp;L871),IF(H871="AWAY",SUMIFS('Istoric_Nativ'!$G$6:$G$405,'Istoric_Nativ'!$B$6:$B$405,E871,'Istoric_Nativ'!$C$6:$C$405,F871,'Istoric_Nativ'!$F$6:$F$405,G871,'Istoric_Nativ'!$D$6:$D$405,"&lt;"&amp;J871,'Istoric_Nativ'!$P$6:$P$405,1,'Istoric_Nativ'!$D$6:$D$405,"&gt;="&amp;L871),SUMIFS('Istoric_Nativ'!$H$6:$H$405,'Istoric_Nativ'!$B$6:$B$405,E871,'Istoric_Nativ'!$C$6:$C$405,F871,'Istoric_Nativ'!$E$6:$E$405,G871,'Istoric_Nativ'!$D$6:$D$405,"&lt;"&amp;J871,'Istoric_Nativ'!$P$6:$P$405,1,'Istoric_Nativ'!$D$6:$D$405,"&gt;="&amp;L871)+SUMIFS('Istoric_Nativ'!$G$6:$G$405,'Istoric_Nativ'!$B$6:$B$405,E871,'Istoric_Nativ'!$C$6:$C$405,F871,'Istoric_Nativ'!$F$6:$F$405,G871,'Istoric_Nativ'!$D$6:$D$405,"&lt;"&amp;J871,'Istoric_Nativ'!$P$6:$P$405,1,'Istoric_Nativ'!$D$6:$D$405,"&gt;="&amp;L871)))/M871)</x:f>
      </x:c>
      <x:c r="P871" s="2" t="n">
        <x:f>'Config_v6'!$B$8</x:f>
        <x:v>5</x:v>
      </x:c>
      <x:c r="Q871" s="2" t="n">
        <x:f>IF(OR(B871="",F871=""),0,IFERROR(MATCH(E871&amp;"|"&amp;F871,SourceTable[Source_Key],0),0))</x:f>
        <x:v>0</x:v>
      </x:c>
      <x:c r="R871" s="2" t="str">
        <x:f>IF(B871="","",IF(F871="","UNUSED",IF(Q871=0,"NOT CHECKED",IF(COUNTIF(SourceTable[Source_Key],E871&amp;"|"&amp;F871)&lt;&gt;1,"SOURCE CONFLICT",IF(NOT(OR(INDEX(SourceTable[Status],MAX(1,Q871))="IMPORTED",INDEX(SourceTable[Status],MAX(1,Q871))="PARTIAL",INDEX(SourceTable[Status],MAX(1,Q871))="SOURCE CONFLICT")),"ACCESS BLOCKED",IF(OR(INDEX(SourceTable[Coverage],Q871)&lt;&gt;"FULL SEASON EXPORT",INDEX(SourceTable[URL],Q871)="",INDEX(SourceTable[SHA256],Q871)=""),"EVIDENCE INCOMPLETE",IF(AND('Input_Meci'!H78="LIVE",INDEX(SourceTable[Retrieved_UTC],Q871)&gt;'Input_Meci'!G78),"POST CUTOFF","CLOSED")))))))</x:f>
      </x:c>
      <x:c r="S871" s="2" t="n">
        <x:f>IF(OR(B871="",F871=""),0,COUNTIFS('Istoric_Nativ'!$B$6:$B$405,E871,'Istoric_Nativ'!$C$6:$C$405,F871,'Istoric_Nativ'!$E$6:$E$405,G871,'Istoric_Nativ'!$D$6:$D$405,"&lt;"&amp;J871,'Istoric_Nativ'!$O$6:$O$405,"INVALID")+COUNTIFS('Istoric_Nativ'!$B$6:$B$405,E871,'Istoric_Nativ'!$C$6:$C$405,F871,'Istoric_Nativ'!$E$6:$E$405,G871,'Istoric_Nativ'!$O$6:$O$405,"INVALID",'Istoric_Nativ'!$D$6:$D$405,"*")+COUNTIFS('Istoric_Nativ'!$B$6:$B$405,E871,'Istoric_Nativ'!$C$6:$C$405,F871,'Istoric_Nativ'!$E$6:$E$405,G871,'Istoric_Nativ'!$D$6:$D$405,"&lt;"&amp;J871,'Istoric_Nativ'!$O$6:$O$405,"SOURCE CONFLICT")+COUNTIFS('Istoric_Nativ'!$B$6:$B$405,E871,'Istoric_Nativ'!$C$6:$C$405,F871,'Istoric_Nativ'!$F$6:$F$405,G871,'Istoric_Nativ'!$D$6:$D$405,"&lt;"&amp;J871,'Istoric_Nativ'!$O$6:$O$405,"INVALID")+COUNTIFS('Istoric_Nativ'!$B$6:$B$405,E871,'Istoric_Nativ'!$C$6:$C$405,F871,'Istoric_Nativ'!$F$6:$F$405,G871,'Istoric_Nativ'!$O$6:$O$405,"INVALID",'Istoric_Nativ'!$D$6:$D$405,"*")+COUNTIFS('Istoric_Nativ'!$B$6:$B$405,E871,'Istoric_Nativ'!$C$6:$C$405,F871,'Istoric_Nativ'!$F$6:$F$405,G871,'Istoric_Nativ'!$D$6:$D$405,"&lt;"&amp;J871,'Istoric_Nativ'!$O$6:$O$405,"SOURCE CONFLICT"))</x:f>
        <x:v>0</x:v>
      </x:c>
      <x:c r="T871" s="2" t="str">
        <x:f>IF(B871="","",IF(R871&lt;&gt;"CLOSED",R871,IF(S871&gt;0,"NATIVE INPUT ISSUE",IF(M871=0,"NO HISTORY",IF(M871&lt;P871,"SMALL SAMPLE","DERIVED")))))</x:f>
      </x:c>
      <x:c r="U871" s="2" t="str">
        <x:f>IF(B871="","","NativeTable; "&amp;E871&amp;"; "&amp;F871&amp;"; "&amp;G871&amp;"; "&amp;H871&amp;"; before "&amp;TEXT(J871,"yyyy-mm-dd")&amp;IF(I871="RECENT","; from "&amp;TEXT(L871,"yyyy-mm-dd"),""))</x:f>
      </x:c>
    </x:row>
    <x:row r="872" ht="21" customHeight="1">
      <x:c r="A872" s="2" t="n">
        <x:v>73</x:v>
      </x:c>
      <x:c r="B872" s="2" t="str">
        <x:f>IF('Input_Meci'!A78="","",'Input_Meci'!A78)</x:f>
      </x:c>
      <x:c r="C872" s="2" t="str">
        <x:v>H</x:v>
      </x:c>
      <x:c r="D872" s="2" t="str">
        <x:v>CURRENT</x:v>
      </x:c>
      <x:c r="E872" s="2" t="str">
        <x:f>IF(B872="","",'Input_Meci'!B78)</x:f>
      </x:c>
      <x:c r="F872" s="2" t="str">
        <x:f>IF(B872="","",IF('Input_Meci'!C78="","",'Input_Meci'!C78))</x:f>
      </x:c>
      <x:c r="G872" s="2" t="str">
        <x:f>IF(B872="","",'Input_Meci'!D78)</x:f>
      </x:c>
      <x:c r="H872" s="2" t="str">
        <x:v>ANY</x:v>
      </x:c>
      <x:c r="I872" s="2" t="str">
        <x:v>RECENT</x:v>
      </x:c>
      <x:c r="J872" s="9" t="n">
        <x:f>IF(AND(B872&lt;&gt;"",ISNUMBER('Input_Meci'!G78)),INT('Input_Meci'!G78),0)</x:f>
        <x:v>0</x:v>
      </x:c>
      <x:c r="K872" s="2" t="n">
        <x:f>IF(OR(B872="",F872=""),0,IF(H872="HOME",COUNTIFS('Istoric_Nativ'!$B$6:$B$405,E872,'Istoric_Nativ'!$C$6:$C$405,F872,'Istoric_Nativ'!$E$6:$E$405,G872,'Istoric_Nativ'!$D$6:$D$405,"&lt;"&amp;J872,'Istoric_Nativ'!$P$6:$P$405,1),IF(H872="AWAY",COUNTIFS('Istoric_Nativ'!$B$6:$B$405,E872,'Istoric_Nativ'!$C$6:$C$405,F872,'Istoric_Nativ'!$F$6:$F$405,G872,'Istoric_Nativ'!$D$6:$D$405,"&lt;"&amp;J872,'Istoric_Nativ'!$P$6:$P$405,1),COUNTIFS('Istoric_Nativ'!$B$6:$B$405,E872,'Istoric_Nativ'!$C$6:$C$405,F872,'Istoric_Nativ'!$E$6:$E$405,G872,'Istoric_Nativ'!$D$6:$D$405,"&lt;"&amp;J872,'Istoric_Nativ'!$P$6:$P$405,1)+COUNTIFS('Istoric_Nativ'!$B$6:$B$405,E872,'Istoric_Nativ'!$C$6:$C$405,F872,'Istoric_Nativ'!$F$6:$F$405,G872,'Istoric_Nativ'!$D$6:$D$405,"&lt;"&amp;J872,'Istoric_Nativ'!$P$6:$P$405,1))))</x:f>
        <x:v>0</x:v>
      </x:c>
      <x:c r="L872" s="17" t="n">
        <x:f>IF(AND(B872&lt;&gt;"",I872="RECENT",K872&gt;0),LARGE(_xlfn._xlws.FILTER('Istoric_Nativ'!$D$6:$D$405,('Istoric_Nativ'!$B$6:$B$405=E872)*('Istoric_Nativ'!$C$6:$C$405=F872)*('Istoric_Nativ'!$P$6:$P$405=1)*('Istoric_Nativ'!$D$6:$D$405&lt;J872)*((('Istoric_Nativ'!$E$6:$E$405=G872)+('Istoric_Nativ'!$F$6:$F$405=G872))&gt;0)),MIN('Config_v6'!$B$54,K872)),0)</x:f>
        <x:v>0</x:v>
      </x:c>
      <x:c r="M872" s="2" t="n">
        <x:f>IF(OR(B872="",F872=""),0,IF(H872="HOME",COUNTIFS('Istoric_Nativ'!$B$6:$B$405,E872,'Istoric_Nativ'!$C$6:$C$405,F872,'Istoric_Nativ'!$E$6:$E$405,G872,'Istoric_Nativ'!$D$6:$D$405,"&lt;"&amp;J872,'Istoric_Nativ'!$P$6:$P$405,1,'Istoric_Nativ'!$D$6:$D$405,"&gt;="&amp;L872),IF(H872="AWAY",COUNTIFS('Istoric_Nativ'!$B$6:$B$405,E872,'Istoric_Nativ'!$C$6:$C$405,F872,'Istoric_Nativ'!$F$6:$F$405,G872,'Istoric_Nativ'!$D$6:$D$405,"&lt;"&amp;J872,'Istoric_Nativ'!$P$6:$P$405,1,'Istoric_Nativ'!$D$6:$D$405,"&gt;="&amp;L872),COUNTIFS('Istoric_Nativ'!$B$6:$B$405,E872,'Istoric_Nativ'!$C$6:$C$405,F872,'Istoric_Nativ'!$E$6:$E$405,G872,'Istoric_Nativ'!$D$6:$D$405,"&lt;"&amp;J872,'Istoric_Nativ'!$P$6:$P$405,1,'Istoric_Nativ'!$D$6:$D$405,"&gt;="&amp;L872)+COUNTIFS('Istoric_Nativ'!$B$6:$B$405,E872,'Istoric_Nativ'!$C$6:$C$405,F872,'Istoric_Nativ'!$F$6:$F$405,G872,'Istoric_Nativ'!$D$6:$D$405,"&lt;"&amp;J872,'Istoric_Nativ'!$P$6:$P$405,1,'Istoric_Nativ'!$D$6:$D$405,"&gt;="&amp;L872))))</x:f>
        <x:v>0</x:v>
      </x:c>
      <x:c r="N872" s="11" t="str">
        <x:f>IF(M872=0,"",IF(H872="HOME",SUMIFS('Istoric_Nativ'!$G$6:$G$405,'Istoric_Nativ'!$B$6:$B$405,E872,'Istoric_Nativ'!$C$6:$C$405,F872,'Istoric_Nativ'!$E$6:$E$405,G872,'Istoric_Nativ'!$D$6:$D$405,"&lt;"&amp;J872,'Istoric_Nativ'!$P$6:$P$405,1,'Istoric_Nativ'!$D$6:$D$405,"&gt;="&amp;L872),IF(H872="AWAY",SUMIFS('Istoric_Nativ'!$H$6:$H$405,'Istoric_Nativ'!$B$6:$B$405,E872,'Istoric_Nativ'!$C$6:$C$405,F872,'Istoric_Nativ'!$F$6:$F$405,G872,'Istoric_Nativ'!$D$6:$D$405,"&lt;"&amp;J872,'Istoric_Nativ'!$P$6:$P$405,1,'Istoric_Nativ'!$D$6:$D$405,"&gt;="&amp;L872),SUMIFS('Istoric_Nativ'!$G$6:$G$405,'Istoric_Nativ'!$B$6:$B$405,E872,'Istoric_Nativ'!$C$6:$C$405,F872,'Istoric_Nativ'!$E$6:$E$405,G872,'Istoric_Nativ'!$D$6:$D$405,"&lt;"&amp;J872,'Istoric_Nativ'!$P$6:$P$405,1,'Istoric_Nativ'!$D$6:$D$405,"&gt;="&amp;L872)+SUMIFS('Istoric_Nativ'!$H$6:$H$405,'Istoric_Nativ'!$B$6:$B$405,E872,'Istoric_Nativ'!$C$6:$C$405,F872,'Istoric_Nativ'!$F$6:$F$405,G872,'Istoric_Nativ'!$D$6:$D$405,"&lt;"&amp;J872,'Istoric_Nativ'!$P$6:$P$405,1,'Istoric_Nativ'!$D$6:$D$405,"&gt;="&amp;L872)))/M872)</x:f>
      </x:c>
      <x:c r="O872" s="11" t="str">
        <x:f>IF(M872=0,"",IF(H872="HOME",SUMIFS('Istoric_Nativ'!$H$6:$H$405,'Istoric_Nativ'!$B$6:$B$405,E872,'Istoric_Nativ'!$C$6:$C$405,F872,'Istoric_Nativ'!$E$6:$E$405,G872,'Istoric_Nativ'!$D$6:$D$405,"&lt;"&amp;J872,'Istoric_Nativ'!$P$6:$P$405,1,'Istoric_Nativ'!$D$6:$D$405,"&gt;="&amp;L872),IF(H872="AWAY",SUMIFS('Istoric_Nativ'!$G$6:$G$405,'Istoric_Nativ'!$B$6:$B$405,E872,'Istoric_Nativ'!$C$6:$C$405,F872,'Istoric_Nativ'!$F$6:$F$405,G872,'Istoric_Nativ'!$D$6:$D$405,"&lt;"&amp;J872,'Istoric_Nativ'!$P$6:$P$405,1,'Istoric_Nativ'!$D$6:$D$405,"&gt;="&amp;L872),SUMIFS('Istoric_Nativ'!$H$6:$H$405,'Istoric_Nativ'!$B$6:$B$405,E872,'Istoric_Nativ'!$C$6:$C$405,F872,'Istoric_Nativ'!$E$6:$E$405,G872,'Istoric_Nativ'!$D$6:$D$405,"&lt;"&amp;J872,'Istoric_Nativ'!$P$6:$P$405,1,'Istoric_Nativ'!$D$6:$D$405,"&gt;="&amp;L872)+SUMIFS('Istoric_Nativ'!$G$6:$G$405,'Istoric_Nativ'!$B$6:$B$405,E872,'Istoric_Nativ'!$C$6:$C$405,F872,'Istoric_Nativ'!$F$6:$F$405,G872,'Istoric_Nativ'!$D$6:$D$405,"&lt;"&amp;J872,'Istoric_Nativ'!$P$6:$P$405,1,'Istoric_Nativ'!$D$6:$D$405,"&gt;="&amp;L872)))/M872)</x:f>
      </x:c>
      <x:c r="P872" s="2" t="n">
        <x:f>'Config_v6'!$B$9</x:f>
        <x:v>3</x:v>
      </x:c>
      <x:c r="Q872" s="2" t="n">
        <x:f>IF(OR(B872="",F872=""),0,IFERROR(MATCH(E872&amp;"|"&amp;F872,SourceTable[Source_Key],0),0))</x:f>
        <x:v>0</x:v>
      </x:c>
      <x:c r="R872" s="2" t="str">
        <x:f>IF(B872="","",IF(F872="","UNUSED",IF(Q872=0,"NOT CHECKED",IF(COUNTIF(SourceTable[Source_Key],E872&amp;"|"&amp;F872)&lt;&gt;1,"SOURCE CONFLICT",IF(NOT(OR(INDEX(SourceTable[Status],MAX(1,Q872))="IMPORTED",INDEX(SourceTable[Status],MAX(1,Q872))="PARTIAL",INDEX(SourceTable[Status],MAX(1,Q872))="SOURCE CONFLICT")),"ACCESS BLOCKED",IF(OR(INDEX(SourceTable[Coverage],Q872)&lt;&gt;"FULL SEASON EXPORT",INDEX(SourceTable[URL],Q872)="",INDEX(SourceTable[SHA256],Q872)=""),"EVIDENCE INCOMPLETE",IF(AND('Input_Meci'!H78="LIVE",INDEX(SourceTable[Retrieved_UTC],Q872)&gt;'Input_Meci'!G78),"POST CUTOFF","CLOSED")))))))</x:f>
      </x:c>
      <x:c r="S872" s="2" t="n">
        <x:f>IF(OR(B872="",F872=""),0,COUNTIFS('Istoric_Nativ'!$B$6:$B$405,E872,'Istoric_Nativ'!$C$6:$C$405,F872,'Istoric_Nativ'!$E$6:$E$405,G872,'Istoric_Nativ'!$D$6:$D$405,"&lt;"&amp;J872,'Istoric_Nativ'!$O$6:$O$405,"INVALID")+COUNTIFS('Istoric_Nativ'!$B$6:$B$405,E872,'Istoric_Nativ'!$C$6:$C$405,F872,'Istoric_Nativ'!$E$6:$E$405,G872,'Istoric_Nativ'!$O$6:$O$405,"INVALID",'Istoric_Nativ'!$D$6:$D$405,"*")+COUNTIFS('Istoric_Nativ'!$B$6:$B$405,E872,'Istoric_Nativ'!$C$6:$C$405,F872,'Istoric_Nativ'!$E$6:$E$405,G872,'Istoric_Nativ'!$D$6:$D$405,"&lt;"&amp;J872,'Istoric_Nativ'!$O$6:$O$405,"SOURCE CONFLICT")+COUNTIFS('Istoric_Nativ'!$B$6:$B$405,E872,'Istoric_Nativ'!$C$6:$C$405,F872,'Istoric_Nativ'!$F$6:$F$405,G872,'Istoric_Nativ'!$D$6:$D$405,"&lt;"&amp;J872,'Istoric_Nativ'!$O$6:$O$405,"INVALID")+COUNTIFS('Istoric_Nativ'!$B$6:$B$405,E872,'Istoric_Nativ'!$C$6:$C$405,F872,'Istoric_Nativ'!$F$6:$F$405,G872,'Istoric_Nativ'!$O$6:$O$405,"INVALID",'Istoric_Nativ'!$D$6:$D$405,"*")+COUNTIFS('Istoric_Nativ'!$B$6:$B$405,E872,'Istoric_Nativ'!$C$6:$C$405,F872,'Istoric_Nativ'!$F$6:$F$405,G872,'Istoric_Nativ'!$D$6:$D$405,"&lt;"&amp;J872,'Istoric_Nativ'!$O$6:$O$405,"SOURCE CONFLICT"))</x:f>
        <x:v>0</x:v>
      </x:c>
      <x:c r="T872" s="2" t="str">
        <x:f>IF(B872="","",IF(R872&lt;&gt;"CLOSED",R872,IF(S872&gt;0,"NATIVE INPUT ISSUE",IF(M872=0,"NO HISTORY",IF(M872&lt;P872,"SMALL SAMPLE","DERIVED")))))</x:f>
      </x:c>
      <x:c r="U872" s="2" t="str">
        <x:f>IF(B872="","","NativeTable; "&amp;E872&amp;"; "&amp;F872&amp;"; "&amp;G872&amp;"; "&amp;H872&amp;"; before "&amp;TEXT(J872,"yyyy-mm-dd")&amp;IF(I872="RECENT","; from "&amp;TEXT(L872,"yyyy-mm-dd"),""))</x:f>
      </x:c>
    </x:row>
    <x:row r="873" ht="21" customHeight="1">
      <x:c r="A873" s="2" t="n">
        <x:v>73</x:v>
      </x:c>
      <x:c r="B873" s="2" t="str">
        <x:f>IF('Input_Meci'!A78="","",'Input_Meci'!A78)</x:f>
      </x:c>
      <x:c r="C873" s="2" t="str">
        <x:v>A</x:v>
      </x:c>
      <x:c r="D873" s="2" t="str">
        <x:v>CURRENT</x:v>
      </x:c>
      <x:c r="E873" s="2" t="str">
        <x:f>IF(B873="","",'Input_Meci'!B78)</x:f>
      </x:c>
      <x:c r="F873" s="2" t="str">
        <x:f>IF(B873="","",IF('Input_Meci'!C78="","",'Input_Meci'!C78))</x:f>
      </x:c>
      <x:c r="G873" s="2" t="str">
        <x:f>IF(B873="","",'Input_Meci'!E78)</x:f>
      </x:c>
      <x:c r="H873" s="2" t="str">
        <x:v>ANY</x:v>
      </x:c>
      <x:c r="I873" s="2" t="str">
        <x:v>SEASON</x:v>
      </x:c>
      <x:c r="J873" s="9" t="n">
        <x:f>IF(AND(B873&lt;&gt;"",ISNUMBER('Input_Meci'!G78)),INT('Input_Meci'!G78),0)</x:f>
        <x:v>0</x:v>
      </x:c>
      <x:c r="K873" s="2" t="n">
        <x:f>IF(OR(B873="",F873=""),0,IF(H873="HOME",COUNTIFS('Istoric_Nativ'!$B$6:$B$405,E873,'Istoric_Nativ'!$C$6:$C$405,F873,'Istoric_Nativ'!$E$6:$E$405,G873,'Istoric_Nativ'!$D$6:$D$405,"&lt;"&amp;J873,'Istoric_Nativ'!$P$6:$P$405,1),IF(H873="AWAY",COUNTIFS('Istoric_Nativ'!$B$6:$B$405,E873,'Istoric_Nativ'!$C$6:$C$405,F873,'Istoric_Nativ'!$F$6:$F$405,G873,'Istoric_Nativ'!$D$6:$D$405,"&lt;"&amp;J873,'Istoric_Nativ'!$P$6:$P$405,1),COUNTIFS('Istoric_Nativ'!$B$6:$B$405,E873,'Istoric_Nativ'!$C$6:$C$405,F873,'Istoric_Nativ'!$E$6:$E$405,G873,'Istoric_Nativ'!$D$6:$D$405,"&lt;"&amp;J873,'Istoric_Nativ'!$P$6:$P$405,1)+COUNTIFS('Istoric_Nativ'!$B$6:$B$405,E873,'Istoric_Nativ'!$C$6:$C$405,F873,'Istoric_Nativ'!$F$6:$F$405,G873,'Istoric_Nativ'!$D$6:$D$405,"&lt;"&amp;J873,'Istoric_Nativ'!$P$6:$P$405,1))))</x:f>
        <x:v>0</x:v>
      </x:c>
      <x:c r="L873" s="17" t="n">
        <x:f>IF(AND(B873&lt;&gt;"",I873="RECENT",K873&gt;0),LARGE(_xlfn._xlws.FILTER('Istoric_Nativ'!$D$6:$D$405,('Istoric_Nativ'!$B$6:$B$405=E873)*('Istoric_Nativ'!$C$6:$C$405=F873)*('Istoric_Nativ'!$P$6:$P$405=1)*('Istoric_Nativ'!$D$6:$D$405&lt;J873)*((('Istoric_Nativ'!$E$6:$E$405=G873)+('Istoric_Nativ'!$F$6:$F$405=G873))&gt;0)),MIN('Config_v6'!$B$54,K873)),0)</x:f>
        <x:v>0</x:v>
      </x:c>
      <x:c r="M873" s="2" t="n">
        <x:f>IF(OR(B873="",F873=""),0,IF(H873="HOME",COUNTIFS('Istoric_Nativ'!$B$6:$B$405,E873,'Istoric_Nativ'!$C$6:$C$405,F873,'Istoric_Nativ'!$E$6:$E$405,G873,'Istoric_Nativ'!$D$6:$D$405,"&lt;"&amp;J873,'Istoric_Nativ'!$P$6:$P$405,1,'Istoric_Nativ'!$D$6:$D$405,"&gt;="&amp;L873),IF(H873="AWAY",COUNTIFS('Istoric_Nativ'!$B$6:$B$405,E873,'Istoric_Nativ'!$C$6:$C$405,F873,'Istoric_Nativ'!$F$6:$F$405,G873,'Istoric_Nativ'!$D$6:$D$405,"&lt;"&amp;J873,'Istoric_Nativ'!$P$6:$P$405,1,'Istoric_Nativ'!$D$6:$D$405,"&gt;="&amp;L873),COUNTIFS('Istoric_Nativ'!$B$6:$B$405,E873,'Istoric_Nativ'!$C$6:$C$405,F873,'Istoric_Nativ'!$E$6:$E$405,G873,'Istoric_Nativ'!$D$6:$D$405,"&lt;"&amp;J873,'Istoric_Nativ'!$P$6:$P$405,1,'Istoric_Nativ'!$D$6:$D$405,"&gt;="&amp;L873)+COUNTIFS('Istoric_Nativ'!$B$6:$B$405,E873,'Istoric_Nativ'!$C$6:$C$405,F873,'Istoric_Nativ'!$F$6:$F$405,G873,'Istoric_Nativ'!$D$6:$D$405,"&lt;"&amp;J873,'Istoric_Nativ'!$P$6:$P$405,1,'Istoric_Nativ'!$D$6:$D$405,"&gt;="&amp;L873))))</x:f>
        <x:v>0</x:v>
      </x:c>
      <x:c r="N873" s="11" t="str">
        <x:f>IF(M873=0,"",IF(H873="HOME",SUMIFS('Istoric_Nativ'!$G$6:$G$405,'Istoric_Nativ'!$B$6:$B$405,E873,'Istoric_Nativ'!$C$6:$C$405,F873,'Istoric_Nativ'!$E$6:$E$405,G873,'Istoric_Nativ'!$D$6:$D$405,"&lt;"&amp;J873,'Istoric_Nativ'!$P$6:$P$405,1,'Istoric_Nativ'!$D$6:$D$405,"&gt;="&amp;L873),IF(H873="AWAY",SUMIFS('Istoric_Nativ'!$H$6:$H$405,'Istoric_Nativ'!$B$6:$B$405,E873,'Istoric_Nativ'!$C$6:$C$405,F873,'Istoric_Nativ'!$F$6:$F$405,G873,'Istoric_Nativ'!$D$6:$D$405,"&lt;"&amp;J873,'Istoric_Nativ'!$P$6:$P$405,1,'Istoric_Nativ'!$D$6:$D$405,"&gt;="&amp;L873),SUMIFS('Istoric_Nativ'!$G$6:$G$405,'Istoric_Nativ'!$B$6:$B$405,E873,'Istoric_Nativ'!$C$6:$C$405,F873,'Istoric_Nativ'!$E$6:$E$405,G873,'Istoric_Nativ'!$D$6:$D$405,"&lt;"&amp;J873,'Istoric_Nativ'!$P$6:$P$405,1,'Istoric_Nativ'!$D$6:$D$405,"&gt;="&amp;L873)+SUMIFS('Istoric_Nativ'!$H$6:$H$405,'Istoric_Nativ'!$B$6:$B$405,E873,'Istoric_Nativ'!$C$6:$C$405,F873,'Istoric_Nativ'!$F$6:$F$405,G873,'Istoric_Nativ'!$D$6:$D$405,"&lt;"&amp;J873,'Istoric_Nativ'!$P$6:$P$405,1,'Istoric_Nativ'!$D$6:$D$405,"&gt;="&amp;L873)))/M873)</x:f>
      </x:c>
      <x:c r="O873" s="11" t="str">
        <x:f>IF(M873=0,"",IF(H873="HOME",SUMIFS('Istoric_Nativ'!$H$6:$H$405,'Istoric_Nativ'!$B$6:$B$405,E873,'Istoric_Nativ'!$C$6:$C$405,F873,'Istoric_Nativ'!$E$6:$E$405,G873,'Istoric_Nativ'!$D$6:$D$405,"&lt;"&amp;J873,'Istoric_Nativ'!$P$6:$P$405,1,'Istoric_Nativ'!$D$6:$D$405,"&gt;="&amp;L873),IF(H873="AWAY",SUMIFS('Istoric_Nativ'!$G$6:$G$405,'Istoric_Nativ'!$B$6:$B$405,E873,'Istoric_Nativ'!$C$6:$C$405,F873,'Istoric_Nativ'!$F$6:$F$405,G873,'Istoric_Nativ'!$D$6:$D$405,"&lt;"&amp;J873,'Istoric_Nativ'!$P$6:$P$405,1,'Istoric_Nativ'!$D$6:$D$405,"&gt;="&amp;L873),SUMIFS('Istoric_Nativ'!$H$6:$H$405,'Istoric_Nativ'!$B$6:$B$405,E873,'Istoric_Nativ'!$C$6:$C$405,F873,'Istoric_Nativ'!$E$6:$E$405,G873,'Istoric_Nativ'!$D$6:$D$405,"&lt;"&amp;J873,'Istoric_Nativ'!$P$6:$P$405,1,'Istoric_Nativ'!$D$6:$D$405,"&gt;="&amp;L873)+SUMIFS('Istoric_Nativ'!$G$6:$G$405,'Istoric_Nativ'!$B$6:$B$405,E873,'Istoric_Nativ'!$C$6:$C$405,F873,'Istoric_Nativ'!$F$6:$F$405,G873,'Istoric_Nativ'!$D$6:$D$405,"&lt;"&amp;J873,'Istoric_Nativ'!$P$6:$P$405,1,'Istoric_Nativ'!$D$6:$D$405,"&gt;="&amp;L873)))/M873)</x:f>
      </x:c>
      <x:c r="P873" s="2" t="n">
        <x:f>'Config_v6'!$B$7</x:f>
        <x:v>10</x:v>
      </x:c>
      <x:c r="Q873" s="2" t="n">
        <x:f>IF(OR(B873="",F873=""),0,IFERROR(MATCH(E873&amp;"|"&amp;F873,SourceTable[Source_Key],0),0))</x:f>
        <x:v>0</x:v>
      </x:c>
      <x:c r="R873" s="2" t="str">
        <x:f>IF(B873="","",IF(F873="","UNUSED",IF(Q873=0,"NOT CHECKED",IF(COUNTIF(SourceTable[Source_Key],E873&amp;"|"&amp;F873)&lt;&gt;1,"SOURCE CONFLICT",IF(NOT(OR(INDEX(SourceTable[Status],MAX(1,Q873))="IMPORTED",INDEX(SourceTable[Status],MAX(1,Q873))="PARTIAL",INDEX(SourceTable[Status],MAX(1,Q873))="SOURCE CONFLICT")),"ACCESS BLOCKED",IF(OR(INDEX(SourceTable[Coverage],Q873)&lt;&gt;"FULL SEASON EXPORT",INDEX(SourceTable[URL],Q873)="",INDEX(SourceTable[SHA256],Q873)=""),"EVIDENCE INCOMPLETE",IF(AND('Input_Meci'!H78="LIVE",INDEX(SourceTable[Retrieved_UTC],Q873)&gt;'Input_Meci'!G78),"POST CUTOFF","CLOSED")))))))</x:f>
      </x:c>
      <x:c r="S873" s="2" t="n">
        <x:f>IF(OR(B873="",F873=""),0,COUNTIFS('Istoric_Nativ'!$B$6:$B$405,E873,'Istoric_Nativ'!$C$6:$C$405,F873,'Istoric_Nativ'!$E$6:$E$405,G873,'Istoric_Nativ'!$D$6:$D$405,"&lt;"&amp;J873,'Istoric_Nativ'!$O$6:$O$405,"INVALID")+COUNTIFS('Istoric_Nativ'!$B$6:$B$405,E873,'Istoric_Nativ'!$C$6:$C$405,F873,'Istoric_Nativ'!$E$6:$E$405,G873,'Istoric_Nativ'!$O$6:$O$405,"INVALID",'Istoric_Nativ'!$D$6:$D$405,"*")+COUNTIFS('Istoric_Nativ'!$B$6:$B$405,E873,'Istoric_Nativ'!$C$6:$C$405,F873,'Istoric_Nativ'!$E$6:$E$405,G873,'Istoric_Nativ'!$D$6:$D$405,"&lt;"&amp;J873,'Istoric_Nativ'!$O$6:$O$405,"SOURCE CONFLICT")+COUNTIFS('Istoric_Nativ'!$B$6:$B$405,E873,'Istoric_Nativ'!$C$6:$C$405,F873,'Istoric_Nativ'!$F$6:$F$405,G873,'Istoric_Nativ'!$D$6:$D$405,"&lt;"&amp;J873,'Istoric_Nativ'!$O$6:$O$405,"INVALID")+COUNTIFS('Istoric_Nativ'!$B$6:$B$405,E873,'Istoric_Nativ'!$C$6:$C$405,F873,'Istoric_Nativ'!$F$6:$F$405,G873,'Istoric_Nativ'!$O$6:$O$405,"INVALID",'Istoric_Nativ'!$D$6:$D$405,"*")+COUNTIFS('Istoric_Nativ'!$B$6:$B$405,E873,'Istoric_Nativ'!$C$6:$C$405,F873,'Istoric_Nativ'!$F$6:$F$405,G873,'Istoric_Nativ'!$D$6:$D$405,"&lt;"&amp;J873,'Istoric_Nativ'!$O$6:$O$405,"SOURCE CONFLICT"))</x:f>
        <x:v>0</x:v>
      </x:c>
      <x:c r="T873" s="2" t="str">
        <x:f>IF(B873="","",IF(R873&lt;&gt;"CLOSED",R873,IF(S873&gt;0,"NATIVE INPUT ISSUE",IF(M873=0,"NO HISTORY",IF(M873&lt;P873,"SMALL SAMPLE","DERIVED")))))</x:f>
      </x:c>
      <x:c r="U873" s="2" t="str">
        <x:f>IF(B873="","","NativeTable; "&amp;E873&amp;"; "&amp;F873&amp;"; "&amp;G873&amp;"; "&amp;H873&amp;"; before "&amp;TEXT(J873,"yyyy-mm-dd")&amp;IF(I873="RECENT","; from "&amp;TEXT(L873,"yyyy-mm-dd"),""))</x:f>
      </x:c>
    </x:row>
    <x:row r="874" ht="21" customHeight="1">
      <x:c r="A874" s="2" t="n">
        <x:v>73</x:v>
      </x:c>
      <x:c r="B874" s="2" t="str">
        <x:f>IF('Input_Meci'!A78="","",'Input_Meci'!A78)</x:f>
      </x:c>
      <x:c r="C874" s="2" t="str">
        <x:v>A</x:v>
      </x:c>
      <x:c r="D874" s="2" t="str">
        <x:v>CURRENT</x:v>
      </x:c>
      <x:c r="E874" s="2" t="str">
        <x:f>IF(B874="","",'Input_Meci'!B78)</x:f>
      </x:c>
      <x:c r="F874" s="2" t="str">
        <x:f>IF(B874="","",IF('Input_Meci'!C78="","",'Input_Meci'!C78))</x:f>
      </x:c>
      <x:c r="G874" s="2" t="str">
        <x:f>IF(B874="","",'Input_Meci'!E78)</x:f>
      </x:c>
      <x:c r="H874" s="2" t="str">
        <x:v>AWAY</x:v>
      </x:c>
      <x:c r="I874" s="2" t="str">
        <x:v>HA</x:v>
      </x:c>
      <x:c r="J874" s="9" t="n">
        <x:f>IF(AND(B874&lt;&gt;"",ISNUMBER('Input_Meci'!G78)),INT('Input_Meci'!G78),0)</x:f>
        <x:v>0</x:v>
      </x:c>
      <x:c r="K874" s="2" t="n">
        <x:f>IF(OR(B874="",F874=""),0,IF(H874="HOME",COUNTIFS('Istoric_Nativ'!$B$6:$B$405,E874,'Istoric_Nativ'!$C$6:$C$405,F874,'Istoric_Nativ'!$E$6:$E$405,G874,'Istoric_Nativ'!$D$6:$D$405,"&lt;"&amp;J874,'Istoric_Nativ'!$P$6:$P$405,1),IF(H874="AWAY",COUNTIFS('Istoric_Nativ'!$B$6:$B$405,E874,'Istoric_Nativ'!$C$6:$C$405,F874,'Istoric_Nativ'!$F$6:$F$405,G874,'Istoric_Nativ'!$D$6:$D$405,"&lt;"&amp;J874,'Istoric_Nativ'!$P$6:$P$405,1),COUNTIFS('Istoric_Nativ'!$B$6:$B$405,E874,'Istoric_Nativ'!$C$6:$C$405,F874,'Istoric_Nativ'!$E$6:$E$405,G874,'Istoric_Nativ'!$D$6:$D$405,"&lt;"&amp;J874,'Istoric_Nativ'!$P$6:$P$405,1)+COUNTIFS('Istoric_Nativ'!$B$6:$B$405,E874,'Istoric_Nativ'!$C$6:$C$405,F874,'Istoric_Nativ'!$F$6:$F$405,G874,'Istoric_Nativ'!$D$6:$D$405,"&lt;"&amp;J874,'Istoric_Nativ'!$P$6:$P$405,1))))</x:f>
        <x:v>0</x:v>
      </x:c>
      <x:c r="L874" s="17" t="n">
        <x:f>IF(AND(B874&lt;&gt;"",I874="RECENT",K874&gt;0),LARGE(_xlfn._xlws.FILTER('Istoric_Nativ'!$D$6:$D$405,('Istoric_Nativ'!$B$6:$B$405=E874)*('Istoric_Nativ'!$C$6:$C$405=F874)*('Istoric_Nativ'!$P$6:$P$405=1)*('Istoric_Nativ'!$D$6:$D$405&lt;J874)*((('Istoric_Nativ'!$E$6:$E$405=G874)+('Istoric_Nativ'!$F$6:$F$405=G874))&gt;0)),MIN('Config_v6'!$B$54,K874)),0)</x:f>
        <x:v>0</x:v>
      </x:c>
      <x:c r="M874" s="2" t="n">
        <x:f>IF(OR(B874="",F874=""),0,IF(H874="HOME",COUNTIFS('Istoric_Nativ'!$B$6:$B$405,E874,'Istoric_Nativ'!$C$6:$C$405,F874,'Istoric_Nativ'!$E$6:$E$405,G874,'Istoric_Nativ'!$D$6:$D$405,"&lt;"&amp;J874,'Istoric_Nativ'!$P$6:$P$405,1,'Istoric_Nativ'!$D$6:$D$405,"&gt;="&amp;L874),IF(H874="AWAY",COUNTIFS('Istoric_Nativ'!$B$6:$B$405,E874,'Istoric_Nativ'!$C$6:$C$405,F874,'Istoric_Nativ'!$F$6:$F$405,G874,'Istoric_Nativ'!$D$6:$D$405,"&lt;"&amp;J874,'Istoric_Nativ'!$P$6:$P$405,1,'Istoric_Nativ'!$D$6:$D$405,"&gt;="&amp;L874),COUNTIFS('Istoric_Nativ'!$B$6:$B$405,E874,'Istoric_Nativ'!$C$6:$C$405,F874,'Istoric_Nativ'!$E$6:$E$405,G874,'Istoric_Nativ'!$D$6:$D$405,"&lt;"&amp;J874,'Istoric_Nativ'!$P$6:$P$405,1,'Istoric_Nativ'!$D$6:$D$405,"&gt;="&amp;L874)+COUNTIFS('Istoric_Nativ'!$B$6:$B$405,E874,'Istoric_Nativ'!$C$6:$C$405,F874,'Istoric_Nativ'!$F$6:$F$405,G874,'Istoric_Nativ'!$D$6:$D$405,"&lt;"&amp;J874,'Istoric_Nativ'!$P$6:$P$405,1,'Istoric_Nativ'!$D$6:$D$405,"&gt;="&amp;L874))))</x:f>
        <x:v>0</x:v>
      </x:c>
      <x:c r="N874" s="11" t="str">
        <x:f>IF(M874=0,"",IF(H874="HOME",SUMIFS('Istoric_Nativ'!$G$6:$G$405,'Istoric_Nativ'!$B$6:$B$405,E874,'Istoric_Nativ'!$C$6:$C$405,F874,'Istoric_Nativ'!$E$6:$E$405,G874,'Istoric_Nativ'!$D$6:$D$405,"&lt;"&amp;J874,'Istoric_Nativ'!$P$6:$P$405,1,'Istoric_Nativ'!$D$6:$D$405,"&gt;="&amp;L874),IF(H874="AWAY",SUMIFS('Istoric_Nativ'!$H$6:$H$405,'Istoric_Nativ'!$B$6:$B$405,E874,'Istoric_Nativ'!$C$6:$C$405,F874,'Istoric_Nativ'!$F$6:$F$405,G874,'Istoric_Nativ'!$D$6:$D$405,"&lt;"&amp;J874,'Istoric_Nativ'!$P$6:$P$405,1,'Istoric_Nativ'!$D$6:$D$405,"&gt;="&amp;L874),SUMIFS('Istoric_Nativ'!$G$6:$G$405,'Istoric_Nativ'!$B$6:$B$405,E874,'Istoric_Nativ'!$C$6:$C$405,F874,'Istoric_Nativ'!$E$6:$E$405,G874,'Istoric_Nativ'!$D$6:$D$405,"&lt;"&amp;J874,'Istoric_Nativ'!$P$6:$P$405,1,'Istoric_Nativ'!$D$6:$D$405,"&gt;="&amp;L874)+SUMIFS('Istoric_Nativ'!$H$6:$H$405,'Istoric_Nativ'!$B$6:$B$405,E874,'Istoric_Nativ'!$C$6:$C$405,F874,'Istoric_Nativ'!$F$6:$F$405,G874,'Istoric_Nativ'!$D$6:$D$405,"&lt;"&amp;J874,'Istoric_Nativ'!$P$6:$P$405,1,'Istoric_Nativ'!$D$6:$D$405,"&gt;="&amp;L874)))/M874)</x:f>
      </x:c>
      <x:c r="O874" s="11" t="str">
        <x:f>IF(M874=0,"",IF(H874="HOME",SUMIFS('Istoric_Nativ'!$H$6:$H$405,'Istoric_Nativ'!$B$6:$B$405,E874,'Istoric_Nativ'!$C$6:$C$405,F874,'Istoric_Nativ'!$E$6:$E$405,G874,'Istoric_Nativ'!$D$6:$D$405,"&lt;"&amp;J874,'Istoric_Nativ'!$P$6:$P$405,1,'Istoric_Nativ'!$D$6:$D$405,"&gt;="&amp;L874),IF(H874="AWAY",SUMIFS('Istoric_Nativ'!$G$6:$G$405,'Istoric_Nativ'!$B$6:$B$405,E874,'Istoric_Nativ'!$C$6:$C$405,F874,'Istoric_Nativ'!$F$6:$F$405,G874,'Istoric_Nativ'!$D$6:$D$405,"&lt;"&amp;J874,'Istoric_Nativ'!$P$6:$P$405,1,'Istoric_Nativ'!$D$6:$D$405,"&gt;="&amp;L874),SUMIFS('Istoric_Nativ'!$H$6:$H$405,'Istoric_Nativ'!$B$6:$B$405,E874,'Istoric_Nativ'!$C$6:$C$405,F874,'Istoric_Nativ'!$E$6:$E$405,G874,'Istoric_Nativ'!$D$6:$D$405,"&lt;"&amp;J874,'Istoric_Nativ'!$P$6:$P$405,1,'Istoric_Nativ'!$D$6:$D$405,"&gt;="&amp;L874)+SUMIFS('Istoric_Nativ'!$G$6:$G$405,'Istoric_Nativ'!$B$6:$B$405,E874,'Istoric_Nativ'!$C$6:$C$405,F874,'Istoric_Nativ'!$F$6:$F$405,G874,'Istoric_Nativ'!$D$6:$D$405,"&lt;"&amp;J874,'Istoric_Nativ'!$P$6:$P$405,1,'Istoric_Nativ'!$D$6:$D$405,"&gt;="&amp;L874)))/M874)</x:f>
      </x:c>
      <x:c r="P874" s="2" t="n">
        <x:f>'Config_v6'!$B$8</x:f>
        <x:v>5</x:v>
      </x:c>
      <x:c r="Q874" s="2" t="n">
        <x:f>IF(OR(B874="",F874=""),0,IFERROR(MATCH(E874&amp;"|"&amp;F874,SourceTable[Source_Key],0),0))</x:f>
        <x:v>0</x:v>
      </x:c>
      <x:c r="R874" s="2" t="str">
        <x:f>IF(B874="","",IF(F874="","UNUSED",IF(Q874=0,"NOT CHECKED",IF(COUNTIF(SourceTable[Source_Key],E874&amp;"|"&amp;F874)&lt;&gt;1,"SOURCE CONFLICT",IF(NOT(OR(INDEX(SourceTable[Status],MAX(1,Q874))="IMPORTED",INDEX(SourceTable[Status],MAX(1,Q874))="PARTIAL",INDEX(SourceTable[Status],MAX(1,Q874))="SOURCE CONFLICT")),"ACCESS BLOCKED",IF(OR(INDEX(SourceTable[Coverage],Q874)&lt;&gt;"FULL SEASON EXPORT",INDEX(SourceTable[URL],Q874)="",INDEX(SourceTable[SHA256],Q874)=""),"EVIDENCE INCOMPLETE",IF(AND('Input_Meci'!H78="LIVE",INDEX(SourceTable[Retrieved_UTC],Q874)&gt;'Input_Meci'!G78),"POST CUTOFF","CLOSED")))))))</x:f>
      </x:c>
      <x:c r="S874" s="2" t="n">
        <x:f>IF(OR(B874="",F874=""),0,COUNTIFS('Istoric_Nativ'!$B$6:$B$405,E874,'Istoric_Nativ'!$C$6:$C$405,F874,'Istoric_Nativ'!$E$6:$E$405,G874,'Istoric_Nativ'!$D$6:$D$405,"&lt;"&amp;J874,'Istoric_Nativ'!$O$6:$O$405,"INVALID")+COUNTIFS('Istoric_Nativ'!$B$6:$B$405,E874,'Istoric_Nativ'!$C$6:$C$405,F874,'Istoric_Nativ'!$E$6:$E$405,G874,'Istoric_Nativ'!$O$6:$O$405,"INVALID",'Istoric_Nativ'!$D$6:$D$405,"*")+COUNTIFS('Istoric_Nativ'!$B$6:$B$405,E874,'Istoric_Nativ'!$C$6:$C$405,F874,'Istoric_Nativ'!$E$6:$E$405,G874,'Istoric_Nativ'!$D$6:$D$405,"&lt;"&amp;J874,'Istoric_Nativ'!$O$6:$O$405,"SOURCE CONFLICT")+COUNTIFS('Istoric_Nativ'!$B$6:$B$405,E874,'Istoric_Nativ'!$C$6:$C$405,F874,'Istoric_Nativ'!$F$6:$F$405,G874,'Istoric_Nativ'!$D$6:$D$405,"&lt;"&amp;J874,'Istoric_Nativ'!$O$6:$O$405,"INVALID")+COUNTIFS('Istoric_Nativ'!$B$6:$B$405,E874,'Istoric_Nativ'!$C$6:$C$405,F874,'Istoric_Nativ'!$F$6:$F$405,G874,'Istoric_Nativ'!$O$6:$O$405,"INVALID",'Istoric_Nativ'!$D$6:$D$405,"*")+COUNTIFS('Istoric_Nativ'!$B$6:$B$405,E874,'Istoric_Nativ'!$C$6:$C$405,F874,'Istoric_Nativ'!$F$6:$F$405,G874,'Istoric_Nativ'!$D$6:$D$405,"&lt;"&amp;J874,'Istoric_Nativ'!$O$6:$O$405,"SOURCE CONFLICT"))</x:f>
        <x:v>0</x:v>
      </x:c>
      <x:c r="T874" s="2" t="str">
        <x:f>IF(B874="","",IF(R874&lt;&gt;"CLOSED",R874,IF(S874&gt;0,"NATIVE INPUT ISSUE",IF(M874=0,"NO HISTORY",IF(M874&lt;P874,"SMALL SAMPLE","DERIVED")))))</x:f>
      </x:c>
      <x:c r="U874" s="2" t="str">
        <x:f>IF(B874="","","NativeTable; "&amp;E874&amp;"; "&amp;F874&amp;"; "&amp;G874&amp;"; "&amp;H874&amp;"; before "&amp;TEXT(J874,"yyyy-mm-dd")&amp;IF(I874="RECENT","; from "&amp;TEXT(L874,"yyyy-mm-dd"),""))</x:f>
      </x:c>
    </x:row>
    <x:row r="875" ht="21" customHeight="1">
      <x:c r="A875" s="2" t="n">
        <x:v>73</x:v>
      </x:c>
      <x:c r="B875" s="2" t="str">
        <x:f>IF('Input_Meci'!A78="","",'Input_Meci'!A78)</x:f>
      </x:c>
      <x:c r="C875" s="2" t="str">
        <x:v>A</x:v>
      </x:c>
      <x:c r="D875" s="2" t="str">
        <x:v>CURRENT</x:v>
      </x:c>
      <x:c r="E875" s="2" t="str">
        <x:f>IF(B875="","",'Input_Meci'!B78)</x:f>
      </x:c>
      <x:c r="F875" s="2" t="str">
        <x:f>IF(B875="","",IF('Input_Meci'!C78="","",'Input_Meci'!C78))</x:f>
      </x:c>
      <x:c r="G875" s="2" t="str">
        <x:f>IF(B875="","",'Input_Meci'!E78)</x:f>
      </x:c>
      <x:c r="H875" s="2" t="str">
        <x:v>ANY</x:v>
      </x:c>
      <x:c r="I875" s="2" t="str">
        <x:v>RECENT</x:v>
      </x:c>
      <x:c r="J875" s="9" t="n">
        <x:f>IF(AND(B875&lt;&gt;"",ISNUMBER('Input_Meci'!G78)),INT('Input_Meci'!G78),0)</x:f>
        <x:v>0</x:v>
      </x:c>
      <x:c r="K875" s="2" t="n">
        <x:f>IF(OR(B875="",F875=""),0,IF(H875="HOME",COUNTIFS('Istoric_Nativ'!$B$6:$B$405,E875,'Istoric_Nativ'!$C$6:$C$405,F875,'Istoric_Nativ'!$E$6:$E$405,G875,'Istoric_Nativ'!$D$6:$D$405,"&lt;"&amp;J875,'Istoric_Nativ'!$P$6:$P$405,1),IF(H875="AWAY",COUNTIFS('Istoric_Nativ'!$B$6:$B$405,E875,'Istoric_Nativ'!$C$6:$C$405,F875,'Istoric_Nativ'!$F$6:$F$405,G875,'Istoric_Nativ'!$D$6:$D$405,"&lt;"&amp;J875,'Istoric_Nativ'!$P$6:$P$405,1),COUNTIFS('Istoric_Nativ'!$B$6:$B$405,E875,'Istoric_Nativ'!$C$6:$C$405,F875,'Istoric_Nativ'!$E$6:$E$405,G875,'Istoric_Nativ'!$D$6:$D$405,"&lt;"&amp;J875,'Istoric_Nativ'!$P$6:$P$405,1)+COUNTIFS('Istoric_Nativ'!$B$6:$B$405,E875,'Istoric_Nativ'!$C$6:$C$405,F875,'Istoric_Nativ'!$F$6:$F$405,G875,'Istoric_Nativ'!$D$6:$D$405,"&lt;"&amp;J875,'Istoric_Nativ'!$P$6:$P$405,1))))</x:f>
        <x:v>0</x:v>
      </x:c>
      <x:c r="L875" s="17" t="n">
        <x:f>IF(AND(B875&lt;&gt;"",I875="RECENT",K875&gt;0),LARGE(_xlfn._xlws.FILTER('Istoric_Nativ'!$D$6:$D$405,('Istoric_Nativ'!$B$6:$B$405=E875)*('Istoric_Nativ'!$C$6:$C$405=F875)*('Istoric_Nativ'!$P$6:$P$405=1)*('Istoric_Nativ'!$D$6:$D$405&lt;J875)*((('Istoric_Nativ'!$E$6:$E$405=G875)+('Istoric_Nativ'!$F$6:$F$405=G875))&gt;0)),MIN('Config_v6'!$B$54,K875)),0)</x:f>
        <x:v>0</x:v>
      </x:c>
      <x:c r="M875" s="2" t="n">
        <x:f>IF(OR(B875="",F875=""),0,IF(H875="HOME",COUNTIFS('Istoric_Nativ'!$B$6:$B$405,E875,'Istoric_Nativ'!$C$6:$C$405,F875,'Istoric_Nativ'!$E$6:$E$405,G875,'Istoric_Nativ'!$D$6:$D$405,"&lt;"&amp;J875,'Istoric_Nativ'!$P$6:$P$405,1,'Istoric_Nativ'!$D$6:$D$405,"&gt;="&amp;L875),IF(H875="AWAY",COUNTIFS('Istoric_Nativ'!$B$6:$B$405,E875,'Istoric_Nativ'!$C$6:$C$405,F875,'Istoric_Nativ'!$F$6:$F$405,G875,'Istoric_Nativ'!$D$6:$D$405,"&lt;"&amp;J875,'Istoric_Nativ'!$P$6:$P$405,1,'Istoric_Nativ'!$D$6:$D$405,"&gt;="&amp;L875),COUNTIFS('Istoric_Nativ'!$B$6:$B$405,E875,'Istoric_Nativ'!$C$6:$C$405,F875,'Istoric_Nativ'!$E$6:$E$405,G875,'Istoric_Nativ'!$D$6:$D$405,"&lt;"&amp;J875,'Istoric_Nativ'!$P$6:$P$405,1,'Istoric_Nativ'!$D$6:$D$405,"&gt;="&amp;L875)+COUNTIFS('Istoric_Nativ'!$B$6:$B$405,E875,'Istoric_Nativ'!$C$6:$C$405,F875,'Istoric_Nativ'!$F$6:$F$405,G875,'Istoric_Nativ'!$D$6:$D$405,"&lt;"&amp;J875,'Istoric_Nativ'!$P$6:$P$405,1,'Istoric_Nativ'!$D$6:$D$405,"&gt;="&amp;L875))))</x:f>
        <x:v>0</x:v>
      </x:c>
      <x:c r="N875" s="11" t="str">
        <x:f>IF(M875=0,"",IF(H875="HOME",SUMIFS('Istoric_Nativ'!$G$6:$G$405,'Istoric_Nativ'!$B$6:$B$405,E875,'Istoric_Nativ'!$C$6:$C$405,F875,'Istoric_Nativ'!$E$6:$E$405,G875,'Istoric_Nativ'!$D$6:$D$405,"&lt;"&amp;J875,'Istoric_Nativ'!$P$6:$P$405,1,'Istoric_Nativ'!$D$6:$D$405,"&gt;="&amp;L875),IF(H875="AWAY",SUMIFS('Istoric_Nativ'!$H$6:$H$405,'Istoric_Nativ'!$B$6:$B$405,E875,'Istoric_Nativ'!$C$6:$C$405,F875,'Istoric_Nativ'!$F$6:$F$405,G875,'Istoric_Nativ'!$D$6:$D$405,"&lt;"&amp;J875,'Istoric_Nativ'!$P$6:$P$405,1,'Istoric_Nativ'!$D$6:$D$405,"&gt;="&amp;L875),SUMIFS('Istoric_Nativ'!$G$6:$G$405,'Istoric_Nativ'!$B$6:$B$405,E875,'Istoric_Nativ'!$C$6:$C$405,F875,'Istoric_Nativ'!$E$6:$E$405,G875,'Istoric_Nativ'!$D$6:$D$405,"&lt;"&amp;J875,'Istoric_Nativ'!$P$6:$P$405,1,'Istoric_Nativ'!$D$6:$D$405,"&gt;="&amp;L875)+SUMIFS('Istoric_Nativ'!$H$6:$H$405,'Istoric_Nativ'!$B$6:$B$405,E875,'Istoric_Nativ'!$C$6:$C$405,F875,'Istoric_Nativ'!$F$6:$F$405,G875,'Istoric_Nativ'!$D$6:$D$405,"&lt;"&amp;J875,'Istoric_Nativ'!$P$6:$P$405,1,'Istoric_Nativ'!$D$6:$D$405,"&gt;="&amp;L875)))/M875)</x:f>
      </x:c>
      <x:c r="O875" s="11" t="str">
        <x:f>IF(M875=0,"",IF(H875="HOME",SUMIFS('Istoric_Nativ'!$H$6:$H$405,'Istoric_Nativ'!$B$6:$B$405,E875,'Istoric_Nativ'!$C$6:$C$405,F875,'Istoric_Nativ'!$E$6:$E$405,G875,'Istoric_Nativ'!$D$6:$D$405,"&lt;"&amp;J875,'Istoric_Nativ'!$P$6:$P$405,1,'Istoric_Nativ'!$D$6:$D$405,"&gt;="&amp;L875),IF(H875="AWAY",SUMIFS('Istoric_Nativ'!$G$6:$G$405,'Istoric_Nativ'!$B$6:$B$405,E875,'Istoric_Nativ'!$C$6:$C$405,F875,'Istoric_Nativ'!$F$6:$F$405,G875,'Istoric_Nativ'!$D$6:$D$405,"&lt;"&amp;J875,'Istoric_Nativ'!$P$6:$P$405,1,'Istoric_Nativ'!$D$6:$D$405,"&gt;="&amp;L875),SUMIFS('Istoric_Nativ'!$H$6:$H$405,'Istoric_Nativ'!$B$6:$B$405,E875,'Istoric_Nativ'!$C$6:$C$405,F875,'Istoric_Nativ'!$E$6:$E$405,G875,'Istoric_Nativ'!$D$6:$D$405,"&lt;"&amp;J875,'Istoric_Nativ'!$P$6:$P$405,1,'Istoric_Nativ'!$D$6:$D$405,"&gt;="&amp;L875)+SUMIFS('Istoric_Nativ'!$G$6:$G$405,'Istoric_Nativ'!$B$6:$B$405,E875,'Istoric_Nativ'!$C$6:$C$405,F875,'Istoric_Nativ'!$F$6:$F$405,G875,'Istoric_Nativ'!$D$6:$D$405,"&lt;"&amp;J875,'Istoric_Nativ'!$P$6:$P$405,1,'Istoric_Nativ'!$D$6:$D$405,"&gt;="&amp;L875)))/M875)</x:f>
      </x:c>
      <x:c r="P875" s="2" t="n">
        <x:f>'Config_v6'!$B$9</x:f>
        <x:v>3</x:v>
      </x:c>
      <x:c r="Q875" s="2" t="n">
        <x:f>IF(OR(B875="",F875=""),0,IFERROR(MATCH(E875&amp;"|"&amp;F875,SourceTable[Source_Key],0),0))</x:f>
        <x:v>0</x:v>
      </x:c>
      <x:c r="R875" s="2" t="str">
        <x:f>IF(B875="","",IF(F875="","UNUSED",IF(Q875=0,"NOT CHECKED",IF(COUNTIF(SourceTable[Source_Key],E875&amp;"|"&amp;F875)&lt;&gt;1,"SOURCE CONFLICT",IF(NOT(OR(INDEX(SourceTable[Status],MAX(1,Q875))="IMPORTED",INDEX(SourceTable[Status],MAX(1,Q875))="PARTIAL",INDEX(SourceTable[Status],MAX(1,Q875))="SOURCE CONFLICT")),"ACCESS BLOCKED",IF(OR(INDEX(SourceTable[Coverage],Q875)&lt;&gt;"FULL SEASON EXPORT",INDEX(SourceTable[URL],Q875)="",INDEX(SourceTable[SHA256],Q875)=""),"EVIDENCE INCOMPLETE",IF(AND('Input_Meci'!H78="LIVE",INDEX(SourceTable[Retrieved_UTC],Q875)&gt;'Input_Meci'!G78),"POST CUTOFF","CLOSED")))))))</x:f>
      </x:c>
      <x:c r="S875" s="2" t="n">
        <x:f>IF(OR(B875="",F875=""),0,COUNTIFS('Istoric_Nativ'!$B$6:$B$405,E875,'Istoric_Nativ'!$C$6:$C$405,F875,'Istoric_Nativ'!$E$6:$E$405,G875,'Istoric_Nativ'!$D$6:$D$405,"&lt;"&amp;J875,'Istoric_Nativ'!$O$6:$O$405,"INVALID")+COUNTIFS('Istoric_Nativ'!$B$6:$B$405,E875,'Istoric_Nativ'!$C$6:$C$405,F875,'Istoric_Nativ'!$E$6:$E$405,G875,'Istoric_Nativ'!$O$6:$O$405,"INVALID",'Istoric_Nativ'!$D$6:$D$405,"*")+COUNTIFS('Istoric_Nativ'!$B$6:$B$405,E875,'Istoric_Nativ'!$C$6:$C$405,F875,'Istoric_Nativ'!$E$6:$E$405,G875,'Istoric_Nativ'!$D$6:$D$405,"&lt;"&amp;J875,'Istoric_Nativ'!$O$6:$O$405,"SOURCE CONFLICT")+COUNTIFS('Istoric_Nativ'!$B$6:$B$405,E875,'Istoric_Nativ'!$C$6:$C$405,F875,'Istoric_Nativ'!$F$6:$F$405,G875,'Istoric_Nativ'!$D$6:$D$405,"&lt;"&amp;J875,'Istoric_Nativ'!$O$6:$O$405,"INVALID")+COUNTIFS('Istoric_Nativ'!$B$6:$B$405,E875,'Istoric_Nativ'!$C$6:$C$405,F875,'Istoric_Nativ'!$F$6:$F$405,G875,'Istoric_Nativ'!$O$6:$O$405,"INVALID",'Istoric_Nativ'!$D$6:$D$405,"*")+COUNTIFS('Istoric_Nativ'!$B$6:$B$405,E875,'Istoric_Nativ'!$C$6:$C$405,F875,'Istoric_Nativ'!$F$6:$F$405,G875,'Istoric_Nativ'!$D$6:$D$405,"&lt;"&amp;J875,'Istoric_Nativ'!$O$6:$O$405,"SOURCE CONFLICT"))</x:f>
        <x:v>0</x:v>
      </x:c>
      <x:c r="T875" s="2" t="str">
        <x:f>IF(B875="","",IF(R875&lt;&gt;"CLOSED",R875,IF(S875&gt;0,"NATIVE INPUT ISSUE",IF(M875=0,"NO HISTORY",IF(M875&lt;P875,"SMALL SAMPLE","DERIVED")))))</x:f>
      </x:c>
      <x:c r="U875" s="2" t="str">
        <x:f>IF(B875="","","NativeTable; "&amp;E875&amp;"; "&amp;F875&amp;"; "&amp;G875&amp;"; "&amp;H875&amp;"; before "&amp;TEXT(J875,"yyyy-mm-dd")&amp;IF(I875="RECENT","; from "&amp;TEXT(L875,"yyyy-mm-dd"),""))</x:f>
      </x:c>
    </x:row>
    <x:row r="876" ht="21" customHeight="1">
      <x:c r="A876" s="2" t="n">
        <x:v>73</x:v>
      </x:c>
      <x:c r="B876" s="2" t="str">
        <x:f>IF('Input_Meci'!A78="","",'Input_Meci'!A78)</x:f>
      </x:c>
      <x:c r="C876" s="2" t="str">
        <x:v>H</x:v>
      </x:c>
      <x:c r="D876" s="2" t="str">
        <x:v>PRIOR</x:v>
      </x:c>
      <x:c r="E876" s="2" t="str">
        <x:f>IF(B876="","",'Input_Meci'!B78)</x:f>
      </x:c>
      <x:c r="F876" s="2" t="str">
        <x:f>IF(B876="","",IF('Input_Meci'!K78="","",'Input_Meci'!K78))</x:f>
      </x:c>
      <x:c r="G876" s="2" t="str">
        <x:f>IF(B876="","",'Input_Meci'!D78)</x:f>
      </x:c>
      <x:c r="H876" s="2" t="str">
        <x:v>ANY</x:v>
      </x:c>
      <x:c r="I876" s="2" t="str">
        <x:v>SEASON</x:v>
      </x:c>
      <x:c r="J876" s="9" t="n">
        <x:f>IF(AND(B876&lt;&gt;"",ISNUMBER('Input_Meci'!G78)),INT('Input_Meci'!G78),0)</x:f>
        <x:v>0</x:v>
      </x:c>
      <x:c r="K876" s="2" t="n">
        <x:f>IF(OR(B876="",F876=""),0,IF(H876="HOME",COUNTIFS('Istoric_Nativ'!$B$6:$B$405,E876,'Istoric_Nativ'!$C$6:$C$405,F876,'Istoric_Nativ'!$E$6:$E$405,G876,'Istoric_Nativ'!$D$6:$D$405,"&lt;"&amp;J876,'Istoric_Nativ'!$P$6:$P$405,1),IF(H876="AWAY",COUNTIFS('Istoric_Nativ'!$B$6:$B$405,E876,'Istoric_Nativ'!$C$6:$C$405,F876,'Istoric_Nativ'!$F$6:$F$405,G876,'Istoric_Nativ'!$D$6:$D$405,"&lt;"&amp;J876,'Istoric_Nativ'!$P$6:$P$405,1),COUNTIFS('Istoric_Nativ'!$B$6:$B$405,E876,'Istoric_Nativ'!$C$6:$C$405,F876,'Istoric_Nativ'!$E$6:$E$405,G876,'Istoric_Nativ'!$D$6:$D$405,"&lt;"&amp;J876,'Istoric_Nativ'!$P$6:$P$405,1)+COUNTIFS('Istoric_Nativ'!$B$6:$B$405,E876,'Istoric_Nativ'!$C$6:$C$405,F876,'Istoric_Nativ'!$F$6:$F$405,G876,'Istoric_Nativ'!$D$6:$D$405,"&lt;"&amp;J876,'Istoric_Nativ'!$P$6:$P$405,1))))</x:f>
        <x:v>0</x:v>
      </x:c>
      <x:c r="L876" s="17" t="n">
        <x:f>IF(AND(B876&lt;&gt;"",I876="RECENT",K876&gt;0),LARGE(_xlfn._xlws.FILTER('Istoric_Nativ'!$D$6:$D$405,('Istoric_Nativ'!$B$6:$B$405=E876)*('Istoric_Nativ'!$C$6:$C$405=F876)*('Istoric_Nativ'!$P$6:$P$405=1)*('Istoric_Nativ'!$D$6:$D$405&lt;J876)*((('Istoric_Nativ'!$E$6:$E$405=G876)+('Istoric_Nativ'!$F$6:$F$405=G876))&gt;0)),MIN('Config_v6'!$B$54,K876)),0)</x:f>
        <x:v>0</x:v>
      </x:c>
      <x:c r="M876" s="2" t="n">
        <x:f>IF(OR(B876="",F876=""),0,IF(H876="HOME",COUNTIFS('Istoric_Nativ'!$B$6:$B$405,E876,'Istoric_Nativ'!$C$6:$C$405,F876,'Istoric_Nativ'!$E$6:$E$405,G876,'Istoric_Nativ'!$D$6:$D$405,"&lt;"&amp;J876,'Istoric_Nativ'!$P$6:$P$405,1,'Istoric_Nativ'!$D$6:$D$405,"&gt;="&amp;L876),IF(H876="AWAY",COUNTIFS('Istoric_Nativ'!$B$6:$B$405,E876,'Istoric_Nativ'!$C$6:$C$405,F876,'Istoric_Nativ'!$F$6:$F$405,G876,'Istoric_Nativ'!$D$6:$D$405,"&lt;"&amp;J876,'Istoric_Nativ'!$P$6:$P$405,1,'Istoric_Nativ'!$D$6:$D$405,"&gt;="&amp;L876),COUNTIFS('Istoric_Nativ'!$B$6:$B$405,E876,'Istoric_Nativ'!$C$6:$C$405,F876,'Istoric_Nativ'!$E$6:$E$405,G876,'Istoric_Nativ'!$D$6:$D$405,"&lt;"&amp;J876,'Istoric_Nativ'!$P$6:$P$405,1,'Istoric_Nativ'!$D$6:$D$405,"&gt;="&amp;L876)+COUNTIFS('Istoric_Nativ'!$B$6:$B$405,E876,'Istoric_Nativ'!$C$6:$C$405,F876,'Istoric_Nativ'!$F$6:$F$405,G876,'Istoric_Nativ'!$D$6:$D$405,"&lt;"&amp;J876,'Istoric_Nativ'!$P$6:$P$405,1,'Istoric_Nativ'!$D$6:$D$405,"&gt;="&amp;L876))))</x:f>
        <x:v>0</x:v>
      </x:c>
      <x:c r="N876" s="11" t="str">
        <x:f>IF(M876=0,"",IF(H876="HOME",SUMIFS('Istoric_Nativ'!$G$6:$G$405,'Istoric_Nativ'!$B$6:$B$405,E876,'Istoric_Nativ'!$C$6:$C$405,F876,'Istoric_Nativ'!$E$6:$E$405,G876,'Istoric_Nativ'!$D$6:$D$405,"&lt;"&amp;J876,'Istoric_Nativ'!$P$6:$P$405,1,'Istoric_Nativ'!$D$6:$D$405,"&gt;="&amp;L876),IF(H876="AWAY",SUMIFS('Istoric_Nativ'!$H$6:$H$405,'Istoric_Nativ'!$B$6:$B$405,E876,'Istoric_Nativ'!$C$6:$C$405,F876,'Istoric_Nativ'!$F$6:$F$405,G876,'Istoric_Nativ'!$D$6:$D$405,"&lt;"&amp;J876,'Istoric_Nativ'!$P$6:$P$405,1,'Istoric_Nativ'!$D$6:$D$405,"&gt;="&amp;L876),SUMIFS('Istoric_Nativ'!$G$6:$G$405,'Istoric_Nativ'!$B$6:$B$405,E876,'Istoric_Nativ'!$C$6:$C$405,F876,'Istoric_Nativ'!$E$6:$E$405,G876,'Istoric_Nativ'!$D$6:$D$405,"&lt;"&amp;J876,'Istoric_Nativ'!$P$6:$P$405,1,'Istoric_Nativ'!$D$6:$D$405,"&gt;="&amp;L876)+SUMIFS('Istoric_Nativ'!$H$6:$H$405,'Istoric_Nativ'!$B$6:$B$405,E876,'Istoric_Nativ'!$C$6:$C$405,F876,'Istoric_Nativ'!$F$6:$F$405,G876,'Istoric_Nativ'!$D$6:$D$405,"&lt;"&amp;J876,'Istoric_Nativ'!$P$6:$P$405,1,'Istoric_Nativ'!$D$6:$D$405,"&gt;="&amp;L876)))/M876)</x:f>
      </x:c>
      <x:c r="O876" s="11" t="str">
        <x:f>IF(M876=0,"",IF(H876="HOME",SUMIFS('Istoric_Nativ'!$H$6:$H$405,'Istoric_Nativ'!$B$6:$B$405,E876,'Istoric_Nativ'!$C$6:$C$405,F876,'Istoric_Nativ'!$E$6:$E$405,G876,'Istoric_Nativ'!$D$6:$D$405,"&lt;"&amp;J876,'Istoric_Nativ'!$P$6:$P$405,1,'Istoric_Nativ'!$D$6:$D$405,"&gt;="&amp;L876),IF(H876="AWAY",SUMIFS('Istoric_Nativ'!$G$6:$G$405,'Istoric_Nativ'!$B$6:$B$405,E876,'Istoric_Nativ'!$C$6:$C$405,F876,'Istoric_Nativ'!$F$6:$F$405,G876,'Istoric_Nativ'!$D$6:$D$405,"&lt;"&amp;J876,'Istoric_Nativ'!$P$6:$P$405,1,'Istoric_Nativ'!$D$6:$D$405,"&gt;="&amp;L876),SUMIFS('Istoric_Nativ'!$H$6:$H$405,'Istoric_Nativ'!$B$6:$B$405,E876,'Istoric_Nativ'!$C$6:$C$405,F876,'Istoric_Nativ'!$E$6:$E$405,G876,'Istoric_Nativ'!$D$6:$D$405,"&lt;"&amp;J876,'Istoric_Nativ'!$P$6:$P$405,1,'Istoric_Nativ'!$D$6:$D$405,"&gt;="&amp;L876)+SUMIFS('Istoric_Nativ'!$G$6:$G$405,'Istoric_Nativ'!$B$6:$B$405,E876,'Istoric_Nativ'!$C$6:$C$405,F876,'Istoric_Nativ'!$F$6:$F$405,G876,'Istoric_Nativ'!$D$6:$D$405,"&lt;"&amp;J876,'Istoric_Nativ'!$P$6:$P$405,1,'Istoric_Nativ'!$D$6:$D$405,"&gt;="&amp;L876)))/M876)</x:f>
      </x:c>
      <x:c r="P876" s="2" t="n">
        <x:f>'Config_v6'!$B$7</x:f>
        <x:v>10</x:v>
      </x:c>
      <x:c r="Q876" s="2" t="n">
        <x:f>IF(OR(B876="",F876=""),0,IFERROR(MATCH(E876&amp;"|"&amp;F876,SourceTable[Source_Key],0),0))</x:f>
        <x:v>0</x:v>
      </x:c>
      <x:c r="R876" s="2" t="str">
        <x:f>IF(B876="","",IF(F876="","UNUSED",IF(Q876=0,"NOT CHECKED",IF(COUNTIF(SourceTable[Source_Key],E876&amp;"|"&amp;F876)&lt;&gt;1,"SOURCE CONFLICT",IF(NOT(OR(INDEX(SourceTable[Status],MAX(1,Q876))="IMPORTED",INDEX(SourceTable[Status],MAX(1,Q876))="PARTIAL",INDEX(SourceTable[Status],MAX(1,Q876))="SOURCE CONFLICT")),"ACCESS BLOCKED",IF(OR(INDEX(SourceTable[Coverage],Q876)&lt;&gt;"FULL SEASON EXPORT",INDEX(SourceTable[URL],Q876)="",INDEX(SourceTable[SHA256],Q876)=""),"EVIDENCE INCOMPLETE",IF(AND('Input_Meci'!H78="LIVE",INDEX(SourceTable[Retrieved_UTC],Q876)&gt;'Input_Meci'!G78),"POST CUTOFF","CLOSED")))))))</x:f>
      </x:c>
      <x:c r="S876" s="2" t="n">
        <x:f>IF(OR(B876="",F876=""),0,COUNTIFS('Istoric_Nativ'!$B$6:$B$405,E876,'Istoric_Nativ'!$C$6:$C$405,F876,'Istoric_Nativ'!$E$6:$E$405,G876,'Istoric_Nativ'!$D$6:$D$405,"&lt;"&amp;J876,'Istoric_Nativ'!$O$6:$O$405,"INVALID")+COUNTIFS('Istoric_Nativ'!$B$6:$B$405,E876,'Istoric_Nativ'!$C$6:$C$405,F876,'Istoric_Nativ'!$E$6:$E$405,G876,'Istoric_Nativ'!$O$6:$O$405,"INVALID",'Istoric_Nativ'!$D$6:$D$405,"*")+COUNTIFS('Istoric_Nativ'!$B$6:$B$405,E876,'Istoric_Nativ'!$C$6:$C$405,F876,'Istoric_Nativ'!$E$6:$E$405,G876,'Istoric_Nativ'!$D$6:$D$405,"&lt;"&amp;J876,'Istoric_Nativ'!$O$6:$O$405,"SOURCE CONFLICT")+COUNTIFS('Istoric_Nativ'!$B$6:$B$405,E876,'Istoric_Nativ'!$C$6:$C$405,F876,'Istoric_Nativ'!$F$6:$F$405,G876,'Istoric_Nativ'!$D$6:$D$405,"&lt;"&amp;J876,'Istoric_Nativ'!$O$6:$O$405,"INVALID")+COUNTIFS('Istoric_Nativ'!$B$6:$B$405,E876,'Istoric_Nativ'!$C$6:$C$405,F876,'Istoric_Nativ'!$F$6:$F$405,G876,'Istoric_Nativ'!$O$6:$O$405,"INVALID",'Istoric_Nativ'!$D$6:$D$405,"*")+COUNTIFS('Istoric_Nativ'!$B$6:$B$405,E876,'Istoric_Nativ'!$C$6:$C$405,F876,'Istoric_Nativ'!$F$6:$F$405,G876,'Istoric_Nativ'!$D$6:$D$405,"&lt;"&amp;J876,'Istoric_Nativ'!$O$6:$O$405,"SOURCE CONFLICT"))</x:f>
        <x:v>0</x:v>
      </x:c>
      <x:c r="T876" s="2" t="str">
        <x:f>IF(B876="","",IF(R876&lt;&gt;"CLOSED",R876,IF(S876&gt;0,"NATIVE INPUT ISSUE",IF(M876=0,"NO HISTORY",IF(M876&lt;P876,"SMALL SAMPLE","DERIVED")))))</x:f>
      </x:c>
      <x:c r="U876" s="2" t="str">
        <x:f>IF(B876="","","NativeTable; "&amp;E876&amp;"; "&amp;F876&amp;"; "&amp;G876&amp;"; "&amp;H876&amp;"; before "&amp;TEXT(J876,"yyyy-mm-dd")&amp;IF(I876="RECENT","; from "&amp;TEXT(L876,"yyyy-mm-dd"),""))</x:f>
      </x:c>
    </x:row>
    <x:row r="877" ht="21" customHeight="1">
      <x:c r="A877" s="2" t="n">
        <x:v>73</x:v>
      </x:c>
      <x:c r="B877" s="2" t="str">
        <x:f>IF('Input_Meci'!A78="","",'Input_Meci'!A78)</x:f>
      </x:c>
      <x:c r="C877" s="2" t="str">
        <x:v>H</x:v>
      </x:c>
      <x:c r="D877" s="2" t="str">
        <x:v>PRIOR</x:v>
      </x:c>
      <x:c r="E877" s="2" t="str">
        <x:f>IF(B877="","",'Input_Meci'!B78)</x:f>
      </x:c>
      <x:c r="F877" s="2" t="str">
        <x:f>IF(B877="","",IF('Input_Meci'!K78="","",'Input_Meci'!K78))</x:f>
      </x:c>
      <x:c r="G877" s="2" t="str">
        <x:f>IF(B877="","",'Input_Meci'!D78)</x:f>
      </x:c>
      <x:c r="H877" s="2" t="str">
        <x:v>HOME</x:v>
      </x:c>
      <x:c r="I877" s="2" t="str">
        <x:v>HA</x:v>
      </x:c>
      <x:c r="J877" s="9" t="n">
        <x:f>IF(AND(B877&lt;&gt;"",ISNUMBER('Input_Meci'!G78)),INT('Input_Meci'!G78),0)</x:f>
        <x:v>0</x:v>
      </x:c>
      <x:c r="K877" s="2" t="n">
        <x:f>IF(OR(B877="",F877=""),0,IF(H877="HOME",COUNTIFS('Istoric_Nativ'!$B$6:$B$405,E877,'Istoric_Nativ'!$C$6:$C$405,F877,'Istoric_Nativ'!$E$6:$E$405,G877,'Istoric_Nativ'!$D$6:$D$405,"&lt;"&amp;J877,'Istoric_Nativ'!$P$6:$P$405,1),IF(H877="AWAY",COUNTIFS('Istoric_Nativ'!$B$6:$B$405,E877,'Istoric_Nativ'!$C$6:$C$405,F877,'Istoric_Nativ'!$F$6:$F$405,G877,'Istoric_Nativ'!$D$6:$D$405,"&lt;"&amp;J877,'Istoric_Nativ'!$P$6:$P$405,1),COUNTIFS('Istoric_Nativ'!$B$6:$B$405,E877,'Istoric_Nativ'!$C$6:$C$405,F877,'Istoric_Nativ'!$E$6:$E$405,G877,'Istoric_Nativ'!$D$6:$D$405,"&lt;"&amp;J877,'Istoric_Nativ'!$P$6:$P$405,1)+COUNTIFS('Istoric_Nativ'!$B$6:$B$405,E877,'Istoric_Nativ'!$C$6:$C$405,F877,'Istoric_Nativ'!$F$6:$F$405,G877,'Istoric_Nativ'!$D$6:$D$405,"&lt;"&amp;J877,'Istoric_Nativ'!$P$6:$P$405,1))))</x:f>
        <x:v>0</x:v>
      </x:c>
      <x:c r="L877" s="17" t="n">
        <x:f>IF(AND(B877&lt;&gt;"",I877="RECENT",K877&gt;0),LARGE(_xlfn._xlws.FILTER('Istoric_Nativ'!$D$6:$D$405,('Istoric_Nativ'!$B$6:$B$405=E877)*('Istoric_Nativ'!$C$6:$C$405=F877)*('Istoric_Nativ'!$P$6:$P$405=1)*('Istoric_Nativ'!$D$6:$D$405&lt;J877)*((('Istoric_Nativ'!$E$6:$E$405=G877)+('Istoric_Nativ'!$F$6:$F$405=G877))&gt;0)),MIN('Config_v6'!$B$54,K877)),0)</x:f>
        <x:v>0</x:v>
      </x:c>
      <x:c r="M877" s="2" t="n">
        <x:f>IF(OR(B877="",F877=""),0,IF(H877="HOME",COUNTIFS('Istoric_Nativ'!$B$6:$B$405,E877,'Istoric_Nativ'!$C$6:$C$405,F877,'Istoric_Nativ'!$E$6:$E$405,G877,'Istoric_Nativ'!$D$6:$D$405,"&lt;"&amp;J877,'Istoric_Nativ'!$P$6:$P$405,1,'Istoric_Nativ'!$D$6:$D$405,"&gt;="&amp;L877),IF(H877="AWAY",COUNTIFS('Istoric_Nativ'!$B$6:$B$405,E877,'Istoric_Nativ'!$C$6:$C$405,F877,'Istoric_Nativ'!$F$6:$F$405,G877,'Istoric_Nativ'!$D$6:$D$405,"&lt;"&amp;J877,'Istoric_Nativ'!$P$6:$P$405,1,'Istoric_Nativ'!$D$6:$D$405,"&gt;="&amp;L877),COUNTIFS('Istoric_Nativ'!$B$6:$B$405,E877,'Istoric_Nativ'!$C$6:$C$405,F877,'Istoric_Nativ'!$E$6:$E$405,G877,'Istoric_Nativ'!$D$6:$D$405,"&lt;"&amp;J877,'Istoric_Nativ'!$P$6:$P$405,1,'Istoric_Nativ'!$D$6:$D$405,"&gt;="&amp;L877)+COUNTIFS('Istoric_Nativ'!$B$6:$B$405,E877,'Istoric_Nativ'!$C$6:$C$405,F877,'Istoric_Nativ'!$F$6:$F$405,G877,'Istoric_Nativ'!$D$6:$D$405,"&lt;"&amp;J877,'Istoric_Nativ'!$P$6:$P$405,1,'Istoric_Nativ'!$D$6:$D$405,"&gt;="&amp;L877))))</x:f>
        <x:v>0</x:v>
      </x:c>
      <x:c r="N877" s="11" t="str">
        <x:f>IF(M877=0,"",IF(H877="HOME",SUMIFS('Istoric_Nativ'!$G$6:$G$405,'Istoric_Nativ'!$B$6:$B$405,E877,'Istoric_Nativ'!$C$6:$C$405,F877,'Istoric_Nativ'!$E$6:$E$405,G877,'Istoric_Nativ'!$D$6:$D$405,"&lt;"&amp;J877,'Istoric_Nativ'!$P$6:$P$405,1,'Istoric_Nativ'!$D$6:$D$405,"&gt;="&amp;L877),IF(H877="AWAY",SUMIFS('Istoric_Nativ'!$H$6:$H$405,'Istoric_Nativ'!$B$6:$B$405,E877,'Istoric_Nativ'!$C$6:$C$405,F877,'Istoric_Nativ'!$F$6:$F$405,G877,'Istoric_Nativ'!$D$6:$D$405,"&lt;"&amp;J877,'Istoric_Nativ'!$P$6:$P$405,1,'Istoric_Nativ'!$D$6:$D$405,"&gt;="&amp;L877),SUMIFS('Istoric_Nativ'!$G$6:$G$405,'Istoric_Nativ'!$B$6:$B$405,E877,'Istoric_Nativ'!$C$6:$C$405,F877,'Istoric_Nativ'!$E$6:$E$405,G877,'Istoric_Nativ'!$D$6:$D$405,"&lt;"&amp;J877,'Istoric_Nativ'!$P$6:$P$405,1,'Istoric_Nativ'!$D$6:$D$405,"&gt;="&amp;L877)+SUMIFS('Istoric_Nativ'!$H$6:$H$405,'Istoric_Nativ'!$B$6:$B$405,E877,'Istoric_Nativ'!$C$6:$C$405,F877,'Istoric_Nativ'!$F$6:$F$405,G877,'Istoric_Nativ'!$D$6:$D$405,"&lt;"&amp;J877,'Istoric_Nativ'!$P$6:$P$405,1,'Istoric_Nativ'!$D$6:$D$405,"&gt;="&amp;L877)))/M877)</x:f>
      </x:c>
      <x:c r="O877" s="11" t="str">
        <x:f>IF(M877=0,"",IF(H877="HOME",SUMIFS('Istoric_Nativ'!$H$6:$H$405,'Istoric_Nativ'!$B$6:$B$405,E877,'Istoric_Nativ'!$C$6:$C$405,F877,'Istoric_Nativ'!$E$6:$E$405,G877,'Istoric_Nativ'!$D$6:$D$405,"&lt;"&amp;J877,'Istoric_Nativ'!$P$6:$P$405,1,'Istoric_Nativ'!$D$6:$D$405,"&gt;="&amp;L877),IF(H877="AWAY",SUMIFS('Istoric_Nativ'!$G$6:$G$405,'Istoric_Nativ'!$B$6:$B$405,E877,'Istoric_Nativ'!$C$6:$C$405,F877,'Istoric_Nativ'!$F$6:$F$405,G877,'Istoric_Nativ'!$D$6:$D$405,"&lt;"&amp;J877,'Istoric_Nativ'!$P$6:$P$405,1,'Istoric_Nativ'!$D$6:$D$405,"&gt;="&amp;L877),SUMIFS('Istoric_Nativ'!$H$6:$H$405,'Istoric_Nativ'!$B$6:$B$405,E877,'Istoric_Nativ'!$C$6:$C$405,F877,'Istoric_Nativ'!$E$6:$E$405,G877,'Istoric_Nativ'!$D$6:$D$405,"&lt;"&amp;J877,'Istoric_Nativ'!$P$6:$P$405,1,'Istoric_Nativ'!$D$6:$D$405,"&gt;="&amp;L877)+SUMIFS('Istoric_Nativ'!$G$6:$G$405,'Istoric_Nativ'!$B$6:$B$405,E877,'Istoric_Nativ'!$C$6:$C$405,F877,'Istoric_Nativ'!$F$6:$F$405,G877,'Istoric_Nativ'!$D$6:$D$405,"&lt;"&amp;J877,'Istoric_Nativ'!$P$6:$P$405,1,'Istoric_Nativ'!$D$6:$D$405,"&gt;="&amp;L877)))/M877)</x:f>
      </x:c>
      <x:c r="P877" s="2" t="n">
        <x:f>'Config_v6'!$B$8</x:f>
        <x:v>5</x:v>
      </x:c>
      <x:c r="Q877" s="2" t="n">
        <x:f>IF(OR(B877="",F877=""),0,IFERROR(MATCH(E877&amp;"|"&amp;F877,SourceTable[Source_Key],0),0))</x:f>
        <x:v>0</x:v>
      </x:c>
      <x:c r="R877" s="2" t="str">
        <x:f>IF(B877="","",IF(F877="","UNUSED",IF(Q877=0,"NOT CHECKED",IF(COUNTIF(SourceTable[Source_Key],E877&amp;"|"&amp;F877)&lt;&gt;1,"SOURCE CONFLICT",IF(NOT(OR(INDEX(SourceTable[Status],MAX(1,Q877))="IMPORTED",INDEX(SourceTable[Status],MAX(1,Q877))="PARTIAL",INDEX(SourceTable[Status],MAX(1,Q877))="SOURCE CONFLICT")),"ACCESS BLOCKED",IF(OR(INDEX(SourceTable[Coverage],Q877)&lt;&gt;"FULL SEASON EXPORT",INDEX(SourceTable[URL],Q877)="",INDEX(SourceTable[SHA256],Q877)=""),"EVIDENCE INCOMPLETE",IF(AND('Input_Meci'!H78="LIVE",INDEX(SourceTable[Retrieved_UTC],Q877)&gt;'Input_Meci'!G78),"POST CUTOFF","CLOSED")))))))</x:f>
      </x:c>
      <x:c r="S877" s="2" t="n">
        <x:f>IF(OR(B877="",F877=""),0,COUNTIFS('Istoric_Nativ'!$B$6:$B$405,E877,'Istoric_Nativ'!$C$6:$C$405,F877,'Istoric_Nativ'!$E$6:$E$405,G877,'Istoric_Nativ'!$D$6:$D$405,"&lt;"&amp;J877,'Istoric_Nativ'!$O$6:$O$405,"INVALID")+COUNTIFS('Istoric_Nativ'!$B$6:$B$405,E877,'Istoric_Nativ'!$C$6:$C$405,F877,'Istoric_Nativ'!$E$6:$E$405,G877,'Istoric_Nativ'!$O$6:$O$405,"INVALID",'Istoric_Nativ'!$D$6:$D$405,"*")+COUNTIFS('Istoric_Nativ'!$B$6:$B$405,E877,'Istoric_Nativ'!$C$6:$C$405,F877,'Istoric_Nativ'!$E$6:$E$405,G877,'Istoric_Nativ'!$D$6:$D$405,"&lt;"&amp;J877,'Istoric_Nativ'!$O$6:$O$405,"SOURCE CONFLICT")+COUNTIFS('Istoric_Nativ'!$B$6:$B$405,E877,'Istoric_Nativ'!$C$6:$C$405,F877,'Istoric_Nativ'!$F$6:$F$405,G877,'Istoric_Nativ'!$D$6:$D$405,"&lt;"&amp;J877,'Istoric_Nativ'!$O$6:$O$405,"INVALID")+COUNTIFS('Istoric_Nativ'!$B$6:$B$405,E877,'Istoric_Nativ'!$C$6:$C$405,F877,'Istoric_Nativ'!$F$6:$F$405,G877,'Istoric_Nativ'!$O$6:$O$405,"INVALID",'Istoric_Nativ'!$D$6:$D$405,"*")+COUNTIFS('Istoric_Nativ'!$B$6:$B$405,E877,'Istoric_Nativ'!$C$6:$C$405,F877,'Istoric_Nativ'!$F$6:$F$405,G877,'Istoric_Nativ'!$D$6:$D$405,"&lt;"&amp;J877,'Istoric_Nativ'!$O$6:$O$405,"SOURCE CONFLICT"))</x:f>
        <x:v>0</x:v>
      </x:c>
      <x:c r="T877" s="2" t="str">
        <x:f>IF(B877="","",IF(R877&lt;&gt;"CLOSED",R877,IF(S877&gt;0,"NATIVE INPUT ISSUE",IF(M877=0,"NO HISTORY",IF(M877&lt;P877,"SMALL SAMPLE","DERIVED")))))</x:f>
      </x:c>
      <x:c r="U877" s="2" t="str">
        <x:f>IF(B877="","","NativeTable; "&amp;E877&amp;"; "&amp;F877&amp;"; "&amp;G877&amp;"; "&amp;H877&amp;"; before "&amp;TEXT(J877,"yyyy-mm-dd")&amp;IF(I877="RECENT","; from "&amp;TEXT(L877,"yyyy-mm-dd"),""))</x:f>
      </x:c>
    </x:row>
    <x:row r="878" ht="21" customHeight="1">
      <x:c r="A878" s="2" t="n">
        <x:v>73</x:v>
      </x:c>
      <x:c r="B878" s="2" t="str">
        <x:f>IF('Input_Meci'!A78="","",'Input_Meci'!A78)</x:f>
      </x:c>
      <x:c r="C878" s="2" t="str">
        <x:v>H</x:v>
      </x:c>
      <x:c r="D878" s="2" t="str">
        <x:v>PRIOR</x:v>
      </x:c>
      <x:c r="E878" s="2" t="str">
        <x:f>IF(B878="","",'Input_Meci'!B78)</x:f>
      </x:c>
      <x:c r="F878" s="2" t="str">
        <x:f>IF(B878="","",IF('Input_Meci'!K78="","",'Input_Meci'!K78))</x:f>
      </x:c>
      <x:c r="G878" s="2" t="str">
        <x:f>IF(B878="","",'Input_Meci'!D78)</x:f>
      </x:c>
      <x:c r="H878" s="2" t="str">
        <x:v>ANY</x:v>
      </x:c>
      <x:c r="I878" s="2" t="str">
        <x:v>RECENT</x:v>
      </x:c>
      <x:c r="J878" s="9" t="n">
        <x:f>IF(AND(B878&lt;&gt;"",ISNUMBER('Input_Meci'!G78)),INT('Input_Meci'!G78),0)</x:f>
        <x:v>0</x:v>
      </x:c>
      <x:c r="K878" s="2" t="n">
        <x:f>IF(OR(B878="",F878=""),0,IF(H878="HOME",COUNTIFS('Istoric_Nativ'!$B$6:$B$405,E878,'Istoric_Nativ'!$C$6:$C$405,F878,'Istoric_Nativ'!$E$6:$E$405,G878,'Istoric_Nativ'!$D$6:$D$405,"&lt;"&amp;J878,'Istoric_Nativ'!$P$6:$P$405,1),IF(H878="AWAY",COUNTIFS('Istoric_Nativ'!$B$6:$B$405,E878,'Istoric_Nativ'!$C$6:$C$405,F878,'Istoric_Nativ'!$F$6:$F$405,G878,'Istoric_Nativ'!$D$6:$D$405,"&lt;"&amp;J878,'Istoric_Nativ'!$P$6:$P$405,1),COUNTIFS('Istoric_Nativ'!$B$6:$B$405,E878,'Istoric_Nativ'!$C$6:$C$405,F878,'Istoric_Nativ'!$E$6:$E$405,G878,'Istoric_Nativ'!$D$6:$D$405,"&lt;"&amp;J878,'Istoric_Nativ'!$P$6:$P$405,1)+COUNTIFS('Istoric_Nativ'!$B$6:$B$405,E878,'Istoric_Nativ'!$C$6:$C$405,F878,'Istoric_Nativ'!$F$6:$F$405,G878,'Istoric_Nativ'!$D$6:$D$405,"&lt;"&amp;J878,'Istoric_Nativ'!$P$6:$P$405,1))))</x:f>
        <x:v>0</x:v>
      </x:c>
      <x:c r="L878" s="17" t="n">
        <x:f>IF(AND(B878&lt;&gt;"",I878="RECENT",K878&gt;0),LARGE(_xlfn._xlws.FILTER('Istoric_Nativ'!$D$6:$D$405,('Istoric_Nativ'!$B$6:$B$405=E878)*('Istoric_Nativ'!$C$6:$C$405=F878)*('Istoric_Nativ'!$P$6:$P$405=1)*('Istoric_Nativ'!$D$6:$D$405&lt;J878)*((('Istoric_Nativ'!$E$6:$E$405=G878)+('Istoric_Nativ'!$F$6:$F$405=G878))&gt;0)),MIN('Config_v6'!$B$54,K878)),0)</x:f>
        <x:v>0</x:v>
      </x:c>
      <x:c r="M878" s="2" t="n">
        <x:f>IF(OR(B878="",F878=""),0,IF(H878="HOME",COUNTIFS('Istoric_Nativ'!$B$6:$B$405,E878,'Istoric_Nativ'!$C$6:$C$405,F878,'Istoric_Nativ'!$E$6:$E$405,G878,'Istoric_Nativ'!$D$6:$D$405,"&lt;"&amp;J878,'Istoric_Nativ'!$P$6:$P$405,1,'Istoric_Nativ'!$D$6:$D$405,"&gt;="&amp;L878),IF(H878="AWAY",COUNTIFS('Istoric_Nativ'!$B$6:$B$405,E878,'Istoric_Nativ'!$C$6:$C$405,F878,'Istoric_Nativ'!$F$6:$F$405,G878,'Istoric_Nativ'!$D$6:$D$405,"&lt;"&amp;J878,'Istoric_Nativ'!$P$6:$P$405,1,'Istoric_Nativ'!$D$6:$D$405,"&gt;="&amp;L878),COUNTIFS('Istoric_Nativ'!$B$6:$B$405,E878,'Istoric_Nativ'!$C$6:$C$405,F878,'Istoric_Nativ'!$E$6:$E$405,G878,'Istoric_Nativ'!$D$6:$D$405,"&lt;"&amp;J878,'Istoric_Nativ'!$P$6:$P$405,1,'Istoric_Nativ'!$D$6:$D$405,"&gt;="&amp;L878)+COUNTIFS('Istoric_Nativ'!$B$6:$B$405,E878,'Istoric_Nativ'!$C$6:$C$405,F878,'Istoric_Nativ'!$F$6:$F$405,G878,'Istoric_Nativ'!$D$6:$D$405,"&lt;"&amp;J878,'Istoric_Nativ'!$P$6:$P$405,1,'Istoric_Nativ'!$D$6:$D$405,"&gt;="&amp;L878))))</x:f>
        <x:v>0</x:v>
      </x:c>
      <x:c r="N878" s="11" t="str">
        <x:f>IF(M878=0,"",IF(H878="HOME",SUMIFS('Istoric_Nativ'!$G$6:$G$405,'Istoric_Nativ'!$B$6:$B$405,E878,'Istoric_Nativ'!$C$6:$C$405,F878,'Istoric_Nativ'!$E$6:$E$405,G878,'Istoric_Nativ'!$D$6:$D$405,"&lt;"&amp;J878,'Istoric_Nativ'!$P$6:$P$405,1,'Istoric_Nativ'!$D$6:$D$405,"&gt;="&amp;L878),IF(H878="AWAY",SUMIFS('Istoric_Nativ'!$H$6:$H$405,'Istoric_Nativ'!$B$6:$B$405,E878,'Istoric_Nativ'!$C$6:$C$405,F878,'Istoric_Nativ'!$F$6:$F$405,G878,'Istoric_Nativ'!$D$6:$D$405,"&lt;"&amp;J878,'Istoric_Nativ'!$P$6:$P$405,1,'Istoric_Nativ'!$D$6:$D$405,"&gt;="&amp;L878),SUMIFS('Istoric_Nativ'!$G$6:$G$405,'Istoric_Nativ'!$B$6:$B$405,E878,'Istoric_Nativ'!$C$6:$C$405,F878,'Istoric_Nativ'!$E$6:$E$405,G878,'Istoric_Nativ'!$D$6:$D$405,"&lt;"&amp;J878,'Istoric_Nativ'!$P$6:$P$405,1,'Istoric_Nativ'!$D$6:$D$405,"&gt;="&amp;L878)+SUMIFS('Istoric_Nativ'!$H$6:$H$405,'Istoric_Nativ'!$B$6:$B$405,E878,'Istoric_Nativ'!$C$6:$C$405,F878,'Istoric_Nativ'!$F$6:$F$405,G878,'Istoric_Nativ'!$D$6:$D$405,"&lt;"&amp;J878,'Istoric_Nativ'!$P$6:$P$405,1,'Istoric_Nativ'!$D$6:$D$405,"&gt;="&amp;L878)))/M878)</x:f>
      </x:c>
      <x:c r="O878" s="11" t="str">
        <x:f>IF(M878=0,"",IF(H878="HOME",SUMIFS('Istoric_Nativ'!$H$6:$H$405,'Istoric_Nativ'!$B$6:$B$405,E878,'Istoric_Nativ'!$C$6:$C$405,F878,'Istoric_Nativ'!$E$6:$E$405,G878,'Istoric_Nativ'!$D$6:$D$405,"&lt;"&amp;J878,'Istoric_Nativ'!$P$6:$P$405,1,'Istoric_Nativ'!$D$6:$D$405,"&gt;="&amp;L878),IF(H878="AWAY",SUMIFS('Istoric_Nativ'!$G$6:$G$405,'Istoric_Nativ'!$B$6:$B$405,E878,'Istoric_Nativ'!$C$6:$C$405,F878,'Istoric_Nativ'!$F$6:$F$405,G878,'Istoric_Nativ'!$D$6:$D$405,"&lt;"&amp;J878,'Istoric_Nativ'!$P$6:$P$405,1,'Istoric_Nativ'!$D$6:$D$405,"&gt;="&amp;L878),SUMIFS('Istoric_Nativ'!$H$6:$H$405,'Istoric_Nativ'!$B$6:$B$405,E878,'Istoric_Nativ'!$C$6:$C$405,F878,'Istoric_Nativ'!$E$6:$E$405,G878,'Istoric_Nativ'!$D$6:$D$405,"&lt;"&amp;J878,'Istoric_Nativ'!$P$6:$P$405,1,'Istoric_Nativ'!$D$6:$D$405,"&gt;="&amp;L878)+SUMIFS('Istoric_Nativ'!$G$6:$G$405,'Istoric_Nativ'!$B$6:$B$405,E878,'Istoric_Nativ'!$C$6:$C$405,F878,'Istoric_Nativ'!$F$6:$F$405,G878,'Istoric_Nativ'!$D$6:$D$405,"&lt;"&amp;J878,'Istoric_Nativ'!$P$6:$P$405,1,'Istoric_Nativ'!$D$6:$D$405,"&gt;="&amp;L878)))/M878)</x:f>
      </x:c>
      <x:c r="P878" s="2" t="n">
        <x:f>'Config_v6'!$B$9</x:f>
        <x:v>3</x:v>
      </x:c>
      <x:c r="Q878" s="2" t="n">
        <x:f>IF(OR(B878="",F878=""),0,IFERROR(MATCH(E878&amp;"|"&amp;F878,SourceTable[Source_Key],0),0))</x:f>
        <x:v>0</x:v>
      </x:c>
      <x:c r="R878" s="2" t="str">
        <x:f>IF(B878="","",IF(F878="","UNUSED",IF(Q878=0,"NOT CHECKED",IF(COUNTIF(SourceTable[Source_Key],E878&amp;"|"&amp;F878)&lt;&gt;1,"SOURCE CONFLICT",IF(NOT(OR(INDEX(SourceTable[Status],MAX(1,Q878))="IMPORTED",INDEX(SourceTable[Status],MAX(1,Q878))="PARTIAL",INDEX(SourceTable[Status],MAX(1,Q878))="SOURCE CONFLICT")),"ACCESS BLOCKED",IF(OR(INDEX(SourceTable[Coverage],Q878)&lt;&gt;"FULL SEASON EXPORT",INDEX(SourceTable[URL],Q878)="",INDEX(SourceTable[SHA256],Q878)=""),"EVIDENCE INCOMPLETE",IF(AND('Input_Meci'!H78="LIVE",INDEX(SourceTable[Retrieved_UTC],Q878)&gt;'Input_Meci'!G78),"POST CUTOFF","CLOSED")))))))</x:f>
      </x:c>
      <x:c r="S878" s="2" t="n">
        <x:f>IF(OR(B878="",F878=""),0,COUNTIFS('Istoric_Nativ'!$B$6:$B$405,E878,'Istoric_Nativ'!$C$6:$C$405,F878,'Istoric_Nativ'!$E$6:$E$405,G878,'Istoric_Nativ'!$D$6:$D$405,"&lt;"&amp;J878,'Istoric_Nativ'!$O$6:$O$405,"INVALID")+COUNTIFS('Istoric_Nativ'!$B$6:$B$405,E878,'Istoric_Nativ'!$C$6:$C$405,F878,'Istoric_Nativ'!$E$6:$E$405,G878,'Istoric_Nativ'!$O$6:$O$405,"INVALID",'Istoric_Nativ'!$D$6:$D$405,"*")+COUNTIFS('Istoric_Nativ'!$B$6:$B$405,E878,'Istoric_Nativ'!$C$6:$C$405,F878,'Istoric_Nativ'!$E$6:$E$405,G878,'Istoric_Nativ'!$D$6:$D$405,"&lt;"&amp;J878,'Istoric_Nativ'!$O$6:$O$405,"SOURCE CONFLICT")+COUNTIFS('Istoric_Nativ'!$B$6:$B$405,E878,'Istoric_Nativ'!$C$6:$C$405,F878,'Istoric_Nativ'!$F$6:$F$405,G878,'Istoric_Nativ'!$D$6:$D$405,"&lt;"&amp;J878,'Istoric_Nativ'!$O$6:$O$405,"INVALID")+COUNTIFS('Istoric_Nativ'!$B$6:$B$405,E878,'Istoric_Nativ'!$C$6:$C$405,F878,'Istoric_Nativ'!$F$6:$F$405,G878,'Istoric_Nativ'!$O$6:$O$405,"INVALID",'Istoric_Nativ'!$D$6:$D$405,"*")+COUNTIFS('Istoric_Nativ'!$B$6:$B$405,E878,'Istoric_Nativ'!$C$6:$C$405,F878,'Istoric_Nativ'!$F$6:$F$405,G878,'Istoric_Nativ'!$D$6:$D$405,"&lt;"&amp;J878,'Istoric_Nativ'!$O$6:$O$405,"SOURCE CONFLICT"))</x:f>
        <x:v>0</x:v>
      </x:c>
      <x:c r="T878" s="2" t="str">
        <x:f>IF(B878="","",IF(R878&lt;&gt;"CLOSED",R878,IF(S878&gt;0,"NATIVE INPUT ISSUE",IF(M878=0,"NO HISTORY",IF(M878&lt;P878,"SMALL SAMPLE","DERIVED")))))</x:f>
      </x:c>
      <x:c r="U878" s="2" t="str">
        <x:f>IF(B878="","","NativeTable; "&amp;E878&amp;"; "&amp;F878&amp;"; "&amp;G878&amp;"; "&amp;H878&amp;"; before "&amp;TEXT(J878,"yyyy-mm-dd")&amp;IF(I878="RECENT","; from "&amp;TEXT(L878,"yyyy-mm-dd"),""))</x:f>
      </x:c>
    </x:row>
    <x:row r="879" ht="21" customHeight="1">
      <x:c r="A879" s="2" t="n">
        <x:v>73</x:v>
      </x:c>
      <x:c r="B879" s="2" t="str">
        <x:f>IF('Input_Meci'!A78="","",'Input_Meci'!A78)</x:f>
      </x:c>
      <x:c r="C879" s="2" t="str">
        <x:v>A</x:v>
      </x:c>
      <x:c r="D879" s="2" t="str">
        <x:v>PRIOR</x:v>
      </x:c>
      <x:c r="E879" s="2" t="str">
        <x:f>IF(B879="","",'Input_Meci'!B78)</x:f>
      </x:c>
      <x:c r="F879" s="2" t="str">
        <x:f>IF(B879="","",IF('Input_Meci'!K78="","",'Input_Meci'!K78))</x:f>
      </x:c>
      <x:c r="G879" s="2" t="str">
        <x:f>IF(B879="","",'Input_Meci'!E78)</x:f>
      </x:c>
      <x:c r="H879" s="2" t="str">
        <x:v>ANY</x:v>
      </x:c>
      <x:c r="I879" s="2" t="str">
        <x:v>SEASON</x:v>
      </x:c>
      <x:c r="J879" s="9" t="n">
        <x:f>IF(AND(B879&lt;&gt;"",ISNUMBER('Input_Meci'!G78)),INT('Input_Meci'!G78),0)</x:f>
        <x:v>0</x:v>
      </x:c>
      <x:c r="K879" s="2" t="n">
        <x:f>IF(OR(B879="",F879=""),0,IF(H879="HOME",COUNTIFS('Istoric_Nativ'!$B$6:$B$405,E879,'Istoric_Nativ'!$C$6:$C$405,F879,'Istoric_Nativ'!$E$6:$E$405,G879,'Istoric_Nativ'!$D$6:$D$405,"&lt;"&amp;J879,'Istoric_Nativ'!$P$6:$P$405,1),IF(H879="AWAY",COUNTIFS('Istoric_Nativ'!$B$6:$B$405,E879,'Istoric_Nativ'!$C$6:$C$405,F879,'Istoric_Nativ'!$F$6:$F$405,G879,'Istoric_Nativ'!$D$6:$D$405,"&lt;"&amp;J879,'Istoric_Nativ'!$P$6:$P$405,1),COUNTIFS('Istoric_Nativ'!$B$6:$B$405,E879,'Istoric_Nativ'!$C$6:$C$405,F879,'Istoric_Nativ'!$E$6:$E$405,G879,'Istoric_Nativ'!$D$6:$D$405,"&lt;"&amp;J879,'Istoric_Nativ'!$P$6:$P$405,1)+COUNTIFS('Istoric_Nativ'!$B$6:$B$405,E879,'Istoric_Nativ'!$C$6:$C$405,F879,'Istoric_Nativ'!$F$6:$F$405,G879,'Istoric_Nativ'!$D$6:$D$405,"&lt;"&amp;J879,'Istoric_Nativ'!$P$6:$P$405,1))))</x:f>
        <x:v>0</x:v>
      </x:c>
      <x:c r="L879" s="17" t="n">
        <x:f>IF(AND(B879&lt;&gt;"",I879="RECENT",K879&gt;0),LARGE(_xlfn._xlws.FILTER('Istoric_Nativ'!$D$6:$D$405,('Istoric_Nativ'!$B$6:$B$405=E879)*('Istoric_Nativ'!$C$6:$C$405=F879)*('Istoric_Nativ'!$P$6:$P$405=1)*('Istoric_Nativ'!$D$6:$D$405&lt;J879)*((('Istoric_Nativ'!$E$6:$E$405=G879)+('Istoric_Nativ'!$F$6:$F$405=G879))&gt;0)),MIN('Config_v6'!$B$54,K879)),0)</x:f>
        <x:v>0</x:v>
      </x:c>
      <x:c r="M879" s="2" t="n">
        <x:f>IF(OR(B879="",F879=""),0,IF(H879="HOME",COUNTIFS('Istoric_Nativ'!$B$6:$B$405,E879,'Istoric_Nativ'!$C$6:$C$405,F879,'Istoric_Nativ'!$E$6:$E$405,G879,'Istoric_Nativ'!$D$6:$D$405,"&lt;"&amp;J879,'Istoric_Nativ'!$P$6:$P$405,1,'Istoric_Nativ'!$D$6:$D$405,"&gt;="&amp;L879),IF(H879="AWAY",COUNTIFS('Istoric_Nativ'!$B$6:$B$405,E879,'Istoric_Nativ'!$C$6:$C$405,F879,'Istoric_Nativ'!$F$6:$F$405,G879,'Istoric_Nativ'!$D$6:$D$405,"&lt;"&amp;J879,'Istoric_Nativ'!$P$6:$P$405,1,'Istoric_Nativ'!$D$6:$D$405,"&gt;="&amp;L879),COUNTIFS('Istoric_Nativ'!$B$6:$B$405,E879,'Istoric_Nativ'!$C$6:$C$405,F879,'Istoric_Nativ'!$E$6:$E$405,G879,'Istoric_Nativ'!$D$6:$D$405,"&lt;"&amp;J879,'Istoric_Nativ'!$P$6:$P$405,1,'Istoric_Nativ'!$D$6:$D$405,"&gt;="&amp;L879)+COUNTIFS('Istoric_Nativ'!$B$6:$B$405,E879,'Istoric_Nativ'!$C$6:$C$405,F879,'Istoric_Nativ'!$F$6:$F$405,G879,'Istoric_Nativ'!$D$6:$D$405,"&lt;"&amp;J879,'Istoric_Nativ'!$P$6:$P$405,1,'Istoric_Nativ'!$D$6:$D$405,"&gt;="&amp;L879))))</x:f>
        <x:v>0</x:v>
      </x:c>
      <x:c r="N879" s="11" t="str">
        <x:f>IF(M879=0,"",IF(H879="HOME",SUMIFS('Istoric_Nativ'!$G$6:$G$405,'Istoric_Nativ'!$B$6:$B$405,E879,'Istoric_Nativ'!$C$6:$C$405,F879,'Istoric_Nativ'!$E$6:$E$405,G879,'Istoric_Nativ'!$D$6:$D$405,"&lt;"&amp;J879,'Istoric_Nativ'!$P$6:$P$405,1,'Istoric_Nativ'!$D$6:$D$405,"&gt;="&amp;L879),IF(H879="AWAY",SUMIFS('Istoric_Nativ'!$H$6:$H$405,'Istoric_Nativ'!$B$6:$B$405,E879,'Istoric_Nativ'!$C$6:$C$405,F879,'Istoric_Nativ'!$F$6:$F$405,G879,'Istoric_Nativ'!$D$6:$D$405,"&lt;"&amp;J879,'Istoric_Nativ'!$P$6:$P$405,1,'Istoric_Nativ'!$D$6:$D$405,"&gt;="&amp;L879),SUMIFS('Istoric_Nativ'!$G$6:$G$405,'Istoric_Nativ'!$B$6:$B$405,E879,'Istoric_Nativ'!$C$6:$C$405,F879,'Istoric_Nativ'!$E$6:$E$405,G879,'Istoric_Nativ'!$D$6:$D$405,"&lt;"&amp;J879,'Istoric_Nativ'!$P$6:$P$405,1,'Istoric_Nativ'!$D$6:$D$405,"&gt;="&amp;L879)+SUMIFS('Istoric_Nativ'!$H$6:$H$405,'Istoric_Nativ'!$B$6:$B$405,E879,'Istoric_Nativ'!$C$6:$C$405,F879,'Istoric_Nativ'!$F$6:$F$405,G879,'Istoric_Nativ'!$D$6:$D$405,"&lt;"&amp;J879,'Istoric_Nativ'!$P$6:$P$405,1,'Istoric_Nativ'!$D$6:$D$405,"&gt;="&amp;L879)))/M879)</x:f>
      </x:c>
      <x:c r="O879" s="11" t="str">
        <x:f>IF(M879=0,"",IF(H879="HOME",SUMIFS('Istoric_Nativ'!$H$6:$H$405,'Istoric_Nativ'!$B$6:$B$405,E879,'Istoric_Nativ'!$C$6:$C$405,F879,'Istoric_Nativ'!$E$6:$E$405,G879,'Istoric_Nativ'!$D$6:$D$405,"&lt;"&amp;J879,'Istoric_Nativ'!$P$6:$P$405,1,'Istoric_Nativ'!$D$6:$D$405,"&gt;="&amp;L879),IF(H879="AWAY",SUMIFS('Istoric_Nativ'!$G$6:$G$405,'Istoric_Nativ'!$B$6:$B$405,E879,'Istoric_Nativ'!$C$6:$C$405,F879,'Istoric_Nativ'!$F$6:$F$405,G879,'Istoric_Nativ'!$D$6:$D$405,"&lt;"&amp;J879,'Istoric_Nativ'!$P$6:$P$405,1,'Istoric_Nativ'!$D$6:$D$405,"&gt;="&amp;L879),SUMIFS('Istoric_Nativ'!$H$6:$H$405,'Istoric_Nativ'!$B$6:$B$405,E879,'Istoric_Nativ'!$C$6:$C$405,F879,'Istoric_Nativ'!$E$6:$E$405,G879,'Istoric_Nativ'!$D$6:$D$405,"&lt;"&amp;J879,'Istoric_Nativ'!$P$6:$P$405,1,'Istoric_Nativ'!$D$6:$D$405,"&gt;="&amp;L879)+SUMIFS('Istoric_Nativ'!$G$6:$G$405,'Istoric_Nativ'!$B$6:$B$405,E879,'Istoric_Nativ'!$C$6:$C$405,F879,'Istoric_Nativ'!$F$6:$F$405,G879,'Istoric_Nativ'!$D$6:$D$405,"&lt;"&amp;J879,'Istoric_Nativ'!$P$6:$P$405,1,'Istoric_Nativ'!$D$6:$D$405,"&gt;="&amp;L879)))/M879)</x:f>
      </x:c>
      <x:c r="P879" s="2" t="n">
        <x:f>'Config_v6'!$B$7</x:f>
        <x:v>10</x:v>
      </x:c>
      <x:c r="Q879" s="2" t="n">
        <x:f>IF(OR(B879="",F879=""),0,IFERROR(MATCH(E879&amp;"|"&amp;F879,SourceTable[Source_Key],0),0))</x:f>
        <x:v>0</x:v>
      </x:c>
      <x:c r="R879" s="2" t="str">
        <x:f>IF(B879="","",IF(F879="","UNUSED",IF(Q879=0,"NOT CHECKED",IF(COUNTIF(SourceTable[Source_Key],E879&amp;"|"&amp;F879)&lt;&gt;1,"SOURCE CONFLICT",IF(NOT(OR(INDEX(SourceTable[Status],MAX(1,Q879))="IMPORTED",INDEX(SourceTable[Status],MAX(1,Q879))="PARTIAL",INDEX(SourceTable[Status],MAX(1,Q879))="SOURCE CONFLICT")),"ACCESS BLOCKED",IF(OR(INDEX(SourceTable[Coverage],Q879)&lt;&gt;"FULL SEASON EXPORT",INDEX(SourceTable[URL],Q879)="",INDEX(SourceTable[SHA256],Q879)=""),"EVIDENCE INCOMPLETE",IF(AND('Input_Meci'!H78="LIVE",INDEX(SourceTable[Retrieved_UTC],Q879)&gt;'Input_Meci'!G78),"POST CUTOFF","CLOSED")))))))</x:f>
      </x:c>
      <x:c r="S879" s="2" t="n">
        <x:f>IF(OR(B879="",F879=""),0,COUNTIFS('Istoric_Nativ'!$B$6:$B$405,E879,'Istoric_Nativ'!$C$6:$C$405,F879,'Istoric_Nativ'!$E$6:$E$405,G879,'Istoric_Nativ'!$D$6:$D$405,"&lt;"&amp;J879,'Istoric_Nativ'!$O$6:$O$405,"INVALID")+COUNTIFS('Istoric_Nativ'!$B$6:$B$405,E879,'Istoric_Nativ'!$C$6:$C$405,F879,'Istoric_Nativ'!$E$6:$E$405,G879,'Istoric_Nativ'!$O$6:$O$405,"INVALID",'Istoric_Nativ'!$D$6:$D$405,"*")+COUNTIFS('Istoric_Nativ'!$B$6:$B$405,E879,'Istoric_Nativ'!$C$6:$C$405,F879,'Istoric_Nativ'!$E$6:$E$405,G879,'Istoric_Nativ'!$D$6:$D$405,"&lt;"&amp;J879,'Istoric_Nativ'!$O$6:$O$405,"SOURCE CONFLICT")+COUNTIFS('Istoric_Nativ'!$B$6:$B$405,E879,'Istoric_Nativ'!$C$6:$C$405,F879,'Istoric_Nativ'!$F$6:$F$405,G879,'Istoric_Nativ'!$D$6:$D$405,"&lt;"&amp;J879,'Istoric_Nativ'!$O$6:$O$405,"INVALID")+COUNTIFS('Istoric_Nativ'!$B$6:$B$405,E879,'Istoric_Nativ'!$C$6:$C$405,F879,'Istoric_Nativ'!$F$6:$F$405,G879,'Istoric_Nativ'!$O$6:$O$405,"INVALID",'Istoric_Nativ'!$D$6:$D$405,"*")+COUNTIFS('Istoric_Nativ'!$B$6:$B$405,E879,'Istoric_Nativ'!$C$6:$C$405,F879,'Istoric_Nativ'!$F$6:$F$405,G879,'Istoric_Nativ'!$D$6:$D$405,"&lt;"&amp;J879,'Istoric_Nativ'!$O$6:$O$405,"SOURCE CONFLICT"))</x:f>
        <x:v>0</x:v>
      </x:c>
      <x:c r="T879" s="2" t="str">
        <x:f>IF(B879="","",IF(R879&lt;&gt;"CLOSED",R879,IF(S879&gt;0,"NATIVE INPUT ISSUE",IF(M879=0,"NO HISTORY",IF(M879&lt;P879,"SMALL SAMPLE","DERIVED")))))</x:f>
      </x:c>
      <x:c r="U879" s="2" t="str">
        <x:f>IF(B879="","","NativeTable; "&amp;E879&amp;"; "&amp;F879&amp;"; "&amp;G879&amp;"; "&amp;H879&amp;"; before "&amp;TEXT(J879,"yyyy-mm-dd")&amp;IF(I879="RECENT","; from "&amp;TEXT(L879,"yyyy-mm-dd"),""))</x:f>
      </x:c>
    </x:row>
    <x:row r="880" ht="21" customHeight="1">
      <x:c r="A880" s="2" t="n">
        <x:v>73</x:v>
      </x:c>
      <x:c r="B880" s="2" t="str">
        <x:f>IF('Input_Meci'!A78="","",'Input_Meci'!A78)</x:f>
      </x:c>
      <x:c r="C880" s="2" t="str">
        <x:v>A</x:v>
      </x:c>
      <x:c r="D880" s="2" t="str">
        <x:v>PRIOR</x:v>
      </x:c>
      <x:c r="E880" s="2" t="str">
        <x:f>IF(B880="","",'Input_Meci'!B78)</x:f>
      </x:c>
      <x:c r="F880" s="2" t="str">
        <x:f>IF(B880="","",IF('Input_Meci'!K78="","",'Input_Meci'!K78))</x:f>
      </x:c>
      <x:c r="G880" s="2" t="str">
        <x:f>IF(B880="","",'Input_Meci'!E78)</x:f>
      </x:c>
      <x:c r="H880" s="2" t="str">
        <x:v>AWAY</x:v>
      </x:c>
      <x:c r="I880" s="2" t="str">
        <x:v>HA</x:v>
      </x:c>
      <x:c r="J880" s="9" t="n">
        <x:f>IF(AND(B880&lt;&gt;"",ISNUMBER('Input_Meci'!G78)),INT('Input_Meci'!G78),0)</x:f>
        <x:v>0</x:v>
      </x:c>
      <x:c r="K880" s="2" t="n">
        <x:f>IF(OR(B880="",F880=""),0,IF(H880="HOME",COUNTIFS('Istoric_Nativ'!$B$6:$B$405,E880,'Istoric_Nativ'!$C$6:$C$405,F880,'Istoric_Nativ'!$E$6:$E$405,G880,'Istoric_Nativ'!$D$6:$D$405,"&lt;"&amp;J880,'Istoric_Nativ'!$P$6:$P$405,1),IF(H880="AWAY",COUNTIFS('Istoric_Nativ'!$B$6:$B$405,E880,'Istoric_Nativ'!$C$6:$C$405,F880,'Istoric_Nativ'!$F$6:$F$405,G880,'Istoric_Nativ'!$D$6:$D$405,"&lt;"&amp;J880,'Istoric_Nativ'!$P$6:$P$405,1),COUNTIFS('Istoric_Nativ'!$B$6:$B$405,E880,'Istoric_Nativ'!$C$6:$C$405,F880,'Istoric_Nativ'!$E$6:$E$405,G880,'Istoric_Nativ'!$D$6:$D$405,"&lt;"&amp;J880,'Istoric_Nativ'!$P$6:$P$405,1)+COUNTIFS('Istoric_Nativ'!$B$6:$B$405,E880,'Istoric_Nativ'!$C$6:$C$405,F880,'Istoric_Nativ'!$F$6:$F$405,G880,'Istoric_Nativ'!$D$6:$D$405,"&lt;"&amp;J880,'Istoric_Nativ'!$P$6:$P$405,1))))</x:f>
        <x:v>0</x:v>
      </x:c>
      <x:c r="L880" s="17" t="n">
        <x:f>IF(AND(B880&lt;&gt;"",I880="RECENT",K880&gt;0),LARGE(_xlfn._xlws.FILTER('Istoric_Nativ'!$D$6:$D$405,('Istoric_Nativ'!$B$6:$B$405=E880)*('Istoric_Nativ'!$C$6:$C$405=F880)*('Istoric_Nativ'!$P$6:$P$405=1)*('Istoric_Nativ'!$D$6:$D$405&lt;J880)*((('Istoric_Nativ'!$E$6:$E$405=G880)+('Istoric_Nativ'!$F$6:$F$405=G880))&gt;0)),MIN('Config_v6'!$B$54,K880)),0)</x:f>
        <x:v>0</x:v>
      </x:c>
      <x:c r="M880" s="2" t="n">
        <x:f>IF(OR(B880="",F880=""),0,IF(H880="HOME",COUNTIFS('Istoric_Nativ'!$B$6:$B$405,E880,'Istoric_Nativ'!$C$6:$C$405,F880,'Istoric_Nativ'!$E$6:$E$405,G880,'Istoric_Nativ'!$D$6:$D$405,"&lt;"&amp;J880,'Istoric_Nativ'!$P$6:$P$405,1,'Istoric_Nativ'!$D$6:$D$405,"&gt;="&amp;L880),IF(H880="AWAY",COUNTIFS('Istoric_Nativ'!$B$6:$B$405,E880,'Istoric_Nativ'!$C$6:$C$405,F880,'Istoric_Nativ'!$F$6:$F$405,G880,'Istoric_Nativ'!$D$6:$D$405,"&lt;"&amp;J880,'Istoric_Nativ'!$P$6:$P$405,1,'Istoric_Nativ'!$D$6:$D$405,"&gt;="&amp;L880),COUNTIFS('Istoric_Nativ'!$B$6:$B$405,E880,'Istoric_Nativ'!$C$6:$C$405,F880,'Istoric_Nativ'!$E$6:$E$405,G880,'Istoric_Nativ'!$D$6:$D$405,"&lt;"&amp;J880,'Istoric_Nativ'!$P$6:$P$405,1,'Istoric_Nativ'!$D$6:$D$405,"&gt;="&amp;L880)+COUNTIFS('Istoric_Nativ'!$B$6:$B$405,E880,'Istoric_Nativ'!$C$6:$C$405,F880,'Istoric_Nativ'!$F$6:$F$405,G880,'Istoric_Nativ'!$D$6:$D$405,"&lt;"&amp;J880,'Istoric_Nativ'!$P$6:$P$405,1,'Istoric_Nativ'!$D$6:$D$405,"&gt;="&amp;L880))))</x:f>
        <x:v>0</x:v>
      </x:c>
      <x:c r="N880" s="11" t="str">
        <x:f>IF(M880=0,"",IF(H880="HOME",SUMIFS('Istoric_Nativ'!$G$6:$G$405,'Istoric_Nativ'!$B$6:$B$405,E880,'Istoric_Nativ'!$C$6:$C$405,F880,'Istoric_Nativ'!$E$6:$E$405,G880,'Istoric_Nativ'!$D$6:$D$405,"&lt;"&amp;J880,'Istoric_Nativ'!$P$6:$P$405,1,'Istoric_Nativ'!$D$6:$D$405,"&gt;="&amp;L880),IF(H880="AWAY",SUMIFS('Istoric_Nativ'!$H$6:$H$405,'Istoric_Nativ'!$B$6:$B$405,E880,'Istoric_Nativ'!$C$6:$C$405,F880,'Istoric_Nativ'!$F$6:$F$405,G880,'Istoric_Nativ'!$D$6:$D$405,"&lt;"&amp;J880,'Istoric_Nativ'!$P$6:$P$405,1,'Istoric_Nativ'!$D$6:$D$405,"&gt;="&amp;L880),SUMIFS('Istoric_Nativ'!$G$6:$G$405,'Istoric_Nativ'!$B$6:$B$405,E880,'Istoric_Nativ'!$C$6:$C$405,F880,'Istoric_Nativ'!$E$6:$E$405,G880,'Istoric_Nativ'!$D$6:$D$405,"&lt;"&amp;J880,'Istoric_Nativ'!$P$6:$P$405,1,'Istoric_Nativ'!$D$6:$D$405,"&gt;="&amp;L880)+SUMIFS('Istoric_Nativ'!$H$6:$H$405,'Istoric_Nativ'!$B$6:$B$405,E880,'Istoric_Nativ'!$C$6:$C$405,F880,'Istoric_Nativ'!$F$6:$F$405,G880,'Istoric_Nativ'!$D$6:$D$405,"&lt;"&amp;J880,'Istoric_Nativ'!$P$6:$P$405,1,'Istoric_Nativ'!$D$6:$D$405,"&gt;="&amp;L880)))/M880)</x:f>
      </x:c>
      <x:c r="O880" s="11" t="str">
        <x:f>IF(M880=0,"",IF(H880="HOME",SUMIFS('Istoric_Nativ'!$H$6:$H$405,'Istoric_Nativ'!$B$6:$B$405,E880,'Istoric_Nativ'!$C$6:$C$405,F880,'Istoric_Nativ'!$E$6:$E$405,G880,'Istoric_Nativ'!$D$6:$D$405,"&lt;"&amp;J880,'Istoric_Nativ'!$P$6:$P$405,1,'Istoric_Nativ'!$D$6:$D$405,"&gt;="&amp;L880),IF(H880="AWAY",SUMIFS('Istoric_Nativ'!$G$6:$G$405,'Istoric_Nativ'!$B$6:$B$405,E880,'Istoric_Nativ'!$C$6:$C$405,F880,'Istoric_Nativ'!$F$6:$F$405,G880,'Istoric_Nativ'!$D$6:$D$405,"&lt;"&amp;J880,'Istoric_Nativ'!$P$6:$P$405,1,'Istoric_Nativ'!$D$6:$D$405,"&gt;="&amp;L880),SUMIFS('Istoric_Nativ'!$H$6:$H$405,'Istoric_Nativ'!$B$6:$B$405,E880,'Istoric_Nativ'!$C$6:$C$405,F880,'Istoric_Nativ'!$E$6:$E$405,G880,'Istoric_Nativ'!$D$6:$D$405,"&lt;"&amp;J880,'Istoric_Nativ'!$P$6:$P$405,1,'Istoric_Nativ'!$D$6:$D$405,"&gt;="&amp;L880)+SUMIFS('Istoric_Nativ'!$G$6:$G$405,'Istoric_Nativ'!$B$6:$B$405,E880,'Istoric_Nativ'!$C$6:$C$405,F880,'Istoric_Nativ'!$F$6:$F$405,G880,'Istoric_Nativ'!$D$6:$D$405,"&lt;"&amp;J880,'Istoric_Nativ'!$P$6:$P$405,1,'Istoric_Nativ'!$D$6:$D$405,"&gt;="&amp;L880)))/M880)</x:f>
      </x:c>
      <x:c r="P880" s="2" t="n">
        <x:f>'Config_v6'!$B$8</x:f>
        <x:v>5</x:v>
      </x:c>
      <x:c r="Q880" s="2" t="n">
        <x:f>IF(OR(B880="",F880=""),0,IFERROR(MATCH(E880&amp;"|"&amp;F880,SourceTable[Source_Key],0),0))</x:f>
        <x:v>0</x:v>
      </x:c>
      <x:c r="R880" s="2" t="str">
        <x:f>IF(B880="","",IF(F880="","UNUSED",IF(Q880=0,"NOT CHECKED",IF(COUNTIF(SourceTable[Source_Key],E880&amp;"|"&amp;F880)&lt;&gt;1,"SOURCE CONFLICT",IF(NOT(OR(INDEX(SourceTable[Status],MAX(1,Q880))="IMPORTED",INDEX(SourceTable[Status],MAX(1,Q880))="PARTIAL",INDEX(SourceTable[Status],MAX(1,Q880))="SOURCE CONFLICT")),"ACCESS BLOCKED",IF(OR(INDEX(SourceTable[Coverage],Q880)&lt;&gt;"FULL SEASON EXPORT",INDEX(SourceTable[URL],Q880)="",INDEX(SourceTable[SHA256],Q880)=""),"EVIDENCE INCOMPLETE",IF(AND('Input_Meci'!H78="LIVE",INDEX(SourceTable[Retrieved_UTC],Q880)&gt;'Input_Meci'!G78),"POST CUTOFF","CLOSED")))))))</x:f>
      </x:c>
      <x:c r="S880" s="2" t="n">
        <x:f>IF(OR(B880="",F880=""),0,COUNTIFS('Istoric_Nativ'!$B$6:$B$405,E880,'Istoric_Nativ'!$C$6:$C$405,F880,'Istoric_Nativ'!$E$6:$E$405,G880,'Istoric_Nativ'!$D$6:$D$405,"&lt;"&amp;J880,'Istoric_Nativ'!$O$6:$O$405,"INVALID")+COUNTIFS('Istoric_Nativ'!$B$6:$B$405,E880,'Istoric_Nativ'!$C$6:$C$405,F880,'Istoric_Nativ'!$E$6:$E$405,G880,'Istoric_Nativ'!$O$6:$O$405,"INVALID",'Istoric_Nativ'!$D$6:$D$405,"*")+COUNTIFS('Istoric_Nativ'!$B$6:$B$405,E880,'Istoric_Nativ'!$C$6:$C$405,F880,'Istoric_Nativ'!$E$6:$E$405,G880,'Istoric_Nativ'!$D$6:$D$405,"&lt;"&amp;J880,'Istoric_Nativ'!$O$6:$O$405,"SOURCE CONFLICT")+COUNTIFS('Istoric_Nativ'!$B$6:$B$405,E880,'Istoric_Nativ'!$C$6:$C$405,F880,'Istoric_Nativ'!$F$6:$F$405,G880,'Istoric_Nativ'!$D$6:$D$405,"&lt;"&amp;J880,'Istoric_Nativ'!$O$6:$O$405,"INVALID")+COUNTIFS('Istoric_Nativ'!$B$6:$B$405,E880,'Istoric_Nativ'!$C$6:$C$405,F880,'Istoric_Nativ'!$F$6:$F$405,G880,'Istoric_Nativ'!$O$6:$O$405,"INVALID",'Istoric_Nativ'!$D$6:$D$405,"*")+COUNTIFS('Istoric_Nativ'!$B$6:$B$405,E880,'Istoric_Nativ'!$C$6:$C$405,F880,'Istoric_Nativ'!$F$6:$F$405,G880,'Istoric_Nativ'!$D$6:$D$405,"&lt;"&amp;J880,'Istoric_Nativ'!$O$6:$O$405,"SOURCE CONFLICT"))</x:f>
        <x:v>0</x:v>
      </x:c>
      <x:c r="T880" s="2" t="str">
        <x:f>IF(B880="","",IF(R880&lt;&gt;"CLOSED",R880,IF(S880&gt;0,"NATIVE INPUT ISSUE",IF(M880=0,"NO HISTORY",IF(M880&lt;P880,"SMALL SAMPLE","DERIVED")))))</x:f>
      </x:c>
      <x:c r="U880" s="2" t="str">
        <x:f>IF(B880="","","NativeTable; "&amp;E880&amp;"; "&amp;F880&amp;"; "&amp;G880&amp;"; "&amp;H880&amp;"; before "&amp;TEXT(J880,"yyyy-mm-dd")&amp;IF(I880="RECENT","; from "&amp;TEXT(L880,"yyyy-mm-dd"),""))</x:f>
      </x:c>
    </x:row>
    <x:row r="881" ht="21" customHeight="1">
      <x:c r="A881" s="2" t="n">
        <x:v>73</x:v>
      </x:c>
      <x:c r="B881" s="2" t="str">
        <x:f>IF('Input_Meci'!A78="","",'Input_Meci'!A78)</x:f>
      </x:c>
      <x:c r="C881" s="2" t="str">
        <x:v>A</x:v>
      </x:c>
      <x:c r="D881" s="2" t="str">
        <x:v>PRIOR</x:v>
      </x:c>
      <x:c r="E881" s="2" t="str">
        <x:f>IF(B881="","",'Input_Meci'!B78)</x:f>
      </x:c>
      <x:c r="F881" s="2" t="str">
        <x:f>IF(B881="","",IF('Input_Meci'!K78="","",'Input_Meci'!K78))</x:f>
      </x:c>
      <x:c r="G881" s="2" t="str">
        <x:f>IF(B881="","",'Input_Meci'!E78)</x:f>
      </x:c>
      <x:c r="H881" s="2" t="str">
        <x:v>ANY</x:v>
      </x:c>
      <x:c r="I881" s="2" t="str">
        <x:v>RECENT</x:v>
      </x:c>
      <x:c r="J881" s="9" t="n">
        <x:f>IF(AND(B881&lt;&gt;"",ISNUMBER('Input_Meci'!G78)),INT('Input_Meci'!G78),0)</x:f>
        <x:v>0</x:v>
      </x:c>
      <x:c r="K881" s="2" t="n">
        <x:f>IF(OR(B881="",F881=""),0,IF(H881="HOME",COUNTIFS('Istoric_Nativ'!$B$6:$B$405,E881,'Istoric_Nativ'!$C$6:$C$405,F881,'Istoric_Nativ'!$E$6:$E$405,G881,'Istoric_Nativ'!$D$6:$D$405,"&lt;"&amp;J881,'Istoric_Nativ'!$P$6:$P$405,1),IF(H881="AWAY",COUNTIFS('Istoric_Nativ'!$B$6:$B$405,E881,'Istoric_Nativ'!$C$6:$C$405,F881,'Istoric_Nativ'!$F$6:$F$405,G881,'Istoric_Nativ'!$D$6:$D$405,"&lt;"&amp;J881,'Istoric_Nativ'!$P$6:$P$405,1),COUNTIFS('Istoric_Nativ'!$B$6:$B$405,E881,'Istoric_Nativ'!$C$6:$C$405,F881,'Istoric_Nativ'!$E$6:$E$405,G881,'Istoric_Nativ'!$D$6:$D$405,"&lt;"&amp;J881,'Istoric_Nativ'!$P$6:$P$405,1)+COUNTIFS('Istoric_Nativ'!$B$6:$B$405,E881,'Istoric_Nativ'!$C$6:$C$405,F881,'Istoric_Nativ'!$F$6:$F$405,G881,'Istoric_Nativ'!$D$6:$D$405,"&lt;"&amp;J881,'Istoric_Nativ'!$P$6:$P$405,1))))</x:f>
        <x:v>0</x:v>
      </x:c>
      <x:c r="L881" s="17" t="n">
        <x:f>IF(AND(B881&lt;&gt;"",I881="RECENT",K881&gt;0),LARGE(_xlfn._xlws.FILTER('Istoric_Nativ'!$D$6:$D$405,('Istoric_Nativ'!$B$6:$B$405=E881)*('Istoric_Nativ'!$C$6:$C$405=F881)*('Istoric_Nativ'!$P$6:$P$405=1)*('Istoric_Nativ'!$D$6:$D$405&lt;J881)*((('Istoric_Nativ'!$E$6:$E$405=G881)+('Istoric_Nativ'!$F$6:$F$405=G881))&gt;0)),MIN('Config_v6'!$B$54,K881)),0)</x:f>
        <x:v>0</x:v>
      </x:c>
      <x:c r="M881" s="2" t="n">
        <x:f>IF(OR(B881="",F881=""),0,IF(H881="HOME",COUNTIFS('Istoric_Nativ'!$B$6:$B$405,E881,'Istoric_Nativ'!$C$6:$C$405,F881,'Istoric_Nativ'!$E$6:$E$405,G881,'Istoric_Nativ'!$D$6:$D$405,"&lt;"&amp;J881,'Istoric_Nativ'!$P$6:$P$405,1,'Istoric_Nativ'!$D$6:$D$405,"&gt;="&amp;L881),IF(H881="AWAY",COUNTIFS('Istoric_Nativ'!$B$6:$B$405,E881,'Istoric_Nativ'!$C$6:$C$405,F881,'Istoric_Nativ'!$F$6:$F$405,G881,'Istoric_Nativ'!$D$6:$D$405,"&lt;"&amp;J881,'Istoric_Nativ'!$P$6:$P$405,1,'Istoric_Nativ'!$D$6:$D$405,"&gt;="&amp;L881),COUNTIFS('Istoric_Nativ'!$B$6:$B$405,E881,'Istoric_Nativ'!$C$6:$C$405,F881,'Istoric_Nativ'!$E$6:$E$405,G881,'Istoric_Nativ'!$D$6:$D$405,"&lt;"&amp;J881,'Istoric_Nativ'!$P$6:$P$405,1,'Istoric_Nativ'!$D$6:$D$405,"&gt;="&amp;L881)+COUNTIFS('Istoric_Nativ'!$B$6:$B$405,E881,'Istoric_Nativ'!$C$6:$C$405,F881,'Istoric_Nativ'!$F$6:$F$405,G881,'Istoric_Nativ'!$D$6:$D$405,"&lt;"&amp;J881,'Istoric_Nativ'!$P$6:$P$405,1,'Istoric_Nativ'!$D$6:$D$405,"&gt;="&amp;L881))))</x:f>
        <x:v>0</x:v>
      </x:c>
      <x:c r="N881" s="11" t="str">
        <x:f>IF(M881=0,"",IF(H881="HOME",SUMIFS('Istoric_Nativ'!$G$6:$G$405,'Istoric_Nativ'!$B$6:$B$405,E881,'Istoric_Nativ'!$C$6:$C$405,F881,'Istoric_Nativ'!$E$6:$E$405,G881,'Istoric_Nativ'!$D$6:$D$405,"&lt;"&amp;J881,'Istoric_Nativ'!$P$6:$P$405,1,'Istoric_Nativ'!$D$6:$D$405,"&gt;="&amp;L881),IF(H881="AWAY",SUMIFS('Istoric_Nativ'!$H$6:$H$405,'Istoric_Nativ'!$B$6:$B$405,E881,'Istoric_Nativ'!$C$6:$C$405,F881,'Istoric_Nativ'!$F$6:$F$405,G881,'Istoric_Nativ'!$D$6:$D$405,"&lt;"&amp;J881,'Istoric_Nativ'!$P$6:$P$405,1,'Istoric_Nativ'!$D$6:$D$405,"&gt;="&amp;L881),SUMIFS('Istoric_Nativ'!$G$6:$G$405,'Istoric_Nativ'!$B$6:$B$405,E881,'Istoric_Nativ'!$C$6:$C$405,F881,'Istoric_Nativ'!$E$6:$E$405,G881,'Istoric_Nativ'!$D$6:$D$405,"&lt;"&amp;J881,'Istoric_Nativ'!$P$6:$P$405,1,'Istoric_Nativ'!$D$6:$D$405,"&gt;="&amp;L881)+SUMIFS('Istoric_Nativ'!$H$6:$H$405,'Istoric_Nativ'!$B$6:$B$405,E881,'Istoric_Nativ'!$C$6:$C$405,F881,'Istoric_Nativ'!$F$6:$F$405,G881,'Istoric_Nativ'!$D$6:$D$405,"&lt;"&amp;J881,'Istoric_Nativ'!$P$6:$P$405,1,'Istoric_Nativ'!$D$6:$D$405,"&gt;="&amp;L881)))/M881)</x:f>
      </x:c>
      <x:c r="O881" s="11" t="str">
        <x:f>IF(M881=0,"",IF(H881="HOME",SUMIFS('Istoric_Nativ'!$H$6:$H$405,'Istoric_Nativ'!$B$6:$B$405,E881,'Istoric_Nativ'!$C$6:$C$405,F881,'Istoric_Nativ'!$E$6:$E$405,G881,'Istoric_Nativ'!$D$6:$D$405,"&lt;"&amp;J881,'Istoric_Nativ'!$P$6:$P$405,1,'Istoric_Nativ'!$D$6:$D$405,"&gt;="&amp;L881),IF(H881="AWAY",SUMIFS('Istoric_Nativ'!$G$6:$G$405,'Istoric_Nativ'!$B$6:$B$405,E881,'Istoric_Nativ'!$C$6:$C$405,F881,'Istoric_Nativ'!$F$6:$F$405,G881,'Istoric_Nativ'!$D$6:$D$405,"&lt;"&amp;J881,'Istoric_Nativ'!$P$6:$P$405,1,'Istoric_Nativ'!$D$6:$D$405,"&gt;="&amp;L881),SUMIFS('Istoric_Nativ'!$H$6:$H$405,'Istoric_Nativ'!$B$6:$B$405,E881,'Istoric_Nativ'!$C$6:$C$405,F881,'Istoric_Nativ'!$E$6:$E$405,G881,'Istoric_Nativ'!$D$6:$D$405,"&lt;"&amp;J881,'Istoric_Nativ'!$P$6:$P$405,1,'Istoric_Nativ'!$D$6:$D$405,"&gt;="&amp;L881)+SUMIFS('Istoric_Nativ'!$G$6:$G$405,'Istoric_Nativ'!$B$6:$B$405,E881,'Istoric_Nativ'!$C$6:$C$405,F881,'Istoric_Nativ'!$F$6:$F$405,G881,'Istoric_Nativ'!$D$6:$D$405,"&lt;"&amp;J881,'Istoric_Nativ'!$P$6:$P$405,1,'Istoric_Nativ'!$D$6:$D$405,"&gt;="&amp;L881)))/M881)</x:f>
      </x:c>
      <x:c r="P881" s="2" t="n">
        <x:f>'Config_v6'!$B$9</x:f>
        <x:v>3</x:v>
      </x:c>
      <x:c r="Q881" s="2" t="n">
        <x:f>IF(OR(B881="",F881=""),0,IFERROR(MATCH(E881&amp;"|"&amp;F881,SourceTable[Source_Key],0),0))</x:f>
        <x:v>0</x:v>
      </x:c>
      <x:c r="R881" s="2" t="str">
        <x:f>IF(B881="","",IF(F881="","UNUSED",IF(Q881=0,"NOT CHECKED",IF(COUNTIF(SourceTable[Source_Key],E881&amp;"|"&amp;F881)&lt;&gt;1,"SOURCE CONFLICT",IF(NOT(OR(INDEX(SourceTable[Status],MAX(1,Q881))="IMPORTED",INDEX(SourceTable[Status],MAX(1,Q881))="PARTIAL",INDEX(SourceTable[Status],MAX(1,Q881))="SOURCE CONFLICT")),"ACCESS BLOCKED",IF(OR(INDEX(SourceTable[Coverage],Q881)&lt;&gt;"FULL SEASON EXPORT",INDEX(SourceTable[URL],Q881)="",INDEX(SourceTable[SHA256],Q881)=""),"EVIDENCE INCOMPLETE",IF(AND('Input_Meci'!H78="LIVE",INDEX(SourceTable[Retrieved_UTC],Q881)&gt;'Input_Meci'!G78),"POST CUTOFF","CLOSED")))))))</x:f>
      </x:c>
      <x:c r="S881" s="2" t="n">
        <x:f>IF(OR(B881="",F881=""),0,COUNTIFS('Istoric_Nativ'!$B$6:$B$405,E881,'Istoric_Nativ'!$C$6:$C$405,F881,'Istoric_Nativ'!$E$6:$E$405,G881,'Istoric_Nativ'!$D$6:$D$405,"&lt;"&amp;J881,'Istoric_Nativ'!$O$6:$O$405,"INVALID")+COUNTIFS('Istoric_Nativ'!$B$6:$B$405,E881,'Istoric_Nativ'!$C$6:$C$405,F881,'Istoric_Nativ'!$E$6:$E$405,G881,'Istoric_Nativ'!$O$6:$O$405,"INVALID",'Istoric_Nativ'!$D$6:$D$405,"*")+COUNTIFS('Istoric_Nativ'!$B$6:$B$405,E881,'Istoric_Nativ'!$C$6:$C$405,F881,'Istoric_Nativ'!$E$6:$E$405,G881,'Istoric_Nativ'!$D$6:$D$405,"&lt;"&amp;J881,'Istoric_Nativ'!$O$6:$O$405,"SOURCE CONFLICT")+COUNTIFS('Istoric_Nativ'!$B$6:$B$405,E881,'Istoric_Nativ'!$C$6:$C$405,F881,'Istoric_Nativ'!$F$6:$F$405,G881,'Istoric_Nativ'!$D$6:$D$405,"&lt;"&amp;J881,'Istoric_Nativ'!$O$6:$O$405,"INVALID")+COUNTIFS('Istoric_Nativ'!$B$6:$B$405,E881,'Istoric_Nativ'!$C$6:$C$405,F881,'Istoric_Nativ'!$F$6:$F$405,G881,'Istoric_Nativ'!$O$6:$O$405,"INVALID",'Istoric_Nativ'!$D$6:$D$405,"*")+COUNTIFS('Istoric_Nativ'!$B$6:$B$405,E881,'Istoric_Nativ'!$C$6:$C$405,F881,'Istoric_Nativ'!$F$6:$F$405,G881,'Istoric_Nativ'!$D$6:$D$405,"&lt;"&amp;J881,'Istoric_Nativ'!$O$6:$O$405,"SOURCE CONFLICT"))</x:f>
        <x:v>0</x:v>
      </x:c>
      <x:c r="T881" s="2" t="str">
        <x:f>IF(B881="","",IF(R881&lt;&gt;"CLOSED",R881,IF(S881&gt;0,"NATIVE INPUT ISSUE",IF(M881=0,"NO HISTORY",IF(M881&lt;P881,"SMALL SAMPLE","DERIVED")))))</x:f>
      </x:c>
      <x:c r="U881" s="2" t="str">
        <x:f>IF(B881="","","NativeTable; "&amp;E881&amp;"; "&amp;F881&amp;"; "&amp;G881&amp;"; "&amp;H881&amp;"; before "&amp;TEXT(J881,"yyyy-mm-dd")&amp;IF(I881="RECENT","; from "&amp;TEXT(L881,"yyyy-mm-dd"),""))</x:f>
      </x:c>
    </x:row>
    <x:row r="882" ht="21" customHeight="1">
      <x:c r="A882" s="2" t="n">
        <x:v>74</x:v>
      </x:c>
      <x:c r="B882" s="2" t="str">
        <x:f>IF('Input_Meci'!A79="","",'Input_Meci'!A79)</x:f>
      </x:c>
      <x:c r="C882" s="2" t="str">
        <x:v>H</x:v>
      </x:c>
      <x:c r="D882" s="2" t="str">
        <x:v>CURRENT</x:v>
      </x:c>
      <x:c r="E882" s="2" t="str">
        <x:f>IF(B882="","",'Input_Meci'!B79)</x:f>
      </x:c>
      <x:c r="F882" s="2" t="str">
        <x:f>IF(B882="","",IF('Input_Meci'!C79="","",'Input_Meci'!C79))</x:f>
      </x:c>
      <x:c r="G882" s="2" t="str">
        <x:f>IF(B882="","",'Input_Meci'!D79)</x:f>
      </x:c>
      <x:c r="H882" s="2" t="str">
        <x:v>ANY</x:v>
      </x:c>
      <x:c r="I882" s="2" t="str">
        <x:v>SEASON</x:v>
      </x:c>
      <x:c r="J882" s="9" t="n">
        <x:f>IF(AND(B882&lt;&gt;"",ISNUMBER('Input_Meci'!G79)),INT('Input_Meci'!G79),0)</x:f>
        <x:v>0</x:v>
      </x:c>
      <x:c r="K882" s="2" t="n">
        <x:f>IF(OR(B882="",F882=""),0,IF(H882="HOME",COUNTIFS('Istoric_Nativ'!$B$6:$B$405,E882,'Istoric_Nativ'!$C$6:$C$405,F882,'Istoric_Nativ'!$E$6:$E$405,G882,'Istoric_Nativ'!$D$6:$D$405,"&lt;"&amp;J882,'Istoric_Nativ'!$P$6:$P$405,1),IF(H882="AWAY",COUNTIFS('Istoric_Nativ'!$B$6:$B$405,E882,'Istoric_Nativ'!$C$6:$C$405,F882,'Istoric_Nativ'!$F$6:$F$405,G882,'Istoric_Nativ'!$D$6:$D$405,"&lt;"&amp;J882,'Istoric_Nativ'!$P$6:$P$405,1),COUNTIFS('Istoric_Nativ'!$B$6:$B$405,E882,'Istoric_Nativ'!$C$6:$C$405,F882,'Istoric_Nativ'!$E$6:$E$405,G882,'Istoric_Nativ'!$D$6:$D$405,"&lt;"&amp;J882,'Istoric_Nativ'!$P$6:$P$405,1)+COUNTIFS('Istoric_Nativ'!$B$6:$B$405,E882,'Istoric_Nativ'!$C$6:$C$405,F882,'Istoric_Nativ'!$F$6:$F$405,G882,'Istoric_Nativ'!$D$6:$D$405,"&lt;"&amp;J882,'Istoric_Nativ'!$P$6:$P$405,1))))</x:f>
        <x:v>0</x:v>
      </x:c>
      <x:c r="L882" s="17" t="n">
        <x:f>IF(AND(B882&lt;&gt;"",I882="RECENT",K882&gt;0),LARGE(_xlfn._xlws.FILTER('Istoric_Nativ'!$D$6:$D$405,('Istoric_Nativ'!$B$6:$B$405=E882)*('Istoric_Nativ'!$C$6:$C$405=F882)*('Istoric_Nativ'!$P$6:$P$405=1)*('Istoric_Nativ'!$D$6:$D$405&lt;J882)*((('Istoric_Nativ'!$E$6:$E$405=G882)+('Istoric_Nativ'!$F$6:$F$405=G882))&gt;0)),MIN('Config_v6'!$B$54,K882)),0)</x:f>
        <x:v>0</x:v>
      </x:c>
      <x:c r="M882" s="2" t="n">
        <x:f>IF(OR(B882="",F882=""),0,IF(H882="HOME",COUNTIFS('Istoric_Nativ'!$B$6:$B$405,E882,'Istoric_Nativ'!$C$6:$C$405,F882,'Istoric_Nativ'!$E$6:$E$405,G882,'Istoric_Nativ'!$D$6:$D$405,"&lt;"&amp;J882,'Istoric_Nativ'!$P$6:$P$405,1,'Istoric_Nativ'!$D$6:$D$405,"&gt;="&amp;L882),IF(H882="AWAY",COUNTIFS('Istoric_Nativ'!$B$6:$B$405,E882,'Istoric_Nativ'!$C$6:$C$405,F882,'Istoric_Nativ'!$F$6:$F$405,G882,'Istoric_Nativ'!$D$6:$D$405,"&lt;"&amp;J882,'Istoric_Nativ'!$P$6:$P$405,1,'Istoric_Nativ'!$D$6:$D$405,"&gt;="&amp;L882),COUNTIFS('Istoric_Nativ'!$B$6:$B$405,E882,'Istoric_Nativ'!$C$6:$C$405,F882,'Istoric_Nativ'!$E$6:$E$405,G882,'Istoric_Nativ'!$D$6:$D$405,"&lt;"&amp;J882,'Istoric_Nativ'!$P$6:$P$405,1,'Istoric_Nativ'!$D$6:$D$405,"&gt;="&amp;L882)+COUNTIFS('Istoric_Nativ'!$B$6:$B$405,E882,'Istoric_Nativ'!$C$6:$C$405,F882,'Istoric_Nativ'!$F$6:$F$405,G882,'Istoric_Nativ'!$D$6:$D$405,"&lt;"&amp;J882,'Istoric_Nativ'!$P$6:$P$405,1,'Istoric_Nativ'!$D$6:$D$405,"&gt;="&amp;L882))))</x:f>
        <x:v>0</x:v>
      </x:c>
      <x:c r="N882" s="11" t="str">
        <x:f>IF(M882=0,"",IF(H882="HOME",SUMIFS('Istoric_Nativ'!$G$6:$G$405,'Istoric_Nativ'!$B$6:$B$405,E882,'Istoric_Nativ'!$C$6:$C$405,F882,'Istoric_Nativ'!$E$6:$E$405,G882,'Istoric_Nativ'!$D$6:$D$405,"&lt;"&amp;J882,'Istoric_Nativ'!$P$6:$P$405,1,'Istoric_Nativ'!$D$6:$D$405,"&gt;="&amp;L882),IF(H882="AWAY",SUMIFS('Istoric_Nativ'!$H$6:$H$405,'Istoric_Nativ'!$B$6:$B$405,E882,'Istoric_Nativ'!$C$6:$C$405,F882,'Istoric_Nativ'!$F$6:$F$405,G882,'Istoric_Nativ'!$D$6:$D$405,"&lt;"&amp;J882,'Istoric_Nativ'!$P$6:$P$405,1,'Istoric_Nativ'!$D$6:$D$405,"&gt;="&amp;L882),SUMIFS('Istoric_Nativ'!$G$6:$G$405,'Istoric_Nativ'!$B$6:$B$405,E882,'Istoric_Nativ'!$C$6:$C$405,F882,'Istoric_Nativ'!$E$6:$E$405,G882,'Istoric_Nativ'!$D$6:$D$405,"&lt;"&amp;J882,'Istoric_Nativ'!$P$6:$P$405,1,'Istoric_Nativ'!$D$6:$D$405,"&gt;="&amp;L882)+SUMIFS('Istoric_Nativ'!$H$6:$H$405,'Istoric_Nativ'!$B$6:$B$405,E882,'Istoric_Nativ'!$C$6:$C$405,F882,'Istoric_Nativ'!$F$6:$F$405,G882,'Istoric_Nativ'!$D$6:$D$405,"&lt;"&amp;J882,'Istoric_Nativ'!$P$6:$P$405,1,'Istoric_Nativ'!$D$6:$D$405,"&gt;="&amp;L882)))/M882)</x:f>
      </x:c>
      <x:c r="O882" s="11" t="str">
        <x:f>IF(M882=0,"",IF(H882="HOME",SUMIFS('Istoric_Nativ'!$H$6:$H$405,'Istoric_Nativ'!$B$6:$B$405,E882,'Istoric_Nativ'!$C$6:$C$405,F882,'Istoric_Nativ'!$E$6:$E$405,G882,'Istoric_Nativ'!$D$6:$D$405,"&lt;"&amp;J882,'Istoric_Nativ'!$P$6:$P$405,1,'Istoric_Nativ'!$D$6:$D$405,"&gt;="&amp;L882),IF(H882="AWAY",SUMIFS('Istoric_Nativ'!$G$6:$G$405,'Istoric_Nativ'!$B$6:$B$405,E882,'Istoric_Nativ'!$C$6:$C$405,F882,'Istoric_Nativ'!$F$6:$F$405,G882,'Istoric_Nativ'!$D$6:$D$405,"&lt;"&amp;J882,'Istoric_Nativ'!$P$6:$P$405,1,'Istoric_Nativ'!$D$6:$D$405,"&gt;="&amp;L882),SUMIFS('Istoric_Nativ'!$H$6:$H$405,'Istoric_Nativ'!$B$6:$B$405,E882,'Istoric_Nativ'!$C$6:$C$405,F882,'Istoric_Nativ'!$E$6:$E$405,G882,'Istoric_Nativ'!$D$6:$D$405,"&lt;"&amp;J882,'Istoric_Nativ'!$P$6:$P$405,1,'Istoric_Nativ'!$D$6:$D$405,"&gt;="&amp;L882)+SUMIFS('Istoric_Nativ'!$G$6:$G$405,'Istoric_Nativ'!$B$6:$B$405,E882,'Istoric_Nativ'!$C$6:$C$405,F882,'Istoric_Nativ'!$F$6:$F$405,G882,'Istoric_Nativ'!$D$6:$D$405,"&lt;"&amp;J882,'Istoric_Nativ'!$P$6:$P$405,1,'Istoric_Nativ'!$D$6:$D$405,"&gt;="&amp;L882)))/M882)</x:f>
      </x:c>
      <x:c r="P882" s="2" t="n">
        <x:f>'Config_v6'!$B$7</x:f>
        <x:v>10</x:v>
      </x:c>
      <x:c r="Q882" s="2" t="n">
        <x:f>IF(OR(B882="",F882=""),0,IFERROR(MATCH(E882&amp;"|"&amp;F882,SourceTable[Source_Key],0),0))</x:f>
        <x:v>0</x:v>
      </x:c>
      <x:c r="R882" s="2" t="str">
        <x:f>IF(B882="","",IF(F882="","UNUSED",IF(Q882=0,"NOT CHECKED",IF(COUNTIF(SourceTable[Source_Key],E882&amp;"|"&amp;F882)&lt;&gt;1,"SOURCE CONFLICT",IF(NOT(OR(INDEX(SourceTable[Status],MAX(1,Q882))="IMPORTED",INDEX(SourceTable[Status],MAX(1,Q882))="PARTIAL",INDEX(SourceTable[Status],MAX(1,Q882))="SOURCE CONFLICT")),"ACCESS BLOCKED",IF(OR(INDEX(SourceTable[Coverage],Q882)&lt;&gt;"FULL SEASON EXPORT",INDEX(SourceTable[URL],Q882)="",INDEX(SourceTable[SHA256],Q882)=""),"EVIDENCE INCOMPLETE",IF(AND('Input_Meci'!H79="LIVE",INDEX(SourceTable[Retrieved_UTC],Q882)&gt;'Input_Meci'!G79),"POST CUTOFF","CLOSED")))))))</x:f>
      </x:c>
      <x:c r="S882" s="2" t="n">
        <x:f>IF(OR(B882="",F882=""),0,COUNTIFS('Istoric_Nativ'!$B$6:$B$405,E882,'Istoric_Nativ'!$C$6:$C$405,F882,'Istoric_Nativ'!$E$6:$E$405,G882,'Istoric_Nativ'!$D$6:$D$405,"&lt;"&amp;J882,'Istoric_Nativ'!$O$6:$O$405,"INVALID")+COUNTIFS('Istoric_Nativ'!$B$6:$B$405,E882,'Istoric_Nativ'!$C$6:$C$405,F882,'Istoric_Nativ'!$E$6:$E$405,G882,'Istoric_Nativ'!$O$6:$O$405,"INVALID",'Istoric_Nativ'!$D$6:$D$405,"*")+COUNTIFS('Istoric_Nativ'!$B$6:$B$405,E882,'Istoric_Nativ'!$C$6:$C$405,F882,'Istoric_Nativ'!$E$6:$E$405,G882,'Istoric_Nativ'!$D$6:$D$405,"&lt;"&amp;J882,'Istoric_Nativ'!$O$6:$O$405,"SOURCE CONFLICT")+COUNTIFS('Istoric_Nativ'!$B$6:$B$405,E882,'Istoric_Nativ'!$C$6:$C$405,F882,'Istoric_Nativ'!$F$6:$F$405,G882,'Istoric_Nativ'!$D$6:$D$405,"&lt;"&amp;J882,'Istoric_Nativ'!$O$6:$O$405,"INVALID")+COUNTIFS('Istoric_Nativ'!$B$6:$B$405,E882,'Istoric_Nativ'!$C$6:$C$405,F882,'Istoric_Nativ'!$F$6:$F$405,G882,'Istoric_Nativ'!$O$6:$O$405,"INVALID",'Istoric_Nativ'!$D$6:$D$405,"*")+COUNTIFS('Istoric_Nativ'!$B$6:$B$405,E882,'Istoric_Nativ'!$C$6:$C$405,F882,'Istoric_Nativ'!$F$6:$F$405,G882,'Istoric_Nativ'!$D$6:$D$405,"&lt;"&amp;J882,'Istoric_Nativ'!$O$6:$O$405,"SOURCE CONFLICT"))</x:f>
        <x:v>0</x:v>
      </x:c>
      <x:c r="T882" s="2" t="str">
        <x:f>IF(B882="","",IF(R882&lt;&gt;"CLOSED",R882,IF(S882&gt;0,"NATIVE INPUT ISSUE",IF(M882=0,"NO HISTORY",IF(M882&lt;P882,"SMALL SAMPLE","DERIVED")))))</x:f>
      </x:c>
      <x:c r="U882" s="2" t="str">
        <x:f>IF(B882="","","NativeTable; "&amp;E882&amp;"; "&amp;F882&amp;"; "&amp;G882&amp;"; "&amp;H882&amp;"; before "&amp;TEXT(J882,"yyyy-mm-dd")&amp;IF(I882="RECENT","; from "&amp;TEXT(L882,"yyyy-mm-dd"),""))</x:f>
      </x:c>
    </x:row>
    <x:row r="883" ht="21" customHeight="1">
      <x:c r="A883" s="2" t="n">
        <x:v>74</x:v>
      </x:c>
      <x:c r="B883" s="2" t="str">
        <x:f>IF('Input_Meci'!A79="","",'Input_Meci'!A79)</x:f>
      </x:c>
      <x:c r="C883" s="2" t="str">
        <x:v>H</x:v>
      </x:c>
      <x:c r="D883" s="2" t="str">
        <x:v>CURRENT</x:v>
      </x:c>
      <x:c r="E883" s="2" t="str">
        <x:f>IF(B883="","",'Input_Meci'!B79)</x:f>
      </x:c>
      <x:c r="F883" s="2" t="str">
        <x:f>IF(B883="","",IF('Input_Meci'!C79="","",'Input_Meci'!C79))</x:f>
      </x:c>
      <x:c r="G883" s="2" t="str">
        <x:f>IF(B883="","",'Input_Meci'!D79)</x:f>
      </x:c>
      <x:c r="H883" s="2" t="str">
        <x:v>HOME</x:v>
      </x:c>
      <x:c r="I883" s="2" t="str">
        <x:v>HA</x:v>
      </x:c>
      <x:c r="J883" s="9" t="n">
        <x:f>IF(AND(B883&lt;&gt;"",ISNUMBER('Input_Meci'!G79)),INT('Input_Meci'!G79),0)</x:f>
        <x:v>0</x:v>
      </x:c>
      <x:c r="K883" s="2" t="n">
        <x:f>IF(OR(B883="",F883=""),0,IF(H883="HOME",COUNTIFS('Istoric_Nativ'!$B$6:$B$405,E883,'Istoric_Nativ'!$C$6:$C$405,F883,'Istoric_Nativ'!$E$6:$E$405,G883,'Istoric_Nativ'!$D$6:$D$405,"&lt;"&amp;J883,'Istoric_Nativ'!$P$6:$P$405,1),IF(H883="AWAY",COUNTIFS('Istoric_Nativ'!$B$6:$B$405,E883,'Istoric_Nativ'!$C$6:$C$405,F883,'Istoric_Nativ'!$F$6:$F$405,G883,'Istoric_Nativ'!$D$6:$D$405,"&lt;"&amp;J883,'Istoric_Nativ'!$P$6:$P$405,1),COUNTIFS('Istoric_Nativ'!$B$6:$B$405,E883,'Istoric_Nativ'!$C$6:$C$405,F883,'Istoric_Nativ'!$E$6:$E$405,G883,'Istoric_Nativ'!$D$6:$D$405,"&lt;"&amp;J883,'Istoric_Nativ'!$P$6:$P$405,1)+COUNTIFS('Istoric_Nativ'!$B$6:$B$405,E883,'Istoric_Nativ'!$C$6:$C$405,F883,'Istoric_Nativ'!$F$6:$F$405,G883,'Istoric_Nativ'!$D$6:$D$405,"&lt;"&amp;J883,'Istoric_Nativ'!$P$6:$P$405,1))))</x:f>
        <x:v>0</x:v>
      </x:c>
      <x:c r="L883" s="17" t="n">
        <x:f>IF(AND(B883&lt;&gt;"",I883="RECENT",K883&gt;0),LARGE(_xlfn._xlws.FILTER('Istoric_Nativ'!$D$6:$D$405,('Istoric_Nativ'!$B$6:$B$405=E883)*('Istoric_Nativ'!$C$6:$C$405=F883)*('Istoric_Nativ'!$P$6:$P$405=1)*('Istoric_Nativ'!$D$6:$D$405&lt;J883)*((('Istoric_Nativ'!$E$6:$E$405=G883)+('Istoric_Nativ'!$F$6:$F$405=G883))&gt;0)),MIN('Config_v6'!$B$54,K883)),0)</x:f>
        <x:v>0</x:v>
      </x:c>
      <x:c r="M883" s="2" t="n">
        <x:f>IF(OR(B883="",F883=""),0,IF(H883="HOME",COUNTIFS('Istoric_Nativ'!$B$6:$B$405,E883,'Istoric_Nativ'!$C$6:$C$405,F883,'Istoric_Nativ'!$E$6:$E$405,G883,'Istoric_Nativ'!$D$6:$D$405,"&lt;"&amp;J883,'Istoric_Nativ'!$P$6:$P$405,1,'Istoric_Nativ'!$D$6:$D$405,"&gt;="&amp;L883),IF(H883="AWAY",COUNTIFS('Istoric_Nativ'!$B$6:$B$405,E883,'Istoric_Nativ'!$C$6:$C$405,F883,'Istoric_Nativ'!$F$6:$F$405,G883,'Istoric_Nativ'!$D$6:$D$405,"&lt;"&amp;J883,'Istoric_Nativ'!$P$6:$P$405,1,'Istoric_Nativ'!$D$6:$D$405,"&gt;="&amp;L883),COUNTIFS('Istoric_Nativ'!$B$6:$B$405,E883,'Istoric_Nativ'!$C$6:$C$405,F883,'Istoric_Nativ'!$E$6:$E$405,G883,'Istoric_Nativ'!$D$6:$D$405,"&lt;"&amp;J883,'Istoric_Nativ'!$P$6:$P$405,1,'Istoric_Nativ'!$D$6:$D$405,"&gt;="&amp;L883)+COUNTIFS('Istoric_Nativ'!$B$6:$B$405,E883,'Istoric_Nativ'!$C$6:$C$405,F883,'Istoric_Nativ'!$F$6:$F$405,G883,'Istoric_Nativ'!$D$6:$D$405,"&lt;"&amp;J883,'Istoric_Nativ'!$P$6:$P$405,1,'Istoric_Nativ'!$D$6:$D$405,"&gt;="&amp;L883))))</x:f>
        <x:v>0</x:v>
      </x:c>
      <x:c r="N883" s="11" t="str">
        <x:f>IF(M883=0,"",IF(H883="HOME",SUMIFS('Istoric_Nativ'!$G$6:$G$405,'Istoric_Nativ'!$B$6:$B$405,E883,'Istoric_Nativ'!$C$6:$C$405,F883,'Istoric_Nativ'!$E$6:$E$405,G883,'Istoric_Nativ'!$D$6:$D$405,"&lt;"&amp;J883,'Istoric_Nativ'!$P$6:$P$405,1,'Istoric_Nativ'!$D$6:$D$405,"&gt;="&amp;L883),IF(H883="AWAY",SUMIFS('Istoric_Nativ'!$H$6:$H$405,'Istoric_Nativ'!$B$6:$B$405,E883,'Istoric_Nativ'!$C$6:$C$405,F883,'Istoric_Nativ'!$F$6:$F$405,G883,'Istoric_Nativ'!$D$6:$D$405,"&lt;"&amp;J883,'Istoric_Nativ'!$P$6:$P$405,1,'Istoric_Nativ'!$D$6:$D$405,"&gt;="&amp;L883),SUMIFS('Istoric_Nativ'!$G$6:$G$405,'Istoric_Nativ'!$B$6:$B$405,E883,'Istoric_Nativ'!$C$6:$C$405,F883,'Istoric_Nativ'!$E$6:$E$405,G883,'Istoric_Nativ'!$D$6:$D$405,"&lt;"&amp;J883,'Istoric_Nativ'!$P$6:$P$405,1,'Istoric_Nativ'!$D$6:$D$405,"&gt;="&amp;L883)+SUMIFS('Istoric_Nativ'!$H$6:$H$405,'Istoric_Nativ'!$B$6:$B$405,E883,'Istoric_Nativ'!$C$6:$C$405,F883,'Istoric_Nativ'!$F$6:$F$405,G883,'Istoric_Nativ'!$D$6:$D$405,"&lt;"&amp;J883,'Istoric_Nativ'!$P$6:$P$405,1,'Istoric_Nativ'!$D$6:$D$405,"&gt;="&amp;L883)))/M883)</x:f>
      </x:c>
      <x:c r="O883" s="11" t="str">
        <x:f>IF(M883=0,"",IF(H883="HOME",SUMIFS('Istoric_Nativ'!$H$6:$H$405,'Istoric_Nativ'!$B$6:$B$405,E883,'Istoric_Nativ'!$C$6:$C$405,F883,'Istoric_Nativ'!$E$6:$E$405,G883,'Istoric_Nativ'!$D$6:$D$405,"&lt;"&amp;J883,'Istoric_Nativ'!$P$6:$P$405,1,'Istoric_Nativ'!$D$6:$D$405,"&gt;="&amp;L883),IF(H883="AWAY",SUMIFS('Istoric_Nativ'!$G$6:$G$405,'Istoric_Nativ'!$B$6:$B$405,E883,'Istoric_Nativ'!$C$6:$C$405,F883,'Istoric_Nativ'!$F$6:$F$405,G883,'Istoric_Nativ'!$D$6:$D$405,"&lt;"&amp;J883,'Istoric_Nativ'!$P$6:$P$405,1,'Istoric_Nativ'!$D$6:$D$405,"&gt;="&amp;L883),SUMIFS('Istoric_Nativ'!$H$6:$H$405,'Istoric_Nativ'!$B$6:$B$405,E883,'Istoric_Nativ'!$C$6:$C$405,F883,'Istoric_Nativ'!$E$6:$E$405,G883,'Istoric_Nativ'!$D$6:$D$405,"&lt;"&amp;J883,'Istoric_Nativ'!$P$6:$P$405,1,'Istoric_Nativ'!$D$6:$D$405,"&gt;="&amp;L883)+SUMIFS('Istoric_Nativ'!$G$6:$G$405,'Istoric_Nativ'!$B$6:$B$405,E883,'Istoric_Nativ'!$C$6:$C$405,F883,'Istoric_Nativ'!$F$6:$F$405,G883,'Istoric_Nativ'!$D$6:$D$405,"&lt;"&amp;J883,'Istoric_Nativ'!$P$6:$P$405,1,'Istoric_Nativ'!$D$6:$D$405,"&gt;="&amp;L883)))/M883)</x:f>
      </x:c>
      <x:c r="P883" s="2" t="n">
        <x:f>'Config_v6'!$B$8</x:f>
        <x:v>5</x:v>
      </x:c>
      <x:c r="Q883" s="2" t="n">
        <x:f>IF(OR(B883="",F883=""),0,IFERROR(MATCH(E883&amp;"|"&amp;F883,SourceTable[Source_Key],0),0))</x:f>
        <x:v>0</x:v>
      </x:c>
      <x:c r="R883" s="2" t="str">
        <x:f>IF(B883="","",IF(F883="","UNUSED",IF(Q883=0,"NOT CHECKED",IF(COUNTIF(SourceTable[Source_Key],E883&amp;"|"&amp;F883)&lt;&gt;1,"SOURCE CONFLICT",IF(NOT(OR(INDEX(SourceTable[Status],MAX(1,Q883))="IMPORTED",INDEX(SourceTable[Status],MAX(1,Q883))="PARTIAL",INDEX(SourceTable[Status],MAX(1,Q883))="SOURCE CONFLICT")),"ACCESS BLOCKED",IF(OR(INDEX(SourceTable[Coverage],Q883)&lt;&gt;"FULL SEASON EXPORT",INDEX(SourceTable[URL],Q883)="",INDEX(SourceTable[SHA256],Q883)=""),"EVIDENCE INCOMPLETE",IF(AND('Input_Meci'!H79="LIVE",INDEX(SourceTable[Retrieved_UTC],Q883)&gt;'Input_Meci'!G79),"POST CUTOFF","CLOSED")))))))</x:f>
      </x:c>
      <x:c r="S883" s="2" t="n">
        <x:f>IF(OR(B883="",F883=""),0,COUNTIFS('Istoric_Nativ'!$B$6:$B$405,E883,'Istoric_Nativ'!$C$6:$C$405,F883,'Istoric_Nativ'!$E$6:$E$405,G883,'Istoric_Nativ'!$D$6:$D$405,"&lt;"&amp;J883,'Istoric_Nativ'!$O$6:$O$405,"INVALID")+COUNTIFS('Istoric_Nativ'!$B$6:$B$405,E883,'Istoric_Nativ'!$C$6:$C$405,F883,'Istoric_Nativ'!$E$6:$E$405,G883,'Istoric_Nativ'!$O$6:$O$405,"INVALID",'Istoric_Nativ'!$D$6:$D$405,"*")+COUNTIFS('Istoric_Nativ'!$B$6:$B$405,E883,'Istoric_Nativ'!$C$6:$C$405,F883,'Istoric_Nativ'!$E$6:$E$405,G883,'Istoric_Nativ'!$D$6:$D$405,"&lt;"&amp;J883,'Istoric_Nativ'!$O$6:$O$405,"SOURCE CONFLICT")+COUNTIFS('Istoric_Nativ'!$B$6:$B$405,E883,'Istoric_Nativ'!$C$6:$C$405,F883,'Istoric_Nativ'!$F$6:$F$405,G883,'Istoric_Nativ'!$D$6:$D$405,"&lt;"&amp;J883,'Istoric_Nativ'!$O$6:$O$405,"INVALID")+COUNTIFS('Istoric_Nativ'!$B$6:$B$405,E883,'Istoric_Nativ'!$C$6:$C$405,F883,'Istoric_Nativ'!$F$6:$F$405,G883,'Istoric_Nativ'!$O$6:$O$405,"INVALID",'Istoric_Nativ'!$D$6:$D$405,"*")+COUNTIFS('Istoric_Nativ'!$B$6:$B$405,E883,'Istoric_Nativ'!$C$6:$C$405,F883,'Istoric_Nativ'!$F$6:$F$405,G883,'Istoric_Nativ'!$D$6:$D$405,"&lt;"&amp;J883,'Istoric_Nativ'!$O$6:$O$405,"SOURCE CONFLICT"))</x:f>
        <x:v>0</x:v>
      </x:c>
      <x:c r="T883" s="2" t="str">
        <x:f>IF(B883="","",IF(R883&lt;&gt;"CLOSED",R883,IF(S883&gt;0,"NATIVE INPUT ISSUE",IF(M883=0,"NO HISTORY",IF(M883&lt;P883,"SMALL SAMPLE","DERIVED")))))</x:f>
      </x:c>
      <x:c r="U883" s="2" t="str">
        <x:f>IF(B883="","","NativeTable; "&amp;E883&amp;"; "&amp;F883&amp;"; "&amp;G883&amp;"; "&amp;H883&amp;"; before "&amp;TEXT(J883,"yyyy-mm-dd")&amp;IF(I883="RECENT","; from "&amp;TEXT(L883,"yyyy-mm-dd"),""))</x:f>
      </x:c>
    </x:row>
    <x:row r="884" ht="21" customHeight="1">
      <x:c r="A884" s="2" t="n">
        <x:v>74</x:v>
      </x:c>
      <x:c r="B884" s="2" t="str">
        <x:f>IF('Input_Meci'!A79="","",'Input_Meci'!A79)</x:f>
      </x:c>
      <x:c r="C884" s="2" t="str">
        <x:v>H</x:v>
      </x:c>
      <x:c r="D884" s="2" t="str">
        <x:v>CURRENT</x:v>
      </x:c>
      <x:c r="E884" s="2" t="str">
        <x:f>IF(B884="","",'Input_Meci'!B79)</x:f>
      </x:c>
      <x:c r="F884" s="2" t="str">
        <x:f>IF(B884="","",IF('Input_Meci'!C79="","",'Input_Meci'!C79))</x:f>
      </x:c>
      <x:c r="G884" s="2" t="str">
        <x:f>IF(B884="","",'Input_Meci'!D79)</x:f>
      </x:c>
      <x:c r="H884" s="2" t="str">
        <x:v>ANY</x:v>
      </x:c>
      <x:c r="I884" s="2" t="str">
        <x:v>RECENT</x:v>
      </x:c>
      <x:c r="J884" s="9" t="n">
        <x:f>IF(AND(B884&lt;&gt;"",ISNUMBER('Input_Meci'!G79)),INT('Input_Meci'!G79),0)</x:f>
        <x:v>0</x:v>
      </x:c>
      <x:c r="K884" s="2" t="n">
        <x:f>IF(OR(B884="",F884=""),0,IF(H884="HOME",COUNTIFS('Istoric_Nativ'!$B$6:$B$405,E884,'Istoric_Nativ'!$C$6:$C$405,F884,'Istoric_Nativ'!$E$6:$E$405,G884,'Istoric_Nativ'!$D$6:$D$405,"&lt;"&amp;J884,'Istoric_Nativ'!$P$6:$P$405,1),IF(H884="AWAY",COUNTIFS('Istoric_Nativ'!$B$6:$B$405,E884,'Istoric_Nativ'!$C$6:$C$405,F884,'Istoric_Nativ'!$F$6:$F$405,G884,'Istoric_Nativ'!$D$6:$D$405,"&lt;"&amp;J884,'Istoric_Nativ'!$P$6:$P$405,1),COUNTIFS('Istoric_Nativ'!$B$6:$B$405,E884,'Istoric_Nativ'!$C$6:$C$405,F884,'Istoric_Nativ'!$E$6:$E$405,G884,'Istoric_Nativ'!$D$6:$D$405,"&lt;"&amp;J884,'Istoric_Nativ'!$P$6:$P$405,1)+COUNTIFS('Istoric_Nativ'!$B$6:$B$405,E884,'Istoric_Nativ'!$C$6:$C$405,F884,'Istoric_Nativ'!$F$6:$F$405,G884,'Istoric_Nativ'!$D$6:$D$405,"&lt;"&amp;J884,'Istoric_Nativ'!$P$6:$P$405,1))))</x:f>
        <x:v>0</x:v>
      </x:c>
      <x:c r="L884" s="17" t="n">
        <x:f>IF(AND(B884&lt;&gt;"",I884="RECENT",K884&gt;0),LARGE(_xlfn._xlws.FILTER('Istoric_Nativ'!$D$6:$D$405,('Istoric_Nativ'!$B$6:$B$405=E884)*('Istoric_Nativ'!$C$6:$C$405=F884)*('Istoric_Nativ'!$P$6:$P$405=1)*('Istoric_Nativ'!$D$6:$D$405&lt;J884)*((('Istoric_Nativ'!$E$6:$E$405=G884)+('Istoric_Nativ'!$F$6:$F$405=G884))&gt;0)),MIN('Config_v6'!$B$54,K884)),0)</x:f>
        <x:v>0</x:v>
      </x:c>
      <x:c r="M884" s="2" t="n">
        <x:f>IF(OR(B884="",F884=""),0,IF(H884="HOME",COUNTIFS('Istoric_Nativ'!$B$6:$B$405,E884,'Istoric_Nativ'!$C$6:$C$405,F884,'Istoric_Nativ'!$E$6:$E$405,G884,'Istoric_Nativ'!$D$6:$D$405,"&lt;"&amp;J884,'Istoric_Nativ'!$P$6:$P$405,1,'Istoric_Nativ'!$D$6:$D$405,"&gt;="&amp;L884),IF(H884="AWAY",COUNTIFS('Istoric_Nativ'!$B$6:$B$405,E884,'Istoric_Nativ'!$C$6:$C$405,F884,'Istoric_Nativ'!$F$6:$F$405,G884,'Istoric_Nativ'!$D$6:$D$405,"&lt;"&amp;J884,'Istoric_Nativ'!$P$6:$P$405,1,'Istoric_Nativ'!$D$6:$D$405,"&gt;="&amp;L884),COUNTIFS('Istoric_Nativ'!$B$6:$B$405,E884,'Istoric_Nativ'!$C$6:$C$405,F884,'Istoric_Nativ'!$E$6:$E$405,G884,'Istoric_Nativ'!$D$6:$D$405,"&lt;"&amp;J884,'Istoric_Nativ'!$P$6:$P$405,1,'Istoric_Nativ'!$D$6:$D$405,"&gt;="&amp;L884)+COUNTIFS('Istoric_Nativ'!$B$6:$B$405,E884,'Istoric_Nativ'!$C$6:$C$405,F884,'Istoric_Nativ'!$F$6:$F$405,G884,'Istoric_Nativ'!$D$6:$D$405,"&lt;"&amp;J884,'Istoric_Nativ'!$P$6:$P$405,1,'Istoric_Nativ'!$D$6:$D$405,"&gt;="&amp;L884))))</x:f>
        <x:v>0</x:v>
      </x:c>
      <x:c r="N884" s="11" t="str">
        <x:f>IF(M884=0,"",IF(H884="HOME",SUMIFS('Istoric_Nativ'!$G$6:$G$405,'Istoric_Nativ'!$B$6:$B$405,E884,'Istoric_Nativ'!$C$6:$C$405,F884,'Istoric_Nativ'!$E$6:$E$405,G884,'Istoric_Nativ'!$D$6:$D$405,"&lt;"&amp;J884,'Istoric_Nativ'!$P$6:$P$405,1,'Istoric_Nativ'!$D$6:$D$405,"&gt;="&amp;L884),IF(H884="AWAY",SUMIFS('Istoric_Nativ'!$H$6:$H$405,'Istoric_Nativ'!$B$6:$B$405,E884,'Istoric_Nativ'!$C$6:$C$405,F884,'Istoric_Nativ'!$F$6:$F$405,G884,'Istoric_Nativ'!$D$6:$D$405,"&lt;"&amp;J884,'Istoric_Nativ'!$P$6:$P$405,1,'Istoric_Nativ'!$D$6:$D$405,"&gt;="&amp;L884),SUMIFS('Istoric_Nativ'!$G$6:$G$405,'Istoric_Nativ'!$B$6:$B$405,E884,'Istoric_Nativ'!$C$6:$C$405,F884,'Istoric_Nativ'!$E$6:$E$405,G884,'Istoric_Nativ'!$D$6:$D$405,"&lt;"&amp;J884,'Istoric_Nativ'!$P$6:$P$405,1,'Istoric_Nativ'!$D$6:$D$405,"&gt;="&amp;L884)+SUMIFS('Istoric_Nativ'!$H$6:$H$405,'Istoric_Nativ'!$B$6:$B$405,E884,'Istoric_Nativ'!$C$6:$C$405,F884,'Istoric_Nativ'!$F$6:$F$405,G884,'Istoric_Nativ'!$D$6:$D$405,"&lt;"&amp;J884,'Istoric_Nativ'!$P$6:$P$405,1,'Istoric_Nativ'!$D$6:$D$405,"&gt;="&amp;L884)))/M884)</x:f>
      </x:c>
      <x:c r="O884" s="11" t="str">
        <x:f>IF(M884=0,"",IF(H884="HOME",SUMIFS('Istoric_Nativ'!$H$6:$H$405,'Istoric_Nativ'!$B$6:$B$405,E884,'Istoric_Nativ'!$C$6:$C$405,F884,'Istoric_Nativ'!$E$6:$E$405,G884,'Istoric_Nativ'!$D$6:$D$405,"&lt;"&amp;J884,'Istoric_Nativ'!$P$6:$P$405,1,'Istoric_Nativ'!$D$6:$D$405,"&gt;="&amp;L884),IF(H884="AWAY",SUMIFS('Istoric_Nativ'!$G$6:$G$405,'Istoric_Nativ'!$B$6:$B$405,E884,'Istoric_Nativ'!$C$6:$C$405,F884,'Istoric_Nativ'!$F$6:$F$405,G884,'Istoric_Nativ'!$D$6:$D$405,"&lt;"&amp;J884,'Istoric_Nativ'!$P$6:$P$405,1,'Istoric_Nativ'!$D$6:$D$405,"&gt;="&amp;L884),SUMIFS('Istoric_Nativ'!$H$6:$H$405,'Istoric_Nativ'!$B$6:$B$405,E884,'Istoric_Nativ'!$C$6:$C$405,F884,'Istoric_Nativ'!$E$6:$E$405,G884,'Istoric_Nativ'!$D$6:$D$405,"&lt;"&amp;J884,'Istoric_Nativ'!$P$6:$P$405,1,'Istoric_Nativ'!$D$6:$D$405,"&gt;="&amp;L884)+SUMIFS('Istoric_Nativ'!$G$6:$G$405,'Istoric_Nativ'!$B$6:$B$405,E884,'Istoric_Nativ'!$C$6:$C$405,F884,'Istoric_Nativ'!$F$6:$F$405,G884,'Istoric_Nativ'!$D$6:$D$405,"&lt;"&amp;J884,'Istoric_Nativ'!$P$6:$P$405,1,'Istoric_Nativ'!$D$6:$D$405,"&gt;="&amp;L884)))/M884)</x:f>
      </x:c>
      <x:c r="P884" s="2" t="n">
        <x:f>'Config_v6'!$B$9</x:f>
        <x:v>3</x:v>
      </x:c>
      <x:c r="Q884" s="2" t="n">
        <x:f>IF(OR(B884="",F884=""),0,IFERROR(MATCH(E884&amp;"|"&amp;F884,SourceTable[Source_Key],0),0))</x:f>
        <x:v>0</x:v>
      </x:c>
      <x:c r="R884" s="2" t="str">
        <x:f>IF(B884="","",IF(F884="","UNUSED",IF(Q884=0,"NOT CHECKED",IF(COUNTIF(SourceTable[Source_Key],E884&amp;"|"&amp;F884)&lt;&gt;1,"SOURCE CONFLICT",IF(NOT(OR(INDEX(SourceTable[Status],MAX(1,Q884))="IMPORTED",INDEX(SourceTable[Status],MAX(1,Q884))="PARTIAL",INDEX(SourceTable[Status],MAX(1,Q884))="SOURCE CONFLICT")),"ACCESS BLOCKED",IF(OR(INDEX(SourceTable[Coverage],Q884)&lt;&gt;"FULL SEASON EXPORT",INDEX(SourceTable[URL],Q884)="",INDEX(SourceTable[SHA256],Q884)=""),"EVIDENCE INCOMPLETE",IF(AND('Input_Meci'!H79="LIVE",INDEX(SourceTable[Retrieved_UTC],Q884)&gt;'Input_Meci'!G79),"POST CUTOFF","CLOSED")))))))</x:f>
      </x:c>
      <x:c r="S884" s="2" t="n">
        <x:f>IF(OR(B884="",F884=""),0,COUNTIFS('Istoric_Nativ'!$B$6:$B$405,E884,'Istoric_Nativ'!$C$6:$C$405,F884,'Istoric_Nativ'!$E$6:$E$405,G884,'Istoric_Nativ'!$D$6:$D$405,"&lt;"&amp;J884,'Istoric_Nativ'!$O$6:$O$405,"INVALID")+COUNTIFS('Istoric_Nativ'!$B$6:$B$405,E884,'Istoric_Nativ'!$C$6:$C$405,F884,'Istoric_Nativ'!$E$6:$E$405,G884,'Istoric_Nativ'!$O$6:$O$405,"INVALID",'Istoric_Nativ'!$D$6:$D$405,"*")+COUNTIFS('Istoric_Nativ'!$B$6:$B$405,E884,'Istoric_Nativ'!$C$6:$C$405,F884,'Istoric_Nativ'!$E$6:$E$405,G884,'Istoric_Nativ'!$D$6:$D$405,"&lt;"&amp;J884,'Istoric_Nativ'!$O$6:$O$405,"SOURCE CONFLICT")+COUNTIFS('Istoric_Nativ'!$B$6:$B$405,E884,'Istoric_Nativ'!$C$6:$C$405,F884,'Istoric_Nativ'!$F$6:$F$405,G884,'Istoric_Nativ'!$D$6:$D$405,"&lt;"&amp;J884,'Istoric_Nativ'!$O$6:$O$405,"INVALID")+COUNTIFS('Istoric_Nativ'!$B$6:$B$405,E884,'Istoric_Nativ'!$C$6:$C$405,F884,'Istoric_Nativ'!$F$6:$F$405,G884,'Istoric_Nativ'!$O$6:$O$405,"INVALID",'Istoric_Nativ'!$D$6:$D$405,"*")+COUNTIFS('Istoric_Nativ'!$B$6:$B$405,E884,'Istoric_Nativ'!$C$6:$C$405,F884,'Istoric_Nativ'!$F$6:$F$405,G884,'Istoric_Nativ'!$D$6:$D$405,"&lt;"&amp;J884,'Istoric_Nativ'!$O$6:$O$405,"SOURCE CONFLICT"))</x:f>
        <x:v>0</x:v>
      </x:c>
      <x:c r="T884" s="2" t="str">
        <x:f>IF(B884="","",IF(R884&lt;&gt;"CLOSED",R884,IF(S884&gt;0,"NATIVE INPUT ISSUE",IF(M884=0,"NO HISTORY",IF(M884&lt;P884,"SMALL SAMPLE","DERIVED")))))</x:f>
      </x:c>
      <x:c r="U884" s="2" t="str">
        <x:f>IF(B884="","","NativeTable; "&amp;E884&amp;"; "&amp;F884&amp;"; "&amp;G884&amp;"; "&amp;H884&amp;"; before "&amp;TEXT(J884,"yyyy-mm-dd")&amp;IF(I884="RECENT","; from "&amp;TEXT(L884,"yyyy-mm-dd"),""))</x:f>
      </x:c>
    </x:row>
    <x:row r="885" ht="21" customHeight="1">
      <x:c r="A885" s="2" t="n">
        <x:v>74</x:v>
      </x:c>
      <x:c r="B885" s="2" t="str">
        <x:f>IF('Input_Meci'!A79="","",'Input_Meci'!A79)</x:f>
      </x:c>
      <x:c r="C885" s="2" t="str">
        <x:v>A</x:v>
      </x:c>
      <x:c r="D885" s="2" t="str">
        <x:v>CURRENT</x:v>
      </x:c>
      <x:c r="E885" s="2" t="str">
        <x:f>IF(B885="","",'Input_Meci'!B79)</x:f>
      </x:c>
      <x:c r="F885" s="2" t="str">
        <x:f>IF(B885="","",IF('Input_Meci'!C79="","",'Input_Meci'!C79))</x:f>
      </x:c>
      <x:c r="G885" s="2" t="str">
        <x:f>IF(B885="","",'Input_Meci'!E79)</x:f>
      </x:c>
      <x:c r="H885" s="2" t="str">
        <x:v>ANY</x:v>
      </x:c>
      <x:c r="I885" s="2" t="str">
        <x:v>SEASON</x:v>
      </x:c>
      <x:c r="J885" s="9" t="n">
        <x:f>IF(AND(B885&lt;&gt;"",ISNUMBER('Input_Meci'!G79)),INT('Input_Meci'!G79),0)</x:f>
        <x:v>0</x:v>
      </x:c>
      <x:c r="K885" s="2" t="n">
        <x:f>IF(OR(B885="",F885=""),0,IF(H885="HOME",COUNTIFS('Istoric_Nativ'!$B$6:$B$405,E885,'Istoric_Nativ'!$C$6:$C$405,F885,'Istoric_Nativ'!$E$6:$E$405,G885,'Istoric_Nativ'!$D$6:$D$405,"&lt;"&amp;J885,'Istoric_Nativ'!$P$6:$P$405,1),IF(H885="AWAY",COUNTIFS('Istoric_Nativ'!$B$6:$B$405,E885,'Istoric_Nativ'!$C$6:$C$405,F885,'Istoric_Nativ'!$F$6:$F$405,G885,'Istoric_Nativ'!$D$6:$D$405,"&lt;"&amp;J885,'Istoric_Nativ'!$P$6:$P$405,1),COUNTIFS('Istoric_Nativ'!$B$6:$B$405,E885,'Istoric_Nativ'!$C$6:$C$405,F885,'Istoric_Nativ'!$E$6:$E$405,G885,'Istoric_Nativ'!$D$6:$D$405,"&lt;"&amp;J885,'Istoric_Nativ'!$P$6:$P$405,1)+COUNTIFS('Istoric_Nativ'!$B$6:$B$405,E885,'Istoric_Nativ'!$C$6:$C$405,F885,'Istoric_Nativ'!$F$6:$F$405,G885,'Istoric_Nativ'!$D$6:$D$405,"&lt;"&amp;J885,'Istoric_Nativ'!$P$6:$P$405,1))))</x:f>
        <x:v>0</x:v>
      </x:c>
      <x:c r="L885" s="17" t="n">
        <x:f>IF(AND(B885&lt;&gt;"",I885="RECENT",K885&gt;0),LARGE(_xlfn._xlws.FILTER('Istoric_Nativ'!$D$6:$D$405,('Istoric_Nativ'!$B$6:$B$405=E885)*('Istoric_Nativ'!$C$6:$C$405=F885)*('Istoric_Nativ'!$P$6:$P$405=1)*('Istoric_Nativ'!$D$6:$D$405&lt;J885)*((('Istoric_Nativ'!$E$6:$E$405=G885)+('Istoric_Nativ'!$F$6:$F$405=G885))&gt;0)),MIN('Config_v6'!$B$54,K885)),0)</x:f>
        <x:v>0</x:v>
      </x:c>
      <x:c r="M885" s="2" t="n">
        <x:f>IF(OR(B885="",F885=""),0,IF(H885="HOME",COUNTIFS('Istoric_Nativ'!$B$6:$B$405,E885,'Istoric_Nativ'!$C$6:$C$405,F885,'Istoric_Nativ'!$E$6:$E$405,G885,'Istoric_Nativ'!$D$6:$D$405,"&lt;"&amp;J885,'Istoric_Nativ'!$P$6:$P$405,1,'Istoric_Nativ'!$D$6:$D$405,"&gt;="&amp;L885),IF(H885="AWAY",COUNTIFS('Istoric_Nativ'!$B$6:$B$405,E885,'Istoric_Nativ'!$C$6:$C$405,F885,'Istoric_Nativ'!$F$6:$F$405,G885,'Istoric_Nativ'!$D$6:$D$405,"&lt;"&amp;J885,'Istoric_Nativ'!$P$6:$P$405,1,'Istoric_Nativ'!$D$6:$D$405,"&gt;="&amp;L885),COUNTIFS('Istoric_Nativ'!$B$6:$B$405,E885,'Istoric_Nativ'!$C$6:$C$405,F885,'Istoric_Nativ'!$E$6:$E$405,G885,'Istoric_Nativ'!$D$6:$D$405,"&lt;"&amp;J885,'Istoric_Nativ'!$P$6:$P$405,1,'Istoric_Nativ'!$D$6:$D$405,"&gt;="&amp;L885)+COUNTIFS('Istoric_Nativ'!$B$6:$B$405,E885,'Istoric_Nativ'!$C$6:$C$405,F885,'Istoric_Nativ'!$F$6:$F$405,G885,'Istoric_Nativ'!$D$6:$D$405,"&lt;"&amp;J885,'Istoric_Nativ'!$P$6:$P$405,1,'Istoric_Nativ'!$D$6:$D$405,"&gt;="&amp;L885))))</x:f>
        <x:v>0</x:v>
      </x:c>
      <x:c r="N885" s="11" t="str">
        <x:f>IF(M885=0,"",IF(H885="HOME",SUMIFS('Istoric_Nativ'!$G$6:$G$405,'Istoric_Nativ'!$B$6:$B$405,E885,'Istoric_Nativ'!$C$6:$C$405,F885,'Istoric_Nativ'!$E$6:$E$405,G885,'Istoric_Nativ'!$D$6:$D$405,"&lt;"&amp;J885,'Istoric_Nativ'!$P$6:$P$405,1,'Istoric_Nativ'!$D$6:$D$405,"&gt;="&amp;L885),IF(H885="AWAY",SUMIFS('Istoric_Nativ'!$H$6:$H$405,'Istoric_Nativ'!$B$6:$B$405,E885,'Istoric_Nativ'!$C$6:$C$405,F885,'Istoric_Nativ'!$F$6:$F$405,G885,'Istoric_Nativ'!$D$6:$D$405,"&lt;"&amp;J885,'Istoric_Nativ'!$P$6:$P$405,1,'Istoric_Nativ'!$D$6:$D$405,"&gt;="&amp;L885),SUMIFS('Istoric_Nativ'!$G$6:$G$405,'Istoric_Nativ'!$B$6:$B$405,E885,'Istoric_Nativ'!$C$6:$C$405,F885,'Istoric_Nativ'!$E$6:$E$405,G885,'Istoric_Nativ'!$D$6:$D$405,"&lt;"&amp;J885,'Istoric_Nativ'!$P$6:$P$405,1,'Istoric_Nativ'!$D$6:$D$405,"&gt;="&amp;L885)+SUMIFS('Istoric_Nativ'!$H$6:$H$405,'Istoric_Nativ'!$B$6:$B$405,E885,'Istoric_Nativ'!$C$6:$C$405,F885,'Istoric_Nativ'!$F$6:$F$405,G885,'Istoric_Nativ'!$D$6:$D$405,"&lt;"&amp;J885,'Istoric_Nativ'!$P$6:$P$405,1,'Istoric_Nativ'!$D$6:$D$405,"&gt;="&amp;L885)))/M885)</x:f>
      </x:c>
      <x:c r="O885" s="11" t="str">
        <x:f>IF(M885=0,"",IF(H885="HOME",SUMIFS('Istoric_Nativ'!$H$6:$H$405,'Istoric_Nativ'!$B$6:$B$405,E885,'Istoric_Nativ'!$C$6:$C$405,F885,'Istoric_Nativ'!$E$6:$E$405,G885,'Istoric_Nativ'!$D$6:$D$405,"&lt;"&amp;J885,'Istoric_Nativ'!$P$6:$P$405,1,'Istoric_Nativ'!$D$6:$D$405,"&gt;="&amp;L885),IF(H885="AWAY",SUMIFS('Istoric_Nativ'!$G$6:$G$405,'Istoric_Nativ'!$B$6:$B$405,E885,'Istoric_Nativ'!$C$6:$C$405,F885,'Istoric_Nativ'!$F$6:$F$405,G885,'Istoric_Nativ'!$D$6:$D$405,"&lt;"&amp;J885,'Istoric_Nativ'!$P$6:$P$405,1,'Istoric_Nativ'!$D$6:$D$405,"&gt;="&amp;L885),SUMIFS('Istoric_Nativ'!$H$6:$H$405,'Istoric_Nativ'!$B$6:$B$405,E885,'Istoric_Nativ'!$C$6:$C$405,F885,'Istoric_Nativ'!$E$6:$E$405,G885,'Istoric_Nativ'!$D$6:$D$405,"&lt;"&amp;J885,'Istoric_Nativ'!$P$6:$P$405,1,'Istoric_Nativ'!$D$6:$D$405,"&gt;="&amp;L885)+SUMIFS('Istoric_Nativ'!$G$6:$G$405,'Istoric_Nativ'!$B$6:$B$405,E885,'Istoric_Nativ'!$C$6:$C$405,F885,'Istoric_Nativ'!$F$6:$F$405,G885,'Istoric_Nativ'!$D$6:$D$405,"&lt;"&amp;J885,'Istoric_Nativ'!$P$6:$P$405,1,'Istoric_Nativ'!$D$6:$D$405,"&gt;="&amp;L885)))/M885)</x:f>
      </x:c>
      <x:c r="P885" s="2" t="n">
        <x:f>'Config_v6'!$B$7</x:f>
        <x:v>10</x:v>
      </x:c>
      <x:c r="Q885" s="2" t="n">
        <x:f>IF(OR(B885="",F885=""),0,IFERROR(MATCH(E885&amp;"|"&amp;F885,SourceTable[Source_Key],0),0))</x:f>
        <x:v>0</x:v>
      </x:c>
      <x:c r="R885" s="2" t="str">
        <x:f>IF(B885="","",IF(F885="","UNUSED",IF(Q885=0,"NOT CHECKED",IF(COUNTIF(SourceTable[Source_Key],E885&amp;"|"&amp;F885)&lt;&gt;1,"SOURCE CONFLICT",IF(NOT(OR(INDEX(SourceTable[Status],MAX(1,Q885))="IMPORTED",INDEX(SourceTable[Status],MAX(1,Q885))="PARTIAL",INDEX(SourceTable[Status],MAX(1,Q885))="SOURCE CONFLICT")),"ACCESS BLOCKED",IF(OR(INDEX(SourceTable[Coverage],Q885)&lt;&gt;"FULL SEASON EXPORT",INDEX(SourceTable[URL],Q885)="",INDEX(SourceTable[SHA256],Q885)=""),"EVIDENCE INCOMPLETE",IF(AND('Input_Meci'!H79="LIVE",INDEX(SourceTable[Retrieved_UTC],Q885)&gt;'Input_Meci'!G79),"POST CUTOFF","CLOSED")))))))</x:f>
      </x:c>
      <x:c r="S885" s="2" t="n">
        <x:f>IF(OR(B885="",F885=""),0,COUNTIFS('Istoric_Nativ'!$B$6:$B$405,E885,'Istoric_Nativ'!$C$6:$C$405,F885,'Istoric_Nativ'!$E$6:$E$405,G885,'Istoric_Nativ'!$D$6:$D$405,"&lt;"&amp;J885,'Istoric_Nativ'!$O$6:$O$405,"INVALID")+COUNTIFS('Istoric_Nativ'!$B$6:$B$405,E885,'Istoric_Nativ'!$C$6:$C$405,F885,'Istoric_Nativ'!$E$6:$E$405,G885,'Istoric_Nativ'!$O$6:$O$405,"INVALID",'Istoric_Nativ'!$D$6:$D$405,"*")+COUNTIFS('Istoric_Nativ'!$B$6:$B$405,E885,'Istoric_Nativ'!$C$6:$C$405,F885,'Istoric_Nativ'!$E$6:$E$405,G885,'Istoric_Nativ'!$D$6:$D$405,"&lt;"&amp;J885,'Istoric_Nativ'!$O$6:$O$405,"SOURCE CONFLICT")+COUNTIFS('Istoric_Nativ'!$B$6:$B$405,E885,'Istoric_Nativ'!$C$6:$C$405,F885,'Istoric_Nativ'!$F$6:$F$405,G885,'Istoric_Nativ'!$D$6:$D$405,"&lt;"&amp;J885,'Istoric_Nativ'!$O$6:$O$405,"INVALID")+COUNTIFS('Istoric_Nativ'!$B$6:$B$405,E885,'Istoric_Nativ'!$C$6:$C$405,F885,'Istoric_Nativ'!$F$6:$F$405,G885,'Istoric_Nativ'!$O$6:$O$405,"INVALID",'Istoric_Nativ'!$D$6:$D$405,"*")+COUNTIFS('Istoric_Nativ'!$B$6:$B$405,E885,'Istoric_Nativ'!$C$6:$C$405,F885,'Istoric_Nativ'!$F$6:$F$405,G885,'Istoric_Nativ'!$D$6:$D$405,"&lt;"&amp;J885,'Istoric_Nativ'!$O$6:$O$405,"SOURCE CONFLICT"))</x:f>
        <x:v>0</x:v>
      </x:c>
      <x:c r="T885" s="2" t="str">
        <x:f>IF(B885="","",IF(R885&lt;&gt;"CLOSED",R885,IF(S885&gt;0,"NATIVE INPUT ISSUE",IF(M885=0,"NO HISTORY",IF(M885&lt;P885,"SMALL SAMPLE","DERIVED")))))</x:f>
      </x:c>
      <x:c r="U885" s="2" t="str">
        <x:f>IF(B885="","","NativeTable; "&amp;E885&amp;"; "&amp;F885&amp;"; "&amp;G885&amp;"; "&amp;H885&amp;"; before "&amp;TEXT(J885,"yyyy-mm-dd")&amp;IF(I885="RECENT","; from "&amp;TEXT(L885,"yyyy-mm-dd"),""))</x:f>
      </x:c>
    </x:row>
    <x:row r="886" ht="21" customHeight="1">
      <x:c r="A886" s="2" t="n">
        <x:v>74</x:v>
      </x:c>
      <x:c r="B886" s="2" t="str">
        <x:f>IF('Input_Meci'!A79="","",'Input_Meci'!A79)</x:f>
      </x:c>
      <x:c r="C886" s="2" t="str">
        <x:v>A</x:v>
      </x:c>
      <x:c r="D886" s="2" t="str">
        <x:v>CURRENT</x:v>
      </x:c>
      <x:c r="E886" s="2" t="str">
        <x:f>IF(B886="","",'Input_Meci'!B79)</x:f>
      </x:c>
      <x:c r="F886" s="2" t="str">
        <x:f>IF(B886="","",IF('Input_Meci'!C79="","",'Input_Meci'!C79))</x:f>
      </x:c>
      <x:c r="G886" s="2" t="str">
        <x:f>IF(B886="","",'Input_Meci'!E79)</x:f>
      </x:c>
      <x:c r="H886" s="2" t="str">
        <x:v>AWAY</x:v>
      </x:c>
      <x:c r="I886" s="2" t="str">
        <x:v>HA</x:v>
      </x:c>
      <x:c r="J886" s="9" t="n">
        <x:f>IF(AND(B886&lt;&gt;"",ISNUMBER('Input_Meci'!G79)),INT('Input_Meci'!G79),0)</x:f>
        <x:v>0</x:v>
      </x:c>
      <x:c r="K886" s="2" t="n">
        <x:f>IF(OR(B886="",F886=""),0,IF(H886="HOME",COUNTIFS('Istoric_Nativ'!$B$6:$B$405,E886,'Istoric_Nativ'!$C$6:$C$405,F886,'Istoric_Nativ'!$E$6:$E$405,G886,'Istoric_Nativ'!$D$6:$D$405,"&lt;"&amp;J886,'Istoric_Nativ'!$P$6:$P$405,1),IF(H886="AWAY",COUNTIFS('Istoric_Nativ'!$B$6:$B$405,E886,'Istoric_Nativ'!$C$6:$C$405,F886,'Istoric_Nativ'!$F$6:$F$405,G886,'Istoric_Nativ'!$D$6:$D$405,"&lt;"&amp;J886,'Istoric_Nativ'!$P$6:$P$405,1),COUNTIFS('Istoric_Nativ'!$B$6:$B$405,E886,'Istoric_Nativ'!$C$6:$C$405,F886,'Istoric_Nativ'!$E$6:$E$405,G886,'Istoric_Nativ'!$D$6:$D$405,"&lt;"&amp;J886,'Istoric_Nativ'!$P$6:$P$405,1)+COUNTIFS('Istoric_Nativ'!$B$6:$B$405,E886,'Istoric_Nativ'!$C$6:$C$405,F886,'Istoric_Nativ'!$F$6:$F$405,G886,'Istoric_Nativ'!$D$6:$D$405,"&lt;"&amp;J886,'Istoric_Nativ'!$P$6:$P$405,1))))</x:f>
        <x:v>0</x:v>
      </x:c>
      <x:c r="L886" s="17" t="n">
        <x:f>IF(AND(B886&lt;&gt;"",I886="RECENT",K886&gt;0),LARGE(_xlfn._xlws.FILTER('Istoric_Nativ'!$D$6:$D$405,('Istoric_Nativ'!$B$6:$B$405=E886)*('Istoric_Nativ'!$C$6:$C$405=F886)*('Istoric_Nativ'!$P$6:$P$405=1)*('Istoric_Nativ'!$D$6:$D$405&lt;J886)*((('Istoric_Nativ'!$E$6:$E$405=G886)+('Istoric_Nativ'!$F$6:$F$405=G886))&gt;0)),MIN('Config_v6'!$B$54,K886)),0)</x:f>
        <x:v>0</x:v>
      </x:c>
      <x:c r="M886" s="2" t="n">
        <x:f>IF(OR(B886="",F886=""),0,IF(H886="HOME",COUNTIFS('Istoric_Nativ'!$B$6:$B$405,E886,'Istoric_Nativ'!$C$6:$C$405,F886,'Istoric_Nativ'!$E$6:$E$405,G886,'Istoric_Nativ'!$D$6:$D$405,"&lt;"&amp;J886,'Istoric_Nativ'!$P$6:$P$405,1,'Istoric_Nativ'!$D$6:$D$405,"&gt;="&amp;L886),IF(H886="AWAY",COUNTIFS('Istoric_Nativ'!$B$6:$B$405,E886,'Istoric_Nativ'!$C$6:$C$405,F886,'Istoric_Nativ'!$F$6:$F$405,G886,'Istoric_Nativ'!$D$6:$D$405,"&lt;"&amp;J886,'Istoric_Nativ'!$P$6:$P$405,1,'Istoric_Nativ'!$D$6:$D$405,"&gt;="&amp;L886),COUNTIFS('Istoric_Nativ'!$B$6:$B$405,E886,'Istoric_Nativ'!$C$6:$C$405,F886,'Istoric_Nativ'!$E$6:$E$405,G886,'Istoric_Nativ'!$D$6:$D$405,"&lt;"&amp;J886,'Istoric_Nativ'!$P$6:$P$405,1,'Istoric_Nativ'!$D$6:$D$405,"&gt;="&amp;L886)+COUNTIFS('Istoric_Nativ'!$B$6:$B$405,E886,'Istoric_Nativ'!$C$6:$C$405,F886,'Istoric_Nativ'!$F$6:$F$405,G886,'Istoric_Nativ'!$D$6:$D$405,"&lt;"&amp;J886,'Istoric_Nativ'!$P$6:$P$405,1,'Istoric_Nativ'!$D$6:$D$405,"&gt;="&amp;L886))))</x:f>
        <x:v>0</x:v>
      </x:c>
      <x:c r="N886" s="11" t="str">
        <x:f>IF(M886=0,"",IF(H886="HOME",SUMIFS('Istoric_Nativ'!$G$6:$G$405,'Istoric_Nativ'!$B$6:$B$405,E886,'Istoric_Nativ'!$C$6:$C$405,F886,'Istoric_Nativ'!$E$6:$E$405,G886,'Istoric_Nativ'!$D$6:$D$405,"&lt;"&amp;J886,'Istoric_Nativ'!$P$6:$P$405,1,'Istoric_Nativ'!$D$6:$D$405,"&gt;="&amp;L886),IF(H886="AWAY",SUMIFS('Istoric_Nativ'!$H$6:$H$405,'Istoric_Nativ'!$B$6:$B$405,E886,'Istoric_Nativ'!$C$6:$C$405,F886,'Istoric_Nativ'!$F$6:$F$405,G886,'Istoric_Nativ'!$D$6:$D$405,"&lt;"&amp;J886,'Istoric_Nativ'!$P$6:$P$405,1,'Istoric_Nativ'!$D$6:$D$405,"&gt;="&amp;L886),SUMIFS('Istoric_Nativ'!$G$6:$G$405,'Istoric_Nativ'!$B$6:$B$405,E886,'Istoric_Nativ'!$C$6:$C$405,F886,'Istoric_Nativ'!$E$6:$E$405,G886,'Istoric_Nativ'!$D$6:$D$405,"&lt;"&amp;J886,'Istoric_Nativ'!$P$6:$P$405,1,'Istoric_Nativ'!$D$6:$D$405,"&gt;="&amp;L886)+SUMIFS('Istoric_Nativ'!$H$6:$H$405,'Istoric_Nativ'!$B$6:$B$405,E886,'Istoric_Nativ'!$C$6:$C$405,F886,'Istoric_Nativ'!$F$6:$F$405,G886,'Istoric_Nativ'!$D$6:$D$405,"&lt;"&amp;J886,'Istoric_Nativ'!$P$6:$P$405,1,'Istoric_Nativ'!$D$6:$D$405,"&gt;="&amp;L886)))/M886)</x:f>
      </x:c>
      <x:c r="O886" s="11" t="str">
        <x:f>IF(M886=0,"",IF(H886="HOME",SUMIFS('Istoric_Nativ'!$H$6:$H$405,'Istoric_Nativ'!$B$6:$B$405,E886,'Istoric_Nativ'!$C$6:$C$405,F886,'Istoric_Nativ'!$E$6:$E$405,G886,'Istoric_Nativ'!$D$6:$D$405,"&lt;"&amp;J886,'Istoric_Nativ'!$P$6:$P$405,1,'Istoric_Nativ'!$D$6:$D$405,"&gt;="&amp;L886),IF(H886="AWAY",SUMIFS('Istoric_Nativ'!$G$6:$G$405,'Istoric_Nativ'!$B$6:$B$405,E886,'Istoric_Nativ'!$C$6:$C$405,F886,'Istoric_Nativ'!$F$6:$F$405,G886,'Istoric_Nativ'!$D$6:$D$405,"&lt;"&amp;J886,'Istoric_Nativ'!$P$6:$P$405,1,'Istoric_Nativ'!$D$6:$D$405,"&gt;="&amp;L886),SUMIFS('Istoric_Nativ'!$H$6:$H$405,'Istoric_Nativ'!$B$6:$B$405,E886,'Istoric_Nativ'!$C$6:$C$405,F886,'Istoric_Nativ'!$E$6:$E$405,G886,'Istoric_Nativ'!$D$6:$D$405,"&lt;"&amp;J886,'Istoric_Nativ'!$P$6:$P$405,1,'Istoric_Nativ'!$D$6:$D$405,"&gt;="&amp;L886)+SUMIFS('Istoric_Nativ'!$G$6:$G$405,'Istoric_Nativ'!$B$6:$B$405,E886,'Istoric_Nativ'!$C$6:$C$405,F886,'Istoric_Nativ'!$F$6:$F$405,G886,'Istoric_Nativ'!$D$6:$D$405,"&lt;"&amp;J886,'Istoric_Nativ'!$P$6:$P$405,1,'Istoric_Nativ'!$D$6:$D$405,"&gt;="&amp;L886)))/M886)</x:f>
      </x:c>
      <x:c r="P886" s="2" t="n">
        <x:f>'Config_v6'!$B$8</x:f>
        <x:v>5</x:v>
      </x:c>
      <x:c r="Q886" s="2" t="n">
        <x:f>IF(OR(B886="",F886=""),0,IFERROR(MATCH(E886&amp;"|"&amp;F886,SourceTable[Source_Key],0),0))</x:f>
        <x:v>0</x:v>
      </x:c>
      <x:c r="R886" s="2" t="str">
        <x:f>IF(B886="","",IF(F886="","UNUSED",IF(Q886=0,"NOT CHECKED",IF(COUNTIF(SourceTable[Source_Key],E886&amp;"|"&amp;F886)&lt;&gt;1,"SOURCE CONFLICT",IF(NOT(OR(INDEX(SourceTable[Status],MAX(1,Q886))="IMPORTED",INDEX(SourceTable[Status],MAX(1,Q886))="PARTIAL",INDEX(SourceTable[Status],MAX(1,Q886))="SOURCE CONFLICT")),"ACCESS BLOCKED",IF(OR(INDEX(SourceTable[Coverage],Q886)&lt;&gt;"FULL SEASON EXPORT",INDEX(SourceTable[URL],Q886)="",INDEX(SourceTable[SHA256],Q886)=""),"EVIDENCE INCOMPLETE",IF(AND('Input_Meci'!H79="LIVE",INDEX(SourceTable[Retrieved_UTC],Q886)&gt;'Input_Meci'!G79),"POST CUTOFF","CLOSED")))))))</x:f>
      </x:c>
      <x:c r="S886" s="2" t="n">
        <x:f>IF(OR(B886="",F886=""),0,COUNTIFS('Istoric_Nativ'!$B$6:$B$405,E886,'Istoric_Nativ'!$C$6:$C$405,F886,'Istoric_Nativ'!$E$6:$E$405,G886,'Istoric_Nativ'!$D$6:$D$405,"&lt;"&amp;J886,'Istoric_Nativ'!$O$6:$O$405,"INVALID")+COUNTIFS('Istoric_Nativ'!$B$6:$B$405,E886,'Istoric_Nativ'!$C$6:$C$405,F886,'Istoric_Nativ'!$E$6:$E$405,G886,'Istoric_Nativ'!$O$6:$O$405,"INVALID",'Istoric_Nativ'!$D$6:$D$405,"*")+COUNTIFS('Istoric_Nativ'!$B$6:$B$405,E886,'Istoric_Nativ'!$C$6:$C$405,F886,'Istoric_Nativ'!$E$6:$E$405,G886,'Istoric_Nativ'!$D$6:$D$405,"&lt;"&amp;J886,'Istoric_Nativ'!$O$6:$O$405,"SOURCE CONFLICT")+COUNTIFS('Istoric_Nativ'!$B$6:$B$405,E886,'Istoric_Nativ'!$C$6:$C$405,F886,'Istoric_Nativ'!$F$6:$F$405,G886,'Istoric_Nativ'!$D$6:$D$405,"&lt;"&amp;J886,'Istoric_Nativ'!$O$6:$O$405,"INVALID")+COUNTIFS('Istoric_Nativ'!$B$6:$B$405,E886,'Istoric_Nativ'!$C$6:$C$405,F886,'Istoric_Nativ'!$F$6:$F$405,G886,'Istoric_Nativ'!$O$6:$O$405,"INVALID",'Istoric_Nativ'!$D$6:$D$405,"*")+COUNTIFS('Istoric_Nativ'!$B$6:$B$405,E886,'Istoric_Nativ'!$C$6:$C$405,F886,'Istoric_Nativ'!$F$6:$F$405,G886,'Istoric_Nativ'!$D$6:$D$405,"&lt;"&amp;J886,'Istoric_Nativ'!$O$6:$O$405,"SOURCE CONFLICT"))</x:f>
        <x:v>0</x:v>
      </x:c>
      <x:c r="T886" s="2" t="str">
        <x:f>IF(B886="","",IF(R886&lt;&gt;"CLOSED",R886,IF(S886&gt;0,"NATIVE INPUT ISSUE",IF(M886=0,"NO HISTORY",IF(M886&lt;P886,"SMALL SAMPLE","DERIVED")))))</x:f>
      </x:c>
      <x:c r="U886" s="2" t="str">
        <x:f>IF(B886="","","NativeTable; "&amp;E886&amp;"; "&amp;F886&amp;"; "&amp;G886&amp;"; "&amp;H886&amp;"; before "&amp;TEXT(J886,"yyyy-mm-dd")&amp;IF(I886="RECENT","; from "&amp;TEXT(L886,"yyyy-mm-dd"),""))</x:f>
      </x:c>
    </x:row>
    <x:row r="887" ht="21" customHeight="1">
      <x:c r="A887" s="2" t="n">
        <x:v>74</x:v>
      </x:c>
      <x:c r="B887" s="2" t="str">
        <x:f>IF('Input_Meci'!A79="","",'Input_Meci'!A79)</x:f>
      </x:c>
      <x:c r="C887" s="2" t="str">
        <x:v>A</x:v>
      </x:c>
      <x:c r="D887" s="2" t="str">
        <x:v>CURRENT</x:v>
      </x:c>
      <x:c r="E887" s="2" t="str">
        <x:f>IF(B887="","",'Input_Meci'!B79)</x:f>
      </x:c>
      <x:c r="F887" s="2" t="str">
        <x:f>IF(B887="","",IF('Input_Meci'!C79="","",'Input_Meci'!C79))</x:f>
      </x:c>
      <x:c r="G887" s="2" t="str">
        <x:f>IF(B887="","",'Input_Meci'!E79)</x:f>
      </x:c>
      <x:c r="H887" s="2" t="str">
        <x:v>ANY</x:v>
      </x:c>
      <x:c r="I887" s="2" t="str">
        <x:v>RECENT</x:v>
      </x:c>
      <x:c r="J887" s="9" t="n">
        <x:f>IF(AND(B887&lt;&gt;"",ISNUMBER('Input_Meci'!G79)),INT('Input_Meci'!G79),0)</x:f>
        <x:v>0</x:v>
      </x:c>
      <x:c r="K887" s="2" t="n">
        <x:f>IF(OR(B887="",F887=""),0,IF(H887="HOME",COUNTIFS('Istoric_Nativ'!$B$6:$B$405,E887,'Istoric_Nativ'!$C$6:$C$405,F887,'Istoric_Nativ'!$E$6:$E$405,G887,'Istoric_Nativ'!$D$6:$D$405,"&lt;"&amp;J887,'Istoric_Nativ'!$P$6:$P$405,1),IF(H887="AWAY",COUNTIFS('Istoric_Nativ'!$B$6:$B$405,E887,'Istoric_Nativ'!$C$6:$C$405,F887,'Istoric_Nativ'!$F$6:$F$405,G887,'Istoric_Nativ'!$D$6:$D$405,"&lt;"&amp;J887,'Istoric_Nativ'!$P$6:$P$405,1),COUNTIFS('Istoric_Nativ'!$B$6:$B$405,E887,'Istoric_Nativ'!$C$6:$C$405,F887,'Istoric_Nativ'!$E$6:$E$405,G887,'Istoric_Nativ'!$D$6:$D$405,"&lt;"&amp;J887,'Istoric_Nativ'!$P$6:$P$405,1)+COUNTIFS('Istoric_Nativ'!$B$6:$B$405,E887,'Istoric_Nativ'!$C$6:$C$405,F887,'Istoric_Nativ'!$F$6:$F$405,G887,'Istoric_Nativ'!$D$6:$D$405,"&lt;"&amp;J887,'Istoric_Nativ'!$P$6:$P$405,1))))</x:f>
        <x:v>0</x:v>
      </x:c>
      <x:c r="L887" s="17" t="n">
        <x:f>IF(AND(B887&lt;&gt;"",I887="RECENT",K887&gt;0),LARGE(_xlfn._xlws.FILTER('Istoric_Nativ'!$D$6:$D$405,('Istoric_Nativ'!$B$6:$B$405=E887)*('Istoric_Nativ'!$C$6:$C$405=F887)*('Istoric_Nativ'!$P$6:$P$405=1)*('Istoric_Nativ'!$D$6:$D$405&lt;J887)*((('Istoric_Nativ'!$E$6:$E$405=G887)+('Istoric_Nativ'!$F$6:$F$405=G887))&gt;0)),MIN('Config_v6'!$B$54,K887)),0)</x:f>
        <x:v>0</x:v>
      </x:c>
      <x:c r="M887" s="2" t="n">
        <x:f>IF(OR(B887="",F887=""),0,IF(H887="HOME",COUNTIFS('Istoric_Nativ'!$B$6:$B$405,E887,'Istoric_Nativ'!$C$6:$C$405,F887,'Istoric_Nativ'!$E$6:$E$405,G887,'Istoric_Nativ'!$D$6:$D$405,"&lt;"&amp;J887,'Istoric_Nativ'!$P$6:$P$405,1,'Istoric_Nativ'!$D$6:$D$405,"&gt;="&amp;L887),IF(H887="AWAY",COUNTIFS('Istoric_Nativ'!$B$6:$B$405,E887,'Istoric_Nativ'!$C$6:$C$405,F887,'Istoric_Nativ'!$F$6:$F$405,G887,'Istoric_Nativ'!$D$6:$D$405,"&lt;"&amp;J887,'Istoric_Nativ'!$P$6:$P$405,1,'Istoric_Nativ'!$D$6:$D$405,"&gt;="&amp;L887),COUNTIFS('Istoric_Nativ'!$B$6:$B$405,E887,'Istoric_Nativ'!$C$6:$C$405,F887,'Istoric_Nativ'!$E$6:$E$405,G887,'Istoric_Nativ'!$D$6:$D$405,"&lt;"&amp;J887,'Istoric_Nativ'!$P$6:$P$405,1,'Istoric_Nativ'!$D$6:$D$405,"&gt;="&amp;L887)+COUNTIFS('Istoric_Nativ'!$B$6:$B$405,E887,'Istoric_Nativ'!$C$6:$C$405,F887,'Istoric_Nativ'!$F$6:$F$405,G887,'Istoric_Nativ'!$D$6:$D$405,"&lt;"&amp;J887,'Istoric_Nativ'!$P$6:$P$405,1,'Istoric_Nativ'!$D$6:$D$405,"&gt;="&amp;L887))))</x:f>
        <x:v>0</x:v>
      </x:c>
      <x:c r="N887" s="11" t="str">
        <x:f>IF(M887=0,"",IF(H887="HOME",SUMIFS('Istoric_Nativ'!$G$6:$G$405,'Istoric_Nativ'!$B$6:$B$405,E887,'Istoric_Nativ'!$C$6:$C$405,F887,'Istoric_Nativ'!$E$6:$E$405,G887,'Istoric_Nativ'!$D$6:$D$405,"&lt;"&amp;J887,'Istoric_Nativ'!$P$6:$P$405,1,'Istoric_Nativ'!$D$6:$D$405,"&gt;="&amp;L887),IF(H887="AWAY",SUMIFS('Istoric_Nativ'!$H$6:$H$405,'Istoric_Nativ'!$B$6:$B$405,E887,'Istoric_Nativ'!$C$6:$C$405,F887,'Istoric_Nativ'!$F$6:$F$405,G887,'Istoric_Nativ'!$D$6:$D$405,"&lt;"&amp;J887,'Istoric_Nativ'!$P$6:$P$405,1,'Istoric_Nativ'!$D$6:$D$405,"&gt;="&amp;L887),SUMIFS('Istoric_Nativ'!$G$6:$G$405,'Istoric_Nativ'!$B$6:$B$405,E887,'Istoric_Nativ'!$C$6:$C$405,F887,'Istoric_Nativ'!$E$6:$E$405,G887,'Istoric_Nativ'!$D$6:$D$405,"&lt;"&amp;J887,'Istoric_Nativ'!$P$6:$P$405,1,'Istoric_Nativ'!$D$6:$D$405,"&gt;="&amp;L887)+SUMIFS('Istoric_Nativ'!$H$6:$H$405,'Istoric_Nativ'!$B$6:$B$405,E887,'Istoric_Nativ'!$C$6:$C$405,F887,'Istoric_Nativ'!$F$6:$F$405,G887,'Istoric_Nativ'!$D$6:$D$405,"&lt;"&amp;J887,'Istoric_Nativ'!$P$6:$P$405,1,'Istoric_Nativ'!$D$6:$D$405,"&gt;="&amp;L887)))/M887)</x:f>
      </x:c>
      <x:c r="O887" s="11" t="str">
        <x:f>IF(M887=0,"",IF(H887="HOME",SUMIFS('Istoric_Nativ'!$H$6:$H$405,'Istoric_Nativ'!$B$6:$B$405,E887,'Istoric_Nativ'!$C$6:$C$405,F887,'Istoric_Nativ'!$E$6:$E$405,G887,'Istoric_Nativ'!$D$6:$D$405,"&lt;"&amp;J887,'Istoric_Nativ'!$P$6:$P$405,1,'Istoric_Nativ'!$D$6:$D$405,"&gt;="&amp;L887),IF(H887="AWAY",SUMIFS('Istoric_Nativ'!$G$6:$G$405,'Istoric_Nativ'!$B$6:$B$405,E887,'Istoric_Nativ'!$C$6:$C$405,F887,'Istoric_Nativ'!$F$6:$F$405,G887,'Istoric_Nativ'!$D$6:$D$405,"&lt;"&amp;J887,'Istoric_Nativ'!$P$6:$P$405,1,'Istoric_Nativ'!$D$6:$D$405,"&gt;="&amp;L887),SUMIFS('Istoric_Nativ'!$H$6:$H$405,'Istoric_Nativ'!$B$6:$B$405,E887,'Istoric_Nativ'!$C$6:$C$405,F887,'Istoric_Nativ'!$E$6:$E$405,G887,'Istoric_Nativ'!$D$6:$D$405,"&lt;"&amp;J887,'Istoric_Nativ'!$P$6:$P$405,1,'Istoric_Nativ'!$D$6:$D$405,"&gt;="&amp;L887)+SUMIFS('Istoric_Nativ'!$G$6:$G$405,'Istoric_Nativ'!$B$6:$B$405,E887,'Istoric_Nativ'!$C$6:$C$405,F887,'Istoric_Nativ'!$F$6:$F$405,G887,'Istoric_Nativ'!$D$6:$D$405,"&lt;"&amp;J887,'Istoric_Nativ'!$P$6:$P$405,1,'Istoric_Nativ'!$D$6:$D$405,"&gt;="&amp;L887)))/M887)</x:f>
      </x:c>
      <x:c r="P887" s="2" t="n">
        <x:f>'Config_v6'!$B$9</x:f>
        <x:v>3</x:v>
      </x:c>
      <x:c r="Q887" s="2" t="n">
        <x:f>IF(OR(B887="",F887=""),0,IFERROR(MATCH(E887&amp;"|"&amp;F887,SourceTable[Source_Key],0),0))</x:f>
        <x:v>0</x:v>
      </x:c>
      <x:c r="R887" s="2" t="str">
        <x:f>IF(B887="","",IF(F887="","UNUSED",IF(Q887=0,"NOT CHECKED",IF(COUNTIF(SourceTable[Source_Key],E887&amp;"|"&amp;F887)&lt;&gt;1,"SOURCE CONFLICT",IF(NOT(OR(INDEX(SourceTable[Status],MAX(1,Q887))="IMPORTED",INDEX(SourceTable[Status],MAX(1,Q887))="PARTIAL",INDEX(SourceTable[Status],MAX(1,Q887))="SOURCE CONFLICT")),"ACCESS BLOCKED",IF(OR(INDEX(SourceTable[Coverage],Q887)&lt;&gt;"FULL SEASON EXPORT",INDEX(SourceTable[URL],Q887)="",INDEX(SourceTable[SHA256],Q887)=""),"EVIDENCE INCOMPLETE",IF(AND('Input_Meci'!H79="LIVE",INDEX(SourceTable[Retrieved_UTC],Q887)&gt;'Input_Meci'!G79),"POST CUTOFF","CLOSED")))))))</x:f>
      </x:c>
      <x:c r="S887" s="2" t="n">
        <x:f>IF(OR(B887="",F887=""),0,COUNTIFS('Istoric_Nativ'!$B$6:$B$405,E887,'Istoric_Nativ'!$C$6:$C$405,F887,'Istoric_Nativ'!$E$6:$E$405,G887,'Istoric_Nativ'!$D$6:$D$405,"&lt;"&amp;J887,'Istoric_Nativ'!$O$6:$O$405,"INVALID")+COUNTIFS('Istoric_Nativ'!$B$6:$B$405,E887,'Istoric_Nativ'!$C$6:$C$405,F887,'Istoric_Nativ'!$E$6:$E$405,G887,'Istoric_Nativ'!$O$6:$O$405,"INVALID",'Istoric_Nativ'!$D$6:$D$405,"*")+COUNTIFS('Istoric_Nativ'!$B$6:$B$405,E887,'Istoric_Nativ'!$C$6:$C$405,F887,'Istoric_Nativ'!$E$6:$E$405,G887,'Istoric_Nativ'!$D$6:$D$405,"&lt;"&amp;J887,'Istoric_Nativ'!$O$6:$O$405,"SOURCE CONFLICT")+COUNTIFS('Istoric_Nativ'!$B$6:$B$405,E887,'Istoric_Nativ'!$C$6:$C$405,F887,'Istoric_Nativ'!$F$6:$F$405,G887,'Istoric_Nativ'!$D$6:$D$405,"&lt;"&amp;J887,'Istoric_Nativ'!$O$6:$O$405,"INVALID")+COUNTIFS('Istoric_Nativ'!$B$6:$B$405,E887,'Istoric_Nativ'!$C$6:$C$405,F887,'Istoric_Nativ'!$F$6:$F$405,G887,'Istoric_Nativ'!$O$6:$O$405,"INVALID",'Istoric_Nativ'!$D$6:$D$405,"*")+COUNTIFS('Istoric_Nativ'!$B$6:$B$405,E887,'Istoric_Nativ'!$C$6:$C$405,F887,'Istoric_Nativ'!$F$6:$F$405,G887,'Istoric_Nativ'!$D$6:$D$405,"&lt;"&amp;J887,'Istoric_Nativ'!$O$6:$O$405,"SOURCE CONFLICT"))</x:f>
        <x:v>0</x:v>
      </x:c>
      <x:c r="T887" s="2" t="str">
        <x:f>IF(B887="","",IF(R887&lt;&gt;"CLOSED",R887,IF(S887&gt;0,"NATIVE INPUT ISSUE",IF(M887=0,"NO HISTORY",IF(M887&lt;P887,"SMALL SAMPLE","DERIVED")))))</x:f>
      </x:c>
      <x:c r="U887" s="2" t="str">
        <x:f>IF(B887="","","NativeTable; "&amp;E887&amp;"; "&amp;F887&amp;"; "&amp;G887&amp;"; "&amp;H887&amp;"; before "&amp;TEXT(J887,"yyyy-mm-dd")&amp;IF(I887="RECENT","; from "&amp;TEXT(L887,"yyyy-mm-dd"),""))</x:f>
      </x:c>
    </x:row>
    <x:row r="888" ht="21" customHeight="1">
      <x:c r="A888" s="2" t="n">
        <x:v>74</x:v>
      </x:c>
      <x:c r="B888" s="2" t="str">
        <x:f>IF('Input_Meci'!A79="","",'Input_Meci'!A79)</x:f>
      </x:c>
      <x:c r="C888" s="2" t="str">
        <x:v>H</x:v>
      </x:c>
      <x:c r="D888" s="2" t="str">
        <x:v>PRIOR</x:v>
      </x:c>
      <x:c r="E888" s="2" t="str">
        <x:f>IF(B888="","",'Input_Meci'!B79)</x:f>
      </x:c>
      <x:c r="F888" s="2" t="str">
        <x:f>IF(B888="","",IF('Input_Meci'!K79="","",'Input_Meci'!K79))</x:f>
      </x:c>
      <x:c r="G888" s="2" t="str">
        <x:f>IF(B888="","",'Input_Meci'!D79)</x:f>
      </x:c>
      <x:c r="H888" s="2" t="str">
        <x:v>ANY</x:v>
      </x:c>
      <x:c r="I888" s="2" t="str">
        <x:v>SEASON</x:v>
      </x:c>
      <x:c r="J888" s="9" t="n">
        <x:f>IF(AND(B888&lt;&gt;"",ISNUMBER('Input_Meci'!G79)),INT('Input_Meci'!G79),0)</x:f>
        <x:v>0</x:v>
      </x:c>
      <x:c r="K888" s="2" t="n">
        <x:f>IF(OR(B888="",F888=""),0,IF(H888="HOME",COUNTIFS('Istoric_Nativ'!$B$6:$B$405,E888,'Istoric_Nativ'!$C$6:$C$405,F888,'Istoric_Nativ'!$E$6:$E$405,G888,'Istoric_Nativ'!$D$6:$D$405,"&lt;"&amp;J888,'Istoric_Nativ'!$P$6:$P$405,1),IF(H888="AWAY",COUNTIFS('Istoric_Nativ'!$B$6:$B$405,E888,'Istoric_Nativ'!$C$6:$C$405,F888,'Istoric_Nativ'!$F$6:$F$405,G888,'Istoric_Nativ'!$D$6:$D$405,"&lt;"&amp;J888,'Istoric_Nativ'!$P$6:$P$405,1),COUNTIFS('Istoric_Nativ'!$B$6:$B$405,E888,'Istoric_Nativ'!$C$6:$C$405,F888,'Istoric_Nativ'!$E$6:$E$405,G888,'Istoric_Nativ'!$D$6:$D$405,"&lt;"&amp;J888,'Istoric_Nativ'!$P$6:$P$405,1)+COUNTIFS('Istoric_Nativ'!$B$6:$B$405,E888,'Istoric_Nativ'!$C$6:$C$405,F888,'Istoric_Nativ'!$F$6:$F$405,G888,'Istoric_Nativ'!$D$6:$D$405,"&lt;"&amp;J888,'Istoric_Nativ'!$P$6:$P$405,1))))</x:f>
        <x:v>0</x:v>
      </x:c>
      <x:c r="L888" s="17" t="n">
        <x:f>IF(AND(B888&lt;&gt;"",I888="RECENT",K888&gt;0),LARGE(_xlfn._xlws.FILTER('Istoric_Nativ'!$D$6:$D$405,('Istoric_Nativ'!$B$6:$B$405=E888)*('Istoric_Nativ'!$C$6:$C$405=F888)*('Istoric_Nativ'!$P$6:$P$405=1)*('Istoric_Nativ'!$D$6:$D$405&lt;J888)*((('Istoric_Nativ'!$E$6:$E$405=G888)+('Istoric_Nativ'!$F$6:$F$405=G888))&gt;0)),MIN('Config_v6'!$B$54,K888)),0)</x:f>
        <x:v>0</x:v>
      </x:c>
      <x:c r="M888" s="2" t="n">
        <x:f>IF(OR(B888="",F888=""),0,IF(H888="HOME",COUNTIFS('Istoric_Nativ'!$B$6:$B$405,E888,'Istoric_Nativ'!$C$6:$C$405,F888,'Istoric_Nativ'!$E$6:$E$405,G888,'Istoric_Nativ'!$D$6:$D$405,"&lt;"&amp;J888,'Istoric_Nativ'!$P$6:$P$405,1,'Istoric_Nativ'!$D$6:$D$405,"&gt;="&amp;L888),IF(H888="AWAY",COUNTIFS('Istoric_Nativ'!$B$6:$B$405,E888,'Istoric_Nativ'!$C$6:$C$405,F888,'Istoric_Nativ'!$F$6:$F$405,G888,'Istoric_Nativ'!$D$6:$D$405,"&lt;"&amp;J888,'Istoric_Nativ'!$P$6:$P$405,1,'Istoric_Nativ'!$D$6:$D$405,"&gt;="&amp;L888),COUNTIFS('Istoric_Nativ'!$B$6:$B$405,E888,'Istoric_Nativ'!$C$6:$C$405,F888,'Istoric_Nativ'!$E$6:$E$405,G888,'Istoric_Nativ'!$D$6:$D$405,"&lt;"&amp;J888,'Istoric_Nativ'!$P$6:$P$405,1,'Istoric_Nativ'!$D$6:$D$405,"&gt;="&amp;L888)+COUNTIFS('Istoric_Nativ'!$B$6:$B$405,E888,'Istoric_Nativ'!$C$6:$C$405,F888,'Istoric_Nativ'!$F$6:$F$405,G888,'Istoric_Nativ'!$D$6:$D$405,"&lt;"&amp;J888,'Istoric_Nativ'!$P$6:$P$405,1,'Istoric_Nativ'!$D$6:$D$405,"&gt;="&amp;L888))))</x:f>
        <x:v>0</x:v>
      </x:c>
      <x:c r="N888" s="11" t="str">
        <x:f>IF(M888=0,"",IF(H888="HOME",SUMIFS('Istoric_Nativ'!$G$6:$G$405,'Istoric_Nativ'!$B$6:$B$405,E888,'Istoric_Nativ'!$C$6:$C$405,F888,'Istoric_Nativ'!$E$6:$E$405,G888,'Istoric_Nativ'!$D$6:$D$405,"&lt;"&amp;J888,'Istoric_Nativ'!$P$6:$P$405,1,'Istoric_Nativ'!$D$6:$D$405,"&gt;="&amp;L888),IF(H888="AWAY",SUMIFS('Istoric_Nativ'!$H$6:$H$405,'Istoric_Nativ'!$B$6:$B$405,E888,'Istoric_Nativ'!$C$6:$C$405,F888,'Istoric_Nativ'!$F$6:$F$405,G888,'Istoric_Nativ'!$D$6:$D$405,"&lt;"&amp;J888,'Istoric_Nativ'!$P$6:$P$405,1,'Istoric_Nativ'!$D$6:$D$405,"&gt;="&amp;L888),SUMIFS('Istoric_Nativ'!$G$6:$G$405,'Istoric_Nativ'!$B$6:$B$405,E888,'Istoric_Nativ'!$C$6:$C$405,F888,'Istoric_Nativ'!$E$6:$E$405,G888,'Istoric_Nativ'!$D$6:$D$405,"&lt;"&amp;J888,'Istoric_Nativ'!$P$6:$P$405,1,'Istoric_Nativ'!$D$6:$D$405,"&gt;="&amp;L888)+SUMIFS('Istoric_Nativ'!$H$6:$H$405,'Istoric_Nativ'!$B$6:$B$405,E888,'Istoric_Nativ'!$C$6:$C$405,F888,'Istoric_Nativ'!$F$6:$F$405,G888,'Istoric_Nativ'!$D$6:$D$405,"&lt;"&amp;J888,'Istoric_Nativ'!$P$6:$P$405,1,'Istoric_Nativ'!$D$6:$D$405,"&gt;="&amp;L888)))/M888)</x:f>
      </x:c>
      <x:c r="O888" s="11" t="str">
        <x:f>IF(M888=0,"",IF(H888="HOME",SUMIFS('Istoric_Nativ'!$H$6:$H$405,'Istoric_Nativ'!$B$6:$B$405,E888,'Istoric_Nativ'!$C$6:$C$405,F888,'Istoric_Nativ'!$E$6:$E$405,G888,'Istoric_Nativ'!$D$6:$D$405,"&lt;"&amp;J888,'Istoric_Nativ'!$P$6:$P$405,1,'Istoric_Nativ'!$D$6:$D$405,"&gt;="&amp;L888),IF(H888="AWAY",SUMIFS('Istoric_Nativ'!$G$6:$G$405,'Istoric_Nativ'!$B$6:$B$405,E888,'Istoric_Nativ'!$C$6:$C$405,F888,'Istoric_Nativ'!$F$6:$F$405,G888,'Istoric_Nativ'!$D$6:$D$405,"&lt;"&amp;J888,'Istoric_Nativ'!$P$6:$P$405,1,'Istoric_Nativ'!$D$6:$D$405,"&gt;="&amp;L888),SUMIFS('Istoric_Nativ'!$H$6:$H$405,'Istoric_Nativ'!$B$6:$B$405,E888,'Istoric_Nativ'!$C$6:$C$405,F888,'Istoric_Nativ'!$E$6:$E$405,G888,'Istoric_Nativ'!$D$6:$D$405,"&lt;"&amp;J888,'Istoric_Nativ'!$P$6:$P$405,1,'Istoric_Nativ'!$D$6:$D$405,"&gt;="&amp;L888)+SUMIFS('Istoric_Nativ'!$G$6:$G$405,'Istoric_Nativ'!$B$6:$B$405,E888,'Istoric_Nativ'!$C$6:$C$405,F888,'Istoric_Nativ'!$F$6:$F$405,G888,'Istoric_Nativ'!$D$6:$D$405,"&lt;"&amp;J888,'Istoric_Nativ'!$P$6:$P$405,1,'Istoric_Nativ'!$D$6:$D$405,"&gt;="&amp;L888)))/M888)</x:f>
      </x:c>
      <x:c r="P888" s="2" t="n">
        <x:f>'Config_v6'!$B$7</x:f>
        <x:v>10</x:v>
      </x:c>
      <x:c r="Q888" s="2" t="n">
        <x:f>IF(OR(B888="",F888=""),0,IFERROR(MATCH(E888&amp;"|"&amp;F888,SourceTable[Source_Key],0),0))</x:f>
        <x:v>0</x:v>
      </x:c>
      <x:c r="R888" s="2" t="str">
        <x:f>IF(B888="","",IF(F888="","UNUSED",IF(Q888=0,"NOT CHECKED",IF(COUNTIF(SourceTable[Source_Key],E888&amp;"|"&amp;F888)&lt;&gt;1,"SOURCE CONFLICT",IF(NOT(OR(INDEX(SourceTable[Status],MAX(1,Q888))="IMPORTED",INDEX(SourceTable[Status],MAX(1,Q888))="PARTIAL",INDEX(SourceTable[Status],MAX(1,Q888))="SOURCE CONFLICT")),"ACCESS BLOCKED",IF(OR(INDEX(SourceTable[Coverage],Q888)&lt;&gt;"FULL SEASON EXPORT",INDEX(SourceTable[URL],Q888)="",INDEX(SourceTable[SHA256],Q888)=""),"EVIDENCE INCOMPLETE",IF(AND('Input_Meci'!H79="LIVE",INDEX(SourceTable[Retrieved_UTC],Q888)&gt;'Input_Meci'!G79),"POST CUTOFF","CLOSED")))))))</x:f>
      </x:c>
      <x:c r="S888" s="2" t="n">
        <x:f>IF(OR(B888="",F888=""),0,COUNTIFS('Istoric_Nativ'!$B$6:$B$405,E888,'Istoric_Nativ'!$C$6:$C$405,F888,'Istoric_Nativ'!$E$6:$E$405,G888,'Istoric_Nativ'!$D$6:$D$405,"&lt;"&amp;J888,'Istoric_Nativ'!$O$6:$O$405,"INVALID")+COUNTIFS('Istoric_Nativ'!$B$6:$B$405,E888,'Istoric_Nativ'!$C$6:$C$405,F888,'Istoric_Nativ'!$E$6:$E$405,G888,'Istoric_Nativ'!$O$6:$O$405,"INVALID",'Istoric_Nativ'!$D$6:$D$405,"*")+COUNTIFS('Istoric_Nativ'!$B$6:$B$405,E888,'Istoric_Nativ'!$C$6:$C$405,F888,'Istoric_Nativ'!$E$6:$E$405,G888,'Istoric_Nativ'!$D$6:$D$405,"&lt;"&amp;J888,'Istoric_Nativ'!$O$6:$O$405,"SOURCE CONFLICT")+COUNTIFS('Istoric_Nativ'!$B$6:$B$405,E888,'Istoric_Nativ'!$C$6:$C$405,F888,'Istoric_Nativ'!$F$6:$F$405,G888,'Istoric_Nativ'!$D$6:$D$405,"&lt;"&amp;J888,'Istoric_Nativ'!$O$6:$O$405,"INVALID")+COUNTIFS('Istoric_Nativ'!$B$6:$B$405,E888,'Istoric_Nativ'!$C$6:$C$405,F888,'Istoric_Nativ'!$F$6:$F$405,G888,'Istoric_Nativ'!$O$6:$O$405,"INVALID",'Istoric_Nativ'!$D$6:$D$405,"*")+COUNTIFS('Istoric_Nativ'!$B$6:$B$405,E888,'Istoric_Nativ'!$C$6:$C$405,F888,'Istoric_Nativ'!$F$6:$F$405,G888,'Istoric_Nativ'!$D$6:$D$405,"&lt;"&amp;J888,'Istoric_Nativ'!$O$6:$O$405,"SOURCE CONFLICT"))</x:f>
        <x:v>0</x:v>
      </x:c>
      <x:c r="T888" s="2" t="str">
        <x:f>IF(B888="","",IF(R888&lt;&gt;"CLOSED",R888,IF(S888&gt;0,"NATIVE INPUT ISSUE",IF(M888=0,"NO HISTORY",IF(M888&lt;P888,"SMALL SAMPLE","DERIVED")))))</x:f>
      </x:c>
      <x:c r="U888" s="2" t="str">
        <x:f>IF(B888="","","NativeTable; "&amp;E888&amp;"; "&amp;F888&amp;"; "&amp;G888&amp;"; "&amp;H888&amp;"; before "&amp;TEXT(J888,"yyyy-mm-dd")&amp;IF(I888="RECENT","; from "&amp;TEXT(L888,"yyyy-mm-dd"),""))</x:f>
      </x:c>
    </x:row>
    <x:row r="889" ht="21" customHeight="1">
      <x:c r="A889" s="2" t="n">
        <x:v>74</x:v>
      </x:c>
      <x:c r="B889" s="2" t="str">
        <x:f>IF('Input_Meci'!A79="","",'Input_Meci'!A79)</x:f>
      </x:c>
      <x:c r="C889" s="2" t="str">
        <x:v>H</x:v>
      </x:c>
      <x:c r="D889" s="2" t="str">
        <x:v>PRIOR</x:v>
      </x:c>
      <x:c r="E889" s="2" t="str">
        <x:f>IF(B889="","",'Input_Meci'!B79)</x:f>
      </x:c>
      <x:c r="F889" s="2" t="str">
        <x:f>IF(B889="","",IF('Input_Meci'!K79="","",'Input_Meci'!K79))</x:f>
      </x:c>
      <x:c r="G889" s="2" t="str">
        <x:f>IF(B889="","",'Input_Meci'!D79)</x:f>
      </x:c>
      <x:c r="H889" s="2" t="str">
        <x:v>HOME</x:v>
      </x:c>
      <x:c r="I889" s="2" t="str">
        <x:v>HA</x:v>
      </x:c>
      <x:c r="J889" s="9" t="n">
        <x:f>IF(AND(B889&lt;&gt;"",ISNUMBER('Input_Meci'!G79)),INT('Input_Meci'!G79),0)</x:f>
        <x:v>0</x:v>
      </x:c>
      <x:c r="K889" s="2" t="n">
        <x:f>IF(OR(B889="",F889=""),0,IF(H889="HOME",COUNTIFS('Istoric_Nativ'!$B$6:$B$405,E889,'Istoric_Nativ'!$C$6:$C$405,F889,'Istoric_Nativ'!$E$6:$E$405,G889,'Istoric_Nativ'!$D$6:$D$405,"&lt;"&amp;J889,'Istoric_Nativ'!$P$6:$P$405,1),IF(H889="AWAY",COUNTIFS('Istoric_Nativ'!$B$6:$B$405,E889,'Istoric_Nativ'!$C$6:$C$405,F889,'Istoric_Nativ'!$F$6:$F$405,G889,'Istoric_Nativ'!$D$6:$D$405,"&lt;"&amp;J889,'Istoric_Nativ'!$P$6:$P$405,1),COUNTIFS('Istoric_Nativ'!$B$6:$B$405,E889,'Istoric_Nativ'!$C$6:$C$405,F889,'Istoric_Nativ'!$E$6:$E$405,G889,'Istoric_Nativ'!$D$6:$D$405,"&lt;"&amp;J889,'Istoric_Nativ'!$P$6:$P$405,1)+COUNTIFS('Istoric_Nativ'!$B$6:$B$405,E889,'Istoric_Nativ'!$C$6:$C$405,F889,'Istoric_Nativ'!$F$6:$F$405,G889,'Istoric_Nativ'!$D$6:$D$405,"&lt;"&amp;J889,'Istoric_Nativ'!$P$6:$P$405,1))))</x:f>
        <x:v>0</x:v>
      </x:c>
      <x:c r="L889" s="17" t="n">
        <x:f>IF(AND(B889&lt;&gt;"",I889="RECENT",K889&gt;0),LARGE(_xlfn._xlws.FILTER('Istoric_Nativ'!$D$6:$D$405,('Istoric_Nativ'!$B$6:$B$405=E889)*('Istoric_Nativ'!$C$6:$C$405=F889)*('Istoric_Nativ'!$P$6:$P$405=1)*('Istoric_Nativ'!$D$6:$D$405&lt;J889)*((('Istoric_Nativ'!$E$6:$E$405=G889)+('Istoric_Nativ'!$F$6:$F$405=G889))&gt;0)),MIN('Config_v6'!$B$54,K889)),0)</x:f>
        <x:v>0</x:v>
      </x:c>
      <x:c r="M889" s="2" t="n">
        <x:f>IF(OR(B889="",F889=""),0,IF(H889="HOME",COUNTIFS('Istoric_Nativ'!$B$6:$B$405,E889,'Istoric_Nativ'!$C$6:$C$405,F889,'Istoric_Nativ'!$E$6:$E$405,G889,'Istoric_Nativ'!$D$6:$D$405,"&lt;"&amp;J889,'Istoric_Nativ'!$P$6:$P$405,1,'Istoric_Nativ'!$D$6:$D$405,"&gt;="&amp;L889),IF(H889="AWAY",COUNTIFS('Istoric_Nativ'!$B$6:$B$405,E889,'Istoric_Nativ'!$C$6:$C$405,F889,'Istoric_Nativ'!$F$6:$F$405,G889,'Istoric_Nativ'!$D$6:$D$405,"&lt;"&amp;J889,'Istoric_Nativ'!$P$6:$P$405,1,'Istoric_Nativ'!$D$6:$D$405,"&gt;="&amp;L889),COUNTIFS('Istoric_Nativ'!$B$6:$B$405,E889,'Istoric_Nativ'!$C$6:$C$405,F889,'Istoric_Nativ'!$E$6:$E$405,G889,'Istoric_Nativ'!$D$6:$D$405,"&lt;"&amp;J889,'Istoric_Nativ'!$P$6:$P$405,1,'Istoric_Nativ'!$D$6:$D$405,"&gt;="&amp;L889)+COUNTIFS('Istoric_Nativ'!$B$6:$B$405,E889,'Istoric_Nativ'!$C$6:$C$405,F889,'Istoric_Nativ'!$F$6:$F$405,G889,'Istoric_Nativ'!$D$6:$D$405,"&lt;"&amp;J889,'Istoric_Nativ'!$P$6:$P$405,1,'Istoric_Nativ'!$D$6:$D$405,"&gt;="&amp;L889))))</x:f>
        <x:v>0</x:v>
      </x:c>
      <x:c r="N889" s="11" t="str">
        <x:f>IF(M889=0,"",IF(H889="HOME",SUMIFS('Istoric_Nativ'!$G$6:$G$405,'Istoric_Nativ'!$B$6:$B$405,E889,'Istoric_Nativ'!$C$6:$C$405,F889,'Istoric_Nativ'!$E$6:$E$405,G889,'Istoric_Nativ'!$D$6:$D$405,"&lt;"&amp;J889,'Istoric_Nativ'!$P$6:$P$405,1,'Istoric_Nativ'!$D$6:$D$405,"&gt;="&amp;L889),IF(H889="AWAY",SUMIFS('Istoric_Nativ'!$H$6:$H$405,'Istoric_Nativ'!$B$6:$B$405,E889,'Istoric_Nativ'!$C$6:$C$405,F889,'Istoric_Nativ'!$F$6:$F$405,G889,'Istoric_Nativ'!$D$6:$D$405,"&lt;"&amp;J889,'Istoric_Nativ'!$P$6:$P$405,1,'Istoric_Nativ'!$D$6:$D$405,"&gt;="&amp;L889),SUMIFS('Istoric_Nativ'!$G$6:$G$405,'Istoric_Nativ'!$B$6:$B$405,E889,'Istoric_Nativ'!$C$6:$C$405,F889,'Istoric_Nativ'!$E$6:$E$405,G889,'Istoric_Nativ'!$D$6:$D$405,"&lt;"&amp;J889,'Istoric_Nativ'!$P$6:$P$405,1,'Istoric_Nativ'!$D$6:$D$405,"&gt;="&amp;L889)+SUMIFS('Istoric_Nativ'!$H$6:$H$405,'Istoric_Nativ'!$B$6:$B$405,E889,'Istoric_Nativ'!$C$6:$C$405,F889,'Istoric_Nativ'!$F$6:$F$405,G889,'Istoric_Nativ'!$D$6:$D$405,"&lt;"&amp;J889,'Istoric_Nativ'!$P$6:$P$405,1,'Istoric_Nativ'!$D$6:$D$405,"&gt;="&amp;L889)))/M889)</x:f>
      </x:c>
      <x:c r="O889" s="11" t="str">
        <x:f>IF(M889=0,"",IF(H889="HOME",SUMIFS('Istoric_Nativ'!$H$6:$H$405,'Istoric_Nativ'!$B$6:$B$405,E889,'Istoric_Nativ'!$C$6:$C$405,F889,'Istoric_Nativ'!$E$6:$E$405,G889,'Istoric_Nativ'!$D$6:$D$405,"&lt;"&amp;J889,'Istoric_Nativ'!$P$6:$P$405,1,'Istoric_Nativ'!$D$6:$D$405,"&gt;="&amp;L889),IF(H889="AWAY",SUMIFS('Istoric_Nativ'!$G$6:$G$405,'Istoric_Nativ'!$B$6:$B$405,E889,'Istoric_Nativ'!$C$6:$C$405,F889,'Istoric_Nativ'!$F$6:$F$405,G889,'Istoric_Nativ'!$D$6:$D$405,"&lt;"&amp;J889,'Istoric_Nativ'!$P$6:$P$405,1,'Istoric_Nativ'!$D$6:$D$405,"&gt;="&amp;L889),SUMIFS('Istoric_Nativ'!$H$6:$H$405,'Istoric_Nativ'!$B$6:$B$405,E889,'Istoric_Nativ'!$C$6:$C$405,F889,'Istoric_Nativ'!$E$6:$E$405,G889,'Istoric_Nativ'!$D$6:$D$405,"&lt;"&amp;J889,'Istoric_Nativ'!$P$6:$P$405,1,'Istoric_Nativ'!$D$6:$D$405,"&gt;="&amp;L889)+SUMIFS('Istoric_Nativ'!$G$6:$G$405,'Istoric_Nativ'!$B$6:$B$405,E889,'Istoric_Nativ'!$C$6:$C$405,F889,'Istoric_Nativ'!$F$6:$F$405,G889,'Istoric_Nativ'!$D$6:$D$405,"&lt;"&amp;J889,'Istoric_Nativ'!$P$6:$P$405,1,'Istoric_Nativ'!$D$6:$D$405,"&gt;="&amp;L889)))/M889)</x:f>
      </x:c>
      <x:c r="P889" s="2" t="n">
        <x:f>'Config_v6'!$B$8</x:f>
        <x:v>5</x:v>
      </x:c>
      <x:c r="Q889" s="2" t="n">
        <x:f>IF(OR(B889="",F889=""),0,IFERROR(MATCH(E889&amp;"|"&amp;F889,SourceTable[Source_Key],0),0))</x:f>
        <x:v>0</x:v>
      </x:c>
      <x:c r="R889" s="2" t="str">
        <x:f>IF(B889="","",IF(F889="","UNUSED",IF(Q889=0,"NOT CHECKED",IF(COUNTIF(SourceTable[Source_Key],E889&amp;"|"&amp;F889)&lt;&gt;1,"SOURCE CONFLICT",IF(NOT(OR(INDEX(SourceTable[Status],MAX(1,Q889))="IMPORTED",INDEX(SourceTable[Status],MAX(1,Q889))="PARTIAL",INDEX(SourceTable[Status],MAX(1,Q889))="SOURCE CONFLICT")),"ACCESS BLOCKED",IF(OR(INDEX(SourceTable[Coverage],Q889)&lt;&gt;"FULL SEASON EXPORT",INDEX(SourceTable[URL],Q889)="",INDEX(SourceTable[SHA256],Q889)=""),"EVIDENCE INCOMPLETE",IF(AND('Input_Meci'!H79="LIVE",INDEX(SourceTable[Retrieved_UTC],Q889)&gt;'Input_Meci'!G79),"POST CUTOFF","CLOSED")))))))</x:f>
      </x:c>
      <x:c r="S889" s="2" t="n">
        <x:f>IF(OR(B889="",F889=""),0,COUNTIFS('Istoric_Nativ'!$B$6:$B$405,E889,'Istoric_Nativ'!$C$6:$C$405,F889,'Istoric_Nativ'!$E$6:$E$405,G889,'Istoric_Nativ'!$D$6:$D$405,"&lt;"&amp;J889,'Istoric_Nativ'!$O$6:$O$405,"INVALID")+COUNTIFS('Istoric_Nativ'!$B$6:$B$405,E889,'Istoric_Nativ'!$C$6:$C$405,F889,'Istoric_Nativ'!$E$6:$E$405,G889,'Istoric_Nativ'!$O$6:$O$405,"INVALID",'Istoric_Nativ'!$D$6:$D$405,"*")+COUNTIFS('Istoric_Nativ'!$B$6:$B$405,E889,'Istoric_Nativ'!$C$6:$C$405,F889,'Istoric_Nativ'!$E$6:$E$405,G889,'Istoric_Nativ'!$D$6:$D$405,"&lt;"&amp;J889,'Istoric_Nativ'!$O$6:$O$405,"SOURCE CONFLICT")+COUNTIFS('Istoric_Nativ'!$B$6:$B$405,E889,'Istoric_Nativ'!$C$6:$C$405,F889,'Istoric_Nativ'!$F$6:$F$405,G889,'Istoric_Nativ'!$D$6:$D$405,"&lt;"&amp;J889,'Istoric_Nativ'!$O$6:$O$405,"INVALID")+COUNTIFS('Istoric_Nativ'!$B$6:$B$405,E889,'Istoric_Nativ'!$C$6:$C$405,F889,'Istoric_Nativ'!$F$6:$F$405,G889,'Istoric_Nativ'!$O$6:$O$405,"INVALID",'Istoric_Nativ'!$D$6:$D$405,"*")+COUNTIFS('Istoric_Nativ'!$B$6:$B$405,E889,'Istoric_Nativ'!$C$6:$C$405,F889,'Istoric_Nativ'!$F$6:$F$405,G889,'Istoric_Nativ'!$D$6:$D$405,"&lt;"&amp;J889,'Istoric_Nativ'!$O$6:$O$405,"SOURCE CONFLICT"))</x:f>
        <x:v>0</x:v>
      </x:c>
      <x:c r="T889" s="2" t="str">
        <x:f>IF(B889="","",IF(R889&lt;&gt;"CLOSED",R889,IF(S889&gt;0,"NATIVE INPUT ISSUE",IF(M889=0,"NO HISTORY",IF(M889&lt;P889,"SMALL SAMPLE","DERIVED")))))</x:f>
      </x:c>
      <x:c r="U889" s="2" t="str">
        <x:f>IF(B889="","","NativeTable; "&amp;E889&amp;"; "&amp;F889&amp;"; "&amp;G889&amp;"; "&amp;H889&amp;"; before "&amp;TEXT(J889,"yyyy-mm-dd")&amp;IF(I889="RECENT","; from "&amp;TEXT(L889,"yyyy-mm-dd"),""))</x:f>
      </x:c>
    </x:row>
    <x:row r="890" ht="21" customHeight="1">
      <x:c r="A890" s="2" t="n">
        <x:v>74</x:v>
      </x:c>
      <x:c r="B890" s="2" t="str">
        <x:f>IF('Input_Meci'!A79="","",'Input_Meci'!A79)</x:f>
      </x:c>
      <x:c r="C890" s="2" t="str">
        <x:v>H</x:v>
      </x:c>
      <x:c r="D890" s="2" t="str">
        <x:v>PRIOR</x:v>
      </x:c>
      <x:c r="E890" s="2" t="str">
        <x:f>IF(B890="","",'Input_Meci'!B79)</x:f>
      </x:c>
      <x:c r="F890" s="2" t="str">
        <x:f>IF(B890="","",IF('Input_Meci'!K79="","",'Input_Meci'!K79))</x:f>
      </x:c>
      <x:c r="G890" s="2" t="str">
        <x:f>IF(B890="","",'Input_Meci'!D79)</x:f>
      </x:c>
      <x:c r="H890" s="2" t="str">
        <x:v>ANY</x:v>
      </x:c>
      <x:c r="I890" s="2" t="str">
        <x:v>RECENT</x:v>
      </x:c>
      <x:c r="J890" s="9" t="n">
        <x:f>IF(AND(B890&lt;&gt;"",ISNUMBER('Input_Meci'!G79)),INT('Input_Meci'!G79),0)</x:f>
        <x:v>0</x:v>
      </x:c>
      <x:c r="K890" s="2" t="n">
        <x:f>IF(OR(B890="",F890=""),0,IF(H890="HOME",COUNTIFS('Istoric_Nativ'!$B$6:$B$405,E890,'Istoric_Nativ'!$C$6:$C$405,F890,'Istoric_Nativ'!$E$6:$E$405,G890,'Istoric_Nativ'!$D$6:$D$405,"&lt;"&amp;J890,'Istoric_Nativ'!$P$6:$P$405,1),IF(H890="AWAY",COUNTIFS('Istoric_Nativ'!$B$6:$B$405,E890,'Istoric_Nativ'!$C$6:$C$405,F890,'Istoric_Nativ'!$F$6:$F$405,G890,'Istoric_Nativ'!$D$6:$D$405,"&lt;"&amp;J890,'Istoric_Nativ'!$P$6:$P$405,1),COUNTIFS('Istoric_Nativ'!$B$6:$B$405,E890,'Istoric_Nativ'!$C$6:$C$405,F890,'Istoric_Nativ'!$E$6:$E$405,G890,'Istoric_Nativ'!$D$6:$D$405,"&lt;"&amp;J890,'Istoric_Nativ'!$P$6:$P$405,1)+COUNTIFS('Istoric_Nativ'!$B$6:$B$405,E890,'Istoric_Nativ'!$C$6:$C$405,F890,'Istoric_Nativ'!$F$6:$F$405,G890,'Istoric_Nativ'!$D$6:$D$405,"&lt;"&amp;J890,'Istoric_Nativ'!$P$6:$P$405,1))))</x:f>
        <x:v>0</x:v>
      </x:c>
      <x:c r="L890" s="17" t="n">
        <x:f>IF(AND(B890&lt;&gt;"",I890="RECENT",K890&gt;0),LARGE(_xlfn._xlws.FILTER('Istoric_Nativ'!$D$6:$D$405,('Istoric_Nativ'!$B$6:$B$405=E890)*('Istoric_Nativ'!$C$6:$C$405=F890)*('Istoric_Nativ'!$P$6:$P$405=1)*('Istoric_Nativ'!$D$6:$D$405&lt;J890)*((('Istoric_Nativ'!$E$6:$E$405=G890)+('Istoric_Nativ'!$F$6:$F$405=G890))&gt;0)),MIN('Config_v6'!$B$54,K890)),0)</x:f>
        <x:v>0</x:v>
      </x:c>
      <x:c r="M890" s="2" t="n">
        <x:f>IF(OR(B890="",F890=""),0,IF(H890="HOME",COUNTIFS('Istoric_Nativ'!$B$6:$B$405,E890,'Istoric_Nativ'!$C$6:$C$405,F890,'Istoric_Nativ'!$E$6:$E$405,G890,'Istoric_Nativ'!$D$6:$D$405,"&lt;"&amp;J890,'Istoric_Nativ'!$P$6:$P$405,1,'Istoric_Nativ'!$D$6:$D$405,"&gt;="&amp;L890),IF(H890="AWAY",COUNTIFS('Istoric_Nativ'!$B$6:$B$405,E890,'Istoric_Nativ'!$C$6:$C$405,F890,'Istoric_Nativ'!$F$6:$F$405,G890,'Istoric_Nativ'!$D$6:$D$405,"&lt;"&amp;J890,'Istoric_Nativ'!$P$6:$P$405,1,'Istoric_Nativ'!$D$6:$D$405,"&gt;="&amp;L890),COUNTIFS('Istoric_Nativ'!$B$6:$B$405,E890,'Istoric_Nativ'!$C$6:$C$405,F890,'Istoric_Nativ'!$E$6:$E$405,G890,'Istoric_Nativ'!$D$6:$D$405,"&lt;"&amp;J890,'Istoric_Nativ'!$P$6:$P$405,1,'Istoric_Nativ'!$D$6:$D$405,"&gt;="&amp;L890)+COUNTIFS('Istoric_Nativ'!$B$6:$B$405,E890,'Istoric_Nativ'!$C$6:$C$405,F890,'Istoric_Nativ'!$F$6:$F$405,G890,'Istoric_Nativ'!$D$6:$D$405,"&lt;"&amp;J890,'Istoric_Nativ'!$P$6:$P$405,1,'Istoric_Nativ'!$D$6:$D$405,"&gt;="&amp;L890))))</x:f>
        <x:v>0</x:v>
      </x:c>
      <x:c r="N890" s="11" t="str">
        <x:f>IF(M890=0,"",IF(H890="HOME",SUMIFS('Istoric_Nativ'!$G$6:$G$405,'Istoric_Nativ'!$B$6:$B$405,E890,'Istoric_Nativ'!$C$6:$C$405,F890,'Istoric_Nativ'!$E$6:$E$405,G890,'Istoric_Nativ'!$D$6:$D$405,"&lt;"&amp;J890,'Istoric_Nativ'!$P$6:$P$405,1,'Istoric_Nativ'!$D$6:$D$405,"&gt;="&amp;L890),IF(H890="AWAY",SUMIFS('Istoric_Nativ'!$H$6:$H$405,'Istoric_Nativ'!$B$6:$B$405,E890,'Istoric_Nativ'!$C$6:$C$405,F890,'Istoric_Nativ'!$F$6:$F$405,G890,'Istoric_Nativ'!$D$6:$D$405,"&lt;"&amp;J890,'Istoric_Nativ'!$P$6:$P$405,1,'Istoric_Nativ'!$D$6:$D$405,"&gt;="&amp;L890),SUMIFS('Istoric_Nativ'!$G$6:$G$405,'Istoric_Nativ'!$B$6:$B$405,E890,'Istoric_Nativ'!$C$6:$C$405,F890,'Istoric_Nativ'!$E$6:$E$405,G890,'Istoric_Nativ'!$D$6:$D$405,"&lt;"&amp;J890,'Istoric_Nativ'!$P$6:$P$405,1,'Istoric_Nativ'!$D$6:$D$405,"&gt;="&amp;L890)+SUMIFS('Istoric_Nativ'!$H$6:$H$405,'Istoric_Nativ'!$B$6:$B$405,E890,'Istoric_Nativ'!$C$6:$C$405,F890,'Istoric_Nativ'!$F$6:$F$405,G890,'Istoric_Nativ'!$D$6:$D$405,"&lt;"&amp;J890,'Istoric_Nativ'!$P$6:$P$405,1,'Istoric_Nativ'!$D$6:$D$405,"&gt;="&amp;L890)))/M890)</x:f>
      </x:c>
      <x:c r="O890" s="11" t="str">
        <x:f>IF(M890=0,"",IF(H890="HOME",SUMIFS('Istoric_Nativ'!$H$6:$H$405,'Istoric_Nativ'!$B$6:$B$405,E890,'Istoric_Nativ'!$C$6:$C$405,F890,'Istoric_Nativ'!$E$6:$E$405,G890,'Istoric_Nativ'!$D$6:$D$405,"&lt;"&amp;J890,'Istoric_Nativ'!$P$6:$P$405,1,'Istoric_Nativ'!$D$6:$D$405,"&gt;="&amp;L890),IF(H890="AWAY",SUMIFS('Istoric_Nativ'!$G$6:$G$405,'Istoric_Nativ'!$B$6:$B$405,E890,'Istoric_Nativ'!$C$6:$C$405,F890,'Istoric_Nativ'!$F$6:$F$405,G890,'Istoric_Nativ'!$D$6:$D$405,"&lt;"&amp;J890,'Istoric_Nativ'!$P$6:$P$405,1,'Istoric_Nativ'!$D$6:$D$405,"&gt;="&amp;L890),SUMIFS('Istoric_Nativ'!$H$6:$H$405,'Istoric_Nativ'!$B$6:$B$405,E890,'Istoric_Nativ'!$C$6:$C$405,F890,'Istoric_Nativ'!$E$6:$E$405,G890,'Istoric_Nativ'!$D$6:$D$405,"&lt;"&amp;J890,'Istoric_Nativ'!$P$6:$P$405,1,'Istoric_Nativ'!$D$6:$D$405,"&gt;="&amp;L890)+SUMIFS('Istoric_Nativ'!$G$6:$G$405,'Istoric_Nativ'!$B$6:$B$405,E890,'Istoric_Nativ'!$C$6:$C$405,F890,'Istoric_Nativ'!$F$6:$F$405,G890,'Istoric_Nativ'!$D$6:$D$405,"&lt;"&amp;J890,'Istoric_Nativ'!$P$6:$P$405,1,'Istoric_Nativ'!$D$6:$D$405,"&gt;="&amp;L890)))/M890)</x:f>
      </x:c>
      <x:c r="P890" s="2" t="n">
        <x:f>'Config_v6'!$B$9</x:f>
        <x:v>3</x:v>
      </x:c>
      <x:c r="Q890" s="2" t="n">
        <x:f>IF(OR(B890="",F890=""),0,IFERROR(MATCH(E890&amp;"|"&amp;F890,SourceTable[Source_Key],0),0))</x:f>
        <x:v>0</x:v>
      </x:c>
      <x:c r="R890" s="2" t="str">
        <x:f>IF(B890="","",IF(F890="","UNUSED",IF(Q890=0,"NOT CHECKED",IF(COUNTIF(SourceTable[Source_Key],E890&amp;"|"&amp;F890)&lt;&gt;1,"SOURCE CONFLICT",IF(NOT(OR(INDEX(SourceTable[Status],MAX(1,Q890))="IMPORTED",INDEX(SourceTable[Status],MAX(1,Q890))="PARTIAL",INDEX(SourceTable[Status],MAX(1,Q890))="SOURCE CONFLICT")),"ACCESS BLOCKED",IF(OR(INDEX(SourceTable[Coverage],Q890)&lt;&gt;"FULL SEASON EXPORT",INDEX(SourceTable[URL],Q890)="",INDEX(SourceTable[SHA256],Q890)=""),"EVIDENCE INCOMPLETE",IF(AND('Input_Meci'!H79="LIVE",INDEX(SourceTable[Retrieved_UTC],Q890)&gt;'Input_Meci'!G79),"POST CUTOFF","CLOSED")))))))</x:f>
      </x:c>
      <x:c r="S890" s="2" t="n">
        <x:f>IF(OR(B890="",F890=""),0,COUNTIFS('Istoric_Nativ'!$B$6:$B$405,E890,'Istoric_Nativ'!$C$6:$C$405,F890,'Istoric_Nativ'!$E$6:$E$405,G890,'Istoric_Nativ'!$D$6:$D$405,"&lt;"&amp;J890,'Istoric_Nativ'!$O$6:$O$405,"INVALID")+COUNTIFS('Istoric_Nativ'!$B$6:$B$405,E890,'Istoric_Nativ'!$C$6:$C$405,F890,'Istoric_Nativ'!$E$6:$E$405,G890,'Istoric_Nativ'!$O$6:$O$405,"INVALID",'Istoric_Nativ'!$D$6:$D$405,"*")+COUNTIFS('Istoric_Nativ'!$B$6:$B$405,E890,'Istoric_Nativ'!$C$6:$C$405,F890,'Istoric_Nativ'!$E$6:$E$405,G890,'Istoric_Nativ'!$D$6:$D$405,"&lt;"&amp;J890,'Istoric_Nativ'!$O$6:$O$405,"SOURCE CONFLICT")+COUNTIFS('Istoric_Nativ'!$B$6:$B$405,E890,'Istoric_Nativ'!$C$6:$C$405,F890,'Istoric_Nativ'!$F$6:$F$405,G890,'Istoric_Nativ'!$D$6:$D$405,"&lt;"&amp;J890,'Istoric_Nativ'!$O$6:$O$405,"INVALID")+COUNTIFS('Istoric_Nativ'!$B$6:$B$405,E890,'Istoric_Nativ'!$C$6:$C$405,F890,'Istoric_Nativ'!$F$6:$F$405,G890,'Istoric_Nativ'!$O$6:$O$405,"INVALID",'Istoric_Nativ'!$D$6:$D$405,"*")+COUNTIFS('Istoric_Nativ'!$B$6:$B$405,E890,'Istoric_Nativ'!$C$6:$C$405,F890,'Istoric_Nativ'!$F$6:$F$405,G890,'Istoric_Nativ'!$D$6:$D$405,"&lt;"&amp;J890,'Istoric_Nativ'!$O$6:$O$405,"SOURCE CONFLICT"))</x:f>
        <x:v>0</x:v>
      </x:c>
      <x:c r="T890" s="2" t="str">
        <x:f>IF(B890="","",IF(R890&lt;&gt;"CLOSED",R890,IF(S890&gt;0,"NATIVE INPUT ISSUE",IF(M890=0,"NO HISTORY",IF(M890&lt;P890,"SMALL SAMPLE","DERIVED")))))</x:f>
      </x:c>
      <x:c r="U890" s="2" t="str">
        <x:f>IF(B890="","","NativeTable; "&amp;E890&amp;"; "&amp;F890&amp;"; "&amp;G890&amp;"; "&amp;H890&amp;"; before "&amp;TEXT(J890,"yyyy-mm-dd")&amp;IF(I890="RECENT","; from "&amp;TEXT(L890,"yyyy-mm-dd"),""))</x:f>
      </x:c>
    </x:row>
    <x:row r="891" ht="21" customHeight="1">
      <x:c r="A891" s="2" t="n">
        <x:v>74</x:v>
      </x:c>
      <x:c r="B891" s="2" t="str">
        <x:f>IF('Input_Meci'!A79="","",'Input_Meci'!A79)</x:f>
      </x:c>
      <x:c r="C891" s="2" t="str">
        <x:v>A</x:v>
      </x:c>
      <x:c r="D891" s="2" t="str">
        <x:v>PRIOR</x:v>
      </x:c>
      <x:c r="E891" s="2" t="str">
        <x:f>IF(B891="","",'Input_Meci'!B79)</x:f>
      </x:c>
      <x:c r="F891" s="2" t="str">
        <x:f>IF(B891="","",IF('Input_Meci'!K79="","",'Input_Meci'!K79))</x:f>
      </x:c>
      <x:c r="G891" s="2" t="str">
        <x:f>IF(B891="","",'Input_Meci'!E79)</x:f>
      </x:c>
      <x:c r="H891" s="2" t="str">
        <x:v>ANY</x:v>
      </x:c>
      <x:c r="I891" s="2" t="str">
        <x:v>SEASON</x:v>
      </x:c>
      <x:c r="J891" s="9" t="n">
        <x:f>IF(AND(B891&lt;&gt;"",ISNUMBER('Input_Meci'!G79)),INT('Input_Meci'!G79),0)</x:f>
        <x:v>0</x:v>
      </x:c>
      <x:c r="K891" s="2" t="n">
        <x:f>IF(OR(B891="",F891=""),0,IF(H891="HOME",COUNTIFS('Istoric_Nativ'!$B$6:$B$405,E891,'Istoric_Nativ'!$C$6:$C$405,F891,'Istoric_Nativ'!$E$6:$E$405,G891,'Istoric_Nativ'!$D$6:$D$405,"&lt;"&amp;J891,'Istoric_Nativ'!$P$6:$P$405,1),IF(H891="AWAY",COUNTIFS('Istoric_Nativ'!$B$6:$B$405,E891,'Istoric_Nativ'!$C$6:$C$405,F891,'Istoric_Nativ'!$F$6:$F$405,G891,'Istoric_Nativ'!$D$6:$D$405,"&lt;"&amp;J891,'Istoric_Nativ'!$P$6:$P$405,1),COUNTIFS('Istoric_Nativ'!$B$6:$B$405,E891,'Istoric_Nativ'!$C$6:$C$405,F891,'Istoric_Nativ'!$E$6:$E$405,G891,'Istoric_Nativ'!$D$6:$D$405,"&lt;"&amp;J891,'Istoric_Nativ'!$P$6:$P$405,1)+COUNTIFS('Istoric_Nativ'!$B$6:$B$405,E891,'Istoric_Nativ'!$C$6:$C$405,F891,'Istoric_Nativ'!$F$6:$F$405,G891,'Istoric_Nativ'!$D$6:$D$405,"&lt;"&amp;J891,'Istoric_Nativ'!$P$6:$P$405,1))))</x:f>
        <x:v>0</x:v>
      </x:c>
      <x:c r="L891" s="17" t="n">
        <x:f>IF(AND(B891&lt;&gt;"",I891="RECENT",K891&gt;0),LARGE(_xlfn._xlws.FILTER('Istoric_Nativ'!$D$6:$D$405,('Istoric_Nativ'!$B$6:$B$405=E891)*('Istoric_Nativ'!$C$6:$C$405=F891)*('Istoric_Nativ'!$P$6:$P$405=1)*('Istoric_Nativ'!$D$6:$D$405&lt;J891)*((('Istoric_Nativ'!$E$6:$E$405=G891)+('Istoric_Nativ'!$F$6:$F$405=G891))&gt;0)),MIN('Config_v6'!$B$54,K891)),0)</x:f>
        <x:v>0</x:v>
      </x:c>
      <x:c r="M891" s="2" t="n">
        <x:f>IF(OR(B891="",F891=""),0,IF(H891="HOME",COUNTIFS('Istoric_Nativ'!$B$6:$B$405,E891,'Istoric_Nativ'!$C$6:$C$405,F891,'Istoric_Nativ'!$E$6:$E$405,G891,'Istoric_Nativ'!$D$6:$D$405,"&lt;"&amp;J891,'Istoric_Nativ'!$P$6:$P$405,1,'Istoric_Nativ'!$D$6:$D$405,"&gt;="&amp;L891),IF(H891="AWAY",COUNTIFS('Istoric_Nativ'!$B$6:$B$405,E891,'Istoric_Nativ'!$C$6:$C$405,F891,'Istoric_Nativ'!$F$6:$F$405,G891,'Istoric_Nativ'!$D$6:$D$405,"&lt;"&amp;J891,'Istoric_Nativ'!$P$6:$P$405,1,'Istoric_Nativ'!$D$6:$D$405,"&gt;="&amp;L891),COUNTIFS('Istoric_Nativ'!$B$6:$B$405,E891,'Istoric_Nativ'!$C$6:$C$405,F891,'Istoric_Nativ'!$E$6:$E$405,G891,'Istoric_Nativ'!$D$6:$D$405,"&lt;"&amp;J891,'Istoric_Nativ'!$P$6:$P$405,1,'Istoric_Nativ'!$D$6:$D$405,"&gt;="&amp;L891)+COUNTIFS('Istoric_Nativ'!$B$6:$B$405,E891,'Istoric_Nativ'!$C$6:$C$405,F891,'Istoric_Nativ'!$F$6:$F$405,G891,'Istoric_Nativ'!$D$6:$D$405,"&lt;"&amp;J891,'Istoric_Nativ'!$P$6:$P$405,1,'Istoric_Nativ'!$D$6:$D$405,"&gt;="&amp;L891))))</x:f>
        <x:v>0</x:v>
      </x:c>
      <x:c r="N891" s="11" t="str">
        <x:f>IF(M891=0,"",IF(H891="HOME",SUMIFS('Istoric_Nativ'!$G$6:$G$405,'Istoric_Nativ'!$B$6:$B$405,E891,'Istoric_Nativ'!$C$6:$C$405,F891,'Istoric_Nativ'!$E$6:$E$405,G891,'Istoric_Nativ'!$D$6:$D$405,"&lt;"&amp;J891,'Istoric_Nativ'!$P$6:$P$405,1,'Istoric_Nativ'!$D$6:$D$405,"&gt;="&amp;L891),IF(H891="AWAY",SUMIFS('Istoric_Nativ'!$H$6:$H$405,'Istoric_Nativ'!$B$6:$B$405,E891,'Istoric_Nativ'!$C$6:$C$405,F891,'Istoric_Nativ'!$F$6:$F$405,G891,'Istoric_Nativ'!$D$6:$D$405,"&lt;"&amp;J891,'Istoric_Nativ'!$P$6:$P$405,1,'Istoric_Nativ'!$D$6:$D$405,"&gt;="&amp;L891),SUMIFS('Istoric_Nativ'!$G$6:$G$405,'Istoric_Nativ'!$B$6:$B$405,E891,'Istoric_Nativ'!$C$6:$C$405,F891,'Istoric_Nativ'!$E$6:$E$405,G891,'Istoric_Nativ'!$D$6:$D$405,"&lt;"&amp;J891,'Istoric_Nativ'!$P$6:$P$405,1,'Istoric_Nativ'!$D$6:$D$405,"&gt;="&amp;L891)+SUMIFS('Istoric_Nativ'!$H$6:$H$405,'Istoric_Nativ'!$B$6:$B$405,E891,'Istoric_Nativ'!$C$6:$C$405,F891,'Istoric_Nativ'!$F$6:$F$405,G891,'Istoric_Nativ'!$D$6:$D$405,"&lt;"&amp;J891,'Istoric_Nativ'!$P$6:$P$405,1,'Istoric_Nativ'!$D$6:$D$405,"&gt;="&amp;L891)))/M891)</x:f>
      </x:c>
      <x:c r="O891" s="11" t="str">
        <x:f>IF(M891=0,"",IF(H891="HOME",SUMIFS('Istoric_Nativ'!$H$6:$H$405,'Istoric_Nativ'!$B$6:$B$405,E891,'Istoric_Nativ'!$C$6:$C$405,F891,'Istoric_Nativ'!$E$6:$E$405,G891,'Istoric_Nativ'!$D$6:$D$405,"&lt;"&amp;J891,'Istoric_Nativ'!$P$6:$P$405,1,'Istoric_Nativ'!$D$6:$D$405,"&gt;="&amp;L891),IF(H891="AWAY",SUMIFS('Istoric_Nativ'!$G$6:$G$405,'Istoric_Nativ'!$B$6:$B$405,E891,'Istoric_Nativ'!$C$6:$C$405,F891,'Istoric_Nativ'!$F$6:$F$405,G891,'Istoric_Nativ'!$D$6:$D$405,"&lt;"&amp;J891,'Istoric_Nativ'!$P$6:$P$405,1,'Istoric_Nativ'!$D$6:$D$405,"&gt;="&amp;L891),SUMIFS('Istoric_Nativ'!$H$6:$H$405,'Istoric_Nativ'!$B$6:$B$405,E891,'Istoric_Nativ'!$C$6:$C$405,F891,'Istoric_Nativ'!$E$6:$E$405,G891,'Istoric_Nativ'!$D$6:$D$405,"&lt;"&amp;J891,'Istoric_Nativ'!$P$6:$P$405,1,'Istoric_Nativ'!$D$6:$D$405,"&gt;="&amp;L891)+SUMIFS('Istoric_Nativ'!$G$6:$G$405,'Istoric_Nativ'!$B$6:$B$405,E891,'Istoric_Nativ'!$C$6:$C$405,F891,'Istoric_Nativ'!$F$6:$F$405,G891,'Istoric_Nativ'!$D$6:$D$405,"&lt;"&amp;J891,'Istoric_Nativ'!$P$6:$P$405,1,'Istoric_Nativ'!$D$6:$D$405,"&gt;="&amp;L891)))/M891)</x:f>
      </x:c>
      <x:c r="P891" s="2" t="n">
        <x:f>'Config_v6'!$B$7</x:f>
        <x:v>10</x:v>
      </x:c>
      <x:c r="Q891" s="2" t="n">
        <x:f>IF(OR(B891="",F891=""),0,IFERROR(MATCH(E891&amp;"|"&amp;F891,SourceTable[Source_Key],0),0))</x:f>
        <x:v>0</x:v>
      </x:c>
      <x:c r="R891" s="2" t="str">
        <x:f>IF(B891="","",IF(F891="","UNUSED",IF(Q891=0,"NOT CHECKED",IF(COUNTIF(SourceTable[Source_Key],E891&amp;"|"&amp;F891)&lt;&gt;1,"SOURCE CONFLICT",IF(NOT(OR(INDEX(SourceTable[Status],MAX(1,Q891))="IMPORTED",INDEX(SourceTable[Status],MAX(1,Q891))="PARTIAL",INDEX(SourceTable[Status],MAX(1,Q891))="SOURCE CONFLICT")),"ACCESS BLOCKED",IF(OR(INDEX(SourceTable[Coverage],Q891)&lt;&gt;"FULL SEASON EXPORT",INDEX(SourceTable[URL],Q891)="",INDEX(SourceTable[SHA256],Q891)=""),"EVIDENCE INCOMPLETE",IF(AND('Input_Meci'!H79="LIVE",INDEX(SourceTable[Retrieved_UTC],Q891)&gt;'Input_Meci'!G79),"POST CUTOFF","CLOSED")))))))</x:f>
      </x:c>
      <x:c r="S891" s="2" t="n">
        <x:f>IF(OR(B891="",F891=""),0,COUNTIFS('Istoric_Nativ'!$B$6:$B$405,E891,'Istoric_Nativ'!$C$6:$C$405,F891,'Istoric_Nativ'!$E$6:$E$405,G891,'Istoric_Nativ'!$D$6:$D$405,"&lt;"&amp;J891,'Istoric_Nativ'!$O$6:$O$405,"INVALID")+COUNTIFS('Istoric_Nativ'!$B$6:$B$405,E891,'Istoric_Nativ'!$C$6:$C$405,F891,'Istoric_Nativ'!$E$6:$E$405,G891,'Istoric_Nativ'!$O$6:$O$405,"INVALID",'Istoric_Nativ'!$D$6:$D$405,"*")+COUNTIFS('Istoric_Nativ'!$B$6:$B$405,E891,'Istoric_Nativ'!$C$6:$C$405,F891,'Istoric_Nativ'!$E$6:$E$405,G891,'Istoric_Nativ'!$D$6:$D$405,"&lt;"&amp;J891,'Istoric_Nativ'!$O$6:$O$405,"SOURCE CONFLICT")+COUNTIFS('Istoric_Nativ'!$B$6:$B$405,E891,'Istoric_Nativ'!$C$6:$C$405,F891,'Istoric_Nativ'!$F$6:$F$405,G891,'Istoric_Nativ'!$D$6:$D$405,"&lt;"&amp;J891,'Istoric_Nativ'!$O$6:$O$405,"INVALID")+COUNTIFS('Istoric_Nativ'!$B$6:$B$405,E891,'Istoric_Nativ'!$C$6:$C$405,F891,'Istoric_Nativ'!$F$6:$F$405,G891,'Istoric_Nativ'!$O$6:$O$405,"INVALID",'Istoric_Nativ'!$D$6:$D$405,"*")+COUNTIFS('Istoric_Nativ'!$B$6:$B$405,E891,'Istoric_Nativ'!$C$6:$C$405,F891,'Istoric_Nativ'!$F$6:$F$405,G891,'Istoric_Nativ'!$D$6:$D$405,"&lt;"&amp;J891,'Istoric_Nativ'!$O$6:$O$405,"SOURCE CONFLICT"))</x:f>
        <x:v>0</x:v>
      </x:c>
      <x:c r="T891" s="2" t="str">
        <x:f>IF(B891="","",IF(R891&lt;&gt;"CLOSED",R891,IF(S891&gt;0,"NATIVE INPUT ISSUE",IF(M891=0,"NO HISTORY",IF(M891&lt;P891,"SMALL SAMPLE","DERIVED")))))</x:f>
      </x:c>
      <x:c r="U891" s="2" t="str">
        <x:f>IF(B891="","","NativeTable; "&amp;E891&amp;"; "&amp;F891&amp;"; "&amp;G891&amp;"; "&amp;H891&amp;"; before "&amp;TEXT(J891,"yyyy-mm-dd")&amp;IF(I891="RECENT","; from "&amp;TEXT(L891,"yyyy-mm-dd"),""))</x:f>
      </x:c>
    </x:row>
    <x:row r="892" ht="21" customHeight="1">
      <x:c r="A892" s="2" t="n">
        <x:v>74</x:v>
      </x:c>
      <x:c r="B892" s="2" t="str">
        <x:f>IF('Input_Meci'!A79="","",'Input_Meci'!A79)</x:f>
      </x:c>
      <x:c r="C892" s="2" t="str">
        <x:v>A</x:v>
      </x:c>
      <x:c r="D892" s="2" t="str">
        <x:v>PRIOR</x:v>
      </x:c>
      <x:c r="E892" s="2" t="str">
        <x:f>IF(B892="","",'Input_Meci'!B79)</x:f>
      </x:c>
      <x:c r="F892" s="2" t="str">
        <x:f>IF(B892="","",IF('Input_Meci'!K79="","",'Input_Meci'!K79))</x:f>
      </x:c>
      <x:c r="G892" s="2" t="str">
        <x:f>IF(B892="","",'Input_Meci'!E79)</x:f>
      </x:c>
      <x:c r="H892" s="2" t="str">
        <x:v>AWAY</x:v>
      </x:c>
      <x:c r="I892" s="2" t="str">
        <x:v>HA</x:v>
      </x:c>
      <x:c r="J892" s="9" t="n">
        <x:f>IF(AND(B892&lt;&gt;"",ISNUMBER('Input_Meci'!G79)),INT('Input_Meci'!G79),0)</x:f>
        <x:v>0</x:v>
      </x:c>
      <x:c r="K892" s="2" t="n">
        <x:f>IF(OR(B892="",F892=""),0,IF(H892="HOME",COUNTIFS('Istoric_Nativ'!$B$6:$B$405,E892,'Istoric_Nativ'!$C$6:$C$405,F892,'Istoric_Nativ'!$E$6:$E$405,G892,'Istoric_Nativ'!$D$6:$D$405,"&lt;"&amp;J892,'Istoric_Nativ'!$P$6:$P$405,1),IF(H892="AWAY",COUNTIFS('Istoric_Nativ'!$B$6:$B$405,E892,'Istoric_Nativ'!$C$6:$C$405,F892,'Istoric_Nativ'!$F$6:$F$405,G892,'Istoric_Nativ'!$D$6:$D$405,"&lt;"&amp;J892,'Istoric_Nativ'!$P$6:$P$405,1),COUNTIFS('Istoric_Nativ'!$B$6:$B$405,E892,'Istoric_Nativ'!$C$6:$C$405,F892,'Istoric_Nativ'!$E$6:$E$405,G892,'Istoric_Nativ'!$D$6:$D$405,"&lt;"&amp;J892,'Istoric_Nativ'!$P$6:$P$405,1)+COUNTIFS('Istoric_Nativ'!$B$6:$B$405,E892,'Istoric_Nativ'!$C$6:$C$405,F892,'Istoric_Nativ'!$F$6:$F$405,G892,'Istoric_Nativ'!$D$6:$D$405,"&lt;"&amp;J892,'Istoric_Nativ'!$P$6:$P$405,1))))</x:f>
        <x:v>0</x:v>
      </x:c>
      <x:c r="L892" s="17" t="n">
        <x:f>IF(AND(B892&lt;&gt;"",I892="RECENT",K892&gt;0),LARGE(_xlfn._xlws.FILTER('Istoric_Nativ'!$D$6:$D$405,('Istoric_Nativ'!$B$6:$B$405=E892)*('Istoric_Nativ'!$C$6:$C$405=F892)*('Istoric_Nativ'!$P$6:$P$405=1)*('Istoric_Nativ'!$D$6:$D$405&lt;J892)*((('Istoric_Nativ'!$E$6:$E$405=G892)+('Istoric_Nativ'!$F$6:$F$405=G892))&gt;0)),MIN('Config_v6'!$B$54,K892)),0)</x:f>
        <x:v>0</x:v>
      </x:c>
      <x:c r="M892" s="2" t="n">
        <x:f>IF(OR(B892="",F892=""),0,IF(H892="HOME",COUNTIFS('Istoric_Nativ'!$B$6:$B$405,E892,'Istoric_Nativ'!$C$6:$C$405,F892,'Istoric_Nativ'!$E$6:$E$405,G892,'Istoric_Nativ'!$D$6:$D$405,"&lt;"&amp;J892,'Istoric_Nativ'!$P$6:$P$405,1,'Istoric_Nativ'!$D$6:$D$405,"&gt;="&amp;L892),IF(H892="AWAY",COUNTIFS('Istoric_Nativ'!$B$6:$B$405,E892,'Istoric_Nativ'!$C$6:$C$405,F892,'Istoric_Nativ'!$F$6:$F$405,G892,'Istoric_Nativ'!$D$6:$D$405,"&lt;"&amp;J892,'Istoric_Nativ'!$P$6:$P$405,1,'Istoric_Nativ'!$D$6:$D$405,"&gt;="&amp;L892),COUNTIFS('Istoric_Nativ'!$B$6:$B$405,E892,'Istoric_Nativ'!$C$6:$C$405,F892,'Istoric_Nativ'!$E$6:$E$405,G892,'Istoric_Nativ'!$D$6:$D$405,"&lt;"&amp;J892,'Istoric_Nativ'!$P$6:$P$405,1,'Istoric_Nativ'!$D$6:$D$405,"&gt;="&amp;L892)+COUNTIFS('Istoric_Nativ'!$B$6:$B$405,E892,'Istoric_Nativ'!$C$6:$C$405,F892,'Istoric_Nativ'!$F$6:$F$405,G892,'Istoric_Nativ'!$D$6:$D$405,"&lt;"&amp;J892,'Istoric_Nativ'!$P$6:$P$405,1,'Istoric_Nativ'!$D$6:$D$405,"&gt;="&amp;L892))))</x:f>
        <x:v>0</x:v>
      </x:c>
      <x:c r="N892" s="11" t="str">
        <x:f>IF(M892=0,"",IF(H892="HOME",SUMIFS('Istoric_Nativ'!$G$6:$G$405,'Istoric_Nativ'!$B$6:$B$405,E892,'Istoric_Nativ'!$C$6:$C$405,F892,'Istoric_Nativ'!$E$6:$E$405,G892,'Istoric_Nativ'!$D$6:$D$405,"&lt;"&amp;J892,'Istoric_Nativ'!$P$6:$P$405,1,'Istoric_Nativ'!$D$6:$D$405,"&gt;="&amp;L892),IF(H892="AWAY",SUMIFS('Istoric_Nativ'!$H$6:$H$405,'Istoric_Nativ'!$B$6:$B$405,E892,'Istoric_Nativ'!$C$6:$C$405,F892,'Istoric_Nativ'!$F$6:$F$405,G892,'Istoric_Nativ'!$D$6:$D$405,"&lt;"&amp;J892,'Istoric_Nativ'!$P$6:$P$405,1,'Istoric_Nativ'!$D$6:$D$405,"&gt;="&amp;L892),SUMIFS('Istoric_Nativ'!$G$6:$G$405,'Istoric_Nativ'!$B$6:$B$405,E892,'Istoric_Nativ'!$C$6:$C$405,F892,'Istoric_Nativ'!$E$6:$E$405,G892,'Istoric_Nativ'!$D$6:$D$405,"&lt;"&amp;J892,'Istoric_Nativ'!$P$6:$P$405,1,'Istoric_Nativ'!$D$6:$D$405,"&gt;="&amp;L892)+SUMIFS('Istoric_Nativ'!$H$6:$H$405,'Istoric_Nativ'!$B$6:$B$405,E892,'Istoric_Nativ'!$C$6:$C$405,F892,'Istoric_Nativ'!$F$6:$F$405,G892,'Istoric_Nativ'!$D$6:$D$405,"&lt;"&amp;J892,'Istoric_Nativ'!$P$6:$P$405,1,'Istoric_Nativ'!$D$6:$D$405,"&gt;="&amp;L892)))/M892)</x:f>
      </x:c>
      <x:c r="O892" s="11" t="str">
        <x:f>IF(M892=0,"",IF(H892="HOME",SUMIFS('Istoric_Nativ'!$H$6:$H$405,'Istoric_Nativ'!$B$6:$B$405,E892,'Istoric_Nativ'!$C$6:$C$405,F892,'Istoric_Nativ'!$E$6:$E$405,G892,'Istoric_Nativ'!$D$6:$D$405,"&lt;"&amp;J892,'Istoric_Nativ'!$P$6:$P$405,1,'Istoric_Nativ'!$D$6:$D$405,"&gt;="&amp;L892),IF(H892="AWAY",SUMIFS('Istoric_Nativ'!$G$6:$G$405,'Istoric_Nativ'!$B$6:$B$405,E892,'Istoric_Nativ'!$C$6:$C$405,F892,'Istoric_Nativ'!$F$6:$F$405,G892,'Istoric_Nativ'!$D$6:$D$405,"&lt;"&amp;J892,'Istoric_Nativ'!$P$6:$P$405,1,'Istoric_Nativ'!$D$6:$D$405,"&gt;="&amp;L892),SUMIFS('Istoric_Nativ'!$H$6:$H$405,'Istoric_Nativ'!$B$6:$B$405,E892,'Istoric_Nativ'!$C$6:$C$405,F892,'Istoric_Nativ'!$E$6:$E$405,G892,'Istoric_Nativ'!$D$6:$D$405,"&lt;"&amp;J892,'Istoric_Nativ'!$P$6:$P$405,1,'Istoric_Nativ'!$D$6:$D$405,"&gt;="&amp;L892)+SUMIFS('Istoric_Nativ'!$G$6:$G$405,'Istoric_Nativ'!$B$6:$B$405,E892,'Istoric_Nativ'!$C$6:$C$405,F892,'Istoric_Nativ'!$F$6:$F$405,G892,'Istoric_Nativ'!$D$6:$D$405,"&lt;"&amp;J892,'Istoric_Nativ'!$P$6:$P$405,1,'Istoric_Nativ'!$D$6:$D$405,"&gt;="&amp;L892)))/M892)</x:f>
      </x:c>
      <x:c r="P892" s="2" t="n">
        <x:f>'Config_v6'!$B$8</x:f>
        <x:v>5</x:v>
      </x:c>
      <x:c r="Q892" s="2" t="n">
        <x:f>IF(OR(B892="",F892=""),0,IFERROR(MATCH(E892&amp;"|"&amp;F892,SourceTable[Source_Key],0),0))</x:f>
        <x:v>0</x:v>
      </x:c>
      <x:c r="R892" s="2" t="str">
        <x:f>IF(B892="","",IF(F892="","UNUSED",IF(Q892=0,"NOT CHECKED",IF(COUNTIF(SourceTable[Source_Key],E892&amp;"|"&amp;F892)&lt;&gt;1,"SOURCE CONFLICT",IF(NOT(OR(INDEX(SourceTable[Status],MAX(1,Q892))="IMPORTED",INDEX(SourceTable[Status],MAX(1,Q892))="PARTIAL",INDEX(SourceTable[Status],MAX(1,Q892))="SOURCE CONFLICT")),"ACCESS BLOCKED",IF(OR(INDEX(SourceTable[Coverage],Q892)&lt;&gt;"FULL SEASON EXPORT",INDEX(SourceTable[URL],Q892)="",INDEX(SourceTable[SHA256],Q892)=""),"EVIDENCE INCOMPLETE",IF(AND('Input_Meci'!H79="LIVE",INDEX(SourceTable[Retrieved_UTC],Q892)&gt;'Input_Meci'!G79),"POST CUTOFF","CLOSED")))))))</x:f>
      </x:c>
      <x:c r="S892" s="2" t="n">
        <x:f>IF(OR(B892="",F892=""),0,COUNTIFS('Istoric_Nativ'!$B$6:$B$405,E892,'Istoric_Nativ'!$C$6:$C$405,F892,'Istoric_Nativ'!$E$6:$E$405,G892,'Istoric_Nativ'!$D$6:$D$405,"&lt;"&amp;J892,'Istoric_Nativ'!$O$6:$O$405,"INVALID")+COUNTIFS('Istoric_Nativ'!$B$6:$B$405,E892,'Istoric_Nativ'!$C$6:$C$405,F892,'Istoric_Nativ'!$E$6:$E$405,G892,'Istoric_Nativ'!$O$6:$O$405,"INVALID",'Istoric_Nativ'!$D$6:$D$405,"*")+COUNTIFS('Istoric_Nativ'!$B$6:$B$405,E892,'Istoric_Nativ'!$C$6:$C$405,F892,'Istoric_Nativ'!$E$6:$E$405,G892,'Istoric_Nativ'!$D$6:$D$405,"&lt;"&amp;J892,'Istoric_Nativ'!$O$6:$O$405,"SOURCE CONFLICT")+COUNTIFS('Istoric_Nativ'!$B$6:$B$405,E892,'Istoric_Nativ'!$C$6:$C$405,F892,'Istoric_Nativ'!$F$6:$F$405,G892,'Istoric_Nativ'!$D$6:$D$405,"&lt;"&amp;J892,'Istoric_Nativ'!$O$6:$O$405,"INVALID")+COUNTIFS('Istoric_Nativ'!$B$6:$B$405,E892,'Istoric_Nativ'!$C$6:$C$405,F892,'Istoric_Nativ'!$F$6:$F$405,G892,'Istoric_Nativ'!$O$6:$O$405,"INVALID",'Istoric_Nativ'!$D$6:$D$405,"*")+COUNTIFS('Istoric_Nativ'!$B$6:$B$405,E892,'Istoric_Nativ'!$C$6:$C$405,F892,'Istoric_Nativ'!$F$6:$F$405,G892,'Istoric_Nativ'!$D$6:$D$405,"&lt;"&amp;J892,'Istoric_Nativ'!$O$6:$O$405,"SOURCE CONFLICT"))</x:f>
        <x:v>0</x:v>
      </x:c>
      <x:c r="T892" s="2" t="str">
        <x:f>IF(B892="","",IF(R892&lt;&gt;"CLOSED",R892,IF(S892&gt;0,"NATIVE INPUT ISSUE",IF(M892=0,"NO HISTORY",IF(M892&lt;P892,"SMALL SAMPLE","DERIVED")))))</x:f>
      </x:c>
      <x:c r="U892" s="2" t="str">
        <x:f>IF(B892="","","NativeTable; "&amp;E892&amp;"; "&amp;F892&amp;"; "&amp;G892&amp;"; "&amp;H892&amp;"; before "&amp;TEXT(J892,"yyyy-mm-dd")&amp;IF(I892="RECENT","; from "&amp;TEXT(L892,"yyyy-mm-dd"),""))</x:f>
      </x:c>
    </x:row>
    <x:row r="893" ht="21" customHeight="1">
      <x:c r="A893" s="2" t="n">
        <x:v>74</x:v>
      </x:c>
      <x:c r="B893" s="2" t="str">
        <x:f>IF('Input_Meci'!A79="","",'Input_Meci'!A79)</x:f>
      </x:c>
      <x:c r="C893" s="2" t="str">
        <x:v>A</x:v>
      </x:c>
      <x:c r="D893" s="2" t="str">
        <x:v>PRIOR</x:v>
      </x:c>
      <x:c r="E893" s="2" t="str">
        <x:f>IF(B893="","",'Input_Meci'!B79)</x:f>
      </x:c>
      <x:c r="F893" s="2" t="str">
        <x:f>IF(B893="","",IF('Input_Meci'!K79="","",'Input_Meci'!K79))</x:f>
      </x:c>
      <x:c r="G893" s="2" t="str">
        <x:f>IF(B893="","",'Input_Meci'!E79)</x:f>
      </x:c>
      <x:c r="H893" s="2" t="str">
        <x:v>ANY</x:v>
      </x:c>
      <x:c r="I893" s="2" t="str">
        <x:v>RECENT</x:v>
      </x:c>
      <x:c r="J893" s="9" t="n">
        <x:f>IF(AND(B893&lt;&gt;"",ISNUMBER('Input_Meci'!G79)),INT('Input_Meci'!G79),0)</x:f>
        <x:v>0</x:v>
      </x:c>
      <x:c r="K893" s="2" t="n">
        <x:f>IF(OR(B893="",F893=""),0,IF(H893="HOME",COUNTIFS('Istoric_Nativ'!$B$6:$B$405,E893,'Istoric_Nativ'!$C$6:$C$405,F893,'Istoric_Nativ'!$E$6:$E$405,G893,'Istoric_Nativ'!$D$6:$D$405,"&lt;"&amp;J893,'Istoric_Nativ'!$P$6:$P$405,1),IF(H893="AWAY",COUNTIFS('Istoric_Nativ'!$B$6:$B$405,E893,'Istoric_Nativ'!$C$6:$C$405,F893,'Istoric_Nativ'!$F$6:$F$405,G893,'Istoric_Nativ'!$D$6:$D$405,"&lt;"&amp;J893,'Istoric_Nativ'!$P$6:$P$405,1),COUNTIFS('Istoric_Nativ'!$B$6:$B$405,E893,'Istoric_Nativ'!$C$6:$C$405,F893,'Istoric_Nativ'!$E$6:$E$405,G893,'Istoric_Nativ'!$D$6:$D$405,"&lt;"&amp;J893,'Istoric_Nativ'!$P$6:$P$405,1)+COUNTIFS('Istoric_Nativ'!$B$6:$B$405,E893,'Istoric_Nativ'!$C$6:$C$405,F893,'Istoric_Nativ'!$F$6:$F$405,G893,'Istoric_Nativ'!$D$6:$D$405,"&lt;"&amp;J893,'Istoric_Nativ'!$P$6:$P$405,1))))</x:f>
        <x:v>0</x:v>
      </x:c>
      <x:c r="L893" s="17" t="n">
        <x:f>IF(AND(B893&lt;&gt;"",I893="RECENT",K893&gt;0),LARGE(_xlfn._xlws.FILTER('Istoric_Nativ'!$D$6:$D$405,('Istoric_Nativ'!$B$6:$B$405=E893)*('Istoric_Nativ'!$C$6:$C$405=F893)*('Istoric_Nativ'!$P$6:$P$405=1)*('Istoric_Nativ'!$D$6:$D$405&lt;J893)*((('Istoric_Nativ'!$E$6:$E$405=G893)+('Istoric_Nativ'!$F$6:$F$405=G893))&gt;0)),MIN('Config_v6'!$B$54,K893)),0)</x:f>
        <x:v>0</x:v>
      </x:c>
      <x:c r="M893" s="2" t="n">
        <x:f>IF(OR(B893="",F893=""),0,IF(H893="HOME",COUNTIFS('Istoric_Nativ'!$B$6:$B$405,E893,'Istoric_Nativ'!$C$6:$C$405,F893,'Istoric_Nativ'!$E$6:$E$405,G893,'Istoric_Nativ'!$D$6:$D$405,"&lt;"&amp;J893,'Istoric_Nativ'!$P$6:$P$405,1,'Istoric_Nativ'!$D$6:$D$405,"&gt;="&amp;L893),IF(H893="AWAY",COUNTIFS('Istoric_Nativ'!$B$6:$B$405,E893,'Istoric_Nativ'!$C$6:$C$405,F893,'Istoric_Nativ'!$F$6:$F$405,G893,'Istoric_Nativ'!$D$6:$D$405,"&lt;"&amp;J893,'Istoric_Nativ'!$P$6:$P$405,1,'Istoric_Nativ'!$D$6:$D$405,"&gt;="&amp;L893),COUNTIFS('Istoric_Nativ'!$B$6:$B$405,E893,'Istoric_Nativ'!$C$6:$C$405,F893,'Istoric_Nativ'!$E$6:$E$405,G893,'Istoric_Nativ'!$D$6:$D$405,"&lt;"&amp;J893,'Istoric_Nativ'!$P$6:$P$405,1,'Istoric_Nativ'!$D$6:$D$405,"&gt;="&amp;L893)+COUNTIFS('Istoric_Nativ'!$B$6:$B$405,E893,'Istoric_Nativ'!$C$6:$C$405,F893,'Istoric_Nativ'!$F$6:$F$405,G893,'Istoric_Nativ'!$D$6:$D$405,"&lt;"&amp;J893,'Istoric_Nativ'!$P$6:$P$405,1,'Istoric_Nativ'!$D$6:$D$405,"&gt;="&amp;L893))))</x:f>
        <x:v>0</x:v>
      </x:c>
      <x:c r="N893" s="11" t="str">
        <x:f>IF(M893=0,"",IF(H893="HOME",SUMIFS('Istoric_Nativ'!$G$6:$G$405,'Istoric_Nativ'!$B$6:$B$405,E893,'Istoric_Nativ'!$C$6:$C$405,F893,'Istoric_Nativ'!$E$6:$E$405,G893,'Istoric_Nativ'!$D$6:$D$405,"&lt;"&amp;J893,'Istoric_Nativ'!$P$6:$P$405,1,'Istoric_Nativ'!$D$6:$D$405,"&gt;="&amp;L893),IF(H893="AWAY",SUMIFS('Istoric_Nativ'!$H$6:$H$405,'Istoric_Nativ'!$B$6:$B$405,E893,'Istoric_Nativ'!$C$6:$C$405,F893,'Istoric_Nativ'!$F$6:$F$405,G893,'Istoric_Nativ'!$D$6:$D$405,"&lt;"&amp;J893,'Istoric_Nativ'!$P$6:$P$405,1,'Istoric_Nativ'!$D$6:$D$405,"&gt;="&amp;L893),SUMIFS('Istoric_Nativ'!$G$6:$G$405,'Istoric_Nativ'!$B$6:$B$405,E893,'Istoric_Nativ'!$C$6:$C$405,F893,'Istoric_Nativ'!$E$6:$E$405,G893,'Istoric_Nativ'!$D$6:$D$405,"&lt;"&amp;J893,'Istoric_Nativ'!$P$6:$P$405,1,'Istoric_Nativ'!$D$6:$D$405,"&gt;="&amp;L893)+SUMIFS('Istoric_Nativ'!$H$6:$H$405,'Istoric_Nativ'!$B$6:$B$405,E893,'Istoric_Nativ'!$C$6:$C$405,F893,'Istoric_Nativ'!$F$6:$F$405,G893,'Istoric_Nativ'!$D$6:$D$405,"&lt;"&amp;J893,'Istoric_Nativ'!$P$6:$P$405,1,'Istoric_Nativ'!$D$6:$D$405,"&gt;="&amp;L893)))/M893)</x:f>
      </x:c>
      <x:c r="O893" s="11" t="str">
        <x:f>IF(M893=0,"",IF(H893="HOME",SUMIFS('Istoric_Nativ'!$H$6:$H$405,'Istoric_Nativ'!$B$6:$B$405,E893,'Istoric_Nativ'!$C$6:$C$405,F893,'Istoric_Nativ'!$E$6:$E$405,G893,'Istoric_Nativ'!$D$6:$D$405,"&lt;"&amp;J893,'Istoric_Nativ'!$P$6:$P$405,1,'Istoric_Nativ'!$D$6:$D$405,"&gt;="&amp;L893),IF(H893="AWAY",SUMIFS('Istoric_Nativ'!$G$6:$G$405,'Istoric_Nativ'!$B$6:$B$405,E893,'Istoric_Nativ'!$C$6:$C$405,F893,'Istoric_Nativ'!$F$6:$F$405,G893,'Istoric_Nativ'!$D$6:$D$405,"&lt;"&amp;J893,'Istoric_Nativ'!$P$6:$P$405,1,'Istoric_Nativ'!$D$6:$D$405,"&gt;="&amp;L893),SUMIFS('Istoric_Nativ'!$H$6:$H$405,'Istoric_Nativ'!$B$6:$B$405,E893,'Istoric_Nativ'!$C$6:$C$405,F893,'Istoric_Nativ'!$E$6:$E$405,G893,'Istoric_Nativ'!$D$6:$D$405,"&lt;"&amp;J893,'Istoric_Nativ'!$P$6:$P$405,1,'Istoric_Nativ'!$D$6:$D$405,"&gt;="&amp;L893)+SUMIFS('Istoric_Nativ'!$G$6:$G$405,'Istoric_Nativ'!$B$6:$B$405,E893,'Istoric_Nativ'!$C$6:$C$405,F893,'Istoric_Nativ'!$F$6:$F$405,G893,'Istoric_Nativ'!$D$6:$D$405,"&lt;"&amp;J893,'Istoric_Nativ'!$P$6:$P$405,1,'Istoric_Nativ'!$D$6:$D$405,"&gt;="&amp;L893)))/M893)</x:f>
      </x:c>
      <x:c r="P893" s="2" t="n">
        <x:f>'Config_v6'!$B$9</x:f>
        <x:v>3</x:v>
      </x:c>
      <x:c r="Q893" s="2" t="n">
        <x:f>IF(OR(B893="",F893=""),0,IFERROR(MATCH(E893&amp;"|"&amp;F893,SourceTable[Source_Key],0),0))</x:f>
        <x:v>0</x:v>
      </x:c>
      <x:c r="R893" s="2" t="str">
        <x:f>IF(B893="","",IF(F893="","UNUSED",IF(Q893=0,"NOT CHECKED",IF(COUNTIF(SourceTable[Source_Key],E893&amp;"|"&amp;F893)&lt;&gt;1,"SOURCE CONFLICT",IF(NOT(OR(INDEX(SourceTable[Status],MAX(1,Q893))="IMPORTED",INDEX(SourceTable[Status],MAX(1,Q893))="PARTIAL",INDEX(SourceTable[Status],MAX(1,Q893))="SOURCE CONFLICT")),"ACCESS BLOCKED",IF(OR(INDEX(SourceTable[Coverage],Q893)&lt;&gt;"FULL SEASON EXPORT",INDEX(SourceTable[URL],Q893)="",INDEX(SourceTable[SHA256],Q893)=""),"EVIDENCE INCOMPLETE",IF(AND('Input_Meci'!H79="LIVE",INDEX(SourceTable[Retrieved_UTC],Q893)&gt;'Input_Meci'!G79),"POST CUTOFF","CLOSED")))))))</x:f>
      </x:c>
      <x:c r="S893" s="2" t="n">
        <x:f>IF(OR(B893="",F893=""),0,COUNTIFS('Istoric_Nativ'!$B$6:$B$405,E893,'Istoric_Nativ'!$C$6:$C$405,F893,'Istoric_Nativ'!$E$6:$E$405,G893,'Istoric_Nativ'!$D$6:$D$405,"&lt;"&amp;J893,'Istoric_Nativ'!$O$6:$O$405,"INVALID")+COUNTIFS('Istoric_Nativ'!$B$6:$B$405,E893,'Istoric_Nativ'!$C$6:$C$405,F893,'Istoric_Nativ'!$E$6:$E$405,G893,'Istoric_Nativ'!$O$6:$O$405,"INVALID",'Istoric_Nativ'!$D$6:$D$405,"*")+COUNTIFS('Istoric_Nativ'!$B$6:$B$405,E893,'Istoric_Nativ'!$C$6:$C$405,F893,'Istoric_Nativ'!$E$6:$E$405,G893,'Istoric_Nativ'!$D$6:$D$405,"&lt;"&amp;J893,'Istoric_Nativ'!$O$6:$O$405,"SOURCE CONFLICT")+COUNTIFS('Istoric_Nativ'!$B$6:$B$405,E893,'Istoric_Nativ'!$C$6:$C$405,F893,'Istoric_Nativ'!$F$6:$F$405,G893,'Istoric_Nativ'!$D$6:$D$405,"&lt;"&amp;J893,'Istoric_Nativ'!$O$6:$O$405,"INVALID")+COUNTIFS('Istoric_Nativ'!$B$6:$B$405,E893,'Istoric_Nativ'!$C$6:$C$405,F893,'Istoric_Nativ'!$F$6:$F$405,G893,'Istoric_Nativ'!$O$6:$O$405,"INVALID",'Istoric_Nativ'!$D$6:$D$405,"*")+COUNTIFS('Istoric_Nativ'!$B$6:$B$405,E893,'Istoric_Nativ'!$C$6:$C$405,F893,'Istoric_Nativ'!$F$6:$F$405,G893,'Istoric_Nativ'!$D$6:$D$405,"&lt;"&amp;J893,'Istoric_Nativ'!$O$6:$O$405,"SOURCE CONFLICT"))</x:f>
        <x:v>0</x:v>
      </x:c>
      <x:c r="T893" s="2" t="str">
        <x:f>IF(B893="","",IF(R893&lt;&gt;"CLOSED",R893,IF(S893&gt;0,"NATIVE INPUT ISSUE",IF(M893=0,"NO HISTORY",IF(M893&lt;P893,"SMALL SAMPLE","DERIVED")))))</x:f>
      </x:c>
      <x:c r="U893" s="2" t="str">
        <x:f>IF(B893="","","NativeTable; "&amp;E893&amp;"; "&amp;F893&amp;"; "&amp;G893&amp;"; "&amp;H893&amp;"; before "&amp;TEXT(J893,"yyyy-mm-dd")&amp;IF(I893="RECENT","; from "&amp;TEXT(L893,"yyyy-mm-dd"),""))</x:f>
      </x:c>
    </x:row>
    <x:row r="894" ht="21" customHeight="1">
      <x:c r="A894" s="2" t="n">
        <x:v>75</x:v>
      </x:c>
      <x:c r="B894" s="2" t="str">
        <x:f>IF('Input_Meci'!A80="","",'Input_Meci'!A80)</x:f>
      </x:c>
      <x:c r="C894" s="2" t="str">
        <x:v>H</x:v>
      </x:c>
      <x:c r="D894" s="2" t="str">
        <x:v>CURRENT</x:v>
      </x:c>
      <x:c r="E894" s="2" t="str">
        <x:f>IF(B894="","",'Input_Meci'!B80)</x:f>
      </x:c>
      <x:c r="F894" s="2" t="str">
        <x:f>IF(B894="","",IF('Input_Meci'!C80="","",'Input_Meci'!C80))</x:f>
      </x:c>
      <x:c r="G894" s="2" t="str">
        <x:f>IF(B894="","",'Input_Meci'!D80)</x:f>
      </x:c>
      <x:c r="H894" s="2" t="str">
        <x:v>ANY</x:v>
      </x:c>
      <x:c r="I894" s="2" t="str">
        <x:v>SEASON</x:v>
      </x:c>
      <x:c r="J894" s="9" t="n">
        <x:f>IF(AND(B894&lt;&gt;"",ISNUMBER('Input_Meci'!G80)),INT('Input_Meci'!G80),0)</x:f>
        <x:v>0</x:v>
      </x:c>
      <x:c r="K894" s="2" t="n">
        <x:f>IF(OR(B894="",F894=""),0,IF(H894="HOME",COUNTIFS('Istoric_Nativ'!$B$6:$B$405,E894,'Istoric_Nativ'!$C$6:$C$405,F894,'Istoric_Nativ'!$E$6:$E$405,G894,'Istoric_Nativ'!$D$6:$D$405,"&lt;"&amp;J894,'Istoric_Nativ'!$P$6:$P$405,1),IF(H894="AWAY",COUNTIFS('Istoric_Nativ'!$B$6:$B$405,E894,'Istoric_Nativ'!$C$6:$C$405,F894,'Istoric_Nativ'!$F$6:$F$405,G894,'Istoric_Nativ'!$D$6:$D$405,"&lt;"&amp;J894,'Istoric_Nativ'!$P$6:$P$405,1),COUNTIFS('Istoric_Nativ'!$B$6:$B$405,E894,'Istoric_Nativ'!$C$6:$C$405,F894,'Istoric_Nativ'!$E$6:$E$405,G894,'Istoric_Nativ'!$D$6:$D$405,"&lt;"&amp;J894,'Istoric_Nativ'!$P$6:$P$405,1)+COUNTIFS('Istoric_Nativ'!$B$6:$B$405,E894,'Istoric_Nativ'!$C$6:$C$405,F894,'Istoric_Nativ'!$F$6:$F$405,G894,'Istoric_Nativ'!$D$6:$D$405,"&lt;"&amp;J894,'Istoric_Nativ'!$P$6:$P$405,1))))</x:f>
        <x:v>0</x:v>
      </x:c>
      <x:c r="L894" s="17" t="n">
        <x:f>IF(AND(B894&lt;&gt;"",I894="RECENT",K894&gt;0),LARGE(_xlfn._xlws.FILTER('Istoric_Nativ'!$D$6:$D$405,('Istoric_Nativ'!$B$6:$B$405=E894)*('Istoric_Nativ'!$C$6:$C$405=F894)*('Istoric_Nativ'!$P$6:$P$405=1)*('Istoric_Nativ'!$D$6:$D$405&lt;J894)*((('Istoric_Nativ'!$E$6:$E$405=G894)+('Istoric_Nativ'!$F$6:$F$405=G894))&gt;0)),MIN('Config_v6'!$B$54,K894)),0)</x:f>
        <x:v>0</x:v>
      </x:c>
      <x:c r="M894" s="2" t="n">
        <x:f>IF(OR(B894="",F894=""),0,IF(H894="HOME",COUNTIFS('Istoric_Nativ'!$B$6:$B$405,E894,'Istoric_Nativ'!$C$6:$C$405,F894,'Istoric_Nativ'!$E$6:$E$405,G894,'Istoric_Nativ'!$D$6:$D$405,"&lt;"&amp;J894,'Istoric_Nativ'!$P$6:$P$405,1,'Istoric_Nativ'!$D$6:$D$405,"&gt;="&amp;L894),IF(H894="AWAY",COUNTIFS('Istoric_Nativ'!$B$6:$B$405,E894,'Istoric_Nativ'!$C$6:$C$405,F894,'Istoric_Nativ'!$F$6:$F$405,G894,'Istoric_Nativ'!$D$6:$D$405,"&lt;"&amp;J894,'Istoric_Nativ'!$P$6:$P$405,1,'Istoric_Nativ'!$D$6:$D$405,"&gt;="&amp;L894),COUNTIFS('Istoric_Nativ'!$B$6:$B$405,E894,'Istoric_Nativ'!$C$6:$C$405,F894,'Istoric_Nativ'!$E$6:$E$405,G894,'Istoric_Nativ'!$D$6:$D$405,"&lt;"&amp;J894,'Istoric_Nativ'!$P$6:$P$405,1,'Istoric_Nativ'!$D$6:$D$405,"&gt;="&amp;L894)+COUNTIFS('Istoric_Nativ'!$B$6:$B$405,E894,'Istoric_Nativ'!$C$6:$C$405,F894,'Istoric_Nativ'!$F$6:$F$405,G894,'Istoric_Nativ'!$D$6:$D$405,"&lt;"&amp;J894,'Istoric_Nativ'!$P$6:$P$405,1,'Istoric_Nativ'!$D$6:$D$405,"&gt;="&amp;L894))))</x:f>
        <x:v>0</x:v>
      </x:c>
      <x:c r="N894" s="11" t="str">
        <x:f>IF(M894=0,"",IF(H894="HOME",SUMIFS('Istoric_Nativ'!$G$6:$G$405,'Istoric_Nativ'!$B$6:$B$405,E894,'Istoric_Nativ'!$C$6:$C$405,F894,'Istoric_Nativ'!$E$6:$E$405,G894,'Istoric_Nativ'!$D$6:$D$405,"&lt;"&amp;J894,'Istoric_Nativ'!$P$6:$P$405,1,'Istoric_Nativ'!$D$6:$D$405,"&gt;="&amp;L894),IF(H894="AWAY",SUMIFS('Istoric_Nativ'!$H$6:$H$405,'Istoric_Nativ'!$B$6:$B$405,E894,'Istoric_Nativ'!$C$6:$C$405,F894,'Istoric_Nativ'!$F$6:$F$405,G894,'Istoric_Nativ'!$D$6:$D$405,"&lt;"&amp;J894,'Istoric_Nativ'!$P$6:$P$405,1,'Istoric_Nativ'!$D$6:$D$405,"&gt;="&amp;L894),SUMIFS('Istoric_Nativ'!$G$6:$G$405,'Istoric_Nativ'!$B$6:$B$405,E894,'Istoric_Nativ'!$C$6:$C$405,F894,'Istoric_Nativ'!$E$6:$E$405,G894,'Istoric_Nativ'!$D$6:$D$405,"&lt;"&amp;J894,'Istoric_Nativ'!$P$6:$P$405,1,'Istoric_Nativ'!$D$6:$D$405,"&gt;="&amp;L894)+SUMIFS('Istoric_Nativ'!$H$6:$H$405,'Istoric_Nativ'!$B$6:$B$405,E894,'Istoric_Nativ'!$C$6:$C$405,F894,'Istoric_Nativ'!$F$6:$F$405,G894,'Istoric_Nativ'!$D$6:$D$405,"&lt;"&amp;J894,'Istoric_Nativ'!$P$6:$P$405,1,'Istoric_Nativ'!$D$6:$D$405,"&gt;="&amp;L894)))/M894)</x:f>
      </x:c>
      <x:c r="O894" s="11" t="str">
        <x:f>IF(M894=0,"",IF(H894="HOME",SUMIFS('Istoric_Nativ'!$H$6:$H$405,'Istoric_Nativ'!$B$6:$B$405,E894,'Istoric_Nativ'!$C$6:$C$405,F894,'Istoric_Nativ'!$E$6:$E$405,G894,'Istoric_Nativ'!$D$6:$D$405,"&lt;"&amp;J894,'Istoric_Nativ'!$P$6:$P$405,1,'Istoric_Nativ'!$D$6:$D$405,"&gt;="&amp;L894),IF(H894="AWAY",SUMIFS('Istoric_Nativ'!$G$6:$G$405,'Istoric_Nativ'!$B$6:$B$405,E894,'Istoric_Nativ'!$C$6:$C$405,F894,'Istoric_Nativ'!$F$6:$F$405,G894,'Istoric_Nativ'!$D$6:$D$405,"&lt;"&amp;J894,'Istoric_Nativ'!$P$6:$P$405,1,'Istoric_Nativ'!$D$6:$D$405,"&gt;="&amp;L894),SUMIFS('Istoric_Nativ'!$H$6:$H$405,'Istoric_Nativ'!$B$6:$B$405,E894,'Istoric_Nativ'!$C$6:$C$405,F894,'Istoric_Nativ'!$E$6:$E$405,G894,'Istoric_Nativ'!$D$6:$D$405,"&lt;"&amp;J894,'Istoric_Nativ'!$P$6:$P$405,1,'Istoric_Nativ'!$D$6:$D$405,"&gt;="&amp;L894)+SUMIFS('Istoric_Nativ'!$G$6:$G$405,'Istoric_Nativ'!$B$6:$B$405,E894,'Istoric_Nativ'!$C$6:$C$405,F894,'Istoric_Nativ'!$F$6:$F$405,G894,'Istoric_Nativ'!$D$6:$D$405,"&lt;"&amp;J894,'Istoric_Nativ'!$P$6:$P$405,1,'Istoric_Nativ'!$D$6:$D$405,"&gt;="&amp;L894)))/M894)</x:f>
      </x:c>
      <x:c r="P894" s="2" t="n">
        <x:f>'Config_v6'!$B$7</x:f>
        <x:v>10</x:v>
      </x:c>
      <x:c r="Q894" s="2" t="n">
        <x:f>IF(OR(B894="",F894=""),0,IFERROR(MATCH(E894&amp;"|"&amp;F894,SourceTable[Source_Key],0),0))</x:f>
        <x:v>0</x:v>
      </x:c>
      <x:c r="R894" s="2" t="str">
        <x:f>IF(B894="","",IF(F894="","UNUSED",IF(Q894=0,"NOT CHECKED",IF(COUNTIF(SourceTable[Source_Key],E894&amp;"|"&amp;F894)&lt;&gt;1,"SOURCE CONFLICT",IF(NOT(OR(INDEX(SourceTable[Status],MAX(1,Q894))="IMPORTED",INDEX(SourceTable[Status],MAX(1,Q894))="PARTIAL",INDEX(SourceTable[Status],MAX(1,Q894))="SOURCE CONFLICT")),"ACCESS BLOCKED",IF(OR(INDEX(SourceTable[Coverage],Q894)&lt;&gt;"FULL SEASON EXPORT",INDEX(SourceTable[URL],Q894)="",INDEX(SourceTable[SHA256],Q894)=""),"EVIDENCE INCOMPLETE",IF(AND('Input_Meci'!H80="LIVE",INDEX(SourceTable[Retrieved_UTC],Q894)&gt;'Input_Meci'!G80),"POST CUTOFF","CLOSED")))))))</x:f>
      </x:c>
      <x:c r="S894" s="2" t="n">
        <x:f>IF(OR(B894="",F894=""),0,COUNTIFS('Istoric_Nativ'!$B$6:$B$405,E894,'Istoric_Nativ'!$C$6:$C$405,F894,'Istoric_Nativ'!$E$6:$E$405,G894,'Istoric_Nativ'!$D$6:$D$405,"&lt;"&amp;J894,'Istoric_Nativ'!$O$6:$O$405,"INVALID")+COUNTIFS('Istoric_Nativ'!$B$6:$B$405,E894,'Istoric_Nativ'!$C$6:$C$405,F894,'Istoric_Nativ'!$E$6:$E$405,G894,'Istoric_Nativ'!$O$6:$O$405,"INVALID",'Istoric_Nativ'!$D$6:$D$405,"*")+COUNTIFS('Istoric_Nativ'!$B$6:$B$405,E894,'Istoric_Nativ'!$C$6:$C$405,F894,'Istoric_Nativ'!$E$6:$E$405,G894,'Istoric_Nativ'!$D$6:$D$405,"&lt;"&amp;J894,'Istoric_Nativ'!$O$6:$O$405,"SOURCE CONFLICT")+COUNTIFS('Istoric_Nativ'!$B$6:$B$405,E894,'Istoric_Nativ'!$C$6:$C$405,F894,'Istoric_Nativ'!$F$6:$F$405,G894,'Istoric_Nativ'!$D$6:$D$405,"&lt;"&amp;J894,'Istoric_Nativ'!$O$6:$O$405,"INVALID")+COUNTIFS('Istoric_Nativ'!$B$6:$B$405,E894,'Istoric_Nativ'!$C$6:$C$405,F894,'Istoric_Nativ'!$F$6:$F$405,G894,'Istoric_Nativ'!$O$6:$O$405,"INVALID",'Istoric_Nativ'!$D$6:$D$405,"*")+COUNTIFS('Istoric_Nativ'!$B$6:$B$405,E894,'Istoric_Nativ'!$C$6:$C$405,F894,'Istoric_Nativ'!$F$6:$F$405,G894,'Istoric_Nativ'!$D$6:$D$405,"&lt;"&amp;J894,'Istoric_Nativ'!$O$6:$O$405,"SOURCE CONFLICT"))</x:f>
        <x:v>0</x:v>
      </x:c>
      <x:c r="T894" s="2" t="str">
        <x:f>IF(B894="","",IF(R894&lt;&gt;"CLOSED",R894,IF(S894&gt;0,"NATIVE INPUT ISSUE",IF(M894=0,"NO HISTORY",IF(M894&lt;P894,"SMALL SAMPLE","DERIVED")))))</x:f>
      </x:c>
      <x:c r="U894" s="2" t="str">
        <x:f>IF(B894="","","NativeTable; "&amp;E894&amp;"; "&amp;F894&amp;"; "&amp;G894&amp;"; "&amp;H894&amp;"; before "&amp;TEXT(J894,"yyyy-mm-dd")&amp;IF(I894="RECENT","; from "&amp;TEXT(L894,"yyyy-mm-dd"),""))</x:f>
      </x:c>
    </x:row>
    <x:row r="895" ht="21" customHeight="1">
      <x:c r="A895" s="2" t="n">
        <x:v>75</x:v>
      </x:c>
      <x:c r="B895" s="2" t="str">
        <x:f>IF('Input_Meci'!A80="","",'Input_Meci'!A80)</x:f>
      </x:c>
      <x:c r="C895" s="2" t="str">
        <x:v>H</x:v>
      </x:c>
      <x:c r="D895" s="2" t="str">
        <x:v>CURRENT</x:v>
      </x:c>
      <x:c r="E895" s="2" t="str">
        <x:f>IF(B895="","",'Input_Meci'!B80)</x:f>
      </x:c>
      <x:c r="F895" s="2" t="str">
        <x:f>IF(B895="","",IF('Input_Meci'!C80="","",'Input_Meci'!C80))</x:f>
      </x:c>
      <x:c r="G895" s="2" t="str">
        <x:f>IF(B895="","",'Input_Meci'!D80)</x:f>
      </x:c>
      <x:c r="H895" s="2" t="str">
        <x:v>HOME</x:v>
      </x:c>
      <x:c r="I895" s="2" t="str">
        <x:v>HA</x:v>
      </x:c>
      <x:c r="J895" s="9" t="n">
        <x:f>IF(AND(B895&lt;&gt;"",ISNUMBER('Input_Meci'!G80)),INT('Input_Meci'!G80),0)</x:f>
        <x:v>0</x:v>
      </x:c>
      <x:c r="K895" s="2" t="n">
        <x:f>IF(OR(B895="",F895=""),0,IF(H895="HOME",COUNTIFS('Istoric_Nativ'!$B$6:$B$405,E895,'Istoric_Nativ'!$C$6:$C$405,F895,'Istoric_Nativ'!$E$6:$E$405,G895,'Istoric_Nativ'!$D$6:$D$405,"&lt;"&amp;J895,'Istoric_Nativ'!$P$6:$P$405,1),IF(H895="AWAY",COUNTIFS('Istoric_Nativ'!$B$6:$B$405,E895,'Istoric_Nativ'!$C$6:$C$405,F895,'Istoric_Nativ'!$F$6:$F$405,G895,'Istoric_Nativ'!$D$6:$D$405,"&lt;"&amp;J895,'Istoric_Nativ'!$P$6:$P$405,1),COUNTIFS('Istoric_Nativ'!$B$6:$B$405,E895,'Istoric_Nativ'!$C$6:$C$405,F895,'Istoric_Nativ'!$E$6:$E$405,G895,'Istoric_Nativ'!$D$6:$D$405,"&lt;"&amp;J895,'Istoric_Nativ'!$P$6:$P$405,1)+COUNTIFS('Istoric_Nativ'!$B$6:$B$405,E895,'Istoric_Nativ'!$C$6:$C$405,F895,'Istoric_Nativ'!$F$6:$F$405,G895,'Istoric_Nativ'!$D$6:$D$405,"&lt;"&amp;J895,'Istoric_Nativ'!$P$6:$P$405,1))))</x:f>
        <x:v>0</x:v>
      </x:c>
      <x:c r="L895" s="17" t="n">
        <x:f>IF(AND(B895&lt;&gt;"",I895="RECENT",K895&gt;0),LARGE(_xlfn._xlws.FILTER('Istoric_Nativ'!$D$6:$D$405,('Istoric_Nativ'!$B$6:$B$405=E895)*('Istoric_Nativ'!$C$6:$C$405=F895)*('Istoric_Nativ'!$P$6:$P$405=1)*('Istoric_Nativ'!$D$6:$D$405&lt;J895)*((('Istoric_Nativ'!$E$6:$E$405=G895)+('Istoric_Nativ'!$F$6:$F$405=G895))&gt;0)),MIN('Config_v6'!$B$54,K895)),0)</x:f>
        <x:v>0</x:v>
      </x:c>
      <x:c r="M895" s="2" t="n">
        <x:f>IF(OR(B895="",F895=""),0,IF(H895="HOME",COUNTIFS('Istoric_Nativ'!$B$6:$B$405,E895,'Istoric_Nativ'!$C$6:$C$405,F895,'Istoric_Nativ'!$E$6:$E$405,G895,'Istoric_Nativ'!$D$6:$D$405,"&lt;"&amp;J895,'Istoric_Nativ'!$P$6:$P$405,1,'Istoric_Nativ'!$D$6:$D$405,"&gt;="&amp;L895),IF(H895="AWAY",COUNTIFS('Istoric_Nativ'!$B$6:$B$405,E895,'Istoric_Nativ'!$C$6:$C$405,F895,'Istoric_Nativ'!$F$6:$F$405,G895,'Istoric_Nativ'!$D$6:$D$405,"&lt;"&amp;J895,'Istoric_Nativ'!$P$6:$P$405,1,'Istoric_Nativ'!$D$6:$D$405,"&gt;="&amp;L895),COUNTIFS('Istoric_Nativ'!$B$6:$B$405,E895,'Istoric_Nativ'!$C$6:$C$405,F895,'Istoric_Nativ'!$E$6:$E$405,G895,'Istoric_Nativ'!$D$6:$D$405,"&lt;"&amp;J895,'Istoric_Nativ'!$P$6:$P$405,1,'Istoric_Nativ'!$D$6:$D$405,"&gt;="&amp;L895)+COUNTIFS('Istoric_Nativ'!$B$6:$B$405,E895,'Istoric_Nativ'!$C$6:$C$405,F895,'Istoric_Nativ'!$F$6:$F$405,G895,'Istoric_Nativ'!$D$6:$D$405,"&lt;"&amp;J895,'Istoric_Nativ'!$P$6:$P$405,1,'Istoric_Nativ'!$D$6:$D$405,"&gt;="&amp;L895))))</x:f>
        <x:v>0</x:v>
      </x:c>
      <x:c r="N895" s="11" t="str">
        <x:f>IF(M895=0,"",IF(H895="HOME",SUMIFS('Istoric_Nativ'!$G$6:$G$405,'Istoric_Nativ'!$B$6:$B$405,E895,'Istoric_Nativ'!$C$6:$C$405,F895,'Istoric_Nativ'!$E$6:$E$405,G895,'Istoric_Nativ'!$D$6:$D$405,"&lt;"&amp;J895,'Istoric_Nativ'!$P$6:$P$405,1,'Istoric_Nativ'!$D$6:$D$405,"&gt;="&amp;L895),IF(H895="AWAY",SUMIFS('Istoric_Nativ'!$H$6:$H$405,'Istoric_Nativ'!$B$6:$B$405,E895,'Istoric_Nativ'!$C$6:$C$405,F895,'Istoric_Nativ'!$F$6:$F$405,G895,'Istoric_Nativ'!$D$6:$D$405,"&lt;"&amp;J895,'Istoric_Nativ'!$P$6:$P$405,1,'Istoric_Nativ'!$D$6:$D$405,"&gt;="&amp;L895),SUMIFS('Istoric_Nativ'!$G$6:$G$405,'Istoric_Nativ'!$B$6:$B$405,E895,'Istoric_Nativ'!$C$6:$C$405,F895,'Istoric_Nativ'!$E$6:$E$405,G895,'Istoric_Nativ'!$D$6:$D$405,"&lt;"&amp;J895,'Istoric_Nativ'!$P$6:$P$405,1,'Istoric_Nativ'!$D$6:$D$405,"&gt;="&amp;L895)+SUMIFS('Istoric_Nativ'!$H$6:$H$405,'Istoric_Nativ'!$B$6:$B$405,E895,'Istoric_Nativ'!$C$6:$C$405,F895,'Istoric_Nativ'!$F$6:$F$405,G895,'Istoric_Nativ'!$D$6:$D$405,"&lt;"&amp;J895,'Istoric_Nativ'!$P$6:$P$405,1,'Istoric_Nativ'!$D$6:$D$405,"&gt;="&amp;L895)))/M895)</x:f>
      </x:c>
      <x:c r="O895" s="11" t="str">
        <x:f>IF(M895=0,"",IF(H895="HOME",SUMIFS('Istoric_Nativ'!$H$6:$H$405,'Istoric_Nativ'!$B$6:$B$405,E895,'Istoric_Nativ'!$C$6:$C$405,F895,'Istoric_Nativ'!$E$6:$E$405,G895,'Istoric_Nativ'!$D$6:$D$405,"&lt;"&amp;J895,'Istoric_Nativ'!$P$6:$P$405,1,'Istoric_Nativ'!$D$6:$D$405,"&gt;="&amp;L895),IF(H895="AWAY",SUMIFS('Istoric_Nativ'!$G$6:$G$405,'Istoric_Nativ'!$B$6:$B$405,E895,'Istoric_Nativ'!$C$6:$C$405,F895,'Istoric_Nativ'!$F$6:$F$405,G895,'Istoric_Nativ'!$D$6:$D$405,"&lt;"&amp;J895,'Istoric_Nativ'!$P$6:$P$405,1,'Istoric_Nativ'!$D$6:$D$405,"&gt;="&amp;L895),SUMIFS('Istoric_Nativ'!$H$6:$H$405,'Istoric_Nativ'!$B$6:$B$405,E895,'Istoric_Nativ'!$C$6:$C$405,F895,'Istoric_Nativ'!$E$6:$E$405,G895,'Istoric_Nativ'!$D$6:$D$405,"&lt;"&amp;J895,'Istoric_Nativ'!$P$6:$P$405,1,'Istoric_Nativ'!$D$6:$D$405,"&gt;="&amp;L895)+SUMIFS('Istoric_Nativ'!$G$6:$G$405,'Istoric_Nativ'!$B$6:$B$405,E895,'Istoric_Nativ'!$C$6:$C$405,F895,'Istoric_Nativ'!$F$6:$F$405,G895,'Istoric_Nativ'!$D$6:$D$405,"&lt;"&amp;J895,'Istoric_Nativ'!$P$6:$P$405,1,'Istoric_Nativ'!$D$6:$D$405,"&gt;="&amp;L895)))/M895)</x:f>
      </x:c>
      <x:c r="P895" s="2" t="n">
        <x:f>'Config_v6'!$B$8</x:f>
        <x:v>5</x:v>
      </x:c>
      <x:c r="Q895" s="2" t="n">
        <x:f>IF(OR(B895="",F895=""),0,IFERROR(MATCH(E895&amp;"|"&amp;F895,SourceTable[Source_Key],0),0))</x:f>
        <x:v>0</x:v>
      </x:c>
      <x:c r="R895" s="2" t="str">
        <x:f>IF(B895="","",IF(F895="","UNUSED",IF(Q895=0,"NOT CHECKED",IF(COUNTIF(SourceTable[Source_Key],E895&amp;"|"&amp;F895)&lt;&gt;1,"SOURCE CONFLICT",IF(NOT(OR(INDEX(SourceTable[Status],MAX(1,Q895))="IMPORTED",INDEX(SourceTable[Status],MAX(1,Q895))="PARTIAL",INDEX(SourceTable[Status],MAX(1,Q895))="SOURCE CONFLICT")),"ACCESS BLOCKED",IF(OR(INDEX(SourceTable[Coverage],Q895)&lt;&gt;"FULL SEASON EXPORT",INDEX(SourceTable[URL],Q895)="",INDEX(SourceTable[SHA256],Q895)=""),"EVIDENCE INCOMPLETE",IF(AND('Input_Meci'!H80="LIVE",INDEX(SourceTable[Retrieved_UTC],Q895)&gt;'Input_Meci'!G80),"POST CUTOFF","CLOSED")))))))</x:f>
      </x:c>
      <x:c r="S895" s="2" t="n">
        <x:f>IF(OR(B895="",F895=""),0,COUNTIFS('Istoric_Nativ'!$B$6:$B$405,E895,'Istoric_Nativ'!$C$6:$C$405,F895,'Istoric_Nativ'!$E$6:$E$405,G895,'Istoric_Nativ'!$D$6:$D$405,"&lt;"&amp;J895,'Istoric_Nativ'!$O$6:$O$405,"INVALID")+COUNTIFS('Istoric_Nativ'!$B$6:$B$405,E895,'Istoric_Nativ'!$C$6:$C$405,F895,'Istoric_Nativ'!$E$6:$E$405,G895,'Istoric_Nativ'!$O$6:$O$405,"INVALID",'Istoric_Nativ'!$D$6:$D$405,"*")+COUNTIFS('Istoric_Nativ'!$B$6:$B$405,E895,'Istoric_Nativ'!$C$6:$C$405,F895,'Istoric_Nativ'!$E$6:$E$405,G895,'Istoric_Nativ'!$D$6:$D$405,"&lt;"&amp;J895,'Istoric_Nativ'!$O$6:$O$405,"SOURCE CONFLICT")+COUNTIFS('Istoric_Nativ'!$B$6:$B$405,E895,'Istoric_Nativ'!$C$6:$C$405,F895,'Istoric_Nativ'!$F$6:$F$405,G895,'Istoric_Nativ'!$D$6:$D$405,"&lt;"&amp;J895,'Istoric_Nativ'!$O$6:$O$405,"INVALID")+COUNTIFS('Istoric_Nativ'!$B$6:$B$405,E895,'Istoric_Nativ'!$C$6:$C$405,F895,'Istoric_Nativ'!$F$6:$F$405,G895,'Istoric_Nativ'!$O$6:$O$405,"INVALID",'Istoric_Nativ'!$D$6:$D$405,"*")+COUNTIFS('Istoric_Nativ'!$B$6:$B$405,E895,'Istoric_Nativ'!$C$6:$C$405,F895,'Istoric_Nativ'!$F$6:$F$405,G895,'Istoric_Nativ'!$D$6:$D$405,"&lt;"&amp;J895,'Istoric_Nativ'!$O$6:$O$405,"SOURCE CONFLICT"))</x:f>
        <x:v>0</x:v>
      </x:c>
      <x:c r="T895" s="2" t="str">
        <x:f>IF(B895="","",IF(R895&lt;&gt;"CLOSED",R895,IF(S895&gt;0,"NATIVE INPUT ISSUE",IF(M895=0,"NO HISTORY",IF(M895&lt;P895,"SMALL SAMPLE","DERIVED")))))</x:f>
      </x:c>
      <x:c r="U895" s="2" t="str">
        <x:f>IF(B895="","","NativeTable; "&amp;E895&amp;"; "&amp;F895&amp;"; "&amp;G895&amp;"; "&amp;H895&amp;"; before "&amp;TEXT(J895,"yyyy-mm-dd")&amp;IF(I895="RECENT","; from "&amp;TEXT(L895,"yyyy-mm-dd"),""))</x:f>
      </x:c>
    </x:row>
    <x:row r="896" ht="21" customHeight="1">
      <x:c r="A896" s="2" t="n">
        <x:v>75</x:v>
      </x:c>
      <x:c r="B896" s="2" t="str">
        <x:f>IF('Input_Meci'!A80="","",'Input_Meci'!A80)</x:f>
      </x:c>
      <x:c r="C896" s="2" t="str">
        <x:v>H</x:v>
      </x:c>
      <x:c r="D896" s="2" t="str">
        <x:v>CURRENT</x:v>
      </x:c>
      <x:c r="E896" s="2" t="str">
        <x:f>IF(B896="","",'Input_Meci'!B80)</x:f>
      </x:c>
      <x:c r="F896" s="2" t="str">
        <x:f>IF(B896="","",IF('Input_Meci'!C80="","",'Input_Meci'!C80))</x:f>
      </x:c>
      <x:c r="G896" s="2" t="str">
        <x:f>IF(B896="","",'Input_Meci'!D80)</x:f>
      </x:c>
      <x:c r="H896" s="2" t="str">
        <x:v>ANY</x:v>
      </x:c>
      <x:c r="I896" s="2" t="str">
        <x:v>RECENT</x:v>
      </x:c>
      <x:c r="J896" s="9" t="n">
        <x:f>IF(AND(B896&lt;&gt;"",ISNUMBER('Input_Meci'!G80)),INT('Input_Meci'!G80),0)</x:f>
        <x:v>0</x:v>
      </x:c>
      <x:c r="K896" s="2" t="n">
        <x:f>IF(OR(B896="",F896=""),0,IF(H896="HOME",COUNTIFS('Istoric_Nativ'!$B$6:$B$405,E896,'Istoric_Nativ'!$C$6:$C$405,F896,'Istoric_Nativ'!$E$6:$E$405,G896,'Istoric_Nativ'!$D$6:$D$405,"&lt;"&amp;J896,'Istoric_Nativ'!$P$6:$P$405,1),IF(H896="AWAY",COUNTIFS('Istoric_Nativ'!$B$6:$B$405,E896,'Istoric_Nativ'!$C$6:$C$405,F896,'Istoric_Nativ'!$F$6:$F$405,G896,'Istoric_Nativ'!$D$6:$D$405,"&lt;"&amp;J896,'Istoric_Nativ'!$P$6:$P$405,1),COUNTIFS('Istoric_Nativ'!$B$6:$B$405,E896,'Istoric_Nativ'!$C$6:$C$405,F896,'Istoric_Nativ'!$E$6:$E$405,G896,'Istoric_Nativ'!$D$6:$D$405,"&lt;"&amp;J896,'Istoric_Nativ'!$P$6:$P$405,1)+COUNTIFS('Istoric_Nativ'!$B$6:$B$405,E896,'Istoric_Nativ'!$C$6:$C$405,F896,'Istoric_Nativ'!$F$6:$F$405,G896,'Istoric_Nativ'!$D$6:$D$405,"&lt;"&amp;J896,'Istoric_Nativ'!$P$6:$P$405,1))))</x:f>
        <x:v>0</x:v>
      </x:c>
      <x:c r="L896" s="17" t="n">
        <x:f>IF(AND(B896&lt;&gt;"",I896="RECENT",K896&gt;0),LARGE(_xlfn._xlws.FILTER('Istoric_Nativ'!$D$6:$D$405,('Istoric_Nativ'!$B$6:$B$405=E896)*('Istoric_Nativ'!$C$6:$C$405=F896)*('Istoric_Nativ'!$P$6:$P$405=1)*('Istoric_Nativ'!$D$6:$D$405&lt;J896)*((('Istoric_Nativ'!$E$6:$E$405=G896)+('Istoric_Nativ'!$F$6:$F$405=G896))&gt;0)),MIN('Config_v6'!$B$54,K896)),0)</x:f>
        <x:v>0</x:v>
      </x:c>
      <x:c r="M896" s="2" t="n">
        <x:f>IF(OR(B896="",F896=""),0,IF(H896="HOME",COUNTIFS('Istoric_Nativ'!$B$6:$B$405,E896,'Istoric_Nativ'!$C$6:$C$405,F896,'Istoric_Nativ'!$E$6:$E$405,G896,'Istoric_Nativ'!$D$6:$D$405,"&lt;"&amp;J896,'Istoric_Nativ'!$P$6:$P$405,1,'Istoric_Nativ'!$D$6:$D$405,"&gt;="&amp;L896),IF(H896="AWAY",COUNTIFS('Istoric_Nativ'!$B$6:$B$405,E896,'Istoric_Nativ'!$C$6:$C$405,F896,'Istoric_Nativ'!$F$6:$F$405,G896,'Istoric_Nativ'!$D$6:$D$405,"&lt;"&amp;J896,'Istoric_Nativ'!$P$6:$P$405,1,'Istoric_Nativ'!$D$6:$D$405,"&gt;="&amp;L896),COUNTIFS('Istoric_Nativ'!$B$6:$B$405,E896,'Istoric_Nativ'!$C$6:$C$405,F896,'Istoric_Nativ'!$E$6:$E$405,G896,'Istoric_Nativ'!$D$6:$D$405,"&lt;"&amp;J896,'Istoric_Nativ'!$P$6:$P$405,1,'Istoric_Nativ'!$D$6:$D$405,"&gt;="&amp;L896)+COUNTIFS('Istoric_Nativ'!$B$6:$B$405,E896,'Istoric_Nativ'!$C$6:$C$405,F896,'Istoric_Nativ'!$F$6:$F$405,G896,'Istoric_Nativ'!$D$6:$D$405,"&lt;"&amp;J896,'Istoric_Nativ'!$P$6:$P$405,1,'Istoric_Nativ'!$D$6:$D$405,"&gt;="&amp;L896))))</x:f>
        <x:v>0</x:v>
      </x:c>
      <x:c r="N896" s="11" t="str">
        <x:f>IF(M896=0,"",IF(H896="HOME",SUMIFS('Istoric_Nativ'!$G$6:$G$405,'Istoric_Nativ'!$B$6:$B$405,E896,'Istoric_Nativ'!$C$6:$C$405,F896,'Istoric_Nativ'!$E$6:$E$405,G896,'Istoric_Nativ'!$D$6:$D$405,"&lt;"&amp;J896,'Istoric_Nativ'!$P$6:$P$405,1,'Istoric_Nativ'!$D$6:$D$405,"&gt;="&amp;L896),IF(H896="AWAY",SUMIFS('Istoric_Nativ'!$H$6:$H$405,'Istoric_Nativ'!$B$6:$B$405,E896,'Istoric_Nativ'!$C$6:$C$405,F896,'Istoric_Nativ'!$F$6:$F$405,G896,'Istoric_Nativ'!$D$6:$D$405,"&lt;"&amp;J896,'Istoric_Nativ'!$P$6:$P$405,1,'Istoric_Nativ'!$D$6:$D$405,"&gt;="&amp;L896),SUMIFS('Istoric_Nativ'!$G$6:$G$405,'Istoric_Nativ'!$B$6:$B$405,E896,'Istoric_Nativ'!$C$6:$C$405,F896,'Istoric_Nativ'!$E$6:$E$405,G896,'Istoric_Nativ'!$D$6:$D$405,"&lt;"&amp;J896,'Istoric_Nativ'!$P$6:$P$405,1,'Istoric_Nativ'!$D$6:$D$405,"&gt;="&amp;L896)+SUMIFS('Istoric_Nativ'!$H$6:$H$405,'Istoric_Nativ'!$B$6:$B$405,E896,'Istoric_Nativ'!$C$6:$C$405,F896,'Istoric_Nativ'!$F$6:$F$405,G896,'Istoric_Nativ'!$D$6:$D$405,"&lt;"&amp;J896,'Istoric_Nativ'!$P$6:$P$405,1,'Istoric_Nativ'!$D$6:$D$405,"&gt;="&amp;L896)))/M896)</x:f>
      </x:c>
      <x:c r="O896" s="11" t="str">
        <x:f>IF(M896=0,"",IF(H896="HOME",SUMIFS('Istoric_Nativ'!$H$6:$H$405,'Istoric_Nativ'!$B$6:$B$405,E896,'Istoric_Nativ'!$C$6:$C$405,F896,'Istoric_Nativ'!$E$6:$E$405,G896,'Istoric_Nativ'!$D$6:$D$405,"&lt;"&amp;J896,'Istoric_Nativ'!$P$6:$P$405,1,'Istoric_Nativ'!$D$6:$D$405,"&gt;="&amp;L896),IF(H896="AWAY",SUMIFS('Istoric_Nativ'!$G$6:$G$405,'Istoric_Nativ'!$B$6:$B$405,E896,'Istoric_Nativ'!$C$6:$C$405,F896,'Istoric_Nativ'!$F$6:$F$405,G896,'Istoric_Nativ'!$D$6:$D$405,"&lt;"&amp;J896,'Istoric_Nativ'!$P$6:$P$405,1,'Istoric_Nativ'!$D$6:$D$405,"&gt;="&amp;L896),SUMIFS('Istoric_Nativ'!$H$6:$H$405,'Istoric_Nativ'!$B$6:$B$405,E896,'Istoric_Nativ'!$C$6:$C$405,F896,'Istoric_Nativ'!$E$6:$E$405,G896,'Istoric_Nativ'!$D$6:$D$405,"&lt;"&amp;J896,'Istoric_Nativ'!$P$6:$P$405,1,'Istoric_Nativ'!$D$6:$D$405,"&gt;="&amp;L896)+SUMIFS('Istoric_Nativ'!$G$6:$G$405,'Istoric_Nativ'!$B$6:$B$405,E896,'Istoric_Nativ'!$C$6:$C$405,F896,'Istoric_Nativ'!$F$6:$F$405,G896,'Istoric_Nativ'!$D$6:$D$405,"&lt;"&amp;J896,'Istoric_Nativ'!$P$6:$P$405,1,'Istoric_Nativ'!$D$6:$D$405,"&gt;="&amp;L896)))/M896)</x:f>
      </x:c>
      <x:c r="P896" s="2" t="n">
        <x:f>'Config_v6'!$B$9</x:f>
        <x:v>3</x:v>
      </x:c>
      <x:c r="Q896" s="2" t="n">
        <x:f>IF(OR(B896="",F896=""),0,IFERROR(MATCH(E896&amp;"|"&amp;F896,SourceTable[Source_Key],0),0))</x:f>
        <x:v>0</x:v>
      </x:c>
      <x:c r="R896" s="2" t="str">
        <x:f>IF(B896="","",IF(F896="","UNUSED",IF(Q896=0,"NOT CHECKED",IF(COUNTIF(SourceTable[Source_Key],E896&amp;"|"&amp;F896)&lt;&gt;1,"SOURCE CONFLICT",IF(NOT(OR(INDEX(SourceTable[Status],MAX(1,Q896))="IMPORTED",INDEX(SourceTable[Status],MAX(1,Q896))="PARTIAL",INDEX(SourceTable[Status],MAX(1,Q896))="SOURCE CONFLICT")),"ACCESS BLOCKED",IF(OR(INDEX(SourceTable[Coverage],Q896)&lt;&gt;"FULL SEASON EXPORT",INDEX(SourceTable[URL],Q896)="",INDEX(SourceTable[SHA256],Q896)=""),"EVIDENCE INCOMPLETE",IF(AND('Input_Meci'!H80="LIVE",INDEX(SourceTable[Retrieved_UTC],Q896)&gt;'Input_Meci'!G80),"POST CUTOFF","CLOSED")))))))</x:f>
      </x:c>
      <x:c r="S896" s="2" t="n">
        <x:f>IF(OR(B896="",F896=""),0,COUNTIFS('Istoric_Nativ'!$B$6:$B$405,E896,'Istoric_Nativ'!$C$6:$C$405,F896,'Istoric_Nativ'!$E$6:$E$405,G896,'Istoric_Nativ'!$D$6:$D$405,"&lt;"&amp;J896,'Istoric_Nativ'!$O$6:$O$405,"INVALID")+COUNTIFS('Istoric_Nativ'!$B$6:$B$405,E896,'Istoric_Nativ'!$C$6:$C$405,F896,'Istoric_Nativ'!$E$6:$E$405,G896,'Istoric_Nativ'!$O$6:$O$405,"INVALID",'Istoric_Nativ'!$D$6:$D$405,"*")+COUNTIFS('Istoric_Nativ'!$B$6:$B$405,E896,'Istoric_Nativ'!$C$6:$C$405,F896,'Istoric_Nativ'!$E$6:$E$405,G896,'Istoric_Nativ'!$D$6:$D$405,"&lt;"&amp;J896,'Istoric_Nativ'!$O$6:$O$405,"SOURCE CONFLICT")+COUNTIFS('Istoric_Nativ'!$B$6:$B$405,E896,'Istoric_Nativ'!$C$6:$C$405,F896,'Istoric_Nativ'!$F$6:$F$405,G896,'Istoric_Nativ'!$D$6:$D$405,"&lt;"&amp;J896,'Istoric_Nativ'!$O$6:$O$405,"INVALID")+COUNTIFS('Istoric_Nativ'!$B$6:$B$405,E896,'Istoric_Nativ'!$C$6:$C$405,F896,'Istoric_Nativ'!$F$6:$F$405,G896,'Istoric_Nativ'!$O$6:$O$405,"INVALID",'Istoric_Nativ'!$D$6:$D$405,"*")+COUNTIFS('Istoric_Nativ'!$B$6:$B$405,E896,'Istoric_Nativ'!$C$6:$C$405,F896,'Istoric_Nativ'!$F$6:$F$405,G896,'Istoric_Nativ'!$D$6:$D$405,"&lt;"&amp;J896,'Istoric_Nativ'!$O$6:$O$405,"SOURCE CONFLICT"))</x:f>
        <x:v>0</x:v>
      </x:c>
      <x:c r="T896" s="2" t="str">
        <x:f>IF(B896="","",IF(R896&lt;&gt;"CLOSED",R896,IF(S896&gt;0,"NATIVE INPUT ISSUE",IF(M896=0,"NO HISTORY",IF(M896&lt;P896,"SMALL SAMPLE","DERIVED")))))</x:f>
      </x:c>
      <x:c r="U896" s="2" t="str">
        <x:f>IF(B896="","","NativeTable; "&amp;E896&amp;"; "&amp;F896&amp;"; "&amp;G896&amp;"; "&amp;H896&amp;"; before "&amp;TEXT(J896,"yyyy-mm-dd")&amp;IF(I896="RECENT","; from "&amp;TEXT(L896,"yyyy-mm-dd"),""))</x:f>
      </x:c>
    </x:row>
    <x:row r="897" ht="21" customHeight="1">
      <x:c r="A897" s="2" t="n">
        <x:v>75</x:v>
      </x:c>
      <x:c r="B897" s="2" t="str">
        <x:f>IF('Input_Meci'!A80="","",'Input_Meci'!A80)</x:f>
      </x:c>
      <x:c r="C897" s="2" t="str">
        <x:v>A</x:v>
      </x:c>
      <x:c r="D897" s="2" t="str">
        <x:v>CURRENT</x:v>
      </x:c>
      <x:c r="E897" s="2" t="str">
        <x:f>IF(B897="","",'Input_Meci'!B80)</x:f>
      </x:c>
      <x:c r="F897" s="2" t="str">
        <x:f>IF(B897="","",IF('Input_Meci'!C80="","",'Input_Meci'!C80))</x:f>
      </x:c>
      <x:c r="G897" s="2" t="str">
        <x:f>IF(B897="","",'Input_Meci'!E80)</x:f>
      </x:c>
      <x:c r="H897" s="2" t="str">
        <x:v>ANY</x:v>
      </x:c>
      <x:c r="I897" s="2" t="str">
        <x:v>SEASON</x:v>
      </x:c>
      <x:c r="J897" s="9" t="n">
        <x:f>IF(AND(B897&lt;&gt;"",ISNUMBER('Input_Meci'!G80)),INT('Input_Meci'!G80),0)</x:f>
        <x:v>0</x:v>
      </x:c>
      <x:c r="K897" s="2" t="n">
        <x:f>IF(OR(B897="",F897=""),0,IF(H897="HOME",COUNTIFS('Istoric_Nativ'!$B$6:$B$405,E897,'Istoric_Nativ'!$C$6:$C$405,F897,'Istoric_Nativ'!$E$6:$E$405,G897,'Istoric_Nativ'!$D$6:$D$405,"&lt;"&amp;J897,'Istoric_Nativ'!$P$6:$P$405,1),IF(H897="AWAY",COUNTIFS('Istoric_Nativ'!$B$6:$B$405,E897,'Istoric_Nativ'!$C$6:$C$405,F897,'Istoric_Nativ'!$F$6:$F$405,G897,'Istoric_Nativ'!$D$6:$D$405,"&lt;"&amp;J897,'Istoric_Nativ'!$P$6:$P$405,1),COUNTIFS('Istoric_Nativ'!$B$6:$B$405,E897,'Istoric_Nativ'!$C$6:$C$405,F897,'Istoric_Nativ'!$E$6:$E$405,G897,'Istoric_Nativ'!$D$6:$D$405,"&lt;"&amp;J897,'Istoric_Nativ'!$P$6:$P$405,1)+COUNTIFS('Istoric_Nativ'!$B$6:$B$405,E897,'Istoric_Nativ'!$C$6:$C$405,F897,'Istoric_Nativ'!$F$6:$F$405,G897,'Istoric_Nativ'!$D$6:$D$405,"&lt;"&amp;J897,'Istoric_Nativ'!$P$6:$P$405,1))))</x:f>
        <x:v>0</x:v>
      </x:c>
      <x:c r="L897" s="17" t="n">
        <x:f>IF(AND(B897&lt;&gt;"",I897="RECENT",K897&gt;0),LARGE(_xlfn._xlws.FILTER('Istoric_Nativ'!$D$6:$D$405,('Istoric_Nativ'!$B$6:$B$405=E897)*('Istoric_Nativ'!$C$6:$C$405=F897)*('Istoric_Nativ'!$P$6:$P$405=1)*('Istoric_Nativ'!$D$6:$D$405&lt;J897)*((('Istoric_Nativ'!$E$6:$E$405=G897)+('Istoric_Nativ'!$F$6:$F$405=G897))&gt;0)),MIN('Config_v6'!$B$54,K897)),0)</x:f>
        <x:v>0</x:v>
      </x:c>
      <x:c r="M897" s="2" t="n">
        <x:f>IF(OR(B897="",F897=""),0,IF(H897="HOME",COUNTIFS('Istoric_Nativ'!$B$6:$B$405,E897,'Istoric_Nativ'!$C$6:$C$405,F897,'Istoric_Nativ'!$E$6:$E$405,G897,'Istoric_Nativ'!$D$6:$D$405,"&lt;"&amp;J897,'Istoric_Nativ'!$P$6:$P$405,1,'Istoric_Nativ'!$D$6:$D$405,"&gt;="&amp;L897),IF(H897="AWAY",COUNTIFS('Istoric_Nativ'!$B$6:$B$405,E897,'Istoric_Nativ'!$C$6:$C$405,F897,'Istoric_Nativ'!$F$6:$F$405,G897,'Istoric_Nativ'!$D$6:$D$405,"&lt;"&amp;J897,'Istoric_Nativ'!$P$6:$P$405,1,'Istoric_Nativ'!$D$6:$D$405,"&gt;="&amp;L897),COUNTIFS('Istoric_Nativ'!$B$6:$B$405,E897,'Istoric_Nativ'!$C$6:$C$405,F897,'Istoric_Nativ'!$E$6:$E$405,G897,'Istoric_Nativ'!$D$6:$D$405,"&lt;"&amp;J897,'Istoric_Nativ'!$P$6:$P$405,1,'Istoric_Nativ'!$D$6:$D$405,"&gt;="&amp;L897)+COUNTIFS('Istoric_Nativ'!$B$6:$B$405,E897,'Istoric_Nativ'!$C$6:$C$405,F897,'Istoric_Nativ'!$F$6:$F$405,G897,'Istoric_Nativ'!$D$6:$D$405,"&lt;"&amp;J897,'Istoric_Nativ'!$P$6:$P$405,1,'Istoric_Nativ'!$D$6:$D$405,"&gt;="&amp;L897))))</x:f>
        <x:v>0</x:v>
      </x:c>
      <x:c r="N897" s="11" t="str">
        <x:f>IF(M897=0,"",IF(H897="HOME",SUMIFS('Istoric_Nativ'!$G$6:$G$405,'Istoric_Nativ'!$B$6:$B$405,E897,'Istoric_Nativ'!$C$6:$C$405,F897,'Istoric_Nativ'!$E$6:$E$405,G897,'Istoric_Nativ'!$D$6:$D$405,"&lt;"&amp;J897,'Istoric_Nativ'!$P$6:$P$405,1,'Istoric_Nativ'!$D$6:$D$405,"&gt;="&amp;L897),IF(H897="AWAY",SUMIFS('Istoric_Nativ'!$H$6:$H$405,'Istoric_Nativ'!$B$6:$B$405,E897,'Istoric_Nativ'!$C$6:$C$405,F897,'Istoric_Nativ'!$F$6:$F$405,G897,'Istoric_Nativ'!$D$6:$D$405,"&lt;"&amp;J897,'Istoric_Nativ'!$P$6:$P$405,1,'Istoric_Nativ'!$D$6:$D$405,"&gt;="&amp;L897),SUMIFS('Istoric_Nativ'!$G$6:$G$405,'Istoric_Nativ'!$B$6:$B$405,E897,'Istoric_Nativ'!$C$6:$C$405,F897,'Istoric_Nativ'!$E$6:$E$405,G897,'Istoric_Nativ'!$D$6:$D$405,"&lt;"&amp;J897,'Istoric_Nativ'!$P$6:$P$405,1,'Istoric_Nativ'!$D$6:$D$405,"&gt;="&amp;L897)+SUMIFS('Istoric_Nativ'!$H$6:$H$405,'Istoric_Nativ'!$B$6:$B$405,E897,'Istoric_Nativ'!$C$6:$C$405,F897,'Istoric_Nativ'!$F$6:$F$405,G897,'Istoric_Nativ'!$D$6:$D$405,"&lt;"&amp;J897,'Istoric_Nativ'!$P$6:$P$405,1,'Istoric_Nativ'!$D$6:$D$405,"&gt;="&amp;L897)))/M897)</x:f>
      </x:c>
      <x:c r="O897" s="11" t="str">
        <x:f>IF(M897=0,"",IF(H897="HOME",SUMIFS('Istoric_Nativ'!$H$6:$H$405,'Istoric_Nativ'!$B$6:$B$405,E897,'Istoric_Nativ'!$C$6:$C$405,F897,'Istoric_Nativ'!$E$6:$E$405,G897,'Istoric_Nativ'!$D$6:$D$405,"&lt;"&amp;J897,'Istoric_Nativ'!$P$6:$P$405,1,'Istoric_Nativ'!$D$6:$D$405,"&gt;="&amp;L897),IF(H897="AWAY",SUMIFS('Istoric_Nativ'!$G$6:$G$405,'Istoric_Nativ'!$B$6:$B$405,E897,'Istoric_Nativ'!$C$6:$C$405,F897,'Istoric_Nativ'!$F$6:$F$405,G897,'Istoric_Nativ'!$D$6:$D$405,"&lt;"&amp;J897,'Istoric_Nativ'!$P$6:$P$405,1,'Istoric_Nativ'!$D$6:$D$405,"&gt;="&amp;L897),SUMIFS('Istoric_Nativ'!$H$6:$H$405,'Istoric_Nativ'!$B$6:$B$405,E897,'Istoric_Nativ'!$C$6:$C$405,F897,'Istoric_Nativ'!$E$6:$E$405,G897,'Istoric_Nativ'!$D$6:$D$405,"&lt;"&amp;J897,'Istoric_Nativ'!$P$6:$P$405,1,'Istoric_Nativ'!$D$6:$D$405,"&gt;="&amp;L897)+SUMIFS('Istoric_Nativ'!$G$6:$G$405,'Istoric_Nativ'!$B$6:$B$405,E897,'Istoric_Nativ'!$C$6:$C$405,F897,'Istoric_Nativ'!$F$6:$F$405,G897,'Istoric_Nativ'!$D$6:$D$405,"&lt;"&amp;J897,'Istoric_Nativ'!$P$6:$P$405,1,'Istoric_Nativ'!$D$6:$D$405,"&gt;="&amp;L897)))/M897)</x:f>
      </x:c>
      <x:c r="P897" s="2" t="n">
        <x:f>'Config_v6'!$B$7</x:f>
        <x:v>10</x:v>
      </x:c>
      <x:c r="Q897" s="2" t="n">
        <x:f>IF(OR(B897="",F897=""),0,IFERROR(MATCH(E897&amp;"|"&amp;F897,SourceTable[Source_Key],0),0))</x:f>
        <x:v>0</x:v>
      </x:c>
      <x:c r="R897" s="2" t="str">
        <x:f>IF(B897="","",IF(F897="","UNUSED",IF(Q897=0,"NOT CHECKED",IF(COUNTIF(SourceTable[Source_Key],E897&amp;"|"&amp;F897)&lt;&gt;1,"SOURCE CONFLICT",IF(NOT(OR(INDEX(SourceTable[Status],MAX(1,Q897))="IMPORTED",INDEX(SourceTable[Status],MAX(1,Q897))="PARTIAL",INDEX(SourceTable[Status],MAX(1,Q897))="SOURCE CONFLICT")),"ACCESS BLOCKED",IF(OR(INDEX(SourceTable[Coverage],Q897)&lt;&gt;"FULL SEASON EXPORT",INDEX(SourceTable[URL],Q897)="",INDEX(SourceTable[SHA256],Q897)=""),"EVIDENCE INCOMPLETE",IF(AND('Input_Meci'!H80="LIVE",INDEX(SourceTable[Retrieved_UTC],Q897)&gt;'Input_Meci'!G80),"POST CUTOFF","CLOSED")))))))</x:f>
      </x:c>
      <x:c r="S897" s="2" t="n">
        <x:f>IF(OR(B897="",F897=""),0,COUNTIFS('Istoric_Nativ'!$B$6:$B$405,E897,'Istoric_Nativ'!$C$6:$C$405,F897,'Istoric_Nativ'!$E$6:$E$405,G897,'Istoric_Nativ'!$D$6:$D$405,"&lt;"&amp;J897,'Istoric_Nativ'!$O$6:$O$405,"INVALID")+COUNTIFS('Istoric_Nativ'!$B$6:$B$405,E897,'Istoric_Nativ'!$C$6:$C$405,F897,'Istoric_Nativ'!$E$6:$E$405,G897,'Istoric_Nativ'!$O$6:$O$405,"INVALID",'Istoric_Nativ'!$D$6:$D$405,"*")+COUNTIFS('Istoric_Nativ'!$B$6:$B$405,E897,'Istoric_Nativ'!$C$6:$C$405,F897,'Istoric_Nativ'!$E$6:$E$405,G897,'Istoric_Nativ'!$D$6:$D$405,"&lt;"&amp;J897,'Istoric_Nativ'!$O$6:$O$405,"SOURCE CONFLICT")+COUNTIFS('Istoric_Nativ'!$B$6:$B$405,E897,'Istoric_Nativ'!$C$6:$C$405,F897,'Istoric_Nativ'!$F$6:$F$405,G897,'Istoric_Nativ'!$D$6:$D$405,"&lt;"&amp;J897,'Istoric_Nativ'!$O$6:$O$405,"INVALID")+COUNTIFS('Istoric_Nativ'!$B$6:$B$405,E897,'Istoric_Nativ'!$C$6:$C$405,F897,'Istoric_Nativ'!$F$6:$F$405,G897,'Istoric_Nativ'!$O$6:$O$405,"INVALID",'Istoric_Nativ'!$D$6:$D$405,"*")+COUNTIFS('Istoric_Nativ'!$B$6:$B$405,E897,'Istoric_Nativ'!$C$6:$C$405,F897,'Istoric_Nativ'!$F$6:$F$405,G897,'Istoric_Nativ'!$D$6:$D$405,"&lt;"&amp;J897,'Istoric_Nativ'!$O$6:$O$405,"SOURCE CONFLICT"))</x:f>
        <x:v>0</x:v>
      </x:c>
      <x:c r="T897" s="2" t="str">
        <x:f>IF(B897="","",IF(R897&lt;&gt;"CLOSED",R897,IF(S897&gt;0,"NATIVE INPUT ISSUE",IF(M897=0,"NO HISTORY",IF(M897&lt;P897,"SMALL SAMPLE","DERIVED")))))</x:f>
      </x:c>
      <x:c r="U897" s="2" t="str">
        <x:f>IF(B897="","","NativeTable; "&amp;E897&amp;"; "&amp;F897&amp;"; "&amp;G897&amp;"; "&amp;H897&amp;"; before "&amp;TEXT(J897,"yyyy-mm-dd")&amp;IF(I897="RECENT","; from "&amp;TEXT(L897,"yyyy-mm-dd"),""))</x:f>
      </x:c>
    </x:row>
    <x:row r="898" ht="21" customHeight="1">
      <x:c r="A898" s="2" t="n">
        <x:v>75</x:v>
      </x:c>
      <x:c r="B898" s="2" t="str">
        <x:f>IF('Input_Meci'!A80="","",'Input_Meci'!A80)</x:f>
      </x:c>
      <x:c r="C898" s="2" t="str">
        <x:v>A</x:v>
      </x:c>
      <x:c r="D898" s="2" t="str">
        <x:v>CURRENT</x:v>
      </x:c>
      <x:c r="E898" s="2" t="str">
        <x:f>IF(B898="","",'Input_Meci'!B80)</x:f>
      </x:c>
      <x:c r="F898" s="2" t="str">
        <x:f>IF(B898="","",IF('Input_Meci'!C80="","",'Input_Meci'!C80))</x:f>
      </x:c>
      <x:c r="G898" s="2" t="str">
        <x:f>IF(B898="","",'Input_Meci'!E80)</x:f>
      </x:c>
      <x:c r="H898" s="2" t="str">
        <x:v>AWAY</x:v>
      </x:c>
      <x:c r="I898" s="2" t="str">
        <x:v>HA</x:v>
      </x:c>
      <x:c r="J898" s="9" t="n">
        <x:f>IF(AND(B898&lt;&gt;"",ISNUMBER('Input_Meci'!G80)),INT('Input_Meci'!G80),0)</x:f>
        <x:v>0</x:v>
      </x:c>
      <x:c r="K898" s="2" t="n">
        <x:f>IF(OR(B898="",F898=""),0,IF(H898="HOME",COUNTIFS('Istoric_Nativ'!$B$6:$B$405,E898,'Istoric_Nativ'!$C$6:$C$405,F898,'Istoric_Nativ'!$E$6:$E$405,G898,'Istoric_Nativ'!$D$6:$D$405,"&lt;"&amp;J898,'Istoric_Nativ'!$P$6:$P$405,1),IF(H898="AWAY",COUNTIFS('Istoric_Nativ'!$B$6:$B$405,E898,'Istoric_Nativ'!$C$6:$C$405,F898,'Istoric_Nativ'!$F$6:$F$405,G898,'Istoric_Nativ'!$D$6:$D$405,"&lt;"&amp;J898,'Istoric_Nativ'!$P$6:$P$405,1),COUNTIFS('Istoric_Nativ'!$B$6:$B$405,E898,'Istoric_Nativ'!$C$6:$C$405,F898,'Istoric_Nativ'!$E$6:$E$405,G898,'Istoric_Nativ'!$D$6:$D$405,"&lt;"&amp;J898,'Istoric_Nativ'!$P$6:$P$405,1)+COUNTIFS('Istoric_Nativ'!$B$6:$B$405,E898,'Istoric_Nativ'!$C$6:$C$405,F898,'Istoric_Nativ'!$F$6:$F$405,G898,'Istoric_Nativ'!$D$6:$D$405,"&lt;"&amp;J898,'Istoric_Nativ'!$P$6:$P$405,1))))</x:f>
        <x:v>0</x:v>
      </x:c>
      <x:c r="L898" s="17" t="n">
        <x:f>IF(AND(B898&lt;&gt;"",I898="RECENT",K898&gt;0),LARGE(_xlfn._xlws.FILTER('Istoric_Nativ'!$D$6:$D$405,('Istoric_Nativ'!$B$6:$B$405=E898)*('Istoric_Nativ'!$C$6:$C$405=F898)*('Istoric_Nativ'!$P$6:$P$405=1)*('Istoric_Nativ'!$D$6:$D$405&lt;J898)*((('Istoric_Nativ'!$E$6:$E$405=G898)+('Istoric_Nativ'!$F$6:$F$405=G898))&gt;0)),MIN('Config_v6'!$B$54,K898)),0)</x:f>
        <x:v>0</x:v>
      </x:c>
      <x:c r="M898" s="2" t="n">
        <x:f>IF(OR(B898="",F898=""),0,IF(H898="HOME",COUNTIFS('Istoric_Nativ'!$B$6:$B$405,E898,'Istoric_Nativ'!$C$6:$C$405,F898,'Istoric_Nativ'!$E$6:$E$405,G898,'Istoric_Nativ'!$D$6:$D$405,"&lt;"&amp;J898,'Istoric_Nativ'!$P$6:$P$405,1,'Istoric_Nativ'!$D$6:$D$405,"&gt;="&amp;L898),IF(H898="AWAY",COUNTIFS('Istoric_Nativ'!$B$6:$B$405,E898,'Istoric_Nativ'!$C$6:$C$405,F898,'Istoric_Nativ'!$F$6:$F$405,G898,'Istoric_Nativ'!$D$6:$D$405,"&lt;"&amp;J898,'Istoric_Nativ'!$P$6:$P$405,1,'Istoric_Nativ'!$D$6:$D$405,"&gt;="&amp;L898),COUNTIFS('Istoric_Nativ'!$B$6:$B$405,E898,'Istoric_Nativ'!$C$6:$C$405,F898,'Istoric_Nativ'!$E$6:$E$405,G898,'Istoric_Nativ'!$D$6:$D$405,"&lt;"&amp;J898,'Istoric_Nativ'!$P$6:$P$405,1,'Istoric_Nativ'!$D$6:$D$405,"&gt;="&amp;L898)+COUNTIFS('Istoric_Nativ'!$B$6:$B$405,E898,'Istoric_Nativ'!$C$6:$C$405,F898,'Istoric_Nativ'!$F$6:$F$405,G898,'Istoric_Nativ'!$D$6:$D$405,"&lt;"&amp;J898,'Istoric_Nativ'!$P$6:$P$405,1,'Istoric_Nativ'!$D$6:$D$405,"&gt;="&amp;L898))))</x:f>
        <x:v>0</x:v>
      </x:c>
      <x:c r="N898" s="11" t="str">
        <x:f>IF(M898=0,"",IF(H898="HOME",SUMIFS('Istoric_Nativ'!$G$6:$G$405,'Istoric_Nativ'!$B$6:$B$405,E898,'Istoric_Nativ'!$C$6:$C$405,F898,'Istoric_Nativ'!$E$6:$E$405,G898,'Istoric_Nativ'!$D$6:$D$405,"&lt;"&amp;J898,'Istoric_Nativ'!$P$6:$P$405,1,'Istoric_Nativ'!$D$6:$D$405,"&gt;="&amp;L898),IF(H898="AWAY",SUMIFS('Istoric_Nativ'!$H$6:$H$405,'Istoric_Nativ'!$B$6:$B$405,E898,'Istoric_Nativ'!$C$6:$C$405,F898,'Istoric_Nativ'!$F$6:$F$405,G898,'Istoric_Nativ'!$D$6:$D$405,"&lt;"&amp;J898,'Istoric_Nativ'!$P$6:$P$405,1,'Istoric_Nativ'!$D$6:$D$405,"&gt;="&amp;L898),SUMIFS('Istoric_Nativ'!$G$6:$G$405,'Istoric_Nativ'!$B$6:$B$405,E898,'Istoric_Nativ'!$C$6:$C$405,F898,'Istoric_Nativ'!$E$6:$E$405,G898,'Istoric_Nativ'!$D$6:$D$405,"&lt;"&amp;J898,'Istoric_Nativ'!$P$6:$P$405,1,'Istoric_Nativ'!$D$6:$D$405,"&gt;="&amp;L898)+SUMIFS('Istoric_Nativ'!$H$6:$H$405,'Istoric_Nativ'!$B$6:$B$405,E898,'Istoric_Nativ'!$C$6:$C$405,F898,'Istoric_Nativ'!$F$6:$F$405,G898,'Istoric_Nativ'!$D$6:$D$405,"&lt;"&amp;J898,'Istoric_Nativ'!$P$6:$P$405,1,'Istoric_Nativ'!$D$6:$D$405,"&gt;="&amp;L898)))/M898)</x:f>
      </x:c>
      <x:c r="O898" s="11" t="str">
        <x:f>IF(M898=0,"",IF(H898="HOME",SUMIFS('Istoric_Nativ'!$H$6:$H$405,'Istoric_Nativ'!$B$6:$B$405,E898,'Istoric_Nativ'!$C$6:$C$405,F898,'Istoric_Nativ'!$E$6:$E$405,G898,'Istoric_Nativ'!$D$6:$D$405,"&lt;"&amp;J898,'Istoric_Nativ'!$P$6:$P$405,1,'Istoric_Nativ'!$D$6:$D$405,"&gt;="&amp;L898),IF(H898="AWAY",SUMIFS('Istoric_Nativ'!$G$6:$G$405,'Istoric_Nativ'!$B$6:$B$405,E898,'Istoric_Nativ'!$C$6:$C$405,F898,'Istoric_Nativ'!$F$6:$F$405,G898,'Istoric_Nativ'!$D$6:$D$405,"&lt;"&amp;J898,'Istoric_Nativ'!$P$6:$P$405,1,'Istoric_Nativ'!$D$6:$D$405,"&gt;="&amp;L898),SUMIFS('Istoric_Nativ'!$H$6:$H$405,'Istoric_Nativ'!$B$6:$B$405,E898,'Istoric_Nativ'!$C$6:$C$405,F898,'Istoric_Nativ'!$E$6:$E$405,G898,'Istoric_Nativ'!$D$6:$D$405,"&lt;"&amp;J898,'Istoric_Nativ'!$P$6:$P$405,1,'Istoric_Nativ'!$D$6:$D$405,"&gt;="&amp;L898)+SUMIFS('Istoric_Nativ'!$G$6:$G$405,'Istoric_Nativ'!$B$6:$B$405,E898,'Istoric_Nativ'!$C$6:$C$405,F898,'Istoric_Nativ'!$F$6:$F$405,G898,'Istoric_Nativ'!$D$6:$D$405,"&lt;"&amp;J898,'Istoric_Nativ'!$P$6:$P$405,1,'Istoric_Nativ'!$D$6:$D$405,"&gt;="&amp;L898)))/M898)</x:f>
      </x:c>
      <x:c r="P898" s="2" t="n">
        <x:f>'Config_v6'!$B$8</x:f>
        <x:v>5</x:v>
      </x:c>
      <x:c r="Q898" s="2" t="n">
        <x:f>IF(OR(B898="",F898=""),0,IFERROR(MATCH(E898&amp;"|"&amp;F898,SourceTable[Source_Key],0),0))</x:f>
        <x:v>0</x:v>
      </x:c>
      <x:c r="R898" s="2" t="str">
        <x:f>IF(B898="","",IF(F898="","UNUSED",IF(Q898=0,"NOT CHECKED",IF(COUNTIF(SourceTable[Source_Key],E898&amp;"|"&amp;F898)&lt;&gt;1,"SOURCE CONFLICT",IF(NOT(OR(INDEX(SourceTable[Status],MAX(1,Q898))="IMPORTED",INDEX(SourceTable[Status],MAX(1,Q898))="PARTIAL",INDEX(SourceTable[Status],MAX(1,Q898))="SOURCE CONFLICT")),"ACCESS BLOCKED",IF(OR(INDEX(SourceTable[Coverage],Q898)&lt;&gt;"FULL SEASON EXPORT",INDEX(SourceTable[URL],Q898)="",INDEX(SourceTable[SHA256],Q898)=""),"EVIDENCE INCOMPLETE",IF(AND('Input_Meci'!H80="LIVE",INDEX(SourceTable[Retrieved_UTC],Q898)&gt;'Input_Meci'!G80),"POST CUTOFF","CLOSED")))))))</x:f>
      </x:c>
      <x:c r="S898" s="2" t="n">
        <x:f>IF(OR(B898="",F898=""),0,COUNTIFS('Istoric_Nativ'!$B$6:$B$405,E898,'Istoric_Nativ'!$C$6:$C$405,F898,'Istoric_Nativ'!$E$6:$E$405,G898,'Istoric_Nativ'!$D$6:$D$405,"&lt;"&amp;J898,'Istoric_Nativ'!$O$6:$O$405,"INVALID")+COUNTIFS('Istoric_Nativ'!$B$6:$B$405,E898,'Istoric_Nativ'!$C$6:$C$405,F898,'Istoric_Nativ'!$E$6:$E$405,G898,'Istoric_Nativ'!$O$6:$O$405,"INVALID",'Istoric_Nativ'!$D$6:$D$405,"*")+COUNTIFS('Istoric_Nativ'!$B$6:$B$405,E898,'Istoric_Nativ'!$C$6:$C$405,F898,'Istoric_Nativ'!$E$6:$E$405,G898,'Istoric_Nativ'!$D$6:$D$405,"&lt;"&amp;J898,'Istoric_Nativ'!$O$6:$O$405,"SOURCE CONFLICT")+COUNTIFS('Istoric_Nativ'!$B$6:$B$405,E898,'Istoric_Nativ'!$C$6:$C$405,F898,'Istoric_Nativ'!$F$6:$F$405,G898,'Istoric_Nativ'!$D$6:$D$405,"&lt;"&amp;J898,'Istoric_Nativ'!$O$6:$O$405,"INVALID")+COUNTIFS('Istoric_Nativ'!$B$6:$B$405,E898,'Istoric_Nativ'!$C$6:$C$405,F898,'Istoric_Nativ'!$F$6:$F$405,G898,'Istoric_Nativ'!$O$6:$O$405,"INVALID",'Istoric_Nativ'!$D$6:$D$405,"*")+COUNTIFS('Istoric_Nativ'!$B$6:$B$405,E898,'Istoric_Nativ'!$C$6:$C$405,F898,'Istoric_Nativ'!$F$6:$F$405,G898,'Istoric_Nativ'!$D$6:$D$405,"&lt;"&amp;J898,'Istoric_Nativ'!$O$6:$O$405,"SOURCE CONFLICT"))</x:f>
        <x:v>0</x:v>
      </x:c>
      <x:c r="T898" s="2" t="str">
        <x:f>IF(B898="","",IF(R898&lt;&gt;"CLOSED",R898,IF(S898&gt;0,"NATIVE INPUT ISSUE",IF(M898=0,"NO HISTORY",IF(M898&lt;P898,"SMALL SAMPLE","DERIVED")))))</x:f>
      </x:c>
      <x:c r="U898" s="2" t="str">
        <x:f>IF(B898="","","NativeTable; "&amp;E898&amp;"; "&amp;F898&amp;"; "&amp;G898&amp;"; "&amp;H898&amp;"; before "&amp;TEXT(J898,"yyyy-mm-dd")&amp;IF(I898="RECENT","; from "&amp;TEXT(L898,"yyyy-mm-dd"),""))</x:f>
      </x:c>
    </x:row>
    <x:row r="899" ht="21" customHeight="1">
      <x:c r="A899" s="2" t="n">
        <x:v>75</x:v>
      </x:c>
      <x:c r="B899" s="2" t="str">
        <x:f>IF('Input_Meci'!A80="","",'Input_Meci'!A80)</x:f>
      </x:c>
      <x:c r="C899" s="2" t="str">
        <x:v>A</x:v>
      </x:c>
      <x:c r="D899" s="2" t="str">
        <x:v>CURRENT</x:v>
      </x:c>
      <x:c r="E899" s="2" t="str">
        <x:f>IF(B899="","",'Input_Meci'!B80)</x:f>
      </x:c>
      <x:c r="F899" s="2" t="str">
        <x:f>IF(B899="","",IF('Input_Meci'!C80="","",'Input_Meci'!C80))</x:f>
      </x:c>
      <x:c r="G899" s="2" t="str">
        <x:f>IF(B899="","",'Input_Meci'!E80)</x:f>
      </x:c>
      <x:c r="H899" s="2" t="str">
        <x:v>ANY</x:v>
      </x:c>
      <x:c r="I899" s="2" t="str">
        <x:v>RECENT</x:v>
      </x:c>
      <x:c r="J899" s="9" t="n">
        <x:f>IF(AND(B899&lt;&gt;"",ISNUMBER('Input_Meci'!G80)),INT('Input_Meci'!G80),0)</x:f>
        <x:v>0</x:v>
      </x:c>
      <x:c r="K899" s="2" t="n">
        <x:f>IF(OR(B899="",F899=""),0,IF(H899="HOME",COUNTIFS('Istoric_Nativ'!$B$6:$B$405,E899,'Istoric_Nativ'!$C$6:$C$405,F899,'Istoric_Nativ'!$E$6:$E$405,G899,'Istoric_Nativ'!$D$6:$D$405,"&lt;"&amp;J899,'Istoric_Nativ'!$P$6:$P$405,1),IF(H899="AWAY",COUNTIFS('Istoric_Nativ'!$B$6:$B$405,E899,'Istoric_Nativ'!$C$6:$C$405,F899,'Istoric_Nativ'!$F$6:$F$405,G899,'Istoric_Nativ'!$D$6:$D$405,"&lt;"&amp;J899,'Istoric_Nativ'!$P$6:$P$405,1),COUNTIFS('Istoric_Nativ'!$B$6:$B$405,E899,'Istoric_Nativ'!$C$6:$C$405,F899,'Istoric_Nativ'!$E$6:$E$405,G899,'Istoric_Nativ'!$D$6:$D$405,"&lt;"&amp;J899,'Istoric_Nativ'!$P$6:$P$405,1)+COUNTIFS('Istoric_Nativ'!$B$6:$B$405,E899,'Istoric_Nativ'!$C$6:$C$405,F899,'Istoric_Nativ'!$F$6:$F$405,G899,'Istoric_Nativ'!$D$6:$D$405,"&lt;"&amp;J899,'Istoric_Nativ'!$P$6:$P$405,1))))</x:f>
        <x:v>0</x:v>
      </x:c>
      <x:c r="L899" s="17" t="n">
        <x:f>IF(AND(B899&lt;&gt;"",I899="RECENT",K899&gt;0),LARGE(_xlfn._xlws.FILTER('Istoric_Nativ'!$D$6:$D$405,('Istoric_Nativ'!$B$6:$B$405=E899)*('Istoric_Nativ'!$C$6:$C$405=F899)*('Istoric_Nativ'!$P$6:$P$405=1)*('Istoric_Nativ'!$D$6:$D$405&lt;J899)*((('Istoric_Nativ'!$E$6:$E$405=G899)+('Istoric_Nativ'!$F$6:$F$405=G899))&gt;0)),MIN('Config_v6'!$B$54,K899)),0)</x:f>
        <x:v>0</x:v>
      </x:c>
      <x:c r="M899" s="2" t="n">
        <x:f>IF(OR(B899="",F899=""),0,IF(H899="HOME",COUNTIFS('Istoric_Nativ'!$B$6:$B$405,E899,'Istoric_Nativ'!$C$6:$C$405,F899,'Istoric_Nativ'!$E$6:$E$405,G899,'Istoric_Nativ'!$D$6:$D$405,"&lt;"&amp;J899,'Istoric_Nativ'!$P$6:$P$405,1,'Istoric_Nativ'!$D$6:$D$405,"&gt;="&amp;L899),IF(H899="AWAY",COUNTIFS('Istoric_Nativ'!$B$6:$B$405,E899,'Istoric_Nativ'!$C$6:$C$405,F899,'Istoric_Nativ'!$F$6:$F$405,G899,'Istoric_Nativ'!$D$6:$D$405,"&lt;"&amp;J899,'Istoric_Nativ'!$P$6:$P$405,1,'Istoric_Nativ'!$D$6:$D$405,"&gt;="&amp;L899),COUNTIFS('Istoric_Nativ'!$B$6:$B$405,E899,'Istoric_Nativ'!$C$6:$C$405,F899,'Istoric_Nativ'!$E$6:$E$405,G899,'Istoric_Nativ'!$D$6:$D$405,"&lt;"&amp;J899,'Istoric_Nativ'!$P$6:$P$405,1,'Istoric_Nativ'!$D$6:$D$405,"&gt;="&amp;L899)+COUNTIFS('Istoric_Nativ'!$B$6:$B$405,E899,'Istoric_Nativ'!$C$6:$C$405,F899,'Istoric_Nativ'!$F$6:$F$405,G899,'Istoric_Nativ'!$D$6:$D$405,"&lt;"&amp;J899,'Istoric_Nativ'!$P$6:$P$405,1,'Istoric_Nativ'!$D$6:$D$405,"&gt;="&amp;L899))))</x:f>
        <x:v>0</x:v>
      </x:c>
      <x:c r="N899" s="11" t="str">
        <x:f>IF(M899=0,"",IF(H899="HOME",SUMIFS('Istoric_Nativ'!$G$6:$G$405,'Istoric_Nativ'!$B$6:$B$405,E899,'Istoric_Nativ'!$C$6:$C$405,F899,'Istoric_Nativ'!$E$6:$E$405,G899,'Istoric_Nativ'!$D$6:$D$405,"&lt;"&amp;J899,'Istoric_Nativ'!$P$6:$P$405,1,'Istoric_Nativ'!$D$6:$D$405,"&gt;="&amp;L899),IF(H899="AWAY",SUMIFS('Istoric_Nativ'!$H$6:$H$405,'Istoric_Nativ'!$B$6:$B$405,E899,'Istoric_Nativ'!$C$6:$C$405,F899,'Istoric_Nativ'!$F$6:$F$405,G899,'Istoric_Nativ'!$D$6:$D$405,"&lt;"&amp;J899,'Istoric_Nativ'!$P$6:$P$405,1,'Istoric_Nativ'!$D$6:$D$405,"&gt;="&amp;L899),SUMIFS('Istoric_Nativ'!$G$6:$G$405,'Istoric_Nativ'!$B$6:$B$405,E899,'Istoric_Nativ'!$C$6:$C$405,F899,'Istoric_Nativ'!$E$6:$E$405,G899,'Istoric_Nativ'!$D$6:$D$405,"&lt;"&amp;J899,'Istoric_Nativ'!$P$6:$P$405,1,'Istoric_Nativ'!$D$6:$D$405,"&gt;="&amp;L899)+SUMIFS('Istoric_Nativ'!$H$6:$H$405,'Istoric_Nativ'!$B$6:$B$405,E899,'Istoric_Nativ'!$C$6:$C$405,F899,'Istoric_Nativ'!$F$6:$F$405,G899,'Istoric_Nativ'!$D$6:$D$405,"&lt;"&amp;J899,'Istoric_Nativ'!$P$6:$P$405,1,'Istoric_Nativ'!$D$6:$D$405,"&gt;="&amp;L899)))/M899)</x:f>
      </x:c>
      <x:c r="O899" s="11" t="str">
        <x:f>IF(M899=0,"",IF(H899="HOME",SUMIFS('Istoric_Nativ'!$H$6:$H$405,'Istoric_Nativ'!$B$6:$B$405,E899,'Istoric_Nativ'!$C$6:$C$405,F899,'Istoric_Nativ'!$E$6:$E$405,G899,'Istoric_Nativ'!$D$6:$D$405,"&lt;"&amp;J899,'Istoric_Nativ'!$P$6:$P$405,1,'Istoric_Nativ'!$D$6:$D$405,"&gt;="&amp;L899),IF(H899="AWAY",SUMIFS('Istoric_Nativ'!$G$6:$G$405,'Istoric_Nativ'!$B$6:$B$405,E899,'Istoric_Nativ'!$C$6:$C$405,F899,'Istoric_Nativ'!$F$6:$F$405,G899,'Istoric_Nativ'!$D$6:$D$405,"&lt;"&amp;J899,'Istoric_Nativ'!$P$6:$P$405,1,'Istoric_Nativ'!$D$6:$D$405,"&gt;="&amp;L899),SUMIFS('Istoric_Nativ'!$H$6:$H$405,'Istoric_Nativ'!$B$6:$B$405,E899,'Istoric_Nativ'!$C$6:$C$405,F899,'Istoric_Nativ'!$E$6:$E$405,G899,'Istoric_Nativ'!$D$6:$D$405,"&lt;"&amp;J899,'Istoric_Nativ'!$P$6:$P$405,1,'Istoric_Nativ'!$D$6:$D$405,"&gt;="&amp;L899)+SUMIFS('Istoric_Nativ'!$G$6:$G$405,'Istoric_Nativ'!$B$6:$B$405,E899,'Istoric_Nativ'!$C$6:$C$405,F899,'Istoric_Nativ'!$F$6:$F$405,G899,'Istoric_Nativ'!$D$6:$D$405,"&lt;"&amp;J899,'Istoric_Nativ'!$P$6:$P$405,1,'Istoric_Nativ'!$D$6:$D$405,"&gt;="&amp;L899)))/M899)</x:f>
      </x:c>
      <x:c r="P899" s="2" t="n">
        <x:f>'Config_v6'!$B$9</x:f>
        <x:v>3</x:v>
      </x:c>
      <x:c r="Q899" s="2" t="n">
        <x:f>IF(OR(B899="",F899=""),0,IFERROR(MATCH(E899&amp;"|"&amp;F899,SourceTable[Source_Key],0),0))</x:f>
        <x:v>0</x:v>
      </x:c>
      <x:c r="R899" s="2" t="str">
        <x:f>IF(B899="","",IF(F899="","UNUSED",IF(Q899=0,"NOT CHECKED",IF(COUNTIF(SourceTable[Source_Key],E899&amp;"|"&amp;F899)&lt;&gt;1,"SOURCE CONFLICT",IF(NOT(OR(INDEX(SourceTable[Status],MAX(1,Q899))="IMPORTED",INDEX(SourceTable[Status],MAX(1,Q899))="PARTIAL",INDEX(SourceTable[Status],MAX(1,Q899))="SOURCE CONFLICT")),"ACCESS BLOCKED",IF(OR(INDEX(SourceTable[Coverage],Q899)&lt;&gt;"FULL SEASON EXPORT",INDEX(SourceTable[URL],Q899)="",INDEX(SourceTable[SHA256],Q899)=""),"EVIDENCE INCOMPLETE",IF(AND('Input_Meci'!H80="LIVE",INDEX(SourceTable[Retrieved_UTC],Q899)&gt;'Input_Meci'!G80),"POST CUTOFF","CLOSED")))))))</x:f>
      </x:c>
      <x:c r="S899" s="2" t="n">
        <x:f>IF(OR(B899="",F899=""),0,COUNTIFS('Istoric_Nativ'!$B$6:$B$405,E899,'Istoric_Nativ'!$C$6:$C$405,F899,'Istoric_Nativ'!$E$6:$E$405,G899,'Istoric_Nativ'!$D$6:$D$405,"&lt;"&amp;J899,'Istoric_Nativ'!$O$6:$O$405,"INVALID")+COUNTIFS('Istoric_Nativ'!$B$6:$B$405,E899,'Istoric_Nativ'!$C$6:$C$405,F899,'Istoric_Nativ'!$E$6:$E$405,G899,'Istoric_Nativ'!$O$6:$O$405,"INVALID",'Istoric_Nativ'!$D$6:$D$405,"*")+COUNTIFS('Istoric_Nativ'!$B$6:$B$405,E899,'Istoric_Nativ'!$C$6:$C$405,F899,'Istoric_Nativ'!$E$6:$E$405,G899,'Istoric_Nativ'!$D$6:$D$405,"&lt;"&amp;J899,'Istoric_Nativ'!$O$6:$O$405,"SOURCE CONFLICT")+COUNTIFS('Istoric_Nativ'!$B$6:$B$405,E899,'Istoric_Nativ'!$C$6:$C$405,F899,'Istoric_Nativ'!$F$6:$F$405,G899,'Istoric_Nativ'!$D$6:$D$405,"&lt;"&amp;J899,'Istoric_Nativ'!$O$6:$O$405,"INVALID")+COUNTIFS('Istoric_Nativ'!$B$6:$B$405,E899,'Istoric_Nativ'!$C$6:$C$405,F899,'Istoric_Nativ'!$F$6:$F$405,G899,'Istoric_Nativ'!$O$6:$O$405,"INVALID",'Istoric_Nativ'!$D$6:$D$405,"*")+COUNTIFS('Istoric_Nativ'!$B$6:$B$405,E899,'Istoric_Nativ'!$C$6:$C$405,F899,'Istoric_Nativ'!$F$6:$F$405,G899,'Istoric_Nativ'!$D$6:$D$405,"&lt;"&amp;J899,'Istoric_Nativ'!$O$6:$O$405,"SOURCE CONFLICT"))</x:f>
        <x:v>0</x:v>
      </x:c>
      <x:c r="T899" s="2" t="str">
        <x:f>IF(B899="","",IF(R899&lt;&gt;"CLOSED",R899,IF(S899&gt;0,"NATIVE INPUT ISSUE",IF(M899=0,"NO HISTORY",IF(M899&lt;P899,"SMALL SAMPLE","DERIVED")))))</x:f>
      </x:c>
      <x:c r="U899" s="2" t="str">
        <x:f>IF(B899="","","NativeTable; "&amp;E899&amp;"; "&amp;F899&amp;"; "&amp;G899&amp;"; "&amp;H899&amp;"; before "&amp;TEXT(J899,"yyyy-mm-dd")&amp;IF(I899="RECENT","; from "&amp;TEXT(L899,"yyyy-mm-dd"),""))</x:f>
      </x:c>
    </x:row>
    <x:row r="900" ht="21" customHeight="1">
      <x:c r="A900" s="2" t="n">
        <x:v>75</x:v>
      </x:c>
      <x:c r="B900" s="2" t="str">
        <x:f>IF('Input_Meci'!A80="","",'Input_Meci'!A80)</x:f>
      </x:c>
      <x:c r="C900" s="2" t="str">
        <x:v>H</x:v>
      </x:c>
      <x:c r="D900" s="2" t="str">
        <x:v>PRIOR</x:v>
      </x:c>
      <x:c r="E900" s="2" t="str">
        <x:f>IF(B900="","",'Input_Meci'!B80)</x:f>
      </x:c>
      <x:c r="F900" s="2" t="str">
        <x:f>IF(B900="","",IF('Input_Meci'!K80="","",'Input_Meci'!K80))</x:f>
      </x:c>
      <x:c r="G900" s="2" t="str">
        <x:f>IF(B900="","",'Input_Meci'!D80)</x:f>
      </x:c>
      <x:c r="H900" s="2" t="str">
        <x:v>ANY</x:v>
      </x:c>
      <x:c r="I900" s="2" t="str">
        <x:v>SEASON</x:v>
      </x:c>
      <x:c r="J900" s="9" t="n">
        <x:f>IF(AND(B900&lt;&gt;"",ISNUMBER('Input_Meci'!G80)),INT('Input_Meci'!G80),0)</x:f>
        <x:v>0</x:v>
      </x:c>
      <x:c r="K900" s="2" t="n">
        <x:f>IF(OR(B900="",F900=""),0,IF(H900="HOME",COUNTIFS('Istoric_Nativ'!$B$6:$B$405,E900,'Istoric_Nativ'!$C$6:$C$405,F900,'Istoric_Nativ'!$E$6:$E$405,G900,'Istoric_Nativ'!$D$6:$D$405,"&lt;"&amp;J900,'Istoric_Nativ'!$P$6:$P$405,1),IF(H900="AWAY",COUNTIFS('Istoric_Nativ'!$B$6:$B$405,E900,'Istoric_Nativ'!$C$6:$C$405,F900,'Istoric_Nativ'!$F$6:$F$405,G900,'Istoric_Nativ'!$D$6:$D$405,"&lt;"&amp;J900,'Istoric_Nativ'!$P$6:$P$405,1),COUNTIFS('Istoric_Nativ'!$B$6:$B$405,E900,'Istoric_Nativ'!$C$6:$C$405,F900,'Istoric_Nativ'!$E$6:$E$405,G900,'Istoric_Nativ'!$D$6:$D$405,"&lt;"&amp;J900,'Istoric_Nativ'!$P$6:$P$405,1)+COUNTIFS('Istoric_Nativ'!$B$6:$B$405,E900,'Istoric_Nativ'!$C$6:$C$405,F900,'Istoric_Nativ'!$F$6:$F$405,G900,'Istoric_Nativ'!$D$6:$D$405,"&lt;"&amp;J900,'Istoric_Nativ'!$P$6:$P$405,1))))</x:f>
        <x:v>0</x:v>
      </x:c>
      <x:c r="L900" s="17" t="n">
        <x:f>IF(AND(B900&lt;&gt;"",I900="RECENT",K900&gt;0),LARGE(_xlfn._xlws.FILTER('Istoric_Nativ'!$D$6:$D$405,('Istoric_Nativ'!$B$6:$B$405=E900)*('Istoric_Nativ'!$C$6:$C$405=F900)*('Istoric_Nativ'!$P$6:$P$405=1)*('Istoric_Nativ'!$D$6:$D$405&lt;J900)*((('Istoric_Nativ'!$E$6:$E$405=G900)+('Istoric_Nativ'!$F$6:$F$405=G900))&gt;0)),MIN('Config_v6'!$B$54,K900)),0)</x:f>
        <x:v>0</x:v>
      </x:c>
      <x:c r="M900" s="2" t="n">
        <x:f>IF(OR(B900="",F900=""),0,IF(H900="HOME",COUNTIFS('Istoric_Nativ'!$B$6:$B$405,E900,'Istoric_Nativ'!$C$6:$C$405,F900,'Istoric_Nativ'!$E$6:$E$405,G900,'Istoric_Nativ'!$D$6:$D$405,"&lt;"&amp;J900,'Istoric_Nativ'!$P$6:$P$405,1,'Istoric_Nativ'!$D$6:$D$405,"&gt;="&amp;L900),IF(H900="AWAY",COUNTIFS('Istoric_Nativ'!$B$6:$B$405,E900,'Istoric_Nativ'!$C$6:$C$405,F900,'Istoric_Nativ'!$F$6:$F$405,G900,'Istoric_Nativ'!$D$6:$D$405,"&lt;"&amp;J900,'Istoric_Nativ'!$P$6:$P$405,1,'Istoric_Nativ'!$D$6:$D$405,"&gt;="&amp;L900),COUNTIFS('Istoric_Nativ'!$B$6:$B$405,E900,'Istoric_Nativ'!$C$6:$C$405,F900,'Istoric_Nativ'!$E$6:$E$405,G900,'Istoric_Nativ'!$D$6:$D$405,"&lt;"&amp;J900,'Istoric_Nativ'!$P$6:$P$405,1,'Istoric_Nativ'!$D$6:$D$405,"&gt;="&amp;L900)+COUNTIFS('Istoric_Nativ'!$B$6:$B$405,E900,'Istoric_Nativ'!$C$6:$C$405,F900,'Istoric_Nativ'!$F$6:$F$405,G900,'Istoric_Nativ'!$D$6:$D$405,"&lt;"&amp;J900,'Istoric_Nativ'!$P$6:$P$405,1,'Istoric_Nativ'!$D$6:$D$405,"&gt;="&amp;L900))))</x:f>
        <x:v>0</x:v>
      </x:c>
      <x:c r="N900" s="11" t="str">
        <x:f>IF(M900=0,"",IF(H900="HOME",SUMIFS('Istoric_Nativ'!$G$6:$G$405,'Istoric_Nativ'!$B$6:$B$405,E900,'Istoric_Nativ'!$C$6:$C$405,F900,'Istoric_Nativ'!$E$6:$E$405,G900,'Istoric_Nativ'!$D$6:$D$405,"&lt;"&amp;J900,'Istoric_Nativ'!$P$6:$P$405,1,'Istoric_Nativ'!$D$6:$D$405,"&gt;="&amp;L900),IF(H900="AWAY",SUMIFS('Istoric_Nativ'!$H$6:$H$405,'Istoric_Nativ'!$B$6:$B$405,E900,'Istoric_Nativ'!$C$6:$C$405,F900,'Istoric_Nativ'!$F$6:$F$405,G900,'Istoric_Nativ'!$D$6:$D$405,"&lt;"&amp;J900,'Istoric_Nativ'!$P$6:$P$405,1,'Istoric_Nativ'!$D$6:$D$405,"&gt;="&amp;L900),SUMIFS('Istoric_Nativ'!$G$6:$G$405,'Istoric_Nativ'!$B$6:$B$405,E900,'Istoric_Nativ'!$C$6:$C$405,F900,'Istoric_Nativ'!$E$6:$E$405,G900,'Istoric_Nativ'!$D$6:$D$405,"&lt;"&amp;J900,'Istoric_Nativ'!$P$6:$P$405,1,'Istoric_Nativ'!$D$6:$D$405,"&gt;="&amp;L900)+SUMIFS('Istoric_Nativ'!$H$6:$H$405,'Istoric_Nativ'!$B$6:$B$405,E900,'Istoric_Nativ'!$C$6:$C$405,F900,'Istoric_Nativ'!$F$6:$F$405,G900,'Istoric_Nativ'!$D$6:$D$405,"&lt;"&amp;J900,'Istoric_Nativ'!$P$6:$P$405,1,'Istoric_Nativ'!$D$6:$D$405,"&gt;="&amp;L900)))/M900)</x:f>
      </x:c>
      <x:c r="O900" s="11" t="str">
        <x:f>IF(M900=0,"",IF(H900="HOME",SUMIFS('Istoric_Nativ'!$H$6:$H$405,'Istoric_Nativ'!$B$6:$B$405,E900,'Istoric_Nativ'!$C$6:$C$405,F900,'Istoric_Nativ'!$E$6:$E$405,G900,'Istoric_Nativ'!$D$6:$D$405,"&lt;"&amp;J900,'Istoric_Nativ'!$P$6:$P$405,1,'Istoric_Nativ'!$D$6:$D$405,"&gt;="&amp;L900),IF(H900="AWAY",SUMIFS('Istoric_Nativ'!$G$6:$G$405,'Istoric_Nativ'!$B$6:$B$405,E900,'Istoric_Nativ'!$C$6:$C$405,F900,'Istoric_Nativ'!$F$6:$F$405,G900,'Istoric_Nativ'!$D$6:$D$405,"&lt;"&amp;J900,'Istoric_Nativ'!$P$6:$P$405,1,'Istoric_Nativ'!$D$6:$D$405,"&gt;="&amp;L900),SUMIFS('Istoric_Nativ'!$H$6:$H$405,'Istoric_Nativ'!$B$6:$B$405,E900,'Istoric_Nativ'!$C$6:$C$405,F900,'Istoric_Nativ'!$E$6:$E$405,G900,'Istoric_Nativ'!$D$6:$D$405,"&lt;"&amp;J900,'Istoric_Nativ'!$P$6:$P$405,1,'Istoric_Nativ'!$D$6:$D$405,"&gt;="&amp;L900)+SUMIFS('Istoric_Nativ'!$G$6:$G$405,'Istoric_Nativ'!$B$6:$B$405,E900,'Istoric_Nativ'!$C$6:$C$405,F900,'Istoric_Nativ'!$F$6:$F$405,G900,'Istoric_Nativ'!$D$6:$D$405,"&lt;"&amp;J900,'Istoric_Nativ'!$P$6:$P$405,1,'Istoric_Nativ'!$D$6:$D$405,"&gt;="&amp;L900)))/M900)</x:f>
      </x:c>
      <x:c r="P900" s="2" t="n">
        <x:f>'Config_v6'!$B$7</x:f>
        <x:v>10</x:v>
      </x:c>
      <x:c r="Q900" s="2" t="n">
        <x:f>IF(OR(B900="",F900=""),0,IFERROR(MATCH(E900&amp;"|"&amp;F900,SourceTable[Source_Key],0),0))</x:f>
        <x:v>0</x:v>
      </x:c>
      <x:c r="R900" s="2" t="str">
        <x:f>IF(B900="","",IF(F900="","UNUSED",IF(Q900=0,"NOT CHECKED",IF(COUNTIF(SourceTable[Source_Key],E900&amp;"|"&amp;F900)&lt;&gt;1,"SOURCE CONFLICT",IF(NOT(OR(INDEX(SourceTable[Status],MAX(1,Q900))="IMPORTED",INDEX(SourceTable[Status],MAX(1,Q900))="PARTIAL",INDEX(SourceTable[Status],MAX(1,Q900))="SOURCE CONFLICT")),"ACCESS BLOCKED",IF(OR(INDEX(SourceTable[Coverage],Q900)&lt;&gt;"FULL SEASON EXPORT",INDEX(SourceTable[URL],Q900)="",INDEX(SourceTable[SHA256],Q900)=""),"EVIDENCE INCOMPLETE",IF(AND('Input_Meci'!H80="LIVE",INDEX(SourceTable[Retrieved_UTC],Q900)&gt;'Input_Meci'!G80),"POST CUTOFF","CLOSED")))))))</x:f>
      </x:c>
      <x:c r="S900" s="2" t="n">
        <x:f>IF(OR(B900="",F900=""),0,COUNTIFS('Istoric_Nativ'!$B$6:$B$405,E900,'Istoric_Nativ'!$C$6:$C$405,F900,'Istoric_Nativ'!$E$6:$E$405,G900,'Istoric_Nativ'!$D$6:$D$405,"&lt;"&amp;J900,'Istoric_Nativ'!$O$6:$O$405,"INVALID")+COUNTIFS('Istoric_Nativ'!$B$6:$B$405,E900,'Istoric_Nativ'!$C$6:$C$405,F900,'Istoric_Nativ'!$E$6:$E$405,G900,'Istoric_Nativ'!$O$6:$O$405,"INVALID",'Istoric_Nativ'!$D$6:$D$405,"*")+COUNTIFS('Istoric_Nativ'!$B$6:$B$405,E900,'Istoric_Nativ'!$C$6:$C$405,F900,'Istoric_Nativ'!$E$6:$E$405,G900,'Istoric_Nativ'!$D$6:$D$405,"&lt;"&amp;J900,'Istoric_Nativ'!$O$6:$O$405,"SOURCE CONFLICT")+COUNTIFS('Istoric_Nativ'!$B$6:$B$405,E900,'Istoric_Nativ'!$C$6:$C$405,F900,'Istoric_Nativ'!$F$6:$F$405,G900,'Istoric_Nativ'!$D$6:$D$405,"&lt;"&amp;J900,'Istoric_Nativ'!$O$6:$O$405,"INVALID")+COUNTIFS('Istoric_Nativ'!$B$6:$B$405,E900,'Istoric_Nativ'!$C$6:$C$405,F900,'Istoric_Nativ'!$F$6:$F$405,G900,'Istoric_Nativ'!$O$6:$O$405,"INVALID",'Istoric_Nativ'!$D$6:$D$405,"*")+COUNTIFS('Istoric_Nativ'!$B$6:$B$405,E900,'Istoric_Nativ'!$C$6:$C$405,F900,'Istoric_Nativ'!$F$6:$F$405,G900,'Istoric_Nativ'!$D$6:$D$405,"&lt;"&amp;J900,'Istoric_Nativ'!$O$6:$O$405,"SOURCE CONFLICT"))</x:f>
        <x:v>0</x:v>
      </x:c>
      <x:c r="T900" s="2" t="str">
        <x:f>IF(B900="","",IF(R900&lt;&gt;"CLOSED",R900,IF(S900&gt;0,"NATIVE INPUT ISSUE",IF(M900=0,"NO HISTORY",IF(M900&lt;P900,"SMALL SAMPLE","DERIVED")))))</x:f>
      </x:c>
      <x:c r="U900" s="2" t="str">
        <x:f>IF(B900="","","NativeTable; "&amp;E900&amp;"; "&amp;F900&amp;"; "&amp;G900&amp;"; "&amp;H900&amp;"; before "&amp;TEXT(J900,"yyyy-mm-dd")&amp;IF(I900="RECENT","; from "&amp;TEXT(L900,"yyyy-mm-dd"),""))</x:f>
      </x:c>
    </x:row>
    <x:row r="901" ht="21" customHeight="1">
      <x:c r="A901" s="2" t="n">
        <x:v>75</x:v>
      </x:c>
      <x:c r="B901" s="2" t="str">
        <x:f>IF('Input_Meci'!A80="","",'Input_Meci'!A80)</x:f>
      </x:c>
      <x:c r="C901" s="2" t="str">
        <x:v>H</x:v>
      </x:c>
      <x:c r="D901" s="2" t="str">
        <x:v>PRIOR</x:v>
      </x:c>
      <x:c r="E901" s="2" t="str">
        <x:f>IF(B901="","",'Input_Meci'!B80)</x:f>
      </x:c>
      <x:c r="F901" s="2" t="str">
        <x:f>IF(B901="","",IF('Input_Meci'!K80="","",'Input_Meci'!K80))</x:f>
      </x:c>
      <x:c r="G901" s="2" t="str">
        <x:f>IF(B901="","",'Input_Meci'!D80)</x:f>
      </x:c>
      <x:c r="H901" s="2" t="str">
        <x:v>HOME</x:v>
      </x:c>
      <x:c r="I901" s="2" t="str">
        <x:v>HA</x:v>
      </x:c>
      <x:c r="J901" s="9" t="n">
        <x:f>IF(AND(B901&lt;&gt;"",ISNUMBER('Input_Meci'!G80)),INT('Input_Meci'!G80),0)</x:f>
        <x:v>0</x:v>
      </x:c>
      <x:c r="K901" s="2" t="n">
        <x:f>IF(OR(B901="",F901=""),0,IF(H901="HOME",COUNTIFS('Istoric_Nativ'!$B$6:$B$405,E901,'Istoric_Nativ'!$C$6:$C$405,F901,'Istoric_Nativ'!$E$6:$E$405,G901,'Istoric_Nativ'!$D$6:$D$405,"&lt;"&amp;J901,'Istoric_Nativ'!$P$6:$P$405,1),IF(H901="AWAY",COUNTIFS('Istoric_Nativ'!$B$6:$B$405,E901,'Istoric_Nativ'!$C$6:$C$405,F901,'Istoric_Nativ'!$F$6:$F$405,G901,'Istoric_Nativ'!$D$6:$D$405,"&lt;"&amp;J901,'Istoric_Nativ'!$P$6:$P$405,1),COUNTIFS('Istoric_Nativ'!$B$6:$B$405,E901,'Istoric_Nativ'!$C$6:$C$405,F901,'Istoric_Nativ'!$E$6:$E$405,G901,'Istoric_Nativ'!$D$6:$D$405,"&lt;"&amp;J901,'Istoric_Nativ'!$P$6:$P$405,1)+COUNTIFS('Istoric_Nativ'!$B$6:$B$405,E901,'Istoric_Nativ'!$C$6:$C$405,F901,'Istoric_Nativ'!$F$6:$F$405,G901,'Istoric_Nativ'!$D$6:$D$405,"&lt;"&amp;J901,'Istoric_Nativ'!$P$6:$P$405,1))))</x:f>
        <x:v>0</x:v>
      </x:c>
      <x:c r="L901" s="17" t="n">
        <x:f>IF(AND(B901&lt;&gt;"",I901="RECENT",K901&gt;0),LARGE(_xlfn._xlws.FILTER('Istoric_Nativ'!$D$6:$D$405,('Istoric_Nativ'!$B$6:$B$405=E901)*('Istoric_Nativ'!$C$6:$C$405=F901)*('Istoric_Nativ'!$P$6:$P$405=1)*('Istoric_Nativ'!$D$6:$D$405&lt;J901)*((('Istoric_Nativ'!$E$6:$E$405=G901)+('Istoric_Nativ'!$F$6:$F$405=G901))&gt;0)),MIN('Config_v6'!$B$54,K901)),0)</x:f>
        <x:v>0</x:v>
      </x:c>
      <x:c r="M901" s="2" t="n">
        <x:f>IF(OR(B901="",F901=""),0,IF(H901="HOME",COUNTIFS('Istoric_Nativ'!$B$6:$B$405,E901,'Istoric_Nativ'!$C$6:$C$405,F901,'Istoric_Nativ'!$E$6:$E$405,G901,'Istoric_Nativ'!$D$6:$D$405,"&lt;"&amp;J901,'Istoric_Nativ'!$P$6:$P$405,1,'Istoric_Nativ'!$D$6:$D$405,"&gt;="&amp;L901),IF(H901="AWAY",COUNTIFS('Istoric_Nativ'!$B$6:$B$405,E901,'Istoric_Nativ'!$C$6:$C$405,F901,'Istoric_Nativ'!$F$6:$F$405,G901,'Istoric_Nativ'!$D$6:$D$405,"&lt;"&amp;J901,'Istoric_Nativ'!$P$6:$P$405,1,'Istoric_Nativ'!$D$6:$D$405,"&gt;="&amp;L901),COUNTIFS('Istoric_Nativ'!$B$6:$B$405,E901,'Istoric_Nativ'!$C$6:$C$405,F901,'Istoric_Nativ'!$E$6:$E$405,G901,'Istoric_Nativ'!$D$6:$D$405,"&lt;"&amp;J901,'Istoric_Nativ'!$P$6:$P$405,1,'Istoric_Nativ'!$D$6:$D$405,"&gt;="&amp;L901)+COUNTIFS('Istoric_Nativ'!$B$6:$B$405,E901,'Istoric_Nativ'!$C$6:$C$405,F901,'Istoric_Nativ'!$F$6:$F$405,G901,'Istoric_Nativ'!$D$6:$D$405,"&lt;"&amp;J901,'Istoric_Nativ'!$P$6:$P$405,1,'Istoric_Nativ'!$D$6:$D$405,"&gt;="&amp;L901))))</x:f>
        <x:v>0</x:v>
      </x:c>
      <x:c r="N901" s="11" t="str">
        <x:f>IF(M901=0,"",IF(H901="HOME",SUMIFS('Istoric_Nativ'!$G$6:$G$405,'Istoric_Nativ'!$B$6:$B$405,E901,'Istoric_Nativ'!$C$6:$C$405,F901,'Istoric_Nativ'!$E$6:$E$405,G901,'Istoric_Nativ'!$D$6:$D$405,"&lt;"&amp;J901,'Istoric_Nativ'!$P$6:$P$405,1,'Istoric_Nativ'!$D$6:$D$405,"&gt;="&amp;L901),IF(H901="AWAY",SUMIFS('Istoric_Nativ'!$H$6:$H$405,'Istoric_Nativ'!$B$6:$B$405,E901,'Istoric_Nativ'!$C$6:$C$405,F901,'Istoric_Nativ'!$F$6:$F$405,G901,'Istoric_Nativ'!$D$6:$D$405,"&lt;"&amp;J901,'Istoric_Nativ'!$P$6:$P$405,1,'Istoric_Nativ'!$D$6:$D$405,"&gt;="&amp;L901),SUMIFS('Istoric_Nativ'!$G$6:$G$405,'Istoric_Nativ'!$B$6:$B$405,E901,'Istoric_Nativ'!$C$6:$C$405,F901,'Istoric_Nativ'!$E$6:$E$405,G901,'Istoric_Nativ'!$D$6:$D$405,"&lt;"&amp;J901,'Istoric_Nativ'!$P$6:$P$405,1,'Istoric_Nativ'!$D$6:$D$405,"&gt;="&amp;L901)+SUMIFS('Istoric_Nativ'!$H$6:$H$405,'Istoric_Nativ'!$B$6:$B$405,E901,'Istoric_Nativ'!$C$6:$C$405,F901,'Istoric_Nativ'!$F$6:$F$405,G901,'Istoric_Nativ'!$D$6:$D$405,"&lt;"&amp;J901,'Istoric_Nativ'!$P$6:$P$405,1,'Istoric_Nativ'!$D$6:$D$405,"&gt;="&amp;L901)))/M901)</x:f>
      </x:c>
      <x:c r="O901" s="11" t="str">
        <x:f>IF(M901=0,"",IF(H901="HOME",SUMIFS('Istoric_Nativ'!$H$6:$H$405,'Istoric_Nativ'!$B$6:$B$405,E901,'Istoric_Nativ'!$C$6:$C$405,F901,'Istoric_Nativ'!$E$6:$E$405,G901,'Istoric_Nativ'!$D$6:$D$405,"&lt;"&amp;J901,'Istoric_Nativ'!$P$6:$P$405,1,'Istoric_Nativ'!$D$6:$D$405,"&gt;="&amp;L901),IF(H901="AWAY",SUMIFS('Istoric_Nativ'!$G$6:$G$405,'Istoric_Nativ'!$B$6:$B$405,E901,'Istoric_Nativ'!$C$6:$C$405,F901,'Istoric_Nativ'!$F$6:$F$405,G901,'Istoric_Nativ'!$D$6:$D$405,"&lt;"&amp;J901,'Istoric_Nativ'!$P$6:$P$405,1,'Istoric_Nativ'!$D$6:$D$405,"&gt;="&amp;L901),SUMIFS('Istoric_Nativ'!$H$6:$H$405,'Istoric_Nativ'!$B$6:$B$405,E901,'Istoric_Nativ'!$C$6:$C$405,F901,'Istoric_Nativ'!$E$6:$E$405,G901,'Istoric_Nativ'!$D$6:$D$405,"&lt;"&amp;J901,'Istoric_Nativ'!$P$6:$P$405,1,'Istoric_Nativ'!$D$6:$D$405,"&gt;="&amp;L901)+SUMIFS('Istoric_Nativ'!$G$6:$G$405,'Istoric_Nativ'!$B$6:$B$405,E901,'Istoric_Nativ'!$C$6:$C$405,F901,'Istoric_Nativ'!$F$6:$F$405,G901,'Istoric_Nativ'!$D$6:$D$405,"&lt;"&amp;J901,'Istoric_Nativ'!$P$6:$P$405,1,'Istoric_Nativ'!$D$6:$D$405,"&gt;="&amp;L901)))/M901)</x:f>
      </x:c>
      <x:c r="P901" s="2" t="n">
        <x:f>'Config_v6'!$B$8</x:f>
        <x:v>5</x:v>
      </x:c>
      <x:c r="Q901" s="2" t="n">
        <x:f>IF(OR(B901="",F901=""),0,IFERROR(MATCH(E901&amp;"|"&amp;F901,SourceTable[Source_Key],0),0))</x:f>
        <x:v>0</x:v>
      </x:c>
      <x:c r="R901" s="2" t="str">
        <x:f>IF(B901="","",IF(F901="","UNUSED",IF(Q901=0,"NOT CHECKED",IF(COUNTIF(SourceTable[Source_Key],E901&amp;"|"&amp;F901)&lt;&gt;1,"SOURCE CONFLICT",IF(NOT(OR(INDEX(SourceTable[Status],MAX(1,Q901))="IMPORTED",INDEX(SourceTable[Status],MAX(1,Q901))="PARTIAL",INDEX(SourceTable[Status],MAX(1,Q901))="SOURCE CONFLICT")),"ACCESS BLOCKED",IF(OR(INDEX(SourceTable[Coverage],Q901)&lt;&gt;"FULL SEASON EXPORT",INDEX(SourceTable[URL],Q901)="",INDEX(SourceTable[SHA256],Q901)=""),"EVIDENCE INCOMPLETE",IF(AND('Input_Meci'!H80="LIVE",INDEX(SourceTable[Retrieved_UTC],Q901)&gt;'Input_Meci'!G80),"POST CUTOFF","CLOSED")))))))</x:f>
      </x:c>
      <x:c r="S901" s="2" t="n">
        <x:f>IF(OR(B901="",F901=""),0,COUNTIFS('Istoric_Nativ'!$B$6:$B$405,E901,'Istoric_Nativ'!$C$6:$C$405,F901,'Istoric_Nativ'!$E$6:$E$405,G901,'Istoric_Nativ'!$D$6:$D$405,"&lt;"&amp;J901,'Istoric_Nativ'!$O$6:$O$405,"INVALID")+COUNTIFS('Istoric_Nativ'!$B$6:$B$405,E901,'Istoric_Nativ'!$C$6:$C$405,F901,'Istoric_Nativ'!$E$6:$E$405,G901,'Istoric_Nativ'!$O$6:$O$405,"INVALID",'Istoric_Nativ'!$D$6:$D$405,"*")+COUNTIFS('Istoric_Nativ'!$B$6:$B$405,E901,'Istoric_Nativ'!$C$6:$C$405,F901,'Istoric_Nativ'!$E$6:$E$405,G901,'Istoric_Nativ'!$D$6:$D$405,"&lt;"&amp;J901,'Istoric_Nativ'!$O$6:$O$405,"SOURCE CONFLICT")+COUNTIFS('Istoric_Nativ'!$B$6:$B$405,E901,'Istoric_Nativ'!$C$6:$C$405,F901,'Istoric_Nativ'!$F$6:$F$405,G901,'Istoric_Nativ'!$D$6:$D$405,"&lt;"&amp;J901,'Istoric_Nativ'!$O$6:$O$405,"INVALID")+COUNTIFS('Istoric_Nativ'!$B$6:$B$405,E901,'Istoric_Nativ'!$C$6:$C$405,F901,'Istoric_Nativ'!$F$6:$F$405,G901,'Istoric_Nativ'!$O$6:$O$405,"INVALID",'Istoric_Nativ'!$D$6:$D$405,"*")+COUNTIFS('Istoric_Nativ'!$B$6:$B$405,E901,'Istoric_Nativ'!$C$6:$C$405,F901,'Istoric_Nativ'!$F$6:$F$405,G901,'Istoric_Nativ'!$D$6:$D$405,"&lt;"&amp;J901,'Istoric_Nativ'!$O$6:$O$405,"SOURCE CONFLICT"))</x:f>
        <x:v>0</x:v>
      </x:c>
      <x:c r="T901" s="2" t="str">
        <x:f>IF(B901="","",IF(R901&lt;&gt;"CLOSED",R901,IF(S901&gt;0,"NATIVE INPUT ISSUE",IF(M901=0,"NO HISTORY",IF(M901&lt;P901,"SMALL SAMPLE","DERIVED")))))</x:f>
      </x:c>
      <x:c r="U901" s="2" t="str">
        <x:f>IF(B901="","","NativeTable; "&amp;E901&amp;"; "&amp;F901&amp;"; "&amp;G901&amp;"; "&amp;H901&amp;"; before "&amp;TEXT(J901,"yyyy-mm-dd")&amp;IF(I901="RECENT","; from "&amp;TEXT(L901,"yyyy-mm-dd"),""))</x:f>
      </x:c>
    </x:row>
    <x:row r="902" ht="21" customHeight="1">
      <x:c r="A902" s="2" t="n">
        <x:v>75</x:v>
      </x:c>
      <x:c r="B902" s="2" t="str">
        <x:f>IF('Input_Meci'!A80="","",'Input_Meci'!A80)</x:f>
      </x:c>
      <x:c r="C902" s="2" t="str">
        <x:v>H</x:v>
      </x:c>
      <x:c r="D902" s="2" t="str">
        <x:v>PRIOR</x:v>
      </x:c>
      <x:c r="E902" s="2" t="str">
        <x:f>IF(B902="","",'Input_Meci'!B80)</x:f>
      </x:c>
      <x:c r="F902" s="2" t="str">
        <x:f>IF(B902="","",IF('Input_Meci'!K80="","",'Input_Meci'!K80))</x:f>
      </x:c>
      <x:c r="G902" s="2" t="str">
        <x:f>IF(B902="","",'Input_Meci'!D80)</x:f>
      </x:c>
      <x:c r="H902" s="2" t="str">
        <x:v>ANY</x:v>
      </x:c>
      <x:c r="I902" s="2" t="str">
        <x:v>RECENT</x:v>
      </x:c>
      <x:c r="J902" s="9" t="n">
        <x:f>IF(AND(B902&lt;&gt;"",ISNUMBER('Input_Meci'!G80)),INT('Input_Meci'!G80),0)</x:f>
        <x:v>0</x:v>
      </x:c>
      <x:c r="K902" s="2" t="n">
        <x:f>IF(OR(B902="",F902=""),0,IF(H902="HOME",COUNTIFS('Istoric_Nativ'!$B$6:$B$405,E902,'Istoric_Nativ'!$C$6:$C$405,F902,'Istoric_Nativ'!$E$6:$E$405,G902,'Istoric_Nativ'!$D$6:$D$405,"&lt;"&amp;J902,'Istoric_Nativ'!$P$6:$P$405,1),IF(H902="AWAY",COUNTIFS('Istoric_Nativ'!$B$6:$B$405,E902,'Istoric_Nativ'!$C$6:$C$405,F902,'Istoric_Nativ'!$F$6:$F$405,G902,'Istoric_Nativ'!$D$6:$D$405,"&lt;"&amp;J902,'Istoric_Nativ'!$P$6:$P$405,1),COUNTIFS('Istoric_Nativ'!$B$6:$B$405,E902,'Istoric_Nativ'!$C$6:$C$405,F902,'Istoric_Nativ'!$E$6:$E$405,G902,'Istoric_Nativ'!$D$6:$D$405,"&lt;"&amp;J902,'Istoric_Nativ'!$P$6:$P$405,1)+COUNTIFS('Istoric_Nativ'!$B$6:$B$405,E902,'Istoric_Nativ'!$C$6:$C$405,F902,'Istoric_Nativ'!$F$6:$F$405,G902,'Istoric_Nativ'!$D$6:$D$405,"&lt;"&amp;J902,'Istoric_Nativ'!$P$6:$P$405,1))))</x:f>
        <x:v>0</x:v>
      </x:c>
      <x:c r="L902" s="17" t="n">
        <x:f>IF(AND(B902&lt;&gt;"",I902="RECENT",K902&gt;0),LARGE(_xlfn._xlws.FILTER('Istoric_Nativ'!$D$6:$D$405,('Istoric_Nativ'!$B$6:$B$405=E902)*('Istoric_Nativ'!$C$6:$C$405=F902)*('Istoric_Nativ'!$P$6:$P$405=1)*('Istoric_Nativ'!$D$6:$D$405&lt;J902)*((('Istoric_Nativ'!$E$6:$E$405=G902)+('Istoric_Nativ'!$F$6:$F$405=G902))&gt;0)),MIN('Config_v6'!$B$54,K902)),0)</x:f>
        <x:v>0</x:v>
      </x:c>
      <x:c r="M902" s="2" t="n">
        <x:f>IF(OR(B902="",F902=""),0,IF(H902="HOME",COUNTIFS('Istoric_Nativ'!$B$6:$B$405,E902,'Istoric_Nativ'!$C$6:$C$405,F902,'Istoric_Nativ'!$E$6:$E$405,G902,'Istoric_Nativ'!$D$6:$D$405,"&lt;"&amp;J902,'Istoric_Nativ'!$P$6:$P$405,1,'Istoric_Nativ'!$D$6:$D$405,"&gt;="&amp;L902),IF(H902="AWAY",COUNTIFS('Istoric_Nativ'!$B$6:$B$405,E902,'Istoric_Nativ'!$C$6:$C$405,F902,'Istoric_Nativ'!$F$6:$F$405,G902,'Istoric_Nativ'!$D$6:$D$405,"&lt;"&amp;J902,'Istoric_Nativ'!$P$6:$P$405,1,'Istoric_Nativ'!$D$6:$D$405,"&gt;="&amp;L902),COUNTIFS('Istoric_Nativ'!$B$6:$B$405,E902,'Istoric_Nativ'!$C$6:$C$405,F902,'Istoric_Nativ'!$E$6:$E$405,G902,'Istoric_Nativ'!$D$6:$D$405,"&lt;"&amp;J902,'Istoric_Nativ'!$P$6:$P$405,1,'Istoric_Nativ'!$D$6:$D$405,"&gt;="&amp;L902)+COUNTIFS('Istoric_Nativ'!$B$6:$B$405,E902,'Istoric_Nativ'!$C$6:$C$405,F902,'Istoric_Nativ'!$F$6:$F$405,G902,'Istoric_Nativ'!$D$6:$D$405,"&lt;"&amp;J902,'Istoric_Nativ'!$P$6:$P$405,1,'Istoric_Nativ'!$D$6:$D$405,"&gt;="&amp;L902))))</x:f>
        <x:v>0</x:v>
      </x:c>
      <x:c r="N902" s="11" t="str">
        <x:f>IF(M902=0,"",IF(H902="HOME",SUMIFS('Istoric_Nativ'!$G$6:$G$405,'Istoric_Nativ'!$B$6:$B$405,E902,'Istoric_Nativ'!$C$6:$C$405,F902,'Istoric_Nativ'!$E$6:$E$405,G902,'Istoric_Nativ'!$D$6:$D$405,"&lt;"&amp;J902,'Istoric_Nativ'!$P$6:$P$405,1,'Istoric_Nativ'!$D$6:$D$405,"&gt;="&amp;L902),IF(H902="AWAY",SUMIFS('Istoric_Nativ'!$H$6:$H$405,'Istoric_Nativ'!$B$6:$B$405,E902,'Istoric_Nativ'!$C$6:$C$405,F902,'Istoric_Nativ'!$F$6:$F$405,G902,'Istoric_Nativ'!$D$6:$D$405,"&lt;"&amp;J902,'Istoric_Nativ'!$P$6:$P$405,1,'Istoric_Nativ'!$D$6:$D$405,"&gt;="&amp;L902),SUMIFS('Istoric_Nativ'!$G$6:$G$405,'Istoric_Nativ'!$B$6:$B$405,E902,'Istoric_Nativ'!$C$6:$C$405,F902,'Istoric_Nativ'!$E$6:$E$405,G902,'Istoric_Nativ'!$D$6:$D$405,"&lt;"&amp;J902,'Istoric_Nativ'!$P$6:$P$405,1,'Istoric_Nativ'!$D$6:$D$405,"&gt;="&amp;L902)+SUMIFS('Istoric_Nativ'!$H$6:$H$405,'Istoric_Nativ'!$B$6:$B$405,E902,'Istoric_Nativ'!$C$6:$C$405,F902,'Istoric_Nativ'!$F$6:$F$405,G902,'Istoric_Nativ'!$D$6:$D$405,"&lt;"&amp;J902,'Istoric_Nativ'!$P$6:$P$405,1,'Istoric_Nativ'!$D$6:$D$405,"&gt;="&amp;L902)))/M902)</x:f>
      </x:c>
      <x:c r="O902" s="11" t="str">
        <x:f>IF(M902=0,"",IF(H902="HOME",SUMIFS('Istoric_Nativ'!$H$6:$H$405,'Istoric_Nativ'!$B$6:$B$405,E902,'Istoric_Nativ'!$C$6:$C$405,F902,'Istoric_Nativ'!$E$6:$E$405,G902,'Istoric_Nativ'!$D$6:$D$405,"&lt;"&amp;J902,'Istoric_Nativ'!$P$6:$P$405,1,'Istoric_Nativ'!$D$6:$D$405,"&gt;="&amp;L902),IF(H902="AWAY",SUMIFS('Istoric_Nativ'!$G$6:$G$405,'Istoric_Nativ'!$B$6:$B$405,E902,'Istoric_Nativ'!$C$6:$C$405,F902,'Istoric_Nativ'!$F$6:$F$405,G902,'Istoric_Nativ'!$D$6:$D$405,"&lt;"&amp;J902,'Istoric_Nativ'!$P$6:$P$405,1,'Istoric_Nativ'!$D$6:$D$405,"&gt;="&amp;L902),SUMIFS('Istoric_Nativ'!$H$6:$H$405,'Istoric_Nativ'!$B$6:$B$405,E902,'Istoric_Nativ'!$C$6:$C$405,F902,'Istoric_Nativ'!$E$6:$E$405,G902,'Istoric_Nativ'!$D$6:$D$405,"&lt;"&amp;J902,'Istoric_Nativ'!$P$6:$P$405,1,'Istoric_Nativ'!$D$6:$D$405,"&gt;="&amp;L902)+SUMIFS('Istoric_Nativ'!$G$6:$G$405,'Istoric_Nativ'!$B$6:$B$405,E902,'Istoric_Nativ'!$C$6:$C$405,F902,'Istoric_Nativ'!$F$6:$F$405,G902,'Istoric_Nativ'!$D$6:$D$405,"&lt;"&amp;J902,'Istoric_Nativ'!$P$6:$P$405,1,'Istoric_Nativ'!$D$6:$D$405,"&gt;="&amp;L902)))/M902)</x:f>
      </x:c>
      <x:c r="P902" s="2" t="n">
        <x:f>'Config_v6'!$B$9</x:f>
        <x:v>3</x:v>
      </x:c>
      <x:c r="Q902" s="2" t="n">
        <x:f>IF(OR(B902="",F902=""),0,IFERROR(MATCH(E902&amp;"|"&amp;F902,SourceTable[Source_Key],0),0))</x:f>
        <x:v>0</x:v>
      </x:c>
      <x:c r="R902" s="2" t="str">
        <x:f>IF(B902="","",IF(F902="","UNUSED",IF(Q902=0,"NOT CHECKED",IF(COUNTIF(SourceTable[Source_Key],E902&amp;"|"&amp;F902)&lt;&gt;1,"SOURCE CONFLICT",IF(NOT(OR(INDEX(SourceTable[Status],MAX(1,Q902))="IMPORTED",INDEX(SourceTable[Status],MAX(1,Q902))="PARTIAL",INDEX(SourceTable[Status],MAX(1,Q902))="SOURCE CONFLICT")),"ACCESS BLOCKED",IF(OR(INDEX(SourceTable[Coverage],Q902)&lt;&gt;"FULL SEASON EXPORT",INDEX(SourceTable[URL],Q902)="",INDEX(SourceTable[SHA256],Q902)=""),"EVIDENCE INCOMPLETE",IF(AND('Input_Meci'!H80="LIVE",INDEX(SourceTable[Retrieved_UTC],Q902)&gt;'Input_Meci'!G80),"POST CUTOFF","CLOSED")))))))</x:f>
      </x:c>
      <x:c r="S902" s="2" t="n">
        <x:f>IF(OR(B902="",F902=""),0,COUNTIFS('Istoric_Nativ'!$B$6:$B$405,E902,'Istoric_Nativ'!$C$6:$C$405,F902,'Istoric_Nativ'!$E$6:$E$405,G902,'Istoric_Nativ'!$D$6:$D$405,"&lt;"&amp;J902,'Istoric_Nativ'!$O$6:$O$405,"INVALID")+COUNTIFS('Istoric_Nativ'!$B$6:$B$405,E902,'Istoric_Nativ'!$C$6:$C$405,F902,'Istoric_Nativ'!$E$6:$E$405,G902,'Istoric_Nativ'!$O$6:$O$405,"INVALID",'Istoric_Nativ'!$D$6:$D$405,"*")+COUNTIFS('Istoric_Nativ'!$B$6:$B$405,E902,'Istoric_Nativ'!$C$6:$C$405,F902,'Istoric_Nativ'!$E$6:$E$405,G902,'Istoric_Nativ'!$D$6:$D$405,"&lt;"&amp;J902,'Istoric_Nativ'!$O$6:$O$405,"SOURCE CONFLICT")+COUNTIFS('Istoric_Nativ'!$B$6:$B$405,E902,'Istoric_Nativ'!$C$6:$C$405,F902,'Istoric_Nativ'!$F$6:$F$405,G902,'Istoric_Nativ'!$D$6:$D$405,"&lt;"&amp;J902,'Istoric_Nativ'!$O$6:$O$405,"INVALID")+COUNTIFS('Istoric_Nativ'!$B$6:$B$405,E902,'Istoric_Nativ'!$C$6:$C$405,F902,'Istoric_Nativ'!$F$6:$F$405,G902,'Istoric_Nativ'!$O$6:$O$405,"INVALID",'Istoric_Nativ'!$D$6:$D$405,"*")+COUNTIFS('Istoric_Nativ'!$B$6:$B$405,E902,'Istoric_Nativ'!$C$6:$C$405,F902,'Istoric_Nativ'!$F$6:$F$405,G902,'Istoric_Nativ'!$D$6:$D$405,"&lt;"&amp;J902,'Istoric_Nativ'!$O$6:$O$405,"SOURCE CONFLICT"))</x:f>
        <x:v>0</x:v>
      </x:c>
      <x:c r="T902" s="2" t="str">
        <x:f>IF(B902="","",IF(R902&lt;&gt;"CLOSED",R902,IF(S902&gt;0,"NATIVE INPUT ISSUE",IF(M902=0,"NO HISTORY",IF(M902&lt;P902,"SMALL SAMPLE","DERIVED")))))</x:f>
      </x:c>
      <x:c r="U902" s="2" t="str">
        <x:f>IF(B902="","","NativeTable; "&amp;E902&amp;"; "&amp;F902&amp;"; "&amp;G902&amp;"; "&amp;H902&amp;"; before "&amp;TEXT(J902,"yyyy-mm-dd")&amp;IF(I902="RECENT","; from "&amp;TEXT(L902,"yyyy-mm-dd"),""))</x:f>
      </x:c>
    </x:row>
    <x:row r="903" ht="21" customHeight="1">
      <x:c r="A903" s="2" t="n">
        <x:v>75</x:v>
      </x:c>
      <x:c r="B903" s="2" t="str">
        <x:f>IF('Input_Meci'!A80="","",'Input_Meci'!A80)</x:f>
      </x:c>
      <x:c r="C903" s="2" t="str">
        <x:v>A</x:v>
      </x:c>
      <x:c r="D903" s="2" t="str">
        <x:v>PRIOR</x:v>
      </x:c>
      <x:c r="E903" s="2" t="str">
        <x:f>IF(B903="","",'Input_Meci'!B80)</x:f>
      </x:c>
      <x:c r="F903" s="2" t="str">
        <x:f>IF(B903="","",IF('Input_Meci'!K80="","",'Input_Meci'!K80))</x:f>
      </x:c>
      <x:c r="G903" s="2" t="str">
        <x:f>IF(B903="","",'Input_Meci'!E80)</x:f>
      </x:c>
      <x:c r="H903" s="2" t="str">
        <x:v>ANY</x:v>
      </x:c>
      <x:c r="I903" s="2" t="str">
        <x:v>SEASON</x:v>
      </x:c>
      <x:c r="J903" s="9" t="n">
        <x:f>IF(AND(B903&lt;&gt;"",ISNUMBER('Input_Meci'!G80)),INT('Input_Meci'!G80),0)</x:f>
        <x:v>0</x:v>
      </x:c>
      <x:c r="K903" s="2" t="n">
        <x:f>IF(OR(B903="",F903=""),0,IF(H903="HOME",COUNTIFS('Istoric_Nativ'!$B$6:$B$405,E903,'Istoric_Nativ'!$C$6:$C$405,F903,'Istoric_Nativ'!$E$6:$E$405,G903,'Istoric_Nativ'!$D$6:$D$405,"&lt;"&amp;J903,'Istoric_Nativ'!$P$6:$P$405,1),IF(H903="AWAY",COUNTIFS('Istoric_Nativ'!$B$6:$B$405,E903,'Istoric_Nativ'!$C$6:$C$405,F903,'Istoric_Nativ'!$F$6:$F$405,G903,'Istoric_Nativ'!$D$6:$D$405,"&lt;"&amp;J903,'Istoric_Nativ'!$P$6:$P$405,1),COUNTIFS('Istoric_Nativ'!$B$6:$B$405,E903,'Istoric_Nativ'!$C$6:$C$405,F903,'Istoric_Nativ'!$E$6:$E$405,G903,'Istoric_Nativ'!$D$6:$D$405,"&lt;"&amp;J903,'Istoric_Nativ'!$P$6:$P$405,1)+COUNTIFS('Istoric_Nativ'!$B$6:$B$405,E903,'Istoric_Nativ'!$C$6:$C$405,F903,'Istoric_Nativ'!$F$6:$F$405,G903,'Istoric_Nativ'!$D$6:$D$405,"&lt;"&amp;J903,'Istoric_Nativ'!$P$6:$P$405,1))))</x:f>
        <x:v>0</x:v>
      </x:c>
      <x:c r="L903" s="17" t="n">
        <x:f>IF(AND(B903&lt;&gt;"",I903="RECENT",K903&gt;0),LARGE(_xlfn._xlws.FILTER('Istoric_Nativ'!$D$6:$D$405,('Istoric_Nativ'!$B$6:$B$405=E903)*('Istoric_Nativ'!$C$6:$C$405=F903)*('Istoric_Nativ'!$P$6:$P$405=1)*('Istoric_Nativ'!$D$6:$D$405&lt;J903)*((('Istoric_Nativ'!$E$6:$E$405=G903)+('Istoric_Nativ'!$F$6:$F$405=G903))&gt;0)),MIN('Config_v6'!$B$54,K903)),0)</x:f>
        <x:v>0</x:v>
      </x:c>
      <x:c r="M903" s="2" t="n">
        <x:f>IF(OR(B903="",F903=""),0,IF(H903="HOME",COUNTIFS('Istoric_Nativ'!$B$6:$B$405,E903,'Istoric_Nativ'!$C$6:$C$405,F903,'Istoric_Nativ'!$E$6:$E$405,G903,'Istoric_Nativ'!$D$6:$D$405,"&lt;"&amp;J903,'Istoric_Nativ'!$P$6:$P$405,1,'Istoric_Nativ'!$D$6:$D$405,"&gt;="&amp;L903),IF(H903="AWAY",COUNTIFS('Istoric_Nativ'!$B$6:$B$405,E903,'Istoric_Nativ'!$C$6:$C$405,F903,'Istoric_Nativ'!$F$6:$F$405,G903,'Istoric_Nativ'!$D$6:$D$405,"&lt;"&amp;J903,'Istoric_Nativ'!$P$6:$P$405,1,'Istoric_Nativ'!$D$6:$D$405,"&gt;="&amp;L903),COUNTIFS('Istoric_Nativ'!$B$6:$B$405,E903,'Istoric_Nativ'!$C$6:$C$405,F903,'Istoric_Nativ'!$E$6:$E$405,G903,'Istoric_Nativ'!$D$6:$D$405,"&lt;"&amp;J903,'Istoric_Nativ'!$P$6:$P$405,1,'Istoric_Nativ'!$D$6:$D$405,"&gt;="&amp;L903)+COUNTIFS('Istoric_Nativ'!$B$6:$B$405,E903,'Istoric_Nativ'!$C$6:$C$405,F903,'Istoric_Nativ'!$F$6:$F$405,G903,'Istoric_Nativ'!$D$6:$D$405,"&lt;"&amp;J903,'Istoric_Nativ'!$P$6:$P$405,1,'Istoric_Nativ'!$D$6:$D$405,"&gt;="&amp;L903))))</x:f>
        <x:v>0</x:v>
      </x:c>
      <x:c r="N903" s="11" t="str">
        <x:f>IF(M903=0,"",IF(H903="HOME",SUMIFS('Istoric_Nativ'!$G$6:$G$405,'Istoric_Nativ'!$B$6:$B$405,E903,'Istoric_Nativ'!$C$6:$C$405,F903,'Istoric_Nativ'!$E$6:$E$405,G903,'Istoric_Nativ'!$D$6:$D$405,"&lt;"&amp;J903,'Istoric_Nativ'!$P$6:$P$405,1,'Istoric_Nativ'!$D$6:$D$405,"&gt;="&amp;L903),IF(H903="AWAY",SUMIFS('Istoric_Nativ'!$H$6:$H$405,'Istoric_Nativ'!$B$6:$B$405,E903,'Istoric_Nativ'!$C$6:$C$405,F903,'Istoric_Nativ'!$F$6:$F$405,G903,'Istoric_Nativ'!$D$6:$D$405,"&lt;"&amp;J903,'Istoric_Nativ'!$P$6:$P$405,1,'Istoric_Nativ'!$D$6:$D$405,"&gt;="&amp;L903),SUMIFS('Istoric_Nativ'!$G$6:$G$405,'Istoric_Nativ'!$B$6:$B$405,E903,'Istoric_Nativ'!$C$6:$C$405,F903,'Istoric_Nativ'!$E$6:$E$405,G903,'Istoric_Nativ'!$D$6:$D$405,"&lt;"&amp;J903,'Istoric_Nativ'!$P$6:$P$405,1,'Istoric_Nativ'!$D$6:$D$405,"&gt;="&amp;L903)+SUMIFS('Istoric_Nativ'!$H$6:$H$405,'Istoric_Nativ'!$B$6:$B$405,E903,'Istoric_Nativ'!$C$6:$C$405,F903,'Istoric_Nativ'!$F$6:$F$405,G903,'Istoric_Nativ'!$D$6:$D$405,"&lt;"&amp;J903,'Istoric_Nativ'!$P$6:$P$405,1,'Istoric_Nativ'!$D$6:$D$405,"&gt;="&amp;L903)))/M903)</x:f>
      </x:c>
      <x:c r="O903" s="11" t="str">
        <x:f>IF(M903=0,"",IF(H903="HOME",SUMIFS('Istoric_Nativ'!$H$6:$H$405,'Istoric_Nativ'!$B$6:$B$405,E903,'Istoric_Nativ'!$C$6:$C$405,F903,'Istoric_Nativ'!$E$6:$E$405,G903,'Istoric_Nativ'!$D$6:$D$405,"&lt;"&amp;J903,'Istoric_Nativ'!$P$6:$P$405,1,'Istoric_Nativ'!$D$6:$D$405,"&gt;="&amp;L903),IF(H903="AWAY",SUMIFS('Istoric_Nativ'!$G$6:$G$405,'Istoric_Nativ'!$B$6:$B$405,E903,'Istoric_Nativ'!$C$6:$C$405,F903,'Istoric_Nativ'!$F$6:$F$405,G903,'Istoric_Nativ'!$D$6:$D$405,"&lt;"&amp;J903,'Istoric_Nativ'!$P$6:$P$405,1,'Istoric_Nativ'!$D$6:$D$405,"&gt;="&amp;L903),SUMIFS('Istoric_Nativ'!$H$6:$H$405,'Istoric_Nativ'!$B$6:$B$405,E903,'Istoric_Nativ'!$C$6:$C$405,F903,'Istoric_Nativ'!$E$6:$E$405,G903,'Istoric_Nativ'!$D$6:$D$405,"&lt;"&amp;J903,'Istoric_Nativ'!$P$6:$P$405,1,'Istoric_Nativ'!$D$6:$D$405,"&gt;="&amp;L903)+SUMIFS('Istoric_Nativ'!$G$6:$G$405,'Istoric_Nativ'!$B$6:$B$405,E903,'Istoric_Nativ'!$C$6:$C$405,F903,'Istoric_Nativ'!$F$6:$F$405,G903,'Istoric_Nativ'!$D$6:$D$405,"&lt;"&amp;J903,'Istoric_Nativ'!$P$6:$P$405,1,'Istoric_Nativ'!$D$6:$D$405,"&gt;="&amp;L903)))/M903)</x:f>
      </x:c>
      <x:c r="P903" s="2" t="n">
        <x:f>'Config_v6'!$B$7</x:f>
        <x:v>10</x:v>
      </x:c>
      <x:c r="Q903" s="2" t="n">
        <x:f>IF(OR(B903="",F903=""),0,IFERROR(MATCH(E903&amp;"|"&amp;F903,SourceTable[Source_Key],0),0))</x:f>
        <x:v>0</x:v>
      </x:c>
      <x:c r="R903" s="2" t="str">
        <x:f>IF(B903="","",IF(F903="","UNUSED",IF(Q903=0,"NOT CHECKED",IF(COUNTIF(SourceTable[Source_Key],E903&amp;"|"&amp;F903)&lt;&gt;1,"SOURCE CONFLICT",IF(NOT(OR(INDEX(SourceTable[Status],MAX(1,Q903))="IMPORTED",INDEX(SourceTable[Status],MAX(1,Q903))="PARTIAL",INDEX(SourceTable[Status],MAX(1,Q903))="SOURCE CONFLICT")),"ACCESS BLOCKED",IF(OR(INDEX(SourceTable[Coverage],Q903)&lt;&gt;"FULL SEASON EXPORT",INDEX(SourceTable[URL],Q903)="",INDEX(SourceTable[SHA256],Q903)=""),"EVIDENCE INCOMPLETE",IF(AND('Input_Meci'!H80="LIVE",INDEX(SourceTable[Retrieved_UTC],Q903)&gt;'Input_Meci'!G80),"POST CUTOFF","CLOSED")))))))</x:f>
      </x:c>
      <x:c r="S903" s="2" t="n">
        <x:f>IF(OR(B903="",F903=""),0,COUNTIFS('Istoric_Nativ'!$B$6:$B$405,E903,'Istoric_Nativ'!$C$6:$C$405,F903,'Istoric_Nativ'!$E$6:$E$405,G903,'Istoric_Nativ'!$D$6:$D$405,"&lt;"&amp;J903,'Istoric_Nativ'!$O$6:$O$405,"INVALID")+COUNTIFS('Istoric_Nativ'!$B$6:$B$405,E903,'Istoric_Nativ'!$C$6:$C$405,F903,'Istoric_Nativ'!$E$6:$E$405,G903,'Istoric_Nativ'!$O$6:$O$405,"INVALID",'Istoric_Nativ'!$D$6:$D$405,"*")+COUNTIFS('Istoric_Nativ'!$B$6:$B$405,E903,'Istoric_Nativ'!$C$6:$C$405,F903,'Istoric_Nativ'!$E$6:$E$405,G903,'Istoric_Nativ'!$D$6:$D$405,"&lt;"&amp;J903,'Istoric_Nativ'!$O$6:$O$405,"SOURCE CONFLICT")+COUNTIFS('Istoric_Nativ'!$B$6:$B$405,E903,'Istoric_Nativ'!$C$6:$C$405,F903,'Istoric_Nativ'!$F$6:$F$405,G903,'Istoric_Nativ'!$D$6:$D$405,"&lt;"&amp;J903,'Istoric_Nativ'!$O$6:$O$405,"INVALID")+COUNTIFS('Istoric_Nativ'!$B$6:$B$405,E903,'Istoric_Nativ'!$C$6:$C$405,F903,'Istoric_Nativ'!$F$6:$F$405,G903,'Istoric_Nativ'!$O$6:$O$405,"INVALID",'Istoric_Nativ'!$D$6:$D$405,"*")+COUNTIFS('Istoric_Nativ'!$B$6:$B$405,E903,'Istoric_Nativ'!$C$6:$C$405,F903,'Istoric_Nativ'!$F$6:$F$405,G903,'Istoric_Nativ'!$D$6:$D$405,"&lt;"&amp;J903,'Istoric_Nativ'!$O$6:$O$405,"SOURCE CONFLICT"))</x:f>
        <x:v>0</x:v>
      </x:c>
      <x:c r="T903" s="2" t="str">
        <x:f>IF(B903="","",IF(R903&lt;&gt;"CLOSED",R903,IF(S903&gt;0,"NATIVE INPUT ISSUE",IF(M903=0,"NO HISTORY",IF(M903&lt;P903,"SMALL SAMPLE","DERIVED")))))</x:f>
      </x:c>
      <x:c r="U903" s="2" t="str">
        <x:f>IF(B903="","","NativeTable; "&amp;E903&amp;"; "&amp;F903&amp;"; "&amp;G903&amp;"; "&amp;H903&amp;"; before "&amp;TEXT(J903,"yyyy-mm-dd")&amp;IF(I903="RECENT","; from "&amp;TEXT(L903,"yyyy-mm-dd"),""))</x:f>
      </x:c>
    </x:row>
    <x:row r="904" ht="21" customHeight="1">
      <x:c r="A904" s="2" t="n">
        <x:v>75</x:v>
      </x:c>
      <x:c r="B904" s="2" t="str">
        <x:f>IF('Input_Meci'!A80="","",'Input_Meci'!A80)</x:f>
      </x:c>
      <x:c r="C904" s="2" t="str">
        <x:v>A</x:v>
      </x:c>
      <x:c r="D904" s="2" t="str">
        <x:v>PRIOR</x:v>
      </x:c>
      <x:c r="E904" s="2" t="str">
        <x:f>IF(B904="","",'Input_Meci'!B80)</x:f>
      </x:c>
      <x:c r="F904" s="2" t="str">
        <x:f>IF(B904="","",IF('Input_Meci'!K80="","",'Input_Meci'!K80))</x:f>
      </x:c>
      <x:c r="G904" s="2" t="str">
        <x:f>IF(B904="","",'Input_Meci'!E80)</x:f>
      </x:c>
      <x:c r="H904" s="2" t="str">
        <x:v>AWAY</x:v>
      </x:c>
      <x:c r="I904" s="2" t="str">
        <x:v>HA</x:v>
      </x:c>
      <x:c r="J904" s="9" t="n">
        <x:f>IF(AND(B904&lt;&gt;"",ISNUMBER('Input_Meci'!G80)),INT('Input_Meci'!G80),0)</x:f>
        <x:v>0</x:v>
      </x:c>
      <x:c r="K904" s="2" t="n">
        <x:f>IF(OR(B904="",F904=""),0,IF(H904="HOME",COUNTIFS('Istoric_Nativ'!$B$6:$B$405,E904,'Istoric_Nativ'!$C$6:$C$405,F904,'Istoric_Nativ'!$E$6:$E$405,G904,'Istoric_Nativ'!$D$6:$D$405,"&lt;"&amp;J904,'Istoric_Nativ'!$P$6:$P$405,1),IF(H904="AWAY",COUNTIFS('Istoric_Nativ'!$B$6:$B$405,E904,'Istoric_Nativ'!$C$6:$C$405,F904,'Istoric_Nativ'!$F$6:$F$405,G904,'Istoric_Nativ'!$D$6:$D$405,"&lt;"&amp;J904,'Istoric_Nativ'!$P$6:$P$405,1),COUNTIFS('Istoric_Nativ'!$B$6:$B$405,E904,'Istoric_Nativ'!$C$6:$C$405,F904,'Istoric_Nativ'!$E$6:$E$405,G904,'Istoric_Nativ'!$D$6:$D$405,"&lt;"&amp;J904,'Istoric_Nativ'!$P$6:$P$405,1)+COUNTIFS('Istoric_Nativ'!$B$6:$B$405,E904,'Istoric_Nativ'!$C$6:$C$405,F904,'Istoric_Nativ'!$F$6:$F$405,G904,'Istoric_Nativ'!$D$6:$D$405,"&lt;"&amp;J904,'Istoric_Nativ'!$P$6:$P$405,1))))</x:f>
        <x:v>0</x:v>
      </x:c>
      <x:c r="L904" s="17" t="n">
        <x:f>IF(AND(B904&lt;&gt;"",I904="RECENT",K904&gt;0),LARGE(_xlfn._xlws.FILTER('Istoric_Nativ'!$D$6:$D$405,('Istoric_Nativ'!$B$6:$B$405=E904)*('Istoric_Nativ'!$C$6:$C$405=F904)*('Istoric_Nativ'!$P$6:$P$405=1)*('Istoric_Nativ'!$D$6:$D$405&lt;J904)*((('Istoric_Nativ'!$E$6:$E$405=G904)+('Istoric_Nativ'!$F$6:$F$405=G904))&gt;0)),MIN('Config_v6'!$B$54,K904)),0)</x:f>
        <x:v>0</x:v>
      </x:c>
      <x:c r="M904" s="2" t="n">
        <x:f>IF(OR(B904="",F904=""),0,IF(H904="HOME",COUNTIFS('Istoric_Nativ'!$B$6:$B$405,E904,'Istoric_Nativ'!$C$6:$C$405,F904,'Istoric_Nativ'!$E$6:$E$405,G904,'Istoric_Nativ'!$D$6:$D$405,"&lt;"&amp;J904,'Istoric_Nativ'!$P$6:$P$405,1,'Istoric_Nativ'!$D$6:$D$405,"&gt;="&amp;L904),IF(H904="AWAY",COUNTIFS('Istoric_Nativ'!$B$6:$B$405,E904,'Istoric_Nativ'!$C$6:$C$405,F904,'Istoric_Nativ'!$F$6:$F$405,G904,'Istoric_Nativ'!$D$6:$D$405,"&lt;"&amp;J904,'Istoric_Nativ'!$P$6:$P$405,1,'Istoric_Nativ'!$D$6:$D$405,"&gt;="&amp;L904),COUNTIFS('Istoric_Nativ'!$B$6:$B$405,E904,'Istoric_Nativ'!$C$6:$C$405,F904,'Istoric_Nativ'!$E$6:$E$405,G904,'Istoric_Nativ'!$D$6:$D$405,"&lt;"&amp;J904,'Istoric_Nativ'!$P$6:$P$405,1,'Istoric_Nativ'!$D$6:$D$405,"&gt;="&amp;L904)+COUNTIFS('Istoric_Nativ'!$B$6:$B$405,E904,'Istoric_Nativ'!$C$6:$C$405,F904,'Istoric_Nativ'!$F$6:$F$405,G904,'Istoric_Nativ'!$D$6:$D$405,"&lt;"&amp;J904,'Istoric_Nativ'!$P$6:$P$405,1,'Istoric_Nativ'!$D$6:$D$405,"&gt;="&amp;L904))))</x:f>
        <x:v>0</x:v>
      </x:c>
      <x:c r="N904" s="11" t="str">
        <x:f>IF(M904=0,"",IF(H904="HOME",SUMIFS('Istoric_Nativ'!$G$6:$G$405,'Istoric_Nativ'!$B$6:$B$405,E904,'Istoric_Nativ'!$C$6:$C$405,F904,'Istoric_Nativ'!$E$6:$E$405,G904,'Istoric_Nativ'!$D$6:$D$405,"&lt;"&amp;J904,'Istoric_Nativ'!$P$6:$P$405,1,'Istoric_Nativ'!$D$6:$D$405,"&gt;="&amp;L904),IF(H904="AWAY",SUMIFS('Istoric_Nativ'!$H$6:$H$405,'Istoric_Nativ'!$B$6:$B$405,E904,'Istoric_Nativ'!$C$6:$C$405,F904,'Istoric_Nativ'!$F$6:$F$405,G904,'Istoric_Nativ'!$D$6:$D$405,"&lt;"&amp;J904,'Istoric_Nativ'!$P$6:$P$405,1,'Istoric_Nativ'!$D$6:$D$405,"&gt;="&amp;L904),SUMIFS('Istoric_Nativ'!$G$6:$G$405,'Istoric_Nativ'!$B$6:$B$405,E904,'Istoric_Nativ'!$C$6:$C$405,F904,'Istoric_Nativ'!$E$6:$E$405,G904,'Istoric_Nativ'!$D$6:$D$405,"&lt;"&amp;J904,'Istoric_Nativ'!$P$6:$P$405,1,'Istoric_Nativ'!$D$6:$D$405,"&gt;="&amp;L904)+SUMIFS('Istoric_Nativ'!$H$6:$H$405,'Istoric_Nativ'!$B$6:$B$405,E904,'Istoric_Nativ'!$C$6:$C$405,F904,'Istoric_Nativ'!$F$6:$F$405,G904,'Istoric_Nativ'!$D$6:$D$405,"&lt;"&amp;J904,'Istoric_Nativ'!$P$6:$P$405,1,'Istoric_Nativ'!$D$6:$D$405,"&gt;="&amp;L904)))/M904)</x:f>
      </x:c>
      <x:c r="O904" s="11" t="str">
        <x:f>IF(M904=0,"",IF(H904="HOME",SUMIFS('Istoric_Nativ'!$H$6:$H$405,'Istoric_Nativ'!$B$6:$B$405,E904,'Istoric_Nativ'!$C$6:$C$405,F904,'Istoric_Nativ'!$E$6:$E$405,G904,'Istoric_Nativ'!$D$6:$D$405,"&lt;"&amp;J904,'Istoric_Nativ'!$P$6:$P$405,1,'Istoric_Nativ'!$D$6:$D$405,"&gt;="&amp;L904),IF(H904="AWAY",SUMIFS('Istoric_Nativ'!$G$6:$G$405,'Istoric_Nativ'!$B$6:$B$405,E904,'Istoric_Nativ'!$C$6:$C$405,F904,'Istoric_Nativ'!$F$6:$F$405,G904,'Istoric_Nativ'!$D$6:$D$405,"&lt;"&amp;J904,'Istoric_Nativ'!$P$6:$P$405,1,'Istoric_Nativ'!$D$6:$D$405,"&gt;="&amp;L904),SUMIFS('Istoric_Nativ'!$H$6:$H$405,'Istoric_Nativ'!$B$6:$B$405,E904,'Istoric_Nativ'!$C$6:$C$405,F904,'Istoric_Nativ'!$E$6:$E$405,G904,'Istoric_Nativ'!$D$6:$D$405,"&lt;"&amp;J904,'Istoric_Nativ'!$P$6:$P$405,1,'Istoric_Nativ'!$D$6:$D$405,"&gt;="&amp;L904)+SUMIFS('Istoric_Nativ'!$G$6:$G$405,'Istoric_Nativ'!$B$6:$B$405,E904,'Istoric_Nativ'!$C$6:$C$405,F904,'Istoric_Nativ'!$F$6:$F$405,G904,'Istoric_Nativ'!$D$6:$D$405,"&lt;"&amp;J904,'Istoric_Nativ'!$P$6:$P$405,1,'Istoric_Nativ'!$D$6:$D$405,"&gt;="&amp;L904)))/M904)</x:f>
      </x:c>
      <x:c r="P904" s="2" t="n">
        <x:f>'Config_v6'!$B$8</x:f>
        <x:v>5</x:v>
      </x:c>
      <x:c r="Q904" s="2" t="n">
        <x:f>IF(OR(B904="",F904=""),0,IFERROR(MATCH(E904&amp;"|"&amp;F904,SourceTable[Source_Key],0),0))</x:f>
        <x:v>0</x:v>
      </x:c>
      <x:c r="R904" s="2" t="str">
        <x:f>IF(B904="","",IF(F904="","UNUSED",IF(Q904=0,"NOT CHECKED",IF(COUNTIF(SourceTable[Source_Key],E904&amp;"|"&amp;F904)&lt;&gt;1,"SOURCE CONFLICT",IF(NOT(OR(INDEX(SourceTable[Status],MAX(1,Q904))="IMPORTED",INDEX(SourceTable[Status],MAX(1,Q904))="PARTIAL",INDEX(SourceTable[Status],MAX(1,Q904))="SOURCE CONFLICT")),"ACCESS BLOCKED",IF(OR(INDEX(SourceTable[Coverage],Q904)&lt;&gt;"FULL SEASON EXPORT",INDEX(SourceTable[URL],Q904)="",INDEX(SourceTable[SHA256],Q904)=""),"EVIDENCE INCOMPLETE",IF(AND('Input_Meci'!H80="LIVE",INDEX(SourceTable[Retrieved_UTC],Q904)&gt;'Input_Meci'!G80),"POST CUTOFF","CLOSED")))))))</x:f>
      </x:c>
      <x:c r="S904" s="2" t="n">
        <x:f>IF(OR(B904="",F904=""),0,COUNTIFS('Istoric_Nativ'!$B$6:$B$405,E904,'Istoric_Nativ'!$C$6:$C$405,F904,'Istoric_Nativ'!$E$6:$E$405,G904,'Istoric_Nativ'!$D$6:$D$405,"&lt;"&amp;J904,'Istoric_Nativ'!$O$6:$O$405,"INVALID")+COUNTIFS('Istoric_Nativ'!$B$6:$B$405,E904,'Istoric_Nativ'!$C$6:$C$405,F904,'Istoric_Nativ'!$E$6:$E$405,G904,'Istoric_Nativ'!$O$6:$O$405,"INVALID",'Istoric_Nativ'!$D$6:$D$405,"*")+COUNTIFS('Istoric_Nativ'!$B$6:$B$405,E904,'Istoric_Nativ'!$C$6:$C$405,F904,'Istoric_Nativ'!$E$6:$E$405,G904,'Istoric_Nativ'!$D$6:$D$405,"&lt;"&amp;J904,'Istoric_Nativ'!$O$6:$O$405,"SOURCE CONFLICT")+COUNTIFS('Istoric_Nativ'!$B$6:$B$405,E904,'Istoric_Nativ'!$C$6:$C$405,F904,'Istoric_Nativ'!$F$6:$F$405,G904,'Istoric_Nativ'!$D$6:$D$405,"&lt;"&amp;J904,'Istoric_Nativ'!$O$6:$O$405,"INVALID")+COUNTIFS('Istoric_Nativ'!$B$6:$B$405,E904,'Istoric_Nativ'!$C$6:$C$405,F904,'Istoric_Nativ'!$F$6:$F$405,G904,'Istoric_Nativ'!$O$6:$O$405,"INVALID",'Istoric_Nativ'!$D$6:$D$405,"*")+COUNTIFS('Istoric_Nativ'!$B$6:$B$405,E904,'Istoric_Nativ'!$C$6:$C$405,F904,'Istoric_Nativ'!$F$6:$F$405,G904,'Istoric_Nativ'!$D$6:$D$405,"&lt;"&amp;J904,'Istoric_Nativ'!$O$6:$O$405,"SOURCE CONFLICT"))</x:f>
        <x:v>0</x:v>
      </x:c>
      <x:c r="T904" s="2" t="str">
        <x:f>IF(B904="","",IF(R904&lt;&gt;"CLOSED",R904,IF(S904&gt;0,"NATIVE INPUT ISSUE",IF(M904=0,"NO HISTORY",IF(M904&lt;P904,"SMALL SAMPLE","DERIVED")))))</x:f>
      </x:c>
      <x:c r="U904" s="2" t="str">
        <x:f>IF(B904="","","NativeTable; "&amp;E904&amp;"; "&amp;F904&amp;"; "&amp;G904&amp;"; "&amp;H904&amp;"; before "&amp;TEXT(J904,"yyyy-mm-dd")&amp;IF(I904="RECENT","; from "&amp;TEXT(L904,"yyyy-mm-dd"),""))</x:f>
      </x:c>
    </x:row>
    <x:row r="905" ht="21" customHeight="1">
      <x:c r="A905" s="2" t="n">
        <x:v>75</x:v>
      </x:c>
      <x:c r="B905" s="2" t="str">
        <x:f>IF('Input_Meci'!A80="","",'Input_Meci'!A80)</x:f>
      </x:c>
      <x:c r="C905" s="2" t="str">
        <x:v>A</x:v>
      </x:c>
      <x:c r="D905" s="2" t="str">
        <x:v>PRIOR</x:v>
      </x:c>
      <x:c r="E905" s="2" t="str">
        <x:f>IF(B905="","",'Input_Meci'!B80)</x:f>
      </x:c>
      <x:c r="F905" s="2" t="str">
        <x:f>IF(B905="","",IF('Input_Meci'!K80="","",'Input_Meci'!K80))</x:f>
      </x:c>
      <x:c r="G905" s="2" t="str">
        <x:f>IF(B905="","",'Input_Meci'!E80)</x:f>
      </x:c>
      <x:c r="H905" s="2" t="str">
        <x:v>ANY</x:v>
      </x:c>
      <x:c r="I905" s="2" t="str">
        <x:v>RECENT</x:v>
      </x:c>
      <x:c r="J905" s="9" t="n">
        <x:f>IF(AND(B905&lt;&gt;"",ISNUMBER('Input_Meci'!G80)),INT('Input_Meci'!G80),0)</x:f>
        <x:v>0</x:v>
      </x:c>
      <x:c r="K905" s="2" t="n">
        <x:f>IF(OR(B905="",F905=""),0,IF(H905="HOME",COUNTIFS('Istoric_Nativ'!$B$6:$B$405,E905,'Istoric_Nativ'!$C$6:$C$405,F905,'Istoric_Nativ'!$E$6:$E$405,G905,'Istoric_Nativ'!$D$6:$D$405,"&lt;"&amp;J905,'Istoric_Nativ'!$P$6:$P$405,1),IF(H905="AWAY",COUNTIFS('Istoric_Nativ'!$B$6:$B$405,E905,'Istoric_Nativ'!$C$6:$C$405,F905,'Istoric_Nativ'!$F$6:$F$405,G905,'Istoric_Nativ'!$D$6:$D$405,"&lt;"&amp;J905,'Istoric_Nativ'!$P$6:$P$405,1),COUNTIFS('Istoric_Nativ'!$B$6:$B$405,E905,'Istoric_Nativ'!$C$6:$C$405,F905,'Istoric_Nativ'!$E$6:$E$405,G905,'Istoric_Nativ'!$D$6:$D$405,"&lt;"&amp;J905,'Istoric_Nativ'!$P$6:$P$405,1)+COUNTIFS('Istoric_Nativ'!$B$6:$B$405,E905,'Istoric_Nativ'!$C$6:$C$405,F905,'Istoric_Nativ'!$F$6:$F$405,G905,'Istoric_Nativ'!$D$6:$D$405,"&lt;"&amp;J905,'Istoric_Nativ'!$P$6:$P$405,1))))</x:f>
        <x:v>0</x:v>
      </x:c>
      <x:c r="L905" s="17" t="n">
        <x:f>IF(AND(B905&lt;&gt;"",I905="RECENT",K905&gt;0),LARGE(_xlfn._xlws.FILTER('Istoric_Nativ'!$D$6:$D$405,('Istoric_Nativ'!$B$6:$B$405=E905)*('Istoric_Nativ'!$C$6:$C$405=F905)*('Istoric_Nativ'!$P$6:$P$405=1)*('Istoric_Nativ'!$D$6:$D$405&lt;J905)*((('Istoric_Nativ'!$E$6:$E$405=G905)+('Istoric_Nativ'!$F$6:$F$405=G905))&gt;0)),MIN('Config_v6'!$B$54,K905)),0)</x:f>
        <x:v>0</x:v>
      </x:c>
      <x:c r="M905" s="2" t="n">
        <x:f>IF(OR(B905="",F905=""),0,IF(H905="HOME",COUNTIFS('Istoric_Nativ'!$B$6:$B$405,E905,'Istoric_Nativ'!$C$6:$C$405,F905,'Istoric_Nativ'!$E$6:$E$405,G905,'Istoric_Nativ'!$D$6:$D$405,"&lt;"&amp;J905,'Istoric_Nativ'!$P$6:$P$405,1,'Istoric_Nativ'!$D$6:$D$405,"&gt;="&amp;L905),IF(H905="AWAY",COUNTIFS('Istoric_Nativ'!$B$6:$B$405,E905,'Istoric_Nativ'!$C$6:$C$405,F905,'Istoric_Nativ'!$F$6:$F$405,G905,'Istoric_Nativ'!$D$6:$D$405,"&lt;"&amp;J905,'Istoric_Nativ'!$P$6:$P$405,1,'Istoric_Nativ'!$D$6:$D$405,"&gt;="&amp;L905),COUNTIFS('Istoric_Nativ'!$B$6:$B$405,E905,'Istoric_Nativ'!$C$6:$C$405,F905,'Istoric_Nativ'!$E$6:$E$405,G905,'Istoric_Nativ'!$D$6:$D$405,"&lt;"&amp;J905,'Istoric_Nativ'!$P$6:$P$405,1,'Istoric_Nativ'!$D$6:$D$405,"&gt;="&amp;L905)+COUNTIFS('Istoric_Nativ'!$B$6:$B$405,E905,'Istoric_Nativ'!$C$6:$C$405,F905,'Istoric_Nativ'!$F$6:$F$405,G905,'Istoric_Nativ'!$D$6:$D$405,"&lt;"&amp;J905,'Istoric_Nativ'!$P$6:$P$405,1,'Istoric_Nativ'!$D$6:$D$405,"&gt;="&amp;L905))))</x:f>
        <x:v>0</x:v>
      </x:c>
      <x:c r="N905" s="11" t="str">
        <x:f>IF(M905=0,"",IF(H905="HOME",SUMIFS('Istoric_Nativ'!$G$6:$G$405,'Istoric_Nativ'!$B$6:$B$405,E905,'Istoric_Nativ'!$C$6:$C$405,F905,'Istoric_Nativ'!$E$6:$E$405,G905,'Istoric_Nativ'!$D$6:$D$405,"&lt;"&amp;J905,'Istoric_Nativ'!$P$6:$P$405,1,'Istoric_Nativ'!$D$6:$D$405,"&gt;="&amp;L905),IF(H905="AWAY",SUMIFS('Istoric_Nativ'!$H$6:$H$405,'Istoric_Nativ'!$B$6:$B$405,E905,'Istoric_Nativ'!$C$6:$C$405,F905,'Istoric_Nativ'!$F$6:$F$405,G905,'Istoric_Nativ'!$D$6:$D$405,"&lt;"&amp;J905,'Istoric_Nativ'!$P$6:$P$405,1,'Istoric_Nativ'!$D$6:$D$405,"&gt;="&amp;L905),SUMIFS('Istoric_Nativ'!$G$6:$G$405,'Istoric_Nativ'!$B$6:$B$405,E905,'Istoric_Nativ'!$C$6:$C$405,F905,'Istoric_Nativ'!$E$6:$E$405,G905,'Istoric_Nativ'!$D$6:$D$405,"&lt;"&amp;J905,'Istoric_Nativ'!$P$6:$P$405,1,'Istoric_Nativ'!$D$6:$D$405,"&gt;="&amp;L905)+SUMIFS('Istoric_Nativ'!$H$6:$H$405,'Istoric_Nativ'!$B$6:$B$405,E905,'Istoric_Nativ'!$C$6:$C$405,F905,'Istoric_Nativ'!$F$6:$F$405,G905,'Istoric_Nativ'!$D$6:$D$405,"&lt;"&amp;J905,'Istoric_Nativ'!$P$6:$P$405,1,'Istoric_Nativ'!$D$6:$D$405,"&gt;="&amp;L905)))/M905)</x:f>
      </x:c>
      <x:c r="O905" s="11" t="str">
        <x:f>IF(M905=0,"",IF(H905="HOME",SUMIFS('Istoric_Nativ'!$H$6:$H$405,'Istoric_Nativ'!$B$6:$B$405,E905,'Istoric_Nativ'!$C$6:$C$405,F905,'Istoric_Nativ'!$E$6:$E$405,G905,'Istoric_Nativ'!$D$6:$D$405,"&lt;"&amp;J905,'Istoric_Nativ'!$P$6:$P$405,1,'Istoric_Nativ'!$D$6:$D$405,"&gt;="&amp;L905),IF(H905="AWAY",SUMIFS('Istoric_Nativ'!$G$6:$G$405,'Istoric_Nativ'!$B$6:$B$405,E905,'Istoric_Nativ'!$C$6:$C$405,F905,'Istoric_Nativ'!$F$6:$F$405,G905,'Istoric_Nativ'!$D$6:$D$405,"&lt;"&amp;J905,'Istoric_Nativ'!$P$6:$P$405,1,'Istoric_Nativ'!$D$6:$D$405,"&gt;="&amp;L905),SUMIFS('Istoric_Nativ'!$H$6:$H$405,'Istoric_Nativ'!$B$6:$B$405,E905,'Istoric_Nativ'!$C$6:$C$405,F905,'Istoric_Nativ'!$E$6:$E$405,G905,'Istoric_Nativ'!$D$6:$D$405,"&lt;"&amp;J905,'Istoric_Nativ'!$P$6:$P$405,1,'Istoric_Nativ'!$D$6:$D$405,"&gt;="&amp;L905)+SUMIFS('Istoric_Nativ'!$G$6:$G$405,'Istoric_Nativ'!$B$6:$B$405,E905,'Istoric_Nativ'!$C$6:$C$405,F905,'Istoric_Nativ'!$F$6:$F$405,G905,'Istoric_Nativ'!$D$6:$D$405,"&lt;"&amp;J905,'Istoric_Nativ'!$P$6:$P$405,1,'Istoric_Nativ'!$D$6:$D$405,"&gt;="&amp;L905)))/M905)</x:f>
      </x:c>
      <x:c r="P905" s="2" t="n">
        <x:f>'Config_v6'!$B$9</x:f>
        <x:v>3</x:v>
      </x:c>
      <x:c r="Q905" s="2" t="n">
        <x:f>IF(OR(B905="",F905=""),0,IFERROR(MATCH(E905&amp;"|"&amp;F905,SourceTable[Source_Key],0),0))</x:f>
        <x:v>0</x:v>
      </x:c>
      <x:c r="R905" s="2" t="str">
        <x:f>IF(B905="","",IF(F905="","UNUSED",IF(Q905=0,"NOT CHECKED",IF(COUNTIF(SourceTable[Source_Key],E905&amp;"|"&amp;F905)&lt;&gt;1,"SOURCE CONFLICT",IF(NOT(OR(INDEX(SourceTable[Status],MAX(1,Q905))="IMPORTED",INDEX(SourceTable[Status],MAX(1,Q905))="PARTIAL",INDEX(SourceTable[Status],MAX(1,Q905))="SOURCE CONFLICT")),"ACCESS BLOCKED",IF(OR(INDEX(SourceTable[Coverage],Q905)&lt;&gt;"FULL SEASON EXPORT",INDEX(SourceTable[URL],Q905)="",INDEX(SourceTable[SHA256],Q905)=""),"EVIDENCE INCOMPLETE",IF(AND('Input_Meci'!H80="LIVE",INDEX(SourceTable[Retrieved_UTC],Q905)&gt;'Input_Meci'!G80),"POST CUTOFF","CLOSED")))))))</x:f>
      </x:c>
      <x:c r="S905" s="2" t="n">
        <x:f>IF(OR(B905="",F905=""),0,COUNTIFS('Istoric_Nativ'!$B$6:$B$405,E905,'Istoric_Nativ'!$C$6:$C$405,F905,'Istoric_Nativ'!$E$6:$E$405,G905,'Istoric_Nativ'!$D$6:$D$405,"&lt;"&amp;J905,'Istoric_Nativ'!$O$6:$O$405,"INVALID")+COUNTIFS('Istoric_Nativ'!$B$6:$B$405,E905,'Istoric_Nativ'!$C$6:$C$405,F905,'Istoric_Nativ'!$E$6:$E$405,G905,'Istoric_Nativ'!$O$6:$O$405,"INVALID",'Istoric_Nativ'!$D$6:$D$405,"*")+COUNTIFS('Istoric_Nativ'!$B$6:$B$405,E905,'Istoric_Nativ'!$C$6:$C$405,F905,'Istoric_Nativ'!$E$6:$E$405,G905,'Istoric_Nativ'!$D$6:$D$405,"&lt;"&amp;J905,'Istoric_Nativ'!$O$6:$O$405,"SOURCE CONFLICT")+COUNTIFS('Istoric_Nativ'!$B$6:$B$405,E905,'Istoric_Nativ'!$C$6:$C$405,F905,'Istoric_Nativ'!$F$6:$F$405,G905,'Istoric_Nativ'!$D$6:$D$405,"&lt;"&amp;J905,'Istoric_Nativ'!$O$6:$O$405,"INVALID")+COUNTIFS('Istoric_Nativ'!$B$6:$B$405,E905,'Istoric_Nativ'!$C$6:$C$405,F905,'Istoric_Nativ'!$F$6:$F$405,G905,'Istoric_Nativ'!$O$6:$O$405,"INVALID",'Istoric_Nativ'!$D$6:$D$405,"*")+COUNTIFS('Istoric_Nativ'!$B$6:$B$405,E905,'Istoric_Nativ'!$C$6:$C$405,F905,'Istoric_Nativ'!$F$6:$F$405,G905,'Istoric_Nativ'!$D$6:$D$405,"&lt;"&amp;J905,'Istoric_Nativ'!$O$6:$O$405,"SOURCE CONFLICT"))</x:f>
        <x:v>0</x:v>
      </x:c>
      <x:c r="T905" s="2" t="str">
        <x:f>IF(B905="","",IF(R905&lt;&gt;"CLOSED",R905,IF(S905&gt;0,"NATIVE INPUT ISSUE",IF(M905=0,"NO HISTORY",IF(M905&lt;P905,"SMALL SAMPLE","DERIVED")))))</x:f>
      </x:c>
      <x:c r="U905" s="2" t="str">
        <x:f>IF(B905="","","NativeTable; "&amp;E905&amp;"; "&amp;F905&amp;"; "&amp;G905&amp;"; "&amp;H905&amp;"; before "&amp;TEXT(J905,"yyyy-mm-dd")&amp;IF(I905="RECENT","; from "&amp;TEXT(L905,"yyyy-mm-dd"),""))</x:f>
      </x:c>
    </x:row>
    <x:row r="906" ht="21" customHeight="1">
      <x:c r="A906" s="2" t="n">
        <x:v>76</x:v>
      </x:c>
      <x:c r="B906" s="2" t="str">
        <x:f>IF('Input_Meci'!A81="","",'Input_Meci'!A81)</x:f>
      </x:c>
      <x:c r="C906" s="2" t="str">
        <x:v>H</x:v>
      </x:c>
      <x:c r="D906" s="2" t="str">
        <x:v>CURRENT</x:v>
      </x:c>
      <x:c r="E906" s="2" t="str">
        <x:f>IF(B906="","",'Input_Meci'!B81)</x:f>
      </x:c>
      <x:c r="F906" s="2" t="str">
        <x:f>IF(B906="","",IF('Input_Meci'!C81="","",'Input_Meci'!C81))</x:f>
      </x:c>
      <x:c r="G906" s="2" t="str">
        <x:f>IF(B906="","",'Input_Meci'!D81)</x:f>
      </x:c>
      <x:c r="H906" s="2" t="str">
        <x:v>ANY</x:v>
      </x:c>
      <x:c r="I906" s="2" t="str">
        <x:v>SEASON</x:v>
      </x:c>
      <x:c r="J906" s="9" t="n">
        <x:f>IF(AND(B906&lt;&gt;"",ISNUMBER('Input_Meci'!G81)),INT('Input_Meci'!G81),0)</x:f>
        <x:v>0</x:v>
      </x:c>
      <x:c r="K906" s="2" t="n">
        <x:f>IF(OR(B906="",F906=""),0,IF(H906="HOME",COUNTIFS('Istoric_Nativ'!$B$6:$B$405,E906,'Istoric_Nativ'!$C$6:$C$405,F906,'Istoric_Nativ'!$E$6:$E$405,G906,'Istoric_Nativ'!$D$6:$D$405,"&lt;"&amp;J906,'Istoric_Nativ'!$P$6:$P$405,1),IF(H906="AWAY",COUNTIFS('Istoric_Nativ'!$B$6:$B$405,E906,'Istoric_Nativ'!$C$6:$C$405,F906,'Istoric_Nativ'!$F$6:$F$405,G906,'Istoric_Nativ'!$D$6:$D$405,"&lt;"&amp;J906,'Istoric_Nativ'!$P$6:$P$405,1),COUNTIFS('Istoric_Nativ'!$B$6:$B$405,E906,'Istoric_Nativ'!$C$6:$C$405,F906,'Istoric_Nativ'!$E$6:$E$405,G906,'Istoric_Nativ'!$D$6:$D$405,"&lt;"&amp;J906,'Istoric_Nativ'!$P$6:$P$405,1)+COUNTIFS('Istoric_Nativ'!$B$6:$B$405,E906,'Istoric_Nativ'!$C$6:$C$405,F906,'Istoric_Nativ'!$F$6:$F$405,G906,'Istoric_Nativ'!$D$6:$D$405,"&lt;"&amp;J906,'Istoric_Nativ'!$P$6:$P$405,1))))</x:f>
        <x:v>0</x:v>
      </x:c>
      <x:c r="L906" s="17" t="n">
        <x:f>IF(AND(B906&lt;&gt;"",I906="RECENT",K906&gt;0),LARGE(_xlfn._xlws.FILTER('Istoric_Nativ'!$D$6:$D$405,('Istoric_Nativ'!$B$6:$B$405=E906)*('Istoric_Nativ'!$C$6:$C$405=F906)*('Istoric_Nativ'!$P$6:$P$405=1)*('Istoric_Nativ'!$D$6:$D$405&lt;J906)*((('Istoric_Nativ'!$E$6:$E$405=G906)+('Istoric_Nativ'!$F$6:$F$405=G906))&gt;0)),MIN('Config_v6'!$B$54,K906)),0)</x:f>
        <x:v>0</x:v>
      </x:c>
      <x:c r="M906" s="2" t="n">
        <x:f>IF(OR(B906="",F906=""),0,IF(H906="HOME",COUNTIFS('Istoric_Nativ'!$B$6:$B$405,E906,'Istoric_Nativ'!$C$6:$C$405,F906,'Istoric_Nativ'!$E$6:$E$405,G906,'Istoric_Nativ'!$D$6:$D$405,"&lt;"&amp;J906,'Istoric_Nativ'!$P$6:$P$405,1,'Istoric_Nativ'!$D$6:$D$405,"&gt;="&amp;L906),IF(H906="AWAY",COUNTIFS('Istoric_Nativ'!$B$6:$B$405,E906,'Istoric_Nativ'!$C$6:$C$405,F906,'Istoric_Nativ'!$F$6:$F$405,G906,'Istoric_Nativ'!$D$6:$D$405,"&lt;"&amp;J906,'Istoric_Nativ'!$P$6:$P$405,1,'Istoric_Nativ'!$D$6:$D$405,"&gt;="&amp;L906),COUNTIFS('Istoric_Nativ'!$B$6:$B$405,E906,'Istoric_Nativ'!$C$6:$C$405,F906,'Istoric_Nativ'!$E$6:$E$405,G906,'Istoric_Nativ'!$D$6:$D$405,"&lt;"&amp;J906,'Istoric_Nativ'!$P$6:$P$405,1,'Istoric_Nativ'!$D$6:$D$405,"&gt;="&amp;L906)+COUNTIFS('Istoric_Nativ'!$B$6:$B$405,E906,'Istoric_Nativ'!$C$6:$C$405,F906,'Istoric_Nativ'!$F$6:$F$405,G906,'Istoric_Nativ'!$D$6:$D$405,"&lt;"&amp;J906,'Istoric_Nativ'!$P$6:$P$405,1,'Istoric_Nativ'!$D$6:$D$405,"&gt;="&amp;L906))))</x:f>
        <x:v>0</x:v>
      </x:c>
      <x:c r="N906" s="11" t="str">
        <x:f>IF(M906=0,"",IF(H906="HOME",SUMIFS('Istoric_Nativ'!$G$6:$G$405,'Istoric_Nativ'!$B$6:$B$405,E906,'Istoric_Nativ'!$C$6:$C$405,F906,'Istoric_Nativ'!$E$6:$E$405,G906,'Istoric_Nativ'!$D$6:$D$405,"&lt;"&amp;J906,'Istoric_Nativ'!$P$6:$P$405,1,'Istoric_Nativ'!$D$6:$D$405,"&gt;="&amp;L906),IF(H906="AWAY",SUMIFS('Istoric_Nativ'!$H$6:$H$405,'Istoric_Nativ'!$B$6:$B$405,E906,'Istoric_Nativ'!$C$6:$C$405,F906,'Istoric_Nativ'!$F$6:$F$405,G906,'Istoric_Nativ'!$D$6:$D$405,"&lt;"&amp;J906,'Istoric_Nativ'!$P$6:$P$405,1,'Istoric_Nativ'!$D$6:$D$405,"&gt;="&amp;L906),SUMIFS('Istoric_Nativ'!$G$6:$G$405,'Istoric_Nativ'!$B$6:$B$405,E906,'Istoric_Nativ'!$C$6:$C$405,F906,'Istoric_Nativ'!$E$6:$E$405,G906,'Istoric_Nativ'!$D$6:$D$405,"&lt;"&amp;J906,'Istoric_Nativ'!$P$6:$P$405,1,'Istoric_Nativ'!$D$6:$D$405,"&gt;="&amp;L906)+SUMIFS('Istoric_Nativ'!$H$6:$H$405,'Istoric_Nativ'!$B$6:$B$405,E906,'Istoric_Nativ'!$C$6:$C$405,F906,'Istoric_Nativ'!$F$6:$F$405,G906,'Istoric_Nativ'!$D$6:$D$405,"&lt;"&amp;J906,'Istoric_Nativ'!$P$6:$P$405,1,'Istoric_Nativ'!$D$6:$D$405,"&gt;="&amp;L906)))/M906)</x:f>
      </x:c>
      <x:c r="O906" s="11" t="str">
        <x:f>IF(M906=0,"",IF(H906="HOME",SUMIFS('Istoric_Nativ'!$H$6:$H$405,'Istoric_Nativ'!$B$6:$B$405,E906,'Istoric_Nativ'!$C$6:$C$405,F906,'Istoric_Nativ'!$E$6:$E$405,G906,'Istoric_Nativ'!$D$6:$D$405,"&lt;"&amp;J906,'Istoric_Nativ'!$P$6:$P$405,1,'Istoric_Nativ'!$D$6:$D$405,"&gt;="&amp;L906),IF(H906="AWAY",SUMIFS('Istoric_Nativ'!$G$6:$G$405,'Istoric_Nativ'!$B$6:$B$405,E906,'Istoric_Nativ'!$C$6:$C$405,F906,'Istoric_Nativ'!$F$6:$F$405,G906,'Istoric_Nativ'!$D$6:$D$405,"&lt;"&amp;J906,'Istoric_Nativ'!$P$6:$P$405,1,'Istoric_Nativ'!$D$6:$D$405,"&gt;="&amp;L906),SUMIFS('Istoric_Nativ'!$H$6:$H$405,'Istoric_Nativ'!$B$6:$B$405,E906,'Istoric_Nativ'!$C$6:$C$405,F906,'Istoric_Nativ'!$E$6:$E$405,G906,'Istoric_Nativ'!$D$6:$D$405,"&lt;"&amp;J906,'Istoric_Nativ'!$P$6:$P$405,1,'Istoric_Nativ'!$D$6:$D$405,"&gt;="&amp;L906)+SUMIFS('Istoric_Nativ'!$G$6:$G$405,'Istoric_Nativ'!$B$6:$B$405,E906,'Istoric_Nativ'!$C$6:$C$405,F906,'Istoric_Nativ'!$F$6:$F$405,G906,'Istoric_Nativ'!$D$6:$D$405,"&lt;"&amp;J906,'Istoric_Nativ'!$P$6:$P$405,1,'Istoric_Nativ'!$D$6:$D$405,"&gt;="&amp;L906)))/M906)</x:f>
      </x:c>
      <x:c r="P906" s="2" t="n">
        <x:f>'Config_v6'!$B$7</x:f>
        <x:v>10</x:v>
      </x:c>
      <x:c r="Q906" s="2" t="n">
        <x:f>IF(OR(B906="",F906=""),0,IFERROR(MATCH(E906&amp;"|"&amp;F906,SourceTable[Source_Key],0),0))</x:f>
        <x:v>0</x:v>
      </x:c>
      <x:c r="R906" s="2" t="str">
        <x:f>IF(B906="","",IF(F906="","UNUSED",IF(Q906=0,"NOT CHECKED",IF(COUNTIF(SourceTable[Source_Key],E906&amp;"|"&amp;F906)&lt;&gt;1,"SOURCE CONFLICT",IF(NOT(OR(INDEX(SourceTable[Status],MAX(1,Q906))="IMPORTED",INDEX(SourceTable[Status],MAX(1,Q906))="PARTIAL",INDEX(SourceTable[Status],MAX(1,Q906))="SOURCE CONFLICT")),"ACCESS BLOCKED",IF(OR(INDEX(SourceTable[Coverage],Q906)&lt;&gt;"FULL SEASON EXPORT",INDEX(SourceTable[URL],Q906)="",INDEX(SourceTable[SHA256],Q906)=""),"EVIDENCE INCOMPLETE",IF(AND('Input_Meci'!H81="LIVE",INDEX(SourceTable[Retrieved_UTC],Q906)&gt;'Input_Meci'!G81),"POST CUTOFF","CLOSED")))))))</x:f>
      </x:c>
      <x:c r="S906" s="2" t="n">
        <x:f>IF(OR(B906="",F906=""),0,COUNTIFS('Istoric_Nativ'!$B$6:$B$405,E906,'Istoric_Nativ'!$C$6:$C$405,F906,'Istoric_Nativ'!$E$6:$E$405,G906,'Istoric_Nativ'!$D$6:$D$405,"&lt;"&amp;J906,'Istoric_Nativ'!$O$6:$O$405,"INVALID")+COUNTIFS('Istoric_Nativ'!$B$6:$B$405,E906,'Istoric_Nativ'!$C$6:$C$405,F906,'Istoric_Nativ'!$E$6:$E$405,G906,'Istoric_Nativ'!$O$6:$O$405,"INVALID",'Istoric_Nativ'!$D$6:$D$405,"*")+COUNTIFS('Istoric_Nativ'!$B$6:$B$405,E906,'Istoric_Nativ'!$C$6:$C$405,F906,'Istoric_Nativ'!$E$6:$E$405,G906,'Istoric_Nativ'!$D$6:$D$405,"&lt;"&amp;J906,'Istoric_Nativ'!$O$6:$O$405,"SOURCE CONFLICT")+COUNTIFS('Istoric_Nativ'!$B$6:$B$405,E906,'Istoric_Nativ'!$C$6:$C$405,F906,'Istoric_Nativ'!$F$6:$F$405,G906,'Istoric_Nativ'!$D$6:$D$405,"&lt;"&amp;J906,'Istoric_Nativ'!$O$6:$O$405,"INVALID")+COUNTIFS('Istoric_Nativ'!$B$6:$B$405,E906,'Istoric_Nativ'!$C$6:$C$405,F906,'Istoric_Nativ'!$F$6:$F$405,G906,'Istoric_Nativ'!$O$6:$O$405,"INVALID",'Istoric_Nativ'!$D$6:$D$405,"*")+COUNTIFS('Istoric_Nativ'!$B$6:$B$405,E906,'Istoric_Nativ'!$C$6:$C$405,F906,'Istoric_Nativ'!$F$6:$F$405,G906,'Istoric_Nativ'!$D$6:$D$405,"&lt;"&amp;J906,'Istoric_Nativ'!$O$6:$O$405,"SOURCE CONFLICT"))</x:f>
        <x:v>0</x:v>
      </x:c>
      <x:c r="T906" s="2" t="str">
        <x:f>IF(B906="","",IF(R906&lt;&gt;"CLOSED",R906,IF(S906&gt;0,"NATIVE INPUT ISSUE",IF(M906=0,"NO HISTORY",IF(M906&lt;P906,"SMALL SAMPLE","DERIVED")))))</x:f>
      </x:c>
      <x:c r="U906" s="2" t="str">
        <x:f>IF(B906="","","NativeTable; "&amp;E906&amp;"; "&amp;F906&amp;"; "&amp;G906&amp;"; "&amp;H906&amp;"; before "&amp;TEXT(J906,"yyyy-mm-dd")&amp;IF(I906="RECENT","; from "&amp;TEXT(L906,"yyyy-mm-dd"),""))</x:f>
      </x:c>
    </x:row>
    <x:row r="907" ht="21" customHeight="1">
      <x:c r="A907" s="2" t="n">
        <x:v>76</x:v>
      </x:c>
      <x:c r="B907" s="2" t="str">
        <x:f>IF('Input_Meci'!A81="","",'Input_Meci'!A81)</x:f>
      </x:c>
      <x:c r="C907" s="2" t="str">
        <x:v>H</x:v>
      </x:c>
      <x:c r="D907" s="2" t="str">
        <x:v>CURRENT</x:v>
      </x:c>
      <x:c r="E907" s="2" t="str">
        <x:f>IF(B907="","",'Input_Meci'!B81)</x:f>
      </x:c>
      <x:c r="F907" s="2" t="str">
        <x:f>IF(B907="","",IF('Input_Meci'!C81="","",'Input_Meci'!C81))</x:f>
      </x:c>
      <x:c r="G907" s="2" t="str">
        <x:f>IF(B907="","",'Input_Meci'!D81)</x:f>
      </x:c>
      <x:c r="H907" s="2" t="str">
        <x:v>HOME</x:v>
      </x:c>
      <x:c r="I907" s="2" t="str">
        <x:v>HA</x:v>
      </x:c>
      <x:c r="J907" s="9" t="n">
        <x:f>IF(AND(B907&lt;&gt;"",ISNUMBER('Input_Meci'!G81)),INT('Input_Meci'!G81),0)</x:f>
        <x:v>0</x:v>
      </x:c>
      <x:c r="K907" s="2" t="n">
        <x:f>IF(OR(B907="",F907=""),0,IF(H907="HOME",COUNTIFS('Istoric_Nativ'!$B$6:$B$405,E907,'Istoric_Nativ'!$C$6:$C$405,F907,'Istoric_Nativ'!$E$6:$E$405,G907,'Istoric_Nativ'!$D$6:$D$405,"&lt;"&amp;J907,'Istoric_Nativ'!$P$6:$P$405,1),IF(H907="AWAY",COUNTIFS('Istoric_Nativ'!$B$6:$B$405,E907,'Istoric_Nativ'!$C$6:$C$405,F907,'Istoric_Nativ'!$F$6:$F$405,G907,'Istoric_Nativ'!$D$6:$D$405,"&lt;"&amp;J907,'Istoric_Nativ'!$P$6:$P$405,1),COUNTIFS('Istoric_Nativ'!$B$6:$B$405,E907,'Istoric_Nativ'!$C$6:$C$405,F907,'Istoric_Nativ'!$E$6:$E$405,G907,'Istoric_Nativ'!$D$6:$D$405,"&lt;"&amp;J907,'Istoric_Nativ'!$P$6:$P$405,1)+COUNTIFS('Istoric_Nativ'!$B$6:$B$405,E907,'Istoric_Nativ'!$C$6:$C$405,F907,'Istoric_Nativ'!$F$6:$F$405,G907,'Istoric_Nativ'!$D$6:$D$405,"&lt;"&amp;J907,'Istoric_Nativ'!$P$6:$P$405,1))))</x:f>
        <x:v>0</x:v>
      </x:c>
      <x:c r="L907" s="17" t="n">
        <x:f>IF(AND(B907&lt;&gt;"",I907="RECENT",K907&gt;0),LARGE(_xlfn._xlws.FILTER('Istoric_Nativ'!$D$6:$D$405,('Istoric_Nativ'!$B$6:$B$405=E907)*('Istoric_Nativ'!$C$6:$C$405=F907)*('Istoric_Nativ'!$P$6:$P$405=1)*('Istoric_Nativ'!$D$6:$D$405&lt;J907)*((('Istoric_Nativ'!$E$6:$E$405=G907)+('Istoric_Nativ'!$F$6:$F$405=G907))&gt;0)),MIN('Config_v6'!$B$54,K907)),0)</x:f>
        <x:v>0</x:v>
      </x:c>
      <x:c r="M907" s="2" t="n">
        <x:f>IF(OR(B907="",F907=""),0,IF(H907="HOME",COUNTIFS('Istoric_Nativ'!$B$6:$B$405,E907,'Istoric_Nativ'!$C$6:$C$405,F907,'Istoric_Nativ'!$E$6:$E$405,G907,'Istoric_Nativ'!$D$6:$D$405,"&lt;"&amp;J907,'Istoric_Nativ'!$P$6:$P$405,1,'Istoric_Nativ'!$D$6:$D$405,"&gt;="&amp;L907),IF(H907="AWAY",COUNTIFS('Istoric_Nativ'!$B$6:$B$405,E907,'Istoric_Nativ'!$C$6:$C$405,F907,'Istoric_Nativ'!$F$6:$F$405,G907,'Istoric_Nativ'!$D$6:$D$405,"&lt;"&amp;J907,'Istoric_Nativ'!$P$6:$P$405,1,'Istoric_Nativ'!$D$6:$D$405,"&gt;="&amp;L907),COUNTIFS('Istoric_Nativ'!$B$6:$B$405,E907,'Istoric_Nativ'!$C$6:$C$405,F907,'Istoric_Nativ'!$E$6:$E$405,G907,'Istoric_Nativ'!$D$6:$D$405,"&lt;"&amp;J907,'Istoric_Nativ'!$P$6:$P$405,1,'Istoric_Nativ'!$D$6:$D$405,"&gt;="&amp;L907)+COUNTIFS('Istoric_Nativ'!$B$6:$B$405,E907,'Istoric_Nativ'!$C$6:$C$405,F907,'Istoric_Nativ'!$F$6:$F$405,G907,'Istoric_Nativ'!$D$6:$D$405,"&lt;"&amp;J907,'Istoric_Nativ'!$P$6:$P$405,1,'Istoric_Nativ'!$D$6:$D$405,"&gt;="&amp;L907))))</x:f>
        <x:v>0</x:v>
      </x:c>
      <x:c r="N907" s="11" t="str">
        <x:f>IF(M907=0,"",IF(H907="HOME",SUMIFS('Istoric_Nativ'!$G$6:$G$405,'Istoric_Nativ'!$B$6:$B$405,E907,'Istoric_Nativ'!$C$6:$C$405,F907,'Istoric_Nativ'!$E$6:$E$405,G907,'Istoric_Nativ'!$D$6:$D$405,"&lt;"&amp;J907,'Istoric_Nativ'!$P$6:$P$405,1,'Istoric_Nativ'!$D$6:$D$405,"&gt;="&amp;L907),IF(H907="AWAY",SUMIFS('Istoric_Nativ'!$H$6:$H$405,'Istoric_Nativ'!$B$6:$B$405,E907,'Istoric_Nativ'!$C$6:$C$405,F907,'Istoric_Nativ'!$F$6:$F$405,G907,'Istoric_Nativ'!$D$6:$D$405,"&lt;"&amp;J907,'Istoric_Nativ'!$P$6:$P$405,1,'Istoric_Nativ'!$D$6:$D$405,"&gt;="&amp;L907),SUMIFS('Istoric_Nativ'!$G$6:$G$405,'Istoric_Nativ'!$B$6:$B$405,E907,'Istoric_Nativ'!$C$6:$C$405,F907,'Istoric_Nativ'!$E$6:$E$405,G907,'Istoric_Nativ'!$D$6:$D$405,"&lt;"&amp;J907,'Istoric_Nativ'!$P$6:$P$405,1,'Istoric_Nativ'!$D$6:$D$405,"&gt;="&amp;L907)+SUMIFS('Istoric_Nativ'!$H$6:$H$405,'Istoric_Nativ'!$B$6:$B$405,E907,'Istoric_Nativ'!$C$6:$C$405,F907,'Istoric_Nativ'!$F$6:$F$405,G907,'Istoric_Nativ'!$D$6:$D$405,"&lt;"&amp;J907,'Istoric_Nativ'!$P$6:$P$405,1,'Istoric_Nativ'!$D$6:$D$405,"&gt;="&amp;L907)))/M907)</x:f>
      </x:c>
      <x:c r="O907" s="11" t="str">
        <x:f>IF(M907=0,"",IF(H907="HOME",SUMIFS('Istoric_Nativ'!$H$6:$H$405,'Istoric_Nativ'!$B$6:$B$405,E907,'Istoric_Nativ'!$C$6:$C$405,F907,'Istoric_Nativ'!$E$6:$E$405,G907,'Istoric_Nativ'!$D$6:$D$405,"&lt;"&amp;J907,'Istoric_Nativ'!$P$6:$P$405,1,'Istoric_Nativ'!$D$6:$D$405,"&gt;="&amp;L907),IF(H907="AWAY",SUMIFS('Istoric_Nativ'!$G$6:$G$405,'Istoric_Nativ'!$B$6:$B$405,E907,'Istoric_Nativ'!$C$6:$C$405,F907,'Istoric_Nativ'!$F$6:$F$405,G907,'Istoric_Nativ'!$D$6:$D$405,"&lt;"&amp;J907,'Istoric_Nativ'!$P$6:$P$405,1,'Istoric_Nativ'!$D$6:$D$405,"&gt;="&amp;L907),SUMIFS('Istoric_Nativ'!$H$6:$H$405,'Istoric_Nativ'!$B$6:$B$405,E907,'Istoric_Nativ'!$C$6:$C$405,F907,'Istoric_Nativ'!$E$6:$E$405,G907,'Istoric_Nativ'!$D$6:$D$405,"&lt;"&amp;J907,'Istoric_Nativ'!$P$6:$P$405,1,'Istoric_Nativ'!$D$6:$D$405,"&gt;="&amp;L907)+SUMIFS('Istoric_Nativ'!$G$6:$G$405,'Istoric_Nativ'!$B$6:$B$405,E907,'Istoric_Nativ'!$C$6:$C$405,F907,'Istoric_Nativ'!$F$6:$F$405,G907,'Istoric_Nativ'!$D$6:$D$405,"&lt;"&amp;J907,'Istoric_Nativ'!$P$6:$P$405,1,'Istoric_Nativ'!$D$6:$D$405,"&gt;="&amp;L907)))/M907)</x:f>
      </x:c>
      <x:c r="P907" s="2" t="n">
        <x:f>'Config_v6'!$B$8</x:f>
        <x:v>5</x:v>
      </x:c>
      <x:c r="Q907" s="2" t="n">
        <x:f>IF(OR(B907="",F907=""),0,IFERROR(MATCH(E907&amp;"|"&amp;F907,SourceTable[Source_Key],0),0))</x:f>
        <x:v>0</x:v>
      </x:c>
      <x:c r="R907" s="2" t="str">
        <x:f>IF(B907="","",IF(F907="","UNUSED",IF(Q907=0,"NOT CHECKED",IF(COUNTIF(SourceTable[Source_Key],E907&amp;"|"&amp;F907)&lt;&gt;1,"SOURCE CONFLICT",IF(NOT(OR(INDEX(SourceTable[Status],MAX(1,Q907))="IMPORTED",INDEX(SourceTable[Status],MAX(1,Q907))="PARTIAL",INDEX(SourceTable[Status],MAX(1,Q907))="SOURCE CONFLICT")),"ACCESS BLOCKED",IF(OR(INDEX(SourceTable[Coverage],Q907)&lt;&gt;"FULL SEASON EXPORT",INDEX(SourceTable[URL],Q907)="",INDEX(SourceTable[SHA256],Q907)=""),"EVIDENCE INCOMPLETE",IF(AND('Input_Meci'!H81="LIVE",INDEX(SourceTable[Retrieved_UTC],Q907)&gt;'Input_Meci'!G81),"POST CUTOFF","CLOSED")))))))</x:f>
      </x:c>
      <x:c r="S907" s="2" t="n">
        <x:f>IF(OR(B907="",F907=""),0,COUNTIFS('Istoric_Nativ'!$B$6:$B$405,E907,'Istoric_Nativ'!$C$6:$C$405,F907,'Istoric_Nativ'!$E$6:$E$405,G907,'Istoric_Nativ'!$D$6:$D$405,"&lt;"&amp;J907,'Istoric_Nativ'!$O$6:$O$405,"INVALID")+COUNTIFS('Istoric_Nativ'!$B$6:$B$405,E907,'Istoric_Nativ'!$C$6:$C$405,F907,'Istoric_Nativ'!$E$6:$E$405,G907,'Istoric_Nativ'!$O$6:$O$405,"INVALID",'Istoric_Nativ'!$D$6:$D$405,"*")+COUNTIFS('Istoric_Nativ'!$B$6:$B$405,E907,'Istoric_Nativ'!$C$6:$C$405,F907,'Istoric_Nativ'!$E$6:$E$405,G907,'Istoric_Nativ'!$D$6:$D$405,"&lt;"&amp;J907,'Istoric_Nativ'!$O$6:$O$405,"SOURCE CONFLICT")+COUNTIFS('Istoric_Nativ'!$B$6:$B$405,E907,'Istoric_Nativ'!$C$6:$C$405,F907,'Istoric_Nativ'!$F$6:$F$405,G907,'Istoric_Nativ'!$D$6:$D$405,"&lt;"&amp;J907,'Istoric_Nativ'!$O$6:$O$405,"INVALID")+COUNTIFS('Istoric_Nativ'!$B$6:$B$405,E907,'Istoric_Nativ'!$C$6:$C$405,F907,'Istoric_Nativ'!$F$6:$F$405,G907,'Istoric_Nativ'!$O$6:$O$405,"INVALID",'Istoric_Nativ'!$D$6:$D$405,"*")+COUNTIFS('Istoric_Nativ'!$B$6:$B$405,E907,'Istoric_Nativ'!$C$6:$C$405,F907,'Istoric_Nativ'!$F$6:$F$405,G907,'Istoric_Nativ'!$D$6:$D$405,"&lt;"&amp;J907,'Istoric_Nativ'!$O$6:$O$405,"SOURCE CONFLICT"))</x:f>
        <x:v>0</x:v>
      </x:c>
      <x:c r="T907" s="2" t="str">
        <x:f>IF(B907="","",IF(R907&lt;&gt;"CLOSED",R907,IF(S907&gt;0,"NATIVE INPUT ISSUE",IF(M907=0,"NO HISTORY",IF(M907&lt;P907,"SMALL SAMPLE","DERIVED")))))</x:f>
      </x:c>
      <x:c r="U907" s="2" t="str">
        <x:f>IF(B907="","","NativeTable; "&amp;E907&amp;"; "&amp;F907&amp;"; "&amp;G907&amp;"; "&amp;H907&amp;"; before "&amp;TEXT(J907,"yyyy-mm-dd")&amp;IF(I907="RECENT","; from "&amp;TEXT(L907,"yyyy-mm-dd"),""))</x:f>
      </x:c>
    </x:row>
    <x:row r="908" ht="21" customHeight="1">
      <x:c r="A908" s="2" t="n">
        <x:v>76</x:v>
      </x:c>
      <x:c r="B908" s="2" t="str">
        <x:f>IF('Input_Meci'!A81="","",'Input_Meci'!A81)</x:f>
      </x:c>
      <x:c r="C908" s="2" t="str">
        <x:v>H</x:v>
      </x:c>
      <x:c r="D908" s="2" t="str">
        <x:v>CURRENT</x:v>
      </x:c>
      <x:c r="E908" s="2" t="str">
        <x:f>IF(B908="","",'Input_Meci'!B81)</x:f>
      </x:c>
      <x:c r="F908" s="2" t="str">
        <x:f>IF(B908="","",IF('Input_Meci'!C81="","",'Input_Meci'!C81))</x:f>
      </x:c>
      <x:c r="G908" s="2" t="str">
        <x:f>IF(B908="","",'Input_Meci'!D81)</x:f>
      </x:c>
      <x:c r="H908" s="2" t="str">
        <x:v>ANY</x:v>
      </x:c>
      <x:c r="I908" s="2" t="str">
        <x:v>RECENT</x:v>
      </x:c>
      <x:c r="J908" s="9" t="n">
        <x:f>IF(AND(B908&lt;&gt;"",ISNUMBER('Input_Meci'!G81)),INT('Input_Meci'!G81),0)</x:f>
        <x:v>0</x:v>
      </x:c>
      <x:c r="K908" s="2" t="n">
        <x:f>IF(OR(B908="",F908=""),0,IF(H908="HOME",COUNTIFS('Istoric_Nativ'!$B$6:$B$405,E908,'Istoric_Nativ'!$C$6:$C$405,F908,'Istoric_Nativ'!$E$6:$E$405,G908,'Istoric_Nativ'!$D$6:$D$405,"&lt;"&amp;J908,'Istoric_Nativ'!$P$6:$P$405,1),IF(H908="AWAY",COUNTIFS('Istoric_Nativ'!$B$6:$B$405,E908,'Istoric_Nativ'!$C$6:$C$405,F908,'Istoric_Nativ'!$F$6:$F$405,G908,'Istoric_Nativ'!$D$6:$D$405,"&lt;"&amp;J908,'Istoric_Nativ'!$P$6:$P$405,1),COUNTIFS('Istoric_Nativ'!$B$6:$B$405,E908,'Istoric_Nativ'!$C$6:$C$405,F908,'Istoric_Nativ'!$E$6:$E$405,G908,'Istoric_Nativ'!$D$6:$D$405,"&lt;"&amp;J908,'Istoric_Nativ'!$P$6:$P$405,1)+COUNTIFS('Istoric_Nativ'!$B$6:$B$405,E908,'Istoric_Nativ'!$C$6:$C$405,F908,'Istoric_Nativ'!$F$6:$F$405,G908,'Istoric_Nativ'!$D$6:$D$405,"&lt;"&amp;J908,'Istoric_Nativ'!$P$6:$P$405,1))))</x:f>
        <x:v>0</x:v>
      </x:c>
      <x:c r="L908" s="17" t="n">
        <x:f>IF(AND(B908&lt;&gt;"",I908="RECENT",K908&gt;0),LARGE(_xlfn._xlws.FILTER('Istoric_Nativ'!$D$6:$D$405,('Istoric_Nativ'!$B$6:$B$405=E908)*('Istoric_Nativ'!$C$6:$C$405=F908)*('Istoric_Nativ'!$P$6:$P$405=1)*('Istoric_Nativ'!$D$6:$D$405&lt;J908)*((('Istoric_Nativ'!$E$6:$E$405=G908)+('Istoric_Nativ'!$F$6:$F$405=G908))&gt;0)),MIN('Config_v6'!$B$54,K908)),0)</x:f>
        <x:v>0</x:v>
      </x:c>
      <x:c r="M908" s="2" t="n">
        <x:f>IF(OR(B908="",F908=""),0,IF(H908="HOME",COUNTIFS('Istoric_Nativ'!$B$6:$B$405,E908,'Istoric_Nativ'!$C$6:$C$405,F908,'Istoric_Nativ'!$E$6:$E$405,G908,'Istoric_Nativ'!$D$6:$D$405,"&lt;"&amp;J908,'Istoric_Nativ'!$P$6:$P$405,1,'Istoric_Nativ'!$D$6:$D$405,"&gt;="&amp;L908),IF(H908="AWAY",COUNTIFS('Istoric_Nativ'!$B$6:$B$405,E908,'Istoric_Nativ'!$C$6:$C$405,F908,'Istoric_Nativ'!$F$6:$F$405,G908,'Istoric_Nativ'!$D$6:$D$405,"&lt;"&amp;J908,'Istoric_Nativ'!$P$6:$P$405,1,'Istoric_Nativ'!$D$6:$D$405,"&gt;="&amp;L908),COUNTIFS('Istoric_Nativ'!$B$6:$B$405,E908,'Istoric_Nativ'!$C$6:$C$405,F908,'Istoric_Nativ'!$E$6:$E$405,G908,'Istoric_Nativ'!$D$6:$D$405,"&lt;"&amp;J908,'Istoric_Nativ'!$P$6:$P$405,1,'Istoric_Nativ'!$D$6:$D$405,"&gt;="&amp;L908)+COUNTIFS('Istoric_Nativ'!$B$6:$B$405,E908,'Istoric_Nativ'!$C$6:$C$405,F908,'Istoric_Nativ'!$F$6:$F$405,G908,'Istoric_Nativ'!$D$6:$D$405,"&lt;"&amp;J908,'Istoric_Nativ'!$P$6:$P$405,1,'Istoric_Nativ'!$D$6:$D$405,"&gt;="&amp;L908))))</x:f>
        <x:v>0</x:v>
      </x:c>
      <x:c r="N908" s="11" t="str">
        <x:f>IF(M908=0,"",IF(H908="HOME",SUMIFS('Istoric_Nativ'!$G$6:$G$405,'Istoric_Nativ'!$B$6:$B$405,E908,'Istoric_Nativ'!$C$6:$C$405,F908,'Istoric_Nativ'!$E$6:$E$405,G908,'Istoric_Nativ'!$D$6:$D$405,"&lt;"&amp;J908,'Istoric_Nativ'!$P$6:$P$405,1,'Istoric_Nativ'!$D$6:$D$405,"&gt;="&amp;L908),IF(H908="AWAY",SUMIFS('Istoric_Nativ'!$H$6:$H$405,'Istoric_Nativ'!$B$6:$B$405,E908,'Istoric_Nativ'!$C$6:$C$405,F908,'Istoric_Nativ'!$F$6:$F$405,G908,'Istoric_Nativ'!$D$6:$D$405,"&lt;"&amp;J908,'Istoric_Nativ'!$P$6:$P$405,1,'Istoric_Nativ'!$D$6:$D$405,"&gt;="&amp;L908),SUMIFS('Istoric_Nativ'!$G$6:$G$405,'Istoric_Nativ'!$B$6:$B$405,E908,'Istoric_Nativ'!$C$6:$C$405,F908,'Istoric_Nativ'!$E$6:$E$405,G908,'Istoric_Nativ'!$D$6:$D$405,"&lt;"&amp;J908,'Istoric_Nativ'!$P$6:$P$405,1,'Istoric_Nativ'!$D$6:$D$405,"&gt;="&amp;L908)+SUMIFS('Istoric_Nativ'!$H$6:$H$405,'Istoric_Nativ'!$B$6:$B$405,E908,'Istoric_Nativ'!$C$6:$C$405,F908,'Istoric_Nativ'!$F$6:$F$405,G908,'Istoric_Nativ'!$D$6:$D$405,"&lt;"&amp;J908,'Istoric_Nativ'!$P$6:$P$405,1,'Istoric_Nativ'!$D$6:$D$405,"&gt;="&amp;L908)))/M908)</x:f>
      </x:c>
      <x:c r="O908" s="11" t="str">
        <x:f>IF(M908=0,"",IF(H908="HOME",SUMIFS('Istoric_Nativ'!$H$6:$H$405,'Istoric_Nativ'!$B$6:$B$405,E908,'Istoric_Nativ'!$C$6:$C$405,F908,'Istoric_Nativ'!$E$6:$E$405,G908,'Istoric_Nativ'!$D$6:$D$405,"&lt;"&amp;J908,'Istoric_Nativ'!$P$6:$P$405,1,'Istoric_Nativ'!$D$6:$D$405,"&gt;="&amp;L908),IF(H908="AWAY",SUMIFS('Istoric_Nativ'!$G$6:$G$405,'Istoric_Nativ'!$B$6:$B$405,E908,'Istoric_Nativ'!$C$6:$C$405,F908,'Istoric_Nativ'!$F$6:$F$405,G908,'Istoric_Nativ'!$D$6:$D$405,"&lt;"&amp;J908,'Istoric_Nativ'!$P$6:$P$405,1,'Istoric_Nativ'!$D$6:$D$405,"&gt;="&amp;L908),SUMIFS('Istoric_Nativ'!$H$6:$H$405,'Istoric_Nativ'!$B$6:$B$405,E908,'Istoric_Nativ'!$C$6:$C$405,F908,'Istoric_Nativ'!$E$6:$E$405,G908,'Istoric_Nativ'!$D$6:$D$405,"&lt;"&amp;J908,'Istoric_Nativ'!$P$6:$P$405,1,'Istoric_Nativ'!$D$6:$D$405,"&gt;="&amp;L908)+SUMIFS('Istoric_Nativ'!$G$6:$G$405,'Istoric_Nativ'!$B$6:$B$405,E908,'Istoric_Nativ'!$C$6:$C$405,F908,'Istoric_Nativ'!$F$6:$F$405,G908,'Istoric_Nativ'!$D$6:$D$405,"&lt;"&amp;J908,'Istoric_Nativ'!$P$6:$P$405,1,'Istoric_Nativ'!$D$6:$D$405,"&gt;="&amp;L908)))/M908)</x:f>
      </x:c>
      <x:c r="P908" s="2" t="n">
        <x:f>'Config_v6'!$B$9</x:f>
        <x:v>3</x:v>
      </x:c>
      <x:c r="Q908" s="2" t="n">
        <x:f>IF(OR(B908="",F908=""),0,IFERROR(MATCH(E908&amp;"|"&amp;F908,SourceTable[Source_Key],0),0))</x:f>
        <x:v>0</x:v>
      </x:c>
      <x:c r="R908" s="2" t="str">
        <x:f>IF(B908="","",IF(F908="","UNUSED",IF(Q908=0,"NOT CHECKED",IF(COUNTIF(SourceTable[Source_Key],E908&amp;"|"&amp;F908)&lt;&gt;1,"SOURCE CONFLICT",IF(NOT(OR(INDEX(SourceTable[Status],MAX(1,Q908))="IMPORTED",INDEX(SourceTable[Status],MAX(1,Q908))="PARTIAL",INDEX(SourceTable[Status],MAX(1,Q908))="SOURCE CONFLICT")),"ACCESS BLOCKED",IF(OR(INDEX(SourceTable[Coverage],Q908)&lt;&gt;"FULL SEASON EXPORT",INDEX(SourceTable[URL],Q908)="",INDEX(SourceTable[SHA256],Q908)=""),"EVIDENCE INCOMPLETE",IF(AND('Input_Meci'!H81="LIVE",INDEX(SourceTable[Retrieved_UTC],Q908)&gt;'Input_Meci'!G81),"POST CUTOFF","CLOSED")))))))</x:f>
      </x:c>
      <x:c r="S908" s="2" t="n">
        <x:f>IF(OR(B908="",F908=""),0,COUNTIFS('Istoric_Nativ'!$B$6:$B$405,E908,'Istoric_Nativ'!$C$6:$C$405,F908,'Istoric_Nativ'!$E$6:$E$405,G908,'Istoric_Nativ'!$D$6:$D$405,"&lt;"&amp;J908,'Istoric_Nativ'!$O$6:$O$405,"INVALID")+COUNTIFS('Istoric_Nativ'!$B$6:$B$405,E908,'Istoric_Nativ'!$C$6:$C$405,F908,'Istoric_Nativ'!$E$6:$E$405,G908,'Istoric_Nativ'!$O$6:$O$405,"INVALID",'Istoric_Nativ'!$D$6:$D$405,"*")+COUNTIFS('Istoric_Nativ'!$B$6:$B$405,E908,'Istoric_Nativ'!$C$6:$C$405,F908,'Istoric_Nativ'!$E$6:$E$405,G908,'Istoric_Nativ'!$D$6:$D$405,"&lt;"&amp;J908,'Istoric_Nativ'!$O$6:$O$405,"SOURCE CONFLICT")+COUNTIFS('Istoric_Nativ'!$B$6:$B$405,E908,'Istoric_Nativ'!$C$6:$C$405,F908,'Istoric_Nativ'!$F$6:$F$405,G908,'Istoric_Nativ'!$D$6:$D$405,"&lt;"&amp;J908,'Istoric_Nativ'!$O$6:$O$405,"INVALID")+COUNTIFS('Istoric_Nativ'!$B$6:$B$405,E908,'Istoric_Nativ'!$C$6:$C$405,F908,'Istoric_Nativ'!$F$6:$F$405,G908,'Istoric_Nativ'!$O$6:$O$405,"INVALID",'Istoric_Nativ'!$D$6:$D$405,"*")+COUNTIFS('Istoric_Nativ'!$B$6:$B$405,E908,'Istoric_Nativ'!$C$6:$C$405,F908,'Istoric_Nativ'!$F$6:$F$405,G908,'Istoric_Nativ'!$D$6:$D$405,"&lt;"&amp;J908,'Istoric_Nativ'!$O$6:$O$405,"SOURCE CONFLICT"))</x:f>
        <x:v>0</x:v>
      </x:c>
      <x:c r="T908" s="2" t="str">
        <x:f>IF(B908="","",IF(R908&lt;&gt;"CLOSED",R908,IF(S908&gt;0,"NATIVE INPUT ISSUE",IF(M908=0,"NO HISTORY",IF(M908&lt;P908,"SMALL SAMPLE","DERIVED")))))</x:f>
      </x:c>
      <x:c r="U908" s="2" t="str">
        <x:f>IF(B908="","","NativeTable; "&amp;E908&amp;"; "&amp;F908&amp;"; "&amp;G908&amp;"; "&amp;H908&amp;"; before "&amp;TEXT(J908,"yyyy-mm-dd")&amp;IF(I908="RECENT","; from "&amp;TEXT(L908,"yyyy-mm-dd"),""))</x:f>
      </x:c>
    </x:row>
    <x:row r="909" ht="21" customHeight="1">
      <x:c r="A909" s="2" t="n">
        <x:v>76</x:v>
      </x:c>
      <x:c r="B909" s="2" t="str">
        <x:f>IF('Input_Meci'!A81="","",'Input_Meci'!A81)</x:f>
      </x:c>
      <x:c r="C909" s="2" t="str">
        <x:v>A</x:v>
      </x:c>
      <x:c r="D909" s="2" t="str">
        <x:v>CURRENT</x:v>
      </x:c>
      <x:c r="E909" s="2" t="str">
        <x:f>IF(B909="","",'Input_Meci'!B81)</x:f>
      </x:c>
      <x:c r="F909" s="2" t="str">
        <x:f>IF(B909="","",IF('Input_Meci'!C81="","",'Input_Meci'!C81))</x:f>
      </x:c>
      <x:c r="G909" s="2" t="str">
        <x:f>IF(B909="","",'Input_Meci'!E81)</x:f>
      </x:c>
      <x:c r="H909" s="2" t="str">
        <x:v>ANY</x:v>
      </x:c>
      <x:c r="I909" s="2" t="str">
        <x:v>SEASON</x:v>
      </x:c>
      <x:c r="J909" s="9" t="n">
        <x:f>IF(AND(B909&lt;&gt;"",ISNUMBER('Input_Meci'!G81)),INT('Input_Meci'!G81),0)</x:f>
        <x:v>0</x:v>
      </x:c>
      <x:c r="K909" s="2" t="n">
        <x:f>IF(OR(B909="",F909=""),0,IF(H909="HOME",COUNTIFS('Istoric_Nativ'!$B$6:$B$405,E909,'Istoric_Nativ'!$C$6:$C$405,F909,'Istoric_Nativ'!$E$6:$E$405,G909,'Istoric_Nativ'!$D$6:$D$405,"&lt;"&amp;J909,'Istoric_Nativ'!$P$6:$P$405,1),IF(H909="AWAY",COUNTIFS('Istoric_Nativ'!$B$6:$B$405,E909,'Istoric_Nativ'!$C$6:$C$405,F909,'Istoric_Nativ'!$F$6:$F$405,G909,'Istoric_Nativ'!$D$6:$D$405,"&lt;"&amp;J909,'Istoric_Nativ'!$P$6:$P$405,1),COUNTIFS('Istoric_Nativ'!$B$6:$B$405,E909,'Istoric_Nativ'!$C$6:$C$405,F909,'Istoric_Nativ'!$E$6:$E$405,G909,'Istoric_Nativ'!$D$6:$D$405,"&lt;"&amp;J909,'Istoric_Nativ'!$P$6:$P$405,1)+COUNTIFS('Istoric_Nativ'!$B$6:$B$405,E909,'Istoric_Nativ'!$C$6:$C$405,F909,'Istoric_Nativ'!$F$6:$F$405,G909,'Istoric_Nativ'!$D$6:$D$405,"&lt;"&amp;J909,'Istoric_Nativ'!$P$6:$P$405,1))))</x:f>
        <x:v>0</x:v>
      </x:c>
      <x:c r="L909" s="17" t="n">
        <x:f>IF(AND(B909&lt;&gt;"",I909="RECENT",K909&gt;0),LARGE(_xlfn._xlws.FILTER('Istoric_Nativ'!$D$6:$D$405,('Istoric_Nativ'!$B$6:$B$405=E909)*('Istoric_Nativ'!$C$6:$C$405=F909)*('Istoric_Nativ'!$P$6:$P$405=1)*('Istoric_Nativ'!$D$6:$D$405&lt;J909)*((('Istoric_Nativ'!$E$6:$E$405=G909)+('Istoric_Nativ'!$F$6:$F$405=G909))&gt;0)),MIN('Config_v6'!$B$54,K909)),0)</x:f>
        <x:v>0</x:v>
      </x:c>
      <x:c r="M909" s="2" t="n">
        <x:f>IF(OR(B909="",F909=""),0,IF(H909="HOME",COUNTIFS('Istoric_Nativ'!$B$6:$B$405,E909,'Istoric_Nativ'!$C$6:$C$405,F909,'Istoric_Nativ'!$E$6:$E$405,G909,'Istoric_Nativ'!$D$6:$D$405,"&lt;"&amp;J909,'Istoric_Nativ'!$P$6:$P$405,1,'Istoric_Nativ'!$D$6:$D$405,"&gt;="&amp;L909),IF(H909="AWAY",COUNTIFS('Istoric_Nativ'!$B$6:$B$405,E909,'Istoric_Nativ'!$C$6:$C$405,F909,'Istoric_Nativ'!$F$6:$F$405,G909,'Istoric_Nativ'!$D$6:$D$405,"&lt;"&amp;J909,'Istoric_Nativ'!$P$6:$P$405,1,'Istoric_Nativ'!$D$6:$D$405,"&gt;="&amp;L909),COUNTIFS('Istoric_Nativ'!$B$6:$B$405,E909,'Istoric_Nativ'!$C$6:$C$405,F909,'Istoric_Nativ'!$E$6:$E$405,G909,'Istoric_Nativ'!$D$6:$D$405,"&lt;"&amp;J909,'Istoric_Nativ'!$P$6:$P$405,1,'Istoric_Nativ'!$D$6:$D$405,"&gt;="&amp;L909)+COUNTIFS('Istoric_Nativ'!$B$6:$B$405,E909,'Istoric_Nativ'!$C$6:$C$405,F909,'Istoric_Nativ'!$F$6:$F$405,G909,'Istoric_Nativ'!$D$6:$D$405,"&lt;"&amp;J909,'Istoric_Nativ'!$P$6:$P$405,1,'Istoric_Nativ'!$D$6:$D$405,"&gt;="&amp;L909))))</x:f>
        <x:v>0</x:v>
      </x:c>
      <x:c r="N909" s="11" t="str">
        <x:f>IF(M909=0,"",IF(H909="HOME",SUMIFS('Istoric_Nativ'!$G$6:$G$405,'Istoric_Nativ'!$B$6:$B$405,E909,'Istoric_Nativ'!$C$6:$C$405,F909,'Istoric_Nativ'!$E$6:$E$405,G909,'Istoric_Nativ'!$D$6:$D$405,"&lt;"&amp;J909,'Istoric_Nativ'!$P$6:$P$405,1,'Istoric_Nativ'!$D$6:$D$405,"&gt;="&amp;L909),IF(H909="AWAY",SUMIFS('Istoric_Nativ'!$H$6:$H$405,'Istoric_Nativ'!$B$6:$B$405,E909,'Istoric_Nativ'!$C$6:$C$405,F909,'Istoric_Nativ'!$F$6:$F$405,G909,'Istoric_Nativ'!$D$6:$D$405,"&lt;"&amp;J909,'Istoric_Nativ'!$P$6:$P$405,1,'Istoric_Nativ'!$D$6:$D$405,"&gt;="&amp;L909),SUMIFS('Istoric_Nativ'!$G$6:$G$405,'Istoric_Nativ'!$B$6:$B$405,E909,'Istoric_Nativ'!$C$6:$C$405,F909,'Istoric_Nativ'!$E$6:$E$405,G909,'Istoric_Nativ'!$D$6:$D$405,"&lt;"&amp;J909,'Istoric_Nativ'!$P$6:$P$405,1,'Istoric_Nativ'!$D$6:$D$405,"&gt;="&amp;L909)+SUMIFS('Istoric_Nativ'!$H$6:$H$405,'Istoric_Nativ'!$B$6:$B$405,E909,'Istoric_Nativ'!$C$6:$C$405,F909,'Istoric_Nativ'!$F$6:$F$405,G909,'Istoric_Nativ'!$D$6:$D$405,"&lt;"&amp;J909,'Istoric_Nativ'!$P$6:$P$405,1,'Istoric_Nativ'!$D$6:$D$405,"&gt;="&amp;L909)))/M909)</x:f>
      </x:c>
      <x:c r="O909" s="11" t="str">
        <x:f>IF(M909=0,"",IF(H909="HOME",SUMIFS('Istoric_Nativ'!$H$6:$H$405,'Istoric_Nativ'!$B$6:$B$405,E909,'Istoric_Nativ'!$C$6:$C$405,F909,'Istoric_Nativ'!$E$6:$E$405,G909,'Istoric_Nativ'!$D$6:$D$405,"&lt;"&amp;J909,'Istoric_Nativ'!$P$6:$P$405,1,'Istoric_Nativ'!$D$6:$D$405,"&gt;="&amp;L909),IF(H909="AWAY",SUMIFS('Istoric_Nativ'!$G$6:$G$405,'Istoric_Nativ'!$B$6:$B$405,E909,'Istoric_Nativ'!$C$6:$C$405,F909,'Istoric_Nativ'!$F$6:$F$405,G909,'Istoric_Nativ'!$D$6:$D$405,"&lt;"&amp;J909,'Istoric_Nativ'!$P$6:$P$405,1,'Istoric_Nativ'!$D$6:$D$405,"&gt;="&amp;L909),SUMIFS('Istoric_Nativ'!$H$6:$H$405,'Istoric_Nativ'!$B$6:$B$405,E909,'Istoric_Nativ'!$C$6:$C$405,F909,'Istoric_Nativ'!$E$6:$E$405,G909,'Istoric_Nativ'!$D$6:$D$405,"&lt;"&amp;J909,'Istoric_Nativ'!$P$6:$P$405,1,'Istoric_Nativ'!$D$6:$D$405,"&gt;="&amp;L909)+SUMIFS('Istoric_Nativ'!$G$6:$G$405,'Istoric_Nativ'!$B$6:$B$405,E909,'Istoric_Nativ'!$C$6:$C$405,F909,'Istoric_Nativ'!$F$6:$F$405,G909,'Istoric_Nativ'!$D$6:$D$405,"&lt;"&amp;J909,'Istoric_Nativ'!$P$6:$P$405,1,'Istoric_Nativ'!$D$6:$D$405,"&gt;="&amp;L909)))/M909)</x:f>
      </x:c>
      <x:c r="P909" s="2" t="n">
        <x:f>'Config_v6'!$B$7</x:f>
        <x:v>10</x:v>
      </x:c>
      <x:c r="Q909" s="2" t="n">
        <x:f>IF(OR(B909="",F909=""),0,IFERROR(MATCH(E909&amp;"|"&amp;F909,SourceTable[Source_Key],0),0))</x:f>
        <x:v>0</x:v>
      </x:c>
      <x:c r="R909" s="2" t="str">
        <x:f>IF(B909="","",IF(F909="","UNUSED",IF(Q909=0,"NOT CHECKED",IF(COUNTIF(SourceTable[Source_Key],E909&amp;"|"&amp;F909)&lt;&gt;1,"SOURCE CONFLICT",IF(NOT(OR(INDEX(SourceTable[Status],MAX(1,Q909))="IMPORTED",INDEX(SourceTable[Status],MAX(1,Q909))="PARTIAL",INDEX(SourceTable[Status],MAX(1,Q909))="SOURCE CONFLICT")),"ACCESS BLOCKED",IF(OR(INDEX(SourceTable[Coverage],Q909)&lt;&gt;"FULL SEASON EXPORT",INDEX(SourceTable[URL],Q909)="",INDEX(SourceTable[SHA256],Q909)=""),"EVIDENCE INCOMPLETE",IF(AND('Input_Meci'!H81="LIVE",INDEX(SourceTable[Retrieved_UTC],Q909)&gt;'Input_Meci'!G81),"POST CUTOFF","CLOSED")))))))</x:f>
      </x:c>
      <x:c r="S909" s="2" t="n">
        <x:f>IF(OR(B909="",F909=""),0,COUNTIFS('Istoric_Nativ'!$B$6:$B$405,E909,'Istoric_Nativ'!$C$6:$C$405,F909,'Istoric_Nativ'!$E$6:$E$405,G909,'Istoric_Nativ'!$D$6:$D$405,"&lt;"&amp;J909,'Istoric_Nativ'!$O$6:$O$405,"INVALID")+COUNTIFS('Istoric_Nativ'!$B$6:$B$405,E909,'Istoric_Nativ'!$C$6:$C$405,F909,'Istoric_Nativ'!$E$6:$E$405,G909,'Istoric_Nativ'!$O$6:$O$405,"INVALID",'Istoric_Nativ'!$D$6:$D$405,"*")+COUNTIFS('Istoric_Nativ'!$B$6:$B$405,E909,'Istoric_Nativ'!$C$6:$C$405,F909,'Istoric_Nativ'!$E$6:$E$405,G909,'Istoric_Nativ'!$D$6:$D$405,"&lt;"&amp;J909,'Istoric_Nativ'!$O$6:$O$405,"SOURCE CONFLICT")+COUNTIFS('Istoric_Nativ'!$B$6:$B$405,E909,'Istoric_Nativ'!$C$6:$C$405,F909,'Istoric_Nativ'!$F$6:$F$405,G909,'Istoric_Nativ'!$D$6:$D$405,"&lt;"&amp;J909,'Istoric_Nativ'!$O$6:$O$405,"INVALID")+COUNTIFS('Istoric_Nativ'!$B$6:$B$405,E909,'Istoric_Nativ'!$C$6:$C$405,F909,'Istoric_Nativ'!$F$6:$F$405,G909,'Istoric_Nativ'!$O$6:$O$405,"INVALID",'Istoric_Nativ'!$D$6:$D$405,"*")+COUNTIFS('Istoric_Nativ'!$B$6:$B$405,E909,'Istoric_Nativ'!$C$6:$C$405,F909,'Istoric_Nativ'!$F$6:$F$405,G909,'Istoric_Nativ'!$D$6:$D$405,"&lt;"&amp;J909,'Istoric_Nativ'!$O$6:$O$405,"SOURCE CONFLICT"))</x:f>
        <x:v>0</x:v>
      </x:c>
      <x:c r="T909" s="2" t="str">
        <x:f>IF(B909="","",IF(R909&lt;&gt;"CLOSED",R909,IF(S909&gt;0,"NATIVE INPUT ISSUE",IF(M909=0,"NO HISTORY",IF(M909&lt;P909,"SMALL SAMPLE","DERIVED")))))</x:f>
      </x:c>
      <x:c r="U909" s="2" t="str">
        <x:f>IF(B909="","","NativeTable; "&amp;E909&amp;"; "&amp;F909&amp;"; "&amp;G909&amp;"; "&amp;H909&amp;"; before "&amp;TEXT(J909,"yyyy-mm-dd")&amp;IF(I909="RECENT","; from "&amp;TEXT(L909,"yyyy-mm-dd"),""))</x:f>
      </x:c>
    </x:row>
    <x:row r="910" ht="21" customHeight="1">
      <x:c r="A910" s="2" t="n">
        <x:v>76</x:v>
      </x:c>
      <x:c r="B910" s="2" t="str">
        <x:f>IF('Input_Meci'!A81="","",'Input_Meci'!A81)</x:f>
      </x:c>
      <x:c r="C910" s="2" t="str">
        <x:v>A</x:v>
      </x:c>
      <x:c r="D910" s="2" t="str">
        <x:v>CURRENT</x:v>
      </x:c>
      <x:c r="E910" s="2" t="str">
        <x:f>IF(B910="","",'Input_Meci'!B81)</x:f>
      </x:c>
      <x:c r="F910" s="2" t="str">
        <x:f>IF(B910="","",IF('Input_Meci'!C81="","",'Input_Meci'!C81))</x:f>
      </x:c>
      <x:c r="G910" s="2" t="str">
        <x:f>IF(B910="","",'Input_Meci'!E81)</x:f>
      </x:c>
      <x:c r="H910" s="2" t="str">
        <x:v>AWAY</x:v>
      </x:c>
      <x:c r="I910" s="2" t="str">
        <x:v>HA</x:v>
      </x:c>
      <x:c r="J910" s="9" t="n">
        <x:f>IF(AND(B910&lt;&gt;"",ISNUMBER('Input_Meci'!G81)),INT('Input_Meci'!G81),0)</x:f>
        <x:v>0</x:v>
      </x:c>
      <x:c r="K910" s="2" t="n">
        <x:f>IF(OR(B910="",F910=""),0,IF(H910="HOME",COUNTIFS('Istoric_Nativ'!$B$6:$B$405,E910,'Istoric_Nativ'!$C$6:$C$405,F910,'Istoric_Nativ'!$E$6:$E$405,G910,'Istoric_Nativ'!$D$6:$D$405,"&lt;"&amp;J910,'Istoric_Nativ'!$P$6:$P$405,1),IF(H910="AWAY",COUNTIFS('Istoric_Nativ'!$B$6:$B$405,E910,'Istoric_Nativ'!$C$6:$C$405,F910,'Istoric_Nativ'!$F$6:$F$405,G910,'Istoric_Nativ'!$D$6:$D$405,"&lt;"&amp;J910,'Istoric_Nativ'!$P$6:$P$405,1),COUNTIFS('Istoric_Nativ'!$B$6:$B$405,E910,'Istoric_Nativ'!$C$6:$C$405,F910,'Istoric_Nativ'!$E$6:$E$405,G910,'Istoric_Nativ'!$D$6:$D$405,"&lt;"&amp;J910,'Istoric_Nativ'!$P$6:$P$405,1)+COUNTIFS('Istoric_Nativ'!$B$6:$B$405,E910,'Istoric_Nativ'!$C$6:$C$405,F910,'Istoric_Nativ'!$F$6:$F$405,G910,'Istoric_Nativ'!$D$6:$D$405,"&lt;"&amp;J910,'Istoric_Nativ'!$P$6:$P$405,1))))</x:f>
        <x:v>0</x:v>
      </x:c>
      <x:c r="L910" s="17" t="n">
        <x:f>IF(AND(B910&lt;&gt;"",I910="RECENT",K910&gt;0),LARGE(_xlfn._xlws.FILTER('Istoric_Nativ'!$D$6:$D$405,('Istoric_Nativ'!$B$6:$B$405=E910)*('Istoric_Nativ'!$C$6:$C$405=F910)*('Istoric_Nativ'!$P$6:$P$405=1)*('Istoric_Nativ'!$D$6:$D$405&lt;J910)*((('Istoric_Nativ'!$E$6:$E$405=G910)+('Istoric_Nativ'!$F$6:$F$405=G910))&gt;0)),MIN('Config_v6'!$B$54,K910)),0)</x:f>
        <x:v>0</x:v>
      </x:c>
      <x:c r="M910" s="2" t="n">
        <x:f>IF(OR(B910="",F910=""),0,IF(H910="HOME",COUNTIFS('Istoric_Nativ'!$B$6:$B$405,E910,'Istoric_Nativ'!$C$6:$C$405,F910,'Istoric_Nativ'!$E$6:$E$405,G910,'Istoric_Nativ'!$D$6:$D$405,"&lt;"&amp;J910,'Istoric_Nativ'!$P$6:$P$405,1,'Istoric_Nativ'!$D$6:$D$405,"&gt;="&amp;L910),IF(H910="AWAY",COUNTIFS('Istoric_Nativ'!$B$6:$B$405,E910,'Istoric_Nativ'!$C$6:$C$405,F910,'Istoric_Nativ'!$F$6:$F$405,G910,'Istoric_Nativ'!$D$6:$D$405,"&lt;"&amp;J910,'Istoric_Nativ'!$P$6:$P$405,1,'Istoric_Nativ'!$D$6:$D$405,"&gt;="&amp;L910),COUNTIFS('Istoric_Nativ'!$B$6:$B$405,E910,'Istoric_Nativ'!$C$6:$C$405,F910,'Istoric_Nativ'!$E$6:$E$405,G910,'Istoric_Nativ'!$D$6:$D$405,"&lt;"&amp;J910,'Istoric_Nativ'!$P$6:$P$405,1,'Istoric_Nativ'!$D$6:$D$405,"&gt;="&amp;L910)+COUNTIFS('Istoric_Nativ'!$B$6:$B$405,E910,'Istoric_Nativ'!$C$6:$C$405,F910,'Istoric_Nativ'!$F$6:$F$405,G910,'Istoric_Nativ'!$D$6:$D$405,"&lt;"&amp;J910,'Istoric_Nativ'!$P$6:$P$405,1,'Istoric_Nativ'!$D$6:$D$405,"&gt;="&amp;L910))))</x:f>
        <x:v>0</x:v>
      </x:c>
      <x:c r="N910" s="11" t="str">
        <x:f>IF(M910=0,"",IF(H910="HOME",SUMIFS('Istoric_Nativ'!$G$6:$G$405,'Istoric_Nativ'!$B$6:$B$405,E910,'Istoric_Nativ'!$C$6:$C$405,F910,'Istoric_Nativ'!$E$6:$E$405,G910,'Istoric_Nativ'!$D$6:$D$405,"&lt;"&amp;J910,'Istoric_Nativ'!$P$6:$P$405,1,'Istoric_Nativ'!$D$6:$D$405,"&gt;="&amp;L910),IF(H910="AWAY",SUMIFS('Istoric_Nativ'!$H$6:$H$405,'Istoric_Nativ'!$B$6:$B$405,E910,'Istoric_Nativ'!$C$6:$C$405,F910,'Istoric_Nativ'!$F$6:$F$405,G910,'Istoric_Nativ'!$D$6:$D$405,"&lt;"&amp;J910,'Istoric_Nativ'!$P$6:$P$405,1,'Istoric_Nativ'!$D$6:$D$405,"&gt;="&amp;L910),SUMIFS('Istoric_Nativ'!$G$6:$G$405,'Istoric_Nativ'!$B$6:$B$405,E910,'Istoric_Nativ'!$C$6:$C$405,F910,'Istoric_Nativ'!$E$6:$E$405,G910,'Istoric_Nativ'!$D$6:$D$405,"&lt;"&amp;J910,'Istoric_Nativ'!$P$6:$P$405,1,'Istoric_Nativ'!$D$6:$D$405,"&gt;="&amp;L910)+SUMIFS('Istoric_Nativ'!$H$6:$H$405,'Istoric_Nativ'!$B$6:$B$405,E910,'Istoric_Nativ'!$C$6:$C$405,F910,'Istoric_Nativ'!$F$6:$F$405,G910,'Istoric_Nativ'!$D$6:$D$405,"&lt;"&amp;J910,'Istoric_Nativ'!$P$6:$P$405,1,'Istoric_Nativ'!$D$6:$D$405,"&gt;="&amp;L910)))/M910)</x:f>
      </x:c>
      <x:c r="O910" s="11" t="str">
        <x:f>IF(M910=0,"",IF(H910="HOME",SUMIFS('Istoric_Nativ'!$H$6:$H$405,'Istoric_Nativ'!$B$6:$B$405,E910,'Istoric_Nativ'!$C$6:$C$405,F910,'Istoric_Nativ'!$E$6:$E$405,G910,'Istoric_Nativ'!$D$6:$D$405,"&lt;"&amp;J910,'Istoric_Nativ'!$P$6:$P$405,1,'Istoric_Nativ'!$D$6:$D$405,"&gt;="&amp;L910),IF(H910="AWAY",SUMIFS('Istoric_Nativ'!$G$6:$G$405,'Istoric_Nativ'!$B$6:$B$405,E910,'Istoric_Nativ'!$C$6:$C$405,F910,'Istoric_Nativ'!$F$6:$F$405,G910,'Istoric_Nativ'!$D$6:$D$405,"&lt;"&amp;J910,'Istoric_Nativ'!$P$6:$P$405,1,'Istoric_Nativ'!$D$6:$D$405,"&gt;="&amp;L910),SUMIFS('Istoric_Nativ'!$H$6:$H$405,'Istoric_Nativ'!$B$6:$B$405,E910,'Istoric_Nativ'!$C$6:$C$405,F910,'Istoric_Nativ'!$E$6:$E$405,G910,'Istoric_Nativ'!$D$6:$D$405,"&lt;"&amp;J910,'Istoric_Nativ'!$P$6:$P$405,1,'Istoric_Nativ'!$D$6:$D$405,"&gt;="&amp;L910)+SUMIFS('Istoric_Nativ'!$G$6:$G$405,'Istoric_Nativ'!$B$6:$B$405,E910,'Istoric_Nativ'!$C$6:$C$405,F910,'Istoric_Nativ'!$F$6:$F$405,G910,'Istoric_Nativ'!$D$6:$D$405,"&lt;"&amp;J910,'Istoric_Nativ'!$P$6:$P$405,1,'Istoric_Nativ'!$D$6:$D$405,"&gt;="&amp;L910)))/M910)</x:f>
      </x:c>
      <x:c r="P910" s="2" t="n">
        <x:f>'Config_v6'!$B$8</x:f>
        <x:v>5</x:v>
      </x:c>
      <x:c r="Q910" s="2" t="n">
        <x:f>IF(OR(B910="",F910=""),0,IFERROR(MATCH(E910&amp;"|"&amp;F910,SourceTable[Source_Key],0),0))</x:f>
        <x:v>0</x:v>
      </x:c>
      <x:c r="R910" s="2" t="str">
        <x:f>IF(B910="","",IF(F910="","UNUSED",IF(Q910=0,"NOT CHECKED",IF(COUNTIF(SourceTable[Source_Key],E910&amp;"|"&amp;F910)&lt;&gt;1,"SOURCE CONFLICT",IF(NOT(OR(INDEX(SourceTable[Status],MAX(1,Q910))="IMPORTED",INDEX(SourceTable[Status],MAX(1,Q910))="PARTIAL",INDEX(SourceTable[Status],MAX(1,Q910))="SOURCE CONFLICT")),"ACCESS BLOCKED",IF(OR(INDEX(SourceTable[Coverage],Q910)&lt;&gt;"FULL SEASON EXPORT",INDEX(SourceTable[URL],Q910)="",INDEX(SourceTable[SHA256],Q910)=""),"EVIDENCE INCOMPLETE",IF(AND('Input_Meci'!H81="LIVE",INDEX(SourceTable[Retrieved_UTC],Q910)&gt;'Input_Meci'!G81),"POST CUTOFF","CLOSED")))))))</x:f>
      </x:c>
      <x:c r="S910" s="2" t="n">
        <x:f>IF(OR(B910="",F910=""),0,COUNTIFS('Istoric_Nativ'!$B$6:$B$405,E910,'Istoric_Nativ'!$C$6:$C$405,F910,'Istoric_Nativ'!$E$6:$E$405,G910,'Istoric_Nativ'!$D$6:$D$405,"&lt;"&amp;J910,'Istoric_Nativ'!$O$6:$O$405,"INVALID")+COUNTIFS('Istoric_Nativ'!$B$6:$B$405,E910,'Istoric_Nativ'!$C$6:$C$405,F910,'Istoric_Nativ'!$E$6:$E$405,G910,'Istoric_Nativ'!$O$6:$O$405,"INVALID",'Istoric_Nativ'!$D$6:$D$405,"*")+COUNTIFS('Istoric_Nativ'!$B$6:$B$405,E910,'Istoric_Nativ'!$C$6:$C$405,F910,'Istoric_Nativ'!$E$6:$E$405,G910,'Istoric_Nativ'!$D$6:$D$405,"&lt;"&amp;J910,'Istoric_Nativ'!$O$6:$O$405,"SOURCE CONFLICT")+COUNTIFS('Istoric_Nativ'!$B$6:$B$405,E910,'Istoric_Nativ'!$C$6:$C$405,F910,'Istoric_Nativ'!$F$6:$F$405,G910,'Istoric_Nativ'!$D$6:$D$405,"&lt;"&amp;J910,'Istoric_Nativ'!$O$6:$O$405,"INVALID")+COUNTIFS('Istoric_Nativ'!$B$6:$B$405,E910,'Istoric_Nativ'!$C$6:$C$405,F910,'Istoric_Nativ'!$F$6:$F$405,G910,'Istoric_Nativ'!$O$6:$O$405,"INVALID",'Istoric_Nativ'!$D$6:$D$405,"*")+COUNTIFS('Istoric_Nativ'!$B$6:$B$405,E910,'Istoric_Nativ'!$C$6:$C$405,F910,'Istoric_Nativ'!$F$6:$F$405,G910,'Istoric_Nativ'!$D$6:$D$405,"&lt;"&amp;J910,'Istoric_Nativ'!$O$6:$O$405,"SOURCE CONFLICT"))</x:f>
        <x:v>0</x:v>
      </x:c>
      <x:c r="T910" s="2" t="str">
        <x:f>IF(B910="","",IF(R910&lt;&gt;"CLOSED",R910,IF(S910&gt;0,"NATIVE INPUT ISSUE",IF(M910=0,"NO HISTORY",IF(M910&lt;P910,"SMALL SAMPLE","DERIVED")))))</x:f>
      </x:c>
      <x:c r="U910" s="2" t="str">
        <x:f>IF(B910="","","NativeTable; "&amp;E910&amp;"; "&amp;F910&amp;"; "&amp;G910&amp;"; "&amp;H910&amp;"; before "&amp;TEXT(J910,"yyyy-mm-dd")&amp;IF(I910="RECENT","; from "&amp;TEXT(L910,"yyyy-mm-dd"),""))</x:f>
      </x:c>
    </x:row>
    <x:row r="911" ht="21" customHeight="1">
      <x:c r="A911" s="2" t="n">
        <x:v>76</x:v>
      </x:c>
      <x:c r="B911" s="2" t="str">
        <x:f>IF('Input_Meci'!A81="","",'Input_Meci'!A81)</x:f>
      </x:c>
      <x:c r="C911" s="2" t="str">
        <x:v>A</x:v>
      </x:c>
      <x:c r="D911" s="2" t="str">
        <x:v>CURRENT</x:v>
      </x:c>
      <x:c r="E911" s="2" t="str">
        <x:f>IF(B911="","",'Input_Meci'!B81)</x:f>
      </x:c>
      <x:c r="F911" s="2" t="str">
        <x:f>IF(B911="","",IF('Input_Meci'!C81="","",'Input_Meci'!C81))</x:f>
      </x:c>
      <x:c r="G911" s="2" t="str">
        <x:f>IF(B911="","",'Input_Meci'!E81)</x:f>
      </x:c>
      <x:c r="H911" s="2" t="str">
        <x:v>ANY</x:v>
      </x:c>
      <x:c r="I911" s="2" t="str">
        <x:v>RECENT</x:v>
      </x:c>
      <x:c r="J911" s="9" t="n">
        <x:f>IF(AND(B911&lt;&gt;"",ISNUMBER('Input_Meci'!G81)),INT('Input_Meci'!G81),0)</x:f>
        <x:v>0</x:v>
      </x:c>
      <x:c r="K911" s="2" t="n">
        <x:f>IF(OR(B911="",F911=""),0,IF(H911="HOME",COUNTIFS('Istoric_Nativ'!$B$6:$B$405,E911,'Istoric_Nativ'!$C$6:$C$405,F911,'Istoric_Nativ'!$E$6:$E$405,G911,'Istoric_Nativ'!$D$6:$D$405,"&lt;"&amp;J911,'Istoric_Nativ'!$P$6:$P$405,1),IF(H911="AWAY",COUNTIFS('Istoric_Nativ'!$B$6:$B$405,E911,'Istoric_Nativ'!$C$6:$C$405,F911,'Istoric_Nativ'!$F$6:$F$405,G911,'Istoric_Nativ'!$D$6:$D$405,"&lt;"&amp;J911,'Istoric_Nativ'!$P$6:$P$405,1),COUNTIFS('Istoric_Nativ'!$B$6:$B$405,E911,'Istoric_Nativ'!$C$6:$C$405,F911,'Istoric_Nativ'!$E$6:$E$405,G911,'Istoric_Nativ'!$D$6:$D$405,"&lt;"&amp;J911,'Istoric_Nativ'!$P$6:$P$405,1)+COUNTIFS('Istoric_Nativ'!$B$6:$B$405,E911,'Istoric_Nativ'!$C$6:$C$405,F911,'Istoric_Nativ'!$F$6:$F$405,G911,'Istoric_Nativ'!$D$6:$D$405,"&lt;"&amp;J911,'Istoric_Nativ'!$P$6:$P$405,1))))</x:f>
        <x:v>0</x:v>
      </x:c>
      <x:c r="L911" s="17" t="n">
        <x:f>IF(AND(B911&lt;&gt;"",I911="RECENT",K911&gt;0),LARGE(_xlfn._xlws.FILTER('Istoric_Nativ'!$D$6:$D$405,('Istoric_Nativ'!$B$6:$B$405=E911)*('Istoric_Nativ'!$C$6:$C$405=F911)*('Istoric_Nativ'!$P$6:$P$405=1)*('Istoric_Nativ'!$D$6:$D$405&lt;J911)*((('Istoric_Nativ'!$E$6:$E$405=G911)+('Istoric_Nativ'!$F$6:$F$405=G911))&gt;0)),MIN('Config_v6'!$B$54,K911)),0)</x:f>
        <x:v>0</x:v>
      </x:c>
      <x:c r="M911" s="2" t="n">
        <x:f>IF(OR(B911="",F911=""),0,IF(H911="HOME",COUNTIFS('Istoric_Nativ'!$B$6:$B$405,E911,'Istoric_Nativ'!$C$6:$C$405,F911,'Istoric_Nativ'!$E$6:$E$405,G911,'Istoric_Nativ'!$D$6:$D$405,"&lt;"&amp;J911,'Istoric_Nativ'!$P$6:$P$405,1,'Istoric_Nativ'!$D$6:$D$405,"&gt;="&amp;L911),IF(H911="AWAY",COUNTIFS('Istoric_Nativ'!$B$6:$B$405,E911,'Istoric_Nativ'!$C$6:$C$405,F911,'Istoric_Nativ'!$F$6:$F$405,G911,'Istoric_Nativ'!$D$6:$D$405,"&lt;"&amp;J911,'Istoric_Nativ'!$P$6:$P$405,1,'Istoric_Nativ'!$D$6:$D$405,"&gt;="&amp;L911),COUNTIFS('Istoric_Nativ'!$B$6:$B$405,E911,'Istoric_Nativ'!$C$6:$C$405,F911,'Istoric_Nativ'!$E$6:$E$405,G911,'Istoric_Nativ'!$D$6:$D$405,"&lt;"&amp;J911,'Istoric_Nativ'!$P$6:$P$405,1,'Istoric_Nativ'!$D$6:$D$405,"&gt;="&amp;L911)+COUNTIFS('Istoric_Nativ'!$B$6:$B$405,E911,'Istoric_Nativ'!$C$6:$C$405,F911,'Istoric_Nativ'!$F$6:$F$405,G911,'Istoric_Nativ'!$D$6:$D$405,"&lt;"&amp;J911,'Istoric_Nativ'!$P$6:$P$405,1,'Istoric_Nativ'!$D$6:$D$405,"&gt;="&amp;L911))))</x:f>
        <x:v>0</x:v>
      </x:c>
      <x:c r="N911" s="11" t="str">
        <x:f>IF(M911=0,"",IF(H911="HOME",SUMIFS('Istoric_Nativ'!$G$6:$G$405,'Istoric_Nativ'!$B$6:$B$405,E911,'Istoric_Nativ'!$C$6:$C$405,F911,'Istoric_Nativ'!$E$6:$E$405,G911,'Istoric_Nativ'!$D$6:$D$405,"&lt;"&amp;J911,'Istoric_Nativ'!$P$6:$P$405,1,'Istoric_Nativ'!$D$6:$D$405,"&gt;="&amp;L911),IF(H911="AWAY",SUMIFS('Istoric_Nativ'!$H$6:$H$405,'Istoric_Nativ'!$B$6:$B$405,E911,'Istoric_Nativ'!$C$6:$C$405,F911,'Istoric_Nativ'!$F$6:$F$405,G911,'Istoric_Nativ'!$D$6:$D$405,"&lt;"&amp;J911,'Istoric_Nativ'!$P$6:$P$405,1,'Istoric_Nativ'!$D$6:$D$405,"&gt;="&amp;L911),SUMIFS('Istoric_Nativ'!$G$6:$G$405,'Istoric_Nativ'!$B$6:$B$405,E911,'Istoric_Nativ'!$C$6:$C$405,F911,'Istoric_Nativ'!$E$6:$E$405,G911,'Istoric_Nativ'!$D$6:$D$405,"&lt;"&amp;J911,'Istoric_Nativ'!$P$6:$P$405,1,'Istoric_Nativ'!$D$6:$D$405,"&gt;="&amp;L911)+SUMIFS('Istoric_Nativ'!$H$6:$H$405,'Istoric_Nativ'!$B$6:$B$405,E911,'Istoric_Nativ'!$C$6:$C$405,F911,'Istoric_Nativ'!$F$6:$F$405,G911,'Istoric_Nativ'!$D$6:$D$405,"&lt;"&amp;J911,'Istoric_Nativ'!$P$6:$P$405,1,'Istoric_Nativ'!$D$6:$D$405,"&gt;="&amp;L911)))/M911)</x:f>
      </x:c>
      <x:c r="O911" s="11" t="str">
        <x:f>IF(M911=0,"",IF(H911="HOME",SUMIFS('Istoric_Nativ'!$H$6:$H$405,'Istoric_Nativ'!$B$6:$B$405,E911,'Istoric_Nativ'!$C$6:$C$405,F911,'Istoric_Nativ'!$E$6:$E$405,G911,'Istoric_Nativ'!$D$6:$D$405,"&lt;"&amp;J911,'Istoric_Nativ'!$P$6:$P$405,1,'Istoric_Nativ'!$D$6:$D$405,"&gt;="&amp;L911),IF(H911="AWAY",SUMIFS('Istoric_Nativ'!$G$6:$G$405,'Istoric_Nativ'!$B$6:$B$405,E911,'Istoric_Nativ'!$C$6:$C$405,F911,'Istoric_Nativ'!$F$6:$F$405,G911,'Istoric_Nativ'!$D$6:$D$405,"&lt;"&amp;J911,'Istoric_Nativ'!$P$6:$P$405,1,'Istoric_Nativ'!$D$6:$D$405,"&gt;="&amp;L911),SUMIFS('Istoric_Nativ'!$H$6:$H$405,'Istoric_Nativ'!$B$6:$B$405,E911,'Istoric_Nativ'!$C$6:$C$405,F911,'Istoric_Nativ'!$E$6:$E$405,G911,'Istoric_Nativ'!$D$6:$D$405,"&lt;"&amp;J911,'Istoric_Nativ'!$P$6:$P$405,1,'Istoric_Nativ'!$D$6:$D$405,"&gt;="&amp;L911)+SUMIFS('Istoric_Nativ'!$G$6:$G$405,'Istoric_Nativ'!$B$6:$B$405,E911,'Istoric_Nativ'!$C$6:$C$405,F911,'Istoric_Nativ'!$F$6:$F$405,G911,'Istoric_Nativ'!$D$6:$D$405,"&lt;"&amp;J911,'Istoric_Nativ'!$P$6:$P$405,1,'Istoric_Nativ'!$D$6:$D$405,"&gt;="&amp;L911)))/M911)</x:f>
      </x:c>
      <x:c r="P911" s="2" t="n">
        <x:f>'Config_v6'!$B$9</x:f>
        <x:v>3</x:v>
      </x:c>
      <x:c r="Q911" s="2" t="n">
        <x:f>IF(OR(B911="",F911=""),0,IFERROR(MATCH(E911&amp;"|"&amp;F911,SourceTable[Source_Key],0),0))</x:f>
        <x:v>0</x:v>
      </x:c>
      <x:c r="R911" s="2" t="str">
        <x:f>IF(B911="","",IF(F911="","UNUSED",IF(Q911=0,"NOT CHECKED",IF(COUNTIF(SourceTable[Source_Key],E911&amp;"|"&amp;F911)&lt;&gt;1,"SOURCE CONFLICT",IF(NOT(OR(INDEX(SourceTable[Status],MAX(1,Q911))="IMPORTED",INDEX(SourceTable[Status],MAX(1,Q911))="PARTIAL",INDEX(SourceTable[Status],MAX(1,Q911))="SOURCE CONFLICT")),"ACCESS BLOCKED",IF(OR(INDEX(SourceTable[Coverage],Q911)&lt;&gt;"FULL SEASON EXPORT",INDEX(SourceTable[URL],Q911)="",INDEX(SourceTable[SHA256],Q911)=""),"EVIDENCE INCOMPLETE",IF(AND('Input_Meci'!H81="LIVE",INDEX(SourceTable[Retrieved_UTC],Q911)&gt;'Input_Meci'!G81),"POST CUTOFF","CLOSED")))))))</x:f>
      </x:c>
      <x:c r="S911" s="2" t="n">
        <x:f>IF(OR(B911="",F911=""),0,COUNTIFS('Istoric_Nativ'!$B$6:$B$405,E911,'Istoric_Nativ'!$C$6:$C$405,F911,'Istoric_Nativ'!$E$6:$E$405,G911,'Istoric_Nativ'!$D$6:$D$405,"&lt;"&amp;J911,'Istoric_Nativ'!$O$6:$O$405,"INVALID")+COUNTIFS('Istoric_Nativ'!$B$6:$B$405,E911,'Istoric_Nativ'!$C$6:$C$405,F911,'Istoric_Nativ'!$E$6:$E$405,G911,'Istoric_Nativ'!$O$6:$O$405,"INVALID",'Istoric_Nativ'!$D$6:$D$405,"*")+COUNTIFS('Istoric_Nativ'!$B$6:$B$405,E911,'Istoric_Nativ'!$C$6:$C$405,F911,'Istoric_Nativ'!$E$6:$E$405,G911,'Istoric_Nativ'!$D$6:$D$405,"&lt;"&amp;J911,'Istoric_Nativ'!$O$6:$O$405,"SOURCE CONFLICT")+COUNTIFS('Istoric_Nativ'!$B$6:$B$405,E911,'Istoric_Nativ'!$C$6:$C$405,F911,'Istoric_Nativ'!$F$6:$F$405,G911,'Istoric_Nativ'!$D$6:$D$405,"&lt;"&amp;J911,'Istoric_Nativ'!$O$6:$O$405,"INVALID")+COUNTIFS('Istoric_Nativ'!$B$6:$B$405,E911,'Istoric_Nativ'!$C$6:$C$405,F911,'Istoric_Nativ'!$F$6:$F$405,G911,'Istoric_Nativ'!$O$6:$O$405,"INVALID",'Istoric_Nativ'!$D$6:$D$405,"*")+COUNTIFS('Istoric_Nativ'!$B$6:$B$405,E911,'Istoric_Nativ'!$C$6:$C$405,F911,'Istoric_Nativ'!$F$6:$F$405,G911,'Istoric_Nativ'!$D$6:$D$405,"&lt;"&amp;J911,'Istoric_Nativ'!$O$6:$O$405,"SOURCE CONFLICT"))</x:f>
        <x:v>0</x:v>
      </x:c>
      <x:c r="T911" s="2" t="str">
        <x:f>IF(B911="","",IF(R911&lt;&gt;"CLOSED",R911,IF(S911&gt;0,"NATIVE INPUT ISSUE",IF(M911=0,"NO HISTORY",IF(M911&lt;P911,"SMALL SAMPLE","DERIVED")))))</x:f>
      </x:c>
      <x:c r="U911" s="2" t="str">
        <x:f>IF(B911="","","NativeTable; "&amp;E911&amp;"; "&amp;F911&amp;"; "&amp;G911&amp;"; "&amp;H911&amp;"; before "&amp;TEXT(J911,"yyyy-mm-dd")&amp;IF(I911="RECENT","; from "&amp;TEXT(L911,"yyyy-mm-dd"),""))</x:f>
      </x:c>
    </x:row>
    <x:row r="912" ht="21" customHeight="1">
      <x:c r="A912" s="2" t="n">
        <x:v>76</x:v>
      </x:c>
      <x:c r="B912" s="2" t="str">
        <x:f>IF('Input_Meci'!A81="","",'Input_Meci'!A81)</x:f>
      </x:c>
      <x:c r="C912" s="2" t="str">
        <x:v>H</x:v>
      </x:c>
      <x:c r="D912" s="2" t="str">
        <x:v>PRIOR</x:v>
      </x:c>
      <x:c r="E912" s="2" t="str">
        <x:f>IF(B912="","",'Input_Meci'!B81)</x:f>
      </x:c>
      <x:c r="F912" s="2" t="str">
        <x:f>IF(B912="","",IF('Input_Meci'!K81="","",'Input_Meci'!K81))</x:f>
      </x:c>
      <x:c r="G912" s="2" t="str">
        <x:f>IF(B912="","",'Input_Meci'!D81)</x:f>
      </x:c>
      <x:c r="H912" s="2" t="str">
        <x:v>ANY</x:v>
      </x:c>
      <x:c r="I912" s="2" t="str">
        <x:v>SEASON</x:v>
      </x:c>
      <x:c r="J912" s="9" t="n">
        <x:f>IF(AND(B912&lt;&gt;"",ISNUMBER('Input_Meci'!G81)),INT('Input_Meci'!G81),0)</x:f>
        <x:v>0</x:v>
      </x:c>
      <x:c r="K912" s="2" t="n">
        <x:f>IF(OR(B912="",F912=""),0,IF(H912="HOME",COUNTIFS('Istoric_Nativ'!$B$6:$B$405,E912,'Istoric_Nativ'!$C$6:$C$405,F912,'Istoric_Nativ'!$E$6:$E$405,G912,'Istoric_Nativ'!$D$6:$D$405,"&lt;"&amp;J912,'Istoric_Nativ'!$P$6:$P$405,1),IF(H912="AWAY",COUNTIFS('Istoric_Nativ'!$B$6:$B$405,E912,'Istoric_Nativ'!$C$6:$C$405,F912,'Istoric_Nativ'!$F$6:$F$405,G912,'Istoric_Nativ'!$D$6:$D$405,"&lt;"&amp;J912,'Istoric_Nativ'!$P$6:$P$405,1),COUNTIFS('Istoric_Nativ'!$B$6:$B$405,E912,'Istoric_Nativ'!$C$6:$C$405,F912,'Istoric_Nativ'!$E$6:$E$405,G912,'Istoric_Nativ'!$D$6:$D$405,"&lt;"&amp;J912,'Istoric_Nativ'!$P$6:$P$405,1)+COUNTIFS('Istoric_Nativ'!$B$6:$B$405,E912,'Istoric_Nativ'!$C$6:$C$405,F912,'Istoric_Nativ'!$F$6:$F$405,G912,'Istoric_Nativ'!$D$6:$D$405,"&lt;"&amp;J912,'Istoric_Nativ'!$P$6:$P$405,1))))</x:f>
        <x:v>0</x:v>
      </x:c>
      <x:c r="L912" s="17" t="n">
        <x:f>IF(AND(B912&lt;&gt;"",I912="RECENT",K912&gt;0),LARGE(_xlfn._xlws.FILTER('Istoric_Nativ'!$D$6:$D$405,('Istoric_Nativ'!$B$6:$B$405=E912)*('Istoric_Nativ'!$C$6:$C$405=F912)*('Istoric_Nativ'!$P$6:$P$405=1)*('Istoric_Nativ'!$D$6:$D$405&lt;J912)*((('Istoric_Nativ'!$E$6:$E$405=G912)+('Istoric_Nativ'!$F$6:$F$405=G912))&gt;0)),MIN('Config_v6'!$B$54,K912)),0)</x:f>
        <x:v>0</x:v>
      </x:c>
      <x:c r="M912" s="2" t="n">
        <x:f>IF(OR(B912="",F912=""),0,IF(H912="HOME",COUNTIFS('Istoric_Nativ'!$B$6:$B$405,E912,'Istoric_Nativ'!$C$6:$C$405,F912,'Istoric_Nativ'!$E$6:$E$405,G912,'Istoric_Nativ'!$D$6:$D$405,"&lt;"&amp;J912,'Istoric_Nativ'!$P$6:$P$405,1,'Istoric_Nativ'!$D$6:$D$405,"&gt;="&amp;L912),IF(H912="AWAY",COUNTIFS('Istoric_Nativ'!$B$6:$B$405,E912,'Istoric_Nativ'!$C$6:$C$405,F912,'Istoric_Nativ'!$F$6:$F$405,G912,'Istoric_Nativ'!$D$6:$D$405,"&lt;"&amp;J912,'Istoric_Nativ'!$P$6:$P$405,1,'Istoric_Nativ'!$D$6:$D$405,"&gt;="&amp;L912),COUNTIFS('Istoric_Nativ'!$B$6:$B$405,E912,'Istoric_Nativ'!$C$6:$C$405,F912,'Istoric_Nativ'!$E$6:$E$405,G912,'Istoric_Nativ'!$D$6:$D$405,"&lt;"&amp;J912,'Istoric_Nativ'!$P$6:$P$405,1,'Istoric_Nativ'!$D$6:$D$405,"&gt;="&amp;L912)+COUNTIFS('Istoric_Nativ'!$B$6:$B$405,E912,'Istoric_Nativ'!$C$6:$C$405,F912,'Istoric_Nativ'!$F$6:$F$405,G912,'Istoric_Nativ'!$D$6:$D$405,"&lt;"&amp;J912,'Istoric_Nativ'!$P$6:$P$405,1,'Istoric_Nativ'!$D$6:$D$405,"&gt;="&amp;L912))))</x:f>
        <x:v>0</x:v>
      </x:c>
      <x:c r="N912" s="11" t="str">
        <x:f>IF(M912=0,"",IF(H912="HOME",SUMIFS('Istoric_Nativ'!$G$6:$G$405,'Istoric_Nativ'!$B$6:$B$405,E912,'Istoric_Nativ'!$C$6:$C$405,F912,'Istoric_Nativ'!$E$6:$E$405,G912,'Istoric_Nativ'!$D$6:$D$405,"&lt;"&amp;J912,'Istoric_Nativ'!$P$6:$P$405,1,'Istoric_Nativ'!$D$6:$D$405,"&gt;="&amp;L912),IF(H912="AWAY",SUMIFS('Istoric_Nativ'!$H$6:$H$405,'Istoric_Nativ'!$B$6:$B$405,E912,'Istoric_Nativ'!$C$6:$C$405,F912,'Istoric_Nativ'!$F$6:$F$405,G912,'Istoric_Nativ'!$D$6:$D$405,"&lt;"&amp;J912,'Istoric_Nativ'!$P$6:$P$405,1,'Istoric_Nativ'!$D$6:$D$405,"&gt;="&amp;L912),SUMIFS('Istoric_Nativ'!$G$6:$G$405,'Istoric_Nativ'!$B$6:$B$405,E912,'Istoric_Nativ'!$C$6:$C$405,F912,'Istoric_Nativ'!$E$6:$E$405,G912,'Istoric_Nativ'!$D$6:$D$405,"&lt;"&amp;J912,'Istoric_Nativ'!$P$6:$P$405,1,'Istoric_Nativ'!$D$6:$D$405,"&gt;="&amp;L912)+SUMIFS('Istoric_Nativ'!$H$6:$H$405,'Istoric_Nativ'!$B$6:$B$405,E912,'Istoric_Nativ'!$C$6:$C$405,F912,'Istoric_Nativ'!$F$6:$F$405,G912,'Istoric_Nativ'!$D$6:$D$405,"&lt;"&amp;J912,'Istoric_Nativ'!$P$6:$P$405,1,'Istoric_Nativ'!$D$6:$D$405,"&gt;="&amp;L912)))/M912)</x:f>
      </x:c>
      <x:c r="O912" s="11" t="str">
        <x:f>IF(M912=0,"",IF(H912="HOME",SUMIFS('Istoric_Nativ'!$H$6:$H$405,'Istoric_Nativ'!$B$6:$B$405,E912,'Istoric_Nativ'!$C$6:$C$405,F912,'Istoric_Nativ'!$E$6:$E$405,G912,'Istoric_Nativ'!$D$6:$D$405,"&lt;"&amp;J912,'Istoric_Nativ'!$P$6:$P$405,1,'Istoric_Nativ'!$D$6:$D$405,"&gt;="&amp;L912),IF(H912="AWAY",SUMIFS('Istoric_Nativ'!$G$6:$G$405,'Istoric_Nativ'!$B$6:$B$405,E912,'Istoric_Nativ'!$C$6:$C$405,F912,'Istoric_Nativ'!$F$6:$F$405,G912,'Istoric_Nativ'!$D$6:$D$405,"&lt;"&amp;J912,'Istoric_Nativ'!$P$6:$P$405,1,'Istoric_Nativ'!$D$6:$D$405,"&gt;="&amp;L912),SUMIFS('Istoric_Nativ'!$H$6:$H$405,'Istoric_Nativ'!$B$6:$B$405,E912,'Istoric_Nativ'!$C$6:$C$405,F912,'Istoric_Nativ'!$E$6:$E$405,G912,'Istoric_Nativ'!$D$6:$D$405,"&lt;"&amp;J912,'Istoric_Nativ'!$P$6:$P$405,1,'Istoric_Nativ'!$D$6:$D$405,"&gt;="&amp;L912)+SUMIFS('Istoric_Nativ'!$G$6:$G$405,'Istoric_Nativ'!$B$6:$B$405,E912,'Istoric_Nativ'!$C$6:$C$405,F912,'Istoric_Nativ'!$F$6:$F$405,G912,'Istoric_Nativ'!$D$6:$D$405,"&lt;"&amp;J912,'Istoric_Nativ'!$P$6:$P$405,1,'Istoric_Nativ'!$D$6:$D$405,"&gt;="&amp;L912)))/M912)</x:f>
      </x:c>
      <x:c r="P912" s="2" t="n">
        <x:f>'Config_v6'!$B$7</x:f>
        <x:v>10</x:v>
      </x:c>
      <x:c r="Q912" s="2" t="n">
        <x:f>IF(OR(B912="",F912=""),0,IFERROR(MATCH(E912&amp;"|"&amp;F912,SourceTable[Source_Key],0),0))</x:f>
        <x:v>0</x:v>
      </x:c>
      <x:c r="R912" s="2" t="str">
        <x:f>IF(B912="","",IF(F912="","UNUSED",IF(Q912=0,"NOT CHECKED",IF(COUNTIF(SourceTable[Source_Key],E912&amp;"|"&amp;F912)&lt;&gt;1,"SOURCE CONFLICT",IF(NOT(OR(INDEX(SourceTable[Status],MAX(1,Q912))="IMPORTED",INDEX(SourceTable[Status],MAX(1,Q912))="PARTIAL",INDEX(SourceTable[Status],MAX(1,Q912))="SOURCE CONFLICT")),"ACCESS BLOCKED",IF(OR(INDEX(SourceTable[Coverage],Q912)&lt;&gt;"FULL SEASON EXPORT",INDEX(SourceTable[URL],Q912)="",INDEX(SourceTable[SHA256],Q912)=""),"EVIDENCE INCOMPLETE",IF(AND('Input_Meci'!H81="LIVE",INDEX(SourceTable[Retrieved_UTC],Q912)&gt;'Input_Meci'!G81),"POST CUTOFF","CLOSED")))))))</x:f>
      </x:c>
      <x:c r="S912" s="2" t="n">
        <x:f>IF(OR(B912="",F912=""),0,COUNTIFS('Istoric_Nativ'!$B$6:$B$405,E912,'Istoric_Nativ'!$C$6:$C$405,F912,'Istoric_Nativ'!$E$6:$E$405,G912,'Istoric_Nativ'!$D$6:$D$405,"&lt;"&amp;J912,'Istoric_Nativ'!$O$6:$O$405,"INVALID")+COUNTIFS('Istoric_Nativ'!$B$6:$B$405,E912,'Istoric_Nativ'!$C$6:$C$405,F912,'Istoric_Nativ'!$E$6:$E$405,G912,'Istoric_Nativ'!$O$6:$O$405,"INVALID",'Istoric_Nativ'!$D$6:$D$405,"*")+COUNTIFS('Istoric_Nativ'!$B$6:$B$405,E912,'Istoric_Nativ'!$C$6:$C$405,F912,'Istoric_Nativ'!$E$6:$E$405,G912,'Istoric_Nativ'!$D$6:$D$405,"&lt;"&amp;J912,'Istoric_Nativ'!$O$6:$O$405,"SOURCE CONFLICT")+COUNTIFS('Istoric_Nativ'!$B$6:$B$405,E912,'Istoric_Nativ'!$C$6:$C$405,F912,'Istoric_Nativ'!$F$6:$F$405,G912,'Istoric_Nativ'!$D$6:$D$405,"&lt;"&amp;J912,'Istoric_Nativ'!$O$6:$O$405,"INVALID")+COUNTIFS('Istoric_Nativ'!$B$6:$B$405,E912,'Istoric_Nativ'!$C$6:$C$405,F912,'Istoric_Nativ'!$F$6:$F$405,G912,'Istoric_Nativ'!$O$6:$O$405,"INVALID",'Istoric_Nativ'!$D$6:$D$405,"*")+COUNTIFS('Istoric_Nativ'!$B$6:$B$405,E912,'Istoric_Nativ'!$C$6:$C$405,F912,'Istoric_Nativ'!$F$6:$F$405,G912,'Istoric_Nativ'!$D$6:$D$405,"&lt;"&amp;J912,'Istoric_Nativ'!$O$6:$O$405,"SOURCE CONFLICT"))</x:f>
        <x:v>0</x:v>
      </x:c>
      <x:c r="T912" s="2" t="str">
        <x:f>IF(B912="","",IF(R912&lt;&gt;"CLOSED",R912,IF(S912&gt;0,"NATIVE INPUT ISSUE",IF(M912=0,"NO HISTORY",IF(M912&lt;P912,"SMALL SAMPLE","DERIVED")))))</x:f>
      </x:c>
      <x:c r="U912" s="2" t="str">
        <x:f>IF(B912="","","NativeTable; "&amp;E912&amp;"; "&amp;F912&amp;"; "&amp;G912&amp;"; "&amp;H912&amp;"; before "&amp;TEXT(J912,"yyyy-mm-dd")&amp;IF(I912="RECENT","; from "&amp;TEXT(L912,"yyyy-mm-dd"),""))</x:f>
      </x:c>
    </x:row>
    <x:row r="913" ht="21" customHeight="1">
      <x:c r="A913" s="2" t="n">
        <x:v>76</x:v>
      </x:c>
      <x:c r="B913" s="2" t="str">
        <x:f>IF('Input_Meci'!A81="","",'Input_Meci'!A81)</x:f>
      </x:c>
      <x:c r="C913" s="2" t="str">
        <x:v>H</x:v>
      </x:c>
      <x:c r="D913" s="2" t="str">
        <x:v>PRIOR</x:v>
      </x:c>
      <x:c r="E913" s="2" t="str">
        <x:f>IF(B913="","",'Input_Meci'!B81)</x:f>
      </x:c>
      <x:c r="F913" s="2" t="str">
        <x:f>IF(B913="","",IF('Input_Meci'!K81="","",'Input_Meci'!K81))</x:f>
      </x:c>
      <x:c r="G913" s="2" t="str">
        <x:f>IF(B913="","",'Input_Meci'!D81)</x:f>
      </x:c>
      <x:c r="H913" s="2" t="str">
        <x:v>HOME</x:v>
      </x:c>
      <x:c r="I913" s="2" t="str">
        <x:v>HA</x:v>
      </x:c>
      <x:c r="J913" s="9" t="n">
        <x:f>IF(AND(B913&lt;&gt;"",ISNUMBER('Input_Meci'!G81)),INT('Input_Meci'!G81),0)</x:f>
        <x:v>0</x:v>
      </x:c>
      <x:c r="K913" s="2" t="n">
        <x:f>IF(OR(B913="",F913=""),0,IF(H913="HOME",COUNTIFS('Istoric_Nativ'!$B$6:$B$405,E913,'Istoric_Nativ'!$C$6:$C$405,F913,'Istoric_Nativ'!$E$6:$E$405,G913,'Istoric_Nativ'!$D$6:$D$405,"&lt;"&amp;J913,'Istoric_Nativ'!$P$6:$P$405,1),IF(H913="AWAY",COUNTIFS('Istoric_Nativ'!$B$6:$B$405,E913,'Istoric_Nativ'!$C$6:$C$405,F913,'Istoric_Nativ'!$F$6:$F$405,G913,'Istoric_Nativ'!$D$6:$D$405,"&lt;"&amp;J913,'Istoric_Nativ'!$P$6:$P$405,1),COUNTIFS('Istoric_Nativ'!$B$6:$B$405,E913,'Istoric_Nativ'!$C$6:$C$405,F913,'Istoric_Nativ'!$E$6:$E$405,G913,'Istoric_Nativ'!$D$6:$D$405,"&lt;"&amp;J913,'Istoric_Nativ'!$P$6:$P$405,1)+COUNTIFS('Istoric_Nativ'!$B$6:$B$405,E913,'Istoric_Nativ'!$C$6:$C$405,F913,'Istoric_Nativ'!$F$6:$F$405,G913,'Istoric_Nativ'!$D$6:$D$405,"&lt;"&amp;J913,'Istoric_Nativ'!$P$6:$P$405,1))))</x:f>
        <x:v>0</x:v>
      </x:c>
      <x:c r="L913" s="17" t="n">
        <x:f>IF(AND(B913&lt;&gt;"",I913="RECENT",K913&gt;0),LARGE(_xlfn._xlws.FILTER('Istoric_Nativ'!$D$6:$D$405,('Istoric_Nativ'!$B$6:$B$405=E913)*('Istoric_Nativ'!$C$6:$C$405=F913)*('Istoric_Nativ'!$P$6:$P$405=1)*('Istoric_Nativ'!$D$6:$D$405&lt;J913)*((('Istoric_Nativ'!$E$6:$E$405=G913)+('Istoric_Nativ'!$F$6:$F$405=G913))&gt;0)),MIN('Config_v6'!$B$54,K913)),0)</x:f>
        <x:v>0</x:v>
      </x:c>
      <x:c r="M913" s="2" t="n">
        <x:f>IF(OR(B913="",F913=""),0,IF(H913="HOME",COUNTIFS('Istoric_Nativ'!$B$6:$B$405,E913,'Istoric_Nativ'!$C$6:$C$405,F913,'Istoric_Nativ'!$E$6:$E$405,G913,'Istoric_Nativ'!$D$6:$D$405,"&lt;"&amp;J913,'Istoric_Nativ'!$P$6:$P$405,1,'Istoric_Nativ'!$D$6:$D$405,"&gt;="&amp;L913),IF(H913="AWAY",COUNTIFS('Istoric_Nativ'!$B$6:$B$405,E913,'Istoric_Nativ'!$C$6:$C$405,F913,'Istoric_Nativ'!$F$6:$F$405,G913,'Istoric_Nativ'!$D$6:$D$405,"&lt;"&amp;J913,'Istoric_Nativ'!$P$6:$P$405,1,'Istoric_Nativ'!$D$6:$D$405,"&gt;="&amp;L913),COUNTIFS('Istoric_Nativ'!$B$6:$B$405,E913,'Istoric_Nativ'!$C$6:$C$405,F913,'Istoric_Nativ'!$E$6:$E$405,G913,'Istoric_Nativ'!$D$6:$D$405,"&lt;"&amp;J913,'Istoric_Nativ'!$P$6:$P$405,1,'Istoric_Nativ'!$D$6:$D$405,"&gt;="&amp;L913)+COUNTIFS('Istoric_Nativ'!$B$6:$B$405,E913,'Istoric_Nativ'!$C$6:$C$405,F913,'Istoric_Nativ'!$F$6:$F$405,G913,'Istoric_Nativ'!$D$6:$D$405,"&lt;"&amp;J913,'Istoric_Nativ'!$P$6:$P$405,1,'Istoric_Nativ'!$D$6:$D$405,"&gt;="&amp;L913))))</x:f>
        <x:v>0</x:v>
      </x:c>
      <x:c r="N913" s="11" t="str">
        <x:f>IF(M913=0,"",IF(H913="HOME",SUMIFS('Istoric_Nativ'!$G$6:$G$405,'Istoric_Nativ'!$B$6:$B$405,E913,'Istoric_Nativ'!$C$6:$C$405,F913,'Istoric_Nativ'!$E$6:$E$405,G913,'Istoric_Nativ'!$D$6:$D$405,"&lt;"&amp;J913,'Istoric_Nativ'!$P$6:$P$405,1,'Istoric_Nativ'!$D$6:$D$405,"&gt;="&amp;L913),IF(H913="AWAY",SUMIFS('Istoric_Nativ'!$H$6:$H$405,'Istoric_Nativ'!$B$6:$B$405,E913,'Istoric_Nativ'!$C$6:$C$405,F913,'Istoric_Nativ'!$F$6:$F$405,G913,'Istoric_Nativ'!$D$6:$D$405,"&lt;"&amp;J913,'Istoric_Nativ'!$P$6:$P$405,1,'Istoric_Nativ'!$D$6:$D$405,"&gt;="&amp;L913),SUMIFS('Istoric_Nativ'!$G$6:$G$405,'Istoric_Nativ'!$B$6:$B$405,E913,'Istoric_Nativ'!$C$6:$C$405,F913,'Istoric_Nativ'!$E$6:$E$405,G913,'Istoric_Nativ'!$D$6:$D$405,"&lt;"&amp;J913,'Istoric_Nativ'!$P$6:$P$405,1,'Istoric_Nativ'!$D$6:$D$405,"&gt;="&amp;L913)+SUMIFS('Istoric_Nativ'!$H$6:$H$405,'Istoric_Nativ'!$B$6:$B$405,E913,'Istoric_Nativ'!$C$6:$C$405,F913,'Istoric_Nativ'!$F$6:$F$405,G913,'Istoric_Nativ'!$D$6:$D$405,"&lt;"&amp;J913,'Istoric_Nativ'!$P$6:$P$405,1,'Istoric_Nativ'!$D$6:$D$405,"&gt;="&amp;L913)))/M913)</x:f>
      </x:c>
      <x:c r="O913" s="11" t="str">
        <x:f>IF(M913=0,"",IF(H913="HOME",SUMIFS('Istoric_Nativ'!$H$6:$H$405,'Istoric_Nativ'!$B$6:$B$405,E913,'Istoric_Nativ'!$C$6:$C$405,F913,'Istoric_Nativ'!$E$6:$E$405,G913,'Istoric_Nativ'!$D$6:$D$405,"&lt;"&amp;J913,'Istoric_Nativ'!$P$6:$P$405,1,'Istoric_Nativ'!$D$6:$D$405,"&gt;="&amp;L913),IF(H913="AWAY",SUMIFS('Istoric_Nativ'!$G$6:$G$405,'Istoric_Nativ'!$B$6:$B$405,E913,'Istoric_Nativ'!$C$6:$C$405,F913,'Istoric_Nativ'!$F$6:$F$405,G913,'Istoric_Nativ'!$D$6:$D$405,"&lt;"&amp;J913,'Istoric_Nativ'!$P$6:$P$405,1,'Istoric_Nativ'!$D$6:$D$405,"&gt;="&amp;L913),SUMIFS('Istoric_Nativ'!$H$6:$H$405,'Istoric_Nativ'!$B$6:$B$405,E913,'Istoric_Nativ'!$C$6:$C$405,F913,'Istoric_Nativ'!$E$6:$E$405,G913,'Istoric_Nativ'!$D$6:$D$405,"&lt;"&amp;J913,'Istoric_Nativ'!$P$6:$P$405,1,'Istoric_Nativ'!$D$6:$D$405,"&gt;="&amp;L913)+SUMIFS('Istoric_Nativ'!$G$6:$G$405,'Istoric_Nativ'!$B$6:$B$405,E913,'Istoric_Nativ'!$C$6:$C$405,F913,'Istoric_Nativ'!$F$6:$F$405,G913,'Istoric_Nativ'!$D$6:$D$405,"&lt;"&amp;J913,'Istoric_Nativ'!$P$6:$P$405,1,'Istoric_Nativ'!$D$6:$D$405,"&gt;="&amp;L913)))/M913)</x:f>
      </x:c>
      <x:c r="P913" s="2" t="n">
        <x:f>'Config_v6'!$B$8</x:f>
        <x:v>5</x:v>
      </x:c>
      <x:c r="Q913" s="2" t="n">
        <x:f>IF(OR(B913="",F913=""),0,IFERROR(MATCH(E913&amp;"|"&amp;F913,SourceTable[Source_Key],0),0))</x:f>
        <x:v>0</x:v>
      </x:c>
      <x:c r="R913" s="2" t="str">
        <x:f>IF(B913="","",IF(F913="","UNUSED",IF(Q913=0,"NOT CHECKED",IF(COUNTIF(SourceTable[Source_Key],E913&amp;"|"&amp;F913)&lt;&gt;1,"SOURCE CONFLICT",IF(NOT(OR(INDEX(SourceTable[Status],MAX(1,Q913))="IMPORTED",INDEX(SourceTable[Status],MAX(1,Q913))="PARTIAL",INDEX(SourceTable[Status],MAX(1,Q913))="SOURCE CONFLICT")),"ACCESS BLOCKED",IF(OR(INDEX(SourceTable[Coverage],Q913)&lt;&gt;"FULL SEASON EXPORT",INDEX(SourceTable[URL],Q913)="",INDEX(SourceTable[SHA256],Q913)=""),"EVIDENCE INCOMPLETE",IF(AND('Input_Meci'!H81="LIVE",INDEX(SourceTable[Retrieved_UTC],Q913)&gt;'Input_Meci'!G81),"POST CUTOFF","CLOSED")))))))</x:f>
      </x:c>
      <x:c r="S913" s="2" t="n">
        <x:f>IF(OR(B913="",F913=""),0,COUNTIFS('Istoric_Nativ'!$B$6:$B$405,E913,'Istoric_Nativ'!$C$6:$C$405,F913,'Istoric_Nativ'!$E$6:$E$405,G913,'Istoric_Nativ'!$D$6:$D$405,"&lt;"&amp;J913,'Istoric_Nativ'!$O$6:$O$405,"INVALID")+COUNTIFS('Istoric_Nativ'!$B$6:$B$405,E913,'Istoric_Nativ'!$C$6:$C$405,F913,'Istoric_Nativ'!$E$6:$E$405,G913,'Istoric_Nativ'!$O$6:$O$405,"INVALID",'Istoric_Nativ'!$D$6:$D$405,"*")+COUNTIFS('Istoric_Nativ'!$B$6:$B$405,E913,'Istoric_Nativ'!$C$6:$C$405,F913,'Istoric_Nativ'!$E$6:$E$405,G913,'Istoric_Nativ'!$D$6:$D$405,"&lt;"&amp;J913,'Istoric_Nativ'!$O$6:$O$405,"SOURCE CONFLICT")+COUNTIFS('Istoric_Nativ'!$B$6:$B$405,E913,'Istoric_Nativ'!$C$6:$C$405,F913,'Istoric_Nativ'!$F$6:$F$405,G913,'Istoric_Nativ'!$D$6:$D$405,"&lt;"&amp;J913,'Istoric_Nativ'!$O$6:$O$405,"INVALID")+COUNTIFS('Istoric_Nativ'!$B$6:$B$405,E913,'Istoric_Nativ'!$C$6:$C$405,F913,'Istoric_Nativ'!$F$6:$F$405,G913,'Istoric_Nativ'!$O$6:$O$405,"INVALID",'Istoric_Nativ'!$D$6:$D$405,"*")+COUNTIFS('Istoric_Nativ'!$B$6:$B$405,E913,'Istoric_Nativ'!$C$6:$C$405,F913,'Istoric_Nativ'!$F$6:$F$405,G913,'Istoric_Nativ'!$D$6:$D$405,"&lt;"&amp;J913,'Istoric_Nativ'!$O$6:$O$405,"SOURCE CONFLICT"))</x:f>
        <x:v>0</x:v>
      </x:c>
      <x:c r="T913" s="2" t="str">
        <x:f>IF(B913="","",IF(R913&lt;&gt;"CLOSED",R913,IF(S913&gt;0,"NATIVE INPUT ISSUE",IF(M913=0,"NO HISTORY",IF(M913&lt;P913,"SMALL SAMPLE","DERIVED")))))</x:f>
      </x:c>
      <x:c r="U913" s="2" t="str">
        <x:f>IF(B913="","","NativeTable; "&amp;E913&amp;"; "&amp;F913&amp;"; "&amp;G913&amp;"; "&amp;H913&amp;"; before "&amp;TEXT(J913,"yyyy-mm-dd")&amp;IF(I913="RECENT","; from "&amp;TEXT(L913,"yyyy-mm-dd"),""))</x:f>
      </x:c>
    </x:row>
    <x:row r="914" ht="21" customHeight="1">
      <x:c r="A914" s="2" t="n">
        <x:v>76</x:v>
      </x:c>
      <x:c r="B914" s="2" t="str">
        <x:f>IF('Input_Meci'!A81="","",'Input_Meci'!A81)</x:f>
      </x:c>
      <x:c r="C914" s="2" t="str">
        <x:v>H</x:v>
      </x:c>
      <x:c r="D914" s="2" t="str">
        <x:v>PRIOR</x:v>
      </x:c>
      <x:c r="E914" s="2" t="str">
        <x:f>IF(B914="","",'Input_Meci'!B81)</x:f>
      </x:c>
      <x:c r="F914" s="2" t="str">
        <x:f>IF(B914="","",IF('Input_Meci'!K81="","",'Input_Meci'!K81))</x:f>
      </x:c>
      <x:c r="G914" s="2" t="str">
        <x:f>IF(B914="","",'Input_Meci'!D81)</x:f>
      </x:c>
      <x:c r="H914" s="2" t="str">
        <x:v>ANY</x:v>
      </x:c>
      <x:c r="I914" s="2" t="str">
        <x:v>RECENT</x:v>
      </x:c>
      <x:c r="J914" s="9" t="n">
        <x:f>IF(AND(B914&lt;&gt;"",ISNUMBER('Input_Meci'!G81)),INT('Input_Meci'!G81),0)</x:f>
        <x:v>0</x:v>
      </x:c>
      <x:c r="K914" s="2" t="n">
        <x:f>IF(OR(B914="",F914=""),0,IF(H914="HOME",COUNTIFS('Istoric_Nativ'!$B$6:$B$405,E914,'Istoric_Nativ'!$C$6:$C$405,F914,'Istoric_Nativ'!$E$6:$E$405,G914,'Istoric_Nativ'!$D$6:$D$405,"&lt;"&amp;J914,'Istoric_Nativ'!$P$6:$P$405,1),IF(H914="AWAY",COUNTIFS('Istoric_Nativ'!$B$6:$B$405,E914,'Istoric_Nativ'!$C$6:$C$405,F914,'Istoric_Nativ'!$F$6:$F$405,G914,'Istoric_Nativ'!$D$6:$D$405,"&lt;"&amp;J914,'Istoric_Nativ'!$P$6:$P$405,1),COUNTIFS('Istoric_Nativ'!$B$6:$B$405,E914,'Istoric_Nativ'!$C$6:$C$405,F914,'Istoric_Nativ'!$E$6:$E$405,G914,'Istoric_Nativ'!$D$6:$D$405,"&lt;"&amp;J914,'Istoric_Nativ'!$P$6:$P$405,1)+COUNTIFS('Istoric_Nativ'!$B$6:$B$405,E914,'Istoric_Nativ'!$C$6:$C$405,F914,'Istoric_Nativ'!$F$6:$F$405,G914,'Istoric_Nativ'!$D$6:$D$405,"&lt;"&amp;J914,'Istoric_Nativ'!$P$6:$P$405,1))))</x:f>
        <x:v>0</x:v>
      </x:c>
      <x:c r="L914" s="17" t="n">
        <x:f>IF(AND(B914&lt;&gt;"",I914="RECENT",K914&gt;0),LARGE(_xlfn._xlws.FILTER('Istoric_Nativ'!$D$6:$D$405,('Istoric_Nativ'!$B$6:$B$405=E914)*('Istoric_Nativ'!$C$6:$C$405=F914)*('Istoric_Nativ'!$P$6:$P$405=1)*('Istoric_Nativ'!$D$6:$D$405&lt;J914)*((('Istoric_Nativ'!$E$6:$E$405=G914)+('Istoric_Nativ'!$F$6:$F$405=G914))&gt;0)),MIN('Config_v6'!$B$54,K914)),0)</x:f>
        <x:v>0</x:v>
      </x:c>
      <x:c r="M914" s="2" t="n">
        <x:f>IF(OR(B914="",F914=""),0,IF(H914="HOME",COUNTIFS('Istoric_Nativ'!$B$6:$B$405,E914,'Istoric_Nativ'!$C$6:$C$405,F914,'Istoric_Nativ'!$E$6:$E$405,G914,'Istoric_Nativ'!$D$6:$D$405,"&lt;"&amp;J914,'Istoric_Nativ'!$P$6:$P$405,1,'Istoric_Nativ'!$D$6:$D$405,"&gt;="&amp;L914),IF(H914="AWAY",COUNTIFS('Istoric_Nativ'!$B$6:$B$405,E914,'Istoric_Nativ'!$C$6:$C$405,F914,'Istoric_Nativ'!$F$6:$F$405,G914,'Istoric_Nativ'!$D$6:$D$405,"&lt;"&amp;J914,'Istoric_Nativ'!$P$6:$P$405,1,'Istoric_Nativ'!$D$6:$D$405,"&gt;="&amp;L914),COUNTIFS('Istoric_Nativ'!$B$6:$B$405,E914,'Istoric_Nativ'!$C$6:$C$405,F914,'Istoric_Nativ'!$E$6:$E$405,G914,'Istoric_Nativ'!$D$6:$D$405,"&lt;"&amp;J914,'Istoric_Nativ'!$P$6:$P$405,1,'Istoric_Nativ'!$D$6:$D$405,"&gt;="&amp;L914)+COUNTIFS('Istoric_Nativ'!$B$6:$B$405,E914,'Istoric_Nativ'!$C$6:$C$405,F914,'Istoric_Nativ'!$F$6:$F$405,G914,'Istoric_Nativ'!$D$6:$D$405,"&lt;"&amp;J914,'Istoric_Nativ'!$P$6:$P$405,1,'Istoric_Nativ'!$D$6:$D$405,"&gt;="&amp;L914))))</x:f>
        <x:v>0</x:v>
      </x:c>
      <x:c r="N914" s="11" t="str">
        <x:f>IF(M914=0,"",IF(H914="HOME",SUMIFS('Istoric_Nativ'!$G$6:$G$405,'Istoric_Nativ'!$B$6:$B$405,E914,'Istoric_Nativ'!$C$6:$C$405,F914,'Istoric_Nativ'!$E$6:$E$405,G914,'Istoric_Nativ'!$D$6:$D$405,"&lt;"&amp;J914,'Istoric_Nativ'!$P$6:$P$405,1,'Istoric_Nativ'!$D$6:$D$405,"&gt;="&amp;L914),IF(H914="AWAY",SUMIFS('Istoric_Nativ'!$H$6:$H$405,'Istoric_Nativ'!$B$6:$B$405,E914,'Istoric_Nativ'!$C$6:$C$405,F914,'Istoric_Nativ'!$F$6:$F$405,G914,'Istoric_Nativ'!$D$6:$D$405,"&lt;"&amp;J914,'Istoric_Nativ'!$P$6:$P$405,1,'Istoric_Nativ'!$D$6:$D$405,"&gt;="&amp;L914),SUMIFS('Istoric_Nativ'!$G$6:$G$405,'Istoric_Nativ'!$B$6:$B$405,E914,'Istoric_Nativ'!$C$6:$C$405,F914,'Istoric_Nativ'!$E$6:$E$405,G914,'Istoric_Nativ'!$D$6:$D$405,"&lt;"&amp;J914,'Istoric_Nativ'!$P$6:$P$405,1,'Istoric_Nativ'!$D$6:$D$405,"&gt;="&amp;L914)+SUMIFS('Istoric_Nativ'!$H$6:$H$405,'Istoric_Nativ'!$B$6:$B$405,E914,'Istoric_Nativ'!$C$6:$C$405,F914,'Istoric_Nativ'!$F$6:$F$405,G914,'Istoric_Nativ'!$D$6:$D$405,"&lt;"&amp;J914,'Istoric_Nativ'!$P$6:$P$405,1,'Istoric_Nativ'!$D$6:$D$405,"&gt;="&amp;L914)))/M914)</x:f>
      </x:c>
      <x:c r="O914" s="11" t="str">
        <x:f>IF(M914=0,"",IF(H914="HOME",SUMIFS('Istoric_Nativ'!$H$6:$H$405,'Istoric_Nativ'!$B$6:$B$405,E914,'Istoric_Nativ'!$C$6:$C$405,F914,'Istoric_Nativ'!$E$6:$E$405,G914,'Istoric_Nativ'!$D$6:$D$405,"&lt;"&amp;J914,'Istoric_Nativ'!$P$6:$P$405,1,'Istoric_Nativ'!$D$6:$D$405,"&gt;="&amp;L914),IF(H914="AWAY",SUMIFS('Istoric_Nativ'!$G$6:$G$405,'Istoric_Nativ'!$B$6:$B$405,E914,'Istoric_Nativ'!$C$6:$C$405,F914,'Istoric_Nativ'!$F$6:$F$405,G914,'Istoric_Nativ'!$D$6:$D$405,"&lt;"&amp;J914,'Istoric_Nativ'!$P$6:$P$405,1,'Istoric_Nativ'!$D$6:$D$405,"&gt;="&amp;L914),SUMIFS('Istoric_Nativ'!$H$6:$H$405,'Istoric_Nativ'!$B$6:$B$405,E914,'Istoric_Nativ'!$C$6:$C$405,F914,'Istoric_Nativ'!$E$6:$E$405,G914,'Istoric_Nativ'!$D$6:$D$405,"&lt;"&amp;J914,'Istoric_Nativ'!$P$6:$P$405,1,'Istoric_Nativ'!$D$6:$D$405,"&gt;="&amp;L914)+SUMIFS('Istoric_Nativ'!$G$6:$G$405,'Istoric_Nativ'!$B$6:$B$405,E914,'Istoric_Nativ'!$C$6:$C$405,F914,'Istoric_Nativ'!$F$6:$F$405,G914,'Istoric_Nativ'!$D$6:$D$405,"&lt;"&amp;J914,'Istoric_Nativ'!$P$6:$P$405,1,'Istoric_Nativ'!$D$6:$D$405,"&gt;="&amp;L914)))/M914)</x:f>
      </x:c>
      <x:c r="P914" s="2" t="n">
        <x:f>'Config_v6'!$B$9</x:f>
        <x:v>3</x:v>
      </x:c>
      <x:c r="Q914" s="2" t="n">
        <x:f>IF(OR(B914="",F914=""),0,IFERROR(MATCH(E914&amp;"|"&amp;F914,SourceTable[Source_Key],0),0))</x:f>
        <x:v>0</x:v>
      </x:c>
      <x:c r="R914" s="2" t="str">
        <x:f>IF(B914="","",IF(F914="","UNUSED",IF(Q914=0,"NOT CHECKED",IF(COUNTIF(SourceTable[Source_Key],E914&amp;"|"&amp;F914)&lt;&gt;1,"SOURCE CONFLICT",IF(NOT(OR(INDEX(SourceTable[Status],MAX(1,Q914))="IMPORTED",INDEX(SourceTable[Status],MAX(1,Q914))="PARTIAL",INDEX(SourceTable[Status],MAX(1,Q914))="SOURCE CONFLICT")),"ACCESS BLOCKED",IF(OR(INDEX(SourceTable[Coverage],Q914)&lt;&gt;"FULL SEASON EXPORT",INDEX(SourceTable[URL],Q914)="",INDEX(SourceTable[SHA256],Q914)=""),"EVIDENCE INCOMPLETE",IF(AND('Input_Meci'!H81="LIVE",INDEX(SourceTable[Retrieved_UTC],Q914)&gt;'Input_Meci'!G81),"POST CUTOFF","CLOSED")))))))</x:f>
      </x:c>
      <x:c r="S914" s="2" t="n">
        <x:f>IF(OR(B914="",F914=""),0,COUNTIFS('Istoric_Nativ'!$B$6:$B$405,E914,'Istoric_Nativ'!$C$6:$C$405,F914,'Istoric_Nativ'!$E$6:$E$405,G914,'Istoric_Nativ'!$D$6:$D$405,"&lt;"&amp;J914,'Istoric_Nativ'!$O$6:$O$405,"INVALID")+COUNTIFS('Istoric_Nativ'!$B$6:$B$405,E914,'Istoric_Nativ'!$C$6:$C$405,F914,'Istoric_Nativ'!$E$6:$E$405,G914,'Istoric_Nativ'!$O$6:$O$405,"INVALID",'Istoric_Nativ'!$D$6:$D$405,"*")+COUNTIFS('Istoric_Nativ'!$B$6:$B$405,E914,'Istoric_Nativ'!$C$6:$C$405,F914,'Istoric_Nativ'!$E$6:$E$405,G914,'Istoric_Nativ'!$D$6:$D$405,"&lt;"&amp;J914,'Istoric_Nativ'!$O$6:$O$405,"SOURCE CONFLICT")+COUNTIFS('Istoric_Nativ'!$B$6:$B$405,E914,'Istoric_Nativ'!$C$6:$C$405,F914,'Istoric_Nativ'!$F$6:$F$405,G914,'Istoric_Nativ'!$D$6:$D$405,"&lt;"&amp;J914,'Istoric_Nativ'!$O$6:$O$405,"INVALID")+COUNTIFS('Istoric_Nativ'!$B$6:$B$405,E914,'Istoric_Nativ'!$C$6:$C$405,F914,'Istoric_Nativ'!$F$6:$F$405,G914,'Istoric_Nativ'!$O$6:$O$405,"INVALID",'Istoric_Nativ'!$D$6:$D$405,"*")+COUNTIFS('Istoric_Nativ'!$B$6:$B$405,E914,'Istoric_Nativ'!$C$6:$C$405,F914,'Istoric_Nativ'!$F$6:$F$405,G914,'Istoric_Nativ'!$D$6:$D$405,"&lt;"&amp;J914,'Istoric_Nativ'!$O$6:$O$405,"SOURCE CONFLICT"))</x:f>
        <x:v>0</x:v>
      </x:c>
      <x:c r="T914" s="2" t="str">
        <x:f>IF(B914="","",IF(R914&lt;&gt;"CLOSED",R914,IF(S914&gt;0,"NATIVE INPUT ISSUE",IF(M914=0,"NO HISTORY",IF(M914&lt;P914,"SMALL SAMPLE","DERIVED")))))</x:f>
      </x:c>
      <x:c r="U914" s="2" t="str">
        <x:f>IF(B914="","","NativeTable; "&amp;E914&amp;"; "&amp;F914&amp;"; "&amp;G914&amp;"; "&amp;H914&amp;"; before "&amp;TEXT(J914,"yyyy-mm-dd")&amp;IF(I914="RECENT","; from "&amp;TEXT(L914,"yyyy-mm-dd"),""))</x:f>
      </x:c>
    </x:row>
    <x:row r="915" ht="21" customHeight="1">
      <x:c r="A915" s="2" t="n">
        <x:v>76</x:v>
      </x:c>
      <x:c r="B915" s="2" t="str">
        <x:f>IF('Input_Meci'!A81="","",'Input_Meci'!A81)</x:f>
      </x:c>
      <x:c r="C915" s="2" t="str">
        <x:v>A</x:v>
      </x:c>
      <x:c r="D915" s="2" t="str">
        <x:v>PRIOR</x:v>
      </x:c>
      <x:c r="E915" s="2" t="str">
        <x:f>IF(B915="","",'Input_Meci'!B81)</x:f>
      </x:c>
      <x:c r="F915" s="2" t="str">
        <x:f>IF(B915="","",IF('Input_Meci'!K81="","",'Input_Meci'!K81))</x:f>
      </x:c>
      <x:c r="G915" s="2" t="str">
        <x:f>IF(B915="","",'Input_Meci'!E81)</x:f>
      </x:c>
      <x:c r="H915" s="2" t="str">
        <x:v>ANY</x:v>
      </x:c>
      <x:c r="I915" s="2" t="str">
        <x:v>SEASON</x:v>
      </x:c>
      <x:c r="J915" s="9" t="n">
        <x:f>IF(AND(B915&lt;&gt;"",ISNUMBER('Input_Meci'!G81)),INT('Input_Meci'!G81),0)</x:f>
        <x:v>0</x:v>
      </x:c>
      <x:c r="K915" s="2" t="n">
        <x:f>IF(OR(B915="",F915=""),0,IF(H915="HOME",COUNTIFS('Istoric_Nativ'!$B$6:$B$405,E915,'Istoric_Nativ'!$C$6:$C$405,F915,'Istoric_Nativ'!$E$6:$E$405,G915,'Istoric_Nativ'!$D$6:$D$405,"&lt;"&amp;J915,'Istoric_Nativ'!$P$6:$P$405,1),IF(H915="AWAY",COUNTIFS('Istoric_Nativ'!$B$6:$B$405,E915,'Istoric_Nativ'!$C$6:$C$405,F915,'Istoric_Nativ'!$F$6:$F$405,G915,'Istoric_Nativ'!$D$6:$D$405,"&lt;"&amp;J915,'Istoric_Nativ'!$P$6:$P$405,1),COUNTIFS('Istoric_Nativ'!$B$6:$B$405,E915,'Istoric_Nativ'!$C$6:$C$405,F915,'Istoric_Nativ'!$E$6:$E$405,G915,'Istoric_Nativ'!$D$6:$D$405,"&lt;"&amp;J915,'Istoric_Nativ'!$P$6:$P$405,1)+COUNTIFS('Istoric_Nativ'!$B$6:$B$405,E915,'Istoric_Nativ'!$C$6:$C$405,F915,'Istoric_Nativ'!$F$6:$F$405,G915,'Istoric_Nativ'!$D$6:$D$405,"&lt;"&amp;J915,'Istoric_Nativ'!$P$6:$P$405,1))))</x:f>
        <x:v>0</x:v>
      </x:c>
      <x:c r="L915" s="17" t="n">
        <x:f>IF(AND(B915&lt;&gt;"",I915="RECENT",K915&gt;0),LARGE(_xlfn._xlws.FILTER('Istoric_Nativ'!$D$6:$D$405,('Istoric_Nativ'!$B$6:$B$405=E915)*('Istoric_Nativ'!$C$6:$C$405=F915)*('Istoric_Nativ'!$P$6:$P$405=1)*('Istoric_Nativ'!$D$6:$D$405&lt;J915)*((('Istoric_Nativ'!$E$6:$E$405=G915)+('Istoric_Nativ'!$F$6:$F$405=G915))&gt;0)),MIN('Config_v6'!$B$54,K915)),0)</x:f>
        <x:v>0</x:v>
      </x:c>
      <x:c r="M915" s="2" t="n">
        <x:f>IF(OR(B915="",F915=""),0,IF(H915="HOME",COUNTIFS('Istoric_Nativ'!$B$6:$B$405,E915,'Istoric_Nativ'!$C$6:$C$405,F915,'Istoric_Nativ'!$E$6:$E$405,G915,'Istoric_Nativ'!$D$6:$D$405,"&lt;"&amp;J915,'Istoric_Nativ'!$P$6:$P$405,1,'Istoric_Nativ'!$D$6:$D$405,"&gt;="&amp;L915),IF(H915="AWAY",COUNTIFS('Istoric_Nativ'!$B$6:$B$405,E915,'Istoric_Nativ'!$C$6:$C$405,F915,'Istoric_Nativ'!$F$6:$F$405,G915,'Istoric_Nativ'!$D$6:$D$405,"&lt;"&amp;J915,'Istoric_Nativ'!$P$6:$P$405,1,'Istoric_Nativ'!$D$6:$D$405,"&gt;="&amp;L915),COUNTIFS('Istoric_Nativ'!$B$6:$B$405,E915,'Istoric_Nativ'!$C$6:$C$405,F915,'Istoric_Nativ'!$E$6:$E$405,G915,'Istoric_Nativ'!$D$6:$D$405,"&lt;"&amp;J915,'Istoric_Nativ'!$P$6:$P$405,1,'Istoric_Nativ'!$D$6:$D$405,"&gt;="&amp;L915)+COUNTIFS('Istoric_Nativ'!$B$6:$B$405,E915,'Istoric_Nativ'!$C$6:$C$405,F915,'Istoric_Nativ'!$F$6:$F$405,G915,'Istoric_Nativ'!$D$6:$D$405,"&lt;"&amp;J915,'Istoric_Nativ'!$P$6:$P$405,1,'Istoric_Nativ'!$D$6:$D$405,"&gt;="&amp;L915))))</x:f>
        <x:v>0</x:v>
      </x:c>
      <x:c r="N915" s="11" t="str">
        <x:f>IF(M915=0,"",IF(H915="HOME",SUMIFS('Istoric_Nativ'!$G$6:$G$405,'Istoric_Nativ'!$B$6:$B$405,E915,'Istoric_Nativ'!$C$6:$C$405,F915,'Istoric_Nativ'!$E$6:$E$405,G915,'Istoric_Nativ'!$D$6:$D$405,"&lt;"&amp;J915,'Istoric_Nativ'!$P$6:$P$405,1,'Istoric_Nativ'!$D$6:$D$405,"&gt;="&amp;L915),IF(H915="AWAY",SUMIFS('Istoric_Nativ'!$H$6:$H$405,'Istoric_Nativ'!$B$6:$B$405,E915,'Istoric_Nativ'!$C$6:$C$405,F915,'Istoric_Nativ'!$F$6:$F$405,G915,'Istoric_Nativ'!$D$6:$D$405,"&lt;"&amp;J915,'Istoric_Nativ'!$P$6:$P$405,1,'Istoric_Nativ'!$D$6:$D$405,"&gt;="&amp;L915),SUMIFS('Istoric_Nativ'!$G$6:$G$405,'Istoric_Nativ'!$B$6:$B$405,E915,'Istoric_Nativ'!$C$6:$C$405,F915,'Istoric_Nativ'!$E$6:$E$405,G915,'Istoric_Nativ'!$D$6:$D$405,"&lt;"&amp;J915,'Istoric_Nativ'!$P$6:$P$405,1,'Istoric_Nativ'!$D$6:$D$405,"&gt;="&amp;L915)+SUMIFS('Istoric_Nativ'!$H$6:$H$405,'Istoric_Nativ'!$B$6:$B$405,E915,'Istoric_Nativ'!$C$6:$C$405,F915,'Istoric_Nativ'!$F$6:$F$405,G915,'Istoric_Nativ'!$D$6:$D$405,"&lt;"&amp;J915,'Istoric_Nativ'!$P$6:$P$405,1,'Istoric_Nativ'!$D$6:$D$405,"&gt;="&amp;L915)))/M915)</x:f>
      </x:c>
      <x:c r="O915" s="11" t="str">
        <x:f>IF(M915=0,"",IF(H915="HOME",SUMIFS('Istoric_Nativ'!$H$6:$H$405,'Istoric_Nativ'!$B$6:$B$405,E915,'Istoric_Nativ'!$C$6:$C$405,F915,'Istoric_Nativ'!$E$6:$E$405,G915,'Istoric_Nativ'!$D$6:$D$405,"&lt;"&amp;J915,'Istoric_Nativ'!$P$6:$P$405,1,'Istoric_Nativ'!$D$6:$D$405,"&gt;="&amp;L915),IF(H915="AWAY",SUMIFS('Istoric_Nativ'!$G$6:$G$405,'Istoric_Nativ'!$B$6:$B$405,E915,'Istoric_Nativ'!$C$6:$C$405,F915,'Istoric_Nativ'!$F$6:$F$405,G915,'Istoric_Nativ'!$D$6:$D$405,"&lt;"&amp;J915,'Istoric_Nativ'!$P$6:$P$405,1,'Istoric_Nativ'!$D$6:$D$405,"&gt;="&amp;L915),SUMIFS('Istoric_Nativ'!$H$6:$H$405,'Istoric_Nativ'!$B$6:$B$405,E915,'Istoric_Nativ'!$C$6:$C$405,F915,'Istoric_Nativ'!$E$6:$E$405,G915,'Istoric_Nativ'!$D$6:$D$405,"&lt;"&amp;J915,'Istoric_Nativ'!$P$6:$P$405,1,'Istoric_Nativ'!$D$6:$D$405,"&gt;="&amp;L915)+SUMIFS('Istoric_Nativ'!$G$6:$G$405,'Istoric_Nativ'!$B$6:$B$405,E915,'Istoric_Nativ'!$C$6:$C$405,F915,'Istoric_Nativ'!$F$6:$F$405,G915,'Istoric_Nativ'!$D$6:$D$405,"&lt;"&amp;J915,'Istoric_Nativ'!$P$6:$P$405,1,'Istoric_Nativ'!$D$6:$D$405,"&gt;="&amp;L915)))/M915)</x:f>
      </x:c>
      <x:c r="P915" s="2" t="n">
        <x:f>'Config_v6'!$B$7</x:f>
        <x:v>10</x:v>
      </x:c>
      <x:c r="Q915" s="2" t="n">
        <x:f>IF(OR(B915="",F915=""),0,IFERROR(MATCH(E915&amp;"|"&amp;F915,SourceTable[Source_Key],0),0))</x:f>
        <x:v>0</x:v>
      </x:c>
      <x:c r="R915" s="2" t="str">
        <x:f>IF(B915="","",IF(F915="","UNUSED",IF(Q915=0,"NOT CHECKED",IF(COUNTIF(SourceTable[Source_Key],E915&amp;"|"&amp;F915)&lt;&gt;1,"SOURCE CONFLICT",IF(NOT(OR(INDEX(SourceTable[Status],MAX(1,Q915))="IMPORTED",INDEX(SourceTable[Status],MAX(1,Q915))="PARTIAL",INDEX(SourceTable[Status],MAX(1,Q915))="SOURCE CONFLICT")),"ACCESS BLOCKED",IF(OR(INDEX(SourceTable[Coverage],Q915)&lt;&gt;"FULL SEASON EXPORT",INDEX(SourceTable[URL],Q915)="",INDEX(SourceTable[SHA256],Q915)=""),"EVIDENCE INCOMPLETE",IF(AND('Input_Meci'!H81="LIVE",INDEX(SourceTable[Retrieved_UTC],Q915)&gt;'Input_Meci'!G81),"POST CUTOFF","CLOSED")))))))</x:f>
      </x:c>
      <x:c r="S915" s="2" t="n">
        <x:f>IF(OR(B915="",F915=""),0,COUNTIFS('Istoric_Nativ'!$B$6:$B$405,E915,'Istoric_Nativ'!$C$6:$C$405,F915,'Istoric_Nativ'!$E$6:$E$405,G915,'Istoric_Nativ'!$D$6:$D$405,"&lt;"&amp;J915,'Istoric_Nativ'!$O$6:$O$405,"INVALID")+COUNTIFS('Istoric_Nativ'!$B$6:$B$405,E915,'Istoric_Nativ'!$C$6:$C$405,F915,'Istoric_Nativ'!$E$6:$E$405,G915,'Istoric_Nativ'!$O$6:$O$405,"INVALID",'Istoric_Nativ'!$D$6:$D$405,"*")+COUNTIFS('Istoric_Nativ'!$B$6:$B$405,E915,'Istoric_Nativ'!$C$6:$C$405,F915,'Istoric_Nativ'!$E$6:$E$405,G915,'Istoric_Nativ'!$D$6:$D$405,"&lt;"&amp;J915,'Istoric_Nativ'!$O$6:$O$405,"SOURCE CONFLICT")+COUNTIFS('Istoric_Nativ'!$B$6:$B$405,E915,'Istoric_Nativ'!$C$6:$C$405,F915,'Istoric_Nativ'!$F$6:$F$405,G915,'Istoric_Nativ'!$D$6:$D$405,"&lt;"&amp;J915,'Istoric_Nativ'!$O$6:$O$405,"INVALID")+COUNTIFS('Istoric_Nativ'!$B$6:$B$405,E915,'Istoric_Nativ'!$C$6:$C$405,F915,'Istoric_Nativ'!$F$6:$F$405,G915,'Istoric_Nativ'!$O$6:$O$405,"INVALID",'Istoric_Nativ'!$D$6:$D$405,"*")+COUNTIFS('Istoric_Nativ'!$B$6:$B$405,E915,'Istoric_Nativ'!$C$6:$C$405,F915,'Istoric_Nativ'!$F$6:$F$405,G915,'Istoric_Nativ'!$D$6:$D$405,"&lt;"&amp;J915,'Istoric_Nativ'!$O$6:$O$405,"SOURCE CONFLICT"))</x:f>
        <x:v>0</x:v>
      </x:c>
      <x:c r="T915" s="2" t="str">
        <x:f>IF(B915="","",IF(R915&lt;&gt;"CLOSED",R915,IF(S915&gt;0,"NATIVE INPUT ISSUE",IF(M915=0,"NO HISTORY",IF(M915&lt;P915,"SMALL SAMPLE","DERIVED")))))</x:f>
      </x:c>
      <x:c r="U915" s="2" t="str">
        <x:f>IF(B915="","","NativeTable; "&amp;E915&amp;"; "&amp;F915&amp;"; "&amp;G915&amp;"; "&amp;H915&amp;"; before "&amp;TEXT(J915,"yyyy-mm-dd")&amp;IF(I915="RECENT","; from "&amp;TEXT(L915,"yyyy-mm-dd"),""))</x:f>
      </x:c>
    </x:row>
    <x:row r="916" ht="21" customHeight="1">
      <x:c r="A916" s="2" t="n">
        <x:v>76</x:v>
      </x:c>
      <x:c r="B916" s="2" t="str">
        <x:f>IF('Input_Meci'!A81="","",'Input_Meci'!A81)</x:f>
      </x:c>
      <x:c r="C916" s="2" t="str">
        <x:v>A</x:v>
      </x:c>
      <x:c r="D916" s="2" t="str">
        <x:v>PRIOR</x:v>
      </x:c>
      <x:c r="E916" s="2" t="str">
        <x:f>IF(B916="","",'Input_Meci'!B81)</x:f>
      </x:c>
      <x:c r="F916" s="2" t="str">
        <x:f>IF(B916="","",IF('Input_Meci'!K81="","",'Input_Meci'!K81))</x:f>
      </x:c>
      <x:c r="G916" s="2" t="str">
        <x:f>IF(B916="","",'Input_Meci'!E81)</x:f>
      </x:c>
      <x:c r="H916" s="2" t="str">
        <x:v>AWAY</x:v>
      </x:c>
      <x:c r="I916" s="2" t="str">
        <x:v>HA</x:v>
      </x:c>
      <x:c r="J916" s="9" t="n">
        <x:f>IF(AND(B916&lt;&gt;"",ISNUMBER('Input_Meci'!G81)),INT('Input_Meci'!G81),0)</x:f>
        <x:v>0</x:v>
      </x:c>
      <x:c r="K916" s="2" t="n">
        <x:f>IF(OR(B916="",F916=""),0,IF(H916="HOME",COUNTIFS('Istoric_Nativ'!$B$6:$B$405,E916,'Istoric_Nativ'!$C$6:$C$405,F916,'Istoric_Nativ'!$E$6:$E$405,G916,'Istoric_Nativ'!$D$6:$D$405,"&lt;"&amp;J916,'Istoric_Nativ'!$P$6:$P$405,1),IF(H916="AWAY",COUNTIFS('Istoric_Nativ'!$B$6:$B$405,E916,'Istoric_Nativ'!$C$6:$C$405,F916,'Istoric_Nativ'!$F$6:$F$405,G916,'Istoric_Nativ'!$D$6:$D$405,"&lt;"&amp;J916,'Istoric_Nativ'!$P$6:$P$405,1),COUNTIFS('Istoric_Nativ'!$B$6:$B$405,E916,'Istoric_Nativ'!$C$6:$C$405,F916,'Istoric_Nativ'!$E$6:$E$405,G916,'Istoric_Nativ'!$D$6:$D$405,"&lt;"&amp;J916,'Istoric_Nativ'!$P$6:$P$405,1)+COUNTIFS('Istoric_Nativ'!$B$6:$B$405,E916,'Istoric_Nativ'!$C$6:$C$405,F916,'Istoric_Nativ'!$F$6:$F$405,G916,'Istoric_Nativ'!$D$6:$D$405,"&lt;"&amp;J916,'Istoric_Nativ'!$P$6:$P$405,1))))</x:f>
        <x:v>0</x:v>
      </x:c>
      <x:c r="L916" s="17" t="n">
        <x:f>IF(AND(B916&lt;&gt;"",I916="RECENT",K916&gt;0),LARGE(_xlfn._xlws.FILTER('Istoric_Nativ'!$D$6:$D$405,('Istoric_Nativ'!$B$6:$B$405=E916)*('Istoric_Nativ'!$C$6:$C$405=F916)*('Istoric_Nativ'!$P$6:$P$405=1)*('Istoric_Nativ'!$D$6:$D$405&lt;J916)*((('Istoric_Nativ'!$E$6:$E$405=G916)+('Istoric_Nativ'!$F$6:$F$405=G916))&gt;0)),MIN('Config_v6'!$B$54,K916)),0)</x:f>
        <x:v>0</x:v>
      </x:c>
      <x:c r="M916" s="2" t="n">
        <x:f>IF(OR(B916="",F916=""),0,IF(H916="HOME",COUNTIFS('Istoric_Nativ'!$B$6:$B$405,E916,'Istoric_Nativ'!$C$6:$C$405,F916,'Istoric_Nativ'!$E$6:$E$405,G916,'Istoric_Nativ'!$D$6:$D$405,"&lt;"&amp;J916,'Istoric_Nativ'!$P$6:$P$405,1,'Istoric_Nativ'!$D$6:$D$405,"&gt;="&amp;L916),IF(H916="AWAY",COUNTIFS('Istoric_Nativ'!$B$6:$B$405,E916,'Istoric_Nativ'!$C$6:$C$405,F916,'Istoric_Nativ'!$F$6:$F$405,G916,'Istoric_Nativ'!$D$6:$D$405,"&lt;"&amp;J916,'Istoric_Nativ'!$P$6:$P$405,1,'Istoric_Nativ'!$D$6:$D$405,"&gt;="&amp;L916),COUNTIFS('Istoric_Nativ'!$B$6:$B$405,E916,'Istoric_Nativ'!$C$6:$C$405,F916,'Istoric_Nativ'!$E$6:$E$405,G916,'Istoric_Nativ'!$D$6:$D$405,"&lt;"&amp;J916,'Istoric_Nativ'!$P$6:$P$405,1,'Istoric_Nativ'!$D$6:$D$405,"&gt;="&amp;L916)+COUNTIFS('Istoric_Nativ'!$B$6:$B$405,E916,'Istoric_Nativ'!$C$6:$C$405,F916,'Istoric_Nativ'!$F$6:$F$405,G916,'Istoric_Nativ'!$D$6:$D$405,"&lt;"&amp;J916,'Istoric_Nativ'!$P$6:$P$405,1,'Istoric_Nativ'!$D$6:$D$405,"&gt;="&amp;L916))))</x:f>
        <x:v>0</x:v>
      </x:c>
      <x:c r="N916" s="11" t="str">
        <x:f>IF(M916=0,"",IF(H916="HOME",SUMIFS('Istoric_Nativ'!$G$6:$G$405,'Istoric_Nativ'!$B$6:$B$405,E916,'Istoric_Nativ'!$C$6:$C$405,F916,'Istoric_Nativ'!$E$6:$E$405,G916,'Istoric_Nativ'!$D$6:$D$405,"&lt;"&amp;J916,'Istoric_Nativ'!$P$6:$P$405,1,'Istoric_Nativ'!$D$6:$D$405,"&gt;="&amp;L916),IF(H916="AWAY",SUMIFS('Istoric_Nativ'!$H$6:$H$405,'Istoric_Nativ'!$B$6:$B$405,E916,'Istoric_Nativ'!$C$6:$C$405,F916,'Istoric_Nativ'!$F$6:$F$405,G916,'Istoric_Nativ'!$D$6:$D$405,"&lt;"&amp;J916,'Istoric_Nativ'!$P$6:$P$405,1,'Istoric_Nativ'!$D$6:$D$405,"&gt;="&amp;L916),SUMIFS('Istoric_Nativ'!$G$6:$G$405,'Istoric_Nativ'!$B$6:$B$405,E916,'Istoric_Nativ'!$C$6:$C$405,F916,'Istoric_Nativ'!$E$6:$E$405,G916,'Istoric_Nativ'!$D$6:$D$405,"&lt;"&amp;J916,'Istoric_Nativ'!$P$6:$P$405,1,'Istoric_Nativ'!$D$6:$D$405,"&gt;="&amp;L916)+SUMIFS('Istoric_Nativ'!$H$6:$H$405,'Istoric_Nativ'!$B$6:$B$405,E916,'Istoric_Nativ'!$C$6:$C$405,F916,'Istoric_Nativ'!$F$6:$F$405,G916,'Istoric_Nativ'!$D$6:$D$405,"&lt;"&amp;J916,'Istoric_Nativ'!$P$6:$P$405,1,'Istoric_Nativ'!$D$6:$D$405,"&gt;="&amp;L916)))/M916)</x:f>
      </x:c>
      <x:c r="O916" s="11" t="str">
        <x:f>IF(M916=0,"",IF(H916="HOME",SUMIFS('Istoric_Nativ'!$H$6:$H$405,'Istoric_Nativ'!$B$6:$B$405,E916,'Istoric_Nativ'!$C$6:$C$405,F916,'Istoric_Nativ'!$E$6:$E$405,G916,'Istoric_Nativ'!$D$6:$D$405,"&lt;"&amp;J916,'Istoric_Nativ'!$P$6:$P$405,1,'Istoric_Nativ'!$D$6:$D$405,"&gt;="&amp;L916),IF(H916="AWAY",SUMIFS('Istoric_Nativ'!$G$6:$G$405,'Istoric_Nativ'!$B$6:$B$405,E916,'Istoric_Nativ'!$C$6:$C$405,F916,'Istoric_Nativ'!$F$6:$F$405,G916,'Istoric_Nativ'!$D$6:$D$405,"&lt;"&amp;J916,'Istoric_Nativ'!$P$6:$P$405,1,'Istoric_Nativ'!$D$6:$D$405,"&gt;="&amp;L916),SUMIFS('Istoric_Nativ'!$H$6:$H$405,'Istoric_Nativ'!$B$6:$B$405,E916,'Istoric_Nativ'!$C$6:$C$405,F916,'Istoric_Nativ'!$E$6:$E$405,G916,'Istoric_Nativ'!$D$6:$D$405,"&lt;"&amp;J916,'Istoric_Nativ'!$P$6:$P$405,1,'Istoric_Nativ'!$D$6:$D$405,"&gt;="&amp;L916)+SUMIFS('Istoric_Nativ'!$G$6:$G$405,'Istoric_Nativ'!$B$6:$B$405,E916,'Istoric_Nativ'!$C$6:$C$405,F916,'Istoric_Nativ'!$F$6:$F$405,G916,'Istoric_Nativ'!$D$6:$D$405,"&lt;"&amp;J916,'Istoric_Nativ'!$P$6:$P$405,1,'Istoric_Nativ'!$D$6:$D$405,"&gt;="&amp;L916)))/M916)</x:f>
      </x:c>
      <x:c r="P916" s="2" t="n">
        <x:f>'Config_v6'!$B$8</x:f>
        <x:v>5</x:v>
      </x:c>
      <x:c r="Q916" s="2" t="n">
        <x:f>IF(OR(B916="",F916=""),0,IFERROR(MATCH(E916&amp;"|"&amp;F916,SourceTable[Source_Key],0),0))</x:f>
        <x:v>0</x:v>
      </x:c>
      <x:c r="R916" s="2" t="str">
        <x:f>IF(B916="","",IF(F916="","UNUSED",IF(Q916=0,"NOT CHECKED",IF(COUNTIF(SourceTable[Source_Key],E916&amp;"|"&amp;F916)&lt;&gt;1,"SOURCE CONFLICT",IF(NOT(OR(INDEX(SourceTable[Status],MAX(1,Q916))="IMPORTED",INDEX(SourceTable[Status],MAX(1,Q916))="PARTIAL",INDEX(SourceTable[Status],MAX(1,Q916))="SOURCE CONFLICT")),"ACCESS BLOCKED",IF(OR(INDEX(SourceTable[Coverage],Q916)&lt;&gt;"FULL SEASON EXPORT",INDEX(SourceTable[URL],Q916)="",INDEX(SourceTable[SHA256],Q916)=""),"EVIDENCE INCOMPLETE",IF(AND('Input_Meci'!H81="LIVE",INDEX(SourceTable[Retrieved_UTC],Q916)&gt;'Input_Meci'!G81),"POST CUTOFF","CLOSED")))))))</x:f>
      </x:c>
      <x:c r="S916" s="2" t="n">
        <x:f>IF(OR(B916="",F916=""),0,COUNTIFS('Istoric_Nativ'!$B$6:$B$405,E916,'Istoric_Nativ'!$C$6:$C$405,F916,'Istoric_Nativ'!$E$6:$E$405,G916,'Istoric_Nativ'!$D$6:$D$405,"&lt;"&amp;J916,'Istoric_Nativ'!$O$6:$O$405,"INVALID")+COUNTIFS('Istoric_Nativ'!$B$6:$B$405,E916,'Istoric_Nativ'!$C$6:$C$405,F916,'Istoric_Nativ'!$E$6:$E$405,G916,'Istoric_Nativ'!$O$6:$O$405,"INVALID",'Istoric_Nativ'!$D$6:$D$405,"*")+COUNTIFS('Istoric_Nativ'!$B$6:$B$405,E916,'Istoric_Nativ'!$C$6:$C$405,F916,'Istoric_Nativ'!$E$6:$E$405,G916,'Istoric_Nativ'!$D$6:$D$405,"&lt;"&amp;J916,'Istoric_Nativ'!$O$6:$O$405,"SOURCE CONFLICT")+COUNTIFS('Istoric_Nativ'!$B$6:$B$405,E916,'Istoric_Nativ'!$C$6:$C$405,F916,'Istoric_Nativ'!$F$6:$F$405,G916,'Istoric_Nativ'!$D$6:$D$405,"&lt;"&amp;J916,'Istoric_Nativ'!$O$6:$O$405,"INVALID")+COUNTIFS('Istoric_Nativ'!$B$6:$B$405,E916,'Istoric_Nativ'!$C$6:$C$405,F916,'Istoric_Nativ'!$F$6:$F$405,G916,'Istoric_Nativ'!$O$6:$O$405,"INVALID",'Istoric_Nativ'!$D$6:$D$405,"*")+COUNTIFS('Istoric_Nativ'!$B$6:$B$405,E916,'Istoric_Nativ'!$C$6:$C$405,F916,'Istoric_Nativ'!$F$6:$F$405,G916,'Istoric_Nativ'!$D$6:$D$405,"&lt;"&amp;J916,'Istoric_Nativ'!$O$6:$O$405,"SOURCE CONFLICT"))</x:f>
        <x:v>0</x:v>
      </x:c>
      <x:c r="T916" s="2" t="str">
        <x:f>IF(B916="","",IF(R916&lt;&gt;"CLOSED",R916,IF(S916&gt;0,"NATIVE INPUT ISSUE",IF(M916=0,"NO HISTORY",IF(M916&lt;P916,"SMALL SAMPLE","DERIVED")))))</x:f>
      </x:c>
      <x:c r="U916" s="2" t="str">
        <x:f>IF(B916="","","NativeTable; "&amp;E916&amp;"; "&amp;F916&amp;"; "&amp;G916&amp;"; "&amp;H916&amp;"; before "&amp;TEXT(J916,"yyyy-mm-dd")&amp;IF(I916="RECENT","; from "&amp;TEXT(L916,"yyyy-mm-dd"),""))</x:f>
      </x:c>
    </x:row>
    <x:row r="917" ht="21" customHeight="1">
      <x:c r="A917" s="2" t="n">
        <x:v>76</x:v>
      </x:c>
      <x:c r="B917" s="2" t="str">
        <x:f>IF('Input_Meci'!A81="","",'Input_Meci'!A81)</x:f>
      </x:c>
      <x:c r="C917" s="2" t="str">
        <x:v>A</x:v>
      </x:c>
      <x:c r="D917" s="2" t="str">
        <x:v>PRIOR</x:v>
      </x:c>
      <x:c r="E917" s="2" t="str">
        <x:f>IF(B917="","",'Input_Meci'!B81)</x:f>
      </x:c>
      <x:c r="F917" s="2" t="str">
        <x:f>IF(B917="","",IF('Input_Meci'!K81="","",'Input_Meci'!K81))</x:f>
      </x:c>
      <x:c r="G917" s="2" t="str">
        <x:f>IF(B917="","",'Input_Meci'!E81)</x:f>
      </x:c>
      <x:c r="H917" s="2" t="str">
        <x:v>ANY</x:v>
      </x:c>
      <x:c r="I917" s="2" t="str">
        <x:v>RECENT</x:v>
      </x:c>
      <x:c r="J917" s="9" t="n">
        <x:f>IF(AND(B917&lt;&gt;"",ISNUMBER('Input_Meci'!G81)),INT('Input_Meci'!G81),0)</x:f>
        <x:v>0</x:v>
      </x:c>
      <x:c r="K917" s="2" t="n">
        <x:f>IF(OR(B917="",F917=""),0,IF(H917="HOME",COUNTIFS('Istoric_Nativ'!$B$6:$B$405,E917,'Istoric_Nativ'!$C$6:$C$405,F917,'Istoric_Nativ'!$E$6:$E$405,G917,'Istoric_Nativ'!$D$6:$D$405,"&lt;"&amp;J917,'Istoric_Nativ'!$P$6:$P$405,1),IF(H917="AWAY",COUNTIFS('Istoric_Nativ'!$B$6:$B$405,E917,'Istoric_Nativ'!$C$6:$C$405,F917,'Istoric_Nativ'!$F$6:$F$405,G917,'Istoric_Nativ'!$D$6:$D$405,"&lt;"&amp;J917,'Istoric_Nativ'!$P$6:$P$405,1),COUNTIFS('Istoric_Nativ'!$B$6:$B$405,E917,'Istoric_Nativ'!$C$6:$C$405,F917,'Istoric_Nativ'!$E$6:$E$405,G917,'Istoric_Nativ'!$D$6:$D$405,"&lt;"&amp;J917,'Istoric_Nativ'!$P$6:$P$405,1)+COUNTIFS('Istoric_Nativ'!$B$6:$B$405,E917,'Istoric_Nativ'!$C$6:$C$405,F917,'Istoric_Nativ'!$F$6:$F$405,G917,'Istoric_Nativ'!$D$6:$D$405,"&lt;"&amp;J917,'Istoric_Nativ'!$P$6:$P$405,1))))</x:f>
        <x:v>0</x:v>
      </x:c>
      <x:c r="L917" s="17" t="n">
        <x:f>IF(AND(B917&lt;&gt;"",I917="RECENT",K917&gt;0),LARGE(_xlfn._xlws.FILTER('Istoric_Nativ'!$D$6:$D$405,('Istoric_Nativ'!$B$6:$B$405=E917)*('Istoric_Nativ'!$C$6:$C$405=F917)*('Istoric_Nativ'!$P$6:$P$405=1)*('Istoric_Nativ'!$D$6:$D$405&lt;J917)*((('Istoric_Nativ'!$E$6:$E$405=G917)+('Istoric_Nativ'!$F$6:$F$405=G917))&gt;0)),MIN('Config_v6'!$B$54,K917)),0)</x:f>
        <x:v>0</x:v>
      </x:c>
      <x:c r="M917" s="2" t="n">
        <x:f>IF(OR(B917="",F917=""),0,IF(H917="HOME",COUNTIFS('Istoric_Nativ'!$B$6:$B$405,E917,'Istoric_Nativ'!$C$6:$C$405,F917,'Istoric_Nativ'!$E$6:$E$405,G917,'Istoric_Nativ'!$D$6:$D$405,"&lt;"&amp;J917,'Istoric_Nativ'!$P$6:$P$405,1,'Istoric_Nativ'!$D$6:$D$405,"&gt;="&amp;L917),IF(H917="AWAY",COUNTIFS('Istoric_Nativ'!$B$6:$B$405,E917,'Istoric_Nativ'!$C$6:$C$405,F917,'Istoric_Nativ'!$F$6:$F$405,G917,'Istoric_Nativ'!$D$6:$D$405,"&lt;"&amp;J917,'Istoric_Nativ'!$P$6:$P$405,1,'Istoric_Nativ'!$D$6:$D$405,"&gt;="&amp;L917),COUNTIFS('Istoric_Nativ'!$B$6:$B$405,E917,'Istoric_Nativ'!$C$6:$C$405,F917,'Istoric_Nativ'!$E$6:$E$405,G917,'Istoric_Nativ'!$D$6:$D$405,"&lt;"&amp;J917,'Istoric_Nativ'!$P$6:$P$405,1,'Istoric_Nativ'!$D$6:$D$405,"&gt;="&amp;L917)+COUNTIFS('Istoric_Nativ'!$B$6:$B$405,E917,'Istoric_Nativ'!$C$6:$C$405,F917,'Istoric_Nativ'!$F$6:$F$405,G917,'Istoric_Nativ'!$D$6:$D$405,"&lt;"&amp;J917,'Istoric_Nativ'!$P$6:$P$405,1,'Istoric_Nativ'!$D$6:$D$405,"&gt;="&amp;L917))))</x:f>
        <x:v>0</x:v>
      </x:c>
      <x:c r="N917" s="11" t="str">
        <x:f>IF(M917=0,"",IF(H917="HOME",SUMIFS('Istoric_Nativ'!$G$6:$G$405,'Istoric_Nativ'!$B$6:$B$405,E917,'Istoric_Nativ'!$C$6:$C$405,F917,'Istoric_Nativ'!$E$6:$E$405,G917,'Istoric_Nativ'!$D$6:$D$405,"&lt;"&amp;J917,'Istoric_Nativ'!$P$6:$P$405,1,'Istoric_Nativ'!$D$6:$D$405,"&gt;="&amp;L917),IF(H917="AWAY",SUMIFS('Istoric_Nativ'!$H$6:$H$405,'Istoric_Nativ'!$B$6:$B$405,E917,'Istoric_Nativ'!$C$6:$C$405,F917,'Istoric_Nativ'!$F$6:$F$405,G917,'Istoric_Nativ'!$D$6:$D$405,"&lt;"&amp;J917,'Istoric_Nativ'!$P$6:$P$405,1,'Istoric_Nativ'!$D$6:$D$405,"&gt;="&amp;L917),SUMIFS('Istoric_Nativ'!$G$6:$G$405,'Istoric_Nativ'!$B$6:$B$405,E917,'Istoric_Nativ'!$C$6:$C$405,F917,'Istoric_Nativ'!$E$6:$E$405,G917,'Istoric_Nativ'!$D$6:$D$405,"&lt;"&amp;J917,'Istoric_Nativ'!$P$6:$P$405,1,'Istoric_Nativ'!$D$6:$D$405,"&gt;="&amp;L917)+SUMIFS('Istoric_Nativ'!$H$6:$H$405,'Istoric_Nativ'!$B$6:$B$405,E917,'Istoric_Nativ'!$C$6:$C$405,F917,'Istoric_Nativ'!$F$6:$F$405,G917,'Istoric_Nativ'!$D$6:$D$405,"&lt;"&amp;J917,'Istoric_Nativ'!$P$6:$P$405,1,'Istoric_Nativ'!$D$6:$D$405,"&gt;="&amp;L917)))/M917)</x:f>
      </x:c>
      <x:c r="O917" s="11" t="str">
        <x:f>IF(M917=0,"",IF(H917="HOME",SUMIFS('Istoric_Nativ'!$H$6:$H$405,'Istoric_Nativ'!$B$6:$B$405,E917,'Istoric_Nativ'!$C$6:$C$405,F917,'Istoric_Nativ'!$E$6:$E$405,G917,'Istoric_Nativ'!$D$6:$D$405,"&lt;"&amp;J917,'Istoric_Nativ'!$P$6:$P$405,1,'Istoric_Nativ'!$D$6:$D$405,"&gt;="&amp;L917),IF(H917="AWAY",SUMIFS('Istoric_Nativ'!$G$6:$G$405,'Istoric_Nativ'!$B$6:$B$405,E917,'Istoric_Nativ'!$C$6:$C$405,F917,'Istoric_Nativ'!$F$6:$F$405,G917,'Istoric_Nativ'!$D$6:$D$405,"&lt;"&amp;J917,'Istoric_Nativ'!$P$6:$P$405,1,'Istoric_Nativ'!$D$6:$D$405,"&gt;="&amp;L917),SUMIFS('Istoric_Nativ'!$H$6:$H$405,'Istoric_Nativ'!$B$6:$B$405,E917,'Istoric_Nativ'!$C$6:$C$405,F917,'Istoric_Nativ'!$E$6:$E$405,G917,'Istoric_Nativ'!$D$6:$D$405,"&lt;"&amp;J917,'Istoric_Nativ'!$P$6:$P$405,1,'Istoric_Nativ'!$D$6:$D$405,"&gt;="&amp;L917)+SUMIFS('Istoric_Nativ'!$G$6:$G$405,'Istoric_Nativ'!$B$6:$B$405,E917,'Istoric_Nativ'!$C$6:$C$405,F917,'Istoric_Nativ'!$F$6:$F$405,G917,'Istoric_Nativ'!$D$6:$D$405,"&lt;"&amp;J917,'Istoric_Nativ'!$P$6:$P$405,1,'Istoric_Nativ'!$D$6:$D$405,"&gt;="&amp;L917)))/M917)</x:f>
      </x:c>
      <x:c r="P917" s="2" t="n">
        <x:f>'Config_v6'!$B$9</x:f>
        <x:v>3</x:v>
      </x:c>
      <x:c r="Q917" s="2" t="n">
        <x:f>IF(OR(B917="",F917=""),0,IFERROR(MATCH(E917&amp;"|"&amp;F917,SourceTable[Source_Key],0),0))</x:f>
        <x:v>0</x:v>
      </x:c>
      <x:c r="R917" s="2" t="str">
        <x:f>IF(B917="","",IF(F917="","UNUSED",IF(Q917=0,"NOT CHECKED",IF(COUNTIF(SourceTable[Source_Key],E917&amp;"|"&amp;F917)&lt;&gt;1,"SOURCE CONFLICT",IF(NOT(OR(INDEX(SourceTable[Status],MAX(1,Q917))="IMPORTED",INDEX(SourceTable[Status],MAX(1,Q917))="PARTIAL",INDEX(SourceTable[Status],MAX(1,Q917))="SOURCE CONFLICT")),"ACCESS BLOCKED",IF(OR(INDEX(SourceTable[Coverage],Q917)&lt;&gt;"FULL SEASON EXPORT",INDEX(SourceTable[URL],Q917)="",INDEX(SourceTable[SHA256],Q917)=""),"EVIDENCE INCOMPLETE",IF(AND('Input_Meci'!H81="LIVE",INDEX(SourceTable[Retrieved_UTC],Q917)&gt;'Input_Meci'!G81),"POST CUTOFF","CLOSED")))))))</x:f>
      </x:c>
      <x:c r="S917" s="2" t="n">
        <x:f>IF(OR(B917="",F917=""),0,COUNTIFS('Istoric_Nativ'!$B$6:$B$405,E917,'Istoric_Nativ'!$C$6:$C$405,F917,'Istoric_Nativ'!$E$6:$E$405,G917,'Istoric_Nativ'!$D$6:$D$405,"&lt;"&amp;J917,'Istoric_Nativ'!$O$6:$O$405,"INVALID")+COUNTIFS('Istoric_Nativ'!$B$6:$B$405,E917,'Istoric_Nativ'!$C$6:$C$405,F917,'Istoric_Nativ'!$E$6:$E$405,G917,'Istoric_Nativ'!$O$6:$O$405,"INVALID",'Istoric_Nativ'!$D$6:$D$405,"*")+COUNTIFS('Istoric_Nativ'!$B$6:$B$405,E917,'Istoric_Nativ'!$C$6:$C$405,F917,'Istoric_Nativ'!$E$6:$E$405,G917,'Istoric_Nativ'!$D$6:$D$405,"&lt;"&amp;J917,'Istoric_Nativ'!$O$6:$O$405,"SOURCE CONFLICT")+COUNTIFS('Istoric_Nativ'!$B$6:$B$405,E917,'Istoric_Nativ'!$C$6:$C$405,F917,'Istoric_Nativ'!$F$6:$F$405,G917,'Istoric_Nativ'!$D$6:$D$405,"&lt;"&amp;J917,'Istoric_Nativ'!$O$6:$O$405,"INVALID")+COUNTIFS('Istoric_Nativ'!$B$6:$B$405,E917,'Istoric_Nativ'!$C$6:$C$405,F917,'Istoric_Nativ'!$F$6:$F$405,G917,'Istoric_Nativ'!$O$6:$O$405,"INVALID",'Istoric_Nativ'!$D$6:$D$405,"*")+COUNTIFS('Istoric_Nativ'!$B$6:$B$405,E917,'Istoric_Nativ'!$C$6:$C$405,F917,'Istoric_Nativ'!$F$6:$F$405,G917,'Istoric_Nativ'!$D$6:$D$405,"&lt;"&amp;J917,'Istoric_Nativ'!$O$6:$O$405,"SOURCE CONFLICT"))</x:f>
        <x:v>0</x:v>
      </x:c>
      <x:c r="T917" s="2" t="str">
        <x:f>IF(B917="","",IF(R917&lt;&gt;"CLOSED",R917,IF(S917&gt;0,"NATIVE INPUT ISSUE",IF(M917=0,"NO HISTORY",IF(M917&lt;P917,"SMALL SAMPLE","DERIVED")))))</x:f>
      </x:c>
      <x:c r="U917" s="2" t="str">
        <x:f>IF(B917="","","NativeTable; "&amp;E917&amp;"; "&amp;F917&amp;"; "&amp;G917&amp;"; "&amp;H917&amp;"; before "&amp;TEXT(J917,"yyyy-mm-dd")&amp;IF(I917="RECENT","; from "&amp;TEXT(L917,"yyyy-mm-dd"),""))</x:f>
      </x:c>
    </x:row>
    <x:row r="918" ht="21" customHeight="1">
      <x:c r="A918" s="2" t="n">
        <x:v>77</x:v>
      </x:c>
      <x:c r="B918" s="2" t="str">
        <x:f>IF('Input_Meci'!A82="","",'Input_Meci'!A82)</x:f>
      </x:c>
      <x:c r="C918" s="2" t="str">
        <x:v>H</x:v>
      </x:c>
      <x:c r="D918" s="2" t="str">
        <x:v>CURRENT</x:v>
      </x:c>
      <x:c r="E918" s="2" t="str">
        <x:f>IF(B918="","",'Input_Meci'!B82)</x:f>
      </x:c>
      <x:c r="F918" s="2" t="str">
        <x:f>IF(B918="","",IF('Input_Meci'!C82="","",'Input_Meci'!C82))</x:f>
      </x:c>
      <x:c r="G918" s="2" t="str">
        <x:f>IF(B918="","",'Input_Meci'!D82)</x:f>
      </x:c>
      <x:c r="H918" s="2" t="str">
        <x:v>ANY</x:v>
      </x:c>
      <x:c r="I918" s="2" t="str">
        <x:v>SEASON</x:v>
      </x:c>
      <x:c r="J918" s="9" t="n">
        <x:f>IF(AND(B918&lt;&gt;"",ISNUMBER('Input_Meci'!G82)),INT('Input_Meci'!G82),0)</x:f>
        <x:v>0</x:v>
      </x:c>
      <x:c r="K918" s="2" t="n">
        <x:f>IF(OR(B918="",F918=""),0,IF(H918="HOME",COUNTIFS('Istoric_Nativ'!$B$6:$B$405,E918,'Istoric_Nativ'!$C$6:$C$405,F918,'Istoric_Nativ'!$E$6:$E$405,G918,'Istoric_Nativ'!$D$6:$D$405,"&lt;"&amp;J918,'Istoric_Nativ'!$P$6:$P$405,1),IF(H918="AWAY",COUNTIFS('Istoric_Nativ'!$B$6:$B$405,E918,'Istoric_Nativ'!$C$6:$C$405,F918,'Istoric_Nativ'!$F$6:$F$405,G918,'Istoric_Nativ'!$D$6:$D$405,"&lt;"&amp;J918,'Istoric_Nativ'!$P$6:$P$405,1),COUNTIFS('Istoric_Nativ'!$B$6:$B$405,E918,'Istoric_Nativ'!$C$6:$C$405,F918,'Istoric_Nativ'!$E$6:$E$405,G918,'Istoric_Nativ'!$D$6:$D$405,"&lt;"&amp;J918,'Istoric_Nativ'!$P$6:$P$405,1)+COUNTIFS('Istoric_Nativ'!$B$6:$B$405,E918,'Istoric_Nativ'!$C$6:$C$405,F918,'Istoric_Nativ'!$F$6:$F$405,G918,'Istoric_Nativ'!$D$6:$D$405,"&lt;"&amp;J918,'Istoric_Nativ'!$P$6:$P$405,1))))</x:f>
        <x:v>0</x:v>
      </x:c>
      <x:c r="L918" s="17" t="n">
        <x:f>IF(AND(B918&lt;&gt;"",I918="RECENT",K918&gt;0),LARGE(_xlfn._xlws.FILTER('Istoric_Nativ'!$D$6:$D$405,('Istoric_Nativ'!$B$6:$B$405=E918)*('Istoric_Nativ'!$C$6:$C$405=F918)*('Istoric_Nativ'!$P$6:$P$405=1)*('Istoric_Nativ'!$D$6:$D$405&lt;J918)*((('Istoric_Nativ'!$E$6:$E$405=G918)+('Istoric_Nativ'!$F$6:$F$405=G918))&gt;0)),MIN('Config_v6'!$B$54,K918)),0)</x:f>
        <x:v>0</x:v>
      </x:c>
      <x:c r="M918" s="2" t="n">
        <x:f>IF(OR(B918="",F918=""),0,IF(H918="HOME",COUNTIFS('Istoric_Nativ'!$B$6:$B$405,E918,'Istoric_Nativ'!$C$6:$C$405,F918,'Istoric_Nativ'!$E$6:$E$405,G918,'Istoric_Nativ'!$D$6:$D$405,"&lt;"&amp;J918,'Istoric_Nativ'!$P$6:$P$405,1,'Istoric_Nativ'!$D$6:$D$405,"&gt;="&amp;L918),IF(H918="AWAY",COUNTIFS('Istoric_Nativ'!$B$6:$B$405,E918,'Istoric_Nativ'!$C$6:$C$405,F918,'Istoric_Nativ'!$F$6:$F$405,G918,'Istoric_Nativ'!$D$6:$D$405,"&lt;"&amp;J918,'Istoric_Nativ'!$P$6:$P$405,1,'Istoric_Nativ'!$D$6:$D$405,"&gt;="&amp;L918),COUNTIFS('Istoric_Nativ'!$B$6:$B$405,E918,'Istoric_Nativ'!$C$6:$C$405,F918,'Istoric_Nativ'!$E$6:$E$405,G918,'Istoric_Nativ'!$D$6:$D$405,"&lt;"&amp;J918,'Istoric_Nativ'!$P$6:$P$405,1,'Istoric_Nativ'!$D$6:$D$405,"&gt;="&amp;L918)+COUNTIFS('Istoric_Nativ'!$B$6:$B$405,E918,'Istoric_Nativ'!$C$6:$C$405,F918,'Istoric_Nativ'!$F$6:$F$405,G918,'Istoric_Nativ'!$D$6:$D$405,"&lt;"&amp;J918,'Istoric_Nativ'!$P$6:$P$405,1,'Istoric_Nativ'!$D$6:$D$405,"&gt;="&amp;L918))))</x:f>
        <x:v>0</x:v>
      </x:c>
      <x:c r="N918" s="11" t="str">
        <x:f>IF(M918=0,"",IF(H918="HOME",SUMIFS('Istoric_Nativ'!$G$6:$G$405,'Istoric_Nativ'!$B$6:$B$405,E918,'Istoric_Nativ'!$C$6:$C$405,F918,'Istoric_Nativ'!$E$6:$E$405,G918,'Istoric_Nativ'!$D$6:$D$405,"&lt;"&amp;J918,'Istoric_Nativ'!$P$6:$P$405,1,'Istoric_Nativ'!$D$6:$D$405,"&gt;="&amp;L918),IF(H918="AWAY",SUMIFS('Istoric_Nativ'!$H$6:$H$405,'Istoric_Nativ'!$B$6:$B$405,E918,'Istoric_Nativ'!$C$6:$C$405,F918,'Istoric_Nativ'!$F$6:$F$405,G918,'Istoric_Nativ'!$D$6:$D$405,"&lt;"&amp;J918,'Istoric_Nativ'!$P$6:$P$405,1,'Istoric_Nativ'!$D$6:$D$405,"&gt;="&amp;L918),SUMIFS('Istoric_Nativ'!$G$6:$G$405,'Istoric_Nativ'!$B$6:$B$405,E918,'Istoric_Nativ'!$C$6:$C$405,F918,'Istoric_Nativ'!$E$6:$E$405,G918,'Istoric_Nativ'!$D$6:$D$405,"&lt;"&amp;J918,'Istoric_Nativ'!$P$6:$P$405,1,'Istoric_Nativ'!$D$6:$D$405,"&gt;="&amp;L918)+SUMIFS('Istoric_Nativ'!$H$6:$H$405,'Istoric_Nativ'!$B$6:$B$405,E918,'Istoric_Nativ'!$C$6:$C$405,F918,'Istoric_Nativ'!$F$6:$F$405,G918,'Istoric_Nativ'!$D$6:$D$405,"&lt;"&amp;J918,'Istoric_Nativ'!$P$6:$P$405,1,'Istoric_Nativ'!$D$6:$D$405,"&gt;="&amp;L918)))/M918)</x:f>
      </x:c>
      <x:c r="O918" s="11" t="str">
        <x:f>IF(M918=0,"",IF(H918="HOME",SUMIFS('Istoric_Nativ'!$H$6:$H$405,'Istoric_Nativ'!$B$6:$B$405,E918,'Istoric_Nativ'!$C$6:$C$405,F918,'Istoric_Nativ'!$E$6:$E$405,G918,'Istoric_Nativ'!$D$6:$D$405,"&lt;"&amp;J918,'Istoric_Nativ'!$P$6:$P$405,1,'Istoric_Nativ'!$D$6:$D$405,"&gt;="&amp;L918),IF(H918="AWAY",SUMIFS('Istoric_Nativ'!$G$6:$G$405,'Istoric_Nativ'!$B$6:$B$405,E918,'Istoric_Nativ'!$C$6:$C$405,F918,'Istoric_Nativ'!$F$6:$F$405,G918,'Istoric_Nativ'!$D$6:$D$405,"&lt;"&amp;J918,'Istoric_Nativ'!$P$6:$P$405,1,'Istoric_Nativ'!$D$6:$D$405,"&gt;="&amp;L918),SUMIFS('Istoric_Nativ'!$H$6:$H$405,'Istoric_Nativ'!$B$6:$B$405,E918,'Istoric_Nativ'!$C$6:$C$405,F918,'Istoric_Nativ'!$E$6:$E$405,G918,'Istoric_Nativ'!$D$6:$D$405,"&lt;"&amp;J918,'Istoric_Nativ'!$P$6:$P$405,1,'Istoric_Nativ'!$D$6:$D$405,"&gt;="&amp;L918)+SUMIFS('Istoric_Nativ'!$G$6:$G$405,'Istoric_Nativ'!$B$6:$B$405,E918,'Istoric_Nativ'!$C$6:$C$405,F918,'Istoric_Nativ'!$F$6:$F$405,G918,'Istoric_Nativ'!$D$6:$D$405,"&lt;"&amp;J918,'Istoric_Nativ'!$P$6:$P$405,1,'Istoric_Nativ'!$D$6:$D$405,"&gt;="&amp;L918)))/M918)</x:f>
      </x:c>
      <x:c r="P918" s="2" t="n">
        <x:f>'Config_v6'!$B$7</x:f>
        <x:v>10</x:v>
      </x:c>
      <x:c r="Q918" s="2" t="n">
        <x:f>IF(OR(B918="",F918=""),0,IFERROR(MATCH(E918&amp;"|"&amp;F918,SourceTable[Source_Key],0),0))</x:f>
        <x:v>0</x:v>
      </x:c>
      <x:c r="R918" s="2" t="str">
        <x:f>IF(B918="","",IF(F918="","UNUSED",IF(Q918=0,"NOT CHECKED",IF(COUNTIF(SourceTable[Source_Key],E918&amp;"|"&amp;F918)&lt;&gt;1,"SOURCE CONFLICT",IF(NOT(OR(INDEX(SourceTable[Status],MAX(1,Q918))="IMPORTED",INDEX(SourceTable[Status],MAX(1,Q918))="PARTIAL",INDEX(SourceTable[Status],MAX(1,Q918))="SOURCE CONFLICT")),"ACCESS BLOCKED",IF(OR(INDEX(SourceTable[Coverage],Q918)&lt;&gt;"FULL SEASON EXPORT",INDEX(SourceTable[URL],Q918)="",INDEX(SourceTable[SHA256],Q918)=""),"EVIDENCE INCOMPLETE",IF(AND('Input_Meci'!H82="LIVE",INDEX(SourceTable[Retrieved_UTC],Q918)&gt;'Input_Meci'!G82),"POST CUTOFF","CLOSED")))))))</x:f>
      </x:c>
      <x:c r="S918" s="2" t="n">
        <x:f>IF(OR(B918="",F918=""),0,COUNTIFS('Istoric_Nativ'!$B$6:$B$405,E918,'Istoric_Nativ'!$C$6:$C$405,F918,'Istoric_Nativ'!$E$6:$E$405,G918,'Istoric_Nativ'!$D$6:$D$405,"&lt;"&amp;J918,'Istoric_Nativ'!$O$6:$O$405,"INVALID")+COUNTIFS('Istoric_Nativ'!$B$6:$B$405,E918,'Istoric_Nativ'!$C$6:$C$405,F918,'Istoric_Nativ'!$E$6:$E$405,G918,'Istoric_Nativ'!$O$6:$O$405,"INVALID",'Istoric_Nativ'!$D$6:$D$405,"*")+COUNTIFS('Istoric_Nativ'!$B$6:$B$405,E918,'Istoric_Nativ'!$C$6:$C$405,F918,'Istoric_Nativ'!$E$6:$E$405,G918,'Istoric_Nativ'!$D$6:$D$405,"&lt;"&amp;J918,'Istoric_Nativ'!$O$6:$O$405,"SOURCE CONFLICT")+COUNTIFS('Istoric_Nativ'!$B$6:$B$405,E918,'Istoric_Nativ'!$C$6:$C$405,F918,'Istoric_Nativ'!$F$6:$F$405,G918,'Istoric_Nativ'!$D$6:$D$405,"&lt;"&amp;J918,'Istoric_Nativ'!$O$6:$O$405,"INVALID")+COUNTIFS('Istoric_Nativ'!$B$6:$B$405,E918,'Istoric_Nativ'!$C$6:$C$405,F918,'Istoric_Nativ'!$F$6:$F$405,G918,'Istoric_Nativ'!$O$6:$O$405,"INVALID",'Istoric_Nativ'!$D$6:$D$405,"*")+COUNTIFS('Istoric_Nativ'!$B$6:$B$405,E918,'Istoric_Nativ'!$C$6:$C$405,F918,'Istoric_Nativ'!$F$6:$F$405,G918,'Istoric_Nativ'!$D$6:$D$405,"&lt;"&amp;J918,'Istoric_Nativ'!$O$6:$O$405,"SOURCE CONFLICT"))</x:f>
        <x:v>0</x:v>
      </x:c>
      <x:c r="T918" s="2" t="str">
        <x:f>IF(B918="","",IF(R918&lt;&gt;"CLOSED",R918,IF(S918&gt;0,"NATIVE INPUT ISSUE",IF(M918=0,"NO HISTORY",IF(M918&lt;P918,"SMALL SAMPLE","DERIVED")))))</x:f>
      </x:c>
      <x:c r="U918" s="2" t="str">
        <x:f>IF(B918="","","NativeTable; "&amp;E918&amp;"; "&amp;F918&amp;"; "&amp;G918&amp;"; "&amp;H918&amp;"; before "&amp;TEXT(J918,"yyyy-mm-dd")&amp;IF(I918="RECENT","; from "&amp;TEXT(L918,"yyyy-mm-dd"),""))</x:f>
      </x:c>
    </x:row>
    <x:row r="919" ht="21" customHeight="1">
      <x:c r="A919" s="2" t="n">
        <x:v>77</x:v>
      </x:c>
      <x:c r="B919" s="2" t="str">
        <x:f>IF('Input_Meci'!A82="","",'Input_Meci'!A82)</x:f>
      </x:c>
      <x:c r="C919" s="2" t="str">
        <x:v>H</x:v>
      </x:c>
      <x:c r="D919" s="2" t="str">
        <x:v>CURRENT</x:v>
      </x:c>
      <x:c r="E919" s="2" t="str">
        <x:f>IF(B919="","",'Input_Meci'!B82)</x:f>
      </x:c>
      <x:c r="F919" s="2" t="str">
        <x:f>IF(B919="","",IF('Input_Meci'!C82="","",'Input_Meci'!C82))</x:f>
      </x:c>
      <x:c r="G919" s="2" t="str">
        <x:f>IF(B919="","",'Input_Meci'!D82)</x:f>
      </x:c>
      <x:c r="H919" s="2" t="str">
        <x:v>HOME</x:v>
      </x:c>
      <x:c r="I919" s="2" t="str">
        <x:v>HA</x:v>
      </x:c>
      <x:c r="J919" s="9" t="n">
        <x:f>IF(AND(B919&lt;&gt;"",ISNUMBER('Input_Meci'!G82)),INT('Input_Meci'!G82),0)</x:f>
        <x:v>0</x:v>
      </x:c>
      <x:c r="K919" s="2" t="n">
        <x:f>IF(OR(B919="",F919=""),0,IF(H919="HOME",COUNTIFS('Istoric_Nativ'!$B$6:$B$405,E919,'Istoric_Nativ'!$C$6:$C$405,F919,'Istoric_Nativ'!$E$6:$E$405,G919,'Istoric_Nativ'!$D$6:$D$405,"&lt;"&amp;J919,'Istoric_Nativ'!$P$6:$P$405,1),IF(H919="AWAY",COUNTIFS('Istoric_Nativ'!$B$6:$B$405,E919,'Istoric_Nativ'!$C$6:$C$405,F919,'Istoric_Nativ'!$F$6:$F$405,G919,'Istoric_Nativ'!$D$6:$D$405,"&lt;"&amp;J919,'Istoric_Nativ'!$P$6:$P$405,1),COUNTIFS('Istoric_Nativ'!$B$6:$B$405,E919,'Istoric_Nativ'!$C$6:$C$405,F919,'Istoric_Nativ'!$E$6:$E$405,G919,'Istoric_Nativ'!$D$6:$D$405,"&lt;"&amp;J919,'Istoric_Nativ'!$P$6:$P$405,1)+COUNTIFS('Istoric_Nativ'!$B$6:$B$405,E919,'Istoric_Nativ'!$C$6:$C$405,F919,'Istoric_Nativ'!$F$6:$F$405,G919,'Istoric_Nativ'!$D$6:$D$405,"&lt;"&amp;J919,'Istoric_Nativ'!$P$6:$P$405,1))))</x:f>
        <x:v>0</x:v>
      </x:c>
      <x:c r="L919" s="17" t="n">
        <x:f>IF(AND(B919&lt;&gt;"",I919="RECENT",K919&gt;0),LARGE(_xlfn._xlws.FILTER('Istoric_Nativ'!$D$6:$D$405,('Istoric_Nativ'!$B$6:$B$405=E919)*('Istoric_Nativ'!$C$6:$C$405=F919)*('Istoric_Nativ'!$P$6:$P$405=1)*('Istoric_Nativ'!$D$6:$D$405&lt;J919)*((('Istoric_Nativ'!$E$6:$E$405=G919)+('Istoric_Nativ'!$F$6:$F$405=G919))&gt;0)),MIN('Config_v6'!$B$54,K919)),0)</x:f>
        <x:v>0</x:v>
      </x:c>
      <x:c r="M919" s="2" t="n">
        <x:f>IF(OR(B919="",F919=""),0,IF(H919="HOME",COUNTIFS('Istoric_Nativ'!$B$6:$B$405,E919,'Istoric_Nativ'!$C$6:$C$405,F919,'Istoric_Nativ'!$E$6:$E$405,G919,'Istoric_Nativ'!$D$6:$D$405,"&lt;"&amp;J919,'Istoric_Nativ'!$P$6:$P$405,1,'Istoric_Nativ'!$D$6:$D$405,"&gt;="&amp;L919),IF(H919="AWAY",COUNTIFS('Istoric_Nativ'!$B$6:$B$405,E919,'Istoric_Nativ'!$C$6:$C$405,F919,'Istoric_Nativ'!$F$6:$F$405,G919,'Istoric_Nativ'!$D$6:$D$405,"&lt;"&amp;J919,'Istoric_Nativ'!$P$6:$P$405,1,'Istoric_Nativ'!$D$6:$D$405,"&gt;="&amp;L919),COUNTIFS('Istoric_Nativ'!$B$6:$B$405,E919,'Istoric_Nativ'!$C$6:$C$405,F919,'Istoric_Nativ'!$E$6:$E$405,G919,'Istoric_Nativ'!$D$6:$D$405,"&lt;"&amp;J919,'Istoric_Nativ'!$P$6:$P$405,1,'Istoric_Nativ'!$D$6:$D$405,"&gt;="&amp;L919)+COUNTIFS('Istoric_Nativ'!$B$6:$B$405,E919,'Istoric_Nativ'!$C$6:$C$405,F919,'Istoric_Nativ'!$F$6:$F$405,G919,'Istoric_Nativ'!$D$6:$D$405,"&lt;"&amp;J919,'Istoric_Nativ'!$P$6:$P$405,1,'Istoric_Nativ'!$D$6:$D$405,"&gt;="&amp;L919))))</x:f>
        <x:v>0</x:v>
      </x:c>
      <x:c r="N919" s="11" t="str">
        <x:f>IF(M919=0,"",IF(H919="HOME",SUMIFS('Istoric_Nativ'!$G$6:$G$405,'Istoric_Nativ'!$B$6:$B$405,E919,'Istoric_Nativ'!$C$6:$C$405,F919,'Istoric_Nativ'!$E$6:$E$405,G919,'Istoric_Nativ'!$D$6:$D$405,"&lt;"&amp;J919,'Istoric_Nativ'!$P$6:$P$405,1,'Istoric_Nativ'!$D$6:$D$405,"&gt;="&amp;L919),IF(H919="AWAY",SUMIFS('Istoric_Nativ'!$H$6:$H$405,'Istoric_Nativ'!$B$6:$B$405,E919,'Istoric_Nativ'!$C$6:$C$405,F919,'Istoric_Nativ'!$F$6:$F$405,G919,'Istoric_Nativ'!$D$6:$D$405,"&lt;"&amp;J919,'Istoric_Nativ'!$P$6:$P$405,1,'Istoric_Nativ'!$D$6:$D$405,"&gt;="&amp;L919),SUMIFS('Istoric_Nativ'!$G$6:$G$405,'Istoric_Nativ'!$B$6:$B$405,E919,'Istoric_Nativ'!$C$6:$C$405,F919,'Istoric_Nativ'!$E$6:$E$405,G919,'Istoric_Nativ'!$D$6:$D$405,"&lt;"&amp;J919,'Istoric_Nativ'!$P$6:$P$405,1,'Istoric_Nativ'!$D$6:$D$405,"&gt;="&amp;L919)+SUMIFS('Istoric_Nativ'!$H$6:$H$405,'Istoric_Nativ'!$B$6:$B$405,E919,'Istoric_Nativ'!$C$6:$C$405,F919,'Istoric_Nativ'!$F$6:$F$405,G919,'Istoric_Nativ'!$D$6:$D$405,"&lt;"&amp;J919,'Istoric_Nativ'!$P$6:$P$405,1,'Istoric_Nativ'!$D$6:$D$405,"&gt;="&amp;L919)))/M919)</x:f>
      </x:c>
      <x:c r="O919" s="11" t="str">
        <x:f>IF(M919=0,"",IF(H919="HOME",SUMIFS('Istoric_Nativ'!$H$6:$H$405,'Istoric_Nativ'!$B$6:$B$405,E919,'Istoric_Nativ'!$C$6:$C$405,F919,'Istoric_Nativ'!$E$6:$E$405,G919,'Istoric_Nativ'!$D$6:$D$405,"&lt;"&amp;J919,'Istoric_Nativ'!$P$6:$P$405,1,'Istoric_Nativ'!$D$6:$D$405,"&gt;="&amp;L919),IF(H919="AWAY",SUMIFS('Istoric_Nativ'!$G$6:$G$405,'Istoric_Nativ'!$B$6:$B$405,E919,'Istoric_Nativ'!$C$6:$C$405,F919,'Istoric_Nativ'!$F$6:$F$405,G919,'Istoric_Nativ'!$D$6:$D$405,"&lt;"&amp;J919,'Istoric_Nativ'!$P$6:$P$405,1,'Istoric_Nativ'!$D$6:$D$405,"&gt;="&amp;L919),SUMIFS('Istoric_Nativ'!$H$6:$H$405,'Istoric_Nativ'!$B$6:$B$405,E919,'Istoric_Nativ'!$C$6:$C$405,F919,'Istoric_Nativ'!$E$6:$E$405,G919,'Istoric_Nativ'!$D$6:$D$405,"&lt;"&amp;J919,'Istoric_Nativ'!$P$6:$P$405,1,'Istoric_Nativ'!$D$6:$D$405,"&gt;="&amp;L919)+SUMIFS('Istoric_Nativ'!$G$6:$G$405,'Istoric_Nativ'!$B$6:$B$405,E919,'Istoric_Nativ'!$C$6:$C$405,F919,'Istoric_Nativ'!$F$6:$F$405,G919,'Istoric_Nativ'!$D$6:$D$405,"&lt;"&amp;J919,'Istoric_Nativ'!$P$6:$P$405,1,'Istoric_Nativ'!$D$6:$D$405,"&gt;="&amp;L919)))/M919)</x:f>
      </x:c>
      <x:c r="P919" s="2" t="n">
        <x:f>'Config_v6'!$B$8</x:f>
        <x:v>5</x:v>
      </x:c>
      <x:c r="Q919" s="2" t="n">
        <x:f>IF(OR(B919="",F919=""),0,IFERROR(MATCH(E919&amp;"|"&amp;F919,SourceTable[Source_Key],0),0))</x:f>
        <x:v>0</x:v>
      </x:c>
      <x:c r="R919" s="2" t="str">
        <x:f>IF(B919="","",IF(F919="","UNUSED",IF(Q919=0,"NOT CHECKED",IF(COUNTIF(SourceTable[Source_Key],E919&amp;"|"&amp;F919)&lt;&gt;1,"SOURCE CONFLICT",IF(NOT(OR(INDEX(SourceTable[Status],MAX(1,Q919))="IMPORTED",INDEX(SourceTable[Status],MAX(1,Q919))="PARTIAL",INDEX(SourceTable[Status],MAX(1,Q919))="SOURCE CONFLICT")),"ACCESS BLOCKED",IF(OR(INDEX(SourceTable[Coverage],Q919)&lt;&gt;"FULL SEASON EXPORT",INDEX(SourceTable[URL],Q919)="",INDEX(SourceTable[SHA256],Q919)=""),"EVIDENCE INCOMPLETE",IF(AND('Input_Meci'!H82="LIVE",INDEX(SourceTable[Retrieved_UTC],Q919)&gt;'Input_Meci'!G82),"POST CUTOFF","CLOSED")))))))</x:f>
      </x:c>
      <x:c r="S919" s="2" t="n">
        <x:f>IF(OR(B919="",F919=""),0,COUNTIFS('Istoric_Nativ'!$B$6:$B$405,E919,'Istoric_Nativ'!$C$6:$C$405,F919,'Istoric_Nativ'!$E$6:$E$405,G919,'Istoric_Nativ'!$D$6:$D$405,"&lt;"&amp;J919,'Istoric_Nativ'!$O$6:$O$405,"INVALID")+COUNTIFS('Istoric_Nativ'!$B$6:$B$405,E919,'Istoric_Nativ'!$C$6:$C$405,F919,'Istoric_Nativ'!$E$6:$E$405,G919,'Istoric_Nativ'!$O$6:$O$405,"INVALID",'Istoric_Nativ'!$D$6:$D$405,"*")+COUNTIFS('Istoric_Nativ'!$B$6:$B$405,E919,'Istoric_Nativ'!$C$6:$C$405,F919,'Istoric_Nativ'!$E$6:$E$405,G919,'Istoric_Nativ'!$D$6:$D$405,"&lt;"&amp;J919,'Istoric_Nativ'!$O$6:$O$405,"SOURCE CONFLICT")+COUNTIFS('Istoric_Nativ'!$B$6:$B$405,E919,'Istoric_Nativ'!$C$6:$C$405,F919,'Istoric_Nativ'!$F$6:$F$405,G919,'Istoric_Nativ'!$D$6:$D$405,"&lt;"&amp;J919,'Istoric_Nativ'!$O$6:$O$405,"INVALID")+COUNTIFS('Istoric_Nativ'!$B$6:$B$405,E919,'Istoric_Nativ'!$C$6:$C$405,F919,'Istoric_Nativ'!$F$6:$F$405,G919,'Istoric_Nativ'!$O$6:$O$405,"INVALID",'Istoric_Nativ'!$D$6:$D$405,"*")+COUNTIFS('Istoric_Nativ'!$B$6:$B$405,E919,'Istoric_Nativ'!$C$6:$C$405,F919,'Istoric_Nativ'!$F$6:$F$405,G919,'Istoric_Nativ'!$D$6:$D$405,"&lt;"&amp;J919,'Istoric_Nativ'!$O$6:$O$405,"SOURCE CONFLICT"))</x:f>
        <x:v>0</x:v>
      </x:c>
      <x:c r="T919" s="2" t="str">
        <x:f>IF(B919="","",IF(R919&lt;&gt;"CLOSED",R919,IF(S919&gt;0,"NATIVE INPUT ISSUE",IF(M919=0,"NO HISTORY",IF(M919&lt;P919,"SMALL SAMPLE","DERIVED")))))</x:f>
      </x:c>
      <x:c r="U919" s="2" t="str">
        <x:f>IF(B919="","","NativeTable; "&amp;E919&amp;"; "&amp;F919&amp;"; "&amp;G919&amp;"; "&amp;H919&amp;"; before "&amp;TEXT(J919,"yyyy-mm-dd")&amp;IF(I919="RECENT","; from "&amp;TEXT(L919,"yyyy-mm-dd"),""))</x:f>
      </x:c>
    </x:row>
    <x:row r="920" ht="21" customHeight="1">
      <x:c r="A920" s="2" t="n">
        <x:v>77</x:v>
      </x:c>
      <x:c r="B920" s="2" t="str">
        <x:f>IF('Input_Meci'!A82="","",'Input_Meci'!A82)</x:f>
      </x:c>
      <x:c r="C920" s="2" t="str">
        <x:v>H</x:v>
      </x:c>
      <x:c r="D920" s="2" t="str">
        <x:v>CURRENT</x:v>
      </x:c>
      <x:c r="E920" s="2" t="str">
        <x:f>IF(B920="","",'Input_Meci'!B82)</x:f>
      </x:c>
      <x:c r="F920" s="2" t="str">
        <x:f>IF(B920="","",IF('Input_Meci'!C82="","",'Input_Meci'!C82))</x:f>
      </x:c>
      <x:c r="G920" s="2" t="str">
        <x:f>IF(B920="","",'Input_Meci'!D82)</x:f>
      </x:c>
      <x:c r="H920" s="2" t="str">
        <x:v>ANY</x:v>
      </x:c>
      <x:c r="I920" s="2" t="str">
        <x:v>RECENT</x:v>
      </x:c>
      <x:c r="J920" s="9" t="n">
        <x:f>IF(AND(B920&lt;&gt;"",ISNUMBER('Input_Meci'!G82)),INT('Input_Meci'!G82),0)</x:f>
        <x:v>0</x:v>
      </x:c>
      <x:c r="K920" s="2" t="n">
        <x:f>IF(OR(B920="",F920=""),0,IF(H920="HOME",COUNTIFS('Istoric_Nativ'!$B$6:$B$405,E920,'Istoric_Nativ'!$C$6:$C$405,F920,'Istoric_Nativ'!$E$6:$E$405,G920,'Istoric_Nativ'!$D$6:$D$405,"&lt;"&amp;J920,'Istoric_Nativ'!$P$6:$P$405,1),IF(H920="AWAY",COUNTIFS('Istoric_Nativ'!$B$6:$B$405,E920,'Istoric_Nativ'!$C$6:$C$405,F920,'Istoric_Nativ'!$F$6:$F$405,G920,'Istoric_Nativ'!$D$6:$D$405,"&lt;"&amp;J920,'Istoric_Nativ'!$P$6:$P$405,1),COUNTIFS('Istoric_Nativ'!$B$6:$B$405,E920,'Istoric_Nativ'!$C$6:$C$405,F920,'Istoric_Nativ'!$E$6:$E$405,G920,'Istoric_Nativ'!$D$6:$D$405,"&lt;"&amp;J920,'Istoric_Nativ'!$P$6:$P$405,1)+COUNTIFS('Istoric_Nativ'!$B$6:$B$405,E920,'Istoric_Nativ'!$C$6:$C$405,F920,'Istoric_Nativ'!$F$6:$F$405,G920,'Istoric_Nativ'!$D$6:$D$405,"&lt;"&amp;J920,'Istoric_Nativ'!$P$6:$P$405,1))))</x:f>
        <x:v>0</x:v>
      </x:c>
      <x:c r="L920" s="17" t="n">
        <x:f>IF(AND(B920&lt;&gt;"",I920="RECENT",K920&gt;0),LARGE(_xlfn._xlws.FILTER('Istoric_Nativ'!$D$6:$D$405,('Istoric_Nativ'!$B$6:$B$405=E920)*('Istoric_Nativ'!$C$6:$C$405=F920)*('Istoric_Nativ'!$P$6:$P$405=1)*('Istoric_Nativ'!$D$6:$D$405&lt;J920)*((('Istoric_Nativ'!$E$6:$E$405=G920)+('Istoric_Nativ'!$F$6:$F$405=G920))&gt;0)),MIN('Config_v6'!$B$54,K920)),0)</x:f>
        <x:v>0</x:v>
      </x:c>
      <x:c r="M920" s="2" t="n">
        <x:f>IF(OR(B920="",F920=""),0,IF(H920="HOME",COUNTIFS('Istoric_Nativ'!$B$6:$B$405,E920,'Istoric_Nativ'!$C$6:$C$405,F920,'Istoric_Nativ'!$E$6:$E$405,G920,'Istoric_Nativ'!$D$6:$D$405,"&lt;"&amp;J920,'Istoric_Nativ'!$P$6:$P$405,1,'Istoric_Nativ'!$D$6:$D$405,"&gt;="&amp;L920),IF(H920="AWAY",COUNTIFS('Istoric_Nativ'!$B$6:$B$405,E920,'Istoric_Nativ'!$C$6:$C$405,F920,'Istoric_Nativ'!$F$6:$F$405,G920,'Istoric_Nativ'!$D$6:$D$405,"&lt;"&amp;J920,'Istoric_Nativ'!$P$6:$P$405,1,'Istoric_Nativ'!$D$6:$D$405,"&gt;="&amp;L920),COUNTIFS('Istoric_Nativ'!$B$6:$B$405,E920,'Istoric_Nativ'!$C$6:$C$405,F920,'Istoric_Nativ'!$E$6:$E$405,G920,'Istoric_Nativ'!$D$6:$D$405,"&lt;"&amp;J920,'Istoric_Nativ'!$P$6:$P$405,1,'Istoric_Nativ'!$D$6:$D$405,"&gt;="&amp;L920)+COUNTIFS('Istoric_Nativ'!$B$6:$B$405,E920,'Istoric_Nativ'!$C$6:$C$405,F920,'Istoric_Nativ'!$F$6:$F$405,G920,'Istoric_Nativ'!$D$6:$D$405,"&lt;"&amp;J920,'Istoric_Nativ'!$P$6:$P$405,1,'Istoric_Nativ'!$D$6:$D$405,"&gt;="&amp;L920))))</x:f>
        <x:v>0</x:v>
      </x:c>
      <x:c r="N920" s="11" t="str">
        <x:f>IF(M920=0,"",IF(H920="HOME",SUMIFS('Istoric_Nativ'!$G$6:$G$405,'Istoric_Nativ'!$B$6:$B$405,E920,'Istoric_Nativ'!$C$6:$C$405,F920,'Istoric_Nativ'!$E$6:$E$405,G920,'Istoric_Nativ'!$D$6:$D$405,"&lt;"&amp;J920,'Istoric_Nativ'!$P$6:$P$405,1,'Istoric_Nativ'!$D$6:$D$405,"&gt;="&amp;L920),IF(H920="AWAY",SUMIFS('Istoric_Nativ'!$H$6:$H$405,'Istoric_Nativ'!$B$6:$B$405,E920,'Istoric_Nativ'!$C$6:$C$405,F920,'Istoric_Nativ'!$F$6:$F$405,G920,'Istoric_Nativ'!$D$6:$D$405,"&lt;"&amp;J920,'Istoric_Nativ'!$P$6:$P$405,1,'Istoric_Nativ'!$D$6:$D$405,"&gt;="&amp;L920),SUMIFS('Istoric_Nativ'!$G$6:$G$405,'Istoric_Nativ'!$B$6:$B$405,E920,'Istoric_Nativ'!$C$6:$C$405,F920,'Istoric_Nativ'!$E$6:$E$405,G920,'Istoric_Nativ'!$D$6:$D$405,"&lt;"&amp;J920,'Istoric_Nativ'!$P$6:$P$405,1,'Istoric_Nativ'!$D$6:$D$405,"&gt;="&amp;L920)+SUMIFS('Istoric_Nativ'!$H$6:$H$405,'Istoric_Nativ'!$B$6:$B$405,E920,'Istoric_Nativ'!$C$6:$C$405,F920,'Istoric_Nativ'!$F$6:$F$405,G920,'Istoric_Nativ'!$D$6:$D$405,"&lt;"&amp;J920,'Istoric_Nativ'!$P$6:$P$405,1,'Istoric_Nativ'!$D$6:$D$405,"&gt;="&amp;L920)))/M920)</x:f>
      </x:c>
      <x:c r="O920" s="11" t="str">
        <x:f>IF(M920=0,"",IF(H920="HOME",SUMIFS('Istoric_Nativ'!$H$6:$H$405,'Istoric_Nativ'!$B$6:$B$405,E920,'Istoric_Nativ'!$C$6:$C$405,F920,'Istoric_Nativ'!$E$6:$E$405,G920,'Istoric_Nativ'!$D$6:$D$405,"&lt;"&amp;J920,'Istoric_Nativ'!$P$6:$P$405,1,'Istoric_Nativ'!$D$6:$D$405,"&gt;="&amp;L920),IF(H920="AWAY",SUMIFS('Istoric_Nativ'!$G$6:$G$405,'Istoric_Nativ'!$B$6:$B$405,E920,'Istoric_Nativ'!$C$6:$C$405,F920,'Istoric_Nativ'!$F$6:$F$405,G920,'Istoric_Nativ'!$D$6:$D$405,"&lt;"&amp;J920,'Istoric_Nativ'!$P$6:$P$405,1,'Istoric_Nativ'!$D$6:$D$405,"&gt;="&amp;L920),SUMIFS('Istoric_Nativ'!$H$6:$H$405,'Istoric_Nativ'!$B$6:$B$405,E920,'Istoric_Nativ'!$C$6:$C$405,F920,'Istoric_Nativ'!$E$6:$E$405,G920,'Istoric_Nativ'!$D$6:$D$405,"&lt;"&amp;J920,'Istoric_Nativ'!$P$6:$P$405,1,'Istoric_Nativ'!$D$6:$D$405,"&gt;="&amp;L920)+SUMIFS('Istoric_Nativ'!$G$6:$G$405,'Istoric_Nativ'!$B$6:$B$405,E920,'Istoric_Nativ'!$C$6:$C$405,F920,'Istoric_Nativ'!$F$6:$F$405,G920,'Istoric_Nativ'!$D$6:$D$405,"&lt;"&amp;J920,'Istoric_Nativ'!$P$6:$P$405,1,'Istoric_Nativ'!$D$6:$D$405,"&gt;="&amp;L920)))/M920)</x:f>
      </x:c>
      <x:c r="P920" s="2" t="n">
        <x:f>'Config_v6'!$B$9</x:f>
        <x:v>3</x:v>
      </x:c>
      <x:c r="Q920" s="2" t="n">
        <x:f>IF(OR(B920="",F920=""),0,IFERROR(MATCH(E920&amp;"|"&amp;F920,SourceTable[Source_Key],0),0))</x:f>
        <x:v>0</x:v>
      </x:c>
      <x:c r="R920" s="2" t="str">
        <x:f>IF(B920="","",IF(F920="","UNUSED",IF(Q920=0,"NOT CHECKED",IF(COUNTIF(SourceTable[Source_Key],E920&amp;"|"&amp;F920)&lt;&gt;1,"SOURCE CONFLICT",IF(NOT(OR(INDEX(SourceTable[Status],MAX(1,Q920))="IMPORTED",INDEX(SourceTable[Status],MAX(1,Q920))="PARTIAL",INDEX(SourceTable[Status],MAX(1,Q920))="SOURCE CONFLICT")),"ACCESS BLOCKED",IF(OR(INDEX(SourceTable[Coverage],Q920)&lt;&gt;"FULL SEASON EXPORT",INDEX(SourceTable[URL],Q920)="",INDEX(SourceTable[SHA256],Q920)=""),"EVIDENCE INCOMPLETE",IF(AND('Input_Meci'!H82="LIVE",INDEX(SourceTable[Retrieved_UTC],Q920)&gt;'Input_Meci'!G82),"POST CUTOFF","CLOSED")))))))</x:f>
      </x:c>
      <x:c r="S920" s="2" t="n">
        <x:f>IF(OR(B920="",F920=""),0,COUNTIFS('Istoric_Nativ'!$B$6:$B$405,E920,'Istoric_Nativ'!$C$6:$C$405,F920,'Istoric_Nativ'!$E$6:$E$405,G920,'Istoric_Nativ'!$D$6:$D$405,"&lt;"&amp;J920,'Istoric_Nativ'!$O$6:$O$405,"INVALID")+COUNTIFS('Istoric_Nativ'!$B$6:$B$405,E920,'Istoric_Nativ'!$C$6:$C$405,F920,'Istoric_Nativ'!$E$6:$E$405,G920,'Istoric_Nativ'!$O$6:$O$405,"INVALID",'Istoric_Nativ'!$D$6:$D$405,"*")+COUNTIFS('Istoric_Nativ'!$B$6:$B$405,E920,'Istoric_Nativ'!$C$6:$C$405,F920,'Istoric_Nativ'!$E$6:$E$405,G920,'Istoric_Nativ'!$D$6:$D$405,"&lt;"&amp;J920,'Istoric_Nativ'!$O$6:$O$405,"SOURCE CONFLICT")+COUNTIFS('Istoric_Nativ'!$B$6:$B$405,E920,'Istoric_Nativ'!$C$6:$C$405,F920,'Istoric_Nativ'!$F$6:$F$405,G920,'Istoric_Nativ'!$D$6:$D$405,"&lt;"&amp;J920,'Istoric_Nativ'!$O$6:$O$405,"INVALID")+COUNTIFS('Istoric_Nativ'!$B$6:$B$405,E920,'Istoric_Nativ'!$C$6:$C$405,F920,'Istoric_Nativ'!$F$6:$F$405,G920,'Istoric_Nativ'!$O$6:$O$405,"INVALID",'Istoric_Nativ'!$D$6:$D$405,"*")+COUNTIFS('Istoric_Nativ'!$B$6:$B$405,E920,'Istoric_Nativ'!$C$6:$C$405,F920,'Istoric_Nativ'!$F$6:$F$405,G920,'Istoric_Nativ'!$D$6:$D$405,"&lt;"&amp;J920,'Istoric_Nativ'!$O$6:$O$405,"SOURCE CONFLICT"))</x:f>
        <x:v>0</x:v>
      </x:c>
      <x:c r="T920" s="2" t="str">
        <x:f>IF(B920="","",IF(R920&lt;&gt;"CLOSED",R920,IF(S920&gt;0,"NATIVE INPUT ISSUE",IF(M920=0,"NO HISTORY",IF(M920&lt;P920,"SMALL SAMPLE","DERIVED")))))</x:f>
      </x:c>
      <x:c r="U920" s="2" t="str">
        <x:f>IF(B920="","","NativeTable; "&amp;E920&amp;"; "&amp;F920&amp;"; "&amp;G920&amp;"; "&amp;H920&amp;"; before "&amp;TEXT(J920,"yyyy-mm-dd")&amp;IF(I920="RECENT","; from "&amp;TEXT(L920,"yyyy-mm-dd"),""))</x:f>
      </x:c>
    </x:row>
    <x:row r="921" ht="21" customHeight="1">
      <x:c r="A921" s="2" t="n">
        <x:v>77</x:v>
      </x:c>
      <x:c r="B921" s="2" t="str">
        <x:f>IF('Input_Meci'!A82="","",'Input_Meci'!A82)</x:f>
      </x:c>
      <x:c r="C921" s="2" t="str">
        <x:v>A</x:v>
      </x:c>
      <x:c r="D921" s="2" t="str">
        <x:v>CURRENT</x:v>
      </x:c>
      <x:c r="E921" s="2" t="str">
        <x:f>IF(B921="","",'Input_Meci'!B82)</x:f>
      </x:c>
      <x:c r="F921" s="2" t="str">
        <x:f>IF(B921="","",IF('Input_Meci'!C82="","",'Input_Meci'!C82))</x:f>
      </x:c>
      <x:c r="G921" s="2" t="str">
        <x:f>IF(B921="","",'Input_Meci'!E82)</x:f>
      </x:c>
      <x:c r="H921" s="2" t="str">
        <x:v>ANY</x:v>
      </x:c>
      <x:c r="I921" s="2" t="str">
        <x:v>SEASON</x:v>
      </x:c>
      <x:c r="J921" s="9" t="n">
        <x:f>IF(AND(B921&lt;&gt;"",ISNUMBER('Input_Meci'!G82)),INT('Input_Meci'!G82),0)</x:f>
        <x:v>0</x:v>
      </x:c>
      <x:c r="K921" s="2" t="n">
        <x:f>IF(OR(B921="",F921=""),0,IF(H921="HOME",COUNTIFS('Istoric_Nativ'!$B$6:$B$405,E921,'Istoric_Nativ'!$C$6:$C$405,F921,'Istoric_Nativ'!$E$6:$E$405,G921,'Istoric_Nativ'!$D$6:$D$405,"&lt;"&amp;J921,'Istoric_Nativ'!$P$6:$P$405,1),IF(H921="AWAY",COUNTIFS('Istoric_Nativ'!$B$6:$B$405,E921,'Istoric_Nativ'!$C$6:$C$405,F921,'Istoric_Nativ'!$F$6:$F$405,G921,'Istoric_Nativ'!$D$6:$D$405,"&lt;"&amp;J921,'Istoric_Nativ'!$P$6:$P$405,1),COUNTIFS('Istoric_Nativ'!$B$6:$B$405,E921,'Istoric_Nativ'!$C$6:$C$405,F921,'Istoric_Nativ'!$E$6:$E$405,G921,'Istoric_Nativ'!$D$6:$D$405,"&lt;"&amp;J921,'Istoric_Nativ'!$P$6:$P$405,1)+COUNTIFS('Istoric_Nativ'!$B$6:$B$405,E921,'Istoric_Nativ'!$C$6:$C$405,F921,'Istoric_Nativ'!$F$6:$F$405,G921,'Istoric_Nativ'!$D$6:$D$405,"&lt;"&amp;J921,'Istoric_Nativ'!$P$6:$P$405,1))))</x:f>
        <x:v>0</x:v>
      </x:c>
      <x:c r="L921" s="17" t="n">
        <x:f>IF(AND(B921&lt;&gt;"",I921="RECENT",K921&gt;0),LARGE(_xlfn._xlws.FILTER('Istoric_Nativ'!$D$6:$D$405,('Istoric_Nativ'!$B$6:$B$405=E921)*('Istoric_Nativ'!$C$6:$C$405=F921)*('Istoric_Nativ'!$P$6:$P$405=1)*('Istoric_Nativ'!$D$6:$D$405&lt;J921)*((('Istoric_Nativ'!$E$6:$E$405=G921)+('Istoric_Nativ'!$F$6:$F$405=G921))&gt;0)),MIN('Config_v6'!$B$54,K921)),0)</x:f>
        <x:v>0</x:v>
      </x:c>
      <x:c r="M921" s="2" t="n">
        <x:f>IF(OR(B921="",F921=""),0,IF(H921="HOME",COUNTIFS('Istoric_Nativ'!$B$6:$B$405,E921,'Istoric_Nativ'!$C$6:$C$405,F921,'Istoric_Nativ'!$E$6:$E$405,G921,'Istoric_Nativ'!$D$6:$D$405,"&lt;"&amp;J921,'Istoric_Nativ'!$P$6:$P$405,1,'Istoric_Nativ'!$D$6:$D$405,"&gt;="&amp;L921),IF(H921="AWAY",COUNTIFS('Istoric_Nativ'!$B$6:$B$405,E921,'Istoric_Nativ'!$C$6:$C$405,F921,'Istoric_Nativ'!$F$6:$F$405,G921,'Istoric_Nativ'!$D$6:$D$405,"&lt;"&amp;J921,'Istoric_Nativ'!$P$6:$P$405,1,'Istoric_Nativ'!$D$6:$D$405,"&gt;="&amp;L921),COUNTIFS('Istoric_Nativ'!$B$6:$B$405,E921,'Istoric_Nativ'!$C$6:$C$405,F921,'Istoric_Nativ'!$E$6:$E$405,G921,'Istoric_Nativ'!$D$6:$D$405,"&lt;"&amp;J921,'Istoric_Nativ'!$P$6:$P$405,1,'Istoric_Nativ'!$D$6:$D$405,"&gt;="&amp;L921)+COUNTIFS('Istoric_Nativ'!$B$6:$B$405,E921,'Istoric_Nativ'!$C$6:$C$405,F921,'Istoric_Nativ'!$F$6:$F$405,G921,'Istoric_Nativ'!$D$6:$D$405,"&lt;"&amp;J921,'Istoric_Nativ'!$P$6:$P$405,1,'Istoric_Nativ'!$D$6:$D$405,"&gt;="&amp;L921))))</x:f>
        <x:v>0</x:v>
      </x:c>
      <x:c r="N921" s="11" t="str">
        <x:f>IF(M921=0,"",IF(H921="HOME",SUMIFS('Istoric_Nativ'!$G$6:$G$405,'Istoric_Nativ'!$B$6:$B$405,E921,'Istoric_Nativ'!$C$6:$C$405,F921,'Istoric_Nativ'!$E$6:$E$405,G921,'Istoric_Nativ'!$D$6:$D$405,"&lt;"&amp;J921,'Istoric_Nativ'!$P$6:$P$405,1,'Istoric_Nativ'!$D$6:$D$405,"&gt;="&amp;L921),IF(H921="AWAY",SUMIFS('Istoric_Nativ'!$H$6:$H$405,'Istoric_Nativ'!$B$6:$B$405,E921,'Istoric_Nativ'!$C$6:$C$405,F921,'Istoric_Nativ'!$F$6:$F$405,G921,'Istoric_Nativ'!$D$6:$D$405,"&lt;"&amp;J921,'Istoric_Nativ'!$P$6:$P$405,1,'Istoric_Nativ'!$D$6:$D$405,"&gt;="&amp;L921),SUMIFS('Istoric_Nativ'!$G$6:$G$405,'Istoric_Nativ'!$B$6:$B$405,E921,'Istoric_Nativ'!$C$6:$C$405,F921,'Istoric_Nativ'!$E$6:$E$405,G921,'Istoric_Nativ'!$D$6:$D$405,"&lt;"&amp;J921,'Istoric_Nativ'!$P$6:$P$405,1,'Istoric_Nativ'!$D$6:$D$405,"&gt;="&amp;L921)+SUMIFS('Istoric_Nativ'!$H$6:$H$405,'Istoric_Nativ'!$B$6:$B$405,E921,'Istoric_Nativ'!$C$6:$C$405,F921,'Istoric_Nativ'!$F$6:$F$405,G921,'Istoric_Nativ'!$D$6:$D$405,"&lt;"&amp;J921,'Istoric_Nativ'!$P$6:$P$405,1,'Istoric_Nativ'!$D$6:$D$405,"&gt;="&amp;L921)))/M921)</x:f>
      </x:c>
      <x:c r="O921" s="11" t="str">
        <x:f>IF(M921=0,"",IF(H921="HOME",SUMIFS('Istoric_Nativ'!$H$6:$H$405,'Istoric_Nativ'!$B$6:$B$405,E921,'Istoric_Nativ'!$C$6:$C$405,F921,'Istoric_Nativ'!$E$6:$E$405,G921,'Istoric_Nativ'!$D$6:$D$405,"&lt;"&amp;J921,'Istoric_Nativ'!$P$6:$P$405,1,'Istoric_Nativ'!$D$6:$D$405,"&gt;="&amp;L921),IF(H921="AWAY",SUMIFS('Istoric_Nativ'!$G$6:$G$405,'Istoric_Nativ'!$B$6:$B$405,E921,'Istoric_Nativ'!$C$6:$C$405,F921,'Istoric_Nativ'!$F$6:$F$405,G921,'Istoric_Nativ'!$D$6:$D$405,"&lt;"&amp;J921,'Istoric_Nativ'!$P$6:$P$405,1,'Istoric_Nativ'!$D$6:$D$405,"&gt;="&amp;L921),SUMIFS('Istoric_Nativ'!$H$6:$H$405,'Istoric_Nativ'!$B$6:$B$405,E921,'Istoric_Nativ'!$C$6:$C$405,F921,'Istoric_Nativ'!$E$6:$E$405,G921,'Istoric_Nativ'!$D$6:$D$405,"&lt;"&amp;J921,'Istoric_Nativ'!$P$6:$P$405,1,'Istoric_Nativ'!$D$6:$D$405,"&gt;="&amp;L921)+SUMIFS('Istoric_Nativ'!$G$6:$G$405,'Istoric_Nativ'!$B$6:$B$405,E921,'Istoric_Nativ'!$C$6:$C$405,F921,'Istoric_Nativ'!$F$6:$F$405,G921,'Istoric_Nativ'!$D$6:$D$405,"&lt;"&amp;J921,'Istoric_Nativ'!$P$6:$P$405,1,'Istoric_Nativ'!$D$6:$D$405,"&gt;="&amp;L921)))/M921)</x:f>
      </x:c>
      <x:c r="P921" s="2" t="n">
        <x:f>'Config_v6'!$B$7</x:f>
        <x:v>10</x:v>
      </x:c>
      <x:c r="Q921" s="2" t="n">
        <x:f>IF(OR(B921="",F921=""),0,IFERROR(MATCH(E921&amp;"|"&amp;F921,SourceTable[Source_Key],0),0))</x:f>
        <x:v>0</x:v>
      </x:c>
      <x:c r="R921" s="2" t="str">
        <x:f>IF(B921="","",IF(F921="","UNUSED",IF(Q921=0,"NOT CHECKED",IF(COUNTIF(SourceTable[Source_Key],E921&amp;"|"&amp;F921)&lt;&gt;1,"SOURCE CONFLICT",IF(NOT(OR(INDEX(SourceTable[Status],MAX(1,Q921))="IMPORTED",INDEX(SourceTable[Status],MAX(1,Q921))="PARTIAL",INDEX(SourceTable[Status],MAX(1,Q921))="SOURCE CONFLICT")),"ACCESS BLOCKED",IF(OR(INDEX(SourceTable[Coverage],Q921)&lt;&gt;"FULL SEASON EXPORT",INDEX(SourceTable[URL],Q921)="",INDEX(SourceTable[SHA256],Q921)=""),"EVIDENCE INCOMPLETE",IF(AND('Input_Meci'!H82="LIVE",INDEX(SourceTable[Retrieved_UTC],Q921)&gt;'Input_Meci'!G82),"POST CUTOFF","CLOSED")))))))</x:f>
      </x:c>
      <x:c r="S921" s="2" t="n">
        <x:f>IF(OR(B921="",F921=""),0,COUNTIFS('Istoric_Nativ'!$B$6:$B$405,E921,'Istoric_Nativ'!$C$6:$C$405,F921,'Istoric_Nativ'!$E$6:$E$405,G921,'Istoric_Nativ'!$D$6:$D$405,"&lt;"&amp;J921,'Istoric_Nativ'!$O$6:$O$405,"INVALID")+COUNTIFS('Istoric_Nativ'!$B$6:$B$405,E921,'Istoric_Nativ'!$C$6:$C$405,F921,'Istoric_Nativ'!$E$6:$E$405,G921,'Istoric_Nativ'!$O$6:$O$405,"INVALID",'Istoric_Nativ'!$D$6:$D$405,"*")+COUNTIFS('Istoric_Nativ'!$B$6:$B$405,E921,'Istoric_Nativ'!$C$6:$C$405,F921,'Istoric_Nativ'!$E$6:$E$405,G921,'Istoric_Nativ'!$D$6:$D$405,"&lt;"&amp;J921,'Istoric_Nativ'!$O$6:$O$405,"SOURCE CONFLICT")+COUNTIFS('Istoric_Nativ'!$B$6:$B$405,E921,'Istoric_Nativ'!$C$6:$C$405,F921,'Istoric_Nativ'!$F$6:$F$405,G921,'Istoric_Nativ'!$D$6:$D$405,"&lt;"&amp;J921,'Istoric_Nativ'!$O$6:$O$405,"INVALID")+COUNTIFS('Istoric_Nativ'!$B$6:$B$405,E921,'Istoric_Nativ'!$C$6:$C$405,F921,'Istoric_Nativ'!$F$6:$F$405,G921,'Istoric_Nativ'!$O$6:$O$405,"INVALID",'Istoric_Nativ'!$D$6:$D$405,"*")+COUNTIFS('Istoric_Nativ'!$B$6:$B$405,E921,'Istoric_Nativ'!$C$6:$C$405,F921,'Istoric_Nativ'!$F$6:$F$405,G921,'Istoric_Nativ'!$D$6:$D$405,"&lt;"&amp;J921,'Istoric_Nativ'!$O$6:$O$405,"SOURCE CONFLICT"))</x:f>
        <x:v>0</x:v>
      </x:c>
      <x:c r="T921" s="2" t="str">
        <x:f>IF(B921="","",IF(R921&lt;&gt;"CLOSED",R921,IF(S921&gt;0,"NATIVE INPUT ISSUE",IF(M921=0,"NO HISTORY",IF(M921&lt;P921,"SMALL SAMPLE","DERIVED")))))</x:f>
      </x:c>
      <x:c r="U921" s="2" t="str">
        <x:f>IF(B921="","","NativeTable; "&amp;E921&amp;"; "&amp;F921&amp;"; "&amp;G921&amp;"; "&amp;H921&amp;"; before "&amp;TEXT(J921,"yyyy-mm-dd")&amp;IF(I921="RECENT","; from "&amp;TEXT(L921,"yyyy-mm-dd"),""))</x:f>
      </x:c>
    </x:row>
    <x:row r="922" ht="21" customHeight="1">
      <x:c r="A922" s="2" t="n">
        <x:v>77</x:v>
      </x:c>
      <x:c r="B922" s="2" t="str">
        <x:f>IF('Input_Meci'!A82="","",'Input_Meci'!A82)</x:f>
      </x:c>
      <x:c r="C922" s="2" t="str">
        <x:v>A</x:v>
      </x:c>
      <x:c r="D922" s="2" t="str">
        <x:v>CURRENT</x:v>
      </x:c>
      <x:c r="E922" s="2" t="str">
        <x:f>IF(B922="","",'Input_Meci'!B82)</x:f>
      </x:c>
      <x:c r="F922" s="2" t="str">
        <x:f>IF(B922="","",IF('Input_Meci'!C82="","",'Input_Meci'!C82))</x:f>
      </x:c>
      <x:c r="G922" s="2" t="str">
        <x:f>IF(B922="","",'Input_Meci'!E82)</x:f>
      </x:c>
      <x:c r="H922" s="2" t="str">
        <x:v>AWAY</x:v>
      </x:c>
      <x:c r="I922" s="2" t="str">
        <x:v>HA</x:v>
      </x:c>
      <x:c r="J922" s="9" t="n">
        <x:f>IF(AND(B922&lt;&gt;"",ISNUMBER('Input_Meci'!G82)),INT('Input_Meci'!G82),0)</x:f>
        <x:v>0</x:v>
      </x:c>
      <x:c r="K922" s="2" t="n">
        <x:f>IF(OR(B922="",F922=""),0,IF(H922="HOME",COUNTIFS('Istoric_Nativ'!$B$6:$B$405,E922,'Istoric_Nativ'!$C$6:$C$405,F922,'Istoric_Nativ'!$E$6:$E$405,G922,'Istoric_Nativ'!$D$6:$D$405,"&lt;"&amp;J922,'Istoric_Nativ'!$P$6:$P$405,1),IF(H922="AWAY",COUNTIFS('Istoric_Nativ'!$B$6:$B$405,E922,'Istoric_Nativ'!$C$6:$C$405,F922,'Istoric_Nativ'!$F$6:$F$405,G922,'Istoric_Nativ'!$D$6:$D$405,"&lt;"&amp;J922,'Istoric_Nativ'!$P$6:$P$405,1),COUNTIFS('Istoric_Nativ'!$B$6:$B$405,E922,'Istoric_Nativ'!$C$6:$C$405,F922,'Istoric_Nativ'!$E$6:$E$405,G922,'Istoric_Nativ'!$D$6:$D$405,"&lt;"&amp;J922,'Istoric_Nativ'!$P$6:$P$405,1)+COUNTIFS('Istoric_Nativ'!$B$6:$B$405,E922,'Istoric_Nativ'!$C$6:$C$405,F922,'Istoric_Nativ'!$F$6:$F$405,G922,'Istoric_Nativ'!$D$6:$D$405,"&lt;"&amp;J922,'Istoric_Nativ'!$P$6:$P$405,1))))</x:f>
        <x:v>0</x:v>
      </x:c>
      <x:c r="L922" s="17" t="n">
        <x:f>IF(AND(B922&lt;&gt;"",I922="RECENT",K922&gt;0),LARGE(_xlfn._xlws.FILTER('Istoric_Nativ'!$D$6:$D$405,('Istoric_Nativ'!$B$6:$B$405=E922)*('Istoric_Nativ'!$C$6:$C$405=F922)*('Istoric_Nativ'!$P$6:$P$405=1)*('Istoric_Nativ'!$D$6:$D$405&lt;J922)*((('Istoric_Nativ'!$E$6:$E$405=G922)+('Istoric_Nativ'!$F$6:$F$405=G922))&gt;0)),MIN('Config_v6'!$B$54,K922)),0)</x:f>
        <x:v>0</x:v>
      </x:c>
      <x:c r="M922" s="2" t="n">
        <x:f>IF(OR(B922="",F922=""),0,IF(H922="HOME",COUNTIFS('Istoric_Nativ'!$B$6:$B$405,E922,'Istoric_Nativ'!$C$6:$C$405,F922,'Istoric_Nativ'!$E$6:$E$405,G922,'Istoric_Nativ'!$D$6:$D$405,"&lt;"&amp;J922,'Istoric_Nativ'!$P$6:$P$405,1,'Istoric_Nativ'!$D$6:$D$405,"&gt;="&amp;L922),IF(H922="AWAY",COUNTIFS('Istoric_Nativ'!$B$6:$B$405,E922,'Istoric_Nativ'!$C$6:$C$405,F922,'Istoric_Nativ'!$F$6:$F$405,G922,'Istoric_Nativ'!$D$6:$D$405,"&lt;"&amp;J922,'Istoric_Nativ'!$P$6:$P$405,1,'Istoric_Nativ'!$D$6:$D$405,"&gt;="&amp;L922),COUNTIFS('Istoric_Nativ'!$B$6:$B$405,E922,'Istoric_Nativ'!$C$6:$C$405,F922,'Istoric_Nativ'!$E$6:$E$405,G922,'Istoric_Nativ'!$D$6:$D$405,"&lt;"&amp;J922,'Istoric_Nativ'!$P$6:$P$405,1,'Istoric_Nativ'!$D$6:$D$405,"&gt;="&amp;L922)+COUNTIFS('Istoric_Nativ'!$B$6:$B$405,E922,'Istoric_Nativ'!$C$6:$C$405,F922,'Istoric_Nativ'!$F$6:$F$405,G922,'Istoric_Nativ'!$D$6:$D$405,"&lt;"&amp;J922,'Istoric_Nativ'!$P$6:$P$405,1,'Istoric_Nativ'!$D$6:$D$405,"&gt;="&amp;L922))))</x:f>
        <x:v>0</x:v>
      </x:c>
      <x:c r="N922" s="11" t="str">
        <x:f>IF(M922=0,"",IF(H922="HOME",SUMIFS('Istoric_Nativ'!$G$6:$G$405,'Istoric_Nativ'!$B$6:$B$405,E922,'Istoric_Nativ'!$C$6:$C$405,F922,'Istoric_Nativ'!$E$6:$E$405,G922,'Istoric_Nativ'!$D$6:$D$405,"&lt;"&amp;J922,'Istoric_Nativ'!$P$6:$P$405,1,'Istoric_Nativ'!$D$6:$D$405,"&gt;="&amp;L922),IF(H922="AWAY",SUMIFS('Istoric_Nativ'!$H$6:$H$405,'Istoric_Nativ'!$B$6:$B$405,E922,'Istoric_Nativ'!$C$6:$C$405,F922,'Istoric_Nativ'!$F$6:$F$405,G922,'Istoric_Nativ'!$D$6:$D$405,"&lt;"&amp;J922,'Istoric_Nativ'!$P$6:$P$405,1,'Istoric_Nativ'!$D$6:$D$405,"&gt;="&amp;L922),SUMIFS('Istoric_Nativ'!$G$6:$G$405,'Istoric_Nativ'!$B$6:$B$405,E922,'Istoric_Nativ'!$C$6:$C$405,F922,'Istoric_Nativ'!$E$6:$E$405,G922,'Istoric_Nativ'!$D$6:$D$405,"&lt;"&amp;J922,'Istoric_Nativ'!$P$6:$P$405,1,'Istoric_Nativ'!$D$6:$D$405,"&gt;="&amp;L922)+SUMIFS('Istoric_Nativ'!$H$6:$H$405,'Istoric_Nativ'!$B$6:$B$405,E922,'Istoric_Nativ'!$C$6:$C$405,F922,'Istoric_Nativ'!$F$6:$F$405,G922,'Istoric_Nativ'!$D$6:$D$405,"&lt;"&amp;J922,'Istoric_Nativ'!$P$6:$P$405,1,'Istoric_Nativ'!$D$6:$D$405,"&gt;="&amp;L922)))/M922)</x:f>
      </x:c>
      <x:c r="O922" s="11" t="str">
        <x:f>IF(M922=0,"",IF(H922="HOME",SUMIFS('Istoric_Nativ'!$H$6:$H$405,'Istoric_Nativ'!$B$6:$B$405,E922,'Istoric_Nativ'!$C$6:$C$405,F922,'Istoric_Nativ'!$E$6:$E$405,G922,'Istoric_Nativ'!$D$6:$D$405,"&lt;"&amp;J922,'Istoric_Nativ'!$P$6:$P$405,1,'Istoric_Nativ'!$D$6:$D$405,"&gt;="&amp;L922),IF(H922="AWAY",SUMIFS('Istoric_Nativ'!$G$6:$G$405,'Istoric_Nativ'!$B$6:$B$405,E922,'Istoric_Nativ'!$C$6:$C$405,F922,'Istoric_Nativ'!$F$6:$F$405,G922,'Istoric_Nativ'!$D$6:$D$405,"&lt;"&amp;J922,'Istoric_Nativ'!$P$6:$P$405,1,'Istoric_Nativ'!$D$6:$D$405,"&gt;="&amp;L922),SUMIFS('Istoric_Nativ'!$H$6:$H$405,'Istoric_Nativ'!$B$6:$B$405,E922,'Istoric_Nativ'!$C$6:$C$405,F922,'Istoric_Nativ'!$E$6:$E$405,G922,'Istoric_Nativ'!$D$6:$D$405,"&lt;"&amp;J922,'Istoric_Nativ'!$P$6:$P$405,1,'Istoric_Nativ'!$D$6:$D$405,"&gt;="&amp;L922)+SUMIFS('Istoric_Nativ'!$G$6:$G$405,'Istoric_Nativ'!$B$6:$B$405,E922,'Istoric_Nativ'!$C$6:$C$405,F922,'Istoric_Nativ'!$F$6:$F$405,G922,'Istoric_Nativ'!$D$6:$D$405,"&lt;"&amp;J922,'Istoric_Nativ'!$P$6:$P$405,1,'Istoric_Nativ'!$D$6:$D$405,"&gt;="&amp;L922)))/M922)</x:f>
      </x:c>
      <x:c r="P922" s="2" t="n">
        <x:f>'Config_v6'!$B$8</x:f>
        <x:v>5</x:v>
      </x:c>
      <x:c r="Q922" s="2" t="n">
        <x:f>IF(OR(B922="",F922=""),0,IFERROR(MATCH(E922&amp;"|"&amp;F922,SourceTable[Source_Key],0),0))</x:f>
        <x:v>0</x:v>
      </x:c>
      <x:c r="R922" s="2" t="str">
        <x:f>IF(B922="","",IF(F922="","UNUSED",IF(Q922=0,"NOT CHECKED",IF(COUNTIF(SourceTable[Source_Key],E922&amp;"|"&amp;F922)&lt;&gt;1,"SOURCE CONFLICT",IF(NOT(OR(INDEX(SourceTable[Status],MAX(1,Q922))="IMPORTED",INDEX(SourceTable[Status],MAX(1,Q922))="PARTIAL",INDEX(SourceTable[Status],MAX(1,Q922))="SOURCE CONFLICT")),"ACCESS BLOCKED",IF(OR(INDEX(SourceTable[Coverage],Q922)&lt;&gt;"FULL SEASON EXPORT",INDEX(SourceTable[URL],Q922)="",INDEX(SourceTable[SHA256],Q922)=""),"EVIDENCE INCOMPLETE",IF(AND('Input_Meci'!H82="LIVE",INDEX(SourceTable[Retrieved_UTC],Q922)&gt;'Input_Meci'!G82),"POST CUTOFF","CLOSED")))))))</x:f>
      </x:c>
      <x:c r="S922" s="2" t="n">
        <x:f>IF(OR(B922="",F922=""),0,COUNTIFS('Istoric_Nativ'!$B$6:$B$405,E922,'Istoric_Nativ'!$C$6:$C$405,F922,'Istoric_Nativ'!$E$6:$E$405,G922,'Istoric_Nativ'!$D$6:$D$405,"&lt;"&amp;J922,'Istoric_Nativ'!$O$6:$O$405,"INVALID")+COUNTIFS('Istoric_Nativ'!$B$6:$B$405,E922,'Istoric_Nativ'!$C$6:$C$405,F922,'Istoric_Nativ'!$E$6:$E$405,G922,'Istoric_Nativ'!$O$6:$O$405,"INVALID",'Istoric_Nativ'!$D$6:$D$405,"*")+COUNTIFS('Istoric_Nativ'!$B$6:$B$405,E922,'Istoric_Nativ'!$C$6:$C$405,F922,'Istoric_Nativ'!$E$6:$E$405,G922,'Istoric_Nativ'!$D$6:$D$405,"&lt;"&amp;J922,'Istoric_Nativ'!$O$6:$O$405,"SOURCE CONFLICT")+COUNTIFS('Istoric_Nativ'!$B$6:$B$405,E922,'Istoric_Nativ'!$C$6:$C$405,F922,'Istoric_Nativ'!$F$6:$F$405,G922,'Istoric_Nativ'!$D$6:$D$405,"&lt;"&amp;J922,'Istoric_Nativ'!$O$6:$O$405,"INVALID")+COUNTIFS('Istoric_Nativ'!$B$6:$B$405,E922,'Istoric_Nativ'!$C$6:$C$405,F922,'Istoric_Nativ'!$F$6:$F$405,G922,'Istoric_Nativ'!$O$6:$O$405,"INVALID",'Istoric_Nativ'!$D$6:$D$405,"*")+COUNTIFS('Istoric_Nativ'!$B$6:$B$405,E922,'Istoric_Nativ'!$C$6:$C$405,F922,'Istoric_Nativ'!$F$6:$F$405,G922,'Istoric_Nativ'!$D$6:$D$405,"&lt;"&amp;J922,'Istoric_Nativ'!$O$6:$O$405,"SOURCE CONFLICT"))</x:f>
        <x:v>0</x:v>
      </x:c>
      <x:c r="T922" s="2" t="str">
        <x:f>IF(B922="","",IF(R922&lt;&gt;"CLOSED",R922,IF(S922&gt;0,"NATIVE INPUT ISSUE",IF(M922=0,"NO HISTORY",IF(M922&lt;P922,"SMALL SAMPLE","DERIVED")))))</x:f>
      </x:c>
      <x:c r="U922" s="2" t="str">
        <x:f>IF(B922="","","NativeTable; "&amp;E922&amp;"; "&amp;F922&amp;"; "&amp;G922&amp;"; "&amp;H922&amp;"; before "&amp;TEXT(J922,"yyyy-mm-dd")&amp;IF(I922="RECENT","; from "&amp;TEXT(L922,"yyyy-mm-dd"),""))</x:f>
      </x:c>
    </x:row>
    <x:row r="923" ht="21" customHeight="1">
      <x:c r="A923" s="2" t="n">
        <x:v>77</x:v>
      </x:c>
      <x:c r="B923" s="2" t="str">
        <x:f>IF('Input_Meci'!A82="","",'Input_Meci'!A82)</x:f>
      </x:c>
      <x:c r="C923" s="2" t="str">
        <x:v>A</x:v>
      </x:c>
      <x:c r="D923" s="2" t="str">
        <x:v>CURRENT</x:v>
      </x:c>
      <x:c r="E923" s="2" t="str">
        <x:f>IF(B923="","",'Input_Meci'!B82)</x:f>
      </x:c>
      <x:c r="F923" s="2" t="str">
        <x:f>IF(B923="","",IF('Input_Meci'!C82="","",'Input_Meci'!C82))</x:f>
      </x:c>
      <x:c r="G923" s="2" t="str">
        <x:f>IF(B923="","",'Input_Meci'!E82)</x:f>
      </x:c>
      <x:c r="H923" s="2" t="str">
        <x:v>ANY</x:v>
      </x:c>
      <x:c r="I923" s="2" t="str">
        <x:v>RECENT</x:v>
      </x:c>
      <x:c r="J923" s="9" t="n">
        <x:f>IF(AND(B923&lt;&gt;"",ISNUMBER('Input_Meci'!G82)),INT('Input_Meci'!G82),0)</x:f>
        <x:v>0</x:v>
      </x:c>
      <x:c r="K923" s="2" t="n">
        <x:f>IF(OR(B923="",F923=""),0,IF(H923="HOME",COUNTIFS('Istoric_Nativ'!$B$6:$B$405,E923,'Istoric_Nativ'!$C$6:$C$405,F923,'Istoric_Nativ'!$E$6:$E$405,G923,'Istoric_Nativ'!$D$6:$D$405,"&lt;"&amp;J923,'Istoric_Nativ'!$P$6:$P$405,1),IF(H923="AWAY",COUNTIFS('Istoric_Nativ'!$B$6:$B$405,E923,'Istoric_Nativ'!$C$6:$C$405,F923,'Istoric_Nativ'!$F$6:$F$405,G923,'Istoric_Nativ'!$D$6:$D$405,"&lt;"&amp;J923,'Istoric_Nativ'!$P$6:$P$405,1),COUNTIFS('Istoric_Nativ'!$B$6:$B$405,E923,'Istoric_Nativ'!$C$6:$C$405,F923,'Istoric_Nativ'!$E$6:$E$405,G923,'Istoric_Nativ'!$D$6:$D$405,"&lt;"&amp;J923,'Istoric_Nativ'!$P$6:$P$405,1)+COUNTIFS('Istoric_Nativ'!$B$6:$B$405,E923,'Istoric_Nativ'!$C$6:$C$405,F923,'Istoric_Nativ'!$F$6:$F$405,G923,'Istoric_Nativ'!$D$6:$D$405,"&lt;"&amp;J923,'Istoric_Nativ'!$P$6:$P$405,1))))</x:f>
        <x:v>0</x:v>
      </x:c>
      <x:c r="L923" s="17" t="n">
        <x:f>IF(AND(B923&lt;&gt;"",I923="RECENT",K923&gt;0),LARGE(_xlfn._xlws.FILTER('Istoric_Nativ'!$D$6:$D$405,('Istoric_Nativ'!$B$6:$B$405=E923)*('Istoric_Nativ'!$C$6:$C$405=F923)*('Istoric_Nativ'!$P$6:$P$405=1)*('Istoric_Nativ'!$D$6:$D$405&lt;J923)*((('Istoric_Nativ'!$E$6:$E$405=G923)+('Istoric_Nativ'!$F$6:$F$405=G923))&gt;0)),MIN('Config_v6'!$B$54,K923)),0)</x:f>
        <x:v>0</x:v>
      </x:c>
      <x:c r="M923" s="2" t="n">
        <x:f>IF(OR(B923="",F923=""),0,IF(H923="HOME",COUNTIFS('Istoric_Nativ'!$B$6:$B$405,E923,'Istoric_Nativ'!$C$6:$C$405,F923,'Istoric_Nativ'!$E$6:$E$405,G923,'Istoric_Nativ'!$D$6:$D$405,"&lt;"&amp;J923,'Istoric_Nativ'!$P$6:$P$405,1,'Istoric_Nativ'!$D$6:$D$405,"&gt;="&amp;L923),IF(H923="AWAY",COUNTIFS('Istoric_Nativ'!$B$6:$B$405,E923,'Istoric_Nativ'!$C$6:$C$405,F923,'Istoric_Nativ'!$F$6:$F$405,G923,'Istoric_Nativ'!$D$6:$D$405,"&lt;"&amp;J923,'Istoric_Nativ'!$P$6:$P$405,1,'Istoric_Nativ'!$D$6:$D$405,"&gt;="&amp;L923),COUNTIFS('Istoric_Nativ'!$B$6:$B$405,E923,'Istoric_Nativ'!$C$6:$C$405,F923,'Istoric_Nativ'!$E$6:$E$405,G923,'Istoric_Nativ'!$D$6:$D$405,"&lt;"&amp;J923,'Istoric_Nativ'!$P$6:$P$405,1,'Istoric_Nativ'!$D$6:$D$405,"&gt;="&amp;L923)+COUNTIFS('Istoric_Nativ'!$B$6:$B$405,E923,'Istoric_Nativ'!$C$6:$C$405,F923,'Istoric_Nativ'!$F$6:$F$405,G923,'Istoric_Nativ'!$D$6:$D$405,"&lt;"&amp;J923,'Istoric_Nativ'!$P$6:$P$405,1,'Istoric_Nativ'!$D$6:$D$405,"&gt;="&amp;L923))))</x:f>
        <x:v>0</x:v>
      </x:c>
      <x:c r="N923" s="11" t="str">
        <x:f>IF(M923=0,"",IF(H923="HOME",SUMIFS('Istoric_Nativ'!$G$6:$G$405,'Istoric_Nativ'!$B$6:$B$405,E923,'Istoric_Nativ'!$C$6:$C$405,F923,'Istoric_Nativ'!$E$6:$E$405,G923,'Istoric_Nativ'!$D$6:$D$405,"&lt;"&amp;J923,'Istoric_Nativ'!$P$6:$P$405,1,'Istoric_Nativ'!$D$6:$D$405,"&gt;="&amp;L923),IF(H923="AWAY",SUMIFS('Istoric_Nativ'!$H$6:$H$405,'Istoric_Nativ'!$B$6:$B$405,E923,'Istoric_Nativ'!$C$6:$C$405,F923,'Istoric_Nativ'!$F$6:$F$405,G923,'Istoric_Nativ'!$D$6:$D$405,"&lt;"&amp;J923,'Istoric_Nativ'!$P$6:$P$405,1,'Istoric_Nativ'!$D$6:$D$405,"&gt;="&amp;L923),SUMIFS('Istoric_Nativ'!$G$6:$G$405,'Istoric_Nativ'!$B$6:$B$405,E923,'Istoric_Nativ'!$C$6:$C$405,F923,'Istoric_Nativ'!$E$6:$E$405,G923,'Istoric_Nativ'!$D$6:$D$405,"&lt;"&amp;J923,'Istoric_Nativ'!$P$6:$P$405,1,'Istoric_Nativ'!$D$6:$D$405,"&gt;="&amp;L923)+SUMIFS('Istoric_Nativ'!$H$6:$H$405,'Istoric_Nativ'!$B$6:$B$405,E923,'Istoric_Nativ'!$C$6:$C$405,F923,'Istoric_Nativ'!$F$6:$F$405,G923,'Istoric_Nativ'!$D$6:$D$405,"&lt;"&amp;J923,'Istoric_Nativ'!$P$6:$P$405,1,'Istoric_Nativ'!$D$6:$D$405,"&gt;="&amp;L923)))/M923)</x:f>
      </x:c>
      <x:c r="O923" s="11" t="str">
        <x:f>IF(M923=0,"",IF(H923="HOME",SUMIFS('Istoric_Nativ'!$H$6:$H$405,'Istoric_Nativ'!$B$6:$B$405,E923,'Istoric_Nativ'!$C$6:$C$405,F923,'Istoric_Nativ'!$E$6:$E$405,G923,'Istoric_Nativ'!$D$6:$D$405,"&lt;"&amp;J923,'Istoric_Nativ'!$P$6:$P$405,1,'Istoric_Nativ'!$D$6:$D$405,"&gt;="&amp;L923),IF(H923="AWAY",SUMIFS('Istoric_Nativ'!$G$6:$G$405,'Istoric_Nativ'!$B$6:$B$405,E923,'Istoric_Nativ'!$C$6:$C$405,F923,'Istoric_Nativ'!$F$6:$F$405,G923,'Istoric_Nativ'!$D$6:$D$405,"&lt;"&amp;J923,'Istoric_Nativ'!$P$6:$P$405,1,'Istoric_Nativ'!$D$6:$D$405,"&gt;="&amp;L923),SUMIFS('Istoric_Nativ'!$H$6:$H$405,'Istoric_Nativ'!$B$6:$B$405,E923,'Istoric_Nativ'!$C$6:$C$405,F923,'Istoric_Nativ'!$E$6:$E$405,G923,'Istoric_Nativ'!$D$6:$D$405,"&lt;"&amp;J923,'Istoric_Nativ'!$P$6:$P$405,1,'Istoric_Nativ'!$D$6:$D$405,"&gt;="&amp;L923)+SUMIFS('Istoric_Nativ'!$G$6:$G$405,'Istoric_Nativ'!$B$6:$B$405,E923,'Istoric_Nativ'!$C$6:$C$405,F923,'Istoric_Nativ'!$F$6:$F$405,G923,'Istoric_Nativ'!$D$6:$D$405,"&lt;"&amp;J923,'Istoric_Nativ'!$P$6:$P$405,1,'Istoric_Nativ'!$D$6:$D$405,"&gt;="&amp;L923)))/M923)</x:f>
      </x:c>
      <x:c r="P923" s="2" t="n">
        <x:f>'Config_v6'!$B$9</x:f>
        <x:v>3</x:v>
      </x:c>
      <x:c r="Q923" s="2" t="n">
        <x:f>IF(OR(B923="",F923=""),0,IFERROR(MATCH(E923&amp;"|"&amp;F923,SourceTable[Source_Key],0),0))</x:f>
        <x:v>0</x:v>
      </x:c>
      <x:c r="R923" s="2" t="str">
        <x:f>IF(B923="","",IF(F923="","UNUSED",IF(Q923=0,"NOT CHECKED",IF(COUNTIF(SourceTable[Source_Key],E923&amp;"|"&amp;F923)&lt;&gt;1,"SOURCE CONFLICT",IF(NOT(OR(INDEX(SourceTable[Status],MAX(1,Q923))="IMPORTED",INDEX(SourceTable[Status],MAX(1,Q923))="PARTIAL",INDEX(SourceTable[Status],MAX(1,Q923))="SOURCE CONFLICT")),"ACCESS BLOCKED",IF(OR(INDEX(SourceTable[Coverage],Q923)&lt;&gt;"FULL SEASON EXPORT",INDEX(SourceTable[URL],Q923)="",INDEX(SourceTable[SHA256],Q923)=""),"EVIDENCE INCOMPLETE",IF(AND('Input_Meci'!H82="LIVE",INDEX(SourceTable[Retrieved_UTC],Q923)&gt;'Input_Meci'!G82),"POST CUTOFF","CLOSED")))))))</x:f>
      </x:c>
      <x:c r="S923" s="2" t="n">
        <x:f>IF(OR(B923="",F923=""),0,COUNTIFS('Istoric_Nativ'!$B$6:$B$405,E923,'Istoric_Nativ'!$C$6:$C$405,F923,'Istoric_Nativ'!$E$6:$E$405,G923,'Istoric_Nativ'!$D$6:$D$405,"&lt;"&amp;J923,'Istoric_Nativ'!$O$6:$O$405,"INVALID")+COUNTIFS('Istoric_Nativ'!$B$6:$B$405,E923,'Istoric_Nativ'!$C$6:$C$405,F923,'Istoric_Nativ'!$E$6:$E$405,G923,'Istoric_Nativ'!$O$6:$O$405,"INVALID",'Istoric_Nativ'!$D$6:$D$405,"*")+COUNTIFS('Istoric_Nativ'!$B$6:$B$405,E923,'Istoric_Nativ'!$C$6:$C$405,F923,'Istoric_Nativ'!$E$6:$E$405,G923,'Istoric_Nativ'!$D$6:$D$405,"&lt;"&amp;J923,'Istoric_Nativ'!$O$6:$O$405,"SOURCE CONFLICT")+COUNTIFS('Istoric_Nativ'!$B$6:$B$405,E923,'Istoric_Nativ'!$C$6:$C$405,F923,'Istoric_Nativ'!$F$6:$F$405,G923,'Istoric_Nativ'!$D$6:$D$405,"&lt;"&amp;J923,'Istoric_Nativ'!$O$6:$O$405,"INVALID")+COUNTIFS('Istoric_Nativ'!$B$6:$B$405,E923,'Istoric_Nativ'!$C$6:$C$405,F923,'Istoric_Nativ'!$F$6:$F$405,G923,'Istoric_Nativ'!$O$6:$O$405,"INVALID",'Istoric_Nativ'!$D$6:$D$405,"*")+COUNTIFS('Istoric_Nativ'!$B$6:$B$405,E923,'Istoric_Nativ'!$C$6:$C$405,F923,'Istoric_Nativ'!$F$6:$F$405,G923,'Istoric_Nativ'!$D$6:$D$405,"&lt;"&amp;J923,'Istoric_Nativ'!$O$6:$O$405,"SOURCE CONFLICT"))</x:f>
        <x:v>0</x:v>
      </x:c>
      <x:c r="T923" s="2" t="str">
        <x:f>IF(B923="","",IF(R923&lt;&gt;"CLOSED",R923,IF(S923&gt;0,"NATIVE INPUT ISSUE",IF(M923=0,"NO HISTORY",IF(M923&lt;P923,"SMALL SAMPLE","DERIVED")))))</x:f>
      </x:c>
      <x:c r="U923" s="2" t="str">
        <x:f>IF(B923="","","NativeTable; "&amp;E923&amp;"; "&amp;F923&amp;"; "&amp;G923&amp;"; "&amp;H923&amp;"; before "&amp;TEXT(J923,"yyyy-mm-dd")&amp;IF(I923="RECENT","; from "&amp;TEXT(L923,"yyyy-mm-dd"),""))</x:f>
      </x:c>
    </x:row>
    <x:row r="924" ht="21" customHeight="1">
      <x:c r="A924" s="2" t="n">
        <x:v>77</x:v>
      </x:c>
      <x:c r="B924" s="2" t="str">
        <x:f>IF('Input_Meci'!A82="","",'Input_Meci'!A82)</x:f>
      </x:c>
      <x:c r="C924" s="2" t="str">
        <x:v>H</x:v>
      </x:c>
      <x:c r="D924" s="2" t="str">
        <x:v>PRIOR</x:v>
      </x:c>
      <x:c r="E924" s="2" t="str">
        <x:f>IF(B924="","",'Input_Meci'!B82)</x:f>
      </x:c>
      <x:c r="F924" s="2" t="str">
        <x:f>IF(B924="","",IF('Input_Meci'!K82="","",'Input_Meci'!K82))</x:f>
      </x:c>
      <x:c r="G924" s="2" t="str">
        <x:f>IF(B924="","",'Input_Meci'!D82)</x:f>
      </x:c>
      <x:c r="H924" s="2" t="str">
        <x:v>ANY</x:v>
      </x:c>
      <x:c r="I924" s="2" t="str">
        <x:v>SEASON</x:v>
      </x:c>
      <x:c r="J924" s="9" t="n">
        <x:f>IF(AND(B924&lt;&gt;"",ISNUMBER('Input_Meci'!G82)),INT('Input_Meci'!G82),0)</x:f>
        <x:v>0</x:v>
      </x:c>
      <x:c r="K924" s="2" t="n">
        <x:f>IF(OR(B924="",F924=""),0,IF(H924="HOME",COUNTIFS('Istoric_Nativ'!$B$6:$B$405,E924,'Istoric_Nativ'!$C$6:$C$405,F924,'Istoric_Nativ'!$E$6:$E$405,G924,'Istoric_Nativ'!$D$6:$D$405,"&lt;"&amp;J924,'Istoric_Nativ'!$P$6:$P$405,1),IF(H924="AWAY",COUNTIFS('Istoric_Nativ'!$B$6:$B$405,E924,'Istoric_Nativ'!$C$6:$C$405,F924,'Istoric_Nativ'!$F$6:$F$405,G924,'Istoric_Nativ'!$D$6:$D$405,"&lt;"&amp;J924,'Istoric_Nativ'!$P$6:$P$405,1),COUNTIFS('Istoric_Nativ'!$B$6:$B$405,E924,'Istoric_Nativ'!$C$6:$C$405,F924,'Istoric_Nativ'!$E$6:$E$405,G924,'Istoric_Nativ'!$D$6:$D$405,"&lt;"&amp;J924,'Istoric_Nativ'!$P$6:$P$405,1)+COUNTIFS('Istoric_Nativ'!$B$6:$B$405,E924,'Istoric_Nativ'!$C$6:$C$405,F924,'Istoric_Nativ'!$F$6:$F$405,G924,'Istoric_Nativ'!$D$6:$D$405,"&lt;"&amp;J924,'Istoric_Nativ'!$P$6:$P$405,1))))</x:f>
        <x:v>0</x:v>
      </x:c>
      <x:c r="L924" s="17" t="n">
        <x:f>IF(AND(B924&lt;&gt;"",I924="RECENT",K924&gt;0),LARGE(_xlfn._xlws.FILTER('Istoric_Nativ'!$D$6:$D$405,('Istoric_Nativ'!$B$6:$B$405=E924)*('Istoric_Nativ'!$C$6:$C$405=F924)*('Istoric_Nativ'!$P$6:$P$405=1)*('Istoric_Nativ'!$D$6:$D$405&lt;J924)*((('Istoric_Nativ'!$E$6:$E$405=G924)+('Istoric_Nativ'!$F$6:$F$405=G924))&gt;0)),MIN('Config_v6'!$B$54,K924)),0)</x:f>
        <x:v>0</x:v>
      </x:c>
      <x:c r="M924" s="2" t="n">
        <x:f>IF(OR(B924="",F924=""),0,IF(H924="HOME",COUNTIFS('Istoric_Nativ'!$B$6:$B$405,E924,'Istoric_Nativ'!$C$6:$C$405,F924,'Istoric_Nativ'!$E$6:$E$405,G924,'Istoric_Nativ'!$D$6:$D$405,"&lt;"&amp;J924,'Istoric_Nativ'!$P$6:$P$405,1,'Istoric_Nativ'!$D$6:$D$405,"&gt;="&amp;L924),IF(H924="AWAY",COUNTIFS('Istoric_Nativ'!$B$6:$B$405,E924,'Istoric_Nativ'!$C$6:$C$405,F924,'Istoric_Nativ'!$F$6:$F$405,G924,'Istoric_Nativ'!$D$6:$D$405,"&lt;"&amp;J924,'Istoric_Nativ'!$P$6:$P$405,1,'Istoric_Nativ'!$D$6:$D$405,"&gt;="&amp;L924),COUNTIFS('Istoric_Nativ'!$B$6:$B$405,E924,'Istoric_Nativ'!$C$6:$C$405,F924,'Istoric_Nativ'!$E$6:$E$405,G924,'Istoric_Nativ'!$D$6:$D$405,"&lt;"&amp;J924,'Istoric_Nativ'!$P$6:$P$405,1,'Istoric_Nativ'!$D$6:$D$405,"&gt;="&amp;L924)+COUNTIFS('Istoric_Nativ'!$B$6:$B$405,E924,'Istoric_Nativ'!$C$6:$C$405,F924,'Istoric_Nativ'!$F$6:$F$405,G924,'Istoric_Nativ'!$D$6:$D$405,"&lt;"&amp;J924,'Istoric_Nativ'!$P$6:$P$405,1,'Istoric_Nativ'!$D$6:$D$405,"&gt;="&amp;L924))))</x:f>
        <x:v>0</x:v>
      </x:c>
      <x:c r="N924" s="11" t="str">
        <x:f>IF(M924=0,"",IF(H924="HOME",SUMIFS('Istoric_Nativ'!$G$6:$G$405,'Istoric_Nativ'!$B$6:$B$405,E924,'Istoric_Nativ'!$C$6:$C$405,F924,'Istoric_Nativ'!$E$6:$E$405,G924,'Istoric_Nativ'!$D$6:$D$405,"&lt;"&amp;J924,'Istoric_Nativ'!$P$6:$P$405,1,'Istoric_Nativ'!$D$6:$D$405,"&gt;="&amp;L924),IF(H924="AWAY",SUMIFS('Istoric_Nativ'!$H$6:$H$405,'Istoric_Nativ'!$B$6:$B$405,E924,'Istoric_Nativ'!$C$6:$C$405,F924,'Istoric_Nativ'!$F$6:$F$405,G924,'Istoric_Nativ'!$D$6:$D$405,"&lt;"&amp;J924,'Istoric_Nativ'!$P$6:$P$405,1,'Istoric_Nativ'!$D$6:$D$405,"&gt;="&amp;L924),SUMIFS('Istoric_Nativ'!$G$6:$G$405,'Istoric_Nativ'!$B$6:$B$405,E924,'Istoric_Nativ'!$C$6:$C$405,F924,'Istoric_Nativ'!$E$6:$E$405,G924,'Istoric_Nativ'!$D$6:$D$405,"&lt;"&amp;J924,'Istoric_Nativ'!$P$6:$P$405,1,'Istoric_Nativ'!$D$6:$D$405,"&gt;="&amp;L924)+SUMIFS('Istoric_Nativ'!$H$6:$H$405,'Istoric_Nativ'!$B$6:$B$405,E924,'Istoric_Nativ'!$C$6:$C$405,F924,'Istoric_Nativ'!$F$6:$F$405,G924,'Istoric_Nativ'!$D$6:$D$405,"&lt;"&amp;J924,'Istoric_Nativ'!$P$6:$P$405,1,'Istoric_Nativ'!$D$6:$D$405,"&gt;="&amp;L924)))/M924)</x:f>
      </x:c>
      <x:c r="O924" s="11" t="str">
        <x:f>IF(M924=0,"",IF(H924="HOME",SUMIFS('Istoric_Nativ'!$H$6:$H$405,'Istoric_Nativ'!$B$6:$B$405,E924,'Istoric_Nativ'!$C$6:$C$405,F924,'Istoric_Nativ'!$E$6:$E$405,G924,'Istoric_Nativ'!$D$6:$D$405,"&lt;"&amp;J924,'Istoric_Nativ'!$P$6:$P$405,1,'Istoric_Nativ'!$D$6:$D$405,"&gt;="&amp;L924),IF(H924="AWAY",SUMIFS('Istoric_Nativ'!$G$6:$G$405,'Istoric_Nativ'!$B$6:$B$405,E924,'Istoric_Nativ'!$C$6:$C$405,F924,'Istoric_Nativ'!$F$6:$F$405,G924,'Istoric_Nativ'!$D$6:$D$405,"&lt;"&amp;J924,'Istoric_Nativ'!$P$6:$P$405,1,'Istoric_Nativ'!$D$6:$D$405,"&gt;="&amp;L924),SUMIFS('Istoric_Nativ'!$H$6:$H$405,'Istoric_Nativ'!$B$6:$B$405,E924,'Istoric_Nativ'!$C$6:$C$405,F924,'Istoric_Nativ'!$E$6:$E$405,G924,'Istoric_Nativ'!$D$6:$D$405,"&lt;"&amp;J924,'Istoric_Nativ'!$P$6:$P$405,1,'Istoric_Nativ'!$D$6:$D$405,"&gt;="&amp;L924)+SUMIFS('Istoric_Nativ'!$G$6:$G$405,'Istoric_Nativ'!$B$6:$B$405,E924,'Istoric_Nativ'!$C$6:$C$405,F924,'Istoric_Nativ'!$F$6:$F$405,G924,'Istoric_Nativ'!$D$6:$D$405,"&lt;"&amp;J924,'Istoric_Nativ'!$P$6:$P$405,1,'Istoric_Nativ'!$D$6:$D$405,"&gt;="&amp;L924)))/M924)</x:f>
      </x:c>
      <x:c r="P924" s="2" t="n">
        <x:f>'Config_v6'!$B$7</x:f>
        <x:v>10</x:v>
      </x:c>
      <x:c r="Q924" s="2" t="n">
        <x:f>IF(OR(B924="",F924=""),0,IFERROR(MATCH(E924&amp;"|"&amp;F924,SourceTable[Source_Key],0),0))</x:f>
        <x:v>0</x:v>
      </x:c>
      <x:c r="R924" s="2" t="str">
        <x:f>IF(B924="","",IF(F924="","UNUSED",IF(Q924=0,"NOT CHECKED",IF(COUNTIF(SourceTable[Source_Key],E924&amp;"|"&amp;F924)&lt;&gt;1,"SOURCE CONFLICT",IF(NOT(OR(INDEX(SourceTable[Status],MAX(1,Q924))="IMPORTED",INDEX(SourceTable[Status],MAX(1,Q924))="PARTIAL",INDEX(SourceTable[Status],MAX(1,Q924))="SOURCE CONFLICT")),"ACCESS BLOCKED",IF(OR(INDEX(SourceTable[Coverage],Q924)&lt;&gt;"FULL SEASON EXPORT",INDEX(SourceTable[URL],Q924)="",INDEX(SourceTable[SHA256],Q924)=""),"EVIDENCE INCOMPLETE",IF(AND('Input_Meci'!H82="LIVE",INDEX(SourceTable[Retrieved_UTC],Q924)&gt;'Input_Meci'!G82),"POST CUTOFF","CLOSED")))))))</x:f>
      </x:c>
      <x:c r="S924" s="2" t="n">
        <x:f>IF(OR(B924="",F924=""),0,COUNTIFS('Istoric_Nativ'!$B$6:$B$405,E924,'Istoric_Nativ'!$C$6:$C$405,F924,'Istoric_Nativ'!$E$6:$E$405,G924,'Istoric_Nativ'!$D$6:$D$405,"&lt;"&amp;J924,'Istoric_Nativ'!$O$6:$O$405,"INVALID")+COUNTIFS('Istoric_Nativ'!$B$6:$B$405,E924,'Istoric_Nativ'!$C$6:$C$405,F924,'Istoric_Nativ'!$E$6:$E$405,G924,'Istoric_Nativ'!$O$6:$O$405,"INVALID",'Istoric_Nativ'!$D$6:$D$405,"*")+COUNTIFS('Istoric_Nativ'!$B$6:$B$405,E924,'Istoric_Nativ'!$C$6:$C$405,F924,'Istoric_Nativ'!$E$6:$E$405,G924,'Istoric_Nativ'!$D$6:$D$405,"&lt;"&amp;J924,'Istoric_Nativ'!$O$6:$O$405,"SOURCE CONFLICT")+COUNTIFS('Istoric_Nativ'!$B$6:$B$405,E924,'Istoric_Nativ'!$C$6:$C$405,F924,'Istoric_Nativ'!$F$6:$F$405,G924,'Istoric_Nativ'!$D$6:$D$405,"&lt;"&amp;J924,'Istoric_Nativ'!$O$6:$O$405,"INVALID")+COUNTIFS('Istoric_Nativ'!$B$6:$B$405,E924,'Istoric_Nativ'!$C$6:$C$405,F924,'Istoric_Nativ'!$F$6:$F$405,G924,'Istoric_Nativ'!$O$6:$O$405,"INVALID",'Istoric_Nativ'!$D$6:$D$405,"*")+COUNTIFS('Istoric_Nativ'!$B$6:$B$405,E924,'Istoric_Nativ'!$C$6:$C$405,F924,'Istoric_Nativ'!$F$6:$F$405,G924,'Istoric_Nativ'!$D$6:$D$405,"&lt;"&amp;J924,'Istoric_Nativ'!$O$6:$O$405,"SOURCE CONFLICT"))</x:f>
        <x:v>0</x:v>
      </x:c>
      <x:c r="T924" s="2" t="str">
        <x:f>IF(B924="","",IF(R924&lt;&gt;"CLOSED",R924,IF(S924&gt;0,"NATIVE INPUT ISSUE",IF(M924=0,"NO HISTORY",IF(M924&lt;P924,"SMALL SAMPLE","DERIVED")))))</x:f>
      </x:c>
      <x:c r="U924" s="2" t="str">
        <x:f>IF(B924="","","NativeTable; "&amp;E924&amp;"; "&amp;F924&amp;"; "&amp;G924&amp;"; "&amp;H924&amp;"; before "&amp;TEXT(J924,"yyyy-mm-dd")&amp;IF(I924="RECENT","; from "&amp;TEXT(L924,"yyyy-mm-dd"),""))</x:f>
      </x:c>
    </x:row>
    <x:row r="925" ht="21" customHeight="1">
      <x:c r="A925" s="2" t="n">
        <x:v>77</x:v>
      </x:c>
      <x:c r="B925" s="2" t="str">
        <x:f>IF('Input_Meci'!A82="","",'Input_Meci'!A82)</x:f>
      </x:c>
      <x:c r="C925" s="2" t="str">
        <x:v>H</x:v>
      </x:c>
      <x:c r="D925" s="2" t="str">
        <x:v>PRIOR</x:v>
      </x:c>
      <x:c r="E925" s="2" t="str">
        <x:f>IF(B925="","",'Input_Meci'!B82)</x:f>
      </x:c>
      <x:c r="F925" s="2" t="str">
        <x:f>IF(B925="","",IF('Input_Meci'!K82="","",'Input_Meci'!K82))</x:f>
      </x:c>
      <x:c r="G925" s="2" t="str">
        <x:f>IF(B925="","",'Input_Meci'!D82)</x:f>
      </x:c>
      <x:c r="H925" s="2" t="str">
        <x:v>HOME</x:v>
      </x:c>
      <x:c r="I925" s="2" t="str">
        <x:v>HA</x:v>
      </x:c>
      <x:c r="J925" s="9" t="n">
        <x:f>IF(AND(B925&lt;&gt;"",ISNUMBER('Input_Meci'!G82)),INT('Input_Meci'!G82),0)</x:f>
        <x:v>0</x:v>
      </x:c>
      <x:c r="K925" s="2" t="n">
        <x:f>IF(OR(B925="",F925=""),0,IF(H925="HOME",COUNTIFS('Istoric_Nativ'!$B$6:$B$405,E925,'Istoric_Nativ'!$C$6:$C$405,F925,'Istoric_Nativ'!$E$6:$E$405,G925,'Istoric_Nativ'!$D$6:$D$405,"&lt;"&amp;J925,'Istoric_Nativ'!$P$6:$P$405,1),IF(H925="AWAY",COUNTIFS('Istoric_Nativ'!$B$6:$B$405,E925,'Istoric_Nativ'!$C$6:$C$405,F925,'Istoric_Nativ'!$F$6:$F$405,G925,'Istoric_Nativ'!$D$6:$D$405,"&lt;"&amp;J925,'Istoric_Nativ'!$P$6:$P$405,1),COUNTIFS('Istoric_Nativ'!$B$6:$B$405,E925,'Istoric_Nativ'!$C$6:$C$405,F925,'Istoric_Nativ'!$E$6:$E$405,G925,'Istoric_Nativ'!$D$6:$D$405,"&lt;"&amp;J925,'Istoric_Nativ'!$P$6:$P$405,1)+COUNTIFS('Istoric_Nativ'!$B$6:$B$405,E925,'Istoric_Nativ'!$C$6:$C$405,F925,'Istoric_Nativ'!$F$6:$F$405,G925,'Istoric_Nativ'!$D$6:$D$405,"&lt;"&amp;J925,'Istoric_Nativ'!$P$6:$P$405,1))))</x:f>
        <x:v>0</x:v>
      </x:c>
      <x:c r="L925" s="17" t="n">
        <x:f>IF(AND(B925&lt;&gt;"",I925="RECENT",K925&gt;0),LARGE(_xlfn._xlws.FILTER('Istoric_Nativ'!$D$6:$D$405,('Istoric_Nativ'!$B$6:$B$405=E925)*('Istoric_Nativ'!$C$6:$C$405=F925)*('Istoric_Nativ'!$P$6:$P$405=1)*('Istoric_Nativ'!$D$6:$D$405&lt;J925)*((('Istoric_Nativ'!$E$6:$E$405=G925)+('Istoric_Nativ'!$F$6:$F$405=G925))&gt;0)),MIN('Config_v6'!$B$54,K925)),0)</x:f>
        <x:v>0</x:v>
      </x:c>
      <x:c r="M925" s="2" t="n">
        <x:f>IF(OR(B925="",F925=""),0,IF(H925="HOME",COUNTIFS('Istoric_Nativ'!$B$6:$B$405,E925,'Istoric_Nativ'!$C$6:$C$405,F925,'Istoric_Nativ'!$E$6:$E$405,G925,'Istoric_Nativ'!$D$6:$D$405,"&lt;"&amp;J925,'Istoric_Nativ'!$P$6:$P$405,1,'Istoric_Nativ'!$D$6:$D$405,"&gt;="&amp;L925),IF(H925="AWAY",COUNTIFS('Istoric_Nativ'!$B$6:$B$405,E925,'Istoric_Nativ'!$C$6:$C$405,F925,'Istoric_Nativ'!$F$6:$F$405,G925,'Istoric_Nativ'!$D$6:$D$405,"&lt;"&amp;J925,'Istoric_Nativ'!$P$6:$P$405,1,'Istoric_Nativ'!$D$6:$D$405,"&gt;="&amp;L925),COUNTIFS('Istoric_Nativ'!$B$6:$B$405,E925,'Istoric_Nativ'!$C$6:$C$405,F925,'Istoric_Nativ'!$E$6:$E$405,G925,'Istoric_Nativ'!$D$6:$D$405,"&lt;"&amp;J925,'Istoric_Nativ'!$P$6:$P$405,1,'Istoric_Nativ'!$D$6:$D$405,"&gt;="&amp;L925)+COUNTIFS('Istoric_Nativ'!$B$6:$B$405,E925,'Istoric_Nativ'!$C$6:$C$405,F925,'Istoric_Nativ'!$F$6:$F$405,G925,'Istoric_Nativ'!$D$6:$D$405,"&lt;"&amp;J925,'Istoric_Nativ'!$P$6:$P$405,1,'Istoric_Nativ'!$D$6:$D$405,"&gt;="&amp;L925))))</x:f>
        <x:v>0</x:v>
      </x:c>
      <x:c r="N925" s="11" t="str">
        <x:f>IF(M925=0,"",IF(H925="HOME",SUMIFS('Istoric_Nativ'!$G$6:$G$405,'Istoric_Nativ'!$B$6:$B$405,E925,'Istoric_Nativ'!$C$6:$C$405,F925,'Istoric_Nativ'!$E$6:$E$405,G925,'Istoric_Nativ'!$D$6:$D$405,"&lt;"&amp;J925,'Istoric_Nativ'!$P$6:$P$405,1,'Istoric_Nativ'!$D$6:$D$405,"&gt;="&amp;L925),IF(H925="AWAY",SUMIFS('Istoric_Nativ'!$H$6:$H$405,'Istoric_Nativ'!$B$6:$B$405,E925,'Istoric_Nativ'!$C$6:$C$405,F925,'Istoric_Nativ'!$F$6:$F$405,G925,'Istoric_Nativ'!$D$6:$D$405,"&lt;"&amp;J925,'Istoric_Nativ'!$P$6:$P$405,1,'Istoric_Nativ'!$D$6:$D$405,"&gt;="&amp;L925),SUMIFS('Istoric_Nativ'!$G$6:$G$405,'Istoric_Nativ'!$B$6:$B$405,E925,'Istoric_Nativ'!$C$6:$C$405,F925,'Istoric_Nativ'!$E$6:$E$405,G925,'Istoric_Nativ'!$D$6:$D$405,"&lt;"&amp;J925,'Istoric_Nativ'!$P$6:$P$405,1,'Istoric_Nativ'!$D$6:$D$405,"&gt;="&amp;L925)+SUMIFS('Istoric_Nativ'!$H$6:$H$405,'Istoric_Nativ'!$B$6:$B$405,E925,'Istoric_Nativ'!$C$6:$C$405,F925,'Istoric_Nativ'!$F$6:$F$405,G925,'Istoric_Nativ'!$D$6:$D$405,"&lt;"&amp;J925,'Istoric_Nativ'!$P$6:$P$405,1,'Istoric_Nativ'!$D$6:$D$405,"&gt;="&amp;L925)))/M925)</x:f>
      </x:c>
      <x:c r="O925" s="11" t="str">
        <x:f>IF(M925=0,"",IF(H925="HOME",SUMIFS('Istoric_Nativ'!$H$6:$H$405,'Istoric_Nativ'!$B$6:$B$405,E925,'Istoric_Nativ'!$C$6:$C$405,F925,'Istoric_Nativ'!$E$6:$E$405,G925,'Istoric_Nativ'!$D$6:$D$405,"&lt;"&amp;J925,'Istoric_Nativ'!$P$6:$P$405,1,'Istoric_Nativ'!$D$6:$D$405,"&gt;="&amp;L925),IF(H925="AWAY",SUMIFS('Istoric_Nativ'!$G$6:$G$405,'Istoric_Nativ'!$B$6:$B$405,E925,'Istoric_Nativ'!$C$6:$C$405,F925,'Istoric_Nativ'!$F$6:$F$405,G925,'Istoric_Nativ'!$D$6:$D$405,"&lt;"&amp;J925,'Istoric_Nativ'!$P$6:$P$405,1,'Istoric_Nativ'!$D$6:$D$405,"&gt;="&amp;L925),SUMIFS('Istoric_Nativ'!$H$6:$H$405,'Istoric_Nativ'!$B$6:$B$405,E925,'Istoric_Nativ'!$C$6:$C$405,F925,'Istoric_Nativ'!$E$6:$E$405,G925,'Istoric_Nativ'!$D$6:$D$405,"&lt;"&amp;J925,'Istoric_Nativ'!$P$6:$P$405,1,'Istoric_Nativ'!$D$6:$D$405,"&gt;="&amp;L925)+SUMIFS('Istoric_Nativ'!$G$6:$G$405,'Istoric_Nativ'!$B$6:$B$405,E925,'Istoric_Nativ'!$C$6:$C$405,F925,'Istoric_Nativ'!$F$6:$F$405,G925,'Istoric_Nativ'!$D$6:$D$405,"&lt;"&amp;J925,'Istoric_Nativ'!$P$6:$P$405,1,'Istoric_Nativ'!$D$6:$D$405,"&gt;="&amp;L925)))/M925)</x:f>
      </x:c>
      <x:c r="P925" s="2" t="n">
        <x:f>'Config_v6'!$B$8</x:f>
        <x:v>5</x:v>
      </x:c>
      <x:c r="Q925" s="2" t="n">
        <x:f>IF(OR(B925="",F925=""),0,IFERROR(MATCH(E925&amp;"|"&amp;F925,SourceTable[Source_Key],0),0))</x:f>
        <x:v>0</x:v>
      </x:c>
      <x:c r="R925" s="2" t="str">
        <x:f>IF(B925="","",IF(F925="","UNUSED",IF(Q925=0,"NOT CHECKED",IF(COUNTIF(SourceTable[Source_Key],E925&amp;"|"&amp;F925)&lt;&gt;1,"SOURCE CONFLICT",IF(NOT(OR(INDEX(SourceTable[Status],MAX(1,Q925))="IMPORTED",INDEX(SourceTable[Status],MAX(1,Q925))="PARTIAL",INDEX(SourceTable[Status],MAX(1,Q925))="SOURCE CONFLICT")),"ACCESS BLOCKED",IF(OR(INDEX(SourceTable[Coverage],Q925)&lt;&gt;"FULL SEASON EXPORT",INDEX(SourceTable[URL],Q925)="",INDEX(SourceTable[SHA256],Q925)=""),"EVIDENCE INCOMPLETE",IF(AND('Input_Meci'!H82="LIVE",INDEX(SourceTable[Retrieved_UTC],Q925)&gt;'Input_Meci'!G82),"POST CUTOFF","CLOSED")))))))</x:f>
      </x:c>
      <x:c r="S925" s="2" t="n">
        <x:f>IF(OR(B925="",F925=""),0,COUNTIFS('Istoric_Nativ'!$B$6:$B$405,E925,'Istoric_Nativ'!$C$6:$C$405,F925,'Istoric_Nativ'!$E$6:$E$405,G925,'Istoric_Nativ'!$D$6:$D$405,"&lt;"&amp;J925,'Istoric_Nativ'!$O$6:$O$405,"INVALID")+COUNTIFS('Istoric_Nativ'!$B$6:$B$405,E925,'Istoric_Nativ'!$C$6:$C$405,F925,'Istoric_Nativ'!$E$6:$E$405,G925,'Istoric_Nativ'!$O$6:$O$405,"INVALID",'Istoric_Nativ'!$D$6:$D$405,"*")+COUNTIFS('Istoric_Nativ'!$B$6:$B$405,E925,'Istoric_Nativ'!$C$6:$C$405,F925,'Istoric_Nativ'!$E$6:$E$405,G925,'Istoric_Nativ'!$D$6:$D$405,"&lt;"&amp;J925,'Istoric_Nativ'!$O$6:$O$405,"SOURCE CONFLICT")+COUNTIFS('Istoric_Nativ'!$B$6:$B$405,E925,'Istoric_Nativ'!$C$6:$C$405,F925,'Istoric_Nativ'!$F$6:$F$405,G925,'Istoric_Nativ'!$D$6:$D$405,"&lt;"&amp;J925,'Istoric_Nativ'!$O$6:$O$405,"INVALID")+COUNTIFS('Istoric_Nativ'!$B$6:$B$405,E925,'Istoric_Nativ'!$C$6:$C$405,F925,'Istoric_Nativ'!$F$6:$F$405,G925,'Istoric_Nativ'!$O$6:$O$405,"INVALID",'Istoric_Nativ'!$D$6:$D$405,"*")+COUNTIFS('Istoric_Nativ'!$B$6:$B$405,E925,'Istoric_Nativ'!$C$6:$C$405,F925,'Istoric_Nativ'!$F$6:$F$405,G925,'Istoric_Nativ'!$D$6:$D$405,"&lt;"&amp;J925,'Istoric_Nativ'!$O$6:$O$405,"SOURCE CONFLICT"))</x:f>
        <x:v>0</x:v>
      </x:c>
      <x:c r="T925" s="2" t="str">
        <x:f>IF(B925="","",IF(R925&lt;&gt;"CLOSED",R925,IF(S925&gt;0,"NATIVE INPUT ISSUE",IF(M925=0,"NO HISTORY",IF(M925&lt;P925,"SMALL SAMPLE","DERIVED")))))</x:f>
      </x:c>
      <x:c r="U925" s="2" t="str">
        <x:f>IF(B925="","","NativeTable; "&amp;E925&amp;"; "&amp;F925&amp;"; "&amp;G925&amp;"; "&amp;H925&amp;"; before "&amp;TEXT(J925,"yyyy-mm-dd")&amp;IF(I925="RECENT","; from "&amp;TEXT(L925,"yyyy-mm-dd"),""))</x:f>
      </x:c>
    </x:row>
    <x:row r="926" ht="21" customHeight="1">
      <x:c r="A926" s="2" t="n">
        <x:v>77</x:v>
      </x:c>
      <x:c r="B926" s="2" t="str">
        <x:f>IF('Input_Meci'!A82="","",'Input_Meci'!A82)</x:f>
      </x:c>
      <x:c r="C926" s="2" t="str">
        <x:v>H</x:v>
      </x:c>
      <x:c r="D926" s="2" t="str">
        <x:v>PRIOR</x:v>
      </x:c>
      <x:c r="E926" s="2" t="str">
        <x:f>IF(B926="","",'Input_Meci'!B82)</x:f>
      </x:c>
      <x:c r="F926" s="2" t="str">
        <x:f>IF(B926="","",IF('Input_Meci'!K82="","",'Input_Meci'!K82))</x:f>
      </x:c>
      <x:c r="G926" s="2" t="str">
        <x:f>IF(B926="","",'Input_Meci'!D82)</x:f>
      </x:c>
      <x:c r="H926" s="2" t="str">
        <x:v>ANY</x:v>
      </x:c>
      <x:c r="I926" s="2" t="str">
        <x:v>RECENT</x:v>
      </x:c>
      <x:c r="J926" s="9" t="n">
        <x:f>IF(AND(B926&lt;&gt;"",ISNUMBER('Input_Meci'!G82)),INT('Input_Meci'!G82),0)</x:f>
        <x:v>0</x:v>
      </x:c>
      <x:c r="K926" s="2" t="n">
        <x:f>IF(OR(B926="",F926=""),0,IF(H926="HOME",COUNTIFS('Istoric_Nativ'!$B$6:$B$405,E926,'Istoric_Nativ'!$C$6:$C$405,F926,'Istoric_Nativ'!$E$6:$E$405,G926,'Istoric_Nativ'!$D$6:$D$405,"&lt;"&amp;J926,'Istoric_Nativ'!$P$6:$P$405,1),IF(H926="AWAY",COUNTIFS('Istoric_Nativ'!$B$6:$B$405,E926,'Istoric_Nativ'!$C$6:$C$405,F926,'Istoric_Nativ'!$F$6:$F$405,G926,'Istoric_Nativ'!$D$6:$D$405,"&lt;"&amp;J926,'Istoric_Nativ'!$P$6:$P$405,1),COUNTIFS('Istoric_Nativ'!$B$6:$B$405,E926,'Istoric_Nativ'!$C$6:$C$405,F926,'Istoric_Nativ'!$E$6:$E$405,G926,'Istoric_Nativ'!$D$6:$D$405,"&lt;"&amp;J926,'Istoric_Nativ'!$P$6:$P$405,1)+COUNTIFS('Istoric_Nativ'!$B$6:$B$405,E926,'Istoric_Nativ'!$C$6:$C$405,F926,'Istoric_Nativ'!$F$6:$F$405,G926,'Istoric_Nativ'!$D$6:$D$405,"&lt;"&amp;J926,'Istoric_Nativ'!$P$6:$P$405,1))))</x:f>
        <x:v>0</x:v>
      </x:c>
      <x:c r="L926" s="17" t="n">
        <x:f>IF(AND(B926&lt;&gt;"",I926="RECENT",K926&gt;0),LARGE(_xlfn._xlws.FILTER('Istoric_Nativ'!$D$6:$D$405,('Istoric_Nativ'!$B$6:$B$405=E926)*('Istoric_Nativ'!$C$6:$C$405=F926)*('Istoric_Nativ'!$P$6:$P$405=1)*('Istoric_Nativ'!$D$6:$D$405&lt;J926)*((('Istoric_Nativ'!$E$6:$E$405=G926)+('Istoric_Nativ'!$F$6:$F$405=G926))&gt;0)),MIN('Config_v6'!$B$54,K926)),0)</x:f>
        <x:v>0</x:v>
      </x:c>
      <x:c r="M926" s="2" t="n">
        <x:f>IF(OR(B926="",F926=""),0,IF(H926="HOME",COUNTIFS('Istoric_Nativ'!$B$6:$B$405,E926,'Istoric_Nativ'!$C$6:$C$405,F926,'Istoric_Nativ'!$E$6:$E$405,G926,'Istoric_Nativ'!$D$6:$D$405,"&lt;"&amp;J926,'Istoric_Nativ'!$P$6:$P$405,1,'Istoric_Nativ'!$D$6:$D$405,"&gt;="&amp;L926),IF(H926="AWAY",COUNTIFS('Istoric_Nativ'!$B$6:$B$405,E926,'Istoric_Nativ'!$C$6:$C$405,F926,'Istoric_Nativ'!$F$6:$F$405,G926,'Istoric_Nativ'!$D$6:$D$405,"&lt;"&amp;J926,'Istoric_Nativ'!$P$6:$P$405,1,'Istoric_Nativ'!$D$6:$D$405,"&gt;="&amp;L926),COUNTIFS('Istoric_Nativ'!$B$6:$B$405,E926,'Istoric_Nativ'!$C$6:$C$405,F926,'Istoric_Nativ'!$E$6:$E$405,G926,'Istoric_Nativ'!$D$6:$D$405,"&lt;"&amp;J926,'Istoric_Nativ'!$P$6:$P$405,1,'Istoric_Nativ'!$D$6:$D$405,"&gt;="&amp;L926)+COUNTIFS('Istoric_Nativ'!$B$6:$B$405,E926,'Istoric_Nativ'!$C$6:$C$405,F926,'Istoric_Nativ'!$F$6:$F$405,G926,'Istoric_Nativ'!$D$6:$D$405,"&lt;"&amp;J926,'Istoric_Nativ'!$P$6:$P$405,1,'Istoric_Nativ'!$D$6:$D$405,"&gt;="&amp;L926))))</x:f>
        <x:v>0</x:v>
      </x:c>
      <x:c r="N926" s="11" t="str">
        <x:f>IF(M926=0,"",IF(H926="HOME",SUMIFS('Istoric_Nativ'!$G$6:$G$405,'Istoric_Nativ'!$B$6:$B$405,E926,'Istoric_Nativ'!$C$6:$C$405,F926,'Istoric_Nativ'!$E$6:$E$405,G926,'Istoric_Nativ'!$D$6:$D$405,"&lt;"&amp;J926,'Istoric_Nativ'!$P$6:$P$405,1,'Istoric_Nativ'!$D$6:$D$405,"&gt;="&amp;L926),IF(H926="AWAY",SUMIFS('Istoric_Nativ'!$H$6:$H$405,'Istoric_Nativ'!$B$6:$B$405,E926,'Istoric_Nativ'!$C$6:$C$405,F926,'Istoric_Nativ'!$F$6:$F$405,G926,'Istoric_Nativ'!$D$6:$D$405,"&lt;"&amp;J926,'Istoric_Nativ'!$P$6:$P$405,1,'Istoric_Nativ'!$D$6:$D$405,"&gt;="&amp;L926),SUMIFS('Istoric_Nativ'!$G$6:$G$405,'Istoric_Nativ'!$B$6:$B$405,E926,'Istoric_Nativ'!$C$6:$C$405,F926,'Istoric_Nativ'!$E$6:$E$405,G926,'Istoric_Nativ'!$D$6:$D$405,"&lt;"&amp;J926,'Istoric_Nativ'!$P$6:$P$405,1,'Istoric_Nativ'!$D$6:$D$405,"&gt;="&amp;L926)+SUMIFS('Istoric_Nativ'!$H$6:$H$405,'Istoric_Nativ'!$B$6:$B$405,E926,'Istoric_Nativ'!$C$6:$C$405,F926,'Istoric_Nativ'!$F$6:$F$405,G926,'Istoric_Nativ'!$D$6:$D$405,"&lt;"&amp;J926,'Istoric_Nativ'!$P$6:$P$405,1,'Istoric_Nativ'!$D$6:$D$405,"&gt;="&amp;L926)))/M926)</x:f>
      </x:c>
      <x:c r="O926" s="11" t="str">
        <x:f>IF(M926=0,"",IF(H926="HOME",SUMIFS('Istoric_Nativ'!$H$6:$H$405,'Istoric_Nativ'!$B$6:$B$405,E926,'Istoric_Nativ'!$C$6:$C$405,F926,'Istoric_Nativ'!$E$6:$E$405,G926,'Istoric_Nativ'!$D$6:$D$405,"&lt;"&amp;J926,'Istoric_Nativ'!$P$6:$P$405,1,'Istoric_Nativ'!$D$6:$D$405,"&gt;="&amp;L926),IF(H926="AWAY",SUMIFS('Istoric_Nativ'!$G$6:$G$405,'Istoric_Nativ'!$B$6:$B$405,E926,'Istoric_Nativ'!$C$6:$C$405,F926,'Istoric_Nativ'!$F$6:$F$405,G926,'Istoric_Nativ'!$D$6:$D$405,"&lt;"&amp;J926,'Istoric_Nativ'!$P$6:$P$405,1,'Istoric_Nativ'!$D$6:$D$405,"&gt;="&amp;L926),SUMIFS('Istoric_Nativ'!$H$6:$H$405,'Istoric_Nativ'!$B$6:$B$405,E926,'Istoric_Nativ'!$C$6:$C$405,F926,'Istoric_Nativ'!$E$6:$E$405,G926,'Istoric_Nativ'!$D$6:$D$405,"&lt;"&amp;J926,'Istoric_Nativ'!$P$6:$P$405,1,'Istoric_Nativ'!$D$6:$D$405,"&gt;="&amp;L926)+SUMIFS('Istoric_Nativ'!$G$6:$G$405,'Istoric_Nativ'!$B$6:$B$405,E926,'Istoric_Nativ'!$C$6:$C$405,F926,'Istoric_Nativ'!$F$6:$F$405,G926,'Istoric_Nativ'!$D$6:$D$405,"&lt;"&amp;J926,'Istoric_Nativ'!$P$6:$P$405,1,'Istoric_Nativ'!$D$6:$D$405,"&gt;="&amp;L926)))/M926)</x:f>
      </x:c>
      <x:c r="P926" s="2" t="n">
        <x:f>'Config_v6'!$B$9</x:f>
        <x:v>3</x:v>
      </x:c>
      <x:c r="Q926" s="2" t="n">
        <x:f>IF(OR(B926="",F926=""),0,IFERROR(MATCH(E926&amp;"|"&amp;F926,SourceTable[Source_Key],0),0))</x:f>
        <x:v>0</x:v>
      </x:c>
      <x:c r="R926" s="2" t="str">
        <x:f>IF(B926="","",IF(F926="","UNUSED",IF(Q926=0,"NOT CHECKED",IF(COUNTIF(SourceTable[Source_Key],E926&amp;"|"&amp;F926)&lt;&gt;1,"SOURCE CONFLICT",IF(NOT(OR(INDEX(SourceTable[Status],MAX(1,Q926))="IMPORTED",INDEX(SourceTable[Status],MAX(1,Q926))="PARTIAL",INDEX(SourceTable[Status],MAX(1,Q926))="SOURCE CONFLICT")),"ACCESS BLOCKED",IF(OR(INDEX(SourceTable[Coverage],Q926)&lt;&gt;"FULL SEASON EXPORT",INDEX(SourceTable[URL],Q926)="",INDEX(SourceTable[SHA256],Q926)=""),"EVIDENCE INCOMPLETE",IF(AND('Input_Meci'!H82="LIVE",INDEX(SourceTable[Retrieved_UTC],Q926)&gt;'Input_Meci'!G82),"POST CUTOFF","CLOSED")))))))</x:f>
      </x:c>
      <x:c r="S926" s="2" t="n">
        <x:f>IF(OR(B926="",F926=""),0,COUNTIFS('Istoric_Nativ'!$B$6:$B$405,E926,'Istoric_Nativ'!$C$6:$C$405,F926,'Istoric_Nativ'!$E$6:$E$405,G926,'Istoric_Nativ'!$D$6:$D$405,"&lt;"&amp;J926,'Istoric_Nativ'!$O$6:$O$405,"INVALID")+COUNTIFS('Istoric_Nativ'!$B$6:$B$405,E926,'Istoric_Nativ'!$C$6:$C$405,F926,'Istoric_Nativ'!$E$6:$E$405,G926,'Istoric_Nativ'!$O$6:$O$405,"INVALID",'Istoric_Nativ'!$D$6:$D$405,"*")+COUNTIFS('Istoric_Nativ'!$B$6:$B$405,E926,'Istoric_Nativ'!$C$6:$C$405,F926,'Istoric_Nativ'!$E$6:$E$405,G926,'Istoric_Nativ'!$D$6:$D$405,"&lt;"&amp;J926,'Istoric_Nativ'!$O$6:$O$405,"SOURCE CONFLICT")+COUNTIFS('Istoric_Nativ'!$B$6:$B$405,E926,'Istoric_Nativ'!$C$6:$C$405,F926,'Istoric_Nativ'!$F$6:$F$405,G926,'Istoric_Nativ'!$D$6:$D$405,"&lt;"&amp;J926,'Istoric_Nativ'!$O$6:$O$405,"INVALID")+COUNTIFS('Istoric_Nativ'!$B$6:$B$405,E926,'Istoric_Nativ'!$C$6:$C$405,F926,'Istoric_Nativ'!$F$6:$F$405,G926,'Istoric_Nativ'!$O$6:$O$405,"INVALID",'Istoric_Nativ'!$D$6:$D$405,"*")+COUNTIFS('Istoric_Nativ'!$B$6:$B$405,E926,'Istoric_Nativ'!$C$6:$C$405,F926,'Istoric_Nativ'!$F$6:$F$405,G926,'Istoric_Nativ'!$D$6:$D$405,"&lt;"&amp;J926,'Istoric_Nativ'!$O$6:$O$405,"SOURCE CONFLICT"))</x:f>
        <x:v>0</x:v>
      </x:c>
      <x:c r="T926" s="2" t="str">
        <x:f>IF(B926="","",IF(R926&lt;&gt;"CLOSED",R926,IF(S926&gt;0,"NATIVE INPUT ISSUE",IF(M926=0,"NO HISTORY",IF(M926&lt;P926,"SMALL SAMPLE","DERIVED")))))</x:f>
      </x:c>
      <x:c r="U926" s="2" t="str">
        <x:f>IF(B926="","","NativeTable; "&amp;E926&amp;"; "&amp;F926&amp;"; "&amp;G926&amp;"; "&amp;H926&amp;"; before "&amp;TEXT(J926,"yyyy-mm-dd")&amp;IF(I926="RECENT","; from "&amp;TEXT(L926,"yyyy-mm-dd"),""))</x:f>
      </x:c>
    </x:row>
    <x:row r="927" ht="21" customHeight="1">
      <x:c r="A927" s="2" t="n">
        <x:v>77</x:v>
      </x:c>
      <x:c r="B927" s="2" t="str">
        <x:f>IF('Input_Meci'!A82="","",'Input_Meci'!A82)</x:f>
      </x:c>
      <x:c r="C927" s="2" t="str">
        <x:v>A</x:v>
      </x:c>
      <x:c r="D927" s="2" t="str">
        <x:v>PRIOR</x:v>
      </x:c>
      <x:c r="E927" s="2" t="str">
        <x:f>IF(B927="","",'Input_Meci'!B82)</x:f>
      </x:c>
      <x:c r="F927" s="2" t="str">
        <x:f>IF(B927="","",IF('Input_Meci'!K82="","",'Input_Meci'!K82))</x:f>
      </x:c>
      <x:c r="G927" s="2" t="str">
        <x:f>IF(B927="","",'Input_Meci'!E82)</x:f>
      </x:c>
      <x:c r="H927" s="2" t="str">
        <x:v>ANY</x:v>
      </x:c>
      <x:c r="I927" s="2" t="str">
        <x:v>SEASON</x:v>
      </x:c>
      <x:c r="J927" s="9" t="n">
        <x:f>IF(AND(B927&lt;&gt;"",ISNUMBER('Input_Meci'!G82)),INT('Input_Meci'!G82),0)</x:f>
        <x:v>0</x:v>
      </x:c>
      <x:c r="K927" s="2" t="n">
        <x:f>IF(OR(B927="",F927=""),0,IF(H927="HOME",COUNTIFS('Istoric_Nativ'!$B$6:$B$405,E927,'Istoric_Nativ'!$C$6:$C$405,F927,'Istoric_Nativ'!$E$6:$E$405,G927,'Istoric_Nativ'!$D$6:$D$405,"&lt;"&amp;J927,'Istoric_Nativ'!$P$6:$P$405,1),IF(H927="AWAY",COUNTIFS('Istoric_Nativ'!$B$6:$B$405,E927,'Istoric_Nativ'!$C$6:$C$405,F927,'Istoric_Nativ'!$F$6:$F$405,G927,'Istoric_Nativ'!$D$6:$D$405,"&lt;"&amp;J927,'Istoric_Nativ'!$P$6:$P$405,1),COUNTIFS('Istoric_Nativ'!$B$6:$B$405,E927,'Istoric_Nativ'!$C$6:$C$405,F927,'Istoric_Nativ'!$E$6:$E$405,G927,'Istoric_Nativ'!$D$6:$D$405,"&lt;"&amp;J927,'Istoric_Nativ'!$P$6:$P$405,1)+COUNTIFS('Istoric_Nativ'!$B$6:$B$405,E927,'Istoric_Nativ'!$C$6:$C$405,F927,'Istoric_Nativ'!$F$6:$F$405,G927,'Istoric_Nativ'!$D$6:$D$405,"&lt;"&amp;J927,'Istoric_Nativ'!$P$6:$P$405,1))))</x:f>
        <x:v>0</x:v>
      </x:c>
      <x:c r="L927" s="17" t="n">
        <x:f>IF(AND(B927&lt;&gt;"",I927="RECENT",K927&gt;0),LARGE(_xlfn._xlws.FILTER('Istoric_Nativ'!$D$6:$D$405,('Istoric_Nativ'!$B$6:$B$405=E927)*('Istoric_Nativ'!$C$6:$C$405=F927)*('Istoric_Nativ'!$P$6:$P$405=1)*('Istoric_Nativ'!$D$6:$D$405&lt;J927)*((('Istoric_Nativ'!$E$6:$E$405=G927)+('Istoric_Nativ'!$F$6:$F$405=G927))&gt;0)),MIN('Config_v6'!$B$54,K927)),0)</x:f>
        <x:v>0</x:v>
      </x:c>
      <x:c r="M927" s="2" t="n">
        <x:f>IF(OR(B927="",F927=""),0,IF(H927="HOME",COUNTIFS('Istoric_Nativ'!$B$6:$B$405,E927,'Istoric_Nativ'!$C$6:$C$405,F927,'Istoric_Nativ'!$E$6:$E$405,G927,'Istoric_Nativ'!$D$6:$D$405,"&lt;"&amp;J927,'Istoric_Nativ'!$P$6:$P$405,1,'Istoric_Nativ'!$D$6:$D$405,"&gt;="&amp;L927),IF(H927="AWAY",COUNTIFS('Istoric_Nativ'!$B$6:$B$405,E927,'Istoric_Nativ'!$C$6:$C$405,F927,'Istoric_Nativ'!$F$6:$F$405,G927,'Istoric_Nativ'!$D$6:$D$405,"&lt;"&amp;J927,'Istoric_Nativ'!$P$6:$P$405,1,'Istoric_Nativ'!$D$6:$D$405,"&gt;="&amp;L927),COUNTIFS('Istoric_Nativ'!$B$6:$B$405,E927,'Istoric_Nativ'!$C$6:$C$405,F927,'Istoric_Nativ'!$E$6:$E$405,G927,'Istoric_Nativ'!$D$6:$D$405,"&lt;"&amp;J927,'Istoric_Nativ'!$P$6:$P$405,1,'Istoric_Nativ'!$D$6:$D$405,"&gt;="&amp;L927)+COUNTIFS('Istoric_Nativ'!$B$6:$B$405,E927,'Istoric_Nativ'!$C$6:$C$405,F927,'Istoric_Nativ'!$F$6:$F$405,G927,'Istoric_Nativ'!$D$6:$D$405,"&lt;"&amp;J927,'Istoric_Nativ'!$P$6:$P$405,1,'Istoric_Nativ'!$D$6:$D$405,"&gt;="&amp;L927))))</x:f>
        <x:v>0</x:v>
      </x:c>
      <x:c r="N927" s="11" t="str">
        <x:f>IF(M927=0,"",IF(H927="HOME",SUMIFS('Istoric_Nativ'!$G$6:$G$405,'Istoric_Nativ'!$B$6:$B$405,E927,'Istoric_Nativ'!$C$6:$C$405,F927,'Istoric_Nativ'!$E$6:$E$405,G927,'Istoric_Nativ'!$D$6:$D$405,"&lt;"&amp;J927,'Istoric_Nativ'!$P$6:$P$405,1,'Istoric_Nativ'!$D$6:$D$405,"&gt;="&amp;L927),IF(H927="AWAY",SUMIFS('Istoric_Nativ'!$H$6:$H$405,'Istoric_Nativ'!$B$6:$B$405,E927,'Istoric_Nativ'!$C$6:$C$405,F927,'Istoric_Nativ'!$F$6:$F$405,G927,'Istoric_Nativ'!$D$6:$D$405,"&lt;"&amp;J927,'Istoric_Nativ'!$P$6:$P$405,1,'Istoric_Nativ'!$D$6:$D$405,"&gt;="&amp;L927),SUMIFS('Istoric_Nativ'!$G$6:$G$405,'Istoric_Nativ'!$B$6:$B$405,E927,'Istoric_Nativ'!$C$6:$C$405,F927,'Istoric_Nativ'!$E$6:$E$405,G927,'Istoric_Nativ'!$D$6:$D$405,"&lt;"&amp;J927,'Istoric_Nativ'!$P$6:$P$405,1,'Istoric_Nativ'!$D$6:$D$405,"&gt;="&amp;L927)+SUMIFS('Istoric_Nativ'!$H$6:$H$405,'Istoric_Nativ'!$B$6:$B$405,E927,'Istoric_Nativ'!$C$6:$C$405,F927,'Istoric_Nativ'!$F$6:$F$405,G927,'Istoric_Nativ'!$D$6:$D$405,"&lt;"&amp;J927,'Istoric_Nativ'!$P$6:$P$405,1,'Istoric_Nativ'!$D$6:$D$405,"&gt;="&amp;L927)))/M927)</x:f>
      </x:c>
      <x:c r="O927" s="11" t="str">
        <x:f>IF(M927=0,"",IF(H927="HOME",SUMIFS('Istoric_Nativ'!$H$6:$H$405,'Istoric_Nativ'!$B$6:$B$405,E927,'Istoric_Nativ'!$C$6:$C$405,F927,'Istoric_Nativ'!$E$6:$E$405,G927,'Istoric_Nativ'!$D$6:$D$405,"&lt;"&amp;J927,'Istoric_Nativ'!$P$6:$P$405,1,'Istoric_Nativ'!$D$6:$D$405,"&gt;="&amp;L927),IF(H927="AWAY",SUMIFS('Istoric_Nativ'!$G$6:$G$405,'Istoric_Nativ'!$B$6:$B$405,E927,'Istoric_Nativ'!$C$6:$C$405,F927,'Istoric_Nativ'!$F$6:$F$405,G927,'Istoric_Nativ'!$D$6:$D$405,"&lt;"&amp;J927,'Istoric_Nativ'!$P$6:$P$405,1,'Istoric_Nativ'!$D$6:$D$405,"&gt;="&amp;L927),SUMIFS('Istoric_Nativ'!$H$6:$H$405,'Istoric_Nativ'!$B$6:$B$405,E927,'Istoric_Nativ'!$C$6:$C$405,F927,'Istoric_Nativ'!$E$6:$E$405,G927,'Istoric_Nativ'!$D$6:$D$405,"&lt;"&amp;J927,'Istoric_Nativ'!$P$6:$P$405,1,'Istoric_Nativ'!$D$6:$D$405,"&gt;="&amp;L927)+SUMIFS('Istoric_Nativ'!$G$6:$G$405,'Istoric_Nativ'!$B$6:$B$405,E927,'Istoric_Nativ'!$C$6:$C$405,F927,'Istoric_Nativ'!$F$6:$F$405,G927,'Istoric_Nativ'!$D$6:$D$405,"&lt;"&amp;J927,'Istoric_Nativ'!$P$6:$P$405,1,'Istoric_Nativ'!$D$6:$D$405,"&gt;="&amp;L927)))/M927)</x:f>
      </x:c>
      <x:c r="P927" s="2" t="n">
        <x:f>'Config_v6'!$B$7</x:f>
        <x:v>10</x:v>
      </x:c>
      <x:c r="Q927" s="2" t="n">
        <x:f>IF(OR(B927="",F927=""),0,IFERROR(MATCH(E927&amp;"|"&amp;F927,SourceTable[Source_Key],0),0))</x:f>
        <x:v>0</x:v>
      </x:c>
      <x:c r="R927" s="2" t="str">
        <x:f>IF(B927="","",IF(F927="","UNUSED",IF(Q927=0,"NOT CHECKED",IF(COUNTIF(SourceTable[Source_Key],E927&amp;"|"&amp;F927)&lt;&gt;1,"SOURCE CONFLICT",IF(NOT(OR(INDEX(SourceTable[Status],MAX(1,Q927))="IMPORTED",INDEX(SourceTable[Status],MAX(1,Q927))="PARTIAL",INDEX(SourceTable[Status],MAX(1,Q927))="SOURCE CONFLICT")),"ACCESS BLOCKED",IF(OR(INDEX(SourceTable[Coverage],Q927)&lt;&gt;"FULL SEASON EXPORT",INDEX(SourceTable[URL],Q927)="",INDEX(SourceTable[SHA256],Q927)=""),"EVIDENCE INCOMPLETE",IF(AND('Input_Meci'!H82="LIVE",INDEX(SourceTable[Retrieved_UTC],Q927)&gt;'Input_Meci'!G82),"POST CUTOFF","CLOSED")))))))</x:f>
      </x:c>
      <x:c r="S927" s="2" t="n">
        <x:f>IF(OR(B927="",F927=""),0,COUNTIFS('Istoric_Nativ'!$B$6:$B$405,E927,'Istoric_Nativ'!$C$6:$C$405,F927,'Istoric_Nativ'!$E$6:$E$405,G927,'Istoric_Nativ'!$D$6:$D$405,"&lt;"&amp;J927,'Istoric_Nativ'!$O$6:$O$405,"INVALID")+COUNTIFS('Istoric_Nativ'!$B$6:$B$405,E927,'Istoric_Nativ'!$C$6:$C$405,F927,'Istoric_Nativ'!$E$6:$E$405,G927,'Istoric_Nativ'!$O$6:$O$405,"INVALID",'Istoric_Nativ'!$D$6:$D$405,"*")+COUNTIFS('Istoric_Nativ'!$B$6:$B$405,E927,'Istoric_Nativ'!$C$6:$C$405,F927,'Istoric_Nativ'!$E$6:$E$405,G927,'Istoric_Nativ'!$D$6:$D$405,"&lt;"&amp;J927,'Istoric_Nativ'!$O$6:$O$405,"SOURCE CONFLICT")+COUNTIFS('Istoric_Nativ'!$B$6:$B$405,E927,'Istoric_Nativ'!$C$6:$C$405,F927,'Istoric_Nativ'!$F$6:$F$405,G927,'Istoric_Nativ'!$D$6:$D$405,"&lt;"&amp;J927,'Istoric_Nativ'!$O$6:$O$405,"INVALID")+COUNTIFS('Istoric_Nativ'!$B$6:$B$405,E927,'Istoric_Nativ'!$C$6:$C$405,F927,'Istoric_Nativ'!$F$6:$F$405,G927,'Istoric_Nativ'!$O$6:$O$405,"INVALID",'Istoric_Nativ'!$D$6:$D$405,"*")+COUNTIFS('Istoric_Nativ'!$B$6:$B$405,E927,'Istoric_Nativ'!$C$6:$C$405,F927,'Istoric_Nativ'!$F$6:$F$405,G927,'Istoric_Nativ'!$D$6:$D$405,"&lt;"&amp;J927,'Istoric_Nativ'!$O$6:$O$405,"SOURCE CONFLICT"))</x:f>
        <x:v>0</x:v>
      </x:c>
      <x:c r="T927" s="2" t="str">
        <x:f>IF(B927="","",IF(R927&lt;&gt;"CLOSED",R927,IF(S927&gt;0,"NATIVE INPUT ISSUE",IF(M927=0,"NO HISTORY",IF(M927&lt;P927,"SMALL SAMPLE","DERIVED")))))</x:f>
      </x:c>
      <x:c r="U927" s="2" t="str">
        <x:f>IF(B927="","","NativeTable; "&amp;E927&amp;"; "&amp;F927&amp;"; "&amp;G927&amp;"; "&amp;H927&amp;"; before "&amp;TEXT(J927,"yyyy-mm-dd")&amp;IF(I927="RECENT","; from "&amp;TEXT(L927,"yyyy-mm-dd"),""))</x:f>
      </x:c>
    </x:row>
    <x:row r="928" ht="21" customHeight="1">
      <x:c r="A928" s="2" t="n">
        <x:v>77</x:v>
      </x:c>
      <x:c r="B928" s="2" t="str">
        <x:f>IF('Input_Meci'!A82="","",'Input_Meci'!A82)</x:f>
      </x:c>
      <x:c r="C928" s="2" t="str">
        <x:v>A</x:v>
      </x:c>
      <x:c r="D928" s="2" t="str">
        <x:v>PRIOR</x:v>
      </x:c>
      <x:c r="E928" s="2" t="str">
        <x:f>IF(B928="","",'Input_Meci'!B82)</x:f>
      </x:c>
      <x:c r="F928" s="2" t="str">
        <x:f>IF(B928="","",IF('Input_Meci'!K82="","",'Input_Meci'!K82))</x:f>
      </x:c>
      <x:c r="G928" s="2" t="str">
        <x:f>IF(B928="","",'Input_Meci'!E82)</x:f>
      </x:c>
      <x:c r="H928" s="2" t="str">
        <x:v>AWAY</x:v>
      </x:c>
      <x:c r="I928" s="2" t="str">
        <x:v>HA</x:v>
      </x:c>
      <x:c r="J928" s="9" t="n">
        <x:f>IF(AND(B928&lt;&gt;"",ISNUMBER('Input_Meci'!G82)),INT('Input_Meci'!G82),0)</x:f>
        <x:v>0</x:v>
      </x:c>
      <x:c r="K928" s="2" t="n">
        <x:f>IF(OR(B928="",F928=""),0,IF(H928="HOME",COUNTIFS('Istoric_Nativ'!$B$6:$B$405,E928,'Istoric_Nativ'!$C$6:$C$405,F928,'Istoric_Nativ'!$E$6:$E$405,G928,'Istoric_Nativ'!$D$6:$D$405,"&lt;"&amp;J928,'Istoric_Nativ'!$P$6:$P$405,1),IF(H928="AWAY",COUNTIFS('Istoric_Nativ'!$B$6:$B$405,E928,'Istoric_Nativ'!$C$6:$C$405,F928,'Istoric_Nativ'!$F$6:$F$405,G928,'Istoric_Nativ'!$D$6:$D$405,"&lt;"&amp;J928,'Istoric_Nativ'!$P$6:$P$405,1),COUNTIFS('Istoric_Nativ'!$B$6:$B$405,E928,'Istoric_Nativ'!$C$6:$C$405,F928,'Istoric_Nativ'!$E$6:$E$405,G928,'Istoric_Nativ'!$D$6:$D$405,"&lt;"&amp;J928,'Istoric_Nativ'!$P$6:$P$405,1)+COUNTIFS('Istoric_Nativ'!$B$6:$B$405,E928,'Istoric_Nativ'!$C$6:$C$405,F928,'Istoric_Nativ'!$F$6:$F$405,G928,'Istoric_Nativ'!$D$6:$D$405,"&lt;"&amp;J928,'Istoric_Nativ'!$P$6:$P$405,1))))</x:f>
        <x:v>0</x:v>
      </x:c>
      <x:c r="L928" s="17" t="n">
        <x:f>IF(AND(B928&lt;&gt;"",I928="RECENT",K928&gt;0),LARGE(_xlfn._xlws.FILTER('Istoric_Nativ'!$D$6:$D$405,('Istoric_Nativ'!$B$6:$B$405=E928)*('Istoric_Nativ'!$C$6:$C$405=F928)*('Istoric_Nativ'!$P$6:$P$405=1)*('Istoric_Nativ'!$D$6:$D$405&lt;J928)*((('Istoric_Nativ'!$E$6:$E$405=G928)+('Istoric_Nativ'!$F$6:$F$405=G928))&gt;0)),MIN('Config_v6'!$B$54,K928)),0)</x:f>
        <x:v>0</x:v>
      </x:c>
      <x:c r="M928" s="2" t="n">
        <x:f>IF(OR(B928="",F928=""),0,IF(H928="HOME",COUNTIFS('Istoric_Nativ'!$B$6:$B$405,E928,'Istoric_Nativ'!$C$6:$C$405,F928,'Istoric_Nativ'!$E$6:$E$405,G928,'Istoric_Nativ'!$D$6:$D$405,"&lt;"&amp;J928,'Istoric_Nativ'!$P$6:$P$405,1,'Istoric_Nativ'!$D$6:$D$405,"&gt;="&amp;L928),IF(H928="AWAY",COUNTIFS('Istoric_Nativ'!$B$6:$B$405,E928,'Istoric_Nativ'!$C$6:$C$405,F928,'Istoric_Nativ'!$F$6:$F$405,G928,'Istoric_Nativ'!$D$6:$D$405,"&lt;"&amp;J928,'Istoric_Nativ'!$P$6:$P$405,1,'Istoric_Nativ'!$D$6:$D$405,"&gt;="&amp;L928),COUNTIFS('Istoric_Nativ'!$B$6:$B$405,E928,'Istoric_Nativ'!$C$6:$C$405,F928,'Istoric_Nativ'!$E$6:$E$405,G928,'Istoric_Nativ'!$D$6:$D$405,"&lt;"&amp;J928,'Istoric_Nativ'!$P$6:$P$405,1,'Istoric_Nativ'!$D$6:$D$405,"&gt;="&amp;L928)+COUNTIFS('Istoric_Nativ'!$B$6:$B$405,E928,'Istoric_Nativ'!$C$6:$C$405,F928,'Istoric_Nativ'!$F$6:$F$405,G928,'Istoric_Nativ'!$D$6:$D$405,"&lt;"&amp;J928,'Istoric_Nativ'!$P$6:$P$405,1,'Istoric_Nativ'!$D$6:$D$405,"&gt;="&amp;L928))))</x:f>
        <x:v>0</x:v>
      </x:c>
      <x:c r="N928" s="11" t="str">
        <x:f>IF(M928=0,"",IF(H928="HOME",SUMIFS('Istoric_Nativ'!$G$6:$G$405,'Istoric_Nativ'!$B$6:$B$405,E928,'Istoric_Nativ'!$C$6:$C$405,F928,'Istoric_Nativ'!$E$6:$E$405,G928,'Istoric_Nativ'!$D$6:$D$405,"&lt;"&amp;J928,'Istoric_Nativ'!$P$6:$P$405,1,'Istoric_Nativ'!$D$6:$D$405,"&gt;="&amp;L928),IF(H928="AWAY",SUMIFS('Istoric_Nativ'!$H$6:$H$405,'Istoric_Nativ'!$B$6:$B$405,E928,'Istoric_Nativ'!$C$6:$C$405,F928,'Istoric_Nativ'!$F$6:$F$405,G928,'Istoric_Nativ'!$D$6:$D$405,"&lt;"&amp;J928,'Istoric_Nativ'!$P$6:$P$405,1,'Istoric_Nativ'!$D$6:$D$405,"&gt;="&amp;L928),SUMIFS('Istoric_Nativ'!$G$6:$G$405,'Istoric_Nativ'!$B$6:$B$405,E928,'Istoric_Nativ'!$C$6:$C$405,F928,'Istoric_Nativ'!$E$6:$E$405,G928,'Istoric_Nativ'!$D$6:$D$405,"&lt;"&amp;J928,'Istoric_Nativ'!$P$6:$P$405,1,'Istoric_Nativ'!$D$6:$D$405,"&gt;="&amp;L928)+SUMIFS('Istoric_Nativ'!$H$6:$H$405,'Istoric_Nativ'!$B$6:$B$405,E928,'Istoric_Nativ'!$C$6:$C$405,F928,'Istoric_Nativ'!$F$6:$F$405,G928,'Istoric_Nativ'!$D$6:$D$405,"&lt;"&amp;J928,'Istoric_Nativ'!$P$6:$P$405,1,'Istoric_Nativ'!$D$6:$D$405,"&gt;="&amp;L928)))/M928)</x:f>
      </x:c>
      <x:c r="O928" s="11" t="str">
        <x:f>IF(M928=0,"",IF(H928="HOME",SUMIFS('Istoric_Nativ'!$H$6:$H$405,'Istoric_Nativ'!$B$6:$B$405,E928,'Istoric_Nativ'!$C$6:$C$405,F928,'Istoric_Nativ'!$E$6:$E$405,G928,'Istoric_Nativ'!$D$6:$D$405,"&lt;"&amp;J928,'Istoric_Nativ'!$P$6:$P$405,1,'Istoric_Nativ'!$D$6:$D$405,"&gt;="&amp;L928),IF(H928="AWAY",SUMIFS('Istoric_Nativ'!$G$6:$G$405,'Istoric_Nativ'!$B$6:$B$405,E928,'Istoric_Nativ'!$C$6:$C$405,F928,'Istoric_Nativ'!$F$6:$F$405,G928,'Istoric_Nativ'!$D$6:$D$405,"&lt;"&amp;J928,'Istoric_Nativ'!$P$6:$P$405,1,'Istoric_Nativ'!$D$6:$D$405,"&gt;="&amp;L928),SUMIFS('Istoric_Nativ'!$H$6:$H$405,'Istoric_Nativ'!$B$6:$B$405,E928,'Istoric_Nativ'!$C$6:$C$405,F928,'Istoric_Nativ'!$E$6:$E$405,G928,'Istoric_Nativ'!$D$6:$D$405,"&lt;"&amp;J928,'Istoric_Nativ'!$P$6:$P$405,1,'Istoric_Nativ'!$D$6:$D$405,"&gt;="&amp;L928)+SUMIFS('Istoric_Nativ'!$G$6:$G$405,'Istoric_Nativ'!$B$6:$B$405,E928,'Istoric_Nativ'!$C$6:$C$405,F928,'Istoric_Nativ'!$F$6:$F$405,G928,'Istoric_Nativ'!$D$6:$D$405,"&lt;"&amp;J928,'Istoric_Nativ'!$P$6:$P$405,1,'Istoric_Nativ'!$D$6:$D$405,"&gt;="&amp;L928)))/M928)</x:f>
      </x:c>
      <x:c r="P928" s="2" t="n">
        <x:f>'Config_v6'!$B$8</x:f>
        <x:v>5</x:v>
      </x:c>
      <x:c r="Q928" s="2" t="n">
        <x:f>IF(OR(B928="",F928=""),0,IFERROR(MATCH(E928&amp;"|"&amp;F928,SourceTable[Source_Key],0),0))</x:f>
        <x:v>0</x:v>
      </x:c>
      <x:c r="R928" s="2" t="str">
        <x:f>IF(B928="","",IF(F928="","UNUSED",IF(Q928=0,"NOT CHECKED",IF(COUNTIF(SourceTable[Source_Key],E928&amp;"|"&amp;F928)&lt;&gt;1,"SOURCE CONFLICT",IF(NOT(OR(INDEX(SourceTable[Status],MAX(1,Q928))="IMPORTED",INDEX(SourceTable[Status],MAX(1,Q928))="PARTIAL",INDEX(SourceTable[Status],MAX(1,Q928))="SOURCE CONFLICT")),"ACCESS BLOCKED",IF(OR(INDEX(SourceTable[Coverage],Q928)&lt;&gt;"FULL SEASON EXPORT",INDEX(SourceTable[URL],Q928)="",INDEX(SourceTable[SHA256],Q928)=""),"EVIDENCE INCOMPLETE",IF(AND('Input_Meci'!H82="LIVE",INDEX(SourceTable[Retrieved_UTC],Q928)&gt;'Input_Meci'!G82),"POST CUTOFF","CLOSED")))))))</x:f>
      </x:c>
      <x:c r="S928" s="2" t="n">
        <x:f>IF(OR(B928="",F928=""),0,COUNTIFS('Istoric_Nativ'!$B$6:$B$405,E928,'Istoric_Nativ'!$C$6:$C$405,F928,'Istoric_Nativ'!$E$6:$E$405,G928,'Istoric_Nativ'!$D$6:$D$405,"&lt;"&amp;J928,'Istoric_Nativ'!$O$6:$O$405,"INVALID")+COUNTIFS('Istoric_Nativ'!$B$6:$B$405,E928,'Istoric_Nativ'!$C$6:$C$405,F928,'Istoric_Nativ'!$E$6:$E$405,G928,'Istoric_Nativ'!$O$6:$O$405,"INVALID",'Istoric_Nativ'!$D$6:$D$405,"*")+COUNTIFS('Istoric_Nativ'!$B$6:$B$405,E928,'Istoric_Nativ'!$C$6:$C$405,F928,'Istoric_Nativ'!$E$6:$E$405,G928,'Istoric_Nativ'!$D$6:$D$405,"&lt;"&amp;J928,'Istoric_Nativ'!$O$6:$O$405,"SOURCE CONFLICT")+COUNTIFS('Istoric_Nativ'!$B$6:$B$405,E928,'Istoric_Nativ'!$C$6:$C$405,F928,'Istoric_Nativ'!$F$6:$F$405,G928,'Istoric_Nativ'!$D$6:$D$405,"&lt;"&amp;J928,'Istoric_Nativ'!$O$6:$O$405,"INVALID")+COUNTIFS('Istoric_Nativ'!$B$6:$B$405,E928,'Istoric_Nativ'!$C$6:$C$405,F928,'Istoric_Nativ'!$F$6:$F$405,G928,'Istoric_Nativ'!$O$6:$O$405,"INVALID",'Istoric_Nativ'!$D$6:$D$405,"*")+COUNTIFS('Istoric_Nativ'!$B$6:$B$405,E928,'Istoric_Nativ'!$C$6:$C$405,F928,'Istoric_Nativ'!$F$6:$F$405,G928,'Istoric_Nativ'!$D$6:$D$405,"&lt;"&amp;J928,'Istoric_Nativ'!$O$6:$O$405,"SOURCE CONFLICT"))</x:f>
        <x:v>0</x:v>
      </x:c>
      <x:c r="T928" s="2" t="str">
        <x:f>IF(B928="","",IF(R928&lt;&gt;"CLOSED",R928,IF(S928&gt;0,"NATIVE INPUT ISSUE",IF(M928=0,"NO HISTORY",IF(M928&lt;P928,"SMALL SAMPLE","DERIVED")))))</x:f>
      </x:c>
      <x:c r="U928" s="2" t="str">
        <x:f>IF(B928="","","NativeTable; "&amp;E928&amp;"; "&amp;F928&amp;"; "&amp;G928&amp;"; "&amp;H928&amp;"; before "&amp;TEXT(J928,"yyyy-mm-dd")&amp;IF(I928="RECENT","; from "&amp;TEXT(L928,"yyyy-mm-dd"),""))</x:f>
      </x:c>
    </x:row>
    <x:row r="929" ht="21" customHeight="1">
      <x:c r="A929" s="2" t="n">
        <x:v>77</x:v>
      </x:c>
      <x:c r="B929" s="2" t="str">
        <x:f>IF('Input_Meci'!A82="","",'Input_Meci'!A82)</x:f>
      </x:c>
      <x:c r="C929" s="2" t="str">
        <x:v>A</x:v>
      </x:c>
      <x:c r="D929" s="2" t="str">
        <x:v>PRIOR</x:v>
      </x:c>
      <x:c r="E929" s="2" t="str">
        <x:f>IF(B929="","",'Input_Meci'!B82)</x:f>
      </x:c>
      <x:c r="F929" s="2" t="str">
        <x:f>IF(B929="","",IF('Input_Meci'!K82="","",'Input_Meci'!K82))</x:f>
      </x:c>
      <x:c r="G929" s="2" t="str">
        <x:f>IF(B929="","",'Input_Meci'!E82)</x:f>
      </x:c>
      <x:c r="H929" s="2" t="str">
        <x:v>ANY</x:v>
      </x:c>
      <x:c r="I929" s="2" t="str">
        <x:v>RECENT</x:v>
      </x:c>
      <x:c r="J929" s="9" t="n">
        <x:f>IF(AND(B929&lt;&gt;"",ISNUMBER('Input_Meci'!G82)),INT('Input_Meci'!G82),0)</x:f>
        <x:v>0</x:v>
      </x:c>
      <x:c r="K929" s="2" t="n">
        <x:f>IF(OR(B929="",F929=""),0,IF(H929="HOME",COUNTIFS('Istoric_Nativ'!$B$6:$B$405,E929,'Istoric_Nativ'!$C$6:$C$405,F929,'Istoric_Nativ'!$E$6:$E$405,G929,'Istoric_Nativ'!$D$6:$D$405,"&lt;"&amp;J929,'Istoric_Nativ'!$P$6:$P$405,1),IF(H929="AWAY",COUNTIFS('Istoric_Nativ'!$B$6:$B$405,E929,'Istoric_Nativ'!$C$6:$C$405,F929,'Istoric_Nativ'!$F$6:$F$405,G929,'Istoric_Nativ'!$D$6:$D$405,"&lt;"&amp;J929,'Istoric_Nativ'!$P$6:$P$405,1),COUNTIFS('Istoric_Nativ'!$B$6:$B$405,E929,'Istoric_Nativ'!$C$6:$C$405,F929,'Istoric_Nativ'!$E$6:$E$405,G929,'Istoric_Nativ'!$D$6:$D$405,"&lt;"&amp;J929,'Istoric_Nativ'!$P$6:$P$405,1)+COUNTIFS('Istoric_Nativ'!$B$6:$B$405,E929,'Istoric_Nativ'!$C$6:$C$405,F929,'Istoric_Nativ'!$F$6:$F$405,G929,'Istoric_Nativ'!$D$6:$D$405,"&lt;"&amp;J929,'Istoric_Nativ'!$P$6:$P$405,1))))</x:f>
        <x:v>0</x:v>
      </x:c>
      <x:c r="L929" s="17" t="n">
        <x:f>IF(AND(B929&lt;&gt;"",I929="RECENT",K929&gt;0),LARGE(_xlfn._xlws.FILTER('Istoric_Nativ'!$D$6:$D$405,('Istoric_Nativ'!$B$6:$B$405=E929)*('Istoric_Nativ'!$C$6:$C$405=F929)*('Istoric_Nativ'!$P$6:$P$405=1)*('Istoric_Nativ'!$D$6:$D$405&lt;J929)*((('Istoric_Nativ'!$E$6:$E$405=G929)+('Istoric_Nativ'!$F$6:$F$405=G929))&gt;0)),MIN('Config_v6'!$B$54,K929)),0)</x:f>
        <x:v>0</x:v>
      </x:c>
      <x:c r="M929" s="2" t="n">
        <x:f>IF(OR(B929="",F929=""),0,IF(H929="HOME",COUNTIFS('Istoric_Nativ'!$B$6:$B$405,E929,'Istoric_Nativ'!$C$6:$C$405,F929,'Istoric_Nativ'!$E$6:$E$405,G929,'Istoric_Nativ'!$D$6:$D$405,"&lt;"&amp;J929,'Istoric_Nativ'!$P$6:$P$405,1,'Istoric_Nativ'!$D$6:$D$405,"&gt;="&amp;L929),IF(H929="AWAY",COUNTIFS('Istoric_Nativ'!$B$6:$B$405,E929,'Istoric_Nativ'!$C$6:$C$405,F929,'Istoric_Nativ'!$F$6:$F$405,G929,'Istoric_Nativ'!$D$6:$D$405,"&lt;"&amp;J929,'Istoric_Nativ'!$P$6:$P$405,1,'Istoric_Nativ'!$D$6:$D$405,"&gt;="&amp;L929),COUNTIFS('Istoric_Nativ'!$B$6:$B$405,E929,'Istoric_Nativ'!$C$6:$C$405,F929,'Istoric_Nativ'!$E$6:$E$405,G929,'Istoric_Nativ'!$D$6:$D$405,"&lt;"&amp;J929,'Istoric_Nativ'!$P$6:$P$405,1,'Istoric_Nativ'!$D$6:$D$405,"&gt;="&amp;L929)+COUNTIFS('Istoric_Nativ'!$B$6:$B$405,E929,'Istoric_Nativ'!$C$6:$C$405,F929,'Istoric_Nativ'!$F$6:$F$405,G929,'Istoric_Nativ'!$D$6:$D$405,"&lt;"&amp;J929,'Istoric_Nativ'!$P$6:$P$405,1,'Istoric_Nativ'!$D$6:$D$405,"&gt;="&amp;L929))))</x:f>
        <x:v>0</x:v>
      </x:c>
      <x:c r="N929" s="11" t="str">
        <x:f>IF(M929=0,"",IF(H929="HOME",SUMIFS('Istoric_Nativ'!$G$6:$G$405,'Istoric_Nativ'!$B$6:$B$405,E929,'Istoric_Nativ'!$C$6:$C$405,F929,'Istoric_Nativ'!$E$6:$E$405,G929,'Istoric_Nativ'!$D$6:$D$405,"&lt;"&amp;J929,'Istoric_Nativ'!$P$6:$P$405,1,'Istoric_Nativ'!$D$6:$D$405,"&gt;="&amp;L929),IF(H929="AWAY",SUMIFS('Istoric_Nativ'!$H$6:$H$405,'Istoric_Nativ'!$B$6:$B$405,E929,'Istoric_Nativ'!$C$6:$C$405,F929,'Istoric_Nativ'!$F$6:$F$405,G929,'Istoric_Nativ'!$D$6:$D$405,"&lt;"&amp;J929,'Istoric_Nativ'!$P$6:$P$405,1,'Istoric_Nativ'!$D$6:$D$405,"&gt;="&amp;L929),SUMIFS('Istoric_Nativ'!$G$6:$G$405,'Istoric_Nativ'!$B$6:$B$405,E929,'Istoric_Nativ'!$C$6:$C$405,F929,'Istoric_Nativ'!$E$6:$E$405,G929,'Istoric_Nativ'!$D$6:$D$405,"&lt;"&amp;J929,'Istoric_Nativ'!$P$6:$P$405,1,'Istoric_Nativ'!$D$6:$D$405,"&gt;="&amp;L929)+SUMIFS('Istoric_Nativ'!$H$6:$H$405,'Istoric_Nativ'!$B$6:$B$405,E929,'Istoric_Nativ'!$C$6:$C$405,F929,'Istoric_Nativ'!$F$6:$F$405,G929,'Istoric_Nativ'!$D$6:$D$405,"&lt;"&amp;J929,'Istoric_Nativ'!$P$6:$P$405,1,'Istoric_Nativ'!$D$6:$D$405,"&gt;="&amp;L929)))/M929)</x:f>
      </x:c>
      <x:c r="O929" s="11" t="str">
        <x:f>IF(M929=0,"",IF(H929="HOME",SUMIFS('Istoric_Nativ'!$H$6:$H$405,'Istoric_Nativ'!$B$6:$B$405,E929,'Istoric_Nativ'!$C$6:$C$405,F929,'Istoric_Nativ'!$E$6:$E$405,G929,'Istoric_Nativ'!$D$6:$D$405,"&lt;"&amp;J929,'Istoric_Nativ'!$P$6:$P$405,1,'Istoric_Nativ'!$D$6:$D$405,"&gt;="&amp;L929),IF(H929="AWAY",SUMIFS('Istoric_Nativ'!$G$6:$G$405,'Istoric_Nativ'!$B$6:$B$405,E929,'Istoric_Nativ'!$C$6:$C$405,F929,'Istoric_Nativ'!$F$6:$F$405,G929,'Istoric_Nativ'!$D$6:$D$405,"&lt;"&amp;J929,'Istoric_Nativ'!$P$6:$P$405,1,'Istoric_Nativ'!$D$6:$D$405,"&gt;="&amp;L929),SUMIFS('Istoric_Nativ'!$H$6:$H$405,'Istoric_Nativ'!$B$6:$B$405,E929,'Istoric_Nativ'!$C$6:$C$405,F929,'Istoric_Nativ'!$E$6:$E$405,G929,'Istoric_Nativ'!$D$6:$D$405,"&lt;"&amp;J929,'Istoric_Nativ'!$P$6:$P$405,1,'Istoric_Nativ'!$D$6:$D$405,"&gt;="&amp;L929)+SUMIFS('Istoric_Nativ'!$G$6:$G$405,'Istoric_Nativ'!$B$6:$B$405,E929,'Istoric_Nativ'!$C$6:$C$405,F929,'Istoric_Nativ'!$F$6:$F$405,G929,'Istoric_Nativ'!$D$6:$D$405,"&lt;"&amp;J929,'Istoric_Nativ'!$P$6:$P$405,1,'Istoric_Nativ'!$D$6:$D$405,"&gt;="&amp;L929)))/M929)</x:f>
      </x:c>
      <x:c r="P929" s="2" t="n">
        <x:f>'Config_v6'!$B$9</x:f>
        <x:v>3</x:v>
      </x:c>
      <x:c r="Q929" s="2" t="n">
        <x:f>IF(OR(B929="",F929=""),0,IFERROR(MATCH(E929&amp;"|"&amp;F929,SourceTable[Source_Key],0),0))</x:f>
        <x:v>0</x:v>
      </x:c>
      <x:c r="R929" s="2" t="str">
        <x:f>IF(B929="","",IF(F929="","UNUSED",IF(Q929=0,"NOT CHECKED",IF(COUNTIF(SourceTable[Source_Key],E929&amp;"|"&amp;F929)&lt;&gt;1,"SOURCE CONFLICT",IF(NOT(OR(INDEX(SourceTable[Status],MAX(1,Q929))="IMPORTED",INDEX(SourceTable[Status],MAX(1,Q929))="PARTIAL",INDEX(SourceTable[Status],MAX(1,Q929))="SOURCE CONFLICT")),"ACCESS BLOCKED",IF(OR(INDEX(SourceTable[Coverage],Q929)&lt;&gt;"FULL SEASON EXPORT",INDEX(SourceTable[URL],Q929)="",INDEX(SourceTable[SHA256],Q929)=""),"EVIDENCE INCOMPLETE",IF(AND('Input_Meci'!H82="LIVE",INDEX(SourceTable[Retrieved_UTC],Q929)&gt;'Input_Meci'!G82),"POST CUTOFF","CLOSED")))))))</x:f>
      </x:c>
      <x:c r="S929" s="2" t="n">
        <x:f>IF(OR(B929="",F929=""),0,COUNTIFS('Istoric_Nativ'!$B$6:$B$405,E929,'Istoric_Nativ'!$C$6:$C$405,F929,'Istoric_Nativ'!$E$6:$E$405,G929,'Istoric_Nativ'!$D$6:$D$405,"&lt;"&amp;J929,'Istoric_Nativ'!$O$6:$O$405,"INVALID")+COUNTIFS('Istoric_Nativ'!$B$6:$B$405,E929,'Istoric_Nativ'!$C$6:$C$405,F929,'Istoric_Nativ'!$E$6:$E$405,G929,'Istoric_Nativ'!$O$6:$O$405,"INVALID",'Istoric_Nativ'!$D$6:$D$405,"*")+COUNTIFS('Istoric_Nativ'!$B$6:$B$405,E929,'Istoric_Nativ'!$C$6:$C$405,F929,'Istoric_Nativ'!$E$6:$E$405,G929,'Istoric_Nativ'!$D$6:$D$405,"&lt;"&amp;J929,'Istoric_Nativ'!$O$6:$O$405,"SOURCE CONFLICT")+COUNTIFS('Istoric_Nativ'!$B$6:$B$405,E929,'Istoric_Nativ'!$C$6:$C$405,F929,'Istoric_Nativ'!$F$6:$F$405,G929,'Istoric_Nativ'!$D$6:$D$405,"&lt;"&amp;J929,'Istoric_Nativ'!$O$6:$O$405,"INVALID")+COUNTIFS('Istoric_Nativ'!$B$6:$B$405,E929,'Istoric_Nativ'!$C$6:$C$405,F929,'Istoric_Nativ'!$F$6:$F$405,G929,'Istoric_Nativ'!$O$6:$O$405,"INVALID",'Istoric_Nativ'!$D$6:$D$405,"*")+COUNTIFS('Istoric_Nativ'!$B$6:$B$405,E929,'Istoric_Nativ'!$C$6:$C$405,F929,'Istoric_Nativ'!$F$6:$F$405,G929,'Istoric_Nativ'!$D$6:$D$405,"&lt;"&amp;J929,'Istoric_Nativ'!$O$6:$O$405,"SOURCE CONFLICT"))</x:f>
        <x:v>0</x:v>
      </x:c>
      <x:c r="T929" s="2" t="str">
        <x:f>IF(B929="","",IF(R929&lt;&gt;"CLOSED",R929,IF(S929&gt;0,"NATIVE INPUT ISSUE",IF(M929=0,"NO HISTORY",IF(M929&lt;P929,"SMALL SAMPLE","DERIVED")))))</x:f>
      </x:c>
      <x:c r="U929" s="2" t="str">
        <x:f>IF(B929="","","NativeTable; "&amp;E929&amp;"; "&amp;F929&amp;"; "&amp;G929&amp;"; "&amp;H929&amp;"; before "&amp;TEXT(J929,"yyyy-mm-dd")&amp;IF(I929="RECENT","; from "&amp;TEXT(L929,"yyyy-mm-dd"),""))</x:f>
      </x:c>
    </x:row>
    <x:row r="930" ht="21" customHeight="1">
      <x:c r="A930" s="2" t="n">
        <x:v>78</x:v>
      </x:c>
      <x:c r="B930" s="2" t="str">
        <x:f>IF('Input_Meci'!A83="","",'Input_Meci'!A83)</x:f>
      </x:c>
      <x:c r="C930" s="2" t="str">
        <x:v>H</x:v>
      </x:c>
      <x:c r="D930" s="2" t="str">
        <x:v>CURRENT</x:v>
      </x:c>
      <x:c r="E930" s="2" t="str">
        <x:f>IF(B930="","",'Input_Meci'!B83)</x:f>
      </x:c>
      <x:c r="F930" s="2" t="str">
        <x:f>IF(B930="","",IF('Input_Meci'!C83="","",'Input_Meci'!C83))</x:f>
      </x:c>
      <x:c r="G930" s="2" t="str">
        <x:f>IF(B930="","",'Input_Meci'!D83)</x:f>
      </x:c>
      <x:c r="H930" s="2" t="str">
        <x:v>ANY</x:v>
      </x:c>
      <x:c r="I930" s="2" t="str">
        <x:v>SEASON</x:v>
      </x:c>
      <x:c r="J930" s="9" t="n">
        <x:f>IF(AND(B930&lt;&gt;"",ISNUMBER('Input_Meci'!G83)),INT('Input_Meci'!G83),0)</x:f>
        <x:v>0</x:v>
      </x:c>
      <x:c r="K930" s="2" t="n">
        <x:f>IF(OR(B930="",F930=""),0,IF(H930="HOME",COUNTIFS('Istoric_Nativ'!$B$6:$B$405,E930,'Istoric_Nativ'!$C$6:$C$405,F930,'Istoric_Nativ'!$E$6:$E$405,G930,'Istoric_Nativ'!$D$6:$D$405,"&lt;"&amp;J930,'Istoric_Nativ'!$P$6:$P$405,1),IF(H930="AWAY",COUNTIFS('Istoric_Nativ'!$B$6:$B$405,E930,'Istoric_Nativ'!$C$6:$C$405,F930,'Istoric_Nativ'!$F$6:$F$405,G930,'Istoric_Nativ'!$D$6:$D$405,"&lt;"&amp;J930,'Istoric_Nativ'!$P$6:$P$405,1),COUNTIFS('Istoric_Nativ'!$B$6:$B$405,E930,'Istoric_Nativ'!$C$6:$C$405,F930,'Istoric_Nativ'!$E$6:$E$405,G930,'Istoric_Nativ'!$D$6:$D$405,"&lt;"&amp;J930,'Istoric_Nativ'!$P$6:$P$405,1)+COUNTIFS('Istoric_Nativ'!$B$6:$B$405,E930,'Istoric_Nativ'!$C$6:$C$405,F930,'Istoric_Nativ'!$F$6:$F$405,G930,'Istoric_Nativ'!$D$6:$D$405,"&lt;"&amp;J930,'Istoric_Nativ'!$P$6:$P$405,1))))</x:f>
        <x:v>0</x:v>
      </x:c>
      <x:c r="L930" s="17" t="n">
        <x:f>IF(AND(B930&lt;&gt;"",I930="RECENT",K930&gt;0),LARGE(_xlfn._xlws.FILTER('Istoric_Nativ'!$D$6:$D$405,('Istoric_Nativ'!$B$6:$B$405=E930)*('Istoric_Nativ'!$C$6:$C$405=F930)*('Istoric_Nativ'!$P$6:$P$405=1)*('Istoric_Nativ'!$D$6:$D$405&lt;J930)*((('Istoric_Nativ'!$E$6:$E$405=G930)+('Istoric_Nativ'!$F$6:$F$405=G930))&gt;0)),MIN('Config_v6'!$B$54,K930)),0)</x:f>
        <x:v>0</x:v>
      </x:c>
      <x:c r="M930" s="2" t="n">
        <x:f>IF(OR(B930="",F930=""),0,IF(H930="HOME",COUNTIFS('Istoric_Nativ'!$B$6:$B$405,E930,'Istoric_Nativ'!$C$6:$C$405,F930,'Istoric_Nativ'!$E$6:$E$405,G930,'Istoric_Nativ'!$D$6:$D$405,"&lt;"&amp;J930,'Istoric_Nativ'!$P$6:$P$405,1,'Istoric_Nativ'!$D$6:$D$405,"&gt;="&amp;L930),IF(H930="AWAY",COUNTIFS('Istoric_Nativ'!$B$6:$B$405,E930,'Istoric_Nativ'!$C$6:$C$405,F930,'Istoric_Nativ'!$F$6:$F$405,G930,'Istoric_Nativ'!$D$6:$D$405,"&lt;"&amp;J930,'Istoric_Nativ'!$P$6:$P$405,1,'Istoric_Nativ'!$D$6:$D$405,"&gt;="&amp;L930),COUNTIFS('Istoric_Nativ'!$B$6:$B$405,E930,'Istoric_Nativ'!$C$6:$C$405,F930,'Istoric_Nativ'!$E$6:$E$405,G930,'Istoric_Nativ'!$D$6:$D$405,"&lt;"&amp;J930,'Istoric_Nativ'!$P$6:$P$405,1,'Istoric_Nativ'!$D$6:$D$405,"&gt;="&amp;L930)+COUNTIFS('Istoric_Nativ'!$B$6:$B$405,E930,'Istoric_Nativ'!$C$6:$C$405,F930,'Istoric_Nativ'!$F$6:$F$405,G930,'Istoric_Nativ'!$D$6:$D$405,"&lt;"&amp;J930,'Istoric_Nativ'!$P$6:$P$405,1,'Istoric_Nativ'!$D$6:$D$405,"&gt;="&amp;L930))))</x:f>
        <x:v>0</x:v>
      </x:c>
      <x:c r="N930" s="11" t="str">
        <x:f>IF(M930=0,"",IF(H930="HOME",SUMIFS('Istoric_Nativ'!$G$6:$G$405,'Istoric_Nativ'!$B$6:$B$405,E930,'Istoric_Nativ'!$C$6:$C$405,F930,'Istoric_Nativ'!$E$6:$E$405,G930,'Istoric_Nativ'!$D$6:$D$405,"&lt;"&amp;J930,'Istoric_Nativ'!$P$6:$P$405,1,'Istoric_Nativ'!$D$6:$D$405,"&gt;="&amp;L930),IF(H930="AWAY",SUMIFS('Istoric_Nativ'!$H$6:$H$405,'Istoric_Nativ'!$B$6:$B$405,E930,'Istoric_Nativ'!$C$6:$C$405,F930,'Istoric_Nativ'!$F$6:$F$405,G930,'Istoric_Nativ'!$D$6:$D$405,"&lt;"&amp;J930,'Istoric_Nativ'!$P$6:$P$405,1,'Istoric_Nativ'!$D$6:$D$405,"&gt;="&amp;L930),SUMIFS('Istoric_Nativ'!$G$6:$G$405,'Istoric_Nativ'!$B$6:$B$405,E930,'Istoric_Nativ'!$C$6:$C$405,F930,'Istoric_Nativ'!$E$6:$E$405,G930,'Istoric_Nativ'!$D$6:$D$405,"&lt;"&amp;J930,'Istoric_Nativ'!$P$6:$P$405,1,'Istoric_Nativ'!$D$6:$D$405,"&gt;="&amp;L930)+SUMIFS('Istoric_Nativ'!$H$6:$H$405,'Istoric_Nativ'!$B$6:$B$405,E930,'Istoric_Nativ'!$C$6:$C$405,F930,'Istoric_Nativ'!$F$6:$F$405,G930,'Istoric_Nativ'!$D$6:$D$405,"&lt;"&amp;J930,'Istoric_Nativ'!$P$6:$P$405,1,'Istoric_Nativ'!$D$6:$D$405,"&gt;="&amp;L930)))/M930)</x:f>
      </x:c>
      <x:c r="O930" s="11" t="str">
        <x:f>IF(M930=0,"",IF(H930="HOME",SUMIFS('Istoric_Nativ'!$H$6:$H$405,'Istoric_Nativ'!$B$6:$B$405,E930,'Istoric_Nativ'!$C$6:$C$405,F930,'Istoric_Nativ'!$E$6:$E$405,G930,'Istoric_Nativ'!$D$6:$D$405,"&lt;"&amp;J930,'Istoric_Nativ'!$P$6:$P$405,1,'Istoric_Nativ'!$D$6:$D$405,"&gt;="&amp;L930),IF(H930="AWAY",SUMIFS('Istoric_Nativ'!$G$6:$G$405,'Istoric_Nativ'!$B$6:$B$405,E930,'Istoric_Nativ'!$C$6:$C$405,F930,'Istoric_Nativ'!$F$6:$F$405,G930,'Istoric_Nativ'!$D$6:$D$405,"&lt;"&amp;J930,'Istoric_Nativ'!$P$6:$P$405,1,'Istoric_Nativ'!$D$6:$D$405,"&gt;="&amp;L930),SUMIFS('Istoric_Nativ'!$H$6:$H$405,'Istoric_Nativ'!$B$6:$B$405,E930,'Istoric_Nativ'!$C$6:$C$405,F930,'Istoric_Nativ'!$E$6:$E$405,G930,'Istoric_Nativ'!$D$6:$D$405,"&lt;"&amp;J930,'Istoric_Nativ'!$P$6:$P$405,1,'Istoric_Nativ'!$D$6:$D$405,"&gt;="&amp;L930)+SUMIFS('Istoric_Nativ'!$G$6:$G$405,'Istoric_Nativ'!$B$6:$B$405,E930,'Istoric_Nativ'!$C$6:$C$405,F930,'Istoric_Nativ'!$F$6:$F$405,G930,'Istoric_Nativ'!$D$6:$D$405,"&lt;"&amp;J930,'Istoric_Nativ'!$P$6:$P$405,1,'Istoric_Nativ'!$D$6:$D$405,"&gt;="&amp;L930)))/M930)</x:f>
      </x:c>
      <x:c r="P930" s="2" t="n">
        <x:f>'Config_v6'!$B$7</x:f>
        <x:v>10</x:v>
      </x:c>
      <x:c r="Q930" s="2" t="n">
        <x:f>IF(OR(B930="",F930=""),0,IFERROR(MATCH(E930&amp;"|"&amp;F930,SourceTable[Source_Key],0),0))</x:f>
        <x:v>0</x:v>
      </x:c>
      <x:c r="R930" s="2" t="str">
        <x:f>IF(B930="","",IF(F930="","UNUSED",IF(Q930=0,"NOT CHECKED",IF(COUNTIF(SourceTable[Source_Key],E930&amp;"|"&amp;F930)&lt;&gt;1,"SOURCE CONFLICT",IF(NOT(OR(INDEX(SourceTable[Status],MAX(1,Q930))="IMPORTED",INDEX(SourceTable[Status],MAX(1,Q930))="PARTIAL",INDEX(SourceTable[Status],MAX(1,Q930))="SOURCE CONFLICT")),"ACCESS BLOCKED",IF(OR(INDEX(SourceTable[Coverage],Q930)&lt;&gt;"FULL SEASON EXPORT",INDEX(SourceTable[URL],Q930)="",INDEX(SourceTable[SHA256],Q930)=""),"EVIDENCE INCOMPLETE",IF(AND('Input_Meci'!H83="LIVE",INDEX(SourceTable[Retrieved_UTC],Q930)&gt;'Input_Meci'!G83),"POST CUTOFF","CLOSED")))))))</x:f>
      </x:c>
      <x:c r="S930" s="2" t="n">
        <x:f>IF(OR(B930="",F930=""),0,COUNTIFS('Istoric_Nativ'!$B$6:$B$405,E930,'Istoric_Nativ'!$C$6:$C$405,F930,'Istoric_Nativ'!$E$6:$E$405,G930,'Istoric_Nativ'!$D$6:$D$405,"&lt;"&amp;J930,'Istoric_Nativ'!$O$6:$O$405,"INVALID")+COUNTIFS('Istoric_Nativ'!$B$6:$B$405,E930,'Istoric_Nativ'!$C$6:$C$405,F930,'Istoric_Nativ'!$E$6:$E$405,G930,'Istoric_Nativ'!$O$6:$O$405,"INVALID",'Istoric_Nativ'!$D$6:$D$405,"*")+COUNTIFS('Istoric_Nativ'!$B$6:$B$405,E930,'Istoric_Nativ'!$C$6:$C$405,F930,'Istoric_Nativ'!$E$6:$E$405,G930,'Istoric_Nativ'!$D$6:$D$405,"&lt;"&amp;J930,'Istoric_Nativ'!$O$6:$O$405,"SOURCE CONFLICT")+COUNTIFS('Istoric_Nativ'!$B$6:$B$405,E930,'Istoric_Nativ'!$C$6:$C$405,F930,'Istoric_Nativ'!$F$6:$F$405,G930,'Istoric_Nativ'!$D$6:$D$405,"&lt;"&amp;J930,'Istoric_Nativ'!$O$6:$O$405,"INVALID")+COUNTIFS('Istoric_Nativ'!$B$6:$B$405,E930,'Istoric_Nativ'!$C$6:$C$405,F930,'Istoric_Nativ'!$F$6:$F$405,G930,'Istoric_Nativ'!$O$6:$O$405,"INVALID",'Istoric_Nativ'!$D$6:$D$405,"*")+COUNTIFS('Istoric_Nativ'!$B$6:$B$405,E930,'Istoric_Nativ'!$C$6:$C$405,F930,'Istoric_Nativ'!$F$6:$F$405,G930,'Istoric_Nativ'!$D$6:$D$405,"&lt;"&amp;J930,'Istoric_Nativ'!$O$6:$O$405,"SOURCE CONFLICT"))</x:f>
        <x:v>0</x:v>
      </x:c>
      <x:c r="T930" s="2" t="str">
        <x:f>IF(B930="","",IF(R930&lt;&gt;"CLOSED",R930,IF(S930&gt;0,"NATIVE INPUT ISSUE",IF(M930=0,"NO HISTORY",IF(M930&lt;P930,"SMALL SAMPLE","DERIVED")))))</x:f>
      </x:c>
      <x:c r="U930" s="2" t="str">
        <x:f>IF(B930="","","NativeTable; "&amp;E930&amp;"; "&amp;F930&amp;"; "&amp;G930&amp;"; "&amp;H930&amp;"; before "&amp;TEXT(J930,"yyyy-mm-dd")&amp;IF(I930="RECENT","; from "&amp;TEXT(L930,"yyyy-mm-dd"),""))</x:f>
      </x:c>
    </x:row>
    <x:row r="931" ht="21" customHeight="1">
      <x:c r="A931" s="2" t="n">
        <x:v>78</x:v>
      </x:c>
      <x:c r="B931" s="2" t="str">
        <x:f>IF('Input_Meci'!A83="","",'Input_Meci'!A83)</x:f>
      </x:c>
      <x:c r="C931" s="2" t="str">
        <x:v>H</x:v>
      </x:c>
      <x:c r="D931" s="2" t="str">
        <x:v>CURRENT</x:v>
      </x:c>
      <x:c r="E931" s="2" t="str">
        <x:f>IF(B931="","",'Input_Meci'!B83)</x:f>
      </x:c>
      <x:c r="F931" s="2" t="str">
        <x:f>IF(B931="","",IF('Input_Meci'!C83="","",'Input_Meci'!C83))</x:f>
      </x:c>
      <x:c r="G931" s="2" t="str">
        <x:f>IF(B931="","",'Input_Meci'!D83)</x:f>
      </x:c>
      <x:c r="H931" s="2" t="str">
        <x:v>HOME</x:v>
      </x:c>
      <x:c r="I931" s="2" t="str">
        <x:v>HA</x:v>
      </x:c>
      <x:c r="J931" s="9" t="n">
        <x:f>IF(AND(B931&lt;&gt;"",ISNUMBER('Input_Meci'!G83)),INT('Input_Meci'!G83),0)</x:f>
        <x:v>0</x:v>
      </x:c>
      <x:c r="K931" s="2" t="n">
        <x:f>IF(OR(B931="",F931=""),0,IF(H931="HOME",COUNTIFS('Istoric_Nativ'!$B$6:$B$405,E931,'Istoric_Nativ'!$C$6:$C$405,F931,'Istoric_Nativ'!$E$6:$E$405,G931,'Istoric_Nativ'!$D$6:$D$405,"&lt;"&amp;J931,'Istoric_Nativ'!$P$6:$P$405,1),IF(H931="AWAY",COUNTIFS('Istoric_Nativ'!$B$6:$B$405,E931,'Istoric_Nativ'!$C$6:$C$405,F931,'Istoric_Nativ'!$F$6:$F$405,G931,'Istoric_Nativ'!$D$6:$D$405,"&lt;"&amp;J931,'Istoric_Nativ'!$P$6:$P$405,1),COUNTIFS('Istoric_Nativ'!$B$6:$B$405,E931,'Istoric_Nativ'!$C$6:$C$405,F931,'Istoric_Nativ'!$E$6:$E$405,G931,'Istoric_Nativ'!$D$6:$D$405,"&lt;"&amp;J931,'Istoric_Nativ'!$P$6:$P$405,1)+COUNTIFS('Istoric_Nativ'!$B$6:$B$405,E931,'Istoric_Nativ'!$C$6:$C$405,F931,'Istoric_Nativ'!$F$6:$F$405,G931,'Istoric_Nativ'!$D$6:$D$405,"&lt;"&amp;J931,'Istoric_Nativ'!$P$6:$P$405,1))))</x:f>
        <x:v>0</x:v>
      </x:c>
      <x:c r="L931" s="17" t="n">
        <x:f>IF(AND(B931&lt;&gt;"",I931="RECENT",K931&gt;0),LARGE(_xlfn._xlws.FILTER('Istoric_Nativ'!$D$6:$D$405,('Istoric_Nativ'!$B$6:$B$405=E931)*('Istoric_Nativ'!$C$6:$C$405=F931)*('Istoric_Nativ'!$P$6:$P$405=1)*('Istoric_Nativ'!$D$6:$D$405&lt;J931)*((('Istoric_Nativ'!$E$6:$E$405=G931)+('Istoric_Nativ'!$F$6:$F$405=G931))&gt;0)),MIN('Config_v6'!$B$54,K931)),0)</x:f>
        <x:v>0</x:v>
      </x:c>
      <x:c r="M931" s="2" t="n">
        <x:f>IF(OR(B931="",F931=""),0,IF(H931="HOME",COUNTIFS('Istoric_Nativ'!$B$6:$B$405,E931,'Istoric_Nativ'!$C$6:$C$405,F931,'Istoric_Nativ'!$E$6:$E$405,G931,'Istoric_Nativ'!$D$6:$D$405,"&lt;"&amp;J931,'Istoric_Nativ'!$P$6:$P$405,1,'Istoric_Nativ'!$D$6:$D$405,"&gt;="&amp;L931),IF(H931="AWAY",COUNTIFS('Istoric_Nativ'!$B$6:$B$405,E931,'Istoric_Nativ'!$C$6:$C$405,F931,'Istoric_Nativ'!$F$6:$F$405,G931,'Istoric_Nativ'!$D$6:$D$405,"&lt;"&amp;J931,'Istoric_Nativ'!$P$6:$P$405,1,'Istoric_Nativ'!$D$6:$D$405,"&gt;="&amp;L931),COUNTIFS('Istoric_Nativ'!$B$6:$B$405,E931,'Istoric_Nativ'!$C$6:$C$405,F931,'Istoric_Nativ'!$E$6:$E$405,G931,'Istoric_Nativ'!$D$6:$D$405,"&lt;"&amp;J931,'Istoric_Nativ'!$P$6:$P$405,1,'Istoric_Nativ'!$D$6:$D$405,"&gt;="&amp;L931)+COUNTIFS('Istoric_Nativ'!$B$6:$B$405,E931,'Istoric_Nativ'!$C$6:$C$405,F931,'Istoric_Nativ'!$F$6:$F$405,G931,'Istoric_Nativ'!$D$6:$D$405,"&lt;"&amp;J931,'Istoric_Nativ'!$P$6:$P$405,1,'Istoric_Nativ'!$D$6:$D$405,"&gt;="&amp;L931))))</x:f>
        <x:v>0</x:v>
      </x:c>
      <x:c r="N931" s="11" t="str">
        <x:f>IF(M931=0,"",IF(H931="HOME",SUMIFS('Istoric_Nativ'!$G$6:$G$405,'Istoric_Nativ'!$B$6:$B$405,E931,'Istoric_Nativ'!$C$6:$C$405,F931,'Istoric_Nativ'!$E$6:$E$405,G931,'Istoric_Nativ'!$D$6:$D$405,"&lt;"&amp;J931,'Istoric_Nativ'!$P$6:$P$405,1,'Istoric_Nativ'!$D$6:$D$405,"&gt;="&amp;L931),IF(H931="AWAY",SUMIFS('Istoric_Nativ'!$H$6:$H$405,'Istoric_Nativ'!$B$6:$B$405,E931,'Istoric_Nativ'!$C$6:$C$405,F931,'Istoric_Nativ'!$F$6:$F$405,G931,'Istoric_Nativ'!$D$6:$D$405,"&lt;"&amp;J931,'Istoric_Nativ'!$P$6:$P$405,1,'Istoric_Nativ'!$D$6:$D$405,"&gt;="&amp;L931),SUMIFS('Istoric_Nativ'!$G$6:$G$405,'Istoric_Nativ'!$B$6:$B$405,E931,'Istoric_Nativ'!$C$6:$C$405,F931,'Istoric_Nativ'!$E$6:$E$405,G931,'Istoric_Nativ'!$D$6:$D$405,"&lt;"&amp;J931,'Istoric_Nativ'!$P$6:$P$405,1,'Istoric_Nativ'!$D$6:$D$405,"&gt;="&amp;L931)+SUMIFS('Istoric_Nativ'!$H$6:$H$405,'Istoric_Nativ'!$B$6:$B$405,E931,'Istoric_Nativ'!$C$6:$C$405,F931,'Istoric_Nativ'!$F$6:$F$405,G931,'Istoric_Nativ'!$D$6:$D$405,"&lt;"&amp;J931,'Istoric_Nativ'!$P$6:$P$405,1,'Istoric_Nativ'!$D$6:$D$405,"&gt;="&amp;L931)))/M931)</x:f>
      </x:c>
      <x:c r="O931" s="11" t="str">
        <x:f>IF(M931=0,"",IF(H931="HOME",SUMIFS('Istoric_Nativ'!$H$6:$H$405,'Istoric_Nativ'!$B$6:$B$405,E931,'Istoric_Nativ'!$C$6:$C$405,F931,'Istoric_Nativ'!$E$6:$E$405,G931,'Istoric_Nativ'!$D$6:$D$405,"&lt;"&amp;J931,'Istoric_Nativ'!$P$6:$P$405,1,'Istoric_Nativ'!$D$6:$D$405,"&gt;="&amp;L931),IF(H931="AWAY",SUMIFS('Istoric_Nativ'!$G$6:$G$405,'Istoric_Nativ'!$B$6:$B$405,E931,'Istoric_Nativ'!$C$6:$C$405,F931,'Istoric_Nativ'!$F$6:$F$405,G931,'Istoric_Nativ'!$D$6:$D$405,"&lt;"&amp;J931,'Istoric_Nativ'!$P$6:$P$405,1,'Istoric_Nativ'!$D$6:$D$405,"&gt;="&amp;L931),SUMIFS('Istoric_Nativ'!$H$6:$H$405,'Istoric_Nativ'!$B$6:$B$405,E931,'Istoric_Nativ'!$C$6:$C$405,F931,'Istoric_Nativ'!$E$6:$E$405,G931,'Istoric_Nativ'!$D$6:$D$405,"&lt;"&amp;J931,'Istoric_Nativ'!$P$6:$P$405,1,'Istoric_Nativ'!$D$6:$D$405,"&gt;="&amp;L931)+SUMIFS('Istoric_Nativ'!$G$6:$G$405,'Istoric_Nativ'!$B$6:$B$405,E931,'Istoric_Nativ'!$C$6:$C$405,F931,'Istoric_Nativ'!$F$6:$F$405,G931,'Istoric_Nativ'!$D$6:$D$405,"&lt;"&amp;J931,'Istoric_Nativ'!$P$6:$P$405,1,'Istoric_Nativ'!$D$6:$D$405,"&gt;="&amp;L931)))/M931)</x:f>
      </x:c>
      <x:c r="P931" s="2" t="n">
        <x:f>'Config_v6'!$B$8</x:f>
        <x:v>5</x:v>
      </x:c>
      <x:c r="Q931" s="2" t="n">
        <x:f>IF(OR(B931="",F931=""),0,IFERROR(MATCH(E931&amp;"|"&amp;F931,SourceTable[Source_Key],0),0))</x:f>
        <x:v>0</x:v>
      </x:c>
      <x:c r="R931" s="2" t="str">
        <x:f>IF(B931="","",IF(F931="","UNUSED",IF(Q931=0,"NOT CHECKED",IF(COUNTIF(SourceTable[Source_Key],E931&amp;"|"&amp;F931)&lt;&gt;1,"SOURCE CONFLICT",IF(NOT(OR(INDEX(SourceTable[Status],MAX(1,Q931))="IMPORTED",INDEX(SourceTable[Status],MAX(1,Q931))="PARTIAL",INDEX(SourceTable[Status],MAX(1,Q931))="SOURCE CONFLICT")),"ACCESS BLOCKED",IF(OR(INDEX(SourceTable[Coverage],Q931)&lt;&gt;"FULL SEASON EXPORT",INDEX(SourceTable[URL],Q931)="",INDEX(SourceTable[SHA256],Q931)=""),"EVIDENCE INCOMPLETE",IF(AND('Input_Meci'!H83="LIVE",INDEX(SourceTable[Retrieved_UTC],Q931)&gt;'Input_Meci'!G83),"POST CUTOFF","CLOSED")))))))</x:f>
      </x:c>
      <x:c r="S931" s="2" t="n">
        <x:f>IF(OR(B931="",F931=""),0,COUNTIFS('Istoric_Nativ'!$B$6:$B$405,E931,'Istoric_Nativ'!$C$6:$C$405,F931,'Istoric_Nativ'!$E$6:$E$405,G931,'Istoric_Nativ'!$D$6:$D$405,"&lt;"&amp;J931,'Istoric_Nativ'!$O$6:$O$405,"INVALID")+COUNTIFS('Istoric_Nativ'!$B$6:$B$405,E931,'Istoric_Nativ'!$C$6:$C$405,F931,'Istoric_Nativ'!$E$6:$E$405,G931,'Istoric_Nativ'!$O$6:$O$405,"INVALID",'Istoric_Nativ'!$D$6:$D$405,"*")+COUNTIFS('Istoric_Nativ'!$B$6:$B$405,E931,'Istoric_Nativ'!$C$6:$C$405,F931,'Istoric_Nativ'!$E$6:$E$405,G931,'Istoric_Nativ'!$D$6:$D$405,"&lt;"&amp;J931,'Istoric_Nativ'!$O$6:$O$405,"SOURCE CONFLICT")+COUNTIFS('Istoric_Nativ'!$B$6:$B$405,E931,'Istoric_Nativ'!$C$6:$C$405,F931,'Istoric_Nativ'!$F$6:$F$405,G931,'Istoric_Nativ'!$D$6:$D$405,"&lt;"&amp;J931,'Istoric_Nativ'!$O$6:$O$405,"INVALID")+COUNTIFS('Istoric_Nativ'!$B$6:$B$405,E931,'Istoric_Nativ'!$C$6:$C$405,F931,'Istoric_Nativ'!$F$6:$F$405,G931,'Istoric_Nativ'!$O$6:$O$405,"INVALID",'Istoric_Nativ'!$D$6:$D$405,"*")+COUNTIFS('Istoric_Nativ'!$B$6:$B$405,E931,'Istoric_Nativ'!$C$6:$C$405,F931,'Istoric_Nativ'!$F$6:$F$405,G931,'Istoric_Nativ'!$D$6:$D$405,"&lt;"&amp;J931,'Istoric_Nativ'!$O$6:$O$405,"SOURCE CONFLICT"))</x:f>
        <x:v>0</x:v>
      </x:c>
      <x:c r="T931" s="2" t="str">
        <x:f>IF(B931="","",IF(R931&lt;&gt;"CLOSED",R931,IF(S931&gt;0,"NATIVE INPUT ISSUE",IF(M931=0,"NO HISTORY",IF(M931&lt;P931,"SMALL SAMPLE","DERIVED")))))</x:f>
      </x:c>
      <x:c r="U931" s="2" t="str">
        <x:f>IF(B931="","","NativeTable; "&amp;E931&amp;"; "&amp;F931&amp;"; "&amp;G931&amp;"; "&amp;H931&amp;"; before "&amp;TEXT(J931,"yyyy-mm-dd")&amp;IF(I931="RECENT","; from "&amp;TEXT(L931,"yyyy-mm-dd"),""))</x:f>
      </x:c>
    </x:row>
    <x:row r="932" ht="21" customHeight="1">
      <x:c r="A932" s="2" t="n">
        <x:v>78</x:v>
      </x:c>
      <x:c r="B932" s="2" t="str">
        <x:f>IF('Input_Meci'!A83="","",'Input_Meci'!A83)</x:f>
      </x:c>
      <x:c r="C932" s="2" t="str">
        <x:v>H</x:v>
      </x:c>
      <x:c r="D932" s="2" t="str">
        <x:v>CURRENT</x:v>
      </x:c>
      <x:c r="E932" s="2" t="str">
        <x:f>IF(B932="","",'Input_Meci'!B83)</x:f>
      </x:c>
      <x:c r="F932" s="2" t="str">
        <x:f>IF(B932="","",IF('Input_Meci'!C83="","",'Input_Meci'!C83))</x:f>
      </x:c>
      <x:c r="G932" s="2" t="str">
        <x:f>IF(B932="","",'Input_Meci'!D83)</x:f>
      </x:c>
      <x:c r="H932" s="2" t="str">
        <x:v>ANY</x:v>
      </x:c>
      <x:c r="I932" s="2" t="str">
        <x:v>RECENT</x:v>
      </x:c>
      <x:c r="J932" s="9" t="n">
        <x:f>IF(AND(B932&lt;&gt;"",ISNUMBER('Input_Meci'!G83)),INT('Input_Meci'!G83),0)</x:f>
        <x:v>0</x:v>
      </x:c>
      <x:c r="K932" s="2" t="n">
        <x:f>IF(OR(B932="",F932=""),0,IF(H932="HOME",COUNTIFS('Istoric_Nativ'!$B$6:$B$405,E932,'Istoric_Nativ'!$C$6:$C$405,F932,'Istoric_Nativ'!$E$6:$E$405,G932,'Istoric_Nativ'!$D$6:$D$405,"&lt;"&amp;J932,'Istoric_Nativ'!$P$6:$P$405,1),IF(H932="AWAY",COUNTIFS('Istoric_Nativ'!$B$6:$B$405,E932,'Istoric_Nativ'!$C$6:$C$405,F932,'Istoric_Nativ'!$F$6:$F$405,G932,'Istoric_Nativ'!$D$6:$D$405,"&lt;"&amp;J932,'Istoric_Nativ'!$P$6:$P$405,1),COUNTIFS('Istoric_Nativ'!$B$6:$B$405,E932,'Istoric_Nativ'!$C$6:$C$405,F932,'Istoric_Nativ'!$E$6:$E$405,G932,'Istoric_Nativ'!$D$6:$D$405,"&lt;"&amp;J932,'Istoric_Nativ'!$P$6:$P$405,1)+COUNTIFS('Istoric_Nativ'!$B$6:$B$405,E932,'Istoric_Nativ'!$C$6:$C$405,F932,'Istoric_Nativ'!$F$6:$F$405,G932,'Istoric_Nativ'!$D$6:$D$405,"&lt;"&amp;J932,'Istoric_Nativ'!$P$6:$P$405,1))))</x:f>
        <x:v>0</x:v>
      </x:c>
      <x:c r="L932" s="17" t="n">
        <x:f>IF(AND(B932&lt;&gt;"",I932="RECENT",K932&gt;0),LARGE(_xlfn._xlws.FILTER('Istoric_Nativ'!$D$6:$D$405,('Istoric_Nativ'!$B$6:$B$405=E932)*('Istoric_Nativ'!$C$6:$C$405=F932)*('Istoric_Nativ'!$P$6:$P$405=1)*('Istoric_Nativ'!$D$6:$D$405&lt;J932)*((('Istoric_Nativ'!$E$6:$E$405=G932)+('Istoric_Nativ'!$F$6:$F$405=G932))&gt;0)),MIN('Config_v6'!$B$54,K932)),0)</x:f>
        <x:v>0</x:v>
      </x:c>
      <x:c r="M932" s="2" t="n">
        <x:f>IF(OR(B932="",F932=""),0,IF(H932="HOME",COUNTIFS('Istoric_Nativ'!$B$6:$B$405,E932,'Istoric_Nativ'!$C$6:$C$405,F932,'Istoric_Nativ'!$E$6:$E$405,G932,'Istoric_Nativ'!$D$6:$D$405,"&lt;"&amp;J932,'Istoric_Nativ'!$P$6:$P$405,1,'Istoric_Nativ'!$D$6:$D$405,"&gt;="&amp;L932),IF(H932="AWAY",COUNTIFS('Istoric_Nativ'!$B$6:$B$405,E932,'Istoric_Nativ'!$C$6:$C$405,F932,'Istoric_Nativ'!$F$6:$F$405,G932,'Istoric_Nativ'!$D$6:$D$405,"&lt;"&amp;J932,'Istoric_Nativ'!$P$6:$P$405,1,'Istoric_Nativ'!$D$6:$D$405,"&gt;="&amp;L932),COUNTIFS('Istoric_Nativ'!$B$6:$B$405,E932,'Istoric_Nativ'!$C$6:$C$405,F932,'Istoric_Nativ'!$E$6:$E$405,G932,'Istoric_Nativ'!$D$6:$D$405,"&lt;"&amp;J932,'Istoric_Nativ'!$P$6:$P$405,1,'Istoric_Nativ'!$D$6:$D$405,"&gt;="&amp;L932)+COUNTIFS('Istoric_Nativ'!$B$6:$B$405,E932,'Istoric_Nativ'!$C$6:$C$405,F932,'Istoric_Nativ'!$F$6:$F$405,G932,'Istoric_Nativ'!$D$6:$D$405,"&lt;"&amp;J932,'Istoric_Nativ'!$P$6:$P$405,1,'Istoric_Nativ'!$D$6:$D$405,"&gt;="&amp;L932))))</x:f>
        <x:v>0</x:v>
      </x:c>
      <x:c r="N932" s="11" t="str">
        <x:f>IF(M932=0,"",IF(H932="HOME",SUMIFS('Istoric_Nativ'!$G$6:$G$405,'Istoric_Nativ'!$B$6:$B$405,E932,'Istoric_Nativ'!$C$6:$C$405,F932,'Istoric_Nativ'!$E$6:$E$405,G932,'Istoric_Nativ'!$D$6:$D$405,"&lt;"&amp;J932,'Istoric_Nativ'!$P$6:$P$405,1,'Istoric_Nativ'!$D$6:$D$405,"&gt;="&amp;L932),IF(H932="AWAY",SUMIFS('Istoric_Nativ'!$H$6:$H$405,'Istoric_Nativ'!$B$6:$B$405,E932,'Istoric_Nativ'!$C$6:$C$405,F932,'Istoric_Nativ'!$F$6:$F$405,G932,'Istoric_Nativ'!$D$6:$D$405,"&lt;"&amp;J932,'Istoric_Nativ'!$P$6:$P$405,1,'Istoric_Nativ'!$D$6:$D$405,"&gt;="&amp;L932),SUMIFS('Istoric_Nativ'!$G$6:$G$405,'Istoric_Nativ'!$B$6:$B$405,E932,'Istoric_Nativ'!$C$6:$C$405,F932,'Istoric_Nativ'!$E$6:$E$405,G932,'Istoric_Nativ'!$D$6:$D$405,"&lt;"&amp;J932,'Istoric_Nativ'!$P$6:$P$405,1,'Istoric_Nativ'!$D$6:$D$405,"&gt;="&amp;L932)+SUMIFS('Istoric_Nativ'!$H$6:$H$405,'Istoric_Nativ'!$B$6:$B$405,E932,'Istoric_Nativ'!$C$6:$C$405,F932,'Istoric_Nativ'!$F$6:$F$405,G932,'Istoric_Nativ'!$D$6:$D$405,"&lt;"&amp;J932,'Istoric_Nativ'!$P$6:$P$405,1,'Istoric_Nativ'!$D$6:$D$405,"&gt;="&amp;L932)))/M932)</x:f>
      </x:c>
      <x:c r="O932" s="11" t="str">
        <x:f>IF(M932=0,"",IF(H932="HOME",SUMIFS('Istoric_Nativ'!$H$6:$H$405,'Istoric_Nativ'!$B$6:$B$405,E932,'Istoric_Nativ'!$C$6:$C$405,F932,'Istoric_Nativ'!$E$6:$E$405,G932,'Istoric_Nativ'!$D$6:$D$405,"&lt;"&amp;J932,'Istoric_Nativ'!$P$6:$P$405,1,'Istoric_Nativ'!$D$6:$D$405,"&gt;="&amp;L932),IF(H932="AWAY",SUMIFS('Istoric_Nativ'!$G$6:$G$405,'Istoric_Nativ'!$B$6:$B$405,E932,'Istoric_Nativ'!$C$6:$C$405,F932,'Istoric_Nativ'!$F$6:$F$405,G932,'Istoric_Nativ'!$D$6:$D$405,"&lt;"&amp;J932,'Istoric_Nativ'!$P$6:$P$405,1,'Istoric_Nativ'!$D$6:$D$405,"&gt;="&amp;L932),SUMIFS('Istoric_Nativ'!$H$6:$H$405,'Istoric_Nativ'!$B$6:$B$405,E932,'Istoric_Nativ'!$C$6:$C$405,F932,'Istoric_Nativ'!$E$6:$E$405,G932,'Istoric_Nativ'!$D$6:$D$405,"&lt;"&amp;J932,'Istoric_Nativ'!$P$6:$P$405,1,'Istoric_Nativ'!$D$6:$D$405,"&gt;="&amp;L932)+SUMIFS('Istoric_Nativ'!$G$6:$G$405,'Istoric_Nativ'!$B$6:$B$405,E932,'Istoric_Nativ'!$C$6:$C$405,F932,'Istoric_Nativ'!$F$6:$F$405,G932,'Istoric_Nativ'!$D$6:$D$405,"&lt;"&amp;J932,'Istoric_Nativ'!$P$6:$P$405,1,'Istoric_Nativ'!$D$6:$D$405,"&gt;="&amp;L932)))/M932)</x:f>
      </x:c>
      <x:c r="P932" s="2" t="n">
        <x:f>'Config_v6'!$B$9</x:f>
        <x:v>3</x:v>
      </x:c>
      <x:c r="Q932" s="2" t="n">
        <x:f>IF(OR(B932="",F932=""),0,IFERROR(MATCH(E932&amp;"|"&amp;F932,SourceTable[Source_Key],0),0))</x:f>
        <x:v>0</x:v>
      </x:c>
      <x:c r="R932" s="2" t="str">
        <x:f>IF(B932="","",IF(F932="","UNUSED",IF(Q932=0,"NOT CHECKED",IF(COUNTIF(SourceTable[Source_Key],E932&amp;"|"&amp;F932)&lt;&gt;1,"SOURCE CONFLICT",IF(NOT(OR(INDEX(SourceTable[Status],MAX(1,Q932))="IMPORTED",INDEX(SourceTable[Status],MAX(1,Q932))="PARTIAL",INDEX(SourceTable[Status],MAX(1,Q932))="SOURCE CONFLICT")),"ACCESS BLOCKED",IF(OR(INDEX(SourceTable[Coverage],Q932)&lt;&gt;"FULL SEASON EXPORT",INDEX(SourceTable[URL],Q932)="",INDEX(SourceTable[SHA256],Q932)=""),"EVIDENCE INCOMPLETE",IF(AND('Input_Meci'!H83="LIVE",INDEX(SourceTable[Retrieved_UTC],Q932)&gt;'Input_Meci'!G83),"POST CUTOFF","CLOSED")))))))</x:f>
      </x:c>
      <x:c r="S932" s="2" t="n">
        <x:f>IF(OR(B932="",F932=""),0,COUNTIFS('Istoric_Nativ'!$B$6:$B$405,E932,'Istoric_Nativ'!$C$6:$C$405,F932,'Istoric_Nativ'!$E$6:$E$405,G932,'Istoric_Nativ'!$D$6:$D$405,"&lt;"&amp;J932,'Istoric_Nativ'!$O$6:$O$405,"INVALID")+COUNTIFS('Istoric_Nativ'!$B$6:$B$405,E932,'Istoric_Nativ'!$C$6:$C$405,F932,'Istoric_Nativ'!$E$6:$E$405,G932,'Istoric_Nativ'!$O$6:$O$405,"INVALID",'Istoric_Nativ'!$D$6:$D$405,"*")+COUNTIFS('Istoric_Nativ'!$B$6:$B$405,E932,'Istoric_Nativ'!$C$6:$C$405,F932,'Istoric_Nativ'!$E$6:$E$405,G932,'Istoric_Nativ'!$D$6:$D$405,"&lt;"&amp;J932,'Istoric_Nativ'!$O$6:$O$405,"SOURCE CONFLICT")+COUNTIFS('Istoric_Nativ'!$B$6:$B$405,E932,'Istoric_Nativ'!$C$6:$C$405,F932,'Istoric_Nativ'!$F$6:$F$405,G932,'Istoric_Nativ'!$D$6:$D$405,"&lt;"&amp;J932,'Istoric_Nativ'!$O$6:$O$405,"INVALID")+COUNTIFS('Istoric_Nativ'!$B$6:$B$405,E932,'Istoric_Nativ'!$C$6:$C$405,F932,'Istoric_Nativ'!$F$6:$F$405,G932,'Istoric_Nativ'!$O$6:$O$405,"INVALID",'Istoric_Nativ'!$D$6:$D$405,"*")+COUNTIFS('Istoric_Nativ'!$B$6:$B$405,E932,'Istoric_Nativ'!$C$6:$C$405,F932,'Istoric_Nativ'!$F$6:$F$405,G932,'Istoric_Nativ'!$D$6:$D$405,"&lt;"&amp;J932,'Istoric_Nativ'!$O$6:$O$405,"SOURCE CONFLICT"))</x:f>
        <x:v>0</x:v>
      </x:c>
      <x:c r="T932" s="2" t="str">
        <x:f>IF(B932="","",IF(R932&lt;&gt;"CLOSED",R932,IF(S932&gt;0,"NATIVE INPUT ISSUE",IF(M932=0,"NO HISTORY",IF(M932&lt;P932,"SMALL SAMPLE","DERIVED")))))</x:f>
      </x:c>
      <x:c r="U932" s="2" t="str">
        <x:f>IF(B932="","","NativeTable; "&amp;E932&amp;"; "&amp;F932&amp;"; "&amp;G932&amp;"; "&amp;H932&amp;"; before "&amp;TEXT(J932,"yyyy-mm-dd")&amp;IF(I932="RECENT","; from "&amp;TEXT(L932,"yyyy-mm-dd"),""))</x:f>
      </x:c>
    </x:row>
    <x:row r="933" ht="21" customHeight="1">
      <x:c r="A933" s="2" t="n">
        <x:v>78</x:v>
      </x:c>
      <x:c r="B933" s="2" t="str">
        <x:f>IF('Input_Meci'!A83="","",'Input_Meci'!A83)</x:f>
      </x:c>
      <x:c r="C933" s="2" t="str">
        <x:v>A</x:v>
      </x:c>
      <x:c r="D933" s="2" t="str">
        <x:v>CURRENT</x:v>
      </x:c>
      <x:c r="E933" s="2" t="str">
        <x:f>IF(B933="","",'Input_Meci'!B83)</x:f>
      </x:c>
      <x:c r="F933" s="2" t="str">
        <x:f>IF(B933="","",IF('Input_Meci'!C83="","",'Input_Meci'!C83))</x:f>
      </x:c>
      <x:c r="G933" s="2" t="str">
        <x:f>IF(B933="","",'Input_Meci'!E83)</x:f>
      </x:c>
      <x:c r="H933" s="2" t="str">
        <x:v>ANY</x:v>
      </x:c>
      <x:c r="I933" s="2" t="str">
        <x:v>SEASON</x:v>
      </x:c>
      <x:c r="J933" s="9" t="n">
        <x:f>IF(AND(B933&lt;&gt;"",ISNUMBER('Input_Meci'!G83)),INT('Input_Meci'!G83),0)</x:f>
        <x:v>0</x:v>
      </x:c>
      <x:c r="K933" s="2" t="n">
        <x:f>IF(OR(B933="",F933=""),0,IF(H933="HOME",COUNTIFS('Istoric_Nativ'!$B$6:$B$405,E933,'Istoric_Nativ'!$C$6:$C$405,F933,'Istoric_Nativ'!$E$6:$E$405,G933,'Istoric_Nativ'!$D$6:$D$405,"&lt;"&amp;J933,'Istoric_Nativ'!$P$6:$P$405,1),IF(H933="AWAY",COUNTIFS('Istoric_Nativ'!$B$6:$B$405,E933,'Istoric_Nativ'!$C$6:$C$405,F933,'Istoric_Nativ'!$F$6:$F$405,G933,'Istoric_Nativ'!$D$6:$D$405,"&lt;"&amp;J933,'Istoric_Nativ'!$P$6:$P$405,1),COUNTIFS('Istoric_Nativ'!$B$6:$B$405,E933,'Istoric_Nativ'!$C$6:$C$405,F933,'Istoric_Nativ'!$E$6:$E$405,G933,'Istoric_Nativ'!$D$6:$D$405,"&lt;"&amp;J933,'Istoric_Nativ'!$P$6:$P$405,1)+COUNTIFS('Istoric_Nativ'!$B$6:$B$405,E933,'Istoric_Nativ'!$C$6:$C$405,F933,'Istoric_Nativ'!$F$6:$F$405,G933,'Istoric_Nativ'!$D$6:$D$405,"&lt;"&amp;J933,'Istoric_Nativ'!$P$6:$P$405,1))))</x:f>
        <x:v>0</x:v>
      </x:c>
      <x:c r="L933" s="17" t="n">
        <x:f>IF(AND(B933&lt;&gt;"",I933="RECENT",K933&gt;0),LARGE(_xlfn._xlws.FILTER('Istoric_Nativ'!$D$6:$D$405,('Istoric_Nativ'!$B$6:$B$405=E933)*('Istoric_Nativ'!$C$6:$C$405=F933)*('Istoric_Nativ'!$P$6:$P$405=1)*('Istoric_Nativ'!$D$6:$D$405&lt;J933)*((('Istoric_Nativ'!$E$6:$E$405=G933)+('Istoric_Nativ'!$F$6:$F$405=G933))&gt;0)),MIN('Config_v6'!$B$54,K933)),0)</x:f>
        <x:v>0</x:v>
      </x:c>
      <x:c r="M933" s="2" t="n">
        <x:f>IF(OR(B933="",F933=""),0,IF(H933="HOME",COUNTIFS('Istoric_Nativ'!$B$6:$B$405,E933,'Istoric_Nativ'!$C$6:$C$405,F933,'Istoric_Nativ'!$E$6:$E$405,G933,'Istoric_Nativ'!$D$6:$D$405,"&lt;"&amp;J933,'Istoric_Nativ'!$P$6:$P$405,1,'Istoric_Nativ'!$D$6:$D$405,"&gt;="&amp;L933),IF(H933="AWAY",COUNTIFS('Istoric_Nativ'!$B$6:$B$405,E933,'Istoric_Nativ'!$C$6:$C$405,F933,'Istoric_Nativ'!$F$6:$F$405,G933,'Istoric_Nativ'!$D$6:$D$405,"&lt;"&amp;J933,'Istoric_Nativ'!$P$6:$P$405,1,'Istoric_Nativ'!$D$6:$D$405,"&gt;="&amp;L933),COUNTIFS('Istoric_Nativ'!$B$6:$B$405,E933,'Istoric_Nativ'!$C$6:$C$405,F933,'Istoric_Nativ'!$E$6:$E$405,G933,'Istoric_Nativ'!$D$6:$D$405,"&lt;"&amp;J933,'Istoric_Nativ'!$P$6:$P$405,1,'Istoric_Nativ'!$D$6:$D$405,"&gt;="&amp;L933)+COUNTIFS('Istoric_Nativ'!$B$6:$B$405,E933,'Istoric_Nativ'!$C$6:$C$405,F933,'Istoric_Nativ'!$F$6:$F$405,G933,'Istoric_Nativ'!$D$6:$D$405,"&lt;"&amp;J933,'Istoric_Nativ'!$P$6:$P$405,1,'Istoric_Nativ'!$D$6:$D$405,"&gt;="&amp;L933))))</x:f>
        <x:v>0</x:v>
      </x:c>
      <x:c r="N933" s="11" t="str">
        <x:f>IF(M933=0,"",IF(H933="HOME",SUMIFS('Istoric_Nativ'!$G$6:$G$405,'Istoric_Nativ'!$B$6:$B$405,E933,'Istoric_Nativ'!$C$6:$C$405,F933,'Istoric_Nativ'!$E$6:$E$405,G933,'Istoric_Nativ'!$D$6:$D$405,"&lt;"&amp;J933,'Istoric_Nativ'!$P$6:$P$405,1,'Istoric_Nativ'!$D$6:$D$405,"&gt;="&amp;L933),IF(H933="AWAY",SUMIFS('Istoric_Nativ'!$H$6:$H$405,'Istoric_Nativ'!$B$6:$B$405,E933,'Istoric_Nativ'!$C$6:$C$405,F933,'Istoric_Nativ'!$F$6:$F$405,G933,'Istoric_Nativ'!$D$6:$D$405,"&lt;"&amp;J933,'Istoric_Nativ'!$P$6:$P$405,1,'Istoric_Nativ'!$D$6:$D$405,"&gt;="&amp;L933),SUMIFS('Istoric_Nativ'!$G$6:$G$405,'Istoric_Nativ'!$B$6:$B$405,E933,'Istoric_Nativ'!$C$6:$C$405,F933,'Istoric_Nativ'!$E$6:$E$405,G933,'Istoric_Nativ'!$D$6:$D$405,"&lt;"&amp;J933,'Istoric_Nativ'!$P$6:$P$405,1,'Istoric_Nativ'!$D$6:$D$405,"&gt;="&amp;L933)+SUMIFS('Istoric_Nativ'!$H$6:$H$405,'Istoric_Nativ'!$B$6:$B$405,E933,'Istoric_Nativ'!$C$6:$C$405,F933,'Istoric_Nativ'!$F$6:$F$405,G933,'Istoric_Nativ'!$D$6:$D$405,"&lt;"&amp;J933,'Istoric_Nativ'!$P$6:$P$405,1,'Istoric_Nativ'!$D$6:$D$405,"&gt;="&amp;L933)))/M933)</x:f>
      </x:c>
      <x:c r="O933" s="11" t="str">
        <x:f>IF(M933=0,"",IF(H933="HOME",SUMIFS('Istoric_Nativ'!$H$6:$H$405,'Istoric_Nativ'!$B$6:$B$405,E933,'Istoric_Nativ'!$C$6:$C$405,F933,'Istoric_Nativ'!$E$6:$E$405,G933,'Istoric_Nativ'!$D$6:$D$405,"&lt;"&amp;J933,'Istoric_Nativ'!$P$6:$P$405,1,'Istoric_Nativ'!$D$6:$D$405,"&gt;="&amp;L933),IF(H933="AWAY",SUMIFS('Istoric_Nativ'!$G$6:$G$405,'Istoric_Nativ'!$B$6:$B$405,E933,'Istoric_Nativ'!$C$6:$C$405,F933,'Istoric_Nativ'!$F$6:$F$405,G933,'Istoric_Nativ'!$D$6:$D$405,"&lt;"&amp;J933,'Istoric_Nativ'!$P$6:$P$405,1,'Istoric_Nativ'!$D$6:$D$405,"&gt;="&amp;L933),SUMIFS('Istoric_Nativ'!$H$6:$H$405,'Istoric_Nativ'!$B$6:$B$405,E933,'Istoric_Nativ'!$C$6:$C$405,F933,'Istoric_Nativ'!$E$6:$E$405,G933,'Istoric_Nativ'!$D$6:$D$405,"&lt;"&amp;J933,'Istoric_Nativ'!$P$6:$P$405,1,'Istoric_Nativ'!$D$6:$D$405,"&gt;="&amp;L933)+SUMIFS('Istoric_Nativ'!$G$6:$G$405,'Istoric_Nativ'!$B$6:$B$405,E933,'Istoric_Nativ'!$C$6:$C$405,F933,'Istoric_Nativ'!$F$6:$F$405,G933,'Istoric_Nativ'!$D$6:$D$405,"&lt;"&amp;J933,'Istoric_Nativ'!$P$6:$P$405,1,'Istoric_Nativ'!$D$6:$D$405,"&gt;="&amp;L933)))/M933)</x:f>
      </x:c>
      <x:c r="P933" s="2" t="n">
        <x:f>'Config_v6'!$B$7</x:f>
        <x:v>10</x:v>
      </x:c>
      <x:c r="Q933" s="2" t="n">
        <x:f>IF(OR(B933="",F933=""),0,IFERROR(MATCH(E933&amp;"|"&amp;F933,SourceTable[Source_Key],0),0))</x:f>
        <x:v>0</x:v>
      </x:c>
      <x:c r="R933" s="2" t="str">
        <x:f>IF(B933="","",IF(F933="","UNUSED",IF(Q933=0,"NOT CHECKED",IF(COUNTIF(SourceTable[Source_Key],E933&amp;"|"&amp;F933)&lt;&gt;1,"SOURCE CONFLICT",IF(NOT(OR(INDEX(SourceTable[Status],MAX(1,Q933))="IMPORTED",INDEX(SourceTable[Status],MAX(1,Q933))="PARTIAL",INDEX(SourceTable[Status],MAX(1,Q933))="SOURCE CONFLICT")),"ACCESS BLOCKED",IF(OR(INDEX(SourceTable[Coverage],Q933)&lt;&gt;"FULL SEASON EXPORT",INDEX(SourceTable[URL],Q933)="",INDEX(SourceTable[SHA256],Q933)=""),"EVIDENCE INCOMPLETE",IF(AND('Input_Meci'!H83="LIVE",INDEX(SourceTable[Retrieved_UTC],Q933)&gt;'Input_Meci'!G83),"POST CUTOFF","CLOSED")))))))</x:f>
      </x:c>
      <x:c r="S933" s="2" t="n">
        <x:f>IF(OR(B933="",F933=""),0,COUNTIFS('Istoric_Nativ'!$B$6:$B$405,E933,'Istoric_Nativ'!$C$6:$C$405,F933,'Istoric_Nativ'!$E$6:$E$405,G933,'Istoric_Nativ'!$D$6:$D$405,"&lt;"&amp;J933,'Istoric_Nativ'!$O$6:$O$405,"INVALID")+COUNTIFS('Istoric_Nativ'!$B$6:$B$405,E933,'Istoric_Nativ'!$C$6:$C$405,F933,'Istoric_Nativ'!$E$6:$E$405,G933,'Istoric_Nativ'!$O$6:$O$405,"INVALID",'Istoric_Nativ'!$D$6:$D$405,"*")+COUNTIFS('Istoric_Nativ'!$B$6:$B$405,E933,'Istoric_Nativ'!$C$6:$C$405,F933,'Istoric_Nativ'!$E$6:$E$405,G933,'Istoric_Nativ'!$D$6:$D$405,"&lt;"&amp;J933,'Istoric_Nativ'!$O$6:$O$405,"SOURCE CONFLICT")+COUNTIFS('Istoric_Nativ'!$B$6:$B$405,E933,'Istoric_Nativ'!$C$6:$C$405,F933,'Istoric_Nativ'!$F$6:$F$405,G933,'Istoric_Nativ'!$D$6:$D$405,"&lt;"&amp;J933,'Istoric_Nativ'!$O$6:$O$405,"INVALID")+COUNTIFS('Istoric_Nativ'!$B$6:$B$405,E933,'Istoric_Nativ'!$C$6:$C$405,F933,'Istoric_Nativ'!$F$6:$F$405,G933,'Istoric_Nativ'!$O$6:$O$405,"INVALID",'Istoric_Nativ'!$D$6:$D$405,"*")+COUNTIFS('Istoric_Nativ'!$B$6:$B$405,E933,'Istoric_Nativ'!$C$6:$C$405,F933,'Istoric_Nativ'!$F$6:$F$405,G933,'Istoric_Nativ'!$D$6:$D$405,"&lt;"&amp;J933,'Istoric_Nativ'!$O$6:$O$405,"SOURCE CONFLICT"))</x:f>
        <x:v>0</x:v>
      </x:c>
      <x:c r="T933" s="2" t="str">
        <x:f>IF(B933="","",IF(R933&lt;&gt;"CLOSED",R933,IF(S933&gt;0,"NATIVE INPUT ISSUE",IF(M933=0,"NO HISTORY",IF(M933&lt;P933,"SMALL SAMPLE","DERIVED")))))</x:f>
      </x:c>
      <x:c r="U933" s="2" t="str">
        <x:f>IF(B933="","","NativeTable; "&amp;E933&amp;"; "&amp;F933&amp;"; "&amp;G933&amp;"; "&amp;H933&amp;"; before "&amp;TEXT(J933,"yyyy-mm-dd")&amp;IF(I933="RECENT","; from "&amp;TEXT(L933,"yyyy-mm-dd"),""))</x:f>
      </x:c>
    </x:row>
    <x:row r="934" ht="21" customHeight="1">
      <x:c r="A934" s="2" t="n">
        <x:v>78</x:v>
      </x:c>
      <x:c r="B934" s="2" t="str">
        <x:f>IF('Input_Meci'!A83="","",'Input_Meci'!A83)</x:f>
      </x:c>
      <x:c r="C934" s="2" t="str">
        <x:v>A</x:v>
      </x:c>
      <x:c r="D934" s="2" t="str">
        <x:v>CURRENT</x:v>
      </x:c>
      <x:c r="E934" s="2" t="str">
        <x:f>IF(B934="","",'Input_Meci'!B83)</x:f>
      </x:c>
      <x:c r="F934" s="2" t="str">
        <x:f>IF(B934="","",IF('Input_Meci'!C83="","",'Input_Meci'!C83))</x:f>
      </x:c>
      <x:c r="G934" s="2" t="str">
        <x:f>IF(B934="","",'Input_Meci'!E83)</x:f>
      </x:c>
      <x:c r="H934" s="2" t="str">
        <x:v>AWAY</x:v>
      </x:c>
      <x:c r="I934" s="2" t="str">
        <x:v>HA</x:v>
      </x:c>
      <x:c r="J934" s="9" t="n">
        <x:f>IF(AND(B934&lt;&gt;"",ISNUMBER('Input_Meci'!G83)),INT('Input_Meci'!G83),0)</x:f>
        <x:v>0</x:v>
      </x:c>
      <x:c r="K934" s="2" t="n">
        <x:f>IF(OR(B934="",F934=""),0,IF(H934="HOME",COUNTIFS('Istoric_Nativ'!$B$6:$B$405,E934,'Istoric_Nativ'!$C$6:$C$405,F934,'Istoric_Nativ'!$E$6:$E$405,G934,'Istoric_Nativ'!$D$6:$D$405,"&lt;"&amp;J934,'Istoric_Nativ'!$P$6:$P$405,1),IF(H934="AWAY",COUNTIFS('Istoric_Nativ'!$B$6:$B$405,E934,'Istoric_Nativ'!$C$6:$C$405,F934,'Istoric_Nativ'!$F$6:$F$405,G934,'Istoric_Nativ'!$D$6:$D$405,"&lt;"&amp;J934,'Istoric_Nativ'!$P$6:$P$405,1),COUNTIFS('Istoric_Nativ'!$B$6:$B$405,E934,'Istoric_Nativ'!$C$6:$C$405,F934,'Istoric_Nativ'!$E$6:$E$405,G934,'Istoric_Nativ'!$D$6:$D$405,"&lt;"&amp;J934,'Istoric_Nativ'!$P$6:$P$405,1)+COUNTIFS('Istoric_Nativ'!$B$6:$B$405,E934,'Istoric_Nativ'!$C$6:$C$405,F934,'Istoric_Nativ'!$F$6:$F$405,G934,'Istoric_Nativ'!$D$6:$D$405,"&lt;"&amp;J934,'Istoric_Nativ'!$P$6:$P$405,1))))</x:f>
        <x:v>0</x:v>
      </x:c>
      <x:c r="L934" s="17" t="n">
        <x:f>IF(AND(B934&lt;&gt;"",I934="RECENT",K934&gt;0),LARGE(_xlfn._xlws.FILTER('Istoric_Nativ'!$D$6:$D$405,('Istoric_Nativ'!$B$6:$B$405=E934)*('Istoric_Nativ'!$C$6:$C$405=F934)*('Istoric_Nativ'!$P$6:$P$405=1)*('Istoric_Nativ'!$D$6:$D$405&lt;J934)*((('Istoric_Nativ'!$E$6:$E$405=G934)+('Istoric_Nativ'!$F$6:$F$405=G934))&gt;0)),MIN('Config_v6'!$B$54,K934)),0)</x:f>
        <x:v>0</x:v>
      </x:c>
      <x:c r="M934" s="2" t="n">
        <x:f>IF(OR(B934="",F934=""),0,IF(H934="HOME",COUNTIFS('Istoric_Nativ'!$B$6:$B$405,E934,'Istoric_Nativ'!$C$6:$C$405,F934,'Istoric_Nativ'!$E$6:$E$405,G934,'Istoric_Nativ'!$D$6:$D$405,"&lt;"&amp;J934,'Istoric_Nativ'!$P$6:$P$405,1,'Istoric_Nativ'!$D$6:$D$405,"&gt;="&amp;L934),IF(H934="AWAY",COUNTIFS('Istoric_Nativ'!$B$6:$B$405,E934,'Istoric_Nativ'!$C$6:$C$405,F934,'Istoric_Nativ'!$F$6:$F$405,G934,'Istoric_Nativ'!$D$6:$D$405,"&lt;"&amp;J934,'Istoric_Nativ'!$P$6:$P$405,1,'Istoric_Nativ'!$D$6:$D$405,"&gt;="&amp;L934),COUNTIFS('Istoric_Nativ'!$B$6:$B$405,E934,'Istoric_Nativ'!$C$6:$C$405,F934,'Istoric_Nativ'!$E$6:$E$405,G934,'Istoric_Nativ'!$D$6:$D$405,"&lt;"&amp;J934,'Istoric_Nativ'!$P$6:$P$405,1,'Istoric_Nativ'!$D$6:$D$405,"&gt;="&amp;L934)+COUNTIFS('Istoric_Nativ'!$B$6:$B$405,E934,'Istoric_Nativ'!$C$6:$C$405,F934,'Istoric_Nativ'!$F$6:$F$405,G934,'Istoric_Nativ'!$D$6:$D$405,"&lt;"&amp;J934,'Istoric_Nativ'!$P$6:$P$405,1,'Istoric_Nativ'!$D$6:$D$405,"&gt;="&amp;L934))))</x:f>
        <x:v>0</x:v>
      </x:c>
      <x:c r="N934" s="11" t="str">
        <x:f>IF(M934=0,"",IF(H934="HOME",SUMIFS('Istoric_Nativ'!$G$6:$G$405,'Istoric_Nativ'!$B$6:$B$405,E934,'Istoric_Nativ'!$C$6:$C$405,F934,'Istoric_Nativ'!$E$6:$E$405,G934,'Istoric_Nativ'!$D$6:$D$405,"&lt;"&amp;J934,'Istoric_Nativ'!$P$6:$P$405,1,'Istoric_Nativ'!$D$6:$D$405,"&gt;="&amp;L934),IF(H934="AWAY",SUMIFS('Istoric_Nativ'!$H$6:$H$405,'Istoric_Nativ'!$B$6:$B$405,E934,'Istoric_Nativ'!$C$6:$C$405,F934,'Istoric_Nativ'!$F$6:$F$405,G934,'Istoric_Nativ'!$D$6:$D$405,"&lt;"&amp;J934,'Istoric_Nativ'!$P$6:$P$405,1,'Istoric_Nativ'!$D$6:$D$405,"&gt;="&amp;L934),SUMIFS('Istoric_Nativ'!$G$6:$G$405,'Istoric_Nativ'!$B$6:$B$405,E934,'Istoric_Nativ'!$C$6:$C$405,F934,'Istoric_Nativ'!$E$6:$E$405,G934,'Istoric_Nativ'!$D$6:$D$405,"&lt;"&amp;J934,'Istoric_Nativ'!$P$6:$P$405,1,'Istoric_Nativ'!$D$6:$D$405,"&gt;="&amp;L934)+SUMIFS('Istoric_Nativ'!$H$6:$H$405,'Istoric_Nativ'!$B$6:$B$405,E934,'Istoric_Nativ'!$C$6:$C$405,F934,'Istoric_Nativ'!$F$6:$F$405,G934,'Istoric_Nativ'!$D$6:$D$405,"&lt;"&amp;J934,'Istoric_Nativ'!$P$6:$P$405,1,'Istoric_Nativ'!$D$6:$D$405,"&gt;="&amp;L934)))/M934)</x:f>
      </x:c>
      <x:c r="O934" s="11" t="str">
        <x:f>IF(M934=0,"",IF(H934="HOME",SUMIFS('Istoric_Nativ'!$H$6:$H$405,'Istoric_Nativ'!$B$6:$B$405,E934,'Istoric_Nativ'!$C$6:$C$405,F934,'Istoric_Nativ'!$E$6:$E$405,G934,'Istoric_Nativ'!$D$6:$D$405,"&lt;"&amp;J934,'Istoric_Nativ'!$P$6:$P$405,1,'Istoric_Nativ'!$D$6:$D$405,"&gt;="&amp;L934),IF(H934="AWAY",SUMIFS('Istoric_Nativ'!$G$6:$G$405,'Istoric_Nativ'!$B$6:$B$405,E934,'Istoric_Nativ'!$C$6:$C$405,F934,'Istoric_Nativ'!$F$6:$F$405,G934,'Istoric_Nativ'!$D$6:$D$405,"&lt;"&amp;J934,'Istoric_Nativ'!$P$6:$P$405,1,'Istoric_Nativ'!$D$6:$D$405,"&gt;="&amp;L934),SUMIFS('Istoric_Nativ'!$H$6:$H$405,'Istoric_Nativ'!$B$6:$B$405,E934,'Istoric_Nativ'!$C$6:$C$405,F934,'Istoric_Nativ'!$E$6:$E$405,G934,'Istoric_Nativ'!$D$6:$D$405,"&lt;"&amp;J934,'Istoric_Nativ'!$P$6:$P$405,1,'Istoric_Nativ'!$D$6:$D$405,"&gt;="&amp;L934)+SUMIFS('Istoric_Nativ'!$G$6:$G$405,'Istoric_Nativ'!$B$6:$B$405,E934,'Istoric_Nativ'!$C$6:$C$405,F934,'Istoric_Nativ'!$F$6:$F$405,G934,'Istoric_Nativ'!$D$6:$D$405,"&lt;"&amp;J934,'Istoric_Nativ'!$P$6:$P$405,1,'Istoric_Nativ'!$D$6:$D$405,"&gt;="&amp;L934)))/M934)</x:f>
      </x:c>
      <x:c r="P934" s="2" t="n">
        <x:f>'Config_v6'!$B$8</x:f>
        <x:v>5</x:v>
      </x:c>
      <x:c r="Q934" s="2" t="n">
        <x:f>IF(OR(B934="",F934=""),0,IFERROR(MATCH(E934&amp;"|"&amp;F934,SourceTable[Source_Key],0),0))</x:f>
        <x:v>0</x:v>
      </x:c>
      <x:c r="R934" s="2" t="str">
        <x:f>IF(B934="","",IF(F934="","UNUSED",IF(Q934=0,"NOT CHECKED",IF(COUNTIF(SourceTable[Source_Key],E934&amp;"|"&amp;F934)&lt;&gt;1,"SOURCE CONFLICT",IF(NOT(OR(INDEX(SourceTable[Status],MAX(1,Q934))="IMPORTED",INDEX(SourceTable[Status],MAX(1,Q934))="PARTIAL",INDEX(SourceTable[Status],MAX(1,Q934))="SOURCE CONFLICT")),"ACCESS BLOCKED",IF(OR(INDEX(SourceTable[Coverage],Q934)&lt;&gt;"FULL SEASON EXPORT",INDEX(SourceTable[URL],Q934)="",INDEX(SourceTable[SHA256],Q934)=""),"EVIDENCE INCOMPLETE",IF(AND('Input_Meci'!H83="LIVE",INDEX(SourceTable[Retrieved_UTC],Q934)&gt;'Input_Meci'!G83),"POST CUTOFF","CLOSED")))))))</x:f>
      </x:c>
      <x:c r="S934" s="2" t="n">
        <x:f>IF(OR(B934="",F934=""),0,COUNTIFS('Istoric_Nativ'!$B$6:$B$405,E934,'Istoric_Nativ'!$C$6:$C$405,F934,'Istoric_Nativ'!$E$6:$E$405,G934,'Istoric_Nativ'!$D$6:$D$405,"&lt;"&amp;J934,'Istoric_Nativ'!$O$6:$O$405,"INVALID")+COUNTIFS('Istoric_Nativ'!$B$6:$B$405,E934,'Istoric_Nativ'!$C$6:$C$405,F934,'Istoric_Nativ'!$E$6:$E$405,G934,'Istoric_Nativ'!$O$6:$O$405,"INVALID",'Istoric_Nativ'!$D$6:$D$405,"*")+COUNTIFS('Istoric_Nativ'!$B$6:$B$405,E934,'Istoric_Nativ'!$C$6:$C$405,F934,'Istoric_Nativ'!$E$6:$E$405,G934,'Istoric_Nativ'!$D$6:$D$405,"&lt;"&amp;J934,'Istoric_Nativ'!$O$6:$O$405,"SOURCE CONFLICT")+COUNTIFS('Istoric_Nativ'!$B$6:$B$405,E934,'Istoric_Nativ'!$C$6:$C$405,F934,'Istoric_Nativ'!$F$6:$F$405,G934,'Istoric_Nativ'!$D$6:$D$405,"&lt;"&amp;J934,'Istoric_Nativ'!$O$6:$O$405,"INVALID")+COUNTIFS('Istoric_Nativ'!$B$6:$B$405,E934,'Istoric_Nativ'!$C$6:$C$405,F934,'Istoric_Nativ'!$F$6:$F$405,G934,'Istoric_Nativ'!$O$6:$O$405,"INVALID",'Istoric_Nativ'!$D$6:$D$405,"*")+COUNTIFS('Istoric_Nativ'!$B$6:$B$405,E934,'Istoric_Nativ'!$C$6:$C$405,F934,'Istoric_Nativ'!$F$6:$F$405,G934,'Istoric_Nativ'!$D$6:$D$405,"&lt;"&amp;J934,'Istoric_Nativ'!$O$6:$O$405,"SOURCE CONFLICT"))</x:f>
        <x:v>0</x:v>
      </x:c>
      <x:c r="T934" s="2" t="str">
        <x:f>IF(B934="","",IF(R934&lt;&gt;"CLOSED",R934,IF(S934&gt;0,"NATIVE INPUT ISSUE",IF(M934=0,"NO HISTORY",IF(M934&lt;P934,"SMALL SAMPLE","DERIVED")))))</x:f>
      </x:c>
      <x:c r="U934" s="2" t="str">
        <x:f>IF(B934="","","NativeTable; "&amp;E934&amp;"; "&amp;F934&amp;"; "&amp;G934&amp;"; "&amp;H934&amp;"; before "&amp;TEXT(J934,"yyyy-mm-dd")&amp;IF(I934="RECENT","; from "&amp;TEXT(L934,"yyyy-mm-dd"),""))</x:f>
      </x:c>
    </x:row>
    <x:row r="935" ht="21" customHeight="1">
      <x:c r="A935" s="2" t="n">
        <x:v>78</x:v>
      </x:c>
      <x:c r="B935" s="2" t="str">
        <x:f>IF('Input_Meci'!A83="","",'Input_Meci'!A83)</x:f>
      </x:c>
      <x:c r="C935" s="2" t="str">
        <x:v>A</x:v>
      </x:c>
      <x:c r="D935" s="2" t="str">
        <x:v>CURRENT</x:v>
      </x:c>
      <x:c r="E935" s="2" t="str">
        <x:f>IF(B935="","",'Input_Meci'!B83)</x:f>
      </x:c>
      <x:c r="F935" s="2" t="str">
        <x:f>IF(B935="","",IF('Input_Meci'!C83="","",'Input_Meci'!C83))</x:f>
      </x:c>
      <x:c r="G935" s="2" t="str">
        <x:f>IF(B935="","",'Input_Meci'!E83)</x:f>
      </x:c>
      <x:c r="H935" s="2" t="str">
        <x:v>ANY</x:v>
      </x:c>
      <x:c r="I935" s="2" t="str">
        <x:v>RECENT</x:v>
      </x:c>
      <x:c r="J935" s="9" t="n">
        <x:f>IF(AND(B935&lt;&gt;"",ISNUMBER('Input_Meci'!G83)),INT('Input_Meci'!G83),0)</x:f>
        <x:v>0</x:v>
      </x:c>
      <x:c r="K935" s="2" t="n">
        <x:f>IF(OR(B935="",F935=""),0,IF(H935="HOME",COUNTIFS('Istoric_Nativ'!$B$6:$B$405,E935,'Istoric_Nativ'!$C$6:$C$405,F935,'Istoric_Nativ'!$E$6:$E$405,G935,'Istoric_Nativ'!$D$6:$D$405,"&lt;"&amp;J935,'Istoric_Nativ'!$P$6:$P$405,1),IF(H935="AWAY",COUNTIFS('Istoric_Nativ'!$B$6:$B$405,E935,'Istoric_Nativ'!$C$6:$C$405,F935,'Istoric_Nativ'!$F$6:$F$405,G935,'Istoric_Nativ'!$D$6:$D$405,"&lt;"&amp;J935,'Istoric_Nativ'!$P$6:$P$405,1),COUNTIFS('Istoric_Nativ'!$B$6:$B$405,E935,'Istoric_Nativ'!$C$6:$C$405,F935,'Istoric_Nativ'!$E$6:$E$405,G935,'Istoric_Nativ'!$D$6:$D$405,"&lt;"&amp;J935,'Istoric_Nativ'!$P$6:$P$405,1)+COUNTIFS('Istoric_Nativ'!$B$6:$B$405,E935,'Istoric_Nativ'!$C$6:$C$405,F935,'Istoric_Nativ'!$F$6:$F$405,G935,'Istoric_Nativ'!$D$6:$D$405,"&lt;"&amp;J935,'Istoric_Nativ'!$P$6:$P$405,1))))</x:f>
        <x:v>0</x:v>
      </x:c>
      <x:c r="L935" s="17" t="n">
        <x:f>IF(AND(B935&lt;&gt;"",I935="RECENT",K935&gt;0),LARGE(_xlfn._xlws.FILTER('Istoric_Nativ'!$D$6:$D$405,('Istoric_Nativ'!$B$6:$B$405=E935)*('Istoric_Nativ'!$C$6:$C$405=F935)*('Istoric_Nativ'!$P$6:$P$405=1)*('Istoric_Nativ'!$D$6:$D$405&lt;J935)*((('Istoric_Nativ'!$E$6:$E$405=G935)+('Istoric_Nativ'!$F$6:$F$405=G935))&gt;0)),MIN('Config_v6'!$B$54,K935)),0)</x:f>
        <x:v>0</x:v>
      </x:c>
      <x:c r="M935" s="2" t="n">
        <x:f>IF(OR(B935="",F935=""),0,IF(H935="HOME",COUNTIFS('Istoric_Nativ'!$B$6:$B$405,E935,'Istoric_Nativ'!$C$6:$C$405,F935,'Istoric_Nativ'!$E$6:$E$405,G935,'Istoric_Nativ'!$D$6:$D$405,"&lt;"&amp;J935,'Istoric_Nativ'!$P$6:$P$405,1,'Istoric_Nativ'!$D$6:$D$405,"&gt;="&amp;L935),IF(H935="AWAY",COUNTIFS('Istoric_Nativ'!$B$6:$B$405,E935,'Istoric_Nativ'!$C$6:$C$405,F935,'Istoric_Nativ'!$F$6:$F$405,G935,'Istoric_Nativ'!$D$6:$D$405,"&lt;"&amp;J935,'Istoric_Nativ'!$P$6:$P$405,1,'Istoric_Nativ'!$D$6:$D$405,"&gt;="&amp;L935),COUNTIFS('Istoric_Nativ'!$B$6:$B$405,E935,'Istoric_Nativ'!$C$6:$C$405,F935,'Istoric_Nativ'!$E$6:$E$405,G935,'Istoric_Nativ'!$D$6:$D$405,"&lt;"&amp;J935,'Istoric_Nativ'!$P$6:$P$405,1,'Istoric_Nativ'!$D$6:$D$405,"&gt;="&amp;L935)+COUNTIFS('Istoric_Nativ'!$B$6:$B$405,E935,'Istoric_Nativ'!$C$6:$C$405,F935,'Istoric_Nativ'!$F$6:$F$405,G935,'Istoric_Nativ'!$D$6:$D$405,"&lt;"&amp;J935,'Istoric_Nativ'!$P$6:$P$405,1,'Istoric_Nativ'!$D$6:$D$405,"&gt;="&amp;L935))))</x:f>
        <x:v>0</x:v>
      </x:c>
      <x:c r="N935" s="11" t="str">
        <x:f>IF(M935=0,"",IF(H935="HOME",SUMIFS('Istoric_Nativ'!$G$6:$G$405,'Istoric_Nativ'!$B$6:$B$405,E935,'Istoric_Nativ'!$C$6:$C$405,F935,'Istoric_Nativ'!$E$6:$E$405,G935,'Istoric_Nativ'!$D$6:$D$405,"&lt;"&amp;J935,'Istoric_Nativ'!$P$6:$P$405,1,'Istoric_Nativ'!$D$6:$D$405,"&gt;="&amp;L935),IF(H935="AWAY",SUMIFS('Istoric_Nativ'!$H$6:$H$405,'Istoric_Nativ'!$B$6:$B$405,E935,'Istoric_Nativ'!$C$6:$C$405,F935,'Istoric_Nativ'!$F$6:$F$405,G935,'Istoric_Nativ'!$D$6:$D$405,"&lt;"&amp;J935,'Istoric_Nativ'!$P$6:$P$405,1,'Istoric_Nativ'!$D$6:$D$405,"&gt;="&amp;L935),SUMIFS('Istoric_Nativ'!$G$6:$G$405,'Istoric_Nativ'!$B$6:$B$405,E935,'Istoric_Nativ'!$C$6:$C$405,F935,'Istoric_Nativ'!$E$6:$E$405,G935,'Istoric_Nativ'!$D$6:$D$405,"&lt;"&amp;J935,'Istoric_Nativ'!$P$6:$P$405,1,'Istoric_Nativ'!$D$6:$D$405,"&gt;="&amp;L935)+SUMIFS('Istoric_Nativ'!$H$6:$H$405,'Istoric_Nativ'!$B$6:$B$405,E935,'Istoric_Nativ'!$C$6:$C$405,F935,'Istoric_Nativ'!$F$6:$F$405,G935,'Istoric_Nativ'!$D$6:$D$405,"&lt;"&amp;J935,'Istoric_Nativ'!$P$6:$P$405,1,'Istoric_Nativ'!$D$6:$D$405,"&gt;="&amp;L935)))/M935)</x:f>
      </x:c>
      <x:c r="O935" s="11" t="str">
        <x:f>IF(M935=0,"",IF(H935="HOME",SUMIFS('Istoric_Nativ'!$H$6:$H$405,'Istoric_Nativ'!$B$6:$B$405,E935,'Istoric_Nativ'!$C$6:$C$405,F935,'Istoric_Nativ'!$E$6:$E$405,G935,'Istoric_Nativ'!$D$6:$D$405,"&lt;"&amp;J935,'Istoric_Nativ'!$P$6:$P$405,1,'Istoric_Nativ'!$D$6:$D$405,"&gt;="&amp;L935),IF(H935="AWAY",SUMIFS('Istoric_Nativ'!$G$6:$G$405,'Istoric_Nativ'!$B$6:$B$405,E935,'Istoric_Nativ'!$C$6:$C$405,F935,'Istoric_Nativ'!$F$6:$F$405,G935,'Istoric_Nativ'!$D$6:$D$405,"&lt;"&amp;J935,'Istoric_Nativ'!$P$6:$P$405,1,'Istoric_Nativ'!$D$6:$D$405,"&gt;="&amp;L935),SUMIFS('Istoric_Nativ'!$H$6:$H$405,'Istoric_Nativ'!$B$6:$B$405,E935,'Istoric_Nativ'!$C$6:$C$405,F935,'Istoric_Nativ'!$E$6:$E$405,G935,'Istoric_Nativ'!$D$6:$D$405,"&lt;"&amp;J935,'Istoric_Nativ'!$P$6:$P$405,1,'Istoric_Nativ'!$D$6:$D$405,"&gt;="&amp;L935)+SUMIFS('Istoric_Nativ'!$G$6:$G$405,'Istoric_Nativ'!$B$6:$B$405,E935,'Istoric_Nativ'!$C$6:$C$405,F935,'Istoric_Nativ'!$F$6:$F$405,G935,'Istoric_Nativ'!$D$6:$D$405,"&lt;"&amp;J935,'Istoric_Nativ'!$P$6:$P$405,1,'Istoric_Nativ'!$D$6:$D$405,"&gt;="&amp;L935)))/M935)</x:f>
      </x:c>
      <x:c r="P935" s="2" t="n">
        <x:f>'Config_v6'!$B$9</x:f>
        <x:v>3</x:v>
      </x:c>
      <x:c r="Q935" s="2" t="n">
        <x:f>IF(OR(B935="",F935=""),0,IFERROR(MATCH(E935&amp;"|"&amp;F935,SourceTable[Source_Key],0),0))</x:f>
        <x:v>0</x:v>
      </x:c>
      <x:c r="R935" s="2" t="str">
        <x:f>IF(B935="","",IF(F935="","UNUSED",IF(Q935=0,"NOT CHECKED",IF(COUNTIF(SourceTable[Source_Key],E935&amp;"|"&amp;F935)&lt;&gt;1,"SOURCE CONFLICT",IF(NOT(OR(INDEX(SourceTable[Status],MAX(1,Q935))="IMPORTED",INDEX(SourceTable[Status],MAX(1,Q935))="PARTIAL",INDEX(SourceTable[Status],MAX(1,Q935))="SOURCE CONFLICT")),"ACCESS BLOCKED",IF(OR(INDEX(SourceTable[Coverage],Q935)&lt;&gt;"FULL SEASON EXPORT",INDEX(SourceTable[URL],Q935)="",INDEX(SourceTable[SHA256],Q935)=""),"EVIDENCE INCOMPLETE",IF(AND('Input_Meci'!H83="LIVE",INDEX(SourceTable[Retrieved_UTC],Q935)&gt;'Input_Meci'!G83),"POST CUTOFF","CLOSED")))))))</x:f>
      </x:c>
      <x:c r="S935" s="2" t="n">
        <x:f>IF(OR(B935="",F935=""),0,COUNTIFS('Istoric_Nativ'!$B$6:$B$405,E935,'Istoric_Nativ'!$C$6:$C$405,F935,'Istoric_Nativ'!$E$6:$E$405,G935,'Istoric_Nativ'!$D$6:$D$405,"&lt;"&amp;J935,'Istoric_Nativ'!$O$6:$O$405,"INVALID")+COUNTIFS('Istoric_Nativ'!$B$6:$B$405,E935,'Istoric_Nativ'!$C$6:$C$405,F935,'Istoric_Nativ'!$E$6:$E$405,G935,'Istoric_Nativ'!$O$6:$O$405,"INVALID",'Istoric_Nativ'!$D$6:$D$405,"*")+COUNTIFS('Istoric_Nativ'!$B$6:$B$405,E935,'Istoric_Nativ'!$C$6:$C$405,F935,'Istoric_Nativ'!$E$6:$E$405,G935,'Istoric_Nativ'!$D$6:$D$405,"&lt;"&amp;J935,'Istoric_Nativ'!$O$6:$O$405,"SOURCE CONFLICT")+COUNTIFS('Istoric_Nativ'!$B$6:$B$405,E935,'Istoric_Nativ'!$C$6:$C$405,F935,'Istoric_Nativ'!$F$6:$F$405,G935,'Istoric_Nativ'!$D$6:$D$405,"&lt;"&amp;J935,'Istoric_Nativ'!$O$6:$O$405,"INVALID")+COUNTIFS('Istoric_Nativ'!$B$6:$B$405,E935,'Istoric_Nativ'!$C$6:$C$405,F935,'Istoric_Nativ'!$F$6:$F$405,G935,'Istoric_Nativ'!$O$6:$O$405,"INVALID",'Istoric_Nativ'!$D$6:$D$405,"*")+COUNTIFS('Istoric_Nativ'!$B$6:$B$405,E935,'Istoric_Nativ'!$C$6:$C$405,F935,'Istoric_Nativ'!$F$6:$F$405,G935,'Istoric_Nativ'!$D$6:$D$405,"&lt;"&amp;J935,'Istoric_Nativ'!$O$6:$O$405,"SOURCE CONFLICT"))</x:f>
        <x:v>0</x:v>
      </x:c>
      <x:c r="T935" s="2" t="str">
        <x:f>IF(B935="","",IF(R935&lt;&gt;"CLOSED",R935,IF(S935&gt;0,"NATIVE INPUT ISSUE",IF(M935=0,"NO HISTORY",IF(M935&lt;P935,"SMALL SAMPLE","DERIVED")))))</x:f>
      </x:c>
      <x:c r="U935" s="2" t="str">
        <x:f>IF(B935="","","NativeTable; "&amp;E935&amp;"; "&amp;F935&amp;"; "&amp;G935&amp;"; "&amp;H935&amp;"; before "&amp;TEXT(J935,"yyyy-mm-dd")&amp;IF(I935="RECENT","; from "&amp;TEXT(L935,"yyyy-mm-dd"),""))</x:f>
      </x:c>
    </x:row>
    <x:row r="936" ht="21" customHeight="1">
      <x:c r="A936" s="2" t="n">
        <x:v>78</x:v>
      </x:c>
      <x:c r="B936" s="2" t="str">
        <x:f>IF('Input_Meci'!A83="","",'Input_Meci'!A83)</x:f>
      </x:c>
      <x:c r="C936" s="2" t="str">
        <x:v>H</x:v>
      </x:c>
      <x:c r="D936" s="2" t="str">
        <x:v>PRIOR</x:v>
      </x:c>
      <x:c r="E936" s="2" t="str">
        <x:f>IF(B936="","",'Input_Meci'!B83)</x:f>
      </x:c>
      <x:c r="F936" s="2" t="str">
        <x:f>IF(B936="","",IF('Input_Meci'!K83="","",'Input_Meci'!K83))</x:f>
      </x:c>
      <x:c r="G936" s="2" t="str">
        <x:f>IF(B936="","",'Input_Meci'!D83)</x:f>
      </x:c>
      <x:c r="H936" s="2" t="str">
        <x:v>ANY</x:v>
      </x:c>
      <x:c r="I936" s="2" t="str">
        <x:v>SEASON</x:v>
      </x:c>
      <x:c r="J936" s="9" t="n">
        <x:f>IF(AND(B936&lt;&gt;"",ISNUMBER('Input_Meci'!G83)),INT('Input_Meci'!G83),0)</x:f>
        <x:v>0</x:v>
      </x:c>
      <x:c r="K936" s="2" t="n">
        <x:f>IF(OR(B936="",F936=""),0,IF(H936="HOME",COUNTIFS('Istoric_Nativ'!$B$6:$B$405,E936,'Istoric_Nativ'!$C$6:$C$405,F936,'Istoric_Nativ'!$E$6:$E$405,G936,'Istoric_Nativ'!$D$6:$D$405,"&lt;"&amp;J936,'Istoric_Nativ'!$P$6:$P$405,1),IF(H936="AWAY",COUNTIFS('Istoric_Nativ'!$B$6:$B$405,E936,'Istoric_Nativ'!$C$6:$C$405,F936,'Istoric_Nativ'!$F$6:$F$405,G936,'Istoric_Nativ'!$D$6:$D$405,"&lt;"&amp;J936,'Istoric_Nativ'!$P$6:$P$405,1),COUNTIFS('Istoric_Nativ'!$B$6:$B$405,E936,'Istoric_Nativ'!$C$6:$C$405,F936,'Istoric_Nativ'!$E$6:$E$405,G936,'Istoric_Nativ'!$D$6:$D$405,"&lt;"&amp;J936,'Istoric_Nativ'!$P$6:$P$405,1)+COUNTIFS('Istoric_Nativ'!$B$6:$B$405,E936,'Istoric_Nativ'!$C$6:$C$405,F936,'Istoric_Nativ'!$F$6:$F$405,G936,'Istoric_Nativ'!$D$6:$D$405,"&lt;"&amp;J936,'Istoric_Nativ'!$P$6:$P$405,1))))</x:f>
        <x:v>0</x:v>
      </x:c>
      <x:c r="L936" s="17" t="n">
        <x:f>IF(AND(B936&lt;&gt;"",I936="RECENT",K936&gt;0),LARGE(_xlfn._xlws.FILTER('Istoric_Nativ'!$D$6:$D$405,('Istoric_Nativ'!$B$6:$B$405=E936)*('Istoric_Nativ'!$C$6:$C$405=F936)*('Istoric_Nativ'!$P$6:$P$405=1)*('Istoric_Nativ'!$D$6:$D$405&lt;J936)*((('Istoric_Nativ'!$E$6:$E$405=G936)+('Istoric_Nativ'!$F$6:$F$405=G936))&gt;0)),MIN('Config_v6'!$B$54,K936)),0)</x:f>
        <x:v>0</x:v>
      </x:c>
      <x:c r="M936" s="2" t="n">
        <x:f>IF(OR(B936="",F936=""),0,IF(H936="HOME",COUNTIFS('Istoric_Nativ'!$B$6:$B$405,E936,'Istoric_Nativ'!$C$6:$C$405,F936,'Istoric_Nativ'!$E$6:$E$405,G936,'Istoric_Nativ'!$D$6:$D$405,"&lt;"&amp;J936,'Istoric_Nativ'!$P$6:$P$405,1,'Istoric_Nativ'!$D$6:$D$405,"&gt;="&amp;L936),IF(H936="AWAY",COUNTIFS('Istoric_Nativ'!$B$6:$B$405,E936,'Istoric_Nativ'!$C$6:$C$405,F936,'Istoric_Nativ'!$F$6:$F$405,G936,'Istoric_Nativ'!$D$6:$D$405,"&lt;"&amp;J936,'Istoric_Nativ'!$P$6:$P$405,1,'Istoric_Nativ'!$D$6:$D$405,"&gt;="&amp;L936),COUNTIFS('Istoric_Nativ'!$B$6:$B$405,E936,'Istoric_Nativ'!$C$6:$C$405,F936,'Istoric_Nativ'!$E$6:$E$405,G936,'Istoric_Nativ'!$D$6:$D$405,"&lt;"&amp;J936,'Istoric_Nativ'!$P$6:$P$405,1,'Istoric_Nativ'!$D$6:$D$405,"&gt;="&amp;L936)+COUNTIFS('Istoric_Nativ'!$B$6:$B$405,E936,'Istoric_Nativ'!$C$6:$C$405,F936,'Istoric_Nativ'!$F$6:$F$405,G936,'Istoric_Nativ'!$D$6:$D$405,"&lt;"&amp;J936,'Istoric_Nativ'!$P$6:$P$405,1,'Istoric_Nativ'!$D$6:$D$405,"&gt;="&amp;L936))))</x:f>
        <x:v>0</x:v>
      </x:c>
      <x:c r="N936" s="11" t="str">
        <x:f>IF(M936=0,"",IF(H936="HOME",SUMIFS('Istoric_Nativ'!$G$6:$G$405,'Istoric_Nativ'!$B$6:$B$405,E936,'Istoric_Nativ'!$C$6:$C$405,F936,'Istoric_Nativ'!$E$6:$E$405,G936,'Istoric_Nativ'!$D$6:$D$405,"&lt;"&amp;J936,'Istoric_Nativ'!$P$6:$P$405,1,'Istoric_Nativ'!$D$6:$D$405,"&gt;="&amp;L936),IF(H936="AWAY",SUMIFS('Istoric_Nativ'!$H$6:$H$405,'Istoric_Nativ'!$B$6:$B$405,E936,'Istoric_Nativ'!$C$6:$C$405,F936,'Istoric_Nativ'!$F$6:$F$405,G936,'Istoric_Nativ'!$D$6:$D$405,"&lt;"&amp;J936,'Istoric_Nativ'!$P$6:$P$405,1,'Istoric_Nativ'!$D$6:$D$405,"&gt;="&amp;L936),SUMIFS('Istoric_Nativ'!$G$6:$G$405,'Istoric_Nativ'!$B$6:$B$405,E936,'Istoric_Nativ'!$C$6:$C$405,F936,'Istoric_Nativ'!$E$6:$E$405,G936,'Istoric_Nativ'!$D$6:$D$405,"&lt;"&amp;J936,'Istoric_Nativ'!$P$6:$P$405,1,'Istoric_Nativ'!$D$6:$D$405,"&gt;="&amp;L936)+SUMIFS('Istoric_Nativ'!$H$6:$H$405,'Istoric_Nativ'!$B$6:$B$405,E936,'Istoric_Nativ'!$C$6:$C$405,F936,'Istoric_Nativ'!$F$6:$F$405,G936,'Istoric_Nativ'!$D$6:$D$405,"&lt;"&amp;J936,'Istoric_Nativ'!$P$6:$P$405,1,'Istoric_Nativ'!$D$6:$D$405,"&gt;="&amp;L936)))/M936)</x:f>
      </x:c>
      <x:c r="O936" s="11" t="str">
        <x:f>IF(M936=0,"",IF(H936="HOME",SUMIFS('Istoric_Nativ'!$H$6:$H$405,'Istoric_Nativ'!$B$6:$B$405,E936,'Istoric_Nativ'!$C$6:$C$405,F936,'Istoric_Nativ'!$E$6:$E$405,G936,'Istoric_Nativ'!$D$6:$D$405,"&lt;"&amp;J936,'Istoric_Nativ'!$P$6:$P$405,1,'Istoric_Nativ'!$D$6:$D$405,"&gt;="&amp;L936),IF(H936="AWAY",SUMIFS('Istoric_Nativ'!$G$6:$G$405,'Istoric_Nativ'!$B$6:$B$405,E936,'Istoric_Nativ'!$C$6:$C$405,F936,'Istoric_Nativ'!$F$6:$F$405,G936,'Istoric_Nativ'!$D$6:$D$405,"&lt;"&amp;J936,'Istoric_Nativ'!$P$6:$P$405,1,'Istoric_Nativ'!$D$6:$D$405,"&gt;="&amp;L936),SUMIFS('Istoric_Nativ'!$H$6:$H$405,'Istoric_Nativ'!$B$6:$B$405,E936,'Istoric_Nativ'!$C$6:$C$405,F936,'Istoric_Nativ'!$E$6:$E$405,G936,'Istoric_Nativ'!$D$6:$D$405,"&lt;"&amp;J936,'Istoric_Nativ'!$P$6:$P$405,1,'Istoric_Nativ'!$D$6:$D$405,"&gt;="&amp;L936)+SUMIFS('Istoric_Nativ'!$G$6:$G$405,'Istoric_Nativ'!$B$6:$B$405,E936,'Istoric_Nativ'!$C$6:$C$405,F936,'Istoric_Nativ'!$F$6:$F$405,G936,'Istoric_Nativ'!$D$6:$D$405,"&lt;"&amp;J936,'Istoric_Nativ'!$P$6:$P$405,1,'Istoric_Nativ'!$D$6:$D$405,"&gt;="&amp;L936)))/M936)</x:f>
      </x:c>
      <x:c r="P936" s="2" t="n">
        <x:f>'Config_v6'!$B$7</x:f>
        <x:v>10</x:v>
      </x:c>
      <x:c r="Q936" s="2" t="n">
        <x:f>IF(OR(B936="",F936=""),0,IFERROR(MATCH(E936&amp;"|"&amp;F936,SourceTable[Source_Key],0),0))</x:f>
        <x:v>0</x:v>
      </x:c>
      <x:c r="R936" s="2" t="str">
        <x:f>IF(B936="","",IF(F936="","UNUSED",IF(Q936=0,"NOT CHECKED",IF(COUNTIF(SourceTable[Source_Key],E936&amp;"|"&amp;F936)&lt;&gt;1,"SOURCE CONFLICT",IF(NOT(OR(INDEX(SourceTable[Status],MAX(1,Q936))="IMPORTED",INDEX(SourceTable[Status],MAX(1,Q936))="PARTIAL",INDEX(SourceTable[Status],MAX(1,Q936))="SOURCE CONFLICT")),"ACCESS BLOCKED",IF(OR(INDEX(SourceTable[Coverage],Q936)&lt;&gt;"FULL SEASON EXPORT",INDEX(SourceTable[URL],Q936)="",INDEX(SourceTable[SHA256],Q936)=""),"EVIDENCE INCOMPLETE",IF(AND('Input_Meci'!H83="LIVE",INDEX(SourceTable[Retrieved_UTC],Q936)&gt;'Input_Meci'!G83),"POST CUTOFF","CLOSED")))))))</x:f>
      </x:c>
      <x:c r="S936" s="2" t="n">
        <x:f>IF(OR(B936="",F936=""),0,COUNTIFS('Istoric_Nativ'!$B$6:$B$405,E936,'Istoric_Nativ'!$C$6:$C$405,F936,'Istoric_Nativ'!$E$6:$E$405,G936,'Istoric_Nativ'!$D$6:$D$405,"&lt;"&amp;J936,'Istoric_Nativ'!$O$6:$O$405,"INVALID")+COUNTIFS('Istoric_Nativ'!$B$6:$B$405,E936,'Istoric_Nativ'!$C$6:$C$405,F936,'Istoric_Nativ'!$E$6:$E$405,G936,'Istoric_Nativ'!$O$6:$O$405,"INVALID",'Istoric_Nativ'!$D$6:$D$405,"*")+COUNTIFS('Istoric_Nativ'!$B$6:$B$405,E936,'Istoric_Nativ'!$C$6:$C$405,F936,'Istoric_Nativ'!$E$6:$E$405,G936,'Istoric_Nativ'!$D$6:$D$405,"&lt;"&amp;J936,'Istoric_Nativ'!$O$6:$O$405,"SOURCE CONFLICT")+COUNTIFS('Istoric_Nativ'!$B$6:$B$405,E936,'Istoric_Nativ'!$C$6:$C$405,F936,'Istoric_Nativ'!$F$6:$F$405,G936,'Istoric_Nativ'!$D$6:$D$405,"&lt;"&amp;J936,'Istoric_Nativ'!$O$6:$O$405,"INVALID")+COUNTIFS('Istoric_Nativ'!$B$6:$B$405,E936,'Istoric_Nativ'!$C$6:$C$405,F936,'Istoric_Nativ'!$F$6:$F$405,G936,'Istoric_Nativ'!$O$6:$O$405,"INVALID",'Istoric_Nativ'!$D$6:$D$405,"*")+COUNTIFS('Istoric_Nativ'!$B$6:$B$405,E936,'Istoric_Nativ'!$C$6:$C$405,F936,'Istoric_Nativ'!$F$6:$F$405,G936,'Istoric_Nativ'!$D$6:$D$405,"&lt;"&amp;J936,'Istoric_Nativ'!$O$6:$O$405,"SOURCE CONFLICT"))</x:f>
        <x:v>0</x:v>
      </x:c>
      <x:c r="T936" s="2" t="str">
        <x:f>IF(B936="","",IF(R936&lt;&gt;"CLOSED",R936,IF(S936&gt;0,"NATIVE INPUT ISSUE",IF(M936=0,"NO HISTORY",IF(M936&lt;P936,"SMALL SAMPLE","DERIVED")))))</x:f>
      </x:c>
      <x:c r="U936" s="2" t="str">
        <x:f>IF(B936="","","NativeTable; "&amp;E936&amp;"; "&amp;F936&amp;"; "&amp;G936&amp;"; "&amp;H936&amp;"; before "&amp;TEXT(J936,"yyyy-mm-dd")&amp;IF(I936="RECENT","; from "&amp;TEXT(L936,"yyyy-mm-dd"),""))</x:f>
      </x:c>
    </x:row>
    <x:row r="937" ht="21" customHeight="1">
      <x:c r="A937" s="2" t="n">
        <x:v>78</x:v>
      </x:c>
      <x:c r="B937" s="2" t="str">
        <x:f>IF('Input_Meci'!A83="","",'Input_Meci'!A83)</x:f>
      </x:c>
      <x:c r="C937" s="2" t="str">
        <x:v>H</x:v>
      </x:c>
      <x:c r="D937" s="2" t="str">
        <x:v>PRIOR</x:v>
      </x:c>
      <x:c r="E937" s="2" t="str">
        <x:f>IF(B937="","",'Input_Meci'!B83)</x:f>
      </x:c>
      <x:c r="F937" s="2" t="str">
        <x:f>IF(B937="","",IF('Input_Meci'!K83="","",'Input_Meci'!K83))</x:f>
      </x:c>
      <x:c r="G937" s="2" t="str">
        <x:f>IF(B937="","",'Input_Meci'!D83)</x:f>
      </x:c>
      <x:c r="H937" s="2" t="str">
        <x:v>HOME</x:v>
      </x:c>
      <x:c r="I937" s="2" t="str">
        <x:v>HA</x:v>
      </x:c>
      <x:c r="J937" s="9" t="n">
        <x:f>IF(AND(B937&lt;&gt;"",ISNUMBER('Input_Meci'!G83)),INT('Input_Meci'!G83),0)</x:f>
        <x:v>0</x:v>
      </x:c>
      <x:c r="K937" s="2" t="n">
        <x:f>IF(OR(B937="",F937=""),0,IF(H937="HOME",COUNTIFS('Istoric_Nativ'!$B$6:$B$405,E937,'Istoric_Nativ'!$C$6:$C$405,F937,'Istoric_Nativ'!$E$6:$E$405,G937,'Istoric_Nativ'!$D$6:$D$405,"&lt;"&amp;J937,'Istoric_Nativ'!$P$6:$P$405,1),IF(H937="AWAY",COUNTIFS('Istoric_Nativ'!$B$6:$B$405,E937,'Istoric_Nativ'!$C$6:$C$405,F937,'Istoric_Nativ'!$F$6:$F$405,G937,'Istoric_Nativ'!$D$6:$D$405,"&lt;"&amp;J937,'Istoric_Nativ'!$P$6:$P$405,1),COUNTIFS('Istoric_Nativ'!$B$6:$B$405,E937,'Istoric_Nativ'!$C$6:$C$405,F937,'Istoric_Nativ'!$E$6:$E$405,G937,'Istoric_Nativ'!$D$6:$D$405,"&lt;"&amp;J937,'Istoric_Nativ'!$P$6:$P$405,1)+COUNTIFS('Istoric_Nativ'!$B$6:$B$405,E937,'Istoric_Nativ'!$C$6:$C$405,F937,'Istoric_Nativ'!$F$6:$F$405,G937,'Istoric_Nativ'!$D$6:$D$405,"&lt;"&amp;J937,'Istoric_Nativ'!$P$6:$P$405,1))))</x:f>
        <x:v>0</x:v>
      </x:c>
      <x:c r="L937" s="17" t="n">
        <x:f>IF(AND(B937&lt;&gt;"",I937="RECENT",K937&gt;0),LARGE(_xlfn._xlws.FILTER('Istoric_Nativ'!$D$6:$D$405,('Istoric_Nativ'!$B$6:$B$405=E937)*('Istoric_Nativ'!$C$6:$C$405=F937)*('Istoric_Nativ'!$P$6:$P$405=1)*('Istoric_Nativ'!$D$6:$D$405&lt;J937)*((('Istoric_Nativ'!$E$6:$E$405=G937)+('Istoric_Nativ'!$F$6:$F$405=G937))&gt;0)),MIN('Config_v6'!$B$54,K937)),0)</x:f>
        <x:v>0</x:v>
      </x:c>
      <x:c r="M937" s="2" t="n">
        <x:f>IF(OR(B937="",F937=""),0,IF(H937="HOME",COUNTIFS('Istoric_Nativ'!$B$6:$B$405,E937,'Istoric_Nativ'!$C$6:$C$405,F937,'Istoric_Nativ'!$E$6:$E$405,G937,'Istoric_Nativ'!$D$6:$D$405,"&lt;"&amp;J937,'Istoric_Nativ'!$P$6:$P$405,1,'Istoric_Nativ'!$D$6:$D$405,"&gt;="&amp;L937),IF(H937="AWAY",COUNTIFS('Istoric_Nativ'!$B$6:$B$405,E937,'Istoric_Nativ'!$C$6:$C$405,F937,'Istoric_Nativ'!$F$6:$F$405,G937,'Istoric_Nativ'!$D$6:$D$405,"&lt;"&amp;J937,'Istoric_Nativ'!$P$6:$P$405,1,'Istoric_Nativ'!$D$6:$D$405,"&gt;="&amp;L937),COUNTIFS('Istoric_Nativ'!$B$6:$B$405,E937,'Istoric_Nativ'!$C$6:$C$405,F937,'Istoric_Nativ'!$E$6:$E$405,G937,'Istoric_Nativ'!$D$6:$D$405,"&lt;"&amp;J937,'Istoric_Nativ'!$P$6:$P$405,1,'Istoric_Nativ'!$D$6:$D$405,"&gt;="&amp;L937)+COUNTIFS('Istoric_Nativ'!$B$6:$B$405,E937,'Istoric_Nativ'!$C$6:$C$405,F937,'Istoric_Nativ'!$F$6:$F$405,G937,'Istoric_Nativ'!$D$6:$D$405,"&lt;"&amp;J937,'Istoric_Nativ'!$P$6:$P$405,1,'Istoric_Nativ'!$D$6:$D$405,"&gt;="&amp;L937))))</x:f>
        <x:v>0</x:v>
      </x:c>
      <x:c r="N937" s="11" t="str">
        <x:f>IF(M937=0,"",IF(H937="HOME",SUMIFS('Istoric_Nativ'!$G$6:$G$405,'Istoric_Nativ'!$B$6:$B$405,E937,'Istoric_Nativ'!$C$6:$C$405,F937,'Istoric_Nativ'!$E$6:$E$405,G937,'Istoric_Nativ'!$D$6:$D$405,"&lt;"&amp;J937,'Istoric_Nativ'!$P$6:$P$405,1,'Istoric_Nativ'!$D$6:$D$405,"&gt;="&amp;L937),IF(H937="AWAY",SUMIFS('Istoric_Nativ'!$H$6:$H$405,'Istoric_Nativ'!$B$6:$B$405,E937,'Istoric_Nativ'!$C$6:$C$405,F937,'Istoric_Nativ'!$F$6:$F$405,G937,'Istoric_Nativ'!$D$6:$D$405,"&lt;"&amp;J937,'Istoric_Nativ'!$P$6:$P$405,1,'Istoric_Nativ'!$D$6:$D$405,"&gt;="&amp;L937),SUMIFS('Istoric_Nativ'!$G$6:$G$405,'Istoric_Nativ'!$B$6:$B$405,E937,'Istoric_Nativ'!$C$6:$C$405,F937,'Istoric_Nativ'!$E$6:$E$405,G937,'Istoric_Nativ'!$D$6:$D$405,"&lt;"&amp;J937,'Istoric_Nativ'!$P$6:$P$405,1,'Istoric_Nativ'!$D$6:$D$405,"&gt;="&amp;L937)+SUMIFS('Istoric_Nativ'!$H$6:$H$405,'Istoric_Nativ'!$B$6:$B$405,E937,'Istoric_Nativ'!$C$6:$C$405,F937,'Istoric_Nativ'!$F$6:$F$405,G937,'Istoric_Nativ'!$D$6:$D$405,"&lt;"&amp;J937,'Istoric_Nativ'!$P$6:$P$405,1,'Istoric_Nativ'!$D$6:$D$405,"&gt;="&amp;L937)))/M937)</x:f>
      </x:c>
      <x:c r="O937" s="11" t="str">
        <x:f>IF(M937=0,"",IF(H937="HOME",SUMIFS('Istoric_Nativ'!$H$6:$H$405,'Istoric_Nativ'!$B$6:$B$405,E937,'Istoric_Nativ'!$C$6:$C$405,F937,'Istoric_Nativ'!$E$6:$E$405,G937,'Istoric_Nativ'!$D$6:$D$405,"&lt;"&amp;J937,'Istoric_Nativ'!$P$6:$P$405,1,'Istoric_Nativ'!$D$6:$D$405,"&gt;="&amp;L937),IF(H937="AWAY",SUMIFS('Istoric_Nativ'!$G$6:$G$405,'Istoric_Nativ'!$B$6:$B$405,E937,'Istoric_Nativ'!$C$6:$C$405,F937,'Istoric_Nativ'!$F$6:$F$405,G937,'Istoric_Nativ'!$D$6:$D$405,"&lt;"&amp;J937,'Istoric_Nativ'!$P$6:$P$405,1,'Istoric_Nativ'!$D$6:$D$405,"&gt;="&amp;L937),SUMIFS('Istoric_Nativ'!$H$6:$H$405,'Istoric_Nativ'!$B$6:$B$405,E937,'Istoric_Nativ'!$C$6:$C$405,F937,'Istoric_Nativ'!$E$6:$E$405,G937,'Istoric_Nativ'!$D$6:$D$405,"&lt;"&amp;J937,'Istoric_Nativ'!$P$6:$P$405,1,'Istoric_Nativ'!$D$6:$D$405,"&gt;="&amp;L937)+SUMIFS('Istoric_Nativ'!$G$6:$G$405,'Istoric_Nativ'!$B$6:$B$405,E937,'Istoric_Nativ'!$C$6:$C$405,F937,'Istoric_Nativ'!$F$6:$F$405,G937,'Istoric_Nativ'!$D$6:$D$405,"&lt;"&amp;J937,'Istoric_Nativ'!$P$6:$P$405,1,'Istoric_Nativ'!$D$6:$D$405,"&gt;="&amp;L937)))/M937)</x:f>
      </x:c>
      <x:c r="P937" s="2" t="n">
        <x:f>'Config_v6'!$B$8</x:f>
        <x:v>5</x:v>
      </x:c>
      <x:c r="Q937" s="2" t="n">
        <x:f>IF(OR(B937="",F937=""),0,IFERROR(MATCH(E937&amp;"|"&amp;F937,SourceTable[Source_Key],0),0))</x:f>
        <x:v>0</x:v>
      </x:c>
      <x:c r="R937" s="2" t="str">
        <x:f>IF(B937="","",IF(F937="","UNUSED",IF(Q937=0,"NOT CHECKED",IF(COUNTIF(SourceTable[Source_Key],E937&amp;"|"&amp;F937)&lt;&gt;1,"SOURCE CONFLICT",IF(NOT(OR(INDEX(SourceTable[Status],MAX(1,Q937))="IMPORTED",INDEX(SourceTable[Status],MAX(1,Q937))="PARTIAL",INDEX(SourceTable[Status],MAX(1,Q937))="SOURCE CONFLICT")),"ACCESS BLOCKED",IF(OR(INDEX(SourceTable[Coverage],Q937)&lt;&gt;"FULL SEASON EXPORT",INDEX(SourceTable[URL],Q937)="",INDEX(SourceTable[SHA256],Q937)=""),"EVIDENCE INCOMPLETE",IF(AND('Input_Meci'!H83="LIVE",INDEX(SourceTable[Retrieved_UTC],Q937)&gt;'Input_Meci'!G83),"POST CUTOFF","CLOSED")))))))</x:f>
      </x:c>
      <x:c r="S937" s="2" t="n">
        <x:f>IF(OR(B937="",F937=""),0,COUNTIFS('Istoric_Nativ'!$B$6:$B$405,E937,'Istoric_Nativ'!$C$6:$C$405,F937,'Istoric_Nativ'!$E$6:$E$405,G937,'Istoric_Nativ'!$D$6:$D$405,"&lt;"&amp;J937,'Istoric_Nativ'!$O$6:$O$405,"INVALID")+COUNTIFS('Istoric_Nativ'!$B$6:$B$405,E937,'Istoric_Nativ'!$C$6:$C$405,F937,'Istoric_Nativ'!$E$6:$E$405,G937,'Istoric_Nativ'!$O$6:$O$405,"INVALID",'Istoric_Nativ'!$D$6:$D$405,"*")+COUNTIFS('Istoric_Nativ'!$B$6:$B$405,E937,'Istoric_Nativ'!$C$6:$C$405,F937,'Istoric_Nativ'!$E$6:$E$405,G937,'Istoric_Nativ'!$D$6:$D$405,"&lt;"&amp;J937,'Istoric_Nativ'!$O$6:$O$405,"SOURCE CONFLICT")+COUNTIFS('Istoric_Nativ'!$B$6:$B$405,E937,'Istoric_Nativ'!$C$6:$C$405,F937,'Istoric_Nativ'!$F$6:$F$405,G937,'Istoric_Nativ'!$D$6:$D$405,"&lt;"&amp;J937,'Istoric_Nativ'!$O$6:$O$405,"INVALID")+COUNTIFS('Istoric_Nativ'!$B$6:$B$405,E937,'Istoric_Nativ'!$C$6:$C$405,F937,'Istoric_Nativ'!$F$6:$F$405,G937,'Istoric_Nativ'!$O$6:$O$405,"INVALID",'Istoric_Nativ'!$D$6:$D$405,"*")+COUNTIFS('Istoric_Nativ'!$B$6:$B$405,E937,'Istoric_Nativ'!$C$6:$C$405,F937,'Istoric_Nativ'!$F$6:$F$405,G937,'Istoric_Nativ'!$D$6:$D$405,"&lt;"&amp;J937,'Istoric_Nativ'!$O$6:$O$405,"SOURCE CONFLICT"))</x:f>
        <x:v>0</x:v>
      </x:c>
      <x:c r="T937" s="2" t="str">
        <x:f>IF(B937="","",IF(R937&lt;&gt;"CLOSED",R937,IF(S937&gt;0,"NATIVE INPUT ISSUE",IF(M937=0,"NO HISTORY",IF(M937&lt;P937,"SMALL SAMPLE","DERIVED")))))</x:f>
      </x:c>
      <x:c r="U937" s="2" t="str">
        <x:f>IF(B937="","","NativeTable; "&amp;E937&amp;"; "&amp;F937&amp;"; "&amp;G937&amp;"; "&amp;H937&amp;"; before "&amp;TEXT(J937,"yyyy-mm-dd")&amp;IF(I937="RECENT","; from "&amp;TEXT(L937,"yyyy-mm-dd"),""))</x:f>
      </x:c>
    </x:row>
    <x:row r="938" ht="21" customHeight="1">
      <x:c r="A938" s="2" t="n">
        <x:v>78</x:v>
      </x:c>
      <x:c r="B938" s="2" t="str">
        <x:f>IF('Input_Meci'!A83="","",'Input_Meci'!A83)</x:f>
      </x:c>
      <x:c r="C938" s="2" t="str">
        <x:v>H</x:v>
      </x:c>
      <x:c r="D938" s="2" t="str">
        <x:v>PRIOR</x:v>
      </x:c>
      <x:c r="E938" s="2" t="str">
        <x:f>IF(B938="","",'Input_Meci'!B83)</x:f>
      </x:c>
      <x:c r="F938" s="2" t="str">
        <x:f>IF(B938="","",IF('Input_Meci'!K83="","",'Input_Meci'!K83))</x:f>
      </x:c>
      <x:c r="G938" s="2" t="str">
        <x:f>IF(B938="","",'Input_Meci'!D83)</x:f>
      </x:c>
      <x:c r="H938" s="2" t="str">
        <x:v>ANY</x:v>
      </x:c>
      <x:c r="I938" s="2" t="str">
        <x:v>RECENT</x:v>
      </x:c>
      <x:c r="J938" s="9" t="n">
        <x:f>IF(AND(B938&lt;&gt;"",ISNUMBER('Input_Meci'!G83)),INT('Input_Meci'!G83),0)</x:f>
        <x:v>0</x:v>
      </x:c>
      <x:c r="K938" s="2" t="n">
        <x:f>IF(OR(B938="",F938=""),0,IF(H938="HOME",COUNTIFS('Istoric_Nativ'!$B$6:$B$405,E938,'Istoric_Nativ'!$C$6:$C$405,F938,'Istoric_Nativ'!$E$6:$E$405,G938,'Istoric_Nativ'!$D$6:$D$405,"&lt;"&amp;J938,'Istoric_Nativ'!$P$6:$P$405,1),IF(H938="AWAY",COUNTIFS('Istoric_Nativ'!$B$6:$B$405,E938,'Istoric_Nativ'!$C$6:$C$405,F938,'Istoric_Nativ'!$F$6:$F$405,G938,'Istoric_Nativ'!$D$6:$D$405,"&lt;"&amp;J938,'Istoric_Nativ'!$P$6:$P$405,1),COUNTIFS('Istoric_Nativ'!$B$6:$B$405,E938,'Istoric_Nativ'!$C$6:$C$405,F938,'Istoric_Nativ'!$E$6:$E$405,G938,'Istoric_Nativ'!$D$6:$D$405,"&lt;"&amp;J938,'Istoric_Nativ'!$P$6:$P$405,1)+COUNTIFS('Istoric_Nativ'!$B$6:$B$405,E938,'Istoric_Nativ'!$C$6:$C$405,F938,'Istoric_Nativ'!$F$6:$F$405,G938,'Istoric_Nativ'!$D$6:$D$405,"&lt;"&amp;J938,'Istoric_Nativ'!$P$6:$P$405,1))))</x:f>
        <x:v>0</x:v>
      </x:c>
      <x:c r="L938" s="17" t="n">
        <x:f>IF(AND(B938&lt;&gt;"",I938="RECENT",K938&gt;0),LARGE(_xlfn._xlws.FILTER('Istoric_Nativ'!$D$6:$D$405,('Istoric_Nativ'!$B$6:$B$405=E938)*('Istoric_Nativ'!$C$6:$C$405=F938)*('Istoric_Nativ'!$P$6:$P$405=1)*('Istoric_Nativ'!$D$6:$D$405&lt;J938)*((('Istoric_Nativ'!$E$6:$E$405=G938)+('Istoric_Nativ'!$F$6:$F$405=G938))&gt;0)),MIN('Config_v6'!$B$54,K938)),0)</x:f>
        <x:v>0</x:v>
      </x:c>
      <x:c r="M938" s="2" t="n">
        <x:f>IF(OR(B938="",F938=""),0,IF(H938="HOME",COUNTIFS('Istoric_Nativ'!$B$6:$B$405,E938,'Istoric_Nativ'!$C$6:$C$405,F938,'Istoric_Nativ'!$E$6:$E$405,G938,'Istoric_Nativ'!$D$6:$D$405,"&lt;"&amp;J938,'Istoric_Nativ'!$P$6:$P$405,1,'Istoric_Nativ'!$D$6:$D$405,"&gt;="&amp;L938),IF(H938="AWAY",COUNTIFS('Istoric_Nativ'!$B$6:$B$405,E938,'Istoric_Nativ'!$C$6:$C$405,F938,'Istoric_Nativ'!$F$6:$F$405,G938,'Istoric_Nativ'!$D$6:$D$405,"&lt;"&amp;J938,'Istoric_Nativ'!$P$6:$P$405,1,'Istoric_Nativ'!$D$6:$D$405,"&gt;="&amp;L938),COUNTIFS('Istoric_Nativ'!$B$6:$B$405,E938,'Istoric_Nativ'!$C$6:$C$405,F938,'Istoric_Nativ'!$E$6:$E$405,G938,'Istoric_Nativ'!$D$6:$D$405,"&lt;"&amp;J938,'Istoric_Nativ'!$P$6:$P$405,1,'Istoric_Nativ'!$D$6:$D$405,"&gt;="&amp;L938)+COUNTIFS('Istoric_Nativ'!$B$6:$B$405,E938,'Istoric_Nativ'!$C$6:$C$405,F938,'Istoric_Nativ'!$F$6:$F$405,G938,'Istoric_Nativ'!$D$6:$D$405,"&lt;"&amp;J938,'Istoric_Nativ'!$P$6:$P$405,1,'Istoric_Nativ'!$D$6:$D$405,"&gt;="&amp;L938))))</x:f>
        <x:v>0</x:v>
      </x:c>
      <x:c r="N938" s="11" t="str">
        <x:f>IF(M938=0,"",IF(H938="HOME",SUMIFS('Istoric_Nativ'!$G$6:$G$405,'Istoric_Nativ'!$B$6:$B$405,E938,'Istoric_Nativ'!$C$6:$C$405,F938,'Istoric_Nativ'!$E$6:$E$405,G938,'Istoric_Nativ'!$D$6:$D$405,"&lt;"&amp;J938,'Istoric_Nativ'!$P$6:$P$405,1,'Istoric_Nativ'!$D$6:$D$405,"&gt;="&amp;L938),IF(H938="AWAY",SUMIFS('Istoric_Nativ'!$H$6:$H$405,'Istoric_Nativ'!$B$6:$B$405,E938,'Istoric_Nativ'!$C$6:$C$405,F938,'Istoric_Nativ'!$F$6:$F$405,G938,'Istoric_Nativ'!$D$6:$D$405,"&lt;"&amp;J938,'Istoric_Nativ'!$P$6:$P$405,1,'Istoric_Nativ'!$D$6:$D$405,"&gt;="&amp;L938),SUMIFS('Istoric_Nativ'!$G$6:$G$405,'Istoric_Nativ'!$B$6:$B$405,E938,'Istoric_Nativ'!$C$6:$C$405,F938,'Istoric_Nativ'!$E$6:$E$405,G938,'Istoric_Nativ'!$D$6:$D$405,"&lt;"&amp;J938,'Istoric_Nativ'!$P$6:$P$405,1,'Istoric_Nativ'!$D$6:$D$405,"&gt;="&amp;L938)+SUMIFS('Istoric_Nativ'!$H$6:$H$405,'Istoric_Nativ'!$B$6:$B$405,E938,'Istoric_Nativ'!$C$6:$C$405,F938,'Istoric_Nativ'!$F$6:$F$405,G938,'Istoric_Nativ'!$D$6:$D$405,"&lt;"&amp;J938,'Istoric_Nativ'!$P$6:$P$405,1,'Istoric_Nativ'!$D$6:$D$405,"&gt;="&amp;L938)))/M938)</x:f>
      </x:c>
      <x:c r="O938" s="11" t="str">
        <x:f>IF(M938=0,"",IF(H938="HOME",SUMIFS('Istoric_Nativ'!$H$6:$H$405,'Istoric_Nativ'!$B$6:$B$405,E938,'Istoric_Nativ'!$C$6:$C$405,F938,'Istoric_Nativ'!$E$6:$E$405,G938,'Istoric_Nativ'!$D$6:$D$405,"&lt;"&amp;J938,'Istoric_Nativ'!$P$6:$P$405,1,'Istoric_Nativ'!$D$6:$D$405,"&gt;="&amp;L938),IF(H938="AWAY",SUMIFS('Istoric_Nativ'!$G$6:$G$405,'Istoric_Nativ'!$B$6:$B$405,E938,'Istoric_Nativ'!$C$6:$C$405,F938,'Istoric_Nativ'!$F$6:$F$405,G938,'Istoric_Nativ'!$D$6:$D$405,"&lt;"&amp;J938,'Istoric_Nativ'!$P$6:$P$405,1,'Istoric_Nativ'!$D$6:$D$405,"&gt;="&amp;L938),SUMIFS('Istoric_Nativ'!$H$6:$H$405,'Istoric_Nativ'!$B$6:$B$405,E938,'Istoric_Nativ'!$C$6:$C$405,F938,'Istoric_Nativ'!$E$6:$E$405,G938,'Istoric_Nativ'!$D$6:$D$405,"&lt;"&amp;J938,'Istoric_Nativ'!$P$6:$P$405,1,'Istoric_Nativ'!$D$6:$D$405,"&gt;="&amp;L938)+SUMIFS('Istoric_Nativ'!$G$6:$G$405,'Istoric_Nativ'!$B$6:$B$405,E938,'Istoric_Nativ'!$C$6:$C$405,F938,'Istoric_Nativ'!$F$6:$F$405,G938,'Istoric_Nativ'!$D$6:$D$405,"&lt;"&amp;J938,'Istoric_Nativ'!$P$6:$P$405,1,'Istoric_Nativ'!$D$6:$D$405,"&gt;="&amp;L938)))/M938)</x:f>
      </x:c>
      <x:c r="P938" s="2" t="n">
        <x:f>'Config_v6'!$B$9</x:f>
        <x:v>3</x:v>
      </x:c>
      <x:c r="Q938" s="2" t="n">
        <x:f>IF(OR(B938="",F938=""),0,IFERROR(MATCH(E938&amp;"|"&amp;F938,SourceTable[Source_Key],0),0))</x:f>
        <x:v>0</x:v>
      </x:c>
      <x:c r="R938" s="2" t="str">
        <x:f>IF(B938="","",IF(F938="","UNUSED",IF(Q938=0,"NOT CHECKED",IF(COUNTIF(SourceTable[Source_Key],E938&amp;"|"&amp;F938)&lt;&gt;1,"SOURCE CONFLICT",IF(NOT(OR(INDEX(SourceTable[Status],MAX(1,Q938))="IMPORTED",INDEX(SourceTable[Status],MAX(1,Q938))="PARTIAL",INDEX(SourceTable[Status],MAX(1,Q938))="SOURCE CONFLICT")),"ACCESS BLOCKED",IF(OR(INDEX(SourceTable[Coverage],Q938)&lt;&gt;"FULL SEASON EXPORT",INDEX(SourceTable[URL],Q938)="",INDEX(SourceTable[SHA256],Q938)=""),"EVIDENCE INCOMPLETE",IF(AND('Input_Meci'!H83="LIVE",INDEX(SourceTable[Retrieved_UTC],Q938)&gt;'Input_Meci'!G83),"POST CUTOFF","CLOSED")))))))</x:f>
      </x:c>
      <x:c r="S938" s="2" t="n">
        <x:f>IF(OR(B938="",F938=""),0,COUNTIFS('Istoric_Nativ'!$B$6:$B$405,E938,'Istoric_Nativ'!$C$6:$C$405,F938,'Istoric_Nativ'!$E$6:$E$405,G938,'Istoric_Nativ'!$D$6:$D$405,"&lt;"&amp;J938,'Istoric_Nativ'!$O$6:$O$405,"INVALID")+COUNTIFS('Istoric_Nativ'!$B$6:$B$405,E938,'Istoric_Nativ'!$C$6:$C$405,F938,'Istoric_Nativ'!$E$6:$E$405,G938,'Istoric_Nativ'!$O$6:$O$405,"INVALID",'Istoric_Nativ'!$D$6:$D$405,"*")+COUNTIFS('Istoric_Nativ'!$B$6:$B$405,E938,'Istoric_Nativ'!$C$6:$C$405,F938,'Istoric_Nativ'!$E$6:$E$405,G938,'Istoric_Nativ'!$D$6:$D$405,"&lt;"&amp;J938,'Istoric_Nativ'!$O$6:$O$405,"SOURCE CONFLICT")+COUNTIFS('Istoric_Nativ'!$B$6:$B$405,E938,'Istoric_Nativ'!$C$6:$C$405,F938,'Istoric_Nativ'!$F$6:$F$405,G938,'Istoric_Nativ'!$D$6:$D$405,"&lt;"&amp;J938,'Istoric_Nativ'!$O$6:$O$405,"INVALID")+COUNTIFS('Istoric_Nativ'!$B$6:$B$405,E938,'Istoric_Nativ'!$C$6:$C$405,F938,'Istoric_Nativ'!$F$6:$F$405,G938,'Istoric_Nativ'!$O$6:$O$405,"INVALID",'Istoric_Nativ'!$D$6:$D$405,"*")+COUNTIFS('Istoric_Nativ'!$B$6:$B$405,E938,'Istoric_Nativ'!$C$6:$C$405,F938,'Istoric_Nativ'!$F$6:$F$405,G938,'Istoric_Nativ'!$D$6:$D$405,"&lt;"&amp;J938,'Istoric_Nativ'!$O$6:$O$405,"SOURCE CONFLICT"))</x:f>
        <x:v>0</x:v>
      </x:c>
      <x:c r="T938" s="2" t="str">
        <x:f>IF(B938="","",IF(R938&lt;&gt;"CLOSED",R938,IF(S938&gt;0,"NATIVE INPUT ISSUE",IF(M938=0,"NO HISTORY",IF(M938&lt;P938,"SMALL SAMPLE","DERIVED")))))</x:f>
      </x:c>
      <x:c r="U938" s="2" t="str">
        <x:f>IF(B938="","","NativeTable; "&amp;E938&amp;"; "&amp;F938&amp;"; "&amp;G938&amp;"; "&amp;H938&amp;"; before "&amp;TEXT(J938,"yyyy-mm-dd")&amp;IF(I938="RECENT","; from "&amp;TEXT(L938,"yyyy-mm-dd"),""))</x:f>
      </x:c>
    </x:row>
    <x:row r="939" ht="21" customHeight="1">
      <x:c r="A939" s="2" t="n">
        <x:v>78</x:v>
      </x:c>
      <x:c r="B939" s="2" t="str">
        <x:f>IF('Input_Meci'!A83="","",'Input_Meci'!A83)</x:f>
      </x:c>
      <x:c r="C939" s="2" t="str">
        <x:v>A</x:v>
      </x:c>
      <x:c r="D939" s="2" t="str">
        <x:v>PRIOR</x:v>
      </x:c>
      <x:c r="E939" s="2" t="str">
        <x:f>IF(B939="","",'Input_Meci'!B83)</x:f>
      </x:c>
      <x:c r="F939" s="2" t="str">
        <x:f>IF(B939="","",IF('Input_Meci'!K83="","",'Input_Meci'!K83))</x:f>
      </x:c>
      <x:c r="G939" s="2" t="str">
        <x:f>IF(B939="","",'Input_Meci'!E83)</x:f>
      </x:c>
      <x:c r="H939" s="2" t="str">
        <x:v>ANY</x:v>
      </x:c>
      <x:c r="I939" s="2" t="str">
        <x:v>SEASON</x:v>
      </x:c>
      <x:c r="J939" s="9" t="n">
        <x:f>IF(AND(B939&lt;&gt;"",ISNUMBER('Input_Meci'!G83)),INT('Input_Meci'!G83),0)</x:f>
        <x:v>0</x:v>
      </x:c>
      <x:c r="K939" s="2" t="n">
        <x:f>IF(OR(B939="",F939=""),0,IF(H939="HOME",COUNTIFS('Istoric_Nativ'!$B$6:$B$405,E939,'Istoric_Nativ'!$C$6:$C$405,F939,'Istoric_Nativ'!$E$6:$E$405,G939,'Istoric_Nativ'!$D$6:$D$405,"&lt;"&amp;J939,'Istoric_Nativ'!$P$6:$P$405,1),IF(H939="AWAY",COUNTIFS('Istoric_Nativ'!$B$6:$B$405,E939,'Istoric_Nativ'!$C$6:$C$405,F939,'Istoric_Nativ'!$F$6:$F$405,G939,'Istoric_Nativ'!$D$6:$D$405,"&lt;"&amp;J939,'Istoric_Nativ'!$P$6:$P$405,1),COUNTIFS('Istoric_Nativ'!$B$6:$B$405,E939,'Istoric_Nativ'!$C$6:$C$405,F939,'Istoric_Nativ'!$E$6:$E$405,G939,'Istoric_Nativ'!$D$6:$D$405,"&lt;"&amp;J939,'Istoric_Nativ'!$P$6:$P$405,1)+COUNTIFS('Istoric_Nativ'!$B$6:$B$405,E939,'Istoric_Nativ'!$C$6:$C$405,F939,'Istoric_Nativ'!$F$6:$F$405,G939,'Istoric_Nativ'!$D$6:$D$405,"&lt;"&amp;J939,'Istoric_Nativ'!$P$6:$P$405,1))))</x:f>
        <x:v>0</x:v>
      </x:c>
      <x:c r="L939" s="17" t="n">
        <x:f>IF(AND(B939&lt;&gt;"",I939="RECENT",K939&gt;0),LARGE(_xlfn._xlws.FILTER('Istoric_Nativ'!$D$6:$D$405,('Istoric_Nativ'!$B$6:$B$405=E939)*('Istoric_Nativ'!$C$6:$C$405=F939)*('Istoric_Nativ'!$P$6:$P$405=1)*('Istoric_Nativ'!$D$6:$D$405&lt;J939)*((('Istoric_Nativ'!$E$6:$E$405=G939)+('Istoric_Nativ'!$F$6:$F$405=G939))&gt;0)),MIN('Config_v6'!$B$54,K939)),0)</x:f>
        <x:v>0</x:v>
      </x:c>
      <x:c r="M939" s="2" t="n">
        <x:f>IF(OR(B939="",F939=""),0,IF(H939="HOME",COUNTIFS('Istoric_Nativ'!$B$6:$B$405,E939,'Istoric_Nativ'!$C$6:$C$405,F939,'Istoric_Nativ'!$E$6:$E$405,G939,'Istoric_Nativ'!$D$6:$D$405,"&lt;"&amp;J939,'Istoric_Nativ'!$P$6:$P$405,1,'Istoric_Nativ'!$D$6:$D$405,"&gt;="&amp;L939),IF(H939="AWAY",COUNTIFS('Istoric_Nativ'!$B$6:$B$405,E939,'Istoric_Nativ'!$C$6:$C$405,F939,'Istoric_Nativ'!$F$6:$F$405,G939,'Istoric_Nativ'!$D$6:$D$405,"&lt;"&amp;J939,'Istoric_Nativ'!$P$6:$P$405,1,'Istoric_Nativ'!$D$6:$D$405,"&gt;="&amp;L939),COUNTIFS('Istoric_Nativ'!$B$6:$B$405,E939,'Istoric_Nativ'!$C$6:$C$405,F939,'Istoric_Nativ'!$E$6:$E$405,G939,'Istoric_Nativ'!$D$6:$D$405,"&lt;"&amp;J939,'Istoric_Nativ'!$P$6:$P$405,1,'Istoric_Nativ'!$D$6:$D$405,"&gt;="&amp;L939)+COUNTIFS('Istoric_Nativ'!$B$6:$B$405,E939,'Istoric_Nativ'!$C$6:$C$405,F939,'Istoric_Nativ'!$F$6:$F$405,G939,'Istoric_Nativ'!$D$6:$D$405,"&lt;"&amp;J939,'Istoric_Nativ'!$P$6:$P$405,1,'Istoric_Nativ'!$D$6:$D$405,"&gt;="&amp;L939))))</x:f>
        <x:v>0</x:v>
      </x:c>
      <x:c r="N939" s="11" t="str">
        <x:f>IF(M939=0,"",IF(H939="HOME",SUMIFS('Istoric_Nativ'!$G$6:$G$405,'Istoric_Nativ'!$B$6:$B$405,E939,'Istoric_Nativ'!$C$6:$C$405,F939,'Istoric_Nativ'!$E$6:$E$405,G939,'Istoric_Nativ'!$D$6:$D$405,"&lt;"&amp;J939,'Istoric_Nativ'!$P$6:$P$405,1,'Istoric_Nativ'!$D$6:$D$405,"&gt;="&amp;L939),IF(H939="AWAY",SUMIFS('Istoric_Nativ'!$H$6:$H$405,'Istoric_Nativ'!$B$6:$B$405,E939,'Istoric_Nativ'!$C$6:$C$405,F939,'Istoric_Nativ'!$F$6:$F$405,G939,'Istoric_Nativ'!$D$6:$D$405,"&lt;"&amp;J939,'Istoric_Nativ'!$P$6:$P$405,1,'Istoric_Nativ'!$D$6:$D$405,"&gt;="&amp;L939),SUMIFS('Istoric_Nativ'!$G$6:$G$405,'Istoric_Nativ'!$B$6:$B$405,E939,'Istoric_Nativ'!$C$6:$C$405,F939,'Istoric_Nativ'!$E$6:$E$405,G939,'Istoric_Nativ'!$D$6:$D$405,"&lt;"&amp;J939,'Istoric_Nativ'!$P$6:$P$405,1,'Istoric_Nativ'!$D$6:$D$405,"&gt;="&amp;L939)+SUMIFS('Istoric_Nativ'!$H$6:$H$405,'Istoric_Nativ'!$B$6:$B$405,E939,'Istoric_Nativ'!$C$6:$C$405,F939,'Istoric_Nativ'!$F$6:$F$405,G939,'Istoric_Nativ'!$D$6:$D$405,"&lt;"&amp;J939,'Istoric_Nativ'!$P$6:$P$405,1,'Istoric_Nativ'!$D$6:$D$405,"&gt;="&amp;L939)))/M939)</x:f>
      </x:c>
      <x:c r="O939" s="11" t="str">
        <x:f>IF(M939=0,"",IF(H939="HOME",SUMIFS('Istoric_Nativ'!$H$6:$H$405,'Istoric_Nativ'!$B$6:$B$405,E939,'Istoric_Nativ'!$C$6:$C$405,F939,'Istoric_Nativ'!$E$6:$E$405,G939,'Istoric_Nativ'!$D$6:$D$405,"&lt;"&amp;J939,'Istoric_Nativ'!$P$6:$P$405,1,'Istoric_Nativ'!$D$6:$D$405,"&gt;="&amp;L939),IF(H939="AWAY",SUMIFS('Istoric_Nativ'!$G$6:$G$405,'Istoric_Nativ'!$B$6:$B$405,E939,'Istoric_Nativ'!$C$6:$C$405,F939,'Istoric_Nativ'!$F$6:$F$405,G939,'Istoric_Nativ'!$D$6:$D$405,"&lt;"&amp;J939,'Istoric_Nativ'!$P$6:$P$405,1,'Istoric_Nativ'!$D$6:$D$405,"&gt;="&amp;L939),SUMIFS('Istoric_Nativ'!$H$6:$H$405,'Istoric_Nativ'!$B$6:$B$405,E939,'Istoric_Nativ'!$C$6:$C$405,F939,'Istoric_Nativ'!$E$6:$E$405,G939,'Istoric_Nativ'!$D$6:$D$405,"&lt;"&amp;J939,'Istoric_Nativ'!$P$6:$P$405,1,'Istoric_Nativ'!$D$6:$D$405,"&gt;="&amp;L939)+SUMIFS('Istoric_Nativ'!$G$6:$G$405,'Istoric_Nativ'!$B$6:$B$405,E939,'Istoric_Nativ'!$C$6:$C$405,F939,'Istoric_Nativ'!$F$6:$F$405,G939,'Istoric_Nativ'!$D$6:$D$405,"&lt;"&amp;J939,'Istoric_Nativ'!$P$6:$P$405,1,'Istoric_Nativ'!$D$6:$D$405,"&gt;="&amp;L939)))/M939)</x:f>
      </x:c>
      <x:c r="P939" s="2" t="n">
        <x:f>'Config_v6'!$B$7</x:f>
        <x:v>10</x:v>
      </x:c>
      <x:c r="Q939" s="2" t="n">
        <x:f>IF(OR(B939="",F939=""),0,IFERROR(MATCH(E939&amp;"|"&amp;F939,SourceTable[Source_Key],0),0))</x:f>
        <x:v>0</x:v>
      </x:c>
      <x:c r="R939" s="2" t="str">
        <x:f>IF(B939="","",IF(F939="","UNUSED",IF(Q939=0,"NOT CHECKED",IF(COUNTIF(SourceTable[Source_Key],E939&amp;"|"&amp;F939)&lt;&gt;1,"SOURCE CONFLICT",IF(NOT(OR(INDEX(SourceTable[Status],MAX(1,Q939))="IMPORTED",INDEX(SourceTable[Status],MAX(1,Q939))="PARTIAL",INDEX(SourceTable[Status],MAX(1,Q939))="SOURCE CONFLICT")),"ACCESS BLOCKED",IF(OR(INDEX(SourceTable[Coverage],Q939)&lt;&gt;"FULL SEASON EXPORT",INDEX(SourceTable[URL],Q939)="",INDEX(SourceTable[SHA256],Q939)=""),"EVIDENCE INCOMPLETE",IF(AND('Input_Meci'!H83="LIVE",INDEX(SourceTable[Retrieved_UTC],Q939)&gt;'Input_Meci'!G83),"POST CUTOFF","CLOSED")))))))</x:f>
      </x:c>
      <x:c r="S939" s="2" t="n">
        <x:f>IF(OR(B939="",F939=""),0,COUNTIFS('Istoric_Nativ'!$B$6:$B$405,E939,'Istoric_Nativ'!$C$6:$C$405,F939,'Istoric_Nativ'!$E$6:$E$405,G939,'Istoric_Nativ'!$D$6:$D$405,"&lt;"&amp;J939,'Istoric_Nativ'!$O$6:$O$405,"INVALID")+COUNTIFS('Istoric_Nativ'!$B$6:$B$405,E939,'Istoric_Nativ'!$C$6:$C$405,F939,'Istoric_Nativ'!$E$6:$E$405,G939,'Istoric_Nativ'!$O$6:$O$405,"INVALID",'Istoric_Nativ'!$D$6:$D$405,"*")+COUNTIFS('Istoric_Nativ'!$B$6:$B$405,E939,'Istoric_Nativ'!$C$6:$C$405,F939,'Istoric_Nativ'!$E$6:$E$405,G939,'Istoric_Nativ'!$D$6:$D$405,"&lt;"&amp;J939,'Istoric_Nativ'!$O$6:$O$405,"SOURCE CONFLICT")+COUNTIFS('Istoric_Nativ'!$B$6:$B$405,E939,'Istoric_Nativ'!$C$6:$C$405,F939,'Istoric_Nativ'!$F$6:$F$405,G939,'Istoric_Nativ'!$D$6:$D$405,"&lt;"&amp;J939,'Istoric_Nativ'!$O$6:$O$405,"INVALID")+COUNTIFS('Istoric_Nativ'!$B$6:$B$405,E939,'Istoric_Nativ'!$C$6:$C$405,F939,'Istoric_Nativ'!$F$6:$F$405,G939,'Istoric_Nativ'!$O$6:$O$405,"INVALID",'Istoric_Nativ'!$D$6:$D$405,"*")+COUNTIFS('Istoric_Nativ'!$B$6:$B$405,E939,'Istoric_Nativ'!$C$6:$C$405,F939,'Istoric_Nativ'!$F$6:$F$405,G939,'Istoric_Nativ'!$D$6:$D$405,"&lt;"&amp;J939,'Istoric_Nativ'!$O$6:$O$405,"SOURCE CONFLICT"))</x:f>
        <x:v>0</x:v>
      </x:c>
      <x:c r="T939" s="2" t="str">
        <x:f>IF(B939="","",IF(R939&lt;&gt;"CLOSED",R939,IF(S939&gt;0,"NATIVE INPUT ISSUE",IF(M939=0,"NO HISTORY",IF(M939&lt;P939,"SMALL SAMPLE","DERIVED")))))</x:f>
      </x:c>
      <x:c r="U939" s="2" t="str">
        <x:f>IF(B939="","","NativeTable; "&amp;E939&amp;"; "&amp;F939&amp;"; "&amp;G939&amp;"; "&amp;H939&amp;"; before "&amp;TEXT(J939,"yyyy-mm-dd")&amp;IF(I939="RECENT","; from "&amp;TEXT(L939,"yyyy-mm-dd"),""))</x:f>
      </x:c>
    </x:row>
    <x:row r="940" ht="21" customHeight="1">
      <x:c r="A940" s="2" t="n">
        <x:v>78</x:v>
      </x:c>
      <x:c r="B940" s="2" t="str">
        <x:f>IF('Input_Meci'!A83="","",'Input_Meci'!A83)</x:f>
      </x:c>
      <x:c r="C940" s="2" t="str">
        <x:v>A</x:v>
      </x:c>
      <x:c r="D940" s="2" t="str">
        <x:v>PRIOR</x:v>
      </x:c>
      <x:c r="E940" s="2" t="str">
        <x:f>IF(B940="","",'Input_Meci'!B83)</x:f>
      </x:c>
      <x:c r="F940" s="2" t="str">
        <x:f>IF(B940="","",IF('Input_Meci'!K83="","",'Input_Meci'!K83))</x:f>
      </x:c>
      <x:c r="G940" s="2" t="str">
        <x:f>IF(B940="","",'Input_Meci'!E83)</x:f>
      </x:c>
      <x:c r="H940" s="2" t="str">
        <x:v>AWAY</x:v>
      </x:c>
      <x:c r="I940" s="2" t="str">
        <x:v>HA</x:v>
      </x:c>
      <x:c r="J940" s="9" t="n">
        <x:f>IF(AND(B940&lt;&gt;"",ISNUMBER('Input_Meci'!G83)),INT('Input_Meci'!G83),0)</x:f>
        <x:v>0</x:v>
      </x:c>
      <x:c r="K940" s="2" t="n">
        <x:f>IF(OR(B940="",F940=""),0,IF(H940="HOME",COUNTIFS('Istoric_Nativ'!$B$6:$B$405,E940,'Istoric_Nativ'!$C$6:$C$405,F940,'Istoric_Nativ'!$E$6:$E$405,G940,'Istoric_Nativ'!$D$6:$D$405,"&lt;"&amp;J940,'Istoric_Nativ'!$P$6:$P$405,1),IF(H940="AWAY",COUNTIFS('Istoric_Nativ'!$B$6:$B$405,E940,'Istoric_Nativ'!$C$6:$C$405,F940,'Istoric_Nativ'!$F$6:$F$405,G940,'Istoric_Nativ'!$D$6:$D$405,"&lt;"&amp;J940,'Istoric_Nativ'!$P$6:$P$405,1),COUNTIFS('Istoric_Nativ'!$B$6:$B$405,E940,'Istoric_Nativ'!$C$6:$C$405,F940,'Istoric_Nativ'!$E$6:$E$405,G940,'Istoric_Nativ'!$D$6:$D$405,"&lt;"&amp;J940,'Istoric_Nativ'!$P$6:$P$405,1)+COUNTIFS('Istoric_Nativ'!$B$6:$B$405,E940,'Istoric_Nativ'!$C$6:$C$405,F940,'Istoric_Nativ'!$F$6:$F$405,G940,'Istoric_Nativ'!$D$6:$D$405,"&lt;"&amp;J940,'Istoric_Nativ'!$P$6:$P$405,1))))</x:f>
        <x:v>0</x:v>
      </x:c>
      <x:c r="L940" s="17" t="n">
        <x:f>IF(AND(B940&lt;&gt;"",I940="RECENT",K940&gt;0),LARGE(_xlfn._xlws.FILTER('Istoric_Nativ'!$D$6:$D$405,('Istoric_Nativ'!$B$6:$B$405=E940)*('Istoric_Nativ'!$C$6:$C$405=F940)*('Istoric_Nativ'!$P$6:$P$405=1)*('Istoric_Nativ'!$D$6:$D$405&lt;J940)*((('Istoric_Nativ'!$E$6:$E$405=G940)+('Istoric_Nativ'!$F$6:$F$405=G940))&gt;0)),MIN('Config_v6'!$B$54,K940)),0)</x:f>
        <x:v>0</x:v>
      </x:c>
      <x:c r="M940" s="2" t="n">
        <x:f>IF(OR(B940="",F940=""),0,IF(H940="HOME",COUNTIFS('Istoric_Nativ'!$B$6:$B$405,E940,'Istoric_Nativ'!$C$6:$C$405,F940,'Istoric_Nativ'!$E$6:$E$405,G940,'Istoric_Nativ'!$D$6:$D$405,"&lt;"&amp;J940,'Istoric_Nativ'!$P$6:$P$405,1,'Istoric_Nativ'!$D$6:$D$405,"&gt;="&amp;L940),IF(H940="AWAY",COUNTIFS('Istoric_Nativ'!$B$6:$B$405,E940,'Istoric_Nativ'!$C$6:$C$405,F940,'Istoric_Nativ'!$F$6:$F$405,G940,'Istoric_Nativ'!$D$6:$D$405,"&lt;"&amp;J940,'Istoric_Nativ'!$P$6:$P$405,1,'Istoric_Nativ'!$D$6:$D$405,"&gt;="&amp;L940),COUNTIFS('Istoric_Nativ'!$B$6:$B$405,E940,'Istoric_Nativ'!$C$6:$C$405,F940,'Istoric_Nativ'!$E$6:$E$405,G940,'Istoric_Nativ'!$D$6:$D$405,"&lt;"&amp;J940,'Istoric_Nativ'!$P$6:$P$405,1,'Istoric_Nativ'!$D$6:$D$405,"&gt;="&amp;L940)+COUNTIFS('Istoric_Nativ'!$B$6:$B$405,E940,'Istoric_Nativ'!$C$6:$C$405,F940,'Istoric_Nativ'!$F$6:$F$405,G940,'Istoric_Nativ'!$D$6:$D$405,"&lt;"&amp;J940,'Istoric_Nativ'!$P$6:$P$405,1,'Istoric_Nativ'!$D$6:$D$405,"&gt;="&amp;L940))))</x:f>
        <x:v>0</x:v>
      </x:c>
      <x:c r="N940" s="11" t="str">
        <x:f>IF(M940=0,"",IF(H940="HOME",SUMIFS('Istoric_Nativ'!$G$6:$G$405,'Istoric_Nativ'!$B$6:$B$405,E940,'Istoric_Nativ'!$C$6:$C$405,F940,'Istoric_Nativ'!$E$6:$E$405,G940,'Istoric_Nativ'!$D$6:$D$405,"&lt;"&amp;J940,'Istoric_Nativ'!$P$6:$P$405,1,'Istoric_Nativ'!$D$6:$D$405,"&gt;="&amp;L940),IF(H940="AWAY",SUMIFS('Istoric_Nativ'!$H$6:$H$405,'Istoric_Nativ'!$B$6:$B$405,E940,'Istoric_Nativ'!$C$6:$C$405,F940,'Istoric_Nativ'!$F$6:$F$405,G940,'Istoric_Nativ'!$D$6:$D$405,"&lt;"&amp;J940,'Istoric_Nativ'!$P$6:$P$405,1,'Istoric_Nativ'!$D$6:$D$405,"&gt;="&amp;L940),SUMIFS('Istoric_Nativ'!$G$6:$G$405,'Istoric_Nativ'!$B$6:$B$405,E940,'Istoric_Nativ'!$C$6:$C$405,F940,'Istoric_Nativ'!$E$6:$E$405,G940,'Istoric_Nativ'!$D$6:$D$405,"&lt;"&amp;J940,'Istoric_Nativ'!$P$6:$P$405,1,'Istoric_Nativ'!$D$6:$D$405,"&gt;="&amp;L940)+SUMIFS('Istoric_Nativ'!$H$6:$H$405,'Istoric_Nativ'!$B$6:$B$405,E940,'Istoric_Nativ'!$C$6:$C$405,F940,'Istoric_Nativ'!$F$6:$F$405,G940,'Istoric_Nativ'!$D$6:$D$405,"&lt;"&amp;J940,'Istoric_Nativ'!$P$6:$P$405,1,'Istoric_Nativ'!$D$6:$D$405,"&gt;="&amp;L940)))/M940)</x:f>
      </x:c>
      <x:c r="O940" s="11" t="str">
        <x:f>IF(M940=0,"",IF(H940="HOME",SUMIFS('Istoric_Nativ'!$H$6:$H$405,'Istoric_Nativ'!$B$6:$B$405,E940,'Istoric_Nativ'!$C$6:$C$405,F940,'Istoric_Nativ'!$E$6:$E$405,G940,'Istoric_Nativ'!$D$6:$D$405,"&lt;"&amp;J940,'Istoric_Nativ'!$P$6:$P$405,1,'Istoric_Nativ'!$D$6:$D$405,"&gt;="&amp;L940),IF(H940="AWAY",SUMIFS('Istoric_Nativ'!$G$6:$G$405,'Istoric_Nativ'!$B$6:$B$405,E940,'Istoric_Nativ'!$C$6:$C$405,F940,'Istoric_Nativ'!$F$6:$F$405,G940,'Istoric_Nativ'!$D$6:$D$405,"&lt;"&amp;J940,'Istoric_Nativ'!$P$6:$P$405,1,'Istoric_Nativ'!$D$6:$D$405,"&gt;="&amp;L940),SUMIFS('Istoric_Nativ'!$H$6:$H$405,'Istoric_Nativ'!$B$6:$B$405,E940,'Istoric_Nativ'!$C$6:$C$405,F940,'Istoric_Nativ'!$E$6:$E$405,G940,'Istoric_Nativ'!$D$6:$D$405,"&lt;"&amp;J940,'Istoric_Nativ'!$P$6:$P$405,1,'Istoric_Nativ'!$D$6:$D$405,"&gt;="&amp;L940)+SUMIFS('Istoric_Nativ'!$G$6:$G$405,'Istoric_Nativ'!$B$6:$B$405,E940,'Istoric_Nativ'!$C$6:$C$405,F940,'Istoric_Nativ'!$F$6:$F$405,G940,'Istoric_Nativ'!$D$6:$D$405,"&lt;"&amp;J940,'Istoric_Nativ'!$P$6:$P$405,1,'Istoric_Nativ'!$D$6:$D$405,"&gt;="&amp;L940)))/M940)</x:f>
      </x:c>
      <x:c r="P940" s="2" t="n">
        <x:f>'Config_v6'!$B$8</x:f>
        <x:v>5</x:v>
      </x:c>
      <x:c r="Q940" s="2" t="n">
        <x:f>IF(OR(B940="",F940=""),0,IFERROR(MATCH(E940&amp;"|"&amp;F940,SourceTable[Source_Key],0),0))</x:f>
        <x:v>0</x:v>
      </x:c>
      <x:c r="R940" s="2" t="str">
        <x:f>IF(B940="","",IF(F940="","UNUSED",IF(Q940=0,"NOT CHECKED",IF(COUNTIF(SourceTable[Source_Key],E940&amp;"|"&amp;F940)&lt;&gt;1,"SOURCE CONFLICT",IF(NOT(OR(INDEX(SourceTable[Status],MAX(1,Q940))="IMPORTED",INDEX(SourceTable[Status],MAX(1,Q940))="PARTIAL",INDEX(SourceTable[Status],MAX(1,Q940))="SOURCE CONFLICT")),"ACCESS BLOCKED",IF(OR(INDEX(SourceTable[Coverage],Q940)&lt;&gt;"FULL SEASON EXPORT",INDEX(SourceTable[URL],Q940)="",INDEX(SourceTable[SHA256],Q940)=""),"EVIDENCE INCOMPLETE",IF(AND('Input_Meci'!H83="LIVE",INDEX(SourceTable[Retrieved_UTC],Q940)&gt;'Input_Meci'!G83),"POST CUTOFF","CLOSED")))))))</x:f>
      </x:c>
      <x:c r="S940" s="2" t="n">
        <x:f>IF(OR(B940="",F940=""),0,COUNTIFS('Istoric_Nativ'!$B$6:$B$405,E940,'Istoric_Nativ'!$C$6:$C$405,F940,'Istoric_Nativ'!$E$6:$E$405,G940,'Istoric_Nativ'!$D$6:$D$405,"&lt;"&amp;J940,'Istoric_Nativ'!$O$6:$O$405,"INVALID")+COUNTIFS('Istoric_Nativ'!$B$6:$B$405,E940,'Istoric_Nativ'!$C$6:$C$405,F940,'Istoric_Nativ'!$E$6:$E$405,G940,'Istoric_Nativ'!$O$6:$O$405,"INVALID",'Istoric_Nativ'!$D$6:$D$405,"*")+COUNTIFS('Istoric_Nativ'!$B$6:$B$405,E940,'Istoric_Nativ'!$C$6:$C$405,F940,'Istoric_Nativ'!$E$6:$E$405,G940,'Istoric_Nativ'!$D$6:$D$405,"&lt;"&amp;J940,'Istoric_Nativ'!$O$6:$O$405,"SOURCE CONFLICT")+COUNTIFS('Istoric_Nativ'!$B$6:$B$405,E940,'Istoric_Nativ'!$C$6:$C$405,F940,'Istoric_Nativ'!$F$6:$F$405,G940,'Istoric_Nativ'!$D$6:$D$405,"&lt;"&amp;J940,'Istoric_Nativ'!$O$6:$O$405,"INVALID")+COUNTIFS('Istoric_Nativ'!$B$6:$B$405,E940,'Istoric_Nativ'!$C$6:$C$405,F940,'Istoric_Nativ'!$F$6:$F$405,G940,'Istoric_Nativ'!$O$6:$O$405,"INVALID",'Istoric_Nativ'!$D$6:$D$405,"*")+COUNTIFS('Istoric_Nativ'!$B$6:$B$405,E940,'Istoric_Nativ'!$C$6:$C$405,F940,'Istoric_Nativ'!$F$6:$F$405,G940,'Istoric_Nativ'!$D$6:$D$405,"&lt;"&amp;J940,'Istoric_Nativ'!$O$6:$O$405,"SOURCE CONFLICT"))</x:f>
        <x:v>0</x:v>
      </x:c>
      <x:c r="T940" s="2" t="str">
        <x:f>IF(B940="","",IF(R940&lt;&gt;"CLOSED",R940,IF(S940&gt;0,"NATIVE INPUT ISSUE",IF(M940=0,"NO HISTORY",IF(M940&lt;P940,"SMALL SAMPLE","DERIVED")))))</x:f>
      </x:c>
      <x:c r="U940" s="2" t="str">
        <x:f>IF(B940="","","NativeTable; "&amp;E940&amp;"; "&amp;F940&amp;"; "&amp;G940&amp;"; "&amp;H940&amp;"; before "&amp;TEXT(J940,"yyyy-mm-dd")&amp;IF(I940="RECENT","; from "&amp;TEXT(L940,"yyyy-mm-dd"),""))</x:f>
      </x:c>
    </x:row>
    <x:row r="941" ht="21" customHeight="1">
      <x:c r="A941" s="2" t="n">
        <x:v>78</x:v>
      </x:c>
      <x:c r="B941" s="2" t="str">
        <x:f>IF('Input_Meci'!A83="","",'Input_Meci'!A83)</x:f>
      </x:c>
      <x:c r="C941" s="2" t="str">
        <x:v>A</x:v>
      </x:c>
      <x:c r="D941" s="2" t="str">
        <x:v>PRIOR</x:v>
      </x:c>
      <x:c r="E941" s="2" t="str">
        <x:f>IF(B941="","",'Input_Meci'!B83)</x:f>
      </x:c>
      <x:c r="F941" s="2" t="str">
        <x:f>IF(B941="","",IF('Input_Meci'!K83="","",'Input_Meci'!K83))</x:f>
      </x:c>
      <x:c r="G941" s="2" t="str">
        <x:f>IF(B941="","",'Input_Meci'!E83)</x:f>
      </x:c>
      <x:c r="H941" s="2" t="str">
        <x:v>ANY</x:v>
      </x:c>
      <x:c r="I941" s="2" t="str">
        <x:v>RECENT</x:v>
      </x:c>
      <x:c r="J941" s="9" t="n">
        <x:f>IF(AND(B941&lt;&gt;"",ISNUMBER('Input_Meci'!G83)),INT('Input_Meci'!G83),0)</x:f>
        <x:v>0</x:v>
      </x:c>
      <x:c r="K941" s="2" t="n">
        <x:f>IF(OR(B941="",F941=""),0,IF(H941="HOME",COUNTIFS('Istoric_Nativ'!$B$6:$B$405,E941,'Istoric_Nativ'!$C$6:$C$405,F941,'Istoric_Nativ'!$E$6:$E$405,G941,'Istoric_Nativ'!$D$6:$D$405,"&lt;"&amp;J941,'Istoric_Nativ'!$P$6:$P$405,1),IF(H941="AWAY",COUNTIFS('Istoric_Nativ'!$B$6:$B$405,E941,'Istoric_Nativ'!$C$6:$C$405,F941,'Istoric_Nativ'!$F$6:$F$405,G941,'Istoric_Nativ'!$D$6:$D$405,"&lt;"&amp;J941,'Istoric_Nativ'!$P$6:$P$405,1),COUNTIFS('Istoric_Nativ'!$B$6:$B$405,E941,'Istoric_Nativ'!$C$6:$C$405,F941,'Istoric_Nativ'!$E$6:$E$405,G941,'Istoric_Nativ'!$D$6:$D$405,"&lt;"&amp;J941,'Istoric_Nativ'!$P$6:$P$405,1)+COUNTIFS('Istoric_Nativ'!$B$6:$B$405,E941,'Istoric_Nativ'!$C$6:$C$405,F941,'Istoric_Nativ'!$F$6:$F$405,G941,'Istoric_Nativ'!$D$6:$D$405,"&lt;"&amp;J941,'Istoric_Nativ'!$P$6:$P$405,1))))</x:f>
        <x:v>0</x:v>
      </x:c>
      <x:c r="L941" s="17" t="n">
        <x:f>IF(AND(B941&lt;&gt;"",I941="RECENT",K941&gt;0),LARGE(_xlfn._xlws.FILTER('Istoric_Nativ'!$D$6:$D$405,('Istoric_Nativ'!$B$6:$B$405=E941)*('Istoric_Nativ'!$C$6:$C$405=F941)*('Istoric_Nativ'!$P$6:$P$405=1)*('Istoric_Nativ'!$D$6:$D$405&lt;J941)*((('Istoric_Nativ'!$E$6:$E$405=G941)+('Istoric_Nativ'!$F$6:$F$405=G941))&gt;0)),MIN('Config_v6'!$B$54,K941)),0)</x:f>
        <x:v>0</x:v>
      </x:c>
      <x:c r="M941" s="2" t="n">
        <x:f>IF(OR(B941="",F941=""),0,IF(H941="HOME",COUNTIFS('Istoric_Nativ'!$B$6:$B$405,E941,'Istoric_Nativ'!$C$6:$C$405,F941,'Istoric_Nativ'!$E$6:$E$405,G941,'Istoric_Nativ'!$D$6:$D$405,"&lt;"&amp;J941,'Istoric_Nativ'!$P$6:$P$405,1,'Istoric_Nativ'!$D$6:$D$405,"&gt;="&amp;L941),IF(H941="AWAY",COUNTIFS('Istoric_Nativ'!$B$6:$B$405,E941,'Istoric_Nativ'!$C$6:$C$405,F941,'Istoric_Nativ'!$F$6:$F$405,G941,'Istoric_Nativ'!$D$6:$D$405,"&lt;"&amp;J941,'Istoric_Nativ'!$P$6:$P$405,1,'Istoric_Nativ'!$D$6:$D$405,"&gt;="&amp;L941),COUNTIFS('Istoric_Nativ'!$B$6:$B$405,E941,'Istoric_Nativ'!$C$6:$C$405,F941,'Istoric_Nativ'!$E$6:$E$405,G941,'Istoric_Nativ'!$D$6:$D$405,"&lt;"&amp;J941,'Istoric_Nativ'!$P$6:$P$405,1,'Istoric_Nativ'!$D$6:$D$405,"&gt;="&amp;L941)+COUNTIFS('Istoric_Nativ'!$B$6:$B$405,E941,'Istoric_Nativ'!$C$6:$C$405,F941,'Istoric_Nativ'!$F$6:$F$405,G941,'Istoric_Nativ'!$D$6:$D$405,"&lt;"&amp;J941,'Istoric_Nativ'!$P$6:$P$405,1,'Istoric_Nativ'!$D$6:$D$405,"&gt;="&amp;L941))))</x:f>
        <x:v>0</x:v>
      </x:c>
      <x:c r="N941" s="11" t="str">
        <x:f>IF(M941=0,"",IF(H941="HOME",SUMIFS('Istoric_Nativ'!$G$6:$G$405,'Istoric_Nativ'!$B$6:$B$405,E941,'Istoric_Nativ'!$C$6:$C$405,F941,'Istoric_Nativ'!$E$6:$E$405,G941,'Istoric_Nativ'!$D$6:$D$405,"&lt;"&amp;J941,'Istoric_Nativ'!$P$6:$P$405,1,'Istoric_Nativ'!$D$6:$D$405,"&gt;="&amp;L941),IF(H941="AWAY",SUMIFS('Istoric_Nativ'!$H$6:$H$405,'Istoric_Nativ'!$B$6:$B$405,E941,'Istoric_Nativ'!$C$6:$C$405,F941,'Istoric_Nativ'!$F$6:$F$405,G941,'Istoric_Nativ'!$D$6:$D$405,"&lt;"&amp;J941,'Istoric_Nativ'!$P$6:$P$405,1,'Istoric_Nativ'!$D$6:$D$405,"&gt;="&amp;L941),SUMIFS('Istoric_Nativ'!$G$6:$G$405,'Istoric_Nativ'!$B$6:$B$405,E941,'Istoric_Nativ'!$C$6:$C$405,F941,'Istoric_Nativ'!$E$6:$E$405,G941,'Istoric_Nativ'!$D$6:$D$405,"&lt;"&amp;J941,'Istoric_Nativ'!$P$6:$P$405,1,'Istoric_Nativ'!$D$6:$D$405,"&gt;="&amp;L941)+SUMIFS('Istoric_Nativ'!$H$6:$H$405,'Istoric_Nativ'!$B$6:$B$405,E941,'Istoric_Nativ'!$C$6:$C$405,F941,'Istoric_Nativ'!$F$6:$F$405,G941,'Istoric_Nativ'!$D$6:$D$405,"&lt;"&amp;J941,'Istoric_Nativ'!$P$6:$P$405,1,'Istoric_Nativ'!$D$6:$D$405,"&gt;="&amp;L941)))/M941)</x:f>
      </x:c>
      <x:c r="O941" s="11" t="str">
        <x:f>IF(M941=0,"",IF(H941="HOME",SUMIFS('Istoric_Nativ'!$H$6:$H$405,'Istoric_Nativ'!$B$6:$B$405,E941,'Istoric_Nativ'!$C$6:$C$405,F941,'Istoric_Nativ'!$E$6:$E$405,G941,'Istoric_Nativ'!$D$6:$D$405,"&lt;"&amp;J941,'Istoric_Nativ'!$P$6:$P$405,1,'Istoric_Nativ'!$D$6:$D$405,"&gt;="&amp;L941),IF(H941="AWAY",SUMIFS('Istoric_Nativ'!$G$6:$G$405,'Istoric_Nativ'!$B$6:$B$405,E941,'Istoric_Nativ'!$C$6:$C$405,F941,'Istoric_Nativ'!$F$6:$F$405,G941,'Istoric_Nativ'!$D$6:$D$405,"&lt;"&amp;J941,'Istoric_Nativ'!$P$6:$P$405,1,'Istoric_Nativ'!$D$6:$D$405,"&gt;="&amp;L941),SUMIFS('Istoric_Nativ'!$H$6:$H$405,'Istoric_Nativ'!$B$6:$B$405,E941,'Istoric_Nativ'!$C$6:$C$405,F941,'Istoric_Nativ'!$E$6:$E$405,G941,'Istoric_Nativ'!$D$6:$D$405,"&lt;"&amp;J941,'Istoric_Nativ'!$P$6:$P$405,1,'Istoric_Nativ'!$D$6:$D$405,"&gt;="&amp;L941)+SUMIFS('Istoric_Nativ'!$G$6:$G$405,'Istoric_Nativ'!$B$6:$B$405,E941,'Istoric_Nativ'!$C$6:$C$405,F941,'Istoric_Nativ'!$F$6:$F$405,G941,'Istoric_Nativ'!$D$6:$D$405,"&lt;"&amp;J941,'Istoric_Nativ'!$P$6:$P$405,1,'Istoric_Nativ'!$D$6:$D$405,"&gt;="&amp;L941)))/M941)</x:f>
      </x:c>
      <x:c r="P941" s="2" t="n">
        <x:f>'Config_v6'!$B$9</x:f>
        <x:v>3</x:v>
      </x:c>
      <x:c r="Q941" s="2" t="n">
        <x:f>IF(OR(B941="",F941=""),0,IFERROR(MATCH(E941&amp;"|"&amp;F941,SourceTable[Source_Key],0),0))</x:f>
        <x:v>0</x:v>
      </x:c>
      <x:c r="R941" s="2" t="str">
        <x:f>IF(B941="","",IF(F941="","UNUSED",IF(Q941=0,"NOT CHECKED",IF(COUNTIF(SourceTable[Source_Key],E941&amp;"|"&amp;F941)&lt;&gt;1,"SOURCE CONFLICT",IF(NOT(OR(INDEX(SourceTable[Status],MAX(1,Q941))="IMPORTED",INDEX(SourceTable[Status],MAX(1,Q941))="PARTIAL",INDEX(SourceTable[Status],MAX(1,Q941))="SOURCE CONFLICT")),"ACCESS BLOCKED",IF(OR(INDEX(SourceTable[Coverage],Q941)&lt;&gt;"FULL SEASON EXPORT",INDEX(SourceTable[URL],Q941)="",INDEX(SourceTable[SHA256],Q941)=""),"EVIDENCE INCOMPLETE",IF(AND('Input_Meci'!H83="LIVE",INDEX(SourceTable[Retrieved_UTC],Q941)&gt;'Input_Meci'!G83),"POST CUTOFF","CLOSED")))))))</x:f>
      </x:c>
      <x:c r="S941" s="2" t="n">
        <x:f>IF(OR(B941="",F941=""),0,COUNTIFS('Istoric_Nativ'!$B$6:$B$405,E941,'Istoric_Nativ'!$C$6:$C$405,F941,'Istoric_Nativ'!$E$6:$E$405,G941,'Istoric_Nativ'!$D$6:$D$405,"&lt;"&amp;J941,'Istoric_Nativ'!$O$6:$O$405,"INVALID")+COUNTIFS('Istoric_Nativ'!$B$6:$B$405,E941,'Istoric_Nativ'!$C$6:$C$405,F941,'Istoric_Nativ'!$E$6:$E$405,G941,'Istoric_Nativ'!$O$6:$O$405,"INVALID",'Istoric_Nativ'!$D$6:$D$405,"*")+COUNTIFS('Istoric_Nativ'!$B$6:$B$405,E941,'Istoric_Nativ'!$C$6:$C$405,F941,'Istoric_Nativ'!$E$6:$E$405,G941,'Istoric_Nativ'!$D$6:$D$405,"&lt;"&amp;J941,'Istoric_Nativ'!$O$6:$O$405,"SOURCE CONFLICT")+COUNTIFS('Istoric_Nativ'!$B$6:$B$405,E941,'Istoric_Nativ'!$C$6:$C$405,F941,'Istoric_Nativ'!$F$6:$F$405,G941,'Istoric_Nativ'!$D$6:$D$405,"&lt;"&amp;J941,'Istoric_Nativ'!$O$6:$O$405,"INVALID")+COUNTIFS('Istoric_Nativ'!$B$6:$B$405,E941,'Istoric_Nativ'!$C$6:$C$405,F941,'Istoric_Nativ'!$F$6:$F$405,G941,'Istoric_Nativ'!$O$6:$O$405,"INVALID",'Istoric_Nativ'!$D$6:$D$405,"*")+COUNTIFS('Istoric_Nativ'!$B$6:$B$405,E941,'Istoric_Nativ'!$C$6:$C$405,F941,'Istoric_Nativ'!$F$6:$F$405,G941,'Istoric_Nativ'!$D$6:$D$405,"&lt;"&amp;J941,'Istoric_Nativ'!$O$6:$O$405,"SOURCE CONFLICT"))</x:f>
        <x:v>0</x:v>
      </x:c>
      <x:c r="T941" s="2" t="str">
        <x:f>IF(B941="","",IF(R941&lt;&gt;"CLOSED",R941,IF(S941&gt;0,"NATIVE INPUT ISSUE",IF(M941=0,"NO HISTORY",IF(M941&lt;P941,"SMALL SAMPLE","DERIVED")))))</x:f>
      </x:c>
      <x:c r="U941" s="2" t="str">
        <x:f>IF(B941="","","NativeTable; "&amp;E941&amp;"; "&amp;F941&amp;"; "&amp;G941&amp;"; "&amp;H941&amp;"; before "&amp;TEXT(J941,"yyyy-mm-dd")&amp;IF(I941="RECENT","; from "&amp;TEXT(L941,"yyyy-mm-dd"),""))</x:f>
      </x:c>
    </x:row>
    <x:row r="942" ht="21" customHeight="1">
      <x:c r="A942" s="2" t="n">
        <x:v>79</x:v>
      </x:c>
      <x:c r="B942" s="2" t="str">
        <x:f>IF('Input_Meci'!A84="","",'Input_Meci'!A84)</x:f>
      </x:c>
      <x:c r="C942" s="2" t="str">
        <x:v>H</x:v>
      </x:c>
      <x:c r="D942" s="2" t="str">
        <x:v>CURRENT</x:v>
      </x:c>
      <x:c r="E942" s="2" t="str">
        <x:f>IF(B942="","",'Input_Meci'!B84)</x:f>
      </x:c>
      <x:c r="F942" s="2" t="str">
        <x:f>IF(B942="","",IF('Input_Meci'!C84="","",'Input_Meci'!C84))</x:f>
      </x:c>
      <x:c r="G942" s="2" t="str">
        <x:f>IF(B942="","",'Input_Meci'!D84)</x:f>
      </x:c>
      <x:c r="H942" s="2" t="str">
        <x:v>ANY</x:v>
      </x:c>
      <x:c r="I942" s="2" t="str">
        <x:v>SEASON</x:v>
      </x:c>
      <x:c r="J942" s="9" t="n">
        <x:f>IF(AND(B942&lt;&gt;"",ISNUMBER('Input_Meci'!G84)),INT('Input_Meci'!G84),0)</x:f>
        <x:v>0</x:v>
      </x:c>
      <x:c r="K942" s="2" t="n">
        <x:f>IF(OR(B942="",F942=""),0,IF(H942="HOME",COUNTIFS('Istoric_Nativ'!$B$6:$B$405,E942,'Istoric_Nativ'!$C$6:$C$405,F942,'Istoric_Nativ'!$E$6:$E$405,G942,'Istoric_Nativ'!$D$6:$D$405,"&lt;"&amp;J942,'Istoric_Nativ'!$P$6:$P$405,1),IF(H942="AWAY",COUNTIFS('Istoric_Nativ'!$B$6:$B$405,E942,'Istoric_Nativ'!$C$6:$C$405,F942,'Istoric_Nativ'!$F$6:$F$405,G942,'Istoric_Nativ'!$D$6:$D$405,"&lt;"&amp;J942,'Istoric_Nativ'!$P$6:$P$405,1),COUNTIFS('Istoric_Nativ'!$B$6:$B$405,E942,'Istoric_Nativ'!$C$6:$C$405,F942,'Istoric_Nativ'!$E$6:$E$405,G942,'Istoric_Nativ'!$D$6:$D$405,"&lt;"&amp;J942,'Istoric_Nativ'!$P$6:$P$405,1)+COUNTIFS('Istoric_Nativ'!$B$6:$B$405,E942,'Istoric_Nativ'!$C$6:$C$405,F942,'Istoric_Nativ'!$F$6:$F$405,G942,'Istoric_Nativ'!$D$6:$D$405,"&lt;"&amp;J942,'Istoric_Nativ'!$P$6:$P$405,1))))</x:f>
        <x:v>0</x:v>
      </x:c>
      <x:c r="L942" s="17" t="n">
        <x:f>IF(AND(B942&lt;&gt;"",I942="RECENT",K942&gt;0),LARGE(_xlfn._xlws.FILTER('Istoric_Nativ'!$D$6:$D$405,('Istoric_Nativ'!$B$6:$B$405=E942)*('Istoric_Nativ'!$C$6:$C$405=F942)*('Istoric_Nativ'!$P$6:$P$405=1)*('Istoric_Nativ'!$D$6:$D$405&lt;J942)*((('Istoric_Nativ'!$E$6:$E$405=G942)+('Istoric_Nativ'!$F$6:$F$405=G942))&gt;0)),MIN('Config_v6'!$B$54,K942)),0)</x:f>
        <x:v>0</x:v>
      </x:c>
      <x:c r="M942" s="2" t="n">
        <x:f>IF(OR(B942="",F942=""),0,IF(H942="HOME",COUNTIFS('Istoric_Nativ'!$B$6:$B$405,E942,'Istoric_Nativ'!$C$6:$C$405,F942,'Istoric_Nativ'!$E$6:$E$405,G942,'Istoric_Nativ'!$D$6:$D$405,"&lt;"&amp;J942,'Istoric_Nativ'!$P$6:$P$405,1,'Istoric_Nativ'!$D$6:$D$405,"&gt;="&amp;L942),IF(H942="AWAY",COUNTIFS('Istoric_Nativ'!$B$6:$B$405,E942,'Istoric_Nativ'!$C$6:$C$405,F942,'Istoric_Nativ'!$F$6:$F$405,G942,'Istoric_Nativ'!$D$6:$D$405,"&lt;"&amp;J942,'Istoric_Nativ'!$P$6:$P$405,1,'Istoric_Nativ'!$D$6:$D$405,"&gt;="&amp;L942),COUNTIFS('Istoric_Nativ'!$B$6:$B$405,E942,'Istoric_Nativ'!$C$6:$C$405,F942,'Istoric_Nativ'!$E$6:$E$405,G942,'Istoric_Nativ'!$D$6:$D$405,"&lt;"&amp;J942,'Istoric_Nativ'!$P$6:$P$405,1,'Istoric_Nativ'!$D$6:$D$405,"&gt;="&amp;L942)+COUNTIFS('Istoric_Nativ'!$B$6:$B$405,E942,'Istoric_Nativ'!$C$6:$C$405,F942,'Istoric_Nativ'!$F$6:$F$405,G942,'Istoric_Nativ'!$D$6:$D$405,"&lt;"&amp;J942,'Istoric_Nativ'!$P$6:$P$405,1,'Istoric_Nativ'!$D$6:$D$405,"&gt;="&amp;L942))))</x:f>
        <x:v>0</x:v>
      </x:c>
      <x:c r="N942" s="11" t="str">
        <x:f>IF(M942=0,"",IF(H942="HOME",SUMIFS('Istoric_Nativ'!$G$6:$G$405,'Istoric_Nativ'!$B$6:$B$405,E942,'Istoric_Nativ'!$C$6:$C$405,F942,'Istoric_Nativ'!$E$6:$E$405,G942,'Istoric_Nativ'!$D$6:$D$405,"&lt;"&amp;J942,'Istoric_Nativ'!$P$6:$P$405,1,'Istoric_Nativ'!$D$6:$D$405,"&gt;="&amp;L942),IF(H942="AWAY",SUMIFS('Istoric_Nativ'!$H$6:$H$405,'Istoric_Nativ'!$B$6:$B$405,E942,'Istoric_Nativ'!$C$6:$C$405,F942,'Istoric_Nativ'!$F$6:$F$405,G942,'Istoric_Nativ'!$D$6:$D$405,"&lt;"&amp;J942,'Istoric_Nativ'!$P$6:$P$405,1,'Istoric_Nativ'!$D$6:$D$405,"&gt;="&amp;L942),SUMIFS('Istoric_Nativ'!$G$6:$G$405,'Istoric_Nativ'!$B$6:$B$405,E942,'Istoric_Nativ'!$C$6:$C$405,F942,'Istoric_Nativ'!$E$6:$E$405,G942,'Istoric_Nativ'!$D$6:$D$405,"&lt;"&amp;J942,'Istoric_Nativ'!$P$6:$P$405,1,'Istoric_Nativ'!$D$6:$D$405,"&gt;="&amp;L942)+SUMIFS('Istoric_Nativ'!$H$6:$H$405,'Istoric_Nativ'!$B$6:$B$405,E942,'Istoric_Nativ'!$C$6:$C$405,F942,'Istoric_Nativ'!$F$6:$F$405,G942,'Istoric_Nativ'!$D$6:$D$405,"&lt;"&amp;J942,'Istoric_Nativ'!$P$6:$P$405,1,'Istoric_Nativ'!$D$6:$D$405,"&gt;="&amp;L942)))/M942)</x:f>
      </x:c>
      <x:c r="O942" s="11" t="str">
        <x:f>IF(M942=0,"",IF(H942="HOME",SUMIFS('Istoric_Nativ'!$H$6:$H$405,'Istoric_Nativ'!$B$6:$B$405,E942,'Istoric_Nativ'!$C$6:$C$405,F942,'Istoric_Nativ'!$E$6:$E$405,G942,'Istoric_Nativ'!$D$6:$D$405,"&lt;"&amp;J942,'Istoric_Nativ'!$P$6:$P$405,1,'Istoric_Nativ'!$D$6:$D$405,"&gt;="&amp;L942),IF(H942="AWAY",SUMIFS('Istoric_Nativ'!$G$6:$G$405,'Istoric_Nativ'!$B$6:$B$405,E942,'Istoric_Nativ'!$C$6:$C$405,F942,'Istoric_Nativ'!$F$6:$F$405,G942,'Istoric_Nativ'!$D$6:$D$405,"&lt;"&amp;J942,'Istoric_Nativ'!$P$6:$P$405,1,'Istoric_Nativ'!$D$6:$D$405,"&gt;="&amp;L942),SUMIFS('Istoric_Nativ'!$H$6:$H$405,'Istoric_Nativ'!$B$6:$B$405,E942,'Istoric_Nativ'!$C$6:$C$405,F942,'Istoric_Nativ'!$E$6:$E$405,G942,'Istoric_Nativ'!$D$6:$D$405,"&lt;"&amp;J942,'Istoric_Nativ'!$P$6:$P$405,1,'Istoric_Nativ'!$D$6:$D$405,"&gt;="&amp;L942)+SUMIFS('Istoric_Nativ'!$G$6:$G$405,'Istoric_Nativ'!$B$6:$B$405,E942,'Istoric_Nativ'!$C$6:$C$405,F942,'Istoric_Nativ'!$F$6:$F$405,G942,'Istoric_Nativ'!$D$6:$D$405,"&lt;"&amp;J942,'Istoric_Nativ'!$P$6:$P$405,1,'Istoric_Nativ'!$D$6:$D$405,"&gt;="&amp;L942)))/M942)</x:f>
      </x:c>
      <x:c r="P942" s="2" t="n">
        <x:f>'Config_v6'!$B$7</x:f>
        <x:v>10</x:v>
      </x:c>
      <x:c r="Q942" s="2" t="n">
        <x:f>IF(OR(B942="",F942=""),0,IFERROR(MATCH(E942&amp;"|"&amp;F942,SourceTable[Source_Key],0),0))</x:f>
        <x:v>0</x:v>
      </x:c>
      <x:c r="R942" s="2" t="str">
        <x:f>IF(B942="","",IF(F942="","UNUSED",IF(Q942=0,"NOT CHECKED",IF(COUNTIF(SourceTable[Source_Key],E942&amp;"|"&amp;F942)&lt;&gt;1,"SOURCE CONFLICT",IF(NOT(OR(INDEX(SourceTable[Status],MAX(1,Q942))="IMPORTED",INDEX(SourceTable[Status],MAX(1,Q942))="PARTIAL",INDEX(SourceTable[Status],MAX(1,Q942))="SOURCE CONFLICT")),"ACCESS BLOCKED",IF(OR(INDEX(SourceTable[Coverage],Q942)&lt;&gt;"FULL SEASON EXPORT",INDEX(SourceTable[URL],Q942)="",INDEX(SourceTable[SHA256],Q942)=""),"EVIDENCE INCOMPLETE",IF(AND('Input_Meci'!H84="LIVE",INDEX(SourceTable[Retrieved_UTC],Q942)&gt;'Input_Meci'!G84),"POST CUTOFF","CLOSED")))))))</x:f>
      </x:c>
      <x:c r="S942" s="2" t="n">
        <x:f>IF(OR(B942="",F942=""),0,COUNTIFS('Istoric_Nativ'!$B$6:$B$405,E942,'Istoric_Nativ'!$C$6:$C$405,F942,'Istoric_Nativ'!$E$6:$E$405,G942,'Istoric_Nativ'!$D$6:$D$405,"&lt;"&amp;J942,'Istoric_Nativ'!$O$6:$O$405,"INVALID")+COUNTIFS('Istoric_Nativ'!$B$6:$B$405,E942,'Istoric_Nativ'!$C$6:$C$405,F942,'Istoric_Nativ'!$E$6:$E$405,G942,'Istoric_Nativ'!$O$6:$O$405,"INVALID",'Istoric_Nativ'!$D$6:$D$405,"*")+COUNTIFS('Istoric_Nativ'!$B$6:$B$405,E942,'Istoric_Nativ'!$C$6:$C$405,F942,'Istoric_Nativ'!$E$6:$E$405,G942,'Istoric_Nativ'!$D$6:$D$405,"&lt;"&amp;J942,'Istoric_Nativ'!$O$6:$O$405,"SOURCE CONFLICT")+COUNTIFS('Istoric_Nativ'!$B$6:$B$405,E942,'Istoric_Nativ'!$C$6:$C$405,F942,'Istoric_Nativ'!$F$6:$F$405,G942,'Istoric_Nativ'!$D$6:$D$405,"&lt;"&amp;J942,'Istoric_Nativ'!$O$6:$O$405,"INVALID")+COUNTIFS('Istoric_Nativ'!$B$6:$B$405,E942,'Istoric_Nativ'!$C$6:$C$405,F942,'Istoric_Nativ'!$F$6:$F$405,G942,'Istoric_Nativ'!$O$6:$O$405,"INVALID",'Istoric_Nativ'!$D$6:$D$405,"*")+COUNTIFS('Istoric_Nativ'!$B$6:$B$405,E942,'Istoric_Nativ'!$C$6:$C$405,F942,'Istoric_Nativ'!$F$6:$F$405,G942,'Istoric_Nativ'!$D$6:$D$405,"&lt;"&amp;J942,'Istoric_Nativ'!$O$6:$O$405,"SOURCE CONFLICT"))</x:f>
        <x:v>0</x:v>
      </x:c>
      <x:c r="T942" s="2" t="str">
        <x:f>IF(B942="","",IF(R942&lt;&gt;"CLOSED",R942,IF(S942&gt;0,"NATIVE INPUT ISSUE",IF(M942=0,"NO HISTORY",IF(M942&lt;P942,"SMALL SAMPLE","DERIVED")))))</x:f>
      </x:c>
      <x:c r="U942" s="2" t="str">
        <x:f>IF(B942="","","NativeTable; "&amp;E942&amp;"; "&amp;F942&amp;"; "&amp;G942&amp;"; "&amp;H942&amp;"; before "&amp;TEXT(J942,"yyyy-mm-dd")&amp;IF(I942="RECENT","; from "&amp;TEXT(L942,"yyyy-mm-dd"),""))</x:f>
      </x:c>
    </x:row>
    <x:row r="943" ht="21" customHeight="1">
      <x:c r="A943" s="2" t="n">
        <x:v>79</x:v>
      </x:c>
      <x:c r="B943" s="2" t="str">
        <x:f>IF('Input_Meci'!A84="","",'Input_Meci'!A84)</x:f>
      </x:c>
      <x:c r="C943" s="2" t="str">
        <x:v>H</x:v>
      </x:c>
      <x:c r="D943" s="2" t="str">
        <x:v>CURRENT</x:v>
      </x:c>
      <x:c r="E943" s="2" t="str">
        <x:f>IF(B943="","",'Input_Meci'!B84)</x:f>
      </x:c>
      <x:c r="F943" s="2" t="str">
        <x:f>IF(B943="","",IF('Input_Meci'!C84="","",'Input_Meci'!C84))</x:f>
      </x:c>
      <x:c r="G943" s="2" t="str">
        <x:f>IF(B943="","",'Input_Meci'!D84)</x:f>
      </x:c>
      <x:c r="H943" s="2" t="str">
        <x:v>HOME</x:v>
      </x:c>
      <x:c r="I943" s="2" t="str">
        <x:v>HA</x:v>
      </x:c>
      <x:c r="J943" s="9" t="n">
        <x:f>IF(AND(B943&lt;&gt;"",ISNUMBER('Input_Meci'!G84)),INT('Input_Meci'!G84),0)</x:f>
        <x:v>0</x:v>
      </x:c>
      <x:c r="K943" s="2" t="n">
        <x:f>IF(OR(B943="",F943=""),0,IF(H943="HOME",COUNTIFS('Istoric_Nativ'!$B$6:$B$405,E943,'Istoric_Nativ'!$C$6:$C$405,F943,'Istoric_Nativ'!$E$6:$E$405,G943,'Istoric_Nativ'!$D$6:$D$405,"&lt;"&amp;J943,'Istoric_Nativ'!$P$6:$P$405,1),IF(H943="AWAY",COUNTIFS('Istoric_Nativ'!$B$6:$B$405,E943,'Istoric_Nativ'!$C$6:$C$405,F943,'Istoric_Nativ'!$F$6:$F$405,G943,'Istoric_Nativ'!$D$6:$D$405,"&lt;"&amp;J943,'Istoric_Nativ'!$P$6:$P$405,1),COUNTIFS('Istoric_Nativ'!$B$6:$B$405,E943,'Istoric_Nativ'!$C$6:$C$405,F943,'Istoric_Nativ'!$E$6:$E$405,G943,'Istoric_Nativ'!$D$6:$D$405,"&lt;"&amp;J943,'Istoric_Nativ'!$P$6:$P$405,1)+COUNTIFS('Istoric_Nativ'!$B$6:$B$405,E943,'Istoric_Nativ'!$C$6:$C$405,F943,'Istoric_Nativ'!$F$6:$F$405,G943,'Istoric_Nativ'!$D$6:$D$405,"&lt;"&amp;J943,'Istoric_Nativ'!$P$6:$P$405,1))))</x:f>
        <x:v>0</x:v>
      </x:c>
      <x:c r="L943" s="17" t="n">
        <x:f>IF(AND(B943&lt;&gt;"",I943="RECENT",K943&gt;0),LARGE(_xlfn._xlws.FILTER('Istoric_Nativ'!$D$6:$D$405,('Istoric_Nativ'!$B$6:$B$405=E943)*('Istoric_Nativ'!$C$6:$C$405=F943)*('Istoric_Nativ'!$P$6:$P$405=1)*('Istoric_Nativ'!$D$6:$D$405&lt;J943)*((('Istoric_Nativ'!$E$6:$E$405=G943)+('Istoric_Nativ'!$F$6:$F$405=G943))&gt;0)),MIN('Config_v6'!$B$54,K943)),0)</x:f>
        <x:v>0</x:v>
      </x:c>
      <x:c r="M943" s="2" t="n">
        <x:f>IF(OR(B943="",F943=""),0,IF(H943="HOME",COUNTIFS('Istoric_Nativ'!$B$6:$B$405,E943,'Istoric_Nativ'!$C$6:$C$405,F943,'Istoric_Nativ'!$E$6:$E$405,G943,'Istoric_Nativ'!$D$6:$D$405,"&lt;"&amp;J943,'Istoric_Nativ'!$P$6:$P$405,1,'Istoric_Nativ'!$D$6:$D$405,"&gt;="&amp;L943),IF(H943="AWAY",COUNTIFS('Istoric_Nativ'!$B$6:$B$405,E943,'Istoric_Nativ'!$C$6:$C$405,F943,'Istoric_Nativ'!$F$6:$F$405,G943,'Istoric_Nativ'!$D$6:$D$405,"&lt;"&amp;J943,'Istoric_Nativ'!$P$6:$P$405,1,'Istoric_Nativ'!$D$6:$D$405,"&gt;="&amp;L943),COUNTIFS('Istoric_Nativ'!$B$6:$B$405,E943,'Istoric_Nativ'!$C$6:$C$405,F943,'Istoric_Nativ'!$E$6:$E$405,G943,'Istoric_Nativ'!$D$6:$D$405,"&lt;"&amp;J943,'Istoric_Nativ'!$P$6:$P$405,1,'Istoric_Nativ'!$D$6:$D$405,"&gt;="&amp;L943)+COUNTIFS('Istoric_Nativ'!$B$6:$B$405,E943,'Istoric_Nativ'!$C$6:$C$405,F943,'Istoric_Nativ'!$F$6:$F$405,G943,'Istoric_Nativ'!$D$6:$D$405,"&lt;"&amp;J943,'Istoric_Nativ'!$P$6:$P$405,1,'Istoric_Nativ'!$D$6:$D$405,"&gt;="&amp;L943))))</x:f>
        <x:v>0</x:v>
      </x:c>
      <x:c r="N943" s="11" t="str">
        <x:f>IF(M943=0,"",IF(H943="HOME",SUMIFS('Istoric_Nativ'!$G$6:$G$405,'Istoric_Nativ'!$B$6:$B$405,E943,'Istoric_Nativ'!$C$6:$C$405,F943,'Istoric_Nativ'!$E$6:$E$405,G943,'Istoric_Nativ'!$D$6:$D$405,"&lt;"&amp;J943,'Istoric_Nativ'!$P$6:$P$405,1,'Istoric_Nativ'!$D$6:$D$405,"&gt;="&amp;L943),IF(H943="AWAY",SUMIFS('Istoric_Nativ'!$H$6:$H$405,'Istoric_Nativ'!$B$6:$B$405,E943,'Istoric_Nativ'!$C$6:$C$405,F943,'Istoric_Nativ'!$F$6:$F$405,G943,'Istoric_Nativ'!$D$6:$D$405,"&lt;"&amp;J943,'Istoric_Nativ'!$P$6:$P$405,1,'Istoric_Nativ'!$D$6:$D$405,"&gt;="&amp;L943),SUMIFS('Istoric_Nativ'!$G$6:$G$405,'Istoric_Nativ'!$B$6:$B$405,E943,'Istoric_Nativ'!$C$6:$C$405,F943,'Istoric_Nativ'!$E$6:$E$405,G943,'Istoric_Nativ'!$D$6:$D$405,"&lt;"&amp;J943,'Istoric_Nativ'!$P$6:$P$405,1,'Istoric_Nativ'!$D$6:$D$405,"&gt;="&amp;L943)+SUMIFS('Istoric_Nativ'!$H$6:$H$405,'Istoric_Nativ'!$B$6:$B$405,E943,'Istoric_Nativ'!$C$6:$C$405,F943,'Istoric_Nativ'!$F$6:$F$405,G943,'Istoric_Nativ'!$D$6:$D$405,"&lt;"&amp;J943,'Istoric_Nativ'!$P$6:$P$405,1,'Istoric_Nativ'!$D$6:$D$405,"&gt;="&amp;L943)))/M943)</x:f>
      </x:c>
      <x:c r="O943" s="11" t="str">
        <x:f>IF(M943=0,"",IF(H943="HOME",SUMIFS('Istoric_Nativ'!$H$6:$H$405,'Istoric_Nativ'!$B$6:$B$405,E943,'Istoric_Nativ'!$C$6:$C$405,F943,'Istoric_Nativ'!$E$6:$E$405,G943,'Istoric_Nativ'!$D$6:$D$405,"&lt;"&amp;J943,'Istoric_Nativ'!$P$6:$P$405,1,'Istoric_Nativ'!$D$6:$D$405,"&gt;="&amp;L943),IF(H943="AWAY",SUMIFS('Istoric_Nativ'!$G$6:$G$405,'Istoric_Nativ'!$B$6:$B$405,E943,'Istoric_Nativ'!$C$6:$C$405,F943,'Istoric_Nativ'!$F$6:$F$405,G943,'Istoric_Nativ'!$D$6:$D$405,"&lt;"&amp;J943,'Istoric_Nativ'!$P$6:$P$405,1,'Istoric_Nativ'!$D$6:$D$405,"&gt;="&amp;L943),SUMIFS('Istoric_Nativ'!$H$6:$H$405,'Istoric_Nativ'!$B$6:$B$405,E943,'Istoric_Nativ'!$C$6:$C$405,F943,'Istoric_Nativ'!$E$6:$E$405,G943,'Istoric_Nativ'!$D$6:$D$405,"&lt;"&amp;J943,'Istoric_Nativ'!$P$6:$P$405,1,'Istoric_Nativ'!$D$6:$D$405,"&gt;="&amp;L943)+SUMIFS('Istoric_Nativ'!$G$6:$G$405,'Istoric_Nativ'!$B$6:$B$405,E943,'Istoric_Nativ'!$C$6:$C$405,F943,'Istoric_Nativ'!$F$6:$F$405,G943,'Istoric_Nativ'!$D$6:$D$405,"&lt;"&amp;J943,'Istoric_Nativ'!$P$6:$P$405,1,'Istoric_Nativ'!$D$6:$D$405,"&gt;="&amp;L943)))/M943)</x:f>
      </x:c>
      <x:c r="P943" s="2" t="n">
        <x:f>'Config_v6'!$B$8</x:f>
        <x:v>5</x:v>
      </x:c>
      <x:c r="Q943" s="2" t="n">
        <x:f>IF(OR(B943="",F943=""),0,IFERROR(MATCH(E943&amp;"|"&amp;F943,SourceTable[Source_Key],0),0))</x:f>
        <x:v>0</x:v>
      </x:c>
      <x:c r="R943" s="2" t="str">
        <x:f>IF(B943="","",IF(F943="","UNUSED",IF(Q943=0,"NOT CHECKED",IF(COUNTIF(SourceTable[Source_Key],E943&amp;"|"&amp;F943)&lt;&gt;1,"SOURCE CONFLICT",IF(NOT(OR(INDEX(SourceTable[Status],MAX(1,Q943))="IMPORTED",INDEX(SourceTable[Status],MAX(1,Q943))="PARTIAL",INDEX(SourceTable[Status],MAX(1,Q943))="SOURCE CONFLICT")),"ACCESS BLOCKED",IF(OR(INDEX(SourceTable[Coverage],Q943)&lt;&gt;"FULL SEASON EXPORT",INDEX(SourceTable[URL],Q943)="",INDEX(SourceTable[SHA256],Q943)=""),"EVIDENCE INCOMPLETE",IF(AND('Input_Meci'!H84="LIVE",INDEX(SourceTable[Retrieved_UTC],Q943)&gt;'Input_Meci'!G84),"POST CUTOFF","CLOSED")))))))</x:f>
      </x:c>
      <x:c r="S943" s="2" t="n">
        <x:f>IF(OR(B943="",F943=""),0,COUNTIFS('Istoric_Nativ'!$B$6:$B$405,E943,'Istoric_Nativ'!$C$6:$C$405,F943,'Istoric_Nativ'!$E$6:$E$405,G943,'Istoric_Nativ'!$D$6:$D$405,"&lt;"&amp;J943,'Istoric_Nativ'!$O$6:$O$405,"INVALID")+COUNTIFS('Istoric_Nativ'!$B$6:$B$405,E943,'Istoric_Nativ'!$C$6:$C$405,F943,'Istoric_Nativ'!$E$6:$E$405,G943,'Istoric_Nativ'!$O$6:$O$405,"INVALID",'Istoric_Nativ'!$D$6:$D$405,"*")+COUNTIFS('Istoric_Nativ'!$B$6:$B$405,E943,'Istoric_Nativ'!$C$6:$C$405,F943,'Istoric_Nativ'!$E$6:$E$405,G943,'Istoric_Nativ'!$D$6:$D$405,"&lt;"&amp;J943,'Istoric_Nativ'!$O$6:$O$405,"SOURCE CONFLICT")+COUNTIFS('Istoric_Nativ'!$B$6:$B$405,E943,'Istoric_Nativ'!$C$6:$C$405,F943,'Istoric_Nativ'!$F$6:$F$405,G943,'Istoric_Nativ'!$D$6:$D$405,"&lt;"&amp;J943,'Istoric_Nativ'!$O$6:$O$405,"INVALID")+COUNTIFS('Istoric_Nativ'!$B$6:$B$405,E943,'Istoric_Nativ'!$C$6:$C$405,F943,'Istoric_Nativ'!$F$6:$F$405,G943,'Istoric_Nativ'!$O$6:$O$405,"INVALID",'Istoric_Nativ'!$D$6:$D$405,"*")+COUNTIFS('Istoric_Nativ'!$B$6:$B$405,E943,'Istoric_Nativ'!$C$6:$C$405,F943,'Istoric_Nativ'!$F$6:$F$405,G943,'Istoric_Nativ'!$D$6:$D$405,"&lt;"&amp;J943,'Istoric_Nativ'!$O$6:$O$405,"SOURCE CONFLICT"))</x:f>
        <x:v>0</x:v>
      </x:c>
      <x:c r="T943" s="2" t="str">
        <x:f>IF(B943="","",IF(R943&lt;&gt;"CLOSED",R943,IF(S943&gt;0,"NATIVE INPUT ISSUE",IF(M943=0,"NO HISTORY",IF(M943&lt;P943,"SMALL SAMPLE","DERIVED")))))</x:f>
      </x:c>
      <x:c r="U943" s="2" t="str">
        <x:f>IF(B943="","","NativeTable; "&amp;E943&amp;"; "&amp;F943&amp;"; "&amp;G943&amp;"; "&amp;H943&amp;"; before "&amp;TEXT(J943,"yyyy-mm-dd")&amp;IF(I943="RECENT","; from "&amp;TEXT(L943,"yyyy-mm-dd"),""))</x:f>
      </x:c>
    </x:row>
    <x:row r="944" ht="21" customHeight="1">
      <x:c r="A944" s="2" t="n">
        <x:v>79</x:v>
      </x:c>
      <x:c r="B944" s="2" t="str">
        <x:f>IF('Input_Meci'!A84="","",'Input_Meci'!A84)</x:f>
      </x:c>
      <x:c r="C944" s="2" t="str">
        <x:v>H</x:v>
      </x:c>
      <x:c r="D944" s="2" t="str">
        <x:v>CURRENT</x:v>
      </x:c>
      <x:c r="E944" s="2" t="str">
        <x:f>IF(B944="","",'Input_Meci'!B84)</x:f>
      </x:c>
      <x:c r="F944" s="2" t="str">
        <x:f>IF(B944="","",IF('Input_Meci'!C84="","",'Input_Meci'!C84))</x:f>
      </x:c>
      <x:c r="G944" s="2" t="str">
        <x:f>IF(B944="","",'Input_Meci'!D84)</x:f>
      </x:c>
      <x:c r="H944" s="2" t="str">
        <x:v>ANY</x:v>
      </x:c>
      <x:c r="I944" s="2" t="str">
        <x:v>RECENT</x:v>
      </x:c>
      <x:c r="J944" s="9" t="n">
        <x:f>IF(AND(B944&lt;&gt;"",ISNUMBER('Input_Meci'!G84)),INT('Input_Meci'!G84),0)</x:f>
        <x:v>0</x:v>
      </x:c>
      <x:c r="K944" s="2" t="n">
        <x:f>IF(OR(B944="",F944=""),0,IF(H944="HOME",COUNTIFS('Istoric_Nativ'!$B$6:$B$405,E944,'Istoric_Nativ'!$C$6:$C$405,F944,'Istoric_Nativ'!$E$6:$E$405,G944,'Istoric_Nativ'!$D$6:$D$405,"&lt;"&amp;J944,'Istoric_Nativ'!$P$6:$P$405,1),IF(H944="AWAY",COUNTIFS('Istoric_Nativ'!$B$6:$B$405,E944,'Istoric_Nativ'!$C$6:$C$405,F944,'Istoric_Nativ'!$F$6:$F$405,G944,'Istoric_Nativ'!$D$6:$D$405,"&lt;"&amp;J944,'Istoric_Nativ'!$P$6:$P$405,1),COUNTIFS('Istoric_Nativ'!$B$6:$B$405,E944,'Istoric_Nativ'!$C$6:$C$405,F944,'Istoric_Nativ'!$E$6:$E$405,G944,'Istoric_Nativ'!$D$6:$D$405,"&lt;"&amp;J944,'Istoric_Nativ'!$P$6:$P$405,1)+COUNTIFS('Istoric_Nativ'!$B$6:$B$405,E944,'Istoric_Nativ'!$C$6:$C$405,F944,'Istoric_Nativ'!$F$6:$F$405,G944,'Istoric_Nativ'!$D$6:$D$405,"&lt;"&amp;J944,'Istoric_Nativ'!$P$6:$P$405,1))))</x:f>
        <x:v>0</x:v>
      </x:c>
      <x:c r="L944" s="17" t="n">
        <x:f>IF(AND(B944&lt;&gt;"",I944="RECENT",K944&gt;0),LARGE(_xlfn._xlws.FILTER('Istoric_Nativ'!$D$6:$D$405,('Istoric_Nativ'!$B$6:$B$405=E944)*('Istoric_Nativ'!$C$6:$C$405=F944)*('Istoric_Nativ'!$P$6:$P$405=1)*('Istoric_Nativ'!$D$6:$D$405&lt;J944)*((('Istoric_Nativ'!$E$6:$E$405=G944)+('Istoric_Nativ'!$F$6:$F$405=G944))&gt;0)),MIN('Config_v6'!$B$54,K944)),0)</x:f>
        <x:v>0</x:v>
      </x:c>
      <x:c r="M944" s="2" t="n">
        <x:f>IF(OR(B944="",F944=""),0,IF(H944="HOME",COUNTIFS('Istoric_Nativ'!$B$6:$B$405,E944,'Istoric_Nativ'!$C$6:$C$405,F944,'Istoric_Nativ'!$E$6:$E$405,G944,'Istoric_Nativ'!$D$6:$D$405,"&lt;"&amp;J944,'Istoric_Nativ'!$P$6:$P$405,1,'Istoric_Nativ'!$D$6:$D$405,"&gt;="&amp;L944),IF(H944="AWAY",COUNTIFS('Istoric_Nativ'!$B$6:$B$405,E944,'Istoric_Nativ'!$C$6:$C$405,F944,'Istoric_Nativ'!$F$6:$F$405,G944,'Istoric_Nativ'!$D$6:$D$405,"&lt;"&amp;J944,'Istoric_Nativ'!$P$6:$P$405,1,'Istoric_Nativ'!$D$6:$D$405,"&gt;="&amp;L944),COUNTIFS('Istoric_Nativ'!$B$6:$B$405,E944,'Istoric_Nativ'!$C$6:$C$405,F944,'Istoric_Nativ'!$E$6:$E$405,G944,'Istoric_Nativ'!$D$6:$D$405,"&lt;"&amp;J944,'Istoric_Nativ'!$P$6:$P$405,1,'Istoric_Nativ'!$D$6:$D$405,"&gt;="&amp;L944)+COUNTIFS('Istoric_Nativ'!$B$6:$B$405,E944,'Istoric_Nativ'!$C$6:$C$405,F944,'Istoric_Nativ'!$F$6:$F$405,G944,'Istoric_Nativ'!$D$6:$D$405,"&lt;"&amp;J944,'Istoric_Nativ'!$P$6:$P$405,1,'Istoric_Nativ'!$D$6:$D$405,"&gt;="&amp;L944))))</x:f>
        <x:v>0</x:v>
      </x:c>
      <x:c r="N944" s="11" t="str">
        <x:f>IF(M944=0,"",IF(H944="HOME",SUMIFS('Istoric_Nativ'!$G$6:$G$405,'Istoric_Nativ'!$B$6:$B$405,E944,'Istoric_Nativ'!$C$6:$C$405,F944,'Istoric_Nativ'!$E$6:$E$405,G944,'Istoric_Nativ'!$D$6:$D$405,"&lt;"&amp;J944,'Istoric_Nativ'!$P$6:$P$405,1,'Istoric_Nativ'!$D$6:$D$405,"&gt;="&amp;L944),IF(H944="AWAY",SUMIFS('Istoric_Nativ'!$H$6:$H$405,'Istoric_Nativ'!$B$6:$B$405,E944,'Istoric_Nativ'!$C$6:$C$405,F944,'Istoric_Nativ'!$F$6:$F$405,G944,'Istoric_Nativ'!$D$6:$D$405,"&lt;"&amp;J944,'Istoric_Nativ'!$P$6:$P$405,1,'Istoric_Nativ'!$D$6:$D$405,"&gt;="&amp;L944),SUMIFS('Istoric_Nativ'!$G$6:$G$405,'Istoric_Nativ'!$B$6:$B$405,E944,'Istoric_Nativ'!$C$6:$C$405,F944,'Istoric_Nativ'!$E$6:$E$405,G944,'Istoric_Nativ'!$D$6:$D$405,"&lt;"&amp;J944,'Istoric_Nativ'!$P$6:$P$405,1,'Istoric_Nativ'!$D$6:$D$405,"&gt;="&amp;L944)+SUMIFS('Istoric_Nativ'!$H$6:$H$405,'Istoric_Nativ'!$B$6:$B$405,E944,'Istoric_Nativ'!$C$6:$C$405,F944,'Istoric_Nativ'!$F$6:$F$405,G944,'Istoric_Nativ'!$D$6:$D$405,"&lt;"&amp;J944,'Istoric_Nativ'!$P$6:$P$405,1,'Istoric_Nativ'!$D$6:$D$405,"&gt;="&amp;L944)))/M944)</x:f>
      </x:c>
      <x:c r="O944" s="11" t="str">
        <x:f>IF(M944=0,"",IF(H944="HOME",SUMIFS('Istoric_Nativ'!$H$6:$H$405,'Istoric_Nativ'!$B$6:$B$405,E944,'Istoric_Nativ'!$C$6:$C$405,F944,'Istoric_Nativ'!$E$6:$E$405,G944,'Istoric_Nativ'!$D$6:$D$405,"&lt;"&amp;J944,'Istoric_Nativ'!$P$6:$P$405,1,'Istoric_Nativ'!$D$6:$D$405,"&gt;="&amp;L944),IF(H944="AWAY",SUMIFS('Istoric_Nativ'!$G$6:$G$405,'Istoric_Nativ'!$B$6:$B$405,E944,'Istoric_Nativ'!$C$6:$C$405,F944,'Istoric_Nativ'!$F$6:$F$405,G944,'Istoric_Nativ'!$D$6:$D$405,"&lt;"&amp;J944,'Istoric_Nativ'!$P$6:$P$405,1,'Istoric_Nativ'!$D$6:$D$405,"&gt;="&amp;L944),SUMIFS('Istoric_Nativ'!$H$6:$H$405,'Istoric_Nativ'!$B$6:$B$405,E944,'Istoric_Nativ'!$C$6:$C$405,F944,'Istoric_Nativ'!$E$6:$E$405,G944,'Istoric_Nativ'!$D$6:$D$405,"&lt;"&amp;J944,'Istoric_Nativ'!$P$6:$P$405,1,'Istoric_Nativ'!$D$6:$D$405,"&gt;="&amp;L944)+SUMIFS('Istoric_Nativ'!$G$6:$G$405,'Istoric_Nativ'!$B$6:$B$405,E944,'Istoric_Nativ'!$C$6:$C$405,F944,'Istoric_Nativ'!$F$6:$F$405,G944,'Istoric_Nativ'!$D$6:$D$405,"&lt;"&amp;J944,'Istoric_Nativ'!$P$6:$P$405,1,'Istoric_Nativ'!$D$6:$D$405,"&gt;="&amp;L944)))/M944)</x:f>
      </x:c>
      <x:c r="P944" s="2" t="n">
        <x:f>'Config_v6'!$B$9</x:f>
        <x:v>3</x:v>
      </x:c>
      <x:c r="Q944" s="2" t="n">
        <x:f>IF(OR(B944="",F944=""),0,IFERROR(MATCH(E944&amp;"|"&amp;F944,SourceTable[Source_Key],0),0))</x:f>
        <x:v>0</x:v>
      </x:c>
      <x:c r="R944" s="2" t="str">
        <x:f>IF(B944="","",IF(F944="","UNUSED",IF(Q944=0,"NOT CHECKED",IF(COUNTIF(SourceTable[Source_Key],E944&amp;"|"&amp;F944)&lt;&gt;1,"SOURCE CONFLICT",IF(NOT(OR(INDEX(SourceTable[Status],MAX(1,Q944))="IMPORTED",INDEX(SourceTable[Status],MAX(1,Q944))="PARTIAL",INDEX(SourceTable[Status],MAX(1,Q944))="SOURCE CONFLICT")),"ACCESS BLOCKED",IF(OR(INDEX(SourceTable[Coverage],Q944)&lt;&gt;"FULL SEASON EXPORT",INDEX(SourceTable[URL],Q944)="",INDEX(SourceTable[SHA256],Q944)=""),"EVIDENCE INCOMPLETE",IF(AND('Input_Meci'!H84="LIVE",INDEX(SourceTable[Retrieved_UTC],Q944)&gt;'Input_Meci'!G84),"POST CUTOFF","CLOSED")))))))</x:f>
      </x:c>
      <x:c r="S944" s="2" t="n">
        <x:f>IF(OR(B944="",F944=""),0,COUNTIFS('Istoric_Nativ'!$B$6:$B$405,E944,'Istoric_Nativ'!$C$6:$C$405,F944,'Istoric_Nativ'!$E$6:$E$405,G944,'Istoric_Nativ'!$D$6:$D$405,"&lt;"&amp;J944,'Istoric_Nativ'!$O$6:$O$405,"INVALID")+COUNTIFS('Istoric_Nativ'!$B$6:$B$405,E944,'Istoric_Nativ'!$C$6:$C$405,F944,'Istoric_Nativ'!$E$6:$E$405,G944,'Istoric_Nativ'!$O$6:$O$405,"INVALID",'Istoric_Nativ'!$D$6:$D$405,"*")+COUNTIFS('Istoric_Nativ'!$B$6:$B$405,E944,'Istoric_Nativ'!$C$6:$C$405,F944,'Istoric_Nativ'!$E$6:$E$405,G944,'Istoric_Nativ'!$D$6:$D$405,"&lt;"&amp;J944,'Istoric_Nativ'!$O$6:$O$405,"SOURCE CONFLICT")+COUNTIFS('Istoric_Nativ'!$B$6:$B$405,E944,'Istoric_Nativ'!$C$6:$C$405,F944,'Istoric_Nativ'!$F$6:$F$405,G944,'Istoric_Nativ'!$D$6:$D$405,"&lt;"&amp;J944,'Istoric_Nativ'!$O$6:$O$405,"INVALID")+COUNTIFS('Istoric_Nativ'!$B$6:$B$405,E944,'Istoric_Nativ'!$C$6:$C$405,F944,'Istoric_Nativ'!$F$6:$F$405,G944,'Istoric_Nativ'!$O$6:$O$405,"INVALID",'Istoric_Nativ'!$D$6:$D$405,"*")+COUNTIFS('Istoric_Nativ'!$B$6:$B$405,E944,'Istoric_Nativ'!$C$6:$C$405,F944,'Istoric_Nativ'!$F$6:$F$405,G944,'Istoric_Nativ'!$D$6:$D$405,"&lt;"&amp;J944,'Istoric_Nativ'!$O$6:$O$405,"SOURCE CONFLICT"))</x:f>
        <x:v>0</x:v>
      </x:c>
      <x:c r="T944" s="2" t="str">
        <x:f>IF(B944="","",IF(R944&lt;&gt;"CLOSED",R944,IF(S944&gt;0,"NATIVE INPUT ISSUE",IF(M944=0,"NO HISTORY",IF(M944&lt;P944,"SMALL SAMPLE","DERIVED")))))</x:f>
      </x:c>
      <x:c r="U944" s="2" t="str">
        <x:f>IF(B944="","","NativeTable; "&amp;E944&amp;"; "&amp;F944&amp;"; "&amp;G944&amp;"; "&amp;H944&amp;"; before "&amp;TEXT(J944,"yyyy-mm-dd")&amp;IF(I944="RECENT","; from "&amp;TEXT(L944,"yyyy-mm-dd"),""))</x:f>
      </x:c>
    </x:row>
    <x:row r="945" ht="21" customHeight="1">
      <x:c r="A945" s="2" t="n">
        <x:v>79</x:v>
      </x:c>
      <x:c r="B945" s="2" t="str">
        <x:f>IF('Input_Meci'!A84="","",'Input_Meci'!A84)</x:f>
      </x:c>
      <x:c r="C945" s="2" t="str">
        <x:v>A</x:v>
      </x:c>
      <x:c r="D945" s="2" t="str">
        <x:v>CURRENT</x:v>
      </x:c>
      <x:c r="E945" s="2" t="str">
        <x:f>IF(B945="","",'Input_Meci'!B84)</x:f>
      </x:c>
      <x:c r="F945" s="2" t="str">
        <x:f>IF(B945="","",IF('Input_Meci'!C84="","",'Input_Meci'!C84))</x:f>
      </x:c>
      <x:c r="G945" s="2" t="str">
        <x:f>IF(B945="","",'Input_Meci'!E84)</x:f>
      </x:c>
      <x:c r="H945" s="2" t="str">
        <x:v>ANY</x:v>
      </x:c>
      <x:c r="I945" s="2" t="str">
        <x:v>SEASON</x:v>
      </x:c>
      <x:c r="J945" s="9" t="n">
        <x:f>IF(AND(B945&lt;&gt;"",ISNUMBER('Input_Meci'!G84)),INT('Input_Meci'!G84),0)</x:f>
        <x:v>0</x:v>
      </x:c>
      <x:c r="K945" s="2" t="n">
        <x:f>IF(OR(B945="",F945=""),0,IF(H945="HOME",COUNTIFS('Istoric_Nativ'!$B$6:$B$405,E945,'Istoric_Nativ'!$C$6:$C$405,F945,'Istoric_Nativ'!$E$6:$E$405,G945,'Istoric_Nativ'!$D$6:$D$405,"&lt;"&amp;J945,'Istoric_Nativ'!$P$6:$P$405,1),IF(H945="AWAY",COUNTIFS('Istoric_Nativ'!$B$6:$B$405,E945,'Istoric_Nativ'!$C$6:$C$405,F945,'Istoric_Nativ'!$F$6:$F$405,G945,'Istoric_Nativ'!$D$6:$D$405,"&lt;"&amp;J945,'Istoric_Nativ'!$P$6:$P$405,1),COUNTIFS('Istoric_Nativ'!$B$6:$B$405,E945,'Istoric_Nativ'!$C$6:$C$405,F945,'Istoric_Nativ'!$E$6:$E$405,G945,'Istoric_Nativ'!$D$6:$D$405,"&lt;"&amp;J945,'Istoric_Nativ'!$P$6:$P$405,1)+COUNTIFS('Istoric_Nativ'!$B$6:$B$405,E945,'Istoric_Nativ'!$C$6:$C$405,F945,'Istoric_Nativ'!$F$6:$F$405,G945,'Istoric_Nativ'!$D$6:$D$405,"&lt;"&amp;J945,'Istoric_Nativ'!$P$6:$P$405,1))))</x:f>
        <x:v>0</x:v>
      </x:c>
      <x:c r="L945" s="17" t="n">
        <x:f>IF(AND(B945&lt;&gt;"",I945="RECENT",K945&gt;0),LARGE(_xlfn._xlws.FILTER('Istoric_Nativ'!$D$6:$D$405,('Istoric_Nativ'!$B$6:$B$405=E945)*('Istoric_Nativ'!$C$6:$C$405=F945)*('Istoric_Nativ'!$P$6:$P$405=1)*('Istoric_Nativ'!$D$6:$D$405&lt;J945)*((('Istoric_Nativ'!$E$6:$E$405=G945)+('Istoric_Nativ'!$F$6:$F$405=G945))&gt;0)),MIN('Config_v6'!$B$54,K945)),0)</x:f>
        <x:v>0</x:v>
      </x:c>
      <x:c r="M945" s="2" t="n">
        <x:f>IF(OR(B945="",F945=""),0,IF(H945="HOME",COUNTIFS('Istoric_Nativ'!$B$6:$B$405,E945,'Istoric_Nativ'!$C$6:$C$405,F945,'Istoric_Nativ'!$E$6:$E$405,G945,'Istoric_Nativ'!$D$6:$D$405,"&lt;"&amp;J945,'Istoric_Nativ'!$P$6:$P$405,1,'Istoric_Nativ'!$D$6:$D$405,"&gt;="&amp;L945),IF(H945="AWAY",COUNTIFS('Istoric_Nativ'!$B$6:$B$405,E945,'Istoric_Nativ'!$C$6:$C$405,F945,'Istoric_Nativ'!$F$6:$F$405,G945,'Istoric_Nativ'!$D$6:$D$405,"&lt;"&amp;J945,'Istoric_Nativ'!$P$6:$P$405,1,'Istoric_Nativ'!$D$6:$D$405,"&gt;="&amp;L945),COUNTIFS('Istoric_Nativ'!$B$6:$B$405,E945,'Istoric_Nativ'!$C$6:$C$405,F945,'Istoric_Nativ'!$E$6:$E$405,G945,'Istoric_Nativ'!$D$6:$D$405,"&lt;"&amp;J945,'Istoric_Nativ'!$P$6:$P$405,1,'Istoric_Nativ'!$D$6:$D$405,"&gt;="&amp;L945)+COUNTIFS('Istoric_Nativ'!$B$6:$B$405,E945,'Istoric_Nativ'!$C$6:$C$405,F945,'Istoric_Nativ'!$F$6:$F$405,G945,'Istoric_Nativ'!$D$6:$D$405,"&lt;"&amp;J945,'Istoric_Nativ'!$P$6:$P$405,1,'Istoric_Nativ'!$D$6:$D$405,"&gt;="&amp;L945))))</x:f>
        <x:v>0</x:v>
      </x:c>
      <x:c r="N945" s="11" t="str">
        <x:f>IF(M945=0,"",IF(H945="HOME",SUMIFS('Istoric_Nativ'!$G$6:$G$405,'Istoric_Nativ'!$B$6:$B$405,E945,'Istoric_Nativ'!$C$6:$C$405,F945,'Istoric_Nativ'!$E$6:$E$405,G945,'Istoric_Nativ'!$D$6:$D$405,"&lt;"&amp;J945,'Istoric_Nativ'!$P$6:$P$405,1,'Istoric_Nativ'!$D$6:$D$405,"&gt;="&amp;L945),IF(H945="AWAY",SUMIFS('Istoric_Nativ'!$H$6:$H$405,'Istoric_Nativ'!$B$6:$B$405,E945,'Istoric_Nativ'!$C$6:$C$405,F945,'Istoric_Nativ'!$F$6:$F$405,G945,'Istoric_Nativ'!$D$6:$D$405,"&lt;"&amp;J945,'Istoric_Nativ'!$P$6:$P$405,1,'Istoric_Nativ'!$D$6:$D$405,"&gt;="&amp;L945),SUMIFS('Istoric_Nativ'!$G$6:$G$405,'Istoric_Nativ'!$B$6:$B$405,E945,'Istoric_Nativ'!$C$6:$C$405,F945,'Istoric_Nativ'!$E$6:$E$405,G945,'Istoric_Nativ'!$D$6:$D$405,"&lt;"&amp;J945,'Istoric_Nativ'!$P$6:$P$405,1,'Istoric_Nativ'!$D$6:$D$405,"&gt;="&amp;L945)+SUMIFS('Istoric_Nativ'!$H$6:$H$405,'Istoric_Nativ'!$B$6:$B$405,E945,'Istoric_Nativ'!$C$6:$C$405,F945,'Istoric_Nativ'!$F$6:$F$405,G945,'Istoric_Nativ'!$D$6:$D$405,"&lt;"&amp;J945,'Istoric_Nativ'!$P$6:$P$405,1,'Istoric_Nativ'!$D$6:$D$405,"&gt;="&amp;L945)))/M945)</x:f>
      </x:c>
      <x:c r="O945" s="11" t="str">
        <x:f>IF(M945=0,"",IF(H945="HOME",SUMIFS('Istoric_Nativ'!$H$6:$H$405,'Istoric_Nativ'!$B$6:$B$405,E945,'Istoric_Nativ'!$C$6:$C$405,F945,'Istoric_Nativ'!$E$6:$E$405,G945,'Istoric_Nativ'!$D$6:$D$405,"&lt;"&amp;J945,'Istoric_Nativ'!$P$6:$P$405,1,'Istoric_Nativ'!$D$6:$D$405,"&gt;="&amp;L945),IF(H945="AWAY",SUMIFS('Istoric_Nativ'!$G$6:$G$405,'Istoric_Nativ'!$B$6:$B$405,E945,'Istoric_Nativ'!$C$6:$C$405,F945,'Istoric_Nativ'!$F$6:$F$405,G945,'Istoric_Nativ'!$D$6:$D$405,"&lt;"&amp;J945,'Istoric_Nativ'!$P$6:$P$405,1,'Istoric_Nativ'!$D$6:$D$405,"&gt;="&amp;L945),SUMIFS('Istoric_Nativ'!$H$6:$H$405,'Istoric_Nativ'!$B$6:$B$405,E945,'Istoric_Nativ'!$C$6:$C$405,F945,'Istoric_Nativ'!$E$6:$E$405,G945,'Istoric_Nativ'!$D$6:$D$405,"&lt;"&amp;J945,'Istoric_Nativ'!$P$6:$P$405,1,'Istoric_Nativ'!$D$6:$D$405,"&gt;="&amp;L945)+SUMIFS('Istoric_Nativ'!$G$6:$G$405,'Istoric_Nativ'!$B$6:$B$405,E945,'Istoric_Nativ'!$C$6:$C$405,F945,'Istoric_Nativ'!$F$6:$F$405,G945,'Istoric_Nativ'!$D$6:$D$405,"&lt;"&amp;J945,'Istoric_Nativ'!$P$6:$P$405,1,'Istoric_Nativ'!$D$6:$D$405,"&gt;="&amp;L945)))/M945)</x:f>
      </x:c>
      <x:c r="P945" s="2" t="n">
        <x:f>'Config_v6'!$B$7</x:f>
        <x:v>10</x:v>
      </x:c>
      <x:c r="Q945" s="2" t="n">
        <x:f>IF(OR(B945="",F945=""),0,IFERROR(MATCH(E945&amp;"|"&amp;F945,SourceTable[Source_Key],0),0))</x:f>
        <x:v>0</x:v>
      </x:c>
      <x:c r="R945" s="2" t="str">
        <x:f>IF(B945="","",IF(F945="","UNUSED",IF(Q945=0,"NOT CHECKED",IF(COUNTIF(SourceTable[Source_Key],E945&amp;"|"&amp;F945)&lt;&gt;1,"SOURCE CONFLICT",IF(NOT(OR(INDEX(SourceTable[Status],MAX(1,Q945))="IMPORTED",INDEX(SourceTable[Status],MAX(1,Q945))="PARTIAL",INDEX(SourceTable[Status],MAX(1,Q945))="SOURCE CONFLICT")),"ACCESS BLOCKED",IF(OR(INDEX(SourceTable[Coverage],Q945)&lt;&gt;"FULL SEASON EXPORT",INDEX(SourceTable[URL],Q945)="",INDEX(SourceTable[SHA256],Q945)=""),"EVIDENCE INCOMPLETE",IF(AND('Input_Meci'!H84="LIVE",INDEX(SourceTable[Retrieved_UTC],Q945)&gt;'Input_Meci'!G84),"POST CUTOFF","CLOSED")))))))</x:f>
      </x:c>
      <x:c r="S945" s="2" t="n">
        <x:f>IF(OR(B945="",F945=""),0,COUNTIFS('Istoric_Nativ'!$B$6:$B$405,E945,'Istoric_Nativ'!$C$6:$C$405,F945,'Istoric_Nativ'!$E$6:$E$405,G945,'Istoric_Nativ'!$D$6:$D$405,"&lt;"&amp;J945,'Istoric_Nativ'!$O$6:$O$405,"INVALID")+COUNTIFS('Istoric_Nativ'!$B$6:$B$405,E945,'Istoric_Nativ'!$C$6:$C$405,F945,'Istoric_Nativ'!$E$6:$E$405,G945,'Istoric_Nativ'!$O$6:$O$405,"INVALID",'Istoric_Nativ'!$D$6:$D$405,"*")+COUNTIFS('Istoric_Nativ'!$B$6:$B$405,E945,'Istoric_Nativ'!$C$6:$C$405,F945,'Istoric_Nativ'!$E$6:$E$405,G945,'Istoric_Nativ'!$D$6:$D$405,"&lt;"&amp;J945,'Istoric_Nativ'!$O$6:$O$405,"SOURCE CONFLICT")+COUNTIFS('Istoric_Nativ'!$B$6:$B$405,E945,'Istoric_Nativ'!$C$6:$C$405,F945,'Istoric_Nativ'!$F$6:$F$405,G945,'Istoric_Nativ'!$D$6:$D$405,"&lt;"&amp;J945,'Istoric_Nativ'!$O$6:$O$405,"INVALID")+COUNTIFS('Istoric_Nativ'!$B$6:$B$405,E945,'Istoric_Nativ'!$C$6:$C$405,F945,'Istoric_Nativ'!$F$6:$F$405,G945,'Istoric_Nativ'!$O$6:$O$405,"INVALID",'Istoric_Nativ'!$D$6:$D$405,"*")+COUNTIFS('Istoric_Nativ'!$B$6:$B$405,E945,'Istoric_Nativ'!$C$6:$C$405,F945,'Istoric_Nativ'!$F$6:$F$405,G945,'Istoric_Nativ'!$D$6:$D$405,"&lt;"&amp;J945,'Istoric_Nativ'!$O$6:$O$405,"SOURCE CONFLICT"))</x:f>
        <x:v>0</x:v>
      </x:c>
      <x:c r="T945" s="2" t="str">
        <x:f>IF(B945="","",IF(R945&lt;&gt;"CLOSED",R945,IF(S945&gt;0,"NATIVE INPUT ISSUE",IF(M945=0,"NO HISTORY",IF(M945&lt;P945,"SMALL SAMPLE","DERIVED")))))</x:f>
      </x:c>
      <x:c r="U945" s="2" t="str">
        <x:f>IF(B945="","","NativeTable; "&amp;E945&amp;"; "&amp;F945&amp;"; "&amp;G945&amp;"; "&amp;H945&amp;"; before "&amp;TEXT(J945,"yyyy-mm-dd")&amp;IF(I945="RECENT","; from "&amp;TEXT(L945,"yyyy-mm-dd"),""))</x:f>
      </x:c>
    </x:row>
    <x:row r="946" ht="21" customHeight="1">
      <x:c r="A946" s="2" t="n">
        <x:v>79</x:v>
      </x:c>
      <x:c r="B946" s="2" t="str">
        <x:f>IF('Input_Meci'!A84="","",'Input_Meci'!A84)</x:f>
      </x:c>
      <x:c r="C946" s="2" t="str">
        <x:v>A</x:v>
      </x:c>
      <x:c r="D946" s="2" t="str">
        <x:v>CURRENT</x:v>
      </x:c>
      <x:c r="E946" s="2" t="str">
        <x:f>IF(B946="","",'Input_Meci'!B84)</x:f>
      </x:c>
      <x:c r="F946" s="2" t="str">
        <x:f>IF(B946="","",IF('Input_Meci'!C84="","",'Input_Meci'!C84))</x:f>
      </x:c>
      <x:c r="G946" s="2" t="str">
        <x:f>IF(B946="","",'Input_Meci'!E84)</x:f>
      </x:c>
      <x:c r="H946" s="2" t="str">
        <x:v>AWAY</x:v>
      </x:c>
      <x:c r="I946" s="2" t="str">
        <x:v>HA</x:v>
      </x:c>
      <x:c r="J946" s="9" t="n">
        <x:f>IF(AND(B946&lt;&gt;"",ISNUMBER('Input_Meci'!G84)),INT('Input_Meci'!G84),0)</x:f>
        <x:v>0</x:v>
      </x:c>
      <x:c r="K946" s="2" t="n">
        <x:f>IF(OR(B946="",F946=""),0,IF(H946="HOME",COUNTIFS('Istoric_Nativ'!$B$6:$B$405,E946,'Istoric_Nativ'!$C$6:$C$405,F946,'Istoric_Nativ'!$E$6:$E$405,G946,'Istoric_Nativ'!$D$6:$D$405,"&lt;"&amp;J946,'Istoric_Nativ'!$P$6:$P$405,1),IF(H946="AWAY",COUNTIFS('Istoric_Nativ'!$B$6:$B$405,E946,'Istoric_Nativ'!$C$6:$C$405,F946,'Istoric_Nativ'!$F$6:$F$405,G946,'Istoric_Nativ'!$D$6:$D$405,"&lt;"&amp;J946,'Istoric_Nativ'!$P$6:$P$405,1),COUNTIFS('Istoric_Nativ'!$B$6:$B$405,E946,'Istoric_Nativ'!$C$6:$C$405,F946,'Istoric_Nativ'!$E$6:$E$405,G946,'Istoric_Nativ'!$D$6:$D$405,"&lt;"&amp;J946,'Istoric_Nativ'!$P$6:$P$405,1)+COUNTIFS('Istoric_Nativ'!$B$6:$B$405,E946,'Istoric_Nativ'!$C$6:$C$405,F946,'Istoric_Nativ'!$F$6:$F$405,G946,'Istoric_Nativ'!$D$6:$D$405,"&lt;"&amp;J946,'Istoric_Nativ'!$P$6:$P$405,1))))</x:f>
        <x:v>0</x:v>
      </x:c>
      <x:c r="L946" s="17" t="n">
        <x:f>IF(AND(B946&lt;&gt;"",I946="RECENT",K946&gt;0),LARGE(_xlfn._xlws.FILTER('Istoric_Nativ'!$D$6:$D$405,('Istoric_Nativ'!$B$6:$B$405=E946)*('Istoric_Nativ'!$C$6:$C$405=F946)*('Istoric_Nativ'!$P$6:$P$405=1)*('Istoric_Nativ'!$D$6:$D$405&lt;J946)*((('Istoric_Nativ'!$E$6:$E$405=G946)+('Istoric_Nativ'!$F$6:$F$405=G946))&gt;0)),MIN('Config_v6'!$B$54,K946)),0)</x:f>
        <x:v>0</x:v>
      </x:c>
      <x:c r="M946" s="2" t="n">
        <x:f>IF(OR(B946="",F946=""),0,IF(H946="HOME",COUNTIFS('Istoric_Nativ'!$B$6:$B$405,E946,'Istoric_Nativ'!$C$6:$C$405,F946,'Istoric_Nativ'!$E$6:$E$405,G946,'Istoric_Nativ'!$D$6:$D$405,"&lt;"&amp;J946,'Istoric_Nativ'!$P$6:$P$405,1,'Istoric_Nativ'!$D$6:$D$405,"&gt;="&amp;L946),IF(H946="AWAY",COUNTIFS('Istoric_Nativ'!$B$6:$B$405,E946,'Istoric_Nativ'!$C$6:$C$405,F946,'Istoric_Nativ'!$F$6:$F$405,G946,'Istoric_Nativ'!$D$6:$D$405,"&lt;"&amp;J946,'Istoric_Nativ'!$P$6:$P$405,1,'Istoric_Nativ'!$D$6:$D$405,"&gt;="&amp;L946),COUNTIFS('Istoric_Nativ'!$B$6:$B$405,E946,'Istoric_Nativ'!$C$6:$C$405,F946,'Istoric_Nativ'!$E$6:$E$405,G946,'Istoric_Nativ'!$D$6:$D$405,"&lt;"&amp;J946,'Istoric_Nativ'!$P$6:$P$405,1,'Istoric_Nativ'!$D$6:$D$405,"&gt;="&amp;L946)+COUNTIFS('Istoric_Nativ'!$B$6:$B$405,E946,'Istoric_Nativ'!$C$6:$C$405,F946,'Istoric_Nativ'!$F$6:$F$405,G946,'Istoric_Nativ'!$D$6:$D$405,"&lt;"&amp;J946,'Istoric_Nativ'!$P$6:$P$405,1,'Istoric_Nativ'!$D$6:$D$405,"&gt;="&amp;L946))))</x:f>
        <x:v>0</x:v>
      </x:c>
      <x:c r="N946" s="11" t="str">
        <x:f>IF(M946=0,"",IF(H946="HOME",SUMIFS('Istoric_Nativ'!$G$6:$G$405,'Istoric_Nativ'!$B$6:$B$405,E946,'Istoric_Nativ'!$C$6:$C$405,F946,'Istoric_Nativ'!$E$6:$E$405,G946,'Istoric_Nativ'!$D$6:$D$405,"&lt;"&amp;J946,'Istoric_Nativ'!$P$6:$P$405,1,'Istoric_Nativ'!$D$6:$D$405,"&gt;="&amp;L946),IF(H946="AWAY",SUMIFS('Istoric_Nativ'!$H$6:$H$405,'Istoric_Nativ'!$B$6:$B$405,E946,'Istoric_Nativ'!$C$6:$C$405,F946,'Istoric_Nativ'!$F$6:$F$405,G946,'Istoric_Nativ'!$D$6:$D$405,"&lt;"&amp;J946,'Istoric_Nativ'!$P$6:$P$405,1,'Istoric_Nativ'!$D$6:$D$405,"&gt;="&amp;L946),SUMIFS('Istoric_Nativ'!$G$6:$G$405,'Istoric_Nativ'!$B$6:$B$405,E946,'Istoric_Nativ'!$C$6:$C$405,F946,'Istoric_Nativ'!$E$6:$E$405,G946,'Istoric_Nativ'!$D$6:$D$405,"&lt;"&amp;J946,'Istoric_Nativ'!$P$6:$P$405,1,'Istoric_Nativ'!$D$6:$D$405,"&gt;="&amp;L946)+SUMIFS('Istoric_Nativ'!$H$6:$H$405,'Istoric_Nativ'!$B$6:$B$405,E946,'Istoric_Nativ'!$C$6:$C$405,F946,'Istoric_Nativ'!$F$6:$F$405,G946,'Istoric_Nativ'!$D$6:$D$405,"&lt;"&amp;J946,'Istoric_Nativ'!$P$6:$P$405,1,'Istoric_Nativ'!$D$6:$D$405,"&gt;="&amp;L946)))/M946)</x:f>
      </x:c>
      <x:c r="O946" s="11" t="str">
        <x:f>IF(M946=0,"",IF(H946="HOME",SUMIFS('Istoric_Nativ'!$H$6:$H$405,'Istoric_Nativ'!$B$6:$B$405,E946,'Istoric_Nativ'!$C$6:$C$405,F946,'Istoric_Nativ'!$E$6:$E$405,G946,'Istoric_Nativ'!$D$6:$D$405,"&lt;"&amp;J946,'Istoric_Nativ'!$P$6:$P$405,1,'Istoric_Nativ'!$D$6:$D$405,"&gt;="&amp;L946),IF(H946="AWAY",SUMIFS('Istoric_Nativ'!$G$6:$G$405,'Istoric_Nativ'!$B$6:$B$405,E946,'Istoric_Nativ'!$C$6:$C$405,F946,'Istoric_Nativ'!$F$6:$F$405,G946,'Istoric_Nativ'!$D$6:$D$405,"&lt;"&amp;J946,'Istoric_Nativ'!$P$6:$P$405,1,'Istoric_Nativ'!$D$6:$D$405,"&gt;="&amp;L946),SUMIFS('Istoric_Nativ'!$H$6:$H$405,'Istoric_Nativ'!$B$6:$B$405,E946,'Istoric_Nativ'!$C$6:$C$405,F946,'Istoric_Nativ'!$E$6:$E$405,G946,'Istoric_Nativ'!$D$6:$D$405,"&lt;"&amp;J946,'Istoric_Nativ'!$P$6:$P$405,1,'Istoric_Nativ'!$D$6:$D$405,"&gt;="&amp;L946)+SUMIFS('Istoric_Nativ'!$G$6:$G$405,'Istoric_Nativ'!$B$6:$B$405,E946,'Istoric_Nativ'!$C$6:$C$405,F946,'Istoric_Nativ'!$F$6:$F$405,G946,'Istoric_Nativ'!$D$6:$D$405,"&lt;"&amp;J946,'Istoric_Nativ'!$P$6:$P$405,1,'Istoric_Nativ'!$D$6:$D$405,"&gt;="&amp;L946)))/M946)</x:f>
      </x:c>
      <x:c r="P946" s="2" t="n">
        <x:f>'Config_v6'!$B$8</x:f>
        <x:v>5</x:v>
      </x:c>
      <x:c r="Q946" s="2" t="n">
        <x:f>IF(OR(B946="",F946=""),0,IFERROR(MATCH(E946&amp;"|"&amp;F946,SourceTable[Source_Key],0),0))</x:f>
        <x:v>0</x:v>
      </x:c>
      <x:c r="R946" s="2" t="str">
        <x:f>IF(B946="","",IF(F946="","UNUSED",IF(Q946=0,"NOT CHECKED",IF(COUNTIF(SourceTable[Source_Key],E946&amp;"|"&amp;F946)&lt;&gt;1,"SOURCE CONFLICT",IF(NOT(OR(INDEX(SourceTable[Status],MAX(1,Q946))="IMPORTED",INDEX(SourceTable[Status],MAX(1,Q946))="PARTIAL",INDEX(SourceTable[Status],MAX(1,Q946))="SOURCE CONFLICT")),"ACCESS BLOCKED",IF(OR(INDEX(SourceTable[Coverage],Q946)&lt;&gt;"FULL SEASON EXPORT",INDEX(SourceTable[URL],Q946)="",INDEX(SourceTable[SHA256],Q946)=""),"EVIDENCE INCOMPLETE",IF(AND('Input_Meci'!H84="LIVE",INDEX(SourceTable[Retrieved_UTC],Q946)&gt;'Input_Meci'!G84),"POST CUTOFF","CLOSED")))))))</x:f>
      </x:c>
      <x:c r="S946" s="2" t="n">
        <x:f>IF(OR(B946="",F946=""),0,COUNTIFS('Istoric_Nativ'!$B$6:$B$405,E946,'Istoric_Nativ'!$C$6:$C$405,F946,'Istoric_Nativ'!$E$6:$E$405,G946,'Istoric_Nativ'!$D$6:$D$405,"&lt;"&amp;J946,'Istoric_Nativ'!$O$6:$O$405,"INVALID")+COUNTIFS('Istoric_Nativ'!$B$6:$B$405,E946,'Istoric_Nativ'!$C$6:$C$405,F946,'Istoric_Nativ'!$E$6:$E$405,G946,'Istoric_Nativ'!$O$6:$O$405,"INVALID",'Istoric_Nativ'!$D$6:$D$405,"*")+COUNTIFS('Istoric_Nativ'!$B$6:$B$405,E946,'Istoric_Nativ'!$C$6:$C$405,F946,'Istoric_Nativ'!$E$6:$E$405,G946,'Istoric_Nativ'!$D$6:$D$405,"&lt;"&amp;J946,'Istoric_Nativ'!$O$6:$O$405,"SOURCE CONFLICT")+COUNTIFS('Istoric_Nativ'!$B$6:$B$405,E946,'Istoric_Nativ'!$C$6:$C$405,F946,'Istoric_Nativ'!$F$6:$F$405,G946,'Istoric_Nativ'!$D$6:$D$405,"&lt;"&amp;J946,'Istoric_Nativ'!$O$6:$O$405,"INVALID")+COUNTIFS('Istoric_Nativ'!$B$6:$B$405,E946,'Istoric_Nativ'!$C$6:$C$405,F946,'Istoric_Nativ'!$F$6:$F$405,G946,'Istoric_Nativ'!$O$6:$O$405,"INVALID",'Istoric_Nativ'!$D$6:$D$405,"*")+COUNTIFS('Istoric_Nativ'!$B$6:$B$405,E946,'Istoric_Nativ'!$C$6:$C$405,F946,'Istoric_Nativ'!$F$6:$F$405,G946,'Istoric_Nativ'!$D$6:$D$405,"&lt;"&amp;J946,'Istoric_Nativ'!$O$6:$O$405,"SOURCE CONFLICT"))</x:f>
        <x:v>0</x:v>
      </x:c>
      <x:c r="T946" s="2" t="str">
        <x:f>IF(B946="","",IF(R946&lt;&gt;"CLOSED",R946,IF(S946&gt;0,"NATIVE INPUT ISSUE",IF(M946=0,"NO HISTORY",IF(M946&lt;P946,"SMALL SAMPLE","DERIVED")))))</x:f>
      </x:c>
      <x:c r="U946" s="2" t="str">
        <x:f>IF(B946="","","NativeTable; "&amp;E946&amp;"; "&amp;F946&amp;"; "&amp;G946&amp;"; "&amp;H946&amp;"; before "&amp;TEXT(J946,"yyyy-mm-dd")&amp;IF(I946="RECENT","; from "&amp;TEXT(L946,"yyyy-mm-dd"),""))</x:f>
      </x:c>
    </x:row>
    <x:row r="947" ht="21" customHeight="1">
      <x:c r="A947" s="2" t="n">
        <x:v>79</x:v>
      </x:c>
      <x:c r="B947" s="2" t="str">
        <x:f>IF('Input_Meci'!A84="","",'Input_Meci'!A84)</x:f>
      </x:c>
      <x:c r="C947" s="2" t="str">
        <x:v>A</x:v>
      </x:c>
      <x:c r="D947" s="2" t="str">
        <x:v>CURRENT</x:v>
      </x:c>
      <x:c r="E947" s="2" t="str">
        <x:f>IF(B947="","",'Input_Meci'!B84)</x:f>
      </x:c>
      <x:c r="F947" s="2" t="str">
        <x:f>IF(B947="","",IF('Input_Meci'!C84="","",'Input_Meci'!C84))</x:f>
      </x:c>
      <x:c r="G947" s="2" t="str">
        <x:f>IF(B947="","",'Input_Meci'!E84)</x:f>
      </x:c>
      <x:c r="H947" s="2" t="str">
        <x:v>ANY</x:v>
      </x:c>
      <x:c r="I947" s="2" t="str">
        <x:v>RECENT</x:v>
      </x:c>
      <x:c r="J947" s="9" t="n">
        <x:f>IF(AND(B947&lt;&gt;"",ISNUMBER('Input_Meci'!G84)),INT('Input_Meci'!G84),0)</x:f>
        <x:v>0</x:v>
      </x:c>
      <x:c r="K947" s="2" t="n">
        <x:f>IF(OR(B947="",F947=""),0,IF(H947="HOME",COUNTIFS('Istoric_Nativ'!$B$6:$B$405,E947,'Istoric_Nativ'!$C$6:$C$405,F947,'Istoric_Nativ'!$E$6:$E$405,G947,'Istoric_Nativ'!$D$6:$D$405,"&lt;"&amp;J947,'Istoric_Nativ'!$P$6:$P$405,1),IF(H947="AWAY",COUNTIFS('Istoric_Nativ'!$B$6:$B$405,E947,'Istoric_Nativ'!$C$6:$C$405,F947,'Istoric_Nativ'!$F$6:$F$405,G947,'Istoric_Nativ'!$D$6:$D$405,"&lt;"&amp;J947,'Istoric_Nativ'!$P$6:$P$405,1),COUNTIFS('Istoric_Nativ'!$B$6:$B$405,E947,'Istoric_Nativ'!$C$6:$C$405,F947,'Istoric_Nativ'!$E$6:$E$405,G947,'Istoric_Nativ'!$D$6:$D$405,"&lt;"&amp;J947,'Istoric_Nativ'!$P$6:$P$405,1)+COUNTIFS('Istoric_Nativ'!$B$6:$B$405,E947,'Istoric_Nativ'!$C$6:$C$405,F947,'Istoric_Nativ'!$F$6:$F$405,G947,'Istoric_Nativ'!$D$6:$D$405,"&lt;"&amp;J947,'Istoric_Nativ'!$P$6:$P$405,1))))</x:f>
        <x:v>0</x:v>
      </x:c>
      <x:c r="L947" s="17" t="n">
        <x:f>IF(AND(B947&lt;&gt;"",I947="RECENT",K947&gt;0),LARGE(_xlfn._xlws.FILTER('Istoric_Nativ'!$D$6:$D$405,('Istoric_Nativ'!$B$6:$B$405=E947)*('Istoric_Nativ'!$C$6:$C$405=F947)*('Istoric_Nativ'!$P$6:$P$405=1)*('Istoric_Nativ'!$D$6:$D$405&lt;J947)*((('Istoric_Nativ'!$E$6:$E$405=G947)+('Istoric_Nativ'!$F$6:$F$405=G947))&gt;0)),MIN('Config_v6'!$B$54,K947)),0)</x:f>
        <x:v>0</x:v>
      </x:c>
      <x:c r="M947" s="2" t="n">
        <x:f>IF(OR(B947="",F947=""),0,IF(H947="HOME",COUNTIFS('Istoric_Nativ'!$B$6:$B$405,E947,'Istoric_Nativ'!$C$6:$C$405,F947,'Istoric_Nativ'!$E$6:$E$405,G947,'Istoric_Nativ'!$D$6:$D$405,"&lt;"&amp;J947,'Istoric_Nativ'!$P$6:$P$405,1,'Istoric_Nativ'!$D$6:$D$405,"&gt;="&amp;L947),IF(H947="AWAY",COUNTIFS('Istoric_Nativ'!$B$6:$B$405,E947,'Istoric_Nativ'!$C$6:$C$405,F947,'Istoric_Nativ'!$F$6:$F$405,G947,'Istoric_Nativ'!$D$6:$D$405,"&lt;"&amp;J947,'Istoric_Nativ'!$P$6:$P$405,1,'Istoric_Nativ'!$D$6:$D$405,"&gt;="&amp;L947),COUNTIFS('Istoric_Nativ'!$B$6:$B$405,E947,'Istoric_Nativ'!$C$6:$C$405,F947,'Istoric_Nativ'!$E$6:$E$405,G947,'Istoric_Nativ'!$D$6:$D$405,"&lt;"&amp;J947,'Istoric_Nativ'!$P$6:$P$405,1,'Istoric_Nativ'!$D$6:$D$405,"&gt;="&amp;L947)+COUNTIFS('Istoric_Nativ'!$B$6:$B$405,E947,'Istoric_Nativ'!$C$6:$C$405,F947,'Istoric_Nativ'!$F$6:$F$405,G947,'Istoric_Nativ'!$D$6:$D$405,"&lt;"&amp;J947,'Istoric_Nativ'!$P$6:$P$405,1,'Istoric_Nativ'!$D$6:$D$405,"&gt;="&amp;L947))))</x:f>
        <x:v>0</x:v>
      </x:c>
      <x:c r="N947" s="11" t="str">
        <x:f>IF(M947=0,"",IF(H947="HOME",SUMIFS('Istoric_Nativ'!$G$6:$G$405,'Istoric_Nativ'!$B$6:$B$405,E947,'Istoric_Nativ'!$C$6:$C$405,F947,'Istoric_Nativ'!$E$6:$E$405,G947,'Istoric_Nativ'!$D$6:$D$405,"&lt;"&amp;J947,'Istoric_Nativ'!$P$6:$P$405,1,'Istoric_Nativ'!$D$6:$D$405,"&gt;="&amp;L947),IF(H947="AWAY",SUMIFS('Istoric_Nativ'!$H$6:$H$405,'Istoric_Nativ'!$B$6:$B$405,E947,'Istoric_Nativ'!$C$6:$C$405,F947,'Istoric_Nativ'!$F$6:$F$405,G947,'Istoric_Nativ'!$D$6:$D$405,"&lt;"&amp;J947,'Istoric_Nativ'!$P$6:$P$405,1,'Istoric_Nativ'!$D$6:$D$405,"&gt;="&amp;L947),SUMIFS('Istoric_Nativ'!$G$6:$G$405,'Istoric_Nativ'!$B$6:$B$405,E947,'Istoric_Nativ'!$C$6:$C$405,F947,'Istoric_Nativ'!$E$6:$E$405,G947,'Istoric_Nativ'!$D$6:$D$405,"&lt;"&amp;J947,'Istoric_Nativ'!$P$6:$P$405,1,'Istoric_Nativ'!$D$6:$D$405,"&gt;="&amp;L947)+SUMIFS('Istoric_Nativ'!$H$6:$H$405,'Istoric_Nativ'!$B$6:$B$405,E947,'Istoric_Nativ'!$C$6:$C$405,F947,'Istoric_Nativ'!$F$6:$F$405,G947,'Istoric_Nativ'!$D$6:$D$405,"&lt;"&amp;J947,'Istoric_Nativ'!$P$6:$P$405,1,'Istoric_Nativ'!$D$6:$D$405,"&gt;="&amp;L947)))/M947)</x:f>
      </x:c>
      <x:c r="O947" s="11" t="str">
        <x:f>IF(M947=0,"",IF(H947="HOME",SUMIFS('Istoric_Nativ'!$H$6:$H$405,'Istoric_Nativ'!$B$6:$B$405,E947,'Istoric_Nativ'!$C$6:$C$405,F947,'Istoric_Nativ'!$E$6:$E$405,G947,'Istoric_Nativ'!$D$6:$D$405,"&lt;"&amp;J947,'Istoric_Nativ'!$P$6:$P$405,1,'Istoric_Nativ'!$D$6:$D$405,"&gt;="&amp;L947),IF(H947="AWAY",SUMIFS('Istoric_Nativ'!$G$6:$G$405,'Istoric_Nativ'!$B$6:$B$405,E947,'Istoric_Nativ'!$C$6:$C$405,F947,'Istoric_Nativ'!$F$6:$F$405,G947,'Istoric_Nativ'!$D$6:$D$405,"&lt;"&amp;J947,'Istoric_Nativ'!$P$6:$P$405,1,'Istoric_Nativ'!$D$6:$D$405,"&gt;="&amp;L947),SUMIFS('Istoric_Nativ'!$H$6:$H$405,'Istoric_Nativ'!$B$6:$B$405,E947,'Istoric_Nativ'!$C$6:$C$405,F947,'Istoric_Nativ'!$E$6:$E$405,G947,'Istoric_Nativ'!$D$6:$D$405,"&lt;"&amp;J947,'Istoric_Nativ'!$P$6:$P$405,1,'Istoric_Nativ'!$D$6:$D$405,"&gt;="&amp;L947)+SUMIFS('Istoric_Nativ'!$G$6:$G$405,'Istoric_Nativ'!$B$6:$B$405,E947,'Istoric_Nativ'!$C$6:$C$405,F947,'Istoric_Nativ'!$F$6:$F$405,G947,'Istoric_Nativ'!$D$6:$D$405,"&lt;"&amp;J947,'Istoric_Nativ'!$P$6:$P$405,1,'Istoric_Nativ'!$D$6:$D$405,"&gt;="&amp;L947)))/M947)</x:f>
      </x:c>
      <x:c r="P947" s="2" t="n">
        <x:f>'Config_v6'!$B$9</x:f>
        <x:v>3</x:v>
      </x:c>
      <x:c r="Q947" s="2" t="n">
        <x:f>IF(OR(B947="",F947=""),0,IFERROR(MATCH(E947&amp;"|"&amp;F947,SourceTable[Source_Key],0),0))</x:f>
        <x:v>0</x:v>
      </x:c>
      <x:c r="R947" s="2" t="str">
        <x:f>IF(B947="","",IF(F947="","UNUSED",IF(Q947=0,"NOT CHECKED",IF(COUNTIF(SourceTable[Source_Key],E947&amp;"|"&amp;F947)&lt;&gt;1,"SOURCE CONFLICT",IF(NOT(OR(INDEX(SourceTable[Status],MAX(1,Q947))="IMPORTED",INDEX(SourceTable[Status],MAX(1,Q947))="PARTIAL",INDEX(SourceTable[Status],MAX(1,Q947))="SOURCE CONFLICT")),"ACCESS BLOCKED",IF(OR(INDEX(SourceTable[Coverage],Q947)&lt;&gt;"FULL SEASON EXPORT",INDEX(SourceTable[URL],Q947)="",INDEX(SourceTable[SHA256],Q947)=""),"EVIDENCE INCOMPLETE",IF(AND('Input_Meci'!H84="LIVE",INDEX(SourceTable[Retrieved_UTC],Q947)&gt;'Input_Meci'!G84),"POST CUTOFF","CLOSED")))))))</x:f>
      </x:c>
      <x:c r="S947" s="2" t="n">
        <x:f>IF(OR(B947="",F947=""),0,COUNTIFS('Istoric_Nativ'!$B$6:$B$405,E947,'Istoric_Nativ'!$C$6:$C$405,F947,'Istoric_Nativ'!$E$6:$E$405,G947,'Istoric_Nativ'!$D$6:$D$405,"&lt;"&amp;J947,'Istoric_Nativ'!$O$6:$O$405,"INVALID")+COUNTIFS('Istoric_Nativ'!$B$6:$B$405,E947,'Istoric_Nativ'!$C$6:$C$405,F947,'Istoric_Nativ'!$E$6:$E$405,G947,'Istoric_Nativ'!$O$6:$O$405,"INVALID",'Istoric_Nativ'!$D$6:$D$405,"*")+COUNTIFS('Istoric_Nativ'!$B$6:$B$405,E947,'Istoric_Nativ'!$C$6:$C$405,F947,'Istoric_Nativ'!$E$6:$E$405,G947,'Istoric_Nativ'!$D$6:$D$405,"&lt;"&amp;J947,'Istoric_Nativ'!$O$6:$O$405,"SOURCE CONFLICT")+COUNTIFS('Istoric_Nativ'!$B$6:$B$405,E947,'Istoric_Nativ'!$C$6:$C$405,F947,'Istoric_Nativ'!$F$6:$F$405,G947,'Istoric_Nativ'!$D$6:$D$405,"&lt;"&amp;J947,'Istoric_Nativ'!$O$6:$O$405,"INVALID")+COUNTIFS('Istoric_Nativ'!$B$6:$B$405,E947,'Istoric_Nativ'!$C$6:$C$405,F947,'Istoric_Nativ'!$F$6:$F$405,G947,'Istoric_Nativ'!$O$6:$O$405,"INVALID",'Istoric_Nativ'!$D$6:$D$405,"*")+COUNTIFS('Istoric_Nativ'!$B$6:$B$405,E947,'Istoric_Nativ'!$C$6:$C$405,F947,'Istoric_Nativ'!$F$6:$F$405,G947,'Istoric_Nativ'!$D$6:$D$405,"&lt;"&amp;J947,'Istoric_Nativ'!$O$6:$O$405,"SOURCE CONFLICT"))</x:f>
        <x:v>0</x:v>
      </x:c>
      <x:c r="T947" s="2" t="str">
        <x:f>IF(B947="","",IF(R947&lt;&gt;"CLOSED",R947,IF(S947&gt;0,"NATIVE INPUT ISSUE",IF(M947=0,"NO HISTORY",IF(M947&lt;P947,"SMALL SAMPLE","DERIVED")))))</x:f>
      </x:c>
      <x:c r="U947" s="2" t="str">
        <x:f>IF(B947="","","NativeTable; "&amp;E947&amp;"; "&amp;F947&amp;"; "&amp;G947&amp;"; "&amp;H947&amp;"; before "&amp;TEXT(J947,"yyyy-mm-dd")&amp;IF(I947="RECENT","; from "&amp;TEXT(L947,"yyyy-mm-dd"),""))</x:f>
      </x:c>
    </x:row>
    <x:row r="948" ht="21" customHeight="1">
      <x:c r="A948" s="2" t="n">
        <x:v>79</x:v>
      </x:c>
      <x:c r="B948" s="2" t="str">
        <x:f>IF('Input_Meci'!A84="","",'Input_Meci'!A84)</x:f>
      </x:c>
      <x:c r="C948" s="2" t="str">
        <x:v>H</x:v>
      </x:c>
      <x:c r="D948" s="2" t="str">
        <x:v>PRIOR</x:v>
      </x:c>
      <x:c r="E948" s="2" t="str">
        <x:f>IF(B948="","",'Input_Meci'!B84)</x:f>
      </x:c>
      <x:c r="F948" s="2" t="str">
        <x:f>IF(B948="","",IF('Input_Meci'!K84="","",'Input_Meci'!K84))</x:f>
      </x:c>
      <x:c r="G948" s="2" t="str">
        <x:f>IF(B948="","",'Input_Meci'!D84)</x:f>
      </x:c>
      <x:c r="H948" s="2" t="str">
        <x:v>ANY</x:v>
      </x:c>
      <x:c r="I948" s="2" t="str">
        <x:v>SEASON</x:v>
      </x:c>
      <x:c r="J948" s="9" t="n">
        <x:f>IF(AND(B948&lt;&gt;"",ISNUMBER('Input_Meci'!G84)),INT('Input_Meci'!G84),0)</x:f>
        <x:v>0</x:v>
      </x:c>
      <x:c r="K948" s="2" t="n">
        <x:f>IF(OR(B948="",F948=""),0,IF(H948="HOME",COUNTIFS('Istoric_Nativ'!$B$6:$B$405,E948,'Istoric_Nativ'!$C$6:$C$405,F948,'Istoric_Nativ'!$E$6:$E$405,G948,'Istoric_Nativ'!$D$6:$D$405,"&lt;"&amp;J948,'Istoric_Nativ'!$P$6:$P$405,1),IF(H948="AWAY",COUNTIFS('Istoric_Nativ'!$B$6:$B$405,E948,'Istoric_Nativ'!$C$6:$C$405,F948,'Istoric_Nativ'!$F$6:$F$405,G948,'Istoric_Nativ'!$D$6:$D$405,"&lt;"&amp;J948,'Istoric_Nativ'!$P$6:$P$405,1),COUNTIFS('Istoric_Nativ'!$B$6:$B$405,E948,'Istoric_Nativ'!$C$6:$C$405,F948,'Istoric_Nativ'!$E$6:$E$405,G948,'Istoric_Nativ'!$D$6:$D$405,"&lt;"&amp;J948,'Istoric_Nativ'!$P$6:$P$405,1)+COUNTIFS('Istoric_Nativ'!$B$6:$B$405,E948,'Istoric_Nativ'!$C$6:$C$405,F948,'Istoric_Nativ'!$F$6:$F$405,G948,'Istoric_Nativ'!$D$6:$D$405,"&lt;"&amp;J948,'Istoric_Nativ'!$P$6:$P$405,1))))</x:f>
        <x:v>0</x:v>
      </x:c>
      <x:c r="L948" s="17" t="n">
        <x:f>IF(AND(B948&lt;&gt;"",I948="RECENT",K948&gt;0),LARGE(_xlfn._xlws.FILTER('Istoric_Nativ'!$D$6:$D$405,('Istoric_Nativ'!$B$6:$B$405=E948)*('Istoric_Nativ'!$C$6:$C$405=F948)*('Istoric_Nativ'!$P$6:$P$405=1)*('Istoric_Nativ'!$D$6:$D$405&lt;J948)*((('Istoric_Nativ'!$E$6:$E$405=G948)+('Istoric_Nativ'!$F$6:$F$405=G948))&gt;0)),MIN('Config_v6'!$B$54,K948)),0)</x:f>
        <x:v>0</x:v>
      </x:c>
      <x:c r="M948" s="2" t="n">
        <x:f>IF(OR(B948="",F948=""),0,IF(H948="HOME",COUNTIFS('Istoric_Nativ'!$B$6:$B$405,E948,'Istoric_Nativ'!$C$6:$C$405,F948,'Istoric_Nativ'!$E$6:$E$405,G948,'Istoric_Nativ'!$D$6:$D$405,"&lt;"&amp;J948,'Istoric_Nativ'!$P$6:$P$405,1,'Istoric_Nativ'!$D$6:$D$405,"&gt;="&amp;L948),IF(H948="AWAY",COUNTIFS('Istoric_Nativ'!$B$6:$B$405,E948,'Istoric_Nativ'!$C$6:$C$405,F948,'Istoric_Nativ'!$F$6:$F$405,G948,'Istoric_Nativ'!$D$6:$D$405,"&lt;"&amp;J948,'Istoric_Nativ'!$P$6:$P$405,1,'Istoric_Nativ'!$D$6:$D$405,"&gt;="&amp;L948),COUNTIFS('Istoric_Nativ'!$B$6:$B$405,E948,'Istoric_Nativ'!$C$6:$C$405,F948,'Istoric_Nativ'!$E$6:$E$405,G948,'Istoric_Nativ'!$D$6:$D$405,"&lt;"&amp;J948,'Istoric_Nativ'!$P$6:$P$405,1,'Istoric_Nativ'!$D$6:$D$405,"&gt;="&amp;L948)+COUNTIFS('Istoric_Nativ'!$B$6:$B$405,E948,'Istoric_Nativ'!$C$6:$C$405,F948,'Istoric_Nativ'!$F$6:$F$405,G948,'Istoric_Nativ'!$D$6:$D$405,"&lt;"&amp;J948,'Istoric_Nativ'!$P$6:$P$405,1,'Istoric_Nativ'!$D$6:$D$405,"&gt;="&amp;L948))))</x:f>
        <x:v>0</x:v>
      </x:c>
      <x:c r="N948" s="11" t="str">
        <x:f>IF(M948=0,"",IF(H948="HOME",SUMIFS('Istoric_Nativ'!$G$6:$G$405,'Istoric_Nativ'!$B$6:$B$405,E948,'Istoric_Nativ'!$C$6:$C$405,F948,'Istoric_Nativ'!$E$6:$E$405,G948,'Istoric_Nativ'!$D$6:$D$405,"&lt;"&amp;J948,'Istoric_Nativ'!$P$6:$P$405,1,'Istoric_Nativ'!$D$6:$D$405,"&gt;="&amp;L948),IF(H948="AWAY",SUMIFS('Istoric_Nativ'!$H$6:$H$405,'Istoric_Nativ'!$B$6:$B$405,E948,'Istoric_Nativ'!$C$6:$C$405,F948,'Istoric_Nativ'!$F$6:$F$405,G948,'Istoric_Nativ'!$D$6:$D$405,"&lt;"&amp;J948,'Istoric_Nativ'!$P$6:$P$405,1,'Istoric_Nativ'!$D$6:$D$405,"&gt;="&amp;L948),SUMIFS('Istoric_Nativ'!$G$6:$G$405,'Istoric_Nativ'!$B$6:$B$405,E948,'Istoric_Nativ'!$C$6:$C$405,F948,'Istoric_Nativ'!$E$6:$E$405,G948,'Istoric_Nativ'!$D$6:$D$405,"&lt;"&amp;J948,'Istoric_Nativ'!$P$6:$P$405,1,'Istoric_Nativ'!$D$6:$D$405,"&gt;="&amp;L948)+SUMIFS('Istoric_Nativ'!$H$6:$H$405,'Istoric_Nativ'!$B$6:$B$405,E948,'Istoric_Nativ'!$C$6:$C$405,F948,'Istoric_Nativ'!$F$6:$F$405,G948,'Istoric_Nativ'!$D$6:$D$405,"&lt;"&amp;J948,'Istoric_Nativ'!$P$6:$P$405,1,'Istoric_Nativ'!$D$6:$D$405,"&gt;="&amp;L948)))/M948)</x:f>
      </x:c>
      <x:c r="O948" s="11" t="str">
        <x:f>IF(M948=0,"",IF(H948="HOME",SUMIFS('Istoric_Nativ'!$H$6:$H$405,'Istoric_Nativ'!$B$6:$B$405,E948,'Istoric_Nativ'!$C$6:$C$405,F948,'Istoric_Nativ'!$E$6:$E$405,G948,'Istoric_Nativ'!$D$6:$D$405,"&lt;"&amp;J948,'Istoric_Nativ'!$P$6:$P$405,1,'Istoric_Nativ'!$D$6:$D$405,"&gt;="&amp;L948),IF(H948="AWAY",SUMIFS('Istoric_Nativ'!$G$6:$G$405,'Istoric_Nativ'!$B$6:$B$405,E948,'Istoric_Nativ'!$C$6:$C$405,F948,'Istoric_Nativ'!$F$6:$F$405,G948,'Istoric_Nativ'!$D$6:$D$405,"&lt;"&amp;J948,'Istoric_Nativ'!$P$6:$P$405,1,'Istoric_Nativ'!$D$6:$D$405,"&gt;="&amp;L948),SUMIFS('Istoric_Nativ'!$H$6:$H$405,'Istoric_Nativ'!$B$6:$B$405,E948,'Istoric_Nativ'!$C$6:$C$405,F948,'Istoric_Nativ'!$E$6:$E$405,G948,'Istoric_Nativ'!$D$6:$D$405,"&lt;"&amp;J948,'Istoric_Nativ'!$P$6:$P$405,1,'Istoric_Nativ'!$D$6:$D$405,"&gt;="&amp;L948)+SUMIFS('Istoric_Nativ'!$G$6:$G$405,'Istoric_Nativ'!$B$6:$B$405,E948,'Istoric_Nativ'!$C$6:$C$405,F948,'Istoric_Nativ'!$F$6:$F$405,G948,'Istoric_Nativ'!$D$6:$D$405,"&lt;"&amp;J948,'Istoric_Nativ'!$P$6:$P$405,1,'Istoric_Nativ'!$D$6:$D$405,"&gt;="&amp;L948)))/M948)</x:f>
      </x:c>
      <x:c r="P948" s="2" t="n">
        <x:f>'Config_v6'!$B$7</x:f>
        <x:v>10</x:v>
      </x:c>
      <x:c r="Q948" s="2" t="n">
        <x:f>IF(OR(B948="",F948=""),0,IFERROR(MATCH(E948&amp;"|"&amp;F948,SourceTable[Source_Key],0),0))</x:f>
        <x:v>0</x:v>
      </x:c>
      <x:c r="R948" s="2" t="str">
        <x:f>IF(B948="","",IF(F948="","UNUSED",IF(Q948=0,"NOT CHECKED",IF(COUNTIF(SourceTable[Source_Key],E948&amp;"|"&amp;F948)&lt;&gt;1,"SOURCE CONFLICT",IF(NOT(OR(INDEX(SourceTable[Status],MAX(1,Q948))="IMPORTED",INDEX(SourceTable[Status],MAX(1,Q948))="PARTIAL",INDEX(SourceTable[Status],MAX(1,Q948))="SOURCE CONFLICT")),"ACCESS BLOCKED",IF(OR(INDEX(SourceTable[Coverage],Q948)&lt;&gt;"FULL SEASON EXPORT",INDEX(SourceTable[URL],Q948)="",INDEX(SourceTable[SHA256],Q948)=""),"EVIDENCE INCOMPLETE",IF(AND('Input_Meci'!H84="LIVE",INDEX(SourceTable[Retrieved_UTC],Q948)&gt;'Input_Meci'!G84),"POST CUTOFF","CLOSED")))))))</x:f>
      </x:c>
      <x:c r="S948" s="2" t="n">
        <x:f>IF(OR(B948="",F948=""),0,COUNTIFS('Istoric_Nativ'!$B$6:$B$405,E948,'Istoric_Nativ'!$C$6:$C$405,F948,'Istoric_Nativ'!$E$6:$E$405,G948,'Istoric_Nativ'!$D$6:$D$405,"&lt;"&amp;J948,'Istoric_Nativ'!$O$6:$O$405,"INVALID")+COUNTIFS('Istoric_Nativ'!$B$6:$B$405,E948,'Istoric_Nativ'!$C$6:$C$405,F948,'Istoric_Nativ'!$E$6:$E$405,G948,'Istoric_Nativ'!$O$6:$O$405,"INVALID",'Istoric_Nativ'!$D$6:$D$405,"*")+COUNTIFS('Istoric_Nativ'!$B$6:$B$405,E948,'Istoric_Nativ'!$C$6:$C$405,F948,'Istoric_Nativ'!$E$6:$E$405,G948,'Istoric_Nativ'!$D$6:$D$405,"&lt;"&amp;J948,'Istoric_Nativ'!$O$6:$O$405,"SOURCE CONFLICT")+COUNTIFS('Istoric_Nativ'!$B$6:$B$405,E948,'Istoric_Nativ'!$C$6:$C$405,F948,'Istoric_Nativ'!$F$6:$F$405,G948,'Istoric_Nativ'!$D$6:$D$405,"&lt;"&amp;J948,'Istoric_Nativ'!$O$6:$O$405,"INVALID")+COUNTIFS('Istoric_Nativ'!$B$6:$B$405,E948,'Istoric_Nativ'!$C$6:$C$405,F948,'Istoric_Nativ'!$F$6:$F$405,G948,'Istoric_Nativ'!$O$6:$O$405,"INVALID",'Istoric_Nativ'!$D$6:$D$405,"*")+COUNTIFS('Istoric_Nativ'!$B$6:$B$405,E948,'Istoric_Nativ'!$C$6:$C$405,F948,'Istoric_Nativ'!$F$6:$F$405,G948,'Istoric_Nativ'!$D$6:$D$405,"&lt;"&amp;J948,'Istoric_Nativ'!$O$6:$O$405,"SOURCE CONFLICT"))</x:f>
        <x:v>0</x:v>
      </x:c>
      <x:c r="T948" s="2" t="str">
        <x:f>IF(B948="","",IF(R948&lt;&gt;"CLOSED",R948,IF(S948&gt;0,"NATIVE INPUT ISSUE",IF(M948=0,"NO HISTORY",IF(M948&lt;P948,"SMALL SAMPLE","DERIVED")))))</x:f>
      </x:c>
      <x:c r="U948" s="2" t="str">
        <x:f>IF(B948="","","NativeTable; "&amp;E948&amp;"; "&amp;F948&amp;"; "&amp;G948&amp;"; "&amp;H948&amp;"; before "&amp;TEXT(J948,"yyyy-mm-dd")&amp;IF(I948="RECENT","; from "&amp;TEXT(L948,"yyyy-mm-dd"),""))</x:f>
      </x:c>
    </x:row>
    <x:row r="949" ht="21" customHeight="1">
      <x:c r="A949" s="2" t="n">
        <x:v>79</x:v>
      </x:c>
      <x:c r="B949" s="2" t="str">
        <x:f>IF('Input_Meci'!A84="","",'Input_Meci'!A84)</x:f>
      </x:c>
      <x:c r="C949" s="2" t="str">
        <x:v>H</x:v>
      </x:c>
      <x:c r="D949" s="2" t="str">
        <x:v>PRIOR</x:v>
      </x:c>
      <x:c r="E949" s="2" t="str">
        <x:f>IF(B949="","",'Input_Meci'!B84)</x:f>
      </x:c>
      <x:c r="F949" s="2" t="str">
        <x:f>IF(B949="","",IF('Input_Meci'!K84="","",'Input_Meci'!K84))</x:f>
      </x:c>
      <x:c r="G949" s="2" t="str">
        <x:f>IF(B949="","",'Input_Meci'!D84)</x:f>
      </x:c>
      <x:c r="H949" s="2" t="str">
        <x:v>HOME</x:v>
      </x:c>
      <x:c r="I949" s="2" t="str">
        <x:v>HA</x:v>
      </x:c>
      <x:c r="J949" s="9" t="n">
        <x:f>IF(AND(B949&lt;&gt;"",ISNUMBER('Input_Meci'!G84)),INT('Input_Meci'!G84),0)</x:f>
        <x:v>0</x:v>
      </x:c>
      <x:c r="K949" s="2" t="n">
        <x:f>IF(OR(B949="",F949=""),0,IF(H949="HOME",COUNTIFS('Istoric_Nativ'!$B$6:$B$405,E949,'Istoric_Nativ'!$C$6:$C$405,F949,'Istoric_Nativ'!$E$6:$E$405,G949,'Istoric_Nativ'!$D$6:$D$405,"&lt;"&amp;J949,'Istoric_Nativ'!$P$6:$P$405,1),IF(H949="AWAY",COUNTIFS('Istoric_Nativ'!$B$6:$B$405,E949,'Istoric_Nativ'!$C$6:$C$405,F949,'Istoric_Nativ'!$F$6:$F$405,G949,'Istoric_Nativ'!$D$6:$D$405,"&lt;"&amp;J949,'Istoric_Nativ'!$P$6:$P$405,1),COUNTIFS('Istoric_Nativ'!$B$6:$B$405,E949,'Istoric_Nativ'!$C$6:$C$405,F949,'Istoric_Nativ'!$E$6:$E$405,G949,'Istoric_Nativ'!$D$6:$D$405,"&lt;"&amp;J949,'Istoric_Nativ'!$P$6:$P$405,1)+COUNTIFS('Istoric_Nativ'!$B$6:$B$405,E949,'Istoric_Nativ'!$C$6:$C$405,F949,'Istoric_Nativ'!$F$6:$F$405,G949,'Istoric_Nativ'!$D$6:$D$405,"&lt;"&amp;J949,'Istoric_Nativ'!$P$6:$P$405,1))))</x:f>
        <x:v>0</x:v>
      </x:c>
      <x:c r="L949" s="17" t="n">
        <x:f>IF(AND(B949&lt;&gt;"",I949="RECENT",K949&gt;0),LARGE(_xlfn._xlws.FILTER('Istoric_Nativ'!$D$6:$D$405,('Istoric_Nativ'!$B$6:$B$405=E949)*('Istoric_Nativ'!$C$6:$C$405=F949)*('Istoric_Nativ'!$P$6:$P$405=1)*('Istoric_Nativ'!$D$6:$D$405&lt;J949)*((('Istoric_Nativ'!$E$6:$E$405=G949)+('Istoric_Nativ'!$F$6:$F$405=G949))&gt;0)),MIN('Config_v6'!$B$54,K949)),0)</x:f>
        <x:v>0</x:v>
      </x:c>
      <x:c r="M949" s="2" t="n">
        <x:f>IF(OR(B949="",F949=""),0,IF(H949="HOME",COUNTIFS('Istoric_Nativ'!$B$6:$B$405,E949,'Istoric_Nativ'!$C$6:$C$405,F949,'Istoric_Nativ'!$E$6:$E$405,G949,'Istoric_Nativ'!$D$6:$D$405,"&lt;"&amp;J949,'Istoric_Nativ'!$P$6:$P$405,1,'Istoric_Nativ'!$D$6:$D$405,"&gt;="&amp;L949),IF(H949="AWAY",COUNTIFS('Istoric_Nativ'!$B$6:$B$405,E949,'Istoric_Nativ'!$C$6:$C$405,F949,'Istoric_Nativ'!$F$6:$F$405,G949,'Istoric_Nativ'!$D$6:$D$405,"&lt;"&amp;J949,'Istoric_Nativ'!$P$6:$P$405,1,'Istoric_Nativ'!$D$6:$D$405,"&gt;="&amp;L949),COUNTIFS('Istoric_Nativ'!$B$6:$B$405,E949,'Istoric_Nativ'!$C$6:$C$405,F949,'Istoric_Nativ'!$E$6:$E$405,G949,'Istoric_Nativ'!$D$6:$D$405,"&lt;"&amp;J949,'Istoric_Nativ'!$P$6:$P$405,1,'Istoric_Nativ'!$D$6:$D$405,"&gt;="&amp;L949)+COUNTIFS('Istoric_Nativ'!$B$6:$B$405,E949,'Istoric_Nativ'!$C$6:$C$405,F949,'Istoric_Nativ'!$F$6:$F$405,G949,'Istoric_Nativ'!$D$6:$D$405,"&lt;"&amp;J949,'Istoric_Nativ'!$P$6:$P$405,1,'Istoric_Nativ'!$D$6:$D$405,"&gt;="&amp;L949))))</x:f>
        <x:v>0</x:v>
      </x:c>
      <x:c r="N949" s="11" t="str">
        <x:f>IF(M949=0,"",IF(H949="HOME",SUMIFS('Istoric_Nativ'!$G$6:$G$405,'Istoric_Nativ'!$B$6:$B$405,E949,'Istoric_Nativ'!$C$6:$C$405,F949,'Istoric_Nativ'!$E$6:$E$405,G949,'Istoric_Nativ'!$D$6:$D$405,"&lt;"&amp;J949,'Istoric_Nativ'!$P$6:$P$405,1,'Istoric_Nativ'!$D$6:$D$405,"&gt;="&amp;L949),IF(H949="AWAY",SUMIFS('Istoric_Nativ'!$H$6:$H$405,'Istoric_Nativ'!$B$6:$B$405,E949,'Istoric_Nativ'!$C$6:$C$405,F949,'Istoric_Nativ'!$F$6:$F$405,G949,'Istoric_Nativ'!$D$6:$D$405,"&lt;"&amp;J949,'Istoric_Nativ'!$P$6:$P$405,1,'Istoric_Nativ'!$D$6:$D$405,"&gt;="&amp;L949),SUMIFS('Istoric_Nativ'!$G$6:$G$405,'Istoric_Nativ'!$B$6:$B$405,E949,'Istoric_Nativ'!$C$6:$C$405,F949,'Istoric_Nativ'!$E$6:$E$405,G949,'Istoric_Nativ'!$D$6:$D$405,"&lt;"&amp;J949,'Istoric_Nativ'!$P$6:$P$405,1,'Istoric_Nativ'!$D$6:$D$405,"&gt;="&amp;L949)+SUMIFS('Istoric_Nativ'!$H$6:$H$405,'Istoric_Nativ'!$B$6:$B$405,E949,'Istoric_Nativ'!$C$6:$C$405,F949,'Istoric_Nativ'!$F$6:$F$405,G949,'Istoric_Nativ'!$D$6:$D$405,"&lt;"&amp;J949,'Istoric_Nativ'!$P$6:$P$405,1,'Istoric_Nativ'!$D$6:$D$405,"&gt;="&amp;L949)))/M949)</x:f>
      </x:c>
      <x:c r="O949" s="11" t="str">
        <x:f>IF(M949=0,"",IF(H949="HOME",SUMIFS('Istoric_Nativ'!$H$6:$H$405,'Istoric_Nativ'!$B$6:$B$405,E949,'Istoric_Nativ'!$C$6:$C$405,F949,'Istoric_Nativ'!$E$6:$E$405,G949,'Istoric_Nativ'!$D$6:$D$405,"&lt;"&amp;J949,'Istoric_Nativ'!$P$6:$P$405,1,'Istoric_Nativ'!$D$6:$D$405,"&gt;="&amp;L949),IF(H949="AWAY",SUMIFS('Istoric_Nativ'!$G$6:$G$405,'Istoric_Nativ'!$B$6:$B$405,E949,'Istoric_Nativ'!$C$6:$C$405,F949,'Istoric_Nativ'!$F$6:$F$405,G949,'Istoric_Nativ'!$D$6:$D$405,"&lt;"&amp;J949,'Istoric_Nativ'!$P$6:$P$405,1,'Istoric_Nativ'!$D$6:$D$405,"&gt;="&amp;L949),SUMIFS('Istoric_Nativ'!$H$6:$H$405,'Istoric_Nativ'!$B$6:$B$405,E949,'Istoric_Nativ'!$C$6:$C$405,F949,'Istoric_Nativ'!$E$6:$E$405,G949,'Istoric_Nativ'!$D$6:$D$405,"&lt;"&amp;J949,'Istoric_Nativ'!$P$6:$P$405,1,'Istoric_Nativ'!$D$6:$D$405,"&gt;="&amp;L949)+SUMIFS('Istoric_Nativ'!$G$6:$G$405,'Istoric_Nativ'!$B$6:$B$405,E949,'Istoric_Nativ'!$C$6:$C$405,F949,'Istoric_Nativ'!$F$6:$F$405,G949,'Istoric_Nativ'!$D$6:$D$405,"&lt;"&amp;J949,'Istoric_Nativ'!$P$6:$P$405,1,'Istoric_Nativ'!$D$6:$D$405,"&gt;="&amp;L949)))/M949)</x:f>
      </x:c>
      <x:c r="P949" s="2" t="n">
        <x:f>'Config_v6'!$B$8</x:f>
        <x:v>5</x:v>
      </x:c>
      <x:c r="Q949" s="2" t="n">
        <x:f>IF(OR(B949="",F949=""),0,IFERROR(MATCH(E949&amp;"|"&amp;F949,SourceTable[Source_Key],0),0))</x:f>
        <x:v>0</x:v>
      </x:c>
      <x:c r="R949" s="2" t="str">
        <x:f>IF(B949="","",IF(F949="","UNUSED",IF(Q949=0,"NOT CHECKED",IF(COUNTIF(SourceTable[Source_Key],E949&amp;"|"&amp;F949)&lt;&gt;1,"SOURCE CONFLICT",IF(NOT(OR(INDEX(SourceTable[Status],MAX(1,Q949))="IMPORTED",INDEX(SourceTable[Status],MAX(1,Q949))="PARTIAL",INDEX(SourceTable[Status],MAX(1,Q949))="SOURCE CONFLICT")),"ACCESS BLOCKED",IF(OR(INDEX(SourceTable[Coverage],Q949)&lt;&gt;"FULL SEASON EXPORT",INDEX(SourceTable[URL],Q949)="",INDEX(SourceTable[SHA256],Q949)=""),"EVIDENCE INCOMPLETE",IF(AND('Input_Meci'!H84="LIVE",INDEX(SourceTable[Retrieved_UTC],Q949)&gt;'Input_Meci'!G84),"POST CUTOFF","CLOSED")))))))</x:f>
      </x:c>
      <x:c r="S949" s="2" t="n">
        <x:f>IF(OR(B949="",F949=""),0,COUNTIFS('Istoric_Nativ'!$B$6:$B$405,E949,'Istoric_Nativ'!$C$6:$C$405,F949,'Istoric_Nativ'!$E$6:$E$405,G949,'Istoric_Nativ'!$D$6:$D$405,"&lt;"&amp;J949,'Istoric_Nativ'!$O$6:$O$405,"INVALID")+COUNTIFS('Istoric_Nativ'!$B$6:$B$405,E949,'Istoric_Nativ'!$C$6:$C$405,F949,'Istoric_Nativ'!$E$6:$E$405,G949,'Istoric_Nativ'!$O$6:$O$405,"INVALID",'Istoric_Nativ'!$D$6:$D$405,"*")+COUNTIFS('Istoric_Nativ'!$B$6:$B$405,E949,'Istoric_Nativ'!$C$6:$C$405,F949,'Istoric_Nativ'!$E$6:$E$405,G949,'Istoric_Nativ'!$D$6:$D$405,"&lt;"&amp;J949,'Istoric_Nativ'!$O$6:$O$405,"SOURCE CONFLICT")+COUNTIFS('Istoric_Nativ'!$B$6:$B$405,E949,'Istoric_Nativ'!$C$6:$C$405,F949,'Istoric_Nativ'!$F$6:$F$405,G949,'Istoric_Nativ'!$D$6:$D$405,"&lt;"&amp;J949,'Istoric_Nativ'!$O$6:$O$405,"INVALID")+COUNTIFS('Istoric_Nativ'!$B$6:$B$405,E949,'Istoric_Nativ'!$C$6:$C$405,F949,'Istoric_Nativ'!$F$6:$F$405,G949,'Istoric_Nativ'!$O$6:$O$405,"INVALID",'Istoric_Nativ'!$D$6:$D$405,"*")+COUNTIFS('Istoric_Nativ'!$B$6:$B$405,E949,'Istoric_Nativ'!$C$6:$C$405,F949,'Istoric_Nativ'!$F$6:$F$405,G949,'Istoric_Nativ'!$D$6:$D$405,"&lt;"&amp;J949,'Istoric_Nativ'!$O$6:$O$405,"SOURCE CONFLICT"))</x:f>
        <x:v>0</x:v>
      </x:c>
      <x:c r="T949" s="2" t="str">
        <x:f>IF(B949="","",IF(R949&lt;&gt;"CLOSED",R949,IF(S949&gt;0,"NATIVE INPUT ISSUE",IF(M949=0,"NO HISTORY",IF(M949&lt;P949,"SMALL SAMPLE","DERIVED")))))</x:f>
      </x:c>
      <x:c r="U949" s="2" t="str">
        <x:f>IF(B949="","","NativeTable; "&amp;E949&amp;"; "&amp;F949&amp;"; "&amp;G949&amp;"; "&amp;H949&amp;"; before "&amp;TEXT(J949,"yyyy-mm-dd")&amp;IF(I949="RECENT","; from "&amp;TEXT(L949,"yyyy-mm-dd"),""))</x:f>
      </x:c>
    </x:row>
    <x:row r="950" ht="21" customHeight="1">
      <x:c r="A950" s="2" t="n">
        <x:v>79</x:v>
      </x:c>
      <x:c r="B950" s="2" t="str">
        <x:f>IF('Input_Meci'!A84="","",'Input_Meci'!A84)</x:f>
      </x:c>
      <x:c r="C950" s="2" t="str">
        <x:v>H</x:v>
      </x:c>
      <x:c r="D950" s="2" t="str">
        <x:v>PRIOR</x:v>
      </x:c>
      <x:c r="E950" s="2" t="str">
        <x:f>IF(B950="","",'Input_Meci'!B84)</x:f>
      </x:c>
      <x:c r="F950" s="2" t="str">
        <x:f>IF(B950="","",IF('Input_Meci'!K84="","",'Input_Meci'!K84))</x:f>
      </x:c>
      <x:c r="G950" s="2" t="str">
        <x:f>IF(B950="","",'Input_Meci'!D84)</x:f>
      </x:c>
      <x:c r="H950" s="2" t="str">
        <x:v>ANY</x:v>
      </x:c>
      <x:c r="I950" s="2" t="str">
        <x:v>RECENT</x:v>
      </x:c>
      <x:c r="J950" s="9" t="n">
        <x:f>IF(AND(B950&lt;&gt;"",ISNUMBER('Input_Meci'!G84)),INT('Input_Meci'!G84),0)</x:f>
        <x:v>0</x:v>
      </x:c>
      <x:c r="K950" s="2" t="n">
        <x:f>IF(OR(B950="",F950=""),0,IF(H950="HOME",COUNTIFS('Istoric_Nativ'!$B$6:$B$405,E950,'Istoric_Nativ'!$C$6:$C$405,F950,'Istoric_Nativ'!$E$6:$E$405,G950,'Istoric_Nativ'!$D$6:$D$405,"&lt;"&amp;J950,'Istoric_Nativ'!$P$6:$P$405,1),IF(H950="AWAY",COUNTIFS('Istoric_Nativ'!$B$6:$B$405,E950,'Istoric_Nativ'!$C$6:$C$405,F950,'Istoric_Nativ'!$F$6:$F$405,G950,'Istoric_Nativ'!$D$6:$D$405,"&lt;"&amp;J950,'Istoric_Nativ'!$P$6:$P$405,1),COUNTIFS('Istoric_Nativ'!$B$6:$B$405,E950,'Istoric_Nativ'!$C$6:$C$405,F950,'Istoric_Nativ'!$E$6:$E$405,G950,'Istoric_Nativ'!$D$6:$D$405,"&lt;"&amp;J950,'Istoric_Nativ'!$P$6:$P$405,1)+COUNTIFS('Istoric_Nativ'!$B$6:$B$405,E950,'Istoric_Nativ'!$C$6:$C$405,F950,'Istoric_Nativ'!$F$6:$F$405,G950,'Istoric_Nativ'!$D$6:$D$405,"&lt;"&amp;J950,'Istoric_Nativ'!$P$6:$P$405,1))))</x:f>
        <x:v>0</x:v>
      </x:c>
      <x:c r="L950" s="17" t="n">
        <x:f>IF(AND(B950&lt;&gt;"",I950="RECENT",K950&gt;0),LARGE(_xlfn._xlws.FILTER('Istoric_Nativ'!$D$6:$D$405,('Istoric_Nativ'!$B$6:$B$405=E950)*('Istoric_Nativ'!$C$6:$C$405=F950)*('Istoric_Nativ'!$P$6:$P$405=1)*('Istoric_Nativ'!$D$6:$D$405&lt;J950)*((('Istoric_Nativ'!$E$6:$E$405=G950)+('Istoric_Nativ'!$F$6:$F$405=G950))&gt;0)),MIN('Config_v6'!$B$54,K950)),0)</x:f>
        <x:v>0</x:v>
      </x:c>
      <x:c r="M950" s="2" t="n">
        <x:f>IF(OR(B950="",F950=""),0,IF(H950="HOME",COUNTIFS('Istoric_Nativ'!$B$6:$B$405,E950,'Istoric_Nativ'!$C$6:$C$405,F950,'Istoric_Nativ'!$E$6:$E$405,G950,'Istoric_Nativ'!$D$6:$D$405,"&lt;"&amp;J950,'Istoric_Nativ'!$P$6:$P$405,1,'Istoric_Nativ'!$D$6:$D$405,"&gt;="&amp;L950),IF(H950="AWAY",COUNTIFS('Istoric_Nativ'!$B$6:$B$405,E950,'Istoric_Nativ'!$C$6:$C$405,F950,'Istoric_Nativ'!$F$6:$F$405,G950,'Istoric_Nativ'!$D$6:$D$405,"&lt;"&amp;J950,'Istoric_Nativ'!$P$6:$P$405,1,'Istoric_Nativ'!$D$6:$D$405,"&gt;="&amp;L950),COUNTIFS('Istoric_Nativ'!$B$6:$B$405,E950,'Istoric_Nativ'!$C$6:$C$405,F950,'Istoric_Nativ'!$E$6:$E$405,G950,'Istoric_Nativ'!$D$6:$D$405,"&lt;"&amp;J950,'Istoric_Nativ'!$P$6:$P$405,1,'Istoric_Nativ'!$D$6:$D$405,"&gt;="&amp;L950)+COUNTIFS('Istoric_Nativ'!$B$6:$B$405,E950,'Istoric_Nativ'!$C$6:$C$405,F950,'Istoric_Nativ'!$F$6:$F$405,G950,'Istoric_Nativ'!$D$6:$D$405,"&lt;"&amp;J950,'Istoric_Nativ'!$P$6:$P$405,1,'Istoric_Nativ'!$D$6:$D$405,"&gt;="&amp;L950))))</x:f>
        <x:v>0</x:v>
      </x:c>
      <x:c r="N950" s="11" t="str">
        <x:f>IF(M950=0,"",IF(H950="HOME",SUMIFS('Istoric_Nativ'!$G$6:$G$405,'Istoric_Nativ'!$B$6:$B$405,E950,'Istoric_Nativ'!$C$6:$C$405,F950,'Istoric_Nativ'!$E$6:$E$405,G950,'Istoric_Nativ'!$D$6:$D$405,"&lt;"&amp;J950,'Istoric_Nativ'!$P$6:$P$405,1,'Istoric_Nativ'!$D$6:$D$405,"&gt;="&amp;L950),IF(H950="AWAY",SUMIFS('Istoric_Nativ'!$H$6:$H$405,'Istoric_Nativ'!$B$6:$B$405,E950,'Istoric_Nativ'!$C$6:$C$405,F950,'Istoric_Nativ'!$F$6:$F$405,G950,'Istoric_Nativ'!$D$6:$D$405,"&lt;"&amp;J950,'Istoric_Nativ'!$P$6:$P$405,1,'Istoric_Nativ'!$D$6:$D$405,"&gt;="&amp;L950),SUMIFS('Istoric_Nativ'!$G$6:$G$405,'Istoric_Nativ'!$B$6:$B$405,E950,'Istoric_Nativ'!$C$6:$C$405,F950,'Istoric_Nativ'!$E$6:$E$405,G950,'Istoric_Nativ'!$D$6:$D$405,"&lt;"&amp;J950,'Istoric_Nativ'!$P$6:$P$405,1,'Istoric_Nativ'!$D$6:$D$405,"&gt;="&amp;L950)+SUMIFS('Istoric_Nativ'!$H$6:$H$405,'Istoric_Nativ'!$B$6:$B$405,E950,'Istoric_Nativ'!$C$6:$C$405,F950,'Istoric_Nativ'!$F$6:$F$405,G950,'Istoric_Nativ'!$D$6:$D$405,"&lt;"&amp;J950,'Istoric_Nativ'!$P$6:$P$405,1,'Istoric_Nativ'!$D$6:$D$405,"&gt;="&amp;L950)))/M950)</x:f>
      </x:c>
      <x:c r="O950" s="11" t="str">
        <x:f>IF(M950=0,"",IF(H950="HOME",SUMIFS('Istoric_Nativ'!$H$6:$H$405,'Istoric_Nativ'!$B$6:$B$405,E950,'Istoric_Nativ'!$C$6:$C$405,F950,'Istoric_Nativ'!$E$6:$E$405,G950,'Istoric_Nativ'!$D$6:$D$405,"&lt;"&amp;J950,'Istoric_Nativ'!$P$6:$P$405,1,'Istoric_Nativ'!$D$6:$D$405,"&gt;="&amp;L950),IF(H950="AWAY",SUMIFS('Istoric_Nativ'!$G$6:$G$405,'Istoric_Nativ'!$B$6:$B$405,E950,'Istoric_Nativ'!$C$6:$C$405,F950,'Istoric_Nativ'!$F$6:$F$405,G950,'Istoric_Nativ'!$D$6:$D$405,"&lt;"&amp;J950,'Istoric_Nativ'!$P$6:$P$405,1,'Istoric_Nativ'!$D$6:$D$405,"&gt;="&amp;L950),SUMIFS('Istoric_Nativ'!$H$6:$H$405,'Istoric_Nativ'!$B$6:$B$405,E950,'Istoric_Nativ'!$C$6:$C$405,F950,'Istoric_Nativ'!$E$6:$E$405,G950,'Istoric_Nativ'!$D$6:$D$405,"&lt;"&amp;J950,'Istoric_Nativ'!$P$6:$P$405,1,'Istoric_Nativ'!$D$6:$D$405,"&gt;="&amp;L950)+SUMIFS('Istoric_Nativ'!$G$6:$G$405,'Istoric_Nativ'!$B$6:$B$405,E950,'Istoric_Nativ'!$C$6:$C$405,F950,'Istoric_Nativ'!$F$6:$F$405,G950,'Istoric_Nativ'!$D$6:$D$405,"&lt;"&amp;J950,'Istoric_Nativ'!$P$6:$P$405,1,'Istoric_Nativ'!$D$6:$D$405,"&gt;="&amp;L950)))/M950)</x:f>
      </x:c>
      <x:c r="P950" s="2" t="n">
        <x:f>'Config_v6'!$B$9</x:f>
        <x:v>3</x:v>
      </x:c>
      <x:c r="Q950" s="2" t="n">
        <x:f>IF(OR(B950="",F950=""),0,IFERROR(MATCH(E950&amp;"|"&amp;F950,SourceTable[Source_Key],0),0))</x:f>
        <x:v>0</x:v>
      </x:c>
      <x:c r="R950" s="2" t="str">
        <x:f>IF(B950="","",IF(F950="","UNUSED",IF(Q950=0,"NOT CHECKED",IF(COUNTIF(SourceTable[Source_Key],E950&amp;"|"&amp;F950)&lt;&gt;1,"SOURCE CONFLICT",IF(NOT(OR(INDEX(SourceTable[Status],MAX(1,Q950))="IMPORTED",INDEX(SourceTable[Status],MAX(1,Q950))="PARTIAL",INDEX(SourceTable[Status],MAX(1,Q950))="SOURCE CONFLICT")),"ACCESS BLOCKED",IF(OR(INDEX(SourceTable[Coverage],Q950)&lt;&gt;"FULL SEASON EXPORT",INDEX(SourceTable[URL],Q950)="",INDEX(SourceTable[SHA256],Q950)=""),"EVIDENCE INCOMPLETE",IF(AND('Input_Meci'!H84="LIVE",INDEX(SourceTable[Retrieved_UTC],Q950)&gt;'Input_Meci'!G84),"POST CUTOFF","CLOSED")))))))</x:f>
      </x:c>
      <x:c r="S950" s="2" t="n">
        <x:f>IF(OR(B950="",F950=""),0,COUNTIFS('Istoric_Nativ'!$B$6:$B$405,E950,'Istoric_Nativ'!$C$6:$C$405,F950,'Istoric_Nativ'!$E$6:$E$405,G950,'Istoric_Nativ'!$D$6:$D$405,"&lt;"&amp;J950,'Istoric_Nativ'!$O$6:$O$405,"INVALID")+COUNTIFS('Istoric_Nativ'!$B$6:$B$405,E950,'Istoric_Nativ'!$C$6:$C$405,F950,'Istoric_Nativ'!$E$6:$E$405,G950,'Istoric_Nativ'!$O$6:$O$405,"INVALID",'Istoric_Nativ'!$D$6:$D$405,"*")+COUNTIFS('Istoric_Nativ'!$B$6:$B$405,E950,'Istoric_Nativ'!$C$6:$C$405,F950,'Istoric_Nativ'!$E$6:$E$405,G950,'Istoric_Nativ'!$D$6:$D$405,"&lt;"&amp;J950,'Istoric_Nativ'!$O$6:$O$405,"SOURCE CONFLICT")+COUNTIFS('Istoric_Nativ'!$B$6:$B$405,E950,'Istoric_Nativ'!$C$6:$C$405,F950,'Istoric_Nativ'!$F$6:$F$405,G950,'Istoric_Nativ'!$D$6:$D$405,"&lt;"&amp;J950,'Istoric_Nativ'!$O$6:$O$405,"INVALID")+COUNTIFS('Istoric_Nativ'!$B$6:$B$405,E950,'Istoric_Nativ'!$C$6:$C$405,F950,'Istoric_Nativ'!$F$6:$F$405,G950,'Istoric_Nativ'!$O$6:$O$405,"INVALID",'Istoric_Nativ'!$D$6:$D$405,"*")+COUNTIFS('Istoric_Nativ'!$B$6:$B$405,E950,'Istoric_Nativ'!$C$6:$C$405,F950,'Istoric_Nativ'!$F$6:$F$405,G950,'Istoric_Nativ'!$D$6:$D$405,"&lt;"&amp;J950,'Istoric_Nativ'!$O$6:$O$405,"SOURCE CONFLICT"))</x:f>
        <x:v>0</x:v>
      </x:c>
      <x:c r="T950" s="2" t="str">
        <x:f>IF(B950="","",IF(R950&lt;&gt;"CLOSED",R950,IF(S950&gt;0,"NATIVE INPUT ISSUE",IF(M950=0,"NO HISTORY",IF(M950&lt;P950,"SMALL SAMPLE","DERIVED")))))</x:f>
      </x:c>
      <x:c r="U950" s="2" t="str">
        <x:f>IF(B950="","","NativeTable; "&amp;E950&amp;"; "&amp;F950&amp;"; "&amp;G950&amp;"; "&amp;H950&amp;"; before "&amp;TEXT(J950,"yyyy-mm-dd")&amp;IF(I950="RECENT","; from "&amp;TEXT(L950,"yyyy-mm-dd"),""))</x:f>
      </x:c>
    </x:row>
    <x:row r="951" ht="21" customHeight="1">
      <x:c r="A951" s="2" t="n">
        <x:v>79</x:v>
      </x:c>
      <x:c r="B951" s="2" t="str">
        <x:f>IF('Input_Meci'!A84="","",'Input_Meci'!A84)</x:f>
      </x:c>
      <x:c r="C951" s="2" t="str">
        <x:v>A</x:v>
      </x:c>
      <x:c r="D951" s="2" t="str">
        <x:v>PRIOR</x:v>
      </x:c>
      <x:c r="E951" s="2" t="str">
        <x:f>IF(B951="","",'Input_Meci'!B84)</x:f>
      </x:c>
      <x:c r="F951" s="2" t="str">
        <x:f>IF(B951="","",IF('Input_Meci'!K84="","",'Input_Meci'!K84))</x:f>
      </x:c>
      <x:c r="G951" s="2" t="str">
        <x:f>IF(B951="","",'Input_Meci'!E84)</x:f>
      </x:c>
      <x:c r="H951" s="2" t="str">
        <x:v>ANY</x:v>
      </x:c>
      <x:c r="I951" s="2" t="str">
        <x:v>SEASON</x:v>
      </x:c>
      <x:c r="J951" s="9" t="n">
        <x:f>IF(AND(B951&lt;&gt;"",ISNUMBER('Input_Meci'!G84)),INT('Input_Meci'!G84),0)</x:f>
        <x:v>0</x:v>
      </x:c>
      <x:c r="K951" s="2" t="n">
        <x:f>IF(OR(B951="",F951=""),0,IF(H951="HOME",COUNTIFS('Istoric_Nativ'!$B$6:$B$405,E951,'Istoric_Nativ'!$C$6:$C$405,F951,'Istoric_Nativ'!$E$6:$E$405,G951,'Istoric_Nativ'!$D$6:$D$405,"&lt;"&amp;J951,'Istoric_Nativ'!$P$6:$P$405,1),IF(H951="AWAY",COUNTIFS('Istoric_Nativ'!$B$6:$B$405,E951,'Istoric_Nativ'!$C$6:$C$405,F951,'Istoric_Nativ'!$F$6:$F$405,G951,'Istoric_Nativ'!$D$6:$D$405,"&lt;"&amp;J951,'Istoric_Nativ'!$P$6:$P$405,1),COUNTIFS('Istoric_Nativ'!$B$6:$B$405,E951,'Istoric_Nativ'!$C$6:$C$405,F951,'Istoric_Nativ'!$E$6:$E$405,G951,'Istoric_Nativ'!$D$6:$D$405,"&lt;"&amp;J951,'Istoric_Nativ'!$P$6:$P$405,1)+COUNTIFS('Istoric_Nativ'!$B$6:$B$405,E951,'Istoric_Nativ'!$C$6:$C$405,F951,'Istoric_Nativ'!$F$6:$F$405,G951,'Istoric_Nativ'!$D$6:$D$405,"&lt;"&amp;J951,'Istoric_Nativ'!$P$6:$P$405,1))))</x:f>
        <x:v>0</x:v>
      </x:c>
      <x:c r="L951" s="17" t="n">
        <x:f>IF(AND(B951&lt;&gt;"",I951="RECENT",K951&gt;0),LARGE(_xlfn._xlws.FILTER('Istoric_Nativ'!$D$6:$D$405,('Istoric_Nativ'!$B$6:$B$405=E951)*('Istoric_Nativ'!$C$6:$C$405=F951)*('Istoric_Nativ'!$P$6:$P$405=1)*('Istoric_Nativ'!$D$6:$D$405&lt;J951)*((('Istoric_Nativ'!$E$6:$E$405=G951)+('Istoric_Nativ'!$F$6:$F$405=G951))&gt;0)),MIN('Config_v6'!$B$54,K951)),0)</x:f>
        <x:v>0</x:v>
      </x:c>
      <x:c r="M951" s="2" t="n">
        <x:f>IF(OR(B951="",F951=""),0,IF(H951="HOME",COUNTIFS('Istoric_Nativ'!$B$6:$B$405,E951,'Istoric_Nativ'!$C$6:$C$405,F951,'Istoric_Nativ'!$E$6:$E$405,G951,'Istoric_Nativ'!$D$6:$D$405,"&lt;"&amp;J951,'Istoric_Nativ'!$P$6:$P$405,1,'Istoric_Nativ'!$D$6:$D$405,"&gt;="&amp;L951),IF(H951="AWAY",COUNTIFS('Istoric_Nativ'!$B$6:$B$405,E951,'Istoric_Nativ'!$C$6:$C$405,F951,'Istoric_Nativ'!$F$6:$F$405,G951,'Istoric_Nativ'!$D$6:$D$405,"&lt;"&amp;J951,'Istoric_Nativ'!$P$6:$P$405,1,'Istoric_Nativ'!$D$6:$D$405,"&gt;="&amp;L951),COUNTIFS('Istoric_Nativ'!$B$6:$B$405,E951,'Istoric_Nativ'!$C$6:$C$405,F951,'Istoric_Nativ'!$E$6:$E$405,G951,'Istoric_Nativ'!$D$6:$D$405,"&lt;"&amp;J951,'Istoric_Nativ'!$P$6:$P$405,1,'Istoric_Nativ'!$D$6:$D$405,"&gt;="&amp;L951)+COUNTIFS('Istoric_Nativ'!$B$6:$B$405,E951,'Istoric_Nativ'!$C$6:$C$405,F951,'Istoric_Nativ'!$F$6:$F$405,G951,'Istoric_Nativ'!$D$6:$D$405,"&lt;"&amp;J951,'Istoric_Nativ'!$P$6:$P$405,1,'Istoric_Nativ'!$D$6:$D$405,"&gt;="&amp;L951))))</x:f>
        <x:v>0</x:v>
      </x:c>
      <x:c r="N951" s="11" t="str">
        <x:f>IF(M951=0,"",IF(H951="HOME",SUMIFS('Istoric_Nativ'!$G$6:$G$405,'Istoric_Nativ'!$B$6:$B$405,E951,'Istoric_Nativ'!$C$6:$C$405,F951,'Istoric_Nativ'!$E$6:$E$405,G951,'Istoric_Nativ'!$D$6:$D$405,"&lt;"&amp;J951,'Istoric_Nativ'!$P$6:$P$405,1,'Istoric_Nativ'!$D$6:$D$405,"&gt;="&amp;L951),IF(H951="AWAY",SUMIFS('Istoric_Nativ'!$H$6:$H$405,'Istoric_Nativ'!$B$6:$B$405,E951,'Istoric_Nativ'!$C$6:$C$405,F951,'Istoric_Nativ'!$F$6:$F$405,G951,'Istoric_Nativ'!$D$6:$D$405,"&lt;"&amp;J951,'Istoric_Nativ'!$P$6:$P$405,1,'Istoric_Nativ'!$D$6:$D$405,"&gt;="&amp;L951),SUMIFS('Istoric_Nativ'!$G$6:$G$405,'Istoric_Nativ'!$B$6:$B$405,E951,'Istoric_Nativ'!$C$6:$C$405,F951,'Istoric_Nativ'!$E$6:$E$405,G951,'Istoric_Nativ'!$D$6:$D$405,"&lt;"&amp;J951,'Istoric_Nativ'!$P$6:$P$405,1,'Istoric_Nativ'!$D$6:$D$405,"&gt;="&amp;L951)+SUMIFS('Istoric_Nativ'!$H$6:$H$405,'Istoric_Nativ'!$B$6:$B$405,E951,'Istoric_Nativ'!$C$6:$C$405,F951,'Istoric_Nativ'!$F$6:$F$405,G951,'Istoric_Nativ'!$D$6:$D$405,"&lt;"&amp;J951,'Istoric_Nativ'!$P$6:$P$405,1,'Istoric_Nativ'!$D$6:$D$405,"&gt;="&amp;L951)))/M951)</x:f>
      </x:c>
      <x:c r="O951" s="11" t="str">
        <x:f>IF(M951=0,"",IF(H951="HOME",SUMIFS('Istoric_Nativ'!$H$6:$H$405,'Istoric_Nativ'!$B$6:$B$405,E951,'Istoric_Nativ'!$C$6:$C$405,F951,'Istoric_Nativ'!$E$6:$E$405,G951,'Istoric_Nativ'!$D$6:$D$405,"&lt;"&amp;J951,'Istoric_Nativ'!$P$6:$P$405,1,'Istoric_Nativ'!$D$6:$D$405,"&gt;="&amp;L951),IF(H951="AWAY",SUMIFS('Istoric_Nativ'!$G$6:$G$405,'Istoric_Nativ'!$B$6:$B$405,E951,'Istoric_Nativ'!$C$6:$C$405,F951,'Istoric_Nativ'!$F$6:$F$405,G951,'Istoric_Nativ'!$D$6:$D$405,"&lt;"&amp;J951,'Istoric_Nativ'!$P$6:$P$405,1,'Istoric_Nativ'!$D$6:$D$405,"&gt;="&amp;L951),SUMIFS('Istoric_Nativ'!$H$6:$H$405,'Istoric_Nativ'!$B$6:$B$405,E951,'Istoric_Nativ'!$C$6:$C$405,F951,'Istoric_Nativ'!$E$6:$E$405,G951,'Istoric_Nativ'!$D$6:$D$405,"&lt;"&amp;J951,'Istoric_Nativ'!$P$6:$P$405,1,'Istoric_Nativ'!$D$6:$D$405,"&gt;="&amp;L951)+SUMIFS('Istoric_Nativ'!$G$6:$G$405,'Istoric_Nativ'!$B$6:$B$405,E951,'Istoric_Nativ'!$C$6:$C$405,F951,'Istoric_Nativ'!$F$6:$F$405,G951,'Istoric_Nativ'!$D$6:$D$405,"&lt;"&amp;J951,'Istoric_Nativ'!$P$6:$P$405,1,'Istoric_Nativ'!$D$6:$D$405,"&gt;="&amp;L951)))/M951)</x:f>
      </x:c>
      <x:c r="P951" s="2" t="n">
        <x:f>'Config_v6'!$B$7</x:f>
        <x:v>10</x:v>
      </x:c>
      <x:c r="Q951" s="2" t="n">
        <x:f>IF(OR(B951="",F951=""),0,IFERROR(MATCH(E951&amp;"|"&amp;F951,SourceTable[Source_Key],0),0))</x:f>
        <x:v>0</x:v>
      </x:c>
      <x:c r="R951" s="2" t="str">
        <x:f>IF(B951="","",IF(F951="","UNUSED",IF(Q951=0,"NOT CHECKED",IF(COUNTIF(SourceTable[Source_Key],E951&amp;"|"&amp;F951)&lt;&gt;1,"SOURCE CONFLICT",IF(NOT(OR(INDEX(SourceTable[Status],MAX(1,Q951))="IMPORTED",INDEX(SourceTable[Status],MAX(1,Q951))="PARTIAL",INDEX(SourceTable[Status],MAX(1,Q951))="SOURCE CONFLICT")),"ACCESS BLOCKED",IF(OR(INDEX(SourceTable[Coverage],Q951)&lt;&gt;"FULL SEASON EXPORT",INDEX(SourceTable[URL],Q951)="",INDEX(SourceTable[SHA256],Q951)=""),"EVIDENCE INCOMPLETE",IF(AND('Input_Meci'!H84="LIVE",INDEX(SourceTable[Retrieved_UTC],Q951)&gt;'Input_Meci'!G84),"POST CUTOFF","CLOSED")))))))</x:f>
      </x:c>
      <x:c r="S951" s="2" t="n">
        <x:f>IF(OR(B951="",F951=""),0,COUNTIFS('Istoric_Nativ'!$B$6:$B$405,E951,'Istoric_Nativ'!$C$6:$C$405,F951,'Istoric_Nativ'!$E$6:$E$405,G951,'Istoric_Nativ'!$D$6:$D$405,"&lt;"&amp;J951,'Istoric_Nativ'!$O$6:$O$405,"INVALID")+COUNTIFS('Istoric_Nativ'!$B$6:$B$405,E951,'Istoric_Nativ'!$C$6:$C$405,F951,'Istoric_Nativ'!$E$6:$E$405,G951,'Istoric_Nativ'!$O$6:$O$405,"INVALID",'Istoric_Nativ'!$D$6:$D$405,"*")+COUNTIFS('Istoric_Nativ'!$B$6:$B$405,E951,'Istoric_Nativ'!$C$6:$C$405,F951,'Istoric_Nativ'!$E$6:$E$405,G951,'Istoric_Nativ'!$D$6:$D$405,"&lt;"&amp;J951,'Istoric_Nativ'!$O$6:$O$405,"SOURCE CONFLICT")+COUNTIFS('Istoric_Nativ'!$B$6:$B$405,E951,'Istoric_Nativ'!$C$6:$C$405,F951,'Istoric_Nativ'!$F$6:$F$405,G951,'Istoric_Nativ'!$D$6:$D$405,"&lt;"&amp;J951,'Istoric_Nativ'!$O$6:$O$405,"INVALID")+COUNTIFS('Istoric_Nativ'!$B$6:$B$405,E951,'Istoric_Nativ'!$C$6:$C$405,F951,'Istoric_Nativ'!$F$6:$F$405,G951,'Istoric_Nativ'!$O$6:$O$405,"INVALID",'Istoric_Nativ'!$D$6:$D$405,"*")+COUNTIFS('Istoric_Nativ'!$B$6:$B$405,E951,'Istoric_Nativ'!$C$6:$C$405,F951,'Istoric_Nativ'!$F$6:$F$405,G951,'Istoric_Nativ'!$D$6:$D$405,"&lt;"&amp;J951,'Istoric_Nativ'!$O$6:$O$405,"SOURCE CONFLICT"))</x:f>
        <x:v>0</x:v>
      </x:c>
      <x:c r="T951" s="2" t="str">
        <x:f>IF(B951="","",IF(R951&lt;&gt;"CLOSED",R951,IF(S951&gt;0,"NATIVE INPUT ISSUE",IF(M951=0,"NO HISTORY",IF(M951&lt;P951,"SMALL SAMPLE","DERIVED")))))</x:f>
      </x:c>
      <x:c r="U951" s="2" t="str">
        <x:f>IF(B951="","","NativeTable; "&amp;E951&amp;"; "&amp;F951&amp;"; "&amp;G951&amp;"; "&amp;H951&amp;"; before "&amp;TEXT(J951,"yyyy-mm-dd")&amp;IF(I951="RECENT","; from "&amp;TEXT(L951,"yyyy-mm-dd"),""))</x:f>
      </x:c>
    </x:row>
    <x:row r="952" ht="21" customHeight="1">
      <x:c r="A952" s="2" t="n">
        <x:v>79</x:v>
      </x:c>
      <x:c r="B952" s="2" t="str">
        <x:f>IF('Input_Meci'!A84="","",'Input_Meci'!A84)</x:f>
      </x:c>
      <x:c r="C952" s="2" t="str">
        <x:v>A</x:v>
      </x:c>
      <x:c r="D952" s="2" t="str">
        <x:v>PRIOR</x:v>
      </x:c>
      <x:c r="E952" s="2" t="str">
        <x:f>IF(B952="","",'Input_Meci'!B84)</x:f>
      </x:c>
      <x:c r="F952" s="2" t="str">
        <x:f>IF(B952="","",IF('Input_Meci'!K84="","",'Input_Meci'!K84))</x:f>
      </x:c>
      <x:c r="G952" s="2" t="str">
        <x:f>IF(B952="","",'Input_Meci'!E84)</x:f>
      </x:c>
      <x:c r="H952" s="2" t="str">
        <x:v>AWAY</x:v>
      </x:c>
      <x:c r="I952" s="2" t="str">
        <x:v>HA</x:v>
      </x:c>
      <x:c r="J952" s="9" t="n">
        <x:f>IF(AND(B952&lt;&gt;"",ISNUMBER('Input_Meci'!G84)),INT('Input_Meci'!G84),0)</x:f>
        <x:v>0</x:v>
      </x:c>
      <x:c r="K952" s="2" t="n">
        <x:f>IF(OR(B952="",F952=""),0,IF(H952="HOME",COUNTIFS('Istoric_Nativ'!$B$6:$B$405,E952,'Istoric_Nativ'!$C$6:$C$405,F952,'Istoric_Nativ'!$E$6:$E$405,G952,'Istoric_Nativ'!$D$6:$D$405,"&lt;"&amp;J952,'Istoric_Nativ'!$P$6:$P$405,1),IF(H952="AWAY",COUNTIFS('Istoric_Nativ'!$B$6:$B$405,E952,'Istoric_Nativ'!$C$6:$C$405,F952,'Istoric_Nativ'!$F$6:$F$405,G952,'Istoric_Nativ'!$D$6:$D$405,"&lt;"&amp;J952,'Istoric_Nativ'!$P$6:$P$405,1),COUNTIFS('Istoric_Nativ'!$B$6:$B$405,E952,'Istoric_Nativ'!$C$6:$C$405,F952,'Istoric_Nativ'!$E$6:$E$405,G952,'Istoric_Nativ'!$D$6:$D$405,"&lt;"&amp;J952,'Istoric_Nativ'!$P$6:$P$405,1)+COUNTIFS('Istoric_Nativ'!$B$6:$B$405,E952,'Istoric_Nativ'!$C$6:$C$405,F952,'Istoric_Nativ'!$F$6:$F$405,G952,'Istoric_Nativ'!$D$6:$D$405,"&lt;"&amp;J952,'Istoric_Nativ'!$P$6:$P$405,1))))</x:f>
        <x:v>0</x:v>
      </x:c>
      <x:c r="L952" s="17" t="n">
        <x:f>IF(AND(B952&lt;&gt;"",I952="RECENT",K952&gt;0),LARGE(_xlfn._xlws.FILTER('Istoric_Nativ'!$D$6:$D$405,('Istoric_Nativ'!$B$6:$B$405=E952)*('Istoric_Nativ'!$C$6:$C$405=F952)*('Istoric_Nativ'!$P$6:$P$405=1)*('Istoric_Nativ'!$D$6:$D$405&lt;J952)*((('Istoric_Nativ'!$E$6:$E$405=G952)+('Istoric_Nativ'!$F$6:$F$405=G952))&gt;0)),MIN('Config_v6'!$B$54,K952)),0)</x:f>
        <x:v>0</x:v>
      </x:c>
      <x:c r="M952" s="2" t="n">
        <x:f>IF(OR(B952="",F952=""),0,IF(H952="HOME",COUNTIFS('Istoric_Nativ'!$B$6:$B$405,E952,'Istoric_Nativ'!$C$6:$C$405,F952,'Istoric_Nativ'!$E$6:$E$405,G952,'Istoric_Nativ'!$D$6:$D$405,"&lt;"&amp;J952,'Istoric_Nativ'!$P$6:$P$405,1,'Istoric_Nativ'!$D$6:$D$405,"&gt;="&amp;L952),IF(H952="AWAY",COUNTIFS('Istoric_Nativ'!$B$6:$B$405,E952,'Istoric_Nativ'!$C$6:$C$405,F952,'Istoric_Nativ'!$F$6:$F$405,G952,'Istoric_Nativ'!$D$6:$D$405,"&lt;"&amp;J952,'Istoric_Nativ'!$P$6:$P$405,1,'Istoric_Nativ'!$D$6:$D$405,"&gt;="&amp;L952),COUNTIFS('Istoric_Nativ'!$B$6:$B$405,E952,'Istoric_Nativ'!$C$6:$C$405,F952,'Istoric_Nativ'!$E$6:$E$405,G952,'Istoric_Nativ'!$D$6:$D$405,"&lt;"&amp;J952,'Istoric_Nativ'!$P$6:$P$405,1,'Istoric_Nativ'!$D$6:$D$405,"&gt;="&amp;L952)+COUNTIFS('Istoric_Nativ'!$B$6:$B$405,E952,'Istoric_Nativ'!$C$6:$C$405,F952,'Istoric_Nativ'!$F$6:$F$405,G952,'Istoric_Nativ'!$D$6:$D$405,"&lt;"&amp;J952,'Istoric_Nativ'!$P$6:$P$405,1,'Istoric_Nativ'!$D$6:$D$405,"&gt;="&amp;L952))))</x:f>
        <x:v>0</x:v>
      </x:c>
      <x:c r="N952" s="11" t="str">
        <x:f>IF(M952=0,"",IF(H952="HOME",SUMIFS('Istoric_Nativ'!$G$6:$G$405,'Istoric_Nativ'!$B$6:$B$405,E952,'Istoric_Nativ'!$C$6:$C$405,F952,'Istoric_Nativ'!$E$6:$E$405,G952,'Istoric_Nativ'!$D$6:$D$405,"&lt;"&amp;J952,'Istoric_Nativ'!$P$6:$P$405,1,'Istoric_Nativ'!$D$6:$D$405,"&gt;="&amp;L952),IF(H952="AWAY",SUMIFS('Istoric_Nativ'!$H$6:$H$405,'Istoric_Nativ'!$B$6:$B$405,E952,'Istoric_Nativ'!$C$6:$C$405,F952,'Istoric_Nativ'!$F$6:$F$405,G952,'Istoric_Nativ'!$D$6:$D$405,"&lt;"&amp;J952,'Istoric_Nativ'!$P$6:$P$405,1,'Istoric_Nativ'!$D$6:$D$405,"&gt;="&amp;L952),SUMIFS('Istoric_Nativ'!$G$6:$G$405,'Istoric_Nativ'!$B$6:$B$405,E952,'Istoric_Nativ'!$C$6:$C$405,F952,'Istoric_Nativ'!$E$6:$E$405,G952,'Istoric_Nativ'!$D$6:$D$405,"&lt;"&amp;J952,'Istoric_Nativ'!$P$6:$P$405,1,'Istoric_Nativ'!$D$6:$D$405,"&gt;="&amp;L952)+SUMIFS('Istoric_Nativ'!$H$6:$H$405,'Istoric_Nativ'!$B$6:$B$405,E952,'Istoric_Nativ'!$C$6:$C$405,F952,'Istoric_Nativ'!$F$6:$F$405,G952,'Istoric_Nativ'!$D$6:$D$405,"&lt;"&amp;J952,'Istoric_Nativ'!$P$6:$P$405,1,'Istoric_Nativ'!$D$6:$D$405,"&gt;="&amp;L952)))/M952)</x:f>
      </x:c>
      <x:c r="O952" s="11" t="str">
        <x:f>IF(M952=0,"",IF(H952="HOME",SUMIFS('Istoric_Nativ'!$H$6:$H$405,'Istoric_Nativ'!$B$6:$B$405,E952,'Istoric_Nativ'!$C$6:$C$405,F952,'Istoric_Nativ'!$E$6:$E$405,G952,'Istoric_Nativ'!$D$6:$D$405,"&lt;"&amp;J952,'Istoric_Nativ'!$P$6:$P$405,1,'Istoric_Nativ'!$D$6:$D$405,"&gt;="&amp;L952),IF(H952="AWAY",SUMIFS('Istoric_Nativ'!$G$6:$G$405,'Istoric_Nativ'!$B$6:$B$405,E952,'Istoric_Nativ'!$C$6:$C$405,F952,'Istoric_Nativ'!$F$6:$F$405,G952,'Istoric_Nativ'!$D$6:$D$405,"&lt;"&amp;J952,'Istoric_Nativ'!$P$6:$P$405,1,'Istoric_Nativ'!$D$6:$D$405,"&gt;="&amp;L952),SUMIFS('Istoric_Nativ'!$H$6:$H$405,'Istoric_Nativ'!$B$6:$B$405,E952,'Istoric_Nativ'!$C$6:$C$405,F952,'Istoric_Nativ'!$E$6:$E$405,G952,'Istoric_Nativ'!$D$6:$D$405,"&lt;"&amp;J952,'Istoric_Nativ'!$P$6:$P$405,1,'Istoric_Nativ'!$D$6:$D$405,"&gt;="&amp;L952)+SUMIFS('Istoric_Nativ'!$G$6:$G$405,'Istoric_Nativ'!$B$6:$B$405,E952,'Istoric_Nativ'!$C$6:$C$405,F952,'Istoric_Nativ'!$F$6:$F$405,G952,'Istoric_Nativ'!$D$6:$D$405,"&lt;"&amp;J952,'Istoric_Nativ'!$P$6:$P$405,1,'Istoric_Nativ'!$D$6:$D$405,"&gt;="&amp;L952)))/M952)</x:f>
      </x:c>
      <x:c r="P952" s="2" t="n">
        <x:f>'Config_v6'!$B$8</x:f>
        <x:v>5</x:v>
      </x:c>
      <x:c r="Q952" s="2" t="n">
        <x:f>IF(OR(B952="",F952=""),0,IFERROR(MATCH(E952&amp;"|"&amp;F952,SourceTable[Source_Key],0),0))</x:f>
        <x:v>0</x:v>
      </x:c>
      <x:c r="R952" s="2" t="str">
        <x:f>IF(B952="","",IF(F952="","UNUSED",IF(Q952=0,"NOT CHECKED",IF(COUNTIF(SourceTable[Source_Key],E952&amp;"|"&amp;F952)&lt;&gt;1,"SOURCE CONFLICT",IF(NOT(OR(INDEX(SourceTable[Status],MAX(1,Q952))="IMPORTED",INDEX(SourceTable[Status],MAX(1,Q952))="PARTIAL",INDEX(SourceTable[Status],MAX(1,Q952))="SOURCE CONFLICT")),"ACCESS BLOCKED",IF(OR(INDEX(SourceTable[Coverage],Q952)&lt;&gt;"FULL SEASON EXPORT",INDEX(SourceTable[URL],Q952)="",INDEX(SourceTable[SHA256],Q952)=""),"EVIDENCE INCOMPLETE",IF(AND('Input_Meci'!H84="LIVE",INDEX(SourceTable[Retrieved_UTC],Q952)&gt;'Input_Meci'!G84),"POST CUTOFF","CLOSED")))))))</x:f>
      </x:c>
      <x:c r="S952" s="2" t="n">
        <x:f>IF(OR(B952="",F952=""),0,COUNTIFS('Istoric_Nativ'!$B$6:$B$405,E952,'Istoric_Nativ'!$C$6:$C$405,F952,'Istoric_Nativ'!$E$6:$E$405,G952,'Istoric_Nativ'!$D$6:$D$405,"&lt;"&amp;J952,'Istoric_Nativ'!$O$6:$O$405,"INVALID")+COUNTIFS('Istoric_Nativ'!$B$6:$B$405,E952,'Istoric_Nativ'!$C$6:$C$405,F952,'Istoric_Nativ'!$E$6:$E$405,G952,'Istoric_Nativ'!$O$6:$O$405,"INVALID",'Istoric_Nativ'!$D$6:$D$405,"*")+COUNTIFS('Istoric_Nativ'!$B$6:$B$405,E952,'Istoric_Nativ'!$C$6:$C$405,F952,'Istoric_Nativ'!$E$6:$E$405,G952,'Istoric_Nativ'!$D$6:$D$405,"&lt;"&amp;J952,'Istoric_Nativ'!$O$6:$O$405,"SOURCE CONFLICT")+COUNTIFS('Istoric_Nativ'!$B$6:$B$405,E952,'Istoric_Nativ'!$C$6:$C$405,F952,'Istoric_Nativ'!$F$6:$F$405,G952,'Istoric_Nativ'!$D$6:$D$405,"&lt;"&amp;J952,'Istoric_Nativ'!$O$6:$O$405,"INVALID")+COUNTIFS('Istoric_Nativ'!$B$6:$B$405,E952,'Istoric_Nativ'!$C$6:$C$405,F952,'Istoric_Nativ'!$F$6:$F$405,G952,'Istoric_Nativ'!$O$6:$O$405,"INVALID",'Istoric_Nativ'!$D$6:$D$405,"*")+COUNTIFS('Istoric_Nativ'!$B$6:$B$405,E952,'Istoric_Nativ'!$C$6:$C$405,F952,'Istoric_Nativ'!$F$6:$F$405,G952,'Istoric_Nativ'!$D$6:$D$405,"&lt;"&amp;J952,'Istoric_Nativ'!$O$6:$O$405,"SOURCE CONFLICT"))</x:f>
        <x:v>0</x:v>
      </x:c>
      <x:c r="T952" s="2" t="str">
        <x:f>IF(B952="","",IF(R952&lt;&gt;"CLOSED",R952,IF(S952&gt;0,"NATIVE INPUT ISSUE",IF(M952=0,"NO HISTORY",IF(M952&lt;P952,"SMALL SAMPLE","DERIVED")))))</x:f>
      </x:c>
      <x:c r="U952" s="2" t="str">
        <x:f>IF(B952="","","NativeTable; "&amp;E952&amp;"; "&amp;F952&amp;"; "&amp;G952&amp;"; "&amp;H952&amp;"; before "&amp;TEXT(J952,"yyyy-mm-dd")&amp;IF(I952="RECENT","; from "&amp;TEXT(L952,"yyyy-mm-dd"),""))</x:f>
      </x:c>
    </x:row>
    <x:row r="953" ht="21" customHeight="1">
      <x:c r="A953" s="2" t="n">
        <x:v>79</x:v>
      </x:c>
      <x:c r="B953" s="2" t="str">
        <x:f>IF('Input_Meci'!A84="","",'Input_Meci'!A84)</x:f>
      </x:c>
      <x:c r="C953" s="2" t="str">
        <x:v>A</x:v>
      </x:c>
      <x:c r="D953" s="2" t="str">
        <x:v>PRIOR</x:v>
      </x:c>
      <x:c r="E953" s="2" t="str">
        <x:f>IF(B953="","",'Input_Meci'!B84)</x:f>
      </x:c>
      <x:c r="F953" s="2" t="str">
        <x:f>IF(B953="","",IF('Input_Meci'!K84="","",'Input_Meci'!K84))</x:f>
      </x:c>
      <x:c r="G953" s="2" t="str">
        <x:f>IF(B953="","",'Input_Meci'!E84)</x:f>
      </x:c>
      <x:c r="H953" s="2" t="str">
        <x:v>ANY</x:v>
      </x:c>
      <x:c r="I953" s="2" t="str">
        <x:v>RECENT</x:v>
      </x:c>
      <x:c r="J953" s="9" t="n">
        <x:f>IF(AND(B953&lt;&gt;"",ISNUMBER('Input_Meci'!G84)),INT('Input_Meci'!G84),0)</x:f>
        <x:v>0</x:v>
      </x:c>
      <x:c r="K953" s="2" t="n">
        <x:f>IF(OR(B953="",F953=""),0,IF(H953="HOME",COUNTIFS('Istoric_Nativ'!$B$6:$B$405,E953,'Istoric_Nativ'!$C$6:$C$405,F953,'Istoric_Nativ'!$E$6:$E$405,G953,'Istoric_Nativ'!$D$6:$D$405,"&lt;"&amp;J953,'Istoric_Nativ'!$P$6:$P$405,1),IF(H953="AWAY",COUNTIFS('Istoric_Nativ'!$B$6:$B$405,E953,'Istoric_Nativ'!$C$6:$C$405,F953,'Istoric_Nativ'!$F$6:$F$405,G953,'Istoric_Nativ'!$D$6:$D$405,"&lt;"&amp;J953,'Istoric_Nativ'!$P$6:$P$405,1),COUNTIFS('Istoric_Nativ'!$B$6:$B$405,E953,'Istoric_Nativ'!$C$6:$C$405,F953,'Istoric_Nativ'!$E$6:$E$405,G953,'Istoric_Nativ'!$D$6:$D$405,"&lt;"&amp;J953,'Istoric_Nativ'!$P$6:$P$405,1)+COUNTIFS('Istoric_Nativ'!$B$6:$B$405,E953,'Istoric_Nativ'!$C$6:$C$405,F953,'Istoric_Nativ'!$F$6:$F$405,G953,'Istoric_Nativ'!$D$6:$D$405,"&lt;"&amp;J953,'Istoric_Nativ'!$P$6:$P$405,1))))</x:f>
        <x:v>0</x:v>
      </x:c>
      <x:c r="L953" s="17" t="n">
        <x:f>IF(AND(B953&lt;&gt;"",I953="RECENT",K953&gt;0),LARGE(_xlfn._xlws.FILTER('Istoric_Nativ'!$D$6:$D$405,('Istoric_Nativ'!$B$6:$B$405=E953)*('Istoric_Nativ'!$C$6:$C$405=F953)*('Istoric_Nativ'!$P$6:$P$405=1)*('Istoric_Nativ'!$D$6:$D$405&lt;J953)*((('Istoric_Nativ'!$E$6:$E$405=G953)+('Istoric_Nativ'!$F$6:$F$405=G953))&gt;0)),MIN('Config_v6'!$B$54,K953)),0)</x:f>
        <x:v>0</x:v>
      </x:c>
      <x:c r="M953" s="2" t="n">
        <x:f>IF(OR(B953="",F953=""),0,IF(H953="HOME",COUNTIFS('Istoric_Nativ'!$B$6:$B$405,E953,'Istoric_Nativ'!$C$6:$C$405,F953,'Istoric_Nativ'!$E$6:$E$405,G953,'Istoric_Nativ'!$D$6:$D$405,"&lt;"&amp;J953,'Istoric_Nativ'!$P$6:$P$405,1,'Istoric_Nativ'!$D$6:$D$405,"&gt;="&amp;L953),IF(H953="AWAY",COUNTIFS('Istoric_Nativ'!$B$6:$B$405,E953,'Istoric_Nativ'!$C$6:$C$405,F953,'Istoric_Nativ'!$F$6:$F$405,G953,'Istoric_Nativ'!$D$6:$D$405,"&lt;"&amp;J953,'Istoric_Nativ'!$P$6:$P$405,1,'Istoric_Nativ'!$D$6:$D$405,"&gt;="&amp;L953),COUNTIFS('Istoric_Nativ'!$B$6:$B$405,E953,'Istoric_Nativ'!$C$6:$C$405,F953,'Istoric_Nativ'!$E$6:$E$405,G953,'Istoric_Nativ'!$D$6:$D$405,"&lt;"&amp;J953,'Istoric_Nativ'!$P$6:$P$405,1,'Istoric_Nativ'!$D$6:$D$405,"&gt;="&amp;L953)+COUNTIFS('Istoric_Nativ'!$B$6:$B$405,E953,'Istoric_Nativ'!$C$6:$C$405,F953,'Istoric_Nativ'!$F$6:$F$405,G953,'Istoric_Nativ'!$D$6:$D$405,"&lt;"&amp;J953,'Istoric_Nativ'!$P$6:$P$405,1,'Istoric_Nativ'!$D$6:$D$405,"&gt;="&amp;L953))))</x:f>
        <x:v>0</x:v>
      </x:c>
      <x:c r="N953" s="11" t="str">
        <x:f>IF(M953=0,"",IF(H953="HOME",SUMIFS('Istoric_Nativ'!$G$6:$G$405,'Istoric_Nativ'!$B$6:$B$405,E953,'Istoric_Nativ'!$C$6:$C$405,F953,'Istoric_Nativ'!$E$6:$E$405,G953,'Istoric_Nativ'!$D$6:$D$405,"&lt;"&amp;J953,'Istoric_Nativ'!$P$6:$P$405,1,'Istoric_Nativ'!$D$6:$D$405,"&gt;="&amp;L953),IF(H953="AWAY",SUMIFS('Istoric_Nativ'!$H$6:$H$405,'Istoric_Nativ'!$B$6:$B$405,E953,'Istoric_Nativ'!$C$6:$C$405,F953,'Istoric_Nativ'!$F$6:$F$405,G953,'Istoric_Nativ'!$D$6:$D$405,"&lt;"&amp;J953,'Istoric_Nativ'!$P$6:$P$405,1,'Istoric_Nativ'!$D$6:$D$405,"&gt;="&amp;L953),SUMIFS('Istoric_Nativ'!$G$6:$G$405,'Istoric_Nativ'!$B$6:$B$405,E953,'Istoric_Nativ'!$C$6:$C$405,F953,'Istoric_Nativ'!$E$6:$E$405,G953,'Istoric_Nativ'!$D$6:$D$405,"&lt;"&amp;J953,'Istoric_Nativ'!$P$6:$P$405,1,'Istoric_Nativ'!$D$6:$D$405,"&gt;="&amp;L953)+SUMIFS('Istoric_Nativ'!$H$6:$H$405,'Istoric_Nativ'!$B$6:$B$405,E953,'Istoric_Nativ'!$C$6:$C$405,F953,'Istoric_Nativ'!$F$6:$F$405,G953,'Istoric_Nativ'!$D$6:$D$405,"&lt;"&amp;J953,'Istoric_Nativ'!$P$6:$P$405,1,'Istoric_Nativ'!$D$6:$D$405,"&gt;="&amp;L953)))/M953)</x:f>
      </x:c>
      <x:c r="O953" s="11" t="str">
        <x:f>IF(M953=0,"",IF(H953="HOME",SUMIFS('Istoric_Nativ'!$H$6:$H$405,'Istoric_Nativ'!$B$6:$B$405,E953,'Istoric_Nativ'!$C$6:$C$405,F953,'Istoric_Nativ'!$E$6:$E$405,G953,'Istoric_Nativ'!$D$6:$D$405,"&lt;"&amp;J953,'Istoric_Nativ'!$P$6:$P$405,1,'Istoric_Nativ'!$D$6:$D$405,"&gt;="&amp;L953),IF(H953="AWAY",SUMIFS('Istoric_Nativ'!$G$6:$G$405,'Istoric_Nativ'!$B$6:$B$405,E953,'Istoric_Nativ'!$C$6:$C$405,F953,'Istoric_Nativ'!$F$6:$F$405,G953,'Istoric_Nativ'!$D$6:$D$405,"&lt;"&amp;J953,'Istoric_Nativ'!$P$6:$P$405,1,'Istoric_Nativ'!$D$6:$D$405,"&gt;="&amp;L953),SUMIFS('Istoric_Nativ'!$H$6:$H$405,'Istoric_Nativ'!$B$6:$B$405,E953,'Istoric_Nativ'!$C$6:$C$405,F953,'Istoric_Nativ'!$E$6:$E$405,G953,'Istoric_Nativ'!$D$6:$D$405,"&lt;"&amp;J953,'Istoric_Nativ'!$P$6:$P$405,1,'Istoric_Nativ'!$D$6:$D$405,"&gt;="&amp;L953)+SUMIFS('Istoric_Nativ'!$G$6:$G$405,'Istoric_Nativ'!$B$6:$B$405,E953,'Istoric_Nativ'!$C$6:$C$405,F953,'Istoric_Nativ'!$F$6:$F$405,G953,'Istoric_Nativ'!$D$6:$D$405,"&lt;"&amp;J953,'Istoric_Nativ'!$P$6:$P$405,1,'Istoric_Nativ'!$D$6:$D$405,"&gt;="&amp;L953)))/M953)</x:f>
      </x:c>
      <x:c r="P953" s="2" t="n">
        <x:f>'Config_v6'!$B$9</x:f>
        <x:v>3</x:v>
      </x:c>
      <x:c r="Q953" s="2" t="n">
        <x:f>IF(OR(B953="",F953=""),0,IFERROR(MATCH(E953&amp;"|"&amp;F953,SourceTable[Source_Key],0),0))</x:f>
        <x:v>0</x:v>
      </x:c>
      <x:c r="R953" s="2" t="str">
        <x:f>IF(B953="","",IF(F953="","UNUSED",IF(Q953=0,"NOT CHECKED",IF(COUNTIF(SourceTable[Source_Key],E953&amp;"|"&amp;F953)&lt;&gt;1,"SOURCE CONFLICT",IF(NOT(OR(INDEX(SourceTable[Status],MAX(1,Q953))="IMPORTED",INDEX(SourceTable[Status],MAX(1,Q953))="PARTIAL",INDEX(SourceTable[Status],MAX(1,Q953))="SOURCE CONFLICT")),"ACCESS BLOCKED",IF(OR(INDEX(SourceTable[Coverage],Q953)&lt;&gt;"FULL SEASON EXPORT",INDEX(SourceTable[URL],Q953)="",INDEX(SourceTable[SHA256],Q953)=""),"EVIDENCE INCOMPLETE",IF(AND('Input_Meci'!H84="LIVE",INDEX(SourceTable[Retrieved_UTC],Q953)&gt;'Input_Meci'!G84),"POST CUTOFF","CLOSED")))))))</x:f>
      </x:c>
      <x:c r="S953" s="2" t="n">
        <x:f>IF(OR(B953="",F953=""),0,COUNTIFS('Istoric_Nativ'!$B$6:$B$405,E953,'Istoric_Nativ'!$C$6:$C$405,F953,'Istoric_Nativ'!$E$6:$E$405,G953,'Istoric_Nativ'!$D$6:$D$405,"&lt;"&amp;J953,'Istoric_Nativ'!$O$6:$O$405,"INVALID")+COUNTIFS('Istoric_Nativ'!$B$6:$B$405,E953,'Istoric_Nativ'!$C$6:$C$405,F953,'Istoric_Nativ'!$E$6:$E$405,G953,'Istoric_Nativ'!$O$6:$O$405,"INVALID",'Istoric_Nativ'!$D$6:$D$405,"*")+COUNTIFS('Istoric_Nativ'!$B$6:$B$405,E953,'Istoric_Nativ'!$C$6:$C$405,F953,'Istoric_Nativ'!$E$6:$E$405,G953,'Istoric_Nativ'!$D$6:$D$405,"&lt;"&amp;J953,'Istoric_Nativ'!$O$6:$O$405,"SOURCE CONFLICT")+COUNTIFS('Istoric_Nativ'!$B$6:$B$405,E953,'Istoric_Nativ'!$C$6:$C$405,F953,'Istoric_Nativ'!$F$6:$F$405,G953,'Istoric_Nativ'!$D$6:$D$405,"&lt;"&amp;J953,'Istoric_Nativ'!$O$6:$O$405,"INVALID")+COUNTIFS('Istoric_Nativ'!$B$6:$B$405,E953,'Istoric_Nativ'!$C$6:$C$405,F953,'Istoric_Nativ'!$F$6:$F$405,G953,'Istoric_Nativ'!$O$6:$O$405,"INVALID",'Istoric_Nativ'!$D$6:$D$405,"*")+COUNTIFS('Istoric_Nativ'!$B$6:$B$405,E953,'Istoric_Nativ'!$C$6:$C$405,F953,'Istoric_Nativ'!$F$6:$F$405,G953,'Istoric_Nativ'!$D$6:$D$405,"&lt;"&amp;J953,'Istoric_Nativ'!$O$6:$O$405,"SOURCE CONFLICT"))</x:f>
        <x:v>0</x:v>
      </x:c>
      <x:c r="T953" s="2" t="str">
        <x:f>IF(B953="","",IF(R953&lt;&gt;"CLOSED",R953,IF(S953&gt;0,"NATIVE INPUT ISSUE",IF(M953=0,"NO HISTORY",IF(M953&lt;P953,"SMALL SAMPLE","DERIVED")))))</x:f>
      </x:c>
      <x:c r="U953" s="2" t="str">
        <x:f>IF(B953="","","NativeTable; "&amp;E953&amp;"; "&amp;F953&amp;"; "&amp;G953&amp;"; "&amp;H953&amp;"; before "&amp;TEXT(J953,"yyyy-mm-dd")&amp;IF(I953="RECENT","; from "&amp;TEXT(L953,"yyyy-mm-dd"),""))</x:f>
      </x:c>
    </x:row>
    <x:row r="954" ht="21" customHeight="1">
      <x:c r="A954" s="2" t="n">
        <x:v>80</x:v>
      </x:c>
      <x:c r="B954" s="2" t="str">
        <x:f>IF('Input_Meci'!A85="","",'Input_Meci'!A85)</x:f>
      </x:c>
      <x:c r="C954" s="2" t="str">
        <x:v>H</x:v>
      </x:c>
      <x:c r="D954" s="2" t="str">
        <x:v>CURRENT</x:v>
      </x:c>
      <x:c r="E954" s="2" t="str">
        <x:f>IF(B954="","",'Input_Meci'!B85)</x:f>
      </x:c>
      <x:c r="F954" s="2" t="str">
        <x:f>IF(B954="","",IF('Input_Meci'!C85="","",'Input_Meci'!C85))</x:f>
      </x:c>
      <x:c r="G954" s="2" t="str">
        <x:f>IF(B954="","",'Input_Meci'!D85)</x:f>
      </x:c>
      <x:c r="H954" s="2" t="str">
        <x:v>ANY</x:v>
      </x:c>
      <x:c r="I954" s="2" t="str">
        <x:v>SEASON</x:v>
      </x:c>
      <x:c r="J954" s="9" t="n">
        <x:f>IF(AND(B954&lt;&gt;"",ISNUMBER('Input_Meci'!G85)),INT('Input_Meci'!G85),0)</x:f>
        <x:v>0</x:v>
      </x:c>
      <x:c r="K954" s="2" t="n">
        <x:f>IF(OR(B954="",F954=""),0,IF(H954="HOME",COUNTIFS('Istoric_Nativ'!$B$6:$B$405,E954,'Istoric_Nativ'!$C$6:$C$405,F954,'Istoric_Nativ'!$E$6:$E$405,G954,'Istoric_Nativ'!$D$6:$D$405,"&lt;"&amp;J954,'Istoric_Nativ'!$P$6:$P$405,1),IF(H954="AWAY",COUNTIFS('Istoric_Nativ'!$B$6:$B$405,E954,'Istoric_Nativ'!$C$6:$C$405,F954,'Istoric_Nativ'!$F$6:$F$405,G954,'Istoric_Nativ'!$D$6:$D$405,"&lt;"&amp;J954,'Istoric_Nativ'!$P$6:$P$405,1),COUNTIFS('Istoric_Nativ'!$B$6:$B$405,E954,'Istoric_Nativ'!$C$6:$C$405,F954,'Istoric_Nativ'!$E$6:$E$405,G954,'Istoric_Nativ'!$D$6:$D$405,"&lt;"&amp;J954,'Istoric_Nativ'!$P$6:$P$405,1)+COUNTIFS('Istoric_Nativ'!$B$6:$B$405,E954,'Istoric_Nativ'!$C$6:$C$405,F954,'Istoric_Nativ'!$F$6:$F$405,G954,'Istoric_Nativ'!$D$6:$D$405,"&lt;"&amp;J954,'Istoric_Nativ'!$P$6:$P$405,1))))</x:f>
        <x:v>0</x:v>
      </x:c>
      <x:c r="L954" s="17" t="n">
        <x:f>IF(AND(B954&lt;&gt;"",I954="RECENT",K954&gt;0),LARGE(_xlfn._xlws.FILTER('Istoric_Nativ'!$D$6:$D$405,('Istoric_Nativ'!$B$6:$B$405=E954)*('Istoric_Nativ'!$C$6:$C$405=F954)*('Istoric_Nativ'!$P$6:$P$405=1)*('Istoric_Nativ'!$D$6:$D$405&lt;J954)*((('Istoric_Nativ'!$E$6:$E$405=G954)+('Istoric_Nativ'!$F$6:$F$405=G954))&gt;0)),MIN('Config_v6'!$B$54,K954)),0)</x:f>
        <x:v>0</x:v>
      </x:c>
      <x:c r="M954" s="2" t="n">
        <x:f>IF(OR(B954="",F954=""),0,IF(H954="HOME",COUNTIFS('Istoric_Nativ'!$B$6:$B$405,E954,'Istoric_Nativ'!$C$6:$C$405,F954,'Istoric_Nativ'!$E$6:$E$405,G954,'Istoric_Nativ'!$D$6:$D$405,"&lt;"&amp;J954,'Istoric_Nativ'!$P$6:$P$405,1,'Istoric_Nativ'!$D$6:$D$405,"&gt;="&amp;L954),IF(H954="AWAY",COUNTIFS('Istoric_Nativ'!$B$6:$B$405,E954,'Istoric_Nativ'!$C$6:$C$405,F954,'Istoric_Nativ'!$F$6:$F$405,G954,'Istoric_Nativ'!$D$6:$D$405,"&lt;"&amp;J954,'Istoric_Nativ'!$P$6:$P$405,1,'Istoric_Nativ'!$D$6:$D$405,"&gt;="&amp;L954),COUNTIFS('Istoric_Nativ'!$B$6:$B$405,E954,'Istoric_Nativ'!$C$6:$C$405,F954,'Istoric_Nativ'!$E$6:$E$405,G954,'Istoric_Nativ'!$D$6:$D$405,"&lt;"&amp;J954,'Istoric_Nativ'!$P$6:$P$405,1,'Istoric_Nativ'!$D$6:$D$405,"&gt;="&amp;L954)+COUNTIFS('Istoric_Nativ'!$B$6:$B$405,E954,'Istoric_Nativ'!$C$6:$C$405,F954,'Istoric_Nativ'!$F$6:$F$405,G954,'Istoric_Nativ'!$D$6:$D$405,"&lt;"&amp;J954,'Istoric_Nativ'!$P$6:$P$405,1,'Istoric_Nativ'!$D$6:$D$405,"&gt;="&amp;L954))))</x:f>
        <x:v>0</x:v>
      </x:c>
      <x:c r="N954" s="11" t="str">
        <x:f>IF(M954=0,"",IF(H954="HOME",SUMIFS('Istoric_Nativ'!$G$6:$G$405,'Istoric_Nativ'!$B$6:$B$405,E954,'Istoric_Nativ'!$C$6:$C$405,F954,'Istoric_Nativ'!$E$6:$E$405,G954,'Istoric_Nativ'!$D$6:$D$405,"&lt;"&amp;J954,'Istoric_Nativ'!$P$6:$P$405,1,'Istoric_Nativ'!$D$6:$D$405,"&gt;="&amp;L954),IF(H954="AWAY",SUMIFS('Istoric_Nativ'!$H$6:$H$405,'Istoric_Nativ'!$B$6:$B$405,E954,'Istoric_Nativ'!$C$6:$C$405,F954,'Istoric_Nativ'!$F$6:$F$405,G954,'Istoric_Nativ'!$D$6:$D$405,"&lt;"&amp;J954,'Istoric_Nativ'!$P$6:$P$405,1,'Istoric_Nativ'!$D$6:$D$405,"&gt;="&amp;L954),SUMIFS('Istoric_Nativ'!$G$6:$G$405,'Istoric_Nativ'!$B$6:$B$405,E954,'Istoric_Nativ'!$C$6:$C$405,F954,'Istoric_Nativ'!$E$6:$E$405,G954,'Istoric_Nativ'!$D$6:$D$405,"&lt;"&amp;J954,'Istoric_Nativ'!$P$6:$P$405,1,'Istoric_Nativ'!$D$6:$D$405,"&gt;="&amp;L954)+SUMIFS('Istoric_Nativ'!$H$6:$H$405,'Istoric_Nativ'!$B$6:$B$405,E954,'Istoric_Nativ'!$C$6:$C$405,F954,'Istoric_Nativ'!$F$6:$F$405,G954,'Istoric_Nativ'!$D$6:$D$405,"&lt;"&amp;J954,'Istoric_Nativ'!$P$6:$P$405,1,'Istoric_Nativ'!$D$6:$D$405,"&gt;="&amp;L954)))/M954)</x:f>
      </x:c>
      <x:c r="O954" s="11" t="str">
        <x:f>IF(M954=0,"",IF(H954="HOME",SUMIFS('Istoric_Nativ'!$H$6:$H$405,'Istoric_Nativ'!$B$6:$B$405,E954,'Istoric_Nativ'!$C$6:$C$405,F954,'Istoric_Nativ'!$E$6:$E$405,G954,'Istoric_Nativ'!$D$6:$D$405,"&lt;"&amp;J954,'Istoric_Nativ'!$P$6:$P$405,1,'Istoric_Nativ'!$D$6:$D$405,"&gt;="&amp;L954),IF(H954="AWAY",SUMIFS('Istoric_Nativ'!$G$6:$G$405,'Istoric_Nativ'!$B$6:$B$405,E954,'Istoric_Nativ'!$C$6:$C$405,F954,'Istoric_Nativ'!$F$6:$F$405,G954,'Istoric_Nativ'!$D$6:$D$405,"&lt;"&amp;J954,'Istoric_Nativ'!$P$6:$P$405,1,'Istoric_Nativ'!$D$6:$D$405,"&gt;="&amp;L954),SUMIFS('Istoric_Nativ'!$H$6:$H$405,'Istoric_Nativ'!$B$6:$B$405,E954,'Istoric_Nativ'!$C$6:$C$405,F954,'Istoric_Nativ'!$E$6:$E$405,G954,'Istoric_Nativ'!$D$6:$D$405,"&lt;"&amp;J954,'Istoric_Nativ'!$P$6:$P$405,1,'Istoric_Nativ'!$D$6:$D$405,"&gt;="&amp;L954)+SUMIFS('Istoric_Nativ'!$G$6:$G$405,'Istoric_Nativ'!$B$6:$B$405,E954,'Istoric_Nativ'!$C$6:$C$405,F954,'Istoric_Nativ'!$F$6:$F$405,G954,'Istoric_Nativ'!$D$6:$D$405,"&lt;"&amp;J954,'Istoric_Nativ'!$P$6:$P$405,1,'Istoric_Nativ'!$D$6:$D$405,"&gt;="&amp;L954)))/M954)</x:f>
      </x:c>
      <x:c r="P954" s="2" t="n">
        <x:f>'Config_v6'!$B$7</x:f>
        <x:v>10</x:v>
      </x:c>
      <x:c r="Q954" s="2" t="n">
        <x:f>IF(OR(B954="",F954=""),0,IFERROR(MATCH(E954&amp;"|"&amp;F954,SourceTable[Source_Key],0),0))</x:f>
        <x:v>0</x:v>
      </x:c>
      <x:c r="R954" s="2" t="str">
        <x:f>IF(B954="","",IF(F954="","UNUSED",IF(Q954=0,"NOT CHECKED",IF(COUNTIF(SourceTable[Source_Key],E954&amp;"|"&amp;F954)&lt;&gt;1,"SOURCE CONFLICT",IF(NOT(OR(INDEX(SourceTable[Status],MAX(1,Q954))="IMPORTED",INDEX(SourceTable[Status],MAX(1,Q954))="PARTIAL",INDEX(SourceTable[Status],MAX(1,Q954))="SOURCE CONFLICT")),"ACCESS BLOCKED",IF(OR(INDEX(SourceTable[Coverage],Q954)&lt;&gt;"FULL SEASON EXPORT",INDEX(SourceTable[URL],Q954)="",INDEX(SourceTable[SHA256],Q954)=""),"EVIDENCE INCOMPLETE",IF(AND('Input_Meci'!H85="LIVE",INDEX(SourceTable[Retrieved_UTC],Q954)&gt;'Input_Meci'!G85),"POST CUTOFF","CLOSED")))))))</x:f>
      </x:c>
      <x:c r="S954" s="2" t="n">
        <x:f>IF(OR(B954="",F954=""),0,COUNTIFS('Istoric_Nativ'!$B$6:$B$405,E954,'Istoric_Nativ'!$C$6:$C$405,F954,'Istoric_Nativ'!$E$6:$E$405,G954,'Istoric_Nativ'!$D$6:$D$405,"&lt;"&amp;J954,'Istoric_Nativ'!$O$6:$O$405,"INVALID")+COUNTIFS('Istoric_Nativ'!$B$6:$B$405,E954,'Istoric_Nativ'!$C$6:$C$405,F954,'Istoric_Nativ'!$E$6:$E$405,G954,'Istoric_Nativ'!$O$6:$O$405,"INVALID",'Istoric_Nativ'!$D$6:$D$405,"*")+COUNTIFS('Istoric_Nativ'!$B$6:$B$405,E954,'Istoric_Nativ'!$C$6:$C$405,F954,'Istoric_Nativ'!$E$6:$E$405,G954,'Istoric_Nativ'!$D$6:$D$405,"&lt;"&amp;J954,'Istoric_Nativ'!$O$6:$O$405,"SOURCE CONFLICT")+COUNTIFS('Istoric_Nativ'!$B$6:$B$405,E954,'Istoric_Nativ'!$C$6:$C$405,F954,'Istoric_Nativ'!$F$6:$F$405,G954,'Istoric_Nativ'!$D$6:$D$405,"&lt;"&amp;J954,'Istoric_Nativ'!$O$6:$O$405,"INVALID")+COUNTIFS('Istoric_Nativ'!$B$6:$B$405,E954,'Istoric_Nativ'!$C$6:$C$405,F954,'Istoric_Nativ'!$F$6:$F$405,G954,'Istoric_Nativ'!$O$6:$O$405,"INVALID",'Istoric_Nativ'!$D$6:$D$405,"*")+COUNTIFS('Istoric_Nativ'!$B$6:$B$405,E954,'Istoric_Nativ'!$C$6:$C$405,F954,'Istoric_Nativ'!$F$6:$F$405,G954,'Istoric_Nativ'!$D$6:$D$405,"&lt;"&amp;J954,'Istoric_Nativ'!$O$6:$O$405,"SOURCE CONFLICT"))</x:f>
        <x:v>0</x:v>
      </x:c>
      <x:c r="T954" s="2" t="str">
        <x:f>IF(B954="","",IF(R954&lt;&gt;"CLOSED",R954,IF(S954&gt;0,"NATIVE INPUT ISSUE",IF(M954=0,"NO HISTORY",IF(M954&lt;P954,"SMALL SAMPLE","DERIVED")))))</x:f>
      </x:c>
      <x:c r="U954" s="2" t="str">
        <x:f>IF(B954="","","NativeTable; "&amp;E954&amp;"; "&amp;F954&amp;"; "&amp;G954&amp;"; "&amp;H954&amp;"; before "&amp;TEXT(J954,"yyyy-mm-dd")&amp;IF(I954="RECENT","; from "&amp;TEXT(L954,"yyyy-mm-dd"),""))</x:f>
      </x:c>
    </x:row>
    <x:row r="955" ht="21" customHeight="1">
      <x:c r="A955" s="2" t="n">
        <x:v>80</x:v>
      </x:c>
      <x:c r="B955" s="2" t="str">
        <x:f>IF('Input_Meci'!A85="","",'Input_Meci'!A85)</x:f>
      </x:c>
      <x:c r="C955" s="2" t="str">
        <x:v>H</x:v>
      </x:c>
      <x:c r="D955" s="2" t="str">
        <x:v>CURRENT</x:v>
      </x:c>
      <x:c r="E955" s="2" t="str">
        <x:f>IF(B955="","",'Input_Meci'!B85)</x:f>
      </x:c>
      <x:c r="F955" s="2" t="str">
        <x:f>IF(B955="","",IF('Input_Meci'!C85="","",'Input_Meci'!C85))</x:f>
      </x:c>
      <x:c r="G955" s="2" t="str">
        <x:f>IF(B955="","",'Input_Meci'!D85)</x:f>
      </x:c>
      <x:c r="H955" s="2" t="str">
        <x:v>HOME</x:v>
      </x:c>
      <x:c r="I955" s="2" t="str">
        <x:v>HA</x:v>
      </x:c>
      <x:c r="J955" s="9" t="n">
        <x:f>IF(AND(B955&lt;&gt;"",ISNUMBER('Input_Meci'!G85)),INT('Input_Meci'!G85),0)</x:f>
        <x:v>0</x:v>
      </x:c>
      <x:c r="K955" s="2" t="n">
        <x:f>IF(OR(B955="",F955=""),0,IF(H955="HOME",COUNTIFS('Istoric_Nativ'!$B$6:$B$405,E955,'Istoric_Nativ'!$C$6:$C$405,F955,'Istoric_Nativ'!$E$6:$E$405,G955,'Istoric_Nativ'!$D$6:$D$405,"&lt;"&amp;J955,'Istoric_Nativ'!$P$6:$P$405,1),IF(H955="AWAY",COUNTIFS('Istoric_Nativ'!$B$6:$B$405,E955,'Istoric_Nativ'!$C$6:$C$405,F955,'Istoric_Nativ'!$F$6:$F$405,G955,'Istoric_Nativ'!$D$6:$D$405,"&lt;"&amp;J955,'Istoric_Nativ'!$P$6:$P$405,1),COUNTIFS('Istoric_Nativ'!$B$6:$B$405,E955,'Istoric_Nativ'!$C$6:$C$405,F955,'Istoric_Nativ'!$E$6:$E$405,G955,'Istoric_Nativ'!$D$6:$D$405,"&lt;"&amp;J955,'Istoric_Nativ'!$P$6:$P$405,1)+COUNTIFS('Istoric_Nativ'!$B$6:$B$405,E955,'Istoric_Nativ'!$C$6:$C$405,F955,'Istoric_Nativ'!$F$6:$F$405,G955,'Istoric_Nativ'!$D$6:$D$405,"&lt;"&amp;J955,'Istoric_Nativ'!$P$6:$P$405,1))))</x:f>
        <x:v>0</x:v>
      </x:c>
      <x:c r="L955" s="17" t="n">
        <x:f>IF(AND(B955&lt;&gt;"",I955="RECENT",K955&gt;0),LARGE(_xlfn._xlws.FILTER('Istoric_Nativ'!$D$6:$D$405,('Istoric_Nativ'!$B$6:$B$405=E955)*('Istoric_Nativ'!$C$6:$C$405=F955)*('Istoric_Nativ'!$P$6:$P$405=1)*('Istoric_Nativ'!$D$6:$D$405&lt;J955)*((('Istoric_Nativ'!$E$6:$E$405=G955)+('Istoric_Nativ'!$F$6:$F$405=G955))&gt;0)),MIN('Config_v6'!$B$54,K955)),0)</x:f>
        <x:v>0</x:v>
      </x:c>
      <x:c r="M955" s="2" t="n">
        <x:f>IF(OR(B955="",F955=""),0,IF(H955="HOME",COUNTIFS('Istoric_Nativ'!$B$6:$B$405,E955,'Istoric_Nativ'!$C$6:$C$405,F955,'Istoric_Nativ'!$E$6:$E$405,G955,'Istoric_Nativ'!$D$6:$D$405,"&lt;"&amp;J955,'Istoric_Nativ'!$P$6:$P$405,1,'Istoric_Nativ'!$D$6:$D$405,"&gt;="&amp;L955),IF(H955="AWAY",COUNTIFS('Istoric_Nativ'!$B$6:$B$405,E955,'Istoric_Nativ'!$C$6:$C$405,F955,'Istoric_Nativ'!$F$6:$F$405,G955,'Istoric_Nativ'!$D$6:$D$405,"&lt;"&amp;J955,'Istoric_Nativ'!$P$6:$P$405,1,'Istoric_Nativ'!$D$6:$D$405,"&gt;="&amp;L955),COUNTIFS('Istoric_Nativ'!$B$6:$B$405,E955,'Istoric_Nativ'!$C$6:$C$405,F955,'Istoric_Nativ'!$E$6:$E$405,G955,'Istoric_Nativ'!$D$6:$D$405,"&lt;"&amp;J955,'Istoric_Nativ'!$P$6:$P$405,1,'Istoric_Nativ'!$D$6:$D$405,"&gt;="&amp;L955)+COUNTIFS('Istoric_Nativ'!$B$6:$B$405,E955,'Istoric_Nativ'!$C$6:$C$405,F955,'Istoric_Nativ'!$F$6:$F$405,G955,'Istoric_Nativ'!$D$6:$D$405,"&lt;"&amp;J955,'Istoric_Nativ'!$P$6:$P$405,1,'Istoric_Nativ'!$D$6:$D$405,"&gt;="&amp;L955))))</x:f>
        <x:v>0</x:v>
      </x:c>
      <x:c r="N955" s="11" t="str">
        <x:f>IF(M955=0,"",IF(H955="HOME",SUMIFS('Istoric_Nativ'!$G$6:$G$405,'Istoric_Nativ'!$B$6:$B$405,E955,'Istoric_Nativ'!$C$6:$C$405,F955,'Istoric_Nativ'!$E$6:$E$405,G955,'Istoric_Nativ'!$D$6:$D$405,"&lt;"&amp;J955,'Istoric_Nativ'!$P$6:$P$405,1,'Istoric_Nativ'!$D$6:$D$405,"&gt;="&amp;L955),IF(H955="AWAY",SUMIFS('Istoric_Nativ'!$H$6:$H$405,'Istoric_Nativ'!$B$6:$B$405,E955,'Istoric_Nativ'!$C$6:$C$405,F955,'Istoric_Nativ'!$F$6:$F$405,G955,'Istoric_Nativ'!$D$6:$D$405,"&lt;"&amp;J955,'Istoric_Nativ'!$P$6:$P$405,1,'Istoric_Nativ'!$D$6:$D$405,"&gt;="&amp;L955),SUMIFS('Istoric_Nativ'!$G$6:$G$405,'Istoric_Nativ'!$B$6:$B$405,E955,'Istoric_Nativ'!$C$6:$C$405,F955,'Istoric_Nativ'!$E$6:$E$405,G955,'Istoric_Nativ'!$D$6:$D$405,"&lt;"&amp;J955,'Istoric_Nativ'!$P$6:$P$405,1,'Istoric_Nativ'!$D$6:$D$405,"&gt;="&amp;L955)+SUMIFS('Istoric_Nativ'!$H$6:$H$405,'Istoric_Nativ'!$B$6:$B$405,E955,'Istoric_Nativ'!$C$6:$C$405,F955,'Istoric_Nativ'!$F$6:$F$405,G955,'Istoric_Nativ'!$D$6:$D$405,"&lt;"&amp;J955,'Istoric_Nativ'!$P$6:$P$405,1,'Istoric_Nativ'!$D$6:$D$405,"&gt;="&amp;L955)))/M955)</x:f>
      </x:c>
      <x:c r="O955" s="11" t="str">
        <x:f>IF(M955=0,"",IF(H955="HOME",SUMIFS('Istoric_Nativ'!$H$6:$H$405,'Istoric_Nativ'!$B$6:$B$405,E955,'Istoric_Nativ'!$C$6:$C$405,F955,'Istoric_Nativ'!$E$6:$E$405,G955,'Istoric_Nativ'!$D$6:$D$405,"&lt;"&amp;J955,'Istoric_Nativ'!$P$6:$P$405,1,'Istoric_Nativ'!$D$6:$D$405,"&gt;="&amp;L955),IF(H955="AWAY",SUMIFS('Istoric_Nativ'!$G$6:$G$405,'Istoric_Nativ'!$B$6:$B$405,E955,'Istoric_Nativ'!$C$6:$C$405,F955,'Istoric_Nativ'!$F$6:$F$405,G955,'Istoric_Nativ'!$D$6:$D$405,"&lt;"&amp;J955,'Istoric_Nativ'!$P$6:$P$405,1,'Istoric_Nativ'!$D$6:$D$405,"&gt;="&amp;L955),SUMIFS('Istoric_Nativ'!$H$6:$H$405,'Istoric_Nativ'!$B$6:$B$405,E955,'Istoric_Nativ'!$C$6:$C$405,F955,'Istoric_Nativ'!$E$6:$E$405,G955,'Istoric_Nativ'!$D$6:$D$405,"&lt;"&amp;J955,'Istoric_Nativ'!$P$6:$P$405,1,'Istoric_Nativ'!$D$6:$D$405,"&gt;="&amp;L955)+SUMIFS('Istoric_Nativ'!$G$6:$G$405,'Istoric_Nativ'!$B$6:$B$405,E955,'Istoric_Nativ'!$C$6:$C$405,F955,'Istoric_Nativ'!$F$6:$F$405,G955,'Istoric_Nativ'!$D$6:$D$405,"&lt;"&amp;J955,'Istoric_Nativ'!$P$6:$P$405,1,'Istoric_Nativ'!$D$6:$D$405,"&gt;="&amp;L955)))/M955)</x:f>
      </x:c>
      <x:c r="P955" s="2" t="n">
        <x:f>'Config_v6'!$B$8</x:f>
        <x:v>5</x:v>
      </x:c>
      <x:c r="Q955" s="2" t="n">
        <x:f>IF(OR(B955="",F955=""),0,IFERROR(MATCH(E955&amp;"|"&amp;F955,SourceTable[Source_Key],0),0))</x:f>
        <x:v>0</x:v>
      </x:c>
      <x:c r="R955" s="2" t="str">
        <x:f>IF(B955="","",IF(F955="","UNUSED",IF(Q955=0,"NOT CHECKED",IF(COUNTIF(SourceTable[Source_Key],E955&amp;"|"&amp;F955)&lt;&gt;1,"SOURCE CONFLICT",IF(NOT(OR(INDEX(SourceTable[Status],MAX(1,Q955))="IMPORTED",INDEX(SourceTable[Status],MAX(1,Q955))="PARTIAL",INDEX(SourceTable[Status],MAX(1,Q955))="SOURCE CONFLICT")),"ACCESS BLOCKED",IF(OR(INDEX(SourceTable[Coverage],Q955)&lt;&gt;"FULL SEASON EXPORT",INDEX(SourceTable[URL],Q955)="",INDEX(SourceTable[SHA256],Q955)=""),"EVIDENCE INCOMPLETE",IF(AND('Input_Meci'!H85="LIVE",INDEX(SourceTable[Retrieved_UTC],Q955)&gt;'Input_Meci'!G85),"POST CUTOFF","CLOSED")))))))</x:f>
      </x:c>
      <x:c r="S955" s="2" t="n">
        <x:f>IF(OR(B955="",F955=""),0,COUNTIFS('Istoric_Nativ'!$B$6:$B$405,E955,'Istoric_Nativ'!$C$6:$C$405,F955,'Istoric_Nativ'!$E$6:$E$405,G955,'Istoric_Nativ'!$D$6:$D$405,"&lt;"&amp;J955,'Istoric_Nativ'!$O$6:$O$405,"INVALID")+COUNTIFS('Istoric_Nativ'!$B$6:$B$405,E955,'Istoric_Nativ'!$C$6:$C$405,F955,'Istoric_Nativ'!$E$6:$E$405,G955,'Istoric_Nativ'!$O$6:$O$405,"INVALID",'Istoric_Nativ'!$D$6:$D$405,"*")+COUNTIFS('Istoric_Nativ'!$B$6:$B$405,E955,'Istoric_Nativ'!$C$6:$C$405,F955,'Istoric_Nativ'!$E$6:$E$405,G955,'Istoric_Nativ'!$D$6:$D$405,"&lt;"&amp;J955,'Istoric_Nativ'!$O$6:$O$405,"SOURCE CONFLICT")+COUNTIFS('Istoric_Nativ'!$B$6:$B$405,E955,'Istoric_Nativ'!$C$6:$C$405,F955,'Istoric_Nativ'!$F$6:$F$405,G955,'Istoric_Nativ'!$D$6:$D$405,"&lt;"&amp;J955,'Istoric_Nativ'!$O$6:$O$405,"INVALID")+COUNTIFS('Istoric_Nativ'!$B$6:$B$405,E955,'Istoric_Nativ'!$C$6:$C$405,F955,'Istoric_Nativ'!$F$6:$F$405,G955,'Istoric_Nativ'!$O$6:$O$405,"INVALID",'Istoric_Nativ'!$D$6:$D$405,"*")+COUNTIFS('Istoric_Nativ'!$B$6:$B$405,E955,'Istoric_Nativ'!$C$6:$C$405,F955,'Istoric_Nativ'!$F$6:$F$405,G955,'Istoric_Nativ'!$D$6:$D$405,"&lt;"&amp;J955,'Istoric_Nativ'!$O$6:$O$405,"SOURCE CONFLICT"))</x:f>
        <x:v>0</x:v>
      </x:c>
      <x:c r="T955" s="2" t="str">
        <x:f>IF(B955="","",IF(R955&lt;&gt;"CLOSED",R955,IF(S955&gt;0,"NATIVE INPUT ISSUE",IF(M955=0,"NO HISTORY",IF(M955&lt;P955,"SMALL SAMPLE","DERIVED")))))</x:f>
      </x:c>
      <x:c r="U955" s="2" t="str">
        <x:f>IF(B955="","","NativeTable; "&amp;E955&amp;"; "&amp;F955&amp;"; "&amp;G955&amp;"; "&amp;H955&amp;"; before "&amp;TEXT(J955,"yyyy-mm-dd")&amp;IF(I955="RECENT","; from "&amp;TEXT(L955,"yyyy-mm-dd"),""))</x:f>
      </x:c>
    </x:row>
    <x:row r="956" ht="21" customHeight="1">
      <x:c r="A956" s="2" t="n">
        <x:v>80</x:v>
      </x:c>
      <x:c r="B956" s="2" t="str">
        <x:f>IF('Input_Meci'!A85="","",'Input_Meci'!A85)</x:f>
      </x:c>
      <x:c r="C956" s="2" t="str">
        <x:v>H</x:v>
      </x:c>
      <x:c r="D956" s="2" t="str">
        <x:v>CURRENT</x:v>
      </x:c>
      <x:c r="E956" s="2" t="str">
        <x:f>IF(B956="","",'Input_Meci'!B85)</x:f>
      </x:c>
      <x:c r="F956" s="2" t="str">
        <x:f>IF(B956="","",IF('Input_Meci'!C85="","",'Input_Meci'!C85))</x:f>
      </x:c>
      <x:c r="G956" s="2" t="str">
        <x:f>IF(B956="","",'Input_Meci'!D85)</x:f>
      </x:c>
      <x:c r="H956" s="2" t="str">
        <x:v>ANY</x:v>
      </x:c>
      <x:c r="I956" s="2" t="str">
        <x:v>RECENT</x:v>
      </x:c>
      <x:c r="J956" s="9" t="n">
        <x:f>IF(AND(B956&lt;&gt;"",ISNUMBER('Input_Meci'!G85)),INT('Input_Meci'!G85),0)</x:f>
        <x:v>0</x:v>
      </x:c>
      <x:c r="K956" s="2" t="n">
        <x:f>IF(OR(B956="",F956=""),0,IF(H956="HOME",COUNTIFS('Istoric_Nativ'!$B$6:$B$405,E956,'Istoric_Nativ'!$C$6:$C$405,F956,'Istoric_Nativ'!$E$6:$E$405,G956,'Istoric_Nativ'!$D$6:$D$405,"&lt;"&amp;J956,'Istoric_Nativ'!$P$6:$P$405,1),IF(H956="AWAY",COUNTIFS('Istoric_Nativ'!$B$6:$B$405,E956,'Istoric_Nativ'!$C$6:$C$405,F956,'Istoric_Nativ'!$F$6:$F$405,G956,'Istoric_Nativ'!$D$6:$D$405,"&lt;"&amp;J956,'Istoric_Nativ'!$P$6:$P$405,1),COUNTIFS('Istoric_Nativ'!$B$6:$B$405,E956,'Istoric_Nativ'!$C$6:$C$405,F956,'Istoric_Nativ'!$E$6:$E$405,G956,'Istoric_Nativ'!$D$6:$D$405,"&lt;"&amp;J956,'Istoric_Nativ'!$P$6:$P$405,1)+COUNTIFS('Istoric_Nativ'!$B$6:$B$405,E956,'Istoric_Nativ'!$C$6:$C$405,F956,'Istoric_Nativ'!$F$6:$F$405,G956,'Istoric_Nativ'!$D$6:$D$405,"&lt;"&amp;J956,'Istoric_Nativ'!$P$6:$P$405,1))))</x:f>
        <x:v>0</x:v>
      </x:c>
      <x:c r="L956" s="17" t="n">
        <x:f>IF(AND(B956&lt;&gt;"",I956="RECENT",K956&gt;0),LARGE(_xlfn._xlws.FILTER('Istoric_Nativ'!$D$6:$D$405,('Istoric_Nativ'!$B$6:$B$405=E956)*('Istoric_Nativ'!$C$6:$C$405=F956)*('Istoric_Nativ'!$P$6:$P$405=1)*('Istoric_Nativ'!$D$6:$D$405&lt;J956)*((('Istoric_Nativ'!$E$6:$E$405=G956)+('Istoric_Nativ'!$F$6:$F$405=G956))&gt;0)),MIN('Config_v6'!$B$54,K956)),0)</x:f>
        <x:v>0</x:v>
      </x:c>
      <x:c r="M956" s="2" t="n">
        <x:f>IF(OR(B956="",F956=""),0,IF(H956="HOME",COUNTIFS('Istoric_Nativ'!$B$6:$B$405,E956,'Istoric_Nativ'!$C$6:$C$405,F956,'Istoric_Nativ'!$E$6:$E$405,G956,'Istoric_Nativ'!$D$6:$D$405,"&lt;"&amp;J956,'Istoric_Nativ'!$P$6:$P$405,1,'Istoric_Nativ'!$D$6:$D$405,"&gt;="&amp;L956),IF(H956="AWAY",COUNTIFS('Istoric_Nativ'!$B$6:$B$405,E956,'Istoric_Nativ'!$C$6:$C$405,F956,'Istoric_Nativ'!$F$6:$F$405,G956,'Istoric_Nativ'!$D$6:$D$405,"&lt;"&amp;J956,'Istoric_Nativ'!$P$6:$P$405,1,'Istoric_Nativ'!$D$6:$D$405,"&gt;="&amp;L956),COUNTIFS('Istoric_Nativ'!$B$6:$B$405,E956,'Istoric_Nativ'!$C$6:$C$405,F956,'Istoric_Nativ'!$E$6:$E$405,G956,'Istoric_Nativ'!$D$6:$D$405,"&lt;"&amp;J956,'Istoric_Nativ'!$P$6:$P$405,1,'Istoric_Nativ'!$D$6:$D$405,"&gt;="&amp;L956)+COUNTIFS('Istoric_Nativ'!$B$6:$B$405,E956,'Istoric_Nativ'!$C$6:$C$405,F956,'Istoric_Nativ'!$F$6:$F$405,G956,'Istoric_Nativ'!$D$6:$D$405,"&lt;"&amp;J956,'Istoric_Nativ'!$P$6:$P$405,1,'Istoric_Nativ'!$D$6:$D$405,"&gt;="&amp;L956))))</x:f>
        <x:v>0</x:v>
      </x:c>
      <x:c r="N956" s="11" t="str">
        <x:f>IF(M956=0,"",IF(H956="HOME",SUMIFS('Istoric_Nativ'!$G$6:$G$405,'Istoric_Nativ'!$B$6:$B$405,E956,'Istoric_Nativ'!$C$6:$C$405,F956,'Istoric_Nativ'!$E$6:$E$405,G956,'Istoric_Nativ'!$D$6:$D$405,"&lt;"&amp;J956,'Istoric_Nativ'!$P$6:$P$405,1,'Istoric_Nativ'!$D$6:$D$405,"&gt;="&amp;L956),IF(H956="AWAY",SUMIFS('Istoric_Nativ'!$H$6:$H$405,'Istoric_Nativ'!$B$6:$B$405,E956,'Istoric_Nativ'!$C$6:$C$405,F956,'Istoric_Nativ'!$F$6:$F$405,G956,'Istoric_Nativ'!$D$6:$D$405,"&lt;"&amp;J956,'Istoric_Nativ'!$P$6:$P$405,1,'Istoric_Nativ'!$D$6:$D$405,"&gt;="&amp;L956),SUMIFS('Istoric_Nativ'!$G$6:$G$405,'Istoric_Nativ'!$B$6:$B$405,E956,'Istoric_Nativ'!$C$6:$C$405,F956,'Istoric_Nativ'!$E$6:$E$405,G956,'Istoric_Nativ'!$D$6:$D$405,"&lt;"&amp;J956,'Istoric_Nativ'!$P$6:$P$405,1,'Istoric_Nativ'!$D$6:$D$405,"&gt;="&amp;L956)+SUMIFS('Istoric_Nativ'!$H$6:$H$405,'Istoric_Nativ'!$B$6:$B$405,E956,'Istoric_Nativ'!$C$6:$C$405,F956,'Istoric_Nativ'!$F$6:$F$405,G956,'Istoric_Nativ'!$D$6:$D$405,"&lt;"&amp;J956,'Istoric_Nativ'!$P$6:$P$405,1,'Istoric_Nativ'!$D$6:$D$405,"&gt;="&amp;L956)))/M956)</x:f>
      </x:c>
      <x:c r="O956" s="11" t="str">
        <x:f>IF(M956=0,"",IF(H956="HOME",SUMIFS('Istoric_Nativ'!$H$6:$H$405,'Istoric_Nativ'!$B$6:$B$405,E956,'Istoric_Nativ'!$C$6:$C$405,F956,'Istoric_Nativ'!$E$6:$E$405,G956,'Istoric_Nativ'!$D$6:$D$405,"&lt;"&amp;J956,'Istoric_Nativ'!$P$6:$P$405,1,'Istoric_Nativ'!$D$6:$D$405,"&gt;="&amp;L956),IF(H956="AWAY",SUMIFS('Istoric_Nativ'!$G$6:$G$405,'Istoric_Nativ'!$B$6:$B$405,E956,'Istoric_Nativ'!$C$6:$C$405,F956,'Istoric_Nativ'!$F$6:$F$405,G956,'Istoric_Nativ'!$D$6:$D$405,"&lt;"&amp;J956,'Istoric_Nativ'!$P$6:$P$405,1,'Istoric_Nativ'!$D$6:$D$405,"&gt;="&amp;L956),SUMIFS('Istoric_Nativ'!$H$6:$H$405,'Istoric_Nativ'!$B$6:$B$405,E956,'Istoric_Nativ'!$C$6:$C$405,F956,'Istoric_Nativ'!$E$6:$E$405,G956,'Istoric_Nativ'!$D$6:$D$405,"&lt;"&amp;J956,'Istoric_Nativ'!$P$6:$P$405,1,'Istoric_Nativ'!$D$6:$D$405,"&gt;="&amp;L956)+SUMIFS('Istoric_Nativ'!$G$6:$G$405,'Istoric_Nativ'!$B$6:$B$405,E956,'Istoric_Nativ'!$C$6:$C$405,F956,'Istoric_Nativ'!$F$6:$F$405,G956,'Istoric_Nativ'!$D$6:$D$405,"&lt;"&amp;J956,'Istoric_Nativ'!$P$6:$P$405,1,'Istoric_Nativ'!$D$6:$D$405,"&gt;="&amp;L956)))/M956)</x:f>
      </x:c>
      <x:c r="P956" s="2" t="n">
        <x:f>'Config_v6'!$B$9</x:f>
        <x:v>3</x:v>
      </x:c>
      <x:c r="Q956" s="2" t="n">
        <x:f>IF(OR(B956="",F956=""),0,IFERROR(MATCH(E956&amp;"|"&amp;F956,SourceTable[Source_Key],0),0))</x:f>
        <x:v>0</x:v>
      </x:c>
      <x:c r="R956" s="2" t="str">
        <x:f>IF(B956="","",IF(F956="","UNUSED",IF(Q956=0,"NOT CHECKED",IF(COUNTIF(SourceTable[Source_Key],E956&amp;"|"&amp;F956)&lt;&gt;1,"SOURCE CONFLICT",IF(NOT(OR(INDEX(SourceTable[Status],MAX(1,Q956))="IMPORTED",INDEX(SourceTable[Status],MAX(1,Q956))="PARTIAL",INDEX(SourceTable[Status],MAX(1,Q956))="SOURCE CONFLICT")),"ACCESS BLOCKED",IF(OR(INDEX(SourceTable[Coverage],Q956)&lt;&gt;"FULL SEASON EXPORT",INDEX(SourceTable[URL],Q956)="",INDEX(SourceTable[SHA256],Q956)=""),"EVIDENCE INCOMPLETE",IF(AND('Input_Meci'!H85="LIVE",INDEX(SourceTable[Retrieved_UTC],Q956)&gt;'Input_Meci'!G85),"POST CUTOFF","CLOSED")))))))</x:f>
      </x:c>
      <x:c r="S956" s="2" t="n">
        <x:f>IF(OR(B956="",F956=""),0,COUNTIFS('Istoric_Nativ'!$B$6:$B$405,E956,'Istoric_Nativ'!$C$6:$C$405,F956,'Istoric_Nativ'!$E$6:$E$405,G956,'Istoric_Nativ'!$D$6:$D$405,"&lt;"&amp;J956,'Istoric_Nativ'!$O$6:$O$405,"INVALID")+COUNTIFS('Istoric_Nativ'!$B$6:$B$405,E956,'Istoric_Nativ'!$C$6:$C$405,F956,'Istoric_Nativ'!$E$6:$E$405,G956,'Istoric_Nativ'!$O$6:$O$405,"INVALID",'Istoric_Nativ'!$D$6:$D$405,"*")+COUNTIFS('Istoric_Nativ'!$B$6:$B$405,E956,'Istoric_Nativ'!$C$6:$C$405,F956,'Istoric_Nativ'!$E$6:$E$405,G956,'Istoric_Nativ'!$D$6:$D$405,"&lt;"&amp;J956,'Istoric_Nativ'!$O$6:$O$405,"SOURCE CONFLICT")+COUNTIFS('Istoric_Nativ'!$B$6:$B$405,E956,'Istoric_Nativ'!$C$6:$C$405,F956,'Istoric_Nativ'!$F$6:$F$405,G956,'Istoric_Nativ'!$D$6:$D$405,"&lt;"&amp;J956,'Istoric_Nativ'!$O$6:$O$405,"INVALID")+COUNTIFS('Istoric_Nativ'!$B$6:$B$405,E956,'Istoric_Nativ'!$C$6:$C$405,F956,'Istoric_Nativ'!$F$6:$F$405,G956,'Istoric_Nativ'!$O$6:$O$405,"INVALID",'Istoric_Nativ'!$D$6:$D$405,"*")+COUNTIFS('Istoric_Nativ'!$B$6:$B$405,E956,'Istoric_Nativ'!$C$6:$C$405,F956,'Istoric_Nativ'!$F$6:$F$405,G956,'Istoric_Nativ'!$D$6:$D$405,"&lt;"&amp;J956,'Istoric_Nativ'!$O$6:$O$405,"SOURCE CONFLICT"))</x:f>
        <x:v>0</x:v>
      </x:c>
      <x:c r="T956" s="2" t="str">
        <x:f>IF(B956="","",IF(R956&lt;&gt;"CLOSED",R956,IF(S956&gt;0,"NATIVE INPUT ISSUE",IF(M956=0,"NO HISTORY",IF(M956&lt;P956,"SMALL SAMPLE","DERIVED")))))</x:f>
      </x:c>
      <x:c r="U956" s="2" t="str">
        <x:f>IF(B956="","","NativeTable; "&amp;E956&amp;"; "&amp;F956&amp;"; "&amp;G956&amp;"; "&amp;H956&amp;"; before "&amp;TEXT(J956,"yyyy-mm-dd")&amp;IF(I956="RECENT","; from "&amp;TEXT(L956,"yyyy-mm-dd"),""))</x:f>
      </x:c>
    </x:row>
    <x:row r="957" ht="21" customHeight="1">
      <x:c r="A957" s="2" t="n">
        <x:v>80</x:v>
      </x:c>
      <x:c r="B957" s="2" t="str">
        <x:f>IF('Input_Meci'!A85="","",'Input_Meci'!A85)</x:f>
      </x:c>
      <x:c r="C957" s="2" t="str">
        <x:v>A</x:v>
      </x:c>
      <x:c r="D957" s="2" t="str">
        <x:v>CURRENT</x:v>
      </x:c>
      <x:c r="E957" s="2" t="str">
        <x:f>IF(B957="","",'Input_Meci'!B85)</x:f>
      </x:c>
      <x:c r="F957" s="2" t="str">
        <x:f>IF(B957="","",IF('Input_Meci'!C85="","",'Input_Meci'!C85))</x:f>
      </x:c>
      <x:c r="G957" s="2" t="str">
        <x:f>IF(B957="","",'Input_Meci'!E85)</x:f>
      </x:c>
      <x:c r="H957" s="2" t="str">
        <x:v>ANY</x:v>
      </x:c>
      <x:c r="I957" s="2" t="str">
        <x:v>SEASON</x:v>
      </x:c>
      <x:c r="J957" s="9" t="n">
        <x:f>IF(AND(B957&lt;&gt;"",ISNUMBER('Input_Meci'!G85)),INT('Input_Meci'!G85),0)</x:f>
        <x:v>0</x:v>
      </x:c>
      <x:c r="K957" s="2" t="n">
        <x:f>IF(OR(B957="",F957=""),0,IF(H957="HOME",COUNTIFS('Istoric_Nativ'!$B$6:$B$405,E957,'Istoric_Nativ'!$C$6:$C$405,F957,'Istoric_Nativ'!$E$6:$E$405,G957,'Istoric_Nativ'!$D$6:$D$405,"&lt;"&amp;J957,'Istoric_Nativ'!$P$6:$P$405,1),IF(H957="AWAY",COUNTIFS('Istoric_Nativ'!$B$6:$B$405,E957,'Istoric_Nativ'!$C$6:$C$405,F957,'Istoric_Nativ'!$F$6:$F$405,G957,'Istoric_Nativ'!$D$6:$D$405,"&lt;"&amp;J957,'Istoric_Nativ'!$P$6:$P$405,1),COUNTIFS('Istoric_Nativ'!$B$6:$B$405,E957,'Istoric_Nativ'!$C$6:$C$405,F957,'Istoric_Nativ'!$E$6:$E$405,G957,'Istoric_Nativ'!$D$6:$D$405,"&lt;"&amp;J957,'Istoric_Nativ'!$P$6:$P$405,1)+COUNTIFS('Istoric_Nativ'!$B$6:$B$405,E957,'Istoric_Nativ'!$C$6:$C$405,F957,'Istoric_Nativ'!$F$6:$F$405,G957,'Istoric_Nativ'!$D$6:$D$405,"&lt;"&amp;J957,'Istoric_Nativ'!$P$6:$P$405,1))))</x:f>
        <x:v>0</x:v>
      </x:c>
      <x:c r="L957" s="17" t="n">
        <x:f>IF(AND(B957&lt;&gt;"",I957="RECENT",K957&gt;0),LARGE(_xlfn._xlws.FILTER('Istoric_Nativ'!$D$6:$D$405,('Istoric_Nativ'!$B$6:$B$405=E957)*('Istoric_Nativ'!$C$6:$C$405=F957)*('Istoric_Nativ'!$P$6:$P$405=1)*('Istoric_Nativ'!$D$6:$D$405&lt;J957)*((('Istoric_Nativ'!$E$6:$E$405=G957)+('Istoric_Nativ'!$F$6:$F$405=G957))&gt;0)),MIN('Config_v6'!$B$54,K957)),0)</x:f>
        <x:v>0</x:v>
      </x:c>
      <x:c r="M957" s="2" t="n">
        <x:f>IF(OR(B957="",F957=""),0,IF(H957="HOME",COUNTIFS('Istoric_Nativ'!$B$6:$B$405,E957,'Istoric_Nativ'!$C$6:$C$405,F957,'Istoric_Nativ'!$E$6:$E$405,G957,'Istoric_Nativ'!$D$6:$D$405,"&lt;"&amp;J957,'Istoric_Nativ'!$P$6:$P$405,1,'Istoric_Nativ'!$D$6:$D$405,"&gt;="&amp;L957),IF(H957="AWAY",COUNTIFS('Istoric_Nativ'!$B$6:$B$405,E957,'Istoric_Nativ'!$C$6:$C$405,F957,'Istoric_Nativ'!$F$6:$F$405,G957,'Istoric_Nativ'!$D$6:$D$405,"&lt;"&amp;J957,'Istoric_Nativ'!$P$6:$P$405,1,'Istoric_Nativ'!$D$6:$D$405,"&gt;="&amp;L957),COUNTIFS('Istoric_Nativ'!$B$6:$B$405,E957,'Istoric_Nativ'!$C$6:$C$405,F957,'Istoric_Nativ'!$E$6:$E$405,G957,'Istoric_Nativ'!$D$6:$D$405,"&lt;"&amp;J957,'Istoric_Nativ'!$P$6:$P$405,1,'Istoric_Nativ'!$D$6:$D$405,"&gt;="&amp;L957)+COUNTIFS('Istoric_Nativ'!$B$6:$B$405,E957,'Istoric_Nativ'!$C$6:$C$405,F957,'Istoric_Nativ'!$F$6:$F$405,G957,'Istoric_Nativ'!$D$6:$D$405,"&lt;"&amp;J957,'Istoric_Nativ'!$P$6:$P$405,1,'Istoric_Nativ'!$D$6:$D$405,"&gt;="&amp;L957))))</x:f>
        <x:v>0</x:v>
      </x:c>
      <x:c r="N957" s="11" t="str">
        <x:f>IF(M957=0,"",IF(H957="HOME",SUMIFS('Istoric_Nativ'!$G$6:$G$405,'Istoric_Nativ'!$B$6:$B$405,E957,'Istoric_Nativ'!$C$6:$C$405,F957,'Istoric_Nativ'!$E$6:$E$405,G957,'Istoric_Nativ'!$D$6:$D$405,"&lt;"&amp;J957,'Istoric_Nativ'!$P$6:$P$405,1,'Istoric_Nativ'!$D$6:$D$405,"&gt;="&amp;L957),IF(H957="AWAY",SUMIFS('Istoric_Nativ'!$H$6:$H$405,'Istoric_Nativ'!$B$6:$B$405,E957,'Istoric_Nativ'!$C$6:$C$405,F957,'Istoric_Nativ'!$F$6:$F$405,G957,'Istoric_Nativ'!$D$6:$D$405,"&lt;"&amp;J957,'Istoric_Nativ'!$P$6:$P$405,1,'Istoric_Nativ'!$D$6:$D$405,"&gt;="&amp;L957),SUMIFS('Istoric_Nativ'!$G$6:$G$405,'Istoric_Nativ'!$B$6:$B$405,E957,'Istoric_Nativ'!$C$6:$C$405,F957,'Istoric_Nativ'!$E$6:$E$405,G957,'Istoric_Nativ'!$D$6:$D$405,"&lt;"&amp;J957,'Istoric_Nativ'!$P$6:$P$405,1,'Istoric_Nativ'!$D$6:$D$405,"&gt;="&amp;L957)+SUMIFS('Istoric_Nativ'!$H$6:$H$405,'Istoric_Nativ'!$B$6:$B$405,E957,'Istoric_Nativ'!$C$6:$C$405,F957,'Istoric_Nativ'!$F$6:$F$405,G957,'Istoric_Nativ'!$D$6:$D$405,"&lt;"&amp;J957,'Istoric_Nativ'!$P$6:$P$405,1,'Istoric_Nativ'!$D$6:$D$405,"&gt;="&amp;L957)))/M957)</x:f>
      </x:c>
      <x:c r="O957" s="11" t="str">
        <x:f>IF(M957=0,"",IF(H957="HOME",SUMIFS('Istoric_Nativ'!$H$6:$H$405,'Istoric_Nativ'!$B$6:$B$405,E957,'Istoric_Nativ'!$C$6:$C$405,F957,'Istoric_Nativ'!$E$6:$E$405,G957,'Istoric_Nativ'!$D$6:$D$405,"&lt;"&amp;J957,'Istoric_Nativ'!$P$6:$P$405,1,'Istoric_Nativ'!$D$6:$D$405,"&gt;="&amp;L957),IF(H957="AWAY",SUMIFS('Istoric_Nativ'!$G$6:$G$405,'Istoric_Nativ'!$B$6:$B$405,E957,'Istoric_Nativ'!$C$6:$C$405,F957,'Istoric_Nativ'!$F$6:$F$405,G957,'Istoric_Nativ'!$D$6:$D$405,"&lt;"&amp;J957,'Istoric_Nativ'!$P$6:$P$405,1,'Istoric_Nativ'!$D$6:$D$405,"&gt;="&amp;L957),SUMIFS('Istoric_Nativ'!$H$6:$H$405,'Istoric_Nativ'!$B$6:$B$405,E957,'Istoric_Nativ'!$C$6:$C$405,F957,'Istoric_Nativ'!$E$6:$E$405,G957,'Istoric_Nativ'!$D$6:$D$405,"&lt;"&amp;J957,'Istoric_Nativ'!$P$6:$P$405,1,'Istoric_Nativ'!$D$6:$D$405,"&gt;="&amp;L957)+SUMIFS('Istoric_Nativ'!$G$6:$G$405,'Istoric_Nativ'!$B$6:$B$405,E957,'Istoric_Nativ'!$C$6:$C$405,F957,'Istoric_Nativ'!$F$6:$F$405,G957,'Istoric_Nativ'!$D$6:$D$405,"&lt;"&amp;J957,'Istoric_Nativ'!$P$6:$P$405,1,'Istoric_Nativ'!$D$6:$D$405,"&gt;="&amp;L957)))/M957)</x:f>
      </x:c>
      <x:c r="P957" s="2" t="n">
        <x:f>'Config_v6'!$B$7</x:f>
        <x:v>10</x:v>
      </x:c>
      <x:c r="Q957" s="2" t="n">
        <x:f>IF(OR(B957="",F957=""),0,IFERROR(MATCH(E957&amp;"|"&amp;F957,SourceTable[Source_Key],0),0))</x:f>
        <x:v>0</x:v>
      </x:c>
      <x:c r="R957" s="2" t="str">
        <x:f>IF(B957="","",IF(F957="","UNUSED",IF(Q957=0,"NOT CHECKED",IF(COUNTIF(SourceTable[Source_Key],E957&amp;"|"&amp;F957)&lt;&gt;1,"SOURCE CONFLICT",IF(NOT(OR(INDEX(SourceTable[Status],MAX(1,Q957))="IMPORTED",INDEX(SourceTable[Status],MAX(1,Q957))="PARTIAL",INDEX(SourceTable[Status],MAX(1,Q957))="SOURCE CONFLICT")),"ACCESS BLOCKED",IF(OR(INDEX(SourceTable[Coverage],Q957)&lt;&gt;"FULL SEASON EXPORT",INDEX(SourceTable[URL],Q957)="",INDEX(SourceTable[SHA256],Q957)=""),"EVIDENCE INCOMPLETE",IF(AND('Input_Meci'!H85="LIVE",INDEX(SourceTable[Retrieved_UTC],Q957)&gt;'Input_Meci'!G85),"POST CUTOFF","CLOSED")))))))</x:f>
      </x:c>
      <x:c r="S957" s="2" t="n">
        <x:f>IF(OR(B957="",F957=""),0,COUNTIFS('Istoric_Nativ'!$B$6:$B$405,E957,'Istoric_Nativ'!$C$6:$C$405,F957,'Istoric_Nativ'!$E$6:$E$405,G957,'Istoric_Nativ'!$D$6:$D$405,"&lt;"&amp;J957,'Istoric_Nativ'!$O$6:$O$405,"INVALID")+COUNTIFS('Istoric_Nativ'!$B$6:$B$405,E957,'Istoric_Nativ'!$C$6:$C$405,F957,'Istoric_Nativ'!$E$6:$E$405,G957,'Istoric_Nativ'!$O$6:$O$405,"INVALID",'Istoric_Nativ'!$D$6:$D$405,"*")+COUNTIFS('Istoric_Nativ'!$B$6:$B$405,E957,'Istoric_Nativ'!$C$6:$C$405,F957,'Istoric_Nativ'!$E$6:$E$405,G957,'Istoric_Nativ'!$D$6:$D$405,"&lt;"&amp;J957,'Istoric_Nativ'!$O$6:$O$405,"SOURCE CONFLICT")+COUNTIFS('Istoric_Nativ'!$B$6:$B$405,E957,'Istoric_Nativ'!$C$6:$C$405,F957,'Istoric_Nativ'!$F$6:$F$405,G957,'Istoric_Nativ'!$D$6:$D$405,"&lt;"&amp;J957,'Istoric_Nativ'!$O$6:$O$405,"INVALID")+COUNTIFS('Istoric_Nativ'!$B$6:$B$405,E957,'Istoric_Nativ'!$C$6:$C$405,F957,'Istoric_Nativ'!$F$6:$F$405,G957,'Istoric_Nativ'!$O$6:$O$405,"INVALID",'Istoric_Nativ'!$D$6:$D$405,"*")+COUNTIFS('Istoric_Nativ'!$B$6:$B$405,E957,'Istoric_Nativ'!$C$6:$C$405,F957,'Istoric_Nativ'!$F$6:$F$405,G957,'Istoric_Nativ'!$D$6:$D$405,"&lt;"&amp;J957,'Istoric_Nativ'!$O$6:$O$405,"SOURCE CONFLICT"))</x:f>
        <x:v>0</x:v>
      </x:c>
      <x:c r="T957" s="2" t="str">
        <x:f>IF(B957="","",IF(R957&lt;&gt;"CLOSED",R957,IF(S957&gt;0,"NATIVE INPUT ISSUE",IF(M957=0,"NO HISTORY",IF(M957&lt;P957,"SMALL SAMPLE","DERIVED")))))</x:f>
      </x:c>
      <x:c r="U957" s="2" t="str">
        <x:f>IF(B957="","","NativeTable; "&amp;E957&amp;"; "&amp;F957&amp;"; "&amp;G957&amp;"; "&amp;H957&amp;"; before "&amp;TEXT(J957,"yyyy-mm-dd")&amp;IF(I957="RECENT","; from "&amp;TEXT(L957,"yyyy-mm-dd"),""))</x:f>
      </x:c>
    </x:row>
    <x:row r="958" ht="21" customHeight="1">
      <x:c r="A958" s="2" t="n">
        <x:v>80</x:v>
      </x:c>
      <x:c r="B958" s="2" t="str">
        <x:f>IF('Input_Meci'!A85="","",'Input_Meci'!A85)</x:f>
      </x:c>
      <x:c r="C958" s="2" t="str">
        <x:v>A</x:v>
      </x:c>
      <x:c r="D958" s="2" t="str">
        <x:v>CURRENT</x:v>
      </x:c>
      <x:c r="E958" s="2" t="str">
        <x:f>IF(B958="","",'Input_Meci'!B85)</x:f>
      </x:c>
      <x:c r="F958" s="2" t="str">
        <x:f>IF(B958="","",IF('Input_Meci'!C85="","",'Input_Meci'!C85))</x:f>
      </x:c>
      <x:c r="G958" s="2" t="str">
        <x:f>IF(B958="","",'Input_Meci'!E85)</x:f>
      </x:c>
      <x:c r="H958" s="2" t="str">
        <x:v>AWAY</x:v>
      </x:c>
      <x:c r="I958" s="2" t="str">
        <x:v>HA</x:v>
      </x:c>
      <x:c r="J958" s="9" t="n">
        <x:f>IF(AND(B958&lt;&gt;"",ISNUMBER('Input_Meci'!G85)),INT('Input_Meci'!G85),0)</x:f>
        <x:v>0</x:v>
      </x:c>
      <x:c r="K958" s="2" t="n">
        <x:f>IF(OR(B958="",F958=""),0,IF(H958="HOME",COUNTIFS('Istoric_Nativ'!$B$6:$B$405,E958,'Istoric_Nativ'!$C$6:$C$405,F958,'Istoric_Nativ'!$E$6:$E$405,G958,'Istoric_Nativ'!$D$6:$D$405,"&lt;"&amp;J958,'Istoric_Nativ'!$P$6:$P$405,1),IF(H958="AWAY",COUNTIFS('Istoric_Nativ'!$B$6:$B$405,E958,'Istoric_Nativ'!$C$6:$C$405,F958,'Istoric_Nativ'!$F$6:$F$405,G958,'Istoric_Nativ'!$D$6:$D$405,"&lt;"&amp;J958,'Istoric_Nativ'!$P$6:$P$405,1),COUNTIFS('Istoric_Nativ'!$B$6:$B$405,E958,'Istoric_Nativ'!$C$6:$C$405,F958,'Istoric_Nativ'!$E$6:$E$405,G958,'Istoric_Nativ'!$D$6:$D$405,"&lt;"&amp;J958,'Istoric_Nativ'!$P$6:$P$405,1)+COUNTIFS('Istoric_Nativ'!$B$6:$B$405,E958,'Istoric_Nativ'!$C$6:$C$405,F958,'Istoric_Nativ'!$F$6:$F$405,G958,'Istoric_Nativ'!$D$6:$D$405,"&lt;"&amp;J958,'Istoric_Nativ'!$P$6:$P$405,1))))</x:f>
        <x:v>0</x:v>
      </x:c>
      <x:c r="L958" s="17" t="n">
        <x:f>IF(AND(B958&lt;&gt;"",I958="RECENT",K958&gt;0),LARGE(_xlfn._xlws.FILTER('Istoric_Nativ'!$D$6:$D$405,('Istoric_Nativ'!$B$6:$B$405=E958)*('Istoric_Nativ'!$C$6:$C$405=F958)*('Istoric_Nativ'!$P$6:$P$405=1)*('Istoric_Nativ'!$D$6:$D$405&lt;J958)*((('Istoric_Nativ'!$E$6:$E$405=G958)+('Istoric_Nativ'!$F$6:$F$405=G958))&gt;0)),MIN('Config_v6'!$B$54,K958)),0)</x:f>
        <x:v>0</x:v>
      </x:c>
      <x:c r="M958" s="2" t="n">
        <x:f>IF(OR(B958="",F958=""),0,IF(H958="HOME",COUNTIFS('Istoric_Nativ'!$B$6:$B$405,E958,'Istoric_Nativ'!$C$6:$C$405,F958,'Istoric_Nativ'!$E$6:$E$405,G958,'Istoric_Nativ'!$D$6:$D$405,"&lt;"&amp;J958,'Istoric_Nativ'!$P$6:$P$405,1,'Istoric_Nativ'!$D$6:$D$405,"&gt;="&amp;L958),IF(H958="AWAY",COUNTIFS('Istoric_Nativ'!$B$6:$B$405,E958,'Istoric_Nativ'!$C$6:$C$405,F958,'Istoric_Nativ'!$F$6:$F$405,G958,'Istoric_Nativ'!$D$6:$D$405,"&lt;"&amp;J958,'Istoric_Nativ'!$P$6:$P$405,1,'Istoric_Nativ'!$D$6:$D$405,"&gt;="&amp;L958),COUNTIFS('Istoric_Nativ'!$B$6:$B$405,E958,'Istoric_Nativ'!$C$6:$C$405,F958,'Istoric_Nativ'!$E$6:$E$405,G958,'Istoric_Nativ'!$D$6:$D$405,"&lt;"&amp;J958,'Istoric_Nativ'!$P$6:$P$405,1,'Istoric_Nativ'!$D$6:$D$405,"&gt;="&amp;L958)+COUNTIFS('Istoric_Nativ'!$B$6:$B$405,E958,'Istoric_Nativ'!$C$6:$C$405,F958,'Istoric_Nativ'!$F$6:$F$405,G958,'Istoric_Nativ'!$D$6:$D$405,"&lt;"&amp;J958,'Istoric_Nativ'!$P$6:$P$405,1,'Istoric_Nativ'!$D$6:$D$405,"&gt;="&amp;L958))))</x:f>
        <x:v>0</x:v>
      </x:c>
      <x:c r="N958" s="11" t="str">
        <x:f>IF(M958=0,"",IF(H958="HOME",SUMIFS('Istoric_Nativ'!$G$6:$G$405,'Istoric_Nativ'!$B$6:$B$405,E958,'Istoric_Nativ'!$C$6:$C$405,F958,'Istoric_Nativ'!$E$6:$E$405,G958,'Istoric_Nativ'!$D$6:$D$405,"&lt;"&amp;J958,'Istoric_Nativ'!$P$6:$P$405,1,'Istoric_Nativ'!$D$6:$D$405,"&gt;="&amp;L958),IF(H958="AWAY",SUMIFS('Istoric_Nativ'!$H$6:$H$405,'Istoric_Nativ'!$B$6:$B$405,E958,'Istoric_Nativ'!$C$6:$C$405,F958,'Istoric_Nativ'!$F$6:$F$405,G958,'Istoric_Nativ'!$D$6:$D$405,"&lt;"&amp;J958,'Istoric_Nativ'!$P$6:$P$405,1,'Istoric_Nativ'!$D$6:$D$405,"&gt;="&amp;L958),SUMIFS('Istoric_Nativ'!$G$6:$G$405,'Istoric_Nativ'!$B$6:$B$405,E958,'Istoric_Nativ'!$C$6:$C$405,F958,'Istoric_Nativ'!$E$6:$E$405,G958,'Istoric_Nativ'!$D$6:$D$405,"&lt;"&amp;J958,'Istoric_Nativ'!$P$6:$P$405,1,'Istoric_Nativ'!$D$6:$D$405,"&gt;="&amp;L958)+SUMIFS('Istoric_Nativ'!$H$6:$H$405,'Istoric_Nativ'!$B$6:$B$405,E958,'Istoric_Nativ'!$C$6:$C$405,F958,'Istoric_Nativ'!$F$6:$F$405,G958,'Istoric_Nativ'!$D$6:$D$405,"&lt;"&amp;J958,'Istoric_Nativ'!$P$6:$P$405,1,'Istoric_Nativ'!$D$6:$D$405,"&gt;="&amp;L958)))/M958)</x:f>
      </x:c>
      <x:c r="O958" s="11" t="str">
        <x:f>IF(M958=0,"",IF(H958="HOME",SUMIFS('Istoric_Nativ'!$H$6:$H$405,'Istoric_Nativ'!$B$6:$B$405,E958,'Istoric_Nativ'!$C$6:$C$405,F958,'Istoric_Nativ'!$E$6:$E$405,G958,'Istoric_Nativ'!$D$6:$D$405,"&lt;"&amp;J958,'Istoric_Nativ'!$P$6:$P$405,1,'Istoric_Nativ'!$D$6:$D$405,"&gt;="&amp;L958),IF(H958="AWAY",SUMIFS('Istoric_Nativ'!$G$6:$G$405,'Istoric_Nativ'!$B$6:$B$405,E958,'Istoric_Nativ'!$C$6:$C$405,F958,'Istoric_Nativ'!$F$6:$F$405,G958,'Istoric_Nativ'!$D$6:$D$405,"&lt;"&amp;J958,'Istoric_Nativ'!$P$6:$P$405,1,'Istoric_Nativ'!$D$6:$D$405,"&gt;="&amp;L958),SUMIFS('Istoric_Nativ'!$H$6:$H$405,'Istoric_Nativ'!$B$6:$B$405,E958,'Istoric_Nativ'!$C$6:$C$405,F958,'Istoric_Nativ'!$E$6:$E$405,G958,'Istoric_Nativ'!$D$6:$D$405,"&lt;"&amp;J958,'Istoric_Nativ'!$P$6:$P$405,1,'Istoric_Nativ'!$D$6:$D$405,"&gt;="&amp;L958)+SUMIFS('Istoric_Nativ'!$G$6:$G$405,'Istoric_Nativ'!$B$6:$B$405,E958,'Istoric_Nativ'!$C$6:$C$405,F958,'Istoric_Nativ'!$F$6:$F$405,G958,'Istoric_Nativ'!$D$6:$D$405,"&lt;"&amp;J958,'Istoric_Nativ'!$P$6:$P$405,1,'Istoric_Nativ'!$D$6:$D$405,"&gt;="&amp;L958)))/M958)</x:f>
      </x:c>
      <x:c r="P958" s="2" t="n">
        <x:f>'Config_v6'!$B$8</x:f>
        <x:v>5</x:v>
      </x:c>
      <x:c r="Q958" s="2" t="n">
        <x:f>IF(OR(B958="",F958=""),0,IFERROR(MATCH(E958&amp;"|"&amp;F958,SourceTable[Source_Key],0),0))</x:f>
        <x:v>0</x:v>
      </x:c>
      <x:c r="R958" s="2" t="str">
        <x:f>IF(B958="","",IF(F958="","UNUSED",IF(Q958=0,"NOT CHECKED",IF(COUNTIF(SourceTable[Source_Key],E958&amp;"|"&amp;F958)&lt;&gt;1,"SOURCE CONFLICT",IF(NOT(OR(INDEX(SourceTable[Status],MAX(1,Q958))="IMPORTED",INDEX(SourceTable[Status],MAX(1,Q958))="PARTIAL",INDEX(SourceTable[Status],MAX(1,Q958))="SOURCE CONFLICT")),"ACCESS BLOCKED",IF(OR(INDEX(SourceTable[Coverage],Q958)&lt;&gt;"FULL SEASON EXPORT",INDEX(SourceTable[URL],Q958)="",INDEX(SourceTable[SHA256],Q958)=""),"EVIDENCE INCOMPLETE",IF(AND('Input_Meci'!H85="LIVE",INDEX(SourceTable[Retrieved_UTC],Q958)&gt;'Input_Meci'!G85),"POST CUTOFF","CLOSED")))))))</x:f>
      </x:c>
      <x:c r="S958" s="2" t="n">
        <x:f>IF(OR(B958="",F958=""),0,COUNTIFS('Istoric_Nativ'!$B$6:$B$405,E958,'Istoric_Nativ'!$C$6:$C$405,F958,'Istoric_Nativ'!$E$6:$E$405,G958,'Istoric_Nativ'!$D$6:$D$405,"&lt;"&amp;J958,'Istoric_Nativ'!$O$6:$O$405,"INVALID")+COUNTIFS('Istoric_Nativ'!$B$6:$B$405,E958,'Istoric_Nativ'!$C$6:$C$405,F958,'Istoric_Nativ'!$E$6:$E$405,G958,'Istoric_Nativ'!$O$6:$O$405,"INVALID",'Istoric_Nativ'!$D$6:$D$405,"*")+COUNTIFS('Istoric_Nativ'!$B$6:$B$405,E958,'Istoric_Nativ'!$C$6:$C$405,F958,'Istoric_Nativ'!$E$6:$E$405,G958,'Istoric_Nativ'!$D$6:$D$405,"&lt;"&amp;J958,'Istoric_Nativ'!$O$6:$O$405,"SOURCE CONFLICT")+COUNTIFS('Istoric_Nativ'!$B$6:$B$405,E958,'Istoric_Nativ'!$C$6:$C$405,F958,'Istoric_Nativ'!$F$6:$F$405,G958,'Istoric_Nativ'!$D$6:$D$405,"&lt;"&amp;J958,'Istoric_Nativ'!$O$6:$O$405,"INVALID")+COUNTIFS('Istoric_Nativ'!$B$6:$B$405,E958,'Istoric_Nativ'!$C$6:$C$405,F958,'Istoric_Nativ'!$F$6:$F$405,G958,'Istoric_Nativ'!$O$6:$O$405,"INVALID",'Istoric_Nativ'!$D$6:$D$405,"*")+COUNTIFS('Istoric_Nativ'!$B$6:$B$405,E958,'Istoric_Nativ'!$C$6:$C$405,F958,'Istoric_Nativ'!$F$6:$F$405,G958,'Istoric_Nativ'!$D$6:$D$405,"&lt;"&amp;J958,'Istoric_Nativ'!$O$6:$O$405,"SOURCE CONFLICT"))</x:f>
        <x:v>0</x:v>
      </x:c>
      <x:c r="T958" s="2" t="str">
        <x:f>IF(B958="","",IF(R958&lt;&gt;"CLOSED",R958,IF(S958&gt;0,"NATIVE INPUT ISSUE",IF(M958=0,"NO HISTORY",IF(M958&lt;P958,"SMALL SAMPLE","DERIVED")))))</x:f>
      </x:c>
      <x:c r="U958" s="2" t="str">
        <x:f>IF(B958="","","NativeTable; "&amp;E958&amp;"; "&amp;F958&amp;"; "&amp;G958&amp;"; "&amp;H958&amp;"; before "&amp;TEXT(J958,"yyyy-mm-dd")&amp;IF(I958="RECENT","; from "&amp;TEXT(L958,"yyyy-mm-dd"),""))</x:f>
      </x:c>
    </x:row>
    <x:row r="959" ht="21" customHeight="1">
      <x:c r="A959" s="2" t="n">
        <x:v>80</x:v>
      </x:c>
      <x:c r="B959" s="2" t="str">
        <x:f>IF('Input_Meci'!A85="","",'Input_Meci'!A85)</x:f>
      </x:c>
      <x:c r="C959" s="2" t="str">
        <x:v>A</x:v>
      </x:c>
      <x:c r="D959" s="2" t="str">
        <x:v>CURRENT</x:v>
      </x:c>
      <x:c r="E959" s="2" t="str">
        <x:f>IF(B959="","",'Input_Meci'!B85)</x:f>
      </x:c>
      <x:c r="F959" s="2" t="str">
        <x:f>IF(B959="","",IF('Input_Meci'!C85="","",'Input_Meci'!C85))</x:f>
      </x:c>
      <x:c r="G959" s="2" t="str">
        <x:f>IF(B959="","",'Input_Meci'!E85)</x:f>
      </x:c>
      <x:c r="H959" s="2" t="str">
        <x:v>ANY</x:v>
      </x:c>
      <x:c r="I959" s="2" t="str">
        <x:v>RECENT</x:v>
      </x:c>
      <x:c r="J959" s="9" t="n">
        <x:f>IF(AND(B959&lt;&gt;"",ISNUMBER('Input_Meci'!G85)),INT('Input_Meci'!G85),0)</x:f>
        <x:v>0</x:v>
      </x:c>
      <x:c r="K959" s="2" t="n">
        <x:f>IF(OR(B959="",F959=""),0,IF(H959="HOME",COUNTIFS('Istoric_Nativ'!$B$6:$B$405,E959,'Istoric_Nativ'!$C$6:$C$405,F959,'Istoric_Nativ'!$E$6:$E$405,G959,'Istoric_Nativ'!$D$6:$D$405,"&lt;"&amp;J959,'Istoric_Nativ'!$P$6:$P$405,1),IF(H959="AWAY",COUNTIFS('Istoric_Nativ'!$B$6:$B$405,E959,'Istoric_Nativ'!$C$6:$C$405,F959,'Istoric_Nativ'!$F$6:$F$405,G959,'Istoric_Nativ'!$D$6:$D$405,"&lt;"&amp;J959,'Istoric_Nativ'!$P$6:$P$405,1),COUNTIFS('Istoric_Nativ'!$B$6:$B$405,E959,'Istoric_Nativ'!$C$6:$C$405,F959,'Istoric_Nativ'!$E$6:$E$405,G959,'Istoric_Nativ'!$D$6:$D$405,"&lt;"&amp;J959,'Istoric_Nativ'!$P$6:$P$405,1)+COUNTIFS('Istoric_Nativ'!$B$6:$B$405,E959,'Istoric_Nativ'!$C$6:$C$405,F959,'Istoric_Nativ'!$F$6:$F$405,G959,'Istoric_Nativ'!$D$6:$D$405,"&lt;"&amp;J959,'Istoric_Nativ'!$P$6:$P$405,1))))</x:f>
        <x:v>0</x:v>
      </x:c>
      <x:c r="L959" s="17" t="n">
        <x:f>IF(AND(B959&lt;&gt;"",I959="RECENT",K959&gt;0),LARGE(_xlfn._xlws.FILTER('Istoric_Nativ'!$D$6:$D$405,('Istoric_Nativ'!$B$6:$B$405=E959)*('Istoric_Nativ'!$C$6:$C$405=F959)*('Istoric_Nativ'!$P$6:$P$405=1)*('Istoric_Nativ'!$D$6:$D$405&lt;J959)*((('Istoric_Nativ'!$E$6:$E$405=G959)+('Istoric_Nativ'!$F$6:$F$405=G959))&gt;0)),MIN('Config_v6'!$B$54,K959)),0)</x:f>
        <x:v>0</x:v>
      </x:c>
      <x:c r="M959" s="2" t="n">
        <x:f>IF(OR(B959="",F959=""),0,IF(H959="HOME",COUNTIFS('Istoric_Nativ'!$B$6:$B$405,E959,'Istoric_Nativ'!$C$6:$C$405,F959,'Istoric_Nativ'!$E$6:$E$405,G959,'Istoric_Nativ'!$D$6:$D$405,"&lt;"&amp;J959,'Istoric_Nativ'!$P$6:$P$405,1,'Istoric_Nativ'!$D$6:$D$405,"&gt;="&amp;L959),IF(H959="AWAY",COUNTIFS('Istoric_Nativ'!$B$6:$B$405,E959,'Istoric_Nativ'!$C$6:$C$405,F959,'Istoric_Nativ'!$F$6:$F$405,G959,'Istoric_Nativ'!$D$6:$D$405,"&lt;"&amp;J959,'Istoric_Nativ'!$P$6:$P$405,1,'Istoric_Nativ'!$D$6:$D$405,"&gt;="&amp;L959),COUNTIFS('Istoric_Nativ'!$B$6:$B$405,E959,'Istoric_Nativ'!$C$6:$C$405,F959,'Istoric_Nativ'!$E$6:$E$405,G959,'Istoric_Nativ'!$D$6:$D$405,"&lt;"&amp;J959,'Istoric_Nativ'!$P$6:$P$405,1,'Istoric_Nativ'!$D$6:$D$405,"&gt;="&amp;L959)+COUNTIFS('Istoric_Nativ'!$B$6:$B$405,E959,'Istoric_Nativ'!$C$6:$C$405,F959,'Istoric_Nativ'!$F$6:$F$405,G959,'Istoric_Nativ'!$D$6:$D$405,"&lt;"&amp;J959,'Istoric_Nativ'!$P$6:$P$405,1,'Istoric_Nativ'!$D$6:$D$405,"&gt;="&amp;L959))))</x:f>
        <x:v>0</x:v>
      </x:c>
      <x:c r="N959" s="11" t="str">
        <x:f>IF(M959=0,"",IF(H959="HOME",SUMIFS('Istoric_Nativ'!$G$6:$G$405,'Istoric_Nativ'!$B$6:$B$405,E959,'Istoric_Nativ'!$C$6:$C$405,F959,'Istoric_Nativ'!$E$6:$E$405,G959,'Istoric_Nativ'!$D$6:$D$405,"&lt;"&amp;J959,'Istoric_Nativ'!$P$6:$P$405,1,'Istoric_Nativ'!$D$6:$D$405,"&gt;="&amp;L959),IF(H959="AWAY",SUMIFS('Istoric_Nativ'!$H$6:$H$405,'Istoric_Nativ'!$B$6:$B$405,E959,'Istoric_Nativ'!$C$6:$C$405,F959,'Istoric_Nativ'!$F$6:$F$405,G959,'Istoric_Nativ'!$D$6:$D$405,"&lt;"&amp;J959,'Istoric_Nativ'!$P$6:$P$405,1,'Istoric_Nativ'!$D$6:$D$405,"&gt;="&amp;L959),SUMIFS('Istoric_Nativ'!$G$6:$G$405,'Istoric_Nativ'!$B$6:$B$405,E959,'Istoric_Nativ'!$C$6:$C$405,F959,'Istoric_Nativ'!$E$6:$E$405,G959,'Istoric_Nativ'!$D$6:$D$405,"&lt;"&amp;J959,'Istoric_Nativ'!$P$6:$P$405,1,'Istoric_Nativ'!$D$6:$D$405,"&gt;="&amp;L959)+SUMIFS('Istoric_Nativ'!$H$6:$H$405,'Istoric_Nativ'!$B$6:$B$405,E959,'Istoric_Nativ'!$C$6:$C$405,F959,'Istoric_Nativ'!$F$6:$F$405,G959,'Istoric_Nativ'!$D$6:$D$405,"&lt;"&amp;J959,'Istoric_Nativ'!$P$6:$P$405,1,'Istoric_Nativ'!$D$6:$D$405,"&gt;="&amp;L959)))/M959)</x:f>
      </x:c>
      <x:c r="O959" s="11" t="str">
        <x:f>IF(M959=0,"",IF(H959="HOME",SUMIFS('Istoric_Nativ'!$H$6:$H$405,'Istoric_Nativ'!$B$6:$B$405,E959,'Istoric_Nativ'!$C$6:$C$405,F959,'Istoric_Nativ'!$E$6:$E$405,G959,'Istoric_Nativ'!$D$6:$D$405,"&lt;"&amp;J959,'Istoric_Nativ'!$P$6:$P$405,1,'Istoric_Nativ'!$D$6:$D$405,"&gt;="&amp;L959),IF(H959="AWAY",SUMIFS('Istoric_Nativ'!$G$6:$G$405,'Istoric_Nativ'!$B$6:$B$405,E959,'Istoric_Nativ'!$C$6:$C$405,F959,'Istoric_Nativ'!$F$6:$F$405,G959,'Istoric_Nativ'!$D$6:$D$405,"&lt;"&amp;J959,'Istoric_Nativ'!$P$6:$P$405,1,'Istoric_Nativ'!$D$6:$D$405,"&gt;="&amp;L959),SUMIFS('Istoric_Nativ'!$H$6:$H$405,'Istoric_Nativ'!$B$6:$B$405,E959,'Istoric_Nativ'!$C$6:$C$405,F959,'Istoric_Nativ'!$E$6:$E$405,G959,'Istoric_Nativ'!$D$6:$D$405,"&lt;"&amp;J959,'Istoric_Nativ'!$P$6:$P$405,1,'Istoric_Nativ'!$D$6:$D$405,"&gt;="&amp;L959)+SUMIFS('Istoric_Nativ'!$G$6:$G$405,'Istoric_Nativ'!$B$6:$B$405,E959,'Istoric_Nativ'!$C$6:$C$405,F959,'Istoric_Nativ'!$F$6:$F$405,G959,'Istoric_Nativ'!$D$6:$D$405,"&lt;"&amp;J959,'Istoric_Nativ'!$P$6:$P$405,1,'Istoric_Nativ'!$D$6:$D$405,"&gt;="&amp;L959)))/M959)</x:f>
      </x:c>
      <x:c r="P959" s="2" t="n">
        <x:f>'Config_v6'!$B$9</x:f>
        <x:v>3</x:v>
      </x:c>
      <x:c r="Q959" s="2" t="n">
        <x:f>IF(OR(B959="",F959=""),0,IFERROR(MATCH(E959&amp;"|"&amp;F959,SourceTable[Source_Key],0),0))</x:f>
        <x:v>0</x:v>
      </x:c>
      <x:c r="R959" s="2" t="str">
        <x:f>IF(B959="","",IF(F959="","UNUSED",IF(Q959=0,"NOT CHECKED",IF(COUNTIF(SourceTable[Source_Key],E959&amp;"|"&amp;F959)&lt;&gt;1,"SOURCE CONFLICT",IF(NOT(OR(INDEX(SourceTable[Status],MAX(1,Q959))="IMPORTED",INDEX(SourceTable[Status],MAX(1,Q959))="PARTIAL",INDEX(SourceTable[Status],MAX(1,Q959))="SOURCE CONFLICT")),"ACCESS BLOCKED",IF(OR(INDEX(SourceTable[Coverage],Q959)&lt;&gt;"FULL SEASON EXPORT",INDEX(SourceTable[URL],Q959)="",INDEX(SourceTable[SHA256],Q959)=""),"EVIDENCE INCOMPLETE",IF(AND('Input_Meci'!H85="LIVE",INDEX(SourceTable[Retrieved_UTC],Q959)&gt;'Input_Meci'!G85),"POST CUTOFF","CLOSED")))))))</x:f>
      </x:c>
      <x:c r="S959" s="2" t="n">
        <x:f>IF(OR(B959="",F959=""),0,COUNTIFS('Istoric_Nativ'!$B$6:$B$405,E959,'Istoric_Nativ'!$C$6:$C$405,F959,'Istoric_Nativ'!$E$6:$E$405,G959,'Istoric_Nativ'!$D$6:$D$405,"&lt;"&amp;J959,'Istoric_Nativ'!$O$6:$O$405,"INVALID")+COUNTIFS('Istoric_Nativ'!$B$6:$B$405,E959,'Istoric_Nativ'!$C$6:$C$405,F959,'Istoric_Nativ'!$E$6:$E$405,G959,'Istoric_Nativ'!$O$6:$O$405,"INVALID",'Istoric_Nativ'!$D$6:$D$405,"*")+COUNTIFS('Istoric_Nativ'!$B$6:$B$405,E959,'Istoric_Nativ'!$C$6:$C$405,F959,'Istoric_Nativ'!$E$6:$E$405,G959,'Istoric_Nativ'!$D$6:$D$405,"&lt;"&amp;J959,'Istoric_Nativ'!$O$6:$O$405,"SOURCE CONFLICT")+COUNTIFS('Istoric_Nativ'!$B$6:$B$405,E959,'Istoric_Nativ'!$C$6:$C$405,F959,'Istoric_Nativ'!$F$6:$F$405,G959,'Istoric_Nativ'!$D$6:$D$405,"&lt;"&amp;J959,'Istoric_Nativ'!$O$6:$O$405,"INVALID")+COUNTIFS('Istoric_Nativ'!$B$6:$B$405,E959,'Istoric_Nativ'!$C$6:$C$405,F959,'Istoric_Nativ'!$F$6:$F$405,G959,'Istoric_Nativ'!$O$6:$O$405,"INVALID",'Istoric_Nativ'!$D$6:$D$405,"*")+COUNTIFS('Istoric_Nativ'!$B$6:$B$405,E959,'Istoric_Nativ'!$C$6:$C$405,F959,'Istoric_Nativ'!$F$6:$F$405,G959,'Istoric_Nativ'!$D$6:$D$405,"&lt;"&amp;J959,'Istoric_Nativ'!$O$6:$O$405,"SOURCE CONFLICT"))</x:f>
        <x:v>0</x:v>
      </x:c>
      <x:c r="T959" s="2" t="str">
        <x:f>IF(B959="","",IF(R959&lt;&gt;"CLOSED",R959,IF(S959&gt;0,"NATIVE INPUT ISSUE",IF(M959=0,"NO HISTORY",IF(M959&lt;P959,"SMALL SAMPLE","DERIVED")))))</x:f>
      </x:c>
      <x:c r="U959" s="2" t="str">
        <x:f>IF(B959="","","NativeTable; "&amp;E959&amp;"; "&amp;F959&amp;"; "&amp;G959&amp;"; "&amp;H959&amp;"; before "&amp;TEXT(J959,"yyyy-mm-dd")&amp;IF(I959="RECENT","; from "&amp;TEXT(L959,"yyyy-mm-dd"),""))</x:f>
      </x:c>
    </x:row>
    <x:row r="960" ht="21" customHeight="1">
      <x:c r="A960" s="2" t="n">
        <x:v>80</x:v>
      </x:c>
      <x:c r="B960" s="2" t="str">
        <x:f>IF('Input_Meci'!A85="","",'Input_Meci'!A85)</x:f>
      </x:c>
      <x:c r="C960" s="2" t="str">
        <x:v>H</x:v>
      </x:c>
      <x:c r="D960" s="2" t="str">
        <x:v>PRIOR</x:v>
      </x:c>
      <x:c r="E960" s="2" t="str">
        <x:f>IF(B960="","",'Input_Meci'!B85)</x:f>
      </x:c>
      <x:c r="F960" s="2" t="str">
        <x:f>IF(B960="","",IF('Input_Meci'!K85="","",'Input_Meci'!K85))</x:f>
      </x:c>
      <x:c r="G960" s="2" t="str">
        <x:f>IF(B960="","",'Input_Meci'!D85)</x:f>
      </x:c>
      <x:c r="H960" s="2" t="str">
        <x:v>ANY</x:v>
      </x:c>
      <x:c r="I960" s="2" t="str">
        <x:v>SEASON</x:v>
      </x:c>
      <x:c r="J960" s="9" t="n">
        <x:f>IF(AND(B960&lt;&gt;"",ISNUMBER('Input_Meci'!G85)),INT('Input_Meci'!G85),0)</x:f>
        <x:v>0</x:v>
      </x:c>
      <x:c r="K960" s="2" t="n">
        <x:f>IF(OR(B960="",F960=""),0,IF(H960="HOME",COUNTIFS('Istoric_Nativ'!$B$6:$B$405,E960,'Istoric_Nativ'!$C$6:$C$405,F960,'Istoric_Nativ'!$E$6:$E$405,G960,'Istoric_Nativ'!$D$6:$D$405,"&lt;"&amp;J960,'Istoric_Nativ'!$P$6:$P$405,1),IF(H960="AWAY",COUNTIFS('Istoric_Nativ'!$B$6:$B$405,E960,'Istoric_Nativ'!$C$6:$C$405,F960,'Istoric_Nativ'!$F$6:$F$405,G960,'Istoric_Nativ'!$D$6:$D$405,"&lt;"&amp;J960,'Istoric_Nativ'!$P$6:$P$405,1),COUNTIFS('Istoric_Nativ'!$B$6:$B$405,E960,'Istoric_Nativ'!$C$6:$C$405,F960,'Istoric_Nativ'!$E$6:$E$405,G960,'Istoric_Nativ'!$D$6:$D$405,"&lt;"&amp;J960,'Istoric_Nativ'!$P$6:$P$405,1)+COUNTIFS('Istoric_Nativ'!$B$6:$B$405,E960,'Istoric_Nativ'!$C$6:$C$405,F960,'Istoric_Nativ'!$F$6:$F$405,G960,'Istoric_Nativ'!$D$6:$D$405,"&lt;"&amp;J960,'Istoric_Nativ'!$P$6:$P$405,1))))</x:f>
        <x:v>0</x:v>
      </x:c>
      <x:c r="L960" s="17" t="n">
        <x:f>IF(AND(B960&lt;&gt;"",I960="RECENT",K960&gt;0),LARGE(_xlfn._xlws.FILTER('Istoric_Nativ'!$D$6:$D$405,('Istoric_Nativ'!$B$6:$B$405=E960)*('Istoric_Nativ'!$C$6:$C$405=F960)*('Istoric_Nativ'!$P$6:$P$405=1)*('Istoric_Nativ'!$D$6:$D$405&lt;J960)*((('Istoric_Nativ'!$E$6:$E$405=G960)+('Istoric_Nativ'!$F$6:$F$405=G960))&gt;0)),MIN('Config_v6'!$B$54,K960)),0)</x:f>
        <x:v>0</x:v>
      </x:c>
      <x:c r="M960" s="2" t="n">
        <x:f>IF(OR(B960="",F960=""),0,IF(H960="HOME",COUNTIFS('Istoric_Nativ'!$B$6:$B$405,E960,'Istoric_Nativ'!$C$6:$C$405,F960,'Istoric_Nativ'!$E$6:$E$405,G960,'Istoric_Nativ'!$D$6:$D$405,"&lt;"&amp;J960,'Istoric_Nativ'!$P$6:$P$405,1,'Istoric_Nativ'!$D$6:$D$405,"&gt;="&amp;L960),IF(H960="AWAY",COUNTIFS('Istoric_Nativ'!$B$6:$B$405,E960,'Istoric_Nativ'!$C$6:$C$405,F960,'Istoric_Nativ'!$F$6:$F$405,G960,'Istoric_Nativ'!$D$6:$D$405,"&lt;"&amp;J960,'Istoric_Nativ'!$P$6:$P$405,1,'Istoric_Nativ'!$D$6:$D$405,"&gt;="&amp;L960),COUNTIFS('Istoric_Nativ'!$B$6:$B$405,E960,'Istoric_Nativ'!$C$6:$C$405,F960,'Istoric_Nativ'!$E$6:$E$405,G960,'Istoric_Nativ'!$D$6:$D$405,"&lt;"&amp;J960,'Istoric_Nativ'!$P$6:$P$405,1,'Istoric_Nativ'!$D$6:$D$405,"&gt;="&amp;L960)+COUNTIFS('Istoric_Nativ'!$B$6:$B$405,E960,'Istoric_Nativ'!$C$6:$C$405,F960,'Istoric_Nativ'!$F$6:$F$405,G960,'Istoric_Nativ'!$D$6:$D$405,"&lt;"&amp;J960,'Istoric_Nativ'!$P$6:$P$405,1,'Istoric_Nativ'!$D$6:$D$405,"&gt;="&amp;L960))))</x:f>
        <x:v>0</x:v>
      </x:c>
      <x:c r="N960" s="11" t="str">
        <x:f>IF(M960=0,"",IF(H960="HOME",SUMIFS('Istoric_Nativ'!$G$6:$G$405,'Istoric_Nativ'!$B$6:$B$405,E960,'Istoric_Nativ'!$C$6:$C$405,F960,'Istoric_Nativ'!$E$6:$E$405,G960,'Istoric_Nativ'!$D$6:$D$405,"&lt;"&amp;J960,'Istoric_Nativ'!$P$6:$P$405,1,'Istoric_Nativ'!$D$6:$D$405,"&gt;="&amp;L960),IF(H960="AWAY",SUMIFS('Istoric_Nativ'!$H$6:$H$405,'Istoric_Nativ'!$B$6:$B$405,E960,'Istoric_Nativ'!$C$6:$C$405,F960,'Istoric_Nativ'!$F$6:$F$405,G960,'Istoric_Nativ'!$D$6:$D$405,"&lt;"&amp;J960,'Istoric_Nativ'!$P$6:$P$405,1,'Istoric_Nativ'!$D$6:$D$405,"&gt;="&amp;L960),SUMIFS('Istoric_Nativ'!$G$6:$G$405,'Istoric_Nativ'!$B$6:$B$405,E960,'Istoric_Nativ'!$C$6:$C$405,F960,'Istoric_Nativ'!$E$6:$E$405,G960,'Istoric_Nativ'!$D$6:$D$405,"&lt;"&amp;J960,'Istoric_Nativ'!$P$6:$P$405,1,'Istoric_Nativ'!$D$6:$D$405,"&gt;="&amp;L960)+SUMIFS('Istoric_Nativ'!$H$6:$H$405,'Istoric_Nativ'!$B$6:$B$405,E960,'Istoric_Nativ'!$C$6:$C$405,F960,'Istoric_Nativ'!$F$6:$F$405,G960,'Istoric_Nativ'!$D$6:$D$405,"&lt;"&amp;J960,'Istoric_Nativ'!$P$6:$P$405,1,'Istoric_Nativ'!$D$6:$D$405,"&gt;="&amp;L960)))/M960)</x:f>
      </x:c>
      <x:c r="O960" s="11" t="str">
        <x:f>IF(M960=0,"",IF(H960="HOME",SUMIFS('Istoric_Nativ'!$H$6:$H$405,'Istoric_Nativ'!$B$6:$B$405,E960,'Istoric_Nativ'!$C$6:$C$405,F960,'Istoric_Nativ'!$E$6:$E$405,G960,'Istoric_Nativ'!$D$6:$D$405,"&lt;"&amp;J960,'Istoric_Nativ'!$P$6:$P$405,1,'Istoric_Nativ'!$D$6:$D$405,"&gt;="&amp;L960),IF(H960="AWAY",SUMIFS('Istoric_Nativ'!$G$6:$G$405,'Istoric_Nativ'!$B$6:$B$405,E960,'Istoric_Nativ'!$C$6:$C$405,F960,'Istoric_Nativ'!$F$6:$F$405,G960,'Istoric_Nativ'!$D$6:$D$405,"&lt;"&amp;J960,'Istoric_Nativ'!$P$6:$P$405,1,'Istoric_Nativ'!$D$6:$D$405,"&gt;="&amp;L960),SUMIFS('Istoric_Nativ'!$H$6:$H$405,'Istoric_Nativ'!$B$6:$B$405,E960,'Istoric_Nativ'!$C$6:$C$405,F960,'Istoric_Nativ'!$E$6:$E$405,G960,'Istoric_Nativ'!$D$6:$D$405,"&lt;"&amp;J960,'Istoric_Nativ'!$P$6:$P$405,1,'Istoric_Nativ'!$D$6:$D$405,"&gt;="&amp;L960)+SUMIFS('Istoric_Nativ'!$G$6:$G$405,'Istoric_Nativ'!$B$6:$B$405,E960,'Istoric_Nativ'!$C$6:$C$405,F960,'Istoric_Nativ'!$F$6:$F$405,G960,'Istoric_Nativ'!$D$6:$D$405,"&lt;"&amp;J960,'Istoric_Nativ'!$P$6:$P$405,1,'Istoric_Nativ'!$D$6:$D$405,"&gt;="&amp;L960)))/M960)</x:f>
      </x:c>
      <x:c r="P960" s="2" t="n">
        <x:f>'Config_v6'!$B$7</x:f>
        <x:v>10</x:v>
      </x:c>
      <x:c r="Q960" s="2" t="n">
        <x:f>IF(OR(B960="",F960=""),0,IFERROR(MATCH(E960&amp;"|"&amp;F960,SourceTable[Source_Key],0),0))</x:f>
        <x:v>0</x:v>
      </x:c>
      <x:c r="R960" s="2" t="str">
        <x:f>IF(B960="","",IF(F960="","UNUSED",IF(Q960=0,"NOT CHECKED",IF(COUNTIF(SourceTable[Source_Key],E960&amp;"|"&amp;F960)&lt;&gt;1,"SOURCE CONFLICT",IF(NOT(OR(INDEX(SourceTable[Status],MAX(1,Q960))="IMPORTED",INDEX(SourceTable[Status],MAX(1,Q960))="PARTIAL",INDEX(SourceTable[Status],MAX(1,Q960))="SOURCE CONFLICT")),"ACCESS BLOCKED",IF(OR(INDEX(SourceTable[Coverage],Q960)&lt;&gt;"FULL SEASON EXPORT",INDEX(SourceTable[URL],Q960)="",INDEX(SourceTable[SHA256],Q960)=""),"EVIDENCE INCOMPLETE",IF(AND('Input_Meci'!H85="LIVE",INDEX(SourceTable[Retrieved_UTC],Q960)&gt;'Input_Meci'!G85),"POST CUTOFF","CLOSED")))))))</x:f>
      </x:c>
      <x:c r="S960" s="2" t="n">
        <x:f>IF(OR(B960="",F960=""),0,COUNTIFS('Istoric_Nativ'!$B$6:$B$405,E960,'Istoric_Nativ'!$C$6:$C$405,F960,'Istoric_Nativ'!$E$6:$E$405,G960,'Istoric_Nativ'!$D$6:$D$405,"&lt;"&amp;J960,'Istoric_Nativ'!$O$6:$O$405,"INVALID")+COUNTIFS('Istoric_Nativ'!$B$6:$B$405,E960,'Istoric_Nativ'!$C$6:$C$405,F960,'Istoric_Nativ'!$E$6:$E$405,G960,'Istoric_Nativ'!$O$6:$O$405,"INVALID",'Istoric_Nativ'!$D$6:$D$405,"*")+COUNTIFS('Istoric_Nativ'!$B$6:$B$405,E960,'Istoric_Nativ'!$C$6:$C$405,F960,'Istoric_Nativ'!$E$6:$E$405,G960,'Istoric_Nativ'!$D$6:$D$405,"&lt;"&amp;J960,'Istoric_Nativ'!$O$6:$O$405,"SOURCE CONFLICT")+COUNTIFS('Istoric_Nativ'!$B$6:$B$405,E960,'Istoric_Nativ'!$C$6:$C$405,F960,'Istoric_Nativ'!$F$6:$F$405,G960,'Istoric_Nativ'!$D$6:$D$405,"&lt;"&amp;J960,'Istoric_Nativ'!$O$6:$O$405,"INVALID")+COUNTIFS('Istoric_Nativ'!$B$6:$B$405,E960,'Istoric_Nativ'!$C$6:$C$405,F960,'Istoric_Nativ'!$F$6:$F$405,G960,'Istoric_Nativ'!$O$6:$O$405,"INVALID",'Istoric_Nativ'!$D$6:$D$405,"*")+COUNTIFS('Istoric_Nativ'!$B$6:$B$405,E960,'Istoric_Nativ'!$C$6:$C$405,F960,'Istoric_Nativ'!$F$6:$F$405,G960,'Istoric_Nativ'!$D$6:$D$405,"&lt;"&amp;J960,'Istoric_Nativ'!$O$6:$O$405,"SOURCE CONFLICT"))</x:f>
        <x:v>0</x:v>
      </x:c>
      <x:c r="T960" s="2" t="str">
        <x:f>IF(B960="","",IF(R960&lt;&gt;"CLOSED",R960,IF(S960&gt;0,"NATIVE INPUT ISSUE",IF(M960=0,"NO HISTORY",IF(M960&lt;P960,"SMALL SAMPLE","DERIVED")))))</x:f>
      </x:c>
      <x:c r="U960" s="2" t="str">
        <x:f>IF(B960="","","NativeTable; "&amp;E960&amp;"; "&amp;F960&amp;"; "&amp;G960&amp;"; "&amp;H960&amp;"; before "&amp;TEXT(J960,"yyyy-mm-dd")&amp;IF(I960="RECENT","; from "&amp;TEXT(L960,"yyyy-mm-dd"),""))</x:f>
      </x:c>
    </x:row>
    <x:row r="961" ht="21" customHeight="1">
      <x:c r="A961" s="2" t="n">
        <x:v>80</x:v>
      </x:c>
      <x:c r="B961" s="2" t="str">
        <x:f>IF('Input_Meci'!A85="","",'Input_Meci'!A85)</x:f>
      </x:c>
      <x:c r="C961" s="2" t="str">
        <x:v>H</x:v>
      </x:c>
      <x:c r="D961" s="2" t="str">
        <x:v>PRIOR</x:v>
      </x:c>
      <x:c r="E961" s="2" t="str">
        <x:f>IF(B961="","",'Input_Meci'!B85)</x:f>
      </x:c>
      <x:c r="F961" s="2" t="str">
        <x:f>IF(B961="","",IF('Input_Meci'!K85="","",'Input_Meci'!K85))</x:f>
      </x:c>
      <x:c r="G961" s="2" t="str">
        <x:f>IF(B961="","",'Input_Meci'!D85)</x:f>
      </x:c>
      <x:c r="H961" s="2" t="str">
        <x:v>HOME</x:v>
      </x:c>
      <x:c r="I961" s="2" t="str">
        <x:v>HA</x:v>
      </x:c>
      <x:c r="J961" s="9" t="n">
        <x:f>IF(AND(B961&lt;&gt;"",ISNUMBER('Input_Meci'!G85)),INT('Input_Meci'!G85),0)</x:f>
        <x:v>0</x:v>
      </x:c>
      <x:c r="K961" s="2" t="n">
        <x:f>IF(OR(B961="",F961=""),0,IF(H961="HOME",COUNTIFS('Istoric_Nativ'!$B$6:$B$405,E961,'Istoric_Nativ'!$C$6:$C$405,F961,'Istoric_Nativ'!$E$6:$E$405,G961,'Istoric_Nativ'!$D$6:$D$405,"&lt;"&amp;J961,'Istoric_Nativ'!$P$6:$P$405,1),IF(H961="AWAY",COUNTIFS('Istoric_Nativ'!$B$6:$B$405,E961,'Istoric_Nativ'!$C$6:$C$405,F961,'Istoric_Nativ'!$F$6:$F$405,G961,'Istoric_Nativ'!$D$6:$D$405,"&lt;"&amp;J961,'Istoric_Nativ'!$P$6:$P$405,1),COUNTIFS('Istoric_Nativ'!$B$6:$B$405,E961,'Istoric_Nativ'!$C$6:$C$405,F961,'Istoric_Nativ'!$E$6:$E$405,G961,'Istoric_Nativ'!$D$6:$D$405,"&lt;"&amp;J961,'Istoric_Nativ'!$P$6:$P$405,1)+COUNTIFS('Istoric_Nativ'!$B$6:$B$405,E961,'Istoric_Nativ'!$C$6:$C$405,F961,'Istoric_Nativ'!$F$6:$F$405,G961,'Istoric_Nativ'!$D$6:$D$405,"&lt;"&amp;J961,'Istoric_Nativ'!$P$6:$P$405,1))))</x:f>
        <x:v>0</x:v>
      </x:c>
      <x:c r="L961" s="17" t="n">
        <x:f>IF(AND(B961&lt;&gt;"",I961="RECENT",K961&gt;0),LARGE(_xlfn._xlws.FILTER('Istoric_Nativ'!$D$6:$D$405,('Istoric_Nativ'!$B$6:$B$405=E961)*('Istoric_Nativ'!$C$6:$C$405=F961)*('Istoric_Nativ'!$P$6:$P$405=1)*('Istoric_Nativ'!$D$6:$D$405&lt;J961)*((('Istoric_Nativ'!$E$6:$E$405=G961)+('Istoric_Nativ'!$F$6:$F$405=G961))&gt;0)),MIN('Config_v6'!$B$54,K961)),0)</x:f>
        <x:v>0</x:v>
      </x:c>
      <x:c r="M961" s="2" t="n">
        <x:f>IF(OR(B961="",F961=""),0,IF(H961="HOME",COUNTIFS('Istoric_Nativ'!$B$6:$B$405,E961,'Istoric_Nativ'!$C$6:$C$405,F961,'Istoric_Nativ'!$E$6:$E$405,G961,'Istoric_Nativ'!$D$6:$D$405,"&lt;"&amp;J961,'Istoric_Nativ'!$P$6:$P$405,1,'Istoric_Nativ'!$D$6:$D$405,"&gt;="&amp;L961),IF(H961="AWAY",COUNTIFS('Istoric_Nativ'!$B$6:$B$405,E961,'Istoric_Nativ'!$C$6:$C$405,F961,'Istoric_Nativ'!$F$6:$F$405,G961,'Istoric_Nativ'!$D$6:$D$405,"&lt;"&amp;J961,'Istoric_Nativ'!$P$6:$P$405,1,'Istoric_Nativ'!$D$6:$D$405,"&gt;="&amp;L961),COUNTIFS('Istoric_Nativ'!$B$6:$B$405,E961,'Istoric_Nativ'!$C$6:$C$405,F961,'Istoric_Nativ'!$E$6:$E$405,G961,'Istoric_Nativ'!$D$6:$D$405,"&lt;"&amp;J961,'Istoric_Nativ'!$P$6:$P$405,1,'Istoric_Nativ'!$D$6:$D$405,"&gt;="&amp;L961)+COUNTIFS('Istoric_Nativ'!$B$6:$B$405,E961,'Istoric_Nativ'!$C$6:$C$405,F961,'Istoric_Nativ'!$F$6:$F$405,G961,'Istoric_Nativ'!$D$6:$D$405,"&lt;"&amp;J961,'Istoric_Nativ'!$P$6:$P$405,1,'Istoric_Nativ'!$D$6:$D$405,"&gt;="&amp;L961))))</x:f>
        <x:v>0</x:v>
      </x:c>
      <x:c r="N961" s="11" t="str">
        <x:f>IF(M961=0,"",IF(H961="HOME",SUMIFS('Istoric_Nativ'!$G$6:$G$405,'Istoric_Nativ'!$B$6:$B$405,E961,'Istoric_Nativ'!$C$6:$C$405,F961,'Istoric_Nativ'!$E$6:$E$405,G961,'Istoric_Nativ'!$D$6:$D$405,"&lt;"&amp;J961,'Istoric_Nativ'!$P$6:$P$405,1,'Istoric_Nativ'!$D$6:$D$405,"&gt;="&amp;L961),IF(H961="AWAY",SUMIFS('Istoric_Nativ'!$H$6:$H$405,'Istoric_Nativ'!$B$6:$B$405,E961,'Istoric_Nativ'!$C$6:$C$405,F961,'Istoric_Nativ'!$F$6:$F$405,G961,'Istoric_Nativ'!$D$6:$D$405,"&lt;"&amp;J961,'Istoric_Nativ'!$P$6:$P$405,1,'Istoric_Nativ'!$D$6:$D$405,"&gt;="&amp;L961),SUMIFS('Istoric_Nativ'!$G$6:$G$405,'Istoric_Nativ'!$B$6:$B$405,E961,'Istoric_Nativ'!$C$6:$C$405,F961,'Istoric_Nativ'!$E$6:$E$405,G961,'Istoric_Nativ'!$D$6:$D$405,"&lt;"&amp;J961,'Istoric_Nativ'!$P$6:$P$405,1,'Istoric_Nativ'!$D$6:$D$405,"&gt;="&amp;L961)+SUMIFS('Istoric_Nativ'!$H$6:$H$405,'Istoric_Nativ'!$B$6:$B$405,E961,'Istoric_Nativ'!$C$6:$C$405,F961,'Istoric_Nativ'!$F$6:$F$405,G961,'Istoric_Nativ'!$D$6:$D$405,"&lt;"&amp;J961,'Istoric_Nativ'!$P$6:$P$405,1,'Istoric_Nativ'!$D$6:$D$405,"&gt;="&amp;L961)))/M961)</x:f>
      </x:c>
      <x:c r="O961" s="11" t="str">
        <x:f>IF(M961=0,"",IF(H961="HOME",SUMIFS('Istoric_Nativ'!$H$6:$H$405,'Istoric_Nativ'!$B$6:$B$405,E961,'Istoric_Nativ'!$C$6:$C$405,F961,'Istoric_Nativ'!$E$6:$E$405,G961,'Istoric_Nativ'!$D$6:$D$405,"&lt;"&amp;J961,'Istoric_Nativ'!$P$6:$P$405,1,'Istoric_Nativ'!$D$6:$D$405,"&gt;="&amp;L961),IF(H961="AWAY",SUMIFS('Istoric_Nativ'!$G$6:$G$405,'Istoric_Nativ'!$B$6:$B$405,E961,'Istoric_Nativ'!$C$6:$C$405,F961,'Istoric_Nativ'!$F$6:$F$405,G961,'Istoric_Nativ'!$D$6:$D$405,"&lt;"&amp;J961,'Istoric_Nativ'!$P$6:$P$405,1,'Istoric_Nativ'!$D$6:$D$405,"&gt;="&amp;L961),SUMIFS('Istoric_Nativ'!$H$6:$H$405,'Istoric_Nativ'!$B$6:$B$405,E961,'Istoric_Nativ'!$C$6:$C$405,F961,'Istoric_Nativ'!$E$6:$E$405,G961,'Istoric_Nativ'!$D$6:$D$405,"&lt;"&amp;J961,'Istoric_Nativ'!$P$6:$P$405,1,'Istoric_Nativ'!$D$6:$D$405,"&gt;="&amp;L961)+SUMIFS('Istoric_Nativ'!$G$6:$G$405,'Istoric_Nativ'!$B$6:$B$405,E961,'Istoric_Nativ'!$C$6:$C$405,F961,'Istoric_Nativ'!$F$6:$F$405,G961,'Istoric_Nativ'!$D$6:$D$405,"&lt;"&amp;J961,'Istoric_Nativ'!$P$6:$P$405,1,'Istoric_Nativ'!$D$6:$D$405,"&gt;="&amp;L961)))/M961)</x:f>
      </x:c>
      <x:c r="P961" s="2" t="n">
        <x:f>'Config_v6'!$B$8</x:f>
        <x:v>5</x:v>
      </x:c>
      <x:c r="Q961" s="2" t="n">
        <x:f>IF(OR(B961="",F961=""),0,IFERROR(MATCH(E961&amp;"|"&amp;F961,SourceTable[Source_Key],0),0))</x:f>
        <x:v>0</x:v>
      </x:c>
      <x:c r="R961" s="2" t="str">
        <x:f>IF(B961="","",IF(F961="","UNUSED",IF(Q961=0,"NOT CHECKED",IF(COUNTIF(SourceTable[Source_Key],E961&amp;"|"&amp;F961)&lt;&gt;1,"SOURCE CONFLICT",IF(NOT(OR(INDEX(SourceTable[Status],MAX(1,Q961))="IMPORTED",INDEX(SourceTable[Status],MAX(1,Q961))="PARTIAL",INDEX(SourceTable[Status],MAX(1,Q961))="SOURCE CONFLICT")),"ACCESS BLOCKED",IF(OR(INDEX(SourceTable[Coverage],Q961)&lt;&gt;"FULL SEASON EXPORT",INDEX(SourceTable[URL],Q961)="",INDEX(SourceTable[SHA256],Q961)=""),"EVIDENCE INCOMPLETE",IF(AND('Input_Meci'!H85="LIVE",INDEX(SourceTable[Retrieved_UTC],Q961)&gt;'Input_Meci'!G85),"POST CUTOFF","CLOSED")))))))</x:f>
      </x:c>
      <x:c r="S961" s="2" t="n">
        <x:f>IF(OR(B961="",F961=""),0,COUNTIFS('Istoric_Nativ'!$B$6:$B$405,E961,'Istoric_Nativ'!$C$6:$C$405,F961,'Istoric_Nativ'!$E$6:$E$405,G961,'Istoric_Nativ'!$D$6:$D$405,"&lt;"&amp;J961,'Istoric_Nativ'!$O$6:$O$405,"INVALID")+COUNTIFS('Istoric_Nativ'!$B$6:$B$405,E961,'Istoric_Nativ'!$C$6:$C$405,F961,'Istoric_Nativ'!$E$6:$E$405,G961,'Istoric_Nativ'!$O$6:$O$405,"INVALID",'Istoric_Nativ'!$D$6:$D$405,"*")+COUNTIFS('Istoric_Nativ'!$B$6:$B$405,E961,'Istoric_Nativ'!$C$6:$C$405,F961,'Istoric_Nativ'!$E$6:$E$405,G961,'Istoric_Nativ'!$D$6:$D$405,"&lt;"&amp;J961,'Istoric_Nativ'!$O$6:$O$405,"SOURCE CONFLICT")+COUNTIFS('Istoric_Nativ'!$B$6:$B$405,E961,'Istoric_Nativ'!$C$6:$C$405,F961,'Istoric_Nativ'!$F$6:$F$405,G961,'Istoric_Nativ'!$D$6:$D$405,"&lt;"&amp;J961,'Istoric_Nativ'!$O$6:$O$405,"INVALID")+COUNTIFS('Istoric_Nativ'!$B$6:$B$405,E961,'Istoric_Nativ'!$C$6:$C$405,F961,'Istoric_Nativ'!$F$6:$F$405,G961,'Istoric_Nativ'!$O$6:$O$405,"INVALID",'Istoric_Nativ'!$D$6:$D$405,"*")+COUNTIFS('Istoric_Nativ'!$B$6:$B$405,E961,'Istoric_Nativ'!$C$6:$C$405,F961,'Istoric_Nativ'!$F$6:$F$405,G961,'Istoric_Nativ'!$D$6:$D$405,"&lt;"&amp;J961,'Istoric_Nativ'!$O$6:$O$405,"SOURCE CONFLICT"))</x:f>
        <x:v>0</x:v>
      </x:c>
      <x:c r="T961" s="2" t="str">
        <x:f>IF(B961="","",IF(R961&lt;&gt;"CLOSED",R961,IF(S961&gt;0,"NATIVE INPUT ISSUE",IF(M961=0,"NO HISTORY",IF(M961&lt;P961,"SMALL SAMPLE","DERIVED")))))</x:f>
      </x:c>
      <x:c r="U961" s="2" t="str">
        <x:f>IF(B961="","","NativeTable; "&amp;E961&amp;"; "&amp;F961&amp;"; "&amp;G961&amp;"; "&amp;H961&amp;"; before "&amp;TEXT(J961,"yyyy-mm-dd")&amp;IF(I961="RECENT","; from "&amp;TEXT(L961,"yyyy-mm-dd"),""))</x:f>
      </x:c>
    </x:row>
    <x:row r="962" ht="21" customHeight="1">
      <x:c r="A962" s="2" t="n">
        <x:v>80</x:v>
      </x:c>
      <x:c r="B962" s="2" t="str">
        <x:f>IF('Input_Meci'!A85="","",'Input_Meci'!A85)</x:f>
      </x:c>
      <x:c r="C962" s="2" t="str">
        <x:v>H</x:v>
      </x:c>
      <x:c r="D962" s="2" t="str">
        <x:v>PRIOR</x:v>
      </x:c>
      <x:c r="E962" s="2" t="str">
        <x:f>IF(B962="","",'Input_Meci'!B85)</x:f>
      </x:c>
      <x:c r="F962" s="2" t="str">
        <x:f>IF(B962="","",IF('Input_Meci'!K85="","",'Input_Meci'!K85))</x:f>
      </x:c>
      <x:c r="G962" s="2" t="str">
        <x:f>IF(B962="","",'Input_Meci'!D85)</x:f>
      </x:c>
      <x:c r="H962" s="2" t="str">
        <x:v>ANY</x:v>
      </x:c>
      <x:c r="I962" s="2" t="str">
        <x:v>RECENT</x:v>
      </x:c>
      <x:c r="J962" s="9" t="n">
        <x:f>IF(AND(B962&lt;&gt;"",ISNUMBER('Input_Meci'!G85)),INT('Input_Meci'!G85),0)</x:f>
        <x:v>0</x:v>
      </x:c>
      <x:c r="K962" s="2" t="n">
        <x:f>IF(OR(B962="",F962=""),0,IF(H962="HOME",COUNTIFS('Istoric_Nativ'!$B$6:$B$405,E962,'Istoric_Nativ'!$C$6:$C$405,F962,'Istoric_Nativ'!$E$6:$E$405,G962,'Istoric_Nativ'!$D$6:$D$405,"&lt;"&amp;J962,'Istoric_Nativ'!$P$6:$P$405,1),IF(H962="AWAY",COUNTIFS('Istoric_Nativ'!$B$6:$B$405,E962,'Istoric_Nativ'!$C$6:$C$405,F962,'Istoric_Nativ'!$F$6:$F$405,G962,'Istoric_Nativ'!$D$6:$D$405,"&lt;"&amp;J962,'Istoric_Nativ'!$P$6:$P$405,1),COUNTIFS('Istoric_Nativ'!$B$6:$B$405,E962,'Istoric_Nativ'!$C$6:$C$405,F962,'Istoric_Nativ'!$E$6:$E$405,G962,'Istoric_Nativ'!$D$6:$D$405,"&lt;"&amp;J962,'Istoric_Nativ'!$P$6:$P$405,1)+COUNTIFS('Istoric_Nativ'!$B$6:$B$405,E962,'Istoric_Nativ'!$C$6:$C$405,F962,'Istoric_Nativ'!$F$6:$F$405,G962,'Istoric_Nativ'!$D$6:$D$405,"&lt;"&amp;J962,'Istoric_Nativ'!$P$6:$P$405,1))))</x:f>
        <x:v>0</x:v>
      </x:c>
      <x:c r="L962" s="17" t="n">
        <x:f>IF(AND(B962&lt;&gt;"",I962="RECENT",K962&gt;0),LARGE(_xlfn._xlws.FILTER('Istoric_Nativ'!$D$6:$D$405,('Istoric_Nativ'!$B$6:$B$405=E962)*('Istoric_Nativ'!$C$6:$C$405=F962)*('Istoric_Nativ'!$P$6:$P$405=1)*('Istoric_Nativ'!$D$6:$D$405&lt;J962)*((('Istoric_Nativ'!$E$6:$E$405=G962)+('Istoric_Nativ'!$F$6:$F$405=G962))&gt;0)),MIN('Config_v6'!$B$54,K962)),0)</x:f>
        <x:v>0</x:v>
      </x:c>
      <x:c r="M962" s="2" t="n">
        <x:f>IF(OR(B962="",F962=""),0,IF(H962="HOME",COUNTIFS('Istoric_Nativ'!$B$6:$B$405,E962,'Istoric_Nativ'!$C$6:$C$405,F962,'Istoric_Nativ'!$E$6:$E$405,G962,'Istoric_Nativ'!$D$6:$D$405,"&lt;"&amp;J962,'Istoric_Nativ'!$P$6:$P$405,1,'Istoric_Nativ'!$D$6:$D$405,"&gt;="&amp;L962),IF(H962="AWAY",COUNTIFS('Istoric_Nativ'!$B$6:$B$405,E962,'Istoric_Nativ'!$C$6:$C$405,F962,'Istoric_Nativ'!$F$6:$F$405,G962,'Istoric_Nativ'!$D$6:$D$405,"&lt;"&amp;J962,'Istoric_Nativ'!$P$6:$P$405,1,'Istoric_Nativ'!$D$6:$D$405,"&gt;="&amp;L962),COUNTIFS('Istoric_Nativ'!$B$6:$B$405,E962,'Istoric_Nativ'!$C$6:$C$405,F962,'Istoric_Nativ'!$E$6:$E$405,G962,'Istoric_Nativ'!$D$6:$D$405,"&lt;"&amp;J962,'Istoric_Nativ'!$P$6:$P$405,1,'Istoric_Nativ'!$D$6:$D$405,"&gt;="&amp;L962)+COUNTIFS('Istoric_Nativ'!$B$6:$B$405,E962,'Istoric_Nativ'!$C$6:$C$405,F962,'Istoric_Nativ'!$F$6:$F$405,G962,'Istoric_Nativ'!$D$6:$D$405,"&lt;"&amp;J962,'Istoric_Nativ'!$P$6:$P$405,1,'Istoric_Nativ'!$D$6:$D$405,"&gt;="&amp;L962))))</x:f>
        <x:v>0</x:v>
      </x:c>
      <x:c r="N962" s="11" t="str">
        <x:f>IF(M962=0,"",IF(H962="HOME",SUMIFS('Istoric_Nativ'!$G$6:$G$405,'Istoric_Nativ'!$B$6:$B$405,E962,'Istoric_Nativ'!$C$6:$C$405,F962,'Istoric_Nativ'!$E$6:$E$405,G962,'Istoric_Nativ'!$D$6:$D$405,"&lt;"&amp;J962,'Istoric_Nativ'!$P$6:$P$405,1,'Istoric_Nativ'!$D$6:$D$405,"&gt;="&amp;L962),IF(H962="AWAY",SUMIFS('Istoric_Nativ'!$H$6:$H$405,'Istoric_Nativ'!$B$6:$B$405,E962,'Istoric_Nativ'!$C$6:$C$405,F962,'Istoric_Nativ'!$F$6:$F$405,G962,'Istoric_Nativ'!$D$6:$D$405,"&lt;"&amp;J962,'Istoric_Nativ'!$P$6:$P$405,1,'Istoric_Nativ'!$D$6:$D$405,"&gt;="&amp;L962),SUMIFS('Istoric_Nativ'!$G$6:$G$405,'Istoric_Nativ'!$B$6:$B$405,E962,'Istoric_Nativ'!$C$6:$C$405,F962,'Istoric_Nativ'!$E$6:$E$405,G962,'Istoric_Nativ'!$D$6:$D$405,"&lt;"&amp;J962,'Istoric_Nativ'!$P$6:$P$405,1,'Istoric_Nativ'!$D$6:$D$405,"&gt;="&amp;L962)+SUMIFS('Istoric_Nativ'!$H$6:$H$405,'Istoric_Nativ'!$B$6:$B$405,E962,'Istoric_Nativ'!$C$6:$C$405,F962,'Istoric_Nativ'!$F$6:$F$405,G962,'Istoric_Nativ'!$D$6:$D$405,"&lt;"&amp;J962,'Istoric_Nativ'!$P$6:$P$405,1,'Istoric_Nativ'!$D$6:$D$405,"&gt;="&amp;L962)))/M962)</x:f>
      </x:c>
      <x:c r="O962" s="11" t="str">
        <x:f>IF(M962=0,"",IF(H962="HOME",SUMIFS('Istoric_Nativ'!$H$6:$H$405,'Istoric_Nativ'!$B$6:$B$405,E962,'Istoric_Nativ'!$C$6:$C$405,F962,'Istoric_Nativ'!$E$6:$E$405,G962,'Istoric_Nativ'!$D$6:$D$405,"&lt;"&amp;J962,'Istoric_Nativ'!$P$6:$P$405,1,'Istoric_Nativ'!$D$6:$D$405,"&gt;="&amp;L962),IF(H962="AWAY",SUMIFS('Istoric_Nativ'!$G$6:$G$405,'Istoric_Nativ'!$B$6:$B$405,E962,'Istoric_Nativ'!$C$6:$C$405,F962,'Istoric_Nativ'!$F$6:$F$405,G962,'Istoric_Nativ'!$D$6:$D$405,"&lt;"&amp;J962,'Istoric_Nativ'!$P$6:$P$405,1,'Istoric_Nativ'!$D$6:$D$405,"&gt;="&amp;L962),SUMIFS('Istoric_Nativ'!$H$6:$H$405,'Istoric_Nativ'!$B$6:$B$405,E962,'Istoric_Nativ'!$C$6:$C$405,F962,'Istoric_Nativ'!$E$6:$E$405,G962,'Istoric_Nativ'!$D$6:$D$405,"&lt;"&amp;J962,'Istoric_Nativ'!$P$6:$P$405,1,'Istoric_Nativ'!$D$6:$D$405,"&gt;="&amp;L962)+SUMIFS('Istoric_Nativ'!$G$6:$G$405,'Istoric_Nativ'!$B$6:$B$405,E962,'Istoric_Nativ'!$C$6:$C$405,F962,'Istoric_Nativ'!$F$6:$F$405,G962,'Istoric_Nativ'!$D$6:$D$405,"&lt;"&amp;J962,'Istoric_Nativ'!$P$6:$P$405,1,'Istoric_Nativ'!$D$6:$D$405,"&gt;="&amp;L962)))/M962)</x:f>
      </x:c>
      <x:c r="P962" s="2" t="n">
        <x:f>'Config_v6'!$B$9</x:f>
        <x:v>3</x:v>
      </x:c>
      <x:c r="Q962" s="2" t="n">
        <x:f>IF(OR(B962="",F962=""),0,IFERROR(MATCH(E962&amp;"|"&amp;F962,SourceTable[Source_Key],0),0))</x:f>
        <x:v>0</x:v>
      </x:c>
      <x:c r="R962" s="2" t="str">
        <x:f>IF(B962="","",IF(F962="","UNUSED",IF(Q962=0,"NOT CHECKED",IF(COUNTIF(SourceTable[Source_Key],E962&amp;"|"&amp;F962)&lt;&gt;1,"SOURCE CONFLICT",IF(NOT(OR(INDEX(SourceTable[Status],MAX(1,Q962))="IMPORTED",INDEX(SourceTable[Status],MAX(1,Q962))="PARTIAL",INDEX(SourceTable[Status],MAX(1,Q962))="SOURCE CONFLICT")),"ACCESS BLOCKED",IF(OR(INDEX(SourceTable[Coverage],Q962)&lt;&gt;"FULL SEASON EXPORT",INDEX(SourceTable[URL],Q962)="",INDEX(SourceTable[SHA256],Q962)=""),"EVIDENCE INCOMPLETE",IF(AND('Input_Meci'!H85="LIVE",INDEX(SourceTable[Retrieved_UTC],Q962)&gt;'Input_Meci'!G85),"POST CUTOFF","CLOSED")))))))</x:f>
      </x:c>
      <x:c r="S962" s="2" t="n">
        <x:f>IF(OR(B962="",F962=""),0,COUNTIFS('Istoric_Nativ'!$B$6:$B$405,E962,'Istoric_Nativ'!$C$6:$C$405,F962,'Istoric_Nativ'!$E$6:$E$405,G962,'Istoric_Nativ'!$D$6:$D$405,"&lt;"&amp;J962,'Istoric_Nativ'!$O$6:$O$405,"INVALID")+COUNTIFS('Istoric_Nativ'!$B$6:$B$405,E962,'Istoric_Nativ'!$C$6:$C$405,F962,'Istoric_Nativ'!$E$6:$E$405,G962,'Istoric_Nativ'!$O$6:$O$405,"INVALID",'Istoric_Nativ'!$D$6:$D$405,"*")+COUNTIFS('Istoric_Nativ'!$B$6:$B$405,E962,'Istoric_Nativ'!$C$6:$C$405,F962,'Istoric_Nativ'!$E$6:$E$405,G962,'Istoric_Nativ'!$D$6:$D$405,"&lt;"&amp;J962,'Istoric_Nativ'!$O$6:$O$405,"SOURCE CONFLICT")+COUNTIFS('Istoric_Nativ'!$B$6:$B$405,E962,'Istoric_Nativ'!$C$6:$C$405,F962,'Istoric_Nativ'!$F$6:$F$405,G962,'Istoric_Nativ'!$D$6:$D$405,"&lt;"&amp;J962,'Istoric_Nativ'!$O$6:$O$405,"INVALID")+COUNTIFS('Istoric_Nativ'!$B$6:$B$405,E962,'Istoric_Nativ'!$C$6:$C$405,F962,'Istoric_Nativ'!$F$6:$F$405,G962,'Istoric_Nativ'!$O$6:$O$405,"INVALID",'Istoric_Nativ'!$D$6:$D$405,"*")+COUNTIFS('Istoric_Nativ'!$B$6:$B$405,E962,'Istoric_Nativ'!$C$6:$C$405,F962,'Istoric_Nativ'!$F$6:$F$405,G962,'Istoric_Nativ'!$D$6:$D$405,"&lt;"&amp;J962,'Istoric_Nativ'!$O$6:$O$405,"SOURCE CONFLICT"))</x:f>
        <x:v>0</x:v>
      </x:c>
      <x:c r="T962" s="2" t="str">
        <x:f>IF(B962="","",IF(R962&lt;&gt;"CLOSED",R962,IF(S962&gt;0,"NATIVE INPUT ISSUE",IF(M962=0,"NO HISTORY",IF(M962&lt;P962,"SMALL SAMPLE","DERIVED")))))</x:f>
      </x:c>
      <x:c r="U962" s="2" t="str">
        <x:f>IF(B962="","","NativeTable; "&amp;E962&amp;"; "&amp;F962&amp;"; "&amp;G962&amp;"; "&amp;H962&amp;"; before "&amp;TEXT(J962,"yyyy-mm-dd")&amp;IF(I962="RECENT","; from "&amp;TEXT(L962,"yyyy-mm-dd"),""))</x:f>
      </x:c>
    </x:row>
    <x:row r="963" ht="21" customHeight="1">
      <x:c r="A963" s="2" t="n">
        <x:v>80</x:v>
      </x:c>
      <x:c r="B963" s="2" t="str">
        <x:f>IF('Input_Meci'!A85="","",'Input_Meci'!A85)</x:f>
      </x:c>
      <x:c r="C963" s="2" t="str">
        <x:v>A</x:v>
      </x:c>
      <x:c r="D963" s="2" t="str">
        <x:v>PRIOR</x:v>
      </x:c>
      <x:c r="E963" s="2" t="str">
        <x:f>IF(B963="","",'Input_Meci'!B85)</x:f>
      </x:c>
      <x:c r="F963" s="2" t="str">
        <x:f>IF(B963="","",IF('Input_Meci'!K85="","",'Input_Meci'!K85))</x:f>
      </x:c>
      <x:c r="G963" s="2" t="str">
        <x:f>IF(B963="","",'Input_Meci'!E85)</x:f>
      </x:c>
      <x:c r="H963" s="2" t="str">
        <x:v>ANY</x:v>
      </x:c>
      <x:c r="I963" s="2" t="str">
        <x:v>SEASON</x:v>
      </x:c>
      <x:c r="J963" s="9" t="n">
        <x:f>IF(AND(B963&lt;&gt;"",ISNUMBER('Input_Meci'!G85)),INT('Input_Meci'!G85),0)</x:f>
        <x:v>0</x:v>
      </x:c>
      <x:c r="K963" s="2" t="n">
        <x:f>IF(OR(B963="",F963=""),0,IF(H963="HOME",COUNTIFS('Istoric_Nativ'!$B$6:$B$405,E963,'Istoric_Nativ'!$C$6:$C$405,F963,'Istoric_Nativ'!$E$6:$E$405,G963,'Istoric_Nativ'!$D$6:$D$405,"&lt;"&amp;J963,'Istoric_Nativ'!$P$6:$P$405,1),IF(H963="AWAY",COUNTIFS('Istoric_Nativ'!$B$6:$B$405,E963,'Istoric_Nativ'!$C$6:$C$405,F963,'Istoric_Nativ'!$F$6:$F$405,G963,'Istoric_Nativ'!$D$6:$D$405,"&lt;"&amp;J963,'Istoric_Nativ'!$P$6:$P$405,1),COUNTIFS('Istoric_Nativ'!$B$6:$B$405,E963,'Istoric_Nativ'!$C$6:$C$405,F963,'Istoric_Nativ'!$E$6:$E$405,G963,'Istoric_Nativ'!$D$6:$D$405,"&lt;"&amp;J963,'Istoric_Nativ'!$P$6:$P$405,1)+COUNTIFS('Istoric_Nativ'!$B$6:$B$405,E963,'Istoric_Nativ'!$C$6:$C$405,F963,'Istoric_Nativ'!$F$6:$F$405,G963,'Istoric_Nativ'!$D$6:$D$405,"&lt;"&amp;J963,'Istoric_Nativ'!$P$6:$P$405,1))))</x:f>
        <x:v>0</x:v>
      </x:c>
      <x:c r="L963" s="17" t="n">
        <x:f>IF(AND(B963&lt;&gt;"",I963="RECENT",K963&gt;0),LARGE(_xlfn._xlws.FILTER('Istoric_Nativ'!$D$6:$D$405,('Istoric_Nativ'!$B$6:$B$405=E963)*('Istoric_Nativ'!$C$6:$C$405=F963)*('Istoric_Nativ'!$P$6:$P$405=1)*('Istoric_Nativ'!$D$6:$D$405&lt;J963)*((('Istoric_Nativ'!$E$6:$E$405=G963)+('Istoric_Nativ'!$F$6:$F$405=G963))&gt;0)),MIN('Config_v6'!$B$54,K963)),0)</x:f>
        <x:v>0</x:v>
      </x:c>
      <x:c r="M963" s="2" t="n">
        <x:f>IF(OR(B963="",F963=""),0,IF(H963="HOME",COUNTIFS('Istoric_Nativ'!$B$6:$B$405,E963,'Istoric_Nativ'!$C$6:$C$405,F963,'Istoric_Nativ'!$E$6:$E$405,G963,'Istoric_Nativ'!$D$6:$D$405,"&lt;"&amp;J963,'Istoric_Nativ'!$P$6:$P$405,1,'Istoric_Nativ'!$D$6:$D$405,"&gt;="&amp;L963),IF(H963="AWAY",COUNTIFS('Istoric_Nativ'!$B$6:$B$405,E963,'Istoric_Nativ'!$C$6:$C$405,F963,'Istoric_Nativ'!$F$6:$F$405,G963,'Istoric_Nativ'!$D$6:$D$405,"&lt;"&amp;J963,'Istoric_Nativ'!$P$6:$P$405,1,'Istoric_Nativ'!$D$6:$D$405,"&gt;="&amp;L963),COUNTIFS('Istoric_Nativ'!$B$6:$B$405,E963,'Istoric_Nativ'!$C$6:$C$405,F963,'Istoric_Nativ'!$E$6:$E$405,G963,'Istoric_Nativ'!$D$6:$D$405,"&lt;"&amp;J963,'Istoric_Nativ'!$P$6:$P$405,1,'Istoric_Nativ'!$D$6:$D$405,"&gt;="&amp;L963)+COUNTIFS('Istoric_Nativ'!$B$6:$B$405,E963,'Istoric_Nativ'!$C$6:$C$405,F963,'Istoric_Nativ'!$F$6:$F$405,G963,'Istoric_Nativ'!$D$6:$D$405,"&lt;"&amp;J963,'Istoric_Nativ'!$P$6:$P$405,1,'Istoric_Nativ'!$D$6:$D$405,"&gt;="&amp;L963))))</x:f>
        <x:v>0</x:v>
      </x:c>
      <x:c r="N963" s="11" t="str">
        <x:f>IF(M963=0,"",IF(H963="HOME",SUMIFS('Istoric_Nativ'!$G$6:$G$405,'Istoric_Nativ'!$B$6:$B$405,E963,'Istoric_Nativ'!$C$6:$C$405,F963,'Istoric_Nativ'!$E$6:$E$405,G963,'Istoric_Nativ'!$D$6:$D$405,"&lt;"&amp;J963,'Istoric_Nativ'!$P$6:$P$405,1,'Istoric_Nativ'!$D$6:$D$405,"&gt;="&amp;L963),IF(H963="AWAY",SUMIFS('Istoric_Nativ'!$H$6:$H$405,'Istoric_Nativ'!$B$6:$B$405,E963,'Istoric_Nativ'!$C$6:$C$405,F963,'Istoric_Nativ'!$F$6:$F$405,G963,'Istoric_Nativ'!$D$6:$D$405,"&lt;"&amp;J963,'Istoric_Nativ'!$P$6:$P$405,1,'Istoric_Nativ'!$D$6:$D$405,"&gt;="&amp;L963),SUMIFS('Istoric_Nativ'!$G$6:$G$405,'Istoric_Nativ'!$B$6:$B$405,E963,'Istoric_Nativ'!$C$6:$C$405,F963,'Istoric_Nativ'!$E$6:$E$405,G963,'Istoric_Nativ'!$D$6:$D$405,"&lt;"&amp;J963,'Istoric_Nativ'!$P$6:$P$405,1,'Istoric_Nativ'!$D$6:$D$405,"&gt;="&amp;L963)+SUMIFS('Istoric_Nativ'!$H$6:$H$405,'Istoric_Nativ'!$B$6:$B$405,E963,'Istoric_Nativ'!$C$6:$C$405,F963,'Istoric_Nativ'!$F$6:$F$405,G963,'Istoric_Nativ'!$D$6:$D$405,"&lt;"&amp;J963,'Istoric_Nativ'!$P$6:$P$405,1,'Istoric_Nativ'!$D$6:$D$405,"&gt;="&amp;L963)))/M963)</x:f>
      </x:c>
      <x:c r="O963" s="11" t="str">
        <x:f>IF(M963=0,"",IF(H963="HOME",SUMIFS('Istoric_Nativ'!$H$6:$H$405,'Istoric_Nativ'!$B$6:$B$405,E963,'Istoric_Nativ'!$C$6:$C$405,F963,'Istoric_Nativ'!$E$6:$E$405,G963,'Istoric_Nativ'!$D$6:$D$405,"&lt;"&amp;J963,'Istoric_Nativ'!$P$6:$P$405,1,'Istoric_Nativ'!$D$6:$D$405,"&gt;="&amp;L963),IF(H963="AWAY",SUMIFS('Istoric_Nativ'!$G$6:$G$405,'Istoric_Nativ'!$B$6:$B$405,E963,'Istoric_Nativ'!$C$6:$C$405,F963,'Istoric_Nativ'!$F$6:$F$405,G963,'Istoric_Nativ'!$D$6:$D$405,"&lt;"&amp;J963,'Istoric_Nativ'!$P$6:$P$405,1,'Istoric_Nativ'!$D$6:$D$405,"&gt;="&amp;L963),SUMIFS('Istoric_Nativ'!$H$6:$H$405,'Istoric_Nativ'!$B$6:$B$405,E963,'Istoric_Nativ'!$C$6:$C$405,F963,'Istoric_Nativ'!$E$6:$E$405,G963,'Istoric_Nativ'!$D$6:$D$405,"&lt;"&amp;J963,'Istoric_Nativ'!$P$6:$P$405,1,'Istoric_Nativ'!$D$6:$D$405,"&gt;="&amp;L963)+SUMIFS('Istoric_Nativ'!$G$6:$G$405,'Istoric_Nativ'!$B$6:$B$405,E963,'Istoric_Nativ'!$C$6:$C$405,F963,'Istoric_Nativ'!$F$6:$F$405,G963,'Istoric_Nativ'!$D$6:$D$405,"&lt;"&amp;J963,'Istoric_Nativ'!$P$6:$P$405,1,'Istoric_Nativ'!$D$6:$D$405,"&gt;="&amp;L963)))/M963)</x:f>
      </x:c>
      <x:c r="P963" s="2" t="n">
        <x:f>'Config_v6'!$B$7</x:f>
        <x:v>10</x:v>
      </x:c>
      <x:c r="Q963" s="2" t="n">
        <x:f>IF(OR(B963="",F963=""),0,IFERROR(MATCH(E963&amp;"|"&amp;F963,SourceTable[Source_Key],0),0))</x:f>
        <x:v>0</x:v>
      </x:c>
      <x:c r="R963" s="2" t="str">
        <x:f>IF(B963="","",IF(F963="","UNUSED",IF(Q963=0,"NOT CHECKED",IF(COUNTIF(SourceTable[Source_Key],E963&amp;"|"&amp;F963)&lt;&gt;1,"SOURCE CONFLICT",IF(NOT(OR(INDEX(SourceTable[Status],MAX(1,Q963))="IMPORTED",INDEX(SourceTable[Status],MAX(1,Q963))="PARTIAL",INDEX(SourceTable[Status],MAX(1,Q963))="SOURCE CONFLICT")),"ACCESS BLOCKED",IF(OR(INDEX(SourceTable[Coverage],Q963)&lt;&gt;"FULL SEASON EXPORT",INDEX(SourceTable[URL],Q963)="",INDEX(SourceTable[SHA256],Q963)=""),"EVIDENCE INCOMPLETE",IF(AND('Input_Meci'!H85="LIVE",INDEX(SourceTable[Retrieved_UTC],Q963)&gt;'Input_Meci'!G85),"POST CUTOFF","CLOSED")))))))</x:f>
      </x:c>
      <x:c r="S963" s="2" t="n">
        <x:f>IF(OR(B963="",F963=""),0,COUNTIFS('Istoric_Nativ'!$B$6:$B$405,E963,'Istoric_Nativ'!$C$6:$C$405,F963,'Istoric_Nativ'!$E$6:$E$405,G963,'Istoric_Nativ'!$D$6:$D$405,"&lt;"&amp;J963,'Istoric_Nativ'!$O$6:$O$405,"INVALID")+COUNTIFS('Istoric_Nativ'!$B$6:$B$405,E963,'Istoric_Nativ'!$C$6:$C$405,F963,'Istoric_Nativ'!$E$6:$E$405,G963,'Istoric_Nativ'!$O$6:$O$405,"INVALID",'Istoric_Nativ'!$D$6:$D$405,"*")+COUNTIFS('Istoric_Nativ'!$B$6:$B$405,E963,'Istoric_Nativ'!$C$6:$C$405,F963,'Istoric_Nativ'!$E$6:$E$405,G963,'Istoric_Nativ'!$D$6:$D$405,"&lt;"&amp;J963,'Istoric_Nativ'!$O$6:$O$405,"SOURCE CONFLICT")+COUNTIFS('Istoric_Nativ'!$B$6:$B$405,E963,'Istoric_Nativ'!$C$6:$C$405,F963,'Istoric_Nativ'!$F$6:$F$405,G963,'Istoric_Nativ'!$D$6:$D$405,"&lt;"&amp;J963,'Istoric_Nativ'!$O$6:$O$405,"INVALID")+COUNTIFS('Istoric_Nativ'!$B$6:$B$405,E963,'Istoric_Nativ'!$C$6:$C$405,F963,'Istoric_Nativ'!$F$6:$F$405,G963,'Istoric_Nativ'!$O$6:$O$405,"INVALID",'Istoric_Nativ'!$D$6:$D$405,"*")+COUNTIFS('Istoric_Nativ'!$B$6:$B$405,E963,'Istoric_Nativ'!$C$6:$C$405,F963,'Istoric_Nativ'!$F$6:$F$405,G963,'Istoric_Nativ'!$D$6:$D$405,"&lt;"&amp;J963,'Istoric_Nativ'!$O$6:$O$405,"SOURCE CONFLICT"))</x:f>
        <x:v>0</x:v>
      </x:c>
      <x:c r="T963" s="2" t="str">
        <x:f>IF(B963="","",IF(R963&lt;&gt;"CLOSED",R963,IF(S963&gt;0,"NATIVE INPUT ISSUE",IF(M963=0,"NO HISTORY",IF(M963&lt;P963,"SMALL SAMPLE","DERIVED")))))</x:f>
      </x:c>
      <x:c r="U963" s="2" t="str">
        <x:f>IF(B963="","","NativeTable; "&amp;E963&amp;"; "&amp;F963&amp;"; "&amp;G963&amp;"; "&amp;H963&amp;"; before "&amp;TEXT(J963,"yyyy-mm-dd")&amp;IF(I963="RECENT","; from "&amp;TEXT(L963,"yyyy-mm-dd"),""))</x:f>
      </x:c>
    </x:row>
    <x:row r="964" ht="21" customHeight="1">
      <x:c r="A964" s="2" t="n">
        <x:v>80</x:v>
      </x:c>
      <x:c r="B964" s="2" t="str">
        <x:f>IF('Input_Meci'!A85="","",'Input_Meci'!A85)</x:f>
      </x:c>
      <x:c r="C964" s="2" t="str">
        <x:v>A</x:v>
      </x:c>
      <x:c r="D964" s="2" t="str">
        <x:v>PRIOR</x:v>
      </x:c>
      <x:c r="E964" s="2" t="str">
        <x:f>IF(B964="","",'Input_Meci'!B85)</x:f>
      </x:c>
      <x:c r="F964" s="2" t="str">
        <x:f>IF(B964="","",IF('Input_Meci'!K85="","",'Input_Meci'!K85))</x:f>
      </x:c>
      <x:c r="G964" s="2" t="str">
        <x:f>IF(B964="","",'Input_Meci'!E85)</x:f>
      </x:c>
      <x:c r="H964" s="2" t="str">
        <x:v>AWAY</x:v>
      </x:c>
      <x:c r="I964" s="2" t="str">
        <x:v>HA</x:v>
      </x:c>
      <x:c r="J964" s="9" t="n">
        <x:f>IF(AND(B964&lt;&gt;"",ISNUMBER('Input_Meci'!G85)),INT('Input_Meci'!G85),0)</x:f>
        <x:v>0</x:v>
      </x:c>
      <x:c r="K964" s="2" t="n">
        <x:f>IF(OR(B964="",F964=""),0,IF(H964="HOME",COUNTIFS('Istoric_Nativ'!$B$6:$B$405,E964,'Istoric_Nativ'!$C$6:$C$405,F964,'Istoric_Nativ'!$E$6:$E$405,G964,'Istoric_Nativ'!$D$6:$D$405,"&lt;"&amp;J964,'Istoric_Nativ'!$P$6:$P$405,1),IF(H964="AWAY",COUNTIFS('Istoric_Nativ'!$B$6:$B$405,E964,'Istoric_Nativ'!$C$6:$C$405,F964,'Istoric_Nativ'!$F$6:$F$405,G964,'Istoric_Nativ'!$D$6:$D$405,"&lt;"&amp;J964,'Istoric_Nativ'!$P$6:$P$405,1),COUNTIFS('Istoric_Nativ'!$B$6:$B$405,E964,'Istoric_Nativ'!$C$6:$C$405,F964,'Istoric_Nativ'!$E$6:$E$405,G964,'Istoric_Nativ'!$D$6:$D$405,"&lt;"&amp;J964,'Istoric_Nativ'!$P$6:$P$405,1)+COUNTIFS('Istoric_Nativ'!$B$6:$B$405,E964,'Istoric_Nativ'!$C$6:$C$405,F964,'Istoric_Nativ'!$F$6:$F$405,G964,'Istoric_Nativ'!$D$6:$D$405,"&lt;"&amp;J964,'Istoric_Nativ'!$P$6:$P$405,1))))</x:f>
        <x:v>0</x:v>
      </x:c>
      <x:c r="L964" s="17" t="n">
        <x:f>IF(AND(B964&lt;&gt;"",I964="RECENT",K964&gt;0),LARGE(_xlfn._xlws.FILTER('Istoric_Nativ'!$D$6:$D$405,('Istoric_Nativ'!$B$6:$B$405=E964)*('Istoric_Nativ'!$C$6:$C$405=F964)*('Istoric_Nativ'!$P$6:$P$405=1)*('Istoric_Nativ'!$D$6:$D$405&lt;J964)*((('Istoric_Nativ'!$E$6:$E$405=G964)+('Istoric_Nativ'!$F$6:$F$405=G964))&gt;0)),MIN('Config_v6'!$B$54,K964)),0)</x:f>
        <x:v>0</x:v>
      </x:c>
      <x:c r="M964" s="2" t="n">
        <x:f>IF(OR(B964="",F964=""),0,IF(H964="HOME",COUNTIFS('Istoric_Nativ'!$B$6:$B$405,E964,'Istoric_Nativ'!$C$6:$C$405,F964,'Istoric_Nativ'!$E$6:$E$405,G964,'Istoric_Nativ'!$D$6:$D$405,"&lt;"&amp;J964,'Istoric_Nativ'!$P$6:$P$405,1,'Istoric_Nativ'!$D$6:$D$405,"&gt;="&amp;L964),IF(H964="AWAY",COUNTIFS('Istoric_Nativ'!$B$6:$B$405,E964,'Istoric_Nativ'!$C$6:$C$405,F964,'Istoric_Nativ'!$F$6:$F$405,G964,'Istoric_Nativ'!$D$6:$D$405,"&lt;"&amp;J964,'Istoric_Nativ'!$P$6:$P$405,1,'Istoric_Nativ'!$D$6:$D$405,"&gt;="&amp;L964),COUNTIFS('Istoric_Nativ'!$B$6:$B$405,E964,'Istoric_Nativ'!$C$6:$C$405,F964,'Istoric_Nativ'!$E$6:$E$405,G964,'Istoric_Nativ'!$D$6:$D$405,"&lt;"&amp;J964,'Istoric_Nativ'!$P$6:$P$405,1,'Istoric_Nativ'!$D$6:$D$405,"&gt;="&amp;L964)+COUNTIFS('Istoric_Nativ'!$B$6:$B$405,E964,'Istoric_Nativ'!$C$6:$C$405,F964,'Istoric_Nativ'!$F$6:$F$405,G964,'Istoric_Nativ'!$D$6:$D$405,"&lt;"&amp;J964,'Istoric_Nativ'!$P$6:$P$405,1,'Istoric_Nativ'!$D$6:$D$405,"&gt;="&amp;L964))))</x:f>
        <x:v>0</x:v>
      </x:c>
      <x:c r="N964" s="11" t="str">
        <x:f>IF(M964=0,"",IF(H964="HOME",SUMIFS('Istoric_Nativ'!$G$6:$G$405,'Istoric_Nativ'!$B$6:$B$405,E964,'Istoric_Nativ'!$C$6:$C$405,F964,'Istoric_Nativ'!$E$6:$E$405,G964,'Istoric_Nativ'!$D$6:$D$405,"&lt;"&amp;J964,'Istoric_Nativ'!$P$6:$P$405,1,'Istoric_Nativ'!$D$6:$D$405,"&gt;="&amp;L964),IF(H964="AWAY",SUMIFS('Istoric_Nativ'!$H$6:$H$405,'Istoric_Nativ'!$B$6:$B$405,E964,'Istoric_Nativ'!$C$6:$C$405,F964,'Istoric_Nativ'!$F$6:$F$405,G964,'Istoric_Nativ'!$D$6:$D$405,"&lt;"&amp;J964,'Istoric_Nativ'!$P$6:$P$405,1,'Istoric_Nativ'!$D$6:$D$405,"&gt;="&amp;L964),SUMIFS('Istoric_Nativ'!$G$6:$G$405,'Istoric_Nativ'!$B$6:$B$405,E964,'Istoric_Nativ'!$C$6:$C$405,F964,'Istoric_Nativ'!$E$6:$E$405,G964,'Istoric_Nativ'!$D$6:$D$405,"&lt;"&amp;J964,'Istoric_Nativ'!$P$6:$P$405,1,'Istoric_Nativ'!$D$6:$D$405,"&gt;="&amp;L964)+SUMIFS('Istoric_Nativ'!$H$6:$H$405,'Istoric_Nativ'!$B$6:$B$405,E964,'Istoric_Nativ'!$C$6:$C$405,F964,'Istoric_Nativ'!$F$6:$F$405,G964,'Istoric_Nativ'!$D$6:$D$405,"&lt;"&amp;J964,'Istoric_Nativ'!$P$6:$P$405,1,'Istoric_Nativ'!$D$6:$D$405,"&gt;="&amp;L964)))/M964)</x:f>
      </x:c>
      <x:c r="O964" s="11" t="str">
        <x:f>IF(M964=0,"",IF(H964="HOME",SUMIFS('Istoric_Nativ'!$H$6:$H$405,'Istoric_Nativ'!$B$6:$B$405,E964,'Istoric_Nativ'!$C$6:$C$405,F964,'Istoric_Nativ'!$E$6:$E$405,G964,'Istoric_Nativ'!$D$6:$D$405,"&lt;"&amp;J964,'Istoric_Nativ'!$P$6:$P$405,1,'Istoric_Nativ'!$D$6:$D$405,"&gt;="&amp;L964),IF(H964="AWAY",SUMIFS('Istoric_Nativ'!$G$6:$G$405,'Istoric_Nativ'!$B$6:$B$405,E964,'Istoric_Nativ'!$C$6:$C$405,F964,'Istoric_Nativ'!$F$6:$F$405,G964,'Istoric_Nativ'!$D$6:$D$405,"&lt;"&amp;J964,'Istoric_Nativ'!$P$6:$P$405,1,'Istoric_Nativ'!$D$6:$D$405,"&gt;="&amp;L964),SUMIFS('Istoric_Nativ'!$H$6:$H$405,'Istoric_Nativ'!$B$6:$B$405,E964,'Istoric_Nativ'!$C$6:$C$405,F964,'Istoric_Nativ'!$E$6:$E$405,G964,'Istoric_Nativ'!$D$6:$D$405,"&lt;"&amp;J964,'Istoric_Nativ'!$P$6:$P$405,1,'Istoric_Nativ'!$D$6:$D$405,"&gt;="&amp;L964)+SUMIFS('Istoric_Nativ'!$G$6:$G$405,'Istoric_Nativ'!$B$6:$B$405,E964,'Istoric_Nativ'!$C$6:$C$405,F964,'Istoric_Nativ'!$F$6:$F$405,G964,'Istoric_Nativ'!$D$6:$D$405,"&lt;"&amp;J964,'Istoric_Nativ'!$P$6:$P$405,1,'Istoric_Nativ'!$D$6:$D$405,"&gt;="&amp;L964)))/M964)</x:f>
      </x:c>
      <x:c r="P964" s="2" t="n">
        <x:f>'Config_v6'!$B$8</x:f>
        <x:v>5</x:v>
      </x:c>
      <x:c r="Q964" s="2" t="n">
        <x:f>IF(OR(B964="",F964=""),0,IFERROR(MATCH(E964&amp;"|"&amp;F964,SourceTable[Source_Key],0),0))</x:f>
        <x:v>0</x:v>
      </x:c>
      <x:c r="R964" s="2" t="str">
        <x:f>IF(B964="","",IF(F964="","UNUSED",IF(Q964=0,"NOT CHECKED",IF(COUNTIF(SourceTable[Source_Key],E964&amp;"|"&amp;F964)&lt;&gt;1,"SOURCE CONFLICT",IF(NOT(OR(INDEX(SourceTable[Status],MAX(1,Q964))="IMPORTED",INDEX(SourceTable[Status],MAX(1,Q964))="PARTIAL",INDEX(SourceTable[Status],MAX(1,Q964))="SOURCE CONFLICT")),"ACCESS BLOCKED",IF(OR(INDEX(SourceTable[Coverage],Q964)&lt;&gt;"FULL SEASON EXPORT",INDEX(SourceTable[URL],Q964)="",INDEX(SourceTable[SHA256],Q964)=""),"EVIDENCE INCOMPLETE",IF(AND('Input_Meci'!H85="LIVE",INDEX(SourceTable[Retrieved_UTC],Q964)&gt;'Input_Meci'!G85),"POST CUTOFF","CLOSED")))))))</x:f>
      </x:c>
      <x:c r="S964" s="2" t="n">
        <x:f>IF(OR(B964="",F964=""),0,COUNTIFS('Istoric_Nativ'!$B$6:$B$405,E964,'Istoric_Nativ'!$C$6:$C$405,F964,'Istoric_Nativ'!$E$6:$E$405,G964,'Istoric_Nativ'!$D$6:$D$405,"&lt;"&amp;J964,'Istoric_Nativ'!$O$6:$O$405,"INVALID")+COUNTIFS('Istoric_Nativ'!$B$6:$B$405,E964,'Istoric_Nativ'!$C$6:$C$405,F964,'Istoric_Nativ'!$E$6:$E$405,G964,'Istoric_Nativ'!$O$6:$O$405,"INVALID",'Istoric_Nativ'!$D$6:$D$405,"*")+COUNTIFS('Istoric_Nativ'!$B$6:$B$405,E964,'Istoric_Nativ'!$C$6:$C$405,F964,'Istoric_Nativ'!$E$6:$E$405,G964,'Istoric_Nativ'!$D$6:$D$405,"&lt;"&amp;J964,'Istoric_Nativ'!$O$6:$O$405,"SOURCE CONFLICT")+COUNTIFS('Istoric_Nativ'!$B$6:$B$405,E964,'Istoric_Nativ'!$C$6:$C$405,F964,'Istoric_Nativ'!$F$6:$F$405,G964,'Istoric_Nativ'!$D$6:$D$405,"&lt;"&amp;J964,'Istoric_Nativ'!$O$6:$O$405,"INVALID")+COUNTIFS('Istoric_Nativ'!$B$6:$B$405,E964,'Istoric_Nativ'!$C$6:$C$405,F964,'Istoric_Nativ'!$F$6:$F$405,G964,'Istoric_Nativ'!$O$6:$O$405,"INVALID",'Istoric_Nativ'!$D$6:$D$405,"*")+COUNTIFS('Istoric_Nativ'!$B$6:$B$405,E964,'Istoric_Nativ'!$C$6:$C$405,F964,'Istoric_Nativ'!$F$6:$F$405,G964,'Istoric_Nativ'!$D$6:$D$405,"&lt;"&amp;J964,'Istoric_Nativ'!$O$6:$O$405,"SOURCE CONFLICT"))</x:f>
        <x:v>0</x:v>
      </x:c>
      <x:c r="T964" s="2" t="str">
        <x:f>IF(B964="","",IF(R964&lt;&gt;"CLOSED",R964,IF(S964&gt;0,"NATIVE INPUT ISSUE",IF(M964=0,"NO HISTORY",IF(M964&lt;P964,"SMALL SAMPLE","DERIVED")))))</x:f>
      </x:c>
      <x:c r="U964" s="2" t="str">
        <x:f>IF(B964="","","NativeTable; "&amp;E964&amp;"; "&amp;F964&amp;"; "&amp;G964&amp;"; "&amp;H964&amp;"; before "&amp;TEXT(J964,"yyyy-mm-dd")&amp;IF(I964="RECENT","; from "&amp;TEXT(L964,"yyyy-mm-dd"),""))</x:f>
      </x:c>
    </x:row>
    <x:row r="965" ht="21" customHeight="1">
      <x:c r="A965" s="2" t="n">
        <x:v>80</x:v>
      </x:c>
      <x:c r="B965" s="2" t="str">
        <x:f>IF('Input_Meci'!A85="","",'Input_Meci'!A85)</x:f>
      </x:c>
      <x:c r="C965" s="2" t="str">
        <x:v>A</x:v>
      </x:c>
      <x:c r="D965" s="2" t="str">
        <x:v>PRIOR</x:v>
      </x:c>
      <x:c r="E965" s="2" t="str">
        <x:f>IF(B965="","",'Input_Meci'!B85)</x:f>
      </x:c>
      <x:c r="F965" s="2" t="str">
        <x:f>IF(B965="","",IF('Input_Meci'!K85="","",'Input_Meci'!K85))</x:f>
      </x:c>
      <x:c r="G965" s="2" t="str">
        <x:f>IF(B965="","",'Input_Meci'!E85)</x:f>
      </x:c>
      <x:c r="H965" s="2" t="str">
        <x:v>ANY</x:v>
      </x:c>
      <x:c r="I965" s="2" t="str">
        <x:v>RECENT</x:v>
      </x:c>
      <x:c r="J965" s="9" t="n">
        <x:f>IF(AND(B965&lt;&gt;"",ISNUMBER('Input_Meci'!G85)),INT('Input_Meci'!G85),0)</x:f>
        <x:v>0</x:v>
      </x:c>
      <x:c r="K965" s="2" t="n">
        <x:f>IF(OR(B965="",F965=""),0,IF(H965="HOME",COUNTIFS('Istoric_Nativ'!$B$6:$B$405,E965,'Istoric_Nativ'!$C$6:$C$405,F965,'Istoric_Nativ'!$E$6:$E$405,G965,'Istoric_Nativ'!$D$6:$D$405,"&lt;"&amp;J965,'Istoric_Nativ'!$P$6:$P$405,1),IF(H965="AWAY",COUNTIFS('Istoric_Nativ'!$B$6:$B$405,E965,'Istoric_Nativ'!$C$6:$C$405,F965,'Istoric_Nativ'!$F$6:$F$405,G965,'Istoric_Nativ'!$D$6:$D$405,"&lt;"&amp;J965,'Istoric_Nativ'!$P$6:$P$405,1),COUNTIFS('Istoric_Nativ'!$B$6:$B$405,E965,'Istoric_Nativ'!$C$6:$C$405,F965,'Istoric_Nativ'!$E$6:$E$405,G965,'Istoric_Nativ'!$D$6:$D$405,"&lt;"&amp;J965,'Istoric_Nativ'!$P$6:$P$405,1)+COUNTIFS('Istoric_Nativ'!$B$6:$B$405,E965,'Istoric_Nativ'!$C$6:$C$405,F965,'Istoric_Nativ'!$F$6:$F$405,G965,'Istoric_Nativ'!$D$6:$D$405,"&lt;"&amp;J965,'Istoric_Nativ'!$P$6:$P$405,1))))</x:f>
        <x:v>0</x:v>
      </x:c>
      <x:c r="L965" s="17" t="n">
        <x:f>IF(AND(B965&lt;&gt;"",I965="RECENT",K965&gt;0),LARGE(_xlfn._xlws.FILTER('Istoric_Nativ'!$D$6:$D$405,('Istoric_Nativ'!$B$6:$B$405=E965)*('Istoric_Nativ'!$C$6:$C$405=F965)*('Istoric_Nativ'!$P$6:$P$405=1)*('Istoric_Nativ'!$D$6:$D$405&lt;J965)*((('Istoric_Nativ'!$E$6:$E$405=G965)+('Istoric_Nativ'!$F$6:$F$405=G965))&gt;0)),MIN('Config_v6'!$B$54,K965)),0)</x:f>
        <x:v>0</x:v>
      </x:c>
      <x:c r="M965" s="2" t="n">
        <x:f>IF(OR(B965="",F965=""),0,IF(H965="HOME",COUNTIFS('Istoric_Nativ'!$B$6:$B$405,E965,'Istoric_Nativ'!$C$6:$C$405,F965,'Istoric_Nativ'!$E$6:$E$405,G965,'Istoric_Nativ'!$D$6:$D$405,"&lt;"&amp;J965,'Istoric_Nativ'!$P$6:$P$405,1,'Istoric_Nativ'!$D$6:$D$405,"&gt;="&amp;L965),IF(H965="AWAY",COUNTIFS('Istoric_Nativ'!$B$6:$B$405,E965,'Istoric_Nativ'!$C$6:$C$405,F965,'Istoric_Nativ'!$F$6:$F$405,G965,'Istoric_Nativ'!$D$6:$D$405,"&lt;"&amp;J965,'Istoric_Nativ'!$P$6:$P$405,1,'Istoric_Nativ'!$D$6:$D$405,"&gt;="&amp;L965),COUNTIFS('Istoric_Nativ'!$B$6:$B$405,E965,'Istoric_Nativ'!$C$6:$C$405,F965,'Istoric_Nativ'!$E$6:$E$405,G965,'Istoric_Nativ'!$D$6:$D$405,"&lt;"&amp;J965,'Istoric_Nativ'!$P$6:$P$405,1,'Istoric_Nativ'!$D$6:$D$405,"&gt;="&amp;L965)+COUNTIFS('Istoric_Nativ'!$B$6:$B$405,E965,'Istoric_Nativ'!$C$6:$C$405,F965,'Istoric_Nativ'!$F$6:$F$405,G965,'Istoric_Nativ'!$D$6:$D$405,"&lt;"&amp;J965,'Istoric_Nativ'!$P$6:$P$405,1,'Istoric_Nativ'!$D$6:$D$405,"&gt;="&amp;L965))))</x:f>
        <x:v>0</x:v>
      </x:c>
      <x:c r="N965" s="11" t="str">
        <x:f>IF(M965=0,"",IF(H965="HOME",SUMIFS('Istoric_Nativ'!$G$6:$G$405,'Istoric_Nativ'!$B$6:$B$405,E965,'Istoric_Nativ'!$C$6:$C$405,F965,'Istoric_Nativ'!$E$6:$E$405,G965,'Istoric_Nativ'!$D$6:$D$405,"&lt;"&amp;J965,'Istoric_Nativ'!$P$6:$P$405,1,'Istoric_Nativ'!$D$6:$D$405,"&gt;="&amp;L965),IF(H965="AWAY",SUMIFS('Istoric_Nativ'!$H$6:$H$405,'Istoric_Nativ'!$B$6:$B$405,E965,'Istoric_Nativ'!$C$6:$C$405,F965,'Istoric_Nativ'!$F$6:$F$405,G965,'Istoric_Nativ'!$D$6:$D$405,"&lt;"&amp;J965,'Istoric_Nativ'!$P$6:$P$405,1,'Istoric_Nativ'!$D$6:$D$405,"&gt;="&amp;L965),SUMIFS('Istoric_Nativ'!$G$6:$G$405,'Istoric_Nativ'!$B$6:$B$405,E965,'Istoric_Nativ'!$C$6:$C$405,F965,'Istoric_Nativ'!$E$6:$E$405,G965,'Istoric_Nativ'!$D$6:$D$405,"&lt;"&amp;J965,'Istoric_Nativ'!$P$6:$P$405,1,'Istoric_Nativ'!$D$6:$D$405,"&gt;="&amp;L965)+SUMIFS('Istoric_Nativ'!$H$6:$H$405,'Istoric_Nativ'!$B$6:$B$405,E965,'Istoric_Nativ'!$C$6:$C$405,F965,'Istoric_Nativ'!$F$6:$F$405,G965,'Istoric_Nativ'!$D$6:$D$405,"&lt;"&amp;J965,'Istoric_Nativ'!$P$6:$P$405,1,'Istoric_Nativ'!$D$6:$D$405,"&gt;="&amp;L965)))/M965)</x:f>
      </x:c>
      <x:c r="O965" s="11" t="str">
        <x:f>IF(M965=0,"",IF(H965="HOME",SUMIFS('Istoric_Nativ'!$H$6:$H$405,'Istoric_Nativ'!$B$6:$B$405,E965,'Istoric_Nativ'!$C$6:$C$405,F965,'Istoric_Nativ'!$E$6:$E$405,G965,'Istoric_Nativ'!$D$6:$D$405,"&lt;"&amp;J965,'Istoric_Nativ'!$P$6:$P$405,1,'Istoric_Nativ'!$D$6:$D$405,"&gt;="&amp;L965),IF(H965="AWAY",SUMIFS('Istoric_Nativ'!$G$6:$G$405,'Istoric_Nativ'!$B$6:$B$405,E965,'Istoric_Nativ'!$C$6:$C$405,F965,'Istoric_Nativ'!$F$6:$F$405,G965,'Istoric_Nativ'!$D$6:$D$405,"&lt;"&amp;J965,'Istoric_Nativ'!$P$6:$P$405,1,'Istoric_Nativ'!$D$6:$D$405,"&gt;="&amp;L965),SUMIFS('Istoric_Nativ'!$H$6:$H$405,'Istoric_Nativ'!$B$6:$B$405,E965,'Istoric_Nativ'!$C$6:$C$405,F965,'Istoric_Nativ'!$E$6:$E$405,G965,'Istoric_Nativ'!$D$6:$D$405,"&lt;"&amp;J965,'Istoric_Nativ'!$P$6:$P$405,1,'Istoric_Nativ'!$D$6:$D$405,"&gt;="&amp;L965)+SUMIFS('Istoric_Nativ'!$G$6:$G$405,'Istoric_Nativ'!$B$6:$B$405,E965,'Istoric_Nativ'!$C$6:$C$405,F965,'Istoric_Nativ'!$F$6:$F$405,G965,'Istoric_Nativ'!$D$6:$D$405,"&lt;"&amp;J965,'Istoric_Nativ'!$P$6:$P$405,1,'Istoric_Nativ'!$D$6:$D$405,"&gt;="&amp;L965)))/M965)</x:f>
      </x:c>
      <x:c r="P965" s="2" t="n">
        <x:f>'Config_v6'!$B$9</x:f>
        <x:v>3</x:v>
      </x:c>
      <x:c r="Q965" s="2" t="n">
        <x:f>IF(OR(B965="",F965=""),0,IFERROR(MATCH(E965&amp;"|"&amp;F965,SourceTable[Source_Key],0),0))</x:f>
        <x:v>0</x:v>
      </x:c>
      <x:c r="R965" s="2" t="str">
        <x:f>IF(B965="","",IF(F965="","UNUSED",IF(Q965=0,"NOT CHECKED",IF(COUNTIF(SourceTable[Source_Key],E965&amp;"|"&amp;F965)&lt;&gt;1,"SOURCE CONFLICT",IF(NOT(OR(INDEX(SourceTable[Status],MAX(1,Q965))="IMPORTED",INDEX(SourceTable[Status],MAX(1,Q965))="PARTIAL",INDEX(SourceTable[Status],MAX(1,Q965))="SOURCE CONFLICT")),"ACCESS BLOCKED",IF(OR(INDEX(SourceTable[Coverage],Q965)&lt;&gt;"FULL SEASON EXPORT",INDEX(SourceTable[URL],Q965)="",INDEX(SourceTable[SHA256],Q965)=""),"EVIDENCE INCOMPLETE",IF(AND('Input_Meci'!H85="LIVE",INDEX(SourceTable[Retrieved_UTC],Q965)&gt;'Input_Meci'!G85),"POST CUTOFF","CLOSED")))))))</x:f>
      </x:c>
      <x:c r="S965" s="2" t="n">
        <x:f>IF(OR(B965="",F965=""),0,COUNTIFS('Istoric_Nativ'!$B$6:$B$405,E965,'Istoric_Nativ'!$C$6:$C$405,F965,'Istoric_Nativ'!$E$6:$E$405,G965,'Istoric_Nativ'!$D$6:$D$405,"&lt;"&amp;J965,'Istoric_Nativ'!$O$6:$O$405,"INVALID")+COUNTIFS('Istoric_Nativ'!$B$6:$B$405,E965,'Istoric_Nativ'!$C$6:$C$405,F965,'Istoric_Nativ'!$E$6:$E$405,G965,'Istoric_Nativ'!$O$6:$O$405,"INVALID",'Istoric_Nativ'!$D$6:$D$405,"*")+COUNTIFS('Istoric_Nativ'!$B$6:$B$405,E965,'Istoric_Nativ'!$C$6:$C$405,F965,'Istoric_Nativ'!$E$6:$E$405,G965,'Istoric_Nativ'!$D$6:$D$405,"&lt;"&amp;J965,'Istoric_Nativ'!$O$6:$O$405,"SOURCE CONFLICT")+COUNTIFS('Istoric_Nativ'!$B$6:$B$405,E965,'Istoric_Nativ'!$C$6:$C$405,F965,'Istoric_Nativ'!$F$6:$F$405,G965,'Istoric_Nativ'!$D$6:$D$405,"&lt;"&amp;J965,'Istoric_Nativ'!$O$6:$O$405,"INVALID")+COUNTIFS('Istoric_Nativ'!$B$6:$B$405,E965,'Istoric_Nativ'!$C$6:$C$405,F965,'Istoric_Nativ'!$F$6:$F$405,G965,'Istoric_Nativ'!$O$6:$O$405,"INVALID",'Istoric_Nativ'!$D$6:$D$405,"*")+COUNTIFS('Istoric_Nativ'!$B$6:$B$405,E965,'Istoric_Nativ'!$C$6:$C$405,F965,'Istoric_Nativ'!$F$6:$F$405,G965,'Istoric_Nativ'!$D$6:$D$405,"&lt;"&amp;J965,'Istoric_Nativ'!$O$6:$O$405,"SOURCE CONFLICT"))</x:f>
        <x:v>0</x:v>
      </x:c>
      <x:c r="T965" s="2" t="str">
        <x:f>IF(B965="","",IF(R965&lt;&gt;"CLOSED",R965,IF(S965&gt;0,"NATIVE INPUT ISSUE",IF(M965=0,"NO HISTORY",IF(M965&lt;P965,"SMALL SAMPLE","DERIVED")))))</x:f>
      </x:c>
      <x:c r="U965" s="2" t="str">
        <x:f>IF(B965="","","NativeTable; "&amp;E965&amp;"; "&amp;F965&amp;"; "&amp;G965&amp;"; "&amp;H965&amp;"; before "&amp;TEXT(J965,"yyyy-mm-dd")&amp;IF(I965="RECENT","; from "&amp;TEXT(L965,"yyyy-mm-dd"),""))</x:f>
      </x:c>
    </x:row>
    <x:row r="966" ht="21" customHeight="1">
      <x:c r="A966" s="2" t="n">
        <x:v>81</x:v>
      </x:c>
      <x:c r="B966" s="2" t="str">
        <x:f>IF('Input_Meci'!A86="","",'Input_Meci'!A86)</x:f>
      </x:c>
      <x:c r="C966" s="2" t="str">
        <x:v>H</x:v>
      </x:c>
      <x:c r="D966" s="2" t="str">
        <x:v>CURRENT</x:v>
      </x:c>
      <x:c r="E966" s="2" t="str">
        <x:f>IF(B966="","",'Input_Meci'!B86)</x:f>
      </x:c>
      <x:c r="F966" s="2" t="str">
        <x:f>IF(B966="","",IF('Input_Meci'!C86="","",'Input_Meci'!C86))</x:f>
      </x:c>
      <x:c r="G966" s="2" t="str">
        <x:f>IF(B966="","",'Input_Meci'!D86)</x:f>
      </x:c>
      <x:c r="H966" s="2" t="str">
        <x:v>ANY</x:v>
      </x:c>
      <x:c r="I966" s="2" t="str">
        <x:v>SEASON</x:v>
      </x:c>
      <x:c r="J966" s="9" t="n">
        <x:f>IF(AND(B966&lt;&gt;"",ISNUMBER('Input_Meci'!G86)),INT('Input_Meci'!G86),0)</x:f>
        <x:v>0</x:v>
      </x:c>
      <x:c r="K966" s="2" t="n">
        <x:f>IF(OR(B966="",F966=""),0,IF(H966="HOME",COUNTIFS('Istoric_Nativ'!$B$6:$B$405,E966,'Istoric_Nativ'!$C$6:$C$405,F966,'Istoric_Nativ'!$E$6:$E$405,G966,'Istoric_Nativ'!$D$6:$D$405,"&lt;"&amp;J966,'Istoric_Nativ'!$P$6:$P$405,1),IF(H966="AWAY",COUNTIFS('Istoric_Nativ'!$B$6:$B$405,E966,'Istoric_Nativ'!$C$6:$C$405,F966,'Istoric_Nativ'!$F$6:$F$405,G966,'Istoric_Nativ'!$D$6:$D$405,"&lt;"&amp;J966,'Istoric_Nativ'!$P$6:$P$405,1),COUNTIFS('Istoric_Nativ'!$B$6:$B$405,E966,'Istoric_Nativ'!$C$6:$C$405,F966,'Istoric_Nativ'!$E$6:$E$405,G966,'Istoric_Nativ'!$D$6:$D$405,"&lt;"&amp;J966,'Istoric_Nativ'!$P$6:$P$405,1)+COUNTIFS('Istoric_Nativ'!$B$6:$B$405,E966,'Istoric_Nativ'!$C$6:$C$405,F966,'Istoric_Nativ'!$F$6:$F$405,G966,'Istoric_Nativ'!$D$6:$D$405,"&lt;"&amp;J966,'Istoric_Nativ'!$P$6:$P$405,1))))</x:f>
        <x:v>0</x:v>
      </x:c>
      <x:c r="L966" s="17" t="n">
        <x:f>IF(AND(B966&lt;&gt;"",I966="RECENT",K966&gt;0),LARGE(_xlfn._xlws.FILTER('Istoric_Nativ'!$D$6:$D$405,('Istoric_Nativ'!$B$6:$B$405=E966)*('Istoric_Nativ'!$C$6:$C$405=F966)*('Istoric_Nativ'!$P$6:$P$405=1)*('Istoric_Nativ'!$D$6:$D$405&lt;J966)*((('Istoric_Nativ'!$E$6:$E$405=G966)+('Istoric_Nativ'!$F$6:$F$405=G966))&gt;0)),MIN('Config_v6'!$B$54,K966)),0)</x:f>
        <x:v>0</x:v>
      </x:c>
      <x:c r="M966" s="2" t="n">
        <x:f>IF(OR(B966="",F966=""),0,IF(H966="HOME",COUNTIFS('Istoric_Nativ'!$B$6:$B$405,E966,'Istoric_Nativ'!$C$6:$C$405,F966,'Istoric_Nativ'!$E$6:$E$405,G966,'Istoric_Nativ'!$D$6:$D$405,"&lt;"&amp;J966,'Istoric_Nativ'!$P$6:$P$405,1,'Istoric_Nativ'!$D$6:$D$405,"&gt;="&amp;L966),IF(H966="AWAY",COUNTIFS('Istoric_Nativ'!$B$6:$B$405,E966,'Istoric_Nativ'!$C$6:$C$405,F966,'Istoric_Nativ'!$F$6:$F$405,G966,'Istoric_Nativ'!$D$6:$D$405,"&lt;"&amp;J966,'Istoric_Nativ'!$P$6:$P$405,1,'Istoric_Nativ'!$D$6:$D$405,"&gt;="&amp;L966),COUNTIFS('Istoric_Nativ'!$B$6:$B$405,E966,'Istoric_Nativ'!$C$6:$C$405,F966,'Istoric_Nativ'!$E$6:$E$405,G966,'Istoric_Nativ'!$D$6:$D$405,"&lt;"&amp;J966,'Istoric_Nativ'!$P$6:$P$405,1,'Istoric_Nativ'!$D$6:$D$405,"&gt;="&amp;L966)+COUNTIFS('Istoric_Nativ'!$B$6:$B$405,E966,'Istoric_Nativ'!$C$6:$C$405,F966,'Istoric_Nativ'!$F$6:$F$405,G966,'Istoric_Nativ'!$D$6:$D$405,"&lt;"&amp;J966,'Istoric_Nativ'!$P$6:$P$405,1,'Istoric_Nativ'!$D$6:$D$405,"&gt;="&amp;L966))))</x:f>
        <x:v>0</x:v>
      </x:c>
      <x:c r="N966" s="11" t="str">
        <x:f>IF(M966=0,"",IF(H966="HOME",SUMIFS('Istoric_Nativ'!$G$6:$G$405,'Istoric_Nativ'!$B$6:$B$405,E966,'Istoric_Nativ'!$C$6:$C$405,F966,'Istoric_Nativ'!$E$6:$E$405,G966,'Istoric_Nativ'!$D$6:$D$405,"&lt;"&amp;J966,'Istoric_Nativ'!$P$6:$P$405,1,'Istoric_Nativ'!$D$6:$D$405,"&gt;="&amp;L966),IF(H966="AWAY",SUMIFS('Istoric_Nativ'!$H$6:$H$405,'Istoric_Nativ'!$B$6:$B$405,E966,'Istoric_Nativ'!$C$6:$C$405,F966,'Istoric_Nativ'!$F$6:$F$405,G966,'Istoric_Nativ'!$D$6:$D$405,"&lt;"&amp;J966,'Istoric_Nativ'!$P$6:$P$405,1,'Istoric_Nativ'!$D$6:$D$405,"&gt;="&amp;L966),SUMIFS('Istoric_Nativ'!$G$6:$G$405,'Istoric_Nativ'!$B$6:$B$405,E966,'Istoric_Nativ'!$C$6:$C$405,F966,'Istoric_Nativ'!$E$6:$E$405,G966,'Istoric_Nativ'!$D$6:$D$405,"&lt;"&amp;J966,'Istoric_Nativ'!$P$6:$P$405,1,'Istoric_Nativ'!$D$6:$D$405,"&gt;="&amp;L966)+SUMIFS('Istoric_Nativ'!$H$6:$H$405,'Istoric_Nativ'!$B$6:$B$405,E966,'Istoric_Nativ'!$C$6:$C$405,F966,'Istoric_Nativ'!$F$6:$F$405,G966,'Istoric_Nativ'!$D$6:$D$405,"&lt;"&amp;J966,'Istoric_Nativ'!$P$6:$P$405,1,'Istoric_Nativ'!$D$6:$D$405,"&gt;="&amp;L966)))/M966)</x:f>
      </x:c>
      <x:c r="O966" s="11" t="str">
        <x:f>IF(M966=0,"",IF(H966="HOME",SUMIFS('Istoric_Nativ'!$H$6:$H$405,'Istoric_Nativ'!$B$6:$B$405,E966,'Istoric_Nativ'!$C$6:$C$405,F966,'Istoric_Nativ'!$E$6:$E$405,G966,'Istoric_Nativ'!$D$6:$D$405,"&lt;"&amp;J966,'Istoric_Nativ'!$P$6:$P$405,1,'Istoric_Nativ'!$D$6:$D$405,"&gt;="&amp;L966),IF(H966="AWAY",SUMIFS('Istoric_Nativ'!$G$6:$G$405,'Istoric_Nativ'!$B$6:$B$405,E966,'Istoric_Nativ'!$C$6:$C$405,F966,'Istoric_Nativ'!$F$6:$F$405,G966,'Istoric_Nativ'!$D$6:$D$405,"&lt;"&amp;J966,'Istoric_Nativ'!$P$6:$P$405,1,'Istoric_Nativ'!$D$6:$D$405,"&gt;="&amp;L966),SUMIFS('Istoric_Nativ'!$H$6:$H$405,'Istoric_Nativ'!$B$6:$B$405,E966,'Istoric_Nativ'!$C$6:$C$405,F966,'Istoric_Nativ'!$E$6:$E$405,G966,'Istoric_Nativ'!$D$6:$D$405,"&lt;"&amp;J966,'Istoric_Nativ'!$P$6:$P$405,1,'Istoric_Nativ'!$D$6:$D$405,"&gt;="&amp;L966)+SUMIFS('Istoric_Nativ'!$G$6:$G$405,'Istoric_Nativ'!$B$6:$B$405,E966,'Istoric_Nativ'!$C$6:$C$405,F966,'Istoric_Nativ'!$F$6:$F$405,G966,'Istoric_Nativ'!$D$6:$D$405,"&lt;"&amp;J966,'Istoric_Nativ'!$P$6:$P$405,1,'Istoric_Nativ'!$D$6:$D$405,"&gt;="&amp;L966)))/M966)</x:f>
      </x:c>
      <x:c r="P966" s="2" t="n">
        <x:f>'Config_v6'!$B$7</x:f>
        <x:v>10</x:v>
      </x:c>
      <x:c r="Q966" s="2" t="n">
        <x:f>IF(OR(B966="",F966=""),0,IFERROR(MATCH(E966&amp;"|"&amp;F966,SourceTable[Source_Key],0),0))</x:f>
        <x:v>0</x:v>
      </x:c>
      <x:c r="R966" s="2" t="str">
        <x:f>IF(B966="","",IF(F966="","UNUSED",IF(Q966=0,"NOT CHECKED",IF(COUNTIF(SourceTable[Source_Key],E966&amp;"|"&amp;F966)&lt;&gt;1,"SOURCE CONFLICT",IF(NOT(OR(INDEX(SourceTable[Status],MAX(1,Q966))="IMPORTED",INDEX(SourceTable[Status],MAX(1,Q966))="PARTIAL",INDEX(SourceTable[Status],MAX(1,Q966))="SOURCE CONFLICT")),"ACCESS BLOCKED",IF(OR(INDEX(SourceTable[Coverage],Q966)&lt;&gt;"FULL SEASON EXPORT",INDEX(SourceTable[URL],Q966)="",INDEX(SourceTable[SHA256],Q966)=""),"EVIDENCE INCOMPLETE",IF(AND('Input_Meci'!H86="LIVE",INDEX(SourceTable[Retrieved_UTC],Q966)&gt;'Input_Meci'!G86),"POST CUTOFF","CLOSED")))))))</x:f>
      </x:c>
      <x:c r="S966" s="2" t="n">
        <x:f>IF(OR(B966="",F966=""),0,COUNTIFS('Istoric_Nativ'!$B$6:$B$405,E966,'Istoric_Nativ'!$C$6:$C$405,F966,'Istoric_Nativ'!$E$6:$E$405,G966,'Istoric_Nativ'!$D$6:$D$405,"&lt;"&amp;J966,'Istoric_Nativ'!$O$6:$O$405,"INVALID")+COUNTIFS('Istoric_Nativ'!$B$6:$B$405,E966,'Istoric_Nativ'!$C$6:$C$405,F966,'Istoric_Nativ'!$E$6:$E$405,G966,'Istoric_Nativ'!$O$6:$O$405,"INVALID",'Istoric_Nativ'!$D$6:$D$405,"*")+COUNTIFS('Istoric_Nativ'!$B$6:$B$405,E966,'Istoric_Nativ'!$C$6:$C$405,F966,'Istoric_Nativ'!$E$6:$E$405,G966,'Istoric_Nativ'!$D$6:$D$405,"&lt;"&amp;J966,'Istoric_Nativ'!$O$6:$O$405,"SOURCE CONFLICT")+COUNTIFS('Istoric_Nativ'!$B$6:$B$405,E966,'Istoric_Nativ'!$C$6:$C$405,F966,'Istoric_Nativ'!$F$6:$F$405,G966,'Istoric_Nativ'!$D$6:$D$405,"&lt;"&amp;J966,'Istoric_Nativ'!$O$6:$O$405,"INVALID")+COUNTIFS('Istoric_Nativ'!$B$6:$B$405,E966,'Istoric_Nativ'!$C$6:$C$405,F966,'Istoric_Nativ'!$F$6:$F$405,G966,'Istoric_Nativ'!$O$6:$O$405,"INVALID",'Istoric_Nativ'!$D$6:$D$405,"*")+COUNTIFS('Istoric_Nativ'!$B$6:$B$405,E966,'Istoric_Nativ'!$C$6:$C$405,F966,'Istoric_Nativ'!$F$6:$F$405,G966,'Istoric_Nativ'!$D$6:$D$405,"&lt;"&amp;J966,'Istoric_Nativ'!$O$6:$O$405,"SOURCE CONFLICT"))</x:f>
        <x:v>0</x:v>
      </x:c>
      <x:c r="T966" s="2" t="str">
        <x:f>IF(B966="","",IF(R966&lt;&gt;"CLOSED",R966,IF(S966&gt;0,"NATIVE INPUT ISSUE",IF(M966=0,"NO HISTORY",IF(M966&lt;P966,"SMALL SAMPLE","DERIVED")))))</x:f>
      </x:c>
      <x:c r="U966" s="2" t="str">
        <x:f>IF(B966="","","NativeTable; "&amp;E966&amp;"; "&amp;F966&amp;"; "&amp;G966&amp;"; "&amp;H966&amp;"; before "&amp;TEXT(J966,"yyyy-mm-dd")&amp;IF(I966="RECENT","; from "&amp;TEXT(L966,"yyyy-mm-dd"),""))</x:f>
      </x:c>
    </x:row>
    <x:row r="967" ht="21" customHeight="1">
      <x:c r="A967" s="2" t="n">
        <x:v>81</x:v>
      </x:c>
      <x:c r="B967" s="2" t="str">
        <x:f>IF('Input_Meci'!A86="","",'Input_Meci'!A86)</x:f>
      </x:c>
      <x:c r="C967" s="2" t="str">
        <x:v>H</x:v>
      </x:c>
      <x:c r="D967" s="2" t="str">
        <x:v>CURRENT</x:v>
      </x:c>
      <x:c r="E967" s="2" t="str">
        <x:f>IF(B967="","",'Input_Meci'!B86)</x:f>
      </x:c>
      <x:c r="F967" s="2" t="str">
        <x:f>IF(B967="","",IF('Input_Meci'!C86="","",'Input_Meci'!C86))</x:f>
      </x:c>
      <x:c r="G967" s="2" t="str">
        <x:f>IF(B967="","",'Input_Meci'!D86)</x:f>
      </x:c>
      <x:c r="H967" s="2" t="str">
        <x:v>HOME</x:v>
      </x:c>
      <x:c r="I967" s="2" t="str">
        <x:v>HA</x:v>
      </x:c>
      <x:c r="J967" s="9" t="n">
        <x:f>IF(AND(B967&lt;&gt;"",ISNUMBER('Input_Meci'!G86)),INT('Input_Meci'!G86),0)</x:f>
        <x:v>0</x:v>
      </x:c>
      <x:c r="K967" s="2" t="n">
        <x:f>IF(OR(B967="",F967=""),0,IF(H967="HOME",COUNTIFS('Istoric_Nativ'!$B$6:$B$405,E967,'Istoric_Nativ'!$C$6:$C$405,F967,'Istoric_Nativ'!$E$6:$E$405,G967,'Istoric_Nativ'!$D$6:$D$405,"&lt;"&amp;J967,'Istoric_Nativ'!$P$6:$P$405,1),IF(H967="AWAY",COUNTIFS('Istoric_Nativ'!$B$6:$B$405,E967,'Istoric_Nativ'!$C$6:$C$405,F967,'Istoric_Nativ'!$F$6:$F$405,G967,'Istoric_Nativ'!$D$6:$D$405,"&lt;"&amp;J967,'Istoric_Nativ'!$P$6:$P$405,1),COUNTIFS('Istoric_Nativ'!$B$6:$B$405,E967,'Istoric_Nativ'!$C$6:$C$405,F967,'Istoric_Nativ'!$E$6:$E$405,G967,'Istoric_Nativ'!$D$6:$D$405,"&lt;"&amp;J967,'Istoric_Nativ'!$P$6:$P$405,1)+COUNTIFS('Istoric_Nativ'!$B$6:$B$405,E967,'Istoric_Nativ'!$C$6:$C$405,F967,'Istoric_Nativ'!$F$6:$F$405,G967,'Istoric_Nativ'!$D$6:$D$405,"&lt;"&amp;J967,'Istoric_Nativ'!$P$6:$P$405,1))))</x:f>
        <x:v>0</x:v>
      </x:c>
      <x:c r="L967" s="17" t="n">
        <x:f>IF(AND(B967&lt;&gt;"",I967="RECENT",K967&gt;0),LARGE(_xlfn._xlws.FILTER('Istoric_Nativ'!$D$6:$D$405,('Istoric_Nativ'!$B$6:$B$405=E967)*('Istoric_Nativ'!$C$6:$C$405=F967)*('Istoric_Nativ'!$P$6:$P$405=1)*('Istoric_Nativ'!$D$6:$D$405&lt;J967)*((('Istoric_Nativ'!$E$6:$E$405=G967)+('Istoric_Nativ'!$F$6:$F$405=G967))&gt;0)),MIN('Config_v6'!$B$54,K967)),0)</x:f>
        <x:v>0</x:v>
      </x:c>
      <x:c r="M967" s="2" t="n">
        <x:f>IF(OR(B967="",F967=""),0,IF(H967="HOME",COUNTIFS('Istoric_Nativ'!$B$6:$B$405,E967,'Istoric_Nativ'!$C$6:$C$405,F967,'Istoric_Nativ'!$E$6:$E$405,G967,'Istoric_Nativ'!$D$6:$D$405,"&lt;"&amp;J967,'Istoric_Nativ'!$P$6:$P$405,1,'Istoric_Nativ'!$D$6:$D$405,"&gt;="&amp;L967),IF(H967="AWAY",COUNTIFS('Istoric_Nativ'!$B$6:$B$405,E967,'Istoric_Nativ'!$C$6:$C$405,F967,'Istoric_Nativ'!$F$6:$F$405,G967,'Istoric_Nativ'!$D$6:$D$405,"&lt;"&amp;J967,'Istoric_Nativ'!$P$6:$P$405,1,'Istoric_Nativ'!$D$6:$D$405,"&gt;="&amp;L967),COUNTIFS('Istoric_Nativ'!$B$6:$B$405,E967,'Istoric_Nativ'!$C$6:$C$405,F967,'Istoric_Nativ'!$E$6:$E$405,G967,'Istoric_Nativ'!$D$6:$D$405,"&lt;"&amp;J967,'Istoric_Nativ'!$P$6:$P$405,1,'Istoric_Nativ'!$D$6:$D$405,"&gt;="&amp;L967)+COUNTIFS('Istoric_Nativ'!$B$6:$B$405,E967,'Istoric_Nativ'!$C$6:$C$405,F967,'Istoric_Nativ'!$F$6:$F$405,G967,'Istoric_Nativ'!$D$6:$D$405,"&lt;"&amp;J967,'Istoric_Nativ'!$P$6:$P$405,1,'Istoric_Nativ'!$D$6:$D$405,"&gt;="&amp;L967))))</x:f>
        <x:v>0</x:v>
      </x:c>
      <x:c r="N967" s="11" t="str">
        <x:f>IF(M967=0,"",IF(H967="HOME",SUMIFS('Istoric_Nativ'!$G$6:$G$405,'Istoric_Nativ'!$B$6:$B$405,E967,'Istoric_Nativ'!$C$6:$C$405,F967,'Istoric_Nativ'!$E$6:$E$405,G967,'Istoric_Nativ'!$D$6:$D$405,"&lt;"&amp;J967,'Istoric_Nativ'!$P$6:$P$405,1,'Istoric_Nativ'!$D$6:$D$405,"&gt;="&amp;L967),IF(H967="AWAY",SUMIFS('Istoric_Nativ'!$H$6:$H$405,'Istoric_Nativ'!$B$6:$B$405,E967,'Istoric_Nativ'!$C$6:$C$405,F967,'Istoric_Nativ'!$F$6:$F$405,G967,'Istoric_Nativ'!$D$6:$D$405,"&lt;"&amp;J967,'Istoric_Nativ'!$P$6:$P$405,1,'Istoric_Nativ'!$D$6:$D$405,"&gt;="&amp;L967),SUMIFS('Istoric_Nativ'!$G$6:$G$405,'Istoric_Nativ'!$B$6:$B$405,E967,'Istoric_Nativ'!$C$6:$C$405,F967,'Istoric_Nativ'!$E$6:$E$405,G967,'Istoric_Nativ'!$D$6:$D$405,"&lt;"&amp;J967,'Istoric_Nativ'!$P$6:$P$405,1,'Istoric_Nativ'!$D$6:$D$405,"&gt;="&amp;L967)+SUMIFS('Istoric_Nativ'!$H$6:$H$405,'Istoric_Nativ'!$B$6:$B$405,E967,'Istoric_Nativ'!$C$6:$C$405,F967,'Istoric_Nativ'!$F$6:$F$405,G967,'Istoric_Nativ'!$D$6:$D$405,"&lt;"&amp;J967,'Istoric_Nativ'!$P$6:$P$405,1,'Istoric_Nativ'!$D$6:$D$405,"&gt;="&amp;L967)))/M967)</x:f>
      </x:c>
      <x:c r="O967" s="11" t="str">
        <x:f>IF(M967=0,"",IF(H967="HOME",SUMIFS('Istoric_Nativ'!$H$6:$H$405,'Istoric_Nativ'!$B$6:$B$405,E967,'Istoric_Nativ'!$C$6:$C$405,F967,'Istoric_Nativ'!$E$6:$E$405,G967,'Istoric_Nativ'!$D$6:$D$405,"&lt;"&amp;J967,'Istoric_Nativ'!$P$6:$P$405,1,'Istoric_Nativ'!$D$6:$D$405,"&gt;="&amp;L967),IF(H967="AWAY",SUMIFS('Istoric_Nativ'!$G$6:$G$405,'Istoric_Nativ'!$B$6:$B$405,E967,'Istoric_Nativ'!$C$6:$C$405,F967,'Istoric_Nativ'!$F$6:$F$405,G967,'Istoric_Nativ'!$D$6:$D$405,"&lt;"&amp;J967,'Istoric_Nativ'!$P$6:$P$405,1,'Istoric_Nativ'!$D$6:$D$405,"&gt;="&amp;L967),SUMIFS('Istoric_Nativ'!$H$6:$H$405,'Istoric_Nativ'!$B$6:$B$405,E967,'Istoric_Nativ'!$C$6:$C$405,F967,'Istoric_Nativ'!$E$6:$E$405,G967,'Istoric_Nativ'!$D$6:$D$405,"&lt;"&amp;J967,'Istoric_Nativ'!$P$6:$P$405,1,'Istoric_Nativ'!$D$6:$D$405,"&gt;="&amp;L967)+SUMIFS('Istoric_Nativ'!$G$6:$G$405,'Istoric_Nativ'!$B$6:$B$405,E967,'Istoric_Nativ'!$C$6:$C$405,F967,'Istoric_Nativ'!$F$6:$F$405,G967,'Istoric_Nativ'!$D$6:$D$405,"&lt;"&amp;J967,'Istoric_Nativ'!$P$6:$P$405,1,'Istoric_Nativ'!$D$6:$D$405,"&gt;="&amp;L967)))/M967)</x:f>
      </x:c>
      <x:c r="P967" s="2" t="n">
        <x:f>'Config_v6'!$B$8</x:f>
        <x:v>5</x:v>
      </x:c>
      <x:c r="Q967" s="2" t="n">
        <x:f>IF(OR(B967="",F967=""),0,IFERROR(MATCH(E967&amp;"|"&amp;F967,SourceTable[Source_Key],0),0))</x:f>
        <x:v>0</x:v>
      </x:c>
      <x:c r="R967" s="2" t="str">
        <x:f>IF(B967="","",IF(F967="","UNUSED",IF(Q967=0,"NOT CHECKED",IF(COUNTIF(SourceTable[Source_Key],E967&amp;"|"&amp;F967)&lt;&gt;1,"SOURCE CONFLICT",IF(NOT(OR(INDEX(SourceTable[Status],MAX(1,Q967))="IMPORTED",INDEX(SourceTable[Status],MAX(1,Q967))="PARTIAL",INDEX(SourceTable[Status],MAX(1,Q967))="SOURCE CONFLICT")),"ACCESS BLOCKED",IF(OR(INDEX(SourceTable[Coverage],Q967)&lt;&gt;"FULL SEASON EXPORT",INDEX(SourceTable[URL],Q967)="",INDEX(SourceTable[SHA256],Q967)=""),"EVIDENCE INCOMPLETE",IF(AND('Input_Meci'!H86="LIVE",INDEX(SourceTable[Retrieved_UTC],Q967)&gt;'Input_Meci'!G86),"POST CUTOFF","CLOSED")))))))</x:f>
      </x:c>
      <x:c r="S967" s="2" t="n">
        <x:f>IF(OR(B967="",F967=""),0,COUNTIFS('Istoric_Nativ'!$B$6:$B$405,E967,'Istoric_Nativ'!$C$6:$C$405,F967,'Istoric_Nativ'!$E$6:$E$405,G967,'Istoric_Nativ'!$D$6:$D$405,"&lt;"&amp;J967,'Istoric_Nativ'!$O$6:$O$405,"INVALID")+COUNTIFS('Istoric_Nativ'!$B$6:$B$405,E967,'Istoric_Nativ'!$C$6:$C$405,F967,'Istoric_Nativ'!$E$6:$E$405,G967,'Istoric_Nativ'!$O$6:$O$405,"INVALID",'Istoric_Nativ'!$D$6:$D$405,"*")+COUNTIFS('Istoric_Nativ'!$B$6:$B$405,E967,'Istoric_Nativ'!$C$6:$C$405,F967,'Istoric_Nativ'!$E$6:$E$405,G967,'Istoric_Nativ'!$D$6:$D$405,"&lt;"&amp;J967,'Istoric_Nativ'!$O$6:$O$405,"SOURCE CONFLICT")+COUNTIFS('Istoric_Nativ'!$B$6:$B$405,E967,'Istoric_Nativ'!$C$6:$C$405,F967,'Istoric_Nativ'!$F$6:$F$405,G967,'Istoric_Nativ'!$D$6:$D$405,"&lt;"&amp;J967,'Istoric_Nativ'!$O$6:$O$405,"INVALID")+COUNTIFS('Istoric_Nativ'!$B$6:$B$405,E967,'Istoric_Nativ'!$C$6:$C$405,F967,'Istoric_Nativ'!$F$6:$F$405,G967,'Istoric_Nativ'!$O$6:$O$405,"INVALID",'Istoric_Nativ'!$D$6:$D$405,"*")+COUNTIFS('Istoric_Nativ'!$B$6:$B$405,E967,'Istoric_Nativ'!$C$6:$C$405,F967,'Istoric_Nativ'!$F$6:$F$405,G967,'Istoric_Nativ'!$D$6:$D$405,"&lt;"&amp;J967,'Istoric_Nativ'!$O$6:$O$405,"SOURCE CONFLICT"))</x:f>
        <x:v>0</x:v>
      </x:c>
      <x:c r="T967" s="2" t="str">
        <x:f>IF(B967="","",IF(R967&lt;&gt;"CLOSED",R967,IF(S967&gt;0,"NATIVE INPUT ISSUE",IF(M967=0,"NO HISTORY",IF(M967&lt;P967,"SMALL SAMPLE","DERIVED")))))</x:f>
      </x:c>
      <x:c r="U967" s="2" t="str">
        <x:f>IF(B967="","","NativeTable; "&amp;E967&amp;"; "&amp;F967&amp;"; "&amp;G967&amp;"; "&amp;H967&amp;"; before "&amp;TEXT(J967,"yyyy-mm-dd")&amp;IF(I967="RECENT","; from "&amp;TEXT(L967,"yyyy-mm-dd"),""))</x:f>
      </x:c>
    </x:row>
    <x:row r="968" ht="21" customHeight="1">
      <x:c r="A968" s="2" t="n">
        <x:v>81</x:v>
      </x:c>
      <x:c r="B968" s="2" t="str">
        <x:f>IF('Input_Meci'!A86="","",'Input_Meci'!A86)</x:f>
      </x:c>
      <x:c r="C968" s="2" t="str">
        <x:v>H</x:v>
      </x:c>
      <x:c r="D968" s="2" t="str">
        <x:v>CURRENT</x:v>
      </x:c>
      <x:c r="E968" s="2" t="str">
        <x:f>IF(B968="","",'Input_Meci'!B86)</x:f>
      </x:c>
      <x:c r="F968" s="2" t="str">
        <x:f>IF(B968="","",IF('Input_Meci'!C86="","",'Input_Meci'!C86))</x:f>
      </x:c>
      <x:c r="G968" s="2" t="str">
        <x:f>IF(B968="","",'Input_Meci'!D86)</x:f>
      </x:c>
      <x:c r="H968" s="2" t="str">
        <x:v>ANY</x:v>
      </x:c>
      <x:c r="I968" s="2" t="str">
        <x:v>RECENT</x:v>
      </x:c>
      <x:c r="J968" s="9" t="n">
        <x:f>IF(AND(B968&lt;&gt;"",ISNUMBER('Input_Meci'!G86)),INT('Input_Meci'!G86),0)</x:f>
        <x:v>0</x:v>
      </x:c>
      <x:c r="K968" s="2" t="n">
        <x:f>IF(OR(B968="",F968=""),0,IF(H968="HOME",COUNTIFS('Istoric_Nativ'!$B$6:$B$405,E968,'Istoric_Nativ'!$C$6:$C$405,F968,'Istoric_Nativ'!$E$6:$E$405,G968,'Istoric_Nativ'!$D$6:$D$405,"&lt;"&amp;J968,'Istoric_Nativ'!$P$6:$P$405,1),IF(H968="AWAY",COUNTIFS('Istoric_Nativ'!$B$6:$B$405,E968,'Istoric_Nativ'!$C$6:$C$405,F968,'Istoric_Nativ'!$F$6:$F$405,G968,'Istoric_Nativ'!$D$6:$D$405,"&lt;"&amp;J968,'Istoric_Nativ'!$P$6:$P$405,1),COUNTIFS('Istoric_Nativ'!$B$6:$B$405,E968,'Istoric_Nativ'!$C$6:$C$405,F968,'Istoric_Nativ'!$E$6:$E$405,G968,'Istoric_Nativ'!$D$6:$D$405,"&lt;"&amp;J968,'Istoric_Nativ'!$P$6:$P$405,1)+COUNTIFS('Istoric_Nativ'!$B$6:$B$405,E968,'Istoric_Nativ'!$C$6:$C$405,F968,'Istoric_Nativ'!$F$6:$F$405,G968,'Istoric_Nativ'!$D$6:$D$405,"&lt;"&amp;J968,'Istoric_Nativ'!$P$6:$P$405,1))))</x:f>
        <x:v>0</x:v>
      </x:c>
      <x:c r="L968" s="17" t="n">
        <x:f>IF(AND(B968&lt;&gt;"",I968="RECENT",K968&gt;0),LARGE(_xlfn._xlws.FILTER('Istoric_Nativ'!$D$6:$D$405,('Istoric_Nativ'!$B$6:$B$405=E968)*('Istoric_Nativ'!$C$6:$C$405=F968)*('Istoric_Nativ'!$P$6:$P$405=1)*('Istoric_Nativ'!$D$6:$D$405&lt;J968)*((('Istoric_Nativ'!$E$6:$E$405=G968)+('Istoric_Nativ'!$F$6:$F$405=G968))&gt;0)),MIN('Config_v6'!$B$54,K968)),0)</x:f>
        <x:v>0</x:v>
      </x:c>
      <x:c r="M968" s="2" t="n">
        <x:f>IF(OR(B968="",F968=""),0,IF(H968="HOME",COUNTIFS('Istoric_Nativ'!$B$6:$B$405,E968,'Istoric_Nativ'!$C$6:$C$405,F968,'Istoric_Nativ'!$E$6:$E$405,G968,'Istoric_Nativ'!$D$6:$D$405,"&lt;"&amp;J968,'Istoric_Nativ'!$P$6:$P$405,1,'Istoric_Nativ'!$D$6:$D$405,"&gt;="&amp;L968),IF(H968="AWAY",COUNTIFS('Istoric_Nativ'!$B$6:$B$405,E968,'Istoric_Nativ'!$C$6:$C$405,F968,'Istoric_Nativ'!$F$6:$F$405,G968,'Istoric_Nativ'!$D$6:$D$405,"&lt;"&amp;J968,'Istoric_Nativ'!$P$6:$P$405,1,'Istoric_Nativ'!$D$6:$D$405,"&gt;="&amp;L968),COUNTIFS('Istoric_Nativ'!$B$6:$B$405,E968,'Istoric_Nativ'!$C$6:$C$405,F968,'Istoric_Nativ'!$E$6:$E$405,G968,'Istoric_Nativ'!$D$6:$D$405,"&lt;"&amp;J968,'Istoric_Nativ'!$P$6:$P$405,1,'Istoric_Nativ'!$D$6:$D$405,"&gt;="&amp;L968)+COUNTIFS('Istoric_Nativ'!$B$6:$B$405,E968,'Istoric_Nativ'!$C$6:$C$405,F968,'Istoric_Nativ'!$F$6:$F$405,G968,'Istoric_Nativ'!$D$6:$D$405,"&lt;"&amp;J968,'Istoric_Nativ'!$P$6:$P$405,1,'Istoric_Nativ'!$D$6:$D$405,"&gt;="&amp;L968))))</x:f>
        <x:v>0</x:v>
      </x:c>
      <x:c r="N968" s="11" t="str">
        <x:f>IF(M968=0,"",IF(H968="HOME",SUMIFS('Istoric_Nativ'!$G$6:$G$405,'Istoric_Nativ'!$B$6:$B$405,E968,'Istoric_Nativ'!$C$6:$C$405,F968,'Istoric_Nativ'!$E$6:$E$405,G968,'Istoric_Nativ'!$D$6:$D$405,"&lt;"&amp;J968,'Istoric_Nativ'!$P$6:$P$405,1,'Istoric_Nativ'!$D$6:$D$405,"&gt;="&amp;L968),IF(H968="AWAY",SUMIFS('Istoric_Nativ'!$H$6:$H$405,'Istoric_Nativ'!$B$6:$B$405,E968,'Istoric_Nativ'!$C$6:$C$405,F968,'Istoric_Nativ'!$F$6:$F$405,G968,'Istoric_Nativ'!$D$6:$D$405,"&lt;"&amp;J968,'Istoric_Nativ'!$P$6:$P$405,1,'Istoric_Nativ'!$D$6:$D$405,"&gt;="&amp;L968),SUMIFS('Istoric_Nativ'!$G$6:$G$405,'Istoric_Nativ'!$B$6:$B$405,E968,'Istoric_Nativ'!$C$6:$C$405,F968,'Istoric_Nativ'!$E$6:$E$405,G968,'Istoric_Nativ'!$D$6:$D$405,"&lt;"&amp;J968,'Istoric_Nativ'!$P$6:$P$405,1,'Istoric_Nativ'!$D$6:$D$405,"&gt;="&amp;L968)+SUMIFS('Istoric_Nativ'!$H$6:$H$405,'Istoric_Nativ'!$B$6:$B$405,E968,'Istoric_Nativ'!$C$6:$C$405,F968,'Istoric_Nativ'!$F$6:$F$405,G968,'Istoric_Nativ'!$D$6:$D$405,"&lt;"&amp;J968,'Istoric_Nativ'!$P$6:$P$405,1,'Istoric_Nativ'!$D$6:$D$405,"&gt;="&amp;L968)))/M968)</x:f>
      </x:c>
      <x:c r="O968" s="11" t="str">
        <x:f>IF(M968=0,"",IF(H968="HOME",SUMIFS('Istoric_Nativ'!$H$6:$H$405,'Istoric_Nativ'!$B$6:$B$405,E968,'Istoric_Nativ'!$C$6:$C$405,F968,'Istoric_Nativ'!$E$6:$E$405,G968,'Istoric_Nativ'!$D$6:$D$405,"&lt;"&amp;J968,'Istoric_Nativ'!$P$6:$P$405,1,'Istoric_Nativ'!$D$6:$D$405,"&gt;="&amp;L968),IF(H968="AWAY",SUMIFS('Istoric_Nativ'!$G$6:$G$405,'Istoric_Nativ'!$B$6:$B$405,E968,'Istoric_Nativ'!$C$6:$C$405,F968,'Istoric_Nativ'!$F$6:$F$405,G968,'Istoric_Nativ'!$D$6:$D$405,"&lt;"&amp;J968,'Istoric_Nativ'!$P$6:$P$405,1,'Istoric_Nativ'!$D$6:$D$405,"&gt;="&amp;L968),SUMIFS('Istoric_Nativ'!$H$6:$H$405,'Istoric_Nativ'!$B$6:$B$405,E968,'Istoric_Nativ'!$C$6:$C$405,F968,'Istoric_Nativ'!$E$6:$E$405,G968,'Istoric_Nativ'!$D$6:$D$405,"&lt;"&amp;J968,'Istoric_Nativ'!$P$6:$P$405,1,'Istoric_Nativ'!$D$6:$D$405,"&gt;="&amp;L968)+SUMIFS('Istoric_Nativ'!$G$6:$G$405,'Istoric_Nativ'!$B$6:$B$405,E968,'Istoric_Nativ'!$C$6:$C$405,F968,'Istoric_Nativ'!$F$6:$F$405,G968,'Istoric_Nativ'!$D$6:$D$405,"&lt;"&amp;J968,'Istoric_Nativ'!$P$6:$P$405,1,'Istoric_Nativ'!$D$6:$D$405,"&gt;="&amp;L968)))/M968)</x:f>
      </x:c>
      <x:c r="P968" s="2" t="n">
        <x:f>'Config_v6'!$B$9</x:f>
        <x:v>3</x:v>
      </x:c>
      <x:c r="Q968" s="2" t="n">
        <x:f>IF(OR(B968="",F968=""),0,IFERROR(MATCH(E968&amp;"|"&amp;F968,SourceTable[Source_Key],0),0))</x:f>
        <x:v>0</x:v>
      </x:c>
      <x:c r="R968" s="2" t="str">
        <x:f>IF(B968="","",IF(F968="","UNUSED",IF(Q968=0,"NOT CHECKED",IF(COUNTIF(SourceTable[Source_Key],E968&amp;"|"&amp;F968)&lt;&gt;1,"SOURCE CONFLICT",IF(NOT(OR(INDEX(SourceTable[Status],MAX(1,Q968))="IMPORTED",INDEX(SourceTable[Status],MAX(1,Q968))="PARTIAL",INDEX(SourceTable[Status],MAX(1,Q968))="SOURCE CONFLICT")),"ACCESS BLOCKED",IF(OR(INDEX(SourceTable[Coverage],Q968)&lt;&gt;"FULL SEASON EXPORT",INDEX(SourceTable[URL],Q968)="",INDEX(SourceTable[SHA256],Q968)=""),"EVIDENCE INCOMPLETE",IF(AND('Input_Meci'!H86="LIVE",INDEX(SourceTable[Retrieved_UTC],Q968)&gt;'Input_Meci'!G86),"POST CUTOFF","CLOSED")))))))</x:f>
      </x:c>
      <x:c r="S968" s="2" t="n">
        <x:f>IF(OR(B968="",F968=""),0,COUNTIFS('Istoric_Nativ'!$B$6:$B$405,E968,'Istoric_Nativ'!$C$6:$C$405,F968,'Istoric_Nativ'!$E$6:$E$405,G968,'Istoric_Nativ'!$D$6:$D$405,"&lt;"&amp;J968,'Istoric_Nativ'!$O$6:$O$405,"INVALID")+COUNTIFS('Istoric_Nativ'!$B$6:$B$405,E968,'Istoric_Nativ'!$C$6:$C$405,F968,'Istoric_Nativ'!$E$6:$E$405,G968,'Istoric_Nativ'!$O$6:$O$405,"INVALID",'Istoric_Nativ'!$D$6:$D$405,"*")+COUNTIFS('Istoric_Nativ'!$B$6:$B$405,E968,'Istoric_Nativ'!$C$6:$C$405,F968,'Istoric_Nativ'!$E$6:$E$405,G968,'Istoric_Nativ'!$D$6:$D$405,"&lt;"&amp;J968,'Istoric_Nativ'!$O$6:$O$405,"SOURCE CONFLICT")+COUNTIFS('Istoric_Nativ'!$B$6:$B$405,E968,'Istoric_Nativ'!$C$6:$C$405,F968,'Istoric_Nativ'!$F$6:$F$405,G968,'Istoric_Nativ'!$D$6:$D$405,"&lt;"&amp;J968,'Istoric_Nativ'!$O$6:$O$405,"INVALID")+COUNTIFS('Istoric_Nativ'!$B$6:$B$405,E968,'Istoric_Nativ'!$C$6:$C$405,F968,'Istoric_Nativ'!$F$6:$F$405,G968,'Istoric_Nativ'!$O$6:$O$405,"INVALID",'Istoric_Nativ'!$D$6:$D$405,"*")+COUNTIFS('Istoric_Nativ'!$B$6:$B$405,E968,'Istoric_Nativ'!$C$6:$C$405,F968,'Istoric_Nativ'!$F$6:$F$405,G968,'Istoric_Nativ'!$D$6:$D$405,"&lt;"&amp;J968,'Istoric_Nativ'!$O$6:$O$405,"SOURCE CONFLICT"))</x:f>
        <x:v>0</x:v>
      </x:c>
      <x:c r="T968" s="2" t="str">
        <x:f>IF(B968="","",IF(R968&lt;&gt;"CLOSED",R968,IF(S968&gt;0,"NATIVE INPUT ISSUE",IF(M968=0,"NO HISTORY",IF(M968&lt;P968,"SMALL SAMPLE","DERIVED")))))</x:f>
      </x:c>
      <x:c r="U968" s="2" t="str">
        <x:f>IF(B968="","","NativeTable; "&amp;E968&amp;"; "&amp;F968&amp;"; "&amp;G968&amp;"; "&amp;H968&amp;"; before "&amp;TEXT(J968,"yyyy-mm-dd")&amp;IF(I968="RECENT","; from "&amp;TEXT(L968,"yyyy-mm-dd"),""))</x:f>
      </x:c>
    </x:row>
    <x:row r="969" ht="21" customHeight="1">
      <x:c r="A969" s="2" t="n">
        <x:v>81</x:v>
      </x:c>
      <x:c r="B969" s="2" t="str">
        <x:f>IF('Input_Meci'!A86="","",'Input_Meci'!A86)</x:f>
      </x:c>
      <x:c r="C969" s="2" t="str">
        <x:v>A</x:v>
      </x:c>
      <x:c r="D969" s="2" t="str">
        <x:v>CURRENT</x:v>
      </x:c>
      <x:c r="E969" s="2" t="str">
        <x:f>IF(B969="","",'Input_Meci'!B86)</x:f>
      </x:c>
      <x:c r="F969" s="2" t="str">
        <x:f>IF(B969="","",IF('Input_Meci'!C86="","",'Input_Meci'!C86))</x:f>
      </x:c>
      <x:c r="G969" s="2" t="str">
        <x:f>IF(B969="","",'Input_Meci'!E86)</x:f>
      </x:c>
      <x:c r="H969" s="2" t="str">
        <x:v>ANY</x:v>
      </x:c>
      <x:c r="I969" s="2" t="str">
        <x:v>SEASON</x:v>
      </x:c>
      <x:c r="J969" s="9" t="n">
        <x:f>IF(AND(B969&lt;&gt;"",ISNUMBER('Input_Meci'!G86)),INT('Input_Meci'!G86),0)</x:f>
        <x:v>0</x:v>
      </x:c>
      <x:c r="K969" s="2" t="n">
        <x:f>IF(OR(B969="",F969=""),0,IF(H969="HOME",COUNTIFS('Istoric_Nativ'!$B$6:$B$405,E969,'Istoric_Nativ'!$C$6:$C$405,F969,'Istoric_Nativ'!$E$6:$E$405,G969,'Istoric_Nativ'!$D$6:$D$405,"&lt;"&amp;J969,'Istoric_Nativ'!$P$6:$P$405,1),IF(H969="AWAY",COUNTIFS('Istoric_Nativ'!$B$6:$B$405,E969,'Istoric_Nativ'!$C$6:$C$405,F969,'Istoric_Nativ'!$F$6:$F$405,G969,'Istoric_Nativ'!$D$6:$D$405,"&lt;"&amp;J969,'Istoric_Nativ'!$P$6:$P$405,1),COUNTIFS('Istoric_Nativ'!$B$6:$B$405,E969,'Istoric_Nativ'!$C$6:$C$405,F969,'Istoric_Nativ'!$E$6:$E$405,G969,'Istoric_Nativ'!$D$6:$D$405,"&lt;"&amp;J969,'Istoric_Nativ'!$P$6:$P$405,1)+COUNTIFS('Istoric_Nativ'!$B$6:$B$405,E969,'Istoric_Nativ'!$C$6:$C$405,F969,'Istoric_Nativ'!$F$6:$F$405,G969,'Istoric_Nativ'!$D$6:$D$405,"&lt;"&amp;J969,'Istoric_Nativ'!$P$6:$P$405,1))))</x:f>
        <x:v>0</x:v>
      </x:c>
      <x:c r="L969" s="17" t="n">
        <x:f>IF(AND(B969&lt;&gt;"",I969="RECENT",K969&gt;0),LARGE(_xlfn._xlws.FILTER('Istoric_Nativ'!$D$6:$D$405,('Istoric_Nativ'!$B$6:$B$405=E969)*('Istoric_Nativ'!$C$6:$C$405=F969)*('Istoric_Nativ'!$P$6:$P$405=1)*('Istoric_Nativ'!$D$6:$D$405&lt;J969)*((('Istoric_Nativ'!$E$6:$E$405=G969)+('Istoric_Nativ'!$F$6:$F$405=G969))&gt;0)),MIN('Config_v6'!$B$54,K969)),0)</x:f>
        <x:v>0</x:v>
      </x:c>
      <x:c r="M969" s="2" t="n">
        <x:f>IF(OR(B969="",F969=""),0,IF(H969="HOME",COUNTIFS('Istoric_Nativ'!$B$6:$B$405,E969,'Istoric_Nativ'!$C$6:$C$405,F969,'Istoric_Nativ'!$E$6:$E$405,G969,'Istoric_Nativ'!$D$6:$D$405,"&lt;"&amp;J969,'Istoric_Nativ'!$P$6:$P$405,1,'Istoric_Nativ'!$D$6:$D$405,"&gt;="&amp;L969),IF(H969="AWAY",COUNTIFS('Istoric_Nativ'!$B$6:$B$405,E969,'Istoric_Nativ'!$C$6:$C$405,F969,'Istoric_Nativ'!$F$6:$F$405,G969,'Istoric_Nativ'!$D$6:$D$405,"&lt;"&amp;J969,'Istoric_Nativ'!$P$6:$P$405,1,'Istoric_Nativ'!$D$6:$D$405,"&gt;="&amp;L969),COUNTIFS('Istoric_Nativ'!$B$6:$B$405,E969,'Istoric_Nativ'!$C$6:$C$405,F969,'Istoric_Nativ'!$E$6:$E$405,G969,'Istoric_Nativ'!$D$6:$D$405,"&lt;"&amp;J969,'Istoric_Nativ'!$P$6:$P$405,1,'Istoric_Nativ'!$D$6:$D$405,"&gt;="&amp;L969)+COUNTIFS('Istoric_Nativ'!$B$6:$B$405,E969,'Istoric_Nativ'!$C$6:$C$405,F969,'Istoric_Nativ'!$F$6:$F$405,G969,'Istoric_Nativ'!$D$6:$D$405,"&lt;"&amp;J969,'Istoric_Nativ'!$P$6:$P$405,1,'Istoric_Nativ'!$D$6:$D$405,"&gt;="&amp;L969))))</x:f>
        <x:v>0</x:v>
      </x:c>
      <x:c r="N969" s="11" t="str">
        <x:f>IF(M969=0,"",IF(H969="HOME",SUMIFS('Istoric_Nativ'!$G$6:$G$405,'Istoric_Nativ'!$B$6:$B$405,E969,'Istoric_Nativ'!$C$6:$C$405,F969,'Istoric_Nativ'!$E$6:$E$405,G969,'Istoric_Nativ'!$D$6:$D$405,"&lt;"&amp;J969,'Istoric_Nativ'!$P$6:$P$405,1,'Istoric_Nativ'!$D$6:$D$405,"&gt;="&amp;L969),IF(H969="AWAY",SUMIFS('Istoric_Nativ'!$H$6:$H$405,'Istoric_Nativ'!$B$6:$B$405,E969,'Istoric_Nativ'!$C$6:$C$405,F969,'Istoric_Nativ'!$F$6:$F$405,G969,'Istoric_Nativ'!$D$6:$D$405,"&lt;"&amp;J969,'Istoric_Nativ'!$P$6:$P$405,1,'Istoric_Nativ'!$D$6:$D$405,"&gt;="&amp;L969),SUMIFS('Istoric_Nativ'!$G$6:$G$405,'Istoric_Nativ'!$B$6:$B$405,E969,'Istoric_Nativ'!$C$6:$C$405,F969,'Istoric_Nativ'!$E$6:$E$405,G969,'Istoric_Nativ'!$D$6:$D$405,"&lt;"&amp;J969,'Istoric_Nativ'!$P$6:$P$405,1,'Istoric_Nativ'!$D$6:$D$405,"&gt;="&amp;L969)+SUMIFS('Istoric_Nativ'!$H$6:$H$405,'Istoric_Nativ'!$B$6:$B$405,E969,'Istoric_Nativ'!$C$6:$C$405,F969,'Istoric_Nativ'!$F$6:$F$405,G969,'Istoric_Nativ'!$D$6:$D$405,"&lt;"&amp;J969,'Istoric_Nativ'!$P$6:$P$405,1,'Istoric_Nativ'!$D$6:$D$405,"&gt;="&amp;L969)))/M969)</x:f>
      </x:c>
      <x:c r="O969" s="11" t="str">
        <x:f>IF(M969=0,"",IF(H969="HOME",SUMIFS('Istoric_Nativ'!$H$6:$H$405,'Istoric_Nativ'!$B$6:$B$405,E969,'Istoric_Nativ'!$C$6:$C$405,F969,'Istoric_Nativ'!$E$6:$E$405,G969,'Istoric_Nativ'!$D$6:$D$405,"&lt;"&amp;J969,'Istoric_Nativ'!$P$6:$P$405,1,'Istoric_Nativ'!$D$6:$D$405,"&gt;="&amp;L969),IF(H969="AWAY",SUMIFS('Istoric_Nativ'!$G$6:$G$405,'Istoric_Nativ'!$B$6:$B$405,E969,'Istoric_Nativ'!$C$6:$C$405,F969,'Istoric_Nativ'!$F$6:$F$405,G969,'Istoric_Nativ'!$D$6:$D$405,"&lt;"&amp;J969,'Istoric_Nativ'!$P$6:$P$405,1,'Istoric_Nativ'!$D$6:$D$405,"&gt;="&amp;L969),SUMIFS('Istoric_Nativ'!$H$6:$H$405,'Istoric_Nativ'!$B$6:$B$405,E969,'Istoric_Nativ'!$C$6:$C$405,F969,'Istoric_Nativ'!$E$6:$E$405,G969,'Istoric_Nativ'!$D$6:$D$405,"&lt;"&amp;J969,'Istoric_Nativ'!$P$6:$P$405,1,'Istoric_Nativ'!$D$6:$D$405,"&gt;="&amp;L969)+SUMIFS('Istoric_Nativ'!$G$6:$G$405,'Istoric_Nativ'!$B$6:$B$405,E969,'Istoric_Nativ'!$C$6:$C$405,F969,'Istoric_Nativ'!$F$6:$F$405,G969,'Istoric_Nativ'!$D$6:$D$405,"&lt;"&amp;J969,'Istoric_Nativ'!$P$6:$P$405,1,'Istoric_Nativ'!$D$6:$D$405,"&gt;="&amp;L969)))/M969)</x:f>
      </x:c>
      <x:c r="P969" s="2" t="n">
        <x:f>'Config_v6'!$B$7</x:f>
        <x:v>10</x:v>
      </x:c>
      <x:c r="Q969" s="2" t="n">
        <x:f>IF(OR(B969="",F969=""),0,IFERROR(MATCH(E969&amp;"|"&amp;F969,SourceTable[Source_Key],0),0))</x:f>
        <x:v>0</x:v>
      </x:c>
      <x:c r="R969" s="2" t="str">
        <x:f>IF(B969="","",IF(F969="","UNUSED",IF(Q969=0,"NOT CHECKED",IF(COUNTIF(SourceTable[Source_Key],E969&amp;"|"&amp;F969)&lt;&gt;1,"SOURCE CONFLICT",IF(NOT(OR(INDEX(SourceTable[Status],MAX(1,Q969))="IMPORTED",INDEX(SourceTable[Status],MAX(1,Q969))="PARTIAL",INDEX(SourceTable[Status],MAX(1,Q969))="SOURCE CONFLICT")),"ACCESS BLOCKED",IF(OR(INDEX(SourceTable[Coverage],Q969)&lt;&gt;"FULL SEASON EXPORT",INDEX(SourceTable[URL],Q969)="",INDEX(SourceTable[SHA256],Q969)=""),"EVIDENCE INCOMPLETE",IF(AND('Input_Meci'!H86="LIVE",INDEX(SourceTable[Retrieved_UTC],Q969)&gt;'Input_Meci'!G86),"POST CUTOFF","CLOSED")))))))</x:f>
      </x:c>
      <x:c r="S969" s="2" t="n">
        <x:f>IF(OR(B969="",F969=""),0,COUNTIFS('Istoric_Nativ'!$B$6:$B$405,E969,'Istoric_Nativ'!$C$6:$C$405,F969,'Istoric_Nativ'!$E$6:$E$405,G969,'Istoric_Nativ'!$D$6:$D$405,"&lt;"&amp;J969,'Istoric_Nativ'!$O$6:$O$405,"INVALID")+COUNTIFS('Istoric_Nativ'!$B$6:$B$405,E969,'Istoric_Nativ'!$C$6:$C$405,F969,'Istoric_Nativ'!$E$6:$E$405,G969,'Istoric_Nativ'!$O$6:$O$405,"INVALID",'Istoric_Nativ'!$D$6:$D$405,"*")+COUNTIFS('Istoric_Nativ'!$B$6:$B$405,E969,'Istoric_Nativ'!$C$6:$C$405,F969,'Istoric_Nativ'!$E$6:$E$405,G969,'Istoric_Nativ'!$D$6:$D$405,"&lt;"&amp;J969,'Istoric_Nativ'!$O$6:$O$405,"SOURCE CONFLICT")+COUNTIFS('Istoric_Nativ'!$B$6:$B$405,E969,'Istoric_Nativ'!$C$6:$C$405,F969,'Istoric_Nativ'!$F$6:$F$405,G969,'Istoric_Nativ'!$D$6:$D$405,"&lt;"&amp;J969,'Istoric_Nativ'!$O$6:$O$405,"INVALID")+COUNTIFS('Istoric_Nativ'!$B$6:$B$405,E969,'Istoric_Nativ'!$C$6:$C$405,F969,'Istoric_Nativ'!$F$6:$F$405,G969,'Istoric_Nativ'!$O$6:$O$405,"INVALID",'Istoric_Nativ'!$D$6:$D$405,"*")+COUNTIFS('Istoric_Nativ'!$B$6:$B$405,E969,'Istoric_Nativ'!$C$6:$C$405,F969,'Istoric_Nativ'!$F$6:$F$405,G969,'Istoric_Nativ'!$D$6:$D$405,"&lt;"&amp;J969,'Istoric_Nativ'!$O$6:$O$405,"SOURCE CONFLICT"))</x:f>
        <x:v>0</x:v>
      </x:c>
      <x:c r="T969" s="2" t="str">
        <x:f>IF(B969="","",IF(R969&lt;&gt;"CLOSED",R969,IF(S969&gt;0,"NATIVE INPUT ISSUE",IF(M969=0,"NO HISTORY",IF(M969&lt;P969,"SMALL SAMPLE","DERIVED")))))</x:f>
      </x:c>
      <x:c r="U969" s="2" t="str">
        <x:f>IF(B969="","","NativeTable; "&amp;E969&amp;"; "&amp;F969&amp;"; "&amp;G969&amp;"; "&amp;H969&amp;"; before "&amp;TEXT(J969,"yyyy-mm-dd")&amp;IF(I969="RECENT","; from "&amp;TEXT(L969,"yyyy-mm-dd"),""))</x:f>
      </x:c>
    </x:row>
    <x:row r="970" ht="21" customHeight="1">
      <x:c r="A970" s="2" t="n">
        <x:v>81</x:v>
      </x:c>
      <x:c r="B970" s="2" t="str">
        <x:f>IF('Input_Meci'!A86="","",'Input_Meci'!A86)</x:f>
      </x:c>
      <x:c r="C970" s="2" t="str">
        <x:v>A</x:v>
      </x:c>
      <x:c r="D970" s="2" t="str">
        <x:v>CURRENT</x:v>
      </x:c>
      <x:c r="E970" s="2" t="str">
        <x:f>IF(B970="","",'Input_Meci'!B86)</x:f>
      </x:c>
      <x:c r="F970" s="2" t="str">
        <x:f>IF(B970="","",IF('Input_Meci'!C86="","",'Input_Meci'!C86))</x:f>
      </x:c>
      <x:c r="G970" s="2" t="str">
        <x:f>IF(B970="","",'Input_Meci'!E86)</x:f>
      </x:c>
      <x:c r="H970" s="2" t="str">
        <x:v>AWAY</x:v>
      </x:c>
      <x:c r="I970" s="2" t="str">
        <x:v>HA</x:v>
      </x:c>
      <x:c r="J970" s="9" t="n">
        <x:f>IF(AND(B970&lt;&gt;"",ISNUMBER('Input_Meci'!G86)),INT('Input_Meci'!G86),0)</x:f>
        <x:v>0</x:v>
      </x:c>
      <x:c r="K970" s="2" t="n">
        <x:f>IF(OR(B970="",F970=""),0,IF(H970="HOME",COUNTIFS('Istoric_Nativ'!$B$6:$B$405,E970,'Istoric_Nativ'!$C$6:$C$405,F970,'Istoric_Nativ'!$E$6:$E$405,G970,'Istoric_Nativ'!$D$6:$D$405,"&lt;"&amp;J970,'Istoric_Nativ'!$P$6:$P$405,1),IF(H970="AWAY",COUNTIFS('Istoric_Nativ'!$B$6:$B$405,E970,'Istoric_Nativ'!$C$6:$C$405,F970,'Istoric_Nativ'!$F$6:$F$405,G970,'Istoric_Nativ'!$D$6:$D$405,"&lt;"&amp;J970,'Istoric_Nativ'!$P$6:$P$405,1),COUNTIFS('Istoric_Nativ'!$B$6:$B$405,E970,'Istoric_Nativ'!$C$6:$C$405,F970,'Istoric_Nativ'!$E$6:$E$405,G970,'Istoric_Nativ'!$D$6:$D$405,"&lt;"&amp;J970,'Istoric_Nativ'!$P$6:$P$405,1)+COUNTIFS('Istoric_Nativ'!$B$6:$B$405,E970,'Istoric_Nativ'!$C$6:$C$405,F970,'Istoric_Nativ'!$F$6:$F$405,G970,'Istoric_Nativ'!$D$6:$D$405,"&lt;"&amp;J970,'Istoric_Nativ'!$P$6:$P$405,1))))</x:f>
        <x:v>0</x:v>
      </x:c>
      <x:c r="L970" s="17" t="n">
        <x:f>IF(AND(B970&lt;&gt;"",I970="RECENT",K970&gt;0),LARGE(_xlfn._xlws.FILTER('Istoric_Nativ'!$D$6:$D$405,('Istoric_Nativ'!$B$6:$B$405=E970)*('Istoric_Nativ'!$C$6:$C$405=F970)*('Istoric_Nativ'!$P$6:$P$405=1)*('Istoric_Nativ'!$D$6:$D$405&lt;J970)*((('Istoric_Nativ'!$E$6:$E$405=G970)+('Istoric_Nativ'!$F$6:$F$405=G970))&gt;0)),MIN('Config_v6'!$B$54,K970)),0)</x:f>
        <x:v>0</x:v>
      </x:c>
      <x:c r="M970" s="2" t="n">
        <x:f>IF(OR(B970="",F970=""),0,IF(H970="HOME",COUNTIFS('Istoric_Nativ'!$B$6:$B$405,E970,'Istoric_Nativ'!$C$6:$C$405,F970,'Istoric_Nativ'!$E$6:$E$405,G970,'Istoric_Nativ'!$D$6:$D$405,"&lt;"&amp;J970,'Istoric_Nativ'!$P$6:$P$405,1,'Istoric_Nativ'!$D$6:$D$405,"&gt;="&amp;L970),IF(H970="AWAY",COUNTIFS('Istoric_Nativ'!$B$6:$B$405,E970,'Istoric_Nativ'!$C$6:$C$405,F970,'Istoric_Nativ'!$F$6:$F$405,G970,'Istoric_Nativ'!$D$6:$D$405,"&lt;"&amp;J970,'Istoric_Nativ'!$P$6:$P$405,1,'Istoric_Nativ'!$D$6:$D$405,"&gt;="&amp;L970),COUNTIFS('Istoric_Nativ'!$B$6:$B$405,E970,'Istoric_Nativ'!$C$6:$C$405,F970,'Istoric_Nativ'!$E$6:$E$405,G970,'Istoric_Nativ'!$D$6:$D$405,"&lt;"&amp;J970,'Istoric_Nativ'!$P$6:$P$405,1,'Istoric_Nativ'!$D$6:$D$405,"&gt;="&amp;L970)+COUNTIFS('Istoric_Nativ'!$B$6:$B$405,E970,'Istoric_Nativ'!$C$6:$C$405,F970,'Istoric_Nativ'!$F$6:$F$405,G970,'Istoric_Nativ'!$D$6:$D$405,"&lt;"&amp;J970,'Istoric_Nativ'!$P$6:$P$405,1,'Istoric_Nativ'!$D$6:$D$405,"&gt;="&amp;L970))))</x:f>
        <x:v>0</x:v>
      </x:c>
      <x:c r="N970" s="11" t="str">
        <x:f>IF(M970=0,"",IF(H970="HOME",SUMIFS('Istoric_Nativ'!$G$6:$G$405,'Istoric_Nativ'!$B$6:$B$405,E970,'Istoric_Nativ'!$C$6:$C$405,F970,'Istoric_Nativ'!$E$6:$E$405,G970,'Istoric_Nativ'!$D$6:$D$405,"&lt;"&amp;J970,'Istoric_Nativ'!$P$6:$P$405,1,'Istoric_Nativ'!$D$6:$D$405,"&gt;="&amp;L970),IF(H970="AWAY",SUMIFS('Istoric_Nativ'!$H$6:$H$405,'Istoric_Nativ'!$B$6:$B$405,E970,'Istoric_Nativ'!$C$6:$C$405,F970,'Istoric_Nativ'!$F$6:$F$405,G970,'Istoric_Nativ'!$D$6:$D$405,"&lt;"&amp;J970,'Istoric_Nativ'!$P$6:$P$405,1,'Istoric_Nativ'!$D$6:$D$405,"&gt;="&amp;L970),SUMIFS('Istoric_Nativ'!$G$6:$G$405,'Istoric_Nativ'!$B$6:$B$405,E970,'Istoric_Nativ'!$C$6:$C$405,F970,'Istoric_Nativ'!$E$6:$E$405,G970,'Istoric_Nativ'!$D$6:$D$405,"&lt;"&amp;J970,'Istoric_Nativ'!$P$6:$P$405,1,'Istoric_Nativ'!$D$6:$D$405,"&gt;="&amp;L970)+SUMIFS('Istoric_Nativ'!$H$6:$H$405,'Istoric_Nativ'!$B$6:$B$405,E970,'Istoric_Nativ'!$C$6:$C$405,F970,'Istoric_Nativ'!$F$6:$F$405,G970,'Istoric_Nativ'!$D$6:$D$405,"&lt;"&amp;J970,'Istoric_Nativ'!$P$6:$P$405,1,'Istoric_Nativ'!$D$6:$D$405,"&gt;="&amp;L970)))/M970)</x:f>
      </x:c>
      <x:c r="O970" s="11" t="str">
        <x:f>IF(M970=0,"",IF(H970="HOME",SUMIFS('Istoric_Nativ'!$H$6:$H$405,'Istoric_Nativ'!$B$6:$B$405,E970,'Istoric_Nativ'!$C$6:$C$405,F970,'Istoric_Nativ'!$E$6:$E$405,G970,'Istoric_Nativ'!$D$6:$D$405,"&lt;"&amp;J970,'Istoric_Nativ'!$P$6:$P$405,1,'Istoric_Nativ'!$D$6:$D$405,"&gt;="&amp;L970),IF(H970="AWAY",SUMIFS('Istoric_Nativ'!$G$6:$G$405,'Istoric_Nativ'!$B$6:$B$405,E970,'Istoric_Nativ'!$C$6:$C$405,F970,'Istoric_Nativ'!$F$6:$F$405,G970,'Istoric_Nativ'!$D$6:$D$405,"&lt;"&amp;J970,'Istoric_Nativ'!$P$6:$P$405,1,'Istoric_Nativ'!$D$6:$D$405,"&gt;="&amp;L970),SUMIFS('Istoric_Nativ'!$H$6:$H$405,'Istoric_Nativ'!$B$6:$B$405,E970,'Istoric_Nativ'!$C$6:$C$405,F970,'Istoric_Nativ'!$E$6:$E$405,G970,'Istoric_Nativ'!$D$6:$D$405,"&lt;"&amp;J970,'Istoric_Nativ'!$P$6:$P$405,1,'Istoric_Nativ'!$D$6:$D$405,"&gt;="&amp;L970)+SUMIFS('Istoric_Nativ'!$G$6:$G$405,'Istoric_Nativ'!$B$6:$B$405,E970,'Istoric_Nativ'!$C$6:$C$405,F970,'Istoric_Nativ'!$F$6:$F$405,G970,'Istoric_Nativ'!$D$6:$D$405,"&lt;"&amp;J970,'Istoric_Nativ'!$P$6:$P$405,1,'Istoric_Nativ'!$D$6:$D$405,"&gt;="&amp;L970)))/M970)</x:f>
      </x:c>
      <x:c r="P970" s="2" t="n">
        <x:f>'Config_v6'!$B$8</x:f>
        <x:v>5</x:v>
      </x:c>
      <x:c r="Q970" s="2" t="n">
        <x:f>IF(OR(B970="",F970=""),0,IFERROR(MATCH(E970&amp;"|"&amp;F970,SourceTable[Source_Key],0),0))</x:f>
        <x:v>0</x:v>
      </x:c>
      <x:c r="R970" s="2" t="str">
        <x:f>IF(B970="","",IF(F970="","UNUSED",IF(Q970=0,"NOT CHECKED",IF(COUNTIF(SourceTable[Source_Key],E970&amp;"|"&amp;F970)&lt;&gt;1,"SOURCE CONFLICT",IF(NOT(OR(INDEX(SourceTable[Status],MAX(1,Q970))="IMPORTED",INDEX(SourceTable[Status],MAX(1,Q970))="PARTIAL",INDEX(SourceTable[Status],MAX(1,Q970))="SOURCE CONFLICT")),"ACCESS BLOCKED",IF(OR(INDEX(SourceTable[Coverage],Q970)&lt;&gt;"FULL SEASON EXPORT",INDEX(SourceTable[URL],Q970)="",INDEX(SourceTable[SHA256],Q970)=""),"EVIDENCE INCOMPLETE",IF(AND('Input_Meci'!H86="LIVE",INDEX(SourceTable[Retrieved_UTC],Q970)&gt;'Input_Meci'!G86),"POST CUTOFF","CLOSED")))))))</x:f>
      </x:c>
      <x:c r="S970" s="2" t="n">
        <x:f>IF(OR(B970="",F970=""),0,COUNTIFS('Istoric_Nativ'!$B$6:$B$405,E970,'Istoric_Nativ'!$C$6:$C$405,F970,'Istoric_Nativ'!$E$6:$E$405,G970,'Istoric_Nativ'!$D$6:$D$405,"&lt;"&amp;J970,'Istoric_Nativ'!$O$6:$O$405,"INVALID")+COUNTIFS('Istoric_Nativ'!$B$6:$B$405,E970,'Istoric_Nativ'!$C$6:$C$405,F970,'Istoric_Nativ'!$E$6:$E$405,G970,'Istoric_Nativ'!$O$6:$O$405,"INVALID",'Istoric_Nativ'!$D$6:$D$405,"*")+COUNTIFS('Istoric_Nativ'!$B$6:$B$405,E970,'Istoric_Nativ'!$C$6:$C$405,F970,'Istoric_Nativ'!$E$6:$E$405,G970,'Istoric_Nativ'!$D$6:$D$405,"&lt;"&amp;J970,'Istoric_Nativ'!$O$6:$O$405,"SOURCE CONFLICT")+COUNTIFS('Istoric_Nativ'!$B$6:$B$405,E970,'Istoric_Nativ'!$C$6:$C$405,F970,'Istoric_Nativ'!$F$6:$F$405,G970,'Istoric_Nativ'!$D$6:$D$405,"&lt;"&amp;J970,'Istoric_Nativ'!$O$6:$O$405,"INVALID")+COUNTIFS('Istoric_Nativ'!$B$6:$B$405,E970,'Istoric_Nativ'!$C$6:$C$405,F970,'Istoric_Nativ'!$F$6:$F$405,G970,'Istoric_Nativ'!$O$6:$O$405,"INVALID",'Istoric_Nativ'!$D$6:$D$405,"*")+COUNTIFS('Istoric_Nativ'!$B$6:$B$405,E970,'Istoric_Nativ'!$C$6:$C$405,F970,'Istoric_Nativ'!$F$6:$F$405,G970,'Istoric_Nativ'!$D$6:$D$405,"&lt;"&amp;J970,'Istoric_Nativ'!$O$6:$O$405,"SOURCE CONFLICT"))</x:f>
        <x:v>0</x:v>
      </x:c>
      <x:c r="T970" s="2" t="str">
        <x:f>IF(B970="","",IF(R970&lt;&gt;"CLOSED",R970,IF(S970&gt;0,"NATIVE INPUT ISSUE",IF(M970=0,"NO HISTORY",IF(M970&lt;P970,"SMALL SAMPLE","DERIVED")))))</x:f>
      </x:c>
      <x:c r="U970" s="2" t="str">
        <x:f>IF(B970="","","NativeTable; "&amp;E970&amp;"; "&amp;F970&amp;"; "&amp;G970&amp;"; "&amp;H970&amp;"; before "&amp;TEXT(J970,"yyyy-mm-dd")&amp;IF(I970="RECENT","; from "&amp;TEXT(L970,"yyyy-mm-dd"),""))</x:f>
      </x:c>
    </x:row>
    <x:row r="971" ht="21" customHeight="1">
      <x:c r="A971" s="2" t="n">
        <x:v>81</x:v>
      </x:c>
      <x:c r="B971" s="2" t="str">
        <x:f>IF('Input_Meci'!A86="","",'Input_Meci'!A86)</x:f>
      </x:c>
      <x:c r="C971" s="2" t="str">
        <x:v>A</x:v>
      </x:c>
      <x:c r="D971" s="2" t="str">
        <x:v>CURRENT</x:v>
      </x:c>
      <x:c r="E971" s="2" t="str">
        <x:f>IF(B971="","",'Input_Meci'!B86)</x:f>
      </x:c>
      <x:c r="F971" s="2" t="str">
        <x:f>IF(B971="","",IF('Input_Meci'!C86="","",'Input_Meci'!C86))</x:f>
      </x:c>
      <x:c r="G971" s="2" t="str">
        <x:f>IF(B971="","",'Input_Meci'!E86)</x:f>
      </x:c>
      <x:c r="H971" s="2" t="str">
        <x:v>ANY</x:v>
      </x:c>
      <x:c r="I971" s="2" t="str">
        <x:v>RECENT</x:v>
      </x:c>
      <x:c r="J971" s="9" t="n">
        <x:f>IF(AND(B971&lt;&gt;"",ISNUMBER('Input_Meci'!G86)),INT('Input_Meci'!G86),0)</x:f>
        <x:v>0</x:v>
      </x:c>
      <x:c r="K971" s="2" t="n">
        <x:f>IF(OR(B971="",F971=""),0,IF(H971="HOME",COUNTIFS('Istoric_Nativ'!$B$6:$B$405,E971,'Istoric_Nativ'!$C$6:$C$405,F971,'Istoric_Nativ'!$E$6:$E$405,G971,'Istoric_Nativ'!$D$6:$D$405,"&lt;"&amp;J971,'Istoric_Nativ'!$P$6:$P$405,1),IF(H971="AWAY",COUNTIFS('Istoric_Nativ'!$B$6:$B$405,E971,'Istoric_Nativ'!$C$6:$C$405,F971,'Istoric_Nativ'!$F$6:$F$405,G971,'Istoric_Nativ'!$D$6:$D$405,"&lt;"&amp;J971,'Istoric_Nativ'!$P$6:$P$405,1),COUNTIFS('Istoric_Nativ'!$B$6:$B$405,E971,'Istoric_Nativ'!$C$6:$C$405,F971,'Istoric_Nativ'!$E$6:$E$405,G971,'Istoric_Nativ'!$D$6:$D$405,"&lt;"&amp;J971,'Istoric_Nativ'!$P$6:$P$405,1)+COUNTIFS('Istoric_Nativ'!$B$6:$B$405,E971,'Istoric_Nativ'!$C$6:$C$405,F971,'Istoric_Nativ'!$F$6:$F$405,G971,'Istoric_Nativ'!$D$6:$D$405,"&lt;"&amp;J971,'Istoric_Nativ'!$P$6:$P$405,1))))</x:f>
        <x:v>0</x:v>
      </x:c>
      <x:c r="L971" s="17" t="n">
        <x:f>IF(AND(B971&lt;&gt;"",I971="RECENT",K971&gt;0),LARGE(_xlfn._xlws.FILTER('Istoric_Nativ'!$D$6:$D$405,('Istoric_Nativ'!$B$6:$B$405=E971)*('Istoric_Nativ'!$C$6:$C$405=F971)*('Istoric_Nativ'!$P$6:$P$405=1)*('Istoric_Nativ'!$D$6:$D$405&lt;J971)*((('Istoric_Nativ'!$E$6:$E$405=G971)+('Istoric_Nativ'!$F$6:$F$405=G971))&gt;0)),MIN('Config_v6'!$B$54,K971)),0)</x:f>
        <x:v>0</x:v>
      </x:c>
      <x:c r="M971" s="2" t="n">
        <x:f>IF(OR(B971="",F971=""),0,IF(H971="HOME",COUNTIFS('Istoric_Nativ'!$B$6:$B$405,E971,'Istoric_Nativ'!$C$6:$C$405,F971,'Istoric_Nativ'!$E$6:$E$405,G971,'Istoric_Nativ'!$D$6:$D$405,"&lt;"&amp;J971,'Istoric_Nativ'!$P$6:$P$405,1,'Istoric_Nativ'!$D$6:$D$405,"&gt;="&amp;L971),IF(H971="AWAY",COUNTIFS('Istoric_Nativ'!$B$6:$B$405,E971,'Istoric_Nativ'!$C$6:$C$405,F971,'Istoric_Nativ'!$F$6:$F$405,G971,'Istoric_Nativ'!$D$6:$D$405,"&lt;"&amp;J971,'Istoric_Nativ'!$P$6:$P$405,1,'Istoric_Nativ'!$D$6:$D$405,"&gt;="&amp;L971),COUNTIFS('Istoric_Nativ'!$B$6:$B$405,E971,'Istoric_Nativ'!$C$6:$C$405,F971,'Istoric_Nativ'!$E$6:$E$405,G971,'Istoric_Nativ'!$D$6:$D$405,"&lt;"&amp;J971,'Istoric_Nativ'!$P$6:$P$405,1,'Istoric_Nativ'!$D$6:$D$405,"&gt;="&amp;L971)+COUNTIFS('Istoric_Nativ'!$B$6:$B$405,E971,'Istoric_Nativ'!$C$6:$C$405,F971,'Istoric_Nativ'!$F$6:$F$405,G971,'Istoric_Nativ'!$D$6:$D$405,"&lt;"&amp;J971,'Istoric_Nativ'!$P$6:$P$405,1,'Istoric_Nativ'!$D$6:$D$405,"&gt;="&amp;L971))))</x:f>
        <x:v>0</x:v>
      </x:c>
      <x:c r="N971" s="11" t="str">
        <x:f>IF(M971=0,"",IF(H971="HOME",SUMIFS('Istoric_Nativ'!$G$6:$G$405,'Istoric_Nativ'!$B$6:$B$405,E971,'Istoric_Nativ'!$C$6:$C$405,F971,'Istoric_Nativ'!$E$6:$E$405,G971,'Istoric_Nativ'!$D$6:$D$405,"&lt;"&amp;J971,'Istoric_Nativ'!$P$6:$P$405,1,'Istoric_Nativ'!$D$6:$D$405,"&gt;="&amp;L971),IF(H971="AWAY",SUMIFS('Istoric_Nativ'!$H$6:$H$405,'Istoric_Nativ'!$B$6:$B$405,E971,'Istoric_Nativ'!$C$6:$C$405,F971,'Istoric_Nativ'!$F$6:$F$405,G971,'Istoric_Nativ'!$D$6:$D$405,"&lt;"&amp;J971,'Istoric_Nativ'!$P$6:$P$405,1,'Istoric_Nativ'!$D$6:$D$405,"&gt;="&amp;L971),SUMIFS('Istoric_Nativ'!$G$6:$G$405,'Istoric_Nativ'!$B$6:$B$405,E971,'Istoric_Nativ'!$C$6:$C$405,F971,'Istoric_Nativ'!$E$6:$E$405,G971,'Istoric_Nativ'!$D$6:$D$405,"&lt;"&amp;J971,'Istoric_Nativ'!$P$6:$P$405,1,'Istoric_Nativ'!$D$6:$D$405,"&gt;="&amp;L971)+SUMIFS('Istoric_Nativ'!$H$6:$H$405,'Istoric_Nativ'!$B$6:$B$405,E971,'Istoric_Nativ'!$C$6:$C$405,F971,'Istoric_Nativ'!$F$6:$F$405,G971,'Istoric_Nativ'!$D$6:$D$405,"&lt;"&amp;J971,'Istoric_Nativ'!$P$6:$P$405,1,'Istoric_Nativ'!$D$6:$D$405,"&gt;="&amp;L971)))/M971)</x:f>
      </x:c>
      <x:c r="O971" s="11" t="str">
        <x:f>IF(M971=0,"",IF(H971="HOME",SUMIFS('Istoric_Nativ'!$H$6:$H$405,'Istoric_Nativ'!$B$6:$B$405,E971,'Istoric_Nativ'!$C$6:$C$405,F971,'Istoric_Nativ'!$E$6:$E$405,G971,'Istoric_Nativ'!$D$6:$D$405,"&lt;"&amp;J971,'Istoric_Nativ'!$P$6:$P$405,1,'Istoric_Nativ'!$D$6:$D$405,"&gt;="&amp;L971),IF(H971="AWAY",SUMIFS('Istoric_Nativ'!$G$6:$G$405,'Istoric_Nativ'!$B$6:$B$405,E971,'Istoric_Nativ'!$C$6:$C$405,F971,'Istoric_Nativ'!$F$6:$F$405,G971,'Istoric_Nativ'!$D$6:$D$405,"&lt;"&amp;J971,'Istoric_Nativ'!$P$6:$P$405,1,'Istoric_Nativ'!$D$6:$D$405,"&gt;="&amp;L971),SUMIFS('Istoric_Nativ'!$H$6:$H$405,'Istoric_Nativ'!$B$6:$B$405,E971,'Istoric_Nativ'!$C$6:$C$405,F971,'Istoric_Nativ'!$E$6:$E$405,G971,'Istoric_Nativ'!$D$6:$D$405,"&lt;"&amp;J971,'Istoric_Nativ'!$P$6:$P$405,1,'Istoric_Nativ'!$D$6:$D$405,"&gt;="&amp;L971)+SUMIFS('Istoric_Nativ'!$G$6:$G$405,'Istoric_Nativ'!$B$6:$B$405,E971,'Istoric_Nativ'!$C$6:$C$405,F971,'Istoric_Nativ'!$F$6:$F$405,G971,'Istoric_Nativ'!$D$6:$D$405,"&lt;"&amp;J971,'Istoric_Nativ'!$P$6:$P$405,1,'Istoric_Nativ'!$D$6:$D$405,"&gt;="&amp;L971)))/M971)</x:f>
      </x:c>
      <x:c r="P971" s="2" t="n">
        <x:f>'Config_v6'!$B$9</x:f>
        <x:v>3</x:v>
      </x:c>
      <x:c r="Q971" s="2" t="n">
        <x:f>IF(OR(B971="",F971=""),0,IFERROR(MATCH(E971&amp;"|"&amp;F971,SourceTable[Source_Key],0),0))</x:f>
        <x:v>0</x:v>
      </x:c>
      <x:c r="R971" s="2" t="str">
        <x:f>IF(B971="","",IF(F971="","UNUSED",IF(Q971=0,"NOT CHECKED",IF(COUNTIF(SourceTable[Source_Key],E971&amp;"|"&amp;F971)&lt;&gt;1,"SOURCE CONFLICT",IF(NOT(OR(INDEX(SourceTable[Status],MAX(1,Q971))="IMPORTED",INDEX(SourceTable[Status],MAX(1,Q971))="PARTIAL",INDEX(SourceTable[Status],MAX(1,Q971))="SOURCE CONFLICT")),"ACCESS BLOCKED",IF(OR(INDEX(SourceTable[Coverage],Q971)&lt;&gt;"FULL SEASON EXPORT",INDEX(SourceTable[URL],Q971)="",INDEX(SourceTable[SHA256],Q971)=""),"EVIDENCE INCOMPLETE",IF(AND('Input_Meci'!H86="LIVE",INDEX(SourceTable[Retrieved_UTC],Q971)&gt;'Input_Meci'!G86),"POST CUTOFF","CLOSED")))))))</x:f>
      </x:c>
      <x:c r="S971" s="2" t="n">
        <x:f>IF(OR(B971="",F971=""),0,COUNTIFS('Istoric_Nativ'!$B$6:$B$405,E971,'Istoric_Nativ'!$C$6:$C$405,F971,'Istoric_Nativ'!$E$6:$E$405,G971,'Istoric_Nativ'!$D$6:$D$405,"&lt;"&amp;J971,'Istoric_Nativ'!$O$6:$O$405,"INVALID")+COUNTIFS('Istoric_Nativ'!$B$6:$B$405,E971,'Istoric_Nativ'!$C$6:$C$405,F971,'Istoric_Nativ'!$E$6:$E$405,G971,'Istoric_Nativ'!$O$6:$O$405,"INVALID",'Istoric_Nativ'!$D$6:$D$405,"*")+COUNTIFS('Istoric_Nativ'!$B$6:$B$405,E971,'Istoric_Nativ'!$C$6:$C$405,F971,'Istoric_Nativ'!$E$6:$E$405,G971,'Istoric_Nativ'!$D$6:$D$405,"&lt;"&amp;J971,'Istoric_Nativ'!$O$6:$O$405,"SOURCE CONFLICT")+COUNTIFS('Istoric_Nativ'!$B$6:$B$405,E971,'Istoric_Nativ'!$C$6:$C$405,F971,'Istoric_Nativ'!$F$6:$F$405,G971,'Istoric_Nativ'!$D$6:$D$405,"&lt;"&amp;J971,'Istoric_Nativ'!$O$6:$O$405,"INVALID")+COUNTIFS('Istoric_Nativ'!$B$6:$B$405,E971,'Istoric_Nativ'!$C$6:$C$405,F971,'Istoric_Nativ'!$F$6:$F$405,G971,'Istoric_Nativ'!$O$6:$O$405,"INVALID",'Istoric_Nativ'!$D$6:$D$405,"*")+COUNTIFS('Istoric_Nativ'!$B$6:$B$405,E971,'Istoric_Nativ'!$C$6:$C$405,F971,'Istoric_Nativ'!$F$6:$F$405,G971,'Istoric_Nativ'!$D$6:$D$405,"&lt;"&amp;J971,'Istoric_Nativ'!$O$6:$O$405,"SOURCE CONFLICT"))</x:f>
        <x:v>0</x:v>
      </x:c>
      <x:c r="T971" s="2" t="str">
        <x:f>IF(B971="","",IF(R971&lt;&gt;"CLOSED",R971,IF(S971&gt;0,"NATIVE INPUT ISSUE",IF(M971=0,"NO HISTORY",IF(M971&lt;P971,"SMALL SAMPLE","DERIVED")))))</x:f>
      </x:c>
      <x:c r="U971" s="2" t="str">
        <x:f>IF(B971="","","NativeTable; "&amp;E971&amp;"; "&amp;F971&amp;"; "&amp;G971&amp;"; "&amp;H971&amp;"; before "&amp;TEXT(J971,"yyyy-mm-dd")&amp;IF(I971="RECENT","; from "&amp;TEXT(L971,"yyyy-mm-dd"),""))</x:f>
      </x:c>
    </x:row>
    <x:row r="972" ht="21" customHeight="1">
      <x:c r="A972" s="2" t="n">
        <x:v>81</x:v>
      </x:c>
      <x:c r="B972" s="2" t="str">
        <x:f>IF('Input_Meci'!A86="","",'Input_Meci'!A86)</x:f>
      </x:c>
      <x:c r="C972" s="2" t="str">
        <x:v>H</x:v>
      </x:c>
      <x:c r="D972" s="2" t="str">
        <x:v>PRIOR</x:v>
      </x:c>
      <x:c r="E972" s="2" t="str">
        <x:f>IF(B972="","",'Input_Meci'!B86)</x:f>
      </x:c>
      <x:c r="F972" s="2" t="str">
        <x:f>IF(B972="","",IF('Input_Meci'!K86="","",'Input_Meci'!K86))</x:f>
      </x:c>
      <x:c r="G972" s="2" t="str">
        <x:f>IF(B972="","",'Input_Meci'!D86)</x:f>
      </x:c>
      <x:c r="H972" s="2" t="str">
        <x:v>ANY</x:v>
      </x:c>
      <x:c r="I972" s="2" t="str">
        <x:v>SEASON</x:v>
      </x:c>
      <x:c r="J972" s="9" t="n">
        <x:f>IF(AND(B972&lt;&gt;"",ISNUMBER('Input_Meci'!G86)),INT('Input_Meci'!G86),0)</x:f>
        <x:v>0</x:v>
      </x:c>
      <x:c r="K972" s="2" t="n">
        <x:f>IF(OR(B972="",F972=""),0,IF(H972="HOME",COUNTIFS('Istoric_Nativ'!$B$6:$B$405,E972,'Istoric_Nativ'!$C$6:$C$405,F972,'Istoric_Nativ'!$E$6:$E$405,G972,'Istoric_Nativ'!$D$6:$D$405,"&lt;"&amp;J972,'Istoric_Nativ'!$P$6:$P$405,1),IF(H972="AWAY",COUNTIFS('Istoric_Nativ'!$B$6:$B$405,E972,'Istoric_Nativ'!$C$6:$C$405,F972,'Istoric_Nativ'!$F$6:$F$405,G972,'Istoric_Nativ'!$D$6:$D$405,"&lt;"&amp;J972,'Istoric_Nativ'!$P$6:$P$405,1),COUNTIFS('Istoric_Nativ'!$B$6:$B$405,E972,'Istoric_Nativ'!$C$6:$C$405,F972,'Istoric_Nativ'!$E$6:$E$405,G972,'Istoric_Nativ'!$D$6:$D$405,"&lt;"&amp;J972,'Istoric_Nativ'!$P$6:$P$405,1)+COUNTIFS('Istoric_Nativ'!$B$6:$B$405,E972,'Istoric_Nativ'!$C$6:$C$405,F972,'Istoric_Nativ'!$F$6:$F$405,G972,'Istoric_Nativ'!$D$6:$D$405,"&lt;"&amp;J972,'Istoric_Nativ'!$P$6:$P$405,1))))</x:f>
        <x:v>0</x:v>
      </x:c>
      <x:c r="L972" s="17" t="n">
        <x:f>IF(AND(B972&lt;&gt;"",I972="RECENT",K972&gt;0),LARGE(_xlfn._xlws.FILTER('Istoric_Nativ'!$D$6:$D$405,('Istoric_Nativ'!$B$6:$B$405=E972)*('Istoric_Nativ'!$C$6:$C$405=F972)*('Istoric_Nativ'!$P$6:$P$405=1)*('Istoric_Nativ'!$D$6:$D$405&lt;J972)*((('Istoric_Nativ'!$E$6:$E$405=G972)+('Istoric_Nativ'!$F$6:$F$405=G972))&gt;0)),MIN('Config_v6'!$B$54,K972)),0)</x:f>
        <x:v>0</x:v>
      </x:c>
      <x:c r="M972" s="2" t="n">
        <x:f>IF(OR(B972="",F972=""),0,IF(H972="HOME",COUNTIFS('Istoric_Nativ'!$B$6:$B$405,E972,'Istoric_Nativ'!$C$6:$C$405,F972,'Istoric_Nativ'!$E$6:$E$405,G972,'Istoric_Nativ'!$D$6:$D$405,"&lt;"&amp;J972,'Istoric_Nativ'!$P$6:$P$405,1,'Istoric_Nativ'!$D$6:$D$405,"&gt;="&amp;L972),IF(H972="AWAY",COUNTIFS('Istoric_Nativ'!$B$6:$B$405,E972,'Istoric_Nativ'!$C$6:$C$405,F972,'Istoric_Nativ'!$F$6:$F$405,G972,'Istoric_Nativ'!$D$6:$D$405,"&lt;"&amp;J972,'Istoric_Nativ'!$P$6:$P$405,1,'Istoric_Nativ'!$D$6:$D$405,"&gt;="&amp;L972),COUNTIFS('Istoric_Nativ'!$B$6:$B$405,E972,'Istoric_Nativ'!$C$6:$C$405,F972,'Istoric_Nativ'!$E$6:$E$405,G972,'Istoric_Nativ'!$D$6:$D$405,"&lt;"&amp;J972,'Istoric_Nativ'!$P$6:$P$405,1,'Istoric_Nativ'!$D$6:$D$405,"&gt;="&amp;L972)+COUNTIFS('Istoric_Nativ'!$B$6:$B$405,E972,'Istoric_Nativ'!$C$6:$C$405,F972,'Istoric_Nativ'!$F$6:$F$405,G972,'Istoric_Nativ'!$D$6:$D$405,"&lt;"&amp;J972,'Istoric_Nativ'!$P$6:$P$405,1,'Istoric_Nativ'!$D$6:$D$405,"&gt;="&amp;L972))))</x:f>
        <x:v>0</x:v>
      </x:c>
      <x:c r="N972" s="11" t="str">
        <x:f>IF(M972=0,"",IF(H972="HOME",SUMIFS('Istoric_Nativ'!$G$6:$G$405,'Istoric_Nativ'!$B$6:$B$405,E972,'Istoric_Nativ'!$C$6:$C$405,F972,'Istoric_Nativ'!$E$6:$E$405,G972,'Istoric_Nativ'!$D$6:$D$405,"&lt;"&amp;J972,'Istoric_Nativ'!$P$6:$P$405,1,'Istoric_Nativ'!$D$6:$D$405,"&gt;="&amp;L972),IF(H972="AWAY",SUMIFS('Istoric_Nativ'!$H$6:$H$405,'Istoric_Nativ'!$B$6:$B$405,E972,'Istoric_Nativ'!$C$6:$C$405,F972,'Istoric_Nativ'!$F$6:$F$405,G972,'Istoric_Nativ'!$D$6:$D$405,"&lt;"&amp;J972,'Istoric_Nativ'!$P$6:$P$405,1,'Istoric_Nativ'!$D$6:$D$405,"&gt;="&amp;L972),SUMIFS('Istoric_Nativ'!$G$6:$G$405,'Istoric_Nativ'!$B$6:$B$405,E972,'Istoric_Nativ'!$C$6:$C$405,F972,'Istoric_Nativ'!$E$6:$E$405,G972,'Istoric_Nativ'!$D$6:$D$405,"&lt;"&amp;J972,'Istoric_Nativ'!$P$6:$P$405,1,'Istoric_Nativ'!$D$6:$D$405,"&gt;="&amp;L972)+SUMIFS('Istoric_Nativ'!$H$6:$H$405,'Istoric_Nativ'!$B$6:$B$405,E972,'Istoric_Nativ'!$C$6:$C$405,F972,'Istoric_Nativ'!$F$6:$F$405,G972,'Istoric_Nativ'!$D$6:$D$405,"&lt;"&amp;J972,'Istoric_Nativ'!$P$6:$P$405,1,'Istoric_Nativ'!$D$6:$D$405,"&gt;="&amp;L972)))/M972)</x:f>
      </x:c>
      <x:c r="O972" s="11" t="str">
        <x:f>IF(M972=0,"",IF(H972="HOME",SUMIFS('Istoric_Nativ'!$H$6:$H$405,'Istoric_Nativ'!$B$6:$B$405,E972,'Istoric_Nativ'!$C$6:$C$405,F972,'Istoric_Nativ'!$E$6:$E$405,G972,'Istoric_Nativ'!$D$6:$D$405,"&lt;"&amp;J972,'Istoric_Nativ'!$P$6:$P$405,1,'Istoric_Nativ'!$D$6:$D$405,"&gt;="&amp;L972),IF(H972="AWAY",SUMIFS('Istoric_Nativ'!$G$6:$G$405,'Istoric_Nativ'!$B$6:$B$405,E972,'Istoric_Nativ'!$C$6:$C$405,F972,'Istoric_Nativ'!$F$6:$F$405,G972,'Istoric_Nativ'!$D$6:$D$405,"&lt;"&amp;J972,'Istoric_Nativ'!$P$6:$P$405,1,'Istoric_Nativ'!$D$6:$D$405,"&gt;="&amp;L972),SUMIFS('Istoric_Nativ'!$H$6:$H$405,'Istoric_Nativ'!$B$6:$B$405,E972,'Istoric_Nativ'!$C$6:$C$405,F972,'Istoric_Nativ'!$E$6:$E$405,G972,'Istoric_Nativ'!$D$6:$D$405,"&lt;"&amp;J972,'Istoric_Nativ'!$P$6:$P$405,1,'Istoric_Nativ'!$D$6:$D$405,"&gt;="&amp;L972)+SUMIFS('Istoric_Nativ'!$G$6:$G$405,'Istoric_Nativ'!$B$6:$B$405,E972,'Istoric_Nativ'!$C$6:$C$405,F972,'Istoric_Nativ'!$F$6:$F$405,G972,'Istoric_Nativ'!$D$6:$D$405,"&lt;"&amp;J972,'Istoric_Nativ'!$P$6:$P$405,1,'Istoric_Nativ'!$D$6:$D$405,"&gt;="&amp;L972)))/M972)</x:f>
      </x:c>
      <x:c r="P972" s="2" t="n">
        <x:f>'Config_v6'!$B$7</x:f>
        <x:v>10</x:v>
      </x:c>
      <x:c r="Q972" s="2" t="n">
        <x:f>IF(OR(B972="",F972=""),0,IFERROR(MATCH(E972&amp;"|"&amp;F972,SourceTable[Source_Key],0),0))</x:f>
        <x:v>0</x:v>
      </x:c>
      <x:c r="R972" s="2" t="str">
        <x:f>IF(B972="","",IF(F972="","UNUSED",IF(Q972=0,"NOT CHECKED",IF(COUNTIF(SourceTable[Source_Key],E972&amp;"|"&amp;F972)&lt;&gt;1,"SOURCE CONFLICT",IF(NOT(OR(INDEX(SourceTable[Status],MAX(1,Q972))="IMPORTED",INDEX(SourceTable[Status],MAX(1,Q972))="PARTIAL",INDEX(SourceTable[Status],MAX(1,Q972))="SOURCE CONFLICT")),"ACCESS BLOCKED",IF(OR(INDEX(SourceTable[Coverage],Q972)&lt;&gt;"FULL SEASON EXPORT",INDEX(SourceTable[URL],Q972)="",INDEX(SourceTable[SHA256],Q972)=""),"EVIDENCE INCOMPLETE",IF(AND('Input_Meci'!H86="LIVE",INDEX(SourceTable[Retrieved_UTC],Q972)&gt;'Input_Meci'!G86),"POST CUTOFF","CLOSED")))))))</x:f>
      </x:c>
      <x:c r="S972" s="2" t="n">
        <x:f>IF(OR(B972="",F972=""),0,COUNTIFS('Istoric_Nativ'!$B$6:$B$405,E972,'Istoric_Nativ'!$C$6:$C$405,F972,'Istoric_Nativ'!$E$6:$E$405,G972,'Istoric_Nativ'!$D$6:$D$405,"&lt;"&amp;J972,'Istoric_Nativ'!$O$6:$O$405,"INVALID")+COUNTIFS('Istoric_Nativ'!$B$6:$B$405,E972,'Istoric_Nativ'!$C$6:$C$405,F972,'Istoric_Nativ'!$E$6:$E$405,G972,'Istoric_Nativ'!$O$6:$O$405,"INVALID",'Istoric_Nativ'!$D$6:$D$405,"*")+COUNTIFS('Istoric_Nativ'!$B$6:$B$405,E972,'Istoric_Nativ'!$C$6:$C$405,F972,'Istoric_Nativ'!$E$6:$E$405,G972,'Istoric_Nativ'!$D$6:$D$405,"&lt;"&amp;J972,'Istoric_Nativ'!$O$6:$O$405,"SOURCE CONFLICT")+COUNTIFS('Istoric_Nativ'!$B$6:$B$405,E972,'Istoric_Nativ'!$C$6:$C$405,F972,'Istoric_Nativ'!$F$6:$F$405,G972,'Istoric_Nativ'!$D$6:$D$405,"&lt;"&amp;J972,'Istoric_Nativ'!$O$6:$O$405,"INVALID")+COUNTIFS('Istoric_Nativ'!$B$6:$B$405,E972,'Istoric_Nativ'!$C$6:$C$405,F972,'Istoric_Nativ'!$F$6:$F$405,G972,'Istoric_Nativ'!$O$6:$O$405,"INVALID",'Istoric_Nativ'!$D$6:$D$405,"*")+COUNTIFS('Istoric_Nativ'!$B$6:$B$405,E972,'Istoric_Nativ'!$C$6:$C$405,F972,'Istoric_Nativ'!$F$6:$F$405,G972,'Istoric_Nativ'!$D$6:$D$405,"&lt;"&amp;J972,'Istoric_Nativ'!$O$6:$O$405,"SOURCE CONFLICT"))</x:f>
        <x:v>0</x:v>
      </x:c>
      <x:c r="T972" s="2" t="str">
        <x:f>IF(B972="","",IF(R972&lt;&gt;"CLOSED",R972,IF(S972&gt;0,"NATIVE INPUT ISSUE",IF(M972=0,"NO HISTORY",IF(M972&lt;P972,"SMALL SAMPLE","DERIVED")))))</x:f>
      </x:c>
      <x:c r="U972" s="2" t="str">
        <x:f>IF(B972="","","NativeTable; "&amp;E972&amp;"; "&amp;F972&amp;"; "&amp;G972&amp;"; "&amp;H972&amp;"; before "&amp;TEXT(J972,"yyyy-mm-dd")&amp;IF(I972="RECENT","; from "&amp;TEXT(L972,"yyyy-mm-dd"),""))</x:f>
      </x:c>
    </x:row>
    <x:row r="973" ht="21" customHeight="1">
      <x:c r="A973" s="2" t="n">
        <x:v>81</x:v>
      </x:c>
      <x:c r="B973" s="2" t="str">
        <x:f>IF('Input_Meci'!A86="","",'Input_Meci'!A86)</x:f>
      </x:c>
      <x:c r="C973" s="2" t="str">
        <x:v>H</x:v>
      </x:c>
      <x:c r="D973" s="2" t="str">
        <x:v>PRIOR</x:v>
      </x:c>
      <x:c r="E973" s="2" t="str">
        <x:f>IF(B973="","",'Input_Meci'!B86)</x:f>
      </x:c>
      <x:c r="F973" s="2" t="str">
        <x:f>IF(B973="","",IF('Input_Meci'!K86="","",'Input_Meci'!K86))</x:f>
      </x:c>
      <x:c r="G973" s="2" t="str">
        <x:f>IF(B973="","",'Input_Meci'!D86)</x:f>
      </x:c>
      <x:c r="H973" s="2" t="str">
        <x:v>HOME</x:v>
      </x:c>
      <x:c r="I973" s="2" t="str">
        <x:v>HA</x:v>
      </x:c>
      <x:c r="J973" s="9" t="n">
        <x:f>IF(AND(B973&lt;&gt;"",ISNUMBER('Input_Meci'!G86)),INT('Input_Meci'!G86),0)</x:f>
        <x:v>0</x:v>
      </x:c>
      <x:c r="K973" s="2" t="n">
        <x:f>IF(OR(B973="",F973=""),0,IF(H973="HOME",COUNTIFS('Istoric_Nativ'!$B$6:$B$405,E973,'Istoric_Nativ'!$C$6:$C$405,F973,'Istoric_Nativ'!$E$6:$E$405,G973,'Istoric_Nativ'!$D$6:$D$405,"&lt;"&amp;J973,'Istoric_Nativ'!$P$6:$P$405,1),IF(H973="AWAY",COUNTIFS('Istoric_Nativ'!$B$6:$B$405,E973,'Istoric_Nativ'!$C$6:$C$405,F973,'Istoric_Nativ'!$F$6:$F$405,G973,'Istoric_Nativ'!$D$6:$D$405,"&lt;"&amp;J973,'Istoric_Nativ'!$P$6:$P$405,1),COUNTIFS('Istoric_Nativ'!$B$6:$B$405,E973,'Istoric_Nativ'!$C$6:$C$405,F973,'Istoric_Nativ'!$E$6:$E$405,G973,'Istoric_Nativ'!$D$6:$D$405,"&lt;"&amp;J973,'Istoric_Nativ'!$P$6:$P$405,1)+COUNTIFS('Istoric_Nativ'!$B$6:$B$405,E973,'Istoric_Nativ'!$C$6:$C$405,F973,'Istoric_Nativ'!$F$6:$F$405,G973,'Istoric_Nativ'!$D$6:$D$405,"&lt;"&amp;J973,'Istoric_Nativ'!$P$6:$P$405,1))))</x:f>
        <x:v>0</x:v>
      </x:c>
      <x:c r="L973" s="17" t="n">
        <x:f>IF(AND(B973&lt;&gt;"",I973="RECENT",K973&gt;0),LARGE(_xlfn._xlws.FILTER('Istoric_Nativ'!$D$6:$D$405,('Istoric_Nativ'!$B$6:$B$405=E973)*('Istoric_Nativ'!$C$6:$C$405=F973)*('Istoric_Nativ'!$P$6:$P$405=1)*('Istoric_Nativ'!$D$6:$D$405&lt;J973)*((('Istoric_Nativ'!$E$6:$E$405=G973)+('Istoric_Nativ'!$F$6:$F$405=G973))&gt;0)),MIN('Config_v6'!$B$54,K973)),0)</x:f>
        <x:v>0</x:v>
      </x:c>
      <x:c r="M973" s="2" t="n">
        <x:f>IF(OR(B973="",F973=""),0,IF(H973="HOME",COUNTIFS('Istoric_Nativ'!$B$6:$B$405,E973,'Istoric_Nativ'!$C$6:$C$405,F973,'Istoric_Nativ'!$E$6:$E$405,G973,'Istoric_Nativ'!$D$6:$D$405,"&lt;"&amp;J973,'Istoric_Nativ'!$P$6:$P$405,1,'Istoric_Nativ'!$D$6:$D$405,"&gt;="&amp;L973),IF(H973="AWAY",COUNTIFS('Istoric_Nativ'!$B$6:$B$405,E973,'Istoric_Nativ'!$C$6:$C$405,F973,'Istoric_Nativ'!$F$6:$F$405,G973,'Istoric_Nativ'!$D$6:$D$405,"&lt;"&amp;J973,'Istoric_Nativ'!$P$6:$P$405,1,'Istoric_Nativ'!$D$6:$D$405,"&gt;="&amp;L973),COUNTIFS('Istoric_Nativ'!$B$6:$B$405,E973,'Istoric_Nativ'!$C$6:$C$405,F973,'Istoric_Nativ'!$E$6:$E$405,G973,'Istoric_Nativ'!$D$6:$D$405,"&lt;"&amp;J973,'Istoric_Nativ'!$P$6:$P$405,1,'Istoric_Nativ'!$D$6:$D$405,"&gt;="&amp;L973)+COUNTIFS('Istoric_Nativ'!$B$6:$B$405,E973,'Istoric_Nativ'!$C$6:$C$405,F973,'Istoric_Nativ'!$F$6:$F$405,G973,'Istoric_Nativ'!$D$6:$D$405,"&lt;"&amp;J973,'Istoric_Nativ'!$P$6:$P$405,1,'Istoric_Nativ'!$D$6:$D$405,"&gt;="&amp;L973))))</x:f>
        <x:v>0</x:v>
      </x:c>
      <x:c r="N973" s="11" t="str">
        <x:f>IF(M973=0,"",IF(H973="HOME",SUMIFS('Istoric_Nativ'!$G$6:$G$405,'Istoric_Nativ'!$B$6:$B$405,E973,'Istoric_Nativ'!$C$6:$C$405,F973,'Istoric_Nativ'!$E$6:$E$405,G973,'Istoric_Nativ'!$D$6:$D$405,"&lt;"&amp;J973,'Istoric_Nativ'!$P$6:$P$405,1,'Istoric_Nativ'!$D$6:$D$405,"&gt;="&amp;L973),IF(H973="AWAY",SUMIFS('Istoric_Nativ'!$H$6:$H$405,'Istoric_Nativ'!$B$6:$B$405,E973,'Istoric_Nativ'!$C$6:$C$405,F973,'Istoric_Nativ'!$F$6:$F$405,G973,'Istoric_Nativ'!$D$6:$D$405,"&lt;"&amp;J973,'Istoric_Nativ'!$P$6:$P$405,1,'Istoric_Nativ'!$D$6:$D$405,"&gt;="&amp;L973),SUMIFS('Istoric_Nativ'!$G$6:$G$405,'Istoric_Nativ'!$B$6:$B$405,E973,'Istoric_Nativ'!$C$6:$C$405,F973,'Istoric_Nativ'!$E$6:$E$405,G973,'Istoric_Nativ'!$D$6:$D$405,"&lt;"&amp;J973,'Istoric_Nativ'!$P$6:$P$405,1,'Istoric_Nativ'!$D$6:$D$405,"&gt;="&amp;L973)+SUMIFS('Istoric_Nativ'!$H$6:$H$405,'Istoric_Nativ'!$B$6:$B$405,E973,'Istoric_Nativ'!$C$6:$C$405,F973,'Istoric_Nativ'!$F$6:$F$405,G973,'Istoric_Nativ'!$D$6:$D$405,"&lt;"&amp;J973,'Istoric_Nativ'!$P$6:$P$405,1,'Istoric_Nativ'!$D$6:$D$405,"&gt;="&amp;L973)))/M973)</x:f>
      </x:c>
      <x:c r="O973" s="11" t="str">
        <x:f>IF(M973=0,"",IF(H973="HOME",SUMIFS('Istoric_Nativ'!$H$6:$H$405,'Istoric_Nativ'!$B$6:$B$405,E973,'Istoric_Nativ'!$C$6:$C$405,F973,'Istoric_Nativ'!$E$6:$E$405,G973,'Istoric_Nativ'!$D$6:$D$405,"&lt;"&amp;J973,'Istoric_Nativ'!$P$6:$P$405,1,'Istoric_Nativ'!$D$6:$D$405,"&gt;="&amp;L973),IF(H973="AWAY",SUMIFS('Istoric_Nativ'!$G$6:$G$405,'Istoric_Nativ'!$B$6:$B$405,E973,'Istoric_Nativ'!$C$6:$C$405,F973,'Istoric_Nativ'!$F$6:$F$405,G973,'Istoric_Nativ'!$D$6:$D$405,"&lt;"&amp;J973,'Istoric_Nativ'!$P$6:$P$405,1,'Istoric_Nativ'!$D$6:$D$405,"&gt;="&amp;L973),SUMIFS('Istoric_Nativ'!$H$6:$H$405,'Istoric_Nativ'!$B$6:$B$405,E973,'Istoric_Nativ'!$C$6:$C$405,F973,'Istoric_Nativ'!$E$6:$E$405,G973,'Istoric_Nativ'!$D$6:$D$405,"&lt;"&amp;J973,'Istoric_Nativ'!$P$6:$P$405,1,'Istoric_Nativ'!$D$6:$D$405,"&gt;="&amp;L973)+SUMIFS('Istoric_Nativ'!$G$6:$G$405,'Istoric_Nativ'!$B$6:$B$405,E973,'Istoric_Nativ'!$C$6:$C$405,F973,'Istoric_Nativ'!$F$6:$F$405,G973,'Istoric_Nativ'!$D$6:$D$405,"&lt;"&amp;J973,'Istoric_Nativ'!$P$6:$P$405,1,'Istoric_Nativ'!$D$6:$D$405,"&gt;="&amp;L973)))/M973)</x:f>
      </x:c>
      <x:c r="P973" s="2" t="n">
        <x:f>'Config_v6'!$B$8</x:f>
        <x:v>5</x:v>
      </x:c>
      <x:c r="Q973" s="2" t="n">
        <x:f>IF(OR(B973="",F973=""),0,IFERROR(MATCH(E973&amp;"|"&amp;F973,SourceTable[Source_Key],0),0))</x:f>
        <x:v>0</x:v>
      </x:c>
      <x:c r="R973" s="2" t="str">
        <x:f>IF(B973="","",IF(F973="","UNUSED",IF(Q973=0,"NOT CHECKED",IF(COUNTIF(SourceTable[Source_Key],E973&amp;"|"&amp;F973)&lt;&gt;1,"SOURCE CONFLICT",IF(NOT(OR(INDEX(SourceTable[Status],MAX(1,Q973))="IMPORTED",INDEX(SourceTable[Status],MAX(1,Q973))="PARTIAL",INDEX(SourceTable[Status],MAX(1,Q973))="SOURCE CONFLICT")),"ACCESS BLOCKED",IF(OR(INDEX(SourceTable[Coverage],Q973)&lt;&gt;"FULL SEASON EXPORT",INDEX(SourceTable[URL],Q973)="",INDEX(SourceTable[SHA256],Q973)=""),"EVIDENCE INCOMPLETE",IF(AND('Input_Meci'!H86="LIVE",INDEX(SourceTable[Retrieved_UTC],Q973)&gt;'Input_Meci'!G86),"POST CUTOFF","CLOSED")))))))</x:f>
      </x:c>
      <x:c r="S973" s="2" t="n">
        <x:f>IF(OR(B973="",F973=""),0,COUNTIFS('Istoric_Nativ'!$B$6:$B$405,E973,'Istoric_Nativ'!$C$6:$C$405,F973,'Istoric_Nativ'!$E$6:$E$405,G973,'Istoric_Nativ'!$D$6:$D$405,"&lt;"&amp;J973,'Istoric_Nativ'!$O$6:$O$405,"INVALID")+COUNTIFS('Istoric_Nativ'!$B$6:$B$405,E973,'Istoric_Nativ'!$C$6:$C$405,F973,'Istoric_Nativ'!$E$6:$E$405,G973,'Istoric_Nativ'!$O$6:$O$405,"INVALID",'Istoric_Nativ'!$D$6:$D$405,"*")+COUNTIFS('Istoric_Nativ'!$B$6:$B$405,E973,'Istoric_Nativ'!$C$6:$C$405,F973,'Istoric_Nativ'!$E$6:$E$405,G973,'Istoric_Nativ'!$D$6:$D$405,"&lt;"&amp;J973,'Istoric_Nativ'!$O$6:$O$405,"SOURCE CONFLICT")+COUNTIFS('Istoric_Nativ'!$B$6:$B$405,E973,'Istoric_Nativ'!$C$6:$C$405,F973,'Istoric_Nativ'!$F$6:$F$405,G973,'Istoric_Nativ'!$D$6:$D$405,"&lt;"&amp;J973,'Istoric_Nativ'!$O$6:$O$405,"INVALID")+COUNTIFS('Istoric_Nativ'!$B$6:$B$405,E973,'Istoric_Nativ'!$C$6:$C$405,F973,'Istoric_Nativ'!$F$6:$F$405,G973,'Istoric_Nativ'!$O$6:$O$405,"INVALID",'Istoric_Nativ'!$D$6:$D$405,"*")+COUNTIFS('Istoric_Nativ'!$B$6:$B$405,E973,'Istoric_Nativ'!$C$6:$C$405,F973,'Istoric_Nativ'!$F$6:$F$405,G973,'Istoric_Nativ'!$D$6:$D$405,"&lt;"&amp;J973,'Istoric_Nativ'!$O$6:$O$405,"SOURCE CONFLICT"))</x:f>
        <x:v>0</x:v>
      </x:c>
      <x:c r="T973" s="2" t="str">
        <x:f>IF(B973="","",IF(R973&lt;&gt;"CLOSED",R973,IF(S973&gt;0,"NATIVE INPUT ISSUE",IF(M973=0,"NO HISTORY",IF(M973&lt;P973,"SMALL SAMPLE","DERIVED")))))</x:f>
      </x:c>
      <x:c r="U973" s="2" t="str">
        <x:f>IF(B973="","","NativeTable; "&amp;E973&amp;"; "&amp;F973&amp;"; "&amp;G973&amp;"; "&amp;H973&amp;"; before "&amp;TEXT(J973,"yyyy-mm-dd")&amp;IF(I973="RECENT","; from "&amp;TEXT(L973,"yyyy-mm-dd"),""))</x:f>
      </x:c>
    </x:row>
    <x:row r="974" ht="21" customHeight="1">
      <x:c r="A974" s="2" t="n">
        <x:v>81</x:v>
      </x:c>
      <x:c r="B974" s="2" t="str">
        <x:f>IF('Input_Meci'!A86="","",'Input_Meci'!A86)</x:f>
      </x:c>
      <x:c r="C974" s="2" t="str">
        <x:v>H</x:v>
      </x:c>
      <x:c r="D974" s="2" t="str">
        <x:v>PRIOR</x:v>
      </x:c>
      <x:c r="E974" s="2" t="str">
        <x:f>IF(B974="","",'Input_Meci'!B86)</x:f>
      </x:c>
      <x:c r="F974" s="2" t="str">
        <x:f>IF(B974="","",IF('Input_Meci'!K86="","",'Input_Meci'!K86))</x:f>
      </x:c>
      <x:c r="G974" s="2" t="str">
        <x:f>IF(B974="","",'Input_Meci'!D86)</x:f>
      </x:c>
      <x:c r="H974" s="2" t="str">
        <x:v>ANY</x:v>
      </x:c>
      <x:c r="I974" s="2" t="str">
        <x:v>RECENT</x:v>
      </x:c>
      <x:c r="J974" s="9" t="n">
        <x:f>IF(AND(B974&lt;&gt;"",ISNUMBER('Input_Meci'!G86)),INT('Input_Meci'!G86),0)</x:f>
        <x:v>0</x:v>
      </x:c>
      <x:c r="K974" s="2" t="n">
        <x:f>IF(OR(B974="",F974=""),0,IF(H974="HOME",COUNTIFS('Istoric_Nativ'!$B$6:$B$405,E974,'Istoric_Nativ'!$C$6:$C$405,F974,'Istoric_Nativ'!$E$6:$E$405,G974,'Istoric_Nativ'!$D$6:$D$405,"&lt;"&amp;J974,'Istoric_Nativ'!$P$6:$P$405,1),IF(H974="AWAY",COUNTIFS('Istoric_Nativ'!$B$6:$B$405,E974,'Istoric_Nativ'!$C$6:$C$405,F974,'Istoric_Nativ'!$F$6:$F$405,G974,'Istoric_Nativ'!$D$6:$D$405,"&lt;"&amp;J974,'Istoric_Nativ'!$P$6:$P$405,1),COUNTIFS('Istoric_Nativ'!$B$6:$B$405,E974,'Istoric_Nativ'!$C$6:$C$405,F974,'Istoric_Nativ'!$E$6:$E$405,G974,'Istoric_Nativ'!$D$6:$D$405,"&lt;"&amp;J974,'Istoric_Nativ'!$P$6:$P$405,1)+COUNTIFS('Istoric_Nativ'!$B$6:$B$405,E974,'Istoric_Nativ'!$C$6:$C$405,F974,'Istoric_Nativ'!$F$6:$F$405,G974,'Istoric_Nativ'!$D$6:$D$405,"&lt;"&amp;J974,'Istoric_Nativ'!$P$6:$P$405,1))))</x:f>
        <x:v>0</x:v>
      </x:c>
      <x:c r="L974" s="17" t="n">
        <x:f>IF(AND(B974&lt;&gt;"",I974="RECENT",K974&gt;0),LARGE(_xlfn._xlws.FILTER('Istoric_Nativ'!$D$6:$D$405,('Istoric_Nativ'!$B$6:$B$405=E974)*('Istoric_Nativ'!$C$6:$C$405=F974)*('Istoric_Nativ'!$P$6:$P$405=1)*('Istoric_Nativ'!$D$6:$D$405&lt;J974)*((('Istoric_Nativ'!$E$6:$E$405=G974)+('Istoric_Nativ'!$F$6:$F$405=G974))&gt;0)),MIN('Config_v6'!$B$54,K974)),0)</x:f>
        <x:v>0</x:v>
      </x:c>
      <x:c r="M974" s="2" t="n">
        <x:f>IF(OR(B974="",F974=""),0,IF(H974="HOME",COUNTIFS('Istoric_Nativ'!$B$6:$B$405,E974,'Istoric_Nativ'!$C$6:$C$405,F974,'Istoric_Nativ'!$E$6:$E$405,G974,'Istoric_Nativ'!$D$6:$D$405,"&lt;"&amp;J974,'Istoric_Nativ'!$P$6:$P$405,1,'Istoric_Nativ'!$D$6:$D$405,"&gt;="&amp;L974),IF(H974="AWAY",COUNTIFS('Istoric_Nativ'!$B$6:$B$405,E974,'Istoric_Nativ'!$C$6:$C$405,F974,'Istoric_Nativ'!$F$6:$F$405,G974,'Istoric_Nativ'!$D$6:$D$405,"&lt;"&amp;J974,'Istoric_Nativ'!$P$6:$P$405,1,'Istoric_Nativ'!$D$6:$D$405,"&gt;="&amp;L974),COUNTIFS('Istoric_Nativ'!$B$6:$B$405,E974,'Istoric_Nativ'!$C$6:$C$405,F974,'Istoric_Nativ'!$E$6:$E$405,G974,'Istoric_Nativ'!$D$6:$D$405,"&lt;"&amp;J974,'Istoric_Nativ'!$P$6:$P$405,1,'Istoric_Nativ'!$D$6:$D$405,"&gt;="&amp;L974)+COUNTIFS('Istoric_Nativ'!$B$6:$B$405,E974,'Istoric_Nativ'!$C$6:$C$405,F974,'Istoric_Nativ'!$F$6:$F$405,G974,'Istoric_Nativ'!$D$6:$D$405,"&lt;"&amp;J974,'Istoric_Nativ'!$P$6:$P$405,1,'Istoric_Nativ'!$D$6:$D$405,"&gt;="&amp;L974))))</x:f>
        <x:v>0</x:v>
      </x:c>
      <x:c r="N974" s="11" t="str">
        <x:f>IF(M974=0,"",IF(H974="HOME",SUMIFS('Istoric_Nativ'!$G$6:$G$405,'Istoric_Nativ'!$B$6:$B$405,E974,'Istoric_Nativ'!$C$6:$C$405,F974,'Istoric_Nativ'!$E$6:$E$405,G974,'Istoric_Nativ'!$D$6:$D$405,"&lt;"&amp;J974,'Istoric_Nativ'!$P$6:$P$405,1,'Istoric_Nativ'!$D$6:$D$405,"&gt;="&amp;L974),IF(H974="AWAY",SUMIFS('Istoric_Nativ'!$H$6:$H$405,'Istoric_Nativ'!$B$6:$B$405,E974,'Istoric_Nativ'!$C$6:$C$405,F974,'Istoric_Nativ'!$F$6:$F$405,G974,'Istoric_Nativ'!$D$6:$D$405,"&lt;"&amp;J974,'Istoric_Nativ'!$P$6:$P$405,1,'Istoric_Nativ'!$D$6:$D$405,"&gt;="&amp;L974),SUMIFS('Istoric_Nativ'!$G$6:$G$405,'Istoric_Nativ'!$B$6:$B$405,E974,'Istoric_Nativ'!$C$6:$C$405,F974,'Istoric_Nativ'!$E$6:$E$405,G974,'Istoric_Nativ'!$D$6:$D$405,"&lt;"&amp;J974,'Istoric_Nativ'!$P$6:$P$405,1,'Istoric_Nativ'!$D$6:$D$405,"&gt;="&amp;L974)+SUMIFS('Istoric_Nativ'!$H$6:$H$405,'Istoric_Nativ'!$B$6:$B$405,E974,'Istoric_Nativ'!$C$6:$C$405,F974,'Istoric_Nativ'!$F$6:$F$405,G974,'Istoric_Nativ'!$D$6:$D$405,"&lt;"&amp;J974,'Istoric_Nativ'!$P$6:$P$405,1,'Istoric_Nativ'!$D$6:$D$405,"&gt;="&amp;L974)))/M974)</x:f>
      </x:c>
      <x:c r="O974" s="11" t="str">
        <x:f>IF(M974=0,"",IF(H974="HOME",SUMIFS('Istoric_Nativ'!$H$6:$H$405,'Istoric_Nativ'!$B$6:$B$405,E974,'Istoric_Nativ'!$C$6:$C$405,F974,'Istoric_Nativ'!$E$6:$E$405,G974,'Istoric_Nativ'!$D$6:$D$405,"&lt;"&amp;J974,'Istoric_Nativ'!$P$6:$P$405,1,'Istoric_Nativ'!$D$6:$D$405,"&gt;="&amp;L974),IF(H974="AWAY",SUMIFS('Istoric_Nativ'!$G$6:$G$405,'Istoric_Nativ'!$B$6:$B$405,E974,'Istoric_Nativ'!$C$6:$C$405,F974,'Istoric_Nativ'!$F$6:$F$405,G974,'Istoric_Nativ'!$D$6:$D$405,"&lt;"&amp;J974,'Istoric_Nativ'!$P$6:$P$405,1,'Istoric_Nativ'!$D$6:$D$405,"&gt;="&amp;L974),SUMIFS('Istoric_Nativ'!$H$6:$H$405,'Istoric_Nativ'!$B$6:$B$405,E974,'Istoric_Nativ'!$C$6:$C$405,F974,'Istoric_Nativ'!$E$6:$E$405,G974,'Istoric_Nativ'!$D$6:$D$405,"&lt;"&amp;J974,'Istoric_Nativ'!$P$6:$P$405,1,'Istoric_Nativ'!$D$6:$D$405,"&gt;="&amp;L974)+SUMIFS('Istoric_Nativ'!$G$6:$G$405,'Istoric_Nativ'!$B$6:$B$405,E974,'Istoric_Nativ'!$C$6:$C$405,F974,'Istoric_Nativ'!$F$6:$F$405,G974,'Istoric_Nativ'!$D$6:$D$405,"&lt;"&amp;J974,'Istoric_Nativ'!$P$6:$P$405,1,'Istoric_Nativ'!$D$6:$D$405,"&gt;="&amp;L974)))/M974)</x:f>
      </x:c>
      <x:c r="P974" s="2" t="n">
        <x:f>'Config_v6'!$B$9</x:f>
        <x:v>3</x:v>
      </x:c>
      <x:c r="Q974" s="2" t="n">
        <x:f>IF(OR(B974="",F974=""),0,IFERROR(MATCH(E974&amp;"|"&amp;F974,SourceTable[Source_Key],0),0))</x:f>
        <x:v>0</x:v>
      </x:c>
      <x:c r="R974" s="2" t="str">
        <x:f>IF(B974="","",IF(F974="","UNUSED",IF(Q974=0,"NOT CHECKED",IF(COUNTIF(SourceTable[Source_Key],E974&amp;"|"&amp;F974)&lt;&gt;1,"SOURCE CONFLICT",IF(NOT(OR(INDEX(SourceTable[Status],MAX(1,Q974))="IMPORTED",INDEX(SourceTable[Status],MAX(1,Q974))="PARTIAL",INDEX(SourceTable[Status],MAX(1,Q974))="SOURCE CONFLICT")),"ACCESS BLOCKED",IF(OR(INDEX(SourceTable[Coverage],Q974)&lt;&gt;"FULL SEASON EXPORT",INDEX(SourceTable[URL],Q974)="",INDEX(SourceTable[SHA256],Q974)=""),"EVIDENCE INCOMPLETE",IF(AND('Input_Meci'!H86="LIVE",INDEX(SourceTable[Retrieved_UTC],Q974)&gt;'Input_Meci'!G86),"POST CUTOFF","CLOSED")))))))</x:f>
      </x:c>
      <x:c r="S974" s="2" t="n">
        <x:f>IF(OR(B974="",F974=""),0,COUNTIFS('Istoric_Nativ'!$B$6:$B$405,E974,'Istoric_Nativ'!$C$6:$C$405,F974,'Istoric_Nativ'!$E$6:$E$405,G974,'Istoric_Nativ'!$D$6:$D$405,"&lt;"&amp;J974,'Istoric_Nativ'!$O$6:$O$405,"INVALID")+COUNTIFS('Istoric_Nativ'!$B$6:$B$405,E974,'Istoric_Nativ'!$C$6:$C$405,F974,'Istoric_Nativ'!$E$6:$E$405,G974,'Istoric_Nativ'!$O$6:$O$405,"INVALID",'Istoric_Nativ'!$D$6:$D$405,"*")+COUNTIFS('Istoric_Nativ'!$B$6:$B$405,E974,'Istoric_Nativ'!$C$6:$C$405,F974,'Istoric_Nativ'!$E$6:$E$405,G974,'Istoric_Nativ'!$D$6:$D$405,"&lt;"&amp;J974,'Istoric_Nativ'!$O$6:$O$405,"SOURCE CONFLICT")+COUNTIFS('Istoric_Nativ'!$B$6:$B$405,E974,'Istoric_Nativ'!$C$6:$C$405,F974,'Istoric_Nativ'!$F$6:$F$405,G974,'Istoric_Nativ'!$D$6:$D$405,"&lt;"&amp;J974,'Istoric_Nativ'!$O$6:$O$405,"INVALID")+COUNTIFS('Istoric_Nativ'!$B$6:$B$405,E974,'Istoric_Nativ'!$C$6:$C$405,F974,'Istoric_Nativ'!$F$6:$F$405,G974,'Istoric_Nativ'!$O$6:$O$405,"INVALID",'Istoric_Nativ'!$D$6:$D$405,"*")+COUNTIFS('Istoric_Nativ'!$B$6:$B$405,E974,'Istoric_Nativ'!$C$6:$C$405,F974,'Istoric_Nativ'!$F$6:$F$405,G974,'Istoric_Nativ'!$D$6:$D$405,"&lt;"&amp;J974,'Istoric_Nativ'!$O$6:$O$405,"SOURCE CONFLICT"))</x:f>
        <x:v>0</x:v>
      </x:c>
      <x:c r="T974" s="2" t="str">
        <x:f>IF(B974="","",IF(R974&lt;&gt;"CLOSED",R974,IF(S974&gt;0,"NATIVE INPUT ISSUE",IF(M974=0,"NO HISTORY",IF(M974&lt;P974,"SMALL SAMPLE","DERIVED")))))</x:f>
      </x:c>
      <x:c r="U974" s="2" t="str">
        <x:f>IF(B974="","","NativeTable; "&amp;E974&amp;"; "&amp;F974&amp;"; "&amp;G974&amp;"; "&amp;H974&amp;"; before "&amp;TEXT(J974,"yyyy-mm-dd")&amp;IF(I974="RECENT","; from "&amp;TEXT(L974,"yyyy-mm-dd"),""))</x:f>
      </x:c>
    </x:row>
    <x:row r="975" ht="21" customHeight="1">
      <x:c r="A975" s="2" t="n">
        <x:v>81</x:v>
      </x:c>
      <x:c r="B975" s="2" t="str">
        <x:f>IF('Input_Meci'!A86="","",'Input_Meci'!A86)</x:f>
      </x:c>
      <x:c r="C975" s="2" t="str">
        <x:v>A</x:v>
      </x:c>
      <x:c r="D975" s="2" t="str">
        <x:v>PRIOR</x:v>
      </x:c>
      <x:c r="E975" s="2" t="str">
        <x:f>IF(B975="","",'Input_Meci'!B86)</x:f>
      </x:c>
      <x:c r="F975" s="2" t="str">
        <x:f>IF(B975="","",IF('Input_Meci'!K86="","",'Input_Meci'!K86))</x:f>
      </x:c>
      <x:c r="G975" s="2" t="str">
        <x:f>IF(B975="","",'Input_Meci'!E86)</x:f>
      </x:c>
      <x:c r="H975" s="2" t="str">
        <x:v>ANY</x:v>
      </x:c>
      <x:c r="I975" s="2" t="str">
        <x:v>SEASON</x:v>
      </x:c>
      <x:c r="J975" s="9" t="n">
        <x:f>IF(AND(B975&lt;&gt;"",ISNUMBER('Input_Meci'!G86)),INT('Input_Meci'!G86),0)</x:f>
        <x:v>0</x:v>
      </x:c>
      <x:c r="K975" s="2" t="n">
        <x:f>IF(OR(B975="",F975=""),0,IF(H975="HOME",COUNTIFS('Istoric_Nativ'!$B$6:$B$405,E975,'Istoric_Nativ'!$C$6:$C$405,F975,'Istoric_Nativ'!$E$6:$E$405,G975,'Istoric_Nativ'!$D$6:$D$405,"&lt;"&amp;J975,'Istoric_Nativ'!$P$6:$P$405,1),IF(H975="AWAY",COUNTIFS('Istoric_Nativ'!$B$6:$B$405,E975,'Istoric_Nativ'!$C$6:$C$405,F975,'Istoric_Nativ'!$F$6:$F$405,G975,'Istoric_Nativ'!$D$6:$D$405,"&lt;"&amp;J975,'Istoric_Nativ'!$P$6:$P$405,1),COUNTIFS('Istoric_Nativ'!$B$6:$B$405,E975,'Istoric_Nativ'!$C$6:$C$405,F975,'Istoric_Nativ'!$E$6:$E$405,G975,'Istoric_Nativ'!$D$6:$D$405,"&lt;"&amp;J975,'Istoric_Nativ'!$P$6:$P$405,1)+COUNTIFS('Istoric_Nativ'!$B$6:$B$405,E975,'Istoric_Nativ'!$C$6:$C$405,F975,'Istoric_Nativ'!$F$6:$F$405,G975,'Istoric_Nativ'!$D$6:$D$405,"&lt;"&amp;J975,'Istoric_Nativ'!$P$6:$P$405,1))))</x:f>
        <x:v>0</x:v>
      </x:c>
      <x:c r="L975" s="17" t="n">
        <x:f>IF(AND(B975&lt;&gt;"",I975="RECENT",K975&gt;0),LARGE(_xlfn._xlws.FILTER('Istoric_Nativ'!$D$6:$D$405,('Istoric_Nativ'!$B$6:$B$405=E975)*('Istoric_Nativ'!$C$6:$C$405=F975)*('Istoric_Nativ'!$P$6:$P$405=1)*('Istoric_Nativ'!$D$6:$D$405&lt;J975)*((('Istoric_Nativ'!$E$6:$E$405=G975)+('Istoric_Nativ'!$F$6:$F$405=G975))&gt;0)),MIN('Config_v6'!$B$54,K975)),0)</x:f>
        <x:v>0</x:v>
      </x:c>
      <x:c r="M975" s="2" t="n">
        <x:f>IF(OR(B975="",F975=""),0,IF(H975="HOME",COUNTIFS('Istoric_Nativ'!$B$6:$B$405,E975,'Istoric_Nativ'!$C$6:$C$405,F975,'Istoric_Nativ'!$E$6:$E$405,G975,'Istoric_Nativ'!$D$6:$D$405,"&lt;"&amp;J975,'Istoric_Nativ'!$P$6:$P$405,1,'Istoric_Nativ'!$D$6:$D$405,"&gt;="&amp;L975),IF(H975="AWAY",COUNTIFS('Istoric_Nativ'!$B$6:$B$405,E975,'Istoric_Nativ'!$C$6:$C$405,F975,'Istoric_Nativ'!$F$6:$F$405,G975,'Istoric_Nativ'!$D$6:$D$405,"&lt;"&amp;J975,'Istoric_Nativ'!$P$6:$P$405,1,'Istoric_Nativ'!$D$6:$D$405,"&gt;="&amp;L975),COUNTIFS('Istoric_Nativ'!$B$6:$B$405,E975,'Istoric_Nativ'!$C$6:$C$405,F975,'Istoric_Nativ'!$E$6:$E$405,G975,'Istoric_Nativ'!$D$6:$D$405,"&lt;"&amp;J975,'Istoric_Nativ'!$P$6:$P$405,1,'Istoric_Nativ'!$D$6:$D$405,"&gt;="&amp;L975)+COUNTIFS('Istoric_Nativ'!$B$6:$B$405,E975,'Istoric_Nativ'!$C$6:$C$405,F975,'Istoric_Nativ'!$F$6:$F$405,G975,'Istoric_Nativ'!$D$6:$D$405,"&lt;"&amp;J975,'Istoric_Nativ'!$P$6:$P$405,1,'Istoric_Nativ'!$D$6:$D$405,"&gt;="&amp;L975))))</x:f>
        <x:v>0</x:v>
      </x:c>
      <x:c r="N975" s="11" t="str">
        <x:f>IF(M975=0,"",IF(H975="HOME",SUMIFS('Istoric_Nativ'!$G$6:$G$405,'Istoric_Nativ'!$B$6:$B$405,E975,'Istoric_Nativ'!$C$6:$C$405,F975,'Istoric_Nativ'!$E$6:$E$405,G975,'Istoric_Nativ'!$D$6:$D$405,"&lt;"&amp;J975,'Istoric_Nativ'!$P$6:$P$405,1,'Istoric_Nativ'!$D$6:$D$405,"&gt;="&amp;L975),IF(H975="AWAY",SUMIFS('Istoric_Nativ'!$H$6:$H$405,'Istoric_Nativ'!$B$6:$B$405,E975,'Istoric_Nativ'!$C$6:$C$405,F975,'Istoric_Nativ'!$F$6:$F$405,G975,'Istoric_Nativ'!$D$6:$D$405,"&lt;"&amp;J975,'Istoric_Nativ'!$P$6:$P$405,1,'Istoric_Nativ'!$D$6:$D$405,"&gt;="&amp;L975),SUMIFS('Istoric_Nativ'!$G$6:$G$405,'Istoric_Nativ'!$B$6:$B$405,E975,'Istoric_Nativ'!$C$6:$C$405,F975,'Istoric_Nativ'!$E$6:$E$405,G975,'Istoric_Nativ'!$D$6:$D$405,"&lt;"&amp;J975,'Istoric_Nativ'!$P$6:$P$405,1,'Istoric_Nativ'!$D$6:$D$405,"&gt;="&amp;L975)+SUMIFS('Istoric_Nativ'!$H$6:$H$405,'Istoric_Nativ'!$B$6:$B$405,E975,'Istoric_Nativ'!$C$6:$C$405,F975,'Istoric_Nativ'!$F$6:$F$405,G975,'Istoric_Nativ'!$D$6:$D$405,"&lt;"&amp;J975,'Istoric_Nativ'!$P$6:$P$405,1,'Istoric_Nativ'!$D$6:$D$405,"&gt;="&amp;L975)))/M975)</x:f>
      </x:c>
      <x:c r="O975" s="11" t="str">
        <x:f>IF(M975=0,"",IF(H975="HOME",SUMIFS('Istoric_Nativ'!$H$6:$H$405,'Istoric_Nativ'!$B$6:$B$405,E975,'Istoric_Nativ'!$C$6:$C$405,F975,'Istoric_Nativ'!$E$6:$E$405,G975,'Istoric_Nativ'!$D$6:$D$405,"&lt;"&amp;J975,'Istoric_Nativ'!$P$6:$P$405,1,'Istoric_Nativ'!$D$6:$D$405,"&gt;="&amp;L975),IF(H975="AWAY",SUMIFS('Istoric_Nativ'!$G$6:$G$405,'Istoric_Nativ'!$B$6:$B$405,E975,'Istoric_Nativ'!$C$6:$C$405,F975,'Istoric_Nativ'!$F$6:$F$405,G975,'Istoric_Nativ'!$D$6:$D$405,"&lt;"&amp;J975,'Istoric_Nativ'!$P$6:$P$405,1,'Istoric_Nativ'!$D$6:$D$405,"&gt;="&amp;L975),SUMIFS('Istoric_Nativ'!$H$6:$H$405,'Istoric_Nativ'!$B$6:$B$405,E975,'Istoric_Nativ'!$C$6:$C$405,F975,'Istoric_Nativ'!$E$6:$E$405,G975,'Istoric_Nativ'!$D$6:$D$405,"&lt;"&amp;J975,'Istoric_Nativ'!$P$6:$P$405,1,'Istoric_Nativ'!$D$6:$D$405,"&gt;="&amp;L975)+SUMIFS('Istoric_Nativ'!$G$6:$G$405,'Istoric_Nativ'!$B$6:$B$405,E975,'Istoric_Nativ'!$C$6:$C$405,F975,'Istoric_Nativ'!$F$6:$F$405,G975,'Istoric_Nativ'!$D$6:$D$405,"&lt;"&amp;J975,'Istoric_Nativ'!$P$6:$P$405,1,'Istoric_Nativ'!$D$6:$D$405,"&gt;="&amp;L975)))/M975)</x:f>
      </x:c>
      <x:c r="P975" s="2" t="n">
        <x:f>'Config_v6'!$B$7</x:f>
        <x:v>10</x:v>
      </x:c>
      <x:c r="Q975" s="2" t="n">
        <x:f>IF(OR(B975="",F975=""),0,IFERROR(MATCH(E975&amp;"|"&amp;F975,SourceTable[Source_Key],0),0))</x:f>
        <x:v>0</x:v>
      </x:c>
      <x:c r="R975" s="2" t="str">
        <x:f>IF(B975="","",IF(F975="","UNUSED",IF(Q975=0,"NOT CHECKED",IF(COUNTIF(SourceTable[Source_Key],E975&amp;"|"&amp;F975)&lt;&gt;1,"SOURCE CONFLICT",IF(NOT(OR(INDEX(SourceTable[Status],MAX(1,Q975))="IMPORTED",INDEX(SourceTable[Status],MAX(1,Q975))="PARTIAL",INDEX(SourceTable[Status],MAX(1,Q975))="SOURCE CONFLICT")),"ACCESS BLOCKED",IF(OR(INDEX(SourceTable[Coverage],Q975)&lt;&gt;"FULL SEASON EXPORT",INDEX(SourceTable[URL],Q975)="",INDEX(SourceTable[SHA256],Q975)=""),"EVIDENCE INCOMPLETE",IF(AND('Input_Meci'!H86="LIVE",INDEX(SourceTable[Retrieved_UTC],Q975)&gt;'Input_Meci'!G86),"POST CUTOFF","CLOSED")))))))</x:f>
      </x:c>
      <x:c r="S975" s="2" t="n">
        <x:f>IF(OR(B975="",F975=""),0,COUNTIFS('Istoric_Nativ'!$B$6:$B$405,E975,'Istoric_Nativ'!$C$6:$C$405,F975,'Istoric_Nativ'!$E$6:$E$405,G975,'Istoric_Nativ'!$D$6:$D$405,"&lt;"&amp;J975,'Istoric_Nativ'!$O$6:$O$405,"INVALID")+COUNTIFS('Istoric_Nativ'!$B$6:$B$405,E975,'Istoric_Nativ'!$C$6:$C$405,F975,'Istoric_Nativ'!$E$6:$E$405,G975,'Istoric_Nativ'!$O$6:$O$405,"INVALID",'Istoric_Nativ'!$D$6:$D$405,"*")+COUNTIFS('Istoric_Nativ'!$B$6:$B$405,E975,'Istoric_Nativ'!$C$6:$C$405,F975,'Istoric_Nativ'!$E$6:$E$405,G975,'Istoric_Nativ'!$D$6:$D$405,"&lt;"&amp;J975,'Istoric_Nativ'!$O$6:$O$405,"SOURCE CONFLICT")+COUNTIFS('Istoric_Nativ'!$B$6:$B$405,E975,'Istoric_Nativ'!$C$6:$C$405,F975,'Istoric_Nativ'!$F$6:$F$405,G975,'Istoric_Nativ'!$D$6:$D$405,"&lt;"&amp;J975,'Istoric_Nativ'!$O$6:$O$405,"INVALID")+COUNTIFS('Istoric_Nativ'!$B$6:$B$405,E975,'Istoric_Nativ'!$C$6:$C$405,F975,'Istoric_Nativ'!$F$6:$F$405,G975,'Istoric_Nativ'!$O$6:$O$405,"INVALID",'Istoric_Nativ'!$D$6:$D$405,"*")+COUNTIFS('Istoric_Nativ'!$B$6:$B$405,E975,'Istoric_Nativ'!$C$6:$C$405,F975,'Istoric_Nativ'!$F$6:$F$405,G975,'Istoric_Nativ'!$D$6:$D$405,"&lt;"&amp;J975,'Istoric_Nativ'!$O$6:$O$405,"SOURCE CONFLICT"))</x:f>
        <x:v>0</x:v>
      </x:c>
      <x:c r="T975" s="2" t="str">
        <x:f>IF(B975="","",IF(R975&lt;&gt;"CLOSED",R975,IF(S975&gt;0,"NATIVE INPUT ISSUE",IF(M975=0,"NO HISTORY",IF(M975&lt;P975,"SMALL SAMPLE","DERIVED")))))</x:f>
      </x:c>
      <x:c r="U975" s="2" t="str">
        <x:f>IF(B975="","","NativeTable; "&amp;E975&amp;"; "&amp;F975&amp;"; "&amp;G975&amp;"; "&amp;H975&amp;"; before "&amp;TEXT(J975,"yyyy-mm-dd")&amp;IF(I975="RECENT","; from "&amp;TEXT(L975,"yyyy-mm-dd"),""))</x:f>
      </x:c>
    </x:row>
    <x:row r="976" ht="21" customHeight="1">
      <x:c r="A976" s="2" t="n">
        <x:v>81</x:v>
      </x:c>
      <x:c r="B976" s="2" t="str">
        <x:f>IF('Input_Meci'!A86="","",'Input_Meci'!A86)</x:f>
      </x:c>
      <x:c r="C976" s="2" t="str">
        <x:v>A</x:v>
      </x:c>
      <x:c r="D976" s="2" t="str">
        <x:v>PRIOR</x:v>
      </x:c>
      <x:c r="E976" s="2" t="str">
        <x:f>IF(B976="","",'Input_Meci'!B86)</x:f>
      </x:c>
      <x:c r="F976" s="2" t="str">
        <x:f>IF(B976="","",IF('Input_Meci'!K86="","",'Input_Meci'!K86))</x:f>
      </x:c>
      <x:c r="G976" s="2" t="str">
        <x:f>IF(B976="","",'Input_Meci'!E86)</x:f>
      </x:c>
      <x:c r="H976" s="2" t="str">
        <x:v>AWAY</x:v>
      </x:c>
      <x:c r="I976" s="2" t="str">
        <x:v>HA</x:v>
      </x:c>
      <x:c r="J976" s="9" t="n">
        <x:f>IF(AND(B976&lt;&gt;"",ISNUMBER('Input_Meci'!G86)),INT('Input_Meci'!G86),0)</x:f>
        <x:v>0</x:v>
      </x:c>
      <x:c r="K976" s="2" t="n">
        <x:f>IF(OR(B976="",F976=""),0,IF(H976="HOME",COUNTIFS('Istoric_Nativ'!$B$6:$B$405,E976,'Istoric_Nativ'!$C$6:$C$405,F976,'Istoric_Nativ'!$E$6:$E$405,G976,'Istoric_Nativ'!$D$6:$D$405,"&lt;"&amp;J976,'Istoric_Nativ'!$P$6:$P$405,1),IF(H976="AWAY",COUNTIFS('Istoric_Nativ'!$B$6:$B$405,E976,'Istoric_Nativ'!$C$6:$C$405,F976,'Istoric_Nativ'!$F$6:$F$405,G976,'Istoric_Nativ'!$D$6:$D$405,"&lt;"&amp;J976,'Istoric_Nativ'!$P$6:$P$405,1),COUNTIFS('Istoric_Nativ'!$B$6:$B$405,E976,'Istoric_Nativ'!$C$6:$C$405,F976,'Istoric_Nativ'!$E$6:$E$405,G976,'Istoric_Nativ'!$D$6:$D$405,"&lt;"&amp;J976,'Istoric_Nativ'!$P$6:$P$405,1)+COUNTIFS('Istoric_Nativ'!$B$6:$B$405,E976,'Istoric_Nativ'!$C$6:$C$405,F976,'Istoric_Nativ'!$F$6:$F$405,G976,'Istoric_Nativ'!$D$6:$D$405,"&lt;"&amp;J976,'Istoric_Nativ'!$P$6:$P$405,1))))</x:f>
        <x:v>0</x:v>
      </x:c>
      <x:c r="L976" s="17" t="n">
        <x:f>IF(AND(B976&lt;&gt;"",I976="RECENT",K976&gt;0),LARGE(_xlfn._xlws.FILTER('Istoric_Nativ'!$D$6:$D$405,('Istoric_Nativ'!$B$6:$B$405=E976)*('Istoric_Nativ'!$C$6:$C$405=F976)*('Istoric_Nativ'!$P$6:$P$405=1)*('Istoric_Nativ'!$D$6:$D$405&lt;J976)*((('Istoric_Nativ'!$E$6:$E$405=G976)+('Istoric_Nativ'!$F$6:$F$405=G976))&gt;0)),MIN('Config_v6'!$B$54,K976)),0)</x:f>
        <x:v>0</x:v>
      </x:c>
      <x:c r="M976" s="2" t="n">
        <x:f>IF(OR(B976="",F976=""),0,IF(H976="HOME",COUNTIFS('Istoric_Nativ'!$B$6:$B$405,E976,'Istoric_Nativ'!$C$6:$C$405,F976,'Istoric_Nativ'!$E$6:$E$405,G976,'Istoric_Nativ'!$D$6:$D$405,"&lt;"&amp;J976,'Istoric_Nativ'!$P$6:$P$405,1,'Istoric_Nativ'!$D$6:$D$405,"&gt;="&amp;L976),IF(H976="AWAY",COUNTIFS('Istoric_Nativ'!$B$6:$B$405,E976,'Istoric_Nativ'!$C$6:$C$405,F976,'Istoric_Nativ'!$F$6:$F$405,G976,'Istoric_Nativ'!$D$6:$D$405,"&lt;"&amp;J976,'Istoric_Nativ'!$P$6:$P$405,1,'Istoric_Nativ'!$D$6:$D$405,"&gt;="&amp;L976),COUNTIFS('Istoric_Nativ'!$B$6:$B$405,E976,'Istoric_Nativ'!$C$6:$C$405,F976,'Istoric_Nativ'!$E$6:$E$405,G976,'Istoric_Nativ'!$D$6:$D$405,"&lt;"&amp;J976,'Istoric_Nativ'!$P$6:$P$405,1,'Istoric_Nativ'!$D$6:$D$405,"&gt;="&amp;L976)+COUNTIFS('Istoric_Nativ'!$B$6:$B$405,E976,'Istoric_Nativ'!$C$6:$C$405,F976,'Istoric_Nativ'!$F$6:$F$405,G976,'Istoric_Nativ'!$D$6:$D$405,"&lt;"&amp;J976,'Istoric_Nativ'!$P$6:$P$405,1,'Istoric_Nativ'!$D$6:$D$405,"&gt;="&amp;L976))))</x:f>
        <x:v>0</x:v>
      </x:c>
      <x:c r="N976" s="11" t="str">
        <x:f>IF(M976=0,"",IF(H976="HOME",SUMIFS('Istoric_Nativ'!$G$6:$G$405,'Istoric_Nativ'!$B$6:$B$405,E976,'Istoric_Nativ'!$C$6:$C$405,F976,'Istoric_Nativ'!$E$6:$E$405,G976,'Istoric_Nativ'!$D$6:$D$405,"&lt;"&amp;J976,'Istoric_Nativ'!$P$6:$P$405,1,'Istoric_Nativ'!$D$6:$D$405,"&gt;="&amp;L976),IF(H976="AWAY",SUMIFS('Istoric_Nativ'!$H$6:$H$405,'Istoric_Nativ'!$B$6:$B$405,E976,'Istoric_Nativ'!$C$6:$C$405,F976,'Istoric_Nativ'!$F$6:$F$405,G976,'Istoric_Nativ'!$D$6:$D$405,"&lt;"&amp;J976,'Istoric_Nativ'!$P$6:$P$405,1,'Istoric_Nativ'!$D$6:$D$405,"&gt;="&amp;L976),SUMIFS('Istoric_Nativ'!$G$6:$G$405,'Istoric_Nativ'!$B$6:$B$405,E976,'Istoric_Nativ'!$C$6:$C$405,F976,'Istoric_Nativ'!$E$6:$E$405,G976,'Istoric_Nativ'!$D$6:$D$405,"&lt;"&amp;J976,'Istoric_Nativ'!$P$6:$P$405,1,'Istoric_Nativ'!$D$6:$D$405,"&gt;="&amp;L976)+SUMIFS('Istoric_Nativ'!$H$6:$H$405,'Istoric_Nativ'!$B$6:$B$405,E976,'Istoric_Nativ'!$C$6:$C$405,F976,'Istoric_Nativ'!$F$6:$F$405,G976,'Istoric_Nativ'!$D$6:$D$405,"&lt;"&amp;J976,'Istoric_Nativ'!$P$6:$P$405,1,'Istoric_Nativ'!$D$6:$D$405,"&gt;="&amp;L976)))/M976)</x:f>
      </x:c>
      <x:c r="O976" s="11" t="str">
        <x:f>IF(M976=0,"",IF(H976="HOME",SUMIFS('Istoric_Nativ'!$H$6:$H$405,'Istoric_Nativ'!$B$6:$B$405,E976,'Istoric_Nativ'!$C$6:$C$405,F976,'Istoric_Nativ'!$E$6:$E$405,G976,'Istoric_Nativ'!$D$6:$D$405,"&lt;"&amp;J976,'Istoric_Nativ'!$P$6:$P$405,1,'Istoric_Nativ'!$D$6:$D$405,"&gt;="&amp;L976),IF(H976="AWAY",SUMIFS('Istoric_Nativ'!$G$6:$G$405,'Istoric_Nativ'!$B$6:$B$405,E976,'Istoric_Nativ'!$C$6:$C$405,F976,'Istoric_Nativ'!$F$6:$F$405,G976,'Istoric_Nativ'!$D$6:$D$405,"&lt;"&amp;J976,'Istoric_Nativ'!$P$6:$P$405,1,'Istoric_Nativ'!$D$6:$D$405,"&gt;="&amp;L976),SUMIFS('Istoric_Nativ'!$H$6:$H$405,'Istoric_Nativ'!$B$6:$B$405,E976,'Istoric_Nativ'!$C$6:$C$405,F976,'Istoric_Nativ'!$E$6:$E$405,G976,'Istoric_Nativ'!$D$6:$D$405,"&lt;"&amp;J976,'Istoric_Nativ'!$P$6:$P$405,1,'Istoric_Nativ'!$D$6:$D$405,"&gt;="&amp;L976)+SUMIFS('Istoric_Nativ'!$G$6:$G$405,'Istoric_Nativ'!$B$6:$B$405,E976,'Istoric_Nativ'!$C$6:$C$405,F976,'Istoric_Nativ'!$F$6:$F$405,G976,'Istoric_Nativ'!$D$6:$D$405,"&lt;"&amp;J976,'Istoric_Nativ'!$P$6:$P$405,1,'Istoric_Nativ'!$D$6:$D$405,"&gt;="&amp;L976)))/M976)</x:f>
      </x:c>
      <x:c r="P976" s="2" t="n">
        <x:f>'Config_v6'!$B$8</x:f>
        <x:v>5</x:v>
      </x:c>
      <x:c r="Q976" s="2" t="n">
        <x:f>IF(OR(B976="",F976=""),0,IFERROR(MATCH(E976&amp;"|"&amp;F976,SourceTable[Source_Key],0),0))</x:f>
        <x:v>0</x:v>
      </x:c>
      <x:c r="R976" s="2" t="str">
        <x:f>IF(B976="","",IF(F976="","UNUSED",IF(Q976=0,"NOT CHECKED",IF(COUNTIF(SourceTable[Source_Key],E976&amp;"|"&amp;F976)&lt;&gt;1,"SOURCE CONFLICT",IF(NOT(OR(INDEX(SourceTable[Status],MAX(1,Q976))="IMPORTED",INDEX(SourceTable[Status],MAX(1,Q976))="PARTIAL",INDEX(SourceTable[Status],MAX(1,Q976))="SOURCE CONFLICT")),"ACCESS BLOCKED",IF(OR(INDEX(SourceTable[Coverage],Q976)&lt;&gt;"FULL SEASON EXPORT",INDEX(SourceTable[URL],Q976)="",INDEX(SourceTable[SHA256],Q976)=""),"EVIDENCE INCOMPLETE",IF(AND('Input_Meci'!H86="LIVE",INDEX(SourceTable[Retrieved_UTC],Q976)&gt;'Input_Meci'!G86),"POST CUTOFF","CLOSED")))))))</x:f>
      </x:c>
      <x:c r="S976" s="2" t="n">
        <x:f>IF(OR(B976="",F976=""),0,COUNTIFS('Istoric_Nativ'!$B$6:$B$405,E976,'Istoric_Nativ'!$C$6:$C$405,F976,'Istoric_Nativ'!$E$6:$E$405,G976,'Istoric_Nativ'!$D$6:$D$405,"&lt;"&amp;J976,'Istoric_Nativ'!$O$6:$O$405,"INVALID")+COUNTIFS('Istoric_Nativ'!$B$6:$B$405,E976,'Istoric_Nativ'!$C$6:$C$405,F976,'Istoric_Nativ'!$E$6:$E$405,G976,'Istoric_Nativ'!$O$6:$O$405,"INVALID",'Istoric_Nativ'!$D$6:$D$405,"*")+COUNTIFS('Istoric_Nativ'!$B$6:$B$405,E976,'Istoric_Nativ'!$C$6:$C$405,F976,'Istoric_Nativ'!$E$6:$E$405,G976,'Istoric_Nativ'!$D$6:$D$405,"&lt;"&amp;J976,'Istoric_Nativ'!$O$6:$O$405,"SOURCE CONFLICT")+COUNTIFS('Istoric_Nativ'!$B$6:$B$405,E976,'Istoric_Nativ'!$C$6:$C$405,F976,'Istoric_Nativ'!$F$6:$F$405,G976,'Istoric_Nativ'!$D$6:$D$405,"&lt;"&amp;J976,'Istoric_Nativ'!$O$6:$O$405,"INVALID")+COUNTIFS('Istoric_Nativ'!$B$6:$B$405,E976,'Istoric_Nativ'!$C$6:$C$405,F976,'Istoric_Nativ'!$F$6:$F$405,G976,'Istoric_Nativ'!$O$6:$O$405,"INVALID",'Istoric_Nativ'!$D$6:$D$405,"*")+COUNTIFS('Istoric_Nativ'!$B$6:$B$405,E976,'Istoric_Nativ'!$C$6:$C$405,F976,'Istoric_Nativ'!$F$6:$F$405,G976,'Istoric_Nativ'!$D$6:$D$405,"&lt;"&amp;J976,'Istoric_Nativ'!$O$6:$O$405,"SOURCE CONFLICT"))</x:f>
        <x:v>0</x:v>
      </x:c>
      <x:c r="T976" s="2" t="str">
        <x:f>IF(B976="","",IF(R976&lt;&gt;"CLOSED",R976,IF(S976&gt;0,"NATIVE INPUT ISSUE",IF(M976=0,"NO HISTORY",IF(M976&lt;P976,"SMALL SAMPLE","DERIVED")))))</x:f>
      </x:c>
      <x:c r="U976" s="2" t="str">
        <x:f>IF(B976="","","NativeTable; "&amp;E976&amp;"; "&amp;F976&amp;"; "&amp;G976&amp;"; "&amp;H976&amp;"; before "&amp;TEXT(J976,"yyyy-mm-dd")&amp;IF(I976="RECENT","; from "&amp;TEXT(L976,"yyyy-mm-dd"),""))</x:f>
      </x:c>
    </x:row>
    <x:row r="977" ht="21" customHeight="1">
      <x:c r="A977" s="2" t="n">
        <x:v>81</x:v>
      </x:c>
      <x:c r="B977" s="2" t="str">
        <x:f>IF('Input_Meci'!A86="","",'Input_Meci'!A86)</x:f>
      </x:c>
      <x:c r="C977" s="2" t="str">
        <x:v>A</x:v>
      </x:c>
      <x:c r="D977" s="2" t="str">
        <x:v>PRIOR</x:v>
      </x:c>
      <x:c r="E977" s="2" t="str">
        <x:f>IF(B977="","",'Input_Meci'!B86)</x:f>
      </x:c>
      <x:c r="F977" s="2" t="str">
        <x:f>IF(B977="","",IF('Input_Meci'!K86="","",'Input_Meci'!K86))</x:f>
      </x:c>
      <x:c r="G977" s="2" t="str">
        <x:f>IF(B977="","",'Input_Meci'!E86)</x:f>
      </x:c>
      <x:c r="H977" s="2" t="str">
        <x:v>ANY</x:v>
      </x:c>
      <x:c r="I977" s="2" t="str">
        <x:v>RECENT</x:v>
      </x:c>
      <x:c r="J977" s="9" t="n">
        <x:f>IF(AND(B977&lt;&gt;"",ISNUMBER('Input_Meci'!G86)),INT('Input_Meci'!G86),0)</x:f>
        <x:v>0</x:v>
      </x:c>
      <x:c r="K977" s="2" t="n">
        <x:f>IF(OR(B977="",F977=""),0,IF(H977="HOME",COUNTIFS('Istoric_Nativ'!$B$6:$B$405,E977,'Istoric_Nativ'!$C$6:$C$405,F977,'Istoric_Nativ'!$E$6:$E$405,G977,'Istoric_Nativ'!$D$6:$D$405,"&lt;"&amp;J977,'Istoric_Nativ'!$P$6:$P$405,1),IF(H977="AWAY",COUNTIFS('Istoric_Nativ'!$B$6:$B$405,E977,'Istoric_Nativ'!$C$6:$C$405,F977,'Istoric_Nativ'!$F$6:$F$405,G977,'Istoric_Nativ'!$D$6:$D$405,"&lt;"&amp;J977,'Istoric_Nativ'!$P$6:$P$405,1),COUNTIFS('Istoric_Nativ'!$B$6:$B$405,E977,'Istoric_Nativ'!$C$6:$C$405,F977,'Istoric_Nativ'!$E$6:$E$405,G977,'Istoric_Nativ'!$D$6:$D$405,"&lt;"&amp;J977,'Istoric_Nativ'!$P$6:$P$405,1)+COUNTIFS('Istoric_Nativ'!$B$6:$B$405,E977,'Istoric_Nativ'!$C$6:$C$405,F977,'Istoric_Nativ'!$F$6:$F$405,G977,'Istoric_Nativ'!$D$6:$D$405,"&lt;"&amp;J977,'Istoric_Nativ'!$P$6:$P$405,1))))</x:f>
        <x:v>0</x:v>
      </x:c>
      <x:c r="L977" s="17" t="n">
        <x:f>IF(AND(B977&lt;&gt;"",I977="RECENT",K977&gt;0),LARGE(_xlfn._xlws.FILTER('Istoric_Nativ'!$D$6:$D$405,('Istoric_Nativ'!$B$6:$B$405=E977)*('Istoric_Nativ'!$C$6:$C$405=F977)*('Istoric_Nativ'!$P$6:$P$405=1)*('Istoric_Nativ'!$D$6:$D$405&lt;J977)*((('Istoric_Nativ'!$E$6:$E$405=G977)+('Istoric_Nativ'!$F$6:$F$405=G977))&gt;0)),MIN('Config_v6'!$B$54,K977)),0)</x:f>
        <x:v>0</x:v>
      </x:c>
      <x:c r="M977" s="2" t="n">
        <x:f>IF(OR(B977="",F977=""),0,IF(H977="HOME",COUNTIFS('Istoric_Nativ'!$B$6:$B$405,E977,'Istoric_Nativ'!$C$6:$C$405,F977,'Istoric_Nativ'!$E$6:$E$405,G977,'Istoric_Nativ'!$D$6:$D$405,"&lt;"&amp;J977,'Istoric_Nativ'!$P$6:$P$405,1,'Istoric_Nativ'!$D$6:$D$405,"&gt;="&amp;L977),IF(H977="AWAY",COUNTIFS('Istoric_Nativ'!$B$6:$B$405,E977,'Istoric_Nativ'!$C$6:$C$405,F977,'Istoric_Nativ'!$F$6:$F$405,G977,'Istoric_Nativ'!$D$6:$D$405,"&lt;"&amp;J977,'Istoric_Nativ'!$P$6:$P$405,1,'Istoric_Nativ'!$D$6:$D$405,"&gt;="&amp;L977),COUNTIFS('Istoric_Nativ'!$B$6:$B$405,E977,'Istoric_Nativ'!$C$6:$C$405,F977,'Istoric_Nativ'!$E$6:$E$405,G977,'Istoric_Nativ'!$D$6:$D$405,"&lt;"&amp;J977,'Istoric_Nativ'!$P$6:$P$405,1,'Istoric_Nativ'!$D$6:$D$405,"&gt;="&amp;L977)+COUNTIFS('Istoric_Nativ'!$B$6:$B$405,E977,'Istoric_Nativ'!$C$6:$C$405,F977,'Istoric_Nativ'!$F$6:$F$405,G977,'Istoric_Nativ'!$D$6:$D$405,"&lt;"&amp;J977,'Istoric_Nativ'!$P$6:$P$405,1,'Istoric_Nativ'!$D$6:$D$405,"&gt;="&amp;L977))))</x:f>
        <x:v>0</x:v>
      </x:c>
      <x:c r="N977" s="11" t="str">
        <x:f>IF(M977=0,"",IF(H977="HOME",SUMIFS('Istoric_Nativ'!$G$6:$G$405,'Istoric_Nativ'!$B$6:$B$405,E977,'Istoric_Nativ'!$C$6:$C$405,F977,'Istoric_Nativ'!$E$6:$E$405,G977,'Istoric_Nativ'!$D$6:$D$405,"&lt;"&amp;J977,'Istoric_Nativ'!$P$6:$P$405,1,'Istoric_Nativ'!$D$6:$D$405,"&gt;="&amp;L977),IF(H977="AWAY",SUMIFS('Istoric_Nativ'!$H$6:$H$405,'Istoric_Nativ'!$B$6:$B$405,E977,'Istoric_Nativ'!$C$6:$C$405,F977,'Istoric_Nativ'!$F$6:$F$405,G977,'Istoric_Nativ'!$D$6:$D$405,"&lt;"&amp;J977,'Istoric_Nativ'!$P$6:$P$405,1,'Istoric_Nativ'!$D$6:$D$405,"&gt;="&amp;L977),SUMIFS('Istoric_Nativ'!$G$6:$G$405,'Istoric_Nativ'!$B$6:$B$405,E977,'Istoric_Nativ'!$C$6:$C$405,F977,'Istoric_Nativ'!$E$6:$E$405,G977,'Istoric_Nativ'!$D$6:$D$405,"&lt;"&amp;J977,'Istoric_Nativ'!$P$6:$P$405,1,'Istoric_Nativ'!$D$6:$D$405,"&gt;="&amp;L977)+SUMIFS('Istoric_Nativ'!$H$6:$H$405,'Istoric_Nativ'!$B$6:$B$405,E977,'Istoric_Nativ'!$C$6:$C$405,F977,'Istoric_Nativ'!$F$6:$F$405,G977,'Istoric_Nativ'!$D$6:$D$405,"&lt;"&amp;J977,'Istoric_Nativ'!$P$6:$P$405,1,'Istoric_Nativ'!$D$6:$D$405,"&gt;="&amp;L977)))/M977)</x:f>
      </x:c>
      <x:c r="O977" s="11" t="str">
        <x:f>IF(M977=0,"",IF(H977="HOME",SUMIFS('Istoric_Nativ'!$H$6:$H$405,'Istoric_Nativ'!$B$6:$B$405,E977,'Istoric_Nativ'!$C$6:$C$405,F977,'Istoric_Nativ'!$E$6:$E$405,G977,'Istoric_Nativ'!$D$6:$D$405,"&lt;"&amp;J977,'Istoric_Nativ'!$P$6:$P$405,1,'Istoric_Nativ'!$D$6:$D$405,"&gt;="&amp;L977),IF(H977="AWAY",SUMIFS('Istoric_Nativ'!$G$6:$G$405,'Istoric_Nativ'!$B$6:$B$405,E977,'Istoric_Nativ'!$C$6:$C$405,F977,'Istoric_Nativ'!$F$6:$F$405,G977,'Istoric_Nativ'!$D$6:$D$405,"&lt;"&amp;J977,'Istoric_Nativ'!$P$6:$P$405,1,'Istoric_Nativ'!$D$6:$D$405,"&gt;="&amp;L977),SUMIFS('Istoric_Nativ'!$H$6:$H$405,'Istoric_Nativ'!$B$6:$B$405,E977,'Istoric_Nativ'!$C$6:$C$405,F977,'Istoric_Nativ'!$E$6:$E$405,G977,'Istoric_Nativ'!$D$6:$D$405,"&lt;"&amp;J977,'Istoric_Nativ'!$P$6:$P$405,1,'Istoric_Nativ'!$D$6:$D$405,"&gt;="&amp;L977)+SUMIFS('Istoric_Nativ'!$G$6:$G$405,'Istoric_Nativ'!$B$6:$B$405,E977,'Istoric_Nativ'!$C$6:$C$405,F977,'Istoric_Nativ'!$F$6:$F$405,G977,'Istoric_Nativ'!$D$6:$D$405,"&lt;"&amp;J977,'Istoric_Nativ'!$P$6:$P$405,1,'Istoric_Nativ'!$D$6:$D$405,"&gt;="&amp;L977)))/M977)</x:f>
      </x:c>
      <x:c r="P977" s="2" t="n">
        <x:f>'Config_v6'!$B$9</x:f>
        <x:v>3</x:v>
      </x:c>
      <x:c r="Q977" s="2" t="n">
        <x:f>IF(OR(B977="",F977=""),0,IFERROR(MATCH(E977&amp;"|"&amp;F977,SourceTable[Source_Key],0),0))</x:f>
        <x:v>0</x:v>
      </x:c>
      <x:c r="R977" s="2" t="str">
        <x:f>IF(B977="","",IF(F977="","UNUSED",IF(Q977=0,"NOT CHECKED",IF(COUNTIF(SourceTable[Source_Key],E977&amp;"|"&amp;F977)&lt;&gt;1,"SOURCE CONFLICT",IF(NOT(OR(INDEX(SourceTable[Status],MAX(1,Q977))="IMPORTED",INDEX(SourceTable[Status],MAX(1,Q977))="PARTIAL",INDEX(SourceTable[Status],MAX(1,Q977))="SOURCE CONFLICT")),"ACCESS BLOCKED",IF(OR(INDEX(SourceTable[Coverage],Q977)&lt;&gt;"FULL SEASON EXPORT",INDEX(SourceTable[URL],Q977)="",INDEX(SourceTable[SHA256],Q977)=""),"EVIDENCE INCOMPLETE",IF(AND('Input_Meci'!H86="LIVE",INDEX(SourceTable[Retrieved_UTC],Q977)&gt;'Input_Meci'!G86),"POST CUTOFF","CLOSED")))))))</x:f>
      </x:c>
      <x:c r="S977" s="2" t="n">
        <x:f>IF(OR(B977="",F977=""),0,COUNTIFS('Istoric_Nativ'!$B$6:$B$405,E977,'Istoric_Nativ'!$C$6:$C$405,F977,'Istoric_Nativ'!$E$6:$E$405,G977,'Istoric_Nativ'!$D$6:$D$405,"&lt;"&amp;J977,'Istoric_Nativ'!$O$6:$O$405,"INVALID")+COUNTIFS('Istoric_Nativ'!$B$6:$B$405,E977,'Istoric_Nativ'!$C$6:$C$405,F977,'Istoric_Nativ'!$E$6:$E$405,G977,'Istoric_Nativ'!$O$6:$O$405,"INVALID",'Istoric_Nativ'!$D$6:$D$405,"*")+COUNTIFS('Istoric_Nativ'!$B$6:$B$405,E977,'Istoric_Nativ'!$C$6:$C$405,F977,'Istoric_Nativ'!$E$6:$E$405,G977,'Istoric_Nativ'!$D$6:$D$405,"&lt;"&amp;J977,'Istoric_Nativ'!$O$6:$O$405,"SOURCE CONFLICT")+COUNTIFS('Istoric_Nativ'!$B$6:$B$405,E977,'Istoric_Nativ'!$C$6:$C$405,F977,'Istoric_Nativ'!$F$6:$F$405,G977,'Istoric_Nativ'!$D$6:$D$405,"&lt;"&amp;J977,'Istoric_Nativ'!$O$6:$O$405,"INVALID")+COUNTIFS('Istoric_Nativ'!$B$6:$B$405,E977,'Istoric_Nativ'!$C$6:$C$405,F977,'Istoric_Nativ'!$F$6:$F$405,G977,'Istoric_Nativ'!$O$6:$O$405,"INVALID",'Istoric_Nativ'!$D$6:$D$405,"*")+COUNTIFS('Istoric_Nativ'!$B$6:$B$405,E977,'Istoric_Nativ'!$C$6:$C$405,F977,'Istoric_Nativ'!$F$6:$F$405,G977,'Istoric_Nativ'!$D$6:$D$405,"&lt;"&amp;J977,'Istoric_Nativ'!$O$6:$O$405,"SOURCE CONFLICT"))</x:f>
        <x:v>0</x:v>
      </x:c>
      <x:c r="T977" s="2" t="str">
        <x:f>IF(B977="","",IF(R977&lt;&gt;"CLOSED",R977,IF(S977&gt;0,"NATIVE INPUT ISSUE",IF(M977=0,"NO HISTORY",IF(M977&lt;P977,"SMALL SAMPLE","DERIVED")))))</x:f>
      </x:c>
      <x:c r="U977" s="2" t="str">
        <x:f>IF(B977="","","NativeTable; "&amp;E977&amp;"; "&amp;F977&amp;"; "&amp;G977&amp;"; "&amp;H977&amp;"; before "&amp;TEXT(J977,"yyyy-mm-dd")&amp;IF(I977="RECENT","; from "&amp;TEXT(L977,"yyyy-mm-dd"),""))</x:f>
      </x:c>
    </x:row>
    <x:row r="978" ht="21" customHeight="1">
      <x:c r="A978" s="2" t="n">
        <x:v>82</x:v>
      </x:c>
      <x:c r="B978" s="2" t="str">
        <x:f>IF('Input_Meci'!A87="","",'Input_Meci'!A87)</x:f>
      </x:c>
      <x:c r="C978" s="2" t="str">
        <x:v>H</x:v>
      </x:c>
      <x:c r="D978" s="2" t="str">
        <x:v>CURRENT</x:v>
      </x:c>
      <x:c r="E978" s="2" t="str">
        <x:f>IF(B978="","",'Input_Meci'!B87)</x:f>
      </x:c>
      <x:c r="F978" s="2" t="str">
        <x:f>IF(B978="","",IF('Input_Meci'!C87="","",'Input_Meci'!C87))</x:f>
      </x:c>
      <x:c r="G978" s="2" t="str">
        <x:f>IF(B978="","",'Input_Meci'!D87)</x:f>
      </x:c>
      <x:c r="H978" s="2" t="str">
        <x:v>ANY</x:v>
      </x:c>
      <x:c r="I978" s="2" t="str">
        <x:v>SEASON</x:v>
      </x:c>
      <x:c r="J978" s="9" t="n">
        <x:f>IF(AND(B978&lt;&gt;"",ISNUMBER('Input_Meci'!G87)),INT('Input_Meci'!G87),0)</x:f>
        <x:v>0</x:v>
      </x:c>
      <x:c r="K978" s="2" t="n">
        <x:f>IF(OR(B978="",F978=""),0,IF(H978="HOME",COUNTIFS('Istoric_Nativ'!$B$6:$B$405,E978,'Istoric_Nativ'!$C$6:$C$405,F978,'Istoric_Nativ'!$E$6:$E$405,G978,'Istoric_Nativ'!$D$6:$D$405,"&lt;"&amp;J978,'Istoric_Nativ'!$P$6:$P$405,1),IF(H978="AWAY",COUNTIFS('Istoric_Nativ'!$B$6:$B$405,E978,'Istoric_Nativ'!$C$6:$C$405,F978,'Istoric_Nativ'!$F$6:$F$405,G978,'Istoric_Nativ'!$D$6:$D$405,"&lt;"&amp;J978,'Istoric_Nativ'!$P$6:$P$405,1),COUNTIFS('Istoric_Nativ'!$B$6:$B$405,E978,'Istoric_Nativ'!$C$6:$C$405,F978,'Istoric_Nativ'!$E$6:$E$405,G978,'Istoric_Nativ'!$D$6:$D$405,"&lt;"&amp;J978,'Istoric_Nativ'!$P$6:$P$405,1)+COUNTIFS('Istoric_Nativ'!$B$6:$B$405,E978,'Istoric_Nativ'!$C$6:$C$405,F978,'Istoric_Nativ'!$F$6:$F$405,G978,'Istoric_Nativ'!$D$6:$D$405,"&lt;"&amp;J978,'Istoric_Nativ'!$P$6:$P$405,1))))</x:f>
        <x:v>0</x:v>
      </x:c>
      <x:c r="L978" s="17" t="n">
        <x:f>IF(AND(B978&lt;&gt;"",I978="RECENT",K978&gt;0),LARGE(_xlfn._xlws.FILTER('Istoric_Nativ'!$D$6:$D$405,('Istoric_Nativ'!$B$6:$B$405=E978)*('Istoric_Nativ'!$C$6:$C$405=F978)*('Istoric_Nativ'!$P$6:$P$405=1)*('Istoric_Nativ'!$D$6:$D$405&lt;J978)*((('Istoric_Nativ'!$E$6:$E$405=G978)+('Istoric_Nativ'!$F$6:$F$405=G978))&gt;0)),MIN('Config_v6'!$B$54,K978)),0)</x:f>
        <x:v>0</x:v>
      </x:c>
      <x:c r="M978" s="2" t="n">
        <x:f>IF(OR(B978="",F978=""),0,IF(H978="HOME",COUNTIFS('Istoric_Nativ'!$B$6:$B$405,E978,'Istoric_Nativ'!$C$6:$C$405,F978,'Istoric_Nativ'!$E$6:$E$405,G978,'Istoric_Nativ'!$D$6:$D$405,"&lt;"&amp;J978,'Istoric_Nativ'!$P$6:$P$405,1,'Istoric_Nativ'!$D$6:$D$405,"&gt;="&amp;L978),IF(H978="AWAY",COUNTIFS('Istoric_Nativ'!$B$6:$B$405,E978,'Istoric_Nativ'!$C$6:$C$405,F978,'Istoric_Nativ'!$F$6:$F$405,G978,'Istoric_Nativ'!$D$6:$D$405,"&lt;"&amp;J978,'Istoric_Nativ'!$P$6:$P$405,1,'Istoric_Nativ'!$D$6:$D$405,"&gt;="&amp;L978),COUNTIFS('Istoric_Nativ'!$B$6:$B$405,E978,'Istoric_Nativ'!$C$6:$C$405,F978,'Istoric_Nativ'!$E$6:$E$405,G978,'Istoric_Nativ'!$D$6:$D$405,"&lt;"&amp;J978,'Istoric_Nativ'!$P$6:$P$405,1,'Istoric_Nativ'!$D$6:$D$405,"&gt;="&amp;L978)+COUNTIFS('Istoric_Nativ'!$B$6:$B$405,E978,'Istoric_Nativ'!$C$6:$C$405,F978,'Istoric_Nativ'!$F$6:$F$405,G978,'Istoric_Nativ'!$D$6:$D$405,"&lt;"&amp;J978,'Istoric_Nativ'!$P$6:$P$405,1,'Istoric_Nativ'!$D$6:$D$405,"&gt;="&amp;L978))))</x:f>
        <x:v>0</x:v>
      </x:c>
      <x:c r="N978" s="11" t="str">
        <x:f>IF(M978=0,"",IF(H978="HOME",SUMIFS('Istoric_Nativ'!$G$6:$G$405,'Istoric_Nativ'!$B$6:$B$405,E978,'Istoric_Nativ'!$C$6:$C$405,F978,'Istoric_Nativ'!$E$6:$E$405,G978,'Istoric_Nativ'!$D$6:$D$405,"&lt;"&amp;J978,'Istoric_Nativ'!$P$6:$P$405,1,'Istoric_Nativ'!$D$6:$D$405,"&gt;="&amp;L978),IF(H978="AWAY",SUMIFS('Istoric_Nativ'!$H$6:$H$405,'Istoric_Nativ'!$B$6:$B$405,E978,'Istoric_Nativ'!$C$6:$C$405,F978,'Istoric_Nativ'!$F$6:$F$405,G978,'Istoric_Nativ'!$D$6:$D$405,"&lt;"&amp;J978,'Istoric_Nativ'!$P$6:$P$405,1,'Istoric_Nativ'!$D$6:$D$405,"&gt;="&amp;L978),SUMIFS('Istoric_Nativ'!$G$6:$G$405,'Istoric_Nativ'!$B$6:$B$405,E978,'Istoric_Nativ'!$C$6:$C$405,F978,'Istoric_Nativ'!$E$6:$E$405,G978,'Istoric_Nativ'!$D$6:$D$405,"&lt;"&amp;J978,'Istoric_Nativ'!$P$6:$P$405,1,'Istoric_Nativ'!$D$6:$D$405,"&gt;="&amp;L978)+SUMIFS('Istoric_Nativ'!$H$6:$H$405,'Istoric_Nativ'!$B$6:$B$405,E978,'Istoric_Nativ'!$C$6:$C$405,F978,'Istoric_Nativ'!$F$6:$F$405,G978,'Istoric_Nativ'!$D$6:$D$405,"&lt;"&amp;J978,'Istoric_Nativ'!$P$6:$P$405,1,'Istoric_Nativ'!$D$6:$D$405,"&gt;="&amp;L978)))/M978)</x:f>
      </x:c>
      <x:c r="O978" s="11" t="str">
        <x:f>IF(M978=0,"",IF(H978="HOME",SUMIFS('Istoric_Nativ'!$H$6:$H$405,'Istoric_Nativ'!$B$6:$B$405,E978,'Istoric_Nativ'!$C$6:$C$405,F978,'Istoric_Nativ'!$E$6:$E$405,G978,'Istoric_Nativ'!$D$6:$D$405,"&lt;"&amp;J978,'Istoric_Nativ'!$P$6:$P$405,1,'Istoric_Nativ'!$D$6:$D$405,"&gt;="&amp;L978),IF(H978="AWAY",SUMIFS('Istoric_Nativ'!$G$6:$G$405,'Istoric_Nativ'!$B$6:$B$405,E978,'Istoric_Nativ'!$C$6:$C$405,F978,'Istoric_Nativ'!$F$6:$F$405,G978,'Istoric_Nativ'!$D$6:$D$405,"&lt;"&amp;J978,'Istoric_Nativ'!$P$6:$P$405,1,'Istoric_Nativ'!$D$6:$D$405,"&gt;="&amp;L978),SUMIFS('Istoric_Nativ'!$H$6:$H$405,'Istoric_Nativ'!$B$6:$B$405,E978,'Istoric_Nativ'!$C$6:$C$405,F978,'Istoric_Nativ'!$E$6:$E$405,G978,'Istoric_Nativ'!$D$6:$D$405,"&lt;"&amp;J978,'Istoric_Nativ'!$P$6:$P$405,1,'Istoric_Nativ'!$D$6:$D$405,"&gt;="&amp;L978)+SUMIFS('Istoric_Nativ'!$G$6:$G$405,'Istoric_Nativ'!$B$6:$B$405,E978,'Istoric_Nativ'!$C$6:$C$405,F978,'Istoric_Nativ'!$F$6:$F$405,G978,'Istoric_Nativ'!$D$6:$D$405,"&lt;"&amp;J978,'Istoric_Nativ'!$P$6:$P$405,1,'Istoric_Nativ'!$D$6:$D$405,"&gt;="&amp;L978)))/M978)</x:f>
      </x:c>
      <x:c r="P978" s="2" t="n">
        <x:f>'Config_v6'!$B$7</x:f>
        <x:v>10</x:v>
      </x:c>
      <x:c r="Q978" s="2" t="n">
        <x:f>IF(OR(B978="",F978=""),0,IFERROR(MATCH(E978&amp;"|"&amp;F978,SourceTable[Source_Key],0),0))</x:f>
        <x:v>0</x:v>
      </x:c>
      <x:c r="R978" s="2" t="str">
        <x:f>IF(B978="","",IF(F978="","UNUSED",IF(Q978=0,"NOT CHECKED",IF(COUNTIF(SourceTable[Source_Key],E978&amp;"|"&amp;F978)&lt;&gt;1,"SOURCE CONFLICT",IF(NOT(OR(INDEX(SourceTable[Status],MAX(1,Q978))="IMPORTED",INDEX(SourceTable[Status],MAX(1,Q978))="PARTIAL",INDEX(SourceTable[Status],MAX(1,Q978))="SOURCE CONFLICT")),"ACCESS BLOCKED",IF(OR(INDEX(SourceTable[Coverage],Q978)&lt;&gt;"FULL SEASON EXPORT",INDEX(SourceTable[URL],Q978)="",INDEX(SourceTable[SHA256],Q978)=""),"EVIDENCE INCOMPLETE",IF(AND('Input_Meci'!H87="LIVE",INDEX(SourceTable[Retrieved_UTC],Q978)&gt;'Input_Meci'!G87),"POST CUTOFF","CLOSED")))))))</x:f>
      </x:c>
      <x:c r="S978" s="2" t="n">
        <x:f>IF(OR(B978="",F978=""),0,COUNTIFS('Istoric_Nativ'!$B$6:$B$405,E978,'Istoric_Nativ'!$C$6:$C$405,F978,'Istoric_Nativ'!$E$6:$E$405,G978,'Istoric_Nativ'!$D$6:$D$405,"&lt;"&amp;J978,'Istoric_Nativ'!$O$6:$O$405,"INVALID")+COUNTIFS('Istoric_Nativ'!$B$6:$B$405,E978,'Istoric_Nativ'!$C$6:$C$405,F978,'Istoric_Nativ'!$E$6:$E$405,G978,'Istoric_Nativ'!$O$6:$O$405,"INVALID",'Istoric_Nativ'!$D$6:$D$405,"*")+COUNTIFS('Istoric_Nativ'!$B$6:$B$405,E978,'Istoric_Nativ'!$C$6:$C$405,F978,'Istoric_Nativ'!$E$6:$E$405,G978,'Istoric_Nativ'!$D$6:$D$405,"&lt;"&amp;J978,'Istoric_Nativ'!$O$6:$O$405,"SOURCE CONFLICT")+COUNTIFS('Istoric_Nativ'!$B$6:$B$405,E978,'Istoric_Nativ'!$C$6:$C$405,F978,'Istoric_Nativ'!$F$6:$F$405,G978,'Istoric_Nativ'!$D$6:$D$405,"&lt;"&amp;J978,'Istoric_Nativ'!$O$6:$O$405,"INVALID")+COUNTIFS('Istoric_Nativ'!$B$6:$B$405,E978,'Istoric_Nativ'!$C$6:$C$405,F978,'Istoric_Nativ'!$F$6:$F$405,G978,'Istoric_Nativ'!$O$6:$O$405,"INVALID",'Istoric_Nativ'!$D$6:$D$405,"*")+COUNTIFS('Istoric_Nativ'!$B$6:$B$405,E978,'Istoric_Nativ'!$C$6:$C$405,F978,'Istoric_Nativ'!$F$6:$F$405,G978,'Istoric_Nativ'!$D$6:$D$405,"&lt;"&amp;J978,'Istoric_Nativ'!$O$6:$O$405,"SOURCE CONFLICT"))</x:f>
        <x:v>0</x:v>
      </x:c>
      <x:c r="T978" s="2" t="str">
        <x:f>IF(B978="","",IF(R978&lt;&gt;"CLOSED",R978,IF(S978&gt;0,"NATIVE INPUT ISSUE",IF(M978=0,"NO HISTORY",IF(M978&lt;P978,"SMALL SAMPLE","DERIVED")))))</x:f>
      </x:c>
      <x:c r="U978" s="2" t="str">
        <x:f>IF(B978="","","NativeTable; "&amp;E978&amp;"; "&amp;F978&amp;"; "&amp;G978&amp;"; "&amp;H978&amp;"; before "&amp;TEXT(J978,"yyyy-mm-dd")&amp;IF(I978="RECENT","; from "&amp;TEXT(L978,"yyyy-mm-dd"),""))</x:f>
      </x:c>
    </x:row>
    <x:row r="979" ht="21" customHeight="1">
      <x:c r="A979" s="2" t="n">
        <x:v>82</x:v>
      </x:c>
      <x:c r="B979" s="2" t="str">
        <x:f>IF('Input_Meci'!A87="","",'Input_Meci'!A87)</x:f>
      </x:c>
      <x:c r="C979" s="2" t="str">
        <x:v>H</x:v>
      </x:c>
      <x:c r="D979" s="2" t="str">
        <x:v>CURRENT</x:v>
      </x:c>
      <x:c r="E979" s="2" t="str">
        <x:f>IF(B979="","",'Input_Meci'!B87)</x:f>
      </x:c>
      <x:c r="F979" s="2" t="str">
        <x:f>IF(B979="","",IF('Input_Meci'!C87="","",'Input_Meci'!C87))</x:f>
      </x:c>
      <x:c r="G979" s="2" t="str">
        <x:f>IF(B979="","",'Input_Meci'!D87)</x:f>
      </x:c>
      <x:c r="H979" s="2" t="str">
        <x:v>HOME</x:v>
      </x:c>
      <x:c r="I979" s="2" t="str">
        <x:v>HA</x:v>
      </x:c>
      <x:c r="J979" s="9" t="n">
        <x:f>IF(AND(B979&lt;&gt;"",ISNUMBER('Input_Meci'!G87)),INT('Input_Meci'!G87),0)</x:f>
        <x:v>0</x:v>
      </x:c>
      <x:c r="K979" s="2" t="n">
        <x:f>IF(OR(B979="",F979=""),0,IF(H979="HOME",COUNTIFS('Istoric_Nativ'!$B$6:$B$405,E979,'Istoric_Nativ'!$C$6:$C$405,F979,'Istoric_Nativ'!$E$6:$E$405,G979,'Istoric_Nativ'!$D$6:$D$405,"&lt;"&amp;J979,'Istoric_Nativ'!$P$6:$P$405,1),IF(H979="AWAY",COUNTIFS('Istoric_Nativ'!$B$6:$B$405,E979,'Istoric_Nativ'!$C$6:$C$405,F979,'Istoric_Nativ'!$F$6:$F$405,G979,'Istoric_Nativ'!$D$6:$D$405,"&lt;"&amp;J979,'Istoric_Nativ'!$P$6:$P$405,1),COUNTIFS('Istoric_Nativ'!$B$6:$B$405,E979,'Istoric_Nativ'!$C$6:$C$405,F979,'Istoric_Nativ'!$E$6:$E$405,G979,'Istoric_Nativ'!$D$6:$D$405,"&lt;"&amp;J979,'Istoric_Nativ'!$P$6:$P$405,1)+COUNTIFS('Istoric_Nativ'!$B$6:$B$405,E979,'Istoric_Nativ'!$C$6:$C$405,F979,'Istoric_Nativ'!$F$6:$F$405,G979,'Istoric_Nativ'!$D$6:$D$405,"&lt;"&amp;J979,'Istoric_Nativ'!$P$6:$P$405,1))))</x:f>
        <x:v>0</x:v>
      </x:c>
      <x:c r="L979" s="17" t="n">
        <x:f>IF(AND(B979&lt;&gt;"",I979="RECENT",K979&gt;0),LARGE(_xlfn._xlws.FILTER('Istoric_Nativ'!$D$6:$D$405,('Istoric_Nativ'!$B$6:$B$405=E979)*('Istoric_Nativ'!$C$6:$C$405=F979)*('Istoric_Nativ'!$P$6:$P$405=1)*('Istoric_Nativ'!$D$6:$D$405&lt;J979)*((('Istoric_Nativ'!$E$6:$E$405=G979)+('Istoric_Nativ'!$F$6:$F$405=G979))&gt;0)),MIN('Config_v6'!$B$54,K979)),0)</x:f>
        <x:v>0</x:v>
      </x:c>
      <x:c r="M979" s="2" t="n">
        <x:f>IF(OR(B979="",F979=""),0,IF(H979="HOME",COUNTIFS('Istoric_Nativ'!$B$6:$B$405,E979,'Istoric_Nativ'!$C$6:$C$405,F979,'Istoric_Nativ'!$E$6:$E$405,G979,'Istoric_Nativ'!$D$6:$D$405,"&lt;"&amp;J979,'Istoric_Nativ'!$P$6:$P$405,1,'Istoric_Nativ'!$D$6:$D$405,"&gt;="&amp;L979),IF(H979="AWAY",COUNTIFS('Istoric_Nativ'!$B$6:$B$405,E979,'Istoric_Nativ'!$C$6:$C$405,F979,'Istoric_Nativ'!$F$6:$F$405,G979,'Istoric_Nativ'!$D$6:$D$405,"&lt;"&amp;J979,'Istoric_Nativ'!$P$6:$P$405,1,'Istoric_Nativ'!$D$6:$D$405,"&gt;="&amp;L979),COUNTIFS('Istoric_Nativ'!$B$6:$B$405,E979,'Istoric_Nativ'!$C$6:$C$405,F979,'Istoric_Nativ'!$E$6:$E$405,G979,'Istoric_Nativ'!$D$6:$D$405,"&lt;"&amp;J979,'Istoric_Nativ'!$P$6:$P$405,1,'Istoric_Nativ'!$D$6:$D$405,"&gt;="&amp;L979)+COUNTIFS('Istoric_Nativ'!$B$6:$B$405,E979,'Istoric_Nativ'!$C$6:$C$405,F979,'Istoric_Nativ'!$F$6:$F$405,G979,'Istoric_Nativ'!$D$6:$D$405,"&lt;"&amp;J979,'Istoric_Nativ'!$P$6:$P$405,1,'Istoric_Nativ'!$D$6:$D$405,"&gt;="&amp;L979))))</x:f>
        <x:v>0</x:v>
      </x:c>
      <x:c r="N979" s="11" t="str">
        <x:f>IF(M979=0,"",IF(H979="HOME",SUMIFS('Istoric_Nativ'!$G$6:$G$405,'Istoric_Nativ'!$B$6:$B$405,E979,'Istoric_Nativ'!$C$6:$C$405,F979,'Istoric_Nativ'!$E$6:$E$405,G979,'Istoric_Nativ'!$D$6:$D$405,"&lt;"&amp;J979,'Istoric_Nativ'!$P$6:$P$405,1,'Istoric_Nativ'!$D$6:$D$405,"&gt;="&amp;L979),IF(H979="AWAY",SUMIFS('Istoric_Nativ'!$H$6:$H$405,'Istoric_Nativ'!$B$6:$B$405,E979,'Istoric_Nativ'!$C$6:$C$405,F979,'Istoric_Nativ'!$F$6:$F$405,G979,'Istoric_Nativ'!$D$6:$D$405,"&lt;"&amp;J979,'Istoric_Nativ'!$P$6:$P$405,1,'Istoric_Nativ'!$D$6:$D$405,"&gt;="&amp;L979),SUMIFS('Istoric_Nativ'!$G$6:$G$405,'Istoric_Nativ'!$B$6:$B$405,E979,'Istoric_Nativ'!$C$6:$C$405,F979,'Istoric_Nativ'!$E$6:$E$405,G979,'Istoric_Nativ'!$D$6:$D$405,"&lt;"&amp;J979,'Istoric_Nativ'!$P$6:$P$405,1,'Istoric_Nativ'!$D$6:$D$405,"&gt;="&amp;L979)+SUMIFS('Istoric_Nativ'!$H$6:$H$405,'Istoric_Nativ'!$B$6:$B$405,E979,'Istoric_Nativ'!$C$6:$C$405,F979,'Istoric_Nativ'!$F$6:$F$405,G979,'Istoric_Nativ'!$D$6:$D$405,"&lt;"&amp;J979,'Istoric_Nativ'!$P$6:$P$405,1,'Istoric_Nativ'!$D$6:$D$405,"&gt;="&amp;L979)))/M979)</x:f>
      </x:c>
      <x:c r="O979" s="11" t="str">
        <x:f>IF(M979=0,"",IF(H979="HOME",SUMIFS('Istoric_Nativ'!$H$6:$H$405,'Istoric_Nativ'!$B$6:$B$405,E979,'Istoric_Nativ'!$C$6:$C$405,F979,'Istoric_Nativ'!$E$6:$E$405,G979,'Istoric_Nativ'!$D$6:$D$405,"&lt;"&amp;J979,'Istoric_Nativ'!$P$6:$P$405,1,'Istoric_Nativ'!$D$6:$D$405,"&gt;="&amp;L979),IF(H979="AWAY",SUMIFS('Istoric_Nativ'!$G$6:$G$405,'Istoric_Nativ'!$B$6:$B$405,E979,'Istoric_Nativ'!$C$6:$C$405,F979,'Istoric_Nativ'!$F$6:$F$405,G979,'Istoric_Nativ'!$D$6:$D$405,"&lt;"&amp;J979,'Istoric_Nativ'!$P$6:$P$405,1,'Istoric_Nativ'!$D$6:$D$405,"&gt;="&amp;L979),SUMIFS('Istoric_Nativ'!$H$6:$H$405,'Istoric_Nativ'!$B$6:$B$405,E979,'Istoric_Nativ'!$C$6:$C$405,F979,'Istoric_Nativ'!$E$6:$E$405,G979,'Istoric_Nativ'!$D$6:$D$405,"&lt;"&amp;J979,'Istoric_Nativ'!$P$6:$P$405,1,'Istoric_Nativ'!$D$6:$D$405,"&gt;="&amp;L979)+SUMIFS('Istoric_Nativ'!$G$6:$G$405,'Istoric_Nativ'!$B$6:$B$405,E979,'Istoric_Nativ'!$C$6:$C$405,F979,'Istoric_Nativ'!$F$6:$F$405,G979,'Istoric_Nativ'!$D$6:$D$405,"&lt;"&amp;J979,'Istoric_Nativ'!$P$6:$P$405,1,'Istoric_Nativ'!$D$6:$D$405,"&gt;="&amp;L979)))/M979)</x:f>
      </x:c>
      <x:c r="P979" s="2" t="n">
        <x:f>'Config_v6'!$B$8</x:f>
        <x:v>5</x:v>
      </x:c>
      <x:c r="Q979" s="2" t="n">
        <x:f>IF(OR(B979="",F979=""),0,IFERROR(MATCH(E979&amp;"|"&amp;F979,SourceTable[Source_Key],0),0))</x:f>
        <x:v>0</x:v>
      </x:c>
      <x:c r="R979" s="2" t="str">
        <x:f>IF(B979="","",IF(F979="","UNUSED",IF(Q979=0,"NOT CHECKED",IF(COUNTIF(SourceTable[Source_Key],E979&amp;"|"&amp;F979)&lt;&gt;1,"SOURCE CONFLICT",IF(NOT(OR(INDEX(SourceTable[Status],MAX(1,Q979))="IMPORTED",INDEX(SourceTable[Status],MAX(1,Q979))="PARTIAL",INDEX(SourceTable[Status],MAX(1,Q979))="SOURCE CONFLICT")),"ACCESS BLOCKED",IF(OR(INDEX(SourceTable[Coverage],Q979)&lt;&gt;"FULL SEASON EXPORT",INDEX(SourceTable[URL],Q979)="",INDEX(SourceTable[SHA256],Q979)=""),"EVIDENCE INCOMPLETE",IF(AND('Input_Meci'!H87="LIVE",INDEX(SourceTable[Retrieved_UTC],Q979)&gt;'Input_Meci'!G87),"POST CUTOFF","CLOSED")))))))</x:f>
      </x:c>
      <x:c r="S979" s="2" t="n">
        <x:f>IF(OR(B979="",F979=""),0,COUNTIFS('Istoric_Nativ'!$B$6:$B$405,E979,'Istoric_Nativ'!$C$6:$C$405,F979,'Istoric_Nativ'!$E$6:$E$405,G979,'Istoric_Nativ'!$D$6:$D$405,"&lt;"&amp;J979,'Istoric_Nativ'!$O$6:$O$405,"INVALID")+COUNTIFS('Istoric_Nativ'!$B$6:$B$405,E979,'Istoric_Nativ'!$C$6:$C$405,F979,'Istoric_Nativ'!$E$6:$E$405,G979,'Istoric_Nativ'!$O$6:$O$405,"INVALID",'Istoric_Nativ'!$D$6:$D$405,"*")+COUNTIFS('Istoric_Nativ'!$B$6:$B$405,E979,'Istoric_Nativ'!$C$6:$C$405,F979,'Istoric_Nativ'!$E$6:$E$405,G979,'Istoric_Nativ'!$D$6:$D$405,"&lt;"&amp;J979,'Istoric_Nativ'!$O$6:$O$405,"SOURCE CONFLICT")+COUNTIFS('Istoric_Nativ'!$B$6:$B$405,E979,'Istoric_Nativ'!$C$6:$C$405,F979,'Istoric_Nativ'!$F$6:$F$405,G979,'Istoric_Nativ'!$D$6:$D$405,"&lt;"&amp;J979,'Istoric_Nativ'!$O$6:$O$405,"INVALID")+COUNTIFS('Istoric_Nativ'!$B$6:$B$405,E979,'Istoric_Nativ'!$C$6:$C$405,F979,'Istoric_Nativ'!$F$6:$F$405,G979,'Istoric_Nativ'!$O$6:$O$405,"INVALID",'Istoric_Nativ'!$D$6:$D$405,"*")+COUNTIFS('Istoric_Nativ'!$B$6:$B$405,E979,'Istoric_Nativ'!$C$6:$C$405,F979,'Istoric_Nativ'!$F$6:$F$405,G979,'Istoric_Nativ'!$D$6:$D$405,"&lt;"&amp;J979,'Istoric_Nativ'!$O$6:$O$405,"SOURCE CONFLICT"))</x:f>
        <x:v>0</x:v>
      </x:c>
      <x:c r="T979" s="2" t="str">
        <x:f>IF(B979="","",IF(R979&lt;&gt;"CLOSED",R979,IF(S979&gt;0,"NATIVE INPUT ISSUE",IF(M979=0,"NO HISTORY",IF(M979&lt;P979,"SMALL SAMPLE","DERIVED")))))</x:f>
      </x:c>
      <x:c r="U979" s="2" t="str">
        <x:f>IF(B979="","","NativeTable; "&amp;E979&amp;"; "&amp;F979&amp;"; "&amp;G979&amp;"; "&amp;H979&amp;"; before "&amp;TEXT(J979,"yyyy-mm-dd")&amp;IF(I979="RECENT","; from "&amp;TEXT(L979,"yyyy-mm-dd"),""))</x:f>
      </x:c>
    </x:row>
    <x:row r="980" ht="21" customHeight="1">
      <x:c r="A980" s="2" t="n">
        <x:v>82</x:v>
      </x:c>
      <x:c r="B980" s="2" t="str">
        <x:f>IF('Input_Meci'!A87="","",'Input_Meci'!A87)</x:f>
      </x:c>
      <x:c r="C980" s="2" t="str">
        <x:v>H</x:v>
      </x:c>
      <x:c r="D980" s="2" t="str">
        <x:v>CURRENT</x:v>
      </x:c>
      <x:c r="E980" s="2" t="str">
        <x:f>IF(B980="","",'Input_Meci'!B87)</x:f>
      </x:c>
      <x:c r="F980" s="2" t="str">
        <x:f>IF(B980="","",IF('Input_Meci'!C87="","",'Input_Meci'!C87))</x:f>
      </x:c>
      <x:c r="G980" s="2" t="str">
        <x:f>IF(B980="","",'Input_Meci'!D87)</x:f>
      </x:c>
      <x:c r="H980" s="2" t="str">
        <x:v>ANY</x:v>
      </x:c>
      <x:c r="I980" s="2" t="str">
        <x:v>RECENT</x:v>
      </x:c>
      <x:c r="J980" s="9" t="n">
        <x:f>IF(AND(B980&lt;&gt;"",ISNUMBER('Input_Meci'!G87)),INT('Input_Meci'!G87),0)</x:f>
        <x:v>0</x:v>
      </x:c>
      <x:c r="K980" s="2" t="n">
        <x:f>IF(OR(B980="",F980=""),0,IF(H980="HOME",COUNTIFS('Istoric_Nativ'!$B$6:$B$405,E980,'Istoric_Nativ'!$C$6:$C$405,F980,'Istoric_Nativ'!$E$6:$E$405,G980,'Istoric_Nativ'!$D$6:$D$405,"&lt;"&amp;J980,'Istoric_Nativ'!$P$6:$P$405,1),IF(H980="AWAY",COUNTIFS('Istoric_Nativ'!$B$6:$B$405,E980,'Istoric_Nativ'!$C$6:$C$405,F980,'Istoric_Nativ'!$F$6:$F$405,G980,'Istoric_Nativ'!$D$6:$D$405,"&lt;"&amp;J980,'Istoric_Nativ'!$P$6:$P$405,1),COUNTIFS('Istoric_Nativ'!$B$6:$B$405,E980,'Istoric_Nativ'!$C$6:$C$405,F980,'Istoric_Nativ'!$E$6:$E$405,G980,'Istoric_Nativ'!$D$6:$D$405,"&lt;"&amp;J980,'Istoric_Nativ'!$P$6:$P$405,1)+COUNTIFS('Istoric_Nativ'!$B$6:$B$405,E980,'Istoric_Nativ'!$C$6:$C$405,F980,'Istoric_Nativ'!$F$6:$F$405,G980,'Istoric_Nativ'!$D$6:$D$405,"&lt;"&amp;J980,'Istoric_Nativ'!$P$6:$P$405,1))))</x:f>
        <x:v>0</x:v>
      </x:c>
      <x:c r="L980" s="17" t="n">
        <x:f>IF(AND(B980&lt;&gt;"",I980="RECENT",K980&gt;0),LARGE(_xlfn._xlws.FILTER('Istoric_Nativ'!$D$6:$D$405,('Istoric_Nativ'!$B$6:$B$405=E980)*('Istoric_Nativ'!$C$6:$C$405=F980)*('Istoric_Nativ'!$P$6:$P$405=1)*('Istoric_Nativ'!$D$6:$D$405&lt;J980)*((('Istoric_Nativ'!$E$6:$E$405=G980)+('Istoric_Nativ'!$F$6:$F$405=G980))&gt;0)),MIN('Config_v6'!$B$54,K980)),0)</x:f>
        <x:v>0</x:v>
      </x:c>
      <x:c r="M980" s="2" t="n">
        <x:f>IF(OR(B980="",F980=""),0,IF(H980="HOME",COUNTIFS('Istoric_Nativ'!$B$6:$B$405,E980,'Istoric_Nativ'!$C$6:$C$405,F980,'Istoric_Nativ'!$E$6:$E$405,G980,'Istoric_Nativ'!$D$6:$D$405,"&lt;"&amp;J980,'Istoric_Nativ'!$P$6:$P$405,1,'Istoric_Nativ'!$D$6:$D$405,"&gt;="&amp;L980),IF(H980="AWAY",COUNTIFS('Istoric_Nativ'!$B$6:$B$405,E980,'Istoric_Nativ'!$C$6:$C$405,F980,'Istoric_Nativ'!$F$6:$F$405,G980,'Istoric_Nativ'!$D$6:$D$405,"&lt;"&amp;J980,'Istoric_Nativ'!$P$6:$P$405,1,'Istoric_Nativ'!$D$6:$D$405,"&gt;="&amp;L980),COUNTIFS('Istoric_Nativ'!$B$6:$B$405,E980,'Istoric_Nativ'!$C$6:$C$405,F980,'Istoric_Nativ'!$E$6:$E$405,G980,'Istoric_Nativ'!$D$6:$D$405,"&lt;"&amp;J980,'Istoric_Nativ'!$P$6:$P$405,1,'Istoric_Nativ'!$D$6:$D$405,"&gt;="&amp;L980)+COUNTIFS('Istoric_Nativ'!$B$6:$B$405,E980,'Istoric_Nativ'!$C$6:$C$405,F980,'Istoric_Nativ'!$F$6:$F$405,G980,'Istoric_Nativ'!$D$6:$D$405,"&lt;"&amp;J980,'Istoric_Nativ'!$P$6:$P$405,1,'Istoric_Nativ'!$D$6:$D$405,"&gt;="&amp;L980))))</x:f>
        <x:v>0</x:v>
      </x:c>
      <x:c r="N980" s="11" t="str">
        <x:f>IF(M980=0,"",IF(H980="HOME",SUMIFS('Istoric_Nativ'!$G$6:$G$405,'Istoric_Nativ'!$B$6:$B$405,E980,'Istoric_Nativ'!$C$6:$C$405,F980,'Istoric_Nativ'!$E$6:$E$405,G980,'Istoric_Nativ'!$D$6:$D$405,"&lt;"&amp;J980,'Istoric_Nativ'!$P$6:$P$405,1,'Istoric_Nativ'!$D$6:$D$405,"&gt;="&amp;L980),IF(H980="AWAY",SUMIFS('Istoric_Nativ'!$H$6:$H$405,'Istoric_Nativ'!$B$6:$B$405,E980,'Istoric_Nativ'!$C$6:$C$405,F980,'Istoric_Nativ'!$F$6:$F$405,G980,'Istoric_Nativ'!$D$6:$D$405,"&lt;"&amp;J980,'Istoric_Nativ'!$P$6:$P$405,1,'Istoric_Nativ'!$D$6:$D$405,"&gt;="&amp;L980),SUMIFS('Istoric_Nativ'!$G$6:$G$405,'Istoric_Nativ'!$B$6:$B$405,E980,'Istoric_Nativ'!$C$6:$C$405,F980,'Istoric_Nativ'!$E$6:$E$405,G980,'Istoric_Nativ'!$D$6:$D$405,"&lt;"&amp;J980,'Istoric_Nativ'!$P$6:$P$405,1,'Istoric_Nativ'!$D$6:$D$405,"&gt;="&amp;L980)+SUMIFS('Istoric_Nativ'!$H$6:$H$405,'Istoric_Nativ'!$B$6:$B$405,E980,'Istoric_Nativ'!$C$6:$C$405,F980,'Istoric_Nativ'!$F$6:$F$405,G980,'Istoric_Nativ'!$D$6:$D$405,"&lt;"&amp;J980,'Istoric_Nativ'!$P$6:$P$405,1,'Istoric_Nativ'!$D$6:$D$405,"&gt;="&amp;L980)))/M980)</x:f>
      </x:c>
      <x:c r="O980" s="11" t="str">
        <x:f>IF(M980=0,"",IF(H980="HOME",SUMIFS('Istoric_Nativ'!$H$6:$H$405,'Istoric_Nativ'!$B$6:$B$405,E980,'Istoric_Nativ'!$C$6:$C$405,F980,'Istoric_Nativ'!$E$6:$E$405,G980,'Istoric_Nativ'!$D$6:$D$405,"&lt;"&amp;J980,'Istoric_Nativ'!$P$6:$P$405,1,'Istoric_Nativ'!$D$6:$D$405,"&gt;="&amp;L980),IF(H980="AWAY",SUMIFS('Istoric_Nativ'!$G$6:$G$405,'Istoric_Nativ'!$B$6:$B$405,E980,'Istoric_Nativ'!$C$6:$C$405,F980,'Istoric_Nativ'!$F$6:$F$405,G980,'Istoric_Nativ'!$D$6:$D$405,"&lt;"&amp;J980,'Istoric_Nativ'!$P$6:$P$405,1,'Istoric_Nativ'!$D$6:$D$405,"&gt;="&amp;L980),SUMIFS('Istoric_Nativ'!$H$6:$H$405,'Istoric_Nativ'!$B$6:$B$405,E980,'Istoric_Nativ'!$C$6:$C$405,F980,'Istoric_Nativ'!$E$6:$E$405,G980,'Istoric_Nativ'!$D$6:$D$405,"&lt;"&amp;J980,'Istoric_Nativ'!$P$6:$P$405,1,'Istoric_Nativ'!$D$6:$D$405,"&gt;="&amp;L980)+SUMIFS('Istoric_Nativ'!$G$6:$G$405,'Istoric_Nativ'!$B$6:$B$405,E980,'Istoric_Nativ'!$C$6:$C$405,F980,'Istoric_Nativ'!$F$6:$F$405,G980,'Istoric_Nativ'!$D$6:$D$405,"&lt;"&amp;J980,'Istoric_Nativ'!$P$6:$P$405,1,'Istoric_Nativ'!$D$6:$D$405,"&gt;="&amp;L980)))/M980)</x:f>
      </x:c>
      <x:c r="P980" s="2" t="n">
        <x:f>'Config_v6'!$B$9</x:f>
        <x:v>3</x:v>
      </x:c>
      <x:c r="Q980" s="2" t="n">
        <x:f>IF(OR(B980="",F980=""),0,IFERROR(MATCH(E980&amp;"|"&amp;F980,SourceTable[Source_Key],0),0))</x:f>
        <x:v>0</x:v>
      </x:c>
      <x:c r="R980" s="2" t="str">
        <x:f>IF(B980="","",IF(F980="","UNUSED",IF(Q980=0,"NOT CHECKED",IF(COUNTIF(SourceTable[Source_Key],E980&amp;"|"&amp;F980)&lt;&gt;1,"SOURCE CONFLICT",IF(NOT(OR(INDEX(SourceTable[Status],MAX(1,Q980))="IMPORTED",INDEX(SourceTable[Status],MAX(1,Q980))="PARTIAL",INDEX(SourceTable[Status],MAX(1,Q980))="SOURCE CONFLICT")),"ACCESS BLOCKED",IF(OR(INDEX(SourceTable[Coverage],Q980)&lt;&gt;"FULL SEASON EXPORT",INDEX(SourceTable[URL],Q980)="",INDEX(SourceTable[SHA256],Q980)=""),"EVIDENCE INCOMPLETE",IF(AND('Input_Meci'!H87="LIVE",INDEX(SourceTable[Retrieved_UTC],Q980)&gt;'Input_Meci'!G87),"POST CUTOFF","CLOSED")))))))</x:f>
      </x:c>
      <x:c r="S980" s="2" t="n">
        <x:f>IF(OR(B980="",F980=""),0,COUNTIFS('Istoric_Nativ'!$B$6:$B$405,E980,'Istoric_Nativ'!$C$6:$C$405,F980,'Istoric_Nativ'!$E$6:$E$405,G980,'Istoric_Nativ'!$D$6:$D$405,"&lt;"&amp;J980,'Istoric_Nativ'!$O$6:$O$405,"INVALID")+COUNTIFS('Istoric_Nativ'!$B$6:$B$405,E980,'Istoric_Nativ'!$C$6:$C$405,F980,'Istoric_Nativ'!$E$6:$E$405,G980,'Istoric_Nativ'!$O$6:$O$405,"INVALID",'Istoric_Nativ'!$D$6:$D$405,"*")+COUNTIFS('Istoric_Nativ'!$B$6:$B$405,E980,'Istoric_Nativ'!$C$6:$C$405,F980,'Istoric_Nativ'!$E$6:$E$405,G980,'Istoric_Nativ'!$D$6:$D$405,"&lt;"&amp;J980,'Istoric_Nativ'!$O$6:$O$405,"SOURCE CONFLICT")+COUNTIFS('Istoric_Nativ'!$B$6:$B$405,E980,'Istoric_Nativ'!$C$6:$C$405,F980,'Istoric_Nativ'!$F$6:$F$405,G980,'Istoric_Nativ'!$D$6:$D$405,"&lt;"&amp;J980,'Istoric_Nativ'!$O$6:$O$405,"INVALID")+COUNTIFS('Istoric_Nativ'!$B$6:$B$405,E980,'Istoric_Nativ'!$C$6:$C$405,F980,'Istoric_Nativ'!$F$6:$F$405,G980,'Istoric_Nativ'!$O$6:$O$405,"INVALID",'Istoric_Nativ'!$D$6:$D$405,"*")+COUNTIFS('Istoric_Nativ'!$B$6:$B$405,E980,'Istoric_Nativ'!$C$6:$C$405,F980,'Istoric_Nativ'!$F$6:$F$405,G980,'Istoric_Nativ'!$D$6:$D$405,"&lt;"&amp;J980,'Istoric_Nativ'!$O$6:$O$405,"SOURCE CONFLICT"))</x:f>
        <x:v>0</x:v>
      </x:c>
      <x:c r="T980" s="2" t="str">
        <x:f>IF(B980="","",IF(R980&lt;&gt;"CLOSED",R980,IF(S980&gt;0,"NATIVE INPUT ISSUE",IF(M980=0,"NO HISTORY",IF(M980&lt;P980,"SMALL SAMPLE","DERIVED")))))</x:f>
      </x:c>
      <x:c r="U980" s="2" t="str">
        <x:f>IF(B980="","","NativeTable; "&amp;E980&amp;"; "&amp;F980&amp;"; "&amp;G980&amp;"; "&amp;H980&amp;"; before "&amp;TEXT(J980,"yyyy-mm-dd")&amp;IF(I980="RECENT","; from "&amp;TEXT(L980,"yyyy-mm-dd"),""))</x:f>
      </x:c>
    </x:row>
    <x:row r="981" ht="21" customHeight="1">
      <x:c r="A981" s="2" t="n">
        <x:v>82</x:v>
      </x:c>
      <x:c r="B981" s="2" t="str">
        <x:f>IF('Input_Meci'!A87="","",'Input_Meci'!A87)</x:f>
      </x:c>
      <x:c r="C981" s="2" t="str">
        <x:v>A</x:v>
      </x:c>
      <x:c r="D981" s="2" t="str">
        <x:v>CURRENT</x:v>
      </x:c>
      <x:c r="E981" s="2" t="str">
        <x:f>IF(B981="","",'Input_Meci'!B87)</x:f>
      </x:c>
      <x:c r="F981" s="2" t="str">
        <x:f>IF(B981="","",IF('Input_Meci'!C87="","",'Input_Meci'!C87))</x:f>
      </x:c>
      <x:c r="G981" s="2" t="str">
        <x:f>IF(B981="","",'Input_Meci'!E87)</x:f>
      </x:c>
      <x:c r="H981" s="2" t="str">
        <x:v>ANY</x:v>
      </x:c>
      <x:c r="I981" s="2" t="str">
        <x:v>SEASON</x:v>
      </x:c>
      <x:c r="J981" s="9" t="n">
        <x:f>IF(AND(B981&lt;&gt;"",ISNUMBER('Input_Meci'!G87)),INT('Input_Meci'!G87),0)</x:f>
        <x:v>0</x:v>
      </x:c>
      <x:c r="K981" s="2" t="n">
        <x:f>IF(OR(B981="",F981=""),0,IF(H981="HOME",COUNTIFS('Istoric_Nativ'!$B$6:$B$405,E981,'Istoric_Nativ'!$C$6:$C$405,F981,'Istoric_Nativ'!$E$6:$E$405,G981,'Istoric_Nativ'!$D$6:$D$405,"&lt;"&amp;J981,'Istoric_Nativ'!$P$6:$P$405,1),IF(H981="AWAY",COUNTIFS('Istoric_Nativ'!$B$6:$B$405,E981,'Istoric_Nativ'!$C$6:$C$405,F981,'Istoric_Nativ'!$F$6:$F$405,G981,'Istoric_Nativ'!$D$6:$D$405,"&lt;"&amp;J981,'Istoric_Nativ'!$P$6:$P$405,1),COUNTIFS('Istoric_Nativ'!$B$6:$B$405,E981,'Istoric_Nativ'!$C$6:$C$405,F981,'Istoric_Nativ'!$E$6:$E$405,G981,'Istoric_Nativ'!$D$6:$D$405,"&lt;"&amp;J981,'Istoric_Nativ'!$P$6:$P$405,1)+COUNTIFS('Istoric_Nativ'!$B$6:$B$405,E981,'Istoric_Nativ'!$C$6:$C$405,F981,'Istoric_Nativ'!$F$6:$F$405,G981,'Istoric_Nativ'!$D$6:$D$405,"&lt;"&amp;J981,'Istoric_Nativ'!$P$6:$P$405,1))))</x:f>
        <x:v>0</x:v>
      </x:c>
      <x:c r="L981" s="17" t="n">
        <x:f>IF(AND(B981&lt;&gt;"",I981="RECENT",K981&gt;0),LARGE(_xlfn._xlws.FILTER('Istoric_Nativ'!$D$6:$D$405,('Istoric_Nativ'!$B$6:$B$405=E981)*('Istoric_Nativ'!$C$6:$C$405=F981)*('Istoric_Nativ'!$P$6:$P$405=1)*('Istoric_Nativ'!$D$6:$D$405&lt;J981)*((('Istoric_Nativ'!$E$6:$E$405=G981)+('Istoric_Nativ'!$F$6:$F$405=G981))&gt;0)),MIN('Config_v6'!$B$54,K981)),0)</x:f>
        <x:v>0</x:v>
      </x:c>
      <x:c r="M981" s="2" t="n">
        <x:f>IF(OR(B981="",F981=""),0,IF(H981="HOME",COUNTIFS('Istoric_Nativ'!$B$6:$B$405,E981,'Istoric_Nativ'!$C$6:$C$405,F981,'Istoric_Nativ'!$E$6:$E$405,G981,'Istoric_Nativ'!$D$6:$D$405,"&lt;"&amp;J981,'Istoric_Nativ'!$P$6:$P$405,1,'Istoric_Nativ'!$D$6:$D$405,"&gt;="&amp;L981),IF(H981="AWAY",COUNTIFS('Istoric_Nativ'!$B$6:$B$405,E981,'Istoric_Nativ'!$C$6:$C$405,F981,'Istoric_Nativ'!$F$6:$F$405,G981,'Istoric_Nativ'!$D$6:$D$405,"&lt;"&amp;J981,'Istoric_Nativ'!$P$6:$P$405,1,'Istoric_Nativ'!$D$6:$D$405,"&gt;="&amp;L981),COUNTIFS('Istoric_Nativ'!$B$6:$B$405,E981,'Istoric_Nativ'!$C$6:$C$405,F981,'Istoric_Nativ'!$E$6:$E$405,G981,'Istoric_Nativ'!$D$6:$D$405,"&lt;"&amp;J981,'Istoric_Nativ'!$P$6:$P$405,1,'Istoric_Nativ'!$D$6:$D$405,"&gt;="&amp;L981)+COUNTIFS('Istoric_Nativ'!$B$6:$B$405,E981,'Istoric_Nativ'!$C$6:$C$405,F981,'Istoric_Nativ'!$F$6:$F$405,G981,'Istoric_Nativ'!$D$6:$D$405,"&lt;"&amp;J981,'Istoric_Nativ'!$P$6:$P$405,1,'Istoric_Nativ'!$D$6:$D$405,"&gt;="&amp;L981))))</x:f>
        <x:v>0</x:v>
      </x:c>
      <x:c r="N981" s="11" t="str">
        <x:f>IF(M981=0,"",IF(H981="HOME",SUMIFS('Istoric_Nativ'!$G$6:$G$405,'Istoric_Nativ'!$B$6:$B$405,E981,'Istoric_Nativ'!$C$6:$C$405,F981,'Istoric_Nativ'!$E$6:$E$405,G981,'Istoric_Nativ'!$D$6:$D$405,"&lt;"&amp;J981,'Istoric_Nativ'!$P$6:$P$405,1,'Istoric_Nativ'!$D$6:$D$405,"&gt;="&amp;L981),IF(H981="AWAY",SUMIFS('Istoric_Nativ'!$H$6:$H$405,'Istoric_Nativ'!$B$6:$B$405,E981,'Istoric_Nativ'!$C$6:$C$405,F981,'Istoric_Nativ'!$F$6:$F$405,G981,'Istoric_Nativ'!$D$6:$D$405,"&lt;"&amp;J981,'Istoric_Nativ'!$P$6:$P$405,1,'Istoric_Nativ'!$D$6:$D$405,"&gt;="&amp;L981),SUMIFS('Istoric_Nativ'!$G$6:$G$405,'Istoric_Nativ'!$B$6:$B$405,E981,'Istoric_Nativ'!$C$6:$C$405,F981,'Istoric_Nativ'!$E$6:$E$405,G981,'Istoric_Nativ'!$D$6:$D$405,"&lt;"&amp;J981,'Istoric_Nativ'!$P$6:$P$405,1,'Istoric_Nativ'!$D$6:$D$405,"&gt;="&amp;L981)+SUMIFS('Istoric_Nativ'!$H$6:$H$405,'Istoric_Nativ'!$B$6:$B$405,E981,'Istoric_Nativ'!$C$6:$C$405,F981,'Istoric_Nativ'!$F$6:$F$405,G981,'Istoric_Nativ'!$D$6:$D$405,"&lt;"&amp;J981,'Istoric_Nativ'!$P$6:$P$405,1,'Istoric_Nativ'!$D$6:$D$405,"&gt;="&amp;L981)))/M981)</x:f>
      </x:c>
      <x:c r="O981" s="11" t="str">
        <x:f>IF(M981=0,"",IF(H981="HOME",SUMIFS('Istoric_Nativ'!$H$6:$H$405,'Istoric_Nativ'!$B$6:$B$405,E981,'Istoric_Nativ'!$C$6:$C$405,F981,'Istoric_Nativ'!$E$6:$E$405,G981,'Istoric_Nativ'!$D$6:$D$405,"&lt;"&amp;J981,'Istoric_Nativ'!$P$6:$P$405,1,'Istoric_Nativ'!$D$6:$D$405,"&gt;="&amp;L981),IF(H981="AWAY",SUMIFS('Istoric_Nativ'!$G$6:$G$405,'Istoric_Nativ'!$B$6:$B$405,E981,'Istoric_Nativ'!$C$6:$C$405,F981,'Istoric_Nativ'!$F$6:$F$405,G981,'Istoric_Nativ'!$D$6:$D$405,"&lt;"&amp;J981,'Istoric_Nativ'!$P$6:$P$405,1,'Istoric_Nativ'!$D$6:$D$405,"&gt;="&amp;L981),SUMIFS('Istoric_Nativ'!$H$6:$H$405,'Istoric_Nativ'!$B$6:$B$405,E981,'Istoric_Nativ'!$C$6:$C$405,F981,'Istoric_Nativ'!$E$6:$E$405,G981,'Istoric_Nativ'!$D$6:$D$405,"&lt;"&amp;J981,'Istoric_Nativ'!$P$6:$P$405,1,'Istoric_Nativ'!$D$6:$D$405,"&gt;="&amp;L981)+SUMIFS('Istoric_Nativ'!$G$6:$G$405,'Istoric_Nativ'!$B$6:$B$405,E981,'Istoric_Nativ'!$C$6:$C$405,F981,'Istoric_Nativ'!$F$6:$F$405,G981,'Istoric_Nativ'!$D$6:$D$405,"&lt;"&amp;J981,'Istoric_Nativ'!$P$6:$P$405,1,'Istoric_Nativ'!$D$6:$D$405,"&gt;="&amp;L981)))/M981)</x:f>
      </x:c>
      <x:c r="P981" s="2" t="n">
        <x:f>'Config_v6'!$B$7</x:f>
        <x:v>10</x:v>
      </x:c>
      <x:c r="Q981" s="2" t="n">
        <x:f>IF(OR(B981="",F981=""),0,IFERROR(MATCH(E981&amp;"|"&amp;F981,SourceTable[Source_Key],0),0))</x:f>
        <x:v>0</x:v>
      </x:c>
      <x:c r="R981" s="2" t="str">
        <x:f>IF(B981="","",IF(F981="","UNUSED",IF(Q981=0,"NOT CHECKED",IF(COUNTIF(SourceTable[Source_Key],E981&amp;"|"&amp;F981)&lt;&gt;1,"SOURCE CONFLICT",IF(NOT(OR(INDEX(SourceTable[Status],MAX(1,Q981))="IMPORTED",INDEX(SourceTable[Status],MAX(1,Q981))="PARTIAL",INDEX(SourceTable[Status],MAX(1,Q981))="SOURCE CONFLICT")),"ACCESS BLOCKED",IF(OR(INDEX(SourceTable[Coverage],Q981)&lt;&gt;"FULL SEASON EXPORT",INDEX(SourceTable[URL],Q981)="",INDEX(SourceTable[SHA256],Q981)=""),"EVIDENCE INCOMPLETE",IF(AND('Input_Meci'!H87="LIVE",INDEX(SourceTable[Retrieved_UTC],Q981)&gt;'Input_Meci'!G87),"POST CUTOFF","CLOSED")))))))</x:f>
      </x:c>
      <x:c r="S981" s="2" t="n">
        <x:f>IF(OR(B981="",F981=""),0,COUNTIFS('Istoric_Nativ'!$B$6:$B$405,E981,'Istoric_Nativ'!$C$6:$C$405,F981,'Istoric_Nativ'!$E$6:$E$405,G981,'Istoric_Nativ'!$D$6:$D$405,"&lt;"&amp;J981,'Istoric_Nativ'!$O$6:$O$405,"INVALID")+COUNTIFS('Istoric_Nativ'!$B$6:$B$405,E981,'Istoric_Nativ'!$C$6:$C$405,F981,'Istoric_Nativ'!$E$6:$E$405,G981,'Istoric_Nativ'!$O$6:$O$405,"INVALID",'Istoric_Nativ'!$D$6:$D$405,"*")+COUNTIFS('Istoric_Nativ'!$B$6:$B$405,E981,'Istoric_Nativ'!$C$6:$C$405,F981,'Istoric_Nativ'!$E$6:$E$405,G981,'Istoric_Nativ'!$D$6:$D$405,"&lt;"&amp;J981,'Istoric_Nativ'!$O$6:$O$405,"SOURCE CONFLICT")+COUNTIFS('Istoric_Nativ'!$B$6:$B$405,E981,'Istoric_Nativ'!$C$6:$C$405,F981,'Istoric_Nativ'!$F$6:$F$405,G981,'Istoric_Nativ'!$D$6:$D$405,"&lt;"&amp;J981,'Istoric_Nativ'!$O$6:$O$405,"INVALID")+COUNTIFS('Istoric_Nativ'!$B$6:$B$405,E981,'Istoric_Nativ'!$C$6:$C$405,F981,'Istoric_Nativ'!$F$6:$F$405,G981,'Istoric_Nativ'!$O$6:$O$405,"INVALID",'Istoric_Nativ'!$D$6:$D$405,"*")+COUNTIFS('Istoric_Nativ'!$B$6:$B$405,E981,'Istoric_Nativ'!$C$6:$C$405,F981,'Istoric_Nativ'!$F$6:$F$405,G981,'Istoric_Nativ'!$D$6:$D$405,"&lt;"&amp;J981,'Istoric_Nativ'!$O$6:$O$405,"SOURCE CONFLICT"))</x:f>
        <x:v>0</x:v>
      </x:c>
      <x:c r="T981" s="2" t="str">
        <x:f>IF(B981="","",IF(R981&lt;&gt;"CLOSED",R981,IF(S981&gt;0,"NATIVE INPUT ISSUE",IF(M981=0,"NO HISTORY",IF(M981&lt;P981,"SMALL SAMPLE","DERIVED")))))</x:f>
      </x:c>
      <x:c r="U981" s="2" t="str">
        <x:f>IF(B981="","","NativeTable; "&amp;E981&amp;"; "&amp;F981&amp;"; "&amp;G981&amp;"; "&amp;H981&amp;"; before "&amp;TEXT(J981,"yyyy-mm-dd")&amp;IF(I981="RECENT","; from "&amp;TEXT(L981,"yyyy-mm-dd"),""))</x:f>
      </x:c>
    </x:row>
    <x:row r="982" ht="21" customHeight="1">
      <x:c r="A982" s="2" t="n">
        <x:v>82</x:v>
      </x:c>
      <x:c r="B982" s="2" t="str">
        <x:f>IF('Input_Meci'!A87="","",'Input_Meci'!A87)</x:f>
      </x:c>
      <x:c r="C982" s="2" t="str">
        <x:v>A</x:v>
      </x:c>
      <x:c r="D982" s="2" t="str">
        <x:v>CURRENT</x:v>
      </x:c>
      <x:c r="E982" s="2" t="str">
        <x:f>IF(B982="","",'Input_Meci'!B87)</x:f>
      </x:c>
      <x:c r="F982" s="2" t="str">
        <x:f>IF(B982="","",IF('Input_Meci'!C87="","",'Input_Meci'!C87))</x:f>
      </x:c>
      <x:c r="G982" s="2" t="str">
        <x:f>IF(B982="","",'Input_Meci'!E87)</x:f>
      </x:c>
      <x:c r="H982" s="2" t="str">
        <x:v>AWAY</x:v>
      </x:c>
      <x:c r="I982" s="2" t="str">
        <x:v>HA</x:v>
      </x:c>
      <x:c r="J982" s="9" t="n">
        <x:f>IF(AND(B982&lt;&gt;"",ISNUMBER('Input_Meci'!G87)),INT('Input_Meci'!G87),0)</x:f>
        <x:v>0</x:v>
      </x:c>
      <x:c r="K982" s="2" t="n">
        <x:f>IF(OR(B982="",F982=""),0,IF(H982="HOME",COUNTIFS('Istoric_Nativ'!$B$6:$B$405,E982,'Istoric_Nativ'!$C$6:$C$405,F982,'Istoric_Nativ'!$E$6:$E$405,G982,'Istoric_Nativ'!$D$6:$D$405,"&lt;"&amp;J982,'Istoric_Nativ'!$P$6:$P$405,1),IF(H982="AWAY",COUNTIFS('Istoric_Nativ'!$B$6:$B$405,E982,'Istoric_Nativ'!$C$6:$C$405,F982,'Istoric_Nativ'!$F$6:$F$405,G982,'Istoric_Nativ'!$D$6:$D$405,"&lt;"&amp;J982,'Istoric_Nativ'!$P$6:$P$405,1),COUNTIFS('Istoric_Nativ'!$B$6:$B$405,E982,'Istoric_Nativ'!$C$6:$C$405,F982,'Istoric_Nativ'!$E$6:$E$405,G982,'Istoric_Nativ'!$D$6:$D$405,"&lt;"&amp;J982,'Istoric_Nativ'!$P$6:$P$405,1)+COUNTIFS('Istoric_Nativ'!$B$6:$B$405,E982,'Istoric_Nativ'!$C$6:$C$405,F982,'Istoric_Nativ'!$F$6:$F$405,G982,'Istoric_Nativ'!$D$6:$D$405,"&lt;"&amp;J982,'Istoric_Nativ'!$P$6:$P$405,1))))</x:f>
        <x:v>0</x:v>
      </x:c>
      <x:c r="L982" s="17" t="n">
        <x:f>IF(AND(B982&lt;&gt;"",I982="RECENT",K982&gt;0),LARGE(_xlfn._xlws.FILTER('Istoric_Nativ'!$D$6:$D$405,('Istoric_Nativ'!$B$6:$B$405=E982)*('Istoric_Nativ'!$C$6:$C$405=F982)*('Istoric_Nativ'!$P$6:$P$405=1)*('Istoric_Nativ'!$D$6:$D$405&lt;J982)*((('Istoric_Nativ'!$E$6:$E$405=G982)+('Istoric_Nativ'!$F$6:$F$405=G982))&gt;0)),MIN('Config_v6'!$B$54,K982)),0)</x:f>
        <x:v>0</x:v>
      </x:c>
      <x:c r="M982" s="2" t="n">
        <x:f>IF(OR(B982="",F982=""),0,IF(H982="HOME",COUNTIFS('Istoric_Nativ'!$B$6:$B$405,E982,'Istoric_Nativ'!$C$6:$C$405,F982,'Istoric_Nativ'!$E$6:$E$405,G982,'Istoric_Nativ'!$D$6:$D$405,"&lt;"&amp;J982,'Istoric_Nativ'!$P$6:$P$405,1,'Istoric_Nativ'!$D$6:$D$405,"&gt;="&amp;L982),IF(H982="AWAY",COUNTIFS('Istoric_Nativ'!$B$6:$B$405,E982,'Istoric_Nativ'!$C$6:$C$405,F982,'Istoric_Nativ'!$F$6:$F$405,G982,'Istoric_Nativ'!$D$6:$D$405,"&lt;"&amp;J982,'Istoric_Nativ'!$P$6:$P$405,1,'Istoric_Nativ'!$D$6:$D$405,"&gt;="&amp;L982),COUNTIFS('Istoric_Nativ'!$B$6:$B$405,E982,'Istoric_Nativ'!$C$6:$C$405,F982,'Istoric_Nativ'!$E$6:$E$405,G982,'Istoric_Nativ'!$D$6:$D$405,"&lt;"&amp;J982,'Istoric_Nativ'!$P$6:$P$405,1,'Istoric_Nativ'!$D$6:$D$405,"&gt;="&amp;L982)+COUNTIFS('Istoric_Nativ'!$B$6:$B$405,E982,'Istoric_Nativ'!$C$6:$C$405,F982,'Istoric_Nativ'!$F$6:$F$405,G982,'Istoric_Nativ'!$D$6:$D$405,"&lt;"&amp;J982,'Istoric_Nativ'!$P$6:$P$405,1,'Istoric_Nativ'!$D$6:$D$405,"&gt;="&amp;L982))))</x:f>
        <x:v>0</x:v>
      </x:c>
      <x:c r="N982" s="11" t="str">
        <x:f>IF(M982=0,"",IF(H982="HOME",SUMIFS('Istoric_Nativ'!$G$6:$G$405,'Istoric_Nativ'!$B$6:$B$405,E982,'Istoric_Nativ'!$C$6:$C$405,F982,'Istoric_Nativ'!$E$6:$E$405,G982,'Istoric_Nativ'!$D$6:$D$405,"&lt;"&amp;J982,'Istoric_Nativ'!$P$6:$P$405,1,'Istoric_Nativ'!$D$6:$D$405,"&gt;="&amp;L982),IF(H982="AWAY",SUMIFS('Istoric_Nativ'!$H$6:$H$405,'Istoric_Nativ'!$B$6:$B$405,E982,'Istoric_Nativ'!$C$6:$C$405,F982,'Istoric_Nativ'!$F$6:$F$405,G982,'Istoric_Nativ'!$D$6:$D$405,"&lt;"&amp;J982,'Istoric_Nativ'!$P$6:$P$405,1,'Istoric_Nativ'!$D$6:$D$405,"&gt;="&amp;L982),SUMIFS('Istoric_Nativ'!$G$6:$G$405,'Istoric_Nativ'!$B$6:$B$405,E982,'Istoric_Nativ'!$C$6:$C$405,F982,'Istoric_Nativ'!$E$6:$E$405,G982,'Istoric_Nativ'!$D$6:$D$405,"&lt;"&amp;J982,'Istoric_Nativ'!$P$6:$P$405,1,'Istoric_Nativ'!$D$6:$D$405,"&gt;="&amp;L982)+SUMIFS('Istoric_Nativ'!$H$6:$H$405,'Istoric_Nativ'!$B$6:$B$405,E982,'Istoric_Nativ'!$C$6:$C$405,F982,'Istoric_Nativ'!$F$6:$F$405,G982,'Istoric_Nativ'!$D$6:$D$405,"&lt;"&amp;J982,'Istoric_Nativ'!$P$6:$P$405,1,'Istoric_Nativ'!$D$6:$D$405,"&gt;="&amp;L982)))/M982)</x:f>
      </x:c>
      <x:c r="O982" s="11" t="str">
        <x:f>IF(M982=0,"",IF(H982="HOME",SUMIFS('Istoric_Nativ'!$H$6:$H$405,'Istoric_Nativ'!$B$6:$B$405,E982,'Istoric_Nativ'!$C$6:$C$405,F982,'Istoric_Nativ'!$E$6:$E$405,G982,'Istoric_Nativ'!$D$6:$D$405,"&lt;"&amp;J982,'Istoric_Nativ'!$P$6:$P$405,1,'Istoric_Nativ'!$D$6:$D$405,"&gt;="&amp;L982),IF(H982="AWAY",SUMIFS('Istoric_Nativ'!$G$6:$G$405,'Istoric_Nativ'!$B$6:$B$405,E982,'Istoric_Nativ'!$C$6:$C$405,F982,'Istoric_Nativ'!$F$6:$F$405,G982,'Istoric_Nativ'!$D$6:$D$405,"&lt;"&amp;J982,'Istoric_Nativ'!$P$6:$P$405,1,'Istoric_Nativ'!$D$6:$D$405,"&gt;="&amp;L982),SUMIFS('Istoric_Nativ'!$H$6:$H$405,'Istoric_Nativ'!$B$6:$B$405,E982,'Istoric_Nativ'!$C$6:$C$405,F982,'Istoric_Nativ'!$E$6:$E$405,G982,'Istoric_Nativ'!$D$6:$D$405,"&lt;"&amp;J982,'Istoric_Nativ'!$P$6:$P$405,1,'Istoric_Nativ'!$D$6:$D$405,"&gt;="&amp;L982)+SUMIFS('Istoric_Nativ'!$G$6:$G$405,'Istoric_Nativ'!$B$6:$B$405,E982,'Istoric_Nativ'!$C$6:$C$405,F982,'Istoric_Nativ'!$F$6:$F$405,G982,'Istoric_Nativ'!$D$6:$D$405,"&lt;"&amp;J982,'Istoric_Nativ'!$P$6:$P$405,1,'Istoric_Nativ'!$D$6:$D$405,"&gt;="&amp;L982)))/M982)</x:f>
      </x:c>
      <x:c r="P982" s="2" t="n">
        <x:f>'Config_v6'!$B$8</x:f>
        <x:v>5</x:v>
      </x:c>
      <x:c r="Q982" s="2" t="n">
        <x:f>IF(OR(B982="",F982=""),0,IFERROR(MATCH(E982&amp;"|"&amp;F982,SourceTable[Source_Key],0),0))</x:f>
        <x:v>0</x:v>
      </x:c>
      <x:c r="R982" s="2" t="str">
        <x:f>IF(B982="","",IF(F982="","UNUSED",IF(Q982=0,"NOT CHECKED",IF(COUNTIF(SourceTable[Source_Key],E982&amp;"|"&amp;F982)&lt;&gt;1,"SOURCE CONFLICT",IF(NOT(OR(INDEX(SourceTable[Status],MAX(1,Q982))="IMPORTED",INDEX(SourceTable[Status],MAX(1,Q982))="PARTIAL",INDEX(SourceTable[Status],MAX(1,Q982))="SOURCE CONFLICT")),"ACCESS BLOCKED",IF(OR(INDEX(SourceTable[Coverage],Q982)&lt;&gt;"FULL SEASON EXPORT",INDEX(SourceTable[URL],Q982)="",INDEX(SourceTable[SHA256],Q982)=""),"EVIDENCE INCOMPLETE",IF(AND('Input_Meci'!H87="LIVE",INDEX(SourceTable[Retrieved_UTC],Q982)&gt;'Input_Meci'!G87),"POST CUTOFF","CLOSED")))))))</x:f>
      </x:c>
      <x:c r="S982" s="2" t="n">
        <x:f>IF(OR(B982="",F982=""),0,COUNTIFS('Istoric_Nativ'!$B$6:$B$405,E982,'Istoric_Nativ'!$C$6:$C$405,F982,'Istoric_Nativ'!$E$6:$E$405,G982,'Istoric_Nativ'!$D$6:$D$405,"&lt;"&amp;J982,'Istoric_Nativ'!$O$6:$O$405,"INVALID")+COUNTIFS('Istoric_Nativ'!$B$6:$B$405,E982,'Istoric_Nativ'!$C$6:$C$405,F982,'Istoric_Nativ'!$E$6:$E$405,G982,'Istoric_Nativ'!$O$6:$O$405,"INVALID",'Istoric_Nativ'!$D$6:$D$405,"*")+COUNTIFS('Istoric_Nativ'!$B$6:$B$405,E982,'Istoric_Nativ'!$C$6:$C$405,F982,'Istoric_Nativ'!$E$6:$E$405,G982,'Istoric_Nativ'!$D$6:$D$405,"&lt;"&amp;J982,'Istoric_Nativ'!$O$6:$O$405,"SOURCE CONFLICT")+COUNTIFS('Istoric_Nativ'!$B$6:$B$405,E982,'Istoric_Nativ'!$C$6:$C$405,F982,'Istoric_Nativ'!$F$6:$F$405,G982,'Istoric_Nativ'!$D$6:$D$405,"&lt;"&amp;J982,'Istoric_Nativ'!$O$6:$O$405,"INVALID")+COUNTIFS('Istoric_Nativ'!$B$6:$B$405,E982,'Istoric_Nativ'!$C$6:$C$405,F982,'Istoric_Nativ'!$F$6:$F$405,G982,'Istoric_Nativ'!$O$6:$O$405,"INVALID",'Istoric_Nativ'!$D$6:$D$405,"*")+COUNTIFS('Istoric_Nativ'!$B$6:$B$405,E982,'Istoric_Nativ'!$C$6:$C$405,F982,'Istoric_Nativ'!$F$6:$F$405,G982,'Istoric_Nativ'!$D$6:$D$405,"&lt;"&amp;J982,'Istoric_Nativ'!$O$6:$O$405,"SOURCE CONFLICT"))</x:f>
        <x:v>0</x:v>
      </x:c>
      <x:c r="T982" s="2" t="str">
        <x:f>IF(B982="","",IF(R982&lt;&gt;"CLOSED",R982,IF(S982&gt;0,"NATIVE INPUT ISSUE",IF(M982=0,"NO HISTORY",IF(M982&lt;P982,"SMALL SAMPLE","DERIVED")))))</x:f>
      </x:c>
      <x:c r="U982" s="2" t="str">
        <x:f>IF(B982="","","NativeTable; "&amp;E982&amp;"; "&amp;F982&amp;"; "&amp;G982&amp;"; "&amp;H982&amp;"; before "&amp;TEXT(J982,"yyyy-mm-dd")&amp;IF(I982="RECENT","; from "&amp;TEXT(L982,"yyyy-mm-dd"),""))</x:f>
      </x:c>
    </x:row>
    <x:row r="983" ht="21" customHeight="1">
      <x:c r="A983" s="2" t="n">
        <x:v>82</x:v>
      </x:c>
      <x:c r="B983" s="2" t="str">
        <x:f>IF('Input_Meci'!A87="","",'Input_Meci'!A87)</x:f>
      </x:c>
      <x:c r="C983" s="2" t="str">
        <x:v>A</x:v>
      </x:c>
      <x:c r="D983" s="2" t="str">
        <x:v>CURRENT</x:v>
      </x:c>
      <x:c r="E983" s="2" t="str">
        <x:f>IF(B983="","",'Input_Meci'!B87)</x:f>
      </x:c>
      <x:c r="F983" s="2" t="str">
        <x:f>IF(B983="","",IF('Input_Meci'!C87="","",'Input_Meci'!C87))</x:f>
      </x:c>
      <x:c r="G983" s="2" t="str">
        <x:f>IF(B983="","",'Input_Meci'!E87)</x:f>
      </x:c>
      <x:c r="H983" s="2" t="str">
        <x:v>ANY</x:v>
      </x:c>
      <x:c r="I983" s="2" t="str">
        <x:v>RECENT</x:v>
      </x:c>
      <x:c r="J983" s="9" t="n">
        <x:f>IF(AND(B983&lt;&gt;"",ISNUMBER('Input_Meci'!G87)),INT('Input_Meci'!G87),0)</x:f>
        <x:v>0</x:v>
      </x:c>
      <x:c r="K983" s="2" t="n">
        <x:f>IF(OR(B983="",F983=""),0,IF(H983="HOME",COUNTIFS('Istoric_Nativ'!$B$6:$B$405,E983,'Istoric_Nativ'!$C$6:$C$405,F983,'Istoric_Nativ'!$E$6:$E$405,G983,'Istoric_Nativ'!$D$6:$D$405,"&lt;"&amp;J983,'Istoric_Nativ'!$P$6:$P$405,1),IF(H983="AWAY",COUNTIFS('Istoric_Nativ'!$B$6:$B$405,E983,'Istoric_Nativ'!$C$6:$C$405,F983,'Istoric_Nativ'!$F$6:$F$405,G983,'Istoric_Nativ'!$D$6:$D$405,"&lt;"&amp;J983,'Istoric_Nativ'!$P$6:$P$405,1),COUNTIFS('Istoric_Nativ'!$B$6:$B$405,E983,'Istoric_Nativ'!$C$6:$C$405,F983,'Istoric_Nativ'!$E$6:$E$405,G983,'Istoric_Nativ'!$D$6:$D$405,"&lt;"&amp;J983,'Istoric_Nativ'!$P$6:$P$405,1)+COUNTIFS('Istoric_Nativ'!$B$6:$B$405,E983,'Istoric_Nativ'!$C$6:$C$405,F983,'Istoric_Nativ'!$F$6:$F$405,G983,'Istoric_Nativ'!$D$6:$D$405,"&lt;"&amp;J983,'Istoric_Nativ'!$P$6:$P$405,1))))</x:f>
        <x:v>0</x:v>
      </x:c>
      <x:c r="L983" s="17" t="n">
        <x:f>IF(AND(B983&lt;&gt;"",I983="RECENT",K983&gt;0),LARGE(_xlfn._xlws.FILTER('Istoric_Nativ'!$D$6:$D$405,('Istoric_Nativ'!$B$6:$B$405=E983)*('Istoric_Nativ'!$C$6:$C$405=F983)*('Istoric_Nativ'!$P$6:$P$405=1)*('Istoric_Nativ'!$D$6:$D$405&lt;J983)*((('Istoric_Nativ'!$E$6:$E$405=G983)+('Istoric_Nativ'!$F$6:$F$405=G983))&gt;0)),MIN('Config_v6'!$B$54,K983)),0)</x:f>
        <x:v>0</x:v>
      </x:c>
      <x:c r="M983" s="2" t="n">
        <x:f>IF(OR(B983="",F983=""),0,IF(H983="HOME",COUNTIFS('Istoric_Nativ'!$B$6:$B$405,E983,'Istoric_Nativ'!$C$6:$C$405,F983,'Istoric_Nativ'!$E$6:$E$405,G983,'Istoric_Nativ'!$D$6:$D$405,"&lt;"&amp;J983,'Istoric_Nativ'!$P$6:$P$405,1,'Istoric_Nativ'!$D$6:$D$405,"&gt;="&amp;L983),IF(H983="AWAY",COUNTIFS('Istoric_Nativ'!$B$6:$B$405,E983,'Istoric_Nativ'!$C$6:$C$405,F983,'Istoric_Nativ'!$F$6:$F$405,G983,'Istoric_Nativ'!$D$6:$D$405,"&lt;"&amp;J983,'Istoric_Nativ'!$P$6:$P$405,1,'Istoric_Nativ'!$D$6:$D$405,"&gt;="&amp;L983),COUNTIFS('Istoric_Nativ'!$B$6:$B$405,E983,'Istoric_Nativ'!$C$6:$C$405,F983,'Istoric_Nativ'!$E$6:$E$405,G983,'Istoric_Nativ'!$D$6:$D$405,"&lt;"&amp;J983,'Istoric_Nativ'!$P$6:$P$405,1,'Istoric_Nativ'!$D$6:$D$405,"&gt;="&amp;L983)+COUNTIFS('Istoric_Nativ'!$B$6:$B$405,E983,'Istoric_Nativ'!$C$6:$C$405,F983,'Istoric_Nativ'!$F$6:$F$405,G983,'Istoric_Nativ'!$D$6:$D$405,"&lt;"&amp;J983,'Istoric_Nativ'!$P$6:$P$405,1,'Istoric_Nativ'!$D$6:$D$405,"&gt;="&amp;L983))))</x:f>
        <x:v>0</x:v>
      </x:c>
      <x:c r="N983" s="11" t="str">
        <x:f>IF(M983=0,"",IF(H983="HOME",SUMIFS('Istoric_Nativ'!$G$6:$G$405,'Istoric_Nativ'!$B$6:$B$405,E983,'Istoric_Nativ'!$C$6:$C$405,F983,'Istoric_Nativ'!$E$6:$E$405,G983,'Istoric_Nativ'!$D$6:$D$405,"&lt;"&amp;J983,'Istoric_Nativ'!$P$6:$P$405,1,'Istoric_Nativ'!$D$6:$D$405,"&gt;="&amp;L983),IF(H983="AWAY",SUMIFS('Istoric_Nativ'!$H$6:$H$405,'Istoric_Nativ'!$B$6:$B$405,E983,'Istoric_Nativ'!$C$6:$C$405,F983,'Istoric_Nativ'!$F$6:$F$405,G983,'Istoric_Nativ'!$D$6:$D$405,"&lt;"&amp;J983,'Istoric_Nativ'!$P$6:$P$405,1,'Istoric_Nativ'!$D$6:$D$405,"&gt;="&amp;L983),SUMIFS('Istoric_Nativ'!$G$6:$G$405,'Istoric_Nativ'!$B$6:$B$405,E983,'Istoric_Nativ'!$C$6:$C$405,F983,'Istoric_Nativ'!$E$6:$E$405,G983,'Istoric_Nativ'!$D$6:$D$405,"&lt;"&amp;J983,'Istoric_Nativ'!$P$6:$P$405,1,'Istoric_Nativ'!$D$6:$D$405,"&gt;="&amp;L983)+SUMIFS('Istoric_Nativ'!$H$6:$H$405,'Istoric_Nativ'!$B$6:$B$405,E983,'Istoric_Nativ'!$C$6:$C$405,F983,'Istoric_Nativ'!$F$6:$F$405,G983,'Istoric_Nativ'!$D$6:$D$405,"&lt;"&amp;J983,'Istoric_Nativ'!$P$6:$P$405,1,'Istoric_Nativ'!$D$6:$D$405,"&gt;="&amp;L983)))/M983)</x:f>
      </x:c>
      <x:c r="O983" s="11" t="str">
        <x:f>IF(M983=0,"",IF(H983="HOME",SUMIFS('Istoric_Nativ'!$H$6:$H$405,'Istoric_Nativ'!$B$6:$B$405,E983,'Istoric_Nativ'!$C$6:$C$405,F983,'Istoric_Nativ'!$E$6:$E$405,G983,'Istoric_Nativ'!$D$6:$D$405,"&lt;"&amp;J983,'Istoric_Nativ'!$P$6:$P$405,1,'Istoric_Nativ'!$D$6:$D$405,"&gt;="&amp;L983),IF(H983="AWAY",SUMIFS('Istoric_Nativ'!$G$6:$G$405,'Istoric_Nativ'!$B$6:$B$405,E983,'Istoric_Nativ'!$C$6:$C$405,F983,'Istoric_Nativ'!$F$6:$F$405,G983,'Istoric_Nativ'!$D$6:$D$405,"&lt;"&amp;J983,'Istoric_Nativ'!$P$6:$P$405,1,'Istoric_Nativ'!$D$6:$D$405,"&gt;="&amp;L983),SUMIFS('Istoric_Nativ'!$H$6:$H$405,'Istoric_Nativ'!$B$6:$B$405,E983,'Istoric_Nativ'!$C$6:$C$405,F983,'Istoric_Nativ'!$E$6:$E$405,G983,'Istoric_Nativ'!$D$6:$D$405,"&lt;"&amp;J983,'Istoric_Nativ'!$P$6:$P$405,1,'Istoric_Nativ'!$D$6:$D$405,"&gt;="&amp;L983)+SUMIFS('Istoric_Nativ'!$G$6:$G$405,'Istoric_Nativ'!$B$6:$B$405,E983,'Istoric_Nativ'!$C$6:$C$405,F983,'Istoric_Nativ'!$F$6:$F$405,G983,'Istoric_Nativ'!$D$6:$D$405,"&lt;"&amp;J983,'Istoric_Nativ'!$P$6:$P$405,1,'Istoric_Nativ'!$D$6:$D$405,"&gt;="&amp;L983)))/M983)</x:f>
      </x:c>
      <x:c r="P983" s="2" t="n">
        <x:f>'Config_v6'!$B$9</x:f>
        <x:v>3</x:v>
      </x:c>
      <x:c r="Q983" s="2" t="n">
        <x:f>IF(OR(B983="",F983=""),0,IFERROR(MATCH(E983&amp;"|"&amp;F983,SourceTable[Source_Key],0),0))</x:f>
        <x:v>0</x:v>
      </x:c>
      <x:c r="R983" s="2" t="str">
        <x:f>IF(B983="","",IF(F983="","UNUSED",IF(Q983=0,"NOT CHECKED",IF(COUNTIF(SourceTable[Source_Key],E983&amp;"|"&amp;F983)&lt;&gt;1,"SOURCE CONFLICT",IF(NOT(OR(INDEX(SourceTable[Status],MAX(1,Q983))="IMPORTED",INDEX(SourceTable[Status],MAX(1,Q983))="PARTIAL",INDEX(SourceTable[Status],MAX(1,Q983))="SOURCE CONFLICT")),"ACCESS BLOCKED",IF(OR(INDEX(SourceTable[Coverage],Q983)&lt;&gt;"FULL SEASON EXPORT",INDEX(SourceTable[URL],Q983)="",INDEX(SourceTable[SHA256],Q983)=""),"EVIDENCE INCOMPLETE",IF(AND('Input_Meci'!H87="LIVE",INDEX(SourceTable[Retrieved_UTC],Q983)&gt;'Input_Meci'!G87),"POST CUTOFF","CLOSED")))))))</x:f>
      </x:c>
      <x:c r="S983" s="2" t="n">
        <x:f>IF(OR(B983="",F983=""),0,COUNTIFS('Istoric_Nativ'!$B$6:$B$405,E983,'Istoric_Nativ'!$C$6:$C$405,F983,'Istoric_Nativ'!$E$6:$E$405,G983,'Istoric_Nativ'!$D$6:$D$405,"&lt;"&amp;J983,'Istoric_Nativ'!$O$6:$O$405,"INVALID")+COUNTIFS('Istoric_Nativ'!$B$6:$B$405,E983,'Istoric_Nativ'!$C$6:$C$405,F983,'Istoric_Nativ'!$E$6:$E$405,G983,'Istoric_Nativ'!$O$6:$O$405,"INVALID",'Istoric_Nativ'!$D$6:$D$405,"*")+COUNTIFS('Istoric_Nativ'!$B$6:$B$405,E983,'Istoric_Nativ'!$C$6:$C$405,F983,'Istoric_Nativ'!$E$6:$E$405,G983,'Istoric_Nativ'!$D$6:$D$405,"&lt;"&amp;J983,'Istoric_Nativ'!$O$6:$O$405,"SOURCE CONFLICT")+COUNTIFS('Istoric_Nativ'!$B$6:$B$405,E983,'Istoric_Nativ'!$C$6:$C$405,F983,'Istoric_Nativ'!$F$6:$F$405,G983,'Istoric_Nativ'!$D$6:$D$405,"&lt;"&amp;J983,'Istoric_Nativ'!$O$6:$O$405,"INVALID")+COUNTIFS('Istoric_Nativ'!$B$6:$B$405,E983,'Istoric_Nativ'!$C$6:$C$405,F983,'Istoric_Nativ'!$F$6:$F$405,G983,'Istoric_Nativ'!$O$6:$O$405,"INVALID",'Istoric_Nativ'!$D$6:$D$405,"*")+COUNTIFS('Istoric_Nativ'!$B$6:$B$405,E983,'Istoric_Nativ'!$C$6:$C$405,F983,'Istoric_Nativ'!$F$6:$F$405,G983,'Istoric_Nativ'!$D$6:$D$405,"&lt;"&amp;J983,'Istoric_Nativ'!$O$6:$O$405,"SOURCE CONFLICT"))</x:f>
        <x:v>0</x:v>
      </x:c>
      <x:c r="T983" s="2" t="str">
        <x:f>IF(B983="","",IF(R983&lt;&gt;"CLOSED",R983,IF(S983&gt;0,"NATIVE INPUT ISSUE",IF(M983=0,"NO HISTORY",IF(M983&lt;P983,"SMALL SAMPLE","DERIVED")))))</x:f>
      </x:c>
      <x:c r="U983" s="2" t="str">
        <x:f>IF(B983="","","NativeTable; "&amp;E983&amp;"; "&amp;F983&amp;"; "&amp;G983&amp;"; "&amp;H983&amp;"; before "&amp;TEXT(J983,"yyyy-mm-dd")&amp;IF(I983="RECENT","; from "&amp;TEXT(L983,"yyyy-mm-dd"),""))</x:f>
      </x:c>
    </x:row>
    <x:row r="984" ht="21" customHeight="1">
      <x:c r="A984" s="2" t="n">
        <x:v>82</x:v>
      </x:c>
      <x:c r="B984" s="2" t="str">
        <x:f>IF('Input_Meci'!A87="","",'Input_Meci'!A87)</x:f>
      </x:c>
      <x:c r="C984" s="2" t="str">
        <x:v>H</x:v>
      </x:c>
      <x:c r="D984" s="2" t="str">
        <x:v>PRIOR</x:v>
      </x:c>
      <x:c r="E984" s="2" t="str">
        <x:f>IF(B984="","",'Input_Meci'!B87)</x:f>
      </x:c>
      <x:c r="F984" s="2" t="str">
        <x:f>IF(B984="","",IF('Input_Meci'!K87="","",'Input_Meci'!K87))</x:f>
      </x:c>
      <x:c r="G984" s="2" t="str">
        <x:f>IF(B984="","",'Input_Meci'!D87)</x:f>
      </x:c>
      <x:c r="H984" s="2" t="str">
        <x:v>ANY</x:v>
      </x:c>
      <x:c r="I984" s="2" t="str">
        <x:v>SEASON</x:v>
      </x:c>
      <x:c r="J984" s="9" t="n">
        <x:f>IF(AND(B984&lt;&gt;"",ISNUMBER('Input_Meci'!G87)),INT('Input_Meci'!G87),0)</x:f>
        <x:v>0</x:v>
      </x:c>
      <x:c r="K984" s="2" t="n">
        <x:f>IF(OR(B984="",F984=""),0,IF(H984="HOME",COUNTIFS('Istoric_Nativ'!$B$6:$B$405,E984,'Istoric_Nativ'!$C$6:$C$405,F984,'Istoric_Nativ'!$E$6:$E$405,G984,'Istoric_Nativ'!$D$6:$D$405,"&lt;"&amp;J984,'Istoric_Nativ'!$P$6:$P$405,1),IF(H984="AWAY",COUNTIFS('Istoric_Nativ'!$B$6:$B$405,E984,'Istoric_Nativ'!$C$6:$C$405,F984,'Istoric_Nativ'!$F$6:$F$405,G984,'Istoric_Nativ'!$D$6:$D$405,"&lt;"&amp;J984,'Istoric_Nativ'!$P$6:$P$405,1),COUNTIFS('Istoric_Nativ'!$B$6:$B$405,E984,'Istoric_Nativ'!$C$6:$C$405,F984,'Istoric_Nativ'!$E$6:$E$405,G984,'Istoric_Nativ'!$D$6:$D$405,"&lt;"&amp;J984,'Istoric_Nativ'!$P$6:$P$405,1)+COUNTIFS('Istoric_Nativ'!$B$6:$B$405,E984,'Istoric_Nativ'!$C$6:$C$405,F984,'Istoric_Nativ'!$F$6:$F$405,G984,'Istoric_Nativ'!$D$6:$D$405,"&lt;"&amp;J984,'Istoric_Nativ'!$P$6:$P$405,1))))</x:f>
        <x:v>0</x:v>
      </x:c>
      <x:c r="L984" s="17" t="n">
        <x:f>IF(AND(B984&lt;&gt;"",I984="RECENT",K984&gt;0),LARGE(_xlfn._xlws.FILTER('Istoric_Nativ'!$D$6:$D$405,('Istoric_Nativ'!$B$6:$B$405=E984)*('Istoric_Nativ'!$C$6:$C$405=F984)*('Istoric_Nativ'!$P$6:$P$405=1)*('Istoric_Nativ'!$D$6:$D$405&lt;J984)*((('Istoric_Nativ'!$E$6:$E$405=G984)+('Istoric_Nativ'!$F$6:$F$405=G984))&gt;0)),MIN('Config_v6'!$B$54,K984)),0)</x:f>
        <x:v>0</x:v>
      </x:c>
      <x:c r="M984" s="2" t="n">
        <x:f>IF(OR(B984="",F984=""),0,IF(H984="HOME",COUNTIFS('Istoric_Nativ'!$B$6:$B$405,E984,'Istoric_Nativ'!$C$6:$C$405,F984,'Istoric_Nativ'!$E$6:$E$405,G984,'Istoric_Nativ'!$D$6:$D$405,"&lt;"&amp;J984,'Istoric_Nativ'!$P$6:$P$405,1,'Istoric_Nativ'!$D$6:$D$405,"&gt;="&amp;L984),IF(H984="AWAY",COUNTIFS('Istoric_Nativ'!$B$6:$B$405,E984,'Istoric_Nativ'!$C$6:$C$405,F984,'Istoric_Nativ'!$F$6:$F$405,G984,'Istoric_Nativ'!$D$6:$D$405,"&lt;"&amp;J984,'Istoric_Nativ'!$P$6:$P$405,1,'Istoric_Nativ'!$D$6:$D$405,"&gt;="&amp;L984),COUNTIFS('Istoric_Nativ'!$B$6:$B$405,E984,'Istoric_Nativ'!$C$6:$C$405,F984,'Istoric_Nativ'!$E$6:$E$405,G984,'Istoric_Nativ'!$D$6:$D$405,"&lt;"&amp;J984,'Istoric_Nativ'!$P$6:$P$405,1,'Istoric_Nativ'!$D$6:$D$405,"&gt;="&amp;L984)+COUNTIFS('Istoric_Nativ'!$B$6:$B$405,E984,'Istoric_Nativ'!$C$6:$C$405,F984,'Istoric_Nativ'!$F$6:$F$405,G984,'Istoric_Nativ'!$D$6:$D$405,"&lt;"&amp;J984,'Istoric_Nativ'!$P$6:$P$405,1,'Istoric_Nativ'!$D$6:$D$405,"&gt;="&amp;L984))))</x:f>
        <x:v>0</x:v>
      </x:c>
      <x:c r="N984" s="11" t="str">
        <x:f>IF(M984=0,"",IF(H984="HOME",SUMIFS('Istoric_Nativ'!$G$6:$G$405,'Istoric_Nativ'!$B$6:$B$405,E984,'Istoric_Nativ'!$C$6:$C$405,F984,'Istoric_Nativ'!$E$6:$E$405,G984,'Istoric_Nativ'!$D$6:$D$405,"&lt;"&amp;J984,'Istoric_Nativ'!$P$6:$P$405,1,'Istoric_Nativ'!$D$6:$D$405,"&gt;="&amp;L984),IF(H984="AWAY",SUMIFS('Istoric_Nativ'!$H$6:$H$405,'Istoric_Nativ'!$B$6:$B$405,E984,'Istoric_Nativ'!$C$6:$C$405,F984,'Istoric_Nativ'!$F$6:$F$405,G984,'Istoric_Nativ'!$D$6:$D$405,"&lt;"&amp;J984,'Istoric_Nativ'!$P$6:$P$405,1,'Istoric_Nativ'!$D$6:$D$405,"&gt;="&amp;L984),SUMIFS('Istoric_Nativ'!$G$6:$G$405,'Istoric_Nativ'!$B$6:$B$405,E984,'Istoric_Nativ'!$C$6:$C$405,F984,'Istoric_Nativ'!$E$6:$E$405,G984,'Istoric_Nativ'!$D$6:$D$405,"&lt;"&amp;J984,'Istoric_Nativ'!$P$6:$P$405,1,'Istoric_Nativ'!$D$6:$D$405,"&gt;="&amp;L984)+SUMIFS('Istoric_Nativ'!$H$6:$H$405,'Istoric_Nativ'!$B$6:$B$405,E984,'Istoric_Nativ'!$C$6:$C$405,F984,'Istoric_Nativ'!$F$6:$F$405,G984,'Istoric_Nativ'!$D$6:$D$405,"&lt;"&amp;J984,'Istoric_Nativ'!$P$6:$P$405,1,'Istoric_Nativ'!$D$6:$D$405,"&gt;="&amp;L984)))/M984)</x:f>
      </x:c>
      <x:c r="O984" s="11" t="str">
        <x:f>IF(M984=0,"",IF(H984="HOME",SUMIFS('Istoric_Nativ'!$H$6:$H$405,'Istoric_Nativ'!$B$6:$B$405,E984,'Istoric_Nativ'!$C$6:$C$405,F984,'Istoric_Nativ'!$E$6:$E$405,G984,'Istoric_Nativ'!$D$6:$D$405,"&lt;"&amp;J984,'Istoric_Nativ'!$P$6:$P$405,1,'Istoric_Nativ'!$D$6:$D$405,"&gt;="&amp;L984),IF(H984="AWAY",SUMIFS('Istoric_Nativ'!$G$6:$G$405,'Istoric_Nativ'!$B$6:$B$405,E984,'Istoric_Nativ'!$C$6:$C$405,F984,'Istoric_Nativ'!$F$6:$F$405,G984,'Istoric_Nativ'!$D$6:$D$405,"&lt;"&amp;J984,'Istoric_Nativ'!$P$6:$P$405,1,'Istoric_Nativ'!$D$6:$D$405,"&gt;="&amp;L984),SUMIFS('Istoric_Nativ'!$H$6:$H$405,'Istoric_Nativ'!$B$6:$B$405,E984,'Istoric_Nativ'!$C$6:$C$405,F984,'Istoric_Nativ'!$E$6:$E$405,G984,'Istoric_Nativ'!$D$6:$D$405,"&lt;"&amp;J984,'Istoric_Nativ'!$P$6:$P$405,1,'Istoric_Nativ'!$D$6:$D$405,"&gt;="&amp;L984)+SUMIFS('Istoric_Nativ'!$G$6:$G$405,'Istoric_Nativ'!$B$6:$B$405,E984,'Istoric_Nativ'!$C$6:$C$405,F984,'Istoric_Nativ'!$F$6:$F$405,G984,'Istoric_Nativ'!$D$6:$D$405,"&lt;"&amp;J984,'Istoric_Nativ'!$P$6:$P$405,1,'Istoric_Nativ'!$D$6:$D$405,"&gt;="&amp;L984)))/M984)</x:f>
      </x:c>
      <x:c r="P984" s="2" t="n">
        <x:f>'Config_v6'!$B$7</x:f>
        <x:v>10</x:v>
      </x:c>
      <x:c r="Q984" s="2" t="n">
        <x:f>IF(OR(B984="",F984=""),0,IFERROR(MATCH(E984&amp;"|"&amp;F984,SourceTable[Source_Key],0),0))</x:f>
        <x:v>0</x:v>
      </x:c>
      <x:c r="R984" s="2" t="str">
        <x:f>IF(B984="","",IF(F984="","UNUSED",IF(Q984=0,"NOT CHECKED",IF(COUNTIF(SourceTable[Source_Key],E984&amp;"|"&amp;F984)&lt;&gt;1,"SOURCE CONFLICT",IF(NOT(OR(INDEX(SourceTable[Status],MAX(1,Q984))="IMPORTED",INDEX(SourceTable[Status],MAX(1,Q984))="PARTIAL",INDEX(SourceTable[Status],MAX(1,Q984))="SOURCE CONFLICT")),"ACCESS BLOCKED",IF(OR(INDEX(SourceTable[Coverage],Q984)&lt;&gt;"FULL SEASON EXPORT",INDEX(SourceTable[URL],Q984)="",INDEX(SourceTable[SHA256],Q984)=""),"EVIDENCE INCOMPLETE",IF(AND('Input_Meci'!H87="LIVE",INDEX(SourceTable[Retrieved_UTC],Q984)&gt;'Input_Meci'!G87),"POST CUTOFF","CLOSED")))))))</x:f>
      </x:c>
      <x:c r="S984" s="2" t="n">
        <x:f>IF(OR(B984="",F984=""),0,COUNTIFS('Istoric_Nativ'!$B$6:$B$405,E984,'Istoric_Nativ'!$C$6:$C$405,F984,'Istoric_Nativ'!$E$6:$E$405,G984,'Istoric_Nativ'!$D$6:$D$405,"&lt;"&amp;J984,'Istoric_Nativ'!$O$6:$O$405,"INVALID")+COUNTIFS('Istoric_Nativ'!$B$6:$B$405,E984,'Istoric_Nativ'!$C$6:$C$405,F984,'Istoric_Nativ'!$E$6:$E$405,G984,'Istoric_Nativ'!$O$6:$O$405,"INVALID",'Istoric_Nativ'!$D$6:$D$405,"*")+COUNTIFS('Istoric_Nativ'!$B$6:$B$405,E984,'Istoric_Nativ'!$C$6:$C$405,F984,'Istoric_Nativ'!$E$6:$E$405,G984,'Istoric_Nativ'!$D$6:$D$405,"&lt;"&amp;J984,'Istoric_Nativ'!$O$6:$O$405,"SOURCE CONFLICT")+COUNTIFS('Istoric_Nativ'!$B$6:$B$405,E984,'Istoric_Nativ'!$C$6:$C$405,F984,'Istoric_Nativ'!$F$6:$F$405,G984,'Istoric_Nativ'!$D$6:$D$405,"&lt;"&amp;J984,'Istoric_Nativ'!$O$6:$O$405,"INVALID")+COUNTIFS('Istoric_Nativ'!$B$6:$B$405,E984,'Istoric_Nativ'!$C$6:$C$405,F984,'Istoric_Nativ'!$F$6:$F$405,G984,'Istoric_Nativ'!$O$6:$O$405,"INVALID",'Istoric_Nativ'!$D$6:$D$405,"*")+COUNTIFS('Istoric_Nativ'!$B$6:$B$405,E984,'Istoric_Nativ'!$C$6:$C$405,F984,'Istoric_Nativ'!$F$6:$F$405,G984,'Istoric_Nativ'!$D$6:$D$405,"&lt;"&amp;J984,'Istoric_Nativ'!$O$6:$O$405,"SOURCE CONFLICT"))</x:f>
        <x:v>0</x:v>
      </x:c>
      <x:c r="T984" s="2" t="str">
        <x:f>IF(B984="","",IF(R984&lt;&gt;"CLOSED",R984,IF(S984&gt;0,"NATIVE INPUT ISSUE",IF(M984=0,"NO HISTORY",IF(M984&lt;P984,"SMALL SAMPLE","DERIVED")))))</x:f>
      </x:c>
      <x:c r="U984" s="2" t="str">
        <x:f>IF(B984="","","NativeTable; "&amp;E984&amp;"; "&amp;F984&amp;"; "&amp;G984&amp;"; "&amp;H984&amp;"; before "&amp;TEXT(J984,"yyyy-mm-dd")&amp;IF(I984="RECENT","; from "&amp;TEXT(L984,"yyyy-mm-dd"),""))</x:f>
      </x:c>
    </x:row>
    <x:row r="985" ht="21" customHeight="1">
      <x:c r="A985" s="2" t="n">
        <x:v>82</x:v>
      </x:c>
      <x:c r="B985" s="2" t="str">
        <x:f>IF('Input_Meci'!A87="","",'Input_Meci'!A87)</x:f>
      </x:c>
      <x:c r="C985" s="2" t="str">
        <x:v>H</x:v>
      </x:c>
      <x:c r="D985" s="2" t="str">
        <x:v>PRIOR</x:v>
      </x:c>
      <x:c r="E985" s="2" t="str">
        <x:f>IF(B985="","",'Input_Meci'!B87)</x:f>
      </x:c>
      <x:c r="F985" s="2" t="str">
        <x:f>IF(B985="","",IF('Input_Meci'!K87="","",'Input_Meci'!K87))</x:f>
      </x:c>
      <x:c r="G985" s="2" t="str">
        <x:f>IF(B985="","",'Input_Meci'!D87)</x:f>
      </x:c>
      <x:c r="H985" s="2" t="str">
        <x:v>HOME</x:v>
      </x:c>
      <x:c r="I985" s="2" t="str">
        <x:v>HA</x:v>
      </x:c>
      <x:c r="J985" s="9" t="n">
        <x:f>IF(AND(B985&lt;&gt;"",ISNUMBER('Input_Meci'!G87)),INT('Input_Meci'!G87),0)</x:f>
        <x:v>0</x:v>
      </x:c>
      <x:c r="K985" s="2" t="n">
        <x:f>IF(OR(B985="",F985=""),0,IF(H985="HOME",COUNTIFS('Istoric_Nativ'!$B$6:$B$405,E985,'Istoric_Nativ'!$C$6:$C$405,F985,'Istoric_Nativ'!$E$6:$E$405,G985,'Istoric_Nativ'!$D$6:$D$405,"&lt;"&amp;J985,'Istoric_Nativ'!$P$6:$P$405,1),IF(H985="AWAY",COUNTIFS('Istoric_Nativ'!$B$6:$B$405,E985,'Istoric_Nativ'!$C$6:$C$405,F985,'Istoric_Nativ'!$F$6:$F$405,G985,'Istoric_Nativ'!$D$6:$D$405,"&lt;"&amp;J985,'Istoric_Nativ'!$P$6:$P$405,1),COUNTIFS('Istoric_Nativ'!$B$6:$B$405,E985,'Istoric_Nativ'!$C$6:$C$405,F985,'Istoric_Nativ'!$E$6:$E$405,G985,'Istoric_Nativ'!$D$6:$D$405,"&lt;"&amp;J985,'Istoric_Nativ'!$P$6:$P$405,1)+COUNTIFS('Istoric_Nativ'!$B$6:$B$405,E985,'Istoric_Nativ'!$C$6:$C$405,F985,'Istoric_Nativ'!$F$6:$F$405,G985,'Istoric_Nativ'!$D$6:$D$405,"&lt;"&amp;J985,'Istoric_Nativ'!$P$6:$P$405,1))))</x:f>
        <x:v>0</x:v>
      </x:c>
      <x:c r="L985" s="17" t="n">
        <x:f>IF(AND(B985&lt;&gt;"",I985="RECENT",K985&gt;0),LARGE(_xlfn._xlws.FILTER('Istoric_Nativ'!$D$6:$D$405,('Istoric_Nativ'!$B$6:$B$405=E985)*('Istoric_Nativ'!$C$6:$C$405=F985)*('Istoric_Nativ'!$P$6:$P$405=1)*('Istoric_Nativ'!$D$6:$D$405&lt;J985)*((('Istoric_Nativ'!$E$6:$E$405=G985)+('Istoric_Nativ'!$F$6:$F$405=G985))&gt;0)),MIN('Config_v6'!$B$54,K985)),0)</x:f>
        <x:v>0</x:v>
      </x:c>
      <x:c r="M985" s="2" t="n">
        <x:f>IF(OR(B985="",F985=""),0,IF(H985="HOME",COUNTIFS('Istoric_Nativ'!$B$6:$B$405,E985,'Istoric_Nativ'!$C$6:$C$405,F985,'Istoric_Nativ'!$E$6:$E$405,G985,'Istoric_Nativ'!$D$6:$D$405,"&lt;"&amp;J985,'Istoric_Nativ'!$P$6:$P$405,1,'Istoric_Nativ'!$D$6:$D$405,"&gt;="&amp;L985),IF(H985="AWAY",COUNTIFS('Istoric_Nativ'!$B$6:$B$405,E985,'Istoric_Nativ'!$C$6:$C$405,F985,'Istoric_Nativ'!$F$6:$F$405,G985,'Istoric_Nativ'!$D$6:$D$405,"&lt;"&amp;J985,'Istoric_Nativ'!$P$6:$P$405,1,'Istoric_Nativ'!$D$6:$D$405,"&gt;="&amp;L985),COUNTIFS('Istoric_Nativ'!$B$6:$B$405,E985,'Istoric_Nativ'!$C$6:$C$405,F985,'Istoric_Nativ'!$E$6:$E$405,G985,'Istoric_Nativ'!$D$6:$D$405,"&lt;"&amp;J985,'Istoric_Nativ'!$P$6:$P$405,1,'Istoric_Nativ'!$D$6:$D$405,"&gt;="&amp;L985)+COUNTIFS('Istoric_Nativ'!$B$6:$B$405,E985,'Istoric_Nativ'!$C$6:$C$405,F985,'Istoric_Nativ'!$F$6:$F$405,G985,'Istoric_Nativ'!$D$6:$D$405,"&lt;"&amp;J985,'Istoric_Nativ'!$P$6:$P$405,1,'Istoric_Nativ'!$D$6:$D$405,"&gt;="&amp;L985))))</x:f>
        <x:v>0</x:v>
      </x:c>
      <x:c r="N985" s="11" t="str">
        <x:f>IF(M985=0,"",IF(H985="HOME",SUMIFS('Istoric_Nativ'!$G$6:$G$405,'Istoric_Nativ'!$B$6:$B$405,E985,'Istoric_Nativ'!$C$6:$C$405,F985,'Istoric_Nativ'!$E$6:$E$405,G985,'Istoric_Nativ'!$D$6:$D$405,"&lt;"&amp;J985,'Istoric_Nativ'!$P$6:$P$405,1,'Istoric_Nativ'!$D$6:$D$405,"&gt;="&amp;L985),IF(H985="AWAY",SUMIFS('Istoric_Nativ'!$H$6:$H$405,'Istoric_Nativ'!$B$6:$B$405,E985,'Istoric_Nativ'!$C$6:$C$405,F985,'Istoric_Nativ'!$F$6:$F$405,G985,'Istoric_Nativ'!$D$6:$D$405,"&lt;"&amp;J985,'Istoric_Nativ'!$P$6:$P$405,1,'Istoric_Nativ'!$D$6:$D$405,"&gt;="&amp;L985),SUMIFS('Istoric_Nativ'!$G$6:$G$405,'Istoric_Nativ'!$B$6:$B$405,E985,'Istoric_Nativ'!$C$6:$C$405,F985,'Istoric_Nativ'!$E$6:$E$405,G985,'Istoric_Nativ'!$D$6:$D$405,"&lt;"&amp;J985,'Istoric_Nativ'!$P$6:$P$405,1,'Istoric_Nativ'!$D$6:$D$405,"&gt;="&amp;L985)+SUMIFS('Istoric_Nativ'!$H$6:$H$405,'Istoric_Nativ'!$B$6:$B$405,E985,'Istoric_Nativ'!$C$6:$C$405,F985,'Istoric_Nativ'!$F$6:$F$405,G985,'Istoric_Nativ'!$D$6:$D$405,"&lt;"&amp;J985,'Istoric_Nativ'!$P$6:$P$405,1,'Istoric_Nativ'!$D$6:$D$405,"&gt;="&amp;L985)))/M985)</x:f>
      </x:c>
      <x:c r="O985" s="11" t="str">
        <x:f>IF(M985=0,"",IF(H985="HOME",SUMIFS('Istoric_Nativ'!$H$6:$H$405,'Istoric_Nativ'!$B$6:$B$405,E985,'Istoric_Nativ'!$C$6:$C$405,F985,'Istoric_Nativ'!$E$6:$E$405,G985,'Istoric_Nativ'!$D$6:$D$405,"&lt;"&amp;J985,'Istoric_Nativ'!$P$6:$P$405,1,'Istoric_Nativ'!$D$6:$D$405,"&gt;="&amp;L985),IF(H985="AWAY",SUMIFS('Istoric_Nativ'!$G$6:$G$405,'Istoric_Nativ'!$B$6:$B$405,E985,'Istoric_Nativ'!$C$6:$C$405,F985,'Istoric_Nativ'!$F$6:$F$405,G985,'Istoric_Nativ'!$D$6:$D$405,"&lt;"&amp;J985,'Istoric_Nativ'!$P$6:$P$405,1,'Istoric_Nativ'!$D$6:$D$405,"&gt;="&amp;L985),SUMIFS('Istoric_Nativ'!$H$6:$H$405,'Istoric_Nativ'!$B$6:$B$405,E985,'Istoric_Nativ'!$C$6:$C$405,F985,'Istoric_Nativ'!$E$6:$E$405,G985,'Istoric_Nativ'!$D$6:$D$405,"&lt;"&amp;J985,'Istoric_Nativ'!$P$6:$P$405,1,'Istoric_Nativ'!$D$6:$D$405,"&gt;="&amp;L985)+SUMIFS('Istoric_Nativ'!$G$6:$G$405,'Istoric_Nativ'!$B$6:$B$405,E985,'Istoric_Nativ'!$C$6:$C$405,F985,'Istoric_Nativ'!$F$6:$F$405,G985,'Istoric_Nativ'!$D$6:$D$405,"&lt;"&amp;J985,'Istoric_Nativ'!$P$6:$P$405,1,'Istoric_Nativ'!$D$6:$D$405,"&gt;="&amp;L985)))/M985)</x:f>
      </x:c>
      <x:c r="P985" s="2" t="n">
        <x:f>'Config_v6'!$B$8</x:f>
        <x:v>5</x:v>
      </x:c>
      <x:c r="Q985" s="2" t="n">
        <x:f>IF(OR(B985="",F985=""),0,IFERROR(MATCH(E985&amp;"|"&amp;F985,SourceTable[Source_Key],0),0))</x:f>
        <x:v>0</x:v>
      </x:c>
      <x:c r="R985" s="2" t="str">
        <x:f>IF(B985="","",IF(F985="","UNUSED",IF(Q985=0,"NOT CHECKED",IF(COUNTIF(SourceTable[Source_Key],E985&amp;"|"&amp;F985)&lt;&gt;1,"SOURCE CONFLICT",IF(NOT(OR(INDEX(SourceTable[Status],MAX(1,Q985))="IMPORTED",INDEX(SourceTable[Status],MAX(1,Q985))="PARTIAL",INDEX(SourceTable[Status],MAX(1,Q985))="SOURCE CONFLICT")),"ACCESS BLOCKED",IF(OR(INDEX(SourceTable[Coverage],Q985)&lt;&gt;"FULL SEASON EXPORT",INDEX(SourceTable[URL],Q985)="",INDEX(SourceTable[SHA256],Q985)=""),"EVIDENCE INCOMPLETE",IF(AND('Input_Meci'!H87="LIVE",INDEX(SourceTable[Retrieved_UTC],Q985)&gt;'Input_Meci'!G87),"POST CUTOFF","CLOSED")))))))</x:f>
      </x:c>
      <x:c r="S985" s="2" t="n">
        <x:f>IF(OR(B985="",F985=""),0,COUNTIFS('Istoric_Nativ'!$B$6:$B$405,E985,'Istoric_Nativ'!$C$6:$C$405,F985,'Istoric_Nativ'!$E$6:$E$405,G985,'Istoric_Nativ'!$D$6:$D$405,"&lt;"&amp;J985,'Istoric_Nativ'!$O$6:$O$405,"INVALID")+COUNTIFS('Istoric_Nativ'!$B$6:$B$405,E985,'Istoric_Nativ'!$C$6:$C$405,F985,'Istoric_Nativ'!$E$6:$E$405,G985,'Istoric_Nativ'!$O$6:$O$405,"INVALID",'Istoric_Nativ'!$D$6:$D$405,"*")+COUNTIFS('Istoric_Nativ'!$B$6:$B$405,E985,'Istoric_Nativ'!$C$6:$C$405,F985,'Istoric_Nativ'!$E$6:$E$405,G985,'Istoric_Nativ'!$D$6:$D$405,"&lt;"&amp;J985,'Istoric_Nativ'!$O$6:$O$405,"SOURCE CONFLICT")+COUNTIFS('Istoric_Nativ'!$B$6:$B$405,E985,'Istoric_Nativ'!$C$6:$C$405,F985,'Istoric_Nativ'!$F$6:$F$405,G985,'Istoric_Nativ'!$D$6:$D$405,"&lt;"&amp;J985,'Istoric_Nativ'!$O$6:$O$405,"INVALID")+COUNTIFS('Istoric_Nativ'!$B$6:$B$405,E985,'Istoric_Nativ'!$C$6:$C$405,F985,'Istoric_Nativ'!$F$6:$F$405,G985,'Istoric_Nativ'!$O$6:$O$405,"INVALID",'Istoric_Nativ'!$D$6:$D$405,"*")+COUNTIFS('Istoric_Nativ'!$B$6:$B$405,E985,'Istoric_Nativ'!$C$6:$C$405,F985,'Istoric_Nativ'!$F$6:$F$405,G985,'Istoric_Nativ'!$D$6:$D$405,"&lt;"&amp;J985,'Istoric_Nativ'!$O$6:$O$405,"SOURCE CONFLICT"))</x:f>
        <x:v>0</x:v>
      </x:c>
      <x:c r="T985" s="2" t="str">
        <x:f>IF(B985="","",IF(R985&lt;&gt;"CLOSED",R985,IF(S985&gt;0,"NATIVE INPUT ISSUE",IF(M985=0,"NO HISTORY",IF(M985&lt;P985,"SMALL SAMPLE","DERIVED")))))</x:f>
      </x:c>
      <x:c r="U985" s="2" t="str">
        <x:f>IF(B985="","","NativeTable; "&amp;E985&amp;"; "&amp;F985&amp;"; "&amp;G985&amp;"; "&amp;H985&amp;"; before "&amp;TEXT(J985,"yyyy-mm-dd")&amp;IF(I985="RECENT","; from "&amp;TEXT(L985,"yyyy-mm-dd"),""))</x:f>
      </x:c>
    </x:row>
    <x:row r="986" ht="21" customHeight="1">
      <x:c r="A986" s="2" t="n">
        <x:v>82</x:v>
      </x:c>
      <x:c r="B986" s="2" t="str">
        <x:f>IF('Input_Meci'!A87="","",'Input_Meci'!A87)</x:f>
      </x:c>
      <x:c r="C986" s="2" t="str">
        <x:v>H</x:v>
      </x:c>
      <x:c r="D986" s="2" t="str">
        <x:v>PRIOR</x:v>
      </x:c>
      <x:c r="E986" s="2" t="str">
        <x:f>IF(B986="","",'Input_Meci'!B87)</x:f>
      </x:c>
      <x:c r="F986" s="2" t="str">
        <x:f>IF(B986="","",IF('Input_Meci'!K87="","",'Input_Meci'!K87))</x:f>
      </x:c>
      <x:c r="G986" s="2" t="str">
        <x:f>IF(B986="","",'Input_Meci'!D87)</x:f>
      </x:c>
      <x:c r="H986" s="2" t="str">
        <x:v>ANY</x:v>
      </x:c>
      <x:c r="I986" s="2" t="str">
        <x:v>RECENT</x:v>
      </x:c>
      <x:c r="J986" s="9" t="n">
        <x:f>IF(AND(B986&lt;&gt;"",ISNUMBER('Input_Meci'!G87)),INT('Input_Meci'!G87),0)</x:f>
        <x:v>0</x:v>
      </x:c>
      <x:c r="K986" s="2" t="n">
        <x:f>IF(OR(B986="",F986=""),0,IF(H986="HOME",COUNTIFS('Istoric_Nativ'!$B$6:$B$405,E986,'Istoric_Nativ'!$C$6:$C$405,F986,'Istoric_Nativ'!$E$6:$E$405,G986,'Istoric_Nativ'!$D$6:$D$405,"&lt;"&amp;J986,'Istoric_Nativ'!$P$6:$P$405,1),IF(H986="AWAY",COUNTIFS('Istoric_Nativ'!$B$6:$B$405,E986,'Istoric_Nativ'!$C$6:$C$405,F986,'Istoric_Nativ'!$F$6:$F$405,G986,'Istoric_Nativ'!$D$6:$D$405,"&lt;"&amp;J986,'Istoric_Nativ'!$P$6:$P$405,1),COUNTIFS('Istoric_Nativ'!$B$6:$B$405,E986,'Istoric_Nativ'!$C$6:$C$405,F986,'Istoric_Nativ'!$E$6:$E$405,G986,'Istoric_Nativ'!$D$6:$D$405,"&lt;"&amp;J986,'Istoric_Nativ'!$P$6:$P$405,1)+COUNTIFS('Istoric_Nativ'!$B$6:$B$405,E986,'Istoric_Nativ'!$C$6:$C$405,F986,'Istoric_Nativ'!$F$6:$F$405,G986,'Istoric_Nativ'!$D$6:$D$405,"&lt;"&amp;J986,'Istoric_Nativ'!$P$6:$P$405,1))))</x:f>
        <x:v>0</x:v>
      </x:c>
      <x:c r="L986" s="17" t="n">
        <x:f>IF(AND(B986&lt;&gt;"",I986="RECENT",K986&gt;0),LARGE(_xlfn._xlws.FILTER('Istoric_Nativ'!$D$6:$D$405,('Istoric_Nativ'!$B$6:$B$405=E986)*('Istoric_Nativ'!$C$6:$C$405=F986)*('Istoric_Nativ'!$P$6:$P$405=1)*('Istoric_Nativ'!$D$6:$D$405&lt;J986)*((('Istoric_Nativ'!$E$6:$E$405=G986)+('Istoric_Nativ'!$F$6:$F$405=G986))&gt;0)),MIN('Config_v6'!$B$54,K986)),0)</x:f>
        <x:v>0</x:v>
      </x:c>
      <x:c r="M986" s="2" t="n">
        <x:f>IF(OR(B986="",F986=""),0,IF(H986="HOME",COUNTIFS('Istoric_Nativ'!$B$6:$B$405,E986,'Istoric_Nativ'!$C$6:$C$405,F986,'Istoric_Nativ'!$E$6:$E$405,G986,'Istoric_Nativ'!$D$6:$D$405,"&lt;"&amp;J986,'Istoric_Nativ'!$P$6:$P$405,1,'Istoric_Nativ'!$D$6:$D$405,"&gt;="&amp;L986),IF(H986="AWAY",COUNTIFS('Istoric_Nativ'!$B$6:$B$405,E986,'Istoric_Nativ'!$C$6:$C$405,F986,'Istoric_Nativ'!$F$6:$F$405,G986,'Istoric_Nativ'!$D$6:$D$405,"&lt;"&amp;J986,'Istoric_Nativ'!$P$6:$P$405,1,'Istoric_Nativ'!$D$6:$D$405,"&gt;="&amp;L986),COUNTIFS('Istoric_Nativ'!$B$6:$B$405,E986,'Istoric_Nativ'!$C$6:$C$405,F986,'Istoric_Nativ'!$E$6:$E$405,G986,'Istoric_Nativ'!$D$6:$D$405,"&lt;"&amp;J986,'Istoric_Nativ'!$P$6:$P$405,1,'Istoric_Nativ'!$D$6:$D$405,"&gt;="&amp;L986)+COUNTIFS('Istoric_Nativ'!$B$6:$B$405,E986,'Istoric_Nativ'!$C$6:$C$405,F986,'Istoric_Nativ'!$F$6:$F$405,G986,'Istoric_Nativ'!$D$6:$D$405,"&lt;"&amp;J986,'Istoric_Nativ'!$P$6:$P$405,1,'Istoric_Nativ'!$D$6:$D$405,"&gt;="&amp;L986))))</x:f>
        <x:v>0</x:v>
      </x:c>
      <x:c r="N986" s="11" t="str">
        <x:f>IF(M986=0,"",IF(H986="HOME",SUMIFS('Istoric_Nativ'!$G$6:$G$405,'Istoric_Nativ'!$B$6:$B$405,E986,'Istoric_Nativ'!$C$6:$C$405,F986,'Istoric_Nativ'!$E$6:$E$405,G986,'Istoric_Nativ'!$D$6:$D$405,"&lt;"&amp;J986,'Istoric_Nativ'!$P$6:$P$405,1,'Istoric_Nativ'!$D$6:$D$405,"&gt;="&amp;L986),IF(H986="AWAY",SUMIFS('Istoric_Nativ'!$H$6:$H$405,'Istoric_Nativ'!$B$6:$B$405,E986,'Istoric_Nativ'!$C$6:$C$405,F986,'Istoric_Nativ'!$F$6:$F$405,G986,'Istoric_Nativ'!$D$6:$D$405,"&lt;"&amp;J986,'Istoric_Nativ'!$P$6:$P$405,1,'Istoric_Nativ'!$D$6:$D$405,"&gt;="&amp;L986),SUMIFS('Istoric_Nativ'!$G$6:$G$405,'Istoric_Nativ'!$B$6:$B$405,E986,'Istoric_Nativ'!$C$6:$C$405,F986,'Istoric_Nativ'!$E$6:$E$405,G986,'Istoric_Nativ'!$D$6:$D$405,"&lt;"&amp;J986,'Istoric_Nativ'!$P$6:$P$405,1,'Istoric_Nativ'!$D$6:$D$405,"&gt;="&amp;L986)+SUMIFS('Istoric_Nativ'!$H$6:$H$405,'Istoric_Nativ'!$B$6:$B$405,E986,'Istoric_Nativ'!$C$6:$C$405,F986,'Istoric_Nativ'!$F$6:$F$405,G986,'Istoric_Nativ'!$D$6:$D$405,"&lt;"&amp;J986,'Istoric_Nativ'!$P$6:$P$405,1,'Istoric_Nativ'!$D$6:$D$405,"&gt;="&amp;L986)))/M986)</x:f>
      </x:c>
      <x:c r="O986" s="11" t="str">
        <x:f>IF(M986=0,"",IF(H986="HOME",SUMIFS('Istoric_Nativ'!$H$6:$H$405,'Istoric_Nativ'!$B$6:$B$405,E986,'Istoric_Nativ'!$C$6:$C$405,F986,'Istoric_Nativ'!$E$6:$E$405,G986,'Istoric_Nativ'!$D$6:$D$405,"&lt;"&amp;J986,'Istoric_Nativ'!$P$6:$P$405,1,'Istoric_Nativ'!$D$6:$D$405,"&gt;="&amp;L986),IF(H986="AWAY",SUMIFS('Istoric_Nativ'!$G$6:$G$405,'Istoric_Nativ'!$B$6:$B$405,E986,'Istoric_Nativ'!$C$6:$C$405,F986,'Istoric_Nativ'!$F$6:$F$405,G986,'Istoric_Nativ'!$D$6:$D$405,"&lt;"&amp;J986,'Istoric_Nativ'!$P$6:$P$405,1,'Istoric_Nativ'!$D$6:$D$405,"&gt;="&amp;L986),SUMIFS('Istoric_Nativ'!$H$6:$H$405,'Istoric_Nativ'!$B$6:$B$405,E986,'Istoric_Nativ'!$C$6:$C$405,F986,'Istoric_Nativ'!$E$6:$E$405,G986,'Istoric_Nativ'!$D$6:$D$405,"&lt;"&amp;J986,'Istoric_Nativ'!$P$6:$P$405,1,'Istoric_Nativ'!$D$6:$D$405,"&gt;="&amp;L986)+SUMIFS('Istoric_Nativ'!$G$6:$G$405,'Istoric_Nativ'!$B$6:$B$405,E986,'Istoric_Nativ'!$C$6:$C$405,F986,'Istoric_Nativ'!$F$6:$F$405,G986,'Istoric_Nativ'!$D$6:$D$405,"&lt;"&amp;J986,'Istoric_Nativ'!$P$6:$P$405,1,'Istoric_Nativ'!$D$6:$D$405,"&gt;="&amp;L986)))/M986)</x:f>
      </x:c>
      <x:c r="P986" s="2" t="n">
        <x:f>'Config_v6'!$B$9</x:f>
        <x:v>3</x:v>
      </x:c>
      <x:c r="Q986" s="2" t="n">
        <x:f>IF(OR(B986="",F986=""),0,IFERROR(MATCH(E986&amp;"|"&amp;F986,SourceTable[Source_Key],0),0))</x:f>
        <x:v>0</x:v>
      </x:c>
      <x:c r="R986" s="2" t="str">
        <x:f>IF(B986="","",IF(F986="","UNUSED",IF(Q986=0,"NOT CHECKED",IF(COUNTIF(SourceTable[Source_Key],E986&amp;"|"&amp;F986)&lt;&gt;1,"SOURCE CONFLICT",IF(NOT(OR(INDEX(SourceTable[Status],MAX(1,Q986))="IMPORTED",INDEX(SourceTable[Status],MAX(1,Q986))="PARTIAL",INDEX(SourceTable[Status],MAX(1,Q986))="SOURCE CONFLICT")),"ACCESS BLOCKED",IF(OR(INDEX(SourceTable[Coverage],Q986)&lt;&gt;"FULL SEASON EXPORT",INDEX(SourceTable[URL],Q986)="",INDEX(SourceTable[SHA256],Q986)=""),"EVIDENCE INCOMPLETE",IF(AND('Input_Meci'!H87="LIVE",INDEX(SourceTable[Retrieved_UTC],Q986)&gt;'Input_Meci'!G87),"POST CUTOFF","CLOSED")))))))</x:f>
      </x:c>
      <x:c r="S986" s="2" t="n">
        <x:f>IF(OR(B986="",F986=""),0,COUNTIFS('Istoric_Nativ'!$B$6:$B$405,E986,'Istoric_Nativ'!$C$6:$C$405,F986,'Istoric_Nativ'!$E$6:$E$405,G986,'Istoric_Nativ'!$D$6:$D$405,"&lt;"&amp;J986,'Istoric_Nativ'!$O$6:$O$405,"INVALID")+COUNTIFS('Istoric_Nativ'!$B$6:$B$405,E986,'Istoric_Nativ'!$C$6:$C$405,F986,'Istoric_Nativ'!$E$6:$E$405,G986,'Istoric_Nativ'!$O$6:$O$405,"INVALID",'Istoric_Nativ'!$D$6:$D$405,"*")+COUNTIFS('Istoric_Nativ'!$B$6:$B$405,E986,'Istoric_Nativ'!$C$6:$C$405,F986,'Istoric_Nativ'!$E$6:$E$405,G986,'Istoric_Nativ'!$D$6:$D$405,"&lt;"&amp;J986,'Istoric_Nativ'!$O$6:$O$405,"SOURCE CONFLICT")+COUNTIFS('Istoric_Nativ'!$B$6:$B$405,E986,'Istoric_Nativ'!$C$6:$C$405,F986,'Istoric_Nativ'!$F$6:$F$405,G986,'Istoric_Nativ'!$D$6:$D$405,"&lt;"&amp;J986,'Istoric_Nativ'!$O$6:$O$405,"INVALID")+COUNTIFS('Istoric_Nativ'!$B$6:$B$405,E986,'Istoric_Nativ'!$C$6:$C$405,F986,'Istoric_Nativ'!$F$6:$F$405,G986,'Istoric_Nativ'!$O$6:$O$405,"INVALID",'Istoric_Nativ'!$D$6:$D$405,"*")+COUNTIFS('Istoric_Nativ'!$B$6:$B$405,E986,'Istoric_Nativ'!$C$6:$C$405,F986,'Istoric_Nativ'!$F$6:$F$405,G986,'Istoric_Nativ'!$D$6:$D$405,"&lt;"&amp;J986,'Istoric_Nativ'!$O$6:$O$405,"SOURCE CONFLICT"))</x:f>
        <x:v>0</x:v>
      </x:c>
      <x:c r="T986" s="2" t="str">
        <x:f>IF(B986="","",IF(R986&lt;&gt;"CLOSED",R986,IF(S986&gt;0,"NATIVE INPUT ISSUE",IF(M986=0,"NO HISTORY",IF(M986&lt;P986,"SMALL SAMPLE","DERIVED")))))</x:f>
      </x:c>
      <x:c r="U986" s="2" t="str">
        <x:f>IF(B986="","","NativeTable; "&amp;E986&amp;"; "&amp;F986&amp;"; "&amp;G986&amp;"; "&amp;H986&amp;"; before "&amp;TEXT(J986,"yyyy-mm-dd")&amp;IF(I986="RECENT","; from "&amp;TEXT(L986,"yyyy-mm-dd"),""))</x:f>
      </x:c>
    </x:row>
    <x:row r="987" ht="21" customHeight="1">
      <x:c r="A987" s="2" t="n">
        <x:v>82</x:v>
      </x:c>
      <x:c r="B987" s="2" t="str">
        <x:f>IF('Input_Meci'!A87="","",'Input_Meci'!A87)</x:f>
      </x:c>
      <x:c r="C987" s="2" t="str">
        <x:v>A</x:v>
      </x:c>
      <x:c r="D987" s="2" t="str">
        <x:v>PRIOR</x:v>
      </x:c>
      <x:c r="E987" s="2" t="str">
        <x:f>IF(B987="","",'Input_Meci'!B87)</x:f>
      </x:c>
      <x:c r="F987" s="2" t="str">
        <x:f>IF(B987="","",IF('Input_Meci'!K87="","",'Input_Meci'!K87))</x:f>
      </x:c>
      <x:c r="G987" s="2" t="str">
        <x:f>IF(B987="","",'Input_Meci'!E87)</x:f>
      </x:c>
      <x:c r="H987" s="2" t="str">
        <x:v>ANY</x:v>
      </x:c>
      <x:c r="I987" s="2" t="str">
        <x:v>SEASON</x:v>
      </x:c>
      <x:c r="J987" s="9" t="n">
        <x:f>IF(AND(B987&lt;&gt;"",ISNUMBER('Input_Meci'!G87)),INT('Input_Meci'!G87),0)</x:f>
        <x:v>0</x:v>
      </x:c>
      <x:c r="K987" s="2" t="n">
        <x:f>IF(OR(B987="",F987=""),0,IF(H987="HOME",COUNTIFS('Istoric_Nativ'!$B$6:$B$405,E987,'Istoric_Nativ'!$C$6:$C$405,F987,'Istoric_Nativ'!$E$6:$E$405,G987,'Istoric_Nativ'!$D$6:$D$405,"&lt;"&amp;J987,'Istoric_Nativ'!$P$6:$P$405,1),IF(H987="AWAY",COUNTIFS('Istoric_Nativ'!$B$6:$B$405,E987,'Istoric_Nativ'!$C$6:$C$405,F987,'Istoric_Nativ'!$F$6:$F$405,G987,'Istoric_Nativ'!$D$6:$D$405,"&lt;"&amp;J987,'Istoric_Nativ'!$P$6:$P$405,1),COUNTIFS('Istoric_Nativ'!$B$6:$B$405,E987,'Istoric_Nativ'!$C$6:$C$405,F987,'Istoric_Nativ'!$E$6:$E$405,G987,'Istoric_Nativ'!$D$6:$D$405,"&lt;"&amp;J987,'Istoric_Nativ'!$P$6:$P$405,1)+COUNTIFS('Istoric_Nativ'!$B$6:$B$405,E987,'Istoric_Nativ'!$C$6:$C$405,F987,'Istoric_Nativ'!$F$6:$F$405,G987,'Istoric_Nativ'!$D$6:$D$405,"&lt;"&amp;J987,'Istoric_Nativ'!$P$6:$P$405,1))))</x:f>
        <x:v>0</x:v>
      </x:c>
      <x:c r="L987" s="17" t="n">
        <x:f>IF(AND(B987&lt;&gt;"",I987="RECENT",K987&gt;0),LARGE(_xlfn._xlws.FILTER('Istoric_Nativ'!$D$6:$D$405,('Istoric_Nativ'!$B$6:$B$405=E987)*('Istoric_Nativ'!$C$6:$C$405=F987)*('Istoric_Nativ'!$P$6:$P$405=1)*('Istoric_Nativ'!$D$6:$D$405&lt;J987)*((('Istoric_Nativ'!$E$6:$E$405=G987)+('Istoric_Nativ'!$F$6:$F$405=G987))&gt;0)),MIN('Config_v6'!$B$54,K987)),0)</x:f>
        <x:v>0</x:v>
      </x:c>
      <x:c r="M987" s="2" t="n">
        <x:f>IF(OR(B987="",F987=""),0,IF(H987="HOME",COUNTIFS('Istoric_Nativ'!$B$6:$B$405,E987,'Istoric_Nativ'!$C$6:$C$405,F987,'Istoric_Nativ'!$E$6:$E$405,G987,'Istoric_Nativ'!$D$6:$D$405,"&lt;"&amp;J987,'Istoric_Nativ'!$P$6:$P$405,1,'Istoric_Nativ'!$D$6:$D$405,"&gt;="&amp;L987),IF(H987="AWAY",COUNTIFS('Istoric_Nativ'!$B$6:$B$405,E987,'Istoric_Nativ'!$C$6:$C$405,F987,'Istoric_Nativ'!$F$6:$F$405,G987,'Istoric_Nativ'!$D$6:$D$405,"&lt;"&amp;J987,'Istoric_Nativ'!$P$6:$P$405,1,'Istoric_Nativ'!$D$6:$D$405,"&gt;="&amp;L987),COUNTIFS('Istoric_Nativ'!$B$6:$B$405,E987,'Istoric_Nativ'!$C$6:$C$405,F987,'Istoric_Nativ'!$E$6:$E$405,G987,'Istoric_Nativ'!$D$6:$D$405,"&lt;"&amp;J987,'Istoric_Nativ'!$P$6:$P$405,1,'Istoric_Nativ'!$D$6:$D$405,"&gt;="&amp;L987)+COUNTIFS('Istoric_Nativ'!$B$6:$B$405,E987,'Istoric_Nativ'!$C$6:$C$405,F987,'Istoric_Nativ'!$F$6:$F$405,G987,'Istoric_Nativ'!$D$6:$D$405,"&lt;"&amp;J987,'Istoric_Nativ'!$P$6:$P$405,1,'Istoric_Nativ'!$D$6:$D$405,"&gt;="&amp;L987))))</x:f>
        <x:v>0</x:v>
      </x:c>
      <x:c r="N987" s="11" t="str">
        <x:f>IF(M987=0,"",IF(H987="HOME",SUMIFS('Istoric_Nativ'!$G$6:$G$405,'Istoric_Nativ'!$B$6:$B$405,E987,'Istoric_Nativ'!$C$6:$C$405,F987,'Istoric_Nativ'!$E$6:$E$405,G987,'Istoric_Nativ'!$D$6:$D$405,"&lt;"&amp;J987,'Istoric_Nativ'!$P$6:$P$405,1,'Istoric_Nativ'!$D$6:$D$405,"&gt;="&amp;L987),IF(H987="AWAY",SUMIFS('Istoric_Nativ'!$H$6:$H$405,'Istoric_Nativ'!$B$6:$B$405,E987,'Istoric_Nativ'!$C$6:$C$405,F987,'Istoric_Nativ'!$F$6:$F$405,G987,'Istoric_Nativ'!$D$6:$D$405,"&lt;"&amp;J987,'Istoric_Nativ'!$P$6:$P$405,1,'Istoric_Nativ'!$D$6:$D$405,"&gt;="&amp;L987),SUMIFS('Istoric_Nativ'!$G$6:$G$405,'Istoric_Nativ'!$B$6:$B$405,E987,'Istoric_Nativ'!$C$6:$C$405,F987,'Istoric_Nativ'!$E$6:$E$405,G987,'Istoric_Nativ'!$D$6:$D$405,"&lt;"&amp;J987,'Istoric_Nativ'!$P$6:$P$405,1,'Istoric_Nativ'!$D$6:$D$405,"&gt;="&amp;L987)+SUMIFS('Istoric_Nativ'!$H$6:$H$405,'Istoric_Nativ'!$B$6:$B$405,E987,'Istoric_Nativ'!$C$6:$C$405,F987,'Istoric_Nativ'!$F$6:$F$405,G987,'Istoric_Nativ'!$D$6:$D$405,"&lt;"&amp;J987,'Istoric_Nativ'!$P$6:$P$405,1,'Istoric_Nativ'!$D$6:$D$405,"&gt;="&amp;L987)))/M987)</x:f>
      </x:c>
      <x:c r="O987" s="11" t="str">
        <x:f>IF(M987=0,"",IF(H987="HOME",SUMIFS('Istoric_Nativ'!$H$6:$H$405,'Istoric_Nativ'!$B$6:$B$405,E987,'Istoric_Nativ'!$C$6:$C$405,F987,'Istoric_Nativ'!$E$6:$E$405,G987,'Istoric_Nativ'!$D$6:$D$405,"&lt;"&amp;J987,'Istoric_Nativ'!$P$6:$P$405,1,'Istoric_Nativ'!$D$6:$D$405,"&gt;="&amp;L987),IF(H987="AWAY",SUMIFS('Istoric_Nativ'!$G$6:$G$405,'Istoric_Nativ'!$B$6:$B$405,E987,'Istoric_Nativ'!$C$6:$C$405,F987,'Istoric_Nativ'!$F$6:$F$405,G987,'Istoric_Nativ'!$D$6:$D$405,"&lt;"&amp;J987,'Istoric_Nativ'!$P$6:$P$405,1,'Istoric_Nativ'!$D$6:$D$405,"&gt;="&amp;L987),SUMIFS('Istoric_Nativ'!$H$6:$H$405,'Istoric_Nativ'!$B$6:$B$405,E987,'Istoric_Nativ'!$C$6:$C$405,F987,'Istoric_Nativ'!$E$6:$E$405,G987,'Istoric_Nativ'!$D$6:$D$405,"&lt;"&amp;J987,'Istoric_Nativ'!$P$6:$P$405,1,'Istoric_Nativ'!$D$6:$D$405,"&gt;="&amp;L987)+SUMIFS('Istoric_Nativ'!$G$6:$G$405,'Istoric_Nativ'!$B$6:$B$405,E987,'Istoric_Nativ'!$C$6:$C$405,F987,'Istoric_Nativ'!$F$6:$F$405,G987,'Istoric_Nativ'!$D$6:$D$405,"&lt;"&amp;J987,'Istoric_Nativ'!$P$6:$P$405,1,'Istoric_Nativ'!$D$6:$D$405,"&gt;="&amp;L987)))/M987)</x:f>
      </x:c>
      <x:c r="P987" s="2" t="n">
        <x:f>'Config_v6'!$B$7</x:f>
        <x:v>10</x:v>
      </x:c>
      <x:c r="Q987" s="2" t="n">
        <x:f>IF(OR(B987="",F987=""),0,IFERROR(MATCH(E987&amp;"|"&amp;F987,SourceTable[Source_Key],0),0))</x:f>
        <x:v>0</x:v>
      </x:c>
      <x:c r="R987" s="2" t="str">
        <x:f>IF(B987="","",IF(F987="","UNUSED",IF(Q987=0,"NOT CHECKED",IF(COUNTIF(SourceTable[Source_Key],E987&amp;"|"&amp;F987)&lt;&gt;1,"SOURCE CONFLICT",IF(NOT(OR(INDEX(SourceTable[Status],MAX(1,Q987))="IMPORTED",INDEX(SourceTable[Status],MAX(1,Q987))="PARTIAL",INDEX(SourceTable[Status],MAX(1,Q987))="SOURCE CONFLICT")),"ACCESS BLOCKED",IF(OR(INDEX(SourceTable[Coverage],Q987)&lt;&gt;"FULL SEASON EXPORT",INDEX(SourceTable[URL],Q987)="",INDEX(SourceTable[SHA256],Q987)=""),"EVIDENCE INCOMPLETE",IF(AND('Input_Meci'!H87="LIVE",INDEX(SourceTable[Retrieved_UTC],Q987)&gt;'Input_Meci'!G87),"POST CUTOFF","CLOSED")))))))</x:f>
      </x:c>
      <x:c r="S987" s="2" t="n">
        <x:f>IF(OR(B987="",F987=""),0,COUNTIFS('Istoric_Nativ'!$B$6:$B$405,E987,'Istoric_Nativ'!$C$6:$C$405,F987,'Istoric_Nativ'!$E$6:$E$405,G987,'Istoric_Nativ'!$D$6:$D$405,"&lt;"&amp;J987,'Istoric_Nativ'!$O$6:$O$405,"INVALID")+COUNTIFS('Istoric_Nativ'!$B$6:$B$405,E987,'Istoric_Nativ'!$C$6:$C$405,F987,'Istoric_Nativ'!$E$6:$E$405,G987,'Istoric_Nativ'!$O$6:$O$405,"INVALID",'Istoric_Nativ'!$D$6:$D$405,"*")+COUNTIFS('Istoric_Nativ'!$B$6:$B$405,E987,'Istoric_Nativ'!$C$6:$C$405,F987,'Istoric_Nativ'!$E$6:$E$405,G987,'Istoric_Nativ'!$D$6:$D$405,"&lt;"&amp;J987,'Istoric_Nativ'!$O$6:$O$405,"SOURCE CONFLICT")+COUNTIFS('Istoric_Nativ'!$B$6:$B$405,E987,'Istoric_Nativ'!$C$6:$C$405,F987,'Istoric_Nativ'!$F$6:$F$405,G987,'Istoric_Nativ'!$D$6:$D$405,"&lt;"&amp;J987,'Istoric_Nativ'!$O$6:$O$405,"INVALID")+COUNTIFS('Istoric_Nativ'!$B$6:$B$405,E987,'Istoric_Nativ'!$C$6:$C$405,F987,'Istoric_Nativ'!$F$6:$F$405,G987,'Istoric_Nativ'!$O$6:$O$405,"INVALID",'Istoric_Nativ'!$D$6:$D$405,"*")+COUNTIFS('Istoric_Nativ'!$B$6:$B$405,E987,'Istoric_Nativ'!$C$6:$C$405,F987,'Istoric_Nativ'!$F$6:$F$405,G987,'Istoric_Nativ'!$D$6:$D$405,"&lt;"&amp;J987,'Istoric_Nativ'!$O$6:$O$405,"SOURCE CONFLICT"))</x:f>
        <x:v>0</x:v>
      </x:c>
      <x:c r="T987" s="2" t="str">
        <x:f>IF(B987="","",IF(R987&lt;&gt;"CLOSED",R987,IF(S987&gt;0,"NATIVE INPUT ISSUE",IF(M987=0,"NO HISTORY",IF(M987&lt;P987,"SMALL SAMPLE","DERIVED")))))</x:f>
      </x:c>
      <x:c r="U987" s="2" t="str">
        <x:f>IF(B987="","","NativeTable; "&amp;E987&amp;"; "&amp;F987&amp;"; "&amp;G987&amp;"; "&amp;H987&amp;"; before "&amp;TEXT(J987,"yyyy-mm-dd")&amp;IF(I987="RECENT","; from "&amp;TEXT(L987,"yyyy-mm-dd"),""))</x:f>
      </x:c>
    </x:row>
    <x:row r="988" ht="21" customHeight="1">
      <x:c r="A988" s="2" t="n">
        <x:v>82</x:v>
      </x:c>
      <x:c r="B988" s="2" t="str">
        <x:f>IF('Input_Meci'!A87="","",'Input_Meci'!A87)</x:f>
      </x:c>
      <x:c r="C988" s="2" t="str">
        <x:v>A</x:v>
      </x:c>
      <x:c r="D988" s="2" t="str">
        <x:v>PRIOR</x:v>
      </x:c>
      <x:c r="E988" s="2" t="str">
        <x:f>IF(B988="","",'Input_Meci'!B87)</x:f>
      </x:c>
      <x:c r="F988" s="2" t="str">
        <x:f>IF(B988="","",IF('Input_Meci'!K87="","",'Input_Meci'!K87))</x:f>
      </x:c>
      <x:c r="G988" s="2" t="str">
        <x:f>IF(B988="","",'Input_Meci'!E87)</x:f>
      </x:c>
      <x:c r="H988" s="2" t="str">
        <x:v>AWAY</x:v>
      </x:c>
      <x:c r="I988" s="2" t="str">
        <x:v>HA</x:v>
      </x:c>
      <x:c r="J988" s="9" t="n">
        <x:f>IF(AND(B988&lt;&gt;"",ISNUMBER('Input_Meci'!G87)),INT('Input_Meci'!G87),0)</x:f>
        <x:v>0</x:v>
      </x:c>
      <x:c r="K988" s="2" t="n">
        <x:f>IF(OR(B988="",F988=""),0,IF(H988="HOME",COUNTIFS('Istoric_Nativ'!$B$6:$B$405,E988,'Istoric_Nativ'!$C$6:$C$405,F988,'Istoric_Nativ'!$E$6:$E$405,G988,'Istoric_Nativ'!$D$6:$D$405,"&lt;"&amp;J988,'Istoric_Nativ'!$P$6:$P$405,1),IF(H988="AWAY",COUNTIFS('Istoric_Nativ'!$B$6:$B$405,E988,'Istoric_Nativ'!$C$6:$C$405,F988,'Istoric_Nativ'!$F$6:$F$405,G988,'Istoric_Nativ'!$D$6:$D$405,"&lt;"&amp;J988,'Istoric_Nativ'!$P$6:$P$405,1),COUNTIFS('Istoric_Nativ'!$B$6:$B$405,E988,'Istoric_Nativ'!$C$6:$C$405,F988,'Istoric_Nativ'!$E$6:$E$405,G988,'Istoric_Nativ'!$D$6:$D$405,"&lt;"&amp;J988,'Istoric_Nativ'!$P$6:$P$405,1)+COUNTIFS('Istoric_Nativ'!$B$6:$B$405,E988,'Istoric_Nativ'!$C$6:$C$405,F988,'Istoric_Nativ'!$F$6:$F$405,G988,'Istoric_Nativ'!$D$6:$D$405,"&lt;"&amp;J988,'Istoric_Nativ'!$P$6:$P$405,1))))</x:f>
        <x:v>0</x:v>
      </x:c>
      <x:c r="L988" s="17" t="n">
        <x:f>IF(AND(B988&lt;&gt;"",I988="RECENT",K988&gt;0),LARGE(_xlfn._xlws.FILTER('Istoric_Nativ'!$D$6:$D$405,('Istoric_Nativ'!$B$6:$B$405=E988)*('Istoric_Nativ'!$C$6:$C$405=F988)*('Istoric_Nativ'!$P$6:$P$405=1)*('Istoric_Nativ'!$D$6:$D$405&lt;J988)*((('Istoric_Nativ'!$E$6:$E$405=G988)+('Istoric_Nativ'!$F$6:$F$405=G988))&gt;0)),MIN('Config_v6'!$B$54,K988)),0)</x:f>
        <x:v>0</x:v>
      </x:c>
      <x:c r="M988" s="2" t="n">
        <x:f>IF(OR(B988="",F988=""),0,IF(H988="HOME",COUNTIFS('Istoric_Nativ'!$B$6:$B$405,E988,'Istoric_Nativ'!$C$6:$C$405,F988,'Istoric_Nativ'!$E$6:$E$405,G988,'Istoric_Nativ'!$D$6:$D$405,"&lt;"&amp;J988,'Istoric_Nativ'!$P$6:$P$405,1,'Istoric_Nativ'!$D$6:$D$405,"&gt;="&amp;L988),IF(H988="AWAY",COUNTIFS('Istoric_Nativ'!$B$6:$B$405,E988,'Istoric_Nativ'!$C$6:$C$405,F988,'Istoric_Nativ'!$F$6:$F$405,G988,'Istoric_Nativ'!$D$6:$D$405,"&lt;"&amp;J988,'Istoric_Nativ'!$P$6:$P$405,1,'Istoric_Nativ'!$D$6:$D$405,"&gt;="&amp;L988),COUNTIFS('Istoric_Nativ'!$B$6:$B$405,E988,'Istoric_Nativ'!$C$6:$C$405,F988,'Istoric_Nativ'!$E$6:$E$405,G988,'Istoric_Nativ'!$D$6:$D$405,"&lt;"&amp;J988,'Istoric_Nativ'!$P$6:$P$405,1,'Istoric_Nativ'!$D$6:$D$405,"&gt;="&amp;L988)+COUNTIFS('Istoric_Nativ'!$B$6:$B$405,E988,'Istoric_Nativ'!$C$6:$C$405,F988,'Istoric_Nativ'!$F$6:$F$405,G988,'Istoric_Nativ'!$D$6:$D$405,"&lt;"&amp;J988,'Istoric_Nativ'!$P$6:$P$405,1,'Istoric_Nativ'!$D$6:$D$405,"&gt;="&amp;L988))))</x:f>
        <x:v>0</x:v>
      </x:c>
      <x:c r="N988" s="11" t="str">
        <x:f>IF(M988=0,"",IF(H988="HOME",SUMIFS('Istoric_Nativ'!$G$6:$G$405,'Istoric_Nativ'!$B$6:$B$405,E988,'Istoric_Nativ'!$C$6:$C$405,F988,'Istoric_Nativ'!$E$6:$E$405,G988,'Istoric_Nativ'!$D$6:$D$405,"&lt;"&amp;J988,'Istoric_Nativ'!$P$6:$P$405,1,'Istoric_Nativ'!$D$6:$D$405,"&gt;="&amp;L988),IF(H988="AWAY",SUMIFS('Istoric_Nativ'!$H$6:$H$405,'Istoric_Nativ'!$B$6:$B$405,E988,'Istoric_Nativ'!$C$6:$C$405,F988,'Istoric_Nativ'!$F$6:$F$405,G988,'Istoric_Nativ'!$D$6:$D$405,"&lt;"&amp;J988,'Istoric_Nativ'!$P$6:$P$405,1,'Istoric_Nativ'!$D$6:$D$405,"&gt;="&amp;L988),SUMIFS('Istoric_Nativ'!$G$6:$G$405,'Istoric_Nativ'!$B$6:$B$405,E988,'Istoric_Nativ'!$C$6:$C$405,F988,'Istoric_Nativ'!$E$6:$E$405,G988,'Istoric_Nativ'!$D$6:$D$405,"&lt;"&amp;J988,'Istoric_Nativ'!$P$6:$P$405,1,'Istoric_Nativ'!$D$6:$D$405,"&gt;="&amp;L988)+SUMIFS('Istoric_Nativ'!$H$6:$H$405,'Istoric_Nativ'!$B$6:$B$405,E988,'Istoric_Nativ'!$C$6:$C$405,F988,'Istoric_Nativ'!$F$6:$F$405,G988,'Istoric_Nativ'!$D$6:$D$405,"&lt;"&amp;J988,'Istoric_Nativ'!$P$6:$P$405,1,'Istoric_Nativ'!$D$6:$D$405,"&gt;="&amp;L988)))/M988)</x:f>
      </x:c>
      <x:c r="O988" s="11" t="str">
        <x:f>IF(M988=0,"",IF(H988="HOME",SUMIFS('Istoric_Nativ'!$H$6:$H$405,'Istoric_Nativ'!$B$6:$B$405,E988,'Istoric_Nativ'!$C$6:$C$405,F988,'Istoric_Nativ'!$E$6:$E$405,G988,'Istoric_Nativ'!$D$6:$D$405,"&lt;"&amp;J988,'Istoric_Nativ'!$P$6:$P$405,1,'Istoric_Nativ'!$D$6:$D$405,"&gt;="&amp;L988),IF(H988="AWAY",SUMIFS('Istoric_Nativ'!$G$6:$G$405,'Istoric_Nativ'!$B$6:$B$405,E988,'Istoric_Nativ'!$C$6:$C$405,F988,'Istoric_Nativ'!$F$6:$F$405,G988,'Istoric_Nativ'!$D$6:$D$405,"&lt;"&amp;J988,'Istoric_Nativ'!$P$6:$P$405,1,'Istoric_Nativ'!$D$6:$D$405,"&gt;="&amp;L988),SUMIFS('Istoric_Nativ'!$H$6:$H$405,'Istoric_Nativ'!$B$6:$B$405,E988,'Istoric_Nativ'!$C$6:$C$405,F988,'Istoric_Nativ'!$E$6:$E$405,G988,'Istoric_Nativ'!$D$6:$D$405,"&lt;"&amp;J988,'Istoric_Nativ'!$P$6:$P$405,1,'Istoric_Nativ'!$D$6:$D$405,"&gt;="&amp;L988)+SUMIFS('Istoric_Nativ'!$G$6:$G$405,'Istoric_Nativ'!$B$6:$B$405,E988,'Istoric_Nativ'!$C$6:$C$405,F988,'Istoric_Nativ'!$F$6:$F$405,G988,'Istoric_Nativ'!$D$6:$D$405,"&lt;"&amp;J988,'Istoric_Nativ'!$P$6:$P$405,1,'Istoric_Nativ'!$D$6:$D$405,"&gt;="&amp;L988)))/M988)</x:f>
      </x:c>
      <x:c r="P988" s="2" t="n">
        <x:f>'Config_v6'!$B$8</x:f>
        <x:v>5</x:v>
      </x:c>
      <x:c r="Q988" s="2" t="n">
        <x:f>IF(OR(B988="",F988=""),0,IFERROR(MATCH(E988&amp;"|"&amp;F988,SourceTable[Source_Key],0),0))</x:f>
        <x:v>0</x:v>
      </x:c>
      <x:c r="R988" s="2" t="str">
        <x:f>IF(B988="","",IF(F988="","UNUSED",IF(Q988=0,"NOT CHECKED",IF(COUNTIF(SourceTable[Source_Key],E988&amp;"|"&amp;F988)&lt;&gt;1,"SOURCE CONFLICT",IF(NOT(OR(INDEX(SourceTable[Status],MAX(1,Q988))="IMPORTED",INDEX(SourceTable[Status],MAX(1,Q988))="PARTIAL",INDEX(SourceTable[Status],MAX(1,Q988))="SOURCE CONFLICT")),"ACCESS BLOCKED",IF(OR(INDEX(SourceTable[Coverage],Q988)&lt;&gt;"FULL SEASON EXPORT",INDEX(SourceTable[URL],Q988)="",INDEX(SourceTable[SHA256],Q988)=""),"EVIDENCE INCOMPLETE",IF(AND('Input_Meci'!H87="LIVE",INDEX(SourceTable[Retrieved_UTC],Q988)&gt;'Input_Meci'!G87),"POST CUTOFF","CLOSED")))))))</x:f>
      </x:c>
      <x:c r="S988" s="2" t="n">
        <x:f>IF(OR(B988="",F988=""),0,COUNTIFS('Istoric_Nativ'!$B$6:$B$405,E988,'Istoric_Nativ'!$C$6:$C$405,F988,'Istoric_Nativ'!$E$6:$E$405,G988,'Istoric_Nativ'!$D$6:$D$405,"&lt;"&amp;J988,'Istoric_Nativ'!$O$6:$O$405,"INVALID")+COUNTIFS('Istoric_Nativ'!$B$6:$B$405,E988,'Istoric_Nativ'!$C$6:$C$405,F988,'Istoric_Nativ'!$E$6:$E$405,G988,'Istoric_Nativ'!$O$6:$O$405,"INVALID",'Istoric_Nativ'!$D$6:$D$405,"*")+COUNTIFS('Istoric_Nativ'!$B$6:$B$405,E988,'Istoric_Nativ'!$C$6:$C$405,F988,'Istoric_Nativ'!$E$6:$E$405,G988,'Istoric_Nativ'!$D$6:$D$405,"&lt;"&amp;J988,'Istoric_Nativ'!$O$6:$O$405,"SOURCE CONFLICT")+COUNTIFS('Istoric_Nativ'!$B$6:$B$405,E988,'Istoric_Nativ'!$C$6:$C$405,F988,'Istoric_Nativ'!$F$6:$F$405,G988,'Istoric_Nativ'!$D$6:$D$405,"&lt;"&amp;J988,'Istoric_Nativ'!$O$6:$O$405,"INVALID")+COUNTIFS('Istoric_Nativ'!$B$6:$B$405,E988,'Istoric_Nativ'!$C$6:$C$405,F988,'Istoric_Nativ'!$F$6:$F$405,G988,'Istoric_Nativ'!$O$6:$O$405,"INVALID",'Istoric_Nativ'!$D$6:$D$405,"*")+COUNTIFS('Istoric_Nativ'!$B$6:$B$405,E988,'Istoric_Nativ'!$C$6:$C$405,F988,'Istoric_Nativ'!$F$6:$F$405,G988,'Istoric_Nativ'!$D$6:$D$405,"&lt;"&amp;J988,'Istoric_Nativ'!$O$6:$O$405,"SOURCE CONFLICT"))</x:f>
        <x:v>0</x:v>
      </x:c>
      <x:c r="T988" s="2" t="str">
        <x:f>IF(B988="","",IF(R988&lt;&gt;"CLOSED",R988,IF(S988&gt;0,"NATIVE INPUT ISSUE",IF(M988=0,"NO HISTORY",IF(M988&lt;P988,"SMALL SAMPLE","DERIVED")))))</x:f>
      </x:c>
      <x:c r="U988" s="2" t="str">
        <x:f>IF(B988="","","NativeTable; "&amp;E988&amp;"; "&amp;F988&amp;"; "&amp;G988&amp;"; "&amp;H988&amp;"; before "&amp;TEXT(J988,"yyyy-mm-dd")&amp;IF(I988="RECENT","; from "&amp;TEXT(L988,"yyyy-mm-dd"),""))</x:f>
      </x:c>
    </x:row>
    <x:row r="989" ht="21" customHeight="1">
      <x:c r="A989" s="2" t="n">
        <x:v>82</x:v>
      </x:c>
      <x:c r="B989" s="2" t="str">
        <x:f>IF('Input_Meci'!A87="","",'Input_Meci'!A87)</x:f>
      </x:c>
      <x:c r="C989" s="2" t="str">
        <x:v>A</x:v>
      </x:c>
      <x:c r="D989" s="2" t="str">
        <x:v>PRIOR</x:v>
      </x:c>
      <x:c r="E989" s="2" t="str">
        <x:f>IF(B989="","",'Input_Meci'!B87)</x:f>
      </x:c>
      <x:c r="F989" s="2" t="str">
        <x:f>IF(B989="","",IF('Input_Meci'!K87="","",'Input_Meci'!K87))</x:f>
      </x:c>
      <x:c r="G989" s="2" t="str">
        <x:f>IF(B989="","",'Input_Meci'!E87)</x:f>
      </x:c>
      <x:c r="H989" s="2" t="str">
        <x:v>ANY</x:v>
      </x:c>
      <x:c r="I989" s="2" t="str">
        <x:v>RECENT</x:v>
      </x:c>
      <x:c r="J989" s="9" t="n">
        <x:f>IF(AND(B989&lt;&gt;"",ISNUMBER('Input_Meci'!G87)),INT('Input_Meci'!G87),0)</x:f>
        <x:v>0</x:v>
      </x:c>
      <x:c r="K989" s="2" t="n">
        <x:f>IF(OR(B989="",F989=""),0,IF(H989="HOME",COUNTIFS('Istoric_Nativ'!$B$6:$B$405,E989,'Istoric_Nativ'!$C$6:$C$405,F989,'Istoric_Nativ'!$E$6:$E$405,G989,'Istoric_Nativ'!$D$6:$D$405,"&lt;"&amp;J989,'Istoric_Nativ'!$P$6:$P$405,1),IF(H989="AWAY",COUNTIFS('Istoric_Nativ'!$B$6:$B$405,E989,'Istoric_Nativ'!$C$6:$C$405,F989,'Istoric_Nativ'!$F$6:$F$405,G989,'Istoric_Nativ'!$D$6:$D$405,"&lt;"&amp;J989,'Istoric_Nativ'!$P$6:$P$405,1),COUNTIFS('Istoric_Nativ'!$B$6:$B$405,E989,'Istoric_Nativ'!$C$6:$C$405,F989,'Istoric_Nativ'!$E$6:$E$405,G989,'Istoric_Nativ'!$D$6:$D$405,"&lt;"&amp;J989,'Istoric_Nativ'!$P$6:$P$405,1)+COUNTIFS('Istoric_Nativ'!$B$6:$B$405,E989,'Istoric_Nativ'!$C$6:$C$405,F989,'Istoric_Nativ'!$F$6:$F$405,G989,'Istoric_Nativ'!$D$6:$D$405,"&lt;"&amp;J989,'Istoric_Nativ'!$P$6:$P$405,1))))</x:f>
        <x:v>0</x:v>
      </x:c>
      <x:c r="L989" s="17" t="n">
        <x:f>IF(AND(B989&lt;&gt;"",I989="RECENT",K989&gt;0),LARGE(_xlfn._xlws.FILTER('Istoric_Nativ'!$D$6:$D$405,('Istoric_Nativ'!$B$6:$B$405=E989)*('Istoric_Nativ'!$C$6:$C$405=F989)*('Istoric_Nativ'!$P$6:$P$405=1)*('Istoric_Nativ'!$D$6:$D$405&lt;J989)*((('Istoric_Nativ'!$E$6:$E$405=G989)+('Istoric_Nativ'!$F$6:$F$405=G989))&gt;0)),MIN('Config_v6'!$B$54,K989)),0)</x:f>
        <x:v>0</x:v>
      </x:c>
      <x:c r="M989" s="2" t="n">
        <x:f>IF(OR(B989="",F989=""),0,IF(H989="HOME",COUNTIFS('Istoric_Nativ'!$B$6:$B$405,E989,'Istoric_Nativ'!$C$6:$C$405,F989,'Istoric_Nativ'!$E$6:$E$405,G989,'Istoric_Nativ'!$D$6:$D$405,"&lt;"&amp;J989,'Istoric_Nativ'!$P$6:$P$405,1,'Istoric_Nativ'!$D$6:$D$405,"&gt;="&amp;L989),IF(H989="AWAY",COUNTIFS('Istoric_Nativ'!$B$6:$B$405,E989,'Istoric_Nativ'!$C$6:$C$405,F989,'Istoric_Nativ'!$F$6:$F$405,G989,'Istoric_Nativ'!$D$6:$D$405,"&lt;"&amp;J989,'Istoric_Nativ'!$P$6:$P$405,1,'Istoric_Nativ'!$D$6:$D$405,"&gt;="&amp;L989),COUNTIFS('Istoric_Nativ'!$B$6:$B$405,E989,'Istoric_Nativ'!$C$6:$C$405,F989,'Istoric_Nativ'!$E$6:$E$405,G989,'Istoric_Nativ'!$D$6:$D$405,"&lt;"&amp;J989,'Istoric_Nativ'!$P$6:$P$405,1,'Istoric_Nativ'!$D$6:$D$405,"&gt;="&amp;L989)+COUNTIFS('Istoric_Nativ'!$B$6:$B$405,E989,'Istoric_Nativ'!$C$6:$C$405,F989,'Istoric_Nativ'!$F$6:$F$405,G989,'Istoric_Nativ'!$D$6:$D$405,"&lt;"&amp;J989,'Istoric_Nativ'!$P$6:$P$405,1,'Istoric_Nativ'!$D$6:$D$405,"&gt;="&amp;L989))))</x:f>
        <x:v>0</x:v>
      </x:c>
      <x:c r="N989" s="11" t="str">
        <x:f>IF(M989=0,"",IF(H989="HOME",SUMIFS('Istoric_Nativ'!$G$6:$G$405,'Istoric_Nativ'!$B$6:$B$405,E989,'Istoric_Nativ'!$C$6:$C$405,F989,'Istoric_Nativ'!$E$6:$E$405,G989,'Istoric_Nativ'!$D$6:$D$405,"&lt;"&amp;J989,'Istoric_Nativ'!$P$6:$P$405,1,'Istoric_Nativ'!$D$6:$D$405,"&gt;="&amp;L989),IF(H989="AWAY",SUMIFS('Istoric_Nativ'!$H$6:$H$405,'Istoric_Nativ'!$B$6:$B$405,E989,'Istoric_Nativ'!$C$6:$C$405,F989,'Istoric_Nativ'!$F$6:$F$405,G989,'Istoric_Nativ'!$D$6:$D$405,"&lt;"&amp;J989,'Istoric_Nativ'!$P$6:$P$405,1,'Istoric_Nativ'!$D$6:$D$405,"&gt;="&amp;L989),SUMIFS('Istoric_Nativ'!$G$6:$G$405,'Istoric_Nativ'!$B$6:$B$405,E989,'Istoric_Nativ'!$C$6:$C$405,F989,'Istoric_Nativ'!$E$6:$E$405,G989,'Istoric_Nativ'!$D$6:$D$405,"&lt;"&amp;J989,'Istoric_Nativ'!$P$6:$P$405,1,'Istoric_Nativ'!$D$6:$D$405,"&gt;="&amp;L989)+SUMIFS('Istoric_Nativ'!$H$6:$H$405,'Istoric_Nativ'!$B$6:$B$405,E989,'Istoric_Nativ'!$C$6:$C$405,F989,'Istoric_Nativ'!$F$6:$F$405,G989,'Istoric_Nativ'!$D$6:$D$405,"&lt;"&amp;J989,'Istoric_Nativ'!$P$6:$P$405,1,'Istoric_Nativ'!$D$6:$D$405,"&gt;="&amp;L989)))/M989)</x:f>
      </x:c>
      <x:c r="O989" s="11" t="str">
        <x:f>IF(M989=0,"",IF(H989="HOME",SUMIFS('Istoric_Nativ'!$H$6:$H$405,'Istoric_Nativ'!$B$6:$B$405,E989,'Istoric_Nativ'!$C$6:$C$405,F989,'Istoric_Nativ'!$E$6:$E$405,G989,'Istoric_Nativ'!$D$6:$D$405,"&lt;"&amp;J989,'Istoric_Nativ'!$P$6:$P$405,1,'Istoric_Nativ'!$D$6:$D$405,"&gt;="&amp;L989),IF(H989="AWAY",SUMIFS('Istoric_Nativ'!$G$6:$G$405,'Istoric_Nativ'!$B$6:$B$405,E989,'Istoric_Nativ'!$C$6:$C$405,F989,'Istoric_Nativ'!$F$6:$F$405,G989,'Istoric_Nativ'!$D$6:$D$405,"&lt;"&amp;J989,'Istoric_Nativ'!$P$6:$P$405,1,'Istoric_Nativ'!$D$6:$D$405,"&gt;="&amp;L989),SUMIFS('Istoric_Nativ'!$H$6:$H$405,'Istoric_Nativ'!$B$6:$B$405,E989,'Istoric_Nativ'!$C$6:$C$405,F989,'Istoric_Nativ'!$E$6:$E$405,G989,'Istoric_Nativ'!$D$6:$D$405,"&lt;"&amp;J989,'Istoric_Nativ'!$P$6:$P$405,1,'Istoric_Nativ'!$D$6:$D$405,"&gt;="&amp;L989)+SUMIFS('Istoric_Nativ'!$G$6:$G$405,'Istoric_Nativ'!$B$6:$B$405,E989,'Istoric_Nativ'!$C$6:$C$405,F989,'Istoric_Nativ'!$F$6:$F$405,G989,'Istoric_Nativ'!$D$6:$D$405,"&lt;"&amp;J989,'Istoric_Nativ'!$P$6:$P$405,1,'Istoric_Nativ'!$D$6:$D$405,"&gt;="&amp;L989)))/M989)</x:f>
      </x:c>
      <x:c r="P989" s="2" t="n">
        <x:f>'Config_v6'!$B$9</x:f>
        <x:v>3</x:v>
      </x:c>
      <x:c r="Q989" s="2" t="n">
        <x:f>IF(OR(B989="",F989=""),0,IFERROR(MATCH(E989&amp;"|"&amp;F989,SourceTable[Source_Key],0),0))</x:f>
        <x:v>0</x:v>
      </x:c>
      <x:c r="R989" s="2" t="str">
        <x:f>IF(B989="","",IF(F989="","UNUSED",IF(Q989=0,"NOT CHECKED",IF(COUNTIF(SourceTable[Source_Key],E989&amp;"|"&amp;F989)&lt;&gt;1,"SOURCE CONFLICT",IF(NOT(OR(INDEX(SourceTable[Status],MAX(1,Q989))="IMPORTED",INDEX(SourceTable[Status],MAX(1,Q989))="PARTIAL",INDEX(SourceTable[Status],MAX(1,Q989))="SOURCE CONFLICT")),"ACCESS BLOCKED",IF(OR(INDEX(SourceTable[Coverage],Q989)&lt;&gt;"FULL SEASON EXPORT",INDEX(SourceTable[URL],Q989)="",INDEX(SourceTable[SHA256],Q989)=""),"EVIDENCE INCOMPLETE",IF(AND('Input_Meci'!H87="LIVE",INDEX(SourceTable[Retrieved_UTC],Q989)&gt;'Input_Meci'!G87),"POST CUTOFF","CLOSED")))))))</x:f>
      </x:c>
      <x:c r="S989" s="2" t="n">
        <x:f>IF(OR(B989="",F989=""),0,COUNTIFS('Istoric_Nativ'!$B$6:$B$405,E989,'Istoric_Nativ'!$C$6:$C$405,F989,'Istoric_Nativ'!$E$6:$E$405,G989,'Istoric_Nativ'!$D$6:$D$405,"&lt;"&amp;J989,'Istoric_Nativ'!$O$6:$O$405,"INVALID")+COUNTIFS('Istoric_Nativ'!$B$6:$B$405,E989,'Istoric_Nativ'!$C$6:$C$405,F989,'Istoric_Nativ'!$E$6:$E$405,G989,'Istoric_Nativ'!$O$6:$O$405,"INVALID",'Istoric_Nativ'!$D$6:$D$405,"*")+COUNTIFS('Istoric_Nativ'!$B$6:$B$405,E989,'Istoric_Nativ'!$C$6:$C$405,F989,'Istoric_Nativ'!$E$6:$E$405,G989,'Istoric_Nativ'!$D$6:$D$405,"&lt;"&amp;J989,'Istoric_Nativ'!$O$6:$O$405,"SOURCE CONFLICT")+COUNTIFS('Istoric_Nativ'!$B$6:$B$405,E989,'Istoric_Nativ'!$C$6:$C$405,F989,'Istoric_Nativ'!$F$6:$F$405,G989,'Istoric_Nativ'!$D$6:$D$405,"&lt;"&amp;J989,'Istoric_Nativ'!$O$6:$O$405,"INVALID")+COUNTIFS('Istoric_Nativ'!$B$6:$B$405,E989,'Istoric_Nativ'!$C$6:$C$405,F989,'Istoric_Nativ'!$F$6:$F$405,G989,'Istoric_Nativ'!$O$6:$O$405,"INVALID",'Istoric_Nativ'!$D$6:$D$405,"*")+COUNTIFS('Istoric_Nativ'!$B$6:$B$405,E989,'Istoric_Nativ'!$C$6:$C$405,F989,'Istoric_Nativ'!$F$6:$F$405,G989,'Istoric_Nativ'!$D$6:$D$405,"&lt;"&amp;J989,'Istoric_Nativ'!$O$6:$O$405,"SOURCE CONFLICT"))</x:f>
        <x:v>0</x:v>
      </x:c>
      <x:c r="T989" s="2" t="str">
        <x:f>IF(B989="","",IF(R989&lt;&gt;"CLOSED",R989,IF(S989&gt;0,"NATIVE INPUT ISSUE",IF(M989=0,"NO HISTORY",IF(M989&lt;P989,"SMALL SAMPLE","DERIVED")))))</x:f>
      </x:c>
      <x:c r="U989" s="2" t="str">
        <x:f>IF(B989="","","NativeTable; "&amp;E989&amp;"; "&amp;F989&amp;"; "&amp;G989&amp;"; "&amp;H989&amp;"; before "&amp;TEXT(J989,"yyyy-mm-dd")&amp;IF(I989="RECENT","; from "&amp;TEXT(L989,"yyyy-mm-dd"),""))</x:f>
      </x:c>
    </x:row>
    <x:row r="990" ht="21" customHeight="1">
      <x:c r="A990" s="2" t="n">
        <x:v>83</x:v>
      </x:c>
      <x:c r="B990" s="2" t="str">
        <x:f>IF('Input_Meci'!A88="","",'Input_Meci'!A88)</x:f>
      </x:c>
      <x:c r="C990" s="2" t="str">
        <x:v>H</x:v>
      </x:c>
      <x:c r="D990" s="2" t="str">
        <x:v>CURRENT</x:v>
      </x:c>
      <x:c r="E990" s="2" t="str">
        <x:f>IF(B990="","",'Input_Meci'!B88)</x:f>
      </x:c>
      <x:c r="F990" s="2" t="str">
        <x:f>IF(B990="","",IF('Input_Meci'!C88="","",'Input_Meci'!C88))</x:f>
      </x:c>
      <x:c r="G990" s="2" t="str">
        <x:f>IF(B990="","",'Input_Meci'!D88)</x:f>
      </x:c>
      <x:c r="H990" s="2" t="str">
        <x:v>ANY</x:v>
      </x:c>
      <x:c r="I990" s="2" t="str">
        <x:v>SEASON</x:v>
      </x:c>
      <x:c r="J990" s="9" t="n">
        <x:f>IF(AND(B990&lt;&gt;"",ISNUMBER('Input_Meci'!G88)),INT('Input_Meci'!G88),0)</x:f>
        <x:v>0</x:v>
      </x:c>
      <x:c r="K990" s="2" t="n">
        <x:f>IF(OR(B990="",F990=""),0,IF(H990="HOME",COUNTIFS('Istoric_Nativ'!$B$6:$B$405,E990,'Istoric_Nativ'!$C$6:$C$405,F990,'Istoric_Nativ'!$E$6:$E$405,G990,'Istoric_Nativ'!$D$6:$D$405,"&lt;"&amp;J990,'Istoric_Nativ'!$P$6:$P$405,1),IF(H990="AWAY",COUNTIFS('Istoric_Nativ'!$B$6:$B$405,E990,'Istoric_Nativ'!$C$6:$C$405,F990,'Istoric_Nativ'!$F$6:$F$405,G990,'Istoric_Nativ'!$D$6:$D$405,"&lt;"&amp;J990,'Istoric_Nativ'!$P$6:$P$405,1),COUNTIFS('Istoric_Nativ'!$B$6:$B$405,E990,'Istoric_Nativ'!$C$6:$C$405,F990,'Istoric_Nativ'!$E$6:$E$405,G990,'Istoric_Nativ'!$D$6:$D$405,"&lt;"&amp;J990,'Istoric_Nativ'!$P$6:$P$405,1)+COUNTIFS('Istoric_Nativ'!$B$6:$B$405,E990,'Istoric_Nativ'!$C$6:$C$405,F990,'Istoric_Nativ'!$F$6:$F$405,G990,'Istoric_Nativ'!$D$6:$D$405,"&lt;"&amp;J990,'Istoric_Nativ'!$P$6:$P$405,1))))</x:f>
        <x:v>0</x:v>
      </x:c>
      <x:c r="L990" s="17" t="n">
        <x:f>IF(AND(B990&lt;&gt;"",I990="RECENT",K990&gt;0),LARGE(_xlfn._xlws.FILTER('Istoric_Nativ'!$D$6:$D$405,('Istoric_Nativ'!$B$6:$B$405=E990)*('Istoric_Nativ'!$C$6:$C$405=F990)*('Istoric_Nativ'!$P$6:$P$405=1)*('Istoric_Nativ'!$D$6:$D$405&lt;J990)*((('Istoric_Nativ'!$E$6:$E$405=G990)+('Istoric_Nativ'!$F$6:$F$405=G990))&gt;0)),MIN('Config_v6'!$B$54,K990)),0)</x:f>
        <x:v>0</x:v>
      </x:c>
      <x:c r="M990" s="2" t="n">
        <x:f>IF(OR(B990="",F990=""),0,IF(H990="HOME",COUNTIFS('Istoric_Nativ'!$B$6:$B$405,E990,'Istoric_Nativ'!$C$6:$C$405,F990,'Istoric_Nativ'!$E$6:$E$405,G990,'Istoric_Nativ'!$D$6:$D$405,"&lt;"&amp;J990,'Istoric_Nativ'!$P$6:$P$405,1,'Istoric_Nativ'!$D$6:$D$405,"&gt;="&amp;L990),IF(H990="AWAY",COUNTIFS('Istoric_Nativ'!$B$6:$B$405,E990,'Istoric_Nativ'!$C$6:$C$405,F990,'Istoric_Nativ'!$F$6:$F$405,G990,'Istoric_Nativ'!$D$6:$D$405,"&lt;"&amp;J990,'Istoric_Nativ'!$P$6:$P$405,1,'Istoric_Nativ'!$D$6:$D$405,"&gt;="&amp;L990),COUNTIFS('Istoric_Nativ'!$B$6:$B$405,E990,'Istoric_Nativ'!$C$6:$C$405,F990,'Istoric_Nativ'!$E$6:$E$405,G990,'Istoric_Nativ'!$D$6:$D$405,"&lt;"&amp;J990,'Istoric_Nativ'!$P$6:$P$405,1,'Istoric_Nativ'!$D$6:$D$405,"&gt;="&amp;L990)+COUNTIFS('Istoric_Nativ'!$B$6:$B$405,E990,'Istoric_Nativ'!$C$6:$C$405,F990,'Istoric_Nativ'!$F$6:$F$405,G990,'Istoric_Nativ'!$D$6:$D$405,"&lt;"&amp;J990,'Istoric_Nativ'!$P$6:$P$405,1,'Istoric_Nativ'!$D$6:$D$405,"&gt;="&amp;L990))))</x:f>
        <x:v>0</x:v>
      </x:c>
      <x:c r="N990" s="11" t="str">
        <x:f>IF(M990=0,"",IF(H990="HOME",SUMIFS('Istoric_Nativ'!$G$6:$G$405,'Istoric_Nativ'!$B$6:$B$405,E990,'Istoric_Nativ'!$C$6:$C$405,F990,'Istoric_Nativ'!$E$6:$E$405,G990,'Istoric_Nativ'!$D$6:$D$405,"&lt;"&amp;J990,'Istoric_Nativ'!$P$6:$P$405,1,'Istoric_Nativ'!$D$6:$D$405,"&gt;="&amp;L990),IF(H990="AWAY",SUMIFS('Istoric_Nativ'!$H$6:$H$405,'Istoric_Nativ'!$B$6:$B$405,E990,'Istoric_Nativ'!$C$6:$C$405,F990,'Istoric_Nativ'!$F$6:$F$405,G990,'Istoric_Nativ'!$D$6:$D$405,"&lt;"&amp;J990,'Istoric_Nativ'!$P$6:$P$405,1,'Istoric_Nativ'!$D$6:$D$405,"&gt;="&amp;L990),SUMIFS('Istoric_Nativ'!$G$6:$G$405,'Istoric_Nativ'!$B$6:$B$405,E990,'Istoric_Nativ'!$C$6:$C$405,F990,'Istoric_Nativ'!$E$6:$E$405,G990,'Istoric_Nativ'!$D$6:$D$405,"&lt;"&amp;J990,'Istoric_Nativ'!$P$6:$P$405,1,'Istoric_Nativ'!$D$6:$D$405,"&gt;="&amp;L990)+SUMIFS('Istoric_Nativ'!$H$6:$H$405,'Istoric_Nativ'!$B$6:$B$405,E990,'Istoric_Nativ'!$C$6:$C$405,F990,'Istoric_Nativ'!$F$6:$F$405,G990,'Istoric_Nativ'!$D$6:$D$405,"&lt;"&amp;J990,'Istoric_Nativ'!$P$6:$P$405,1,'Istoric_Nativ'!$D$6:$D$405,"&gt;="&amp;L990)))/M990)</x:f>
      </x:c>
      <x:c r="O990" s="11" t="str">
        <x:f>IF(M990=0,"",IF(H990="HOME",SUMIFS('Istoric_Nativ'!$H$6:$H$405,'Istoric_Nativ'!$B$6:$B$405,E990,'Istoric_Nativ'!$C$6:$C$405,F990,'Istoric_Nativ'!$E$6:$E$405,G990,'Istoric_Nativ'!$D$6:$D$405,"&lt;"&amp;J990,'Istoric_Nativ'!$P$6:$P$405,1,'Istoric_Nativ'!$D$6:$D$405,"&gt;="&amp;L990),IF(H990="AWAY",SUMIFS('Istoric_Nativ'!$G$6:$G$405,'Istoric_Nativ'!$B$6:$B$405,E990,'Istoric_Nativ'!$C$6:$C$405,F990,'Istoric_Nativ'!$F$6:$F$405,G990,'Istoric_Nativ'!$D$6:$D$405,"&lt;"&amp;J990,'Istoric_Nativ'!$P$6:$P$405,1,'Istoric_Nativ'!$D$6:$D$405,"&gt;="&amp;L990),SUMIFS('Istoric_Nativ'!$H$6:$H$405,'Istoric_Nativ'!$B$6:$B$405,E990,'Istoric_Nativ'!$C$6:$C$405,F990,'Istoric_Nativ'!$E$6:$E$405,G990,'Istoric_Nativ'!$D$6:$D$405,"&lt;"&amp;J990,'Istoric_Nativ'!$P$6:$P$405,1,'Istoric_Nativ'!$D$6:$D$405,"&gt;="&amp;L990)+SUMIFS('Istoric_Nativ'!$G$6:$G$405,'Istoric_Nativ'!$B$6:$B$405,E990,'Istoric_Nativ'!$C$6:$C$405,F990,'Istoric_Nativ'!$F$6:$F$405,G990,'Istoric_Nativ'!$D$6:$D$405,"&lt;"&amp;J990,'Istoric_Nativ'!$P$6:$P$405,1,'Istoric_Nativ'!$D$6:$D$405,"&gt;="&amp;L990)))/M990)</x:f>
      </x:c>
      <x:c r="P990" s="2" t="n">
        <x:f>'Config_v6'!$B$7</x:f>
        <x:v>10</x:v>
      </x:c>
      <x:c r="Q990" s="2" t="n">
        <x:f>IF(OR(B990="",F990=""),0,IFERROR(MATCH(E990&amp;"|"&amp;F990,SourceTable[Source_Key],0),0))</x:f>
        <x:v>0</x:v>
      </x:c>
      <x:c r="R990" s="2" t="str">
        <x:f>IF(B990="","",IF(F990="","UNUSED",IF(Q990=0,"NOT CHECKED",IF(COUNTIF(SourceTable[Source_Key],E990&amp;"|"&amp;F990)&lt;&gt;1,"SOURCE CONFLICT",IF(NOT(OR(INDEX(SourceTable[Status],MAX(1,Q990))="IMPORTED",INDEX(SourceTable[Status],MAX(1,Q990))="PARTIAL",INDEX(SourceTable[Status],MAX(1,Q990))="SOURCE CONFLICT")),"ACCESS BLOCKED",IF(OR(INDEX(SourceTable[Coverage],Q990)&lt;&gt;"FULL SEASON EXPORT",INDEX(SourceTable[URL],Q990)="",INDEX(SourceTable[SHA256],Q990)=""),"EVIDENCE INCOMPLETE",IF(AND('Input_Meci'!H88="LIVE",INDEX(SourceTable[Retrieved_UTC],Q990)&gt;'Input_Meci'!G88),"POST CUTOFF","CLOSED")))))))</x:f>
      </x:c>
      <x:c r="S990" s="2" t="n">
        <x:f>IF(OR(B990="",F990=""),0,COUNTIFS('Istoric_Nativ'!$B$6:$B$405,E990,'Istoric_Nativ'!$C$6:$C$405,F990,'Istoric_Nativ'!$E$6:$E$405,G990,'Istoric_Nativ'!$D$6:$D$405,"&lt;"&amp;J990,'Istoric_Nativ'!$O$6:$O$405,"INVALID")+COUNTIFS('Istoric_Nativ'!$B$6:$B$405,E990,'Istoric_Nativ'!$C$6:$C$405,F990,'Istoric_Nativ'!$E$6:$E$405,G990,'Istoric_Nativ'!$O$6:$O$405,"INVALID",'Istoric_Nativ'!$D$6:$D$405,"*")+COUNTIFS('Istoric_Nativ'!$B$6:$B$405,E990,'Istoric_Nativ'!$C$6:$C$405,F990,'Istoric_Nativ'!$E$6:$E$405,G990,'Istoric_Nativ'!$D$6:$D$405,"&lt;"&amp;J990,'Istoric_Nativ'!$O$6:$O$405,"SOURCE CONFLICT")+COUNTIFS('Istoric_Nativ'!$B$6:$B$405,E990,'Istoric_Nativ'!$C$6:$C$405,F990,'Istoric_Nativ'!$F$6:$F$405,G990,'Istoric_Nativ'!$D$6:$D$405,"&lt;"&amp;J990,'Istoric_Nativ'!$O$6:$O$405,"INVALID")+COUNTIFS('Istoric_Nativ'!$B$6:$B$405,E990,'Istoric_Nativ'!$C$6:$C$405,F990,'Istoric_Nativ'!$F$6:$F$405,G990,'Istoric_Nativ'!$O$6:$O$405,"INVALID",'Istoric_Nativ'!$D$6:$D$405,"*")+COUNTIFS('Istoric_Nativ'!$B$6:$B$405,E990,'Istoric_Nativ'!$C$6:$C$405,F990,'Istoric_Nativ'!$F$6:$F$405,G990,'Istoric_Nativ'!$D$6:$D$405,"&lt;"&amp;J990,'Istoric_Nativ'!$O$6:$O$405,"SOURCE CONFLICT"))</x:f>
        <x:v>0</x:v>
      </x:c>
      <x:c r="T990" s="2" t="str">
        <x:f>IF(B990="","",IF(R990&lt;&gt;"CLOSED",R990,IF(S990&gt;0,"NATIVE INPUT ISSUE",IF(M990=0,"NO HISTORY",IF(M990&lt;P990,"SMALL SAMPLE","DERIVED")))))</x:f>
      </x:c>
      <x:c r="U990" s="2" t="str">
        <x:f>IF(B990="","","NativeTable; "&amp;E990&amp;"; "&amp;F990&amp;"; "&amp;G990&amp;"; "&amp;H990&amp;"; before "&amp;TEXT(J990,"yyyy-mm-dd")&amp;IF(I990="RECENT","; from "&amp;TEXT(L990,"yyyy-mm-dd"),""))</x:f>
      </x:c>
    </x:row>
    <x:row r="991" ht="21" customHeight="1">
      <x:c r="A991" s="2" t="n">
        <x:v>83</x:v>
      </x:c>
      <x:c r="B991" s="2" t="str">
        <x:f>IF('Input_Meci'!A88="","",'Input_Meci'!A88)</x:f>
      </x:c>
      <x:c r="C991" s="2" t="str">
        <x:v>H</x:v>
      </x:c>
      <x:c r="D991" s="2" t="str">
        <x:v>CURRENT</x:v>
      </x:c>
      <x:c r="E991" s="2" t="str">
        <x:f>IF(B991="","",'Input_Meci'!B88)</x:f>
      </x:c>
      <x:c r="F991" s="2" t="str">
        <x:f>IF(B991="","",IF('Input_Meci'!C88="","",'Input_Meci'!C88))</x:f>
      </x:c>
      <x:c r="G991" s="2" t="str">
        <x:f>IF(B991="","",'Input_Meci'!D88)</x:f>
      </x:c>
      <x:c r="H991" s="2" t="str">
        <x:v>HOME</x:v>
      </x:c>
      <x:c r="I991" s="2" t="str">
        <x:v>HA</x:v>
      </x:c>
      <x:c r="J991" s="9" t="n">
        <x:f>IF(AND(B991&lt;&gt;"",ISNUMBER('Input_Meci'!G88)),INT('Input_Meci'!G88),0)</x:f>
        <x:v>0</x:v>
      </x:c>
      <x:c r="K991" s="2" t="n">
        <x:f>IF(OR(B991="",F991=""),0,IF(H991="HOME",COUNTIFS('Istoric_Nativ'!$B$6:$B$405,E991,'Istoric_Nativ'!$C$6:$C$405,F991,'Istoric_Nativ'!$E$6:$E$405,G991,'Istoric_Nativ'!$D$6:$D$405,"&lt;"&amp;J991,'Istoric_Nativ'!$P$6:$P$405,1),IF(H991="AWAY",COUNTIFS('Istoric_Nativ'!$B$6:$B$405,E991,'Istoric_Nativ'!$C$6:$C$405,F991,'Istoric_Nativ'!$F$6:$F$405,G991,'Istoric_Nativ'!$D$6:$D$405,"&lt;"&amp;J991,'Istoric_Nativ'!$P$6:$P$405,1),COUNTIFS('Istoric_Nativ'!$B$6:$B$405,E991,'Istoric_Nativ'!$C$6:$C$405,F991,'Istoric_Nativ'!$E$6:$E$405,G991,'Istoric_Nativ'!$D$6:$D$405,"&lt;"&amp;J991,'Istoric_Nativ'!$P$6:$P$405,1)+COUNTIFS('Istoric_Nativ'!$B$6:$B$405,E991,'Istoric_Nativ'!$C$6:$C$405,F991,'Istoric_Nativ'!$F$6:$F$405,G991,'Istoric_Nativ'!$D$6:$D$405,"&lt;"&amp;J991,'Istoric_Nativ'!$P$6:$P$405,1))))</x:f>
        <x:v>0</x:v>
      </x:c>
      <x:c r="L991" s="17" t="n">
        <x:f>IF(AND(B991&lt;&gt;"",I991="RECENT",K991&gt;0),LARGE(_xlfn._xlws.FILTER('Istoric_Nativ'!$D$6:$D$405,('Istoric_Nativ'!$B$6:$B$405=E991)*('Istoric_Nativ'!$C$6:$C$405=F991)*('Istoric_Nativ'!$P$6:$P$405=1)*('Istoric_Nativ'!$D$6:$D$405&lt;J991)*((('Istoric_Nativ'!$E$6:$E$405=G991)+('Istoric_Nativ'!$F$6:$F$405=G991))&gt;0)),MIN('Config_v6'!$B$54,K991)),0)</x:f>
        <x:v>0</x:v>
      </x:c>
      <x:c r="M991" s="2" t="n">
        <x:f>IF(OR(B991="",F991=""),0,IF(H991="HOME",COUNTIFS('Istoric_Nativ'!$B$6:$B$405,E991,'Istoric_Nativ'!$C$6:$C$405,F991,'Istoric_Nativ'!$E$6:$E$405,G991,'Istoric_Nativ'!$D$6:$D$405,"&lt;"&amp;J991,'Istoric_Nativ'!$P$6:$P$405,1,'Istoric_Nativ'!$D$6:$D$405,"&gt;="&amp;L991),IF(H991="AWAY",COUNTIFS('Istoric_Nativ'!$B$6:$B$405,E991,'Istoric_Nativ'!$C$6:$C$405,F991,'Istoric_Nativ'!$F$6:$F$405,G991,'Istoric_Nativ'!$D$6:$D$405,"&lt;"&amp;J991,'Istoric_Nativ'!$P$6:$P$405,1,'Istoric_Nativ'!$D$6:$D$405,"&gt;="&amp;L991),COUNTIFS('Istoric_Nativ'!$B$6:$B$405,E991,'Istoric_Nativ'!$C$6:$C$405,F991,'Istoric_Nativ'!$E$6:$E$405,G991,'Istoric_Nativ'!$D$6:$D$405,"&lt;"&amp;J991,'Istoric_Nativ'!$P$6:$P$405,1,'Istoric_Nativ'!$D$6:$D$405,"&gt;="&amp;L991)+COUNTIFS('Istoric_Nativ'!$B$6:$B$405,E991,'Istoric_Nativ'!$C$6:$C$405,F991,'Istoric_Nativ'!$F$6:$F$405,G991,'Istoric_Nativ'!$D$6:$D$405,"&lt;"&amp;J991,'Istoric_Nativ'!$P$6:$P$405,1,'Istoric_Nativ'!$D$6:$D$405,"&gt;="&amp;L991))))</x:f>
        <x:v>0</x:v>
      </x:c>
      <x:c r="N991" s="11" t="str">
        <x:f>IF(M991=0,"",IF(H991="HOME",SUMIFS('Istoric_Nativ'!$G$6:$G$405,'Istoric_Nativ'!$B$6:$B$405,E991,'Istoric_Nativ'!$C$6:$C$405,F991,'Istoric_Nativ'!$E$6:$E$405,G991,'Istoric_Nativ'!$D$6:$D$405,"&lt;"&amp;J991,'Istoric_Nativ'!$P$6:$P$405,1,'Istoric_Nativ'!$D$6:$D$405,"&gt;="&amp;L991),IF(H991="AWAY",SUMIFS('Istoric_Nativ'!$H$6:$H$405,'Istoric_Nativ'!$B$6:$B$405,E991,'Istoric_Nativ'!$C$6:$C$405,F991,'Istoric_Nativ'!$F$6:$F$405,G991,'Istoric_Nativ'!$D$6:$D$405,"&lt;"&amp;J991,'Istoric_Nativ'!$P$6:$P$405,1,'Istoric_Nativ'!$D$6:$D$405,"&gt;="&amp;L991),SUMIFS('Istoric_Nativ'!$G$6:$G$405,'Istoric_Nativ'!$B$6:$B$405,E991,'Istoric_Nativ'!$C$6:$C$405,F991,'Istoric_Nativ'!$E$6:$E$405,G991,'Istoric_Nativ'!$D$6:$D$405,"&lt;"&amp;J991,'Istoric_Nativ'!$P$6:$P$405,1,'Istoric_Nativ'!$D$6:$D$405,"&gt;="&amp;L991)+SUMIFS('Istoric_Nativ'!$H$6:$H$405,'Istoric_Nativ'!$B$6:$B$405,E991,'Istoric_Nativ'!$C$6:$C$405,F991,'Istoric_Nativ'!$F$6:$F$405,G991,'Istoric_Nativ'!$D$6:$D$405,"&lt;"&amp;J991,'Istoric_Nativ'!$P$6:$P$405,1,'Istoric_Nativ'!$D$6:$D$405,"&gt;="&amp;L991)))/M991)</x:f>
      </x:c>
      <x:c r="O991" s="11" t="str">
        <x:f>IF(M991=0,"",IF(H991="HOME",SUMIFS('Istoric_Nativ'!$H$6:$H$405,'Istoric_Nativ'!$B$6:$B$405,E991,'Istoric_Nativ'!$C$6:$C$405,F991,'Istoric_Nativ'!$E$6:$E$405,G991,'Istoric_Nativ'!$D$6:$D$405,"&lt;"&amp;J991,'Istoric_Nativ'!$P$6:$P$405,1,'Istoric_Nativ'!$D$6:$D$405,"&gt;="&amp;L991),IF(H991="AWAY",SUMIFS('Istoric_Nativ'!$G$6:$G$405,'Istoric_Nativ'!$B$6:$B$405,E991,'Istoric_Nativ'!$C$6:$C$405,F991,'Istoric_Nativ'!$F$6:$F$405,G991,'Istoric_Nativ'!$D$6:$D$405,"&lt;"&amp;J991,'Istoric_Nativ'!$P$6:$P$405,1,'Istoric_Nativ'!$D$6:$D$405,"&gt;="&amp;L991),SUMIFS('Istoric_Nativ'!$H$6:$H$405,'Istoric_Nativ'!$B$6:$B$405,E991,'Istoric_Nativ'!$C$6:$C$405,F991,'Istoric_Nativ'!$E$6:$E$405,G991,'Istoric_Nativ'!$D$6:$D$405,"&lt;"&amp;J991,'Istoric_Nativ'!$P$6:$P$405,1,'Istoric_Nativ'!$D$6:$D$405,"&gt;="&amp;L991)+SUMIFS('Istoric_Nativ'!$G$6:$G$405,'Istoric_Nativ'!$B$6:$B$405,E991,'Istoric_Nativ'!$C$6:$C$405,F991,'Istoric_Nativ'!$F$6:$F$405,G991,'Istoric_Nativ'!$D$6:$D$405,"&lt;"&amp;J991,'Istoric_Nativ'!$P$6:$P$405,1,'Istoric_Nativ'!$D$6:$D$405,"&gt;="&amp;L991)))/M991)</x:f>
      </x:c>
      <x:c r="P991" s="2" t="n">
        <x:f>'Config_v6'!$B$8</x:f>
        <x:v>5</x:v>
      </x:c>
      <x:c r="Q991" s="2" t="n">
        <x:f>IF(OR(B991="",F991=""),0,IFERROR(MATCH(E991&amp;"|"&amp;F991,SourceTable[Source_Key],0),0))</x:f>
        <x:v>0</x:v>
      </x:c>
      <x:c r="R991" s="2" t="str">
        <x:f>IF(B991="","",IF(F991="","UNUSED",IF(Q991=0,"NOT CHECKED",IF(COUNTIF(SourceTable[Source_Key],E991&amp;"|"&amp;F991)&lt;&gt;1,"SOURCE CONFLICT",IF(NOT(OR(INDEX(SourceTable[Status],MAX(1,Q991))="IMPORTED",INDEX(SourceTable[Status],MAX(1,Q991))="PARTIAL",INDEX(SourceTable[Status],MAX(1,Q991))="SOURCE CONFLICT")),"ACCESS BLOCKED",IF(OR(INDEX(SourceTable[Coverage],Q991)&lt;&gt;"FULL SEASON EXPORT",INDEX(SourceTable[URL],Q991)="",INDEX(SourceTable[SHA256],Q991)=""),"EVIDENCE INCOMPLETE",IF(AND('Input_Meci'!H88="LIVE",INDEX(SourceTable[Retrieved_UTC],Q991)&gt;'Input_Meci'!G88),"POST CUTOFF","CLOSED")))))))</x:f>
      </x:c>
      <x:c r="S991" s="2" t="n">
        <x:f>IF(OR(B991="",F991=""),0,COUNTIFS('Istoric_Nativ'!$B$6:$B$405,E991,'Istoric_Nativ'!$C$6:$C$405,F991,'Istoric_Nativ'!$E$6:$E$405,G991,'Istoric_Nativ'!$D$6:$D$405,"&lt;"&amp;J991,'Istoric_Nativ'!$O$6:$O$405,"INVALID")+COUNTIFS('Istoric_Nativ'!$B$6:$B$405,E991,'Istoric_Nativ'!$C$6:$C$405,F991,'Istoric_Nativ'!$E$6:$E$405,G991,'Istoric_Nativ'!$O$6:$O$405,"INVALID",'Istoric_Nativ'!$D$6:$D$405,"*")+COUNTIFS('Istoric_Nativ'!$B$6:$B$405,E991,'Istoric_Nativ'!$C$6:$C$405,F991,'Istoric_Nativ'!$E$6:$E$405,G991,'Istoric_Nativ'!$D$6:$D$405,"&lt;"&amp;J991,'Istoric_Nativ'!$O$6:$O$405,"SOURCE CONFLICT")+COUNTIFS('Istoric_Nativ'!$B$6:$B$405,E991,'Istoric_Nativ'!$C$6:$C$405,F991,'Istoric_Nativ'!$F$6:$F$405,G991,'Istoric_Nativ'!$D$6:$D$405,"&lt;"&amp;J991,'Istoric_Nativ'!$O$6:$O$405,"INVALID")+COUNTIFS('Istoric_Nativ'!$B$6:$B$405,E991,'Istoric_Nativ'!$C$6:$C$405,F991,'Istoric_Nativ'!$F$6:$F$405,G991,'Istoric_Nativ'!$O$6:$O$405,"INVALID",'Istoric_Nativ'!$D$6:$D$405,"*")+COUNTIFS('Istoric_Nativ'!$B$6:$B$405,E991,'Istoric_Nativ'!$C$6:$C$405,F991,'Istoric_Nativ'!$F$6:$F$405,G991,'Istoric_Nativ'!$D$6:$D$405,"&lt;"&amp;J991,'Istoric_Nativ'!$O$6:$O$405,"SOURCE CONFLICT"))</x:f>
        <x:v>0</x:v>
      </x:c>
      <x:c r="T991" s="2" t="str">
        <x:f>IF(B991="","",IF(R991&lt;&gt;"CLOSED",R991,IF(S991&gt;0,"NATIVE INPUT ISSUE",IF(M991=0,"NO HISTORY",IF(M991&lt;P991,"SMALL SAMPLE","DERIVED")))))</x:f>
      </x:c>
      <x:c r="U991" s="2" t="str">
        <x:f>IF(B991="","","NativeTable; "&amp;E991&amp;"; "&amp;F991&amp;"; "&amp;G991&amp;"; "&amp;H991&amp;"; before "&amp;TEXT(J991,"yyyy-mm-dd")&amp;IF(I991="RECENT","; from "&amp;TEXT(L991,"yyyy-mm-dd"),""))</x:f>
      </x:c>
    </x:row>
    <x:row r="992" ht="21" customHeight="1">
      <x:c r="A992" s="2" t="n">
        <x:v>83</x:v>
      </x:c>
      <x:c r="B992" s="2" t="str">
        <x:f>IF('Input_Meci'!A88="","",'Input_Meci'!A88)</x:f>
      </x:c>
      <x:c r="C992" s="2" t="str">
        <x:v>H</x:v>
      </x:c>
      <x:c r="D992" s="2" t="str">
        <x:v>CURRENT</x:v>
      </x:c>
      <x:c r="E992" s="2" t="str">
        <x:f>IF(B992="","",'Input_Meci'!B88)</x:f>
      </x:c>
      <x:c r="F992" s="2" t="str">
        <x:f>IF(B992="","",IF('Input_Meci'!C88="","",'Input_Meci'!C88))</x:f>
      </x:c>
      <x:c r="G992" s="2" t="str">
        <x:f>IF(B992="","",'Input_Meci'!D88)</x:f>
      </x:c>
      <x:c r="H992" s="2" t="str">
        <x:v>ANY</x:v>
      </x:c>
      <x:c r="I992" s="2" t="str">
        <x:v>RECENT</x:v>
      </x:c>
      <x:c r="J992" s="9" t="n">
        <x:f>IF(AND(B992&lt;&gt;"",ISNUMBER('Input_Meci'!G88)),INT('Input_Meci'!G88),0)</x:f>
        <x:v>0</x:v>
      </x:c>
      <x:c r="K992" s="2" t="n">
        <x:f>IF(OR(B992="",F992=""),0,IF(H992="HOME",COUNTIFS('Istoric_Nativ'!$B$6:$B$405,E992,'Istoric_Nativ'!$C$6:$C$405,F992,'Istoric_Nativ'!$E$6:$E$405,G992,'Istoric_Nativ'!$D$6:$D$405,"&lt;"&amp;J992,'Istoric_Nativ'!$P$6:$P$405,1),IF(H992="AWAY",COUNTIFS('Istoric_Nativ'!$B$6:$B$405,E992,'Istoric_Nativ'!$C$6:$C$405,F992,'Istoric_Nativ'!$F$6:$F$405,G992,'Istoric_Nativ'!$D$6:$D$405,"&lt;"&amp;J992,'Istoric_Nativ'!$P$6:$P$405,1),COUNTIFS('Istoric_Nativ'!$B$6:$B$405,E992,'Istoric_Nativ'!$C$6:$C$405,F992,'Istoric_Nativ'!$E$6:$E$405,G992,'Istoric_Nativ'!$D$6:$D$405,"&lt;"&amp;J992,'Istoric_Nativ'!$P$6:$P$405,1)+COUNTIFS('Istoric_Nativ'!$B$6:$B$405,E992,'Istoric_Nativ'!$C$6:$C$405,F992,'Istoric_Nativ'!$F$6:$F$405,G992,'Istoric_Nativ'!$D$6:$D$405,"&lt;"&amp;J992,'Istoric_Nativ'!$P$6:$P$405,1))))</x:f>
        <x:v>0</x:v>
      </x:c>
      <x:c r="L992" s="17" t="n">
        <x:f>IF(AND(B992&lt;&gt;"",I992="RECENT",K992&gt;0),LARGE(_xlfn._xlws.FILTER('Istoric_Nativ'!$D$6:$D$405,('Istoric_Nativ'!$B$6:$B$405=E992)*('Istoric_Nativ'!$C$6:$C$405=F992)*('Istoric_Nativ'!$P$6:$P$405=1)*('Istoric_Nativ'!$D$6:$D$405&lt;J992)*((('Istoric_Nativ'!$E$6:$E$405=G992)+('Istoric_Nativ'!$F$6:$F$405=G992))&gt;0)),MIN('Config_v6'!$B$54,K992)),0)</x:f>
        <x:v>0</x:v>
      </x:c>
      <x:c r="M992" s="2" t="n">
        <x:f>IF(OR(B992="",F992=""),0,IF(H992="HOME",COUNTIFS('Istoric_Nativ'!$B$6:$B$405,E992,'Istoric_Nativ'!$C$6:$C$405,F992,'Istoric_Nativ'!$E$6:$E$405,G992,'Istoric_Nativ'!$D$6:$D$405,"&lt;"&amp;J992,'Istoric_Nativ'!$P$6:$P$405,1,'Istoric_Nativ'!$D$6:$D$405,"&gt;="&amp;L992),IF(H992="AWAY",COUNTIFS('Istoric_Nativ'!$B$6:$B$405,E992,'Istoric_Nativ'!$C$6:$C$405,F992,'Istoric_Nativ'!$F$6:$F$405,G992,'Istoric_Nativ'!$D$6:$D$405,"&lt;"&amp;J992,'Istoric_Nativ'!$P$6:$P$405,1,'Istoric_Nativ'!$D$6:$D$405,"&gt;="&amp;L992),COUNTIFS('Istoric_Nativ'!$B$6:$B$405,E992,'Istoric_Nativ'!$C$6:$C$405,F992,'Istoric_Nativ'!$E$6:$E$405,G992,'Istoric_Nativ'!$D$6:$D$405,"&lt;"&amp;J992,'Istoric_Nativ'!$P$6:$P$405,1,'Istoric_Nativ'!$D$6:$D$405,"&gt;="&amp;L992)+COUNTIFS('Istoric_Nativ'!$B$6:$B$405,E992,'Istoric_Nativ'!$C$6:$C$405,F992,'Istoric_Nativ'!$F$6:$F$405,G992,'Istoric_Nativ'!$D$6:$D$405,"&lt;"&amp;J992,'Istoric_Nativ'!$P$6:$P$405,1,'Istoric_Nativ'!$D$6:$D$405,"&gt;="&amp;L992))))</x:f>
        <x:v>0</x:v>
      </x:c>
      <x:c r="N992" s="11" t="str">
        <x:f>IF(M992=0,"",IF(H992="HOME",SUMIFS('Istoric_Nativ'!$G$6:$G$405,'Istoric_Nativ'!$B$6:$B$405,E992,'Istoric_Nativ'!$C$6:$C$405,F992,'Istoric_Nativ'!$E$6:$E$405,G992,'Istoric_Nativ'!$D$6:$D$405,"&lt;"&amp;J992,'Istoric_Nativ'!$P$6:$P$405,1,'Istoric_Nativ'!$D$6:$D$405,"&gt;="&amp;L992),IF(H992="AWAY",SUMIFS('Istoric_Nativ'!$H$6:$H$405,'Istoric_Nativ'!$B$6:$B$405,E992,'Istoric_Nativ'!$C$6:$C$405,F992,'Istoric_Nativ'!$F$6:$F$405,G992,'Istoric_Nativ'!$D$6:$D$405,"&lt;"&amp;J992,'Istoric_Nativ'!$P$6:$P$405,1,'Istoric_Nativ'!$D$6:$D$405,"&gt;="&amp;L992),SUMIFS('Istoric_Nativ'!$G$6:$G$405,'Istoric_Nativ'!$B$6:$B$405,E992,'Istoric_Nativ'!$C$6:$C$405,F992,'Istoric_Nativ'!$E$6:$E$405,G992,'Istoric_Nativ'!$D$6:$D$405,"&lt;"&amp;J992,'Istoric_Nativ'!$P$6:$P$405,1,'Istoric_Nativ'!$D$6:$D$405,"&gt;="&amp;L992)+SUMIFS('Istoric_Nativ'!$H$6:$H$405,'Istoric_Nativ'!$B$6:$B$405,E992,'Istoric_Nativ'!$C$6:$C$405,F992,'Istoric_Nativ'!$F$6:$F$405,G992,'Istoric_Nativ'!$D$6:$D$405,"&lt;"&amp;J992,'Istoric_Nativ'!$P$6:$P$405,1,'Istoric_Nativ'!$D$6:$D$405,"&gt;="&amp;L992)))/M992)</x:f>
      </x:c>
      <x:c r="O992" s="11" t="str">
        <x:f>IF(M992=0,"",IF(H992="HOME",SUMIFS('Istoric_Nativ'!$H$6:$H$405,'Istoric_Nativ'!$B$6:$B$405,E992,'Istoric_Nativ'!$C$6:$C$405,F992,'Istoric_Nativ'!$E$6:$E$405,G992,'Istoric_Nativ'!$D$6:$D$405,"&lt;"&amp;J992,'Istoric_Nativ'!$P$6:$P$405,1,'Istoric_Nativ'!$D$6:$D$405,"&gt;="&amp;L992),IF(H992="AWAY",SUMIFS('Istoric_Nativ'!$G$6:$G$405,'Istoric_Nativ'!$B$6:$B$405,E992,'Istoric_Nativ'!$C$6:$C$405,F992,'Istoric_Nativ'!$F$6:$F$405,G992,'Istoric_Nativ'!$D$6:$D$405,"&lt;"&amp;J992,'Istoric_Nativ'!$P$6:$P$405,1,'Istoric_Nativ'!$D$6:$D$405,"&gt;="&amp;L992),SUMIFS('Istoric_Nativ'!$H$6:$H$405,'Istoric_Nativ'!$B$6:$B$405,E992,'Istoric_Nativ'!$C$6:$C$405,F992,'Istoric_Nativ'!$E$6:$E$405,G992,'Istoric_Nativ'!$D$6:$D$405,"&lt;"&amp;J992,'Istoric_Nativ'!$P$6:$P$405,1,'Istoric_Nativ'!$D$6:$D$405,"&gt;="&amp;L992)+SUMIFS('Istoric_Nativ'!$G$6:$G$405,'Istoric_Nativ'!$B$6:$B$405,E992,'Istoric_Nativ'!$C$6:$C$405,F992,'Istoric_Nativ'!$F$6:$F$405,G992,'Istoric_Nativ'!$D$6:$D$405,"&lt;"&amp;J992,'Istoric_Nativ'!$P$6:$P$405,1,'Istoric_Nativ'!$D$6:$D$405,"&gt;="&amp;L992)))/M992)</x:f>
      </x:c>
      <x:c r="P992" s="2" t="n">
        <x:f>'Config_v6'!$B$9</x:f>
        <x:v>3</x:v>
      </x:c>
      <x:c r="Q992" s="2" t="n">
        <x:f>IF(OR(B992="",F992=""),0,IFERROR(MATCH(E992&amp;"|"&amp;F992,SourceTable[Source_Key],0),0))</x:f>
        <x:v>0</x:v>
      </x:c>
      <x:c r="R992" s="2" t="str">
        <x:f>IF(B992="","",IF(F992="","UNUSED",IF(Q992=0,"NOT CHECKED",IF(COUNTIF(SourceTable[Source_Key],E992&amp;"|"&amp;F992)&lt;&gt;1,"SOURCE CONFLICT",IF(NOT(OR(INDEX(SourceTable[Status],MAX(1,Q992))="IMPORTED",INDEX(SourceTable[Status],MAX(1,Q992))="PARTIAL",INDEX(SourceTable[Status],MAX(1,Q992))="SOURCE CONFLICT")),"ACCESS BLOCKED",IF(OR(INDEX(SourceTable[Coverage],Q992)&lt;&gt;"FULL SEASON EXPORT",INDEX(SourceTable[URL],Q992)="",INDEX(SourceTable[SHA256],Q992)=""),"EVIDENCE INCOMPLETE",IF(AND('Input_Meci'!H88="LIVE",INDEX(SourceTable[Retrieved_UTC],Q992)&gt;'Input_Meci'!G88),"POST CUTOFF","CLOSED")))))))</x:f>
      </x:c>
      <x:c r="S992" s="2" t="n">
        <x:f>IF(OR(B992="",F992=""),0,COUNTIFS('Istoric_Nativ'!$B$6:$B$405,E992,'Istoric_Nativ'!$C$6:$C$405,F992,'Istoric_Nativ'!$E$6:$E$405,G992,'Istoric_Nativ'!$D$6:$D$405,"&lt;"&amp;J992,'Istoric_Nativ'!$O$6:$O$405,"INVALID")+COUNTIFS('Istoric_Nativ'!$B$6:$B$405,E992,'Istoric_Nativ'!$C$6:$C$405,F992,'Istoric_Nativ'!$E$6:$E$405,G992,'Istoric_Nativ'!$O$6:$O$405,"INVALID",'Istoric_Nativ'!$D$6:$D$405,"*")+COUNTIFS('Istoric_Nativ'!$B$6:$B$405,E992,'Istoric_Nativ'!$C$6:$C$405,F992,'Istoric_Nativ'!$E$6:$E$405,G992,'Istoric_Nativ'!$D$6:$D$405,"&lt;"&amp;J992,'Istoric_Nativ'!$O$6:$O$405,"SOURCE CONFLICT")+COUNTIFS('Istoric_Nativ'!$B$6:$B$405,E992,'Istoric_Nativ'!$C$6:$C$405,F992,'Istoric_Nativ'!$F$6:$F$405,G992,'Istoric_Nativ'!$D$6:$D$405,"&lt;"&amp;J992,'Istoric_Nativ'!$O$6:$O$405,"INVALID")+COUNTIFS('Istoric_Nativ'!$B$6:$B$405,E992,'Istoric_Nativ'!$C$6:$C$405,F992,'Istoric_Nativ'!$F$6:$F$405,G992,'Istoric_Nativ'!$O$6:$O$405,"INVALID",'Istoric_Nativ'!$D$6:$D$405,"*")+COUNTIFS('Istoric_Nativ'!$B$6:$B$405,E992,'Istoric_Nativ'!$C$6:$C$405,F992,'Istoric_Nativ'!$F$6:$F$405,G992,'Istoric_Nativ'!$D$6:$D$405,"&lt;"&amp;J992,'Istoric_Nativ'!$O$6:$O$405,"SOURCE CONFLICT"))</x:f>
        <x:v>0</x:v>
      </x:c>
      <x:c r="T992" s="2" t="str">
        <x:f>IF(B992="","",IF(R992&lt;&gt;"CLOSED",R992,IF(S992&gt;0,"NATIVE INPUT ISSUE",IF(M992=0,"NO HISTORY",IF(M992&lt;P992,"SMALL SAMPLE","DERIVED")))))</x:f>
      </x:c>
      <x:c r="U992" s="2" t="str">
        <x:f>IF(B992="","","NativeTable; "&amp;E992&amp;"; "&amp;F992&amp;"; "&amp;G992&amp;"; "&amp;H992&amp;"; before "&amp;TEXT(J992,"yyyy-mm-dd")&amp;IF(I992="RECENT","; from "&amp;TEXT(L992,"yyyy-mm-dd"),""))</x:f>
      </x:c>
    </x:row>
    <x:row r="993" ht="21" customHeight="1">
      <x:c r="A993" s="2" t="n">
        <x:v>83</x:v>
      </x:c>
      <x:c r="B993" s="2" t="str">
        <x:f>IF('Input_Meci'!A88="","",'Input_Meci'!A88)</x:f>
      </x:c>
      <x:c r="C993" s="2" t="str">
        <x:v>A</x:v>
      </x:c>
      <x:c r="D993" s="2" t="str">
        <x:v>CURRENT</x:v>
      </x:c>
      <x:c r="E993" s="2" t="str">
        <x:f>IF(B993="","",'Input_Meci'!B88)</x:f>
      </x:c>
      <x:c r="F993" s="2" t="str">
        <x:f>IF(B993="","",IF('Input_Meci'!C88="","",'Input_Meci'!C88))</x:f>
      </x:c>
      <x:c r="G993" s="2" t="str">
        <x:f>IF(B993="","",'Input_Meci'!E88)</x:f>
      </x:c>
      <x:c r="H993" s="2" t="str">
        <x:v>ANY</x:v>
      </x:c>
      <x:c r="I993" s="2" t="str">
        <x:v>SEASON</x:v>
      </x:c>
      <x:c r="J993" s="9" t="n">
        <x:f>IF(AND(B993&lt;&gt;"",ISNUMBER('Input_Meci'!G88)),INT('Input_Meci'!G88),0)</x:f>
        <x:v>0</x:v>
      </x:c>
      <x:c r="K993" s="2" t="n">
        <x:f>IF(OR(B993="",F993=""),0,IF(H993="HOME",COUNTIFS('Istoric_Nativ'!$B$6:$B$405,E993,'Istoric_Nativ'!$C$6:$C$405,F993,'Istoric_Nativ'!$E$6:$E$405,G993,'Istoric_Nativ'!$D$6:$D$405,"&lt;"&amp;J993,'Istoric_Nativ'!$P$6:$P$405,1),IF(H993="AWAY",COUNTIFS('Istoric_Nativ'!$B$6:$B$405,E993,'Istoric_Nativ'!$C$6:$C$405,F993,'Istoric_Nativ'!$F$6:$F$405,G993,'Istoric_Nativ'!$D$6:$D$405,"&lt;"&amp;J993,'Istoric_Nativ'!$P$6:$P$405,1),COUNTIFS('Istoric_Nativ'!$B$6:$B$405,E993,'Istoric_Nativ'!$C$6:$C$405,F993,'Istoric_Nativ'!$E$6:$E$405,G993,'Istoric_Nativ'!$D$6:$D$405,"&lt;"&amp;J993,'Istoric_Nativ'!$P$6:$P$405,1)+COUNTIFS('Istoric_Nativ'!$B$6:$B$405,E993,'Istoric_Nativ'!$C$6:$C$405,F993,'Istoric_Nativ'!$F$6:$F$405,G993,'Istoric_Nativ'!$D$6:$D$405,"&lt;"&amp;J993,'Istoric_Nativ'!$P$6:$P$405,1))))</x:f>
        <x:v>0</x:v>
      </x:c>
      <x:c r="L993" s="17" t="n">
        <x:f>IF(AND(B993&lt;&gt;"",I993="RECENT",K993&gt;0),LARGE(_xlfn._xlws.FILTER('Istoric_Nativ'!$D$6:$D$405,('Istoric_Nativ'!$B$6:$B$405=E993)*('Istoric_Nativ'!$C$6:$C$405=F993)*('Istoric_Nativ'!$P$6:$P$405=1)*('Istoric_Nativ'!$D$6:$D$405&lt;J993)*((('Istoric_Nativ'!$E$6:$E$405=G993)+('Istoric_Nativ'!$F$6:$F$405=G993))&gt;0)),MIN('Config_v6'!$B$54,K993)),0)</x:f>
        <x:v>0</x:v>
      </x:c>
      <x:c r="M993" s="2" t="n">
        <x:f>IF(OR(B993="",F993=""),0,IF(H993="HOME",COUNTIFS('Istoric_Nativ'!$B$6:$B$405,E993,'Istoric_Nativ'!$C$6:$C$405,F993,'Istoric_Nativ'!$E$6:$E$405,G993,'Istoric_Nativ'!$D$6:$D$405,"&lt;"&amp;J993,'Istoric_Nativ'!$P$6:$P$405,1,'Istoric_Nativ'!$D$6:$D$405,"&gt;="&amp;L993),IF(H993="AWAY",COUNTIFS('Istoric_Nativ'!$B$6:$B$405,E993,'Istoric_Nativ'!$C$6:$C$405,F993,'Istoric_Nativ'!$F$6:$F$405,G993,'Istoric_Nativ'!$D$6:$D$405,"&lt;"&amp;J993,'Istoric_Nativ'!$P$6:$P$405,1,'Istoric_Nativ'!$D$6:$D$405,"&gt;="&amp;L993),COUNTIFS('Istoric_Nativ'!$B$6:$B$405,E993,'Istoric_Nativ'!$C$6:$C$405,F993,'Istoric_Nativ'!$E$6:$E$405,G993,'Istoric_Nativ'!$D$6:$D$405,"&lt;"&amp;J993,'Istoric_Nativ'!$P$6:$P$405,1,'Istoric_Nativ'!$D$6:$D$405,"&gt;="&amp;L993)+COUNTIFS('Istoric_Nativ'!$B$6:$B$405,E993,'Istoric_Nativ'!$C$6:$C$405,F993,'Istoric_Nativ'!$F$6:$F$405,G993,'Istoric_Nativ'!$D$6:$D$405,"&lt;"&amp;J993,'Istoric_Nativ'!$P$6:$P$405,1,'Istoric_Nativ'!$D$6:$D$405,"&gt;="&amp;L993))))</x:f>
        <x:v>0</x:v>
      </x:c>
      <x:c r="N993" s="11" t="str">
        <x:f>IF(M993=0,"",IF(H993="HOME",SUMIFS('Istoric_Nativ'!$G$6:$G$405,'Istoric_Nativ'!$B$6:$B$405,E993,'Istoric_Nativ'!$C$6:$C$405,F993,'Istoric_Nativ'!$E$6:$E$405,G993,'Istoric_Nativ'!$D$6:$D$405,"&lt;"&amp;J993,'Istoric_Nativ'!$P$6:$P$405,1,'Istoric_Nativ'!$D$6:$D$405,"&gt;="&amp;L993),IF(H993="AWAY",SUMIFS('Istoric_Nativ'!$H$6:$H$405,'Istoric_Nativ'!$B$6:$B$405,E993,'Istoric_Nativ'!$C$6:$C$405,F993,'Istoric_Nativ'!$F$6:$F$405,G993,'Istoric_Nativ'!$D$6:$D$405,"&lt;"&amp;J993,'Istoric_Nativ'!$P$6:$P$405,1,'Istoric_Nativ'!$D$6:$D$405,"&gt;="&amp;L993),SUMIFS('Istoric_Nativ'!$G$6:$G$405,'Istoric_Nativ'!$B$6:$B$405,E993,'Istoric_Nativ'!$C$6:$C$405,F993,'Istoric_Nativ'!$E$6:$E$405,G993,'Istoric_Nativ'!$D$6:$D$405,"&lt;"&amp;J993,'Istoric_Nativ'!$P$6:$P$405,1,'Istoric_Nativ'!$D$6:$D$405,"&gt;="&amp;L993)+SUMIFS('Istoric_Nativ'!$H$6:$H$405,'Istoric_Nativ'!$B$6:$B$405,E993,'Istoric_Nativ'!$C$6:$C$405,F993,'Istoric_Nativ'!$F$6:$F$405,G993,'Istoric_Nativ'!$D$6:$D$405,"&lt;"&amp;J993,'Istoric_Nativ'!$P$6:$P$405,1,'Istoric_Nativ'!$D$6:$D$405,"&gt;="&amp;L993)))/M993)</x:f>
      </x:c>
      <x:c r="O993" s="11" t="str">
        <x:f>IF(M993=0,"",IF(H993="HOME",SUMIFS('Istoric_Nativ'!$H$6:$H$405,'Istoric_Nativ'!$B$6:$B$405,E993,'Istoric_Nativ'!$C$6:$C$405,F993,'Istoric_Nativ'!$E$6:$E$405,G993,'Istoric_Nativ'!$D$6:$D$405,"&lt;"&amp;J993,'Istoric_Nativ'!$P$6:$P$405,1,'Istoric_Nativ'!$D$6:$D$405,"&gt;="&amp;L993),IF(H993="AWAY",SUMIFS('Istoric_Nativ'!$G$6:$G$405,'Istoric_Nativ'!$B$6:$B$405,E993,'Istoric_Nativ'!$C$6:$C$405,F993,'Istoric_Nativ'!$F$6:$F$405,G993,'Istoric_Nativ'!$D$6:$D$405,"&lt;"&amp;J993,'Istoric_Nativ'!$P$6:$P$405,1,'Istoric_Nativ'!$D$6:$D$405,"&gt;="&amp;L993),SUMIFS('Istoric_Nativ'!$H$6:$H$405,'Istoric_Nativ'!$B$6:$B$405,E993,'Istoric_Nativ'!$C$6:$C$405,F993,'Istoric_Nativ'!$E$6:$E$405,G993,'Istoric_Nativ'!$D$6:$D$405,"&lt;"&amp;J993,'Istoric_Nativ'!$P$6:$P$405,1,'Istoric_Nativ'!$D$6:$D$405,"&gt;="&amp;L993)+SUMIFS('Istoric_Nativ'!$G$6:$G$405,'Istoric_Nativ'!$B$6:$B$405,E993,'Istoric_Nativ'!$C$6:$C$405,F993,'Istoric_Nativ'!$F$6:$F$405,G993,'Istoric_Nativ'!$D$6:$D$405,"&lt;"&amp;J993,'Istoric_Nativ'!$P$6:$P$405,1,'Istoric_Nativ'!$D$6:$D$405,"&gt;="&amp;L993)))/M993)</x:f>
      </x:c>
      <x:c r="P993" s="2" t="n">
        <x:f>'Config_v6'!$B$7</x:f>
        <x:v>10</x:v>
      </x:c>
      <x:c r="Q993" s="2" t="n">
        <x:f>IF(OR(B993="",F993=""),0,IFERROR(MATCH(E993&amp;"|"&amp;F993,SourceTable[Source_Key],0),0))</x:f>
        <x:v>0</x:v>
      </x:c>
      <x:c r="R993" s="2" t="str">
        <x:f>IF(B993="","",IF(F993="","UNUSED",IF(Q993=0,"NOT CHECKED",IF(COUNTIF(SourceTable[Source_Key],E993&amp;"|"&amp;F993)&lt;&gt;1,"SOURCE CONFLICT",IF(NOT(OR(INDEX(SourceTable[Status],MAX(1,Q993))="IMPORTED",INDEX(SourceTable[Status],MAX(1,Q993))="PARTIAL",INDEX(SourceTable[Status],MAX(1,Q993))="SOURCE CONFLICT")),"ACCESS BLOCKED",IF(OR(INDEX(SourceTable[Coverage],Q993)&lt;&gt;"FULL SEASON EXPORT",INDEX(SourceTable[URL],Q993)="",INDEX(SourceTable[SHA256],Q993)=""),"EVIDENCE INCOMPLETE",IF(AND('Input_Meci'!H88="LIVE",INDEX(SourceTable[Retrieved_UTC],Q993)&gt;'Input_Meci'!G88),"POST CUTOFF","CLOSED")))))))</x:f>
      </x:c>
      <x:c r="S993" s="2" t="n">
        <x:f>IF(OR(B993="",F993=""),0,COUNTIFS('Istoric_Nativ'!$B$6:$B$405,E993,'Istoric_Nativ'!$C$6:$C$405,F993,'Istoric_Nativ'!$E$6:$E$405,G993,'Istoric_Nativ'!$D$6:$D$405,"&lt;"&amp;J993,'Istoric_Nativ'!$O$6:$O$405,"INVALID")+COUNTIFS('Istoric_Nativ'!$B$6:$B$405,E993,'Istoric_Nativ'!$C$6:$C$405,F993,'Istoric_Nativ'!$E$6:$E$405,G993,'Istoric_Nativ'!$O$6:$O$405,"INVALID",'Istoric_Nativ'!$D$6:$D$405,"*")+COUNTIFS('Istoric_Nativ'!$B$6:$B$405,E993,'Istoric_Nativ'!$C$6:$C$405,F993,'Istoric_Nativ'!$E$6:$E$405,G993,'Istoric_Nativ'!$D$6:$D$405,"&lt;"&amp;J993,'Istoric_Nativ'!$O$6:$O$405,"SOURCE CONFLICT")+COUNTIFS('Istoric_Nativ'!$B$6:$B$405,E993,'Istoric_Nativ'!$C$6:$C$405,F993,'Istoric_Nativ'!$F$6:$F$405,G993,'Istoric_Nativ'!$D$6:$D$405,"&lt;"&amp;J993,'Istoric_Nativ'!$O$6:$O$405,"INVALID")+COUNTIFS('Istoric_Nativ'!$B$6:$B$405,E993,'Istoric_Nativ'!$C$6:$C$405,F993,'Istoric_Nativ'!$F$6:$F$405,G993,'Istoric_Nativ'!$O$6:$O$405,"INVALID",'Istoric_Nativ'!$D$6:$D$405,"*")+COUNTIFS('Istoric_Nativ'!$B$6:$B$405,E993,'Istoric_Nativ'!$C$6:$C$405,F993,'Istoric_Nativ'!$F$6:$F$405,G993,'Istoric_Nativ'!$D$6:$D$405,"&lt;"&amp;J993,'Istoric_Nativ'!$O$6:$O$405,"SOURCE CONFLICT"))</x:f>
        <x:v>0</x:v>
      </x:c>
      <x:c r="T993" s="2" t="str">
        <x:f>IF(B993="","",IF(R993&lt;&gt;"CLOSED",R993,IF(S993&gt;0,"NATIVE INPUT ISSUE",IF(M993=0,"NO HISTORY",IF(M993&lt;P993,"SMALL SAMPLE","DERIVED")))))</x:f>
      </x:c>
      <x:c r="U993" s="2" t="str">
        <x:f>IF(B993="","","NativeTable; "&amp;E993&amp;"; "&amp;F993&amp;"; "&amp;G993&amp;"; "&amp;H993&amp;"; before "&amp;TEXT(J993,"yyyy-mm-dd")&amp;IF(I993="RECENT","; from "&amp;TEXT(L993,"yyyy-mm-dd"),""))</x:f>
      </x:c>
    </x:row>
    <x:row r="994" ht="21" customHeight="1">
      <x:c r="A994" s="2" t="n">
        <x:v>83</x:v>
      </x:c>
      <x:c r="B994" s="2" t="str">
        <x:f>IF('Input_Meci'!A88="","",'Input_Meci'!A88)</x:f>
      </x:c>
      <x:c r="C994" s="2" t="str">
        <x:v>A</x:v>
      </x:c>
      <x:c r="D994" s="2" t="str">
        <x:v>CURRENT</x:v>
      </x:c>
      <x:c r="E994" s="2" t="str">
        <x:f>IF(B994="","",'Input_Meci'!B88)</x:f>
      </x:c>
      <x:c r="F994" s="2" t="str">
        <x:f>IF(B994="","",IF('Input_Meci'!C88="","",'Input_Meci'!C88))</x:f>
      </x:c>
      <x:c r="G994" s="2" t="str">
        <x:f>IF(B994="","",'Input_Meci'!E88)</x:f>
      </x:c>
      <x:c r="H994" s="2" t="str">
        <x:v>AWAY</x:v>
      </x:c>
      <x:c r="I994" s="2" t="str">
        <x:v>HA</x:v>
      </x:c>
      <x:c r="J994" s="9" t="n">
        <x:f>IF(AND(B994&lt;&gt;"",ISNUMBER('Input_Meci'!G88)),INT('Input_Meci'!G88),0)</x:f>
        <x:v>0</x:v>
      </x:c>
      <x:c r="K994" s="2" t="n">
        <x:f>IF(OR(B994="",F994=""),0,IF(H994="HOME",COUNTIFS('Istoric_Nativ'!$B$6:$B$405,E994,'Istoric_Nativ'!$C$6:$C$405,F994,'Istoric_Nativ'!$E$6:$E$405,G994,'Istoric_Nativ'!$D$6:$D$405,"&lt;"&amp;J994,'Istoric_Nativ'!$P$6:$P$405,1),IF(H994="AWAY",COUNTIFS('Istoric_Nativ'!$B$6:$B$405,E994,'Istoric_Nativ'!$C$6:$C$405,F994,'Istoric_Nativ'!$F$6:$F$405,G994,'Istoric_Nativ'!$D$6:$D$405,"&lt;"&amp;J994,'Istoric_Nativ'!$P$6:$P$405,1),COUNTIFS('Istoric_Nativ'!$B$6:$B$405,E994,'Istoric_Nativ'!$C$6:$C$405,F994,'Istoric_Nativ'!$E$6:$E$405,G994,'Istoric_Nativ'!$D$6:$D$405,"&lt;"&amp;J994,'Istoric_Nativ'!$P$6:$P$405,1)+COUNTIFS('Istoric_Nativ'!$B$6:$B$405,E994,'Istoric_Nativ'!$C$6:$C$405,F994,'Istoric_Nativ'!$F$6:$F$405,G994,'Istoric_Nativ'!$D$6:$D$405,"&lt;"&amp;J994,'Istoric_Nativ'!$P$6:$P$405,1))))</x:f>
        <x:v>0</x:v>
      </x:c>
      <x:c r="L994" s="17" t="n">
        <x:f>IF(AND(B994&lt;&gt;"",I994="RECENT",K994&gt;0),LARGE(_xlfn._xlws.FILTER('Istoric_Nativ'!$D$6:$D$405,('Istoric_Nativ'!$B$6:$B$405=E994)*('Istoric_Nativ'!$C$6:$C$405=F994)*('Istoric_Nativ'!$P$6:$P$405=1)*('Istoric_Nativ'!$D$6:$D$405&lt;J994)*((('Istoric_Nativ'!$E$6:$E$405=G994)+('Istoric_Nativ'!$F$6:$F$405=G994))&gt;0)),MIN('Config_v6'!$B$54,K994)),0)</x:f>
        <x:v>0</x:v>
      </x:c>
      <x:c r="M994" s="2" t="n">
        <x:f>IF(OR(B994="",F994=""),0,IF(H994="HOME",COUNTIFS('Istoric_Nativ'!$B$6:$B$405,E994,'Istoric_Nativ'!$C$6:$C$405,F994,'Istoric_Nativ'!$E$6:$E$405,G994,'Istoric_Nativ'!$D$6:$D$405,"&lt;"&amp;J994,'Istoric_Nativ'!$P$6:$P$405,1,'Istoric_Nativ'!$D$6:$D$405,"&gt;="&amp;L994),IF(H994="AWAY",COUNTIFS('Istoric_Nativ'!$B$6:$B$405,E994,'Istoric_Nativ'!$C$6:$C$405,F994,'Istoric_Nativ'!$F$6:$F$405,G994,'Istoric_Nativ'!$D$6:$D$405,"&lt;"&amp;J994,'Istoric_Nativ'!$P$6:$P$405,1,'Istoric_Nativ'!$D$6:$D$405,"&gt;="&amp;L994),COUNTIFS('Istoric_Nativ'!$B$6:$B$405,E994,'Istoric_Nativ'!$C$6:$C$405,F994,'Istoric_Nativ'!$E$6:$E$405,G994,'Istoric_Nativ'!$D$6:$D$405,"&lt;"&amp;J994,'Istoric_Nativ'!$P$6:$P$405,1,'Istoric_Nativ'!$D$6:$D$405,"&gt;="&amp;L994)+COUNTIFS('Istoric_Nativ'!$B$6:$B$405,E994,'Istoric_Nativ'!$C$6:$C$405,F994,'Istoric_Nativ'!$F$6:$F$405,G994,'Istoric_Nativ'!$D$6:$D$405,"&lt;"&amp;J994,'Istoric_Nativ'!$P$6:$P$405,1,'Istoric_Nativ'!$D$6:$D$405,"&gt;="&amp;L994))))</x:f>
        <x:v>0</x:v>
      </x:c>
      <x:c r="N994" s="11" t="str">
        <x:f>IF(M994=0,"",IF(H994="HOME",SUMIFS('Istoric_Nativ'!$G$6:$G$405,'Istoric_Nativ'!$B$6:$B$405,E994,'Istoric_Nativ'!$C$6:$C$405,F994,'Istoric_Nativ'!$E$6:$E$405,G994,'Istoric_Nativ'!$D$6:$D$405,"&lt;"&amp;J994,'Istoric_Nativ'!$P$6:$P$405,1,'Istoric_Nativ'!$D$6:$D$405,"&gt;="&amp;L994),IF(H994="AWAY",SUMIFS('Istoric_Nativ'!$H$6:$H$405,'Istoric_Nativ'!$B$6:$B$405,E994,'Istoric_Nativ'!$C$6:$C$405,F994,'Istoric_Nativ'!$F$6:$F$405,G994,'Istoric_Nativ'!$D$6:$D$405,"&lt;"&amp;J994,'Istoric_Nativ'!$P$6:$P$405,1,'Istoric_Nativ'!$D$6:$D$405,"&gt;="&amp;L994),SUMIFS('Istoric_Nativ'!$G$6:$G$405,'Istoric_Nativ'!$B$6:$B$405,E994,'Istoric_Nativ'!$C$6:$C$405,F994,'Istoric_Nativ'!$E$6:$E$405,G994,'Istoric_Nativ'!$D$6:$D$405,"&lt;"&amp;J994,'Istoric_Nativ'!$P$6:$P$405,1,'Istoric_Nativ'!$D$6:$D$405,"&gt;="&amp;L994)+SUMIFS('Istoric_Nativ'!$H$6:$H$405,'Istoric_Nativ'!$B$6:$B$405,E994,'Istoric_Nativ'!$C$6:$C$405,F994,'Istoric_Nativ'!$F$6:$F$405,G994,'Istoric_Nativ'!$D$6:$D$405,"&lt;"&amp;J994,'Istoric_Nativ'!$P$6:$P$405,1,'Istoric_Nativ'!$D$6:$D$405,"&gt;="&amp;L994)))/M994)</x:f>
      </x:c>
      <x:c r="O994" s="11" t="str">
        <x:f>IF(M994=0,"",IF(H994="HOME",SUMIFS('Istoric_Nativ'!$H$6:$H$405,'Istoric_Nativ'!$B$6:$B$405,E994,'Istoric_Nativ'!$C$6:$C$405,F994,'Istoric_Nativ'!$E$6:$E$405,G994,'Istoric_Nativ'!$D$6:$D$405,"&lt;"&amp;J994,'Istoric_Nativ'!$P$6:$P$405,1,'Istoric_Nativ'!$D$6:$D$405,"&gt;="&amp;L994),IF(H994="AWAY",SUMIFS('Istoric_Nativ'!$G$6:$G$405,'Istoric_Nativ'!$B$6:$B$405,E994,'Istoric_Nativ'!$C$6:$C$405,F994,'Istoric_Nativ'!$F$6:$F$405,G994,'Istoric_Nativ'!$D$6:$D$405,"&lt;"&amp;J994,'Istoric_Nativ'!$P$6:$P$405,1,'Istoric_Nativ'!$D$6:$D$405,"&gt;="&amp;L994),SUMIFS('Istoric_Nativ'!$H$6:$H$405,'Istoric_Nativ'!$B$6:$B$405,E994,'Istoric_Nativ'!$C$6:$C$405,F994,'Istoric_Nativ'!$E$6:$E$405,G994,'Istoric_Nativ'!$D$6:$D$405,"&lt;"&amp;J994,'Istoric_Nativ'!$P$6:$P$405,1,'Istoric_Nativ'!$D$6:$D$405,"&gt;="&amp;L994)+SUMIFS('Istoric_Nativ'!$G$6:$G$405,'Istoric_Nativ'!$B$6:$B$405,E994,'Istoric_Nativ'!$C$6:$C$405,F994,'Istoric_Nativ'!$F$6:$F$405,G994,'Istoric_Nativ'!$D$6:$D$405,"&lt;"&amp;J994,'Istoric_Nativ'!$P$6:$P$405,1,'Istoric_Nativ'!$D$6:$D$405,"&gt;="&amp;L994)))/M994)</x:f>
      </x:c>
      <x:c r="P994" s="2" t="n">
        <x:f>'Config_v6'!$B$8</x:f>
        <x:v>5</x:v>
      </x:c>
      <x:c r="Q994" s="2" t="n">
        <x:f>IF(OR(B994="",F994=""),0,IFERROR(MATCH(E994&amp;"|"&amp;F994,SourceTable[Source_Key],0),0))</x:f>
        <x:v>0</x:v>
      </x:c>
      <x:c r="R994" s="2" t="str">
        <x:f>IF(B994="","",IF(F994="","UNUSED",IF(Q994=0,"NOT CHECKED",IF(COUNTIF(SourceTable[Source_Key],E994&amp;"|"&amp;F994)&lt;&gt;1,"SOURCE CONFLICT",IF(NOT(OR(INDEX(SourceTable[Status],MAX(1,Q994))="IMPORTED",INDEX(SourceTable[Status],MAX(1,Q994))="PARTIAL",INDEX(SourceTable[Status],MAX(1,Q994))="SOURCE CONFLICT")),"ACCESS BLOCKED",IF(OR(INDEX(SourceTable[Coverage],Q994)&lt;&gt;"FULL SEASON EXPORT",INDEX(SourceTable[URL],Q994)="",INDEX(SourceTable[SHA256],Q994)=""),"EVIDENCE INCOMPLETE",IF(AND('Input_Meci'!H88="LIVE",INDEX(SourceTable[Retrieved_UTC],Q994)&gt;'Input_Meci'!G88),"POST CUTOFF","CLOSED")))))))</x:f>
      </x:c>
      <x:c r="S994" s="2" t="n">
        <x:f>IF(OR(B994="",F994=""),0,COUNTIFS('Istoric_Nativ'!$B$6:$B$405,E994,'Istoric_Nativ'!$C$6:$C$405,F994,'Istoric_Nativ'!$E$6:$E$405,G994,'Istoric_Nativ'!$D$6:$D$405,"&lt;"&amp;J994,'Istoric_Nativ'!$O$6:$O$405,"INVALID")+COUNTIFS('Istoric_Nativ'!$B$6:$B$405,E994,'Istoric_Nativ'!$C$6:$C$405,F994,'Istoric_Nativ'!$E$6:$E$405,G994,'Istoric_Nativ'!$O$6:$O$405,"INVALID",'Istoric_Nativ'!$D$6:$D$405,"*")+COUNTIFS('Istoric_Nativ'!$B$6:$B$405,E994,'Istoric_Nativ'!$C$6:$C$405,F994,'Istoric_Nativ'!$E$6:$E$405,G994,'Istoric_Nativ'!$D$6:$D$405,"&lt;"&amp;J994,'Istoric_Nativ'!$O$6:$O$405,"SOURCE CONFLICT")+COUNTIFS('Istoric_Nativ'!$B$6:$B$405,E994,'Istoric_Nativ'!$C$6:$C$405,F994,'Istoric_Nativ'!$F$6:$F$405,G994,'Istoric_Nativ'!$D$6:$D$405,"&lt;"&amp;J994,'Istoric_Nativ'!$O$6:$O$405,"INVALID")+COUNTIFS('Istoric_Nativ'!$B$6:$B$405,E994,'Istoric_Nativ'!$C$6:$C$405,F994,'Istoric_Nativ'!$F$6:$F$405,G994,'Istoric_Nativ'!$O$6:$O$405,"INVALID",'Istoric_Nativ'!$D$6:$D$405,"*")+COUNTIFS('Istoric_Nativ'!$B$6:$B$405,E994,'Istoric_Nativ'!$C$6:$C$405,F994,'Istoric_Nativ'!$F$6:$F$405,G994,'Istoric_Nativ'!$D$6:$D$405,"&lt;"&amp;J994,'Istoric_Nativ'!$O$6:$O$405,"SOURCE CONFLICT"))</x:f>
        <x:v>0</x:v>
      </x:c>
      <x:c r="T994" s="2" t="str">
        <x:f>IF(B994="","",IF(R994&lt;&gt;"CLOSED",R994,IF(S994&gt;0,"NATIVE INPUT ISSUE",IF(M994=0,"NO HISTORY",IF(M994&lt;P994,"SMALL SAMPLE","DERIVED")))))</x:f>
      </x:c>
      <x:c r="U994" s="2" t="str">
        <x:f>IF(B994="","","NativeTable; "&amp;E994&amp;"; "&amp;F994&amp;"; "&amp;G994&amp;"; "&amp;H994&amp;"; before "&amp;TEXT(J994,"yyyy-mm-dd")&amp;IF(I994="RECENT","; from "&amp;TEXT(L994,"yyyy-mm-dd"),""))</x:f>
      </x:c>
    </x:row>
    <x:row r="995" ht="21" customHeight="1">
      <x:c r="A995" s="2" t="n">
        <x:v>83</x:v>
      </x:c>
      <x:c r="B995" s="2" t="str">
        <x:f>IF('Input_Meci'!A88="","",'Input_Meci'!A88)</x:f>
      </x:c>
      <x:c r="C995" s="2" t="str">
        <x:v>A</x:v>
      </x:c>
      <x:c r="D995" s="2" t="str">
        <x:v>CURRENT</x:v>
      </x:c>
      <x:c r="E995" s="2" t="str">
        <x:f>IF(B995="","",'Input_Meci'!B88)</x:f>
      </x:c>
      <x:c r="F995" s="2" t="str">
        <x:f>IF(B995="","",IF('Input_Meci'!C88="","",'Input_Meci'!C88))</x:f>
      </x:c>
      <x:c r="G995" s="2" t="str">
        <x:f>IF(B995="","",'Input_Meci'!E88)</x:f>
      </x:c>
      <x:c r="H995" s="2" t="str">
        <x:v>ANY</x:v>
      </x:c>
      <x:c r="I995" s="2" t="str">
        <x:v>RECENT</x:v>
      </x:c>
      <x:c r="J995" s="9" t="n">
        <x:f>IF(AND(B995&lt;&gt;"",ISNUMBER('Input_Meci'!G88)),INT('Input_Meci'!G88),0)</x:f>
        <x:v>0</x:v>
      </x:c>
      <x:c r="K995" s="2" t="n">
        <x:f>IF(OR(B995="",F995=""),0,IF(H995="HOME",COUNTIFS('Istoric_Nativ'!$B$6:$B$405,E995,'Istoric_Nativ'!$C$6:$C$405,F995,'Istoric_Nativ'!$E$6:$E$405,G995,'Istoric_Nativ'!$D$6:$D$405,"&lt;"&amp;J995,'Istoric_Nativ'!$P$6:$P$405,1),IF(H995="AWAY",COUNTIFS('Istoric_Nativ'!$B$6:$B$405,E995,'Istoric_Nativ'!$C$6:$C$405,F995,'Istoric_Nativ'!$F$6:$F$405,G995,'Istoric_Nativ'!$D$6:$D$405,"&lt;"&amp;J995,'Istoric_Nativ'!$P$6:$P$405,1),COUNTIFS('Istoric_Nativ'!$B$6:$B$405,E995,'Istoric_Nativ'!$C$6:$C$405,F995,'Istoric_Nativ'!$E$6:$E$405,G995,'Istoric_Nativ'!$D$6:$D$405,"&lt;"&amp;J995,'Istoric_Nativ'!$P$6:$P$405,1)+COUNTIFS('Istoric_Nativ'!$B$6:$B$405,E995,'Istoric_Nativ'!$C$6:$C$405,F995,'Istoric_Nativ'!$F$6:$F$405,G995,'Istoric_Nativ'!$D$6:$D$405,"&lt;"&amp;J995,'Istoric_Nativ'!$P$6:$P$405,1))))</x:f>
        <x:v>0</x:v>
      </x:c>
      <x:c r="L995" s="17" t="n">
        <x:f>IF(AND(B995&lt;&gt;"",I995="RECENT",K995&gt;0),LARGE(_xlfn._xlws.FILTER('Istoric_Nativ'!$D$6:$D$405,('Istoric_Nativ'!$B$6:$B$405=E995)*('Istoric_Nativ'!$C$6:$C$405=F995)*('Istoric_Nativ'!$P$6:$P$405=1)*('Istoric_Nativ'!$D$6:$D$405&lt;J995)*((('Istoric_Nativ'!$E$6:$E$405=G995)+('Istoric_Nativ'!$F$6:$F$405=G995))&gt;0)),MIN('Config_v6'!$B$54,K995)),0)</x:f>
        <x:v>0</x:v>
      </x:c>
      <x:c r="M995" s="2" t="n">
        <x:f>IF(OR(B995="",F995=""),0,IF(H995="HOME",COUNTIFS('Istoric_Nativ'!$B$6:$B$405,E995,'Istoric_Nativ'!$C$6:$C$405,F995,'Istoric_Nativ'!$E$6:$E$405,G995,'Istoric_Nativ'!$D$6:$D$405,"&lt;"&amp;J995,'Istoric_Nativ'!$P$6:$P$405,1,'Istoric_Nativ'!$D$6:$D$405,"&gt;="&amp;L995),IF(H995="AWAY",COUNTIFS('Istoric_Nativ'!$B$6:$B$405,E995,'Istoric_Nativ'!$C$6:$C$405,F995,'Istoric_Nativ'!$F$6:$F$405,G995,'Istoric_Nativ'!$D$6:$D$405,"&lt;"&amp;J995,'Istoric_Nativ'!$P$6:$P$405,1,'Istoric_Nativ'!$D$6:$D$405,"&gt;="&amp;L995),COUNTIFS('Istoric_Nativ'!$B$6:$B$405,E995,'Istoric_Nativ'!$C$6:$C$405,F995,'Istoric_Nativ'!$E$6:$E$405,G995,'Istoric_Nativ'!$D$6:$D$405,"&lt;"&amp;J995,'Istoric_Nativ'!$P$6:$P$405,1,'Istoric_Nativ'!$D$6:$D$405,"&gt;="&amp;L995)+COUNTIFS('Istoric_Nativ'!$B$6:$B$405,E995,'Istoric_Nativ'!$C$6:$C$405,F995,'Istoric_Nativ'!$F$6:$F$405,G995,'Istoric_Nativ'!$D$6:$D$405,"&lt;"&amp;J995,'Istoric_Nativ'!$P$6:$P$405,1,'Istoric_Nativ'!$D$6:$D$405,"&gt;="&amp;L995))))</x:f>
        <x:v>0</x:v>
      </x:c>
      <x:c r="N995" s="11" t="str">
        <x:f>IF(M995=0,"",IF(H995="HOME",SUMIFS('Istoric_Nativ'!$G$6:$G$405,'Istoric_Nativ'!$B$6:$B$405,E995,'Istoric_Nativ'!$C$6:$C$405,F995,'Istoric_Nativ'!$E$6:$E$405,G995,'Istoric_Nativ'!$D$6:$D$405,"&lt;"&amp;J995,'Istoric_Nativ'!$P$6:$P$405,1,'Istoric_Nativ'!$D$6:$D$405,"&gt;="&amp;L995),IF(H995="AWAY",SUMIFS('Istoric_Nativ'!$H$6:$H$405,'Istoric_Nativ'!$B$6:$B$405,E995,'Istoric_Nativ'!$C$6:$C$405,F995,'Istoric_Nativ'!$F$6:$F$405,G995,'Istoric_Nativ'!$D$6:$D$405,"&lt;"&amp;J995,'Istoric_Nativ'!$P$6:$P$405,1,'Istoric_Nativ'!$D$6:$D$405,"&gt;="&amp;L995),SUMIFS('Istoric_Nativ'!$G$6:$G$405,'Istoric_Nativ'!$B$6:$B$405,E995,'Istoric_Nativ'!$C$6:$C$405,F995,'Istoric_Nativ'!$E$6:$E$405,G995,'Istoric_Nativ'!$D$6:$D$405,"&lt;"&amp;J995,'Istoric_Nativ'!$P$6:$P$405,1,'Istoric_Nativ'!$D$6:$D$405,"&gt;="&amp;L995)+SUMIFS('Istoric_Nativ'!$H$6:$H$405,'Istoric_Nativ'!$B$6:$B$405,E995,'Istoric_Nativ'!$C$6:$C$405,F995,'Istoric_Nativ'!$F$6:$F$405,G995,'Istoric_Nativ'!$D$6:$D$405,"&lt;"&amp;J995,'Istoric_Nativ'!$P$6:$P$405,1,'Istoric_Nativ'!$D$6:$D$405,"&gt;="&amp;L995)))/M995)</x:f>
      </x:c>
      <x:c r="O995" s="11" t="str">
        <x:f>IF(M995=0,"",IF(H995="HOME",SUMIFS('Istoric_Nativ'!$H$6:$H$405,'Istoric_Nativ'!$B$6:$B$405,E995,'Istoric_Nativ'!$C$6:$C$405,F995,'Istoric_Nativ'!$E$6:$E$405,G995,'Istoric_Nativ'!$D$6:$D$405,"&lt;"&amp;J995,'Istoric_Nativ'!$P$6:$P$405,1,'Istoric_Nativ'!$D$6:$D$405,"&gt;="&amp;L995),IF(H995="AWAY",SUMIFS('Istoric_Nativ'!$G$6:$G$405,'Istoric_Nativ'!$B$6:$B$405,E995,'Istoric_Nativ'!$C$6:$C$405,F995,'Istoric_Nativ'!$F$6:$F$405,G995,'Istoric_Nativ'!$D$6:$D$405,"&lt;"&amp;J995,'Istoric_Nativ'!$P$6:$P$405,1,'Istoric_Nativ'!$D$6:$D$405,"&gt;="&amp;L995),SUMIFS('Istoric_Nativ'!$H$6:$H$405,'Istoric_Nativ'!$B$6:$B$405,E995,'Istoric_Nativ'!$C$6:$C$405,F995,'Istoric_Nativ'!$E$6:$E$405,G995,'Istoric_Nativ'!$D$6:$D$405,"&lt;"&amp;J995,'Istoric_Nativ'!$P$6:$P$405,1,'Istoric_Nativ'!$D$6:$D$405,"&gt;="&amp;L995)+SUMIFS('Istoric_Nativ'!$G$6:$G$405,'Istoric_Nativ'!$B$6:$B$405,E995,'Istoric_Nativ'!$C$6:$C$405,F995,'Istoric_Nativ'!$F$6:$F$405,G995,'Istoric_Nativ'!$D$6:$D$405,"&lt;"&amp;J995,'Istoric_Nativ'!$P$6:$P$405,1,'Istoric_Nativ'!$D$6:$D$405,"&gt;="&amp;L995)))/M995)</x:f>
      </x:c>
      <x:c r="P995" s="2" t="n">
        <x:f>'Config_v6'!$B$9</x:f>
        <x:v>3</x:v>
      </x:c>
      <x:c r="Q995" s="2" t="n">
        <x:f>IF(OR(B995="",F995=""),0,IFERROR(MATCH(E995&amp;"|"&amp;F995,SourceTable[Source_Key],0),0))</x:f>
        <x:v>0</x:v>
      </x:c>
      <x:c r="R995" s="2" t="str">
        <x:f>IF(B995="","",IF(F995="","UNUSED",IF(Q995=0,"NOT CHECKED",IF(COUNTIF(SourceTable[Source_Key],E995&amp;"|"&amp;F995)&lt;&gt;1,"SOURCE CONFLICT",IF(NOT(OR(INDEX(SourceTable[Status],MAX(1,Q995))="IMPORTED",INDEX(SourceTable[Status],MAX(1,Q995))="PARTIAL",INDEX(SourceTable[Status],MAX(1,Q995))="SOURCE CONFLICT")),"ACCESS BLOCKED",IF(OR(INDEX(SourceTable[Coverage],Q995)&lt;&gt;"FULL SEASON EXPORT",INDEX(SourceTable[URL],Q995)="",INDEX(SourceTable[SHA256],Q995)=""),"EVIDENCE INCOMPLETE",IF(AND('Input_Meci'!H88="LIVE",INDEX(SourceTable[Retrieved_UTC],Q995)&gt;'Input_Meci'!G88),"POST CUTOFF","CLOSED")))))))</x:f>
      </x:c>
      <x:c r="S995" s="2" t="n">
        <x:f>IF(OR(B995="",F995=""),0,COUNTIFS('Istoric_Nativ'!$B$6:$B$405,E995,'Istoric_Nativ'!$C$6:$C$405,F995,'Istoric_Nativ'!$E$6:$E$405,G995,'Istoric_Nativ'!$D$6:$D$405,"&lt;"&amp;J995,'Istoric_Nativ'!$O$6:$O$405,"INVALID")+COUNTIFS('Istoric_Nativ'!$B$6:$B$405,E995,'Istoric_Nativ'!$C$6:$C$405,F995,'Istoric_Nativ'!$E$6:$E$405,G995,'Istoric_Nativ'!$O$6:$O$405,"INVALID",'Istoric_Nativ'!$D$6:$D$405,"*")+COUNTIFS('Istoric_Nativ'!$B$6:$B$405,E995,'Istoric_Nativ'!$C$6:$C$405,F995,'Istoric_Nativ'!$E$6:$E$405,G995,'Istoric_Nativ'!$D$6:$D$405,"&lt;"&amp;J995,'Istoric_Nativ'!$O$6:$O$405,"SOURCE CONFLICT")+COUNTIFS('Istoric_Nativ'!$B$6:$B$405,E995,'Istoric_Nativ'!$C$6:$C$405,F995,'Istoric_Nativ'!$F$6:$F$405,G995,'Istoric_Nativ'!$D$6:$D$405,"&lt;"&amp;J995,'Istoric_Nativ'!$O$6:$O$405,"INVALID")+COUNTIFS('Istoric_Nativ'!$B$6:$B$405,E995,'Istoric_Nativ'!$C$6:$C$405,F995,'Istoric_Nativ'!$F$6:$F$405,G995,'Istoric_Nativ'!$O$6:$O$405,"INVALID",'Istoric_Nativ'!$D$6:$D$405,"*")+COUNTIFS('Istoric_Nativ'!$B$6:$B$405,E995,'Istoric_Nativ'!$C$6:$C$405,F995,'Istoric_Nativ'!$F$6:$F$405,G995,'Istoric_Nativ'!$D$6:$D$405,"&lt;"&amp;J995,'Istoric_Nativ'!$O$6:$O$405,"SOURCE CONFLICT"))</x:f>
        <x:v>0</x:v>
      </x:c>
      <x:c r="T995" s="2" t="str">
        <x:f>IF(B995="","",IF(R995&lt;&gt;"CLOSED",R995,IF(S995&gt;0,"NATIVE INPUT ISSUE",IF(M995=0,"NO HISTORY",IF(M995&lt;P995,"SMALL SAMPLE","DERIVED")))))</x:f>
      </x:c>
      <x:c r="U995" s="2" t="str">
        <x:f>IF(B995="","","NativeTable; "&amp;E995&amp;"; "&amp;F995&amp;"; "&amp;G995&amp;"; "&amp;H995&amp;"; before "&amp;TEXT(J995,"yyyy-mm-dd")&amp;IF(I995="RECENT","; from "&amp;TEXT(L995,"yyyy-mm-dd"),""))</x:f>
      </x:c>
    </x:row>
    <x:row r="996" ht="21" customHeight="1">
      <x:c r="A996" s="2" t="n">
        <x:v>83</x:v>
      </x:c>
      <x:c r="B996" s="2" t="str">
        <x:f>IF('Input_Meci'!A88="","",'Input_Meci'!A88)</x:f>
      </x:c>
      <x:c r="C996" s="2" t="str">
        <x:v>H</x:v>
      </x:c>
      <x:c r="D996" s="2" t="str">
        <x:v>PRIOR</x:v>
      </x:c>
      <x:c r="E996" s="2" t="str">
        <x:f>IF(B996="","",'Input_Meci'!B88)</x:f>
      </x:c>
      <x:c r="F996" s="2" t="str">
        <x:f>IF(B996="","",IF('Input_Meci'!K88="","",'Input_Meci'!K88))</x:f>
      </x:c>
      <x:c r="G996" s="2" t="str">
        <x:f>IF(B996="","",'Input_Meci'!D88)</x:f>
      </x:c>
      <x:c r="H996" s="2" t="str">
        <x:v>ANY</x:v>
      </x:c>
      <x:c r="I996" s="2" t="str">
        <x:v>SEASON</x:v>
      </x:c>
      <x:c r="J996" s="9" t="n">
        <x:f>IF(AND(B996&lt;&gt;"",ISNUMBER('Input_Meci'!G88)),INT('Input_Meci'!G88),0)</x:f>
        <x:v>0</x:v>
      </x:c>
      <x:c r="K996" s="2" t="n">
        <x:f>IF(OR(B996="",F996=""),0,IF(H996="HOME",COUNTIFS('Istoric_Nativ'!$B$6:$B$405,E996,'Istoric_Nativ'!$C$6:$C$405,F996,'Istoric_Nativ'!$E$6:$E$405,G996,'Istoric_Nativ'!$D$6:$D$405,"&lt;"&amp;J996,'Istoric_Nativ'!$P$6:$P$405,1),IF(H996="AWAY",COUNTIFS('Istoric_Nativ'!$B$6:$B$405,E996,'Istoric_Nativ'!$C$6:$C$405,F996,'Istoric_Nativ'!$F$6:$F$405,G996,'Istoric_Nativ'!$D$6:$D$405,"&lt;"&amp;J996,'Istoric_Nativ'!$P$6:$P$405,1),COUNTIFS('Istoric_Nativ'!$B$6:$B$405,E996,'Istoric_Nativ'!$C$6:$C$405,F996,'Istoric_Nativ'!$E$6:$E$405,G996,'Istoric_Nativ'!$D$6:$D$405,"&lt;"&amp;J996,'Istoric_Nativ'!$P$6:$P$405,1)+COUNTIFS('Istoric_Nativ'!$B$6:$B$405,E996,'Istoric_Nativ'!$C$6:$C$405,F996,'Istoric_Nativ'!$F$6:$F$405,G996,'Istoric_Nativ'!$D$6:$D$405,"&lt;"&amp;J996,'Istoric_Nativ'!$P$6:$P$405,1))))</x:f>
        <x:v>0</x:v>
      </x:c>
      <x:c r="L996" s="17" t="n">
        <x:f>IF(AND(B996&lt;&gt;"",I996="RECENT",K996&gt;0),LARGE(_xlfn._xlws.FILTER('Istoric_Nativ'!$D$6:$D$405,('Istoric_Nativ'!$B$6:$B$405=E996)*('Istoric_Nativ'!$C$6:$C$405=F996)*('Istoric_Nativ'!$P$6:$P$405=1)*('Istoric_Nativ'!$D$6:$D$405&lt;J996)*((('Istoric_Nativ'!$E$6:$E$405=G996)+('Istoric_Nativ'!$F$6:$F$405=G996))&gt;0)),MIN('Config_v6'!$B$54,K996)),0)</x:f>
        <x:v>0</x:v>
      </x:c>
      <x:c r="M996" s="2" t="n">
        <x:f>IF(OR(B996="",F996=""),0,IF(H996="HOME",COUNTIFS('Istoric_Nativ'!$B$6:$B$405,E996,'Istoric_Nativ'!$C$6:$C$405,F996,'Istoric_Nativ'!$E$6:$E$405,G996,'Istoric_Nativ'!$D$6:$D$405,"&lt;"&amp;J996,'Istoric_Nativ'!$P$6:$P$405,1,'Istoric_Nativ'!$D$6:$D$405,"&gt;="&amp;L996),IF(H996="AWAY",COUNTIFS('Istoric_Nativ'!$B$6:$B$405,E996,'Istoric_Nativ'!$C$6:$C$405,F996,'Istoric_Nativ'!$F$6:$F$405,G996,'Istoric_Nativ'!$D$6:$D$405,"&lt;"&amp;J996,'Istoric_Nativ'!$P$6:$P$405,1,'Istoric_Nativ'!$D$6:$D$405,"&gt;="&amp;L996),COUNTIFS('Istoric_Nativ'!$B$6:$B$405,E996,'Istoric_Nativ'!$C$6:$C$405,F996,'Istoric_Nativ'!$E$6:$E$405,G996,'Istoric_Nativ'!$D$6:$D$405,"&lt;"&amp;J996,'Istoric_Nativ'!$P$6:$P$405,1,'Istoric_Nativ'!$D$6:$D$405,"&gt;="&amp;L996)+COUNTIFS('Istoric_Nativ'!$B$6:$B$405,E996,'Istoric_Nativ'!$C$6:$C$405,F996,'Istoric_Nativ'!$F$6:$F$405,G996,'Istoric_Nativ'!$D$6:$D$405,"&lt;"&amp;J996,'Istoric_Nativ'!$P$6:$P$405,1,'Istoric_Nativ'!$D$6:$D$405,"&gt;="&amp;L996))))</x:f>
        <x:v>0</x:v>
      </x:c>
      <x:c r="N996" s="11" t="str">
        <x:f>IF(M996=0,"",IF(H996="HOME",SUMIFS('Istoric_Nativ'!$G$6:$G$405,'Istoric_Nativ'!$B$6:$B$405,E996,'Istoric_Nativ'!$C$6:$C$405,F996,'Istoric_Nativ'!$E$6:$E$405,G996,'Istoric_Nativ'!$D$6:$D$405,"&lt;"&amp;J996,'Istoric_Nativ'!$P$6:$P$405,1,'Istoric_Nativ'!$D$6:$D$405,"&gt;="&amp;L996),IF(H996="AWAY",SUMIFS('Istoric_Nativ'!$H$6:$H$405,'Istoric_Nativ'!$B$6:$B$405,E996,'Istoric_Nativ'!$C$6:$C$405,F996,'Istoric_Nativ'!$F$6:$F$405,G996,'Istoric_Nativ'!$D$6:$D$405,"&lt;"&amp;J996,'Istoric_Nativ'!$P$6:$P$405,1,'Istoric_Nativ'!$D$6:$D$405,"&gt;="&amp;L996),SUMIFS('Istoric_Nativ'!$G$6:$G$405,'Istoric_Nativ'!$B$6:$B$405,E996,'Istoric_Nativ'!$C$6:$C$405,F996,'Istoric_Nativ'!$E$6:$E$405,G996,'Istoric_Nativ'!$D$6:$D$405,"&lt;"&amp;J996,'Istoric_Nativ'!$P$6:$P$405,1,'Istoric_Nativ'!$D$6:$D$405,"&gt;="&amp;L996)+SUMIFS('Istoric_Nativ'!$H$6:$H$405,'Istoric_Nativ'!$B$6:$B$405,E996,'Istoric_Nativ'!$C$6:$C$405,F996,'Istoric_Nativ'!$F$6:$F$405,G996,'Istoric_Nativ'!$D$6:$D$405,"&lt;"&amp;J996,'Istoric_Nativ'!$P$6:$P$405,1,'Istoric_Nativ'!$D$6:$D$405,"&gt;="&amp;L996)))/M996)</x:f>
      </x:c>
      <x:c r="O996" s="11" t="str">
        <x:f>IF(M996=0,"",IF(H996="HOME",SUMIFS('Istoric_Nativ'!$H$6:$H$405,'Istoric_Nativ'!$B$6:$B$405,E996,'Istoric_Nativ'!$C$6:$C$405,F996,'Istoric_Nativ'!$E$6:$E$405,G996,'Istoric_Nativ'!$D$6:$D$405,"&lt;"&amp;J996,'Istoric_Nativ'!$P$6:$P$405,1,'Istoric_Nativ'!$D$6:$D$405,"&gt;="&amp;L996),IF(H996="AWAY",SUMIFS('Istoric_Nativ'!$G$6:$G$405,'Istoric_Nativ'!$B$6:$B$405,E996,'Istoric_Nativ'!$C$6:$C$405,F996,'Istoric_Nativ'!$F$6:$F$405,G996,'Istoric_Nativ'!$D$6:$D$405,"&lt;"&amp;J996,'Istoric_Nativ'!$P$6:$P$405,1,'Istoric_Nativ'!$D$6:$D$405,"&gt;="&amp;L996),SUMIFS('Istoric_Nativ'!$H$6:$H$405,'Istoric_Nativ'!$B$6:$B$405,E996,'Istoric_Nativ'!$C$6:$C$405,F996,'Istoric_Nativ'!$E$6:$E$405,G996,'Istoric_Nativ'!$D$6:$D$405,"&lt;"&amp;J996,'Istoric_Nativ'!$P$6:$P$405,1,'Istoric_Nativ'!$D$6:$D$405,"&gt;="&amp;L996)+SUMIFS('Istoric_Nativ'!$G$6:$G$405,'Istoric_Nativ'!$B$6:$B$405,E996,'Istoric_Nativ'!$C$6:$C$405,F996,'Istoric_Nativ'!$F$6:$F$405,G996,'Istoric_Nativ'!$D$6:$D$405,"&lt;"&amp;J996,'Istoric_Nativ'!$P$6:$P$405,1,'Istoric_Nativ'!$D$6:$D$405,"&gt;="&amp;L996)))/M996)</x:f>
      </x:c>
      <x:c r="P996" s="2" t="n">
        <x:f>'Config_v6'!$B$7</x:f>
        <x:v>10</x:v>
      </x:c>
      <x:c r="Q996" s="2" t="n">
        <x:f>IF(OR(B996="",F996=""),0,IFERROR(MATCH(E996&amp;"|"&amp;F996,SourceTable[Source_Key],0),0))</x:f>
        <x:v>0</x:v>
      </x:c>
      <x:c r="R996" s="2" t="str">
        <x:f>IF(B996="","",IF(F996="","UNUSED",IF(Q996=0,"NOT CHECKED",IF(COUNTIF(SourceTable[Source_Key],E996&amp;"|"&amp;F996)&lt;&gt;1,"SOURCE CONFLICT",IF(NOT(OR(INDEX(SourceTable[Status],MAX(1,Q996))="IMPORTED",INDEX(SourceTable[Status],MAX(1,Q996))="PARTIAL",INDEX(SourceTable[Status],MAX(1,Q996))="SOURCE CONFLICT")),"ACCESS BLOCKED",IF(OR(INDEX(SourceTable[Coverage],Q996)&lt;&gt;"FULL SEASON EXPORT",INDEX(SourceTable[URL],Q996)="",INDEX(SourceTable[SHA256],Q996)=""),"EVIDENCE INCOMPLETE",IF(AND('Input_Meci'!H88="LIVE",INDEX(SourceTable[Retrieved_UTC],Q996)&gt;'Input_Meci'!G88),"POST CUTOFF","CLOSED")))))))</x:f>
      </x:c>
      <x:c r="S996" s="2" t="n">
        <x:f>IF(OR(B996="",F996=""),0,COUNTIFS('Istoric_Nativ'!$B$6:$B$405,E996,'Istoric_Nativ'!$C$6:$C$405,F996,'Istoric_Nativ'!$E$6:$E$405,G996,'Istoric_Nativ'!$D$6:$D$405,"&lt;"&amp;J996,'Istoric_Nativ'!$O$6:$O$405,"INVALID")+COUNTIFS('Istoric_Nativ'!$B$6:$B$405,E996,'Istoric_Nativ'!$C$6:$C$405,F996,'Istoric_Nativ'!$E$6:$E$405,G996,'Istoric_Nativ'!$O$6:$O$405,"INVALID",'Istoric_Nativ'!$D$6:$D$405,"*")+COUNTIFS('Istoric_Nativ'!$B$6:$B$405,E996,'Istoric_Nativ'!$C$6:$C$405,F996,'Istoric_Nativ'!$E$6:$E$405,G996,'Istoric_Nativ'!$D$6:$D$405,"&lt;"&amp;J996,'Istoric_Nativ'!$O$6:$O$405,"SOURCE CONFLICT")+COUNTIFS('Istoric_Nativ'!$B$6:$B$405,E996,'Istoric_Nativ'!$C$6:$C$405,F996,'Istoric_Nativ'!$F$6:$F$405,G996,'Istoric_Nativ'!$D$6:$D$405,"&lt;"&amp;J996,'Istoric_Nativ'!$O$6:$O$405,"INVALID")+COUNTIFS('Istoric_Nativ'!$B$6:$B$405,E996,'Istoric_Nativ'!$C$6:$C$405,F996,'Istoric_Nativ'!$F$6:$F$405,G996,'Istoric_Nativ'!$O$6:$O$405,"INVALID",'Istoric_Nativ'!$D$6:$D$405,"*")+COUNTIFS('Istoric_Nativ'!$B$6:$B$405,E996,'Istoric_Nativ'!$C$6:$C$405,F996,'Istoric_Nativ'!$F$6:$F$405,G996,'Istoric_Nativ'!$D$6:$D$405,"&lt;"&amp;J996,'Istoric_Nativ'!$O$6:$O$405,"SOURCE CONFLICT"))</x:f>
        <x:v>0</x:v>
      </x:c>
      <x:c r="T996" s="2" t="str">
        <x:f>IF(B996="","",IF(R996&lt;&gt;"CLOSED",R996,IF(S996&gt;0,"NATIVE INPUT ISSUE",IF(M996=0,"NO HISTORY",IF(M996&lt;P996,"SMALL SAMPLE","DERIVED")))))</x:f>
      </x:c>
      <x:c r="U996" s="2" t="str">
        <x:f>IF(B996="","","NativeTable; "&amp;E996&amp;"; "&amp;F996&amp;"; "&amp;G996&amp;"; "&amp;H996&amp;"; before "&amp;TEXT(J996,"yyyy-mm-dd")&amp;IF(I996="RECENT","; from "&amp;TEXT(L996,"yyyy-mm-dd"),""))</x:f>
      </x:c>
    </x:row>
    <x:row r="997" ht="21" customHeight="1">
      <x:c r="A997" s="2" t="n">
        <x:v>83</x:v>
      </x:c>
      <x:c r="B997" s="2" t="str">
        <x:f>IF('Input_Meci'!A88="","",'Input_Meci'!A88)</x:f>
      </x:c>
      <x:c r="C997" s="2" t="str">
        <x:v>H</x:v>
      </x:c>
      <x:c r="D997" s="2" t="str">
        <x:v>PRIOR</x:v>
      </x:c>
      <x:c r="E997" s="2" t="str">
        <x:f>IF(B997="","",'Input_Meci'!B88)</x:f>
      </x:c>
      <x:c r="F997" s="2" t="str">
        <x:f>IF(B997="","",IF('Input_Meci'!K88="","",'Input_Meci'!K88))</x:f>
      </x:c>
      <x:c r="G997" s="2" t="str">
        <x:f>IF(B997="","",'Input_Meci'!D88)</x:f>
      </x:c>
      <x:c r="H997" s="2" t="str">
        <x:v>HOME</x:v>
      </x:c>
      <x:c r="I997" s="2" t="str">
        <x:v>HA</x:v>
      </x:c>
      <x:c r="J997" s="9" t="n">
        <x:f>IF(AND(B997&lt;&gt;"",ISNUMBER('Input_Meci'!G88)),INT('Input_Meci'!G88),0)</x:f>
        <x:v>0</x:v>
      </x:c>
      <x:c r="K997" s="2" t="n">
        <x:f>IF(OR(B997="",F997=""),0,IF(H997="HOME",COUNTIFS('Istoric_Nativ'!$B$6:$B$405,E997,'Istoric_Nativ'!$C$6:$C$405,F997,'Istoric_Nativ'!$E$6:$E$405,G997,'Istoric_Nativ'!$D$6:$D$405,"&lt;"&amp;J997,'Istoric_Nativ'!$P$6:$P$405,1),IF(H997="AWAY",COUNTIFS('Istoric_Nativ'!$B$6:$B$405,E997,'Istoric_Nativ'!$C$6:$C$405,F997,'Istoric_Nativ'!$F$6:$F$405,G997,'Istoric_Nativ'!$D$6:$D$405,"&lt;"&amp;J997,'Istoric_Nativ'!$P$6:$P$405,1),COUNTIFS('Istoric_Nativ'!$B$6:$B$405,E997,'Istoric_Nativ'!$C$6:$C$405,F997,'Istoric_Nativ'!$E$6:$E$405,G997,'Istoric_Nativ'!$D$6:$D$405,"&lt;"&amp;J997,'Istoric_Nativ'!$P$6:$P$405,1)+COUNTIFS('Istoric_Nativ'!$B$6:$B$405,E997,'Istoric_Nativ'!$C$6:$C$405,F997,'Istoric_Nativ'!$F$6:$F$405,G997,'Istoric_Nativ'!$D$6:$D$405,"&lt;"&amp;J997,'Istoric_Nativ'!$P$6:$P$405,1))))</x:f>
        <x:v>0</x:v>
      </x:c>
      <x:c r="L997" s="17" t="n">
        <x:f>IF(AND(B997&lt;&gt;"",I997="RECENT",K997&gt;0),LARGE(_xlfn._xlws.FILTER('Istoric_Nativ'!$D$6:$D$405,('Istoric_Nativ'!$B$6:$B$405=E997)*('Istoric_Nativ'!$C$6:$C$405=F997)*('Istoric_Nativ'!$P$6:$P$405=1)*('Istoric_Nativ'!$D$6:$D$405&lt;J997)*((('Istoric_Nativ'!$E$6:$E$405=G997)+('Istoric_Nativ'!$F$6:$F$405=G997))&gt;0)),MIN('Config_v6'!$B$54,K997)),0)</x:f>
        <x:v>0</x:v>
      </x:c>
      <x:c r="M997" s="2" t="n">
        <x:f>IF(OR(B997="",F997=""),0,IF(H997="HOME",COUNTIFS('Istoric_Nativ'!$B$6:$B$405,E997,'Istoric_Nativ'!$C$6:$C$405,F997,'Istoric_Nativ'!$E$6:$E$405,G997,'Istoric_Nativ'!$D$6:$D$405,"&lt;"&amp;J997,'Istoric_Nativ'!$P$6:$P$405,1,'Istoric_Nativ'!$D$6:$D$405,"&gt;="&amp;L997),IF(H997="AWAY",COUNTIFS('Istoric_Nativ'!$B$6:$B$405,E997,'Istoric_Nativ'!$C$6:$C$405,F997,'Istoric_Nativ'!$F$6:$F$405,G997,'Istoric_Nativ'!$D$6:$D$405,"&lt;"&amp;J997,'Istoric_Nativ'!$P$6:$P$405,1,'Istoric_Nativ'!$D$6:$D$405,"&gt;="&amp;L997),COUNTIFS('Istoric_Nativ'!$B$6:$B$405,E997,'Istoric_Nativ'!$C$6:$C$405,F997,'Istoric_Nativ'!$E$6:$E$405,G997,'Istoric_Nativ'!$D$6:$D$405,"&lt;"&amp;J997,'Istoric_Nativ'!$P$6:$P$405,1,'Istoric_Nativ'!$D$6:$D$405,"&gt;="&amp;L997)+COUNTIFS('Istoric_Nativ'!$B$6:$B$405,E997,'Istoric_Nativ'!$C$6:$C$405,F997,'Istoric_Nativ'!$F$6:$F$405,G997,'Istoric_Nativ'!$D$6:$D$405,"&lt;"&amp;J997,'Istoric_Nativ'!$P$6:$P$405,1,'Istoric_Nativ'!$D$6:$D$405,"&gt;="&amp;L997))))</x:f>
        <x:v>0</x:v>
      </x:c>
      <x:c r="N997" s="11" t="str">
        <x:f>IF(M997=0,"",IF(H997="HOME",SUMIFS('Istoric_Nativ'!$G$6:$G$405,'Istoric_Nativ'!$B$6:$B$405,E997,'Istoric_Nativ'!$C$6:$C$405,F997,'Istoric_Nativ'!$E$6:$E$405,G997,'Istoric_Nativ'!$D$6:$D$405,"&lt;"&amp;J997,'Istoric_Nativ'!$P$6:$P$405,1,'Istoric_Nativ'!$D$6:$D$405,"&gt;="&amp;L997),IF(H997="AWAY",SUMIFS('Istoric_Nativ'!$H$6:$H$405,'Istoric_Nativ'!$B$6:$B$405,E997,'Istoric_Nativ'!$C$6:$C$405,F997,'Istoric_Nativ'!$F$6:$F$405,G997,'Istoric_Nativ'!$D$6:$D$405,"&lt;"&amp;J997,'Istoric_Nativ'!$P$6:$P$405,1,'Istoric_Nativ'!$D$6:$D$405,"&gt;="&amp;L997),SUMIFS('Istoric_Nativ'!$G$6:$G$405,'Istoric_Nativ'!$B$6:$B$405,E997,'Istoric_Nativ'!$C$6:$C$405,F997,'Istoric_Nativ'!$E$6:$E$405,G997,'Istoric_Nativ'!$D$6:$D$405,"&lt;"&amp;J997,'Istoric_Nativ'!$P$6:$P$405,1,'Istoric_Nativ'!$D$6:$D$405,"&gt;="&amp;L997)+SUMIFS('Istoric_Nativ'!$H$6:$H$405,'Istoric_Nativ'!$B$6:$B$405,E997,'Istoric_Nativ'!$C$6:$C$405,F997,'Istoric_Nativ'!$F$6:$F$405,G997,'Istoric_Nativ'!$D$6:$D$405,"&lt;"&amp;J997,'Istoric_Nativ'!$P$6:$P$405,1,'Istoric_Nativ'!$D$6:$D$405,"&gt;="&amp;L997)))/M997)</x:f>
      </x:c>
      <x:c r="O997" s="11" t="str">
        <x:f>IF(M997=0,"",IF(H997="HOME",SUMIFS('Istoric_Nativ'!$H$6:$H$405,'Istoric_Nativ'!$B$6:$B$405,E997,'Istoric_Nativ'!$C$6:$C$405,F997,'Istoric_Nativ'!$E$6:$E$405,G997,'Istoric_Nativ'!$D$6:$D$405,"&lt;"&amp;J997,'Istoric_Nativ'!$P$6:$P$405,1,'Istoric_Nativ'!$D$6:$D$405,"&gt;="&amp;L997),IF(H997="AWAY",SUMIFS('Istoric_Nativ'!$G$6:$G$405,'Istoric_Nativ'!$B$6:$B$405,E997,'Istoric_Nativ'!$C$6:$C$405,F997,'Istoric_Nativ'!$F$6:$F$405,G997,'Istoric_Nativ'!$D$6:$D$405,"&lt;"&amp;J997,'Istoric_Nativ'!$P$6:$P$405,1,'Istoric_Nativ'!$D$6:$D$405,"&gt;="&amp;L997),SUMIFS('Istoric_Nativ'!$H$6:$H$405,'Istoric_Nativ'!$B$6:$B$405,E997,'Istoric_Nativ'!$C$6:$C$405,F997,'Istoric_Nativ'!$E$6:$E$405,G997,'Istoric_Nativ'!$D$6:$D$405,"&lt;"&amp;J997,'Istoric_Nativ'!$P$6:$P$405,1,'Istoric_Nativ'!$D$6:$D$405,"&gt;="&amp;L997)+SUMIFS('Istoric_Nativ'!$G$6:$G$405,'Istoric_Nativ'!$B$6:$B$405,E997,'Istoric_Nativ'!$C$6:$C$405,F997,'Istoric_Nativ'!$F$6:$F$405,G997,'Istoric_Nativ'!$D$6:$D$405,"&lt;"&amp;J997,'Istoric_Nativ'!$P$6:$P$405,1,'Istoric_Nativ'!$D$6:$D$405,"&gt;="&amp;L997)))/M997)</x:f>
      </x:c>
      <x:c r="P997" s="2" t="n">
        <x:f>'Config_v6'!$B$8</x:f>
        <x:v>5</x:v>
      </x:c>
      <x:c r="Q997" s="2" t="n">
        <x:f>IF(OR(B997="",F997=""),0,IFERROR(MATCH(E997&amp;"|"&amp;F997,SourceTable[Source_Key],0),0))</x:f>
        <x:v>0</x:v>
      </x:c>
      <x:c r="R997" s="2" t="str">
        <x:f>IF(B997="","",IF(F997="","UNUSED",IF(Q997=0,"NOT CHECKED",IF(COUNTIF(SourceTable[Source_Key],E997&amp;"|"&amp;F997)&lt;&gt;1,"SOURCE CONFLICT",IF(NOT(OR(INDEX(SourceTable[Status],MAX(1,Q997))="IMPORTED",INDEX(SourceTable[Status],MAX(1,Q997))="PARTIAL",INDEX(SourceTable[Status],MAX(1,Q997))="SOURCE CONFLICT")),"ACCESS BLOCKED",IF(OR(INDEX(SourceTable[Coverage],Q997)&lt;&gt;"FULL SEASON EXPORT",INDEX(SourceTable[URL],Q997)="",INDEX(SourceTable[SHA256],Q997)=""),"EVIDENCE INCOMPLETE",IF(AND('Input_Meci'!H88="LIVE",INDEX(SourceTable[Retrieved_UTC],Q997)&gt;'Input_Meci'!G88),"POST CUTOFF","CLOSED")))))))</x:f>
      </x:c>
      <x:c r="S997" s="2" t="n">
        <x:f>IF(OR(B997="",F997=""),0,COUNTIFS('Istoric_Nativ'!$B$6:$B$405,E997,'Istoric_Nativ'!$C$6:$C$405,F997,'Istoric_Nativ'!$E$6:$E$405,G997,'Istoric_Nativ'!$D$6:$D$405,"&lt;"&amp;J997,'Istoric_Nativ'!$O$6:$O$405,"INVALID")+COUNTIFS('Istoric_Nativ'!$B$6:$B$405,E997,'Istoric_Nativ'!$C$6:$C$405,F997,'Istoric_Nativ'!$E$6:$E$405,G997,'Istoric_Nativ'!$O$6:$O$405,"INVALID",'Istoric_Nativ'!$D$6:$D$405,"*")+COUNTIFS('Istoric_Nativ'!$B$6:$B$405,E997,'Istoric_Nativ'!$C$6:$C$405,F997,'Istoric_Nativ'!$E$6:$E$405,G997,'Istoric_Nativ'!$D$6:$D$405,"&lt;"&amp;J997,'Istoric_Nativ'!$O$6:$O$405,"SOURCE CONFLICT")+COUNTIFS('Istoric_Nativ'!$B$6:$B$405,E997,'Istoric_Nativ'!$C$6:$C$405,F997,'Istoric_Nativ'!$F$6:$F$405,G997,'Istoric_Nativ'!$D$6:$D$405,"&lt;"&amp;J997,'Istoric_Nativ'!$O$6:$O$405,"INVALID")+COUNTIFS('Istoric_Nativ'!$B$6:$B$405,E997,'Istoric_Nativ'!$C$6:$C$405,F997,'Istoric_Nativ'!$F$6:$F$405,G997,'Istoric_Nativ'!$O$6:$O$405,"INVALID",'Istoric_Nativ'!$D$6:$D$405,"*")+COUNTIFS('Istoric_Nativ'!$B$6:$B$405,E997,'Istoric_Nativ'!$C$6:$C$405,F997,'Istoric_Nativ'!$F$6:$F$405,G997,'Istoric_Nativ'!$D$6:$D$405,"&lt;"&amp;J997,'Istoric_Nativ'!$O$6:$O$405,"SOURCE CONFLICT"))</x:f>
        <x:v>0</x:v>
      </x:c>
      <x:c r="T997" s="2" t="str">
        <x:f>IF(B997="","",IF(R997&lt;&gt;"CLOSED",R997,IF(S997&gt;0,"NATIVE INPUT ISSUE",IF(M997=0,"NO HISTORY",IF(M997&lt;P997,"SMALL SAMPLE","DERIVED")))))</x:f>
      </x:c>
      <x:c r="U997" s="2" t="str">
        <x:f>IF(B997="","","NativeTable; "&amp;E997&amp;"; "&amp;F997&amp;"; "&amp;G997&amp;"; "&amp;H997&amp;"; before "&amp;TEXT(J997,"yyyy-mm-dd")&amp;IF(I997="RECENT","; from "&amp;TEXT(L997,"yyyy-mm-dd"),""))</x:f>
      </x:c>
    </x:row>
    <x:row r="998" ht="21" customHeight="1">
      <x:c r="A998" s="2" t="n">
        <x:v>83</x:v>
      </x:c>
      <x:c r="B998" s="2" t="str">
        <x:f>IF('Input_Meci'!A88="","",'Input_Meci'!A88)</x:f>
      </x:c>
      <x:c r="C998" s="2" t="str">
        <x:v>H</x:v>
      </x:c>
      <x:c r="D998" s="2" t="str">
        <x:v>PRIOR</x:v>
      </x:c>
      <x:c r="E998" s="2" t="str">
        <x:f>IF(B998="","",'Input_Meci'!B88)</x:f>
      </x:c>
      <x:c r="F998" s="2" t="str">
        <x:f>IF(B998="","",IF('Input_Meci'!K88="","",'Input_Meci'!K88))</x:f>
      </x:c>
      <x:c r="G998" s="2" t="str">
        <x:f>IF(B998="","",'Input_Meci'!D88)</x:f>
      </x:c>
      <x:c r="H998" s="2" t="str">
        <x:v>ANY</x:v>
      </x:c>
      <x:c r="I998" s="2" t="str">
        <x:v>RECENT</x:v>
      </x:c>
      <x:c r="J998" s="9" t="n">
        <x:f>IF(AND(B998&lt;&gt;"",ISNUMBER('Input_Meci'!G88)),INT('Input_Meci'!G88),0)</x:f>
        <x:v>0</x:v>
      </x:c>
      <x:c r="K998" s="2" t="n">
        <x:f>IF(OR(B998="",F998=""),0,IF(H998="HOME",COUNTIFS('Istoric_Nativ'!$B$6:$B$405,E998,'Istoric_Nativ'!$C$6:$C$405,F998,'Istoric_Nativ'!$E$6:$E$405,G998,'Istoric_Nativ'!$D$6:$D$405,"&lt;"&amp;J998,'Istoric_Nativ'!$P$6:$P$405,1),IF(H998="AWAY",COUNTIFS('Istoric_Nativ'!$B$6:$B$405,E998,'Istoric_Nativ'!$C$6:$C$405,F998,'Istoric_Nativ'!$F$6:$F$405,G998,'Istoric_Nativ'!$D$6:$D$405,"&lt;"&amp;J998,'Istoric_Nativ'!$P$6:$P$405,1),COUNTIFS('Istoric_Nativ'!$B$6:$B$405,E998,'Istoric_Nativ'!$C$6:$C$405,F998,'Istoric_Nativ'!$E$6:$E$405,G998,'Istoric_Nativ'!$D$6:$D$405,"&lt;"&amp;J998,'Istoric_Nativ'!$P$6:$P$405,1)+COUNTIFS('Istoric_Nativ'!$B$6:$B$405,E998,'Istoric_Nativ'!$C$6:$C$405,F998,'Istoric_Nativ'!$F$6:$F$405,G998,'Istoric_Nativ'!$D$6:$D$405,"&lt;"&amp;J998,'Istoric_Nativ'!$P$6:$P$405,1))))</x:f>
        <x:v>0</x:v>
      </x:c>
      <x:c r="L998" s="17" t="n">
        <x:f>IF(AND(B998&lt;&gt;"",I998="RECENT",K998&gt;0),LARGE(_xlfn._xlws.FILTER('Istoric_Nativ'!$D$6:$D$405,('Istoric_Nativ'!$B$6:$B$405=E998)*('Istoric_Nativ'!$C$6:$C$405=F998)*('Istoric_Nativ'!$P$6:$P$405=1)*('Istoric_Nativ'!$D$6:$D$405&lt;J998)*((('Istoric_Nativ'!$E$6:$E$405=G998)+('Istoric_Nativ'!$F$6:$F$405=G998))&gt;0)),MIN('Config_v6'!$B$54,K998)),0)</x:f>
        <x:v>0</x:v>
      </x:c>
      <x:c r="M998" s="2" t="n">
        <x:f>IF(OR(B998="",F998=""),0,IF(H998="HOME",COUNTIFS('Istoric_Nativ'!$B$6:$B$405,E998,'Istoric_Nativ'!$C$6:$C$405,F998,'Istoric_Nativ'!$E$6:$E$405,G998,'Istoric_Nativ'!$D$6:$D$405,"&lt;"&amp;J998,'Istoric_Nativ'!$P$6:$P$405,1,'Istoric_Nativ'!$D$6:$D$405,"&gt;="&amp;L998),IF(H998="AWAY",COUNTIFS('Istoric_Nativ'!$B$6:$B$405,E998,'Istoric_Nativ'!$C$6:$C$405,F998,'Istoric_Nativ'!$F$6:$F$405,G998,'Istoric_Nativ'!$D$6:$D$405,"&lt;"&amp;J998,'Istoric_Nativ'!$P$6:$P$405,1,'Istoric_Nativ'!$D$6:$D$405,"&gt;="&amp;L998),COUNTIFS('Istoric_Nativ'!$B$6:$B$405,E998,'Istoric_Nativ'!$C$6:$C$405,F998,'Istoric_Nativ'!$E$6:$E$405,G998,'Istoric_Nativ'!$D$6:$D$405,"&lt;"&amp;J998,'Istoric_Nativ'!$P$6:$P$405,1,'Istoric_Nativ'!$D$6:$D$405,"&gt;="&amp;L998)+COUNTIFS('Istoric_Nativ'!$B$6:$B$405,E998,'Istoric_Nativ'!$C$6:$C$405,F998,'Istoric_Nativ'!$F$6:$F$405,G998,'Istoric_Nativ'!$D$6:$D$405,"&lt;"&amp;J998,'Istoric_Nativ'!$P$6:$P$405,1,'Istoric_Nativ'!$D$6:$D$405,"&gt;="&amp;L998))))</x:f>
        <x:v>0</x:v>
      </x:c>
      <x:c r="N998" s="11" t="str">
        <x:f>IF(M998=0,"",IF(H998="HOME",SUMIFS('Istoric_Nativ'!$G$6:$G$405,'Istoric_Nativ'!$B$6:$B$405,E998,'Istoric_Nativ'!$C$6:$C$405,F998,'Istoric_Nativ'!$E$6:$E$405,G998,'Istoric_Nativ'!$D$6:$D$405,"&lt;"&amp;J998,'Istoric_Nativ'!$P$6:$P$405,1,'Istoric_Nativ'!$D$6:$D$405,"&gt;="&amp;L998),IF(H998="AWAY",SUMIFS('Istoric_Nativ'!$H$6:$H$405,'Istoric_Nativ'!$B$6:$B$405,E998,'Istoric_Nativ'!$C$6:$C$405,F998,'Istoric_Nativ'!$F$6:$F$405,G998,'Istoric_Nativ'!$D$6:$D$405,"&lt;"&amp;J998,'Istoric_Nativ'!$P$6:$P$405,1,'Istoric_Nativ'!$D$6:$D$405,"&gt;="&amp;L998),SUMIFS('Istoric_Nativ'!$G$6:$G$405,'Istoric_Nativ'!$B$6:$B$405,E998,'Istoric_Nativ'!$C$6:$C$405,F998,'Istoric_Nativ'!$E$6:$E$405,G998,'Istoric_Nativ'!$D$6:$D$405,"&lt;"&amp;J998,'Istoric_Nativ'!$P$6:$P$405,1,'Istoric_Nativ'!$D$6:$D$405,"&gt;="&amp;L998)+SUMIFS('Istoric_Nativ'!$H$6:$H$405,'Istoric_Nativ'!$B$6:$B$405,E998,'Istoric_Nativ'!$C$6:$C$405,F998,'Istoric_Nativ'!$F$6:$F$405,G998,'Istoric_Nativ'!$D$6:$D$405,"&lt;"&amp;J998,'Istoric_Nativ'!$P$6:$P$405,1,'Istoric_Nativ'!$D$6:$D$405,"&gt;="&amp;L998)))/M998)</x:f>
      </x:c>
      <x:c r="O998" s="11" t="str">
        <x:f>IF(M998=0,"",IF(H998="HOME",SUMIFS('Istoric_Nativ'!$H$6:$H$405,'Istoric_Nativ'!$B$6:$B$405,E998,'Istoric_Nativ'!$C$6:$C$405,F998,'Istoric_Nativ'!$E$6:$E$405,G998,'Istoric_Nativ'!$D$6:$D$405,"&lt;"&amp;J998,'Istoric_Nativ'!$P$6:$P$405,1,'Istoric_Nativ'!$D$6:$D$405,"&gt;="&amp;L998),IF(H998="AWAY",SUMIFS('Istoric_Nativ'!$G$6:$G$405,'Istoric_Nativ'!$B$6:$B$405,E998,'Istoric_Nativ'!$C$6:$C$405,F998,'Istoric_Nativ'!$F$6:$F$405,G998,'Istoric_Nativ'!$D$6:$D$405,"&lt;"&amp;J998,'Istoric_Nativ'!$P$6:$P$405,1,'Istoric_Nativ'!$D$6:$D$405,"&gt;="&amp;L998),SUMIFS('Istoric_Nativ'!$H$6:$H$405,'Istoric_Nativ'!$B$6:$B$405,E998,'Istoric_Nativ'!$C$6:$C$405,F998,'Istoric_Nativ'!$E$6:$E$405,G998,'Istoric_Nativ'!$D$6:$D$405,"&lt;"&amp;J998,'Istoric_Nativ'!$P$6:$P$405,1,'Istoric_Nativ'!$D$6:$D$405,"&gt;="&amp;L998)+SUMIFS('Istoric_Nativ'!$G$6:$G$405,'Istoric_Nativ'!$B$6:$B$405,E998,'Istoric_Nativ'!$C$6:$C$405,F998,'Istoric_Nativ'!$F$6:$F$405,G998,'Istoric_Nativ'!$D$6:$D$405,"&lt;"&amp;J998,'Istoric_Nativ'!$P$6:$P$405,1,'Istoric_Nativ'!$D$6:$D$405,"&gt;="&amp;L998)))/M998)</x:f>
      </x:c>
      <x:c r="P998" s="2" t="n">
        <x:f>'Config_v6'!$B$9</x:f>
        <x:v>3</x:v>
      </x:c>
      <x:c r="Q998" s="2" t="n">
        <x:f>IF(OR(B998="",F998=""),0,IFERROR(MATCH(E998&amp;"|"&amp;F998,SourceTable[Source_Key],0),0))</x:f>
        <x:v>0</x:v>
      </x:c>
      <x:c r="R998" s="2" t="str">
        <x:f>IF(B998="","",IF(F998="","UNUSED",IF(Q998=0,"NOT CHECKED",IF(COUNTIF(SourceTable[Source_Key],E998&amp;"|"&amp;F998)&lt;&gt;1,"SOURCE CONFLICT",IF(NOT(OR(INDEX(SourceTable[Status],MAX(1,Q998))="IMPORTED",INDEX(SourceTable[Status],MAX(1,Q998))="PARTIAL",INDEX(SourceTable[Status],MAX(1,Q998))="SOURCE CONFLICT")),"ACCESS BLOCKED",IF(OR(INDEX(SourceTable[Coverage],Q998)&lt;&gt;"FULL SEASON EXPORT",INDEX(SourceTable[URL],Q998)="",INDEX(SourceTable[SHA256],Q998)=""),"EVIDENCE INCOMPLETE",IF(AND('Input_Meci'!H88="LIVE",INDEX(SourceTable[Retrieved_UTC],Q998)&gt;'Input_Meci'!G88),"POST CUTOFF","CLOSED")))))))</x:f>
      </x:c>
      <x:c r="S998" s="2" t="n">
        <x:f>IF(OR(B998="",F998=""),0,COUNTIFS('Istoric_Nativ'!$B$6:$B$405,E998,'Istoric_Nativ'!$C$6:$C$405,F998,'Istoric_Nativ'!$E$6:$E$405,G998,'Istoric_Nativ'!$D$6:$D$405,"&lt;"&amp;J998,'Istoric_Nativ'!$O$6:$O$405,"INVALID")+COUNTIFS('Istoric_Nativ'!$B$6:$B$405,E998,'Istoric_Nativ'!$C$6:$C$405,F998,'Istoric_Nativ'!$E$6:$E$405,G998,'Istoric_Nativ'!$O$6:$O$405,"INVALID",'Istoric_Nativ'!$D$6:$D$405,"*")+COUNTIFS('Istoric_Nativ'!$B$6:$B$405,E998,'Istoric_Nativ'!$C$6:$C$405,F998,'Istoric_Nativ'!$E$6:$E$405,G998,'Istoric_Nativ'!$D$6:$D$405,"&lt;"&amp;J998,'Istoric_Nativ'!$O$6:$O$405,"SOURCE CONFLICT")+COUNTIFS('Istoric_Nativ'!$B$6:$B$405,E998,'Istoric_Nativ'!$C$6:$C$405,F998,'Istoric_Nativ'!$F$6:$F$405,G998,'Istoric_Nativ'!$D$6:$D$405,"&lt;"&amp;J998,'Istoric_Nativ'!$O$6:$O$405,"INVALID")+COUNTIFS('Istoric_Nativ'!$B$6:$B$405,E998,'Istoric_Nativ'!$C$6:$C$405,F998,'Istoric_Nativ'!$F$6:$F$405,G998,'Istoric_Nativ'!$O$6:$O$405,"INVALID",'Istoric_Nativ'!$D$6:$D$405,"*")+COUNTIFS('Istoric_Nativ'!$B$6:$B$405,E998,'Istoric_Nativ'!$C$6:$C$405,F998,'Istoric_Nativ'!$F$6:$F$405,G998,'Istoric_Nativ'!$D$6:$D$405,"&lt;"&amp;J998,'Istoric_Nativ'!$O$6:$O$405,"SOURCE CONFLICT"))</x:f>
        <x:v>0</x:v>
      </x:c>
      <x:c r="T998" s="2" t="str">
        <x:f>IF(B998="","",IF(R998&lt;&gt;"CLOSED",R998,IF(S998&gt;0,"NATIVE INPUT ISSUE",IF(M998=0,"NO HISTORY",IF(M998&lt;P998,"SMALL SAMPLE","DERIVED")))))</x:f>
      </x:c>
      <x:c r="U998" s="2" t="str">
        <x:f>IF(B998="","","NativeTable; "&amp;E998&amp;"; "&amp;F998&amp;"; "&amp;G998&amp;"; "&amp;H998&amp;"; before "&amp;TEXT(J998,"yyyy-mm-dd")&amp;IF(I998="RECENT","; from "&amp;TEXT(L998,"yyyy-mm-dd"),""))</x:f>
      </x:c>
    </x:row>
    <x:row r="999" ht="21" customHeight="1">
      <x:c r="A999" s="2" t="n">
        <x:v>83</x:v>
      </x:c>
      <x:c r="B999" s="2" t="str">
        <x:f>IF('Input_Meci'!A88="","",'Input_Meci'!A88)</x:f>
      </x:c>
      <x:c r="C999" s="2" t="str">
        <x:v>A</x:v>
      </x:c>
      <x:c r="D999" s="2" t="str">
        <x:v>PRIOR</x:v>
      </x:c>
      <x:c r="E999" s="2" t="str">
        <x:f>IF(B999="","",'Input_Meci'!B88)</x:f>
      </x:c>
      <x:c r="F999" s="2" t="str">
        <x:f>IF(B999="","",IF('Input_Meci'!K88="","",'Input_Meci'!K88))</x:f>
      </x:c>
      <x:c r="G999" s="2" t="str">
        <x:f>IF(B999="","",'Input_Meci'!E88)</x:f>
      </x:c>
      <x:c r="H999" s="2" t="str">
        <x:v>ANY</x:v>
      </x:c>
      <x:c r="I999" s="2" t="str">
        <x:v>SEASON</x:v>
      </x:c>
      <x:c r="J999" s="9" t="n">
        <x:f>IF(AND(B999&lt;&gt;"",ISNUMBER('Input_Meci'!G88)),INT('Input_Meci'!G88),0)</x:f>
        <x:v>0</x:v>
      </x:c>
      <x:c r="K999" s="2" t="n">
        <x:f>IF(OR(B999="",F999=""),0,IF(H999="HOME",COUNTIFS('Istoric_Nativ'!$B$6:$B$405,E999,'Istoric_Nativ'!$C$6:$C$405,F999,'Istoric_Nativ'!$E$6:$E$405,G999,'Istoric_Nativ'!$D$6:$D$405,"&lt;"&amp;J999,'Istoric_Nativ'!$P$6:$P$405,1),IF(H999="AWAY",COUNTIFS('Istoric_Nativ'!$B$6:$B$405,E999,'Istoric_Nativ'!$C$6:$C$405,F999,'Istoric_Nativ'!$F$6:$F$405,G999,'Istoric_Nativ'!$D$6:$D$405,"&lt;"&amp;J999,'Istoric_Nativ'!$P$6:$P$405,1),COUNTIFS('Istoric_Nativ'!$B$6:$B$405,E999,'Istoric_Nativ'!$C$6:$C$405,F999,'Istoric_Nativ'!$E$6:$E$405,G999,'Istoric_Nativ'!$D$6:$D$405,"&lt;"&amp;J999,'Istoric_Nativ'!$P$6:$P$405,1)+COUNTIFS('Istoric_Nativ'!$B$6:$B$405,E999,'Istoric_Nativ'!$C$6:$C$405,F999,'Istoric_Nativ'!$F$6:$F$405,G999,'Istoric_Nativ'!$D$6:$D$405,"&lt;"&amp;J999,'Istoric_Nativ'!$P$6:$P$405,1))))</x:f>
        <x:v>0</x:v>
      </x:c>
      <x:c r="L999" s="17" t="n">
        <x:f>IF(AND(B999&lt;&gt;"",I999="RECENT",K999&gt;0),LARGE(_xlfn._xlws.FILTER('Istoric_Nativ'!$D$6:$D$405,('Istoric_Nativ'!$B$6:$B$405=E999)*('Istoric_Nativ'!$C$6:$C$405=F999)*('Istoric_Nativ'!$P$6:$P$405=1)*('Istoric_Nativ'!$D$6:$D$405&lt;J999)*((('Istoric_Nativ'!$E$6:$E$405=G999)+('Istoric_Nativ'!$F$6:$F$405=G999))&gt;0)),MIN('Config_v6'!$B$54,K999)),0)</x:f>
        <x:v>0</x:v>
      </x:c>
      <x:c r="M999" s="2" t="n">
        <x:f>IF(OR(B999="",F999=""),0,IF(H999="HOME",COUNTIFS('Istoric_Nativ'!$B$6:$B$405,E999,'Istoric_Nativ'!$C$6:$C$405,F999,'Istoric_Nativ'!$E$6:$E$405,G999,'Istoric_Nativ'!$D$6:$D$405,"&lt;"&amp;J999,'Istoric_Nativ'!$P$6:$P$405,1,'Istoric_Nativ'!$D$6:$D$405,"&gt;="&amp;L999),IF(H999="AWAY",COUNTIFS('Istoric_Nativ'!$B$6:$B$405,E999,'Istoric_Nativ'!$C$6:$C$405,F999,'Istoric_Nativ'!$F$6:$F$405,G999,'Istoric_Nativ'!$D$6:$D$405,"&lt;"&amp;J999,'Istoric_Nativ'!$P$6:$P$405,1,'Istoric_Nativ'!$D$6:$D$405,"&gt;="&amp;L999),COUNTIFS('Istoric_Nativ'!$B$6:$B$405,E999,'Istoric_Nativ'!$C$6:$C$405,F999,'Istoric_Nativ'!$E$6:$E$405,G999,'Istoric_Nativ'!$D$6:$D$405,"&lt;"&amp;J999,'Istoric_Nativ'!$P$6:$P$405,1,'Istoric_Nativ'!$D$6:$D$405,"&gt;="&amp;L999)+COUNTIFS('Istoric_Nativ'!$B$6:$B$405,E999,'Istoric_Nativ'!$C$6:$C$405,F999,'Istoric_Nativ'!$F$6:$F$405,G999,'Istoric_Nativ'!$D$6:$D$405,"&lt;"&amp;J999,'Istoric_Nativ'!$P$6:$P$405,1,'Istoric_Nativ'!$D$6:$D$405,"&gt;="&amp;L999))))</x:f>
        <x:v>0</x:v>
      </x:c>
      <x:c r="N999" s="11" t="str">
        <x:f>IF(M999=0,"",IF(H999="HOME",SUMIFS('Istoric_Nativ'!$G$6:$G$405,'Istoric_Nativ'!$B$6:$B$405,E999,'Istoric_Nativ'!$C$6:$C$405,F999,'Istoric_Nativ'!$E$6:$E$405,G999,'Istoric_Nativ'!$D$6:$D$405,"&lt;"&amp;J999,'Istoric_Nativ'!$P$6:$P$405,1,'Istoric_Nativ'!$D$6:$D$405,"&gt;="&amp;L999),IF(H999="AWAY",SUMIFS('Istoric_Nativ'!$H$6:$H$405,'Istoric_Nativ'!$B$6:$B$405,E999,'Istoric_Nativ'!$C$6:$C$405,F999,'Istoric_Nativ'!$F$6:$F$405,G999,'Istoric_Nativ'!$D$6:$D$405,"&lt;"&amp;J999,'Istoric_Nativ'!$P$6:$P$405,1,'Istoric_Nativ'!$D$6:$D$405,"&gt;="&amp;L999),SUMIFS('Istoric_Nativ'!$G$6:$G$405,'Istoric_Nativ'!$B$6:$B$405,E999,'Istoric_Nativ'!$C$6:$C$405,F999,'Istoric_Nativ'!$E$6:$E$405,G999,'Istoric_Nativ'!$D$6:$D$405,"&lt;"&amp;J999,'Istoric_Nativ'!$P$6:$P$405,1,'Istoric_Nativ'!$D$6:$D$405,"&gt;="&amp;L999)+SUMIFS('Istoric_Nativ'!$H$6:$H$405,'Istoric_Nativ'!$B$6:$B$405,E999,'Istoric_Nativ'!$C$6:$C$405,F999,'Istoric_Nativ'!$F$6:$F$405,G999,'Istoric_Nativ'!$D$6:$D$405,"&lt;"&amp;J999,'Istoric_Nativ'!$P$6:$P$405,1,'Istoric_Nativ'!$D$6:$D$405,"&gt;="&amp;L999)))/M999)</x:f>
      </x:c>
      <x:c r="O999" s="11" t="str">
        <x:f>IF(M999=0,"",IF(H999="HOME",SUMIFS('Istoric_Nativ'!$H$6:$H$405,'Istoric_Nativ'!$B$6:$B$405,E999,'Istoric_Nativ'!$C$6:$C$405,F999,'Istoric_Nativ'!$E$6:$E$405,G999,'Istoric_Nativ'!$D$6:$D$405,"&lt;"&amp;J999,'Istoric_Nativ'!$P$6:$P$405,1,'Istoric_Nativ'!$D$6:$D$405,"&gt;="&amp;L999),IF(H999="AWAY",SUMIFS('Istoric_Nativ'!$G$6:$G$405,'Istoric_Nativ'!$B$6:$B$405,E999,'Istoric_Nativ'!$C$6:$C$405,F999,'Istoric_Nativ'!$F$6:$F$405,G999,'Istoric_Nativ'!$D$6:$D$405,"&lt;"&amp;J999,'Istoric_Nativ'!$P$6:$P$405,1,'Istoric_Nativ'!$D$6:$D$405,"&gt;="&amp;L999),SUMIFS('Istoric_Nativ'!$H$6:$H$405,'Istoric_Nativ'!$B$6:$B$405,E999,'Istoric_Nativ'!$C$6:$C$405,F999,'Istoric_Nativ'!$E$6:$E$405,G999,'Istoric_Nativ'!$D$6:$D$405,"&lt;"&amp;J999,'Istoric_Nativ'!$P$6:$P$405,1,'Istoric_Nativ'!$D$6:$D$405,"&gt;="&amp;L999)+SUMIFS('Istoric_Nativ'!$G$6:$G$405,'Istoric_Nativ'!$B$6:$B$405,E999,'Istoric_Nativ'!$C$6:$C$405,F999,'Istoric_Nativ'!$F$6:$F$405,G999,'Istoric_Nativ'!$D$6:$D$405,"&lt;"&amp;J999,'Istoric_Nativ'!$P$6:$P$405,1,'Istoric_Nativ'!$D$6:$D$405,"&gt;="&amp;L999)))/M999)</x:f>
      </x:c>
      <x:c r="P999" s="2" t="n">
        <x:f>'Config_v6'!$B$7</x:f>
        <x:v>10</x:v>
      </x:c>
      <x:c r="Q999" s="2" t="n">
        <x:f>IF(OR(B999="",F999=""),0,IFERROR(MATCH(E999&amp;"|"&amp;F999,SourceTable[Source_Key],0),0))</x:f>
        <x:v>0</x:v>
      </x:c>
      <x:c r="R999" s="2" t="str">
        <x:f>IF(B999="","",IF(F999="","UNUSED",IF(Q999=0,"NOT CHECKED",IF(COUNTIF(SourceTable[Source_Key],E999&amp;"|"&amp;F999)&lt;&gt;1,"SOURCE CONFLICT",IF(NOT(OR(INDEX(SourceTable[Status],MAX(1,Q999))="IMPORTED",INDEX(SourceTable[Status],MAX(1,Q999))="PARTIAL",INDEX(SourceTable[Status],MAX(1,Q999))="SOURCE CONFLICT")),"ACCESS BLOCKED",IF(OR(INDEX(SourceTable[Coverage],Q999)&lt;&gt;"FULL SEASON EXPORT",INDEX(SourceTable[URL],Q999)="",INDEX(SourceTable[SHA256],Q999)=""),"EVIDENCE INCOMPLETE",IF(AND('Input_Meci'!H88="LIVE",INDEX(SourceTable[Retrieved_UTC],Q999)&gt;'Input_Meci'!G88),"POST CUTOFF","CLOSED")))))))</x:f>
      </x:c>
      <x:c r="S999" s="2" t="n">
        <x:f>IF(OR(B999="",F999=""),0,COUNTIFS('Istoric_Nativ'!$B$6:$B$405,E999,'Istoric_Nativ'!$C$6:$C$405,F999,'Istoric_Nativ'!$E$6:$E$405,G999,'Istoric_Nativ'!$D$6:$D$405,"&lt;"&amp;J999,'Istoric_Nativ'!$O$6:$O$405,"INVALID")+COUNTIFS('Istoric_Nativ'!$B$6:$B$405,E999,'Istoric_Nativ'!$C$6:$C$405,F999,'Istoric_Nativ'!$E$6:$E$405,G999,'Istoric_Nativ'!$O$6:$O$405,"INVALID",'Istoric_Nativ'!$D$6:$D$405,"*")+COUNTIFS('Istoric_Nativ'!$B$6:$B$405,E999,'Istoric_Nativ'!$C$6:$C$405,F999,'Istoric_Nativ'!$E$6:$E$405,G999,'Istoric_Nativ'!$D$6:$D$405,"&lt;"&amp;J999,'Istoric_Nativ'!$O$6:$O$405,"SOURCE CONFLICT")+COUNTIFS('Istoric_Nativ'!$B$6:$B$405,E999,'Istoric_Nativ'!$C$6:$C$405,F999,'Istoric_Nativ'!$F$6:$F$405,G999,'Istoric_Nativ'!$D$6:$D$405,"&lt;"&amp;J999,'Istoric_Nativ'!$O$6:$O$405,"INVALID")+COUNTIFS('Istoric_Nativ'!$B$6:$B$405,E999,'Istoric_Nativ'!$C$6:$C$405,F999,'Istoric_Nativ'!$F$6:$F$405,G999,'Istoric_Nativ'!$O$6:$O$405,"INVALID",'Istoric_Nativ'!$D$6:$D$405,"*")+COUNTIFS('Istoric_Nativ'!$B$6:$B$405,E999,'Istoric_Nativ'!$C$6:$C$405,F999,'Istoric_Nativ'!$F$6:$F$405,G999,'Istoric_Nativ'!$D$6:$D$405,"&lt;"&amp;J999,'Istoric_Nativ'!$O$6:$O$405,"SOURCE CONFLICT"))</x:f>
        <x:v>0</x:v>
      </x:c>
      <x:c r="T999" s="2" t="str">
        <x:f>IF(B999="","",IF(R999&lt;&gt;"CLOSED",R999,IF(S999&gt;0,"NATIVE INPUT ISSUE",IF(M999=0,"NO HISTORY",IF(M999&lt;P999,"SMALL SAMPLE","DERIVED")))))</x:f>
      </x:c>
      <x:c r="U999" s="2" t="str">
        <x:f>IF(B999="","","NativeTable; "&amp;E999&amp;"; "&amp;F999&amp;"; "&amp;G999&amp;"; "&amp;H999&amp;"; before "&amp;TEXT(J999,"yyyy-mm-dd")&amp;IF(I999="RECENT","; from "&amp;TEXT(L999,"yyyy-mm-dd"),""))</x:f>
      </x:c>
    </x:row>
    <x:row r="1000" ht="21" customHeight="1">
      <x:c r="A1000" s="2" t="n">
        <x:v>83</x:v>
      </x:c>
      <x:c r="B1000" s="2" t="str">
        <x:f>IF('Input_Meci'!A88="","",'Input_Meci'!A88)</x:f>
      </x:c>
      <x:c r="C1000" s="2" t="str">
        <x:v>A</x:v>
      </x:c>
      <x:c r="D1000" s="2" t="str">
        <x:v>PRIOR</x:v>
      </x:c>
      <x:c r="E1000" s="2" t="str">
        <x:f>IF(B1000="","",'Input_Meci'!B88)</x:f>
      </x:c>
      <x:c r="F1000" s="2" t="str">
        <x:f>IF(B1000="","",IF('Input_Meci'!K88="","",'Input_Meci'!K88))</x:f>
      </x:c>
      <x:c r="G1000" s="2" t="str">
        <x:f>IF(B1000="","",'Input_Meci'!E88)</x:f>
      </x:c>
      <x:c r="H1000" s="2" t="str">
        <x:v>AWAY</x:v>
      </x:c>
      <x:c r="I1000" s="2" t="str">
        <x:v>HA</x:v>
      </x:c>
      <x:c r="J1000" s="9" t="n">
        <x:f>IF(AND(B1000&lt;&gt;"",ISNUMBER('Input_Meci'!G88)),INT('Input_Meci'!G88),0)</x:f>
        <x:v>0</x:v>
      </x:c>
      <x:c r="K1000" s="2" t="n">
        <x:f>IF(OR(B1000="",F1000=""),0,IF(H1000="HOME",COUNTIFS('Istoric_Nativ'!$B$6:$B$405,E1000,'Istoric_Nativ'!$C$6:$C$405,F1000,'Istoric_Nativ'!$E$6:$E$405,G1000,'Istoric_Nativ'!$D$6:$D$405,"&lt;"&amp;J1000,'Istoric_Nativ'!$P$6:$P$405,1),IF(H1000="AWAY",COUNTIFS('Istoric_Nativ'!$B$6:$B$405,E1000,'Istoric_Nativ'!$C$6:$C$405,F1000,'Istoric_Nativ'!$F$6:$F$405,G1000,'Istoric_Nativ'!$D$6:$D$405,"&lt;"&amp;J1000,'Istoric_Nativ'!$P$6:$P$405,1),COUNTIFS('Istoric_Nativ'!$B$6:$B$405,E1000,'Istoric_Nativ'!$C$6:$C$405,F1000,'Istoric_Nativ'!$E$6:$E$405,G1000,'Istoric_Nativ'!$D$6:$D$405,"&lt;"&amp;J1000,'Istoric_Nativ'!$P$6:$P$405,1)+COUNTIFS('Istoric_Nativ'!$B$6:$B$405,E1000,'Istoric_Nativ'!$C$6:$C$405,F1000,'Istoric_Nativ'!$F$6:$F$405,G1000,'Istoric_Nativ'!$D$6:$D$405,"&lt;"&amp;J1000,'Istoric_Nativ'!$P$6:$P$405,1))))</x:f>
        <x:v>0</x:v>
      </x:c>
      <x:c r="L1000" s="17" t="n">
        <x:f>IF(AND(B1000&lt;&gt;"",I1000="RECENT",K1000&gt;0),LARGE(_xlfn._xlws.FILTER('Istoric_Nativ'!$D$6:$D$405,('Istoric_Nativ'!$B$6:$B$405=E1000)*('Istoric_Nativ'!$C$6:$C$405=F1000)*('Istoric_Nativ'!$P$6:$P$405=1)*('Istoric_Nativ'!$D$6:$D$405&lt;J1000)*((('Istoric_Nativ'!$E$6:$E$405=G1000)+('Istoric_Nativ'!$F$6:$F$405=G1000))&gt;0)),MIN('Config_v6'!$B$54,K1000)),0)</x:f>
        <x:v>0</x:v>
      </x:c>
      <x:c r="M1000" s="2" t="n">
        <x:f>IF(OR(B1000="",F1000=""),0,IF(H1000="HOME",COUNTIFS('Istoric_Nativ'!$B$6:$B$405,E1000,'Istoric_Nativ'!$C$6:$C$405,F1000,'Istoric_Nativ'!$E$6:$E$405,G1000,'Istoric_Nativ'!$D$6:$D$405,"&lt;"&amp;J1000,'Istoric_Nativ'!$P$6:$P$405,1,'Istoric_Nativ'!$D$6:$D$405,"&gt;="&amp;L1000),IF(H1000="AWAY",COUNTIFS('Istoric_Nativ'!$B$6:$B$405,E1000,'Istoric_Nativ'!$C$6:$C$405,F1000,'Istoric_Nativ'!$F$6:$F$405,G1000,'Istoric_Nativ'!$D$6:$D$405,"&lt;"&amp;J1000,'Istoric_Nativ'!$P$6:$P$405,1,'Istoric_Nativ'!$D$6:$D$405,"&gt;="&amp;L1000),COUNTIFS('Istoric_Nativ'!$B$6:$B$405,E1000,'Istoric_Nativ'!$C$6:$C$405,F1000,'Istoric_Nativ'!$E$6:$E$405,G1000,'Istoric_Nativ'!$D$6:$D$405,"&lt;"&amp;J1000,'Istoric_Nativ'!$P$6:$P$405,1,'Istoric_Nativ'!$D$6:$D$405,"&gt;="&amp;L1000)+COUNTIFS('Istoric_Nativ'!$B$6:$B$405,E1000,'Istoric_Nativ'!$C$6:$C$405,F1000,'Istoric_Nativ'!$F$6:$F$405,G1000,'Istoric_Nativ'!$D$6:$D$405,"&lt;"&amp;J1000,'Istoric_Nativ'!$P$6:$P$405,1,'Istoric_Nativ'!$D$6:$D$405,"&gt;="&amp;L1000))))</x:f>
        <x:v>0</x:v>
      </x:c>
      <x:c r="N1000" s="11" t="str">
        <x:f>IF(M1000=0,"",IF(H1000="HOME",SUMIFS('Istoric_Nativ'!$G$6:$G$405,'Istoric_Nativ'!$B$6:$B$405,E1000,'Istoric_Nativ'!$C$6:$C$405,F1000,'Istoric_Nativ'!$E$6:$E$405,G1000,'Istoric_Nativ'!$D$6:$D$405,"&lt;"&amp;J1000,'Istoric_Nativ'!$P$6:$P$405,1,'Istoric_Nativ'!$D$6:$D$405,"&gt;="&amp;L1000),IF(H1000="AWAY",SUMIFS('Istoric_Nativ'!$H$6:$H$405,'Istoric_Nativ'!$B$6:$B$405,E1000,'Istoric_Nativ'!$C$6:$C$405,F1000,'Istoric_Nativ'!$F$6:$F$405,G1000,'Istoric_Nativ'!$D$6:$D$405,"&lt;"&amp;J1000,'Istoric_Nativ'!$P$6:$P$405,1,'Istoric_Nativ'!$D$6:$D$405,"&gt;="&amp;L1000),SUMIFS('Istoric_Nativ'!$G$6:$G$405,'Istoric_Nativ'!$B$6:$B$405,E1000,'Istoric_Nativ'!$C$6:$C$405,F1000,'Istoric_Nativ'!$E$6:$E$405,G1000,'Istoric_Nativ'!$D$6:$D$405,"&lt;"&amp;J1000,'Istoric_Nativ'!$P$6:$P$405,1,'Istoric_Nativ'!$D$6:$D$405,"&gt;="&amp;L1000)+SUMIFS('Istoric_Nativ'!$H$6:$H$405,'Istoric_Nativ'!$B$6:$B$405,E1000,'Istoric_Nativ'!$C$6:$C$405,F1000,'Istoric_Nativ'!$F$6:$F$405,G1000,'Istoric_Nativ'!$D$6:$D$405,"&lt;"&amp;J1000,'Istoric_Nativ'!$P$6:$P$405,1,'Istoric_Nativ'!$D$6:$D$405,"&gt;="&amp;L1000)))/M1000)</x:f>
      </x:c>
      <x:c r="O1000" s="11" t="str">
        <x:f>IF(M1000=0,"",IF(H1000="HOME",SUMIFS('Istoric_Nativ'!$H$6:$H$405,'Istoric_Nativ'!$B$6:$B$405,E1000,'Istoric_Nativ'!$C$6:$C$405,F1000,'Istoric_Nativ'!$E$6:$E$405,G1000,'Istoric_Nativ'!$D$6:$D$405,"&lt;"&amp;J1000,'Istoric_Nativ'!$P$6:$P$405,1,'Istoric_Nativ'!$D$6:$D$405,"&gt;="&amp;L1000),IF(H1000="AWAY",SUMIFS('Istoric_Nativ'!$G$6:$G$405,'Istoric_Nativ'!$B$6:$B$405,E1000,'Istoric_Nativ'!$C$6:$C$405,F1000,'Istoric_Nativ'!$F$6:$F$405,G1000,'Istoric_Nativ'!$D$6:$D$405,"&lt;"&amp;J1000,'Istoric_Nativ'!$P$6:$P$405,1,'Istoric_Nativ'!$D$6:$D$405,"&gt;="&amp;L1000),SUMIFS('Istoric_Nativ'!$H$6:$H$405,'Istoric_Nativ'!$B$6:$B$405,E1000,'Istoric_Nativ'!$C$6:$C$405,F1000,'Istoric_Nativ'!$E$6:$E$405,G1000,'Istoric_Nativ'!$D$6:$D$405,"&lt;"&amp;J1000,'Istoric_Nativ'!$P$6:$P$405,1,'Istoric_Nativ'!$D$6:$D$405,"&gt;="&amp;L1000)+SUMIFS('Istoric_Nativ'!$G$6:$G$405,'Istoric_Nativ'!$B$6:$B$405,E1000,'Istoric_Nativ'!$C$6:$C$405,F1000,'Istoric_Nativ'!$F$6:$F$405,G1000,'Istoric_Nativ'!$D$6:$D$405,"&lt;"&amp;J1000,'Istoric_Nativ'!$P$6:$P$405,1,'Istoric_Nativ'!$D$6:$D$405,"&gt;="&amp;L1000)))/M1000)</x:f>
      </x:c>
      <x:c r="P1000" s="2" t="n">
        <x:f>'Config_v6'!$B$8</x:f>
        <x:v>5</x:v>
      </x:c>
      <x:c r="Q1000" s="2" t="n">
        <x:f>IF(OR(B1000="",F1000=""),0,IFERROR(MATCH(E1000&amp;"|"&amp;F1000,SourceTable[Source_Key],0),0))</x:f>
        <x:v>0</x:v>
      </x:c>
      <x:c r="R1000" s="2" t="str">
        <x:f>IF(B1000="","",IF(F1000="","UNUSED",IF(Q1000=0,"NOT CHECKED",IF(COUNTIF(SourceTable[Source_Key],E1000&amp;"|"&amp;F1000)&lt;&gt;1,"SOURCE CONFLICT",IF(NOT(OR(INDEX(SourceTable[Status],MAX(1,Q1000))="IMPORTED",INDEX(SourceTable[Status],MAX(1,Q1000))="PARTIAL",INDEX(SourceTable[Status],MAX(1,Q1000))="SOURCE CONFLICT")),"ACCESS BLOCKED",IF(OR(INDEX(SourceTable[Coverage],Q1000)&lt;&gt;"FULL SEASON EXPORT",INDEX(SourceTable[URL],Q1000)="",INDEX(SourceTable[SHA256],Q1000)=""),"EVIDENCE INCOMPLETE",IF(AND('Input_Meci'!H88="LIVE",INDEX(SourceTable[Retrieved_UTC],Q1000)&gt;'Input_Meci'!G88),"POST CUTOFF","CLOSED")))))))</x:f>
      </x:c>
      <x:c r="S1000" s="2" t="n">
        <x:f>IF(OR(B1000="",F1000=""),0,COUNTIFS('Istoric_Nativ'!$B$6:$B$405,E1000,'Istoric_Nativ'!$C$6:$C$405,F1000,'Istoric_Nativ'!$E$6:$E$405,G1000,'Istoric_Nativ'!$D$6:$D$405,"&lt;"&amp;J1000,'Istoric_Nativ'!$O$6:$O$405,"INVALID")+COUNTIFS('Istoric_Nativ'!$B$6:$B$405,E1000,'Istoric_Nativ'!$C$6:$C$405,F1000,'Istoric_Nativ'!$E$6:$E$405,G1000,'Istoric_Nativ'!$O$6:$O$405,"INVALID",'Istoric_Nativ'!$D$6:$D$405,"*")+COUNTIFS('Istoric_Nativ'!$B$6:$B$405,E1000,'Istoric_Nativ'!$C$6:$C$405,F1000,'Istoric_Nativ'!$E$6:$E$405,G1000,'Istoric_Nativ'!$D$6:$D$405,"&lt;"&amp;J1000,'Istoric_Nativ'!$O$6:$O$405,"SOURCE CONFLICT")+COUNTIFS('Istoric_Nativ'!$B$6:$B$405,E1000,'Istoric_Nativ'!$C$6:$C$405,F1000,'Istoric_Nativ'!$F$6:$F$405,G1000,'Istoric_Nativ'!$D$6:$D$405,"&lt;"&amp;J1000,'Istoric_Nativ'!$O$6:$O$405,"INVALID")+COUNTIFS('Istoric_Nativ'!$B$6:$B$405,E1000,'Istoric_Nativ'!$C$6:$C$405,F1000,'Istoric_Nativ'!$F$6:$F$405,G1000,'Istoric_Nativ'!$O$6:$O$405,"INVALID",'Istoric_Nativ'!$D$6:$D$405,"*")+COUNTIFS('Istoric_Nativ'!$B$6:$B$405,E1000,'Istoric_Nativ'!$C$6:$C$405,F1000,'Istoric_Nativ'!$F$6:$F$405,G1000,'Istoric_Nativ'!$D$6:$D$405,"&lt;"&amp;J1000,'Istoric_Nativ'!$O$6:$O$405,"SOURCE CONFLICT"))</x:f>
        <x:v>0</x:v>
      </x:c>
      <x:c r="T1000" s="2" t="str">
        <x:f>IF(B1000="","",IF(R1000&lt;&gt;"CLOSED",R1000,IF(S1000&gt;0,"NATIVE INPUT ISSUE",IF(M1000=0,"NO HISTORY",IF(M1000&lt;P1000,"SMALL SAMPLE","DERIVED")))))</x:f>
      </x:c>
      <x:c r="U1000" s="2" t="str">
        <x:f>IF(B1000="","","NativeTable; "&amp;E1000&amp;"; "&amp;F1000&amp;"; "&amp;G1000&amp;"; "&amp;H1000&amp;"; before "&amp;TEXT(J1000,"yyyy-mm-dd")&amp;IF(I1000="RECENT","; from "&amp;TEXT(L1000,"yyyy-mm-dd"),""))</x:f>
      </x:c>
    </x:row>
    <x:row r="1001" ht="21" customHeight="1">
      <x:c r="A1001" s="2" t="n">
        <x:v>83</x:v>
      </x:c>
      <x:c r="B1001" s="2" t="str">
        <x:f>IF('Input_Meci'!A88="","",'Input_Meci'!A88)</x:f>
      </x:c>
      <x:c r="C1001" s="2" t="str">
        <x:v>A</x:v>
      </x:c>
      <x:c r="D1001" s="2" t="str">
        <x:v>PRIOR</x:v>
      </x:c>
      <x:c r="E1001" s="2" t="str">
        <x:f>IF(B1001="","",'Input_Meci'!B88)</x:f>
      </x:c>
      <x:c r="F1001" s="2" t="str">
        <x:f>IF(B1001="","",IF('Input_Meci'!K88="","",'Input_Meci'!K88))</x:f>
      </x:c>
      <x:c r="G1001" s="2" t="str">
        <x:f>IF(B1001="","",'Input_Meci'!E88)</x:f>
      </x:c>
      <x:c r="H1001" s="2" t="str">
        <x:v>ANY</x:v>
      </x:c>
      <x:c r="I1001" s="2" t="str">
        <x:v>RECENT</x:v>
      </x:c>
      <x:c r="J1001" s="9" t="n">
        <x:f>IF(AND(B1001&lt;&gt;"",ISNUMBER('Input_Meci'!G88)),INT('Input_Meci'!G88),0)</x:f>
        <x:v>0</x:v>
      </x:c>
      <x:c r="K1001" s="2" t="n">
        <x:f>IF(OR(B1001="",F1001=""),0,IF(H1001="HOME",COUNTIFS('Istoric_Nativ'!$B$6:$B$405,E1001,'Istoric_Nativ'!$C$6:$C$405,F1001,'Istoric_Nativ'!$E$6:$E$405,G1001,'Istoric_Nativ'!$D$6:$D$405,"&lt;"&amp;J1001,'Istoric_Nativ'!$P$6:$P$405,1),IF(H1001="AWAY",COUNTIFS('Istoric_Nativ'!$B$6:$B$405,E1001,'Istoric_Nativ'!$C$6:$C$405,F1001,'Istoric_Nativ'!$F$6:$F$405,G1001,'Istoric_Nativ'!$D$6:$D$405,"&lt;"&amp;J1001,'Istoric_Nativ'!$P$6:$P$405,1),COUNTIFS('Istoric_Nativ'!$B$6:$B$405,E1001,'Istoric_Nativ'!$C$6:$C$405,F1001,'Istoric_Nativ'!$E$6:$E$405,G1001,'Istoric_Nativ'!$D$6:$D$405,"&lt;"&amp;J1001,'Istoric_Nativ'!$P$6:$P$405,1)+COUNTIFS('Istoric_Nativ'!$B$6:$B$405,E1001,'Istoric_Nativ'!$C$6:$C$405,F1001,'Istoric_Nativ'!$F$6:$F$405,G1001,'Istoric_Nativ'!$D$6:$D$405,"&lt;"&amp;J1001,'Istoric_Nativ'!$P$6:$P$405,1))))</x:f>
        <x:v>0</x:v>
      </x:c>
      <x:c r="L1001" s="17" t="n">
        <x:f>IF(AND(B1001&lt;&gt;"",I1001="RECENT",K1001&gt;0),LARGE(_xlfn._xlws.FILTER('Istoric_Nativ'!$D$6:$D$405,('Istoric_Nativ'!$B$6:$B$405=E1001)*('Istoric_Nativ'!$C$6:$C$405=F1001)*('Istoric_Nativ'!$P$6:$P$405=1)*('Istoric_Nativ'!$D$6:$D$405&lt;J1001)*((('Istoric_Nativ'!$E$6:$E$405=G1001)+('Istoric_Nativ'!$F$6:$F$405=G1001))&gt;0)),MIN('Config_v6'!$B$54,K1001)),0)</x:f>
        <x:v>0</x:v>
      </x:c>
      <x:c r="M1001" s="2" t="n">
        <x:f>IF(OR(B1001="",F1001=""),0,IF(H1001="HOME",COUNTIFS('Istoric_Nativ'!$B$6:$B$405,E1001,'Istoric_Nativ'!$C$6:$C$405,F1001,'Istoric_Nativ'!$E$6:$E$405,G1001,'Istoric_Nativ'!$D$6:$D$405,"&lt;"&amp;J1001,'Istoric_Nativ'!$P$6:$P$405,1,'Istoric_Nativ'!$D$6:$D$405,"&gt;="&amp;L1001),IF(H1001="AWAY",COUNTIFS('Istoric_Nativ'!$B$6:$B$405,E1001,'Istoric_Nativ'!$C$6:$C$405,F1001,'Istoric_Nativ'!$F$6:$F$405,G1001,'Istoric_Nativ'!$D$6:$D$405,"&lt;"&amp;J1001,'Istoric_Nativ'!$P$6:$P$405,1,'Istoric_Nativ'!$D$6:$D$405,"&gt;="&amp;L1001),COUNTIFS('Istoric_Nativ'!$B$6:$B$405,E1001,'Istoric_Nativ'!$C$6:$C$405,F1001,'Istoric_Nativ'!$E$6:$E$405,G1001,'Istoric_Nativ'!$D$6:$D$405,"&lt;"&amp;J1001,'Istoric_Nativ'!$P$6:$P$405,1,'Istoric_Nativ'!$D$6:$D$405,"&gt;="&amp;L1001)+COUNTIFS('Istoric_Nativ'!$B$6:$B$405,E1001,'Istoric_Nativ'!$C$6:$C$405,F1001,'Istoric_Nativ'!$F$6:$F$405,G1001,'Istoric_Nativ'!$D$6:$D$405,"&lt;"&amp;J1001,'Istoric_Nativ'!$P$6:$P$405,1,'Istoric_Nativ'!$D$6:$D$405,"&gt;="&amp;L1001))))</x:f>
        <x:v>0</x:v>
      </x:c>
      <x:c r="N1001" s="11" t="str">
        <x:f>IF(M1001=0,"",IF(H1001="HOME",SUMIFS('Istoric_Nativ'!$G$6:$G$405,'Istoric_Nativ'!$B$6:$B$405,E1001,'Istoric_Nativ'!$C$6:$C$405,F1001,'Istoric_Nativ'!$E$6:$E$405,G1001,'Istoric_Nativ'!$D$6:$D$405,"&lt;"&amp;J1001,'Istoric_Nativ'!$P$6:$P$405,1,'Istoric_Nativ'!$D$6:$D$405,"&gt;="&amp;L1001),IF(H1001="AWAY",SUMIFS('Istoric_Nativ'!$H$6:$H$405,'Istoric_Nativ'!$B$6:$B$405,E1001,'Istoric_Nativ'!$C$6:$C$405,F1001,'Istoric_Nativ'!$F$6:$F$405,G1001,'Istoric_Nativ'!$D$6:$D$405,"&lt;"&amp;J1001,'Istoric_Nativ'!$P$6:$P$405,1,'Istoric_Nativ'!$D$6:$D$405,"&gt;="&amp;L1001),SUMIFS('Istoric_Nativ'!$G$6:$G$405,'Istoric_Nativ'!$B$6:$B$405,E1001,'Istoric_Nativ'!$C$6:$C$405,F1001,'Istoric_Nativ'!$E$6:$E$405,G1001,'Istoric_Nativ'!$D$6:$D$405,"&lt;"&amp;J1001,'Istoric_Nativ'!$P$6:$P$405,1,'Istoric_Nativ'!$D$6:$D$405,"&gt;="&amp;L1001)+SUMIFS('Istoric_Nativ'!$H$6:$H$405,'Istoric_Nativ'!$B$6:$B$405,E1001,'Istoric_Nativ'!$C$6:$C$405,F1001,'Istoric_Nativ'!$F$6:$F$405,G1001,'Istoric_Nativ'!$D$6:$D$405,"&lt;"&amp;J1001,'Istoric_Nativ'!$P$6:$P$405,1,'Istoric_Nativ'!$D$6:$D$405,"&gt;="&amp;L1001)))/M1001)</x:f>
      </x:c>
      <x:c r="O1001" s="11" t="str">
        <x:f>IF(M1001=0,"",IF(H1001="HOME",SUMIFS('Istoric_Nativ'!$H$6:$H$405,'Istoric_Nativ'!$B$6:$B$405,E1001,'Istoric_Nativ'!$C$6:$C$405,F1001,'Istoric_Nativ'!$E$6:$E$405,G1001,'Istoric_Nativ'!$D$6:$D$405,"&lt;"&amp;J1001,'Istoric_Nativ'!$P$6:$P$405,1,'Istoric_Nativ'!$D$6:$D$405,"&gt;="&amp;L1001),IF(H1001="AWAY",SUMIFS('Istoric_Nativ'!$G$6:$G$405,'Istoric_Nativ'!$B$6:$B$405,E1001,'Istoric_Nativ'!$C$6:$C$405,F1001,'Istoric_Nativ'!$F$6:$F$405,G1001,'Istoric_Nativ'!$D$6:$D$405,"&lt;"&amp;J1001,'Istoric_Nativ'!$P$6:$P$405,1,'Istoric_Nativ'!$D$6:$D$405,"&gt;="&amp;L1001),SUMIFS('Istoric_Nativ'!$H$6:$H$405,'Istoric_Nativ'!$B$6:$B$405,E1001,'Istoric_Nativ'!$C$6:$C$405,F1001,'Istoric_Nativ'!$E$6:$E$405,G1001,'Istoric_Nativ'!$D$6:$D$405,"&lt;"&amp;J1001,'Istoric_Nativ'!$P$6:$P$405,1,'Istoric_Nativ'!$D$6:$D$405,"&gt;="&amp;L1001)+SUMIFS('Istoric_Nativ'!$G$6:$G$405,'Istoric_Nativ'!$B$6:$B$405,E1001,'Istoric_Nativ'!$C$6:$C$405,F1001,'Istoric_Nativ'!$F$6:$F$405,G1001,'Istoric_Nativ'!$D$6:$D$405,"&lt;"&amp;J1001,'Istoric_Nativ'!$P$6:$P$405,1,'Istoric_Nativ'!$D$6:$D$405,"&gt;="&amp;L1001)))/M1001)</x:f>
      </x:c>
      <x:c r="P1001" s="2" t="n">
        <x:f>'Config_v6'!$B$9</x:f>
        <x:v>3</x:v>
      </x:c>
      <x:c r="Q1001" s="2" t="n">
        <x:f>IF(OR(B1001="",F1001=""),0,IFERROR(MATCH(E1001&amp;"|"&amp;F1001,SourceTable[Source_Key],0),0))</x:f>
        <x:v>0</x:v>
      </x:c>
      <x:c r="R1001" s="2" t="str">
        <x:f>IF(B1001="","",IF(F1001="","UNUSED",IF(Q1001=0,"NOT CHECKED",IF(COUNTIF(SourceTable[Source_Key],E1001&amp;"|"&amp;F1001)&lt;&gt;1,"SOURCE CONFLICT",IF(NOT(OR(INDEX(SourceTable[Status],MAX(1,Q1001))="IMPORTED",INDEX(SourceTable[Status],MAX(1,Q1001))="PARTIAL",INDEX(SourceTable[Status],MAX(1,Q1001))="SOURCE CONFLICT")),"ACCESS BLOCKED",IF(OR(INDEX(SourceTable[Coverage],Q1001)&lt;&gt;"FULL SEASON EXPORT",INDEX(SourceTable[URL],Q1001)="",INDEX(SourceTable[SHA256],Q1001)=""),"EVIDENCE INCOMPLETE",IF(AND('Input_Meci'!H88="LIVE",INDEX(SourceTable[Retrieved_UTC],Q1001)&gt;'Input_Meci'!G88),"POST CUTOFF","CLOSED")))))))</x:f>
      </x:c>
      <x:c r="S1001" s="2" t="n">
        <x:f>IF(OR(B1001="",F1001=""),0,COUNTIFS('Istoric_Nativ'!$B$6:$B$405,E1001,'Istoric_Nativ'!$C$6:$C$405,F1001,'Istoric_Nativ'!$E$6:$E$405,G1001,'Istoric_Nativ'!$D$6:$D$405,"&lt;"&amp;J1001,'Istoric_Nativ'!$O$6:$O$405,"INVALID")+COUNTIFS('Istoric_Nativ'!$B$6:$B$405,E1001,'Istoric_Nativ'!$C$6:$C$405,F1001,'Istoric_Nativ'!$E$6:$E$405,G1001,'Istoric_Nativ'!$O$6:$O$405,"INVALID",'Istoric_Nativ'!$D$6:$D$405,"*")+COUNTIFS('Istoric_Nativ'!$B$6:$B$405,E1001,'Istoric_Nativ'!$C$6:$C$405,F1001,'Istoric_Nativ'!$E$6:$E$405,G1001,'Istoric_Nativ'!$D$6:$D$405,"&lt;"&amp;J1001,'Istoric_Nativ'!$O$6:$O$405,"SOURCE CONFLICT")+COUNTIFS('Istoric_Nativ'!$B$6:$B$405,E1001,'Istoric_Nativ'!$C$6:$C$405,F1001,'Istoric_Nativ'!$F$6:$F$405,G1001,'Istoric_Nativ'!$D$6:$D$405,"&lt;"&amp;J1001,'Istoric_Nativ'!$O$6:$O$405,"INVALID")+COUNTIFS('Istoric_Nativ'!$B$6:$B$405,E1001,'Istoric_Nativ'!$C$6:$C$405,F1001,'Istoric_Nativ'!$F$6:$F$405,G1001,'Istoric_Nativ'!$O$6:$O$405,"INVALID",'Istoric_Nativ'!$D$6:$D$405,"*")+COUNTIFS('Istoric_Nativ'!$B$6:$B$405,E1001,'Istoric_Nativ'!$C$6:$C$405,F1001,'Istoric_Nativ'!$F$6:$F$405,G1001,'Istoric_Nativ'!$D$6:$D$405,"&lt;"&amp;J1001,'Istoric_Nativ'!$O$6:$O$405,"SOURCE CONFLICT"))</x:f>
        <x:v>0</x:v>
      </x:c>
      <x:c r="T1001" s="2" t="str">
        <x:f>IF(B1001="","",IF(R1001&lt;&gt;"CLOSED",R1001,IF(S1001&gt;0,"NATIVE INPUT ISSUE",IF(M1001=0,"NO HISTORY",IF(M1001&lt;P1001,"SMALL SAMPLE","DERIVED")))))</x:f>
      </x:c>
      <x:c r="U1001" s="2" t="str">
        <x:f>IF(B1001="","","NativeTable; "&amp;E1001&amp;"; "&amp;F1001&amp;"; "&amp;G1001&amp;"; "&amp;H1001&amp;"; before "&amp;TEXT(J1001,"yyyy-mm-dd")&amp;IF(I1001="RECENT","; from "&amp;TEXT(L1001,"yyyy-mm-dd"),""))</x:f>
      </x:c>
    </x:row>
    <x:row r="1002" ht="21" customHeight="1">
      <x:c r="A1002" s="2" t="n">
        <x:v>84</x:v>
      </x:c>
      <x:c r="B1002" s="2" t="str">
        <x:f>IF('Input_Meci'!A89="","",'Input_Meci'!A89)</x:f>
      </x:c>
      <x:c r="C1002" s="2" t="str">
        <x:v>H</x:v>
      </x:c>
      <x:c r="D1002" s="2" t="str">
        <x:v>CURRENT</x:v>
      </x:c>
      <x:c r="E1002" s="2" t="str">
        <x:f>IF(B1002="","",'Input_Meci'!B89)</x:f>
      </x:c>
      <x:c r="F1002" s="2" t="str">
        <x:f>IF(B1002="","",IF('Input_Meci'!C89="","",'Input_Meci'!C89))</x:f>
      </x:c>
      <x:c r="G1002" s="2" t="str">
        <x:f>IF(B1002="","",'Input_Meci'!D89)</x:f>
      </x:c>
      <x:c r="H1002" s="2" t="str">
        <x:v>ANY</x:v>
      </x:c>
      <x:c r="I1002" s="2" t="str">
        <x:v>SEASON</x:v>
      </x:c>
      <x:c r="J1002" s="9" t="n">
        <x:f>IF(AND(B1002&lt;&gt;"",ISNUMBER('Input_Meci'!G89)),INT('Input_Meci'!G89),0)</x:f>
        <x:v>0</x:v>
      </x:c>
      <x:c r="K1002" s="2" t="n">
        <x:f>IF(OR(B1002="",F1002=""),0,IF(H1002="HOME",COUNTIFS('Istoric_Nativ'!$B$6:$B$405,E1002,'Istoric_Nativ'!$C$6:$C$405,F1002,'Istoric_Nativ'!$E$6:$E$405,G1002,'Istoric_Nativ'!$D$6:$D$405,"&lt;"&amp;J1002,'Istoric_Nativ'!$P$6:$P$405,1),IF(H1002="AWAY",COUNTIFS('Istoric_Nativ'!$B$6:$B$405,E1002,'Istoric_Nativ'!$C$6:$C$405,F1002,'Istoric_Nativ'!$F$6:$F$405,G1002,'Istoric_Nativ'!$D$6:$D$405,"&lt;"&amp;J1002,'Istoric_Nativ'!$P$6:$P$405,1),COUNTIFS('Istoric_Nativ'!$B$6:$B$405,E1002,'Istoric_Nativ'!$C$6:$C$405,F1002,'Istoric_Nativ'!$E$6:$E$405,G1002,'Istoric_Nativ'!$D$6:$D$405,"&lt;"&amp;J1002,'Istoric_Nativ'!$P$6:$P$405,1)+COUNTIFS('Istoric_Nativ'!$B$6:$B$405,E1002,'Istoric_Nativ'!$C$6:$C$405,F1002,'Istoric_Nativ'!$F$6:$F$405,G1002,'Istoric_Nativ'!$D$6:$D$405,"&lt;"&amp;J1002,'Istoric_Nativ'!$P$6:$P$405,1))))</x:f>
        <x:v>0</x:v>
      </x:c>
      <x:c r="L1002" s="17" t="n">
        <x:f>IF(AND(B1002&lt;&gt;"",I1002="RECENT",K1002&gt;0),LARGE(_xlfn._xlws.FILTER('Istoric_Nativ'!$D$6:$D$405,('Istoric_Nativ'!$B$6:$B$405=E1002)*('Istoric_Nativ'!$C$6:$C$405=F1002)*('Istoric_Nativ'!$P$6:$P$405=1)*('Istoric_Nativ'!$D$6:$D$405&lt;J1002)*((('Istoric_Nativ'!$E$6:$E$405=G1002)+('Istoric_Nativ'!$F$6:$F$405=G1002))&gt;0)),MIN('Config_v6'!$B$54,K1002)),0)</x:f>
        <x:v>0</x:v>
      </x:c>
      <x:c r="M1002" s="2" t="n">
        <x:f>IF(OR(B1002="",F1002=""),0,IF(H1002="HOME",COUNTIFS('Istoric_Nativ'!$B$6:$B$405,E1002,'Istoric_Nativ'!$C$6:$C$405,F1002,'Istoric_Nativ'!$E$6:$E$405,G1002,'Istoric_Nativ'!$D$6:$D$405,"&lt;"&amp;J1002,'Istoric_Nativ'!$P$6:$P$405,1,'Istoric_Nativ'!$D$6:$D$405,"&gt;="&amp;L1002),IF(H1002="AWAY",COUNTIFS('Istoric_Nativ'!$B$6:$B$405,E1002,'Istoric_Nativ'!$C$6:$C$405,F1002,'Istoric_Nativ'!$F$6:$F$405,G1002,'Istoric_Nativ'!$D$6:$D$405,"&lt;"&amp;J1002,'Istoric_Nativ'!$P$6:$P$405,1,'Istoric_Nativ'!$D$6:$D$405,"&gt;="&amp;L1002),COUNTIFS('Istoric_Nativ'!$B$6:$B$405,E1002,'Istoric_Nativ'!$C$6:$C$405,F1002,'Istoric_Nativ'!$E$6:$E$405,G1002,'Istoric_Nativ'!$D$6:$D$405,"&lt;"&amp;J1002,'Istoric_Nativ'!$P$6:$P$405,1,'Istoric_Nativ'!$D$6:$D$405,"&gt;="&amp;L1002)+COUNTIFS('Istoric_Nativ'!$B$6:$B$405,E1002,'Istoric_Nativ'!$C$6:$C$405,F1002,'Istoric_Nativ'!$F$6:$F$405,G1002,'Istoric_Nativ'!$D$6:$D$405,"&lt;"&amp;J1002,'Istoric_Nativ'!$P$6:$P$405,1,'Istoric_Nativ'!$D$6:$D$405,"&gt;="&amp;L1002))))</x:f>
        <x:v>0</x:v>
      </x:c>
      <x:c r="N1002" s="11" t="str">
        <x:f>IF(M1002=0,"",IF(H1002="HOME",SUMIFS('Istoric_Nativ'!$G$6:$G$405,'Istoric_Nativ'!$B$6:$B$405,E1002,'Istoric_Nativ'!$C$6:$C$405,F1002,'Istoric_Nativ'!$E$6:$E$405,G1002,'Istoric_Nativ'!$D$6:$D$405,"&lt;"&amp;J1002,'Istoric_Nativ'!$P$6:$P$405,1,'Istoric_Nativ'!$D$6:$D$405,"&gt;="&amp;L1002),IF(H1002="AWAY",SUMIFS('Istoric_Nativ'!$H$6:$H$405,'Istoric_Nativ'!$B$6:$B$405,E1002,'Istoric_Nativ'!$C$6:$C$405,F1002,'Istoric_Nativ'!$F$6:$F$405,G1002,'Istoric_Nativ'!$D$6:$D$405,"&lt;"&amp;J1002,'Istoric_Nativ'!$P$6:$P$405,1,'Istoric_Nativ'!$D$6:$D$405,"&gt;="&amp;L1002),SUMIFS('Istoric_Nativ'!$G$6:$G$405,'Istoric_Nativ'!$B$6:$B$405,E1002,'Istoric_Nativ'!$C$6:$C$405,F1002,'Istoric_Nativ'!$E$6:$E$405,G1002,'Istoric_Nativ'!$D$6:$D$405,"&lt;"&amp;J1002,'Istoric_Nativ'!$P$6:$P$405,1,'Istoric_Nativ'!$D$6:$D$405,"&gt;="&amp;L1002)+SUMIFS('Istoric_Nativ'!$H$6:$H$405,'Istoric_Nativ'!$B$6:$B$405,E1002,'Istoric_Nativ'!$C$6:$C$405,F1002,'Istoric_Nativ'!$F$6:$F$405,G1002,'Istoric_Nativ'!$D$6:$D$405,"&lt;"&amp;J1002,'Istoric_Nativ'!$P$6:$P$405,1,'Istoric_Nativ'!$D$6:$D$405,"&gt;="&amp;L1002)))/M1002)</x:f>
      </x:c>
      <x:c r="O1002" s="11" t="str">
        <x:f>IF(M1002=0,"",IF(H1002="HOME",SUMIFS('Istoric_Nativ'!$H$6:$H$405,'Istoric_Nativ'!$B$6:$B$405,E1002,'Istoric_Nativ'!$C$6:$C$405,F1002,'Istoric_Nativ'!$E$6:$E$405,G1002,'Istoric_Nativ'!$D$6:$D$405,"&lt;"&amp;J1002,'Istoric_Nativ'!$P$6:$P$405,1,'Istoric_Nativ'!$D$6:$D$405,"&gt;="&amp;L1002),IF(H1002="AWAY",SUMIFS('Istoric_Nativ'!$G$6:$G$405,'Istoric_Nativ'!$B$6:$B$405,E1002,'Istoric_Nativ'!$C$6:$C$405,F1002,'Istoric_Nativ'!$F$6:$F$405,G1002,'Istoric_Nativ'!$D$6:$D$405,"&lt;"&amp;J1002,'Istoric_Nativ'!$P$6:$P$405,1,'Istoric_Nativ'!$D$6:$D$405,"&gt;="&amp;L1002),SUMIFS('Istoric_Nativ'!$H$6:$H$405,'Istoric_Nativ'!$B$6:$B$405,E1002,'Istoric_Nativ'!$C$6:$C$405,F1002,'Istoric_Nativ'!$E$6:$E$405,G1002,'Istoric_Nativ'!$D$6:$D$405,"&lt;"&amp;J1002,'Istoric_Nativ'!$P$6:$P$405,1,'Istoric_Nativ'!$D$6:$D$405,"&gt;="&amp;L1002)+SUMIFS('Istoric_Nativ'!$G$6:$G$405,'Istoric_Nativ'!$B$6:$B$405,E1002,'Istoric_Nativ'!$C$6:$C$405,F1002,'Istoric_Nativ'!$F$6:$F$405,G1002,'Istoric_Nativ'!$D$6:$D$405,"&lt;"&amp;J1002,'Istoric_Nativ'!$P$6:$P$405,1,'Istoric_Nativ'!$D$6:$D$405,"&gt;="&amp;L1002)))/M1002)</x:f>
      </x:c>
      <x:c r="P1002" s="2" t="n">
        <x:f>'Config_v6'!$B$7</x:f>
        <x:v>10</x:v>
      </x:c>
      <x:c r="Q1002" s="2" t="n">
        <x:f>IF(OR(B1002="",F1002=""),0,IFERROR(MATCH(E1002&amp;"|"&amp;F1002,SourceTable[Source_Key],0),0))</x:f>
        <x:v>0</x:v>
      </x:c>
      <x:c r="R1002" s="2" t="str">
        <x:f>IF(B1002="","",IF(F1002="","UNUSED",IF(Q1002=0,"NOT CHECKED",IF(COUNTIF(SourceTable[Source_Key],E1002&amp;"|"&amp;F1002)&lt;&gt;1,"SOURCE CONFLICT",IF(NOT(OR(INDEX(SourceTable[Status],MAX(1,Q1002))="IMPORTED",INDEX(SourceTable[Status],MAX(1,Q1002))="PARTIAL",INDEX(SourceTable[Status],MAX(1,Q1002))="SOURCE CONFLICT")),"ACCESS BLOCKED",IF(OR(INDEX(SourceTable[Coverage],Q1002)&lt;&gt;"FULL SEASON EXPORT",INDEX(SourceTable[URL],Q1002)="",INDEX(SourceTable[SHA256],Q1002)=""),"EVIDENCE INCOMPLETE",IF(AND('Input_Meci'!H89="LIVE",INDEX(SourceTable[Retrieved_UTC],Q1002)&gt;'Input_Meci'!G89),"POST CUTOFF","CLOSED")))))))</x:f>
      </x:c>
      <x:c r="S1002" s="2" t="n">
        <x:f>IF(OR(B1002="",F1002=""),0,COUNTIFS('Istoric_Nativ'!$B$6:$B$405,E1002,'Istoric_Nativ'!$C$6:$C$405,F1002,'Istoric_Nativ'!$E$6:$E$405,G1002,'Istoric_Nativ'!$D$6:$D$405,"&lt;"&amp;J1002,'Istoric_Nativ'!$O$6:$O$405,"INVALID")+COUNTIFS('Istoric_Nativ'!$B$6:$B$405,E1002,'Istoric_Nativ'!$C$6:$C$405,F1002,'Istoric_Nativ'!$E$6:$E$405,G1002,'Istoric_Nativ'!$O$6:$O$405,"INVALID",'Istoric_Nativ'!$D$6:$D$405,"*")+COUNTIFS('Istoric_Nativ'!$B$6:$B$405,E1002,'Istoric_Nativ'!$C$6:$C$405,F1002,'Istoric_Nativ'!$E$6:$E$405,G1002,'Istoric_Nativ'!$D$6:$D$405,"&lt;"&amp;J1002,'Istoric_Nativ'!$O$6:$O$405,"SOURCE CONFLICT")+COUNTIFS('Istoric_Nativ'!$B$6:$B$405,E1002,'Istoric_Nativ'!$C$6:$C$405,F1002,'Istoric_Nativ'!$F$6:$F$405,G1002,'Istoric_Nativ'!$D$6:$D$405,"&lt;"&amp;J1002,'Istoric_Nativ'!$O$6:$O$405,"INVALID")+COUNTIFS('Istoric_Nativ'!$B$6:$B$405,E1002,'Istoric_Nativ'!$C$6:$C$405,F1002,'Istoric_Nativ'!$F$6:$F$405,G1002,'Istoric_Nativ'!$O$6:$O$405,"INVALID",'Istoric_Nativ'!$D$6:$D$405,"*")+COUNTIFS('Istoric_Nativ'!$B$6:$B$405,E1002,'Istoric_Nativ'!$C$6:$C$405,F1002,'Istoric_Nativ'!$F$6:$F$405,G1002,'Istoric_Nativ'!$D$6:$D$405,"&lt;"&amp;J1002,'Istoric_Nativ'!$O$6:$O$405,"SOURCE CONFLICT"))</x:f>
        <x:v>0</x:v>
      </x:c>
      <x:c r="T1002" s="2" t="str">
        <x:f>IF(B1002="","",IF(R1002&lt;&gt;"CLOSED",R1002,IF(S1002&gt;0,"NATIVE INPUT ISSUE",IF(M1002=0,"NO HISTORY",IF(M1002&lt;P1002,"SMALL SAMPLE","DERIVED")))))</x:f>
      </x:c>
      <x:c r="U1002" s="2" t="str">
        <x:f>IF(B1002="","","NativeTable; "&amp;E1002&amp;"; "&amp;F1002&amp;"; "&amp;G1002&amp;"; "&amp;H1002&amp;"; before "&amp;TEXT(J1002,"yyyy-mm-dd")&amp;IF(I1002="RECENT","; from "&amp;TEXT(L1002,"yyyy-mm-dd"),""))</x:f>
      </x:c>
    </x:row>
    <x:row r="1003" ht="21" customHeight="1">
      <x:c r="A1003" s="2" t="n">
        <x:v>84</x:v>
      </x:c>
      <x:c r="B1003" s="2" t="str">
        <x:f>IF('Input_Meci'!A89="","",'Input_Meci'!A89)</x:f>
      </x:c>
      <x:c r="C1003" s="2" t="str">
        <x:v>H</x:v>
      </x:c>
      <x:c r="D1003" s="2" t="str">
        <x:v>CURRENT</x:v>
      </x:c>
      <x:c r="E1003" s="2" t="str">
        <x:f>IF(B1003="","",'Input_Meci'!B89)</x:f>
      </x:c>
      <x:c r="F1003" s="2" t="str">
        <x:f>IF(B1003="","",IF('Input_Meci'!C89="","",'Input_Meci'!C89))</x:f>
      </x:c>
      <x:c r="G1003" s="2" t="str">
        <x:f>IF(B1003="","",'Input_Meci'!D89)</x:f>
      </x:c>
      <x:c r="H1003" s="2" t="str">
        <x:v>HOME</x:v>
      </x:c>
      <x:c r="I1003" s="2" t="str">
        <x:v>HA</x:v>
      </x:c>
      <x:c r="J1003" s="9" t="n">
        <x:f>IF(AND(B1003&lt;&gt;"",ISNUMBER('Input_Meci'!G89)),INT('Input_Meci'!G89),0)</x:f>
        <x:v>0</x:v>
      </x:c>
      <x:c r="K1003" s="2" t="n">
        <x:f>IF(OR(B1003="",F1003=""),0,IF(H1003="HOME",COUNTIFS('Istoric_Nativ'!$B$6:$B$405,E1003,'Istoric_Nativ'!$C$6:$C$405,F1003,'Istoric_Nativ'!$E$6:$E$405,G1003,'Istoric_Nativ'!$D$6:$D$405,"&lt;"&amp;J1003,'Istoric_Nativ'!$P$6:$P$405,1),IF(H1003="AWAY",COUNTIFS('Istoric_Nativ'!$B$6:$B$405,E1003,'Istoric_Nativ'!$C$6:$C$405,F1003,'Istoric_Nativ'!$F$6:$F$405,G1003,'Istoric_Nativ'!$D$6:$D$405,"&lt;"&amp;J1003,'Istoric_Nativ'!$P$6:$P$405,1),COUNTIFS('Istoric_Nativ'!$B$6:$B$405,E1003,'Istoric_Nativ'!$C$6:$C$405,F1003,'Istoric_Nativ'!$E$6:$E$405,G1003,'Istoric_Nativ'!$D$6:$D$405,"&lt;"&amp;J1003,'Istoric_Nativ'!$P$6:$P$405,1)+COUNTIFS('Istoric_Nativ'!$B$6:$B$405,E1003,'Istoric_Nativ'!$C$6:$C$405,F1003,'Istoric_Nativ'!$F$6:$F$405,G1003,'Istoric_Nativ'!$D$6:$D$405,"&lt;"&amp;J1003,'Istoric_Nativ'!$P$6:$P$405,1))))</x:f>
        <x:v>0</x:v>
      </x:c>
      <x:c r="L1003" s="17" t="n">
        <x:f>IF(AND(B1003&lt;&gt;"",I1003="RECENT",K1003&gt;0),LARGE(_xlfn._xlws.FILTER('Istoric_Nativ'!$D$6:$D$405,('Istoric_Nativ'!$B$6:$B$405=E1003)*('Istoric_Nativ'!$C$6:$C$405=F1003)*('Istoric_Nativ'!$P$6:$P$405=1)*('Istoric_Nativ'!$D$6:$D$405&lt;J1003)*((('Istoric_Nativ'!$E$6:$E$405=G1003)+('Istoric_Nativ'!$F$6:$F$405=G1003))&gt;0)),MIN('Config_v6'!$B$54,K1003)),0)</x:f>
        <x:v>0</x:v>
      </x:c>
      <x:c r="M1003" s="2" t="n">
        <x:f>IF(OR(B1003="",F1003=""),0,IF(H1003="HOME",COUNTIFS('Istoric_Nativ'!$B$6:$B$405,E1003,'Istoric_Nativ'!$C$6:$C$405,F1003,'Istoric_Nativ'!$E$6:$E$405,G1003,'Istoric_Nativ'!$D$6:$D$405,"&lt;"&amp;J1003,'Istoric_Nativ'!$P$6:$P$405,1,'Istoric_Nativ'!$D$6:$D$405,"&gt;="&amp;L1003),IF(H1003="AWAY",COUNTIFS('Istoric_Nativ'!$B$6:$B$405,E1003,'Istoric_Nativ'!$C$6:$C$405,F1003,'Istoric_Nativ'!$F$6:$F$405,G1003,'Istoric_Nativ'!$D$6:$D$405,"&lt;"&amp;J1003,'Istoric_Nativ'!$P$6:$P$405,1,'Istoric_Nativ'!$D$6:$D$405,"&gt;="&amp;L1003),COUNTIFS('Istoric_Nativ'!$B$6:$B$405,E1003,'Istoric_Nativ'!$C$6:$C$405,F1003,'Istoric_Nativ'!$E$6:$E$405,G1003,'Istoric_Nativ'!$D$6:$D$405,"&lt;"&amp;J1003,'Istoric_Nativ'!$P$6:$P$405,1,'Istoric_Nativ'!$D$6:$D$405,"&gt;="&amp;L1003)+COUNTIFS('Istoric_Nativ'!$B$6:$B$405,E1003,'Istoric_Nativ'!$C$6:$C$405,F1003,'Istoric_Nativ'!$F$6:$F$405,G1003,'Istoric_Nativ'!$D$6:$D$405,"&lt;"&amp;J1003,'Istoric_Nativ'!$P$6:$P$405,1,'Istoric_Nativ'!$D$6:$D$405,"&gt;="&amp;L1003))))</x:f>
        <x:v>0</x:v>
      </x:c>
      <x:c r="N1003" s="11" t="str">
        <x:f>IF(M1003=0,"",IF(H1003="HOME",SUMIFS('Istoric_Nativ'!$G$6:$G$405,'Istoric_Nativ'!$B$6:$B$405,E1003,'Istoric_Nativ'!$C$6:$C$405,F1003,'Istoric_Nativ'!$E$6:$E$405,G1003,'Istoric_Nativ'!$D$6:$D$405,"&lt;"&amp;J1003,'Istoric_Nativ'!$P$6:$P$405,1,'Istoric_Nativ'!$D$6:$D$405,"&gt;="&amp;L1003),IF(H1003="AWAY",SUMIFS('Istoric_Nativ'!$H$6:$H$405,'Istoric_Nativ'!$B$6:$B$405,E1003,'Istoric_Nativ'!$C$6:$C$405,F1003,'Istoric_Nativ'!$F$6:$F$405,G1003,'Istoric_Nativ'!$D$6:$D$405,"&lt;"&amp;J1003,'Istoric_Nativ'!$P$6:$P$405,1,'Istoric_Nativ'!$D$6:$D$405,"&gt;="&amp;L1003),SUMIFS('Istoric_Nativ'!$G$6:$G$405,'Istoric_Nativ'!$B$6:$B$405,E1003,'Istoric_Nativ'!$C$6:$C$405,F1003,'Istoric_Nativ'!$E$6:$E$405,G1003,'Istoric_Nativ'!$D$6:$D$405,"&lt;"&amp;J1003,'Istoric_Nativ'!$P$6:$P$405,1,'Istoric_Nativ'!$D$6:$D$405,"&gt;="&amp;L1003)+SUMIFS('Istoric_Nativ'!$H$6:$H$405,'Istoric_Nativ'!$B$6:$B$405,E1003,'Istoric_Nativ'!$C$6:$C$405,F1003,'Istoric_Nativ'!$F$6:$F$405,G1003,'Istoric_Nativ'!$D$6:$D$405,"&lt;"&amp;J1003,'Istoric_Nativ'!$P$6:$P$405,1,'Istoric_Nativ'!$D$6:$D$405,"&gt;="&amp;L1003)))/M1003)</x:f>
      </x:c>
      <x:c r="O1003" s="11" t="str">
        <x:f>IF(M1003=0,"",IF(H1003="HOME",SUMIFS('Istoric_Nativ'!$H$6:$H$405,'Istoric_Nativ'!$B$6:$B$405,E1003,'Istoric_Nativ'!$C$6:$C$405,F1003,'Istoric_Nativ'!$E$6:$E$405,G1003,'Istoric_Nativ'!$D$6:$D$405,"&lt;"&amp;J1003,'Istoric_Nativ'!$P$6:$P$405,1,'Istoric_Nativ'!$D$6:$D$405,"&gt;="&amp;L1003),IF(H1003="AWAY",SUMIFS('Istoric_Nativ'!$G$6:$G$405,'Istoric_Nativ'!$B$6:$B$405,E1003,'Istoric_Nativ'!$C$6:$C$405,F1003,'Istoric_Nativ'!$F$6:$F$405,G1003,'Istoric_Nativ'!$D$6:$D$405,"&lt;"&amp;J1003,'Istoric_Nativ'!$P$6:$P$405,1,'Istoric_Nativ'!$D$6:$D$405,"&gt;="&amp;L1003),SUMIFS('Istoric_Nativ'!$H$6:$H$405,'Istoric_Nativ'!$B$6:$B$405,E1003,'Istoric_Nativ'!$C$6:$C$405,F1003,'Istoric_Nativ'!$E$6:$E$405,G1003,'Istoric_Nativ'!$D$6:$D$405,"&lt;"&amp;J1003,'Istoric_Nativ'!$P$6:$P$405,1,'Istoric_Nativ'!$D$6:$D$405,"&gt;="&amp;L1003)+SUMIFS('Istoric_Nativ'!$G$6:$G$405,'Istoric_Nativ'!$B$6:$B$405,E1003,'Istoric_Nativ'!$C$6:$C$405,F1003,'Istoric_Nativ'!$F$6:$F$405,G1003,'Istoric_Nativ'!$D$6:$D$405,"&lt;"&amp;J1003,'Istoric_Nativ'!$P$6:$P$405,1,'Istoric_Nativ'!$D$6:$D$405,"&gt;="&amp;L1003)))/M1003)</x:f>
      </x:c>
      <x:c r="P1003" s="2" t="n">
        <x:f>'Config_v6'!$B$8</x:f>
        <x:v>5</x:v>
      </x:c>
      <x:c r="Q1003" s="2" t="n">
        <x:f>IF(OR(B1003="",F1003=""),0,IFERROR(MATCH(E1003&amp;"|"&amp;F1003,SourceTable[Source_Key],0),0))</x:f>
        <x:v>0</x:v>
      </x:c>
      <x:c r="R1003" s="2" t="str">
        <x:f>IF(B1003="","",IF(F1003="","UNUSED",IF(Q1003=0,"NOT CHECKED",IF(COUNTIF(SourceTable[Source_Key],E1003&amp;"|"&amp;F1003)&lt;&gt;1,"SOURCE CONFLICT",IF(NOT(OR(INDEX(SourceTable[Status],MAX(1,Q1003))="IMPORTED",INDEX(SourceTable[Status],MAX(1,Q1003))="PARTIAL",INDEX(SourceTable[Status],MAX(1,Q1003))="SOURCE CONFLICT")),"ACCESS BLOCKED",IF(OR(INDEX(SourceTable[Coverage],Q1003)&lt;&gt;"FULL SEASON EXPORT",INDEX(SourceTable[URL],Q1003)="",INDEX(SourceTable[SHA256],Q1003)=""),"EVIDENCE INCOMPLETE",IF(AND('Input_Meci'!H89="LIVE",INDEX(SourceTable[Retrieved_UTC],Q1003)&gt;'Input_Meci'!G89),"POST CUTOFF","CLOSED")))))))</x:f>
      </x:c>
      <x:c r="S1003" s="2" t="n">
        <x:f>IF(OR(B1003="",F1003=""),0,COUNTIFS('Istoric_Nativ'!$B$6:$B$405,E1003,'Istoric_Nativ'!$C$6:$C$405,F1003,'Istoric_Nativ'!$E$6:$E$405,G1003,'Istoric_Nativ'!$D$6:$D$405,"&lt;"&amp;J1003,'Istoric_Nativ'!$O$6:$O$405,"INVALID")+COUNTIFS('Istoric_Nativ'!$B$6:$B$405,E1003,'Istoric_Nativ'!$C$6:$C$405,F1003,'Istoric_Nativ'!$E$6:$E$405,G1003,'Istoric_Nativ'!$O$6:$O$405,"INVALID",'Istoric_Nativ'!$D$6:$D$405,"*")+COUNTIFS('Istoric_Nativ'!$B$6:$B$405,E1003,'Istoric_Nativ'!$C$6:$C$405,F1003,'Istoric_Nativ'!$E$6:$E$405,G1003,'Istoric_Nativ'!$D$6:$D$405,"&lt;"&amp;J1003,'Istoric_Nativ'!$O$6:$O$405,"SOURCE CONFLICT")+COUNTIFS('Istoric_Nativ'!$B$6:$B$405,E1003,'Istoric_Nativ'!$C$6:$C$405,F1003,'Istoric_Nativ'!$F$6:$F$405,G1003,'Istoric_Nativ'!$D$6:$D$405,"&lt;"&amp;J1003,'Istoric_Nativ'!$O$6:$O$405,"INVALID")+COUNTIFS('Istoric_Nativ'!$B$6:$B$405,E1003,'Istoric_Nativ'!$C$6:$C$405,F1003,'Istoric_Nativ'!$F$6:$F$405,G1003,'Istoric_Nativ'!$O$6:$O$405,"INVALID",'Istoric_Nativ'!$D$6:$D$405,"*")+COUNTIFS('Istoric_Nativ'!$B$6:$B$405,E1003,'Istoric_Nativ'!$C$6:$C$405,F1003,'Istoric_Nativ'!$F$6:$F$405,G1003,'Istoric_Nativ'!$D$6:$D$405,"&lt;"&amp;J1003,'Istoric_Nativ'!$O$6:$O$405,"SOURCE CONFLICT"))</x:f>
        <x:v>0</x:v>
      </x:c>
      <x:c r="T1003" s="2" t="str">
        <x:f>IF(B1003="","",IF(R1003&lt;&gt;"CLOSED",R1003,IF(S1003&gt;0,"NATIVE INPUT ISSUE",IF(M1003=0,"NO HISTORY",IF(M1003&lt;P1003,"SMALL SAMPLE","DERIVED")))))</x:f>
      </x:c>
      <x:c r="U1003" s="2" t="str">
        <x:f>IF(B1003="","","NativeTable; "&amp;E1003&amp;"; "&amp;F1003&amp;"; "&amp;G1003&amp;"; "&amp;H1003&amp;"; before "&amp;TEXT(J1003,"yyyy-mm-dd")&amp;IF(I1003="RECENT","; from "&amp;TEXT(L1003,"yyyy-mm-dd"),""))</x:f>
      </x:c>
    </x:row>
    <x:row r="1004" ht="21" customHeight="1">
      <x:c r="A1004" s="2" t="n">
        <x:v>84</x:v>
      </x:c>
      <x:c r="B1004" s="2" t="str">
        <x:f>IF('Input_Meci'!A89="","",'Input_Meci'!A89)</x:f>
      </x:c>
      <x:c r="C1004" s="2" t="str">
        <x:v>H</x:v>
      </x:c>
      <x:c r="D1004" s="2" t="str">
        <x:v>CURRENT</x:v>
      </x:c>
      <x:c r="E1004" s="2" t="str">
        <x:f>IF(B1004="","",'Input_Meci'!B89)</x:f>
      </x:c>
      <x:c r="F1004" s="2" t="str">
        <x:f>IF(B1004="","",IF('Input_Meci'!C89="","",'Input_Meci'!C89))</x:f>
      </x:c>
      <x:c r="G1004" s="2" t="str">
        <x:f>IF(B1004="","",'Input_Meci'!D89)</x:f>
      </x:c>
      <x:c r="H1004" s="2" t="str">
        <x:v>ANY</x:v>
      </x:c>
      <x:c r="I1004" s="2" t="str">
        <x:v>RECENT</x:v>
      </x:c>
      <x:c r="J1004" s="9" t="n">
        <x:f>IF(AND(B1004&lt;&gt;"",ISNUMBER('Input_Meci'!G89)),INT('Input_Meci'!G89),0)</x:f>
        <x:v>0</x:v>
      </x:c>
      <x:c r="K1004" s="2" t="n">
        <x:f>IF(OR(B1004="",F1004=""),0,IF(H1004="HOME",COUNTIFS('Istoric_Nativ'!$B$6:$B$405,E1004,'Istoric_Nativ'!$C$6:$C$405,F1004,'Istoric_Nativ'!$E$6:$E$405,G1004,'Istoric_Nativ'!$D$6:$D$405,"&lt;"&amp;J1004,'Istoric_Nativ'!$P$6:$P$405,1),IF(H1004="AWAY",COUNTIFS('Istoric_Nativ'!$B$6:$B$405,E1004,'Istoric_Nativ'!$C$6:$C$405,F1004,'Istoric_Nativ'!$F$6:$F$405,G1004,'Istoric_Nativ'!$D$6:$D$405,"&lt;"&amp;J1004,'Istoric_Nativ'!$P$6:$P$405,1),COUNTIFS('Istoric_Nativ'!$B$6:$B$405,E1004,'Istoric_Nativ'!$C$6:$C$405,F1004,'Istoric_Nativ'!$E$6:$E$405,G1004,'Istoric_Nativ'!$D$6:$D$405,"&lt;"&amp;J1004,'Istoric_Nativ'!$P$6:$P$405,1)+COUNTIFS('Istoric_Nativ'!$B$6:$B$405,E1004,'Istoric_Nativ'!$C$6:$C$405,F1004,'Istoric_Nativ'!$F$6:$F$405,G1004,'Istoric_Nativ'!$D$6:$D$405,"&lt;"&amp;J1004,'Istoric_Nativ'!$P$6:$P$405,1))))</x:f>
        <x:v>0</x:v>
      </x:c>
      <x:c r="L1004" s="17" t="n">
        <x:f>IF(AND(B1004&lt;&gt;"",I1004="RECENT",K1004&gt;0),LARGE(_xlfn._xlws.FILTER('Istoric_Nativ'!$D$6:$D$405,('Istoric_Nativ'!$B$6:$B$405=E1004)*('Istoric_Nativ'!$C$6:$C$405=F1004)*('Istoric_Nativ'!$P$6:$P$405=1)*('Istoric_Nativ'!$D$6:$D$405&lt;J1004)*((('Istoric_Nativ'!$E$6:$E$405=G1004)+('Istoric_Nativ'!$F$6:$F$405=G1004))&gt;0)),MIN('Config_v6'!$B$54,K1004)),0)</x:f>
        <x:v>0</x:v>
      </x:c>
      <x:c r="M1004" s="2" t="n">
        <x:f>IF(OR(B1004="",F1004=""),0,IF(H1004="HOME",COUNTIFS('Istoric_Nativ'!$B$6:$B$405,E1004,'Istoric_Nativ'!$C$6:$C$405,F1004,'Istoric_Nativ'!$E$6:$E$405,G1004,'Istoric_Nativ'!$D$6:$D$405,"&lt;"&amp;J1004,'Istoric_Nativ'!$P$6:$P$405,1,'Istoric_Nativ'!$D$6:$D$405,"&gt;="&amp;L1004),IF(H1004="AWAY",COUNTIFS('Istoric_Nativ'!$B$6:$B$405,E1004,'Istoric_Nativ'!$C$6:$C$405,F1004,'Istoric_Nativ'!$F$6:$F$405,G1004,'Istoric_Nativ'!$D$6:$D$405,"&lt;"&amp;J1004,'Istoric_Nativ'!$P$6:$P$405,1,'Istoric_Nativ'!$D$6:$D$405,"&gt;="&amp;L1004),COUNTIFS('Istoric_Nativ'!$B$6:$B$405,E1004,'Istoric_Nativ'!$C$6:$C$405,F1004,'Istoric_Nativ'!$E$6:$E$405,G1004,'Istoric_Nativ'!$D$6:$D$405,"&lt;"&amp;J1004,'Istoric_Nativ'!$P$6:$P$405,1,'Istoric_Nativ'!$D$6:$D$405,"&gt;="&amp;L1004)+COUNTIFS('Istoric_Nativ'!$B$6:$B$405,E1004,'Istoric_Nativ'!$C$6:$C$405,F1004,'Istoric_Nativ'!$F$6:$F$405,G1004,'Istoric_Nativ'!$D$6:$D$405,"&lt;"&amp;J1004,'Istoric_Nativ'!$P$6:$P$405,1,'Istoric_Nativ'!$D$6:$D$405,"&gt;="&amp;L1004))))</x:f>
        <x:v>0</x:v>
      </x:c>
      <x:c r="N1004" s="11" t="str">
        <x:f>IF(M1004=0,"",IF(H1004="HOME",SUMIFS('Istoric_Nativ'!$G$6:$G$405,'Istoric_Nativ'!$B$6:$B$405,E1004,'Istoric_Nativ'!$C$6:$C$405,F1004,'Istoric_Nativ'!$E$6:$E$405,G1004,'Istoric_Nativ'!$D$6:$D$405,"&lt;"&amp;J1004,'Istoric_Nativ'!$P$6:$P$405,1,'Istoric_Nativ'!$D$6:$D$405,"&gt;="&amp;L1004),IF(H1004="AWAY",SUMIFS('Istoric_Nativ'!$H$6:$H$405,'Istoric_Nativ'!$B$6:$B$405,E1004,'Istoric_Nativ'!$C$6:$C$405,F1004,'Istoric_Nativ'!$F$6:$F$405,G1004,'Istoric_Nativ'!$D$6:$D$405,"&lt;"&amp;J1004,'Istoric_Nativ'!$P$6:$P$405,1,'Istoric_Nativ'!$D$6:$D$405,"&gt;="&amp;L1004),SUMIFS('Istoric_Nativ'!$G$6:$G$405,'Istoric_Nativ'!$B$6:$B$405,E1004,'Istoric_Nativ'!$C$6:$C$405,F1004,'Istoric_Nativ'!$E$6:$E$405,G1004,'Istoric_Nativ'!$D$6:$D$405,"&lt;"&amp;J1004,'Istoric_Nativ'!$P$6:$P$405,1,'Istoric_Nativ'!$D$6:$D$405,"&gt;="&amp;L1004)+SUMIFS('Istoric_Nativ'!$H$6:$H$405,'Istoric_Nativ'!$B$6:$B$405,E1004,'Istoric_Nativ'!$C$6:$C$405,F1004,'Istoric_Nativ'!$F$6:$F$405,G1004,'Istoric_Nativ'!$D$6:$D$405,"&lt;"&amp;J1004,'Istoric_Nativ'!$P$6:$P$405,1,'Istoric_Nativ'!$D$6:$D$405,"&gt;="&amp;L1004)))/M1004)</x:f>
      </x:c>
      <x:c r="O1004" s="11" t="str">
        <x:f>IF(M1004=0,"",IF(H1004="HOME",SUMIFS('Istoric_Nativ'!$H$6:$H$405,'Istoric_Nativ'!$B$6:$B$405,E1004,'Istoric_Nativ'!$C$6:$C$405,F1004,'Istoric_Nativ'!$E$6:$E$405,G1004,'Istoric_Nativ'!$D$6:$D$405,"&lt;"&amp;J1004,'Istoric_Nativ'!$P$6:$P$405,1,'Istoric_Nativ'!$D$6:$D$405,"&gt;="&amp;L1004),IF(H1004="AWAY",SUMIFS('Istoric_Nativ'!$G$6:$G$405,'Istoric_Nativ'!$B$6:$B$405,E1004,'Istoric_Nativ'!$C$6:$C$405,F1004,'Istoric_Nativ'!$F$6:$F$405,G1004,'Istoric_Nativ'!$D$6:$D$405,"&lt;"&amp;J1004,'Istoric_Nativ'!$P$6:$P$405,1,'Istoric_Nativ'!$D$6:$D$405,"&gt;="&amp;L1004),SUMIFS('Istoric_Nativ'!$H$6:$H$405,'Istoric_Nativ'!$B$6:$B$405,E1004,'Istoric_Nativ'!$C$6:$C$405,F1004,'Istoric_Nativ'!$E$6:$E$405,G1004,'Istoric_Nativ'!$D$6:$D$405,"&lt;"&amp;J1004,'Istoric_Nativ'!$P$6:$P$405,1,'Istoric_Nativ'!$D$6:$D$405,"&gt;="&amp;L1004)+SUMIFS('Istoric_Nativ'!$G$6:$G$405,'Istoric_Nativ'!$B$6:$B$405,E1004,'Istoric_Nativ'!$C$6:$C$405,F1004,'Istoric_Nativ'!$F$6:$F$405,G1004,'Istoric_Nativ'!$D$6:$D$405,"&lt;"&amp;J1004,'Istoric_Nativ'!$P$6:$P$405,1,'Istoric_Nativ'!$D$6:$D$405,"&gt;="&amp;L1004)))/M1004)</x:f>
      </x:c>
      <x:c r="P1004" s="2" t="n">
        <x:f>'Config_v6'!$B$9</x:f>
        <x:v>3</x:v>
      </x:c>
      <x:c r="Q1004" s="2" t="n">
        <x:f>IF(OR(B1004="",F1004=""),0,IFERROR(MATCH(E1004&amp;"|"&amp;F1004,SourceTable[Source_Key],0),0))</x:f>
        <x:v>0</x:v>
      </x:c>
      <x:c r="R1004" s="2" t="str">
        <x:f>IF(B1004="","",IF(F1004="","UNUSED",IF(Q1004=0,"NOT CHECKED",IF(COUNTIF(SourceTable[Source_Key],E1004&amp;"|"&amp;F1004)&lt;&gt;1,"SOURCE CONFLICT",IF(NOT(OR(INDEX(SourceTable[Status],MAX(1,Q1004))="IMPORTED",INDEX(SourceTable[Status],MAX(1,Q1004))="PARTIAL",INDEX(SourceTable[Status],MAX(1,Q1004))="SOURCE CONFLICT")),"ACCESS BLOCKED",IF(OR(INDEX(SourceTable[Coverage],Q1004)&lt;&gt;"FULL SEASON EXPORT",INDEX(SourceTable[URL],Q1004)="",INDEX(SourceTable[SHA256],Q1004)=""),"EVIDENCE INCOMPLETE",IF(AND('Input_Meci'!H89="LIVE",INDEX(SourceTable[Retrieved_UTC],Q1004)&gt;'Input_Meci'!G89),"POST CUTOFF","CLOSED")))))))</x:f>
      </x:c>
      <x:c r="S1004" s="2" t="n">
        <x:f>IF(OR(B1004="",F1004=""),0,COUNTIFS('Istoric_Nativ'!$B$6:$B$405,E1004,'Istoric_Nativ'!$C$6:$C$405,F1004,'Istoric_Nativ'!$E$6:$E$405,G1004,'Istoric_Nativ'!$D$6:$D$405,"&lt;"&amp;J1004,'Istoric_Nativ'!$O$6:$O$405,"INVALID")+COUNTIFS('Istoric_Nativ'!$B$6:$B$405,E1004,'Istoric_Nativ'!$C$6:$C$405,F1004,'Istoric_Nativ'!$E$6:$E$405,G1004,'Istoric_Nativ'!$O$6:$O$405,"INVALID",'Istoric_Nativ'!$D$6:$D$405,"*")+COUNTIFS('Istoric_Nativ'!$B$6:$B$405,E1004,'Istoric_Nativ'!$C$6:$C$405,F1004,'Istoric_Nativ'!$E$6:$E$405,G1004,'Istoric_Nativ'!$D$6:$D$405,"&lt;"&amp;J1004,'Istoric_Nativ'!$O$6:$O$405,"SOURCE CONFLICT")+COUNTIFS('Istoric_Nativ'!$B$6:$B$405,E1004,'Istoric_Nativ'!$C$6:$C$405,F1004,'Istoric_Nativ'!$F$6:$F$405,G1004,'Istoric_Nativ'!$D$6:$D$405,"&lt;"&amp;J1004,'Istoric_Nativ'!$O$6:$O$405,"INVALID")+COUNTIFS('Istoric_Nativ'!$B$6:$B$405,E1004,'Istoric_Nativ'!$C$6:$C$405,F1004,'Istoric_Nativ'!$F$6:$F$405,G1004,'Istoric_Nativ'!$O$6:$O$405,"INVALID",'Istoric_Nativ'!$D$6:$D$405,"*")+COUNTIFS('Istoric_Nativ'!$B$6:$B$405,E1004,'Istoric_Nativ'!$C$6:$C$405,F1004,'Istoric_Nativ'!$F$6:$F$405,G1004,'Istoric_Nativ'!$D$6:$D$405,"&lt;"&amp;J1004,'Istoric_Nativ'!$O$6:$O$405,"SOURCE CONFLICT"))</x:f>
        <x:v>0</x:v>
      </x:c>
      <x:c r="T1004" s="2" t="str">
        <x:f>IF(B1004="","",IF(R1004&lt;&gt;"CLOSED",R1004,IF(S1004&gt;0,"NATIVE INPUT ISSUE",IF(M1004=0,"NO HISTORY",IF(M1004&lt;P1004,"SMALL SAMPLE","DERIVED")))))</x:f>
      </x:c>
      <x:c r="U1004" s="2" t="str">
        <x:f>IF(B1004="","","NativeTable; "&amp;E1004&amp;"; "&amp;F1004&amp;"; "&amp;G1004&amp;"; "&amp;H1004&amp;"; before "&amp;TEXT(J1004,"yyyy-mm-dd")&amp;IF(I1004="RECENT","; from "&amp;TEXT(L1004,"yyyy-mm-dd"),""))</x:f>
      </x:c>
    </x:row>
    <x:row r="1005" ht="21" customHeight="1">
      <x:c r="A1005" s="2" t="n">
        <x:v>84</x:v>
      </x:c>
      <x:c r="B1005" s="2" t="str">
        <x:f>IF('Input_Meci'!A89="","",'Input_Meci'!A89)</x:f>
      </x:c>
      <x:c r="C1005" s="2" t="str">
        <x:v>A</x:v>
      </x:c>
      <x:c r="D1005" s="2" t="str">
        <x:v>CURRENT</x:v>
      </x:c>
      <x:c r="E1005" s="2" t="str">
        <x:f>IF(B1005="","",'Input_Meci'!B89)</x:f>
      </x:c>
      <x:c r="F1005" s="2" t="str">
        <x:f>IF(B1005="","",IF('Input_Meci'!C89="","",'Input_Meci'!C89))</x:f>
      </x:c>
      <x:c r="G1005" s="2" t="str">
        <x:f>IF(B1005="","",'Input_Meci'!E89)</x:f>
      </x:c>
      <x:c r="H1005" s="2" t="str">
        <x:v>ANY</x:v>
      </x:c>
      <x:c r="I1005" s="2" t="str">
        <x:v>SEASON</x:v>
      </x:c>
      <x:c r="J1005" s="9" t="n">
        <x:f>IF(AND(B1005&lt;&gt;"",ISNUMBER('Input_Meci'!G89)),INT('Input_Meci'!G89),0)</x:f>
        <x:v>0</x:v>
      </x:c>
      <x:c r="K1005" s="2" t="n">
        <x:f>IF(OR(B1005="",F1005=""),0,IF(H1005="HOME",COUNTIFS('Istoric_Nativ'!$B$6:$B$405,E1005,'Istoric_Nativ'!$C$6:$C$405,F1005,'Istoric_Nativ'!$E$6:$E$405,G1005,'Istoric_Nativ'!$D$6:$D$405,"&lt;"&amp;J1005,'Istoric_Nativ'!$P$6:$P$405,1),IF(H1005="AWAY",COUNTIFS('Istoric_Nativ'!$B$6:$B$405,E1005,'Istoric_Nativ'!$C$6:$C$405,F1005,'Istoric_Nativ'!$F$6:$F$405,G1005,'Istoric_Nativ'!$D$6:$D$405,"&lt;"&amp;J1005,'Istoric_Nativ'!$P$6:$P$405,1),COUNTIFS('Istoric_Nativ'!$B$6:$B$405,E1005,'Istoric_Nativ'!$C$6:$C$405,F1005,'Istoric_Nativ'!$E$6:$E$405,G1005,'Istoric_Nativ'!$D$6:$D$405,"&lt;"&amp;J1005,'Istoric_Nativ'!$P$6:$P$405,1)+COUNTIFS('Istoric_Nativ'!$B$6:$B$405,E1005,'Istoric_Nativ'!$C$6:$C$405,F1005,'Istoric_Nativ'!$F$6:$F$405,G1005,'Istoric_Nativ'!$D$6:$D$405,"&lt;"&amp;J1005,'Istoric_Nativ'!$P$6:$P$405,1))))</x:f>
        <x:v>0</x:v>
      </x:c>
      <x:c r="L1005" s="17" t="n">
        <x:f>IF(AND(B1005&lt;&gt;"",I1005="RECENT",K1005&gt;0),LARGE(_xlfn._xlws.FILTER('Istoric_Nativ'!$D$6:$D$405,('Istoric_Nativ'!$B$6:$B$405=E1005)*('Istoric_Nativ'!$C$6:$C$405=F1005)*('Istoric_Nativ'!$P$6:$P$405=1)*('Istoric_Nativ'!$D$6:$D$405&lt;J1005)*((('Istoric_Nativ'!$E$6:$E$405=G1005)+('Istoric_Nativ'!$F$6:$F$405=G1005))&gt;0)),MIN('Config_v6'!$B$54,K1005)),0)</x:f>
        <x:v>0</x:v>
      </x:c>
      <x:c r="M1005" s="2" t="n">
        <x:f>IF(OR(B1005="",F1005=""),0,IF(H1005="HOME",COUNTIFS('Istoric_Nativ'!$B$6:$B$405,E1005,'Istoric_Nativ'!$C$6:$C$405,F1005,'Istoric_Nativ'!$E$6:$E$405,G1005,'Istoric_Nativ'!$D$6:$D$405,"&lt;"&amp;J1005,'Istoric_Nativ'!$P$6:$P$405,1,'Istoric_Nativ'!$D$6:$D$405,"&gt;="&amp;L1005),IF(H1005="AWAY",COUNTIFS('Istoric_Nativ'!$B$6:$B$405,E1005,'Istoric_Nativ'!$C$6:$C$405,F1005,'Istoric_Nativ'!$F$6:$F$405,G1005,'Istoric_Nativ'!$D$6:$D$405,"&lt;"&amp;J1005,'Istoric_Nativ'!$P$6:$P$405,1,'Istoric_Nativ'!$D$6:$D$405,"&gt;="&amp;L1005),COUNTIFS('Istoric_Nativ'!$B$6:$B$405,E1005,'Istoric_Nativ'!$C$6:$C$405,F1005,'Istoric_Nativ'!$E$6:$E$405,G1005,'Istoric_Nativ'!$D$6:$D$405,"&lt;"&amp;J1005,'Istoric_Nativ'!$P$6:$P$405,1,'Istoric_Nativ'!$D$6:$D$405,"&gt;="&amp;L1005)+COUNTIFS('Istoric_Nativ'!$B$6:$B$405,E1005,'Istoric_Nativ'!$C$6:$C$405,F1005,'Istoric_Nativ'!$F$6:$F$405,G1005,'Istoric_Nativ'!$D$6:$D$405,"&lt;"&amp;J1005,'Istoric_Nativ'!$P$6:$P$405,1,'Istoric_Nativ'!$D$6:$D$405,"&gt;="&amp;L1005))))</x:f>
        <x:v>0</x:v>
      </x:c>
      <x:c r="N1005" s="11" t="str">
        <x:f>IF(M1005=0,"",IF(H1005="HOME",SUMIFS('Istoric_Nativ'!$G$6:$G$405,'Istoric_Nativ'!$B$6:$B$405,E1005,'Istoric_Nativ'!$C$6:$C$405,F1005,'Istoric_Nativ'!$E$6:$E$405,G1005,'Istoric_Nativ'!$D$6:$D$405,"&lt;"&amp;J1005,'Istoric_Nativ'!$P$6:$P$405,1,'Istoric_Nativ'!$D$6:$D$405,"&gt;="&amp;L1005),IF(H1005="AWAY",SUMIFS('Istoric_Nativ'!$H$6:$H$405,'Istoric_Nativ'!$B$6:$B$405,E1005,'Istoric_Nativ'!$C$6:$C$405,F1005,'Istoric_Nativ'!$F$6:$F$405,G1005,'Istoric_Nativ'!$D$6:$D$405,"&lt;"&amp;J1005,'Istoric_Nativ'!$P$6:$P$405,1,'Istoric_Nativ'!$D$6:$D$405,"&gt;="&amp;L1005),SUMIFS('Istoric_Nativ'!$G$6:$G$405,'Istoric_Nativ'!$B$6:$B$405,E1005,'Istoric_Nativ'!$C$6:$C$405,F1005,'Istoric_Nativ'!$E$6:$E$405,G1005,'Istoric_Nativ'!$D$6:$D$405,"&lt;"&amp;J1005,'Istoric_Nativ'!$P$6:$P$405,1,'Istoric_Nativ'!$D$6:$D$405,"&gt;="&amp;L1005)+SUMIFS('Istoric_Nativ'!$H$6:$H$405,'Istoric_Nativ'!$B$6:$B$405,E1005,'Istoric_Nativ'!$C$6:$C$405,F1005,'Istoric_Nativ'!$F$6:$F$405,G1005,'Istoric_Nativ'!$D$6:$D$405,"&lt;"&amp;J1005,'Istoric_Nativ'!$P$6:$P$405,1,'Istoric_Nativ'!$D$6:$D$405,"&gt;="&amp;L1005)))/M1005)</x:f>
      </x:c>
      <x:c r="O1005" s="11" t="str">
        <x:f>IF(M1005=0,"",IF(H1005="HOME",SUMIFS('Istoric_Nativ'!$H$6:$H$405,'Istoric_Nativ'!$B$6:$B$405,E1005,'Istoric_Nativ'!$C$6:$C$405,F1005,'Istoric_Nativ'!$E$6:$E$405,G1005,'Istoric_Nativ'!$D$6:$D$405,"&lt;"&amp;J1005,'Istoric_Nativ'!$P$6:$P$405,1,'Istoric_Nativ'!$D$6:$D$405,"&gt;="&amp;L1005),IF(H1005="AWAY",SUMIFS('Istoric_Nativ'!$G$6:$G$405,'Istoric_Nativ'!$B$6:$B$405,E1005,'Istoric_Nativ'!$C$6:$C$405,F1005,'Istoric_Nativ'!$F$6:$F$405,G1005,'Istoric_Nativ'!$D$6:$D$405,"&lt;"&amp;J1005,'Istoric_Nativ'!$P$6:$P$405,1,'Istoric_Nativ'!$D$6:$D$405,"&gt;="&amp;L1005),SUMIFS('Istoric_Nativ'!$H$6:$H$405,'Istoric_Nativ'!$B$6:$B$405,E1005,'Istoric_Nativ'!$C$6:$C$405,F1005,'Istoric_Nativ'!$E$6:$E$405,G1005,'Istoric_Nativ'!$D$6:$D$405,"&lt;"&amp;J1005,'Istoric_Nativ'!$P$6:$P$405,1,'Istoric_Nativ'!$D$6:$D$405,"&gt;="&amp;L1005)+SUMIFS('Istoric_Nativ'!$G$6:$G$405,'Istoric_Nativ'!$B$6:$B$405,E1005,'Istoric_Nativ'!$C$6:$C$405,F1005,'Istoric_Nativ'!$F$6:$F$405,G1005,'Istoric_Nativ'!$D$6:$D$405,"&lt;"&amp;J1005,'Istoric_Nativ'!$P$6:$P$405,1,'Istoric_Nativ'!$D$6:$D$405,"&gt;="&amp;L1005)))/M1005)</x:f>
      </x:c>
      <x:c r="P1005" s="2" t="n">
        <x:f>'Config_v6'!$B$7</x:f>
        <x:v>10</x:v>
      </x:c>
      <x:c r="Q1005" s="2" t="n">
        <x:f>IF(OR(B1005="",F1005=""),0,IFERROR(MATCH(E1005&amp;"|"&amp;F1005,SourceTable[Source_Key],0),0))</x:f>
        <x:v>0</x:v>
      </x:c>
      <x:c r="R1005" s="2" t="str">
        <x:f>IF(B1005="","",IF(F1005="","UNUSED",IF(Q1005=0,"NOT CHECKED",IF(COUNTIF(SourceTable[Source_Key],E1005&amp;"|"&amp;F1005)&lt;&gt;1,"SOURCE CONFLICT",IF(NOT(OR(INDEX(SourceTable[Status],MAX(1,Q1005))="IMPORTED",INDEX(SourceTable[Status],MAX(1,Q1005))="PARTIAL",INDEX(SourceTable[Status],MAX(1,Q1005))="SOURCE CONFLICT")),"ACCESS BLOCKED",IF(OR(INDEX(SourceTable[Coverage],Q1005)&lt;&gt;"FULL SEASON EXPORT",INDEX(SourceTable[URL],Q1005)="",INDEX(SourceTable[SHA256],Q1005)=""),"EVIDENCE INCOMPLETE",IF(AND('Input_Meci'!H89="LIVE",INDEX(SourceTable[Retrieved_UTC],Q1005)&gt;'Input_Meci'!G89),"POST CUTOFF","CLOSED")))))))</x:f>
      </x:c>
      <x:c r="S1005" s="2" t="n">
        <x:f>IF(OR(B1005="",F1005=""),0,COUNTIFS('Istoric_Nativ'!$B$6:$B$405,E1005,'Istoric_Nativ'!$C$6:$C$405,F1005,'Istoric_Nativ'!$E$6:$E$405,G1005,'Istoric_Nativ'!$D$6:$D$405,"&lt;"&amp;J1005,'Istoric_Nativ'!$O$6:$O$405,"INVALID")+COUNTIFS('Istoric_Nativ'!$B$6:$B$405,E1005,'Istoric_Nativ'!$C$6:$C$405,F1005,'Istoric_Nativ'!$E$6:$E$405,G1005,'Istoric_Nativ'!$O$6:$O$405,"INVALID",'Istoric_Nativ'!$D$6:$D$405,"*")+COUNTIFS('Istoric_Nativ'!$B$6:$B$405,E1005,'Istoric_Nativ'!$C$6:$C$405,F1005,'Istoric_Nativ'!$E$6:$E$405,G1005,'Istoric_Nativ'!$D$6:$D$405,"&lt;"&amp;J1005,'Istoric_Nativ'!$O$6:$O$405,"SOURCE CONFLICT")+COUNTIFS('Istoric_Nativ'!$B$6:$B$405,E1005,'Istoric_Nativ'!$C$6:$C$405,F1005,'Istoric_Nativ'!$F$6:$F$405,G1005,'Istoric_Nativ'!$D$6:$D$405,"&lt;"&amp;J1005,'Istoric_Nativ'!$O$6:$O$405,"INVALID")+COUNTIFS('Istoric_Nativ'!$B$6:$B$405,E1005,'Istoric_Nativ'!$C$6:$C$405,F1005,'Istoric_Nativ'!$F$6:$F$405,G1005,'Istoric_Nativ'!$O$6:$O$405,"INVALID",'Istoric_Nativ'!$D$6:$D$405,"*")+COUNTIFS('Istoric_Nativ'!$B$6:$B$405,E1005,'Istoric_Nativ'!$C$6:$C$405,F1005,'Istoric_Nativ'!$F$6:$F$405,G1005,'Istoric_Nativ'!$D$6:$D$405,"&lt;"&amp;J1005,'Istoric_Nativ'!$O$6:$O$405,"SOURCE CONFLICT"))</x:f>
        <x:v>0</x:v>
      </x:c>
      <x:c r="T1005" s="2" t="str">
        <x:f>IF(B1005="","",IF(R1005&lt;&gt;"CLOSED",R1005,IF(S1005&gt;0,"NATIVE INPUT ISSUE",IF(M1005=0,"NO HISTORY",IF(M1005&lt;P1005,"SMALL SAMPLE","DERIVED")))))</x:f>
      </x:c>
      <x:c r="U1005" s="2" t="str">
        <x:f>IF(B1005="","","NativeTable; "&amp;E1005&amp;"; "&amp;F1005&amp;"; "&amp;G1005&amp;"; "&amp;H1005&amp;"; before "&amp;TEXT(J1005,"yyyy-mm-dd")&amp;IF(I1005="RECENT","; from "&amp;TEXT(L1005,"yyyy-mm-dd"),""))</x:f>
      </x:c>
    </x:row>
    <x:row r="1006" ht="21" customHeight="1">
      <x:c r="A1006" s="2" t="n">
        <x:v>84</x:v>
      </x:c>
      <x:c r="B1006" s="2" t="str">
        <x:f>IF('Input_Meci'!A89="","",'Input_Meci'!A89)</x:f>
      </x:c>
      <x:c r="C1006" s="2" t="str">
        <x:v>A</x:v>
      </x:c>
      <x:c r="D1006" s="2" t="str">
        <x:v>CURRENT</x:v>
      </x:c>
      <x:c r="E1006" s="2" t="str">
        <x:f>IF(B1006="","",'Input_Meci'!B89)</x:f>
      </x:c>
      <x:c r="F1006" s="2" t="str">
        <x:f>IF(B1006="","",IF('Input_Meci'!C89="","",'Input_Meci'!C89))</x:f>
      </x:c>
      <x:c r="G1006" s="2" t="str">
        <x:f>IF(B1006="","",'Input_Meci'!E89)</x:f>
      </x:c>
      <x:c r="H1006" s="2" t="str">
        <x:v>AWAY</x:v>
      </x:c>
      <x:c r="I1006" s="2" t="str">
        <x:v>HA</x:v>
      </x:c>
      <x:c r="J1006" s="9" t="n">
        <x:f>IF(AND(B1006&lt;&gt;"",ISNUMBER('Input_Meci'!G89)),INT('Input_Meci'!G89),0)</x:f>
        <x:v>0</x:v>
      </x:c>
      <x:c r="K1006" s="2" t="n">
        <x:f>IF(OR(B1006="",F1006=""),0,IF(H1006="HOME",COUNTIFS('Istoric_Nativ'!$B$6:$B$405,E1006,'Istoric_Nativ'!$C$6:$C$405,F1006,'Istoric_Nativ'!$E$6:$E$405,G1006,'Istoric_Nativ'!$D$6:$D$405,"&lt;"&amp;J1006,'Istoric_Nativ'!$P$6:$P$405,1),IF(H1006="AWAY",COUNTIFS('Istoric_Nativ'!$B$6:$B$405,E1006,'Istoric_Nativ'!$C$6:$C$405,F1006,'Istoric_Nativ'!$F$6:$F$405,G1006,'Istoric_Nativ'!$D$6:$D$405,"&lt;"&amp;J1006,'Istoric_Nativ'!$P$6:$P$405,1),COUNTIFS('Istoric_Nativ'!$B$6:$B$405,E1006,'Istoric_Nativ'!$C$6:$C$405,F1006,'Istoric_Nativ'!$E$6:$E$405,G1006,'Istoric_Nativ'!$D$6:$D$405,"&lt;"&amp;J1006,'Istoric_Nativ'!$P$6:$P$405,1)+COUNTIFS('Istoric_Nativ'!$B$6:$B$405,E1006,'Istoric_Nativ'!$C$6:$C$405,F1006,'Istoric_Nativ'!$F$6:$F$405,G1006,'Istoric_Nativ'!$D$6:$D$405,"&lt;"&amp;J1006,'Istoric_Nativ'!$P$6:$P$405,1))))</x:f>
        <x:v>0</x:v>
      </x:c>
      <x:c r="L1006" s="17" t="n">
        <x:f>IF(AND(B1006&lt;&gt;"",I1006="RECENT",K1006&gt;0),LARGE(_xlfn._xlws.FILTER('Istoric_Nativ'!$D$6:$D$405,('Istoric_Nativ'!$B$6:$B$405=E1006)*('Istoric_Nativ'!$C$6:$C$405=F1006)*('Istoric_Nativ'!$P$6:$P$405=1)*('Istoric_Nativ'!$D$6:$D$405&lt;J1006)*((('Istoric_Nativ'!$E$6:$E$405=G1006)+('Istoric_Nativ'!$F$6:$F$405=G1006))&gt;0)),MIN('Config_v6'!$B$54,K1006)),0)</x:f>
        <x:v>0</x:v>
      </x:c>
      <x:c r="M1006" s="2" t="n">
        <x:f>IF(OR(B1006="",F1006=""),0,IF(H1006="HOME",COUNTIFS('Istoric_Nativ'!$B$6:$B$405,E1006,'Istoric_Nativ'!$C$6:$C$405,F1006,'Istoric_Nativ'!$E$6:$E$405,G1006,'Istoric_Nativ'!$D$6:$D$405,"&lt;"&amp;J1006,'Istoric_Nativ'!$P$6:$P$405,1,'Istoric_Nativ'!$D$6:$D$405,"&gt;="&amp;L1006),IF(H1006="AWAY",COUNTIFS('Istoric_Nativ'!$B$6:$B$405,E1006,'Istoric_Nativ'!$C$6:$C$405,F1006,'Istoric_Nativ'!$F$6:$F$405,G1006,'Istoric_Nativ'!$D$6:$D$405,"&lt;"&amp;J1006,'Istoric_Nativ'!$P$6:$P$405,1,'Istoric_Nativ'!$D$6:$D$405,"&gt;="&amp;L1006),COUNTIFS('Istoric_Nativ'!$B$6:$B$405,E1006,'Istoric_Nativ'!$C$6:$C$405,F1006,'Istoric_Nativ'!$E$6:$E$405,G1006,'Istoric_Nativ'!$D$6:$D$405,"&lt;"&amp;J1006,'Istoric_Nativ'!$P$6:$P$405,1,'Istoric_Nativ'!$D$6:$D$405,"&gt;="&amp;L1006)+COUNTIFS('Istoric_Nativ'!$B$6:$B$405,E1006,'Istoric_Nativ'!$C$6:$C$405,F1006,'Istoric_Nativ'!$F$6:$F$405,G1006,'Istoric_Nativ'!$D$6:$D$405,"&lt;"&amp;J1006,'Istoric_Nativ'!$P$6:$P$405,1,'Istoric_Nativ'!$D$6:$D$405,"&gt;="&amp;L1006))))</x:f>
        <x:v>0</x:v>
      </x:c>
      <x:c r="N1006" s="11" t="str">
        <x:f>IF(M1006=0,"",IF(H1006="HOME",SUMIFS('Istoric_Nativ'!$G$6:$G$405,'Istoric_Nativ'!$B$6:$B$405,E1006,'Istoric_Nativ'!$C$6:$C$405,F1006,'Istoric_Nativ'!$E$6:$E$405,G1006,'Istoric_Nativ'!$D$6:$D$405,"&lt;"&amp;J1006,'Istoric_Nativ'!$P$6:$P$405,1,'Istoric_Nativ'!$D$6:$D$405,"&gt;="&amp;L1006),IF(H1006="AWAY",SUMIFS('Istoric_Nativ'!$H$6:$H$405,'Istoric_Nativ'!$B$6:$B$405,E1006,'Istoric_Nativ'!$C$6:$C$405,F1006,'Istoric_Nativ'!$F$6:$F$405,G1006,'Istoric_Nativ'!$D$6:$D$405,"&lt;"&amp;J1006,'Istoric_Nativ'!$P$6:$P$405,1,'Istoric_Nativ'!$D$6:$D$405,"&gt;="&amp;L1006),SUMIFS('Istoric_Nativ'!$G$6:$G$405,'Istoric_Nativ'!$B$6:$B$405,E1006,'Istoric_Nativ'!$C$6:$C$405,F1006,'Istoric_Nativ'!$E$6:$E$405,G1006,'Istoric_Nativ'!$D$6:$D$405,"&lt;"&amp;J1006,'Istoric_Nativ'!$P$6:$P$405,1,'Istoric_Nativ'!$D$6:$D$405,"&gt;="&amp;L1006)+SUMIFS('Istoric_Nativ'!$H$6:$H$405,'Istoric_Nativ'!$B$6:$B$405,E1006,'Istoric_Nativ'!$C$6:$C$405,F1006,'Istoric_Nativ'!$F$6:$F$405,G1006,'Istoric_Nativ'!$D$6:$D$405,"&lt;"&amp;J1006,'Istoric_Nativ'!$P$6:$P$405,1,'Istoric_Nativ'!$D$6:$D$405,"&gt;="&amp;L1006)))/M1006)</x:f>
      </x:c>
      <x:c r="O1006" s="11" t="str">
        <x:f>IF(M1006=0,"",IF(H1006="HOME",SUMIFS('Istoric_Nativ'!$H$6:$H$405,'Istoric_Nativ'!$B$6:$B$405,E1006,'Istoric_Nativ'!$C$6:$C$405,F1006,'Istoric_Nativ'!$E$6:$E$405,G1006,'Istoric_Nativ'!$D$6:$D$405,"&lt;"&amp;J1006,'Istoric_Nativ'!$P$6:$P$405,1,'Istoric_Nativ'!$D$6:$D$405,"&gt;="&amp;L1006),IF(H1006="AWAY",SUMIFS('Istoric_Nativ'!$G$6:$G$405,'Istoric_Nativ'!$B$6:$B$405,E1006,'Istoric_Nativ'!$C$6:$C$405,F1006,'Istoric_Nativ'!$F$6:$F$405,G1006,'Istoric_Nativ'!$D$6:$D$405,"&lt;"&amp;J1006,'Istoric_Nativ'!$P$6:$P$405,1,'Istoric_Nativ'!$D$6:$D$405,"&gt;="&amp;L1006),SUMIFS('Istoric_Nativ'!$H$6:$H$405,'Istoric_Nativ'!$B$6:$B$405,E1006,'Istoric_Nativ'!$C$6:$C$405,F1006,'Istoric_Nativ'!$E$6:$E$405,G1006,'Istoric_Nativ'!$D$6:$D$405,"&lt;"&amp;J1006,'Istoric_Nativ'!$P$6:$P$405,1,'Istoric_Nativ'!$D$6:$D$405,"&gt;="&amp;L1006)+SUMIFS('Istoric_Nativ'!$G$6:$G$405,'Istoric_Nativ'!$B$6:$B$405,E1006,'Istoric_Nativ'!$C$6:$C$405,F1006,'Istoric_Nativ'!$F$6:$F$405,G1006,'Istoric_Nativ'!$D$6:$D$405,"&lt;"&amp;J1006,'Istoric_Nativ'!$P$6:$P$405,1,'Istoric_Nativ'!$D$6:$D$405,"&gt;="&amp;L1006)))/M1006)</x:f>
      </x:c>
      <x:c r="P1006" s="2" t="n">
        <x:f>'Config_v6'!$B$8</x:f>
        <x:v>5</x:v>
      </x:c>
      <x:c r="Q1006" s="2" t="n">
        <x:f>IF(OR(B1006="",F1006=""),0,IFERROR(MATCH(E1006&amp;"|"&amp;F1006,SourceTable[Source_Key],0),0))</x:f>
        <x:v>0</x:v>
      </x:c>
      <x:c r="R1006" s="2" t="str">
        <x:f>IF(B1006="","",IF(F1006="","UNUSED",IF(Q1006=0,"NOT CHECKED",IF(COUNTIF(SourceTable[Source_Key],E1006&amp;"|"&amp;F1006)&lt;&gt;1,"SOURCE CONFLICT",IF(NOT(OR(INDEX(SourceTable[Status],MAX(1,Q1006))="IMPORTED",INDEX(SourceTable[Status],MAX(1,Q1006))="PARTIAL",INDEX(SourceTable[Status],MAX(1,Q1006))="SOURCE CONFLICT")),"ACCESS BLOCKED",IF(OR(INDEX(SourceTable[Coverage],Q1006)&lt;&gt;"FULL SEASON EXPORT",INDEX(SourceTable[URL],Q1006)="",INDEX(SourceTable[SHA256],Q1006)=""),"EVIDENCE INCOMPLETE",IF(AND('Input_Meci'!H89="LIVE",INDEX(SourceTable[Retrieved_UTC],Q1006)&gt;'Input_Meci'!G89),"POST CUTOFF","CLOSED")))))))</x:f>
      </x:c>
      <x:c r="S1006" s="2" t="n">
        <x:f>IF(OR(B1006="",F1006=""),0,COUNTIFS('Istoric_Nativ'!$B$6:$B$405,E1006,'Istoric_Nativ'!$C$6:$C$405,F1006,'Istoric_Nativ'!$E$6:$E$405,G1006,'Istoric_Nativ'!$D$6:$D$405,"&lt;"&amp;J1006,'Istoric_Nativ'!$O$6:$O$405,"INVALID")+COUNTIFS('Istoric_Nativ'!$B$6:$B$405,E1006,'Istoric_Nativ'!$C$6:$C$405,F1006,'Istoric_Nativ'!$E$6:$E$405,G1006,'Istoric_Nativ'!$O$6:$O$405,"INVALID",'Istoric_Nativ'!$D$6:$D$405,"*")+COUNTIFS('Istoric_Nativ'!$B$6:$B$405,E1006,'Istoric_Nativ'!$C$6:$C$405,F1006,'Istoric_Nativ'!$E$6:$E$405,G1006,'Istoric_Nativ'!$D$6:$D$405,"&lt;"&amp;J1006,'Istoric_Nativ'!$O$6:$O$405,"SOURCE CONFLICT")+COUNTIFS('Istoric_Nativ'!$B$6:$B$405,E1006,'Istoric_Nativ'!$C$6:$C$405,F1006,'Istoric_Nativ'!$F$6:$F$405,G1006,'Istoric_Nativ'!$D$6:$D$405,"&lt;"&amp;J1006,'Istoric_Nativ'!$O$6:$O$405,"INVALID")+COUNTIFS('Istoric_Nativ'!$B$6:$B$405,E1006,'Istoric_Nativ'!$C$6:$C$405,F1006,'Istoric_Nativ'!$F$6:$F$405,G1006,'Istoric_Nativ'!$O$6:$O$405,"INVALID",'Istoric_Nativ'!$D$6:$D$405,"*")+COUNTIFS('Istoric_Nativ'!$B$6:$B$405,E1006,'Istoric_Nativ'!$C$6:$C$405,F1006,'Istoric_Nativ'!$F$6:$F$405,G1006,'Istoric_Nativ'!$D$6:$D$405,"&lt;"&amp;J1006,'Istoric_Nativ'!$O$6:$O$405,"SOURCE CONFLICT"))</x:f>
        <x:v>0</x:v>
      </x:c>
      <x:c r="T1006" s="2" t="str">
        <x:f>IF(B1006="","",IF(R1006&lt;&gt;"CLOSED",R1006,IF(S1006&gt;0,"NATIVE INPUT ISSUE",IF(M1006=0,"NO HISTORY",IF(M1006&lt;P1006,"SMALL SAMPLE","DERIVED")))))</x:f>
      </x:c>
      <x:c r="U1006" s="2" t="str">
        <x:f>IF(B1006="","","NativeTable; "&amp;E1006&amp;"; "&amp;F1006&amp;"; "&amp;G1006&amp;"; "&amp;H1006&amp;"; before "&amp;TEXT(J1006,"yyyy-mm-dd")&amp;IF(I1006="RECENT","; from "&amp;TEXT(L1006,"yyyy-mm-dd"),""))</x:f>
      </x:c>
    </x:row>
    <x:row r="1007" ht="21" customHeight="1">
      <x:c r="A1007" s="2" t="n">
        <x:v>84</x:v>
      </x:c>
      <x:c r="B1007" s="2" t="str">
        <x:f>IF('Input_Meci'!A89="","",'Input_Meci'!A89)</x:f>
      </x:c>
      <x:c r="C1007" s="2" t="str">
        <x:v>A</x:v>
      </x:c>
      <x:c r="D1007" s="2" t="str">
        <x:v>CURRENT</x:v>
      </x:c>
      <x:c r="E1007" s="2" t="str">
        <x:f>IF(B1007="","",'Input_Meci'!B89)</x:f>
      </x:c>
      <x:c r="F1007" s="2" t="str">
        <x:f>IF(B1007="","",IF('Input_Meci'!C89="","",'Input_Meci'!C89))</x:f>
      </x:c>
      <x:c r="G1007" s="2" t="str">
        <x:f>IF(B1007="","",'Input_Meci'!E89)</x:f>
      </x:c>
      <x:c r="H1007" s="2" t="str">
        <x:v>ANY</x:v>
      </x:c>
      <x:c r="I1007" s="2" t="str">
        <x:v>RECENT</x:v>
      </x:c>
      <x:c r="J1007" s="9" t="n">
        <x:f>IF(AND(B1007&lt;&gt;"",ISNUMBER('Input_Meci'!G89)),INT('Input_Meci'!G89),0)</x:f>
        <x:v>0</x:v>
      </x:c>
      <x:c r="K1007" s="2" t="n">
        <x:f>IF(OR(B1007="",F1007=""),0,IF(H1007="HOME",COUNTIFS('Istoric_Nativ'!$B$6:$B$405,E1007,'Istoric_Nativ'!$C$6:$C$405,F1007,'Istoric_Nativ'!$E$6:$E$405,G1007,'Istoric_Nativ'!$D$6:$D$405,"&lt;"&amp;J1007,'Istoric_Nativ'!$P$6:$P$405,1),IF(H1007="AWAY",COUNTIFS('Istoric_Nativ'!$B$6:$B$405,E1007,'Istoric_Nativ'!$C$6:$C$405,F1007,'Istoric_Nativ'!$F$6:$F$405,G1007,'Istoric_Nativ'!$D$6:$D$405,"&lt;"&amp;J1007,'Istoric_Nativ'!$P$6:$P$405,1),COUNTIFS('Istoric_Nativ'!$B$6:$B$405,E1007,'Istoric_Nativ'!$C$6:$C$405,F1007,'Istoric_Nativ'!$E$6:$E$405,G1007,'Istoric_Nativ'!$D$6:$D$405,"&lt;"&amp;J1007,'Istoric_Nativ'!$P$6:$P$405,1)+COUNTIFS('Istoric_Nativ'!$B$6:$B$405,E1007,'Istoric_Nativ'!$C$6:$C$405,F1007,'Istoric_Nativ'!$F$6:$F$405,G1007,'Istoric_Nativ'!$D$6:$D$405,"&lt;"&amp;J1007,'Istoric_Nativ'!$P$6:$P$405,1))))</x:f>
        <x:v>0</x:v>
      </x:c>
      <x:c r="L1007" s="17" t="n">
        <x:f>IF(AND(B1007&lt;&gt;"",I1007="RECENT",K1007&gt;0),LARGE(_xlfn._xlws.FILTER('Istoric_Nativ'!$D$6:$D$405,('Istoric_Nativ'!$B$6:$B$405=E1007)*('Istoric_Nativ'!$C$6:$C$405=F1007)*('Istoric_Nativ'!$P$6:$P$405=1)*('Istoric_Nativ'!$D$6:$D$405&lt;J1007)*((('Istoric_Nativ'!$E$6:$E$405=G1007)+('Istoric_Nativ'!$F$6:$F$405=G1007))&gt;0)),MIN('Config_v6'!$B$54,K1007)),0)</x:f>
        <x:v>0</x:v>
      </x:c>
      <x:c r="M1007" s="2" t="n">
        <x:f>IF(OR(B1007="",F1007=""),0,IF(H1007="HOME",COUNTIFS('Istoric_Nativ'!$B$6:$B$405,E1007,'Istoric_Nativ'!$C$6:$C$405,F1007,'Istoric_Nativ'!$E$6:$E$405,G1007,'Istoric_Nativ'!$D$6:$D$405,"&lt;"&amp;J1007,'Istoric_Nativ'!$P$6:$P$405,1,'Istoric_Nativ'!$D$6:$D$405,"&gt;="&amp;L1007),IF(H1007="AWAY",COUNTIFS('Istoric_Nativ'!$B$6:$B$405,E1007,'Istoric_Nativ'!$C$6:$C$405,F1007,'Istoric_Nativ'!$F$6:$F$405,G1007,'Istoric_Nativ'!$D$6:$D$405,"&lt;"&amp;J1007,'Istoric_Nativ'!$P$6:$P$405,1,'Istoric_Nativ'!$D$6:$D$405,"&gt;="&amp;L1007),COUNTIFS('Istoric_Nativ'!$B$6:$B$405,E1007,'Istoric_Nativ'!$C$6:$C$405,F1007,'Istoric_Nativ'!$E$6:$E$405,G1007,'Istoric_Nativ'!$D$6:$D$405,"&lt;"&amp;J1007,'Istoric_Nativ'!$P$6:$P$405,1,'Istoric_Nativ'!$D$6:$D$405,"&gt;="&amp;L1007)+COUNTIFS('Istoric_Nativ'!$B$6:$B$405,E1007,'Istoric_Nativ'!$C$6:$C$405,F1007,'Istoric_Nativ'!$F$6:$F$405,G1007,'Istoric_Nativ'!$D$6:$D$405,"&lt;"&amp;J1007,'Istoric_Nativ'!$P$6:$P$405,1,'Istoric_Nativ'!$D$6:$D$405,"&gt;="&amp;L1007))))</x:f>
        <x:v>0</x:v>
      </x:c>
      <x:c r="N1007" s="11" t="str">
        <x:f>IF(M1007=0,"",IF(H1007="HOME",SUMIFS('Istoric_Nativ'!$G$6:$G$405,'Istoric_Nativ'!$B$6:$B$405,E1007,'Istoric_Nativ'!$C$6:$C$405,F1007,'Istoric_Nativ'!$E$6:$E$405,G1007,'Istoric_Nativ'!$D$6:$D$405,"&lt;"&amp;J1007,'Istoric_Nativ'!$P$6:$P$405,1,'Istoric_Nativ'!$D$6:$D$405,"&gt;="&amp;L1007),IF(H1007="AWAY",SUMIFS('Istoric_Nativ'!$H$6:$H$405,'Istoric_Nativ'!$B$6:$B$405,E1007,'Istoric_Nativ'!$C$6:$C$405,F1007,'Istoric_Nativ'!$F$6:$F$405,G1007,'Istoric_Nativ'!$D$6:$D$405,"&lt;"&amp;J1007,'Istoric_Nativ'!$P$6:$P$405,1,'Istoric_Nativ'!$D$6:$D$405,"&gt;="&amp;L1007),SUMIFS('Istoric_Nativ'!$G$6:$G$405,'Istoric_Nativ'!$B$6:$B$405,E1007,'Istoric_Nativ'!$C$6:$C$405,F1007,'Istoric_Nativ'!$E$6:$E$405,G1007,'Istoric_Nativ'!$D$6:$D$405,"&lt;"&amp;J1007,'Istoric_Nativ'!$P$6:$P$405,1,'Istoric_Nativ'!$D$6:$D$405,"&gt;="&amp;L1007)+SUMIFS('Istoric_Nativ'!$H$6:$H$405,'Istoric_Nativ'!$B$6:$B$405,E1007,'Istoric_Nativ'!$C$6:$C$405,F1007,'Istoric_Nativ'!$F$6:$F$405,G1007,'Istoric_Nativ'!$D$6:$D$405,"&lt;"&amp;J1007,'Istoric_Nativ'!$P$6:$P$405,1,'Istoric_Nativ'!$D$6:$D$405,"&gt;="&amp;L1007)))/M1007)</x:f>
      </x:c>
      <x:c r="O1007" s="11" t="str">
        <x:f>IF(M1007=0,"",IF(H1007="HOME",SUMIFS('Istoric_Nativ'!$H$6:$H$405,'Istoric_Nativ'!$B$6:$B$405,E1007,'Istoric_Nativ'!$C$6:$C$405,F1007,'Istoric_Nativ'!$E$6:$E$405,G1007,'Istoric_Nativ'!$D$6:$D$405,"&lt;"&amp;J1007,'Istoric_Nativ'!$P$6:$P$405,1,'Istoric_Nativ'!$D$6:$D$405,"&gt;="&amp;L1007),IF(H1007="AWAY",SUMIFS('Istoric_Nativ'!$G$6:$G$405,'Istoric_Nativ'!$B$6:$B$405,E1007,'Istoric_Nativ'!$C$6:$C$405,F1007,'Istoric_Nativ'!$F$6:$F$405,G1007,'Istoric_Nativ'!$D$6:$D$405,"&lt;"&amp;J1007,'Istoric_Nativ'!$P$6:$P$405,1,'Istoric_Nativ'!$D$6:$D$405,"&gt;="&amp;L1007),SUMIFS('Istoric_Nativ'!$H$6:$H$405,'Istoric_Nativ'!$B$6:$B$405,E1007,'Istoric_Nativ'!$C$6:$C$405,F1007,'Istoric_Nativ'!$E$6:$E$405,G1007,'Istoric_Nativ'!$D$6:$D$405,"&lt;"&amp;J1007,'Istoric_Nativ'!$P$6:$P$405,1,'Istoric_Nativ'!$D$6:$D$405,"&gt;="&amp;L1007)+SUMIFS('Istoric_Nativ'!$G$6:$G$405,'Istoric_Nativ'!$B$6:$B$405,E1007,'Istoric_Nativ'!$C$6:$C$405,F1007,'Istoric_Nativ'!$F$6:$F$405,G1007,'Istoric_Nativ'!$D$6:$D$405,"&lt;"&amp;J1007,'Istoric_Nativ'!$P$6:$P$405,1,'Istoric_Nativ'!$D$6:$D$405,"&gt;="&amp;L1007)))/M1007)</x:f>
      </x:c>
      <x:c r="P1007" s="2" t="n">
        <x:f>'Config_v6'!$B$9</x:f>
        <x:v>3</x:v>
      </x:c>
      <x:c r="Q1007" s="2" t="n">
        <x:f>IF(OR(B1007="",F1007=""),0,IFERROR(MATCH(E1007&amp;"|"&amp;F1007,SourceTable[Source_Key],0),0))</x:f>
        <x:v>0</x:v>
      </x:c>
      <x:c r="R1007" s="2" t="str">
        <x:f>IF(B1007="","",IF(F1007="","UNUSED",IF(Q1007=0,"NOT CHECKED",IF(COUNTIF(SourceTable[Source_Key],E1007&amp;"|"&amp;F1007)&lt;&gt;1,"SOURCE CONFLICT",IF(NOT(OR(INDEX(SourceTable[Status],MAX(1,Q1007))="IMPORTED",INDEX(SourceTable[Status],MAX(1,Q1007))="PARTIAL",INDEX(SourceTable[Status],MAX(1,Q1007))="SOURCE CONFLICT")),"ACCESS BLOCKED",IF(OR(INDEX(SourceTable[Coverage],Q1007)&lt;&gt;"FULL SEASON EXPORT",INDEX(SourceTable[URL],Q1007)="",INDEX(SourceTable[SHA256],Q1007)=""),"EVIDENCE INCOMPLETE",IF(AND('Input_Meci'!H89="LIVE",INDEX(SourceTable[Retrieved_UTC],Q1007)&gt;'Input_Meci'!G89),"POST CUTOFF","CLOSED")))))))</x:f>
      </x:c>
      <x:c r="S1007" s="2" t="n">
        <x:f>IF(OR(B1007="",F1007=""),0,COUNTIFS('Istoric_Nativ'!$B$6:$B$405,E1007,'Istoric_Nativ'!$C$6:$C$405,F1007,'Istoric_Nativ'!$E$6:$E$405,G1007,'Istoric_Nativ'!$D$6:$D$405,"&lt;"&amp;J1007,'Istoric_Nativ'!$O$6:$O$405,"INVALID")+COUNTIFS('Istoric_Nativ'!$B$6:$B$405,E1007,'Istoric_Nativ'!$C$6:$C$405,F1007,'Istoric_Nativ'!$E$6:$E$405,G1007,'Istoric_Nativ'!$O$6:$O$405,"INVALID",'Istoric_Nativ'!$D$6:$D$405,"*")+COUNTIFS('Istoric_Nativ'!$B$6:$B$405,E1007,'Istoric_Nativ'!$C$6:$C$405,F1007,'Istoric_Nativ'!$E$6:$E$405,G1007,'Istoric_Nativ'!$D$6:$D$405,"&lt;"&amp;J1007,'Istoric_Nativ'!$O$6:$O$405,"SOURCE CONFLICT")+COUNTIFS('Istoric_Nativ'!$B$6:$B$405,E1007,'Istoric_Nativ'!$C$6:$C$405,F1007,'Istoric_Nativ'!$F$6:$F$405,G1007,'Istoric_Nativ'!$D$6:$D$405,"&lt;"&amp;J1007,'Istoric_Nativ'!$O$6:$O$405,"INVALID")+COUNTIFS('Istoric_Nativ'!$B$6:$B$405,E1007,'Istoric_Nativ'!$C$6:$C$405,F1007,'Istoric_Nativ'!$F$6:$F$405,G1007,'Istoric_Nativ'!$O$6:$O$405,"INVALID",'Istoric_Nativ'!$D$6:$D$405,"*")+COUNTIFS('Istoric_Nativ'!$B$6:$B$405,E1007,'Istoric_Nativ'!$C$6:$C$405,F1007,'Istoric_Nativ'!$F$6:$F$405,G1007,'Istoric_Nativ'!$D$6:$D$405,"&lt;"&amp;J1007,'Istoric_Nativ'!$O$6:$O$405,"SOURCE CONFLICT"))</x:f>
        <x:v>0</x:v>
      </x:c>
      <x:c r="T1007" s="2" t="str">
        <x:f>IF(B1007="","",IF(R1007&lt;&gt;"CLOSED",R1007,IF(S1007&gt;0,"NATIVE INPUT ISSUE",IF(M1007=0,"NO HISTORY",IF(M1007&lt;P1007,"SMALL SAMPLE","DERIVED")))))</x:f>
      </x:c>
      <x:c r="U1007" s="2" t="str">
        <x:f>IF(B1007="","","NativeTable; "&amp;E1007&amp;"; "&amp;F1007&amp;"; "&amp;G1007&amp;"; "&amp;H1007&amp;"; before "&amp;TEXT(J1007,"yyyy-mm-dd")&amp;IF(I1007="RECENT","; from "&amp;TEXT(L1007,"yyyy-mm-dd"),""))</x:f>
      </x:c>
    </x:row>
    <x:row r="1008" ht="21" customHeight="1">
      <x:c r="A1008" s="2" t="n">
        <x:v>84</x:v>
      </x:c>
      <x:c r="B1008" s="2" t="str">
        <x:f>IF('Input_Meci'!A89="","",'Input_Meci'!A89)</x:f>
      </x:c>
      <x:c r="C1008" s="2" t="str">
        <x:v>H</x:v>
      </x:c>
      <x:c r="D1008" s="2" t="str">
        <x:v>PRIOR</x:v>
      </x:c>
      <x:c r="E1008" s="2" t="str">
        <x:f>IF(B1008="","",'Input_Meci'!B89)</x:f>
      </x:c>
      <x:c r="F1008" s="2" t="str">
        <x:f>IF(B1008="","",IF('Input_Meci'!K89="","",'Input_Meci'!K89))</x:f>
      </x:c>
      <x:c r="G1008" s="2" t="str">
        <x:f>IF(B1008="","",'Input_Meci'!D89)</x:f>
      </x:c>
      <x:c r="H1008" s="2" t="str">
        <x:v>ANY</x:v>
      </x:c>
      <x:c r="I1008" s="2" t="str">
        <x:v>SEASON</x:v>
      </x:c>
      <x:c r="J1008" s="9" t="n">
        <x:f>IF(AND(B1008&lt;&gt;"",ISNUMBER('Input_Meci'!G89)),INT('Input_Meci'!G89),0)</x:f>
        <x:v>0</x:v>
      </x:c>
      <x:c r="K1008" s="2" t="n">
        <x:f>IF(OR(B1008="",F1008=""),0,IF(H1008="HOME",COUNTIFS('Istoric_Nativ'!$B$6:$B$405,E1008,'Istoric_Nativ'!$C$6:$C$405,F1008,'Istoric_Nativ'!$E$6:$E$405,G1008,'Istoric_Nativ'!$D$6:$D$405,"&lt;"&amp;J1008,'Istoric_Nativ'!$P$6:$P$405,1),IF(H1008="AWAY",COUNTIFS('Istoric_Nativ'!$B$6:$B$405,E1008,'Istoric_Nativ'!$C$6:$C$405,F1008,'Istoric_Nativ'!$F$6:$F$405,G1008,'Istoric_Nativ'!$D$6:$D$405,"&lt;"&amp;J1008,'Istoric_Nativ'!$P$6:$P$405,1),COUNTIFS('Istoric_Nativ'!$B$6:$B$405,E1008,'Istoric_Nativ'!$C$6:$C$405,F1008,'Istoric_Nativ'!$E$6:$E$405,G1008,'Istoric_Nativ'!$D$6:$D$405,"&lt;"&amp;J1008,'Istoric_Nativ'!$P$6:$P$405,1)+COUNTIFS('Istoric_Nativ'!$B$6:$B$405,E1008,'Istoric_Nativ'!$C$6:$C$405,F1008,'Istoric_Nativ'!$F$6:$F$405,G1008,'Istoric_Nativ'!$D$6:$D$405,"&lt;"&amp;J1008,'Istoric_Nativ'!$P$6:$P$405,1))))</x:f>
        <x:v>0</x:v>
      </x:c>
      <x:c r="L1008" s="17" t="n">
        <x:f>IF(AND(B1008&lt;&gt;"",I1008="RECENT",K1008&gt;0),LARGE(_xlfn._xlws.FILTER('Istoric_Nativ'!$D$6:$D$405,('Istoric_Nativ'!$B$6:$B$405=E1008)*('Istoric_Nativ'!$C$6:$C$405=F1008)*('Istoric_Nativ'!$P$6:$P$405=1)*('Istoric_Nativ'!$D$6:$D$405&lt;J1008)*((('Istoric_Nativ'!$E$6:$E$405=G1008)+('Istoric_Nativ'!$F$6:$F$405=G1008))&gt;0)),MIN('Config_v6'!$B$54,K1008)),0)</x:f>
        <x:v>0</x:v>
      </x:c>
      <x:c r="M1008" s="2" t="n">
        <x:f>IF(OR(B1008="",F1008=""),0,IF(H1008="HOME",COUNTIFS('Istoric_Nativ'!$B$6:$B$405,E1008,'Istoric_Nativ'!$C$6:$C$405,F1008,'Istoric_Nativ'!$E$6:$E$405,G1008,'Istoric_Nativ'!$D$6:$D$405,"&lt;"&amp;J1008,'Istoric_Nativ'!$P$6:$P$405,1,'Istoric_Nativ'!$D$6:$D$405,"&gt;="&amp;L1008),IF(H1008="AWAY",COUNTIFS('Istoric_Nativ'!$B$6:$B$405,E1008,'Istoric_Nativ'!$C$6:$C$405,F1008,'Istoric_Nativ'!$F$6:$F$405,G1008,'Istoric_Nativ'!$D$6:$D$405,"&lt;"&amp;J1008,'Istoric_Nativ'!$P$6:$P$405,1,'Istoric_Nativ'!$D$6:$D$405,"&gt;="&amp;L1008),COUNTIFS('Istoric_Nativ'!$B$6:$B$405,E1008,'Istoric_Nativ'!$C$6:$C$405,F1008,'Istoric_Nativ'!$E$6:$E$405,G1008,'Istoric_Nativ'!$D$6:$D$405,"&lt;"&amp;J1008,'Istoric_Nativ'!$P$6:$P$405,1,'Istoric_Nativ'!$D$6:$D$405,"&gt;="&amp;L1008)+COUNTIFS('Istoric_Nativ'!$B$6:$B$405,E1008,'Istoric_Nativ'!$C$6:$C$405,F1008,'Istoric_Nativ'!$F$6:$F$405,G1008,'Istoric_Nativ'!$D$6:$D$405,"&lt;"&amp;J1008,'Istoric_Nativ'!$P$6:$P$405,1,'Istoric_Nativ'!$D$6:$D$405,"&gt;="&amp;L1008))))</x:f>
        <x:v>0</x:v>
      </x:c>
      <x:c r="N1008" s="11" t="str">
        <x:f>IF(M1008=0,"",IF(H1008="HOME",SUMIFS('Istoric_Nativ'!$G$6:$G$405,'Istoric_Nativ'!$B$6:$B$405,E1008,'Istoric_Nativ'!$C$6:$C$405,F1008,'Istoric_Nativ'!$E$6:$E$405,G1008,'Istoric_Nativ'!$D$6:$D$405,"&lt;"&amp;J1008,'Istoric_Nativ'!$P$6:$P$405,1,'Istoric_Nativ'!$D$6:$D$405,"&gt;="&amp;L1008),IF(H1008="AWAY",SUMIFS('Istoric_Nativ'!$H$6:$H$405,'Istoric_Nativ'!$B$6:$B$405,E1008,'Istoric_Nativ'!$C$6:$C$405,F1008,'Istoric_Nativ'!$F$6:$F$405,G1008,'Istoric_Nativ'!$D$6:$D$405,"&lt;"&amp;J1008,'Istoric_Nativ'!$P$6:$P$405,1,'Istoric_Nativ'!$D$6:$D$405,"&gt;="&amp;L1008),SUMIFS('Istoric_Nativ'!$G$6:$G$405,'Istoric_Nativ'!$B$6:$B$405,E1008,'Istoric_Nativ'!$C$6:$C$405,F1008,'Istoric_Nativ'!$E$6:$E$405,G1008,'Istoric_Nativ'!$D$6:$D$405,"&lt;"&amp;J1008,'Istoric_Nativ'!$P$6:$P$405,1,'Istoric_Nativ'!$D$6:$D$405,"&gt;="&amp;L1008)+SUMIFS('Istoric_Nativ'!$H$6:$H$405,'Istoric_Nativ'!$B$6:$B$405,E1008,'Istoric_Nativ'!$C$6:$C$405,F1008,'Istoric_Nativ'!$F$6:$F$405,G1008,'Istoric_Nativ'!$D$6:$D$405,"&lt;"&amp;J1008,'Istoric_Nativ'!$P$6:$P$405,1,'Istoric_Nativ'!$D$6:$D$405,"&gt;="&amp;L1008)))/M1008)</x:f>
      </x:c>
      <x:c r="O1008" s="11" t="str">
        <x:f>IF(M1008=0,"",IF(H1008="HOME",SUMIFS('Istoric_Nativ'!$H$6:$H$405,'Istoric_Nativ'!$B$6:$B$405,E1008,'Istoric_Nativ'!$C$6:$C$405,F1008,'Istoric_Nativ'!$E$6:$E$405,G1008,'Istoric_Nativ'!$D$6:$D$405,"&lt;"&amp;J1008,'Istoric_Nativ'!$P$6:$P$405,1,'Istoric_Nativ'!$D$6:$D$405,"&gt;="&amp;L1008),IF(H1008="AWAY",SUMIFS('Istoric_Nativ'!$G$6:$G$405,'Istoric_Nativ'!$B$6:$B$405,E1008,'Istoric_Nativ'!$C$6:$C$405,F1008,'Istoric_Nativ'!$F$6:$F$405,G1008,'Istoric_Nativ'!$D$6:$D$405,"&lt;"&amp;J1008,'Istoric_Nativ'!$P$6:$P$405,1,'Istoric_Nativ'!$D$6:$D$405,"&gt;="&amp;L1008),SUMIFS('Istoric_Nativ'!$H$6:$H$405,'Istoric_Nativ'!$B$6:$B$405,E1008,'Istoric_Nativ'!$C$6:$C$405,F1008,'Istoric_Nativ'!$E$6:$E$405,G1008,'Istoric_Nativ'!$D$6:$D$405,"&lt;"&amp;J1008,'Istoric_Nativ'!$P$6:$P$405,1,'Istoric_Nativ'!$D$6:$D$405,"&gt;="&amp;L1008)+SUMIFS('Istoric_Nativ'!$G$6:$G$405,'Istoric_Nativ'!$B$6:$B$405,E1008,'Istoric_Nativ'!$C$6:$C$405,F1008,'Istoric_Nativ'!$F$6:$F$405,G1008,'Istoric_Nativ'!$D$6:$D$405,"&lt;"&amp;J1008,'Istoric_Nativ'!$P$6:$P$405,1,'Istoric_Nativ'!$D$6:$D$405,"&gt;="&amp;L1008)))/M1008)</x:f>
      </x:c>
      <x:c r="P1008" s="2" t="n">
        <x:f>'Config_v6'!$B$7</x:f>
        <x:v>10</x:v>
      </x:c>
      <x:c r="Q1008" s="2" t="n">
        <x:f>IF(OR(B1008="",F1008=""),0,IFERROR(MATCH(E1008&amp;"|"&amp;F1008,SourceTable[Source_Key],0),0))</x:f>
        <x:v>0</x:v>
      </x:c>
      <x:c r="R1008" s="2" t="str">
        <x:f>IF(B1008="","",IF(F1008="","UNUSED",IF(Q1008=0,"NOT CHECKED",IF(COUNTIF(SourceTable[Source_Key],E1008&amp;"|"&amp;F1008)&lt;&gt;1,"SOURCE CONFLICT",IF(NOT(OR(INDEX(SourceTable[Status],MAX(1,Q1008))="IMPORTED",INDEX(SourceTable[Status],MAX(1,Q1008))="PARTIAL",INDEX(SourceTable[Status],MAX(1,Q1008))="SOURCE CONFLICT")),"ACCESS BLOCKED",IF(OR(INDEX(SourceTable[Coverage],Q1008)&lt;&gt;"FULL SEASON EXPORT",INDEX(SourceTable[URL],Q1008)="",INDEX(SourceTable[SHA256],Q1008)=""),"EVIDENCE INCOMPLETE",IF(AND('Input_Meci'!H89="LIVE",INDEX(SourceTable[Retrieved_UTC],Q1008)&gt;'Input_Meci'!G89),"POST CUTOFF","CLOSED")))))))</x:f>
      </x:c>
      <x:c r="S1008" s="2" t="n">
        <x:f>IF(OR(B1008="",F1008=""),0,COUNTIFS('Istoric_Nativ'!$B$6:$B$405,E1008,'Istoric_Nativ'!$C$6:$C$405,F1008,'Istoric_Nativ'!$E$6:$E$405,G1008,'Istoric_Nativ'!$D$6:$D$405,"&lt;"&amp;J1008,'Istoric_Nativ'!$O$6:$O$405,"INVALID")+COUNTIFS('Istoric_Nativ'!$B$6:$B$405,E1008,'Istoric_Nativ'!$C$6:$C$405,F1008,'Istoric_Nativ'!$E$6:$E$405,G1008,'Istoric_Nativ'!$O$6:$O$405,"INVALID",'Istoric_Nativ'!$D$6:$D$405,"*")+COUNTIFS('Istoric_Nativ'!$B$6:$B$405,E1008,'Istoric_Nativ'!$C$6:$C$405,F1008,'Istoric_Nativ'!$E$6:$E$405,G1008,'Istoric_Nativ'!$D$6:$D$405,"&lt;"&amp;J1008,'Istoric_Nativ'!$O$6:$O$405,"SOURCE CONFLICT")+COUNTIFS('Istoric_Nativ'!$B$6:$B$405,E1008,'Istoric_Nativ'!$C$6:$C$405,F1008,'Istoric_Nativ'!$F$6:$F$405,G1008,'Istoric_Nativ'!$D$6:$D$405,"&lt;"&amp;J1008,'Istoric_Nativ'!$O$6:$O$405,"INVALID")+COUNTIFS('Istoric_Nativ'!$B$6:$B$405,E1008,'Istoric_Nativ'!$C$6:$C$405,F1008,'Istoric_Nativ'!$F$6:$F$405,G1008,'Istoric_Nativ'!$O$6:$O$405,"INVALID",'Istoric_Nativ'!$D$6:$D$405,"*")+COUNTIFS('Istoric_Nativ'!$B$6:$B$405,E1008,'Istoric_Nativ'!$C$6:$C$405,F1008,'Istoric_Nativ'!$F$6:$F$405,G1008,'Istoric_Nativ'!$D$6:$D$405,"&lt;"&amp;J1008,'Istoric_Nativ'!$O$6:$O$405,"SOURCE CONFLICT"))</x:f>
        <x:v>0</x:v>
      </x:c>
      <x:c r="T1008" s="2" t="str">
        <x:f>IF(B1008="","",IF(R1008&lt;&gt;"CLOSED",R1008,IF(S1008&gt;0,"NATIVE INPUT ISSUE",IF(M1008=0,"NO HISTORY",IF(M1008&lt;P1008,"SMALL SAMPLE","DERIVED")))))</x:f>
      </x:c>
      <x:c r="U1008" s="2" t="str">
        <x:f>IF(B1008="","","NativeTable; "&amp;E1008&amp;"; "&amp;F1008&amp;"; "&amp;G1008&amp;"; "&amp;H1008&amp;"; before "&amp;TEXT(J1008,"yyyy-mm-dd")&amp;IF(I1008="RECENT","; from "&amp;TEXT(L1008,"yyyy-mm-dd"),""))</x:f>
      </x:c>
    </x:row>
    <x:row r="1009" ht="21" customHeight="1">
      <x:c r="A1009" s="2" t="n">
        <x:v>84</x:v>
      </x:c>
      <x:c r="B1009" s="2" t="str">
        <x:f>IF('Input_Meci'!A89="","",'Input_Meci'!A89)</x:f>
      </x:c>
      <x:c r="C1009" s="2" t="str">
        <x:v>H</x:v>
      </x:c>
      <x:c r="D1009" s="2" t="str">
        <x:v>PRIOR</x:v>
      </x:c>
      <x:c r="E1009" s="2" t="str">
        <x:f>IF(B1009="","",'Input_Meci'!B89)</x:f>
      </x:c>
      <x:c r="F1009" s="2" t="str">
        <x:f>IF(B1009="","",IF('Input_Meci'!K89="","",'Input_Meci'!K89))</x:f>
      </x:c>
      <x:c r="G1009" s="2" t="str">
        <x:f>IF(B1009="","",'Input_Meci'!D89)</x:f>
      </x:c>
      <x:c r="H1009" s="2" t="str">
        <x:v>HOME</x:v>
      </x:c>
      <x:c r="I1009" s="2" t="str">
        <x:v>HA</x:v>
      </x:c>
      <x:c r="J1009" s="9" t="n">
        <x:f>IF(AND(B1009&lt;&gt;"",ISNUMBER('Input_Meci'!G89)),INT('Input_Meci'!G89),0)</x:f>
        <x:v>0</x:v>
      </x:c>
      <x:c r="K1009" s="2" t="n">
        <x:f>IF(OR(B1009="",F1009=""),0,IF(H1009="HOME",COUNTIFS('Istoric_Nativ'!$B$6:$B$405,E1009,'Istoric_Nativ'!$C$6:$C$405,F1009,'Istoric_Nativ'!$E$6:$E$405,G1009,'Istoric_Nativ'!$D$6:$D$405,"&lt;"&amp;J1009,'Istoric_Nativ'!$P$6:$P$405,1),IF(H1009="AWAY",COUNTIFS('Istoric_Nativ'!$B$6:$B$405,E1009,'Istoric_Nativ'!$C$6:$C$405,F1009,'Istoric_Nativ'!$F$6:$F$405,G1009,'Istoric_Nativ'!$D$6:$D$405,"&lt;"&amp;J1009,'Istoric_Nativ'!$P$6:$P$405,1),COUNTIFS('Istoric_Nativ'!$B$6:$B$405,E1009,'Istoric_Nativ'!$C$6:$C$405,F1009,'Istoric_Nativ'!$E$6:$E$405,G1009,'Istoric_Nativ'!$D$6:$D$405,"&lt;"&amp;J1009,'Istoric_Nativ'!$P$6:$P$405,1)+COUNTIFS('Istoric_Nativ'!$B$6:$B$405,E1009,'Istoric_Nativ'!$C$6:$C$405,F1009,'Istoric_Nativ'!$F$6:$F$405,G1009,'Istoric_Nativ'!$D$6:$D$405,"&lt;"&amp;J1009,'Istoric_Nativ'!$P$6:$P$405,1))))</x:f>
        <x:v>0</x:v>
      </x:c>
      <x:c r="L1009" s="17" t="n">
        <x:f>IF(AND(B1009&lt;&gt;"",I1009="RECENT",K1009&gt;0),LARGE(_xlfn._xlws.FILTER('Istoric_Nativ'!$D$6:$D$405,('Istoric_Nativ'!$B$6:$B$405=E1009)*('Istoric_Nativ'!$C$6:$C$405=F1009)*('Istoric_Nativ'!$P$6:$P$405=1)*('Istoric_Nativ'!$D$6:$D$405&lt;J1009)*((('Istoric_Nativ'!$E$6:$E$405=G1009)+('Istoric_Nativ'!$F$6:$F$405=G1009))&gt;0)),MIN('Config_v6'!$B$54,K1009)),0)</x:f>
        <x:v>0</x:v>
      </x:c>
      <x:c r="M1009" s="2" t="n">
        <x:f>IF(OR(B1009="",F1009=""),0,IF(H1009="HOME",COUNTIFS('Istoric_Nativ'!$B$6:$B$405,E1009,'Istoric_Nativ'!$C$6:$C$405,F1009,'Istoric_Nativ'!$E$6:$E$405,G1009,'Istoric_Nativ'!$D$6:$D$405,"&lt;"&amp;J1009,'Istoric_Nativ'!$P$6:$P$405,1,'Istoric_Nativ'!$D$6:$D$405,"&gt;="&amp;L1009),IF(H1009="AWAY",COUNTIFS('Istoric_Nativ'!$B$6:$B$405,E1009,'Istoric_Nativ'!$C$6:$C$405,F1009,'Istoric_Nativ'!$F$6:$F$405,G1009,'Istoric_Nativ'!$D$6:$D$405,"&lt;"&amp;J1009,'Istoric_Nativ'!$P$6:$P$405,1,'Istoric_Nativ'!$D$6:$D$405,"&gt;="&amp;L1009),COUNTIFS('Istoric_Nativ'!$B$6:$B$405,E1009,'Istoric_Nativ'!$C$6:$C$405,F1009,'Istoric_Nativ'!$E$6:$E$405,G1009,'Istoric_Nativ'!$D$6:$D$405,"&lt;"&amp;J1009,'Istoric_Nativ'!$P$6:$P$405,1,'Istoric_Nativ'!$D$6:$D$405,"&gt;="&amp;L1009)+COUNTIFS('Istoric_Nativ'!$B$6:$B$405,E1009,'Istoric_Nativ'!$C$6:$C$405,F1009,'Istoric_Nativ'!$F$6:$F$405,G1009,'Istoric_Nativ'!$D$6:$D$405,"&lt;"&amp;J1009,'Istoric_Nativ'!$P$6:$P$405,1,'Istoric_Nativ'!$D$6:$D$405,"&gt;="&amp;L1009))))</x:f>
        <x:v>0</x:v>
      </x:c>
      <x:c r="N1009" s="11" t="str">
        <x:f>IF(M1009=0,"",IF(H1009="HOME",SUMIFS('Istoric_Nativ'!$G$6:$G$405,'Istoric_Nativ'!$B$6:$B$405,E1009,'Istoric_Nativ'!$C$6:$C$405,F1009,'Istoric_Nativ'!$E$6:$E$405,G1009,'Istoric_Nativ'!$D$6:$D$405,"&lt;"&amp;J1009,'Istoric_Nativ'!$P$6:$P$405,1,'Istoric_Nativ'!$D$6:$D$405,"&gt;="&amp;L1009),IF(H1009="AWAY",SUMIFS('Istoric_Nativ'!$H$6:$H$405,'Istoric_Nativ'!$B$6:$B$405,E1009,'Istoric_Nativ'!$C$6:$C$405,F1009,'Istoric_Nativ'!$F$6:$F$405,G1009,'Istoric_Nativ'!$D$6:$D$405,"&lt;"&amp;J1009,'Istoric_Nativ'!$P$6:$P$405,1,'Istoric_Nativ'!$D$6:$D$405,"&gt;="&amp;L1009),SUMIFS('Istoric_Nativ'!$G$6:$G$405,'Istoric_Nativ'!$B$6:$B$405,E1009,'Istoric_Nativ'!$C$6:$C$405,F1009,'Istoric_Nativ'!$E$6:$E$405,G1009,'Istoric_Nativ'!$D$6:$D$405,"&lt;"&amp;J1009,'Istoric_Nativ'!$P$6:$P$405,1,'Istoric_Nativ'!$D$6:$D$405,"&gt;="&amp;L1009)+SUMIFS('Istoric_Nativ'!$H$6:$H$405,'Istoric_Nativ'!$B$6:$B$405,E1009,'Istoric_Nativ'!$C$6:$C$405,F1009,'Istoric_Nativ'!$F$6:$F$405,G1009,'Istoric_Nativ'!$D$6:$D$405,"&lt;"&amp;J1009,'Istoric_Nativ'!$P$6:$P$405,1,'Istoric_Nativ'!$D$6:$D$405,"&gt;="&amp;L1009)))/M1009)</x:f>
      </x:c>
      <x:c r="O1009" s="11" t="str">
        <x:f>IF(M1009=0,"",IF(H1009="HOME",SUMIFS('Istoric_Nativ'!$H$6:$H$405,'Istoric_Nativ'!$B$6:$B$405,E1009,'Istoric_Nativ'!$C$6:$C$405,F1009,'Istoric_Nativ'!$E$6:$E$405,G1009,'Istoric_Nativ'!$D$6:$D$405,"&lt;"&amp;J1009,'Istoric_Nativ'!$P$6:$P$405,1,'Istoric_Nativ'!$D$6:$D$405,"&gt;="&amp;L1009),IF(H1009="AWAY",SUMIFS('Istoric_Nativ'!$G$6:$G$405,'Istoric_Nativ'!$B$6:$B$405,E1009,'Istoric_Nativ'!$C$6:$C$405,F1009,'Istoric_Nativ'!$F$6:$F$405,G1009,'Istoric_Nativ'!$D$6:$D$405,"&lt;"&amp;J1009,'Istoric_Nativ'!$P$6:$P$405,1,'Istoric_Nativ'!$D$6:$D$405,"&gt;="&amp;L1009),SUMIFS('Istoric_Nativ'!$H$6:$H$405,'Istoric_Nativ'!$B$6:$B$405,E1009,'Istoric_Nativ'!$C$6:$C$405,F1009,'Istoric_Nativ'!$E$6:$E$405,G1009,'Istoric_Nativ'!$D$6:$D$405,"&lt;"&amp;J1009,'Istoric_Nativ'!$P$6:$P$405,1,'Istoric_Nativ'!$D$6:$D$405,"&gt;="&amp;L1009)+SUMIFS('Istoric_Nativ'!$G$6:$G$405,'Istoric_Nativ'!$B$6:$B$405,E1009,'Istoric_Nativ'!$C$6:$C$405,F1009,'Istoric_Nativ'!$F$6:$F$405,G1009,'Istoric_Nativ'!$D$6:$D$405,"&lt;"&amp;J1009,'Istoric_Nativ'!$P$6:$P$405,1,'Istoric_Nativ'!$D$6:$D$405,"&gt;="&amp;L1009)))/M1009)</x:f>
      </x:c>
      <x:c r="P1009" s="2" t="n">
        <x:f>'Config_v6'!$B$8</x:f>
        <x:v>5</x:v>
      </x:c>
      <x:c r="Q1009" s="2" t="n">
        <x:f>IF(OR(B1009="",F1009=""),0,IFERROR(MATCH(E1009&amp;"|"&amp;F1009,SourceTable[Source_Key],0),0))</x:f>
        <x:v>0</x:v>
      </x:c>
      <x:c r="R1009" s="2" t="str">
        <x:f>IF(B1009="","",IF(F1009="","UNUSED",IF(Q1009=0,"NOT CHECKED",IF(COUNTIF(SourceTable[Source_Key],E1009&amp;"|"&amp;F1009)&lt;&gt;1,"SOURCE CONFLICT",IF(NOT(OR(INDEX(SourceTable[Status],MAX(1,Q1009))="IMPORTED",INDEX(SourceTable[Status],MAX(1,Q1009))="PARTIAL",INDEX(SourceTable[Status],MAX(1,Q1009))="SOURCE CONFLICT")),"ACCESS BLOCKED",IF(OR(INDEX(SourceTable[Coverage],Q1009)&lt;&gt;"FULL SEASON EXPORT",INDEX(SourceTable[URL],Q1009)="",INDEX(SourceTable[SHA256],Q1009)=""),"EVIDENCE INCOMPLETE",IF(AND('Input_Meci'!H89="LIVE",INDEX(SourceTable[Retrieved_UTC],Q1009)&gt;'Input_Meci'!G89),"POST CUTOFF","CLOSED")))))))</x:f>
      </x:c>
      <x:c r="S1009" s="2" t="n">
        <x:f>IF(OR(B1009="",F1009=""),0,COUNTIFS('Istoric_Nativ'!$B$6:$B$405,E1009,'Istoric_Nativ'!$C$6:$C$405,F1009,'Istoric_Nativ'!$E$6:$E$405,G1009,'Istoric_Nativ'!$D$6:$D$405,"&lt;"&amp;J1009,'Istoric_Nativ'!$O$6:$O$405,"INVALID")+COUNTIFS('Istoric_Nativ'!$B$6:$B$405,E1009,'Istoric_Nativ'!$C$6:$C$405,F1009,'Istoric_Nativ'!$E$6:$E$405,G1009,'Istoric_Nativ'!$O$6:$O$405,"INVALID",'Istoric_Nativ'!$D$6:$D$405,"*")+COUNTIFS('Istoric_Nativ'!$B$6:$B$405,E1009,'Istoric_Nativ'!$C$6:$C$405,F1009,'Istoric_Nativ'!$E$6:$E$405,G1009,'Istoric_Nativ'!$D$6:$D$405,"&lt;"&amp;J1009,'Istoric_Nativ'!$O$6:$O$405,"SOURCE CONFLICT")+COUNTIFS('Istoric_Nativ'!$B$6:$B$405,E1009,'Istoric_Nativ'!$C$6:$C$405,F1009,'Istoric_Nativ'!$F$6:$F$405,G1009,'Istoric_Nativ'!$D$6:$D$405,"&lt;"&amp;J1009,'Istoric_Nativ'!$O$6:$O$405,"INVALID")+COUNTIFS('Istoric_Nativ'!$B$6:$B$405,E1009,'Istoric_Nativ'!$C$6:$C$405,F1009,'Istoric_Nativ'!$F$6:$F$405,G1009,'Istoric_Nativ'!$O$6:$O$405,"INVALID",'Istoric_Nativ'!$D$6:$D$405,"*")+COUNTIFS('Istoric_Nativ'!$B$6:$B$405,E1009,'Istoric_Nativ'!$C$6:$C$405,F1009,'Istoric_Nativ'!$F$6:$F$405,G1009,'Istoric_Nativ'!$D$6:$D$405,"&lt;"&amp;J1009,'Istoric_Nativ'!$O$6:$O$405,"SOURCE CONFLICT"))</x:f>
        <x:v>0</x:v>
      </x:c>
      <x:c r="T1009" s="2" t="str">
        <x:f>IF(B1009="","",IF(R1009&lt;&gt;"CLOSED",R1009,IF(S1009&gt;0,"NATIVE INPUT ISSUE",IF(M1009=0,"NO HISTORY",IF(M1009&lt;P1009,"SMALL SAMPLE","DERIVED")))))</x:f>
      </x:c>
      <x:c r="U1009" s="2" t="str">
        <x:f>IF(B1009="","","NativeTable; "&amp;E1009&amp;"; "&amp;F1009&amp;"; "&amp;G1009&amp;"; "&amp;H1009&amp;"; before "&amp;TEXT(J1009,"yyyy-mm-dd")&amp;IF(I1009="RECENT","; from "&amp;TEXT(L1009,"yyyy-mm-dd"),""))</x:f>
      </x:c>
    </x:row>
    <x:row r="1010" ht="21" customHeight="1">
      <x:c r="A1010" s="2" t="n">
        <x:v>84</x:v>
      </x:c>
      <x:c r="B1010" s="2" t="str">
        <x:f>IF('Input_Meci'!A89="","",'Input_Meci'!A89)</x:f>
      </x:c>
      <x:c r="C1010" s="2" t="str">
        <x:v>H</x:v>
      </x:c>
      <x:c r="D1010" s="2" t="str">
        <x:v>PRIOR</x:v>
      </x:c>
      <x:c r="E1010" s="2" t="str">
        <x:f>IF(B1010="","",'Input_Meci'!B89)</x:f>
      </x:c>
      <x:c r="F1010" s="2" t="str">
        <x:f>IF(B1010="","",IF('Input_Meci'!K89="","",'Input_Meci'!K89))</x:f>
      </x:c>
      <x:c r="G1010" s="2" t="str">
        <x:f>IF(B1010="","",'Input_Meci'!D89)</x:f>
      </x:c>
      <x:c r="H1010" s="2" t="str">
        <x:v>ANY</x:v>
      </x:c>
      <x:c r="I1010" s="2" t="str">
        <x:v>RECENT</x:v>
      </x:c>
      <x:c r="J1010" s="9" t="n">
        <x:f>IF(AND(B1010&lt;&gt;"",ISNUMBER('Input_Meci'!G89)),INT('Input_Meci'!G89),0)</x:f>
        <x:v>0</x:v>
      </x:c>
      <x:c r="K1010" s="2" t="n">
        <x:f>IF(OR(B1010="",F1010=""),0,IF(H1010="HOME",COUNTIFS('Istoric_Nativ'!$B$6:$B$405,E1010,'Istoric_Nativ'!$C$6:$C$405,F1010,'Istoric_Nativ'!$E$6:$E$405,G1010,'Istoric_Nativ'!$D$6:$D$405,"&lt;"&amp;J1010,'Istoric_Nativ'!$P$6:$P$405,1),IF(H1010="AWAY",COUNTIFS('Istoric_Nativ'!$B$6:$B$405,E1010,'Istoric_Nativ'!$C$6:$C$405,F1010,'Istoric_Nativ'!$F$6:$F$405,G1010,'Istoric_Nativ'!$D$6:$D$405,"&lt;"&amp;J1010,'Istoric_Nativ'!$P$6:$P$405,1),COUNTIFS('Istoric_Nativ'!$B$6:$B$405,E1010,'Istoric_Nativ'!$C$6:$C$405,F1010,'Istoric_Nativ'!$E$6:$E$405,G1010,'Istoric_Nativ'!$D$6:$D$405,"&lt;"&amp;J1010,'Istoric_Nativ'!$P$6:$P$405,1)+COUNTIFS('Istoric_Nativ'!$B$6:$B$405,E1010,'Istoric_Nativ'!$C$6:$C$405,F1010,'Istoric_Nativ'!$F$6:$F$405,G1010,'Istoric_Nativ'!$D$6:$D$405,"&lt;"&amp;J1010,'Istoric_Nativ'!$P$6:$P$405,1))))</x:f>
        <x:v>0</x:v>
      </x:c>
      <x:c r="L1010" s="17" t="n">
        <x:f>IF(AND(B1010&lt;&gt;"",I1010="RECENT",K1010&gt;0),LARGE(_xlfn._xlws.FILTER('Istoric_Nativ'!$D$6:$D$405,('Istoric_Nativ'!$B$6:$B$405=E1010)*('Istoric_Nativ'!$C$6:$C$405=F1010)*('Istoric_Nativ'!$P$6:$P$405=1)*('Istoric_Nativ'!$D$6:$D$405&lt;J1010)*((('Istoric_Nativ'!$E$6:$E$405=G1010)+('Istoric_Nativ'!$F$6:$F$405=G1010))&gt;0)),MIN('Config_v6'!$B$54,K1010)),0)</x:f>
        <x:v>0</x:v>
      </x:c>
      <x:c r="M1010" s="2" t="n">
        <x:f>IF(OR(B1010="",F1010=""),0,IF(H1010="HOME",COUNTIFS('Istoric_Nativ'!$B$6:$B$405,E1010,'Istoric_Nativ'!$C$6:$C$405,F1010,'Istoric_Nativ'!$E$6:$E$405,G1010,'Istoric_Nativ'!$D$6:$D$405,"&lt;"&amp;J1010,'Istoric_Nativ'!$P$6:$P$405,1,'Istoric_Nativ'!$D$6:$D$405,"&gt;="&amp;L1010),IF(H1010="AWAY",COUNTIFS('Istoric_Nativ'!$B$6:$B$405,E1010,'Istoric_Nativ'!$C$6:$C$405,F1010,'Istoric_Nativ'!$F$6:$F$405,G1010,'Istoric_Nativ'!$D$6:$D$405,"&lt;"&amp;J1010,'Istoric_Nativ'!$P$6:$P$405,1,'Istoric_Nativ'!$D$6:$D$405,"&gt;="&amp;L1010),COUNTIFS('Istoric_Nativ'!$B$6:$B$405,E1010,'Istoric_Nativ'!$C$6:$C$405,F1010,'Istoric_Nativ'!$E$6:$E$405,G1010,'Istoric_Nativ'!$D$6:$D$405,"&lt;"&amp;J1010,'Istoric_Nativ'!$P$6:$P$405,1,'Istoric_Nativ'!$D$6:$D$405,"&gt;="&amp;L1010)+COUNTIFS('Istoric_Nativ'!$B$6:$B$405,E1010,'Istoric_Nativ'!$C$6:$C$405,F1010,'Istoric_Nativ'!$F$6:$F$405,G1010,'Istoric_Nativ'!$D$6:$D$405,"&lt;"&amp;J1010,'Istoric_Nativ'!$P$6:$P$405,1,'Istoric_Nativ'!$D$6:$D$405,"&gt;="&amp;L1010))))</x:f>
        <x:v>0</x:v>
      </x:c>
      <x:c r="N1010" s="11" t="str">
        <x:f>IF(M1010=0,"",IF(H1010="HOME",SUMIFS('Istoric_Nativ'!$G$6:$G$405,'Istoric_Nativ'!$B$6:$B$405,E1010,'Istoric_Nativ'!$C$6:$C$405,F1010,'Istoric_Nativ'!$E$6:$E$405,G1010,'Istoric_Nativ'!$D$6:$D$405,"&lt;"&amp;J1010,'Istoric_Nativ'!$P$6:$P$405,1,'Istoric_Nativ'!$D$6:$D$405,"&gt;="&amp;L1010),IF(H1010="AWAY",SUMIFS('Istoric_Nativ'!$H$6:$H$405,'Istoric_Nativ'!$B$6:$B$405,E1010,'Istoric_Nativ'!$C$6:$C$405,F1010,'Istoric_Nativ'!$F$6:$F$405,G1010,'Istoric_Nativ'!$D$6:$D$405,"&lt;"&amp;J1010,'Istoric_Nativ'!$P$6:$P$405,1,'Istoric_Nativ'!$D$6:$D$405,"&gt;="&amp;L1010),SUMIFS('Istoric_Nativ'!$G$6:$G$405,'Istoric_Nativ'!$B$6:$B$405,E1010,'Istoric_Nativ'!$C$6:$C$405,F1010,'Istoric_Nativ'!$E$6:$E$405,G1010,'Istoric_Nativ'!$D$6:$D$405,"&lt;"&amp;J1010,'Istoric_Nativ'!$P$6:$P$405,1,'Istoric_Nativ'!$D$6:$D$405,"&gt;="&amp;L1010)+SUMIFS('Istoric_Nativ'!$H$6:$H$405,'Istoric_Nativ'!$B$6:$B$405,E1010,'Istoric_Nativ'!$C$6:$C$405,F1010,'Istoric_Nativ'!$F$6:$F$405,G1010,'Istoric_Nativ'!$D$6:$D$405,"&lt;"&amp;J1010,'Istoric_Nativ'!$P$6:$P$405,1,'Istoric_Nativ'!$D$6:$D$405,"&gt;="&amp;L1010)))/M1010)</x:f>
      </x:c>
      <x:c r="O1010" s="11" t="str">
        <x:f>IF(M1010=0,"",IF(H1010="HOME",SUMIFS('Istoric_Nativ'!$H$6:$H$405,'Istoric_Nativ'!$B$6:$B$405,E1010,'Istoric_Nativ'!$C$6:$C$405,F1010,'Istoric_Nativ'!$E$6:$E$405,G1010,'Istoric_Nativ'!$D$6:$D$405,"&lt;"&amp;J1010,'Istoric_Nativ'!$P$6:$P$405,1,'Istoric_Nativ'!$D$6:$D$405,"&gt;="&amp;L1010),IF(H1010="AWAY",SUMIFS('Istoric_Nativ'!$G$6:$G$405,'Istoric_Nativ'!$B$6:$B$405,E1010,'Istoric_Nativ'!$C$6:$C$405,F1010,'Istoric_Nativ'!$F$6:$F$405,G1010,'Istoric_Nativ'!$D$6:$D$405,"&lt;"&amp;J1010,'Istoric_Nativ'!$P$6:$P$405,1,'Istoric_Nativ'!$D$6:$D$405,"&gt;="&amp;L1010),SUMIFS('Istoric_Nativ'!$H$6:$H$405,'Istoric_Nativ'!$B$6:$B$405,E1010,'Istoric_Nativ'!$C$6:$C$405,F1010,'Istoric_Nativ'!$E$6:$E$405,G1010,'Istoric_Nativ'!$D$6:$D$405,"&lt;"&amp;J1010,'Istoric_Nativ'!$P$6:$P$405,1,'Istoric_Nativ'!$D$6:$D$405,"&gt;="&amp;L1010)+SUMIFS('Istoric_Nativ'!$G$6:$G$405,'Istoric_Nativ'!$B$6:$B$405,E1010,'Istoric_Nativ'!$C$6:$C$405,F1010,'Istoric_Nativ'!$F$6:$F$405,G1010,'Istoric_Nativ'!$D$6:$D$405,"&lt;"&amp;J1010,'Istoric_Nativ'!$P$6:$P$405,1,'Istoric_Nativ'!$D$6:$D$405,"&gt;="&amp;L1010)))/M1010)</x:f>
      </x:c>
      <x:c r="P1010" s="2" t="n">
        <x:f>'Config_v6'!$B$9</x:f>
        <x:v>3</x:v>
      </x:c>
      <x:c r="Q1010" s="2" t="n">
        <x:f>IF(OR(B1010="",F1010=""),0,IFERROR(MATCH(E1010&amp;"|"&amp;F1010,SourceTable[Source_Key],0),0))</x:f>
        <x:v>0</x:v>
      </x:c>
      <x:c r="R1010" s="2" t="str">
        <x:f>IF(B1010="","",IF(F1010="","UNUSED",IF(Q1010=0,"NOT CHECKED",IF(COUNTIF(SourceTable[Source_Key],E1010&amp;"|"&amp;F1010)&lt;&gt;1,"SOURCE CONFLICT",IF(NOT(OR(INDEX(SourceTable[Status],MAX(1,Q1010))="IMPORTED",INDEX(SourceTable[Status],MAX(1,Q1010))="PARTIAL",INDEX(SourceTable[Status],MAX(1,Q1010))="SOURCE CONFLICT")),"ACCESS BLOCKED",IF(OR(INDEX(SourceTable[Coverage],Q1010)&lt;&gt;"FULL SEASON EXPORT",INDEX(SourceTable[URL],Q1010)="",INDEX(SourceTable[SHA256],Q1010)=""),"EVIDENCE INCOMPLETE",IF(AND('Input_Meci'!H89="LIVE",INDEX(SourceTable[Retrieved_UTC],Q1010)&gt;'Input_Meci'!G89),"POST CUTOFF","CLOSED")))))))</x:f>
      </x:c>
      <x:c r="S1010" s="2" t="n">
        <x:f>IF(OR(B1010="",F1010=""),0,COUNTIFS('Istoric_Nativ'!$B$6:$B$405,E1010,'Istoric_Nativ'!$C$6:$C$405,F1010,'Istoric_Nativ'!$E$6:$E$405,G1010,'Istoric_Nativ'!$D$6:$D$405,"&lt;"&amp;J1010,'Istoric_Nativ'!$O$6:$O$405,"INVALID")+COUNTIFS('Istoric_Nativ'!$B$6:$B$405,E1010,'Istoric_Nativ'!$C$6:$C$405,F1010,'Istoric_Nativ'!$E$6:$E$405,G1010,'Istoric_Nativ'!$O$6:$O$405,"INVALID",'Istoric_Nativ'!$D$6:$D$405,"*")+COUNTIFS('Istoric_Nativ'!$B$6:$B$405,E1010,'Istoric_Nativ'!$C$6:$C$405,F1010,'Istoric_Nativ'!$E$6:$E$405,G1010,'Istoric_Nativ'!$D$6:$D$405,"&lt;"&amp;J1010,'Istoric_Nativ'!$O$6:$O$405,"SOURCE CONFLICT")+COUNTIFS('Istoric_Nativ'!$B$6:$B$405,E1010,'Istoric_Nativ'!$C$6:$C$405,F1010,'Istoric_Nativ'!$F$6:$F$405,G1010,'Istoric_Nativ'!$D$6:$D$405,"&lt;"&amp;J1010,'Istoric_Nativ'!$O$6:$O$405,"INVALID")+COUNTIFS('Istoric_Nativ'!$B$6:$B$405,E1010,'Istoric_Nativ'!$C$6:$C$405,F1010,'Istoric_Nativ'!$F$6:$F$405,G1010,'Istoric_Nativ'!$O$6:$O$405,"INVALID",'Istoric_Nativ'!$D$6:$D$405,"*")+COUNTIFS('Istoric_Nativ'!$B$6:$B$405,E1010,'Istoric_Nativ'!$C$6:$C$405,F1010,'Istoric_Nativ'!$F$6:$F$405,G1010,'Istoric_Nativ'!$D$6:$D$405,"&lt;"&amp;J1010,'Istoric_Nativ'!$O$6:$O$405,"SOURCE CONFLICT"))</x:f>
        <x:v>0</x:v>
      </x:c>
      <x:c r="T1010" s="2" t="str">
        <x:f>IF(B1010="","",IF(R1010&lt;&gt;"CLOSED",R1010,IF(S1010&gt;0,"NATIVE INPUT ISSUE",IF(M1010=0,"NO HISTORY",IF(M1010&lt;P1010,"SMALL SAMPLE","DERIVED")))))</x:f>
      </x:c>
      <x:c r="U1010" s="2" t="str">
        <x:f>IF(B1010="","","NativeTable; "&amp;E1010&amp;"; "&amp;F1010&amp;"; "&amp;G1010&amp;"; "&amp;H1010&amp;"; before "&amp;TEXT(J1010,"yyyy-mm-dd")&amp;IF(I1010="RECENT","; from "&amp;TEXT(L1010,"yyyy-mm-dd"),""))</x:f>
      </x:c>
    </x:row>
    <x:row r="1011" ht="21" customHeight="1">
      <x:c r="A1011" s="2" t="n">
        <x:v>84</x:v>
      </x:c>
      <x:c r="B1011" s="2" t="str">
        <x:f>IF('Input_Meci'!A89="","",'Input_Meci'!A89)</x:f>
      </x:c>
      <x:c r="C1011" s="2" t="str">
        <x:v>A</x:v>
      </x:c>
      <x:c r="D1011" s="2" t="str">
        <x:v>PRIOR</x:v>
      </x:c>
      <x:c r="E1011" s="2" t="str">
        <x:f>IF(B1011="","",'Input_Meci'!B89)</x:f>
      </x:c>
      <x:c r="F1011" s="2" t="str">
        <x:f>IF(B1011="","",IF('Input_Meci'!K89="","",'Input_Meci'!K89))</x:f>
      </x:c>
      <x:c r="G1011" s="2" t="str">
        <x:f>IF(B1011="","",'Input_Meci'!E89)</x:f>
      </x:c>
      <x:c r="H1011" s="2" t="str">
        <x:v>ANY</x:v>
      </x:c>
      <x:c r="I1011" s="2" t="str">
        <x:v>SEASON</x:v>
      </x:c>
      <x:c r="J1011" s="9" t="n">
        <x:f>IF(AND(B1011&lt;&gt;"",ISNUMBER('Input_Meci'!G89)),INT('Input_Meci'!G89),0)</x:f>
        <x:v>0</x:v>
      </x:c>
      <x:c r="K1011" s="2" t="n">
        <x:f>IF(OR(B1011="",F1011=""),0,IF(H1011="HOME",COUNTIFS('Istoric_Nativ'!$B$6:$B$405,E1011,'Istoric_Nativ'!$C$6:$C$405,F1011,'Istoric_Nativ'!$E$6:$E$405,G1011,'Istoric_Nativ'!$D$6:$D$405,"&lt;"&amp;J1011,'Istoric_Nativ'!$P$6:$P$405,1),IF(H1011="AWAY",COUNTIFS('Istoric_Nativ'!$B$6:$B$405,E1011,'Istoric_Nativ'!$C$6:$C$405,F1011,'Istoric_Nativ'!$F$6:$F$405,G1011,'Istoric_Nativ'!$D$6:$D$405,"&lt;"&amp;J1011,'Istoric_Nativ'!$P$6:$P$405,1),COUNTIFS('Istoric_Nativ'!$B$6:$B$405,E1011,'Istoric_Nativ'!$C$6:$C$405,F1011,'Istoric_Nativ'!$E$6:$E$405,G1011,'Istoric_Nativ'!$D$6:$D$405,"&lt;"&amp;J1011,'Istoric_Nativ'!$P$6:$P$405,1)+COUNTIFS('Istoric_Nativ'!$B$6:$B$405,E1011,'Istoric_Nativ'!$C$6:$C$405,F1011,'Istoric_Nativ'!$F$6:$F$405,G1011,'Istoric_Nativ'!$D$6:$D$405,"&lt;"&amp;J1011,'Istoric_Nativ'!$P$6:$P$405,1))))</x:f>
        <x:v>0</x:v>
      </x:c>
      <x:c r="L1011" s="17" t="n">
        <x:f>IF(AND(B1011&lt;&gt;"",I1011="RECENT",K1011&gt;0),LARGE(_xlfn._xlws.FILTER('Istoric_Nativ'!$D$6:$D$405,('Istoric_Nativ'!$B$6:$B$405=E1011)*('Istoric_Nativ'!$C$6:$C$405=F1011)*('Istoric_Nativ'!$P$6:$P$405=1)*('Istoric_Nativ'!$D$6:$D$405&lt;J1011)*((('Istoric_Nativ'!$E$6:$E$405=G1011)+('Istoric_Nativ'!$F$6:$F$405=G1011))&gt;0)),MIN('Config_v6'!$B$54,K1011)),0)</x:f>
        <x:v>0</x:v>
      </x:c>
      <x:c r="M1011" s="2" t="n">
        <x:f>IF(OR(B1011="",F1011=""),0,IF(H1011="HOME",COUNTIFS('Istoric_Nativ'!$B$6:$B$405,E1011,'Istoric_Nativ'!$C$6:$C$405,F1011,'Istoric_Nativ'!$E$6:$E$405,G1011,'Istoric_Nativ'!$D$6:$D$405,"&lt;"&amp;J1011,'Istoric_Nativ'!$P$6:$P$405,1,'Istoric_Nativ'!$D$6:$D$405,"&gt;="&amp;L1011),IF(H1011="AWAY",COUNTIFS('Istoric_Nativ'!$B$6:$B$405,E1011,'Istoric_Nativ'!$C$6:$C$405,F1011,'Istoric_Nativ'!$F$6:$F$405,G1011,'Istoric_Nativ'!$D$6:$D$405,"&lt;"&amp;J1011,'Istoric_Nativ'!$P$6:$P$405,1,'Istoric_Nativ'!$D$6:$D$405,"&gt;="&amp;L1011),COUNTIFS('Istoric_Nativ'!$B$6:$B$405,E1011,'Istoric_Nativ'!$C$6:$C$405,F1011,'Istoric_Nativ'!$E$6:$E$405,G1011,'Istoric_Nativ'!$D$6:$D$405,"&lt;"&amp;J1011,'Istoric_Nativ'!$P$6:$P$405,1,'Istoric_Nativ'!$D$6:$D$405,"&gt;="&amp;L1011)+COUNTIFS('Istoric_Nativ'!$B$6:$B$405,E1011,'Istoric_Nativ'!$C$6:$C$405,F1011,'Istoric_Nativ'!$F$6:$F$405,G1011,'Istoric_Nativ'!$D$6:$D$405,"&lt;"&amp;J1011,'Istoric_Nativ'!$P$6:$P$405,1,'Istoric_Nativ'!$D$6:$D$405,"&gt;="&amp;L1011))))</x:f>
        <x:v>0</x:v>
      </x:c>
      <x:c r="N1011" s="11" t="str">
        <x:f>IF(M1011=0,"",IF(H1011="HOME",SUMIFS('Istoric_Nativ'!$G$6:$G$405,'Istoric_Nativ'!$B$6:$B$405,E1011,'Istoric_Nativ'!$C$6:$C$405,F1011,'Istoric_Nativ'!$E$6:$E$405,G1011,'Istoric_Nativ'!$D$6:$D$405,"&lt;"&amp;J1011,'Istoric_Nativ'!$P$6:$P$405,1,'Istoric_Nativ'!$D$6:$D$405,"&gt;="&amp;L1011),IF(H1011="AWAY",SUMIFS('Istoric_Nativ'!$H$6:$H$405,'Istoric_Nativ'!$B$6:$B$405,E1011,'Istoric_Nativ'!$C$6:$C$405,F1011,'Istoric_Nativ'!$F$6:$F$405,G1011,'Istoric_Nativ'!$D$6:$D$405,"&lt;"&amp;J1011,'Istoric_Nativ'!$P$6:$P$405,1,'Istoric_Nativ'!$D$6:$D$405,"&gt;="&amp;L1011),SUMIFS('Istoric_Nativ'!$G$6:$G$405,'Istoric_Nativ'!$B$6:$B$405,E1011,'Istoric_Nativ'!$C$6:$C$405,F1011,'Istoric_Nativ'!$E$6:$E$405,G1011,'Istoric_Nativ'!$D$6:$D$405,"&lt;"&amp;J1011,'Istoric_Nativ'!$P$6:$P$405,1,'Istoric_Nativ'!$D$6:$D$405,"&gt;="&amp;L1011)+SUMIFS('Istoric_Nativ'!$H$6:$H$405,'Istoric_Nativ'!$B$6:$B$405,E1011,'Istoric_Nativ'!$C$6:$C$405,F1011,'Istoric_Nativ'!$F$6:$F$405,G1011,'Istoric_Nativ'!$D$6:$D$405,"&lt;"&amp;J1011,'Istoric_Nativ'!$P$6:$P$405,1,'Istoric_Nativ'!$D$6:$D$405,"&gt;="&amp;L1011)))/M1011)</x:f>
      </x:c>
      <x:c r="O1011" s="11" t="str">
        <x:f>IF(M1011=0,"",IF(H1011="HOME",SUMIFS('Istoric_Nativ'!$H$6:$H$405,'Istoric_Nativ'!$B$6:$B$405,E1011,'Istoric_Nativ'!$C$6:$C$405,F1011,'Istoric_Nativ'!$E$6:$E$405,G1011,'Istoric_Nativ'!$D$6:$D$405,"&lt;"&amp;J1011,'Istoric_Nativ'!$P$6:$P$405,1,'Istoric_Nativ'!$D$6:$D$405,"&gt;="&amp;L1011),IF(H1011="AWAY",SUMIFS('Istoric_Nativ'!$G$6:$G$405,'Istoric_Nativ'!$B$6:$B$405,E1011,'Istoric_Nativ'!$C$6:$C$405,F1011,'Istoric_Nativ'!$F$6:$F$405,G1011,'Istoric_Nativ'!$D$6:$D$405,"&lt;"&amp;J1011,'Istoric_Nativ'!$P$6:$P$405,1,'Istoric_Nativ'!$D$6:$D$405,"&gt;="&amp;L1011),SUMIFS('Istoric_Nativ'!$H$6:$H$405,'Istoric_Nativ'!$B$6:$B$405,E1011,'Istoric_Nativ'!$C$6:$C$405,F1011,'Istoric_Nativ'!$E$6:$E$405,G1011,'Istoric_Nativ'!$D$6:$D$405,"&lt;"&amp;J1011,'Istoric_Nativ'!$P$6:$P$405,1,'Istoric_Nativ'!$D$6:$D$405,"&gt;="&amp;L1011)+SUMIFS('Istoric_Nativ'!$G$6:$G$405,'Istoric_Nativ'!$B$6:$B$405,E1011,'Istoric_Nativ'!$C$6:$C$405,F1011,'Istoric_Nativ'!$F$6:$F$405,G1011,'Istoric_Nativ'!$D$6:$D$405,"&lt;"&amp;J1011,'Istoric_Nativ'!$P$6:$P$405,1,'Istoric_Nativ'!$D$6:$D$405,"&gt;="&amp;L1011)))/M1011)</x:f>
      </x:c>
      <x:c r="P1011" s="2" t="n">
        <x:f>'Config_v6'!$B$7</x:f>
        <x:v>10</x:v>
      </x:c>
      <x:c r="Q1011" s="2" t="n">
        <x:f>IF(OR(B1011="",F1011=""),0,IFERROR(MATCH(E1011&amp;"|"&amp;F1011,SourceTable[Source_Key],0),0))</x:f>
        <x:v>0</x:v>
      </x:c>
      <x:c r="R1011" s="2" t="str">
        <x:f>IF(B1011="","",IF(F1011="","UNUSED",IF(Q1011=0,"NOT CHECKED",IF(COUNTIF(SourceTable[Source_Key],E1011&amp;"|"&amp;F1011)&lt;&gt;1,"SOURCE CONFLICT",IF(NOT(OR(INDEX(SourceTable[Status],MAX(1,Q1011))="IMPORTED",INDEX(SourceTable[Status],MAX(1,Q1011))="PARTIAL",INDEX(SourceTable[Status],MAX(1,Q1011))="SOURCE CONFLICT")),"ACCESS BLOCKED",IF(OR(INDEX(SourceTable[Coverage],Q1011)&lt;&gt;"FULL SEASON EXPORT",INDEX(SourceTable[URL],Q1011)="",INDEX(SourceTable[SHA256],Q1011)=""),"EVIDENCE INCOMPLETE",IF(AND('Input_Meci'!H89="LIVE",INDEX(SourceTable[Retrieved_UTC],Q1011)&gt;'Input_Meci'!G89),"POST CUTOFF","CLOSED")))))))</x:f>
      </x:c>
      <x:c r="S1011" s="2" t="n">
        <x:f>IF(OR(B1011="",F1011=""),0,COUNTIFS('Istoric_Nativ'!$B$6:$B$405,E1011,'Istoric_Nativ'!$C$6:$C$405,F1011,'Istoric_Nativ'!$E$6:$E$405,G1011,'Istoric_Nativ'!$D$6:$D$405,"&lt;"&amp;J1011,'Istoric_Nativ'!$O$6:$O$405,"INVALID")+COUNTIFS('Istoric_Nativ'!$B$6:$B$405,E1011,'Istoric_Nativ'!$C$6:$C$405,F1011,'Istoric_Nativ'!$E$6:$E$405,G1011,'Istoric_Nativ'!$O$6:$O$405,"INVALID",'Istoric_Nativ'!$D$6:$D$405,"*")+COUNTIFS('Istoric_Nativ'!$B$6:$B$405,E1011,'Istoric_Nativ'!$C$6:$C$405,F1011,'Istoric_Nativ'!$E$6:$E$405,G1011,'Istoric_Nativ'!$D$6:$D$405,"&lt;"&amp;J1011,'Istoric_Nativ'!$O$6:$O$405,"SOURCE CONFLICT")+COUNTIFS('Istoric_Nativ'!$B$6:$B$405,E1011,'Istoric_Nativ'!$C$6:$C$405,F1011,'Istoric_Nativ'!$F$6:$F$405,G1011,'Istoric_Nativ'!$D$6:$D$405,"&lt;"&amp;J1011,'Istoric_Nativ'!$O$6:$O$405,"INVALID")+COUNTIFS('Istoric_Nativ'!$B$6:$B$405,E1011,'Istoric_Nativ'!$C$6:$C$405,F1011,'Istoric_Nativ'!$F$6:$F$405,G1011,'Istoric_Nativ'!$O$6:$O$405,"INVALID",'Istoric_Nativ'!$D$6:$D$405,"*")+COUNTIFS('Istoric_Nativ'!$B$6:$B$405,E1011,'Istoric_Nativ'!$C$6:$C$405,F1011,'Istoric_Nativ'!$F$6:$F$405,G1011,'Istoric_Nativ'!$D$6:$D$405,"&lt;"&amp;J1011,'Istoric_Nativ'!$O$6:$O$405,"SOURCE CONFLICT"))</x:f>
        <x:v>0</x:v>
      </x:c>
      <x:c r="T1011" s="2" t="str">
        <x:f>IF(B1011="","",IF(R1011&lt;&gt;"CLOSED",R1011,IF(S1011&gt;0,"NATIVE INPUT ISSUE",IF(M1011=0,"NO HISTORY",IF(M1011&lt;P1011,"SMALL SAMPLE","DERIVED")))))</x:f>
      </x:c>
      <x:c r="U1011" s="2" t="str">
        <x:f>IF(B1011="","","NativeTable; "&amp;E1011&amp;"; "&amp;F1011&amp;"; "&amp;G1011&amp;"; "&amp;H1011&amp;"; before "&amp;TEXT(J1011,"yyyy-mm-dd")&amp;IF(I1011="RECENT","; from "&amp;TEXT(L1011,"yyyy-mm-dd"),""))</x:f>
      </x:c>
    </x:row>
    <x:row r="1012" ht="21" customHeight="1">
      <x:c r="A1012" s="2" t="n">
        <x:v>84</x:v>
      </x:c>
      <x:c r="B1012" s="2" t="str">
        <x:f>IF('Input_Meci'!A89="","",'Input_Meci'!A89)</x:f>
      </x:c>
      <x:c r="C1012" s="2" t="str">
        <x:v>A</x:v>
      </x:c>
      <x:c r="D1012" s="2" t="str">
        <x:v>PRIOR</x:v>
      </x:c>
      <x:c r="E1012" s="2" t="str">
        <x:f>IF(B1012="","",'Input_Meci'!B89)</x:f>
      </x:c>
      <x:c r="F1012" s="2" t="str">
        <x:f>IF(B1012="","",IF('Input_Meci'!K89="","",'Input_Meci'!K89))</x:f>
      </x:c>
      <x:c r="G1012" s="2" t="str">
        <x:f>IF(B1012="","",'Input_Meci'!E89)</x:f>
      </x:c>
      <x:c r="H1012" s="2" t="str">
        <x:v>AWAY</x:v>
      </x:c>
      <x:c r="I1012" s="2" t="str">
        <x:v>HA</x:v>
      </x:c>
      <x:c r="J1012" s="9" t="n">
        <x:f>IF(AND(B1012&lt;&gt;"",ISNUMBER('Input_Meci'!G89)),INT('Input_Meci'!G89),0)</x:f>
        <x:v>0</x:v>
      </x:c>
      <x:c r="K1012" s="2" t="n">
        <x:f>IF(OR(B1012="",F1012=""),0,IF(H1012="HOME",COUNTIFS('Istoric_Nativ'!$B$6:$B$405,E1012,'Istoric_Nativ'!$C$6:$C$405,F1012,'Istoric_Nativ'!$E$6:$E$405,G1012,'Istoric_Nativ'!$D$6:$D$405,"&lt;"&amp;J1012,'Istoric_Nativ'!$P$6:$P$405,1),IF(H1012="AWAY",COUNTIFS('Istoric_Nativ'!$B$6:$B$405,E1012,'Istoric_Nativ'!$C$6:$C$405,F1012,'Istoric_Nativ'!$F$6:$F$405,G1012,'Istoric_Nativ'!$D$6:$D$405,"&lt;"&amp;J1012,'Istoric_Nativ'!$P$6:$P$405,1),COUNTIFS('Istoric_Nativ'!$B$6:$B$405,E1012,'Istoric_Nativ'!$C$6:$C$405,F1012,'Istoric_Nativ'!$E$6:$E$405,G1012,'Istoric_Nativ'!$D$6:$D$405,"&lt;"&amp;J1012,'Istoric_Nativ'!$P$6:$P$405,1)+COUNTIFS('Istoric_Nativ'!$B$6:$B$405,E1012,'Istoric_Nativ'!$C$6:$C$405,F1012,'Istoric_Nativ'!$F$6:$F$405,G1012,'Istoric_Nativ'!$D$6:$D$405,"&lt;"&amp;J1012,'Istoric_Nativ'!$P$6:$P$405,1))))</x:f>
        <x:v>0</x:v>
      </x:c>
      <x:c r="L1012" s="17" t="n">
        <x:f>IF(AND(B1012&lt;&gt;"",I1012="RECENT",K1012&gt;0),LARGE(_xlfn._xlws.FILTER('Istoric_Nativ'!$D$6:$D$405,('Istoric_Nativ'!$B$6:$B$405=E1012)*('Istoric_Nativ'!$C$6:$C$405=F1012)*('Istoric_Nativ'!$P$6:$P$405=1)*('Istoric_Nativ'!$D$6:$D$405&lt;J1012)*((('Istoric_Nativ'!$E$6:$E$405=G1012)+('Istoric_Nativ'!$F$6:$F$405=G1012))&gt;0)),MIN('Config_v6'!$B$54,K1012)),0)</x:f>
        <x:v>0</x:v>
      </x:c>
      <x:c r="M1012" s="2" t="n">
        <x:f>IF(OR(B1012="",F1012=""),0,IF(H1012="HOME",COUNTIFS('Istoric_Nativ'!$B$6:$B$405,E1012,'Istoric_Nativ'!$C$6:$C$405,F1012,'Istoric_Nativ'!$E$6:$E$405,G1012,'Istoric_Nativ'!$D$6:$D$405,"&lt;"&amp;J1012,'Istoric_Nativ'!$P$6:$P$405,1,'Istoric_Nativ'!$D$6:$D$405,"&gt;="&amp;L1012),IF(H1012="AWAY",COUNTIFS('Istoric_Nativ'!$B$6:$B$405,E1012,'Istoric_Nativ'!$C$6:$C$405,F1012,'Istoric_Nativ'!$F$6:$F$405,G1012,'Istoric_Nativ'!$D$6:$D$405,"&lt;"&amp;J1012,'Istoric_Nativ'!$P$6:$P$405,1,'Istoric_Nativ'!$D$6:$D$405,"&gt;="&amp;L1012),COUNTIFS('Istoric_Nativ'!$B$6:$B$405,E1012,'Istoric_Nativ'!$C$6:$C$405,F1012,'Istoric_Nativ'!$E$6:$E$405,G1012,'Istoric_Nativ'!$D$6:$D$405,"&lt;"&amp;J1012,'Istoric_Nativ'!$P$6:$P$405,1,'Istoric_Nativ'!$D$6:$D$405,"&gt;="&amp;L1012)+COUNTIFS('Istoric_Nativ'!$B$6:$B$405,E1012,'Istoric_Nativ'!$C$6:$C$405,F1012,'Istoric_Nativ'!$F$6:$F$405,G1012,'Istoric_Nativ'!$D$6:$D$405,"&lt;"&amp;J1012,'Istoric_Nativ'!$P$6:$P$405,1,'Istoric_Nativ'!$D$6:$D$405,"&gt;="&amp;L1012))))</x:f>
        <x:v>0</x:v>
      </x:c>
      <x:c r="N1012" s="11" t="str">
        <x:f>IF(M1012=0,"",IF(H1012="HOME",SUMIFS('Istoric_Nativ'!$G$6:$G$405,'Istoric_Nativ'!$B$6:$B$405,E1012,'Istoric_Nativ'!$C$6:$C$405,F1012,'Istoric_Nativ'!$E$6:$E$405,G1012,'Istoric_Nativ'!$D$6:$D$405,"&lt;"&amp;J1012,'Istoric_Nativ'!$P$6:$P$405,1,'Istoric_Nativ'!$D$6:$D$405,"&gt;="&amp;L1012),IF(H1012="AWAY",SUMIFS('Istoric_Nativ'!$H$6:$H$405,'Istoric_Nativ'!$B$6:$B$405,E1012,'Istoric_Nativ'!$C$6:$C$405,F1012,'Istoric_Nativ'!$F$6:$F$405,G1012,'Istoric_Nativ'!$D$6:$D$405,"&lt;"&amp;J1012,'Istoric_Nativ'!$P$6:$P$405,1,'Istoric_Nativ'!$D$6:$D$405,"&gt;="&amp;L1012),SUMIFS('Istoric_Nativ'!$G$6:$G$405,'Istoric_Nativ'!$B$6:$B$405,E1012,'Istoric_Nativ'!$C$6:$C$405,F1012,'Istoric_Nativ'!$E$6:$E$405,G1012,'Istoric_Nativ'!$D$6:$D$405,"&lt;"&amp;J1012,'Istoric_Nativ'!$P$6:$P$405,1,'Istoric_Nativ'!$D$6:$D$405,"&gt;="&amp;L1012)+SUMIFS('Istoric_Nativ'!$H$6:$H$405,'Istoric_Nativ'!$B$6:$B$405,E1012,'Istoric_Nativ'!$C$6:$C$405,F1012,'Istoric_Nativ'!$F$6:$F$405,G1012,'Istoric_Nativ'!$D$6:$D$405,"&lt;"&amp;J1012,'Istoric_Nativ'!$P$6:$P$405,1,'Istoric_Nativ'!$D$6:$D$405,"&gt;="&amp;L1012)))/M1012)</x:f>
      </x:c>
      <x:c r="O1012" s="11" t="str">
        <x:f>IF(M1012=0,"",IF(H1012="HOME",SUMIFS('Istoric_Nativ'!$H$6:$H$405,'Istoric_Nativ'!$B$6:$B$405,E1012,'Istoric_Nativ'!$C$6:$C$405,F1012,'Istoric_Nativ'!$E$6:$E$405,G1012,'Istoric_Nativ'!$D$6:$D$405,"&lt;"&amp;J1012,'Istoric_Nativ'!$P$6:$P$405,1,'Istoric_Nativ'!$D$6:$D$405,"&gt;="&amp;L1012),IF(H1012="AWAY",SUMIFS('Istoric_Nativ'!$G$6:$G$405,'Istoric_Nativ'!$B$6:$B$405,E1012,'Istoric_Nativ'!$C$6:$C$405,F1012,'Istoric_Nativ'!$F$6:$F$405,G1012,'Istoric_Nativ'!$D$6:$D$405,"&lt;"&amp;J1012,'Istoric_Nativ'!$P$6:$P$405,1,'Istoric_Nativ'!$D$6:$D$405,"&gt;="&amp;L1012),SUMIFS('Istoric_Nativ'!$H$6:$H$405,'Istoric_Nativ'!$B$6:$B$405,E1012,'Istoric_Nativ'!$C$6:$C$405,F1012,'Istoric_Nativ'!$E$6:$E$405,G1012,'Istoric_Nativ'!$D$6:$D$405,"&lt;"&amp;J1012,'Istoric_Nativ'!$P$6:$P$405,1,'Istoric_Nativ'!$D$6:$D$405,"&gt;="&amp;L1012)+SUMIFS('Istoric_Nativ'!$G$6:$G$405,'Istoric_Nativ'!$B$6:$B$405,E1012,'Istoric_Nativ'!$C$6:$C$405,F1012,'Istoric_Nativ'!$F$6:$F$405,G1012,'Istoric_Nativ'!$D$6:$D$405,"&lt;"&amp;J1012,'Istoric_Nativ'!$P$6:$P$405,1,'Istoric_Nativ'!$D$6:$D$405,"&gt;="&amp;L1012)))/M1012)</x:f>
      </x:c>
      <x:c r="P1012" s="2" t="n">
        <x:f>'Config_v6'!$B$8</x:f>
        <x:v>5</x:v>
      </x:c>
      <x:c r="Q1012" s="2" t="n">
        <x:f>IF(OR(B1012="",F1012=""),0,IFERROR(MATCH(E1012&amp;"|"&amp;F1012,SourceTable[Source_Key],0),0))</x:f>
        <x:v>0</x:v>
      </x:c>
      <x:c r="R1012" s="2" t="str">
        <x:f>IF(B1012="","",IF(F1012="","UNUSED",IF(Q1012=0,"NOT CHECKED",IF(COUNTIF(SourceTable[Source_Key],E1012&amp;"|"&amp;F1012)&lt;&gt;1,"SOURCE CONFLICT",IF(NOT(OR(INDEX(SourceTable[Status],MAX(1,Q1012))="IMPORTED",INDEX(SourceTable[Status],MAX(1,Q1012))="PARTIAL",INDEX(SourceTable[Status],MAX(1,Q1012))="SOURCE CONFLICT")),"ACCESS BLOCKED",IF(OR(INDEX(SourceTable[Coverage],Q1012)&lt;&gt;"FULL SEASON EXPORT",INDEX(SourceTable[URL],Q1012)="",INDEX(SourceTable[SHA256],Q1012)=""),"EVIDENCE INCOMPLETE",IF(AND('Input_Meci'!H89="LIVE",INDEX(SourceTable[Retrieved_UTC],Q1012)&gt;'Input_Meci'!G89),"POST CUTOFF","CLOSED")))))))</x:f>
      </x:c>
      <x:c r="S1012" s="2" t="n">
        <x:f>IF(OR(B1012="",F1012=""),0,COUNTIFS('Istoric_Nativ'!$B$6:$B$405,E1012,'Istoric_Nativ'!$C$6:$C$405,F1012,'Istoric_Nativ'!$E$6:$E$405,G1012,'Istoric_Nativ'!$D$6:$D$405,"&lt;"&amp;J1012,'Istoric_Nativ'!$O$6:$O$405,"INVALID")+COUNTIFS('Istoric_Nativ'!$B$6:$B$405,E1012,'Istoric_Nativ'!$C$6:$C$405,F1012,'Istoric_Nativ'!$E$6:$E$405,G1012,'Istoric_Nativ'!$O$6:$O$405,"INVALID",'Istoric_Nativ'!$D$6:$D$405,"*")+COUNTIFS('Istoric_Nativ'!$B$6:$B$405,E1012,'Istoric_Nativ'!$C$6:$C$405,F1012,'Istoric_Nativ'!$E$6:$E$405,G1012,'Istoric_Nativ'!$D$6:$D$405,"&lt;"&amp;J1012,'Istoric_Nativ'!$O$6:$O$405,"SOURCE CONFLICT")+COUNTIFS('Istoric_Nativ'!$B$6:$B$405,E1012,'Istoric_Nativ'!$C$6:$C$405,F1012,'Istoric_Nativ'!$F$6:$F$405,G1012,'Istoric_Nativ'!$D$6:$D$405,"&lt;"&amp;J1012,'Istoric_Nativ'!$O$6:$O$405,"INVALID")+COUNTIFS('Istoric_Nativ'!$B$6:$B$405,E1012,'Istoric_Nativ'!$C$6:$C$405,F1012,'Istoric_Nativ'!$F$6:$F$405,G1012,'Istoric_Nativ'!$O$6:$O$405,"INVALID",'Istoric_Nativ'!$D$6:$D$405,"*")+COUNTIFS('Istoric_Nativ'!$B$6:$B$405,E1012,'Istoric_Nativ'!$C$6:$C$405,F1012,'Istoric_Nativ'!$F$6:$F$405,G1012,'Istoric_Nativ'!$D$6:$D$405,"&lt;"&amp;J1012,'Istoric_Nativ'!$O$6:$O$405,"SOURCE CONFLICT"))</x:f>
        <x:v>0</x:v>
      </x:c>
      <x:c r="T1012" s="2" t="str">
        <x:f>IF(B1012="","",IF(R1012&lt;&gt;"CLOSED",R1012,IF(S1012&gt;0,"NATIVE INPUT ISSUE",IF(M1012=0,"NO HISTORY",IF(M1012&lt;P1012,"SMALL SAMPLE","DERIVED")))))</x:f>
      </x:c>
      <x:c r="U1012" s="2" t="str">
        <x:f>IF(B1012="","","NativeTable; "&amp;E1012&amp;"; "&amp;F1012&amp;"; "&amp;G1012&amp;"; "&amp;H1012&amp;"; before "&amp;TEXT(J1012,"yyyy-mm-dd")&amp;IF(I1012="RECENT","; from "&amp;TEXT(L1012,"yyyy-mm-dd"),""))</x:f>
      </x:c>
    </x:row>
    <x:row r="1013" ht="21" customHeight="1">
      <x:c r="A1013" s="2" t="n">
        <x:v>84</x:v>
      </x:c>
      <x:c r="B1013" s="2" t="str">
        <x:f>IF('Input_Meci'!A89="","",'Input_Meci'!A89)</x:f>
      </x:c>
      <x:c r="C1013" s="2" t="str">
        <x:v>A</x:v>
      </x:c>
      <x:c r="D1013" s="2" t="str">
        <x:v>PRIOR</x:v>
      </x:c>
      <x:c r="E1013" s="2" t="str">
        <x:f>IF(B1013="","",'Input_Meci'!B89)</x:f>
      </x:c>
      <x:c r="F1013" s="2" t="str">
        <x:f>IF(B1013="","",IF('Input_Meci'!K89="","",'Input_Meci'!K89))</x:f>
      </x:c>
      <x:c r="G1013" s="2" t="str">
        <x:f>IF(B1013="","",'Input_Meci'!E89)</x:f>
      </x:c>
      <x:c r="H1013" s="2" t="str">
        <x:v>ANY</x:v>
      </x:c>
      <x:c r="I1013" s="2" t="str">
        <x:v>RECENT</x:v>
      </x:c>
      <x:c r="J1013" s="9" t="n">
        <x:f>IF(AND(B1013&lt;&gt;"",ISNUMBER('Input_Meci'!G89)),INT('Input_Meci'!G89),0)</x:f>
        <x:v>0</x:v>
      </x:c>
      <x:c r="K1013" s="2" t="n">
        <x:f>IF(OR(B1013="",F1013=""),0,IF(H1013="HOME",COUNTIFS('Istoric_Nativ'!$B$6:$B$405,E1013,'Istoric_Nativ'!$C$6:$C$405,F1013,'Istoric_Nativ'!$E$6:$E$405,G1013,'Istoric_Nativ'!$D$6:$D$405,"&lt;"&amp;J1013,'Istoric_Nativ'!$P$6:$P$405,1),IF(H1013="AWAY",COUNTIFS('Istoric_Nativ'!$B$6:$B$405,E1013,'Istoric_Nativ'!$C$6:$C$405,F1013,'Istoric_Nativ'!$F$6:$F$405,G1013,'Istoric_Nativ'!$D$6:$D$405,"&lt;"&amp;J1013,'Istoric_Nativ'!$P$6:$P$405,1),COUNTIFS('Istoric_Nativ'!$B$6:$B$405,E1013,'Istoric_Nativ'!$C$6:$C$405,F1013,'Istoric_Nativ'!$E$6:$E$405,G1013,'Istoric_Nativ'!$D$6:$D$405,"&lt;"&amp;J1013,'Istoric_Nativ'!$P$6:$P$405,1)+COUNTIFS('Istoric_Nativ'!$B$6:$B$405,E1013,'Istoric_Nativ'!$C$6:$C$405,F1013,'Istoric_Nativ'!$F$6:$F$405,G1013,'Istoric_Nativ'!$D$6:$D$405,"&lt;"&amp;J1013,'Istoric_Nativ'!$P$6:$P$405,1))))</x:f>
        <x:v>0</x:v>
      </x:c>
      <x:c r="L1013" s="17" t="n">
        <x:f>IF(AND(B1013&lt;&gt;"",I1013="RECENT",K1013&gt;0),LARGE(_xlfn._xlws.FILTER('Istoric_Nativ'!$D$6:$D$405,('Istoric_Nativ'!$B$6:$B$405=E1013)*('Istoric_Nativ'!$C$6:$C$405=F1013)*('Istoric_Nativ'!$P$6:$P$405=1)*('Istoric_Nativ'!$D$6:$D$405&lt;J1013)*((('Istoric_Nativ'!$E$6:$E$405=G1013)+('Istoric_Nativ'!$F$6:$F$405=G1013))&gt;0)),MIN('Config_v6'!$B$54,K1013)),0)</x:f>
        <x:v>0</x:v>
      </x:c>
      <x:c r="M1013" s="2" t="n">
        <x:f>IF(OR(B1013="",F1013=""),0,IF(H1013="HOME",COUNTIFS('Istoric_Nativ'!$B$6:$B$405,E1013,'Istoric_Nativ'!$C$6:$C$405,F1013,'Istoric_Nativ'!$E$6:$E$405,G1013,'Istoric_Nativ'!$D$6:$D$405,"&lt;"&amp;J1013,'Istoric_Nativ'!$P$6:$P$405,1,'Istoric_Nativ'!$D$6:$D$405,"&gt;="&amp;L1013),IF(H1013="AWAY",COUNTIFS('Istoric_Nativ'!$B$6:$B$405,E1013,'Istoric_Nativ'!$C$6:$C$405,F1013,'Istoric_Nativ'!$F$6:$F$405,G1013,'Istoric_Nativ'!$D$6:$D$405,"&lt;"&amp;J1013,'Istoric_Nativ'!$P$6:$P$405,1,'Istoric_Nativ'!$D$6:$D$405,"&gt;="&amp;L1013),COUNTIFS('Istoric_Nativ'!$B$6:$B$405,E1013,'Istoric_Nativ'!$C$6:$C$405,F1013,'Istoric_Nativ'!$E$6:$E$405,G1013,'Istoric_Nativ'!$D$6:$D$405,"&lt;"&amp;J1013,'Istoric_Nativ'!$P$6:$P$405,1,'Istoric_Nativ'!$D$6:$D$405,"&gt;="&amp;L1013)+COUNTIFS('Istoric_Nativ'!$B$6:$B$405,E1013,'Istoric_Nativ'!$C$6:$C$405,F1013,'Istoric_Nativ'!$F$6:$F$405,G1013,'Istoric_Nativ'!$D$6:$D$405,"&lt;"&amp;J1013,'Istoric_Nativ'!$P$6:$P$405,1,'Istoric_Nativ'!$D$6:$D$405,"&gt;="&amp;L1013))))</x:f>
        <x:v>0</x:v>
      </x:c>
      <x:c r="N1013" s="11" t="str">
        <x:f>IF(M1013=0,"",IF(H1013="HOME",SUMIFS('Istoric_Nativ'!$G$6:$G$405,'Istoric_Nativ'!$B$6:$B$405,E1013,'Istoric_Nativ'!$C$6:$C$405,F1013,'Istoric_Nativ'!$E$6:$E$405,G1013,'Istoric_Nativ'!$D$6:$D$405,"&lt;"&amp;J1013,'Istoric_Nativ'!$P$6:$P$405,1,'Istoric_Nativ'!$D$6:$D$405,"&gt;="&amp;L1013),IF(H1013="AWAY",SUMIFS('Istoric_Nativ'!$H$6:$H$405,'Istoric_Nativ'!$B$6:$B$405,E1013,'Istoric_Nativ'!$C$6:$C$405,F1013,'Istoric_Nativ'!$F$6:$F$405,G1013,'Istoric_Nativ'!$D$6:$D$405,"&lt;"&amp;J1013,'Istoric_Nativ'!$P$6:$P$405,1,'Istoric_Nativ'!$D$6:$D$405,"&gt;="&amp;L1013),SUMIFS('Istoric_Nativ'!$G$6:$G$405,'Istoric_Nativ'!$B$6:$B$405,E1013,'Istoric_Nativ'!$C$6:$C$405,F1013,'Istoric_Nativ'!$E$6:$E$405,G1013,'Istoric_Nativ'!$D$6:$D$405,"&lt;"&amp;J1013,'Istoric_Nativ'!$P$6:$P$405,1,'Istoric_Nativ'!$D$6:$D$405,"&gt;="&amp;L1013)+SUMIFS('Istoric_Nativ'!$H$6:$H$405,'Istoric_Nativ'!$B$6:$B$405,E1013,'Istoric_Nativ'!$C$6:$C$405,F1013,'Istoric_Nativ'!$F$6:$F$405,G1013,'Istoric_Nativ'!$D$6:$D$405,"&lt;"&amp;J1013,'Istoric_Nativ'!$P$6:$P$405,1,'Istoric_Nativ'!$D$6:$D$405,"&gt;="&amp;L1013)))/M1013)</x:f>
      </x:c>
      <x:c r="O1013" s="11" t="str">
        <x:f>IF(M1013=0,"",IF(H1013="HOME",SUMIFS('Istoric_Nativ'!$H$6:$H$405,'Istoric_Nativ'!$B$6:$B$405,E1013,'Istoric_Nativ'!$C$6:$C$405,F1013,'Istoric_Nativ'!$E$6:$E$405,G1013,'Istoric_Nativ'!$D$6:$D$405,"&lt;"&amp;J1013,'Istoric_Nativ'!$P$6:$P$405,1,'Istoric_Nativ'!$D$6:$D$405,"&gt;="&amp;L1013),IF(H1013="AWAY",SUMIFS('Istoric_Nativ'!$G$6:$G$405,'Istoric_Nativ'!$B$6:$B$405,E1013,'Istoric_Nativ'!$C$6:$C$405,F1013,'Istoric_Nativ'!$F$6:$F$405,G1013,'Istoric_Nativ'!$D$6:$D$405,"&lt;"&amp;J1013,'Istoric_Nativ'!$P$6:$P$405,1,'Istoric_Nativ'!$D$6:$D$405,"&gt;="&amp;L1013),SUMIFS('Istoric_Nativ'!$H$6:$H$405,'Istoric_Nativ'!$B$6:$B$405,E1013,'Istoric_Nativ'!$C$6:$C$405,F1013,'Istoric_Nativ'!$E$6:$E$405,G1013,'Istoric_Nativ'!$D$6:$D$405,"&lt;"&amp;J1013,'Istoric_Nativ'!$P$6:$P$405,1,'Istoric_Nativ'!$D$6:$D$405,"&gt;="&amp;L1013)+SUMIFS('Istoric_Nativ'!$G$6:$G$405,'Istoric_Nativ'!$B$6:$B$405,E1013,'Istoric_Nativ'!$C$6:$C$405,F1013,'Istoric_Nativ'!$F$6:$F$405,G1013,'Istoric_Nativ'!$D$6:$D$405,"&lt;"&amp;J1013,'Istoric_Nativ'!$P$6:$P$405,1,'Istoric_Nativ'!$D$6:$D$405,"&gt;="&amp;L1013)))/M1013)</x:f>
      </x:c>
      <x:c r="P1013" s="2" t="n">
        <x:f>'Config_v6'!$B$9</x:f>
        <x:v>3</x:v>
      </x:c>
      <x:c r="Q1013" s="2" t="n">
        <x:f>IF(OR(B1013="",F1013=""),0,IFERROR(MATCH(E1013&amp;"|"&amp;F1013,SourceTable[Source_Key],0),0))</x:f>
        <x:v>0</x:v>
      </x:c>
      <x:c r="R1013" s="2" t="str">
        <x:f>IF(B1013="","",IF(F1013="","UNUSED",IF(Q1013=0,"NOT CHECKED",IF(COUNTIF(SourceTable[Source_Key],E1013&amp;"|"&amp;F1013)&lt;&gt;1,"SOURCE CONFLICT",IF(NOT(OR(INDEX(SourceTable[Status],MAX(1,Q1013))="IMPORTED",INDEX(SourceTable[Status],MAX(1,Q1013))="PARTIAL",INDEX(SourceTable[Status],MAX(1,Q1013))="SOURCE CONFLICT")),"ACCESS BLOCKED",IF(OR(INDEX(SourceTable[Coverage],Q1013)&lt;&gt;"FULL SEASON EXPORT",INDEX(SourceTable[URL],Q1013)="",INDEX(SourceTable[SHA256],Q1013)=""),"EVIDENCE INCOMPLETE",IF(AND('Input_Meci'!H89="LIVE",INDEX(SourceTable[Retrieved_UTC],Q1013)&gt;'Input_Meci'!G89),"POST CUTOFF","CLOSED")))))))</x:f>
      </x:c>
      <x:c r="S1013" s="2" t="n">
        <x:f>IF(OR(B1013="",F1013=""),0,COUNTIFS('Istoric_Nativ'!$B$6:$B$405,E1013,'Istoric_Nativ'!$C$6:$C$405,F1013,'Istoric_Nativ'!$E$6:$E$405,G1013,'Istoric_Nativ'!$D$6:$D$405,"&lt;"&amp;J1013,'Istoric_Nativ'!$O$6:$O$405,"INVALID")+COUNTIFS('Istoric_Nativ'!$B$6:$B$405,E1013,'Istoric_Nativ'!$C$6:$C$405,F1013,'Istoric_Nativ'!$E$6:$E$405,G1013,'Istoric_Nativ'!$O$6:$O$405,"INVALID",'Istoric_Nativ'!$D$6:$D$405,"*")+COUNTIFS('Istoric_Nativ'!$B$6:$B$405,E1013,'Istoric_Nativ'!$C$6:$C$405,F1013,'Istoric_Nativ'!$E$6:$E$405,G1013,'Istoric_Nativ'!$D$6:$D$405,"&lt;"&amp;J1013,'Istoric_Nativ'!$O$6:$O$405,"SOURCE CONFLICT")+COUNTIFS('Istoric_Nativ'!$B$6:$B$405,E1013,'Istoric_Nativ'!$C$6:$C$405,F1013,'Istoric_Nativ'!$F$6:$F$405,G1013,'Istoric_Nativ'!$D$6:$D$405,"&lt;"&amp;J1013,'Istoric_Nativ'!$O$6:$O$405,"INVALID")+COUNTIFS('Istoric_Nativ'!$B$6:$B$405,E1013,'Istoric_Nativ'!$C$6:$C$405,F1013,'Istoric_Nativ'!$F$6:$F$405,G1013,'Istoric_Nativ'!$O$6:$O$405,"INVALID",'Istoric_Nativ'!$D$6:$D$405,"*")+COUNTIFS('Istoric_Nativ'!$B$6:$B$405,E1013,'Istoric_Nativ'!$C$6:$C$405,F1013,'Istoric_Nativ'!$F$6:$F$405,G1013,'Istoric_Nativ'!$D$6:$D$405,"&lt;"&amp;J1013,'Istoric_Nativ'!$O$6:$O$405,"SOURCE CONFLICT"))</x:f>
        <x:v>0</x:v>
      </x:c>
      <x:c r="T1013" s="2" t="str">
        <x:f>IF(B1013="","",IF(R1013&lt;&gt;"CLOSED",R1013,IF(S1013&gt;0,"NATIVE INPUT ISSUE",IF(M1013=0,"NO HISTORY",IF(M1013&lt;P1013,"SMALL SAMPLE","DERIVED")))))</x:f>
      </x:c>
      <x:c r="U1013" s="2" t="str">
        <x:f>IF(B1013="","","NativeTable; "&amp;E1013&amp;"; "&amp;F1013&amp;"; "&amp;G1013&amp;"; "&amp;H1013&amp;"; before "&amp;TEXT(J1013,"yyyy-mm-dd")&amp;IF(I1013="RECENT","; from "&amp;TEXT(L1013,"yyyy-mm-dd"),""))</x:f>
      </x:c>
    </x:row>
    <x:row r="1014" ht="21" customHeight="1">
      <x:c r="A1014" s="2" t="n">
        <x:v>85</x:v>
      </x:c>
      <x:c r="B1014" s="2" t="str">
        <x:f>IF('Input_Meci'!A90="","",'Input_Meci'!A90)</x:f>
      </x:c>
      <x:c r="C1014" s="2" t="str">
        <x:v>H</x:v>
      </x:c>
      <x:c r="D1014" s="2" t="str">
        <x:v>CURRENT</x:v>
      </x:c>
      <x:c r="E1014" s="2" t="str">
        <x:f>IF(B1014="","",'Input_Meci'!B90)</x:f>
      </x:c>
      <x:c r="F1014" s="2" t="str">
        <x:f>IF(B1014="","",IF('Input_Meci'!C90="","",'Input_Meci'!C90))</x:f>
      </x:c>
      <x:c r="G1014" s="2" t="str">
        <x:f>IF(B1014="","",'Input_Meci'!D90)</x:f>
      </x:c>
      <x:c r="H1014" s="2" t="str">
        <x:v>ANY</x:v>
      </x:c>
      <x:c r="I1014" s="2" t="str">
        <x:v>SEASON</x:v>
      </x:c>
      <x:c r="J1014" s="9" t="n">
        <x:f>IF(AND(B1014&lt;&gt;"",ISNUMBER('Input_Meci'!G90)),INT('Input_Meci'!G90),0)</x:f>
        <x:v>0</x:v>
      </x:c>
      <x:c r="K1014" s="2" t="n">
        <x:f>IF(OR(B1014="",F1014=""),0,IF(H1014="HOME",COUNTIFS('Istoric_Nativ'!$B$6:$B$405,E1014,'Istoric_Nativ'!$C$6:$C$405,F1014,'Istoric_Nativ'!$E$6:$E$405,G1014,'Istoric_Nativ'!$D$6:$D$405,"&lt;"&amp;J1014,'Istoric_Nativ'!$P$6:$P$405,1),IF(H1014="AWAY",COUNTIFS('Istoric_Nativ'!$B$6:$B$405,E1014,'Istoric_Nativ'!$C$6:$C$405,F1014,'Istoric_Nativ'!$F$6:$F$405,G1014,'Istoric_Nativ'!$D$6:$D$405,"&lt;"&amp;J1014,'Istoric_Nativ'!$P$6:$P$405,1),COUNTIFS('Istoric_Nativ'!$B$6:$B$405,E1014,'Istoric_Nativ'!$C$6:$C$405,F1014,'Istoric_Nativ'!$E$6:$E$405,G1014,'Istoric_Nativ'!$D$6:$D$405,"&lt;"&amp;J1014,'Istoric_Nativ'!$P$6:$P$405,1)+COUNTIFS('Istoric_Nativ'!$B$6:$B$405,E1014,'Istoric_Nativ'!$C$6:$C$405,F1014,'Istoric_Nativ'!$F$6:$F$405,G1014,'Istoric_Nativ'!$D$6:$D$405,"&lt;"&amp;J1014,'Istoric_Nativ'!$P$6:$P$405,1))))</x:f>
        <x:v>0</x:v>
      </x:c>
      <x:c r="L1014" s="17" t="n">
        <x:f>IF(AND(B1014&lt;&gt;"",I1014="RECENT",K1014&gt;0),LARGE(_xlfn._xlws.FILTER('Istoric_Nativ'!$D$6:$D$405,('Istoric_Nativ'!$B$6:$B$405=E1014)*('Istoric_Nativ'!$C$6:$C$405=F1014)*('Istoric_Nativ'!$P$6:$P$405=1)*('Istoric_Nativ'!$D$6:$D$405&lt;J1014)*((('Istoric_Nativ'!$E$6:$E$405=G1014)+('Istoric_Nativ'!$F$6:$F$405=G1014))&gt;0)),MIN('Config_v6'!$B$54,K1014)),0)</x:f>
        <x:v>0</x:v>
      </x:c>
      <x:c r="M1014" s="2" t="n">
        <x:f>IF(OR(B1014="",F1014=""),0,IF(H1014="HOME",COUNTIFS('Istoric_Nativ'!$B$6:$B$405,E1014,'Istoric_Nativ'!$C$6:$C$405,F1014,'Istoric_Nativ'!$E$6:$E$405,G1014,'Istoric_Nativ'!$D$6:$D$405,"&lt;"&amp;J1014,'Istoric_Nativ'!$P$6:$P$405,1,'Istoric_Nativ'!$D$6:$D$405,"&gt;="&amp;L1014),IF(H1014="AWAY",COUNTIFS('Istoric_Nativ'!$B$6:$B$405,E1014,'Istoric_Nativ'!$C$6:$C$405,F1014,'Istoric_Nativ'!$F$6:$F$405,G1014,'Istoric_Nativ'!$D$6:$D$405,"&lt;"&amp;J1014,'Istoric_Nativ'!$P$6:$P$405,1,'Istoric_Nativ'!$D$6:$D$405,"&gt;="&amp;L1014),COUNTIFS('Istoric_Nativ'!$B$6:$B$405,E1014,'Istoric_Nativ'!$C$6:$C$405,F1014,'Istoric_Nativ'!$E$6:$E$405,G1014,'Istoric_Nativ'!$D$6:$D$405,"&lt;"&amp;J1014,'Istoric_Nativ'!$P$6:$P$405,1,'Istoric_Nativ'!$D$6:$D$405,"&gt;="&amp;L1014)+COUNTIFS('Istoric_Nativ'!$B$6:$B$405,E1014,'Istoric_Nativ'!$C$6:$C$405,F1014,'Istoric_Nativ'!$F$6:$F$405,G1014,'Istoric_Nativ'!$D$6:$D$405,"&lt;"&amp;J1014,'Istoric_Nativ'!$P$6:$P$405,1,'Istoric_Nativ'!$D$6:$D$405,"&gt;="&amp;L1014))))</x:f>
        <x:v>0</x:v>
      </x:c>
      <x:c r="N1014" s="11" t="str">
        <x:f>IF(M1014=0,"",IF(H1014="HOME",SUMIFS('Istoric_Nativ'!$G$6:$G$405,'Istoric_Nativ'!$B$6:$B$405,E1014,'Istoric_Nativ'!$C$6:$C$405,F1014,'Istoric_Nativ'!$E$6:$E$405,G1014,'Istoric_Nativ'!$D$6:$D$405,"&lt;"&amp;J1014,'Istoric_Nativ'!$P$6:$P$405,1,'Istoric_Nativ'!$D$6:$D$405,"&gt;="&amp;L1014),IF(H1014="AWAY",SUMIFS('Istoric_Nativ'!$H$6:$H$405,'Istoric_Nativ'!$B$6:$B$405,E1014,'Istoric_Nativ'!$C$6:$C$405,F1014,'Istoric_Nativ'!$F$6:$F$405,G1014,'Istoric_Nativ'!$D$6:$D$405,"&lt;"&amp;J1014,'Istoric_Nativ'!$P$6:$P$405,1,'Istoric_Nativ'!$D$6:$D$405,"&gt;="&amp;L1014),SUMIFS('Istoric_Nativ'!$G$6:$G$405,'Istoric_Nativ'!$B$6:$B$405,E1014,'Istoric_Nativ'!$C$6:$C$405,F1014,'Istoric_Nativ'!$E$6:$E$405,G1014,'Istoric_Nativ'!$D$6:$D$405,"&lt;"&amp;J1014,'Istoric_Nativ'!$P$6:$P$405,1,'Istoric_Nativ'!$D$6:$D$405,"&gt;="&amp;L1014)+SUMIFS('Istoric_Nativ'!$H$6:$H$405,'Istoric_Nativ'!$B$6:$B$405,E1014,'Istoric_Nativ'!$C$6:$C$405,F1014,'Istoric_Nativ'!$F$6:$F$405,G1014,'Istoric_Nativ'!$D$6:$D$405,"&lt;"&amp;J1014,'Istoric_Nativ'!$P$6:$P$405,1,'Istoric_Nativ'!$D$6:$D$405,"&gt;="&amp;L1014)))/M1014)</x:f>
      </x:c>
      <x:c r="O1014" s="11" t="str">
        <x:f>IF(M1014=0,"",IF(H1014="HOME",SUMIFS('Istoric_Nativ'!$H$6:$H$405,'Istoric_Nativ'!$B$6:$B$405,E1014,'Istoric_Nativ'!$C$6:$C$405,F1014,'Istoric_Nativ'!$E$6:$E$405,G1014,'Istoric_Nativ'!$D$6:$D$405,"&lt;"&amp;J1014,'Istoric_Nativ'!$P$6:$P$405,1,'Istoric_Nativ'!$D$6:$D$405,"&gt;="&amp;L1014),IF(H1014="AWAY",SUMIFS('Istoric_Nativ'!$G$6:$G$405,'Istoric_Nativ'!$B$6:$B$405,E1014,'Istoric_Nativ'!$C$6:$C$405,F1014,'Istoric_Nativ'!$F$6:$F$405,G1014,'Istoric_Nativ'!$D$6:$D$405,"&lt;"&amp;J1014,'Istoric_Nativ'!$P$6:$P$405,1,'Istoric_Nativ'!$D$6:$D$405,"&gt;="&amp;L1014),SUMIFS('Istoric_Nativ'!$H$6:$H$405,'Istoric_Nativ'!$B$6:$B$405,E1014,'Istoric_Nativ'!$C$6:$C$405,F1014,'Istoric_Nativ'!$E$6:$E$405,G1014,'Istoric_Nativ'!$D$6:$D$405,"&lt;"&amp;J1014,'Istoric_Nativ'!$P$6:$P$405,1,'Istoric_Nativ'!$D$6:$D$405,"&gt;="&amp;L1014)+SUMIFS('Istoric_Nativ'!$G$6:$G$405,'Istoric_Nativ'!$B$6:$B$405,E1014,'Istoric_Nativ'!$C$6:$C$405,F1014,'Istoric_Nativ'!$F$6:$F$405,G1014,'Istoric_Nativ'!$D$6:$D$405,"&lt;"&amp;J1014,'Istoric_Nativ'!$P$6:$P$405,1,'Istoric_Nativ'!$D$6:$D$405,"&gt;="&amp;L1014)))/M1014)</x:f>
      </x:c>
      <x:c r="P1014" s="2" t="n">
        <x:f>'Config_v6'!$B$7</x:f>
        <x:v>10</x:v>
      </x:c>
      <x:c r="Q1014" s="2" t="n">
        <x:f>IF(OR(B1014="",F1014=""),0,IFERROR(MATCH(E1014&amp;"|"&amp;F1014,SourceTable[Source_Key],0),0))</x:f>
        <x:v>0</x:v>
      </x:c>
      <x:c r="R1014" s="2" t="str">
        <x:f>IF(B1014="","",IF(F1014="","UNUSED",IF(Q1014=0,"NOT CHECKED",IF(COUNTIF(SourceTable[Source_Key],E1014&amp;"|"&amp;F1014)&lt;&gt;1,"SOURCE CONFLICT",IF(NOT(OR(INDEX(SourceTable[Status],MAX(1,Q1014))="IMPORTED",INDEX(SourceTable[Status],MAX(1,Q1014))="PARTIAL",INDEX(SourceTable[Status],MAX(1,Q1014))="SOURCE CONFLICT")),"ACCESS BLOCKED",IF(OR(INDEX(SourceTable[Coverage],Q1014)&lt;&gt;"FULL SEASON EXPORT",INDEX(SourceTable[URL],Q1014)="",INDEX(SourceTable[SHA256],Q1014)=""),"EVIDENCE INCOMPLETE",IF(AND('Input_Meci'!H90="LIVE",INDEX(SourceTable[Retrieved_UTC],Q1014)&gt;'Input_Meci'!G90),"POST CUTOFF","CLOSED")))))))</x:f>
      </x:c>
      <x:c r="S1014" s="2" t="n">
        <x:f>IF(OR(B1014="",F1014=""),0,COUNTIFS('Istoric_Nativ'!$B$6:$B$405,E1014,'Istoric_Nativ'!$C$6:$C$405,F1014,'Istoric_Nativ'!$E$6:$E$405,G1014,'Istoric_Nativ'!$D$6:$D$405,"&lt;"&amp;J1014,'Istoric_Nativ'!$O$6:$O$405,"INVALID")+COUNTIFS('Istoric_Nativ'!$B$6:$B$405,E1014,'Istoric_Nativ'!$C$6:$C$405,F1014,'Istoric_Nativ'!$E$6:$E$405,G1014,'Istoric_Nativ'!$O$6:$O$405,"INVALID",'Istoric_Nativ'!$D$6:$D$405,"*")+COUNTIFS('Istoric_Nativ'!$B$6:$B$405,E1014,'Istoric_Nativ'!$C$6:$C$405,F1014,'Istoric_Nativ'!$E$6:$E$405,G1014,'Istoric_Nativ'!$D$6:$D$405,"&lt;"&amp;J1014,'Istoric_Nativ'!$O$6:$O$405,"SOURCE CONFLICT")+COUNTIFS('Istoric_Nativ'!$B$6:$B$405,E1014,'Istoric_Nativ'!$C$6:$C$405,F1014,'Istoric_Nativ'!$F$6:$F$405,G1014,'Istoric_Nativ'!$D$6:$D$405,"&lt;"&amp;J1014,'Istoric_Nativ'!$O$6:$O$405,"INVALID")+COUNTIFS('Istoric_Nativ'!$B$6:$B$405,E1014,'Istoric_Nativ'!$C$6:$C$405,F1014,'Istoric_Nativ'!$F$6:$F$405,G1014,'Istoric_Nativ'!$O$6:$O$405,"INVALID",'Istoric_Nativ'!$D$6:$D$405,"*")+COUNTIFS('Istoric_Nativ'!$B$6:$B$405,E1014,'Istoric_Nativ'!$C$6:$C$405,F1014,'Istoric_Nativ'!$F$6:$F$405,G1014,'Istoric_Nativ'!$D$6:$D$405,"&lt;"&amp;J1014,'Istoric_Nativ'!$O$6:$O$405,"SOURCE CONFLICT"))</x:f>
        <x:v>0</x:v>
      </x:c>
      <x:c r="T1014" s="2" t="str">
        <x:f>IF(B1014="","",IF(R1014&lt;&gt;"CLOSED",R1014,IF(S1014&gt;0,"NATIVE INPUT ISSUE",IF(M1014=0,"NO HISTORY",IF(M1014&lt;P1014,"SMALL SAMPLE","DERIVED")))))</x:f>
      </x:c>
      <x:c r="U1014" s="2" t="str">
        <x:f>IF(B1014="","","NativeTable; "&amp;E1014&amp;"; "&amp;F1014&amp;"; "&amp;G1014&amp;"; "&amp;H1014&amp;"; before "&amp;TEXT(J1014,"yyyy-mm-dd")&amp;IF(I1014="RECENT","; from "&amp;TEXT(L1014,"yyyy-mm-dd"),""))</x:f>
      </x:c>
    </x:row>
    <x:row r="1015" ht="21" customHeight="1">
      <x:c r="A1015" s="2" t="n">
        <x:v>85</x:v>
      </x:c>
      <x:c r="B1015" s="2" t="str">
        <x:f>IF('Input_Meci'!A90="","",'Input_Meci'!A90)</x:f>
      </x:c>
      <x:c r="C1015" s="2" t="str">
        <x:v>H</x:v>
      </x:c>
      <x:c r="D1015" s="2" t="str">
        <x:v>CURRENT</x:v>
      </x:c>
      <x:c r="E1015" s="2" t="str">
        <x:f>IF(B1015="","",'Input_Meci'!B90)</x:f>
      </x:c>
      <x:c r="F1015" s="2" t="str">
        <x:f>IF(B1015="","",IF('Input_Meci'!C90="","",'Input_Meci'!C90))</x:f>
      </x:c>
      <x:c r="G1015" s="2" t="str">
        <x:f>IF(B1015="","",'Input_Meci'!D90)</x:f>
      </x:c>
      <x:c r="H1015" s="2" t="str">
        <x:v>HOME</x:v>
      </x:c>
      <x:c r="I1015" s="2" t="str">
        <x:v>HA</x:v>
      </x:c>
      <x:c r="J1015" s="9" t="n">
        <x:f>IF(AND(B1015&lt;&gt;"",ISNUMBER('Input_Meci'!G90)),INT('Input_Meci'!G90),0)</x:f>
        <x:v>0</x:v>
      </x:c>
      <x:c r="K1015" s="2" t="n">
        <x:f>IF(OR(B1015="",F1015=""),0,IF(H1015="HOME",COUNTIFS('Istoric_Nativ'!$B$6:$B$405,E1015,'Istoric_Nativ'!$C$6:$C$405,F1015,'Istoric_Nativ'!$E$6:$E$405,G1015,'Istoric_Nativ'!$D$6:$D$405,"&lt;"&amp;J1015,'Istoric_Nativ'!$P$6:$P$405,1),IF(H1015="AWAY",COUNTIFS('Istoric_Nativ'!$B$6:$B$405,E1015,'Istoric_Nativ'!$C$6:$C$405,F1015,'Istoric_Nativ'!$F$6:$F$405,G1015,'Istoric_Nativ'!$D$6:$D$405,"&lt;"&amp;J1015,'Istoric_Nativ'!$P$6:$P$405,1),COUNTIFS('Istoric_Nativ'!$B$6:$B$405,E1015,'Istoric_Nativ'!$C$6:$C$405,F1015,'Istoric_Nativ'!$E$6:$E$405,G1015,'Istoric_Nativ'!$D$6:$D$405,"&lt;"&amp;J1015,'Istoric_Nativ'!$P$6:$P$405,1)+COUNTIFS('Istoric_Nativ'!$B$6:$B$405,E1015,'Istoric_Nativ'!$C$6:$C$405,F1015,'Istoric_Nativ'!$F$6:$F$405,G1015,'Istoric_Nativ'!$D$6:$D$405,"&lt;"&amp;J1015,'Istoric_Nativ'!$P$6:$P$405,1))))</x:f>
        <x:v>0</x:v>
      </x:c>
      <x:c r="L1015" s="17" t="n">
        <x:f>IF(AND(B1015&lt;&gt;"",I1015="RECENT",K1015&gt;0),LARGE(_xlfn._xlws.FILTER('Istoric_Nativ'!$D$6:$D$405,('Istoric_Nativ'!$B$6:$B$405=E1015)*('Istoric_Nativ'!$C$6:$C$405=F1015)*('Istoric_Nativ'!$P$6:$P$405=1)*('Istoric_Nativ'!$D$6:$D$405&lt;J1015)*((('Istoric_Nativ'!$E$6:$E$405=G1015)+('Istoric_Nativ'!$F$6:$F$405=G1015))&gt;0)),MIN('Config_v6'!$B$54,K1015)),0)</x:f>
        <x:v>0</x:v>
      </x:c>
      <x:c r="M1015" s="2" t="n">
        <x:f>IF(OR(B1015="",F1015=""),0,IF(H1015="HOME",COUNTIFS('Istoric_Nativ'!$B$6:$B$405,E1015,'Istoric_Nativ'!$C$6:$C$405,F1015,'Istoric_Nativ'!$E$6:$E$405,G1015,'Istoric_Nativ'!$D$6:$D$405,"&lt;"&amp;J1015,'Istoric_Nativ'!$P$6:$P$405,1,'Istoric_Nativ'!$D$6:$D$405,"&gt;="&amp;L1015),IF(H1015="AWAY",COUNTIFS('Istoric_Nativ'!$B$6:$B$405,E1015,'Istoric_Nativ'!$C$6:$C$405,F1015,'Istoric_Nativ'!$F$6:$F$405,G1015,'Istoric_Nativ'!$D$6:$D$405,"&lt;"&amp;J1015,'Istoric_Nativ'!$P$6:$P$405,1,'Istoric_Nativ'!$D$6:$D$405,"&gt;="&amp;L1015),COUNTIFS('Istoric_Nativ'!$B$6:$B$405,E1015,'Istoric_Nativ'!$C$6:$C$405,F1015,'Istoric_Nativ'!$E$6:$E$405,G1015,'Istoric_Nativ'!$D$6:$D$405,"&lt;"&amp;J1015,'Istoric_Nativ'!$P$6:$P$405,1,'Istoric_Nativ'!$D$6:$D$405,"&gt;="&amp;L1015)+COUNTIFS('Istoric_Nativ'!$B$6:$B$405,E1015,'Istoric_Nativ'!$C$6:$C$405,F1015,'Istoric_Nativ'!$F$6:$F$405,G1015,'Istoric_Nativ'!$D$6:$D$405,"&lt;"&amp;J1015,'Istoric_Nativ'!$P$6:$P$405,1,'Istoric_Nativ'!$D$6:$D$405,"&gt;="&amp;L1015))))</x:f>
        <x:v>0</x:v>
      </x:c>
      <x:c r="N1015" s="11" t="str">
        <x:f>IF(M1015=0,"",IF(H1015="HOME",SUMIFS('Istoric_Nativ'!$G$6:$G$405,'Istoric_Nativ'!$B$6:$B$405,E1015,'Istoric_Nativ'!$C$6:$C$405,F1015,'Istoric_Nativ'!$E$6:$E$405,G1015,'Istoric_Nativ'!$D$6:$D$405,"&lt;"&amp;J1015,'Istoric_Nativ'!$P$6:$P$405,1,'Istoric_Nativ'!$D$6:$D$405,"&gt;="&amp;L1015),IF(H1015="AWAY",SUMIFS('Istoric_Nativ'!$H$6:$H$405,'Istoric_Nativ'!$B$6:$B$405,E1015,'Istoric_Nativ'!$C$6:$C$405,F1015,'Istoric_Nativ'!$F$6:$F$405,G1015,'Istoric_Nativ'!$D$6:$D$405,"&lt;"&amp;J1015,'Istoric_Nativ'!$P$6:$P$405,1,'Istoric_Nativ'!$D$6:$D$405,"&gt;="&amp;L1015),SUMIFS('Istoric_Nativ'!$G$6:$G$405,'Istoric_Nativ'!$B$6:$B$405,E1015,'Istoric_Nativ'!$C$6:$C$405,F1015,'Istoric_Nativ'!$E$6:$E$405,G1015,'Istoric_Nativ'!$D$6:$D$405,"&lt;"&amp;J1015,'Istoric_Nativ'!$P$6:$P$405,1,'Istoric_Nativ'!$D$6:$D$405,"&gt;="&amp;L1015)+SUMIFS('Istoric_Nativ'!$H$6:$H$405,'Istoric_Nativ'!$B$6:$B$405,E1015,'Istoric_Nativ'!$C$6:$C$405,F1015,'Istoric_Nativ'!$F$6:$F$405,G1015,'Istoric_Nativ'!$D$6:$D$405,"&lt;"&amp;J1015,'Istoric_Nativ'!$P$6:$P$405,1,'Istoric_Nativ'!$D$6:$D$405,"&gt;="&amp;L1015)))/M1015)</x:f>
      </x:c>
      <x:c r="O1015" s="11" t="str">
        <x:f>IF(M1015=0,"",IF(H1015="HOME",SUMIFS('Istoric_Nativ'!$H$6:$H$405,'Istoric_Nativ'!$B$6:$B$405,E1015,'Istoric_Nativ'!$C$6:$C$405,F1015,'Istoric_Nativ'!$E$6:$E$405,G1015,'Istoric_Nativ'!$D$6:$D$405,"&lt;"&amp;J1015,'Istoric_Nativ'!$P$6:$P$405,1,'Istoric_Nativ'!$D$6:$D$405,"&gt;="&amp;L1015),IF(H1015="AWAY",SUMIFS('Istoric_Nativ'!$G$6:$G$405,'Istoric_Nativ'!$B$6:$B$405,E1015,'Istoric_Nativ'!$C$6:$C$405,F1015,'Istoric_Nativ'!$F$6:$F$405,G1015,'Istoric_Nativ'!$D$6:$D$405,"&lt;"&amp;J1015,'Istoric_Nativ'!$P$6:$P$405,1,'Istoric_Nativ'!$D$6:$D$405,"&gt;="&amp;L1015),SUMIFS('Istoric_Nativ'!$H$6:$H$405,'Istoric_Nativ'!$B$6:$B$405,E1015,'Istoric_Nativ'!$C$6:$C$405,F1015,'Istoric_Nativ'!$E$6:$E$405,G1015,'Istoric_Nativ'!$D$6:$D$405,"&lt;"&amp;J1015,'Istoric_Nativ'!$P$6:$P$405,1,'Istoric_Nativ'!$D$6:$D$405,"&gt;="&amp;L1015)+SUMIFS('Istoric_Nativ'!$G$6:$G$405,'Istoric_Nativ'!$B$6:$B$405,E1015,'Istoric_Nativ'!$C$6:$C$405,F1015,'Istoric_Nativ'!$F$6:$F$405,G1015,'Istoric_Nativ'!$D$6:$D$405,"&lt;"&amp;J1015,'Istoric_Nativ'!$P$6:$P$405,1,'Istoric_Nativ'!$D$6:$D$405,"&gt;="&amp;L1015)))/M1015)</x:f>
      </x:c>
      <x:c r="P1015" s="2" t="n">
        <x:f>'Config_v6'!$B$8</x:f>
        <x:v>5</x:v>
      </x:c>
      <x:c r="Q1015" s="2" t="n">
        <x:f>IF(OR(B1015="",F1015=""),0,IFERROR(MATCH(E1015&amp;"|"&amp;F1015,SourceTable[Source_Key],0),0))</x:f>
        <x:v>0</x:v>
      </x:c>
      <x:c r="R1015" s="2" t="str">
        <x:f>IF(B1015="","",IF(F1015="","UNUSED",IF(Q1015=0,"NOT CHECKED",IF(COUNTIF(SourceTable[Source_Key],E1015&amp;"|"&amp;F1015)&lt;&gt;1,"SOURCE CONFLICT",IF(NOT(OR(INDEX(SourceTable[Status],MAX(1,Q1015))="IMPORTED",INDEX(SourceTable[Status],MAX(1,Q1015))="PARTIAL",INDEX(SourceTable[Status],MAX(1,Q1015))="SOURCE CONFLICT")),"ACCESS BLOCKED",IF(OR(INDEX(SourceTable[Coverage],Q1015)&lt;&gt;"FULL SEASON EXPORT",INDEX(SourceTable[URL],Q1015)="",INDEX(SourceTable[SHA256],Q1015)=""),"EVIDENCE INCOMPLETE",IF(AND('Input_Meci'!H90="LIVE",INDEX(SourceTable[Retrieved_UTC],Q1015)&gt;'Input_Meci'!G90),"POST CUTOFF","CLOSED")))))))</x:f>
      </x:c>
      <x:c r="S1015" s="2" t="n">
        <x:f>IF(OR(B1015="",F1015=""),0,COUNTIFS('Istoric_Nativ'!$B$6:$B$405,E1015,'Istoric_Nativ'!$C$6:$C$405,F1015,'Istoric_Nativ'!$E$6:$E$405,G1015,'Istoric_Nativ'!$D$6:$D$405,"&lt;"&amp;J1015,'Istoric_Nativ'!$O$6:$O$405,"INVALID")+COUNTIFS('Istoric_Nativ'!$B$6:$B$405,E1015,'Istoric_Nativ'!$C$6:$C$405,F1015,'Istoric_Nativ'!$E$6:$E$405,G1015,'Istoric_Nativ'!$O$6:$O$405,"INVALID",'Istoric_Nativ'!$D$6:$D$405,"*")+COUNTIFS('Istoric_Nativ'!$B$6:$B$405,E1015,'Istoric_Nativ'!$C$6:$C$405,F1015,'Istoric_Nativ'!$E$6:$E$405,G1015,'Istoric_Nativ'!$D$6:$D$405,"&lt;"&amp;J1015,'Istoric_Nativ'!$O$6:$O$405,"SOURCE CONFLICT")+COUNTIFS('Istoric_Nativ'!$B$6:$B$405,E1015,'Istoric_Nativ'!$C$6:$C$405,F1015,'Istoric_Nativ'!$F$6:$F$405,G1015,'Istoric_Nativ'!$D$6:$D$405,"&lt;"&amp;J1015,'Istoric_Nativ'!$O$6:$O$405,"INVALID")+COUNTIFS('Istoric_Nativ'!$B$6:$B$405,E1015,'Istoric_Nativ'!$C$6:$C$405,F1015,'Istoric_Nativ'!$F$6:$F$405,G1015,'Istoric_Nativ'!$O$6:$O$405,"INVALID",'Istoric_Nativ'!$D$6:$D$405,"*")+COUNTIFS('Istoric_Nativ'!$B$6:$B$405,E1015,'Istoric_Nativ'!$C$6:$C$405,F1015,'Istoric_Nativ'!$F$6:$F$405,G1015,'Istoric_Nativ'!$D$6:$D$405,"&lt;"&amp;J1015,'Istoric_Nativ'!$O$6:$O$405,"SOURCE CONFLICT"))</x:f>
        <x:v>0</x:v>
      </x:c>
      <x:c r="T1015" s="2" t="str">
        <x:f>IF(B1015="","",IF(R1015&lt;&gt;"CLOSED",R1015,IF(S1015&gt;0,"NATIVE INPUT ISSUE",IF(M1015=0,"NO HISTORY",IF(M1015&lt;P1015,"SMALL SAMPLE","DERIVED")))))</x:f>
      </x:c>
      <x:c r="U1015" s="2" t="str">
        <x:f>IF(B1015="","","NativeTable; "&amp;E1015&amp;"; "&amp;F1015&amp;"; "&amp;G1015&amp;"; "&amp;H1015&amp;"; before "&amp;TEXT(J1015,"yyyy-mm-dd")&amp;IF(I1015="RECENT","; from "&amp;TEXT(L1015,"yyyy-mm-dd"),""))</x:f>
      </x:c>
    </x:row>
    <x:row r="1016" ht="21" customHeight="1">
      <x:c r="A1016" s="2" t="n">
        <x:v>85</x:v>
      </x:c>
      <x:c r="B1016" s="2" t="str">
        <x:f>IF('Input_Meci'!A90="","",'Input_Meci'!A90)</x:f>
      </x:c>
      <x:c r="C1016" s="2" t="str">
        <x:v>H</x:v>
      </x:c>
      <x:c r="D1016" s="2" t="str">
        <x:v>CURRENT</x:v>
      </x:c>
      <x:c r="E1016" s="2" t="str">
        <x:f>IF(B1016="","",'Input_Meci'!B90)</x:f>
      </x:c>
      <x:c r="F1016" s="2" t="str">
        <x:f>IF(B1016="","",IF('Input_Meci'!C90="","",'Input_Meci'!C90))</x:f>
      </x:c>
      <x:c r="G1016" s="2" t="str">
        <x:f>IF(B1016="","",'Input_Meci'!D90)</x:f>
      </x:c>
      <x:c r="H1016" s="2" t="str">
        <x:v>ANY</x:v>
      </x:c>
      <x:c r="I1016" s="2" t="str">
        <x:v>RECENT</x:v>
      </x:c>
      <x:c r="J1016" s="9" t="n">
        <x:f>IF(AND(B1016&lt;&gt;"",ISNUMBER('Input_Meci'!G90)),INT('Input_Meci'!G90),0)</x:f>
        <x:v>0</x:v>
      </x:c>
      <x:c r="K1016" s="2" t="n">
        <x:f>IF(OR(B1016="",F1016=""),0,IF(H1016="HOME",COUNTIFS('Istoric_Nativ'!$B$6:$B$405,E1016,'Istoric_Nativ'!$C$6:$C$405,F1016,'Istoric_Nativ'!$E$6:$E$405,G1016,'Istoric_Nativ'!$D$6:$D$405,"&lt;"&amp;J1016,'Istoric_Nativ'!$P$6:$P$405,1),IF(H1016="AWAY",COUNTIFS('Istoric_Nativ'!$B$6:$B$405,E1016,'Istoric_Nativ'!$C$6:$C$405,F1016,'Istoric_Nativ'!$F$6:$F$405,G1016,'Istoric_Nativ'!$D$6:$D$405,"&lt;"&amp;J1016,'Istoric_Nativ'!$P$6:$P$405,1),COUNTIFS('Istoric_Nativ'!$B$6:$B$405,E1016,'Istoric_Nativ'!$C$6:$C$405,F1016,'Istoric_Nativ'!$E$6:$E$405,G1016,'Istoric_Nativ'!$D$6:$D$405,"&lt;"&amp;J1016,'Istoric_Nativ'!$P$6:$P$405,1)+COUNTIFS('Istoric_Nativ'!$B$6:$B$405,E1016,'Istoric_Nativ'!$C$6:$C$405,F1016,'Istoric_Nativ'!$F$6:$F$405,G1016,'Istoric_Nativ'!$D$6:$D$405,"&lt;"&amp;J1016,'Istoric_Nativ'!$P$6:$P$405,1))))</x:f>
        <x:v>0</x:v>
      </x:c>
      <x:c r="L1016" s="17" t="n">
        <x:f>IF(AND(B1016&lt;&gt;"",I1016="RECENT",K1016&gt;0),LARGE(_xlfn._xlws.FILTER('Istoric_Nativ'!$D$6:$D$405,('Istoric_Nativ'!$B$6:$B$405=E1016)*('Istoric_Nativ'!$C$6:$C$405=F1016)*('Istoric_Nativ'!$P$6:$P$405=1)*('Istoric_Nativ'!$D$6:$D$405&lt;J1016)*((('Istoric_Nativ'!$E$6:$E$405=G1016)+('Istoric_Nativ'!$F$6:$F$405=G1016))&gt;0)),MIN('Config_v6'!$B$54,K1016)),0)</x:f>
        <x:v>0</x:v>
      </x:c>
      <x:c r="M1016" s="2" t="n">
        <x:f>IF(OR(B1016="",F1016=""),0,IF(H1016="HOME",COUNTIFS('Istoric_Nativ'!$B$6:$B$405,E1016,'Istoric_Nativ'!$C$6:$C$405,F1016,'Istoric_Nativ'!$E$6:$E$405,G1016,'Istoric_Nativ'!$D$6:$D$405,"&lt;"&amp;J1016,'Istoric_Nativ'!$P$6:$P$405,1,'Istoric_Nativ'!$D$6:$D$405,"&gt;="&amp;L1016),IF(H1016="AWAY",COUNTIFS('Istoric_Nativ'!$B$6:$B$405,E1016,'Istoric_Nativ'!$C$6:$C$405,F1016,'Istoric_Nativ'!$F$6:$F$405,G1016,'Istoric_Nativ'!$D$6:$D$405,"&lt;"&amp;J1016,'Istoric_Nativ'!$P$6:$P$405,1,'Istoric_Nativ'!$D$6:$D$405,"&gt;="&amp;L1016),COUNTIFS('Istoric_Nativ'!$B$6:$B$405,E1016,'Istoric_Nativ'!$C$6:$C$405,F1016,'Istoric_Nativ'!$E$6:$E$405,G1016,'Istoric_Nativ'!$D$6:$D$405,"&lt;"&amp;J1016,'Istoric_Nativ'!$P$6:$P$405,1,'Istoric_Nativ'!$D$6:$D$405,"&gt;="&amp;L1016)+COUNTIFS('Istoric_Nativ'!$B$6:$B$405,E1016,'Istoric_Nativ'!$C$6:$C$405,F1016,'Istoric_Nativ'!$F$6:$F$405,G1016,'Istoric_Nativ'!$D$6:$D$405,"&lt;"&amp;J1016,'Istoric_Nativ'!$P$6:$P$405,1,'Istoric_Nativ'!$D$6:$D$405,"&gt;="&amp;L1016))))</x:f>
        <x:v>0</x:v>
      </x:c>
      <x:c r="N1016" s="11" t="str">
        <x:f>IF(M1016=0,"",IF(H1016="HOME",SUMIFS('Istoric_Nativ'!$G$6:$G$405,'Istoric_Nativ'!$B$6:$B$405,E1016,'Istoric_Nativ'!$C$6:$C$405,F1016,'Istoric_Nativ'!$E$6:$E$405,G1016,'Istoric_Nativ'!$D$6:$D$405,"&lt;"&amp;J1016,'Istoric_Nativ'!$P$6:$P$405,1,'Istoric_Nativ'!$D$6:$D$405,"&gt;="&amp;L1016),IF(H1016="AWAY",SUMIFS('Istoric_Nativ'!$H$6:$H$405,'Istoric_Nativ'!$B$6:$B$405,E1016,'Istoric_Nativ'!$C$6:$C$405,F1016,'Istoric_Nativ'!$F$6:$F$405,G1016,'Istoric_Nativ'!$D$6:$D$405,"&lt;"&amp;J1016,'Istoric_Nativ'!$P$6:$P$405,1,'Istoric_Nativ'!$D$6:$D$405,"&gt;="&amp;L1016),SUMIFS('Istoric_Nativ'!$G$6:$G$405,'Istoric_Nativ'!$B$6:$B$405,E1016,'Istoric_Nativ'!$C$6:$C$405,F1016,'Istoric_Nativ'!$E$6:$E$405,G1016,'Istoric_Nativ'!$D$6:$D$405,"&lt;"&amp;J1016,'Istoric_Nativ'!$P$6:$P$405,1,'Istoric_Nativ'!$D$6:$D$405,"&gt;="&amp;L1016)+SUMIFS('Istoric_Nativ'!$H$6:$H$405,'Istoric_Nativ'!$B$6:$B$405,E1016,'Istoric_Nativ'!$C$6:$C$405,F1016,'Istoric_Nativ'!$F$6:$F$405,G1016,'Istoric_Nativ'!$D$6:$D$405,"&lt;"&amp;J1016,'Istoric_Nativ'!$P$6:$P$405,1,'Istoric_Nativ'!$D$6:$D$405,"&gt;="&amp;L1016)))/M1016)</x:f>
      </x:c>
      <x:c r="O1016" s="11" t="str">
        <x:f>IF(M1016=0,"",IF(H1016="HOME",SUMIFS('Istoric_Nativ'!$H$6:$H$405,'Istoric_Nativ'!$B$6:$B$405,E1016,'Istoric_Nativ'!$C$6:$C$405,F1016,'Istoric_Nativ'!$E$6:$E$405,G1016,'Istoric_Nativ'!$D$6:$D$405,"&lt;"&amp;J1016,'Istoric_Nativ'!$P$6:$P$405,1,'Istoric_Nativ'!$D$6:$D$405,"&gt;="&amp;L1016),IF(H1016="AWAY",SUMIFS('Istoric_Nativ'!$G$6:$G$405,'Istoric_Nativ'!$B$6:$B$405,E1016,'Istoric_Nativ'!$C$6:$C$405,F1016,'Istoric_Nativ'!$F$6:$F$405,G1016,'Istoric_Nativ'!$D$6:$D$405,"&lt;"&amp;J1016,'Istoric_Nativ'!$P$6:$P$405,1,'Istoric_Nativ'!$D$6:$D$405,"&gt;="&amp;L1016),SUMIFS('Istoric_Nativ'!$H$6:$H$405,'Istoric_Nativ'!$B$6:$B$405,E1016,'Istoric_Nativ'!$C$6:$C$405,F1016,'Istoric_Nativ'!$E$6:$E$405,G1016,'Istoric_Nativ'!$D$6:$D$405,"&lt;"&amp;J1016,'Istoric_Nativ'!$P$6:$P$405,1,'Istoric_Nativ'!$D$6:$D$405,"&gt;="&amp;L1016)+SUMIFS('Istoric_Nativ'!$G$6:$G$405,'Istoric_Nativ'!$B$6:$B$405,E1016,'Istoric_Nativ'!$C$6:$C$405,F1016,'Istoric_Nativ'!$F$6:$F$405,G1016,'Istoric_Nativ'!$D$6:$D$405,"&lt;"&amp;J1016,'Istoric_Nativ'!$P$6:$P$405,1,'Istoric_Nativ'!$D$6:$D$405,"&gt;="&amp;L1016)))/M1016)</x:f>
      </x:c>
      <x:c r="P1016" s="2" t="n">
        <x:f>'Config_v6'!$B$9</x:f>
        <x:v>3</x:v>
      </x:c>
      <x:c r="Q1016" s="2" t="n">
        <x:f>IF(OR(B1016="",F1016=""),0,IFERROR(MATCH(E1016&amp;"|"&amp;F1016,SourceTable[Source_Key],0),0))</x:f>
        <x:v>0</x:v>
      </x:c>
      <x:c r="R1016" s="2" t="str">
        <x:f>IF(B1016="","",IF(F1016="","UNUSED",IF(Q1016=0,"NOT CHECKED",IF(COUNTIF(SourceTable[Source_Key],E1016&amp;"|"&amp;F1016)&lt;&gt;1,"SOURCE CONFLICT",IF(NOT(OR(INDEX(SourceTable[Status],MAX(1,Q1016))="IMPORTED",INDEX(SourceTable[Status],MAX(1,Q1016))="PARTIAL",INDEX(SourceTable[Status],MAX(1,Q1016))="SOURCE CONFLICT")),"ACCESS BLOCKED",IF(OR(INDEX(SourceTable[Coverage],Q1016)&lt;&gt;"FULL SEASON EXPORT",INDEX(SourceTable[URL],Q1016)="",INDEX(SourceTable[SHA256],Q1016)=""),"EVIDENCE INCOMPLETE",IF(AND('Input_Meci'!H90="LIVE",INDEX(SourceTable[Retrieved_UTC],Q1016)&gt;'Input_Meci'!G90),"POST CUTOFF","CLOSED")))))))</x:f>
      </x:c>
      <x:c r="S1016" s="2" t="n">
        <x:f>IF(OR(B1016="",F1016=""),0,COUNTIFS('Istoric_Nativ'!$B$6:$B$405,E1016,'Istoric_Nativ'!$C$6:$C$405,F1016,'Istoric_Nativ'!$E$6:$E$405,G1016,'Istoric_Nativ'!$D$6:$D$405,"&lt;"&amp;J1016,'Istoric_Nativ'!$O$6:$O$405,"INVALID")+COUNTIFS('Istoric_Nativ'!$B$6:$B$405,E1016,'Istoric_Nativ'!$C$6:$C$405,F1016,'Istoric_Nativ'!$E$6:$E$405,G1016,'Istoric_Nativ'!$O$6:$O$405,"INVALID",'Istoric_Nativ'!$D$6:$D$405,"*")+COUNTIFS('Istoric_Nativ'!$B$6:$B$405,E1016,'Istoric_Nativ'!$C$6:$C$405,F1016,'Istoric_Nativ'!$E$6:$E$405,G1016,'Istoric_Nativ'!$D$6:$D$405,"&lt;"&amp;J1016,'Istoric_Nativ'!$O$6:$O$405,"SOURCE CONFLICT")+COUNTIFS('Istoric_Nativ'!$B$6:$B$405,E1016,'Istoric_Nativ'!$C$6:$C$405,F1016,'Istoric_Nativ'!$F$6:$F$405,G1016,'Istoric_Nativ'!$D$6:$D$405,"&lt;"&amp;J1016,'Istoric_Nativ'!$O$6:$O$405,"INVALID")+COUNTIFS('Istoric_Nativ'!$B$6:$B$405,E1016,'Istoric_Nativ'!$C$6:$C$405,F1016,'Istoric_Nativ'!$F$6:$F$405,G1016,'Istoric_Nativ'!$O$6:$O$405,"INVALID",'Istoric_Nativ'!$D$6:$D$405,"*")+COUNTIFS('Istoric_Nativ'!$B$6:$B$405,E1016,'Istoric_Nativ'!$C$6:$C$405,F1016,'Istoric_Nativ'!$F$6:$F$405,G1016,'Istoric_Nativ'!$D$6:$D$405,"&lt;"&amp;J1016,'Istoric_Nativ'!$O$6:$O$405,"SOURCE CONFLICT"))</x:f>
        <x:v>0</x:v>
      </x:c>
      <x:c r="T1016" s="2" t="str">
        <x:f>IF(B1016="","",IF(R1016&lt;&gt;"CLOSED",R1016,IF(S1016&gt;0,"NATIVE INPUT ISSUE",IF(M1016=0,"NO HISTORY",IF(M1016&lt;P1016,"SMALL SAMPLE","DERIVED")))))</x:f>
      </x:c>
      <x:c r="U1016" s="2" t="str">
        <x:f>IF(B1016="","","NativeTable; "&amp;E1016&amp;"; "&amp;F1016&amp;"; "&amp;G1016&amp;"; "&amp;H1016&amp;"; before "&amp;TEXT(J1016,"yyyy-mm-dd")&amp;IF(I1016="RECENT","; from "&amp;TEXT(L1016,"yyyy-mm-dd"),""))</x:f>
      </x:c>
    </x:row>
    <x:row r="1017" ht="21" customHeight="1">
      <x:c r="A1017" s="2" t="n">
        <x:v>85</x:v>
      </x:c>
      <x:c r="B1017" s="2" t="str">
        <x:f>IF('Input_Meci'!A90="","",'Input_Meci'!A90)</x:f>
      </x:c>
      <x:c r="C1017" s="2" t="str">
        <x:v>A</x:v>
      </x:c>
      <x:c r="D1017" s="2" t="str">
        <x:v>CURRENT</x:v>
      </x:c>
      <x:c r="E1017" s="2" t="str">
        <x:f>IF(B1017="","",'Input_Meci'!B90)</x:f>
      </x:c>
      <x:c r="F1017" s="2" t="str">
        <x:f>IF(B1017="","",IF('Input_Meci'!C90="","",'Input_Meci'!C90))</x:f>
      </x:c>
      <x:c r="G1017" s="2" t="str">
        <x:f>IF(B1017="","",'Input_Meci'!E90)</x:f>
      </x:c>
      <x:c r="H1017" s="2" t="str">
        <x:v>ANY</x:v>
      </x:c>
      <x:c r="I1017" s="2" t="str">
        <x:v>SEASON</x:v>
      </x:c>
      <x:c r="J1017" s="9" t="n">
        <x:f>IF(AND(B1017&lt;&gt;"",ISNUMBER('Input_Meci'!G90)),INT('Input_Meci'!G90),0)</x:f>
        <x:v>0</x:v>
      </x:c>
      <x:c r="K1017" s="2" t="n">
        <x:f>IF(OR(B1017="",F1017=""),0,IF(H1017="HOME",COUNTIFS('Istoric_Nativ'!$B$6:$B$405,E1017,'Istoric_Nativ'!$C$6:$C$405,F1017,'Istoric_Nativ'!$E$6:$E$405,G1017,'Istoric_Nativ'!$D$6:$D$405,"&lt;"&amp;J1017,'Istoric_Nativ'!$P$6:$P$405,1),IF(H1017="AWAY",COUNTIFS('Istoric_Nativ'!$B$6:$B$405,E1017,'Istoric_Nativ'!$C$6:$C$405,F1017,'Istoric_Nativ'!$F$6:$F$405,G1017,'Istoric_Nativ'!$D$6:$D$405,"&lt;"&amp;J1017,'Istoric_Nativ'!$P$6:$P$405,1),COUNTIFS('Istoric_Nativ'!$B$6:$B$405,E1017,'Istoric_Nativ'!$C$6:$C$405,F1017,'Istoric_Nativ'!$E$6:$E$405,G1017,'Istoric_Nativ'!$D$6:$D$405,"&lt;"&amp;J1017,'Istoric_Nativ'!$P$6:$P$405,1)+COUNTIFS('Istoric_Nativ'!$B$6:$B$405,E1017,'Istoric_Nativ'!$C$6:$C$405,F1017,'Istoric_Nativ'!$F$6:$F$405,G1017,'Istoric_Nativ'!$D$6:$D$405,"&lt;"&amp;J1017,'Istoric_Nativ'!$P$6:$P$405,1))))</x:f>
        <x:v>0</x:v>
      </x:c>
      <x:c r="L1017" s="17" t="n">
        <x:f>IF(AND(B1017&lt;&gt;"",I1017="RECENT",K1017&gt;0),LARGE(_xlfn._xlws.FILTER('Istoric_Nativ'!$D$6:$D$405,('Istoric_Nativ'!$B$6:$B$405=E1017)*('Istoric_Nativ'!$C$6:$C$405=F1017)*('Istoric_Nativ'!$P$6:$P$405=1)*('Istoric_Nativ'!$D$6:$D$405&lt;J1017)*((('Istoric_Nativ'!$E$6:$E$405=G1017)+('Istoric_Nativ'!$F$6:$F$405=G1017))&gt;0)),MIN('Config_v6'!$B$54,K1017)),0)</x:f>
        <x:v>0</x:v>
      </x:c>
      <x:c r="M1017" s="2" t="n">
        <x:f>IF(OR(B1017="",F1017=""),0,IF(H1017="HOME",COUNTIFS('Istoric_Nativ'!$B$6:$B$405,E1017,'Istoric_Nativ'!$C$6:$C$405,F1017,'Istoric_Nativ'!$E$6:$E$405,G1017,'Istoric_Nativ'!$D$6:$D$405,"&lt;"&amp;J1017,'Istoric_Nativ'!$P$6:$P$405,1,'Istoric_Nativ'!$D$6:$D$405,"&gt;="&amp;L1017),IF(H1017="AWAY",COUNTIFS('Istoric_Nativ'!$B$6:$B$405,E1017,'Istoric_Nativ'!$C$6:$C$405,F1017,'Istoric_Nativ'!$F$6:$F$405,G1017,'Istoric_Nativ'!$D$6:$D$405,"&lt;"&amp;J1017,'Istoric_Nativ'!$P$6:$P$405,1,'Istoric_Nativ'!$D$6:$D$405,"&gt;="&amp;L1017),COUNTIFS('Istoric_Nativ'!$B$6:$B$405,E1017,'Istoric_Nativ'!$C$6:$C$405,F1017,'Istoric_Nativ'!$E$6:$E$405,G1017,'Istoric_Nativ'!$D$6:$D$405,"&lt;"&amp;J1017,'Istoric_Nativ'!$P$6:$P$405,1,'Istoric_Nativ'!$D$6:$D$405,"&gt;="&amp;L1017)+COUNTIFS('Istoric_Nativ'!$B$6:$B$405,E1017,'Istoric_Nativ'!$C$6:$C$405,F1017,'Istoric_Nativ'!$F$6:$F$405,G1017,'Istoric_Nativ'!$D$6:$D$405,"&lt;"&amp;J1017,'Istoric_Nativ'!$P$6:$P$405,1,'Istoric_Nativ'!$D$6:$D$405,"&gt;="&amp;L1017))))</x:f>
        <x:v>0</x:v>
      </x:c>
      <x:c r="N1017" s="11" t="str">
        <x:f>IF(M1017=0,"",IF(H1017="HOME",SUMIFS('Istoric_Nativ'!$G$6:$G$405,'Istoric_Nativ'!$B$6:$B$405,E1017,'Istoric_Nativ'!$C$6:$C$405,F1017,'Istoric_Nativ'!$E$6:$E$405,G1017,'Istoric_Nativ'!$D$6:$D$405,"&lt;"&amp;J1017,'Istoric_Nativ'!$P$6:$P$405,1,'Istoric_Nativ'!$D$6:$D$405,"&gt;="&amp;L1017),IF(H1017="AWAY",SUMIFS('Istoric_Nativ'!$H$6:$H$405,'Istoric_Nativ'!$B$6:$B$405,E1017,'Istoric_Nativ'!$C$6:$C$405,F1017,'Istoric_Nativ'!$F$6:$F$405,G1017,'Istoric_Nativ'!$D$6:$D$405,"&lt;"&amp;J1017,'Istoric_Nativ'!$P$6:$P$405,1,'Istoric_Nativ'!$D$6:$D$405,"&gt;="&amp;L1017),SUMIFS('Istoric_Nativ'!$G$6:$G$405,'Istoric_Nativ'!$B$6:$B$405,E1017,'Istoric_Nativ'!$C$6:$C$405,F1017,'Istoric_Nativ'!$E$6:$E$405,G1017,'Istoric_Nativ'!$D$6:$D$405,"&lt;"&amp;J1017,'Istoric_Nativ'!$P$6:$P$405,1,'Istoric_Nativ'!$D$6:$D$405,"&gt;="&amp;L1017)+SUMIFS('Istoric_Nativ'!$H$6:$H$405,'Istoric_Nativ'!$B$6:$B$405,E1017,'Istoric_Nativ'!$C$6:$C$405,F1017,'Istoric_Nativ'!$F$6:$F$405,G1017,'Istoric_Nativ'!$D$6:$D$405,"&lt;"&amp;J1017,'Istoric_Nativ'!$P$6:$P$405,1,'Istoric_Nativ'!$D$6:$D$405,"&gt;="&amp;L1017)))/M1017)</x:f>
      </x:c>
      <x:c r="O1017" s="11" t="str">
        <x:f>IF(M1017=0,"",IF(H1017="HOME",SUMIFS('Istoric_Nativ'!$H$6:$H$405,'Istoric_Nativ'!$B$6:$B$405,E1017,'Istoric_Nativ'!$C$6:$C$405,F1017,'Istoric_Nativ'!$E$6:$E$405,G1017,'Istoric_Nativ'!$D$6:$D$405,"&lt;"&amp;J1017,'Istoric_Nativ'!$P$6:$P$405,1,'Istoric_Nativ'!$D$6:$D$405,"&gt;="&amp;L1017),IF(H1017="AWAY",SUMIFS('Istoric_Nativ'!$G$6:$G$405,'Istoric_Nativ'!$B$6:$B$405,E1017,'Istoric_Nativ'!$C$6:$C$405,F1017,'Istoric_Nativ'!$F$6:$F$405,G1017,'Istoric_Nativ'!$D$6:$D$405,"&lt;"&amp;J1017,'Istoric_Nativ'!$P$6:$P$405,1,'Istoric_Nativ'!$D$6:$D$405,"&gt;="&amp;L1017),SUMIFS('Istoric_Nativ'!$H$6:$H$405,'Istoric_Nativ'!$B$6:$B$405,E1017,'Istoric_Nativ'!$C$6:$C$405,F1017,'Istoric_Nativ'!$E$6:$E$405,G1017,'Istoric_Nativ'!$D$6:$D$405,"&lt;"&amp;J1017,'Istoric_Nativ'!$P$6:$P$405,1,'Istoric_Nativ'!$D$6:$D$405,"&gt;="&amp;L1017)+SUMIFS('Istoric_Nativ'!$G$6:$G$405,'Istoric_Nativ'!$B$6:$B$405,E1017,'Istoric_Nativ'!$C$6:$C$405,F1017,'Istoric_Nativ'!$F$6:$F$405,G1017,'Istoric_Nativ'!$D$6:$D$405,"&lt;"&amp;J1017,'Istoric_Nativ'!$P$6:$P$405,1,'Istoric_Nativ'!$D$6:$D$405,"&gt;="&amp;L1017)))/M1017)</x:f>
      </x:c>
      <x:c r="P1017" s="2" t="n">
        <x:f>'Config_v6'!$B$7</x:f>
        <x:v>10</x:v>
      </x:c>
      <x:c r="Q1017" s="2" t="n">
        <x:f>IF(OR(B1017="",F1017=""),0,IFERROR(MATCH(E1017&amp;"|"&amp;F1017,SourceTable[Source_Key],0),0))</x:f>
        <x:v>0</x:v>
      </x:c>
      <x:c r="R1017" s="2" t="str">
        <x:f>IF(B1017="","",IF(F1017="","UNUSED",IF(Q1017=0,"NOT CHECKED",IF(COUNTIF(SourceTable[Source_Key],E1017&amp;"|"&amp;F1017)&lt;&gt;1,"SOURCE CONFLICT",IF(NOT(OR(INDEX(SourceTable[Status],MAX(1,Q1017))="IMPORTED",INDEX(SourceTable[Status],MAX(1,Q1017))="PARTIAL",INDEX(SourceTable[Status],MAX(1,Q1017))="SOURCE CONFLICT")),"ACCESS BLOCKED",IF(OR(INDEX(SourceTable[Coverage],Q1017)&lt;&gt;"FULL SEASON EXPORT",INDEX(SourceTable[URL],Q1017)="",INDEX(SourceTable[SHA256],Q1017)=""),"EVIDENCE INCOMPLETE",IF(AND('Input_Meci'!H90="LIVE",INDEX(SourceTable[Retrieved_UTC],Q1017)&gt;'Input_Meci'!G90),"POST CUTOFF","CLOSED")))))))</x:f>
      </x:c>
      <x:c r="S1017" s="2" t="n">
        <x:f>IF(OR(B1017="",F1017=""),0,COUNTIFS('Istoric_Nativ'!$B$6:$B$405,E1017,'Istoric_Nativ'!$C$6:$C$405,F1017,'Istoric_Nativ'!$E$6:$E$405,G1017,'Istoric_Nativ'!$D$6:$D$405,"&lt;"&amp;J1017,'Istoric_Nativ'!$O$6:$O$405,"INVALID")+COUNTIFS('Istoric_Nativ'!$B$6:$B$405,E1017,'Istoric_Nativ'!$C$6:$C$405,F1017,'Istoric_Nativ'!$E$6:$E$405,G1017,'Istoric_Nativ'!$O$6:$O$405,"INVALID",'Istoric_Nativ'!$D$6:$D$405,"*")+COUNTIFS('Istoric_Nativ'!$B$6:$B$405,E1017,'Istoric_Nativ'!$C$6:$C$405,F1017,'Istoric_Nativ'!$E$6:$E$405,G1017,'Istoric_Nativ'!$D$6:$D$405,"&lt;"&amp;J1017,'Istoric_Nativ'!$O$6:$O$405,"SOURCE CONFLICT")+COUNTIFS('Istoric_Nativ'!$B$6:$B$405,E1017,'Istoric_Nativ'!$C$6:$C$405,F1017,'Istoric_Nativ'!$F$6:$F$405,G1017,'Istoric_Nativ'!$D$6:$D$405,"&lt;"&amp;J1017,'Istoric_Nativ'!$O$6:$O$405,"INVALID")+COUNTIFS('Istoric_Nativ'!$B$6:$B$405,E1017,'Istoric_Nativ'!$C$6:$C$405,F1017,'Istoric_Nativ'!$F$6:$F$405,G1017,'Istoric_Nativ'!$O$6:$O$405,"INVALID",'Istoric_Nativ'!$D$6:$D$405,"*")+COUNTIFS('Istoric_Nativ'!$B$6:$B$405,E1017,'Istoric_Nativ'!$C$6:$C$405,F1017,'Istoric_Nativ'!$F$6:$F$405,G1017,'Istoric_Nativ'!$D$6:$D$405,"&lt;"&amp;J1017,'Istoric_Nativ'!$O$6:$O$405,"SOURCE CONFLICT"))</x:f>
        <x:v>0</x:v>
      </x:c>
      <x:c r="T1017" s="2" t="str">
        <x:f>IF(B1017="","",IF(R1017&lt;&gt;"CLOSED",R1017,IF(S1017&gt;0,"NATIVE INPUT ISSUE",IF(M1017=0,"NO HISTORY",IF(M1017&lt;P1017,"SMALL SAMPLE","DERIVED")))))</x:f>
      </x:c>
      <x:c r="U1017" s="2" t="str">
        <x:f>IF(B1017="","","NativeTable; "&amp;E1017&amp;"; "&amp;F1017&amp;"; "&amp;G1017&amp;"; "&amp;H1017&amp;"; before "&amp;TEXT(J1017,"yyyy-mm-dd")&amp;IF(I1017="RECENT","; from "&amp;TEXT(L1017,"yyyy-mm-dd"),""))</x:f>
      </x:c>
    </x:row>
    <x:row r="1018" ht="21" customHeight="1">
      <x:c r="A1018" s="2" t="n">
        <x:v>85</x:v>
      </x:c>
      <x:c r="B1018" s="2" t="str">
        <x:f>IF('Input_Meci'!A90="","",'Input_Meci'!A90)</x:f>
      </x:c>
      <x:c r="C1018" s="2" t="str">
        <x:v>A</x:v>
      </x:c>
      <x:c r="D1018" s="2" t="str">
        <x:v>CURRENT</x:v>
      </x:c>
      <x:c r="E1018" s="2" t="str">
        <x:f>IF(B1018="","",'Input_Meci'!B90)</x:f>
      </x:c>
      <x:c r="F1018" s="2" t="str">
        <x:f>IF(B1018="","",IF('Input_Meci'!C90="","",'Input_Meci'!C90))</x:f>
      </x:c>
      <x:c r="G1018" s="2" t="str">
        <x:f>IF(B1018="","",'Input_Meci'!E90)</x:f>
      </x:c>
      <x:c r="H1018" s="2" t="str">
        <x:v>AWAY</x:v>
      </x:c>
      <x:c r="I1018" s="2" t="str">
        <x:v>HA</x:v>
      </x:c>
      <x:c r="J1018" s="9" t="n">
        <x:f>IF(AND(B1018&lt;&gt;"",ISNUMBER('Input_Meci'!G90)),INT('Input_Meci'!G90),0)</x:f>
        <x:v>0</x:v>
      </x:c>
      <x:c r="K1018" s="2" t="n">
        <x:f>IF(OR(B1018="",F1018=""),0,IF(H1018="HOME",COUNTIFS('Istoric_Nativ'!$B$6:$B$405,E1018,'Istoric_Nativ'!$C$6:$C$405,F1018,'Istoric_Nativ'!$E$6:$E$405,G1018,'Istoric_Nativ'!$D$6:$D$405,"&lt;"&amp;J1018,'Istoric_Nativ'!$P$6:$P$405,1),IF(H1018="AWAY",COUNTIFS('Istoric_Nativ'!$B$6:$B$405,E1018,'Istoric_Nativ'!$C$6:$C$405,F1018,'Istoric_Nativ'!$F$6:$F$405,G1018,'Istoric_Nativ'!$D$6:$D$405,"&lt;"&amp;J1018,'Istoric_Nativ'!$P$6:$P$405,1),COUNTIFS('Istoric_Nativ'!$B$6:$B$405,E1018,'Istoric_Nativ'!$C$6:$C$405,F1018,'Istoric_Nativ'!$E$6:$E$405,G1018,'Istoric_Nativ'!$D$6:$D$405,"&lt;"&amp;J1018,'Istoric_Nativ'!$P$6:$P$405,1)+COUNTIFS('Istoric_Nativ'!$B$6:$B$405,E1018,'Istoric_Nativ'!$C$6:$C$405,F1018,'Istoric_Nativ'!$F$6:$F$405,G1018,'Istoric_Nativ'!$D$6:$D$405,"&lt;"&amp;J1018,'Istoric_Nativ'!$P$6:$P$405,1))))</x:f>
        <x:v>0</x:v>
      </x:c>
      <x:c r="L1018" s="17" t="n">
        <x:f>IF(AND(B1018&lt;&gt;"",I1018="RECENT",K1018&gt;0),LARGE(_xlfn._xlws.FILTER('Istoric_Nativ'!$D$6:$D$405,('Istoric_Nativ'!$B$6:$B$405=E1018)*('Istoric_Nativ'!$C$6:$C$405=F1018)*('Istoric_Nativ'!$P$6:$P$405=1)*('Istoric_Nativ'!$D$6:$D$405&lt;J1018)*((('Istoric_Nativ'!$E$6:$E$405=G1018)+('Istoric_Nativ'!$F$6:$F$405=G1018))&gt;0)),MIN('Config_v6'!$B$54,K1018)),0)</x:f>
        <x:v>0</x:v>
      </x:c>
      <x:c r="M1018" s="2" t="n">
        <x:f>IF(OR(B1018="",F1018=""),0,IF(H1018="HOME",COUNTIFS('Istoric_Nativ'!$B$6:$B$405,E1018,'Istoric_Nativ'!$C$6:$C$405,F1018,'Istoric_Nativ'!$E$6:$E$405,G1018,'Istoric_Nativ'!$D$6:$D$405,"&lt;"&amp;J1018,'Istoric_Nativ'!$P$6:$P$405,1,'Istoric_Nativ'!$D$6:$D$405,"&gt;="&amp;L1018),IF(H1018="AWAY",COUNTIFS('Istoric_Nativ'!$B$6:$B$405,E1018,'Istoric_Nativ'!$C$6:$C$405,F1018,'Istoric_Nativ'!$F$6:$F$405,G1018,'Istoric_Nativ'!$D$6:$D$405,"&lt;"&amp;J1018,'Istoric_Nativ'!$P$6:$P$405,1,'Istoric_Nativ'!$D$6:$D$405,"&gt;="&amp;L1018),COUNTIFS('Istoric_Nativ'!$B$6:$B$405,E1018,'Istoric_Nativ'!$C$6:$C$405,F1018,'Istoric_Nativ'!$E$6:$E$405,G1018,'Istoric_Nativ'!$D$6:$D$405,"&lt;"&amp;J1018,'Istoric_Nativ'!$P$6:$P$405,1,'Istoric_Nativ'!$D$6:$D$405,"&gt;="&amp;L1018)+COUNTIFS('Istoric_Nativ'!$B$6:$B$405,E1018,'Istoric_Nativ'!$C$6:$C$405,F1018,'Istoric_Nativ'!$F$6:$F$405,G1018,'Istoric_Nativ'!$D$6:$D$405,"&lt;"&amp;J1018,'Istoric_Nativ'!$P$6:$P$405,1,'Istoric_Nativ'!$D$6:$D$405,"&gt;="&amp;L1018))))</x:f>
        <x:v>0</x:v>
      </x:c>
      <x:c r="N1018" s="11" t="str">
        <x:f>IF(M1018=0,"",IF(H1018="HOME",SUMIFS('Istoric_Nativ'!$G$6:$G$405,'Istoric_Nativ'!$B$6:$B$405,E1018,'Istoric_Nativ'!$C$6:$C$405,F1018,'Istoric_Nativ'!$E$6:$E$405,G1018,'Istoric_Nativ'!$D$6:$D$405,"&lt;"&amp;J1018,'Istoric_Nativ'!$P$6:$P$405,1,'Istoric_Nativ'!$D$6:$D$405,"&gt;="&amp;L1018),IF(H1018="AWAY",SUMIFS('Istoric_Nativ'!$H$6:$H$405,'Istoric_Nativ'!$B$6:$B$405,E1018,'Istoric_Nativ'!$C$6:$C$405,F1018,'Istoric_Nativ'!$F$6:$F$405,G1018,'Istoric_Nativ'!$D$6:$D$405,"&lt;"&amp;J1018,'Istoric_Nativ'!$P$6:$P$405,1,'Istoric_Nativ'!$D$6:$D$405,"&gt;="&amp;L1018),SUMIFS('Istoric_Nativ'!$G$6:$G$405,'Istoric_Nativ'!$B$6:$B$405,E1018,'Istoric_Nativ'!$C$6:$C$405,F1018,'Istoric_Nativ'!$E$6:$E$405,G1018,'Istoric_Nativ'!$D$6:$D$405,"&lt;"&amp;J1018,'Istoric_Nativ'!$P$6:$P$405,1,'Istoric_Nativ'!$D$6:$D$405,"&gt;="&amp;L1018)+SUMIFS('Istoric_Nativ'!$H$6:$H$405,'Istoric_Nativ'!$B$6:$B$405,E1018,'Istoric_Nativ'!$C$6:$C$405,F1018,'Istoric_Nativ'!$F$6:$F$405,G1018,'Istoric_Nativ'!$D$6:$D$405,"&lt;"&amp;J1018,'Istoric_Nativ'!$P$6:$P$405,1,'Istoric_Nativ'!$D$6:$D$405,"&gt;="&amp;L1018)))/M1018)</x:f>
      </x:c>
      <x:c r="O1018" s="11" t="str">
        <x:f>IF(M1018=0,"",IF(H1018="HOME",SUMIFS('Istoric_Nativ'!$H$6:$H$405,'Istoric_Nativ'!$B$6:$B$405,E1018,'Istoric_Nativ'!$C$6:$C$405,F1018,'Istoric_Nativ'!$E$6:$E$405,G1018,'Istoric_Nativ'!$D$6:$D$405,"&lt;"&amp;J1018,'Istoric_Nativ'!$P$6:$P$405,1,'Istoric_Nativ'!$D$6:$D$405,"&gt;="&amp;L1018),IF(H1018="AWAY",SUMIFS('Istoric_Nativ'!$G$6:$G$405,'Istoric_Nativ'!$B$6:$B$405,E1018,'Istoric_Nativ'!$C$6:$C$405,F1018,'Istoric_Nativ'!$F$6:$F$405,G1018,'Istoric_Nativ'!$D$6:$D$405,"&lt;"&amp;J1018,'Istoric_Nativ'!$P$6:$P$405,1,'Istoric_Nativ'!$D$6:$D$405,"&gt;="&amp;L1018),SUMIFS('Istoric_Nativ'!$H$6:$H$405,'Istoric_Nativ'!$B$6:$B$405,E1018,'Istoric_Nativ'!$C$6:$C$405,F1018,'Istoric_Nativ'!$E$6:$E$405,G1018,'Istoric_Nativ'!$D$6:$D$405,"&lt;"&amp;J1018,'Istoric_Nativ'!$P$6:$P$405,1,'Istoric_Nativ'!$D$6:$D$405,"&gt;="&amp;L1018)+SUMIFS('Istoric_Nativ'!$G$6:$G$405,'Istoric_Nativ'!$B$6:$B$405,E1018,'Istoric_Nativ'!$C$6:$C$405,F1018,'Istoric_Nativ'!$F$6:$F$405,G1018,'Istoric_Nativ'!$D$6:$D$405,"&lt;"&amp;J1018,'Istoric_Nativ'!$P$6:$P$405,1,'Istoric_Nativ'!$D$6:$D$405,"&gt;="&amp;L1018)))/M1018)</x:f>
      </x:c>
      <x:c r="P1018" s="2" t="n">
        <x:f>'Config_v6'!$B$8</x:f>
        <x:v>5</x:v>
      </x:c>
      <x:c r="Q1018" s="2" t="n">
        <x:f>IF(OR(B1018="",F1018=""),0,IFERROR(MATCH(E1018&amp;"|"&amp;F1018,SourceTable[Source_Key],0),0))</x:f>
        <x:v>0</x:v>
      </x:c>
      <x:c r="R1018" s="2" t="str">
        <x:f>IF(B1018="","",IF(F1018="","UNUSED",IF(Q1018=0,"NOT CHECKED",IF(COUNTIF(SourceTable[Source_Key],E1018&amp;"|"&amp;F1018)&lt;&gt;1,"SOURCE CONFLICT",IF(NOT(OR(INDEX(SourceTable[Status],MAX(1,Q1018))="IMPORTED",INDEX(SourceTable[Status],MAX(1,Q1018))="PARTIAL",INDEX(SourceTable[Status],MAX(1,Q1018))="SOURCE CONFLICT")),"ACCESS BLOCKED",IF(OR(INDEX(SourceTable[Coverage],Q1018)&lt;&gt;"FULL SEASON EXPORT",INDEX(SourceTable[URL],Q1018)="",INDEX(SourceTable[SHA256],Q1018)=""),"EVIDENCE INCOMPLETE",IF(AND('Input_Meci'!H90="LIVE",INDEX(SourceTable[Retrieved_UTC],Q1018)&gt;'Input_Meci'!G90),"POST CUTOFF","CLOSED")))))))</x:f>
      </x:c>
      <x:c r="S1018" s="2" t="n">
        <x:f>IF(OR(B1018="",F1018=""),0,COUNTIFS('Istoric_Nativ'!$B$6:$B$405,E1018,'Istoric_Nativ'!$C$6:$C$405,F1018,'Istoric_Nativ'!$E$6:$E$405,G1018,'Istoric_Nativ'!$D$6:$D$405,"&lt;"&amp;J1018,'Istoric_Nativ'!$O$6:$O$405,"INVALID")+COUNTIFS('Istoric_Nativ'!$B$6:$B$405,E1018,'Istoric_Nativ'!$C$6:$C$405,F1018,'Istoric_Nativ'!$E$6:$E$405,G1018,'Istoric_Nativ'!$O$6:$O$405,"INVALID",'Istoric_Nativ'!$D$6:$D$405,"*")+COUNTIFS('Istoric_Nativ'!$B$6:$B$405,E1018,'Istoric_Nativ'!$C$6:$C$405,F1018,'Istoric_Nativ'!$E$6:$E$405,G1018,'Istoric_Nativ'!$D$6:$D$405,"&lt;"&amp;J1018,'Istoric_Nativ'!$O$6:$O$405,"SOURCE CONFLICT")+COUNTIFS('Istoric_Nativ'!$B$6:$B$405,E1018,'Istoric_Nativ'!$C$6:$C$405,F1018,'Istoric_Nativ'!$F$6:$F$405,G1018,'Istoric_Nativ'!$D$6:$D$405,"&lt;"&amp;J1018,'Istoric_Nativ'!$O$6:$O$405,"INVALID")+COUNTIFS('Istoric_Nativ'!$B$6:$B$405,E1018,'Istoric_Nativ'!$C$6:$C$405,F1018,'Istoric_Nativ'!$F$6:$F$405,G1018,'Istoric_Nativ'!$O$6:$O$405,"INVALID",'Istoric_Nativ'!$D$6:$D$405,"*")+COUNTIFS('Istoric_Nativ'!$B$6:$B$405,E1018,'Istoric_Nativ'!$C$6:$C$405,F1018,'Istoric_Nativ'!$F$6:$F$405,G1018,'Istoric_Nativ'!$D$6:$D$405,"&lt;"&amp;J1018,'Istoric_Nativ'!$O$6:$O$405,"SOURCE CONFLICT"))</x:f>
        <x:v>0</x:v>
      </x:c>
      <x:c r="T1018" s="2" t="str">
        <x:f>IF(B1018="","",IF(R1018&lt;&gt;"CLOSED",R1018,IF(S1018&gt;0,"NATIVE INPUT ISSUE",IF(M1018=0,"NO HISTORY",IF(M1018&lt;P1018,"SMALL SAMPLE","DERIVED")))))</x:f>
      </x:c>
      <x:c r="U1018" s="2" t="str">
        <x:f>IF(B1018="","","NativeTable; "&amp;E1018&amp;"; "&amp;F1018&amp;"; "&amp;G1018&amp;"; "&amp;H1018&amp;"; before "&amp;TEXT(J1018,"yyyy-mm-dd")&amp;IF(I1018="RECENT","; from "&amp;TEXT(L1018,"yyyy-mm-dd"),""))</x:f>
      </x:c>
    </x:row>
    <x:row r="1019" ht="21" customHeight="1">
      <x:c r="A1019" s="2" t="n">
        <x:v>85</x:v>
      </x:c>
      <x:c r="B1019" s="2" t="str">
        <x:f>IF('Input_Meci'!A90="","",'Input_Meci'!A90)</x:f>
      </x:c>
      <x:c r="C1019" s="2" t="str">
        <x:v>A</x:v>
      </x:c>
      <x:c r="D1019" s="2" t="str">
        <x:v>CURRENT</x:v>
      </x:c>
      <x:c r="E1019" s="2" t="str">
        <x:f>IF(B1019="","",'Input_Meci'!B90)</x:f>
      </x:c>
      <x:c r="F1019" s="2" t="str">
        <x:f>IF(B1019="","",IF('Input_Meci'!C90="","",'Input_Meci'!C90))</x:f>
      </x:c>
      <x:c r="G1019" s="2" t="str">
        <x:f>IF(B1019="","",'Input_Meci'!E90)</x:f>
      </x:c>
      <x:c r="H1019" s="2" t="str">
        <x:v>ANY</x:v>
      </x:c>
      <x:c r="I1019" s="2" t="str">
        <x:v>RECENT</x:v>
      </x:c>
      <x:c r="J1019" s="9" t="n">
        <x:f>IF(AND(B1019&lt;&gt;"",ISNUMBER('Input_Meci'!G90)),INT('Input_Meci'!G90),0)</x:f>
        <x:v>0</x:v>
      </x:c>
      <x:c r="K1019" s="2" t="n">
        <x:f>IF(OR(B1019="",F1019=""),0,IF(H1019="HOME",COUNTIFS('Istoric_Nativ'!$B$6:$B$405,E1019,'Istoric_Nativ'!$C$6:$C$405,F1019,'Istoric_Nativ'!$E$6:$E$405,G1019,'Istoric_Nativ'!$D$6:$D$405,"&lt;"&amp;J1019,'Istoric_Nativ'!$P$6:$P$405,1),IF(H1019="AWAY",COUNTIFS('Istoric_Nativ'!$B$6:$B$405,E1019,'Istoric_Nativ'!$C$6:$C$405,F1019,'Istoric_Nativ'!$F$6:$F$405,G1019,'Istoric_Nativ'!$D$6:$D$405,"&lt;"&amp;J1019,'Istoric_Nativ'!$P$6:$P$405,1),COUNTIFS('Istoric_Nativ'!$B$6:$B$405,E1019,'Istoric_Nativ'!$C$6:$C$405,F1019,'Istoric_Nativ'!$E$6:$E$405,G1019,'Istoric_Nativ'!$D$6:$D$405,"&lt;"&amp;J1019,'Istoric_Nativ'!$P$6:$P$405,1)+COUNTIFS('Istoric_Nativ'!$B$6:$B$405,E1019,'Istoric_Nativ'!$C$6:$C$405,F1019,'Istoric_Nativ'!$F$6:$F$405,G1019,'Istoric_Nativ'!$D$6:$D$405,"&lt;"&amp;J1019,'Istoric_Nativ'!$P$6:$P$405,1))))</x:f>
        <x:v>0</x:v>
      </x:c>
      <x:c r="L1019" s="17" t="n">
        <x:f>IF(AND(B1019&lt;&gt;"",I1019="RECENT",K1019&gt;0),LARGE(_xlfn._xlws.FILTER('Istoric_Nativ'!$D$6:$D$405,('Istoric_Nativ'!$B$6:$B$405=E1019)*('Istoric_Nativ'!$C$6:$C$405=F1019)*('Istoric_Nativ'!$P$6:$P$405=1)*('Istoric_Nativ'!$D$6:$D$405&lt;J1019)*((('Istoric_Nativ'!$E$6:$E$405=G1019)+('Istoric_Nativ'!$F$6:$F$405=G1019))&gt;0)),MIN('Config_v6'!$B$54,K1019)),0)</x:f>
        <x:v>0</x:v>
      </x:c>
      <x:c r="M1019" s="2" t="n">
        <x:f>IF(OR(B1019="",F1019=""),0,IF(H1019="HOME",COUNTIFS('Istoric_Nativ'!$B$6:$B$405,E1019,'Istoric_Nativ'!$C$6:$C$405,F1019,'Istoric_Nativ'!$E$6:$E$405,G1019,'Istoric_Nativ'!$D$6:$D$405,"&lt;"&amp;J1019,'Istoric_Nativ'!$P$6:$P$405,1,'Istoric_Nativ'!$D$6:$D$405,"&gt;="&amp;L1019),IF(H1019="AWAY",COUNTIFS('Istoric_Nativ'!$B$6:$B$405,E1019,'Istoric_Nativ'!$C$6:$C$405,F1019,'Istoric_Nativ'!$F$6:$F$405,G1019,'Istoric_Nativ'!$D$6:$D$405,"&lt;"&amp;J1019,'Istoric_Nativ'!$P$6:$P$405,1,'Istoric_Nativ'!$D$6:$D$405,"&gt;="&amp;L1019),COUNTIFS('Istoric_Nativ'!$B$6:$B$405,E1019,'Istoric_Nativ'!$C$6:$C$405,F1019,'Istoric_Nativ'!$E$6:$E$405,G1019,'Istoric_Nativ'!$D$6:$D$405,"&lt;"&amp;J1019,'Istoric_Nativ'!$P$6:$P$405,1,'Istoric_Nativ'!$D$6:$D$405,"&gt;="&amp;L1019)+COUNTIFS('Istoric_Nativ'!$B$6:$B$405,E1019,'Istoric_Nativ'!$C$6:$C$405,F1019,'Istoric_Nativ'!$F$6:$F$405,G1019,'Istoric_Nativ'!$D$6:$D$405,"&lt;"&amp;J1019,'Istoric_Nativ'!$P$6:$P$405,1,'Istoric_Nativ'!$D$6:$D$405,"&gt;="&amp;L1019))))</x:f>
        <x:v>0</x:v>
      </x:c>
      <x:c r="N1019" s="11" t="str">
        <x:f>IF(M1019=0,"",IF(H1019="HOME",SUMIFS('Istoric_Nativ'!$G$6:$G$405,'Istoric_Nativ'!$B$6:$B$405,E1019,'Istoric_Nativ'!$C$6:$C$405,F1019,'Istoric_Nativ'!$E$6:$E$405,G1019,'Istoric_Nativ'!$D$6:$D$405,"&lt;"&amp;J1019,'Istoric_Nativ'!$P$6:$P$405,1,'Istoric_Nativ'!$D$6:$D$405,"&gt;="&amp;L1019),IF(H1019="AWAY",SUMIFS('Istoric_Nativ'!$H$6:$H$405,'Istoric_Nativ'!$B$6:$B$405,E1019,'Istoric_Nativ'!$C$6:$C$405,F1019,'Istoric_Nativ'!$F$6:$F$405,G1019,'Istoric_Nativ'!$D$6:$D$405,"&lt;"&amp;J1019,'Istoric_Nativ'!$P$6:$P$405,1,'Istoric_Nativ'!$D$6:$D$405,"&gt;="&amp;L1019),SUMIFS('Istoric_Nativ'!$G$6:$G$405,'Istoric_Nativ'!$B$6:$B$405,E1019,'Istoric_Nativ'!$C$6:$C$405,F1019,'Istoric_Nativ'!$E$6:$E$405,G1019,'Istoric_Nativ'!$D$6:$D$405,"&lt;"&amp;J1019,'Istoric_Nativ'!$P$6:$P$405,1,'Istoric_Nativ'!$D$6:$D$405,"&gt;="&amp;L1019)+SUMIFS('Istoric_Nativ'!$H$6:$H$405,'Istoric_Nativ'!$B$6:$B$405,E1019,'Istoric_Nativ'!$C$6:$C$405,F1019,'Istoric_Nativ'!$F$6:$F$405,G1019,'Istoric_Nativ'!$D$6:$D$405,"&lt;"&amp;J1019,'Istoric_Nativ'!$P$6:$P$405,1,'Istoric_Nativ'!$D$6:$D$405,"&gt;="&amp;L1019)))/M1019)</x:f>
      </x:c>
      <x:c r="O1019" s="11" t="str">
        <x:f>IF(M1019=0,"",IF(H1019="HOME",SUMIFS('Istoric_Nativ'!$H$6:$H$405,'Istoric_Nativ'!$B$6:$B$405,E1019,'Istoric_Nativ'!$C$6:$C$405,F1019,'Istoric_Nativ'!$E$6:$E$405,G1019,'Istoric_Nativ'!$D$6:$D$405,"&lt;"&amp;J1019,'Istoric_Nativ'!$P$6:$P$405,1,'Istoric_Nativ'!$D$6:$D$405,"&gt;="&amp;L1019),IF(H1019="AWAY",SUMIFS('Istoric_Nativ'!$G$6:$G$405,'Istoric_Nativ'!$B$6:$B$405,E1019,'Istoric_Nativ'!$C$6:$C$405,F1019,'Istoric_Nativ'!$F$6:$F$405,G1019,'Istoric_Nativ'!$D$6:$D$405,"&lt;"&amp;J1019,'Istoric_Nativ'!$P$6:$P$405,1,'Istoric_Nativ'!$D$6:$D$405,"&gt;="&amp;L1019),SUMIFS('Istoric_Nativ'!$H$6:$H$405,'Istoric_Nativ'!$B$6:$B$405,E1019,'Istoric_Nativ'!$C$6:$C$405,F1019,'Istoric_Nativ'!$E$6:$E$405,G1019,'Istoric_Nativ'!$D$6:$D$405,"&lt;"&amp;J1019,'Istoric_Nativ'!$P$6:$P$405,1,'Istoric_Nativ'!$D$6:$D$405,"&gt;="&amp;L1019)+SUMIFS('Istoric_Nativ'!$G$6:$G$405,'Istoric_Nativ'!$B$6:$B$405,E1019,'Istoric_Nativ'!$C$6:$C$405,F1019,'Istoric_Nativ'!$F$6:$F$405,G1019,'Istoric_Nativ'!$D$6:$D$405,"&lt;"&amp;J1019,'Istoric_Nativ'!$P$6:$P$405,1,'Istoric_Nativ'!$D$6:$D$405,"&gt;="&amp;L1019)))/M1019)</x:f>
      </x:c>
      <x:c r="P1019" s="2" t="n">
        <x:f>'Config_v6'!$B$9</x:f>
        <x:v>3</x:v>
      </x:c>
      <x:c r="Q1019" s="2" t="n">
        <x:f>IF(OR(B1019="",F1019=""),0,IFERROR(MATCH(E1019&amp;"|"&amp;F1019,SourceTable[Source_Key],0),0))</x:f>
        <x:v>0</x:v>
      </x:c>
      <x:c r="R1019" s="2" t="str">
        <x:f>IF(B1019="","",IF(F1019="","UNUSED",IF(Q1019=0,"NOT CHECKED",IF(COUNTIF(SourceTable[Source_Key],E1019&amp;"|"&amp;F1019)&lt;&gt;1,"SOURCE CONFLICT",IF(NOT(OR(INDEX(SourceTable[Status],MAX(1,Q1019))="IMPORTED",INDEX(SourceTable[Status],MAX(1,Q1019))="PARTIAL",INDEX(SourceTable[Status],MAX(1,Q1019))="SOURCE CONFLICT")),"ACCESS BLOCKED",IF(OR(INDEX(SourceTable[Coverage],Q1019)&lt;&gt;"FULL SEASON EXPORT",INDEX(SourceTable[URL],Q1019)="",INDEX(SourceTable[SHA256],Q1019)=""),"EVIDENCE INCOMPLETE",IF(AND('Input_Meci'!H90="LIVE",INDEX(SourceTable[Retrieved_UTC],Q1019)&gt;'Input_Meci'!G90),"POST CUTOFF","CLOSED")))))))</x:f>
      </x:c>
      <x:c r="S1019" s="2" t="n">
        <x:f>IF(OR(B1019="",F1019=""),0,COUNTIFS('Istoric_Nativ'!$B$6:$B$405,E1019,'Istoric_Nativ'!$C$6:$C$405,F1019,'Istoric_Nativ'!$E$6:$E$405,G1019,'Istoric_Nativ'!$D$6:$D$405,"&lt;"&amp;J1019,'Istoric_Nativ'!$O$6:$O$405,"INVALID")+COUNTIFS('Istoric_Nativ'!$B$6:$B$405,E1019,'Istoric_Nativ'!$C$6:$C$405,F1019,'Istoric_Nativ'!$E$6:$E$405,G1019,'Istoric_Nativ'!$O$6:$O$405,"INVALID",'Istoric_Nativ'!$D$6:$D$405,"*")+COUNTIFS('Istoric_Nativ'!$B$6:$B$405,E1019,'Istoric_Nativ'!$C$6:$C$405,F1019,'Istoric_Nativ'!$E$6:$E$405,G1019,'Istoric_Nativ'!$D$6:$D$405,"&lt;"&amp;J1019,'Istoric_Nativ'!$O$6:$O$405,"SOURCE CONFLICT")+COUNTIFS('Istoric_Nativ'!$B$6:$B$405,E1019,'Istoric_Nativ'!$C$6:$C$405,F1019,'Istoric_Nativ'!$F$6:$F$405,G1019,'Istoric_Nativ'!$D$6:$D$405,"&lt;"&amp;J1019,'Istoric_Nativ'!$O$6:$O$405,"INVALID")+COUNTIFS('Istoric_Nativ'!$B$6:$B$405,E1019,'Istoric_Nativ'!$C$6:$C$405,F1019,'Istoric_Nativ'!$F$6:$F$405,G1019,'Istoric_Nativ'!$O$6:$O$405,"INVALID",'Istoric_Nativ'!$D$6:$D$405,"*")+COUNTIFS('Istoric_Nativ'!$B$6:$B$405,E1019,'Istoric_Nativ'!$C$6:$C$405,F1019,'Istoric_Nativ'!$F$6:$F$405,G1019,'Istoric_Nativ'!$D$6:$D$405,"&lt;"&amp;J1019,'Istoric_Nativ'!$O$6:$O$405,"SOURCE CONFLICT"))</x:f>
        <x:v>0</x:v>
      </x:c>
      <x:c r="T1019" s="2" t="str">
        <x:f>IF(B1019="","",IF(R1019&lt;&gt;"CLOSED",R1019,IF(S1019&gt;0,"NATIVE INPUT ISSUE",IF(M1019=0,"NO HISTORY",IF(M1019&lt;P1019,"SMALL SAMPLE","DERIVED")))))</x:f>
      </x:c>
      <x:c r="U1019" s="2" t="str">
        <x:f>IF(B1019="","","NativeTable; "&amp;E1019&amp;"; "&amp;F1019&amp;"; "&amp;G1019&amp;"; "&amp;H1019&amp;"; before "&amp;TEXT(J1019,"yyyy-mm-dd")&amp;IF(I1019="RECENT","; from "&amp;TEXT(L1019,"yyyy-mm-dd"),""))</x:f>
      </x:c>
    </x:row>
    <x:row r="1020" ht="21" customHeight="1">
      <x:c r="A1020" s="2" t="n">
        <x:v>85</x:v>
      </x:c>
      <x:c r="B1020" s="2" t="str">
        <x:f>IF('Input_Meci'!A90="","",'Input_Meci'!A90)</x:f>
      </x:c>
      <x:c r="C1020" s="2" t="str">
        <x:v>H</x:v>
      </x:c>
      <x:c r="D1020" s="2" t="str">
        <x:v>PRIOR</x:v>
      </x:c>
      <x:c r="E1020" s="2" t="str">
        <x:f>IF(B1020="","",'Input_Meci'!B90)</x:f>
      </x:c>
      <x:c r="F1020" s="2" t="str">
        <x:f>IF(B1020="","",IF('Input_Meci'!K90="","",'Input_Meci'!K90))</x:f>
      </x:c>
      <x:c r="G1020" s="2" t="str">
        <x:f>IF(B1020="","",'Input_Meci'!D90)</x:f>
      </x:c>
      <x:c r="H1020" s="2" t="str">
        <x:v>ANY</x:v>
      </x:c>
      <x:c r="I1020" s="2" t="str">
        <x:v>SEASON</x:v>
      </x:c>
      <x:c r="J1020" s="9" t="n">
        <x:f>IF(AND(B1020&lt;&gt;"",ISNUMBER('Input_Meci'!G90)),INT('Input_Meci'!G90),0)</x:f>
        <x:v>0</x:v>
      </x:c>
      <x:c r="K1020" s="2" t="n">
        <x:f>IF(OR(B1020="",F1020=""),0,IF(H1020="HOME",COUNTIFS('Istoric_Nativ'!$B$6:$B$405,E1020,'Istoric_Nativ'!$C$6:$C$405,F1020,'Istoric_Nativ'!$E$6:$E$405,G1020,'Istoric_Nativ'!$D$6:$D$405,"&lt;"&amp;J1020,'Istoric_Nativ'!$P$6:$P$405,1),IF(H1020="AWAY",COUNTIFS('Istoric_Nativ'!$B$6:$B$405,E1020,'Istoric_Nativ'!$C$6:$C$405,F1020,'Istoric_Nativ'!$F$6:$F$405,G1020,'Istoric_Nativ'!$D$6:$D$405,"&lt;"&amp;J1020,'Istoric_Nativ'!$P$6:$P$405,1),COUNTIFS('Istoric_Nativ'!$B$6:$B$405,E1020,'Istoric_Nativ'!$C$6:$C$405,F1020,'Istoric_Nativ'!$E$6:$E$405,G1020,'Istoric_Nativ'!$D$6:$D$405,"&lt;"&amp;J1020,'Istoric_Nativ'!$P$6:$P$405,1)+COUNTIFS('Istoric_Nativ'!$B$6:$B$405,E1020,'Istoric_Nativ'!$C$6:$C$405,F1020,'Istoric_Nativ'!$F$6:$F$405,G1020,'Istoric_Nativ'!$D$6:$D$405,"&lt;"&amp;J1020,'Istoric_Nativ'!$P$6:$P$405,1))))</x:f>
        <x:v>0</x:v>
      </x:c>
      <x:c r="L1020" s="17" t="n">
        <x:f>IF(AND(B1020&lt;&gt;"",I1020="RECENT",K1020&gt;0),LARGE(_xlfn._xlws.FILTER('Istoric_Nativ'!$D$6:$D$405,('Istoric_Nativ'!$B$6:$B$405=E1020)*('Istoric_Nativ'!$C$6:$C$405=F1020)*('Istoric_Nativ'!$P$6:$P$405=1)*('Istoric_Nativ'!$D$6:$D$405&lt;J1020)*((('Istoric_Nativ'!$E$6:$E$405=G1020)+('Istoric_Nativ'!$F$6:$F$405=G1020))&gt;0)),MIN('Config_v6'!$B$54,K1020)),0)</x:f>
        <x:v>0</x:v>
      </x:c>
      <x:c r="M1020" s="2" t="n">
        <x:f>IF(OR(B1020="",F1020=""),0,IF(H1020="HOME",COUNTIFS('Istoric_Nativ'!$B$6:$B$405,E1020,'Istoric_Nativ'!$C$6:$C$405,F1020,'Istoric_Nativ'!$E$6:$E$405,G1020,'Istoric_Nativ'!$D$6:$D$405,"&lt;"&amp;J1020,'Istoric_Nativ'!$P$6:$P$405,1,'Istoric_Nativ'!$D$6:$D$405,"&gt;="&amp;L1020),IF(H1020="AWAY",COUNTIFS('Istoric_Nativ'!$B$6:$B$405,E1020,'Istoric_Nativ'!$C$6:$C$405,F1020,'Istoric_Nativ'!$F$6:$F$405,G1020,'Istoric_Nativ'!$D$6:$D$405,"&lt;"&amp;J1020,'Istoric_Nativ'!$P$6:$P$405,1,'Istoric_Nativ'!$D$6:$D$405,"&gt;="&amp;L1020),COUNTIFS('Istoric_Nativ'!$B$6:$B$405,E1020,'Istoric_Nativ'!$C$6:$C$405,F1020,'Istoric_Nativ'!$E$6:$E$405,G1020,'Istoric_Nativ'!$D$6:$D$405,"&lt;"&amp;J1020,'Istoric_Nativ'!$P$6:$P$405,1,'Istoric_Nativ'!$D$6:$D$405,"&gt;="&amp;L1020)+COUNTIFS('Istoric_Nativ'!$B$6:$B$405,E1020,'Istoric_Nativ'!$C$6:$C$405,F1020,'Istoric_Nativ'!$F$6:$F$405,G1020,'Istoric_Nativ'!$D$6:$D$405,"&lt;"&amp;J1020,'Istoric_Nativ'!$P$6:$P$405,1,'Istoric_Nativ'!$D$6:$D$405,"&gt;="&amp;L1020))))</x:f>
        <x:v>0</x:v>
      </x:c>
      <x:c r="N1020" s="11" t="str">
        <x:f>IF(M1020=0,"",IF(H1020="HOME",SUMIFS('Istoric_Nativ'!$G$6:$G$405,'Istoric_Nativ'!$B$6:$B$405,E1020,'Istoric_Nativ'!$C$6:$C$405,F1020,'Istoric_Nativ'!$E$6:$E$405,G1020,'Istoric_Nativ'!$D$6:$D$405,"&lt;"&amp;J1020,'Istoric_Nativ'!$P$6:$P$405,1,'Istoric_Nativ'!$D$6:$D$405,"&gt;="&amp;L1020),IF(H1020="AWAY",SUMIFS('Istoric_Nativ'!$H$6:$H$405,'Istoric_Nativ'!$B$6:$B$405,E1020,'Istoric_Nativ'!$C$6:$C$405,F1020,'Istoric_Nativ'!$F$6:$F$405,G1020,'Istoric_Nativ'!$D$6:$D$405,"&lt;"&amp;J1020,'Istoric_Nativ'!$P$6:$P$405,1,'Istoric_Nativ'!$D$6:$D$405,"&gt;="&amp;L1020),SUMIFS('Istoric_Nativ'!$G$6:$G$405,'Istoric_Nativ'!$B$6:$B$405,E1020,'Istoric_Nativ'!$C$6:$C$405,F1020,'Istoric_Nativ'!$E$6:$E$405,G1020,'Istoric_Nativ'!$D$6:$D$405,"&lt;"&amp;J1020,'Istoric_Nativ'!$P$6:$P$405,1,'Istoric_Nativ'!$D$6:$D$405,"&gt;="&amp;L1020)+SUMIFS('Istoric_Nativ'!$H$6:$H$405,'Istoric_Nativ'!$B$6:$B$405,E1020,'Istoric_Nativ'!$C$6:$C$405,F1020,'Istoric_Nativ'!$F$6:$F$405,G1020,'Istoric_Nativ'!$D$6:$D$405,"&lt;"&amp;J1020,'Istoric_Nativ'!$P$6:$P$405,1,'Istoric_Nativ'!$D$6:$D$405,"&gt;="&amp;L1020)))/M1020)</x:f>
      </x:c>
      <x:c r="O1020" s="11" t="str">
        <x:f>IF(M1020=0,"",IF(H1020="HOME",SUMIFS('Istoric_Nativ'!$H$6:$H$405,'Istoric_Nativ'!$B$6:$B$405,E1020,'Istoric_Nativ'!$C$6:$C$405,F1020,'Istoric_Nativ'!$E$6:$E$405,G1020,'Istoric_Nativ'!$D$6:$D$405,"&lt;"&amp;J1020,'Istoric_Nativ'!$P$6:$P$405,1,'Istoric_Nativ'!$D$6:$D$405,"&gt;="&amp;L1020),IF(H1020="AWAY",SUMIFS('Istoric_Nativ'!$G$6:$G$405,'Istoric_Nativ'!$B$6:$B$405,E1020,'Istoric_Nativ'!$C$6:$C$405,F1020,'Istoric_Nativ'!$F$6:$F$405,G1020,'Istoric_Nativ'!$D$6:$D$405,"&lt;"&amp;J1020,'Istoric_Nativ'!$P$6:$P$405,1,'Istoric_Nativ'!$D$6:$D$405,"&gt;="&amp;L1020),SUMIFS('Istoric_Nativ'!$H$6:$H$405,'Istoric_Nativ'!$B$6:$B$405,E1020,'Istoric_Nativ'!$C$6:$C$405,F1020,'Istoric_Nativ'!$E$6:$E$405,G1020,'Istoric_Nativ'!$D$6:$D$405,"&lt;"&amp;J1020,'Istoric_Nativ'!$P$6:$P$405,1,'Istoric_Nativ'!$D$6:$D$405,"&gt;="&amp;L1020)+SUMIFS('Istoric_Nativ'!$G$6:$G$405,'Istoric_Nativ'!$B$6:$B$405,E1020,'Istoric_Nativ'!$C$6:$C$405,F1020,'Istoric_Nativ'!$F$6:$F$405,G1020,'Istoric_Nativ'!$D$6:$D$405,"&lt;"&amp;J1020,'Istoric_Nativ'!$P$6:$P$405,1,'Istoric_Nativ'!$D$6:$D$405,"&gt;="&amp;L1020)))/M1020)</x:f>
      </x:c>
      <x:c r="P1020" s="2" t="n">
        <x:f>'Config_v6'!$B$7</x:f>
        <x:v>10</x:v>
      </x:c>
      <x:c r="Q1020" s="2" t="n">
        <x:f>IF(OR(B1020="",F1020=""),0,IFERROR(MATCH(E1020&amp;"|"&amp;F1020,SourceTable[Source_Key],0),0))</x:f>
        <x:v>0</x:v>
      </x:c>
      <x:c r="R1020" s="2" t="str">
        <x:f>IF(B1020="","",IF(F1020="","UNUSED",IF(Q1020=0,"NOT CHECKED",IF(COUNTIF(SourceTable[Source_Key],E1020&amp;"|"&amp;F1020)&lt;&gt;1,"SOURCE CONFLICT",IF(NOT(OR(INDEX(SourceTable[Status],MAX(1,Q1020))="IMPORTED",INDEX(SourceTable[Status],MAX(1,Q1020))="PARTIAL",INDEX(SourceTable[Status],MAX(1,Q1020))="SOURCE CONFLICT")),"ACCESS BLOCKED",IF(OR(INDEX(SourceTable[Coverage],Q1020)&lt;&gt;"FULL SEASON EXPORT",INDEX(SourceTable[URL],Q1020)="",INDEX(SourceTable[SHA256],Q1020)=""),"EVIDENCE INCOMPLETE",IF(AND('Input_Meci'!H90="LIVE",INDEX(SourceTable[Retrieved_UTC],Q1020)&gt;'Input_Meci'!G90),"POST CUTOFF","CLOSED")))))))</x:f>
      </x:c>
      <x:c r="S1020" s="2" t="n">
        <x:f>IF(OR(B1020="",F1020=""),0,COUNTIFS('Istoric_Nativ'!$B$6:$B$405,E1020,'Istoric_Nativ'!$C$6:$C$405,F1020,'Istoric_Nativ'!$E$6:$E$405,G1020,'Istoric_Nativ'!$D$6:$D$405,"&lt;"&amp;J1020,'Istoric_Nativ'!$O$6:$O$405,"INVALID")+COUNTIFS('Istoric_Nativ'!$B$6:$B$405,E1020,'Istoric_Nativ'!$C$6:$C$405,F1020,'Istoric_Nativ'!$E$6:$E$405,G1020,'Istoric_Nativ'!$O$6:$O$405,"INVALID",'Istoric_Nativ'!$D$6:$D$405,"*")+COUNTIFS('Istoric_Nativ'!$B$6:$B$405,E1020,'Istoric_Nativ'!$C$6:$C$405,F1020,'Istoric_Nativ'!$E$6:$E$405,G1020,'Istoric_Nativ'!$D$6:$D$405,"&lt;"&amp;J1020,'Istoric_Nativ'!$O$6:$O$405,"SOURCE CONFLICT")+COUNTIFS('Istoric_Nativ'!$B$6:$B$405,E1020,'Istoric_Nativ'!$C$6:$C$405,F1020,'Istoric_Nativ'!$F$6:$F$405,G1020,'Istoric_Nativ'!$D$6:$D$405,"&lt;"&amp;J1020,'Istoric_Nativ'!$O$6:$O$405,"INVALID")+COUNTIFS('Istoric_Nativ'!$B$6:$B$405,E1020,'Istoric_Nativ'!$C$6:$C$405,F1020,'Istoric_Nativ'!$F$6:$F$405,G1020,'Istoric_Nativ'!$O$6:$O$405,"INVALID",'Istoric_Nativ'!$D$6:$D$405,"*")+COUNTIFS('Istoric_Nativ'!$B$6:$B$405,E1020,'Istoric_Nativ'!$C$6:$C$405,F1020,'Istoric_Nativ'!$F$6:$F$405,G1020,'Istoric_Nativ'!$D$6:$D$405,"&lt;"&amp;J1020,'Istoric_Nativ'!$O$6:$O$405,"SOURCE CONFLICT"))</x:f>
        <x:v>0</x:v>
      </x:c>
      <x:c r="T1020" s="2" t="str">
        <x:f>IF(B1020="","",IF(R1020&lt;&gt;"CLOSED",R1020,IF(S1020&gt;0,"NATIVE INPUT ISSUE",IF(M1020=0,"NO HISTORY",IF(M1020&lt;P1020,"SMALL SAMPLE","DERIVED")))))</x:f>
      </x:c>
      <x:c r="U1020" s="2" t="str">
        <x:f>IF(B1020="","","NativeTable; "&amp;E1020&amp;"; "&amp;F1020&amp;"; "&amp;G1020&amp;"; "&amp;H1020&amp;"; before "&amp;TEXT(J1020,"yyyy-mm-dd")&amp;IF(I1020="RECENT","; from "&amp;TEXT(L1020,"yyyy-mm-dd"),""))</x:f>
      </x:c>
    </x:row>
    <x:row r="1021" ht="21" customHeight="1">
      <x:c r="A1021" s="2" t="n">
        <x:v>85</x:v>
      </x:c>
      <x:c r="B1021" s="2" t="str">
        <x:f>IF('Input_Meci'!A90="","",'Input_Meci'!A90)</x:f>
      </x:c>
      <x:c r="C1021" s="2" t="str">
        <x:v>H</x:v>
      </x:c>
      <x:c r="D1021" s="2" t="str">
        <x:v>PRIOR</x:v>
      </x:c>
      <x:c r="E1021" s="2" t="str">
        <x:f>IF(B1021="","",'Input_Meci'!B90)</x:f>
      </x:c>
      <x:c r="F1021" s="2" t="str">
        <x:f>IF(B1021="","",IF('Input_Meci'!K90="","",'Input_Meci'!K90))</x:f>
      </x:c>
      <x:c r="G1021" s="2" t="str">
        <x:f>IF(B1021="","",'Input_Meci'!D90)</x:f>
      </x:c>
      <x:c r="H1021" s="2" t="str">
        <x:v>HOME</x:v>
      </x:c>
      <x:c r="I1021" s="2" t="str">
        <x:v>HA</x:v>
      </x:c>
      <x:c r="J1021" s="9" t="n">
        <x:f>IF(AND(B1021&lt;&gt;"",ISNUMBER('Input_Meci'!G90)),INT('Input_Meci'!G90),0)</x:f>
        <x:v>0</x:v>
      </x:c>
      <x:c r="K1021" s="2" t="n">
        <x:f>IF(OR(B1021="",F1021=""),0,IF(H1021="HOME",COUNTIFS('Istoric_Nativ'!$B$6:$B$405,E1021,'Istoric_Nativ'!$C$6:$C$405,F1021,'Istoric_Nativ'!$E$6:$E$405,G1021,'Istoric_Nativ'!$D$6:$D$405,"&lt;"&amp;J1021,'Istoric_Nativ'!$P$6:$P$405,1),IF(H1021="AWAY",COUNTIFS('Istoric_Nativ'!$B$6:$B$405,E1021,'Istoric_Nativ'!$C$6:$C$405,F1021,'Istoric_Nativ'!$F$6:$F$405,G1021,'Istoric_Nativ'!$D$6:$D$405,"&lt;"&amp;J1021,'Istoric_Nativ'!$P$6:$P$405,1),COUNTIFS('Istoric_Nativ'!$B$6:$B$405,E1021,'Istoric_Nativ'!$C$6:$C$405,F1021,'Istoric_Nativ'!$E$6:$E$405,G1021,'Istoric_Nativ'!$D$6:$D$405,"&lt;"&amp;J1021,'Istoric_Nativ'!$P$6:$P$405,1)+COUNTIFS('Istoric_Nativ'!$B$6:$B$405,E1021,'Istoric_Nativ'!$C$6:$C$405,F1021,'Istoric_Nativ'!$F$6:$F$405,G1021,'Istoric_Nativ'!$D$6:$D$405,"&lt;"&amp;J1021,'Istoric_Nativ'!$P$6:$P$405,1))))</x:f>
        <x:v>0</x:v>
      </x:c>
      <x:c r="L1021" s="17" t="n">
        <x:f>IF(AND(B1021&lt;&gt;"",I1021="RECENT",K1021&gt;0),LARGE(_xlfn._xlws.FILTER('Istoric_Nativ'!$D$6:$D$405,('Istoric_Nativ'!$B$6:$B$405=E1021)*('Istoric_Nativ'!$C$6:$C$405=F1021)*('Istoric_Nativ'!$P$6:$P$405=1)*('Istoric_Nativ'!$D$6:$D$405&lt;J1021)*((('Istoric_Nativ'!$E$6:$E$405=G1021)+('Istoric_Nativ'!$F$6:$F$405=G1021))&gt;0)),MIN('Config_v6'!$B$54,K1021)),0)</x:f>
        <x:v>0</x:v>
      </x:c>
      <x:c r="M1021" s="2" t="n">
        <x:f>IF(OR(B1021="",F1021=""),0,IF(H1021="HOME",COUNTIFS('Istoric_Nativ'!$B$6:$B$405,E1021,'Istoric_Nativ'!$C$6:$C$405,F1021,'Istoric_Nativ'!$E$6:$E$405,G1021,'Istoric_Nativ'!$D$6:$D$405,"&lt;"&amp;J1021,'Istoric_Nativ'!$P$6:$P$405,1,'Istoric_Nativ'!$D$6:$D$405,"&gt;="&amp;L1021),IF(H1021="AWAY",COUNTIFS('Istoric_Nativ'!$B$6:$B$405,E1021,'Istoric_Nativ'!$C$6:$C$405,F1021,'Istoric_Nativ'!$F$6:$F$405,G1021,'Istoric_Nativ'!$D$6:$D$405,"&lt;"&amp;J1021,'Istoric_Nativ'!$P$6:$P$405,1,'Istoric_Nativ'!$D$6:$D$405,"&gt;="&amp;L1021),COUNTIFS('Istoric_Nativ'!$B$6:$B$405,E1021,'Istoric_Nativ'!$C$6:$C$405,F1021,'Istoric_Nativ'!$E$6:$E$405,G1021,'Istoric_Nativ'!$D$6:$D$405,"&lt;"&amp;J1021,'Istoric_Nativ'!$P$6:$P$405,1,'Istoric_Nativ'!$D$6:$D$405,"&gt;="&amp;L1021)+COUNTIFS('Istoric_Nativ'!$B$6:$B$405,E1021,'Istoric_Nativ'!$C$6:$C$405,F1021,'Istoric_Nativ'!$F$6:$F$405,G1021,'Istoric_Nativ'!$D$6:$D$405,"&lt;"&amp;J1021,'Istoric_Nativ'!$P$6:$P$405,1,'Istoric_Nativ'!$D$6:$D$405,"&gt;="&amp;L1021))))</x:f>
        <x:v>0</x:v>
      </x:c>
      <x:c r="N1021" s="11" t="str">
        <x:f>IF(M1021=0,"",IF(H1021="HOME",SUMIFS('Istoric_Nativ'!$G$6:$G$405,'Istoric_Nativ'!$B$6:$B$405,E1021,'Istoric_Nativ'!$C$6:$C$405,F1021,'Istoric_Nativ'!$E$6:$E$405,G1021,'Istoric_Nativ'!$D$6:$D$405,"&lt;"&amp;J1021,'Istoric_Nativ'!$P$6:$P$405,1,'Istoric_Nativ'!$D$6:$D$405,"&gt;="&amp;L1021),IF(H1021="AWAY",SUMIFS('Istoric_Nativ'!$H$6:$H$405,'Istoric_Nativ'!$B$6:$B$405,E1021,'Istoric_Nativ'!$C$6:$C$405,F1021,'Istoric_Nativ'!$F$6:$F$405,G1021,'Istoric_Nativ'!$D$6:$D$405,"&lt;"&amp;J1021,'Istoric_Nativ'!$P$6:$P$405,1,'Istoric_Nativ'!$D$6:$D$405,"&gt;="&amp;L1021),SUMIFS('Istoric_Nativ'!$G$6:$G$405,'Istoric_Nativ'!$B$6:$B$405,E1021,'Istoric_Nativ'!$C$6:$C$405,F1021,'Istoric_Nativ'!$E$6:$E$405,G1021,'Istoric_Nativ'!$D$6:$D$405,"&lt;"&amp;J1021,'Istoric_Nativ'!$P$6:$P$405,1,'Istoric_Nativ'!$D$6:$D$405,"&gt;="&amp;L1021)+SUMIFS('Istoric_Nativ'!$H$6:$H$405,'Istoric_Nativ'!$B$6:$B$405,E1021,'Istoric_Nativ'!$C$6:$C$405,F1021,'Istoric_Nativ'!$F$6:$F$405,G1021,'Istoric_Nativ'!$D$6:$D$405,"&lt;"&amp;J1021,'Istoric_Nativ'!$P$6:$P$405,1,'Istoric_Nativ'!$D$6:$D$405,"&gt;="&amp;L1021)))/M1021)</x:f>
      </x:c>
      <x:c r="O1021" s="11" t="str">
        <x:f>IF(M1021=0,"",IF(H1021="HOME",SUMIFS('Istoric_Nativ'!$H$6:$H$405,'Istoric_Nativ'!$B$6:$B$405,E1021,'Istoric_Nativ'!$C$6:$C$405,F1021,'Istoric_Nativ'!$E$6:$E$405,G1021,'Istoric_Nativ'!$D$6:$D$405,"&lt;"&amp;J1021,'Istoric_Nativ'!$P$6:$P$405,1,'Istoric_Nativ'!$D$6:$D$405,"&gt;="&amp;L1021),IF(H1021="AWAY",SUMIFS('Istoric_Nativ'!$G$6:$G$405,'Istoric_Nativ'!$B$6:$B$405,E1021,'Istoric_Nativ'!$C$6:$C$405,F1021,'Istoric_Nativ'!$F$6:$F$405,G1021,'Istoric_Nativ'!$D$6:$D$405,"&lt;"&amp;J1021,'Istoric_Nativ'!$P$6:$P$405,1,'Istoric_Nativ'!$D$6:$D$405,"&gt;="&amp;L1021),SUMIFS('Istoric_Nativ'!$H$6:$H$405,'Istoric_Nativ'!$B$6:$B$405,E1021,'Istoric_Nativ'!$C$6:$C$405,F1021,'Istoric_Nativ'!$E$6:$E$405,G1021,'Istoric_Nativ'!$D$6:$D$405,"&lt;"&amp;J1021,'Istoric_Nativ'!$P$6:$P$405,1,'Istoric_Nativ'!$D$6:$D$405,"&gt;="&amp;L1021)+SUMIFS('Istoric_Nativ'!$G$6:$G$405,'Istoric_Nativ'!$B$6:$B$405,E1021,'Istoric_Nativ'!$C$6:$C$405,F1021,'Istoric_Nativ'!$F$6:$F$405,G1021,'Istoric_Nativ'!$D$6:$D$405,"&lt;"&amp;J1021,'Istoric_Nativ'!$P$6:$P$405,1,'Istoric_Nativ'!$D$6:$D$405,"&gt;="&amp;L1021)))/M1021)</x:f>
      </x:c>
      <x:c r="P1021" s="2" t="n">
        <x:f>'Config_v6'!$B$8</x:f>
        <x:v>5</x:v>
      </x:c>
      <x:c r="Q1021" s="2" t="n">
        <x:f>IF(OR(B1021="",F1021=""),0,IFERROR(MATCH(E1021&amp;"|"&amp;F1021,SourceTable[Source_Key],0),0))</x:f>
        <x:v>0</x:v>
      </x:c>
      <x:c r="R1021" s="2" t="str">
        <x:f>IF(B1021="","",IF(F1021="","UNUSED",IF(Q1021=0,"NOT CHECKED",IF(COUNTIF(SourceTable[Source_Key],E1021&amp;"|"&amp;F1021)&lt;&gt;1,"SOURCE CONFLICT",IF(NOT(OR(INDEX(SourceTable[Status],MAX(1,Q1021))="IMPORTED",INDEX(SourceTable[Status],MAX(1,Q1021))="PARTIAL",INDEX(SourceTable[Status],MAX(1,Q1021))="SOURCE CONFLICT")),"ACCESS BLOCKED",IF(OR(INDEX(SourceTable[Coverage],Q1021)&lt;&gt;"FULL SEASON EXPORT",INDEX(SourceTable[URL],Q1021)="",INDEX(SourceTable[SHA256],Q1021)=""),"EVIDENCE INCOMPLETE",IF(AND('Input_Meci'!H90="LIVE",INDEX(SourceTable[Retrieved_UTC],Q1021)&gt;'Input_Meci'!G90),"POST CUTOFF","CLOSED")))))))</x:f>
      </x:c>
      <x:c r="S1021" s="2" t="n">
        <x:f>IF(OR(B1021="",F1021=""),0,COUNTIFS('Istoric_Nativ'!$B$6:$B$405,E1021,'Istoric_Nativ'!$C$6:$C$405,F1021,'Istoric_Nativ'!$E$6:$E$405,G1021,'Istoric_Nativ'!$D$6:$D$405,"&lt;"&amp;J1021,'Istoric_Nativ'!$O$6:$O$405,"INVALID")+COUNTIFS('Istoric_Nativ'!$B$6:$B$405,E1021,'Istoric_Nativ'!$C$6:$C$405,F1021,'Istoric_Nativ'!$E$6:$E$405,G1021,'Istoric_Nativ'!$O$6:$O$405,"INVALID",'Istoric_Nativ'!$D$6:$D$405,"*")+COUNTIFS('Istoric_Nativ'!$B$6:$B$405,E1021,'Istoric_Nativ'!$C$6:$C$405,F1021,'Istoric_Nativ'!$E$6:$E$405,G1021,'Istoric_Nativ'!$D$6:$D$405,"&lt;"&amp;J1021,'Istoric_Nativ'!$O$6:$O$405,"SOURCE CONFLICT")+COUNTIFS('Istoric_Nativ'!$B$6:$B$405,E1021,'Istoric_Nativ'!$C$6:$C$405,F1021,'Istoric_Nativ'!$F$6:$F$405,G1021,'Istoric_Nativ'!$D$6:$D$405,"&lt;"&amp;J1021,'Istoric_Nativ'!$O$6:$O$405,"INVALID")+COUNTIFS('Istoric_Nativ'!$B$6:$B$405,E1021,'Istoric_Nativ'!$C$6:$C$405,F1021,'Istoric_Nativ'!$F$6:$F$405,G1021,'Istoric_Nativ'!$O$6:$O$405,"INVALID",'Istoric_Nativ'!$D$6:$D$405,"*")+COUNTIFS('Istoric_Nativ'!$B$6:$B$405,E1021,'Istoric_Nativ'!$C$6:$C$405,F1021,'Istoric_Nativ'!$F$6:$F$405,G1021,'Istoric_Nativ'!$D$6:$D$405,"&lt;"&amp;J1021,'Istoric_Nativ'!$O$6:$O$405,"SOURCE CONFLICT"))</x:f>
        <x:v>0</x:v>
      </x:c>
      <x:c r="T1021" s="2" t="str">
        <x:f>IF(B1021="","",IF(R1021&lt;&gt;"CLOSED",R1021,IF(S1021&gt;0,"NATIVE INPUT ISSUE",IF(M1021=0,"NO HISTORY",IF(M1021&lt;P1021,"SMALL SAMPLE","DERIVED")))))</x:f>
      </x:c>
      <x:c r="U1021" s="2" t="str">
        <x:f>IF(B1021="","","NativeTable; "&amp;E1021&amp;"; "&amp;F1021&amp;"; "&amp;G1021&amp;"; "&amp;H1021&amp;"; before "&amp;TEXT(J1021,"yyyy-mm-dd")&amp;IF(I1021="RECENT","; from "&amp;TEXT(L1021,"yyyy-mm-dd"),""))</x:f>
      </x:c>
    </x:row>
    <x:row r="1022" ht="21" customHeight="1">
      <x:c r="A1022" s="2" t="n">
        <x:v>85</x:v>
      </x:c>
      <x:c r="B1022" s="2" t="str">
        <x:f>IF('Input_Meci'!A90="","",'Input_Meci'!A90)</x:f>
      </x:c>
      <x:c r="C1022" s="2" t="str">
        <x:v>H</x:v>
      </x:c>
      <x:c r="D1022" s="2" t="str">
        <x:v>PRIOR</x:v>
      </x:c>
      <x:c r="E1022" s="2" t="str">
        <x:f>IF(B1022="","",'Input_Meci'!B90)</x:f>
      </x:c>
      <x:c r="F1022" s="2" t="str">
        <x:f>IF(B1022="","",IF('Input_Meci'!K90="","",'Input_Meci'!K90))</x:f>
      </x:c>
      <x:c r="G1022" s="2" t="str">
        <x:f>IF(B1022="","",'Input_Meci'!D90)</x:f>
      </x:c>
      <x:c r="H1022" s="2" t="str">
        <x:v>ANY</x:v>
      </x:c>
      <x:c r="I1022" s="2" t="str">
        <x:v>RECENT</x:v>
      </x:c>
      <x:c r="J1022" s="9" t="n">
        <x:f>IF(AND(B1022&lt;&gt;"",ISNUMBER('Input_Meci'!G90)),INT('Input_Meci'!G90),0)</x:f>
        <x:v>0</x:v>
      </x:c>
      <x:c r="K1022" s="2" t="n">
        <x:f>IF(OR(B1022="",F1022=""),0,IF(H1022="HOME",COUNTIFS('Istoric_Nativ'!$B$6:$B$405,E1022,'Istoric_Nativ'!$C$6:$C$405,F1022,'Istoric_Nativ'!$E$6:$E$405,G1022,'Istoric_Nativ'!$D$6:$D$405,"&lt;"&amp;J1022,'Istoric_Nativ'!$P$6:$P$405,1),IF(H1022="AWAY",COUNTIFS('Istoric_Nativ'!$B$6:$B$405,E1022,'Istoric_Nativ'!$C$6:$C$405,F1022,'Istoric_Nativ'!$F$6:$F$405,G1022,'Istoric_Nativ'!$D$6:$D$405,"&lt;"&amp;J1022,'Istoric_Nativ'!$P$6:$P$405,1),COUNTIFS('Istoric_Nativ'!$B$6:$B$405,E1022,'Istoric_Nativ'!$C$6:$C$405,F1022,'Istoric_Nativ'!$E$6:$E$405,G1022,'Istoric_Nativ'!$D$6:$D$405,"&lt;"&amp;J1022,'Istoric_Nativ'!$P$6:$P$405,1)+COUNTIFS('Istoric_Nativ'!$B$6:$B$405,E1022,'Istoric_Nativ'!$C$6:$C$405,F1022,'Istoric_Nativ'!$F$6:$F$405,G1022,'Istoric_Nativ'!$D$6:$D$405,"&lt;"&amp;J1022,'Istoric_Nativ'!$P$6:$P$405,1))))</x:f>
        <x:v>0</x:v>
      </x:c>
      <x:c r="L1022" s="17" t="n">
        <x:f>IF(AND(B1022&lt;&gt;"",I1022="RECENT",K1022&gt;0),LARGE(_xlfn._xlws.FILTER('Istoric_Nativ'!$D$6:$D$405,('Istoric_Nativ'!$B$6:$B$405=E1022)*('Istoric_Nativ'!$C$6:$C$405=F1022)*('Istoric_Nativ'!$P$6:$P$405=1)*('Istoric_Nativ'!$D$6:$D$405&lt;J1022)*((('Istoric_Nativ'!$E$6:$E$405=G1022)+('Istoric_Nativ'!$F$6:$F$405=G1022))&gt;0)),MIN('Config_v6'!$B$54,K1022)),0)</x:f>
        <x:v>0</x:v>
      </x:c>
      <x:c r="M1022" s="2" t="n">
        <x:f>IF(OR(B1022="",F1022=""),0,IF(H1022="HOME",COUNTIFS('Istoric_Nativ'!$B$6:$B$405,E1022,'Istoric_Nativ'!$C$6:$C$405,F1022,'Istoric_Nativ'!$E$6:$E$405,G1022,'Istoric_Nativ'!$D$6:$D$405,"&lt;"&amp;J1022,'Istoric_Nativ'!$P$6:$P$405,1,'Istoric_Nativ'!$D$6:$D$405,"&gt;="&amp;L1022),IF(H1022="AWAY",COUNTIFS('Istoric_Nativ'!$B$6:$B$405,E1022,'Istoric_Nativ'!$C$6:$C$405,F1022,'Istoric_Nativ'!$F$6:$F$405,G1022,'Istoric_Nativ'!$D$6:$D$405,"&lt;"&amp;J1022,'Istoric_Nativ'!$P$6:$P$405,1,'Istoric_Nativ'!$D$6:$D$405,"&gt;="&amp;L1022),COUNTIFS('Istoric_Nativ'!$B$6:$B$405,E1022,'Istoric_Nativ'!$C$6:$C$405,F1022,'Istoric_Nativ'!$E$6:$E$405,G1022,'Istoric_Nativ'!$D$6:$D$405,"&lt;"&amp;J1022,'Istoric_Nativ'!$P$6:$P$405,1,'Istoric_Nativ'!$D$6:$D$405,"&gt;="&amp;L1022)+COUNTIFS('Istoric_Nativ'!$B$6:$B$405,E1022,'Istoric_Nativ'!$C$6:$C$405,F1022,'Istoric_Nativ'!$F$6:$F$405,G1022,'Istoric_Nativ'!$D$6:$D$405,"&lt;"&amp;J1022,'Istoric_Nativ'!$P$6:$P$405,1,'Istoric_Nativ'!$D$6:$D$405,"&gt;="&amp;L1022))))</x:f>
        <x:v>0</x:v>
      </x:c>
      <x:c r="N1022" s="11" t="str">
        <x:f>IF(M1022=0,"",IF(H1022="HOME",SUMIFS('Istoric_Nativ'!$G$6:$G$405,'Istoric_Nativ'!$B$6:$B$405,E1022,'Istoric_Nativ'!$C$6:$C$405,F1022,'Istoric_Nativ'!$E$6:$E$405,G1022,'Istoric_Nativ'!$D$6:$D$405,"&lt;"&amp;J1022,'Istoric_Nativ'!$P$6:$P$405,1,'Istoric_Nativ'!$D$6:$D$405,"&gt;="&amp;L1022),IF(H1022="AWAY",SUMIFS('Istoric_Nativ'!$H$6:$H$405,'Istoric_Nativ'!$B$6:$B$405,E1022,'Istoric_Nativ'!$C$6:$C$405,F1022,'Istoric_Nativ'!$F$6:$F$405,G1022,'Istoric_Nativ'!$D$6:$D$405,"&lt;"&amp;J1022,'Istoric_Nativ'!$P$6:$P$405,1,'Istoric_Nativ'!$D$6:$D$405,"&gt;="&amp;L1022),SUMIFS('Istoric_Nativ'!$G$6:$G$405,'Istoric_Nativ'!$B$6:$B$405,E1022,'Istoric_Nativ'!$C$6:$C$405,F1022,'Istoric_Nativ'!$E$6:$E$405,G1022,'Istoric_Nativ'!$D$6:$D$405,"&lt;"&amp;J1022,'Istoric_Nativ'!$P$6:$P$405,1,'Istoric_Nativ'!$D$6:$D$405,"&gt;="&amp;L1022)+SUMIFS('Istoric_Nativ'!$H$6:$H$405,'Istoric_Nativ'!$B$6:$B$405,E1022,'Istoric_Nativ'!$C$6:$C$405,F1022,'Istoric_Nativ'!$F$6:$F$405,G1022,'Istoric_Nativ'!$D$6:$D$405,"&lt;"&amp;J1022,'Istoric_Nativ'!$P$6:$P$405,1,'Istoric_Nativ'!$D$6:$D$405,"&gt;="&amp;L1022)))/M1022)</x:f>
      </x:c>
      <x:c r="O1022" s="11" t="str">
        <x:f>IF(M1022=0,"",IF(H1022="HOME",SUMIFS('Istoric_Nativ'!$H$6:$H$405,'Istoric_Nativ'!$B$6:$B$405,E1022,'Istoric_Nativ'!$C$6:$C$405,F1022,'Istoric_Nativ'!$E$6:$E$405,G1022,'Istoric_Nativ'!$D$6:$D$405,"&lt;"&amp;J1022,'Istoric_Nativ'!$P$6:$P$405,1,'Istoric_Nativ'!$D$6:$D$405,"&gt;="&amp;L1022),IF(H1022="AWAY",SUMIFS('Istoric_Nativ'!$G$6:$G$405,'Istoric_Nativ'!$B$6:$B$405,E1022,'Istoric_Nativ'!$C$6:$C$405,F1022,'Istoric_Nativ'!$F$6:$F$405,G1022,'Istoric_Nativ'!$D$6:$D$405,"&lt;"&amp;J1022,'Istoric_Nativ'!$P$6:$P$405,1,'Istoric_Nativ'!$D$6:$D$405,"&gt;="&amp;L1022),SUMIFS('Istoric_Nativ'!$H$6:$H$405,'Istoric_Nativ'!$B$6:$B$405,E1022,'Istoric_Nativ'!$C$6:$C$405,F1022,'Istoric_Nativ'!$E$6:$E$405,G1022,'Istoric_Nativ'!$D$6:$D$405,"&lt;"&amp;J1022,'Istoric_Nativ'!$P$6:$P$405,1,'Istoric_Nativ'!$D$6:$D$405,"&gt;="&amp;L1022)+SUMIFS('Istoric_Nativ'!$G$6:$G$405,'Istoric_Nativ'!$B$6:$B$405,E1022,'Istoric_Nativ'!$C$6:$C$405,F1022,'Istoric_Nativ'!$F$6:$F$405,G1022,'Istoric_Nativ'!$D$6:$D$405,"&lt;"&amp;J1022,'Istoric_Nativ'!$P$6:$P$405,1,'Istoric_Nativ'!$D$6:$D$405,"&gt;="&amp;L1022)))/M1022)</x:f>
      </x:c>
      <x:c r="P1022" s="2" t="n">
        <x:f>'Config_v6'!$B$9</x:f>
        <x:v>3</x:v>
      </x:c>
      <x:c r="Q1022" s="2" t="n">
        <x:f>IF(OR(B1022="",F1022=""),0,IFERROR(MATCH(E1022&amp;"|"&amp;F1022,SourceTable[Source_Key],0),0))</x:f>
        <x:v>0</x:v>
      </x:c>
      <x:c r="R1022" s="2" t="str">
        <x:f>IF(B1022="","",IF(F1022="","UNUSED",IF(Q1022=0,"NOT CHECKED",IF(COUNTIF(SourceTable[Source_Key],E1022&amp;"|"&amp;F1022)&lt;&gt;1,"SOURCE CONFLICT",IF(NOT(OR(INDEX(SourceTable[Status],MAX(1,Q1022))="IMPORTED",INDEX(SourceTable[Status],MAX(1,Q1022))="PARTIAL",INDEX(SourceTable[Status],MAX(1,Q1022))="SOURCE CONFLICT")),"ACCESS BLOCKED",IF(OR(INDEX(SourceTable[Coverage],Q1022)&lt;&gt;"FULL SEASON EXPORT",INDEX(SourceTable[URL],Q1022)="",INDEX(SourceTable[SHA256],Q1022)=""),"EVIDENCE INCOMPLETE",IF(AND('Input_Meci'!H90="LIVE",INDEX(SourceTable[Retrieved_UTC],Q1022)&gt;'Input_Meci'!G90),"POST CUTOFF","CLOSED")))))))</x:f>
      </x:c>
      <x:c r="S1022" s="2" t="n">
        <x:f>IF(OR(B1022="",F1022=""),0,COUNTIFS('Istoric_Nativ'!$B$6:$B$405,E1022,'Istoric_Nativ'!$C$6:$C$405,F1022,'Istoric_Nativ'!$E$6:$E$405,G1022,'Istoric_Nativ'!$D$6:$D$405,"&lt;"&amp;J1022,'Istoric_Nativ'!$O$6:$O$405,"INVALID")+COUNTIFS('Istoric_Nativ'!$B$6:$B$405,E1022,'Istoric_Nativ'!$C$6:$C$405,F1022,'Istoric_Nativ'!$E$6:$E$405,G1022,'Istoric_Nativ'!$O$6:$O$405,"INVALID",'Istoric_Nativ'!$D$6:$D$405,"*")+COUNTIFS('Istoric_Nativ'!$B$6:$B$405,E1022,'Istoric_Nativ'!$C$6:$C$405,F1022,'Istoric_Nativ'!$E$6:$E$405,G1022,'Istoric_Nativ'!$D$6:$D$405,"&lt;"&amp;J1022,'Istoric_Nativ'!$O$6:$O$405,"SOURCE CONFLICT")+COUNTIFS('Istoric_Nativ'!$B$6:$B$405,E1022,'Istoric_Nativ'!$C$6:$C$405,F1022,'Istoric_Nativ'!$F$6:$F$405,G1022,'Istoric_Nativ'!$D$6:$D$405,"&lt;"&amp;J1022,'Istoric_Nativ'!$O$6:$O$405,"INVALID")+COUNTIFS('Istoric_Nativ'!$B$6:$B$405,E1022,'Istoric_Nativ'!$C$6:$C$405,F1022,'Istoric_Nativ'!$F$6:$F$405,G1022,'Istoric_Nativ'!$O$6:$O$405,"INVALID",'Istoric_Nativ'!$D$6:$D$405,"*")+COUNTIFS('Istoric_Nativ'!$B$6:$B$405,E1022,'Istoric_Nativ'!$C$6:$C$405,F1022,'Istoric_Nativ'!$F$6:$F$405,G1022,'Istoric_Nativ'!$D$6:$D$405,"&lt;"&amp;J1022,'Istoric_Nativ'!$O$6:$O$405,"SOURCE CONFLICT"))</x:f>
        <x:v>0</x:v>
      </x:c>
      <x:c r="T1022" s="2" t="str">
        <x:f>IF(B1022="","",IF(R1022&lt;&gt;"CLOSED",R1022,IF(S1022&gt;0,"NATIVE INPUT ISSUE",IF(M1022=0,"NO HISTORY",IF(M1022&lt;P1022,"SMALL SAMPLE","DERIVED")))))</x:f>
      </x:c>
      <x:c r="U1022" s="2" t="str">
        <x:f>IF(B1022="","","NativeTable; "&amp;E1022&amp;"; "&amp;F1022&amp;"; "&amp;G1022&amp;"; "&amp;H1022&amp;"; before "&amp;TEXT(J1022,"yyyy-mm-dd")&amp;IF(I1022="RECENT","; from "&amp;TEXT(L1022,"yyyy-mm-dd"),""))</x:f>
      </x:c>
    </x:row>
    <x:row r="1023" ht="21" customHeight="1">
      <x:c r="A1023" s="2" t="n">
        <x:v>85</x:v>
      </x:c>
      <x:c r="B1023" s="2" t="str">
        <x:f>IF('Input_Meci'!A90="","",'Input_Meci'!A90)</x:f>
      </x:c>
      <x:c r="C1023" s="2" t="str">
        <x:v>A</x:v>
      </x:c>
      <x:c r="D1023" s="2" t="str">
        <x:v>PRIOR</x:v>
      </x:c>
      <x:c r="E1023" s="2" t="str">
        <x:f>IF(B1023="","",'Input_Meci'!B90)</x:f>
      </x:c>
      <x:c r="F1023" s="2" t="str">
        <x:f>IF(B1023="","",IF('Input_Meci'!K90="","",'Input_Meci'!K90))</x:f>
      </x:c>
      <x:c r="G1023" s="2" t="str">
        <x:f>IF(B1023="","",'Input_Meci'!E90)</x:f>
      </x:c>
      <x:c r="H1023" s="2" t="str">
        <x:v>ANY</x:v>
      </x:c>
      <x:c r="I1023" s="2" t="str">
        <x:v>SEASON</x:v>
      </x:c>
      <x:c r="J1023" s="9" t="n">
        <x:f>IF(AND(B1023&lt;&gt;"",ISNUMBER('Input_Meci'!G90)),INT('Input_Meci'!G90),0)</x:f>
        <x:v>0</x:v>
      </x:c>
      <x:c r="K1023" s="2" t="n">
        <x:f>IF(OR(B1023="",F1023=""),0,IF(H1023="HOME",COUNTIFS('Istoric_Nativ'!$B$6:$B$405,E1023,'Istoric_Nativ'!$C$6:$C$405,F1023,'Istoric_Nativ'!$E$6:$E$405,G1023,'Istoric_Nativ'!$D$6:$D$405,"&lt;"&amp;J1023,'Istoric_Nativ'!$P$6:$P$405,1),IF(H1023="AWAY",COUNTIFS('Istoric_Nativ'!$B$6:$B$405,E1023,'Istoric_Nativ'!$C$6:$C$405,F1023,'Istoric_Nativ'!$F$6:$F$405,G1023,'Istoric_Nativ'!$D$6:$D$405,"&lt;"&amp;J1023,'Istoric_Nativ'!$P$6:$P$405,1),COUNTIFS('Istoric_Nativ'!$B$6:$B$405,E1023,'Istoric_Nativ'!$C$6:$C$405,F1023,'Istoric_Nativ'!$E$6:$E$405,G1023,'Istoric_Nativ'!$D$6:$D$405,"&lt;"&amp;J1023,'Istoric_Nativ'!$P$6:$P$405,1)+COUNTIFS('Istoric_Nativ'!$B$6:$B$405,E1023,'Istoric_Nativ'!$C$6:$C$405,F1023,'Istoric_Nativ'!$F$6:$F$405,G1023,'Istoric_Nativ'!$D$6:$D$405,"&lt;"&amp;J1023,'Istoric_Nativ'!$P$6:$P$405,1))))</x:f>
        <x:v>0</x:v>
      </x:c>
      <x:c r="L1023" s="17" t="n">
        <x:f>IF(AND(B1023&lt;&gt;"",I1023="RECENT",K1023&gt;0),LARGE(_xlfn._xlws.FILTER('Istoric_Nativ'!$D$6:$D$405,('Istoric_Nativ'!$B$6:$B$405=E1023)*('Istoric_Nativ'!$C$6:$C$405=F1023)*('Istoric_Nativ'!$P$6:$P$405=1)*('Istoric_Nativ'!$D$6:$D$405&lt;J1023)*((('Istoric_Nativ'!$E$6:$E$405=G1023)+('Istoric_Nativ'!$F$6:$F$405=G1023))&gt;0)),MIN('Config_v6'!$B$54,K1023)),0)</x:f>
        <x:v>0</x:v>
      </x:c>
      <x:c r="M1023" s="2" t="n">
        <x:f>IF(OR(B1023="",F1023=""),0,IF(H1023="HOME",COUNTIFS('Istoric_Nativ'!$B$6:$B$405,E1023,'Istoric_Nativ'!$C$6:$C$405,F1023,'Istoric_Nativ'!$E$6:$E$405,G1023,'Istoric_Nativ'!$D$6:$D$405,"&lt;"&amp;J1023,'Istoric_Nativ'!$P$6:$P$405,1,'Istoric_Nativ'!$D$6:$D$405,"&gt;="&amp;L1023),IF(H1023="AWAY",COUNTIFS('Istoric_Nativ'!$B$6:$B$405,E1023,'Istoric_Nativ'!$C$6:$C$405,F1023,'Istoric_Nativ'!$F$6:$F$405,G1023,'Istoric_Nativ'!$D$6:$D$405,"&lt;"&amp;J1023,'Istoric_Nativ'!$P$6:$P$405,1,'Istoric_Nativ'!$D$6:$D$405,"&gt;="&amp;L1023),COUNTIFS('Istoric_Nativ'!$B$6:$B$405,E1023,'Istoric_Nativ'!$C$6:$C$405,F1023,'Istoric_Nativ'!$E$6:$E$405,G1023,'Istoric_Nativ'!$D$6:$D$405,"&lt;"&amp;J1023,'Istoric_Nativ'!$P$6:$P$405,1,'Istoric_Nativ'!$D$6:$D$405,"&gt;="&amp;L1023)+COUNTIFS('Istoric_Nativ'!$B$6:$B$405,E1023,'Istoric_Nativ'!$C$6:$C$405,F1023,'Istoric_Nativ'!$F$6:$F$405,G1023,'Istoric_Nativ'!$D$6:$D$405,"&lt;"&amp;J1023,'Istoric_Nativ'!$P$6:$P$405,1,'Istoric_Nativ'!$D$6:$D$405,"&gt;="&amp;L1023))))</x:f>
        <x:v>0</x:v>
      </x:c>
      <x:c r="N1023" s="11" t="str">
        <x:f>IF(M1023=0,"",IF(H1023="HOME",SUMIFS('Istoric_Nativ'!$G$6:$G$405,'Istoric_Nativ'!$B$6:$B$405,E1023,'Istoric_Nativ'!$C$6:$C$405,F1023,'Istoric_Nativ'!$E$6:$E$405,G1023,'Istoric_Nativ'!$D$6:$D$405,"&lt;"&amp;J1023,'Istoric_Nativ'!$P$6:$P$405,1,'Istoric_Nativ'!$D$6:$D$405,"&gt;="&amp;L1023),IF(H1023="AWAY",SUMIFS('Istoric_Nativ'!$H$6:$H$405,'Istoric_Nativ'!$B$6:$B$405,E1023,'Istoric_Nativ'!$C$6:$C$405,F1023,'Istoric_Nativ'!$F$6:$F$405,G1023,'Istoric_Nativ'!$D$6:$D$405,"&lt;"&amp;J1023,'Istoric_Nativ'!$P$6:$P$405,1,'Istoric_Nativ'!$D$6:$D$405,"&gt;="&amp;L1023),SUMIFS('Istoric_Nativ'!$G$6:$G$405,'Istoric_Nativ'!$B$6:$B$405,E1023,'Istoric_Nativ'!$C$6:$C$405,F1023,'Istoric_Nativ'!$E$6:$E$405,G1023,'Istoric_Nativ'!$D$6:$D$405,"&lt;"&amp;J1023,'Istoric_Nativ'!$P$6:$P$405,1,'Istoric_Nativ'!$D$6:$D$405,"&gt;="&amp;L1023)+SUMIFS('Istoric_Nativ'!$H$6:$H$405,'Istoric_Nativ'!$B$6:$B$405,E1023,'Istoric_Nativ'!$C$6:$C$405,F1023,'Istoric_Nativ'!$F$6:$F$405,G1023,'Istoric_Nativ'!$D$6:$D$405,"&lt;"&amp;J1023,'Istoric_Nativ'!$P$6:$P$405,1,'Istoric_Nativ'!$D$6:$D$405,"&gt;="&amp;L1023)))/M1023)</x:f>
      </x:c>
      <x:c r="O1023" s="11" t="str">
        <x:f>IF(M1023=0,"",IF(H1023="HOME",SUMIFS('Istoric_Nativ'!$H$6:$H$405,'Istoric_Nativ'!$B$6:$B$405,E1023,'Istoric_Nativ'!$C$6:$C$405,F1023,'Istoric_Nativ'!$E$6:$E$405,G1023,'Istoric_Nativ'!$D$6:$D$405,"&lt;"&amp;J1023,'Istoric_Nativ'!$P$6:$P$405,1,'Istoric_Nativ'!$D$6:$D$405,"&gt;="&amp;L1023),IF(H1023="AWAY",SUMIFS('Istoric_Nativ'!$G$6:$G$405,'Istoric_Nativ'!$B$6:$B$405,E1023,'Istoric_Nativ'!$C$6:$C$405,F1023,'Istoric_Nativ'!$F$6:$F$405,G1023,'Istoric_Nativ'!$D$6:$D$405,"&lt;"&amp;J1023,'Istoric_Nativ'!$P$6:$P$405,1,'Istoric_Nativ'!$D$6:$D$405,"&gt;="&amp;L1023),SUMIFS('Istoric_Nativ'!$H$6:$H$405,'Istoric_Nativ'!$B$6:$B$405,E1023,'Istoric_Nativ'!$C$6:$C$405,F1023,'Istoric_Nativ'!$E$6:$E$405,G1023,'Istoric_Nativ'!$D$6:$D$405,"&lt;"&amp;J1023,'Istoric_Nativ'!$P$6:$P$405,1,'Istoric_Nativ'!$D$6:$D$405,"&gt;="&amp;L1023)+SUMIFS('Istoric_Nativ'!$G$6:$G$405,'Istoric_Nativ'!$B$6:$B$405,E1023,'Istoric_Nativ'!$C$6:$C$405,F1023,'Istoric_Nativ'!$F$6:$F$405,G1023,'Istoric_Nativ'!$D$6:$D$405,"&lt;"&amp;J1023,'Istoric_Nativ'!$P$6:$P$405,1,'Istoric_Nativ'!$D$6:$D$405,"&gt;="&amp;L1023)))/M1023)</x:f>
      </x:c>
      <x:c r="P1023" s="2" t="n">
        <x:f>'Config_v6'!$B$7</x:f>
        <x:v>10</x:v>
      </x:c>
      <x:c r="Q1023" s="2" t="n">
        <x:f>IF(OR(B1023="",F1023=""),0,IFERROR(MATCH(E1023&amp;"|"&amp;F1023,SourceTable[Source_Key],0),0))</x:f>
        <x:v>0</x:v>
      </x:c>
      <x:c r="R1023" s="2" t="str">
        <x:f>IF(B1023="","",IF(F1023="","UNUSED",IF(Q1023=0,"NOT CHECKED",IF(COUNTIF(SourceTable[Source_Key],E1023&amp;"|"&amp;F1023)&lt;&gt;1,"SOURCE CONFLICT",IF(NOT(OR(INDEX(SourceTable[Status],MAX(1,Q1023))="IMPORTED",INDEX(SourceTable[Status],MAX(1,Q1023))="PARTIAL",INDEX(SourceTable[Status],MAX(1,Q1023))="SOURCE CONFLICT")),"ACCESS BLOCKED",IF(OR(INDEX(SourceTable[Coverage],Q1023)&lt;&gt;"FULL SEASON EXPORT",INDEX(SourceTable[URL],Q1023)="",INDEX(SourceTable[SHA256],Q1023)=""),"EVIDENCE INCOMPLETE",IF(AND('Input_Meci'!H90="LIVE",INDEX(SourceTable[Retrieved_UTC],Q1023)&gt;'Input_Meci'!G90),"POST CUTOFF","CLOSED")))))))</x:f>
      </x:c>
      <x:c r="S1023" s="2" t="n">
        <x:f>IF(OR(B1023="",F1023=""),0,COUNTIFS('Istoric_Nativ'!$B$6:$B$405,E1023,'Istoric_Nativ'!$C$6:$C$405,F1023,'Istoric_Nativ'!$E$6:$E$405,G1023,'Istoric_Nativ'!$D$6:$D$405,"&lt;"&amp;J1023,'Istoric_Nativ'!$O$6:$O$405,"INVALID")+COUNTIFS('Istoric_Nativ'!$B$6:$B$405,E1023,'Istoric_Nativ'!$C$6:$C$405,F1023,'Istoric_Nativ'!$E$6:$E$405,G1023,'Istoric_Nativ'!$O$6:$O$405,"INVALID",'Istoric_Nativ'!$D$6:$D$405,"*")+COUNTIFS('Istoric_Nativ'!$B$6:$B$405,E1023,'Istoric_Nativ'!$C$6:$C$405,F1023,'Istoric_Nativ'!$E$6:$E$405,G1023,'Istoric_Nativ'!$D$6:$D$405,"&lt;"&amp;J1023,'Istoric_Nativ'!$O$6:$O$405,"SOURCE CONFLICT")+COUNTIFS('Istoric_Nativ'!$B$6:$B$405,E1023,'Istoric_Nativ'!$C$6:$C$405,F1023,'Istoric_Nativ'!$F$6:$F$405,G1023,'Istoric_Nativ'!$D$6:$D$405,"&lt;"&amp;J1023,'Istoric_Nativ'!$O$6:$O$405,"INVALID")+COUNTIFS('Istoric_Nativ'!$B$6:$B$405,E1023,'Istoric_Nativ'!$C$6:$C$405,F1023,'Istoric_Nativ'!$F$6:$F$405,G1023,'Istoric_Nativ'!$O$6:$O$405,"INVALID",'Istoric_Nativ'!$D$6:$D$405,"*")+COUNTIFS('Istoric_Nativ'!$B$6:$B$405,E1023,'Istoric_Nativ'!$C$6:$C$405,F1023,'Istoric_Nativ'!$F$6:$F$405,G1023,'Istoric_Nativ'!$D$6:$D$405,"&lt;"&amp;J1023,'Istoric_Nativ'!$O$6:$O$405,"SOURCE CONFLICT"))</x:f>
        <x:v>0</x:v>
      </x:c>
      <x:c r="T1023" s="2" t="str">
        <x:f>IF(B1023="","",IF(R1023&lt;&gt;"CLOSED",R1023,IF(S1023&gt;0,"NATIVE INPUT ISSUE",IF(M1023=0,"NO HISTORY",IF(M1023&lt;P1023,"SMALL SAMPLE","DERIVED")))))</x:f>
      </x:c>
      <x:c r="U1023" s="2" t="str">
        <x:f>IF(B1023="","","NativeTable; "&amp;E1023&amp;"; "&amp;F1023&amp;"; "&amp;G1023&amp;"; "&amp;H1023&amp;"; before "&amp;TEXT(J1023,"yyyy-mm-dd")&amp;IF(I1023="RECENT","; from "&amp;TEXT(L1023,"yyyy-mm-dd"),""))</x:f>
      </x:c>
    </x:row>
    <x:row r="1024" ht="21" customHeight="1">
      <x:c r="A1024" s="2" t="n">
        <x:v>85</x:v>
      </x:c>
      <x:c r="B1024" s="2" t="str">
        <x:f>IF('Input_Meci'!A90="","",'Input_Meci'!A90)</x:f>
      </x:c>
      <x:c r="C1024" s="2" t="str">
        <x:v>A</x:v>
      </x:c>
      <x:c r="D1024" s="2" t="str">
        <x:v>PRIOR</x:v>
      </x:c>
      <x:c r="E1024" s="2" t="str">
        <x:f>IF(B1024="","",'Input_Meci'!B90)</x:f>
      </x:c>
      <x:c r="F1024" s="2" t="str">
        <x:f>IF(B1024="","",IF('Input_Meci'!K90="","",'Input_Meci'!K90))</x:f>
      </x:c>
      <x:c r="G1024" s="2" t="str">
        <x:f>IF(B1024="","",'Input_Meci'!E90)</x:f>
      </x:c>
      <x:c r="H1024" s="2" t="str">
        <x:v>AWAY</x:v>
      </x:c>
      <x:c r="I1024" s="2" t="str">
        <x:v>HA</x:v>
      </x:c>
      <x:c r="J1024" s="9" t="n">
        <x:f>IF(AND(B1024&lt;&gt;"",ISNUMBER('Input_Meci'!G90)),INT('Input_Meci'!G90),0)</x:f>
        <x:v>0</x:v>
      </x:c>
      <x:c r="K1024" s="2" t="n">
        <x:f>IF(OR(B1024="",F1024=""),0,IF(H1024="HOME",COUNTIFS('Istoric_Nativ'!$B$6:$B$405,E1024,'Istoric_Nativ'!$C$6:$C$405,F1024,'Istoric_Nativ'!$E$6:$E$405,G1024,'Istoric_Nativ'!$D$6:$D$405,"&lt;"&amp;J1024,'Istoric_Nativ'!$P$6:$P$405,1),IF(H1024="AWAY",COUNTIFS('Istoric_Nativ'!$B$6:$B$405,E1024,'Istoric_Nativ'!$C$6:$C$405,F1024,'Istoric_Nativ'!$F$6:$F$405,G1024,'Istoric_Nativ'!$D$6:$D$405,"&lt;"&amp;J1024,'Istoric_Nativ'!$P$6:$P$405,1),COUNTIFS('Istoric_Nativ'!$B$6:$B$405,E1024,'Istoric_Nativ'!$C$6:$C$405,F1024,'Istoric_Nativ'!$E$6:$E$405,G1024,'Istoric_Nativ'!$D$6:$D$405,"&lt;"&amp;J1024,'Istoric_Nativ'!$P$6:$P$405,1)+COUNTIFS('Istoric_Nativ'!$B$6:$B$405,E1024,'Istoric_Nativ'!$C$6:$C$405,F1024,'Istoric_Nativ'!$F$6:$F$405,G1024,'Istoric_Nativ'!$D$6:$D$405,"&lt;"&amp;J1024,'Istoric_Nativ'!$P$6:$P$405,1))))</x:f>
        <x:v>0</x:v>
      </x:c>
      <x:c r="L1024" s="17" t="n">
        <x:f>IF(AND(B1024&lt;&gt;"",I1024="RECENT",K1024&gt;0),LARGE(_xlfn._xlws.FILTER('Istoric_Nativ'!$D$6:$D$405,('Istoric_Nativ'!$B$6:$B$405=E1024)*('Istoric_Nativ'!$C$6:$C$405=F1024)*('Istoric_Nativ'!$P$6:$P$405=1)*('Istoric_Nativ'!$D$6:$D$405&lt;J1024)*((('Istoric_Nativ'!$E$6:$E$405=G1024)+('Istoric_Nativ'!$F$6:$F$405=G1024))&gt;0)),MIN('Config_v6'!$B$54,K1024)),0)</x:f>
        <x:v>0</x:v>
      </x:c>
      <x:c r="M1024" s="2" t="n">
        <x:f>IF(OR(B1024="",F1024=""),0,IF(H1024="HOME",COUNTIFS('Istoric_Nativ'!$B$6:$B$405,E1024,'Istoric_Nativ'!$C$6:$C$405,F1024,'Istoric_Nativ'!$E$6:$E$405,G1024,'Istoric_Nativ'!$D$6:$D$405,"&lt;"&amp;J1024,'Istoric_Nativ'!$P$6:$P$405,1,'Istoric_Nativ'!$D$6:$D$405,"&gt;="&amp;L1024),IF(H1024="AWAY",COUNTIFS('Istoric_Nativ'!$B$6:$B$405,E1024,'Istoric_Nativ'!$C$6:$C$405,F1024,'Istoric_Nativ'!$F$6:$F$405,G1024,'Istoric_Nativ'!$D$6:$D$405,"&lt;"&amp;J1024,'Istoric_Nativ'!$P$6:$P$405,1,'Istoric_Nativ'!$D$6:$D$405,"&gt;="&amp;L1024),COUNTIFS('Istoric_Nativ'!$B$6:$B$405,E1024,'Istoric_Nativ'!$C$6:$C$405,F1024,'Istoric_Nativ'!$E$6:$E$405,G1024,'Istoric_Nativ'!$D$6:$D$405,"&lt;"&amp;J1024,'Istoric_Nativ'!$P$6:$P$405,1,'Istoric_Nativ'!$D$6:$D$405,"&gt;="&amp;L1024)+COUNTIFS('Istoric_Nativ'!$B$6:$B$405,E1024,'Istoric_Nativ'!$C$6:$C$405,F1024,'Istoric_Nativ'!$F$6:$F$405,G1024,'Istoric_Nativ'!$D$6:$D$405,"&lt;"&amp;J1024,'Istoric_Nativ'!$P$6:$P$405,1,'Istoric_Nativ'!$D$6:$D$405,"&gt;="&amp;L1024))))</x:f>
        <x:v>0</x:v>
      </x:c>
      <x:c r="N1024" s="11" t="str">
        <x:f>IF(M1024=0,"",IF(H1024="HOME",SUMIFS('Istoric_Nativ'!$G$6:$G$405,'Istoric_Nativ'!$B$6:$B$405,E1024,'Istoric_Nativ'!$C$6:$C$405,F1024,'Istoric_Nativ'!$E$6:$E$405,G1024,'Istoric_Nativ'!$D$6:$D$405,"&lt;"&amp;J1024,'Istoric_Nativ'!$P$6:$P$405,1,'Istoric_Nativ'!$D$6:$D$405,"&gt;="&amp;L1024),IF(H1024="AWAY",SUMIFS('Istoric_Nativ'!$H$6:$H$405,'Istoric_Nativ'!$B$6:$B$405,E1024,'Istoric_Nativ'!$C$6:$C$405,F1024,'Istoric_Nativ'!$F$6:$F$405,G1024,'Istoric_Nativ'!$D$6:$D$405,"&lt;"&amp;J1024,'Istoric_Nativ'!$P$6:$P$405,1,'Istoric_Nativ'!$D$6:$D$405,"&gt;="&amp;L1024),SUMIFS('Istoric_Nativ'!$G$6:$G$405,'Istoric_Nativ'!$B$6:$B$405,E1024,'Istoric_Nativ'!$C$6:$C$405,F1024,'Istoric_Nativ'!$E$6:$E$405,G1024,'Istoric_Nativ'!$D$6:$D$405,"&lt;"&amp;J1024,'Istoric_Nativ'!$P$6:$P$405,1,'Istoric_Nativ'!$D$6:$D$405,"&gt;="&amp;L1024)+SUMIFS('Istoric_Nativ'!$H$6:$H$405,'Istoric_Nativ'!$B$6:$B$405,E1024,'Istoric_Nativ'!$C$6:$C$405,F1024,'Istoric_Nativ'!$F$6:$F$405,G1024,'Istoric_Nativ'!$D$6:$D$405,"&lt;"&amp;J1024,'Istoric_Nativ'!$P$6:$P$405,1,'Istoric_Nativ'!$D$6:$D$405,"&gt;="&amp;L1024)))/M1024)</x:f>
      </x:c>
      <x:c r="O1024" s="11" t="str">
        <x:f>IF(M1024=0,"",IF(H1024="HOME",SUMIFS('Istoric_Nativ'!$H$6:$H$405,'Istoric_Nativ'!$B$6:$B$405,E1024,'Istoric_Nativ'!$C$6:$C$405,F1024,'Istoric_Nativ'!$E$6:$E$405,G1024,'Istoric_Nativ'!$D$6:$D$405,"&lt;"&amp;J1024,'Istoric_Nativ'!$P$6:$P$405,1,'Istoric_Nativ'!$D$6:$D$405,"&gt;="&amp;L1024),IF(H1024="AWAY",SUMIFS('Istoric_Nativ'!$G$6:$G$405,'Istoric_Nativ'!$B$6:$B$405,E1024,'Istoric_Nativ'!$C$6:$C$405,F1024,'Istoric_Nativ'!$F$6:$F$405,G1024,'Istoric_Nativ'!$D$6:$D$405,"&lt;"&amp;J1024,'Istoric_Nativ'!$P$6:$P$405,1,'Istoric_Nativ'!$D$6:$D$405,"&gt;="&amp;L1024),SUMIFS('Istoric_Nativ'!$H$6:$H$405,'Istoric_Nativ'!$B$6:$B$405,E1024,'Istoric_Nativ'!$C$6:$C$405,F1024,'Istoric_Nativ'!$E$6:$E$405,G1024,'Istoric_Nativ'!$D$6:$D$405,"&lt;"&amp;J1024,'Istoric_Nativ'!$P$6:$P$405,1,'Istoric_Nativ'!$D$6:$D$405,"&gt;="&amp;L1024)+SUMIFS('Istoric_Nativ'!$G$6:$G$405,'Istoric_Nativ'!$B$6:$B$405,E1024,'Istoric_Nativ'!$C$6:$C$405,F1024,'Istoric_Nativ'!$F$6:$F$405,G1024,'Istoric_Nativ'!$D$6:$D$405,"&lt;"&amp;J1024,'Istoric_Nativ'!$P$6:$P$405,1,'Istoric_Nativ'!$D$6:$D$405,"&gt;="&amp;L1024)))/M1024)</x:f>
      </x:c>
      <x:c r="P1024" s="2" t="n">
        <x:f>'Config_v6'!$B$8</x:f>
        <x:v>5</x:v>
      </x:c>
      <x:c r="Q1024" s="2" t="n">
        <x:f>IF(OR(B1024="",F1024=""),0,IFERROR(MATCH(E1024&amp;"|"&amp;F1024,SourceTable[Source_Key],0),0))</x:f>
        <x:v>0</x:v>
      </x:c>
      <x:c r="R1024" s="2" t="str">
        <x:f>IF(B1024="","",IF(F1024="","UNUSED",IF(Q1024=0,"NOT CHECKED",IF(COUNTIF(SourceTable[Source_Key],E1024&amp;"|"&amp;F1024)&lt;&gt;1,"SOURCE CONFLICT",IF(NOT(OR(INDEX(SourceTable[Status],MAX(1,Q1024))="IMPORTED",INDEX(SourceTable[Status],MAX(1,Q1024))="PARTIAL",INDEX(SourceTable[Status],MAX(1,Q1024))="SOURCE CONFLICT")),"ACCESS BLOCKED",IF(OR(INDEX(SourceTable[Coverage],Q1024)&lt;&gt;"FULL SEASON EXPORT",INDEX(SourceTable[URL],Q1024)="",INDEX(SourceTable[SHA256],Q1024)=""),"EVIDENCE INCOMPLETE",IF(AND('Input_Meci'!H90="LIVE",INDEX(SourceTable[Retrieved_UTC],Q1024)&gt;'Input_Meci'!G90),"POST CUTOFF","CLOSED")))))))</x:f>
      </x:c>
      <x:c r="S1024" s="2" t="n">
        <x:f>IF(OR(B1024="",F1024=""),0,COUNTIFS('Istoric_Nativ'!$B$6:$B$405,E1024,'Istoric_Nativ'!$C$6:$C$405,F1024,'Istoric_Nativ'!$E$6:$E$405,G1024,'Istoric_Nativ'!$D$6:$D$405,"&lt;"&amp;J1024,'Istoric_Nativ'!$O$6:$O$405,"INVALID")+COUNTIFS('Istoric_Nativ'!$B$6:$B$405,E1024,'Istoric_Nativ'!$C$6:$C$405,F1024,'Istoric_Nativ'!$E$6:$E$405,G1024,'Istoric_Nativ'!$O$6:$O$405,"INVALID",'Istoric_Nativ'!$D$6:$D$405,"*")+COUNTIFS('Istoric_Nativ'!$B$6:$B$405,E1024,'Istoric_Nativ'!$C$6:$C$405,F1024,'Istoric_Nativ'!$E$6:$E$405,G1024,'Istoric_Nativ'!$D$6:$D$405,"&lt;"&amp;J1024,'Istoric_Nativ'!$O$6:$O$405,"SOURCE CONFLICT")+COUNTIFS('Istoric_Nativ'!$B$6:$B$405,E1024,'Istoric_Nativ'!$C$6:$C$405,F1024,'Istoric_Nativ'!$F$6:$F$405,G1024,'Istoric_Nativ'!$D$6:$D$405,"&lt;"&amp;J1024,'Istoric_Nativ'!$O$6:$O$405,"INVALID")+COUNTIFS('Istoric_Nativ'!$B$6:$B$405,E1024,'Istoric_Nativ'!$C$6:$C$405,F1024,'Istoric_Nativ'!$F$6:$F$405,G1024,'Istoric_Nativ'!$O$6:$O$405,"INVALID",'Istoric_Nativ'!$D$6:$D$405,"*")+COUNTIFS('Istoric_Nativ'!$B$6:$B$405,E1024,'Istoric_Nativ'!$C$6:$C$405,F1024,'Istoric_Nativ'!$F$6:$F$405,G1024,'Istoric_Nativ'!$D$6:$D$405,"&lt;"&amp;J1024,'Istoric_Nativ'!$O$6:$O$405,"SOURCE CONFLICT"))</x:f>
        <x:v>0</x:v>
      </x:c>
      <x:c r="T1024" s="2" t="str">
        <x:f>IF(B1024="","",IF(R1024&lt;&gt;"CLOSED",R1024,IF(S1024&gt;0,"NATIVE INPUT ISSUE",IF(M1024=0,"NO HISTORY",IF(M1024&lt;P1024,"SMALL SAMPLE","DERIVED")))))</x:f>
      </x:c>
      <x:c r="U1024" s="2" t="str">
        <x:f>IF(B1024="","","NativeTable; "&amp;E1024&amp;"; "&amp;F1024&amp;"; "&amp;G1024&amp;"; "&amp;H1024&amp;"; before "&amp;TEXT(J1024,"yyyy-mm-dd")&amp;IF(I1024="RECENT","; from "&amp;TEXT(L1024,"yyyy-mm-dd"),""))</x:f>
      </x:c>
    </x:row>
    <x:row r="1025" ht="21" customHeight="1">
      <x:c r="A1025" s="2" t="n">
        <x:v>85</x:v>
      </x:c>
      <x:c r="B1025" s="2" t="str">
        <x:f>IF('Input_Meci'!A90="","",'Input_Meci'!A90)</x:f>
      </x:c>
      <x:c r="C1025" s="2" t="str">
        <x:v>A</x:v>
      </x:c>
      <x:c r="D1025" s="2" t="str">
        <x:v>PRIOR</x:v>
      </x:c>
      <x:c r="E1025" s="2" t="str">
        <x:f>IF(B1025="","",'Input_Meci'!B90)</x:f>
      </x:c>
      <x:c r="F1025" s="2" t="str">
        <x:f>IF(B1025="","",IF('Input_Meci'!K90="","",'Input_Meci'!K90))</x:f>
      </x:c>
      <x:c r="G1025" s="2" t="str">
        <x:f>IF(B1025="","",'Input_Meci'!E90)</x:f>
      </x:c>
      <x:c r="H1025" s="2" t="str">
        <x:v>ANY</x:v>
      </x:c>
      <x:c r="I1025" s="2" t="str">
        <x:v>RECENT</x:v>
      </x:c>
      <x:c r="J1025" s="9" t="n">
        <x:f>IF(AND(B1025&lt;&gt;"",ISNUMBER('Input_Meci'!G90)),INT('Input_Meci'!G90),0)</x:f>
        <x:v>0</x:v>
      </x:c>
      <x:c r="K1025" s="2" t="n">
        <x:f>IF(OR(B1025="",F1025=""),0,IF(H1025="HOME",COUNTIFS('Istoric_Nativ'!$B$6:$B$405,E1025,'Istoric_Nativ'!$C$6:$C$405,F1025,'Istoric_Nativ'!$E$6:$E$405,G1025,'Istoric_Nativ'!$D$6:$D$405,"&lt;"&amp;J1025,'Istoric_Nativ'!$P$6:$P$405,1),IF(H1025="AWAY",COUNTIFS('Istoric_Nativ'!$B$6:$B$405,E1025,'Istoric_Nativ'!$C$6:$C$405,F1025,'Istoric_Nativ'!$F$6:$F$405,G1025,'Istoric_Nativ'!$D$6:$D$405,"&lt;"&amp;J1025,'Istoric_Nativ'!$P$6:$P$405,1),COUNTIFS('Istoric_Nativ'!$B$6:$B$405,E1025,'Istoric_Nativ'!$C$6:$C$405,F1025,'Istoric_Nativ'!$E$6:$E$405,G1025,'Istoric_Nativ'!$D$6:$D$405,"&lt;"&amp;J1025,'Istoric_Nativ'!$P$6:$P$405,1)+COUNTIFS('Istoric_Nativ'!$B$6:$B$405,E1025,'Istoric_Nativ'!$C$6:$C$405,F1025,'Istoric_Nativ'!$F$6:$F$405,G1025,'Istoric_Nativ'!$D$6:$D$405,"&lt;"&amp;J1025,'Istoric_Nativ'!$P$6:$P$405,1))))</x:f>
        <x:v>0</x:v>
      </x:c>
      <x:c r="L1025" s="17" t="n">
        <x:f>IF(AND(B1025&lt;&gt;"",I1025="RECENT",K1025&gt;0),LARGE(_xlfn._xlws.FILTER('Istoric_Nativ'!$D$6:$D$405,('Istoric_Nativ'!$B$6:$B$405=E1025)*('Istoric_Nativ'!$C$6:$C$405=F1025)*('Istoric_Nativ'!$P$6:$P$405=1)*('Istoric_Nativ'!$D$6:$D$405&lt;J1025)*((('Istoric_Nativ'!$E$6:$E$405=G1025)+('Istoric_Nativ'!$F$6:$F$405=G1025))&gt;0)),MIN('Config_v6'!$B$54,K1025)),0)</x:f>
        <x:v>0</x:v>
      </x:c>
      <x:c r="M1025" s="2" t="n">
        <x:f>IF(OR(B1025="",F1025=""),0,IF(H1025="HOME",COUNTIFS('Istoric_Nativ'!$B$6:$B$405,E1025,'Istoric_Nativ'!$C$6:$C$405,F1025,'Istoric_Nativ'!$E$6:$E$405,G1025,'Istoric_Nativ'!$D$6:$D$405,"&lt;"&amp;J1025,'Istoric_Nativ'!$P$6:$P$405,1,'Istoric_Nativ'!$D$6:$D$405,"&gt;="&amp;L1025),IF(H1025="AWAY",COUNTIFS('Istoric_Nativ'!$B$6:$B$405,E1025,'Istoric_Nativ'!$C$6:$C$405,F1025,'Istoric_Nativ'!$F$6:$F$405,G1025,'Istoric_Nativ'!$D$6:$D$405,"&lt;"&amp;J1025,'Istoric_Nativ'!$P$6:$P$405,1,'Istoric_Nativ'!$D$6:$D$405,"&gt;="&amp;L1025),COUNTIFS('Istoric_Nativ'!$B$6:$B$405,E1025,'Istoric_Nativ'!$C$6:$C$405,F1025,'Istoric_Nativ'!$E$6:$E$405,G1025,'Istoric_Nativ'!$D$6:$D$405,"&lt;"&amp;J1025,'Istoric_Nativ'!$P$6:$P$405,1,'Istoric_Nativ'!$D$6:$D$405,"&gt;="&amp;L1025)+COUNTIFS('Istoric_Nativ'!$B$6:$B$405,E1025,'Istoric_Nativ'!$C$6:$C$405,F1025,'Istoric_Nativ'!$F$6:$F$405,G1025,'Istoric_Nativ'!$D$6:$D$405,"&lt;"&amp;J1025,'Istoric_Nativ'!$P$6:$P$405,1,'Istoric_Nativ'!$D$6:$D$405,"&gt;="&amp;L1025))))</x:f>
        <x:v>0</x:v>
      </x:c>
      <x:c r="N1025" s="11" t="str">
        <x:f>IF(M1025=0,"",IF(H1025="HOME",SUMIFS('Istoric_Nativ'!$G$6:$G$405,'Istoric_Nativ'!$B$6:$B$405,E1025,'Istoric_Nativ'!$C$6:$C$405,F1025,'Istoric_Nativ'!$E$6:$E$405,G1025,'Istoric_Nativ'!$D$6:$D$405,"&lt;"&amp;J1025,'Istoric_Nativ'!$P$6:$P$405,1,'Istoric_Nativ'!$D$6:$D$405,"&gt;="&amp;L1025),IF(H1025="AWAY",SUMIFS('Istoric_Nativ'!$H$6:$H$405,'Istoric_Nativ'!$B$6:$B$405,E1025,'Istoric_Nativ'!$C$6:$C$405,F1025,'Istoric_Nativ'!$F$6:$F$405,G1025,'Istoric_Nativ'!$D$6:$D$405,"&lt;"&amp;J1025,'Istoric_Nativ'!$P$6:$P$405,1,'Istoric_Nativ'!$D$6:$D$405,"&gt;="&amp;L1025),SUMIFS('Istoric_Nativ'!$G$6:$G$405,'Istoric_Nativ'!$B$6:$B$405,E1025,'Istoric_Nativ'!$C$6:$C$405,F1025,'Istoric_Nativ'!$E$6:$E$405,G1025,'Istoric_Nativ'!$D$6:$D$405,"&lt;"&amp;J1025,'Istoric_Nativ'!$P$6:$P$405,1,'Istoric_Nativ'!$D$6:$D$405,"&gt;="&amp;L1025)+SUMIFS('Istoric_Nativ'!$H$6:$H$405,'Istoric_Nativ'!$B$6:$B$405,E1025,'Istoric_Nativ'!$C$6:$C$405,F1025,'Istoric_Nativ'!$F$6:$F$405,G1025,'Istoric_Nativ'!$D$6:$D$405,"&lt;"&amp;J1025,'Istoric_Nativ'!$P$6:$P$405,1,'Istoric_Nativ'!$D$6:$D$405,"&gt;="&amp;L1025)))/M1025)</x:f>
      </x:c>
      <x:c r="O1025" s="11" t="str">
        <x:f>IF(M1025=0,"",IF(H1025="HOME",SUMIFS('Istoric_Nativ'!$H$6:$H$405,'Istoric_Nativ'!$B$6:$B$405,E1025,'Istoric_Nativ'!$C$6:$C$405,F1025,'Istoric_Nativ'!$E$6:$E$405,G1025,'Istoric_Nativ'!$D$6:$D$405,"&lt;"&amp;J1025,'Istoric_Nativ'!$P$6:$P$405,1,'Istoric_Nativ'!$D$6:$D$405,"&gt;="&amp;L1025),IF(H1025="AWAY",SUMIFS('Istoric_Nativ'!$G$6:$G$405,'Istoric_Nativ'!$B$6:$B$405,E1025,'Istoric_Nativ'!$C$6:$C$405,F1025,'Istoric_Nativ'!$F$6:$F$405,G1025,'Istoric_Nativ'!$D$6:$D$405,"&lt;"&amp;J1025,'Istoric_Nativ'!$P$6:$P$405,1,'Istoric_Nativ'!$D$6:$D$405,"&gt;="&amp;L1025),SUMIFS('Istoric_Nativ'!$H$6:$H$405,'Istoric_Nativ'!$B$6:$B$405,E1025,'Istoric_Nativ'!$C$6:$C$405,F1025,'Istoric_Nativ'!$E$6:$E$405,G1025,'Istoric_Nativ'!$D$6:$D$405,"&lt;"&amp;J1025,'Istoric_Nativ'!$P$6:$P$405,1,'Istoric_Nativ'!$D$6:$D$405,"&gt;="&amp;L1025)+SUMIFS('Istoric_Nativ'!$G$6:$G$405,'Istoric_Nativ'!$B$6:$B$405,E1025,'Istoric_Nativ'!$C$6:$C$405,F1025,'Istoric_Nativ'!$F$6:$F$405,G1025,'Istoric_Nativ'!$D$6:$D$405,"&lt;"&amp;J1025,'Istoric_Nativ'!$P$6:$P$405,1,'Istoric_Nativ'!$D$6:$D$405,"&gt;="&amp;L1025)))/M1025)</x:f>
      </x:c>
      <x:c r="P1025" s="2" t="n">
        <x:f>'Config_v6'!$B$9</x:f>
        <x:v>3</x:v>
      </x:c>
      <x:c r="Q1025" s="2" t="n">
        <x:f>IF(OR(B1025="",F1025=""),0,IFERROR(MATCH(E1025&amp;"|"&amp;F1025,SourceTable[Source_Key],0),0))</x:f>
        <x:v>0</x:v>
      </x:c>
      <x:c r="R1025" s="2" t="str">
        <x:f>IF(B1025="","",IF(F1025="","UNUSED",IF(Q1025=0,"NOT CHECKED",IF(COUNTIF(SourceTable[Source_Key],E1025&amp;"|"&amp;F1025)&lt;&gt;1,"SOURCE CONFLICT",IF(NOT(OR(INDEX(SourceTable[Status],MAX(1,Q1025))="IMPORTED",INDEX(SourceTable[Status],MAX(1,Q1025))="PARTIAL",INDEX(SourceTable[Status],MAX(1,Q1025))="SOURCE CONFLICT")),"ACCESS BLOCKED",IF(OR(INDEX(SourceTable[Coverage],Q1025)&lt;&gt;"FULL SEASON EXPORT",INDEX(SourceTable[URL],Q1025)="",INDEX(SourceTable[SHA256],Q1025)=""),"EVIDENCE INCOMPLETE",IF(AND('Input_Meci'!H90="LIVE",INDEX(SourceTable[Retrieved_UTC],Q1025)&gt;'Input_Meci'!G90),"POST CUTOFF","CLOSED")))))))</x:f>
      </x:c>
      <x:c r="S1025" s="2" t="n">
        <x:f>IF(OR(B1025="",F1025=""),0,COUNTIFS('Istoric_Nativ'!$B$6:$B$405,E1025,'Istoric_Nativ'!$C$6:$C$405,F1025,'Istoric_Nativ'!$E$6:$E$405,G1025,'Istoric_Nativ'!$D$6:$D$405,"&lt;"&amp;J1025,'Istoric_Nativ'!$O$6:$O$405,"INVALID")+COUNTIFS('Istoric_Nativ'!$B$6:$B$405,E1025,'Istoric_Nativ'!$C$6:$C$405,F1025,'Istoric_Nativ'!$E$6:$E$405,G1025,'Istoric_Nativ'!$O$6:$O$405,"INVALID",'Istoric_Nativ'!$D$6:$D$405,"*")+COUNTIFS('Istoric_Nativ'!$B$6:$B$405,E1025,'Istoric_Nativ'!$C$6:$C$405,F1025,'Istoric_Nativ'!$E$6:$E$405,G1025,'Istoric_Nativ'!$D$6:$D$405,"&lt;"&amp;J1025,'Istoric_Nativ'!$O$6:$O$405,"SOURCE CONFLICT")+COUNTIFS('Istoric_Nativ'!$B$6:$B$405,E1025,'Istoric_Nativ'!$C$6:$C$405,F1025,'Istoric_Nativ'!$F$6:$F$405,G1025,'Istoric_Nativ'!$D$6:$D$405,"&lt;"&amp;J1025,'Istoric_Nativ'!$O$6:$O$405,"INVALID")+COUNTIFS('Istoric_Nativ'!$B$6:$B$405,E1025,'Istoric_Nativ'!$C$6:$C$405,F1025,'Istoric_Nativ'!$F$6:$F$405,G1025,'Istoric_Nativ'!$O$6:$O$405,"INVALID",'Istoric_Nativ'!$D$6:$D$405,"*")+COUNTIFS('Istoric_Nativ'!$B$6:$B$405,E1025,'Istoric_Nativ'!$C$6:$C$405,F1025,'Istoric_Nativ'!$F$6:$F$405,G1025,'Istoric_Nativ'!$D$6:$D$405,"&lt;"&amp;J1025,'Istoric_Nativ'!$O$6:$O$405,"SOURCE CONFLICT"))</x:f>
        <x:v>0</x:v>
      </x:c>
      <x:c r="T1025" s="2" t="str">
        <x:f>IF(B1025="","",IF(R1025&lt;&gt;"CLOSED",R1025,IF(S1025&gt;0,"NATIVE INPUT ISSUE",IF(M1025=0,"NO HISTORY",IF(M1025&lt;P1025,"SMALL SAMPLE","DERIVED")))))</x:f>
      </x:c>
      <x:c r="U1025" s="2" t="str">
        <x:f>IF(B1025="","","NativeTable; "&amp;E1025&amp;"; "&amp;F1025&amp;"; "&amp;G1025&amp;"; "&amp;H1025&amp;"; before "&amp;TEXT(J1025,"yyyy-mm-dd")&amp;IF(I1025="RECENT","; from "&amp;TEXT(L1025,"yyyy-mm-dd"),""))</x:f>
      </x:c>
    </x:row>
    <x:row r="1026" ht="21" customHeight="1">
      <x:c r="A1026" s="2" t="n">
        <x:v>86</x:v>
      </x:c>
      <x:c r="B1026" s="2" t="str">
        <x:f>IF('Input_Meci'!A91="","",'Input_Meci'!A91)</x:f>
      </x:c>
      <x:c r="C1026" s="2" t="str">
        <x:v>H</x:v>
      </x:c>
      <x:c r="D1026" s="2" t="str">
        <x:v>CURRENT</x:v>
      </x:c>
      <x:c r="E1026" s="2" t="str">
        <x:f>IF(B1026="","",'Input_Meci'!B91)</x:f>
      </x:c>
      <x:c r="F1026" s="2" t="str">
        <x:f>IF(B1026="","",IF('Input_Meci'!C91="","",'Input_Meci'!C91))</x:f>
      </x:c>
      <x:c r="G1026" s="2" t="str">
        <x:f>IF(B1026="","",'Input_Meci'!D91)</x:f>
      </x:c>
      <x:c r="H1026" s="2" t="str">
        <x:v>ANY</x:v>
      </x:c>
      <x:c r="I1026" s="2" t="str">
        <x:v>SEASON</x:v>
      </x:c>
      <x:c r="J1026" s="9" t="n">
        <x:f>IF(AND(B1026&lt;&gt;"",ISNUMBER('Input_Meci'!G91)),INT('Input_Meci'!G91),0)</x:f>
        <x:v>0</x:v>
      </x:c>
      <x:c r="K1026" s="2" t="n">
        <x:f>IF(OR(B1026="",F1026=""),0,IF(H1026="HOME",COUNTIFS('Istoric_Nativ'!$B$6:$B$405,E1026,'Istoric_Nativ'!$C$6:$C$405,F1026,'Istoric_Nativ'!$E$6:$E$405,G1026,'Istoric_Nativ'!$D$6:$D$405,"&lt;"&amp;J1026,'Istoric_Nativ'!$P$6:$P$405,1),IF(H1026="AWAY",COUNTIFS('Istoric_Nativ'!$B$6:$B$405,E1026,'Istoric_Nativ'!$C$6:$C$405,F1026,'Istoric_Nativ'!$F$6:$F$405,G1026,'Istoric_Nativ'!$D$6:$D$405,"&lt;"&amp;J1026,'Istoric_Nativ'!$P$6:$P$405,1),COUNTIFS('Istoric_Nativ'!$B$6:$B$405,E1026,'Istoric_Nativ'!$C$6:$C$405,F1026,'Istoric_Nativ'!$E$6:$E$405,G1026,'Istoric_Nativ'!$D$6:$D$405,"&lt;"&amp;J1026,'Istoric_Nativ'!$P$6:$P$405,1)+COUNTIFS('Istoric_Nativ'!$B$6:$B$405,E1026,'Istoric_Nativ'!$C$6:$C$405,F1026,'Istoric_Nativ'!$F$6:$F$405,G1026,'Istoric_Nativ'!$D$6:$D$405,"&lt;"&amp;J1026,'Istoric_Nativ'!$P$6:$P$405,1))))</x:f>
        <x:v>0</x:v>
      </x:c>
      <x:c r="L1026" s="17" t="n">
        <x:f>IF(AND(B1026&lt;&gt;"",I1026="RECENT",K1026&gt;0),LARGE(_xlfn._xlws.FILTER('Istoric_Nativ'!$D$6:$D$405,('Istoric_Nativ'!$B$6:$B$405=E1026)*('Istoric_Nativ'!$C$6:$C$405=F1026)*('Istoric_Nativ'!$P$6:$P$405=1)*('Istoric_Nativ'!$D$6:$D$405&lt;J1026)*((('Istoric_Nativ'!$E$6:$E$405=G1026)+('Istoric_Nativ'!$F$6:$F$405=G1026))&gt;0)),MIN('Config_v6'!$B$54,K1026)),0)</x:f>
        <x:v>0</x:v>
      </x:c>
      <x:c r="M1026" s="2" t="n">
        <x:f>IF(OR(B1026="",F1026=""),0,IF(H1026="HOME",COUNTIFS('Istoric_Nativ'!$B$6:$B$405,E1026,'Istoric_Nativ'!$C$6:$C$405,F1026,'Istoric_Nativ'!$E$6:$E$405,G1026,'Istoric_Nativ'!$D$6:$D$405,"&lt;"&amp;J1026,'Istoric_Nativ'!$P$6:$P$405,1,'Istoric_Nativ'!$D$6:$D$405,"&gt;="&amp;L1026),IF(H1026="AWAY",COUNTIFS('Istoric_Nativ'!$B$6:$B$405,E1026,'Istoric_Nativ'!$C$6:$C$405,F1026,'Istoric_Nativ'!$F$6:$F$405,G1026,'Istoric_Nativ'!$D$6:$D$405,"&lt;"&amp;J1026,'Istoric_Nativ'!$P$6:$P$405,1,'Istoric_Nativ'!$D$6:$D$405,"&gt;="&amp;L1026),COUNTIFS('Istoric_Nativ'!$B$6:$B$405,E1026,'Istoric_Nativ'!$C$6:$C$405,F1026,'Istoric_Nativ'!$E$6:$E$405,G1026,'Istoric_Nativ'!$D$6:$D$405,"&lt;"&amp;J1026,'Istoric_Nativ'!$P$6:$P$405,1,'Istoric_Nativ'!$D$6:$D$405,"&gt;="&amp;L1026)+COUNTIFS('Istoric_Nativ'!$B$6:$B$405,E1026,'Istoric_Nativ'!$C$6:$C$405,F1026,'Istoric_Nativ'!$F$6:$F$405,G1026,'Istoric_Nativ'!$D$6:$D$405,"&lt;"&amp;J1026,'Istoric_Nativ'!$P$6:$P$405,1,'Istoric_Nativ'!$D$6:$D$405,"&gt;="&amp;L1026))))</x:f>
        <x:v>0</x:v>
      </x:c>
      <x:c r="N1026" s="11" t="str">
        <x:f>IF(M1026=0,"",IF(H1026="HOME",SUMIFS('Istoric_Nativ'!$G$6:$G$405,'Istoric_Nativ'!$B$6:$B$405,E1026,'Istoric_Nativ'!$C$6:$C$405,F1026,'Istoric_Nativ'!$E$6:$E$405,G1026,'Istoric_Nativ'!$D$6:$D$405,"&lt;"&amp;J1026,'Istoric_Nativ'!$P$6:$P$405,1,'Istoric_Nativ'!$D$6:$D$405,"&gt;="&amp;L1026),IF(H1026="AWAY",SUMIFS('Istoric_Nativ'!$H$6:$H$405,'Istoric_Nativ'!$B$6:$B$405,E1026,'Istoric_Nativ'!$C$6:$C$405,F1026,'Istoric_Nativ'!$F$6:$F$405,G1026,'Istoric_Nativ'!$D$6:$D$405,"&lt;"&amp;J1026,'Istoric_Nativ'!$P$6:$P$405,1,'Istoric_Nativ'!$D$6:$D$405,"&gt;="&amp;L1026),SUMIFS('Istoric_Nativ'!$G$6:$G$405,'Istoric_Nativ'!$B$6:$B$405,E1026,'Istoric_Nativ'!$C$6:$C$405,F1026,'Istoric_Nativ'!$E$6:$E$405,G1026,'Istoric_Nativ'!$D$6:$D$405,"&lt;"&amp;J1026,'Istoric_Nativ'!$P$6:$P$405,1,'Istoric_Nativ'!$D$6:$D$405,"&gt;="&amp;L1026)+SUMIFS('Istoric_Nativ'!$H$6:$H$405,'Istoric_Nativ'!$B$6:$B$405,E1026,'Istoric_Nativ'!$C$6:$C$405,F1026,'Istoric_Nativ'!$F$6:$F$405,G1026,'Istoric_Nativ'!$D$6:$D$405,"&lt;"&amp;J1026,'Istoric_Nativ'!$P$6:$P$405,1,'Istoric_Nativ'!$D$6:$D$405,"&gt;="&amp;L1026)))/M1026)</x:f>
      </x:c>
      <x:c r="O1026" s="11" t="str">
        <x:f>IF(M1026=0,"",IF(H1026="HOME",SUMIFS('Istoric_Nativ'!$H$6:$H$405,'Istoric_Nativ'!$B$6:$B$405,E1026,'Istoric_Nativ'!$C$6:$C$405,F1026,'Istoric_Nativ'!$E$6:$E$405,G1026,'Istoric_Nativ'!$D$6:$D$405,"&lt;"&amp;J1026,'Istoric_Nativ'!$P$6:$P$405,1,'Istoric_Nativ'!$D$6:$D$405,"&gt;="&amp;L1026),IF(H1026="AWAY",SUMIFS('Istoric_Nativ'!$G$6:$G$405,'Istoric_Nativ'!$B$6:$B$405,E1026,'Istoric_Nativ'!$C$6:$C$405,F1026,'Istoric_Nativ'!$F$6:$F$405,G1026,'Istoric_Nativ'!$D$6:$D$405,"&lt;"&amp;J1026,'Istoric_Nativ'!$P$6:$P$405,1,'Istoric_Nativ'!$D$6:$D$405,"&gt;="&amp;L1026),SUMIFS('Istoric_Nativ'!$H$6:$H$405,'Istoric_Nativ'!$B$6:$B$405,E1026,'Istoric_Nativ'!$C$6:$C$405,F1026,'Istoric_Nativ'!$E$6:$E$405,G1026,'Istoric_Nativ'!$D$6:$D$405,"&lt;"&amp;J1026,'Istoric_Nativ'!$P$6:$P$405,1,'Istoric_Nativ'!$D$6:$D$405,"&gt;="&amp;L1026)+SUMIFS('Istoric_Nativ'!$G$6:$G$405,'Istoric_Nativ'!$B$6:$B$405,E1026,'Istoric_Nativ'!$C$6:$C$405,F1026,'Istoric_Nativ'!$F$6:$F$405,G1026,'Istoric_Nativ'!$D$6:$D$405,"&lt;"&amp;J1026,'Istoric_Nativ'!$P$6:$P$405,1,'Istoric_Nativ'!$D$6:$D$405,"&gt;="&amp;L1026)))/M1026)</x:f>
      </x:c>
      <x:c r="P1026" s="2" t="n">
        <x:f>'Config_v6'!$B$7</x:f>
        <x:v>10</x:v>
      </x:c>
      <x:c r="Q1026" s="2" t="n">
        <x:f>IF(OR(B1026="",F1026=""),0,IFERROR(MATCH(E1026&amp;"|"&amp;F1026,SourceTable[Source_Key],0),0))</x:f>
        <x:v>0</x:v>
      </x:c>
      <x:c r="R1026" s="2" t="str">
        <x:f>IF(B1026="","",IF(F1026="","UNUSED",IF(Q1026=0,"NOT CHECKED",IF(COUNTIF(SourceTable[Source_Key],E1026&amp;"|"&amp;F1026)&lt;&gt;1,"SOURCE CONFLICT",IF(NOT(OR(INDEX(SourceTable[Status],MAX(1,Q1026))="IMPORTED",INDEX(SourceTable[Status],MAX(1,Q1026))="PARTIAL",INDEX(SourceTable[Status],MAX(1,Q1026))="SOURCE CONFLICT")),"ACCESS BLOCKED",IF(OR(INDEX(SourceTable[Coverage],Q1026)&lt;&gt;"FULL SEASON EXPORT",INDEX(SourceTable[URL],Q1026)="",INDEX(SourceTable[SHA256],Q1026)=""),"EVIDENCE INCOMPLETE",IF(AND('Input_Meci'!H91="LIVE",INDEX(SourceTable[Retrieved_UTC],Q1026)&gt;'Input_Meci'!G91),"POST CUTOFF","CLOSED")))))))</x:f>
      </x:c>
      <x:c r="S1026" s="2" t="n">
        <x:f>IF(OR(B1026="",F1026=""),0,COUNTIFS('Istoric_Nativ'!$B$6:$B$405,E1026,'Istoric_Nativ'!$C$6:$C$405,F1026,'Istoric_Nativ'!$E$6:$E$405,G1026,'Istoric_Nativ'!$D$6:$D$405,"&lt;"&amp;J1026,'Istoric_Nativ'!$O$6:$O$405,"INVALID")+COUNTIFS('Istoric_Nativ'!$B$6:$B$405,E1026,'Istoric_Nativ'!$C$6:$C$405,F1026,'Istoric_Nativ'!$E$6:$E$405,G1026,'Istoric_Nativ'!$O$6:$O$405,"INVALID",'Istoric_Nativ'!$D$6:$D$405,"*")+COUNTIFS('Istoric_Nativ'!$B$6:$B$405,E1026,'Istoric_Nativ'!$C$6:$C$405,F1026,'Istoric_Nativ'!$E$6:$E$405,G1026,'Istoric_Nativ'!$D$6:$D$405,"&lt;"&amp;J1026,'Istoric_Nativ'!$O$6:$O$405,"SOURCE CONFLICT")+COUNTIFS('Istoric_Nativ'!$B$6:$B$405,E1026,'Istoric_Nativ'!$C$6:$C$405,F1026,'Istoric_Nativ'!$F$6:$F$405,G1026,'Istoric_Nativ'!$D$6:$D$405,"&lt;"&amp;J1026,'Istoric_Nativ'!$O$6:$O$405,"INVALID")+COUNTIFS('Istoric_Nativ'!$B$6:$B$405,E1026,'Istoric_Nativ'!$C$6:$C$405,F1026,'Istoric_Nativ'!$F$6:$F$405,G1026,'Istoric_Nativ'!$O$6:$O$405,"INVALID",'Istoric_Nativ'!$D$6:$D$405,"*")+COUNTIFS('Istoric_Nativ'!$B$6:$B$405,E1026,'Istoric_Nativ'!$C$6:$C$405,F1026,'Istoric_Nativ'!$F$6:$F$405,G1026,'Istoric_Nativ'!$D$6:$D$405,"&lt;"&amp;J1026,'Istoric_Nativ'!$O$6:$O$405,"SOURCE CONFLICT"))</x:f>
        <x:v>0</x:v>
      </x:c>
      <x:c r="T1026" s="2" t="str">
        <x:f>IF(B1026="","",IF(R1026&lt;&gt;"CLOSED",R1026,IF(S1026&gt;0,"NATIVE INPUT ISSUE",IF(M1026=0,"NO HISTORY",IF(M1026&lt;P1026,"SMALL SAMPLE","DERIVED")))))</x:f>
      </x:c>
      <x:c r="U1026" s="2" t="str">
        <x:f>IF(B1026="","","NativeTable; "&amp;E1026&amp;"; "&amp;F1026&amp;"; "&amp;G1026&amp;"; "&amp;H1026&amp;"; before "&amp;TEXT(J1026,"yyyy-mm-dd")&amp;IF(I1026="RECENT","; from "&amp;TEXT(L1026,"yyyy-mm-dd"),""))</x:f>
      </x:c>
    </x:row>
    <x:row r="1027" ht="21" customHeight="1">
      <x:c r="A1027" s="2" t="n">
        <x:v>86</x:v>
      </x:c>
      <x:c r="B1027" s="2" t="str">
        <x:f>IF('Input_Meci'!A91="","",'Input_Meci'!A91)</x:f>
      </x:c>
      <x:c r="C1027" s="2" t="str">
        <x:v>H</x:v>
      </x:c>
      <x:c r="D1027" s="2" t="str">
        <x:v>CURRENT</x:v>
      </x:c>
      <x:c r="E1027" s="2" t="str">
        <x:f>IF(B1027="","",'Input_Meci'!B91)</x:f>
      </x:c>
      <x:c r="F1027" s="2" t="str">
        <x:f>IF(B1027="","",IF('Input_Meci'!C91="","",'Input_Meci'!C91))</x:f>
      </x:c>
      <x:c r="G1027" s="2" t="str">
        <x:f>IF(B1027="","",'Input_Meci'!D91)</x:f>
      </x:c>
      <x:c r="H1027" s="2" t="str">
        <x:v>HOME</x:v>
      </x:c>
      <x:c r="I1027" s="2" t="str">
        <x:v>HA</x:v>
      </x:c>
      <x:c r="J1027" s="9" t="n">
        <x:f>IF(AND(B1027&lt;&gt;"",ISNUMBER('Input_Meci'!G91)),INT('Input_Meci'!G91),0)</x:f>
        <x:v>0</x:v>
      </x:c>
      <x:c r="K1027" s="2" t="n">
        <x:f>IF(OR(B1027="",F1027=""),0,IF(H1027="HOME",COUNTIFS('Istoric_Nativ'!$B$6:$B$405,E1027,'Istoric_Nativ'!$C$6:$C$405,F1027,'Istoric_Nativ'!$E$6:$E$405,G1027,'Istoric_Nativ'!$D$6:$D$405,"&lt;"&amp;J1027,'Istoric_Nativ'!$P$6:$P$405,1),IF(H1027="AWAY",COUNTIFS('Istoric_Nativ'!$B$6:$B$405,E1027,'Istoric_Nativ'!$C$6:$C$405,F1027,'Istoric_Nativ'!$F$6:$F$405,G1027,'Istoric_Nativ'!$D$6:$D$405,"&lt;"&amp;J1027,'Istoric_Nativ'!$P$6:$P$405,1),COUNTIFS('Istoric_Nativ'!$B$6:$B$405,E1027,'Istoric_Nativ'!$C$6:$C$405,F1027,'Istoric_Nativ'!$E$6:$E$405,G1027,'Istoric_Nativ'!$D$6:$D$405,"&lt;"&amp;J1027,'Istoric_Nativ'!$P$6:$P$405,1)+COUNTIFS('Istoric_Nativ'!$B$6:$B$405,E1027,'Istoric_Nativ'!$C$6:$C$405,F1027,'Istoric_Nativ'!$F$6:$F$405,G1027,'Istoric_Nativ'!$D$6:$D$405,"&lt;"&amp;J1027,'Istoric_Nativ'!$P$6:$P$405,1))))</x:f>
        <x:v>0</x:v>
      </x:c>
      <x:c r="L1027" s="17" t="n">
        <x:f>IF(AND(B1027&lt;&gt;"",I1027="RECENT",K1027&gt;0),LARGE(_xlfn._xlws.FILTER('Istoric_Nativ'!$D$6:$D$405,('Istoric_Nativ'!$B$6:$B$405=E1027)*('Istoric_Nativ'!$C$6:$C$405=F1027)*('Istoric_Nativ'!$P$6:$P$405=1)*('Istoric_Nativ'!$D$6:$D$405&lt;J1027)*((('Istoric_Nativ'!$E$6:$E$405=G1027)+('Istoric_Nativ'!$F$6:$F$405=G1027))&gt;0)),MIN('Config_v6'!$B$54,K1027)),0)</x:f>
        <x:v>0</x:v>
      </x:c>
      <x:c r="M1027" s="2" t="n">
        <x:f>IF(OR(B1027="",F1027=""),0,IF(H1027="HOME",COUNTIFS('Istoric_Nativ'!$B$6:$B$405,E1027,'Istoric_Nativ'!$C$6:$C$405,F1027,'Istoric_Nativ'!$E$6:$E$405,G1027,'Istoric_Nativ'!$D$6:$D$405,"&lt;"&amp;J1027,'Istoric_Nativ'!$P$6:$P$405,1,'Istoric_Nativ'!$D$6:$D$405,"&gt;="&amp;L1027),IF(H1027="AWAY",COUNTIFS('Istoric_Nativ'!$B$6:$B$405,E1027,'Istoric_Nativ'!$C$6:$C$405,F1027,'Istoric_Nativ'!$F$6:$F$405,G1027,'Istoric_Nativ'!$D$6:$D$405,"&lt;"&amp;J1027,'Istoric_Nativ'!$P$6:$P$405,1,'Istoric_Nativ'!$D$6:$D$405,"&gt;="&amp;L1027),COUNTIFS('Istoric_Nativ'!$B$6:$B$405,E1027,'Istoric_Nativ'!$C$6:$C$405,F1027,'Istoric_Nativ'!$E$6:$E$405,G1027,'Istoric_Nativ'!$D$6:$D$405,"&lt;"&amp;J1027,'Istoric_Nativ'!$P$6:$P$405,1,'Istoric_Nativ'!$D$6:$D$405,"&gt;="&amp;L1027)+COUNTIFS('Istoric_Nativ'!$B$6:$B$405,E1027,'Istoric_Nativ'!$C$6:$C$405,F1027,'Istoric_Nativ'!$F$6:$F$405,G1027,'Istoric_Nativ'!$D$6:$D$405,"&lt;"&amp;J1027,'Istoric_Nativ'!$P$6:$P$405,1,'Istoric_Nativ'!$D$6:$D$405,"&gt;="&amp;L1027))))</x:f>
        <x:v>0</x:v>
      </x:c>
      <x:c r="N1027" s="11" t="str">
        <x:f>IF(M1027=0,"",IF(H1027="HOME",SUMIFS('Istoric_Nativ'!$G$6:$G$405,'Istoric_Nativ'!$B$6:$B$405,E1027,'Istoric_Nativ'!$C$6:$C$405,F1027,'Istoric_Nativ'!$E$6:$E$405,G1027,'Istoric_Nativ'!$D$6:$D$405,"&lt;"&amp;J1027,'Istoric_Nativ'!$P$6:$P$405,1,'Istoric_Nativ'!$D$6:$D$405,"&gt;="&amp;L1027),IF(H1027="AWAY",SUMIFS('Istoric_Nativ'!$H$6:$H$405,'Istoric_Nativ'!$B$6:$B$405,E1027,'Istoric_Nativ'!$C$6:$C$405,F1027,'Istoric_Nativ'!$F$6:$F$405,G1027,'Istoric_Nativ'!$D$6:$D$405,"&lt;"&amp;J1027,'Istoric_Nativ'!$P$6:$P$405,1,'Istoric_Nativ'!$D$6:$D$405,"&gt;="&amp;L1027),SUMIFS('Istoric_Nativ'!$G$6:$G$405,'Istoric_Nativ'!$B$6:$B$405,E1027,'Istoric_Nativ'!$C$6:$C$405,F1027,'Istoric_Nativ'!$E$6:$E$405,G1027,'Istoric_Nativ'!$D$6:$D$405,"&lt;"&amp;J1027,'Istoric_Nativ'!$P$6:$P$405,1,'Istoric_Nativ'!$D$6:$D$405,"&gt;="&amp;L1027)+SUMIFS('Istoric_Nativ'!$H$6:$H$405,'Istoric_Nativ'!$B$6:$B$405,E1027,'Istoric_Nativ'!$C$6:$C$405,F1027,'Istoric_Nativ'!$F$6:$F$405,G1027,'Istoric_Nativ'!$D$6:$D$405,"&lt;"&amp;J1027,'Istoric_Nativ'!$P$6:$P$405,1,'Istoric_Nativ'!$D$6:$D$405,"&gt;="&amp;L1027)))/M1027)</x:f>
      </x:c>
      <x:c r="O1027" s="11" t="str">
        <x:f>IF(M1027=0,"",IF(H1027="HOME",SUMIFS('Istoric_Nativ'!$H$6:$H$405,'Istoric_Nativ'!$B$6:$B$405,E1027,'Istoric_Nativ'!$C$6:$C$405,F1027,'Istoric_Nativ'!$E$6:$E$405,G1027,'Istoric_Nativ'!$D$6:$D$405,"&lt;"&amp;J1027,'Istoric_Nativ'!$P$6:$P$405,1,'Istoric_Nativ'!$D$6:$D$405,"&gt;="&amp;L1027),IF(H1027="AWAY",SUMIFS('Istoric_Nativ'!$G$6:$G$405,'Istoric_Nativ'!$B$6:$B$405,E1027,'Istoric_Nativ'!$C$6:$C$405,F1027,'Istoric_Nativ'!$F$6:$F$405,G1027,'Istoric_Nativ'!$D$6:$D$405,"&lt;"&amp;J1027,'Istoric_Nativ'!$P$6:$P$405,1,'Istoric_Nativ'!$D$6:$D$405,"&gt;="&amp;L1027),SUMIFS('Istoric_Nativ'!$H$6:$H$405,'Istoric_Nativ'!$B$6:$B$405,E1027,'Istoric_Nativ'!$C$6:$C$405,F1027,'Istoric_Nativ'!$E$6:$E$405,G1027,'Istoric_Nativ'!$D$6:$D$405,"&lt;"&amp;J1027,'Istoric_Nativ'!$P$6:$P$405,1,'Istoric_Nativ'!$D$6:$D$405,"&gt;="&amp;L1027)+SUMIFS('Istoric_Nativ'!$G$6:$G$405,'Istoric_Nativ'!$B$6:$B$405,E1027,'Istoric_Nativ'!$C$6:$C$405,F1027,'Istoric_Nativ'!$F$6:$F$405,G1027,'Istoric_Nativ'!$D$6:$D$405,"&lt;"&amp;J1027,'Istoric_Nativ'!$P$6:$P$405,1,'Istoric_Nativ'!$D$6:$D$405,"&gt;="&amp;L1027)))/M1027)</x:f>
      </x:c>
      <x:c r="P1027" s="2" t="n">
        <x:f>'Config_v6'!$B$8</x:f>
        <x:v>5</x:v>
      </x:c>
      <x:c r="Q1027" s="2" t="n">
        <x:f>IF(OR(B1027="",F1027=""),0,IFERROR(MATCH(E1027&amp;"|"&amp;F1027,SourceTable[Source_Key],0),0))</x:f>
        <x:v>0</x:v>
      </x:c>
      <x:c r="R1027" s="2" t="str">
        <x:f>IF(B1027="","",IF(F1027="","UNUSED",IF(Q1027=0,"NOT CHECKED",IF(COUNTIF(SourceTable[Source_Key],E1027&amp;"|"&amp;F1027)&lt;&gt;1,"SOURCE CONFLICT",IF(NOT(OR(INDEX(SourceTable[Status],MAX(1,Q1027))="IMPORTED",INDEX(SourceTable[Status],MAX(1,Q1027))="PARTIAL",INDEX(SourceTable[Status],MAX(1,Q1027))="SOURCE CONFLICT")),"ACCESS BLOCKED",IF(OR(INDEX(SourceTable[Coverage],Q1027)&lt;&gt;"FULL SEASON EXPORT",INDEX(SourceTable[URL],Q1027)="",INDEX(SourceTable[SHA256],Q1027)=""),"EVIDENCE INCOMPLETE",IF(AND('Input_Meci'!H91="LIVE",INDEX(SourceTable[Retrieved_UTC],Q1027)&gt;'Input_Meci'!G91),"POST CUTOFF","CLOSED")))))))</x:f>
      </x:c>
      <x:c r="S1027" s="2" t="n">
        <x:f>IF(OR(B1027="",F1027=""),0,COUNTIFS('Istoric_Nativ'!$B$6:$B$405,E1027,'Istoric_Nativ'!$C$6:$C$405,F1027,'Istoric_Nativ'!$E$6:$E$405,G1027,'Istoric_Nativ'!$D$6:$D$405,"&lt;"&amp;J1027,'Istoric_Nativ'!$O$6:$O$405,"INVALID")+COUNTIFS('Istoric_Nativ'!$B$6:$B$405,E1027,'Istoric_Nativ'!$C$6:$C$405,F1027,'Istoric_Nativ'!$E$6:$E$405,G1027,'Istoric_Nativ'!$O$6:$O$405,"INVALID",'Istoric_Nativ'!$D$6:$D$405,"*")+COUNTIFS('Istoric_Nativ'!$B$6:$B$405,E1027,'Istoric_Nativ'!$C$6:$C$405,F1027,'Istoric_Nativ'!$E$6:$E$405,G1027,'Istoric_Nativ'!$D$6:$D$405,"&lt;"&amp;J1027,'Istoric_Nativ'!$O$6:$O$405,"SOURCE CONFLICT")+COUNTIFS('Istoric_Nativ'!$B$6:$B$405,E1027,'Istoric_Nativ'!$C$6:$C$405,F1027,'Istoric_Nativ'!$F$6:$F$405,G1027,'Istoric_Nativ'!$D$6:$D$405,"&lt;"&amp;J1027,'Istoric_Nativ'!$O$6:$O$405,"INVALID")+COUNTIFS('Istoric_Nativ'!$B$6:$B$405,E1027,'Istoric_Nativ'!$C$6:$C$405,F1027,'Istoric_Nativ'!$F$6:$F$405,G1027,'Istoric_Nativ'!$O$6:$O$405,"INVALID",'Istoric_Nativ'!$D$6:$D$405,"*")+COUNTIFS('Istoric_Nativ'!$B$6:$B$405,E1027,'Istoric_Nativ'!$C$6:$C$405,F1027,'Istoric_Nativ'!$F$6:$F$405,G1027,'Istoric_Nativ'!$D$6:$D$405,"&lt;"&amp;J1027,'Istoric_Nativ'!$O$6:$O$405,"SOURCE CONFLICT"))</x:f>
        <x:v>0</x:v>
      </x:c>
      <x:c r="T1027" s="2" t="str">
        <x:f>IF(B1027="","",IF(R1027&lt;&gt;"CLOSED",R1027,IF(S1027&gt;0,"NATIVE INPUT ISSUE",IF(M1027=0,"NO HISTORY",IF(M1027&lt;P1027,"SMALL SAMPLE","DERIVED")))))</x:f>
      </x:c>
      <x:c r="U1027" s="2" t="str">
        <x:f>IF(B1027="","","NativeTable; "&amp;E1027&amp;"; "&amp;F1027&amp;"; "&amp;G1027&amp;"; "&amp;H1027&amp;"; before "&amp;TEXT(J1027,"yyyy-mm-dd")&amp;IF(I1027="RECENT","; from "&amp;TEXT(L1027,"yyyy-mm-dd"),""))</x:f>
      </x:c>
    </x:row>
    <x:row r="1028" ht="21" customHeight="1">
      <x:c r="A1028" s="2" t="n">
        <x:v>86</x:v>
      </x:c>
      <x:c r="B1028" s="2" t="str">
        <x:f>IF('Input_Meci'!A91="","",'Input_Meci'!A91)</x:f>
      </x:c>
      <x:c r="C1028" s="2" t="str">
        <x:v>H</x:v>
      </x:c>
      <x:c r="D1028" s="2" t="str">
        <x:v>CURRENT</x:v>
      </x:c>
      <x:c r="E1028" s="2" t="str">
        <x:f>IF(B1028="","",'Input_Meci'!B91)</x:f>
      </x:c>
      <x:c r="F1028" s="2" t="str">
        <x:f>IF(B1028="","",IF('Input_Meci'!C91="","",'Input_Meci'!C91))</x:f>
      </x:c>
      <x:c r="G1028" s="2" t="str">
        <x:f>IF(B1028="","",'Input_Meci'!D91)</x:f>
      </x:c>
      <x:c r="H1028" s="2" t="str">
        <x:v>ANY</x:v>
      </x:c>
      <x:c r="I1028" s="2" t="str">
        <x:v>RECENT</x:v>
      </x:c>
      <x:c r="J1028" s="9" t="n">
        <x:f>IF(AND(B1028&lt;&gt;"",ISNUMBER('Input_Meci'!G91)),INT('Input_Meci'!G91),0)</x:f>
        <x:v>0</x:v>
      </x:c>
      <x:c r="K1028" s="2" t="n">
        <x:f>IF(OR(B1028="",F1028=""),0,IF(H1028="HOME",COUNTIFS('Istoric_Nativ'!$B$6:$B$405,E1028,'Istoric_Nativ'!$C$6:$C$405,F1028,'Istoric_Nativ'!$E$6:$E$405,G1028,'Istoric_Nativ'!$D$6:$D$405,"&lt;"&amp;J1028,'Istoric_Nativ'!$P$6:$P$405,1),IF(H1028="AWAY",COUNTIFS('Istoric_Nativ'!$B$6:$B$405,E1028,'Istoric_Nativ'!$C$6:$C$405,F1028,'Istoric_Nativ'!$F$6:$F$405,G1028,'Istoric_Nativ'!$D$6:$D$405,"&lt;"&amp;J1028,'Istoric_Nativ'!$P$6:$P$405,1),COUNTIFS('Istoric_Nativ'!$B$6:$B$405,E1028,'Istoric_Nativ'!$C$6:$C$405,F1028,'Istoric_Nativ'!$E$6:$E$405,G1028,'Istoric_Nativ'!$D$6:$D$405,"&lt;"&amp;J1028,'Istoric_Nativ'!$P$6:$P$405,1)+COUNTIFS('Istoric_Nativ'!$B$6:$B$405,E1028,'Istoric_Nativ'!$C$6:$C$405,F1028,'Istoric_Nativ'!$F$6:$F$405,G1028,'Istoric_Nativ'!$D$6:$D$405,"&lt;"&amp;J1028,'Istoric_Nativ'!$P$6:$P$405,1))))</x:f>
        <x:v>0</x:v>
      </x:c>
      <x:c r="L1028" s="17" t="n">
        <x:f>IF(AND(B1028&lt;&gt;"",I1028="RECENT",K1028&gt;0),LARGE(_xlfn._xlws.FILTER('Istoric_Nativ'!$D$6:$D$405,('Istoric_Nativ'!$B$6:$B$405=E1028)*('Istoric_Nativ'!$C$6:$C$405=F1028)*('Istoric_Nativ'!$P$6:$P$405=1)*('Istoric_Nativ'!$D$6:$D$405&lt;J1028)*((('Istoric_Nativ'!$E$6:$E$405=G1028)+('Istoric_Nativ'!$F$6:$F$405=G1028))&gt;0)),MIN('Config_v6'!$B$54,K1028)),0)</x:f>
        <x:v>0</x:v>
      </x:c>
      <x:c r="M1028" s="2" t="n">
        <x:f>IF(OR(B1028="",F1028=""),0,IF(H1028="HOME",COUNTIFS('Istoric_Nativ'!$B$6:$B$405,E1028,'Istoric_Nativ'!$C$6:$C$405,F1028,'Istoric_Nativ'!$E$6:$E$405,G1028,'Istoric_Nativ'!$D$6:$D$405,"&lt;"&amp;J1028,'Istoric_Nativ'!$P$6:$P$405,1,'Istoric_Nativ'!$D$6:$D$405,"&gt;="&amp;L1028),IF(H1028="AWAY",COUNTIFS('Istoric_Nativ'!$B$6:$B$405,E1028,'Istoric_Nativ'!$C$6:$C$405,F1028,'Istoric_Nativ'!$F$6:$F$405,G1028,'Istoric_Nativ'!$D$6:$D$405,"&lt;"&amp;J1028,'Istoric_Nativ'!$P$6:$P$405,1,'Istoric_Nativ'!$D$6:$D$405,"&gt;="&amp;L1028),COUNTIFS('Istoric_Nativ'!$B$6:$B$405,E1028,'Istoric_Nativ'!$C$6:$C$405,F1028,'Istoric_Nativ'!$E$6:$E$405,G1028,'Istoric_Nativ'!$D$6:$D$405,"&lt;"&amp;J1028,'Istoric_Nativ'!$P$6:$P$405,1,'Istoric_Nativ'!$D$6:$D$405,"&gt;="&amp;L1028)+COUNTIFS('Istoric_Nativ'!$B$6:$B$405,E1028,'Istoric_Nativ'!$C$6:$C$405,F1028,'Istoric_Nativ'!$F$6:$F$405,G1028,'Istoric_Nativ'!$D$6:$D$405,"&lt;"&amp;J1028,'Istoric_Nativ'!$P$6:$P$405,1,'Istoric_Nativ'!$D$6:$D$405,"&gt;="&amp;L1028))))</x:f>
        <x:v>0</x:v>
      </x:c>
      <x:c r="N1028" s="11" t="str">
        <x:f>IF(M1028=0,"",IF(H1028="HOME",SUMIFS('Istoric_Nativ'!$G$6:$G$405,'Istoric_Nativ'!$B$6:$B$405,E1028,'Istoric_Nativ'!$C$6:$C$405,F1028,'Istoric_Nativ'!$E$6:$E$405,G1028,'Istoric_Nativ'!$D$6:$D$405,"&lt;"&amp;J1028,'Istoric_Nativ'!$P$6:$P$405,1,'Istoric_Nativ'!$D$6:$D$405,"&gt;="&amp;L1028),IF(H1028="AWAY",SUMIFS('Istoric_Nativ'!$H$6:$H$405,'Istoric_Nativ'!$B$6:$B$405,E1028,'Istoric_Nativ'!$C$6:$C$405,F1028,'Istoric_Nativ'!$F$6:$F$405,G1028,'Istoric_Nativ'!$D$6:$D$405,"&lt;"&amp;J1028,'Istoric_Nativ'!$P$6:$P$405,1,'Istoric_Nativ'!$D$6:$D$405,"&gt;="&amp;L1028),SUMIFS('Istoric_Nativ'!$G$6:$G$405,'Istoric_Nativ'!$B$6:$B$405,E1028,'Istoric_Nativ'!$C$6:$C$405,F1028,'Istoric_Nativ'!$E$6:$E$405,G1028,'Istoric_Nativ'!$D$6:$D$405,"&lt;"&amp;J1028,'Istoric_Nativ'!$P$6:$P$405,1,'Istoric_Nativ'!$D$6:$D$405,"&gt;="&amp;L1028)+SUMIFS('Istoric_Nativ'!$H$6:$H$405,'Istoric_Nativ'!$B$6:$B$405,E1028,'Istoric_Nativ'!$C$6:$C$405,F1028,'Istoric_Nativ'!$F$6:$F$405,G1028,'Istoric_Nativ'!$D$6:$D$405,"&lt;"&amp;J1028,'Istoric_Nativ'!$P$6:$P$405,1,'Istoric_Nativ'!$D$6:$D$405,"&gt;="&amp;L1028)))/M1028)</x:f>
      </x:c>
      <x:c r="O1028" s="11" t="str">
        <x:f>IF(M1028=0,"",IF(H1028="HOME",SUMIFS('Istoric_Nativ'!$H$6:$H$405,'Istoric_Nativ'!$B$6:$B$405,E1028,'Istoric_Nativ'!$C$6:$C$405,F1028,'Istoric_Nativ'!$E$6:$E$405,G1028,'Istoric_Nativ'!$D$6:$D$405,"&lt;"&amp;J1028,'Istoric_Nativ'!$P$6:$P$405,1,'Istoric_Nativ'!$D$6:$D$405,"&gt;="&amp;L1028),IF(H1028="AWAY",SUMIFS('Istoric_Nativ'!$G$6:$G$405,'Istoric_Nativ'!$B$6:$B$405,E1028,'Istoric_Nativ'!$C$6:$C$405,F1028,'Istoric_Nativ'!$F$6:$F$405,G1028,'Istoric_Nativ'!$D$6:$D$405,"&lt;"&amp;J1028,'Istoric_Nativ'!$P$6:$P$405,1,'Istoric_Nativ'!$D$6:$D$405,"&gt;="&amp;L1028),SUMIFS('Istoric_Nativ'!$H$6:$H$405,'Istoric_Nativ'!$B$6:$B$405,E1028,'Istoric_Nativ'!$C$6:$C$405,F1028,'Istoric_Nativ'!$E$6:$E$405,G1028,'Istoric_Nativ'!$D$6:$D$405,"&lt;"&amp;J1028,'Istoric_Nativ'!$P$6:$P$405,1,'Istoric_Nativ'!$D$6:$D$405,"&gt;="&amp;L1028)+SUMIFS('Istoric_Nativ'!$G$6:$G$405,'Istoric_Nativ'!$B$6:$B$405,E1028,'Istoric_Nativ'!$C$6:$C$405,F1028,'Istoric_Nativ'!$F$6:$F$405,G1028,'Istoric_Nativ'!$D$6:$D$405,"&lt;"&amp;J1028,'Istoric_Nativ'!$P$6:$P$405,1,'Istoric_Nativ'!$D$6:$D$405,"&gt;="&amp;L1028)))/M1028)</x:f>
      </x:c>
      <x:c r="P1028" s="2" t="n">
        <x:f>'Config_v6'!$B$9</x:f>
        <x:v>3</x:v>
      </x:c>
      <x:c r="Q1028" s="2" t="n">
        <x:f>IF(OR(B1028="",F1028=""),0,IFERROR(MATCH(E1028&amp;"|"&amp;F1028,SourceTable[Source_Key],0),0))</x:f>
        <x:v>0</x:v>
      </x:c>
      <x:c r="R1028" s="2" t="str">
        <x:f>IF(B1028="","",IF(F1028="","UNUSED",IF(Q1028=0,"NOT CHECKED",IF(COUNTIF(SourceTable[Source_Key],E1028&amp;"|"&amp;F1028)&lt;&gt;1,"SOURCE CONFLICT",IF(NOT(OR(INDEX(SourceTable[Status],MAX(1,Q1028))="IMPORTED",INDEX(SourceTable[Status],MAX(1,Q1028))="PARTIAL",INDEX(SourceTable[Status],MAX(1,Q1028))="SOURCE CONFLICT")),"ACCESS BLOCKED",IF(OR(INDEX(SourceTable[Coverage],Q1028)&lt;&gt;"FULL SEASON EXPORT",INDEX(SourceTable[URL],Q1028)="",INDEX(SourceTable[SHA256],Q1028)=""),"EVIDENCE INCOMPLETE",IF(AND('Input_Meci'!H91="LIVE",INDEX(SourceTable[Retrieved_UTC],Q1028)&gt;'Input_Meci'!G91),"POST CUTOFF","CLOSED")))))))</x:f>
      </x:c>
      <x:c r="S1028" s="2" t="n">
        <x:f>IF(OR(B1028="",F1028=""),0,COUNTIFS('Istoric_Nativ'!$B$6:$B$405,E1028,'Istoric_Nativ'!$C$6:$C$405,F1028,'Istoric_Nativ'!$E$6:$E$405,G1028,'Istoric_Nativ'!$D$6:$D$405,"&lt;"&amp;J1028,'Istoric_Nativ'!$O$6:$O$405,"INVALID")+COUNTIFS('Istoric_Nativ'!$B$6:$B$405,E1028,'Istoric_Nativ'!$C$6:$C$405,F1028,'Istoric_Nativ'!$E$6:$E$405,G1028,'Istoric_Nativ'!$O$6:$O$405,"INVALID",'Istoric_Nativ'!$D$6:$D$405,"*")+COUNTIFS('Istoric_Nativ'!$B$6:$B$405,E1028,'Istoric_Nativ'!$C$6:$C$405,F1028,'Istoric_Nativ'!$E$6:$E$405,G1028,'Istoric_Nativ'!$D$6:$D$405,"&lt;"&amp;J1028,'Istoric_Nativ'!$O$6:$O$405,"SOURCE CONFLICT")+COUNTIFS('Istoric_Nativ'!$B$6:$B$405,E1028,'Istoric_Nativ'!$C$6:$C$405,F1028,'Istoric_Nativ'!$F$6:$F$405,G1028,'Istoric_Nativ'!$D$6:$D$405,"&lt;"&amp;J1028,'Istoric_Nativ'!$O$6:$O$405,"INVALID")+COUNTIFS('Istoric_Nativ'!$B$6:$B$405,E1028,'Istoric_Nativ'!$C$6:$C$405,F1028,'Istoric_Nativ'!$F$6:$F$405,G1028,'Istoric_Nativ'!$O$6:$O$405,"INVALID",'Istoric_Nativ'!$D$6:$D$405,"*")+COUNTIFS('Istoric_Nativ'!$B$6:$B$405,E1028,'Istoric_Nativ'!$C$6:$C$405,F1028,'Istoric_Nativ'!$F$6:$F$405,G1028,'Istoric_Nativ'!$D$6:$D$405,"&lt;"&amp;J1028,'Istoric_Nativ'!$O$6:$O$405,"SOURCE CONFLICT"))</x:f>
        <x:v>0</x:v>
      </x:c>
      <x:c r="T1028" s="2" t="str">
        <x:f>IF(B1028="","",IF(R1028&lt;&gt;"CLOSED",R1028,IF(S1028&gt;0,"NATIVE INPUT ISSUE",IF(M1028=0,"NO HISTORY",IF(M1028&lt;P1028,"SMALL SAMPLE","DERIVED")))))</x:f>
      </x:c>
      <x:c r="U1028" s="2" t="str">
        <x:f>IF(B1028="","","NativeTable; "&amp;E1028&amp;"; "&amp;F1028&amp;"; "&amp;G1028&amp;"; "&amp;H1028&amp;"; before "&amp;TEXT(J1028,"yyyy-mm-dd")&amp;IF(I1028="RECENT","; from "&amp;TEXT(L1028,"yyyy-mm-dd"),""))</x:f>
      </x:c>
    </x:row>
    <x:row r="1029" ht="21" customHeight="1">
      <x:c r="A1029" s="2" t="n">
        <x:v>86</x:v>
      </x:c>
      <x:c r="B1029" s="2" t="str">
        <x:f>IF('Input_Meci'!A91="","",'Input_Meci'!A91)</x:f>
      </x:c>
      <x:c r="C1029" s="2" t="str">
        <x:v>A</x:v>
      </x:c>
      <x:c r="D1029" s="2" t="str">
        <x:v>CURRENT</x:v>
      </x:c>
      <x:c r="E1029" s="2" t="str">
        <x:f>IF(B1029="","",'Input_Meci'!B91)</x:f>
      </x:c>
      <x:c r="F1029" s="2" t="str">
        <x:f>IF(B1029="","",IF('Input_Meci'!C91="","",'Input_Meci'!C91))</x:f>
      </x:c>
      <x:c r="G1029" s="2" t="str">
        <x:f>IF(B1029="","",'Input_Meci'!E91)</x:f>
      </x:c>
      <x:c r="H1029" s="2" t="str">
        <x:v>ANY</x:v>
      </x:c>
      <x:c r="I1029" s="2" t="str">
        <x:v>SEASON</x:v>
      </x:c>
      <x:c r="J1029" s="9" t="n">
        <x:f>IF(AND(B1029&lt;&gt;"",ISNUMBER('Input_Meci'!G91)),INT('Input_Meci'!G91),0)</x:f>
        <x:v>0</x:v>
      </x:c>
      <x:c r="K1029" s="2" t="n">
        <x:f>IF(OR(B1029="",F1029=""),0,IF(H1029="HOME",COUNTIFS('Istoric_Nativ'!$B$6:$B$405,E1029,'Istoric_Nativ'!$C$6:$C$405,F1029,'Istoric_Nativ'!$E$6:$E$405,G1029,'Istoric_Nativ'!$D$6:$D$405,"&lt;"&amp;J1029,'Istoric_Nativ'!$P$6:$P$405,1),IF(H1029="AWAY",COUNTIFS('Istoric_Nativ'!$B$6:$B$405,E1029,'Istoric_Nativ'!$C$6:$C$405,F1029,'Istoric_Nativ'!$F$6:$F$405,G1029,'Istoric_Nativ'!$D$6:$D$405,"&lt;"&amp;J1029,'Istoric_Nativ'!$P$6:$P$405,1),COUNTIFS('Istoric_Nativ'!$B$6:$B$405,E1029,'Istoric_Nativ'!$C$6:$C$405,F1029,'Istoric_Nativ'!$E$6:$E$405,G1029,'Istoric_Nativ'!$D$6:$D$405,"&lt;"&amp;J1029,'Istoric_Nativ'!$P$6:$P$405,1)+COUNTIFS('Istoric_Nativ'!$B$6:$B$405,E1029,'Istoric_Nativ'!$C$6:$C$405,F1029,'Istoric_Nativ'!$F$6:$F$405,G1029,'Istoric_Nativ'!$D$6:$D$405,"&lt;"&amp;J1029,'Istoric_Nativ'!$P$6:$P$405,1))))</x:f>
        <x:v>0</x:v>
      </x:c>
      <x:c r="L1029" s="17" t="n">
        <x:f>IF(AND(B1029&lt;&gt;"",I1029="RECENT",K1029&gt;0),LARGE(_xlfn._xlws.FILTER('Istoric_Nativ'!$D$6:$D$405,('Istoric_Nativ'!$B$6:$B$405=E1029)*('Istoric_Nativ'!$C$6:$C$405=F1029)*('Istoric_Nativ'!$P$6:$P$405=1)*('Istoric_Nativ'!$D$6:$D$405&lt;J1029)*((('Istoric_Nativ'!$E$6:$E$405=G1029)+('Istoric_Nativ'!$F$6:$F$405=G1029))&gt;0)),MIN('Config_v6'!$B$54,K1029)),0)</x:f>
        <x:v>0</x:v>
      </x:c>
      <x:c r="M1029" s="2" t="n">
        <x:f>IF(OR(B1029="",F1029=""),0,IF(H1029="HOME",COUNTIFS('Istoric_Nativ'!$B$6:$B$405,E1029,'Istoric_Nativ'!$C$6:$C$405,F1029,'Istoric_Nativ'!$E$6:$E$405,G1029,'Istoric_Nativ'!$D$6:$D$405,"&lt;"&amp;J1029,'Istoric_Nativ'!$P$6:$P$405,1,'Istoric_Nativ'!$D$6:$D$405,"&gt;="&amp;L1029),IF(H1029="AWAY",COUNTIFS('Istoric_Nativ'!$B$6:$B$405,E1029,'Istoric_Nativ'!$C$6:$C$405,F1029,'Istoric_Nativ'!$F$6:$F$405,G1029,'Istoric_Nativ'!$D$6:$D$405,"&lt;"&amp;J1029,'Istoric_Nativ'!$P$6:$P$405,1,'Istoric_Nativ'!$D$6:$D$405,"&gt;="&amp;L1029),COUNTIFS('Istoric_Nativ'!$B$6:$B$405,E1029,'Istoric_Nativ'!$C$6:$C$405,F1029,'Istoric_Nativ'!$E$6:$E$405,G1029,'Istoric_Nativ'!$D$6:$D$405,"&lt;"&amp;J1029,'Istoric_Nativ'!$P$6:$P$405,1,'Istoric_Nativ'!$D$6:$D$405,"&gt;="&amp;L1029)+COUNTIFS('Istoric_Nativ'!$B$6:$B$405,E1029,'Istoric_Nativ'!$C$6:$C$405,F1029,'Istoric_Nativ'!$F$6:$F$405,G1029,'Istoric_Nativ'!$D$6:$D$405,"&lt;"&amp;J1029,'Istoric_Nativ'!$P$6:$P$405,1,'Istoric_Nativ'!$D$6:$D$405,"&gt;="&amp;L1029))))</x:f>
        <x:v>0</x:v>
      </x:c>
      <x:c r="N1029" s="11" t="str">
        <x:f>IF(M1029=0,"",IF(H1029="HOME",SUMIFS('Istoric_Nativ'!$G$6:$G$405,'Istoric_Nativ'!$B$6:$B$405,E1029,'Istoric_Nativ'!$C$6:$C$405,F1029,'Istoric_Nativ'!$E$6:$E$405,G1029,'Istoric_Nativ'!$D$6:$D$405,"&lt;"&amp;J1029,'Istoric_Nativ'!$P$6:$P$405,1,'Istoric_Nativ'!$D$6:$D$405,"&gt;="&amp;L1029),IF(H1029="AWAY",SUMIFS('Istoric_Nativ'!$H$6:$H$405,'Istoric_Nativ'!$B$6:$B$405,E1029,'Istoric_Nativ'!$C$6:$C$405,F1029,'Istoric_Nativ'!$F$6:$F$405,G1029,'Istoric_Nativ'!$D$6:$D$405,"&lt;"&amp;J1029,'Istoric_Nativ'!$P$6:$P$405,1,'Istoric_Nativ'!$D$6:$D$405,"&gt;="&amp;L1029),SUMIFS('Istoric_Nativ'!$G$6:$G$405,'Istoric_Nativ'!$B$6:$B$405,E1029,'Istoric_Nativ'!$C$6:$C$405,F1029,'Istoric_Nativ'!$E$6:$E$405,G1029,'Istoric_Nativ'!$D$6:$D$405,"&lt;"&amp;J1029,'Istoric_Nativ'!$P$6:$P$405,1,'Istoric_Nativ'!$D$6:$D$405,"&gt;="&amp;L1029)+SUMIFS('Istoric_Nativ'!$H$6:$H$405,'Istoric_Nativ'!$B$6:$B$405,E1029,'Istoric_Nativ'!$C$6:$C$405,F1029,'Istoric_Nativ'!$F$6:$F$405,G1029,'Istoric_Nativ'!$D$6:$D$405,"&lt;"&amp;J1029,'Istoric_Nativ'!$P$6:$P$405,1,'Istoric_Nativ'!$D$6:$D$405,"&gt;="&amp;L1029)))/M1029)</x:f>
      </x:c>
      <x:c r="O1029" s="11" t="str">
        <x:f>IF(M1029=0,"",IF(H1029="HOME",SUMIFS('Istoric_Nativ'!$H$6:$H$405,'Istoric_Nativ'!$B$6:$B$405,E1029,'Istoric_Nativ'!$C$6:$C$405,F1029,'Istoric_Nativ'!$E$6:$E$405,G1029,'Istoric_Nativ'!$D$6:$D$405,"&lt;"&amp;J1029,'Istoric_Nativ'!$P$6:$P$405,1,'Istoric_Nativ'!$D$6:$D$405,"&gt;="&amp;L1029),IF(H1029="AWAY",SUMIFS('Istoric_Nativ'!$G$6:$G$405,'Istoric_Nativ'!$B$6:$B$405,E1029,'Istoric_Nativ'!$C$6:$C$405,F1029,'Istoric_Nativ'!$F$6:$F$405,G1029,'Istoric_Nativ'!$D$6:$D$405,"&lt;"&amp;J1029,'Istoric_Nativ'!$P$6:$P$405,1,'Istoric_Nativ'!$D$6:$D$405,"&gt;="&amp;L1029),SUMIFS('Istoric_Nativ'!$H$6:$H$405,'Istoric_Nativ'!$B$6:$B$405,E1029,'Istoric_Nativ'!$C$6:$C$405,F1029,'Istoric_Nativ'!$E$6:$E$405,G1029,'Istoric_Nativ'!$D$6:$D$405,"&lt;"&amp;J1029,'Istoric_Nativ'!$P$6:$P$405,1,'Istoric_Nativ'!$D$6:$D$405,"&gt;="&amp;L1029)+SUMIFS('Istoric_Nativ'!$G$6:$G$405,'Istoric_Nativ'!$B$6:$B$405,E1029,'Istoric_Nativ'!$C$6:$C$405,F1029,'Istoric_Nativ'!$F$6:$F$405,G1029,'Istoric_Nativ'!$D$6:$D$405,"&lt;"&amp;J1029,'Istoric_Nativ'!$P$6:$P$405,1,'Istoric_Nativ'!$D$6:$D$405,"&gt;="&amp;L1029)))/M1029)</x:f>
      </x:c>
      <x:c r="P1029" s="2" t="n">
        <x:f>'Config_v6'!$B$7</x:f>
        <x:v>10</x:v>
      </x:c>
      <x:c r="Q1029" s="2" t="n">
        <x:f>IF(OR(B1029="",F1029=""),0,IFERROR(MATCH(E1029&amp;"|"&amp;F1029,SourceTable[Source_Key],0),0))</x:f>
        <x:v>0</x:v>
      </x:c>
      <x:c r="R1029" s="2" t="str">
        <x:f>IF(B1029="","",IF(F1029="","UNUSED",IF(Q1029=0,"NOT CHECKED",IF(COUNTIF(SourceTable[Source_Key],E1029&amp;"|"&amp;F1029)&lt;&gt;1,"SOURCE CONFLICT",IF(NOT(OR(INDEX(SourceTable[Status],MAX(1,Q1029))="IMPORTED",INDEX(SourceTable[Status],MAX(1,Q1029))="PARTIAL",INDEX(SourceTable[Status],MAX(1,Q1029))="SOURCE CONFLICT")),"ACCESS BLOCKED",IF(OR(INDEX(SourceTable[Coverage],Q1029)&lt;&gt;"FULL SEASON EXPORT",INDEX(SourceTable[URL],Q1029)="",INDEX(SourceTable[SHA256],Q1029)=""),"EVIDENCE INCOMPLETE",IF(AND('Input_Meci'!H91="LIVE",INDEX(SourceTable[Retrieved_UTC],Q1029)&gt;'Input_Meci'!G91),"POST CUTOFF","CLOSED")))))))</x:f>
      </x:c>
      <x:c r="S1029" s="2" t="n">
        <x:f>IF(OR(B1029="",F1029=""),0,COUNTIFS('Istoric_Nativ'!$B$6:$B$405,E1029,'Istoric_Nativ'!$C$6:$C$405,F1029,'Istoric_Nativ'!$E$6:$E$405,G1029,'Istoric_Nativ'!$D$6:$D$405,"&lt;"&amp;J1029,'Istoric_Nativ'!$O$6:$O$405,"INVALID")+COUNTIFS('Istoric_Nativ'!$B$6:$B$405,E1029,'Istoric_Nativ'!$C$6:$C$405,F1029,'Istoric_Nativ'!$E$6:$E$405,G1029,'Istoric_Nativ'!$O$6:$O$405,"INVALID",'Istoric_Nativ'!$D$6:$D$405,"*")+COUNTIFS('Istoric_Nativ'!$B$6:$B$405,E1029,'Istoric_Nativ'!$C$6:$C$405,F1029,'Istoric_Nativ'!$E$6:$E$405,G1029,'Istoric_Nativ'!$D$6:$D$405,"&lt;"&amp;J1029,'Istoric_Nativ'!$O$6:$O$405,"SOURCE CONFLICT")+COUNTIFS('Istoric_Nativ'!$B$6:$B$405,E1029,'Istoric_Nativ'!$C$6:$C$405,F1029,'Istoric_Nativ'!$F$6:$F$405,G1029,'Istoric_Nativ'!$D$6:$D$405,"&lt;"&amp;J1029,'Istoric_Nativ'!$O$6:$O$405,"INVALID")+COUNTIFS('Istoric_Nativ'!$B$6:$B$405,E1029,'Istoric_Nativ'!$C$6:$C$405,F1029,'Istoric_Nativ'!$F$6:$F$405,G1029,'Istoric_Nativ'!$O$6:$O$405,"INVALID",'Istoric_Nativ'!$D$6:$D$405,"*")+COUNTIFS('Istoric_Nativ'!$B$6:$B$405,E1029,'Istoric_Nativ'!$C$6:$C$405,F1029,'Istoric_Nativ'!$F$6:$F$405,G1029,'Istoric_Nativ'!$D$6:$D$405,"&lt;"&amp;J1029,'Istoric_Nativ'!$O$6:$O$405,"SOURCE CONFLICT"))</x:f>
        <x:v>0</x:v>
      </x:c>
      <x:c r="T1029" s="2" t="str">
        <x:f>IF(B1029="","",IF(R1029&lt;&gt;"CLOSED",R1029,IF(S1029&gt;0,"NATIVE INPUT ISSUE",IF(M1029=0,"NO HISTORY",IF(M1029&lt;P1029,"SMALL SAMPLE","DERIVED")))))</x:f>
      </x:c>
      <x:c r="U1029" s="2" t="str">
        <x:f>IF(B1029="","","NativeTable; "&amp;E1029&amp;"; "&amp;F1029&amp;"; "&amp;G1029&amp;"; "&amp;H1029&amp;"; before "&amp;TEXT(J1029,"yyyy-mm-dd")&amp;IF(I1029="RECENT","; from "&amp;TEXT(L1029,"yyyy-mm-dd"),""))</x:f>
      </x:c>
    </x:row>
    <x:row r="1030" ht="21" customHeight="1">
      <x:c r="A1030" s="2" t="n">
        <x:v>86</x:v>
      </x:c>
      <x:c r="B1030" s="2" t="str">
        <x:f>IF('Input_Meci'!A91="","",'Input_Meci'!A91)</x:f>
      </x:c>
      <x:c r="C1030" s="2" t="str">
        <x:v>A</x:v>
      </x:c>
      <x:c r="D1030" s="2" t="str">
        <x:v>CURRENT</x:v>
      </x:c>
      <x:c r="E1030" s="2" t="str">
        <x:f>IF(B1030="","",'Input_Meci'!B91)</x:f>
      </x:c>
      <x:c r="F1030" s="2" t="str">
        <x:f>IF(B1030="","",IF('Input_Meci'!C91="","",'Input_Meci'!C91))</x:f>
      </x:c>
      <x:c r="G1030" s="2" t="str">
        <x:f>IF(B1030="","",'Input_Meci'!E91)</x:f>
      </x:c>
      <x:c r="H1030" s="2" t="str">
        <x:v>AWAY</x:v>
      </x:c>
      <x:c r="I1030" s="2" t="str">
        <x:v>HA</x:v>
      </x:c>
      <x:c r="J1030" s="9" t="n">
        <x:f>IF(AND(B1030&lt;&gt;"",ISNUMBER('Input_Meci'!G91)),INT('Input_Meci'!G91),0)</x:f>
        <x:v>0</x:v>
      </x:c>
      <x:c r="K1030" s="2" t="n">
        <x:f>IF(OR(B1030="",F1030=""),0,IF(H1030="HOME",COUNTIFS('Istoric_Nativ'!$B$6:$B$405,E1030,'Istoric_Nativ'!$C$6:$C$405,F1030,'Istoric_Nativ'!$E$6:$E$405,G1030,'Istoric_Nativ'!$D$6:$D$405,"&lt;"&amp;J1030,'Istoric_Nativ'!$P$6:$P$405,1),IF(H1030="AWAY",COUNTIFS('Istoric_Nativ'!$B$6:$B$405,E1030,'Istoric_Nativ'!$C$6:$C$405,F1030,'Istoric_Nativ'!$F$6:$F$405,G1030,'Istoric_Nativ'!$D$6:$D$405,"&lt;"&amp;J1030,'Istoric_Nativ'!$P$6:$P$405,1),COUNTIFS('Istoric_Nativ'!$B$6:$B$405,E1030,'Istoric_Nativ'!$C$6:$C$405,F1030,'Istoric_Nativ'!$E$6:$E$405,G1030,'Istoric_Nativ'!$D$6:$D$405,"&lt;"&amp;J1030,'Istoric_Nativ'!$P$6:$P$405,1)+COUNTIFS('Istoric_Nativ'!$B$6:$B$405,E1030,'Istoric_Nativ'!$C$6:$C$405,F1030,'Istoric_Nativ'!$F$6:$F$405,G1030,'Istoric_Nativ'!$D$6:$D$405,"&lt;"&amp;J1030,'Istoric_Nativ'!$P$6:$P$405,1))))</x:f>
        <x:v>0</x:v>
      </x:c>
      <x:c r="L1030" s="17" t="n">
        <x:f>IF(AND(B1030&lt;&gt;"",I1030="RECENT",K1030&gt;0),LARGE(_xlfn._xlws.FILTER('Istoric_Nativ'!$D$6:$D$405,('Istoric_Nativ'!$B$6:$B$405=E1030)*('Istoric_Nativ'!$C$6:$C$405=F1030)*('Istoric_Nativ'!$P$6:$P$405=1)*('Istoric_Nativ'!$D$6:$D$405&lt;J1030)*((('Istoric_Nativ'!$E$6:$E$405=G1030)+('Istoric_Nativ'!$F$6:$F$405=G1030))&gt;0)),MIN('Config_v6'!$B$54,K1030)),0)</x:f>
        <x:v>0</x:v>
      </x:c>
      <x:c r="M1030" s="2" t="n">
        <x:f>IF(OR(B1030="",F1030=""),0,IF(H1030="HOME",COUNTIFS('Istoric_Nativ'!$B$6:$B$405,E1030,'Istoric_Nativ'!$C$6:$C$405,F1030,'Istoric_Nativ'!$E$6:$E$405,G1030,'Istoric_Nativ'!$D$6:$D$405,"&lt;"&amp;J1030,'Istoric_Nativ'!$P$6:$P$405,1,'Istoric_Nativ'!$D$6:$D$405,"&gt;="&amp;L1030),IF(H1030="AWAY",COUNTIFS('Istoric_Nativ'!$B$6:$B$405,E1030,'Istoric_Nativ'!$C$6:$C$405,F1030,'Istoric_Nativ'!$F$6:$F$405,G1030,'Istoric_Nativ'!$D$6:$D$405,"&lt;"&amp;J1030,'Istoric_Nativ'!$P$6:$P$405,1,'Istoric_Nativ'!$D$6:$D$405,"&gt;="&amp;L1030),COUNTIFS('Istoric_Nativ'!$B$6:$B$405,E1030,'Istoric_Nativ'!$C$6:$C$405,F1030,'Istoric_Nativ'!$E$6:$E$405,G1030,'Istoric_Nativ'!$D$6:$D$405,"&lt;"&amp;J1030,'Istoric_Nativ'!$P$6:$P$405,1,'Istoric_Nativ'!$D$6:$D$405,"&gt;="&amp;L1030)+COUNTIFS('Istoric_Nativ'!$B$6:$B$405,E1030,'Istoric_Nativ'!$C$6:$C$405,F1030,'Istoric_Nativ'!$F$6:$F$405,G1030,'Istoric_Nativ'!$D$6:$D$405,"&lt;"&amp;J1030,'Istoric_Nativ'!$P$6:$P$405,1,'Istoric_Nativ'!$D$6:$D$405,"&gt;="&amp;L1030))))</x:f>
        <x:v>0</x:v>
      </x:c>
      <x:c r="N1030" s="11" t="str">
        <x:f>IF(M1030=0,"",IF(H1030="HOME",SUMIFS('Istoric_Nativ'!$G$6:$G$405,'Istoric_Nativ'!$B$6:$B$405,E1030,'Istoric_Nativ'!$C$6:$C$405,F1030,'Istoric_Nativ'!$E$6:$E$405,G1030,'Istoric_Nativ'!$D$6:$D$405,"&lt;"&amp;J1030,'Istoric_Nativ'!$P$6:$P$405,1,'Istoric_Nativ'!$D$6:$D$405,"&gt;="&amp;L1030),IF(H1030="AWAY",SUMIFS('Istoric_Nativ'!$H$6:$H$405,'Istoric_Nativ'!$B$6:$B$405,E1030,'Istoric_Nativ'!$C$6:$C$405,F1030,'Istoric_Nativ'!$F$6:$F$405,G1030,'Istoric_Nativ'!$D$6:$D$405,"&lt;"&amp;J1030,'Istoric_Nativ'!$P$6:$P$405,1,'Istoric_Nativ'!$D$6:$D$405,"&gt;="&amp;L1030),SUMIFS('Istoric_Nativ'!$G$6:$G$405,'Istoric_Nativ'!$B$6:$B$405,E1030,'Istoric_Nativ'!$C$6:$C$405,F1030,'Istoric_Nativ'!$E$6:$E$405,G1030,'Istoric_Nativ'!$D$6:$D$405,"&lt;"&amp;J1030,'Istoric_Nativ'!$P$6:$P$405,1,'Istoric_Nativ'!$D$6:$D$405,"&gt;="&amp;L1030)+SUMIFS('Istoric_Nativ'!$H$6:$H$405,'Istoric_Nativ'!$B$6:$B$405,E1030,'Istoric_Nativ'!$C$6:$C$405,F1030,'Istoric_Nativ'!$F$6:$F$405,G1030,'Istoric_Nativ'!$D$6:$D$405,"&lt;"&amp;J1030,'Istoric_Nativ'!$P$6:$P$405,1,'Istoric_Nativ'!$D$6:$D$405,"&gt;="&amp;L1030)))/M1030)</x:f>
      </x:c>
      <x:c r="O1030" s="11" t="str">
        <x:f>IF(M1030=0,"",IF(H1030="HOME",SUMIFS('Istoric_Nativ'!$H$6:$H$405,'Istoric_Nativ'!$B$6:$B$405,E1030,'Istoric_Nativ'!$C$6:$C$405,F1030,'Istoric_Nativ'!$E$6:$E$405,G1030,'Istoric_Nativ'!$D$6:$D$405,"&lt;"&amp;J1030,'Istoric_Nativ'!$P$6:$P$405,1,'Istoric_Nativ'!$D$6:$D$405,"&gt;="&amp;L1030),IF(H1030="AWAY",SUMIFS('Istoric_Nativ'!$G$6:$G$405,'Istoric_Nativ'!$B$6:$B$405,E1030,'Istoric_Nativ'!$C$6:$C$405,F1030,'Istoric_Nativ'!$F$6:$F$405,G1030,'Istoric_Nativ'!$D$6:$D$405,"&lt;"&amp;J1030,'Istoric_Nativ'!$P$6:$P$405,1,'Istoric_Nativ'!$D$6:$D$405,"&gt;="&amp;L1030),SUMIFS('Istoric_Nativ'!$H$6:$H$405,'Istoric_Nativ'!$B$6:$B$405,E1030,'Istoric_Nativ'!$C$6:$C$405,F1030,'Istoric_Nativ'!$E$6:$E$405,G1030,'Istoric_Nativ'!$D$6:$D$405,"&lt;"&amp;J1030,'Istoric_Nativ'!$P$6:$P$405,1,'Istoric_Nativ'!$D$6:$D$405,"&gt;="&amp;L1030)+SUMIFS('Istoric_Nativ'!$G$6:$G$405,'Istoric_Nativ'!$B$6:$B$405,E1030,'Istoric_Nativ'!$C$6:$C$405,F1030,'Istoric_Nativ'!$F$6:$F$405,G1030,'Istoric_Nativ'!$D$6:$D$405,"&lt;"&amp;J1030,'Istoric_Nativ'!$P$6:$P$405,1,'Istoric_Nativ'!$D$6:$D$405,"&gt;="&amp;L1030)))/M1030)</x:f>
      </x:c>
      <x:c r="P1030" s="2" t="n">
        <x:f>'Config_v6'!$B$8</x:f>
        <x:v>5</x:v>
      </x:c>
      <x:c r="Q1030" s="2" t="n">
        <x:f>IF(OR(B1030="",F1030=""),0,IFERROR(MATCH(E1030&amp;"|"&amp;F1030,SourceTable[Source_Key],0),0))</x:f>
        <x:v>0</x:v>
      </x:c>
      <x:c r="R1030" s="2" t="str">
        <x:f>IF(B1030="","",IF(F1030="","UNUSED",IF(Q1030=0,"NOT CHECKED",IF(COUNTIF(SourceTable[Source_Key],E1030&amp;"|"&amp;F1030)&lt;&gt;1,"SOURCE CONFLICT",IF(NOT(OR(INDEX(SourceTable[Status],MAX(1,Q1030))="IMPORTED",INDEX(SourceTable[Status],MAX(1,Q1030))="PARTIAL",INDEX(SourceTable[Status],MAX(1,Q1030))="SOURCE CONFLICT")),"ACCESS BLOCKED",IF(OR(INDEX(SourceTable[Coverage],Q1030)&lt;&gt;"FULL SEASON EXPORT",INDEX(SourceTable[URL],Q1030)="",INDEX(SourceTable[SHA256],Q1030)=""),"EVIDENCE INCOMPLETE",IF(AND('Input_Meci'!H91="LIVE",INDEX(SourceTable[Retrieved_UTC],Q1030)&gt;'Input_Meci'!G91),"POST CUTOFF","CLOSED")))))))</x:f>
      </x:c>
      <x:c r="S1030" s="2" t="n">
        <x:f>IF(OR(B1030="",F1030=""),0,COUNTIFS('Istoric_Nativ'!$B$6:$B$405,E1030,'Istoric_Nativ'!$C$6:$C$405,F1030,'Istoric_Nativ'!$E$6:$E$405,G1030,'Istoric_Nativ'!$D$6:$D$405,"&lt;"&amp;J1030,'Istoric_Nativ'!$O$6:$O$405,"INVALID")+COUNTIFS('Istoric_Nativ'!$B$6:$B$405,E1030,'Istoric_Nativ'!$C$6:$C$405,F1030,'Istoric_Nativ'!$E$6:$E$405,G1030,'Istoric_Nativ'!$O$6:$O$405,"INVALID",'Istoric_Nativ'!$D$6:$D$405,"*")+COUNTIFS('Istoric_Nativ'!$B$6:$B$405,E1030,'Istoric_Nativ'!$C$6:$C$405,F1030,'Istoric_Nativ'!$E$6:$E$405,G1030,'Istoric_Nativ'!$D$6:$D$405,"&lt;"&amp;J1030,'Istoric_Nativ'!$O$6:$O$405,"SOURCE CONFLICT")+COUNTIFS('Istoric_Nativ'!$B$6:$B$405,E1030,'Istoric_Nativ'!$C$6:$C$405,F1030,'Istoric_Nativ'!$F$6:$F$405,G1030,'Istoric_Nativ'!$D$6:$D$405,"&lt;"&amp;J1030,'Istoric_Nativ'!$O$6:$O$405,"INVALID")+COUNTIFS('Istoric_Nativ'!$B$6:$B$405,E1030,'Istoric_Nativ'!$C$6:$C$405,F1030,'Istoric_Nativ'!$F$6:$F$405,G1030,'Istoric_Nativ'!$O$6:$O$405,"INVALID",'Istoric_Nativ'!$D$6:$D$405,"*")+COUNTIFS('Istoric_Nativ'!$B$6:$B$405,E1030,'Istoric_Nativ'!$C$6:$C$405,F1030,'Istoric_Nativ'!$F$6:$F$405,G1030,'Istoric_Nativ'!$D$6:$D$405,"&lt;"&amp;J1030,'Istoric_Nativ'!$O$6:$O$405,"SOURCE CONFLICT"))</x:f>
        <x:v>0</x:v>
      </x:c>
      <x:c r="T1030" s="2" t="str">
        <x:f>IF(B1030="","",IF(R1030&lt;&gt;"CLOSED",R1030,IF(S1030&gt;0,"NATIVE INPUT ISSUE",IF(M1030=0,"NO HISTORY",IF(M1030&lt;P1030,"SMALL SAMPLE","DERIVED")))))</x:f>
      </x:c>
      <x:c r="U1030" s="2" t="str">
        <x:f>IF(B1030="","","NativeTable; "&amp;E1030&amp;"; "&amp;F1030&amp;"; "&amp;G1030&amp;"; "&amp;H1030&amp;"; before "&amp;TEXT(J1030,"yyyy-mm-dd")&amp;IF(I1030="RECENT","; from "&amp;TEXT(L1030,"yyyy-mm-dd"),""))</x:f>
      </x:c>
    </x:row>
    <x:row r="1031" ht="21" customHeight="1">
      <x:c r="A1031" s="2" t="n">
        <x:v>86</x:v>
      </x:c>
      <x:c r="B1031" s="2" t="str">
        <x:f>IF('Input_Meci'!A91="","",'Input_Meci'!A91)</x:f>
      </x:c>
      <x:c r="C1031" s="2" t="str">
        <x:v>A</x:v>
      </x:c>
      <x:c r="D1031" s="2" t="str">
        <x:v>CURRENT</x:v>
      </x:c>
      <x:c r="E1031" s="2" t="str">
        <x:f>IF(B1031="","",'Input_Meci'!B91)</x:f>
      </x:c>
      <x:c r="F1031" s="2" t="str">
        <x:f>IF(B1031="","",IF('Input_Meci'!C91="","",'Input_Meci'!C91))</x:f>
      </x:c>
      <x:c r="G1031" s="2" t="str">
        <x:f>IF(B1031="","",'Input_Meci'!E91)</x:f>
      </x:c>
      <x:c r="H1031" s="2" t="str">
        <x:v>ANY</x:v>
      </x:c>
      <x:c r="I1031" s="2" t="str">
        <x:v>RECENT</x:v>
      </x:c>
      <x:c r="J1031" s="9" t="n">
        <x:f>IF(AND(B1031&lt;&gt;"",ISNUMBER('Input_Meci'!G91)),INT('Input_Meci'!G91),0)</x:f>
        <x:v>0</x:v>
      </x:c>
      <x:c r="K1031" s="2" t="n">
        <x:f>IF(OR(B1031="",F1031=""),0,IF(H1031="HOME",COUNTIFS('Istoric_Nativ'!$B$6:$B$405,E1031,'Istoric_Nativ'!$C$6:$C$405,F1031,'Istoric_Nativ'!$E$6:$E$405,G1031,'Istoric_Nativ'!$D$6:$D$405,"&lt;"&amp;J1031,'Istoric_Nativ'!$P$6:$P$405,1),IF(H1031="AWAY",COUNTIFS('Istoric_Nativ'!$B$6:$B$405,E1031,'Istoric_Nativ'!$C$6:$C$405,F1031,'Istoric_Nativ'!$F$6:$F$405,G1031,'Istoric_Nativ'!$D$6:$D$405,"&lt;"&amp;J1031,'Istoric_Nativ'!$P$6:$P$405,1),COUNTIFS('Istoric_Nativ'!$B$6:$B$405,E1031,'Istoric_Nativ'!$C$6:$C$405,F1031,'Istoric_Nativ'!$E$6:$E$405,G1031,'Istoric_Nativ'!$D$6:$D$405,"&lt;"&amp;J1031,'Istoric_Nativ'!$P$6:$P$405,1)+COUNTIFS('Istoric_Nativ'!$B$6:$B$405,E1031,'Istoric_Nativ'!$C$6:$C$405,F1031,'Istoric_Nativ'!$F$6:$F$405,G1031,'Istoric_Nativ'!$D$6:$D$405,"&lt;"&amp;J1031,'Istoric_Nativ'!$P$6:$P$405,1))))</x:f>
        <x:v>0</x:v>
      </x:c>
      <x:c r="L1031" s="17" t="n">
        <x:f>IF(AND(B1031&lt;&gt;"",I1031="RECENT",K1031&gt;0),LARGE(_xlfn._xlws.FILTER('Istoric_Nativ'!$D$6:$D$405,('Istoric_Nativ'!$B$6:$B$405=E1031)*('Istoric_Nativ'!$C$6:$C$405=F1031)*('Istoric_Nativ'!$P$6:$P$405=1)*('Istoric_Nativ'!$D$6:$D$405&lt;J1031)*((('Istoric_Nativ'!$E$6:$E$405=G1031)+('Istoric_Nativ'!$F$6:$F$405=G1031))&gt;0)),MIN('Config_v6'!$B$54,K1031)),0)</x:f>
        <x:v>0</x:v>
      </x:c>
      <x:c r="M1031" s="2" t="n">
        <x:f>IF(OR(B1031="",F1031=""),0,IF(H1031="HOME",COUNTIFS('Istoric_Nativ'!$B$6:$B$405,E1031,'Istoric_Nativ'!$C$6:$C$405,F1031,'Istoric_Nativ'!$E$6:$E$405,G1031,'Istoric_Nativ'!$D$6:$D$405,"&lt;"&amp;J1031,'Istoric_Nativ'!$P$6:$P$405,1,'Istoric_Nativ'!$D$6:$D$405,"&gt;="&amp;L1031),IF(H1031="AWAY",COUNTIFS('Istoric_Nativ'!$B$6:$B$405,E1031,'Istoric_Nativ'!$C$6:$C$405,F1031,'Istoric_Nativ'!$F$6:$F$405,G1031,'Istoric_Nativ'!$D$6:$D$405,"&lt;"&amp;J1031,'Istoric_Nativ'!$P$6:$P$405,1,'Istoric_Nativ'!$D$6:$D$405,"&gt;="&amp;L1031),COUNTIFS('Istoric_Nativ'!$B$6:$B$405,E1031,'Istoric_Nativ'!$C$6:$C$405,F1031,'Istoric_Nativ'!$E$6:$E$405,G1031,'Istoric_Nativ'!$D$6:$D$405,"&lt;"&amp;J1031,'Istoric_Nativ'!$P$6:$P$405,1,'Istoric_Nativ'!$D$6:$D$405,"&gt;="&amp;L1031)+COUNTIFS('Istoric_Nativ'!$B$6:$B$405,E1031,'Istoric_Nativ'!$C$6:$C$405,F1031,'Istoric_Nativ'!$F$6:$F$405,G1031,'Istoric_Nativ'!$D$6:$D$405,"&lt;"&amp;J1031,'Istoric_Nativ'!$P$6:$P$405,1,'Istoric_Nativ'!$D$6:$D$405,"&gt;="&amp;L1031))))</x:f>
        <x:v>0</x:v>
      </x:c>
      <x:c r="N1031" s="11" t="str">
        <x:f>IF(M1031=0,"",IF(H1031="HOME",SUMIFS('Istoric_Nativ'!$G$6:$G$405,'Istoric_Nativ'!$B$6:$B$405,E1031,'Istoric_Nativ'!$C$6:$C$405,F1031,'Istoric_Nativ'!$E$6:$E$405,G1031,'Istoric_Nativ'!$D$6:$D$405,"&lt;"&amp;J1031,'Istoric_Nativ'!$P$6:$P$405,1,'Istoric_Nativ'!$D$6:$D$405,"&gt;="&amp;L1031),IF(H1031="AWAY",SUMIFS('Istoric_Nativ'!$H$6:$H$405,'Istoric_Nativ'!$B$6:$B$405,E1031,'Istoric_Nativ'!$C$6:$C$405,F1031,'Istoric_Nativ'!$F$6:$F$405,G1031,'Istoric_Nativ'!$D$6:$D$405,"&lt;"&amp;J1031,'Istoric_Nativ'!$P$6:$P$405,1,'Istoric_Nativ'!$D$6:$D$405,"&gt;="&amp;L1031),SUMIFS('Istoric_Nativ'!$G$6:$G$405,'Istoric_Nativ'!$B$6:$B$405,E1031,'Istoric_Nativ'!$C$6:$C$405,F1031,'Istoric_Nativ'!$E$6:$E$405,G1031,'Istoric_Nativ'!$D$6:$D$405,"&lt;"&amp;J1031,'Istoric_Nativ'!$P$6:$P$405,1,'Istoric_Nativ'!$D$6:$D$405,"&gt;="&amp;L1031)+SUMIFS('Istoric_Nativ'!$H$6:$H$405,'Istoric_Nativ'!$B$6:$B$405,E1031,'Istoric_Nativ'!$C$6:$C$405,F1031,'Istoric_Nativ'!$F$6:$F$405,G1031,'Istoric_Nativ'!$D$6:$D$405,"&lt;"&amp;J1031,'Istoric_Nativ'!$P$6:$P$405,1,'Istoric_Nativ'!$D$6:$D$405,"&gt;="&amp;L1031)))/M1031)</x:f>
      </x:c>
      <x:c r="O1031" s="11" t="str">
        <x:f>IF(M1031=0,"",IF(H1031="HOME",SUMIFS('Istoric_Nativ'!$H$6:$H$405,'Istoric_Nativ'!$B$6:$B$405,E1031,'Istoric_Nativ'!$C$6:$C$405,F1031,'Istoric_Nativ'!$E$6:$E$405,G1031,'Istoric_Nativ'!$D$6:$D$405,"&lt;"&amp;J1031,'Istoric_Nativ'!$P$6:$P$405,1,'Istoric_Nativ'!$D$6:$D$405,"&gt;="&amp;L1031),IF(H1031="AWAY",SUMIFS('Istoric_Nativ'!$G$6:$G$405,'Istoric_Nativ'!$B$6:$B$405,E1031,'Istoric_Nativ'!$C$6:$C$405,F1031,'Istoric_Nativ'!$F$6:$F$405,G1031,'Istoric_Nativ'!$D$6:$D$405,"&lt;"&amp;J1031,'Istoric_Nativ'!$P$6:$P$405,1,'Istoric_Nativ'!$D$6:$D$405,"&gt;="&amp;L1031),SUMIFS('Istoric_Nativ'!$H$6:$H$405,'Istoric_Nativ'!$B$6:$B$405,E1031,'Istoric_Nativ'!$C$6:$C$405,F1031,'Istoric_Nativ'!$E$6:$E$405,G1031,'Istoric_Nativ'!$D$6:$D$405,"&lt;"&amp;J1031,'Istoric_Nativ'!$P$6:$P$405,1,'Istoric_Nativ'!$D$6:$D$405,"&gt;="&amp;L1031)+SUMIFS('Istoric_Nativ'!$G$6:$G$405,'Istoric_Nativ'!$B$6:$B$405,E1031,'Istoric_Nativ'!$C$6:$C$405,F1031,'Istoric_Nativ'!$F$6:$F$405,G1031,'Istoric_Nativ'!$D$6:$D$405,"&lt;"&amp;J1031,'Istoric_Nativ'!$P$6:$P$405,1,'Istoric_Nativ'!$D$6:$D$405,"&gt;="&amp;L1031)))/M1031)</x:f>
      </x:c>
      <x:c r="P1031" s="2" t="n">
        <x:f>'Config_v6'!$B$9</x:f>
        <x:v>3</x:v>
      </x:c>
      <x:c r="Q1031" s="2" t="n">
        <x:f>IF(OR(B1031="",F1031=""),0,IFERROR(MATCH(E1031&amp;"|"&amp;F1031,SourceTable[Source_Key],0),0))</x:f>
        <x:v>0</x:v>
      </x:c>
      <x:c r="R1031" s="2" t="str">
        <x:f>IF(B1031="","",IF(F1031="","UNUSED",IF(Q1031=0,"NOT CHECKED",IF(COUNTIF(SourceTable[Source_Key],E1031&amp;"|"&amp;F1031)&lt;&gt;1,"SOURCE CONFLICT",IF(NOT(OR(INDEX(SourceTable[Status],MAX(1,Q1031))="IMPORTED",INDEX(SourceTable[Status],MAX(1,Q1031))="PARTIAL",INDEX(SourceTable[Status],MAX(1,Q1031))="SOURCE CONFLICT")),"ACCESS BLOCKED",IF(OR(INDEX(SourceTable[Coverage],Q1031)&lt;&gt;"FULL SEASON EXPORT",INDEX(SourceTable[URL],Q1031)="",INDEX(SourceTable[SHA256],Q1031)=""),"EVIDENCE INCOMPLETE",IF(AND('Input_Meci'!H91="LIVE",INDEX(SourceTable[Retrieved_UTC],Q1031)&gt;'Input_Meci'!G91),"POST CUTOFF","CLOSED")))))))</x:f>
      </x:c>
      <x:c r="S1031" s="2" t="n">
        <x:f>IF(OR(B1031="",F1031=""),0,COUNTIFS('Istoric_Nativ'!$B$6:$B$405,E1031,'Istoric_Nativ'!$C$6:$C$405,F1031,'Istoric_Nativ'!$E$6:$E$405,G1031,'Istoric_Nativ'!$D$6:$D$405,"&lt;"&amp;J1031,'Istoric_Nativ'!$O$6:$O$405,"INVALID")+COUNTIFS('Istoric_Nativ'!$B$6:$B$405,E1031,'Istoric_Nativ'!$C$6:$C$405,F1031,'Istoric_Nativ'!$E$6:$E$405,G1031,'Istoric_Nativ'!$O$6:$O$405,"INVALID",'Istoric_Nativ'!$D$6:$D$405,"*")+COUNTIFS('Istoric_Nativ'!$B$6:$B$405,E1031,'Istoric_Nativ'!$C$6:$C$405,F1031,'Istoric_Nativ'!$E$6:$E$405,G1031,'Istoric_Nativ'!$D$6:$D$405,"&lt;"&amp;J1031,'Istoric_Nativ'!$O$6:$O$405,"SOURCE CONFLICT")+COUNTIFS('Istoric_Nativ'!$B$6:$B$405,E1031,'Istoric_Nativ'!$C$6:$C$405,F1031,'Istoric_Nativ'!$F$6:$F$405,G1031,'Istoric_Nativ'!$D$6:$D$405,"&lt;"&amp;J1031,'Istoric_Nativ'!$O$6:$O$405,"INVALID")+COUNTIFS('Istoric_Nativ'!$B$6:$B$405,E1031,'Istoric_Nativ'!$C$6:$C$405,F1031,'Istoric_Nativ'!$F$6:$F$405,G1031,'Istoric_Nativ'!$O$6:$O$405,"INVALID",'Istoric_Nativ'!$D$6:$D$405,"*")+COUNTIFS('Istoric_Nativ'!$B$6:$B$405,E1031,'Istoric_Nativ'!$C$6:$C$405,F1031,'Istoric_Nativ'!$F$6:$F$405,G1031,'Istoric_Nativ'!$D$6:$D$405,"&lt;"&amp;J1031,'Istoric_Nativ'!$O$6:$O$405,"SOURCE CONFLICT"))</x:f>
        <x:v>0</x:v>
      </x:c>
      <x:c r="T1031" s="2" t="str">
        <x:f>IF(B1031="","",IF(R1031&lt;&gt;"CLOSED",R1031,IF(S1031&gt;0,"NATIVE INPUT ISSUE",IF(M1031=0,"NO HISTORY",IF(M1031&lt;P1031,"SMALL SAMPLE","DERIVED")))))</x:f>
      </x:c>
      <x:c r="U1031" s="2" t="str">
        <x:f>IF(B1031="","","NativeTable; "&amp;E1031&amp;"; "&amp;F1031&amp;"; "&amp;G1031&amp;"; "&amp;H1031&amp;"; before "&amp;TEXT(J1031,"yyyy-mm-dd")&amp;IF(I1031="RECENT","; from "&amp;TEXT(L1031,"yyyy-mm-dd"),""))</x:f>
      </x:c>
    </x:row>
    <x:row r="1032" ht="21" customHeight="1">
      <x:c r="A1032" s="2" t="n">
        <x:v>86</x:v>
      </x:c>
      <x:c r="B1032" s="2" t="str">
        <x:f>IF('Input_Meci'!A91="","",'Input_Meci'!A91)</x:f>
      </x:c>
      <x:c r="C1032" s="2" t="str">
        <x:v>H</x:v>
      </x:c>
      <x:c r="D1032" s="2" t="str">
        <x:v>PRIOR</x:v>
      </x:c>
      <x:c r="E1032" s="2" t="str">
        <x:f>IF(B1032="","",'Input_Meci'!B91)</x:f>
      </x:c>
      <x:c r="F1032" s="2" t="str">
        <x:f>IF(B1032="","",IF('Input_Meci'!K91="","",'Input_Meci'!K91))</x:f>
      </x:c>
      <x:c r="G1032" s="2" t="str">
        <x:f>IF(B1032="","",'Input_Meci'!D91)</x:f>
      </x:c>
      <x:c r="H1032" s="2" t="str">
        <x:v>ANY</x:v>
      </x:c>
      <x:c r="I1032" s="2" t="str">
        <x:v>SEASON</x:v>
      </x:c>
      <x:c r="J1032" s="9" t="n">
        <x:f>IF(AND(B1032&lt;&gt;"",ISNUMBER('Input_Meci'!G91)),INT('Input_Meci'!G91),0)</x:f>
        <x:v>0</x:v>
      </x:c>
      <x:c r="K1032" s="2" t="n">
        <x:f>IF(OR(B1032="",F1032=""),0,IF(H1032="HOME",COUNTIFS('Istoric_Nativ'!$B$6:$B$405,E1032,'Istoric_Nativ'!$C$6:$C$405,F1032,'Istoric_Nativ'!$E$6:$E$405,G1032,'Istoric_Nativ'!$D$6:$D$405,"&lt;"&amp;J1032,'Istoric_Nativ'!$P$6:$P$405,1),IF(H1032="AWAY",COUNTIFS('Istoric_Nativ'!$B$6:$B$405,E1032,'Istoric_Nativ'!$C$6:$C$405,F1032,'Istoric_Nativ'!$F$6:$F$405,G1032,'Istoric_Nativ'!$D$6:$D$405,"&lt;"&amp;J1032,'Istoric_Nativ'!$P$6:$P$405,1),COUNTIFS('Istoric_Nativ'!$B$6:$B$405,E1032,'Istoric_Nativ'!$C$6:$C$405,F1032,'Istoric_Nativ'!$E$6:$E$405,G1032,'Istoric_Nativ'!$D$6:$D$405,"&lt;"&amp;J1032,'Istoric_Nativ'!$P$6:$P$405,1)+COUNTIFS('Istoric_Nativ'!$B$6:$B$405,E1032,'Istoric_Nativ'!$C$6:$C$405,F1032,'Istoric_Nativ'!$F$6:$F$405,G1032,'Istoric_Nativ'!$D$6:$D$405,"&lt;"&amp;J1032,'Istoric_Nativ'!$P$6:$P$405,1))))</x:f>
        <x:v>0</x:v>
      </x:c>
      <x:c r="L1032" s="17" t="n">
        <x:f>IF(AND(B1032&lt;&gt;"",I1032="RECENT",K1032&gt;0),LARGE(_xlfn._xlws.FILTER('Istoric_Nativ'!$D$6:$D$405,('Istoric_Nativ'!$B$6:$B$405=E1032)*('Istoric_Nativ'!$C$6:$C$405=F1032)*('Istoric_Nativ'!$P$6:$P$405=1)*('Istoric_Nativ'!$D$6:$D$405&lt;J1032)*((('Istoric_Nativ'!$E$6:$E$405=G1032)+('Istoric_Nativ'!$F$6:$F$405=G1032))&gt;0)),MIN('Config_v6'!$B$54,K1032)),0)</x:f>
        <x:v>0</x:v>
      </x:c>
      <x:c r="M1032" s="2" t="n">
        <x:f>IF(OR(B1032="",F1032=""),0,IF(H1032="HOME",COUNTIFS('Istoric_Nativ'!$B$6:$B$405,E1032,'Istoric_Nativ'!$C$6:$C$405,F1032,'Istoric_Nativ'!$E$6:$E$405,G1032,'Istoric_Nativ'!$D$6:$D$405,"&lt;"&amp;J1032,'Istoric_Nativ'!$P$6:$P$405,1,'Istoric_Nativ'!$D$6:$D$405,"&gt;="&amp;L1032),IF(H1032="AWAY",COUNTIFS('Istoric_Nativ'!$B$6:$B$405,E1032,'Istoric_Nativ'!$C$6:$C$405,F1032,'Istoric_Nativ'!$F$6:$F$405,G1032,'Istoric_Nativ'!$D$6:$D$405,"&lt;"&amp;J1032,'Istoric_Nativ'!$P$6:$P$405,1,'Istoric_Nativ'!$D$6:$D$405,"&gt;="&amp;L1032),COUNTIFS('Istoric_Nativ'!$B$6:$B$405,E1032,'Istoric_Nativ'!$C$6:$C$405,F1032,'Istoric_Nativ'!$E$6:$E$405,G1032,'Istoric_Nativ'!$D$6:$D$405,"&lt;"&amp;J1032,'Istoric_Nativ'!$P$6:$P$405,1,'Istoric_Nativ'!$D$6:$D$405,"&gt;="&amp;L1032)+COUNTIFS('Istoric_Nativ'!$B$6:$B$405,E1032,'Istoric_Nativ'!$C$6:$C$405,F1032,'Istoric_Nativ'!$F$6:$F$405,G1032,'Istoric_Nativ'!$D$6:$D$405,"&lt;"&amp;J1032,'Istoric_Nativ'!$P$6:$P$405,1,'Istoric_Nativ'!$D$6:$D$405,"&gt;="&amp;L1032))))</x:f>
        <x:v>0</x:v>
      </x:c>
      <x:c r="N1032" s="11" t="str">
        <x:f>IF(M1032=0,"",IF(H1032="HOME",SUMIFS('Istoric_Nativ'!$G$6:$G$405,'Istoric_Nativ'!$B$6:$B$405,E1032,'Istoric_Nativ'!$C$6:$C$405,F1032,'Istoric_Nativ'!$E$6:$E$405,G1032,'Istoric_Nativ'!$D$6:$D$405,"&lt;"&amp;J1032,'Istoric_Nativ'!$P$6:$P$405,1,'Istoric_Nativ'!$D$6:$D$405,"&gt;="&amp;L1032),IF(H1032="AWAY",SUMIFS('Istoric_Nativ'!$H$6:$H$405,'Istoric_Nativ'!$B$6:$B$405,E1032,'Istoric_Nativ'!$C$6:$C$405,F1032,'Istoric_Nativ'!$F$6:$F$405,G1032,'Istoric_Nativ'!$D$6:$D$405,"&lt;"&amp;J1032,'Istoric_Nativ'!$P$6:$P$405,1,'Istoric_Nativ'!$D$6:$D$405,"&gt;="&amp;L1032),SUMIFS('Istoric_Nativ'!$G$6:$G$405,'Istoric_Nativ'!$B$6:$B$405,E1032,'Istoric_Nativ'!$C$6:$C$405,F1032,'Istoric_Nativ'!$E$6:$E$405,G1032,'Istoric_Nativ'!$D$6:$D$405,"&lt;"&amp;J1032,'Istoric_Nativ'!$P$6:$P$405,1,'Istoric_Nativ'!$D$6:$D$405,"&gt;="&amp;L1032)+SUMIFS('Istoric_Nativ'!$H$6:$H$405,'Istoric_Nativ'!$B$6:$B$405,E1032,'Istoric_Nativ'!$C$6:$C$405,F1032,'Istoric_Nativ'!$F$6:$F$405,G1032,'Istoric_Nativ'!$D$6:$D$405,"&lt;"&amp;J1032,'Istoric_Nativ'!$P$6:$P$405,1,'Istoric_Nativ'!$D$6:$D$405,"&gt;="&amp;L1032)))/M1032)</x:f>
      </x:c>
      <x:c r="O1032" s="11" t="str">
        <x:f>IF(M1032=0,"",IF(H1032="HOME",SUMIFS('Istoric_Nativ'!$H$6:$H$405,'Istoric_Nativ'!$B$6:$B$405,E1032,'Istoric_Nativ'!$C$6:$C$405,F1032,'Istoric_Nativ'!$E$6:$E$405,G1032,'Istoric_Nativ'!$D$6:$D$405,"&lt;"&amp;J1032,'Istoric_Nativ'!$P$6:$P$405,1,'Istoric_Nativ'!$D$6:$D$405,"&gt;="&amp;L1032),IF(H1032="AWAY",SUMIFS('Istoric_Nativ'!$G$6:$G$405,'Istoric_Nativ'!$B$6:$B$405,E1032,'Istoric_Nativ'!$C$6:$C$405,F1032,'Istoric_Nativ'!$F$6:$F$405,G1032,'Istoric_Nativ'!$D$6:$D$405,"&lt;"&amp;J1032,'Istoric_Nativ'!$P$6:$P$405,1,'Istoric_Nativ'!$D$6:$D$405,"&gt;="&amp;L1032),SUMIFS('Istoric_Nativ'!$H$6:$H$405,'Istoric_Nativ'!$B$6:$B$405,E1032,'Istoric_Nativ'!$C$6:$C$405,F1032,'Istoric_Nativ'!$E$6:$E$405,G1032,'Istoric_Nativ'!$D$6:$D$405,"&lt;"&amp;J1032,'Istoric_Nativ'!$P$6:$P$405,1,'Istoric_Nativ'!$D$6:$D$405,"&gt;="&amp;L1032)+SUMIFS('Istoric_Nativ'!$G$6:$G$405,'Istoric_Nativ'!$B$6:$B$405,E1032,'Istoric_Nativ'!$C$6:$C$405,F1032,'Istoric_Nativ'!$F$6:$F$405,G1032,'Istoric_Nativ'!$D$6:$D$405,"&lt;"&amp;J1032,'Istoric_Nativ'!$P$6:$P$405,1,'Istoric_Nativ'!$D$6:$D$405,"&gt;="&amp;L1032)))/M1032)</x:f>
      </x:c>
      <x:c r="P1032" s="2" t="n">
        <x:f>'Config_v6'!$B$7</x:f>
        <x:v>10</x:v>
      </x:c>
      <x:c r="Q1032" s="2" t="n">
        <x:f>IF(OR(B1032="",F1032=""),0,IFERROR(MATCH(E1032&amp;"|"&amp;F1032,SourceTable[Source_Key],0),0))</x:f>
        <x:v>0</x:v>
      </x:c>
      <x:c r="R1032" s="2" t="str">
        <x:f>IF(B1032="","",IF(F1032="","UNUSED",IF(Q1032=0,"NOT CHECKED",IF(COUNTIF(SourceTable[Source_Key],E1032&amp;"|"&amp;F1032)&lt;&gt;1,"SOURCE CONFLICT",IF(NOT(OR(INDEX(SourceTable[Status],MAX(1,Q1032))="IMPORTED",INDEX(SourceTable[Status],MAX(1,Q1032))="PARTIAL",INDEX(SourceTable[Status],MAX(1,Q1032))="SOURCE CONFLICT")),"ACCESS BLOCKED",IF(OR(INDEX(SourceTable[Coverage],Q1032)&lt;&gt;"FULL SEASON EXPORT",INDEX(SourceTable[URL],Q1032)="",INDEX(SourceTable[SHA256],Q1032)=""),"EVIDENCE INCOMPLETE",IF(AND('Input_Meci'!H91="LIVE",INDEX(SourceTable[Retrieved_UTC],Q1032)&gt;'Input_Meci'!G91),"POST CUTOFF","CLOSED")))))))</x:f>
      </x:c>
      <x:c r="S1032" s="2" t="n">
        <x:f>IF(OR(B1032="",F1032=""),0,COUNTIFS('Istoric_Nativ'!$B$6:$B$405,E1032,'Istoric_Nativ'!$C$6:$C$405,F1032,'Istoric_Nativ'!$E$6:$E$405,G1032,'Istoric_Nativ'!$D$6:$D$405,"&lt;"&amp;J1032,'Istoric_Nativ'!$O$6:$O$405,"INVALID")+COUNTIFS('Istoric_Nativ'!$B$6:$B$405,E1032,'Istoric_Nativ'!$C$6:$C$405,F1032,'Istoric_Nativ'!$E$6:$E$405,G1032,'Istoric_Nativ'!$O$6:$O$405,"INVALID",'Istoric_Nativ'!$D$6:$D$405,"*")+COUNTIFS('Istoric_Nativ'!$B$6:$B$405,E1032,'Istoric_Nativ'!$C$6:$C$405,F1032,'Istoric_Nativ'!$E$6:$E$405,G1032,'Istoric_Nativ'!$D$6:$D$405,"&lt;"&amp;J1032,'Istoric_Nativ'!$O$6:$O$405,"SOURCE CONFLICT")+COUNTIFS('Istoric_Nativ'!$B$6:$B$405,E1032,'Istoric_Nativ'!$C$6:$C$405,F1032,'Istoric_Nativ'!$F$6:$F$405,G1032,'Istoric_Nativ'!$D$6:$D$405,"&lt;"&amp;J1032,'Istoric_Nativ'!$O$6:$O$405,"INVALID")+COUNTIFS('Istoric_Nativ'!$B$6:$B$405,E1032,'Istoric_Nativ'!$C$6:$C$405,F1032,'Istoric_Nativ'!$F$6:$F$405,G1032,'Istoric_Nativ'!$O$6:$O$405,"INVALID",'Istoric_Nativ'!$D$6:$D$405,"*")+COUNTIFS('Istoric_Nativ'!$B$6:$B$405,E1032,'Istoric_Nativ'!$C$6:$C$405,F1032,'Istoric_Nativ'!$F$6:$F$405,G1032,'Istoric_Nativ'!$D$6:$D$405,"&lt;"&amp;J1032,'Istoric_Nativ'!$O$6:$O$405,"SOURCE CONFLICT"))</x:f>
        <x:v>0</x:v>
      </x:c>
      <x:c r="T1032" s="2" t="str">
        <x:f>IF(B1032="","",IF(R1032&lt;&gt;"CLOSED",R1032,IF(S1032&gt;0,"NATIVE INPUT ISSUE",IF(M1032=0,"NO HISTORY",IF(M1032&lt;P1032,"SMALL SAMPLE","DERIVED")))))</x:f>
      </x:c>
      <x:c r="U1032" s="2" t="str">
        <x:f>IF(B1032="","","NativeTable; "&amp;E1032&amp;"; "&amp;F1032&amp;"; "&amp;G1032&amp;"; "&amp;H1032&amp;"; before "&amp;TEXT(J1032,"yyyy-mm-dd")&amp;IF(I1032="RECENT","; from "&amp;TEXT(L1032,"yyyy-mm-dd"),""))</x:f>
      </x:c>
    </x:row>
    <x:row r="1033" ht="21" customHeight="1">
      <x:c r="A1033" s="2" t="n">
        <x:v>86</x:v>
      </x:c>
      <x:c r="B1033" s="2" t="str">
        <x:f>IF('Input_Meci'!A91="","",'Input_Meci'!A91)</x:f>
      </x:c>
      <x:c r="C1033" s="2" t="str">
        <x:v>H</x:v>
      </x:c>
      <x:c r="D1033" s="2" t="str">
        <x:v>PRIOR</x:v>
      </x:c>
      <x:c r="E1033" s="2" t="str">
        <x:f>IF(B1033="","",'Input_Meci'!B91)</x:f>
      </x:c>
      <x:c r="F1033" s="2" t="str">
        <x:f>IF(B1033="","",IF('Input_Meci'!K91="","",'Input_Meci'!K91))</x:f>
      </x:c>
      <x:c r="G1033" s="2" t="str">
        <x:f>IF(B1033="","",'Input_Meci'!D91)</x:f>
      </x:c>
      <x:c r="H1033" s="2" t="str">
        <x:v>HOME</x:v>
      </x:c>
      <x:c r="I1033" s="2" t="str">
        <x:v>HA</x:v>
      </x:c>
      <x:c r="J1033" s="9" t="n">
        <x:f>IF(AND(B1033&lt;&gt;"",ISNUMBER('Input_Meci'!G91)),INT('Input_Meci'!G91),0)</x:f>
        <x:v>0</x:v>
      </x:c>
      <x:c r="K1033" s="2" t="n">
        <x:f>IF(OR(B1033="",F1033=""),0,IF(H1033="HOME",COUNTIFS('Istoric_Nativ'!$B$6:$B$405,E1033,'Istoric_Nativ'!$C$6:$C$405,F1033,'Istoric_Nativ'!$E$6:$E$405,G1033,'Istoric_Nativ'!$D$6:$D$405,"&lt;"&amp;J1033,'Istoric_Nativ'!$P$6:$P$405,1),IF(H1033="AWAY",COUNTIFS('Istoric_Nativ'!$B$6:$B$405,E1033,'Istoric_Nativ'!$C$6:$C$405,F1033,'Istoric_Nativ'!$F$6:$F$405,G1033,'Istoric_Nativ'!$D$6:$D$405,"&lt;"&amp;J1033,'Istoric_Nativ'!$P$6:$P$405,1),COUNTIFS('Istoric_Nativ'!$B$6:$B$405,E1033,'Istoric_Nativ'!$C$6:$C$405,F1033,'Istoric_Nativ'!$E$6:$E$405,G1033,'Istoric_Nativ'!$D$6:$D$405,"&lt;"&amp;J1033,'Istoric_Nativ'!$P$6:$P$405,1)+COUNTIFS('Istoric_Nativ'!$B$6:$B$405,E1033,'Istoric_Nativ'!$C$6:$C$405,F1033,'Istoric_Nativ'!$F$6:$F$405,G1033,'Istoric_Nativ'!$D$6:$D$405,"&lt;"&amp;J1033,'Istoric_Nativ'!$P$6:$P$405,1))))</x:f>
        <x:v>0</x:v>
      </x:c>
      <x:c r="L1033" s="17" t="n">
        <x:f>IF(AND(B1033&lt;&gt;"",I1033="RECENT",K1033&gt;0),LARGE(_xlfn._xlws.FILTER('Istoric_Nativ'!$D$6:$D$405,('Istoric_Nativ'!$B$6:$B$405=E1033)*('Istoric_Nativ'!$C$6:$C$405=F1033)*('Istoric_Nativ'!$P$6:$P$405=1)*('Istoric_Nativ'!$D$6:$D$405&lt;J1033)*((('Istoric_Nativ'!$E$6:$E$405=G1033)+('Istoric_Nativ'!$F$6:$F$405=G1033))&gt;0)),MIN('Config_v6'!$B$54,K1033)),0)</x:f>
        <x:v>0</x:v>
      </x:c>
      <x:c r="M1033" s="2" t="n">
        <x:f>IF(OR(B1033="",F1033=""),0,IF(H1033="HOME",COUNTIFS('Istoric_Nativ'!$B$6:$B$405,E1033,'Istoric_Nativ'!$C$6:$C$405,F1033,'Istoric_Nativ'!$E$6:$E$405,G1033,'Istoric_Nativ'!$D$6:$D$405,"&lt;"&amp;J1033,'Istoric_Nativ'!$P$6:$P$405,1,'Istoric_Nativ'!$D$6:$D$405,"&gt;="&amp;L1033),IF(H1033="AWAY",COUNTIFS('Istoric_Nativ'!$B$6:$B$405,E1033,'Istoric_Nativ'!$C$6:$C$405,F1033,'Istoric_Nativ'!$F$6:$F$405,G1033,'Istoric_Nativ'!$D$6:$D$405,"&lt;"&amp;J1033,'Istoric_Nativ'!$P$6:$P$405,1,'Istoric_Nativ'!$D$6:$D$405,"&gt;="&amp;L1033),COUNTIFS('Istoric_Nativ'!$B$6:$B$405,E1033,'Istoric_Nativ'!$C$6:$C$405,F1033,'Istoric_Nativ'!$E$6:$E$405,G1033,'Istoric_Nativ'!$D$6:$D$405,"&lt;"&amp;J1033,'Istoric_Nativ'!$P$6:$P$405,1,'Istoric_Nativ'!$D$6:$D$405,"&gt;="&amp;L1033)+COUNTIFS('Istoric_Nativ'!$B$6:$B$405,E1033,'Istoric_Nativ'!$C$6:$C$405,F1033,'Istoric_Nativ'!$F$6:$F$405,G1033,'Istoric_Nativ'!$D$6:$D$405,"&lt;"&amp;J1033,'Istoric_Nativ'!$P$6:$P$405,1,'Istoric_Nativ'!$D$6:$D$405,"&gt;="&amp;L1033))))</x:f>
        <x:v>0</x:v>
      </x:c>
      <x:c r="N1033" s="11" t="str">
        <x:f>IF(M1033=0,"",IF(H1033="HOME",SUMIFS('Istoric_Nativ'!$G$6:$G$405,'Istoric_Nativ'!$B$6:$B$405,E1033,'Istoric_Nativ'!$C$6:$C$405,F1033,'Istoric_Nativ'!$E$6:$E$405,G1033,'Istoric_Nativ'!$D$6:$D$405,"&lt;"&amp;J1033,'Istoric_Nativ'!$P$6:$P$405,1,'Istoric_Nativ'!$D$6:$D$405,"&gt;="&amp;L1033),IF(H1033="AWAY",SUMIFS('Istoric_Nativ'!$H$6:$H$405,'Istoric_Nativ'!$B$6:$B$405,E1033,'Istoric_Nativ'!$C$6:$C$405,F1033,'Istoric_Nativ'!$F$6:$F$405,G1033,'Istoric_Nativ'!$D$6:$D$405,"&lt;"&amp;J1033,'Istoric_Nativ'!$P$6:$P$405,1,'Istoric_Nativ'!$D$6:$D$405,"&gt;="&amp;L1033),SUMIFS('Istoric_Nativ'!$G$6:$G$405,'Istoric_Nativ'!$B$6:$B$405,E1033,'Istoric_Nativ'!$C$6:$C$405,F1033,'Istoric_Nativ'!$E$6:$E$405,G1033,'Istoric_Nativ'!$D$6:$D$405,"&lt;"&amp;J1033,'Istoric_Nativ'!$P$6:$P$405,1,'Istoric_Nativ'!$D$6:$D$405,"&gt;="&amp;L1033)+SUMIFS('Istoric_Nativ'!$H$6:$H$405,'Istoric_Nativ'!$B$6:$B$405,E1033,'Istoric_Nativ'!$C$6:$C$405,F1033,'Istoric_Nativ'!$F$6:$F$405,G1033,'Istoric_Nativ'!$D$6:$D$405,"&lt;"&amp;J1033,'Istoric_Nativ'!$P$6:$P$405,1,'Istoric_Nativ'!$D$6:$D$405,"&gt;="&amp;L1033)))/M1033)</x:f>
      </x:c>
      <x:c r="O1033" s="11" t="str">
        <x:f>IF(M1033=0,"",IF(H1033="HOME",SUMIFS('Istoric_Nativ'!$H$6:$H$405,'Istoric_Nativ'!$B$6:$B$405,E1033,'Istoric_Nativ'!$C$6:$C$405,F1033,'Istoric_Nativ'!$E$6:$E$405,G1033,'Istoric_Nativ'!$D$6:$D$405,"&lt;"&amp;J1033,'Istoric_Nativ'!$P$6:$P$405,1,'Istoric_Nativ'!$D$6:$D$405,"&gt;="&amp;L1033),IF(H1033="AWAY",SUMIFS('Istoric_Nativ'!$G$6:$G$405,'Istoric_Nativ'!$B$6:$B$405,E1033,'Istoric_Nativ'!$C$6:$C$405,F1033,'Istoric_Nativ'!$F$6:$F$405,G1033,'Istoric_Nativ'!$D$6:$D$405,"&lt;"&amp;J1033,'Istoric_Nativ'!$P$6:$P$405,1,'Istoric_Nativ'!$D$6:$D$405,"&gt;="&amp;L1033),SUMIFS('Istoric_Nativ'!$H$6:$H$405,'Istoric_Nativ'!$B$6:$B$405,E1033,'Istoric_Nativ'!$C$6:$C$405,F1033,'Istoric_Nativ'!$E$6:$E$405,G1033,'Istoric_Nativ'!$D$6:$D$405,"&lt;"&amp;J1033,'Istoric_Nativ'!$P$6:$P$405,1,'Istoric_Nativ'!$D$6:$D$405,"&gt;="&amp;L1033)+SUMIFS('Istoric_Nativ'!$G$6:$G$405,'Istoric_Nativ'!$B$6:$B$405,E1033,'Istoric_Nativ'!$C$6:$C$405,F1033,'Istoric_Nativ'!$F$6:$F$405,G1033,'Istoric_Nativ'!$D$6:$D$405,"&lt;"&amp;J1033,'Istoric_Nativ'!$P$6:$P$405,1,'Istoric_Nativ'!$D$6:$D$405,"&gt;="&amp;L1033)))/M1033)</x:f>
      </x:c>
      <x:c r="P1033" s="2" t="n">
        <x:f>'Config_v6'!$B$8</x:f>
        <x:v>5</x:v>
      </x:c>
      <x:c r="Q1033" s="2" t="n">
        <x:f>IF(OR(B1033="",F1033=""),0,IFERROR(MATCH(E1033&amp;"|"&amp;F1033,SourceTable[Source_Key],0),0))</x:f>
        <x:v>0</x:v>
      </x:c>
      <x:c r="R1033" s="2" t="str">
        <x:f>IF(B1033="","",IF(F1033="","UNUSED",IF(Q1033=0,"NOT CHECKED",IF(COUNTIF(SourceTable[Source_Key],E1033&amp;"|"&amp;F1033)&lt;&gt;1,"SOURCE CONFLICT",IF(NOT(OR(INDEX(SourceTable[Status],MAX(1,Q1033))="IMPORTED",INDEX(SourceTable[Status],MAX(1,Q1033))="PARTIAL",INDEX(SourceTable[Status],MAX(1,Q1033))="SOURCE CONFLICT")),"ACCESS BLOCKED",IF(OR(INDEX(SourceTable[Coverage],Q1033)&lt;&gt;"FULL SEASON EXPORT",INDEX(SourceTable[URL],Q1033)="",INDEX(SourceTable[SHA256],Q1033)=""),"EVIDENCE INCOMPLETE",IF(AND('Input_Meci'!H91="LIVE",INDEX(SourceTable[Retrieved_UTC],Q1033)&gt;'Input_Meci'!G91),"POST CUTOFF","CLOSED")))))))</x:f>
      </x:c>
      <x:c r="S1033" s="2" t="n">
        <x:f>IF(OR(B1033="",F1033=""),0,COUNTIFS('Istoric_Nativ'!$B$6:$B$405,E1033,'Istoric_Nativ'!$C$6:$C$405,F1033,'Istoric_Nativ'!$E$6:$E$405,G1033,'Istoric_Nativ'!$D$6:$D$405,"&lt;"&amp;J1033,'Istoric_Nativ'!$O$6:$O$405,"INVALID")+COUNTIFS('Istoric_Nativ'!$B$6:$B$405,E1033,'Istoric_Nativ'!$C$6:$C$405,F1033,'Istoric_Nativ'!$E$6:$E$405,G1033,'Istoric_Nativ'!$O$6:$O$405,"INVALID",'Istoric_Nativ'!$D$6:$D$405,"*")+COUNTIFS('Istoric_Nativ'!$B$6:$B$405,E1033,'Istoric_Nativ'!$C$6:$C$405,F1033,'Istoric_Nativ'!$E$6:$E$405,G1033,'Istoric_Nativ'!$D$6:$D$405,"&lt;"&amp;J1033,'Istoric_Nativ'!$O$6:$O$405,"SOURCE CONFLICT")+COUNTIFS('Istoric_Nativ'!$B$6:$B$405,E1033,'Istoric_Nativ'!$C$6:$C$405,F1033,'Istoric_Nativ'!$F$6:$F$405,G1033,'Istoric_Nativ'!$D$6:$D$405,"&lt;"&amp;J1033,'Istoric_Nativ'!$O$6:$O$405,"INVALID")+COUNTIFS('Istoric_Nativ'!$B$6:$B$405,E1033,'Istoric_Nativ'!$C$6:$C$405,F1033,'Istoric_Nativ'!$F$6:$F$405,G1033,'Istoric_Nativ'!$O$6:$O$405,"INVALID",'Istoric_Nativ'!$D$6:$D$405,"*")+COUNTIFS('Istoric_Nativ'!$B$6:$B$405,E1033,'Istoric_Nativ'!$C$6:$C$405,F1033,'Istoric_Nativ'!$F$6:$F$405,G1033,'Istoric_Nativ'!$D$6:$D$405,"&lt;"&amp;J1033,'Istoric_Nativ'!$O$6:$O$405,"SOURCE CONFLICT"))</x:f>
        <x:v>0</x:v>
      </x:c>
      <x:c r="T1033" s="2" t="str">
        <x:f>IF(B1033="","",IF(R1033&lt;&gt;"CLOSED",R1033,IF(S1033&gt;0,"NATIVE INPUT ISSUE",IF(M1033=0,"NO HISTORY",IF(M1033&lt;P1033,"SMALL SAMPLE","DERIVED")))))</x:f>
      </x:c>
      <x:c r="U1033" s="2" t="str">
        <x:f>IF(B1033="","","NativeTable; "&amp;E1033&amp;"; "&amp;F1033&amp;"; "&amp;G1033&amp;"; "&amp;H1033&amp;"; before "&amp;TEXT(J1033,"yyyy-mm-dd")&amp;IF(I1033="RECENT","; from "&amp;TEXT(L1033,"yyyy-mm-dd"),""))</x:f>
      </x:c>
    </x:row>
    <x:row r="1034" ht="21" customHeight="1">
      <x:c r="A1034" s="2" t="n">
        <x:v>86</x:v>
      </x:c>
      <x:c r="B1034" s="2" t="str">
        <x:f>IF('Input_Meci'!A91="","",'Input_Meci'!A91)</x:f>
      </x:c>
      <x:c r="C1034" s="2" t="str">
        <x:v>H</x:v>
      </x:c>
      <x:c r="D1034" s="2" t="str">
        <x:v>PRIOR</x:v>
      </x:c>
      <x:c r="E1034" s="2" t="str">
        <x:f>IF(B1034="","",'Input_Meci'!B91)</x:f>
      </x:c>
      <x:c r="F1034" s="2" t="str">
        <x:f>IF(B1034="","",IF('Input_Meci'!K91="","",'Input_Meci'!K91))</x:f>
      </x:c>
      <x:c r="G1034" s="2" t="str">
        <x:f>IF(B1034="","",'Input_Meci'!D91)</x:f>
      </x:c>
      <x:c r="H1034" s="2" t="str">
        <x:v>ANY</x:v>
      </x:c>
      <x:c r="I1034" s="2" t="str">
        <x:v>RECENT</x:v>
      </x:c>
      <x:c r="J1034" s="9" t="n">
        <x:f>IF(AND(B1034&lt;&gt;"",ISNUMBER('Input_Meci'!G91)),INT('Input_Meci'!G91),0)</x:f>
        <x:v>0</x:v>
      </x:c>
      <x:c r="K1034" s="2" t="n">
        <x:f>IF(OR(B1034="",F1034=""),0,IF(H1034="HOME",COUNTIFS('Istoric_Nativ'!$B$6:$B$405,E1034,'Istoric_Nativ'!$C$6:$C$405,F1034,'Istoric_Nativ'!$E$6:$E$405,G1034,'Istoric_Nativ'!$D$6:$D$405,"&lt;"&amp;J1034,'Istoric_Nativ'!$P$6:$P$405,1),IF(H1034="AWAY",COUNTIFS('Istoric_Nativ'!$B$6:$B$405,E1034,'Istoric_Nativ'!$C$6:$C$405,F1034,'Istoric_Nativ'!$F$6:$F$405,G1034,'Istoric_Nativ'!$D$6:$D$405,"&lt;"&amp;J1034,'Istoric_Nativ'!$P$6:$P$405,1),COUNTIFS('Istoric_Nativ'!$B$6:$B$405,E1034,'Istoric_Nativ'!$C$6:$C$405,F1034,'Istoric_Nativ'!$E$6:$E$405,G1034,'Istoric_Nativ'!$D$6:$D$405,"&lt;"&amp;J1034,'Istoric_Nativ'!$P$6:$P$405,1)+COUNTIFS('Istoric_Nativ'!$B$6:$B$405,E1034,'Istoric_Nativ'!$C$6:$C$405,F1034,'Istoric_Nativ'!$F$6:$F$405,G1034,'Istoric_Nativ'!$D$6:$D$405,"&lt;"&amp;J1034,'Istoric_Nativ'!$P$6:$P$405,1))))</x:f>
        <x:v>0</x:v>
      </x:c>
      <x:c r="L1034" s="17" t="n">
        <x:f>IF(AND(B1034&lt;&gt;"",I1034="RECENT",K1034&gt;0),LARGE(_xlfn._xlws.FILTER('Istoric_Nativ'!$D$6:$D$405,('Istoric_Nativ'!$B$6:$B$405=E1034)*('Istoric_Nativ'!$C$6:$C$405=F1034)*('Istoric_Nativ'!$P$6:$P$405=1)*('Istoric_Nativ'!$D$6:$D$405&lt;J1034)*((('Istoric_Nativ'!$E$6:$E$405=G1034)+('Istoric_Nativ'!$F$6:$F$405=G1034))&gt;0)),MIN('Config_v6'!$B$54,K1034)),0)</x:f>
        <x:v>0</x:v>
      </x:c>
      <x:c r="M1034" s="2" t="n">
        <x:f>IF(OR(B1034="",F1034=""),0,IF(H1034="HOME",COUNTIFS('Istoric_Nativ'!$B$6:$B$405,E1034,'Istoric_Nativ'!$C$6:$C$405,F1034,'Istoric_Nativ'!$E$6:$E$405,G1034,'Istoric_Nativ'!$D$6:$D$405,"&lt;"&amp;J1034,'Istoric_Nativ'!$P$6:$P$405,1,'Istoric_Nativ'!$D$6:$D$405,"&gt;="&amp;L1034),IF(H1034="AWAY",COUNTIFS('Istoric_Nativ'!$B$6:$B$405,E1034,'Istoric_Nativ'!$C$6:$C$405,F1034,'Istoric_Nativ'!$F$6:$F$405,G1034,'Istoric_Nativ'!$D$6:$D$405,"&lt;"&amp;J1034,'Istoric_Nativ'!$P$6:$P$405,1,'Istoric_Nativ'!$D$6:$D$405,"&gt;="&amp;L1034),COUNTIFS('Istoric_Nativ'!$B$6:$B$405,E1034,'Istoric_Nativ'!$C$6:$C$405,F1034,'Istoric_Nativ'!$E$6:$E$405,G1034,'Istoric_Nativ'!$D$6:$D$405,"&lt;"&amp;J1034,'Istoric_Nativ'!$P$6:$P$405,1,'Istoric_Nativ'!$D$6:$D$405,"&gt;="&amp;L1034)+COUNTIFS('Istoric_Nativ'!$B$6:$B$405,E1034,'Istoric_Nativ'!$C$6:$C$405,F1034,'Istoric_Nativ'!$F$6:$F$405,G1034,'Istoric_Nativ'!$D$6:$D$405,"&lt;"&amp;J1034,'Istoric_Nativ'!$P$6:$P$405,1,'Istoric_Nativ'!$D$6:$D$405,"&gt;="&amp;L1034))))</x:f>
        <x:v>0</x:v>
      </x:c>
      <x:c r="N1034" s="11" t="str">
        <x:f>IF(M1034=0,"",IF(H1034="HOME",SUMIFS('Istoric_Nativ'!$G$6:$G$405,'Istoric_Nativ'!$B$6:$B$405,E1034,'Istoric_Nativ'!$C$6:$C$405,F1034,'Istoric_Nativ'!$E$6:$E$405,G1034,'Istoric_Nativ'!$D$6:$D$405,"&lt;"&amp;J1034,'Istoric_Nativ'!$P$6:$P$405,1,'Istoric_Nativ'!$D$6:$D$405,"&gt;="&amp;L1034),IF(H1034="AWAY",SUMIFS('Istoric_Nativ'!$H$6:$H$405,'Istoric_Nativ'!$B$6:$B$405,E1034,'Istoric_Nativ'!$C$6:$C$405,F1034,'Istoric_Nativ'!$F$6:$F$405,G1034,'Istoric_Nativ'!$D$6:$D$405,"&lt;"&amp;J1034,'Istoric_Nativ'!$P$6:$P$405,1,'Istoric_Nativ'!$D$6:$D$405,"&gt;="&amp;L1034),SUMIFS('Istoric_Nativ'!$G$6:$G$405,'Istoric_Nativ'!$B$6:$B$405,E1034,'Istoric_Nativ'!$C$6:$C$405,F1034,'Istoric_Nativ'!$E$6:$E$405,G1034,'Istoric_Nativ'!$D$6:$D$405,"&lt;"&amp;J1034,'Istoric_Nativ'!$P$6:$P$405,1,'Istoric_Nativ'!$D$6:$D$405,"&gt;="&amp;L1034)+SUMIFS('Istoric_Nativ'!$H$6:$H$405,'Istoric_Nativ'!$B$6:$B$405,E1034,'Istoric_Nativ'!$C$6:$C$405,F1034,'Istoric_Nativ'!$F$6:$F$405,G1034,'Istoric_Nativ'!$D$6:$D$405,"&lt;"&amp;J1034,'Istoric_Nativ'!$P$6:$P$405,1,'Istoric_Nativ'!$D$6:$D$405,"&gt;="&amp;L1034)))/M1034)</x:f>
      </x:c>
      <x:c r="O1034" s="11" t="str">
        <x:f>IF(M1034=0,"",IF(H1034="HOME",SUMIFS('Istoric_Nativ'!$H$6:$H$405,'Istoric_Nativ'!$B$6:$B$405,E1034,'Istoric_Nativ'!$C$6:$C$405,F1034,'Istoric_Nativ'!$E$6:$E$405,G1034,'Istoric_Nativ'!$D$6:$D$405,"&lt;"&amp;J1034,'Istoric_Nativ'!$P$6:$P$405,1,'Istoric_Nativ'!$D$6:$D$405,"&gt;="&amp;L1034),IF(H1034="AWAY",SUMIFS('Istoric_Nativ'!$G$6:$G$405,'Istoric_Nativ'!$B$6:$B$405,E1034,'Istoric_Nativ'!$C$6:$C$405,F1034,'Istoric_Nativ'!$F$6:$F$405,G1034,'Istoric_Nativ'!$D$6:$D$405,"&lt;"&amp;J1034,'Istoric_Nativ'!$P$6:$P$405,1,'Istoric_Nativ'!$D$6:$D$405,"&gt;="&amp;L1034),SUMIFS('Istoric_Nativ'!$H$6:$H$405,'Istoric_Nativ'!$B$6:$B$405,E1034,'Istoric_Nativ'!$C$6:$C$405,F1034,'Istoric_Nativ'!$E$6:$E$405,G1034,'Istoric_Nativ'!$D$6:$D$405,"&lt;"&amp;J1034,'Istoric_Nativ'!$P$6:$P$405,1,'Istoric_Nativ'!$D$6:$D$405,"&gt;="&amp;L1034)+SUMIFS('Istoric_Nativ'!$G$6:$G$405,'Istoric_Nativ'!$B$6:$B$405,E1034,'Istoric_Nativ'!$C$6:$C$405,F1034,'Istoric_Nativ'!$F$6:$F$405,G1034,'Istoric_Nativ'!$D$6:$D$405,"&lt;"&amp;J1034,'Istoric_Nativ'!$P$6:$P$405,1,'Istoric_Nativ'!$D$6:$D$405,"&gt;="&amp;L1034)))/M1034)</x:f>
      </x:c>
      <x:c r="P1034" s="2" t="n">
        <x:f>'Config_v6'!$B$9</x:f>
        <x:v>3</x:v>
      </x:c>
      <x:c r="Q1034" s="2" t="n">
        <x:f>IF(OR(B1034="",F1034=""),0,IFERROR(MATCH(E1034&amp;"|"&amp;F1034,SourceTable[Source_Key],0),0))</x:f>
        <x:v>0</x:v>
      </x:c>
      <x:c r="R1034" s="2" t="str">
        <x:f>IF(B1034="","",IF(F1034="","UNUSED",IF(Q1034=0,"NOT CHECKED",IF(COUNTIF(SourceTable[Source_Key],E1034&amp;"|"&amp;F1034)&lt;&gt;1,"SOURCE CONFLICT",IF(NOT(OR(INDEX(SourceTable[Status],MAX(1,Q1034))="IMPORTED",INDEX(SourceTable[Status],MAX(1,Q1034))="PARTIAL",INDEX(SourceTable[Status],MAX(1,Q1034))="SOURCE CONFLICT")),"ACCESS BLOCKED",IF(OR(INDEX(SourceTable[Coverage],Q1034)&lt;&gt;"FULL SEASON EXPORT",INDEX(SourceTable[URL],Q1034)="",INDEX(SourceTable[SHA256],Q1034)=""),"EVIDENCE INCOMPLETE",IF(AND('Input_Meci'!H91="LIVE",INDEX(SourceTable[Retrieved_UTC],Q1034)&gt;'Input_Meci'!G91),"POST CUTOFF","CLOSED")))))))</x:f>
      </x:c>
      <x:c r="S1034" s="2" t="n">
        <x:f>IF(OR(B1034="",F1034=""),0,COUNTIFS('Istoric_Nativ'!$B$6:$B$405,E1034,'Istoric_Nativ'!$C$6:$C$405,F1034,'Istoric_Nativ'!$E$6:$E$405,G1034,'Istoric_Nativ'!$D$6:$D$405,"&lt;"&amp;J1034,'Istoric_Nativ'!$O$6:$O$405,"INVALID")+COUNTIFS('Istoric_Nativ'!$B$6:$B$405,E1034,'Istoric_Nativ'!$C$6:$C$405,F1034,'Istoric_Nativ'!$E$6:$E$405,G1034,'Istoric_Nativ'!$O$6:$O$405,"INVALID",'Istoric_Nativ'!$D$6:$D$405,"*")+COUNTIFS('Istoric_Nativ'!$B$6:$B$405,E1034,'Istoric_Nativ'!$C$6:$C$405,F1034,'Istoric_Nativ'!$E$6:$E$405,G1034,'Istoric_Nativ'!$D$6:$D$405,"&lt;"&amp;J1034,'Istoric_Nativ'!$O$6:$O$405,"SOURCE CONFLICT")+COUNTIFS('Istoric_Nativ'!$B$6:$B$405,E1034,'Istoric_Nativ'!$C$6:$C$405,F1034,'Istoric_Nativ'!$F$6:$F$405,G1034,'Istoric_Nativ'!$D$6:$D$405,"&lt;"&amp;J1034,'Istoric_Nativ'!$O$6:$O$405,"INVALID")+COUNTIFS('Istoric_Nativ'!$B$6:$B$405,E1034,'Istoric_Nativ'!$C$6:$C$405,F1034,'Istoric_Nativ'!$F$6:$F$405,G1034,'Istoric_Nativ'!$O$6:$O$405,"INVALID",'Istoric_Nativ'!$D$6:$D$405,"*")+COUNTIFS('Istoric_Nativ'!$B$6:$B$405,E1034,'Istoric_Nativ'!$C$6:$C$405,F1034,'Istoric_Nativ'!$F$6:$F$405,G1034,'Istoric_Nativ'!$D$6:$D$405,"&lt;"&amp;J1034,'Istoric_Nativ'!$O$6:$O$405,"SOURCE CONFLICT"))</x:f>
        <x:v>0</x:v>
      </x:c>
      <x:c r="T1034" s="2" t="str">
        <x:f>IF(B1034="","",IF(R1034&lt;&gt;"CLOSED",R1034,IF(S1034&gt;0,"NATIVE INPUT ISSUE",IF(M1034=0,"NO HISTORY",IF(M1034&lt;P1034,"SMALL SAMPLE","DERIVED")))))</x:f>
      </x:c>
      <x:c r="U1034" s="2" t="str">
        <x:f>IF(B1034="","","NativeTable; "&amp;E1034&amp;"; "&amp;F1034&amp;"; "&amp;G1034&amp;"; "&amp;H1034&amp;"; before "&amp;TEXT(J1034,"yyyy-mm-dd")&amp;IF(I1034="RECENT","; from "&amp;TEXT(L1034,"yyyy-mm-dd"),""))</x:f>
      </x:c>
    </x:row>
    <x:row r="1035" ht="21" customHeight="1">
      <x:c r="A1035" s="2" t="n">
        <x:v>86</x:v>
      </x:c>
      <x:c r="B1035" s="2" t="str">
        <x:f>IF('Input_Meci'!A91="","",'Input_Meci'!A91)</x:f>
      </x:c>
      <x:c r="C1035" s="2" t="str">
        <x:v>A</x:v>
      </x:c>
      <x:c r="D1035" s="2" t="str">
        <x:v>PRIOR</x:v>
      </x:c>
      <x:c r="E1035" s="2" t="str">
        <x:f>IF(B1035="","",'Input_Meci'!B91)</x:f>
      </x:c>
      <x:c r="F1035" s="2" t="str">
        <x:f>IF(B1035="","",IF('Input_Meci'!K91="","",'Input_Meci'!K91))</x:f>
      </x:c>
      <x:c r="G1035" s="2" t="str">
        <x:f>IF(B1035="","",'Input_Meci'!E91)</x:f>
      </x:c>
      <x:c r="H1035" s="2" t="str">
        <x:v>ANY</x:v>
      </x:c>
      <x:c r="I1035" s="2" t="str">
        <x:v>SEASON</x:v>
      </x:c>
      <x:c r="J1035" s="9" t="n">
        <x:f>IF(AND(B1035&lt;&gt;"",ISNUMBER('Input_Meci'!G91)),INT('Input_Meci'!G91),0)</x:f>
        <x:v>0</x:v>
      </x:c>
      <x:c r="K1035" s="2" t="n">
        <x:f>IF(OR(B1035="",F1035=""),0,IF(H1035="HOME",COUNTIFS('Istoric_Nativ'!$B$6:$B$405,E1035,'Istoric_Nativ'!$C$6:$C$405,F1035,'Istoric_Nativ'!$E$6:$E$405,G1035,'Istoric_Nativ'!$D$6:$D$405,"&lt;"&amp;J1035,'Istoric_Nativ'!$P$6:$P$405,1),IF(H1035="AWAY",COUNTIFS('Istoric_Nativ'!$B$6:$B$405,E1035,'Istoric_Nativ'!$C$6:$C$405,F1035,'Istoric_Nativ'!$F$6:$F$405,G1035,'Istoric_Nativ'!$D$6:$D$405,"&lt;"&amp;J1035,'Istoric_Nativ'!$P$6:$P$405,1),COUNTIFS('Istoric_Nativ'!$B$6:$B$405,E1035,'Istoric_Nativ'!$C$6:$C$405,F1035,'Istoric_Nativ'!$E$6:$E$405,G1035,'Istoric_Nativ'!$D$6:$D$405,"&lt;"&amp;J1035,'Istoric_Nativ'!$P$6:$P$405,1)+COUNTIFS('Istoric_Nativ'!$B$6:$B$405,E1035,'Istoric_Nativ'!$C$6:$C$405,F1035,'Istoric_Nativ'!$F$6:$F$405,G1035,'Istoric_Nativ'!$D$6:$D$405,"&lt;"&amp;J1035,'Istoric_Nativ'!$P$6:$P$405,1))))</x:f>
        <x:v>0</x:v>
      </x:c>
      <x:c r="L1035" s="17" t="n">
        <x:f>IF(AND(B1035&lt;&gt;"",I1035="RECENT",K1035&gt;0),LARGE(_xlfn._xlws.FILTER('Istoric_Nativ'!$D$6:$D$405,('Istoric_Nativ'!$B$6:$B$405=E1035)*('Istoric_Nativ'!$C$6:$C$405=F1035)*('Istoric_Nativ'!$P$6:$P$405=1)*('Istoric_Nativ'!$D$6:$D$405&lt;J1035)*((('Istoric_Nativ'!$E$6:$E$405=G1035)+('Istoric_Nativ'!$F$6:$F$405=G1035))&gt;0)),MIN('Config_v6'!$B$54,K1035)),0)</x:f>
        <x:v>0</x:v>
      </x:c>
      <x:c r="M1035" s="2" t="n">
        <x:f>IF(OR(B1035="",F1035=""),0,IF(H1035="HOME",COUNTIFS('Istoric_Nativ'!$B$6:$B$405,E1035,'Istoric_Nativ'!$C$6:$C$405,F1035,'Istoric_Nativ'!$E$6:$E$405,G1035,'Istoric_Nativ'!$D$6:$D$405,"&lt;"&amp;J1035,'Istoric_Nativ'!$P$6:$P$405,1,'Istoric_Nativ'!$D$6:$D$405,"&gt;="&amp;L1035),IF(H1035="AWAY",COUNTIFS('Istoric_Nativ'!$B$6:$B$405,E1035,'Istoric_Nativ'!$C$6:$C$405,F1035,'Istoric_Nativ'!$F$6:$F$405,G1035,'Istoric_Nativ'!$D$6:$D$405,"&lt;"&amp;J1035,'Istoric_Nativ'!$P$6:$P$405,1,'Istoric_Nativ'!$D$6:$D$405,"&gt;="&amp;L1035),COUNTIFS('Istoric_Nativ'!$B$6:$B$405,E1035,'Istoric_Nativ'!$C$6:$C$405,F1035,'Istoric_Nativ'!$E$6:$E$405,G1035,'Istoric_Nativ'!$D$6:$D$405,"&lt;"&amp;J1035,'Istoric_Nativ'!$P$6:$P$405,1,'Istoric_Nativ'!$D$6:$D$405,"&gt;="&amp;L1035)+COUNTIFS('Istoric_Nativ'!$B$6:$B$405,E1035,'Istoric_Nativ'!$C$6:$C$405,F1035,'Istoric_Nativ'!$F$6:$F$405,G1035,'Istoric_Nativ'!$D$6:$D$405,"&lt;"&amp;J1035,'Istoric_Nativ'!$P$6:$P$405,1,'Istoric_Nativ'!$D$6:$D$405,"&gt;="&amp;L1035))))</x:f>
        <x:v>0</x:v>
      </x:c>
      <x:c r="N1035" s="11" t="str">
        <x:f>IF(M1035=0,"",IF(H1035="HOME",SUMIFS('Istoric_Nativ'!$G$6:$G$405,'Istoric_Nativ'!$B$6:$B$405,E1035,'Istoric_Nativ'!$C$6:$C$405,F1035,'Istoric_Nativ'!$E$6:$E$405,G1035,'Istoric_Nativ'!$D$6:$D$405,"&lt;"&amp;J1035,'Istoric_Nativ'!$P$6:$P$405,1,'Istoric_Nativ'!$D$6:$D$405,"&gt;="&amp;L1035),IF(H1035="AWAY",SUMIFS('Istoric_Nativ'!$H$6:$H$405,'Istoric_Nativ'!$B$6:$B$405,E1035,'Istoric_Nativ'!$C$6:$C$405,F1035,'Istoric_Nativ'!$F$6:$F$405,G1035,'Istoric_Nativ'!$D$6:$D$405,"&lt;"&amp;J1035,'Istoric_Nativ'!$P$6:$P$405,1,'Istoric_Nativ'!$D$6:$D$405,"&gt;="&amp;L1035),SUMIFS('Istoric_Nativ'!$G$6:$G$405,'Istoric_Nativ'!$B$6:$B$405,E1035,'Istoric_Nativ'!$C$6:$C$405,F1035,'Istoric_Nativ'!$E$6:$E$405,G1035,'Istoric_Nativ'!$D$6:$D$405,"&lt;"&amp;J1035,'Istoric_Nativ'!$P$6:$P$405,1,'Istoric_Nativ'!$D$6:$D$405,"&gt;="&amp;L1035)+SUMIFS('Istoric_Nativ'!$H$6:$H$405,'Istoric_Nativ'!$B$6:$B$405,E1035,'Istoric_Nativ'!$C$6:$C$405,F1035,'Istoric_Nativ'!$F$6:$F$405,G1035,'Istoric_Nativ'!$D$6:$D$405,"&lt;"&amp;J1035,'Istoric_Nativ'!$P$6:$P$405,1,'Istoric_Nativ'!$D$6:$D$405,"&gt;="&amp;L1035)))/M1035)</x:f>
      </x:c>
      <x:c r="O1035" s="11" t="str">
        <x:f>IF(M1035=0,"",IF(H1035="HOME",SUMIFS('Istoric_Nativ'!$H$6:$H$405,'Istoric_Nativ'!$B$6:$B$405,E1035,'Istoric_Nativ'!$C$6:$C$405,F1035,'Istoric_Nativ'!$E$6:$E$405,G1035,'Istoric_Nativ'!$D$6:$D$405,"&lt;"&amp;J1035,'Istoric_Nativ'!$P$6:$P$405,1,'Istoric_Nativ'!$D$6:$D$405,"&gt;="&amp;L1035),IF(H1035="AWAY",SUMIFS('Istoric_Nativ'!$G$6:$G$405,'Istoric_Nativ'!$B$6:$B$405,E1035,'Istoric_Nativ'!$C$6:$C$405,F1035,'Istoric_Nativ'!$F$6:$F$405,G1035,'Istoric_Nativ'!$D$6:$D$405,"&lt;"&amp;J1035,'Istoric_Nativ'!$P$6:$P$405,1,'Istoric_Nativ'!$D$6:$D$405,"&gt;="&amp;L1035),SUMIFS('Istoric_Nativ'!$H$6:$H$405,'Istoric_Nativ'!$B$6:$B$405,E1035,'Istoric_Nativ'!$C$6:$C$405,F1035,'Istoric_Nativ'!$E$6:$E$405,G1035,'Istoric_Nativ'!$D$6:$D$405,"&lt;"&amp;J1035,'Istoric_Nativ'!$P$6:$P$405,1,'Istoric_Nativ'!$D$6:$D$405,"&gt;="&amp;L1035)+SUMIFS('Istoric_Nativ'!$G$6:$G$405,'Istoric_Nativ'!$B$6:$B$405,E1035,'Istoric_Nativ'!$C$6:$C$405,F1035,'Istoric_Nativ'!$F$6:$F$405,G1035,'Istoric_Nativ'!$D$6:$D$405,"&lt;"&amp;J1035,'Istoric_Nativ'!$P$6:$P$405,1,'Istoric_Nativ'!$D$6:$D$405,"&gt;="&amp;L1035)))/M1035)</x:f>
      </x:c>
      <x:c r="P1035" s="2" t="n">
        <x:f>'Config_v6'!$B$7</x:f>
        <x:v>10</x:v>
      </x:c>
      <x:c r="Q1035" s="2" t="n">
        <x:f>IF(OR(B1035="",F1035=""),0,IFERROR(MATCH(E1035&amp;"|"&amp;F1035,SourceTable[Source_Key],0),0))</x:f>
        <x:v>0</x:v>
      </x:c>
      <x:c r="R1035" s="2" t="str">
        <x:f>IF(B1035="","",IF(F1035="","UNUSED",IF(Q1035=0,"NOT CHECKED",IF(COUNTIF(SourceTable[Source_Key],E1035&amp;"|"&amp;F1035)&lt;&gt;1,"SOURCE CONFLICT",IF(NOT(OR(INDEX(SourceTable[Status],MAX(1,Q1035))="IMPORTED",INDEX(SourceTable[Status],MAX(1,Q1035))="PARTIAL",INDEX(SourceTable[Status],MAX(1,Q1035))="SOURCE CONFLICT")),"ACCESS BLOCKED",IF(OR(INDEX(SourceTable[Coverage],Q1035)&lt;&gt;"FULL SEASON EXPORT",INDEX(SourceTable[URL],Q1035)="",INDEX(SourceTable[SHA256],Q1035)=""),"EVIDENCE INCOMPLETE",IF(AND('Input_Meci'!H91="LIVE",INDEX(SourceTable[Retrieved_UTC],Q1035)&gt;'Input_Meci'!G91),"POST CUTOFF","CLOSED")))))))</x:f>
      </x:c>
      <x:c r="S1035" s="2" t="n">
        <x:f>IF(OR(B1035="",F1035=""),0,COUNTIFS('Istoric_Nativ'!$B$6:$B$405,E1035,'Istoric_Nativ'!$C$6:$C$405,F1035,'Istoric_Nativ'!$E$6:$E$405,G1035,'Istoric_Nativ'!$D$6:$D$405,"&lt;"&amp;J1035,'Istoric_Nativ'!$O$6:$O$405,"INVALID")+COUNTIFS('Istoric_Nativ'!$B$6:$B$405,E1035,'Istoric_Nativ'!$C$6:$C$405,F1035,'Istoric_Nativ'!$E$6:$E$405,G1035,'Istoric_Nativ'!$O$6:$O$405,"INVALID",'Istoric_Nativ'!$D$6:$D$405,"*")+COUNTIFS('Istoric_Nativ'!$B$6:$B$405,E1035,'Istoric_Nativ'!$C$6:$C$405,F1035,'Istoric_Nativ'!$E$6:$E$405,G1035,'Istoric_Nativ'!$D$6:$D$405,"&lt;"&amp;J1035,'Istoric_Nativ'!$O$6:$O$405,"SOURCE CONFLICT")+COUNTIFS('Istoric_Nativ'!$B$6:$B$405,E1035,'Istoric_Nativ'!$C$6:$C$405,F1035,'Istoric_Nativ'!$F$6:$F$405,G1035,'Istoric_Nativ'!$D$6:$D$405,"&lt;"&amp;J1035,'Istoric_Nativ'!$O$6:$O$405,"INVALID")+COUNTIFS('Istoric_Nativ'!$B$6:$B$405,E1035,'Istoric_Nativ'!$C$6:$C$405,F1035,'Istoric_Nativ'!$F$6:$F$405,G1035,'Istoric_Nativ'!$O$6:$O$405,"INVALID",'Istoric_Nativ'!$D$6:$D$405,"*")+COUNTIFS('Istoric_Nativ'!$B$6:$B$405,E1035,'Istoric_Nativ'!$C$6:$C$405,F1035,'Istoric_Nativ'!$F$6:$F$405,G1035,'Istoric_Nativ'!$D$6:$D$405,"&lt;"&amp;J1035,'Istoric_Nativ'!$O$6:$O$405,"SOURCE CONFLICT"))</x:f>
        <x:v>0</x:v>
      </x:c>
      <x:c r="T1035" s="2" t="str">
        <x:f>IF(B1035="","",IF(R1035&lt;&gt;"CLOSED",R1035,IF(S1035&gt;0,"NATIVE INPUT ISSUE",IF(M1035=0,"NO HISTORY",IF(M1035&lt;P1035,"SMALL SAMPLE","DERIVED")))))</x:f>
      </x:c>
      <x:c r="U1035" s="2" t="str">
        <x:f>IF(B1035="","","NativeTable; "&amp;E1035&amp;"; "&amp;F1035&amp;"; "&amp;G1035&amp;"; "&amp;H1035&amp;"; before "&amp;TEXT(J1035,"yyyy-mm-dd")&amp;IF(I1035="RECENT","; from "&amp;TEXT(L1035,"yyyy-mm-dd"),""))</x:f>
      </x:c>
    </x:row>
    <x:row r="1036" ht="21" customHeight="1">
      <x:c r="A1036" s="2" t="n">
        <x:v>86</x:v>
      </x:c>
      <x:c r="B1036" s="2" t="str">
        <x:f>IF('Input_Meci'!A91="","",'Input_Meci'!A91)</x:f>
      </x:c>
      <x:c r="C1036" s="2" t="str">
        <x:v>A</x:v>
      </x:c>
      <x:c r="D1036" s="2" t="str">
        <x:v>PRIOR</x:v>
      </x:c>
      <x:c r="E1036" s="2" t="str">
        <x:f>IF(B1036="","",'Input_Meci'!B91)</x:f>
      </x:c>
      <x:c r="F1036" s="2" t="str">
        <x:f>IF(B1036="","",IF('Input_Meci'!K91="","",'Input_Meci'!K91))</x:f>
      </x:c>
      <x:c r="G1036" s="2" t="str">
        <x:f>IF(B1036="","",'Input_Meci'!E91)</x:f>
      </x:c>
      <x:c r="H1036" s="2" t="str">
        <x:v>AWAY</x:v>
      </x:c>
      <x:c r="I1036" s="2" t="str">
        <x:v>HA</x:v>
      </x:c>
      <x:c r="J1036" s="9" t="n">
        <x:f>IF(AND(B1036&lt;&gt;"",ISNUMBER('Input_Meci'!G91)),INT('Input_Meci'!G91),0)</x:f>
        <x:v>0</x:v>
      </x:c>
      <x:c r="K1036" s="2" t="n">
        <x:f>IF(OR(B1036="",F1036=""),0,IF(H1036="HOME",COUNTIFS('Istoric_Nativ'!$B$6:$B$405,E1036,'Istoric_Nativ'!$C$6:$C$405,F1036,'Istoric_Nativ'!$E$6:$E$405,G1036,'Istoric_Nativ'!$D$6:$D$405,"&lt;"&amp;J1036,'Istoric_Nativ'!$P$6:$P$405,1),IF(H1036="AWAY",COUNTIFS('Istoric_Nativ'!$B$6:$B$405,E1036,'Istoric_Nativ'!$C$6:$C$405,F1036,'Istoric_Nativ'!$F$6:$F$405,G1036,'Istoric_Nativ'!$D$6:$D$405,"&lt;"&amp;J1036,'Istoric_Nativ'!$P$6:$P$405,1),COUNTIFS('Istoric_Nativ'!$B$6:$B$405,E1036,'Istoric_Nativ'!$C$6:$C$405,F1036,'Istoric_Nativ'!$E$6:$E$405,G1036,'Istoric_Nativ'!$D$6:$D$405,"&lt;"&amp;J1036,'Istoric_Nativ'!$P$6:$P$405,1)+COUNTIFS('Istoric_Nativ'!$B$6:$B$405,E1036,'Istoric_Nativ'!$C$6:$C$405,F1036,'Istoric_Nativ'!$F$6:$F$405,G1036,'Istoric_Nativ'!$D$6:$D$405,"&lt;"&amp;J1036,'Istoric_Nativ'!$P$6:$P$405,1))))</x:f>
        <x:v>0</x:v>
      </x:c>
      <x:c r="L1036" s="17" t="n">
        <x:f>IF(AND(B1036&lt;&gt;"",I1036="RECENT",K1036&gt;0),LARGE(_xlfn._xlws.FILTER('Istoric_Nativ'!$D$6:$D$405,('Istoric_Nativ'!$B$6:$B$405=E1036)*('Istoric_Nativ'!$C$6:$C$405=F1036)*('Istoric_Nativ'!$P$6:$P$405=1)*('Istoric_Nativ'!$D$6:$D$405&lt;J1036)*((('Istoric_Nativ'!$E$6:$E$405=G1036)+('Istoric_Nativ'!$F$6:$F$405=G1036))&gt;0)),MIN('Config_v6'!$B$54,K1036)),0)</x:f>
        <x:v>0</x:v>
      </x:c>
      <x:c r="M1036" s="2" t="n">
        <x:f>IF(OR(B1036="",F1036=""),0,IF(H1036="HOME",COUNTIFS('Istoric_Nativ'!$B$6:$B$405,E1036,'Istoric_Nativ'!$C$6:$C$405,F1036,'Istoric_Nativ'!$E$6:$E$405,G1036,'Istoric_Nativ'!$D$6:$D$405,"&lt;"&amp;J1036,'Istoric_Nativ'!$P$6:$P$405,1,'Istoric_Nativ'!$D$6:$D$405,"&gt;="&amp;L1036),IF(H1036="AWAY",COUNTIFS('Istoric_Nativ'!$B$6:$B$405,E1036,'Istoric_Nativ'!$C$6:$C$405,F1036,'Istoric_Nativ'!$F$6:$F$405,G1036,'Istoric_Nativ'!$D$6:$D$405,"&lt;"&amp;J1036,'Istoric_Nativ'!$P$6:$P$405,1,'Istoric_Nativ'!$D$6:$D$405,"&gt;="&amp;L1036),COUNTIFS('Istoric_Nativ'!$B$6:$B$405,E1036,'Istoric_Nativ'!$C$6:$C$405,F1036,'Istoric_Nativ'!$E$6:$E$405,G1036,'Istoric_Nativ'!$D$6:$D$405,"&lt;"&amp;J1036,'Istoric_Nativ'!$P$6:$P$405,1,'Istoric_Nativ'!$D$6:$D$405,"&gt;="&amp;L1036)+COUNTIFS('Istoric_Nativ'!$B$6:$B$405,E1036,'Istoric_Nativ'!$C$6:$C$405,F1036,'Istoric_Nativ'!$F$6:$F$405,G1036,'Istoric_Nativ'!$D$6:$D$405,"&lt;"&amp;J1036,'Istoric_Nativ'!$P$6:$P$405,1,'Istoric_Nativ'!$D$6:$D$405,"&gt;="&amp;L1036))))</x:f>
        <x:v>0</x:v>
      </x:c>
      <x:c r="N1036" s="11" t="str">
        <x:f>IF(M1036=0,"",IF(H1036="HOME",SUMIFS('Istoric_Nativ'!$G$6:$G$405,'Istoric_Nativ'!$B$6:$B$405,E1036,'Istoric_Nativ'!$C$6:$C$405,F1036,'Istoric_Nativ'!$E$6:$E$405,G1036,'Istoric_Nativ'!$D$6:$D$405,"&lt;"&amp;J1036,'Istoric_Nativ'!$P$6:$P$405,1,'Istoric_Nativ'!$D$6:$D$405,"&gt;="&amp;L1036),IF(H1036="AWAY",SUMIFS('Istoric_Nativ'!$H$6:$H$405,'Istoric_Nativ'!$B$6:$B$405,E1036,'Istoric_Nativ'!$C$6:$C$405,F1036,'Istoric_Nativ'!$F$6:$F$405,G1036,'Istoric_Nativ'!$D$6:$D$405,"&lt;"&amp;J1036,'Istoric_Nativ'!$P$6:$P$405,1,'Istoric_Nativ'!$D$6:$D$405,"&gt;="&amp;L1036),SUMIFS('Istoric_Nativ'!$G$6:$G$405,'Istoric_Nativ'!$B$6:$B$405,E1036,'Istoric_Nativ'!$C$6:$C$405,F1036,'Istoric_Nativ'!$E$6:$E$405,G1036,'Istoric_Nativ'!$D$6:$D$405,"&lt;"&amp;J1036,'Istoric_Nativ'!$P$6:$P$405,1,'Istoric_Nativ'!$D$6:$D$405,"&gt;="&amp;L1036)+SUMIFS('Istoric_Nativ'!$H$6:$H$405,'Istoric_Nativ'!$B$6:$B$405,E1036,'Istoric_Nativ'!$C$6:$C$405,F1036,'Istoric_Nativ'!$F$6:$F$405,G1036,'Istoric_Nativ'!$D$6:$D$405,"&lt;"&amp;J1036,'Istoric_Nativ'!$P$6:$P$405,1,'Istoric_Nativ'!$D$6:$D$405,"&gt;="&amp;L1036)))/M1036)</x:f>
      </x:c>
      <x:c r="O1036" s="11" t="str">
        <x:f>IF(M1036=0,"",IF(H1036="HOME",SUMIFS('Istoric_Nativ'!$H$6:$H$405,'Istoric_Nativ'!$B$6:$B$405,E1036,'Istoric_Nativ'!$C$6:$C$405,F1036,'Istoric_Nativ'!$E$6:$E$405,G1036,'Istoric_Nativ'!$D$6:$D$405,"&lt;"&amp;J1036,'Istoric_Nativ'!$P$6:$P$405,1,'Istoric_Nativ'!$D$6:$D$405,"&gt;="&amp;L1036),IF(H1036="AWAY",SUMIFS('Istoric_Nativ'!$G$6:$G$405,'Istoric_Nativ'!$B$6:$B$405,E1036,'Istoric_Nativ'!$C$6:$C$405,F1036,'Istoric_Nativ'!$F$6:$F$405,G1036,'Istoric_Nativ'!$D$6:$D$405,"&lt;"&amp;J1036,'Istoric_Nativ'!$P$6:$P$405,1,'Istoric_Nativ'!$D$6:$D$405,"&gt;="&amp;L1036),SUMIFS('Istoric_Nativ'!$H$6:$H$405,'Istoric_Nativ'!$B$6:$B$405,E1036,'Istoric_Nativ'!$C$6:$C$405,F1036,'Istoric_Nativ'!$E$6:$E$405,G1036,'Istoric_Nativ'!$D$6:$D$405,"&lt;"&amp;J1036,'Istoric_Nativ'!$P$6:$P$405,1,'Istoric_Nativ'!$D$6:$D$405,"&gt;="&amp;L1036)+SUMIFS('Istoric_Nativ'!$G$6:$G$405,'Istoric_Nativ'!$B$6:$B$405,E1036,'Istoric_Nativ'!$C$6:$C$405,F1036,'Istoric_Nativ'!$F$6:$F$405,G1036,'Istoric_Nativ'!$D$6:$D$405,"&lt;"&amp;J1036,'Istoric_Nativ'!$P$6:$P$405,1,'Istoric_Nativ'!$D$6:$D$405,"&gt;="&amp;L1036)))/M1036)</x:f>
      </x:c>
      <x:c r="P1036" s="2" t="n">
        <x:f>'Config_v6'!$B$8</x:f>
        <x:v>5</x:v>
      </x:c>
      <x:c r="Q1036" s="2" t="n">
        <x:f>IF(OR(B1036="",F1036=""),0,IFERROR(MATCH(E1036&amp;"|"&amp;F1036,SourceTable[Source_Key],0),0))</x:f>
        <x:v>0</x:v>
      </x:c>
      <x:c r="R1036" s="2" t="str">
        <x:f>IF(B1036="","",IF(F1036="","UNUSED",IF(Q1036=0,"NOT CHECKED",IF(COUNTIF(SourceTable[Source_Key],E1036&amp;"|"&amp;F1036)&lt;&gt;1,"SOURCE CONFLICT",IF(NOT(OR(INDEX(SourceTable[Status],MAX(1,Q1036))="IMPORTED",INDEX(SourceTable[Status],MAX(1,Q1036))="PARTIAL",INDEX(SourceTable[Status],MAX(1,Q1036))="SOURCE CONFLICT")),"ACCESS BLOCKED",IF(OR(INDEX(SourceTable[Coverage],Q1036)&lt;&gt;"FULL SEASON EXPORT",INDEX(SourceTable[URL],Q1036)="",INDEX(SourceTable[SHA256],Q1036)=""),"EVIDENCE INCOMPLETE",IF(AND('Input_Meci'!H91="LIVE",INDEX(SourceTable[Retrieved_UTC],Q1036)&gt;'Input_Meci'!G91),"POST CUTOFF","CLOSED")))))))</x:f>
      </x:c>
      <x:c r="S1036" s="2" t="n">
        <x:f>IF(OR(B1036="",F1036=""),0,COUNTIFS('Istoric_Nativ'!$B$6:$B$405,E1036,'Istoric_Nativ'!$C$6:$C$405,F1036,'Istoric_Nativ'!$E$6:$E$405,G1036,'Istoric_Nativ'!$D$6:$D$405,"&lt;"&amp;J1036,'Istoric_Nativ'!$O$6:$O$405,"INVALID")+COUNTIFS('Istoric_Nativ'!$B$6:$B$405,E1036,'Istoric_Nativ'!$C$6:$C$405,F1036,'Istoric_Nativ'!$E$6:$E$405,G1036,'Istoric_Nativ'!$O$6:$O$405,"INVALID",'Istoric_Nativ'!$D$6:$D$405,"*")+COUNTIFS('Istoric_Nativ'!$B$6:$B$405,E1036,'Istoric_Nativ'!$C$6:$C$405,F1036,'Istoric_Nativ'!$E$6:$E$405,G1036,'Istoric_Nativ'!$D$6:$D$405,"&lt;"&amp;J1036,'Istoric_Nativ'!$O$6:$O$405,"SOURCE CONFLICT")+COUNTIFS('Istoric_Nativ'!$B$6:$B$405,E1036,'Istoric_Nativ'!$C$6:$C$405,F1036,'Istoric_Nativ'!$F$6:$F$405,G1036,'Istoric_Nativ'!$D$6:$D$405,"&lt;"&amp;J1036,'Istoric_Nativ'!$O$6:$O$405,"INVALID")+COUNTIFS('Istoric_Nativ'!$B$6:$B$405,E1036,'Istoric_Nativ'!$C$6:$C$405,F1036,'Istoric_Nativ'!$F$6:$F$405,G1036,'Istoric_Nativ'!$O$6:$O$405,"INVALID",'Istoric_Nativ'!$D$6:$D$405,"*")+COUNTIFS('Istoric_Nativ'!$B$6:$B$405,E1036,'Istoric_Nativ'!$C$6:$C$405,F1036,'Istoric_Nativ'!$F$6:$F$405,G1036,'Istoric_Nativ'!$D$6:$D$405,"&lt;"&amp;J1036,'Istoric_Nativ'!$O$6:$O$405,"SOURCE CONFLICT"))</x:f>
        <x:v>0</x:v>
      </x:c>
      <x:c r="T1036" s="2" t="str">
        <x:f>IF(B1036="","",IF(R1036&lt;&gt;"CLOSED",R1036,IF(S1036&gt;0,"NATIVE INPUT ISSUE",IF(M1036=0,"NO HISTORY",IF(M1036&lt;P1036,"SMALL SAMPLE","DERIVED")))))</x:f>
      </x:c>
      <x:c r="U1036" s="2" t="str">
        <x:f>IF(B1036="","","NativeTable; "&amp;E1036&amp;"; "&amp;F1036&amp;"; "&amp;G1036&amp;"; "&amp;H1036&amp;"; before "&amp;TEXT(J1036,"yyyy-mm-dd")&amp;IF(I1036="RECENT","; from "&amp;TEXT(L1036,"yyyy-mm-dd"),""))</x:f>
      </x:c>
    </x:row>
    <x:row r="1037" ht="21" customHeight="1">
      <x:c r="A1037" s="2" t="n">
        <x:v>86</x:v>
      </x:c>
      <x:c r="B1037" s="2" t="str">
        <x:f>IF('Input_Meci'!A91="","",'Input_Meci'!A91)</x:f>
      </x:c>
      <x:c r="C1037" s="2" t="str">
        <x:v>A</x:v>
      </x:c>
      <x:c r="D1037" s="2" t="str">
        <x:v>PRIOR</x:v>
      </x:c>
      <x:c r="E1037" s="2" t="str">
        <x:f>IF(B1037="","",'Input_Meci'!B91)</x:f>
      </x:c>
      <x:c r="F1037" s="2" t="str">
        <x:f>IF(B1037="","",IF('Input_Meci'!K91="","",'Input_Meci'!K91))</x:f>
      </x:c>
      <x:c r="G1037" s="2" t="str">
        <x:f>IF(B1037="","",'Input_Meci'!E91)</x:f>
      </x:c>
      <x:c r="H1037" s="2" t="str">
        <x:v>ANY</x:v>
      </x:c>
      <x:c r="I1037" s="2" t="str">
        <x:v>RECENT</x:v>
      </x:c>
      <x:c r="J1037" s="9" t="n">
        <x:f>IF(AND(B1037&lt;&gt;"",ISNUMBER('Input_Meci'!G91)),INT('Input_Meci'!G91),0)</x:f>
        <x:v>0</x:v>
      </x:c>
      <x:c r="K1037" s="2" t="n">
        <x:f>IF(OR(B1037="",F1037=""),0,IF(H1037="HOME",COUNTIFS('Istoric_Nativ'!$B$6:$B$405,E1037,'Istoric_Nativ'!$C$6:$C$405,F1037,'Istoric_Nativ'!$E$6:$E$405,G1037,'Istoric_Nativ'!$D$6:$D$405,"&lt;"&amp;J1037,'Istoric_Nativ'!$P$6:$P$405,1),IF(H1037="AWAY",COUNTIFS('Istoric_Nativ'!$B$6:$B$405,E1037,'Istoric_Nativ'!$C$6:$C$405,F1037,'Istoric_Nativ'!$F$6:$F$405,G1037,'Istoric_Nativ'!$D$6:$D$405,"&lt;"&amp;J1037,'Istoric_Nativ'!$P$6:$P$405,1),COUNTIFS('Istoric_Nativ'!$B$6:$B$405,E1037,'Istoric_Nativ'!$C$6:$C$405,F1037,'Istoric_Nativ'!$E$6:$E$405,G1037,'Istoric_Nativ'!$D$6:$D$405,"&lt;"&amp;J1037,'Istoric_Nativ'!$P$6:$P$405,1)+COUNTIFS('Istoric_Nativ'!$B$6:$B$405,E1037,'Istoric_Nativ'!$C$6:$C$405,F1037,'Istoric_Nativ'!$F$6:$F$405,G1037,'Istoric_Nativ'!$D$6:$D$405,"&lt;"&amp;J1037,'Istoric_Nativ'!$P$6:$P$405,1))))</x:f>
        <x:v>0</x:v>
      </x:c>
      <x:c r="L1037" s="17" t="n">
        <x:f>IF(AND(B1037&lt;&gt;"",I1037="RECENT",K1037&gt;0),LARGE(_xlfn._xlws.FILTER('Istoric_Nativ'!$D$6:$D$405,('Istoric_Nativ'!$B$6:$B$405=E1037)*('Istoric_Nativ'!$C$6:$C$405=F1037)*('Istoric_Nativ'!$P$6:$P$405=1)*('Istoric_Nativ'!$D$6:$D$405&lt;J1037)*((('Istoric_Nativ'!$E$6:$E$405=G1037)+('Istoric_Nativ'!$F$6:$F$405=G1037))&gt;0)),MIN('Config_v6'!$B$54,K1037)),0)</x:f>
        <x:v>0</x:v>
      </x:c>
      <x:c r="M1037" s="2" t="n">
        <x:f>IF(OR(B1037="",F1037=""),0,IF(H1037="HOME",COUNTIFS('Istoric_Nativ'!$B$6:$B$405,E1037,'Istoric_Nativ'!$C$6:$C$405,F1037,'Istoric_Nativ'!$E$6:$E$405,G1037,'Istoric_Nativ'!$D$6:$D$405,"&lt;"&amp;J1037,'Istoric_Nativ'!$P$6:$P$405,1,'Istoric_Nativ'!$D$6:$D$405,"&gt;="&amp;L1037),IF(H1037="AWAY",COUNTIFS('Istoric_Nativ'!$B$6:$B$405,E1037,'Istoric_Nativ'!$C$6:$C$405,F1037,'Istoric_Nativ'!$F$6:$F$405,G1037,'Istoric_Nativ'!$D$6:$D$405,"&lt;"&amp;J1037,'Istoric_Nativ'!$P$6:$P$405,1,'Istoric_Nativ'!$D$6:$D$405,"&gt;="&amp;L1037),COUNTIFS('Istoric_Nativ'!$B$6:$B$405,E1037,'Istoric_Nativ'!$C$6:$C$405,F1037,'Istoric_Nativ'!$E$6:$E$405,G1037,'Istoric_Nativ'!$D$6:$D$405,"&lt;"&amp;J1037,'Istoric_Nativ'!$P$6:$P$405,1,'Istoric_Nativ'!$D$6:$D$405,"&gt;="&amp;L1037)+COUNTIFS('Istoric_Nativ'!$B$6:$B$405,E1037,'Istoric_Nativ'!$C$6:$C$405,F1037,'Istoric_Nativ'!$F$6:$F$405,G1037,'Istoric_Nativ'!$D$6:$D$405,"&lt;"&amp;J1037,'Istoric_Nativ'!$P$6:$P$405,1,'Istoric_Nativ'!$D$6:$D$405,"&gt;="&amp;L1037))))</x:f>
        <x:v>0</x:v>
      </x:c>
      <x:c r="N1037" s="11" t="str">
        <x:f>IF(M1037=0,"",IF(H1037="HOME",SUMIFS('Istoric_Nativ'!$G$6:$G$405,'Istoric_Nativ'!$B$6:$B$405,E1037,'Istoric_Nativ'!$C$6:$C$405,F1037,'Istoric_Nativ'!$E$6:$E$405,G1037,'Istoric_Nativ'!$D$6:$D$405,"&lt;"&amp;J1037,'Istoric_Nativ'!$P$6:$P$405,1,'Istoric_Nativ'!$D$6:$D$405,"&gt;="&amp;L1037),IF(H1037="AWAY",SUMIFS('Istoric_Nativ'!$H$6:$H$405,'Istoric_Nativ'!$B$6:$B$405,E1037,'Istoric_Nativ'!$C$6:$C$405,F1037,'Istoric_Nativ'!$F$6:$F$405,G1037,'Istoric_Nativ'!$D$6:$D$405,"&lt;"&amp;J1037,'Istoric_Nativ'!$P$6:$P$405,1,'Istoric_Nativ'!$D$6:$D$405,"&gt;="&amp;L1037),SUMIFS('Istoric_Nativ'!$G$6:$G$405,'Istoric_Nativ'!$B$6:$B$405,E1037,'Istoric_Nativ'!$C$6:$C$405,F1037,'Istoric_Nativ'!$E$6:$E$405,G1037,'Istoric_Nativ'!$D$6:$D$405,"&lt;"&amp;J1037,'Istoric_Nativ'!$P$6:$P$405,1,'Istoric_Nativ'!$D$6:$D$405,"&gt;="&amp;L1037)+SUMIFS('Istoric_Nativ'!$H$6:$H$405,'Istoric_Nativ'!$B$6:$B$405,E1037,'Istoric_Nativ'!$C$6:$C$405,F1037,'Istoric_Nativ'!$F$6:$F$405,G1037,'Istoric_Nativ'!$D$6:$D$405,"&lt;"&amp;J1037,'Istoric_Nativ'!$P$6:$P$405,1,'Istoric_Nativ'!$D$6:$D$405,"&gt;="&amp;L1037)))/M1037)</x:f>
      </x:c>
      <x:c r="O1037" s="11" t="str">
        <x:f>IF(M1037=0,"",IF(H1037="HOME",SUMIFS('Istoric_Nativ'!$H$6:$H$405,'Istoric_Nativ'!$B$6:$B$405,E1037,'Istoric_Nativ'!$C$6:$C$405,F1037,'Istoric_Nativ'!$E$6:$E$405,G1037,'Istoric_Nativ'!$D$6:$D$405,"&lt;"&amp;J1037,'Istoric_Nativ'!$P$6:$P$405,1,'Istoric_Nativ'!$D$6:$D$405,"&gt;="&amp;L1037),IF(H1037="AWAY",SUMIFS('Istoric_Nativ'!$G$6:$G$405,'Istoric_Nativ'!$B$6:$B$405,E1037,'Istoric_Nativ'!$C$6:$C$405,F1037,'Istoric_Nativ'!$F$6:$F$405,G1037,'Istoric_Nativ'!$D$6:$D$405,"&lt;"&amp;J1037,'Istoric_Nativ'!$P$6:$P$405,1,'Istoric_Nativ'!$D$6:$D$405,"&gt;="&amp;L1037),SUMIFS('Istoric_Nativ'!$H$6:$H$405,'Istoric_Nativ'!$B$6:$B$405,E1037,'Istoric_Nativ'!$C$6:$C$405,F1037,'Istoric_Nativ'!$E$6:$E$405,G1037,'Istoric_Nativ'!$D$6:$D$405,"&lt;"&amp;J1037,'Istoric_Nativ'!$P$6:$P$405,1,'Istoric_Nativ'!$D$6:$D$405,"&gt;="&amp;L1037)+SUMIFS('Istoric_Nativ'!$G$6:$G$405,'Istoric_Nativ'!$B$6:$B$405,E1037,'Istoric_Nativ'!$C$6:$C$405,F1037,'Istoric_Nativ'!$F$6:$F$405,G1037,'Istoric_Nativ'!$D$6:$D$405,"&lt;"&amp;J1037,'Istoric_Nativ'!$P$6:$P$405,1,'Istoric_Nativ'!$D$6:$D$405,"&gt;="&amp;L1037)))/M1037)</x:f>
      </x:c>
      <x:c r="P1037" s="2" t="n">
        <x:f>'Config_v6'!$B$9</x:f>
        <x:v>3</x:v>
      </x:c>
      <x:c r="Q1037" s="2" t="n">
        <x:f>IF(OR(B1037="",F1037=""),0,IFERROR(MATCH(E1037&amp;"|"&amp;F1037,SourceTable[Source_Key],0),0))</x:f>
        <x:v>0</x:v>
      </x:c>
      <x:c r="R1037" s="2" t="str">
        <x:f>IF(B1037="","",IF(F1037="","UNUSED",IF(Q1037=0,"NOT CHECKED",IF(COUNTIF(SourceTable[Source_Key],E1037&amp;"|"&amp;F1037)&lt;&gt;1,"SOURCE CONFLICT",IF(NOT(OR(INDEX(SourceTable[Status],MAX(1,Q1037))="IMPORTED",INDEX(SourceTable[Status],MAX(1,Q1037))="PARTIAL",INDEX(SourceTable[Status],MAX(1,Q1037))="SOURCE CONFLICT")),"ACCESS BLOCKED",IF(OR(INDEX(SourceTable[Coverage],Q1037)&lt;&gt;"FULL SEASON EXPORT",INDEX(SourceTable[URL],Q1037)="",INDEX(SourceTable[SHA256],Q1037)=""),"EVIDENCE INCOMPLETE",IF(AND('Input_Meci'!H91="LIVE",INDEX(SourceTable[Retrieved_UTC],Q1037)&gt;'Input_Meci'!G91),"POST CUTOFF","CLOSED")))))))</x:f>
      </x:c>
      <x:c r="S1037" s="2" t="n">
        <x:f>IF(OR(B1037="",F1037=""),0,COUNTIFS('Istoric_Nativ'!$B$6:$B$405,E1037,'Istoric_Nativ'!$C$6:$C$405,F1037,'Istoric_Nativ'!$E$6:$E$405,G1037,'Istoric_Nativ'!$D$6:$D$405,"&lt;"&amp;J1037,'Istoric_Nativ'!$O$6:$O$405,"INVALID")+COUNTIFS('Istoric_Nativ'!$B$6:$B$405,E1037,'Istoric_Nativ'!$C$6:$C$405,F1037,'Istoric_Nativ'!$E$6:$E$405,G1037,'Istoric_Nativ'!$O$6:$O$405,"INVALID",'Istoric_Nativ'!$D$6:$D$405,"*")+COUNTIFS('Istoric_Nativ'!$B$6:$B$405,E1037,'Istoric_Nativ'!$C$6:$C$405,F1037,'Istoric_Nativ'!$E$6:$E$405,G1037,'Istoric_Nativ'!$D$6:$D$405,"&lt;"&amp;J1037,'Istoric_Nativ'!$O$6:$O$405,"SOURCE CONFLICT")+COUNTIFS('Istoric_Nativ'!$B$6:$B$405,E1037,'Istoric_Nativ'!$C$6:$C$405,F1037,'Istoric_Nativ'!$F$6:$F$405,G1037,'Istoric_Nativ'!$D$6:$D$405,"&lt;"&amp;J1037,'Istoric_Nativ'!$O$6:$O$405,"INVALID")+COUNTIFS('Istoric_Nativ'!$B$6:$B$405,E1037,'Istoric_Nativ'!$C$6:$C$405,F1037,'Istoric_Nativ'!$F$6:$F$405,G1037,'Istoric_Nativ'!$O$6:$O$405,"INVALID",'Istoric_Nativ'!$D$6:$D$405,"*")+COUNTIFS('Istoric_Nativ'!$B$6:$B$405,E1037,'Istoric_Nativ'!$C$6:$C$405,F1037,'Istoric_Nativ'!$F$6:$F$405,G1037,'Istoric_Nativ'!$D$6:$D$405,"&lt;"&amp;J1037,'Istoric_Nativ'!$O$6:$O$405,"SOURCE CONFLICT"))</x:f>
        <x:v>0</x:v>
      </x:c>
      <x:c r="T1037" s="2" t="str">
        <x:f>IF(B1037="","",IF(R1037&lt;&gt;"CLOSED",R1037,IF(S1037&gt;0,"NATIVE INPUT ISSUE",IF(M1037=0,"NO HISTORY",IF(M1037&lt;P1037,"SMALL SAMPLE","DERIVED")))))</x:f>
      </x:c>
      <x:c r="U1037" s="2" t="str">
        <x:f>IF(B1037="","","NativeTable; "&amp;E1037&amp;"; "&amp;F1037&amp;"; "&amp;G1037&amp;"; "&amp;H1037&amp;"; before "&amp;TEXT(J1037,"yyyy-mm-dd")&amp;IF(I1037="RECENT","; from "&amp;TEXT(L1037,"yyyy-mm-dd"),""))</x:f>
      </x:c>
    </x:row>
    <x:row r="1038" ht="21" customHeight="1">
      <x:c r="A1038" s="2" t="n">
        <x:v>87</x:v>
      </x:c>
      <x:c r="B1038" s="2" t="str">
        <x:f>IF('Input_Meci'!A92="","",'Input_Meci'!A92)</x:f>
      </x:c>
      <x:c r="C1038" s="2" t="str">
        <x:v>H</x:v>
      </x:c>
      <x:c r="D1038" s="2" t="str">
        <x:v>CURRENT</x:v>
      </x:c>
      <x:c r="E1038" s="2" t="str">
        <x:f>IF(B1038="","",'Input_Meci'!B92)</x:f>
      </x:c>
      <x:c r="F1038" s="2" t="str">
        <x:f>IF(B1038="","",IF('Input_Meci'!C92="","",'Input_Meci'!C92))</x:f>
      </x:c>
      <x:c r="G1038" s="2" t="str">
        <x:f>IF(B1038="","",'Input_Meci'!D92)</x:f>
      </x:c>
      <x:c r="H1038" s="2" t="str">
        <x:v>ANY</x:v>
      </x:c>
      <x:c r="I1038" s="2" t="str">
        <x:v>SEASON</x:v>
      </x:c>
      <x:c r="J1038" s="9" t="n">
        <x:f>IF(AND(B1038&lt;&gt;"",ISNUMBER('Input_Meci'!G92)),INT('Input_Meci'!G92),0)</x:f>
        <x:v>0</x:v>
      </x:c>
      <x:c r="K1038" s="2" t="n">
        <x:f>IF(OR(B1038="",F1038=""),0,IF(H1038="HOME",COUNTIFS('Istoric_Nativ'!$B$6:$B$405,E1038,'Istoric_Nativ'!$C$6:$C$405,F1038,'Istoric_Nativ'!$E$6:$E$405,G1038,'Istoric_Nativ'!$D$6:$D$405,"&lt;"&amp;J1038,'Istoric_Nativ'!$P$6:$P$405,1),IF(H1038="AWAY",COUNTIFS('Istoric_Nativ'!$B$6:$B$405,E1038,'Istoric_Nativ'!$C$6:$C$405,F1038,'Istoric_Nativ'!$F$6:$F$405,G1038,'Istoric_Nativ'!$D$6:$D$405,"&lt;"&amp;J1038,'Istoric_Nativ'!$P$6:$P$405,1),COUNTIFS('Istoric_Nativ'!$B$6:$B$405,E1038,'Istoric_Nativ'!$C$6:$C$405,F1038,'Istoric_Nativ'!$E$6:$E$405,G1038,'Istoric_Nativ'!$D$6:$D$405,"&lt;"&amp;J1038,'Istoric_Nativ'!$P$6:$P$405,1)+COUNTIFS('Istoric_Nativ'!$B$6:$B$405,E1038,'Istoric_Nativ'!$C$6:$C$405,F1038,'Istoric_Nativ'!$F$6:$F$405,G1038,'Istoric_Nativ'!$D$6:$D$405,"&lt;"&amp;J1038,'Istoric_Nativ'!$P$6:$P$405,1))))</x:f>
        <x:v>0</x:v>
      </x:c>
      <x:c r="L1038" s="17" t="n">
        <x:f>IF(AND(B1038&lt;&gt;"",I1038="RECENT",K1038&gt;0),LARGE(_xlfn._xlws.FILTER('Istoric_Nativ'!$D$6:$D$405,('Istoric_Nativ'!$B$6:$B$405=E1038)*('Istoric_Nativ'!$C$6:$C$405=F1038)*('Istoric_Nativ'!$P$6:$P$405=1)*('Istoric_Nativ'!$D$6:$D$405&lt;J1038)*((('Istoric_Nativ'!$E$6:$E$405=G1038)+('Istoric_Nativ'!$F$6:$F$405=G1038))&gt;0)),MIN('Config_v6'!$B$54,K1038)),0)</x:f>
        <x:v>0</x:v>
      </x:c>
      <x:c r="M1038" s="2" t="n">
        <x:f>IF(OR(B1038="",F1038=""),0,IF(H1038="HOME",COUNTIFS('Istoric_Nativ'!$B$6:$B$405,E1038,'Istoric_Nativ'!$C$6:$C$405,F1038,'Istoric_Nativ'!$E$6:$E$405,G1038,'Istoric_Nativ'!$D$6:$D$405,"&lt;"&amp;J1038,'Istoric_Nativ'!$P$6:$P$405,1,'Istoric_Nativ'!$D$6:$D$405,"&gt;="&amp;L1038),IF(H1038="AWAY",COUNTIFS('Istoric_Nativ'!$B$6:$B$405,E1038,'Istoric_Nativ'!$C$6:$C$405,F1038,'Istoric_Nativ'!$F$6:$F$405,G1038,'Istoric_Nativ'!$D$6:$D$405,"&lt;"&amp;J1038,'Istoric_Nativ'!$P$6:$P$405,1,'Istoric_Nativ'!$D$6:$D$405,"&gt;="&amp;L1038),COUNTIFS('Istoric_Nativ'!$B$6:$B$405,E1038,'Istoric_Nativ'!$C$6:$C$405,F1038,'Istoric_Nativ'!$E$6:$E$405,G1038,'Istoric_Nativ'!$D$6:$D$405,"&lt;"&amp;J1038,'Istoric_Nativ'!$P$6:$P$405,1,'Istoric_Nativ'!$D$6:$D$405,"&gt;="&amp;L1038)+COUNTIFS('Istoric_Nativ'!$B$6:$B$405,E1038,'Istoric_Nativ'!$C$6:$C$405,F1038,'Istoric_Nativ'!$F$6:$F$405,G1038,'Istoric_Nativ'!$D$6:$D$405,"&lt;"&amp;J1038,'Istoric_Nativ'!$P$6:$P$405,1,'Istoric_Nativ'!$D$6:$D$405,"&gt;="&amp;L1038))))</x:f>
        <x:v>0</x:v>
      </x:c>
      <x:c r="N1038" s="11" t="str">
        <x:f>IF(M1038=0,"",IF(H1038="HOME",SUMIFS('Istoric_Nativ'!$G$6:$G$405,'Istoric_Nativ'!$B$6:$B$405,E1038,'Istoric_Nativ'!$C$6:$C$405,F1038,'Istoric_Nativ'!$E$6:$E$405,G1038,'Istoric_Nativ'!$D$6:$D$405,"&lt;"&amp;J1038,'Istoric_Nativ'!$P$6:$P$405,1,'Istoric_Nativ'!$D$6:$D$405,"&gt;="&amp;L1038),IF(H1038="AWAY",SUMIFS('Istoric_Nativ'!$H$6:$H$405,'Istoric_Nativ'!$B$6:$B$405,E1038,'Istoric_Nativ'!$C$6:$C$405,F1038,'Istoric_Nativ'!$F$6:$F$405,G1038,'Istoric_Nativ'!$D$6:$D$405,"&lt;"&amp;J1038,'Istoric_Nativ'!$P$6:$P$405,1,'Istoric_Nativ'!$D$6:$D$405,"&gt;="&amp;L1038),SUMIFS('Istoric_Nativ'!$G$6:$G$405,'Istoric_Nativ'!$B$6:$B$405,E1038,'Istoric_Nativ'!$C$6:$C$405,F1038,'Istoric_Nativ'!$E$6:$E$405,G1038,'Istoric_Nativ'!$D$6:$D$405,"&lt;"&amp;J1038,'Istoric_Nativ'!$P$6:$P$405,1,'Istoric_Nativ'!$D$6:$D$405,"&gt;="&amp;L1038)+SUMIFS('Istoric_Nativ'!$H$6:$H$405,'Istoric_Nativ'!$B$6:$B$405,E1038,'Istoric_Nativ'!$C$6:$C$405,F1038,'Istoric_Nativ'!$F$6:$F$405,G1038,'Istoric_Nativ'!$D$6:$D$405,"&lt;"&amp;J1038,'Istoric_Nativ'!$P$6:$P$405,1,'Istoric_Nativ'!$D$6:$D$405,"&gt;="&amp;L1038)))/M1038)</x:f>
      </x:c>
      <x:c r="O1038" s="11" t="str">
        <x:f>IF(M1038=0,"",IF(H1038="HOME",SUMIFS('Istoric_Nativ'!$H$6:$H$405,'Istoric_Nativ'!$B$6:$B$405,E1038,'Istoric_Nativ'!$C$6:$C$405,F1038,'Istoric_Nativ'!$E$6:$E$405,G1038,'Istoric_Nativ'!$D$6:$D$405,"&lt;"&amp;J1038,'Istoric_Nativ'!$P$6:$P$405,1,'Istoric_Nativ'!$D$6:$D$405,"&gt;="&amp;L1038),IF(H1038="AWAY",SUMIFS('Istoric_Nativ'!$G$6:$G$405,'Istoric_Nativ'!$B$6:$B$405,E1038,'Istoric_Nativ'!$C$6:$C$405,F1038,'Istoric_Nativ'!$F$6:$F$405,G1038,'Istoric_Nativ'!$D$6:$D$405,"&lt;"&amp;J1038,'Istoric_Nativ'!$P$6:$P$405,1,'Istoric_Nativ'!$D$6:$D$405,"&gt;="&amp;L1038),SUMIFS('Istoric_Nativ'!$H$6:$H$405,'Istoric_Nativ'!$B$6:$B$405,E1038,'Istoric_Nativ'!$C$6:$C$405,F1038,'Istoric_Nativ'!$E$6:$E$405,G1038,'Istoric_Nativ'!$D$6:$D$405,"&lt;"&amp;J1038,'Istoric_Nativ'!$P$6:$P$405,1,'Istoric_Nativ'!$D$6:$D$405,"&gt;="&amp;L1038)+SUMIFS('Istoric_Nativ'!$G$6:$G$405,'Istoric_Nativ'!$B$6:$B$405,E1038,'Istoric_Nativ'!$C$6:$C$405,F1038,'Istoric_Nativ'!$F$6:$F$405,G1038,'Istoric_Nativ'!$D$6:$D$405,"&lt;"&amp;J1038,'Istoric_Nativ'!$P$6:$P$405,1,'Istoric_Nativ'!$D$6:$D$405,"&gt;="&amp;L1038)))/M1038)</x:f>
      </x:c>
      <x:c r="P1038" s="2" t="n">
        <x:f>'Config_v6'!$B$7</x:f>
        <x:v>10</x:v>
      </x:c>
      <x:c r="Q1038" s="2" t="n">
        <x:f>IF(OR(B1038="",F1038=""),0,IFERROR(MATCH(E1038&amp;"|"&amp;F1038,SourceTable[Source_Key],0),0))</x:f>
        <x:v>0</x:v>
      </x:c>
      <x:c r="R1038" s="2" t="str">
        <x:f>IF(B1038="","",IF(F1038="","UNUSED",IF(Q1038=0,"NOT CHECKED",IF(COUNTIF(SourceTable[Source_Key],E1038&amp;"|"&amp;F1038)&lt;&gt;1,"SOURCE CONFLICT",IF(NOT(OR(INDEX(SourceTable[Status],MAX(1,Q1038))="IMPORTED",INDEX(SourceTable[Status],MAX(1,Q1038))="PARTIAL",INDEX(SourceTable[Status],MAX(1,Q1038))="SOURCE CONFLICT")),"ACCESS BLOCKED",IF(OR(INDEX(SourceTable[Coverage],Q1038)&lt;&gt;"FULL SEASON EXPORT",INDEX(SourceTable[URL],Q1038)="",INDEX(SourceTable[SHA256],Q1038)=""),"EVIDENCE INCOMPLETE",IF(AND('Input_Meci'!H92="LIVE",INDEX(SourceTable[Retrieved_UTC],Q1038)&gt;'Input_Meci'!G92),"POST CUTOFF","CLOSED")))))))</x:f>
      </x:c>
      <x:c r="S1038" s="2" t="n">
        <x:f>IF(OR(B1038="",F1038=""),0,COUNTIFS('Istoric_Nativ'!$B$6:$B$405,E1038,'Istoric_Nativ'!$C$6:$C$405,F1038,'Istoric_Nativ'!$E$6:$E$405,G1038,'Istoric_Nativ'!$D$6:$D$405,"&lt;"&amp;J1038,'Istoric_Nativ'!$O$6:$O$405,"INVALID")+COUNTIFS('Istoric_Nativ'!$B$6:$B$405,E1038,'Istoric_Nativ'!$C$6:$C$405,F1038,'Istoric_Nativ'!$E$6:$E$405,G1038,'Istoric_Nativ'!$O$6:$O$405,"INVALID",'Istoric_Nativ'!$D$6:$D$405,"*")+COUNTIFS('Istoric_Nativ'!$B$6:$B$405,E1038,'Istoric_Nativ'!$C$6:$C$405,F1038,'Istoric_Nativ'!$E$6:$E$405,G1038,'Istoric_Nativ'!$D$6:$D$405,"&lt;"&amp;J1038,'Istoric_Nativ'!$O$6:$O$405,"SOURCE CONFLICT")+COUNTIFS('Istoric_Nativ'!$B$6:$B$405,E1038,'Istoric_Nativ'!$C$6:$C$405,F1038,'Istoric_Nativ'!$F$6:$F$405,G1038,'Istoric_Nativ'!$D$6:$D$405,"&lt;"&amp;J1038,'Istoric_Nativ'!$O$6:$O$405,"INVALID")+COUNTIFS('Istoric_Nativ'!$B$6:$B$405,E1038,'Istoric_Nativ'!$C$6:$C$405,F1038,'Istoric_Nativ'!$F$6:$F$405,G1038,'Istoric_Nativ'!$O$6:$O$405,"INVALID",'Istoric_Nativ'!$D$6:$D$405,"*")+COUNTIFS('Istoric_Nativ'!$B$6:$B$405,E1038,'Istoric_Nativ'!$C$6:$C$405,F1038,'Istoric_Nativ'!$F$6:$F$405,G1038,'Istoric_Nativ'!$D$6:$D$405,"&lt;"&amp;J1038,'Istoric_Nativ'!$O$6:$O$405,"SOURCE CONFLICT"))</x:f>
        <x:v>0</x:v>
      </x:c>
      <x:c r="T1038" s="2" t="str">
        <x:f>IF(B1038="","",IF(R1038&lt;&gt;"CLOSED",R1038,IF(S1038&gt;0,"NATIVE INPUT ISSUE",IF(M1038=0,"NO HISTORY",IF(M1038&lt;P1038,"SMALL SAMPLE","DERIVED")))))</x:f>
      </x:c>
      <x:c r="U1038" s="2" t="str">
        <x:f>IF(B1038="","","NativeTable; "&amp;E1038&amp;"; "&amp;F1038&amp;"; "&amp;G1038&amp;"; "&amp;H1038&amp;"; before "&amp;TEXT(J1038,"yyyy-mm-dd")&amp;IF(I1038="RECENT","; from "&amp;TEXT(L1038,"yyyy-mm-dd"),""))</x:f>
      </x:c>
    </x:row>
    <x:row r="1039" ht="21" customHeight="1">
      <x:c r="A1039" s="2" t="n">
        <x:v>87</x:v>
      </x:c>
      <x:c r="B1039" s="2" t="str">
        <x:f>IF('Input_Meci'!A92="","",'Input_Meci'!A92)</x:f>
      </x:c>
      <x:c r="C1039" s="2" t="str">
        <x:v>H</x:v>
      </x:c>
      <x:c r="D1039" s="2" t="str">
        <x:v>CURRENT</x:v>
      </x:c>
      <x:c r="E1039" s="2" t="str">
        <x:f>IF(B1039="","",'Input_Meci'!B92)</x:f>
      </x:c>
      <x:c r="F1039" s="2" t="str">
        <x:f>IF(B1039="","",IF('Input_Meci'!C92="","",'Input_Meci'!C92))</x:f>
      </x:c>
      <x:c r="G1039" s="2" t="str">
        <x:f>IF(B1039="","",'Input_Meci'!D92)</x:f>
      </x:c>
      <x:c r="H1039" s="2" t="str">
        <x:v>HOME</x:v>
      </x:c>
      <x:c r="I1039" s="2" t="str">
        <x:v>HA</x:v>
      </x:c>
      <x:c r="J1039" s="9" t="n">
        <x:f>IF(AND(B1039&lt;&gt;"",ISNUMBER('Input_Meci'!G92)),INT('Input_Meci'!G92),0)</x:f>
        <x:v>0</x:v>
      </x:c>
      <x:c r="K1039" s="2" t="n">
        <x:f>IF(OR(B1039="",F1039=""),0,IF(H1039="HOME",COUNTIFS('Istoric_Nativ'!$B$6:$B$405,E1039,'Istoric_Nativ'!$C$6:$C$405,F1039,'Istoric_Nativ'!$E$6:$E$405,G1039,'Istoric_Nativ'!$D$6:$D$405,"&lt;"&amp;J1039,'Istoric_Nativ'!$P$6:$P$405,1),IF(H1039="AWAY",COUNTIFS('Istoric_Nativ'!$B$6:$B$405,E1039,'Istoric_Nativ'!$C$6:$C$405,F1039,'Istoric_Nativ'!$F$6:$F$405,G1039,'Istoric_Nativ'!$D$6:$D$405,"&lt;"&amp;J1039,'Istoric_Nativ'!$P$6:$P$405,1),COUNTIFS('Istoric_Nativ'!$B$6:$B$405,E1039,'Istoric_Nativ'!$C$6:$C$405,F1039,'Istoric_Nativ'!$E$6:$E$405,G1039,'Istoric_Nativ'!$D$6:$D$405,"&lt;"&amp;J1039,'Istoric_Nativ'!$P$6:$P$405,1)+COUNTIFS('Istoric_Nativ'!$B$6:$B$405,E1039,'Istoric_Nativ'!$C$6:$C$405,F1039,'Istoric_Nativ'!$F$6:$F$405,G1039,'Istoric_Nativ'!$D$6:$D$405,"&lt;"&amp;J1039,'Istoric_Nativ'!$P$6:$P$405,1))))</x:f>
        <x:v>0</x:v>
      </x:c>
      <x:c r="L1039" s="17" t="n">
        <x:f>IF(AND(B1039&lt;&gt;"",I1039="RECENT",K1039&gt;0),LARGE(_xlfn._xlws.FILTER('Istoric_Nativ'!$D$6:$D$405,('Istoric_Nativ'!$B$6:$B$405=E1039)*('Istoric_Nativ'!$C$6:$C$405=F1039)*('Istoric_Nativ'!$P$6:$P$405=1)*('Istoric_Nativ'!$D$6:$D$405&lt;J1039)*((('Istoric_Nativ'!$E$6:$E$405=G1039)+('Istoric_Nativ'!$F$6:$F$405=G1039))&gt;0)),MIN('Config_v6'!$B$54,K1039)),0)</x:f>
        <x:v>0</x:v>
      </x:c>
      <x:c r="M1039" s="2" t="n">
        <x:f>IF(OR(B1039="",F1039=""),0,IF(H1039="HOME",COUNTIFS('Istoric_Nativ'!$B$6:$B$405,E1039,'Istoric_Nativ'!$C$6:$C$405,F1039,'Istoric_Nativ'!$E$6:$E$405,G1039,'Istoric_Nativ'!$D$6:$D$405,"&lt;"&amp;J1039,'Istoric_Nativ'!$P$6:$P$405,1,'Istoric_Nativ'!$D$6:$D$405,"&gt;="&amp;L1039),IF(H1039="AWAY",COUNTIFS('Istoric_Nativ'!$B$6:$B$405,E1039,'Istoric_Nativ'!$C$6:$C$405,F1039,'Istoric_Nativ'!$F$6:$F$405,G1039,'Istoric_Nativ'!$D$6:$D$405,"&lt;"&amp;J1039,'Istoric_Nativ'!$P$6:$P$405,1,'Istoric_Nativ'!$D$6:$D$405,"&gt;="&amp;L1039),COUNTIFS('Istoric_Nativ'!$B$6:$B$405,E1039,'Istoric_Nativ'!$C$6:$C$405,F1039,'Istoric_Nativ'!$E$6:$E$405,G1039,'Istoric_Nativ'!$D$6:$D$405,"&lt;"&amp;J1039,'Istoric_Nativ'!$P$6:$P$405,1,'Istoric_Nativ'!$D$6:$D$405,"&gt;="&amp;L1039)+COUNTIFS('Istoric_Nativ'!$B$6:$B$405,E1039,'Istoric_Nativ'!$C$6:$C$405,F1039,'Istoric_Nativ'!$F$6:$F$405,G1039,'Istoric_Nativ'!$D$6:$D$405,"&lt;"&amp;J1039,'Istoric_Nativ'!$P$6:$P$405,1,'Istoric_Nativ'!$D$6:$D$405,"&gt;="&amp;L1039))))</x:f>
        <x:v>0</x:v>
      </x:c>
      <x:c r="N1039" s="11" t="str">
        <x:f>IF(M1039=0,"",IF(H1039="HOME",SUMIFS('Istoric_Nativ'!$G$6:$G$405,'Istoric_Nativ'!$B$6:$B$405,E1039,'Istoric_Nativ'!$C$6:$C$405,F1039,'Istoric_Nativ'!$E$6:$E$405,G1039,'Istoric_Nativ'!$D$6:$D$405,"&lt;"&amp;J1039,'Istoric_Nativ'!$P$6:$P$405,1,'Istoric_Nativ'!$D$6:$D$405,"&gt;="&amp;L1039),IF(H1039="AWAY",SUMIFS('Istoric_Nativ'!$H$6:$H$405,'Istoric_Nativ'!$B$6:$B$405,E1039,'Istoric_Nativ'!$C$6:$C$405,F1039,'Istoric_Nativ'!$F$6:$F$405,G1039,'Istoric_Nativ'!$D$6:$D$405,"&lt;"&amp;J1039,'Istoric_Nativ'!$P$6:$P$405,1,'Istoric_Nativ'!$D$6:$D$405,"&gt;="&amp;L1039),SUMIFS('Istoric_Nativ'!$G$6:$G$405,'Istoric_Nativ'!$B$6:$B$405,E1039,'Istoric_Nativ'!$C$6:$C$405,F1039,'Istoric_Nativ'!$E$6:$E$405,G1039,'Istoric_Nativ'!$D$6:$D$405,"&lt;"&amp;J1039,'Istoric_Nativ'!$P$6:$P$405,1,'Istoric_Nativ'!$D$6:$D$405,"&gt;="&amp;L1039)+SUMIFS('Istoric_Nativ'!$H$6:$H$405,'Istoric_Nativ'!$B$6:$B$405,E1039,'Istoric_Nativ'!$C$6:$C$405,F1039,'Istoric_Nativ'!$F$6:$F$405,G1039,'Istoric_Nativ'!$D$6:$D$405,"&lt;"&amp;J1039,'Istoric_Nativ'!$P$6:$P$405,1,'Istoric_Nativ'!$D$6:$D$405,"&gt;="&amp;L1039)))/M1039)</x:f>
      </x:c>
      <x:c r="O1039" s="11" t="str">
        <x:f>IF(M1039=0,"",IF(H1039="HOME",SUMIFS('Istoric_Nativ'!$H$6:$H$405,'Istoric_Nativ'!$B$6:$B$405,E1039,'Istoric_Nativ'!$C$6:$C$405,F1039,'Istoric_Nativ'!$E$6:$E$405,G1039,'Istoric_Nativ'!$D$6:$D$405,"&lt;"&amp;J1039,'Istoric_Nativ'!$P$6:$P$405,1,'Istoric_Nativ'!$D$6:$D$405,"&gt;="&amp;L1039),IF(H1039="AWAY",SUMIFS('Istoric_Nativ'!$G$6:$G$405,'Istoric_Nativ'!$B$6:$B$405,E1039,'Istoric_Nativ'!$C$6:$C$405,F1039,'Istoric_Nativ'!$F$6:$F$405,G1039,'Istoric_Nativ'!$D$6:$D$405,"&lt;"&amp;J1039,'Istoric_Nativ'!$P$6:$P$405,1,'Istoric_Nativ'!$D$6:$D$405,"&gt;="&amp;L1039),SUMIFS('Istoric_Nativ'!$H$6:$H$405,'Istoric_Nativ'!$B$6:$B$405,E1039,'Istoric_Nativ'!$C$6:$C$405,F1039,'Istoric_Nativ'!$E$6:$E$405,G1039,'Istoric_Nativ'!$D$6:$D$405,"&lt;"&amp;J1039,'Istoric_Nativ'!$P$6:$P$405,1,'Istoric_Nativ'!$D$6:$D$405,"&gt;="&amp;L1039)+SUMIFS('Istoric_Nativ'!$G$6:$G$405,'Istoric_Nativ'!$B$6:$B$405,E1039,'Istoric_Nativ'!$C$6:$C$405,F1039,'Istoric_Nativ'!$F$6:$F$405,G1039,'Istoric_Nativ'!$D$6:$D$405,"&lt;"&amp;J1039,'Istoric_Nativ'!$P$6:$P$405,1,'Istoric_Nativ'!$D$6:$D$405,"&gt;="&amp;L1039)))/M1039)</x:f>
      </x:c>
      <x:c r="P1039" s="2" t="n">
        <x:f>'Config_v6'!$B$8</x:f>
        <x:v>5</x:v>
      </x:c>
      <x:c r="Q1039" s="2" t="n">
        <x:f>IF(OR(B1039="",F1039=""),0,IFERROR(MATCH(E1039&amp;"|"&amp;F1039,SourceTable[Source_Key],0),0))</x:f>
        <x:v>0</x:v>
      </x:c>
      <x:c r="R1039" s="2" t="str">
        <x:f>IF(B1039="","",IF(F1039="","UNUSED",IF(Q1039=0,"NOT CHECKED",IF(COUNTIF(SourceTable[Source_Key],E1039&amp;"|"&amp;F1039)&lt;&gt;1,"SOURCE CONFLICT",IF(NOT(OR(INDEX(SourceTable[Status],MAX(1,Q1039))="IMPORTED",INDEX(SourceTable[Status],MAX(1,Q1039))="PARTIAL",INDEX(SourceTable[Status],MAX(1,Q1039))="SOURCE CONFLICT")),"ACCESS BLOCKED",IF(OR(INDEX(SourceTable[Coverage],Q1039)&lt;&gt;"FULL SEASON EXPORT",INDEX(SourceTable[URL],Q1039)="",INDEX(SourceTable[SHA256],Q1039)=""),"EVIDENCE INCOMPLETE",IF(AND('Input_Meci'!H92="LIVE",INDEX(SourceTable[Retrieved_UTC],Q1039)&gt;'Input_Meci'!G92),"POST CUTOFF","CLOSED")))))))</x:f>
      </x:c>
      <x:c r="S1039" s="2" t="n">
        <x:f>IF(OR(B1039="",F1039=""),0,COUNTIFS('Istoric_Nativ'!$B$6:$B$405,E1039,'Istoric_Nativ'!$C$6:$C$405,F1039,'Istoric_Nativ'!$E$6:$E$405,G1039,'Istoric_Nativ'!$D$6:$D$405,"&lt;"&amp;J1039,'Istoric_Nativ'!$O$6:$O$405,"INVALID")+COUNTIFS('Istoric_Nativ'!$B$6:$B$405,E1039,'Istoric_Nativ'!$C$6:$C$405,F1039,'Istoric_Nativ'!$E$6:$E$405,G1039,'Istoric_Nativ'!$O$6:$O$405,"INVALID",'Istoric_Nativ'!$D$6:$D$405,"*")+COUNTIFS('Istoric_Nativ'!$B$6:$B$405,E1039,'Istoric_Nativ'!$C$6:$C$405,F1039,'Istoric_Nativ'!$E$6:$E$405,G1039,'Istoric_Nativ'!$D$6:$D$405,"&lt;"&amp;J1039,'Istoric_Nativ'!$O$6:$O$405,"SOURCE CONFLICT")+COUNTIFS('Istoric_Nativ'!$B$6:$B$405,E1039,'Istoric_Nativ'!$C$6:$C$405,F1039,'Istoric_Nativ'!$F$6:$F$405,G1039,'Istoric_Nativ'!$D$6:$D$405,"&lt;"&amp;J1039,'Istoric_Nativ'!$O$6:$O$405,"INVALID")+COUNTIFS('Istoric_Nativ'!$B$6:$B$405,E1039,'Istoric_Nativ'!$C$6:$C$405,F1039,'Istoric_Nativ'!$F$6:$F$405,G1039,'Istoric_Nativ'!$O$6:$O$405,"INVALID",'Istoric_Nativ'!$D$6:$D$405,"*")+COUNTIFS('Istoric_Nativ'!$B$6:$B$405,E1039,'Istoric_Nativ'!$C$6:$C$405,F1039,'Istoric_Nativ'!$F$6:$F$405,G1039,'Istoric_Nativ'!$D$6:$D$405,"&lt;"&amp;J1039,'Istoric_Nativ'!$O$6:$O$405,"SOURCE CONFLICT"))</x:f>
        <x:v>0</x:v>
      </x:c>
      <x:c r="T1039" s="2" t="str">
        <x:f>IF(B1039="","",IF(R1039&lt;&gt;"CLOSED",R1039,IF(S1039&gt;0,"NATIVE INPUT ISSUE",IF(M1039=0,"NO HISTORY",IF(M1039&lt;P1039,"SMALL SAMPLE","DERIVED")))))</x:f>
      </x:c>
      <x:c r="U1039" s="2" t="str">
        <x:f>IF(B1039="","","NativeTable; "&amp;E1039&amp;"; "&amp;F1039&amp;"; "&amp;G1039&amp;"; "&amp;H1039&amp;"; before "&amp;TEXT(J1039,"yyyy-mm-dd")&amp;IF(I1039="RECENT","; from "&amp;TEXT(L1039,"yyyy-mm-dd"),""))</x:f>
      </x:c>
    </x:row>
    <x:row r="1040" ht="21" customHeight="1">
      <x:c r="A1040" s="2" t="n">
        <x:v>87</x:v>
      </x:c>
      <x:c r="B1040" s="2" t="str">
        <x:f>IF('Input_Meci'!A92="","",'Input_Meci'!A92)</x:f>
      </x:c>
      <x:c r="C1040" s="2" t="str">
        <x:v>H</x:v>
      </x:c>
      <x:c r="D1040" s="2" t="str">
        <x:v>CURRENT</x:v>
      </x:c>
      <x:c r="E1040" s="2" t="str">
        <x:f>IF(B1040="","",'Input_Meci'!B92)</x:f>
      </x:c>
      <x:c r="F1040" s="2" t="str">
        <x:f>IF(B1040="","",IF('Input_Meci'!C92="","",'Input_Meci'!C92))</x:f>
      </x:c>
      <x:c r="G1040" s="2" t="str">
        <x:f>IF(B1040="","",'Input_Meci'!D92)</x:f>
      </x:c>
      <x:c r="H1040" s="2" t="str">
        <x:v>ANY</x:v>
      </x:c>
      <x:c r="I1040" s="2" t="str">
        <x:v>RECENT</x:v>
      </x:c>
      <x:c r="J1040" s="9" t="n">
        <x:f>IF(AND(B1040&lt;&gt;"",ISNUMBER('Input_Meci'!G92)),INT('Input_Meci'!G92),0)</x:f>
        <x:v>0</x:v>
      </x:c>
      <x:c r="K1040" s="2" t="n">
        <x:f>IF(OR(B1040="",F1040=""),0,IF(H1040="HOME",COUNTIFS('Istoric_Nativ'!$B$6:$B$405,E1040,'Istoric_Nativ'!$C$6:$C$405,F1040,'Istoric_Nativ'!$E$6:$E$405,G1040,'Istoric_Nativ'!$D$6:$D$405,"&lt;"&amp;J1040,'Istoric_Nativ'!$P$6:$P$405,1),IF(H1040="AWAY",COUNTIFS('Istoric_Nativ'!$B$6:$B$405,E1040,'Istoric_Nativ'!$C$6:$C$405,F1040,'Istoric_Nativ'!$F$6:$F$405,G1040,'Istoric_Nativ'!$D$6:$D$405,"&lt;"&amp;J1040,'Istoric_Nativ'!$P$6:$P$405,1),COUNTIFS('Istoric_Nativ'!$B$6:$B$405,E1040,'Istoric_Nativ'!$C$6:$C$405,F1040,'Istoric_Nativ'!$E$6:$E$405,G1040,'Istoric_Nativ'!$D$6:$D$405,"&lt;"&amp;J1040,'Istoric_Nativ'!$P$6:$P$405,1)+COUNTIFS('Istoric_Nativ'!$B$6:$B$405,E1040,'Istoric_Nativ'!$C$6:$C$405,F1040,'Istoric_Nativ'!$F$6:$F$405,G1040,'Istoric_Nativ'!$D$6:$D$405,"&lt;"&amp;J1040,'Istoric_Nativ'!$P$6:$P$405,1))))</x:f>
        <x:v>0</x:v>
      </x:c>
      <x:c r="L1040" s="17" t="n">
        <x:f>IF(AND(B1040&lt;&gt;"",I1040="RECENT",K1040&gt;0),LARGE(_xlfn._xlws.FILTER('Istoric_Nativ'!$D$6:$D$405,('Istoric_Nativ'!$B$6:$B$405=E1040)*('Istoric_Nativ'!$C$6:$C$405=F1040)*('Istoric_Nativ'!$P$6:$P$405=1)*('Istoric_Nativ'!$D$6:$D$405&lt;J1040)*((('Istoric_Nativ'!$E$6:$E$405=G1040)+('Istoric_Nativ'!$F$6:$F$405=G1040))&gt;0)),MIN('Config_v6'!$B$54,K1040)),0)</x:f>
        <x:v>0</x:v>
      </x:c>
      <x:c r="M1040" s="2" t="n">
        <x:f>IF(OR(B1040="",F1040=""),0,IF(H1040="HOME",COUNTIFS('Istoric_Nativ'!$B$6:$B$405,E1040,'Istoric_Nativ'!$C$6:$C$405,F1040,'Istoric_Nativ'!$E$6:$E$405,G1040,'Istoric_Nativ'!$D$6:$D$405,"&lt;"&amp;J1040,'Istoric_Nativ'!$P$6:$P$405,1,'Istoric_Nativ'!$D$6:$D$405,"&gt;="&amp;L1040),IF(H1040="AWAY",COUNTIFS('Istoric_Nativ'!$B$6:$B$405,E1040,'Istoric_Nativ'!$C$6:$C$405,F1040,'Istoric_Nativ'!$F$6:$F$405,G1040,'Istoric_Nativ'!$D$6:$D$405,"&lt;"&amp;J1040,'Istoric_Nativ'!$P$6:$P$405,1,'Istoric_Nativ'!$D$6:$D$405,"&gt;="&amp;L1040),COUNTIFS('Istoric_Nativ'!$B$6:$B$405,E1040,'Istoric_Nativ'!$C$6:$C$405,F1040,'Istoric_Nativ'!$E$6:$E$405,G1040,'Istoric_Nativ'!$D$6:$D$405,"&lt;"&amp;J1040,'Istoric_Nativ'!$P$6:$P$405,1,'Istoric_Nativ'!$D$6:$D$405,"&gt;="&amp;L1040)+COUNTIFS('Istoric_Nativ'!$B$6:$B$405,E1040,'Istoric_Nativ'!$C$6:$C$405,F1040,'Istoric_Nativ'!$F$6:$F$405,G1040,'Istoric_Nativ'!$D$6:$D$405,"&lt;"&amp;J1040,'Istoric_Nativ'!$P$6:$P$405,1,'Istoric_Nativ'!$D$6:$D$405,"&gt;="&amp;L1040))))</x:f>
        <x:v>0</x:v>
      </x:c>
      <x:c r="N1040" s="11" t="str">
        <x:f>IF(M1040=0,"",IF(H1040="HOME",SUMIFS('Istoric_Nativ'!$G$6:$G$405,'Istoric_Nativ'!$B$6:$B$405,E1040,'Istoric_Nativ'!$C$6:$C$405,F1040,'Istoric_Nativ'!$E$6:$E$405,G1040,'Istoric_Nativ'!$D$6:$D$405,"&lt;"&amp;J1040,'Istoric_Nativ'!$P$6:$P$405,1,'Istoric_Nativ'!$D$6:$D$405,"&gt;="&amp;L1040),IF(H1040="AWAY",SUMIFS('Istoric_Nativ'!$H$6:$H$405,'Istoric_Nativ'!$B$6:$B$405,E1040,'Istoric_Nativ'!$C$6:$C$405,F1040,'Istoric_Nativ'!$F$6:$F$405,G1040,'Istoric_Nativ'!$D$6:$D$405,"&lt;"&amp;J1040,'Istoric_Nativ'!$P$6:$P$405,1,'Istoric_Nativ'!$D$6:$D$405,"&gt;="&amp;L1040),SUMIFS('Istoric_Nativ'!$G$6:$G$405,'Istoric_Nativ'!$B$6:$B$405,E1040,'Istoric_Nativ'!$C$6:$C$405,F1040,'Istoric_Nativ'!$E$6:$E$405,G1040,'Istoric_Nativ'!$D$6:$D$405,"&lt;"&amp;J1040,'Istoric_Nativ'!$P$6:$P$405,1,'Istoric_Nativ'!$D$6:$D$405,"&gt;="&amp;L1040)+SUMIFS('Istoric_Nativ'!$H$6:$H$405,'Istoric_Nativ'!$B$6:$B$405,E1040,'Istoric_Nativ'!$C$6:$C$405,F1040,'Istoric_Nativ'!$F$6:$F$405,G1040,'Istoric_Nativ'!$D$6:$D$405,"&lt;"&amp;J1040,'Istoric_Nativ'!$P$6:$P$405,1,'Istoric_Nativ'!$D$6:$D$405,"&gt;="&amp;L1040)))/M1040)</x:f>
      </x:c>
      <x:c r="O1040" s="11" t="str">
        <x:f>IF(M1040=0,"",IF(H1040="HOME",SUMIFS('Istoric_Nativ'!$H$6:$H$405,'Istoric_Nativ'!$B$6:$B$405,E1040,'Istoric_Nativ'!$C$6:$C$405,F1040,'Istoric_Nativ'!$E$6:$E$405,G1040,'Istoric_Nativ'!$D$6:$D$405,"&lt;"&amp;J1040,'Istoric_Nativ'!$P$6:$P$405,1,'Istoric_Nativ'!$D$6:$D$405,"&gt;="&amp;L1040),IF(H1040="AWAY",SUMIFS('Istoric_Nativ'!$G$6:$G$405,'Istoric_Nativ'!$B$6:$B$405,E1040,'Istoric_Nativ'!$C$6:$C$405,F1040,'Istoric_Nativ'!$F$6:$F$405,G1040,'Istoric_Nativ'!$D$6:$D$405,"&lt;"&amp;J1040,'Istoric_Nativ'!$P$6:$P$405,1,'Istoric_Nativ'!$D$6:$D$405,"&gt;="&amp;L1040),SUMIFS('Istoric_Nativ'!$H$6:$H$405,'Istoric_Nativ'!$B$6:$B$405,E1040,'Istoric_Nativ'!$C$6:$C$405,F1040,'Istoric_Nativ'!$E$6:$E$405,G1040,'Istoric_Nativ'!$D$6:$D$405,"&lt;"&amp;J1040,'Istoric_Nativ'!$P$6:$P$405,1,'Istoric_Nativ'!$D$6:$D$405,"&gt;="&amp;L1040)+SUMIFS('Istoric_Nativ'!$G$6:$G$405,'Istoric_Nativ'!$B$6:$B$405,E1040,'Istoric_Nativ'!$C$6:$C$405,F1040,'Istoric_Nativ'!$F$6:$F$405,G1040,'Istoric_Nativ'!$D$6:$D$405,"&lt;"&amp;J1040,'Istoric_Nativ'!$P$6:$P$405,1,'Istoric_Nativ'!$D$6:$D$405,"&gt;="&amp;L1040)))/M1040)</x:f>
      </x:c>
      <x:c r="P1040" s="2" t="n">
        <x:f>'Config_v6'!$B$9</x:f>
        <x:v>3</x:v>
      </x:c>
      <x:c r="Q1040" s="2" t="n">
        <x:f>IF(OR(B1040="",F1040=""),0,IFERROR(MATCH(E1040&amp;"|"&amp;F1040,SourceTable[Source_Key],0),0))</x:f>
        <x:v>0</x:v>
      </x:c>
      <x:c r="R1040" s="2" t="str">
        <x:f>IF(B1040="","",IF(F1040="","UNUSED",IF(Q1040=0,"NOT CHECKED",IF(COUNTIF(SourceTable[Source_Key],E1040&amp;"|"&amp;F1040)&lt;&gt;1,"SOURCE CONFLICT",IF(NOT(OR(INDEX(SourceTable[Status],MAX(1,Q1040))="IMPORTED",INDEX(SourceTable[Status],MAX(1,Q1040))="PARTIAL",INDEX(SourceTable[Status],MAX(1,Q1040))="SOURCE CONFLICT")),"ACCESS BLOCKED",IF(OR(INDEX(SourceTable[Coverage],Q1040)&lt;&gt;"FULL SEASON EXPORT",INDEX(SourceTable[URL],Q1040)="",INDEX(SourceTable[SHA256],Q1040)=""),"EVIDENCE INCOMPLETE",IF(AND('Input_Meci'!H92="LIVE",INDEX(SourceTable[Retrieved_UTC],Q1040)&gt;'Input_Meci'!G92),"POST CUTOFF","CLOSED")))))))</x:f>
      </x:c>
      <x:c r="S1040" s="2" t="n">
        <x:f>IF(OR(B1040="",F1040=""),0,COUNTIFS('Istoric_Nativ'!$B$6:$B$405,E1040,'Istoric_Nativ'!$C$6:$C$405,F1040,'Istoric_Nativ'!$E$6:$E$405,G1040,'Istoric_Nativ'!$D$6:$D$405,"&lt;"&amp;J1040,'Istoric_Nativ'!$O$6:$O$405,"INVALID")+COUNTIFS('Istoric_Nativ'!$B$6:$B$405,E1040,'Istoric_Nativ'!$C$6:$C$405,F1040,'Istoric_Nativ'!$E$6:$E$405,G1040,'Istoric_Nativ'!$O$6:$O$405,"INVALID",'Istoric_Nativ'!$D$6:$D$405,"*")+COUNTIFS('Istoric_Nativ'!$B$6:$B$405,E1040,'Istoric_Nativ'!$C$6:$C$405,F1040,'Istoric_Nativ'!$E$6:$E$405,G1040,'Istoric_Nativ'!$D$6:$D$405,"&lt;"&amp;J1040,'Istoric_Nativ'!$O$6:$O$405,"SOURCE CONFLICT")+COUNTIFS('Istoric_Nativ'!$B$6:$B$405,E1040,'Istoric_Nativ'!$C$6:$C$405,F1040,'Istoric_Nativ'!$F$6:$F$405,G1040,'Istoric_Nativ'!$D$6:$D$405,"&lt;"&amp;J1040,'Istoric_Nativ'!$O$6:$O$405,"INVALID")+COUNTIFS('Istoric_Nativ'!$B$6:$B$405,E1040,'Istoric_Nativ'!$C$6:$C$405,F1040,'Istoric_Nativ'!$F$6:$F$405,G1040,'Istoric_Nativ'!$O$6:$O$405,"INVALID",'Istoric_Nativ'!$D$6:$D$405,"*")+COUNTIFS('Istoric_Nativ'!$B$6:$B$405,E1040,'Istoric_Nativ'!$C$6:$C$405,F1040,'Istoric_Nativ'!$F$6:$F$405,G1040,'Istoric_Nativ'!$D$6:$D$405,"&lt;"&amp;J1040,'Istoric_Nativ'!$O$6:$O$405,"SOURCE CONFLICT"))</x:f>
        <x:v>0</x:v>
      </x:c>
      <x:c r="T1040" s="2" t="str">
        <x:f>IF(B1040="","",IF(R1040&lt;&gt;"CLOSED",R1040,IF(S1040&gt;0,"NATIVE INPUT ISSUE",IF(M1040=0,"NO HISTORY",IF(M1040&lt;P1040,"SMALL SAMPLE","DERIVED")))))</x:f>
      </x:c>
      <x:c r="U1040" s="2" t="str">
        <x:f>IF(B1040="","","NativeTable; "&amp;E1040&amp;"; "&amp;F1040&amp;"; "&amp;G1040&amp;"; "&amp;H1040&amp;"; before "&amp;TEXT(J1040,"yyyy-mm-dd")&amp;IF(I1040="RECENT","; from "&amp;TEXT(L1040,"yyyy-mm-dd"),""))</x:f>
      </x:c>
    </x:row>
    <x:row r="1041" ht="21" customHeight="1">
      <x:c r="A1041" s="2" t="n">
        <x:v>87</x:v>
      </x:c>
      <x:c r="B1041" s="2" t="str">
        <x:f>IF('Input_Meci'!A92="","",'Input_Meci'!A92)</x:f>
      </x:c>
      <x:c r="C1041" s="2" t="str">
        <x:v>A</x:v>
      </x:c>
      <x:c r="D1041" s="2" t="str">
        <x:v>CURRENT</x:v>
      </x:c>
      <x:c r="E1041" s="2" t="str">
        <x:f>IF(B1041="","",'Input_Meci'!B92)</x:f>
      </x:c>
      <x:c r="F1041" s="2" t="str">
        <x:f>IF(B1041="","",IF('Input_Meci'!C92="","",'Input_Meci'!C92))</x:f>
      </x:c>
      <x:c r="G1041" s="2" t="str">
        <x:f>IF(B1041="","",'Input_Meci'!E92)</x:f>
      </x:c>
      <x:c r="H1041" s="2" t="str">
        <x:v>ANY</x:v>
      </x:c>
      <x:c r="I1041" s="2" t="str">
        <x:v>SEASON</x:v>
      </x:c>
      <x:c r="J1041" s="9" t="n">
        <x:f>IF(AND(B1041&lt;&gt;"",ISNUMBER('Input_Meci'!G92)),INT('Input_Meci'!G92),0)</x:f>
        <x:v>0</x:v>
      </x:c>
      <x:c r="K1041" s="2" t="n">
        <x:f>IF(OR(B1041="",F1041=""),0,IF(H1041="HOME",COUNTIFS('Istoric_Nativ'!$B$6:$B$405,E1041,'Istoric_Nativ'!$C$6:$C$405,F1041,'Istoric_Nativ'!$E$6:$E$405,G1041,'Istoric_Nativ'!$D$6:$D$405,"&lt;"&amp;J1041,'Istoric_Nativ'!$P$6:$P$405,1),IF(H1041="AWAY",COUNTIFS('Istoric_Nativ'!$B$6:$B$405,E1041,'Istoric_Nativ'!$C$6:$C$405,F1041,'Istoric_Nativ'!$F$6:$F$405,G1041,'Istoric_Nativ'!$D$6:$D$405,"&lt;"&amp;J1041,'Istoric_Nativ'!$P$6:$P$405,1),COUNTIFS('Istoric_Nativ'!$B$6:$B$405,E1041,'Istoric_Nativ'!$C$6:$C$405,F1041,'Istoric_Nativ'!$E$6:$E$405,G1041,'Istoric_Nativ'!$D$6:$D$405,"&lt;"&amp;J1041,'Istoric_Nativ'!$P$6:$P$405,1)+COUNTIFS('Istoric_Nativ'!$B$6:$B$405,E1041,'Istoric_Nativ'!$C$6:$C$405,F1041,'Istoric_Nativ'!$F$6:$F$405,G1041,'Istoric_Nativ'!$D$6:$D$405,"&lt;"&amp;J1041,'Istoric_Nativ'!$P$6:$P$405,1))))</x:f>
        <x:v>0</x:v>
      </x:c>
      <x:c r="L1041" s="17" t="n">
        <x:f>IF(AND(B1041&lt;&gt;"",I1041="RECENT",K1041&gt;0),LARGE(_xlfn._xlws.FILTER('Istoric_Nativ'!$D$6:$D$405,('Istoric_Nativ'!$B$6:$B$405=E1041)*('Istoric_Nativ'!$C$6:$C$405=F1041)*('Istoric_Nativ'!$P$6:$P$405=1)*('Istoric_Nativ'!$D$6:$D$405&lt;J1041)*((('Istoric_Nativ'!$E$6:$E$405=G1041)+('Istoric_Nativ'!$F$6:$F$405=G1041))&gt;0)),MIN('Config_v6'!$B$54,K1041)),0)</x:f>
        <x:v>0</x:v>
      </x:c>
      <x:c r="M1041" s="2" t="n">
        <x:f>IF(OR(B1041="",F1041=""),0,IF(H1041="HOME",COUNTIFS('Istoric_Nativ'!$B$6:$B$405,E1041,'Istoric_Nativ'!$C$6:$C$405,F1041,'Istoric_Nativ'!$E$6:$E$405,G1041,'Istoric_Nativ'!$D$6:$D$405,"&lt;"&amp;J1041,'Istoric_Nativ'!$P$6:$P$405,1,'Istoric_Nativ'!$D$6:$D$405,"&gt;="&amp;L1041),IF(H1041="AWAY",COUNTIFS('Istoric_Nativ'!$B$6:$B$405,E1041,'Istoric_Nativ'!$C$6:$C$405,F1041,'Istoric_Nativ'!$F$6:$F$405,G1041,'Istoric_Nativ'!$D$6:$D$405,"&lt;"&amp;J1041,'Istoric_Nativ'!$P$6:$P$405,1,'Istoric_Nativ'!$D$6:$D$405,"&gt;="&amp;L1041),COUNTIFS('Istoric_Nativ'!$B$6:$B$405,E1041,'Istoric_Nativ'!$C$6:$C$405,F1041,'Istoric_Nativ'!$E$6:$E$405,G1041,'Istoric_Nativ'!$D$6:$D$405,"&lt;"&amp;J1041,'Istoric_Nativ'!$P$6:$P$405,1,'Istoric_Nativ'!$D$6:$D$405,"&gt;="&amp;L1041)+COUNTIFS('Istoric_Nativ'!$B$6:$B$405,E1041,'Istoric_Nativ'!$C$6:$C$405,F1041,'Istoric_Nativ'!$F$6:$F$405,G1041,'Istoric_Nativ'!$D$6:$D$405,"&lt;"&amp;J1041,'Istoric_Nativ'!$P$6:$P$405,1,'Istoric_Nativ'!$D$6:$D$405,"&gt;="&amp;L1041))))</x:f>
        <x:v>0</x:v>
      </x:c>
      <x:c r="N1041" s="11" t="str">
        <x:f>IF(M1041=0,"",IF(H1041="HOME",SUMIFS('Istoric_Nativ'!$G$6:$G$405,'Istoric_Nativ'!$B$6:$B$405,E1041,'Istoric_Nativ'!$C$6:$C$405,F1041,'Istoric_Nativ'!$E$6:$E$405,G1041,'Istoric_Nativ'!$D$6:$D$405,"&lt;"&amp;J1041,'Istoric_Nativ'!$P$6:$P$405,1,'Istoric_Nativ'!$D$6:$D$405,"&gt;="&amp;L1041),IF(H1041="AWAY",SUMIFS('Istoric_Nativ'!$H$6:$H$405,'Istoric_Nativ'!$B$6:$B$405,E1041,'Istoric_Nativ'!$C$6:$C$405,F1041,'Istoric_Nativ'!$F$6:$F$405,G1041,'Istoric_Nativ'!$D$6:$D$405,"&lt;"&amp;J1041,'Istoric_Nativ'!$P$6:$P$405,1,'Istoric_Nativ'!$D$6:$D$405,"&gt;="&amp;L1041),SUMIFS('Istoric_Nativ'!$G$6:$G$405,'Istoric_Nativ'!$B$6:$B$405,E1041,'Istoric_Nativ'!$C$6:$C$405,F1041,'Istoric_Nativ'!$E$6:$E$405,G1041,'Istoric_Nativ'!$D$6:$D$405,"&lt;"&amp;J1041,'Istoric_Nativ'!$P$6:$P$405,1,'Istoric_Nativ'!$D$6:$D$405,"&gt;="&amp;L1041)+SUMIFS('Istoric_Nativ'!$H$6:$H$405,'Istoric_Nativ'!$B$6:$B$405,E1041,'Istoric_Nativ'!$C$6:$C$405,F1041,'Istoric_Nativ'!$F$6:$F$405,G1041,'Istoric_Nativ'!$D$6:$D$405,"&lt;"&amp;J1041,'Istoric_Nativ'!$P$6:$P$405,1,'Istoric_Nativ'!$D$6:$D$405,"&gt;="&amp;L1041)))/M1041)</x:f>
      </x:c>
      <x:c r="O1041" s="11" t="str">
        <x:f>IF(M1041=0,"",IF(H1041="HOME",SUMIFS('Istoric_Nativ'!$H$6:$H$405,'Istoric_Nativ'!$B$6:$B$405,E1041,'Istoric_Nativ'!$C$6:$C$405,F1041,'Istoric_Nativ'!$E$6:$E$405,G1041,'Istoric_Nativ'!$D$6:$D$405,"&lt;"&amp;J1041,'Istoric_Nativ'!$P$6:$P$405,1,'Istoric_Nativ'!$D$6:$D$405,"&gt;="&amp;L1041),IF(H1041="AWAY",SUMIFS('Istoric_Nativ'!$G$6:$G$405,'Istoric_Nativ'!$B$6:$B$405,E1041,'Istoric_Nativ'!$C$6:$C$405,F1041,'Istoric_Nativ'!$F$6:$F$405,G1041,'Istoric_Nativ'!$D$6:$D$405,"&lt;"&amp;J1041,'Istoric_Nativ'!$P$6:$P$405,1,'Istoric_Nativ'!$D$6:$D$405,"&gt;="&amp;L1041),SUMIFS('Istoric_Nativ'!$H$6:$H$405,'Istoric_Nativ'!$B$6:$B$405,E1041,'Istoric_Nativ'!$C$6:$C$405,F1041,'Istoric_Nativ'!$E$6:$E$405,G1041,'Istoric_Nativ'!$D$6:$D$405,"&lt;"&amp;J1041,'Istoric_Nativ'!$P$6:$P$405,1,'Istoric_Nativ'!$D$6:$D$405,"&gt;="&amp;L1041)+SUMIFS('Istoric_Nativ'!$G$6:$G$405,'Istoric_Nativ'!$B$6:$B$405,E1041,'Istoric_Nativ'!$C$6:$C$405,F1041,'Istoric_Nativ'!$F$6:$F$405,G1041,'Istoric_Nativ'!$D$6:$D$405,"&lt;"&amp;J1041,'Istoric_Nativ'!$P$6:$P$405,1,'Istoric_Nativ'!$D$6:$D$405,"&gt;="&amp;L1041)))/M1041)</x:f>
      </x:c>
      <x:c r="P1041" s="2" t="n">
        <x:f>'Config_v6'!$B$7</x:f>
        <x:v>10</x:v>
      </x:c>
      <x:c r="Q1041" s="2" t="n">
        <x:f>IF(OR(B1041="",F1041=""),0,IFERROR(MATCH(E1041&amp;"|"&amp;F1041,SourceTable[Source_Key],0),0))</x:f>
        <x:v>0</x:v>
      </x:c>
      <x:c r="R1041" s="2" t="str">
        <x:f>IF(B1041="","",IF(F1041="","UNUSED",IF(Q1041=0,"NOT CHECKED",IF(COUNTIF(SourceTable[Source_Key],E1041&amp;"|"&amp;F1041)&lt;&gt;1,"SOURCE CONFLICT",IF(NOT(OR(INDEX(SourceTable[Status],MAX(1,Q1041))="IMPORTED",INDEX(SourceTable[Status],MAX(1,Q1041))="PARTIAL",INDEX(SourceTable[Status],MAX(1,Q1041))="SOURCE CONFLICT")),"ACCESS BLOCKED",IF(OR(INDEX(SourceTable[Coverage],Q1041)&lt;&gt;"FULL SEASON EXPORT",INDEX(SourceTable[URL],Q1041)="",INDEX(SourceTable[SHA256],Q1041)=""),"EVIDENCE INCOMPLETE",IF(AND('Input_Meci'!H92="LIVE",INDEX(SourceTable[Retrieved_UTC],Q1041)&gt;'Input_Meci'!G92),"POST CUTOFF","CLOSED")))))))</x:f>
      </x:c>
      <x:c r="S1041" s="2" t="n">
        <x:f>IF(OR(B1041="",F1041=""),0,COUNTIFS('Istoric_Nativ'!$B$6:$B$405,E1041,'Istoric_Nativ'!$C$6:$C$405,F1041,'Istoric_Nativ'!$E$6:$E$405,G1041,'Istoric_Nativ'!$D$6:$D$405,"&lt;"&amp;J1041,'Istoric_Nativ'!$O$6:$O$405,"INVALID")+COUNTIFS('Istoric_Nativ'!$B$6:$B$405,E1041,'Istoric_Nativ'!$C$6:$C$405,F1041,'Istoric_Nativ'!$E$6:$E$405,G1041,'Istoric_Nativ'!$O$6:$O$405,"INVALID",'Istoric_Nativ'!$D$6:$D$405,"*")+COUNTIFS('Istoric_Nativ'!$B$6:$B$405,E1041,'Istoric_Nativ'!$C$6:$C$405,F1041,'Istoric_Nativ'!$E$6:$E$405,G1041,'Istoric_Nativ'!$D$6:$D$405,"&lt;"&amp;J1041,'Istoric_Nativ'!$O$6:$O$405,"SOURCE CONFLICT")+COUNTIFS('Istoric_Nativ'!$B$6:$B$405,E1041,'Istoric_Nativ'!$C$6:$C$405,F1041,'Istoric_Nativ'!$F$6:$F$405,G1041,'Istoric_Nativ'!$D$6:$D$405,"&lt;"&amp;J1041,'Istoric_Nativ'!$O$6:$O$405,"INVALID")+COUNTIFS('Istoric_Nativ'!$B$6:$B$405,E1041,'Istoric_Nativ'!$C$6:$C$405,F1041,'Istoric_Nativ'!$F$6:$F$405,G1041,'Istoric_Nativ'!$O$6:$O$405,"INVALID",'Istoric_Nativ'!$D$6:$D$405,"*")+COUNTIFS('Istoric_Nativ'!$B$6:$B$405,E1041,'Istoric_Nativ'!$C$6:$C$405,F1041,'Istoric_Nativ'!$F$6:$F$405,G1041,'Istoric_Nativ'!$D$6:$D$405,"&lt;"&amp;J1041,'Istoric_Nativ'!$O$6:$O$405,"SOURCE CONFLICT"))</x:f>
        <x:v>0</x:v>
      </x:c>
      <x:c r="T1041" s="2" t="str">
        <x:f>IF(B1041="","",IF(R1041&lt;&gt;"CLOSED",R1041,IF(S1041&gt;0,"NATIVE INPUT ISSUE",IF(M1041=0,"NO HISTORY",IF(M1041&lt;P1041,"SMALL SAMPLE","DERIVED")))))</x:f>
      </x:c>
      <x:c r="U1041" s="2" t="str">
        <x:f>IF(B1041="","","NativeTable; "&amp;E1041&amp;"; "&amp;F1041&amp;"; "&amp;G1041&amp;"; "&amp;H1041&amp;"; before "&amp;TEXT(J1041,"yyyy-mm-dd")&amp;IF(I1041="RECENT","; from "&amp;TEXT(L1041,"yyyy-mm-dd"),""))</x:f>
      </x:c>
    </x:row>
    <x:row r="1042" ht="21" customHeight="1">
      <x:c r="A1042" s="2" t="n">
        <x:v>87</x:v>
      </x:c>
      <x:c r="B1042" s="2" t="str">
        <x:f>IF('Input_Meci'!A92="","",'Input_Meci'!A92)</x:f>
      </x:c>
      <x:c r="C1042" s="2" t="str">
        <x:v>A</x:v>
      </x:c>
      <x:c r="D1042" s="2" t="str">
        <x:v>CURRENT</x:v>
      </x:c>
      <x:c r="E1042" s="2" t="str">
        <x:f>IF(B1042="","",'Input_Meci'!B92)</x:f>
      </x:c>
      <x:c r="F1042" s="2" t="str">
        <x:f>IF(B1042="","",IF('Input_Meci'!C92="","",'Input_Meci'!C92))</x:f>
      </x:c>
      <x:c r="G1042" s="2" t="str">
        <x:f>IF(B1042="","",'Input_Meci'!E92)</x:f>
      </x:c>
      <x:c r="H1042" s="2" t="str">
        <x:v>AWAY</x:v>
      </x:c>
      <x:c r="I1042" s="2" t="str">
        <x:v>HA</x:v>
      </x:c>
      <x:c r="J1042" s="9" t="n">
        <x:f>IF(AND(B1042&lt;&gt;"",ISNUMBER('Input_Meci'!G92)),INT('Input_Meci'!G92),0)</x:f>
        <x:v>0</x:v>
      </x:c>
      <x:c r="K1042" s="2" t="n">
        <x:f>IF(OR(B1042="",F1042=""),0,IF(H1042="HOME",COUNTIFS('Istoric_Nativ'!$B$6:$B$405,E1042,'Istoric_Nativ'!$C$6:$C$405,F1042,'Istoric_Nativ'!$E$6:$E$405,G1042,'Istoric_Nativ'!$D$6:$D$405,"&lt;"&amp;J1042,'Istoric_Nativ'!$P$6:$P$405,1),IF(H1042="AWAY",COUNTIFS('Istoric_Nativ'!$B$6:$B$405,E1042,'Istoric_Nativ'!$C$6:$C$405,F1042,'Istoric_Nativ'!$F$6:$F$405,G1042,'Istoric_Nativ'!$D$6:$D$405,"&lt;"&amp;J1042,'Istoric_Nativ'!$P$6:$P$405,1),COUNTIFS('Istoric_Nativ'!$B$6:$B$405,E1042,'Istoric_Nativ'!$C$6:$C$405,F1042,'Istoric_Nativ'!$E$6:$E$405,G1042,'Istoric_Nativ'!$D$6:$D$405,"&lt;"&amp;J1042,'Istoric_Nativ'!$P$6:$P$405,1)+COUNTIFS('Istoric_Nativ'!$B$6:$B$405,E1042,'Istoric_Nativ'!$C$6:$C$405,F1042,'Istoric_Nativ'!$F$6:$F$405,G1042,'Istoric_Nativ'!$D$6:$D$405,"&lt;"&amp;J1042,'Istoric_Nativ'!$P$6:$P$405,1))))</x:f>
        <x:v>0</x:v>
      </x:c>
      <x:c r="L1042" s="17" t="n">
        <x:f>IF(AND(B1042&lt;&gt;"",I1042="RECENT",K1042&gt;0),LARGE(_xlfn._xlws.FILTER('Istoric_Nativ'!$D$6:$D$405,('Istoric_Nativ'!$B$6:$B$405=E1042)*('Istoric_Nativ'!$C$6:$C$405=F1042)*('Istoric_Nativ'!$P$6:$P$405=1)*('Istoric_Nativ'!$D$6:$D$405&lt;J1042)*((('Istoric_Nativ'!$E$6:$E$405=G1042)+('Istoric_Nativ'!$F$6:$F$405=G1042))&gt;0)),MIN('Config_v6'!$B$54,K1042)),0)</x:f>
        <x:v>0</x:v>
      </x:c>
      <x:c r="M1042" s="2" t="n">
        <x:f>IF(OR(B1042="",F1042=""),0,IF(H1042="HOME",COUNTIFS('Istoric_Nativ'!$B$6:$B$405,E1042,'Istoric_Nativ'!$C$6:$C$405,F1042,'Istoric_Nativ'!$E$6:$E$405,G1042,'Istoric_Nativ'!$D$6:$D$405,"&lt;"&amp;J1042,'Istoric_Nativ'!$P$6:$P$405,1,'Istoric_Nativ'!$D$6:$D$405,"&gt;="&amp;L1042),IF(H1042="AWAY",COUNTIFS('Istoric_Nativ'!$B$6:$B$405,E1042,'Istoric_Nativ'!$C$6:$C$405,F1042,'Istoric_Nativ'!$F$6:$F$405,G1042,'Istoric_Nativ'!$D$6:$D$405,"&lt;"&amp;J1042,'Istoric_Nativ'!$P$6:$P$405,1,'Istoric_Nativ'!$D$6:$D$405,"&gt;="&amp;L1042),COUNTIFS('Istoric_Nativ'!$B$6:$B$405,E1042,'Istoric_Nativ'!$C$6:$C$405,F1042,'Istoric_Nativ'!$E$6:$E$405,G1042,'Istoric_Nativ'!$D$6:$D$405,"&lt;"&amp;J1042,'Istoric_Nativ'!$P$6:$P$405,1,'Istoric_Nativ'!$D$6:$D$405,"&gt;="&amp;L1042)+COUNTIFS('Istoric_Nativ'!$B$6:$B$405,E1042,'Istoric_Nativ'!$C$6:$C$405,F1042,'Istoric_Nativ'!$F$6:$F$405,G1042,'Istoric_Nativ'!$D$6:$D$405,"&lt;"&amp;J1042,'Istoric_Nativ'!$P$6:$P$405,1,'Istoric_Nativ'!$D$6:$D$405,"&gt;="&amp;L1042))))</x:f>
        <x:v>0</x:v>
      </x:c>
      <x:c r="N1042" s="11" t="str">
        <x:f>IF(M1042=0,"",IF(H1042="HOME",SUMIFS('Istoric_Nativ'!$G$6:$G$405,'Istoric_Nativ'!$B$6:$B$405,E1042,'Istoric_Nativ'!$C$6:$C$405,F1042,'Istoric_Nativ'!$E$6:$E$405,G1042,'Istoric_Nativ'!$D$6:$D$405,"&lt;"&amp;J1042,'Istoric_Nativ'!$P$6:$P$405,1,'Istoric_Nativ'!$D$6:$D$405,"&gt;="&amp;L1042),IF(H1042="AWAY",SUMIFS('Istoric_Nativ'!$H$6:$H$405,'Istoric_Nativ'!$B$6:$B$405,E1042,'Istoric_Nativ'!$C$6:$C$405,F1042,'Istoric_Nativ'!$F$6:$F$405,G1042,'Istoric_Nativ'!$D$6:$D$405,"&lt;"&amp;J1042,'Istoric_Nativ'!$P$6:$P$405,1,'Istoric_Nativ'!$D$6:$D$405,"&gt;="&amp;L1042),SUMIFS('Istoric_Nativ'!$G$6:$G$405,'Istoric_Nativ'!$B$6:$B$405,E1042,'Istoric_Nativ'!$C$6:$C$405,F1042,'Istoric_Nativ'!$E$6:$E$405,G1042,'Istoric_Nativ'!$D$6:$D$405,"&lt;"&amp;J1042,'Istoric_Nativ'!$P$6:$P$405,1,'Istoric_Nativ'!$D$6:$D$405,"&gt;="&amp;L1042)+SUMIFS('Istoric_Nativ'!$H$6:$H$405,'Istoric_Nativ'!$B$6:$B$405,E1042,'Istoric_Nativ'!$C$6:$C$405,F1042,'Istoric_Nativ'!$F$6:$F$405,G1042,'Istoric_Nativ'!$D$6:$D$405,"&lt;"&amp;J1042,'Istoric_Nativ'!$P$6:$P$405,1,'Istoric_Nativ'!$D$6:$D$405,"&gt;="&amp;L1042)))/M1042)</x:f>
      </x:c>
      <x:c r="O1042" s="11" t="str">
        <x:f>IF(M1042=0,"",IF(H1042="HOME",SUMIFS('Istoric_Nativ'!$H$6:$H$405,'Istoric_Nativ'!$B$6:$B$405,E1042,'Istoric_Nativ'!$C$6:$C$405,F1042,'Istoric_Nativ'!$E$6:$E$405,G1042,'Istoric_Nativ'!$D$6:$D$405,"&lt;"&amp;J1042,'Istoric_Nativ'!$P$6:$P$405,1,'Istoric_Nativ'!$D$6:$D$405,"&gt;="&amp;L1042),IF(H1042="AWAY",SUMIFS('Istoric_Nativ'!$G$6:$G$405,'Istoric_Nativ'!$B$6:$B$405,E1042,'Istoric_Nativ'!$C$6:$C$405,F1042,'Istoric_Nativ'!$F$6:$F$405,G1042,'Istoric_Nativ'!$D$6:$D$405,"&lt;"&amp;J1042,'Istoric_Nativ'!$P$6:$P$405,1,'Istoric_Nativ'!$D$6:$D$405,"&gt;="&amp;L1042),SUMIFS('Istoric_Nativ'!$H$6:$H$405,'Istoric_Nativ'!$B$6:$B$405,E1042,'Istoric_Nativ'!$C$6:$C$405,F1042,'Istoric_Nativ'!$E$6:$E$405,G1042,'Istoric_Nativ'!$D$6:$D$405,"&lt;"&amp;J1042,'Istoric_Nativ'!$P$6:$P$405,1,'Istoric_Nativ'!$D$6:$D$405,"&gt;="&amp;L1042)+SUMIFS('Istoric_Nativ'!$G$6:$G$405,'Istoric_Nativ'!$B$6:$B$405,E1042,'Istoric_Nativ'!$C$6:$C$405,F1042,'Istoric_Nativ'!$F$6:$F$405,G1042,'Istoric_Nativ'!$D$6:$D$405,"&lt;"&amp;J1042,'Istoric_Nativ'!$P$6:$P$405,1,'Istoric_Nativ'!$D$6:$D$405,"&gt;="&amp;L1042)))/M1042)</x:f>
      </x:c>
      <x:c r="P1042" s="2" t="n">
        <x:f>'Config_v6'!$B$8</x:f>
        <x:v>5</x:v>
      </x:c>
      <x:c r="Q1042" s="2" t="n">
        <x:f>IF(OR(B1042="",F1042=""),0,IFERROR(MATCH(E1042&amp;"|"&amp;F1042,SourceTable[Source_Key],0),0))</x:f>
        <x:v>0</x:v>
      </x:c>
      <x:c r="R1042" s="2" t="str">
        <x:f>IF(B1042="","",IF(F1042="","UNUSED",IF(Q1042=0,"NOT CHECKED",IF(COUNTIF(SourceTable[Source_Key],E1042&amp;"|"&amp;F1042)&lt;&gt;1,"SOURCE CONFLICT",IF(NOT(OR(INDEX(SourceTable[Status],MAX(1,Q1042))="IMPORTED",INDEX(SourceTable[Status],MAX(1,Q1042))="PARTIAL",INDEX(SourceTable[Status],MAX(1,Q1042))="SOURCE CONFLICT")),"ACCESS BLOCKED",IF(OR(INDEX(SourceTable[Coverage],Q1042)&lt;&gt;"FULL SEASON EXPORT",INDEX(SourceTable[URL],Q1042)="",INDEX(SourceTable[SHA256],Q1042)=""),"EVIDENCE INCOMPLETE",IF(AND('Input_Meci'!H92="LIVE",INDEX(SourceTable[Retrieved_UTC],Q1042)&gt;'Input_Meci'!G92),"POST CUTOFF","CLOSED")))))))</x:f>
      </x:c>
      <x:c r="S1042" s="2" t="n">
        <x:f>IF(OR(B1042="",F1042=""),0,COUNTIFS('Istoric_Nativ'!$B$6:$B$405,E1042,'Istoric_Nativ'!$C$6:$C$405,F1042,'Istoric_Nativ'!$E$6:$E$405,G1042,'Istoric_Nativ'!$D$6:$D$405,"&lt;"&amp;J1042,'Istoric_Nativ'!$O$6:$O$405,"INVALID")+COUNTIFS('Istoric_Nativ'!$B$6:$B$405,E1042,'Istoric_Nativ'!$C$6:$C$405,F1042,'Istoric_Nativ'!$E$6:$E$405,G1042,'Istoric_Nativ'!$O$6:$O$405,"INVALID",'Istoric_Nativ'!$D$6:$D$405,"*")+COUNTIFS('Istoric_Nativ'!$B$6:$B$405,E1042,'Istoric_Nativ'!$C$6:$C$405,F1042,'Istoric_Nativ'!$E$6:$E$405,G1042,'Istoric_Nativ'!$D$6:$D$405,"&lt;"&amp;J1042,'Istoric_Nativ'!$O$6:$O$405,"SOURCE CONFLICT")+COUNTIFS('Istoric_Nativ'!$B$6:$B$405,E1042,'Istoric_Nativ'!$C$6:$C$405,F1042,'Istoric_Nativ'!$F$6:$F$405,G1042,'Istoric_Nativ'!$D$6:$D$405,"&lt;"&amp;J1042,'Istoric_Nativ'!$O$6:$O$405,"INVALID")+COUNTIFS('Istoric_Nativ'!$B$6:$B$405,E1042,'Istoric_Nativ'!$C$6:$C$405,F1042,'Istoric_Nativ'!$F$6:$F$405,G1042,'Istoric_Nativ'!$O$6:$O$405,"INVALID",'Istoric_Nativ'!$D$6:$D$405,"*")+COUNTIFS('Istoric_Nativ'!$B$6:$B$405,E1042,'Istoric_Nativ'!$C$6:$C$405,F1042,'Istoric_Nativ'!$F$6:$F$405,G1042,'Istoric_Nativ'!$D$6:$D$405,"&lt;"&amp;J1042,'Istoric_Nativ'!$O$6:$O$405,"SOURCE CONFLICT"))</x:f>
        <x:v>0</x:v>
      </x:c>
      <x:c r="T1042" s="2" t="str">
        <x:f>IF(B1042="","",IF(R1042&lt;&gt;"CLOSED",R1042,IF(S1042&gt;0,"NATIVE INPUT ISSUE",IF(M1042=0,"NO HISTORY",IF(M1042&lt;P1042,"SMALL SAMPLE","DERIVED")))))</x:f>
      </x:c>
      <x:c r="U1042" s="2" t="str">
        <x:f>IF(B1042="","","NativeTable; "&amp;E1042&amp;"; "&amp;F1042&amp;"; "&amp;G1042&amp;"; "&amp;H1042&amp;"; before "&amp;TEXT(J1042,"yyyy-mm-dd")&amp;IF(I1042="RECENT","; from "&amp;TEXT(L1042,"yyyy-mm-dd"),""))</x:f>
      </x:c>
    </x:row>
    <x:row r="1043" ht="21" customHeight="1">
      <x:c r="A1043" s="2" t="n">
        <x:v>87</x:v>
      </x:c>
      <x:c r="B1043" s="2" t="str">
        <x:f>IF('Input_Meci'!A92="","",'Input_Meci'!A92)</x:f>
      </x:c>
      <x:c r="C1043" s="2" t="str">
        <x:v>A</x:v>
      </x:c>
      <x:c r="D1043" s="2" t="str">
        <x:v>CURRENT</x:v>
      </x:c>
      <x:c r="E1043" s="2" t="str">
        <x:f>IF(B1043="","",'Input_Meci'!B92)</x:f>
      </x:c>
      <x:c r="F1043" s="2" t="str">
        <x:f>IF(B1043="","",IF('Input_Meci'!C92="","",'Input_Meci'!C92))</x:f>
      </x:c>
      <x:c r="G1043" s="2" t="str">
        <x:f>IF(B1043="","",'Input_Meci'!E92)</x:f>
      </x:c>
      <x:c r="H1043" s="2" t="str">
        <x:v>ANY</x:v>
      </x:c>
      <x:c r="I1043" s="2" t="str">
        <x:v>RECENT</x:v>
      </x:c>
      <x:c r="J1043" s="9" t="n">
        <x:f>IF(AND(B1043&lt;&gt;"",ISNUMBER('Input_Meci'!G92)),INT('Input_Meci'!G92),0)</x:f>
        <x:v>0</x:v>
      </x:c>
      <x:c r="K1043" s="2" t="n">
        <x:f>IF(OR(B1043="",F1043=""),0,IF(H1043="HOME",COUNTIFS('Istoric_Nativ'!$B$6:$B$405,E1043,'Istoric_Nativ'!$C$6:$C$405,F1043,'Istoric_Nativ'!$E$6:$E$405,G1043,'Istoric_Nativ'!$D$6:$D$405,"&lt;"&amp;J1043,'Istoric_Nativ'!$P$6:$P$405,1),IF(H1043="AWAY",COUNTIFS('Istoric_Nativ'!$B$6:$B$405,E1043,'Istoric_Nativ'!$C$6:$C$405,F1043,'Istoric_Nativ'!$F$6:$F$405,G1043,'Istoric_Nativ'!$D$6:$D$405,"&lt;"&amp;J1043,'Istoric_Nativ'!$P$6:$P$405,1),COUNTIFS('Istoric_Nativ'!$B$6:$B$405,E1043,'Istoric_Nativ'!$C$6:$C$405,F1043,'Istoric_Nativ'!$E$6:$E$405,G1043,'Istoric_Nativ'!$D$6:$D$405,"&lt;"&amp;J1043,'Istoric_Nativ'!$P$6:$P$405,1)+COUNTIFS('Istoric_Nativ'!$B$6:$B$405,E1043,'Istoric_Nativ'!$C$6:$C$405,F1043,'Istoric_Nativ'!$F$6:$F$405,G1043,'Istoric_Nativ'!$D$6:$D$405,"&lt;"&amp;J1043,'Istoric_Nativ'!$P$6:$P$405,1))))</x:f>
        <x:v>0</x:v>
      </x:c>
      <x:c r="L1043" s="17" t="n">
        <x:f>IF(AND(B1043&lt;&gt;"",I1043="RECENT",K1043&gt;0),LARGE(_xlfn._xlws.FILTER('Istoric_Nativ'!$D$6:$D$405,('Istoric_Nativ'!$B$6:$B$405=E1043)*('Istoric_Nativ'!$C$6:$C$405=F1043)*('Istoric_Nativ'!$P$6:$P$405=1)*('Istoric_Nativ'!$D$6:$D$405&lt;J1043)*((('Istoric_Nativ'!$E$6:$E$405=G1043)+('Istoric_Nativ'!$F$6:$F$405=G1043))&gt;0)),MIN('Config_v6'!$B$54,K1043)),0)</x:f>
        <x:v>0</x:v>
      </x:c>
      <x:c r="M1043" s="2" t="n">
        <x:f>IF(OR(B1043="",F1043=""),0,IF(H1043="HOME",COUNTIFS('Istoric_Nativ'!$B$6:$B$405,E1043,'Istoric_Nativ'!$C$6:$C$405,F1043,'Istoric_Nativ'!$E$6:$E$405,G1043,'Istoric_Nativ'!$D$6:$D$405,"&lt;"&amp;J1043,'Istoric_Nativ'!$P$6:$P$405,1,'Istoric_Nativ'!$D$6:$D$405,"&gt;="&amp;L1043),IF(H1043="AWAY",COUNTIFS('Istoric_Nativ'!$B$6:$B$405,E1043,'Istoric_Nativ'!$C$6:$C$405,F1043,'Istoric_Nativ'!$F$6:$F$405,G1043,'Istoric_Nativ'!$D$6:$D$405,"&lt;"&amp;J1043,'Istoric_Nativ'!$P$6:$P$405,1,'Istoric_Nativ'!$D$6:$D$405,"&gt;="&amp;L1043),COUNTIFS('Istoric_Nativ'!$B$6:$B$405,E1043,'Istoric_Nativ'!$C$6:$C$405,F1043,'Istoric_Nativ'!$E$6:$E$405,G1043,'Istoric_Nativ'!$D$6:$D$405,"&lt;"&amp;J1043,'Istoric_Nativ'!$P$6:$P$405,1,'Istoric_Nativ'!$D$6:$D$405,"&gt;="&amp;L1043)+COUNTIFS('Istoric_Nativ'!$B$6:$B$405,E1043,'Istoric_Nativ'!$C$6:$C$405,F1043,'Istoric_Nativ'!$F$6:$F$405,G1043,'Istoric_Nativ'!$D$6:$D$405,"&lt;"&amp;J1043,'Istoric_Nativ'!$P$6:$P$405,1,'Istoric_Nativ'!$D$6:$D$405,"&gt;="&amp;L1043))))</x:f>
        <x:v>0</x:v>
      </x:c>
      <x:c r="N1043" s="11" t="str">
        <x:f>IF(M1043=0,"",IF(H1043="HOME",SUMIFS('Istoric_Nativ'!$G$6:$G$405,'Istoric_Nativ'!$B$6:$B$405,E1043,'Istoric_Nativ'!$C$6:$C$405,F1043,'Istoric_Nativ'!$E$6:$E$405,G1043,'Istoric_Nativ'!$D$6:$D$405,"&lt;"&amp;J1043,'Istoric_Nativ'!$P$6:$P$405,1,'Istoric_Nativ'!$D$6:$D$405,"&gt;="&amp;L1043),IF(H1043="AWAY",SUMIFS('Istoric_Nativ'!$H$6:$H$405,'Istoric_Nativ'!$B$6:$B$405,E1043,'Istoric_Nativ'!$C$6:$C$405,F1043,'Istoric_Nativ'!$F$6:$F$405,G1043,'Istoric_Nativ'!$D$6:$D$405,"&lt;"&amp;J1043,'Istoric_Nativ'!$P$6:$P$405,1,'Istoric_Nativ'!$D$6:$D$405,"&gt;="&amp;L1043),SUMIFS('Istoric_Nativ'!$G$6:$G$405,'Istoric_Nativ'!$B$6:$B$405,E1043,'Istoric_Nativ'!$C$6:$C$405,F1043,'Istoric_Nativ'!$E$6:$E$405,G1043,'Istoric_Nativ'!$D$6:$D$405,"&lt;"&amp;J1043,'Istoric_Nativ'!$P$6:$P$405,1,'Istoric_Nativ'!$D$6:$D$405,"&gt;="&amp;L1043)+SUMIFS('Istoric_Nativ'!$H$6:$H$405,'Istoric_Nativ'!$B$6:$B$405,E1043,'Istoric_Nativ'!$C$6:$C$405,F1043,'Istoric_Nativ'!$F$6:$F$405,G1043,'Istoric_Nativ'!$D$6:$D$405,"&lt;"&amp;J1043,'Istoric_Nativ'!$P$6:$P$405,1,'Istoric_Nativ'!$D$6:$D$405,"&gt;="&amp;L1043)))/M1043)</x:f>
      </x:c>
      <x:c r="O1043" s="11" t="str">
        <x:f>IF(M1043=0,"",IF(H1043="HOME",SUMIFS('Istoric_Nativ'!$H$6:$H$405,'Istoric_Nativ'!$B$6:$B$405,E1043,'Istoric_Nativ'!$C$6:$C$405,F1043,'Istoric_Nativ'!$E$6:$E$405,G1043,'Istoric_Nativ'!$D$6:$D$405,"&lt;"&amp;J1043,'Istoric_Nativ'!$P$6:$P$405,1,'Istoric_Nativ'!$D$6:$D$405,"&gt;="&amp;L1043),IF(H1043="AWAY",SUMIFS('Istoric_Nativ'!$G$6:$G$405,'Istoric_Nativ'!$B$6:$B$405,E1043,'Istoric_Nativ'!$C$6:$C$405,F1043,'Istoric_Nativ'!$F$6:$F$405,G1043,'Istoric_Nativ'!$D$6:$D$405,"&lt;"&amp;J1043,'Istoric_Nativ'!$P$6:$P$405,1,'Istoric_Nativ'!$D$6:$D$405,"&gt;="&amp;L1043),SUMIFS('Istoric_Nativ'!$H$6:$H$405,'Istoric_Nativ'!$B$6:$B$405,E1043,'Istoric_Nativ'!$C$6:$C$405,F1043,'Istoric_Nativ'!$E$6:$E$405,G1043,'Istoric_Nativ'!$D$6:$D$405,"&lt;"&amp;J1043,'Istoric_Nativ'!$P$6:$P$405,1,'Istoric_Nativ'!$D$6:$D$405,"&gt;="&amp;L1043)+SUMIFS('Istoric_Nativ'!$G$6:$G$405,'Istoric_Nativ'!$B$6:$B$405,E1043,'Istoric_Nativ'!$C$6:$C$405,F1043,'Istoric_Nativ'!$F$6:$F$405,G1043,'Istoric_Nativ'!$D$6:$D$405,"&lt;"&amp;J1043,'Istoric_Nativ'!$P$6:$P$405,1,'Istoric_Nativ'!$D$6:$D$405,"&gt;="&amp;L1043)))/M1043)</x:f>
      </x:c>
      <x:c r="P1043" s="2" t="n">
        <x:f>'Config_v6'!$B$9</x:f>
        <x:v>3</x:v>
      </x:c>
      <x:c r="Q1043" s="2" t="n">
        <x:f>IF(OR(B1043="",F1043=""),0,IFERROR(MATCH(E1043&amp;"|"&amp;F1043,SourceTable[Source_Key],0),0))</x:f>
        <x:v>0</x:v>
      </x:c>
      <x:c r="R1043" s="2" t="str">
        <x:f>IF(B1043="","",IF(F1043="","UNUSED",IF(Q1043=0,"NOT CHECKED",IF(COUNTIF(SourceTable[Source_Key],E1043&amp;"|"&amp;F1043)&lt;&gt;1,"SOURCE CONFLICT",IF(NOT(OR(INDEX(SourceTable[Status],MAX(1,Q1043))="IMPORTED",INDEX(SourceTable[Status],MAX(1,Q1043))="PARTIAL",INDEX(SourceTable[Status],MAX(1,Q1043))="SOURCE CONFLICT")),"ACCESS BLOCKED",IF(OR(INDEX(SourceTable[Coverage],Q1043)&lt;&gt;"FULL SEASON EXPORT",INDEX(SourceTable[URL],Q1043)="",INDEX(SourceTable[SHA256],Q1043)=""),"EVIDENCE INCOMPLETE",IF(AND('Input_Meci'!H92="LIVE",INDEX(SourceTable[Retrieved_UTC],Q1043)&gt;'Input_Meci'!G92),"POST CUTOFF","CLOSED")))))))</x:f>
      </x:c>
      <x:c r="S1043" s="2" t="n">
        <x:f>IF(OR(B1043="",F1043=""),0,COUNTIFS('Istoric_Nativ'!$B$6:$B$405,E1043,'Istoric_Nativ'!$C$6:$C$405,F1043,'Istoric_Nativ'!$E$6:$E$405,G1043,'Istoric_Nativ'!$D$6:$D$405,"&lt;"&amp;J1043,'Istoric_Nativ'!$O$6:$O$405,"INVALID")+COUNTIFS('Istoric_Nativ'!$B$6:$B$405,E1043,'Istoric_Nativ'!$C$6:$C$405,F1043,'Istoric_Nativ'!$E$6:$E$405,G1043,'Istoric_Nativ'!$O$6:$O$405,"INVALID",'Istoric_Nativ'!$D$6:$D$405,"*")+COUNTIFS('Istoric_Nativ'!$B$6:$B$405,E1043,'Istoric_Nativ'!$C$6:$C$405,F1043,'Istoric_Nativ'!$E$6:$E$405,G1043,'Istoric_Nativ'!$D$6:$D$405,"&lt;"&amp;J1043,'Istoric_Nativ'!$O$6:$O$405,"SOURCE CONFLICT")+COUNTIFS('Istoric_Nativ'!$B$6:$B$405,E1043,'Istoric_Nativ'!$C$6:$C$405,F1043,'Istoric_Nativ'!$F$6:$F$405,G1043,'Istoric_Nativ'!$D$6:$D$405,"&lt;"&amp;J1043,'Istoric_Nativ'!$O$6:$O$405,"INVALID")+COUNTIFS('Istoric_Nativ'!$B$6:$B$405,E1043,'Istoric_Nativ'!$C$6:$C$405,F1043,'Istoric_Nativ'!$F$6:$F$405,G1043,'Istoric_Nativ'!$O$6:$O$405,"INVALID",'Istoric_Nativ'!$D$6:$D$405,"*")+COUNTIFS('Istoric_Nativ'!$B$6:$B$405,E1043,'Istoric_Nativ'!$C$6:$C$405,F1043,'Istoric_Nativ'!$F$6:$F$405,G1043,'Istoric_Nativ'!$D$6:$D$405,"&lt;"&amp;J1043,'Istoric_Nativ'!$O$6:$O$405,"SOURCE CONFLICT"))</x:f>
        <x:v>0</x:v>
      </x:c>
      <x:c r="T1043" s="2" t="str">
        <x:f>IF(B1043="","",IF(R1043&lt;&gt;"CLOSED",R1043,IF(S1043&gt;0,"NATIVE INPUT ISSUE",IF(M1043=0,"NO HISTORY",IF(M1043&lt;P1043,"SMALL SAMPLE","DERIVED")))))</x:f>
      </x:c>
      <x:c r="U1043" s="2" t="str">
        <x:f>IF(B1043="","","NativeTable; "&amp;E1043&amp;"; "&amp;F1043&amp;"; "&amp;G1043&amp;"; "&amp;H1043&amp;"; before "&amp;TEXT(J1043,"yyyy-mm-dd")&amp;IF(I1043="RECENT","; from "&amp;TEXT(L1043,"yyyy-mm-dd"),""))</x:f>
      </x:c>
    </x:row>
    <x:row r="1044" ht="21" customHeight="1">
      <x:c r="A1044" s="2" t="n">
        <x:v>87</x:v>
      </x:c>
      <x:c r="B1044" s="2" t="str">
        <x:f>IF('Input_Meci'!A92="","",'Input_Meci'!A92)</x:f>
      </x:c>
      <x:c r="C1044" s="2" t="str">
        <x:v>H</x:v>
      </x:c>
      <x:c r="D1044" s="2" t="str">
        <x:v>PRIOR</x:v>
      </x:c>
      <x:c r="E1044" s="2" t="str">
        <x:f>IF(B1044="","",'Input_Meci'!B92)</x:f>
      </x:c>
      <x:c r="F1044" s="2" t="str">
        <x:f>IF(B1044="","",IF('Input_Meci'!K92="","",'Input_Meci'!K92))</x:f>
      </x:c>
      <x:c r="G1044" s="2" t="str">
        <x:f>IF(B1044="","",'Input_Meci'!D92)</x:f>
      </x:c>
      <x:c r="H1044" s="2" t="str">
        <x:v>ANY</x:v>
      </x:c>
      <x:c r="I1044" s="2" t="str">
        <x:v>SEASON</x:v>
      </x:c>
      <x:c r="J1044" s="9" t="n">
        <x:f>IF(AND(B1044&lt;&gt;"",ISNUMBER('Input_Meci'!G92)),INT('Input_Meci'!G92),0)</x:f>
        <x:v>0</x:v>
      </x:c>
      <x:c r="K1044" s="2" t="n">
        <x:f>IF(OR(B1044="",F1044=""),0,IF(H1044="HOME",COUNTIFS('Istoric_Nativ'!$B$6:$B$405,E1044,'Istoric_Nativ'!$C$6:$C$405,F1044,'Istoric_Nativ'!$E$6:$E$405,G1044,'Istoric_Nativ'!$D$6:$D$405,"&lt;"&amp;J1044,'Istoric_Nativ'!$P$6:$P$405,1),IF(H1044="AWAY",COUNTIFS('Istoric_Nativ'!$B$6:$B$405,E1044,'Istoric_Nativ'!$C$6:$C$405,F1044,'Istoric_Nativ'!$F$6:$F$405,G1044,'Istoric_Nativ'!$D$6:$D$405,"&lt;"&amp;J1044,'Istoric_Nativ'!$P$6:$P$405,1),COUNTIFS('Istoric_Nativ'!$B$6:$B$405,E1044,'Istoric_Nativ'!$C$6:$C$405,F1044,'Istoric_Nativ'!$E$6:$E$405,G1044,'Istoric_Nativ'!$D$6:$D$405,"&lt;"&amp;J1044,'Istoric_Nativ'!$P$6:$P$405,1)+COUNTIFS('Istoric_Nativ'!$B$6:$B$405,E1044,'Istoric_Nativ'!$C$6:$C$405,F1044,'Istoric_Nativ'!$F$6:$F$405,G1044,'Istoric_Nativ'!$D$6:$D$405,"&lt;"&amp;J1044,'Istoric_Nativ'!$P$6:$P$405,1))))</x:f>
        <x:v>0</x:v>
      </x:c>
      <x:c r="L1044" s="17" t="n">
        <x:f>IF(AND(B1044&lt;&gt;"",I1044="RECENT",K1044&gt;0),LARGE(_xlfn._xlws.FILTER('Istoric_Nativ'!$D$6:$D$405,('Istoric_Nativ'!$B$6:$B$405=E1044)*('Istoric_Nativ'!$C$6:$C$405=F1044)*('Istoric_Nativ'!$P$6:$P$405=1)*('Istoric_Nativ'!$D$6:$D$405&lt;J1044)*((('Istoric_Nativ'!$E$6:$E$405=G1044)+('Istoric_Nativ'!$F$6:$F$405=G1044))&gt;0)),MIN('Config_v6'!$B$54,K1044)),0)</x:f>
        <x:v>0</x:v>
      </x:c>
      <x:c r="M1044" s="2" t="n">
        <x:f>IF(OR(B1044="",F1044=""),0,IF(H1044="HOME",COUNTIFS('Istoric_Nativ'!$B$6:$B$405,E1044,'Istoric_Nativ'!$C$6:$C$405,F1044,'Istoric_Nativ'!$E$6:$E$405,G1044,'Istoric_Nativ'!$D$6:$D$405,"&lt;"&amp;J1044,'Istoric_Nativ'!$P$6:$P$405,1,'Istoric_Nativ'!$D$6:$D$405,"&gt;="&amp;L1044),IF(H1044="AWAY",COUNTIFS('Istoric_Nativ'!$B$6:$B$405,E1044,'Istoric_Nativ'!$C$6:$C$405,F1044,'Istoric_Nativ'!$F$6:$F$405,G1044,'Istoric_Nativ'!$D$6:$D$405,"&lt;"&amp;J1044,'Istoric_Nativ'!$P$6:$P$405,1,'Istoric_Nativ'!$D$6:$D$405,"&gt;="&amp;L1044),COUNTIFS('Istoric_Nativ'!$B$6:$B$405,E1044,'Istoric_Nativ'!$C$6:$C$405,F1044,'Istoric_Nativ'!$E$6:$E$405,G1044,'Istoric_Nativ'!$D$6:$D$405,"&lt;"&amp;J1044,'Istoric_Nativ'!$P$6:$P$405,1,'Istoric_Nativ'!$D$6:$D$405,"&gt;="&amp;L1044)+COUNTIFS('Istoric_Nativ'!$B$6:$B$405,E1044,'Istoric_Nativ'!$C$6:$C$405,F1044,'Istoric_Nativ'!$F$6:$F$405,G1044,'Istoric_Nativ'!$D$6:$D$405,"&lt;"&amp;J1044,'Istoric_Nativ'!$P$6:$P$405,1,'Istoric_Nativ'!$D$6:$D$405,"&gt;="&amp;L1044))))</x:f>
        <x:v>0</x:v>
      </x:c>
      <x:c r="N1044" s="11" t="str">
        <x:f>IF(M1044=0,"",IF(H1044="HOME",SUMIFS('Istoric_Nativ'!$G$6:$G$405,'Istoric_Nativ'!$B$6:$B$405,E1044,'Istoric_Nativ'!$C$6:$C$405,F1044,'Istoric_Nativ'!$E$6:$E$405,G1044,'Istoric_Nativ'!$D$6:$D$405,"&lt;"&amp;J1044,'Istoric_Nativ'!$P$6:$P$405,1,'Istoric_Nativ'!$D$6:$D$405,"&gt;="&amp;L1044),IF(H1044="AWAY",SUMIFS('Istoric_Nativ'!$H$6:$H$405,'Istoric_Nativ'!$B$6:$B$405,E1044,'Istoric_Nativ'!$C$6:$C$405,F1044,'Istoric_Nativ'!$F$6:$F$405,G1044,'Istoric_Nativ'!$D$6:$D$405,"&lt;"&amp;J1044,'Istoric_Nativ'!$P$6:$P$405,1,'Istoric_Nativ'!$D$6:$D$405,"&gt;="&amp;L1044),SUMIFS('Istoric_Nativ'!$G$6:$G$405,'Istoric_Nativ'!$B$6:$B$405,E1044,'Istoric_Nativ'!$C$6:$C$405,F1044,'Istoric_Nativ'!$E$6:$E$405,G1044,'Istoric_Nativ'!$D$6:$D$405,"&lt;"&amp;J1044,'Istoric_Nativ'!$P$6:$P$405,1,'Istoric_Nativ'!$D$6:$D$405,"&gt;="&amp;L1044)+SUMIFS('Istoric_Nativ'!$H$6:$H$405,'Istoric_Nativ'!$B$6:$B$405,E1044,'Istoric_Nativ'!$C$6:$C$405,F1044,'Istoric_Nativ'!$F$6:$F$405,G1044,'Istoric_Nativ'!$D$6:$D$405,"&lt;"&amp;J1044,'Istoric_Nativ'!$P$6:$P$405,1,'Istoric_Nativ'!$D$6:$D$405,"&gt;="&amp;L1044)))/M1044)</x:f>
      </x:c>
      <x:c r="O1044" s="11" t="str">
        <x:f>IF(M1044=0,"",IF(H1044="HOME",SUMIFS('Istoric_Nativ'!$H$6:$H$405,'Istoric_Nativ'!$B$6:$B$405,E1044,'Istoric_Nativ'!$C$6:$C$405,F1044,'Istoric_Nativ'!$E$6:$E$405,G1044,'Istoric_Nativ'!$D$6:$D$405,"&lt;"&amp;J1044,'Istoric_Nativ'!$P$6:$P$405,1,'Istoric_Nativ'!$D$6:$D$405,"&gt;="&amp;L1044),IF(H1044="AWAY",SUMIFS('Istoric_Nativ'!$G$6:$G$405,'Istoric_Nativ'!$B$6:$B$405,E1044,'Istoric_Nativ'!$C$6:$C$405,F1044,'Istoric_Nativ'!$F$6:$F$405,G1044,'Istoric_Nativ'!$D$6:$D$405,"&lt;"&amp;J1044,'Istoric_Nativ'!$P$6:$P$405,1,'Istoric_Nativ'!$D$6:$D$405,"&gt;="&amp;L1044),SUMIFS('Istoric_Nativ'!$H$6:$H$405,'Istoric_Nativ'!$B$6:$B$405,E1044,'Istoric_Nativ'!$C$6:$C$405,F1044,'Istoric_Nativ'!$E$6:$E$405,G1044,'Istoric_Nativ'!$D$6:$D$405,"&lt;"&amp;J1044,'Istoric_Nativ'!$P$6:$P$405,1,'Istoric_Nativ'!$D$6:$D$405,"&gt;="&amp;L1044)+SUMIFS('Istoric_Nativ'!$G$6:$G$405,'Istoric_Nativ'!$B$6:$B$405,E1044,'Istoric_Nativ'!$C$6:$C$405,F1044,'Istoric_Nativ'!$F$6:$F$405,G1044,'Istoric_Nativ'!$D$6:$D$405,"&lt;"&amp;J1044,'Istoric_Nativ'!$P$6:$P$405,1,'Istoric_Nativ'!$D$6:$D$405,"&gt;="&amp;L1044)))/M1044)</x:f>
      </x:c>
      <x:c r="P1044" s="2" t="n">
        <x:f>'Config_v6'!$B$7</x:f>
        <x:v>10</x:v>
      </x:c>
      <x:c r="Q1044" s="2" t="n">
        <x:f>IF(OR(B1044="",F1044=""),0,IFERROR(MATCH(E1044&amp;"|"&amp;F1044,SourceTable[Source_Key],0),0))</x:f>
        <x:v>0</x:v>
      </x:c>
      <x:c r="R1044" s="2" t="str">
        <x:f>IF(B1044="","",IF(F1044="","UNUSED",IF(Q1044=0,"NOT CHECKED",IF(COUNTIF(SourceTable[Source_Key],E1044&amp;"|"&amp;F1044)&lt;&gt;1,"SOURCE CONFLICT",IF(NOT(OR(INDEX(SourceTable[Status],MAX(1,Q1044))="IMPORTED",INDEX(SourceTable[Status],MAX(1,Q1044))="PARTIAL",INDEX(SourceTable[Status],MAX(1,Q1044))="SOURCE CONFLICT")),"ACCESS BLOCKED",IF(OR(INDEX(SourceTable[Coverage],Q1044)&lt;&gt;"FULL SEASON EXPORT",INDEX(SourceTable[URL],Q1044)="",INDEX(SourceTable[SHA256],Q1044)=""),"EVIDENCE INCOMPLETE",IF(AND('Input_Meci'!H92="LIVE",INDEX(SourceTable[Retrieved_UTC],Q1044)&gt;'Input_Meci'!G92),"POST CUTOFF","CLOSED")))))))</x:f>
      </x:c>
      <x:c r="S1044" s="2" t="n">
        <x:f>IF(OR(B1044="",F1044=""),0,COUNTIFS('Istoric_Nativ'!$B$6:$B$405,E1044,'Istoric_Nativ'!$C$6:$C$405,F1044,'Istoric_Nativ'!$E$6:$E$405,G1044,'Istoric_Nativ'!$D$6:$D$405,"&lt;"&amp;J1044,'Istoric_Nativ'!$O$6:$O$405,"INVALID")+COUNTIFS('Istoric_Nativ'!$B$6:$B$405,E1044,'Istoric_Nativ'!$C$6:$C$405,F1044,'Istoric_Nativ'!$E$6:$E$405,G1044,'Istoric_Nativ'!$O$6:$O$405,"INVALID",'Istoric_Nativ'!$D$6:$D$405,"*")+COUNTIFS('Istoric_Nativ'!$B$6:$B$405,E1044,'Istoric_Nativ'!$C$6:$C$405,F1044,'Istoric_Nativ'!$E$6:$E$405,G1044,'Istoric_Nativ'!$D$6:$D$405,"&lt;"&amp;J1044,'Istoric_Nativ'!$O$6:$O$405,"SOURCE CONFLICT")+COUNTIFS('Istoric_Nativ'!$B$6:$B$405,E1044,'Istoric_Nativ'!$C$6:$C$405,F1044,'Istoric_Nativ'!$F$6:$F$405,G1044,'Istoric_Nativ'!$D$6:$D$405,"&lt;"&amp;J1044,'Istoric_Nativ'!$O$6:$O$405,"INVALID")+COUNTIFS('Istoric_Nativ'!$B$6:$B$405,E1044,'Istoric_Nativ'!$C$6:$C$405,F1044,'Istoric_Nativ'!$F$6:$F$405,G1044,'Istoric_Nativ'!$O$6:$O$405,"INVALID",'Istoric_Nativ'!$D$6:$D$405,"*")+COUNTIFS('Istoric_Nativ'!$B$6:$B$405,E1044,'Istoric_Nativ'!$C$6:$C$405,F1044,'Istoric_Nativ'!$F$6:$F$405,G1044,'Istoric_Nativ'!$D$6:$D$405,"&lt;"&amp;J1044,'Istoric_Nativ'!$O$6:$O$405,"SOURCE CONFLICT"))</x:f>
        <x:v>0</x:v>
      </x:c>
      <x:c r="T1044" s="2" t="str">
        <x:f>IF(B1044="","",IF(R1044&lt;&gt;"CLOSED",R1044,IF(S1044&gt;0,"NATIVE INPUT ISSUE",IF(M1044=0,"NO HISTORY",IF(M1044&lt;P1044,"SMALL SAMPLE","DERIVED")))))</x:f>
      </x:c>
      <x:c r="U1044" s="2" t="str">
        <x:f>IF(B1044="","","NativeTable; "&amp;E1044&amp;"; "&amp;F1044&amp;"; "&amp;G1044&amp;"; "&amp;H1044&amp;"; before "&amp;TEXT(J1044,"yyyy-mm-dd")&amp;IF(I1044="RECENT","; from "&amp;TEXT(L1044,"yyyy-mm-dd"),""))</x:f>
      </x:c>
    </x:row>
    <x:row r="1045" ht="21" customHeight="1">
      <x:c r="A1045" s="2" t="n">
        <x:v>87</x:v>
      </x:c>
      <x:c r="B1045" s="2" t="str">
        <x:f>IF('Input_Meci'!A92="","",'Input_Meci'!A92)</x:f>
      </x:c>
      <x:c r="C1045" s="2" t="str">
        <x:v>H</x:v>
      </x:c>
      <x:c r="D1045" s="2" t="str">
        <x:v>PRIOR</x:v>
      </x:c>
      <x:c r="E1045" s="2" t="str">
        <x:f>IF(B1045="","",'Input_Meci'!B92)</x:f>
      </x:c>
      <x:c r="F1045" s="2" t="str">
        <x:f>IF(B1045="","",IF('Input_Meci'!K92="","",'Input_Meci'!K92))</x:f>
      </x:c>
      <x:c r="G1045" s="2" t="str">
        <x:f>IF(B1045="","",'Input_Meci'!D92)</x:f>
      </x:c>
      <x:c r="H1045" s="2" t="str">
        <x:v>HOME</x:v>
      </x:c>
      <x:c r="I1045" s="2" t="str">
        <x:v>HA</x:v>
      </x:c>
      <x:c r="J1045" s="9" t="n">
        <x:f>IF(AND(B1045&lt;&gt;"",ISNUMBER('Input_Meci'!G92)),INT('Input_Meci'!G92),0)</x:f>
        <x:v>0</x:v>
      </x:c>
      <x:c r="K1045" s="2" t="n">
        <x:f>IF(OR(B1045="",F1045=""),0,IF(H1045="HOME",COUNTIFS('Istoric_Nativ'!$B$6:$B$405,E1045,'Istoric_Nativ'!$C$6:$C$405,F1045,'Istoric_Nativ'!$E$6:$E$405,G1045,'Istoric_Nativ'!$D$6:$D$405,"&lt;"&amp;J1045,'Istoric_Nativ'!$P$6:$P$405,1),IF(H1045="AWAY",COUNTIFS('Istoric_Nativ'!$B$6:$B$405,E1045,'Istoric_Nativ'!$C$6:$C$405,F1045,'Istoric_Nativ'!$F$6:$F$405,G1045,'Istoric_Nativ'!$D$6:$D$405,"&lt;"&amp;J1045,'Istoric_Nativ'!$P$6:$P$405,1),COUNTIFS('Istoric_Nativ'!$B$6:$B$405,E1045,'Istoric_Nativ'!$C$6:$C$405,F1045,'Istoric_Nativ'!$E$6:$E$405,G1045,'Istoric_Nativ'!$D$6:$D$405,"&lt;"&amp;J1045,'Istoric_Nativ'!$P$6:$P$405,1)+COUNTIFS('Istoric_Nativ'!$B$6:$B$405,E1045,'Istoric_Nativ'!$C$6:$C$405,F1045,'Istoric_Nativ'!$F$6:$F$405,G1045,'Istoric_Nativ'!$D$6:$D$405,"&lt;"&amp;J1045,'Istoric_Nativ'!$P$6:$P$405,1))))</x:f>
        <x:v>0</x:v>
      </x:c>
      <x:c r="L1045" s="17" t="n">
        <x:f>IF(AND(B1045&lt;&gt;"",I1045="RECENT",K1045&gt;0),LARGE(_xlfn._xlws.FILTER('Istoric_Nativ'!$D$6:$D$405,('Istoric_Nativ'!$B$6:$B$405=E1045)*('Istoric_Nativ'!$C$6:$C$405=F1045)*('Istoric_Nativ'!$P$6:$P$405=1)*('Istoric_Nativ'!$D$6:$D$405&lt;J1045)*((('Istoric_Nativ'!$E$6:$E$405=G1045)+('Istoric_Nativ'!$F$6:$F$405=G1045))&gt;0)),MIN('Config_v6'!$B$54,K1045)),0)</x:f>
        <x:v>0</x:v>
      </x:c>
      <x:c r="M1045" s="2" t="n">
        <x:f>IF(OR(B1045="",F1045=""),0,IF(H1045="HOME",COUNTIFS('Istoric_Nativ'!$B$6:$B$405,E1045,'Istoric_Nativ'!$C$6:$C$405,F1045,'Istoric_Nativ'!$E$6:$E$405,G1045,'Istoric_Nativ'!$D$6:$D$405,"&lt;"&amp;J1045,'Istoric_Nativ'!$P$6:$P$405,1,'Istoric_Nativ'!$D$6:$D$405,"&gt;="&amp;L1045),IF(H1045="AWAY",COUNTIFS('Istoric_Nativ'!$B$6:$B$405,E1045,'Istoric_Nativ'!$C$6:$C$405,F1045,'Istoric_Nativ'!$F$6:$F$405,G1045,'Istoric_Nativ'!$D$6:$D$405,"&lt;"&amp;J1045,'Istoric_Nativ'!$P$6:$P$405,1,'Istoric_Nativ'!$D$6:$D$405,"&gt;="&amp;L1045),COUNTIFS('Istoric_Nativ'!$B$6:$B$405,E1045,'Istoric_Nativ'!$C$6:$C$405,F1045,'Istoric_Nativ'!$E$6:$E$405,G1045,'Istoric_Nativ'!$D$6:$D$405,"&lt;"&amp;J1045,'Istoric_Nativ'!$P$6:$P$405,1,'Istoric_Nativ'!$D$6:$D$405,"&gt;="&amp;L1045)+COUNTIFS('Istoric_Nativ'!$B$6:$B$405,E1045,'Istoric_Nativ'!$C$6:$C$405,F1045,'Istoric_Nativ'!$F$6:$F$405,G1045,'Istoric_Nativ'!$D$6:$D$405,"&lt;"&amp;J1045,'Istoric_Nativ'!$P$6:$P$405,1,'Istoric_Nativ'!$D$6:$D$405,"&gt;="&amp;L1045))))</x:f>
        <x:v>0</x:v>
      </x:c>
      <x:c r="N1045" s="11" t="str">
        <x:f>IF(M1045=0,"",IF(H1045="HOME",SUMIFS('Istoric_Nativ'!$G$6:$G$405,'Istoric_Nativ'!$B$6:$B$405,E1045,'Istoric_Nativ'!$C$6:$C$405,F1045,'Istoric_Nativ'!$E$6:$E$405,G1045,'Istoric_Nativ'!$D$6:$D$405,"&lt;"&amp;J1045,'Istoric_Nativ'!$P$6:$P$405,1,'Istoric_Nativ'!$D$6:$D$405,"&gt;="&amp;L1045),IF(H1045="AWAY",SUMIFS('Istoric_Nativ'!$H$6:$H$405,'Istoric_Nativ'!$B$6:$B$405,E1045,'Istoric_Nativ'!$C$6:$C$405,F1045,'Istoric_Nativ'!$F$6:$F$405,G1045,'Istoric_Nativ'!$D$6:$D$405,"&lt;"&amp;J1045,'Istoric_Nativ'!$P$6:$P$405,1,'Istoric_Nativ'!$D$6:$D$405,"&gt;="&amp;L1045),SUMIFS('Istoric_Nativ'!$G$6:$G$405,'Istoric_Nativ'!$B$6:$B$405,E1045,'Istoric_Nativ'!$C$6:$C$405,F1045,'Istoric_Nativ'!$E$6:$E$405,G1045,'Istoric_Nativ'!$D$6:$D$405,"&lt;"&amp;J1045,'Istoric_Nativ'!$P$6:$P$405,1,'Istoric_Nativ'!$D$6:$D$405,"&gt;="&amp;L1045)+SUMIFS('Istoric_Nativ'!$H$6:$H$405,'Istoric_Nativ'!$B$6:$B$405,E1045,'Istoric_Nativ'!$C$6:$C$405,F1045,'Istoric_Nativ'!$F$6:$F$405,G1045,'Istoric_Nativ'!$D$6:$D$405,"&lt;"&amp;J1045,'Istoric_Nativ'!$P$6:$P$405,1,'Istoric_Nativ'!$D$6:$D$405,"&gt;="&amp;L1045)))/M1045)</x:f>
      </x:c>
      <x:c r="O1045" s="11" t="str">
        <x:f>IF(M1045=0,"",IF(H1045="HOME",SUMIFS('Istoric_Nativ'!$H$6:$H$405,'Istoric_Nativ'!$B$6:$B$405,E1045,'Istoric_Nativ'!$C$6:$C$405,F1045,'Istoric_Nativ'!$E$6:$E$405,G1045,'Istoric_Nativ'!$D$6:$D$405,"&lt;"&amp;J1045,'Istoric_Nativ'!$P$6:$P$405,1,'Istoric_Nativ'!$D$6:$D$405,"&gt;="&amp;L1045),IF(H1045="AWAY",SUMIFS('Istoric_Nativ'!$G$6:$G$405,'Istoric_Nativ'!$B$6:$B$405,E1045,'Istoric_Nativ'!$C$6:$C$405,F1045,'Istoric_Nativ'!$F$6:$F$405,G1045,'Istoric_Nativ'!$D$6:$D$405,"&lt;"&amp;J1045,'Istoric_Nativ'!$P$6:$P$405,1,'Istoric_Nativ'!$D$6:$D$405,"&gt;="&amp;L1045),SUMIFS('Istoric_Nativ'!$H$6:$H$405,'Istoric_Nativ'!$B$6:$B$405,E1045,'Istoric_Nativ'!$C$6:$C$405,F1045,'Istoric_Nativ'!$E$6:$E$405,G1045,'Istoric_Nativ'!$D$6:$D$405,"&lt;"&amp;J1045,'Istoric_Nativ'!$P$6:$P$405,1,'Istoric_Nativ'!$D$6:$D$405,"&gt;="&amp;L1045)+SUMIFS('Istoric_Nativ'!$G$6:$G$405,'Istoric_Nativ'!$B$6:$B$405,E1045,'Istoric_Nativ'!$C$6:$C$405,F1045,'Istoric_Nativ'!$F$6:$F$405,G1045,'Istoric_Nativ'!$D$6:$D$405,"&lt;"&amp;J1045,'Istoric_Nativ'!$P$6:$P$405,1,'Istoric_Nativ'!$D$6:$D$405,"&gt;="&amp;L1045)))/M1045)</x:f>
      </x:c>
      <x:c r="P1045" s="2" t="n">
        <x:f>'Config_v6'!$B$8</x:f>
        <x:v>5</x:v>
      </x:c>
      <x:c r="Q1045" s="2" t="n">
        <x:f>IF(OR(B1045="",F1045=""),0,IFERROR(MATCH(E1045&amp;"|"&amp;F1045,SourceTable[Source_Key],0),0))</x:f>
        <x:v>0</x:v>
      </x:c>
      <x:c r="R1045" s="2" t="str">
        <x:f>IF(B1045="","",IF(F1045="","UNUSED",IF(Q1045=0,"NOT CHECKED",IF(COUNTIF(SourceTable[Source_Key],E1045&amp;"|"&amp;F1045)&lt;&gt;1,"SOURCE CONFLICT",IF(NOT(OR(INDEX(SourceTable[Status],MAX(1,Q1045))="IMPORTED",INDEX(SourceTable[Status],MAX(1,Q1045))="PARTIAL",INDEX(SourceTable[Status],MAX(1,Q1045))="SOURCE CONFLICT")),"ACCESS BLOCKED",IF(OR(INDEX(SourceTable[Coverage],Q1045)&lt;&gt;"FULL SEASON EXPORT",INDEX(SourceTable[URL],Q1045)="",INDEX(SourceTable[SHA256],Q1045)=""),"EVIDENCE INCOMPLETE",IF(AND('Input_Meci'!H92="LIVE",INDEX(SourceTable[Retrieved_UTC],Q1045)&gt;'Input_Meci'!G92),"POST CUTOFF","CLOSED")))))))</x:f>
      </x:c>
      <x:c r="S1045" s="2" t="n">
        <x:f>IF(OR(B1045="",F1045=""),0,COUNTIFS('Istoric_Nativ'!$B$6:$B$405,E1045,'Istoric_Nativ'!$C$6:$C$405,F1045,'Istoric_Nativ'!$E$6:$E$405,G1045,'Istoric_Nativ'!$D$6:$D$405,"&lt;"&amp;J1045,'Istoric_Nativ'!$O$6:$O$405,"INVALID")+COUNTIFS('Istoric_Nativ'!$B$6:$B$405,E1045,'Istoric_Nativ'!$C$6:$C$405,F1045,'Istoric_Nativ'!$E$6:$E$405,G1045,'Istoric_Nativ'!$O$6:$O$405,"INVALID",'Istoric_Nativ'!$D$6:$D$405,"*")+COUNTIFS('Istoric_Nativ'!$B$6:$B$405,E1045,'Istoric_Nativ'!$C$6:$C$405,F1045,'Istoric_Nativ'!$E$6:$E$405,G1045,'Istoric_Nativ'!$D$6:$D$405,"&lt;"&amp;J1045,'Istoric_Nativ'!$O$6:$O$405,"SOURCE CONFLICT")+COUNTIFS('Istoric_Nativ'!$B$6:$B$405,E1045,'Istoric_Nativ'!$C$6:$C$405,F1045,'Istoric_Nativ'!$F$6:$F$405,G1045,'Istoric_Nativ'!$D$6:$D$405,"&lt;"&amp;J1045,'Istoric_Nativ'!$O$6:$O$405,"INVALID")+COUNTIFS('Istoric_Nativ'!$B$6:$B$405,E1045,'Istoric_Nativ'!$C$6:$C$405,F1045,'Istoric_Nativ'!$F$6:$F$405,G1045,'Istoric_Nativ'!$O$6:$O$405,"INVALID",'Istoric_Nativ'!$D$6:$D$405,"*")+COUNTIFS('Istoric_Nativ'!$B$6:$B$405,E1045,'Istoric_Nativ'!$C$6:$C$405,F1045,'Istoric_Nativ'!$F$6:$F$405,G1045,'Istoric_Nativ'!$D$6:$D$405,"&lt;"&amp;J1045,'Istoric_Nativ'!$O$6:$O$405,"SOURCE CONFLICT"))</x:f>
        <x:v>0</x:v>
      </x:c>
      <x:c r="T1045" s="2" t="str">
        <x:f>IF(B1045="","",IF(R1045&lt;&gt;"CLOSED",R1045,IF(S1045&gt;0,"NATIVE INPUT ISSUE",IF(M1045=0,"NO HISTORY",IF(M1045&lt;P1045,"SMALL SAMPLE","DERIVED")))))</x:f>
      </x:c>
      <x:c r="U1045" s="2" t="str">
        <x:f>IF(B1045="","","NativeTable; "&amp;E1045&amp;"; "&amp;F1045&amp;"; "&amp;G1045&amp;"; "&amp;H1045&amp;"; before "&amp;TEXT(J1045,"yyyy-mm-dd")&amp;IF(I1045="RECENT","; from "&amp;TEXT(L1045,"yyyy-mm-dd"),""))</x:f>
      </x:c>
    </x:row>
    <x:row r="1046" ht="21" customHeight="1">
      <x:c r="A1046" s="2" t="n">
        <x:v>87</x:v>
      </x:c>
      <x:c r="B1046" s="2" t="str">
        <x:f>IF('Input_Meci'!A92="","",'Input_Meci'!A92)</x:f>
      </x:c>
      <x:c r="C1046" s="2" t="str">
        <x:v>H</x:v>
      </x:c>
      <x:c r="D1046" s="2" t="str">
        <x:v>PRIOR</x:v>
      </x:c>
      <x:c r="E1046" s="2" t="str">
        <x:f>IF(B1046="","",'Input_Meci'!B92)</x:f>
      </x:c>
      <x:c r="F1046" s="2" t="str">
        <x:f>IF(B1046="","",IF('Input_Meci'!K92="","",'Input_Meci'!K92))</x:f>
      </x:c>
      <x:c r="G1046" s="2" t="str">
        <x:f>IF(B1046="","",'Input_Meci'!D92)</x:f>
      </x:c>
      <x:c r="H1046" s="2" t="str">
        <x:v>ANY</x:v>
      </x:c>
      <x:c r="I1046" s="2" t="str">
        <x:v>RECENT</x:v>
      </x:c>
      <x:c r="J1046" s="9" t="n">
        <x:f>IF(AND(B1046&lt;&gt;"",ISNUMBER('Input_Meci'!G92)),INT('Input_Meci'!G92),0)</x:f>
        <x:v>0</x:v>
      </x:c>
      <x:c r="K1046" s="2" t="n">
        <x:f>IF(OR(B1046="",F1046=""),0,IF(H1046="HOME",COUNTIFS('Istoric_Nativ'!$B$6:$B$405,E1046,'Istoric_Nativ'!$C$6:$C$405,F1046,'Istoric_Nativ'!$E$6:$E$405,G1046,'Istoric_Nativ'!$D$6:$D$405,"&lt;"&amp;J1046,'Istoric_Nativ'!$P$6:$P$405,1),IF(H1046="AWAY",COUNTIFS('Istoric_Nativ'!$B$6:$B$405,E1046,'Istoric_Nativ'!$C$6:$C$405,F1046,'Istoric_Nativ'!$F$6:$F$405,G1046,'Istoric_Nativ'!$D$6:$D$405,"&lt;"&amp;J1046,'Istoric_Nativ'!$P$6:$P$405,1),COUNTIFS('Istoric_Nativ'!$B$6:$B$405,E1046,'Istoric_Nativ'!$C$6:$C$405,F1046,'Istoric_Nativ'!$E$6:$E$405,G1046,'Istoric_Nativ'!$D$6:$D$405,"&lt;"&amp;J1046,'Istoric_Nativ'!$P$6:$P$405,1)+COUNTIFS('Istoric_Nativ'!$B$6:$B$405,E1046,'Istoric_Nativ'!$C$6:$C$405,F1046,'Istoric_Nativ'!$F$6:$F$405,G1046,'Istoric_Nativ'!$D$6:$D$405,"&lt;"&amp;J1046,'Istoric_Nativ'!$P$6:$P$405,1))))</x:f>
        <x:v>0</x:v>
      </x:c>
      <x:c r="L1046" s="17" t="n">
        <x:f>IF(AND(B1046&lt;&gt;"",I1046="RECENT",K1046&gt;0),LARGE(_xlfn._xlws.FILTER('Istoric_Nativ'!$D$6:$D$405,('Istoric_Nativ'!$B$6:$B$405=E1046)*('Istoric_Nativ'!$C$6:$C$405=F1046)*('Istoric_Nativ'!$P$6:$P$405=1)*('Istoric_Nativ'!$D$6:$D$405&lt;J1046)*((('Istoric_Nativ'!$E$6:$E$405=G1046)+('Istoric_Nativ'!$F$6:$F$405=G1046))&gt;0)),MIN('Config_v6'!$B$54,K1046)),0)</x:f>
        <x:v>0</x:v>
      </x:c>
      <x:c r="M1046" s="2" t="n">
        <x:f>IF(OR(B1046="",F1046=""),0,IF(H1046="HOME",COUNTIFS('Istoric_Nativ'!$B$6:$B$405,E1046,'Istoric_Nativ'!$C$6:$C$405,F1046,'Istoric_Nativ'!$E$6:$E$405,G1046,'Istoric_Nativ'!$D$6:$D$405,"&lt;"&amp;J1046,'Istoric_Nativ'!$P$6:$P$405,1,'Istoric_Nativ'!$D$6:$D$405,"&gt;="&amp;L1046),IF(H1046="AWAY",COUNTIFS('Istoric_Nativ'!$B$6:$B$405,E1046,'Istoric_Nativ'!$C$6:$C$405,F1046,'Istoric_Nativ'!$F$6:$F$405,G1046,'Istoric_Nativ'!$D$6:$D$405,"&lt;"&amp;J1046,'Istoric_Nativ'!$P$6:$P$405,1,'Istoric_Nativ'!$D$6:$D$405,"&gt;="&amp;L1046),COUNTIFS('Istoric_Nativ'!$B$6:$B$405,E1046,'Istoric_Nativ'!$C$6:$C$405,F1046,'Istoric_Nativ'!$E$6:$E$405,G1046,'Istoric_Nativ'!$D$6:$D$405,"&lt;"&amp;J1046,'Istoric_Nativ'!$P$6:$P$405,1,'Istoric_Nativ'!$D$6:$D$405,"&gt;="&amp;L1046)+COUNTIFS('Istoric_Nativ'!$B$6:$B$405,E1046,'Istoric_Nativ'!$C$6:$C$405,F1046,'Istoric_Nativ'!$F$6:$F$405,G1046,'Istoric_Nativ'!$D$6:$D$405,"&lt;"&amp;J1046,'Istoric_Nativ'!$P$6:$P$405,1,'Istoric_Nativ'!$D$6:$D$405,"&gt;="&amp;L1046))))</x:f>
        <x:v>0</x:v>
      </x:c>
      <x:c r="N1046" s="11" t="str">
        <x:f>IF(M1046=0,"",IF(H1046="HOME",SUMIFS('Istoric_Nativ'!$G$6:$G$405,'Istoric_Nativ'!$B$6:$B$405,E1046,'Istoric_Nativ'!$C$6:$C$405,F1046,'Istoric_Nativ'!$E$6:$E$405,G1046,'Istoric_Nativ'!$D$6:$D$405,"&lt;"&amp;J1046,'Istoric_Nativ'!$P$6:$P$405,1,'Istoric_Nativ'!$D$6:$D$405,"&gt;="&amp;L1046),IF(H1046="AWAY",SUMIFS('Istoric_Nativ'!$H$6:$H$405,'Istoric_Nativ'!$B$6:$B$405,E1046,'Istoric_Nativ'!$C$6:$C$405,F1046,'Istoric_Nativ'!$F$6:$F$405,G1046,'Istoric_Nativ'!$D$6:$D$405,"&lt;"&amp;J1046,'Istoric_Nativ'!$P$6:$P$405,1,'Istoric_Nativ'!$D$6:$D$405,"&gt;="&amp;L1046),SUMIFS('Istoric_Nativ'!$G$6:$G$405,'Istoric_Nativ'!$B$6:$B$405,E1046,'Istoric_Nativ'!$C$6:$C$405,F1046,'Istoric_Nativ'!$E$6:$E$405,G1046,'Istoric_Nativ'!$D$6:$D$405,"&lt;"&amp;J1046,'Istoric_Nativ'!$P$6:$P$405,1,'Istoric_Nativ'!$D$6:$D$405,"&gt;="&amp;L1046)+SUMIFS('Istoric_Nativ'!$H$6:$H$405,'Istoric_Nativ'!$B$6:$B$405,E1046,'Istoric_Nativ'!$C$6:$C$405,F1046,'Istoric_Nativ'!$F$6:$F$405,G1046,'Istoric_Nativ'!$D$6:$D$405,"&lt;"&amp;J1046,'Istoric_Nativ'!$P$6:$P$405,1,'Istoric_Nativ'!$D$6:$D$405,"&gt;="&amp;L1046)))/M1046)</x:f>
      </x:c>
      <x:c r="O1046" s="11" t="str">
        <x:f>IF(M1046=0,"",IF(H1046="HOME",SUMIFS('Istoric_Nativ'!$H$6:$H$405,'Istoric_Nativ'!$B$6:$B$405,E1046,'Istoric_Nativ'!$C$6:$C$405,F1046,'Istoric_Nativ'!$E$6:$E$405,G1046,'Istoric_Nativ'!$D$6:$D$405,"&lt;"&amp;J1046,'Istoric_Nativ'!$P$6:$P$405,1,'Istoric_Nativ'!$D$6:$D$405,"&gt;="&amp;L1046),IF(H1046="AWAY",SUMIFS('Istoric_Nativ'!$G$6:$G$405,'Istoric_Nativ'!$B$6:$B$405,E1046,'Istoric_Nativ'!$C$6:$C$405,F1046,'Istoric_Nativ'!$F$6:$F$405,G1046,'Istoric_Nativ'!$D$6:$D$405,"&lt;"&amp;J1046,'Istoric_Nativ'!$P$6:$P$405,1,'Istoric_Nativ'!$D$6:$D$405,"&gt;="&amp;L1046),SUMIFS('Istoric_Nativ'!$H$6:$H$405,'Istoric_Nativ'!$B$6:$B$405,E1046,'Istoric_Nativ'!$C$6:$C$405,F1046,'Istoric_Nativ'!$E$6:$E$405,G1046,'Istoric_Nativ'!$D$6:$D$405,"&lt;"&amp;J1046,'Istoric_Nativ'!$P$6:$P$405,1,'Istoric_Nativ'!$D$6:$D$405,"&gt;="&amp;L1046)+SUMIFS('Istoric_Nativ'!$G$6:$G$405,'Istoric_Nativ'!$B$6:$B$405,E1046,'Istoric_Nativ'!$C$6:$C$405,F1046,'Istoric_Nativ'!$F$6:$F$405,G1046,'Istoric_Nativ'!$D$6:$D$405,"&lt;"&amp;J1046,'Istoric_Nativ'!$P$6:$P$405,1,'Istoric_Nativ'!$D$6:$D$405,"&gt;="&amp;L1046)))/M1046)</x:f>
      </x:c>
      <x:c r="P1046" s="2" t="n">
        <x:f>'Config_v6'!$B$9</x:f>
        <x:v>3</x:v>
      </x:c>
      <x:c r="Q1046" s="2" t="n">
        <x:f>IF(OR(B1046="",F1046=""),0,IFERROR(MATCH(E1046&amp;"|"&amp;F1046,SourceTable[Source_Key],0),0))</x:f>
        <x:v>0</x:v>
      </x:c>
      <x:c r="R1046" s="2" t="str">
        <x:f>IF(B1046="","",IF(F1046="","UNUSED",IF(Q1046=0,"NOT CHECKED",IF(COUNTIF(SourceTable[Source_Key],E1046&amp;"|"&amp;F1046)&lt;&gt;1,"SOURCE CONFLICT",IF(NOT(OR(INDEX(SourceTable[Status],MAX(1,Q1046))="IMPORTED",INDEX(SourceTable[Status],MAX(1,Q1046))="PARTIAL",INDEX(SourceTable[Status],MAX(1,Q1046))="SOURCE CONFLICT")),"ACCESS BLOCKED",IF(OR(INDEX(SourceTable[Coverage],Q1046)&lt;&gt;"FULL SEASON EXPORT",INDEX(SourceTable[URL],Q1046)="",INDEX(SourceTable[SHA256],Q1046)=""),"EVIDENCE INCOMPLETE",IF(AND('Input_Meci'!H92="LIVE",INDEX(SourceTable[Retrieved_UTC],Q1046)&gt;'Input_Meci'!G92),"POST CUTOFF","CLOSED")))))))</x:f>
      </x:c>
      <x:c r="S1046" s="2" t="n">
        <x:f>IF(OR(B1046="",F1046=""),0,COUNTIFS('Istoric_Nativ'!$B$6:$B$405,E1046,'Istoric_Nativ'!$C$6:$C$405,F1046,'Istoric_Nativ'!$E$6:$E$405,G1046,'Istoric_Nativ'!$D$6:$D$405,"&lt;"&amp;J1046,'Istoric_Nativ'!$O$6:$O$405,"INVALID")+COUNTIFS('Istoric_Nativ'!$B$6:$B$405,E1046,'Istoric_Nativ'!$C$6:$C$405,F1046,'Istoric_Nativ'!$E$6:$E$405,G1046,'Istoric_Nativ'!$O$6:$O$405,"INVALID",'Istoric_Nativ'!$D$6:$D$405,"*")+COUNTIFS('Istoric_Nativ'!$B$6:$B$405,E1046,'Istoric_Nativ'!$C$6:$C$405,F1046,'Istoric_Nativ'!$E$6:$E$405,G1046,'Istoric_Nativ'!$D$6:$D$405,"&lt;"&amp;J1046,'Istoric_Nativ'!$O$6:$O$405,"SOURCE CONFLICT")+COUNTIFS('Istoric_Nativ'!$B$6:$B$405,E1046,'Istoric_Nativ'!$C$6:$C$405,F1046,'Istoric_Nativ'!$F$6:$F$405,G1046,'Istoric_Nativ'!$D$6:$D$405,"&lt;"&amp;J1046,'Istoric_Nativ'!$O$6:$O$405,"INVALID")+COUNTIFS('Istoric_Nativ'!$B$6:$B$405,E1046,'Istoric_Nativ'!$C$6:$C$405,F1046,'Istoric_Nativ'!$F$6:$F$405,G1046,'Istoric_Nativ'!$O$6:$O$405,"INVALID",'Istoric_Nativ'!$D$6:$D$405,"*")+COUNTIFS('Istoric_Nativ'!$B$6:$B$405,E1046,'Istoric_Nativ'!$C$6:$C$405,F1046,'Istoric_Nativ'!$F$6:$F$405,G1046,'Istoric_Nativ'!$D$6:$D$405,"&lt;"&amp;J1046,'Istoric_Nativ'!$O$6:$O$405,"SOURCE CONFLICT"))</x:f>
        <x:v>0</x:v>
      </x:c>
      <x:c r="T1046" s="2" t="str">
        <x:f>IF(B1046="","",IF(R1046&lt;&gt;"CLOSED",R1046,IF(S1046&gt;0,"NATIVE INPUT ISSUE",IF(M1046=0,"NO HISTORY",IF(M1046&lt;P1046,"SMALL SAMPLE","DERIVED")))))</x:f>
      </x:c>
      <x:c r="U1046" s="2" t="str">
        <x:f>IF(B1046="","","NativeTable; "&amp;E1046&amp;"; "&amp;F1046&amp;"; "&amp;G1046&amp;"; "&amp;H1046&amp;"; before "&amp;TEXT(J1046,"yyyy-mm-dd")&amp;IF(I1046="RECENT","; from "&amp;TEXT(L1046,"yyyy-mm-dd"),""))</x:f>
      </x:c>
    </x:row>
    <x:row r="1047" ht="21" customHeight="1">
      <x:c r="A1047" s="2" t="n">
        <x:v>87</x:v>
      </x:c>
      <x:c r="B1047" s="2" t="str">
        <x:f>IF('Input_Meci'!A92="","",'Input_Meci'!A92)</x:f>
      </x:c>
      <x:c r="C1047" s="2" t="str">
        <x:v>A</x:v>
      </x:c>
      <x:c r="D1047" s="2" t="str">
        <x:v>PRIOR</x:v>
      </x:c>
      <x:c r="E1047" s="2" t="str">
        <x:f>IF(B1047="","",'Input_Meci'!B92)</x:f>
      </x:c>
      <x:c r="F1047" s="2" t="str">
        <x:f>IF(B1047="","",IF('Input_Meci'!K92="","",'Input_Meci'!K92))</x:f>
      </x:c>
      <x:c r="G1047" s="2" t="str">
        <x:f>IF(B1047="","",'Input_Meci'!E92)</x:f>
      </x:c>
      <x:c r="H1047" s="2" t="str">
        <x:v>ANY</x:v>
      </x:c>
      <x:c r="I1047" s="2" t="str">
        <x:v>SEASON</x:v>
      </x:c>
      <x:c r="J1047" s="9" t="n">
        <x:f>IF(AND(B1047&lt;&gt;"",ISNUMBER('Input_Meci'!G92)),INT('Input_Meci'!G92),0)</x:f>
        <x:v>0</x:v>
      </x:c>
      <x:c r="K1047" s="2" t="n">
        <x:f>IF(OR(B1047="",F1047=""),0,IF(H1047="HOME",COUNTIFS('Istoric_Nativ'!$B$6:$B$405,E1047,'Istoric_Nativ'!$C$6:$C$405,F1047,'Istoric_Nativ'!$E$6:$E$405,G1047,'Istoric_Nativ'!$D$6:$D$405,"&lt;"&amp;J1047,'Istoric_Nativ'!$P$6:$P$405,1),IF(H1047="AWAY",COUNTIFS('Istoric_Nativ'!$B$6:$B$405,E1047,'Istoric_Nativ'!$C$6:$C$405,F1047,'Istoric_Nativ'!$F$6:$F$405,G1047,'Istoric_Nativ'!$D$6:$D$405,"&lt;"&amp;J1047,'Istoric_Nativ'!$P$6:$P$405,1),COUNTIFS('Istoric_Nativ'!$B$6:$B$405,E1047,'Istoric_Nativ'!$C$6:$C$405,F1047,'Istoric_Nativ'!$E$6:$E$405,G1047,'Istoric_Nativ'!$D$6:$D$405,"&lt;"&amp;J1047,'Istoric_Nativ'!$P$6:$P$405,1)+COUNTIFS('Istoric_Nativ'!$B$6:$B$405,E1047,'Istoric_Nativ'!$C$6:$C$405,F1047,'Istoric_Nativ'!$F$6:$F$405,G1047,'Istoric_Nativ'!$D$6:$D$405,"&lt;"&amp;J1047,'Istoric_Nativ'!$P$6:$P$405,1))))</x:f>
        <x:v>0</x:v>
      </x:c>
      <x:c r="L1047" s="17" t="n">
        <x:f>IF(AND(B1047&lt;&gt;"",I1047="RECENT",K1047&gt;0),LARGE(_xlfn._xlws.FILTER('Istoric_Nativ'!$D$6:$D$405,('Istoric_Nativ'!$B$6:$B$405=E1047)*('Istoric_Nativ'!$C$6:$C$405=F1047)*('Istoric_Nativ'!$P$6:$P$405=1)*('Istoric_Nativ'!$D$6:$D$405&lt;J1047)*((('Istoric_Nativ'!$E$6:$E$405=G1047)+('Istoric_Nativ'!$F$6:$F$405=G1047))&gt;0)),MIN('Config_v6'!$B$54,K1047)),0)</x:f>
        <x:v>0</x:v>
      </x:c>
      <x:c r="M1047" s="2" t="n">
        <x:f>IF(OR(B1047="",F1047=""),0,IF(H1047="HOME",COUNTIFS('Istoric_Nativ'!$B$6:$B$405,E1047,'Istoric_Nativ'!$C$6:$C$405,F1047,'Istoric_Nativ'!$E$6:$E$405,G1047,'Istoric_Nativ'!$D$6:$D$405,"&lt;"&amp;J1047,'Istoric_Nativ'!$P$6:$P$405,1,'Istoric_Nativ'!$D$6:$D$405,"&gt;="&amp;L1047),IF(H1047="AWAY",COUNTIFS('Istoric_Nativ'!$B$6:$B$405,E1047,'Istoric_Nativ'!$C$6:$C$405,F1047,'Istoric_Nativ'!$F$6:$F$405,G1047,'Istoric_Nativ'!$D$6:$D$405,"&lt;"&amp;J1047,'Istoric_Nativ'!$P$6:$P$405,1,'Istoric_Nativ'!$D$6:$D$405,"&gt;="&amp;L1047),COUNTIFS('Istoric_Nativ'!$B$6:$B$405,E1047,'Istoric_Nativ'!$C$6:$C$405,F1047,'Istoric_Nativ'!$E$6:$E$405,G1047,'Istoric_Nativ'!$D$6:$D$405,"&lt;"&amp;J1047,'Istoric_Nativ'!$P$6:$P$405,1,'Istoric_Nativ'!$D$6:$D$405,"&gt;="&amp;L1047)+COUNTIFS('Istoric_Nativ'!$B$6:$B$405,E1047,'Istoric_Nativ'!$C$6:$C$405,F1047,'Istoric_Nativ'!$F$6:$F$405,G1047,'Istoric_Nativ'!$D$6:$D$405,"&lt;"&amp;J1047,'Istoric_Nativ'!$P$6:$P$405,1,'Istoric_Nativ'!$D$6:$D$405,"&gt;="&amp;L1047))))</x:f>
        <x:v>0</x:v>
      </x:c>
      <x:c r="N1047" s="11" t="str">
        <x:f>IF(M1047=0,"",IF(H1047="HOME",SUMIFS('Istoric_Nativ'!$G$6:$G$405,'Istoric_Nativ'!$B$6:$B$405,E1047,'Istoric_Nativ'!$C$6:$C$405,F1047,'Istoric_Nativ'!$E$6:$E$405,G1047,'Istoric_Nativ'!$D$6:$D$405,"&lt;"&amp;J1047,'Istoric_Nativ'!$P$6:$P$405,1,'Istoric_Nativ'!$D$6:$D$405,"&gt;="&amp;L1047),IF(H1047="AWAY",SUMIFS('Istoric_Nativ'!$H$6:$H$405,'Istoric_Nativ'!$B$6:$B$405,E1047,'Istoric_Nativ'!$C$6:$C$405,F1047,'Istoric_Nativ'!$F$6:$F$405,G1047,'Istoric_Nativ'!$D$6:$D$405,"&lt;"&amp;J1047,'Istoric_Nativ'!$P$6:$P$405,1,'Istoric_Nativ'!$D$6:$D$405,"&gt;="&amp;L1047),SUMIFS('Istoric_Nativ'!$G$6:$G$405,'Istoric_Nativ'!$B$6:$B$405,E1047,'Istoric_Nativ'!$C$6:$C$405,F1047,'Istoric_Nativ'!$E$6:$E$405,G1047,'Istoric_Nativ'!$D$6:$D$405,"&lt;"&amp;J1047,'Istoric_Nativ'!$P$6:$P$405,1,'Istoric_Nativ'!$D$6:$D$405,"&gt;="&amp;L1047)+SUMIFS('Istoric_Nativ'!$H$6:$H$405,'Istoric_Nativ'!$B$6:$B$405,E1047,'Istoric_Nativ'!$C$6:$C$405,F1047,'Istoric_Nativ'!$F$6:$F$405,G1047,'Istoric_Nativ'!$D$6:$D$405,"&lt;"&amp;J1047,'Istoric_Nativ'!$P$6:$P$405,1,'Istoric_Nativ'!$D$6:$D$405,"&gt;="&amp;L1047)))/M1047)</x:f>
      </x:c>
      <x:c r="O1047" s="11" t="str">
        <x:f>IF(M1047=0,"",IF(H1047="HOME",SUMIFS('Istoric_Nativ'!$H$6:$H$405,'Istoric_Nativ'!$B$6:$B$405,E1047,'Istoric_Nativ'!$C$6:$C$405,F1047,'Istoric_Nativ'!$E$6:$E$405,G1047,'Istoric_Nativ'!$D$6:$D$405,"&lt;"&amp;J1047,'Istoric_Nativ'!$P$6:$P$405,1,'Istoric_Nativ'!$D$6:$D$405,"&gt;="&amp;L1047),IF(H1047="AWAY",SUMIFS('Istoric_Nativ'!$G$6:$G$405,'Istoric_Nativ'!$B$6:$B$405,E1047,'Istoric_Nativ'!$C$6:$C$405,F1047,'Istoric_Nativ'!$F$6:$F$405,G1047,'Istoric_Nativ'!$D$6:$D$405,"&lt;"&amp;J1047,'Istoric_Nativ'!$P$6:$P$405,1,'Istoric_Nativ'!$D$6:$D$405,"&gt;="&amp;L1047),SUMIFS('Istoric_Nativ'!$H$6:$H$405,'Istoric_Nativ'!$B$6:$B$405,E1047,'Istoric_Nativ'!$C$6:$C$405,F1047,'Istoric_Nativ'!$E$6:$E$405,G1047,'Istoric_Nativ'!$D$6:$D$405,"&lt;"&amp;J1047,'Istoric_Nativ'!$P$6:$P$405,1,'Istoric_Nativ'!$D$6:$D$405,"&gt;="&amp;L1047)+SUMIFS('Istoric_Nativ'!$G$6:$G$405,'Istoric_Nativ'!$B$6:$B$405,E1047,'Istoric_Nativ'!$C$6:$C$405,F1047,'Istoric_Nativ'!$F$6:$F$405,G1047,'Istoric_Nativ'!$D$6:$D$405,"&lt;"&amp;J1047,'Istoric_Nativ'!$P$6:$P$405,1,'Istoric_Nativ'!$D$6:$D$405,"&gt;="&amp;L1047)))/M1047)</x:f>
      </x:c>
      <x:c r="P1047" s="2" t="n">
        <x:f>'Config_v6'!$B$7</x:f>
        <x:v>10</x:v>
      </x:c>
      <x:c r="Q1047" s="2" t="n">
        <x:f>IF(OR(B1047="",F1047=""),0,IFERROR(MATCH(E1047&amp;"|"&amp;F1047,SourceTable[Source_Key],0),0))</x:f>
        <x:v>0</x:v>
      </x:c>
      <x:c r="R1047" s="2" t="str">
        <x:f>IF(B1047="","",IF(F1047="","UNUSED",IF(Q1047=0,"NOT CHECKED",IF(COUNTIF(SourceTable[Source_Key],E1047&amp;"|"&amp;F1047)&lt;&gt;1,"SOURCE CONFLICT",IF(NOT(OR(INDEX(SourceTable[Status],MAX(1,Q1047))="IMPORTED",INDEX(SourceTable[Status],MAX(1,Q1047))="PARTIAL",INDEX(SourceTable[Status],MAX(1,Q1047))="SOURCE CONFLICT")),"ACCESS BLOCKED",IF(OR(INDEX(SourceTable[Coverage],Q1047)&lt;&gt;"FULL SEASON EXPORT",INDEX(SourceTable[URL],Q1047)="",INDEX(SourceTable[SHA256],Q1047)=""),"EVIDENCE INCOMPLETE",IF(AND('Input_Meci'!H92="LIVE",INDEX(SourceTable[Retrieved_UTC],Q1047)&gt;'Input_Meci'!G92),"POST CUTOFF","CLOSED")))))))</x:f>
      </x:c>
      <x:c r="S1047" s="2" t="n">
        <x:f>IF(OR(B1047="",F1047=""),0,COUNTIFS('Istoric_Nativ'!$B$6:$B$405,E1047,'Istoric_Nativ'!$C$6:$C$405,F1047,'Istoric_Nativ'!$E$6:$E$405,G1047,'Istoric_Nativ'!$D$6:$D$405,"&lt;"&amp;J1047,'Istoric_Nativ'!$O$6:$O$405,"INVALID")+COUNTIFS('Istoric_Nativ'!$B$6:$B$405,E1047,'Istoric_Nativ'!$C$6:$C$405,F1047,'Istoric_Nativ'!$E$6:$E$405,G1047,'Istoric_Nativ'!$O$6:$O$405,"INVALID",'Istoric_Nativ'!$D$6:$D$405,"*")+COUNTIFS('Istoric_Nativ'!$B$6:$B$405,E1047,'Istoric_Nativ'!$C$6:$C$405,F1047,'Istoric_Nativ'!$E$6:$E$405,G1047,'Istoric_Nativ'!$D$6:$D$405,"&lt;"&amp;J1047,'Istoric_Nativ'!$O$6:$O$405,"SOURCE CONFLICT")+COUNTIFS('Istoric_Nativ'!$B$6:$B$405,E1047,'Istoric_Nativ'!$C$6:$C$405,F1047,'Istoric_Nativ'!$F$6:$F$405,G1047,'Istoric_Nativ'!$D$6:$D$405,"&lt;"&amp;J1047,'Istoric_Nativ'!$O$6:$O$405,"INVALID")+COUNTIFS('Istoric_Nativ'!$B$6:$B$405,E1047,'Istoric_Nativ'!$C$6:$C$405,F1047,'Istoric_Nativ'!$F$6:$F$405,G1047,'Istoric_Nativ'!$O$6:$O$405,"INVALID",'Istoric_Nativ'!$D$6:$D$405,"*")+COUNTIFS('Istoric_Nativ'!$B$6:$B$405,E1047,'Istoric_Nativ'!$C$6:$C$405,F1047,'Istoric_Nativ'!$F$6:$F$405,G1047,'Istoric_Nativ'!$D$6:$D$405,"&lt;"&amp;J1047,'Istoric_Nativ'!$O$6:$O$405,"SOURCE CONFLICT"))</x:f>
        <x:v>0</x:v>
      </x:c>
      <x:c r="T1047" s="2" t="str">
        <x:f>IF(B1047="","",IF(R1047&lt;&gt;"CLOSED",R1047,IF(S1047&gt;0,"NATIVE INPUT ISSUE",IF(M1047=0,"NO HISTORY",IF(M1047&lt;P1047,"SMALL SAMPLE","DERIVED")))))</x:f>
      </x:c>
      <x:c r="U1047" s="2" t="str">
        <x:f>IF(B1047="","","NativeTable; "&amp;E1047&amp;"; "&amp;F1047&amp;"; "&amp;G1047&amp;"; "&amp;H1047&amp;"; before "&amp;TEXT(J1047,"yyyy-mm-dd")&amp;IF(I1047="RECENT","; from "&amp;TEXT(L1047,"yyyy-mm-dd"),""))</x:f>
      </x:c>
    </x:row>
    <x:row r="1048" ht="21" customHeight="1">
      <x:c r="A1048" s="2" t="n">
        <x:v>87</x:v>
      </x:c>
      <x:c r="B1048" s="2" t="str">
        <x:f>IF('Input_Meci'!A92="","",'Input_Meci'!A92)</x:f>
      </x:c>
      <x:c r="C1048" s="2" t="str">
        <x:v>A</x:v>
      </x:c>
      <x:c r="D1048" s="2" t="str">
        <x:v>PRIOR</x:v>
      </x:c>
      <x:c r="E1048" s="2" t="str">
        <x:f>IF(B1048="","",'Input_Meci'!B92)</x:f>
      </x:c>
      <x:c r="F1048" s="2" t="str">
        <x:f>IF(B1048="","",IF('Input_Meci'!K92="","",'Input_Meci'!K92))</x:f>
      </x:c>
      <x:c r="G1048" s="2" t="str">
        <x:f>IF(B1048="","",'Input_Meci'!E92)</x:f>
      </x:c>
      <x:c r="H1048" s="2" t="str">
        <x:v>AWAY</x:v>
      </x:c>
      <x:c r="I1048" s="2" t="str">
        <x:v>HA</x:v>
      </x:c>
      <x:c r="J1048" s="9" t="n">
        <x:f>IF(AND(B1048&lt;&gt;"",ISNUMBER('Input_Meci'!G92)),INT('Input_Meci'!G92),0)</x:f>
        <x:v>0</x:v>
      </x:c>
      <x:c r="K1048" s="2" t="n">
        <x:f>IF(OR(B1048="",F1048=""),0,IF(H1048="HOME",COUNTIFS('Istoric_Nativ'!$B$6:$B$405,E1048,'Istoric_Nativ'!$C$6:$C$405,F1048,'Istoric_Nativ'!$E$6:$E$405,G1048,'Istoric_Nativ'!$D$6:$D$405,"&lt;"&amp;J1048,'Istoric_Nativ'!$P$6:$P$405,1),IF(H1048="AWAY",COUNTIFS('Istoric_Nativ'!$B$6:$B$405,E1048,'Istoric_Nativ'!$C$6:$C$405,F1048,'Istoric_Nativ'!$F$6:$F$405,G1048,'Istoric_Nativ'!$D$6:$D$405,"&lt;"&amp;J1048,'Istoric_Nativ'!$P$6:$P$405,1),COUNTIFS('Istoric_Nativ'!$B$6:$B$405,E1048,'Istoric_Nativ'!$C$6:$C$405,F1048,'Istoric_Nativ'!$E$6:$E$405,G1048,'Istoric_Nativ'!$D$6:$D$405,"&lt;"&amp;J1048,'Istoric_Nativ'!$P$6:$P$405,1)+COUNTIFS('Istoric_Nativ'!$B$6:$B$405,E1048,'Istoric_Nativ'!$C$6:$C$405,F1048,'Istoric_Nativ'!$F$6:$F$405,G1048,'Istoric_Nativ'!$D$6:$D$405,"&lt;"&amp;J1048,'Istoric_Nativ'!$P$6:$P$405,1))))</x:f>
        <x:v>0</x:v>
      </x:c>
      <x:c r="L1048" s="17" t="n">
        <x:f>IF(AND(B1048&lt;&gt;"",I1048="RECENT",K1048&gt;0),LARGE(_xlfn._xlws.FILTER('Istoric_Nativ'!$D$6:$D$405,('Istoric_Nativ'!$B$6:$B$405=E1048)*('Istoric_Nativ'!$C$6:$C$405=F1048)*('Istoric_Nativ'!$P$6:$P$405=1)*('Istoric_Nativ'!$D$6:$D$405&lt;J1048)*((('Istoric_Nativ'!$E$6:$E$405=G1048)+('Istoric_Nativ'!$F$6:$F$405=G1048))&gt;0)),MIN('Config_v6'!$B$54,K1048)),0)</x:f>
        <x:v>0</x:v>
      </x:c>
      <x:c r="M1048" s="2" t="n">
        <x:f>IF(OR(B1048="",F1048=""),0,IF(H1048="HOME",COUNTIFS('Istoric_Nativ'!$B$6:$B$405,E1048,'Istoric_Nativ'!$C$6:$C$405,F1048,'Istoric_Nativ'!$E$6:$E$405,G1048,'Istoric_Nativ'!$D$6:$D$405,"&lt;"&amp;J1048,'Istoric_Nativ'!$P$6:$P$405,1,'Istoric_Nativ'!$D$6:$D$405,"&gt;="&amp;L1048),IF(H1048="AWAY",COUNTIFS('Istoric_Nativ'!$B$6:$B$405,E1048,'Istoric_Nativ'!$C$6:$C$405,F1048,'Istoric_Nativ'!$F$6:$F$405,G1048,'Istoric_Nativ'!$D$6:$D$405,"&lt;"&amp;J1048,'Istoric_Nativ'!$P$6:$P$405,1,'Istoric_Nativ'!$D$6:$D$405,"&gt;="&amp;L1048),COUNTIFS('Istoric_Nativ'!$B$6:$B$405,E1048,'Istoric_Nativ'!$C$6:$C$405,F1048,'Istoric_Nativ'!$E$6:$E$405,G1048,'Istoric_Nativ'!$D$6:$D$405,"&lt;"&amp;J1048,'Istoric_Nativ'!$P$6:$P$405,1,'Istoric_Nativ'!$D$6:$D$405,"&gt;="&amp;L1048)+COUNTIFS('Istoric_Nativ'!$B$6:$B$405,E1048,'Istoric_Nativ'!$C$6:$C$405,F1048,'Istoric_Nativ'!$F$6:$F$405,G1048,'Istoric_Nativ'!$D$6:$D$405,"&lt;"&amp;J1048,'Istoric_Nativ'!$P$6:$P$405,1,'Istoric_Nativ'!$D$6:$D$405,"&gt;="&amp;L1048))))</x:f>
        <x:v>0</x:v>
      </x:c>
      <x:c r="N1048" s="11" t="str">
        <x:f>IF(M1048=0,"",IF(H1048="HOME",SUMIFS('Istoric_Nativ'!$G$6:$G$405,'Istoric_Nativ'!$B$6:$B$405,E1048,'Istoric_Nativ'!$C$6:$C$405,F1048,'Istoric_Nativ'!$E$6:$E$405,G1048,'Istoric_Nativ'!$D$6:$D$405,"&lt;"&amp;J1048,'Istoric_Nativ'!$P$6:$P$405,1,'Istoric_Nativ'!$D$6:$D$405,"&gt;="&amp;L1048),IF(H1048="AWAY",SUMIFS('Istoric_Nativ'!$H$6:$H$405,'Istoric_Nativ'!$B$6:$B$405,E1048,'Istoric_Nativ'!$C$6:$C$405,F1048,'Istoric_Nativ'!$F$6:$F$405,G1048,'Istoric_Nativ'!$D$6:$D$405,"&lt;"&amp;J1048,'Istoric_Nativ'!$P$6:$P$405,1,'Istoric_Nativ'!$D$6:$D$405,"&gt;="&amp;L1048),SUMIFS('Istoric_Nativ'!$G$6:$G$405,'Istoric_Nativ'!$B$6:$B$405,E1048,'Istoric_Nativ'!$C$6:$C$405,F1048,'Istoric_Nativ'!$E$6:$E$405,G1048,'Istoric_Nativ'!$D$6:$D$405,"&lt;"&amp;J1048,'Istoric_Nativ'!$P$6:$P$405,1,'Istoric_Nativ'!$D$6:$D$405,"&gt;="&amp;L1048)+SUMIFS('Istoric_Nativ'!$H$6:$H$405,'Istoric_Nativ'!$B$6:$B$405,E1048,'Istoric_Nativ'!$C$6:$C$405,F1048,'Istoric_Nativ'!$F$6:$F$405,G1048,'Istoric_Nativ'!$D$6:$D$405,"&lt;"&amp;J1048,'Istoric_Nativ'!$P$6:$P$405,1,'Istoric_Nativ'!$D$6:$D$405,"&gt;="&amp;L1048)))/M1048)</x:f>
      </x:c>
      <x:c r="O1048" s="11" t="str">
        <x:f>IF(M1048=0,"",IF(H1048="HOME",SUMIFS('Istoric_Nativ'!$H$6:$H$405,'Istoric_Nativ'!$B$6:$B$405,E1048,'Istoric_Nativ'!$C$6:$C$405,F1048,'Istoric_Nativ'!$E$6:$E$405,G1048,'Istoric_Nativ'!$D$6:$D$405,"&lt;"&amp;J1048,'Istoric_Nativ'!$P$6:$P$405,1,'Istoric_Nativ'!$D$6:$D$405,"&gt;="&amp;L1048),IF(H1048="AWAY",SUMIFS('Istoric_Nativ'!$G$6:$G$405,'Istoric_Nativ'!$B$6:$B$405,E1048,'Istoric_Nativ'!$C$6:$C$405,F1048,'Istoric_Nativ'!$F$6:$F$405,G1048,'Istoric_Nativ'!$D$6:$D$405,"&lt;"&amp;J1048,'Istoric_Nativ'!$P$6:$P$405,1,'Istoric_Nativ'!$D$6:$D$405,"&gt;="&amp;L1048),SUMIFS('Istoric_Nativ'!$H$6:$H$405,'Istoric_Nativ'!$B$6:$B$405,E1048,'Istoric_Nativ'!$C$6:$C$405,F1048,'Istoric_Nativ'!$E$6:$E$405,G1048,'Istoric_Nativ'!$D$6:$D$405,"&lt;"&amp;J1048,'Istoric_Nativ'!$P$6:$P$405,1,'Istoric_Nativ'!$D$6:$D$405,"&gt;="&amp;L1048)+SUMIFS('Istoric_Nativ'!$G$6:$G$405,'Istoric_Nativ'!$B$6:$B$405,E1048,'Istoric_Nativ'!$C$6:$C$405,F1048,'Istoric_Nativ'!$F$6:$F$405,G1048,'Istoric_Nativ'!$D$6:$D$405,"&lt;"&amp;J1048,'Istoric_Nativ'!$P$6:$P$405,1,'Istoric_Nativ'!$D$6:$D$405,"&gt;="&amp;L1048)))/M1048)</x:f>
      </x:c>
      <x:c r="P1048" s="2" t="n">
        <x:f>'Config_v6'!$B$8</x:f>
        <x:v>5</x:v>
      </x:c>
      <x:c r="Q1048" s="2" t="n">
        <x:f>IF(OR(B1048="",F1048=""),0,IFERROR(MATCH(E1048&amp;"|"&amp;F1048,SourceTable[Source_Key],0),0))</x:f>
        <x:v>0</x:v>
      </x:c>
      <x:c r="R1048" s="2" t="str">
        <x:f>IF(B1048="","",IF(F1048="","UNUSED",IF(Q1048=0,"NOT CHECKED",IF(COUNTIF(SourceTable[Source_Key],E1048&amp;"|"&amp;F1048)&lt;&gt;1,"SOURCE CONFLICT",IF(NOT(OR(INDEX(SourceTable[Status],MAX(1,Q1048))="IMPORTED",INDEX(SourceTable[Status],MAX(1,Q1048))="PARTIAL",INDEX(SourceTable[Status],MAX(1,Q1048))="SOURCE CONFLICT")),"ACCESS BLOCKED",IF(OR(INDEX(SourceTable[Coverage],Q1048)&lt;&gt;"FULL SEASON EXPORT",INDEX(SourceTable[URL],Q1048)="",INDEX(SourceTable[SHA256],Q1048)=""),"EVIDENCE INCOMPLETE",IF(AND('Input_Meci'!H92="LIVE",INDEX(SourceTable[Retrieved_UTC],Q1048)&gt;'Input_Meci'!G92),"POST CUTOFF","CLOSED")))))))</x:f>
      </x:c>
      <x:c r="S1048" s="2" t="n">
        <x:f>IF(OR(B1048="",F1048=""),0,COUNTIFS('Istoric_Nativ'!$B$6:$B$405,E1048,'Istoric_Nativ'!$C$6:$C$405,F1048,'Istoric_Nativ'!$E$6:$E$405,G1048,'Istoric_Nativ'!$D$6:$D$405,"&lt;"&amp;J1048,'Istoric_Nativ'!$O$6:$O$405,"INVALID")+COUNTIFS('Istoric_Nativ'!$B$6:$B$405,E1048,'Istoric_Nativ'!$C$6:$C$405,F1048,'Istoric_Nativ'!$E$6:$E$405,G1048,'Istoric_Nativ'!$O$6:$O$405,"INVALID",'Istoric_Nativ'!$D$6:$D$405,"*")+COUNTIFS('Istoric_Nativ'!$B$6:$B$405,E1048,'Istoric_Nativ'!$C$6:$C$405,F1048,'Istoric_Nativ'!$E$6:$E$405,G1048,'Istoric_Nativ'!$D$6:$D$405,"&lt;"&amp;J1048,'Istoric_Nativ'!$O$6:$O$405,"SOURCE CONFLICT")+COUNTIFS('Istoric_Nativ'!$B$6:$B$405,E1048,'Istoric_Nativ'!$C$6:$C$405,F1048,'Istoric_Nativ'!$F$6:$F$405,G1048,'Istoric_Nativ'!$D$6:$D$405,"&lt;"&amp;J1048,'Istoric_Nativ'!$O$6:$O$405,"INVALID")+COUNTIFS('Istoric_Nativ'!$B$6:$B$405,E1048,'Istoric_Nativ'!$C$6:$C$405,F1048,'Istoric_Nativ'!$F$6:$F$405,G1048,'Istoric_Nativ'!$O$6:$O$405,"INVALID",'Istoric_Nativ'!$D$6:$D$405,"*")+COUNTIFS('Istoric_Nativ'!$B$6:$B$405,E1048,'Istoric_Nativ'!$C$6:$C$405,F1048,'Istoric_Nativ'!$F$6:$F$405,G1048,'Istoric_Nativ'!$D$6:$D$405,"&lt;"&amp;J1048,'Istoric_Nativ'!$O$6:$O$405,"SOURCE CONFLICT"))</x:f>
        <x:v>0</x:v>
      </x:c>
      <x:c r="T1048" s="2" t="str">
        <x:f>IF(B1048="","",IF(R1048&lt;&gt;"CLOSED",R1048,IF(S1048&gt;0,"NATIVE INPUT ISSUE",IF(M1048=0,"NO HISTORY",IF(M1048&lt;P1048,"SMALL SAMPLE","DERIVED")))))</x:f>
      </x:c>
      <x:c r="U1048" s="2" t="str">
        <x:f>IF(B1048="","","NativeTable; "&amp;E1048&amp;"; "&amp;F1048&amp;"; "&amp;G1048&amp;"; "&amp;H1048&amp;"; before "&amp;TEXT(J1048,"yyyy-mm-dd")&amp;IF(I1048="RECENT","; from "&amp;TEXT(L1048,"yyyy-mm-dd"),""))</x:f>
      </x:c>
    </x:row>
    <x:row r="1049" ht="21" customHeight="1">
      <x:c r="A1049" s="2" t="n">
        <x:v>87</x:v>
      </x:c>
      <x:c r="B1049" s="2" t="str">
        <x:f>IF('Input_Meci'!A92="","",'Input_Meci'!A92)</x:f>
      </x:c>
      <x:c r="C1049" s="2" t="str">
        <x:v>A</x:v>
      </x:c>
      <x:c r="D1049" s="2" t="str">
        <x:v>PRIOR</x:v>
      </x:c>
      <x:c r="E1049" s="2" t="str">
        <x:f>IF(B1049="","",'Input_Meci'!B92)</x:f>
      </x:c>
      <x:c r="F1049" s="2" t="str">
        <x:f>IF(B1049="","",IF('Input_Meci'!K92="","",'Input_Meci'!K92))</x:f>
      </x:c>
      <x:c r="G1049" s="2" t="str">
        <x:f>IF(B1049="","",'Input_Meci'!E92)</x:f>
      </x:c>
      <x:c r="H1049" s="2" t="str">
        <x:v>ANY</x:v>
      </x:c>
      <x:c r="I1049" s="2" t="str">
        <x:v>RECENT</x:v>
      </x:c>
      <x:c r="J1049" s="9" t="n">
        <x:f>IF(AND(B1049&lt;&gt;"",ISNUMBER('Input_Meci'!G92)),INT('Input_Meci'!G92),0)</x:f>
        <x:v>0</x:v>
      </x:c>
      <x:c r="K1049" s="2" t="n">
        <x:f>IF(OR(B1049="",F1049=""),0,IF(H1049="HOME",COUNTIFS('Istoric_Nativ'!$B$6:$B$405,E1049,'Istoric_Nativ'!$C$6:$C$405,F1049,'Istoric_Nativ'!$E$6:$E$405,G1049,'Istoric_Nativ'!$D$6:$D$405,"&lt;"&amp;J1049,'Istoric_Nativ'!$P$6:$P$405,1),IF(H1049="AWAY",COUNTIFS('Istoric_Nativ'!$B$6:$B$405,E1049,'Istoric_Nativ'!$C$6:$C$405,F1049,'Istoric_Nativ'!$F$6:$F$405,G1049,'Istoric_Nativ'!$D$6:$D$405,"&lt;"&amp;J1049,'Istoric_Nativ'!$P$6:$P$405,1),COUNTIFS('Istoric_Nativ'!$B$6:$B$405,E1049,'Istoric_Nativ'!$C$6:$C$405,F1049,'Istoric_Nativ'!$E$6:$E$405,G1049,'Istoric_Nativ'!$D$6:$D$405,"&lt;"&amp;J1049,'Istoric_Nativ'!$P$6:$P$405,1)+COUNTIFS('Istoric_Nativ'!$B$6:$B$405,E1049,'Istoric_Nativ'!$C$6:$C$405,F1049,'Istoric_Nativ'!$F$6:$F$405,G1049,'Istoric_Nativ'!$D$6:$D$405,"&lt;"&amp;J1049,'Istoric_Nativ'!$P$6:$P$405,1))))</x:f>
        <x:v>0</x:v>
      </x:c>
      <x:c r="L1049" s="17" t="n">
        <x:f>IF(AND(B1049&lt;&gt;"",I1049="RECENT",K1049&gt;0),LARGE(_xlfn._xlws.FILTER('Istoric_Nativ'!$D$6:$D$405,('Istoric_Nativ'!$B$6:$B$405=E1049)*('Istoric_Nativ'!$C$6:$C$405=F1049)*('Istoric_Nativ'!$P$6:$P$405=1)*('Istoric_Nativ'!$D$6:$D$405&lt;J1049)*((('Istoric_Nativ'!$E$6:$E$405=G1049)+('Istoric_Nativ'!$F$6:$F$405=G1049))&gt;0)),MIN('Config_v6'!$B$54,K1049)),0)</x:f>
        <x:v>0</x:v>
      </x:c>
      <x:c r="M1049" s="2" t="n">
        <x:f>IF(OR(B1049="",F1049=""),0,IF(H1049="HOME",COUNTIFS('Istoric_Nativ'!$B$6:$B$405,E1049,'Istoric_Nativ'!$C$6:$C$405,F1049,'Istoric_Nativ'!$E$6:$E$405,G1049,'Istoric_Nativ'!$D$6:$D$405,"&lt;"&amp;J1049,'Istoric_Nativ'!$P$6:$P$405,1,'Istoric_Nativ'!$D$6:$D$405,"&gt;="&amp;L1049),IF(H1049="AWAY",COUNTIFS('Istoric_Nativ'!$B$6:$B$405,E1049,'Istoric_Nativ'!$C$6:$C$405,F1049,'Istoric_Nativ'!$F$6:$F$405,G1049,'Istoric_Nativ'!$D$6:$D$405,"&lt;"&amp;J1049,'Istoric_Nativ'!$P$6:$P$405,1,'Istoric_Nativ'!$D$6:$D$405,"&gt;="&amp;L1049),COUNTIFS('Istoric_Nativ'!$B$6:$B$405,E1049,'Istoric_Nativ'!$C$6:$C$405,F1049,'Istoric_Nativ'!$E$6:$E$405,G1049,'Istoric_Nativ'!$D$6:$D$405,"&lt;"&amp;J1049,'Istoric_Nativ'!$P$6:$P$405,1,'Istoric_Nativ'!$D$6:$D$405,"&gt;="&amp;L1049)+COUNTIFS('Istoric_Nativ'!$B$6:$B$405,E1049,'Istoric_Nativ'!$C$6:$C$405,F1049,'Istoric_Nativ'!$F$6:$F$405,G1049,'Istoric_Nativ'!$D$6:$D$405,"&lt;"&amp;J1049,'Istoric_Nativ'!$P$6:$P$405,1,'Istoric_Nativ'!$D$6:$D$405,"&gt;="&amp;L1049))))</x:f>
        <x:v>0</x:v>
      </x:c>
      <x:c r="N1049" s="11" t="str">
        <x:f>IF(M1049=0,"",IF(H1049="HOME",SUMIFS('Istoric_Nativ'!$G$6:$G$405,'Istoric_Nativ'!$B$6:$B$405,E1049,'Istoric_Nativ'!$C$6:$C$405,F1049,'Istoric_Nativ'!$E$6:$E$405,G1049,'Istoric_Nativ'!$D$6:$D$405,"&lt;"&amp;J1049,'Istoric_Nativ'!$P$6:$P$405,1,'Istoric_Nativ'!$D$6:$D$405,"&gt;="&amp;L1049),IF(H1049="AWAY",SUMIFS('Istoric_Nativ'!$H$6:$H$405,'Istoric_Nativ'!$B$6:$B$405,E1049,'Istoric_Nativ'!$C$6:$C$405,F1049,'Istoric_Nativ'!$F$6:$F$405,G1049,'Istoric_Nativ'!$D$6:$D$405,"&lt;"&amp;J1049,'Istoric_Nativ'!$P$6:$P$405,1,'Istoric_Nativ'!$D$6:$D$405,"&gt;="&amp;L1049),SUMIFS('Istoric_Nativ'!$G$6:$G$405,'Istoric_Nativ'!$B$6:$B$405,E1049,'Istoric_Nativ'!$C$6:$C$405,F1049,'Istoric_Nativ'!$E$6:$E$405,G1049,'Istoric_Nativ'!$D$6:$D$405,"&lt;"&amp;J1049,'Istoric_Nativ'!$P$6:$P$405,1,'Istoric_Nativ'!$D$6:$D$405,"&gt;="&amp;L1049)+SUMIFS('Istoric_Nativ'!$H$6:$H$405,'Istoric_Nativ'!$B$6:$B$405,E1049,'Istoric_Nativ'!$C$6:$C$405,F1049,'Istoric_Nativ'!$F$6:$F$405,G1049,'Istoric_Nativ'!$D$6:$D$405,"&lt;"&amp;J1049,'Istoric_Nativ'!$P$6:$P$405,1,'Istoric_Nativ'!$D$6:$D$405,"&gt;="&amp;L1049)))/M1049)</x:f>
      </x:c>
      <x:c r="O1049" s="11" t="str">
        <x:f>IF(M1049=0,"",IF(H1049="HOME",SUMIFS('Istoric_Nativ'!$H$6:$H$405,'Istoric_Nativ'!$B$6:$B$405,E1049,'Istoric_Nativ'!$C$6:$C$405,F1049,'Istoric_Nativ'!$E$6:$E$405,G1049,'Istoric_Nativ'!$D$6:$D$405,"&lt;"&amp;J1049,'Istoric_Nativ'!$P$6:$P$405,1,'Istoric_Nativ'!$D$6:$D$405,"&gt;="&amp;L1049),IF(H1049="AWAY",SUMIFS('Istoric_Nativ'!$G$6:$G$405,'Istoric_Nativ'!$B$6:$B$405,E1049,'Istoric_Nativ'!$C$6:$C$405,F1049,'Istoric_Nativ'!$F$6:$F$405,G1049,'Istoric_Nativ'!$D$6:$D$405,"&lt;"&amp;J1049,'Istoric_Nativ'!$P$6:$P$405,1,'Istoric_Nativ'!$D$6:$D$405,"&gt;="&amp;L1049),SUMIFS('Istoric_Nativ'!$H$6:$H$405,'Istoric_Nativ'!$B$6:$B$405,E1049,'Istoric_Nativ'!$C$6:$C$405,F1049,'Istoric_Nativ'!$E$6:$E$405,G1049,'Istoric_Nativ'!$D$6:$D$405,"&lt;"&amp;J1049,'Istoric_Nativ'!$P$6:$P$405,1,'Istoric_Nativ'!$D$6:$D$405,"&gt;="&amp;L1049)+SUMIFS('Istoric_Nativ'!$G$6:$G$405,'Istoric_Nativ'!$B$6:$B$405,E1049,'Istoric_Nativ'!$C$6:$C$405,F1049,'Istoric_Nativ'!$F$6:$F$405,G1049,'Istoric_Nativ'!$D$6:$D$405,"&lt;"&amp;J1049,'Istoric_Nativ'!$P$6:$P$405,1,'Istoric_Nativ'!$D$6:$D$405,"&gt;="&amp;L1049)))/M1049)</x:f>
      </x:c>
      <x:c r="P1049" s="2" t="n">
        <x:f>'Config_v6'!$B$9</x:f>
        <x:v>3</x:v>
      </x:c>
      <x:c r="Q1049" s="2" t="n">
        <x:f>IF(OR(B1049="",F1049=""),0,IFERROR(MATCH(E1049&amp;"|"&amp;F1049,SourceTable[Source_Key],0),0))</x:f>
        <x:v>0</x:v>
      </x:c>
      <x:c r="R1049" s="2" t="str">
        <x:f>IF(B1049="","",IF(F1049="","UNUSED",IF(Q1049=0,"NOT CHECKED",IF(COUNTIF(SourceTable[Source_Key],E1049&amp;"|"&amp;F1049)&lt;&gt;1,"SOURCE CONFLICT",IF(NOT(OR(INDEX(SourceTable[Status],MAX(1,Q1049))="IMPORTED",INDEX(SourceTable[Status],MAX(1,Q1049))="PARTIAL",INDEX(SourceTable[Status],MAX(1,Q1049))="SOURCE CONFLICT")),"ACCESS BLOCKED",IF(OR(INDEX(SourceTable[Coverage],Q1049)&lt;&gt;"FULL SEASON EXPORT",INDEX(SourceTable[URL],Q1049)="",INDEX(SourceTable[SHA256],Q1049)=""),"EVIDENCE INCOMPLETE",IF(AND('Input_Meci'!H92="LIVE",INDEX(SourceTable[Retrieved_UTC],Q1049)&gt;'Input_Meci'!G92),"POST CUTOFF","CLOSED")))))))</x:f>
      </x:c>
      <x:c r="S1049" s="2" t="n">
        <x:f>IF(OR(B1049="",F1049=""),0,COUNTIFS('Istoric_Nativ'!$B$6:$B$405,E1049,'Istoric_Nativ'!$C$6:$C$405,F1049,'Istoric_Nativ'!$E$6:$E$405,G1049,'Istoric_Nativ'!$D$6:$D$405,"&lt;"&amp;J1049,'Istoric_Nativ'!$O$6:$O$405,"INVALID")+COUNTIFS('Istoric_Nativ'!$B$6:$B$405,E1049,'Istoric_Nativ'!$C$6:$C$405,F1049,'Istoric_Nativ'!$E$6:$E$405,G1049,'Istoric_Nativ'!$O$6:$O$405,"INVALID",'Istoric_Nativ'!$D$6:$D$405,"*")+COUNTIFS('Istoric_Nativ'!$B$6:$B$405,E1049,'Istoric_Nativ'!$C$6:$C$405,F1049,'Istoric_Nativ'!$E$6:$E$405,G1049,'Istoric_Nativ'!$D$6:$D$405,"&lt;"&amp;J1049,'Istoric_Nativ'!$O$6:$O$405,"SOURCE CONFLICT")+COUNTIFS('Istoric_Nativ'!$B$6:$B$405,E1049,'Istoric_Nativ'!$C$6:$C$405,F1049,'Istoric_Nativ'!$F$6:$F$405,G1049,'Istoric_Nativ'!$D$6:$D$405,"&lt;"&amp;J1049,'Istoric_Nativ'!$O$6:$O$405,"INVALID")+COUNTIFS('Istoric_Nativ'!$B$6:$B$405,E1049,'Istoric_Nativ'!$C$6:$C$405,F1049,'Istoric_Nativ'!$F$6:$F$405,G1049,'Istoric_Nativ'!$O$6:$O$405,"INVALID",'Istoric_Nativ'!$D$6:$D$405,"*")+COUNTIFS('Istoric_Nativ'!$B$6:$B$405,E1049,'Istoric_Nativ'!$C$6:$C$405,F1049,'Istoric_Nativ'!$F$6:$F$405,G1049,'Istoric_Nativ'!$D$6:$D$405,"&lt;"&amp;J1049,'Istoric_Nativ'!$O$6:$O$405,"SOURCE CONFLICT"))</x:f>
        <x:v>0</x:v>
      </x:c>
      <x:c r="T1049" s="2" t="str">
        <x:f>IF(B1049="","",IF(R1049&lt;&gt;"CLOSED",R1049,IF(S1049&gt;0,"NATIVE INPUT ISSUE",IF(M1049=0,"NO HISTORY",IF(M1049&lt;P1049,"SMALL SAMPLE","DERIVED")))))</x:f>
      </x:c>
      <x:c r="U1049" s="2" t="str">
        <x:f>IF(B1049="","","NativeTable; "&amp;E1049&amp;"; "&amp;F1049&amp;"; "&amp;G1049&amp;"; "&amp;H1049&amp;"; before "&amp;TEXT(J1049,"yyyy-mm-dd")&amp;IF(I1049="RECENT","; from "&amp;TEXT(L1049,"yyyy-mm-dd"),""))</x:f>
      </x:c>
    </x:row>
    <x:row r="1050" ht="21" customHeight="1">
      <x:c r="A1050" s="2" t="n">
        <x:v>88</x:v>
      </x:c>
      <x:c r="B1050" s="2" t="str">
        <x:f>IF('Input_Meci'!A93="","",'Input_Meci'!A93)</x:f>
      </x:c>
      <x:c r="C1050" s="2" t="str">
        <x:v>H</x:v>
      </x:c>
      <x:c r="D1050" s="2" t="str">
        <x:v>CURRENT</x:v>
      </x:c>
      <x:c r="E1050" s="2" t="str">
        <x:f>IF(B1050="","",'Input_Meci'!B93)</x:f>
      </x:c>
      <x:c r="F1050" s="2" t="str">
        <x:f>IF(B1050="","",IF('Input_Meci'!C93="","",'Input_Meci'!C93))</x:f>
      </x:c>
      <x:c r="G1050" s="2" t="str">
        <x:f>IF(B1050="","",'Input_Meci'!D93)</x:f>
      </x:c>
      <x:c r="H1050" s="2" t="str">
        <x:v>ANY</x:v>
      </x:c>
      <x:c r="I1050" s="2" t="str">
        <x:v>SEASON</x:v>
      </x:c>
      <x:c r="J1050" s="9" t="n">
        <x:f>IF(AND(B1050&lt;&gt;"",ISNUMBER('Input_Meci'!G93)),INT('Input_Meci'!G93),0)</x:f>
        <x:v>0</x:v>
      </x:c>
      <x:c r="K1050" s="2" t="n">
        <x:f>IF(OR(B1050="",F1050=""),0,IF(H1050="HOME",COUNTIFS('Istoric_Nativ'!$B$6:$B$405,E1050,'Istoric_Nativ'!$C$6:$C$405,F1050,'Istoric_Nativ'!$E$6:$E$405,G1050,'Istoric_Nativ'!$D$6:$D$405,"&lt;"&amp;J1050,'Istoric_Nativ'!$P$6:$P$405,1),IF(H1050="AWAY",COUNTIFS('Istoric_Nativ'!$B$6:$B$405,E1050,'Istoric_Nativ'!$C$6:$C$405,F1050,'Istoric_Nativ'!$F$6:$F$405,G1050,'Istoric_Nativ'!$D$6:$D$405,"&lt;"&amp;J1050,'Istoric_Nativ'!$P$6:$P$405,1),COUNTIFS('Istoric_Nativ'!$B$6:$B$405,E1050,'Istoric_Nativ'!$C$6:$C$405,F1050,'Istoric_Nativ'!$E$6:$E$405,G1050,'Istoric_Nativ'!$D$6:$D$405,"&lt;"&amp;J1050,'Istoric_Nativ'!$P$6:$P$405,1)+COUNTIFS('Istoric_Nativ'!$B$6:$B$405,E1050,'Istoric_Nativ'!$C$6:$C$405,F1050,'Istoric_Nativ'!$F$6:$F$405,G1050,'Istoric_Nativ'!$D$6:$D$405,"&lt;"&amp;J1050,'Istoric_Nativ'!$P$6:$P$405,1))))</x:f>
        <x:v>0</x:v>
      </x:c>
      <x:c r="L1050" s="17" t="n">
        <x:f>IF(AND(B1050&lt;&gt;"",I1050="RECENT",K1050&gt;0),LARGE(_xlfn._xlws.FILTER('Istoric_Nativ'!$D$6:$D$405,('Istoric_Nativ'!$B$6:$B$405=E1050)*('Istoric_Nativ'!$C$6:$C$405=F1050)*('Istoric_Nativ'!$P$6:$P$405=1)*('Istoric_Nativ'!$D$6:$D$405&lt;J1050)*((('Istoric_Nativ'!$E$6:$E$405=G1050)+('Istoric_Nativ'!$F$6:$F$405=G1050))&gt;0)),MIN('Config_v6'!$B$54,K1050)),0)</x:f>
        <x:v>0</x:v>
      </x:c>
      <x:c r="M1050" s="2" t="n">
        <x:f>IF(OR(B1050="",F1050=""),0,IF(H1050="HOME",COUNTIFS('Istoric_Nativ'!$B$6:$B$405,E1050,'Istoric_Nativ'!$C$6:$C$405,F1050,'Istoric_Nativ'!$E$6:$E$405,G1050,'Istoric_Nativ'!$D$6:$D$405,"&lt;"&amp;J1050,'Istoric_Nativ'!$P$6:$P$405,1,'Istoric_Nativ'!$D$6:$D$405,"&gt;="&amp;L1050),IF(H1050="AWAY",COUNTIFS('Istoric_Nativ'!$B$6:$B$405,E1050,'Istoric_Nativ'!$C$6:$C$405,F1050,'Istoric_Nativ'!$F$6:$F$405,G1050,'Istoric_Nativ'!$D$6:$D$405,"&lt;"&amp;J1050,'Istoric_Nativ'!$P$6:$P$405,1,'Istoric_Nativ'!$D$6:$D$405,"&gt;="&amp;L1050),COUNTIFS('Istoric_Nativ'!$B$6:$B$405,E1050,'Istoric_Nativ'!$C$6:$C$405,F1050,'Istoric_Nativ'!$E$6:$E$405,G1050,'Istoric_Nativ'!$D$6:$D$405,"&lt;"&amp;J1050,'Istoric_Nativ'!$P$6:$P$405,1,'Istoric_Nativ'!$D$6:$D$405,"&gt;="&amp;L1050)+COUNTIFS('Istoric_Nativ'!$B$6:$B$405,E1050,'Istoric_Nativ'!$C$6:$C$405,F1050,'Istoric_Nativ'!$F$6:$F$405,G1050,'Istoric_Nativ'!$D$6:$D$405,"&lt;"&amp;J1050,'Istoric_Nativ'!$P$6:$P$405,1,'Istoric_Nativ'!$D$6:$D$405,"&gt;="&amp;L1050))))</x:f>
        <x:v>0</x:v>
      </x:c>
      <x:c r="N1050" s="11" t="str">
        <x:f>IF(M1050=0,"",IF(H1050="HOME",SUMIFS('Istoric_Nativ'!$G$6:$G$405,'Istoric_Nativ'!$B$6:$B$405,E1050,'Istoric_Nativ'!$C$6:$C$405,F1050,'Istoric_Nativ'!$E$6:$E$405,G1050,'Istoric_Nativ'!$D$6:$D$405,"&lt;"&amp;J1050,'Istoric_Nativ'!$P$6:$P$405,1,'Istoric_Nativ'!$D$6:$D$405,"&gt;="&amp;L1050),IF(H1050="AWAY",SUMIFS('Istoric_Nativ'!$H$6:$H$405,'Istoric_Nativ'!$B$6:$B$405,E1050,'Istoric_Nativ'!$C$6:$C$405,F1050,'Istoric_Nativ'!$F$6:$F$405,G1050,'Istoric_Nativ'!$D$6:$D$405,"&lt;"&amp;J1050,'Istoric_Nativ'!$P$6:$P$405,1,'Istoric_Nativ'!$D$6:$D$405,"&gt;="&amp;L1050),SUMIFS('Istoric_Nativ'!$G$6:$G$405,'Istoric_Nativ'!$B$6:$B$405,E1050,'Istoric_Nativ'!$C$6:$C$405,F1050,'Istoric_Nativ'!$E$6:$E$405,G1050,'Istoric_Nativ'!$D$6:$D$405,"&lt;"&amp;J1050,'Istoric_Nativ'!$P$6:$P$405,1,'Istoric_Nativ'!$D$6:$D$405,"&gt;="&amp;L1050)+SUMIFS('Istoric_Nativ'!$H$6:$H$405,'Istoric_Nativ'!$B$6:$B$405,E1050,'Istoric_Nativ'!$C$6:$C$405,F1050,'Istoric_Nativ'!$F$6:$F$405,G1050,'Istoric_Nativ'!$D$6:$D$405,"&lt;"&amp;J1050,'Istoric_Nativ'!$P$6:$P$405,1,'Istoric_Nativ'!$D$6:$D$405,"&gt;="&amp;L1050)))/M1050)</x:f>
      </x:c>
      <x:c r="O1050" s="11" t="str">
        <x:f>IF(M1050=0,"",IF(H1050="HOME",SUMIFS('Istoric_Nativ'!$H$6:$H$405,'Istoric_Nativ'!$B$6:$B$405,E1050,'Istoric_Nativ'!$C$6:$C$405,F1050,'Istoric_Nativ'!$E$6:$E$405,G1050,'Istoric_Nativ'!$D$6:$D$405,"&lt;"&amp;J1050,'Istoric_Nativ'!$P$6:$P$405,1,'Istoric_Nativ'!$D$6:$D$405,"&gt;="&amp;L1050),IF(H1050="AWAY",SUMIFS('Istoric_Nativ'!$G$6:$G$405,'Istoric_Nativ'!$B$6:$B$405,E1050,'Istoric_Nativ'!$C$6:$C$405,F1050,'Istoric_Nativ'!$F$6:$F$405,G1050,'Istoric_Nativ'!$D$6:$D$405,"&lt;"&amp;J1050,'Istoric_Nativ'!$P$6:$P$405,1,'Istoric_Nativ'!$D$6:$D$405,"&gt;="&amp;L1050),SUMIFS('Istoric_Nativ'!$H$6:$H$405,'Istoric_Nativ'!$B$6:$B$405,E1050,'Istoric_Nativ'!$C$6:$C$405,F1050,'Istoric_Nativ'!$E$6:$E$405,G1050,'Istoric_Nativ'!$D$6:$D$405,"&lt;"&amp;J1050,'Istoric_Nativ'!$P$6:$P$405,1,'Istoric_Nativ'!$D$6:$D$405,"&gt;="&amp;L1050)+SUMIFS('Istoric_Nativ'!$G$6:$G$405,'Istoric_Nativ'!$B$6:$B$405,E1050,'Istoric_Nativ'!$C$6:$C$405,F1050,'Istoric_Nativ'!$F$6:$F$405,G1050,'Istoric_Nativ'!$D$6:$D$405,"&lt;"&amp;J1050,'Istoric_Nativ'!$P$6:$P$405,1,'Istoric_Nativ'!$D$6:$D$405,"&gt;="&amp;L1050)))/M1050)</x:f>
      </x:c>
      <x:c r="P1050" s="2" t="n">
        <x:f>'Config_v6'!$B$7</x:f>
        <x:v>10</x:v>
      </x:c>
      <x:c r="Q1050" s="2" t="n">
        <x:f>IF(OR(B1050="",F1050=""),0,IFERROR(MATCH(E1050&amp;"|"&amp;F1050,SourceTable[Source_Key],0),0))</x:f>
        <x:v>0</x:v>
      </x:c>
      <x:c r="R1050" s="2" t="str">
        <x:f>IF(B1050="","",IF(F1050="","UNUSED",IF(Q1050=0,"NOT CHECKED",IF(COUNTIF(SourceTable[Source_Key],E1050&amp;"|"&amp;F1050)&lt;&gt;1,"SOURCE CONFLICT",IF(NOT(OR(INDEX(SourceTable[Status],MAX(1,Q1050))="IMPORTED",INDEX(SourceTable[Status],MAX(1,Q1050))="PARTIAL",INDEX(SourceTable[Status],MAX(1,Q1050))="SOURCE CONFLICT")),"ACCESS BLOCKED",IF(OR(INDEX(SourceTable[Coverage],Q1050)&lt;&gt;"FULL SEASON EXPORT",INDEX(SourceTable[URL],Q1050)="",INDEX(SourceTable[SHA256],Q1050)=""),"EVIDENCE INCOMPLETE",IF(AND('Input_Meci'!H93="LIVE",INDEX(SourceTable[Retrieved_UTC],Q1050)&gt;'Input_Meci'!G93),"POST CUTOFF","CLOSED")))))))</x:f>
      </x:c>
      <x:c r="S1050" s="2" t="n">
        <x:f>IF(OR(B1050="",F1050=""),0,COUNTIFS('Istoric_Nativ'!$B$6:$B$405,E1050,'Istoric_Nativ'!$C$6:$C$405,F1050,'Istoric_Nativ'!$E$6:$E$405,G1050,'Istoric_Nativ'!$D$6:$D$405,"&lt;"&amp;J1050,'Istoric_Nativ'!$O$6:$O$405,"INVALID")+COUNTIFS('Istoric_Nativ'!$B$6:$B$405,E1050,'Istoric_Nativ'!$C$6:$C$405,F1050,'Istoric_Nativ'!$E$6:$E$405,G1050,'Istoric_Nativ'!$O$6:$O$405,"INVALID",'Istoric_Nativ'!$D$6:$D$405,"*")+COUNTIFS('Istoric_Nativ'!$B$6:$B$405,E1050,'Istoric_Nativ'!$C$6:$C$405,F1050,'Istoric_Nativ'!$E$6:$E$405,G1050,'Istoric_Nativ'!$D$6:$D$405,"&lt;"&amp;J1050,'Istoric_Nativ'!$O$6:$O$405,"SOURCE CONFLICT")+COUNTIFS('Istoric_Nativ'!$B$6:$B$405,E1050,'Istoric_Nativ'!$C$6:$C$405,F1050,'Istoric_Nativ'!$F$6:$F$405,G1050,'Istoric_Nativ'!$D$6:$D$405,"&lt;"&amp;J1050,'Istoric_Nativ'!$O$6:$O$405,"INVALID")+COUNTIFS('Istoric_Nativ'!$B$6:$B$405,E1050,'Istoric_Nativ'!$C$6:$C$405,F1050,'Istoric_Nativ'!$F$6:$F$405,G1050,'Istoric_Nativ'!$O$6:$O$405,"INVALID",'Istoric_Nativ'!$D$6:$D$405,"*")+COUNTIFS('Istoric_Nativ'!$B$6:$B$405,E1050,'Istoric_Nativ'!$C$6:$C$405,F1050,'Istoric_Nativ'!$F$6:$F$405,G1050,'Istoric_Nativ'!$D$6:$D$405,"&lt;"&amp;J1050,'Istoric_Nativ'!$O$6:$O$405,"SOURCE CONFLICT"))</x:f>
        <x:v>0</x:v>
      </x:c>
      <x:c r="T1050" s="2" t="str">
        <x:f>IF(B1050="","",IF(R1050&lt;&gt;"CLOSED",R1050,IF(S1050&gt;0,"NATIVE INPUT ISSUE",IF(M1050=0,"NO HISTORY",IF(M1050&lt;P1050,"SMALL SAMPLE","DERIVED")))))</x:f>
      </x:c>
      <x:c r="U1050" s="2" t="str">
        <x:f>IF(B1050="","","NativeTable; "&amp;E1050&amp;"; "&amp;F1050&amp;"; "&amp;G1050&amp;"; "&amp;H1050&amp;"; before "&amp;TEXT(J1050,"yyyy-mm-dd")&amp;IF(I1050="RECENT","; from "&amp;TEXT(L1050,"yyyy-mm-dd"),""))</x:f>
      </x:c>
    </x:row>
    <x:row r="1051" ht="21" customHeight="1">
      <x:c r="A1051" s="2" t="n">
        <x:v>88</x:v>
      </x:c>
      <x:c r="B1051" s="2" t="str">
        <x:f>IF('Input_Meci'!A93="","",'Input_Meci'!A93)</x:f>
      </x:c>
      <x:c r="C1051" s="2" t="str">
        <x:v>H</x:v>
      </x:c>
      <x:c r="D1051" s="2" t="str">
        <x:v>CURRENT</x:v>
      </x:c>
      <x:c r="E1051" s="2" t="str">
        <x:f>IF(B1051="","",'Input_Meci'!B93)</x:f>
      </x:c>
      <x:c r="F1051" s="2" t="str">
        <x:f>IF(B1051="","",IF('Input_Meci'!C93="","",'Input_Meci'!C93))</x:f>
      </x:c>
      <x:c r="G1051" s="2" t="str">
        <x:f>IF(B1051="","",'Input_Meci'!D93)</x:f>
      </x:c>
      <x:c r="H1051" s="2" t="str">
        <x:v>HOME</x:v>
      </x:c>
      <x:c r="I1051" s="2" t="str">
        <x:v>HA</x:v>
      </x:c>
      <x:c r="J1051" s="9" t="n">
        <x:f>IF(AND(B1051&lt;&gt;"",ISNUMBER('Input_Meci'!G93)),INT('Input_Meci'!G93),0)</x:f>
        <x:v>0</x:v>
      </x:c>
      <x:c r="K1051" s="2" t="n">
        <x:f>IF(OR(B1051="",F1051=""),0,IF(H1051="HOME",COUNTIFS('Istoric_Nativ'!$B$6:$B$405,E1051,'Istoric_Nativ'!$C$6:$C$405,F1051,'Istoric_Nativ'!$E$6:$E$405,G1051,'Istoric_Nativ'!$D$6:$D$405,"&lt;"&amp;J1051,'Istoric_Nativ'!$P$6:$P$405,1),IF(H1051="AWAY",COUNTIFS('Istoric_Nativ'!$B$6:$B$405,E1051,'Istoric_Nativ'!$C$6:$C$405,F1051,'Istoric_Nativ'!$F$6:$F$405,G1051,'Istoric_Nativ'!$D$6:$D$405,"&lt;"&amp;J1051,'Istoric_Nativ'!$P$6:$P$405,1),COUNTIFS('Istoric_Nativ'!$B$6:$B$405,E1051,'Istoric_Nativ'!$C$6:$C$405,F1051,'Istoric_Nativ'!$E$6:$E$405,G1051,'Istoric_Nativ'!$D$6:$D$405,"&lt;"&amp;J1051,'Istoric_Nativ'!$P$6:$P$405,1)+COUNTIFS('Istoric_Nativ'!$B$6:$B$405,E1051,'Istoric_Nativ'!$C$6:$C$405,F1051,'Istoric_Nativ'!$F$6:$F$405,G1051,'Istoric_Nativ'!$D$6:$D$405,"&lt;"&amp;J1051,'Istoric_Nativ'!$P$6:$P$405,1))))</x:f>
        <x:v>0</x:v>
      </x:c>
      <x:c r="L1051" s="17" t="n">
        <x:f>IF(AND(B1051&lt;&gt;"",I1051="RECENT",K1051&gt;0),LARGE(_xlfn._xlws.FILTER('Istoric_Nativ'!$D$6:$D$405,('Istoric_Nativ'!$B$6:$B$405=E1051)*('Istoric_Nativ'!$C$6:$C$405=F1051)*('Istoric_Nativ'!$P$6:$P$405=1)*('Istoric_Nativ'!$D$6:$D$405&lt;J1051)*((('Istoric_Nativ'!$E$6:$E$405=G1051)+('Istoric_Nativ'!$F$6:$F$405=G1051))&gt;0)),MIN('Config_v6'!$B$54,K1051)),0)</x:f>
        <x:v>0</x:v>
      </x:c>
      <x:c r="M1051" s="2" t="n">
        <x:f>IF(OR(B1051="",F1051=""),0,IF(H1051="HOME",COUNTIFS('Istoric_Nativ'!$B$6:$B$405,E1051,'Istoric_Nativ'!$C$6:$C$405,F1051,'Istoric_Nativ'!$E$6:$E$405,G1051,'Istoric_Nativ'!$D$6:$D$405,"&lt;"&amp;J1051,'Istoric_Nativ'!$P$6:$P$405,1,'Istoric_Nativ'!$D$6:$D$405,"&gt;="&amp;L1051),IF(H1051="AWAY",COUNTIFS('Istoric_Nativ'!$B$6:$B$405,E1051,'Istoric_Nativ'!$C$6:$C$405,F1051,'Istoric_Nativ'!$F$6:$F$405,G1051,'Istoric_Nativ'!$D$6:$D$405,"&lt;"&amp;J1051,'Istoric_Nativ'!$P$6:$P$405,1,'Istoric_Nativ'!$D$6:$D$405,"&gt;="&amp;L1051),COUNTIFS('Istoric_Nativ'!$B$6:$B$405,E1051,'Istoric_Nativ'!$C$6:$C$405,F1051,'Istoric_Nativ'!$E$6:$E$405,G1051,'Istoric_Nativ'!$D$6:$D$405,"&lt;"&amp;J1051,'Istoric_Nativ'!$P$6:$P$405,1,'Istoric_Nativ'!$D$6:$D$405,"&gt;="&amp;L1051)+COUNTIFS('Istoric_Nativ'!$B$6:$B$405,E1051,'Istoric_Nativ'!$C$6:$C$405,F1051,'Istoric_Nativ'!$F$6:$F$405,G1051,'Istoric_Nativ'!$D$6:$D$405,"&lt;"&amp;J1051,'Istoric_Nativ'!$P$6:$P$405,1,'Istoric_Nativ'!$D$6:$D$405,"&gt;="&amp;L1051))))</x:f>
        <x:v>0</x:v>
      </x:c>
      <x:c r="N1051" s="11" t="str">
        <x:f>IF(M1051=0,"",IF(H1051="HOME",SUMIFS('Istoric_Nativ'!$G$6:$G$405,'Istoric_Nativ'!$B$6:$B$405,E1051,'Istoric_Nativ'!$C$6:$C$405,F1051,'Istoric_Nativ'!$E$6:$E$405,G1051,'Istoric_Nativ'!$D$6:$D$405,"&lt;"&amp;J1051,'Istoric_Nativ'!$P$6:$P$405,1,'Istoric_Nativ'!$D$6:$D$405,"&gt;="&amp;L1051),IF(H1051="AWAY",SUMIFS('Istoric_Nativ'!$H$6:$H$405,'Istoric_Nativ'!$B$6:$B$405,E1051,'Istoric_Nativ'!$C$6:$C$405,F1051,'Istoric_Nativ'!$F$6:$F$405,G1051,'Istoric_Nativ'!$D$6:$D$405,"&lt;"&amp;J1051,'Istoric_Nativ'!$P$6:$P$405,1,'Istoric_Nativ'!$D$6:$D$405,"&gt;="&amp;L1051),SUMIFS('Istoric_Nativ'!$G$6:$G$405,'Istoric_Nativ'!$B$6:$B$405,E1051,'Istoric_Nativ'!$C$6:$C$405,F1051,'Istoric_Nativ'!$E$6:$E$405,G1051,'Istoric_Nativ'!$D$6:$D$405,"&lt;"&amp;J1051,'Istoric_Nativ'!$P$6:$P$405,1,'Istoric_Nativ'!$D$6:$D$405,"&gt;="&amp;L1051)+SUMIFS('Istoric_Nativ'!$H$6:$H$405,'Istoric_Nativ'!$B$6:$B$405,E1051,'Istoric_Nativ'!$C$6:$C$405,F1051,'Istoric_Nativ'!$F$6:$F$405,G1051,'Istoric_Nativ'!$D$6:$D$405,"&lt;"&amp;J1051,'Istoric_Nativ'!$P$6:$P$405,1,'Istoric_Nativ'!$D$6:$D$405,"&gt;="&amp;L1051)))/M1051)</x:f>
      </x:c>
      <x:c r="O1051" s="11" t="str">
        <x:f>IF(M1051=0,"",IF(H1051="HOME",SUMIFS('Istoric_Nativ'!$H$6:$H$405,'Istoric_Nativ'!$B$6:$B$405,E1051,'Istoric_Nativ'!$C$6:$C$405,F1051,'Istoric_Nativ'!$E$6:$E$405,G1051,'Istoric_Nativ'!$D$6:$D$405,"&lt;"&amp;J1051,'Istoric_Nativ'!$P$6:$P$405,1,'Istoric_Nativ'!$D$6:$D$405,"&gt;="&amp;L1051),IF(H1051="AWAY",SUMIFS('Istoric_Nativ'!$G$6:$G$405,'Istoric_Nativ'!$B$6:$B$405,E1051,'Istoric_Nativ'!$C$6:$C$405,F1051,'Istoric_Nativ'!$F$6:$F$405,G1051,'Istoric_Nativ'!$D$6:$D$405,"&lt;"&amp;J1051,'Istoric_Nativ'!$P$6:$P$405,1,'Istoric_Nativ'!$D$6:$D$405,"&gt;="&amp;L1051),SUMIFS('Istoric_Nativ'!$H$6:$H$405,'Istoric_Nativ'!$B$6:$B$405,E1051,'Istoric_Nativ'!$C$6:$C$405,F1051,'Istoric_Nativ'!$E$6:$E$405,G1051,'Istoric_Nativ'!$D$6:$D$405,"&lt;"&amp;J1051,'Istoric_Nativ'!$P$6:$P$405,1,'Istoric_Nativ'!$D$6:$D$405,"&gt;="&amp;L1051)+SUMIFS('Istoric_Nativ'!$G$6:$G$405,'Istoric_Nativ'!$B$6:$B$405,E1051,'Istoric_Nativ'!$C$6:$C$405,F1051,'Istoric_Nativ'!$F$6:$F$405,G1051,'Istoric_Nativ'!$D$6:$D$405,"&lt;"&amp;J1051,'Istoric_Nativ'!$P$6:$P$405,1,'Istoric_Nativ'!$D$6:$D$405,"&gt;="&amp;L1051)))/M1051)</x:f>
      </x:c>
      <x:c r="P1051" s="2" t="n">
        <x:f>'Config_v6'!$B$8</x:f>
        <x:v>5</x:v>
      </x:c>
      <x:c r="Q1051" s="2" t="n">
        <x:f>IF(OR(B1051="",F1051=""),0,IFERROR(MATCH(E1051&amp;"|"&amp;F1051,SourceTable[Source_Key],0),0))</x:f>
        <x:v>0</x:v>
      </x:c>
      <x:c r="R1051" s="2" t="str">
        <x:f>IF(B1051="","",IF(F1051="","UNUSED",IF(Q1051=0,"NOT CHECKED",IF(COUNTIF(SourceTable[Source_Key],E1051&amp;"|"&amp;F1051)&lt;&gt;1,"SOURCE CONFLICT",IF(NOT(OR(INDEX(SourceTable[Status],MAX(1,Q1051))="IMPORTED",INDEX(SourceTable[Status],MAX(1,Q1051))="PARTIAL",INDEX(SourceTable[Status],MAX(1,Q1051))="SOURCE CONFLICT")),"ACCESS BLOCKED",IF(OR(INDEX(SourceTable[Coverage],Q1051)&lt;&gt;"FULL SEASON EXPORT",INDEX(SourceTable[URL],Q1051)="",INDEX(SourceTable[SHA256],Q1051)=""),"EVIDENCE INCOMPLETE",IF(AND('Input_Meci'!H93="LIVE",INDEX(SourceTable[Retrieved_UTC],Q1051)&gt;'Input_Meci'!G93),"POST CUTOFF","CLOSED")))))))</x:f>
      </x:c>
      <x:c r="S1051" s="2" t="n">
        <x:f>IF(OR(B1051="",F1051=""),0,COUNTIFS('Istoric_Nativ'!$B$6:$B$405,E1051,'Istoric_Nativ'!$C$6:$C$405,F1051,'Istoric_Nativ'!$E$6:$E$405,G1051,'Istoric_Nativ'!$D$6:$D$405,"&lt;"&amp;J1051,'Istoric_Nativ'!$O$6:$O$405,"INVALID")+COUNTIFS('Istoric_Nativ'!$B$6:$B$405,E1051,'Istoric_Nativ'!$C$6:$C$405,F1051,'Istoric_Nativ'!$E$6:$E$405,G1051,'Istoric_Nativ'!$O$6:$O$405,"INVALID",'Istoric_Nativ'!$D$6:$D$405,"*")+COUNTIFS('Istoric_Nativ'!$B$6:$B$405,E1051,'Istoric_Nativ'!$C$6:$C$405,F1051,'Istoric_Nativ'!$E$6:$E$405,G1051,'Istoric_Nativ'!$D$6:$D$405,"&lt;"&amp;J1051,'Istoric_Nativ'!$O$6:$O$405,"SOURCE CONFLICT")+COUNTIFS('Istoric_Nativ'!$B$6:$B$405,E1051,'Istoric_Nativ'!$C$6:$C$405,F1051,'Istoric_Nativ'!$F$6:$F$405,G1051,'Istoric_Nativ'!$D$6:$D$405,"&lt;"&amp;J1051,'Istoric_Nativ'!$O$6:$O$405,"INVALID")+COUNTIFS('Istoric_Nativ'!$B$6:$B$405,E1051,'Istoric_Nativ'!$C$6:$C$405,F1051,'Istoric_Nativ'!$F$6:$F$405,G1051,'Istoric_Nativ'!$O$6:$O$405,"INVALID",'Istoric_Nativ'!$D$6:$D$405,"*")+COUNTIFS('Istoric_Nativ'!$B$6:$B$405,E1051,'Istoric_Nativ'!$C$6:$C$405,F1051,'Istoric_Nativ'!$F$6:$F$405,G1051,'Istoric_Nativ'!$D$6:$D$405,"&lt;"&amp;J1051,'Istoric_Nativ'!$O$6:$O$405,"SOURCE CONFLICT"))</x:f>
        <x:v>0</x:v>
      </x:c>
      <x:c r="T1051" s="2" t="str">
        <x:f>IF(B1051="","",IF(R1051&lt;&gt;"CLOSED",R1051,IF(S1051&gt;0,"NATIVE INPUT ISSUE",IF(M1051=0,"NO HISTORY",IF(M1051&lt;P1051,"SMALL SAMPLE","DERIVED")))))</x:f>
      </x:c>
      <x:c r="U1051" s="2" t="str">
        <x:f>IF(B1051="","","NativeTable; "&amp;E1051&amp;"; "&amp;F1051&amp;"; "&amp;G1051&amp;"; "&amp;H1051&amp;"; before "&amp;TEXT(J1051,"yyyy-mm-dd")&amp;IF(I1051="RECENT","; from "&amp;TEXT(L1051,"yyyy-mm-dd"),""))</x:f>
      </x:c>
    </x:row>
    <x:row r="1052" ht="21" customHeight="1">
      <x:c r="A1052" s="2" t="n">
        <x:v>88</x:v>
      </x:c>
      <x:c r="B1052" s="2" t="str">
        <x:f>IF('Input_Meci'!A93="","",'Input_Meci'!A93)</x:f>
      </x:c>
      <x:c r="C1052" s="2" t="str">
        <x:v>H</x:v>
      </x:c>
      <x:c r="D1052" s="2" t="str">
        <x:v>CURRENT</x:v>
      </x:c>
      <x:c r="E1052" s="2" t="str">
        <x:f>IF(B1052="","",'Input_Meci'!B93)</x:f>
      </x:c>
      <x:c r="F1052" s="2" t="str">
        <x:f>IF(B1052="","",IF('Input_Meci'!C93="","",'Input_Meci'!C93))</x:f>
      </x:c>
      <x:c r="G1052" s="2" t="str">
        <x:f>IF(B1052="","",'Input_Meci'!D93)</x:f>
      </x:c>
      <x:c r="H1052" s="2" t="str">
        <x:v>ANY</x:v>
      </x:c>
      <x:c r="I1052" s="2" t="str">
        <x:v>RECENT</x:v>
      </x:c>
      <x:c r="J1052" s="9" t="n">
        <x:f>IF(AND(B1052&lt;&gt;"",ISNUMBER('Input_Meci'!G93)),INT('Input_Meci'!G93),0)</x:f>
        <x:v>0</x:v>
      </x:c>
      <x:c r="K1052" s="2" t="n">
        <x:f>IF(OR(B1052="",F1052=""),0,IF(H1052="HOME",COUNTIFS('Istoric_Nativ'!$B$6:$B$405,E1052,'Istoric_Nativ'!$C$6:$C$405,F1052,'Istoric_Nativ'!$E$6:$E$405,G1052,'Istoric_Nativ'!$D$6:$D$405,"&lt;"&amp;J1052,'Istoric_Nativ'!$P$6:$P$405,1),IF(H1052="AWAY",COUNTIFS('Istoric_Nativ'!$B$6:$B$405,E1052,'Istoric_Nativ'!$C$6:$C$405,F1052,'Istoric_Nativ'!$F$6:$F$405,G1052,'Istoric_Nativ'!$D$6:$D$405,"&lt;"&amp;J1052,'Istoric_Nativ'!$P$6:$P$405,1),COUNTIFS('Istoric_Nativ'!$B$6:$B$405,E1052,'Istoric_Nativ'!$C$6:$C$405,F1052,'Istoric_Nativ'!$E$6:$E$405,G1052,'Istoric_Nativ'!$D$6:$D$405,"&lt;"&amp;J1052,'Istoric_Nativ'!$P$6:$P$405,1)+COUNTIFS('Istoric_Nativ'!$B$6:$B$405,E1052,'Istoric_Nativ'!$C$6:$C$405,F1052,'Istoric_Nativ'!$F$6:$F$405,G1052,'Istoric_Nativ'!$D$6:$D$405,"&lt;"&amp;J1052,'Istoric_Nativ'!$P$6:$P$405,1))))</x:f>
        <x:v>0</x:v>
      </x:c>
      <x:c r="L1052" s="17" t="n">
        <x:f>IF(AND(B1052&lt;&gt;"",I1052="RECENT",K1052&gt;0),LARGE(_xlfn._xlws.FILTER('Istoric_Nativ'!$D$6:$D$405,('Istoric_Nativ'!$B$6:$B$405=E1052)*('Istoric_Nativ'!$C$6:$C$405=F1052)*('Istoric_Nativ'!$P$6:$P$405=1)*('Istoric_Nativ'!$D$6:$D$405&lt;J1052)*((('Istoric_Nativ'!$E$6:$E$405=G1052)+('Istoric_Nativ'!$F$6:$F$405=G1052))&gt;0)),MIN('Config_v6'!$B$54,K1052)),0)</x:f>
        <x:v>0</x:v>
      </x:c>
      <x:c r="M1052" s="2" t="n">
        <x:f>IF(OR(B1052="",F1052=""),0,IF(H1052="HOME",COUNTIFS('Istoric_Nativ'!$B$6:$B$405,E1052,'Istoric_Nativ'!$C$6:$C$405,F1052,'Istoric_Nativ'!$E$6:$E$405,G1052,'Istoric_Nativ'!$D$6:$D$405,"&lt;"&amp;J1052,'Istoric_Nativ'!$P$6:$P$405,1,'Istoric_Nativ'!$D$6:$D$405,"&gt;="&amp;L1052),IF(H1052="AWAY",COUNTIFS('Istoric_Nativ'!$B$6:$B$405,E1052,'Istoric_Nativ'!$C$6:$C$405,F1052,'Istoric_Nativ'!$F$6:$F$405,G1052,'Istoric_Nativ'!$D$6:$D$405,"&lt;"&amp;J1052,'Istoric_Nativ'!$P$6:$P$405,1,'Istoric_Nativ'!$D$6:$D$405,"&gt;="&amp;L1052),COUNTIFS('Istoric_Nativ'!$B$6:$B$405,E1052,'Istoric_Nativ'!$C$6:$C$405,F1052,'Istoric_Nativ'!$E$6:$E$405,G1052,'Istoric_Nativ'!$D$6:$D$405,"&lt;"&amp;J1052,'Istoric_Nativ'!$P$6:$P$405,1,'Istoric_Nativ'!$D$6:$D$405,"&gt;="&amp;L1052)+COUNTIFS('Istoric_Nativ'!$B$6:$B$405,E1052,'Istoric_Nativ'!$C$6:$C$405,F1052,'Istoric_Nativ'!$F$6:$F$405,G1052,'Istoric_Nativ'!$D$6:$D$405,"&lt;"&amp;J1052,'Istoric_Nativ'!$P$6:$P$405,1,'Istoric_Nativ'!$D$6:$D$405,"&gt;="&amp;L1052))))</x:f>
        <x:v>0</x:v>
      </x:c>
      <x:c r="N1052" s="11" t="str">
        <x:f>IF(M1052=0,"",IF(H1052="HOME",SUMIFS('Istoric_Nativ'!$G$6:$G$405,'Istoric_Nativ'!$B$6:$B$405,E1052,'Istoric_Nativ'!$C$6:$C$405,F1052,'Istoric_Nativ'!$E$6:$E$405,G1052,'Istoric_Nativ'!$D$6:$D$405,"&lt;"&amp;J1052,'Istoric_Nativ'!$P$6:$P$405,1,'Istoric_Nativ'!$D$6:$D$405,"&gt;="&amp;L1052),IF(H1052="AWAY",SUMIFS('Istoric_Nativ'!$H$6:$H$405,'Istoric_Nativ'!$B$6:$B$405,E1052,'Istoric_Nativ'!$C$6:$C$405,F1052,'Istoric_Nativ'!$F$6:$F$405,G1052,'Istoric_Nativ'!$D$6:$D$405,"&lt;"&amp;J1052,'Istoric_Nativ'!$P$6:$P$405,1,'Istoric_Nativ'!$D$6:$D$405,"&gt;="&amp;L1052),SUMIFS('Istoric_Nativ'!$G$6:$G$405,'Istoric_Nativ'!$B$6:$B$405,E1052,'Istoric_Nativ'!$C$6:$C$405,F1052,'Istoric_Nativ'!$E$6:$E$405,G1052,'Istoric_Nativ'!$D$6:$D$405,"&lt;"&amp;J1052,'Istoric_Nativ'!$P$6:$P$405,1,'Istoric_Nativ'!$D$6:$D$405,"&gt;="&amp;L1052)+SUMIFS('Istoric_Nativ'!$H$6:$H$405,'Istoric_Nativ'!$B$6:$B$405,E1052,'Istoric_Nativ'!$C$6:$C$405,F1052,'Istoric_Nativ'!$F$6:$F$405,G1052,'Istoric_Nativ'!$D$6:$D$405,"&lt;"&amp;J1052,'Istoric_Nativ'!$P$6:$P$405,1,'Istoric_Nativ'!$D$6:$D$405,"&gt;="&amp;L1052)))/M1052)</x:f>
      </x:c>
      <x:c r="O1052" s="11" t="str">
        <x:f>IF(M1052=0,"",IF(H1052="HOME",SUMIFS('Istoric_Nativ'!$H$6:$H$405,'Istoric_Nativ'!$B$6:$B$405,E1052,'Istoric_Nativ'!$C$6:$C$405,F1052,'Istoric_Nativ'!$E$6:$E$405,G1052,'Istoric_Nativ'!$D$6:$D$405,"&lt;"&amp;J1052,'Istoric_Nativ'!$P$6:$P$405,1,'Istoric_Nativ'!$D$6:$D$405,"&gt;="&amp;L1052),IF(H1052="AWAY",SUMIFS('Istoric_Nativ'!$G$6:$G$405,'Istoric_Nativ'!$B$6:$B$405,E1052,'Istoric_Nativ'!$C$6:$C$405,F1052,'Istoric_Nativ'!$F$6:$F$405,G1052,'Istoric_Nativ'!$D$6:$D$405,"&lt;"&amp;J1052,'Istoric_Nativ'!$P$6:$P$405,1,'Istoric_Nativ'!$D$6:$D$405,"&gt;="&amp;L1052),SUMIFS('Istoric_Nativ'!$H$6:$H$405,'Istoric_Nativ'!$B$6:$B$405,E1052,'Istoric_Nativ'!$C$6:$C$405,F1052,'Istoric_Nativ'!$E$6:$E$405,G1052,'Istoric_Nativ'!$D$6:$D$405,"&lt;"&amp;J1052,'Istoric_Nativ'!$P$6:$P$405,1,'Istoric_Nativ'!$D$6:$D$405,"&gt;="&amp;L1052)+SUMIFS('Istoric_Nativ'!$G$6:$G$405,'Istoric_Nativ'!$B$6:$B$405,E1052,'Istoric_Nativ'!$C$6:$C$405,F1052,'Istoric_Nativ'!$F$6:$F$405,G1052,'Istoric_Nativ'!$D$6:$D$405,"&lt;"&amp;J1052,'Istoric_Nativ'!$P$6:$P$405,1,'Istoric_Nativ'!$D$6:$D$405,"&gt;="&amp;L1052)))/M1052)</x:f>
      </x:c>
      <x:c r="P1052" s="2" t="n">
        <x:f>'Config_v6'!$B$9</x:f>
        <x:v>3</x:v>
      </x:c>
      <x:c r="Q1052" s="2" t="n">
        <x:f>IF(OR(B1052="",F1052=""),0,IFERROR(MATCH(E1052&amp;"|"&amp;F1052,SourceTable[Source_Key],0),0))</x:f>
        <x:v>0</x:v>
      </x:c>
      <x:c r="R1052" s="2" t="str">
        <x:f>IF(B1052="","",IF(F1052="","UNUSED",IF(Q1052=0,"NOT CHECKED",IF(COUNTIF(SourceTable[Source_Key],E1052&amp;"|"&amp;F1052)&lt;&gt;1,"SOURCE CONFLICT",IF(NOT(OR(INDEX(SourceTable[Status],MAX(1,Q1052))="IMPORTED",INDEX(SourceTable[Status],MAX(1,Q1052))="PARTIAL",INDEX(SourceTable[Status],MAX(1,Q1052))="SOURCE CONFLICT")),"ACCESS BLOCKED",IF(OR(INDEX(SourceTable[Coverage],Q1052)&lt;&gt;"FULL SEASON EXPORT",INDEX(SourceTable[URL],Q1052)="",INDEX(SourceTable[SHA256],Q1052)=""),"EVIDENCE INCOMPLETE",IF(AND('Input_Meci'!H93="LIVE",INDEX(SourceTable[Retrieved_UTC],Q1052)&gt;'Input_Meci'!G93),"POST CUTOFF","CLOSED")))))))</x:f>
      </x:c>
      <x:c r="S1052" s="2" t="n">
        <x:f>IF(OR(B1052="",F1052=""),0,COUNTIFS('Istoric_Nativ'!$B$6:$B$405,E1052,'Istoric_Nativ'!$C$6:$C$405,F1052,'Istoric_Nativ'!$E$6:$E$405,G1052,'Istoric_Nativ'!$D$6:$D$405,"&lt;"&amp;J1052,'Istoric_Nativ'!$O$6:$O$405,"INVALID")+COUNTIFS('Istoric_Nativ'!$B$6:$B$405,E1052,'Istoric_Nativ'!$C$6:$C$405,F1052,'Istoric_Nativ'!$E$6:$E$405,G1052,'Istoric_Nativ'!$O$6:$O$405,"INVALID",'Istoric_Nativ'!$D$6:$D$405,"*")+COUNTIFS('Istoric_Nativ'!$B$6:$B$405,E1052,'Istoric_Nativ'!$C$6:$C$405,F1052,'Istoric_Nativ'!$E$6:$E$405,G1052,'Istoric_Nativ'!$D$6:$D$405,"&lt;"&amp;J1052,'Istoric_Nativ'!$O$6:$O$405,"SOURCE CONFLICT")+COUNTIFS('Istoric_Nativ'!$B$6:$B$405,E1052,'Istoric_Nativ'!$C$6:$C$405,F1052,'Istoric_Nativ'!$F$6:$F$405,G1052,'Istoric_Nativ'!$D$6:$D$405,"&lt;"&amp;J1052,'Istoric_Nativ'!$O$6:$O$405,"INVALID")+COUNTIFS('Istoric_Nativ'!$B$6:$B$405,E1052,'Istoric_Nativ'!$C$6:$C$405,F1052,'Istoric_Nativ'!$F$6:$F$405,G1052,'Istoric_Nativ'!$O$6:$O$405,"INVALID",'Istoric_Nativ'!$D$6:$D$405,"*")+COUNTIFS('Istoric_Nativ'!$B$6:$B$405,E1052,'Istoric_Nativ'!$C$6:$C$405,F1052,'Istoric_Nativ'!$F$6:$F$405,G1052,'Istoric_Nativ'!$D$6:$D$405,"&lt;"&amp;J1052,'Istoric_Nativ'!$O$6:$O$405,"SOURCE CONFLICT"))</x:f>
        <x:v>0</x:v>
      </x:c>
      <x:c r="T1052" s="2" t="str">
        <x:f>IF(B1052="","",IF(R1052&lt;&gt;"CLOSED",R1052,IF(S1052&gt;0,"NATIVE INPUT ISSUE",IF(M1052=0,"NO HISTORY",IF(M1052&lt;P1052,"SMALL SAMPLE","DERIVED")))))</x:f>
      </x:c>
      <x:c r="U1052" s="2" t="str">
        <x:f>IF(B1052="","","NativeTable; "&amp;E1052&amp;"; "&amp;F1052&amp;"; "&amp;G1052&amp;"; "&amp;H1052&amp;"; before "&amp;TEXT(J1052,"yyyy-mm-dd")&amp;IF(I1052="RECENT","; from "&amp;TEXT(L1052,"yyyy-mm-dd"),""))</x:f>
      </x:c>
    </x:row>
    <x:row r="1053" ht="21" customHeight="1">
      <x:c r="A1053" s="2" t="n">
        <x:v>88</x:v>
      </x:c>
      <x:c r="B1053" s="2" t="str">
        <x:f>IF('Input_Meci'!A93="","",'Input_Meci'!A93)</x:f>
      </x:c>
      <x:c r="C1053" s="2" t="str">
        <x:v>A</x:v>
      </x:c>
      <x:c r="D1053" s="2" t="str">
        <x:v>CURRENT</x:v>
      </x:c>
      <x:c r="E1053" s="2" t="str">
        <x:f>IF(B1053="","",'Input_Meci'!B93)</x:f>
      </x:c>
      <x:c r="F1053" s="2" t="str">
        <x:f>IF(B1053="","",IF('Input_Meci'!C93="","",'Input_Meci'!C93))</x:f>
      </x:c>
      <x:c r="G1053" s="2" t="str">
        <x:f>IF(B1053="","",'Input_Meci'!E93)</x:f>
      </x:c>
      <x:c r="H1053" s="2" t="str">
        <x:v>ANY</x:v>
      </x:c>
      <x:c r="I1053" s="2" t="str">
        <x:v>SEASON</x:v>
      </x:c>
      <x:c r="J1053" s="9" t="n">
        <x:f>IF(AND(B1053&lt;&gt;"",ISNUMBER('Input_Meci'!G93)),INT('Input_Meci'!G93),0)</x:f>
        <x:v>0</x:v>
      </x:c>
      <x:c r="K1053" s="2" t="n">
        <x:f>IF(OR(B1053="",F1053=""),0,IF(H1053="HOME",COUNTIFS('Istoric_Nativ'!$B$6:$B$405,E1053,'Istoric_Nativ'!$C$6:$C$405,F1053,'Istoric_Nativ'!$E$6:$E$405,G1053,'Istoric_Nativ'!$D$6:$D$405,"&lt;"&amp;J1053,'Istoric_Nativ'!$P$6:$P$405,1),IF(H1053="AWAY",COUNTIFS('Istoric_Nativ'!$B$6:$B$405,E1053,'Istoric_Nativ'!$C$6:$C$405,F1053,'Istoric_Nativ'!$F$6:$F$405,G1053,'Istoric_Nativ'!$D$6:$D$405,"&lt;"&amp;J1053,'Istoric_Nativ'!$P$6:$P$405,1),COUNTIFS('Istoric_Nativ'!$B$6:$B$405,E1053,'Istoric_Nativ'!$C$6:$C$405,F1053,'Istoric_Nativ'!$E$6:$E$405,G1053,'Istoric_Nativ'!$D$6:$D$405,"&lt;"&amp;J1053,'Istoric_Nativ'!$P$6:$P$405,1)+COUNTIFS('Istoric_Nativ'!$B$6:$B$405,E1053,'Istoric_Nativ'!$C$6:$C$405,F1053,'Istoric_Nativ'!$F$6:$F$405,G1053,'Istoric_Nativ'!$D$6:$D$405,"&lt;"&amp;J1053,'Istoric_Nativ'!$P$6:$P$405,1))))</x:f>
        <x:v>0</x:v>
      </x:c>
      <x:c r="L1053" s="17" t="n">
        <x:f>IF(AND(B1053&lt;&gt;"",I1053="RECENT",K1053&gt;0),LARGE(_xlfn._xlws.FILTER('Istoric_Nativ'!$D$6:$D$405,('Istoric_Nativ'!$B$6:$B$405=E1053)*('Istoric_Nativ'!$C$6:$C$405=F1053)*('Istoric_Nativ'!$P$6:$P$405=1)*('Istoric_Nativ'!$D$6:$D$405&lt;J1053)*((('Istoric_Nativ'!$E$6:$E$405=G1053)+('Istoric_Nativ'!$F$6:$F$405=G1053))&gt;0)),MIN('Config_v6'!$B$54,K1053)),0)</x:f>
        <x:v>0</x:v>
      </x:c>
      <x:c r="M1053" s="2" t="n">
        <x:f>IF(OR(B1053="",F1053=""),0,IF(H1053="HOME",COUNTIFS('Istoric_Nativ'!$B$6:$B$405,E1053,'Istoric_Nativ'!$C$6:$C$405,F1053,'Istoric_Nativ'!$E$6:$E$405,G1053,'Istoric_Nativ'!$D$6:$D$405,"&lt;"&amp;J1053,'Istoric_Nativ'!$P$6:$P$405,1,'Istoric_Nativ'!$D$6:$D$405,"&gt;="&amp;L1053),IF(H1053="AWAY",COUNTIFS('Istoric_Nativ'!$B$6:$B$405,E1053,'Istoric_Nativ'!$C$6:$C$405,F1053,'Istoric_Nativ'!$F$6:$F$405,G1053,'Istoric_Nativ'!$D$6:$D$405,"&lt;"&amp;J1053,'Istoric_Nativ'!$P$6:$P$405,1,'Istoric_Nativ'!$D$6:$D$405,"&gt;="&amp;L1053),COUNTIFS('Istoric_Nativ'!$B$6:$B$405,E1053,'Istoric_Nativ'!$C$6:$C$405,F1053,'Istoric_Nativ'!$E$6:$E$405,G1053,'Istoric_Nativ'!$D$6:$D$405,"&lt;"&amp;J1053,'Istoric_Nativ'!$P$6:$P$405,1,'Istoric_Nativ'!$D$6:$D$405,"&gt;="&amp;L1053)+COUNTIFS('Istoric_Nativ'!$B$6:$B$405,E1053,'Istoric_Nativ'!$C$6:$C$405,F1053,'Istoric_Nativ'!$F$6:$F$405,G1053,'Istoric_Nativ'!$D$6:$D$405,"&lt;"&amp;J1053,'Istoric_Nativ'!$P$6:$P$405,1,'Istoric_Nativ'!$D$6:$D$405,"&gt;="&amp;L1053))))</x:f>
        <x:v>0</x:v>
      </x:c>
      <x:c r="N1053" s="11" t="str">
        <x:f>IF(M1053=0,"",IF(H1053="HOME",SUMIFS('Istoric_Nativ'!$G$6:$G$405,'Istoric_Nativ'!$B$6:$B$405,E1053,'Istoric_Nativ'!$C$6:$C$405,F1053,'Istoric_Nativ'!$E$6:$E$405,G1053,'Istoric_Nativ'!$D$6:$D$405,"&lt;"&amp;J1053,'Istoric_Nativ'!$P$6:$P$405,1,'Istoric_Nativ'!$D$6:$D$405,"&gt;="&amp;L1053),IF(H1053="AWAY",SUMIFS('Istoric_Nativ'!$H$6:$H$405,'Istoric_Nativ'!$B$6:$B$405,E1053,'Istoric_Nativ'!$C$6:$C$405,F1053,'Istoric_Nativ'!$F$6:$F$405,G1053,'Istoric_Nativ'!$D$6:$D$405,"&lt;"&amp;J1053,'Istoric_Nativ'!$P$6:$P$405,1,'Istoric_Nativ'!$D$6:$D$405,"&gt;="&amp;L1053),SUMIFS('Istoric_Nativ'!$G$6:$G$405,'Istoric_Nativ'!$B$6:$B$405,E1053,'Istoric_Nativ'!$C$6:$C$405,F1053,'Istoric_Nativ'!$E$6:$E$405,G1053,'Istoric_Nativ'!$D$6:$D$405,"&lt;"&amp;J1053,'Istoric_Nativ'!$P$6:$P$405,1,'Istoric_Nativ'!$D$6:$D$405,"&gt;="&amp;L1053)+SUMIFS('Istoric_Nativ'!$H$6:$H$405,'Istoric_Nativ'!$B$6:$B$405,E1053,'Istoric_Nativ'!$C$6:$C$405,F1053,'Istoric_Nativ'!$F$6:$F$405,G1053,'Istoric_Nativ'!$D$6:$D$405,"&lt;"&amp;J1053,'Istoric_Nativ'!$P$6:$P$405,1,'Istoric_Nativ'!$D$6:$D$405,"&gt;="&amp;L1053)))/M1053)</x:f>
      </x:c>
      <x:c r="O1053" s="11" t="str">
        <x:f>IF(M1053=0,"",IF(H1053="HOME",SUMIFS('Istoric_Nativ'!$H$6:$H$405,'Istoric_Nativ'!$B$6:$B$405,E1053,'Istoric_Nativ'!$C$6:$C$405,F1053,'Istoric_Nativ'!$E$6:$E$405,G1053,'Istoric_Nativ'!$D$6:$D$405,"&lt;"&amp;J1053,'Istoric_Nativ'!$P$6:$P$405,1,'Istoric_Nativ'!$D$6:$D$405,"&gt;="&amp;L1053),IF(H1053="AWAY",SUMIFS('Istoric_Nativ'!$G$6:$G$405,'Istoric_Nativ'!$B$6:$B$405,E1053,'Istoric_Nativ'!$C$6:$C$405,F1053,'Istoric_Nativ'!$F$6:$F$405,G1053,'Istoric_Nativ'!$D$6:$D$405,"&lt;"&amp;J1053,'Istoric_Nativ'!$P$6:$P$405,1,'Istoric_Nativ'!$D$6:$D$405,"&gt;="&amp;L1053),SUMIFS('Istoric_Nativ'!$H$6:$H$405,'Istoric_Nativ'!$B$6:$B$405,E1053,'Istoric_Nativ'!$C$6:$C$405,F1053,'Istoric_Nativ'!$E$6:$E$405,G1053,'Istoric_Nativ'!$D$6:$D$405,"&lt;"&amp;J1053,'Istoric_Nativ'!$P$6:$P$405,1,'Istoric_Nativ'!$D$6:$D$405,"&gt;="&amp;L1053)+SUMIFS('Istoric_Nativ'!$G$6:$G$405,'Istoric_Nativ'!$B$6:$B$405,E1053,'Istoric_Nativ'!$C$6:$C$405,F1053,'Istoric_Nativ'!$F$6:$F$405,G1053,'Istoric_Nativ'!$D$6:$D$405,"&lt;"&amp;J1053,'Istoric_Nativ'!$P$6:$P$405,1,'Istoric_Nativ'!$D$6:$D$405,"&gt;="&amp;L1053)))/M1053)</x:f>
      </x:c>
      <x:c r="P1053" s="2" t="n">
        <x:f>'Config_v6'!$B$7</x:f>
        <x:v>10</x:v>
      </x:c>
      <x:c r="Q1053" s="2" t="n">
        <x:f>IF(OR(B1053="",F1053=""),0,IFERROR(MATCH(E1053&amp;"|"&amp;F1053,SourceTable[Source_Key],0),0))</x:f>
        <x:v>0</x:v>
      </x:c>
      <x:c r="R1053" s="2" t="str">
        <x:f>IF(B1053="","",IF(F1053="","UNUSED",IF(Q1053=0,"NOT CHECKED",IF(COUNTIF(SourceTable[Source_Key],E1053&amp;"|"&amp;F1053)&lt;&gt;1,"SOURCE CONFLICT",IF(NOT(OR(INDEX(SourceTable[Status],MAX(1,Q1053))="IMPORTED",INDEX(SourceTable[Status],MAX(1,Q1053))="PARTIAL",INDEX(SourceTable[Status],MAX(1,Q1053))="SOURCE CONFLICT")),"ACCESS BLOCKED",IF(OR(INDEX(SourceTable[Coverage],Q1053)&lt;&gt;"FULL SEASON EXPORT",INDEX(SourceTable[URL],Q1053)="",INDEX(SourceTable[SHA256],Q1053)=""),"EVIDENCE INCOMPLETE",IF(AND('Input_Meci'!H93="LIVE",INDEX(SourceTable[Retrieved_UTC],Q1053)&gt;'Input_Meci'!G93),"POST CUTOFF","CLOSED")))))))</x:f>
      </x:c>
      <x:c r="S1053" s="2" t="n">
        <x:f>IF(OR(B1053="",F1053=""),0,COUNTIFS('Istoric_Nativ'!$B$6:$B$405,E1053,'Istoric_Nativ'!$C$6:$C$405,F1053,'Istoric_Nativ'!$E$6:$E$405,G1053,'Istoric_Nativ'!$D$6:$D$405,"&lt;"&amp;J1053,'Istoric_Nativ'!$O$6:$O$405,"INVALID")+COUNTIFS('Istoric_Nativ'!$B$6:$B$405,E1053,'Istoric_Nativ'!$C$6:$C$405,F1053,'Istoric_Nativ'!$E$6:$E$405,G1053,'Istoric_Nativ'!$O$6:$O$405,"INVALID",'Istoric_Nativ'!$D$6:$D$405,"*")+COUNTIFS('Istoric_Nativ'!$B$6:$B$405,E1053,'Istoric_Nativ'!$C$6:$C$405,F1053,'Istoric_Nativ'!$E$6:$E$405,G1053,'Istoric_Nativ'!$D$6:$D$405,"&lt;"&amp;J1053,'Istoric_Nativ'!$O$6:$O$405,"SOURCE CONFLICT")+COUNTIFS('Istoric_Nativ'!$B$6:$B$405,E1053,'Istoric_Nativ'!$C$6:$C$405,F1053,'Istoric_Nativ'!$F$6:$F$405,G1053,'Istoric_Nativ'!$D$6:$D$405,"&lt;"&amp;J1053,'Istoric_Nativ'!$O$6:$O$405,"INVALID")+COUNTIFS('Istoric_Nativ'!$B$6:$B$405,E1053,'Istoric_Nativ'!$C$6:$C$405,F1053,'Istoric_Nativ'!$F$6:$F$405,G1053,'Istoric_Nativ'!$O$6:$O$405,"INVALID",'Istoric_Nativ'!$D$6:$D$405,"*")+COUNTIFS('Istoric_Nativ'!$B$6:$B$405,E1053,'Istoric_Nativ'!$C$6:$C$405,F1053,'Istoric_Nativ'!$F$6:$F$405,G1053,'Istoric_Nativ'!$D$6:$D$405,"&lt;"&amp;J1053,'Istoric_Nativ'!$O$6:$O$405,"SOURCE CONFLICT"))</x:f>
        <x:v>0</x:v>
      </x:c>
      <x:c r="T1053" s="2" t="str">
        <x:f>IF(B1053="","",IF(R1053&lt;&gt;"CLOSED",R1053,IF(S1053&gt;0,"NATIVE INPUT ISSUE",IF(M1053=0,"NO HISTORY",IF(M1053&lt;P1053,"SMALL SAMPLE","DERIVED")))))</x:f>
      </x:c>
      <x:c r="U1053" s="2" t="str">
        <x:f>IF(B1053="","","NativeTable; "&amp;E1053&amp;"; "&amp;F1053&amp;"; "&amp;G1053&amp;"; "&amp;H1053&amp;"; before "&amp;TEXT(J1053,"yyyy-mm-dd")&amp;IF(I1053="RECENT","; from "&amp;TEXT(L1053,"yyyy-mm-dd"),""))</x:f>
      </x:c>
    </x:row>
    <x:row r="1054" ht="21" customHeight="1">
      <x:c r="A1054" s="2" t="n">
        <x:v>88</x:v>
      </x:c>
      <x:c r="B1054" s="2" t="str">
        <x:f>IF('Input_Meci'!A93="","",'Input_Meci'!A93)</x:f>
      </x:c>
      <x:c r="C1054" s="2" t="str">
        <x:v>A</x:v>
      </x:c>
      <x:c r="D1054" s="2" t="str">
        <x:v>CURRENT</x:v>
      </x:c>
      <x:c r="E1054" s="2" t="str">
        <x:f>IF(B1054="","",'Input_Meci'!B93)</x:f>
      </x:c>
      <x:c r="F1054" s="2" t="str">
        <x:f>IF(B1054="","",IF('Input_Meci'!C93="","",'Input_Meci'!C93))</x:f>
      </x:c>
      <x:c r="G1054" s="2" t="str">
        <x:f>IF(B1054="","",'Input_Meci'!E93)</x:f>
      </x:c>
      <x:c r="H1054" s="2" t="str">
        <x:v>AWAY</x:v>
      </x:c>
      <x:c r="I1054" s="2" t="str">
        <x:v>HA</x:v>
      </x:c>
      <x:c r="J1054" s="9" t="n">
        <x:f>IF(AND(B1054&lt;&gt;"",ISNUMBER('Input_Meci'!G93)),INT('Input_Meci'!G93),0)</x:f>
        <x:v>0</x:v>
      </x:c>
      <x:c r="K1054" s="2" t="n">
        <x:f>IF(OR(B1054="",F1054=""),0,IF(H1054="HOME",COUNTIFS('Istoric_Nativ'!$B$6:$B$405,E1054,'Istoric_Nativ'!$C$6:$C$405,F1054,'Istoric_Nativ'!$E$6:$E$405,G1054,'Istoric_Nativ'!$D$6:$D$405,"&lt;"&amp;J1054,'Istoric_Nativ'!$P$6:$P$405,1),IF(H1054="AWAY",COUNTIFS('Istoric_Nativ'!$B$6:$B$405,E1054,'Istoric_Nativ'!$C$6:$C$405,F1054,'Istoric_Nativ'!$F$6:$F$405,G1054,'Istoric_Nativ'!$D$6:$D$405,"&lt;"&amp;J1054,'Istoric_Nativ'!$P$6:$P$405,1),COUNTIFS('Istoric_Nativ'!$B$6:$B$405,E1054,'Istoric_Nativ'!$C$6:$C$405,F1054,'Istoric_Nativ'!$E$6:$E$405,G1054,'Istoric_Nativ'!$D$6:$D$405,"&lt;"&amp;J1054,'Istoric_Nativ'!$P$6:$P$405,1)+COUNTIFS('Istoric_Nativ'!$B$6:$B$405,E1054,'Istoric_Nativ'!$C$6:$C$405,F1054,'Istoric_Nativ'!$F$6:$F$405,G1054,'Istoric_Nativ'!$D$6:$D$405,"&lt;"&amp;J1054,'Istoric_Nativ'!$P$6:$P$405,1))))</x:f>
        <x:v>0</x:v>
      </x:c>
      <x:c r="L1054" s="17" t="n">
        <x:f>IF(AND(B1054&lt;&gt;"",I1054="RECENT",K1054&gt;0),LARGE(_xlfn._xlws.FILTER('Istoric_Nativ'!$D$6:$D$405,('Istoric_Nativ'!$B$6:$B$405=E1054)*('Istoric_Nativ'!$C$6:$C$405=F1054)*('Istoric_Nativ'!$P$6:$P$405=1)*('Istoric_Nativ'!$D$6:$D$405&lt;J1054)*((('Istoric_Nativ'!$E$6:$E$405=G1054)+('Istoric_Nativ'!$F$6:$F$405=G1054))&gt;0)),MIN('Config_v6'!$B$54,K1054)),0)</x:f>
        <x:v>0</x:v>
      </x:c>
      <x:c r="M1054" s="2" t="n">
        <x:f>IF(OR(B1054="",F1054=""),0,IF(H1054="HOME",COUNTIFS('Istoric_Nativ'!$B$6:$B$405,E1054,'Istoric_Nativ'!$C$6:$C$405,F1054,'Istoric_Nativ'!$E$6:$E$405,G1054,'Istoric_Nativ'!$D$6:$D$405,"&lt;"&amp;J1054,'Istoric_Nativ'!$P$6:$P$405,1,'Istoric_Nativ'!$D$6:$D$405,"&gt;="&amp;L1054),IF(H1054="AWAY",COUNTIFS('Istoric_Nativ'!$B$6:$B$405,E1054,'Istoric_Nativ'!$C$6:$C$405,F1054,'Istoric_Nativ'!$F$6:$F$405,G1054,'Istoric_Nativ'!$D$6:$D$405,"&lt;"&amp;J1054,'Istoric_Nativ'!$P$6:$P$405,1,'Istoric_Nativ'!$D$6:$D$405,"&gt;="&amp;L1054),COUNTIFS('Istoric_Nativ'!$B$6:$B$405,E1054,'Istoric_Nativ'!$C$6:$C$405,F1054,'Istoric_Nativ'!$E$6:$E$405,G1054,'Istoric_Nativ'!$D$6:$D$405,"&lt;"&amp;J1054,'Istoric_Nativ'!$P$6:$P$405,1,'Istoric_Nativ'!$D$6:$D$405,"&gt;="&amp;L1054)+COUNTIFS('Istoric_Nativ'!$B$6:$B$405,E1054,'Istoric_Nativ'!$C$6:$C$405,F1054,'Istoric_Nativ'!$F$6:$F$405,G1054,'Istoric_Nativ'!$D$6:$D$405,"&lt;"&amp;J1054,'Istoric_Nativ'!$P$6:$P$405,1,'Istoric_Nativ'!$D$6:$D$405,"&gt;="&amp;L1054))))</x:f>
        <x:v>0</x:v>
      </x:c>
      <x:c r="N1054" s="11" t="str">
        <x:f>IF(M1054=0,"",IF(H1054="HOME",SUMIFS('Istoric_Nativ'!$G$6:$G$405,'Istoric_Nativ'!$B$6:$B$405,E1054,'Istoric_Nativ'!$C$6:$C$405,F1054,'Istoric_Nativ'!$E$6:$E$405,G1054,'Istoric_Nativ'!$D$6:$D$405,"&lt;"&amp;J1054,'Istoric_Nativ'!$P$6:$P$405,1,'Istoric_Nativ'!$D$6:$D$405,"&gt;="&amp;L1054),IF(H1054="AWAY",SUMIFS('Istoric_Nativ'!$H$6:$H$405,'Istoric_Nativ'!$B$6:$B$405,E1054,'Istoric_Nativ'!$C$6:$C$405,F1054,'Istoric_Nativ'!$F$6:$F$405,G1054,'Istoric_Nativ'!$D$6:$D$405,"&lt;"&amp;J1054,'Istoric_Nativ'!$P$6:$P$405,1,'Istoric_Nativ'!$D$6:$D$405,"&gt;="&amp;L1054),SUMIFS('Istoric_Nativ'!$G$6:$G$405,'Istoric_Nativ'!$B$6:$B$405,E1054,'Istoric_Nativ'!$C$6:$C$405,F1054,'Istoric_Nativ'!$E$6:$E$405,G1054,'Istoric_Nativ'!$D$6:$D$405,"&lt;"&amp;J1054,'Istoric_Nativ'!$P$6:$P$405,1,'Istoric_Nativ'!$D$6:$D$405,"&gt;="&amp;L1054)+SUMIFS('Istoric_Nativ'!$H$6:$H$405,'Istoric_Nativ'!$B$6:$B$405,E1054,'Istoric_Nativ'!$C$6:$C$405,F1054,'Istoric_Nativ'!$F$6:$F$405,G1054,'Istoric_Nativ'!$D$6:$D$405,"&lt;"&amp;J1054,'Istoric_Nativ'!$P$6:$P$405,1,'Istoric_Nativ'!$D$6:$D$405,"&gt;="&amp;L1054)))/M1054)</x:f>
      </x:c>
      <x:c r="O1054" s="11" t="str">
        <x:f>IF(M1054=0,"",IF(H1054="HOME",SUMIFS('Istoric_Nativ'!$H$6:$H$405,'Istoric_Nativ'!$B$6:$B$405,E1054,'Istoric_Nativ'!$C$6:$C$405,F1054,'Istoric_Nativ'!$E$6:$E$405,G1054,'Istoric_Nativ'!$D$6:$D$405,"&lt;"&amp;J1054,'Istoric_Nativ'!$P$6:$P$405,1,'Istoric_Nativ'!$D$6:$D$405,"&gt;="&amp;L1054),IF(H1054="AWAY",SUMIFS('Istoric_Nativ'!$G$6:$G$405,'Istoric_Nativ'!$B$6:$B$405,E1054,'Istoric_Nativ'!$C$6:$C$405,F1054,'Istoric_Nativ'!$F$6:$F$405,G1054,'Istoric_Nativ'!$D$6:$D$405,"&lt;"&amp;J1054,'Istoric_Nativ'!$P$6:$P$405,1,'Istoric_Nativ'!$D$6:$D$405,"&gt;="&amp;L1054),SUMIFS('Istoric_Nativ'!$H$6:$H$405,'Istoric_Nativ'!$B$6:$B$405,E1054,'Istoric_Nativ'!$C$6:$C$405,F1054,'Istoric_Nativ'!$E$6:$E$405,G1054,'Istoric_Nativ'!$D$6:$D$405,"&lt;"&amp;J1054,'Istoric_Nativ'!$P$6:$P$405,1,'Istoric_Nativ'!$D$6:$D$405,"&gt;="&amp;L1054)+SUMIFS('Istoric_Nativ'!$G$6:$G$405,'Istoric_Nativ'!$B$6:$B$405,E1054,'Istoric_Nativ'!$C$6:$C$405,F1054,'Istoric_Nativ'!$F$6:$F$405,G1054,'Istoric_Nativ'!$D$6:$D$405,"&lt;"&amp;J1054,'Istoric_Nativ'!$P$6:$P$405,1,'Istoric_Nativ'!$D$6:$D$405,"&gt;="&amp;L1054)))/M1054)</x:f>
      </x:c>
      <x:c r="P1054" s="2" t="n">
        <x:f>'Config_v6'!$B$8</x:f>
        <x:v>5</x:v>
      </x:c>
      <x:c r="Q1054" s="2" t="n">
        <x:f>IF(OR(B1054="",F1054=""),0,IFERROR(MATCH(E1054&amp;"|"&amp;F1054,SourceTable[Source_Key],0),0))</x:f>
        <x:v>0</x:v>
      </x:c>
      <x:c r="R1054" s="2" t="str">
        <x:f>IF(B1054="","",IF(F1054="","UNUSED",IF(Q1054=0,"NOT CHECKED",IF(COUNTIF(SourceTable[Source_Key],E1054&amp;"|"&amp;F1054)&lt;&gt;1,"SOURCE CONFLICT",IF(NOT(OR(INDEX(SourceTable[Status],MAX(1,Q1054))="IMPORTED",INDEX(SourceTable[Status],MAX(1,Q1054))="PARTIAL",INDEX(SourceTable[Status],MAX(1,Q1054))="SOURCE CONFLICT")),"ACCESS BLOCKED",IF(OR(INDEX(SourceTable[Coverage],Q1054)&lt;&gt;"FULL SEASON EXPORT",INDEX(SourceTable[URL],Q1054)="",INDEX(SourceTable[SHA256],Q1054)=""),"EVIDENCE INCOMPLETE",IF(AND('Input_Meci'!H93="LIVE",INDEX(SourceTable[Retrieved_UTC],Q1054)&gt;'Input_Meci'!G93),"POST CUTOFF","CLOSED")))))))</x:f>
      </x:c>
      <x:c r="S1054" s="2" t="n">
        <x:f>IF(OR(B1054="",F1054=""),0,COUNTIFS('Istoric_Nativ'!$B$6:$B$405,E1054,'Istoric_Nativ'!$C$6:$C$405,F1054,'Istoric_Nativ'!$E$6:$E$405,G1054,'Istoric_Nativ'!$D$6:$D$405,"&lt;"&amp;J1054,'Istoric_Nativ'!$O$6:$O$405,"INVALID")+COUNTIFS('Istoric_Nativ'!$B$6:$B$405,E1054,'Istoric_Nativ'!$C$6:$C$405,F1054,'Istoric_Nativ'!$E$6:$E$405,G1054,'Istoric_Nativ'!$O$6:$O$405,"INVALID",'Istoric_Nativ'!$D$6:$D$405,"*")+COUNTIFS('Istoric_Nativ'!$B$6:$B$405,E1054,'Istoric_Nativ'!$C$6:$C$405,F1054,'Istoric_Nativ'!$E$6:$E$405,G1054,'Istoric_Nativ'!$D$6:$D$405,"&lt;"&amp;J1054,'Istoric_Nativ'!$O$6:$O$405,"SOURCE CONFLICT")+COUNTIFS('Istoric_Nativ'!$B$6:$B$405,E1054,'Istoric_Nativ'!$C$6:$C$405,F1054,'Istoric_Nativ'!$F$6:$F$405,G1054,'Istoric_Nativ'!$D$6:$D$405,"&lt;"&amp;J1054,'Istoric_Nativ'!$O$6:$O$405,"INVALID")+COUNTIFS('Istoric_Nativ'!$B$6:$B$405,E1054,'Istoric_Nativ'!$C$6:$C$405,F1054,'Istoric_Nativ'!$F$6:$F$405,G1054,'Istoric_Nativ'!$O$6:$O$405,"INVALID",'Istoric_Nativ'!$D$6:$D$405,"*")+COUNTIFS('Istoric_Nativ'!$B$6:$B$405,E1054,'Istoric_Nativ'!$C$6:$C$405,F1054,'Istoric_Nativ'!$F$6:$F$405,G1054,'Istoric_Nativ'!$D$6:$D$405,"&lt;"&amp;J1054,'Istoric_Nativ'!$O$6:$O$405,"SOURCE CONFLICT"))</x:f>
        <x:v>0</x:v>
      </x:c>
      <x:c r="T1054" s="2" t="str">
        <x:f>IF(B1054="","",IF(R1054&lt;&gt;"CLOSED",R1054,IF(S1054&gt;0,"NATIVE INPUT ISSUE",IF(M1054=0,"NO HISTORY",IF(M1054&lt;P1054,"SMALL SAMPLE","DERIVED")))))</x:f>
      </x:c>
      <x:c r="U1054" s="2" t="str">
        <x:f>IF(B1054="","","NativeTable; "&amp;E1054&amp;"; "&amp;F1054&amp;"; "&amp;G1054&amp;"; "&amp;H1054&amp;"; before "&amp;TEXT(J1054,"yyyy-mm-dd")&amp;IF(I1054="RECENT","; from "&amp;TEXT(L1054,"yyyy-mm-dd"),""))</x:f>
      </x:c>
    </x:row>
    <x:row r="1055" ht="21" customHeight="1">
      <x:c r="A1055" s="2" t="n">
        <x:v>88</x:v>
      </x:c>
      <x:c r="B1055" s="2" t="str">
        <x:f>IF('Input_Meci'!A93="","",'Input_Meci'!A93)</x:f>
      </x:c>
      <x:c r="C1055" s="2" t="str">
        <x:v>A</x:v>
      </x:c>
      <x:c r="D1055" s="2" t="str">
        <x:v>CURRENT</x:v>
      </x:c>
      <x:c r="E1055" s="2" t="str">
        <x:f>IF(B1055="","",'Input_Meci'!B93)</x:f>
      </x:c>
      <x:c r="F1055" s="2" t="str">
        <x:f>IF(B1055="","",IF('Input_Meci'!C93="","",'Input_Meci'!C93))</x:f>
      </x:c>
      <x:c r="G1055" s="2" t="str">
        <x:f>IF(B1055="","",'Input_Meci'!E93)</x:f>
      </x:c>
      <x:c r="H1055" s="2" t="str">
        <x:v>ANY</x:v>
      </x:c>
      <x:c r="I1055" s="2" t="str">
        <x:v>RECENT</x:v>
      </x:c>
      <x:c r="J1055" s="9" t="n">
        <x:f>IF(AND(B1055&lt;&gt;"",ISNUMBER('Input_Meci'!G93)),INT('Input_Meci'!G93),0)</x:f>
        <x:v>0</x:v>
      </x:c>
      <x:c r="K1055" s="2" t="n">
        <x:f>IF(OR(B1055="",F1055=""),0,IF(H1055="HOME",COUNTIFS('Istoric_Nativ'!$B$6:$B$405,E1055,'Istoric_Nativ'!$C$6:$C$405,F1055,'Istoric_Nativ'!$E$6:$E$405,G1055,'Istoric_Nativ'!$D$6:$D$405,"&lt;"&amp;J1055,'Istoric_Nativ'!$P$6:$P$405,1),IF(H1055="AWAY",COUNTIFS('Istoric_Nativ'!$B$6:$B$405,E1055,'Istoric_Nativ'!$C$6:$C$405,F1055,'Istoric_Nativ'!$F$6:$F$405,G1055,'Istoric_Nativ'!$D$6:$D$405,"&lt;"&amp;J1055,'Istoric_Nativ'!$P$6:$P$405,1),COUNTIFS('Istoric_Nativ'!$B$6:$B$405,E1055,'Istoric_Nativ'!$C$6:$C$405,F1055,'Istoric_Nativ'!$E$6:$E$405,G1055,'Istoric_Nativ'!$D$6:$D$405,"&lt;"&amp;J1055,'Istoric_Nativ'!$P$6:$P$405,1)+COUNTIFS('Istoric_Nativ'!$B$6:$B$405,E1055,'Istoric_Nativ'!$C$6:$C$405,F1055,'Istoric_Nativ'!$F$6:$F$405,G1055,'Istoric_Nativ'!$D$6:$D$405,"&lt;"&amp;J1055,'Istoric_Nativ'!$P$6:$P$405,1))))</x:f>
        <x:v>0</x:v>
      </x:c>
      <x:c r="L1055" s="17" t="n">
        <x:f>IF(AND(B1055&lt;&gt;"",I1055="RECENT",K1055&gt;0),LARGE(_xlfn._xlws.FILTER('Istoric_Nativ'!$D$6:$D$405,('Istoric_Nativ'!$B$6:$B$405=E1055)*('Istoric_Nativ'!$C$6:$C$405=F1055)*('Istoric_Nativ'!$P$6:$P$405=1)*('Istoric_Nativ'!$D$6:$D$405&lt;J1055)*((('Istoric_Nativ'!$E$6:$E$405=G1055)+('Istoric_Nativ'!$F$6:$F$405=G1055))&gt;0)),MIN('Config_v6'!$B$54,K1055)),0)</x:f>
        <x:v>0</x:v>
      </x:c>
      <x:c r="M1055" s="2" t="n">
        <x:f>IF(OR(B1055="",F1055=""),0,IF(H1055="HOME",COUNTIFS('Istoric_Nativ'!$B$6:$B$405,E1055,'Istoric_Nativ'!$C$6:$C$405,F1055,'Istoric_Nativ'!$E$6:$E$405,G1055,'Istoric_Nativ'!$D$6:$D$405,"&lt;"&amp;J1055,'Istoric_Nativ'!$P$6:$P$405,1,'Istoric_Nativ'!$D$6:$D$405,"&gt;="&amp;L1055),IF(H1055="AWAY",COUNTIFS('Istoric_Nativ'!$B$6:$B$405,E1055,'Istoric_Nativ'!$C$6:$C$405,F1055,'Istoric_Nativ'!$F$6:$F$405,G1055,'Istoric_Nativ'!$D$6:$D$405,"&lt;"&amp;J1055,'Istoric_Nativ'!$P$6:$P$405,1,'Istoric_Nativ'!$D$6:$D$405,"&gt;="&amp;L1055),COUNTIFS('Istoric_Nativ'!$B$6:$B$405,E1055,'Istoric_Nativ'!$C$6:$C$405,F1055,'Istoric_Nativ'!$E$6:$E$405,G1055,'Istoric_Nativ'!$D$6:$D$405,"&lt;"&amp;J1055,'Istoric_Nativ'!$P$6:$P$405,1,'Istoric_Nativ'!$D$6:$D$405,"&gt;="&amp;L1055)+COUNTIFS('Istoric_Nativ'!$B$6:$B$405,E1055,'Istoric_Nativ'!$C$6:$C$405,F1055,'Istoric_Nativ'!$F$6:$F$405,G1055,'Istoric_Nativ'!$D$6:$D$405,"&lt;"&amp;J1055,'Istoric_Nativ'!$P$6:$P$405,1,'Istoric_Nativ'!$D$6:$D$405,"&gt;="&amp;L1055))))</x:f>
        <x:v>0</x:v>
      </x:c>
      <x:c r="N1055" s="11" t="str">
        <x:f>IF(M1055=0,"",IF(H1055="HOME",SUMIFS('Istoric_Nativ'!$G$6:$G$405,'Istoric_Nativ'!$B$6:$B$405,E1055,'Istoric_Nativ'!$C$6:$C$405,F1055,'Istoric_Nativ'!$E$6:$E$405,G1055,'Istoric_Nativ'!$D$6:$D$405,"&lt;"&amp;J1055,'Istoric_Nativ'!$P$6:$P$405,1,'Istoric_Nativ'!$D$6:$D$405,"&gt;="&amp;L1055),IF(H1055="AWAY",SUMIFS('Istoric_Nativ'!$H$6:$H$405,'Istoric_Nativ'!$B$6:$B$405,E1055,'Istoric_Nativ'!$C$6:$C$405,F1055,'Istoric_Nativ'!$F$6:$F$405,G1055,'Istoric_Nativ'!$D$6:$D$405,"&lt;"&amp;J1055,'Istoric_Nativ'!$P$6:$P$405,1,'Istoric_Nativ'!$D$6:$D$405,"&gt;="&amp;L1055),SUMIFS('Istoric_Nativ'!$G$6:$G$405,'Istoric_Nativ'!$B$6:$B$405,E1055,'Istoric_Nativ'!$C$6:$C$405,F1055,'Istoric_Nativ'!$E$6:$E$405,G1055,'Istoric_Nativ'!$D$6:$D$405,"&lt;"&amp;J1055,'Istoric_Nativ'!$P$6:$P$405,1,'Istoric_Nativ'!$D$6:$D$405,"&gt;="&amp;L1055)+SUMIFS('Istoric_Nativ'!$H$6:$H$405,'Istoric_Nativ'!$B$6:$B$405,E1055,'Istoric_Nativ'!$C$6:$C$405,F1055,'Istoric_Nativ'!$F$6:$F$405,G1055,'Istoric_Nativ'!$D$6:$D$405,"&lt;"&amp;J1055,'Istoric_Nativ'!$P$6:$P$405,1,'Istoric_Nativ'!$D$6:$D$405,"&gt;="&amp;L1055)))/M1055)</x:f>
      </x:c>
      <x:c r="O1055" s="11" t="str">
        <x:f>IF(M1055=0,"",IF(H1055="HOME",SUMIFS('Istoric_Nativ'!$H$6:$H$405,'Istoric_Nativ'!$B$6:$B$405,E1055,'Istoric_Nativ'!$C$6:$C$405,F1055,'Istoric_Nativ'!$E$6:$E$405,G1055,'Istoric_Nativ'!$D$6:$D$405,"&lt;"&amp;J1055,'Istoric_Nativ'!$P$6:$P$405,1,'Istoric_Nativ'!$D$6:$D$405,"&gt;="&amp;L1055),IF(H1055="AWAY",SUMIFS('Istoric_Nativ'!$G$6:$G$405,'Istoric_Nativ'!$B$6:$B$405,E1055,'Istoric_Nativ'!$C$6:$C$405,F1055,'Istoric_Nativ'!$F$6:$F$405,G1055,'Istoric_Nativ'!$D$6:$D$405,"&lt;"&amp;J1055,'Istoric_Nativ'!$P$6:$P$405,1,'Istoric_Nativ'!$D$6:$D$405,"&gt;="&amp;L1055),SUMIFS('Istoric_Nativ'!$H$6:$H$405,'Istoric_Nativ'!$B$6:$B$405,E1055,'Istoric_Nativ'!$C$6:$C$405,F1055,'Istoric_Nativ'!$E$6:$E$405,G1055,'Istoric_Nativ'!$D$6:$D$405,"&lt;"&amp;J1055,'Istoric_Nativ'!$P$6:$P$405,1,'Istoric_Nativ'!$D$6:$D$405,"&gt;="&amp;L1055)+SUMIFS('Istoric_Nativ'!$G$6:$G$405,'Istoric_Nativ'!$B$6:$B$405,E1055,'Istoric_Nativ'!$C$6:$C$405,F1055,'Istoric_Nativ'!$F$6:$F$405,G1055,'Istoric_Nativ'!$D$6:$D$405,"&lt;"&amp;J1055,'Istoric_Nativ'!$P$6:$P$405,1,'Istoric_Nativ'!$D$6:$D$405,"&gt;="&amp;L1055)))/M1055)</x:f>
      </x:c>
      <x:c r="P1055" s="2" t="n">
        <x:f>'Config_v6'!$B$9</x:f>
        <x:v>3</x:v>
      </x:c>
      <x:c r="Q1055" s="2" t="n">
        <x:f>IF(OR(B1055="",F1055=""),0,IFERROR(MATCH(E1055&amp;"|"&amp;F1055,SourceTable[Source_Key],0),0))</x:f>
        <x:v>0</x:v>
      </x:c>
      <x:c r="R1055" s="2" t="str">
        <x:f>IF(B1055="","",IF(F1055="","UNUSED",IF(Q1055=0,"NOT CHECKED",IF(COUNTIF(SourceTable[Source_Key],E1055&amp;"|"&amp;F1055)&lt;&gt;1,"SOURCE CONFLICT",IF(NOT(OR(INDEX(SourceTable[Status],MAX(1,Q1055))="IMPORTED",INDEX(SourceTable[Status],MAX(1,Q1055))="PARTIAL",INDEX(SourceTable[Status],MAX(1,Q1055))="SOURCE CONFLICT")),"ACCESS BLOCKED",IF(OR(INDEX(SourceTable[Coverage],Q1055)&lt;&gt;"FULL SEASON EXPORT",INDEX(SourceTable[URL],Q1055)="",INDEX(SourceTable[SHA256],Q1055)=""),"EVIDENCE INCOMPLETE",IF(AND('Input_Meci'!H93="LIVE",INDEX(SourceTable[Retrieved_UTC],Q1055)&gt;'Input_Meci'!G93),"POST CUTOFF","CLOSED")))))))</x:f>
      </x:c>
      <x:c r="S1055" s="2" t="n">
        <x:f>IF(OR(B1055="",F1055=""),0,COUNTIFS('Istoric_Nativ'!$B$6:$B$405,E1055,'Istoric_Nativ'!$C$6:$C$405,F1055,'Istoric_Nativ'!$E$6:$E$405,G1055,'Istoric_Nativ'!$D$6:$D$405,"&lt;"&amp;J1055,'Istoric_Nativ'!$O$6:$O$405,"INVALID")+COUNTIFS('Istoric_Nativ'!$B$6:$B$405,E1055,'Istoric_Nativ'!$C$6:$C$405,F1055,'Istoric_Nativ'!$E$6:$E$405,G1055,'Istoric_Nativ'!$O$6:$O$405,"INVALID",'Istoric_Nativ'!$D$6:$D$405,"*")+COUNTIFS('Istoric_Nativ'!$B$6:$B$405,E1055,'Istoric_Nativ'!$C$6:$C$405,F1055,'Istoric_Nativ'!$E$6:$E$405,G1055,'Istoric_Nativ'!$D$6:$D$405,"&lt;"&amp;J1055,'Istoric_Nativ'!$O$6:$O$405,"SOURCE CONFLICT")+COUNTIFS('Istoric_Nativ'!$B$6:$B$405,E1055,'Istoric_Nativ'!$C$6:$C$405,F1055,'Istoric_Nativ'!$F$6:$F$405,G1055,'Istoric_Nativ'!$D$6:$D$405,"&lt;"&amp;J1055,'Istoric_Nativ'!$O$6:$O$405,"INVALID")+COUNTIFS('Istoric_Nativ'!$B$6:$B$405,E1055,'Istoric_Nativ'!$C$6:$C$405,F1055,'Istoric_Nativ'!$F$6:$F$405,G1055,'Istoric_Nativ'!$O$6:$O$405,"INVALID",'Istoric_Nativ'!$D$6:$D$405,"*")+COUNTIFS('Istoric_Nativ'!$B$6:$B$405,E1055,'Istoric_Nativ'!$C$6:$C$405,F1055,'Istoric_Nativ'!$F$6:$F$405,G1055,'Istoric_Nativ'!$D$6:$D$405,"&lt;"&amp;J1055,'Istoric_Nativ'!$O$6:$O$405,"SOURCE CONFLICT"))</x:f>
        <x:v>0</x:v>
      </x:c>
      <x:c r="T1055" s="2" t="str">
        <x:f>IF(B1055="","",IF(R1055&lt;&gt;"CLOSED",R1055,IF(S1055&gt;0,"NATIVE INPUT ISSUE",IF(M1055=0,"NO HISTORY",IF(M1055&lt;P1055,"SMALL SAMPLE","DERIVED")))))</x:f>
      </x:c>
      <x:c r="U1055" s="2" t="str">
        <x:f>IF(B1055="","","NativeTable; "&amp;E1055&amp;"; "&amp;F1055&amp;"; "&amp;G1055&amp;"; "&amp;H1055&amp;"; before "&amp;TEXT(J1055,"yyyy-mm-dd")&amp;IF(I1055="RECENT","; from "&amp;TEXT(L1055,"yyyy-mm-dd"),""))</x:f>
      </x:c>
    </x:row>
    <x:row r="1056" ht="21" customHeight="1">
      <x:c r="A1056" s="2" t="n">
        <x:v>88</x:v>
      </x:c>
      <x:c r="B1056" s="2" t="str">
        <x:f>IF('Input_Meci'!A93="","",'Input_Meci'!A93)</x:f>
      </x:c>
      <x:c r="C1056" s="2" t="str">
        <x:v>H</x:v>
      </x:c>
      <x:c r="D1056" s="2" t="str">
        <x:v>PRIOR</x:v>
      </x:c>
      <x:c r="E1056" s="2" t="str">
        <x:f>IF(B1056="","",'Input_Meci'!B93)</x:f>
      </x:c>
      <x:c r="F1056" s="2" t="str">
        <x:f>IF(B1056="","",IF('Input_Meci'!K93="","",'Input_Meci'!K93))</x:f>
      </x:c>
      <x:c r="G1056" s="2" t="str">
        <x:f>IF(B1056="","",'Input_Meci'!D93)</x:f>
      </x:c>
      <x:c r="H1056" s="2" t="str">
        <x:v>ANY</x:v>
      </x:c>
      <x:c r="I1056" s="2" t="str">
        <x:v>SEASON</x:v>
      </x:c>
      <x:c r="J1056" s="9" t="n">
        <x:f>IF(AND(B1056&lt;&gt;"",ISNUMBER('Input_Meci'!G93)),INT('Input_Meci'!G93),0)</x:f>
        <x:v>0</x:v>
      </x:c>
      <x:c r="K1056" s="2" t="n">
        <x:f>IF(OR(B1056="",F1056=""),0,IF(H1056="HOME",COUNTIFS('Istoric_Nativ'!$B$6:$B$405,E1056,'Istoric_Nativ'!$C$6:$C$405,F1056,'Istoric_Nativ'!$E$6:$E$405,G1056,'Istoric_Nativ'!$D$6:$D$405,"&lt;"&amp;J1056,'Istoric_Nativ'!$P$6:$P$405,1),IF(H1056="AWAY",COUNTIFS('Istoric_Nativ'!$B$6:$B$405,E1056,'Istoric_Nativ'!$C$6:$C$405,F1056,'Istoric_Nativ'!$F$6:$F$405,G1056,'Istoric_Nativ'!$D$6:$D$405,"&lt;"&amp;J1056,'Istoric_Nativ'!$P$6:$P$405,1),COUNTIFS('Istoric_Nativ'!$B$6:$B$405,E1056,'Istoric_Nativ'!$C$6:$C$405,F1056,'Istoric_Nativ'!$E$6:$E$405,G1056,'Istoric_Nativ'!$D$6:$D$405,"&lt;"&amp;J1056,'Istoric_Nativ'!$P$6:$P$405,1)+COUNTIFS('Istoric_Nativ'!$B$6:$B$405,E1056,'Istoric_Nativ'!$C$6:$C$405,F1056,'Istoric_Nativ'!$F$6:$F$405,G1056,'Istoric_Nativ'!$D$6:$D$405,"&lt;"&amp;J1056,'Istoric_Nativ'!$P$6:$P$405,1))))</x:f>
        <x:v>0</x:v>
      </x:c>
      <x:c r="L1056" s="17" t="n">
        <x:f>IF(AND(B1056&lt;&gt;"",I1056="RECENT",K1056&gt;0),LARGE(_xlfn._xlws.FILTER('Istoric_Nativ'!$D$6:$D$405,('Istoric_Nativ'!$B$6:$B$405=E1056)*('Istoric_Nativ'!$C$6:$C$405=F1056)*('Istoric_Nativ'!$P$6:$P$405=1)*('Istoric_Nativ'!$D$6:$D$405&lt;J1056)*((('Istoric_Nativ'!$E$6:$E$405=G1056)+('Istoric_Nativ'!$F$6:$F$405=G1056))&gt;0)),MIN('Config_v6'!$B$54,K1056)),0)</x:f>
        <x:v>0</x:v>
      </x:c>
      <x:c r="M1056" s="2" t="n">
        <x:f>IF(OR(B1056="",F1056=""),0,IF(H1056="HOME",COUNTIFS('Istoric_Nativ'!$B$6:$B$405,E1056,'Istoric_Nativ'!$C$6:$C$405,F1056,'Istoric_Nativ'!$E$6:$E$405,G1056,'Istoric_Nativ'!$D$6:$D$405,"&lt;"&amp;J1056,'Istoric_Nativ'!$P$6:$P$405,1,'Istoric_Nativ'!$D$6:$D$405,"&gt;="&amp;L1056),IF(H1056="AWAY",COUNTIFS('Istoric_Nativ'!$B$6:$B$405,E1056,'Istoric_Nativ'!$C$6:$C$405,F1056,'Istoric_Nativ'!$F$6:$F$405,G1056,'Istoric_Nativ'!$D$6:$D$405,"&lt;"&amp;J1056,'Istoric_Nativ'!$P$6:$P$405,1,'Istoric_Nativ'!$D$6:$D$405,"&gt;="&amp;L1056),COUNTIFS('Istoric_Nativ'!$B$6:$B$405,E1056,'Istoric_Nativ'!$C$6:$C$405,F1056,'Istoric_Nativ'!$E$6:$E$405,G1056,'Istoric_Nativ'!$D$6:$D$405,"&lt;"&amp;J1056,'Istoric_Nativ'!$P$6:$P$405,1,'Istoric_Nativ'!$D$6:$D$405,"&gt;="&amp;L1056)+COUNTIFS('Istoric_Nativ'!$B$6:$B$405,E1056,'Istoric_Nativ'!$C$6:$C$405,F1056,'Istoric_Nativ'!$F$6:$F$405,G1056,'Istoric_Nativ'!$D$6:$D$405,"&lt;"&amp;J1056,'Istoric_Nativ'!$P$6:$P$405,1,'Istoric_Nativ'!$D$6:$D$405,"&gt;="&amp;L1056))))</x:f>
        <x:v>0</x:v>
      </x:c>
      <x:c r="N1056" s="11" t="str">
        <x:f>IF(M1056=0,"",IF(H1056="HOME",SUMIFS('Istoric_Nativ'!$G$6:$G$405,'Istoric_Nativ'!$B$6:$B$405,E1056,'Istoric_Nativ'!$C$6:$C$405,F1056,'Istoric_Nativ'!$E$6:$E$405,G1056,'Istoric_Nativ'!$D$6:$D$405,"&lt;"&amp;J1056,'Istoric_Nativ'!$P$6:$P$405,1,'Istoric_Nativ'!$D$6:$D$405,"&gt;="&amp;L1056),IF(H1056="AWAY",SUMIFS('Istoric_Nativ'!$H$6:$H$405,'Istoric_Nativ'!$B$6:$B$405,E1056,'Istoric_Nativ'!$C$6:$C$405,F1056,'Istoric_Nativ'!$F$6:$F$405,G1056,'Istoric_Nativ'!$D$6:$D$405,"&lt;"&amp;J1056,'Istoric_Nativ'!$P$6:$P$405,1,'Istoric_Nativ'!$D$6:$D$405,"&gt;="&amp;L1056),SUMIFS('Istoric_Nativ'!$G$6:$G$405,'Istoric_Nativ'!$B$6:$B$405,E1056,'Istoric_Nativ'!$C$6:$C$405,F1056,'Istoric_Nativ'!$E$6:$E$405,G1056,'Istoric_Nativ'!$D$6:$D$405,"&lt;"&amp;J1056,'Istoric_Nativ'!$P$6:$P$405,1,'Istoric_Nativ'!$D$6:$D$405,"&gt;="&amp;L1056)+SUMIFS('Istoric_Nativ'!$H$6:$H$405,'Istoric_Nativ'!$B$6:$B$405,E1056,'Istoric_Nativ'!$C$6:$C$405,F1056,'Istoric_Nativ'!$F$6:$F$405,G1056,'Istoric_Nativ'!$D$6:$D$405,"&lt;"&amp;J1056,'Istoric_Nativ'!$P$6:$P$405,1,'Istoric_Nativ'!$D$6:$D$405,"&gt;="&amp;L1056)))/M1056)</x:f>
      </x:c>
      <x:c r="O1056" s="11" t="str">
        <x:f>IF(M1056=0,"",IF(H1056="HOME",SUMIFS('Istoric_Nativ'!$H$6:$H$405,'Istoric_Nativ'!$B$6:$B$405,E1056,'Istoric_Nativ'!$C$6:$C$405,F1056,'Istoric_Nativ'!$E$6:$E$405,G1056,'Istoric_Nativ'!$D$6:$D$405,"&lt;"&amp;J1056,'Istoric_Nativ'!$P$6:$P$405,1,'Istoric_Nativ'!$D$6:$D$405,"&gt;="&amp;L1056),IF(H1056="AWAY",SUMIFS('Istoric_Nativ'!$G$6:$G$405,'Istoric_Nativ'!$B$6:$B$405,E1056,'Istoric_Nativ'!$C$6:$C$405,F1056,'Istoric_Nativ'!$F$6:$F$405,G1056,'Istoric_Nativ'!$D$6:$D$405,"&lt;"&amp;J1056,'Istoric_Nativ'!$P$6:$P$405,1,'Istoric_Nativ'!$D$6:$D$405,"&gt;="&amp;L1056),SUMIFS('Istoric_Nativ'!$H$6:$H$405,'Istoric_Nativ'!$B$6:$B$405,E1056,'Istoric_Nativ'!$C$6:$C$405,F1056,'Istoric_Nativ'!$E$6:$E$405,G1056,'Istoric_Nativ'!$D$6:$D$405,"&lt;"&amp;J1056,'Istoric_Nativ'!$P$6:$P$405,1,'Istoric_Nativ'!$D$6:$D$405,"&gt;="&amp;L1056)+SUMIFS('Istoric_Nativ'!$G$6:$G$405,'Istoric_Nativ'!$B$6:$B$405,E1056,'Istoric_Nativ'!$C$6:$C$405,F1056,'Istoric_Nativ'!$F$6:$F$405,G1056,'Istoric_Nativ'!$D$6:$D$405,"&lt;"&amp;J1056,'Istoric_Nativ'!$P$6:$P$405,1,'Istoric_Nativ'!$D$6:$D$405,"&gt;="&amp;L1056)))/M1056)</x:f>
      </x:c>
      <x:c r="P1056" s="2" t="n">
        <x:f>'Config_v6'!$B$7</x:f>
        <x:v>10</x:v>
      </x:c>
      <x:c r="Q1056" s="2" t="n">
        <x:f>IF(OR(B1056="",F1056=""),0,IFERROR(MATCH(E1056&amp;"|"&amp;F1056,SourceTable[Source_Key],0),0))</x:f>
        <x:v>0</x:v>
      </x:c>
      <x:c r="R1056" s="2" t="str">
        <x:f>IF(B1056="","",IF(F1056="","UNUSED",IF(Q1056=0,"NOT CHECKED",IF(COUNTIF(SourceTable[Source_Key],E1056&amp;"|"&amp;F1056)&lt;&gt;1,"SOURCE CONFLICT",IF(NOT(OR(INDEX(SourceTable[Status],MAX(1,Q1056))="IMPORTED",INDEX(SourceTable[Status],MAX(1,Q1056))="PARTIAL",INDEX(SourceTable[Status],MAX(1,Q1056))="SOURCE CONFLICT")),"ACCESS BLOCKED",IF(OR(INDEX(SourceTable[Coverage],Q1056)&lt;&gt;"FULL SEASON EXPORT",INDEX(SourceTable[URL],Q1056)="",INDEX(SourceTable[SHA256],Q1056)=""),"EVIDENCE INCOMPLETE",IF(AND('Input_Meci'!H93="LIVE",INDEX(SourceTable[Retrieved_UTC],Q1056)&gt;'Input_Meci'!G93),"POST CUTOFF","CLOSED")))))))</x:f>
      </x:c>
      <x:c r="S1056" s="2" t="n">
        <x:f>IF(OR(B1056="",F1056=""),0,COUNTIFS('Istoric_Nativ'!$B$6:$B$405,E1056,'Istoric_Nativ'!$C$6:$C$405,F1056,'Istoric_Nativ'!$E$6:$E$405,G1056,'Istoric_Nativ'!$D$6:$D$405,"&lt;"&amp;J1056,'Istoric_Nativ'!$O$6:$O$405,"INVALID")+COUNTIFS('Istoric_Nativ'!$B$6:$B$405,E1056,'Istoric_Nativ'!$C$6:$C$405,F1056,'Istoric_Nativ'!$E$6:$E$405,G1056,'Istoric_Nativ'!$O$6:$O$405,"INVALID",'Istoric_Nativ'!$D$6:$D$405,"*")+COUNTIFS('Istoric_Nativ'!$B$6:$B$405,E1056,'Istoric_Nativ'!$C$6:$C$405,F1056,'Istoric_Nativ'!$E$6:$E$405,G1056,'Istoric_Nativ'!$D$6:$D$405,"&lt;"&amp;J1056,'Istoric_Nativ'!$O$6:$O$405,"SOURCE CONFLICT")+COUNTIFS('Istoric_Nativ'!$B$6:$B$405,E1056,'Istoric_Nativ'!$C$6:$C$405,F1056,'Istoric_Nativ'!$F$6:$F$405,G1056,'Istoric_Nativ'!$D$6:$D$405,"&lt;"&amp;J1056,'Istoric_Nativ'!$O$6:$O$405,"INVALID")+COUNTIFS('Istoric_Nativ'!$B$6:$B$405,E1056,'Istoric_Nativ'!$C$6:$C$405,F1056,'Istoric_Nativ'!$F$6:$F$405,G1056,'Istoric_Nativ'!$O$6:$O$405,"INVALID",'Istoric_Nativ'!$D$6:$D$405,"*")+COUNTIFS('Istoric_Nativ'!$B$6:$B$405,E1056,'Istoric_Nativ'!$C$6:$C$405,F1056,'Istoric_Nativ'!$F$6:$F$405,G1056,'Istoric_Nativ'!$D$6:$D$405,"&lt;"&amp;J1056,'Istoric_Nativ'!$O$6:$O$405,"SOURCE CONFLICT"))</x:f>
        <x:v>0</x:v>
      </x:c>
      <x:c r="T1056" s="2" t="str">
        <x:f>IF(B1056="","",IF(R1056&lt;&gt;"CLOSED",R1056,IF(S1056&gt;0,"NATIVE INPUT ISSUE",IF(M1056=0,"NO HISTORY",IF(M1056&lt;P1056,"SMALL SAMPLE","DERIVED")))))</x:f>
      </x:c>
      <x:c r="U1056" s="2" t="str">
        <x:f>IF(B1056="","","NativeTable; "&amp;E1056&amp;"; "&amp;F1056&amp;"; "&amp;G1056&amp;"; "&amp;H1056&amp;"; before "&amp;TEXT(J1056,"yyyy-mm-dd")&amp;IF(I1056="RECENT","; from "&amp;TEXT(L1056,"yyyy-mm-dd"),""))</x:f>
      </x:c>
    </x:row>
    <x:row r="1057" ht="21" customHeight="1">
      <x:c r="A1057" s="2" t="n">
        <x:v>88</x:v>
      </x:c>
      <x:c r="B1057" s="2" t="str">
        <x:f>IF('Input_Meci'!A93="","",'Input_Meci'!A93)</x:f>
      </x:c>
      <x:c r="C1057" s="2" t="str">
        <x:v>H</x:v>
      </x:c>
      <x:c r="D1057" s="2" t="str">
        <x:v>PRIOR</x:v>
      </x:c>
      <x:c r="E1057" s="2" t="str">
        <x:f>IF(B1057="","",'Input_Meci'!B93)</x:f>
      </x:c>
      <x:c r="F1057" s="2" t="str">
        <x:f>IF(B1057="","",IF('Input_Meci'!K93="","",'Input_Meci'!K93))</x:f>
      </x:c>
      <x:c r="G1057" s="2" t="str">
        <x:f>IF(B1057="","",'Input_Meci'!D93)</x:f>
      </x:c>
      <x:c r="H1057" s="2" t="str">
        <x:v>HOME</x:v>
      </x:c>
      <x:c r="I1057" s="2" t="str">
        <x:v>HA</x:v>
      </x:c>
      <x:c r="J1057" s="9" t="n">
        <x:f>IF(AND(B1057&lt;&gt;"",ISNUMBER('Input_Meci'!G93)),INT('Input_Meci'!G93),0)</x:f>
        <x:v>0</x:v>
      </x:c>
      <x:c r="K1057" s="2" t="n">
        <x:f>IF(OR(B1057="",F1057=""),0,IF(H1057="HOME",COUNTIFS('Istoric_Nativ'!$B$6:$B$405,E1057,'Istoric_Nativ'!$C$6:$C$405,F1057,'Istoric_Nativ'!$E$6:$E$405,G1057,'Istoric_Nativ'!$D$6:$D$405,"&lt;"&amp;J1057,'Istoric_Nativ'!$P$6:$P$405,1),IF(H1057="AWAY",COUNTIFS('Istoric_Nativ'!$B$6:$B$405,E1057,'Istoric_Nativ'!$C$6:$C$405,F1057,'Istoric_Nativ'!$F$6:$F$405,G1057,'Istoric_Nativ'!$D$6:$D$405,"&lt;"&amp;J1057,'Istoric_Nativ'!$P$6:$P$405,1),COUNTIFS('Istoric_Nativ'!$B$6:$B$405,E1057,'Istoric_Nativ'!$C$6:$C$405,F1057,'Istoric_Nativ'!$E$6:$E$405,G1057,'Istoric_Nativ'!$D$6:$D$405,"&lt;"&amp;J1057,'Istoric_Nativ'!$P$6:$P$405,1)+COUNTIFS('Istoric_Nativ'!$B$6:$B$405,E1057,'Istoric_Nativ'!$C$6:$C$405,F1057,'Istoric_Nativ'!$F$6:$F$405,G1057,'Istoric_Nativ'!$D$6:$D$405,"&lt;"&amp;J1057,'Istoric_Nativ'!$P$6:$P$405,1))))</x:f>
        <x:v>0</x:v>
      </x:c>
      <x:c r="L1057" s="17" t="n">
        <x:f>IF(AND(B1057&lt;&gt;"",I1057="RECENT",K1057&gt;0),LARGE(_xlfn._xlws.FILTER('Istoric_Nativ'!$D$6:$D$405,('Istoric_Nativ'!$B$6:$B$405=E1057)*('Istoric_Nativ'!$C$6:$C$405=F1057)*('Istoric_Nativ'!$P$6:$P$405=1)*('Istoric_Nativ'!$D$6:$D$405&lt;J1057)*((('Istoric_Nativ'!$E$6:$E$405=G1057)+('Istoric_Nativ'!$F$6:$F$405=G1057))&gt;0)),MIN('Config_v6'!$B$54,K1057)),0)</x:f>
        <x:v>0</x:v>
      </x:c>
      <x:c r="M1057" s="2" t="n">
        <x:f>IF(OR(B1057="",F1057=""),0,IF(H1057="HOME",COUNTIFS('Istoric_Nativ'!$B$6:$B$405,E1057,'Istoric_Nativ'!$C$6:$C$405,F1057,'Istoric_Nativ'!$E$6:$E$405,G1057,'Istoric_Nativ'!$D$6:$D$405,"&lt;"&amp;J1057,'Istoric_Nativ'!$P$6:$P$405,1,'Istoric_Nativ'!$D$6:$D$405,"&gt;="&amp;L1057),IF(H1057="AWAY",COUNTIFS('Istoric_Nativ'!$B$6:$B$405,E1057,'Istoric_Nativ'!$C$6:$C$405,F1057,'Istoric_Nativ'!$F$6:$F$405,G1057,'Istoric_Nativ'!$D$6:$D$405,"&lt;"&amp;J1057,'Istoric_Nativ'!$P$6:$P$405,1,'Istoric_Nativ'!$D$6:$D$405,"&gt;="&amp;L1057),COUNTIFS('Istoric_Nativ'!$B$6:$B$405,E1057,'Istoric_Nativ'!$C$6:$C$405,F1057,'Istoric_Nativ'!$E$6:$E$405,G1057,'Istoric_Nativ'!$D$6:$D$405,"&lt;"&amp;J1057,'Istoric_Nativ'!$P$6:$P$405,1,'Istoric_Nativ'!$D$6:$D$405,"&gt;="&amp;L1057)+COUNTIFS('Istoric_Nativ'!$B$6:$B$405,E1057,'Istoric_Nativ'!$C$6:$C$405,F1057,'Istoric_Nativ'!$F$6:$F$405,G1057,'Istoric_Nativ'!$D$6:$D$405,"&lt;"&amp;J1057,'Istoric_Nativ'!$P$6:$P$405,1,'Istoric_Nativ'!$D$6:$D$405,"&gt;="&amp;L1057))))</x:f>
        <x:v>0</x:v>
      </x:c>
      <x:c r="N1057" s="11" t="str">
        <x:f>IF(M1057=0,"",IF(H1057="HOME",SUMIFS('Istoric_Nativ'!$G$6:$G$405,'Istoric_Nativ'!$B$6:$B$405,E1057,'Istoric_Nativ'!$C$6:$C$405,F1057,'Istoric_Nativ'!$E$6:$E$405,G1057,'Istoric_Nativ'!$D$6:$D$405,"&lt;"&amp;J1057,'Istoric_Nativ'!$P$6:$P$405,1,'Istoric_Nativ'!$D$6:$D$405,"&gt;="&amp;L1057),IF(H1057="AWAY",SUMIFS('Istoric_Nativ'!$H$6:$H$405,'Istoric_Nativ'!$B$6:$B$405,E1057,'Istoric_Nativ'!$C$6:$C$405,F1057,'Istoric_Nativ'!$F$6:$F$405,G1057,'Istoric_Nativ'!$D$6:$D$405,"&lt;"&amp;J1057,'Istoric_Nativ'!$P$6:$P$405,1,'Istoric_Nativ'!$D$6:$D$405,"&gt;="&amp;L1057),SUMIFS('Istoric_Nativ'!$G$6:$G$405,'Istoric_Nativ'!$B$6:$B$405,E1057,'Istoric_Nativ'!$C$6:$C$405,F1057,'Istoric_Nativ'!$E$6:$E$405,G1057,'Istoric_Nativ'!$D$6:$D$405,"&lt;"&amp;J1057,'Istoric_Nativ'!$P$6:$P$405,1,'Istoric_Nativ'!$D$6:$D$405,"&gt;="&amp;L1057)+SUMIFS('Istoric_Nativ'!$H$6:$H$405,'Istoric_Nativ'!$B$6:$B$405,E1057,'Istoric_Nativ'!$C$6:$C$405,F1057,'Istoric_Nativ'!$F$6:$F$405,G1057,'Istoric_Nativ'!$D$6:$D$405,"&lt;"&amp;J1057,'Istoric_Nativ'!$P$6:$P$405,1,'Istoric_Nativ'!$D$6:$D$405,"&gt;="&amp;L1057)))/M1057)</x:f>
      </x:c>
      <x:c r="O1057" s="11" t="str">
        <x:f>IF(M1057=0,"",IF(H1057="HOME",SUMIFS('Istoric_Nativ'!$H$6:$H$405,'Istoric_Nativ'!$B$6:$B$405,E1057,'Istoric_Nativ'!$C$6:$C$405,F1057,'Istoric_Nativ'!$E$6:$E$405,G1057,'Istoric_Nativ'!$D$6:$D$405,"&lt;"&amp;J1057,'Istoric_Nativ'!$P$6:$P$405,1,'Istoric_Nativ'!$D$6:$D$405,"&gt;="&amp;L1057),IF(H1057="AWAY",SUMIFS('Istoric_Nativ'!$G$6:$G$405,'Istoric_Nativ'!$B$6:$B$405,E1057,'Istoric_Nativ'!$C$6:$C$405,F1057,'Istoric_Nativ'!$F$6:$F$405,G1057,'Istoric_Nativ'!$D$6:$D$405,"&lt;"&amp;J1057,'Istoric_Nativ'!$P$6:$P$405,1,'Istoric_Nativ'!$D$6:$D$405,"&gt;="&amp;L1057),SUMIFS('Istoric_Nativ'!$H$6:$H$405,'Istoric_Nativ'!$B$6:$B$405,E1057,'Istoric_Nativ'!$C$6:$C$405,F1057,'Istoric_Nativ'!$E$6:$E$405,G1057,'Istoric_Nativ'!$D$6:$D$405,"&lt;"&amp;J1057,'Istoric_Nativ'!$P$6:$P$405,1,'Istoric_Nativ'!$D$6:$D$405,"&gt;="&amp;L1057)+SUMIFS('Istoric_Nativ'!$G$6:$G$405,'Istoric_Nativ'!$B$6:$B$405,E1057,'Istoric_Nativ'!$C$6:$C$405,F1057,'Istoric_Nativ'!$F$6:$F$405,G1057,'Istoric_Nativ'!$D$6:$D$405,"&lt;"&amp;J1057,'Istoric_Nativ'!$P$6:$P$405,1,'Istoric_Nativ'!$D$6:$D$405,"&gt;="&amp;L1057)))/M1057)</x:f>
      </x:c>
      <x:c r="P1057" s="2" t="n">
        <x:f>'Config_v6'!$B$8</x:f>
        <x:v>5</x:v>
      </x:c>
      <x:c r="Q1057" s="2" t="n">
        <x:f>IF(OR(B1057="",F1057=""),0,IFERROR(MATCH(E1057&amp;"|"&amp;F1057,SourceTable[Source_Key],0),0))</x:f>
        <x:v>0</x:v>
      </x:c>
      <x:c r="R1057" s="2" t="str">
        <x:f>IF(B1057="","",IF(F1057="","UNUSED",IF(Q1057=0,"NOT CHECKED",IF(COUNTIF(SourceTable[Source_Key],E1057&amp;"|"&amp;F1057)&lt;&gt;1,"SOURCE CONFLICT",IF(NOT(OR(INDEX(SourceTable[Status],MAX(1,Q1057))="IMPORTED",INDEX(SourceTable[Status],MAX(1,Q1057))="PARTIAL",INDEX(SourceTable[Status],MAX(1,Q1057))="SOURCE CONFLICT")),"ACCESS BLOCKED",IF(OR(INDEX(SourceTable[Coverage],Q1057)&lt;&gt;"FULL SEASON EXPORT",INDEX(SourceTable[URL],Q1057)="",INDEX(SourceTable[SHA256],Q1057)=""),"EVIDENCE INCOMPLETE",IF(AND('Input_Meci'!H93="LIVE",INDEX(SourceTable[Retrieved_UTC],Q1057)&gt;'Input_Meci'!G93),"POST CUTOFF","CLOSED")))))))</x:f>
      </x:c>
      <x:c r="S1057" s="2" t="n">
        <x:f>IF(OR(B1057="",F1057=""),0,COUNTIFS('Istoric_Nativ'!$B$6:$B$405,E1057,'Istoric_Nativ'!$C$6:$C$405,F1057,'Istoric_Nativ'!$E$6:$E$405,G1057,'Istoric_Nativ'!$D$6:$D$405,"&lt;"&amp;J1057,'Istoric_Nativ'!$O$6:$O$405,"INVALID")+COUNTIFS('Istoric_Nativ'!$B$6:$B$405,E1057,'Istoric_Nativ'!$C$6:$C$405,F1057,'Istoric_Nativ'!$E$6:$E$405,G1057,'Istoric_Nativ'!$O$6:$O$405,"INVALID",'Istoric_Nativ'!$D$6:$D$405,"*")+COUNTIFS('Istoric_Nativ'!$B$6:$B$405,E1057,'Istoric_Nativ'!$C$6:$C$405,F1057,'Istoric_Nativ'!$E$6:$E$405,G1057,'Istoric_Nativ'!$D$6:$D$405,"&lt;"&amp;J1057,'Istoric_Nativ'!$O$6:$O$405,"SOURCE CONFLICT")+COUNTIFS('Istoric_Nativ'!$B$6:$B$405,E1057,'Istoric_Nativ'!$C$6:$C$405,F1057,'Istoric_Nativ'!$F$6:$F$405,G1057,'Istoric_Nativ'!$D$6:$D$405,"&lt;"&amp;J1057,'Istoric_Nativ'!$O$6:$O$405,"INVALID")+COUNTIFS('Istoric_Nativ'!$B$6:$B$405,E1057,'Istoric_Nativ'!$C$6:$C$405,F1057,'Istoric_Nativ'!$F$6:$F$405,G1057,'Istoric_Nativ'!$O$6:$O$405,"INVALID",'Istoric_Nativ'!$D$6:$D$405,"*")+COUNTIFS('Istoric_Nativ'!$B$6:$B$405,E1057,'Istoric_Nativ'!$C$6:$C$405,F1057,'Istoric_Nativ'!$F$6:$F$405,G1057,'Istoric_Nativ'!$D$6:$D$405,"&lt;"&amp;J1057,'Istoric_Nativ'!$O$6:$O$405,"SOURCE CONFLICT"))</x:f>
        <x:v>0</x:v>
      </x:c>
      <x:c r="T1057" s="2" t="str">
        <x:f>IF(B1057="","",IF(R1057&lt;&gt;"CLOSED",R1057,IF(S1057&gt;0,"NATIVE INPUT ISSUE",IF(M1057=0,"NO HISTORY",IF(M1057&lt;P1057,"SMALL SAMPLE","DERIVED")))))</x:f>
      </x:c>
      <x:c r="U1057" s="2" t="str">
        <x:f>IF(B1057="","","NativeTable; "&amp;E1057&amp;"; "&amp;F1057&amp;"; "&amp;G1057&amp;"; "&amp;H1057&amp;"; before "&amp;TEXT(J1057,"yyyy-mm-dd")&amp;IF(I1057="RECENT","; from "&amp;TEXT(L1057,"yyyy-mm-dd"),""))</x:f>
      </x:c>
    </x:row>
    <x:row r="1058" ht="21" customHeight="1">
      <x:c r="A1058" s="2" t="n">
        <x:v>88</x:v>
      </x:c>
      <x:c r="B1058" s="2" t="str">
        <x:f>IF('Input_Meci'!A93="","",'Input_Meci'!A93)</x:f>
      </x:c>
      <x:c r="C1058" s="2" t="str">
        <x:v>H</x:v>
      </x:c>
      <x:c r="D1058" s="2" t="str">
        <x:v>PRIOR</x:v>
      </x:c>
      <x:c r="E1058" s="2" t="str">
        <x:f>IF(B1058="","",'Input_Meci'!B93)</x:f>
      </x:c>
      <x:c r="F1058" s="2" t="str">
        <x:f>IF(B1058="","",IF('Input_Meci'!K93="","",'Input_Meci'!K93))</x:f>
      </x:c>
      <x:c r="G1058" s="2" t="str">
        <x:f>IF(B1058="","",'Input_Meci'!D93)</x:f>
      </x:c>
      <x:c r="H1058" s="2" t="str">
        <x:v>ANY</x:v>
      </x:c>
      <x:c r="I1058" s="2" t="str">
        <x:v>RECENT</x:v>
      </x:c>
      <x:c r="J1058" s="9" t="n">
        <x:f>IF(AND(B1058&lt;&gt;"",ISNUMBER('Input_Meci'!G93)),INT('Input_Meci'!G93),0)</x:f>
        <x:v>0</x:v>
      </x:c>
      <x:c r="K1058" s="2" t="n">
        <x:f>IF(OR(B1058="",F1058=""),0,IF(H1058="HOME",COUNTIFS('Istoric_Nativ'!$B$6:$B$405,E1058,'Istoric_Nativ'!$C$6:$C$405,F1058,'Istoric_Nativ'!$E$6:$E$405,G1058,'Istoric_Nativ'!$D$6:$D$405,"&lt;"&amp;J1058,'Istoric_Nativ'!$P$6:$P$405,1),IF(H1058="AWAY",COUNTIFS('Istoric_Nativ'!$B$6:$B$405,E1058,'Istoric_Nativ'!$C$6:$C$405,F1058,'Istoric_Nativ'!$F$6:$F$405,G1058,'Istoric_Nativ'!$D$6:$D$405,"&lt;"&amp;J1058,'Istoric_Nativ'!$P$6:$P$405,1),COUNTIFS('Istoric_Nativ'!$B$6:$B$405,E1058,'Istoric_Nativ'!$C$6:$C$405,F1058,'Istoric_Nativ'!$E$6:$E$405,G1058,'Istoric_Nativ'!$D$6:$D$405,"&lt;"&amp;J1058,'Istoric_Nativ'!$P$6:$P$405,1)+COUNTIFS('Istoric_Nativ'!$B$6:$B$405,E1058,'Istoric_Nativ'!$C$6:$C$405,F1058,'Istoric_Nativ'!$F$6:$F$405,G1058,'Istoric_Nativ'!$D$6:$D$405,"&lt;"&amp;J1058,'Istoric_Nativ'!$P$6:$P$405,1))))</x:f>
        <x:v>0</x:v>
      </x:c>
      <x:c r="L1058" s="17" t="n">
        <x:f>IF(AND(B1058&lt;&gt;"",I1058="RECENT",K1058&gt;0),LARGE(_xlfn._xlws.FILTER('Istoric_Nativ'!$D$6:$D$405,('Istoric_Nativ'!$B$6:$B$405=E1058)*('Istoric_Nativ'!$C$6:$C$405=F1058)*('Istoric_Nativ'!$P$6:$P$405=1)*('Istoric_Nativ'!$D$6:$D$405&lt;J1058)*((('Istoric_Nativ'!$E$6:$E$405=G1058)+('Istoric_Nativ'!$F$6:$F$405=G1058))&gt;0)),MIN('Config_v6'!$B$54,K1058)),0)</x:f>
        <x:v>0</x:v>
      </x:c>
      <x:c r="M1058" s="2" t="n">
        <x:f>IF(OR(B1058="",F1058=""),0,IF(H1058="HOME",COUNTIFS('Istoric_Nativ'!$B$6:$B$405,E1058,'Istoric_Nativ'!$C$6:$C$405,F1058,'Istoric_Nativ'!$E$6:$E$405,G1058,'Istoric_Nativ'!$D$6:$D$405,"&lt;"&amp;J1058,'Istoric_Nativ'!$P$6:$P$405,1,'Istoric_Nativ'!$D$6:$D$405,"&gt;="&amp;L1058),IF(H1058="AWAY",COUNTIFS('Istoric_Nativ'!$B$6:$B$405,E1058,'Istoric_Nativ'!$C$6:$C$405,F1058,'Istoric_Nativ'!$F$6:$F$405,G1058,'Istoric_Nativ'!$D$6:$D$405,"&lt;"&amp;J1058,'Istoric_Nativ'!$P$6:$P$405,1,'Istoric_Nativ'!$D$6:$D$405,"&gt;="&amp;L1058),COUNTIFS('Istoric_Nativ'!$B$6:$B$405,E1058,'Istoric_Nativ'!$C$6:$C$405,F1058,'Istoric_Nativ'!$E$6:$E$405,G1058,'Istoric_Nativ'!$D$6:$D$405,"&lt;"&amp;J1058,'Istoric_Nativ'!$P$6:$P$405,1,'Istoric_Nativ'!$D$6:$D$405,"&gt;="&amp;L1058)+COUNTIFS('Istoric_Nativ'!$B$6:$B$405,E1058,'Istoric_Nativ'!$C$6:$C$405,F1058,'Istoric_Nativ'!$F$6:$F$405,G1058,'Istoric_Nativ'!$D$6:$D$405,"&lt;"&amp;J1058,'Istoric_Nativ'!$P$6:$P$405,1,'Istoric_Nativ'!$D$6:$D$405,"&gt;="&amp;L1058))))</x:f>
        <x:v>0</x:v>
      </x:c>
      <x:c r="N1058" s="11" t="str">
        <x:f>IF(M1058=0,"",IF(H1058="HOME",SUMIFS('Istoric_Nativ'!$G$6:$G$405,'Istoric_Nativ'!$B$6:$B$405,E1058,'Istoric_Nativ'!$C$6:$C$405,F1058,'Istoric_Nativ'!$E$6:$E$405,G1058,'Istoric_Nativ'!$D$6:$D$405,"&lt;"&amp;J1058,'Istoric_Nativ'!$P$6:$P$405,1,'Istoric_Nativ'!$D$6:$D$405,"&gt;="&amp;L1058),IF(H1058="AWAY",SUMIFS('Istoric_Nativ'!$H$6:$H$405,'Istoric_Nativ'!$B$6:$B$405,E1058,'Istoric_Nativ'!$C$6:$C$405,F1058,'Istoric_Nativ'!$F$6:$F$405,G1058,'Istoric_Nativ'!$D$6:$D$405,"&lt;"&amp;J1058,'Istoric_Nativ'!$P$6:$P$405,1,'Istoric_Nativ'!$D$6:$D$405,"&gt;="&amp;L1058),SUMIFS('Istoric_Nativ'!$G$6:$G$405,'Istoric_Nativ'!$B$6:$B$405,E1058,'Istoric_Nativ'!$C$6:$C$405,F1058,'Istoric_Nativ'!$E$6:$E$405,G1058,'Istoric_Nativ'!$D$6:$D$405,"&lt;"&amp;J1058,'Istoric_Nativ'!$P$6:$P$405,1,'Istoric_Nativ'!$D$6:$D$405,"&gt;="&amp;L1058)+SUMIFS('Istoric_Nativ'!$H$6:$H$405,'Istoric_Nativ'!$B$6:$B$405,E1058,'Istoric_Nativ'!$C$6:$C$405,F1058,'Istoric_Nativ'!$F$6:$F$405,G1058,'Istoric_Nativ'!$D$6:$D$405,"&lt;"&amp;J1058,'Istoric_Nativ'!$P$6:$P$405,1,'Istoric_Nativ'!$D$6:$D$405,"&gt;="&amp;L1058)))/M1058)</x:f>
      </x:c>
      <x:c r="O1058" s="11" t="str">
        <x:f>IF(M1058=0,"",IF(H1058="HOME",SUMIFS('Istoric_Nativ'!$H$6:$H$405,'Istoric_Nativ'!$B$6:$B$405,E1058,'Istoric_Nativ'!$C$6:$C$405,F1058,'Istoric_Nativ'!$E$6:$E$405,G1058,'Istoric_Nativ'!$D$6:$D$405,"&lt;"&amp;J1058,'Istoric_Nativ'!$P$6:$P$405,1,'Istoric_Nativ'!$D$6:$D$405,"&gt;="&amp;L1058),IF(H1058="AWAY",SUMIFS('Istoric_Nativ'!$G$6:$G$405,'Istoric_Nativ'!$B$6:$B$405,E1058,'Istoric_Nativ'!$C$6:$C$405,F1058,'Istoric_Nativ'!$F$6:$F$405,G1058,'Istoric_Nativ'!$D$6:$D$405,"&lt;"&amp;J1058,'Istoric_Nativ'!$P$6:$P$405,1,'Istoric_Nativ'!$D$6:$D$405,"&gt;="&amp;L1058),SUMIFS('Istoric_Nativ'!$H$6:$H$405,'Istoric_Nativ'!$B$6:$B$405,E1058,'Istoric_Nativ'!$C$6:$C$405,F1058,'Istoric_Nativ'!$E$6:$E$405,G1058,'Istoric_Nativ'!$D$6:$D$405,"&lt;"&amp;J1058,'Istoric_Nativ'!$P$6:$P$405,1,'Istoric_Nativ'!$D$6:$D$405,"&gt;="&amp;L1058)+SUMIFS('Istoric_Nativ'!$G$6:$G$405,'Istoric_Nativ'!$B$6:$B$405,E1058,'Istoric_Nativ'!$C$6:$C$405,F1058,'Istoric_Nativ'!$F$6:$F$405,G1058,'Istoric_Nativ'!$D$6:$D$405,"&lt;"&amp;J1058,'Istoric_Nativ'!$P$6:$P$405,1,'Istoric_Nativ'!$D$6:$D$405,"&gt;="&amp;L1058)))/M1058)</x:f>
      </x:c>
      <x:c r="P1058" s="2" t="n">
        <x:f>'Config_v6'!$B$9</x:f>
        <x:v>3</x:v>
      </x:c>
      <x:c r="Q1058" s="2" t="n">
        <x:f>IF(OR(B1058="",F1058=""),0,IFERROR(MATCH(E1058&amp;"|"&amp;F1058,SourceTable[Source_Key],0),0))</x:f>
        <x:v>0</x:v>
      </x:c>
      <x:c r="R1058" s="2" t="str">
        <x:f>IF(B1058="","",IF(F1058="","UNUSED",IF(Q1058=0,"NOT CHECKED",IF(COUNTIF(SourceTable[Source_Key],E1058&amp;"|"&amp;F1058)&lt;&gt;1,"SOURCE CONFLICT",IF(NOT(OR(INDEX(SourceTable[Status],MAX(1,Q1058))="IMPORTED",INDEX(SourceTable[Status],MAX(1,Q1058))="PARTIAL",INDEX(SourceTable[Status],MAX(1,Q1058))="SOURCE CONFLICT")),"ACCESS BLOCKED",IF(OR(INDEX(SourceTable[Coverage],Q1058)&lt;&gt;"FULL SEASON EXPORT",INDEX(SourceTable[URL],Q1058)="",INDEX(SourceTable[SHA256],Q1058)=""),"EVIDENCE INCOMPLETE",IF(AND('Input_Meci'!H93="LIVE",INDEX(SourceTable[Retrieved_UTC],Q1058)&gt;'Input_Meci'!G93),"POST CUTOFF","CLOSED")))))))</x:f>
      </x:c>
      <x:c r="S1058" s="2" t="n">
        <x:f>IF(OR(B1058="",F1058=""),0,COUNTIFS('Istoric_Nativ'!$B$6:$B$405,E1058,'Istoric_Nativ'!$C$6:$C$405,F1058,'Istoric_Nativ'!$E$6:$E$405,G1058,'Istoric_Nativ'!$D$6:$D$405,"&lt;"&amp;J1058,'Istoric_Nativ'!$O$6:$O$405,"INVALID")+COUNTIFS('Istoric_Nativ'!$B$6:$B$405,E1058,'Istoric_Nativ'!$C$6:$C$405,F1058,'Istoric_Nativ'!$E$6:$E$405,G1058,'Istoric_Nativ'!$O$6:$O$405,"INVALID",'Istoric_Nativ'!$D$6:$D$405,"*")+COUNTIFS('Istoric_Nativ'!$B$6:$B$405,E1058,'Istoric_Nativ'!$C$6:$C$405,F1058,'Istoric_Nativ'!$E$6:$E$405,G1058,'Istoric_Nativ'!$D$6:$D$405,"&lt;"&amp;J1058,'Istoric_Nativ'!$O$6:$O$405,"SOURCE CONFLICT")+COUNTIFS('Istoric_Nativ'!$B$6:$B$405,E1058,'Istoric_Nativ'!$C$6:$C$405,F1058,'Istoric_Nativ'!$F$6:$F$405,G1058,'Istoric_Nativ'!$D$6:$D$405,"&lt;"&amp;J1058,'Istoric_Nativ'!$O$6:$O$405,"INVALID")+COUNTIFS('Istoric_Nativ'!$B$6:$B$405,E1058,'Istoric_Nativ'!$C$6:$C$405,F1058,'Istoric_Nativ'!$F$6:$F$405,G1058,'Istoric_Nativ'!$O$6:$O$405,"INVALID",'Istoric_Nativ'!$D$6:$D$405,"*")+COUNTIFS('Istoric_Nativ'!$B$6:$B$405,E1058,'Istoric_Nativ'!$C$6:$C$405,F1058,'Istoric_Nativ'!$F$6:$F$405,G1058,'Istoric_Nativ'!$D$6:$D$405,"&lt;"&amp;J1058,'Istoric_Nativ'!$O$6:$O$405,"SOURCE CONFLICT"))</x:f>
        <x:v>0</x:v>
      </x:c>
      <x:c r="T1058" s="2" t="str">
        <x:f>IF(B1058="","",IF(R1058&lt;&gt;"CLOSED",R1058,IF(S1058&gt;0,"NATIVE INPUT ISSUE",IF(M1058=0,"NO HISTORY",IF(M1058&lt;P1058,"SMALL SAMPLE","DERIVED")))))</x:f>
      </x:c>
      <x:c r="U1058" s="2" t="str">
        <x:f>IF(B1058="","","NativeTable; "&amp;E1058&amp;"; "&amp;F1058&amp;"; "&amp;G1058&amp;"; "&amp;H1058&amp;"; before "&amp;TEXT(J1058,"yyyy-mm-dd")&amp;IF(I1058="RECENT","; from "&amp;TEXT(L1058,"yyyy-mm-dd"),""))</x:f>
      </x:c>
    </x:row>
    <x:row r="1059" ht="21" customHeight="1">
      <x:c r="A1059" s="2" t="n">
        <x:v>88</x:v>
      </x:c>
      <x:c r="B1059" s="2" t="str">
        <x:f>IF('Input_Meci'!A93="","",'Input_Meci'!A93)</x:f>
      </x:c>
      <x:c r="C1059" s="2" t="str">
        <x:v>A</x:v>
      </x:c>
      <x:c r="D1059" s="2" t="str">
        <x:v>PRIOR</x:v>
      </x:c>
      <x:c r="E1059" s="2" t="str">
        <x:f>IF(B1059="","",'Input_Meci'!B93)</x:f>
      </x:c>
      <x:c r="F1059" s="2" t="str">
        <x:f>IF(B1059="","",IF('Input_Meci'!K93="","",'Input_Meci'!K93))</x:f>
      </x:c>
      <x:c r="G1059" s="2" t="str">
        <x:f>IF(B1059="","",'Input_Meci'!E93)</x:f>
      </x:c>
      <x:c r="H1059" s="2" t="str">
        <x:v>ANY</x:v>
      </x:c>
      <x:c r="I1059" s="2" t="str">
        <x:v>SEASON</x:v>
      </x:c>
      <x:c r="J1059" s="9" t="n">
        <x:f>IF(AND(B1059&lt;&gt;"",ISNUMBER('Input_Meci'!G93)),INT('Input_Meci'!G93),0)</x:f>
        <x:v>0</x:v>
      </x:c>
      <x:c r="K1059" s="2" t="n">
        <x:f>IF(OR(B1059="",F1059=""),0,IF(H1059="HOME",COUNTIFS('Istoric_Nativ'!$B$6:$B$405,E1059,'Istoric_Nativ'!$C$6:$C$405,F1059,'Istoric_Nativ'!$E$6:$E$405,G1059,'Istoric_Nativ'!$D$6:$D$405,"&lt;"&amp;J1059,'Istoric_Nativ'!$P$6:$P$405,1),IF(H1059="AWAY",COUNTIFS('Istoric_Nativ'!$B$6:$B$405,E1059,'Istoric_Nativ'!$C$6:$C$405,F1059,'Istoric_Nativ'!$F$6:$F$405,G1059,'Istoric_Nativ'!$D$6:$D$405,"&lt;"&amp;J1059,'Istoric_Nativ'!$P$6:$P$405,1),COUNTIFS('Istoric_Nativ'!$B$6:$B$405,E1059,'Istoric_Nativ'!$C$6:$C$405,F1059,'Istoric_Nativ'!$E$6:$E$405,G1059,'Istoric_Nativ'!$D$6:$D$405,"&lt;"&amp;J1059,'Istoric_Nativ'!$P$6:$P$405,1)+COUNTIFS('Istoric_Nativ'!$B$6:$B$405,E1059,'Istoric_Nativ'!$C$6:$C$405,F1059,'Istoric_Nativ'!$F$6:$F$405,G1059,'Istoric_Nativ'!$D$6:$D$405,"&lt;"&amp;J1059,'Istoric_Nativ'!$P$6:$P$405,1))))</x:f>
        <x:v>0</x:v>
      </x:c>
      <x:c r="L1059" s="17" t="n">
        <x:f>IF(AND(B1059&lt;&gt;"",I1059="RECENT",K1059&gt;0),LARGE(_xlfn._xlws.FILTER('Istoric_Nativ'!$D$6:$D$405,('Istoric_Nativ'!$B$6:$B$405=E1059)*('Istoric_Nativ'!$C$6:$C$405=F1059)*('Istoric_Nativ'!$P$6:$P$405=1)*('Istoric_Nativ'!$D$6:$D$405&lt;J1059)*((('Istoric_Nativ'!$E$6:$E$405=G1059)+('Istoric_Nativ'!$F$6:$F$405=G1059))&gt;0)),MIN('Config_v6'!$B$54,K1059)),0)</x:f>
        <x:v>0</x:v>
      </x:c>
      <x:c r="M1059" s="2" t="n">
        <x:f>IF(OR(B1059="",F1059=""),0,IF(H1059="HOME",COUNTIFS('Istoric_Nativ'!$B$6:$B$405,E1059,'Istoric_Nativ'!$C$6:$C$405,F1059,'Istoric_Nativ'!$E$6:$E$405,G1059,'Istoric_Nativ'!$D$6:$D$405,"&lt;"&amp;J1059,'Istoric_Nativ'!$P$6:$P$405,1,'Istoric_Nativ'!$D$6:$D$405,"&gt;="&amp;L1059),IF(H1059="AWAY",COUNTIFS('Istoric_Nativ'!$B$6:$B$405,E1059,'Istoric_Nativ'!$C$6:$C$405,F1059,'Istoric_Nativ'!$F$6:$F$405,G1059,'Istoric_Nativ'!$D$6:$D$405,"&lt;"&amp;J1059,'Istoric_Nativ'!$P$6:$P$405,1,'Istoric_Nativ'!$D$6:$D$405,"&gt;="&amp;L1059),COUNTIFS('Istoric_Nativ'!$B$6:$B$405,E1059,'Istoric_Nativ'!$C$6:$C$405,F1059,'Istoric_Nativ'!$E$6:$E$405,G1059,'Istoric_Nativ'!$D$6:$D$405,"&lt;"&amp;J1059,'Istoric_Nativ'!$P$6:$P$405,1,'Istoric_Nativ'!$D$6:$D$405,"&gt;="&amp;L1059)+COUNTIFS('Istoric_Nativ'!$B$6:$B$405,E1059,'Istoric_Nativ'!$C$6:$C$405,F1059,'Istoric_Nativ'!$F$6:$F$405,G1059,'Istoric_Nativ'!$D$6:$D$405,"&lt;"&amp;J1059,'Istoric_Nativ'!$P$6:$P$405,1,'Istoric_Nativ'!$D$6:$D$405,"&gt;="&amp;L1059))))</x:f>
        <x:v>0</x:v>
      </x:c>
      <x:c r="N1059" s="11" t="str">
        <x:f>IF(M1059=0,"",IF(H1059="HOME",SUMIFS('Istoric_Nativ'!$G$6:$G$405,'Istoric_Nativ'!$B$6:$B$405,E1059,'Istoric_Nativ'!$C$6:$C$405,F1059,'Istoric_Nativ'!$E$6:$E$405,G1059,'Istoric_Nativ'!$D$6:$D$405,"&lt;"&amp;J1059,'Istoric_Nativ'!$P$6:$P$405,1,'Istoric_Nativ'!$D$6:$D$405,"&gt;="&amp;L1059),IF(H1059="AWAY",SUMIFS('Istoric_Nativ'!$H$6:$H$405,'Istoric_Nativ'!$B$6:$B$405,E1059,'Istoric_Nativ'!$C$6:$C$405,F1059,'Istoric_Nativ'!$F$6:$F$405,G1059,'Istoric_Nativ'!$D$6:$D$405,"&lt;"&amp;J1059,'Istoric_Nativ'!$P$6:$P$405,1,'Istoric_Nativ'!$D$6:$D$405,"&gt;="&amp;L1059),SUMIFS('Istoric_Nativ'!$G$6:$G$405,'Istoric_Nativ'!$B$6:$B$405,E1059,'Istoric_Nativ'!$C$6:$C$405,F1059,'Istoric_Nativ'!$E$6:$E$405,G1059,'Istoric_Nativ'!$D$6:$D$405,"&lt;"&amp;J1059,'Istoric_Nativ'!$P$6:$P$405,1,'Istoric_Nativ'!$D$6:$D$405,"&gt;="&amp;L1059)+SUMIFS('Istoric_Nativ'!$H$6:$H$405,'Istoric_Nativ'!$B$6:$B$405,E1059,'Istoric_Nativ'!$C$6:$C$405,F1059,'Istoric_Nativ'!$F$6:$F$405,G1059,'Istoric_Nativ'!$D$6:$D$405,"&lt;"&amp;J1059,'Istoric_Nativ'!$P$6:$P$405,1,'Istoric_Nativ'!$D$6:$D$405,"&gt;="&amp;L1059)))/M1059)</x:f>
      </x:c>
      <x:c r="O1059" s="11" t="str">
        <x:f>IF(M1059=0,"",IF(H1059="HOME",SUMIFS('Istoric_Nativ'!$H$6:$H$405,'Istoric_Nativ'!$B$6:$B$405,E1059,'Istoric_Nativ'!$C$6:$C$405,F1059,'Istoric_Nativ'!$E$6:$E$405,G1059,'Istoric_Nativ'!$D$6:$D$405,"&lt;"&amp;J1059,'Istoric_Nativ'!$P$6:$P$405,1,'Istoric_Nativ'!$D$6:$D$405,"&gt;="&amp;L1059),IF(H1059="AWAY",SUMIFS('Istoric_Nativ'!$G$6:$G$405,'Istoric_Nativ'!$B$6:$B$405,E1059,'Istoric_Nativ'!$C$6:$C$405,F1059,'Istoric_Nativ'!$F$6:$F$405,G1059,'Istoric_Nativ'!$D$6:$D$405,"&lt;"&amp;J1059,'Istoric_Nativ'!$P$6:$P$405,1,'Istoric_Nativ'!$D$6:$D$405,"&gt;="&amp;L1059),SUMIFS('Istoric_Nativ'!$H$6:$H$405,'Istoric_Nativ'!$B$6:$B$405,E1059,'Istoric_Nativ'!$C$6:$C$405,F1059,'Istoric_Nativ'!$E$6:$E$405,G1059,'Istoric_Nativ'!$D$6:$D$405,"&lt;"&amp;J1059,'Istoric_Nativ'!$P$6:$P$405,1,'Istoric_Nativ'!$D$6:$D$405,"&gt;="&amp;L1059)+SUMIFS('Istoric_Nativ'!$G$6:$G$405,'Istoric_Nativ'!$B$6:$B$405,E1059,'Istoric_Nativ'!$C$6:$C$405,F1059,'Istoric_Nativ'!$F$6:$F$405,G1059,'Istoric_Nativ'!$D$6:$D$405,"&lt;"&amp;J1059,'Istoric_Nativ'!$P$6:$P$405,1,'Istoric_Nativ'!$D$6:$D$405,"&gt;="&amp;L1059)))/M1059)</x:f>
      </x:c>
      <x:c r="P1059" s="2" t="n">
        <x:f>'Config_v6'!$B$7</x:f>
        <x:v>10</x:v>
      </x:c>
      <x:c r="Q1059" s="2" t="n">
        <x:f>IF(OR(B1059="",F1059=""),0,IFERROR(MATCH(E1059&amp;"|"&amp;F1059,SourceTable[Source_Key],0),0))</x:f>
        <x:v>0</x:v>
      </x:c>
      <x:c r="R1059" s="2" t="str">
        <x:f>IF(B1059="","",IF(F1059="","UNUSED",IF(Q1059=0,"NOT CHECKED",IF(COUNTIF(SourceTable[Source_Key],E1059&amp;"|"&amp;F1059)&lt;&gt;1,"SOURCE CONFLICT",IF(NOT(OR(INDEX(SourceTable[Status],MAX(1,Q1059))="IMPORTED",INDEX(SourceTable[Status],MAX(1,Q1059))="PARTIAL",INDEX(SourceTable[Status],MAX(1,Q1059))="SOURCE CONFLICT")),"ACCESS BLOCKED",IF(OR(INDEX(SourceTable[Coverage],Q1059)&lt;&gt;"FULL SEASON EXPORT",INDEX(SourceTable[URL],Q1059)="",INDEX(SourceTable[SHA256],Q1059)=""),"EVIDENCE INCOMPLETE",IF(AND('Input_Meci'!H93="LIVE",INDEX(SourceTable[Retrieved_UTC],Q1059)&gt;'Input_Meci'!G93),"POST CUTOFF","CLOSED")))))))</x:f>
      </x:c>
      <x:c r="S1059" s="2" t="n">
        <x:f>IF(OR(B1059="",F1059=""),0,COUNTIFS('Istoric_Nativ'!$B$6:$B$405,E1059,'Istoric_Nativ'!$C$6:$C$405,F1059,'Istoric_Nativ'!$E$6:$E$405,G1059,'Istoric_Nativ'!$D$6:$D$405,"&lt;"&amp;J1059,'Istoric_Nativ'!$O$6:$O$405,"INVALID")+COUNTIFS('Istoric_Nativ'!$B$6:$B$405,E1059,'Istoric_Nativ'!$C$6:$C$405,F1059,'Istoric_Nativ'!$E$6:$E$405,G1059,'Istoric_Nativ'!$O$6:$O$405,"INVALID",'Istoric_Nativ'!$D$6:$D$405,"*")+COUNTIFS('Istoric_Nativ'!$B$6:$B$405,E1059,'Istoric_Nativ'!$C$6:$C$405,F1059,'Istoric_Nativ'!$E$6:$E$405,G1059,'Istoric_Nativ'!$D$6:$D$405,"&lt;"&amp;J1059,'Istoric_Nativ'!$O$6:$O$405,"SOURCE CONFLICT")+COUNTIFS('Istoric_Nativ'!$B$6:$B$405,E1059,'Istoric_Nativ'!$C$6:$C$405,F1059,'Istoric_Nativ'!$F$6:$F$405,G1059,'Istoric_Nativ'!$D$6:$D$405,"&lt;"&amp;J1059,'Istoric_Nativ'!$O$6:$O$405,"INVALID")+COUNTIFS('Istoric_Nativ'!$B$6:$B$405,E1059,'Istoric_Nativ'!$C$6:$C$405,F1059,'Istoric_Nativ'!$F$6:$F$405,G1059,'Istoric_Nativ'!$O$6:$O$405,"INVALID",'Istoric_Nativ'!$D$6:$D$405,"*")+COUNTIFS('Istoric_Nativ'!$B$6:$B$405,E1059,'Istoric_Nativ'!$C$6:$C$405,F1059,'Istoric_Nativ'!$F$6:$F$405,G1059,'Istoric_Nativ'!$D$6:$D$405,"&lt;"&amp;J1059,'Istoric_Nativ'!$O$6:$O$405,"SOURCE CONFLICT"))</x:f>
        <x:v>0</x:v>
      </x:c>
      <x:c r="T1059" s="2" t="str">
        <x:f>IF(B1059="","",IF(R1059&lt;&gt;"CLOSED",R1059,IF(S1059&gt;0,"NATIVE INPUT ISSUE",IF(M1059=0,"NO HISTORY",IF(M1059&lt;P1059,"SMALL SAMPLE","DERIVED")))))</x:f>
      </x:c>
      <x:c r="U1059" s="2" t="str">
        <x:f>IF(B1059="","","NativeTable; "&amp;E1059&amp;"; "&amp;F1059&amp;"; "&amp;G1059&amp;"; "&amp;H1059&amp;"; before "&amp;TEXT(J1059,"yyyy-mm-dd")&amp;IF(I1059="RECENT","; from "&amp;TEXT(L1059,"yyyy-mm-dd"),""))</x:f>
      </x:c>
    </x:row>
    <x:row r="1060" ht="21" customHeight="1">
      <x:c r="A1060" s="2" t="n">
        <x:v>88</x:v>
      </x:c>
      <x:c r="B1060" s="2" t="str">
        <x:f>IF('Input_Meci'!A93="","",'Input_Meci'!A93)</x:f>
      </x:c>
      <x:c r="C1060" s="2" t="str">
        <x:v>A</x:v>
      </x:c>
      <x:c r="D1060" s="2" t="str">
        <x:v>PRIOR</x:v>
      </x:c>
      <x:c r="E1060" s="2" t="str">
        <x:f>IF(B1060="","",'Input_Meci'!B93)</x:f>
      </x:c>
      <x:c r="F1060" s="2" t="str">
        <x:f>IF(B1060="","",IF('Input_Meci'!K93="","",'Input_Meci'!K93))</x:f>
      </x:c>
      <x:c r="G1060" s="2" t="str">
        <x:f>IF(B1060="","",'Input_Meci'!E93)</x:f>
      </x:c>
      <x:c r="H1060" s="2" t="str">
        <x:v>AWAY</x:v>
      </x:c>
      <x:c r="I1060" s="2" t="str">
        <x:v>HA</x:v>
      </x:c>
      <x:c r="J1060" s="9" t="n">
        <x:f>IF(AND(B1060&lt;&gt;"",ISNUMBER('Input_Meci'!G93)),INT('Input_Meci'!G93),0)</x:f>
        <x:v>0</x:v>
      </x:c>
      <x:c r="K1060" s="2" t="n">
        <x:f>IF(OR(B1060="",F1060=""),0,IF(H1060="HOME",COUNTIFS('Istoric_Nativ'!$B$6:$B$405,E1060,'Istoric_Nativ'!$C$6:$C$405,F1060,'Istoric_Nativ'!$E$6:$E$405,G1060,'Istoric_Nativ'!$D$6:$D$405,"&lt;"&amp;J1060,'Istoric_Nativ'!$P$6:$P$405,1),IF(H1060="AWAY",COUNTIFS('Istoric_Nativ'!$B$6:$B$405,E1060,'Istoric_Nativ'!$C$6:$C$405,F1060,'Istoric_Nativ'!$F$6:$F$405,G1060,'Istoric_Nativ'!$D$6:$D$405,"&lt;"&amp;J1060,'Istoric_Nativ'!$P$6:$P$405,1),COUNTIFS('Istoric_Nativ'!$B$6:$B$405,E1060,'Istoric_Nativ'!$C$6:$C$405,F1060,'Istoric_Nativ'!$E$6:$E$405,G1060,'Istoric_Nativ'!$D$6:$D$405,"&lt;"&amp;J1060,'Istoric_Nativ'!$P$6:$P$405,1)+COUNTIFS('Istoric_Nativ'!$B$6:$B$405,E1060,'Istoric_Nativ'!$C$6:$C$405,F1060,'Istoric_Nativ'!$F$6:$F$405,G1060,'Istoric_Nativ'!$D$6:$D$405,"&lt;"&amp;J1060,'Istoric_Nativ'!$P$6:$P$405,1))))</x:f>
        <x:v>0</x:v>
      </x:c>
      <x:c r="L1060" s="17" t="n">
        <x:f>IF(AND(B1060&lt;&gt;"",I1060="RECENT",K1060&gt;0),LARGE(_xlfn._xlws.FILTER('Istoric_Nativ'!$D$6:$D$405,('Istoric_Nativ'!$B$6:$B$405=E1060)*('Istoric_Nativ'!$C$6:$C$405=F1060)*('Istoric_Nativ'!$P$6:$P$405=1)*('Istoric_Nativ'!$D$6:$D$405&lt;J1060)*((('Istoric_Nativ'!$E$6:$E$405=G1060)+('Istoric_Nativ'!$F$6:$F$405=G1060))&gt;0)),MIN('Config_v6'!$B$54,K1060)),0)</x:f>
        <x:v>0</x:v>
      </x:c>
      <x:c r="M1060" s="2" t="n">
        <x:f>IF(OR(B1060="",F1060=""),0,IF(H1060="HOME",COUNTIFS('Istoric_Nativ'!$B$6:$B$405,E1060,'Istoric_Nativ'!$C$6:$C$405,F1060,'Istoric_Nativ'!$E$6:$E$405,G1060,'Istoric_Nativ'!$D$6:$D$405,"&lt;"&amp;J1060,'Istoric_Nativ'!$P$6:$P$405,1,'Istoric_Nativ'!$D$6:$D$405,"&gt;="&amp;L1060),IF(H1060="AWAY",COUNTIFS('Istoric_Nativ'!$B$6:$B$405,E1060,'Istoric_Nativ'!$C$6:$C$405,F1060,'Istoric_Nativ'!$F$6:$F$405,G1060,'Istoric_Nativ'!$D$6:$D$405,"&lt;"&amp;J1060,'Istoric_Nativ'!$P$6:$P$405,1,'Istoric_Nativ'!$D$6:$D$405,"&gt;="&amp;L1060),COUNTIFS('Istoric_Nativ'!$B$6:$B$405,E1060,'Istoric_Nativ'!$C$6:$C$405,F1060,'Istoric_Nativ'!$E$6:$E$405,G1060,'Istoric_Nativ'!$D$6:$D$405,"&lt;"&amp;J1060,'Istoric_Nativ'!$P$6:$P$405,1,'Istoric_Nativ'!$D$6:$D$405,"&gt;="&amp;L1060)+COUNTIFS('Istoric_Nativ'!$B$6:$B$405,E1060,'Istoric_Nativ'!$C$6:$C$405,F1060,'Istoric_Nativ'!$F$6:$F$405,G1060,'Istoric_Nativ'!$D$6:$D$405,"&lt;"&amp;J1060,'Istoric_Nativ'!$P$6:$P$405,1,'Istoric_Nativ'!$D$6:$D$405,"&gt;="&amp;L1060))))</x:f>
        <x:v>0</x:v>
      </x:c>
      <x:c r="N1060" s="11" t="str">
        <x:f>IF(M1060=0,"",IF(H1060="HOME",SUMIFS('Istoric_Nativ'!$G$6:$G$405,'Istoric_Nativ'!$B$6:$B$405,E1060,'Istoric_Nativ'!$C$6:$C$405,F1060,'Istoric_Nativ'!$E$6:$E$405,G1060,'Istoric_Nativ'!$D$6:$D$405,"&lt;"&amp;J1060,'Istoric_Nativ'!$P$6:$P$405,1,'Istoric_Nativ'!$D$6:$D$405,"&gt;="&amp;L1060),IF(H1060="AWAY",SUMIFS('Istoric_Nativ'!$H$6:$H$405,'Istoric_Nativ'!$B$6:$B$405,E1060,'Istoric_Nativ'!$C$6:$C$405,F1060,'Istoric_Nativ'!$F$6:$F$405,G1060,'Istoric_Nativ'!$D$6:$D$405,"&lt;"&amp;J1060,'Istoric_Nativ'!$P$6:$P$405,1,'Istoric_Nativ'!$D$6:$D$405,"&gt;="&amp;L1060),SUMIFS('Istoric_Nativ'!$G$6:$G$405,'Istoric_Nativ'!$B$6:$B$405,E1060,'Istoric_Nativ'!$C$6:$C$405,F1060,'Istoric_Nativ'!$E$6:$E$405,G1060,'Istoric_Nativ'!$D$6:$D$405,"&lt;"&amp;J1060,'Istoric_Nativ'!$P$6:$P$405,1,'Istoric_Nativ'!$D$6:$D$405,"&gt;="&amp;L1060)+SUMIFS('Istoric_Nativ'!$H$6:$H$405,'Istoric_Nativ'!$B$6:$B$405,E1060,'Istoric_Nativ'!$C$6:$C$405,F1060,'Istoric_Nativ'!$F$6:$F$405,G1060,'Istoric_Nativ'!$D$6:$D$405,"&lt;"&amp;J1060,'Istoric_Nativ'!$P$6:$P$405,1,'Istoric_Nativ'!$D$6:$D$405,"&gt;="&amp;L1060)))/M1060)</x:f>
      </x:c>
      <x:c r="O1060" s="11" t="str">
        <x:f>IF(M1060=0,"",IF(H1060="HOME",SUMIFS('Istoric_Nativ'!$H$6:$H$405,'Istoric_Nativ'!$B$6:$B$405,E1060,'Istoric_Nativ'!$C$6:$C$405,F1060,'Istoric_Nativ'!$E$6:$E$405,G1060,'Istoric_Nativ'!$D$6:$D$405,"&lt;"&amp;J1060,'Istoric_Nativ'!$P$6:$P$405,1,'Istoric_Nativ'!$D$6:$D$405,"&gt;="&amp;L1060),IF(H1060="AWAY",SUMIFS('Istoric_Nativ'!$G$6:$G$405,'Istoric_Nativ'!$B$6:$B$405,E1060,'Istoric_Nativ'!$C$6:$C$405,F1060,'Istoric_Nativ'!$F$6:$F$405,G1060,'Istoric_Nativ'!$D$6:$D$405,"&lt;"&amp;J1060,'Istoric_Nativ'!$P$6:$P$405,1,'Istoric_Nativ'!$D$6:$D$405,"&gt;="&amp;L1060),SUMIFS('Istoric_Nativ'!$H$6:$H$405,'Istoric_Nativ'!$B$6:$B$405,E1060,'Istoric_Nativ'!$C$6:$C$405,F1060,'Istoric_Nativ'!$E$6:$E$405,G1060,'Istoric_Nativ'!$D$6:$D$405,"&lt;"&amp;J1060,'Istoric_Nativ'!$P$6:$P$405,1,'Istoric_Nativ'!$D$6:$D$405,"&gt;="&amp;L1060)+SUMIFS('Istoric_Nativ'!$G$6:$G$405,'Istoric_Nativ'!$B$6:$B$405,E1060,'Istoric_Nativ'!$C$6:$C$405,F1060,'Istoric_Nativ'!$F$6:$F$405,G1060,'Istoric_Nativ'!$D$6:$D$405,"&lt;"&amp;J1060,'Istoric_Nativ'!$P$6:$P$405,1,'Istoric_Nativ'!$D$6:$D$405,"&gt;="&amp;L1060)))/M1060)</x:f>
      </x:c>
      <x:c r="P1060" s="2" t="n">
        <x:f>'Config_v6'!$B$8</x:f>
        <x:v>5</x:v>
      </x:c>
      <x:c r="Q1060" s="2" t="n">
        <x:f>IF(OR(B1060="",F1060=""),0,IFERROR(MATCH(E1060&amp;"|"&amp;F1060,SourceTable[Source_Key],0),0))</x:f>
        <x:v>0</x:v>
      </x:c>
      <x:c r="R1060" s="2" t="str">
        <x:f>IF(B1060="","",IF(F1060="","UNUSED",IF(Q1060=0,"NOT CHECKED",IF(COUNTIF(SourceTable[Source_Key],E1060&amp;"|"&amp;F1060)&lt;&gt;1,"SOURCE CONFLICT",IF(NOT(OR(INDEX(SourceTable[Status],MAX(1,Q1060))="IMPORTED",INDEX(SourceTable[Status],MAX(1,Q1060))="PARTIAL",INDEX(SourceTable[Status],MAX(1,Q1060))="SOURCE CONFLICT")),"ACCESS BLOCKED",IF(OR(INDEX(SourceTable[Coverage],Q1060)&lt;&gt;"FULL SEASON EXPORT",INDEX(SourceTable[URL],Q1060)="",INDEX(SourceTable[SHA256],Q1060)=""),"EVIDENCE INCOMPLETE",IF(AND('Input_Meci'!H93="LIVE",INDEX(SourceTable[Retrieved_UTC],Q1060)&gt;'Input_Meci'!G93),"POST CUTOFF","CLOSED")))))))</x:f>
      </x:c>
      <x:c r="S1060" s="2" t="n">
        <x:f>IF(OR(B1060="",F1060=""),0,COUNTIFS('Istoric_Nativ'!$B$6:$B$405,E1060,'Istoric_Nativ'!$C$6:$C$405,F1060,'Istoric_Nativ'!$E$6:$E$405,G1060,'Istoric_Nativ'!$D$6:$D$405,"&lt;"&amp;J1060,'Istoric_Nativ'!$O$6:$O$405,"INVALID")+COUNTIFS('Istoric_Nativ'!$B$6:$B$405,E1060,'Istoric_Nativ'!$C$6:$C$405,F1060,'Istoric_Nativ'!$E$6:$E$405,G1060,'Istoric_Nativ'!$O$6:$O$405,"INVALID",'Istoric_Nativ'!$D$6:$D$405,"*")+COUNTIFS('Istoric_Nativ'!$B$6:$B$405,E1060,'Istoric_Nativ'!$C$6:$C$405,F1060,'Istoric_Nativ'!$E$6:$E$405,G1060,'Istoric_Nativ'!$D$6:$D$405,"&lt;"&amp;J1060,'Istoric_Nativ'!$O$6:$O$405,"SOURCE CONFLICT")+COUNTIFS('Istoric_Nativ'!$B$6:$B$405,E1060,'Istoric_Nativ'!$C$6:$C$405,F1060,'Istoric_Nativ'!$F$6:$F$405,G1060,'Istoric_Nativ'!$D$6:$D$405,"&lt;"&amp;J1060,'Istoric_Nativ'!$O$6:$O$405,"INVALID")+COUNTIFS('Istoric_Nativ'!$B$6:$B$405,E1060,'Istoric_Nativ'!$C$6:$C$405,F1060,'Istoric_Nativ'!$F$6:$F$405,G1060,'Istoric_Nativ'!$O$6:$O$405,"INVALID",'Istoric_Nativ'!$D$6:$D$405,"*")+COUNTIFS('Istoric_Nativ'!$B$6:$B$405,E1060,'Istoric_Nativ'!$C$6:$C$405,F1060,'Istoric_Nativ'!$F$6:$F$405,G1060,'Istoric_Nativ'!$D$6:$D$405,"&lt;"&amp;J1060,'Istoric_Nativ'!$O$6:$O$405,"SOURCE CONFLICT"))</x:f>
        <x:v>0</x:v>
      </x:c>
      <x:c r="T1060" s="2" t="str">
        <x:f>IF(B1060="","",IF(R1060&lt;&gt;"CLOSED",R1060,IF(S1060&gt;0,"NATIVE INPUT ISSUE",IF(M1060=0,"NO HISTORY",IF(M1060&lt;P1060,"SMALL SAMPLE","DERIVED")))))</x:f>
      </x:c>
      <x:c r="U1060" s="2" t="str">
        <x:f>IF(B1060="","","NativeTable; "&amp;E1060&amp;"; "&amp;F1060&amp;"; "&amp;G1060&amp;"; "&amp;H1060&amp;"; before "&amp;TEXT(J1060,"yyyy-mm-dd")&amp;IF(I1060="RECENT","; from "&amp;TEXT(L1060,"yyyy-mm-dd"),""))</x:f>
      </x:c>
    </x:row>
    <x:row r="1061" ht="21" customHeight="1">
      <x:c r="A1061" s="2" t="n">
        <x:v>88</x:v>
      </x:c>
      <x:c r="B1061" s="2" t="str">
        <x:f>IF('Input_Meci'!A93="","",'Input_Meci'!A93)</x:f>
      </x:c>
      <x:c r="C1061" s="2" t="str">
        <x:v>A</x:v>
      </x:c>
      <x:c r="D1061" s="2" t="str">
        <x:v>PRIOR</x:v>
      </x:c>
      <x:c r="E1061" s="2" t="str">
        <x:f>IF(B1061="","",'Input_Meci'!B93)</x:f>
      </x:c>
      <x:c r="F1061" s="2" t="str">
        <x:f>IF(B1061="","",IF('Input_Meci'!K93="","",'Input_Meci'!K93))</x:f>
      </x:c>
      <x:c r="G1061" s="2" t="str">
        <x:f>IF(B1061="","",'Input_Meci'!E93)</x:f>
      </x:c>
      <x:c r="H1061" s="2" t="str">
        <x:v>ANY</x:v>
      </x:c>
      <x:c r="I1061" s="2" t="str">
        <x:v>RECENT</x:v>
      </x:c>
      <x:c r="J1061" s="9" t="n">
        <x:f>IF(AND(B1061&lt;&gt;"",ISNUMBER('Input_Meci'!G93)),INT('Input_Meci'!G93),0)</x:f>
        <x:v>0</x:v>
      </x:c>
      <x:c r="K1061" s="2" t="n">
        <x:f>IF(OR(B1061="",F1061=""),0,IF(H1061="HOME",COUNTIFS('Istoric_Nativ'!$B$6:$B$405,E1061,'Istoric_Nativ'!$C$6:$C$405,F1061,'Istoric_Nativ'!$E$6:$E$405,G1061,'Istoric_Nativ'!$D$6:$D$405,"&lt;"&amp;J1061,'Istoric_Nativ'!$P$6:$P$405,1),IF(H1061="AWAY",COUNTIFS('Istoric_Nativ'!$B$6:$B$405,E1061,'Istoric_Nativ'!$C$6:$C$405,F1061,'Istoric_Nativ'!$F$6:$F$405,G1061,'Istoric_Nativ'!$D$6:$D$405,"&lt;"&amp;J1061,'Istoric_Nativ'!$P$6:$P$405,1),COUNTIFS('Istoric_Nativ'!$B$6:$B$405,E1061,'Istoric_Nativ'!$C$6:$C$405,F1061,'Istoric_Nativ'!$E$6:$E$405,G1061,'Istoric_Nativ'!$D$6:$D$405,"&lt;"&amp;J1061,'Istoric_Nativ'!$P$6:$P$405,1)+COUNTIFS('Istoric_Nativ'!$B$6:$B$405,E1061,'Istoric_Nativ'!$C$6:$C$405,F1061,'Istoric_Nativ'!$F$6:$F$405,G1061,'Istoric_Nativ'!$D$6:$D$405,"&lt;"&amp;J1061,'Istoric_Nativ'!$P$6:$P$405,1))))</x:f>
        <x:v>0</x:v>
      </x:c>
      <x:c r="L1061" s="17" t="n">
        <x:f>IF(AND(B1061&lt;&gt;"",I1061="RECENT",K1061&gt;0),LARGE(_xlfn._xlws.FILTER('Istoric_Nativ'!$D$6:$D$405,('Istoric_Nativ'!$B$6:$B$405=E1061)*('Istoric_Nativ'!$C$6:$C$405=F1061)*('Istoric_Nativ'!$P$6:$P$405=1)*('Istoric_Nativ'!$D$6:$D$405&lt;J1061)*((('Istoric_Nativ'!$E$6:$E$405=G1061)+('Istoric_Nativ'!$F$6:$F$405=G1061))&gt;0)),MIN('Config_v6'!$B$54,K1061)),0)</x:f>
        <x:v>0</x:v>
      </x:c>
      <x:c r="M1061" s="2" t="n">
        <x:f>IF(OR(B1061="",F1061=""),0,IF(H1061="HOME",COUNTIFS('Istoric_Nativ'!$B$6:$B$405,E1061,'Istoric_Nativ'!$C$6:$C$405,F1061,'Istoric_Nativ'!$E$6:$E$405,G1061,'Istoric_Nativ'!$D$6:$D$405,"&lt;"&amp;J1061,'Istoric_Nativ'!$P$6:$P$405,1,'Istoric_Nativ'!$D$6:$D$405,"&gt;="&amp;L1061),IF(H1061="AWAY",COUNTIFS('Istoric_Nativ'!$B$6:$B$405,E1061,'Istoric_Nativ'!$C$6:$C$405,F1061,'Istoric_Nativ'!$F$6:$F$405,G1061,'Istoric_Nativ'!$D$6:$D$405,"&lt;"&amp;J1061,'Istoric_Nativ'!$P$6:$P$405,1,'Istoric_Nativ'!$D$6:$D$405,"&gt;="&amp;L1061),COUNTIFS('Istoric_Nativ'!$B$6:$B$405,E1061,'Istoric_Nativ'!$C$6:$C$405,F1061,'Istoric_Nativ'!$E$6:$E$405,G1061,'Istoric_Nativ'!$D$6:$D$405,"&lt;"&amp;J1061,'Istoric_Nativ'!$P$6:$P$405,1,'Istoric_Nativ'!$D$6:$D$405,"&gt;="&amp;L1061)+COUNTIFS('Istoric_Nativ'!$B$6:$B$405,E1061,'Istoric_Nativ'!$C$6:$C$405,F1061,'Istoric_Nativ'!$F$6:$F$405,G1061,'Istoric_Nativ'!$D$6:$D$405,"&lt;"&amp;J1061,'Istoric_Nativ'!$P$6:$P$405,1,'Istoric_Nativ'!$D$6:$D$405,"&gt;="&amp;L1061))))</x:f>
        <x:v>0</x:v>
      </x:c>
      <x:c r="N1061" s="11" t="str">
        <x:f>IF(M1061=0,"",IF(H1061="HOME",SUMIFS('Istoric_Nativ'!$G$6:$G$405,'Istoric_Nativ'!$B$6:$B$405,E1061,'Istoric_Nativ'!$C$6:$C$405,F1061,'Istoric_Nativ'!$E$6:$E$405,G1061,'Istoric_Nativ'!$D$6:$D$405,"&lt;"&amp;J1061,'Istoric_Nativ'!$P$6:$P$405,1,'Istoric_Nativ'!$D$6:$D$405,"&gt;="&amp;L1061),IF(H1061="AWAY",SUMIFS('Istoric_Nativ'!$H$6:$H$405,'Istoric_Nativ'!$B$6:$B$405,E1061,'Istoric_Nativ'!$C$6:$C$405,F1061,'Istoric_Nativ'!$F$6:$F$405,G1061,'Istoric_Nativ'!$D$6:$D$405,"&lt;"&amp;J1061,'Istoric_Nativ'!$P$6:$P$405,1,'Istoric_Nativ'!$D$6:$D$405,"&gt;="&amp;L1061),SUMIFS('Istoric_Nativ'!$G$6:$G$405,'Istoric_Nativ'!$B$6:$B$405,E1061,'Istoric_Nativ'!$C$6:$C$405,F1061,'Istoric_Nativ'!$E$6:$E$405,G1061,'Istoric_Nativ'!$D$6:$D$405,"&lt;"&amp;J1061,'Istoric_Nativ'!$P$6:$P$405,1,'Istoric_Nativ'!$D$6:$D$405,"&gt;="&amp;L1061)+SUMIFS('Istoric_Nativ'!$H$6:$H$405,'Istoric_Nativ'!$B$6:$B$405,E1061,'Istoric_Nativ'!$C$6:$C$405,F1061,'Istoric_Nativ'!$F$6:$F$405,G1061,'Istoric_Nativ'!$D$6:$D$405,"&lt;"&amp;J1061,'Istoric_Nativ'!$P$6:$P$405,1,'Istoric_Nativ'!$D$6:$D$405,"&gt;="&amp;L1061)))/M1061)</x:f>
      </x:c>
      <x:c r="O1061" s="11" t="str">
        <x:f>IF(M1061=0,"",IF(H1061="HOME",SUMIFS('Istoric_Nativ'!$H$6:$H$405,'Istoric_Nativ'!$B$6:$B$405,E1061,'Istoric_Nativ'!$C$6:$C$405,F1061,'Istoric_Nativ'!$E$6:$E$405,G1061,'Istoric_Nativ'!$D$6:$D$405,"&lt;"&amp;J1061,'Istoric_Nativ'!$P$6:$P$405,1,'Istoric_Nativ'!$D$6:$D$405,"&gt;="&amp;L1061),IF(H1061="AWAY",SUMIFS('Istoric_Nativ'!$G$6:$G$405,'Istoric_Nativ'!$B$6:$B$405,E1061,'Istoric_Nativ'!$C$6:$C$405,F1061,'Istoric_Nativ'!$F$6:$F$405,G1061,'Istoric_Nativ'!$D$6:$D$405,"&lt;"&amp;J1061,'Istoric_Nativ'!$P$6:$P$405,1,'Istoric_Nativ'!$D$6:$D$405,"&gt;="&amp;L1061),SUMIFS('Istoric_Nativ'!$H$6:$H$405,'Istoric_Nativ'!$B$6:$B$405,E1061,'Istoric_Nativ'!$C$6:$C$405,F1061,'Istoric_Nativ'!$E$6:$E$405,G1061,'Istoric_Nativ'!$D$6:$D$405,"&lt;"&amp;J1061,'Istoric_Nativ'!$P$6:$P$405,1,'Istoric_Nativ'!$D$6:$D$405,"&gt;="&amp;L1061)+SUMIFS('Istoric_Nativ'!$G$6:$G$405,'Istoric_Nativ'!$B$6:$B$405,E1061,'Istoric_Nativ'!$C$6:$C$405,F1061,'Istoric_Nativ'!$F$6:$F$405,G1061,'Istoric_Nativ'!$D$6:$D$405,"&lt;"&amp;J1061,'Istoric_Nativ'!$P$6:$P$405,1,'Istoric_Nativ'!$D$6:$D$405,"&gt;="&amp;L1061)))/M1061)</x:f>
      </x:c>
      <x:c r="P1061" s="2" t="n">
        <x:f>'Config_v6'!$B$9</x:f>
        <x:v>3</x:v>
      </x:c>
      <x:c r="Q1061" s="2" t="n">
        <x:f>IF(OR(B1061="",F1061=""),0,IFERROR(MATCH(E1061&amp;"|"&amp;F1061,SourceTable[Source_Key],0),0))</x:f>
        <x:v>0</x:v>
      </x:c>
      <x:c r="R1061" s="2" t="str">
        <x:f>IF(B1061="","",IF(F1061="","UNUSED",IF(Q1061=0,"NOT CHECKED",IF(COUNTIF(SourceTable[Source_Key],E1061&amp;"|"&amp;F1061)&lt;&gt;1,"SOURCE CONFLICT",IF(NOT(OR(INDEX(SourceTable[Status],MAX(1,Q1061))="IMPORTED",INDEX(SourceTable[Status],MAX(1,Q1061))="PARTIAL",INDEX(SourceTable[Status],MAX(1,Q1061))="SOURCE CONFLICT")),"ACCESS BLOCKED",IF(OR(INDEX(SourceTable[Coverage],Q1061)&lt;&gt;"FULL SEASON EXPORT",INDEX(SourceTable[URL],Q1061)="",INDEX(SourceTable[SHA256],Q1061)=""),"EVIDENCE INCOMPLETE",IF(AND('Input_Meci'!H93="LIVE",INDEX(SourceTable[Retrieved_UTC],Q1061)&gt;'Input_Meci'!G93),"POST CUTOFF","CLOSED")))))))</x:f>
      </x:c>
      <x:c r="S1061" s="2" t="n">
        <x:f>IF(OR(B1061="",F1061=""),0,COUNTIFS('Istoric_Nativ'!$B$6:$B$405,E1061,'Istoric_Nativ'!$C$6:$C$405,F1061,'Istoric_Nativ'!$E$6:$E$405,G1061,'Istoric_Nativ'!$D$6:$D$405,"&lt;"&amp;J1061,'Istoric_Nativ'!$O$6:$O$405,"INVALID")+COUNTIFS('Istoric_Nativ'!$B$6:$B$405,E1061,'Istoric_Nativ'!$C$6:$C$405,F1061,'Istoric_Nativ'!$E$6:$E$405,G1061,'Istoric_Nativ'!$O$6:$O$405,"INVALID",'Istoric_Nativ'!$D$6:$D$405,"*")+COUNTIFS('Istoric_Nativ'!$B$6:$B$405,E1061,'Istoric_Nativ'!$C$6:$C$405,F1061,'Istoric_Nativ'!$E$6:$E$405,G1061,'Istoric_Nativ'!$D$6:$D$405,"&lt;"&amp;J1061,'Istoric_Nativ'!$O$6:$O$405,"SOURCE CONFLICT")+COUNTIFS('Istoric_Nativ'!$B$6:$B$405,E1061,'Istoric_Nativ'!$C$6:$C$405,F1061,'Istoric_Nativ'!$F$6:$F$405,G1061,'Istoric_Nativ'!$D$6:$D$405,"&lt;"&amp;J1061,'Istoric_Nativ'!$O$6:$O$405,"INVALID")+COUNTIFS('Istoric_Nativ'!$B$6:$B$405,E1061,'Istoric_Nativ'!$C$6:$C$405,F1061,'Istoric_Nativ'!$F$6:$F$405,G1061,'Istoric_Nativ'!$O$6:$O$405,"INVALID",'Istoric_Nativ'!$D$6:$D$405,"*")+COUNTIFS('Istoric_Nativ'!$B$6:$B$405,E1061,'Istoric_Nativ'!$C$6:$C$405,F1061,'Istoric_Nativ'!$F$6:$F$405,G1061,'Istoric_Nativ'!$D$6:$D$405,"&lt;"&amp;J1061,'Istoric_Nativ'!$O$6:$O$405,"SOURCE CONFLICT"))</x:f>
        <x:v>0</x:v>
      </x:c>
      <x:c r="T1061" s="2" t="str">
        <x:f>IF(B1061="","",IF(R1061&lt;&gt;"CLOSED",R1061,IF(S1061&gt;0,"NATIVE INPUT ISSUE",IF(M1061=0,"NO HISTORY",IF(M1061&lt;P1061,"SMALL SAMPLE","DERIVED")))))</x:f>
      </x:c>
      <x:c r="U1061" s="2" t="str">
        <x:f>IF(B1061="","","NativeTable; "&amp;E1061&amp;"; "&amp;F1061&amp;"; "&amp;G1061&amp;"; "&amp;H1061&amp;"; before "&amp;TEXT(J1061,"yyyy-mm-dd")&amp;IF(I1061="RECENT","; from "&amp;TEXT(L1061,"yyyy-mm-dd"),""))</x:f>
      </x:c>
    </x:row>
    <x:row r="1062" ht="21" customHeight="1">
      <x:c r="A1062" s="2" t="n">
        <x:v>89</x:v>
      </x:c>
      <x:c r="B1062" s="2" t="str">
        <x:f>IF('Input_Meci'!A94="","",'Input_Meci'!A94)</x:f>
      </x:c>
      <x:c r="C1062" s="2" t="str">
        <x:v>H</x:v>
      </x:c>
      <x:c r="D1062" s="2" t="str">
        <x:v>CURRENT</x:v>
      </x:c>
      <x:c r="E1062" s="2" t="str">
        <x:f>IF(B1062="","",'Input_Meci'!B94)</x:f>
      </x:c>
      <x:c r="F1062" s="2" t="str">
        <x:f>IF(B1062="","",IF('Input_Meci'!C94="","",'Input_Meci'!C94))</x:f>
      </x:c>
      <x:c r="G1062" s="2" t="str">
        <x:f>IF(B1062="","",'Input_Meci'!D94)</x:f>
      </x:c>
      <x:c r="H1062" s="2" t="str">
        <x:v>ANY</x:v>
      </x:c>
      <x:c r="I1062" s="2" t="str">
        <x:v>SEASON</x:v>
      </x:c>
      <x:c r="J1062" s="9" t="n">
        <x:f>IF(AND(B1062&lt;&gt;"",ISNUMBER('Input_Meci'!G94)),INT('Input_Meci'!G94),0)</x:f>
        <x:v>0</x:v>
      </x:c>
      <x:c r="K1062" s="2" t="n">
        <x:f>IF(OR(B1062="",F1062=""),0,IF(H1062="HOME",COUNTIFS('Istoric_Nativ'!$B$6:$B$405,E1062,'Istoric_Nativ'!$C$6:$C$405,F1062,'Istoric_Nativ'!$E$6:$E$405,G1062,'Istoric_Nativ'!$D$6:$D$405,"&lt;"&amp;J1062,'Istoric_Nativ'!$P$6:$P$405,1),IF(H1062="AWAY",COUNTIFS('Istoric_Nativ'!$B$6:$B$405,E1062,'Istoric_Nativ'!$C$6:$C$405,F1062,'Istoric_Nativ'!$F$6:$F$405,G1062,'Istoric_Nativ'!$D$6:$D$405,"&lt;"&amp;J1062,'Istoric_Nativ'!$P$6:$P$405,1),COUNTIFS('Istoric_Nativ'!$B$6:$B$405,E1062,'Istoric_Nativ'!$C$6:$C$405,F1062,'Istoric_Nativ'!$E$6:$E$405,G1062,'Istoric_Nativ'!$D$6:$D$405,"&lt;"&amp;J1062,'Istoric_Nativ'!$P$6:$P$405,1)+COUNTIFS('Istoric_Nativ'!$B$6:$B$405,E1062,'Istoric_Nativ'!$C$6:$C$405,F1062,'Istoric_Nativ'!$F$6:$F$405,G1062,'Istoric_Nativ'!$D$6:$D$405,"&lt;"&amp;J1062,'Istoric_Nativ'!$P$6:$P$405,1))))</x:f>
        <x:v>0</x:v>
      </x:c>
      <x:c r="L1062" s="17" t="n">
        <x:f>IF(AND(B1062&lt;&gt;"",I1062="RECENT",K1062&gt;0),LARGE(_xlfn._xlws.FILTER('Istoric_Nativ'!$D$6:$D$405,('Istoric_Nativ'!$B$6:$B$405=E1062)*('Istoric_Nativ'!$C$6:$C$405=F1062)*('Istoric_Nativ'!$P$6:$P$405=1)*('Istoric_Nativ'!$D$6:$D$405&lt;J1062)*((('Istoric_Nativ'!$E$6:$E$405=G1062)+('Istoric_Nativ'!$F$6:$F$405=G1062))&gt;0)),MIN('Config_v6'!$B$54,K1062)),0)</x:f>
        <x:v>0</x:v>
      </x:c>
      <x:c r="M1062" s="2" t="n">
        <x:f>IF(OR(B1062="",F1062=""),0,IF(H1062="HOME",COUNTIFS('Istoric_Nativ'!$B$6:$B$405,E1062,'Istoric_Nativ'!$C$6:$C$405,F1062,'Istoric_Nativ'!$E$6:$E$405,G1062,'Istoric_Nativ'!$D$6:$D$405,"&lt;"&amp;J1062,'Istoric_Nativ'!$P$6:$P$405,1,'Istoric_Nativ'!$D$6:$D$405,"&gt;="&amp;L1062),IF(H1062="AWAY",COUNTIFS('Istoric_Nativ'!$B$6:$B$405,E1062,'Istoric_Nativ'!$C$6:$C$405,F1062,'Istoric_Nativ'!$F$6:$F$405,G1062,'Istoric_Nativ'!$D$6:$D$405,"&lt;"&amp;J1062,'Istoric_Nativ'!$P$6:$P$405,1,'Istoric_Nativ'!$D$6:$D$405,"&gt;="&amp;L1062),COUNTIFS('Istoric_Nativ'!$B$6:$B$405,E1062,'Istoric_Nativ'!$C$6:$C$405,F1062,'Istoric_Nativ'!$E$6:$E$405,G1062,'Istoric_Nativ'!$D$6:$D$405,"&lt;"&amp;J1062,'Istoric_Nativ'!$P$6:$P$405,1,'Istoric_Nativ'!$D$6:$D$405,"&gt;="&amp;L1062)+COUNTIFS('Istoric_Nativ'!$B$6:$B$405,E1062,'Istoric_Nativ'!$C$6:$C$405,F1062,'Istoric_Nativ'!$F$6:$F$405,G1062,'Istoric_Nativ'!$D$6:$D$405,"&lt;"&amp;J1062,'Istoric_Nativ'!$P$6:$P$405,1,'Istoric_Nativ'!$D$6:$D$405,"&gt;="&amp;L1062))))</x:f>
        <x:v>0</x:v>
      </x:c>
      <x:c r="N1062" s="11" t="str">
        <x:f>IF(M1062=0,"",IF(H1062="HOME",SUMIFS('Istoric_Nativ'!$G$6:$G$405,'Istoric_Nativ'!$B$6:$B$405,E1062,'Istoric_Nativ'!$C$6:$C$405,F1062,'Istoric_Nativ'!$E$6:$E$405,G1062,'Istoric_Nativ'!$D$6:$D$405,"&lt;"&amp;J1062,'Istoric_Nativ'!$P$6:$P$405,1,'Istoric_Nativ'!$D$6:$D$405,"&gt;="&amp;L1062),IF(H1062="AWAY",SUMIFS('Istoric_Nativ'!$H$6:$H$405,'Istoric_Nativ'!$B$6:$B$405,E1062,'Istoric_Nativ'!$C$6:$C$405,F1062,'Istoric_Nativ'!$F$6:$F$405,G1062,'Istoric_Nativ'!$D$6:$D$405,"&lt;"&amp;J1062,'Istoric_Nativ'!$P$6:$P$405,1,'Istoric_Nativ'!$D$6:$D$405,"&gt;="&amp;L1062),SUMIFS('Istoric_Nativ'!$G$6:$G$405,'Istoric_Nativ'!$B$6:$B$405,E1062,'Istoric_Nativ'!$C$6:$C$405,F1062,'Istoric_Nativ'!$E$6:$E$405,G1062,'Istoric_Nativ'!$D$6:$D$405,"&lt;"&amp;J1062,'Istoric_Nativ'!$P$6:$P$405,1,'Istoric_Nativ'!$D$6:$D$405,"&gt;="&amp;L1062)+SUMIFS('Istoric_Nativ'!$H$6:$H$405,'Istoric_Nativ'!$B$6:$B$405,E1062,'Istoric_Nativ'!$C$6:$C$405,F1062,'Istoric_Nativ'!$F$6:$F$405,G1062,'Istoric_Nativ'!$D$6:$D$405,"&lt;"&amp;J1062,'Istoric_Nativ'!$P$6:$P$405,1,'Istoric_Nativ'!$D$6:$D$405,"&gt;="&amp;L1062)))/M1062)</x:f>
      </x:c>
      <x:c r="O1062" s="11" t="str">
        <x:f>IF(M1062=0,"",IF(H1062="HOME",SUMIFS('Istoric_Nativ'!$H$6:$H$405,'Istoric_Nativ'!$B$6:$B$405,E1062,'Istoric_Nativ'!$C$6:$C$405,F1062,'Istoric_Nativ'!$E$6:$E$405,G1062,'Istoric_Nativ'!$D$6:$D$405,"&lt;"&amp;J1062,'Istoric_Nativ'!$P$6:$P$405,1,'Istoric_Nativ'!$D$6:$D$405,"&gt;="&amp;L1062),IF(H1062="AWAY",SUMIFS('Istoric_Nativ'!$G$6:$G$405,'Istoric_Nativ'!$B$6:$B$405,E1062,'Istoric_Nativ'!$C$6:$C$405,F1062,'Istoric_Nativ'!$F$6:$F$405,G1062,'Istoric_Nativ'!$D$6:$D$405,"&lt;"&amp;J1062,'Istoric_Nativ'!$P$6:$P$405,1,'Istoric_Nativ'!$D$6:$D$405,"&gt;="&amp;L1062),SUMIFS('Istoric_Nativ'!$H$6:$H$405,'Istoric_Nativ'!$B$6:$B$405,E1062,'Istoric_Nativ'!$C$6:$C$405,F1062,'Istoric_Nativ'!$E$6:$E$405,G1062,'Istoric_Nativ'!$D$6:$D$405,"&lt;"&amp;J1062,'Istoric_Nativ'!$P$6:$P$405,1,'Istoric_Nativ'!$D$6:$D$405,"&gt;="&amp;L1062)+SUMIFS('Istoric_Nativ'!$G$6:$G$405,'Istoric_Nativ'!$B$6:$B$405,E1062,'Istoric_Nativ'!$C$6:$C$405,F1062,'Istoric_Nativ'!$F$6:$F$405,G1062,'Istoric_Nativ'!$D$6:$D$405,"&lt;"&amp;J1062,'Istoric_Nativ'!$P$6:$P$405,1,'Istoric_Nativ'!$D$6:$D$405,"&gt;="&amp;L1062)))/M1062)</x:f>
      </x:c>
      <x:c r="P1062" s="2" t="n">
        <x:f>'Config_v6'!$B$7</x:f>
        <x:v>10</x:v>
      </x:c>
      <x:c r="Q1062" s="2" t="n">
        <x:f>IF(OR(B1062="",F1062=""),0,IFERROR(MATCH(E1062&amp;"|"&amp;F1062,SourceTable[Source_Key],0),0))</x:f>
        <x:v>0</x:v>
      </x:c>
      <x:c r="R1062" s="2" t="str">
        <x:f>IF(B1062="","",IF(F1062="","UNUSED",IF(Q1062=0,"NOT CHECKED",IF(COUNTIF(SourceTable[Source_Key],E1062&amp;"|"&amp;F1062)&lt;&gt;1,"SOURCE CONFLICT",IF(NOT(OR(INDEX(SourceTable[Status],MAX(1,Q1062))="IMPORTED",INDEX(SourceTable[Status],MAX(1,Q1062))="PARTIAL",INDEX(SourceTable[Status],MAX(1,Q1062))="SOURCE CONFLICT")),"ACCESS BLOCKED",IF(OR(INDEX(SourceTable[Coverage],Q1062)&lt;&gt;"FULL SEASON EXPORT",INDEX(SourceTable[URL],Q1062)="",INDEX(SourceTable[SHA256],Q1062)=""),"EVIDENCE INCOMPLETE",IF(AND('Input_Meci'!H94="LIVE",INDEX(SourceTable[Retrieved_UTC],Q1062)&gt;'Input_Meci'!G94),"POST CUTOFF","CLOSED")))))))</x:f>
      </x:c>
      <x:c r="S1062" s="2" t="n">
        <x:f>IF(OR(B1062="",F1062=""),0,COUNTIFS('Istoric_Nativ'!$B$6:$B$405,E1062,'Istoric_Nativ'!$C$6:$C$405,F1062,'Istoric_Nativ'!$E$6:$E$405,G1062,'Istoric_Nativ'!$D$6:$D$405,"&lt;"&amp;J1062,'Istoric_Nativ'!$O$6:$O$405,"INVALID")+COUNTIFS('Istoric_Nativ'!$B$6:$B$405,E1062,'Istoric_Nativ'!$C$6:$C$405,F1062,'Istoric_Nativ'!$E$6:$E$405,G1062,'Istoric_Nativ'!$O$6:$O$405,"INVALID",'Istoric_Nativ'!$D$6:$D$405,"*")+COUNTIFS('Istoric_Nativ'!$B$6:$B$405,E1062,'Istoric_Nativ'!$C$6:$C$405,F1062,'Istoric_Nativ'!$E$6:$E$405,G1062,'Istoric_Nativ'!$D$6:$D$405,"&lt;"&amp;J1062,'Istoric_Nativ'!$O$6:$O$405,"SOURCE CONFLICT")+COUNTIFS('Istoric_Nativ'!$B$6:$B$405,E1062,'Istoric_Nativ'!$C$6:$C$405,F1062,'Istoric_Nativ'!$F$6:$F$405,G1062,'Istoric_Nativ'!$D$6:$D$405,"&lt;"&amp;J1062,'Istoric_Nativ'!$O$6:$O$405,"INVALID")+COUNTIFS('Istoric_Nativ'!$B$6:$B$405,E1062,'Istoric_Nativ'!$C$6:$C$405,F1062,'Istoric_Nativ'!$F$6:$F$405,G1062,'Istoric_Nativ'!$O$6:$O$405,"INVALID",'Istoric_Nativ'!$D$6:$D$405,"*")+COUNTIFS('Istoric_Nativ'!$B$6:$B$405,E1062,'Istoric_Nativ'!$C$6:$C$405,F1062,'Istoric_Nativ'!$F$6:$F$405,G1062,'Istoric_Nativ'!$D$6:$D$405,"&lt;"&amp;J1062,'Istoric_Nativ'!$O$6:$O$405,"SOURCE CONFLICT"))</x:f>
        <x:v>0</x:v>
      </x:c>
      <x:c r="T1062" s="2" t="str">
        <x:f>IF(B1062="","",IF(R1062&lt;&gt;"CLOSED",R1062,IF(S1062&gt;0,"NATIVE INPUT ISSUE",IF(M1062=0,"NO HISTORY",IF(M1062&lt;P1062,"SMALL SAMPLE","DERIVED")))))</x:f>
      </x:c>
      <x:c r="U1062" s="2" t="str">
        <x:f>IF(B1062="","","NativeTable; "&amp;E1062&amp;"; "&amp;F1062&amp;"; "&amp;G1062&amp;"; "&amp;H1062&amp;"; before "&amp;TEXT(J1062,"yyyy-mm-dd")&amp;IF(I1062="RECENT","; from "&amp;TEXT(L1062,"yyyy-mm-dd"),""))</x:f>
      </x:c>
    </x:row>
    <x:row r="1063" ht="21" customHeight="1">
      <x:c r="A1063" s="2" t="n">
        <x:v>89</x:v>
      </x:c>
      <x:c r="B1063" s="2" t="str">
        <x:f>IF('Input_Meci'!A94="","",'Input_Meci'!A94)</x:f>
      </x:c>
      <x:c r="C1063" s="2" t="str">
        <x:v>H</x:v>
      </x:c>
      <x:c r="D1063" s="2" t="str">
        <x:v>CURRENT</x:v>
      </x:c>
      <x:c r="E1063" s="2" t="str">
        <x:f>IF(B1063="","",'Input_Meci'!B94)</x:f>
      </x:c>
      <x:c r="F1063" s="2" t="str">
        <x:f>IF(B1063="","",IF('Input_Meci'!C94="","",'Input_Meci'!C94))</x:f>
      </x:c>
      <x:c r="G1063" s="2" t="str">
        <x:f>IF(B1063="","",'Input_Meci'!D94)</x:f>
      </x:c>
      <x:c r="H1063" s="2" t="str">
        <x:v>HOME</x:v>
      </x:c>
      <x:c r="I1063" s="2" t="str">
        <x:v>HA</x:v>
      </x:c>
      <x:c r="J1063" s="9" t="n">
        <x:f>IF(AND(B1063&lt;&gt;"",ISNUMBER('Input_Meci'!G94)),INT('Input_Meci'!G94),0)</x:f>
        <x:v>0</x:v>
      </x:c>
      <x:c r="K1063" s="2" t="n">
        <x:f>IF(OR(B1063="",F1063=""),0,IF(H1063="HOME",COUNTIFS('Istoric_Nativ'!$B$6:$B$405,E1063,'Istoric_Nativ'!$C$6:$C$405,F1063,'Istoric_Nativ'!$E$6:$E$405,G1063,'Istoric_Nativ'!$D$6:$D$405,"&lt;"&amp;J1063,'Istoric_Nativ'!$P$6:$P$405,1),IF(H1063="AWAY",COUNTIFS('Istoric_Nativ'!$B$6:$B$405,E1063,'Istoric_Nativ'!$C$6:$C$405,F1063,'Istoric_Nativ'!$F$6:$F$405,G1063,'Istoric_Nativ'!$D$6:$D$405,"&lt;"&amp;J1063,'Istoric_Nativ'!$P$6:$P$405,1),COUNTIFS('Istoric_Nativ'!$B$6:$B$405,E1063,'Istoric_Nativ'!$C$6:$C$405,F1063,'Istoric_Nativ'!$E$6:$E$405,G1063,'Istoric_Nativ'!$D$6:$D$405,"&lt;"&amp;J1063,'Istoric_Nativ'!$P$6:$P$405,1)+COUNTIFS('Istoric_Nativ'!$B$6:$B$405,E1063,'Istoric_Nativ'!$C$6:$C$405,F1063,'Istoric_Nativ'!$F$6:$F$405,G1063,'Istoric_Nativ'!$D$6:$D$405,"&lt;"&amp;J1063,'Istoric_Nativ'!$P$6:$P$405,1))))</x:f>
        <x:v>0</x:v>
      </x:c>
      <x:c r="L1063" s="17" t="n">
        <x:f>IF(AND(B1063&lt;&gt;"",I1063="RECENT",K1063&gt;0),LARGE(_xlfn._xlws.FILTER('Istoric_Nativ'!$D$6:$D$405,('Istoric_Nativ'!$B$6:$B$405=E1063)*('Istoric_Nativ'!$C$6:$C$405=F1063)*('Istoric_Nativ'!$P$6:$P$405=1)*('Istoric_Nativ'!$D$6:$D$405&lt;J1063)*((('Istoric_Nativ'!$E$6:$E$405=G1063)+('Istoric_Nativ'!$F$6:$F$405=G1063))&gt;0)),MIN('Config_v6'!$B$54,K1063)),0)</x:f>
        <x:v>0</x:v>
      </x:c>
      <x:c r="M1063" s="2" t="n">
        <x:f>IF(OR(B1063="",F1063=""),0,IF(H1063="HOME",COUNTIFS('Istoric_Nativ'!$B$6:$B$405,E1063,'Istoric_Nativ'!$C$6:$C$405,F1063,'Istoric_Nativ'!$E$6:$E$405,G1063,'Istoric_Nativ'!$D$6:$D$405,"&lt;"&amp;J1063,'Istoric_Nativ'!$P$6:$P$405,1,'Istoric_Nativ'!$D$6:$D$405,"&gt;="&amp;L1063),IF(H1063="AWAY",COUNTIFS('Istoric_Nativ'!$B$6:$B$405,E1063,'Istoric_Nativ'!$C$6:$C$405,F1063,'Istoric_Nativ'!$F$6:$F$405,G1063,'Istoric_Nativ'!$D$6:$D$405,"&lt;"&amp;J1063,'Istoric_Nativ'!$P$6:$P$405,1,'Istoric_Nativ'!$D$6:$D$405,"&gt;="&amp;L1063),COUNTIFS('Istoric_Nativ'!$B$6:$B$405,E1063,'Istoric_Nativ'!$C$6:$C$405,F1063,'Istoric_Nativ'!$E$6:$E$405,G1063,'Istoric_Nativ'!$D$6:$D$405,"&lt;"&amp;J1063,'Istoric_Nativ'!$P$6:$P$405,1,'Istoric_Nativ'!$D$6:$D$405,"&gt;="&amp;L1063)+COUNTIFS('Istoric_Nativ'!$B$6:$B$405,E1063,'Istoric_Nativ'!$C$6:$C$405,F1063,'Istoric_Nativ'!$F$6:$F$405,G1063,'Istoric_Nativ'!$D$6:$D$405,"&lt;"&amp;J1063,'Istoric_Nativ'!$P$6:$P$405,1,'Istoric_Nativ'!$D$6:$D$405,"&gt;="&amp;L1063))))</x:f>
        <x:v>0</x:v>
      </x:c>
      <x:c r="N1063" s="11" t="str">
        <x:f>IF(M1063=0,"",IF(H1063="HOME",SUMIFS('Istoric_Nativ'!$G$6:$G$405,'Istoric_Nativ'!$B$6:$B$405,E1063,'Istoric_Nativ'!$C$6:$C$405,F1063,'Istoric_Nativ'!$E$6:$E$405,G1063,'Istoric_Nativ'!$D$6:$D$405,"&lt;"&amp;J1063,'Istoric_Nativ'!$P$6:$P$405,1,'Istoric_Nativ'!$D$6:$D$405,"&gt;="&amp;L1063),IF(H1063="AWAY",SUMIFS('Istoric_Nativ'!$H$6:$H$405,'Istoric_Nativ'!$B$6:$B$405,E1063,'Istoric_Nativ'!$C$6:$C$405,F1063,'Istoric_Nativ'!$F$6:$F$405,G1063,'Istoric_Nativ'!$D$6:$D$405,"&lt;"&amp;J1063,'Istoric_Nativ'!$P$6:$P$405,1,'Istoric_Nativ'!$D$6:$D$405,"&gt;="&amp;L1063),SUMIFS('Istoric_Nativ'!$G$6:$G$405,'Istoric_Nativ'!$B$6:$B$405,E1063,'Istoric_Nativ'!$C$6:$C$405,F1063,'Istoric_Nativ'!$E$6:$E$405,G1063,'Istoric_Nativ'!$D$6:$D$405,"&lt;"&amp;J1063,'Istoric_Nativ'!$P$6:$P$405,1,'Istoric_Nativ'!$D$6:$D$405,"&gt;="&amp;L1063)+SUMIFS('Istoric_Nativ'!$H$6:$H$405,'Istoric_Nativ'!$B$6:$B$405,E1063,'Istoric_Nativ'!$C$6:$C$405,F1063,'Istoric_Nativ'!$F$6:$F$405,G1063,'Istoric_Nativ'!$D$6:$D$405,"&lt;"&amp;J1063,'Istoric_Nativ'!$P$6:$P$405,1,'Istoric_Nativ'!$D$6:$D$405,"&gt;="&amp;L1063)))/M1063)</x:f>
      </x:c>
      <x:c r="O1063" s="11" t="str">
        <x:f>IF(M1063=0,"",IF(H1063="HOME",SUMIFS('Istoric_Nativ'!$H$6:$H$405,'Istoric_Nativ'!$B$6:$B$405,E1063,'Istoric_Nativ'!$C$6:$C$405,F1063,'Istoric_Nativ'!$E$6:$E$405,G1063,'Istoric_Nativ'!$D$6:$D$405,"&lt;"&amp;J1063,'Istoric_Nativ'!$P$6:$P$405,1,'Istoric_Nativ'!$D$6:$D$405,"&gt;="&amp;L1063),IF(H1063="AWAY",SUMIFS('Istoric_Nativ'!$G$6:$G$405,'Istoric_Nativ'!$B$6:$B$405,E1063,'Istoric_Nativ'!$C$6:$C$405,F1063,'Istoric_Nativ'!$F$6:$F$405,G1063,'Istoric_Nativ'!$D$6:$D$405,"&lt;"&amp;J1063,'Istoric_Nativ'!$P$6:$P$405,1,'Istoric_Nativ'!$D$6:$D$405,"&gt;="&amp;L1063),SUMIFS('Istoric_Nativ'!$H$6:$H$405,'Istoric_Nativ'!$B$6:$B$405,E1063,'Istoric_Nativ'!$C$6:$C$405,F1063,'Istoric_Nativ'!$E$6:$E$405,G1063,'Istoric_Nativ'!$D$6:$D$405,"&lt;"&amp;J1063,'Istoric_Nativ'!$P$6:$P$405,1,'Istoric_Nativ'!$D$6:$D$405,"&gt;="&amp;L1063)+SUMIFS('Istoric_Nativ'!$G$6:$G$405,'Istoric_Nativ'!$B$6:$B$405,E1063,'Istoric_Nativ'!$C$6:$C$405,F1063,'Istoric_Nativ'!$F$6:$F$405,G1063,'Istoric_Nativ'!$D$6:$D$405,"&lt;"&amp;J1063,'Istoric_Nativ'!$P$6:$P$405,1,'Istoric_Nativ'!$D$6:$D$405,"&gt;="&amp;L1063)))/M1063)</x:f>
      </x:c>
      <x:c r="P1063" s="2" t="n">
        <x:f>'Config_v6'!$B$8</x:f>
        <x:v>5</x:v>
      </x:c>
      <x:c r="Q1063" s="2" t="n">
        <x:f>IF(OR(B1063="",F1063=""),0,IFERROR(MATCH(E1063&amp;"|"&amp;F1063,SourceTable[Source_Key],0),0))</x:f>
        <x:v>0</x:v>
      </x:c>
      <x:c r="R1063" s="2" t="str">
        <x:f>IF(B1063="","",IF(F1063="","UNUSED",IF(Q1063=0,"NOT CHECKED",IF(COUNTIF(SourceTable[Source_Key],E1063&amp;"|"&amp;F1063)&lt;&gt;1,"SOURCE CONFLICT",IF(NOT(OR(INDEX(SourceTable[Status],MAX(1,Q1063))="IMPORTED",INDEX(SourceTable[Status],MAX(1,Q1063))="PARTIAL",INDEX(SourceTable[Status],MAX(1,Q1063))="SOURCE CONFLICT")),"ACCESS BLOCKED",IF(OR(INDEX(SourceTable[Coverage],Q1063)&lt;&gt;"FULL SEASON EXPORT",INDEX(SourceTable[URL],Q1063)="",INDEX(SourceTable[SHA256],Q1063)=""),"EVIDENCE INCOMPLETE",IF(AND('Input_Meci'!H94="LIVE",INDEX(SourceTable[Retrieved_UTC],Q1063)&gt;'Input_Meci'!G94),"POST CUTOFF","CLOSED")))))))</x:f>
      </x:c>
      <x:c r="S1063" s="2" t="n">
        <x:f>IF(OR(B1063="",F1063=""),0,COUNTIFS('Istoric_Nativ'!$B$6:$B$405,E1063,'Istoric_Nativ'!$C$6:$C$405,F1063,'Istoric_Nativ'!$E$6:$E$405,G1063,'Istoric_Nativ'!$D$6:$D$405,"&lt;"&amp;J1063,'Istoric_Nativ'!$O$6:$O$405,"INVALID")+COUNTIFS('Istoric_Nativ'!$B$6:$B$405,E1063,'Istoric_Nativ'!$C$6:$C$405,F1063,'Istoric_Nativ'!$E$6:$E$405,G1063,'Istoric_Nativ'!$O$6:$O$405,"INVALID",'Istoric_Nativ'!$D$6:$D$405,"*")+COUNTIFS('Istoric_Nativ'!$B$6:$B$405,E1063,'Istoric_Nativ'!$C$6:$C$405,F1063,'Istoric_Nativ'!$E$6:$E$405,G1063,'Istoric_Nativ'!$D$6:$D$405,"&lt;"&amp;J1063,'Istoric_Nativ'!$O$6:$O$405,"SOURCE CONFLICT")+COUNTIFS('Istoric_Nativ'!$B$6:$B$405,E1063,'Istoric_Nativ'!$C$6:$C$405,F1063,'Istoric_Nativ'!$F$6:$F$405,G1063,'Istoric_Nativ'!$D$6:$D$405,"&lt;"&amp;J1063,'Istoric_Nativ'!$O$6:$O$405,"INVALID")+COUNTIFS('Istoric_Nativ'!$B$6:$B$405,E1063,'Istoric_Nativ'!$C$6:$C$405,F1063,'Istoric_Nativ'!$F$6:$F$405,G1063,'Istoric_Nativ'!$O$6:$O$405,"INVALID",'Istoric_Nativ'!$D$6:$D$405,"*")+COUNTIFS('Istoric_Nativ'!$B$6:$B$405,E1063,'Istoric_Nativ'!$C$6:$C$405,F1063,'Istoric_Nativ'!$F$6:$F$405,G1063,'Istoric_Nativ'!$D$6:$D$405,"&lt;"&amp;J1063,'Istoric_Nativ'!$O$6:$O$405,"SOURCE CONFLICT"))</x:f>
        <x:v>0</x:v>
      </x:c>
      <x:c r="T1063" s="2" t="str">
        <x:f>IF(B1063="","",IF(R1063&lt;&gt;"CLOSED",R1063,IF(S1063&gt;0,"NATIVE INPUT ISSUE",IF(M1063=0,"NO HISTORY",IF(M1063&lt;P1063,"SMALL SAMPLE","DERIVED")))))</x:f>
      </x:c>
      <x:c r="U1063" s="2" t="str">
        <x:f>IF(B1063="","","NativeTable; "&amp;E1063&amp;"; "&amp;F1063&amp;"; "&amp;G1063&amp;"; "&amp;H1063&amp;"; before "&amp;TEXT(J1063,"yyyy-mm-dd")&amp;IF(I1063="RECENT","; from "&amp;TEXT(L1063,"yyyy-mm-dd"),""))</x:f>
      </x:c>
    </x:row>
    <x:row r="1064" ht="21" customHeight="1">
      <x:c r="A1064" s="2" t="n">
        <x:v>89</x:v>
      </x:c>
      <x:c r="B1064" s="2" t="str">
        <x:f>IF('Input_Meci'!A94="","",'Input_Meci'!A94)</x:f>
      </x:c>
      <x:c r="C1064" s="2" t="str">
        <x:v>H</x:v>
      </x:c>
      <x:c r="D1064" s="2" t="str">
        <x:v>CURRENT</x:v>
      </x:c>
      <x:c r="E1064" s="2" t="str">
        <x:f>IF(B1064="","",'Input_Meci'!B94)</x:f>
      </x:c>
      <x:c r="F1064" s="2" t="str">
        <x:f>IF(B1064="","",IF('Input_Meci'!C94="","",'Input_Meci'!C94))</x:f>
      </x:c>
      <x:c r="G1064" s="2" t="str">
        <x:f>IF(B1064="","",'Input_Meci'!D94)</x:f>
      </x:c>
      <x:c r="H1064" s="2" t="str">
        <x:v>ANY</x:v>
      </x:c>
      <x:c r="I1064" s="2" t="str">
        <x:v>RECENT</x:v>
      </x:c>
      <x:c r="J1064" s="9" t="n">
        <x:f>IF(AND(B1064&lt;&gt;"",ISNUMBER('Input_Meci'!G94)),INT('Input_Meci'!G94),0)</x:f>
        <x:v>0</x:v>
      </x:c>
      <x:c r="K1064" s="2" t="n">
        <x:f>IF(OR(B1064="",F1064=""),0,IF(H1064="HOME",COUNTIFS('Istoric_Nativ'!$B$6:$B$405,E1064,'Istoric_Nativ'!$C$6:$C$405,F1064,'Istoric_Nativ'!$E$6:$E$405,G1064,'Istoric_Nativ'!$D$6:$D$405,"&lt;"&amp;J1064,'Istoric_Nativ'!$P$6:$P$405,1),IF(H1064="AWAY",COUNTIFS('Istoric_Nativ'!$B$6:$B$405,E1064,'Istoric_Nativ'!$C$6:$C$405,F1064,'Istoric_Nativ'!$F$6:$F$405,G1064,'Istoric_Nativ'!$D$6:$D$405,"&lt;"&amp;J1064,'Istoric_Nativ'!$P$6:$P$405,1),COUNTIFS('Istoric_Nativ'!$B$6:$B$405,E1064,'Istoric_Nativ'!$C$6:$C$405,F1064,'Istoric_Nativ'!$E$6:$E$405,G1064,'Istoric_Nativ'!$D$6:$D$405,"&lt;"&amp;J1064,'Istoric_Nativ'!$P$6:$P$405,1)+COUNTIFS('Istoric_Nativ'!$B$6:$B$405,E1064,'Istoric_Nativ'!$C$6:$C$405,F1064,'Istoric_Nativ'!$F$6:$F$405,G1064,'Istoric_Nativ'!$D$6:$D$405,"&lt;"&amp;J1064,'Istoric_Nativ'!$P$6:$P$405,1))))</x:f>
        <x:v>0</x:v>
      </x:c>
      <x:c r="L1064" s="17" t="n">
        <x:f>IF(AND(B1064&lt;&gt;"",I1064="RECENT",K1064&gt;0),LARGE(_xlfn._xlws.FILTER('Istoric_Nativ'!$D$6:$D$405,('Istoric_Nativ'!$B$6:$B$405=E1064)*('Istoric_Nativ'!$C$6:$C$405=F1064)*('Istoric_Nativ'!$P$6:$P$405=1)*('Istoric_Nativ'!$D$6:$D$405&lt;J1064)*((('Istoric_Nativ'!$E$6:$E$405=G1064)+('Istoric_Nativ'!$F$6:$F$405=G1064))&gt;0)),MIN('Config_v6'!$B$54,K1064)),0)</x:f>
        <x:v>0</x:v>
      </x:c>
      <x:c r="M1064" s="2" t="n">
        <x:f>IF(OR(B1064="",F1064=""),0,IF(H1064="HOME",COUNTIFS('Istoric_Nativ'!$B$6:$B$405,E1064,'Istoric_Nativ'!$C$6:$C$405,F1064,'Istoric_Nativ'!$E$6:$E$405,G1064,'Istoric_Nativ'!$D$6:$D$405,"&lt;"&amp;J1064,'Istoric_Nativ'!$P$6:$P$405,1,'Istoric_Nativ'!$D$6:$D$405,"&gt;="&amp;L1064),IF(H1064="AWAY",COUNTIFS('Istoric_Nativ'!$B$6:$B$405,E1064,'Istoric_Nativ'!$C$6:$C$405,F1064,'Istoric_Nativ'!$F$6:$F$405,G1064,'Istoric_Nativ'!$D$6:$D$405,"&lt;"&amp;J1064,'Istoric_Nativ'!$P$6:$P$405,1,'Istoric_Nativ'!$D$6:$D$405,"&gt;="&amp;L1064),COUNTIFS('Istoric_Nativ'!$B$6:$B$405,E1064,'Istoric_Nativ'!$C$6:$C$405,F1064,'Istoric_Nativ'!$E$6:$E$405,G1064,'Istoric_Nativ'!$D$6:$D$405,"&lt;"&amp;J1064,'Istoric_Nativ'!$P$6:$P$405,1,'Istoric_Nativ'!$D$6:$D$405,"&gt;="&amp;L1064)+COUNTIFS('Istoric_Nativ'!$B$6:$B$405,E1064,'Istoric_Nativ'!$C$6:$C$405,F1064,'Istoric_Nativ'!$F$6:$F$405,G1064,'Istoric_Nativ'!$D$6:$D$405,"&lt;"&amp;J1064,'Istoric_Nativ'!$P$6:$P$405,1,'Istoric_Nativ'!$D$6:$D$405,"&gt;="&amp;L1064))))</x:f>
        <x:v>0</x:v>
      </x:c>
      <x:c r="N1064" s="11" t="str">
        <x:f>IF(M1064=0,"",IF(H1064="HOME",SUMIFS('Istoric_Nativ'!$G$6:$G$405,'Istoric_Nativ'!$B$6:$B$405,E1064,'Istoric_Nativ'!$C$6:$C$405,F1064,'Istoric_Nativ'!$E$6:$E$405,G1064,'Istoric_Nativ'!$D$6:$D$405,"&lt;"&amp;J1064,'Istoric_Nativ'!$P$6:$P$405,1,'Istoric_Nativ'!$D$6:$D$405,"&gt;="&amp;L1064),IF(H1064="AWAY",SUMIFS('Istoric_Nativ'!$H$6:$H$405,'Istoric_Nativ'!$B$6:$B$405,E1064,'Istoric_Nativ'!$C$6:$C$405,F1064,'Istoric_Nativ'!$F$6:$F$405,G1064,'Istoric_Nativ'!$D$6:$D$405,"&lt;"&amp;J1064,'Istoric_Nativ'!$P$6:$P$405,1,'Istoric_Nativ'!$D$6:$D$405,"&gt;="&amp;L1064),SUMIFS('Istoric_Nativ'!$G$6:$G$405,'Istoric_Nativ'!$B$6:$B$405,E1064,'Istoric_Nativ'!$C$6:$C$405,F1064,'Istoric_Nativ'!$E$6:$E$405,G1064,'Istoric_Nativ'!$D$6:$D$405,"&lt;"&amp;J1064,'Istoric_Nativ'!$P$6:$P$405,1,'Istoric_Nativ'!$D$6:$D$405,"&gt;="&amp;L1064)+SUMIFS('Istoric_Nativ'!$H$6:$H$405,'Istoric_Nativ'!$B$6:$B$405,E1064,'Istoric_Nativ'!$C$6:$C$405,F1064,'Istoric_Nativ'!$F$6:$F$405,G1064,'Istoric_Nativ'!$D$6:$D$405,"&lt;"&amp;J1064,'Istoric_Nativ'!$P$6:$P$405,1,'Istoric_Nativ'!$D$6:$D$405,"&gt;="&amp;L1064)))/M1064)</x:f>
      </x:c>
      <x:c r="O1064" s="11" t="str">
        <x:f>IF(M1064=0,"",IF(H1064="HOME",SUMIFS('Istoric_Nativ'!$H$6:$H$405,'Istoric_Nativ'!$B$6:$B$405,E1064,'Istoric_Nativ'!$C$6:$C$405,F1064,'Istoric_Nativ'!$E$6:$E$405,G1064,'Istoric_Nativ'!$D$6:$D$405,"&lt;"&amp;J1064,'Istoric_Nativ'!$P$6:$P$405,1,'Istoric_Nativ'!$D$6:$D$405,"&gt;="&amp;L1064),IF(H1064="AWAY",SUMIFS('Istoric_Nativ'!$G$6:$G$405,'Istoric_Nativ'!$B$6:$B$405,E1064,'Istoric_Nativ'!$C$6:$C$405,F1064,'Istoric_Nativ'!$F$6:$F$405,G1064,'Istoric_Nativ'!$D$6:$D$405,"&lt;"&amp;J1064,'Istoric_Nativ'!$P$6:$P$405,1,'Istoric_Nativ'!$D$6:$D$405,"&gt;="&amp;L1064),SUMIFS('Istoric_Nativ'!$H$6:$H$405,'Istoric_Nativ'!$B$6:$B$405,E1064,'Istoric_Nativ'!$C$6:$C$405,F1064,'Istoric_Nativ'!$E$6:$E$405,G1064,'Istoric_Nativ'!$D$6:$D$405,"&lt;"&amp;J1064,'Istoric_Nativ'!$P$6:$P$405,1,'Istoric_Nativ'!$D$6:$D$405,"&gt;="&amp;L1064)+SUMIFS('Istoric_Nativ'!$G$6:$G$405,'Istoric_Nativ'!$B$6:$B$405,E1064,'Istoric_Nativ'!$C$6:$C$405,F1064,'Istoric_Nativ'!$F$6:$F$405,G1064,'Istoric_Nativ'!$D$6:$D$405,"&lt;"&amp;J1064,'Istoric_Nativ'!$P$6:$P$405,1,'Istoric_Nativ'!$D$6:$D$405,"&gt;="&amp;L1064)))/M1064)</x:f>
      </x:c>
      <x:c r="P1064" s="2" t="n">
        <x:f>'Config_v6'!$B$9</x:f>
        <x:v>3</x:v>
      </x:c>
      <x:c r="Q1064" s="2" t="n">
        <x:f>IF(OR(B1064="",F1064=""),0,IFERROR(MATCH(E1064&amp;"|"&amp;F1064,SourceTable[Source_Key],0),0))</x:f>
        <x:v>0</x:v>
      </x:c>
      <x:c r="R1064" s="2" t="str">
        <x:f>IF(B1064="","",IF(F1064="","UNUSED",IF(Q1064=0,"NOT CHECKED",IF(COUNTIF(SourceTable[Source_Key],E1064&amp;"|"&amp;F1064)&lt;&gt;1,"SOURCE CONFLICT",IF(NOT(OR(INDEX(SourceTable[Status],MAX(1,Q1064))="IMPORTED",INDEX(SourceTable[Status],MAX(1,Q1064))="PARTIAL",INDEX(SourceTable[Status],MAX(1,Q1064))="SOURCE CONFLICT")),"ACCESS BLOCKED",IF(OR(INDEX(SourceTable[Coverage],Q1064)&lt;&gt;"FULL SEASON EXPORT",INDEX(SourceTable[URL],Q1064)="",INDEX(SourceTable[SHA256],Q1064)=""),"EVIDENCE INCOMPLETE",IF(AND('Input_Meci'!H94="LIVE",INDEX(SourceTable[Retrieved_UTC],Q1064)&gt;'Input_Meci'!G94),"POST CUTOFF","CLOSED")))))))</x:f>
      </x:c>
      <x:c r="S1064" s="2" t="n">
        <x:f>IF(OR(B1064="",F1064=""),0,COUNTIFS('Istoric_Nativ'!$B$6:$B$405,E1064,'Istoric_Nativ'!$C$6:$C$405,F1064,'Istoric_Nativ'!$E$6:$E$405,G1064,'Istoric_Nativ'!$D$6:$D$405,"&lt;"&amp;J1064,'Istoric_Nativ'!$O$6:$O$405,"INVALID")+COUNTIFS('Istoric_Nativ'!$B$6:$B$405,E1064,'Istoric_Nativ'!$C$6:$C$405,F1064,'Istoric_Nativ'!$E$6:$E$405,G1064,'Istoric_Nativ'!$O$6:$O$405,"INVALID",'Istoric_Nativ'!$D$6:$D$405,"*")+COUNTIFS('Istoric_Nativ'!$B$6:$B$405,E1064,'Istoric_Nativ'!$C$6:$C$405,F1064,'Istoric_Nativ'!$E$6:$E$405,G1064,'Istoric_Nativ'!$D$6:$D$405,"&lt;"&amp;J1064,'Istoric_Nativ'!$O$6:$O$405,"SOURCE CONFLICT")+COUNTIFS('Istoric_Nativ'!$B$6:$B$405,E1064,'Istoric_Nativ'!$C$6:$C$405,F1064,'Istoric_Nativ'!$F$6:$F$405,G1064,'Istoric_Nativ'!$D$6:$D$405,"&lt;"&amp;J1064,'Istoric_Nativ'!$O$6:$O$405,"INVALID")+COUNTIFS('Istoric_Nativ'!$B$6:$B$405,E1064,'Istoric_Nativ'!$C$6:$C$405,F1064,'Istoric_Nativ'!$F$6:$F$405,G1064,'Istoric_Nativ'!$O$6:$O$405,"INVALID",'Istoric_Nativ'!$D$6:$D$405,"*")+COUNTIFS('Istoric_Nativ'!$B$6:$B$405,E1064,'Istoric_Nativ'!$C$6:$C$405,F1064,'Istoric_Nativ'!$F$6:$F$405,G1064,'Istoric_Nativ'!$D$6:$D$405,"&lt;"&amp;J1064,'Istoric_Nativ'!$O$6:$O$405,"SOURCE CONFLICT"))</x:f>
        <x:v>0</x:v>
      </x:c>
      <x:c r="T1064" s="2" t="str">
        <x:f>IF(B1064="","",IF(R1064&lt;&gt;"CLOSED",R1064,IF(S1064&gt;0,"NATIVE INPUT ISSUE",IF(M1064=0,"NO HISTORY",IF(M1064&lt;P1064,"SMALL SAMPLE","DERIVED")))))</x:f>
      </x:c>
      <x:c r="U1064" s="2" t="str">
        <x:f>IF(B1064="","","NativeTable; "&amp;E1064&amp;"; "&amp;F1064&amp;"; "&amp;G1064&amp;"; "&amp;H1064&amp;"; before "&amp;TEXT(J1064,"yyyy-mm-dd")&amp;IF(I1064="RECENT","; from "&amp;TEXT(L1064,"yyyy-mm-dd"),""))</x:f>
      </x:c>
    </x:row>
    <x:row r="1065" ht="21" customHeight="1">
      <x:c r="A1065" s="2" t="n">
        <x:v>89</x:v>
      </x:c>
      <x:c r="B1065" s="2" t="str">
        <x:f>IF('Input_Meci'!A94="","",'Input_Meci'!A94)</x:f>
      </x:c>
      <x:c r="C1065" s="2" t="str">
        <x:v>A</x:v>
      </x:c>
      <x:c r="D1065" s="2" t="str">
        <x:v>CURRENT</x:v>
      </x:c>
      <x:c r="E1065" s="2" t="str">
        <x:f>IF(B1065="","",'Input_Meci'!B94)</x:f>
      </x:c>
      <x:c r="F1065" s="2" t="str">
        <x:f>IF(B1065="","",IF('Input_Meci'!C94="","",'Input_Meci'!C94))</x:f>
      </x:c>
      <x:c r="G1065" s="2" t="str">
        <x:f>IF(B1065="","",'Input_Meci'!E94)</x:f>
      </x:c>
      <x:c r="H1065" s="2" t="str">
        <x:v>ANY</x:v>
      </x:c>
      <x:c r="I1065" s="2" t="str">
        <x:v>SEASON</x:v>
      </x:c>
      <x:c r="J1065" s="9" t="n">
        <x:f>IF(AND(B1065&lt;&gt;"",ISNUMBER('Input_Meci'!G94)),INT('Input_Meci'!G94),0)</x:f>
        <x:v>0</x:v>
      </x:c>
      <x:c r="K1065" s="2" t="n">
        <x:f>IF(OR(B1065="",F1065=""),0,IF(H1065="HOME",COUNTIFS('Istoric_Nativ'!$B$6:$B$405,E1065,'Istoric_Nativ'!$C$6:$C$405,F1065,'Istoric_Nativ'!$E$6:$E$405,G1065,'Istoric_Nativ'!$D$6:$D$405,"&lt;"&amp;J1065,'Istoric_Nativ'!$P$6:$P$405,1),IF(H1065="AWAY",COUNTIFS('Istoric_Nativ'!$B$6:$B$405,E1065,'Istoric_Nativ'!$C$6:$C$405,F1065,'Istoric_Nativ'!$F$6:$F$405,G1065,'Istoric_Nativ'!$D$6:$D$405,"&lt;"&amp;J1065,'Istoric_Nativ'!$P$6:$P$405,1),COUNTIFS('Istoric_Nativ'!$B$6:$B$405,E1065,'Istoric_Nativ'!$C$6:$C$405,F1065,'Istoric_Nativ'!$E$6:$E$405,G1065,'Istoric_Nativ'!$D$6:$D$405,"&lt;"&amp;J1065,'Istoric_Nativ'!$P$6:$P$405,1)+COUNTIFS('Istoric_Nativ'!$B$6:$B$405,E1065,'Istoric_Nativ'!$C$6:$C$405,F1065,'Istoric_Nativ'!$F$6:$F$405,G1065,'Istoric_Nativ'!$D$6:$D$405,"&lt;"&amp;J1065,'Istoric_Nativ'!$P$6:$P$405,1))))</x:f>
        <x:v>0</x:v>
      </x:c>
      <x:c r="L1065" s="17" t="n">
        <x:f>IF(AND(B1065&lt;&gt;"",I1065="RECENT",K1065&gt;0),LARGE(_xlfn._xlws.FILTER('Istoric_Nativ'!$D$6:$D$405,('Istoric_Nativ'!$B$6:$B$405=E1065)*('Istoric_Nativ'!$C$6:$C$405=F1065)*('Istoric_Nativ'!$P$6:$P$405=1)*('Istoric_Nativ'!$D$6:$D$405&lt;J1065)*((('Istoric_Nativ'!$E$6:$E$405=G1065)+('Istoric_Nativ'!$F$6:$F$405=G1065))&gt;0)),MIN('Config_v6'!$B$54,K1065)),0)</x:f>
        <x:v>0</x:v>
      </x:c>
      <x:c r="M1065" s="2" t="n">
        <x:f>IF(OR(B1065="",F1065=""),0,IF(H1065="HOME",COUNTIFS('Istoric_Nativ'!$B$6:$B$405,E1065,'Istoric_Nativ'!$C$6:$C$405,F1065,'Istoric_Nativ'!$E$6:$E$405,G1065,'Istoric_Nativ'!$D$6:$D$405,"&lt;"&amp;J1065,'Istoric_Nativ'!$P$6:$P$405,1,'Istoric_Nativ'!$D$6:$D$405,"&gt;="&amp;L1065),IF(H1065="AWAY",COUNTIFS('Istoric_Nativ'!$B$6:$B$405,E1065,'Istoric_Nativ'!$C$6:$C$405,F1065,'Istoric_Nativ'!$F$6:$F$405,G1065,'Istoric_Nativ'!$D$6:$D$405,"&lt;"&amp;J1065,'Istoric_Nativ'!$P$6:$P$405,1,'Istoric_Nativ'!$D$6:$D$405,"&gt;="&amp;L1065),COUNTIFS('Istoric_Nativ'!$B$6:$B$405,E1065,'Istoric_Nativ'!$C$6:$C$405,F1065,'Istoric_Nativ'!$E$6:$E$405,G1065,'Istoric_Nativ'!$D$6:$D$405,"&lt;"&amp;J1065,'Istoric_Nativ'!$P$6:$P$405,1,'Istoric_Nativ'!$D$6:$D$405,"&gt;="&amp;L1065)+COUNTIFS('Istoric_Nativ'!$B$6:$B$405,E1065,'Istoric_Nativ'!$C$6:$C$405,F1065,'Istoric_Nativ'!$F$6:$F$405,G1065,'Istoric_Nativ'!$D$6:$D$405,"&lt;"&amp;J1065,'Istoric_Nativ'!$P$6:$P$405,1,'Istoric_Nativ'!$D$6:$D$405,"&gt;="&amp;L1065))))</x:f>
        <x:v>0</x:v>
      </x:c>
      <x:c r="N1065" s="11" t="str">
        <x:f>IF(M1065=0,"",IF(H1065="HOME",SUMIFS('Istoric_Nativ'!$G$6:$G$405,'Istoric_Nativ'!$B$6:$B$405,E1065,'Istoric_Nativ'!$C$6:$C$405,F1065,'Istoric_Nativ'!$E$6:$E$405,G1065,'Istoric_Nativ'!$D$6:$D$405,"&lt;"&amp;J1065,'Istoric_Nativ'!$P$6:$P$405,1,'Istoric_Nativ'!$D$6:$D$405,"&gt;="&amp;L1065),IF(H1065="AWAY",SUMIFS('Istoric_Nativ'!$H$6:$H$405,'Istoric_Nativ'!$B$6:$B$405,E1065,'Istoric_Nativ'!$C$6:$C$405,F1065,'Istoric_Nativ'!$F$6:$F$405,G1065,'Istoric_Nativ'!$D$6:$D$405,"&lt;"&amp;J1065,'Istoric_Nativ'!$P$6:$P$405,1,'Istoric_Nativ'!$D$6:$D$405,"&gt;="&amp;L1065),SUMIFS('Istoric_Nativ'!$G$6:$G$405,'Istoric_Nativ'!$B$6:$B$405,E1065,'Istoric_Nativ'!$C$6:$C$405,F1065,'Istoric_Nativ'!$E$6:$E$405,G1065,'Istoric_Nativ'!$D$6:$D$405,"&lt;"&amp;J1065,'Istoric_Nativ'!$P$6:$P$405,1,'Istoric_Nativ'!$D$6:$D$405,"&gt;="&amp;L1065)+SUMIFS('Istoric_Nativ'!$H$6:$H$405,'Istoric_Nativ'!$B$6:$B$405,E1065,'Istoric_Nativ'!$C$6:$C$405,F1065,'Istoric_Nativ'!$F$6:$F$405,G1065,'Istoric_Nativ'!$D$6:$D$405,"&lt;"&amp;J1065,'Istoric_Nativ'!$P$6:$P$405,1,'Istoric_Nativ'!$D$6:$D$405,"&gt;="&amp;L1065)))/M1065)</x:f>
      </x:c>
      <x:c r="O1065" s="11" t="str">
        <x:f>IF(M1065=0,"",IF(H1065="HOME",SUMIFS('Istoric_Nativ'!$H$6:$H$405,'Istoric_Nativ'!$B$6:$B$405,E1065,'Istoric_Nativ'!$C$6:$C$405,F1065,'Istoric_Nativ'!$E$6:$E$405,G1065,'Istoric_Nativ'!$D$6:$D$405,"&lt;"&amp;J1065,'Istoric_Nativ'!$P$6:$P$405,1,'Istoric_Nativ'!$D$6:$D$405,"&gt;="&amp;L1065),IF(H1065="AWAY",SUMIFS('Istoric_Nativ'!$G$6:$G$405,'Istoric_Nativ'!$B$6:$B$405,E1065,'Istoric_Nativ'!$C$6:$C$405,F1065,'Istoric_Nativ'!$F$6:$F$405,G1065,'Istoric_Nativ'!$D$6:$D$405,"&lt;"&amp;J1065,'Istoric_Nativ'!$P$6:$P$405,1,'Istoric_Nativ'!$D$6:$D$405,"&gt;="&amp;L1065),SUMIFS('Istoric_Nativ'!$H$6:$H$405,'Istoric_Nativ'!$B$6:$B$405,E1065,'Istoric_Nativ'!$C$6:$C$405,F1065,'Istoric_Nativ'!$E$6:$E$405,G1065,'Istoric_Nativ'!$D$6:$D$405,"&lt;"&amp;J1065,'Istoric_Nativ'!$P$6:$P$405,1,'Istoric_Nativ'!$D$6:$D$405,"&gt;="&amp;L1065)+SUMIFS('Istoric_Nativ'!$G$6:$G$405,'Istoric_Nativ'!$B$6:$B$405,E1065,'Istoric_Nativ'!$C$6:$C$405,F1065,'Istoric_Nativ'!$F$6:$F$405,G1065,'Istoric_Nativ'!$D$6:$D$405,"&lt;"&amp;J1065,'Istoric_Nativ'!$P$6:$P$405,1,'Istoric_Nativ'!$D$6:$D$405,"&gt;="&amp;L1065)))/M1065)</x:f>
      </x:c>
      <x:c r="P1065" s="2" t="n">
        <x:f>'Config_v6'!$B$7</x:f>
        <x:v>10</x:v>
      </x:c>
      <x:c r="Q1065" s="2" t="n">
        <x:f>IF(OR(B1065="",F1065=""),0,IFERROR(MATCH(E1065&amp;"|"&amp;F1065,SourceTable[Source_Key],0),0))</x:f>
        <x:v>0</x:v>
      </x:c>
      <x:c r="R1065" s="2" t="str">
        <x:f>IF(B1065="","",IF(F1065="","UNUSED",IF(Q1065=0,"NOT CHECKED",IF(COUNTIF(SourceTable[Source_Key],E1065&amp;"|"&amp;F1065)&lt;&gt;1,"SOURCE CONFLICT",IF(NOT(OR(INDEX(SourceTable[Status],MAX(1,Q1065))="IMPORTED",INDEX(SourceTable[Status],MAX(1,Q1065))="PARTIAL",INDEX(SourceTable[Status],MAX(1,Q1065))="SOURCE CONFLICT")),"ACCESS BLOCKED",IF(OR(INDEX(SourceTable[Coverage],Q1065)&lt;&gt;"FULL SEASON EXPORT",INDEX(SourceTable[URL],Q1065)="",INDEX(SourceTable[SHA256],Q1065)=""),"EVIDENCE INCOMPLETE",IF(AND('Input_Meci'!H94="LIVE",INDEX(SourceTable[Retrieved_UTC],Q1065)&gt;'Input_Meci'!G94),"POST CUTOFF","CLOSED")))))))</x:f>
      </x:c>
      <x:c r="S1065" s="2" t="n">
        <x:f>IF(OR(B1065="",F1065=""),0,COUNTIFS('Istoric_Nativ'!$B$6:$B$405,E1065,'Istoric_Nativ'!$C$6:$C$405,F1065,'Istoric_Nativ'!$E$6:$E$405,G1065,'Istoric_Nativ'!$D$6:$D$405,"&lt;"&amp;J1065,'Istoric_Nativ'!$O$6:$O$405,"INVALID")+COUNTIFS('Istoric_Nativ'!$B$6:$B$405,E1065,'Istoric_Nativ'!$C$6:$C$405,F1065,'Istoric_Nativ'!$E$6:$E$405,G1065,'Istoric_Nativ'!$O$6:$O$405,"INVALID",'Istoric_Nativ'!$D$6:$D$405,"*")+COUNTIFS('Istoric_Nativ'!$B$6:$B$405,E1065,'Istoric_Nativ'!$C$6:$C$405,F1065,'Istoric_Nativ'!$E$6:$E$405,G1065,'Istoric_Nativ'!$D$6:$D$405,"&lt;"&amp;J1065,'Istoric_Nativ'!$O$6:$O$405,"SOURCE CONFLICT")+COUNTIFS('Istoric_Nativ'!$B$6:$B$405,E1065,'Istoric_Nativ'!$C$6:$C$405,F1065,'Istoric_Nativ'!$F$6:$F$405,G1065,'Istoric_Nativ'!$D$6:$D$405,"&lt;"&amp;J1065,'Istoric_Nativ'!$O$6:$O$405,"INVALID")+COUNTIFS('Istoric_Nativ'!$B$6:$B$405,E1065,'Istoric_Nativ'!$C$6:$C$405,F1065,'Istoric_Nativ'!$F$6:$F$405,G1065,'Istoric_Nativ'!$O$6:$O$405,"INVALID",'Istoric_Nativ'!$D$6:$D$405,"*")+COUNTIFS('Istoric_Nativ'!$B$6:$B$405,E1065,'Istoric_Nativ'!$C$6:$C$405,F1065,'Istoric_Nativ'!$F$6:$F$405,G1065,'Istoric_Nativ'!$D$6:$D$405,"&lt;"&amp;J1065,'Istoric_Nativ'!$O$6:$O$405,"SOURCE CONFLICT"))</x:f>
        <x:v>0</x:v>
      </x:c>
      <x:c r="T1065" s="2" t="str">
        <x:f>IF(B1065="","",IF(R1065&lt;&gt;"CLOSED",R1065,IF(S1065&gt;0,"NATIVE INPUT ISSUE",IF(M1065=0,"NO HISTORY",IF(M1065&lt;P1065,"SMALL SAMPLE","DERIVED")))))</x:f>
      </x:c>
      <x:c r="U1065" s="2" t="str">
        <x:f>IF(B1065="","","NativeTable; "&amp;E1065&amp;"; "&amp;F1065&amp;"; "&amp;G1065&amp;"; "&amp;H1065&amp;"; before "&amp;TEXT(J1065,"yyyy-mm-dd")&amp;IF(I1065="RECENT","; from "&amp;TEXT(L1065,"yyyy-mm-dd"),""))</x:f>
      </x:c>
    </x:row>
    <x:row r="1066" ht="21" customHeight="1">
      <x:c r="A1066" s="2" t="n">
        <x:v>89</x:v>
      </x:c>
      <x:c r="B1066" s="2" t="str">
        <x:f>IF('Input_Meci'!A94="","",'Input_Meci'!A94)</x:f>
      </x:c>
      <x:c r="C1066" s="2" t="str">
        <x:v>A</x:v>
      </x:c>
      <x:c r="D1066" s="2" t="str">
        <x:v>CURRENT</x:v>
      </x:c>
      <x:c r="E1066" s="2" t="str">
        <x:f>IF(B1066="","",'Input_Meci'!B94)</x:f>
      </x:c>
      <x:c r="F1066" s="2" t="str">
        <x:f>IF(B1066="","",IF('Input_Meci'!C94="","",'Input_Meci'!C94))</x:f>
      </x:c>
      <x:c r="G1066" s="2" t="str">
        <x:f>IF(B1066="","",'Input_Meci'!E94)</x:f>
      </x:c>
      <x:c r="H1066" s="2" t="str">
        <x:v>AWAY</x:v>
      </x:c>
      <x:c r="I1066" s="2" t="str">
        <x:v>HA</x:v>
      </x:c>
      <x:c r="J1066" s="9" t="n">
        <x:f>IF(AND(B1066&lt;&gt;"",ISNUMBER('Input_Meci'!G94)),INT('Input_Meci'!G94),0)</x:f>
        <x:v>0</x:v>
      </x:c>
      <x:c r="K1066" s="2" t="n">
        <x:f>IF(OR(B1066="",F1066=""),0,IF(H1066="HOME",COUNTIFS('Istoric_Nativ'!$B$6:$B$405,E1066,'Istoric_Nativ'!$C$6:$C$405,F1066,'Istoric_Nativ'!$E$6:$E$405,G1066,'Istoric_Nativ'!$D$6:$D$405,"&lt;"&amp;J1066,'Istoric_Nativ'!$P$6:$P$405,1),IF(H1066="AWAY",COUNTIFS('Istoric_Nativ'!$B$6:$B$405,E1066,'Istoric_Nativ'!$C$6:$C$405,F1066,'Istoric_Nativ'!$F$6:$F$405,G1066,'Istoric_Nativ'!$D$6:$D$405,"&lt;"&amp;J1066,'Istoric_Nativ'!$P$6:$P$405,1),COUNTIFS('Istoric_Nativ'!$B$6:$B$405,E1066,'Istoric_Nativ'!$C$6:$C$405,F1066,'Istoric_Nativ'!$E$6:$E$405,G1066,'Istoric_Nativ'!$D$6:$D$405,"&lt;"&amp;J1066,'Istoric_Nativ'!$P$6:$P$405,1)+COUNTIFS('Istoric_Nativ'!$B$6:$B$405,E1066,'Istoric_Nativ'!$C$6:$C$405,F1066,'Istoric_Nativ'!$F$6:$F$405,G1066,'Istoric_Nativ'!$D$6:$D$405,"&lt;"&amp;J1066,'Istoric_Nativ'!$P$6:$P$405,1))))</x:f>
        <x:v>0</x:v>
      </x:c>
      <x:c r="L1066" s="17" t="n">
        <x:f>IF(AND(B1066&lt;&gt;"",I1066="RECENT",K1066&gt;0),LARGE(_xlfn._xlws.FILTER('Istoric_Nativ'!$D$6:$D$405,('Istoric_Nativ'!$B$6:$B$405=E1066)*('Istoric_Nativ'!$C$6:$C$405=F1066)*('Istoric_Nativ'!$P$6:$P$405=1)*('Istoric_Nativ'!$D$6:$D$405&lt;J1066)*((('Istoric_Nativ'!$E$6:$E$405=G1066)+('Istoric_Nativ'!$F$6:$F$405=G1066))&gt;0)),MIN('Config_v6'!$B$54,K1066)),0)</x:f>
        <x:v>0</x:v>
      </x:c>
      <x:c r="M1066" s="2" t="n">
        <x:f>IF(OR(B1066="",F1066=""),0,IF(H1066="HOME",COUNTIFS('Istoric_Nativ'!$B$6:$B$405,E1066,'Istoric_Nativ'!$C$6:$C$405,F1066,'Istoric_Nativ'!$E$6:$E$405,G1066,'Istoric_Nativ'!$D$6:$D$405,"&lt;"&amp;J1066,'Istoric_Nativ'!$P$6:$P$405,1,'Istoric_Nativ'!$D$6:$D$405,"&gt;="&amp;L1066),IF(H1066="AWAY",COUNTIFS('Istoric_Nativ'!$B$6:$B$405,E1066,'Istoric_Nativ'!$C$6:$C$405,F1066,'Istoric_Nativ'!$F$6:$F$405,G1066,'Istoric_Nativ'!$D$6:$D$405,"&lt;"&amp;J1066,'Istoric_Nativ'!$P$6:$P$405,1,'Istoric_Nativ'!$D$6:$D$405,"&gt;="&amp;L1066),COUNTIFS('Istoric_Nativ'!$B$6:$B$405,E1066,'Istoric_Nativ'!$C$6:$C$405,F1066,'Istoric_Nativ'!$E$6:$E$405,G1066,'Istoric_Nativ'!$D$6:$D$405,"&lt;"&amp;J1066,'Istoric_Nativ'!$P$6:$P$405,1,'Istoric_Nativ'!$D$6:$D$405,"&gt;="&amp;L1066)+COUNTIFS('Istoric_Nativ'!$B$6:$B$405,E1066,'Istoric_Nativ'!$C$6:$C$405,F1066,'Istoric_Nativ'!$F$6:$F$405,G1066,'Istoric_Nativ'!$D$6:$D$405,"&lt;"&amp;J1066,'Istoric_Nativ'!$P$6:$P$405,1,'Istoric_Nativ'!$D$6:$D$405,"&gt;="&amp;L1066))))</x:f>
        <x:v>0</x:v>
      </x:c>
      <x:c r="N1066" s="11" t="str">
        <x:f>IF(M1066=0,"",IF(H1066="HOME",SUMIFS('Istoric_Nativ'!$G$6:$G$405,'Istoric_Nativ'!$B$6:$B$405,E1066,'Istoric_Nativ'!$C$6:$C$405,F1066,'Istoric_Nativ'!$E$6:$E$405,G1066,'Istoric_Nativ'!$D$6:$D$405,"&lt;"&amp;J1066,'Istoric_Nativ'!$P$6:$P$405,1,'Istoric_Nativ'!$D$6:$D$405,"&gt;="&amp;L1066),IF(H1066="AWAY",SUMIFS('Istoric_Nativ'!$H$6:$H$405,'Istoric_Nativ'!$B$6:$B$405,E1066,'Istoric_Nativ'!$C$6:$C$405,F1066,'Istoric_Nativ'!$F$6:$F$405,G1066,'Istoric_Nativ'!$D$6:$D$405,"&lt;"&amp;J1066,'Istoric_Nativ'!$P$6:$P$405,1,'Istoric_Nativ'!$D$6:$D$405,"&gt;="&amp;L1066),SUMIFS('Istoric_Nativ'!$G$6:$G$405,'Istoric_Nativ'!$B$6:$B$405,E1066,'Istoric_Nativ'!$C$6:$C$405,F1066,'Istoric_Nativ'!$E$6:$E$405,G1066,'Istoric_Nativ'!$D$6:$D$405,"&lt;"&amp;J1066,'Istoric_Nativ'!$P$6:$P$405,1,'Istoric_Nativ'!$D$6:$D$405,"&gt;="&amp;L1066)+SUMIFS('Istoric_Nativ'!$H$6:$H$405,'Istoric_Nativ'!$B$6:$B$405,E1066,'Istoric_Nativ'!$C$6:$C$405,F1066,'Istoric_Nativ'!$F$6:$F$405,G1066,'Istoric_Nativ'!$D$6:$D$405,"&lt;"&amp;J1066,'Istoric_Nativ'!$P$6:$P$405,1,'Istoric_Nativ'!$D$6:$D$405,"&gt;="&amp;L1066)))/M1066)</x:f>
      </x:c>
      <x:c r="O1066" s="11" t="str">
        <x:f>IF(M1066=0,"",IF(H1066="HOME",SUMIFS('Istoric_Nativ'!$H$6:$H$405,'Istoric_Nativ'!$B$6:$B$405,E1066,'Istoric_Nativ'!$C$6:$C$405,F1066,'Istoric_Nativ'!$E$6:$E$405,G1066,'Istoric_Nativ'!$D$6:$D$405,"&lt;"&amp;J1066,'Istoric_Nativ'!$P$6:$P$405,1,'Istoric_Nativ'!$D$6:$D$405,"&gt;="&amp;L1066),IF(H1066="AWAY",SUMIFS('Istoric_Nativ'!$G$6:$G$405,'Istoric_Nativ'!$B$6:$B$405,E1066,'Istoric_Nativ'!$C$6:$C$405,F1066,'Istoric_Nativ'!$F$6:$F$405,G1066,'Istoric_Nativ'!$D$6:$D$405,"&lt;"&amp;J1066,'Istoric_Nativ'!$P$6:$P$405,1,'Istoric_Nativ'!$D$6:$D$405,"&gt;="&amp;L1066),SUMIFS('Istoric_Nativ'!$H$6:$H$405,'Istoric_Nativ'!$B$6:$B$405,E1066,'Istoric_Nativ'!$C$6:$C$405,F1066,'Istoric_Nativ'!$E$6:$E$405,G1066,'Istoric_Nativ'!$D$6:$D$405,"&lt;"&amp;J1066,'Istoric_Nativ'!$P$6:$P$405,1,'Istoric_Nativ'!$D$6:$D$405,"&gt;="&amp;L1066)+SUMIFS('Istoric_Nativ'!$G$6:$G$405,'Istoric_Nativ'!$B$6:$B$405,E1066,'Istoric_Nativ'!$C$6:$C$405,F1066,'Istoric_Nativ'!$F$6:$F$405,G1066,'Istoric_Nativ'!$D$6:$D$405,"&lt;"&amp;J1066,'Istoric_Nativ'!$P$6:$P$405,1,'Istoric_Nativ'!$D$6:$D$405,"&gt;="&amp;L1066)))/M1066)</x:f>
      </x:c>
      <x:c r="P1066" s="2" t="n">
        <x:f>'Config_v6'!$B$8</x:f>
        <x:v>5</x:v>
      </x:c>
      <x:c r="Q1066" s="2" t="n">
        <x:f>IF(OR(B1066="",F1066=""),0,IFERROR(MATCH(E1066&amp;"|"&amp;F1066,SourceTable[Source_Key],0),0))</x:f>
        <x:v>0</x:v>
      </x:c>
      <x:c r="R1066" s="2" t="str">
        <x:f>IF(B1066="","",IF(F1066="","UNUSED",IF(Q1066=0,"NOT CHECKED",IF(COUNTIF(SourceTable[Source_Key],E1066&amp;"|"&amp;F1066)&lt;&gt;1,"SOURCE CONFLICT",IF(NOT(OR(INDEX(SourceTable[Status],MAX(1,Q1066))="IMPORTED",INDEX(SourceTable[Status],MAX(1,Q1066))="PARTIAL",INDEX(SourceTable[Status],MAX(1,Q1066))="SOURCE CONFLICT")),"ACCESS BLOCKED",IF(OR(INDEX(SourceTable[Coverage],Q1066)&lt;&gt;"FULL SEASON EXPORT",INDEX(SourceTable[URL],Q1066)="",INDEX(SourceTable[SHA256],Q1066)=""),"EVIDENCE INCOMPLETE",IF(AND('Input_Meci'!H94="LIVE",INDEX(SourceTable[Retrieved_UTC],Q1066)&gt;'Input_Meci'!G94),"POST CUTOFF","CLOSED")))))))</x:f>
      </x:c>
      <x:c r="S1066" s="2" t="n">
        <x:f>IF(OR(B1066="",F1066=""),0,COUNTIFS('Istoric_Nativ'!$B$6:$B$405,E1066,'Istoric_Nativ'!$C$6:$C$405,F1066,'Istoric_Nativ'!$E$6:$E$405,G1066,'Istoric_Nativ'!$D$6:$D$405,"&lt;"&amp;J1066,'Istoric_Nativ'!$O$6:$O$405,"INVALID")+COUNTIFS('Istoric_Nativ'!$B$6:$B$405,E1066,'Istoric_Nativ'!$C$6:$C$405,F1066,'Istoric_Nativ'!$E$6:$E$405,G1066,'Istoric_Nativ'!$O$6:$O$405,"INVALID",'Istoric_Nativ'!$D$6:$D$405,"*")+COUNTIFS('Istoric_Nativ'!$B$6:$B$405,E1066,'Istoric_Nativ'!$C$6:$C$405,F1066,'Istoric_Nativ'!$E$6:$E$405,G1066,'Istoric_Nativ'!$D$6:$D$405,"&lt;"&amp;J1066,'Istoric_Nativ'!$O$6:$O$405,"SOURCE CONFLICT")+COUNTIFS('Istoric_Nativ'!$B$6:$B$405,E1066,'Istoric_Nativ'!$C$6:$C$405,F1066,'Istoric_Nativ'!$F$6:$F$405,G1066,'Istoric_Nativ'!$D$6:$D$405,"&lt;"&amp;J1066,'Istoric_Nativ'!$O$6:$O$405,"INVALID")+COUNTIFS('Istoric_Nativ'!$B$6:$B$405,E1066,'Istoric_Nativ'!$C$6:$C$405,F1066,'Istoric_Nativ'!$F$6:$F$405,G1066,'Istoric_Nativ'!$O$6:$O$405,"INVALID",'Istoric_Nativ'!$D$6:$D$405,"*")+COUNTIFS('Istoric_Nativ'!$B$6:$B$405,E1066,'Istoric_Nativ'!$C$6:$C$405,F1066,'Istoric_Nativ'!$F$6:$F$405,G1066,'Istoric_Nativ'!$D$6:$D$405,"&lt;"&amp;J1066,'Istoric_Nativ'!$O$6:$O$405,"SOURCE CONFLICT"))</x:f>
        <x:v>0</x:v>
      </x:c>
      <x:c r="T1066" s="2" t="str">
        <x:f>IF(B1066="","",IF(R1066&lt;&gt;"CLOSED",R1066,IF(S1066&gt;0,"NATIVE INPUT ISSUE",IF(M1066=0,"NO HISTORY",IF(M1066&lt;P1066,"SMALL SAMPLE","DERIVED")))))</x:f>
      </x:c>
      <x:c r="U1066" s="2" t="str">
        <x:f>IF(B1066="","","NativeTable; "&amp;E1066&amp;"; "&amp;F1066&amp;"; "&amp;G1066&amp;"; "&amp;H1066&amp;"; before "&amp;TEXT(J1066,"yyyy-mm-dd")&amp;IF(I1066="RECENT","; from "&amp;TEXT(L1066,"yyyy-mm-dd"),""))</x:f>
      </x:c>
    </x:row>
    <x:row r="1067" ht="21" customHeight="1">
      <x:c r="A1067" s="2" t="n">
        <x:v>89</x:v>
      </x:c>
      <x:c r="B1067" s="2" t="str">
        <x:f>IF('Input_Meci'!A94="","",'Input_Meci'!A94)</x:f>
      </x:c>
      <x:c r="C1067" s="2" t="str">
        <x:v>A</x:v>
      </x:c>
      <x:c r="D1067" s="2" t="str">
        <x:v>CURRENT</x:v>
      </x:c>
      <x:c r="E1067" s="2" t="str">
        <x:f>IF(B1067="","",'Input_Meci'!B94)</x:f>
      </x:c>
      <x:c r="F1067" s="2" t="str">
        <x:f>IF(B1067="","",IF('Input_Meci'!C94="","",'Input_Meci'!C94))</x:f>
      </x:c>
      <x:c r="G1067" s="2" t="str">
        <x:f>IF(B1067="","",'Input_Meci'!E94)</x:f>
      </x:c>
      <x:c r="H1067" s="2" t="str">
        <x:v>ANY</x:v>
      </x:c>
      <x:c r="I1067" s="2" t="str">
        <x:v>RECENT</x:v>
      </x:c>
      <x:c r="J1067" s="9" t="n">
        <x:f>IF(AND(B1067&lt;&gt;"",ISNUMBER('Input_Meci'!G94)),INT('Input_Meci'!G94),0)</x:f>
        <x:v>0</x:v>
      </x:c>
      <x:c r="K1067" s="2" t="n">
        <x:f>IF(OR(B1067="",F1067=""),0,IF(H1067="HOME",COUNTIFS('Istoric_Nativ'!$B$6:$B$405,E1067,'Istoric_Nativ'!$C$6:$C$405,F1067,'Istoric_Nativ'!$E$6:$E$405,G1067,'Istoric_Nativ'!$D$6:$D$405,"&lt;"&amp;J1067,'Istoric_Nativ'!$P$6:$P$405,1),IF(H1067="AWAY",COUNTIFS('Istoric_Nativ'!$B$6:$B$405,E1067,'Istoric_Nativ'!$C$6:$C$405,F1067,'Istoric_Nativ'!$F$6:$F$405,G1067,'Istoric_Nativ'!$D$6:$D$405,"&lt;"&amp;J1067,'Istoric_Nativ'!$P$6:$P$405,1),COUNTIFS('Istoric_Nativ'!$B$6:$B$405,E1067,'Istoric_Nativ'!$C$6:$C$405,F1067,'Istoric_Nativ'!$E$6:$E$405,G1067,'Istoric_Nativ'!$D$6:$D$405,"&lt;"&amp;J1067,'Istoric_Nativ'!$P$6:$P$405,1)+COUNTIFS('Istoric_Nativ'!$B$6:$B$405,E1067,'Istoric_Nativ'!$C$6:$C$405,F1067,'Istoric_Nativ'!$F$6:$F$405,G1067,'Istoric_Nativ'!$D$6:$D$405,"&lt;"&amp;J1067,'Istoric_Nativ'!$P$6:$P$405,1))))</x:f>
        <x:v>0</x:v>
      </x:c>
      <x:c r="L1067" s="17" t="n">
        <x:f>IF(AND(B1067&lt;&gt;"",I1067="RECENT",K1067&gt;0),LARGE(_xlfn._xlws.FILTER('Istoric_Nativ'!$D$6:$D$405,('Istoric_Nativ'!$B$6:$B$405=E1067)*('Istoric_Nativ'!$C$6:$C$405=F1067)*('Istoric_Nativ'!$P$6:$P$405=1)*('Istoric_Nativ'!$D$6:$D$405&lt;J1067)*((('Istoric_Nativ'!$E$6:$E$405=G1067)+('Istoric_Nativ'!$F$6:$F$405=G1067))&gt;0)),MIN('Config_v6'!$B$54,K1067)),0)</x:f>
        <x:v>0</x:v>
      </x:c>
      <x:c r="M1067" s="2" t="n">
        <x:f>IF(OR(B1067="",F1067=""),0,IF(H1067="HOME",COUNTIFS('Istoric_Nativ'!$B$6:$B$405,E1067,'Istoric_Nativ'!$C$6:$C$405,F1067,'Istoric_Nativ'!$E$6:$E$405,G1067,'Istoric_Nativ'!$D$6:$D$405,"&lt;"&amp;J1067,'Istoric_Nativ'!$P$6:$P$405,1,'Istoric_Nativ'!$D$6:$D$405,"&gt;="&amp;L1067),IF(H1067="AWAY",COUNTIFS('Istoric_Nativ'!$B$6:$B$405,E1067,'Istoric_Nativ'!$C$6:$C$405,F1067,'Istoric_Nativ'!$F$6:$F$405,G1067,'Istoric_Nativ'!$D$6:$D$405,"&lt;"&amp;J1067,'Istoric_Nativ'!$P$6:$P$405,1,'Istoric_Nativ'!$D$6:$D$405,"&gt;="&amp;L1067),COUNTIFS('Istoric_Nativ'!$B$6:$B$405,E1067,'Istoric_Nativ'!$C$6:$C$405,F1067,'Istoric_Nativ'!$E$6:$E$405,G1067,'Istoric_Nativ'!$D$6:$D$405,"&lt;"&amp;J1067,'Istoric_Nativ'!$P$6:$P$405,1,'Istoric_Nativ'!$D$6:$D$405,"&gt;="&amp;L1067)+COUNTIFS('Istoric_Nativ'!$B$6:$B$405,E1067,'Istoric_Nativ'!$C$6:$C$405,F1067,'Istoric_Nativ'!$F$6:$F$405,G1067,'Istoric_Nativ'!$D$6:$D$405,"&lt;"&amp;J1067,'Istoric_Nativ'!$P$6:$P$405,1,'Istoric_Nativ'!$D$6:$D$405,"&gt;="&amp;L1067))))</x:f>
        <x:v>0</x:v>
      </x:c>
      <x:c r="N1067" s="11" t="str">
        <x:f>IF(M1067=0,"",IF(H1067="HOME",SUMIFS('Istoric_Nativ'!$G$6:$G$405,'Istoric_Nativ'!$B$6:$B$405,E1067,'Istoric_Nativ'!$C$6:$C$405,F1067,'Istoric_Nativ'!$E$6:$E$405,G1067,'Istoric_Nativ'!$D$6:$D$405,"&lt;"&amp;J1067,'Istoric_Nativ'!$P$6:$P$405,1,'Istoric_Nativ'!$D$6:$D$405,"&gt;="&amp;L1067),IF(H1067="AWAY",SUMIFS('Istoric_Nativ'!$H$6:$H$405,'Istoric_Nativ'!$B$6:$B$405,E1067,'Istoric_Nativ'!$C$6:$C$405,F1067,'Istoric_Nativ'!$F$6:$F$405,G1067,'Istoric_Nativ'!$D$6:$D$405,"&lt;"&amp;J1067,'Istoric_Nativ'!$P$6:$P$405,1,'Istoric_Nativ'!$D$6:$D$405,"&gt;="&amp;L1067),SUMIFS('Istoric_Nativ'!$G$6:$G$405,'Istoric_Nativ'!$B$6:$B$405,E1067,'Istoric_Nativ'!$C$6:$C$405,F1067,'Istoric_Nativ'!$E$6:$E$405,G1067,'Istoric_Nativ'!$D$6:$D$405,"&lt;"&amp;J1067,'Istoric_Nativ'!$P$6:$P$405,1,'Istoric_Nativ'!$D$6:$D$405,"&gt;="&amp;L1067)+SUMIFS('Istoric_Nativ'!$H$6:$H$405,'Istoric_Nativ'!$B$6:$B$405,E1067,'Istoric_Nativ'!$C$6:$C$405,F1067,'Istoric_Nativ'!$F$6:$F$405,G1067,'Istoric_Nativ'!$D$6:$D$405,"&lt;"&amp;J1067,'Istoric_Nativ'!$P$6:$P$405,1,'Istoric_Nativ'!$D$6:$D$405,"&gt;="&amp;L1067)))/M1067)</x:f>
      </x:c>
      <x:c r="O1067" s="11" t="str">
        <x:f>IF(M1067=0,"",IF(H1067="HOME",SUMIFS('Istoric_Nativ'!$H$6:$H$405,'Istoric_Nativ'!$B$6:$B$405,E1067,'Istoric_Nativ'!$C$6:$C$405,F1067,'Istoric_Nativ'!$E$6:$E$405,G1067,'Istoric_Nativ'!$D$6:$D$405,"&lt;"&amp;J1067,'Istoric_Nativ'!$P$6:$P$405,1,'Istoric_Nativ'!$D$6:$D$405,"&gt;="&amp;L1067),IF(H1067="AWAY",SUMIFS('Istoric_Nativ'!$G$6:$G$405,'Istoric_Nativ'!$B$6:$B$405,E1067,'Istoric_Nativ'!$C$6:$C$405,F1067,'Istoric_Nativ'!$F$6:$F$405,G1067,'Istoric_Nativ'!$D$6:$D$405,"&lt;"&amp;J1067,'Istoric_Nativ'!$P$6:$P$405,1,'Istoric_Nativ'!$D$6:$D$405,"&gt;="&amp;L1067),SUMIFS('Istoric_Nativ'!$H$6:$H$405,'Istoric_Nativ'!$B$6:$B$405,E1067,'Istoric_Nativ'!$C$6:$C$405,F1067,'Istoric_Nativ'!$E$6:$E$405,G1067,'Istoric_Nativ'!$D$6:$D$405,"&lt;"&amp;J1067,'Istoric_Nativ'!$P$6:$P$405,1,'Istoric_Nativ'!$D$6:$D$405,"&gt;="&amp;L1067)+SUMIFS('Istoric_Nativ'!$G$6:$G$405,'Istoric_Nativ'!$B$6:$B$405,E1067,'Istoric_Nativ'!$C$6:$C$405,F1067,'Istoric_Nativ'!$F$6:$F$405,G1067,'Istoric_Nativ'!$D$6:$D$405,"&lt;"&amp;J1067,'Istoric_Nativ'!$P$6:$P$405,1,'Istoric_Nativ'!$D$6:$D$405,"&gt;="&amp;L1067)))/M1067)</x:f>
      </x:c>
      <x:c r="P1067" s="2" t="n">
        <x:f>'Config_v6'!$B$9</x:f>
        <x:v>3</x:v>
      </x:c>
      <x:c r="Q1067" s="2" t="n">
        <x:f>IF(OR(B1067="",F1067=""),0,IFERROR(MATCH(E1067&amp;"|"&amp;F1067,SourceTable[Source_Key],0),0))</x:f>
        <x:v>0</x:v>
      </x:c>
      <x:c r="R1067" s="2" t="str">
        <x:f>IF(B1067="","",IF(F1067="","UNUSED",IF(Q1067=0,"NOT CHECKED",IF(COUNTIF(SourceTable[Source_Key],E1067&amp;"|"&amp;F1067)&lt;&gt;1,"SOURCE CONFLICT",IF(NOT(OR(INDEX(SourceTable[Status],MAX(1,Q1067))="IMPORTED",INDEX(SourceTable[Status],MAX(1,Q1067))="PARTIAL",INDEX(SourceTable[Status],MAX(1,Q1067))="SOURCE CONFLICT")),"ACCESS BLOCKED",IF(OR(INDEX(SourceTable[Coverage],Q1067)&lt;&gt;"FULL SEASON EXPORT",INDEX(SourceTable[URL],Q1067)="",INDEX(SourceTable[SHA256],Q1067)=""),"EVIDENCE INCOMPLETE",IF(AND('Input_Meci'!H94="LIVE",INDEX(SourceTable[Retrieved_UTC],Q1067)&gt;'Input_Meci'!G94),"POST CUTOFF","CLOSED")))))))</x:f>
      </x:c>
      <x:c r="S1067" s="2" t="n">
        <x:f>IF(OR(B1067="",F1067=""),0,COUNTIFS('Istoric_Nativ'!$B$6:$B$405,E1067,'Istoric_Nativ'!$C$6:$C$405,F1067,'Istoric_Nativ'!$E$6:$E$405,G1067,'Istoric_Nativ'!$D$6:$D$405,"&lt;"&amp;J1067,'Istoric_Nativ'!$O$6:$O$405,"INVALID")+COUNTIFS('Istoric_Nativ'!$B$6:$B$405,E1067,'Istoric_Nativ'!$C$6:$C$405,F1067,'Istoric_Nativ'!$E$6:$E$405,G1067,'Istoric_Nativ'!$O$6:$O$405,"INVALID",'Istoric_Nativ'!$D$6:$D$405,"*")+COUNTIFS('Istoric_Nativ'!$B$6:$B$405,E1067,'Istoric_Nativ'!$C$6:$C$405,F1067,'Istoric_Nativ'!$E$6:$E$405,G1067,'Istoric_Nativ'!$D$6:$D$405,"&lt;"&amp;J1067,'Istoric_Nativ'!$O$6:$O$405,"SOURCE CONFLICT")+COUNTIFS('Istoric_Nativ'!$B$6:$B$405,E1067,'Istoric_Nativ'!$C$6:$C$405,F1067,'Istoric_Nativ'!$F$6:$F$405,G1067,'Istoric_Nativ'!$D$6:$D$405,"&lt;"&amp;J1067,'Istoric_Nativ'!$O$6:$O$405,"INVALID")+COUNTIFS('Istoric_Nativ'!$B$6:$B$405,E1067,'Istoric_Nativ'!$C$6:$C$405,F1067,'Istoric_Nativ'!$F$6:$F$405,G1067,'Istoric_Nativ'!$O$6:$O$405,"INVALID",'Istoric_Nativ'!$D$6:$D$405,"*")+COUNTIFS('Istoric_Nativ'!$B$6:$B$405,E1067,'Istoric_Nativ'!$C$6:$C$405,F1067,'Istoric_Nativ'!$F$6:$F$405,G1067,'Istoric_Nativ'!$D$6:$D$405,"&lt;"&amp;J1067,'Istoric_Nativ'!$O$6:$O$405,"SOURCE CONFLICT"))</x:f>
        <x:v>0</x:v>
      </x:c>
      <x:c r="T1067" s="2" t="str">
        <x:f>IF(B1067="","",IF(R1067&lt;&gt;"CLOSED",R1067,IF(S1067&gt;0,"NATIVE INPUT ISSUE",IF(M1067=0,"NO HISTORY",IF(M1067&lt;P1067,"SMALL SAMPLE","DERIVED")))))</x:f>
      </x:c>
      <x:c r="U1067" s="2" t="str">
        <x:f>IF(B1067="","","NativeTable; "&amp;E1067&amp;"; "&amp;F1067&amp;"; "&amp;G1067&amp;"; "&amp;H1067&amp;"; before "&amp;TEXT(J1067,"yyyy-mm-dd")&amp;IF(I1067="RECENT","; from "&amp;TEXT(L1067,"yyyy-mm-dd"),""))</x:f>
      </x:c>
    </x:row>
    <x:row r="1068" ht="21" customHeight="1">
      <x:c r="A1068" s="2" t="n">
        <x:v>89</x:v>
      </x:c>
      <x:c r="B1068" s="2" t="str">
        <x:f>IF('Input_Meci'!A94="","",'Input_Meci'!A94)</x:f>
      </x:c>
      <x:c r="C1068" s="2" t="str">
        <x:v>H</x:v>
      </x:c>
      <x:c r="D1068" s="2" t="str">
        <x:v>PRIOR</x:v>
      </x:c>
      <x:c r="E1068" s="2" t="str">
        <x:f>IF(B1068="","",'Input_Meci'!B94)</x:f>
      </x:c>
      <x:c r="F1068" s="2" t="str">
        <x:f>IF(B1068="","",IF('Input_Meci'!K94="","",'Input_Meci'!K94))</x:f>
      </x:c>
      <x:c r="G1068" s="2" t="str">
        <x:f>IF(B1068="","",'Input_Meci'!D94)</x:f>
      </x:c>
      <x:c r="H1068" s="2" t="str">
        <x:v>ANY</x:v>
      </x:c>
      <x:c r="I1068" s="2" t="str">
        <x:v>SEASON</x:v>
      </x:c>
      <x:c r="J1068" s="9" t="n">
        <x:f>IF(AND(B1068&lt;&gt;"",ISNUMBER('Input_Meci'!G94)),INT('Input_Meci'!G94),0)</x:f>
        <x:v>0</x:v>
      </x:c>
      <x:c r="K1068" s="2" t="n">
        <x:f>IF(OR(B1068="",F1068=""),0,IF(H1068="HOME",COUNTIFS('Istoric_Nativ'!$B$6:$B$405,E1068,'Istoric_Nativ'!$C$6:$C$405,F1068,'Istoric_Nativ'!$E$6:$E$405,G1068,'Istoric_Nativ'!$D$6:$D$405,"&lt;"&amp;J1068,'Istoric_Nativ'!$P$6:$P$405,1),IF(H1068="AWAY",COUNTIFS('Istoric_Nativ'!$B$6:$B$405,E1068,'Istoric_Nativ'!$C$6:$C$405,F1068,'Istoric_Nativ'!$F$6:$F$405,G1068,'Istoric_Nativ'!$D$6:$D$405,"&lt;"&amp;J1068,'Istoric_Nativ'!$P$6:$P$405,1),COUNTIFS('Istoric_Nativ'!$B$6:$B$405,E1068,'Istoric_Nativ'!$C$6:$C$405,F1068,'Istoric_Nativ'!$E$6:$E$405,G1068,'Istoric_Nativ'!$D$6:$D$405,"&lt;"&amp;J1068,'Istoric_Nativ'!$P$6:$P$405,1)+COUNTIFS('Istoric_Nativ'!$B$6:$B$405,E1068,'Istoric_Nativ'!$C$6:$C$405,F1068,'Istoric_Nativ'!$F$6:$F$405,G1068,'Istoric_Nativ'!$D$6:$D$405,"&lt;"&amp;J1068,'Istoric_Nativ'!$P$6:$P$405,1))))</x:f>
        <x:v>0</x:v>
      </x:c>
      <x:c r="L1068" s="17" t="n">
        <x:f>IF(AND(B1068&lt;&gt;"",I1068="RECENT",K1068&gt;0),LARGE(_xlfn._xlws.FILTER('Istoric_Nativ'!$D$6:$D$405,('Istoric_Nativ'!$B$6:$B$405=E1068)*('Istoric_Nativ'!$C$6:$C$405=F1068)*('Istoric_Nativ'!$P$6:$P$405=1)*('Istoric_Nativ'!$D$6:$D$405&lt;J1068)*((('Istoric_Nativ'!$E$6:$E$405=G1068)+('Istoric_Nativ'!$F$6:$F$405=G1068))&gt;0)),MIN('Config_v6'!$B$54,K1068)),0)</x:f>
        <x:v>0</x:v>
      </x:c>
      <x:c r="M1068" s="2" t="n">
        <x:f>IF(OR(B1068="",F1068=""),0,IF(H1068="HOME",COUNTIFS('Istoric_Nativ'!$B$6:$B$405,E1068,'Istoric_Nativ'!$C$6:$C$405,F1068,'Istoric_Nativ'!$E$6:$E$405,G1068,'Istoric_Nativ'!$D$6:$D$405,"&lt;"&amp;J1068,'Istoric_Nativ'!$P$6:$P$405,1,'Istoric_Nativ'!$D$6:$D$405,"&gt;="&amp;L1068),IF(H1068="AWAY",COUNTIFS('Istoric_Nativ'!$B$6:$B$405,E1068,'Istoric_Nativ'!$C$6:$C$405,F1068,'Istoric_Nativ'!$F$6:$F$405,G1068,'Istoric_Nativ'!$D$6:$D$405,"&lt;"&amp;J1068,'Istoric_Nativ'!$P$6:$P$405,1,'Istoric_Nativ'!$D$6:$D$405,"&gt;="&amp;L1068),COUNTIFS('Istoric_Nativ'!$B$6:$B$405,E1068,'Istoric_Nativ'!$C$6:$C$405,F1068,'Istoric_Nativ'!$E$6:$E$405,G1068,'Istoric_Nativ'!$D$6:$D$405,"&lt;"&amp;J1068,'Istoric_Nativ'!$P$6:$P$405,1,'Istoric_Nativ'!$D$6:$D$405,"&gt;="&amp;L1068)+COUNTIFS('Istoric_Nativ'!$B$6:$B$405,E1068,'Istoric_Nativ'!$C$6:$C$405,F1068,'Istoric_Nativ'!$F$6:$F$405,G1068,'Istoric_Nativ'!$D$6:$D$405,"&lt;"&amp;J1068,'Istoric_Nativ'!$P$6:$P$405,1,'Istoric_Nativ'!$D$6:$D$405,"&gt;="&amp;L1068))))</x:f>
        <x:v>0</x:v>
      </x:c>
      <x:c r="N1068" s="11" t="str">
        <x:f>IF(M1068=0,"",IF(H1068="HOME",SUMIFS('Istoric_Nativ'!$G$6:$G$405,'Istoric_Nativ'!$B$6:$B$405,E1068,'Istoric_Nativ'!$C$6:$C$405,F1068,'Istoric_Nativ'!$E$6:$E$405,G1068,'Istoric_Nativ'!$D$6:$D$405,"&lt;"&amp;J1068,'Istoric_Nativ'!$P$6:$P$405,1,'Istoric_Nativ'!$D$6:$D$405,"&gt;="&amp;L1068),IF(H1068="AWAY",SUMIFS('Istoric_Nativ'!$H$6:$H$405,'Istoric_Nativ'!$B$6:$B$405,E1068,'Istoric_Nativ'!$C$6:$C$405,F1068,'Istoric_Nativ'!$F$6:$F$405,G1068,'Istoric_Nativ'!$D$6:$D$405,"&lt;"&amp;J1068,'Istoric_Nativ'!$P$6:$P$405,1,'Istoric_Nativ'!$D$6:$D$405,"&gt;="&amp;L1068),SUMIFS('Istoric_Nativ'!$G$6:$G$405,'Istoric_Nativ'!$B$6:$B$405,E1068,'Istoric_Nativ'!$C$6:$C$405,F1068,'Istoric_Nativ'!$E$6:$E$405,G1068,'Istoric_Nativ'!$D$6:$D$405,"&lt;"&amp;J1068,'Istoric_Nativ'!$P$6:$P$405,1,'Istoric_Nativ'!$D$6:$D$405,"&gt;="&amp;L1068)+SUMIFS('Istoric_Nativ'!$H$6:$H$405,'Istoric_Nativ'!$B$6:$B$405,E1068,'Istoric_Nativ'!$C$6:$C$405,F1068,'Istoric_Nativ'!$F$6:$F$405,G1068,'Istoric_Nativ'!$D$6:$D$405,"&lt;"&amp;J1068,'Istoric_Nativ'!$P$6:$P$405,1,'Istoric_Nativ'!$D$6:$D$405,"&gt;="&amp;L1068)))/M1068)</x:f>
      </x:c>
      <x:c r="O1068" s="11" t="str">
        <x:f>IF(M1068=0,"",IF(H1068="HOME",SUMIFS('Istoric_Nativ'!$H$6:$H$405,'Istoric_Nativ'!$B$6:$B$405,E1068,'Istoric_Nativ'!$C$6:$C$405,F1068,'Istoric_Nativ'!$E$6:$E$405,G1068,'Istoric_Nativ'!$D$6:$D$405,"&lt;"&amp;J1068,'Istoric_Nativ'!$P$6:$P$405,1,'Istoric_Nativ'!$D$6:$D$405,"&gt;="&amp;L1068),IF(H1068="AWAY",SUMIFS('Istoric_Nativ'!$G$6:$G$405,'Istoric_Nativ'!$B$6:$B$405,E1068,'Istoric_Nativ'!$C$6:$C$405,F1068,'Istoric_Nativ'!$F$6:$F$405,G1068,'Istoric_Nativ'!$D$6:$D$405,"&lt;"&amp;J1068,'Istoric_Nativ'!$P$6:$P$405,1,'Istoric_Nativ'!$D$6:$D$405,"&gt;="&amp;L1068),SUMIFS('Istoric_Nativ'!$H$6:$H$405,'Istoric_Nativ'!$B$6:$B$405,E1068,'Istoric_Nativ'!$C$6:$C$405,F1068,'Istoric_Nativ'!$E$6:$E$405,G1068,'Istoric_Nativ'!$D$6:$D$405,"&lt;"&amp;J1068,'Istoric_Nativ'!$P$6:$P$405,1,'Istoric_Nativ'!$D$6:$D$405,"&gt;="&amp;L1068)+SUMIFS('Istoric_Nativ'!$G$6:$G$405,'Istoric_Nativ'!$B$6:$B$405,E1068,'Istoric_Nativ'!$C$6:$C$405,F1068,'Istoric_Nativ'!$F$6:$F$405,G1068,'Istoric_Nativ'!$D$6:$D$405,"&lt;"&amp;J1068,'Istoric_Nativ'!$P$6:$P$405,1,'Istoric_Nativ'!$D$6:$D$405,"&gt;="&amp;L1068)))/M1068)</x:f>
      </x:c>
      <x:c r="P1068" s="2" t="n">
        <x:f>'Config_v6'!$B$7</x:f>
        <x:v>10</x:v>
      </x:c>
      <x:c r="Q1068" s="2" t="n">
        <x:f>IF(OR(B1068="",F1068=""),0,IFERROR(MATCH(E1068&amp;"|"&amp;F1068,SourceTable[Source_Key],0),0))</x:f>
        <x:v>0</x:v>
      </x:c>
      <x:c r="R1068" s="2" t="str">
        <x:f>IF(B1068="","",IF(F1068="","UNUSED",IF(Q1068=0,"NOT CHECKED",IF(COUNTIF(SourceTable[Source_Key],E1068&amp;"|"&amp;F1068)&lt;&gt;1,"SOURCE CONFLICT",IF(NOT(OR(INDEX(SourceTable[Status],MAX(1,Q1068))="IMPORTED",INDEX(SourceTable[Status],MAX(1,Q1068))="PARTIAL",INDEX(SourceTable[Status],MAX(1,Q1068))="SOURCE CONFLICT")),"ACCESS BLOCKED",IF(OR(INDEX(SourceTable[Coverage],Q1068)&lt;&gt;"FULL SEASON EXPORT",INDEX(SourceTable[URL],Q1068)="",INDEX(SourceTable[SHA256],Q1068)=""),"EVIDENCE INCOMPLETE",IF(AND('Input_Meci'!H94="LIVE",INDEX(SourceTable[Retrieved_UTC],Q1068)&gt;'Input_Meci'!G94),"POST CUTOFF","CLOSED")))))))</x:f>
      </x:c>
      <x:c r="S1068" s="2" t="n">
        <x:f>IF(OR(B1068="",F1068=""),0,COUNTIFS('Istoric_Nativ'!$B$6:$B$405,E1068,'Istoric_Nativ'!$C$6:$C$405,F1068,'Istoric_Nativ'!$E$6:$E$405,G1068,'Istoric_Nativ'!$D$6:$D$405,"&lt;"&amp;J1068,'Istoric_Nativ'!$O$6:$O$405,"INVALID")+COUNTIFS('Istoric_Nativ'!$B$6:$B$405,E1068,'Istoric_Nativ'!$C$6:$C$405,F1068,'Istoric_Nativ'!$E$6:$E$405,G1068,'Istoric_Nativ'!$O$6:$O$405,"INVALID",'Istoric_Nativ'!$D$6:$D$405,"*")+COUNTIFS('Istoric_Nativ'!$B$6:$B$405,E1068,'Istoric_Nativ'!$C$6:$C$405,F1068,'Istoric_Nativ'!$E$6:$E$405,G1068,'Istoric_Nativ'!$D$6:$D$405,"&lt;"&amp;J1068,'Istoric_Nativ'!$O$6:$O$405,"SOURCE CONFLICT")+COUNTIFS('Istoric_Nativ'!$B$6:$B$405,E1068,'Istoric_Nativ'!$C$6:$C$405,F1068,'Istoric_Nativ'!$F$6:$F$405,G1068,'Istoric_Nativ'!$D$6:$D$405,"&lt;"&amp;J1068,'Istoric_Nativ'!$O$6:$O$405,"INVALID")+COUNTIFS('Istoric_Nativ'!$B$6:$B$405,E1068,'Istoric_Nativ'!$C$6:$C$405,F1068,'Istoric_Nativ'!$F$6:$F$405,G1068,'Istoric_Nativ'!$O$6:$O$405,"INVALID",'Istoric_Nativ'!$D$6:$D$405,"*")+COUNTIFS('Istoric_Nativ'!$B$6:$B$405,E1068,'Istoric_Nativ'!$C$6:$C$405,F1068,'Istoric_Nativ'!$F$6:$F$405,G1068,'Istoric_Nativ'!$D$6:$D$405,"&lt;"&amp;J1068,'Istoric_Nativ'!$O$6:$O$405,"SOURCE CONFLICT"))</x:f>
        <x:v>0</x:v>
      </x:c>
      <x:c r="T1068" s="2" t="str">
        <x:f>IF(B1068="","",IF(R1068&lt;&gt;"CLOSED",R1068,IF(S1068&gt;0,"NATIVE INPUT ISSUE",IF(M1068=0,"NO HISTORY",IF(M1068&lt;P1068,"SMALL SAMPLE","DERIVED")))))</x:f>
      </x:c>
      <x:c r="U1068" s="2" t="str">
        <x:f>IF(B1068="","","NativeTable; "&amp;E1068&amp;"; "&amp;F1068&amp;"; "&amp;G1068&amp;"; "&amp;H1068&amp;"; before "&amp;TEXT(J1068,"yyyy-mm-dd")&amp;IF(I1068="RECENT","; from "&amp;TEXT(L1068,"yyyy-mm-dd"),""))</x:f>
      </x:c>
    </x:row>
    <x:row r="1069" ht="21" customHeight="1">
      <x:c r="A1069" s="2" t="n">
        <x:v>89</x:v>
      </x:c>
      <x:c r="B1069" s="2" t="str">
        <x:f>IF('Input_Meci'!A94="","",'Input_Meci'!A94)</x:f>
      </x:c>
      <x:c r="C1069" s="2" t="str">
        <x:v>H</x:v>
      </x:c>
      <x:c r="D1069" s="2" t="str">
        <x:v>PRIOR</x:v>
      </x:c>
      <x:c r="E1069" s="2" t="str">
        <x:f>IF(B1069="","",'Input_Meci'!B94)</x:f>
      </x:c>
      <x:c r="F1069" s="2" t="str">
        <x:f>IF(B1069="","",IF('Input_Meci'!K94="","",'Input_Meci'!K94))</x:f>
      </x:c>
      <x:c r="G1069" s="2" t="str">
        <x:f>IF(B1069="","",'Input_Meci'!D94)</x:f>
      </x:c>
      <x:c r="H1069" s="2" t="str">
        <x:v>HOME</x:v>
      </x:c>
      <x:c r="I1069" s="2" t="str">
        <x:v>HA</x:v>
      </x:c>
      <x:c r="J1069" s="9" t="n">
        <x:f>IF(AND(B1069&lt;&gt;"",ISNUMBER('Input_Meci'!G94)),INT('Input_Meci'!G94),0)</x:f>
        <x:v>0</x:v>
      </x:c>
      <x:c r="K1069" s="2" t="n">
        <x:f>IF(OR(B1069="",F1069=""),0,IF(H1069="HOME",COUNTIFS('Istoric_Nativ'!$B$6:$B$405,E1069,'Istoric_Nativ'!$C$6:$C$405,F1069,'Istoric_Nativ'!$E$6:$E$405,G1069,'Istoric_Nativ'!$D$6:$D$405,"&lt;"&amp;J1069,'Istoric_Nativ'!$P$6:$P$405,1),IF(H1069="AWAY",COUNTIFS('Istoric_Nativ'!$B$6:$B$405,E1069,'Istoric_Nativ'!$C$6:$C$405,F1069,'Istoric_Nativ'!$F$6:$F$405,G1069,'Istoric_Nativ'!$D$6:$D$405,"&lt;"&amp;J1069,'Istoric_Nativ'!$P$6:$P$405,1),COUNTIFS('Istoric_Nativ'!$B$6:$B$405,E1069,'Istoric_Nativ'!$C$6:$C$405,F1069,'Istoric_Nativ'!$E$6:$E$405,G1069,'Istoric_Nativ'!$D$6:$D$405,"&lt;"&amp;J1069,'Istoric_Nativ'!$P$6:$P$405,1)+COUNTIFS('Istoric_Nativ'!$B$6:$B$405,E1069,'Istoric_Nativ'!$C$6:$C$405,F1069,'Istoric_Nativ'!$F$6:$F$405,G1069,'Istoric_Nativ'!$D$6:$D$405,"&lt;"&amp;J1069,'Istoric_Nativ'!$P$6:$P$405,1))))</x:f>
        <x:v>0</x:v>
      </x:c>
      <x:c r="L1069" s="17" t="n">
        <x:f>IF(AND(B1069&lt;&gt;"",I1069="RECENT",K1069&gt;0),LARGE(_xlfn._xlws.FILTER('Istoric_Nativ'!$D$6:$D$405,('Istoric_Nativ'!$B$6:$B$405=E1069)*('Istoric_Nativ'!$C$6:$C$405=F1069)*('Istoric_Nativ'!$P$6:$P$405=1)*('Istoric_Nativ'!$D$6:$D$405&lt;J1069)*((('Istoric_Nativ'!$E$6:$E$405=G1069)+('Istoric_Nativ'!$F$6:$F$405=G1069))&gt;0)),MIN('Config_v6'!$B$54,K1069)),0)</x:f>
        <x:v>0</x:v>
      </x:c>
      <x:c r="M1069" s="2" t="n">
        <x:f>IF(OR(B1069="",F1069=""),0,IF(H1069="HOME",COUNTIFS('Istoric_Nativ'!$B$6:$B$405,E1069,'Istoric_Nativ'!$C$6:$C$405,F1069,'Istoric_Nativ'!$E$6:$E$405,G1069,'Istoric_Nativ'!$D$6:$D$405,"&lt;"&amp;J1069,'Istoric_Nativ'!$P$6:$P$405,1,'Istoric_Nativ'!$D$6:$D$405,"&gt;="&amp;L1069),IF(H1069="AWAY",COUNTIFS('Istoric_Nativ'!$B$6:$B$405,E1069,'Istoric_Nativ'!$C$6:$C$405,F1069,'Istoric_Nativ'!$F$6:$F$405,G1069,'Istoric_Nativ'!$D$6:$D$405,"&lt;"&amp;J1069,'Istoric_Nativ'!$P$6:$P$405,1,'Istoric_Nativ'!$D$6:$D$405,"&gt;="&amp;L1069),COUNTIFS('Istoric_Nativ'!$B$6:$B$405,E1069,'Istoric_Nativ'!$C$6:$C$405,F1069,'Istoric_Nativ'!$E$6:$E$405,G1069,'Istoric_Nativ'!$D$6:$D$405,"&lt;"&amp;J1069,'Istoric_Nativ'!$P$6:$P$405,1,'Istoric_Nativ'!$D$6:$D$405,"&gt;="&amp;L1069)+COUNTIFS('Istoric_Nativ'!$B$6:$B$405,E1069,'Istoric_Nativ'!$C$6:$C$405,F1069,'Istoric_Nativ'!$F$6:$F$405,G1069,'Istoric_Nativ'!$D$6:$D$405,"&lt;"&amp;J1069,'Istoric_Nativ'!$P$6:$P$405,1,'Istoric_Nativ'!$D$6:$D$405,"&gt;="&amp;L1069))))</x:f>
        <x:v>0</x:v>
      </x:c>
      <x:c r="N1069" s="11" t="str">
        <x:f>IF(M1069=0,"",IF(H1069="HOME",SUMIFS('Istoric_Nativ'!$G$6:$G$405,'Istoric_Nativ'!$B$6:$B$405,E1069,'Istoric_Nativ'!$C$6:$C$405,F1069,'Istoric_Nativ'!$E$6:$E$405,G1069,'Istoric_Nativ'!$D$6:$D$405,"&lt;"&amp;J1069,'Istoric_Nativ'!$P$6:$P$405,1,'Istoric_Nativ'!$D$6:$D$405,"&gt;="&amp;L1069),IF(H1069="AWAY",SUMIFS('Istoric_Nativ'!$H$6:$H$405,'Istoric_Nativ'!$B$6:$B$405,E1069,'Istoric_Nativ'!$C$6:$C$405,F1069,'Istoric_Nativ'!$F$6:$F$405,G1069,'Istoric_Nativ'!$D$6:$D$405,"&lt;"&amp;J1069,'Istoric_Nativ'!$P$6:$P$405,1,'Istoric_Nativ'!$D$6:$D$405,"&gt;="&amp;L1069),SUMIFS('Istoric_Nativ'!$G$6:$G$405,'Istoric_Nativ'!$B$6:$B$405,E1069,'Istoric_Nativ'!$C$6:$C$405,F1069,'Istoric_Nativ'!$E$6:$E$405,G1069,'Istoric_Nativ'!$D$6:$D$405,"&lt;"&amp;J1069,'Istoric_Nativ'!$P$6:$P$405,1,'Istoric_Nativ'!$D$6:$D$405,"&gt;="&amp;L1069)+SUMIFS('Istoric_Nativ'!$H$6:$H$405,'Istoric_Nativ'!$B$6:$B$405,E1069,'Istoric_Nativ'!$C$6:$C$405,F1069,'Istoric_Nativ'!$F$6:$F$405,G1069,'Istoric_Nativ'!$D$6:$D$405,"&lt;"&amp;J1069,'Istoric_Nativ'!$P$6:$P$405,1,'Istoric_Nativ'!$D$6:$D$405,"&gt;="&amp;L1069)))/M1069)</x:f>
      </x:c>
      <x:c r="O1069" s="11" t="str">
        <x:f>IF(M1069=0,"",IF(H1069="HOME",SUMIFS('Istoric_Nativ'!$H$6:$H$405,'Istoric_Nativ'!$B$6:$B$405,E1069,'Istoric_Nativ'!$C$6:$C$405,F1069,'Istoric_Nativ'!$E$6:$E$405,G1069,'Istoric_Nativ'!$D$6:$D$405,"&lt;"&amp;J1069,'Istoric_Nativ'!$P$6:$P$405,1,'Istoric_Nativ'!$D$6:$D$405,"&gt;="&amp;L1069),IF(H1069="AWAY",SUMIFS('Istoric_Nativ'!$G$6:$G$405,'Istoric_Nativ'!$B$6:$B$405,E1069,'Istoric_Nativ'!$C$6:$C$405,F1069,'Istoric_Nativ'!$F$6:$F$405,G1069,'Istoric_Nativ'!$D$6:$D$405,"&lt;"&amp;J1069,'Istoric_Nativ'!$P$6:$P$405,1,'Istoric_Nativ'!$D$6:$D$405,"&gt;="&amp;L1069),SUMIFS('Istoric_Nativ'!$H$6:$H$405,'Istoric_Nativ'!$B$6:$B$405,E1069,'Istoric_Nativ'!$C$6:$C$405,F1069,'Istoric_Nativ'!$E$6:$E$405,G1069,'Istoric_Nativ'!$D$6:$D$405,"&lt;"&amp;J1069,'Istoric_Nativ'!$P$6:$P$405,1,'Istoric_Nativ'!$D$6:$D$405,"&gt;="&amp;L1069)+SUMIFS('Istoric_Nativ'!$G$6:$G$405,'Istoric_Nativ'!$B$6:$B$405,E1069,'Istoric_Nativ'!$C$6:$C$405,F1069,'Istoric_Nativ'!$F$6:$F$405,G1069,'Istoric_Nativ'!$D$6:$D$405,"&lt;"&amp;J1069,'Istoric_Nativ'!$P$6:$P$405,1,'Istoric_Nativ'!$D$6:$D$405,"&gt;="&amp;L1069)))/M1069)</x:f>
      </x:c>
      <x:c r="P1069" s="2" t="n">
        <x:f>'Config_v6'!$B$8</x:f>
        <x:v>5</x:v>
      </x:c>
      <x:c r="Q1069" s="2" t="n">
        <x:f>IF(OR(B1069="",F1069=""),0,IFERROR(MATCH(E1069&amp;"|"&amp;F1069,SourceTable[Source_Key],0),0))</x:f>
        <x:v>0</x:v>
      </x:c>
      <x:c r="R1069" s="2" t="str">
        <x:f>IF(B1069="","",IF(F1069="","UNUSED",IF(Q1069=0,"NOT CHECKED",IF(COUNTIF(SourceTable[Source_Key],E1069&amp;"|"&amp;F1069)&lt;&gt;1,"SOURCE CONFLICT",IF(NOT(OR(INDEX(SourceTable[Status],MAX(1,Q1069))="IMPORTED",INDEX(SourceTable[Status],MAX(1,Q1069))="PARTIAL",INDEX(SourceTable[Status],MAX(1,Q1069))="SOURCE CONFLICT")),"ACCESS BLOCKED",IF(OR(INDEX(SourceTable[Coverage],Q1069)&lt;&gt;"FULL SEASON EXPORT",INDEX(SourceTable[URL],Q1069)="",INDEX(SourceTable[SHA256],Q1069)=""),"EVIDENCE INCOMPLETE",IF(AND('Input_Meci'!H94="LIVE",INDEX(SourceTable[Retrieved_UTC],Q1069)&gt;'Input_Meci'!G94),"POST CUTOFF","CLOSED")))))))</x:f>
      </x:c>
      <x:c r="S1069" s="2" t="n">
        <x:f>IF(OR(B1069="",F1069=""),0,COUNTIFS('Istoric_Nativ'!$B$6:$B$405,E1069,'Istoric_Nativ'!$C$6:$C$405,F1069,'Istoric_Nativ'!$E$6:$E$405,G1069,'Istoric_Nativ'!$D$6:$D$405,"&lt;"&amp;J1069,'Istoric_Nativ'!$O$6:$O$405,"INVALID")+COUNTIFS('Istoric_Nativ'!$B$6:$B$405,E1069,'Istoric_Nativ'!$C$6:$C$405,F1069,'Istoric_Nativ'!$E$6:$E$405,G1069,'Istoric_Nativ'!$O$6:$O$405,"INVALID",'Istoric_Nativ'!$D$6:$D$405,"*")+COUNTIFS('Istoric_Nativ'!$B$6:$B$405,E1069,'Istoric_Nativ'!$C$6:$C$405,F1069,'Istoric_Nativ'!$E$6:$E$405,G1069,'Istoric_Nativ'!$D$6:$D$405,"&lt;"&amp;J1069,'Istoric_Nativ'!$O$6:$O$405,"SOURCE CONFLICT")+COUNTIFS('Istoric_Nativ'!$B$6:$B$405,E1069,'Istoric_Nativ'!$C$6:$C$405,F1069,'Istoric_Nativ'!$F$6:$F$405,G1069,'Istoric_Nativ'!$D$6:$D$405,"&lt;"&amp;J1069,'Istoric_Nativ'!$O$6:$O$405,"INVALID")+COUNTIFS('Istoric_Nativ'!$B$6:$B$405,E1069,'Istoric_Nativ'!$C$6:$C$405,F1069,'Istoric_Nativ'!$F$6:$F$405,G1069,'Istoric_Nativ'!$O$6:$O$405,"INVALID",'Istoric_Nativ'!$D$6:$D$405,"*")+COUNTIFS('Istoric_Nativ'!$B$6:$B$405,E1069,'Istoric_Nativ'!$C$6:$C$405,F1069,'Istoric_Nativ'!$F$6:$F$405,G1069,'Istoric_Nativ'!$D$6:$D$405,"&lt;"&amp;J1069,'Istoric_Nativ'!$O$6:$O$405,"SOURCE CONFLICT"))</x:f>
        <x:v>0</x:v>
      </x:c>
      <x:c r="T1069" s="2" t="str">
        <x:f>IF(B1069="","",IF(R1069&lt;&gt;"CLOSED",R1069,IF(S1069&gt;0,"NATIVE INPUT ISSUE",IF(M1069=0,"NO HISTORY",IF(M1069&lt;P1069,"SMALL SAMPLE","DERIVED")))))</x:f>
      </x:c>
      <x:c r="U1069" s="2" t="str">
        <x:f>IF(B1069="","","NativeTable; "&amp;E1069&amp;"; "&amp;F1069&amp;"; "&amp;G1069&amp;"; "&amp;H1069&amp;"; before "&amp;TEXT(J1069,"yyyy-mm-dd")&amp;IF(I1069="RECENT","; from "&amp;TEXT(L1069,"yyyy-mm-dd"),""))</x:f>
      </x:c>
    </x:row>
    <x:row r="1070" ht="21" customHeight="1">
      <x:c r="A1070" s="2" t="n">
        <x:v>89</x:v>
      </x:c>
      <x:c r="B1070" s="2" t="str">
        <x:f>IF('Input_Meci'!A94="","",'Input_Meci'!A94)</x:f>
      </x:c>
      <x:c r="C1070" s="2" t="str">
        <x:v>H</x:v>
      </x:c>
      <x:c r="D1070" s="2" t="str">
        <x:v>PRIOR</x:v>
      </x:c>
      <x:c r="E1070" s="2" t="str">
        <x:f>IF(B1070="","",'Input_Meci'!B94)</x:f>
      </x:c>
      <x:c r="F1070" s="2" t="str">
        <x:f>IF(B1070="","",IF('Input_Meci'!K94="","",'Input_Meci'!K94))</x:f>
      </x:c>
      <x:c r="G1070" s="2" t="str">
        <x:f>IF(B1070="","",'Input_Meci'!D94)</x:f>
      </x:c>
      <x:c r="H1070" s="2" t="str">
        <x:v>ANY</x:v>
      </x:c>
      <x:c r="I1070" s="2" t="str">
        <x:v>RECENT</x:v>
      </x:c>
      <x:c r="J1070" s="9" t="n">
        <x:f>IF(AND(B1070&lt;&gt;"",ISNUMBER('Input_Meci'!G94)),INT('Input_Meci'!G94),0)</x:f>
        <x:v>0</x:v>
      </x:c>
      <x:c r="K1070" s="2" t="n">
        <x:f>IF(OR(B1070="",F1070=""),0,IF(H1070="HOME",COUNTIFS('Istoric_Nativ'!$B$6:$B$405,E1070,'Istoric_Nativ'!$C$6:$C$405,F1070,'Istoric_Nativ'!$E$6:$E$405,G1070,'Istoric_Nativ'!$D$6:$D$405,"&lt;"&amp;J1070,'Istoric_Nativ'!$P$6:$P$405,1),IF(H1070="AWAY",COUNTIFS('Istoric_Nativ'!$B$6:$B$405,E1070,'Istoric_Nativ'!$C$6:$C$405,F1070,'Istoric_Nativ'!$F$6:$F$405,G1070,'Istoric_Nativ'!$D$6:$D$405,"&lt;"&amp;J1070,'Istoric_Nativ'!$P$6:$P$405,1),COUNTIFS('Istoric_Nativ'!$B$6:$B$405,E1070,'Istoric_Nativ'!$C$6:$C$405,F1070,'Istoric_Nativ'!$E$6:$E$405,G1070,'Istoric_Nativ'!$D$6:$D$405,"&lt;"&amp;J1070,'Istoric_Nativ'!$P$6:$P$405,1)+COUNTIFS('Istoric_Nativ'!$B$6:$B$405,E1070,'Istoric_Nativ'!$C$6:$C$405,F1070,'Istoric_Nativ'!$F$6:$F$405,G1070,'Istoric_Nativ'!$D$6:$D$405,"&lt;"&amp;J1070,'Istoric_Nativ'!$P$6:$P$405,1))))</x:f>
        <x:v>0</x:v>
      </x:c>
      <x:c r="L1070" s="17" t="n">
        <x:f>IF(AND(B1070&lt;&gt;"",I1070="RECENT",K1070&gt;0),LARGE(_xlfn._xlws.FILTER('Istoric_Nativ'!$D$6:$D$405,('Istoric_Nativ'!$B$6:$B$405=E1070)*('Istoric_Nativ'!$C$6:$C$405=F1070)*('Istoric_Nativ'!$P$6:$P$405=1)*('Istoric_Nativ'!$D$6:$D$405&lt;J1070)*((('Istoric_Nativ'!$E$6:$E$405=G1070)+('Istoric_Nativ'!$F$6:$F$405=G1070))&gt;0)),MIN('Config_v6'!$B$54,K1070)),0)</x:f>
        <x:v>0</x:v>
      </x:c>
      <x:c r="M1070" s="2" t="n">
        <x:f>IF(OR(B1070="",F1070=""),0,IF(H1070="HOME",COUNTIFS('Istoric_Nativ'!$B$6:$B$405,E1070,'Istoric_Nativ'!$C$6:$C$405,F1070,'Istoric_Nativ'!$E$6:$E$405,G1070,'Istoric_Nativ'!$D$6:$D$405,"&lt;"&amp;J1070,'Istoric_Nativ'!$P$6:$P$405,1,'Istoric_Nativ'!$D$6:$D$405,"&gt;="&amp;L1070),IF(H1070="AWAY",COUNTIFS('Istoric_Nativ'!$B$6:$B$405,E1070,'Istoric_Nativ'!$C$6:$C$405,F1070,'Istoric_Nativ'!$F$6:$F$405,G1070,'Istoric_Nativ'!$D$6:$D$405,"&lt;"&amp;J1070,'Istoric_Nativ'!$P$6:$P$405,1,'Istoric_Nativ'!$D$6:$D$405,"&gt;="&amp;L1070),COUNTIFS('Istoric_Nativ'!$B$6:$B$405,E1070,'Istoric_Nativ'!$C$6:$C$405,F1070,'Istoric_Nativ'!$E$6:$E$405,G1070,'Istoric_Nativ'!$D$6:$D$405,"&lt;"&amp;J1070,'Istoric_Nativ'!$P$6:$P$405,1,'Istoric_Nativ'!$D$6:$D$405,"&gt;="&amp;L1070)+COUNTIFS('Istoric_Nativ'!$B$6:$B$405,E1070,'Istoric_Nativ'!$C$6:$C$405,F1070,'Istoric_Nativ'!$F$6:$F$405,G1070,'Istoric_Nativ'!$D$6:$D$405,"&lt;"&amp;J1070,'Istoric_Nativ'!$P$6:$P$405,1,'Istoric_Nativ'!$D$6:$D$405,"&gt;="&amp;L1070))))</x:f>
        <x:v>0</x:v>
      </x:c>
      <x:c r="N1070" s="11" t="str">
        <x:f>IF(M1070=0,"",IF(H1070="HOME",SUMIFS('Istoric_Nativ'!$G$6:$G$405,'Istoric_Nativ'!$B$6:$B$405,E1070,'Istoric_Nativ'!$C$6:$C$405,F1070,'Istoric_Nativ'!$E$6:$E$405,G1070,'Istoric_Nativ'!$D$6:$D$405,"&lt;"&amp;J1070,'Istoric_Nativ'!$P$6:$P$405,1,'Istoric_Nativ'!$D$6:$D$405,"&gt;="&amp;L1070),IF(H1070="AWAY",SUMIFS('Istoric_Nativ'!$H$6:$H$405,'Istoric_Nativ'!$B$6:$B$405,E1070,'Istoric_Nativ'!$C$6:$C$405,F1070,'Istoric_Nativ'!$F$6:$F$405,G1070,'Istoric_Nativ'!$D$6:$D$405,"&lt;"&amp;J1070,'Istoric_Nativ'!$P$6:$P$405,1,'Istoric_Nativ'!$D$6:$D$405,"&gt;="&amp;L1070),SUMIFS('Istoric_Nativ'!$G$6:$G$405,'Istoric_Nativ'!$B$6:$B$405,E1070,'Istoric_Nativ'!$C$6:$C$405,F1070,'Istoric_Nativ'!$E$6:$E$405,G1070,'Istoric_Nativ'!$D$6:$D$405,"&lt;"&amp;J1070,'Istoric_Nativ'!$P$6:$P$405,1,'Istoric_Nativ'!$D$6:$D$405,"&gt;="&amp;L1070)+SUMIFS('Istoric_Nativ'!$H$6:$H$405,'Istoric_Nativ'!$B$6:$B$405,E1070,'Istoric_Nativ'!$C$6:$C$405,F1070,'Istoric_Nativ'!$F$6:$F$405,G1070,'Istoric_Nativ'!$D$6:$D$405,"&lt;"&amp;J1070,'Istoric_Nativ'!$P$6:$P$405,1,'Istoric_Nativ'!$D$6:$D$405,"&gt;="&amp;L1070)))/M1070)</x:f>
      </x:c>
      <x:c r="O1070" s="11" t="str">
        <x:f>IF(M1070=0,"",IF(H1070="HOME",SUMIFS('Istoric_Nativ'!$H$6:$H$405,'Istoric_Nativ'!$B$6:$B$405,E1070,'Istoric_Nativ'!$C$6:$C$405,F1070,'Istoric_Nativ'!$E$6:$E$405,G1070,'Istoric_Nativ'!$D$6:$D$405,"&lt;"&amp;J1070,'Istoric_Nativ'!$P$6:$P$405,1,'Istoric_Nativ'!$D$6:$D$405,"&gt;="&amp;L1070),IF(H1070="AWAY",SUMIFS('Istoric_Nativ'!$G$6:$G$405,'Istoric_Nativ'!$B$6:$B$405,E1070,'Istoric_Nativ'!$C$6:$C$405,F1070,'Istoric_Nativ'!$F$6:$F$405,G1070,'Istoric_Nativ'!$D$6:$D$405,"&lt;"&amp;J1070,'Istoric_Nativ'!$P$6:$P$405,1,'Istoric_Nativ'!$D$6:$D$405,"&gt;="&amp;L1070),SUMIFS('Istoric_Nativ'!$H$6:$H$405,'Istoric_Nativ'!$B$6:$B$405,E1070,'Istoric_Nativ'!$C$6:$C$405,F1070,'Istoric_Nativ'!$E$6:$E$405,G1070,'Istoric_Nativ'!$D$6:$D$405,"&lt;"&amp;J1070,'Istoric_Nativ'!$P$6:$P$405,1,'Istoric_Nativ'!$D$6:$D$405,"&gt;="&amp;L1070)+SUMIFS('Istoric_Nativ'!$G$6:$G$405,'Istoric_Nativ'!$B$6:$B$405,E1070,'Istoric_Nativ'!$C$6:$C$405,F1070,'Istoric_Nativ'!$F$6:$F$405,G1070,'Istoric_Nativ'!$D$6:$D$405,"&lt;"&amp;J1070,'Istoric_Nativ'!$P$6:$P$405,1,'Istoric_Nativ'!$D$6:$D$405,"&gt;="&amp;L1070)))/M1070)</x:f>
      </x:c>
      <x:c r="P1070" s="2" t="n">
        <x:f>'Config_v6'!$B$9</x:f>
        <x:v>3</x:v>
      </x:c>
      <x:c r="Q1070" s="2" t="n">
        <x:f>IF(OR(B1070="",F1070=""),0,IFERROR(MATCH(E1070&amp;"|"&amp;F1070,SourceTable[Source_Key],0),0))</x:f>
        <x:v>0</x:v>
      </x:c>
      <x:c r="R1070" s="2" t="str">
        <x:f>IF(B1070="","",IF(F1070="","UNUSED",IF(Q1070=0,"NOT CHECKED",IF(COUNTIF(SourceTable[Source_Key],E1070&amp;"|"&amp;F1070)&lt;&gt;1,"SOURCE CONFLICT",IF(NOT(OR(INDEX(SourceTable[Status],MAX(1,Q1070))="IMPORTED",INDEX(SourceTable[Status],MAX(1,Q1070))="PARTIAL",INDEX(SourceTable[Status],MAX(1,Q1070))="SOURCE CONFLICT")),"ACCESS BLOCKED",IF(OR(INDEX(SourceTable[Coverage],Q1070)&lt;&gt;"FULL SEASON EXPORT",INDEX(SourceTable[URL],Q1070)="",INDEX(SourceTable[SHA256],Q1070)=""),"EVIDENCE INCOMPLETE",IF(AND('Input_Meci'!H94="LIVE",INDEX(SourceTable[Retrieved_UTC],Q1070)&gt;'Input_Meci'!G94),"POST CUTOFF","CLOSED")))))))</x:f>
      </x:c>
      <x:c r="S1070" s="2" t="n">
        <x:f>IF(OR(B1070="",F1070=""),0,COUNTIFS('Istoric_Nativ'!$B$6:$B$405,E1070,'Istoric_Nativ'!$C$6:$C$405,F1070,'Istoric_Nativ'!$E$6:$E$405,G1070,'Istoric_Nativ'!$D$6:$D$405,"&lt;"&amp;J1070,'Istoric_Nativ'!$O$6:$O$405,"INVALID")+COUNTIFS('Istoric_Nativ'!$B$6:$B$405,E1070,'Istoric_Nativ'!$C$6:$C$405,F1070,'Istoric_Nativ'!$E$6:$E$405,G1070,'Istoric_Nativ'!$O$6:$O$405,"INVALID",'Istoric_Nativ'!$D$6:$D$405,"*")+COUNTIFS('Istoric_Nativ'!$B$6:$B$405,E1070,'Istoric_Nativ'!$C$6:$C$405,F1070,'Istoric_Nativ'!$E$6:$E$405,G1070,'Istoric_Nativ'!$D$6:$D$405,"&lt;"&amp;J1070,'Istoric_Nativ'!$O$6:$O$405,"SOURCE CONFLICT")+COUNTIFS('Istoric_Nativ'!$B$6:$B$405,E1070,'Istoric_Nativ'!$C$6:$C$405,F1070,'Istoric_Nativ'!$F$6:$F$405,G1070,'Istoric_Nativ'!$D$6:$D$405,"&lt;"&amp;J1070,'Istoric_Nativ'!$O$6:$O$405,"INVALID")+COUNTIFS('Istoric_Nativ'!$B$6:$B$405,E1070,'Istoric_Nativ'!$C$6:$C$405,F1070,'Istoric_Nativ'!$F$6:$F$405,G1070,'Istoric_Nativ'!$O$6:$O$405,"INVALID",'Istoric_Nativ'!$D$6:$D$405,"*")+COUNTIFS('Istoric_Nativ'!$B$6:$B$405,E1070,'Istoric_Nativ'!$C$6:$C$405,F1070,'Istoric_Nativ'!$F$6:$F$405,G1070,'Istoric_Nativ'!$D$6:$D$405,"&lt;"&amp;J1070,'Istoric_Nativ'!$O$6:$O$405,"SOURCE CONFLICT"))</x:f>
        <x:v>0</x:v>
      </x:c>
      <x:c r="T1070" s="2" t="str">
        <x:f>IF(B1070="","",IF(R1070&lt;&gt;"CLOSED",R1070,IF(S1070&gt;0,"NATIVE INPUT ISSUE",IF(M1070=0,"NO HISTORY",IF(M1070&lt;P1070,"SMALL SAMPLE","DERIVED")))))</x:f>
      </x:c>
      <x:c r="U1070" s="2" t="str">
        <x:f>IF(B1070="","","NativeTable; "&amp;E1070&amp;"; "&amp;F1070&amp;"; "&amp;G1070&amp;"; "&amp;H1070&amp;"; before "&amp;TEXT(J1070,"yyyy-mm-dd")&amp;IF(I1070="RECENT","; from "&amp;TEXT(L1070,"yyyy-mm-dd"),""))</x:f>
      </x:c>
    </x:row>
    <x:row r="1071" ht="21" customHeight="1">
      <x:c r="A1071" s="2" t="n">
        <x:v>89</x:v>
      </x:c>
      <x:c r="B1071" s="2" t="str">
        <x:f>IF('Input_Meci'!A94="","",'Input_Meci'!A94)</x:f>
      </x:c>
      <x:c r="C1071" s="2" t="str">
        <x:v>A</x:v>
      </x:c>
      <x:c r="D1071" s="2" t="str">
        <x:v>PRIOR</x:v>
      </x:c>
      <x:c r="E1071" s="2" t="str">
        <x:f>IF(B1071="","",'Input_Meci'!B94)</x:f>
      </x:c>
      <x:c r="F1071" s="2" t="str">
        <x:f>IF(B1071="","",IF('Input_Meci'!K94="","",'Input_Meci'!K94))</x:f>
      </x:c>
      <x:c r="G1071" s="2" t="str">
        <x:f>IF(B1071="","",'Input_Meci'!E94)</x:f>
      </x:c>
      <x:c r="H1071" s="2" t="str">
        <x:v>ANY</x:v>
      </x:c>
      <x:c r="I1071" s="2" t="str">
        <x:v>SEASON</x:v>
      </x:c>
      <x:c r="J1071" s="9" t="n">
        <x:f>IF(AND(B1071&lt;&gt;"",ISNUMBER('Input_Meci'!G94)),INT('Input_Meci'!G94),0)</x:f>
        <x:v>0</x:v>
      </x:c>
      <x:c r="K1071" s="2" t="n">
        <x:f>IF(OR(B1071="",F1071=""),0,IF(H1071="HOME",COUNTIFS('Istoric_Nativ'!$B$6:$B$405,E1071,'Istoric_Nativ'!$C$6:$C$405,F1071,'Istoric_Nativ'!$E$6:$E$405,G1071,'Istoric_Nativ'!$D$6:$D$405,"&lt;"&amp;J1071,'Istoric_Nativ'!$P$6:$P$405,1),IF(H1071="AWAY",COUNTIFS('Istoric_Nativ'!$B$6:$B$405,E1071,'Istoric_Nativ'!$C$6:$C$405,F1071,'Istoric_Nativ'!$F$6:$F$405,G1071,'Istoric_Nativ'!$D$6:$D$405,"&lt;"&amp;J1071,'Istoric_Nativ'!$P$6:$P$405,1),COUNTIFS('Istoric_Nativ'!$B$6:$B$405,E1071,'Istoric_Nativ'!$C$6:$C$405,F1071,'Istoric_Nativ'!$E$6:$E$405,G1071,'Istoric_Nativ'!$D$6:$D$405,"&lt;"&amp;J1071,'Istoric_Nativ'!$P$6:$P$405,1)+COUNTIFS('Istoric_Nativ'!$B$6:$B$405,E1071,'Istoric_Nativ'!$C$6:$C$405,F1071,'Istoric_Nativ'!$F$6:$F$405,G1071,'Istoric_Nativ'!$D$6:$D$405,"&lt;"&amp;J1071,'Istoric_Nativ'!$P$6:$P$405,1))))</x:f>
        <x:v>0</x:v>
      </x:c>
      <x:c r="L1071" s="17" t="n">
        <x:f>IF(AND(B1071&lt;&gt;"",I1071="RECENT",K1071&gt;0),LARGE(_xlfn._xlws.FILTER('Istoric_Nativ'!$D$6:$D$405,('Istoric_Nativ'!$B$6:$B$405=E1071)*('Istoric_Nativ'!$C$6:$C$405=F1071)*('Istoric_Nativ'!$P$6:$P$405=1)*('Istoric_Nativ'!$D$6:$D$405&lt;J1071)*((('Istoric_Nativ'!$E$6:$E$405=G1071)+('Istoric_Nativ'!$F$6:$F$405=G1071))&gt;0)),MIN('Config_v6'!$B$54,K1071)),0)</x:f>
        <x:v>0</x:v>
      </x:c>
      <x:c r="M1071" s="2" t="n">
        <x:f>IF(OR(B1071="",F1071=""),0,IF(H1071="HOME",COUNTIFS('Istoric_Nativ'!$B$6:$B$405,E1071,'Istoric_Nativ'!$C$6:$C$405,F1071,'Istoric_Nativ'!$E$6:$E$405,G1071,'Istoric_Nativ'!$D$6:$D$405,"&lt;"&amp;J1071,'Istoric_Nativ'!$P$6:$P$405,1,'Istoric_Nativ'!$D$6:$D$405,"&gt;="&amp;L1071),IF(H1071="AWAY",COUNTIFS('Istoric_Nativ'!$B$6:$B$405,E1071,'Istoric_Nativ'!$C$6:$C$405,F1071,'Istoric_Nativ'!$F$6:$F$405,G1071,'Istoric_Nativ'!$D$6:$D$405,"&lt;"&amp;J1071,'Istoric_Nativ'!$P$6:$P$405,1,'Istoric_Nativ'!$D$6:$D$405,"&gt;="&amp;L1071),COUNTIFS('Istoric_Nativ'!$B$6:$B$405,E1071,'Istoric_Nativ'!$C$6:$C$405,F1071,'Istoric_Nativ'!$E$6:$E$405,G1071,'Istoric_Nativ'!$D$6:$D$405,"&lt;"&amp;J1071,'Istoric_Nativ'!$P$6:$P$405,1,'Istoric_Nativ'!$D$6:$D$405,"&gt;="&amp;L1071)+COUNTIFS('Istoric_Nativ'!$B$6:$B$405,E1071,'Istoric_Nativ'!$C$6:$C$405,F1071,'Istoric_Nativ'!$F$6:$F$405,G1071,'Istoric_Nativ'!$D$6:$D$405,"&lt;"&amp;J1071,'Istoric_Nativ'!$P$6:$P$405,1,'Istoric_Nativ'!$D$6:$D$405,"&gt;="&amp;L1071))))</x:f>
        <x:v>0</x:v>
      </x:c>
      <x:c r="N1071" s="11" t="str">
        <x:f>IF(M1071=0,"",IF(H1071="HOME",SUMIFS('Istoric_Nativ'!$G$6:$G$405,'Istoric_Nativ'!$B$6:$B$405,E1071,'Istoric_Nativ'!$C$6:$C$405,F1071,'Istoric_Nativ'!$E$6:$E$405,G1071,'Istoric_Nativ'!$D$6:$D$405,"&lt;"&amp;J1071,'Istoric_Nativ'!$P$6:$P$405,1,'Istoric_Nativ'!$D$6:$D$405,"&gt;="&amp;L1071),IF(H1071="AWAY",SUMIFS('Istoric_Nativ'!$H$6:$H$405,'Istoric_Nativ'!$B$6:$B$405,E1071,'Istoric_Nativ'!$C$6:$C$405,F1071,'Istoric_Nativ'!$F$6:$F$405,G1071,'Istoric_Nativ'!$D$6:$D$405,"&lt;"&amp;J1071,'Istoric_Nativ'!$P$6:$P$405,1,'Istoric_Nativ'!$D$6:$D$405,"&gt;="&amp;L1071),SUMIFS('Istoric_Nativ'!$G$6:$G$405,'Istoric_Nativ'!$B$6:$B$405,E1071,'Istoric_Nativ'!$C$6:$C$405,F1071,'Istoric_Nativ'!$E$6:$E$405,G1071,'Istoric_Nativ'!$D$6:$D$405,"&lt;"&amp;J1071,'Istoric_Nativ'!$P$6:$P$405,1,'Istoric_Nativ'!$D$6:$D$405,"&gt;="&amp;L1071)+SUMIFS('Istoric_Nativ'!$H$6:$H$405,'Istoric_Nativ'!$B$6:$B$405,E1071,'Istoric_Nativ'!$C$6:$C$405,F1071,'Istoric_Nativ'!$F$6:$F$405,G1071,'Istoric_Nativ'!$D$6:$D$405,"&lt;"&amp;J1071,'Istoric_Nativ'!$P$6:$P$405,1,'Istoric_Nativ'!$D$6:$D$405,"&gt;="&amp;L1071)))/M1071)</x:f>
      </x:c>
      <x:c r="O1071" s="11" t="str">
        <x:f>IF(M1071=0,"",IF(H1071="HOME",SUMIFS('Istoric_Nativ'!$H$6:$H$405,'Istoric_Nativ'!$B$6:$B$405,E1071,'Istoric_Nativ'!$C$6:$C$405,F1071,'Istoric_Nativ'!$E$6:$E$405,G1071,'Istoric_Nativ'!$D$6:$D$405,"&lt;"&amp;J1071,'Istoric_Nativ'!$P$6:$P$405,1,'Istoric_Nativ'!$D$6:$D$405,"&gt;="&amp;L1071),IF(H1071="AWAY",SUMIFS('Istoric_Nativ'!$G$6:$G$405,'Istoric_Nativ'!$B$6:$B$405,E1071,'Istoric_Nativ'!$C$6:$C$405,F1071,'Istoric_Nativ'!$F$6:$F$405,G1071,'Istoric_Nativ'!$D$6:$D$405,"&lt;"&amp;J1071,'Istoric_Nativ'!$P$6:$P$405,1,'Istoric_Nativ'!$D$6:$D$405,"&gt;="&amp;L1071),SUMIFS('Istoric_Nativ'!$H$6:$H$405,'Istoric_Nativ'!$B$6:$B$405,E1071,'Istoric_Nativ'!$C$6:$C$405,F1071,'Istoric_Nativ'!$E$6:$E$405,G1071,'Istoric_Nativ'!$D$6:$D$405,"&lt;"&amp;J1071,'Istoric_Nativ'!$P$6:$P$405,1,'Istoric_Nativ'!$D$6:$D$405,"&gt;="&amp;L1071)+SUMIFS('Istoric_Nativ'!$G$6:$G$405,'Istoric_Nativ'!$B$6:$B$405,E1071,'Istoric_Nativ'!$C$6:$C$405,F1071,'Istoric_Nativ'!$F$6:$F$405,G1071,'Istoric_Nativ'!$D$6:$D$405,"&lt;"&amp;J1071,'Istoric_Nativ'!$P$6:$P$405,1,'Istoric_Nativ'!$D$6:$D$405,"&gt;="&amp;L1071)))/M1071)</x:f>
      </x:c>
      <x:c r="P1071" s="2" t="n">
        <x:f>'Config_v6'!$B$7</x:f>
        <x:v>10</x:v>
      </x:c>
      <x:c r="Q1071" s="2" t="n">
        <x:f>IF(OR(B1071="",F1071=""),0,IFERROR(MATCH(E1071&amp;"|"&amp;F1071,SourceTable[Source_Key],0),0))</x:f>
        <x:v>0</x:v>
      </x:c>
      <x:c r="R1071" s="2" t="str">
        <x:f>IF(B1071="","",IF(F1071="","UNUSED",IF(Q1071=0,"NOT CHECKED",IF(COUNTIF(SourceTable[Source_Key],E1071&amp;"|"&amp;F1071)&lt;&gt;1,"SOURCE CONFLICT",IF(NOT(OR(INDEX(SourceTable[Status],MAX(1,Q1071))="IMPORTED",INDEX(SourceTable[Status],MAX(1,Q1071))="PARTIAL",INDEX(SourceTable[Status],MAX(1,Q1071))="SOURCE CONFLICT")),"ACCESS BLOCKED",IF(OR(INDEX(SourceTable[Coverage],Q1071)&lt;&gt;"FULL SEASON EXPORT",INDEX(SourceTable[URL],Q1071)="",INDEX(SourceTable[SHA256],Q1071)=""),"EVIDENCE INCOMPLETE",IF(AND('Input_Meci'!H94="LIVE",INDEX(SourceTable[Retrieved_UTC],Q1071)&gt;'Input_Meci'!G94),"POST CUTOFF","CLOSED")))))))</x:f>
      </x:c>
      <x:c r="S1071" s="2" t="n">
        <x:f>IF(OR(B1071="",F1071=""),0,COUNTIFS('Istoric_Nativ'!$B$6:$B$405,E1071,'Istoric_Nativ'!$C$6:$C$405,F1071,'Istoric_Nativ'!$E$6:$E$405,G1071,'Istoric_Nativ'!$D$6:$D$405,"&lt;"&amp;J1071,'Istoric_Nativ'!$O$6:$O$405,"INVALID")+COUNTIFS('Istoric_Nativ'!$B$6:$B$405,E1071,'Istoric_Nativ'!$C$6:$C$405,F1071,'Istoric_Nativ'!$E$6:$E$405,G1071,'Istoric_Nativ'!$O$6:$O$405,"INVALID",'Istoric_Nativ'!$D$6:$D$405,"*")+COUNTIFS('Istoric_Nativ'!$B$6:$B$405,E1071,'Istoric_Nativ'!$C$6:$C$405,F1071,'Istoric_Nativ'!$E$6:$E$405,G1071,'Istoric_Nativ'!$D$6:$D$405,"&lt;"&amp;J1071,'Istoric_Nativ'!$O$6:$O$405,"SOURCE CONFLICT")+COUNTIFS('Istoric_Nativ'!$B$6:$B$405,E1071,'Istoric_Nativ'!$C$6:$C$405,F1071,'Istoric_Nativ'!$F$6:$F$405,G1071,'Istoric_Nativ'!$D$6:$D$405,"&lt;"&amp;J1071,'Istoric_Nativ'!$O$6:$O$405,"INVALID")+COUNTIFS('Istoric_Nativ'!$B$6:$B$405,E1071,'Istoric_Nativ'!$C$6:$C$405,F1071,'Istoric_Nativ'!$F$6:$F$405,G1071,'Istoric_Nativ'!$O$6:$O$405,"INVALID",'Istoric_Nativ'!$D$6:$D$405,"*")+COUNTIFS('Istoric_Nativ'!$B$6:$B$405,E1071,'Istoric_Nativ'!$C$6:$C$405,F1071,'Istoric_Nativ'!$F$6:$F$405,G1071,'Istoric_Nativ'!$D$6:$D$405,"&lt;"&amp;J1071,'Istoric_Nativ'!$O$6:$O$405,"SOURCE CONFLICT"))</x:f>
        <x:v>0</x:v>
      </x:c>
      <x:c r="T1071" s="2" t="str">
        <x:f>IF(B1071="","",IF(R1071&lt;&gt;"CLOSED",R1071,IF(S1071&gt;0,"NATIVE INPUT ISSUE",IF(M1071=0,"NO HISTORY",IF(M1071&lt;P1071,"SMALL SAMPLE","DERIVED")))))</x:f>
      </x:c>
      <x:c r="U1071" s="2" t="str">
        <x:f>IF(B1071="","","NativeTable; "&amp;E1071&amp;"; "&amp;F1071&amp;"; "&amp;G1071&amp;"; "&amp;H1071&amp;"; before "&amp;TEXT(J1071,"yyyy-mm-dd")&amp;IF(I1071="RECENT","; from "&amp;TEXT(L1071,"yyyy-mm-dd"),""))</x:f>
      </x:c>
    </x:row>
    <x:row r="1072" ht="21" customHeight="1">
      <x:c r="A1072" s="2" t="n">
        <x:v>89</x:v>
      </x:c>
      <x:c r="B1072" s="2" t="str">
        <x:f>IF('Input_Meci'!A94="","",'Input_Meci'!A94)</x:f>
      </x:c>
      <x:c r="C1072" s="2" t="str">
        <x:v>A</x:v>
      </x:c>
      <x:c r="D1072" s="2" t="str">
        <x:v>PRIOR</x:v>
      </x:c>
      <x:c r="E1072" s="2" t="str">
        <x:f>IF(B1072="","",'Input_Meci'!B94)</x:f>
      </x:c>
      <x:c r="F1072" s="2" t="str">
        <x:f>IF(B1072="","",IF('Input_Meci'!K94="","",'Input_Meci'!K94))</x:f>
      </x:c>
      <x:c r="G1072" s="2" t="str">
        <x:f>IF(B1072="","",'Input_Meci'!E94)</x:f>
      </x:c>
      <x:c r="H1072" s="2" t="str">
        <x:v>AWAY</x:v>
      </x:c>
      <x:c r="I1072" s="2" t="str">
        <x:v>HA</x:v>
      </x:c>
      <x:c r="J1072" s="9" t="n">
        <x:f>IF(AND(B1072&lt;&gt;"",ISNUMBER('Input_Meci'!G94)),INT('Input_Meci'!G94),0)</x:f>
        <x:v>0</x:v>
      </x:c>
      <x:c r="K1072" s="2" t="n">
        <x:f>IF(OR(B1072="",F1072=""),0,IF(H1072="HOME",COUNTIFS('Istoric_Nativ'!$B$6:$B$405,E1072,'Istoric_Nativ'!$C$6:$C$405,F1072,'Istoric_Nativ'!$E$6:$E$405,G1072,'Istoric_Nativ'!$D$6:$D$405,"&lt;"&amp;J1072,'Istoric_Nativ'!$P$6:$P$405,1),IF(H1072="AWAY",COUNTIFS('Istoric_Nativ'!$B$6:$B$405,E1072,'Istoric_Nativ'!$C$6:$C$405,F1072,'Istoric_Nativ'!$F$6:$F$405,G1072,'Istoric_Nativ'!$D$6:$D$405,"&lt;"&amp;J1072,'Istoric_Nativ'!$P$6:$P$405,1),COUNTIFS('Istoric_Nativ'!$B$6:$B$405,E1072,'Istoric_Nativ'!$C$6:$C$405,F1072,'Istoric_Nativ'!$E$6:$E$405,G1072,'Istoric_Nativ'!$D$6:$D$405,"&lt;"&amp;J1072,'Istoric_Nativ'!$P$6:$P$405,1)+COUNTIFS('Istoric_Nativ'!$B$6:$B$405,E1072,'Istoric_Nativ'!$C$6:$C$405,F1072,'Istoric_Nativ'!$F$6:$F$405,G1072,'Istoric_Nativ'!$D$6:$D$405,"&lt;"&amp;J1072,'Istoric_Nativ'!$P$6:$P$405,1))))</x:f>
        <x:v>0</x:v>
      </x:c>
      <x:c r="L1072" s="17" t="n">
        <x:f>IF(AND(B1072&lt;&gt;"",I1072="RECENT",K1072&gt;0),LARGE(_xlfn._xlws.FILTER('Istoric_Nativ'!$D$6:$D$405,('Istoric_Nativ'!$B$6:$B$405=E1072)*('Istoric_Nativ'!$C$6:$C$405=F1072)*('Istoric_Nativ'!$P$6:$P$405=1)*('Istoric_Nativ'!$D$6:$D$405&lt;J1072)*((('Istoric_Nativ'!$E$6:$E$405=G1072)+('Istoric_Nativ'!$F$6:$F$405=G1072))&gt;0)),MIN('Config_v6'!$B$54,K1072)),0)</x:f>
        <x:v>0</x:v>
      </x:c>
      <x:c r="M1072" s="2" t="n">
        <x:f>IF(OR(B1072="",F1072=""),0,IF(H1072="HOME",COUNTIFS('Istoric_Nativ'!$B$6:$B$405,E1072,'Istoric_Nativ'!$C$6:$C$405,F1072,'Istoric_Nativ'!$E$6:$E$405,G1072,'Istoric_Nativ'!$D$6:$D$405,"&lt;"&amp;J1072,'Istoric_Nativ'!$P$6:$P$405,1,'Istoric_Nativ'!$D$6:$D$405,"&gt;="&amp;L1072),IF(H1072="AWAY",COUNTIFS('Istoric_Nativ'!$B$6:$B$405,E1072,'Istoric_Nativ'!$C$6:$C$405,F1072,'Istoric_Nativ'!$F$6:$F$405,G1072,'Istoric_Nativ'!$D$6:$D$405,"&lt;"&amp;J1072,'Istoric_Nativ'!$P$6:$P$405,1,'Istoric_Nativ'!$D$6:$D$405,"&gt;="&amp;L1072),COUNTIFS('Istoric_Nativ'!$B$6:$B$405,E1072,'Istoric_Nativ'!$C$6:$C$405,F1072,'Istoric_Nativ'!$E$6:$E$405,G1072,'Istoric_Nativ'!$D$6:$D$405,"&lt;"&amp;J1072,'Istoric_Nativ'!$P$6:$P$405,1,'Istoric_Nativ'!$D$6:$D$405,"&gt;="&amp;L1072)+COUNTIFS('Istoric_Nativ'!$B$6:$B$405,E1072,'Istoric_Nativ'!$C$6:$C$405,F1072,'Istoric_Nativ'!$F$6:$F$405,G1072,'Istoric_Nativ'!$D$6:$D$405,"&lt;"&amp;J1072,'Istoric_Nativ'!$P$6:$P$405,1,'Istoric_Nativ'!$D$6:$D$405,"&gt;="&amp;L1072))))</x:f>
        <x:v>0</x:v>
      </x:c>
      <x:c r="N1072" s="11" t="str">
        <x:f>IF(M1072=0,"",IF(H1072="HOME",SUMIFS('Istoric_Nativ'!$G$6:$G$405,'Istoric_Nativ'!$B$6:$B$405,E1072,'Istoric_Nativ'!$C$6:$C$405,F1072,'Istoric_Nativ'!$E$6:$E$405,G1072,'Istoric_Nativ'!$D$6:$D$405,"&lt;"&amp;J1072,'Istoric_Nativ'!$P$6:$P$405,1,'Istoric_Nativ'!$D$6:$D$405,"&gt;="&amp;L1072),IF(H1072="AWAY",SUMIFS('Istoric_Nativ'!$H$6:$H$405,'Istoric_Nativ'!$B$6:$B$405,E1072,'Istoric_Nativ'!$C$6:$C$405,F1072,'Istoric_Nativ'!$F$6:$F$405,G1072,'Istoric_Nativ'!$D$6:$D$405,"&lt;"&amp;J1072,'Istoric_Nativ'!$P$6:$P$405,1,'Istoric_Nativ'!$D$6:$D$405,"&gt;="&amp;L1072),SUMIFS('Istoric_Nativ'!$G$6:$G$405,'Istoric_Nativ'!$B$6:$B$405,E1072,'Istoric_Nativ'!$C$6:$C$405,F1072,'Istoric_Nativ'!$E$6:$E$405,G1072,'Istoric_Nativ'!$D$6:$D$405,"&lt;"&amp;J1072,'Istoric_Nativ'!$P$6:$P$405,1,'Istoric_Nativ'!$D$6:$D$405,"&gt;="&amp;L1072)+SUMIFS('Istoric_Nativ'!$H$6:$H$405,'Istoric_Nativ'!$B$6:$B$405,E1072,'Istoric_Nativ'!$C$6:$C$405,F1072,'Istoric_Nativ'!$F$6:$F$405,G1072,'Istoric_Nativ'!$D$6:$D$405,"&lt;"&amp;J1072,'Istoric_Nativ'!$P$6:$P$405,1,'Istoric_Nativ'!$D$6:$D$405,"&gt;="&amp;L1072)))/M1072)</x:f>
      </x:c>
      <x:c r="O1072" s="11" t="str">
        <x:f>IF(M1072=0,"",IF(H1072="HOME",SUMIFS('Istoric_Nativ'!$H$6:$H$405,'Istoric_Nativ'!$B$6:$B$405,E1072,'Istoric_Nativ'!$C$6:$C$405,F1072,'Istoric_Nativ'!$E$6:$E$405,G1072,'Istoric_Nativ'!$D$6:$D$405,"&lt;"&amp;J1072,'Istoric_Nativ'!$P$6:$P$405,1,'Istoric_Nativ'!$D$6:$D$405,"&gt;="&amp;L1072),IF(H1072="AWAY",SUMIFS('Istoric_Nativ'!$G$6:$G$405,'Istoric_Nativ'!$B$6:$B$405,E1072,'Istoric_Nativ'!$C$6:$C$405,F1072,'Istoric_Nativ'!$F$6:$F$405,G1072,'Istoric_Nativ'!$D$6:$D$405,"&lt;"&amp;J1072,'Istoric_Nativ'!$P$6:$P$405,1,'Istoric_Nativ'!$D$6:$D$405,"&gt;="&amp;L1072),SUMIFS('Istoric_Nativ'!$H$6:$H$405,'Istoric_Nativ'!$B$6:$B$405,E1072,'Istoric_Nativ'!$C$6:$C$405,F1072,'Istoric_Nativ'!$E$6:$E$405,G1072,'Istoric_Nativ'!$D$6:$D$405,"&lt;"&amp;J1072,'Istoric_Nativ'!$P$6:$P$405,1,'Istoric_Nativ'!$D$6:$D$405,"&gt;="&amp;L1072)+SUMIFS('Istoric_Nativ'!$G$6:$G$405,'Istoric_Nativ'!$B$6:$B$405,E1072,'Istoric_Nativ'!$C$6:$C$405,F1072,'Istoric_Nativ'!$F$6:$F$405,G1072,'Istoric_Nativ'!$D$6:$D$405,"&lt;"&amp;J1072,'Istoric_Nativ'!$P$6:$P$405,1,'Istoric_Nativ'!$D$6:$D$405,"&gt;="&amp;L1072)))/M1072)</x:f>
      </x:c>
      <x:c r="P1072" s="2" t="n">
        <x:f>'Config_v6'!$B$8</x:f>
        <x:v>5</x:v>
      </x:c>
      <x:c r="Q1072" s="2" t="n">
        <x:f>IF(OR(B1072="",F1072=""),0,IFERROR(MATCH(E1072&amp;"|"&amp;F1072,SourceTable[Source_Key],0),0))</x:f>
        <x:v>0</x:v>
      </x:c>
      <x:c r="R1072" s="2" t="str">
        <x:f>IF(B1072="","",IF(F1072="","UNUSED",IF(Q1072=0,"NOT CHECKED",IF(COUNTIF(SourceTable[Source_Key],E1072&amp;"|"&amp;F1072)&lt;&gt;1,"SOURCE CONFLICT",IF(NOT(OR(INDEX(SourceTable[Status],MAX(1,Q1072))="IMPORTED",INDEX(SourceTable[Status],MAX(1,Q1072))="PARTIAL",INDEX(SourceTable[Status],MAX(1,Q1072))="SOURCE CONFLICT")),"ACCESS BLOCKED",IF(OR(INDEX(SourceTable[Coverage],Q1072)&lt;&gt;"FULL SEASON EXPORT",INDEX(SourceTable[URL],Q1072)="",INDEX(SourceTable[SHA256],Q1072)=""),"EVIDENCE INCOMPLETE",IF(AND('Input_Meci'!H94="LIVE",INDEX(SourceTable[Retrieved_UTC],Q1072)&gt;'Input_Meci'!G94),"POST CUTOFF","CLOSED")))))))</x:f>
      </x:c>
      <x:c r="S1072" s="2" t="n">
        <x:f>IF(OR(B1072="",F1072=""),0,COUNTIFS('Istoric_Nativ'!$B$6:$B$405,E1072,'Istoric_Nativ'!$C$6:$C$405,F1072,'Istoric_Nativ'!$E$6:$E$405,G1072,'Istoric_Nativ'!$D$6:$D$405,"&lt;"&amp;J1072,'Istoric_Nativ'!$O$6:$O$405,"INVALID")+COUNTIFS('Istoric_Nativ'!$B$6:$B$405,E1072,'Istoric_Nativ'!$C$6:$C$405,F1072,'Istoric_Nativ'!$E$6:$E$405,G1072,'Istoric_Nativ'!$O$6:$O$405,"INVALID",'Istoric_Nativ'!$D$6:$D$405,"*")+COUNTIFS('Istoric_Nativ'!$B$6:$B$405,E1072,'Istoric_Nativ'!$C$6:$C$405,F1072,'Istoric_Nativ'!$E$6:$E$405,G1072,'Istoric_Nativ'!$D$6:$D$405,"&lt;"&amp;J1072,'Istoric_Nativ'!$O$6:$O$405,"SOURCE CONFLICT")+COUNTIFS('Istoric_Nativ'!$B$6:$B$405,E1072,'Istoric_Nativ'!$C$6:$C$405,F1072,'Istoric_Nativ'!$F$6:$F$405,G1072,'Istoric_Nativ'!$D$6:$D$405,"&lt;"&amp;J1072,'Istoric_Nativ'!$O$6:$O$405,"INVALID")+COUNTIFS('Istoric_Nativ'!$B$6:$B$405,E1072,'Istoric_Nativ'!$C$6:$C$405,F1072,'Istoric_Nativ'!$F$6:$F$405,G1072,'Istoric_Nativ'!$O$6:$O$405,"INVALID",'Istoric_Nativ'!$D$6:$D$405,"*")+COUNTIFS('Istoric_Nativ'!$B$6:$B$405,E1072,'Istoric_Nativ'!$C$6:$C$405,F1072,'Istoric_Nativ'!$F$6:$F$405,G1072,'Istoric_Nativ'!$D$6:$D$405,"&lt;"&amp;J1072,'Istoric_Nativ'!$O$6:$O$405,"SOURCE CONFLICT"))</x:f>
        <x:v>0</x:v>
      </x:c>
      <x:c r="T1072" s="2" t="str">
        <x:f>IF(B1072="","",IF(R1072&lt;&gt;"CLOSED",R1072,IF(S1072&gt;0,"NATIVE INPUT ISSUE",IF(M1072=0,"NO HISTORY",IF(M1072&lt;P1072,"SMALL SAMPLE","DERIVED")))))</x:f>
      </x:c>
      <x:c r="U1072" s="2" t="str">
        <x:f>IF(B1072="","","NativeTable; "&amp;E1072&amp;"; "&amp;F1072&amp;"; "&amp;G1072&amp;"; "&amp;H1072&amp;"; before "&amp;TEXT(J1072,"yyyy-mm-dd")&amp;IF(I1072="RECENT","; from "&amp;TEXT(L1072,"yyyy-mm-dd"),""))</x:f>
      </x:c>
    </x:row>
    <x:row r="1073" ht="21" customHeight="1">
      <x:c r="A1073" s="2" t="n">
        <x:v>89</x:v>
      </x:c>
      <x:c r="B1073" s="2" t="str">
        <x:f>IF('Input_Meci'!A94="","",'Input_Meci'!A94)</x:f>
      </x:c>
      <x:c r="C1073" s="2" t="str">
        <x:v>A</x:v>
      </x:c>
      <x:c r="D1073" s="2" t="str">
        <x:v>PRIOR</x:v>
      </x:c>
      <x:c r="E1073" s="2" t="str">
        <x:f>IF(B1073="","",'Input_Meci'!B94)</x:f>
      </x:c>
      <x:c r="F1073" s="2" t="str">
        <x:f>IF(B1073="","",IF('Input_Meci'!K94="","",'Input_Meci'!K94))</x:f>
      </x:c>
      <x:c r="G1073" s="2" t="str">
        <x:f>IF(B1073="","",'Input_Meci'!E94)</x:f>
      </x:c>
      <x:c r="H1073" s="2" t="str">
        <x:v>ANY</x:v>
      </x:c>
      <x:c r="I1073" s="2" t="str">
        <x:v>RECENT</x:v>
      </x:c>
      <x:c r="J1073" s="9" t="n">
        <x:f>IF(AND(B1073&lt;&gt;"",ISNUMBER('Input_Meci'!G94)),INT('Input_Meci'!G94),0)</x:f>
        <x:v>0</x:v>
      </x:c>
      <x:c r="K1073" s="2" t="n">
        <x:f>IF(OR(B1073="",F1073=""),0,IF(H1073="HOME",COUNTIFS('Istoric_Nativ'!$B$6:$B$405,E1073,'Istoric_Nativ'!$C$6:$C$405,F1073,'Istoric_Nativ'!$E$6:$E$405,G1073,'Istoric_Nativ'!$D$6:$D$405,"&lt;"&amp;J1073,'Istoric_Nativ'!$P$6:$P$405,1),IF(H1073="AWAY",COUNTIFS('Istoric_Nativ'!$B$6:$B$405,E1073,'Istoric_Nativ'!$C$6:$C$405,F1073,'Istoric_Nativ'!$F$6:$F$405,G1073,'Istoric_Nativ'!$D$6:$D$405,"&lt;"&amp;J1073,'Istoric_Nativ'!$P$6:$P$405,1),COUNTIFS('Istoric_Nativ'!$B$6:$B$405,E1073,'Istoric_Nativ'!$C$6:$C$405,F1073,'Istoric_Nativ'!$E$6:$E$405,G1073,'Istoric_Nativ'!$D$6:$D$405,"&lt;"&amp;J1073,'Istoric_Nativ'!$P$6:$P$405,1)+COUNTIFS('Istoric_Nativ'!$B$6:$B$405,E1073,'Istoric_Nativ'!$C$6:$C$405,F1073,'Istoric_Nativ'!$F$6:$F$405,G1073,'Istoric_Nativ'!$D$6:$D$405,"&lt;"&amp;J1073,'Istoric_Nativ'!$P$6:$P$405,1))))</x:f>
        <x:v>0</x:v>
      </x:c>
      <x:c r="L1073" s="17" t="n">
        <x:f>IF(AND(B1073&lt;&gt;"",I1073="RECENT",K1073&gt;0),LARGE(_xlfn._xlws.FILTER('Istoric_Nativ'!$D$6:$D$405,('Istoric_Nativ'!$B$6:$B$405=E1073)*('Istoric_Nativ'!$C$6:$C$405=F1073)*('Istoric_Nativ'!$P$6:$P$405=1)*('Istoric_Nativ'!$D$6:$D$405&lt;J1073)*((('Istoric_Nativ'!$E$6:$E$405=G1073)+('Istoric_Nativ'!$F$6:$F$405=G1073))&gt;0)),MIN('Config_v6'!$B$54,K1073)),0)</x:f>
        <x:v>0</x:v>
      </x:c>
      <x:c r="M1073" s="2" t="n">
        <x:f>IF(OR(B1073="",F1073=""),0,IF(H1073="HOME",COUNTIFS('Istoric_Nativ'!$B$6:$B$405,E1073,'Istoric_Nativ'!$C$6:$C$405,F1073,'Istoric_Nativ'!$E$6:$E$405,G1073,'Istoric_Nativ'!$D$6:$D$405,"&lt;"&amp;J1073,'Istoric_Nativ'!$P$6:$P$405,1,'Istoric_Nativ'!$D$6:$D$405,"&gt;="&amp;L1073),IF(H1073="AWAY",COUNTIFS('Istoric_Nativ'!$B$6:$B$405,E1073,'Istoric_Nativ'!$C$6:$C$405,F1073,'Istoric_Nativ'!$F$6:$F$405,G1073,'Istoric_Nativ'!$D$6:$D$405,"&lt;"&amp;J1073,'Istoric_Nativ'!$P$6:$P$405,1,'Istoric_Nativ'!$D$6:$D$405,"&gt;="&amp;L1073),COUNTIFS('Istoric_Nativ'!$B$6:$B$405,E1073,'Istoric_Nativ'!$C$6:$C$405,F1073,'Istoric_Nativ'!$E$6:$E$405,G1073,'Istoric_Nativ'!$D$6:$D$405,"&lt;"&amp;J1073,'Istoric_Nativ'!$P$6:$P$405,1,'Istoric_Nativ'!$D$6:$D$405,"&gt;="&amp;L1073)+COUNTIFS('Istoric_Nativ'!$B$6:$B$405,E1073,'Istoric_Nativ'!$C$6:$C$405,F1073,'Istoric_Nativ'!$F$6:$F$405,G1073,'Istoric_Nativ'!$D$6:$D$405,"&lt;"&amp;J1073,'Istoric_Nativ'!$P$6:$P$405,1,'Istoric_Nativ'!$D$6:$D$405,"&gt;="&amp;L1073))))</x:f>
        <x:v>0</x:v>
      </x:c>
      <x:c r="N1073" s="11" t="str">
        <x:f>IF(M1073=0,"",IF(H1073="HOME",SUMIFS('Istoric_Nativ'!$G$6:$G$405,'Istoric_Nativ'!$B$6:$B$405,E1073,'Istoric_Nativ'!$C$6:$C$405,F1073,'Istoric_Nativ'!$E$6:$E$405,G1073,'Istoric_Nativ'!$D$6:$D$405,"&lt;"&amp;J1073,'Istoric_Nativ'!$P$6:$P$405,1,'Istoric_Nativ'!$D$6:$D$405,"&gt;="&amp;L1073),IF(H1073="AWAY",SUMIFS('Istoric_Nativ'!$H$6:$H$405,'Istoric_Nativ'!$B$6:$B$405,E1073,'Istoric_Nativ'!$C$6:$C$405,F1073,'Istoric_Nativ'!$F$6:$F$405,G1073,'Istoric_Nativ'!$D$6:$D$405,"&lt;"&amp;J1073,'Istoric_Nativ'!$P$6:$P$405,1,'Istoric_Nativ'!$D$6:$D$405,"&gt;="&amp;L1073),SUMIFS('Istoric_Nativ'!$G$6:$G$405,'Istoric_Nativ'!$B$6:$B$405,E1073,'Istoric_Nativ'!$C$6:$C$405,F1073,'Istoric_Nativ'!$E$6:$E$405,G1073,'Istoric_Nativ'!$D$6:$D$405,"&lt;"&amp;J1073,'Istoric_Nativ'!$P$6:$P$405,1,'Istoric_Nativ'!$D$6:$D$405,"&gt;="&amp;L1073)+SUMIFS('Istoric_Nativ'!$H$6:$H$405,'Istoric_Nativ'!$B$6:$B$405,E1073,'Istoric_Nativ'!$C$6:$C$405,F1073,'Istoric_Nativ'!$F$6:$F$405,G1073,'Istoric_Nativ'!$D$6:$D$405,"&lt;"&amp;J1073,'Istoric_Nativ'!$P$6:$P$405,1,'Istoric_Nativ'!$D$6:$D$405,"&gt;="&amp;L1073)))/M1073)</x:f>
      </x:c>
      <x:c r="O1073" s="11" t="str">
        <x:f>IF(M1073=0,"",IF(H1073="HOME",SUMIFS('Istoric_Nativ'!$H$6:$H$405,'Istoric_Nativ'!$B$6:$B$405,E1073,'Istoric_Nativ'!$C$6:$C$405,F1073,'Istoric_Nativ'!$E$6:$E$405,G1073,'Istoric_Nativ'!$D$6:$D$405,"&lt;"&amp;J1073,'Istoric_Nativ'!$P$6:$P$405,1,'Istoric_Nativ'!$D$6:$D$405,"&gt;="&amp;L1073),IF(H1073="AWAY",SUMIFS('Istoric_Nativ'!$G$6:$G$405,'Istoric_Nativ'!$B$6:$B$405,E1073,'Istoric_Nativ'!$C$6:$C$405,F1073,'Istoric_Nativ'!$F$6:$F$405,G1073,'Istoric_Nativ'!$D$6:$D$405,"&lt;"&amp;J1073,'Istoric_Nativ'!$P$6:$P$405,1,'Istoric_Nativ'!$D$6:$D$405,"&gt;="&amp;L1073),SUMIFS('Istoric_Nativ'!$H$6:$H$405,'Istoric_Nativ'!$B$6:$B$405,E1073,'Istoric_Nativ'!$C$6:$C$405,F1073,'Istoric_Nativ'!$E$6:$E$405,G1073,'Istoric_Nativ'!$D$6:$D$405,"&lt;"&amp;J1073,'Istoric_Nativ'!$P$6:$P$405,1,'Istoric_Nativ'!$D$6:$D$405,"&gt;="&amp;L1073)+SUMIFS('Istoric_Nativ'!$G$6:$G$405,'Istoric_Nativ'!$B$6:$B$405,E1073,'Istoric_Nativ'!$C$6:$C$405,F1073,'Istoric_Nativ'!$F$6:$F$405,G1073,'Istoric_Nativ'!$D$6:$D$405,"&lt;"&amp;J1073,'Istoric_Nativ'!$P$6:$P$405,1,'Istoric_Nativ'!$D$6:$D$405,"&gt;="&amp;L1073)))/M1073)</x:f>
      </x:c>
      <x:c r="P1073" s="2" t="n">
        <x:f>'Config_v6'!$B$9</x:f>
        <x:v>3</x:v>
      </x:c>
      <x:c r="Q1073" s="2" t="n">
        <x:f>IF(OR(B1073="",F1073=""),0,IFERROR(MATCH(E1073&amp;"|"&amp;F1073,SourceTable[Source_Key],0),0))</x:f>
        <x:v>0</x:v>
      </x:c>
      <x:c r="R1073" s="2" t="str">
        <x:f>IF(B1073="","",IF(F1073="","UNUSED",IF(Q1073=0,"NOT CHECKED",IF(COUNTIF(SourceTable[Source_Key],E1073&amp;"|"&amp;F1073)&lt;&gt;1,"SOURCE CONFLICT",IF(NOT(OR(INDEX(SourceTable[Status],MAX(1,Q1073))="IMPORTED",INDEX(SourceTable[Status],MAX(1,Q1073))="PARTIAL",INDEX(SourceTable[Status],MAX(1,Q1073))="SOURCE CONFLICT")),"ACCESS BLOCKED",IF(OR(INDEX(SourceTable[Coverage],Q1073)&lt;&gt;"FULL SEASON EXPORT",INDEX(SourceTable[URL],Q1073)="",INDEX(SourceTable[SHA256],Q1073)=""),"EVIDENCE INCOMPLETE",IF(AND('Input_Meci'!H94="LIVE",INDEX(SourceTable[Retrieved_UTC],Q1073)&gt;'Input_Meci'!G94),"POST CUTOFF","CLOSED")))))))</x:f>
      </x:c>
      <x:c r="S1073" s="2" t="n">
        <x:f>IF(OR(B1073="",F1073=""),0,COUNTIFS('Istoric_Nativ'!$B$6:$B$405,E1073,'Istoric_Nativ'!$C$6:$C$405,F1073,'Istoric_Nativ'!$E$6:$E$405,G1073,'Istoric_Nativ'!$D$6:$D$405,"&lt;"&amp;J1073,'Istoric_Nativ'!$O$6:$O$405,"INVALID")+COUNTIFS('Istoric_Nativ'!$B$6:$B$405,E1073,'Istoric_Nativ'!$C$6:$C$405,F1073,'Istoric_Nativ'!$E$6:$E$405,G1073,'Istoric_Nativ'!$O$6:$O$405,"INVALID",'Istoric_Nativ'!$D$6:$D$405,"*")+COUNTIFS('Istoric_Nativ'!$B$6:$B$405,E1073,'Istoric_Nativ'!$C$6:$C$405,F1073,'Istoric_Nativ'!$E$6:$E$405,G1073,'Istoric_Nativ'!$D$6:$D$405,"&lt;"&amp;J1073,'Istoric_Nativ'!$O$6:$O$405,"SOURCE CONFLICT")+COUNTIFS('Istoric_Nativ'!$B$6:$B$405,E1073,'Istoric_Nativ'!$C$6:$C$405,F1073,'Istoric_Nativ'!$F$6:$F$405,G1073,'Istoric_Nativ'!$D$6:$D$405,"&lt;"&amp;J1073,'Istoric_Nativ'!$O$6:$O$405,"INVALID")+COUNTIFS('Istoric_Nativ'!$B$6:$B$405,E1073,'Istoric_Nativ'!$C$6:$C$405,F1073,'Istoric_Nativ'!$F$6:$F$405,G1073,'Istoric_Nativ'!$O$6:$O$405,"INVALID",'Istoric_Nativ'!$D$6:$D$405,"*")+COUNTIFS('Istoric_Nativ'!$B$6:$B$405,E1073,'Istoric_Nativ'!$C$6:$C$405,F1073,'Istoric_Nativ'!$F$6:$F$405,G1073,'Istoric_Nativ'!$D$6:$D$405,"&lt;"&amp;J1073,'Istoric_Nativ'!$O$6:$O$405,"SOURCE CONFLICT"))</x:f>
        <x:v>0</x:v>
      </x:c>
      <x:c r="T1073" s="2" t="str">
        <x:f>IF(B1073="","",IF(R1073&lt;&gt;"CLOSED",R1073,IF(S1073&gt;0,"NATIVE INPUT ISSUE",IF(M1073=0,"NO HISTORY",IF(M1073&lt;P1073,"SMALL SAMPLE","DERIVED")))))</x:f>
      </x:c>
      <x:c r="U1073" s="2" t="str">
        <x:f>IF(B1073="","","NativeTable; "&amp;E1073&amp;"; "&amp;F1073&amp;"; "&amp;G1073&amp;"; "&amp;H1073&amp;"; before "&amp;TEXT(J1073,"yyyy-mm-dd")&amp;IF(I1073="RECENT","; from "&amp;TEXT(L1073,"yyyy-mm-dd"),""))</x:f>
      </x:c>
    </x:row>
    <x:row r="1074" ht="21" customHeight="1">
      <x:c r="A1074" s="2" t="n">
        <x:v>90</x:v>
      </x:c>
      <x:c r="B1074" s="2" t="str">
        <x:f>IF('Input_Meci'!A95="","",'Input_Meci'!A95)</x:f>
      </x:c>
      <x:c r="C1074" s="2" t="str">
        <x:v>H</x:v>
      </x:c>
      <x:c r="D1074" s="2" t="str">
        <x:v>CURRENT</x:v>
      </x:c>
      <x:c r="E1074" s="2" t="str">
        <x:f>IF(B1074="","",'Input_Meci'!B95)</x:f>
      </x:c>
      <x:c r="F1074" s="2" t="str">
        <x:f>IF(B1074="","",IF('Input_Meci'!C95="","",'Input_Meci'!C95))</x:f>
      </x:c>
      <x:c r="G1074" s="2" t="str">
        <x:f>IF(B1074="","",'Input_Meci'!D95)</x:f>
      </x:c>
      <x:c r="H1074" s="2" t="str">
        <x:v>ANY</x:v>
      </x:c>
      <x:c r="I1074" s="2" t="str">
        <x:v>SEASON</x:v>
      </x:c>
      <x:c r="J1074" s="9" t="n">
        <x:f>IF(AND(B1074&lt;&gt;"",ISNUMBER('Input_Meci'!G95)),INT('Input_Meci'!G95),0)</x:f>
        <x:v>0</x:v>
      </x:c>
      <x:c r="K1074" s="2" t="n">
        <x:f>IF(OR(B1074="",F1074=""),0,IF(H1074="HOME",COUNTIFS('Istoric_Nativ'!$B$6:$B$405,E1074,'Istoric_Nativ'!$C$6:$C$405,F1074,'Istoric_Nativ'!$E$6:$E$405,G1074,'Istoric_Nativ'!$D$6:$D$405,"&lt;"&amp;J1074,'Istoric_Nativ'!$P$6:$P$405,1),IF(H1074="AWAY",COUNTIFS('Istoric_Nativ'!$B$6:$B$405,E1074,'Istoric_Nativ'!$C$6:$C$405,F1074,'Istoric_Nativ'!$F$6:$F$405,G1074,'Istoric_Nativ'!$D$6:$D$405,"&lt;"&amp;J1074,'Istoric_Nativ'!$P$6:$P$405,1),COUNTIFS('Istoric_Nativ'!$B$6:$B$405,E1074,'Istoric_Nativ'!$C$6:$C$405,F1074,'Istoric_Nativ'!$E$6:$E$405,G1074,'Istoric_Nativ'!$D$6:$D$405,"&lt;"&amp;J1074,'Istoric_Nativ'!$P$6:$P$405,1)+COUNTIFS('Istoric_Nativ'!$B$6:$B$405,E1074,'Istoric_Nativ'!$C$6:$C$405,F1074,'Istoric_Nativ'!$F$6:$F$405,G1074,'Istoric_Nativ'!$D$6:$D$405,"&lt;"&amp;J1074,'Istoric_Nativ'!$P$6:$P$405,1))))</x:f>
        <x:v>0</x:v>
      </x:c>
      <x:c r="L1074" s="17" t="n">
        <x:f>IF(AND(B1074&lt;&gt;"",I1074="RECENT",K1074&gt;0),LARGE(_xlfn._xlws.FILTER('Istoric_Nativ'!$D$6:$D$405,('Istoric_Nativ'!$B$6:$B$405=E1074)*('Istoric_Nativ'!$C$6:$C$405=F1074)*('Istoric_Nativ'!$P$6:$P$405=1)*('Istoric_Nativ'!$D$6:$D$405&lt;J1074)*((('Istoric_Nativ'!$E$6:$E$405=G1074)+('Istoric_Nativ'!$F$6:$F$405=G1074))&gt;0)),MIN('Config_v6'!$B$54,K1074)),0)</x:f>
        <x:v>0</x:v>
      </x:c>
      <x:c r="M1074" s="2" t="n">
        <x:f>IF(OR(B1074="",F1074=""),0,IF(H1074="HOME",COUNTIFS('Istoric_Nativ'!$B$6:$B$405,E1074,'Istoric_Nativ'!$C$6:$C$405,F1074,'Istoric_Nativ'!$E$6:$E$405,G1074,'Istoric_Nativ'!$D$6:$D$405,"&lt;"&amp;J1074,'Istoric_Nativ'!$P$6:$P$405,1,'Istoric_Nativ'!$D$6:$D$405,"&gt;="&amp;L1074),IF(H1074="AWAY",COUNTIFS('Istoric_Nativ'!$B$6:$B$405,E1074,'Istoric_Nativ'!$C$6:$C$405,F1074,'Istoric_Nativ'!$F$6:$F$405,G1074,'Istoric_Nativ'!$D$6:$D$405,"&lt;"&amp;J1074,'Istoric_Nativ'!$P$6:$P$405,1,'Istoric_Nativ'!$D$6:$D$405,"&gt;="&amp;L1074),COUNTIFS('Istoric_Nativ'!$B$6:$B$405,E1074,'Istoric_Nativ'!$C$6:$C$405,F1074,'Istoric_Nativ'!$E$6:$E$405,G1074,'Istoric_Nativ'!$D$6:$D$405,"&lt;"&amp;J1074,'Istoric_Nativ'!$P$6:$P$405,1,'Istoric_Nativ'!$D$6:$D$405,"&gt;="&amp;L1074)+COUNTIFS('Istoric_Nativ'!$B$6:$B$405,E1074,'Istoric_Nativ'!$C$6:$C$405,F1074,'Istoric_Nativ'!$F$6:$F$405,G1074,'Istoric_Nativ'!$D$6:$D$405,"&lt;"&amp;J1074,'Istoric_Nativ'!$P$6:$P$405,1,'Istoric_Nativ'!$D$6:$D$405,"&gt;="&amp;L1074))))</x:f>
        <x:v>0</x:v>
      </x:c>
      <x:c r="N1074" s="11" t="str">
        <x:f>IF(M1074=0,"",IF(H1074="HOME",SUMIFS('Istoric_Nativ'!$G$6:$G$405,'Istoric_Nativ'!$B$6:$B$405,E1074,'Istoric_Nativ'!$C$6:$C$405,F1074,'Istoric_Nativ'!$E$6:$E$405,G1074,'Istoric_Nativ'!$D$6:$D$405,"&lt;"&amp;J1074,'Istoric_Nativ'!$P$6:$P$405,1,'Istoric_Nativ'!$D$6:$D$405,"&gt;="&amp;L1074),IF(H1074="AWAY",SUMIFS('Istoric_Nativ'!$H$6:$H$405,'Istoric_Nativ'!$B$6:$B$405,E1074,'Istoric_Nativ'!$C$6:$C$405,F1074,'Istoric_Nativ'!$F$6:$F$405,G1074,'Istoric_Nativ'!$D$6:$D$405,"&lt;"&amp;J1074,'Istoric_Nativ'!$P$6:$P$405,1,'Istoric_Nativ'!$D$6:$D$405,"&gt;="&amp;L1074),SUMIFS('Istoric_Nativ'!$G$6:$G$405,'Istoric_Nativ'!$B$6:$B$405,E1074,'Istoric_Nativ'!$C$6:$C$405,F1074,'Istoric_Nativ'!$E$6:$E$405,G1074,'Istoric_Nativ'!$D$6:$D$405,"&lt;"&amp;J1074,'Istoric_Nativ'!$P$6:$P$405,1,'Istoric_Nativ'!$D$6:$D$405,"&gt;="&amp;L1074)+SUMIFS('Istoric_Nativ'!$H$6:$H$405,'Istoric_Nativ'!$B$6:$B$405,E1074,'Istoric_Nativ'!$C$6:$C$405,F1074,'Istoric_Nativ'!$F$6:$F$405,G1074,'Istoric_Nativ'!$D$6:$D$405,"&lt;"&amp;J1074,'Istoric_Nativ'!$P$6:$P$405,1,'Istoric_Nativ'!$D$6:$D$405,"&gt;="&amp;L1074)))/M1074)</x:f>
      </x:c>
      <x:c r="O1074" s="11" t="str">
        <x:f>IF(M1074=0,"",IF(H1074="HOME",SUMIFS('Istoric_Nativ'!$H$6:$H$405,'Istoric_Nativ'!$B$6:$B$405,E1074,'Istoric_Nativ'!$C$6:$C$405,F1074,'Istoric_Nativ'!$E$6:$E$405,G1074,'Istoric_Nativ'!$D$6:$D$405,"&lt;"&amp;J1074,'Istoric_Nativ'!$P$6:$P$405,1,'Istoric_Nativ'!$D$6:$D$405,"&gt;="&amp;L1074),IF(H1074="AWAY",SUMIFS('Istoric_Nativ'!$G$6:$G$405,'Istoric_Nativ'!$B$6:$B$405,E1074,'Istoric_Nativ'!$C$6:$C$405,F1074,'Istoric_Nativ'!$F$6:$F$405,G1074,'Istoric_Nativ'!$D$6:$D$405,"&lt;"&amp;J1074,'Istoric_Nativ'!$P$6:$P$405,1,'Istoric_Nativ'!$D$6:$D$405,"&gt;="&amp;L1074),SUMIFS('Istoric_Nativ'!$H$6:$H$405,'Istoric_Nativ'!$B$6:$B$405,E1074,'Istoric_Nativ'!$C$6:$C$405,F1074,'Istoric_Nativ'!$E$6:$E$405,G1074,'Istoric_Nativ'!$D$6:$D$405,"&lt;"&amp;J1074,'Istoric_Nativ'!$P$6:$P$405,1,'Istoric_Nativ'!$D$6:$D$405,"&gt;="&amp;L1074)+SUMIFS('Istoric_Nativ'!$G$6:$G$405,'Istoric_Nativ'!$B$6:$B$405,E1074,'Istoric_Nativ'!$C$6:$C$405,F1074,'Istoric_Nativ'!$F$6:$F$405,G1074,'Istoric_Nativ'!$D$6:$D$405,"&lt;"&amp;J1074,'Istoric_Nativ'!$P$6:$P$405,1,'Istoric_Nativ'!$D$6:$D$405,"&gt;="&amp;L1074)))/M1074)</x:f>
      </x:c>
      <x:c r="P1074" s="2" t="n">
        <x:f>'Config_v6'!$B$7</x:f>
        <x:v>10</x:v>
      </x:c>
      <x:c r="Q1074" s="2" t="n">
        <x:f>IF(OR(B1074="",F1074=""),0,IFERROR(MATCH(E1074&amp;"|"&amp;F1074,SourceTable[Source_Key],0),0))</x:f>
        <x:v>0</x:v>
      </x:c>
      <x:c r="R1074" s="2" t="str">
        <x:f>IF(B1074="","",IF(F1074="","UNUSED",IF(Q1074=0,"NOT CHECKED",IF(COUNTIF(SourceTable[Source_Key],E1074&amp;"|"&amp;F1074)&lt;&gt;1,"SOURCE CONFLICT",IF(NOT(OR(INDEX(SourceTable[Status],MAX(1,Q1074))="IMPORTED",INDEX(SourceTable[Status],MAX(1,Q1074))="PARTIAL",INDEX(SourceTable[Status],MAX(1,Q1074))="SOURCE CONFLICT")),"ACCESS BLOCKED",IF(OR(INDEX(SourceTable[Coverage],Q1074)&lt;&gt;"FULL SEASON EXPORT",INDEX(SourceTable[URL],Q1074)="",INDEX(SourceTable[SHA256],Q1074)=""),"EVIDENCE INCOMPLETE",IF(AND('Input_Meci'!H95="LIVE",INDEX(SourceTable[Retrieved_UTC],Q1074)&gt;'Input_Meci'!G95),"POST CUTOFF","CLOSED")))))))</x:f>
      </x:c>
      <x:c r="S1074" s="2" t="n">
        <x:f>IF(OR(B1074="",F1074=""),0,COUNTIFS('Istoric_Nativ'!$B$6:$B$405,E1074,'Istoric_Nativ'!$C$6:$C$405,F1074,'Istoric_Nativ'!$E$6:$E$405,G1074,'Istoric_Nativ'!$D$6:$D$405,"&lt;"&amp;J1074,'Istoric_Nativ'!$O$6:$O$405,"INVALID")+COUNTIFS('Istoric_Nativ'!$B$6:$B$405,E1074,'Istoric_Nativ'!$C$6:$C$405,F1074,'Istoric_Nativ'!$E$6:$E$405,G1074,'Istoric_Nativ'!$O$6:$O$405,"INVALID",'Istoric_Nativ'!$D$6:$D$405,"*")+COUNTIFS('Istoric_Nativ'!$B$6:$B$405,E1074,'Istoric_Nativ'!$C$6:$C$405,F1074,'Istoric_Nativ'!$E$6:$E$405,G1074,'Istoric_Nativ'!$D$6:$D$405,"&lt;"&amp;J1074,'Istoric_Nativ'!$O$6:$O$405,"SOURCE CONFLICT")+COUNTIFS('Istoric_Nativ'!$B$6:$B$405,E1074,'Istoric_Nativ'!$C$6:$C$405,F1074,'Istoric_Nativ'!$F$6:$F$405,G1074,'Istoric_Nativ'!$D$6:$D$405,"&lt;"&amp;J1074,'Istoric_Nativ'!$O$6:$O$405,"INVALID")+COUNTIFS('Istoric_Nativ'!$B$6:$B$405,E1074,'Istoric_Nativ'!$C$6:$C$405,F1074,'Istoric_Nativ'!$F$6:$F$405,G1074,'Istoric_Nativ'!$O$6:$O$405,"INVALID",'Istoric_Nativ'!$D$6:$D$405,"*")+COUNTIFS('Istoric_Nativ'!$B$6:$B$405,E1074,'Istoric_Nativ'!$C$6:$C$405,F1074,'Istoric_Nativ'!$F$6:$F$405,G1074,'Istoric_Nativ'!$D$6:$D$405,"&lt;"&amp;J1074,'Istoric_Nativ'!$O$6:$O$405,"SOURCE CONFLICT"))</x:f>
        <x:v>0</x:v>
      </x:c>
      <x:c r="T1074" s="2" t="str">
        <x:f>IF(B1074="","",IF(R1074&lt;&gt;"CLOSED",R1074,IF(S1074&gt;0,"NATIVE INPUT ISSUE",IF(M1074=0,"NO HISTORY",IF(M1074&lt;P1074,"SMALL SAMPLE","DERIVED")))))</x:f>
      </x:c>
      <x:c r="U1074" s="2" t="str">
        <x:f>IF(B1074="","","NativeTable; "&amp;E1074&amp;"; "&amp;F1074&amp;"; "&amp;G1074&amp;"; "&amp;H1074&amp;"; before "&amp;TEXT(J1074,"yyyy-mm-dd")&amp;IF(I1074="RECENT","; from "&amp;TEXT(L1074,"yyyy-mm-dd"),""))</x:f>
      </x:c>
    </x:row>
    <x:row r="1075" ht="21" customHeight="1">
      <x:c r="A1075" s="2" t="n">
        <x:v>90</x:v>
      </x:c>
      <x:c r="B1075" s="2" t="str">
        <x:f>IF('Input_Meci'!A95="","",'Input_Meci'!A95)</x:f>
      </x:c>
      <x:c r="C1075" s="2" t="str">
        <x:v>H</x:v>
      </x:c>
      <x:c r="D1075" s="2" t="str">
        <x:v>CURRENT</x:v>
      </x:c>
      <x:c r="E1075" s="2" t="str">
        <x:f>IF(B1075="","",'Input_Meci'!B95)</x:f>
      </x:c>
      <x:c r="F1075" s="2" t="str">
        <x:f>IF(B1075="","",IF('Input_Meci'!C95="","",'Input_Meci'!C95))</x:f>
      </x:c>
      <x:c r="G1075" s="2" t="str">
        <x:f>IF(B1075="","",'Input_Meci'!D95)</x:f>
      </x:c>
      <x:c r="H1075" s="2" t="str">
        <x:v>HOME</x:v>
      </x:c>
      <x:c r="I1075" s="2" t="str">
        <x:v>HA</x:v>
      </x:c>
      <x:c r="J1075" s="9" t="n">
        <x:f>IF(AND(B1075&lt;&gt;"",ISNUMBER('Input_Meci'!G95)),INT('Input_Meci'!G95),0)</x:f>
        <x:v>0</x:v>
      </x:c>
      <x:c r="K1075" s="2" t="n">
        <x:f>IF(OR(B1075="",F1075=""),0,IF(H1075="HOME",COUNTIFS('Istoric_Nativ'!$B$6:$B$405,E1075,'Istoric_Nativ'!$C$6:$C$405,F1075,'Istoric_Nativ'!$E$6:$E$405,G1075,'Istoric_Nativ'!$D$6:$D$405,"&lt;"&amp;J1075,'Istoric_Nativ'!$P$6:$P$405,1),IF(H1075="AWAY",COUNTIFS('Istoric_Nativ'!$B$6:$B$405,E1075,'Istoric_Nativ'!$C$6:$C$405,F1075,'Istoric_Nativ'!$F$6:$F$405,G1075,'Istoric_Nativ'!$D$6:$D$405,"&lt;"&amp;J1075,'Istoric_Nativ'!$P$6:$P$405,1),COUNTIFS('Istoric_Nativ'!$B$6:$B$405,E1075,'Istoric_Nativ'!$C$6:$C$405,F1075,'Istoric_Nativ'!$E$6:$E$405,G1075,'Istoric_Nativ'!$D$6:$D$405,"&lt;"&amp;J1075,'Istoric_Nativ'!$P$6:$P$405,1)+COUNTIFS('Istoric_Nativ'!$B$6:$B$405,E1075,'Istoric_Nativ'!$C$6:$C$405,F1075,'Istoric_Nativ'!$F$6:$F$405,G1075,'Istoric_Nativ'!$D$6:$D$405,"&lt;"&amp;J1075,'Istoric_Nativ'!$P$6:$P$405,1))))</x:f>
        <x:v>0</x:v>
      </x:c>
      <x:c r="L1075" s="17" t="n">
        <x:f>IF(AND(B1075&lt;&gt;"",I1075="RECENT",K1075&gt;0),LARGE(_xlfn._xlws.FILTER('Istoric_Nativ'!$D$6:$D$405,('Istoric_Nativ'!$B$6:$B$405=E1075)*('Istoric_Nativ'!$C$6:$C$405=F1075)*('Istoric_Nativ'!$P$6:$P$405=1)*('Istoric_Nativ'!$D$6:$D$405&lt;J1075)*((('Istoric_Nativ'!$E$6:$E$405=G1075)+('Istoric_Nativ'!$F$6:$F$405=G1075))&gt;0)),MIN('Config_v6'!$B$54,K1075)),0)</x:f>
        <x:v>0</x:v>
      </x:c>
      <x:c r="M1075" s="2" t="n">
        <x:f>IF(OR(B1075="",F1075=""),0,IF(H1075="HOME",COUNTIFS('Istoric_Nativ'!$B$6:$B$405,E1075,'Istoric_Nativ'!$C$6:$C$405,F1075,'Istoric_Nativ'!$E$6:$E$405,G1075,'Istoric_Nativ'!$D$6:$D$405,"&lt;"&amp;J1075,'Istoric_Nativ'!$P$6:$P$405,1,'Istoric_Nativ'!$D$6:$D$405,"&gt;="&amp;L1075),IF(H1075="AWAY",COUNTIFS('Istoric_Nativ'!$B$6:$B$405,E1075,'Istoric_Nativ'!$C$6:$C$405,F1075,'Istoric_Nativ'!$F$6:$F$405,G1075,'Istoric_Nativ'!$D$6:$D$405,"&lt;"&amp;J1075,'Istoric_Nativ'!$P$6:$P$405,1,'Istoric_Nativ'!$D$6:$D$405,"&gt;="&amp;L1075),COUNTIFS('Istoric_Nativ'!$B$6:$B$405,E1075,'Istoric_Nativ'!$C$6:$C$405,F1075,'Istoric_Nativ'!$E$6:$E$405,G1075,'Istoric_Nativ'!$D$6:$D$405,"&lt;"&amp;J1075,'Istoric_Nativ'!$P$6:$P$405,1,'Istoric_Nativ'!$D$6:$D$405,"&gt;="&amp;L1075)+COUNTIFS('Istoric_Nativ'!$B$6:$B$405,E1075,'Istoric_Nativ'!$C$6:$C$405,F1075,'Istoric_Nativ'!$F$6:$F$405,G1075,'Istoric_Nativ'!$D$6:$D$405,"&lt;"&amp;J1075,'Istoric_Nativ'!$P$6:$P$405,1,'Istoric_Nativ'!$D$6:$D$405,"&gt;="&amp;L1075))))</x:f>
        <x:v>0</x:v>
      </x:c>
      <x:c r="N1075" s="11" t="str">
        <x:f>IF(M1075=0,"",IF(H1075="HOME",SUMIFS('Istoric_Nativ'!$G$6:$G$405,'Istoric_Nativ'!$B$6:$B$405,E1075,'Istoric_Nativ'!$C$6:$C$405,F1075,'Istoric_Nativ'!$E$6:$E$405,G1075,'Istoric_Nativ'!$D$6:$D$405,"&lt;"&amp;J1075,'Istoric_Nativ'!$P$6:$P$405,1,'Istoric_Nativ'!$D$6:$D$405,"&gt;="&amp;L1075),IF(H1075="AWAY",SUMIFS('Istoric_Nativ'!$H$6:$H$405,'Istoric_Nativ'!$B$6:$B$405,E1075,'Istoric_Nativ'!$C$6:$C$405,F1075,'Istoric_Nativ'!$F$6:$F$405,G1075,'Istoric_Nativ'!$D$6:$D$405,"&lt;"&amp;J1075,'Istoric_Nativ'!$P$6:$P$405,1,'Istoric_Nativ'!$D$6:$D$405,"&gt;="&amp;L1075),SUMIFS('Istoric_Nativ'!$G$6:$G$405,'Istoric_Nativ'!$B$6:$B$405,E1075,'Istoric_Nativ'!$C$6:$C$405,F1075,'Istoric_Nativ'!$E$6:$E$405,G1075,'Istoric_Nativ'!$D$6:$D$405,"&lt;"&amp;J1075,'Istoric_Nativ'!$P$6:$P$405,1,'Istoric_Nativ'!$D$6:$D$405,"&gt;="&amp;L1075)+SUMIFS('Istoric_Nativ'!$H$6:$H$405,'Istoric_Nativ'!$B$6:$B$405,E1075,'Istoric_Nativ'!$C$6:$C$405,F1075,'Istoric_Nativ'!$F$6:$F$405,G1075,'Istoric_Nativ'!$D$6:$D$405,"&lt;"&amp;J1075,'Istoric_Nativ'!$P$6:$P$405,1,'Istoric_Nativ'!$D$6:$D$405,"&gt;="&amp;L1075)))/M1075)</x:f>
      </x:c>
      <x:c r="O1075" s="11" t="str">
        <x:f>IF(M1075=0,"",IF(H1075="HOME",SUMIFS('Istoric_Nativ'!$H$6:$H$405,'Istoric_Nativ'!$B$6:$B$405,E1075,'Istoric_Nativ'!$C$6:$C$405,F1075,'Istoric_Nativ'!$E$6:$E$405,G1075,'Istoric_Nativ'!$D$6:$D$405,"&lt;"&amp;J1075,'Istoric_Nativ'!$P$6:$P$405,1,'Istoric_Nativ'!$D$6:$D$405,"&gt;="&amp;L1075),IF(H1075="AWAY",SUMIFS('Istoric_Nativ'!$G$6:$G$405,'Istoric_Nativ'!$B$6:$B$405,E1075,'Istoric_Nativ'!$C$6:$C$405,F1075,'Istoric_Nativ'!$F$6:$F$405,G1075,'Istoric_Nativ'!$D$6:$D$405,"&lt;"&amp;J1075,'Istoric_Nativ'!$P$6:$P$405,1,'Istoric_Nativ'!$D$6:$D$405,"&gt;="&amp;L1075),SUMIFS('Istoric_Nativ'!$H$6:$H$405,'Istoric_Nativ'!$B$6:$B$405,E1075,'Istoric_Nativ'!$C$6:$C$405,F1075,'Istoric_Nativ'!$E$6:$E$405,G1075,'Istoric_Nativ'!$D$6:$D$405,"&lt;"&amp;J1075,'Istoric_Nativ'!$P$6:$P$405,1,'Istoric_Nativ'!$D$6:$D$405,"&gt;="&amp;L1075)+SUMIFS('Istoric_Nativ'!$G$6:$G$405,'Istoric_Nativ'!$B$6:$B$405,E1075,'Istoric_Nativ'!$C$6:$C$405,F1075,'Istoric_Nativ'!$F$6:$F$405,G1075,'Istoric_Nativ'!$D$6:$D$405,"&lt;"&amp;J1075,'Istoric_Nativ'!$P$6:$P$405,1,'Istoric_Nativ'!$D$6:$D$405,"&gt;="&amp;L1075)))/M1075)</x:f>
      </x:c>
      <x:c r="P1075" s="2" t="n">
        <x:f>'Config_v6'!$B$8</x:f>
        <x:v>5</x:v>
      </x:c>
      <x:c r="Q1075" s="2" t="n">
        <x:f>IF(OR(B1075="",F1075=""),0,IFERROR(MATCH(E1075&amp;"|"&amp;F1075,SourceTable[Source_Key],0),0))</x:f>
        <x:v>0</x:v>
      </x:c>
      <x:c r="R1075" s="2" t="str">
        <x:f>IF(B1075="","",IF(F1075="","UNUSED",IF(Q1075=0,"NOT CHECKED",IF(COUNTIF(SourceTable[Source_Key],E1075&amp;"|"&amp;F1075)&lt;&gt;1,"SOURCE CONFLICT",IF(NOT(OR(INDEX(SourceTable[Status],MAX(1,Q1075))="IMPORTED",INDEX(SourceTable[Status],MAX(1,Q1075))="PARTIAL",INDEX(SourceTable[Status],MAX(1,Q1075))="SOURCE CONFLICT")),"ACCESS BLOCKED",IF(OR(INDEX(SourceTable[Coverage],Q1075)&lt;&gt;"FULL SEASON EXPORT",INDEX(SourceTable[URL],Q1075)="",INDEX(SourceTable[SHA256],Q1075)=""),"EVIDENCE INCOMPLETE",IF(AND('Input_Meci'!H95="LIVE",INDEX(SourceTable[Retrieved_UTC],Q1075)&gt;'Input_Meci'!G95),"POST CUTOFF","CLOSED")))))))</x:f>
      </x:c>
      <x:c r="S1075" s="2" t="n">
        <x:f>IF(OR(B1075="",F1075=""),0,COUNTIFS('Istoric_Nativ'!$B$6:$B$405,E1075,'Istoric_Nativ'!$C$6:$C$405,F1075,'Istoric_Nativ'!$E$6:$E$405,G1075,'Istoric_Nativ'!$D$6:$D$405,"&lt;"&amp;J1075,'Istoric_Nativ'!$O$6:$O$405,"INVALID")+COUNTIFS('Istoric_Nativ'!$B$6:$B$405,E1075,'Istoric_Nativ'!$C$6:$C$405,F1075,'Istoric_Nativ'!$E$6:$E$405,G1075,'Istoric_Nativ'!$O$6:$O$405,"INVALID",'Istoric_Nativ'!$D$6:$D$405,"*")+COUNTIFS('Istoric_Nativ'!$B$6:$B$405,E1075,'Istoric_Nativ'!$C$6:$C$405,F1075,'Istoric_Nativ'!$E$6:$E$405,G1075,'Istoric_Nativ'!$D$6:$D$405,"&lt;"&amp;J1075,'Istoric_Nativ'!$O$6:$O$405,"SOURCE CONFLICT")+COUNTIFS('Istoric_Nativ'!$B$6:$B$405,E1075,'Istoric_Nativ'!$C$6:$C$405,F1075,'Istoric_Nativ'!$F$6:$F$405,G1075,'Istoric_Nativ'!$D$6:$D$405,"&lt;"&amp;J1075,'Istoric_Nativ'!$O$6:$O$405,"INVALID")+COUNTIFS('Istoric_Nativ'!$B$6:$B$405,E1075,'Istoric_Nativ'!$C$6:$C$405,F1075,'Istoric_Nativ'!$F$6:$F$405,G1075,'Istoric_Nativ'!$O$6:$O$405,"INVALID",'Istoric_Nativ'!$D$6:$D$405,"*")+COUNTIFS('Istoric_Nativ'!$B$6:$B$405,E1075,'Istoric_Nativ'!$C$6:$C$405,F1075,'Istoric_Nativ'!$F$6:$F$405,G1075,'Istoric_Nativ'!$D$6:$D$405,"&lt;"&amp;J1075,'Istoric_Nativ'!$O$6:$O$405,"SOURCE CONFLICT"))</x:f>
        <x:v>0</x:v>
      </x:c>
      <x:c r="T1075" s="2" t="str">
        <x:f>IF(B1075="","",IF(R1075&lt;&gt;"CLOSED",R1075,IF(S1075&gt;0,"NATIVE INPUT ISSUE",IF(M1075=0,"NO HISTORY",IF(M1075&lt;P1075,"SMALL SAMPLE","DERIVED")))))</x:f>
      </x:c>
      <x:c r="U1075" s="2" t="str">
        <x:f>IF(B1075="","","NativeTable; "&amp;E1075&amp;"; "&amp;F1075&amp;"; "&amp;G1075&amp;"; "&amp;H1075&amp;"; before "&amp;TEXT(J1075,"yyyy-mm-dd")&amp;IF(I1075="RECENT","; from "&amp;TEXT(L1075,"yyyy-mm-dd"),""))</x:f>
      </x:c>
    </x:row>
    <x:row r="1076" ht="21" customHeight="1">
      <x:c r="A1076" s="2" t="n">
        <x:v>90</x:v>
      </x:c>
      <x:c r="B1076" s="2" t="str">
        <x:f>IF('Input_Meci'!A95="","",'Input_Meci'!A95)</x:f>
      </x:c>
      <x:c r="C1076" s="2" t="str">
        <x:v>H</x:v>
      </x:c>
      <x:c r="D1076" s="2" t="str">
        <x:v>CURRENT</x:v>
      </x:c>
      <x:c r="E1076" s="2" t="str">
        <x:f>IF(B1076="","",'Input_Meci'!B95)</x:f>
      </x:c>
      <x:c r="F1076" s="2" t="str">
        <x:f>IF(B1076="","",IF('Input_Meci'!C95="","",'Input_Meci'!C95))</x:f>
      </x:c>
      <x:c r="G1076" s="2" t="str">
        <x:f>IF(B1076="","",'Input_Meci'!D95)</x:f>
      </x:c>
      <x:c r="H1076" s="2" t="str">
        <x:v>ANY</x:v>
      </x:c>
      <x:c r="I1076" s="2" t="str">
        <x:v>RECENT</x:v>
      </x:c>
      <x:c r="J1076" s="9" t="n">
        <x:f>IF(AND(B1076&lt;&gt;"",ISNUMBER('Input_Meci'!G95)),INT('Input_Meci'!G95),0)</x:f>
        <x:v>0</x:v>
      </x:c>
      <x:c r="K1076" s="2" t="n">
        <x:f>IF(OR(B1076="",F1076=""),0,IF(H1076="HOME",COUNTIFS('Istoric_Nativ'!$B$6:$B$405,E1076,'Istoric_Nativ'!$C$6:$C$405,F1076,'Istoric_Nativ'!$E$6:$E$405,G1076,'Istoric_Nativ'!$D$6:$D$405,"&lt;"&amp;J1076,'Istoric_Nativ'!$P$6:$P$405,1),IF(H1076="AWAY",COUNTIFS('Istoric_Nativ'!$B$6:$B$405,E1076,'Istoric_Nativ'!$C$6:$C$405,F1076,'Istoric_Nativ'!$F$6:$F$405,G1076,'Istoric_Nativ'!$D$6:$D$405,"&lt;"&amp;J1076,'Istoric_Nativ'!$P$6:$P$405,1),COUNTIFS('Istoric_Nativ'!$B$6:$B$405,E1076,'Istoric_Nativ'!$C$6:$C$405,F1076,'Istoric_Nativ'!$E$6:$E$405,G1076,'Istoric_Nativ'!$D$6:$D$405,"&lt;"&amp;J1076,'Istoric_Nativ'!$P$6:$P$405,1)+COUNTIFS('Istoric_Nativ'!$B$6:$B$405,E1076,'Istoric_Nativ'!$C$6:$C$405,F1076,'Istoric_Nativ'!$F$6:$F$405,G1076,'Istoric_Nativ'!$D$6:$D$405,"&lt;"&amp;J1076,'Istoric_Nativ'!$P$6:$P$405,1))))</x:f>
        <x:v>0</x:v>
      </x:c>
      <x:c r="L1076" s="17" t="n">
        <x:f>IF(AND(B1076&lt;&gt;"",I1076="RECENT",K1076&gt;0),LARGE(_xlfn._xlws.FILTER('Istoric_Nativ'!$D$6:$D$405,('Istoric_Nativ'!$B$6:$B$405=E1076)*('Istoric_Nativ'!$C$6:$C$405=F1076)*('Istoric_Nativ'!$P$6:$P$405=1)*('Istoric_Nativ'!$D$6:$D$405&lt;J1076)*((('Istoric_Nativ'!$E$6:$E$405=G1076)+('Istoric_Nativ'!$F$6:$F$405=G1076))&gt;0)),MIN('Config_v6'!$B$54,K1076)),0)</x:f>
        <x:v>0</x:v>
      </x:c>
      <x:c r="M1076" s="2" t="n">
        <x:f>IF(OR(B1076="",F1076=""),0,IF(H1076="HOME",COUNTIFS('Istoric_Nativ'!$B$6:$B$405,E1076,'Istoric_Nativ'!$C$6:$C$405,F1076,'Istoric_Nativ'!$E$6:$E$405,G1076,'Istoric_Nativ'!$D$6:$D$405,"&lt;"&amp;J1076,'Istoric_Nativ'!$P$6:$P$405,1,'Istoric_Nativ'!$D$6:$D$405,"&gt;="&amp;L1076),IF(H1076="AWAY",COUNTIFS('Istoric_Nativ'!$B$6:$B$405,E1076,'Istoric_Nativ'!$C$6:$C$405,F1076,'Istoric_Nativ'!$F$6:$F$405,G1076,'Istoric_Nativ'!$D$6:$D$405,"&lt;"&amp;J1076,'Istoric_Nativ'!$P$6:$P$405,1,'Istoric_Nativ'!$D$6:$D$405,"&gt;="&amp;L1076),COUNTIFS('Istoric_Nativ'!$B$6:$B$405,E1076,'Istoric_Nativ'!$C$6:$C$405,F1076,'Istoric_Nativ'!$E$6:$E$405,G1076,'Istoric_Nativ'!$D$6:$D$405,"&lt;"&amp;J1076,'Istoric_Nativ'!$P$6:$P$405,1,'Istoric_Nativ'!$D$6:$D$405,"&gt;="&amp;L1076)+COUNTIFS('Istoric_Nativ'!$B$6:$B$405,E1076,'Istoric_Nativ'!$C$6:$C$405,F1076,'Istoric_Nativ'!$F$6:$F$405,G1076,'Istoric_Nativ'!$D$6:$D$405,"&lt;"&amp;J1076,'Istoric_Nativ'!$P$6:$P$405,1,'Istoric_Nativ'!$D$6:$D$405,"&gt;="&amp;L1076))))</x:f>
        <x:v>0</x:v>
      </x:c>
      <x:c r="N1076" s="11" t="str">
        <x:f>IF(M1076=0,"",IF(H1076="HOME",SUMIFS('Istoric_Nativ'!$G$6:$G$405,'Istoric_Nativ'!$B$6:$B$405,E1076,'Istoric_Nativ'!$C$6:$C$405,F1076,'Istoric_Nativ'!$E$6:$E$405,G1076,'Istoric_Nativ'!$D$6:$D$405,"&lt;"&amp;J1076,'Istoric_Nativ'!$P$6:$P$405,1,'Istoric_Nativ'!$D$6:$D$405,"&gt;="&amp;L1076),IF(H1076="AWAY",SUMIFS('Istoric_Nativ'!$H$6:$H$405,'Istoric_Nativ'!$B$6:$B$405,E1076,'Istoric_Nativ'!$C$6:$C$405,F1076,'Istoric_Nativ'!$F$6:$F$405,G1076,'Istoric_Nativ'!$D$6:$D$405,"&lt;"&amp;J1076,'Istoric_Nativ'!$P$6:$P$405,1,'Istoric_Nativ'!$D$6:$D$405,"&gt;="&amp;L1076),SUMIFS('Istoric_Nativ'!$G$6:$G$405,'Istoric_Nativ'!$B$6:$B$405,E1076,'Istoric_Nativ'!$C$6:$C$405,F1076,'Istoric_Nativ'!$E$6:$E$405,G1076,'Istoric_Nativ'!$D$6:$D$405,"&lt;"&amp;J1076,'Istoric_Nativ'!$P$6:$P$405,1,'Istoric_Nativ'!$D$6:$D$405,"&gt;="&amp;L1076)+SUMIFS('Istoric_Nativ'!$H$6:$H$405,'Istoric_Nativ'!$B$6:$B$405,E1076,'Istoric_Nativ'!$C$6:$C$405,F1076,'Istoric_Nativ'!$F$6:$F$405,G1076,'Istoric_Nativ'!$D$6:$D$405,"&lt;"&amp;J1076,'Istoric_Nativ'!$P$6:$P$405,1,'Istoric_Nativ'!$D$6:$D$405,"&gt;="&amp;L1076)))/M1076)</x:f>
      </x:c>
      <x:c r="O1076" s="11" t="str">
        <x:f>IF(M1076=0,"",IF(H1076="HOME",SUMIFS('Istoric_Nativ'!$H$6:$H$405,'Istoric_Nativ'!$B$6:$B$405,E1076,'Istoric_Nativ'!$C$6:$C$405,F1076,'Istoric_Nativ'!$E$6:$E$405,G1076,'Istoric_Nativ'!$D$6:$D$405,"&lt;"&amp;J1076,'Istoric_Nativ'!$P$6:$P$405,1,'Istoric_Nativ'!$D$6:$D$405,"&gt;="&amp;L1076),IF(H1076="AWAY",SUMIFS('Istoric_Nativ'!$G$6:$G$405,'Istoric_Nativ'!$B$6:$B$405,E1076,'Istoric_Nativ'!$C$6:$C$405,F1076,'Istoric_Nativ'!$F$6:$F$405,G1076,'Istoric_Nativ'!$D$6:$D$405,"&lt;"&amp;J1076,'Istoric_Nativ'!$P$6:$P$405,1,'Istoric_Nativ'!$D$6:$D$405,"&gt;="&amp;L1076),SUMIFS('Istoric_Nativ'!$H$6:$H$405,'Istoric_Nativ'!$B$6:$B$405,E1076,'Istoric_Nativ'!$C$6:$C$405,F1076,'Istoric_Nativ'!$E$6:$E$405,G1076,'Istoric_Nativ'!$D$6:$D$405,"&lt;"&amp;J1076,'Istoric_Nativ'!$P$6:$P$405,1,'Istoric_Nativ'!$D$6:$D$405,"&gt;="&amp;L1076)+SUMIFS('Istoric_Nativ'!$G$6:$G$405,'Istoric_Nativ'!$B$6:$B$405,E1076,'Istoric_Nativ'!$C$6:$C$405,F1076,'Istoric_Nativ'!$F$6:$F$405,G1076,'Istoric_Nativ'!$D$6:$D$405,"&lt;"&amp;J1076,'Istoric_Nativ'!$P$6:$P$405,1,'Istoric_Nativ'!$D$6:$D$405,"&gt;="&amp;L1076)))/M1076)</x:f>
      </x:c>
      <x:c r="P1076" s="2" t="n">
        <x:f>'Config_v6'!$B$9</x:f>
        <x:v>3</x:v>
      </x:c>
      <x:c r="Q1076" s="2" t="n">
        <x:f>IF(OR(B1076="",F1076=""),0,IFERROR(MATCH(E1076&amp;"|"&amp;F1076,SourceTable[Source_Key],0),0))</x:f>
        <x:v>0</x:v>
      </x:c>
      <x:c r="R1076" s="2" t="str">
        <x:f>IF(B1076="","",IF(F1076="","UNUSED",IF(Q1076=0,"NOT CHECKED",IF(COUNTIF(SourceTable[Source_Key],E1076&amp;"|"&amp;F1076)&lt;&gt;1,"SOURCE CONFLICT",IF(NOT(OR(INDEX(SourceTable[Status],MAX(1,Q1076))="IMPORTED",INDEX(SourceTable[Status],MAX(1,Q1076))="PARTIAL",INDEX(SourceTable[Status],MAX(1,Q1076))="SOURCE CONFLICT")),"ACCESS BLOCKED",IF(OR(INDEX(SourceTable[Coverage],Q1076)&lt;&gt;"FULL SEASON EXPORT",INDEX(SourceTable[URL],Q1076)="",INDEX(SourceTable[SHA256],Q1076)=""),"EVIDENCE INCOMPLETE",IF(AND('Input_Meci'!H95="LIVE",INDEX(SourceTable[Retrieved_UTC],Q1076)&gt;'Input_Meci'!G95),"POST CUTOFF","CLOSED")))))))</x:f>
      </x:c>
      <x:c r="S1076" s="2" t="n">
        <x:f>IF(OR(B1076="",F1076=""),0,COUNTIFS('Istoric_Nativ'!$B$6:$B$405,E1076,'Istoric_Nativ'!$C$6:$C$405,F1076,'Istoric_Nativ'!$E$6:$E$405,G1076,'Istoric_Nativ'!$D$6:$D$405,"&lt;"&amp;J1076,'Istoric_Nativ'!$O$6:$O$405,"INVALID")+COUNTIFS('Istoric_Nativ'!$B$6:$B$405,E1076,'Istoric_Nativ'!$C$6:$C$405,F1076,'Istoric_Nativ'!$E$6:$E$405,G1076,'Istoric_Nativ'!$O$6:$O$405,"INVALID",'Istoric_Nativ'!$D$6:$D$405,"*")+COUNTIFS('Istoric_Nativ'!$B$6:$B$405,E1076,'Istoric_Nativ'!$C$6:$C$405,F1076,'Istoric_Nativ'!$E$6:$E$405,G1076,'Istoric_Nativ'!$D$6:$D$405,"&lt;"&amp;J1076,'Istoric_Nativ'!$O$6:$O$405,"SOURCE CONFLICT")+COUNTIFS('Istoric_Nativ'!$B$6:$B$405,E1076,'Istoric_Nativ'!$C$6:$C$405,F1076,'Istoric_Nativ'!$F$6:$F$405,G1076,'Istoric_Nativ'!$D$6:$D$405,"&lt;"&amp;J1076,'Istoric_Nativ'!$O$6:$O$405,"INVALID")+COUNTIFS('Istoric_Nativ'!$B$6:$B$405,E1076,'Istoric_Nativ'!$C$6:$C$405,F1076,'Istoric_Nativ'!$F$6:$F$405,G1076,'Istoric_Nativ'!$O$6:$O$405,"INVALID",'Istoric_Nativ'!$D$6:$D$405,"*")+COUNTIFS('Istoric_Nativ'!$B$6:$B$405,E1076,'Istoric_Nativ'!$C$6:$C$405,F1076,'Istoric_Nativ'!$F$6:$F$405,G1076,'Istoric_Nativ'!$D$6:$D$405,"&lt;"&amp;J1076,'Istoric_Nativ'!$O$6:$O$405,"SOURCE CONFLICT"))</x:f>
        <x:v>0</x:v>
      </x:c>
      <x:c r="T1076" s="2" t="str">
        <x:f>IF(B1076="","",IF(R1076&lt;&gt;"CLOSED",R1076,IF(S1076&gt;0,"NATIVE INPUT ISSUE",IF(M1076=0,"NO HISTORY",IF(M1076&lt;P1076,"SMALL SAMPLE","DERIVED")))))</x:f>
      </x:c>
      <x:c r="U1076" s="2" t="str">
        <x:f>IF(B1076="","","NativeTable; "&amp;E1076&amp;"; "&amp;F1076&amp;"; "&amp;G1076&amp;"; "&amp;H1076&amp;"; before "&amp;TEXT(J1076,"yyyy-mm-dd")&amp;IF(I1076="RECENT","; from "&amp;TEXT(L1076,"yyyy-mm-dd"),""))</x:f>
      </x:c>
    </x:row>
    <x:row r="1077" ht="21" customHeight="1">
      <x:c r="A1077" s="2" t="n">
        <x:v>90</x:v>
      </x:c>
      <x:c r="B1077" s="2" t="str">
        <x:f>IF('Input_Meci'!A95="","",'Input_Meci'!A95)</x:f>
      </x:c>
      <x:c r="C1077" s="2" t="str">
        <x:v>A</x:v>
      </x:c>
      <x:c r="D1077" s="2" t="str">
        <x:v>CURRENT</x:v>
      </x:c>
      <x:c r="E1077" s="2" t="str">
        <x:f>IF(B1077="","",'Input_Meci'!B95)</x:f>
      </x:c>
      <x:c r="F1077" s="2" t="str">
        <x:f>IF(B1077="","",IF('Input_Meci'!C95="","",'Input_Meci'!C95))</x:f>
      </x:c>
      <x:c r="G1077" s="2" t="str">
        <x:f>IF(B1077="","",'Input_Meci'!E95)</x:f>
      </x:c>
      <x:c r="H1077" s="2" t="str">
        <x:v>ANY</x:v>
      </x:c>
      <x:c r="I1077" s="2" t="str">
        <x:v>SEASON</x:v>
      </x:c>
      <x:c r="J1077" s="9" t="n">
        <x:f>IF(AND(B1077&lt;&gt;"",ISNUMBER('Input_Meci'!G95)),INT('Input_Meci'!G95),0)</x:f>
        <x:v>0</x:v>
      </x:c>
      <x:c r="K1077" s="2" t="n">
        <x:f>IF(OR(B1077="",F1077=""),0,IF(H1077="HOME",COUNTIFS('Istoric_Nativ'!$B$6:$B$405,E1077,'Istoric_Nativ'!$C$6:$C$405,F1077,'Istoric_Nativ'!$E$6:$E$405,G1077,'Istoric_Nativ'!$D$6:$D$405,"&lt;"&amp;J1077,'Istoric_Nativ'!$P$6:$P$405,1),IF(H1077="AWAY",COUNTIFS('Istoric_Nativ'!$B$6:$B$405,E1077,'Istoric_Nativ'!$C$6:$C$405,F1077,'Istoric_Nativ'!$F$6:$F$405,G1077,'Istoric_Nativ'!$D$6:$D$405,"&lt;"&amp;J1077,'Istoric_Nativ'!$P$6:$P$405,1),COUNTIFS('Istoric_Nativ'!$B$6:$B$405,E1077,'Istoric_Nativ'!$C$6:$C$405,F1077,'Istoric_Nativ'!$E$6:$E$405,G1077,'Istoric_Nativ'!$D$6:$D$405,"&lt;"&amp;J1077,'Istoric_Nativ'!$P$6:$P$405,1)+COUNTIFS('Istoric_Nativ'!$B$6:$B$405,E1077,'Istoric_Nativ'!$C$6:$C$405,F1077,'Istoric_Nativ'!$F$6:$F$405,G1077,'Istoric_Nativ'!$D$6:$D$405,"&lt;"&amp;J1077,'Istoric_Nativ'!$P$6:$P$405,1))))</x:f>
        <x:v>0</x:v>
      </x:c>
      <x:c r="L1077" s="17" t="n">
        <x:f>IF(AND(B1077&lt;&gt;"",I1077="RECENT",K1077&gt;0),LARGE(_xlfn._xlws.FILTER('Istoric_Nativ'!$D$6:$D$405,('Istoric_Nativ'!$B$6:$B$405=E1077)*('Istoric_Nativ'!$C$6:$C$405=F1077)*('Istoric_Nativ'!$P$6:$P$405=1)*('Istoric_Nativ'!$D$6:$D$405&lt;J1077)*((('Istoric_Nativ'!$E$6:$E$405=G1077)+('Istoric_Nativ'!$F$6:$F$405=G1077))&gt;0)),MIN('Config_v6'!$B$54,K1077)),0)</x:f>
        <x:v>0</x:v>
      </x:c>
      <x:c r="M1077" s="2" t="n">
        <x:f>IF(OR(B1077="",F1077=""),0,IF(H1077="HOME",COUNTIFS('Istoric_Nativ'!$B$6:$B$405,E1077,'Istoric_Nativ'!$C$6:$C$405,F1077,'Istoric_Nativ'!$E$6:$E$405,G1077,'Istoric_Nativ'!$D$6:$D$405,"&lt;"&amp;J1077,'Istoric_Nativ'!$P$6:$P$405,1,'Istoric_Nativ'!$D$6:$D$405,"&gt;="&amp;L1077),IF(H1077="AWAY",COUNTIFS('Istoric_Nativ'!$B$6:$B$405,E1077,'Istoric_Nativ'!$C$6:$C$405,F1077,'Istoric_Nativ'!$F$6:$F$405,G1077,'Istoric_Nativ'!$D$6:$D$405,"&lt;"&amp;J1077,'Istoric_Nativ'!$P$6:$P$405,1,'Istoric_Nativ'!$D$6:$D$405,"&gt;="&amp;L1077),COUNTIFS('Istoric_Nativ'!$B$6:$B$405,E1077,'Istoric_Nativ'!$C$6:$C$405,F1077,'Istoric_Nativ'!$E$6:$E$405,G1077,'Istoric_Nativ'!$D$6:$D$405,"&lt;"&amp;J1077,'Istoric_Nativ'!$P$6:$P$405,1,'Istoric_Nativ'!$D$6:$D$405,"&gt;="&amp;L1077)+COUNTIFS('Istoric_Nativ'!$B$6:$B$405,E1077,'Istoric_Nativ'!$C$6:$C$405,F1077,'Istoric_Nativ'!$F$6:$F$405,G1077,'Istoric_Nativ'!$D$6:$D$405,"&lt;"&amp;J1077,'Istoric_Nativ'!$P$6:$P$405,1,'Istoric_Nativ'!$D$6:$D$405,"&gt;="&amp;L1077))))</x:f>
        <x:v>0</x:v>
      </x:c>
      <x:c r="N1077" s="11" t="str">
        <x:f>IF(M1077=0,"",IF(H1077="HOME",SUMIFS('Istoric_Nativ'!$G$6:$G$405,'Istoric_Nativ'!$B$6:$B$405,E1077,'Istoric_Nativ'!$C$6:$C$405,F1077,'Istoric_Nativ'!$E$6:$E$405,G1077,'Istoric_Nativ'!$D$6:$D$405,"&lt;"&amp;J1077,'Istoric_Nativ'!$P$6:$P$405,1,'Istoric_Nativ'!$D$6:$D$405,"&gt;="&amp;L1077),IF(H1077="AWAY",SUMIFS('Istoric_Nativ'!$H$6:$H$405,'Istoric_Nativ'!$B$6:$B$405,E1077,'Istoric_Nativ'!$C$6:$C$405,F1077,'Istoric_Nativ'!$F$6:$F$405,G1077,'Istoric_Nativ'!$D$6:$D$405,"&lt;"&amp;J1077,'Istoric_Nativ'!$P$6:$P$405,1,'Istoric_Nativ'!$D$6:$D$405,"&gt;="&amp;L1077),SUMIFS('Istoric_Nativ'!$G$6:$G$405,'Istoric_Nativ'!$B$6:$B$405,E1077,'Istoric_Nativ'!$C$6:$C$405,F1077,'Istoric_Nativ'!$E$6:$E$405,G1077,'Istoric_Nativ'!$D$6:$D$405,"&lt;"&amp;J1077,'Istoric_Nativ'!$P$6:$P$405,1,'Istoric_Nativ'!$D$6:$D$405,"&gt;="&amp;L1077)+SUMIFS('Istoric_Nativ'!$H$6:$H$405,'Istoric_Nativ'!$B$6:$B$405,E1077,'Istoric_Nativ'!$C$6:$C$405,F1077,'Istoric_Nativ'!$F$6:$F$405,G1077,'Istoric_Nativ'!$D$6:$D$405,"&lt;"&amp;J1077,'Istoric_Nativ'!$P$6:$P$405,1,'Istoric_Nativ'!$D$6:$D$405,"&gt;="&amp;L1077)))/M1077)</x:f>
      </x:c>
      <x:c r="O1077" s="11" t="str">
        <x:f>IF(M1077=0,"",IF(H1077="HOME",SUMIFS('Istoric_Nativ'!$H$6:$H$405,'Istoric_Nativ'!$B$6:$B$405,E1077,'Istoric_Nativ'!$C$6:$C$405,F1077,'Istoric_Nativ'!$E$6:$E$405,G1077,'Istoric_Nativ'!$D$6:$D$405,"&lt;"&amp;J1077,'Istoric_Nativ'!$P$6:$P$405,1,'Istoric_Nativ'!$D$6:$D$405,"&gt;="&amp;L1077),IF(H1077="AWAY",SUMIFS('Istoric_Nativ'!$G$6:$G$405,'Istoric_Nativ'!$B$6:$B$405,E1077,'Istoric_Nativ'!$C$6:$C$405,F1077,'Istoric_Nativ'!$F$6:$F$405,G1077,'Istoric_Nativ'!$D$6:$D$405,"&lt;"&amp;J1077,'Istoric_Nativ'!$P$6:$P$405,1,'Istoric_Nativ'!$D$6:$D$405,"&gt;="&amp;L1077),SUMIFS('Istoric_Nativ'!$H$6:$H$405,'Istoric_Nativ'!$B$6:$B$405,E1077,'Istoric_Nativ'!$C$6:$C$405,F1077,'Istoric_Nativ'!$E$6:$E$405,G1077,'Istoric_Nativ'!$D$6:$D$405,"&lt;"&amp;J1077,'Istoric_Nativ'!$P$6:$P$405,1,'Istoric_Nativ'!$D$6:$D$405,"&gt;="&amp;L1077)+SUMIFS('Istoric_Nativ'!$G$6:$G$405,'Istoric_Nativ'!$B$6:$B$405,E1077,'Istoric_Nativ'!$C$6:$C$405,F1077,'Istoric_Nativ'!$F$6:$F$405,G1077,'Istoric_Nativ'!$D$6:$D$405,"&lt;"&amp;J1077,'Istoric_Nativ'!$P$6:$P$405,1,'Istoric_Nativ'!$D$6:$D$405,"&gt;="&amp;L1077)))/M1077)</x:f>
      </x:c>
      <x:c r="P1077" s="2" t="n">
        <x:f>'Config_v6'!$B$7</x:f>
        <x:v>10</x:v>
      </x:c>
      <x:c r="Q1077" s="2" t="n">
        <x:f>IF(OR(B1077="",F1077=""),0,IFERROR(MATCH(E1077&amp;"|"&amp;F1077,SourceTable[Source_Key],0),0))</x:f>
        <x:v>0</x:v>
      </x:c>
      <x:c r="R1077" s="2" t="str">
        <x:f>IF(B1077="","",IF(F1077="","UNUSED",IF(Q1077=0,"NOT CHECKED",IF(COUNTIF(SourceTable[Source_Key],E1077&amp;"|"&amp;F1077)&lt;&gt;1,"SOURCE CONFLICT",IF(NOT(OR(INDEX(SourceTable[Status],MAX(1,Q1077))="IMPORTED",INDEX(SourceTable[Status],MAX(1,Q1077))="PARTIAL",INDEX(SourceTable[Status],MAX(1,Q1077))="SOURCE CONFLICT")),"ACCESS BLOCKED",IF(OR(INDEX(SourceTable[Coverage],Q1077)&lt;&gt;"FULL SEASON EXPORT",INDEX(SourceTable[URL],Q1077)="",INDEX(SourceTable[SHA256],Q1077)=""),"EVIDENCE INCOMPLETE",IF(AND('Input_Meci'!H95="LIVE",INDEX(SourceTable[Retrieved_UTC],Q1077)&gt;'Input_Meci'!G95),"POST CUTOFF","CLOSED")))))))</x:f>
      </x:c>
      <x:c r="S1077" s="2" t="n">
        <x:f>IF(OR(B1077="",F1077=""),0,COUNTIFS('Istoric_Nativ'!$B$6:$B$405,E1077,'Istoric_Nativ'!$C$6:$C$405,F1077,'Istoric_Nativ'!$E$6:$E$405,G1077,'Istoric_Nativ'!$D$6:$D$405,"&lt;"&amp;J1077,'Istoric_Nativ'!$O$6:$O$405,"INVALID")+COUNTIFS('Istoric_Nativ'!$B$6:$B$405,E1077,'Istoric_Nativ'!$C$6:$C$405,F1077,'Istoric_Nativ'!$E$6:$E$405,G1077,'Istoric_Nativ'!$O$6:$O$405,"INVALID",'Istoric_Nativ'!$D$6:$D$405,"*")+COUNTIFS('Istoric_Nativ'!$B$6:$B$405,E1077,'Istoric_Nativ'!$C$6:$C$405,F1077,'Istoric_Nativ'!$E$6:$E$405,G1077,'Istoric_Nativ'!$D$6:$D$405,"&lt;"&amp;J1077,'Istoric_Nativ'!$O$6:$O$405,"SOURCE CONFLICT")+COUNTIFS('Istoric_Nativ'!$B$6:$B$405,E1077,'Istoric_Nativ'!$C$6:$C$405,F1077,'Istoric_Nativ'!$F$6:$F$405,G1077,'Istoric_Nativ'!$D$6:$D$405,"&lt;"&amp;J1077,'Istoric_Nativ'!$O$6:$O$405,"INVALID")+COUNTIFS('Istoric_Nativ'!$B$6:$B$405,E1077,'Istoric_Nativ'!$C$6:$C$405,F1077,'Istoric_Nativ'!$F$6:$F$405,G1077,'Istoric_Nativ'!$O$6:$O$405,"INVALID",'Istoric_Nativ'!$D$6:$D$405,"*")+COUNTIFS('Istoric_Nativ'!$B$6:$B$405,E1077,'Istoric_Nativ'!$C$6:$C$405,F1077,'Istoric_Nativ'!$F$6:$F$405,G1077,'Istoric_Nativ'!$D$6:$D$405,"&lt;"&amp;J1077,'Istoric_Nativ'!$O$6:$O$405,"SOURCE CONFLICT"))</x:f>
        <x:v>0</x:v>
      </x:c>
      <x:c r="T1077" s="2" t="str">
        <x:f>IF(B1077="","",IF(R1077&lt;&gt;"CLOSED",R1077,IF(S1077&gt;0,"NATIVE INPUT ISSUE",IF(M1077=0,"NO HISTORY",IF(M1077&lt;P1077,"SMALL SAMPLE","DERIVED")))))</x:f>
      </x:c>
      <x:c r="U1077" s="2" t="str">
        <x:f>IF(B1077="","","NativeTable; "&amp;E1077&amp;"; "&amp;F1077&amp;"; "&amp;G1077&amp;"; "&amp;H1077&amp;"; before "&amp;TEXT(J1077,"yyyy-mm-dd")&amp;IF(I1077="RECENT","; from "&amp;TEXT(L1077,"yyyy-mm-dd"),""))</x:f>
      </x:c>
    </x:row>
    <x:row r="1078" ht="21" customHeight="1">
      <x:c r="A1078" s="2" t="n">
        <x:v>90</x:v>
      </x:c>
      <x:c r="B1078" s="2" t="str">
        <x:f>IF('Input_Meci'!A95="","",'Input_Meci'!A95)</x:f>
      </x:c>
      <x:c r="C1078" s="2" t="str">
        <x:v>A</x:v>
      </x:c>
      <x:c r="D1078" s="2" t="str">
        <x:v>CURRENT</x:v>
      </x:c>
      <x:c r="E1078" s="2" t="str">
        <x:f>IF(B1078="","",'Input_Meci'!B95)</x:f>
      </x:c>
      <x:c r="F1078" s="2" t="str">
        <x:f>IF(B1078="","",IF('Input_Meci'!C95="","",'Input_Meci'!C95))</x:f>
      </x:c>
      <x:c r="G1078" s="2" t="str">
        <x:f>IF(B1078="","",'Input_Meci'!E95)</x:f>
      </x:c>
      <x:c r="H1078" s="2" t="str">
        <x:v>AWAY</x:v>
      </x:c>
      <x:c r="I1078" s="2" t="str">
        <x:v>HA</x:v>
      </x:c>
      <x:c r="J1078" s="9" t="n">
        <x:f>IF(AND(B1078&lt;&gt;"",ISNUMBER('Input_Meci'!G95)),INT('Input_Meci'!G95),0)</x:f>
        <x:v>0</x:v>
      </x:c>
      <x:c r="K1078" s="2" t="n">
        <x:f>IF(OR(B1078="",F1078=""),0,IF(H1078="HOME",COUNTIFS('Istoric_Nativ'!$B$6:$B$405,E1078,'Istoric_Nativ'!$C$6:$C$405,F1078,'Istoric_Nativ'!$E$6:$E$405,G1078,'Istoric_Nativ'!$D$6:$D$405,"&lt;"&amp;J1078,'Istoric_Nativ'!$P$6:$P$405,1),IF(H1078="AWAY",COUNTIFS('Istoric_Nativ'!$B$6:$B$405,E1078,'Istoric_Nativ'!$C$6:$C$405,F1078,'Istoric_Nativ'!$F$6:$F$405,G1078,'Istoric_Nativ'!$D$6:$D$405,"&lt;"&amp;J1078,'Istoric_Nativ'!$P$6:$P$405,1),COUNTIFS('Istoric_Nativ'!$B$6:$B$405,E1078,'Istoric_Nativ'!$C$6:$C$405,F1078,'Istoric_Nativ'!$E$6:$E$405,G1078,'Istoric_Nativ'!$D$6:$D$405,"&lt;"&amp;J1078,'Istoric_Nativ'!$P$6:$P$405,1)+COUNTIFS('Istoric_Nativ'!$B$6:$B$405,E1078,'Istoric_Nativ'!$C$6:$C$405,F1078,'Istoric_Nativ'!$F$6:$F$405,G1078,'Istoric_Nativ'!$D$6:$D$405,"&lt;"&amp;J1078,'Istoric_Nativ'!$P$6:$P$405,1))))</x:f>
        <x:v>0</x:v>
      </x:c>
      <x:c r="L1078" s="17" t="n">
        <x:f>IF(AND(B1078&lt;&gt;"",I1078="RECENT",K1078&gt;0),LARGE(_xlfn._xlws.FILTER('Istoric_Nativ'!$D$6:$D$405,('Istoric_Nativ'!$B$6:$B$405=E1078)*('Istoric_Nativ'!$C$6:$C$405=F1078)*('Istoric_Nativ'!$P$6:$P$405=1)*('Istoric_Nativ'!$D$6:$D$405&lt;J1078)*((('Istoric_Nativ'!$E$6:$E$405=G1078)+('Istoric_Nativ'!$F$6:$F$405=G1078))&gt;0)),MIN('Config_v6'!$B$54,K1078)),0)</x:f>
        <x:v>0</x:v>
      </x:c>
      <x:c r="M1078" s="2" t="n">
        <x:f>IF(OR(B1078="",F1078=""),0,IF(H1078="HOME",COUNTIFS('Istoric_Nativ'!$B$6:$B$405,E1078,'Istoric_Nativ'!$C$6:$C$405,F1078,'Istoric_Nativ'!$E$6:$E$405,G1078,'Istoric_Nativ'!$D$6:$D$405,"&lt;"&amp;J1078,'Istoric_Nativ'!$P$6:$P$405,1,'Istoric_Nativ'!$D$6:$D$405,"&gt;="&amp;L1078),IF(H1078="AWAY",COUNTIFS('Istoric_Nativ'!$B$6:$B$405,E1078,'Istoric_Nativ'!$C$6:$C$405,F1078,'Istoric_Nativ'!$F$6:$F$405,G1078,'Istoric_Nativ'!$D$6:$D$405,"&lt;"&amp;J1078,'Istoric_Nativ'!$P$6:$P$405,1,'Istoric_Nativ'!$D$6:$D$405,"&gt;="&amp;L1078),COUNTIFS('Istoric_Nativ'!$B$6:$B$405,E1078,'Istoric_Nativ'!$C$6:$C$405,F1078,'Istoric_Nativ'!$E$6:$E$405,G1078,'Istoric_Nativ'!$D$6:$D$405,"&lt;"&amp;J1078,'Istoric_Nativ'!$P$6:$P$405,1,'Istoric_Nativ'!$D$6:$D$405,"&gt;="&amp;L1078)+COUNTIFS('Istoric_Nativ'!$B$6:$B$405,E1078,'Istoric_Nativ'!$C$6:$C$405,F1078,'Istoric_Nativ'!$F$6:$F$405,G1078,'Istoric_Nativ'!$D$6:$D$405,"&lt;"&amp;J1078,'Istoric_Nativ'!$P$6:$P$405,1,'Istoric_Nativ'!$D$6:$D$405,"&gt;="&amp;L1078))))</x:f>
        <x:v>0</x:v>
      </x:c>
      <x:c r="N1078" s="11" t="str">
        <x:f>IF(M1078=0,"",IF(H1078="HOME",SUMIFS('Istoric_Nativ'!$G$6:$G$405,'Istoric_Nativ'!$B$6:$B$405,E1078,'Istoric_Nativ'!$C$6:$C$405,F1078,'Istoric_Nativ'!$E$6:$E$405,G1078,'Istoric_Nativ'!$D$6:$D$405,"&lt;"&amp;J1078,'Istoric_Nativ'!$P$6:$P$405,1,'Istoric_Nativ'!$D$6:$D$405,"&gt;="&amp;L1078),IF(H1078="AWAY",SUMIFS('Istoric_Nativ'!$H$6:$H$405,'Istoric_Nativ'!$B$6:$B$405,E1078,'Istoric_Nativ'!$C$6:$C$405,F1078,'Istoric_Nativ'!$F$6:$F$405,G1078,'Istoric_Nativ'!$D$6:$D$405,"&lt;"&amp;J1078,'Istoric_Nativ'!$P$6:$P$405,1,'Istoric_Nativ'!$D$6:$D$405,"&gt;="&amp;L1078),SUMIFS('Istoric_Nativ'!$G$6:$G$405,'Istoric_Nativ'!$B$6:$B$405,E1078,'Istoric_Nativ'!$C$6:$C$405,F1078,'Istoric_Nativ'!$E$6:$E$405,G1078,'Istoric_Nativ'!$D$6:$D$405,"&lt;"&amp;J1078,'Istoric_Nativ'!$P$6:$P$405,1,'Istoric_Nativ'!$D$6:$D$405,"&gt;="&amp;L1078)+SUMIFS('Istoric_Nativ'!$H$6:$H$405,'Istoric_Nativ'!$B$6:$B$405,E1078,'Istoric_Nativ'!$C$6:$C$405,F1078,'Istoric_Nativ'!$F$6:$F$405,G1078,'Istoric_Nativ'!$D$6:$D$405,"&lt;"&amp;J1078,'Istoric_Nativ'!$P$6:$P$405,1,'Istoric_Nativ'!$D$6:$D$405,"&gt;="&amp;L1078)))/M1078)</x:f>
      </x:c>
      <x:c r="O1078" s="11" t="str">
        <x:f>IF(M1078=0,"",IF(H1078="HOME",SUMIFS('Istoric_Nativ'!$H$6:$H$405,'Istoric_Nativ'!$B$6:$B$405,E1078,'Istoric_Nativ'!$C$6:$C$405,F1078,'Istoric_Nativ'!$E$6:$E$405,G1078,'Istoric_Nativ'!$D$6:$D$405,"&lt;"&amp;J1078,'Istoric_Nativ'!$P$6:$P$405,1,'Istoric_Nativ'!$D$6:$D$405,"&gt;="&amp;L1078),IF(H1078="AWAY",SUMIFS('Istoric_Nativ'!$G$6:$G$405,'Istoric_Nativ'!$B$6:$B$405,E1078,'Istoric_Nativ'!$C$6:$C$405,F1078,'Istoric_Nativ'!$F$6:$F$405,G1078,'Istoric_Nativ'!$D$6:$D$405,"&lt;"&amp;J1078,'Istoric_Nativ'!$P$6:$P$405,1,'Istoric_Nativ'!$D$6:$D$405,"&gt;="&amp;L1078),SUMIFS('Istoric_Nativ'!$H$6:$H$405,'Istoric_Nativ'!$B$6:$B$405,E1078,'Istoric_Nativ'!$C$6:$C$405,F1078,'Istoric_Nativ'!$E$6:$E$405,G1078,'Istoric_Nativ'!$D$6:$D$405,"&lt;"&amp;J1078,'Istoric_Nativ'!$P$6:$P$405,1,'Istoric_Nativ'!$D$6:$D$405,"&gt;="&amp;L1078)+SUMIFS('Istoric_Nativ'!$G$6:$G$405,'Istoric_Nativ'!$B$6:$B$405,E1078,'Istoric_Nativ'!$C$6:$C$405,F1078,'Istoric_Nativ'!$F$6:$F$405,G1078,'Istoric_Nativ'!$D$6:$D$405,"&lt;"&amp;J1078,'Istoric_Nativ'!$P$6:$P$405,1,'Istoric_Nativ'!$D$6:$D$405,"&gt;="&amp;L1078)))/M1078)</x:f>
      </x:c>
      <x:c r="P1078" s="2" t="n">
        <x:f>'Config_v6'!$B$8</x:f>
        <x:v>5</x:v>
      </x:c>
      <x:c r="Q1078" s="2" t="n">
        <x:f>IF(OR(B1078="",F1078=""),0,IFERROR(MATCH(E1078&amp;"|"&amp;F1078,SourceTable[Source_Key],0),0))</x:f>
        <x:v>0</x:v>
      </x:c>
      <x:c r="R1078" s="2" t="str">
        <x:f>IF(B1078="","",IF(F1078="","UNUSED",IF(Q1078=0,"NOT CHECKED",IF(COUNTIF(SourceTable[Source_Key],E1078&amp;"|"&amp;F1078)&lt;&gt;1,"SOURCE CONFLICT",IF(NOT(OR(INDEX(SourceTable[Status],MAX(1,Q1078))="IMPORTED",INDEX(SourceTable[Status],MAX(1,Q1078))="PARTIAL",INDEX(SourceTable[Status],MAX(1,Q1078))="SOURCE CONFLICT")),"ACCESS BLOCKED",IF(OR(INDEX(SourceTable[Coverage],Q1078)&lt;&gt;"FULL SEASON EXPORT",INDEX(SourceTable[URL],Q1078)="",INDEX(SourceTable[SHA256],Q1078)=""),"EVIDENCE INCOMPLETE",IF(AND('Input_Meci'!H95="LIVE",INDEX(SourceTable[Retrieved_UTC],Q1078)&gt;'Input_Meci'!G95),"POST CUTOFF","CLOSED")))))))</x:f>
      </x:c>
      <x:c r="S1078" s="2" t="n">
        <x:f>IF(OR(B1078="",F1078=""),0,COUNTIFS('Istoric_Nativ'!$B$6:$B$405,E1078,'Istoric_Nativ'!$C$6:$C$405,F1078,'Istoric_Nativ'!$E$6:$E$405,G1078,'Istoric_Nativ'!$D$6:$D$405,"&lt;"&amp;J1078,'Istoric_Nativ'!$O$6:$O$405,"INVALID")+COUNTIFS('Istoric_Nativ'!$B$6:$B$405,E1078,'Istoric_Nativ'!$C$6:$C$405,F1078,'Istoric_Nativ'!$E$6:$E$405,G1078,'Istoric_Nativ'!$O$6:$O$405,"INVALID",'Istoric_Nativ'!$D$6:$D$405,"*")+COUNTIFS('Istoric_Nativ'!$B$6:$B$405,E1078,'Istoric_Nativ'!$C$6:$C$405,F1078,'Istoric_Nativ'!$E$6:$E$405,G1078,'Istoric_Nativ'!$D$6:$D$405,"&lt;"&amp;J1078,'Istoric_Nativ'!$O$6:$O$405,"SOURCE CONFLICT")+COUNTIFS('Istoric_Nativ'!$B$6:$B$405,E1078,'Istoric_Nativ'!$C$6:$C$405,F1078,'Istoric_Nativ'!$F$6:$F$405,G1078,'Istoric_Nativ'!$D$6:$D$405,"&lt;"&amp;J1078,'Istoric_Nativ'!$O$6:$O$405,"INVALID")+COUNTIFS('Istoric_Nativ'!$B$6:$B$405,E1078,'Istoric_Nativ'!$C$6:$C$405,F1078,'Istoric_Nativ'!$F$6:$F$405,G1078,'Istoric_Nativ'!$O$6:$O$405,"INVALID",'Istoric_Nativ'!$D$6:$D$405,"*")+COUNTIFS('Istoric_Nativ'!$B$6:$B$405,E1078,'Istoric_Nativ'!$C$6:$C$405,F1078,'Istoric_Nativ'!$F$6:$F$405,G1078,'Istoric_Nativ'!$D$6:$D$405,"&lt;"&amp;J1078,'Istoric_Nativ'!$O$6:$O$405,"SOURCE CONFLICT"))</x:f>
        <x:v>0</x:v>
      </x:c>
      <x:c r="T1078" s="2" t="str">
        <x:f>IF(B1078="","",IF(R1078&lt;&gt;"CLOSED",R1078,IF(S1078&gt;0,"NATIVE INPUT ISSUE",IF(M1078=0,"NO HISTORY",IF(M1078&lt;P1078,"SMALL SAMPLE","DERIVED")))))</x:f>
      </x:c>
      <x:c r="U1078" s="2" t="str">
        <x:f>IF(B1078="","","NativeTable; "&amp;E1078&amp;"; "&amp;F1078&amp;"; "&amp;G1078&amp;"; "&amp;H1078&amp;"; before "&amp;TEXT(J1078,"yyyy-mm-dd")&amp;IF(I1078="RECENT","; from "&amp;TEXT(L1078,"yyyy-mm-dd"),""))</x:f>
      </x:c>
    </x:row>
    <x:row r="1079" ht="21" customHeight="1">
      <x:c r="A1079" s="2" t="n">
        <x:v>90</x:v>
      </x:c>
      <x:c r="B1079" s="2" t="str">
        <x:f>IF('Input_Meci'!A95="","",'Input_Meci'!A95)</x:f>
      </x:c>
      <x:c r="C1079" s="2" t="str">
        <x:v>A</x:v>
      </x:c>
      <x:c r="D1079" s="2" t="str">
        <x:v>CURRENT</x:v>
      </x:c>
      <x:c r="E1079" s="2" t="str">
        <x:f>IF(B1079="","",'Input_Meci'!B95)</x:f>
      </x:c>
      <x:c r="F1079" s="2" t="str">
        <x:f>IF(B1079="","",IF('Input_Meci'!C95="","",'Input_Meci'!C95))</x:f>
      </x:c>
      <x:c r="G1079" s="2" t="str">
        <x:f>IF(B1079="","",'Input_Meci'!E95)</x:f>
      </x:c>
      <x:c r="H1079" s="2" t="str">
        <x:v>ANY</x:v>
      </x:c>
      <x:c r="I1079" s="2" t="str">
        <x:v>RECENT</x:v>
      </x:c>
      <x:c r="J1079" s="9" t="n">
        <x:f>IF(AND(B1079&lt;&gt;"",ISNUMBER('Input_Meci'!G95)),INT('Input_Meci'!G95),0)</x:f>
        <x:v>0</x:v>
      </x:c>
      <x:c r="K1079" s="2" t="n">
        <x:f>IF(OR(B1079="",F1079=""),0,IF(H1079="HOME",COUNTIFS('Istoric_Nativ'!$B$6:$B$405,E1079,'Istoric_Nativ'!$C$6:$C$405,F1079,'Istoric_Nativ'!$E$6:$E$405,G1079,'Istoric_Nativ'!$D$6:$D$405,"&lt;"&amp;J1079,'Istoric_Nativ'!$P$6:$P$405,1),IF(H1079="AWAY",COUNTIFS('Istoric_Nativ'!$B$6:$B$405,E1079,'Istoric_Nativ'!$C$6:$C$405,F1079,'Istoric_Nativ'!$F$6:$F$405,G1079,'Istoric_Nativ'!$D$6:$D$405,"&lt;"&amp;J1079,'Istoric_Nativ'!$P$6:$P$405,1),COUNTIFS('Istoric_Nativ'!$B$6:$B$405,E1079,'Istoric_Nativ'!$C$6:$C$405,F1079,'Istoric_Nativ'!$E$6:$E$405,G1079,'Istoric_Nativ'!$D$6:$D$405,"&lt;"&amp;J1079,'Istoric_Nativ'!$P$6:$P$405,1)+COUNTIFS('Istoric_Nativ'!$B$6:$B$405,E1079,'Istoric_Nativ'!$C$6:$C$405,F1079,'Istoric_Nativ'!$F$6:$F$405,G1079,'Istoric_Nativ'!$D$6:$D$405,"&lt;"&amp;J1079,'Istoric_Nativ'!$P$6:$P$405,1))))</x:f>
        <x:v>0</x:v>
      </x:c>
      <x:c r="L1079" s="17" t="n">
        <x:f>IF(AND(B1079&lt;&gt;"",I1079="RECENT",K1079&gt;0),LARGE(_xlfn._xlws.FILTER('Istoric_Nativ'!$D$6:$D$405,('Istoric_Nativ'!$B$6:$B$405=E1079)*('Istoric_Nativ'!$C$6:$C$405=F1079)*('Istoric_Nativ'!$P$6:$P$405=1)*('Istoric_Nativ'!$D$6:$D$405&lt;J1079)*((('Istoric_Nativ'!$E$6:$E$405=G1079)+('Istoric_Nativ'!$F$6:$F$405=G1079))&gt;0)),MIN('Config_v6'!$B$54,K1079)),0)</x:f>
        <x:v>0</x:v>
      </x:c>
      <x:c r="M1079" s="2" t="n">
        <x:f>IF(OR(B1079="",F1079=""),0,IF(H1079="HOME",COUNTIFS('Istoric_Nativ'!$B$6:$B$405,E1079,'Istoric_Nativ'!$C$6:$C$405,F1079,'Istoric_Nativ'!$E$6:$E$405,G1079,'Istoric_Nativ'!$D$6:$D$405,"&lt;"&amp;J1079,'Istoric_Nativ'!$P$6:$P$405,1,'Istoric_Nativ'!$D$6:$D$405,"&gt;="&amp;L1079),IF(H1079="AWAY",COUNTIFS('Istoric_Nativ'!$B$6:$B$405,E1079,'Istoric_Nativ'!$C$6:$C$405,F1079,'Istoric_Nativ'!$F$6:$F$405,G1079,'Istoric_Nativ'!$D$6:$D$405,"&lt;"&amp;J1079,'Istoric_Nativ'!$P$6:$P$405,1,'Istoric_Nativ'!$D$6:$D$405,"&gt;="&amp;L1079),COUNTIFS('Istoric_Nativ'!$B$6:$B$405,E1079,'Istoric_Nativ'!$C$6:$C$405,F1079,'Istoric_Nativ'!$E$6:$E$405,G1079,'Istoric_Nativ'!$D$6:$D$405,"&lt;"&amp;J1079,'Istoric_Nativ'!$P$6:$P$405,1,'Istoric_Nativ'!$D$6:$D$405,"&gt;="&amp;L1079)+COUNTIFS('Istoric_Nativ'!$B$6:$B$405,E1079,'Istoric_Nativ'!$C$6:$C$405,F1079,'Istoric_Nativ'!$F$6:$F$405,G1079,'Istoric_Nativ'!$D$6:$D$405,"&lt;"&amp;J1079,'Istoric_Nativ'!$P$6:$P$405,1,'Istoric_Nativ'!$D$6:$D$405,"&gt;="&amp;L1079))))</x:f>
        <x:v>0</x:v>
      </x:c>
      <x:c r="N1079" s="11" t="str">
        <x:f>IF(M1079=0,"",IF(H1079="HOME",SUMIFS('Istoric_Nativ'!$G$6:$G$405,'Istoric_Nativ'!$B$6:$B$405,E1079,'Istoric_Nativ'!$C$6:$C$405,F1079,'Istoric_Nativ'!$E$6:$E$405,G1079,'Istoric_Nativ'!$D$6:$D$405,"&lt;"&amp;J1079,'Istoric_Nativ'!$P$6:$P$405,1,'Istoric_Nativ'!$D$6:$D$405,"&gt;="&amp;L1079),IF(H1079="AWAY",SUMIFS('Istoric_Nativ'!$H$6:$H$405,'Istoric_Nativ'!$B$6:$B$405,E1079,'Istoric_Nativ'!$C$6:$C$405,F1079,'Istoric_Nativ'!$F$6:$F$405,G1079,'Istoric_Nativ'!$D$6:$D$405,"&lt;"&amp;J1079,'Istoric_Nativ'!$P$6:$P$405,1,'Istoric_Nativ'!$D$6:$D$405,"&gt;="&amp;L1079),SUMIFS('Istoric_Nativ'!$G$6:$G$405,'Istoric_Nativ'!$B$6:$B$405,E1079,'Istoric_Nativ'!$C$6:$C$405,F1079,'Istoric_Nativ'!$E$6:$E$405,G1079,'Istoric_Nativ'!$D$6:$D$405,"&lt;"&amp;J1079,'Istoric_Nativ'!$P$6:$P$405,1,'Istoric_Nativ'!$D$6:$D$405,"&gt;="&amp;L1079)+SUMIFS('Istoric_Nativ'!$H$6:$H$405,'Istoric_Nativ'!$B$6:$B$405,E1079,'Istoric_Nativ'!$C$6:$C$405,F1079,'Istoric_Nativ'!$F$6:$F$405,G1079,'Istoric_Nativ'!$D$6:$D$405,"&lt;"&amp;J1079,'Istoric_Nativ'!$P$6:$P$405,1,'Istoric_Nativ'!$D$6:$D$405,"&gt;="&amp;L1079)))/M1079)</x:f>
      </x:c>
      <x:c r="O1079" s="11" t="str">
        <x:f>IF(M1079=0,"",IF(H1079="HOME",SUMIFS('Istoric_Nativ'!$H$6:$H$405,'Istoric_Nativ'!$B$6:$B$405,E1079,'Istoric_Nativ'!$C$6:$C$405,F1079,'Istoric_Nativ'!$E$6:$E$405,G1079,'Istoric_Nativ'!$D$6:$D$405,"&lt;"&amp;J1079,'Istoric_Nativ'!$P$6:$P$405,1,'Istoric_Nativ'!$D$6:$D$405,"&gt;="&amp;L1079),IF(H1079="AWAY",SUMIFS('Istoric_Nativ'!$G$6:$G$405,'Istoric_Nativ'!$B$6:$B$405,E1079,'Istoric_Nativ'!$C$6:$C$405,F1079,'Istoric_Nativ'!$F$6:$F$405,G1079,'Istoric_Nativ'!$D$6:$D$405,"&lt;"&amp;J1079,'Istoric_Nativ'!$P$6:$P$405,1,'Istoric_Nativ'!$D$6:$D$405,"&gt;="&amp;L1079),SUMIFS('Istoric_Nativ'!$H$6:$H$405,'Istoric_Nativ'!$B$6:$B$405,E1079,'Istoric_Nativ'!$C$6:$C$405,F1079,'Istoric_Nativ'!$E$6:$E$405,G1079,'Istoric_Nativ'!$D$6:$D$405,"&lt;"&amp;J1079,'Istoric_Nativ'!$P$6:$P$405,1,'Istoric_Nativ'!$D$6:$D$405,"&gt;="&amp;L1079)+SUMIFS('Istoric_Nativ'!$G$6:$G$405,'Istoric_Nativ'!$B$6:$B$405,E1079,'Istoric_Nativ'!$C$6:$C$405,F1079,'Istoric_Nativ'!$F$6:$F$405,G1079,'Istoric_Nativ'!$D$6:$D$405,"&lt;"&amp;J1079,'Istoric_Nativ'!$P$6:$P$405,1,'Istoric_Nativ'!$D$6:$D$405,"&gt;="&amp;L1079)))/M1079)</x:f>
      </x:c>
      <x:c r="P1079" s="2" t="n">
        <x:f>'Config_v6'!$B$9</x:f>
        <x:v>3</x:v>
      </x:c>
      <x:c r="Q1079" s="2" t="n">
        <x:f>IF(OR(B1079="",F1079=""),0,IFERROR(MATCH(E1079&amp;"|"&amp;F1079,SourceTable[Source_Key],0),0))</x:f>
        <x:v>0</x:v>
      </x:c>
      <x:c r="R1079" s="2" t="str">
        <x:f>IF(B1079="","",IF(F1079="","UNUSED",IF(Q1079=0,"NOT CHECKED",IF(COUNTIF(SourceTable[Source_Key],E1079&amp;"|"&amp;F1079)&lt;&gt;1,"SOURCE CONFLICT",IF(NOT(OR(INDEX(SourceTable[Status],MAX(1,Q1079))="IMPORTED",INDEX(SourceTable[Status],MAX(1,Q1079))="PARTIAL",INDEX(SourceTable[Status],MAX(1,Q1079))="SOURCE CONFLICT")),"ACCESS BLOCKED",IF(OR(INDEX(SourceTable[Coverage],Q1079)&lt;&gt;"FULL SEASON EXPORT",INDEX(SourceTable[URL],Q1079)="",INDEX(SourceTable[SHA256],Q1079)=""),"EVIDENCE INCOMPLETE",IF(AND('Input_Meci'!H95="LIVE",INDEX(SourceTable[Retrieved_UTC],Q1079)&gt;'Input_Meci'!G95),"POST CUTOFF","CLOSED")))))))</x:f>
      </x:c>
      <x:c r="S1079" s="2" t="n">
        <x:f>IF(OR(B1079="",F1079=""),0,COUNTIFS('Istoric_Nativ'!$B$6:$B$405,E1079,'Istoric_Nativ'!$C$6:$C$405,F1079,'Istoric_Nativ'!$E$6:$E$405,G1079,'Istoric_Nativ'!$D$6:$D$405,"&lt;"&amp;J1079,'Istoric_Nativ'!$O$6:$O$405,"INVALID")+COUNTIFS('Istoric_Nativ'!$B$6:$B$405,E1079,'Istoric_Nativ'!$C$6:$C$405,F1079,'Istoric_Nativ'!$E$6:$E$405,G1079,'Istoric_Nativ'!$O$6:$O$405,"INVALID",'Istoric_Nativ'!$D$6:$D$405,"*")+COUNTIFS('Istoric_Nativ'!$B$6:$B$405,E1079,'Istoric_Nativ'!$C$6:$C$405,F1079,'Istoric_Nativ'!$E$6:$E$405,G1079,'Istoric_Nativ'!$D$6:$D$405,"&lt;"&amp;J1079,'Istoric_Nativ'!$O$6:$O$405,"SOURCE CONFLICT")+COUNTIFS('Istoric_Nativ'!$B$6:$B$405,E1079,'Istoric_Nativ'!$C$6:$C$405,F1079,'Istoric_Nativ'!$F$6:$F$405,G1079,'Istoric_Nativ'!$D$6:$D$405,"&lt;"&amp;J1079,'Istoric_Nativ'!$O$6:$O$405,"INVALID")+COUNTIFS('Istoric_Nativ'!$B$6:$B$405,E1079,'Istoric_Nativ'!$C$6:$C$405,F1079,'Istoric_Nativ'!$F$6:$F$405,G1079,'Istoric_Nativ'!$O$6:$O$405,"INVALID",'Istoric_Nativ'!$D$6:$D$405,"*")+COUNTIFS('Istoric_Nativ'!$B$6:$B$405,E1079,'Istoric_Nativ'!$C$6:$C$405,F1079,'Istoric_Nativ'!$F$6:$F$405,G1079,'Istoric_Nativ'!$D$6:$D$405,"&lt;"&amp;J1079,'Istoric_Nativ'!$O$6:$O$405,"SOURCE CONFLICT"))</x:f>
        <x:v>0</x:v>
      </x:c>
      <x:c r="T1079" s="2" t="str">
        <x:f>IF(B1079="","",IF(R1079&lt;&gt;"CLOSED",R1079,IF(S1079&gt;0,"NATIVE INPUT ISSUE",IF(M1079=0,"NO HISTORY",IF(M1079&lt;P1079,"SMALL SAMPLE","DERIVED")))))</x:f>
      </x:c>
      <x:c r="U1079" s="2" t="str">
        <x:f>IF(B1079="","","NativeTable; "&amp;E1079&amp;"; "&amp;F1079&amp;"; "&amp;G1079&amp;"; "&amp;H1079&amp;"; before "&amp;TEXT(J1079,"yyyy-mm-dd")&amp;IF(I1079="RECENT","; from "&amp;TEXT(L1079,"yyyy-mm-dd"),""))</x:f>
      </x:c>
    </x:row>
    <x:row r="1080" ht="21" customHeight="1">
      <x:c r="A1080" s="2" t="n">
        <x:v>90</x:v>
      </x:c>
      <x:c r="B1080" s="2" t="str">
        <x:f>IF('Input_Meci'!A95="","",'Input_Meci'!A95)</x:f>
      </x:c>
      <x:c r="C1080" s="2" t="str">
        <x:v>H</x:v>
      </x:c>
      <x:c r="D1080" s="2" t="str">
        <x:v>PRIOR</x:v>
      </x:c>
      <x:c r="E1080" s="2" t="str">
        <x:f>IF(B1080="","",'Input_Meci'!B95)</x:f>
      </x:c>
      <x:c r="F1080" s="2" t="str">
        <x:f>IF(B1080="","",IF('Input_Meci'!K95="","",'Input_Meci'!K95))</x:f>
      </x:c>
      <x:c r="G1080" s="2" t="str">
        <x:f>IF(B1080="","",'Input_Meci'!D95)</x:f>
      </x:c>
      <x:c r="H1080" s="2" t="str">
        <x:v>ANY</x:v>
      </x:c>
      <x:c r="I1080" s="2" t="str">
        <x:v>SEASON</x:v>
      </x:c>
      <x:c r="J1080" s="9" t="n">
        <x:f>IF(AND(B1080&lt;&gt;"",ISNUMBER('Input_Meci'!G95)),INT('Input_Meci'!G95),0)</x:f>
        <x:v>0</x:v>
      </x:c>
      <x:c r="K1080" s="2" t="n">
        <x:f>IF(OR(B1080="",F1080=""),0,IF(H1080="HOME",COUNTIFS('Istoric_Nativ'!$B$6:$B$405,E1080,'Istoric_Nativ'!$C$6:$C$405,F1080,'Istoric_Nativ'!$E$6:$E$405,G1080,'Istoric_Nativ'!$D$6:$D$405,"&lt;"&amp;J1080,'Istoric_Nativ'!$P$6:$P$405,1),IF(H1080="AWAY",COUNTIFS('Istoric_Nativ'!$B$6:$B$405,E1080,'Istoric_Nativ'!$C$6:$C$405,F1080,'Istoric_Nativ'!$F$6:$F$405,G1080,'Istoric_Nativ'!$D$6:$D$405,"&lt;"&amp;J1080,'Istoric_Nativ'!$P$6:$P$405,1),COUNTIFS('Istoric_Nativ'!$B$6:$B$405,E1080,'Istoric_Nativ'!$C$6:$C$405,F1080,'Istoric_Nativ'!$E$6:$E$405,G1080,'Istoric_Nativ'!$D$6:$D$405,"&lt;"&amp;J1080,'Istoric_Nativ'!$P$6:$P$405,1)+COUNTIFS('Istoric_Nativ'!$B$6:$B$405,E1080,'Istoric_Nativ'!$C$6:$C$405,F1080,'Istoric_Nativ'!$F$6:$F$405,G1080,'Istoric_Nativ'!$D$6:$D$405,"&lt;"&amp;J1080,'Istoric_Nativ'!$P$6:$P$405,1))))</x:f>
        <x:v>0</x:v>
      </x:c>
      <x:c r="L1080" s="17" t="n">
        <x:f>IF(AND(B1080&lt;&gt;"",I1080="RECENT",K1080&gt;0),LARGE(_xlfn._xlws.FILTER('Istoric_Nativ'!$D$6:$D$405,('Istoric_Nativ'!$B$6:$B$405=E1080)*('Istoric_Nativ'!$C$6:$C$405=F1080)*('Istoric_Nativ'!$P$6:$P$405=1)*('Istoric_Nativ'!$D$6:$D$405&lt;J1080)*((('Istoric_Nativ'!$E$6:$E$405=G1080)+('Istoric_Nativ'!$F$6:$F$405=G1080))&gt;0)),MIN('Config_v6'!$B$54,K1080)),0)</x:f>
        <x:v>0</x:v>
      </x:c>
      <x:c r="M1080" s="2" t="n">
        <x:f>IF(OR(B1080="",F1080=""),0,IF(H1080="HOME",COUNTIFS('Istoric_Nativ'!$B$6:$B$405,E1080,'Istoric_Nativ'!$C$6:$C$405,F1080,'Istoric_Nativ'!$E$6:$E$405,G1080,'Istoric_Nativ'!$D$6:$D$405,"&lt;"&amp;J1080,'Istoric_Nativ'!$P$6:$P$405,1,'Istoric_Nativ'!$D$6:$D$405,"&gt;="&amp;L1080),IF(H1080="AWAY",COUNTIFS('Istoric_Nativ'!$B$6:$B$405,E1080,'Istoric_Nativ'!$C$6:$C$405,F1080,'Istoric_Nativ'!$F$6:$F$405,G1080,'Istoric_Nativ'!$D$6:$D$405,"&lt;"&amp;J1080,'Istoric_Nativ'!$P$6:$P$405,1,'Istoric_Nativ'!$D$6:$D$405,"&gt;="&amp;L1080),COUNTIFS('Istoric_Nativ'!$B$6:$B$405,E1080,'Istoric_Nativ'!$C$6:$C$405,F1080,'Istoric_Nativ'!$E$6:$E$405,G1080,'Istoric_Nativ'!$D$6:$D$405,"&lt;"&amp;J1080,'Istoric_Nativ'!$P$6:$P$405,1,'Istoric_Nativ'!$D$6:$D$405,"&gt;="&amp;L1080)+COUNTIFS('Istoric_Nativ'!$B$6:$B$405,E1080,'Istoric_Nativ'!$C$6:$C$405,F1080,'Istoric_Nativ'!$F$6:$F$405,G1080,'Istoric_Nativ'!$D$6:$D$405,"&lt;"&amp;J1080,'Istoric_Nativ'!$P$6:$P$405,1,'Istoric_Nativ'!$D$6:$D$405,"&gt;="&amp;L1080))))</x:f>
        <x:v>0</x:v>
      </x:c>
      <x:c r="N1080" s="11" t="str">
        <x:f>IF(M1080=0,"",IF(H1080="HOME",SUMIFS('Istoric_Nativ'!$G$6:$G$405,'Istoric_Nativ'!$B$6:$B$405,E1080,'Istoric_Nativ'!$C$6:$C$405,F1080,'Istoric_Nativ'!$E$6:$E$405,G1080,'Istoric_Nativ'!$D$6:$D$405,"&lt;"&amp;J1080,'Istoric_Nativ'!$P$6:$P$405,1,'Istoric_Nativ'!$D$6:$D$405,"&gt;="&amp;L1080),IF(H1080="AWAY",SUMIFS('Istoric_Nativ'!$H$6:$H$405,'Istoric_Nativ'!$B$6:$B$405,E1080,'Istoric_Nativ'!$C$6:$C$405,F1080,'Istoric_Nativ'!$F$6:$F$405,G1080,'Istoric_Nativ'!$D$6:$D$405,"&lt;"&amp;J1080,'Istoric_Nativ'!$P$6:$P$405,1,'Istoric_Nativ'!$D$6:$D$405,"&gt;="&amp;L1080),SUMIFS('Istoric_Nativ'!$G$6:$G$405,'Istoric_Nativ'!$B$6:$B$405,E1080,'Istoric_Nativ'!$C$6:$C$405,F1080,'Istoric_Nativ'!$E$6:$E$405,G1080,'Istoric_Nativ'!$D$6:$D$405,"&lt;"&amp;J1080,'Istoric_Nativ'!$P$6:$P$405,1,'Istoric_Nativ'!$D$6:$D$405,"&gt;="&amp;L1080)+SUMIFS('Istoric_Nativ'!$H$6:$H$405,'Istoric_Nativ'!$B$6:$B$405,E1080,'Istoric_Nativ'!$C$6:$C$405,F1080,'Istoric_Nativ'!$F$6:$F$405,G1080,'Istoric_Nativ'!$D$6:$D$405,"&lt;"&amp;J1080,'Istoric_Nativ'!$P$6:$P$405,1,'Istoric_Nativ'!$D$6:$D$405,"&gt;="&amp;L1080)))/M1080)</x:f>
      </x:c>
      <x:c r="O1080" s="11" t="str">
        <x:f>IF(M1080=0,"",IF(H1080="HOME",SUMIFS('Istoric_Nativ'!$H$6:$H$405,'Istoric_Nativ'!$B$6:$B$405,E1080,'Istoric_Nativ'!$C$6:$C$405,F1080,'Istoric_Nativ'!$E$6:$E$405,G1080,'Istoric_Nativ'!$D$6:$D$405,"&lt;"&amp;J1080,'Istoric_Nativ'!$P$6:$P$405,1,'Istoric_Nativ'!$D$6:$D$405,"&gt;="&amp;L1080),IF(H1080="AWAY",SUMIFS('Istoric_Nativ'!$G$6:$G$405,'Istoric_Nativ'!$B$6:$B$405,E1080,'Istoric_Nativ'!$C$6:$C$405,F1080,'Istoric_Nativ'!$F$6:$F$405,G1080,'Istoric_Nativ'!$D$6:$D$405,"&lt;"&amp;J1080,'Istoric_Nativ'!$P$6:$P$405,1,'Istoric_Nativ'!$D$6:$D$405,"&gt;="&amp;L1080),SUMIFS('Istoric_Nativ'!$H$6:$H$405,'Istoric_Nativ'!$B$6:$B$405,E1080,'Istoric_Nativ'!$C$6:$C$405,F1080,'Istoric_Nativ'!$E$6:$E$405,G1080,'Istoric_Nativ'!$D$6:$D$405,"&lt;"&amp;J1080,'Istoric_Nativ'!$P$6:$P$405,1,'Istoric_Nativ'!$D$6:$D$405,"&gt;="&amp;L1080)+SUMIFS('Istoric_Nativ'!$G$6:$G$405,'Istoric_Nativ'!$B$6:$B$405,E1080,'Istoric_Nativ'!$C$6:$C$405,F1080,'Istoric_Nativ'!$F$6:$F$405,G1080,'Istoric_Nativ'!$D$6:$D$405,"&lt;"&amp;J1080,'Istoric_Nativ'!$P$6:$P$405,1,'Istoric_Nativ'!$D$6:$D$405,"&gt;="&amp;L1080)))/M1080)</x:f>
      </x:c>
      <x:c r="P1080" s="2" t="n">
        <x:f>'Config_v6'!$B$7</x:f>
        <x:v>10</x:v>
      </x:c>
      <x:c r="Q1080" s="2" t="n">
        <x:f>IF(OR(B1080="",F1080=""),0,IFERROR(MATCH(E1080&amp;"|"&amp;F1080,SourceTable[Source_Key],0),0))</x:f>
        <x:v>0</x:v>
      </x:c>
      <x:c r="R1080" s="2" t="str">
        <x:f>IF(B1080="","",IF(F1080="","UNUSED",IF(Q1080=0,"NOT CHECKED",IF(COUNTIF(SourceTable[Source_Key],E1080&amp;"|"&amp;F1080)&lt;&gt;1,"SOURCE CONFLICT",IF(NOT(OR(INDEX(SourceTable[Status],MAX(1,Q1080))="IMPORTED",INDEX(SourceTable[Status],MAX(1,Q1080))="PARTIAL",INDEX(SourceTable[Status],MAX(1,Q1080))="SOURCE CONFLICT")),"ACCESS BLOCKED",IF(OR(INDEX(SourceTable[Coverage],Q1080)&lt;&gt;"FULL SEASON EXPORT",INDEX(SourceTable[URL],Q1080)="",INDEX(SourceTable[SHA256],Q1080)=""),"EVIDENCE INCOMPLETE",IF(AND('Input_Meci'!H95="LIVE",INDEX(SourceTable[Retrieved_UTC],Q1080)&gt;'Input_Meci'!G95),"POST CUTOFF","CLOSED")))))))</x:f>
      </x:c>
      <x:c r="S1080" s="2" t="n">
        <x:f>IF(OR(B1080="",F1080=""),0,COUNTIFS('Istoric_Nativ'!$B$6:$B$405,E1080,'Istoric_Nativ'!$C$6:$C$405,F1080,'Istoric_Nativ'!$E$6:$E$405,G1080,'Istoric_Nativ'!$D$6:$D$405,"&lt;"&amp;J1080,'Istoric_Nativ'!$O$6:$O$405,"INVALID")+COUNTIFS('Istoric_Nativ'!$B$6:$B$405,E1080,'Istoric_Nativ'!$C$6:$C$405,F1080,'Istoric_Nativ'!$E$6:$E$405,G1080,'Istoric_Nativ'!$O$6:$O$405,"INVALID",'Istoric_Nativ'!$D$6:$D$405,"*")+COUNTIFS('Istoric_Nativ'!$B$6:$B$405,E1080,'Istoric_Nativ'!$C$6:$C$405,F1080,'Istoric_Nativ'!$E$6:$E$405,G1080,'Istoric_Nativ'!$D$6:$D$405,"&lt;"&amp;J1080,'Istoric_Nativ'!$O$6:$O$405,"SOURCE CONFLICT")+COUNTIFS('Istoric_Nativ'!$B$6:$B$405,E1080,'Istoric_Nativ'!$C$6:$C$405,F1080,'Istoric_Nativ'!$F$6:$F$405,G1080,'Istoric_Nativ'!$D$6:$D$405,"&lt;"&amp;J1080,'Istoric_Nativ'!$O$6:$O$405,"INVALID")+COUNTIFS('Istoric_Nativ'!$B$6:$B$405,E1080,'Istoric_Nativ'!$C$6:$C$405,F1080,'Istoric_Nativ'!$F$6:$F$405,G1080,'Istoric_Nativ'!$O$6:$O$405,"INVALID",'Istoric_Nativ'!$D$6:$D$405,"*")+COUNTIFS('Istoric_Nativ'!$B$6:$B$405,E1080,'Istoric_Nativ'!$C$6:$C$405,F1080,'Istoric_Nativ'!$F$6:$F$405,G1080,'Istoric_Nativ'!$D$6:$D$405,"&lt;"&amp;J1080,'Istoric_Nativ'!$O$6:$O$405,"SOURCE CONFLICT"))</x:f>
        <x:v>0</x:v>
      </x:c>
      <x:c r="T1080" s="2" t="str">
        <x:f>IF(B1080="","",IF(R1080&lt;&gt;"CLOSED",R1080,IF(S1080&gt;0,"NATIVE INPUT ISSUE",IF(M1080=0,"NO HISTORY",IF(M1080&lt;P1080,"SMALL SAMPLE","DERIVED")))))</x:f>
      </x:c>
      <x:c r="U1080" s="2" t="str">
        <x:f>IF(B1080="","","NativeTable; "&amp;E1080&amp;"; "&amp;F1080&amp;"; "&amp;G1080&amp;"; "&amp;H1080&amp;"; before "&amp;TEXT(J1080,"yyyy-mm-dd")&amp;IF(I1080="RECENT","; from "&amp;TEXT(L1080,"yyyy-mm-dd"),""))</x:f>
      </x:c>
    </x:row>
    <x:row r="1081" ht="21" customHeight="1">
      <x:c r="A1081" s="2" t="n">
        <x:v>90</x:v>
      </x:c>
      <x:c r="B1081" s="2" t="str">
        <x:f>IF('Input_Meci'!A95="","",'Input_Meci'!A95)</x:f>
      </x:c>
      <x:c r="C1081" s="2" t="str">
        <x:v>H</x:v>
      </x:c>
      <x:c r="D1081" s="2" t="str">
        <x:v>PRIOR</x:v>
      </x:c>
      <x:c r="E1081" s="2" t="str">
        <x:f>IF(B1081="","",'Input_Meci'!B95)</x:f>
      </x:c>
      <x:c r="F1081" s="2" t="str">
        <x:f>IF(B1081="","",IF('Input_Meci'!K95="","",'Input_Meci'!K95))</x:f>
      </x:c>
      <x:c r="G1081" s="2" t="str">
        <x:f>IF(B1081="","",'Input_Meci'!D95)</x:f>
      </x:c>
      <x:c r="H1081" s="2" t="str">
        <x:v>HOME</x:v>
      </x:c>
      <x:c r="I1081" s="2" t="str">
        <x:v>HA</x:v>
      </x:c>
      <x:c r="J1081" s="9" t="n">
        <x:f>IF(AND(B1081&lt;&gt;"",ISNUMBER('Input_Meci'!G95)),INT('Input_Meci'!G95),0)</x:f>
        <x:v>0</x:v>
      </x:c>
      <x:c r="K1081" s="2" t="n">
        <x:f>IF(OR(B1081="",F1081=""),0,IF(H1081="HOME",COUNTIFS('Istoric_Nativ'!$B$6:$B$405,E1081,'Istoric_Nativ'!$C$6:$C$405,F1081,'Istoric_Nativ'!$E$6:$E$405,G1081,'Istoric_Nativ'!$D$6:$D$405,"&lt;"&amp;J1081,'Istoric_Nativ'!$P$6:$P$405,1),IF(H1081="AWAY",COUNTIFS('Istoric_Nativ'!$B$6:$B$405,E1081,'Istoric_Nativ'!$C$6:$C$405,F1081,'Istoric_Nativ'!$F$6:$F$405,G1081,'Istoric_Nativ'!$D$6:$D$405,"&lt;"&amp;J1081,'Istoric_Nativ'!$P$6:$P$405,1),COUNTIFS('Istoric_Nativ'!$B$6:$B$405,E1081,'Istoric_Nativ'!$C$6:$C$405,F1081,'Istoric_Nativ'!$E$6:$E$405,G1081,'Istoric_Nativ'!$D$6:$D$405,"&lt;"&amp;J1081,'Istoric_Nativ'!$P$6:$P$405,1)+COUNTIFS('Istoric_Nativ'!$B$6:$B$405,E1081,'Istoric_Nativ'!$C$6:$C$405,F1081,'Istoric_Nativ'!$F$6:$F$405,G1081,'Istoric_Nativ'!$D$6:$D$405,"&lt;"&amp;J1081,'Istoric_Nativ'!$P$6:$P$405,1))))</x:f>
        <x:v>0</x:v>
      </x:c>
      <x:c r="L1081" s="17" t="n">
        <x:f>IF(AND(B1081&lt;&gt;"",I1081="RECENT",K1081&gt;0),LARGE(_xlfn._xlws.FILTER('Istoric_Nativ'!$D$6:$D$405,('Istoric_Nativ'!$B$6:$B$405=E1081)*('Istoric_Nativ'!$C$6:$C$405=F1081)*('Istoric_Nativ'!$P$6:$P$405=1)*('Istoric_Nativ'!$D$6:$D$405&lt;J1081)*((('Istoric_Nativ'!$E$6:$E$405=G1081)+('Istoric_Nativ'!$F$6:$F$405=G1081))&gt;0)),MIN('Config_v6'!$B$54,K1081)),0)</x:f>
        <x:v>0</x:v>
      </x:c>
      <x:c r="M1081" s="2" t="n">
        <x:f>IF(OR(B1081="",F1081=""),0,IF(H1081="HOME",COUNTIFS('Istoric_Nativ'!$B$6:$B$405,E1081,'Istoric_Nativ'!$C$6:$C$405,F1081,'Istoric_Nativ'!$E$6:$E$405,G1081,'Istoric_Nativ'!$D$6:$D$405,"&lt;"&amp;J1081,'Istoric_Nativ'!$P$6:$P$405,1,'Istoric_Nativ'!$D$6:$D$405,"&gt;="&amp;L1081),IF(H1081="AWAY",COUNTIFS('Istoric_Nativ'!$B$6:$B$405,E1081,'Istoric_Nativ'!$C$6:$C$405,F1081,'Istoric_Nativ'!$F$6:$F$405,G1081,'Istoric_Nativ'!$D$6:$D$405,"&lt;"&amp;J1081,'Istoric_Nativ'!$P$6:$P$405,1,'Istoric_Nativ'!$D$6:$D$405,"&gt;="&amp;L1081),COUNTIFS('Istoric_Nativ'!$B$6:$B$405,E1081,'Istoric_Nativ'!$C$6:$C$405,F1081,'Istoric_Nativ'!$E$6:$E$405,G1081,'Istoric_Nativ'!$D$6:$D$405,"&lt;"&amp;J1081,'Istoric_Nativ'!$P$6:$P$405,1,'Istoric_Nativ'!$D$6:$D$405,"&gt;="&amp;L1081)+COUNTIFS('Istoric_Nativ'!$B$6:$B$405,E1081,'Istoric_Nativ'!$C$6:$C$405,F1081,'Istoric_Nativ'!$F$6:$F$405,G1081,'Istoric_Nativ'!$D$6:$D$405,"&lt;"&amp;J1081,'Istoric_Nativ'!$P$6:$P$405,1,'Istoric_Nativ'!$D$6:$D$405,"&gt;="&amp;L1081))))</x:f>
        <x:v>0</x:v>
      </x:c>
      <x:c r="N1081" s="11" t="str">
        <x:f>IF(M1081=0,"",IF(H1081="HOME",SUMIFS('Istoric_Nativ'!$G$6:$G$405,'Istoric_Nativ'!$B$6:$B$405,E1081,'Istoric_Nativ'!$C$6:$C$405,F1081,'Istoric_Nativ'!$E$6:$E$405,G1081,'Istoric_Nativ'!$D$6:$D$405,"&lt;"&amp;J1081,'Istoric_Nativ'!$P$6:$P$405,1,'Istoric_Nativ'!$D$6:$D$405,"&gt;="&amp;L1081),IF(H1081="AWAY",SUMIFS('Istoric_Nativ'!$H$6:$H$405,'Istoric_Nativ'!$B$6:$B$405,E1081,'Istoric_Nativ'!$C$6:$C$405,F1081,'Istoric_Nativ'!$F$6:$F$405,G1081,'Istoric_Nativ'!$D$6:$D$405,"&lt;"&amp;J1081,'Istoric_Nativ'!$P$6:$P$405,1,'Istoric_Nativ'!$D$6:$D$405,"&gt;="&amp;L1081),SUMIFS('Istoric_Nativ'!$G$6:$G$405,'Istoric_Nativ'!$B$6:$B$405,E1081,'Istoric_Nativ'!$C$6:$C$405,F1081,'Istoric_Nativ'!$E$6:$E$405,G1081,'Istoric_Nativ'!$D$6:$D$405,"&lt;"&amp;J1081,'Istoric_Nativ'!$P$6:$P$405,1,'Istoric_Nativ'!$D$6:$D$405,"&gt;="&amp;L1081)+SUMIFS('Istoric_Nativ'!$H$6:$H$405,'Istoric_Nativ'!$B$6:$B$405,E1081,'Istoric_Nativ'!$C$6:$C$405,F1081,'Istoric_Nativ'!$F$6:$F$405,G1081,'Istoric_Nativ'!$D$6:$D$405,"&lt;"&amp;J1081,'Istoric_Nativ'!$P$6:$P$405,1,'Istoric_Nativ'!$D$6:$D$405,"&gt;="&amp;L1081)))/M1081)</x:f>
      </x:c>
      <x:c r="O1081" s="11" t="str">
        <x:f>IF(M1081=0,"",IF(H1081="HOME",SUMIFS('Istoric_Nativ'!$H$6:$H$405,'Istoric_Nativ'!$B$6:$B$405,E1081,'Istoric_Nativ'!$C$6:$C$405,F1081,'Istoric_Nativ'!$E$6:$E$405,G1081,'Istoric_Nativ'!$D$6:$D$405,"&lt;"&amp;J1081,'Istoric_Nativ'!$P$6:$P$405,1,'Istoric_Nativ'!$D$6:$D$405,"&gt;="&amp;L1081),IF(H1081="AWAY",SUMIFS('Istoric_Nativ'!$G$6:$G$405,'Istoric_Nativ'!$B$6:$B$405,E1081,'Istoric_Nativ'!$C$6:$C$405,F1081,'Istoric_Nativ'!$F$6:$F$405,G1081,'Istoric_Nativ'!$D$6:$D$405,"&lt;"&amp;J1081,'Istoric_Nativ'!$P$6:$P$405,1,'Istoric_Nativ'!$D$6:$D$405,"&gt;="&amp;L1081),SUMIFS('Istoric_Nativ'!$H$6:$H$405,'Istoric_Nativ'!$B$6:$B$405,E1081,'Istoric_Nativ'!$C$6:$C$405,F1081,'Istoric_Nativ'!$E$6:$E$405,G1081,'Istoric_Nativ'!$D$6:$D$405,"&lt;"&amp;J1081,'Istoric_Nativ'!$P$6:$P$405,1,'Istoric_Nativ'!$D$6:$D$405,"&gt;="&amp;L1081)+SUMIFS('Istoric_Nativ'!$G$6:$G$405,'Istoric_Nativ'!$B$6:$B$405,E1081,'Istoric_Nativ'!$C$6:$C$405,F1081,'Istoric_Nativ'!$F$6:$F$405,G1081,'Istoric_Nativ'!$D$6:$D$405,"&lt;"&amp;J1081,'Istoric_Nativ'!$P$6:$P$405,1,'Istoric_Nativ'!$D$6:$D$405,"&gt;="&amp;L1081)))/M1081)</x:f>
      </x:c>
      <x:c r="P1081" s="2" t="n">
        <x:f>'Config_v6'!$B$8</x:f>
        <x:v>5</x:v>
      </x:c>
      <x:c r="Q1081" s="2" t="n">
        <x:f>IF(OR(B1081="",F1081=""),0,IFERROR(MATCH(E1081&amp;"|"&amp;F1081,SourceTable[Source_Key],0),0))</x:f>
        <x:v>0</x:v>
      </x:c>
      <x:c r="R1081" s="2" t="str">
        <x:f>IF(B1081="","",IF(F1081="","UNUSED",IF(Q1081=0,"NOT CHECKED",IF(COUNTIF(SourceTable[Source_Key],E1081&amp;"|"&amp;F1081)&lt;&gt;1,"SOURCE CONFLICT",IF(NOT(OR(INDEX(SourceTable[Status],MAX(1,Q1081))="IMPORTED",INDEX(SourceTable[Status],MAX(1,Q1081))="PARTIAL",INDEX(SourceTable[Status],MAX(1,Q1081))="SOURCE CONFLICT")),"ACCESS BLOCKED",IF(OR(INDEX(SourceTable[Coverage],Q1081)&lt;&gt;"FULL SEASON EXPORT",INDEX(SourceTable[URL],Q1081)="",INDEX(SourceTable[SHA256],Q1081)=""),"EVIDENCE INCOMPLETE",IF(AND('Input_Meci'!H95="LIVE",INDEX(SourceTable[Retrieved_UTC],Q1081)&gt;'Input_Meci'!G95),"POST CUTOFF","CLOSED")))))))</x:f>
      </x:c>
      <x:c r="S1081" s="2" t="n">
        <x:f>IF(OR(B1081="",F1081=""),0,COUNTIFS('Istoric_Nativ'!$B$6:$B$405,E1081,'Istoric_Nativ'!$C$6:$C$405,F1081,'Istoric_Nativ'!$E$6:$E$405,G1081,'Istoric_Nativ'!$D$6:$D$405,"&lt;"&amp;J1081,'Istoric_Nativ'!$O$6:$O$405,"INVALID")+COUNTIFS('Istoric_Nativ'!$B$6:$B$405,E1081,'Istoric_Nativ'!$C$6:$C$405,F1081,'Istoric_Nativ'!$E$6:$E$405,G1081,'Istoric_Nativ'!$O$6:$O$405,"INVALID",'Istoric_Nativ'!$D$6:$D$405,"*")+COUNTIFS('Istoric_Nativ'!$B$6:$B$405,E1081,'Istoric_Nativ'!$C$6:$C$405,F1081,'Istoric_Nativ'!$E$6:$E$405,G1081,'Istoric_Nativ'!$D$6:$D$405,"&lt;"&amp;J1081,'Istoric_Nativ'!$O$6:$O$405,"SOURCE CONFLICT")+COUNTIFS('Istoric_Nativ'!$B$6:$B$405,E1081,'Istoric_Nativ'!$C$6:$C$405,F1081,'Istoric_Nativ'!$F$6:$F$405,G1081,'Istoric_Nativ'!$D$6:$D$405,"&lt;"&amp;J1081,'Istoric_Nativ'!$O$6:$O$405,"INVALID")+COUNTIFS('Istoric_Nativ'!$B$6:$B$405,E1081,'Istoric_Nativ'!$C$6:$C$405,F1081,'Istoric_Nativ'!$F$6:$F$405,G1081,'Istoric_Nativ'!$O$6:$O$405,"INVALID",'Istoric_Nativ'!$D$6:$D$405,"*")+COUNTIFS('Istoric_Nativ'!$B$6:$B$405,E1081,'Istoric_Nativ'!$C$6:$C$405,F1081,'Istoric_Nativ'!$F$6:$F$405,G1081,'Istoric_Nativ'!$D$6:$D$405,"&lt;"&amp;J1081,'Istoric_Nativ'!$O$6:$O$405,"SOURCE CONFLICT"))</x:f>
        <x:v>0</x:v>
      </x:c>
      <x:c r="T1081" s="2" t="str">
        <x:f>IF(B1081="","",IF(R1081&lt;&gt;"CLOSED",R1081,IF(S1081&gt;0,"NATIVE INPUT ISSUE",IF(M1081=0,"NO HISTORY",IF(M1081&lt;P1081,"SMALL SAMPLE","DERIVED")))))</x:f>
      </x:c>
      <x:c r="U1081" s="2" t="str">
        <x:f>IF(B1081="","","NativeTable; "&amp;E1081&amp;"; "&amp;F1081&amp;"; "&amp;G1081&amp;"; "&amp;H1081&amp;"; before "&amp;TEXT(J1081,"yyyy-mm-dd")&amp;IF(I1081="RECENT","; from "&amp;TEXT(L1081,"yyyy-mm-dd"),""))</x:f>
      </x:c>
    </x:row>
    <x:row r="1082" ht="21" customHeight="1">
      <x:c r="A1082" s="2" t="n">
        <x:v>90</x:v>
      </x:c>
      <x:c r="B1082" s="2" t="str">
        <x:f>IF('Input_Meci'!A95="","",'Input_Meci'!A95)</x:f>
      </x:c>
      <x:c r="C1082" s="2" t="str">
        <x:v>H</x:v>
      </x:c>
      <x:c r="D1082" s="2" t="str">
        <x:v>PRIOR</x:v>
      </x:c>
      <x:c r="E1082" s="2" t="str">
        <x:f>IF(B1082="","",'Input_Meci'!B95)</x:f>
      </x:c>
      <x:c r="F1082" s="2" t="str">
        <x:f>IF(B1082="","",IF('Input_Meci'!K95="","",'Input_Meci'!K95))</x:f>
      </x:c>
      <x:c r="G1082" s="2" t="str">
        <x:f>IF(B1082="","",'Input_Meci'!D95)</x:f>
      </x:c>
      <x:c r="H1082" s="2" t="str">
        <x:v>ANY</x:v>
      </x:c>
      <x:c r="I1082" s="2" t="str">
        <x:v>RECENT</x:v>
      </x:c>
      <x:c r="J1082" s="9" t="n">
        <x:f>IF(AND(B1082&lt;&gt;"",ISNUMBER('Input_Meci'!G95)),INT('Input_Meci'!G95),0)</x:f>
        <x:v>0</x:v>
      </x:c>
      <x:c r="K1082" s="2" t="n">
        <x:f>IF(OR(B1082="",F1082=""),0,IF(H1082="HOME",COUNTIFS('Istoric_Nativ'!$B$6:$B$405,E1082,'Istoric_Nativ'!$C$6:$C$405,F1082,'Istoric_Nativ'!$E$6:$E$405,G1082,'Istoric_Nativ'!$D$6:$D$405,"&lt;"&amp;J1082,'Istoric_Nativ'!$P$6:$P$405,1),IF(H1082="AWAY",COUNTIFS('Istoric_Nativ'!$B$6:$B$405,E1082,'Istoric_Nativ'!$C$6:$C$405,F1082,'Istoric_Nativ'!$F$6:$F$405,G1082,'Istoric_Nativ'!$D$6:$D$405,"&lt;"&amp;J1082,'Istoric_Nativ'!$P$6:$P$405,1),COUNTIFS('Istoric_Nativ'!$B$6:$B$405,E1082,'Istoric_Nativ'!$C$6:$C$405,F1082,'Istoric_Nativ'!$E$6:$E$405,G1082,'Istoric_Nativ'!$D$6:$D$405,"&lt;"&amp;J1082,'Istoric_Nativ'!$P$6:$P$405,1)+COUNTIFS('Istoric_Nativ'!$B$6:$B$405,E1082,'Istoric_Nativ'!$C$6:$C$405,F1082,'Istoric_Nativ'!$F$6:$F$405,G1082,'Istoric_Nativ'!$D$6:$D$405,"&lt;"&amp;J1082,'Istoric_Nativ'!$P$6:$P$405,1))))</x:f>
        <x:v>0</x:v>
      </x:c>
      <x:c r="L1082" s="17" t="n">
        <x:f>IF(AND(B1082&lt;&gt;"",I1082="RECENT",K1082&gt;0),LARGE(_xlfn._xlws.FILTER('Istoric_Nativ'!$D$6:$D$405,('Istoric_Nativ'!$B$6:$B$405=E1082)*('Istoric_Nativ'!$C$6:$C$405=F1082)*('Istoric_Nativ'!$P$6:$P$405=1)*('Istoric_Nativ'!$D$6:$D$405&lt;J1082)*((('Istoric_Nativ'!$E$6:$E$405=G1082)+('Istoric_Nativ'!$F$6:$F$405=G1082))&gt;0)),MIN('Config_v6'!$B$54,K1082)),0)</x:f>
        <x:v>0</x:v>
      </x:c>
      <x:c r="M1082" s="2" t="n">
        <x:f>IF(OR(B1082="",F1082=""),0,IF(H1082="HOME",COUNTIFS('Istoric_Nativ'!$B$6:$B$405,E1082,'Istoric_Nativ'!$C$6:$C$405,F1082,'Istoric_Nativ'!$E$6:$E$405,G1082,'Istoric_Nativ'!$D$6:$D$405,"&lt;"&amp;J1082,'Istoric_Nativ'!$P$6:$P$405,1,'Istoric_Nativ'!$D$6:$D$405,"&gt;="&amp;L1082),IF(H1082="AWAY",COUNTIFS('Istoric_Nativ'!$B$6:$B$405,E1082,'Istoric_Nativ'!$C$6:$C$405,F1082,'Istoric_Nativ'!$F$6:$F$405,G1082,'Istoric_Nativ'!$D$6:$D$405,"&lt;"&amp;J1082,'Istoric_Nativ'!$P$6:$P$405,1,'Istoric_Nativ'!$D$6:$D$405,"&gt;="&amp;L1082),COUNTIFS('Istoric_Nativ'!$B$6:$B$405,E1082,'Istoric_Nativ'!$C$6:$C$405,F1082,'Istoric_Nativ'!$E$6:$E$405,G1082,'Istoric_Nativ'!$D$6:$D$405,"&lt;"&amp;J1082,'Istoric_Nativ'!$P$6:$P$405,1,'Istoric_Nativ'!$D$6:$D$405,"&gt;="&amp;L1082)+COUNTIFS('Istoric_Nativ'!$B$6:$B$405,E1082,'Istoric_Nativ'!$C$6:$C$405,F1082,'Istoric_Nativ'!$F$6:$F$405,G1082,'Istoric_Nativ'!$D$6:$D$405,"&lt;"&amp;J1082,'Istoric_Nativ'!$P$6:$P$405,1,'Istoric_Nativ'!$D$6:$D$405,"&gt;="&amp;L1082))))</x:f>
        <x:v>0</x:v>
      </x:c>
      <x:c r="N1082" s="11" t="str">
        <x:f>IF(M1082=0,"",IF(H1082="HOME",SUMIFS('Istoric_Nativ'!$G$6:$G$405,'Istoric_Nativ'!$B$6:$B$405,E1082,'Istoric_Nativ'!$C$6:$C$405,F1082,'Istoric_Nativ'!$E$6:$E$405,G1082,'Istoric_Nativ'!$D$6:$D$405,"&lt;"&amp;J1082,'Istoric_Nativ'!$P$6:$P$405,1,'Istoric_Nativ'!$D$6:$D$405,"&gt;="&amp;L1082),IF(H1082="AWAY",SUMIFS('Istoric_Nativ'!$H$6:$H$405,'Istoric_Nativ'!$B$6:$B$405,E1082,'Istoric_Nativ'!$C$6:$C$405,F1082,'Istoric_Nativ'!$F$6:$F$405,G1082,'Istoric_Nativ'!$D$6:$D$405,"&lt;"&amp;J1082,'Istoric_Nativ'!$P$6:$P$405,1,'Istoric_Nativ'!$D$6:$D$405,"&gt;="&amp;L1082),SUMIFS('Istoric_Nativ'!$G$6:$G$405,'Istoric_Nativ'!$B$6:$B$405,E1082,'Istoric_Nativ'!$C$6:$C$405,F1082,'Istoric_Nativ'!$E$6:$E$405,G1082,'Istoric_Nativ'!$D$6:$D$405,"&lt;"&amp;J1082,'Istoric_Nativ'!$P$6:$P$405,1,'Istoric_Nativ'!$D$6:$D$405,"&gt;="&amp;L1082)+SUMIFS('Istoric_Nativ'!$H$6:$H$405,'Istoric_Nativ'!$B$6:$B$405,E1082,'Istoric_Nativ'!$C$6:$C$405,F1082,'Istoric_Nativ'!$F$6:$F$405,G1082,'Istoric_Nativ'!$D$6:$D$405,"&lt;"&amp;J1082,'Istoric_Nativ'!$P$6:$P$405,1,'Istoric_Nativ'!$D$6:$D$405,"&gt;="&amp;L1082)))/M1082)</x:f>
      </x:c>
      <x:c r="O1082" s="11" t="str">
        <x:f>IF(M1082=0,"",IF(H1082="HOME",SUMIFS('Istoric_Nativ'!$H$6:$H$405,'Istoric_Nativ'!$B$6:$B$405,E1082,'Istoric_Nativ'!$C$6:$C$405,F1082,'Istoric_Nativ'!$E$6:$E$405,G1082,'Istoric_Nativ'!$D$6:$D$405,"&lt;"&amp;J1082,'Istoric_Nativ'!$P$6:$P$405,1,'Istoric_Nativ'!$D$6:$D$405,"&gt;="&amp;L1082),IF(H1082="AWAY",SUMIFS('Istoric_Nativ'!$G$6:$G$405,'Istoric_Nativ'!$B$6:$B$405,E1082,'Istoric_Nativ'!$C$6:$C$405,F1082,'Istoric_Nativ'!$F$6:$F$405,G1082,'Istoric_Nativ'!$D$6:$D$405,"&lt;"&amp;J1082,'Istoric_Nativ'!$P$6:$P$405,1,'Istoric_Nativ'!$D$6:$D$405,"&gt;="&amp;L1082),SUMIFS('Istoric_Nativ'!$H$6:$H$405,'Istoric_Nativ'!$B$6:$B$405,E1082,'Istoric_Nativ'!$C$6:$C$405,F1082,'Istoric_Nativ'!$E$6:$E$405,G1082,'Istoric_Nativ'!$D$6:$D$405,"&lt;"&amp;J1082,'Istoric_Nativ'!$P$6:$P$405,1,'Istoric_Nativ'!$D$6:$D$405,"&gt;="&amp;L1082)+SUMIFS('Istoric_Nativ'!$G$6:$G$405,'Istoric_Nativ'!$B$6:$B$405,E1082,'Istoric_Nativ'!$C$6:$C$405,F1082,'Istoric_Nativ'!$F$6:$F$405,G1082,'Istoric_Nativ'!$D$6:$D$405,"&lt;"&amp;J1082,'Istoric_Nativ'!$P$6:$P$405,1,'Istoric_Nativ'!$D$6:$D$405,"&gt;="&amp;L1082)))/M1082)</x:f>
      </x:c>
      <x:c r="P1082" s="2" t="n">
        <x:f>'Config_v6'!$B$9</x:f>
        <x:v>3</x:v>
      </x:c>
      <x:c r="Q1082" s="2" t="n">
        <x:f>IF(OR(B1082="",F1082=""),0,IFERROR(MATCH(E1082&amp;"|"&amp;F1082,SourceTable[Source_Key],0),0))</x:f>
        <x:v>0</x:v>
      </x:c>
      <x:c r="R1082" s="2" t="str">
        <x:f>IF(B1082="","",IF(F1082="","UNUSED",IF(Q1082=0,"NOT CHECKED",IF(COUNTIF(SourceTable[Source_Key],E1082&amp;"|"&amp;F1082)&lt;&gt;1,"SOURCE CONFLICT",IF(NOT(OR(INDEX(SourceTable[Status],MAX(1,Q1082))="IMPORTED",INDEX(SourceTable[Status],MAX(1,Q1082))="PARTIAL",INDEX(SourceTable[Status],MAX(1,Q1082))="SOURCE CONFLICT")),"ACCESS BLOCKED",IF(OR(INDEX(SourceTable[Coverage],Q1082)&lt;&gt;"FULL SEASON EXPORT",INDEX(SourceTable[URL],Q1082)="",INDEX(SourceTable[SHA256],Q1082)=""),"EVIDENCE INCOMPLETE",IF(AND('Input_Meci'!H95="LIVE",INDEX(SourceTable[Retrieved_UTC],Q1082)&gt;'Input_Meci'!G95),"POST CUTOFF","CLOSED")))))))</x:f>
      </x:c>
      <x:c r="S1082" s="2" t="n">
        <x:f>IF(OR(B1082="",F1082=""),0,COUNTIFS('Istoric_Nativ'!$B$6:$B$405,E1082,'Istoric_Nativ'!$C$6:$C$405,F1082,'Istoric_Nativ'!$E$6:$E$405,G1082,'Istoric_Nativ'!$D$6:$D$405,"&lt;"&amp;J1082,'Istoric_Nativ'!$O$6:$O$405,"INVALID")+COUNTIFS('Istoric_Nativ'!$B$6:$B$405,E1082,'Istoric_Nativ'!$C$6:$C$405,F1082,'Istoric_Nativ'!$E$6:$E$405,G1082,'Istoric_Nativ'!$O$6:$O$405,"INVALID",'Istoric_Nativ'!$D$6:$D$405,"*")+COUNTIFS('Istoric_Nativ'!$B$6:$B$405,E1082,'Istoric_Nativ'!$C$6:$C$405,F1082,'Istoric_Nativ'!$E$6:$E$405,G1082,'Istoric_Nativ'!$D$6:$D$405,"&lt;"&amp;J1082,'Istoric_Nativ'!$O$6:$O$405,"SOURCE CONFLICT")+COUNTIFS('Istoric_Nativ'!$B$6:$B$405,E1082,'Istoric_Nativ'!$C$6:$C$405,F1082,'Istoric_Nativ'!$F$6:$F$405,G1082,'Istoric_Nativ'!$D$6:$D$405,"&lt;"&amp;J1082,'Istoric_Nativ'!$O$6:$O$405,"INVALID")+COUNTIFS('Istoric_Nativ'!$B$6:$B$405,E1082,'Istoric_Nativ'!$C$6:$C$405,F1082,'Istoric_Nativ'!$F$6:$F$405,G1082,'Istoric_Nativ'!$O$6:$O$405,"INVALID",'Istoric_Nativ'!$D$6:$D$405,"*")+COUNTIFS('Istoric_Nativ'!$B$6:$B$405,E1082,'Istoric_Nativ'!$C$6:$C$405,F1082,'Istoric_Nativ'!$F$6:$F$405,G1082,'Istoric_Nativ'!$D$6:$D$405,"&lt;"&amp;J1082,'Istoric_Nativ'!$O$6:$O$405,"SOURCE CONFLICT"))</x:f>
        <x:v>0</x:v>
      </x:c>
      <x:c r="T1082" s="2" t="str">
        <x:f>IF(B1082="","",IF(R1082&lt;&gt;"CLOSED",R1082,IF(S1082&gt;0,"NATIVE INPUT ISSUE",IF(M1082=0,"NO HISTORY",IF(M1082&lt;P1082,"SMALL SAMPLE","DERIVED")))))</x:f>
      </x:c>
      <x:c r="U1082" s="2" t="str">
        <x:f>IF(B1082="","","NativeTable; "&amp;E1082&amp;"; "&amp;F1082&amp;"; "&amp;G1082&amp;"; "&amp;H1082&amp;"; before "&amp;TEXT(J1082,"yyyy-mm-dd")&amp;IF(I1082="RECENT","; from "&amp;TEXT(L1082,"yyyy-mm-dd"),""))</x:f>
      </x:c>
    </x:row>
    <x:row r="1083" ht="21" customHeight="1">
      <x:c r="A1083" s="2" t="n">
        <x:v>90</x:v>
      </x:c>
      <x:c r="B1083" s="2" t="str">
        <x:f>IF('Input_Meci'!A95="","",'Input_Meci'!A95)</x:f>
      </x:c>
      <x:c r="C1083" s="2" t="str">
        <x:v>A</x:v>
      </x:c>
      <x:c r="D1083" s="2" t="str">
        <x:v>PRIOR</x:v>
      </x:c>
      <x:c r="E1083" s="2" t="str">
        <x:f>IF(B1083="","",'Input_Meci'!B95)</x:f>
      </x:c>
      <x:c r="F1083" s="2" t="str">
        <x:f>IF(B1083="","",IF('Input_Meci'!K95="","",'Input_Meci'!K95))</x:f>
      </x:c>
      <x:c r="G1083" s="2" t="str">
        <x:f>IF(B1083="","",'Input_Meci'!E95)</x:f>
      </x:c>
      <x:c r="H1083" s="2" t="str">
        <x:v>ANY</x:v>
      </x:c>
      <x:c r="I1083" s="2" t="str">
        <x:v>SEASON</x:v>
      </x:c>
      <x:c r="J1083" s="9" t="n">
        <x:f>IF(AND(B1083&lt;&gt;"",ISNUMBER('Input_Meci'!G95)),INT('Input_Meci'!G95),0)</x:f>
        <x:v>0</x:v>
      </x:c>
      <x:c r="K1083" s="2" t="n">
        <x:f>IF(OR(B1083="",F1083=""),0,IF(H1083="HOME",COUNTIFS('Istoric_Nativ'!$B$6:$B$405,E1083,'Istoric_Nativ'!$C$6:$C$405,F1083,'Istoric_Nativ'!$E$6:$E$405,G1083,'Istoric_Nativ'!$D$6:$D$405,"&lt;"&amp;J1083,'Istoric_Nativ'!$P$6:$P$405,1),IF(H1083="AWAY",COUNTIFS('Istoric_Nativ'!$B$6:$B$405,E1083,'Istoric_Nativ'!$C$6:$C$405,F1083,'Istoric_Nativ'!$F$6:$F$405,G1083,'Istoric_Nativ'!$D$6:$D$405,"&lt;"&amp;J1083,'Istoric_Nativ'!$P$6:$P$405,1),COUNTIFS('Istoric_Nativ'!$B$6:$B$405,E1083,'Istoric_Nativ'!$C$6:$C$405,F1083,'Istoric_Nativ'!$E$6:$E$405,G1083,'Istoric_Nativ'!$D$6:$D$405,"&lt;"&amp;J1083,'Istoric_Nativ'!$P$6:$P$405,1)+COUNTIFS('Istoric_Nativ'!$B$6:$B$405,E1083,'Istoric_Nativ'!$C$6:$C$405,F1083,'Istoric_Nativ'!$F$6:$F$405,G1083,'Istoric_Nativ'!$D$6:$D$405,"&lt;"&amp;J1083,'Istoric_Nativ'!$P$6:$P$405,1))))</x:f>
        <x:v>0</x:v>
      </x:c>
      <x:c r="L1083" s="17" t="n">
        <x:f>IF(AND(B1083&lt;&gt;"",I1083="RECENT",K1083&gt;0),LARGE(_xlfn._xlws.FILTER('Istoric_Nativ'!$D$6:$D$405,('Istoric_Nativ'!$B$6:$B$405=E1083)*('Istoric_Nativ'!$C$6:$C$405=F1083)*('Istoric_Nativ'!$P$6:$P$405=1)*('Istoric_Nativ'!$D$6:$D$405&lt;J1083)*((('Istoric_Nativ'!$E$6:$E$405=G1083)+('Istoric_Nativ'!$F$6:$F$405=G1083))&gt;0)),MIN('Config_v6'!$B$54,K1083)),0)</x:f>
        <x:v>0</x:v>
      </x:c>
      <x:c r="M1083" s="2" t="n">
        <x:f>IF(OR(B1083="",F1083=""),0,IF(H1083="HOME",COUNTIFS('Istoric_Nativ'!$B$6:$B$405,E1083,'Istoric_Nativ'!$C$6:$C$405,F1083,'Istoric_Nativ'!$E$6:$E$405,G1083,'Istoric_Nativ'!$D$6:$D$405,"&lt;"&amp;J1083,'Istoric_Nativ'!$P$6:$P$405,1,'Istoric_Nativ'!$D$6:$D$405,"&gt;="&amp;L1083),IF(H1083="AWAY",COUNTIFS('Istoric_Nativ'!$B$6:$B$405,E1083,'Istoric_Nativ'!$C$6:$C$405,F1083,'Istoric_Nativ'!$F$6:$F$405,G1083,'Istoric_Nativ'!$D$6:$D$405,"&lt;"&amp;J1083,'Istoric_Nativ'!$P$6:$P$405,1,'Istoric_Nativ'!$D$6:$D$405,"&gt;="&amp;L1083),COUNTIFS('Istoric_Nativ'!$B$6:$B$405,E1083,'Istoric_Nativ'!$C$6:$C$405,F1083,'Istoric_Nativ'!$E$6:$E$405,G1083,'Istoric_Nativ'!$D$6:$D$405,"&lt;"&amp;J1083,'Istoric_Nativ'!$P$6:$P$405,1,'Istoric_Nativ'!$D$6:$D$405,"&gt;="&amp;L1083)+COUNTIFS('Istoric_Nativ'!$B$6:$B$405,E1083,'Istoric_Nativ'!$C$6:$C$405,F1083,'Istoric_Nativ'!$F$6:$F$405,G1083,'Istoric_Nativ'!$D$6:$D$405,"&lt;"&amp;J1083,'Istoric_Nativ'!$P$6:$P$405,1,'Istoric_Nativ'!$D$6:$D$405,"&gt;="&amp;L1083))))</x:f>
        <x:v>0</x:v>
      </x:c>
      <x:c r="N1083" s="11" t="str">
        <x:f>IF(M1083=0,"",IF(H1083="HOME",SUMIFS('Istoric_Nativ'!$G$6:$G$405,'Istoric_Nativ'!$B$6:$B$405,E1083,'Istoric_Nativ'!$C$6:$C$405,F1083,'Istoric_Nativ'!$E$6:$E$405,G1083,'Istoric_Nativ'!$D$6:$D$405,"&lt;"&amp;J1083,'Istoric_Nativ'!$P$6:$P$405,1,'Istoric_Nativ'!$D$6:$D$405,"&gt;="&amp;L1083),IF(H1083="AWAY",SUMIFS('Istoric_Nativ'!$H$6:$H$405,'Istoric_Nativ'!$B$6:$B$405,E1083,'Istoric_Nativ'!$C$6:$C$405,F1083,'Istoric_Nativ'!$F$6:$F$405,G1083,'Istoric_Nativ'!$D$6:$D$405,"&lt;"&amp;J1083,'Istoric_Nativ'!$P$6:$P$405,1,'Istoric_Nativ'!$D$6:$D$405,"&gt;="&amp;L1083),SUMIFS('Istoric_Nativ'!$G$6:$G$405,'Istoric_Nativ'!$B$6:$B$405,E1083,'Istoric_Nativ'!$C$6:$C$405,F1083,'Istoric_Nativ'!$E$6:$E$405,G1083,'Istoric_Nativ'!$D$6:$D$405,"&lt;"&amp;J1083,'Istoric_Nativ'!$P$6:$P$405,1,'Istoric_Nativ'!$D$6:$D$405,"&gt;="&amp;L1083)+SUMIFS('Istoric_Nativ'!$H$6:$H$405,'Istoric_Nativ'!$B$6:$B$405,E1083,'Istoric_Nativ'!$C$6:$C$405,F1083,'Istoric_Nativ'!$F$6:$F$405,G1083,'Istoric_Nativ'!$D$6:$D$405,"&lt;"&amp;J1083,'Istoric_Nativ'!$P$6:$P$405,1,'Istoric_Nativ'!$D$6:$D$405,"&gt;="&amp;L1083)))/M1083)</x:f>
      </x:c>
      <x:c r="O1083" s="11" t="str">
        <x:f>IF(M1083=0,"",IF(H1083="HOME",SUMIFS('Istoric_Nativ'!$H$6:$H$405,'Istoric_Nativ'!$B$6:$B$405,E1083,'Istoric_Nativ'!$C$6:$C$405,F1083,'Istoric_Nativ'!$E$6:$E$405,G1083,'Istoric_Nativ'!$D$6:$D$405,"&lt;"&amp;J1083,'Istoric_Nativ'!$P$6:$P$405,1,'Istoric_Nativ'!$D$6:$D$405,"&gt;="&amp;L1083),IF(H1083="AWAY",SUMIFS('Istoric_Nativ'!$G$6:$G$405,'Istoric_Nativ'!$B$6:$B$405,E1083,'Istoric_Nativ'!$C$6:$C$405,F1083,'Istoric_Nativ'!$F$6:$F$405,G1083,'Istoric_Nativ'!$D$6:$D$405,"&lt;"&amp;J1083,'Istoric_Nativ'!$P$6:$P$405,1,'Istoric_Nativ'!$D$6:$D$405,"&gt;="&amp;L1083),SUMIFS('Istoric_Nativ'!$H$6:$H$405,'Istoric_Nativ'!$B$6:$B$405,E1083,'Istoric_Nativ'!$C$6:$C$405,F1083,'Istoric_Nativ'!$E$6:$E$405,G1083,'Istoric_Nativ'!$D$6:$D$405,"&lt;"&amp;J1083,'Istoric_Nativ'!$P$6:$P$405,1,'Istoric_Nativ'!$D$6:$D$405,"&gt;="&amp;L1083)+SUMIFS('Istoric_Nativ'!$G$6:$G$405,'Istoric_Nativ'!$B$6:$B$405,E1083,'Istoric_Nativ'!$C$6:$C$405,F1083,'Istoric_Nativ'!$F$6:$F$405,G1083,'Istoric_Nativ'!$D$6:$D$405,"&lt;"&amp;J1083,'Istoric_Nativ'!$P$6:$P$405,1,'Istoric_Nativ'!$D$6:$D$405,"&gt;="&amp;L1083)))/M1083)</x:f>
      </x:c>
      <x:c r="P1083" s="2" t="n">
        <x:f>'Config_v6'!$B$7</x:f>
        <x:v>10</x:v>
      </x:c>
      <x:c r="Q1083" s="2" t="n">
        <x:f>IF(OR(B1083="",F1083=""),0,IFERROR(MATCH(E1083&amp;"|"&amp;F1083,SourceTable[Source_Key],0),0))</x:f>
        <x:v>0</x:v>
      </x:c>
      <x:c r="R1083" s="2" t="str">
        <x:f>IF(B1083="","",IF(F1083="","UNUSED",IF(Q1083=0,"NOT CHECKED",IF(COUNTIF(SourceTable[Source_Key],E1083&amp;"|"&amp;F1083)&lt;&gt;1,"SOURCE CONFLICT",IF(NOT(OR(INDEX(SourceTable[Status],MAX(1,Q1083))="IMPORTED",INDEX(SourceTable[Status],MAX(1,Q1083))="PARTIAL",INDEX(SourceTable[Status],MAX(1,Q1083))="SOURCE CONFLICT")),"ACCESS BLOCKED",IF(OR(INDEX(SourceTable[Coverage],Q1083)&lt;&gt;"FULL SEASON EXPORT",INDEX(SourceTable[URL],Q1083)="",INDEX(SourceTable[SHA256],Q1083)=""),"EVIDENCE INCOMPLETE",IF(AND('Input_Meci'!H95="LIVE",INDEX(SourceTable[Retrieved_UTC],Q1083)&gt;'Input_Meci'!G95),"POST CUTOFF","CLOSED")))))))</x:f>
      </x:c>
      <x:c r="S1083" s="2" t="n">
        <x:f>IF(OR(B1083="",F1083=""),0,COUNTIFS('Istoric_Nativ'!$B$6:$B$405,E1083,'Istoric_Nativ'!$C$6:$C$405,F1083,'Istoric_Nativ'!$E$6:$E$405,G1083,'Istoric_Nativ'!$D$6:$D$405,"&lt;"&amp;J1083,'Istoric_Nativ'!$O$6:$O$405,"INVALID")+COUNTIFS('Istoric_Nativ'!$B$6:$B$405,E1083,'Istoric_Nativ'!$C$6:$C$405,F1083,'Istoric_Nativ'!$E$6:$E$405,G1083,'Istoric_Nativ'!$O$6:$O$405,"INVALID",'Istoric_Nativ'!$D$6:$D$405,"*")+COUNTIFS('Istoric_Nativ'!$B$6:$B$405,E1083,'Istoric_Nativ'!$C$6:$C$405,F1083,'Istoric_Nativ'!$E$6:$E$405,G1083,'Istoric_Nativ'!$D$6:$D$405,"&lt;"&amp;J1083,'Istoric_Nativ'!$O$6:$O$405,"SOURCE CONFLICT")+COUNTIFS('Istoric_Nativ'!$B$6:$B$405,E1083,'Istoric_Nativ'!$C$6:$C$405,F1083,'Istoric_Nativ'!$F$6:$F$405,G1083,'Istoric_Nativ'!$D$6:$D$405,"&lt;"&amp;J1083,'Istoric_Nativ'!$O$6:$O$405,"INVALID")+COUNTIFS('Istoric_Nativ'!$B$6:$B$405,E1083,'Istoric_Nativ'!$C$6:$C$405,F1083,'Istoric_Nativ'!$F$6:$F$405,G1083,'Istoric_Nativ'!$O$6:$O$405,"INVALID",'Istoric_Nativ'!$D$6:$D$405,"*")+COUNTIFS('Istoric_Nativ'!$B$6:$B$405,E1083,'Istoric_Nativ'!$C$6:$C$405,F1083,'Istoric_Nativ'!$F$6:$F$405,G1083,'Istoric_Nativ'!$D$6:$D$405,"&lt;"&amp;J1083,'Istoric_Nativ'!$O$6:$O$405,"SOURCE CONFLICT"))</x:f>
        <x:v>0</x:v>
      </x:c>
      <x:c r="T1083" s="2" t="str">
        <x:f>IF(B1083="","",IF(R1083&lt;&gt;"CLOSED",R1083,IF(S1083&gt;0,"NATIVE INPUT ISSUE",IF(M1083=0,"NO HISTORY",IF(M1083&lt;P1083,"SMALL SAMPLE","DERIVED")))))</x:f>
      </x:c>
      <x:c r="U1083" s="2" t="str">
        <x:f>IF(B1083="","","NativeTable; "&amp;E1083&amp;"; "&amp;F1083&amp;"; "&amp;G1083&amp;"; "&amp;H1083&amp;"; before "&amp;TEXT(J1083,"yyyy-mm-dd")&amp;IF(I1083="RECENT","; from "&amp;TEXT(L1083,"yyyy-mm-dd"),""))</x:f>
      </x:c>
    </x:row>
    <x:row r="1084" ht="21" customHeight="1">
      <x:c r="A1084" s="2" t="n">
        <x:v>90</x:v>
      </x:c>
      <x:c r="B1084" s="2" t="str">
        <x:f>IF('Input_Meci'!A95="","",'Input_Meci'!A95)</x:f>
      </x:c>
      <x:c r="C1084" s="2" t="str">
        <x:v>A</x:v>
      </x:c>
      <x:c r="D1084" s="2" t="str">
        <x:v>PRIOR</x:v>
      </x:c>
      <x:c r="E1084" s="2" t="str">
        <x:f>IF(B1084="","",'Input_Meci'!B95)</x:f>
      </x:c>
      <x:c r="F1084" s="2" t="str">
        <x:f>IF(B1084="","",IF('Input_Meci'!K95="","",'Input_Meci'!K95))</x:f>
      </x:c>
      <x:c r="G1084" s="2" t="str">
        <x:f>IF(B1084="","",'Input_Meci'!E95)</x:f>
      </x:c>
      <x:c r="H1084" s="2" t="str">
        <x:v>AWAY</x:v>
      </x:c>
      <x:c r="I1084" s="2" t="str">
        <x:v>HA</x:v>
      </x:c>
      <x:c r="J1084" s="9" t="n">
        <x:f>IF(AND(B1084&lt;&gt;"",ISNUMBER('Input_Meci'!G95)),INT('Input_Meci'!G95),0)</x:f>
        <x:v>0</x:v>
      </x:c>
      <x:c r="K1084" s="2" t="n">
        <x:f>IF(OR(B1084="",F1084=""),0,IF(H1084="HOME",COUNTIFS('Istoric_Nativ'!$B$6:$B$405,E1084,'Istoric_Nativ'!$C$6:$C$405,F1084,'Istoric_Nativ'!$E$6:$E$405,G1084,'Istoric_Nativ'!$D$6:$D$405,"&lt;"&amp;J1084,'Istoric_Nativ'!$P$6:$P$405,1),IF(H1084="AWAY",COUNTIFS('Istoric_Nativ'!$B$6:$B$405,E1084,'Istoric_Nativ'!$C$6:$C$405,F1084,'Istoric_Nativ'!$F$6:$F$405,G1084,'Istoric_Nativ'!$D$6:$D$405,"&lt;"&amp;J1084,'Istoric_Nativ'!$P$6:$P$405,1),COUNTIFS('Istoric_Nativ'!$B$6:$B$405,E1084,'Istoric_Nativ'!$C$6:$C$405,F1084,'Istoric_Nativ'!$E$6:$E$405,G1084,'Istoric_Nativ'!$D$6:$D$405,"&lt;"&amp;J1084,'Istoric_Nativ'!$P$6:$P$405,1)+COUNTIFS('Istoric_Nativ'!$B$6:$B$405,E1084,'Istoric_Nativ'!$C$6:$C$405,F1084,'Istoric_Nativ'!$F$6:$F$405,G1084,'Istoric_Nativ'!$D$6:$D$405,"&lt;"&amp;J1084,'Istoric_Nativ'!$P$6:$P$405,1))))</x:f>
        <x:v>0</x:v>
      </x:c>
      <x:c r="L1084" s="17" t="n">
        <x:f>IF(AND(B1084&lt;&gt;"",I1084="RECENT",K1084&gt;0),LARGE(_xlfn._xlws.FILTER('Istoric_Nativ'!$D$6:$D$405,('Istoric_Nativ'!$B$6:$B$405=E1084)*('Istoric_Nativ'!$C$6:$C$405=F1084)*('Istoric_Nativ'!$P$6:$P$405=1)*('Istoric_Nativ'!$D$6:$D$405&lt;J1084)*((('Istoric_Nativ'!$E$6:$E$405=G1084)+('Istoric_Nativ'!$F$6:$F$405=G1084))&gt;0)),MIN('Config_v6'!$B$54,K1084)),0)</x:f>
        <x:v>0</x:v>
      </x:c>
      <x:c r="M1084" s="2" t="n">
        <x:f>IF(OR(B1084="",F1084=""),0,IF(H1084="HOME",COUNTIFS('Istoric_Nativ'!$B$6:$B$405,E1084,'Istoric_Nativ'!$C$6:$C$405,F1084,'Istoric_Nativ'!$E$6:$E$405,G1084,'Istoric_Nativ'!$D$6:$D$405,"&lt;"&amp;J1084,'Istoric_Nativ'!$P$6:$P$405,1,'Istoric_Nativ'!$D$6:$D$405,"&gt;="&amp;L1084),IF(H1084="AWAY",COUNTIFS('Istoric_Nativ'!$B$6:$B$405,E1084,'Istoric_Nativ'!$C$6:$C$405,F1084,'Istoric_Nativ'!$F$6:$F$405,G1084,'Istoric_Nativ'!$D$6:$D$405,"&lt;"&amp;J1084,'Istoric_Nativ'!$P$6:$P$405,1,'Istoric_Nativ'!$D$6:$D$405,"&gt;="&amp;L1084),COUNTIFS('Istoric_Nativ'!$B$6:$B$405,E1084,'Istoric_Nativ'!$C$6:$C$405,F1084,'Istoric_Nativ'!$E$6:$E$405,G1084,'Istoric_Nativ'!$D$6:$D$405,"&lt;"&amp;J1084,'Istoric_Nativ'!$P$6:$P$405,1,'Istoric_Nativ'!$D$6:$D$405,"&gt;="&amp;L1084)+COUNTIFS('Istoric_Nativ'!$B$6:$B$405,E1084,'Istoric_Nativ'!$C$6:$C$405,F1084,'Istoric_Nativ'!$F$6:$F$405,G1084,'Istoric_Nativ'!$D$6:$D$405,"&lt;"&amp;J1084,'Istoric_Nativ'!$P$6:$P$405,1,'Istoric_Nativ'!$D$6:$D$405,"&gt;="&amp;L1084))))</x:f>
        <x:v>0</x:v>
      </x:c>
      <x:c r="N1084" s="11" t="str">
        <x:f>IF(M1084=0,"",IF(H1084="HOME",SUMIFS('Istoric_Nativ'!$G$6:$G$405,'Istoric_Nativ'!$B$6:$B$405,E1084,'Istoric_Nativ'!$C$6:$C$405,F1084,'Istoric_Nativ'!$E$6:$E$405,G1084,'Istoric_Nativ'!$D$6:$D$405,"&lt;"&amp;J1084,'Istoric_Nativ'!$P$6:$P$405,1,'Istoric_Nativ'!$D$6:$D$405,"&gt;="&amp;L1084),IF(H1084="AWAY",SUMIFS('Istoric_Nativ'!$H$6:$H$405,'Istoric_Nativ'!$B$6:$B$405,E1084,'Istoric_Nativ'!$C$6:$C$405,F1084,'Istoric_Nativ'!$F$6:$F$405,G1084,'Istoric_Nativ'!$D$6:$D$405,"&lt;"&amp;J1084,'Istoric_Nativ'!$P$6:$P$405,1,'Istoric_Nativ'!$D$6:$D$405,"&gt;="&amp;L1084),SUMIFS('Istoric_Nativ'!$G$6:$G$405,'Istoric_Nativ'!$B$6:$B$405,E1084,'Istoric_Nativ'!$C$6:$C$405,F1084,'Istoric_Nativ'!$E$6:$E$405,G1084,'Istoric_Nativ'!$D$6:$D$405,"&lt;"&amp;J1084,'Istoric_Nativ'!$P$6:$P$405,1,'Istoric_Nativ'!$D$6:$D$405,"&gt;="&amp;L1084)+SUMIFS('Istoric_Nativ'!$H$6:$H$405,'Istoric_Nativ'!$B$6:$B$405,E1084,'Istoric_Nativ'!$C$6:$C$405,F1084,'Istoric_Nativ'!$F$6:$F$405,G1084,'Istoric_Nativ'!$D$6:$D$405,"&lt;"&amp;J1084,'Istoric_Nativ'!$P$6:$P$405,1,'Istoric_Nativ'!$D$6:$D$405,"&gt;="&amp;L1084)))/M1084)</x:f>
      </x:c>
      <x:c r="O1084" s="11" t="str">
        <x:f>IF(M1084=0,"",IF(H1084="HOME",SUMIFS('Istoric_Nativ'!$H$6:$H$405,'Istoric_Nativ'!$B$6:$B$405,E1084,'Istoric_Nativ'!$C$6:$C$405,F1084,'Istoric_Nativ'!$E$6:$E$405,G1084,'Istoric_Nativ'!$D$6:$D$405,"&lt;"&amp;J1084,'Istoric_Nativ'!$P$6:$P$405,1,'Istoric_Nativ'!$D$6:$D$405,"&gt;="&amp;L1084),IF(H1084="AWAY",SUMIFS('Istoric_Nativ'!$G$6:$G$405,'Istoric_Nativ'!$B$6:$B$405,E1084,'Istoric_Nativ'!$C$6:$C$405,F1084,'Istoric_Nativ'!$F$6:$F$405,G1084,'Istoric_Nativ'!$D$6:$D$405,"&lt;"&amp;J1084,'Istoric_Nativ'!$P$6:$P$405,1,'Istoric_Nativ'!$D$6:$D$405,"&gt;="&amp;L1084),SUMIFS('Istoric_Nativ'!$H$6:$H$405,'Istoric_Nativ'!$B$6:$B$405,E1084,'Istoric_Nativ'!$C$6:$C$405,F1084,'Istoric_Nativ'!$E$6:$E$405,G1084,'Istoric_Nativ'!$D$6:$D$405,"&lt;"&amp;J1084,'Istoric_Nativ'!$P$6:$P$405,1,'Istoric_Nativ'!$D$6:$D$405,"&gt;="&amp;L1084)+SUMIFS('Istoric_Nativ'!$G$6:$G$405,'Istoric_Nativ'!$B$6:$B$405,E1084,'Istoric_Nativ'!$C$6:$C$405,F1084,'Istoric_Nativ'!$F$6:$F$405,G1084,'Istoric_Nativ'!$D$6:$D$405,"&lt;"&amp;J1084,'Istoric_Nativ'!$P$6:$P$405,1,'Istoric_Nativ'!$D$6:$D$405,"&gt;="&amp;L1084)))/M1084)</x:f>
      </x:c>
      <x:c r="P1084" s="2" t="n">
        <x:f>'Config_v6'!$B$8</x:f>
        <x:v>5</x:v>
      </x:c>
      <x:c r="Q1084" s="2" t="n">
        <x:f>IF(OR(B1084="",F1084=""),0,IFERROR(MATCH(E1084&amp;"|"&amp;F1084,SourceTable[Source_Key],0),0))</x:f>
        <x:v>0</x:v>
      </x:c>
      <x:c r="R1084" s="2" t="str">
        <x:f>IF(B1084="","",IF(F1084="","UNUSED",IF(Q1084=0,"NOT CHECKED",IF(COUNTIF(SourceTable[Source_Key],E1084&amp;"|"&amp;F1084)&lt;&gt;1,"SOURCE CONFLICT",IF(NOT(OR(INDEX(SourceTable[Status],MAX(1,Q1084))="IMPORTED",INDEX(SourceTable[Status],MAX(1,Q1084))="PARTIAL",INDEX(SourceTable[Status],MAX(1,Q1084))="SOURCE CONFLICT")),"ACCESS BLOCKED",IF(OR(INDEX(SourceTable[Coverage],Q1084)&lt;&gt;"FULL SEASON EXPORT",INDEX(SourceTable[URL],Q1084)="",INDEX(SourceTable[SHA256],Q1084)=""),"EVIDENCE INCOMPLETE",IF(AND('Input_Meci'!H95="LIVE",INDEX(SourceTable[Retrieved_UTC],Q1084)&gt;'Input_Meci'!G95),"POST CUTOFF","CLOSED")))))))</x:f>
      </x:c>
      <x:c r="S1084" s="2" t="n">
        <x:f>IF(OR(B1084="",F1084=""),0,COUNTIFS('Istoric_Nativ'!$B$6:$B$405,E1084,'Istoric_Nativ'!$C$6:$C$405,F1084,'Istoric_Nativ'!$E$6:$E$405,G1084,'Istoric_Nativ'!$D$6:$D$405,"&lt;"&amp;J1084,'Istoric_Nativ'!$O$6:$O$405,"INVALID")+COUNTIFS('Istoric_Nativ'!$B$6:$B$405,E1084,'Istoric_Nativ'!$C$6:$C$405,F1084,'Istoric_Nativ'!$E$6:$E$405,G1084,'Istoric_Nativ'!$O$6:$O$405,"INVALID",'Istoric_Nativ'!$D$6:$D$405,"*")+COUNTIFS('Istoric_Nativ'!$B$6:$B$405,E1084,'Istoric_Nativ'!$C$6:$C$405,F1084,'Istoric_Nativ'!$E$6:$E$405,G1084,'Istoric_Nativ'!$D$6:$D$405,"&lt;"&amp;J1084,'Istoric_Nativ'!$O$6:$O$405,"SOURCE CONFLICT")+COUNTIFS('Istoric_Nativ'!$B$6:$B$405,E1084,'Istoric_Nativ'!$C$6:$C$405,F1084,'Istoric_Nativ'!$F$6:$F$405,G1084,'Istoric_Nativ'!$D$6:$D$405,"&lt;"&amp;J1084,'Istoric_Nativ'!$O$6:$O$405,"INVALID")+COUNTIFS('Istoric_Nativ'!$B$6:$B$405,E1084,'Istoric_Nativ'!$C$6:$C$405,F1084,'Istoric_Nativ'!$F$6:$F$405,G1084,'Istoric_Nativ'!$O$6:$O$405,"INVALID",'Istoric_Nativ'!$D$6:$D$405,"*")+COUNTIFS('Istoric_Nativ'!$B$6:$B$405,E1084,'Istoric_Nativ'!$C$6:$C$405,F1084,'Istoric_Nativ'!$F$6:$F$405,G1084,'Istoric_Nativ'!$D$6:$D$405,"&lt;"&amp;J1084,'Istoric_Nativ'!$O$6:$O$405,"SOURCE CONFLICT"))</x:f>
        <x:v>0</x:v>
      </x:c>
      <x:c r="T1084" s="2" t="str">
        <x:f>IF(B1084="","",IF(R1084&lt;&gt;"CLOSED",R1084,IF(S1084&gt;0,"NATIVE INPUT ISSUE",IF(M1084=0,"NO HISTORY",IF(M1084&lt;P1084,"SMALL SAMPLE","DERIVED")))))</x:f>
      </x:c>
      <x:c r="U1084" s="2" t="str">
        <x:f>IF(B1084="","","NativeTable; "&amp;E1084&amp;"; "&amp;F1084&amp;"; "&amp;G1084&amp;"; "&amp;H1084&amp;"; before "&amp;TEXT(J1084,"yyyy-mm-dd")&amp;IF(I1084="RECENT","; from "&amp;TEXT(L1084,"yyyy-mm-dd"),""))</x:f>
      </x:c>
    </x:row>
    <x:row r="1085" ht="21" customHeight="1">
      <x:c r="A1085" s="2" t="n">
        <x:v>90</x:v>
      </x:c>
      <x:c r="B1085" s="2" t="str">
        <x:f>IF('Input_Meci'!A95="","",'Input_Meci'!A95)</x:f>
      </x:c>
      <x:c r="C1085" s="2" t="str">
        <x:v>A</x:v>
      </x:c>
      <x:c r="D1085" s="2" t="str">
        <x:v>PRIOR</x:v>
      </x:c>
      <x:c r="E1085" s="2" t="str">
        <x:f>IF(B1085="","",'Input_Meci'!B95)</x:f>
      </x:c>
      <x:c r="F1085" s="2" t="str">
        <x:f>IF(B1085="","",IF('Input_Meci'!K95="","",'Input_Meci'!K95))</x:f>
      </x:c>
      <x:c r="G1085" s="2" t="str">
        <x:f>IF(B1085="","",'Input_Meci'!E95)</x:f>
      </x:c>
      <x:c r="H1085" s="2" t="str">
        <x:v>ANY</x:v>
      </x:c>
      <x:c r="I1085" s="2" t="str">
        <x:v>RECENT</x:v>
      </x:c>
      <x:c r="J1085" s="9" t="n">
        <x:f>IF(AND(B1085&lt;&gt;"",ISNUMBER('Input_Meci'!G95)),INT('Input_Meci'!G95),0)</x:f>
        <x:v>0</x:v>
      </x:c>
      <x:c r="K1085" s="2" t="n">
        <x:f>IF(OR(B1085="",F1085=""),0,IF(H1085="HOME",COUNTIFS('Istoric_Nativ'!$B$6:$B$405,E1085,'Istoric_Nativ'!$C$6:$C$405,F1085,'Istoric_Nativ'!$E$6:$E$405,G1085,'Istoric_Nativ'!$D$6:$D$405,"&lt;"&amp;J1085,'Istoric_Nativ'!$P$6:$P$405,1),IF(H1085="AWAY",COUNTIFS('Istoric_Nativ'!$B$6:$B$405,E1085,'Istoric_Nativ'!$C$6:$C$405,F1085,'Istoric_Nativ'!$F$6:$F$405,G1085,'Istoric_Nativ'!$D$6:$D$405,"&lt;"&amp;J1085,'Istoric_Nativ'!$P$6:$P$405,1),COUNTIFS('Istoric_Nativ'!$B$6:$B$405,E1085,'Istoric_Nativ'!$C$6:$C$405,F1085,'Istoric_Nativ'!$E$6:$E$405,G1085,'Istoric_Nativ'!$D$6:$D$405,"&lt;"&amp;J1085,'Istoric_Nativ'!$P$6:$P$405,1)+COUNTIFS('Istoric_Nativ'!$B$6:$B$405,E1085,'Istoric_Nativ'!$C$6:$C$405,F1085,'Istoric_Nativ'!$F$6:$F$405,G1085,'Istoric_Nativ'!$D$6:$D$405,"&lt;"&amp;J1085,'Istoric_Nativ'!$P$6:$P$405,1))))</x:f>
        <x:v>0</x:v>
      </x:c>
      <x:c r="L1085" s="17" t="n">
        <x:f>IF(AND(B1085&lt;&gt;"",I1085="RECENT",K1085&gt;0),LARGE(_xlfn._xlws.FILTER('Istoric_Nativ'!$D$6:$D$405,('Istoric_Nativ'!$B$6:$B$405=E1085)*('Istoric_Nativ'!$C$6:$C$405=F1085)*('Istoric_Nativ'!$P$6:$P$405=1)*('Istoric_Nativ'!$D$6:$D$405&lt;J1085)*((('Istoric_Nativ'!$E$6:$E$405=G1085)+('Istoric_Nativ'!$F$6:$F$405=G1085))&gt;0)),MIN('Config_v6'!$B$54,K1085)),0)</x:f>
        <x:v>0</x:v>
      </x:c>
      <x:c r="M1085" s="2" t="n">
        <x:f>IF(OR(B1085="",F1085=""),0,IF(H1085="HOME",COUNTIFS('Istoric_Nativ'!$B$6:$B$405,E1085,'Istoric_Nativ'!$C$6:$C$405,F1085,'Istoric_Nativ'!$E$6:$E$405,G1085,'Istoric_Nativ'!$D$6:$D$405,"&lt;"&amp;J1085,'Istoric_Nativ'!$P$6:$P$405,1,'Istoric_Nativ'!$D$6:$D$405,"&gt;="&amp;L1085),IF(H1085="AWAY",COUNTIFS('Istoric_Nativ'!$B$6:$B$405,E1085,'Istoric_Nativ'!$C$6:$C$405,F1085,'Istoric_Nativ'!$F$6:$F$405,G1085,'Istoric_Nativ'!$D$6:$D$405,"&lt;"&amp;J1085,'Istoric_Nativ'!$P$6:$P$405,1,'Istoric_Nativ'!$D$6:$D$405,"&gt;="&amp;L1085),COUNTIFS('Istoric_Nativ'!$B$6:$B$405,E1085,'Istoric_Nativ'!$C$6:$C$405,F1085,'Istoric_Nativ'!$E$6:$E$405,G1085,'Istoric_Nativ'!$D$6:$D$405,"&lt;"&amp;J1085,'Istoric_Nativ'!$P$6:$P$405,1,'Istoric_Nativ'!$D$6:$D$405,"&gt;="&amp;L1085)+COUNTIFS('Istoric_Nativ'!$B$6:$B$405,E1085,'Istoric_Nativ'!$C$6:$C$405,F1085,'Istoric_Nativ'!$F$6:$F$405,G1085,'Istoric_Nativ'!$D$6:$D$405,"&lt;"&amp;J1085,'Istoric_Nativ'!$P$6:$P$405,1,'Istoric_Nativ'!$D$6:$D$405,"&gt;="&amp;L1085))))</x:f>
        <x:v>0</x:v>
      </x:c>
      <x:c r="N1085" s="11" t="str">
        <x:f>IF(M1085=0,"",IF(H1085="HOME",SUMIFS('Istoric_Nativ'!$G$6:$G$405,'Istoric_Nativ'!$B$6:$B$405,E1085,'Istoric_Nativ'!$C$6:$C$405,F1085,'Istoric_Nativ'!$E$6:$E$405,G1085,'Istoric_Nativ'!$D$6:$D$405,"&lt;"&amp;J1085,'Istoric_Nativ'!$P$6:$P$405,1,'Istoric_Nativ'!$D$6:$D$405,"&gt;="&amp;L1085),IF(H1085="AWAY",SUMIFS('Istoric_Nativ'!$H$6:$H$405,'Istoric_Nativ'!$B$6:$B$405,E1085,'Istoric_Nativ'!$C$6:$C$405,F1085,'Istoric_Nativ'!$F$6:$F$405,G1085,'Istoric_Nativ'!$D$6:$D$405,"&lt;"&amp;J1085,'Istoric_Nativ'!$P$6:$P$405,1,'Istoric_Nativ'!$D$6:$D$405,"&gt;="&amp;L1085),SUMIFS('Istoric_Nativ'!$G$6:$G$405,'Istoric_Nativ'!$B$6:$B$405,E1085,'Istoric_Nativ'!$C$6:$C$405,F1085,'Istoric_Nativ'!$E$6:$E$405,G1085,'Istoric_Nativ'!$D$6:$D$405,"&lt;"&amp;J1085,'Istoric_Nativ'!$P$6:$P$405,1,'Istoric_Nativ'!$D$6:$D$405,"&gt;="&amp;L1085)+SUMIFS('Istoric_Nativ'!$H$6:$H$405,'Istoric_Nativ'!$B$6:$B$405,E1085,'Istoric_Nativ'!$C$6:$C$405,F1085,'Istoric_Nativ'!$F$6:$F$405,G1085,'Istoric_Nativ'!$D$6:$D$405,"&lt;"&amp;J1085,'Istoric_Nativ'!$P$6:$P$405,1,'Istoric_Nativ'!$D$6:$D$405,"&gt;="&amp;L1085)))/M1085)</x:f>
      </x:c>
      <x:c r="O1085" s="11" t="str">
        <x:f>IF(M1085=0,"",IF(H1085="HOME",SUMIFS('Istoric_Nativ'!$H$6:$H$405,'Istoric_Nativ'!$B$6:$B$405,E1085,'Istoric_Nativ'!$C$6:$C$405,F1085,'Istoric_Nativ'!$E$6:$E$405,G1085,'Istoric_Nativ'!$D$6:$D$405,"&lt;"&amp;J1085,'Istoric_Nativ'!$P$6:$P$405,1,'Istoric_Nativ'!$D$6:$D$405,"&gt;="&amp;L1085),IF(H1085="AWAY",SUMIFS('Istoric_Nativ'!$G$6:$G$405,'Istoric_Nativ'!$B$6:$B$405,E1085,'Istoric_Nativ'!$C$6:$C$405,F1085,'Istoric_Nativ'!$F$6:$F$405,G1085,'Istoric_Nativ'!$D$6:$D$405,"&lt;"&amp;J1085,'Istoric_Nativ'!$P$6:$P$405,1,'Istoric_Nativ'!$D$6:$D$405,"&gt;="&amp;L1085),SUMIFS('Istoric_Nativ'!$H$6:$H$405,'Istoric_Nativ'!$B$6:$B$405,E1085,'Istoric_Nativ'!$C$6:$C$405,F1085,'Istoric_Nativ'!$E$6:$E$405,G1085,'Istoric_Nativ'!$D$6:$D$405,"&lt;"&amp;J1085,'Istoric_Nativ'!$P$6:$P$405,1,'Istoric_Nativ'!$D$6:$D$405,"&gt;="&amp;L1085)+SUMIFS('Istoric_Nativ'!$G$6:$G$405,'Istoric_Nativ'!$B$6:$B$405,E1085,'Istoric_Nativ'!$C$6:$C$405,F1085,'Istoric_Nativ'!$F$6:$F$405,G1085,'Istoric_Nativ'!$D$6:$D$405,"&lt;"&amp;J1085,'Istoric_Nativ'!$P$6:$P$405,1,'Istoric_Nativ'!$D$6:$D$405,"&gt;="&amp;L1085)))/M1085)</x:f>
      </x:c>
      <x:c r="P1085" s="2" t="n">
        <x:f>'Config_v6'!$B$9</x:f>
        <x:v>3</x:v>
      </x:c>
      <x:c r="Q1085" s="2" t="n">
        <x:f>IF(OR(B1085="",F1085=""),0,IFERROR(MATCH(E1085&amp;"|"&amp;F1085,SourceTable[Source_Key],0),0))</x:f>
        <x:v>0</x:v>
      </x:c>
      <x:c r="R1085" s="2" t="str">
        <x:f>IF(B1085="","",IF(F1085="","UNUSED",IF(Q1085=0,"NOT CHECKED",IF(COUNTIF(SourceTable[Source_Key],E1085&amp;"|"&amp;F1085)&lt;&gt;1,"SOURCE CONFLICT",IF(NOT(OR(INDEX(SourceTable[Status],MAX(1,Q1085))="IMPORTED",INDEX(SourceTable[Status],MAX(1,Q1085))="PARTIAL",INDEX(SourceTable[Status],MAX(1,Q1085))="SOURCE CONFLICT")),"ACCESS BLOCKED",IF(OR(INDEX(SourceTable[Coverage],Q1085)&lt;&gt;"FULL SEASON EXPORT",INDEX(SourceTable[URL],Q1085)="",INDEX(SourceTable[SHA256],Q1085)=""),"EVIDENCE INCOMPLETE",IF(AND('Input_Meci'!H95="LIVE",INDEX(SourceTable[Retrieved_UTC],Q1085)&gt;'Input_Meci'!G95),"POST CUTOFF","CLOSED")))))))</x:f>
      </x:c>
      <x:c r="S1085" s="2" t="n">
        <x:f>IF(OR(B1085="",F1085=""),0,COUNTIFS('Istoric_Nativ'!$B$6:$B$405,E1085,'Istoric_Nativ'!$C$6:$C$405,F1085,'Istoric_Nativ'!$E$6:$E$405,G1085,'Istoric_Nativ'!$D$6:$D$405,"&lt;"&amp;J1085,'Istoric_Nativ'!$O$6:$O$405,"INVALID")+COUNTIFS('Istoric_Nativ'!$B$6:$B$405,E1085,'Istoric_Nativ'!$C$6:$C$405,F1085,'Istoric_Nativ'!$E$6:$E$405,G1085,'Istoric_Nativ'!$O$6:$O$405,"INVALID",'Istoric_Nativ'!$D$6:$D$405,"*")+COUNTIFS('Istoric_Nativ'!$B$6:$B$405,E1085,'Istoric_Nativ'!$C$6:$C$405,F1085,'Istoric_Nativ'!$E$6:$E$405,G1085,'Istoric_Nativ'!$D$6:$D$405,"&lt;"&amp;J1085,'Istoric_Nativ'!$O$6:$O$405,"SOURCE CONFLICT")+COUNTIFS('Istoric_Nativ'!$B$6:$B$405,E1085,'Istoric_Nativ'!$C$6:$C$405,F1085,'Istoric_Nativ'!$F$6:$F$405,G1085,'Istoric_Nativ'!$D$6:$D$405,"&lt;"&amp;J1085,'Istoric_Nativ'!$O$6:$O$405,"INVALID")+COUNTIFS('Istoric_Nativ'!$B$6:$B$405,E1085,'Istoric_Nativ'!$C$6:$C$405,F1085,'Istoric_Nativ'!$F$6:$F$405,G1085,'Istoric_Nativ'!$O$6:$O$405,"INVALID",'Istoric_Nativ'!$D$6:$D$405,"*")+COUNTIFS('Istoric_Nativ'!$B$6:$B$405,E1085,'Istoric_Nativ'!$C$6:$C$405,F1085,'Istoric_Nativ'!$F$6:$F$405,G1085,'Istoric_Nativ'!$D$6:$D$405,"&lt;"&amp;J1085,'Istoric_Nativ'!$O$6:$O$405,"SOURCE CONFLICT"))</x:f>
        <x:v>0</x:v>
      </x:c>
      <x:c r="T1085" s="2" t="str">
        <x:f>IF(B1085="","",IF(R1085&lt;&gt;"CLOSED",R1085,IF(S1085&gt;0,"NATIVE INPUT ISSUE",IF(M1085=0,"NO HISTORY",IF(M1085&lt;P1085,"SMALL SAMPLE","DERIVED")))))</x:f>
      </x:c>
      <x:c r="U1085" s="2" t="str">
        <x:f>IF(B1085="","","NativeTable; "&amp;E1085&amp;"; "&amp;F1085&amp;"; "&amp;G1085&amp;"; "&amp;H1085&amp;"; before "&amp;TEXT(J1085,"yyyy-mm-dd")&amp;IF(I1085="RECENT","; from "&amp;TEXT(L1085,"yyyy-mm-dd"),""))</x:f>
      </x:c>
    </x:row>
    <x:row r="1086" ht="21" customHeight="1">
      <x:c r="A1086" s="2" t="n">
        <x:v>91</x:v>
      </x:c>
      <x:c r="B1086" s="2" t="str">
        <x:f>IF('Input_Meci'!A96="","",'Input_Meci'!A96)</x:f>
      </x:c>
      <x:c r="C1086" s="2" t="str">
        <x:v>H</x:v>
      </x:c>
      <x:c r="D1086" s="2" t="str">
        <x:v>CURRENT</x:v>
      </x:c>
      <x:c r="E1086" s="2" t="str">
        <x:f>IF(B1086="","",'Input_Meci'!B96)</x:f>
      </x:c>
      <x:c r="F1086" s="2" t="str">
        <x:f>IF(B1086="","",IF('Input_Meci'!C96="","",'Input_Meci'!C96))</x:f>
      </x:c>
      <x:c r="G1086" s="2" t="str">
        <x:f>IF(B1086="","",'Input_Meci'!D96)</x:f>
      </x:c>
      <x:c r="H1086" s="2" t="str">
        <x:v>ANY</x:v>
      </x:c>
      <x:c r="I1086" s="2" t="str">
        <x:v>SEASON</x:v>
      </x:c>
      <x:c r="J1086" s="9" t="n">
        <x:f>IF(AND(B1086&lt;&gt;"",ISNUMBER('Input_Meci'!G96)),INT('Input_Meci'!G96),0)</x:f>
        <x:v>0</x:v>
      </x:c>
      <x:c r="K1086" s="2" t="n">
        <x:f>IF(OR(B1086="",F1086=""),0,IF(H1086="HOME",COUNTIFS('Istoric_Nativ'!$B$6:$B$405,E1086,'Istoric_Nativ'!$C$6:$C$405,F1086,'Istoric_Nativ'!$E$6:$E$405,G1086,'Istoric_Nativ'!$D$6:$D$405,"&lt;"&amp;J1086,'Istoric_Nativ'!$P$6:$P$405,1),IF(H1086="AWAY",COUNTIFS('Istoric_Nativ'!$B$6:$B$405,E1086,'Istoric_Nativ'!$C$6:$C$405,F1086,'Istoric_Nativ'!$F$6:$F$405,G1086,'Istoric_Nativ'!$D$6:$D$405,"&lt;"&amp;J1086,'Istoric_Nativ'!$P$6:$P$405,1),COUNTIFS('Istoric_Nativ'!$B$6:$B$405,E1086,'Istoric_Nativ'!$C$6:$C$405,F1086,'Istoric_Nativ'!$E$6:$E$405,G1086,'Istoric_Nativ'!$D$6:$D$405,"&lt;"&amp;J1086,'Istoric_Nativ'!$P$6:$P$405,1)+COUNTIFS('Istoric_Nativ'!$B$6:$B$405,E1086,'Istoric_Nativ'!$C$6:$C$405,F1086,'Istoric_Nativ'!$F$6:$F$405,G1086,'Istoric_Nativ'!$D$6:$D$405,"&lt;"&amp;J1086,'Istoric_Nativ'!$P$6:$P$405,1))))</x:f>
        <x:v>0</x:v>
      </x:c>
      <x:c r="L1086" s="17" t="n">
        <x:f>IF(AND(B1086&lt;&gt;"",I1086="RECENT",K1086&gt;0),LARGE(_xlfn._xlws.FILTER('Istoric_Nativ'!$D$6:$D$405,('Istoric_Nativ'!$B$6:$B$405=E1086)*('Istoric_Nativ'!$C$6:$C$405=F1086)*('Istoric_Nativ'!$P$6:$P$405=1)*('Istoric_Nativ'!$D$6:$D$405&lt;J1086)*((('Istoric_Nativ'!$E$6:$E$405=G1086)+('Istoric_Nativ'!$F$6:$F$405=G1086))&gt;0)),MIN('Config_v6'!$B$54,K1086)),0)</x:f>
        <x:v>0</x:v>
      </x:c>
      <x:c r="M1086" s="2" t="n">
        <x:f>IF(OR(B1086="",F1086=""),0,IF(H1086="HOME",COUNTIFS('Istoric_Nativ'!$B$6:$B$405,E1086,'Istoric_Nativ'!$C$6:$C$405,F1086,'Istoric_Nativ'!$E$6:$E$405,G1086,'Istoric_Nativ'!$D$6:$D$405,"&lt;"&amp;J1086,'Istoric_Nativ'!$P$6:$P$405,1,'Istoric_Nativ'!$D$6:$D$405,"&gt;="&amp;L1086),IF(H1086="AWAY",COUNTIFS('Istoric_Nativ'!$B$6:$B$405,E1086,'Istoric_Nativ'!$C$6:$C$405,F1086,'Istoric_Nativ'!$F$6:$F$405,G1086,'Istoric_Nativ'!$D$6:$D$405,"&lt;"&amp;J1086,'Istoric_Nativ'!$P$6:$P$405,1,'Istoric_Nativ'!$D$6:$D$405,"&gt;="&amp;L1086),COUNTIFS('Istoric_Nativ'!$B$6:$B$405,E1086,'Istoric_Nativ'!$C$6:$C$405,F1086,'Istoric_Nativ'!$E$6:$E$405,G1086,'Istoric_Nativ'!$D$6:$D$405,"&lt;"&amp;J1086,'Istoric_Nativ'!$P$6:$P$405,1,'Istoric_Nativ'!$D$6:$D$405,"&gt;="&amp;L1086)+COUNTIFS('Istoric_Nativ'!$B$6:$B$405,E1086,'Istoric_Nativ'!$C$6:$C$405,F1086,'Istoric_Nativ'!$F$6:$F$405,G1086,'Istoric_Nativ'!$D$6:$D$405,"&lt;"&amp;J1086,'Istoric_Nativ'!$P$6:$P$405,1,'Istoric_Nativ'!$D$6:$D$405,"&gt;="&amp;L1086))))</x:f>
        <x:v>0</x:v>
      </x:c>
      <x:c r="N1086" s="11" t="str">
        <x:f>IF(M1086=0,"",IF(H1086="HOME",SUMIFS('Istoric_Nativ'!$G$6:$G$405,'Istoric_Nativ'!$B$6:$B$405,E1086,'Istoric_Nativ'!$C$6:$C$405,F1086,'Istoric_Nativ'!$E$6:$E$405,G1086,'Istoric_Nativ'!$D$6:$D$405,"&lt;"&amp;J1086,'Istoric_Nativ'!$P$6:$P$405,1,'Istoric_Nativ'!$D$6:$D$405,"&gt;="&amp;L1086),IF(H1086="AWAY",SUMIFS('Istoric_Nativ'!$H$6:$H$405,'Istoric_Nativ'!$B$6:$B$405,E1086,'Istoric_Nativ'!$C$6:$C$405,F1086,'Istoric_Nativ'!$F$6:$F$405,G1086,'Istoric_Nativ'!$D$6:$D$405,"&lt;"&amp;J1086,'Istoric_Nativ'!$P$6:$P$405,1,'Istoric_Nativ'!$D$6:$D$405,"&gt;="&amp;L1086),SUMIFS('Istoric_Nativ'!$G$6:$G$405,'Istoric_Nativ'!$B$6:$B$405,E1086,'Istoric_Nativ'!$C$6:$C$405,F1086,'Istoric_Nativ'!$E$6:$E$405,G1086,'Istoric_Nativ'!$D$6:$D$405,"&lt;"&amp;J1086,'Istoric_Nativ'!$P$6:$P$405,1,'Istoric_Nativ'!$D$6:$D$405,"&gt;="&amp;L1086)+SUMIFS('Istoric_Nativ'!$H$6:$H$405,'Istoric_Nativ'!$B$6:$B$405,E1086,'Istoric_Nativ'!$C$6:$C$405,F1086,'Istoric_Nativ'!$F$6:$F$405,G1086,'Istoric_Nativ'!$D$6:$D$405,"&lt;"&amp;J1086,'Istoric_Nativ'!$P$6:$P$405,1,'Istoric_Nativ'!$D$6:$D$405,"&gt;="&amp;L1086)))/M1086)</x:f>
      </x:c>
      <x:c r="O1086" s="11" t="str">
        <x:f>IF(M1086=0,"",IF(H1086="HOME",SUMIFS('Istoric_Nativ'!$H$6:$H$405,'Istoric_Nativ'!$B$6:$B$405,E1086,'Istoric_Nativ'!$C$6:$C$405,F1086,'Istoric_Nativ'!$E$6:$E$405,G1086,'Istoric_Nativ'!$D$6:$D$405,"&lt;"&amp;J1086,'Istoric_Nativ'!$P$6:$P$405,1,'Istoric_Nativ'!$D$6:$D$405,"&gt;="&amp;L1086),IF(H1086="AWAY",SUMIFS('Istoric_Nativ'!$G$6:$G$405,'Istoric_Nativ'!$B$6:$B$405,E1086,'Istoric_Nativ'!$C$6:$C$405,F1086,'Istoric_Nativ'!$F$6:$F$405,G1086,'Istoric_Nativ'!$D$6:$D$405,"&lt;"&amp;J1086,'Istoric_Nativ'!$P$6:$P$405,1,'Istoric_Nativ'!$D$6:$D$405,"&gt;="&amp;L1086),SUMIFS('Istoric_Nativ'!$H$6:$H$405,'Istoric_Nativ'!$B$6:$B$405,E1086,'Istoric_Nativ'!$C$6:$C$405,F1086,'Istoric_Nativ'!$E$6:$E$405,G1086,'Istoric_Nativ'!$D$6:$D$405,"&lt;"&amp;J1086,'Istoric_Nativ'!$P$6:$P$405,1,'Istoric_Nativ'!$D$6:$D$405,"&gt;="&amp;L1086)+SUMIFS('Istoric_Nativ'!$G$6:$G$405,'Istoric_Nativ'!$B$6:$B$405,E1086,'Istoric_Nativ'!$C$6:$C$405,F1086,'Istoric_Nativ'!$F$6:$F$405,G1086,'Istoric_Nativ'!$D$6:$D$405,"&lt;"&amp;J1086,'Istoric_Nativ'!$P$6:$P$405,1,'Istoric_Nativ'!$D$6:$D$405,"&gt;="&amp;L1086)))/M1086)</x:f>
      </x:c>
      <x:c r="P1086" s="2" t="n">
        <x:f>'Config_v6'!$B$7</x:f>
        <x:v>10</x:v>
      </x:c>
      <x:c r="Q1086" s="2" t="n">
        <x:f>IF(OR(B1086="",F1086=""),0,IFERROR(MATCH(E1086&amp;"|"&amp;F1086,SourceTable[Source_Key],0),0))</x:f>
        <x:v>0</x:v>
      </x:c>
      <x:c r="R1086" s="2" t="str">
        <x:f>IF(B1086="","",IF(F1086="","UNUSED",IF(Q1086=0,"NOT CHECKED",IF(COUNTIF(SourceTable[Source_Key],E1086&amp;"|"&amp;F1086)&lt;&gt;1,"SOURCE CONFLICT",IF(NOT(OR(INDEX(SourceTable[Status],MAX(1,Q1086))="IMPORTED",INDEX(SourceTable[Status],MAX(1,Q1086))="PARTIAL",INDEX(SourceTable[Status],MAX(1,Q1086))="SOURCE CONFLICT")),"ACCESS BLOCKED",IF(OR(INDEX(SourceTable[Coverage],Q1086)&lt;&gt;"FULL SEASON EXPORT",INDEX(SourceTable[URL],Q1086)="",INDEX(SourceTable[SHA256],Q1086)=""),"EVIDENCE INCOMPLETE",IF(AND('Input_Meci'!H96="LIVE",INDEX(SourceTable[Retrieved_UTC],Q1086)&gt;'Input_Meci'!G96),"POST CUTOFF","CLOSED")))))))</x:f>
      </x:c>
      <x:c r="S1086" s="2" t="n">
        <x:f>IF(OR(B1086="",F1086=""),0,COUNTIFS('Istoric_Nativ'!$B$6:$B$405,E1086,'Istoric_Nativ'!$C$6:$C$405,F1086,'Istoric_Nativ'!$E$6:$E$405,G1086,'Istoric_Nativ'!$D$6:$D$405,"&lt;"&amp;J1086,'Istoric_Nativ'!$O$6:$O$405,"INVALID")+COUNTIFS('Istoric_Nativ'!$B$6:$B$405,E1086,'Istoric_Nativ'!$C$6:$C$405,F1086,'Istoric_Nativ'!$E$6:$E$405,G1086,'Istoric_Nativ'!$O$6:$O$405,"INVALID",'Istoric_Nativ'!$D$6:$D$405,"*")+COUNTIFS('Istoric_Nativ'!$B$6:$B$405,E1086,'Istoric_Nativ'!$C$6:$C$405,F1086,'Istoric_Nativ'!$E$6:$E$405,G1086,'Istoric_Nativ'!$D$6:$D$405,"&lt;"&amp;J1086,'Istoric_Nativ'!$O$6:$O$405,"SOURCE CONFLICT")+COUNTIFS('Istoric_Nativ'!$B$6:$B$405,E1086,'Istoric_Nativ'!$C$6:$C$405,F1086,'Istoric_Nativ'!$F$6:$F$405,G1086,'Istoric_Nativ'!$D$6:$D$405,"&lt;"&amp;J1086,'Istoric_Nativ'!$O$6:$O$405,"INVALID")+COUNTIFS('Istoric_Nativ'!$B$6:$B$405,E1086,'Istoric_Nativ'!$C$6:$C$405,F1086,'Istoric_Nativ'!$F$6:$F$405,G1086,'Istoric_Nativ'!$O$6:$O$405,"INVALID",'Istoric_Nativ'!$D$6:$D$405,"*")+COUNTIFS('Istoric_Nativ'!$B$6:$B$405,E1086,'Istoric_Nativ'!$C$6:$C$405,F1086,'Istoric_Nativ'!$F$6:$F$405,G1086,'Istoric_Nativ'!$D$6:$D$405,"&lt;"&amp;J1086,'Istoric_Nativ'!$O$6:$O$405,"SOURCE CONFLICT"))</x:f>
        <x:v>0</x:v>
      </x:c>
      <x:c r="T1086" s="2" t="str">
        <x:f>IF(B1086="","",IF(R1086&lt;&gt;"CLOSED",R1086,IF(S1086&gt;0,"NATIVE INPUT ISSUE",IF(M1086=0,"NO HISTORY",IF(M1086&lt;P1086,"SMALL SAMPLE","DERIVED")))))</x:f>
      </x:c>
      <x:c r="U1086" s="2" t="str">
        <x:f>IF(B1086="","","NativeTable; "&amp;E1086&amp;"; "&amp;F1086&amp;"; "&amp;G1086&amp;"; "&amp;H1086&amp;"; before "&amp;TEXT(J1086,"yyyy-mm-dd")&amp;IF(I1086="RECENT","; from "&amp;TEXT(L1086,"yyyy-mm-dd"),""))</x:f>
      </x:c>
    </x:row>
    <x:row r="1087" ht="21" customHeight="1">
      <x:c r="A1087" s="2" t="n">
        <x:v>91</x:v>
      </x:c>
      <x:c r="B1087" s="2" t="str">
        <x:f>IF('Input_Meci'!A96="","",'Input_Meci'!A96)</x:f>
      </x:c>
      <x:c r="C1087" s="2" t="str">
        <x:v>H</x:v>
      </x:c>
      <x:c r="D1087" s="2" t="str">
        <x:v>CURRENT</x:v>
      </x:c>
      <x:c r="E1087" s="2" t="str">
        <x:f>IF(B1087="","",'Input_Meci'!B96)</x:f>
      </x:c>
      <x:c r="F1087" s="2" t="str">
        <x:f>IF(B1087="","",IF('Input_Meci'!C96="","",'Input_Meci'!C96))</x:f>
      </x:c>
      <x:c r="G1087" s="2" t="str">
        <x:f>IF(B1087="","",'Input_Meci'!D96)</x:f>
      </x:c>
      <x:c r="H1087" s="2" t="str">
        <x:v>HOME</x:v>
      </x:c>
      <x:c r="I1087" s="2" t="str">
        <x:v>HA</x:v>
      </x:c>
      <x:c r="J1087" s="9" t="n">
        <x:f>IF(AND(B1087&lt;&gt;"",ISNUMBER('Input_Meci'!G96)),INT('Input_Meci'!G96),0)</x:f>
        <x:v>0</x:v>
      </x:c>
      <x:c r="K1087" s="2" t="n">
        <x:f>IF(OR(B1087="",F1087=""),0,IF(H1087="HOME",COUNTIFS('Istoric_Nativ'!$B$6:$B$405,E1087,'Istoric_Nativ'!$C$6:$C$405,F1087,'Istoric_Nativ'!$E$6:$E$405,G1087,'Istoric_Nativ'!$D$6:$D$405,"&lt;"&amp;J1087,'Istoric_Nativ'!$P$6:$P$405,1),IF(H1087="AWAY",COUNTIFS('Istoric_Nativ'!$B$6:$B$405,E1087,'Istoric_Nativ'!$C$6:$C$405,F1087,'Istoric_Nativ'!$F$6:$F$405,G1087,'Istoric_Nativ'!$D$6:$D$405,"&lt;"&amp;J1087,'Istoric_Nativ'!$P$6:$P$405,1),COUNTIFS('Istoric_Nativ'!$B$6:$B$405,E1087,'Istoric_Nativ'!$C$6:$C$405,F1087,'Istoric_Nativ'!$E$6:$E$405,G1087,'Istoric_Nativ'!$D$6:$D$405,"&lt;"&amp;J1087,'Istoric_Nativ'!$P$6:$P$405,1)+COUNTIFS('Istoric_Nativ'!$B$6:$B$405,E1087,'Istoric_Nativ'!$C$6:$C$405,F1087,'Istoric_Nativ'!$F$6:$F$405,G1087,'Istoric_Nativ'!$D$6:$D$405,"&lt;"&amp;J1087,'Istoric_Nativ'!$P$6:$P$405,1))))</x:f>
        <x:v>0</x:v>
      </x:c>
      <x:c r="L1087" s="17" t="n">
        <x:f>IF(AND(B1087&lt;&gt;"",I1087="RECENT",K1087&gt;0),LARGE(_xlfn._xlws.FILTER('Istoric_Nativ'!$D$6:$D$405,('Istoric_Nativ'!$B$6:$B$405=E1087)*('Istoric_Nativ'!$C$6:$C$405=F1087)*('Istoric_Nativ'!$P$6:$P$405=1)*('Istoric_Nativ'!$D$6:$D$405&lt;J1087)*((('Istoric_Nativ'!$E$6:$E$405=G1087)+('Istoric_Nativ'!$F$6:$F$405=G1087))&gt;0)),MIN('Config_v6'!$B$54,K1087)),0)</x:f>
        <x:v>0</x:v>
      </x:c>
      <x:c r="M1087" s="2" t="n">
        <x:f>IF(OR(B1087="",F1087=""),0,IF(H1087="HOME",COUNTIFS('Istoric_Nativ'!$B$6:$B$405,E1087,'Istoric_Nativ'!$C$6:$C$405,F1087,'Istoric_Nativ'!$E$6:$E$405,G1087,'Istoric_Nativ'!$D$6:$D$405,"&lt;"&amp;J1087,'Istoric_Nativ'!$P$6:$P$405,1,'Istoric_Nativ'!$D$6:$D$405,"&gt;="&amp;L1087),IF(H1087="AWAY",COUNTIFS('Istoric_Nativ'!$B$6:$B$405,E1087,'Istoric_Nativ'!$C$6:$C$405,F1087,'Istoric_Nativ'!$F$6:$F$405,G1087,'Istoric_Nativ'!$D$6:$D$405,"&lt;"&amp;J1087,'Istoric_Nativ'!$P$6:$P$405,1,'Istoric_Nativ'!$D$6:$D$405,"&gt;="&amp;L1087),COUNTIFS('Istoric_Nativ'!$B$6:$B$405,E1087,'Istoric_Nativ'!$C$6:$C$405,F1087,'Istoric_Nativ'!$E$6:$E$405,G1087,'Istoric_Nativ'!$D$6:$D$405,"&lt;"&amp;J1087,'Istoric_Nativ'!$P$6:$P$405,1,'Istoric_Nativ'!$D$6:$D$405,"&gt;="&amp;L1087)+COUNTIFS('Istoric_Nativ'!$B$6:$B$405,E1087,'Istoric_Nativ'!$C$6:$C$405,F1087,'Istoric_Nativ'!$F$6:$F$405,G1087,'Istoric_Nativ'!$D$6:$D$405,"&lt;"&amp;J1087,'Istoric_Nativ'!$P$6:$P$405,1,'Istoric_Nativ'!$D$6:$D$405,"&gt;="&amp;L1087))))</x:f>
        <x:v>0</x:v>
      </x:c>
      <x:c r="N1087" s="11" t="str">
        <x:f>IF(M1087=0,"",IF(H1087="HOME",SUMIFS('Istoric_Nativ'!$G$6:$G$405,'Istoric_Nativ'!$B$6:$B$405,E1087,'Istoric_Nativ'!$C$6:$C$405,F1087,'Istoric_Nativ'!$E$6:$E$405,G1087,'Istoric_Nativ'!$D$6:$D$405,"&lt;"&amp;J1087,'Istoric_Nativ'!$P$6:$P$405,1,'Istoric_Nativ'!$D$6:$D$405,"&gt;="&amp;L1087),IF(H1087="AWAY",SUMIFS('Istoric_Nativ'!$H$6:$H$405,'Istoric_Nativ'!$B$6:$B$405,E1087,'Istoric_Nativ'!$C$6:$C$405,F1087,'Istoric_Nativ'!$F$6:$F$405,G1087,'Istoric_Nativ'!$D$6:$D$405,"&lt;"&amp;J1087,'Istoric_Nativ'!$P$6:$P$405,1,'Istoric_Nativ'!$D$6:$D$405,"&gt;="&amp;L1087),SUMIFS('Istoric_Nativ'!$G$6:$G$405,'Istoric_Nativ'!$B$6:$B$405,E1087,'Istoric_Nativ'!$C$6:$C$405,F1087,'Istoric_Nativ'!$E$6:$E$405,G1087,'Istoric_Nativ'!$D$6:$D$405,"&lt;"&amp;J1087,'Istoric_Nativ'!$P$6:$P$405,1,'Istoric_Nativ'!$D$6:$D$405,"&gt;="&amp;L1087)+SUMIFS('Istoric_Nativ'!$H$6:$H$405,'Istoric_Nativ'!$B$6:$B$405,E1087,'Istoric_Nativ'!$C$6:$C$405,F1087,'Istoric_Nativ'!$F$6:$F$405,G1087,'Istoric_Nativ'!$D$6:$D$405,"&lt;"&amp;J1087,'Istoric_Nativ'!$P$6:$P$405,1,'Istoric_Nativ'!$D$6:$D$405,"&gt;="&amp;L1087)))/M1087)</x:f>
      </x:c>
      <x:c r="O1087" s="11" t="str">
        <x:f>IF(M1087=0,"",IF(H1087="HOME",SUMIFS('Istoric_Nativ'!$H$6:$H$405,'Istoric_Nativ'!$B$6:$B$405,E1087,'Istoric_Nativ'!$C$6:$C$405,F1087,'Istoric_Nativ'!$E$6:$E$405,G1087,'Istoric_Nativ'!$D$6:$D$405,"&lt;"&amp;J1087,'Istoric_Nativ'!$P$6:$P$405,1,'Istoric_Nativ'!$D$6:$D$405,"&gt;="&amp;L1087),IF(H1087="AWAY",SUMIFS('Istoric_Nativ'!$G$6:$G$405,'Istoric_Nativ'!$B$6:$B$405,E1087,'Istoric_Nativ'!$C$6:$C$405,F1087,'Istoric_Nativ'!$F$6:$F$405,G1087,'Istoric_Nativ'!$D$6:$D$405,"&lt;"&amp;J1087,'Istoric_Nativ'!$P$6:$P$405,1,'Istoric_Nativ'!$D$6:$D$405,"&gt;="&amp;L1087),SUMIFS('Istoric_Nativ'!$H$6:$H$405,'Istoric_Nativ'!$B$6:$B$405,E1087,'Istoric_Nativ'!$C$6:$C$405,F1087,'Istoric_Nativ'!$E$6:$E$405,G1087,'Istoric_Nativ'!$D$6:$D$405,"&lt;"&amp;J1087,'Istoric_Nativ'!$P$6:$P$405,1,'Istoric_Nativ'!$D$6:$D$405,"&gt;="&amp;L1087)+SUMIFS('Istoric_Nativ'!$G$6:$G$405,'Istoric_Nativ'!$B$6:$B$405,E1087,'Istoric_Nativ'!$C$6:$C$405,F1087,'Istoric_Nativ'!$F$6:$F$405,G1087,'Istoric_Nativ'!$D$6:$D$405,"&lt;"&amp;J1087,'Istoric_Nativ'!$P$6:$P$405,1,'Istoric_Nativ'!$D$6:$D$405,"&gt;="&amp;L1087)))/M1087)</x:f>
      </x:c>
      <x:c r="P1087" s="2" t="n">
        <x:f>'Config_v6'!$B$8</x:f>
        <x:v>5</x:v>
      </x:c>
      <x:c r="Q1087" s="2" t="n">
        <x:f>IF(OR(B1087="",F1087=""),0,IFERROR(MATCH(E1087&amp;"|"&amp;F1087,SourceTable[Source_Key],0),0))</x:f>
        <x:v>0</x:v>
      </x:c>
      <x:c r="R1087" s="2" t="str">
        <x:f>IF(B1087="","",IF(F1087="","UNUSED",IF(Q1087=0,"NOT CHECKED",IF(COUNTIF(SourceTable[Source_Key],E1087&amp;"|"&amp;F1087)&lt;&gt;1,"SOURCE CONFLICT",IF(NOT(OR(INDEX(SourceTable[Status],MAX(1,Q1087))="IMPORTED",INDEX(SourceTable[Status],MAX(1,Q1087))="PARTIAL",INDEX(SourceTable[Status],MAX(1,Q1087))="SOURCE CONFLICT")),"ACCESS BLOCKED",IF(OR(INDEX(SourceTable[Coverage],Q1087)&lt;&gt;"FULL SEASON EXPORT",INDEX(SourceTable[URL],Q1087)="",INDEX(SourceTable[SHA256],Q1087)=""),"EVIDENCE INCOMPLETE",IF(AND('Input_Meci'!H96="LIVE",INDEX(SourceTable[Retrieved_UTC],Q1087)&gt;'Input_Meci'!G96),"POST CUTOFF","CLOSED")))))))</x:f>
      </x:c>
      <x:c r="S1087" s="2" t="n">
        <x:f>IF(OR(B1087="",F1087=""),0,COUNTIFS('Istoric_Nativ'!$B$6:$B$405,E1087,'Istoric_Nativ'!$C$6:$C$405,F1087,'Istoric_Nativ'!$E$6:$E$405,G1087,'Istoric_Nativ'!$D$6:$D$405,"&lt;"&amp;J1087,'Istoric_Nativ'!$O$6:$O$405,"INVALID")+COUNTIFS('Istoric_Nativ'!$B$6:$B$405,E1087,'Istoric_Nativ'!$C$6:$C$405,F1087,'Istoric_Nativ'!$E$6:$E$405,G1087,'Istoric_Nativ'!$O$6:$O$405,"INVALID",'Istoric_Nativ'!$D$6:$D$405,"*")+COUNTIFS('Istoric_Nativ'!$B$6:$B$405,E1087,'Istoric_Nativ'!$C$6:$C$405,F1087,'Istoric_Nativ'!$E$6:$E$405,G1087,'Istoric_Nativ'!$D$6:$D$405,"&lt;"&amp;J1087,'Istoric_Nativ'!$O$6:$O$405,"SOURCE CONFLICT")+COUNTIFS('Istoric_Nativ'!$B$6:$B$405,E1087,'Istoric_Nativ'!$C$6:$C$405,F1087,'Istoric_Nativ'!$F$6:$F$405,G1087,'Istoric_Nativ'!$D$6:$D$405,"&lt;"&amp;J1087,'Istoric_Nativ'!$O$6:$O$405,"INVALID")+COUNTIFS('Istoric_Nativ'!$B$6:$B$405,E1087,'Istoric_Nativ'!$C$6:$C$405,F1087,'Istoric_Nativ'!$F$6:$F$405,G1087,'Istoric_Nativ'!$O$6:$O$405,"INVALID",'Istoric_Nativ'!$D$6:$D$405,"*")+COUNTIFS('Istoric_Nativ'!$B$6:$B$405,E1087,'Istoric_Nativ'!$C$6:$C$405,F1087,'Istoric_Nativ'!$F$6:$F$405,G1087,'Istoric_Nativ'!$D$6:$D$405,"&lt;"&amp;J1087,'Istoric_Nativ'!$O$6:$O$405,"SOURCE CONFLICT"))</x:f>
        <x:v>0</x:v>
      </x:c>
      <x:c r="T1087" s="2" t="str">
        <x:f>IF(B1087="","",IF(R1087&lt;&gt;"CLOSED",R1087,IF(S1087&gt;0,"NATIVE INPUT ISSUE",IF(M1087=0,"NO HISTORY",IF(M1087&lt;P1087,"SMALL SAMPLE","DERIVED")))))</x:f>
      </x:c>
      <x:c r="U1087" s="2" t="str">
        <x:f>IF(B1087="","","NativeTable; "&amp;E1087&amp;"; "&amp;F1087&amp;"; "&amp;G1087&amp;"; "&amp;H1087&amp;"; before "&amp;TEXT(J1087,"yyyy-mm-dd")&amp;IF(I1087="RECENT","; from "&amp;TEXT(L1087,"yyyy-mm-dd"),""))</x:f>
      </x:c>
    </x:row>
    <x:row r="1088" ht="21" customHeight="1">
      <x:c r="A1088" s="2" t="n">
        <x:v>91</x:v>
      </x:c>
      <x:c r="B1088" s="2" t="str">
        <x:f>IF('Input_Meci'!A96="","",'Input_Meci'!A96)</x:f>
      </x:c>
      <x:c r="C1088" s="2" t="str">
        <x:v>H</x:v>
      </x:c>
      <x:c r="D1088" s="2" t="str">
        <x:v>CURRENT</x:v>
      </x:c>
      <x:c r="E1088" s="2" t="str">
        <x:f>IF(B1088="","",'Input_Meci'!B96)</x:f>
      </x:c>
      <x:c r="F1088" s="2" t="str">
        <x:f>IF(B1088="","",IF('Input_Meci'!C96="","",'Input_Meci'!C96))</x:f>
      </x:c>
      <x:c r="G1088" s="2" t="str">
        <x:f>IF(B1088="","",'Input_Meci'!D96)</x:f>
      </x:c>
      <x:c r="H1088" s="2" t="str">
        <x:v>ANY</x:v>
      </x:c>
      <x:c r="I1088" s="2" t="str">
        <x:v>RECENT</x:v>
      </x:c>
      <x:c r="J1088" s="9" t="n">
        <x:f>IF(AND(B1088&lt;&gt;"",ISNUMBER('Input_Meci'!G96)),INT('Input_Meci'!G96),0)</x:f>
        <x:v>0</x:v>
      </x:c>
      <x:c r="K1088" s="2" t="n">
        <x:f>IF(OR(B1088="",F1088=""),0,IF(H1088="HOME",COUNTIFS('Istoric_Nativ'!$B$6:$B$405,E1088,'Istoric_Nativ'!$C$6:$C$405,F1088,'Istoric_Nativ'!$E$6:$E$405,G1088,'Istoric_Nativ'!$D$6:$D$405,"&lt;"&amp;J1088,'Istoric_Nativ'!$P$6:$P$405,1),IF(H1088="AWAY",COUNTIFS('Istoric_Nativ'!$B$6:$B$405,E1088,'Istoric_Nativ'!$C$6:$C$405,F1088,'Istoric_Nativ'!$F$6:$F$405,G1088,'Istoric_Nativ'!$D$6:$D$405,"&lt;"&amp;J1088,'Istoric_Nativ'!$P$6:$P$405,1),COUNTIFS('Istoric_Nativ'!$B$6:$B$405,E1088,'Istoric_Nativ'!$C$6:$C$405,F1088,'Istoric_Nativ'!$E$6:$E$405,G1088,'Istoric_Nativ'!$D$6:$D$405,"&lt;"&amp;J1088,'Istoric_Nativ'!$P$6:$P$405,1)+COUNTIFS('Istoric_Nativ'!$B$6:$B$405,E1088,'Istoric_Nativ'!$C$6:$C$405,F1088,'Istoric_Nativ'!$F$6:$F$405,G1088,'Istoric_Nativ'!$D$6:$D$405,"&lt;"&amp;J1088,'Istoric_Nativ'!$P$6:$P$405,1))))</x:f>
        <x:v>0</x:v>
      </x:c>
      <x:c r="L1088" s="17" t="n">
        <x:f>IF(AND(B1088&lt;&gt;"",I1088="RECENT",K1088&gt;0),LARGE(_xlfn._xlws.FILTER('Istoric_Nativ'!$D$6:$D$405,('Istoric_Nativ'!$B$6:$B$405=E1088)*('Istoric_Nativ'!$C$6:$C$405=F1088)*('Istoric_Nativ'!$P$6:$P$405=1)*('Istoric_Nativ'!$D$6:$D$405&lt;J1088)*((('Istoric_Nativ'!$E$6:$E$405=G1088)+('Istoric_Nativ'!$F$6:$F$405=G1088))&gt;0)),MIN('Config_v6'!$B$54,K1088)),0)</x:f>
        <x:v>0</x:v>
      </x:c>
      <x:c r="M1088" s="2" t="n">
        <x:f>IF(OR(B1088="",F1088=""),0,IF(H1088="HOME",COUNTIFS('Istoric_Nativ'!$B$6:$B$405,E1088,'Istoric_Nativ'!$C$6:$C$405,F1088,'Istoric_Nativ'!$E$6:$E$405,G1088,'Istoric_Nativ'!$D$6:$D$405,"&lt;"&amp;J1088,'Istoric_Nativ'!$P$6:$P$405,1,'Istoric_Nativ'!$D$6:$D$405,"&gt;="&amp;L1088),IF(H1088="AWAY",COUNTIFS('Istoric_Nativ'!$B$6:$B$405,E1088,'Istoric_Nativ'!$C$6:$C$405,F1088,'Istoric_Nativ'!$F$6:$F$405,G1088,'Istoric_Nativ'!$D$6:$D$405,"&lt;"&amp;J1088,'Istoric_Nativ'!$P$6:$P$405,1,'Istoric_Nativ'!$D$6:$D$405,"&gt;="&amp;L1088),COUNTIFS('Istoric_Nativ'!$B$6:$B$405,E1088,'Istoric_Nativ'!$C$6:$C$405,F1088,'Istoric_Nativ'!$E$6:$E$405,G1088,'Istoric_Nativ'!$D$6:$D$405,"&lt;"&amp;J1088,'Istoric_Nativ'!$P$6:$P$405,1,'Istoric_Nativ'!$D$6:$D$405,"&gt;="&amp;L1088)+COUNTIFS('Istoric_Nativ'!$B$6:$B$405,E1088,'Istoric_Nativ'!$C$6:$C$405,F1088,'Istoric_Nativ'!$F$6:$F$405,G1088,'Istoric_Nativ'!$D$6:$D$405,"&lt;"&amp;J1088,'Istoric_Nativ'!$P$6:$P$405,1,'Istoric_Nativ'!$D$6:$D$405,"&gt;="&amp;L1088))))</x:f>
        <x:v>0</x:v>
      </x:c>
      <x:c r="N1088" s="11" t="str">
        <x:f>IF(M1088=0,"",IF(H1088="HOME",SUMIFS('Istoric_Nativ'!$G$6:$G$405,'Istoric_Nativ'!$B$6:$B$405,E1088,'Istoric_Nativ'!$C$6:$C$405,F1088,'Istoric_Nativ'!$E$6:$E$405,G1088,'Istoric_Nativ'!$D$6:$D$405,"&lt;"&amp;J1088,'Istoric_Nativ'!$P$6:$P$405,1,'Istoric_Nativ'!$D$6:$D$405,"&gt;="&amp;L1088),IF(H1088="AWAY",SUMIFS('Istoric_Nativ'!$H$6:$H$405,'Istoric_Nativ'!$B$6:$B$405,E1088,'Istoric_Nativ'!$C$6:$C$405,F1088,'Istoric_Nativ'!$F$6:$F$405,G1088,'Istoric_Nativ'!$D$6:$D$405,"&lt;"&amp;J1088,'Istoric_Nativ'!$P$6:$P$405,1,'Istoric_Nativ'!$D$6:$D$405,"&gt;="&amp;L1088),SUMIFS('Istoric_Nativ'!$G$6:$G$405,'Istoric_Nativ'!$B$6:$B$405,E1088,'Istoric_Nativ'!$C$6:$C$405,F1088,'Istoric_Nativ'!$E$6:$E$405,G1088,'Istoric_Nativ'!$D$6:$D$405,"&lt;"&amp;J1088,'Istoric_Nativ'!$P$6:$P$405,1,'Istoric_Nativ'!$D$6:$D$405,"&gt;="&amp;L1088)+SUMIFS('Istoric_Nativ'!$H$6:$H$405,'Istoric_Nativ'!$B$6:$B$405,E1088,'Istoric_Nativ'!$C$6:$C$405,F1088,'Istoric_Nativ'!$F$6:$F$405,G1088,'Istoric_Nativ'!$D$6:$D$405,"&lt;"&amp;J1088,'Istoric_Nativ'!$P$6:$P$405,1,'Istoric_Nativ'!$D$6:$D$405,"&gt;="&amp;L1088)))/M1088)</x:f>
      </x:c>
      <x:c r="O1088" s="11" t="str">
        <x:f>IF(M1088=0,"",IF(H1088="HOME",SUMIFS('Istoric_Nativ'!$H$6:$H$405,'Istoric_Nativ'!$B$6:$B$405,E1088,'Istoric_Nativ'!$C$6:$C$405,F1088,'Istoric_Nativ'!$E$6:$E$405,G1088,'Istoric_Nativ'!$D$6:$D$405,"&lt;"&amp;J1088,'Istoric_Nativ'!$P$6:$P$405,1,'Istoric_Nativ'!$D$6:$D$405,"&gt;="&amp;L1088),IF(H1088="AWAY",SUMIFS('Istoric_Nativ'!$G$6:$G$405,'Istoric_Nativ'!$B$6:$B$405,E1088,'Istoric_Nativ'!$C$6:$C$405,F1088,'Istoric_Nativ'!$F$6:$F$405,G1088,'Istoric_Nativ'!$D$6:$D$405,"&lt;"&amp;J1088,'Istoric_Nativ'!$P$6:$P$405,1,'Istoric_Nativ'!$D$6:$D$405,"&gt;="&amp;L1088),SUMIFS('Istoric_Nativ'!$H$6:$H$405,'Istoric_Nativ'!$B$6:$B$405,E1088,'Istoric_Nativ'!$C$6:$C$405,F1088,'Istoric_Nativ'!$E$6:$E$405,G1088,'Istoric_Nativ'!$D$6:$D$405,"&lt;"&amp;J1088,'Istoric_Nativ'!$P$6:$P$405,1,'Istoric_Nativ'!$D$6:$D$405,"&gt;="&amp;L1088)+SUMIFS('Istoric_Nativ'!$G$6:$G$405,'Istoric_Nativ'!$B$6:$B$405,E1088,'Istoric_Nativ'!$C$6:$C$405,F1088,'Istoric_Nativ'!$F$6:$F$405,G1088,'Istoric_Nativ'!$D$6:$D$405,"&lt;"&amp;J1088,'Istoric_Nativ'!$P$6:$P$405,1,'Istoric_Nativ'!$D$6:$D$405,"&gt;="&amp;L1088)))/M1088)</x:f>
      </x:c>
      <x:c r="P1088" s="2" t="n">
        <x:f>'Config_v6'!$B$9</x:f>
        <x:v>3</x:v>
      </x:c>
      <x:c r="Q1088" s="2" t="n">
        <x:f>IF(OR(B1088="",F1088=""),0,IFERROR(MATCH(E1088&amp;"|"&amp;F1088,SourceTable[Source_Key],0),0))</x:f>
        <x:v>0</x:v>
      </x:c>
      <x:c r="R1088" s="2" t="str">
        <x:f>IF(B1088="","",IF(F1088="","UNUSED",IF(Q1088=0,"NOT CHECKED",IF(COUNTIF(SourceTable[Source_Key],E1088&amp;"|"&amp;F1088)&lt;&gt;1,"SOURCE CONFLICT",IF(NOT(OR(INDEX(SourceTable[Status],MAX(1,Q1088))="IMPORTED",INDEX(SourceTable[Status],MAX(1,Q1088))="PARTIAL",INDEX(SourceTable[Status],MAX(1,Q1088))="SOURCE CONFLICT")),"ACCESS BLOCKED",IF(OR(INDEX(SourceTable[Coverage],Q1088)&lt;&gt;"FULL SEASON EXPORT",INDEX(SourceTable[URL],Q1088)="",INDEX(SourceTable[SHA256],Q1088)=""),"EVIDENCE INCOMPLETE",IF(AND('Input_Meci'!H96="LIVE",INDEX(SourceTable[Retrieved_UTC],Q1088)&gt;'Input_Meci'!G96),"POST CUTOFF","CLOSED")))))))</x:f>
      </x:c>
      <x:c r="S1088" s="2" t="n">
        <x:f>IF(OR(B1088="",F1088=""),0,COUNTIFS('Istoric_Nativ'!$B$6:$B$405,E1088,'Istoric_Nativ'!$C$6:$C$405,F1088,'Istoric_Nativ'!$E$6:$E$405,G1088,'Istoric_Nativ'!$D$6:$D$405,"&lt;"&amp;J1088,'Istoric_Nativ'!$O$6:$O$405,"INVALID")+COUNTIFS('Istoric_Nativ'!$B$6:$B$405,E1088,'Istoric_Nativ'!$C$6:$C$405,F1088,'Istoric_Nativ'!$E$6:$E$405,G1088,'Istoric_Nativ'!$O$6:$O$405,"INVALID",'Istoric_Nativ'!$D$6:$D$405,"*")+COUNTIFS('Istoric_Nativ'!$B$6:$B$405,E1088,'Istoric_Nativ'!$C$6:$C$405,F1088,'Istoric_Nativ'!$E$6:$E$405,G1088,'Istoric_Nativ'!$D$6:$D$405,"&lt;"&amp;J1088,'Istoric_Nativ'!$O$6:$O$405,"SOURCE CONFLICT")+COUNTIFS('Istoric_Nativ'!$B$6:$B$405,E1088,'Istoric_Nativ'!$C$6:$C$405,F1088,'Istoric_Nativ'!$F$6:$F$405,G1088,'Istoric_Nativ'!$D$6:$D$405,"&lt;"&amp;J1088,'Istoric_Nativ'!$O$6:$O$405,"INVALID")+COUNTIFS('Istoric_Nativ'!$B$6:$B$405,E1088,'Istoric_Nativ'!$C$6:$C$405,F1088,'Istoric_Nativ'!$F$6:$F$405,G1088,'Istoric_Nativ'!$O$6:$O$405,"INVALID",'Istoric_Nativ'!$D$6:$D$405,"*")+COUNTIFS('Istoric_Nativ'!$B$6:$B$405,E1088,'Istoric_Nativ'!$C$6:$C$405,F1088,'Istoric_Nativ'!$F$6:$F$405,G1088,'Istoric_Nativ'!$D$6:$D$405,"&lt;"&amp;J1088,'Istoric_Nativ'!$O$6:$O$405,"SOURCE CONFLICT"))</x:f>
        <x:v>0</x:v>
      </x:c>
      <x:c r="T1088" s="2" t="str">
        <x:f>IF(B1088="","",IF(R1088&lt;&gt;"CLOSED",R1088,IF(S1088&gt;0,"NATIVE INPUT ISSUE",IF(M1088=0,"NO HISTORY",IF(M1088&lt;P1088,"SMALL SAMPLE","DERIVED")))))</x:f>
      </x:c>
      <x:c r="U1088" s="2" t="str">
        <x:f>IF(B1088="","","NativeTable; "&amp;E1088&amp;"; "&amp;F1088&amp;"; "&amp;G1088&amp;"; "&amp;H1088&amp;"; before "&amp;TEXT(J1088,"yyyy-mm-dd")&amp;IF(I1088="RECENT","; from "&amp;TEXT(L1088,"yyyy-mm-dd"),""))</x:f>
      </x:c>
    </x:row>
    <x:row r="1089" ht="21" customHeight="1">
      <x:c r="A1089" s="2" t="n">
        <x:v>91</x:v>
      </x:c>
      <x:c r="B1089" s="2" t="str">
        <x:f>IF('Input_Meci'!A96="","",'Input_Meci'!A96)</x:f>
      </x:c>
      <x:c r="C1089" s="2" t="str">
        <x:v>A</x:v>
      </x:c>
      <x:c r="D1089" s="2" t="str">
        <x:v>CURRENT</x:v>
      </x:c>
      <x:c r="E1089" s="2" t="str">
        <x:f>IF(B1089="","",'Input_Meci'!B96)</x:f>
      </x:c>
      <x:c r="F1089" s="2" t="str">
        <x:f>IF(B1089="","",IF('Input_Meci'!C96="","",'Input_Meci'!C96))</x:f>
      </x:c>
      <x:c r="G1089" s="2" t="str">
        <x:f>IF(B1089="","",'Input_Meci'!E96)</x:f>
      </x:c>
      <x:c r="H1089" s="2" t="str">
        <x:v>ANY</x:v>
      </x:c>
      <x:c r="I1089" s="2" t="str">
        <x:v>SEASON</x:v>
      </x:c>
      <x:c r="J1089" s="9" t="n">
        <x:f>IF(AND(B1089&lt;&gt;"",ISNUMBER('Input_Meci'!G96)),INT('Input_Meci'!G96),0)</x:f>
        <x:v>0</x:v>
      </x:c>
      <x:c r="K1089" s="2" t="n">
        <x:f>IF(OR(B1089="",F1089=""),0,IF(H1089="HOME",COUNTIFS('Istoric_Nativ'!$B$6:$B$405,E1089,'Istoric_Nativ'!$C$6:$C$405,F1089,'Istoric_Nativ'!$E$6:$E$405,G1089,'Istoric_Nativ'!$D$6:$D$405,"&lt;"&amp;J1089,'Istoric_Nativ'!$P$6:$P$405,1),IF(H1089="AWAY",COUNTIFS('Istoric_Nativ'!$B$6:$B$405,E1089,'Istoric_Nativ'!$C$6:$C$405,F1089,'Istoric_Nativ'!$F$6:$F$405,G1089,'Istoric_Nativ'!$D$6:$D$405,"&lt;"&amp;J1089,'Istoric_Nativ'!$P$6:$P$405,1),COUNTIFS('Istoric_Nativ'!$B$6:$B$405,E1089,'Istoric_Nativ'!$C$6:$C$405,F1089,'Istoric_Nativ'!$E$6:$E$405,G1089,'Istoric_Nativ'!$D$6:$D$405,"&lt;"&amp;J1089,'Istoric_Nativ'!$P$6:$P$405,1)+COUNTIFS('Istoric_Nativ'!$B$6:$B$405,E1089,'Istoric_Nativ'!$C$6:$C$405,F1089,'Istoric_Nativ'!$F$6:$F$405,G1089,'Istoric_Nativ'!$D$6:$D$405,"&lt;"&amp;J1089,'Istoric_Nativ'!$P$6:$P$405,1))))</x:f>
        <x:v>0</x:v>
      </x:c>
      <x:c r="L1089" s="17" t="n">
        <x:f>IF(AND(B1089&lt;&gt;"",I1089="RECENT",K1089&gt;0),LARGE(_xlfn._xlws.FILTER('Istoric_Nativ'!$D$6:$D$405,('Istoric_Nativ'!$B$6:$B$405=E1089)*('Istoric_Nativ'!$C$6:$C$405=F1089)*('Istoric_Nativ'!$P$6:$P$405=1)*('Istoric_Nativ'!$D$6:$D$405&lt;J1089)*((('Istoric_Nativ'!$E$6:$E$405=G1089)+('Istoric_Nativ'!$F$6:$F$405=G1089))&gt;0)),MIN('Config_v6'!$B$54,K1089)),0)</x:f>
        <x:v>0</x:v>
      </x:c>
      <x:c r="M1089" s="2" t="n">
        <x:f>IF(OR(B1089="",F1089=""),0,IF(H1089="HOME",COUNTIFS('Istoric_Nativ'!$B$6:$B$405,E1089,'Istoric_Nativ'!$C$6:$C$405,F1089,'Istoric_Nativ'!$E$6:$E$405,G1089,'Istoric_Nativ'!$D$6:$D$405,"&lt;"&amp;J1089,'Istoric_Nativ'!$P$6:$P$405,1,'Istoric_Nativ'!$D$6:$D$405,"&gt;="&amp;L1089),IF(H1089="AWAY",COUNTIFS('Istoric_Nativ'!$B$6:$B$405,E1089,'Istoric_Nativ'!$C$6:$C$405,F1089,'Istoric_Nativ'!$F$6:$F$405,G1089,'Istoric_Nativ'!$D$6:$D$405,"&lt;"&amp;J1089,'Istoric_Nativ'!$P$6:$P$405,1,'Istoric_Nativ'!$D$6:$D$405,"&gt;="&amp;L1089),COUNTIFS('Istoric_Nativ'!$B$6:$B$405,E1089,'Istoric_Nativ'!$C$6:$C$405,F1089,'Istoric_Nativ'!$E$6:$E$405,G1089,'Istoric_Nativ'!$D$6:$D$405,"&lt;"&amp;J1089,'Istoric_Nativ'!$P$6:$P$405,1,'Istoric_Nativ'!$D$6:$D$405,"&gt;="&amp;L1089)+COUNTIFS('Istoric_Nativ'!$B$6:$B$405,E1089,'Istoric_Nativ'!$C$6:$C$405,F1089,'Istoric_Nativ'!$F$6:$F$405,G1089,'Istoric_Nativ'!$D$6:$D$405,"&lt;"&amp;J1089,'Istoric_Nativ'!$P$6:$P$405,1,'Istoric_Nativ'!$D$6:$D$405,"&gt;="&amp;L1089))))</x:f>
        <x:v>0</x:v>
      </x:c>
      <x:c r="N1089" s="11" t="str">
        <x:f>IF(M1089=0,"",IF(H1089="HOME",SUMIFS('Istoric_Nativ'!$G$6:$G$405,'Istoric_Nativ'!$B$6:$B$405,E1089,'Istoric_Nativ'!$C$6:$C$405,F1089,'Istoric_Nativ'!$E$6:$E$405,G1089,'Istoric_Nativ'!$D$6:$D$405,"&lt;"&amp;J1089,'Istoric_Nativ'!$P$6:$P$405,1,'Istoric_Nativ'!$D$6:$D$405,"&gt;="&amp;L1089),IF(H1089="AWAY",SUMIFS('Istoric_Nativ'!$H$6:$H$405,'Istoric_Nativ'!$B$6:$B$405,E1089,'Istoric_Nativ'!$C$6:$C$405,F1089,'Istoric_Nativ'!$F$6:$F$405,G1089,'Istoric_Nativ'!$D$6:$D$405,"&lt;"&amp;J1089,'Istoric_Nativ'!$P$6:$P$405,1,'Istoric_Nativ'!$D$6:$D$405,"&gt;="&amp;L1089),SUMIFS('Istoric_Nativ'!$G$6:$G$405,'Istoric_Nativ'!$B$6:$B$405,E1089,'Istoric_Nativ'!$C$6:$C$405,F1089,'Istoric_Nativ'!$E$6:$E$405,G1089,'Istoric_Nativ'!$D$6:$D$405,"&lt;"&amp;J1089,'Istoric_Nativ'!$P$6:$P$405,1,'Istoric_Nativ'!$D$6:$D$405,"&gt;="&amp;L1089)+SUMIFS('Istoric_Nativ'!$H$6:$H$405,'Istoric_Nativ'!$B$6:$B$405,E1089,'Istoric_Nativ'!$C$6:$C$405,F1089,'Istoric_Nativ'!$F$6:$F$405,G1089,'Istoric_Nativ'!$D$6:$D$405,"&lt;"&amp;J1089,'Istoric_Nativ'!$P$6:$P$405,1,'Istoric_Nativ'!$D$6:$D$405,"&gt;="&amp;L1089)))/M1089)</x:f>
      </x:c>
      <x:c r="O1089" s="11" t="str">
        <x:f>IF(M1089=0,"",IF(H1089="HOME",SUMIFS('Istoric_Nativ'!$H$6:$H$405,'Istoric_Nativ'!$B$6:$B$405,E1089,'Istoric_Nativ'!$C$6:$C$405,F1089,'Istoric_Nativ'!$E$6:$E$405,G1089,'Istoric_Nativ'!$D$6:$D$405,"&lt;"&amp;J1089,'Istoric_Nativ'!$P$6:$P$405,1,'Istoric_Nativ'!$D$6:$D$405,"&gt;="&amp;L1089),IF(H1089="AWAY",SUMIFS('Istoric_Nativ'!$G$6:$G$405,'Istoric_Nativ'!$B$6:$B$405,E1089,'Istoric_Nativ'!$C$6:$C$405,F1089,'Istoric_Nativ'!$F$6:$F$405,G1089,'Istoric_Nativ'!$D$6:$D$405,"&lt;"&amp;J1089,'Istoric_Nativ'!$P$6:$P$405,1,'Istoric_Nativ'!$D$6:$D$405,"&gt;="&amp;L1089),SUMIFS('Istoric_Nativ'!$H$6:$H$405,'Istoric_Nativ'!$B$6:$B$405,E1089,'Istoric_Nativ'!$C$6:$C$405,F1089,'Istoric_Nativ'!$E$6:$E$405,G1089,'Istoric_Nativ'!$D$6:$D$405,"&lt;"&amp;J1089,'Istoric_Nativ'!$P$6:$P$405,1,'Istoric_Nativ'!$D$6:$D$405,"&gt;="&amp;L1089)+SUMIFS('Istoric_Nativ'!$G$6:$G$405,'Istoric_Nativ'!$B$6:$B$405,E1089,'Istoric_Nativ'!$C$6:$C$405,F1089,'Istoric_Nativ'!$F$6:$F$405,G1089,'Istoric_Nativ'!$D$6:$D$405,"&lt;"&amp;J1089,'Istoric_Nativ'!$P$6:$P$405,1,'Istoric_Nativ'!$D$6:$D$405,"&gt;="&amp;L1089)))/M1089)</x:f>
      </x:c>
      <x:c r="P1089" s="2" t="n">
        <x:f>'Config_v6'!$B$7</x:f>
        <x:v>10</x:v>
      </x:c>
      <x:c r="Q1089" s="2" t="n">
        <x:f>IF(OR(B1089="",F1089=""),0,IFERROR(MATCH(E1089&amp;"|"&amp;F1089,SourceTable[Source_Key],0),0))</x:f>
        <x:v>0</x:v>
      </x:c>
      <x:c r="R1089" s="2" t="str">
        <x:f>IF(B1089="","",IF(F1089="","UNUSED",IF(Q1089=0,"NOT CHECKED",IF(COUNTIF(SourceTable[Source_Key],E1089&amp;"|"&amp;F1089)&lt;&gt;1,"SOURCE CONFLICT",IF(NOT(OR(INDEX(SourceTable[Status],MAX(1,Q1089))="IMPORTED",INDEX(SourceTable[Status],MAX(1,Q1089))="PARTIAL",INDEX(SourceTable[Status],MAX(1,Q1089))="SOURCE CONFLICT")),"ACCESS BLOCKED",IF(OR(INDEX(SourceTable[Coverage],Q1089)&lt;&gt;"FULL SEASON EXPORT",INDEX(SourceTable[URL],Q1089)="",INDEX(SourceTable[SHA256],Q1089)=""),"EVIDENCE INCOMPLETE",IF(AND('Input_Meci'!H96="LIVE",INDEX(SourceTable[Retrieved_UTC],Q1089)&gt;'Input_Meci'!G96),"POST CUTOFF","CLOSED")))))))</x:f>
      </x:c>
      <x:c r="S1089" s="2" t="n">
        <x:f>IF(OR(B1089="",F1089=""),0,COUNTIFS('Istoric_Nativ'!$B$6:$B$405,E1089,'Istoric_Nativ'!$C$6:$C$405,F1089,'Istoric_Nativ'!$E$6:$E$405,G1089,'Istoric_Nativ'!$D$6:$D$405,"&lt;"&amp;J1089,'Istoric_Nativ'!$O$6:$O$405,"INVALID")+COUNTIFS('Istoric_Nativ'!$B$6:$B$405,E1089,'Istoric_Nativ'!$C$6:$C$405,F1089,'Istoric_Nativ'!$E$6:$E$405,G1089,'Istoric_Nativ'!$O$6:$O$405,"INVALID",'Istoric_Nativ'!$D$6:$D$405,"*")+COUNTIFS('Istoric_Nativ'!$B$6:$B$405,E1089,'Istoric_Nativ'!$C$6:$C$405,F1089,'Istoric_Nativ'!$E$6:$E$405,G1089,'Istoric_Nativ'!$D$6:$D$405,"&lt;"&amp;J1089,'Istoric_Nativ'!$O$6:$O$405,"SOURCE CONFLICT")+COUNTIFS('Istoric_Nativ'!$B$6:$B$405,E1089,'Istoric_Nativ'!$C$6:$C$405,F1089,'Istoric_Nativ'!$F$6:$F$405,G1089,'Istoric_Nativ'!$D$6:$D$405,"&lt;"&amp;J1089,'Istoric_Nativ'!$O$6:$O$405,"INVALID")+COUNTIFS('Istoric_Nativ'!$B$6:$B$405,E1089,'Istoric_Nativ'!$C$6:$C$405,F1089,'Istoric_Nativ'!$F$6:$F$405,G1089,'Istoric_Nativ'!$O$6:$O$405,"INVALID",'Istoric_Nativ'!$D$6:$D$405,"*")+COUNTIFS('Istoric_Nativ'!$B$6:$B$405,E1089,'Istoric_Nativ'!$C$6:$C$405,F1089,'Istoric_Nativ'!$F$6:$F$405,G1089,'Istoric_Nativ'!$D$6:$D$405,"&lt;"&amp;J1089,'Istoric_Nativ'!$O$6:$O$405,"SOURCE CONFLICT"))</x:f>
        <x:v>0</x:v>
      </x:c>
      <x:c r="T1089" s="2" t="str">
        <x:f>IF(B1089="","",IF(R1089&lt;&gt;"CLOSED",R1089,IF(S1089&gt;0,"NATIVE INPUT ISSUE",IF(M1089=0,"NO HISTORY",IF(M1089&lt;P1089,"SMALL SAMPLE","DERIVED")))))</x:f>
      </x:c>
      <x:c r="U1089" s="2" t="str">
        <x:f>IF(B1089="","","NativeTable; "&amp;E1089&amp;"; "&amp;F1089&amp;"; "&amp;G1089&amp;"; "&amp;H1089&amp;"; before "&amp;TEXT(J1089,"yyyy-mm-dd")&amp;IF(I1089="RECENT","; from "&amp;TEXT(L1089,"yyyy-mm-dd"),""))</x:f>
      </x:c>
    </x:row>
    <x:row r="1090" ht="21" customHeight="1">
      <x:c r="A1090" s="2" t="n">
        <x:v>91</x:v>
      </x:c>
      <x:c r="B1090" s="2" t="str">
        <x:f>IF('Input_Meci'!A96="","",'Input_Meci'!A96)</x:f>
      </x:c>
      <x:c r="C1090" s="2" t="str">
        <x:v>A</x:v>
      </x:c>
      <x:c r="D1090" s="2" t="str">
        <x:v>CURRENT</x:v>
      </x:c>
      <x:c r="E1090" s="2" t="str">
        <x:f>IF(B1090="","",'Input_Meci'!B96)</x:f>
      </x:c>
      <x:c r="F1090" s="2" t="str">
        <x:f>IF(B1090="","",IF('Input_Meci'!C96="","",'Input_Meci'!C96))</x:f>
      </x:c>
      <x:c r="G1090" s="2" t="str">
        <x:f>IF(B1090="","",'Input_Meci'!E96)</x:f>
      </x:c>
      <x:c r="H1090" s="2" t="str">
        <x:v>AWAY</x:v>
      </x:c>
      <x:c r="I1090" s="2" t="str">
        <x:v>HA</x:v>
      </x:c>
      <x:c r="J1090" s="9" t="n">
        <x:f>IF(AND(B1090&lt;&gt;"",ISNUMBER('Input_Meci'!G96)),INT('Input_Meci'!G96),0)</x:f>
        <x:v>0</x:v>
      </x:c>
      <x:c r="K1090" s="2" t="n">
        <x:f>IF(OR(B1090="",F1090=""),0,IF(H1090="HOME",COUNTIFS('Istoric_Nativ'!$B$6:$B$405,E1090,'Istoric_Nativ'!$C$6:$C$405,F1090,'Istoric_Nativ'!$E$6:$E$405,G1090,'Istoric_Nativ'!$D$6:$D$405,"&lt;"&amp;J1090,'Istoric_Nativ'!$P$6:$P$405,1),IF(H1090="AWAY",COUNTIFS('Istoric_Nativ'!$B$6:$B$405,E1090,'Istoric_Nativ'!$C$6:$C$405,F1090,'Istoric_Nativ'!$F$6:$F$405,G1090,'Istoric_Nativ'!$D$6:$D$405,"&lt;"&amp;J1090,'Istoric_Nativ'!$P$6:$P$405,1),COUNTIFS('Istoric_Nativ'!$B$6:$B$405,E1090,'Istoric_Nativ'!$C$6:$C$405,F1090,'Istoric_Nativ'!$E$6:$E$405,G1090,'Istoric_Nativ'!$D$6:$D$405,"&lt;"&amp;J1090,'Istoric_Nativ'!$P$6:$P$405,1)+COUNTIFS('Istoric_Nativ'!$B$6:$B$405,E1090,'Istoric_Nativ'!$C$6:$C$405,F1090,'Istoric_Nativ'!$F$6:$F$405,G1090,'Istoric_Nativ'!$D$6:$D$405,"&lt;"&amp;J1090,'Istoric_Nativ'!$P$6:$P$405,1))))</x:f>
        <x:v>0</x:v>
      </x:c>
      <x:c r="L1090" s="17" t="n">
        <x:f>IF(AND(B1090&lt;&gt;"",I1090="RECENT",K1090&gt;0),LARGE(_xlfn._xlws.FILTER('Istoric_Nativ'!$D$6:$D$405,('Istoric_Nativ'!$B$6:$B$405=E1090)*('Istoric_Nativ'!$C$6:$C$405=F1090)*('Istoric_Nativ'!$P$6:$P$405=1)*('Istoric_Nativ'!$D$6:$D$405&lt;J1090)*((('Istoric_Nativ'!$E$6:$E$405=G1090)+('Istoric_Nativ'!$F$6:$F$405=G1090))&gt;0)),MIN('Config_v6'!$B$54,K1090)),0)</x:f>
        <x:v>0</x:v>
      </x:c>
      <x:c r="M1090" s="2" t="n">
        <x:f>IF(OR(B1090="",F1090=""),0,IF(H1090="HOME",COUNTIFS('Istoric_Nativ'!$B$6:$B$405,E1090,'Istoric_Nativ'!$C$6:$C$405,F1090,'Istoric_Nativ'!$E$6:$E$405,G1090,'Istoric_Nativ'!$D$6:$D$405,"&lt;"&amp;J1090,'Istoric_Nativ'!$P$6:$P$405,1,'Istoric_Nativ'!$D$6:$D$405,"&gt;="&amp;L1090),IF(H1090="AWAY",COUNTIFS('Istoric_Nativ'!$B$6:$B$405,E1090,'Istoric_Nativ'!$C$6:$C$405,F1090,'Istoric_Nativ'!$F$6:$F$405,G1090,'Istoric_Nativ'!$D$6:$D$405,"&lt;"&amp;J1090,'Istoric_Nativ'!$P$6:$P$405,1,'Istoric_Nativ'!$D$6:$D$405,"&gt;="&amp;L1090),COUNTIFS('Istoric_Nativ'!$B$6:$B$405,E1090,'Istoric_Nativ'!$C$6:$C$405,F1090,'Istoric_Nativ'!$E$6:$E$405,G1090,'Istoric_Nativ'!$D$6:$D$405,"&lt;"&amp;J1090,'Istoric_Nativ'!$P$6:$P$405,1,'Istoric_Nativ'!$D$6:$D$405,"&gt;="&amp;L1090)+COUNTIFS('Istoric_Nativ'!$B$6:$B$405,E1090,'Istoric_Nativ'!$C$6:$C$405,F1090,'Istoric_Nativ'!$F$6:$F$405,G1090,'Istoric_Nativ'!$D$6:$D$405,"&lt;"&amp;J1090,'Istoric_Nativ'!$P$6:$P$405,1,'Istoric_Nativ'!$D$6:$D$405,"&gt;="&amp;L1090))))</x:f>
        <x:v>0</x:v>
      </x:c>
      <x:c r="N1090" s="11" t="str">
        <x:f>IF(M1090=0,"",IF(H1090="HOME",SUMIFS('Istoric_Nativ'!$G$6:$G$405,'Istoric_Nativ'!$B$6:$B$405,E1090,'Istoric_Nativ'!$C$6:$C$405,F1090,'Istoric_Nativ'!$E$6:$E$405,G1090,'Istoric_Nativ'!$D$6:$D$405,"&lt;"&amp;J1090,'Istoric_Nativ'!$P$6:$P$405,1,'Istoric_Nativ'!$D$6:$D$405,"&gt;="&amp;L1090),IF(H1090="AWAY",SUMIFS('Istoric_Nativ'!$H$6:$H$405,'Istoric_Nativ'!$B$6:$B$405,E1090,'Istoric_Nativ'!$C$6:$C$405,F1090,'Istoric_Nativ'!$F$6:$F$405,G1090,'Istoric_Nativ'!$D$6:$D$405,"&lt;"&amp;J1090,'Istoric_Nativ'!$P$6:$P$405,1,'Istoric_Nativ'!$D$6:$D$405,"&gt;="&amp;L1090),SUMIFS('Istoric_Nativ'!$G$6:$G$405,'Istoric_Nativ'!$B$6:$B$405,E1090,'Istoric_Nativ'!$C$6:$C$405,F1090,'Istoric_Nativ'!$E$6:$E$405,G1090,'Istoric_Nativ'!$D$6:$D$405,"&lt;"&amp;J1090,'Istoric_Nativ'!$P$6:$P$405,1,'Istoric_Nativ'!$D$6:$D$405,"&gt;="&amp;L1090)+SUMIFS('Istoric_Nativ'!$H$6:$H$405,'Istoric_Nativ'!$B$6:$B$405,E1090,'Istoric_Nativ'!$C$6:$C$405,F1090,'Istoric_Nativ'!$F$6:$F$405,G1090,'Istoric_Nativ'!$D$6:$D$405,"&lt;"&amp;J1090,'Istoric_Nativ'!$P$6:$P$405,1,'Istoric_Nativ'!$D$6:$D$405,"&gt;="&amp;L1090)))/M1090)</x:f>
      </x:c>
      <x:c r="O1090" s="11" t="str">
        <x:f>IF(M1090=0,"",IF(H1090="HOME",SUMIFS('Istoric_Nativ'!$H$6:$H$405,'Istoric_Nativ'!$B$6:$B$405,E1090,'Istoric_Nativ'!$C$6:$C$405,F1090,'Istoric_Nativ'!$E$6:$E$405,G1090,'Istoric_Nativ'!$D$6:$D$405,"&lt;"&amp;J1090,'Istoric_Nativ'!$P$6:$P$405,1,'Istoric_Nativ'!$D$6:$D$405,"&gt;="&amp;L1090),IF(H1090="AWAY",SUMIFS('Istoric_Nativ'!$G$6:$G$405,'Istoric_Nativ'!$B$6:$B$405,E1090,'Istoric_Nativ'!$C$6:$C$405,F1090,'Istoric_Nativ'!$F$6:$F$405,G1090,'Istoric_Nativ'!$D$6:$D$405,"&lt;"&amp;J1090,'Istoric_Nativ'!$P$6:$P$405,1,'Istoric_Nativ'!$D$6:$D$405,"&gt;="&amp;L1090),SUMIFS('Istoric_Nativ'!$H$6:$H$405,'Istoric_Nativ'!$B$6:$B$405,E1090,'Istoric_Nativ'!$C$6:$C$405,F1090,'Istoric_Nativ'!$E$6:$E$405,G1090,'Istoric_Nativ'!$D$6:$D$405,"&lt;"&amp;J1090,'Istoric_Nativ'!$P$6:$P$405,1,'Istoric_Nativ'!$D$6:$D$405,"&gt;="&amp;L1090)+SUMIFS('Istoric_Nativ'!$G$6:$G$405,'Istoric_Nativ'!$B$6:$B$405,E1090,'Istoric_Nativ'!$C$6:$C$405,F1090,'Istoric_Nativ'!$F$6:$F$405,G1090,'Istoric_Nativ'!$D$6:$D$405,"&lt;"&amp;J1090,'Istoric_Nativ'!$P$6:$P$405,1,'Istoric_Nativ'!$D$6:$D$405,"&gt;="&amp;L1090)))/M1090)</x:f>
      </x:c>
      <x:c r="P1090" s="2" t="n">
        <x:f>'Config_v6'!$B$8</x:f>
        <x:v>5</x:v>
      </x:c>
      <x:c r="Q1090" s="2" t="n">
        <x:f>IF(OR(B1090="",F1090=""),0,IFERROR(MATCH(E1090&amp;"|"&amp;F1090,SourceTable[Source_Key],0),0))</x:f>
        <x:v>0</x:v>
      </x:c>
      <x:c r="R1090" s="2" t="str">
        <x:f>IF(B1090="","",IF(F1090="","UNUSED",IF(Q1090=0,"NOT CHECKED",IF(COUNTIF(SourceTable[Source_Key],E1090&amp;"|"&amp;F1090)&lt;&gt;1,"SOURCE CONFLICT",IF(NOT(OR(INDEX(SourceTable[Status],MAX(1,Q1090))="IMPORTED",INDEX(SourceTable[Status],MAX(1,Q1090))="PARTIAL",INDEX(SourceTable[Status],MAX(1,Q1090))="SOURCE CONFLICT")),"ACCESS BLOCKED",IF(OR(INDEX(SourceTable[Coverage],Q1090)&lt;&gt;"FULL SEASON EXPORT",INDEX(SourceTable[URL],Q1090)="",INDEX(SourceTable[SHA256],Q1090)=""),"EVIDENCE INCOMPLETE",IF(AND('Input_Meci'!H96="LIVE",INDEX(SourceTable[Retrieved_UTC],Q1090)&gt;'Input_Meci'!G96),"POST CUTOFF","CLOSED")))))))</x:f>
      </x:c>
      <x:c r="S1090" s="2" t="n">
        <x:f>IF(OR(B1090="",F1090=""),0,COUNTIFS('Istoric_Nativ'!$B$6:$B$405,E1090,'Istoric_Nativ'!$C$6:$C$405,F1090,'Istoric_Nativ'!$E$6:$E$405,G1090,'Istoric_Nativ'!$D$6:$D$405,"&lt;"&amp;J1090,'Istoric_Nativ'!$O$6:$O$405,"INVALID")+COUNTIFS('Istoric_Nativ'!$B$6:$B$405,E1090,'Istoric_Nativ'!$C$6:$C$405,F1090,'Istoric_Nativ'!$E$6:$E$405,G1090,'Istoric_Nativ'!$O$6:$O$405,"INVALID",'Istoric_Nativ'!$D$6:$D$405,"*")+COUNTIFS('Istoric_Nativ'!$B$6:$B$405,E1090,'Istoric_Nativ'!$C$6:$C$405,F1090,'Istoric_Nativ'!$E$6:$E$405,G1090,'Istoric_Nativ'!$D$6:$D$405,"&lt;"&amp;J1090,'Istoric_Nativ'!$O$6:$O$405,"SOURCE CONFLICT")+COUNTIFS('Istoric_Nativ'!$B$6:$B$405,E1090,'Istoric_Nativ'!$C$6:$C$405,F1090,'Istoric_Nativ'!$F$6:$F$405,G1090,'Istoric_Nativ'!$D$6:$D$405,"&lt;"&amp;J1090,'Istoric_Nativ'!$O$6:$O$405,"INVALID")+COUNTIFS('Istoric_Nativ'!$B$6:$B$405,E1090,'Istoric_Nativ'!$C$6:$C$405,F1090,'Istoric_Nativ'!$F$6:$F$405,G1090,'Istoric_Nativ'!$O$6:$O$405,"INVALID",'Istoric_Nativ'!$D$6:$D$405,"*")+COUNTIFS('Istoric_Nativ'!$B$6:$B$405,E1090,'Istoric_Nativ'!$C$6:$C$405,F1090,'Istoric_Nativ'!$F$6:$F$405,G1090,'Istoric_Nativ'!$D$6:$D$405,"&lt;"&amp;J1090,'Istoric_Nativ'!$O$6:$O$405,"SOURCE CONFLICT"))</x:f>
        <x:v>0</x:v>
      </x:c>
      <x:c r="T1090" s="2" t="str">
        <x:f>IF(B1090="","",IF(R1090&lt;&gt;"CLOSED",R1090,IF(S1090&gt;0,"NATIVE INPUT ISSUE",IF(M1090=0,"NO HISTORY",IF(M1090&lt;P1090,"SMALL SAMPLE","DERIVED")))))</x:f>
      </x:c>
      <x:c r="U1090" s="2" t="str">
        <x:f>IF(B1090="","","NativeTable; "&amp;E1090&amp;"; "&amp;F1090&amp;"; "&amp;G1090&amp;"; "&amp;H1090&amp;"; before "&amp;TEXT(J1090,"yyyy-mm-dd")&amp;IF(I1090="RECENT","; from "&amp;TEXT(L1090,"yyyy-mm-dd"),""))</x:f>
      </x:c>
    </x:row>
    <x:row r="1091" ht="21" customHeight="1">
      <x:c r="A1091" s="2" t="n">
        <x:v>91</x:v>
      </x:c>
      <x:c r="B1091" s="2" t="str">
        <x:f>IF('Input_Meci'!A96="","",'Input_Meci'!A96)</x:f>
      </x:c>
      <x:c r="C1091" s="2" t="str">
        <x:v>A</x:v>
      </x:c>
      <x:c r="D1091" s="2" t="str">
        <x:v>CURRENT</x:v>
      </x:c>
      <x:c r="E1091" s="2" t="str">
        <x:f>IF(B1091="","",'Input_Meci'!B96)</x:f>
      </x:c>
      <x:c r="F1091" s="2" t="str">
        <x:f>IF(B1091="","",IF('Input_Meci'!C96="","",'Input_Meci'!C96))</x:f>
      </x:c>
      <x:c r="G1091" s="2" t="str">
        <x:f>IF(B1091="","",'Input_Meci'!E96)</x:f>
      </x:c>
      <x:c r="H1091" s="2" t="str">
        <x:v>ANY</x:v>
      </x:c>
      <x:c r="I1091" s="2" t="str">
        <x:v>RECENT</x:v>
      </x:c>
      <x:c r="J1091" s="9" t="n">
        <x:f>IF(AND(B1091&lt;&gt;"",ISNUMBER('Input_Meci'!G96)),INT('Input_Meci'!G96),0)</x:f>
        <x:v>0</x:v>
      </x:c>
      <x:c r="K1091" s="2" t="n">
        <x:f>IF(OR(B1091="",F1091=""),0,IF(H1091="HOME",COUNTIFS('Istoric_Nativ'!$B$6:$B$405,E1091,'Istoric_Nativ'!$C$6:$C$405,F1091,'Istoric_Nativ'!$E$6:$E$405,G1091,'Istoric_Nativ'!$D$6:$D$405,"&lt;"&amp;J1091,'Istoric_Nativ'!$P$6:$P$405,1),IF(H1091="AWAY",COUNTIFS('Istoric_Nativ'!$B$6:$B$405,E1091,'Istoric_Nativ'!$C$6:$C$405,F1091,'Istoric_Nativ'!$F$6:$F$405,G1091,'Istoric_Nativ'!$D$6:$D$405,"&lt;"&amp;J1091,'Istoric_Nativ'!$P$6:$P$405,1),COUNTIFS('Istoric_Nativ'!$B$6:$B$405,E1091,'Istoric_Nativ'!$C$6:$C$405,F1091,'Istoric_Nativ'!$E$6:$E$405,G1091,'Istoric_Nativ'!$D$6:$D$405,"&lt;"&amp;J1091,'Istoric_Nativ'!$P$6:$P$405,1)+COUNTIFS('Istoric_Nativ'!$B$6:$B$405,E1091,'Istoric_Nativ'!$C$6:$C$405,F1091,'Istoric_Nativ'!$F$6:$F$405,G1091,'Istoric_Nativ'!$D$6:$D$405,"&lt;"&amp;J1091,'Istoric_Nativ'!$P$6:$P$405,1))))</x:f>
        <x:v>0</x:v>
      </x:c>
      <x:c r="L1091" s="17" t="n">
        <x:f>IF(AND(B1091&lt;&gt;"",I1091="RECENT",K1091&gt;0),LARGE(_xlfn._xlws.FILTER('Istoric_Nativ'!$D$6:$D$405,('Istoric_Nativ'!$B$6:$B$405=E1091)*('Istoric_Nativ'!$C$6:$C$405=F1091)*('Istoric_Nativ'!$P$6:$P$405=1)*('Istoric_Nativ'!$D$6:$D$405&lt;J1091)*((('Istoric_Nativ'!$E$6:$E$405=G1091)+('Istoric_Nativ'!$F$6:$F$405=G1091))&gt;0)),MIN('Config_v6'!$B$54,K1091)),0)</x:f>
        <x:v>0</x:v>
      </x:c>
      <x:c r="M1091" s="2" t="n">
        <x:f>IF(OR(B1091="",F1091=""),0,IF(H1091="HOME",COUNTIFS('Istoric_Nativ'!$B$6:$B$405,E1091,'Istoric_Nativ'!$C$6:$C$405,F1091,'Istoric_Nativ'!$E$6:$E$405,G1091,'Istoric_Nativ'!$D$6:$D$405,"&lt;"&amp;J1091,'Istoric_Nativ'!$P$6:$P$405,1,'Istoric_Nativ'!$D$6:$D$405,"&gt;="&amp;L1091),IF(H1091="AWAY",COUNTIFS('Istoric_Nativ'!$B$6:$B$405,E1091,'Istoric_Nativ'!$C$6:$C$405,F1091,'Istoric_Nativ'!$F$6:$F$405,G1091,'Istoric_Nativ'!$D$6:$D$405,"&lt;"&amp;J1091,'Istoric_Nativ'!$P$6:$P$405,1,'Istoric_Nativ'!$D$6:$D$405,"&gt;="&amp;L1091),COUNTIFS('Istoric_Nativ'!$B$6:$B$405,E1091,'Istoric_Nativ'!$C$6:$C$405,F1091,'Istoric_Nativ'!$E$6:$E$405,G1091,'Istoric_Nativ'!$D$6:$D$405,"&lt;"&amp;J1091,'Istoric_Nativ'!$P$6:$P$405,1,'Istoric_Nativ'!$D$6:$D$405,"&gt;="&amp;L1091)+COUNTIFS('Istoric_Nativ'!$B$6:$B$405,E1091,'Istoric_Nativ'!$C$6:$C$405,F1091,'Istoric_Nativ'!$F$6:$F$405,G1091,'Istoric_Nativ'!$D$6:$D$405,"&lt;"&amp;J1091,'Istoric_Nativ'!$P$6:$P$405,1,'Istoric_Nativ'!$D$6:$D$405,"&gt;="&amp;L1091))))</x:f>
        <x:v>0</x:v>
      </x:c>
      <x:c r="N1091" s="11" t="str">
        <x:f>IF(M1091=0,"",IF(H1091="HOME",SUMIFS('Istoric_Nativ'!$G$6:$G$405,'Istoric_Nativ'!$B$6:$B$405,E1091,'Istoric_Nativ'!$C$6:$C$405,F1091,'Istoric_Nativ'!$E$6:$E$405,G1091,'Istoric_Nativ'!$D$6:$D$405,"&lt;"&amp;J1091,'Istoric_Nativ'!$P$6:$P$405,1,'Istoric_Nativ'!$D$6:$D$405,"&gt;="&amp;L1091),IF(H1091="AWAY",SUMIFS('Istoric_Nativ'!$H$6:$H$405,'Istoric_Nativ'!$B$6:$B$405,E1091,'Istoric_Nativ'!$C$6:$C$405,F1091,'Istoric_Nativ'!$F$6:$F$405,G1091,'Istoric_Nativ'!$D$6:$D$405,"&lt;"&amp;J1091,'Istoric_Nativ'!$P$6:$P$405,1,'Istoric_Nativ'!$D$6:$D$405,"&gt;="&amp;L1091),SUMIFS('Istoric_Nativ'!$G$6:$G$405,'Istoric_Nativ'!$B$6:$B$405,E1091,'Istoric_Nativ'!$C$6:$C$405,F1091,'Istoric_Nativ'!$E$6:$E$405,G1091,'Istoric_Nativ'!$D$6:$D$405,"&lt;"&amp;J1091,'Istoric_Nativ'!$P$6:$P$405,1,'Istoric_Nativ'!$D$6:$D$405,"&gt;="&amp;L1091)+SUMIFS('Istoric_Nativ'!$H$6:$H$405,'Istoric_Nativ'!$B$6:$B$405,E1091,'Istoric_Nativ'!$C$6:$C$405,F1091,'Istoric_Nativ'!$F$6:$F$405,G1091,'Istoric_Nativ'!$D$6:$D$405,"&lt;"&amp;J1091,'Istoric_Nativ'!$P$6:$P$405,1,'Istoric_Nativ'!$D$6:$D$405,"&gt;="&amp;L1091)))/M1091)</x:f>
      </x:c>
      <x:c r="O1091" s="11" t="str">
        <x:f>IF(M1091=0,"",IF(H1091="HOME",SUMIFS('Istoric_Nativ'!$H$6:$H$405,'Istoric_Nativ'!$B$6:$B$405,E1091,'Istoric_Nativ'!$C$6:$C$405,F1091,'Istoric_Nativ'!$E$6:$E$405,G1091,'Istoric_Nativ'!$D$6:$D$405,"&lt;"&amp;J1091,'Istoric_Nativ'!$P$6:$P$405,1,'Istoric_Nativ'!$D$6:$D$405,"&gt;="&amp;L1091),IF(H1091="AWAY",SUMIFS('Istoric_Nativ'!$G$6:$G$405,'Istoric_Nativ'!$B$6:$B$405,E1091,'Istoric_Nativ'!$C$6:$C$405,F1091,'Istoric_Nativ'!$F$6:$F$405,G1091,'Istoric_Nativ'!$D$6:$D$405,"&lt;"&amp;J1091,'Istoric_Nativ'!$P$6:$P$405,1,'Istoric_Nativ'!$D$6:$D$405,"&gt;="&amp;L1091),SUMIFS('Istoric_Nativ'!$H$6:$H$405,'Istoric_Nativ'!$B$6:$B$405,E1091,'Istoric_Nativ'!$C$6:$C$405,F1091,'Istoric_Nativ'!$E$6:$E$405,G1091,'Istoric_Nativ'!$D$6:$D$405,"&lt;"&amp;J1091,'Istoric_Nativ'!$P$6:$P$405,1,'Istoric_Nativ'!$D$6:$D$405,"&gt;="&amp;L1091)+SUMIFS('Istoric_Nativ'!$G$6:$G$405,'Istoric_Nativ'!$B$6:$B$405,E1091,'Istoric_Nativ'!$C$6:$C$405,F1091,'Istoric_Nativ'!$F$6:$F$405,G1091,'Istoric_Nativ'!$D$6:$D$405,"&lt;"&amp;J1091,'Istoric_Nativ'!$P$6:$P$405,1,'Istoric_Nativ'!$D$6:$D$405,"&gt;="&amp;L1091)))/M1091)</x:f>
      </x:c>
      <x:c r="P1091" s="2" t="n">
        <x:f>'Config_v6'!$B$9</x:f>
        <x:v>3</x:v>
      </x:c>
      <x:c r="Q1091" s="2" t="n">
        <x:f>IF(OR(B1091="",F1091=""),0,IFERROR(MATCH(E1091&amp;"|"&amp;F1091,SourceTable[Source_Key],0),0))</x:f>
        <x:v>0</x:v>
      </x:c>
      <x:c r="R1091" s="2" t="str">
        <x:f>IF(B1091="","",IF(F1091="","UNUSED",IF(Q1091=0,"NOT CHECKED",IF(COUNTIF(SourceTable[Source_Key],E1091&amp;"|"&amp;F1091)&lt;&gt;1,"SOURCE CONFLICT",IF(NOT(OR(INDEX(SourceTable[Status],MAX(1,Q1091))="IMPORTED",INDEX(SourceTable[Status],MAX(1,Q1091))="PARTIAL",INDEX(SourceTable[Status],MAX(1,Q1091))="SOURCE CONFLICT")),"ACCESS BLOCKED",IF(OR(INDEX(SourceTable[Coverage],Q1091)&lt;&gt;"FULL SEASON EXPORT",INDEX(SourceTable[URL],Q1091)="",INDEX(SourceTable[SHA256],Q1091)=""),"EVIDENCE INCOMPLETE",IF(AND('Input_Meci'!H96="LIVE",INDEX(SourceTable[Retrieved_UTC],Q1091)&gt;'Input_Meci'!G96),"POST CUTOFF","CLOSED")))))))</x:f>
      </x:c>
      <x:c r="S1091" s="2" t="n">
        <x:f>IF(OR(B1091="",F1091=""),0,COUNTIFS('Istoric_Nativ'!$B$6:$B$405,E1091,'Istoric_Nativ'!$C$6:$C$405,F1091,'Istoric_Nativ'!$E$6:$E$405,G1091,'Istoric_Nativ'!$D$6:$D$405,"&lt;"&amp;J1091,'Istoric_Nativ'!$O$6:$O$405,"INVALID")+COUNTIFS('Istoric_Nativ'!$B$6:$B$405,E1091,'Istoric_Nativ'!$C$6:$C$405,F1091,'Istoric_Nativ'!$E$6:$E$405,G1091,'Istoric_Nativ'!$O$6:$O$405,"INVALID",'Istoric_Nativ'!$D$6:$D$405,"*")+COUNTIFS('Istoric_Nativ'!$B$6:$B$405,E1091,'Istoric_Nativ'!$C$6:$C$405,F1091,'Istoric_Nativ'!$E$6:$E$405,G1091,'Istoric_Nativ'!$D$6:$D$405,"&lt;"&amp;J1091,'Istoric_Nativ'!$O$6:$O$405,"SOURCE CONFLICT")+COUNTIFS('Istoric_Nativ'!$B$6:$B$405,E1091,'Istoric_Nativ'!$C$6:$C$405,F1091,'Istoric_Nativ'!$F$6:$F$405,G1091,'Istoric_Nativ'!$D$6:$D$405,"&lt;"&amp;J1091,'Istoric_Nativ'!$O$6:$O$405,"INVALID")+COUNTIFS('Istoric_Nativ'!$B$6:$B$405,E1091,'Istoric_Nativ'!$C$6:$C$405,F1091,'Istoric_Nativ'!$F$6:$F$405,G1091,'Istoric_Nativ'!$O$6:$O$405,"INVALID",'Istoric_Nativ'!$D$6:$D$405,"*")+COUNTIFS('Istoric_Nativ'!$B$6:$B$405,E1091,'Istoric_Nativ'!$C$6:$C$405,F1091,'Istoric_Nativ'!$F$6:$F$405,G1091,'Istoric_Nativ'!$D$6:$D$405,"&lt;"&amp;J1091,'Istoric_Nativ'!$O$6:$O$405,"SOURCE CONFLICT"))</x:f>
        <x:v>0</x:v>
      </x:c>
      <x:c r="T1091" s="2" t="str">
        <x:f>IF(B1091="","",IF(R1091&lt;&gt;"CLOSED",R1091,IF(S1091&gt;0,"NATIVE INPUT ISSUE",IF(M1091=0,"NO HISTORY",IF(M1091&lt;P1091,"SMALL SAMPLE","DERIVED")))))</x:f>
      </x:c>
      <x:c r="U1091" s="2" t="str">
        <x:f>IF(B1091="","","NativeTable; "&amp;E1091&amp;"; "&amp;F1091&amp;"; "&amp;G1091&amp;"; "&amp;H1091&amp;"; before "&amp;TEXT(J1091,"yyyy-mm-dd")&amp;IF(I1091="RECENT","; from "&amp;TEXT(L1091,"yyyy-mm-dd"),""))</x:f>
      </x:c>
    </x:row>
    <x:row r="1092" ht="21" customHeight="1">
      <x:c r="A1092" s="2" t="n">
        <x:v>91</x:v>
      </x:c>
      <x:c r="B1092" s="2" t="str">
        <x:f>IF('Input_Meci'!A96="","",'Input_Meci'!A96)</x:f>
      </x:c>
      <x:c r="C1092" s="2" t="str">
        <x:v>H</x:v>
      </x:c>
      <x:c r="D1092" s="2" t="str">
        <x:v>PRIOR</x:v>
      </x:c>
      <x:c r="E1092" s="2" t="str">
        <x:f>IF(B1092="","",'Input_Meci'!B96)</x:f>
      </x:c>
      <x:c r="F1092" s="2" t="str">
        <x:f>IF(B1092="","",IF('Input_Meci'!K96="","",'Input_Meci'!K96))</x:f>
      </x:c>
      <x:c r="G1092" s="2" t="str">
        <x:f>IF(B1092="","",'Input_Meci'!D96)</x:f>
      </x:c>
      <x:c r="H1092" s="2" t="str">
        <x:v>ANY</x:v>
      </x:c>
      <x:c r="I1092" s="2" t="str">
        <x:v>SEASON</x:v>
      </x:c>
      <x:c r="J1092" s="9" t="n">
        <x:f>IF(AND(B1092&lt;&gt;"",ISNUMBER('Input_Meci'!G96)),INT('Input_Meci'!G96),0)</x:f>
        <x:v>0</x:v>
      </x:c>
      <x:c r="K1092" s="2" t="n">
        <x:f>IF(OR(B1092="",F1092=""),0,IF(H1092="HOME",COUNTIFS('Istoric_Nativ'!$B$6:$B$405,E1092,'Istoric_Nativ'!$C$6:$C$405,F1092,'Istoric_Nativ'!$E$6:$E$405,G1092,'Istoric_Nativ'!$D$6:$D$405,"&lt;"&amp;J1092,'Istoric_Nativ'!$P$6:$P$405,1),IF(H1092="AWAY",COUNTIFS('Istoric_Nativ'!$B$6:$B$405,E1092,'Istoric_Nativ'!$C$6:$C$405,F1092,'Istoric_Nativ'!$F$6:$F$405,G1092,'Istoric_Nativ'!$D$6:$D$405,"&lt;"&amp;J1092,'Istoric_Nativ'!$P$6:$P$405,1),COUNTIFS('Istoric_Nativ'!$B$6:$B$405,E1092,'Istoric_Nativ'!$C$6:$C$405,F1092,'Istoric_Nativ'!$E$6:$E$405,G1092,'Istoric_Nativ'!$D$6:$D$405,"&lt;"&amp;J1092,'Istoric_Nativ'!$P$6:$P$405,1)+COUNTIFS('Istoric_Nativ'!$B$6:$B$405,E1092,'Istoric_Nativ'!$C$6:$C$405,F1092,'Istoric_Nativ'!$F$6:$F$405,G1092,'Istoric_Nativ'!$D$6:$D$405,"&lt;"&amp;J1092,'Istoric_Nativ'!$P$6:$P$405,1))))</x:f>
        <x:v>0</x:v>
      </x:c>
      <x:c r="L1092" s="17" t="n">
        <x:f>IF(AND(B1092&lt;&gt;"",I1092="RECENT",K1092&gt;0),LARGE(_xlfn._xlws.FILTER('Istoric_Nativ'!$D$6:$D$405,('Istoric_Nativ'!$B$6:$B$405=E1092)*('Istoric_Nativ'!$C$6:$C$405=F1092)*('Istoric_Nativ'!$P$6:$P$405=1)*('Istoric_Nativ'!$D$6:$D$405&lt;J1092)*((('Istoric_Nativ'!$E$6:$E$405=G1092)+('Istoric_Nativ'!$F$6:$F$405=G1092))&gt;0)),MIN('Config_v6'!$B$54,K1092)),0)</x:f>
        <x:v>0</x:v>
      </x:c>
      <x:c r="M1092" s="2" t="n">
        <x:f>IF(OR(B1092="",F1092=""),0,IF(H1092="HOME",COUNTIFS('Istoric_Nativ'!$B$6:$B$405,E1092,'Istoric_Nativ'!$C$6:$C$405,F1092,'Istoric_Nativ'!$E$6:$E$405,G1092,'Istoric_Nativ'!$D$6:$D$405,"&lt;"&amp;J1092,'Istoric_Nativ'!$P$6:$P$405,1,'Istoric_Nativ'!$D$6:$D$405,"&gt;="&amp;L1092),IF(H1092="AWAY",COUNTIFS('Istoric_Nativ'!$B$6:$B$405,E1092,'Istoric_Nativ'!$C$6:$C$405,F1092,'Istoric_Nativ'!$F$6:$F$405,G1092,'Istoric_Nativ'!$D$6:$D$405,"&lt;"&amp;J1092,'Istoric_Nativ'!$P$6:$P$405,1,'Istoric_Nativ'!$D$6:$D$405,"&gt;="&amp;L1092),COUNTIFS('Istoric_Nativ'!$B$6:$B$405,E1092,'Istoric_Nativ'!$C$6:$C$405,F1092,'Istoric_Nativ'!$E$6:$E$405,G1092,'Istoric_Nativ'!$D$6:$D$405,"&lt;"&amp;J1092,'Istoric_Nativ'!$P$6:$P$405,1,'Istoric_Nativ'!$D$6:$D$405,"&gt;="&amp;L1092)+COUNTIFS('Istoric_Nativ'!$B$6:$B$405,E1092,'Istoric_Nativ'!$C$6:$C$405,F1092,'Istoric_Nativ'!$F$6:$F$405,G1092,'Istoric_Nativ'!$D$6:$D$405,"&lt;"&amp;J1092,'Istoric_Nativ'!$P$6:$P$405,1,'Istoric_Nativ'!$D$6:$D$405,"&gt;="&amp;L1092))))</x:f>
        <x:v>0</x:v>
      </x:c>
      <x:c r="N1092" s="11" t="str">
        <x:f>IF(M1092=0,"",IF(H1092="HOME",SUMIFS('Istoric_Nativ'!$G$6:$G$405,'Istoric_Nativ'!$B$6:$B$405,E1092,'Istoric_Nativ'!$C$6:$C$405,F1092,'Istoric_Nativ'!$E$6:$E$405,G1092,'Istoric_Nativ'!$D$6:$D$405,"&lt;"&amp;J1092,'Istoric_Nativ'!$P$6:$P$405,1,'Istoric_Nativ'!$D$6:$D$405,"&gt;="&amp;L1092),IF(H1092="AWAY",SUMIFS('Istoric_Nativ'!$H$6:$H$405,'Istoric_Nativ'!$B$6:$B$405,E1092,'Istoric_Nativ'!$C$6:$C$405,F1092,'Istoric_Nativ'!$F$6:$F$405,G1092,'Istoric_Nativ'!$D$6:$D$405,"&lt;"&amp;J1092,'Istoric_Nativ'!$P$6:$P$405,1,'Istoric_Nativ'!$D$6:$D$405,"&gt;="&amp;L1092),SUMIFS('Istoric_Nativ'!$G$6:$G$405,'Istoric_Nativ'!$B$6:$B$405,E1092,'Istoric_Nativ'!$C$6:$C$405,F1092,'Istoric_Nativ'!$E$6:$E$405,G1092,'Istoric_Nativ'!$D$6:$D$405,"&lt;"&amp;J1092,'Istoric_Nativ'!$P$6:$P$405,1,'Istoric_Nativ'!$D$6:$D$405,"&gt;="&amp;L1092)+SUMIFS('Istoric_Nativ'!$H$6:$H$405,'Istoric_Nativ'!$B$6:$B$405,E1092,'Istoric_Nativ'!$C$6:$C$405,F1092,'Istoric_Nativ'!$F$6:$F$405,G1092,'Istoric_Nativ'!$D$6:$D$405,"&lt;"&amp;J1092,'Istoric_Nativ'!$P$6:$P$405,1,'Istoric_Nativ'!$D$6:$D$405,"&gt;="&amp;L1092)))/M1092)</x:f>
      </x:c>
      <x:c r="O1092" s="11" t="str">
        <x:f>IF(M1092=0,"",IF(H1092="HOME",SUMIFS('Istoric_Nativ'!$H$6:$H$405,'Istoric_Nativ'!$B$6:$B$405,E1092,'Istoric_Nativ'!$C$6:$C$405,F1092,'Istoric_Nativ'!$E$6:$E$405,G1092,'Istoric_Nativ'!$D$6:$D$405,"&lt;"&amp;J1092,'Istoric_Nativ'!$P$6:$P$405,1,'Istoric_Nativ'!$D$6:$D$405,"&gt;="&amp;L1092),IF(H1092="AWAY",SUMIFS('Istoric_Nativ'!$G$6:$G$405,'Istoric_Nativ'!$B$6:$B$405,E1092,'Istoric_Nativ'!$C$6:$C$405,F1092,'Istoric_Nativ'!$F$6:$F$405,G1092,'Istoric_Nativ'!$D$6:$D$405,"&lt;"&amp;J1092,'Istoric_Nativ'!$P$6:$P$405,1,'Istoric_Nativ'!$D$6:$D$405,"&gt;="&amp;L1092),SUMIFS('Istoric_Nativ'!$H$6:$H$405,'Istoric_Nativ'!$B$6:$B$405,E1092,'Istoric_Nativ'!$C$6:$C$405,F1092,'Istoric_Nativ'!$E$6:$E$405,G1092,'Istoric_Nativ'!$D$6:$D$405,"&lt;"&amp;J1092,'Istoric_Nativ'!$P$6:$P$405,1,'Istoric_Nativ'!$D$6:$D$405,"&gt;="&amp;L1092)+SUMIFS('Istoric_Nativ'!$G$6:$G$405,'Istoric_Nativ'!$B$6:$B$405,E1092,'Istoric_Nativ'!$C$6:$C$405,F1092,'Istoric_Nativ'!$F$6:$F$405,G1092,'Istoric_Nativ'!$D$6:$D$405,"&lt;"&amp;J1092,'Istoric_Nativ'!$P$6:$P$405,1,'Istoric_Nativ'!$D$6:$D$405,"&gt;="&amp;L1092)))/M1092)</x:f>
      </x:c>
      <x:c r="P1092" s="2" t="n">
        <x:f>'Config_v6'!$B$7</x:f>
        <x:v>10</x:v>
      </x:c>
      <x:c r="Q1092" s="2" t="n">
        <x:f>IF(OR(B1092="",F1092=""),0,IFERROR(MATCH(E1092&amp;"|"&amp;F1092,SourceTable[Source_Key],0),0))</x:f>
        <x:v>0</x:v>
      </x:c>
      <x:c r="R1092" s="2" t="str">
        <x:f>IF(B1092="","",IF(F1092="","UNUSED",IF(Q1092=0,"NOT CHECKED",IF(COUNTIF(SourceTable[Source_Key],E1092&amp;"|"&amp;F1092)&lt;&gt;1,"SOURCE CONFLICT",IF(NOT(OR(INDEX(SourceTable[Status],MAX(1,Q1092))="IMPORTED",INDEX(SourceTable[Status],MAX(1,Q1092))="PARTIAL",INDEX(SourceTable[Status],MAX(1,Q1092))="SOURCE CONFLICT")),"ACCESS BLOCKED",IF(OR(INDEX(SourceTable[Coverage],Q1092)&lt;&gt;"FULL SEASON EXPORT",INDEX(SourceTable[URL],Q1092)="",INDEX(SourceTable[SHA256],Q1092)=""),"EVIDENCE INCOMPLETE",IF(AND('Input_Meci'!H96="LIVE",INDEX(SourceTable[Retrieved_UTC],Q1092)&gt;'Input_Meci'!G96),"POST CUTOFF","CLOSED")))))))</x:f>
      </x:c>
      <x:c r="S1092" s="2" t="n">
        <x:f>IF(OR(B1092="",F1092=""),0,COUNTIFS('Istoric_Nativ'!$B$6:$B$405,E1092,'Istoric_Nativ'!$C$6:$C$405,F1092,'Istoric_Nativ'!$E$6:$E$405,G1092,'Istoric_Nativ'!$D$6:$D$405,"&lt;"&amp;J1092,'Istoric_Nativ'!$O$6:$O$405,"INVALID")+COUNTIFS('Istoric_Nativ'!$B$6:$B$405,E1092,'Istoric_Nativ'!$C$6:$C$405,F1092,'Istoric_Nativ'!$E$6:$E$405,G1092,'Istoric_Nativ'!$O$6:$O$405,"INVALID",'Istoric_Nativ'!$D$6:$D$405,"*")+COUNTIFS('Istoric_Nativ'!$B$6:$B$405,E1092,'Istoric_Nativ'!$C$6:$C$405,F1092,'Istoric_Nativ'!$E$6:$E$405,G1092,'Istoric_Nativ'!$D$6:$D$405,"&lt;"&amp;J1092,'Istoric_Nativ'!$O$6:$O$405,"SOURCE CONFLICT")+COUNTIFS('Istoric_Nativ'!$B$6:$B$405,E1092,'Istoric_Nativ'!$C$6:$C$405,F1092,'Istoric_Nativ'!$F$6:$F$405,G1092,'Istoric_Nativ'!$D$6:$D$405,"&lt;"&amp;J1092,'Istoric_Nativ'!$O$6:$O$405,"INVALID")+COUNTIFS('Istoric_Nativ'!$B$6:$B$405,E1092,'Istoric_Nativ'!$C$6:$C$405,F1092,'Istoric_Nativ'!$F$6:$F$405,G1092,'Istoric_Nativ'!$O$6:$O$405,"INVALID",'Istoric_Nativ'!$D$6:$D$405,"*")+COUNTIFS('Istoric_Nativ'!$B$6:$B$405,E1092,'Istoric_Nativ'!$C$6:$C$405,F1092,'Istoric_Nativ'!$F$6:$F$405,G1092,'Istoric_Nativ'!$D$6:$D$405,"&lt;"&amp;J1092,'Istoric_Nativ'!$O$6:$O$405,"SOURCE CONFLICT"))</x:f>
        <x:v>0</x:v>
      </x:c>
      <x:c r="T1092" s="2" t="str">
        <x:f>IF(B1092="","",IF(R1092&lt;&gt;"CLOSED",R1092,IF(S1092&gt;0,"NATIVE INPUT ISSUE",IF(M1092=0,"NO HISTORY",IF(M1092&lt;P1092,"SMALL SAMPLE","DERIVED")))))</x:f>
      </x:c>
      <x:c r="U1092" s="2" t="str">
        <x:f>IF(B1092="","","NativeTable; "&amp;E1092&amp;"; "&amp;F1092&amp;"; "&amp;G1092&amp;"; "&amp;H1092&amp;"; before "&amp;TEXT(J1092,"yyyy-mm-dd")&amp;IF(I1092="RECENT","; from "&amp;TEXT(L1092,"yyyy-mm-dd"),""))</x:f>
      </x:c>
    </x:row>
    <x:row r="1093" ht="21" customHeight="1">
      <x:c r="A1093" s="2" t="n">
        <x:v>91</x:v>
      </x:c>
      <x:c r="B1093" s="2" t="str">
        <x:f>IF('Input_Meci'!A96="","",'Input_Meci'!A96)</x:f>
      </x:c>
      <x:c r="C1093" s="2" t="str">
        <x:v>H</x:v>
      </x:c>
      <x:c r="D1093" s="2" t="str">
        <x:v>PRIOR</x:v>
      </x:c>
      <x:c r="E1093" s="2" t="str">
        <x:f>IF(B1093="","",'Input_Meci'!B96)</x:f>
      </x:c>
      <x:c r="F1093" s="2" t="str">
        <x:f>IF(B1093="","",IF('Input_Meci'!K96="","",'Input_Meci'!K96))</x:f>
      </x:c>
      <x:c r="G1093" s="2" t="str">
        <x:f>IF(B1093="","",'Input_Meci'!D96)</x:f>
      </x:c>
      <x:c r="H1093" s="2" t="str">
        <x:v>HOME</x:v>
      </x:c>
      <x:c r="I1093" s="2" t="str">
        <x:v>HA</x:v>
      </x:c>
      <x:c r="J1093" s="9" t="n">
        <x:f>IF(AND(B1093&lt;&gt;"",ISNUMBER('Input_Meci'!G96)),INT('Input_Meci'!G96),0)</x:f>
        <x:v>0</x:v>
      </x:c>
      <x:c r="K1093" s="2" t="n">
        <x:f>IF(OR(B1093="",F1093=""),0,IF(H1093="HOME",COUNTIFS('Istoric_Nativ'!$B$6:$B$405,E1093,'Istoric_Nativ'!$C$6:$C$405,F1093,'Istoric_Nativ'!$E$6:$E$405,G1093,'Istoric_Nativ'!$D$6:$D$405,"&lt;"&amp;J1093,'Istoric_Nativ'!$P$6:$P$405,1),IF(H1093="AWAY",COUNTIFS('Istoric_Nativ'!$B$6:$B$405,E1093,'Istoric_Nativ'!$C$6:$C$405,F1093,'Istoric_Nativ'!$F$6:$F$405,G1093,'Istoric_Nativ'!$D$6:$D$405,"&lt;"&amp;J1093,'Istoric_Nativ'!$P$6:$P$405,1),COUNTIFS('Istoric_Nativ'!$B$6:$B$405,E1093,'Istoric_Nativ'!$C$6:$C$405,F1093,'Istoric_Nativ'!$E$6:$E$405,G1093,'Istoric_Nativ'!$D$6:$D$405,"&lt;"&amp;J1093,'Istoric_Nativ'!$P$6:$P$405,1)+COUNTIFS('Istoric_Nativ'!$B$6:$B$405,E1093,'Istoric_Nativ'!$C$6:$C$405,F1093,'Istoric_Nativ'!$F$6:$F$405,G1093,'Istoric_Nativ'!$D$6:$D$405,"&lt;"&amp;J1093,'Istoric_Nativ'!$P$6:$P$405,1))))</x:f>
        <x:v>0</x:v>
      </x:c>
      <x:c r="L1093" s="17" t="n">
        <x:f>IF(AND(B1093&lt;&gt;"",I1093="RECENT",K1093&gt;0),LARGE(_xlfn._xlws.FILTER('Istoric_Nativ'!$D$6:$D$405,('Istoric_Nativ'!$B$6:$B$405=E1093)*('Istoric_Nativ'!$C$6:$C$405=F1093)*('Istoric_Nativ'!$P$6:$P$405=1)*('Istoric_Nativ'!$D$6:$D$405&lt;J1093)*((('Istoric_Nativ'!$E$6:$E$405=G1093)+('Istoric_Nativ'!$F$6:$F$405=G1093))&gt;0)),MIN('Config_v6'!$B$54,K1093)),0)</x:f>
        <x:v>0</x:v>
      </x:c>
      <x:c r="M1093" s="2" t="n">
        <x:f>IF(OR(B1093="",F1093=""),0,IF(H1093="HOME",COUNTIFS('Istoric_Nativ'!$B$6:$B$405,E1093,'Istoric_Nativ'!$C$6:$C$405,F1093,'Istoric_Nativ'!$E$6:$E$405,G1093,'Istoric_Nativ'!$D$6:$D$405,"&lt;"&amp;J1093,'Istoric_Nativ'!$P$6:$P$405,1,'Istoric_Nativ'!$D$6:$D$405,"&gt;="&amp;L1093),IF(H1093="AWAY",COUNTIFS('Istoric_Nativ'!$B$6:$B$405,E1093,'Istoric_Nativ'!$C$6:$C$405,F1093,'Istoric_Nativ'!$F$6:$F$405,G1093,'Istoric_Nativ'!$D$6:$D$405,"&lt;"&amp;J1093,'Istoric_Nativ'!$P$6:$P$405,1,'Istoric_Nativ'!$D$6:$D$405,"&gt;="&amp;L1093),COUNTIFS('Istoric_Nativ'!$B$6:$B$405,E1093,'Istoric_Nativ'!$C$6:$C$405,F1093,'Istoric_Nativ'!$E$6:$E$405,G1093,'Istoric_Nativ'!$D$6:$D$405,"&lt;"&amp;J1093,'Istoric_Nativ'!$P$6:$P$405,1,'Istoric_Nativ'!$D$6:$D$405,"&gt;="&amp;L1093)+COUNTIFS('Istoric_Nativ'!$B$6:$B$405,E1093,'Istoric_Nativ'!$C$6:$C$405,F1093,'Istoric_Nativ'!$F$6:$F$405,G1093,'Istoric_Nativ'!$D$6:$D$405,"&lt;"&amp;J1093,'Istoric_Nativ'!$P$6:$P$405,1,'Istoric_Nativ'!$D$6:$D$405,"&gt;="&amp;L1093))))</x:f>
        <x:v>0</x:v>
      </x:c>
      <x:c r="N1093" s="11" t="str">
        <x:f>IF(M1093=0,"",IF(H1093="HOME",SUMIFS('Istoric_Nativ'!$G$6:$G$405,'Istoric_Nativ'!$B$6:$B$405,E1093,'Istoric_Nativ'!$C$6:$C$405,F1093,'Istoric_Nativ'!$E$6:$E$405,G1093,'Istoric_Nativ'!$D$6:$D$405,"&lt;"&amp;J1093,'Istoric_Nativ'!$P$6:$P$405,1,'Istoric_Nativ'!$D$6:$D$405,"&gt;="&amp;L1093),IF(H1093="AWAY",SUMIFS('Istoric_Nativ'!$H$6:$H$405,'Istoric_Nativ'!$B$6:$B$405,E1093,'Istoric_Nativ'!$C$6:$C$405,F1093,'Istoric_Nativ'!$F$6:$F$405,G1093,'Istoric_Nativ'!$D$6:$D$405,"&lt;"&amp;J1093,'Istoric_Nativ'!$P$6:$P$405,1,'Istoric_Nativ'!$D$6:$D$405,"&gt;="&amp;L1093),SUMIFS('Istoric_Nativ'!$G$6:$G$405,'Istoric_Nativ'!$B$6:$B$405,E1093,'Istoric_Nativ'!$C$6:$C$405,F1093,'Istoric_Nativ'!$E$6:$E$405,G1093,'Istoric_Nativ'!$D$6:$D$405,"&lt;"&amp;J1093,'Istoric_Nativ'!$P$6:$P$405,1,'Istoric_Nativ'!$D$6:$D$405,"&gt;="&amp;L1093)+SUMIFS('Istoric_Nativ'!$H$6:$H$405,'Istoric_Nativ'!$B$6:$B$405,E1093,'Istoric_Nativ'!$C$6:$C$405,F1093,'Istoric_Nativ'!$F$6:$F$405,G1093,'Istoric_Nativ'!$D$6:$D$405,"&lt;"&amp;J1093,'Istoric_Nativ'!$P$6:$P$405,1,'Istoric_Nativ'!$D$6:$D$405,"&gt;="&amp;L1093)))/M1093)</x:f>
      </x:c>
      <x:c r="O1093" s="11" t="str">
        <x:f>IF(M1093=0,"",IF(H1093="HOME",SUMIFS('Istoric_Nativ'!$H$6:$H$405,'Istoric_Nativ'!$B$6:$B$405,E1093,'Istoric_Nativ'!$C$6:$C$405,F1093,'Istoric_Nativ'!$E$6:$E$405,G1093,'Istoric_Nativ'!$D$6:$D$405,"&lt;"&amp;J1093,'Istoric_Nativ'!$P$6:$P$405,1,'Istoric_Nativ'!$D$6:$D$405,"&gt;="&amp;L1093),IF(H1093="AWAY",SUMIFS('Istoric_Nativ'!$G$6:$G$405,'Istoric_Nativ'!$B$6:$B$405,E1093,'Istoric_Nativ'!$C$6:$C$405,F1093,'Istoric_Nativ'!$F$6:$F$405,G1093,'Istoric_Nativ'!$D$6:$D$405,"&lt;"&amp;J1093,'Istoric_Nativ'!$P$6:$P$405,1,'Istoric_Nativ'!$D$6:$D$405,"&gt;="&amp;L1093),SUMIFS('Istoric_Nativ'!$H$6:$H$405,'Istoric_Nativ'!$B$6:$B$405,E1093,'Istoric_Nativ'!$C$6:$C$405,F1093,'Istoric_Nativ'!$E$6:$E$405,G1093,'Istoric_Nativ'!$D$6:$D$405,"&lt;"&amp;J1093,'Istoric_Nativ'!$P$6:$P$405,1,'Istoric_Nativ'!$D$6:$D$405,"&gt;="&amp;L1093)+SUMIFS('Istoric_Nativ'!$G$6:$G$405,'Istoric_Nativ'!$B$6:$B$405,E1093,'Istoric_Nativ'!$C$6:$C$405,F1093,'Istoric_Nativ'!$F$6:$F$405,G1093,'Istoric_Nativ'!$D$6:$D$405,"&lt;"&amp;J1093,'Istoric_Nativ'!$P$6:$P$405,1,'Istoric_Nativ'!$D$6:$D$405,"&gt;="&amp;L1093)))/M1093)</x:f>
      </x:c>
      <x:c r="P1093" s="2" t="n">
        <x:f>'Config_v6'!$B$8</x:f>
        <x:v>5</x:v>
      </x:c>
      <x:c r="Q1093" s="2" t="n">
        <x:f>IF(OR(B1093="",F1093=""),0,IFERROR(MATCH(E1093&amp;"|"&amp;F1093,SourceTable[Source_Key],0),0))</x:f>
        <x:v>0</x:v>
      </x:c>
      <x:c r="R1093" s="2" t="str">
        <x:f>IF(B1093="","",IF(F1093="","UNUSED",IF(Q1093=0,"NOT CHECKED",IF(COUNTIF(SourceTable[Source_Key],E1093&amp;"|"&amp;F1093)&lt;&gt;1,"SOURCE CONFLICT",IF(NOT(OR(INDEX(SourceTable[Status],MAX(1,Q1093))="IMPORTED",INDEX(SourceTable[Status],MAX(1,Q1093))="PARTIAL",INDEX(SourceTable[Status],MAX(1,Q1093))="SOURCE CONFLICT")),"ACCESS BLOCKED",IF(OR(INDEX(SourceTable[Coverage],Q1093)&lt;&gt;"FULL SEASON EXPORT",INDEX(SourceTable[URL],Q1093)="",INDEX(SourceTable[SHA256],Q1093)=""),"EVIDENCE INCOMPLETE",IF(AND('Input_Meci'!H96="LIVE",INDEX(SourceTable[Retrieved_UTC],Q1093)&gt;'Input_Meci'!G96),"POST CUTOFF","CLOSED")))))))</x:f>
      </x:c>
      <x:c r="S1093" s="2" t="n">
        <x:f>IF(OR(B1093="",F1093=""),0,COUNTIFS('Istoric_Nativ'!$B$6:$B$405,E1093,'Istoric_Nativ'!$C$6:$C$405,F1093,'Istoric_Nativ'!$E$6:$E$405,G1093,'Istoric_Nativ'!$D$6:$D$405,"&lt;"&amp;J1093,'Istoric_Nativ'!$O$6:$O$405,"INVALID")+COUNTIFS('Istoric_Nativ'!$B$6:$B$405,E1093,'Istoric_Nativ'!$C$6:$C$405,F1093,'Istoric_Nativ'!$E$6:$E$405,G1093,'Istoric_Nativ'!$O$6:$O$405,"INVALID",'Istoric_Nativ'!$D$6:$D$405,"*")+COUNTIFS('Istoric_Nativ'!$B$6:$B$405,E1093,'Istoric_Nativ'!$C$6:$C$405,F1093,'Istoric_Nativ'!$E$6:$E$405,G1093,'Istoric_Nativ'!$D$6:$D$405,"&lt;"&amp;J1093,'Istoric_Nativ'!$O$6:$O$405,"SOURCE CONFLICT")+COUNTIFS('Istoric_Nativ'!$B$6:$B$405,E1093,'Istoric_Nativ'!$C$6:$C$405,F1093,'Istoric_Nativ'!$F$6:$F$405,G1093,'Istoric_Nativ'!$D$6:$D$405,"&lt;"&amp;J1093,'Istoric_Nativ'!$O$6:$O$405,"INVALID")+COUNTIFS('Istoric_Nativ'!$B$6:$B$405,E1093,'Istoric_Nativ'!$C$6:$C$405,F1093,'Istoric_Nativ'!$F$6:$F$405,G1093,'Istoric_Nativ'!$O$6:$O$405,"INVALID",'Istoric_Nativ'!$D$6:$D$405,"*")+COUNTIFS('Istoric_Nativ'!$B$6:$B$405,E1093,'Istoric_Nativ'!$C$6:$C$405,F1093,'Istoric_Nativ'!$F$6:$F$405,G1093,'Istoric_Nativ'!$D$6:$D$405,"&lt;"&amp;J1093,'Istoric_Nativ'!$O$6:$O$405,"SOURCE CONFLICT"))</x:f>
        <x:v>0</x:v>
      </x:c>
      <x:c r="T1093" s="2" t="str">
        <x:f>IF(B1093="","",IF(R1093&lt;&gt;"CLOSED",R1093,IF(S1093&gt;0,"NATIVE INPUT ISSUE",IF(M1093=0,"NO HISTORY",IF(M1093&lt;P1093,"SMALL SAMPLE","DERIVED")))))</x:f>
      </x:c>
      <x:c r="U1093" s="2" t="str">
        <x:f>IF(B1093="","","NativeTable; "&amp;E1093&amp;"; "&amp;F1093&amp;"; "&amp;G1093&amp;"; "&amp;H1093&amp;"; before "&amp;TEXT(J1093,"yyyy-mm-dd")&amp;IF(I1093="RECENT","; from "&amp;TEXT(L1093,"yyyy-mm-dd"),""))</x:f>
      </x:c>
    </x:row>
    <x:row r="1094" ht="21" customHeight="1">
      <x:c r="A1094" s="2" t="n">
        <x:v>91</x:v>
      </x:c>
      <x:c r="B1094" s="2" t="str">
        <x:f>IF('Input_Meci'!A96="","",'Input_Meci'!A96)</x:f>
      </x:c>
      <x:c r="C1094" s="2" t="str">
        <x:v>H</x:v>
      </x:c>
      <x:c r="D1094" s="2" t="str">
        <x:v>PRIOR</x:v>
      </x:c>
      <x:c r="E1094" s="2" t="str">
        <x:f>IF(B1094="","",'Input_Meci'!B96)</x:f>
      </x:c>
      <x:c r="F1094" s="2" t="str">
        <x:f>IF(B1094="","",IF('Input_Meci'!K96="","",'Input_Meci'!K96))</x:f>
      </x:c>
      <x:c r="G1094" s="2" t="str">
        <x:f>IF(B1094="","",'Input_Meci'!D96)</x:f>
      </x:c>
      <x:c r="H1094" s="2" t="str">
        <x:v>ANY</x:v>
      </x:c>
      <x:c r="I1094" s="2" t="str">
        <x:v>RECENT</x:v>
      </x:c>
      <x:c r="J1094" s="9" t="n">
        <x:f>IF(AND(B1094&lt;&gt;"",ISNUMBER('Input_Meci'!G96)),INT('Input_Meci'!G96),0)</x:f>
        <x:v>0</x:v>
      </x:c>
      <x:c r="K1094" s="2" t="n">
        <x:f>IF(OR(B1094="",F1094=""),0,IF(H1094="HOME",COUNTIFS('Istoric_Nativ'!$B$6:$B$405,E1094,'Istoric_Nativ'!$C$6:$C$405,F1094,'Istoric_Nativ'!$E$6:$E$405,G1094,'Istoric_Nativ'!$D$6:$D$405,"&lt;"&amp;J1094,'Istoric_Nativ'!$P$6:$P$405,1),IF(H1094="AWAY",COUNTIFS('Istoric_Nativ'!$B$6:$B$405,E1094,'Istoric_Nativ'!$C$6:$C$405,F1094,'Istoric_Nativ'!$F$6:$F$405,G1094,'Istoric_Nativ'!$D$6:$D$405,"&lt;"&amp;J1094,'Istoric_Nativ'!$P$6:$P$405,1),COUNTIFS('Istoric_Nativ'!$B$6:$B$405,E1094,'Istoric_Nativ'!$C$6:$C$405,F1094,'Istoric_Nativ'!$E$6:$E$405,G1094,'Istoric_Nativ'!$D$6:$D$405,"&lt;"&amp;J1094,'Istoric_Nativ'!$P$6:$P$405,1)+COUNTIFS('Istoric_Nativ'!$B$6:$B$405,E1094,'Istoric_Nativ'!$C$6:$C$405,F1094,'Istoric_Nativ'!$F$6:$F$405,G1094,'Istoric_Nativ'!$D$6:$D$405,"&lt;"&amp;J1094,'Istoric_Nativ'!$P$6:$P$405,1))))</x:f>
        <x:v>0</x:v>
      </x:c>
      <x:c r="L1094" s="17" t="n">
        <x:f>IF(AND(B1094&lt;&gt;"",I1094="RECENT",K1094&gt;0),LARGE(_xlfn._xlws.FILTER('Istoric_Nativ'!$D$6:$D$405,('Istoric_Nativ'!$B$6:$B$405=E1094)*('Istoric_Nativ'!$C$6:$C$405=F1094)*('Istoric_Nativ'!$P$6:$P$405=1)*('Istoric_Nativ'!$D$6:$D$405&lt;J1094)*((('Istoric_Nativ'!$E$6:$E$405=G1094)+('Istoric_Nativ'!$F$6:$F$405=G1094))&gt;0)),MIN('Config_v6'!$B$54,K1094)),0)</x:f>
        <x:v>0</x:v>
      </x:c>
      <x:c r="M1094" s="2" t="n">
        <x:f>IF(OR(B1094="",F1094=""),0,IF(H1094="HOME",COUNTIFS('Istoric_Nativ'!$B$6:$B$405,E1094,'Istoric_Nativ'!$C$6:$C$405,F1094,'Istoric_Nativ'!$E$6:$E$405,G1094,'Istoric_Nativ'!$D$6:$D$405,"&lt;"&amp;J1094,'Istoric_Nativ'!$P$6:$P$405,1,'Istoric_Nativ'!$D$6:$D$405,"&gt;="&amp;L1094),IF(H1094="AWAY",COUNTIFS('Istoric_Nativ'!$B$6:$B$405,E1094,'Istoric_Nativ'!$C$6:$C$405,F1094,'Istoric_Nativ'!$F$6:$F$405,G1094,'Istoric_Nativ'!$D$6:$D$405,"&lt;"&amp;J1094,'Istoric_Nativ'!$P$6:$P$405,1,'Istoric_Nativ'!$D$6:$D$405,"&gt;="&amp;L1094),COUNTIFS('Istoric_Nativ'!$B$6:$B$405,E1094,'Istoric_Nativ'!$C$6:$C$405,F1094,'Istoric_Nativ'!$E$6:$E$405,G1094,'Istoric_Nativ'!$D$6:$D$405,"&lt;"&amp;J1094,'Istoric_Nativ'!$P$6:$P$405,1,'Istoric_Nativ'!$D$6:$D$405,"&gt;="&amp;L1094)+COUNTIFS('Istoric_Nativ'!$B$6:$B$405,E1094,'Istoric_Nativ'!$C$6:$C$405,F1094,'Istoric_Nativ'!$F$6:$F$405,G1094,'Istoric_Nativ'!$D$6:$D$405,"&lt;"&amp;J1094,'Istoric_Nativ'!$P$6:$P$405,1,'Istoric_Nativ'!$D$6:$D$405,"&gt;="&amp;L1094))))</x:f>
        <x:v>0</x:v>
      </x:c>
      <x:c r="N1094" s="11" t="str">
        <x:f>IF(M1094=0,"",IF(H1094="HOME",SUMIFS('Istoric_Nativ'!$G$6:$G$405,'Istoric_Nativ'!$B$6:$B$405,E1094,'Istoric_Nativ'!$C$6:$C$405,F1094,'Istoric_Nativ'!$E$6:$E$405,G1094,'Istoric_Nativ'!$D$6:$D$405,"&lt;"&amp;J1094,'Istoric_Nativ'!$P$6:$P$405,1,'Istoric_Nativ'!$D$6:$D$405,"&gt;="&amp;L1094),IF(H1094="AWAY",SUMIFS('Istoric_Nativ'!$H$6:$H$405,'Istoric_Nativ'!$B$6:$B$405,E1094,'Istoric_Nativ'!$C$6:$C$405,F1094,'Istoric_Nativ'!$F$6:$F$405,G1094,'Istoric_Nativ'!$D$6:$D$405,"&lt;"&amp;J1094,'Istoric_Nativ'!$P$6:$P$405,1,'Istoric_Nativ'!$D$6:$D$405,"&gt;="&amp;L1094),SUMIFS('Istoric_Nativ'!$G$6:$G$405,'Istoric_Nativ'!$B$6:$B$405,E1094,'Istoric_Nativ'!$C$6:$C$405,F1094,'Istoric_Nativ'!$E$6:$E$405,G1094,'Istoric_Nativ'!$D$6:$D$405,"&lt;"&amp;J1094,'Istoric_Nativ'!$P$6:$P$405,1,'Istoric_Nativ'!$D$6:$D$405,"&gt;="&amp;L1094)+SUMIFS('Istoric_Nativ'!$H$6:$H$405,'Istoric_Nativ'!$B$6:$B$405,E1094,'Istoric_Nativ'!$C$6:$C$405,F1094,'Istoric_Nativ'!$F$6:$F$405,G1094,'Istoric_Nativ'!$D$6:$D$405,"&lt;"&amp;J1094,'Istoric_Nativ'!$P$6:$P$405,1,'Istoric_Nativ'!$D$6:$D$405,"&gt;="&amp;L1094)))/M1094)</x:f>
      </x:c>
      <x:c r="O1094" s="11" t="str">
        <x:f>IF(M1094=0,"",IF(H1094="HOME",SUMIFS('Istoric_Nativ'!$H$6:$H$405,'Istoric_Nativ'!$B$6:$B$405,E1094,'Istoric_Nativ'!$C$6:$C$405,F1094,'Istoric_Nativ'!$E$6:$E$405,G1094,'Istoric_Nativ'!$D$6:$D$405,"&lt;"&amp;J1094,'Istoric_Nativ'!$P$6:$P$405,1,'Istoric_Nativ'!$D$6:$D$405,"&gt;="&amp;L1094),IF(H1094="AWAY",SUMIFS('Istoric_Nativ'!$G$6:$G$405,'Istoric_Nativ'!$B$6:$B$405,E1094,'Istoric_Nativ'!$C$6:$C$405,F1094,'Istoric_Nativ'!$F$6:$F$405,G1094,'Istoric_Nativ'!$D$6:$D$405,"&lt;"&amp;J1094,'Istoric_Nativ'!$P$6:$P$405,1,'Istoric_Nativ'!$D$6:$D$405,"&gt;="&amp;L1094),SUMIFS('Istoric_Nativ'!$H$6:$H$405,'Istoric_Nativ'!$B$6:$B$405,E1094,'Istoric_Nativ'!$C$6:$C$405,F1094,'Istoric_Nativ'!$E$6:$E$405,G1094,'Istoric_Nativ'!$D$6:$D$405,"&lt;"&amp;J1094,'Istoric_Nativ'!$P$6:$P$405,1,'Istoric_Nativ'!$D$6:$D$405,"&gt;="&amp;L1094)+SUMIFS('Istoric_Nativ'!$G$6:$G$405,'Istoric_Nativ'!$B$6:$B$405,E1094,'Istoric_Nativ'!$C$6:$C$405,F1094,'Istoric_Nativ'!$F$6:$F$405,G1094,'Istoric_Nativ'!$D$6:$D$405,"&lt;"&amp;J1094,'Istoric_Nativ'!$P$6:$P$405,1,'Istoric_Nativ'!$D$6:$D$405,"&gt;="&amp;L1094)))/M1094)</x:f>
      </x:c>
      <x:c r="P1094" s="2" t="n">
        <x:f>'Config_v6'!$B$9</x:f>
        <x:v>3</x:v>
      </x:c>
      <x:c r="Q1094" s="2" t="n">
        <x:f>IF(OR(B1094="",F1094=""),0,IFERROR(MATCH(E1094&amp;"|"&amp;F1094,SourceTable[Source_Key],0),0))</x:f>
        <x:v>0</x:v>
      </x:c>
      <x:c r="R1094" s="2" t="str">
        <x:f>IF(B1094="","",IF(F1094="","UNUSED",IF(Q1094=0,"NOT CHECKED",IF(COUNTIF(SourceTable[Source_Key],E1094&amp;"|"&amp;F1094)&lt;&gt;1,"SOURCE CONFLICT",IF(NOT(OR(INDEX(SourceTable[Status],MAX(1,Q1094))="IMPORTED",INDEX(SourceTable[Status],MAX(1,Q1094))="PARTIAL",INDEX(SourceTable[Status],MAX(1,Q1094))="SOURCE CONFLICT")),"ACCESS BLOCKED",IF(OR(INDEX(SourceTable[Coverage],Q1094)&lt;&gt;"FULL SEASON EXPORT",INDEX(SourceTable[URL],Q1094)="",INDEX(SourceTable[SHA256],Q1094)=""),"EVIDENCE INCOMPLETE",IF(AND('Input_Meci'!H96="LIVE",INDEX(SourceTable[Retrieved_UTC],Q1094)&gt;'Input_Meci'!G96),"POST CUTOFF","CLOSED")))))))</x:f>
      </x:c>
      <x:c r="S1094" s="2" t="n">
        <x:f>IF(OR(B1094="",F1094=""),0,COUNTIFS('Istoric_Nativ'!$B$6:$B$405,E1094,'Istoric_Nativ'!$C$6:$C$405,F1094,'Istoric_Nativ'!$E$6:$E$405,G1094,'Istoric_Nativ'!$D$6:$D$405,"&lt;"&amp;J1094,'Istoric_Nativ'!$O$6:$O$405,"INVALID")+COUNTIFS('Istoric_Nativ'!$B$6:$B$405,E1094,'Istoric_Nativ'!$C$6:$C$405,F1094,'Istoric_Nativ'!$E$6:$E$405,G1094,'Istoric_Nativ'!$O$6:$O$405,"INVALID",'Istoric_Nativ'!$D$6:$D$405,"*")+COUNTIFS('Istoric_Nativ'!$B$6:$B$405,E1094,'Istoric_Nativ'!$C$6:$C$405,F1094,'Istoric_Nativ'!$E$6:$E$405,G1094,'Istoric_Nativ'!$D$6:$D$405,"&lt;"&amp;J1094,'Istoric_Nativ'!$O$6:$O$405,"SOURCE CONFLICT")+COUNTIFS('Istoric_Nativ'!$B$6:$B$405,E1094,'Istoric_Nativ'!$C$6:$C$405,F1094,'Istoric_Nativ'!$F$6:$F$405,G1094,'Istoric_Nativ'!$D$6:$D$405,"&lt;"&amp;J1094,'Istoric_Nativ'!$O$6:$O$405,"INVALID")+COUNTIFS('Istoric_Nativ'!$B$6:$B$405,E1094,'Istoric_Nativ'!$C$6:$C$405,F1094,'Istoric_Nativ'!$F$6:$F$405,G1094,'Istoric_Nativ'!$O$6:$O$405,"INVALID",'Istoric_Nativ'!$D$6:$D$405,"*")+COUNTIFS('Istoric_Nativ'!$B$6:$B$405,E1094,'Istoric_Nativ'!$C$6:$C$405,F1094,'Istoric_Nativ'!$F$6:$F$405,G1094,'Istoric_Nativ'!$D$6:$D$405,"&lt;"&amp;J1094,'Istoric_Nativ'!$O$6:$O$405,"SOURCE CONFLICT"))</x:f>
        <x:v>0</x:v>
      </x:c>
      <x:c r="T1094" s="2" t="str">
        <x:f>IF(B1094="","",IF(R1094&lt;&gt;"CLOSED",R1094,IF(S1094&gt;0,"NATIVE INPUT ISSUE",IF(M1094=0,"NO HISTORY",IF(M1094&lt;P1094,"SMALL SAMPLE","DERIVED")))))</x:f>
      </x:c>
      <x:c r="U1094" s="2" t="str">
        <x:f>IF(B1094="","","NativeTable; "&amp;E1094&amp;"; "&amp;F1094&amp;"; "&amp;G1094&amp;"; "&amp;H1094&amp;"; before "&amp;TEXT(J1094,"yyyy-mm-dd")&amp;IF(I1094="RECENT","; from "&amp;TEXT(L1094,"yyyy-mm-dd"),""))</x:f>
      </x:c>
    </x:row>
    <x:row r="1095" ht="21" customHeight="1">
      <x:c r="A1095" s="2" t="n">
        <x:v>91</x:v>
      </x:c>
      <x:c r="B1095" s="2" t="str">
        <x:f>IF('Input_Meci'!A96="","",'Input_Meci'!A96)</x:f>
      </x:c>
      <x:c r="C1095" s="2" t="str">
        <x:v>A</x:v>
      </x:c>
      <x:c r="D1095" s="2" t="str">
        <x:v>PRIOR</x:v>
      </x:c>
      <x:c r="E1095" s="2" t="str">
        <x:f>IF(B1095="","",'Input_Meci'!B96)</x:f>
      </x:c>
      <x:c r="F1095" s="2" t="str">
        <x:f>IF(B1095="","",IF('Input_Meci'!K96="","",'Input_Meci'!K96))</x:f>
      </x:c>
      <x:c r="G1095" s="2" t="str">
        <x:f>IF(B1095="","",'Input_Meci'!E96)</x:f>
      </x:c>
      <x:c r="H1095" s="2" t="str">
        <x:v>ANY</x:v>
      </x:c>
      <x:c r="I1095" s="2" t="str">
        <x:v>SEASON</x:v>
      </x:c>
      <x:c r="J1095" s="9" t="n">
        <x:f>IF(AND(B1095&lt;&gt;"",ISNUMBER('Input_Meci'!G96)),INT('Input_Meci'!G96),0)</x:f>
        <x:v>0</x:v>
      </x:c>
      <x:c r="K1095" s="2" t="n">
        <x:f>IF(OR(B1095="",F1095=""),0,IF(H1095="HOME",COUNTIFS('Istoric_Nativ'!$B$6:$B$405,E1095,'Istoric_Nativ'!$C$6:$C$405,F1095,'Istoric_Nativ'!$E$6:$E$405,G1095,'Istoric_Nativ'!$D$6:$D$405,"&lt;"&amp;J1095,'Istoric_Nativ'!$P$6:$P$405,1),IF(H1095="AWAY",COUNTIFS('Istoric_Nativ'!$B$6:$B$405,E1095,'Istoric_Nativ'!$C$6:$C$405,F1095,'Istoric_Nativ'!$F$6:$F$405,G1095,'Istoric_Nativ'!$D$6:$D$405,"&lt;"&amp;J1095,'Istoric_Nativ'!$P$6:$P$405,1),COUNTIFS('Istoric_Nativ'!$B$6:$B$405,E1095,'Istoric_Nativ'!$C$6:$C$405,F1095,'Istoric_Nativ'!$E$6:$E$405,G1095,'Istoric_Nativ'!$D$6:$D$405,"&lt;"&amp;J1095,'Istoric_Nativ'!$P$6:$P$405,1)+COUNTIFS('Istoric_Nativ'!$B$6:$B$405,E1095,'Istoric_Nativ'!$C$6:$C$405,F1095,'Istoric_Nativ'!$F$6:$F$405,G1095,'Istoric_Nativ'!$D$6:$D$405,"&lt;"&amp;J1095,'Istoric_Nativ'!$P$6:$P$405,1))))</x:f>
        <x:v>0</x:v>
      </x:c>
      <x:c r="L1095" s="17" t="n">
        <x:f>IF(AND(B1095&lt;&gt;"",I1095="RECENT",K1095&gt;0),LARGE(_xlfn._xlws.FILTER('Istoric_Nativ'!$D$6:$D$405,('Istoric_Nativ'!$B$6:$B$405=E1095)*('Istoric_Nativ'!$C$6:$C$405=F1095)*('Istoric_Nativ'!$P$6:$P$405=1)*('Istoric_Nativ'!$D$6:$D$405&lt;J1095)*((('Istoric_Nativ'!$E$6:$E$405=G1095)+('Istoric_Nativ'!$F$6:$F$405=G1095))&gt;0)),MIN('Config_v6'!$B$54,K1095)),0)</x:f>
        <x:v>0</x:v>
      </x:c>
      <x:c r="M1095" s="2" t="n">
        <x:f>IF(OR(B1095="",F1095=""),0,IF(H1095="HOME",COUNTIFS('Istoric_Nativ'!$B$6:$B$405,E1095,'Istoric_Nativ'!$C$6:$C$405,F1095,'Istoric_Nativ'!$E$6:$E$405,G1095,'Istoric_Nativ'!$D$6:$D$405,"&lt;"&amp;J1095,'Istoric_Nativ'!$P$6:$P$405,1,'Istoric_Nativ'!$D$6:$D$405,"&gt;="&amp;L1095),IF(H1095="AWAY",COUNTIFS('Istoric_Nativ'!$B$6:$B$405,E1095,'Istoric_Nativ'!$C$6:$C$405,F1095,'Istoric_Nativ'!$F$6:$F$405,G1095,'Istoric_Nativ'!$D$6:$D$405,"&lt;"&amp;J1095,'Istoric_Nativ'!$P$6:$P$405,1,'Istoric_Nativ'!$D$6:$D$405,"&gt;="&amp;L1095),COUNTIFS('Istoric_Nativ'!$B$6:$B$405,E1095,'Istoric_Nativ'!$C$6:$C$405,F1095,'Istoric_Nativ'!$E$6:$E$405,G1095,'Istoric_Nativ'!$D$6:$D$405,"&lt;"&amp;J1095,'Istoric_Nativ'!$P$6:$P$405,1,'Istoric_Nativ'!$D$6:$D$405,"&gt;="&amp;L1095)+COUNTIFS('Istoric_Nativ'!$B$6:$B$405,E1095,'Istoric_Nativ'!$C$6:$C$405,F1095,'Istoric_Nativ'!$F$6:$F$405,G1095,'Istoric_Nativ'!$D$6:$D$405,"&lt;"&amp;J1095,'Istoric_Nativ'!$P$6:$P$405,1,'Istoric_Nativ'!$D$6:$D$405,"&gt;="&amp;L1095))))</x:f>
        <x:v>0</x:v>
      </x:c>
      <x:c r="N1095" s="11" t="str">
        <x:f>IF(M1095=0,"",IF(H1095="HOME",SUMIFS('Istoric_Nativ'!$G$6:$G$405,'Istoric_Nativ'!$B$6:$B$405,E1095,'Istoric_Nativ'!$C$6:$C$405,F1095,'Istoric_Nativ'!$E$6:$E$405,G1095,'Istoric_Nativ'!$D$6:$D$405,"&lt;"&amp;J1095,'Istoric_Nativ'!$P$6:$P$405,1,'Istoric_Nativ'!$D$6:$D$405,"&gt;="&amp;L1095),IF(H1095="AWAY",SUMIFS('Istoric_Nativ'!$H$6:$H$405,'Istoric_Nativ'!$B$6:$B$405,E1095,'Istoric_Nativ'!$C$6:$C$405,F1095,'Istoric_Nativ'!$F$6:$F$405,G1095,'Istoric_Nativ'!$D$6:$D$405,"&lt;"&amp;J1095,'Istoric_Nativ'!$P$6:$P$405,1,'Istoric_Nativ'!$D$6:$D$405,"&gt;="&amp;L1095),SUMIFS('Istoric_Nativ'!$G$6:$G$405,'Istoric_Nativ'!$B$6:$B$405,E1095,'Istoric_Nativ'!$C$6:$C$405,F1095,'Istoric_Nativ'!$E$6:$E$405,G1095,'Istoric_Nativ'!$D$6:$D$405,"&lt;"&amp;J1095,'Istoric_Nativ'!$P$6:$P$405,1,'Istoric_Nativ'!$D$6:$D$405,"&gt;="&amp;L1095)+SUMIFS('Istoric_Nativ'!$H$6:$H$405,'Istoric_Nativ'!$B$6:$B$405,E1095,'Istoric_Nativ'!$C$6:$C$405,F1095,'Istoric_Nativ'!$F$6:$F$405,G1095,'Istoric_Nativ'!$D$6:$D$405,"&lt;"&amp;J1095,'Istoric_Nativ'!$P$6:$P$405,1,'Istoric_Nativ'!$D$6:$D$405,"&gt;="&amp;L1095)))/M1095)</x:f>
      </x:c>
      <x:c r="O1095" s="11" t="str">
        <x:f>IF(M1095=0,"",IF(H1095="HOME",SUMIFS('Istoric_Nativ'!$H$6:$H$405,'Istoric_Nativ'!$B$6:$B$405,E1095,'Istoric_Nativ'!$C$6:$C$405,F1095,'Istoric_Nativ'!$E$6:$E$405,G1095,'Istoric_Nativ'!$D$6:$D$405,"&lt;"&amp;J1095,'Istoric_Nativ'!$P$6:$P$405,1,'Istoric_Nativ'!$D$6:$D$405,"&gt;="&amp;L1095),IF(H1095="AWAY",SUMIFS('Istoric_Nativ'!$G$6:$G$405,'Istoric_Nativ'!$B$6:$B$405,E1095,'Istoric_Nativ'!$C$6:$C$405,F1095,'Istoric_Nativ'!$F$6:$F$405,G1095,'Istoric_Nativ'!$D$6:$D$405,"&lt;"&amp;J1095,'Istoric_Nativ'!$P$6:$P$405,1,'Istoric_Nativ'!$D$6:$D$405,"&gt;="&amp;L1095),SUMIFS('Istoric_Nativ'!$H$6:$H$405,'Istoric_Nativ'!$B$6:$B$405,E1095,'Istoric_Nativ'!$C$6:$C$405,F1095,'Istoric_Nativ'!$E$6:$E$405,G1095,'Istoric_Nativ'!$D$6:$D$405,"&lt;"&amp;J1095,'Istoric_Nativ'!$P$6:$P$405,1,'Istoric_Nativ'!$D$6:$D$405,"&gt;="&amp;L1095)+SUMIFS('Istoric_Nativ'!$G$6:$G$405,'Istoric_Nativ'!$B$6:$B$405,E1095,'Istoric_Nativ'!$C$6:$C$405,F1095,'Istoric_Nativ'!$F$6:$F$405,G1095,'Istoric_Nativ'!$D$6:$D$405,"&lt;"&amp;J1095,'Istoric_Nativ'!$P$6:$P$405,1,'Istoric_Nativ'!$D$6:$D$405,"&gt;="&amp;L1095)))/M1095)</x:f>
      </x:c>
      <x:c r="P1095" s="2" t="n">
        <x:f>'Config_v6'!$B$7</x:f>
        <x:v>10</x:v>
      </x:c>
      <x:c r="Q1095" s="2" t="n">
        <x:f>IF(OR(B1095="",F1095=""),0,IFERROR(MATCH(E1095&amp;"|"&amp;F1095,SourceTable[Source_Key],0),0))</x:f>
        <x:v>0</x:v>
      </x:c>
      <x:c r="R1095" s="2" t="str">
        <x:f>IF(B1095="","",IF(F1095="","UNUSED",IF(Q1095=0,"NOT CHECKED",IF(COUNTIF(SourceTable[Source_Key],E1095&amp;"|"&amp;F1095)&lt;&gt;1,"SOURCE CONFLICT",IF(NOT(OR(INDEX(SourceTable[Status],MAX(1,Q1095))="IMPORTED",INDEX(SourceTable[Status],MAX(1,Q1095))="PARTIAL",INDEX(SourceTable[Status],MAX(1,Q1095))="SOURCE CONFLICT")),"ACCESS BLOCKED",IF(OR(INDEX(SourceTable[Coverage],Q1095)&lt;&gt;"FULL SEASON EXPORT",INDEX(SourceTable[URL],Q1095)="",INDEX(SourceTable[SHA256],Q1095)=""),"EVIDENCE INCOMPLETE",IF(AND('Input_Meci'!H96="LIVE",INDEX(SourceTable[Retrieved_UTC],Q1095)&gt;'Input_Meci'!G96),"POST CUTOFF","CLOSED")))))))</x:f>
      </x:c>
      <x:c r="S1095" s="2" t="n">
        <x:f>IF(OR(B1095="",F1095=""),0,COUNTIFS('Istoric_Nativ'!$B$6:$B$405,E1095,'Istoric_Nativ'!$C$6:$C$405,F1095,'Istoric_Nativ'!$E$6:$E$405,G1095,'Istoric_Nativ'!$D$6:$D$405,"&lt;"&amp;J1095,'Istoric_Nativ'!$O$6:$O$405,"INVALID")+COUNTIFS('Istoric_Nativ'!$B$6:$B$405,E1095,'Istoric_Nativ'!$C$6:$C$405,F1095,'Istoric_Nativ'!$E$6:$E$405,G1095,'Istoric_Nativ'!$O$6:$O$405,"INVALID",'Istoric_Nativ'!$D$6:$D$405,"*")+COUNTIFS('Istoric_Nativ'!$B$6:$B$405,E1095,'Istoric_Nativ'!$C$6:$C$405,F1095,'Istoric_Nativ'!$E$6:$E$405,G1095,'Istoric_Nativ'!$D$6:$D$405,"&lt;"&amp;J1095,'Istoric_Nativ'!$O$6:$O$405,"SOURCE CONFLICT")+COUNTIFS('Istoric_Nativ'!$B$6:$B$405,E1095,'Istoric_Nativ'!$C$6:$C$405,F1095,'Istoric_Nativ'!$F$6:$F$405,G1095,'Istoric_Nativ'!$D$6:$D$405,"&lt;"&amp;J1095,'Istoric_Nativ'!$O$6:$O$405,"INVALID")+COUNTIFS('Istoric_Nativ'!$B$6:$B$405,E1095,'Istoric_Nativ'!$C$6:$C$405,F1095,'Istoric_Nativ'!$F$6:$F$405,G1095,'Istoric_Nativ'!$O$6:$O$405,"INVALID",'Istoric_Nativ'!$D$6:$D$405,"*")+COUNTIFS('Istoric_Nativ'!$B$6:$B$405,E1095,'Istoric_Nativ'!$C$6:$C$405,F1095,'Istoric_Nativ'!$F$6:$F$405,G1095,'Istoric_Nativ'!$D$6:$D$405,"&lt;"&amp;J1095,'Istoric_Nativ'!$O$6:$O$405,"SOURCE CONFLICT"))</x:f>
        <x:v>0</x:v>
      </x:c>
      <x:c r="T1095" s="2" t="str">
        <x:f>IF(B1095="","",IF(R1095&lt;&gt;"CLOSED",R1095,IF(S1095&gt;0,"NATIVE INPUT ISSUE",IF(M1095=0,"NO HISTORY",IF(M1095&lt;P1095,"SMALL SAMPLE","DERIVED")))))</x:f>
      </x:c>
      <x:c r="U1095" s="2" t="str">
        <x:f>IF(B1095="","","NativeTable; "&amp;E1095&amp;"; "&amp;F1095&amp;"; "&amp;G1095&amp;"; "&amp;H1095&amp;"; before "&amp;TEXT(J1095,"yyyy-mm-dd")&amp;IF(I1095="RECENT","; from "&amp;TEXT(L1095,"yyyy-mm-dd"),""))</x:f>
      </x:c>
    </x:row>
    <x:row r="1096" ht="21" customHeight="1">
      <x:c r="A1096" s="2" t="n">
        <x:v>91</x:v>
      </x:c>
      <x:c r="B1096" s="2" t="str">
        <x:f>IF('Input_Meci'!A96="","",'Input_Meci'!A96)</x:f>
      </x:c>
      <x:c r="C1096" s="2" t="str">
        <x:v>A</x:v>
      </x:c>
      <x:c r="D1096" s="2" t="str">
        <x:v>PRIOR</x:v>
      </x:c>
      <x:c r="E1096" s="2" t="str">
        <x:f>IF(B1096="","",'Input_Meci'!B96)</x:f>
      </x:c>
      <x:c r="F1096" s="2" t="str">
        <x:f>IF(B1096="","",IF('Input_Meci'!K96="","",'Input_Meci'!K96))</x:f>
      </x:c>
      <x:c r="G1096" s="2" t="str">
        <x:f>IF(B1096="","",'Input_Meci'!E96)</x:f>
      </x:c>
      <x:c r="H1096" s="2" t="str">
        <x:v>AWAY</x:v>
      </x:c>
      <x:c r="I1096" s="2" t="str">
        <x:v>HA</x:v>
      </x:c>
      <x:c r="J1096" s="9" t="n">
        <x:f>IF(AND(B1096&lt;&gt;"",ISNUMBER('Input_Meci'!G96)),INT('Input_Meci'!G96),0)</x:f>
        <x:v>0</x:v>
      </x:c>
      <x:c r="K1096" s="2" t="n">
        <x:f>IF(OR(B1096="",F1096=""),0,IF(H1096="HOME",COUNTIFS('Istoric_Nativ'!$B$6:$B$405,E1096,'Istoric_Nativ'!$C$6:$C$405,F1096,'Istoric_Nativ'!$E$6:$E$405,G1096,'Istoric_Nativ'!$D$6:$D$405,"&lt;"&amp;J1096,'Istoric_Nativ'!$P$6:$P$405,1),IF(H1096="AWAY",COUNTIFS('Istoric_Nativ'!$B$6:$B$405,E1096,'Istoric_Nativ'!$C$6:$C$405,F1096,'Istoric_Nativ'!$F$6:$F$405,G1096,'Istoric_Nativ'!$D$6:$D$405,"&lt;"&amp;J1096,'Istoric_Nativ'!$P$6:$P$405,1),COUNTIFS('Istoric_Nativ'!$B$6:$B$405,E1096,'Istoric_Nativ'!$C$6:$C$405,F1096,'Istoric_Nativ'!$E$6:$E$405,G1096,'Istoric_Nativ'!$D$6:$D$405,"&lt;"&amp;J1096,'Istoric_Nativ'!$P$6:$P$405,1)+COUNTIFS('Istoric_Nativ'!$B$6:$B$405,E1096,'Istoric_Nativ'!$C$6:$C$405,F1096,'Istoric_Nativ'!$F$6:$F$405,G1096,'Istoric_Nativ'!$D$6:$D$405,"&lt;"&amp;J1096,'Istoric_Nativ'!$P$6:$P$405,1))))</x:f>
        <x:v>0</x:v>
      </x:c>
      <x:c r="L1096" s="17" t="n">
        <x:f>IF(AND(B1096&lt;&gt;"",I1096="RECENT",K1096&gt;0),LARGE(_xlfn._xlws.FILTER('Istoric_Nativ'!$D$6:$D$405,('Istoric_Nativ'!$B$6:$B$405=E1096)*('Istoric_Nativ'!$C$6:$C$405=F1096)*('Istoric_Nativ'!$P$6:$P$405=1)*('Istoric_Nativ'!$D$6:$D$405&lt;J1096)*((('Istoric_Nativ'!$E$6:$E$405=G1096)+('Istoric_Nativ'!$F$6:$F$405=G1096))&gt;0)),MIN('Config_v6'!$B$54,K1096)),0)</x:f>
        <x:v>0</x:v>
      </x:c>
      <x:c r="M1096" s="2" t="n">
        <x:f>IF(OR(B1096="",F1096=""),0,IF(H1096="HOME",COUNTIFS('Istoric_Nativ'!$B$6:$B$405,E1096,'Istoric_Nativ'!$C$6:$C$405,F1096,'Istoric_Nativ'!$E$6:$E$405,G1096,'Istoric_Nativ'!$D$6:$D$405,"&lt;"&amp;J1096,'Istoric_Nativ'!$P$6:$P$405,1,'Istoric_Nativ'!$D$6:$D$405,"&gt;="&amp;L1096),IF(H1096="AWAY",COUNTIFS('Istoric_Nativ'!$B$6:$B$405,E1096,'Istoric_Nativ'!$C$6:$C$405,F1096,'Istoric_Nativ'!$F$6:$F$405,G1096,'Istoric_Nativ'!$D$6:$D$405,"&lt;"&amp;J1096,'Istoric_Nativ'!$P$6:$P$405,1,'Istoric_Nativ'!$D$6:$D$405,"&gt;="&amp;L1096),COUNTIFS('Istoric_Nativ'!$B$6:$B$405,E1096,'Istoric_Nativ'!$C$6:$C$405,F1096,'Istoric_Nativ'!$E$6:$E$405,G1096,'Istoric_Nativ'!$D$6:$D$405,"&lt;"&amp;J1096,'Istoric_Nativ'!$P$6:$P$405,1,'Istoric_Nativ'!$D$6:$D$405,"&gt;="&amp;L1096)+COUNTIFS('Istoric_Nativ'!$B$6:$B$405,E1096,'Istoric_Nativ'!$C$6:$C$405,F1096,'Istoric_Nativ'!$F$6:$F$405,G1096,'Istoric_Nativ'!$D$6:$D$405,"&lt;"&amp;J1096,'Istoric_Nativ'!$P$6:$P$405,1,'Istoric_Nativ'!$D$6:$D$405,"&gt;="&amp;L1096))))</x:f>
        <x:v>0</x:v>
      </x:c>
      <x:c r="N1096" s="11" t="str">
        <x:f>IF(M1096=0,"",IF(H1096="HOME",SUMIFS('Istoric_Nativ'!$G$6:$G$405,'Istoric_Nativ'!$B$6:$B$405,E1096,'Istoric_Nativ'!$C$6:$C$405,F1096,'Istoric_Nativ'!$E$6:$E$405,G1096,'Istoric_Nativ'!$D$6:$D$405,"&lt;"&amp;J1096,'Istoric_Nativ'!$P$6:$P$405,1,'Istoric_Nativ'!$D$6:$D$405,"&gt;="&amp;L1096),IF(H1096="AWAY",SUMIFS('Istoric_Nativ'!$H$6:$H$405,'Istoric_Nativ'!$B$6:$B$405,E1096,'Istoric_Nativ'!$C$6:$C$405,F1096,'Istoric_Nativ'!$F$6:$F$405,G1096,'Istoric_Nativ'!$D$6:$D$405,"&lt;"&amp;J1096,'Istoric_Nativ'!$P$6:$P$405,1,'Istoric_Nativ'!$D$6:$D$405,"&gt;="&amp;L1096),SUMIFS('Istoric_Nativ'!$G$6:$G$405,'Istoric_Nativ'!$B$6:$B$405,E1096,'Istoric_Nativ'!$C$6:$C$405,F1096,'Istoric_Nativ'!$E$6:$E$405,G1096,'Istoric_Nativ'!$D$6:$D$405,"&lt;"&amp;J1096,'Istoric_Nativ'!$P$6:$P$405,1,'Istoric_Nativ'!$D$6:$D$405,"&gt;="&amp;L1096)+SUMIFS('Istoric_Nativ'!$H$6:$H$405,'Istoric_Nativ'!$B$6:$B$405,E1096,'Istoric_Nativ'!$C$6:$C$405,F1096,'Istoric_Nativ'!$F$6:$F$405,G1096,'Istoric_Nativ'!$D$6:$D$405,"&lt;"&amp;J1096,'Istoric_Nativ'!$P$6:$P$405,1,'Istoric_Nativ'!$D$6:$D$405,"&gt;="&amp;L1096)))/M1096)</x:f>
      </x:c>
      <x:c r="O1096" s="11" t="str">
        <x:f>IF(M1096=0,"",IF(H1096="HOME",SUMIFS('Istoric_Nativ'!$H$6:$H$405,'Istoric_Nativ'!$B$6:$B$405,E1096,'Istoric_Nativ'!$C$6:$C$405,F1096,'Istoric_Nativ'!$E$6:$E$405,G1096,'Istoric_Nativ'!$D$6:$D$405,"&lt;"&amp;J1096,'Istoric_Nativ'!$P$6:$P$405,1,'Istoric_Nativ'!$D$6:$D$405,"&gt;="&amp;L1096),IF(H1096="AWAY",SUMIFS('Istoric_Nativ'!$G$6:$G$405,'Istoric_Nativ'!$B$6:$B$405,E1096,'Istoric_Nativ'!$C$6:$C$405,F1096,'Istoric_Nativ'!$F$6:$F$405,G1096,'Istoric_Nativ'!$D$6:$D$405,"&lt;"&amp;J1096,'Istoric_Nativ'!$P$6:$P$405,1,'Istoric_Nativ'!$D$6:$D$405,"&gt;="&amp;L1096),SUMIFS('Istoric_Nativ'!$H$6:$H$405,'Istoric_Nativ'!$B$6:$B$405,E1096,'Istoric_Nativ'!$C$6:$C$405,F1096,'Istoric_Nativ'!$E$6:$E$405,G1096,'Istoric_Nativ'!$D$6:$D$405,"&lt;"&amp;J1096,'Istoric_Nativ'!$P$6:$P$405,1,'Istoric_Nativ'!$D$6:$D$405,"&gt;="&amp;L1096)+SUMIFS('Istoric_Nativ'!$G$6:$G$405,'Istoric_Nativ'!$B$6:$B$405,E1096,'Istoric_Nativ'!$C$6:$C$405,F1096,'Istoric_Nativ'!$F$6:$F$405,G1096,'Istoric_Nativ'!$D$6:$D$405,"&lt;"&amp;J1096,'Istoric_Nativ'!$P$6:$P$405,1,'Istoric_Nativ'!$D$6:$D$405,"&gt;="&amp;L1096)))/M1096)</x:f>
      </x:c>
      <x:c r="P1096" s="2" t="n">
        <x:f>'Config_v6'!$B$8</x:f>
        <x:v>5</x:v>
      </x:c>
      <x:c r="Q1096" s="2" t="n">
        <x:f>IF(OR(B1096="",F1096=""),0,IFERROR(MATCH(E1096&amp;"|"&amp;F1096,SourceTable[Source_Key],0),0))</x:f>
        <x:v>0</x:v>
      </x:c>
      <x:c r="R1096" s="2" t="str">
        <x:f>IF(B1096="","",IF(F1096="","UNUSED",IF(Q1096=0,"NOT CHECKED",IF(COUNTIF(SourceTable[Source_Key],E1096&amp;"|"&amp;F1096)&lt;&gt;1,"SOURCE CONFLICT",IF(NOT(OR(INDEX(SourceTable[Status],MAX(1,Q1096))="IMPORTED",INDEX(SourceTable[Status],MAX(1,Q1096))="PARTIAL",INDEX(SourceTable[Status],MAX(1,Q1096))="SOURCE CONFLICT")),"ACCESS BLOCKED",IF(OR(INDEX(SourceTable[Coverage],Q1096)&lt;&gt;"FULL SEASON EXPORT",INDEX(SourceTable[URL],Q1096)="",INDEX(SourceTable[SHA256],Q1096)=""),"EVIDENCE INCOMPLETE",IF(AND('Input_Meci'!H96="LIVE",INDEX(SourceTable[Retrieved_UTC],Q1096)&gt;'Input_Meci'!G96),"POST CUTOFF","CLOSED")))))))</x:f>
      </x:c>
      <x:c r="S1096" s="2" t="n">
        <x:f>IF(OR(B1096="",F1096=""),0,COUNTIFS('Istoric_Nativ'!$B$6:$B$405,E1096,'Istoric_Nativ'!$C$6:$C$405,F1096,'Istoric_Nativ'!$E$6:$E$405,G1096,'Istoric_Nativ'!$D$6:$D$405,"&lt;"&amp;J1096,'Istoric_Nativ'!$O$6:$O$405,"INVALID")+COUNTIFS('Istoric_Nativ'!$B$6:$B$405,E1096,'Istoric_Nativ'!$C$6:$C$405,F1096,'Istoric_Nativ'!$E$6:$E$405,G1096,'Istoric_Nativ'!$O$6:$O$405,"INVALID",'Istoric_Nativ'!$D$6:$D$405,"*")+COUNTIFS('Istoric_Nativ'!$B$6:$B$405,E1096,'Istoric_Nativ'!$C$6:$C$405,F1096,'Istoric_Nativ'!$E$6:$E$405,G1096,'Istoric_Nativ'!$D$6:$D$405,"&lt;"&amp;J1096,'Istoric_Nativ'!$O$6:$O$405,"SOURCE CONFLICT")+COUNTIFS('Istoric_Nativ'!$B$6:$B$405,E1096,'Istoric_Nativ'!$C$6:$C$405,F1096,'Istoric_Nativ'!$F$6:$F$405,G1096,'Istoric_Nativ'!$D$6:$D$405,"&lt;"&amp;J1096,'Istoric_Nativ'!$O$6:$O$405,"INVALID")+COUNTIFS('Istoric_Nativ'!$B$6:$B$405,E1096,'Istoric_Nativ'!$C$6:$C$405,F1096,'Istoric_Nativ'!$F$6:$F$405,G1096,'Istoric_Nativ'!$O$6:$O$405,"INVALID",'Istoric_Nativ'!$D$6:$D$405,"*")+COUNTIFS('Istoric_Nativ'!$B$6:$B$405,E1096,'Istoric_Nativ'!$C$6:$C$405,F1096,'Istoric_Nativ'!$F$6:$F$405,G1096,'Istoric_Nativ'!$D$6:$D$405,"&lt;"&amp;J1096,'Istoric_Nativ'!$O$6:$O$405,"SOURCE CONFLICT"))</x:f>
        <x:v>0</x:v>
      </x:c>
      <x:c r="T1096" s="2" t="str">
        <x:f>IF(B1096="","",IF(R1096&lt;&gt;"CLOSED",R1096,IF(S1096&gt;0,"NATIVE INPUT ISSUE",IF(M1096=0,"NO HISTORY",IF(M1096&lt;P1096,"SMALL SAMPLE","DERIVED")))))</x:f>
      </x:c>
      <x:c r="U1096" s="2" t="str">
        <x:f>IF(B1096="","","NativeTable; "&amp;E1096&amp;"; "&amp;F1096&amp;"; "&amp;G1096&amp;"; "&amp;H1096&amp;"; before "&amp;TEXT(J1096,"yyyy-mm-dd")&amp;IF(I1096="RECENT","; from "&amp;TEXT(L1096,"yyyy-mm-dd"),""))</x:f>
      </x:c>
    </x:row>
    <x:row r="1097" ht="21" customHeight="1">
      <x:c r="A1097" s="2" t="n">
        <x:v>91</x:v>
      </x:c>
      <x:c r="B1097" s="2" t="str">
        <x:f>IF('Input_Meci'!A96="","",'Input_Meci'!A96)</x:f>
      </x:c>
      <x:c r="C1097" s="2" t="str">
        <x:v>A</x:v>
      </x:c>
      <x:c r="D1097" s="2" t="str">
        <x:v>PRIOR</x:v>
      </x:c>
      <x:c r="E1097" s="2" t="str">
        <x:f>IF(B1097="","",'Input_Meci'!B96)</x:f>
      </x:c>
      <x:c r="F1097" s="2" t="str">
        <x:f>IF(B1097="","",IF('Input_Meci'!K96="","",'Input_Meci'!K96))</x:f>
      </x:c>
      <x:c r="G1097" s="2" t="str">
        <x:f>IF(B1097="","",'Input_Meci'!E96)</x:f>
      </x:c>
      <x:c r="H1097" s="2" t="str">
        <x:v>ANY</x:v>
      </x:c>
      <x:c r="I1097" s="2" t="str">
        <x:v>RECENT</x:v>
      </x:c>
      <x:c r="J1097" s="9" t="n">
        <x:f>IF(AND(B1097&lt;&gt;"",ISNUMBER('Input_Meci'!G96)),INT('Input_Meci'!G96),0)</x:f>
        <x:v>0</x:v>
      </x:c>
      <x:c r="K1097" s="2" t="n">
        <x:f>IF(OR(B1097="",F1097=""),0,IF(H1097="HOME",COUNTIFS('Istoric_Nativ'!$B$6:$B$405,E1097,'Istoric_Nativ'!$C$6:$C$405,F1097,'Istoric_Nativ'!$E$6:$E$405,G1097,'Istoric_Nativ'!$D$6:$D$405,"&lt;"&amp;J1097,'Istoric_Nativ'!$P$6:$P$405,1),IF(H1097="AWAY",COUNTIFS('Istoric_Nativ'!$B$6:$B$405,E1097,'Istoric_Nativ'!$C$6:$C$405,F1097,'Istoric_Nativ'!$F$6:$F$405,G1097,'Istoric_Nativ'!$D$6:$D$405,"&lt;"&amp;J1097,'Istoric_Nativ'!$P$6:$P$405,1),COUNTIFS('Istoric_Nativ'!$B$6:$B$405,E1097,'Istoric_Nativ'!$C$6:$C$405,F1097,'Istoric_Nativ'!$E$6:$E$405,G1097,'Istoric_Nativ'!$D$6:$D$405,"&lt;"&amp;J1097,'Istoric_Nativ'!$P$6:$P$405,1)+COUNTIFS('Istoric_Nativ'!$B$6:$B$405,E1097,'Istoric_Nativ'!$C$6:$C$405,F1097,'Istoric_Nativ'!$F$6:$F$405,G1097,'Istoric_Nativ'!$D$6:$D$405,"&lt;"&amp;J1097,'Istoric_Nativ'!$P$6:$P$405,1))))</x:f>
        <x:v>0</x:v>
      </x:c>
      <x:c r="L1097" s="17" t="n">
        <x:f>IF(AND(B1097&lt;&gt;"",I1097="RECENT",K1097&gt;0),LARGE(_xlfn._xlws.FILTER('Istoric_Nativ'!$D$6:$D$405,('Istoric_Nativ'!$B$6:$B$405=E1097)*('Istoric_Nativ'!$C$6:$C$405=F1097)*('Istoric_Nativ'!$P$6:$P$405=1)*('Istoric_Nativ'!$D$6:$D$405&lt;J1097)*((('Istoric_Nativ'!$E$6:$E$405=G1097)+('Istoric_Nativ'!$F$6:$F$405=G1097))&gt;0)),MIN('Config_v6'!$B$54,K1097)),0)</x:f>
        <x:v>0</x:v>
      </x:c>
      <x:c r="M1097" s="2" t="n">
        <x:f>IF(OR(B1097="",F1097=""),0,IF(H1097="HOME",COUNTIFS('Istoric_Nativ'!$B$6:$B$405,E1097,'Istoric_Nativ'!$C$6:$C$405,F1097,'Istoric_Nativ'!$E$6:$E$405,G1097,'Istoric_Nativ'!$D$6:$D$405,"&lt;"&amp;J1097,'Istoric_Nativ'!$P$6:$P$405,1,'Istoric_Nativ'!$D$6:$D$405,"&gt;="&amp;L1097),IF(H1097="AWAY",COUNTIFS('Istoric_Nativ'!$B$6:$B$405,E1097,'Istoric_Nativ'!$C$6:$C$405,F1097,'Istoric_Nativ'!$F$6:$F$405,G1097,'Istoric_Nativ'!$D$6:$D$405,"&lt;"&amp;J1097,'Istoric_Nativ'!$P$6:$P$405,1,'Istoric_Nativ'!$D$6:$D$405,"&gt;="&amp;L1097),COUNTIFS('Istoric_Nativ'!$B$6:$B$405,E1097,'Istoric_Nativ'!$C$6:$C$405,F1097,'Istoric_Nativ'!$E$6:$E$405,G1097,'Istoric_Nativ'!$D$6:$D$405,"&lt;"&amp;J1097,'Istoric_Nativ'!$P$6:$P$405,1,'Istoric_Nativ'!$D$6:$D$405,"&gt;="&amp;L1097)+COUNTIFS('Istoric_Nativ'!$B$6:$B$405,E1097,'Istoric_Nativ'!$C$6:$C$405,F1097,'Istoric_Nativ'!$F$6:$F$405,G1097,'Istoric_Nativ'!$D$6:$D$405,"&lt;"&amp;J1097,'Istoric_Nativ'!$P$6:$P$405,1,'Istoric_Nativ'!$D$6:$D$405,"&gt;="&amp;L1097))))</x:f>
        <x:v>0</x:v>
      </x:c>
      <x:c r="N1097" s="11" t="str">
        <x:f>IF(M1097=0,"",IF(H1097="HOME",SUMIFS('Istoric_Nativ'!$G$6:$G$405,'Istoric_Nativ'!$B$6:$B$405,E1097,'Istoric_Nativ'!$C$6:$C$405,F1097,'Istoric_Nativ'!$E$6:$E$405,G1097,'Istoric_Nativ'!$D$6:$D$405,"&lt;"&amp;J1097,'Istoric_Nativ'!$P$6:$P$405,1,'Istoric_Nativ'!$D$6:$D$405,"&gt;="&amp;L1097),IF(H1097="AWAY",SUMIFS('Istoric_Nativ'!$H$6:$H$405,'Istoric_Nativ'!$B$6:$B$405,E1097,'Istoric_Nativ'!$C$6:$C$405,F1097,'Istoric_Nativ'!$F$6:$F$405,G1097,'Istoric_Nativ'!$D$6:$D$405,"&lt;"&amp;J1097,'Istoric_Nativ'!$P$6:$P$405,1,'Istoric_Nativ'!$D$6:$D$405,"&gt;="&amp;L1097),SUMIFS('Istoric_Nativ'!$G$6:$G$405,'Istoric_Nativ'!$B$6:$B$405,E1097,'Istoric_Nativ'!$C$6:$C$405,F1097,'Istoric_Nativ'!$E$6:$E$405,G1097,'Istoric_Nativ'!$D$6:$D$405,"&lt;"&amp;J1097,'Istoric_Nativ'!$P$6:$P$405,1,'Istoric_Nativ'!$D$6:$D$405,"&gt;="&amp;L1097)+SUMIFS('Istoric_Nativ'!$H$6:$H$405,'Istoric_Nativ'!$B$6:$B$405,E1097,'Istoric_Nativ'!$C$6:$C$405,F1097,'Istoric_Nativ'!$F$6:$F$405,G1097,'Istoric_Nativ'!$D$6:$D$405,"&lt;"&amp;J1097,'Istoric_Nativ'!$P$6:$P$405,1,'Istoric_Nativ'!$D$6:$D$405,"&gt;="&amp;L1097)))/M1097)</x:f>
      </x:c>
      <x:c r="O1097" s="11" t="str">
        <x:f>IF(M1097=0,"",IF(H1097="HOME",SUMIFS('Istoric_Nativ'!$H$6:$H$405,'Istoric_Nativ'!$B$6:$B$405,E1097,'Istoric_Nativ'!$C$6:$C$405,F1097,'Istoric_Nativ'!$E$6:$E$405,G1097,'Istoric_Nativ'!$D$6:$D$405,"&lt;"&amp;J1097,'Istoric_Nativ'!$P$6:$P$405,1,'Istoric_Nativ'!$D$6:$D$405,"&gt;="&amp;L1097),IF(H1097="AWAY",SUMIFS('Istoric_Nativ'!$G$6:$G$405,'Istoric_Nativ'!$B$6:$B$405,E1097,'Istoric_Nativ'!$C$6:$C$405,F1097,'Istoric_Nativ'!$F$6:$F$405,G1097,'Istoric_Nativ'!$D$6:$D$405,"&lt;"&amp;J1097,'Istoric_Nativ'!$P$6:$P$405,1,'Istoric_Nativ'!$D$6:$D$405,"&gt;="&amp;L1097),SUMIFS('Istoric_Nativ'!$H$6:$H$405,'Istoric_Nativ'!$B$6:$B$405,E1097,'Istoric_Nativ'!$C$6:$C$405,F1097,'Istoric_Nativ'!$E$6:$E$405,G1097,'Istoric_Nativ'!$D$6:$D$405,"&lt;"&amp;J1097,'Istoric_Nativ'!$P$6:$P$405,1,'Istoric_Nativ'!$D$6:$D$405,"&gt;="&amp;L1097)+SUMIFS('Istoric_Nativ'!$G$6:$G$405,'Istoric_Nativ'!$B$6:$B$405,E1097,'Istoric_Nativ'!$C$6:$C$405,F1097,'Istoric_Nativ'!$F$6:$F$405,G1097,'Istoric_Nativ'!$D$6:$D$405,"&lt;"&amp;J1097,'Istoric_Nativ'!$P$6:$P$405,1,'Istoric_Nativ'!$D$6:$D$405,"&gt;="&amp;L1097)))/M1097)</x:f>
      </x:c>
      <x:c r="P1097" s="2" t="n">
        <x:f>'Config_v6'!$B$9</x:f>
        <x:v>3</x:v>
      </x:c>
      <x:c r="Q1097" s="2" t="n">
        <x:f>IF(OR(B1097="",F1097=""),0,IFERROR(MATCH(E1097&amp;"|"&amp;F1097,SourceTable[Source_Key],0),0))</x:f>
        <x:v>0</x:v>
      </x:c>
      <x:c r="R1097" s="2" t="str">
        <x:f>IF(B1097="","",IF(F1097="","UNUSED",IF(Q1097=0,"NOT CHECKED",IF(COUNTIF(SourceTable[Source_Key],E1097&amp;"|"&amp;F1097)&lt;&gt;1,"SOURCE CONFLICT",IF(NOT(OR(INDEX(SourceTable[Status],MAX(1,Q1097))="IMPORTED",INDEX(SourceTable[Status],MAX(1,Q1097))="PARTIAL",INDEX(SourceTable[Status],MAX(1,Q1097))="SOURCE CONFLICT")),"ACCESS BLOCKED",IF(OR(INDEX(SourceTable[Coverage],Q1097)&lt;&gt;"FULL SEASON EXPORT",INDEX(SourceTable[URL],Q1097)="",INDEX(SourceTable[SHA256],Q1097)=""),"EVIDENCE INCOMPLETE",IF(AND('Input_Meci'!H96="LIVE",INDEX(SourceTable[Retrieved_UTC],Q1097)&gt;'Input_Meci'!G96),"POST CUTOFF","CLOSED")))))))</x:f>
      </x:c>
      <x:c r="S1097" s="2" t="n">
        <x:f>IF(OR(B1097="",F1097=""),0,COUNTIFS('Istoric_Nativ'!$B$6:$B$405,E1097,'Istoric_Nativ'!$C$6:$C$405,F1097,'Istoric_Nativ'!$E$6:$E$405,G1097,'Istoric_Nativ'!$D$6:$D$405,"&lt;"&amp;J1097,'Istoric_Nativ'!$O$6:$O$405,"INVALID")+COUNTIFS('Istoric_Nativ'!$B$6:$B$405,E1097,'Istoric_Nativ'!$C$6:$C$405,F1097,'Istoric_Nativ'!$E$6:$E$405,G1097,'Istoric_Nativ'!$O$6:$O$405,"INVALID",'Istoric_Nativ'!$D$6:$D$405,"*")+COUNTIFS('Istoric_Nativ'!$B$6:$B$405,E1097,'Istoric_Nativ'!$C$6:$C$405,F1097,'Istoric_Nativ'!$E$6:$E$405,G1097,'Istoric_Nativ'!$D$6:$D$405,"&lt;"&amp;J1097,'Istoric_Nativ'!$O$6:$O$405,"SOURCE CONFLICT")+COUNTIFS('Istoric_Nativ'!$B$6:$B$405,E1097,'Istoric_Nativ'!$C$6:$C$405,F1097,'Istoric_Nativ'!$F$6:$F$405,G1097,'Istoric_Nativ'!$D$6:$D$405,"&lt;"&amp;J1097,'Istoric_Nativ'!$O$6:$O$405,"INVALID")+COUNTIFS('Istoric_Nativ'!$B$6:$B$405,E1097,'Istoric_Nativ'!$C$6:$C$405,F1097,'Istoric_Nativ'!$F$6:$F$405,G1097,'Istoric_Nativ'!$O$6:$O$405,"INVALID",'Istoric_Nativ'!$D$6:$D$405,"*")+COUNTIFS('Istoric_Nativ'!$B$6:$B$405,E1097,'Istoric_Nativ'!$C$6:$C$405,F1097,'Istoric_Nativ'!$F$6:$F$405,G1097,'Istoric_Nativ'!$D$6:$D$405,"&lt;"&amp;J1097,'Istoric_Nativ'!$O$6:$O$405,"SOURCE CONFLICT"))</x:f>
        <x:v>0</x:v>
      </x:c>
      <x:c r="T1097" s="2" t="str">
        <x:f>IF(B1097="","",IF(R1097&lt;&gt;"CLOSED",R1097,IF(S1097&gt;0,"NATIVE INPUT ISSUE",IF(M1097=0,"NO HISTORY",IF(M1097&lt;P1097,"SMALL SAMPLE","DERIVED")))))</x:f>
      </x:c>
      <x:c r="U1097" s="2" t="str">
        <x:f>IF(B1097="","","NativeTable; "&amp;E1097&amp;"; "&amp;F1097&amp;"; "&amp;G1097&amp;"; "&amp;H1097&amp;"; before "&amp;TEXT(J1097,"yyyy-mm-dd")&amp;IF(I1097="RECENT","; from "&amp;TEXT(L1097,"yyyy-mm-dd"),""))</x:f>
      </x:c>
    </x:row>
    <x:row r="1098" ht="21" customHeight="1">
      <x:c r="A1098" s="2" t="n">
        <x:v>92</x:v>
      </x:c>
      <x:c r="B1098" s="2" t="str">
        <x:f>IF('Input_Meci'!A97="","",'Input_Meci'!A97)</x:f>
      </x:c>
      <x:c r="C1098" s="2" t="str">
        <x:v>H</x:v>
      </x:c>
      <x:c r="D1098" s="2" t="str">
        <x:v>CURRENT</x:v>
      </x:c>
      <x:c r="E1098" s="2" t="str">
        <x:f>IF(B1098="","",'Input_Meci'!B97)</x:f>
      </x:c>
      <x:c r="F1098" s="2" t="str">
        <x:f>IF(B1098="","",IF('Input_Meci'!C97="","",'Input_Meci'!C97))</x:f>
      </x:c>
      <x:c r="G1098" s="2" t="str">
        <x:f>IF(B1098="","",'Input_Meci'!D97)</x:f>
      </x:c>
      <x:c r="H1098" s="2" t="str">
        <x:v>ANY</x:v>
      </x:c>
      <x:c r="I1098" s="2" t="str">
        <x:v>SEASON</x:v>
      </x:c>
      <x:c r="J1098" s="9" t="n">
        <x:f>IF(AND(B1098&lt;&gt;"",ISNUMBER('Input_Meci'!G97)),INT('Input_Meci'!G97),0)</x:f>
        <x:v>0</x:v>
      </x:c>
      <x:c r="K1098" s="2" t="n">
        <x:f>IF(OR(B1098="",F1098=""),0,IF(H1098="HOME",COUNTIFS('Istoric_Nativ'!$B$6:$B$405,E1098,'Istoric_Nativ'!$C$6:$C$405,F1098,'Istoric_Nativ'!$E$6:$E$405,G1098,'Istoric_Nativ'!$D$6:$D$405,"&lt;"&amp;J1098,'Istoric_Nativ'!$P$6:$P$405,1),IF(H1098="AWAY",COUNTIFS('Istoric_Nativ'!$B$6:$B$405,E1098,'Istoric_Nativ'!$C$6:$C$405,F1098,'Istoric_Nativ'!$F$6:$F$405,G1098,'Istoric_Nativ'!$D$6:$D$405,"&lt;"&amp;J1098,'Istoric_Nativ'!$P$6:$P$405,1),COUNTIFS('Istoric_Nativ'!$B$6:$B$405,E1098,'Istoric_Nativ'!$C$6:$C$405,F1098,'Istoric_Nativ'!$E$6:$E$405,G1098,'Istoric_Nativ'!$D$6:$D$405,"&lt;"&amp;J1098,'Istoric_Nativ'!$P$6:$P$405,1)+COUNTIFS('Istoric_Nativ'!$B$6:$B$405,E1098,'Istoric_Nativ'!$C$6:$C$405,F1098,'Istoric_Nativ'!$F$6:$F$405,G1098,'Istoric_Nativ'!$D$6:$D$405,"&lt;"&amp;J1098,'Istoric_Nativ'!$P$6:$P$405,1))))</x:f>
        <x:v>0</x:v>
      </x:c>
      <x:c r="L1098" s="17" t="n">
        <x:f>IF(AND(B1098&lt;&gt;"",I1098="RECENT",K1098&gt;0),LARGE(_xlfn._xlws.FILTER('Istoric_Nativ'!$D$6:$D$405,('Istoric_Nativ'!$B$6:$B$405=E1098)*('Istoric_Nativ'!$C$6:$C$405=F1098)*('Istoric_Nativ'!$P$6:$P$405=1)*('Istoric_Nativ'!$D$6:$D$405&lt;J1098)*((('Istoric_Nativ'!$E$6:$E$405=G1098)+('Istoric_Nativ'!$F$6:$F$405=G1098))&gt;0)),MIN('Config_v6'!$B$54,K1098)),0)</x:f>
        <x:v>0</x:v>
      </x:c>
      <x:c r="M1098" s="2" t="n">
        <x:f>IF(OR(B1098="",F1098=""),0,IF(H1098="HOME",COUNTIFS('Istoric_Nativ'!$B$6:$B$405,E1098,'Istoric_Nativ'!$C$6:$C$405,F1098,'Istoric_Nativ'!$E$6:$E$405,G1098,'Istoric_Nativ'!$D$6:$D$405,"&lt;"&amp;J1098,'Istoric_Nativ'!$P$6:$P$405,1,'Istoric_Nativ'!$D$6:$D$405,"&gt;="&amp;L1098),IF(H1098="AWAY",COUNTIFS('Istoric_Nativ'!$B$6:$B$405,E1098,'Istoric_Nativ'!$C$6:$C$405,F1098,'Istoric_Nativ'!$F$6:$F$405,G1098,'Istoric_Nativ'!$D$6:$D$405,"&lt;"&amp;J1098,'Istoric_Nativ'!$P$6:$P$405,1,'Istoric_Nativ'!$D$6:$D$405,"&gt;="&amp;L1098),COUNTIFS('Istoric_Nativ'!$B$6:$B$405,E1098,'Istoric_Nativ'!$C$6:$C$405,F1098,'Istoric_Nativ'!$E$6:$E$405,G1098,'Istoric_Nativ'!$D$6:$D$405,"&lt;"&amp;J1098,'Istoric_Nativ'!$P$6:$P$405,1,'Istoric_Nativ'!$D$6:$D$405,"&gt;="&amp;L1098)+COUNTIFS('Istoric_Nativ'!$B$6:$B$405,E1098,'Istoric_Nativ'!$C$6:$C$405,F1098,'Istoric_Nativ'!$F$6:$F$405,G1098,'Istoric_Nativ'!$D$6:$D$405,"&lt;"&amp;J1098,'Istoric_Nativ'!$P$6:$P$405,1,'Istoric_Nativ'!$D$6:$D$405,"&gt;="&amp;L1098))))</x:f>
        <x:v>0</x:v>
      </x:c>
      <x:c r="N1098" s="11" t="str">
        <x:f>IF(M1098=0,"",IF(H1098="HOME",SUMIFS('Istoric_Nativ'!$G$6:$G$405,'Istoric_Nativ'!$B$6:$B$405,E1098,'Istoric_Nativ'!$C$6:$C$405,F1098,'Istoric_Nativ'!$E$6:$E$405,G1098,'Istoric_Nativ'!$D$6:$D$405,"&lt;"&amp;J1098,'Istoric_Nativ'!$P$6:$P$405,1,'Istoric_Nativ'!$D$6:$D$405,"&gt;="&amp;L1098),IF(H1098="AWAY",SUMIFS('Istoric_Nativ'!$H$6:$H$405,'Istoric_Nativ'!$B$6:$B$405,E1098,'Istoric_Nativ'!$C$6:$C$405,F1098,'Istoric_Nativ'!$F$6:$F$405,G1098,'Istoric_Nativ'!$D$6:$D$405,"&lt;"&amp;J1098,'Istoric_Nativ'!$P$6:$P$405,1,'Istoric_Nativ'!$D$6:$D$405,"&gt;="&amp;L1098),SUMIFS('Istoric_Nativ'!$G$6:$G$405,'Istoric_Nativ'!$B$6:$B$405,E1098,'Istoric_Nativ'!$C$6:$C$405,F1098,'Istoric_Nativ'!$E$6:$E$405,G1098,'Istoric_Nativ'!$D$6:$D$405,"&lt;"&amp;J1098,'Istoric_Nativ'!$P$6:$P$405,1,'Istoric_Nativ'!$D$6:$D$405,"&gt;="&amp;L1098)+SUMIFS('Istoric_Nativ'!$H$6:$H$405,'Istoric_Nativ'!$B$6:$B$405,E1098,'Istoric_Nativ'!$C$6:$C$405,F1098,'Istoric_Nativ'!$F$6:$F$405,G1098,'Istoric_Nativ'!$D$6:$D$405,"&lt;"&amp;J1098,'Istoric_Nativ'!$P$6:$P$405,1,'Istoric_Nativ'!$D$6:$D$405,"&gt;="&amp;L1098)))/M1098)</x:f>
      </x:c>
      <x:c r="O1098" s="11" t="str">
        <x:f>IF(M1098=0,"",IF(H1098="HOME",SUMIFS('Istoric_Nativ'!$H$6:$H$405,'Istoric_Nativ'!$B$6:$B$405,E1098,'Istoric_Nativ'!$C$6:$C$405,F1098,'Istoric_Nativ'!$E$6:$E$405,G1098,'Istoric_Nativ'!$D$6:$D$405,"&lt;"&amp;J1098,'Istoric_Nativ'!$P$6:$P$405,1,'Istoric_Nativ'!$D$6:$D$405,"&gt;="&amp;L1098),IF(H1098="AWAY",SUMIFS('Istoric_Nativ'!$G$6:$G$405,'Istoric_Nativ'!$B$6:$B$405,E1098,'Istoric_Nativ'!$C$6:$C$405,F1098,'Istoric_Nativ'!$F$6:$F$405,G1098,'Istoric_Nativ'!$D$6:$D$405,"&lt;"&amp;J1098,'Istoric_Nativ'!$P$6:$P$405,1,'Istoric_Nativ'!$D$6:$D$405,"&gt;="&amp;L1098),SUMIFS('Istoric_Nativ'!$H$6:$H$405,'Istoric_Nativ'!$B$6:$B$405,E1098,'Istoric_Nativ'!$C$6:$C$405,F1098,'Istoric_Nativ'!$E$6:$E$405,G1098,'Istoric_Nativ'!$D$6:$D$405,"&lt;"&amp;J1098,'Istoric_Nativ'!$P$6:$P$405,1,'Istoric_Nativ'!$D$6:$D$405,"&gt;="&amp;L1098)+SUMIFS('Istoric_Nativ'!$G$6:$G$405,'Istoric_Nativ'!$B$6:$B$405,E1098,'Istoric_Nativ'!$C$6:$C$405,F1098,'Istoric_Nativ'!$F$6:$F$405,G1098,'Istoric_Nativ'!$D$6:$D$405,"&lt;"&amp;J1098,'Istoric_Nativ'!$P$6:$P$405,1,'Istoric_Nativ'!$D$6:$D$405,"&gt;="&amp;L1098)))/M1098)</x:f>
      </x:c>
      <x:c r="P1098" s="2" t="n">
        <x:f>'Config_v6'!$B$7</x:f>
        <x:v>10</x:v>
      </x:c>
      <x:c r="Q1098" s="2" t="n">
        <x:f>IF(OR(B1098="",F1098=""),0,IFERROR(MATCH(E1098&amp;"|"&amp;F1098,SourceTable[Source_Key],0),0))</x:f>
        <x:v>0</x:v>
      </x:c>
      <x:c r="R1098" s="2" t="str">
        <x:f>IF(B1098="","",IF(F1098="","UNUSED",IF(Q1098=0,"NOT CHECKED",IF(COUNTIF(SourceTable[Source_Key],E1098&amp;"|"&amp;F1098)&lt;&gt;1,"SOURCE CONFLICT",IF(NOT(OR(INDEX(SourceTable[Status],MAX(1,Q1098))="IMPORTED",INDEX(SourceTable[Status],MAX(1,Q1098))="PARTIAL",INDEX(SourceTable[Status],MAX(1,Q1098))="SOURCE CONFLICT")),"ACCESS BLOCKED",IF(OR(INDEX(SourceTable[Coverage],Q1098)&lt;&gt;"FULL SEASON EXPORT",INDEX(SourceTable[URL],Q1098)="",INDEX(SourceTable[SHA256],Q1098)=""),"EVIDENCE INCOMPLETE",IF(AND('Input_Meci'!H97="LIVE",INDEX(SourceTable[Retrieved_UTC],Q1098)&gt;'Input_Meci'!G97),"POST CUTOFF","CLOSED")))))))</x:f>
      </x:c>
      <x:c r="S1098" s="2" t="n">
        <x:f>IF(OR(B1098="",F1098=""),0,COUNTIFS('Istoric_Nativ'!$B$6:$B$405,E1098,'Istoric_Nativ'!$C$6:$C$405,F1098,'Istoric_Nativ'!$E$6:$E$405,G1098,'Istoric_Nativ'!$D$6:$D$405,"&lt;"&amp;J1098,'Istoric_Nativ'!$O$6:$O$405,"INVALID")+COUNTIFS('Istoric_Nativ'!$B$6:$B$405,E1098,'Istoric_Nativ'!$C$6:$C$405,F1098,'Istoric_Nativ'!$E$6:$E$405,G1098,'Istoric_Nativ'!$O$6:$O$405,"INVALID",'Istoric_Nativ'!$D$6:$D$405,"*")+COUNTIFS('Istoric_Nativ'!$B$6:$B$405,E1098,'Istoric_Nativ'!$C$6:$C$405,F1098,'Istoric_Nativ'!$E$6:$E$405,G1098,'Istoric_Nativ'!$D$6:$D$405,"&lt;"&amp;J1098,'Istoric_Nativ'!$O$6:$O$405,"SOURCE CONFLICT")+COUNTIFS('Istoric_Nativ'!$B$6:$B$405,E1098,'Istoric_Nativ'!$C$6:$C$405,F1098,'Istoric_Nativ'!$F$6:$F$405,G1098,'Istoric_Nativ'!$D$6:$D$405,"&lt;"&amp;J1098,'Istoric_Nativ'!$O$6:$O$405,"INVALID")+COUNTIFS('Istoric_Nativ'!$B$6:$B$405,E1098,'Istoric_Nativ'!$C$6:$C$405,F1098,'Istoric_Nativ'!$F$6:$F$405,G1098,'Istoric_Nativ'!$O$6:$O$405,"INVALID",'Istoric_Nativ'!$D$6:$D$405,"*")+COUNTIFS('Istoric_Nativ'!$B$6:$B$405,E1098,'Istoric_Nativ'!$C$6:$C$405,F1098,'Istoric_Nativ'!$F$6:$F$405,G1098,'Istoric_Nativ'!$D$6:$D$405,"&lt;"&amp;J1098,'Istoric_Nativ'!$O$6:$O$405,"SOURCE CONFLICT"))</x:f>
        <x:v>0</x:v>
      </x:c>
      <x:c r="T1098" s="2" t="str">
        <x:f>IF(B1098="","",IF(R1098&lt;&gt;"CLOSED",R1098,IF(S1098&gt;0,"NATIVE INPUT ISSUE",IF(M1098=0,"NO HISTORY",IF(M1098&lt;P1098,"SMALL SAMPLE","DERIVED")))))</x:f>
      </x:c>
      <x:c r="U1098" s="2" t="str">
        <x:f>IF(B1098="","","NativeTable; "&amp;E1098&amp;"; "&amp;F1098&amp;"; "&amp;G1098&amp;"; "&amp;H1098&amp;"; before "&amp;TEXT(J1098,"yyyy-mm-dd")&amp;IF(I1098="RECENT","; from "&amp;TEXT(L1098,"yyyy-mm-dd"),""))</x:f>
      </x:c>
    </x:row>
    <x:row r="1099" ht="21" customHeight="1">
      <x:c r="A1099" s="2" t="n">
        <x:v>92</x:v>
      </x:c>
      <x:c r="B1099" s="2" t="str">
        <x:f>IF('Input_Meci'!A97="","",'Input_Meci'!A97)</x:f>
      </x:c>
      <x:c r="C1099" s="2" t="str">
        <x:v>H</x:v>
      </x:c>
      <x:c r="D1099" s="2" t="str">
        <x:v>CURRENT</x:v>
      </x:c>
      <x:c r="E1099" s="2" t="str">
        <x:f>IF(B1099="","",'Input_Meci'!B97)</x:f>
      </x:c>
      <x:c r="F1099" s="2" t="str">
        <x:f>IF(B1099="","",IF('Input_Meci'!C97="","",'Input_Meci'!C97))</x:f>
      </x:c>
      <x:c r="G1099" s="2" t="str">
        <x:f>IF(B1099="","",'Input_Meci'!D97)</x:f>
      </x:c>
      <x:c r="H1099" s="2" t="str">
        <x:v>HOME</x:v>
      </x:c>
      <x:c r="I1099" s="2" t="str">
        <x:v>HA</x:v>
      </x:c>
      <x:c r="J1099" s="9" t="n">
        <x:f>IF(AND(B1099&lt;&gt;"",ISNUMBER('Input_Meci'!G97)),INT('Input_Meci'!G97),0)</x:f>
        <x:v>0</x:v>
      </x:c>
      <x:c r="K1099" s="2" t="n">
        <x:f>IF(OR(B1099="",F1099=""),0,IF(H1099="HOME",COUNTIFS('Istoric_Nativ'!$B$6:$B$405,E1099,'Istoric_Nativ'!$C$6:$C$405,F1099,'Istoric_Nativ'!$E$6:$E$405,G1099,'Istoric_Nativ'!$D$6:$D$405,"&lt;"&amp;J1099,'Istoric_Nativ'!$P$6:$P$405,1),IF(H1099="AWAY",COUNTIFS('Istoric_Nativ'!$B$6:$B$405,E1099,'Istoric_Nativ'!$C$6:$C$405,F1099,'Istoric_Nativ'!$F$6:$F$405,G1099,'Istoric_Nativ'!$D$6:$D$405,"&lt;"&amp;J1099,'Istoric_Nativ'!$P$6:$P$405,1),COUNTIFS('Istoric_Nativ'!$B$6:$B$405,E1099,'Istoric_Nativ'!$C$6:$C$405,F1099,'Istoric_Nativ'!$E$6:$E$405,G1099,'Istoric_Nativ'!$D$6:$D$405,"&lt;"&amp;J1099,'Istoric_Nativ'!$P$6:$P$405,1)+COUNTIFS('Istoric_Nativ'!$B$6:$B$405,E1099,'Istoric_Nativ'!$C$6:$C$405,F1099,'Istoric_Nativ'!$F$6:$F$405,G1099,'Istoric_Nativ'!$D$6:$D$405,"&lt;"&amp;J1099,'Istoric_Nativ'!$P$6:$P$405,1))))</x:f>
        <x:v>0</x:v>
      </x:c>
      <x:c r="L1099" s="17" t="n">
        <x:f>IF(AND(B1099&lt;&gt;"",I1099="RECENT",K1099&gt;0),LARGE(_xlfn._xlws.FILTER('Istoric_Nativ'!$D$6:$D$405,('Istoric_Nativ'!$B$6:$B$405=E1099)*('Istoric_Nativ'!$C$6:$C$405=F1099)*('Istoric_Nativ'!$P$6:$P$405=1)*('Istoric_Nativ'!$D$6:$D$405&lt;J1099)*((('Istoric_Nativ'!$E$6:$E$405=G1099)+('Istoric_Nativ'!$F$6:$F$405=G1099))&gt;0)),MIN('Config_v6'!$B$54,K1099)),0)</x:f>
        <x:v>0</x:v>
      </x:c>
      <x:c r="M1099" s="2" t="n">
        <x:f>IF(OR(B1099="",F1099=""),0,IF(H1099="HOME",COUNTIFS('Istoric_Nativ'!$B$6:$B$405,E1099,'Istoric_Nativ'!$C$6:$C$405,F1099,'Istoric_Nativ'!$E$6:$E$405,G1099,'Istoric_Nativ'!$D$6:$D$405,"&lt;"&amp;J1099,'Istoric_Nativ'!$P$6:$P$405,1,'Istoric_Nativ'!$D$6:$D$405,"&gt;="&amp;L1099),IF(H1099="AWAY",COUNTIFS('Istoric_Nativ'!$B$6:$B$405,E1099,'Istoric_Nativ'!$C$6:$C$405,F1099,'Istoric_Nativ'!$F$6:$F$405,G1099,'Istoric_Nativ'!$D$6:$D$405,"&lt;"&amp;J1099,'Istoric_Nativ'!$P$6:$P$405,1,'Istoric_Nativ'!$D$6:$D$405,"&gt;="&amp;L1099),COUNTIFS('Istoric_Nativ'!$B$6:$B$405,E1099,'Istoric_Nativ'!$C$6:$C$405,F1099,'Istoric_Nativ'!$E$6:$E$405,G1099,'Istoric_Nativ'!$D$6:$D$405,"&lt;"&amp;J1099,'Istoric_Nativ'!$P$6:$P$405,1,'Istoric_Nativ'!$D$6:$D$405,"&gt;="&amp;L1099)+COUNTIFS('Istoric_Nativ'!$B$6:$B$405,E1099,'Istoric_Nativ'!$C$6:$C$405,F1099,'Istoric_Nativ'!$F$6:$F$405,G1099,'Istoric_Nativ'!$D$6:$D$405,"&lt;"&amp;J1099,'Istoric_Nativ'!$P$6:$P$405,1,'Istoric_Nativ'!$D$6:$D$405,"&gt;="&amp;L1099))))</x:f>
        <x:v>0</x:v>
      </x:c>
      <x:c r="N1099" s="11" t="str">
        <x:f>IF(M1099=0,"",IF(H1099="HOME",SUMIFS('Istoric_Nativ'!$G$6:$G$405,'Istoric_Nativ'!$B$6:$B$405,E1099,'Istoric_Nativ'!$C$6:$C$405,F1099,'Istoric_Nativ'!$E$6:$E$405,G1099,'Istoric_Nativ'!$D$6:$D$405,"&lt;"&amp;J1099,'Istoric_Nativ'!$P$6:$P$405,1,'Istoric_Nativ'!$D$6:$D$405,"&gt;="&amp;L1099),IF(H1099="AWAY",SUMIFS('Istoric_Nativ'!$H$6:$H$405,'Istoric_Nativ'!$B$6:$B$405,E1099,'Istoric_Nativ'!$C$6:$C$405,F1099,'Istoric_Nativ'!$F$6:$F$405,G1099,'Istoric_Nativ'!$D$6:$D$405,"&lt;"&amp;J1099,'Istoric_Nativ'!$P$6:$P$405,1,'Istoric_Nativ'!$D$6:$D$405,"&gt;="&amp;L1099),SUMIFS('Istoric_Nativ'!$G$6:$G$405,'Istoric_Nativ'!$B$6:$B$405,E1099,'Istoric_Nativ'!$C$6:$C$405,F1099,'Istoric_Nativ'!$E$6:$E$405,G1099,'Istoric_Nativ'!$D$6:$D$405,"&lt;"&amp;J1099,'Istoric_Nativ'!$P$6:$P$405,1,'Istoric_Nativ'!$D$6:$D$405,"&gt;="&amp;L1099)+SUMIFS('Istoric_Nativ'!$H$6:$H$405,'Istoric_Nativ'!$B$6:$B$405,E1099,'Istoric_Nativ'!$C$6:$C$405,F1099,'Istoric_Nativ'!$F$6:$F$405,G1099,'Istoric_Nativ'!$D$6:$D$405,"&lt;"&amp;J1099,'Istoric_Nativ'!$P$6:$P$405,1,'Istoric_Nativ'!$D$6:$D$405,"&gt;="&amp;L1099)))/M1099)</x:f>
      </x:c>
      <x:c r="O1099" s="11" t="str">
        <x:f>IF(M1099=0,"",IF(H1099="HOME",SUMIFS('Istoric_Nativ'!$H$6:$H$405,'Istoric_Nativ'!$B$6:$B$405,E1099,'Istoric_Nativ'!$C$6:$C$405,F1099,'Istoric_Nativ'!$E$6:$E$405,G1099,'Istoric_Nativ'!$D$6:$D$405,"&lt;"&amp;J1099,'Istoric_Nativ'!$P$6:$P$405,1,'Istoric_Nativ'!$D$6:$D$405,"&gt;="&amp;L1099),IF(H1099="AWAY",SUMIFS('Istoric_Nativ'!$G$6:$G$405,'Istoric_Nativ'!$B$6:$B$405,E1099,'Istoric_Nativ'!$C$6:$C$405,F1099,'Istoric_Nativ'!$F$6:$F$405,G1099,'Istoric_Nativ'!$D$6:$D$405,"&lt;"&amp;J1099,'Istoric_Nativ'!$P$6:$P$405,1,'Istoric_Nativ'!$D$6:$D$405,"&gt;="&amp;L1099),SUMIFS('Istoric_Nativ'!$H$6:$H$405,'Istoric_Nativ'!$B$6:$B$405,E1099,'Istoric_Nativ'!$C$6:$C$405,F1099,'Istoric_Nativ'!$E$6:$E$405,G1099,'Istoric_Nativ'!$D$6:$D$405,"&lt;"&amp;J1099,'Istoric_Nativ'!$P$6:$P$405,1,'Istoric_Nativ'!$D$6:$D$405,"&gt;="&amp;L1099)+SUMIFS('Istoric_Nativ'!$G$6:$G$405,'Istoric_Nativ'!$B$6:$B$405,E1099,'Istoric_Nativ'!$C$6:$C$405,F1099,'Istoric_Nativ'!$F$6:$F$405,G1099,'Istoric_Nativ'!$D$6:$D$405,"&lt;"&amp;J1099,'Istoric_Nativ'!$P$6:$P$405,1,'Istoric_Nativ'!$D$6:$D$405,"&gt;="&amp;L1099)))/M1099)</x:f>
      </x:c>
      <x:c r="P1099" s="2" t="n">
        <x:f>'Config_v6'!$B$8</x:f>
        <x:v>5</x:v>
      </x:c>
      <x:c r="Q1099" s="2" t="n">
        <x:f>IF(OR(B1099="",F1099=""),0,IFERROR(MATCH(E1099&amp;"|"&amp;F1099,SourceTable[Source_Key],0),0))</x:f>
        <x:v>0</x:v>
      </x:c>
      <x:c r="R1099" s="2" t="str">
        <x:f>IF(B1099="","",IF(F1099="","UNUSED",IF(Q1099=0,"NOT CHECKED",IF(COUNTIF(SourceTable[Source_Key],E1099&amp;"|"&amp;F1099)&lt;&gt;1,"SOURCE CONFLICT",IF(NOT(OR(INDEX(SourceTable[Status],MAX(1,Q1099))="IMPORTED",INDEX(SourceTable[Status],MAX(1,Q1099))="PARTIAL",INDEX(SourceTable[Status],MAX(1,Q1099))="SOURCE CONFLICT")),"ACCESS BLOCKED",IF(OR(INDEX(SourceTable[Coverage],Q1099)&lt;&gt;"FULL SEASON EXPORT",INDEX(SourceTable[URL],Q1099)="",INDEX(SourceTable[SHA256],Q1099)=""),"EVIDENCE INCOMPLETE",IF(AND('Input_Meci'!H97="LIVE",INDEX(SourceTable[Retrieved_UTC],Q1099)&gt;'Input_Meci'!G97),"POST CUTOFF","CLOSED")))))))</x:f>
      </x:c>
      <x:c r="S1099" s="2" t="n">
        <x:f>IF(OR(B1099="",F1099=""),0,COUNTIFS('Istoric_Nativ'!$B$6:$B$405,E1099,'Istoric_Nativ'!$C$6:$C$405,F1099,'Istoric_Nativ'!$E$6:$E$405,G1099,'Istoric_Nativ'!$D$6:$D$405,"&lt;"&amp;J1099,'Istoric_Nativ'!$O$6:$O$405,"INVALID")+COUNTIFS('Istoric_Nativ'!$B$6:$B$405,E1099,'Istoric_Nativ'!$C$6:$C$405,F1099,'Istoric_Nativ'!$E$6:$E$405,G1099,'Istoric_Nativ'!$O$6:$O$405,"INVALID",'Istoric_Nativ'!$D$6:$D$405,"*")+COUNTIFS('Istoric_Nativ'!$B$6:$B$405,E1099,'Istoric_Nativ'!$C$6:$C$405,F1099,'Istoric_Nativ'!$E$6:$E$405,G1099,'Istoric_Nativ'!$D$6:$D$405,"&lt;"&amp;J1099,'Istoric_Nativ'!$O$6:$O$405,"SOURCE CONFLICT")+COUNTIFS('Istoric_Nativ'!$B$6:$B$405,E1099,'Istoric_Nativ'!$C$6:$C$405,F1099,'Istoric_Nativ'!$F$6:$F$405,G1099,'Istoric_Nativ'!$D$6:$D$405,"&lt;"&amp;J1099,'Istoric_Nativ'!$O$6:$O$405,"INVALID")+COUNTIFS('Istoric_Nativ'!$B$6:$B$405,E1099,'Istoric_Nativ'!$C$6:$C$405,F1099,'Istoric_Nativ'!$F$6:$F$405,G1099,'Istoric_Nativ'!$O$6:$O$405,"INVALID",'Istoric_Nativ'!$D$6:$D$405,"*")+COUNTIFS('Istoric_Nativ'!$B$6:$B$405,E1099,'Istoric_Nativ'!$C$6:$C$405,F1099,'Istoric_Nativ'!$F$6:$F$405,G1099,'Istoric_Nativ'!$D$6:$D$405,"&lt;"&amp;J1099,'Istoric_Nativ'!$O$6:$O$405,"SOURCE CONFLICT"))</x:f>
        <x:v>0</x:v>
      </x:c>
      <x:c r="T1099" s="2" t="str">
        <x:f>IF(B1099="","",IF(R1099&lt;&gt;"CLOSED",R1099,IF(S1099&gt;0,"NATIVE INPUT ISSUE",IF(M1099=0,"NO HISTORY",IF(M1099&lt;P1099,"SMALL SAMPLE","DERIVED")))))</x:f>
      </x:c>
      <x:c r="U1099" s="2" t="str">
        <x:f>IF(B1099="","","NativeTable; "&amp;E1099&amp;"; "&amp;F1099&amp;"; "&amp;G1099&amp;"; "&amp;H1099&amp;"; before "&amp;TEXT(J1099,"yyyy-mm-dd")&amp;IF(I1099="RECENT","; from "&amp;TEXT(L1099,"yyyy-mm-dd"),""))</x:f>
      </x:c>
    </x:row>
    <x:row r="1100" ht="21" customHeight="1">
      <x:c r="A1100" s="2" t="n">
        <x:v>92</x:v>
      </x:c>
      <x:c r="B1100" s="2" t="str">
        <x:f>IF('Input_Meci'!A97="","",'Input_Meci'!A97)</x:f>
      </x:c>
      <x:c r="C1100" s="2" t="str">
        <x:v>H</x:v>
      </x:c>
      <x:c r="D1100" s="2" t="str">
        <x:v>CURRENT</x:v>
      </x:c>
      <x:c r="E1100" s="2" t="str">
        <x:f>IF(B1100="","",'Input_Meci'!B97)</x:f>
      </x:c>
      <x:c r="F1100" s="2" t="str">
        <x:f>IF(B1100="","",IF('Input_Meci'!C97="","",'Input_Meci'!C97))</x:f>
      </x:c>
      <x:c r="G1100" s="2" t="str">
        <x:f>IF(B1100="","",'Input_Meci'!D97)</x:f>
      </x:c>
      <x:c r="H1100" s="2" t="str">
        <x:v>ANY</x:v>
      </x:c>
      <x:c r="I1100" s="2" t="str">
        <x:v>RECENT</x:v>
      </x:c>
      <x:c r="J1100" s="9" t="n">
        <x:f>IF(AND(B1100&lt;&gt;"",ISNUMBER('Input_Meci'!G97)),INT('Input_Meci'!G97),0)</x:f>
        <x:v>0</x:v>
      </x:c>
      <x:c r="K1100" s="2" t="n">
        <x:f>IF(OR(B1100="",F1100=""),0,IF(H1100="HOME",COUNTIFS('Istoric_Nativ'!$B$6:$B$405,E1100,'Istoric_Nativ'!$C$6:$C$405,F1100,'Istoric_Nativ'!$E$6:$E$405,G1100,'Istoric_Nativ'!$D$6:$D$405,"&lt;"&amp;J1100,'Istoric_Nativ'!$P$6:$P$405,1),IF(H1100="AWAY",COUNTIFS('Istoric_Nativ'!$B$6:$B$405,E1100,'Istoric_Nativ'!$C$6:$C$405,F1100,'Istoric_Nativ'!$F$6:$F$405,G1100,'Istoric_Nativ'!$D$6:$D$405,"&lt;"&amp;J1100,'Istoric_Nativ'!$P$6:$P$405,1),COUNTIFS('Istoric_Nativ'!$B$6:$B$405,E1100,'Istoric_Nativ'!$C$6:$C$405,F1100,'Istoric_Nativ'!$E$6:$E$405,G1100,'Istoric_Nativ'!$D$6:$D$405,"&lt;"&amp;J1100,'Istoric_Nativ'!$P$6:$P$405,1)+COUNTIFS('Istoric_Nativ'!$B$6:$B$405,E1100,'Istoric_Nativ'!$C$6:$C$405,F1100,'Istoric_Nativ'!$F$6:$F$405,G1100,'Istoric_Nativ'!$D$6:$D$405,"&lt;"&amp;J1100,'Istoric_Nativ'!$P$6:$P$405,1))))</x:f>
        <x:v>0</x:v>
      </x:c>
      <x:c r="L1100" s="17" t="n">
        <x:f>IF(AND(B1100&lt;&gt;"",I1100="RECENT",K1100&gt;0),LARGE(_xlfn._xlws.FILTER('Istoric_Nativ'!$D$6:$D$405,('Istoric_Nativ'!$B$6:$B$405=E1100)*('Istoric_Nativ'!$C$6:$C$405=F1100)*('Istoric_Nativ'!$P$6:$P$405=1)*('Istoric_Nativ'!$D$6:$D$405&lt;J1100)*((('Istoric_Nativ'!$E$6:$E$405=G1100)+('Istoric_Nativ'!$F$6:$F$405=G1100))&gt;0)),MIN('Config_v6'!$B$54,K1100)),0)</x:f>
        <x:v>0</x:v>
      </x:c>
      <x:c r="M1100" s="2" t="n">
        <x:f>IF(OR(B1100="",F1100=""),0,IF(H1100="HOME",COUNTIFS('Istoric_Nativ'!$B$6:$B$405,E1100,'Istoric_Nativ'!$C$6:$C$405,F1100,'Istoric_Nativ'!$E$6:$E$405,G1100,'Istoric_Nativ'!$D$6:$D$405,"&lt;"&amp;J1100,'Istoric_Nativ'!$P$6:$P$405,1,'Istoric_Nativ'!$D$6:$D$405,"&gt;="&amp;L1100),IF(H1100="AWAY",COUNTIFS('Istoric_Nativ'!$B$6:$B$405,E1100,'Istoric_Nativ'!$C$6:$C$405,F1100,'Istoric_Nativ'!$F$6:$F$405,G1100,'Istoric_Nativ'!$D$6:$D$405,"&lt;"&amp;J1100,'Istoric_Nativ'!$P$6:$P$405,1,'Istoric_Nativ'!$D$6:$D$405,"&gt;="&amp;L1100),COUNTIFS('Istoric_Nativ'!$B$6:$B$405,E1100,'Istoric_Nativ'!$C$6:$C$405,F1100,'Istoric_Nativ'!$E$6:$E$405,G1100,'Istoric_Nativ'!$D$6:$D$405,"&lt;"&amp;J1100,'Istoric_Nativ'!$P$6:$P$405,1,'Istoric_Nativ'!$D$6:$D$405,"&gt;="&amp;L1100)+COUNTIFS('Istoric_Nativ'!$B$6:$B$405,E1100,'Istoric_Nativ'!$C$6:$C$405,F1100,'Istoric_Nativ'!$F$6:$F$405,G1100,'Istoric_Nativ'!$D$6:$D$405,"&lt;"&amp;J1100,'Istoric_Nativ'!$P$6:$P$405,1,'Istoric_Nativ'!$D$6:$D$405,"&gt;="&amp;L1100))))</x:f>
        <x:v>0</x:v>
      </x:c>
      <x:c r="N1100" s="11" t="str">
        <x:f>IF(M1100=0,"",IF(H1100="HOME",SUMIFS('Istoric_Nativ'!$G$6:$G$405,'Istoric_Nativ'!$B$6:$B$405,E1100,'Istoric_Nativ'!$C$6:$C$405,F1100,'Istoric_Nativ'!$E$6:$E$405,G1100,'Istoric_Nativ'!$D$6:$D$405,"&lt;"&amp;J1100,'Istoric_Nativ'!$P$6:$P$405,1,'Istoric_Nativ'!$D$6:$D$405,"&gt;="&amp;L1100),IF(H1100="AWAY",SUMIFS('Istoric_Nativ'!$H$6:$H$405,'Istoric_Nativ'!$B$6:$B$405,E1100,'Istoric_Nativ'!$C$6:$C$405,F1100,'Istoric_Nativ'!$F$6:$F$405,G1100,'Istoric_Nativ'!$D$6:$D$405,"&lt;"&amp;J1100,'Istoric_Nativ'!$P$6:$P$405,1,'Istoric_Nativ'!$D$6:$D$405,"&gt;="&amp;L1100),SUMIFS('Istoric_Nativ'!$G$6:$G$405,'Istoric_Nativ'!$B$6:$B$405,E1100,'Istoric_Nativ'!$C$6:$C$405,F1100,'Istoric_Nativ'!$E$6:$E$405,G1100,'Istoric_Nativ'!$D$6:$D$405,"&lt;"&amp;J1100,'Istoric_Nativ'!$P$6:$P$405,1,'Istoric_Nativ'!$D$6:$D$405,"&gt;="&amp;L1100)+SUMIFS('Istoric_Nativ'!$H$6:$H$405,'Istoric_Nativ'!$B$6:$B$405,E1100,'Istoric_Nativ'!$C$6:$C$405,F1100,'Istoric_Nativ'!$F$6:$F$405,G1100,'Istoric_Nativ'!$D$6:$D$405,"&lt;"&amp;J1100,'Istoric_Nativ'!$P$6:$P$405,1,'Istoric_Nativ'!$D$6:$D$405,"&gt;="&amp;L1100)))/M1100)</x:f>
      </x:c>
      <x:c r="O1100" s="11" t="str">
        <x:f>IF(M1100=0,"",IF(H1100="HOME",SUMIFS('Istoric_Nativ'!$H$6:$H$405,'Istoric_Nativ'!$B$6:$B$405,E1100,'Istoric_Nativ'!$C$6:$C$405,F1100,'Istoric_Nativ'!$E$6:$E$405,G1100,'Istoric_Nativ'!$D$6:$D$405,"&lt;"&amp;J1100,'Istoric_Nativ'!$P$6:$P$405,1,'Istoric_Nativ'!$D$6:$D$405,"&gt;="&amp;L1100),IF(H1100="AWAY",SUMIFS('Istoric_Nativ'!$G$6:$G$405,'Istoric_Nativ'!$B$6:$B$405,E1100,'Istoric_Nativ'!$C$6:$C$405,F1100,'Istoric_Nativ'!$F$6:$F$405,G1100,'Istoric_Nativ'!$D$6:$D$405,"&lt;"&amp;J1100,'Istoric_Nativ'!$P$6:$P$405,1,'Istoric_Nativ'!$D$6:$D$405,"&gt;="&amp;L1100),SUMIFS('Istoric_Nativ'!$H$6:$H$405,'Istoric_Nativ'!$B$6:$B$405,E1100,'Istoric_Nativ'!$C$6:$C$405,F1100,'Istoric_Nativ'!$E$6:$E$405,G1100,'Istoric_Nativ'!$D$6:$D$405,"&lt;"&amp;J1100,'Istoric_Nativ'!$P$6:$P$405,1,'Istoric_Nativ'!$D$6:$D$405,"&gt;="&amp;L1100)+SUMIFS('Istoric_Nativ'!$G$6:$G$405,'Istoric_Nativ'!$B$6:$B$405,E1100,'Istoric_Nativ'!$C$6:$C$405,F1100,'Istoric_Nativ'!$F$6:$F$405,G1100,'Istoric_Nativ'!$D$6:$D$405,"&lt;"&amp;J1100,'Istoric_Nativ'!$P$6:$P$405,1,'Istoric_Nativ'!$D$6:$D$405,"&gt;="&amp;L1100)))/M1100)</x:f>
      </x:c>
      <x:c r="P1100" s="2" t="n">
        <x:f>'Config_v6'!$B$9</x:f>
        <x:v>3</x:v>
      </x:c>
      <x:c r="Q1100" s="2" t="n">
        <x:f>IF(OR(B1100="",F1100=""),0,IFERROR(MATCH(E1100&amp;"|"&amp;F1100,SourceTable[Source_Key],0),0))</x:f>
        <x:v>0</x:v>
      </x:c>
      <x:c r="R1100" s="2" t="str">
        <x:f>IF(B1100="","",IF(F1100="","UNUSED",IF(Q1100=0,"NOT CHECKED",IF(COUNTIF(SourceTable[Source_Key],E1100&amp;"|"&amp;F1100)&lt;&gt;1,"SOURCE CONFLICT",IF(NOT(OR(INDEX(SourceTable[Status],MAX(1,Q1100))="IMPORTED",INDEX(SourceTable[Status],MAX(1,Q1100))="PARTIAL",INDEX(SourceTable[Status],MAX(1,Q1100))="SOURCE CONFLICT")),"ACCESS BLOCKED",IF(OR(INDEX(SourceTable[Coverage],Q1100)&lt;&gt;"FULL SEASON EXPORT",INDEX(SourceTable[URL],Q1100)="",INDEX(SourceTable[SHA256],Q1100)=""),"EVIDENCE INCOMPLETE",IF(AND('Input_Meci'!H97="LIVE",INDEX(SourceTable[Retrieved_UTC],Q1100)&gt;'Input_Meci'!G97),"POST CUTOFF","CLOSED")))))))</x:f>
      </x:c>
      <x:c r="S1100" s="2" t="n">
        <x:f>IF(OR(B1100="",F1100=""),0,COUNTIFS('Istoric_Nativ'!$B$6:$B$405,E1100,'Istoric_Nativ'!$C$6:$C$405,F1100,'Istoric_Nativ'!$E$6:$E$405,G1100,'Istoric_Nativ'!$D$6:$D$405,"&lt;"&amp;J1100,'Istoric_Nativ'!$O$6:$O$405,"INVALID")+COUNTIFS('Istoric_Nativ'!$B$6:$B$405,E1100,'Istoric_Nativ'!$C$6:$C$405,F1100,'Istoric_Nativ'!$E$6:$E$405,G1100,'Istoric_Nativ'!$O$6:$O$405,"INVALID",'Istoric_Nativ'!$D$6:$D$405,"*")+COUNTIFS('Istoric_Nativ'!$B$6:$B$405,E1100,'Istoric_Nativ'!$C$6:$C$405,F1100,'Istoric_Nativ'!$E$6:$E$405,G1100,'Istoric_Nativ'!$D$6:$D$405,"&lt;"&amp;J1100,'Istoric_Nativ'!$O$6:$O$405,"SOURCE CONFLICT")+COUNTIFS('Istoric_Nativ'!$B$6:$B$405,E1100,'Istoric_Nativ'!$C$6:$C$405,F1100,'Istoric_Nativ'!$F$6:$F$405,G1100,'Istoric_Nativ'!$D$6:$D$405,"&lt;"&amp;J1100,'Istoric_Nativ'!$O$6:$O$405,"INVALID")+COUNTIFS('Istoric_Nativ'!$B$6:$B$405,E1100,'Istoric_Nativ'!$C$6:$C$405,F1100,'Istoric_Nativ'!$F$6:$F$405,G1100,'Istoric_Nativ'!$O$6:$O$405,"INVALID",'Istoric_Nativ'!$D$6:$D$405,"*")+COUNTIFS('Istoric_Nativ'!$B$6:$B$405,E1100,'Istoric_Nativ'!$C$6:$C$405,F1100,'Istoric_Nativ'!$F$6:$F$405,G1100,'Istoric_Nativ'!$D$6:$D$405,"&lt;"&amp;J1100,'Istoric_Nativ'!$O$6:$O$405,"SOURCE CONFLICT"))</x:f>
        <x:v>0</x:v>
      </x:c>
      <x:c r="T1100" s="2" t="str">
        <x:f>IF(B1100="","",IF(R1100&lt;&gt;"CLOSED",R1100,IF(S1100&gt;0,"NATIVE INPUT ISSUE",IF(M1100=0,"NO HISTORY",IF(M1100&lt;P1100,"SMALL SAMPLE","DERIVED")))))</x:f>
      </x:c>
      <x:c r="U1100" s="2" t="str">
        <x:f>IF(B1100="","","NativeTable; "&amp;E1100&amp;"; "&amp;F1100&amp;"; "&amp;G1100&amp;"; "&amp;H1100&amp;"; before "&amp;TEXT(J1100,"yyyy-mm-dd")&amp;IF(I1100="RECENT","; from "&amp;TEXT(L1100,"yyyy-mm-dd"),""))</x:f>
      </x:c>
    </x:row>
    <x:row r="1101" ht="21" customHeight="1">
      <x:c r="A1101" s="2" t="n">
        <x:v>92</x:v>
      </x:c>
      <x:c r="B1101" s="2" t="str">
        <x:f>IF('Input_Meci'!A97="","",'Input_Meci'!A97)</x:f>
      </x:c>
      <x:c r="C1101" s="2" t="str">
        <x:v>A</x:v>
      </x:c>
      <x:c r="D1101" s="2" t="str">
        <x:v>CURRENT</x:v>
      </x:c>
      <x:c r="E1101" s="2" t="str">
        <x:f>IF(B1101="","",'Input_Meci'!B97)</x:f>
      </x:c>
      <x:c r="F1101" s="2" t="str">
        <x:f>IF(B1101="","",IF('Input_Meci'!C97="","",'Input_Meci'!C97))</x:f>
      </x:c>
      <x:c r="G1101" s="2" t="str">
        <x:f>IF(B1101="","",'Input_Meci'!E97)</x:f>
      </x:c>
      <x:c r="H1101" s="2" t="str">
        <x:v>ANY</x:v>
      </x:c>
      <x:c r="I1101" s="2" t="str">
        <x:v>SEASON</x:v>
      </x:c>
      <x:c r="J1101" s="9" t="n">
        <x:f>IF(AND(B1101&lt;&gt;"",ISNUMBER('Input_Meci'!G97)),INT('Input_Meci'!G97),0)</x:f>
        <x:v>0</x:v>
      </x:c>
      <x:c r="K1101" s="2" t="n">
        <x:f>IF(OR(B1101="",F1101=""),0,IF(H1101="HOME",COUNTIFS('Istoric_Nativ'!$B$6:$B$405,E1101,'Istoric_Nativ'!$C$6:$C$405,F1101,'Istoric_Nativ'!$E$6:$E$405,G1101,'Istoric_Nativ'!$D$6:$D$405,"&lt;"&amp;J1101,'Istoric_Nativ'!$P$6:$P$405,1),IF(H1101="AWAY",COUNTIFS('Istoric_Nativ'!$B$6:$B$405,E1101,'Istoric_Nativ'!$C$6:$C$405,F1101,'Istoric_Nativ'!$F$6:$F$405,G1101,'Istoric_Nativ'!$D$6:$D$405,"&lt;"&amp;J1101,'Istoric_Nativ'!$P$6:$P$405,1),COUNTIFS('Istoric_Nativ'!$B$6:$B$405,E1101,'Istoric_Nativ'!$C$6:$C$405,F1101,'Istoric_Nativ'!$E$6:$E$405,G1101,'Istoric_Nativ'!$D$6:$D$405,"&lt;"&amp;J1101,'Istoric_Nativ'!$P$6:$P$405,1)+COUNTIFS('Istoric_Nativ'!$B$6:$B$405,E1101,'Istoric_Nativ'!$C$6:$C$405,F1101,'Istoric_Nativ'!$F$6:$F$405,G1101,'Istoric_Nativ'!$D$6:$D$405,"&lt;"&amp;J1101,'Istoric_Nativ'!$P$6:$P$405,1))))</x:f>
        <x:v>0</x:v>
      </x:c>
      <x:c r="L1101" s="17" t="n">
        <x:f>IF(AND(B1101&lt;&gt;"",I1101="RECENT",K1101&gt;0),LARGE(_xlfn._xlws.FILTER('Istoric_Nativ'!$D$6:$D$405,('Istoric_Nativ'!$B$6:$B$405=E1101)*('Istoric_Nativ'!$C$6:$C$405=F1101)*('Istoric_Nativ'!$P$6:$P$405=1)*('Istoric_Nativ'!$D$6:$D$405&lt;J1101)*((('Istoric_Nativ'!$E$6:$E$405=G1101)+('Istoric_Nativ'!$F$6:$F$405=G1101))&gt;0)),MIN('Config_v6'!$B$54,K1101)),0)</x:f>
        <x:v>0</x:v>
      </x:c>
      <x:c r="M1101" s="2" t="n">
        <x:f>IF(OR(B1101="",F1101=""),0,IF(H1101="HOME",COUNTIFS('Istoric_Nativ'!$B$6:$B$405,E1101,'Istoric_Nativ'!$C$6:$C$405,F1101,'Istoric_Nativ'!$E$6:$E$405,G1101,'Istoric_Nativ'!$D$6:$D$405,"&lt;"&amp;J1101,'Istoric_Nativ'!$P$6:$P$405,1,'Istoric_Nativ'!$D$6:$D$405,"&gt;="&amp;L1101),IF(H1101="AWAY",COUNTIFS('Istoric_Nativ'!$B$6:$B$405,E1101,'Istoric_Nativ'!$C$6:$C$405,F1101,'Istoric_Nativ'!$F$6:$F$405,G1101,'Istoric_Nativ'!$D$6:$D$405,"&lt;"&amp;J1101,'Istoric_Nativ'!$P$6:$P$405,1,'Istoric_Nativ'!$D$6:$D$405,"&gt;="&amp;L1101),COUNTIFS('Istoric_Nativ'!$B$6:$B$405,E1101,'Istoric_Nativ'!$C$6:$C$405,F1101,'Istoric_Nativ'!$E$6:$E$405,G1101,'Istoric_Nativ'!$D$6:$D$405,"&lt;"&amp;J1101,'Istoric_Nativ'!$P$6:$P$405,1,'Istoric_Nativ'!$D$6:$D$405,"&gt;="&amp;L1101)+COUNTIFS('Istoric_Nativ'!$B$6:$B$405,E1101,'Istoric_Nativ'!$C$6:$C$405,F1101,'Istoric_Nativ'!$F$6:$F$405,G1101,'Istoric_Nativ'!$D$6:$D$405,"&lt;"&amp;J1101,'Istoric_Nativ'!$P$6:$P$405,1,'Istoric_Nativ'!$D$6:$D$405,"&gt;="&amp;L1101))))</x:f>
        <x:v>0</x:v>
      </x:c>
      <x:c r="N1101" s="11" t="str">
        <x:f>IF(M1101=0,"",IF(H1101="HOME",SUMIFS('Istoric_Nativ'!$G$6:$G$405,'Istoric_Nativ'!$B$6:$B$405,E1101,'Istoric_Nativ'!$C$6:$C$405,F1101,'Istoric_Nativ'!$E$6:$E$405,G1101,'Istoric_Nativ'!$D$6:$D$405,"&lt;"&amp;J1101,'Istoric_Nativ'!$P$6:$P$405,1,'Istoric_Nativ'!$D$6:$D$405,"&gt;="&amp;L1101),IF(H1101="AWAY",SUMIFS('Istoric_Nativ'!$H$6:$H$405,'Istoric_Nativ'!$B$6:$B$405,E1101,'Istoric_Nativ'!$C$6:$C$405,F1101,'Istoric_Nativ'!$F$6:$F$405,G1101,'Istoric_Nativ'!$D$6:$D$405,"&lt;"&amp;J1101,'Istoric_Nativ'!$P$6:$P$405,1,'Istoric_Nativ'!$D$6:$D$405,"&gt;="&amp;L1101),SUMIFS('Istoric_Nativ'!$G$6:$G$405,'Istoric_Nativ'!$B$6:$B$405,E1101,'Istoric_Nativ'!$C$6:$C$405,F1101,'Istoric_Nativ'!$E$6:$E$405,G1101,'Istoric_Nativ'!$D$6:$D$405,"&lt;"&amp;J1101,'Istoric_Nativ'!$P$6:$P$405,1,'Istoric_Nativ'!$D$6:$D$405,"&gt;="&amp;L1101)+SUMIFS('Istoric_Nativ'!$H$6:$H$405,'Istoric_Nativ'!$B$6:$B$405,E1101,'Istoric_Nativ'!$C$6:$C$405,F1101,'Istoric_Nativ'!$F$6:$F$405,G1101,'Istoric_Nativ'!$D$6:$D$405,"&lt;"&amp;J1101,'Istoric_Nativ'!$P$6:$P$405,1,'Istoric_Nativ'!$D$6:$D$405,"&gt;="&amp;L1101)))/M1101)</x:f>
      </x:c>
      <x:c r="O1101" s="11" t="str">
        <x:f>IF(M1101=0,"",IF(H1101="HOME",SUMIFS('Istoric_Nativ'!$H$6:$H$405,'Istoric_Nativ'!$B$6:$B$405,E1101,'Istoric_Nativ'!$C$6:$C$405,F1101,'Istoric_Nativ'!$E$6:$E$405,G1101,'Istoric_Nativ'!$D$6:$D$405,"&lt;"&amp;J1101,'Istoric_Nativ'!$P$6:$P$405,1,'Istoric_Nativ'!$D$6:$D$405,"&gt;="&amp;L1101),IF(H1101="AWAY",SUMIFS('Istoric_Nativ'!$G$6:$G$405,'Istoric_Nativ'!$B$6:$B$405,E1101,'Istoric_Nativ'!$C$6:$C$405,F1101,'Istoric_Nativ'!$F$6:$F$405,G1101,'Istoric_Nativ'!$D$6:$D$405,"&lt;"&amp;J1101,'Istoric_Nativ'!$P$6:$P$405,1,'Istoric_Nativ'!$D$6:$D$405,"&gt;="&amp;L1101),SUMIFS('Istoric_Nativ'!$H$6:$H$405,'Istoric_Nativ'!$B$6:$B$405,E1101,'Istoric_Nativ'!$C$6:$C$405,F1101,'Istoric_Nativ'!$E$6:$E$405,G1101,'Istoric_Nativ'!$D$6:$D$405,"&lt;"&amp;J1101,'Istoric_Nativ'!$P$6:$P$405,1,'Istoric_Nativ'!$D$6:$D$405,"&gt;="&amp;L1101)+SUMIFS('Istoric_Nativ'!$G$6:$G$405,'Istoric_Nativ'!$B$6:$B$405,E1101,'Istoric_Nativ'!$C$6:$C$405,F1101,'Istoric_Nativ'!$F$6:$F$405,G1101,'Istoric_Nativ'!$D$6:$D$405,"&lt;"&amp;J1101,'Istoric_Nativ'!$P$6:$P$405,1,'Istoric_Nativ'!$D$6:$D$405,"&gt;="&amp;L1101)))/M1101)</x:f>
      </x:c>
      <x:c r="P1101" s="2" t="n">
        <x:f>'Config_v6'!$B$7</x:f>
        <x:v>10</x:v>
      </x:c>
      <x:c r="Q1101" s="2" t="n">
        <x:f>IF(OR(B1101="",F1101=""),0,IFERROR(MATCH(E1101&amp;"|"&amp;F1101,SourceTable[Source_Key],0),0))</x:f>
        <x:v>0</x:v>
      </x:c>
      <x:c r="R1101" s="2" t="str">
        <x:f>IF(B1101="","",IF(F1101="","UNUSED",IF(Q1101=0,"NOT CHECKED",IF(COUNTIF(SourceTable[Source_Key],E1101&amp;"|"&amp;F1101)&lt;&gt;1,"SOURCE CONFLICT",IF(NOT(OR(INDEX(SourceTable[Status],MAX(1,Q1101))="IMPORTED",INDEX(SourceTable[Status],MAX(1,Q1101))="PARTIAL",INDEX(SourceTable[Status],MAX(1,Q1101))="SOURCE CONFLICT")),"ACCESS BLOCKED",IF(OR(INDEX(SourceTable[Coverage],Q1101)&lt;&gt;"FULL SEASON EXPORT",INDEX(SourceTable[URL],Q1101)="",INDEX(SourceTable[SHA256],Q1101)=""),"EVIDENCE INCOMPLETE",IF(AND('Input_Meci'!H97="LIVE",INDEX(SourceTable[Retrieved_UTC],Q1101)&gt;'Input_Meci'!G97),"POST CUTOFF","CLOSED")))))))</x:f>
      </x:c>
      <x:c r="S1101" s="2" t="n">
        <x:f>IF(OR(B1101="",F1101=""),0,COUNTIFS('Istoric_Nativ'!$B$6:$B$405,E1101,'Istoric_Nativ'!$C$6:$C$405,F1101,'Istoric_Nativ'!$E$6:$E$405,G1101,'Istoric_Nativ'!$D$6:$D$405,"&lt;"&amp;J1101,'Istoric_Nativ'!$O$6:$O$405,"INVALID")+COUNTIFS('Istoric_Nativ'!$B$6:$B$405,E1101,'Istoric_Nativ'!$C$6:$C$405,F1101,'Istoric_Nativ'!$E$6:$E$405,G1101,'Istoric_Nativ'!$O$6:$O$405,"INVALID",'Istoric_Nativ'!$D$6:$D$405,"*")+COUNTIFS('Istoric_Nativ'!$B$6:$B$405,E1101,'Istoric_Nativ'!$C$6:$C$405,F1101,'Istoric_Nativ'!$E$6:$E$405,G1101,'Istoric_Nativ'!$D$6:$D$405,"&lt;"&amp;J1101,'Istoric_Nativ'!$O$6:$O$405,"SOURCE CONFLICT")+COUNTIFS('Istoric_Nativ'!$B$6:$B$405,E1101,'Istoric_Nativ'!$C$6:$C$405,F1101,'Istoric_Nativ'!$F$6:$F$405,G1101,'Istoric_Nativ'!$D$6:$D$405,"&lt;"&amp;J1101,'Istoric_Nativ'!$O$6:$O$405,"INVALID")+COUNTIFS('Istoric_Nativ'!$B$6:$B$405,E1101,'Istoric_Nativ'!$C$6:$C$405,F1101,'Istoric_Nativ'!$F$6:$F$405,G1101,'Istoric_Nativ'!$O$6:$O$405,"INVALID",'Istoric_Nativ'!$D$6:$D$405,"*")+COUNTIFS('Istoric_Nativ'!$B$6:$B$405,E1101,'Istoric_Nativ'!$C$6:$C$405,F1101,'Istoric_Nativ'!$F$6:$F$405,G1101,'Istoric_Nativ'!$D$6:$D$405,"&lt;"&amp;J1101,'Istoric_Nativ'!$O$6:$O$405,"SOURCE CONFLICT"))</x:f>
        <x:v>0</x:v>
      </x:c>
      <x:c r="T1101" s="2" t="str">
        <x:f>IF(B1101="","",IF(R1101&lt;&gt;"CLOSED",R1101,IF(S1101&gt;0,"NATIVE INPUT ISSUE",IF(M1101=0,"NO HISTORY",IF(M1101&lt;P1101,"SMALL SAMPLE","DERIVED")))))</x:f>
      </x:c>
      <x:c r="U1101" s="2" t="str">
        <x:f>IF(B1101="","","NativeTable; "&amp;E1101&amp;"; "&amp;F1101&amp;"; "&amp;G1101&amp;"; "&amp;H1101&amp;"; before "&amp;TEXT(J1101,"yyyy-mm-dd")&amp;IF(I1101="RECENT","; from "&amp;TEXT(L1101,"yyyy-mm-dd"),""))</x:f>
      </x:c>
    </x:row>
    <x:row r="1102" ht="21" customHeight="1">
      <x:c r="A1102" s="2" t="n">
        <x:v>92</x:v>
      </x:c>
      <x:c r="B1102" s="2" t="str">
        <x:f>IF('Input_Meci'!A97="","",'Input_Meci'!A97)</x:f>
      </x:c>
      <x:c r="C1102" s="2" t="str">
        <x:v>A</x:v>
      </x:c>
      <x:c r="D1102" s="2" t="str">
        <x:v>CURRENT</x:v>
      </x:c>
      <x:c r="E1102" s="2" t="str">
        <x:f>IF(B1102="","",'Input_Meci'!B97)</x:f>
      </x:c>
      <x:c r="F1102" s="2" t="str">
        <x:f>IF(B1102="","",IF('Input_Meci'!C97="","",'Input_Meci'!C97))</x:f>
      </x:c>
      <x:c r="G1102" s="2" t="str">
        <x:f>IF(B1102="","",'Input_Meci'!E97)</x:f>
      </x:c>
      <x:c r="H1102" s="2" t="str">
        <x:v>AWAY</x:v>
      </x:c>
      <x:c r="I1102" s="2" t="str">
        <x:v>HA</x:v>
      </x:c>
      <x:c r="J1102" s="9" t="n">
        <x:f>IF(AND(B1102&lt;&gt;"",ISNUMBER('Input_Meci'!G97)),INT('Input_Meci'!G97),0)</x:f>
        <x:v>0</x:v>
      </x:c>
      <x:c r="K1102" s="2" t="n">
        <x:f>IF(OR(B1102="",F1102=""),0,IF(H1102="HOME",COUNTIFS('Istoric_Nativ'!$B$6:$B$405,E1102,'Istoric_Nativ'!$C$6:$C$405,F1102,'Istoric_Nativ'!$E$6:$E$405,G1102,'Istoric_Nativ'!$D$6:$D$405,"&lt;"&amp;J1102,'Istoric_Nativ'!$P$6:$P$405,1),IF(H1102="AWAY",COUNTIFS('Istoric_Nativ'!$B$6:$B$405,E1102,'Istoric_Nativ'!$C$6:$C$405,F1102,'Istoric_Nativ'!$F$6:$F$405,G1102,'Istoric_Nativ'!$D$6:$D$405,"&lt;"&amp;J1102,'Istoric_Nativ'!$P$6:$P$405,1),COUNTIFS('Istoric_Nativ'!$B$6:$B$405,E1102,'Istoric_Nativ'!$C$6:$C$405,F1102,'Istoric_Nativ'!$E$6:$E$405,G1102,'Istoric_Nativ'!$D$6:$D$405,"&lt;"&amp;J1102,'Istoric_Nativ'!$P$6:$P$405,1)+COUNTIFS('Istoric_Nativ'!$B$6:$B$405,E1102,'Istoric_Nativ'!$C$6:$C$405,F1102,'Istoric_Nativ'!$F$6:$F$405,G1102,'Istoric_Nativ'!$D$6:$D$405,"&lt;"&amp;J1102,'Istoric_Nativ'!$P$6:$P$405,1))))</x:f>
        <x:v>0</x:v>
      </x:c>
      <x:c r="L1102" s="17" t="n">
        <x:f>IF(AND(B1102&lt;&gt;"",I1102="RECENT",K1102&gt;0),LARGE(_xlfn._xlws.FILTER('Istoric_Nativ'!$D$6:$D$405,('Istoric_Nativ'!$B$6:$B$405=E1102)*('Istoric_Nativ'!$C$6:$C$405=F1102)*('Istoric_Nativ'!$P$6:$P$405=1)*('Istoric_Nativ'!$D$6:$D$405&lt;J1102)*((('Istoric_Nativ'!$E$6:$E$405=G1102)+('Istoric_Nativ'!$F$6:$F$405=G1102))&gt;0)),MIN('Config_v6'!$B$54,K1102)),0)</x:f>
        <x:v>0</x:v>
      </x:c>
      <x:c r="M1102" s="2" t="n">
        <x:f>IF(OR(B1102="",F1102=""),0,IF(H1102="HOME",COUNTIFS('Istoric_Nativ'!$B$6:$B$405,E1102,'Istoric_Nativ'!$C$6:$C$405,F1102,'Istoric_Nativ'!$E$6:$E$405,G1102,'Istoric_Nativ'!$D$6:$D$405,"&lt;"&amp;J1102,'Istoric_Nativ'!$P$6:$P$405,1,'Istoric_Nativ'!$D$6:$D$405,"&gt;="&amp;L1102),IF(H1102="AWAY",COUNTIFS('Istoric_Nativ'!$B$6:$B$405,E1102,'Istoric_Nativ'!$C$6:$C$405,F1102,'Istoric_Nativ'!$F$6:$F$405,G1102,'Istoric_Nativ'!$D$6:$D$405,"&lt;"&amp;J1102,'Istoric_Nativ'!$P$6:$P$405,1,'Istoric_Nativ'!$D$6:$D$405,"&gt;="&amp;L1102),COUNTIFS('Istoric_Nativ'!$B$6:$B$405,E1102,'Istoric_Nativ'!$C$6:$C$405,F1102,'Istoric_Nativ'!$E$6:$E$405,G1102,'Istoric_Nativ'!$D$6:$D$405,"&lt;"&amp;J1102,'Istoric_Nativ'!$P$6:$P$405,1,'Istoric_Nativ'!$D$6:$D$405,"&gt;="&amp;L1102)+COUNTIFS('Istoric_Nativ'!$B$6:$B$405,E1102,'Istoric_Nativ'!$C$6:$C$405,F1102,'Istoric_Nativ'!$F$6:$F$405,G1102,'Istoric_Nativ'!$D$6:$D$405,"&lt;"&amp;J1102,'Istoric_Nativ'!$P$6:$P$405,1,'Istoric_Nativ'!$D$6:$D$405,"&gt;="&amp;L1102))))</x:f>
        <x:v>0</x:v>
      </x:c>
      <x:c r="N1102" s="11" t="str">
        <x:f>IF(M1102=0,"",IF(H1102="HOME",SUMIFS('Istoric_Nativ'!$G$6:$G$405,'Istoric_Nativ'!$B$6:$B$405,E1102,'Istoric_Nativ'!$C$6:$C$405,F1102,'Istoric_Nativ'!$E$6:$E$405,G1102,'Istoric_Nativ'!$D$6:$D$405,"&lt;"&amp;J1102,'Istoric_Nativ'!$P$6:$P$405,1,'Istoric_Nativ'!$D$6:$D$405,"&gt;="&amp;L1102),IF(H1102="AWAY",SUMIFS('Istoric_Nativ'!$H$6:$H$405,'Istoric_Nativ'!$B$6:$B$405,E1102,'Istoric_Nativ'!$C$6:$C$405,F1102,'Istoric_Nativ'!$F$6:$F$405,G1102,'Istoric_Nativ'!$D$6:$D$405,"&lt;"&amp;J1102,'Istoric_Nativ'!$P$6:$P$405,1,'Istoric_Nativ'!$D$6:$D$405,"&gt;="&amp;L1102),SUMIFS('Istoric_Nativ'!$G$6:$G$405,'Istoric_Nativ'!$B$6:$B$405,E1102,'Istoric_Nativ'!$C$6:$C$405,F1102,'Istoric_Nativ'!$E$6:$E$405,G1102,'Istoric_Nativ'!$D$6:$D$405,"&lt;"&amp;J1102,'Istoric_Nativ'!$P$6:$P$405,1,'Istoric_Nativ'!$D$6:$D$405,"&gt;="&amp;L1102)+SUMIFS('Istoric_Nativ'!$H$6:$H$405,'Istoric_Nativ'!$B$6:$B$405,E1102,'Istoric_Nativ'!$C$6:$C$405,F1102,'Istoric_Nativ'!$F$6:$F$405,G1102,'Istoric_Nativ'!$D$6:$D$405,"&lt;"&amp;J1102,'Istoric_Nativ'!$P$6:$P$405,1,'Istoric_Nativ'!$D$6:$D$405,"&gt;="&amp;L1102)))/M1102)</x:f>
      </x:c>
      <x:c r="O1102" s="11" t="str">
        <x:f>IF(M1102=0,"",IF(H1102="HOME",SUMIFS('Istoric_Nativ'!$H$6:$H$405,'Istoric_Nativ'!$B$6:$B$405,E1102,'Istoric_Nativ'!$C$6:$C$405,F1102,'Istoric_Nativ'!$E$6:$E$405,G1102,'Istoric_Nativ'!$D$6:$D$405,"&lt;"&amp;J1102,'Istoric_Nativ'!$P$6:$P$405,1,'Istoric_Nativ'!$D$6:$D$405,"&gt;="&amp;L1102),IF(H1102="AWAY",SUMIFS('Istoric_Nativ'!$G$6:$G$405,'Istoric_Nativ'!$B$6:$B$405,E1102,'Istoric_Nativ'!$C$6:$C$405,F1102,'Istoric_Nativ'!$F$6:$F$405,G1102,'Istoric_Nativ'!$D$6:$D$405,"&lt;"&amp;J1102,'Istoric_Nativ'!$P$6:$P$405,1,'Istoric_Nativ'!$D$6:$D$405,"&gt;="&amp;L1102),SUMIFS('Istoric_Nativ'!$H$6:$H$405,'Istoric_Nativ'!$B$6:$B$405,E1102,'Istoric_Nativ'!$C$6:$C$405,F1102,'Istoric_Nativ'!$E$6:$E$405,G1102,'Istoric_Nativ'!$D$6:$D$405,"&lt;"&amp;J1102,'Istoric_Nativ'!$P$6:$P$405,1,'Istoric_Nativ'!$D$6:$D$405,"&gt;="&amp;L1102)+SUMIFS('Istoric_Nativ'!$G$6:$G$405,'Istoric_Nativ'!$B$6:$B$405,E1102,'Istoric_Nativ'!$C$6:$C$405,F1102,'Istoric_Nativ'!$F$6:$F$405,G1102,'Istoric_Nativ'!$D$6:$D$405,"&lt;"&amp;J1102,'Istoric_Nativ'!$P$6:$P$405,1,'Istoric_Nativ'!$D$6:$D$405,"&gt;="&amp;L1102)))/M1102)</x:f>
      </x:c>
      <x:c r="P1102" s="2" t="n">
        <x:f>'Config_v6'!$B$8</x:f>
        <x:v>5</x:v>
      </x:c>
      <x:c r="Q1102" s="2" t="n">
        <x:f>IF(OR(B1102="",F1102=""),0,IFERROR(MATCH(E1102&amp;"|"&amp;F1102,SourceTable[Source_Key],0),0))</x:f>
        <x:v>0</x:v>
      </x:c>
      <x:c r="R1102" s="2" t="str">
        <x:f>IF(B1102="","",IF(F1102="","UNUSED",IF(Q1102=0,"NOT CHECKED",IF(COUNTIF(SourceTable[Source_Key],E1102&amp;"|"&amp;F1102)&lt;&gt;1,"SOURCE CONFLICT",IF(NOT(OR(INDEX(SourceTable[Status],MAX(1,Q1102))="IMPORTED",INDEX(SourceTable[Status],MAX(1,Q1102))="PARTIAL",INDEX(SourceTable[Status],MAX(1,Q1102))="SOURCE CONFLICT")),"ACCESS BLOCKED",IF(OR(INDEX(SourceTable[Coverage],Q1102)&lt;&gt;"FULL SEASON EXPORT",INDEX(SourceTable[URL],Q1102)="",INDEX(SourceTable[SHA256],Q1102)=""),"EVIDENCE INCOMPLETE",IF(AND('Input_Meci'!H97="LIVE",INDEX(SourceTable[Retrieved_UTC],Q1102)&gt;'Input_Meci'!G97),"POST CUTOFF","CLOSED")))))))</x:f>
      </x:c>
      <x:c r="S1102" s="2" t="n">
        <x:f>IF(OR(B1102="",F1102=""),0,COUNTIFS('Istoric_Nativ'!$B$6:$B$405,E1102,'Istoric_Nativ'!$C$6:$C$405,F1102,'Istoric_Nativ'!$E$6:$E$405,G1102,'Istoric_Nativ'!$D$6:$D$405,"&lt;"&amp;J1102,'Istoric_Nativ'!$O$6:$O$405,"INVALID")+COUNTIFS('Istoric_Nativ'!$B$6:$B$405,E1102,'Istoric_Nativ'!$C$6:$C$405,F1102,'Istoric_Nativ'!$E$6:$E$405,G1102,'Istoric_Nativ'!$O$6:$O$405,"INVALID",'Istoric_Nativ'!$D$6:$D$405,"*")+COUNTIFS('Istoric_Nativ'!$B$6:$B$405,E1102,'Istoric_Nativ'!$C$6:$C$405,F1102,'Istoric_Nativ'!$E$6:$E$405,G1102,'Istoric_Nativ'!$D$6:$D$405,"&lt;"&amp;J1102,'Istoric_Nativ'!$O$6:$O$405,"SOURCE CONFLICT")+COUNTIFS('Istoric_Nativ'!$B$6:$B$405,E1102,'Istoric_Nativ'!$C$6:$C$405,F1102,'Istoric_Nativ'!$F$6:$F$405,G1102,'Istoric_Nativ'!$D$6:$D$405,"&lt;"&amp;J1102,'Istoric_Nativ'!$O$6:$O$405,"INVALID")+COUNTIFS('Istoric_Nativ'!$B$6:$B$405,E1102,'Istoric_Nativ'!$C$6:$C$405,F1102,'Istoric_Nativ'!$F$6:$F$405,G1102,'Istoric_Nativ'!$O$6:$O$405,"INVALID",'Istoric_Nativ'!$D$6:$D$405,"*")+COUNTIFS('Istoric_Nativ'!$B$6:$B$405,E1102,'Istoric_Nativ'!$C$6:$C$405,F1102,'Istoric_Nativ'!$F$6:$F$405,G1102,'Istoric_Nativ'!$D$6:$D$405,"&lt;"&amp;J1102,'Istoric_Nativ'!$O$6:$O$405,"SOURCE CONFLICT"))</x:f>
        <x:v>0</x:v>
      </x:c>
      <x:c r="T1102" s="2" t="str">
        <x:f>IF(B1102="","",IF(R1102&lt;&gt;"CLOSED",R1102,IF(S1102&gt;0,"NATIVE INPUT ISSUE",IF(M1102=0,"NO HISTORY",IF(M1102&lt;P1102,"SMALL SAMPLE","DERIVED")))))</x:f>
      </x:c>
      <x:c r="U1102" s="2" t="str">
        <x:f>IF(B1102="","","NativeTable; "&amp;E1102&amp;"; "&amp;F1102&amp;"; "&amp;G1102&amp;"; "&amp;H1102&amp;"; before "&amp;TEXT(J1102,"yyyy-mm-dd")&amp;IF(I1102="RECENT","; from "&amp;TEXT(L1102,"yyyy-mm-dd"),""))</x:f>
      </x:c>
    </x:row>
    <x:row r="1103" ht="21" customHeight="1">
      <x:c r="A1103" s="2" t="n">
        <x:v>92</x:v>
      </x:c>
      <x:c r="B1103" s="2" t="str">
        <x:f>IF('Input_Meci'!A97="","",'Input_Meci'!A97)</x:f>
      </x:c>
      <x:c r="C1103" s="2" t="str">
        <x:v>A</x:v>
      </x:c>
      <x:c r="D1103" s="2" t="str">
        <x:v>CURRENT</x:v>
      </x:c>
      <x:c r="E1103" s="2" t="str">
        <x:f>IF(B1103="","",'Input_Meci'!B97)</x:f>
      </x:c>
      <x:c r="F1103" s="2" t="str">
        <x:f>IF(B1103="","",IF('Input_Meci'!C97="","",'Input_Meci'!C97))</x:f>
      </x:c>
      <x:c r="G1103" s="2" t="str">
        <x:f>IF(B1103="","",'Input_Meci'!E97)</x:f>
      </x:c>
      <x:c r="H1103" s="2" t="str">
        <x:v>ANY</x:v>
      </x:c>
      <x:c r="I1103" s="2" t="str">
        <x:v>RECENT</x:v>
      </x:c>
      <x:c r="J1103" s="9" t="n">
        <x:f>IF(AND(B1103&lt;&gt;"",ISNUMBER('Input_Meci'!G97)),INT('Input_Meci'!G97),0)</x:f>
        <x:v>0</x:v>
      </x:c>
      <x:c r="K1103" s="2" t="n">
        <x:f>IF(OR(B1103="",F1103=""),0,IF(H1103="HOME",COUNTIFS('Istoric_Nativ'!$B$6:$B$405,E1103,'Istoric_Nativ'!$C$6:$C$405,F1103,'Istoric_Nativ'!$E$6:$E$405,G1103,'Istoric_Nativ'!$D$6:$D$405,"&lt;"&amp;J1103,'Istoric_Nativ'!$P$6:$P$405,1),IF(H1103="AWAY",COUNTIFS('Istoric_Nativ'!$B$6:$B$405,E1103,'Istoric_Nativ'!$C$6:$C$405,F1103,'Istoric_Nativ'!$F$6:$F$405,G1103,'Istoric_Nativ'!$D$6:$D$405,"&lt;"&amp;J1103,'Istoric_Nativ'!$P$6:$P$405,1),COUNTIFS('Istoric_Nativ'!$B$6:$B$405,E1103,'Istoric_Nativ'!$C$6:$C$405,F1103,'Istoric_Nativ'!$E$6:$E$405,G1103,'Istoric_Nativ'!$D$6:$D$405,"&lt;"&amp;J1103,'Istoric_Nativ'!$P$6:$P$405,1)+COUNTIFS('Istoric_Nativ'!$B$6:$B$405,E1103,'Istoric_Nativ'!$C$6:$C$405,F1103,'Istoric_Nativ'!$F$6:$F$405,G1103,'Istoric_Nativ'!$D$6:$D$405,"&lt;"&amp;J1103,'Istoric_Nativ'!$P$6:$P$405,1))))</x:f>
        <x:v>0</x:v>
      </x:c>
      <x:c r="L1103" s="17" t="n">
        <x:f>IF(AND(B1103&lt;&gt;"",I1103="RECENT",K1103&gt;0),LARGE(_xlfn._xlws.FILTER('Istoric_Nativ'!$D$6:$D$405,('Istoric_Nativ'!$B$6:$B$405=E1103)*('Istoric_Nativ'!$C$6:$C$405=F1103)*('Istoric_Nativ'!$P$6:$P$405=1)*('Istoric_Nativ'!$D$6:$D$405&lt;J1103)*((('Istoric_Nativ'!$E$6:$E$405=G1103)+('Istoric_Nativ'!$F$6:$F$405=G1103))&gt;0)),MIN('Config_v6'!$B$54,K1103)),0)</x:f>
        <x:v>0</x:v>
      </x:c>
      <x:c r="M1103" s="2" t="n">
        <x:f>IF(OR(B1103="",F1103=""),0,IF(H1103="HOME",COUNTIFS('Istoric_Nativ'!$B$6:$B$405,E1103,'Istoric_Nativ'!$C$6:$C$405,F1103,'Istoric_Nativ'!$E$6:$E$405,G1103,'Istoric_Nativ'!$D$6:$D$405,"&lt;"&amp;J1103,'Istoric_Nativ'!$P$6:$P$405,1,'Istoric_Nativ'!$D$6:$D$405,"&gt;="&amp;L1103),IF(H1103="AWAY",COUNTIFS('Istoric_Nativ'!$B$6:$B$405,E1103,'Istoric_Nativ'!$C$6:$C$405,F1103,'Istoric_Nativ'!$F$6:$F$405,G1103,'Istoric_Nativ'!$D$6:$D$405,"&lt;"&amp;J1103,'Istoric_Nativ'!$P$6:$P$405,1,'Istoric_Nativ'!$D$6:$D$405,"&gt;="&amp;L1103),COUNTIFS('Istoric_Nativ'!$B$6:$B$405,E1103,'Istoric_Nativ'!$C$6:$C$405,F1103,'Istoric_Nativ'!$E$6:$E$405,G1103,'Istoric_Nativ'!$D$6:$D$405,"&lt;"&amp;J1103,'Istoric_Nativ'!$P$6:$P$405,1,'Istoric_Nativ'!$D$6:$D$405,"&gt;="&amp;L1103)+COUNTIFS('Istoric_Nativ'!$B$6:$B$405,E1103,'Istoric_Nativ'!$C$6:$C$405,F1103,'Istoric_Nativ'!$F$6:$F$405,G1103,'Istoric_Nativ'!$D$6:$D$405,"&lt;"&amp;J1103,'Istoric_Nativ'!$P$6:$P$405,1,'Istoric_Nativ'!$D$6:$D$405,"&gt;="&amp;L1103))))</x:f>
        <x:v>0</x:v>
      </x:c>
      <x:c r="N1103" s="11" t="str">
        <x:f>IF(M1103=0,"",IF(H1103="HOME",SUMIFS('Istoric_Nativ'!$G$6:$G$405,'Istoric_Nativ'!$B$6:$B$405,E1103,'Istoric_Nativ'!$C$6:$C$405,F1103,'Istoric_Nativ'!$E$6:$E$405,G1103,'Istoric_Nativ'!$D$6:$D$405,"&lt;"&amp;J1103,'Istoric_Nativ'!$P$6:$P$405,1,'Istoric_Nativ'!$D$6:$D$405,"&gt;="&amp;L1103),IF(H1103="AWAY",SUMIFS('Istoric_Nativ'!$H$6:$H$405,'Istoric_Nativ'!$B$6:$B$405,E1103,'Istoric_Nativ'!$C$6:$C$405,F1103,'Istoric_Nativ'!$F$6:$F$405,G1103,'Istoric_Nativ'!$D$6:$D$405,"&lt;"&amp;J1103,'Istoric_Nativ'!$P$6:$P$405,1,'Istoric_Nativ'!$D$6:$D$405,"&gt;="&amp;L1103),SUMIFS('Istoric_Nativ'!$G$6:$G$405,'Istoric_Nativ'!$B$6:$B$405,E1103,'Istoric_Nativ'!$C$6:$C$405,F1103,'Istoric_Nativ'!$E$6:$E$405,G1103,'Istoric_Nativ'!$D$6:$D$405,"&lt;"&amp;J1103,'Istoric_Nativ'!$P$6:$P$405,1,'Istoric_Nativ'!$D$6:$D$405,"&gt;="&amp;L1103)+SUMIFS('Istoric_Nativ'!$H$6:$H$405,'Istoric_Nativ'!$B$6:$B$405,E1103,'Istoric_Nativ'!$C$6:$C$405,F1103,'Istoric_Nativ'!$F$6:$F$405,G1103,'Istoric_Nativ'!$D$6:$D$405,"&lt;"&amp;J1103,'Istoric_Nativ'!$P$6:$P$405,1,'Istoric_Nativ'!$D$6:$D$405,"&gt;="&amp;L1103)))/M1103)</x:f>
      </x:c>
      <x:c r="O1103" s="11" t="str">
        <x:f>IF(M1103=0,"",IF(H1103="HOME",SUMIFS('Istoric_Nativ'!$H$6:$H$405,'Istoric_Nativ'!$B$6:$B$405,E1103,'Istoric_Nativ'!$C$6:$C$405,F1103,'Istoric_Nativ'!$E$6:$E$405,G1103,'Istoric_Nativ'!$D$6:$D$405,"&lt;"&amp;J1103,'Istoric_Nativ'!$P$6:$P$405,1,'Istoric_Nativ'!$D$6:$D$405,"&gt;="&amp;L1103),IF(H1103="AWAY",SUMIFS('Istoric_Nativ'!$G$6:$G$405,'Istoric_Nativ'!$B$6:$B$405,E1103,'Istoric_Nativ'!$C$6:$C$405,F1103,'Istoric_Nativ'!$F$6:$F$405,G1103,'Istoric_Nativ'!$D$6:$D$405,"&lt;"&amp;J1103,'Istoric_Nativ'!$P$6:$P$405,1,'Istoric_Nativ'!$D$6:$D$405,"&gt;="&amp;L1103),SUMIFS('Istoric_Nativ'!$H$6:$H$405,'Istoric_Nativ'!$B$6:$B$405,E1103,'Istoric_Nativ'!$C$6:$C$405,F1103,'Istoric_Nativ'!$E$6:$E$405,G1103,'Istoric_Nativ'!$D$6:$D$405,"&lt;"&amp;J1103,'Istoric_Nativ'!$P$6:$P$405,1,'Istoric_Nativ'!$D$6:$D$405,"&gt;="&amp;L1103)+SUMIFS('Istoric_Nativ'!$G$6:$G$405,'Istoric_Nativ'!$B$6:$B$405,E1103,'Istoric_Nativ'!$C$6:$C$405,F1103,'Istoric_Nativ'!$F$6:$F$405,G1103,'Istoric_Nativ'!$D$6:$D$405,"&lt;"&amp;J1103,'Istoric_Nativ'!$P$6:$P$405,1,'Istoric_Nativ'!$D$6:$D$405,"&gt;="&amp;L1103)))/M1103)</x:f>
      </x:c>
      <x:c r="P1103" s="2" t="n">
        <x:f>'Config_v6'!$B$9</x:f>
        <x:v>3</x:v>
      </x:c>
      <x:c r="Q1103" s="2" t="n">
        <x:f>IF(OR(B1103="",F1103=""),0,IFERROR(MATCH(E1103&amp;"|"&amp;F1103,SourceTable[Source_Key],0),0))</x:f>
        <x:v>0</x:v>
      </x:c>
      <x:c r="R1103" s="2" t="str">
        <x:f>IF(B1103="","",IF(F1103="","UNUSED",IF(Q1103=0,"NOT CHECKED",IF(COUNTIF(SourceTable[Source_Key],E1103&amp;"|"&amp;F1103)&lt;&gt;1,"SOURCE CONFLICT",IF(NOT(OR(INDEX(SourceTable[Status],MAX(1,Q1103))="IMPORTED",INDEX(SourceTable[Status],MAX(1,Q1103))="PARTIAL",INDEX(SourceTable[Status],MAX(1,Q1103))="SOURCE CONFLICT")),"ACCESS BLOCKED",IF(OR(INDEX(SourceTable[Coverage],Q1103)&lt;&gt;"FULL SEASON EXPORT",INDEX(SourceTable[URL],Q1103)="",INDEX(SourceTable[SHA256],Q1103)=""),"EVIDENCE INCOMPLETE",IF(AND('Input_Meci'!H97="LIVE",INDEX(SourceTable[Retrieved_UTC],Q1103)&gt;'Input_Meci'!G97),"POST CUTOFF","CLOSED")))))))</x:f>
      </x:c>
      <x:c r="S1103" s="2" t="n">
        <x:f>IF(OR(B1103="",F1103=""),0,COUNTIFS('Istoric_Nativ'!$B$6:$B$405,E1103,'Istoric_Nativ'!$C$6:$C$405,F1103,'Istoric_Nativ'!$E$6:$E$405,G1103,'Istoric_Nativ'!$D$6:$D$405,"&lt;"&amp;J1103,'Istoric_Nativ'!$O$6:$O$405,"INVALID")+COUNTIFS('Istoric_Nativ'!$B$6:$B$405,E1103,'Istoric_Nativ'!$C$6:$C$405,F1103,'Istoric_Nativ'!$E$6:$E$405,G1103,'Istoric_Nativ'!$O$6:$O$405,"INVALID",'Istoric_Nativ'!$D$6:$D$405,"*")+COUNTIFS('Istoric_Nativ'!$B$6:$B$405,E1103,'Istoric_Nativ'!$C$6:$C$405,F1103,'Istoric_Nativ'!$E$6:$E$405,G1103,'Istoric_Nativ'!$D$6:$D$405,"&lt;"&amp;J1103,'Istoric_Nativ'!$O$6:$O$405,"SOURCE CONFLICT")+COUNTIFS('Istoric_Nativ'!$B$6:$B$405,E1103,'Istoric_Nativ'!$C$6:$C$405,F1103,'Istoric_Nativ'!$F$6:$F$405,G1103,'Istoric_Nativ'!$D$6:$D$405,"&lt;"&amp;J1103,'Istoric_Nativ'!$O$6:$O$405,"INVALID")+COUNTIFS('Istoric_Nativ'!$B$6:$B$405,E1103,'Istoric_Nativ'!$C$6:$C$405,F1103,'Istoric_Nativ'!$F$6:$F$405,G1103,'Istoric_Nativ'!$O$6:$O$405,"INVALID",'Istoric_Nativ'!$D$6:$D$405,"*")+COUNTIFS('Istoric_Nativ'!$B$6:$B$405,E1103,'Istoric_Nativ'!$C$6:$C$405,F1103,'Istoric_Nativ'!$F$6:$F$405,G1103,'Istoric_Nativ'!$D$6:$D$405,"&lt;"&amp;J1103,'Istoric_Nativ'!$O$6:$O$405,"SOURCE CONFLICT"))</x:f>
        <x:v>0</x:v>
      </x:c>
      <x:c r="T1103" s="2" t="str">
        <x:f>IF(B1103="","",IF(R1103&lt;&gt;"CLOSED",R1103,IF(S1103&gt;0,"NATIVE INPUT ISSUE",IF(M1103=0,"NO HISTORY",IF(M1103&lt;P1103,"SMALL SAMPLE","DERIVED")))))</x:f>
      </x:c>
      <x:c r="U1103" s="2" t="str">
        <x:f>IF(B1103="","","NativeTable; "&amp;E1103&amp;"; "&amp;F1103&amp;"; "&amp;G1103&amp;"; "&amp;H1103&amp;"; before "&amp;TEXT(J1103,"yyyy-mm-dd")&amp;IF(I1103="RECENT","; from "&amp;TEXT(L1103,"yyyy-mm-dd"),""))</x:f>
      </x:c>
    </x:row>
    <x:row r="1104" ht="21" customHeight="1">
      <x:c r="A1104" s="2" t="n">
        <x:v>92</x:v>
      </x:c>
      <x:c r="B1104" s="2" t="str">
        <x:f>IF('Input_Meci'!A97="","",'Input_Meci'!A97)</x:f>
      </x:c>
      <x:c r="C1104" s="2" t="str">
        <x:v>H</x:v>
      </x:c>
      <x:c r="D1104" s="2" t="str">
        <x:v>PRIOR</x:v>
      </x:c>
      <x:c r="E1104" s="2" t="str">
        <x:f>IF(B1104="","",'Input_Meci'!B97)</x:f>
      </x:c>
      <x:c r="F1104" s="2" t="str">
        <x:f>IF(B1104="","",IF('Input_Meci'!K97="","",'Input_Meci'!K97))</x:f>
      </x:c>
      <x:c r="G1104" s="2" t="str">
        <x:f>IF(B1104="","",'Input_Meci'!D97)</x:f>
      </x:c>
      <x:c r="H1104" s="2" t="str">
        <x:v>ANY</x:v>
      </x:c>
      <x:c r="I1104" s="2" t="str">
        <x:v>SEASON</x:v>
      </x:c>
      <x:c r="J1104" s="9" t="n">
        <x:f>IF(AND(B1104&lt;&gt;"",ISNUMBER('Input_Meci'!G97)),INT('Input_Meci'!G97),0)</x:f>
        <x:v>0</x:v>
      </x:c>
      <x:c r="K1104" s="2" t="n">
        <x:f>IF(OR(B1104="",F1104=""),0,IF(H1104="HOME",COUNTIFS('Istoric_Nativ'!$B$6:$B$405,E1104,'Istoric_Nativ'!$C$6:$C$405,F1104,'Istoric_Nativ'!$E$6:$E$405,G1104,'Istoric_Nativ'!$D$6:$D$405,"&lt;"&amp;J1104,'Istoric_Nativ'!$P$6:$P$405,1),IF(H1104="AWAY",COUNTIFS('Istoric_Nativ'!$B$6:$B$405,E1104,'Istoric_Nativ'!$C$6:$C$405,F1104,'Istoric_Nativ'!$F$6:$F$405,G1104,'Istoric_Nativ'!$D$6:$D$405,"&lt;"&amp;J1104,'Istoric_Nativ'!$P$6:$P$405,1),COUNTIFS('Istoric_Nativ'!$B$6:$B$405,E1104,'Istoric_Nativ'!$C$6:$C$405,F1104,'Istoric_Nativ'!$E$6:$E$405,G1104,'Istoric_Nativ'!$D$6:$D$405,"&lt;"&amp;J1104,'Istoric_Nativ'!$P$6:$P$405,1)+COUNTIFS('Istoric_Nativ'!$B$6:$B$405,E1104,'Istoric_Nativ'!$C$6:$C$405,F1104,'Istoric_Nativ'!$F$6:$F$405,G1104,'Istoric_Nativ'!$D$6:$D$405,"&lt;"&amp;J1104,'Istoric_Nativ'!$P$6:$P$405,1))))</x:f>
        <x:v>0</x:v>
      </x:c>
      <x:c r="L1104" s="17" t="n">
        <x:f>IF(AND(B1104&lt;&gt;"",I1104="RECENT",K1104&gt;0),LARGE(_xlfn._xlws.FILTER('Istoric_Nativ'!$D$6:$D$405,('Istoric_Nativ'!$B$6:$B$405=E1104)*('Istoric_Nativ'!$C$6:$C$405=F1104)*('Istoric_Nativ'!$P$6:$P$405=1)*('Istoric_Nativ'!$D$6:$D$405&lt;J1104)*((('Istoric_Nativ'!$E$6:$E$405=G1104)+('Istoric_Nativ'!$F$6:$F$405=G1104))&gt;0)),MIN('Config_v6'!$B$54,K1104)),0)</x:f>
        <x:v>0</x:v>
      </x:c>
      <x:c r="M1104" s="2" t="n">
        <x:f>IF(OR(B1104="",F1104=""),0,IF(H1104="HOME",COUNTIFS('Istoric_Nativ'!$B$6:$B$405,E1104,'Istoric_Nativ'!$C$6:$C$405,F1104,'Istoric_Nativ'!$E$6:$E$405,G1104,'Istoric_Nativ'!$D$6:$D$405,"&lt;"&amp;J1104,'Istoric_Nativ'!$P$6:$P$405,1,'Istoric_Nativ'!$D$6:$D$405,"&gt;="&amp;L1104),IF(H1104="AWAY",COUNTIFS('Istoric_Nativ'!$B$6:$B$405,E1104,'Istoric_Nativ'!$C$6:$C$405,F1104,'Istoric_Nativ'!$F$6:$F$405,G1104,'Istoric_Nativ'!$D$6:$D$405,"&lt;"&amp;J1104,'Istoric_Nativ'!$P$6:$P$405,1,'Istoric_Nativ'!$D$6:$D$405,"&gt;="&amp;L1104),COUNTIFS('Istoric_Nativ'!$B$6:$B$405,E1104,'Istoric_Nativ'!$C$6:$C$405,F1104,'Istoric_Nativ'!$E$6:$E$405,G1104,'Istoric_Nativ'!$D$6:$D$405,"&lt;"&amp;J1104,'Istoric_Nativ'!$P$6:$P$405,1,'Istoric_Nativ'!$D$6:$D$405,"&gt;="&amp;L1104)+COUNTIFS('Istoric_Nativ'!$B$6:$B$405,E1104,'Istoric_Nativ'!$C$6:$C$405,F1104,'Istoric_Nativ'!$F$6:$F$405,G1104,'Istoric_Nativ'!$D$6:$D$405,"&lt;"&amp;J1104,'Istoric_Nativ'!$P$6:$P$405,1,'Istoric_Nativ'!$D$6:$D$405,"&gt;="&amp;L1104))))</x:f>
        <x:v>0</x:v>
      </x:c>
      <x:c r="N1104" s="11" t="str">
        <x:f>IF(M1104=0,"",IF(H1104="HOME",SUMIFS('Istoric_Nativ'!$G$6:$G$405,'Istoric_Nativ'!$B$6:$B$405,E1104,'Istoric_Nativ'!$C$6:$C$405,F1104,'Istoric_Nativ'!$E$6:$E$405,G1104,'Istoric_Nativ'!$D$6:$D$405,"&lt;"&amp;J1104,'Istoric_Nativ'!$P$6:$P$405,1,'Istoric_Nativ'!$D$6:$D$405,"&gt;="&amp;L1104),IF(H1104="AWAY",SUMIFS('Istoric_Nativ'!$H$6:$H$405,'Istoric_Nativ'!$B$6:$B$405,E1104,'Istoric_Nativ'!$C$6:$C$405,F1104,'Istoric_Nativ'!$F$6:$F$405,G1104,'Istoric_Nativ'!$D$6:$D$405,"&lt;"&amp;J1104,'Istoric_Nativ'!$P$6:$P$405,1,'Istoric_Nativ'!$D$6:$D$405,"&gt;="&amp;L1104),SUMIFS('Istoric_Nativ'!$G$6:$G$405,'Istoric_Nativ'!$B$6:$B$405,E1104,'Istoric_Nativ'!$C$6:$C$405,F1104,'Istoric_Nativ'!$E$6:$E$405,G1104,'Istoric_Nativ'!$D$6:$D$405,"&lt;"&amp;J1104,'Istoric_Nativ'!$P$6:$P$405,1,'Istoric_Nativ'!$D$6:$D$405,"&gt;="&amp;L1104)+SUMIFS('Istoric_Nativ'!$H$6:$H$405,'Istoric_Nativ'!$B$6:$B$405,E1104,'Istoric_Nativ'!$C$6:$C$405,F1104,'Istoric_Nativ'!$F$6:$F$405,G1104,'Istoric_Nativ'!$D$6:$D$405,"&lt;"&amp;J1104,'Istoric_Nativ'!$P$6:$P$405,1,'Istoric_Nativ'!$D$6:$D$405,"&gt;="&amp;L1104)))/M1104)</x:f>
      </x:c>
      <x:c r="O1104" s="11" t="str">
        <x:f>IF(M1104=0,"",IF(H1104="HOME",SUMIFS('Istoric_Nativ'!$H$6:$H$405,'Istoric_Nativ'!$B$6:$B$405,E1104,'Istoric_Nativ'!$C$6:$C$405,F1104,'Istoric_Nativ'!$E$6:$E$405,G1104,'Istoric_Nativ'!$D$6:$D$405,"&lt;"&amp;J1104,'Istoric_Nativ'!$P$6:$P$405,1,'Istoric_Nativ'!$D$6:$D$405,"&gt;="&amp;L1104),IF(H1104="AWAY",SUMIFS('Istoric_Nativ'!$G$6:$G$405,'Istoric_Nativ'!$B$6:$B$405,E1104,'Istoric_Nativ'!$C$6:$C$405,F1104,'Istoric_Nativ'!$F$6:$F$405,G1104,'Istoric_Nativ'!$D$6:$D$405,"&lt;"&amp;J1104,'Istoric_Nativ'!$P$6:$P$405,1,'Istoric_Nativ'!$D$6:$D$405,"&gt;="&amp;L1104),SUMIFS('Istoric_Nativ'!$H$6:$H$405,'Istoric_Nativ'!$B$6:$B$405,E1104,'Istoric_Nativ'!$C$6:$C$405,F1104,'Istoric_Nativ'!$E$6:$E$405,G1104,'Istoric_Nativ'!$D$6:$D$405,"&lt;"&amp;J1104,'Istoric_Nativ'!$P$6:$P$405,1,'Istoric_Nativ'!$D$6:$D$405,"&gt;="&amp;L1104)+SUMIFS('Istoric_Nativ'!$G$6:$G$405,'Istoric_Nativ'!$B$6:$B$405,E1104,'Istoric_Nativ'!$C$6:$C$405,F1104,'Istoric_Nativ'!$F$6:$F$405,G1104,'Istoric_Nativ'!$D$6:$D$405,"&lt;"&amp;J1104,'Istoric_Nativ'!$P$6:$P$405,1,'Istoric_Nativ'!$D$6:$D$405,"&gt;="&amp;L1104)))/M1104)</x:f>
      </x:c>
      <x:c r="P1104" s="2" t="n">
        <x:f>'Config_v6'!$B$7</x:f>
        <x:v>10</x:v>
      </x:c>
      <x:c r="Q1104" s="2" t="n">
        <x:f>IF(OR(B1104="",F1104=""),0,IFERROR(MATCH(E1104&amp;"|"&amp;F1104,SourceTable[Source_Key],0),0))</x:f>
        <x:v>0</x:v>
      </x:c>
      <x:c r="R1104" s="2" t="str">
        <x:f>IF(B1104="","",IF(F1104="","UNUSED",IF(Q1104=0,"NOT CHECKED",IF(COUNTIF(SourceTable[Source_Key],E1104&amp;"|"&amp;F1104)&lt;&gt;1,"SOURCE CONFLICT",IF(NOT(OR(INDEX(SourceTable[Status],MAX(1,Q1104))="IMPORTED",INDEX(SourceTable[Status],MAX(1,Q1104))="PARTIAL",INDEX(SourceTable[Status],MAX(1,Q1104))="SOURCE CONFLICT")),"ACCESS BLOCKED",IF(OR(INDEX(SourceTable[Coverage],Q1104)&lt;&gt;"FULL SEASON EXPORT",INDEX(SourceTable[URL],Q1104)="",INDEX(SourceTable[SHA256],Q1104)=""),"EVIDENCE INCOMPLETE",IF(AND('Input_Meci'!H97="LIVE",INDEX(SourceTable[Retrieved_UTC],Q1104)&gt;'Input_Meci'!G97),"POST CUTOFF","CLOSED")))))))</x:f>
      </x:c>
      <x:c r="S1104" s="2" t="n">
        <x:f>IF(OR(B1104="",F1104=""),0,COUNTIFS('Istoric_Nativ'!$B$6:$B$405,E1104,'Istoric_Nativ'!$C$6:$C$405,F1104,'Istoric_Nativ'!$E$6:$E$405,G1104,'Istoric_Nativ'!$D$6:$D$405,"&lt;"&amp;J1104,'Istoric_Nativ'!$O$6:$O$405,"INVALID")+COUNTIFS('Istoric_Nativ'!$B$6:$B$405,E1104,'Istoric_Nativ'!$C$6:$C$405,F1104,'Istoric_Nativ'!$E$6:$E$405,G1104,'Istoric_Nativ'!$O$6:$O$405,"INVALID",'Istoric_Nativ'!$D$6:$D$405,"*")+COUNTIFS('Istoric_Nativ'!$B$6:$B$405,E1104,'Istoric_Nativ'!$C$6:$C$405,F1104,'Istoric_Nativ'!$E$6:$E$405,G1104,'Istoric_Nativ'!$D$6:$D$405,"&lt;"&amp;J1104,'Istoric_Nativ'!$O$6:$O$405,"SOURCE CONFLICT")+COUNTIFS('Istoric_Nativ'!$B$6:$B$405,E1104,'Istoric_Nativ'!$C$6:$C$405,F1104,'Istoric_Nativ'!$F$6:$F$405,G1104,'Istoric_Nativ'!$D$6:$D$405,"&lt;"&amp;J1104,'Istoric_Nativ'!$O$6:$O$405,"INVALID")+COUNTIFS('Istoric_Nativ'!$B$6:$B$405,E1104,'Istoric_Nativ'!$C$6:$C$405,F1104,'Istoric_Nativ'!$F$6:$F$405,G1104,'Istoric_Nativ'!$O$6:$O$405,"INVALID",'Istoric_Nativ'!$D$6:$D$405,"*")+COUNTIFS('Istoric_Nativ'!$B$6:$B$405,E1104,'Istoric_Nativ'!$C$6:$C$405,F1104,'Istoric_Nativ'!$F$6:$F$405,G1104,'Istoric_Nativ'!$D$6:$D$405,"&lt;"&amp;J1104,'Istoric_Nativ'!$O$6:$O$405,"SOURCE CONFLICT"))</x:f>
        <x:v>0</x:v>
      </x:c>
      <x:c r="T1104" s="2" t="str">
        <x:f>IF(B1104="","",IF(R1104&lt;&gt;"CLOSED",R1104,IF(S1104&gt;0,"NATIVE INPUT ISSUE",IF(M1104=0,"NO HISTORY",IF(M1104&lt;P1104,"SMALL SAMPLE","DERIVED")))))</x:f>
      </x:c>
      <x:c r="U1104" s="2" t="str">
        <x:f>IF(B1104="","","NativeTable; "&amp;E1104&amp;"; "&amp;F1104&amp;"; "&amp;G1104&amp;"; "&amp;H1104&amp;"; before "&amp;TEXT(J1104,"yyyy-mm-dd")&amp;IF(I1104="RECENT","; from "&amp;TEXT(L1104,"yyyy-mm-dd"),""))</x:f>
      </x:c>
    </x:row>
    <x:row r="1105" ht="21" customHeight="1">
      <x:c r="A1105" s="2" t="n">
        <x:v>92</x:v>
      </x:c>
      <x:c r="B1105" s="2" t="str">
        <x:f>IF('Input_Meci'!A97="","",'Input_Meci'!A97)</x:f>
      </x:c>
      <x:c r="C1105" s="2" t="str">
        <x:v>H</x:v>
      </x:c>
      <x:c r="D1105" s="2" t="str">
        <x:v>PRIOR</x:v>
      </x:c>
      <x:c r="E1105" s="2" t="str">
        <x:f>IF(B1105="","",'Input_Meci'!B97)</x:f>
      </x:c>
      <x:c r="F1105" s="2" t="str">
        <x:f>IF(B1105="","",IF('Input_Meci'!K97="","",'Input_Meci'!K97))</x:f>
      </x:c>
      <x:c r="G1105" s="2" t="str">
        <x:f>IF(B1105="","",'Input_Meci'!D97)</x:f>
      </x:c>
      <x:c r="H1105" s="2" t="str">
        <x:v>HOME</x:v>
      </x:c>
      <x:c r="I1105" s="2" t="str">
        <x:v>HA</x:v>
      </x:c>
      <x:c r="J1105" s="9" t="n">
        <x:f>IF(AND(B1105&lt;&gt;"",ISNUMBER('Input_Meci'!G97)),INT('Input_Meci'!G97),0)</x:f>
        <x:v>0</x:v>
      </x:c>
      <x:c r="K1105" s="2" t="n">
        <x:f>IF(OR(B1105="",F1105=""),0,IF(H1105="HOME",COUNTIFS('Istoric_Nativ'!$B$6:$B$405,E1105,'Istoric_Nativ'!$C$6:$C$405,F1105,'Istoric_Nativ'!$E$6:$E$405,G1105,'Istoric_Nativ'!$D$6:$D$405,"&lt;"&amp;J1105,'Istoric_Nativ'!$P$6:$P$405,1),IF(H1105="AWAY",COUNTIFS('Istoric_Nativ'!$B$6:$B$405,E1105,'Istoric_Nativ'!$C$6:$C$405,F1105,'Istoric_Nativ'!$F$6:$F$405,G1105,'Istoric_Nativ'!$D$6:$D$405,"&lt;"&amp;J1105,'Istoric_Nativ'!$P$6:$P$405,1),COUNTIFS('Istoric_Nativ'!$B$6:$B$405,E1105,'Istoric_Nativ'!$C$6:$C$405,F1105,'Istoric_Nativ'!$E$6:$E$405,G1105,'Istoric_Nativ'!$D$6:$D$405,"&lt;"&amp;J1105,'Istoric_Nativ'!$P$6:$P$405,1)+COUNTIFS('Istoric_Nativ'!$B$6:$B$405,E1105,'Istoric_Nativ'!$C$6:$C$405,F1105,'Istoric_Nativ'!$F$6:$F$405,G1105,'Istoric_Nativ'!$D$6:$D$405,"&lt;"&amp;J1105,'Istoric_Nativ'!$P$6:$P$405,1))))</x:f>
        <x:v>0</x:v>
      </x:c>
      <x:c r="L1105" s="17" t="n">
        <x:f>IF(AND(B1105&lt;&gt;"",I1105="RECENT",K1105&gt;0),LARGE(_xlfn._xlws.FILTER('Istoric_Nativ'!$D$6:$D$405,('Istoric_Nativ'!$B$6:$B$405=E1105)*('Istoric_Nativ'!$C$6:$C$405=F1105)*('Istoric_Nativ'!$P$6:$P$405=1)*('Istoric_Nativ'!$D$6:$D$405&lt;J1105)*((('Istoric_Nativ'!$E$6:$E$405=G1105)+('Istoric_Nativ'!$F$6:$F$405=G1105))&gt;0)),MIN('Config_v6'!$B$54,K1105)),0)</x:f>
        <x:v>0</x:v>
      </x:c>
      <x:c r="M1105" s="2" t="n">
        <x:f>IF(OR(B1105="",F1105=""),0,IF(H1105="HOME",COUNTIFS('Istoric_Nativ'!$B$6:$B$405,E1105,'Istoric_Nativ'!$C$6:$C$405,F1105,'Istoric_Nativ'!$E$6:$E$405,G1105,'Istoric_Nativ'!$D$6:$D$405,"&lt;"&amp;J1105,'Istoric_Nativ'!$P$6:$P$405,1,'Istoric_Nativ'!$D$6:$D$405,"&gt;="&amp;L1105),IF(H1105="AWAY",COUNTIFS('Istoric_Nativ'!$B$6:$B$405,E1105,'Istoric_Nativ'!$C$6:$C$405,F1105,'Istoric_Nativ'!$F$6:$F$405,G1105,'Istoric_Nativ'!$D$6:$D$405,"&lt;"&amp;J1105,'Istoric_Nativ'!$P$6:$P$405,1,'Istoric_Nativ'!$D$6:$D$405,"&gt;="&amp;L1105),COUNTIFS('Istoric_Nativ'!$B$6:$B$405,E1105,'Istoric_Nativ'!$C$6:$C$405,F1105,'Istoric_Nativ'!$E$6:$E$405,G1105,'Istoric_Nativ'!$D$6:$D$405,"&lt;"&amp;J1105,'Istoric_Nativ'!$P$6:$P$405,1,'Istoric_Nativ'!$D$6:$D$405,"&gt;="&amp;L1105)+COUNTIFS('Istoric_Nativ'!$B$6:$B$405,E1105,'Istoric_Nativ'!$C$6:$C$405,F1105,'Istoric_Nativ'!$F$6:$F$405,G1105,'Istoric_Nativ'!$D$6:$D$405,"&lt;"&amp;J1105,'Istoric_Nativ'!$P$6:$P$405,1,'Istoric_Nativ'!$D$6:$D$405,"&gt;="&amp;L1105))))</x:f>
        <x:v>0</x:v>
      </x:c>
      <x:c r="N1105" s="11" t="str">
        <x:f>IF(M1105=0,"",IF(H1105="HOME",SUMIFS('Istoric_Nativ'!$G$6:$G$405,'Istoric_Nativ'!$B$6:$B$405,E1105,'Istoric_Nativ'!$C$6:$C$405,F1105,'Istoric_Nativ'!$E$6:$E$405,G1105,'Istoric_Nativ'!$D$6:$D$405,"&lt;"&amp;J1105,'Istoric_Nativ'!$P$6:$P$405,1,'Istoric_Nativ'!$D$6:$D$405,"&gt;="&amp;L1105),IF(H1105="AWAY",SUMIFS('Istoric_Nativ'!$H$6:$H$405,'Istoric_Nativ'!$B$6:$B$405,E1105,'Istoric_Nativ'!$C$6:$C$405,F1105,'Istoric_Nativ'!$F$6:$F$405,G1105,'Istoric_Nativ'!$D$6:$D$405,"&lt;"&amp;J1105,'Istoric_Nativ'!$P$6:$P$405,1,'Istoric_Nativ'!$D$6:$D$405,"&gt;="&amp;L1105),SUMIFS('Istoric_Nativ'!$G$6:$G$405,'Istoric_Nativ'!$B$6:$B$405,E1105,'Istoric_Nativ'!$C$6:$C$405,F1105,'Istoric_Nativ'!$E$6:$E$405,G1105,'Istoric_Nativ'!$D$6:$D$405,"&lt;"&amp;J1105,'Istoric_Nativ'!$P$6:$P$405,1,'Istoric_Nativ'!$D$6:$D$405,"&gt;="&amp;L1105)+SUMIFS('Istoric_Nativ'!$H$6:$H$405,'Istoric_Nativ'!$B$6:$B$405,E1105,'Istoric_Nativ'!$C$6:$C$405,F1105,'Istoric_Nativ'!$F$6:$F$405,G1105,'Istoric_Nativ'!$D$6:$D$405,"&lt;"&amp;J1105,'Istoric_Nativ'!$P$6:$P$405,1,'Istoric_Nativ'!$D$6:$D$405,"&gt;="&amp;L1105)))/M1105)</x:f>
      </x:c>
      <x:c r="O1105" s="11" t="str">
        <x:f>IF(M1105=0,"",IF(H1105="HOME",SUMIFS('Istoric_Nativ'!$H$6:$H$405,'Istoric_Nativ'!$B$6:$B$405,E1105,'Istoric_Nativ'!$C$6:$C$405,F1105,'Istoric_Nativ'!$E$6:$E$405,G1105,'Istoric_Nativ'!$D$6:$D$405,"&lt;"&amp;J1105,'Istoric_Nativ'!$P$6:$P$405,1,'Istoric_Nativ'!$D$6:$D$405,"&gt;="&amp;L1105),IF(H1105="AWAY",SUMIFS('Istoric_Nativ'!$G$6:$G$405,'Istoric_Nativ'!$B$6:$B$405,E1105,'Istoric_Nativ'!$C$6:$C$405,F1105,'Istoric_Nativ'!$F$6:$F$405,G1105,'Istoric_Nativ'!$D$6:$D$405,"&lt;"&amp;J1105,'Istoric_Nativ'!$P$6:$P$405,1,'Istoric_Nativ'!$D$6:$D$405,"&gt;="&amp;L1105),SUMIFS('Istoric_Nativ'!$H$6:$H$405,'Istoric_Nativ'!$B$6:$B$405,E1105,'Istoric_Nativ'!$C$6:$C$405,F1105,'Istoric_Nativ'!$E$6:$E$405,G1105,'Istoric_Nativ'!$D$6:$D$405,"&lt;"&amp;J1105,'Istoric_Nativ'!$P$6:$P$405,1,'Istoric_Nativ'!$D$6:$D$405,"&gt;="&amp;L1105)+SUMIFS('Istoric_Nativ'!$G$6:$G$405,'Istoric_Nativ'!$B$6:$B$405,E1105,'Istoric_Nativ'!$C$6:$C$405,F1105,'Istoric_Nativ'!$F$6:$F$405,G1105,'Istoric_Nativ'!$D$6:$D$405,"&lt;"&amp;J1105,'Istoric_Nativ'!$P$6:$P$405,1,'Istoric_Nativ'!$D$6:$D$405,"&gt;="&amp;L1105)))/M1105)</x:f>
      </x:c>
      <x:c r="P1105" s="2" t="n">
        <x:f>'Config_v6'!$B$8</x:f>
        <x:v>5</x:v>
      </x:c>
      <x:c r="Q1105" s="2" t="n">
        <x:f>IF(OR(B1105="",F1105=""),0,IFERROR(MATCH(E1105&amp;"|"&amp;F1105,SourceTable[Source_Key],0),0))</x:f>
        <x:v>0</x:v>
      </x:c>
      <x:c r="R1105" s="2" t="str">
        <x:f>IF(B1105="","",IF(F1105="","UNUSED",IF(Q1105=0,"NOT CHECKED",IF(COUNTIF(SourceTable[Source_Key],E1105&amp;"|"&amp;F1105)&lt;&gt;1,"SOURCE CONFLICT",IF(NOT(OR(INDEX(SourceTable[Status],MAX(1,Q1105))="IMPORTED",INDEX(SourceTable[Status],MAX(1,Q1105))="PARTIAL",INDEX(SourceTable[Status],MAX(1,Q1105))="SOURCE CONFLICT")),"ACCESS BLOCKED",IF(OR(INDEX(SourceTable[Coverage],Q1105)&lt;&gt;"FULL SEASON EXPORT",INDEX(SourceTable[URL],Q1105)="",INDEX(SourceTable[SHA256],Q1105)=""),"EVIDENCE INCOMPLETE",IF(AND('Input_Meci'!H97="LIVE",INDEX(SourceTable[Retrieved_UTC],Q1105)&gt;'Input_Meci'!G97),"POST CUTOFF","CLOSED")))))))</x:f>
      </x:c>
      <x:c r="S1105" s="2" t="n">
        <x:f>IF(OR(B1105="",F1105=""),0,COUNTIFS('Istoric_Nativ'!$B$6:$B$405,E1105,'Istoric_Nativ'!$C$6:$C$405,F1105,'Istoric_Nativ'!$E$6:$E$405,G1105,'Istoric_Nativ'!$D$6:$D$405,"&lt;"&amp;J1105,'Istoric_Nativ'!$O$6:$O$405,"INVALID")+COUNTIFS('Istoric_Nativ'!$B$6:$B$405,E1105,'Istoric_Nativ'!$C$6:$C$405,F1105,'Istoric_Nativ'!$E$6:$E$405,G1105,'Istoric_Nativ'!$O$6:$O$405,"INVALID",'Istoric_Nativ'!$D$6:$D$405,"*")+COUNTIFS('Istoric_Nativ'!$B$6:$B$405,E1105,'Istoric_Nativ'!$C$6:$C$405,F1105,'Istoric_Nativ'!$E$6:$E$405,G1105,'Istoric_Nativ'!$D$6:$D$405,"&lt;"&amp;J1105,'Istoric_Nativ'!$O$6:$O$405,"SOURCE CONFLICT")+COUNTIFS('Istoric_Nativ'!$B$6:$B$405,E1105,'Istoric_Nativ'!$C$6:$C$405,F1105,'Istoric_Nativ'!$F$6:$F$405,G1105,'Istoric_Nativ'!$D$6:$D$405,"&lt;"&amp;J1105,'Istoric_Nativ'!$O$6:$O$405,"INVALID")+COUNTIFS('Istoric_Nativ'!$B$6:$B$405,E1105,'Istoric_Nativ'!$C$6:$C$405,F1105,'Istoric_Nativ'!$F$6:$F$405,G1105,'Istoric_Nativ'!$O$6:$O$405,"INVALID",'Istoric_Nativ'!$D$6:$D$405,"*")+COUNTIFS('Istoric_Nativ'!$B$6:$B$405,E1105,'Istoric_Nativ'!$C$6:$C$405,F1105,'Istoric_Nativ'!$F$6:$F$405,G1105,'Istoric_Nativ'!$D$6:$D$405,"&lt;"&amp;J1105,'Istoric_Nativ'!$O$6:$O$405,"SOURCE CONFLICT"))</x:f>
        <x:v>0</x:v>
      </x:c>
      <x:c r="T1105" s="2" t="str">
        <x:f>IF(B1105="","",IF(R1105&lt;&gt;"CLOSED",R1105,IF(S1105&gt;0,"NATIVE INPUT ISSUE",IF(M1105=0,"NO HISTORY",IF(M1105&lt;P1105,"SMALL SAMPLE","DERIVED")))))</x:f>
      </x:c>
      <x:c r="U1105" s="2" t="str">
        <x:f>IF(B1105="","","NativeTable; "&amp;E1105&amp;"; "&amp;F1105&amp;"; "&amp;G1105&amp;"; "&amp;H1105&amp;"; before "&amp;TEXT(J1105,"yyyy-mm-dd")&amp;IF(I1105="RECENT","; from "&amp;TEXT(L1105,"yyyy-mm-dd"),""))</x:f>
      </x:c>
    </x:row>
    <x:row r="1106" ht="21" customHeight="1">
      <x:c r="A1106" s="2" t="n">
        <x:v>92</x:v>
      </x:c>
      <x:c r="B1106" s="2" t="str">
        <x:f>IF('Input_Meci'!A97="","",'Input_Meci'!A97)</x:f>
      </x:c>
      <x:c r="C1106" s="2" t="str">
        <x:v>H</x:v>
      </x:c>
      <x:c r="D1106" s="2" t="str">
        <x:v>PRIOR</x:v>
      </x:c>
      <x:c r="E1106" s="2" t="str">
        <x:f>IF(B1106="","",'Input_Meci'!B97)</x:f>
      </x:c>
      <x:c r="F1106" s="2" t="str">
        <x:f>IF(B1106="","",IF('Input_Meci'!K97="","",'Input_Meci'!K97))</x:f>
      </x:c>
      <x:c r="G1106" s="2" t="str">
        <x:f>IF(B1106="","",'Input_Meci'!D97)</x:f>
      </x:c>
      <x:c r="H1106" s="2" t="str">
        <x:v>ANY</x:v>
      </x:c>
      <x:c r="I1106" s="2" t="str">
        <x:v>RECENT</x:v>
      </x:c>
      <x:c r="J1106" s="9" t="n">
        <x:f>IF(AND(B1106&lt;&gt;"",ISNUMBER('Input_Meci'!G97)),INT('Input_Meci'!G97),0)</x:f>
        <x:v>0</x:v>
      </x:c>
      <x:c r="K1106" s="2" t="n">
        <x:f>IF(OR(B1106="",F1106=""),0,IF(H1106="HOME",COUNTIFS('Istoric_Nativ'!$B$6:$B$405,E1106,'Istoric_Nativ'!$C$6:$C$405,F1106,'Istoric_Nativ'!$E$6:$E$405,G1106,'Istoric_Nativ'!$D$6:$D$405,"&lt;"&amp;J1106,'Istoric_Nativ'!$P$6:$P$405,1),IF(H1106="AWAY",COUNTIFS('Istoric_Nativ'!$B$6:$B$405,E1106,'Istoric_Nativ'!$C$6:$C$405,F1106,'Istoric_Nativ'!$F$6:$F$405,G1106,'Istoric_Nativ'!$D$6:$D$405,"&lt;"&amp;J1106,'Istoric_Nativ'!$P$6:$P$405,1),COUNTIFS('Istoric_Nativ'!$B$6:$B$405,E1106,'Istoric_Nativ'!$C$6:$C$405,F1106,'Istoric_Nativ'!$E$6:$E$405,G1106,'Istoric_Nativ'!$D$6:$D$405,"&lt;"&amp;J1106,'Istoric_Nativ'!$P$6:$P$405,1)+COUNTIFS('Istoric_Nativ'!$B$6:$B$405,E1106,'Istoric_Nativ'!$C$6:$C$405,F1106,'Istoric_Nativ'!$F$6:$F$405,G1106,'Istoric_Nativ'!$D$6:$D$405,"&lt;"&amp;J1106,'Istoric_Nativ'!$P$6:$P$405,1))))</x:f>
        <x:v>0</x:v>
      </x:c>
      <x:c r="L1106" s="17" t="n">
        <x:f>IF(AND(B1106&lt;&gt;"",I1106="RECENT",K1106&gt;0),LARGE(_xlfn._xlws.FILTER('Istoric_Nativ'!$D$6:$D$405,('Istoric_Nativ'!$B$6:$B$405=E1106)*('Istoric_Nativ'!$C$6:$C$405=F1106)*('Istoric_Nativ'!$P$6:$P$405=1)*('Istoric_Nativ'!$D$6:$D$405&lt;J1106)*((('Istoric_Nativ'!$E$6:$E$405=G1106)+('Istoric_Nativ'!$F$6:$F$405=G1106))&gt;0)),MIN('Config_v6'!$B$54,K1106)),0)</x:f>
        <x:v>0</x:v>
      </x:c>
      <x:c r="M1106" s="2" t="n">
        <x:f>IF(OR(B1106="",F1106=""),0,IF(H1106="HOME",COUNTIFS('Istoric_Nativ'!$B$6:$B$405,E1106,'Istoric_Nativ'!$C$6:$C$405,F1106,'Istoric_Nativ'!$E$6:$E$405,G1106,'Istoric_Nativ'!$D$6:$D$405,"&lt;"&amp;J1106,'Istoric_Nativ'!$P$6:$P$405,1,'Istoric_Nativ'!$D$6:$D$405,"&gt;="&amp;L1106),IF(H1106="AWAY",COUNTIFS('Istoric_Nativ'!$B$6:$B$405,E1106,'Istoric_Nativ'!$C$6:$C$405,F1106,'Istoric_Nativ'!$F$6:$F$405,G1106,'Istoric_Nativ'!$D$6:$D$405,"&lt;"&amp;J1106,'Istoric_Nativ'!$P$6:$P$405,1,'Istoric_Nativ'!$D$6:$D$405,"&gt;="&amp;L1106),COUNTIFS('Istoric_Nativ'!$B$6:$B$405,E1106,'Istoric_Nativ'!$C$6:$C$405,F1106,'Istoric_Nativ'!$E$6:$E$405,G1106,'Istoric_Nativ'!$D$6:$D$405,"&lt;"&amp;J1106,'Istoric_Nativ'!$P$6:$P$405,1,'Istoric_Nativ'!$D$6:$D$405,"&gt;="&amp;L1106)+COUNTIFS('Istoric_Nativ'!$B$6:$B$405,E1106,'Istoric_Nativ'!$C$6:$C$405,F1106,'Istoric_Nativ'!$F$6:$F$405,G1106,'Istoric_Nativ'!$D$6:$D$405,"&lt;"&amp;J1106,'Istoric_Nativ'!$P$6:$P$405,1,'Istoric_Nativ'!$D$6:$D$405,"&gt;="&amp;L1106))))</x:f>
        <x:v>0</x:v>
      </x:c>
      <x:c r="N1106" s="11" t="str">
        <x:f>IF(M1106=0,"",IF(H1106="HOME",SUMIFS('Istoric_Nativ'!$G$6:$G$405,'Istoric_Nativ'!$B$6:$B$405,E1106,'Istoric_Nativ'!$C$6:$C$405,F1106,'Istoric_Nativ'!$E$6:$E$405,G1106,'Istoric_Nativ'!$D$6:$D$405,"&lt;"&amp;J1106,'Istoric_Nativ'!$P$6:$P$405,1,'Istoric_Nativ'!$D$6:$D$405,"&gt;="&amp;L1106),IF(H1106="AWAY",SUMIFS('Istoric_Nativ'!$H$6:$H$405,'Istoric_Nativ'!$B$6:$B$405,E1106,'Istoric_Nativ'!$C$6:$C$405,F1106,'Istoric_Nativ'!$F$6:$F$405,G1106,'Istoric_Nativ'!$D$6:$D$405,"&lt;"&amp;J1106,'Istoric_Nativ'!$P$6:$P$405,1,'Istoric_Nativ'!$D$6:$D$405,"&gt;="&amp;L1106),SUMIFS('Istoric_Nativ'!$G$6:$G$405,'Istoric_Nativ'!$B$6:$B$405,E1106,'Istoric_Nativ'!$C$6:$C$405,F1106,'Istoric_Nativ'!$E$6:$E$405,G1106,'Istoric_Nativ'!$D$6:$D$405,"&lt;"&amp;J1106,'Istoric_Nativ'!$P$6:$P$405,1,'Istoric_Nativ'!$D$6:$D$405,"&gt;="&amp;L1106)+SUMIFS('Istoric_Nativ'!$H$6:$H$405,'Istoric_Nativ'!$B$6:$B$405,E1106,'Istoric_Nativ'!$C$6:$C$405,F1106,'Istoric_Nativ'!$F$6:$F$405,G1106,'Istoric_Nativ'!$D$6:$D$405,"&lt;"&amp;J1106,'Istoric_Nativ'!$P$6:$P$405,1,'Istoric_Nativ'!$D$6:$D$405,"&gt;="&amp;L1106)))/M1106)</x:f>
      </x:c>
      <x:c r="O1106" s="11" t="str">
        <x:f>IF(M1106=0,"",IF(H1106="HOME",SUMIFS('Istoric_Nativ'!$H$6:$H$405,'Istoric_Nativ'!$B$6:$B$405,E1106,'Istoric_Nativ'!$C$6:$C$405,F1106,'Istoric_Nativ'!$E$6:$E$405,G1106,'Istoric_Nativ'!$D$6:$D$405,"&lt;"&amp;J1106,'Istoric_Nativ'!$P$6:$P$405,1,'Istoric_Nativ'!$D$6:$D$405,"&gt;="&amp;L1106),IF(H1106="AWAY",SUMIFS('Istoric_Nativ'!$G$6:$G$405,'Istoric_Nativ'!$B$6:$B$405,E1106,'Istoric_Nativ'!$C$6:$C$405,F1106,'Istoric_Nativ'!$F$6:$F$405,G1106,'Istoric_Nativ'!$D$6:$D$405,"&lt;"&amp;J1106,'Istoric_Nativ'!$P$6:$P$405,1,'Istoric_Nativ'!$D$6:$D$405,"&gt;="&amp;L1106),SUMIFS('Istoric_Nativ'!$H$6:$H$405,'Istoric_Nativ'!$B$6:$B$405,E1106,'Istoric_Nativ'!$C$6:$C$405,F1106,'Istoric_Nativ'!$E$6:$E$405,G1106,'Istoric_Nativ'!$D$6:$D$405,"&lt;"&amp;J1106,'Istoric_Nativ'!$P$6:$P$405,1,'Istoric_Nativ'!$D$6:$D$405,"&gt;="&amp;L1106)+SUMIFS('Istoric_Nativ'!$G$6:$G$405,'Istoric_Nativ'!$B$6:$B$405,E1106,'Istoric_Nativ'!$C$6:$C$405,F1106,'Istoric_Nativ'!$F$6:$F$405,G1106,'Istoric_Nativ'!$D$6:$D$405,"&lt;"&amp;J1106,'Istoric_Nativ'!$P$6:$P$405,1,'Istoric_Nativ'!$D$6:$D$405,"&gt;="&amp;L1106)))/M1106)</x:f>
      </x:c>
      <x:c r="P1106" s="2" t="n">
        <x:f>'Config_v6'!$B$9</x:f>
        <x:v>3</x:v>
      </x:c>
      <x:c r="Q1106" s="2" t="n">
        <x:f>IF(OR(B1106="",F1106=""),0,IFERROR(MATCH(E1106&amp;"|"&amp;F1106,SourceTable[Source_Key],0),0))</x:f>
        <x:v>0</x:v>
      </x:c>
      <x:c r="R1106" s="2" t="str">
        <x:f>IF(B1106="","",IF(F1106="","UNUSED",IF(Q1106=0,"NOT CHECKED",IF(COUNTIF(SourceTable[Source_Key],E1106&amp;"|"&amp;F1106)&lt;&gt;1,"SOURCE CONFLICT",IF(NOT(OR(INDEX(SourceTable[Status],MAX(1,Q1106))="IMPORTED",INDEX(SourceTable[Status],MAX(1,Q1106))="PARTIAL",INDEX(SourceTable[Status],MAX(1,Q1106))="SOURCE CONFLICT")),"ACCESS BLOCKED",IF(OR(INDEX(SourceTable[Coverage],Q1106)&lt;&gt;"FULL SEASON EXPORT",INDEX(SourceTable[URL],Q1106)="",INDEX(SourceTable[SHA256],Q1106)=""),"EVIDENCE INCOMPLETE",IF(AND('Input_Meci'!H97="LIVE",INDEX(SourceTable[Retrieved_UTC],Q1106)&gt;'Input_Meci'!G97),"POST CUTOFF","CLOSED")))))))</x:f>
      </x:c>
      <x:c r="S1106" s="2" t="n">
        <x:f>IF(OR(B1106="",F1106=""),0,COUNTIFS('Istoric_Nativ'!$B$6:$B$405,E1106,'Istoric_Nativ'!$C$6:$C$405,F1106,'Istoric_Nativ'!$E$6:$E$405,G1106,'Istoric_Nativ'!$D$6:$D$405,"&lt;"&amp;J1106,'Istoric_Nativ'!$O$6:$O$405,"INVALID")+COUNTIFS('Istoric_Nativ'!$B$6:$B$405,E1106,'Istoric_Nativ'!$C$6:$C$405,F1106,'Istoric_Nativ'!$E$6:$E$405,G1106,'Istoric_Nativ'!$O$6:$O$405,"INVALID",'Istoric_Nativ'!$D$6:$D$405,"*")+COUNTIFS('Istoric_Nativ'!$B$6:$B$405,E1106,'Istoric_Nativ'!$C$6:$C$405,F1106,'Istoric_Nativ'!$E$6:$E$405,G1106,'Istoric_Nativ'!$D$6:$D$405,"&lt;"&amp;J1106,'Istoric_Nativ'!$O$6:$O$405,"SOURCE CONFLICT")+COUNTIFS('Istoric_Nativ'!$B$6:$B$405,E1106,'Istoric_Nativ'!$C$6:$C$405,F1106,'Istoric_Nativ'!$F$6:$F$405,G1106,'Istoric_Nativ'!$D$6:$D$405,"&lt;"&amp;J1106,'Istoric_Nativ'!$O$6:$O$405,"INVALID")+COUNTIFS('Istoric_Nativ'!$B$6:$B$405,E1106,'Istoric_Nativ'!$C$6:$C$405,F1106,'Istoric_Nativ'!$F$6:$F$405,G1106,'Istoric_Nativ'!$O$6:$O$405,"INVALID",'Istoric_Nativ'!$D$6:$D$405,"*")+COUNTIFS('Istoric_Nativ'!$B$6:$B$405,E1106,'Istoric_Nativ'!$C$6:$C$405,F1106,'Istoric_Nativ'!$F$6:$F$405,G1106,'Istoric_Nativ'!$D$6:$D$405,"&lt;"&amp;J1106,'Istoric_Nativ'!$O$6:$O$405,"SOURCE CONFLICT"))</x:f>
        <x:v>0</x:v>
      </x:c>
      <x:c r="T1106" s="2" t="str">
        <x:f>IF(B1106="","",IF(R1106&lt;&gt;"CLOSED",R1106,IF(S1106&gt;0,"NATIVE INPUT ISSUE",IF(M1106=0,"NO HISTORY",IF(M1106&lt;P1106,"SMALL SAMPLE","DERIVED")))))</x:f>
      </x:c>
      <x:c r="U1106" s="2" t="str">
        <x:f>IF(B1106="","","NativeTable; "&amp;E1106&amp;"; "&amp;F1106&amp;"; "&amp;G1106&amp;"; "&amp;H1106&amp;"; before "&amp;TEXT(J1106,"yyyy-mm-dd")&amp;IF(I1106="RECENT","; from "&amp;TEXT(L1106,"yyyy-mm-dd"),""))</x:f>
      </x:c>
    </x:row>
    <x:row r="1107" ht="21" customHeight="1">
      <x:c r="A1107" s="2" t="n">
        <x:v>92</x:v>
      </x:c>
      <x:c r="B1107" s="2" t="str">
        <x:f>IF('Input_Meci'!A97="","",'Input_Meci'!A97)</x:f>
      </x:c>
      <x:c r="C1107" s="2" t="str">
        <x:v>A</x:v>
      </x:c>
      <x:c r="D1107" s="2" t="str">
        <x:v>PRIOR</x:v>
      </x:c>
      <x:c r="E1107" s="2" t="str">
        <x:f>IF(B1107="","",'Input_Meci'!B97)</x:f>
      </x:c>
      <x:c r="F1107" s="2" t="str">
        <x:f>IF(B1107="","",IF('Input_Meci'!K97="","",'Input_Meci'!K97))</x:f>
      </x:c>
      <x:c r="G1107" s="2" t="str">
        <x:f>IF(B1107="","",'Input_Meci'!E97)</x:f>
      </x:c>
      <x:c r="H1107" s="2" t="str">
        <x:v>ANY</x:v>
      </x:c>
      <x:c r="I1107" s="2" t="str">
        <x:v>SEASON</x:v>
      </x:c>
      <x:c r="J1107" s="9" t="n">
        <x:f>IF(AND(B1107&lt;&gt;"",ISNUMBER('Input_Meci'!G97)),INT('Input_Meci'!G97),0)</x:f>
        <x:v>0</x:v>
      </x:c>
      <x:c r="K1107" s="2" t="n">
        <x:f>IF(OR(B1107="",F1107=""),0,IF(H1107="HOME",COUNTIFS('Istoric_Nativ'!$B$6:$B$405,E1107,'Istoric_Nativ'!$C$6:$C$405,F1107,'Istoric_Nativ'!$E$6:$E$405,G1107,'Istoric_Nativ'!$D$6:$D$405,"&lt;"&amp;J1107,'Istoric_Nativ'!$P$6:$P$405,1),IF(H1107="AWAY",COUNTIFS('Istoric_Nativ'!$B$6:$B$405,E1107,'Istoric_Nativ'!$C$6:$C$405,F1107,'Istoric_Nativ'!$F$6:$F$405,G1107,'Istoric_Nativ'!$D$6:$D$405,"&lt;"&amp;J1107,'Istoric_Nativ'!$P$6:$P$405,1),COUNTIFS('Istoric_Nativ'!$B$6:$B$405,E1107,'Istoric_Nativ'!$C$6:$C$405,F1107,'Istoric_Nativ'!$E$6:$E$405,G1107,'Istoric_Nativ'!$D$6:$D$405,"&lt;"&amp;J1107,'Istoric_Nativ'!$P$6:$P$405,1)+COUNTIFS('Istoric_Nativ'!$B$6:$B$405,E1107,'Istoric_Nativ'!$C$6:$C$405,F1107,'Istoric_Nativ'!$F$6:$F$405,G1107,'Istoric_Nativ'!$D$6:$D$405,"&lt;"&amp;J1107,'Istoric_Nativ'!$P$6:$P$405,1))))</x:f>
        <x:v>0</x:v>
      </x:c>
      <x:c r="L1107" s="17" t="n">
        <x:f>IF(AND(B1107&lt;&gt;"",I1107="RECENT",K1107&gt;0),LARGE(_xlfn._xlws.FILTER('Istoric_Nativ'!$D$6:$D$405,('Istoric_Nativ'!$B$6:$B$405=E1107)*('Istoric_Nativ'!$C$6:$C$405=F1107)*('Istoric_Nativ'!$P$6:$P$405=1)*('Istoric_Nativ'!$D$6:$D$405&lt;J1107)*((('Istoric_Nativ'!$E$6:$E$405=G1107)+('Istoric_Nativ'!$F$6:$F$405=G1107))&gt;0)),MIN('Config_v6'!$B$54,K1107)),0)</x:f>
        <x:v>0</x:v>
      </x:c>
      <x:c r="M1107" s="2" t="n">
        <x:f>IF(OR(B1107="",F1107=""),0,IF(H1107="HOME",COUNTIFS('Istoric_Nativ'!$B$6:$B$405,E1107,'Istoric_Nativ'!$C$6:$C$405,F1107,'Istoric_Nativ'!$E$6:$E$405,G1107,'Istoric_Nativ'!$D$6:$D$405,"&lt;"&amp;J1107,'Istoric_Nativ'!$P$6:$P$405,1,'Istoric_Nativ'!$D$6:$D$405,"&gt;="&amp;L1107),IF(H1107="AWAY",COUNTIFS('Istoric_Nativ'!$B$6:$B$405,E1107,'Istoric_Nativ'!$C$6:$C$405,F1107,'Istoric_Nativ'!$F$6:$F$405,G1107,'Istoric_Nativ'!$D$6:$D$405,"&lt;"&amp;J1107,'Istoric_Nativ'!$P$6:$P$405,1,'Istoric_Nativ'!$D$6:$D$405,"&gt;="&amp;L1107),COUNTIFS('Istoric_Nativ'!$B$6:$B$405,E1107,'Istoric_Nativ'!$C$6:$C$405,F1107,'Istoric_Nativ'!$E$6:$E$405,G1107,'Istoric_Nativ'!$D$6:$D$405,"&lt;"&amp;J1107,'Istoric_Nativ'!$P$6:$P$405,1,'Istoric_Nativ'!$D$6:$D$405,"&gt;="&amp;L1107)+COUNTIFS('Istoric_Nativ'!$B$6:$B$405,E1107,'Istoric_Nativ'!$C$6:$C$405,F1107,'Istoric_Nativ'!$F$6:$F$405,G1107,'Istoric_Nativ'!$D$6:$D$405,"&lt;"&amp;J1107,'Istoric_Nativ'!$P$6:$P$405,1,'Istoric_Nativ'!$D$6:$D$405,"&gt;="&amp;L1107))))</x:f>
        <x:v>0</x:v>
      </x:c>
      <x:c r="N1107" s="11" t="str">
        <x:f>IF(M1107=0,"",IF(H1107="HOME",SUMIFS('Istoric_Nativ'!$G$6:$G$405,'Istoric_Nativ'!$B$6:$B$405,E1107,'Istoric_Nativ'!$C$6:$C$405,F1107,'Istoric_Nativ'!$E$6:$E$405,G1107,'Istoric_Nativ'!$D$6:$D$405,"&lt;"&amp;J1107,'Istoric_Nativ'!$P$6:$P$405,1,'Istoric_Nativ'!$D$6:$D$405,"&gt;="&amp;L1107),IF(H1107="AWAY",SUMIFS('Istoric_Nativ'!$H$6:$H$405,'Istoric_Nativ'!$B$6:$B$405,E1107,'Istoric_Nativ'!$C$6:$C$405,F1107,'Istoric_Nativ'!$F$6:$F$405,G1107,'Istoric_Nativ'!$D$6:$D$405,"&lt;"&amp;J1107,'Istoric_Nativ'!$P$6:$P$405,1,'Istoric_Nativ'!$D$6:$D$405,"&gt;="&amp;L1107),SUMIFS('Istoric_Nativ'!$G$6:$G$405,'Istoric_Nativ'!$B$6:$B$405,E1107,'Istoric_Nativ'!$C$6:$C$405,F1107,'Istoric_Nativ'!$E$6:$E$405,G1107,'Istoric_Nativ'!$D$6:$D$405,"&lt;"&amp;J1107,'Istoric_Nativ'!$P$6:$P$405,1,'Istoric_Nativ'!$D$6:$D$405,"&gt;="&amp;L1107)+SUMIFS('Istoric_Nativ'!$H$6:$H$405,'Istoric_Nativ'!$B$6:$B$405,E1107,'Istoric_Nativ'!$C$6:$C$405,F1107,'Istoric_Nativ'!$F$6:$F$405,G1107,'Istoric_Nativ'!$D$6:$D$405,"&lt;"&amp;J1107,'Istoric_Nativ'!$P$6:$P$405,1,'Istoric_Nativ'!$D$6:$D$405,"&gt;="&amp;L1107)))/M1107)</x:f>
      </x:c>
      <x:c r="O1107" s="11" t="str">
        <x:f>IF(M1107=0,"",IF(H1107="HOME",SUMIFS('Istoric_Nativ'!$H$6:$H$405,'Istoric_Nativ'!$B$6:$B$405,E1107,'Istoric_Nativ'!$C$6:$C$405,F1107,'Istoric_Nativ'!$E$6:$E$405,G1107,'Istoric_Nativ'!$D$6:$D$405,"&lt;"&amp;J1107,'Istoric_Nativ'!$P$6:$P$405,1,'Istoric_Nativ'!$D$6:$D$405,"&gt;="&amp;L1107),IF(H1107="AWAY",SUMIFS('Istoric_Nativ'!$G$6:$G$405,'Istoric_Nativ'!$B$6:$B$405,E1107,'Istoric_Nativ'!$C$6:$C$405,F1107,'Istoric_Nativ'!$F$6:$F$405,G1107,'Istoric_Nativ'!$D$6:$D$405,"&lt;"&amp;J1107,'Istoric_Nativ'!$P$6:$P$405,1,'Istoric_Nativ'!$D$6:$D$405,"&gt;="&amp;L1107),SUMIFS('Istoric_Nativ'!$H$6:$H$405,'Istoric_Nativ'!$B$6:$B$405,E1107,'Istoric_Nativ'!$C$6:$C$405,F1107,'Istoric_Nativ'!$E$6:$E$405,G1107,'Istoric_Nativ'!$D$6:$D$405,"&lt;"&amp;J1107,'Istoric_Nativ'!$P$6:$P$405,1,'Istoric_Nativ'!$D$6:$D$405,"&gt;="&amp;L1107)+SUMIFS('Istoric_Nativ'!$G$6:$G$405,'Istoric_Nativ'!$B$6:$B$405,E1107,'Istoric_Nativ'!$C$6:$C$405,F1107,'Istoric_Nativ'!$F$6:$F$405,G1107,'Istoric_Nativ'!$D$6:$D$405,"&lt;"&amp;J1107,'Istoric_Nativ'!$P$6:$P$405,1,'Istoric_Nativ'!$D$6:$D$405,"&gt;="&amp;L1107)))/M1107)</x:f>
      </x:c>
      <x:c r="P1107" s="2" t="n">
        <x:f>'Config_v6'!$B$7</x:f>
        <x:v>10</x:v>
      </x:c>
      <x:c r="Q1107" s="2" t="n">
        <x:f>IF(OR(B1107="",F1107=""),0,IFERROR(MATCH(E1107&amp;"|"&amp;F1107,SourceTable[Source_Key],0),0))</x:f>
        <x:v>0</x:v>
      </x:c>
      <x:c r="R1107" s="2" t="str">
        <x:f>IF(B1107="","",IF(F1107="","UNUSED",IF(Q1107=0,"NOT CHECKED",IF(COUNTIF(SourceTable[Source_Key],E1107&amp;"|"&amp;F1107)&lt;&gt;1,"SOURCE CONFLICT",IF(NOT(OR(INDEX(SourceTable[Status],MAX(1,Q1107))="IMPORTED",INDEX(SourceTable[Status],MAX(1,Q1107))="PARTIAL",INDEX(SourceTable[Status],MAX(1,Q1107))="SOURCE CONFLICT")),"ACCESS BLOCKED",IF(OR(INDEX(SourceTable[Coverage],Q1107)&lt;&gt;"FULL SEASON EXPORT",INDEX(SourceTable[URL],Q1107)="",INDEX(SourceTable[SHA256],Q1107)=""),"EVIDENCE INCOMPLETE",IF(AND('Input_Meci'!H97="LIVE",INDEX(SourceTable[Retrieved_UTC],Q1107)&gt;'Input_Meci'!G97),"POST CUTOFF","CLOSED")))))))</x:f>
      </x:c>
      <x:c r="S1107" s="2" t="n">
        <x:f>IF(OR(B1107="",F1107=""),0,COUNTIFS('Istoric_Nativ'!$B$6:$B$405,E1107,'Istoric_Nativ'!$C$6:$C$405,F1107,'Istoric_Nativ'!$E$6:$E$405,G1107,'Istoric_Nativ'!$D$6:$D$405,"&lt;"&amp;J1107,'Istoric_Nativ'!$O$6:$O$405,"INVALID")+COUNTIFS('Istoric_Nativ'!$B$6:$B$405,E1107,'Istoric_Nativ'!$C$6:$C$405,F1107,'Istoric_Nativ'!$E$6:$E$405,G1107,'Istoric_Nativ'!$O$6:$O$405,"INVALID",'Istoric_Nativ'!$D$6:$D$405,"*")+COUNTIFS('Istoric_Nativ'!$B$6:$B$405,E1107,'Istoric_Nativ'!$C$6:$C$405,F1107,'Istoric_Nativ'!$E$6:$E$405,G1107,'Istoric_Nativ'!$D$6:$D$405,"&lt;"&amp;J1107,'Istoric_Nativ'!$O$6:$O$405,"SOURCE CONFLICT")+COUNTIFS('Istoric_Nativ'!$B$6:$B$405,E1107,'Istoric_Nativ'!$C$6:$C$405,F1107,'Istoric_Nativ'!$F$6:$F$405,G1107,'Istoric_Nativ'!$D$6:$D$405,"&lt;"&amp;J1107,'Istoric_Nativ'!$O$6:$O$405,"INVALID")+COUNTIFS('Istoric_Nativ'!$B$6:$B$405,E1107,'Istoric_Nativ'!$C$6:$C$405,F1107,'Istoric_Nativ'!$F$6:$F$405,G1107,'Istoric_Nativ'!$O$6:$O$405,"INVALID",'Istoric_Nativ'!$D$6:$D$405,"*")+COUNTIFS('Istoric_Nativ'!$B$6:$B$405,E1107,'Istoric_Nativ'!$C$6:$C$405,F1107,'Istoric_Nativ'!$F$6:$F$405,G1107,'Istoric_Nativ'!$D$6:$D$405,"&lt;"&amp;J1107,'Istoric_Nativ'!$O$6:$O$405,"SOURCE CONFLICT"))</x:f>
        <x:v>0</x:v>
      </x:c>
      <x:c r="T1107" s="2" t="str">
        <x:f>IF(B1107="","",IF(R1107&lt;&gt;"CLOSED",R1107,IF(S1107&gt;0,"NATIVE INPUT ISSUE",IF(M1107=0,"NO HISTORY",IF(M1107&lt;P1107,"SMALL SAMPLE","DERIVED")))))</x:f>
      </x:c>
      <x:c r="U1107" s="2" t="str">
        <x:f>IF(B1107="","","NativeTable; "&amp;E1107&amp;"; "&amp;F1107&amp;"; "&amp;G1107&amp;"; "&amp;H1107&amp;"; before "&amp;TEXT(J1107,"yyyy-mm-dd")&amp;IF(I1107="RECENT","; from "&amp;TEXT(L1107,"yyyy-mm-dd"),""))</x:f>
      </x:c>
    </x:row>
    <x:row r="1108" ht="21" customHeight="1">
      <x:c r="A1108" s="2" t="n">
        <x:v>92</x:v>
      </x:c>
      <x:c r="B1108" s="2" t="str">
        <x:f>IF('Input_Meci'!A97="","",'Input_Meci'!A97)</x:f>
      </x:c>
      <x:c r="C1108" s="2" t="str">
        <x:v>A</x:v>
      </x:c>
      <x:c r="D1108" s="2" t="str">
        <x:v>PRIOR</x:v>
      </x:c>
      <x:c r="E1108" s="2" t="str">
        <x:f>IF(B1108="","",'Input_Meci'!B97)</x:f>
      </x:c>
      <x:c r="F1108" s="2" t="str">
        <x:f>IF(B1108="","",IF('Input_Meci'!K97="","",'Input_Meci'!K97))</x:f>
      </x:c>
      <x:c r="G1108" s="2" t="str">
        <x:f>IF(B1108="","",'Input_Meci'!E97)</x:f>
      </x:c>
      <x:c r="H1108" s="2" t="str">
        <x:v>AWAY</x:v>
      </x:c>
      <x:c r="I1108" s="2" t="str">
        <x:v>HA</x:v>
      </x:c>
      <x:c r="J1108" s="9" t="n">
        <x:f>IF(AND(B1108&lt;&gt;"",ISNUMBER('Input_Meci'!G97)),INT('Input_Meci'!G97),0)</x:f>
        <x:v>0</x:v>
      </x:c>
      <x:c r="K1108" s="2" t="n">
        <x:f>IF(OR(B1108="",F1108=""),0,IF(H1108="HOME",COUNTIFS('Istoric_Nativ'!$B$6:$B$405,E1108,'Istoric_Nativ'!$C$6:$C$405,F1108,'Istoric_Nativ'!$E$6:$E$405,G1108,'Istoric_Nativ'!$D$6:$D$405,"&lt;"&amp;J1108,'Istoric_Nativ'!$P$6:$P$405,1),IF(H1108="AWAY",COUNTIFS('Istoric_Nativ'!$B$6:$B$405,E1108,'Istoric_Nativ'!$C$6:$C$405,F1108,'Istoric_Nativ'!$F$6:$F$405,G1108,'Istoric_Nativ'!$D$6:$D$405,"&lt;"&amp;J1108,'Istoric_Nativ'!$P$6:$P$405,1),COUNTIFS('Istoric_Nativ'!$B$6:$B$405,E1108,'Istoric_Nativ'!$C$6:$C$405,F1108,'Istoric_Nativ'!$E$6:$E$405,G1108,'Istoric_Nativ'!$D$6:$D$405,"&lt;"&amp;J1108,'Istoric_Nativ'!$P$6:$P$405,1)+COUNTIFS('Istoric_Nativ'!$B$6:$B$405,E1108,'Istoric_Nativ'!$C$6:$C$405,F1108,'Istoric_Nativ'!$F$6:$F$405,G1108,'Istoric_Nativ'!$D$6:$D$405,"&lt;"&amp;J1108,'Istoric_Nativ'!$P$6:$P$405,1))))</x:f>
        <x:v>0</x:v>
      </x:c>
      <x:c r="L1108" s="17" t="n">
        <x:f>IF(AND(B1108&lt;&gt;"",I1108="RECENT",K1108&gt;0),LARGE(_xlfn._xlws.FILTER('Istoric_Nativ'!$D$6:$D$405,('Istoric_Nativ'!$B$6:$B$405=E1108)*('Istoric_Nativ'!$C$6:$C$405=F1108)*('Istoric_Nativ'!$P$6:$P$405=1)*('Istoric_Nativ'!$D$6:$D$405&lt;J1108)*((('Istoric_Nativ'!$E$6:$E$405=G1108)+('Istoric_Nativ'!$F$6:$F$405=G1108))&gt;0)),MIN('Config_v6'!$B$54,K1108)),0)</x:f>
        <x:v>0</x:v>
      </x:c>
      <x:c r="M1108" s="2" t="n">
        <x:f>IF(OR(B1108="",F1108=""),0,IF(H1108="HOME",COUNTIFS('Istoric_Nativ'!$B$6:$B$405,E1108,'Istoric_Nativ'!$C$6:$C$405,F1108,'Istoric_Nativ'!$E$6:$E$405,G1108,'Istoric_Nativ'!$D$6:$D$405,"&lt;"&amp;J1108,'Istoric_Nativ'!$P$6:$P$405,1,'Istoric_Nativ'!$D$6:$D$405,"&gt;="&amp;L1108),IF(H1108="AWAY",COUNTIFS('Istoric_Nativ'!$B$6:$B$405,E1108,'Istoric_Nativ'!$C$6:$C$405,F1108,'Istoric_Nativ'!$F$6:$F$405,G1108,'Istoric_Nativ'!$D$6:$D$405,"&lt;"&amp;J1108,'Istoric_Nativ'!$P$6:$P$405,1,'Istoric_Nativ'!$D$6:$D$405,"&gt;="&amp;L1108),COUNTIFS('Istoric_Nativ'!$B$6:$B$405,E1108,'Istoric_Nativ'!$C$6:$C$405,F1108,'Istoric_Nativ'!$E$6:$E$405,G1108,'Istoric_Nativ'!$D$6:$D$405,"&lt;"&amp;J1108,'Istoric_Nativ'!$P$6:$P$405,1,'Istoric_Nativ'!$D$6:$D$405,"&gt;="&amp;L1108)+COUNTIFS('Istoric_Nativ'!$B$6:$B$405,E1108,'Istoric_Nativ'!$C$6:$C$405,F1108,'Istoric_Nativ'!$F$6:$F$405,G1108,'Istoric_Nativ'!$D$6:$D$405,"&lt;"&amp;J1108,'Istoric_Nativ'!$P$6:$P$405,1,'Istoric_Nativ'!$D$6:$D$405,"&gt;="&amp;L1108))))</x:f>
        <x:v>0</x:v>
      </x:c>
      <x:c r="N1108" s="11" t="str">
        <x:f>IF(M1108=0,"",IF(H1108="HOME",SUMIFS('Istoric_Nativ'!$G$6:$G$405,'Istoric_Nativ'!$B$6:$B$405,E1108,'Istoric_Nativ'!$C$6:$C$405,F1108,'Istoric_Nativ'!$E$6:$E$405,G1108,'Istoric_Nativ'!$D$6:$D$405,"&lt;"&amp;J1108,'Istoric_Nativ'!$P$6:$P$405,1,'Istoric_Nativ'!$D$6:$D$405,"&gt;="&amp;L1108),IF(H1108="AWAY",SUMIFS('Istoric_Nativ'!$H$6:$H$405,'Istoric_Nativ'!$B$6:$B$405,E1108,'Istoric_Nativ'!$C$6:$C$405,F1108,'Istoric_Nativ'!$F$6:$F$405,G1108,'Istoric_Nativ'!$D$6:$D$405,"&lt;"&amp;J1108,'Istoric_Nativ'!$P$6:$P$405,1,'Istoric_Nativ'!$D$6:$D$405,"&gt;="&amp;L1108),SUMIFS('Istoric_Nativ'!$G$6:$G$405,'Istoric_Nativ'!$B$6:$B$405,E1108,'Istoric_Nativ'!$C$6:$C$405,F1108,'Istoric_Nativ'!$E$6:$E$405,G1108,'Istoric_Nativ'!$D$6:$D$405,"&lt;"&amp;J1108,'Istoric_Nativ'!$P$6:$P$405,1,'Istoric_Nativ'!$D$6:$D$405,"&gt;="&amp;L1108)+SUMIFS('Istoric_Nativ'!$H$6:$H$405,'Istoric_Nativ'!$B$6:$B$405,E1108,'Istoric_Nativ'!$C$6:$C$405,F1108,'Istoric_Nativ'!$F$6:$F$405,G1108,'Istoric_Nativ'!$D$6:$D$405,"&lt;"&amp;J1108,'Istoric_Nativ'!$P$6:$P$405,1,'Istoric_Nativ'!$D$6:$D$405,"&gt;="&amp;L1108)))/M1108)</x:f>
      </x:c>
      <x:c r="O1108" s="11" t="str">
        <x:f>IF(M1108=0,"",IF(H1108="HOME",SUMIFS('Istoric_Nativ'!$H$6:$H$405,'Istoric_Nativ'!$B$6:$B$405,E1108,'Istoric_Nativ'!$C$6:$C$405,F1108,'Istoric_Nativ'!$E$6:$E$405,G1108,'Istoric_Nativ'!$D$6:$D$405,"&lt;"&amp;J1108,'Istoric_Nativ'!$P$6:$P$405,1,'Istoric_Nativ'!$D$6:$D$405,"&gt;="&amp;L1108),IF(H1108="AWAY",SUMIFS('Istoric_Nativ'!$G$6:$G$405,'Istoric_Nativ'!$B$6:$B$405,E1108,'Istoric_Nativ'!$C$6:$C$405,F1108,'Istoric_Nativ'!$F$6:$F$405,G1108,'Istoric_Nativ'!$D$6:$D$405,"&lt;"&amp;J1108,'Istoric_Nativ'!$P$6:$P$405,1,'Istoric_Nativ'!$D$6:$D$405,"&gt;="&amp;L1108),SUMIFS('Istoric_Nativ'!$H$6:$H$405,'Istoric_Nativ'!$B$6:$B$405,E1108,'Istoric_Nativ'!$C$6:$C$405,F1108,'Istoric_Nativ'!$E$6:$E$405,G1108,'Istoric_Nativ'!$D$6:$D$405,"&lt;"&amp;J1108,'Istoric_Nativ'!$P$6:$P$405,1,'Istoric_Nativ'!$D$6:$D$405,"&gt;="&amp;L1108)+SUMIFS('Istoric_Nativ'!$G$6:$G$405,'Istoric_Nativ'!$B$6:$B$405,E1108,'Istoric_Nativ'!$C$6:$C$405,F1108,'Istoric_Nativ'!$F$6:$F$405,G1108,'Istoric_Nativ'!$D$6:$D$405,"&lt;"&amp;J1108,'Istoric_Nativ'!$P$6:$P$405,1,'Istoric_Nativ'!$D$6:$D$405,"&gt;="&amp;L1108)))/M1108)</x:f>
      </x:c>
      <x:c r="P1108" s="2" t="n">
        <x:f>'Config_v6'!$B$8</x:f>
        <x:v>5</x:v>
      </x:c>
      <x:c r="Q1108" s="2" t="n">
        <x:f>IF(OR(B1108="",F1108=""),0,IFERROR(MATCH(E1108&amp;"|"&amp;F1108,SourceTable[Source_Key],0),0))</x:f>
        <x:v>0</x:v>
      </x:c>
      <x:c r="R1108" s="2" t="str">
        <x:f>IF(B1108="","",IF(F1108="","UNUSED",IF(Q1108=0,"NOT CHECKED",IF(COUNTIF(SourceTable[Source_Key],E1108&amp;"|"&amp;F1108)&lt;&gt;1,"SOURCE CONFLICT",IF(NOT(OR(INDEX(SourceTable[Status],MAX(1,Q1108))="IMPORTED",INDEX(SourceTable[Status],MAX(1,Q1108))="PARTIAL",INDEX(SourceTable[Status],MAX(1,Q1108))="SOURCE CONFLICT")),"ACCESS BLOCKED",IF(OR(INDEX(SourceTable[Coverage],Q1108)&lt;&gt;"FULL SEASON EXPORT",INDEX(SourceTable[URL],Q1108)="",INDEX(SourceTable[SHA256],Q1108)=""),"EVIDENCE INCOMPLETE",IF(AND('Input_Meci'!H97="LIVE",INDEX(SourceTable[Retrieved_UTC],Q1108)&gt;'Input_Meci'!G97),"POST CUTOFF","CLOSED")))))))</x:f>
      </x:c>
      <x:c r="S1108" s="2" t="n">
        <x:f>IF(OR(B1108="",F1108=""),0,COUNTIFS('Istoric_Nativ'!$B$6:$B$405,E1108,'Istoric_Nativ'!$C$6:$C$405,F1108,'Istoric_Nativ'!$E$6:$E$405,G1108,'Istoric_Nativ'!$D$6:$D$405,"&lt;"&amp;J1108,'Istoric_Nativ'!$O$6:$O$405,"INVALID")+COUNTIFS('Istoric_Nativ'!$B$6:$B$405,E1108,'Istoric_Nativ'!$C$6:$C$405,F1108,'Istoric_Nativ'!$E$6:$E$405,G1108,'Istoric_Nativ'!$O$6:$O$405,"INVALID",'Istoric_Nativ'!$D$6:$D$405,"*")+COUNTIFS('Istoric_Nativ'!$B$6:$B$405,E1108,'Istoric_Nativ'!$C$6:$C$405,F1108,'Istoric_Nativ'!$E$6:$E$405,G1108,'Istoric_Nativ'!$D$6:$D$405,"&lt;"&amp;J1108,'Istoric_Nativ'!$O$6:$O$405,"SOURCE CONFLICT")+COUNTIFS('Istoric_Nativ'!$B$6:$B$405,E1108,'Istoric_Nativ'!$C$6:$C$405,F1108,'Istoric_Nativ'!$F$6:$F$405,G1108,'Istoric_Nativ'!$D$6:$D$405,"&lt;"&amp;J1108,'Istoric_Nativ'!$O$6:$O$405,"INVALID")+COUNTIFS('Istoric_Nativ'!$B$6:$B$405,E1108,'Istoric_Nativ'!$C$6:$C$405,F1108,'Istoric_Nativ'!$F$6:$F$405,G1108,'Istoric_Nativ'!$O$6:$O$405,"INVALID",'Istoric_Nativ'!$D$6:$D$405,"*")+COUNTIFS('Istoric_Nativ'!$B$6:$B$405,E1108,'Istoric_Nativ'!$C$6:$C$405,F1108,'Istoric_Nativ'!$F$6:$F$405,G1108,'Istoric_Nativ'!$D$6:$D$405,"&lt;"&amp;J1108,'Istoric_Nativ'!$O$6:$O$405,"SOURCE CONFLICT"))</x:f>
        <x:v>0</x:v>
      </x:c>
      <x:c r="T1108" s="2" t="str">
        <x:f>IF(B1108="","",IF(R1108&lt;&gt;"CLOSED",R1108,IF(S1108&gt;0,"NATIVE INPUT ISSUE",IF(M1108=0,"NO HISTORY",IF(M1108&lt;P1108,"SMALL SAMPLE","DERIVED")))))</x:f>
      </x:c>
      <x:c r="U1108" s="2" t="str">
        <x:f>IF(B1108="","","NativeTable; "&amp;E1108&amp;"; "&amp;F1108&amp;"; "&amp;G1108&amp;"; "&amp;H1108&amp;"; before "&amp;TEXT(J1108,"yyyy-mm-dd")&amp;IF(I1108="RECENT","; from "&amp;TEXT(L1108,"yyyy-mm-dd"),""))</x:f>
      </x:c>
    </x:row>
    <x:row r="1109" ht="21" customHeight="1">
      <x:c r="A1109" s="2" t="n">
        <x:v>92</x:v>
      </x:c>
      <x:c r="B1109" s="2" t="str">
        <x:f>IF('Input_Meci'!A97="","",'Input_Meci'!A97)</x:f>
      </x:c>
      <x:c r="C1109" s="2" t="str">
        <x:v>A</x:v>
      </x:c>
      <x:c r="D1109" s="2" t="str">
        <x:v>PRIOR</x:v>
      </x:c>
      <x:c r="E1109" s="2" t="str">
        <x:f>IF(B1109="","",'Input_Meci'!B97)</x:f>
      </x:c>
      <x:c r="F1109" s="2" t="str">
        <x:f>IF(B1109="","",IF('Input_Meci'!K97="","",'Input_Meci'!K97))</x:f>
      </x:c>
      <x:c r="G1109" s="2" t="str">
        <x:f>IF(B1109="","",'Input_Meci'!E97)</x:f>
      </x:c>
      <x:c r="H1109" s="2" t="str">
        <x:v>ANY</x:v>
      </x:c>
      <x:c r="I1109" s="2" t="str">
        <x:v>RECENT</x:v>
      </x:c>
      <x:c r="J1109" s="9" t="n">
        <x:f>IF(AND(B1109&lt;&gt;"",ISNUMBER('Input_Meci'!G97)),INT('Input_Meci'!G97),0)</x:f>
        <x:v>0</x:v>
      </x:c>
      <x:c r="K1109" s="2" t="n">
        <x:f>IF(OR(B1109="",F1109=""),0,IF(H1109="HOME",COUNTIFS('Istoric_Nativ'!$B$6:$B$405,E1109,'Istoric_Nativ'!$C$6:$C$405,F1109,'Istoric_Nativ'!$E$6:$E$405,G1109,'Istoric_Nativ'!$D$6:$D$405,"&lt;"&amp;J1109,'Istoric_Nativ'!$P$6:$P$405,1),IF(H1109="AWAY",COUNTIFS('Istoric_Nativ'!$B$6:$B$405,E1109,'Istoric_Nativ'!$C$6:$C$405,F1109,'Istoric_Nativ'!$F$6:$F$405,G1109,'Istoric_Nativ'!$D$6:$D$405,"&lt;"&amp;J1109,'Istoric_Nativ'!$P$6:$P$405,1),COUNTIFS('Istoric_Nativ'!$B$6:$B$405,E1109,'Istoric_Nativ'!$C$6:$C$405,F1109,'Istoric_Nativ'!$E$6:$E$405,G1109,'Istoric_Nativ'!$D$6:$D$405,"&lt;"&amp;J1109,'Istoric_Nativ'!$P$6:$P$405,1)+COUNTIFS('Istoric_Nativ'!$B$6:$B$405,E1109,'Istoric_Nativ'!$C$6:$C$405,F1109,'Istoric_Nativ'!$F$6:$F$405,G1109,'Istoric_Nativ'!$D$6:$D$405,"&lt;"&amp;J1109,'Istoric_Nativ'!$P$6:$P$405,1))))</x:f>
        <x:v>0</x:v>
      </x:c>
      <x:c r="L1109" s="17" t="n">
        <x:f>IF(AND(B1109&lt;&gt;"",I1109="RECENT",K1109&gt;0),LARGE(_xlfn._xlws.FILTER('Istoric_Nativ'!$D$6:$D$405,('Istoric_Nativ'!$B$6:$B$405=E1109)*('Istoric_Nativ'!$C$6:$C$405=F1109)*('Istoric_Nativ'!$P$6:$P$405=1)*('Istoric_Nativ'!$D$6:$D$405&lt;J1109)*((('Istoric_Nativ'!$E$6:$E$405=G1109)+('Istoric_Nativ'!$F$6:$F$405=G1109))&gt;0)),MIN('Config_v6'!$B$54,K1109)),0)</x:f>
        <x:v>0</x:v>
      </x:c>
      <x:c r="M1109" s="2" t="n">
        <x:f>IF(OR(B1109="",F1109=""),0,IF(H1109="HOME",COUNTIFS('Istoric_Nativ'!$B$6:$B$405,E1109,'Istoric_Nativ'!$C$6:$C$405,F1109,'Istoric_Nativ'!$E$6:$E$405,G1109,'Istoric_Nativ'!$D$6:$D$405,"&lt;"&amp;J1109,'Istoric_Nativ'!$P$6:$P$405,1,'Istoric_Nativ'!$D$6:$D$405,"&gt;="&amp;L1109),IF(H1109="AWAY",COUNTIFS('Istoric_Nativ'!$B$6:$B$405,E1109,'Istoric_Nativ'!$C$6:$C$405,F1109,'Istoric_Nativ'!$F$6:$F$405,G1109,'Istoric_Nativ'!$D$6:$D$405,"&lt;"&amp;J1109,'Istoric_Nativ'!$P$6:$P$405,1,'Istoric_Nativ'!$D$6:$D$405,"&gt;="&amp;L1109),COUNTIFS('Istoric_Nativ'!$B$6:$B$405,E1109,'Istoric_Nativ'!$C$6:$C$405,F1109,'Istoric_Nativ'!$E$6:$E$405,G1109,'Istoric_Nativ'!$D$6:$D$405,"&lt;"&amp;J1109,'Istoric_Nativ'!$P$6:$P$405,1,'Istoric_Nativ'!$D$6:$D$405,"&gt;="&amp;L1109)+COUNTIFS('Istoric_Nativ'!$B$6:$B$405,E1109,'Istoric_Nativ'!$C$6:$C$405,F1109,'Istoric_Nativ'!$F$6:$F$405,G1109,'Istoric_Nativ'!$D$6:$D$405,"&lt;"&amp;J1109,'Istoric_Nativ'!$P$6:$P$405,1,'Istoric_Nativ'!$D$6:$D$405,"&gt;="&amp;L1109))))</x:f>
        <x:v>0</x:v>
      </x:c>
      <x:c r="N1109" s="11" t="str">
        <x:f>IF(M1109=0,"",IF(H1109="HOME",SUMIFS('Istoric_Nativ'!$G$6:$G$405,'Istoric_Nativ'!$B$6:$B$405,E1109,'Istoric_Nativ'!$C$6:$C$405,F1109,'Istoric_Nativ'!$E$6:$E$405,G1109,'Istoric_Nativ'!$D$6:$D$405,"&lt;"&amp;J1109,'Istoric_Nativ'!$P$6:$P$405,1,'Istoric_Nativ'!$D$6:$D$405,"&gt;="&amp;L1109),IF(H1109="AWAY",SUMIFS('Istoric_Nativ'!$H$6:$H$405,'Istoric_Nativ'!$B$6:$B$405,E1109,'Istoric_Nativ'!$C$6:$C$405,F1109,'Istoric_Nativ'!$F$6:$F$405,G1109,'Istoric_Nativ'!$D$6:$D$405,"&lt;"&amp;J1109,'Istoric_Nativ'!$P$6:$P$405,1,'Istoric_Nativ'!$D$6:$D$405,"&gt;="&amp;L1109),SUMIFS('Istoric_Nativ'!$G$6:$G$405,'Istoric_Nativ'!$B$6:$B$405,E1109,'Istoric_Nativ'!$C$6:$C$405,F1109,'Istoric_Nativ'!$E$6:$E$405,G1109,'Istoric_Nativ'!$D$6:$D$405,"&lt;"&amp;J1109,'Istoric_Nativ'!$P$6:$P$405,1,'Istoric_Nativ'!$D$6:$D$405,"&gt;="&amp;L1109)+SUMIFS('Istoric_Nativ'!$H$6:$H$405,'Istoric_Nativ'!$B$6:$B$405,E1109,'Istoric_Nativ'!$C$6:$C$405,F1109,'Istoric_Nativ'!$F$6:$F$405,G1109,'Istoric_Nativ'!$D$6:$D$405,"&lt;"&amp;J1109,'Istoric_Nativ'!$P$6:$P$405,1,'Istoric_Nativ'!$D$6:$D$405,"&gt;="&amp;L1109)))/M1109)</x:f>
      </x:c>
      <x:c r="O1109" s="11" t="str">
        <x:f>IF(M1109=0,"",IF(H1109="HOME",SUMIFS('Istoric_Nativ'!$H$6:$H$405,'Istoric_Nativ'!$B$6:$B$405,E1109,'Istoric_Nativ'!$C$6:$C$405,F1109,'Istoric_Nativ'!$E$6:$E$405,G1109,'Istoric_Nativ'!$D$6:$D$405,"&lt;"&amp;J1109,'Istoric_Nativ'!$P$6:$P$405,1,'Istoric_Nativ'!$D$6:$D$405,"&gt;="&amp;L1109),IF(H1109="AWAY",SUMIFS('Istoric_Nativ'!$G$6:$G$405,'Istoric_Nativ'!$B$6:$B$405,E1109,'Istoric_Nativ'!$C$6:$C$405,F1109,'Istoric_Nativ'!$F$6:$F$405,G1109,'Istoric_Nativ'!$D$6:$D$405,"&lt;"&amp;J1109,'Istoric_Nativ'!$P$6:$P$405,1,'Istoric_Nativ'!$D$6:$D$405,"&gt;="&amp;L1109),SUMIFS('Istoric_Nativ'!$H$6:$H$405,'Istoric_Nativ'!$B$6:$B$405,E1109,'Istoric_Nativ'!$C$6:$C$405,F1109,'Istoric_Nativ'!$E$6:$E$405,G1109,'Istoric_Nativ'!$D$6:$D$405,"&lt;"&amp;J1109,'Istoric_Nativ'!$P$6:$P$405,1,'Istoric_Nativ'!$D$6:$D$405,"&gt;="&amp;L1109)+SUMIFS('Istoric_Nativ'!$G$6:$G$405,'Istoric_Nativ'!$B$6:$B$405,E1109,'Istoric_Nativ'!$C$6:$C$405,F1109,'Istoric_Nativ'!$F$6:$F$405,G1109,'Istoric_Nativ'!$D$6:$D$405,"&lt;"&amp;J1109,'Istoric_Nativ'!$P$6:$P$405,1,'Istoric_Nativ'!$D$6:$D$405,"&gt;="&amp;L1109)))/M1109)</x:f>
      </x:c>
      <x:c r="P1109" s="2" t="n">
        <x:f>'Config_v6'!$B$9</x:f>
        <x:v>3</x:v>
      </x:c>
      <x:c r="Q1109" s="2" t="n">
        <x:f>IF(OR(B1109="",F1109=""),0,IFERROR(MATCH(E1109&amp;"|"&amp;F1109,SourceTable[Source_Key],0),0))</x:f>
        <x:v>0</x:v>
      </x:c>
      <x:c r="R1109" s="2" t="str">
        <x:f>IF(B1109="","",IF(F1109="","UNUSED",IF(Q1109=0,"NOT CHECKED",IF(COUNTIF(SourceTable[Source_Key],E1109&amp;"|"&amp;F1109)&lt;&gt;1,"SOURCE CONFLICT",IF(NOT(OR(INDEX(SourceTable[Status],MAX(1,Q1109))="IMPORTED",INDEX(SourceTable[Status],MAX(1,Q1109))="PARTIAL",INDEX(SourceTable[Status],MAX(1,Q1109))="SOURCE CONFLICT")),"ACCESS BLOCKED",IF(OR(INDEX(SourceTable[Coverage],Q1109)&lt;&gt;"FULL SEASON EXPORT",INDEX(SourceTable[URL],Q1109)="",INDEX(SourceTable[SHA256],Q1109)=""),"EVIDENCE INCOMPLETE",IF(AND('Input_Meci'!H97="LIVE",INDEX(SourceTable[Retrieved_UTC],Q1109)&gt;'Input_Meci'!G97),"POST CUTOFF","CLOSED")))))))</x:f>
      </x:c>
      <x:c r="S1109" s="2" t="n">
        <x:f>IF(OR(B1109="",F1109=""),0,COUNTIFS('Istoric_Nativ'!$B$6:$B$405,E1109,'Istoric_Nativ'!$C$6:$C$405,F1109,'Istoric_Nativ'!$E$6:$E$405,G1109,'Istoric_Nativ'!$D$6:$D$405,"&lt;"&amp;J1109,'Istoric_Nativ'!$O$6:$O$405,"INVALID")+COUNTIFS('Istoric_Nativ'!$B$6:$B$405,E1109,'Istoric_Nativ'!$C$6:$C$405,F1109,'Istoric_Nativ'!$E$6:$E$405,G1109,'Istoric_Nativ'!$O$6:$O$405,"INVALID",'Istoric_Nativ'!$D$6:$D$405,"*")+COUNTIFS('Istoric_Nativ'!$B$6:$B$405,E1109,'Istoric_Nativ'!$C$6:$C$405,F1109,'Istoric_Nativ'!$E$6:$E$405,G1109,'Istoric_Nativ'!$D$6:$D$405,"&lt;"&amp;J1109,'Istoric_Nativ'!$O$6:$O$405,"SOURCE CONFLICT")+COUNTIFS('Istoric_Nativ'!$B$6:$B$405,E1109,'Istoric_Nativ'!$C$6:$C$405,F1109,'Istoric_Nativ'!$F$6:$F$405,G1109,'Istoric_Nativ'!$D$6:$D$405,"&lt;"&amp;J1109,'Istoric_Nativ'!$O$6:$O$405,"INVALID")+COUNTIFS('Istoric_Nativ'!$B$6:$B$405,E1109,'Istoric_Nativ'!$C$6:$C$405,F1109,'Istoric_Nativ'!$F$6:$F$405,G1109,'Istoric_Nativ'!$O$6:$O$405,"INVALID",'Istoric_Nativ'!$D$6:$D$405,"*")+COUNTIFS('Istoric_Nativ'!$B$6:$B$405,E1109,'Istoric_Nativ'!$C$6:$C$405,F1109,'Istoric_Nativ'!$F$6:$F$405,G1109,'Istoric_Nativ'!$D$6:$D$405,"&lt;"&amp;J1109,'Istoric_Nativ'!$O$6:$O$405,"SOURCE CONFLICT"))</x:f>
        <x:v>0</x:v>
      </x:c>
      <x:c r="T1109" s="2" t="str">
        <x:f>IF(B1109="","",IF(R1109&lt;&gt;"CLOSED",R1109,IF(S1109&gt;0,"NATIVE INPUT ISSUE",IF(M1109=0,"NO HISTORY",IF(M1109&lt;P1109,"SMALL SAMPLE","DERIVED")))))</x:f>
      </x:c>
      <x:c r="U1109" s="2" t="str">
        <x:f>IF(B1109="","","NativeTable; "&amp;E1109&amp;"; "&amp;F1109&amp;"; "&amp;G1109&amp;"; "&amp;H1109&amp;"; before "&amp;TEXT(J1109,"yyyy-mm-dd")&amp;IF(I1109="RECENT","; from "&amp;TEXT(L1109,"yyyy-mm-dd"),""))</x:f>
      </x:c>
    </x:row>
    <x:row r="1110" ht="21" customHeight="1">
      <x:c r="A1110" s="2" t="n">
        <x:v>93</x:v>
      </x:c>
      <x:c r="B1110" s="2" t="str">
        <x:f>IF('Input_Meci'!A98="","",'Input_Meci'!A98)</x:f>
      </x:c>
      <x:c r="C1110" s="2" t="str">
        <x:v>H</x:v>
      </x:c>
      <x:c r="D1110" s="2" t="str">
        <x:v>CURRENT</x:v>
      </x:c>
      <x:c r="E1110" s="2" t="str">
        <x:f>IF(B1110="","",'Input_Meci'!B98)</x:f>
      </x:c>
      <x:c r="F1110" s="2" t="str">
        <x:f>IF(B1110="","",IF('Input_Meci'!C98="","",'Input_Meci'!C98))</x:f>
      </x:c>
      <x:c r="G1110" s="2" t="str">
        <x:f>IF(B1110="","",'Input_Meci'!D98)</x:f>
      </x:c>
      <x:c r="H1110" s="2" t="str">
        <x:v>ANY</x:v>
      </x:c>
      <x:c r="I1110" s="2" t="str">
        <x:v>SEASON</x:v>
      </x:c>
      <x:c r="J1110" s="9" t="n">
        <x:f>IF(AND(B1110&lt;&gt;"",ISNUMBER('Input_Meci'!G98)),INT('Input_Meci'!G98),0)</x:f>
        <x:v>0</x:v>
      </x:c>
      <x:c r="K1110" s="2" t="n">
        <x:f>IF(OR(B1110="",F1110=""),0,IF(H1110="HOME",COUNTIFS('Istoric_Nativ'!$B$6:$B$405,E1110,'Istoric_Nativ'!$C$6:$C$405,F1110,'Istoric_Nativ'!$E$6:$E$405,G1110,'Istoric_Nativ'!$D$6:$D$405,"&lt;"&amp;J1110,'Istoric_Nativ'!$P$6:$P$405,1),IF(H1110="AWAY",COUNTIFS('Istoric_Nativ'!$B$6:$B$405,E1110,'Istoric_Nativ'!$C$6:$C$405,F1110,'Istoric_Nativ'!$F$6:$F$405,G1110,'Istoric_Nativ'!$D$6:$D$405,"&lt;"&amp;J1110,'Istoric_Nativ'!$P$6:$P$405,1),COUNTIFS('Istoric_Nativ'!$B$6:$B$405,E1110,'Istoric_Nativ'!$C$6:$C$405,F1110,'Istoric_Nativ'!$E$6:$E$405,G1110,'Istoric_Nativ'!$D$6:$D$405,"&lt;"&amp;J1110,'Istoric_Nativ'!$P$6:$P$405,1)+COUNTIFS('Istoric_Nativ'!$B$6:$B$405,E1110,'Istoric_Nativ'!$C$6:$C$405,F1110,'Istoric_Nativ'!$F$6:$F$405,G1110,'Istoric_Nativ'!$D$6:$D$405,"&lt;"&amp;J1110,'Istoric_Nativ'!$P$6:$P$405,1))))</x:f>
        <x:v>0</x:v>
      </x:c>
      <x:c r="L1110" s="17" t="n">
        <x:f>IF(AND(B1110&lt;&gt;"",I1110="RECENT",K1110&gt;0),LARGE(_xlfn._xlws.FILTER('Istoric_Nativ'!$D$6:$D$405,('Istoric_Nativ'!$B$6:$B$405=E1110)*('Istoric_Nativ'!$C$6:$C$405=F1110)*('Istoric_Nativ'!$P$6:$P$405=1)*('Istoric_Nativ'!$D$6:$D$405&lt;J1110)*((('Istoric_Nativ'!$E$6:$E$405=G1110)+('Istoric_Nativ'!$F$6:$F$405=G1110))&gt;0)),MIN('Config_v6'!$B$54,K1110)),0)</x:f>
        <x:v>0</x:v>
      </x:c>
      <x:c r="M1110" s="2" t="n">
        <x:f>IF(OR(B1110="",F1110=""),0,IF(H1110="HOME",COUNTIFS('Istoric_Nativ'!$B$6:$B$405,E1110,'Istoric_Nativ'!$C$6:$C$405,F1110,'Istoric_Nativ'!$E$6:$E$405,G1110,'Istoric_Nativ'!$D$6:$D$405,"&lt;"&amp;J1110,'Istoric_Nativ'!$P$6:$P$405,1,'Istoric_Nativ'!$D$6:$D$405,"&gt;="&amp;L1110),IF(H1110="AWAY",COUNTIFS('Istoric_Nativ'!$B$6:$B$405,E1110,'Istoric_Nativ'!$C$6:$C$405,F1110,'Istoric_Nativ'!$F$6:$F$405,G1110,'Istoric_Nativ'!$D$6:$D$405,"&lt;"&amp;J1110,'Istoric_Nativ'!$P$6:$P$405,1,'Istoric_Nativ'!$D$6:$D$405,"&gt;="&amp;L1110),COUNTIFS('Istoric_Nativ'!$B$6:$B$405,E1110,'Istoric_Nativ'!$C$6:$C$405,F1110,'Istoric_Nativ'!$E$6:$E$405,G1110,'Istoric_Nativ'!$D$6:$D$405,"&lt;"&amp;J1110,'Istoric_Nativ'!$P$6:$P$405,1,'Istoric_Nativ'!$D$6:$D$405,"&gt;="&amp;L1110)+COUNTIFS('Istoric_Nativ'!$B$6:$B$405,E1110,'Istoric_Nativ'!$C$6:$C$405,F1110,'Istoric_Nativ'!$F$6:$F$405,G1110,'Istoric_Nativ'!$D$6:$D$405,"&lt;"&amp;J1110,'Istoric_Nativ'!$P$6:$P$405,1,'Istoric_Nativ'!$D$6:$D$405,"&gt;="&amp;L1110))))</x:f>
        <x:v>0</x:v>
      </x:c>
      <x:c r="N1110" s="11" t="str">
        <x:f>IF(M1110=0,"",IF(H1110="HOME",SUMIFS('Istoric_Nativ'!$G$6:$G$405,'Istoric_Nativ'!$B$6:$B$405,E1110,'Istoric_Nativ'!$C$6:$C$405,F1110,'Istoric_Nativ'!$E$6:$E$405,G1110,'Istoric_Nativ'!$D$6:$D$405,"&lt;"&amp;J1110,'Istoric_Nativ'!$P$6:$P$405,1,'Istoric_Nativ'!$D$6:$D$405,"&gt;="&amp;L1110),IF(H1110="AWAY",SUMIFS('Istoric_Nativ'!$H$6:$H$405,'Istoric_Nativ'!$B$6:$B$405,E1110,'Istoric_Nativ'!$C$6:$C$405,F1110,'Istoric_Nativ'!$F$6:$F$405,G1110,'Istoric_Nativ'!$D$6:$D$405,"&lt;"&amp;J1110,'Istoric_Nativ'!$P$6:$P$405,1,'Istoric_Nativ'!$D$6:$D$405,"&gt;="&amp;L1110),SUMIFS('Istoric_Nativ'!$G$6:$G$405,'Istoric_Nativ'!$B$6:$B$405,E1110,'Istoric_Nativ'!$C$6:$C$405,F1110,'Istoric_Nativ'!$E$6:$E$405,G1110,'Istoric_Nativ'!$D$6:$D$405,"&lt;"&amp;J1110,'Istoric_Nativ'!$P$6:$P$405,1,'Istoric_Nativ'!$D$6:$D$405,"&gt;="&amp;L1110)+SUMIFS('Istoric_Nativ'!$H$6:$H$405,'Istoric_Nativ'!$B$6:$B$405,E1110,'Istoric_Nativ'!$C$6:$C$405,F1110,'Istoric_Nativ'!$F$6:$F$405,G1110,'Istoric_Nativ'!$D$6:$D$405,"&lt;"&amp;J1110,'Istoric_Nativ'!$P$6:$P$405,1,'Istoric_Nativ'!$D$6:$D$405,"&gt;="&amp;L1110)))/M1110)</x:f>
      </x:c>
      <x:c r="O1110" s="11" t="str">
        <x:f>IF(M1110=0,"",IF(H1110="HOME",SUMIFS('Istoric_Nativ'!$H$6:$H$405,'Istoric_Nativ'!$B$6:$B$405,E1110,'Istoric_Nativ'!$C$6:$C$405,F1110,'Istoric_Nativ'!$E$6:$E$405,G1110,'Istoric_Nativ'!$D$6:$D$405,"&lt;"&amp;J1110,'Istoric_Nativ'!$P$6:$P$405,1,'Istoric_Nativ'!$D$6:$D$405,"&gt;="&amp;L1110),IF(H1110="AWAY",SUMIFS('Istoric_Nativ'!$G$6:$G$405,'Istoric_Nativ'!$B$6:$B$405,E1110,'Istoric_Nativ'!$C$6:$C$405,F1110,'Istoric_Nativ'!$F$6:$F$405,G1110,'Istoric_Nativ'!$D$6:$D$405,"&lt;"&amp;J1110,'Istoric_Nativ'!$P$6:$P$405,1,'Istoric_Nativ'!$D$6:$D$405,"&gt;="&amp;L1110),SUMIFS('Istoric_Nativ'!$H$6:$H$405,'Istoric_Nativ'!$B$6:$B$405,E1110,'Istoric_Nativ'!$C$6:$C$405,F1110,'Istoric_Nativ'!$E$6:$E$405,G1110,'Istoric_Nativ'!$D$6:$D$405,"&lt;"&amp;J1110,'Istoric_Nativ'!$P$6:$P$405,1,'Istoric_Nativ'!$D$6:$D$405,"&gt;="&amp;L1110)+SUMIFS('Istoric_Nativ'!$G$6:$G$405,'Istoric_Nativ'!$B$6:$B$405,E1110,'Istoric_Nativ'!$C$6:$C$405,F1110,'Istoric_Nativ'!$F$6:$F$405,G1110,'Istoric_Nativ'!$D$6:$D$405,"&lt;"&amp;J1110,'Istoric_Nativ'!$P$6:$P$405,1,'Istoric_Nativ'!$D$6:$D$405,"&gt;="&amp;L1110)))/M1110)</x:f>
      </x:c>
      <x:c r="P1110" s="2" t="n">
        <x:f>'Config_v6'!$B$7</x:f>
        <x:v>10</x:v>
      </x:c>
      <x:c r="Q1110" s="2" t="n">
        <x:f>IF(OR(B1110="",F1110=""),0,IFERROR(MATCH(E1110&amp;"|"&amp;F1110,SourceTable[Source_Key],0),0))</x:f>
        <x:v>0</x:v>
      </x:c>
      <x:c r="R1110" s="2" t="str">
        <x:f>IF(B1110="","",IF(F1110="","UNUSED",IF(Q1110=0,"NOT CHECKED",IF(COUNTIF(SourceTable[Source_Key],E1110&amp;"|"&amp;F1110)&lt;&gt;1,"SOURCE CONFLICT",IF(NOT(OR(INDEX(SourceTable[Status],MAX(1,Q1110))="IMPORTED",INDEX(SourceTable[Status],MAX(1,Q1110))="PARTIAL",INDEX(SourceTable[Status],MAX(1,Q1110))="SOURCE CONFLICT")),"ACCESS BLOCKED",IF(OR(INDEX(SourceTable[Coverage],Q1110)&lt;&gt;"FULL SEASON EXPORT",INDEX(SourceTable[URL],Q1110)="",INDEX(SourceTable[SHA256],Q1110)=""),"EVIDENCE INCOMPLETE",IF(AND('Input_Meci'!H98="LIVE",INDEX(SourceTable[Retrieved_UTC],Q1110)&gt;'Input_Meci'!G98),"POST CUTOFF","CLOSED")))))))</x:f>
      </x:c>
      <x:c r="S1110" s="2" t="n">
        <x:f>IF(OR(B1110="",F1110=""),0,COUNTIFS('Istoric_Nativ'!$B$6:$B$405,E1110,'Istoric_Nativ'!$C$6:$C$405,F1110,'Istoric_Nativ'!$E$6:$E$405,G1110,'Istoric_Nativ'!$D$6:$D$405,"&lt;"&amp;J1110,'Istoric_Nativ'!$O$6:$O$405,"INVALID")+COUNTIFS('Istoric_Nativ'!$B$6:$B$405,E1110,'Istoric_Nativ'!$C$6:$C$405,F1110,'Istoric_Nativ'!$E$6:$E$405,G1110,'Istoric_Nativ'!$O$6:$O$405,"INVALID",'Istoric_Nativ'!$D$6:$D$405,"*")+COUNTIFS('Istoric_Nativ'!$B$6:$B$405,E1110,'Istoric_Nativ'!$C$6:$C$405,F1110,'Istoric_Nativ'!$E$6:$E$405,G1110,'Istoric_Nativ'!$D$6:$D$405,"&lt;"&amp;J1110,'Istoric_Nativ'!$O$6:$O$405,"SOURCE CONFLICT")+COUNTIFS('Istoric_Nativ'!$B$6:$B$405,E1110,'Istoric_Nativ'!$C$6:$C$405,F1110,'Istoric_Nativ'!$F$6:$F$405,G1110,'Istoric_Nativ'!$D$6:$D$405,"&lt;"&amp;J1110,'Istoric_Nativ'!$O$6:$O$405,"INVALID")+COUNTIFS('Istoric_Nativ'!$B$6:$B$405,E1110,'Istoric_Nativ'!$C$6:$C$405,F1110,'Istoric_Nativ'!$F$6:$F$405,G1110,'Istoric_Nativ'!$O$6:$O$405,"INVALID",'Istoric_Nativ'!$D$6:$D$405,"*")+COUNTIFS('Istoric_Nativ'!$B$6:$B$405,E1110,'Istoric_Nativ'!$C$6:$C$405,F1110,'Istoric_Nativ'!$F$6:$F$405,G1110,'Istoric_Nativ'!$D$6:$D$405,"&lt;"&amp;J1110,'Istoric_Nativ'!$O$6:$O$405,"SOURCE CONFLICT"))</x:f>
        <x:v>0</x:v>
      </x:c>
      <x:c r="T1110" s="2" t="str">
        <x:f>IF(B1110="","",IF(R1110&lt;&gt;"CLOSED",R1110,IF(S1110&gt;0,"NATIVE INPUT ISSUE",IF(M1110=0,"NO HISTORY",IF(M1110&lt;P1110,"SMALL SAMPLE","DERIVED")))))</x:f>
      </x:c>
      <x:c r="U1110" s="2" t="str">
        <x:f>IF(B1110="","","NativeTable; "&amp;E1110&amp;"; "&amp;F1110&amp;"; "&amp;G1110&amp;"; "&amp;H1110&amp;"; before "&amp;TEXT(J1110,"yyyy-mm-dd")&amp;IF(I1110="RECENT","; from "&amp;TEXT(L1110,"yyyy-mm-dd"),""))</x:f>
      </x:c>
    </x:row>
    <x:row r="1111" ht="21" customHeight="1">
      <x:c r="A1111" s="2" t="n">
        <x:v>93</x:v>
      </x:c>
      <x:c r="B1111" s="2" t="str">
        <x:f>IF('Input_Meci'!A98="","",'Input_Meci'!A98)</x:f>
      </x:c>
      <x:c r="C1111" s="2" t="str">
        <x:v>H</x:v>
      </x:c>
      <x:c r="D1111" s="2" t="str">
        <x:v>CURRENT</x:v>
      </x:c>
      <x:c r="E1111" s="2" t="str">
        <x:f>IF(B1111="","",'Input_Meci'!B98)</x:f>
      </x:c>
      <x:c r="F1111" s="2" t="str">
        <x:f>IF(B1111="","",IF('Input_Meci'!C98="","",'Input_Meci'!C98))</x:f>
      </x:c>
      <x:c r="G1111" s="2" t="str">
        <x:f>IF(B1111="","",'Input_Meci'!D98)</x:f>
      </x:c>
      <x:c r="H1111" s="2" t="str">
        <x:v>HOME</x:v>
      </x:c>
      <x:c r="I1111" s="2" t="str">
        <x:v>HA</x:v>
      </x:c>
      <x:c r="J1111" s="9" t="n">
        <x:f>IF(AND(B1111&lt;&gt;"",ISNUMBER('Input_Meci'!G98)),INT('Input_Meci'!G98),0)</x:f>
        <x:v>0</x:v>
      </x:c>
      <x:c r="K1111" s="2" t="n">
        <x:f>IF(OR(B1111="",F1111=""),0,IF(H1111="HOME",COUNTIFS('Istoric_Nativ'!$B$6:$B$405,E1111,'Istoric_Nativ'!$C$6:$C$405,F1111,'Istoric_Nativ'!$E$6:$E$405,G1111,'Istoric_Nativ'!$D$6:$D$405,"&lt;"&amp;J1111,'Istoric_Nativ'!$P$6:$P$405,1),IF(H1111="AWAY",COUNTIFS('Istoric_Nativ'!$B$6:$B$405,E1111,'Istoric_Nativ'!$C$6:$C$405,F1111,'Istoric_Nativ'!$F$6:$F$405,G1111,'Istoric_Nativ'!$D$6:$D$405,"&lt;"&amp;J1111,'Istoric_Nativ'!$P$6:$P$405,1),COUNTIFS('Istoric_Nativ'!$B$6:$B$405,E1111,'Istoric_Nativ'!$C$6:$C$405,F1111,'Istoric_Nativ'!$E$6:$E$405,G1111,'Istoric_Nativ'!$D$6:$D$405,"&lt;"&amp;J1111,'Istoric_Nativ'!$P$6:$P$405,1)+COUNTIFS('Istoric_Nativ'!$B$6:$B$405,E1111,'Istoric_Nativ'!$C$6:$C$405,F1111,'Istoric_Nativ'!$F$6:$F$405,G1111,'Istoric_Nativ'!$D$6:$D$405,"&lt;"&amp;J1111,'Istoric_Nativ'!$P$6:$P$405,1))))</x:f>
        <x:v>0</x:v>
      </x:c>
      <x:c r="L1111" s="17" t="n">
        <x:f>IF(AND(B1111&lt;&gt;"",I1111="RECENT",K1111&gt;0),LARGE(_xlfn._xlws.FILTER('Istoric_Nativ'!$D$6:$D$405,('Istoric_Nativ'!$B$6:$B$405=E1111)*('Istoric_Nativ'!$C$6:$C$405=F1111)*('Istoric_Nativ'!$P$6:$P$405=1)*('Istoric_Nativ'!$D$6:$D$405&lt;J1111)*((('Istoric_Nativ'!$E$6:$E$405=G1111)+('Istoric_Nativ'!$F$6:$F$405=G1111))&gt;0)),MIN('Config_v6'!$B$54,K1111)),0)</x:f>
        <x:v>0</x:v>
      </x:c>
      <x:c r="M1111" s="2" t="n">
        <x:f>IF(OR(B1111="",F1111=""),0,IF(H1111="HOME",COUNTIFS('Istoric_Nativ'!$B$6:$B$405,E1111,'Istoric_Nativ'!$C$6:$C$405,F1111,'Istoric_Nativ'!$E$6:$E$405,G1111,'Istoric_Nativ'!$D$6:$D$405,"&lt;"&amp;J1111,'Istoric_Nativ'!$P$6:$P$405,1,'Istoric_Nativ'!$D$6:$D$405,"&gt;="&amp;L1111),IF(H1111="AWAY",COUNTIFS('Istoric_Nativ'!$B$6:$B$405,E1111,'Istoric_Nativ'!$C$6:$C$405,F1111,'Istoric_Nativ'!$F$6:$F$405,G1111,'Istoric_Nativ'!$D$6:$D$405,"&lt;"&amp;J1111,'Istoric_Nativ'!$P$6:$P$405,1,'Istoric_Nativ'!$D$6:$D$405,"&gt;="&amp;L1111),COUNTIFS('Istoric_Nativ'!$B$6:$B$405,E1111,'Istoric_Nativ'!$C$6:$C$405,F1111,'Istoric_Nativ'!$E$6:$E$405,G1111,'Istoric_Nativ'!$D$6:$D$405,"&lt;"&amp;J1111,'Istoric_Nativ'!$P$6:$P$405,1,'Istoric_Nativ'!$D$6:$D$405,"&gt;="&amp;L1111)+COUNTIFS('Istoric_Nativ'!$B$6:$B$405,E1111,'Istoric_Nativ'!$C$6:$C$405,F1111,'Istoric_Nativ'!$F$6:$F$405,G1111,'Istoric_Nativ'!$D$6:$D$405,"&lt;"&amp;J1111,'Istoric_Nativ'!$P$6:$P$405,1,'Istoric_Nativ'!$D$6:$D$405,"&gt;="&amp;L1111))))</x:f>
        <x:v>0</x:v>
      </x:c>
      <x:c r="N1111" s="11" t="str">
        <x:f>IF(M1111=0,"",IF(H1111="HOME",SUMIFS('Istoric_Nativ'!$G$6:$G$405,'Istoric_Nativ'!$B$6:$B$405,E1111,'Istoric_Nativ'!$C$6:$C$405,F1111,'Istoric_Nativ'!$E$6:$E$405,G1111,'Istoric_Nativ'!$D$6:$D$405,"&lt;"&amp;J1111,'Istoric_Nativ'!$P$6:$P$405,1,'Istoric_Nativ'!$D$6:$D$405,"&gt;="&amp;L1111),IF(H1111="AWAY",SUMIFS('Istoric_Nativ'!$H$6:$H$405,'Istoric_Nativ'!$B$6:$B$405,E1111,'Istoric_Nativ'!$C$6:$C$405,F1111,'Istoric_Nativ'!$F$6:$F$405,G1111,'Istoric_Nativ'!$D$6:$D$405,"&lt;"&amp;J1111,'Istoric_Nativ'!$P$6:$P$405,1,'Istoric_Nativ'!$D$6:$D$405,"&gt;="&amp;L1111),SUMIFS('Istoric_Nativ'!$G$6:$G$405,'Istoric_Nativ'!$B$6:$B$405,E1111,'Istoric_Nativ'!$C$6:$C$405,F1111,'Istoric_Nativ'!$E$6:$E$405,G1111,'Istoric_Nativ'!$D$6:$D$405,"&lt;"&amp;J1111,'Istoric_Nativ'!$P$6:$P$405,1,'Istoric_Nativ'!$D$6:$D$405,"&gt;="&amp;L1111)+SUMIFS('Istoric_Nativ'!$H$6:$H$405,'Istoric_Nativ'!$B$6:$B$405,E1111,'Istoric_Nativ'!$C$6:$C$405,F1111,'Istoric_Nativ'!$F$6:$F$405,G1111,'Istoric_Nativ'!$D$6:$D$405,"&lt;"&amp;J1111,'Istoric_Nativ'!$P$6:$P$405,1,'Istoric_Nativ'!$D$6:$D$405,"&gt;="&amp;L1111)))/M1111)</x:f>
      </x:c>
      <x:c r="O1111" s="11" t="str">
        <x:f>IF(M1111=0,"",IF(H1111="HOME",SUMIFS('Istoric_Nativ'!$H$6:$H$405,'Istoric_Nativ'!$B$6:$B$405,E1111,'Istoric_Nativ'!$C$6:$C$405,F1111,'Istoric_Nativ'!$E$6:$E$405,G1111,'Istoric_Nativ'!$D$6:$D$405,"&lt;"&amp;J1111,'Istoric_Nativ'!$P$6:$P$405,1,'Istoric_Nativ'!$D$6:$D$405,"&gt;="&amp;L1111),IF(H1111="AWAY",SUMIFS('Istoric_Nativ'!$G$6:$G$405,'Istoric_Nativ'!$B$6:$B$405,E1111,'Istoric_Nativ'!$C$6:$C$405,F1111,'Istoric_Nativ'!$F$6:$F$405,G1111,'Istoric_Nativ'!$D$6:$D$405,"&lt;"&amp;J1111,'Istoric_Nativ'!$P$6:$P$405,1,'Istoric_Nativ'!$D$6:$D$405,"&gt;="&amp;L1111),SUMIFS('Istoric_Nativ'!$H$6:$H$405,'Istoric_Nativ'!$B$6:$B$405,E1111,'Istoric_Nativ'!$C$6:$C$405,F1111,'Istoric_Nativ'!$E$6:$E$405,G1111,'Istoric_Nativ'!$D$6:$D$405,"&lt;"&amp;J1111,'Istoric_Nativ'!$P$6:$P$405,1,'Istoric_Nativ'!$D$6:$D$405,"&gt;="&amp;L1111)+SUMIFS('Istoric_Nativ'!$G$6:$G$405,'Istoric_Nativ'!$B$6:$B$405,E1111,'Istoric_Nativ'!$C$6:$C$405,F1111,'Istoric_Nativ'!$F$6:$F$405,G1111,'Istoric_Nativ'!$D$6:$D$405,"&lt;"&amp;J1111,'Istoric_Nativ'!$P$6:$P$405,1,'Istoric_Nativ'!$D$6:$D$405,"&gt;="&amp;L1111)))/M1111)</x:f>
      </x:c>
      <x:c r="P1111" s="2" t="n">
        <x:f>'Config_v6'!$B$8</x:f>
        <x:v>5</x:v>
      </x:c>
      <x:c r="Q1111" s="2" t="n">
        <x:f>IF(OR(B1111="",F1111=""),0,IFERROR(MATCH(E1111&amp;"|"&amp;F1111,SourceTable[Source_Key],0),0))</x:f>
        <x:v>0</x:v>
      </x:c>
      <x:c r="R1111" s="2" t="str">
        <x:f>IF(B1111="","",IF(F1111="","UNUSED",IF(Q1111=0,"NOT CHECKED",IF(COUNTIF(SourceTable[Source_Key],E1111&amp;"|"&amp;F1111)&lt;&gt;1,"SOURCE CONFLICT",IF(NOT(OR(INDEX(SourceTable[Status],MAX(1,Q1111))="IMPORTED",INDEX(SourceTable[Status],MAX(1,Q1111))="PARTIAL",INDEX(SourceTable[Status],MAX(1,Q1111))="SOURCE CONFLICT")),"ACCESS BLOCKED",IF(OR(INDEX(SourceTable[Coverage],Q1111)&lt;&gt;"FULL SEASON EXPORT",INDEX(SourceTable[URL],Q1111)="",INDEX(SourceTable[SHA256],Q1111)=""),"EVIDENCE INCOMPLETE",IF(AND('Input_Meci'!H98="LIVE",INDEX(SourceTable[Retrieved_UTC],Q1111)&gt;'Input_Meci'!G98),"POST CUTOFF","CLOSED")))))))</x:f>
      </x:c>
      <x:c r="S1111" s="2" t="n">
        <x:f>IF(OR(B1111="",F1111=""),0,COUNTIFS('Istoric_Nativ'!$B$6:$B$405,E1111,'Istoric_Nativ'!$C$6:$C$405,F1111,'Istoric_Nativ'!$E$6:$E$405,G1111,'Istoric_Nativ'!$D$6:$D$405,"&lt;"&amp;J1111,'Istoric_Nativ'!$O$6:$O$405,"INVALID")+COUNTIFS('Istoric_Nativ'!$B$6:$B$405,E1111,'Istoric_Nativ'!$C$6:$C$405,F1111,'Istoric_Nativ'!$E$6:$E$405,G1111,'Istoric_Nativ'!$O$6:$O$405,"INVALID",'Istoric_Nativ'!$D$6:$D$405,"*")+COUNTIFS('Istoric_Nativ'!$B$6:$B$405,E1111,'Istoric_Nativ'!$C$6:$C$405,F1111,'Istoric_Nativ'!$E$6:$E$405,G1111,'Istoric_Nativ'!$D$6:$D$405,"&lt;"&amp;J1111,'Istoric_Nativ'!$O$6:$O$405,"SOURCE CONFLICT")+COUNTIFS('Istoric_Nativ'!$B$6:$B$405,E1111,'Istoric_Nativ'!$C$6:$C$405,F1111,'Istoric_Nativ'!$F$6:$F$405,G1111,'Istoric_Nativ'!$D$6:$D$405,"&lt;"&amp;J1111,'Istoric_Nativ'!$O$6:$O$405,"INVALID")+COUNTIFS('Istoric_Nativ'!$B$6:$B$405,E1111,'Istoric_Nativ'!$C$6:$C$405,F1111,'Istoric_Nativ'!$F$6:$F$405,G1111,'Istoric_Nativ'!$O$6:$O$405,"INVALID",'Istoric_Nativ'!$D$6:$D$405,"*")+COUNTIFS('Istoric_Nativ'!$B$6:$B$405,E1111,'Istoric_Nativ'!$C$6:$C$405,F1111,'Istoric_Nativ'!$F$6:$F$405,G1111,'Istoric_Nativ'!$D$6:$D$405,"&lt;"&amp;J1111,'Istoric_Nativ'!$O$6:$O$405,"SOURCE CONFLICT"))</x:f>
        <x:v>0</x:v>
      </x:c>
      <x:c r="T1111" s="2" t="str">
        <x:f>IF(B1111="","",IF(R1111&lt;&gt;"CLOSED",R1111,IF(S1111&gt;0,"NATIVE INPUT ISSUE",IF(M1111=0,"NO HISTORY",IF(M1111&lt;P1111,"SMALL SAMPLE","DERIVED")))))</x:f>
      </x:c>
      <x:c r="U1111" s="2" t="str">
        <x:f>IF(B1111="","","NativeTable; "&amp;E1111&amp;"; "&amp;F1111&amp;"; "&amp;G1111&amp;"; "&amp;H1111&amp;"; before "&amp;TEXT(J1111,"yyyy-mm-dd")&amp;IF(I1111="RECENT","; from "&amp;TEXT(L1111,"yyyy-mm-dd"),""))</x:f>
      </x:c>
    </x:row>
    <x:row r="1112" ht="21" customHeight="1">
      <x:c r="A1112" s="2" t="n">
        <x:v>93</x:v>
      </x:c>
      <x:c r="B1112" s="2" t="str">
        <x:f>IF('Input_Meci'!A98="","",'Input_Meci'!A98)</x:f>
      </x:c>
      <x:c r="C1112" s="2" t="str">
        <x:v>H</x:v>
      </x:c>
      <x:c r="D1112" s="2" t="str">
        <x:v>CURRENT</x:v>
      </x:c>
      <x:c r="E1112" s="2" t="str">
        <x:f>IF(B1112="","",'Input_Meci'!B98)</x:f>
      </x:c>
      <x:c r="F1112" s="2" t="str">
        <x:f>IF(B1112="","",IF('Input_Meci'!C98="","",'Input_Meci'!C98))</x:f>
      </x:c>
      <x:c r="G1112" s="2" t="str">
        <x:f>IF(B1112="","",'Input_Meci'!D98)</x:f>
      </x:c>
      <x:c r="H1112" s="2" t="str">
        <x:v>ANY</x:v>
      </x:c>
      <x:c r="I1112" s="2" t="str">
        <x:v>RECENT</x:v>
      </x:c>
      <x:c r="J1112" s="9" t="n">
        <x:f>IF(AND(B1112&lt;&gt;"",ISNUMBER('Input_Meci'!G98)),INT('Input_Meci'!G98),0)</x:f>
        <x:v>0</x:v>
      </x:c>
      <x:c r="K1112" s="2" t="n">
        <x:f>IF(OR(B1112="",F1112=""),0,IF(H1112="HOME",COUNTIFS('Istoric_Nativ'!$B$6:$B$405,E1112,'Istoric_Nativ'!$C$6:$C$405,F1112,'Istoric_Nativ'!$E$6:$E$405,G1112,'Istoric_Nativ'!$D$6:$D$405,"&lt;"&amp;J1112,'Istoric_Nativ'!$P$6:$P$405,1),IF(H1112="AWAY",COUNTIFS('Istoric_Nativ'!$B$6:$B$405,E1112,'Istoric_Nativ'!$C$6:$C$405,F1112,'Istoric_Nativ'!$F$6:$F$405,G1112,'Istoric_Nativ'!$D$6:$D$405,"&lt;"&amp;J1112,'Istoric_Nativ'!$P$6:$P$405,1),COUNTIFS('Istoric_Nativ'!$B$6:$B$405,E1112,'Istoric_Nativ'!$C$6:$C$405,F1112,'Istoric_Nativ'!$E$6:$E$405,G1112,'Istoric_Nativ'!$D$6:$D$405,"&lt;"&amp;J1112,'Istoric_Nativ'!$P$6:$P$405,1)+COUNTIFS('Istoric_Nativ'!$B$6:$B$405,E1112,'Istoric_Nativ'!$C$6:$C$405,F1112,'Istoric_Nativ'!$F$6:$F$405,G1112,'Istoric_Nativ'!$D$6:$D$405,"&lt;"&amp;J1112,'Istoric_Nativ'!$P$6:$P$405,1))))</x:f>
        <x:v>0</x:v>
      </x:c>
      <x:c r="L1112" s="17" t="n">
        <x:f>IF(AND(B1112&lt;&gt;"",I1112="RECENT",K1112&gt;0),LARGE(_xlfn._xlws.FILTER('Istoric_Nativ'!$D$6:$D$405,('Istoric_Nativ'!$B$6:$B$405=E1112)*('Istoric_Nativ'!$C$6:$C$405=F1112)*('Istoric_Nativ'!$P$6:$P$405=1)*('Istoric_Nativ'!$D$6:$D$405&lt;J1112)*((('Istoric_Nativ'!$E$6:$E$405=G1112)+('Istoric_Nativ'!$F$6:$F$405=G1112))&gt;0)),MIN('Config_v6'!$B$54,K1112)),0)</x:f>
        <x:v>0</x:v>
      </x:c>
      <x:c r="M1112" s="2" t="n">
        <x:f>IF(OR(B1112="",F1112=""),0,IF(H1112="HOME",COUNTIFS('Istoric_Nativ'!$B$6:$B$405,E1112,'Istoric_Nativ'!$C$6:$C$405,F1112,'Istoric_Nativ'!$E$6:$E$405,G1112,'Istoric_Nativ'!$D$6:$D$405,"&lt;"&amp;J1112,'Istoric_Nativ'!$P$6:$P$405,1,'Istoric_Nativ'!$D$6:$D$405,"&gt;="&amp;L1112),IF(H1112="AWAY",COUNTIFS('Istoric_Nativ'!$B$6:$B$405,E1112,'Istoric_Nativ'!$C$6:$C$405,F1112,'Istoric_Nativ'!$F$6:$F$405,G1112,'Istoric_Nativ'!$D$6:$D$405,"&lt;"&amp;J1112,'Istoric_Nativ'!$P$6:$P$405,1,'Istoric_Nativ'!$D$6:$D$405,"&gt;="&amp;L1112),COUNTIFS('Istoric_Nativ'!$B$6:$B$405,E1112,'Istoric_Nativ'!$C$6:$C$405,F1112,'Istoric_Nativ'!$E$6:$E$405,G1112,'Istoric_Nativ'!$D$6:$D$405,"&lt;"&amp;J1112,'Istoric_Nativ'!$P$6:$P$405,1,'Istoric_Nativ'!$D$6:$D$405,"&gt;="&amp;L1112)+COUNTIFS('Istoric_Nativ'!$B$6:$B$405,E1112,'Istoric_Nativ'!$C$6:$C$405,F1112,'Istoric_Nativ'!$F$6:$F$405,G1112,'Istoric_Nativ'!$D$6:$D$405,"&lt;"&amp;J1112,'Istoric_Nativ'!$P$6:$P$405,1,'Istoric_Nativ'!$D$6:$D$405,"&gt;="&amp;L1112))))</x:f>
        <x:v>0</x:v>
      </x:c>
      <x:c r="N1112" s="11" t="str">
        <x:f>IF(M1112=0,"",IF(H1112="HOME",SUMIFS('Istoric_Nativ'!$G$6:$G$405,'Istoric_Nativ'!$B$6:$B$405,E1112,'Istoric_Nativ'!$C$6:$C$405,F1112,'Istoric_Nativ'!$E$6:$E$405,G1112,'Istoric_Nativ'!$D$6:$D$405,"&lt;"&amp;J1112,'Istoric_Nativ'!$P$6:$P$405,1,'Istoric_Nativ'!$D$6:$D$405,"&gt;="&amp;L1112),IF(H1112="AWAY",SUMIFS('Istoric_Nativ'!$H$6:$H$405,'Istoric_Nativ'!$B$6:$B$405,E1112,'Istoric_Nativ'!$C$6:$C$405,F1112,'Istoric_Nativ'!$F$6:$F$405,G1112,'Istoric_Nativ'!$D$6:$D$405,"&lt;"&amp;J1112,'Istoric_Nativ'!$P$6:$P$405,1,'Istoric_Nativ'!$D$6:$D$405,"&gt;="&amp;L1112),SUMIFS('Istoric_Nativ'!$G$6:$G$405,'Istoric_Nativ'!$B$6:$B$405,E1112,'Istoric_Nativ'!$C$6:$C$405,F1112,'Istoric_Nativ'!$E$6:$E$405,G1112,'Istoric_Nativ'!$D$6:$D$405,"&lt;"&amp;J1112,'Istoric_Nativ'!$P$6:$P$405,1,'Istoric_Nativ'!$D$6:$D$405,"&gt;="&amp;L1112)+SUMIFS('Istoric_Nativ'!$H$6:$H$405,'Istoric_Nativ'!$B$6:$B$405,E1112,'Istoric_Nativ'!$C$6:$C$405,F1112,'Istoric_Nativ'!$F$6:$F$405,G1112,'Istoric_Nativ'!$D$6:$D$405,"&lt;"&amp;J1112,'Istoric_Nativ'!$P$6:$P$405,1,'Istoric_Nativ'!$D$6:$D$405,"&gt;="&amp;L1112)))/M1112)</x:f>
      </x:c>
      <x:c r="O1112" s="11" t="str">
        <x:f>IF(M1112=0,"",IF(H1112="HOME",SUMIFS('Istoric_Nativ'!$H$6:$H$405,'Istoric_Nativ'!$B$6:$B$405,E1112,'Istoric_Nativ'!$C$6:$C$405,F1112,'Istoric_Nativ'!$E$6:$E$405,G1112,'Istoric_Nativ'!$D$6:$D$405,"&lt;"&amp;J1112,'Istoric_Nativ'!$P$6:$P$405,1,'Istoric_Nativ'!$D$6:$D$405,"&gt;="&amp;L1112),IF(H1112="AWAY",SUMIFS('Istoric_Nativ'!$G$6:$G$405,'Istoric_Nativ'!$B$6:$B$405,E1112,'Istoric_Nativ'!$C$6:$C$405,F1112,'Istoric_Nativ'!$F$6:$F$405,G1112,'Istoric_Nativ'!$D$6:$D$405,"&lt;"&amp;J1112,'Istoric_Nativ'!$P$6:$P$405,1,'Istoric_Nativ'!$D$6:$D$405,"&gt;="&amp;L1112),SUMIFS('Istoric_Nativ'!$H$6:$H$405,'Istoric_Nativ'!$B$6:$B$405,E1112,'Istoric_Nativ'!$C$6:$C$405,F1112,'Istoric_Nativ'!$E$6:$E$405,G1112,'Istoric_Nativ'!$D$6:$D$405,"&lt;"&amp;J1112,'Istoric_Nativ'!$P$6:$P$405,1,'Istoric_Nativ'!$D$6:$D$405,"&gt;="&amp;L1112)+SUMIFS('Istoric_Nativ'!$G$6:$G$405,'Istoric_Nativ'!$B$6:$B$405,E1112,'Istoric_Nativ'!$C$6:$C$405,F1112,'Istoric_Nativ'!$F$6:$F$405,G1112,'Istoric_Nativ'!$D$6:$D$405,"&lt;"&amp;J1112,'Istoric_Nativ'!$P$6:$P$405,1,'Istoric_Nativ'!$D$6:$D$405,"&gt;="&amp;L1112)))/M1112)</x:f>
      </x:c>
      <x:c r="P1112" s="2" t="n">
        <x:f>'Config_v6'!$B$9</x:f>
        <x:v>3</x:v>
      </x:c>
      <x:c r="Q1112" s="2" t="n">
        <x:f>IF(OR(B1112="",F1112=""),0,IFERROR(MATCH(E1112&amp;"|"&amp;F1112,SourceTable[Source_Key],0),0))</x:f>
        <x:v>0</x:v>
      </x:c>
      <x:c r="R1112" s="2" t="str">
        <x:f>IF(B1112="","",IF(F1112="","UNUSED",IF(Q1112=0,"NOT CHECKED",IF(COUNTIF(SourceTable[Source_Key],E1112&amp;"|"&amp;F1112)&lt;&gt;1,"SOURCE CONFLICT",IF(NOT(OR(INDEX(SourceTable[Status],MAX(1,Q1112))="IMPORTED",INDEX(SourceTable[Status],MAX(1,Q1112))="PARTIAL",INDEX(SourceTable[Status],MAX(1,Q1112))="SOURCE CONFLICT")),"ACCESS BLOCKED",IF(OR(INDEX(SourceTable[Coverage],Q1112)&lt;&gt;"FULL SEASON EXPORT",INDEX(SourceTable[URL],Q1112)="",INDEX(SourceTable[SHA256],Q1112)=""),"EVIDENCE INCOMPLETE",IF(AND('Input_Meci'!H98="LIVE",INDEX(SourceTable[Retrieved_UTC],Q1112)&gt;'Input_Meci'!G98),"POST CUTOFF","CLOSED")))))))</x:f>
      </x:c>
      <x:c r="S1112" s="2" t="n">
        <x:f>IF(OR(B1112="",F1112=""),0,COUNTIFS('Istoric_Nativ'!$B$6:$B$405,E1112,'Istoric_Nativ'!$C$6:$C$405,F1112,'Istoric_Nativ'!$E$6:$E$405,G1112,'Istoric_Nativ'!$D$6:$D$405,"&lt;"&amp;J1112,'Istoric_Nativ'!$O$6:$O$405,"INVALID")+COUNTIFS('Istoric_Nativ'!$B$6:$B$405,E1112,'Istoric_Nativ'!$C$6:$C$405,F1112,'Istoric_Nativ'!$E$6:$E$405,G1112,'Istoric_Nativ'!$O$6:$O$405,"INVALID",'Istoric_Nativ'!$D$6:$D$405,"*")+COUNTIFS('Istoric_Nativ'!$B$6:$B$405,E1112,'Istoric_Nativ'!$C$6:$C$405,F1112,'Istoric_Nativ'!$E$6:$E$405,G1112,'Istoric_Nativ'!$D$6:$D$405,"&lt;"&amp;J1112,'Istoric_Nativ'!$O$6:$O$405,"SOURCE CONFLICT")+COUNTIFS('Istoric_Nativ'!$B$6:$B$405,E1112,'Istoric_Nativ'!$C$6:$C$405,F1112,'Istoric_Nativ'!$F$6:$F$405,G1112,'Istoric_Nativ'!$D$6:$D$405,"&lt;"&amp;J1112,'Istoric_Nativ'!$O$6:$O$405,"INVALID")+COUNTIFS('Istoric_Nativ'!$B$6:$B$405,E1112,'Istoric_Nativ'!$C$6:$C$405,F1112,'Istoric_Nativ'!$F$6:$F$405,G1112,'Istoric_Nativ'!$O$6:$O$405,"INVALID",'Istoric_Nativ'!$D$6:$D$405,"*")+COUNTIFS('Istoric_Nativ'!$B$6:$B$405,E1112,'Istoric_Nativ'!$C$6:$C$405,F1112,'Istoric_Nativ'!$F$6:$F$405,G1112,'Istoric_Nativ'!$D$6:$D$405,"&lt;"&amp;J1112,'Istoric_Nativ'!$O$6:$O$405,"SOURCE CONFLICT"))</x:f>
        <x:v>0</x:v>
      </x:c>
      <x:c r="T1112" s="2" t="str">
        <x:f>IF(B1112="","",IF(R1112&lt;&gt;"CLOSED",R1112,IF(S1112&gt;0,"NATIVE INPUT ISSUE",IF(M1112=0,"NO HISTORY",IF(M1112&lt;P1112,"SMALL SAMPLE","DERIVED")))))</x:f>
      </x:c>
      <x:c r="U1112" s="2" t="str">
        <x:f>IF(B1112="","","NativeTable; "&amp;E1112&amp;"; "&amp;F1112&amp;"; "&amp;G1112&amp;"; "&amp;H1112&amp;"; before "&amp;TEXT(J1112,"yyyy-mm-dd")&amp;IF(I1112="RECENT","; from "&amp;TEXT(L1112,"yyyy-mm-dd"),""))</x:f>
      </x:c>
    </x:row>
    <x:row r="1113" ht="21" customHeight="1">
      <x:c r="A1113" s="2" t="n">
        <x:v>93</x:v>
      </x:c>
      <x:c r="B1113" s="2" t="str">
        <x:f>IF('Input_Meci'!A98="","",'Input_Meci'!A98)</x:f>
      </x:c>
      <x:c r="C1113" s="2" t="str">
        <x:v>A</x:v>
      </x:c>
      <x:c r="D1113" s="2" t="str">
        <x:v>CURRENT</x:v>
      </x:c>
      <x:c r="E1113" s="2" t="str">
        <x:f>IF(B1113="","",'Input_Meci'!B98)</x:f>
      </x:c>
      <x:c r="F1113" s="2" t="str">
        <x:f>IF(B1113="","",IF('Input_Meci'!C98="","",'Input_Meci'!C98))</x:f>
      </x:c>
      <x:c r="G1113" s="2" t="str">
        <x:f>IF(B1113="","",'Input_Meci'!E98)</x:f>
      </x:c>
      <x:c r="H1113" s="2" t="str">
        <x:v>ANY</x:v>
      </x:c>
      <x:c r="I1113" s="2" t="str">
        <x:v>SEASON</x:v>
      </x:c>
      <x:c r="J1113" s="9" t="n">
        <x:f>IF(AND(B1113&lt;&gt;"",ISNUMBER('Input_Meci'!G98)),INT('Input_Meci'!G98),0)</x:f>
        <x:v>0</x:v>
      </x:c>
      <x:c r="K1113" s="2" t="n">
        <x:f>IF(OR(B1113="",F1113=""),0,IF(H1113="HOME",COUNTIFS('Istoric_Nativ'!$B$6:$B$405,E1113,'Istoric_Nativ'!$C$6:$C$405,F1113,'Istoric_Nativ'!$E$6:$E$405,G1113,'Istoric_Nativ'!$D$6:$D$405,"&lt;"&amp;J1113,'Istoric_Nativ'!$P$6:$P$405,1),IF(H1113="AWAY",COUNTIFS('Istoric_Nativ'!$B$6:$B$405,E1113,'Istoric_Nativ'!$C$6:$C$405,F1113,'Istoric_Nativ'!$F$6:$F$405,G1113,'Istoric_Nativ'!$D$6:$D$405,"&lt;"&amp;J1113,'Istoric_Nativ'!$P$6:$P$405,1),COUNTIFS('Istoric_Nativ'!$B$6:$B$405,E1113,'Istoric_Nativ'!$C$6:$C$405,F1113,'Istoric_Nativ'!$E$6:$E$405,G1113,'Istoric_Nativ'!$D$6:$D$405,"&lt;"&amp;J1113,'Istoric_Nativ'!$P$6:$P$405,1)+COUNTIFS('Istoric_Nativ'!$B$6:$B$405,E1113,'Istoric_Nativ'!$C$6:$C$405,F1113,'Istoric_Nativ'!$F$6:$F$405,G1113,'Istoric_Nativ'!$D$6:$D$405,"&lt;"&amp;J1113,'Istoric_Nativ'!$P$6:$P$405,1))))</x:f>
        <x:v>0</x:v>
      </x:c>
      <x:c r="L1113" s="17" t="n">
        <x:f>IF(AND(B1113&lt;&gt;"",I1113="RECENT",K1113&gt;0),LARGE(_xlfn._xlws.FILTER('Istoric_Nativ'!$D$6:$D$405,('Istoric_Nativ'!$B$6:$B$405=E1113)*('Istoric_Nativ'!$C$6:$C$405=F1113)*('Istoric_Nativ'!$P$6:$P$405=1)*('Istoric_Nativ'!$D$6:$D$405&lt;J1113)*((('Istoric_Nativ'!$E$6:$E$405=G1113)+('Istoric_Nativ'!$F$6:$F$405=G1113))&gt;0)),MIN('Config_v6'!$B$54,K1113)),0)</x:f>
        <x:v>0</x:v>
      </x:c>
      <x:c r="M1113" s="2" t="n">
        <x:f>IF(OR(B1113="",F1113=""),0,IF(H1113="HOME",COUNTIFS('Istoric_Nativ'!$B$6:$B$405,E1113,'Istoric_Nativ'!$C$6:$C$405,F1113,'Istoric_Nativ'!$E$6:$E$405,G1113,'Istoric_Nativ'!$D$6:$D$405,"&lt;"&amp;J1113,'Istoric_Nativ'!$P$6:$P$405,1,'Istoric_Nativ'!$D$6:$D$405,"&gt;="&amp;L1113),IF(H1113="AWAY",COUNTIFS('Istoric_Nativ'!$B$6:$B$405,E1113,'Istoric_Nativ'!$C$6:$C$405,F1113,'Istoric_Nativ'!$F$6:$F$405,G1113,'Istoric_Nativ'!$D$6:$D$405,"&lt;"&amp;J1113,'Istoric_Nativ'!$P$6:$P$405,1,'Istoric_Nativ'!$D$6:$D$405,"&gt;="&amp;L1113),COUNTIFS('Istoric_Nativ'!$B$6:$B$405,E1113,'Istoric_Nativ'!$C$6:$C$405,F1113,'Istoric_Nativ'!$E$6:$E$405,G1113,'Istoric_Nativ'!$D$6:$D$405,"&lt;"&amp;J1113,'Istoric_Nativ'!$P$6:$P$405,1,'Istoric_Nativ'!$D$6:$D$405,"&gt;="&amp;L1113)+COUNTIFS('Istoric_Nativ'!$B$6:$B$405,E1113,'Istoric_Nativ'!$C$6:$C$405,F1113,'Istoric_Nativ'!$F$6:$F$405,G1113,'Istoric_Nativ'!$D$6:$D$405,"&lt;"&amp;J1113,'Istoric_Nativ'!$P$6:$P$405,1,'Istoric_Nativ'!$D$6:$D$405,"&gt;="&amp;L1113))))</x:f>
        <x:v>0</x:v>
      </x:c>
      <x:c r="N1113" s="11" t="str">
        <x:f>IF(M1113=0,"",IF(H1113="HOME",SUMIFS('Istoric_Nativ'!$G$6:$G$405,'Istoric_Nativ'!$B$6:$B$405,E1113,'Istoric_Nativ'!$C$6:$C$405,F1113,'Istoric_Nativ'!$E$6:$E$405,G1113,'Istoric_Nativ'!$D$6:$D$405,"&lt;"&amp;J1113,'Istoric_Nativ'!$P$6:$P$405,1,'Istoric_Nativ'!$D$6:$D$405,"&gt;="&amp;L1113),IF(H1113="AWAY",SUMIFS('Istoric_Nativ'!$H$6:$H$405,'Istoric_Nativ'!$B$6:$B$405,E1113,'Istoric_Nativ'!$C$6:$C$405,F1113,'Istoric_Nativ'!$F$6:$F$405,G1113,'Istoric_Nativ'!$D$6:$D$405,"&lt;"&amp;J1113,'Istoric_Nativ'!$P$6:$P$405,1,'Istoric_Nativ'!$D$6:$D$405,"&gt;="&amp;L1113),SUMIFS('Istoric_Nativ'!$G$6:$G$405,'Istoric_Nativ'!$B$6:$B$405,E1113,'Istoric_Nativ'!$C$6:$C$405,F1113,'Istoric_Nativ'!$E$6:$E$405,G1113,'Istoric_Nativ'!$D$6:$D$405,"&lt;"&amp;J1113,'Istoric_Nativ'!$P$6:$P$405,1,'Istoric_Nativ'!$D$6:$D$405,"&gt;="&amp;L1113)+SUMIFS('Istoric_Nativ'!$H$6:$H$405,'Istoric_Nativ'!$B$6:$B$405,E1113,'Istoric_Nativ'!$C$6:$C$405,F1113,'Istoric_Nativ'!$F$6:$F$405,G1113,'Istoric_Nativ'!$D$6:$D$405,"&lt;"&amp;J1113,'Istoric_Nativ'!$P$6:$P$405,1,'Istoric_Nativ'!$D$6:$D$405,"&gt;="&amp;L1113)))/M1113)</x:f>
      </x:c>
      <x:c r="O1113" s="11" t="str">
        <x:f>IF(M1113=0,"",IF(H1113="HOME",SUMIFS('Istoric_Nativ'!$H$6:$H$405,'Istoric_Nativ'!$B$6:$B$405,E1113,'Istoric_Nativ'!$C$6:$C$405,F1113,'Istoric_Nativ'!$E$6:$E$405,G1113,'Istoric_Nativ'!$D$6:$D$405,"&lt;"&amp;J1113,'Istoric_Nativ'!$P$6:$P$405,1,'Istoric_Nativ'!$D$6:$D$405,"&gt;="&amp;L1113),IF(H1113="AWAY",SUMIFS('Istoric_Nativ'!$G$6:$G$405,'Istoric_Nativ'!$B$6:$B$405,E1113,'Istoric_Nativ'!$C$6:$C$405,F1113,'Istoric_Nativ'!$F$6:$F$405,G1113,'Istoric_Nativ'!$D$6:$D$405,"&lt;"&amp;J1113,'Istoric_Nativ'!$P$6:$P$405,1,'Istoric_Nativ'!$D$6:$D$405,"&gt;="&amp;L1113),SUMIFS('Istoric_Nativ'!$H$6:$H$405,'Istoric_Nativ'!$B$6:$B$405,E1113,'Istoric_Nativ'!$C$6:$C$405,F1113,'Istoric_Nativ'!$E$6:$E$405,G1113,'Istoric_Nativ'!$D$6:$D$405,"&lt;"&amp;J1113,'Istoric_Nativ'!$P$6:$P$405,1,'Istoric_Nativ'!$D$6:$D$405,"&gt;="&amp;L1113)+SUMIFS('Istoric_Nativ'!$G$6:$G$405,'Istoric_Nativ'!$B$6:$B$405,E1113,'Istoric_Nativ'!$C$6:$C$405,F1113,'Istoric_Nativ'!$F$6:$F$405,G1113,'Istoric_Nativ'!$D$6:$D$405,"&lt;"&amp;J1113,'Istoric_Nativ'!$P$6:$P$405,1,'Istoric_Nativ'!$D$6:$D$405,"&gt;="&amp;L1113)))/M1113)</x:f>
      </x:c>
      <x:c r="P1113" s="2" t="n">
        <x:f>'Config_v6'!$B$7</x:f>
        <x:v>10</x:v>
      </x:c>
      <x:c r="Q1113" s="2" t="n">
        <x:f>IF(OR(B1113="",F1113=""),0,IFERROR(MATCH(E1113&amp;"|"&amp;F1113,SourceTable[Source_Key],0),0))</x:f>
        <x:v>0</x:v>
      </x:c>
      <x:c r="R1113" s="2" t="str">
        <x:f>IF(B1113="","",IF(F1113="","UNUSED",IF(Q1113=0,"NOT CHECKED",IF(COUNTIF(SourceTable[Source_Key],E1113&amp;"|"&amp;F1113)&lt;&gt;1,"SOURCE CONFLICT",IF(NOT(OR(INDEX(SourceTable[Status],MAX(1,Q1113))="IMPORTED",INDEX(SourceTable[Status],MAX(1,Q1113))="PARTIAL",INDEX(SourceTable[Status],MAX(1,Q1113))="SOURCE CONFLICT")),"ACCESS BLOCKED",IF(OR(INDEX(SourceTable[Coverage],Q1113)&lt;&gt;"FULL SEASON EXPORT",INDEX(SourceTable[URL],Q1113)="",INDEX(SourceTable[SHA256],Q1113)=""),"EVIDENCE INCOMPLETE",IF(AND('Input_Meci'!H98="LIVE",INDEX(SourceTable[Retrieved_UTC],Q1113)&gt;'Input_Meci'!G98),"POST CUTOFF","CLOSED")))))))</x:f>
      </x:c>
      <x:c r="S1113" s="2" t="n">
        <x:f>IF(OR(B1113="",F1113=""),0,COUNTIFS('Istoric_Nativ'!$B$6:$B$405,E1113,'Istoric_Nativ'!$C$6:$C$405,F1113,'Istoric_Nativ'!$E$6:$E$405,G1113,'Istoric_Nativ'!$D$6:$D$405,"&lt;"&amp;J1113,'Istoric_Nativ'!$O$6:$O$405,"INVALID")+COUNTIFS('Istoric_Nativ'!$B$6:$B$405,E1113,'Istoric_Nativ'!$C$6:$C$405,F1113,'Istoric_Nativ'!$E$6:$E$405,G1113,'Istoric_Nativ'!$O$6:$O$405,"INVALID",'Istoric_Nativ'!$D$6:$D$405,"*")+COUNTIFS('Istoric_Nativ'!$B$6:$B$405,E1113,'Istoric_Nativ'!$C$6:$C$405,F1113,'Istoric_Nativ'!$E$6:$E$405,G1113,'Istoric_Nativ'!$D$6:$D$405,"&lt;"&amp;J1113,'Istoric_Nativ'!$O$6:$O$405,"SOURCE CONFLICT")+COUNTIFS('Istoric_Nativ'!$B$6:$B$405,E1113,'Istoric_Nativ'!$C$6:$C$405,F1113,'Istoric_Nativ'!$F$6:$F$405,G1113,'Istoric_Nativ'!$D$6:$D$405,"&lt;"&amp;J1113,'Istoric_Nativ'!$O$6:$O$405,"INVALID")+COUNTIFS('Istoric_Nativ'!$B$6:$B$405,E1113,'Istoric_Nativ'!$C$6:$C$405,F1113,'Istoric_Nativ'!$F$6:$F$405,G1113,'Istoric_Nativ'!$O$6:$O$405,"INVALID",'Istoric_Nativ'!$D$6:$D$405,"*")+COUNTIFS('Istoric_Nativ'!$B$6:$B$405,E1113,'Istoric_Nativ'!$C$6:$C$405,F1113,'Istoric_Nativ'!$F$6:$F$405,G1113,'Istoric_Nativ'!$D$6:$D$405,"&lt;"&amp;J1113,'Istoric_Nativ'!$O$6:$O$405,"SOURCE CONFLICT"))</x:f>
        <x:v>0</x:v>
      </x:c>
      <x:c r="T1113" s="2" t="str">
        <x:f>IF(B1113="","",IF(R1113&lt;&gt;"CLOSED",R1113,IF(S1113&gt;0,"NATIVE INPUT ISSUE",IF(M1113=0,"NO HISTORY",IF(M1113&lt;P1113,"SMALL SAMPLE","DERIVED")))))</x:f>
      </x:c>
      <x:c r="U1113" s="2" t="str">
        <x:f>IF(B1113="","","NativeTable; "&amp;E1113&amp;"; "&amp;F1113&amp;"; "&amp;G1113&amp;"; "&amp;H1113&amp;"; before "&amp;TEXT(J1113,"yyyy-mm-dd")&amp;IF(I1113="RECENT","; from "&amp;TEXT(L1113,"yyyy-mm-dd"),""))</x:f>
      </x:c>
    </x:row>
    <x:row r="1114" ht="21" customHeight="1">
      <x:c r="A1114" s="2" t="n">
        <x:v>93</x:v>
      </x:c>
      <x:c r="B1114" s="2" t="str">
        <x:f>IF('Input_Meci'!A98="","",'Input_Meci'!A98)</x:f>
      </x:c>
      <x:c r="C1114" s="2" t="str">
        <x:v>A</x:v>
      </x:c>
      <x:c r="D1114" s="2" t="str">
        <x:v>CURRENT</x:v>
      </x:c>
      <x:c r="E1114" s="2" t="str">
        <x:f>IF(B1114="","",'Input_Meci'!B98)</x:f>
      </x:c>
      <x:c r="F1114" s="2" t="str">
        <x:f>IF(B1114="","",IF('Input_Meci'!C98="","",'Input_Meci'!C98))</x:f>
      </x:c>
      <x:c r="G1114" s="2" t="str">
        <x:f>IF(B1114="","",'Input_Meci'!E98)</x:f>
      </x:c>
      <x:c r="H1114" s="2" t="str">
        <x:v>AWAY</x:v>
      </x:c>
      <x:c r="I1114" s="2" t="str">
        <x:v>HA</x:v>
      </x:c>
      <x:c r="J1114" s="9" t="n">
        <x:f>IF(AND(B1114&lt;&gt;"",ISNUMBER('Input_Meci'!G98)),INT('Input_Meci'!G98),0)</x:f>
        <x:v>0</x:v>
      </x:c>
      <x:c r="K1114" s="2" t="n">
        <x:f>IF(OR(B1114="",F1114=""),0,IF(H1114="HOME",COUNTIFS('Istoric_Nativ'!$B$6:$B$405,E1114,'Istoric_Nativ'!$C$6:$C$405,F1114,'Istoric_Nativ'!$E$6:$E$405,G1114,'Istoric_Nativ'!$D$6:$D$405,"&lt;"&amp;J1114,'Istoric_Nativ'!$P$6:$P$405,1),IF(H1114="AWAY",COUNTIFS('Istoric_Nativ'!$B$6:$B$405,E1114,'Istoric_Nativ'!$C$6:$C$405,F1114,'Istoric_Nativ'!$F$6:$F$405,G1114,'Istoric_Nativ'!$D$6:$D$405,"&lt;"&amp;J1114,'Istoric_Nativ'!$P$6:$P$405,1),COUNTIFS('Istoric_Nativ'!$B$6:$B$405,E1114,'Istoric_Nativ'!$C$6:$C$405,F1114,'Istoric_Nativ'!$E$6:$E$405,G1114,'Istoric_Nativ'!$D$6:$D$405,"&lt;"&amp;J1114,'Istoric_Nativ'!$P$6:$P$405,1)+COUNTIFS('Istoric_Nativ'!$B$6:$B$405,E1114,'Istoric_Nativ'!$C$6:$C$405,F1114,'Istoric_Nativ'!$F$6:$F$405,G1114,'Istoric_Nativ'!$D$6:$D$405,"&lt;"&amp;J1114,'Istoric_Nativ'!$P$6:$P$405,1))))</x:f>
        <x:v>0</x:v>
      </x:c>
      <x:c r="L1114" s="17" t="n">
        <x:f>IF(AND(B1114&lt;&gt;"",I1114="RECENT",K1114&gt;0),LARGE(_xlfn._xlws.FILTER('Istoric_Nativ'!$D$6:$D$405,('Istoric_Nativ'!$B$6:$B$405=E1114)*('Istoric_Nativ'!$C$6:$C$405=F1114)*('Istoric_Nativ'!$P$6:$P$405=1)*('Istoric_Nativ'!$D$6:$D$405&lt;J1114)*((('Istoric_Nativ'!$E$6:$E$405=G1114)+('Istoric_Nativ'!$F$6:$F$405=G1114))&gt;0)),MIN('Config_v6'!$B$54,K1114)),0)</x:f>
        <x:v>0</x:v>
      </x:c>
      <x:c r="M1114" s="2" t="n">
        <x:f>IF(OR(B1114="",F1114=""),0,IF(H1114="HOME",COUNTIFS('Istoric_Nativ'!$B$6:$B$405,E1114,'Istoric_Nativ'!$C$6:$C$405,F1114,'Istoric_Nativ'!$E$6:$E$405,G1114,'Istoric_Nativ'!$D$6:$D$405,"&lt;"&amp;J1114,'Istoric_Nativ'!$P$6:$P$405,1,'Istoric_Nativ'!$D$6:$D$405,"&gt;="&amp;L1114),IF(H1114="AWAY",COUNTIFS('Istoric_Nativ'!$B$6:$B$405,E1114,'Istoric_Nativ'!$C$6:$C$405,F1114,'Istoric_Nativ'!$F$6:$F$405,G1114,'Istoric_Nativ'!$D$6:$D$405,"&lt;"&amp;J1114,'Istoric_Nativ'!$P$6:$P$405,1,'Istoric_Nativ'!$D$6:$D$405,"&gt;="&amp;L1114),COUNTIFS('Istoric_Nativ'!$B$6:$B$405,E1114,'Istoric_Nativ'!$C$6:$C$405,F1114,'Istoric_Nativ'!$E$6:$E$405,G1114,'Istoric_Nativ'!$D$6:$D$405,"&lt;"&amp;J1114,'Istoric_Nativ'!$P$6:$P$405,1,'Istoric_Nativ'!$D$6:$D$405,"&gt;="&amp;L1114)+COUNTIFS('Istoric_Nativ'!$B$6:$B$405,E1114,'Istoric_Nativ'!$C$6:$C$405,F1114,'Istoric_Nativ'!$F$6:$F$405,G1114,'Istoric_Nativ'!$D$6:$D$405,"&lt;"&amp;J1114,'Istoric_Nativ'!$P$6:$P$405,1,'Istoric_Nativ'!$D$6:$D$405,"&gt;="&amp;L1114))))</x:f>
        <x:v>0</x:v>
      </x:c>
      <x:c r="N1114" s="11" t="str">
        <x:f>IF(M1114=0,"",IF(H1114="HOME",SUMIFS('Istoric_Nativ'!$G$6:$G$405,'Istoric_Nativ'!$B$6:$B$405,E1114,'Istoric_Nativ'!$C$6:$C$405,F1114,'Istoric_Nativ'!$E$6:$E$405,G1114,'Istoric_Nativ'!$D$6:$D$405,"&lt;"&amp;J1114,'Istoric_Nativ'!$P$6:$P$405,1,'Istoric_Nativ'!$D$6:$D$405,"&gt;="&amp;L1114),IF(H1114="AWAY",SUMIFS('Istoric_Nativ'!$H$6:$H$405,'Istoric_Nativ'!$B$6:$B$405,E1114,'Istoric_Nativ'!$C$6:$C$405,F1114,'Istoric_Nativ'!$F$6:$F$405,G1114,'Istoric_Nativ'!$D$6:$D$405,"&lt;"&amp;J1114,'Istoric_Nativ'!$P$6:$P$405,1,'Istoric_Nativ'!$D$6:$D$405,"&gt;="&amp;L1114),SUMIFS('Istoric_Nativ'!$G$6:$G$405,'Istoric_Nativ'!$B$6:$B$405,E1114,'Istoric_Nativ'!$C$6:$C$405,F1114,'Istoric_Nativ'!$E$6:$E$405,G1114,'Istoric_Nativ'!$D$6:$D$405,"&lt;"&amp;J1114,'Istoric_Nativ'!$P$6:$P$405,1,'Istoric_Nativ'!$D$6:$D$405,"&gt;="&amp;L1114)+SUMIFS('Istoric_Nativ'!$H$6:$H$405,'Istoric_Nativ'!$B$6:$B$405,E1114,'Istoric_Nativ'!$C$6:$C$405,F1114,'Istoric_Nativ'!$F$6:$F$405,G1114,'Istoric_Nativ'!$D$6:$D$405,"&lt;"&amp;J1114,'Istoric_Nativ'!$P$6:$P$405,1,'Istoric_Nativ'!$D$6:$D$405,"&gt;="&amp;L1114)))/M1114)</x:f>
      </x:c>
      <x:c r="O1114" s="11" t="str">
        <x:f>IF(M1114=0,"",IF(H1114="HOME",SUMIFS('Istoric_Nativ'!$H$6:$H$405,'Istoric_Nativ'!$B$6:$B$405,E1114,'Istoric_Nativ'!$C$6:$C$405,F1114,'Istoric_Nativ'!$E$6:$E$405,G1114,'Istoric_Nativ'!$D$6:$D$405,"&lt;"&amp;J1114,'Istoric_Nativ'!$P$6:$P$405,1,'Istoric_Nativ'!$D$6:$D$405,"&gt;="&amp;L1114),IF(H1114="AWAY",SUMIFS('Istoric_Nativ'!$G$6:$G$405,'Istoric_Nativ'!$B$6:$B$405,E1114,'Istoric_Nativ'!$C$6:$C$405,F1114,'Istoric_Nativ'!$F$6:$F$405,G1114,'Istoric_Nativ'!$D$6:$D$405,"&lt;"&amp;J1114,'Istoric_Nativ'!$P$6:$P$405,1,'Istoric_Nativ'!$D$6:$D$405,"&gt;="&amp;L1114),SUMIFS('Istoric_Nativ'!$H$6:$H$405,'Istoric_Nativ'!$B$6:$B$405,E1114,'Istoric_Nativ'!$C$6:$C$405,F1114,'Istoric_Nativ'!$E$6:$E$405,G1114,'Istoric_Nativ'!$D$6:$D$405,"&lt;"&amp;J1114,'Istoric_Nativ'!$P$6:$P$405,1,'Istoric_Nativ'!$D$6:$D$405,"&gt;="&amp;L1114)+SUMIFS('Istoric_Nativ'!$G$6:$G$405,'Istoric_Nativ'!$B$6:$B$405,E1114,'Istoric_Nativ'!$C$6:$C$405,F1114,'Istoric_Nativ'!$F$6:$F$405,G1114,'Istoric_Nativ'!$D$6:$D$405,"&lt;"&amp;J1114,'Istoric_Nativ'!$P$6:$P$405,1,'Istoric_Nativ'!$D$6:$D$405,"&gt;="&amp;L1114)))/M1114)</x:f>
      </x:c>
      <x:c r="P1114" s="2" t="n">
        <x:f>'Config_v6'!$B$8</x:f>
        <x:v>5</x:v>
      </x:c>
      <x:c r="Q1114" s="2" t="n">
        <x:f>IF(OR(B1114="",F1114=""),0,IFERROR(MATCH(E1114&amp;"|"&amp;F1114,SourceTable[Source_Key],0),0))</x:f>
        <x:v>0</x:v>
      </x:c>
      <x:c r="R1114" s="2" t="str">
        <x:f>IF(B1114="","",IF(F1114="","UNUSED",IF(Q1114=0,"NOT CHECKED",IF(COUNTIF(SourceTable[Source_Key],E1114&amp;"|"&amp;F1114)&lt;&gt;1,"SOURCE CONFLICT",IF(NOT(OR(INDEX(SourceTable[Status],MAX(1,Q1114))="IMPORTED",INDEX(SourceTable[Status],MAX(1,Q1114))="PARTIAL",INDEX(SourceTable[Status],MAX(1,Q1114))="SOURCE CONFLICT")),"ACCESS BLOCKED",IF(OR(INDEX(SourceTable[Coverage],Q1114)&lt;&gt;"FULL SEASON EXPORT",INDEX(SourceTable[URL],Q1114)="",INDEX(SourceTable[SHA256],Q1114)=""),"EVIDENCE INCOMPLETE",IF(AND('Input_Meci'!H98="LIVE",INDEX(SourceTable[Retrieved_UTC],Q1114)&gt;'Input_Meci'!G98),"POST CUTOFF","CLOSED")))))))</x:f>
      </x:c>
      <x:c r="S1114" s="2" t="n">
        <x:f>IF(OR(B1114="",F1114=""),0,COUNTIFS('Istoric_Nativ'!$B$6:$B$405,E1114,'Istoric_Nativ'!$C$6:$C$405,F1114,'Istoric_Nativ'!$E$6:$E$405,G1114,'Istoric_Nativ'!$D$6:$D$405,"&lt;"&amp;J1114,'Istoric_Nativ'!$O$6:$O$405,"INVALID")+COUNTIFS('Istoric_Nativ'!$B$6:$B$405,E1114,'Istoric_Nativ'!$C$6:$C$405,F1114,'Istoric_Nativ'!$E$6:$E$405,G1114,'Istoric_Nativ'!$O$6:$O$405,"INVALID",'Istoric_Nativ'!$D$6:$D$405,"*")+COUNTIFS('Istoric_Nativ'!$B$6:$B$405,E1114,'Istoric_Nativ'!$C$6:$C$405,F1114,'Istoric_Nativ'!$E$6:$E$405,G1114,'Istoric_Nativ'!$D$6:$D$405,"&lt;"&amp;J1114,'Istoric_Nativ'!$O$6:$O$405,"SOURCE CONFLICT")+COUNTIFS('Istoric_Nativ'!$B$6:$B$405,E1114,'Istoric_Nativ'!$C$6:$C$405,F1114,'Istoric_Nativ'!$F$6:$F$405,G1114,'Istoric_Nativ'!$D$6:$D$405,"&lt;"&amp;J1114,'Istoric_Nativ'!$O$6:$O$405,"INVALID")+COUNTIFS('Istoric_Nativ'!$B$6:$B$405,E1114,'Istoric_Nativ'!$C$6:$C$405,F1114,'Istoric_Nativ'!$F$6:$F$405,G1114,'Istoric_Nativ'!$O$6:$O$405,"INVALID",'Istoric_Nativ'!$D$6:$D$405,"*")+COUNTIFS('Istoric_Nativ'!$B$6:$B$405,E1114,'Istoric_Nativ'!$C$6:$C$405,F1114,'Istoric_Nativ'!$F$6:$F$405,G1114,'Istoric_Nativ'!$D$6:$D$405,"&lt;"&amp;J1114,'Istoric_Nativ'!$O$6:$O$405,"SOURCE CONFLICT"))</x:f>
        <x:v>0</x:v>
      </x:c>
      <x:c r="T1114" s="2" t="str">
        <x:f>IF(B1114="","",IF(R1114&lt;&gt;"CLOSED",R1114,IF(S1114&gt;0,"NATIVE INPUT ISSUE",IF(M1114=0,"NO HISTORY",IF(M1114&lt;P1114,"SMALL SAMPLE","DERIVED")))))</x:f>
      </x:c>
      <x:c r="U1114" s="2" t="str">
        <x:f>IF(B1114="","","NativeTable; "&amp;E1114&amp;"; "&amp;F1114&amp;"; "&amp;G1114&amp;"; "&amp;H1114&amp;"; before "&amp;TEXT(J1114,"yyyy-mm-dd")&amp;IF(I1114="RECENT","; from "&amp;TEXT(L1114,"yyyy-mm-dd"),""))</x:f>
      </x:c>
    </x:row>
    <x:row r="1115" ht="21" customHeight="1">
      <x:c r="A1115" s="2" t="n">
        <x:v>93</x:v>
      </x:c>
      <x:c r="B1115" s="2" t="str">
        <x:f>IF('Input_Meci'!A98="","",'Input_Meci'!A98)</x:f>
      </x:c>
      <x:c r="C1115" s="2" t="str">
        <x:v>A</x:v>
      </x:c>
      <x:c r="D1115" s="2" t="str">
        <x:v>CURRENT</x:v>
      </x:c>
      <x:c r="E1115" s="2" t="str">
        <x:f>IF(B1115="","",'Input_Meci'!B98)</x:f>
      </x:c>
      <x:c r="F1115" s="2" t="str">
        <x:f>IF(B1115="","",IF('Input_Meci'!C98="","",'Input_Meci'!C98))</x:f>
      </x:c>
      <x:c r="G1115" s="2" t="str">
        <x:f>IF(B1115="","",'Input_Meci'!E98)</x:f>
      </x:c>
      <x:c r="H1115" s="2" t="str">
        <x:v>ANY</x:v>
      </x:c>
      <x:c r="I1115" s="2" t="str">
        <x:v>RECENT</x:v>
      </x:c>
      <x:c r="J1115" s="9" t="n">
        <x:f>IF(AND(B1115&lt;&gt;"",ISNUMBER('Input_Meci'!G98)),INT('Input_Meci'!G98),0)</x:f>
        <x:v>0</x:v>
      </x:c>
      <x:c r="K1115" s="2" t="n">
        <x:f>IF(OR(B1115="",F1115=""),0,IF(H1115="HOME",COUNTIFS('Istoric_Nativ'!$B$6:$B$405,E1115,'Istoric_Nativ'!$C$6:$C$405,F1115,'Istoric_Nativ'!$E$6:$E$405,G1115,'Istoric_Nativ'!$D$6:$D$405,"&lt;"&amp;J1115,'Istoric_Nativ'!$P$6:$P$405,1),IF(H1115="AWAY",COUNTIFS('Istoric_Nativ'!$B$6:$B$405,E1115,'Istoric_Nativ'!$C$6:$C$405,F1115,'Istoric_Nativ'!$F$6:$F$405,G1115,'Istoric_Nativ'!$D$6:$D$405,"&lt;"&amp;J1115,'Istoric_Nativ'!$P$6:$P$405,1),COUNTIFS('Istoric_Nativ'!$B$6:$B$405,E1115,'Istoric_Nativ'!$C$6:$C$405,F1115,'Istoric_Nativ'!$E$6:$E$405,G1115,'Istoric_Nativ'!$D$6:$D$405,"&lt;"&amp;J1115,'Istoric_Nativ'!$P$6:$P$405,1)+COUNTIFS('Istoric_Nativ'!$B$6:$B$405,E1115,'Istoric_Nativ'!$C$6:$C$405,F1115,'Istoric_Nativ'!$F$6:$F$405,G1115,'Istoric_Nativ'!$D$6:$D$405,"&lt;"&amp;J1115,'Istoric_Nativ'!$P$6:$P$405,1))))</x:f>
        <x:v>0</x:v>
      </x:c>
      <x:c r="L1115" s="17" t="n">
        <x:f>IF(AND(B1115&lt;&gt;"",I1115="RECENT",K1115&gt;0),LARGE(_xlfn._xlws.FILTER('Istoric_Nativ'!$D$6:$D$405,('Istoric_Nativ'!$B$6:$B$405=E1115)*('Istoric_Nativ'!$C$6:$C$405=F1115)*('Istoric_Nativ'!$P$6:$P$405=1)*('Istoric_Nativ'!$D$6:$D$405&lt;J1115)*((('Istoric_Nativ'!$E$6:$E$405=G1115)+('Istoric_Nativ'!$F$6:$F$405=G1115))&gt;0)),MIN('Config_v6'!$B$54,K1115)),0)</x:f>
        <x:v>0</x:v>
      </x:c>
      <x:c r="M1115" s="2" t="n">
        <x:f>IF(OR(B1115="",F1115=""),0,IF(H1115="HOME",COUNTIFS('Istoric_Nativ'!$B$6:$B$405,E1115,'Istoric_Nativ'!$C$6:$C$405,F1115,'Istoric_Nativ'!$E$6:$E$405,G1115,'Istoric_Nativ'!$D$6:$D$405,"&lt;"&amp;J1115,'Istoric_Nativ'!$P$6:$P$405,1,'Istoric_Nativ'!$D$6:$D$405,"&gt;="&amp;L1115),IF(H1115="AWAY",COUNTIFS('Istoric_Nativ'!$B$6:$B$405,E1115,'Istoric_Nativ'!$C$6:$C$405,F1115,'Istoric_Nativ'!$F$6:$F$405,G1115,'Istoric_Nativ'!$D$6:$D$405,"&lt;"&amp;J1115,'Istoric_Nativ'!$P$6:$P$405,1,'Istoric_Nativ'!$D$6:$D$405,"&gt;="&amp;L1115),COUNTIFS('Istoric_Nativ'!$B$6:$B$405,E1115,'Istoric_Nativ'!$C$6:$C$405,F1115,'Istoric_Nativ'!$E$6:$E$405,G1115,'Istoric_Nativ'!$D$6:$D$405,"&lt;"&amp;J1115,'Istoric_Nativ'!$P$6:$P$405,1,'Istoric_Nativ'!$D$6:$D$405,"&gt;="&amp;L1115)+COUNTIFS('Istoric_Nativ'!$B$6:$B$405,E1115,'Istoric_Nativ'!$C$6:$C$405,F1115,'Istoric_Nativ'!$F$6:$F$405,G1115,'Istoric_Nativ'!$D$6:$D$405,"&lt;"&amp;J1115,'Istoric_Nativ'!$P$6:$P$405,1,'Istoric_Nativ'!$D$6:$D$405,"&gt;="&amp;L1115))))</x:f>
        <x:v>0</x:v>
      </x:c>
      <x:c r="N1115" s="11" t="str">
        <x:f>IF(M1115=0,"",IF(H1115="HOME",SUMIFS('Istoric_Nativ'!$G$6:$G$405,'Istoric_Nativ'!$B$6:$B$405,E1115,'Istoric_Nativ'!$C$6:$C$405,F1115,'Istoric_Nativ'!$E$6:$E$405,G1115,'Istoric_Nativ'!$D$6:$D$405,"&lt;"&amp;J1115,'Istoric_Nativ'!$P$6:$P$405,1,'Istoric_Nativ'!$D$6:$D$405,"&gt;="&amp;L1115),IF(H1115="AWAY",SUMIFS('Istoric_Nativ'!$H$6:$H$405,'Istoric_Nativ'!$B$6:$B$405,E1115,'Istoric_Nativ'!$C$6:$C$405,F1115,'Istoric_Nativ'!$F$6:$F$405,G1115,'Istoric_Nativ'!$D$6:$D$405,"&lt;"&amp;J1115,'Istoric_Nativ'!$P$6:$P$405,1,'Istoric_Nativ'!$D$6:$D$405,"&gt;="&amp;L1115),SUMIFS('Istoric_Nativ'!$G$6:$G$405,'Istoric_Nativ'!$B$6:$B$405,E1115,'Istoric_Nativ'!$C$6:$C$405,F1115,'Istoric_Nativ'!$E$6:$E$405,G1115,'Istoric_Nativ'!$D$6:$D$405,"&lt;"&amp;J1115,'Istoric_Nativ'!$P$6:$P$405,1,'Istoric_Nativ'!$D$6:$D$405,"&gt;="&amp;L1115)+SUMIFS('Istoric_Nativ'!$H$6:$H$405,'Istoric_Nativ'!$B$6:$B$405,E1115,'Istoric_Nativ'!$C$6:$C$405,F1115,'Istoric_Nativ'!$F$6:$F$405,G1115,'Istoric_Nativ'!$D$6:$D$405,"&lt;"&amp;J1115,'Istoric_Nativ'!$P$6:$P$405,1,'Istoric_Nativ'!$D$6:$D$405,"&gt;="&amp;L1115)))/M1115)</x:f>
      </x:c>
      <x:c r="O1115" s="11" t="str">
        <x:f>IF(M1115=0,"",IF(H1115="HOME",SUMIFS('Istoric_Nativ'!$H$6:$H$405,'Istoric_Nativ'!$B$6:$B$405,E1115,'Istoric_Nativ'!$C$6:$C$405,F1115,'Istoric_Nativ'!$E$6:$E$405,G1115,'Istoric_Nativ'!$D$6:$D$405,"&lt;"&amp;J1115,'Istoric_Nativ'!$P$6:$P$405,1,'Istoric_Nativ'!$D$6:$D$405,"&gt;="&amp;L1115),IF(H1115="AWAY",SUMIFS('Istoric_Nativ'!$G$6:$G$405,'Istoric_Nativ'!$B$6:$B$405,E1115,'Istoric_Nativ'!$C$6:$C$405,F1115,'Istoric_Nativ'!$F$6:$F$405,G1115,'Istoric_Nativ'!$D$6:$D$405,"&lt;"&amp;J1115,'Istoric_Nativ'!$P$6:$P$405,1,'Istoric_Nativ'!$D$6:$D$405,"&gt;="&amp;L1115),SUMIFS('Istoric_Nativ'!$H$6:$H$405,'Istoric_Nativ'!$B$6:$B$405,E1115,'Istoric_Nativ'!$C$6:$C$405,F1115,'Istoric_Nativ'!$E$6:$E$405,G1115,'Istoric_Nativ'!$D$6:$D$405,"&lt;"&amp;J1115,'Istoric_Nativ'!$P$6:$P$405,1,'Istoric_Nativ'!$D$6:$D$405,"&gt;="&amp;L1115)+SUMIFS('Istoric_Nativ'!$G$6:$G$405,'Istoric_Nativ'!$B$6:$B$405,E1115,'Istoric_Nativ'!$C$6:$C$405,F1115,'Istoric_Nativ'!$F$6:$F$405,G1115,'Istoric_Nativ'!$D$6:$D$405,"&lt;"&amp;J1115,'Istoric_Nativ'!$P$6:$P$405,1,'Istoric_Nativ'!$D$6:$D$405,"&gt;="&amp;L1115)))/M1115)</x:f>
      </x:c>
      <x:c r="P1115" s="2" t="n">
        <x:f>'Config_v6'!$B$9</x:f>
        <x:v>3</x:v>
      </x:c>
      <x:c r="Q1115" s="2" t="n">
        <x:f>IF(OR(B1115="",F1115=""),0,IFERROR(MATCH(E1115&amp;"|"&amp;F1115,SourceTable[Source_Key],0),0))</x:f>
        <x:v>0</x:v>
      </x:c>
      <x:c r="R1115" s="2" t="str">
        <x:f>IF(B1115="","",IF(F1115="","UNUSED",IF(Q1115=0,"NOT CHECKED",IF(COUNTIF(SourceTable[Source_Key],E1115&amp;"|"&amp;F1115)&lt;&gt;1,"SOURCE CONFLICT",IF(NOT(OR(INDEX(SourceTable[Status],MAX(1,Q1115))="IMPORTED",INDEX(SourceTable[Status],MAX(1,Q1115))="PARTIAL",INDEX(SourceTable[Status],MAX(1,Q1115))="SOURCE CONFLICT")),"ACCESS BLOCKED",IF(OR(INDEX(SourceTable[Coverage],Q1115)&lt;&gt;"FULL SEASON EXPORT",INDEX(SourceTable[URL],Q1115)="",INDEX(SourceTable[SHA256],Q1115)=""),"EVIDENCE INCOMPLETE",IF(AND('Input_Meci'!H98="LIVE",INDEX(SourceTable[Retrieved_UTC],Q1115)&gt;'Input_Meci'!G98),"POST CUTOFF","CLOSED")))))))</x:f>
      </x:c>
      <x:c r="S1115" s="2" t="n">
        <x:f>IF(OR(B1115="",F1115=""),0,COUNTIFS('Istoric_Nativ'!$B$6:$B$405,E1115,'Istoric_Nativ'!$C$6:$C$405,F1115,'Istoric_Nativ'!$E$6:$E$405,G1115,'Istoric_Nativ'!$D$6:$D$405,"&lt;"&amp;J1115,'Istoric_Nativ'!$O$6:$O$405,"INVALID")+COUNTIFS('Istoric_Nativ'!$B$6:$B$405,E1115,'Istoric_Nativ'!$C$6:$C$405,F1115,'Istoric_Nativ'!$E$6:$E$405,G1115,'Istoric_Nativ'!$O$6:$O$405,"INVALID",'Istoric_Nativ'!$D$6:$D$405,"*")+COUNTIFS('Istoric_Nativ'!$B$6:$B$405,E1115,'Istoric_Nativ'!$C$6:$C$405,F1115,'Istoric_Nativ'!$E$6:$E$405,G1115,'Istoric_Nativ'!$D$6:$D$405,"&lt;"&amp;J1115,'Istoric_Nativ'!$O$6:$O$405,"SOURCE CONFLICT")+COUNTIFS('Istoric_Nativ'!$B$6:$B$405,E1115,'Istoric_Nativ'!$C$6:$C$405,F1115,'Istoric_Nativ'!$F$6:$F$405,G1115,'Istoric_Nativ'!$D$6:$D$405,"&lt;"&amp;J1115,'Istoric_Nativ'!$O$6:$O$405,"INVALID")+COUNTIFS('Istoric_Nativ'!$B$6:$B$405,E1115,'Istoric_Nativ'!$C$6:$C$405,F1115,'Istoric_Nativ'!$F$6:$F$405,G1115,'Istoric_Nativ'!$O$6:$O$405,"INVALID",'Istoric_Nativ'!$D$6:$D$405,"*")+COUNTIFS('Istoric_Nativ'!$B$6:$B$405,E1115,'Istoric_Nativ'!$C$6:$C$405,F1115,'Istoric_Nativ'!$F$6:$F$405,G1115,'Istoric_Nativ'!$D$6:$D$405,"&lt;"&amp;J1115,'Istoric_Nativ'!$O$6:$O$405,"SOURCE CONFLICT"))</x:f>
        <x:v>0</x:v>
      </x:c>
      <x:c r="T1115" s="2" t="str">
        <x:f>IF(B1115="","",IF(R1115&lt;&gt;"CLOSED",R1115,IF(S1115&gt;0,"NATIVE INPUT ISSUE",IF(M1115=0,"NO HISTORY",IF(M1115&lt;P1115,"SMALL SAMPLE","DERIVED")))))</x:f>
      </x:c>
      <x:c r="U1115" s="2" t="str">
        <x:f>IF(B1115="","","NativeTable; "&amp;E1115&amp;"; "&amp;F1115&amp;"; "&amp;G1115&amp;"; "&amp;H1115&amp;"; before "&amp;TEXT(J1115,"yyyy-mm-dd")&amp;IF(I1115="RECENT","; from "&amp;TEXT(L1115,"yyyy-mm-dd"),""))</x:f>
      </x:c>
    </x:row>
    <x:row r="1116" ht="21" customHeight="1">
      <x:c r="A1116" s="2" t="n">
        <x:v>93</x:v>
      </x:c>
      <x:c r="B1116" s="2" t="str">
        <x:f>IF('Input_Meci'!A98="","",'Input_Meci'!A98)</x:f>
      </x:c>
      <x:c r="C1116" s="2" t="str">
        <x:v>H</x:v>
      </x:c>
      <x:c r="D1116" s="2" t="str">
        <x:v>PRIOR</x:v>
      </x:c>
      <x:c r="E1116" s="2" t="str">
        <x:f>IF(B1116="","",'Input_Meci'!B98)</x:f>
      </x:c>
      <x:c r="F1116" s="2" t="str">
        <x:f>IF(B1116="","",IF('Input_Meci'!K98="","",'Input_Meci'!K98))</x:f>
      </x:c>
      <x:c r="G1116" s="2" t="str">
        <x:f>IF(B1116="","",'Input_Meci'!D98)</x:f>
      </x:c>
      <x:c r="H1116" s="2" t="str">
        <x:v>ANY</x:v>
      </x:c>
      <x:c r="I1116" s="2" t="str">
        <x:v>SEASON</x:v>
      </x:c>
      <x:c r="J1116" s="9" t="n">
        <x:f>IF(AND(B1116&lt;&gt;"",ISNUMBER('Input_Meci'!G98)),INT('Input_Meci'!G98),0)</x:f>
        <x:v>0</x:v>
      </x:c>
      <x:c r="K1116" s="2" t="n">
        <x:f>IF(OR(B1116="",F1116=""),0,IF(H1116="HOME",COUNTIFS('Istoric_Nativ'!$B$6:$B$405,E1116,'Istoric_Nativ'!$C$6:$C$405,F1116,'Istoric_Nativ'!$E$6:$E$405,G1116,'Istoric_Nativ'!$D$6:$D$405,"&lt;"&amp;J1116,'Istoric_Nativ'!$P$6:$P$405,1),IF(H1116="AWAY",COUNTIFS('Istoric_Nativ'!$B$6:$B$405,E1116,'Istoric_Nativ'!$C$6:$C$405,F1116,'Istoric_Nativ'!$F$6:$F$405,G1116,'Istoric_Nativ'!$D$6:$D$405,"&lt;"&amp;J1116,'Istoric_Nativ'!$P$6:$P$405,1),COUNTIFS('Istoric_Nativ'!$B$6:$B$405,E1116,'Istoric_Nativ'!$C$6:$C$405,F1116,'Istoric_Nativ'!$E$6:$E$405,G1116,'Istoric_Nativ'!$D$6:$D$405,"&lt;"&amp;J1116,'Istoric_Nativ'!$P$6:$P$405,1)+COUNTIFS('Istoric_Nativ'!$B$6:$B$405,E1116,'Istoric_Nativ'!$C$6:$C$405,F1116,'Istoric_Nativ'!$F$6:$F$405,G1116,'Istoric_Nativ'!$D$6:$D$405,"&lt;"&amp;J1116,'Istoric_Nativ'!$P$6:$P$405,1))))</x:f>
        <x:v>0</x:v>
      </x:c>
      <x:c r="L1116" s="17" t="n">
        <x:f>IF(AND(B1116&lt;&gt;"",I1116="RECENT",K1116&gt;0),LARGE(_xlfn._xlws.FILTER('Istoric_Nativ'!$D$6:$D$405,('Istoric_Nativ'!$B$6:$B$405=E1116)*('Istoric_Nativ'!$C$6:$C$405=F1116)*('Istoric_Nativ'!$P$6:$P$405=1)*('Istoric_Nativ'!$D$6:$D$405&lt;J1116)*((('Istoric_Nativ'!$E$6:$E$405=G1116)+('Istoric_Nativ'!$F$6:$F$405=G1116))&gt;0)),MIN('Config_v6'!$B$54,K1116)),0)</x:f>
        <x:v>0</x:v>
      </x:c>
      <x:c r="M1116" s="2" t="n">
        <x:f>IF(OR(B1116="",F1116=""),0,IF(H1116="HOME",COUNTIFS('Istoric_Nativ'!$B$6:$B$405,E1116,'Istoric_Nativ'!$C$6:$C$405,F1116,'Istoric_Nativ'!$E$6:$E$405,G1116,'Istoric_Nativ'!$D$6:$D$405,"&lt;"&amp;J1116,'Istoric_Nativ'!$P$6:$P$405,1,'Istoric_Nativ'!$D$6:$D$405,"&gt;="&amp;L1116),IF(H1116="AWAY",COUNTIFS('Istoric_Nativ'!$B$6:$B$405,E1116,'Istoric_Nativ'!$C$6:$C$405,F1116,'Istoric_Nativ'!$F$6:$F$405,G1116,'Istoric_Nativ'!$D$6:$D$405,"&lt;"&amp;J1116,'Istoric_Nativ'!$P$6:$P$405,1,'Istoric_Nativ'!$D$6:$D$405,"&gt;="&amp;L1116),COUNTIFS('Istoric_Nativ'!$B$6:$B$405,E1116,'Istoric_Nativ'!$C$6:$C$405,F1116,'Istoric_Nativ'!$E$6:$E$405,G1116,'Istoric_Nativ'!$D$6:$D$405,"&lt;"&amp;J1116,'Istoric_Nativ'!$P$6:$P$405,1,'Istoric_Nativ'!$D$6:$D$405,"&gt;="&amp;L1116)+COUNTIFS('Istoric_Nativ'!$B$6:$B$405,E1116,'Istoric_Nativ'!$C$6:$C$405,F1116,'Istoric_Nativ'!$F$6:$F$405,G1116,'Istoric_Nativ'!$D$6:$D$405,"&lt;"&amp;J1116,'Istoric_Nativ'!$P$6:$P$405,1,'Istoric_Nativ'!$D$6:$D$405,"&gt;="&amp;L1116))))</x:f>
        <x:v>0</x:v>
      </x:c>
      <x:c r="N1116" s="11" t="str">
        <x:f>IF(M1116=0,"",IF(H1116="HOME",SUMIFS('Istoric_Nativ'!$G$6:$G$405,'Istoric_Nativ'!$B$6:$B$405,E1116,'Istoric_Nativ'!$C$6:$C$405,F1116,'Istoric_Nativ'!$E$6:$E$405,G1116,'Istoric_Nativ'!$D$6:$D$405,"&lt;"&amp;J1116,'Istoric_Nativ'!$P$6:$P$405,1,'Istoric_Nativ'!$D$6:$D$405,"&gt;="&amp;L1116),IF(H1116="AWAY",SUMIFS('Istoric_Nativ'!$H$6:$H$405,'Istoric_Nativ'!$B$6:$B$405,E1116,'Istoric_Nativ'!$C$6:$C$405,F1116,'Istoric_Nativ'!$F$6:$F$405,G1116,'Istoric_Nativ'!$D$6:$D$405,"&lt;"&amp;J1116,'Istoric_Nativ'!$P$6:$P$405,1,'Istoric_Nativ'!$D$6:$D$405,"&gt;="&amp;L1116),SUMIFS('Istoric_Nativ'!$G$6:$G$405,'Istoric_Nativ'!$B$6:$B$405,E1116,'Istoric_Nativ'!$C$6:$C$405,F1116,'Istoric_Nativ'!$E$6:$E$405,G1116,'Istoric_Nativ'!$D$6:$D$405,"&lt;"&amp;J1116,'Istoric_Nativ'!$P$6:$P$405,1,'Istoric_Nativ'!$D$6:$D$405,"&gt;="&amp;L1116)+SUMIFS('Istoric_Nativ'!$H$6:$H$405,'Istoric_Nativ'!$B$6:$B$405,E1116,'Istoric_Nativ'!$C$6:$C$405,F1116,'Istoric_Nativ'!$F$6:$F$405,G1116,'Istoric_Nativ'!$D$6:$D$405,"&lt;"&amp;J1116,'Istoric_Nativ'!$P$6:$P$405,1,'Istoric_Nativ'!$D$6:$D$405,"&gt;="&amp;L1116)))/M1116)</x:f>
      </x:c>
      <x:c r="O1116" s="11" t="str">
        <x:f>IF(M1116=0,"",IF(H1116="HOME",SUMIFS('Istoric_Nativ'!$H$6:$H$405,'Istoric_Nativ'!$B$6:$B$405,E1116,'Istoric_Nativ'!$C$6:$C$405,F1116,'Istoric_Nativ'!$E$6:$E$405,G1116,'Istoric_Nativ'!$D$6:$D$405,"&lt;"&amp;J1116,'Istoric_Nativ'!$P$6:$P$405,1,'Istoric_Nativ'!$D$6:$D$405,"&gt;="&amp;L1116),IF(H1116="AWAY",SUMIFS('Istoric_Nativ'!$G$6:$G$405,'Istoric_Nativ'!$B$6:$B$405,E1116,'Istoric_Nativ'!$C$6:$C$405,F1116,'Istoric_Nativ'!$F$6:$F$405,G1116,'Istoric_Nativ'!$D$6:$D$405,"&lt;"&amp;J1116,'Istoric_Nativ'!$P$6:$P$405,1,'Istoric_Nativ'!$D$6:$D$405,"&gt;="&amp;L1116),SUMIFS('Istoric_Nativ'!$H$6:$H$405,'Istoric_Nativ'!$B$6:$B$405,E1116,'Istoric_Nativ'!$C$6:$C$405,F1116,'Istoric_Nativ'!$E$6:$E$405,G1116,'Istoric_Nativ'!$D$6:$D$405,"&lt;"&amp;J1116,'Istoric_Nativ'!$P$6:$P$405,1,'Istoric_Nativ'!$D$6:$D$405,"&gt;="&amp;L1116)+SUMIFS('Istoric_Nativ'!$G$6:$G$405,'Istoric_Nativ'!$B$6:$B$405,E1116,'Istoric_Nativ'!$C$6:$C$405,F1116,'Istoric_Nativ'!$F$6:$F$405,G1116,'Istoric_Nativ'!$D$6:$D$405,"&lt;"&amp;J1116,'Istoric_Nativ'!$P$6:$P$405,1,'Istoric_Nativ'!$D$6:$D$405,"&gt;="&amp;L1116)))/M1116)</x:f>
      </x:c>
      <x:c r="P1116" s="2" t="n">
        <x:f>'Config_v6'!$B$7</x:f>
        <x:v>10</x:v>
      </x:c>
      <x:c r="Q1116" s="2" t="n">
        <x:f>IF(OR(B1116="",F1116=""),0,IFERROR(MATCH(E1116&amp;"|"&amp;F1116,SourceTable[Source_Key],0),0))</x:f>
        <x:v>0</x:v>
      </x:c>
      <x:c r="R1116" s="2" t="str">
        <x:f>IF(B1116="","",IF(F1116="","UNUSED",IF(Q1116=0,"NOT CHECKED",IF(COUNTIF(SourceTable[Source_Key],E1116&amp;"|"&amp;F1116)&lt;&gt;1,"SOURCE CONFLICT",IF(NOT(OR(INDEX(SourceTable[Status],MAX(1,Q1116))="IMPORTED",INDEX(SourceTable[Status],MAX(1,Q1116))="PARTIAL",INDEX(SourceTable[Status],MAX(1,Q1116))="SOURCE CONFLICT")),"ACCESS BLOCKED",IF(OR(INDEX(SourceTable[Coverage],Q1116)&lt;&gt;"FULL SEASON EXPORT",INDEX(SourceTable[URL],Q1116)="",INDEX(SourceTable[SHA256],Q1116)=""),"EVIDENCE INCOMPLETE",IF(AND('Input_Meci'!H98="LIVE",INDEX(SourceTable[Retrieved_UTC],Q1116)&gt;'Input_Meci'!G98),"POST CUTOFF","CLOSED")))))))</x:f>
      </x:c>
      <x:c r="S1116" s="2" t="n">
        <x:f>IF(OR(B1116="",F1116=""),0,COUNTIFS('Istoric_Nativ'!$B$6:$B$405,E1116,'Istoric_Nativ'!$C$6:$C$405,F1116,'Istoric_Nativ'!$E$6:$E$405,G1116,'Istoric_Nativ'!$D$6:$D$405,"&lt;"&amp;J1116,'Istoric_Nativ'!$O$6:$O$405,"INVALID")+COUNTIFS('Istoric_Nativ'!$B$6:$B$405,E1116,'Istoric_Nativ'!$C$6:$C$405,F1116,'Istoric_Nativ'!$E$6:$E$405,G1116,'Istoric_Nativ'!$O$6:$O$405,"INVALID",'Istoric_Nativ'!$D$6:$D$405,"*")+COUNTIFS('Istoric_Nativ'!$B$6:$B$405,E1116,'Istoric_Nativ'!$C$6:$C$405,F1116,'Istoric_Nativ'!$E$6:$E$405,G1116,'Istoric_Nativ'!$D$6:$D$405,"&lt;"&amp;J1116,'Istoric_Nativ'!$O$6:$O$405,"SOURCE CONFLICT")+COUNTIFS('Istoric_Nativ'!$B$6:$B$405,E1116,'Istoric_Nativ'!$C$6:$C$405,F1116,'Istoric_Nativ'!$F$6:$F$405,G1116,'Istoric_Nativ'!$D$6:$D$405,"&lt;"&amp;J1116,'Istoric_Nativ'!$O$6:$O$405,"INVALID")+COUNTIFS('Istoric_Nativ'!$B$6:$B$405,E1116,'Istoric_Nativ'!$C$6:$C$405,F1116,'Istoric_Nativ'!$F$6:$F$405,G1116,'Istoric_Nativ'!$O$6:$O$405,"INVALID",'Istoric_Nativ'!$D$6:$D$405,"*")+COUNTIFS('Istoric_Nativ'!$B$6:$B$405,E1116,'Istoric_Nativ'!$C$6:$C$405,F1116,'Istoric_Nativ'!$F$6:$F$405,G1116,'Istoric_Nativ'!$D$6:$D$405,"&lt;"&amp;J1116,'Istoric_Nativ'!$O$6:$O$405,"SOURCE CONFLICT"))</x:f>
        <x:v>0</x:v>
      </x:c>
      <x:c r="T1116" s="2" t="str">
        <x:f>IF(B1116="","",IF(R1116&lt;&gt;"CLOSED",R1116,IF(S1116&gt;0,"NATIVE INPUT ISSUE",IF(M1116=0,"NO HISTORY",IF(M1116&lt;P1116,"SMALL SAMPLE","DERIVED")))))</x:f>
      </x:c>
      <x:c r="U1116" s="2" t="str">
        <x:f>IF(B1116="","","NativeTable; "&amp;E1116&amp;"; "&amp;F1116&amp;"; "&amp;G1116&amp;"; "&amp;H1116&amp;"; before "&amp;TEXT(J1116,"yyyy-mm-dd")&amp;IF(I1116="RECENT","; from "&amp;TEXT(L1116,"yyyy-mm-dd"),""))</x:f>
      </x:c>
    </x:row>
    <x:row r="1117" ht="21" customHeight="1">
      <x:c r="A1117" s="2" t="n">
        <x:v>93</x:v>
      </x:c>
      <x:c r="B1117" s="2" t="str">
        <x:f>IF('Input_Meci'!A98="","",'Input_Meci'!A98)</x:f>
      </x:c>
      <x:c r="C1117" s="2" t="str">
        <x:v>H</x:v>
      </x:c>
      <x:c r="D1117" s="2" t="str">
        <x:v>PRIOR</x:v>
      </x:c>
      <x:c r="E1117" s="2" t="str">
        <x:f>IF(B1117="","",'Input_Meci'!B98)</x:f>
      </x:c>
      <x:c r="F1117" s="2" t="str">
        <x:f>IF(B1117="","",IF('Input_Meci'!K98="","",'Input_Meci'!K98))</x:f>
      </x:c>
      <x:c r="G1117" s="2" t="str">
        <x:f>IF(B1117="","",'Input_Meci'!D98)</x:f>
      </x:c>
      <x:c r="H1117" s="2" t="str">
        <x:v>HOME</x:v>
      </x:c>
      <x:c r="I1117" s="2" t="str">
        <x:v>HA</x:v>
      </x:c>
      <x:c r="J1117" s="9" t="n">
        <x:f>IF(AND(B1117&lt;&gt;"",ISNUMBER('Input_Meci'!G98)),INT('Input_Meci'!G98),0)</x:f>
        <x:v>0</x:v>
      </x:c>
      <x:c r="K1117" s="2" t="n">
        <x:f>IF(OR(B1117="",F1117=""),0,IF(H1117="HOME",COUNTIFS('Istoric_Nativ'!$B$6:$B$405,E1117,'Istoric_Nativ'!$C$6:$C$405,F1117,'Istoric_Nativ'!$E$6:$E$405,G1117,'Istoric_Nativ'!$D$6:$D$405,"&lt;"&amp;J1117,'Istoric_Nativ'!$P$6:$P$405,1),IF(H1117="AWAY",COUNTIFS('Istoric_Nativ'!$B$6:$B$405,E1117,'Istoric_Nativ'!$C$6:$C$405,F1117,'Istoric_Nativ'!$F$6:$F$405,G1117,'Istoric_Nativ'!$D$6:$D$405,"&lt;"&amp;J1117,'Istoric_Nativ'!$P$6:$P$405,1),COUNTIFS('Istoric_Nativ'!$B$6:$B$405,E1117,'Istoric_Nativ'!$C$6:$C$405,F1117,'Istoric_Nativ'!$E$6:$E$405,G1117,'Istoric_Nativ'!$D$6:$D$405,"&lt;"&amp;J1117,'Istoric_Nativ'!$P$6:$P$405,1)+COUNTIFS('Istoric_Nativ'!$B$6:$B$405,E1117,'Istoric_Nativ'!$C$6:$C$405,F1117,'Istoric_Nativ'!$F$6:$F$405,G1117,'Istoric_Nativ'!$D$6:$D$405,"&lt;"&amp;J1117,'Istoric_Nativ'!$P$6:$P$405,1))))</x:f>
        <x:v>0</x:v>
      </x:c>
      <x:c r="L1117" s="17" t="n">
        <x:f>IF(AND(B1117&lt;&gt;"",I1117="RECENT",K1117&gt;0),LARGE(_xlfn._xlws.FILTER('Istoric_Nativ'!$D$6:$D$405,('Istoric_Nativ'!$B$6:$B$405=E1117)*('Istoric_Nativ'!$C$6:$C$405=F1117)*('Istoric_Nativ'!$P$6:$P$405=1)*('Istoric_Nativ'!$D$6:$D$405&lt;J1117)*((('Istoric_Nativ'!$E$6:$E$405=G1117)+('Istoric_Nativ'!$F$6:$F$405=G1117))&gt;0)),MIN('Config_v6'!$B$54,K1117)),0)</x:f>
        <x:v>0</x:v>
      </x:c>
      <x:c r="M1117" s="2" t="n">
        <x:f>IF(OR(B1117="",F1117=""),0,IF(H1117="HOME",COUNTIFS('Istoric_Nativ'!$B$6:$B$405,E1117,'Istoric_Nativ'!$C$6:$C$405,F1117,'Istoric_Nativ'!$E$6:$E$405,G1117,'Istoric_Nativ'!$D$6:$D$405,"&lt;"&amp;J1117,'Istoric_Nativ'!$P$6:$P$405,1,'Istoric_Nativ'!$D$6:$D$405,"&gt;="&amp;L1117),IF(H1117="AWAY",COUNTIFS('Istoric_Nativ'!$B$6:$B$405,E1117,'Istoric_Nativ'!$C$6:$C$405,F1117,'Istoric_Nativ'!$F$6:$F$405,G1117,'Istoric_Nativ'!$D$6:$D$405,"&lt;"&amp;J1117,'Istoric_Nativ'!$P$6:$P$405,1,'Istoric_Nativ'!$D$6:$D$405,"&gt;="&amp;L1117),COUNTIFS('Istoric_Nativ'!$B$6:$B$405,E1117,'Istoric_Nativ'!$C$6:$C$405,F1117,'Istoric_Nativ'!$E$6:$E$405,G1117,'Istoric_Nativ'!$D$6:$D$405,"&lt;"&amp;J1117,'Istoric_Nativ'!$P$6:$P$405,1,'Istoric_Nativ'!$D$6:$D$405,"&gt;="&amp;L1117)+COUNTIFS('Istoric_Nativ'!$B$6:$B$405,E1117,'Istoric_Nativ'!$C$6:$C$405,F1117,'Istoric_Nativ'!$F$6:$F$405,G1117,'Istoric_Nativ'!$D$6:$D$405,"&lt;"&amp;J1117,'Istoric_Nativ'!$P$6:$P$405,1,'Istoric_Nativ'!$D$6:$D$405,"&gt;="&amp;L1117))))</x:f>
        <x:v>0</x:v>
      </x:c>
      <x:c r="N1117" s="11" t="str">
        <x:f>IF(M1117=0,"",IF(H1117="HOME",SUMIFS('Istoric_Nativ'!$G$6:$G$405,'Istoric_Nativ'!$B$6:$B$405,E1117,'Istoric_Nativ'!$C$6:$C$405,F1117,'Istoric_Nativ'!$E$6:$E$405,G1117,'Istoric_Nativ'!$D$6:$D$405,"&lt;"&amp;J1117,'Istoric_Nativ'!$P$6:$P$405,1,'Istoric_Nativ'!$D$6:$D$405,"&gt;="&amp;L1117),IF(H1117="AWAY",SUMIFS('Istoric_Nativ'!$H$6:$H$405,'Istoric_Nativ'!$B$6:$B$405,E1117,'Istoric_Nativ'!$C$6:$C$405,F1117,'Istoric_Nativ'!$F$6:$F$405,G1117,'Istoric_Nativ'!$D$6:$D$405,"&lt;"&amp;J1117,'Istoric_Nativ'!$P$6:$P$405,1,'Istoric_Nativ'!$D$6:$D$405,"&gt;="&amp;L1117),SUMIFS('Istoric_Nativ'!$G$6:$G$405,'Istoric_Nativ'!$B$6:$B$405,E1117,'Istoric_Nativ'!$C$6:$C$405,F1117,'Istoric_Nativ'!$E$6:$E$405,G1117,'Istoric_Nativ'!$D$6:$D$405,"&lt;"&amp;J1117,'Istoric_Nativ'!$P$6:$P$405,1,'Istoric_Nativ'!$D$6:$D$405,"&gt;="&amp;L1117)+SUMIFS('Istoric_Nativ'!$H$6:$H$405,'Istoric_Nativ'!$B$6:$B$405,E1117,'Istoric_Nativ'!$C$6:$C$405,F1117,'Istoric_Nativ'!$F$6:$F$405,G1117,'Istoric_Nativ'!$D$6:$D$405,"&lt;"&amp;J1117,'Istoric_Nativ'!$P$6:$P$405,1,'Istoric_Nativ'!$D$6:$D$405,"&gt;="&amp;L1117)))/M1117)</x:f>
      </x:c>
      <x:c r="O1117" s="11" t="str">
        <x:f>IF(M1117=0,"",IF(H1117="HOME",SUMIFS('Istoric_Nativ'!$H$6:$H$405,'Istoric_Nativ'!$B$6:$B$405,E1117,'Istoric_Nativ'!$C$6:$C$405,F1117,'Istoric_Nativ'!$E$6:$E$405,G1117,'Istoric_Nativ'!$D$6:$D$405,"&lt;"&amp;J1117,'Istoric_Nativ'!$P$6:$P$405,1,'Istoric_Nativ'!$D$6:$D$405,"&gt;="&amp;L1117),IF(H1117="AWAY",SUMIFS('Istoric_Nativ'!$G$6:$G$405,'Istoric_Nativ'!$B$6:$B$405,E1117,'Istoric_Nativ'!$C$6:$C$405,F1117,'Istoric_Nativ'!$F$6:$F$405,G1117,'Istoric_Nativ'!$D$6:$D$405,"&lt;"&amp;J1117,'Istoric_Nativ'!$P$6:$P$405,1,'Istoric_Nativ'!$D$6:$D$405,"&gt;="&amp;L1117),SUMIFS('Istoric_Nativ'!$H$6:$H$405,'Istoric_Nativ'!$B$6:$B$405,E1117,'Istoric_Nativ'!$C$6:$C$405,F1117,'Istoric_Nativ'!$E$6:$E$405,G1117,'Istoric_Nativ'!$D$6:$D$405,"&lt;"&amp;J1117,'Istoric_Nativ'!$P$6:$P$405,1,'Istoric_Nativ'!$D$6:$D$405,"&gt;="&amp;L1117)+SUMIFS('Istoric_Nativ'!$G$6:$G$405,'Istoric_Nativ'!$B$6:$B$405,E1117,'Istoric_Nativ'!$C$6:$C$405,F1117,'Istoric_Nativ'!$F$6:$F$405,G1117,'Istoric_Nativ'!$D$6:$D$405,"&lt;"&amp;J1117,'Istoric_Nativ'!$P$6:$P$405,1,'Istoric_Nativ'!$D$6:$D$405,"&gt;="&amp;L1117)))/M1117)</x:f>
      </x:c>
      <x:c r="P1117" s="2" t="n">
        <x:f>'Config_v6'!$B$8</x:f>
        <x:v>5</x:v>
      </x:c>
      <x:c r="Q1117" s="2" t="n">
        <x:f>IF(OR(B1117="",F1117=""),0,IFERROR(MATCH(E1117&amp;"|"&amp;F1117,SourceTable[Source_Key],0),0))</x:f>
        <x:v>0</x:v>
      </x:c>
      <x:c r="R1117" s="2" t="str">
        <x:f>IF(B1117="","",IF(F1117="","UNUSED",IF(Q1117=0,"NOT CHECKED",IF(COUNTIF(SourceTable[Source_Key],E1117&amp;"|"&amp;F1117)&lt;&gt;1,"SOURCE CONFLICT",IF(NOT(OR(INDEX(SourceTable[Status],MAX(1,Q1117))="IMPORTED",INDEX(SourceTable[Status],MAX(1,Q1117))="PARTIAL",INDEX(SourceTable[Status],MAX(1,Q1117))="SOURCE CONFLICT")),"ACCESS BLOCKED",IF(OR(INDEX(SourceTable[Coverage],Q1117)&lt;&gt;"FULL SEASON EXPORT",INDEX(SourceTable[URL],Q1117)="",INDEX(SourceTable[SHA256],Q1117)=""),"EVIDENCE INCOMPLETE",IF(AND('Input_Meci'!H98="LIVE",INDEX(SourceTable[Retrieved_UTC],Q1117)&gt;'Input_Meci'!G98),"POST CUTOFF","CLOSED")))))))</x:f>
      </x:c>
      <x:c r="S1117" s="2" t="n">
        <x:f>IF(OR(B1117="",F1117=""),0,COUNTIFS('Istoric_Nativ'!$B$6:$B$405,E1117,'Istoric_Nativ'!$C$6:$C$405,F1117,'Istoric_Nativ'!$E$6:$E$405,G1117,'Istoric_Nativ'!$D$6:$D$405,"&lt;"&amp;J1117,'Istoric_Nativ'!$O$6:$O$405,"INVALID")+COUNTIFS('Istoric_Nativ'!$B$6:$B$405,E1117,'Istoric_Nativ'!$C$6:$C$405,F1117,'Istoric_Nativ'!$E$6:$E$405,G1117,'Istoric_Nativ'!$O$6:$O$405,"INVALID",'Istoric_Nativ'!$D$6:$D$405,"*")+COUNTIFS('Istoric_Nativ'!$B$6:$B$405,E1117,'Istoric_Nativ'!$C$6:$C$405,F1117,'Istoric_Nativ'!$E$6:$E$405,G1117,'Istoric_Nativ'!$D$6:$D$405,"&lt;"&amp;J1117,'Istoric_Nativ'!$O$6:$O$405,"SOURCE CONFLICT")+COUNTIFS('Istoric_Nativ'!$B$6:$B$405,E1117,'Istoric_Nativ'!$C$6:$C$405,F1117,'Istoric_Nativ'!$F$6:$F$405,G1117,'Istoric_Nativ'!$D$6:$D$405,"&lt;"&amp;J1117,'Istoric_Nativ'!$O$6:$O$405,"INVALID")+COUNTIFS('Istoric_Nativ'!$B$6:$B$405,E1117,'Istoric_Nativ'!$C$6:$C$405,F1117,'Istoric_Nativ'!$F$6:$F$405,G1117,'Istoric_Nativ'!$O$6:$O$405,"INVALID",'Istoric_Nativ'!$D$6:$D$405,"*")+COUNTIFS('Istoric_Nativ'!$B$6:$B$405,E1117,'Istoric_Nativ'!$C$6:$C$405,F1117,'Istoric_Nativ'!$F$6:$F$405,G1117,'Istoric_Nativ'!$D$6:$D$405,"&lt;"&amp;J1117,'Istoric_Nativ'!$O$6:$O$405,"SOURCE CONFLICT"))</x:f>
        <x:v>0</x:v>
      </x:c>
      <x:c r="T1117" s="2" t="str">
        <x:f>IF(B1117="","",IF(R1117&lt;&gt;"CLOSED",R1117,IF(S1117&gt;0,"NATIVE INPUT ISSUE",IF(M1117=0,"NO HISTORY",IF(M1117&lt;P1117,"SMALL SAMPLE","DERIVED")))))</x:f>
      </x:c>
      <x:c r="U1117" s="2" t="str">
        <x:f>IF(B1117="","","NativeTable; "&amp;E1117&amp;"; "&amp;F1117&amp;"; "&amp;G1117&amp;"; "&amp;H1117&amp;"; before "&amp;TEXT(J1117,"yyyy-mm-dd")&amp;IF(I1117="RECENT","; from "&amp;TEXT(L1117,"yyyy-mm-dd"),""))</x:f>
      </x:c>
    </x:row>
    <x:row r="1118" ht="21" customHeight="1">
      <x:c r="A1118" s="2" t="n">
        <x:v>93</x:v>
      </x:c>
      <x:c r="B1118" s="2" t="str">
        <x:f>IF('Input_Meci'!A98="","",'Input_Meci'!A98)</x:f>
      </x:c>
      <x:c r="C1118" s="2" t="str">
        <x:v>H</x:v>
      </x:c>
      <x:c r="D1118" s="2" t="str">
        <x:v>PRIOR</x:v>
      </x:c>
      <x:c r="E1118" s="2" t="str">
        <x:f>IF(B1118="","",'Input_Meci'!B98)</x:f>
      </x:c>
      <x:c r="F1118" s="2" t="str">
        <x:f>IF(B1118="","",IF('Input_Meci'!K98="","",'Input_Meci'!K98))</x:f>
      </x:c>
      <x:c r="G1118" s="2" t="str">
        <x:f>IF(B1118="","",'Input_Meci'!D98)</x:f>
      </x:c>
      <x:c r="H1118" s="2" t="str">
        <x:v>ANY</x:v>
      </x:c>
      <x:c r="I1118" s="2" t="str">
        <x:v>RECENT</x:v>
      </x:c>
      <x:c r="J1118" s="9" t="n">
        <x:f>IF(AND(B1118&lt;&gt;"",ISNUMBER('Input_Meci'!G98)),INT('Input_Meci'!G98),0)</x:f>
        <x:v>0</x:v>
      </x:c>
      <x:c r="K1118" s="2" t="n">
        <x:f>IF(OR(B1118="",F1118=""),0,IF(H1118="HOME",COUNTIFS('Istoric_Nativ'!$B$6:$B$405,E1118,'Istoric_Nativ'!$C$6:$C$405,F1118,'Istoric_Nativ'!$E$6:$E$405,G1118,'Istoric_Nativ'!$D$6:$D$405,"&lt;"&amp;J1118,'Istoric_Nativ'!$P$6:$P$405,1),IF(H1118="AWAY",COUNTIFS('Istoric_Nativ'!$B$6:$B$405,E1118,'Istoric_Nativ'!$C$6:$C$405,F1118,'Istoric_Nativ'!$F$6:$F$405,G1118,'Istoric_Nativ'!$D$6:$D$405,"&lt;"&amp;J1118,'Istoric_Nativ'!$P$6:$P$405,1),COUNTIFS('Istoric_Nativ'!$B$6:$B$405,E1118,'Istoric_Nativ'!$C$6:$C$405,F1118,'Istoric_Nativ'!$E$6:$E$405,G1118,'Istoric_Nativ'!$D$6:$D$405,"&lt;"&amp;J1118,'Istoric_Nativ'!$P$6:$P$405,1)+COUNTIFS('Istoric_Nativ'!$B$6:$B$405,E1118,'Istoric_Nativ'!$C$6:$C$405,F1118,'Istoric_Nativ'!$F$6:$F$405,G1118,'Istoric_Nativ'!$D$6:$D$405,"&lt;"&amp;J1118,'Istoric_Nativ'!$P$6:$P$405,1))))</x:f>
        <x:v>0</x:v>
      </x:c>
      <x:c r="L1118" s="17" t="n">
        <x:f>IF(AND(B1118&lt;&gt;"",I1118="RECENT",K1118&gt;0),LARGE(_xlfn._xlws.FILTER('Istoric_Nativ'!$D$6:$D$405,('Istoric_Nativ'!$B$6:$B$405=E1118)*('Istoric_Nativ'!$C$6:$C$405=F1118)*('Istoric_Nativ'!$P$6:$P$405=1)*('Istoric_Nativ'!$D$6:$D$405&lt;J1118)*((('Istoric_Nativ'!$E$6:$E$405=G1118)+('Istoric_Nativ'!$F$6:$F$405=G1118))&gt;0)),MIN('Config_v6'!$B$54,K1118)),0)</x:f>
        <x:v>0</x:v>
      </x:c>
      <x:c r="M1118" s="2" t="n">
        <x:f>IF(OR(B1118="",F1118=""),0,IF(H1118="HOME",COUNTIFS('Istoric_Nativ'!$B$6:$B$405,E1118,'Istoric_Nativ'!$C$6:$C$405,F1118,'Istoric_Nativ'!$E$6:$E$405,G1118,'Istoric_Nativ'!$D$6:$D$405,"&lt;"&amp;J1118,'Istoric_Nativ'!$P$6:$P$405,1,'Istoric_Nativ'!$D$6:$D$405,"&gt;="&amp;L1118),IF(H1118="AWAY",COUNTIFS('Istoric_Nativ'!$B$6:$B$405,E1118,'Istoric_Nativ'!$C$6:$C$405,F1118,'Istoric_Nativ'!$F$6:$F$405,G1118,'Istoric_Nativ'!$D$6:$D$405,"&lt;"&amp;J1118,'Istoric_Nativ'!$P$6:$P$405,1,'Istoric_Nativ'!$D$6:$D$405,"&gt;="&amp;L1118),COUNTIFS('Istoric_Nativ'!$B$6:$B$405,E1118,'Istoric_Nativ'!$C$6:$C$405,F1118,'Istoric_Nativ'!$E$6:$E$405,G1118,'Istoric_Nativ'!$D$6:$D$405,"&lt;"&amp;J1118,'Istoric_Nativ'!$P$6:$P$405,1,'Istoric_Nativ'!$D$6:$D$405,"&gt;="&amp;L1118)+COUNTIFS('Istoric_Nativ'!$B$6:$B$405,E1118,'Istoric_Nativ'!$C$6:$C$405,F1118,'Istoric_Nativ'!$F$6:$F$405,G1118,'Istoric_Nativ'!$D$6:$D$405,"&lt;"&amp;J1118,'Istoric_Nativ'!$P$6:$P$405,1,'Istoric_Nativ'!$D$6:$D$405,"&gt;="&amp;L1118))))</x:f>
        <x:v>0</x:v>
      </x:c>
      <x:c r="N1118" s="11" t="str">
        <x:f>IF(M1118=0,"",IF(H1118="HOME",SUMIFS('Istoric_Nativ'!$G$6:$G$405,'Istoric_Nativ'!$B$6:$B$405,E1118,'Istoric_Nativ'!$C$6:$C$405,F1118,'Istoric_Nativ'!$E$6:$E$405,G1118,'Istoric_Nativ'!$D$6:$D$405,"&lt;"&amp;J1118,'Istoric_Nativ'!$P$6:$P$405,1,'Istoric_Nativ'!$D$6:$D$405,"&gt;="&amp;L1118),IF(H1118="AWAY",SUMIFS('Istoric_Nativ'!$H$6:$H$405,'Istoric_Nativ'!$B$6:$B$405,E1118,'Istoric_Nativ'!$C$6:$C$405,F1118,'Istoric_Nativ'!$F$6:$F$405,G1118,'Istoric_Nativ'!$D$6:$D$405,"&lt;"&amp;J1118,'Istoric_Nativ'!$P$6:$P$405,1,'Istoric_Nativ'!$D$6:$D$405,"&gt;="&amp;L1118),SUMIFS('Istoric_Nativ'!$G$6:$G$405,'Istoric_Nativ'!$B$6:$B$405,E1118,'Istoric_Nativ'!$C$6:$C$405,F1118,'Istoric_Nativ'!$E$6:$E$405,G1118,'Istoric_Nativ'!$D$6:$D$405,"&lt;"&amp;J1118,'Istoric_Nativ'!$P$6:$P$405,1,'Istoric_Nativ'!$D$6:$D$405,"&gt;="&amp;L1118)+SUMIFS('Istoric_Nativ'!$H$6:$H$405,'Istoric_Nativ'!$B$6:$B$405,E1118,'Istoric_Nativ'!$C$6:$C$405,F1118,'Istoric_Nativ'!$F$6:$F$405,G1118,'Istoric_Nativ'!$D$6:$D$405,"&lt;"&amp;J1118,'Istoric_Nativ'!$P$6:$P$405,1,'Istoric_Nativ'!$D$6:$D$405,"&gt;="&amp;L1118)))/M1118)</x:f>
      </x:c>
      <x:c r="O1118" s="11" t="str">
        <x:f>IF(M1118=0,"",IF(H1118="HOME",SUMIFS('Istoric_Nativ'!$H$6:$H$405,'Istoric_Nativ'!$B$6:$B$405,E1118,'Istoric_Nativ'!$C$6:$C$405,F1118,'Istoric_Nativ'!$E$6:$E$405,G1118,'Istoric_Nativ'!$D$6:$D$405,"&lt;"&amp;J1118,'Istoric_Nativ'!$P$6:$P$405,1,'Istoric_Nativ'!$D$6:$D$405,"&gt;="&amp;L1118),IF(H1118="AWAY",SUMIFS('Istoric_Nativ'!$G$6:$G$405,'Istoric_Nativ'!$B$6:$B$405,E1118,'Istoric_Nativ'!$C$6:$C$405,F1118,'Istoric_Nativ'!$F$6:$F$405,G1118,'Istoric_Nativ'!$D$6:$D$405,"&lt;"&amp;J1118,'Istoric_Nativ'!$P$6:$P$405,1,'Istoric_Nativ'!$D$6:$D$405,"&gt;="&amp;L1118),SUMIFS('Istoric_Nativ'!$H$6:$H$405,'Istoric_Nativ'!$B$6:$B$405,E1118,'Istoric_Nativ'!$C$6:$C$405,F1118,'Istoric_Nativ'!$E$6:$E$405,G1118,'Istoric_Nativ'!$D$6:$D$405,"&lt;"&amp;J1118,'Istoric_Nativ'!$P$6:$P$405,1,'Istoric_Nativ'!$D$6:$D$405,"&gt;="&amp;L1118)+SUMIFS('Istoric_Nativ'!$G$6:$G$405,'Istoric_Nativ'!$B$6:$B$405,E1118,'Istoric_Nativ'!$C$6:$C$405,F1118,'Istoric_Nativ'!$F$6:$F$405,G1118,'Istoric_Nativ'!$D$6:$D$405,"&lt;"&amp;J1118,'Istoric_Nativ'!$P$6:$P$405,1,'Istoric_Nativ'!$D$6:$D$405,"&gt;="&amp;L1118)))/M1118)</x:f>
      </x:c>
      <x:c r="P1118" s="2" t="n">
        <x:f>'Config_v6'!$B$9</x:f>
        <x:v>3</x:v>
      </x:c>
      <x:c r="Q1118" s="2" t="n">
        <x:f>IF(OR(B1118="",F1118=""),0,IFERROR(MATCH(E1118&amp;"|"&amp;F1118,SourceTable[Source_Key],0),0))</x:f>
        <x:v>0</x:v>
      </x:c>
      <x:c r="R1118" s="2" t="str">
        <x:f>IF(B1118="","",IF(F1118="","UNUSED",IF(Q1118=0,"NOT CHECKED",IF(COUNTIF(SourceTable[Source_Key],E1118&amp;"|"&amp;F1118)&lt;&gt;1,"SOURCE CONFLICT",IF(NOT(OR(INDEX(SourceTable[Status],MAX(1,Q1118))="IMPORTED",INDEX(SourceTable[Status],MAX(1,Q1118))="PARTIAL",INDEX(SourceTable[Status],MAX(1,Q1118))="SOURCE CONFLICT")),"ACCESS BLOCKED",IF(OR(INDEX(SourceTable[Coverage],Q1118)&lt;&gt;"FULL SEASON EXPORT",INDEX(SourceTable[URL],Q1118)="",INDEX(SourceTable[SHA256],Q1118)=""),"EVIDENCE INCOMPLETE",IF(AND('Input_Meci'!H98="LIVE",INDEX(SourceTable[Retrieved_UTC],Q1118)&gt;'Input_Meci'!G98),"POST CUTOFF","CLOSED")))))))</x:f>
      </x:c>
      <x:c r="S1118" s="2" t="n">
        <x:f>IF(OR(B1118="",F1118=""),0,COUNTIFS('Istoric_Nativ'!$B$6:$B$405,E1118,'Istoric_Nativ'!$C$6:$C$405,F1118,'Istoric_Nativ'!$E$6:$E$405,G1118,'Istoric_Nativ'!$D$6:$D$405,"&lt;"&amp;J1118,'Istoric_Nativ'!$O$6:$O$405,"INVALID")+COUNTIFS('Istoric_Nativ'!$B$6:$B$405,E1118,'Istoric_Nativ'!$C$6:$C$405,F1118,'Istoric_Nativ'!$E$6:$E$405,G1118,'Istoric_Nativ'!$O$6:$O$405,"INVALID",'Istoric_Nativ'!$D$6:$D$405,"*")+COUNTIFS('Istoric_Nativ'!$B$6:$B$405,E1118,'Istoric_Nativ'!$C$6:$C$405,F1118,'Istoric_Nativ'!$E$6:$E$405,G1118,'Istoric_Nativ'!$D$6:$D$405,"&lt;"&amp;J1118,'Istoric_Nativ'!$O$6:$O$405,"SOURCE CONFLICT")+COUNTIFS('Istoric_Nativ'!$B$6:$B$405,E1118,'Istoric_Nativ'!$C$6:$C$405,F1118,'Istoric_Nativ'!$F$6:$F$405,G1118,'Istoric_Nativ'!$D$6:$D$405,"&lt;"&amp;J1118,'Istoric_Nativ'!$O$6:$O$405,"INVALID")+COUNTIFS('Istoric_Nativ'!$B$6:$B$405,E1118,'Istoric_Nativ'!$C$6:$C$405,F1118,'Istoric_Nativ'!$F$6:$F$405,G1118,'Istoric_Nativ'!$O$6:$O$405,"INVALID",'Istoric_Nativ'!$D$6:$D$405,"*")+COUNTIFS('Istoric_Nativ'!$B$6:$B$405,E1118,'Istoric_Nativ'!$C$6:$C$405,F1118,'Istoric_Nativ'!$F$6:$F$405,G1118,'Istoric_Nativ'!$D$6:$D$405,"&lt;"&amp;J1118,'Istoric_Nativ'!$O$6:$O$405,"SOURCE CONFLICT"))</x:f>
        <x:v>0</x:v>
      </x:c>
      <x:c r="T1118" s="2" t="str">
        <x:f>IF(B1118="","",IF(R1118&lt;&gt;"CLOSED",R1118,IF(S1118&gt;0,"NATIVE INPUT ISSUE",IF(M1118=0,"NO HISTORY",IF(M1118&lt;P1118,"SMALL SAMPLE","DERIVED")))))</x:f>
      </x:c>
      <x:c r="U1118" s="2" t="str">
        <x:f>IF(B1118="","","NativeTable; "&amp;E1118&amp;"; "&amp;F1118&amp;"; "&amp;G1118&amp;"; "&amp;H1118&amp;"; before "&amp;TEXT(J1118,"yyyy-mm-dd")&amp;IF(I1118="RECENT","; from "&amp;TEXT(L1118,"yyyy-mm-dd"),""))</x:f>
      </x:c>
    </x:row>
    <x:row r="1119" ht="21" customHeight="1">
      <x:c r="A1119" s="2" t="n">
        <x:v>93</x:v>
      </x:c>
      <x:c r="B1119" s="2" t="str">
        <x:f>IF('Input_Meci'!A98="","",'Input_Meci'!A98)</x:f>
      </x:c>
      <x:c r="C1119" s="2" t="str">
        <x:v>A</x:v>
      </x:c>
      <x:c r="D1119" s="2" t="str">
        <x:v>PRIOR</x:v>
      </x:c>
      <x:c r="E1119" s="2" t="str">
        <x:f>IF(B1119="","",'Input_Meci'!B98)</x:f>
      </x:c>
      <x:c r="F1119" s="2" t="str">
        <x:f>IF(B1119="","",IF('Input_Meci'!K98="","",'Input_Meci'!K98))</x:f>
      </x:c>
      <x:c r="G1119" s="2" t="str">
        <x:f>IF(B1119="","",'Input_Meci'!E98)</x:f>
      </x:c>
      <x:c r="H1119" s="2" t="str">
        <x:v>ANY</x:v>
      </x:c>
      <x:c r="I1119" s="2" t="str">
        <x:v>SEASON</x:v>
      </x:c>
      <x:c r="J1119" s="9" t="n">
        <x:f>IF(AND(B1119&lt;&gt;"",ISNUMBER('Input_Meci'!G98)),INT('Input_Meci'!G98),0)</x:f>
        <x:v>0</x:v>
      </x:c>
      <x:c r="K1119" s="2" t="n">
        <x:f>IF(OR(B1119="",F1119=""),0,IF(H1119="HOME",COUNTIFS('Istoric_Nativ'!$B$6:$B$405,E1119,'Istoric_Nativ'!$C$6:$C$405,F1119,'Istoric_Nativ'!$E$6:$E$405,G1119,'Istoric_Nativ'!$D$6:$D$405,"&lt;"&amp;J1119,'Istoric_Nativ'!$P$6:$P$405,1),IF(H1119="AWAY",COUNTIFS('Istoric_Nativ'!$B$6:$B$405,E1119,'Istoric_Nativ'!$C$6:$C$405,F1119,'Istoric_Nativ'!$F$6:$F$405,G1119,'Istoric_Nativ'!$D$6:$D$405,"&lt;"&amp;J1119,'Istoric_Nativ'!$P$6:$P$405,1),COUNTIFS('Istoric_Nativ'!$B$6:$B$405,E1119,'Istoric_Nativ'!$C$6:$C$405,F1119,'Istoric_Nativ'!$E$6:$E$405,G1119,'Istoric_Nativ'!$D$6:$D$405,"&lt;"&amp;J1119,'Istoric_Nativ'!$P$6:$P$405,1)+COUNTIFS('Istoric_Nativ'!$B$6:$B$405,E1119,'Istoric_Nativ'!$C$6:$C$405,F1119,'Istoric_Nativ'!$F$6:$F$405,G1119,'Istoric_Nativ'!$D$6:$D$405,"&lt;"&amp;J1119,'Istoric_Nativ'!$P$6:$P$405,1))))</x:f>
        <x:v>0</x:v>
      </x:c>
      <x:c r="L1119" s="17" t="n">
        <x:f>IF(AND(B1119&lt;&gt;"",I1119="RECENT",K1119&gt;0),LARGE(_xlfn._xlws.FILTER('Istoric_Nativ'!$D$6:$D$405,('Istoric_Nativ'!$B$6:$B$405=E1119)*('Istoric_Nativ'!$C$6:$C$405=F1119)*('Istoric_Nativ'!$P$6:$P$405=1)*('Istoric_Nativ'!$D$6:$D$405&lt;J1119)*((('Istoric_Nativ'!$E$6:$E$405=G1119)+('Istoric_Nativ'!$F$6:$F$405=G1119))&gt;0)),MIN('Config_v6'!$B$54,K1119)),0)</x:f>
        <x:v>0</x:v>
      </x:c>
      <x:c r="M1119" s="2" t="n">
        <x:f>IF(OR(B1119="",F1119=""),0,IF(H1119="HOME",COUNTIFS('Istoric_Nativ'!$B$6:$B$405,E1119,'Istoric_Nativ'!$C$6:$C$405,F1119,'Istoric_Nativ'!$E$6:$E$405,G1119,'Istoric_Nativ'!$D$6:$D$405,"&lt;"&amp;J1119,'Istoric_Nativ'!$P$6:$P$405,1,'Istoric_Nativ'!$D$6:$D$405,"&gt;="&amp;L1119),IF(H1119="AWAY",COUNTIFS('Istoric_Nativ'!$B$6:$B$405,E1119,'Istoric_Nativ'!$C$6:$C$405,F1119,'Istoric_Nativ'!$F$6:$F$405,G1119,'Istoric_Nativ'!$D$6:$D$405,"&lt;"&amp;J1119,'Istoric_Nativ'!$P$6:$P$405,1,'Istoric_Nativ'!$D$6:$D$405,"&gt;="&amp;L1119),COUNTIFS('Istoric_Nativ'!$B$6:$B$405,E1119,'Istoric_Nativ'!$C$6:$C$405,F1119,'Istoric_Nativ'!$E$6:$E$405,G1119,'Istoric_Nativ'!$D$6:$D$405,"&lt;"&amp;J1119,'Istoric_Nativ'!$P$6:$P$405,1,'Istoric_Nativ'!$D$6:$D$405,"&gt;="&amp;L1119)+COUNTIFS('Istoric_Nativ'!$B$6:$B$405,E1119,'Istoric_Nativ'!$C$6:$C$405,F1119,'Istoric_Nativ'!$F$6:$F$405,G1119,'Istoric_Nativ'!$D$6:$D$405,"&lt;"&amp;J1119,'Istoric_Nativ'!$P$6:$P$405,1,'Istoric_Nativ'!$D$6:$D$405,"&gt;="&amp;L1119))))</x:f>
        <x:v>0</x:v>
      </x:c>
      <x:c r="N1119" s="11" t="str">
        <x:f>IF(M1119=0,"",IF(H1119="HOME",SUMIFS('Istoric_Nativ'!$G$6:$G$405,'Istoric_Nativ'!$B$6:$B$405,E1119,'Istoric_Nativ'!$C$6:$C$405,F1119,'Istoric_Nativ'!$E$6:$E$405,G1119,'Istoric_Nativ'!$D$6:$D$405,"&lt;"&amp;J1119,'Istoric_Nativ'!$P$6:$P$405,1,'Istoric_Nativ'!$D$6:$D$405,"&gt;="&amp;L1119),IF(H1119="AWAY",SUMIFS('Istoric_Nativ'!$H$6:$H$405,'Istoric_Nativ'!$B$6:$B$405,E1119,'Istoric_Nativ'!$C$6:$C$405,F1119,'Istoric_Nativ'!$F$6:$F$405,G1119,'Istoric_Nativ'!$D$6:$D$405,"&lt;"&amp;J1119,'Istoric_Nativ'!$P$6:$P$405,1,'Istoric_Nativ'!$D$6:$D$405,"&gt;="&amp;L1119),SUMIFS('Istoric_Nativ'!$G$6:$G$405,'Istoric_Nativ'!$B$6:$B$405,E1119,'Istoric_Nativ'!$C$6:$C$405,F1119,'Istoric_Nativ'!$E$6:$E$405,G1119,'Istoric_Nativ'!$D$6:$D$405,"&lt;"&amp;J1119,'Istoric_Nativ'!$P$6:$P$405,1,'Istoric_Nativ'!$D$6:$D$405,"&gt;="&amp;L1119)+SUMIFS('Istoric_Nativ'!$H$6:$H$405,'Istoric_Nativ'!$B$6:$B$405,E1119,'Istoric_Nativ'!$C$6:$C$405,F1119,'Istoric_Nativ'!$F$6:$F$405,G1119,'Istoric_Nativ'!$D$6:$D$405,"&lt;"&amp;J1119,'Istoric_Nativ'!$P$6:$P$405,1,'Istoric_Nativ'!$D$6:$D$405,"&gt;="&amp;L1119)))/M1119)</x:f>
      </x:c>
      <x:c r="O1119" s="11" t="str">
        <x:f>IF(M1119=0,"",IF(H1119="HOME",SUMIFS('Istoric_Nativ'!$H$6:$H$405,'Istoric_Nativ'!$B$6:$B$405,E1119,'Istoric_Nativ'!$C$6:$C$405,F1119,'Istoric_Nativ'!$E$6:$E$405,G1119,'Istoric_Nativ'!$D$6:$D$405,"&lt;"&amp;J1119,'Istoric_Nativ'!$P$6:$P$405,1,'Istoric_Nativ'!$D$6:$D$405,"&gt;="&amp;L1119),IF(H1119="AWAY",SUMIFS('Istoric_Nativ'!$G$6:$G$405,'Istoric_Nativ'!$B$6:$B$405,E1119,'Istoric_Nativ'!$C$6:$C$405,F1119,'Istoric_Nativ'!$F$6:$F$405,G1119,'Istoric_Nativ'!$D$6:$D$405,"&lt;"&amp;J1119,'Istoric_Nativ'!$P$6:$P$405,1,'Istoric_Nativ'!$D$6:$D$405,"&gt;="&amp;L1119),SUMIFS('Istoric_Nativ'!$H$6:$H$405,'Istoric_Nativ'!$B$6:$B$405,E1119,'Istoric_Nativ'!$C$6:$C$405,F1119,'Istoric_Nativ'!$E$6:$E$405,G1119,'Istoric_Nativ'!$D$6:$D$405,"&lt;"&amp;J1119,'Istoric_Nativ'!$P$6:$P$405,1,'Istoric_Nativ'!$D$6:$D$405,"&gt;="&amp;L1119)+SUMIFS('Istoric_Nativ'!$G$6:$G$405,'Istoric_Nativ'!$B$6:$B$405,E1119,'Istoric_Nativ'!$C$6:$C$405,F1119,'Istoric_Nativ'!$F$6:$F$405,G1119,'Istoric_Nativ'!$D$6:$D$405,"&lt;"&amp;J1119,'Istoric_Nativ'!$P$6:$P$405,1,'Istoric_Nativ'!$D$6:$D$405,"&gt;="&amp;L1119)))/M1119)</x:f>
      </x:c>
      <x:c r="P1119" s="2" t="n">
        <x:f>'Config_v6'!$B$7</x:f>
        <x:v>10</x:v>
      </x:c>
      <x:c r="Q1119" s="2" t="n">
        <x:f>IF(OR(B1119="",F1119=""),0,IFERROR(MATCH(E1119&amp;"|"&amp;F1119,SourceTable[Source_Key],0),0))</x:f>
        <x:v>0</x:v>
      </x:c>
      <x:c r="R1119" s="2" t="str">
        <x:f>IF(B1119="","",IF(F1119="","UNUSED",IF(Q1119=0,"NOT CHECKED",IF(COUNTIF(SourceTable[Source_Key],E1119&amp;"|"&amp;F1119)&lt;&gt;1,"SOURCE CONFLICT",IF(NOT(OR(INDEX(SourceTable[Status],MAX(1,Q1119))="IMPORTED",INDEX(SourceTable[Status],MAX(1,Q1119))="PARTIAL",INDEX(SourceTable[Status],MAX(1,Q1119))="SOURCE CONFLICT")),"ACCESS BLOCKED",IF(OR(INDEX(SourceTable[Coverage],Q1119)&lt;&gt;"FULL SEASON EXPORT",INDEX(SourceTable[URL],Q1119)="",INDEX(SourceTable[SHA256],Q1119)=""),"EVIDENCE INCOMPLETE",IF(AND('Input_Meci'!H98="LIVE",INDEX(SourceTable[Retrieved_UTC],Q1119)&gt;'Input_Meci'!G98),"POST CUTOFF","CLOSED")))))))</x:f>
      </x:c>
      <x:c r="S1119" s="2" t="n">
        <x:f>IF(OR(B1119="",F1119=""),0,COUNTIFS('Istoric_Nativ'!$B$6:$B$405,E1119,'Istoric_Nativ'!$C$6:$C$405,F1119,'Istoric_Nativ'!$E$6:$E$405,G1119,'Istoric_Nativ'!$D$6:$D$405,"&lt;"&amp;J1119,'Istoric_Nativ'!$O$6:$O$405,"INVALID")+COUNTIFS('Istoric_Nativ'!$B$6:$B$405,E1119,'Istoric_Nativ'!$C$6:$C$405,F1119,'Istoric_Nativ'!$E$6:$E$405,G1119,'Istoric_Nativ'!$O$6:$O$405,"INVALID",'Istoric_Nativ'!$D$6:$D$405,"*")+COUNTIFS('Istoric_Nativ'!$B$6:$B$405,E1119,'Istoric_Nativ'!$C$6:$C$405,F1119,'Istoric_Nativ'!$E$6:$E$405,G1119,'Istoric_Nativ'!$D$6:$D$405,"&lt;"&amp;J1119,'Istoric_Nativ'!$O$6:$O$405,"SOURCE CONFLICT")+COUNTIFS('Istoric_Nativ'!$B$6:$B$405,E1119,'Istoric_Nativ'!$C$6:$C$405,F1119,'Istoric_Nativ'!$F$6:$F$405,G1119,'Istoric_Nativ'!$D$6:$D$405,"&lt;"&amp;J1119,'Istoric_Nativ'!$O$6:$O$405,"INVALID")+COUNTIFS('Istoric_Nativ'!$B$6:$B$405,E1119,'Istoric_Nativ'!$C$6:$C$405,F1119,'Istoric_Nativ'!$F$6:$F$405,G1119,'Istoric_Nativ'!$O$6:$O$405,"INVALID",'Istoric_Nativ'!$D$6:$D$405,"*")+COUNTIFS('Istoric_Nativ'!$B$6:$B$405,E1119,'Istoric_Nativ'!$C$6:$C$405,F1119,'Istoric_Nativ'!$F$6:$F$405,G1119,'Istoric_Nativ'!$D$6:$D$405,"&lt;"&amp;J1119,'Istoric_Nativ'!$O$6:$O$405,"SOURCE CONFLICT"))</x:f>
        <x:v>0</x:v>
      </x:c>
      <x:c r="T1119" s="2" t="str">
        <x:f>IF(B1119="","",IF(R1119&lt;&gt;"CLOSED",R1119,IF(S1119&gt;0,"NATIVE INPUT ISSUE",IF(M1119=0,"NO HISTORY",IF(M1119&lt;P1119,"SMALL SAMPLE","DERIVED")))))</x:f>
      </x:c>
      <x:c r="U1119" s="2" t="str">
        <x:f>IF(B1119="","","NativeTable; "&amp;E1119&amp;"; "&amp;F1119&amp;"; "&amp;G1119&amp;"; "&amp;H1119&amp;"; before "&amp;TEXT(J1119,"yyyy-mm-dd")&amp;IF(I1119="RECENT","; from "&amp;TEXT(L1119,"yyyy-mm-dd"),""))</x:f>
      </x:c>
    </x:row>
    <x:row r="1120" ht="21" customHeight="1">
      <x:c r="A1120" s="2" t="n">
        <x:v>93</x:v>
      </x:c>
      <x:c r="B1120" s="2" t="str">
        <x:f>IF('Input_Meci'!A98="","",'Input_Meci'!A98)</x:f>
      </x:c>
      <x:c r="C1120" s="2" t="str">
        <x:v>A</x:v>
      </x:c>
      <x:c r="D1120" s="2" t="str">
        <x:v>PRIOR</x:v>
      </x:c>
      <x:c r="E1120" s="2" t="str">
        <x:f>IF(B1120="","",'Input_Meci'!B98)</x:f>
      </x:c>
      <x:c r="F1120" s="2" t="str">
        <x:f>IF(B1120="","",IF('Input_Meci'!K98="","",'Input_Meci'!K98))</x:f>
      </x:c>
      <x:c r="G1120" s="2" t="str">
        <x:f>IF(B1120="","",'Input_Meci'!E98)</x:f>
      </x:c>
      <x:c r="H1120" s="2" t="str">
        <x:v>AWAY</x:v>
      </x:c>
      <x:c r="I1120" s="2" t="str">
        <x:v>HA</x:v>
      </x:c>
      <x:c r="J1120" s="9" t="n">
        <x:f>IF(AND(B1120&lt;&gt;"",ISNUMBER('Input_Meci'!G98)),INT('Input_Meci'!G98),0)</x:f>
        <x:v>0</x:v>
      </x:c>
      <x:c r="K1120" s="2" t="n">
        <x:f>IF(OR(B1120="",F1120=""),0,IF(H1120="HOME",COUNTIFS('Istoric_Nativ'!$B$6:$B$405,E1120,'Istoric_Nativ'!$C$6:$C$405,F1120,'Istoric_Nativ'!$E$6:$E$405,G1120,'Istoric_Nativ'!$D$6:$D$405,"&lt;"&amp;J1120,'Istoric_Nativ'!$P$6:$P$405,1),IF(H1120="AWAY",COUNTIFS('Istoric_Nativ'!$B$6:$B$405,E1120,'Istoric_Nativ'!$C$6:$C$405,F1120,'Istoric_Nativ'!$F$6:$F$405,G1120,'Istoric_Nativ'!$D$6:$D$405,"&lt;"&amp;J1120,'Istoric_Nativ'!$P$6:$P$405,1),COUNTIFS('Istoric_Nativ'!$B$6:$B$405,E1120,'Istoric_Nativ'!$C$6:$C$405,F1120,'Istoric_Nativ'!$E$6:$E$405,G1120,'Istoric_Nativ'!$D$6:$D$405,"&lt;"&amp;J1120,'Istoric_Nativ'!$P$6:$P$405,1)+COUNTIFS('Istoric_Nativ'!$B$6:$B$405,E1120,'Istoric_Nativ'!$C$6:$C$405,F1120,'Istoric_Nativ'!$F$6:$F$405,G1120,'Istoric_Nativ'!$D$6:$D$405,"&lt;"&amp;J1120,'Istoric_Nativ'!$P$6:$P$405,1))))</x:f>
        <x:v>0</x:v>
      </x:c>
      <x:c r="L1120" s="17" t="n">
        <x:f>IF(AND(B1120&lt;&gt;"",I1120="RECENT",K1120&gt;0),LARGE(_xlfn._xlws.FILTER('Istoric_Nativ'!$D$6:$D$405,('Istoric_Nativ'!$B$6:$B$405=E1120)*('Istoric_Nativ'!$C$6:$C$405=F1120)*('Istoric_Nativ'!$P$6:$P$405=1)*('Istoric_Nativ'!$D$6:$D$405&lt;J1120)*((('Istoric_Nativ'!$E$6:$E$405=G1120)+('Istoric_Nativ'!$F$6:$F$405=G1120))&gt;0)),MIN('Config_v6'!$B$54,K1120)),0)</x:f>
        <x:v>0</x:v>
      </x:c>
      <x:c r="M1120" s="2" t="n">
        <x:f>IF(OR(B1120="",F1120=""),0,IF(H1120="HOME",COUNTIFS('Istoric_Nativ'!$B$6:$B$405,E1120,'Istoric_Nativ'!$C$6:$C$405,F1120,'Istoric_Nativ'!$E$6:$E$405,G1120,'Istoric_Nativ'!$D$6:$D$405,"&lt;"&amp;J1120,'Istoric_Nativ'!$P$6:$P$405,1,'Istoric_Nativ'!$D$6:$D$405,"&gt;="&amp;L1120),IF(H1120="AWAY",COUNTIFS('Istoric_Nativ'!$B$6:$B$405,E1120,'Istoric_Nativ'!$C$6:$C$405,F1120,'Istoric_Nativ'!$F$6:$F$405,G1120,'Istoric_Nativ'!$D$6:$D$405,"&lt;"&amp;J1120,'Istoric_Nativ'!$P$6:$P$405,1,'Istoric_Nativ'!$D$6:$D$405,"&gt;="&amp;L1120),COUNTIFS('Istoric_Nativ'!$B$6:$B$405,E1120,'Istoric_Nativ'!$C$6:$C$405,F1120,'Istoric_Nativ'!$E$6:$E$405,G1120,'Istoric_Nativ'!$D$6:$D$405,"&lt;"&amp;J1120,'Istoric_Nativ'!$P$6:$P$405,1,'Istoric_Nativ'!$D$6:$D$405,"&gt;="&amp;L1120)+COUNTIFS('Istoric_Nativ'!$B$6:$B$405,E1120,'Istoric_Nativ'!$C$6:$C$405,F1120,'Istoric_Nativ'!$F$6:$F$405,G1120,'Istoric_Nativ'!$D$6:$D$405,"&lt;"&amp;J1120,'Istoric_Nativ'!$P$6:$P$405,1,'Istoric_Nativ'!$D$6:$D$405,"&gt;="&amp;L1120))))</x:f>
        <x:v>0</x:v>
      </x:c>
      <x:c r="N1120" s="11" t="str">
        <x:f>IF(M1120=0,"",IF(H1120="HOME",SUMIFS('Istoric_Nativ'!$G$6:$G$405,'Istoric_Nativ'!$B$6:$B$405,E1120,'Istoric_Nativ'!$C$6:$C$405,F1120,'Istoric_Nativ'!$E$6:$E$405,G1120,'Istoric_Nativ'!$D$6:$D$405,"&lt;"&amp;J1120,'Istoric_Nativ'!$P$6:$P$405,1,'Istoric_Nativ'!$D$6:$D$405,"&gt;="&amp;L1120),IF(H1120="AWAY",SUMIFS('Istoric_Nativ'!$H$6:$H$405,'Istoric_Nativ'!$B$6:$B$405,E1120,'Istoric_Nativ'!$C$6:$C$405,F1120,'Istoric_Nativ'!$F$6:$F$405,G1120,'Istoric_Nativ'!$D$6:$D$405,"&lt;"&amp;J1120,'Istoric_Nativ'!$P$6:$P$405,1,'Istoric_Nativ'!$D$6:$D$405,"&gt;="&amp;L1120),SUMIFS('Istoric_Nativ'!$G$6:$G$405,'Istoric_Nativ'!$B$6:$B$405,E1120,'Istoric_Nativ'!$C$6:$C$405,F1120,'Istoric_Nativ'!$E$6:$E$405,G1120,'Istoric_Nativ'!$D$6:$D$405,"&lt;"&amp;J1120,'Istoric_Nativ'!$P$6:$P$405,1,'Istoric_Nativ'!$D$6:$D$405,"&gt;="&amp;L1120)+SUMIFS('Istoric_Nativ'!$H$6:$H$405,'Istoric_Nativ'!$B$6:$B$405,E1120,'Istoric_Nativ'!$C$6:$C$405,F1120,'Istoric_Nativ'!$F$6:$F$405,G1120,'Istoric_Nativ'!$D$6:$D$405,"&lt;"&amp;J1120,'Istoric_Nativ'!$P$6:$P$405,1,'Istoric_Nativ'!$D$6:$D$405,"&gt;="&amp;L1120)))/M1120)</x:f>
      </x:c>
      <x:c r="O1120" s="11" t="str">
        <x:f>IF(M1120=0,"",IF(H1120="HOME",SUMIFS('Istoric_Nativ'!$H$6:$H$405,'Istoric_Nativ'!$B$6:$B$405,E1120,'Istoric_Nativ'!$C$6:$C$405,F1120,'Istoric_Nativ'!$E$6:$E$405,G1120,'Istoric_Nativ'!$D$6:$D$405,"&lt;"&amp;J1120,'Istoric_Nativ'!$P$6:$P$405,1,'Istoric_Nativ'!$D$6:$D$405,"&gt;="&amp;L1120),IF(H1120="AWAY",SUMIFS('Istoric_Nativ'!$G$6:$G$405,'Istoric_Nativ'!$B$6:$B$405,E1120,'Istoric_Nativ'!$C$6:$C$405,F1120,'Istoric_Nativ'!$F$6:$F$405,G1120,'Istoric_Nativ'!$D$6:$D$405,"&lt;"&amp;J1120,'Istoric_Nativ'!$P$6:$P$405,1,'Istoric_Nativ'!$D$6:$D$405,"&gt;="&amp;L1120),SUMIFS('Istoric_Nativ'!$H$6:$H$405,'Istoric_Nativ'!$B$6:$B$405,E1120,'Istoric_Nativ'!$C$6:$C$405,F1120,'Istoric_Nativ'!$E$6:$E$405,G1120,'Istoric_Nativ'!$D$6:$D$405,"&lt;"&amp;J1120,'Istoric_Nativ'!$P$6:$P$405,1,'Istoric_Nativ'!$D$6:$D$405,"&gt;="&amp;L1120)+SUMIFS('Istoric_Nativ'!$G$6:$G$405,'Istoric_Nativ'!$B$6:$B$405,E1120,'Istoric_Nativ'!$C$6:$C$405,F1120,'Istoric_Nativ'!$F$6:$F$405,G1120,'Istoric_Nativ'!$D$6:$D$405,"&lt;"&amp;J1120,'Istoric_Nativ'!$P$6:$P$405,1,'Istoric_Nativ'!$D$6:$D$405,"&gt;="&amp;L1120)))/M1120)</x:f>
      </x:c>
      <x:c r="P1120" s="2" t="n">
        <x:f>'Config_v6'!$B$8</x:f>
        <x:v>5</x:v>
      </x:c>
      <x:c r="Q1120" s="2" t="n">
        <x:f>IF(OR(B1120="",F1120=""),0,IFERROR(MATCH(E1120&amp;"|"&amp;F1120,SourceTable[Source_Key],0),0))</x:f>
        <x:v>0</x:v>
      </x:c>
      <x:c r="R1120" s="2" t="str">
        <x:f>IF(B1120="","",IF(F1120="","UNUSED",IF(Q1120=0,"NOT CHECKED",IF(COUNTIF(SourceTable[Source_Key],E1120&amp;"|"&amp;F1120)&lt;&gt;1,"SOURCE CONFLICT",IF(NOT(OR(INDEX(SourceTable[Status],MAX(1,Q1120))="IMPORTED",INDEX(SourceTable[Status],MAX(1,Q1120))="PARTIAL",INDEX(SourceTable[Status],MAX(1,Q1120))="SOURCE CONFLICT")),"ACCESS BLOCKED",IF(OR(INDEX(SourceTable[Coverage],Q1120)&lt;&gt;"FULL SEASON EXPORT",INDEX(SourceTable[URL],Q1120)="",INDEX(SourceTable[SHA256],Q1120)=""),"EVIDENCE INCOMPLETE",IF(AND('Input_Meci'!H98="LIVE",INDEX(SourceTable[Retrieved_UTC],Q1120)&gt;'Input_Meci'!G98),"POST CUTOFF","CLOSED")))))))</x:f>
      </x:c>
      <x:c r="S1120" s="2" t="n">
        <x:f>IF(OR(B1120="",F1120=""),0,COUNTIFS('Istoric_Nativ'!$B$6:$B$405,E1120,'Istoric_Nativ'!$C$6:$C$405,F1120,'Istoric_Nativ'!$E$6:$E$405,G1120,'Istoric_Nativ'!$D$6:$D$405,"&lt;"&amp;J1120,'Istoric_Nativ'!$O$6:$O$405,"INVALID")+COUNTIFS('Istoric_Nativ'!$B$6:$B$405,E1120,'Istoric_Nativ'!$C$6:$C$405,F1120,'Istoric_Nativ'!$E$6:$E$405,G1120,'Istoric_Nativ'!$O$6:$O$405,"INVALID",'Istoric_Nativ'!$D$6:$D$405,"*")+COUNTIFS('Istoric_Nativ'!$B$6:$B$405,E1120,'Istoric_Nativ'!$C$6:$C$405,F1120,'Istoric_Nativ'!$E$6:$E$405,G1120,'Istoric_Nativ'!$D$6:$D$405,"&lt;"&amp;J1120,'Istoric_Nativ'!$O$6:$O$405,"SOURCE CONFLICT")+COUNTIFS('Istoric_Nativ'!$B$6:$B$405,E1120,'Istoric_Nativ'!$C$6:$C$405,F1120,'Istoric_Nativ'!$F$6:$F$405,G1120,'Istoric_Nativ'!$D$6:$D$405,"&lt;"&amp;J1120,'Istoric_Nativ'!$O$6:$O$405,"INVALID")+COUNTIFS('Istoric_Nativ'!$B$6:$B$405,E1120,'Istoric_Nativ'!$C$6:$C$405,F1120,'Istoric_Nativ'!$F$6:$F$405,G1120,'Istoric_Nativ'!$O$6:$O$405,"INVALID",'Istoric_Nativ'!$D$6:$D$405,"*")+COUNTIFS('Istoric_Nativ'!$B$6:$B$405,E1120,'Istoric_Nativ'!$C$6:$C$405,F1120,'Istoric_Nativ'!$F$6:$F$405,G1120,'Istoric_Nativ'!$D$6:$D$405,"&lt;"&amp;J1120,'Istoric_Nativ'!$O$6:$O$405,"SOURCE CONFLICT"))</x:f>
        <x:v>0</x:v>
      </x:c>
      <x:c r="T1120" s="2" t="str">
        <x:f>IF(B1120="","",IF(R1120&lt;&gt;"CLOSED",R1120,IF(S1120&gt;0,"NATIVE INPUT ISSUE",IF(M1120=0,"NO HISTORY",IF(M1120&lt;P1120,"SMALL SAMPLE","DERIVED")))))</x:f>
      </x:c>
      <x:c r="U1120" s="2" t="str">
        <x:f>IF(B1120="","","NativeTable; "&amp;E1120&amp;"; "&amp;F1120&amp;"; "&amp;G1120&amp;"; "&amp;H1120&amp;"; before "&amp;TEXT(J1120,"yyyy-mm-dd")&amp;IF(I1120="RECENT","; from "&amp;TEXT(L1120,"yyyy-mm-dd"),""))</x:f>
      </x:c>
    </x:row>
    <x:row r="1121" ht="21" customHeight="1">
      <x:c r="A1121" s="2" t="n">
        <x:v>93</x:v>
      </x:c>
      <x:c r="B1121" s="2" t="str">
        <x:f>IF('Input_Meci'!A98="","",'Input_Meci'!A98)</x:f>
      </x:c>
      <x:c r="C1121" s="2" t="str">
        <x:v>A</x:v>
      </x:c>
      <x:c r="D1121" s="2" t="str">
        <x:v>PRIOR</x:v>
      </x:c>
      <x:c r="E1121" s="2" t="str">
        <x:f>IF(B1121="","",'Input_Meci'!B98)</x:f>
      </x:c>
      <x:c r="F1121" s="2" t="str">
        <x:f>IF(B1121="","",IF('Input_Meci'!K98="","",'Input_Meci'!K98))</x:f>
      </x:c>
      <x:c r="G1121" s="2" t="str">
        <x:f>IF(B1121="","",'Input_Meci'!E98)</x:f>
      </x:c>
      <x:c r="H1121" s="2" t="str">
        <x:v>ANY</x:v>
      </x:c>
      <x:c r="I1121" s="2" t="str">
        <x:v>RECENT</x:v>
      </x:c>
      <x:c r="J1121" s="9" t="n">
        <x:f>IF(AND(B1121&lt;&gt;"",ISNUMBER('Input_Meci'!G98)),INT('Input_Meci'!G98),0)</x:f>
        <x:v>0</x:v>
      </x:c>
      <x:c r="K1121" s="2" t="n">
        <x:f>IF(OR(B1121="",F1121=""),0,IF(H1121="HOME",COUNTIFS('Istoric_Nativ'!$B$6:$B$405,E1121,'Istoric_Nativ'!$C$6:$C$405,F1121,'Istoric_Nativ'!$E$6:$E$405,G1121,'Istoric_Nativ'!$D$6:$D$405,"&lt;"&amp;J1121,'Istoric_Nativ'!$P$6:$P$405,1),IF(H1121="AWAY",COUNTIFS('Istoric_Nativ'!$B$6:$B$405,E1121,'Istoric_Nativ'!$C$6:$C$405,F1121,'Istoric_Nativ'!$F$6:$F$405,G1121,'Istoric_Nativ'!$D$6:$D$405,"&lt;"&amp;J1121,'Istoric_Nativ'!$P$6:$P$405,1),COUNTIFS('Istoric_Nativ'!$B$6:$B$405,E1121,'Istoric_Nativ'!$C$6:$C$405,F1121,'Istoric_Nativ'!$E$6:$E$405,G1121,'Istoric_Nativ'!$D$6:$D$405,"&lt;"&amp;J1121,'Istoric_Nativ'!$P$6:$P$405,1)+COUNTIFS('Istoric_Nativ'!$B$6:$B$405,E1121,'Istoric_Nativ'!$C$6:$C$405,F1121,'Istoric_Nativ'!$F$6:$F$405,G1121,'Istoric_Nativ'!$D$6:$D$405,"&lt;"&amp;J1121,'Istoric_Nativ'!$P$6:$P$405,1))))</x:f>
        <x:v>0</x:v>
      </x:c>
      <x:c r="L1121" s="17" t="n">
        <x:f>IF(AND(B1121&lt;&gt;"",I1121="RECENT",K1121&gt;0),LARGE(_xlfn._xlws.FILTER('Istoric_Nativ'!$D$6:$D$405,('Istoric_Nativ'!$B$6:$B$405=E1121)*('Istoric_Nativ'!$C$6:$C$405=F1121)*('Istoric_Nativ'!$P$6:$P$405=1)*('Istoric_Nativ'!$D$6:$D$405&lt;J1121)*((('Istoric_Nativ'!$E$6:$E$405=G1121)+('Istoric_Nativ'!$F$6:$F$405=G1121))&gt;0)),MIN('Config_v6'!$B$54,K1121)),0)</x:f>
        <x:v>0</x:v>
      </x:c>
      <x:c r="M1121" s="2" t="n">
        <x:f>IF(OR(B1121="",F1121=""),0,IF(H1121="HOME",COUNTIFS('Istoric_Nativ'!$B$6:$B$405,E1121,'Istoric_Nativ'!$C$6:$C$405,F1121,'Istoric_Nativ'!$E$6:$E$405,G1121,'Istoric_Nativ'!$D$6:$D$405,"&lt;"&amp;J1121,'Istoric_Nativ'!$P$6:$P$405,1,'Istoric_Nativ'!$D$6:$D$405,"&gt;="&amp;L1121),IF(H1121="AWAY",COUNTIFS('Istoric_Nativ'!$B$6:$B$405,E1121,'Istoric_Nativ'!$C$6:$C$405,F1121,'Istoric_Nativ'!$F$6:$F$405,G1121,'Istoric_Nativ'!$D$6:$D$405,"&lt;"&amp;J1121,'Istoric_Nativ'!$P$6:$P$405,1,'Istoric_Nativ'!$D$6:$D$405,"&gt;="&amp;L1121),COUNTIFS('Istoric_Nativ'!$B$6:$B$405,E1121,'Istoric_Nativ'!$C$6:$C$405,F1121,'Istoric_Nativ'!$E$6:$E$405,G1121,'Istoric_Nativ'!$D$6:$D$405,"&lt;"&amp;J1121,'Istoric_Nativ'!$P$6:$P$405,1,'Istoric_Nativ'!$D$6:$D$405,"&gt;="&amp;L1121)+COUNTIFS('Istoric_Nativ'!$B$6:$B$405,E1121,'Istoric_Nativ'!$C$6:$C$405,F1121,'Istoric_Nativ'!$F$6:$F$405,G1121,'Istoric_Nativ'!$D$6:$D$405,"&lt;"&amp;J1121,'Istoric_Nativ'!$P$6:$P$405,1,'Istoric_Nativ'!$D$6:$D$405,"&gt;="&amp;L1121))))</x:f>
        <x:v>0</x:v>
      </x:c>
      <x:c r="N1121" s="11" t="str">
        <x:f>IF(M1121=0,"",IF(H1121="HOME",SUMIFS('Istoric_Nativ'!$G$6:$G$405,'Istoric_Nativ'!$B$6:$B$405,E1121,'Istoric_Nativ'!$C$6:$C$405,F1121,'Istoric_Nativ'!$E$6:$E$405,G1121,'Istoric_Nativ'!$D$6:$D$405,"&lt;"&amp;J1121,'Istoric_Nativ'!$P$6:$P$405,1,'Istoric_Nativ'!$D$6:$D$405,"&gt;="&amp;L1121),IF(H1121="AWAY",SUMIFS('Istoric_Nativ'!$H$6:$H$405,'Istoric_Nativ'!$B$6:$B$405,E1121,'Istoric_Nativ'!$C$6:$C$405,F1121,'Istoric_Nativ'!$F$6:$F$405,G1121,'Istoric_Nativ'!$D$6:$D$405,"&lt;"&amp;J1121,'Istoric_Nativ'!$P$6:$P$405,1,'Istoric_Nativ'!$D$6:$D$405,"&gt;="&amp;L1121),SUMIFS('Istoric_Nativ'!$G$6:$G$405,'Istoric_Nativ'!$B$6:$B$405,E1121,'Istoric_Nativ'!$C$6:$C$405,F1121,'Istoric_Nativ'!$E$6:$E$405,G1121,'Istoric_Nativ'!$D$6:$D$405,"&lt;"&amp;J1121,'Istoric_Nativ'!$P$6:$P$405,1,'Istoric_Nativ'!$D$6:$D$405,"&gt;="&amp;L1121)+SUMIFS('Istoric_Nativ'!$H$6:$H$405,'Istoric_Nativ'!$B$6:$B$405,E1121,'Istoric_Nativ'!$C$6:$C$405,F1121,'Istoric_Nativ'!$F$6:$F$405,G1121,'Istoric_Nativ'!$D$6:$D$405,"&lt;"&amp;J1121,'Istoric_Nativ'!$P$6:$P$405,1,'Istoric_Nativ'!$D$6:$D$405,"&gt;="&amp;L1121)))/M1121)</x:f>
      </x:c>
      <x:c r="O1121" s="11" t="str">
        <x:f>IF(M1121=0,"",IF(H1121="HOME",SUMIFS('Istoric_Nativ'!$H$6:$H$405,'Istoric_Nativ'!$B$6:$B$405,E1121,'Istoric_Nativ'!$C$6:$C$405,F1121,'Istoric_Nativ'!$E$6:$E$405,G1121,'Istoric_Nativ'!$D$6:$D$405,"&lt;"&amp;J1121,'Istoric_Nativ'!$P$6:$P$405,1,'Istoric_Nativ'!$D$6:$D$405,"&gt;="&amp;L1121),IF(H1121="AWAY",SUMIFS('Istoric_Nativ'!$G$6:$G$405,'Istoric_Nativ'!$B$6:$B$405,E1121,'Istoric_Nativ'!$C$6:$C$405,F1121,'Istoric_Nativ'!$F$6:$F$405,G1121,'Istoric_Nativ'!$D$6:$D$405,"&lt;"&amp;J1121,'Istoric_Nativ'!$P$6:$P$405,1,'Istoric_Nativ'!$D$6:$D$405,"&gt;="&amp;L1121),SUMIFS('Istoric_Nativ'!$H$6:$H$405,'Istoric_Nativ'!$B$6:$B$405,E1121,'Istoric_Nativ'!$C$6:$C$405,F1121,'Istoric_Nativ'!$E$6:$E$405,G1121,'Istoric_Nativ'!$D$6:$D$405,"&lt;"&amp;J1121,'Istoric_Nativ'!$P$6:$P$405,1,'Istoric_Nativ'!$D$6:$D$405,"&gt;="&amp;L1121)+SUMIFS('Istoric_Nativ'!$G$6:$G$405,'Istoric_Nativ'!$B$6:$B$405,E1121,'Istoric_Nativ'!$C$6:$C$405,F1121,'Istoric_Nativ'!$F$6:$F$405,G1121,'Istoric_Nativ'!$D$6:$D$405,"&lt;"&amp;J1121,'Istoric_Nativ'!$P$6:$P$405,1,'Istoric_Nativ'!$D$6:$D$405,"&gt;="&amp;L1121)))/M1121)</x:f>
      </x:c>
      <x:c r="P1121" s="2" t="n">
        <x:f>'Config_v6'!$B$9</x:f>
        <x:v>3</x:v>
      </x:c>
      <x:c r="Q1121" s="2" t="n">
        <x:f>IF(OR(B1121="",F1121=""),0,IFERROR(MATCH(E1121&amp;"|"&amp;F1121,SourceTable[Source_Key],0),0))</x:f>
        <x:v>0</x:v>
      </x:c>
      <x:c r="R1121" s="2" t="str">
        <x:f>IF(B1121="","",IF(F1121="","UNUSED",IF(Q1121=0,"NOT CHECKED",IF(COUNTIF(SourceTable[Source_Key],E1121&amp;"|"&amp;F1121)&lt;&gt;1,"SOURCE CONFLICT",IF(NOT(OR(INDEX(SourceTable[Status],MAX(1,Q1121))="IMPORTED",INDEX(SourceTable[Status],MAX(1,Q1121))="PARTIAL",INDEX(SourceTable[Status],MAX(1,Q1121))="SOURCE CONFLICT")),"ACCESS BLOCKED",IF(OR(INDEX(SourceTable[Coverage],Q1121)&lt;&gt;"FULL SEASON EXPORT",INDEX(SourceTable[URL],Q1121)="",INDEX(SourceTable[SHA256],Q1121)=""),"EVIDENCE INCOMPLETE",IF(AND('Input_Meci'!H98="LIVE",INDEX(SourceTable[Retrieved_UTC],Q1121)&gt;'Input_Meci'!G98),"POST CUTOFF","CLOSED")))))))</x:f>
      </x:c>
      <x:c r="S1121" s="2" t="n">
        <x:f>IF(OR(B1121="",F1121=""),0,COUNTIFS('Istoric_Nativ'!$B$6:$B$405,E1121,'Istoric_Nativ'!$C$6:$C$405,F1121,'Istoric_Nativ'!$E$6:$E$405,G1121,'Istoric_Nativ'!$D$6:$D$405,"&lt;"&amp;J1121,'Istoric_Nativ'!$O$6:$O$405,"INVALID")+COUNTIFS('Istoric_Nativ'!$B$6:$B$405,E1121,'Istoric_Nativ'!$C$6:$C$405,F1121,'Istoric_Nativ'!$E$6:$E$405,G1121,'Istoric_Nativ'!$O$6:$O$405,"INVALID",'Istoric_Nativ'!$D$6:$D$405,"*")+COUNTIFS('Istoric_Nativ'!$B$6:$B$405,E1121,'Istoric_Nativ'!$C$6:$C$405,F1121,'Istoric_Nativ'!$E$6:$E$405,G1121,'Istoric_Nativ'!$D$6:$D$405,"&lt;"&amp;J1121,'Istoric_Nativ'!$O$6:$O$405,"SOURCE CONFLICT")+COUNTIFS('Istoric_Nativ'!$B$6:$B$405,E1121,'Istoric_Nativ'!$C$6:$C$405,F1121,'Istoric_Nativ'!$F$6:$F$405,G1121,'Istoric_Nativ'!$D$6:$D$405,"&lt;"&amp;J1121,'Istoric_Nativ'!$O$6:$O$405,"INVALID")+COUNTIFS('Istoric_Nativ'!$B$6:$B$405,E1121,'Istoric_Nativ'!$C$6:$C$405,F1121,'Istoric_Nativ'!$F$6:$F$405,G1121,'Istoric_Nativ'!$O$6:$O$405,"INVALID",'Istoric_Nativ'!$D$6:$D$405,"*")+COUNTIFS('Istoric_Nativ'!$B$6:$B$405,E1121,'Istoric_Nativ'!$C$6:$C$405,F1121,'Istoric_Nativ'!$F$6:$F$405,G1121,'Istoric_Nativ'!$D$6:$D$405,"&lt;"&amp;J1121,'Istoric_Nativ'!$O$6:$O$405,"SOURCE CONFLICT"))</x:f>
        <x:v>0</x:v>
      </x:c>
      <x:c r="T1121" s="2" t="str">
        <x:f>IF(B1121="","",IF(R1121&lt;&gt;"CLOSED",R1121,IF(S1121&gt;0,"NATIVE INPUT ISSUE",IF(M1121=0,"NO HISTORY",IF(M1121&lt;P1121,"SMALL SAMPLE","DERIVED")))))</x:f>
      </x:c>
      <x:c r="U1121" s="2" t="str">
        <x:f>IF(B1121="","","NativeTable; "&amp;E1121&amp;"; "&amp;F1121&amp;"; "&amp;G1121&amp;"; "&amp;H1121&amp;"; before "&amp;TEXT(J1121,"yyyy-mm-dd")&amp;IF(I1121="RECENT","; from "&amp;TEXT(L1121,"yyyy-mm-dd"),""))</x:f>
      </x:c>
    </x:row>
    <x:row r="1122" ht="21" customHeight="1">
      <x:c r="A1122" s="2" t="n">
        <x:v>94</x:v>
      </x:c>
      <x:c r="B1122" s="2" t="str">
        <x:f>IF('Input_Meci'!A99="","",'Input_Meci'!A99)</x:f>
      </x:c>
      <x:c r="C1122" s="2" t="str">
        <x:v>H</x:v>
      </x:c>
      <x:c r="D1122" s="2" t="str">
        <x:v>CURRENT</x:v>
      </x:c>
      <x:c r="E1122" s="2" t="str">
        <x:f>IF(B1122="","",'Input_Meci'!B99)</x:f>
      </x:c>
      <x:c r="F1122" s="2" t="str">
        <x:f>IF(B1122="","",IF('Input_Meci'!C99="","",'Input_Meci'!C99))</x:f>
      </x:c>
      <x:c r="G1122" s="2" t="str">
        <x:f>IF(B1122="","",'Input_Meci'!D99)</x:f>
      </x:c>
      <x:c r="H1122" s="2" t="str">
        <x:v>ANY</x:v>
      </x:c>
      <x:c r="I1122" s="2" t="str">
        <x:v>SEASON</x:v>
      </x:c>
      <x:c r="J1122" s="9" t="n">
        <x:f>IF(AND(B1122&lt;&gt;"",ISNUMBER('Input_Meci'!G99)),INT('Input_Meci'!G99),0)</x:f>
        <x:v>0</x:v>
      </x:c>
      <x:c r="K1122" s="2" t="n">
        <x:f>IF(OR(B1122="",F1122=""),0,IF(H1122="HOME",COUNTIFS('Istoric_Nativ'!$B$6:$B$405,E1122,'Istoric_Nativ'!$C$6:$C$405,F1122,'Istoric_Nativ'!$E$6:$E$405,G1122,'Istoric_Nativ'!$D$6:$D$405,"&lt;"&amp;J1122,'Istoric_Nativ'!$P$6:$P$405,1),IF(H1122="AWAY",COUNTIFS('Istoric_Nativ'!$B$6:$B$405,E1122,'Istoric_Nativ'!$C$6:$C$405,F1122,'Istoric_Nativ'!$F$6:$F$405,G1122,'Istoric_Nativ'!$D$6:$D$405,"&lt;"&amp;J1122,'Istoric_Nativ'!$P$6:$P$405,1),COUNTIFS('Istoric_Nativ'!$B$6:$B$405,E1122,'Istoric_Nativ'!$C$6:$C$405,F1122,'Istoric_Nativ'!$E$6:$E$405,G1122,'Istoric_Nativ'!$D$6:$D$405,"&lt;"&amp;J1122,'Istoric_Nativ'!$P$6:$P$405,1)+COUNTIFS('Istoric_Nativ'!$B$6:$B$405,E1122,'Istoric_Nativ'!$C$6:$C$405,F1122,'Istoric_Nativ'!$F$6:$F$405,G1122,'Istoric_Nativ'!$D$6:$D$405,"&lt;"&amp;J1122,'Istoric_Nativ'!$P$6:$P$405,1))))</x:f>
        <x:v>0</x:v>
      </x:c>
      <x:c r="L1122" s="17" t="n">
        <x:f>IF(AND(B1122&lt;&gt;"",I1122="RECENT",K1122&gt;0),LARGE(_xlfn._xlws.FILTER('Istoric_Nativ'!$D$6:$D$405,('Istoric_Nativ'!$B$6:$B$405=E1122)*('Istoric_Nativ'!$C$6:$C$405=F1122)*('Istoric_Nativ'!$P$6:$P$405=1)*('Istoric_Nativ'!$D$6:$D$405&lt;J1122)*((('Istoric_Nativ'!$E$6:$E$405=G1122)+('Istoric_Nativ'!$F$6:$F$405=G1122))&gt;0)),MIN('Config_v6'!$B$54,K1122)),0)</x:f>
        <x:v>0</x:v>
      </x:c>
      <x:c r="M1122" s="2" t="n">
        <x:f>IF(OR(B1122="",F1122=""),0,IF(H1122="HOME",COUNTIFS('Istoric_Nativ'!$B$6:$B$405,E1122,'Istoric_Nativ'!$C$6:$C$405,F1122,'Istoric_Nativ'!$E$6:$E$405,G1122,'Istoric_Nativ'!$D$6:$D$405,"&lt;"&amp;J1122,'Istoric_Nativ'!$P$6:$P$405,1,'Istoric_Nativ'!$D$6:$D$405,"&gt;="&amp;L1122),IF(H1122="AWAY",COUNTIFS('Istoric_Nativ'!$B$6:$B$405,E1122,'Istoric_Nativ'!$C$6:$C$405,F1122,'Istoric_Nativ'!$F$6:$F$405,G1122,'Istoric_Nativ'!$D$6:$D$405,"&lt;"&amp;J1122,'Istoric_Nativ'!$P$6:$P$405,1,'Istoric_Nativ'!$D$6:$D$405,"&gt;="&amp;L1122),COUNTIFS('Istoric_Nativ'!$B$6:$B$405,E1122,'Istoric_Nativ'!$C$6:$C$405,F1122,'Istoric_Nativ'!$E$6:$E$405,G1122,'Istoric_Nativ'!$D$6:$D$405,"&lt;"&amp;J1122,'Istoric_Nativ'!$P$6:$P$405,1,'Istoric_Nativ'!$D$6:$D$405,"&gt;="&amp;L1122)+COUNTIFS('Istoric_Nativ'!$B$6:$B$405,E1122,'Istoric_Nativ'!$C$6:$C$405,F1122,'Istoric_Nativ'!$F$6:$F$405,G1122,'Istoric_Nativ'!$D$6:$D$405,"&lt;"&amp;J1122,'Istoric_Nativ'!$P$6:$P$405,1,'Istoric_Nativ'!$D$6:$D$405,"&gt;="&amp;L1122))))</x:f>
        <x:v>0</x:v>
      </x:c>
      <x:c r="N1122" s="11" t="str">
        <x:f>IF(M1122=0,"",IF(H1122="HOME",SUMIFS('Istoric_Nativ'!$G$6:$G$405,'Istoric_Nativ'!$B$6:$B$405,E1122,'Istoric_Nativ'!$C$6:$C$405,F1122,'Istoric_Nativ'!$E$6:$E$405,G1122,'Istoric_Nativ'!$D$6:$D$405,"&lt;"&amp;J1122,'Istoric_Nativ'!$P$6:$P$405,1,'Istoric_Nativ'!$D$6:$D$405,"&gt;="&amp;L1122),IF(H1122="AWAY",SUMIFS('Istoric_Nativ'!$H$6:$H$405,'Istoric_Nativ'!$B$6:$B$405,E1122,'Istoric_Nativ'!$C$6:$C$405,F1122,'Istoric_Nativ'!$F$6:$F$405,G1122,'Istoric_Nativ'!$D$6:$D$405,"&lt;"&amp;J1122,'Istoric_Nativ'!$P$6:$P$405,1,'Istoric_Nativ'!$D$6:$D$405,"&gt;="&amp;L1122),SUMIFS('Istoric_Nativ'!$G$6:$G$405,'Istoric_Nativ'!$B$6:$B$405,E1122,'Istoric_Nativ'!$C$6:$C$405,F1122,'Istoric_Nativ'!$E$6:$E$405,G1122,'Istoric_Nativ'!$D$6:$D$405,"&lt;"&amp;J1122,'Istoric_Nativ'!$P$6:$P$405,1,'Istoric_Nativ'!$D$6:$D$405,"&gt;="&amp;L1122)+SUMIFS('Istoric_Nativ'!$H$6:$H$405,'Istoric_Nativ'!$B$6:$B$405,E1122,'Istoric_Nativ'!$C$6:$C$405,F1122,'Istoric_Nativ'!$F$6:$F$405,G1122,'Istoric_Nativ'!$D$6:$D$405,"&lt;"&amp;J1122,'Istoric_Nativ'!$P$6:$P$405,1,'Istoric_Nativ'!$D$6:$D$405,"&gt;="&amp;L1122)))/M1122)</x:f>
      </x:c>
      <x:c r="O1122" s="11" t="str">
        <x:f>IF(M1122=0,"",IF(H1122="HOME",SUMIFS('Istoric_Nativ'!$H$6:$H$405,'Istoric_Nativ'!$B$6:$B$405,E1122,'Istoric_Nativ'!$C$6:$C$405,F1122,'Istoric_Nativ'!$E$6:$E$405,G1122,'Istoric_Nativ'!$D$6:$D$405,"&lt;"&amp;J1122,'Istoric_Nativ'!$P$6:$P$405,1,'Istoric_Nativ'!$D$6:$D$405,"&gt;="&amp;L1122),IF(H1122="AWAY",SUMIFS('Istoric_Nativ'!$G$6:$G$405,'Istoric_Nativ'!$B$6:$B$405,E1122,'Istoric_Nativ'!$C$6:$C$405,F1122,'Istoric_Nativ'!$F$6:$F$405,G1122,'Istoric_Nativ'!$D$6:$D$405,"&lt;"&amp;J1122,'Istoric_Nativ'!$P$6:$P$405,1,'Istoric_Nativ'!$D$6:$D$405,"&gt;="&amp;L1122),SUMIFS('Istoric_Nativ'!$H$6:$H$405,'Istoric_Nativ'!$B$6:$B$405,E1122,'Istoric_Nativ'!$C$6:$C$405,F1122,'Istoric_Nativ'!$E$6:$E$405,G1122,'Istoric_Nativ'!$D$6:$D$405,"&lt;"&amp;J1122,'Istoric_Nativ'!$P$6:$P$405,1,'Istoric_Nativ'!$D$6:$D$405,"&gt;="&amp;L1122)+SUMIFS('Istoric_Nativ'!$G$6:$G$405,'Istoric_Nativ'!$B$6:$B$405,E1122,'Istoric_Nativ'!$C$6:$C$405,F1122,'Istoric_Nativ'!$F$6:$F$405,G1122,'Istoric_Nativ'!$D$6:$D$405,"&lt;"&amp;J1122,'Istoric_Nativ'!$P$6:$P$405,1,'Istoric_Nativ'!$D$6:$D$405,"&gt;="&amp;L1122)))/M1122)</x:f>
      </x:c>
      <x:c r="P1122" s="2" t="n">
        <x:f>'Config_v6'!$B$7</x:f>
        <x:v>10</x:v>
      </x:c>
      <x:c r="Q1122" s="2" t="n">
        <x:f>IF(OR(B1122="",F1122=""),0,IFERROR(MATCH(E1122&amp;"|"&amp;F1122,SourceTable[Source_Key],0),0))</x:f>
        <x:v>0</x:v>
      </x:c>
      <x:c r="R1122" s="2" t="str">
        <x:f>IF(B1122="","",IF(F1122="","UNUSED",IF(Q1122=0,"NOT CHECKED",IF(COUNTIF(SourceTable[Source_Key],E1122&amp;"|"&amp;F1122)&lt;&gt;1,"SOURCE CONFLICT",IF(NOT(OR(INDEX(SourceTable[Status],MAX(1,Q1122))="IMPORTED",INDEX(SourceTable[Status],MAX(1,Q1122))="PARTIAL",INDEX(SourceTable[Status],MAX(1,Q1122))="SOURCE CONFLICT")),"ACCESS BLOCKED",IF(OR(INDEX(SourceTable[Coverage],Q1122)&lt;&gt;"FULL SEASON EXPORT",INDEX(SourceTable[URL],Q1122)="",INDEX(SourceTable[SHA256],Q1122)=""),"EVIDENCE INCOMPLETE",IF(AND('Input_Meci'!H99="LIVE",INDEX(SourceTable[Retrieved_UTC],Q1122)&gt;'Input_Meci'!G99),"POST CUTOFF","CLOSED")))))))</x:f>
      </x:c>
      <x:c r="S1122" s="2" t="n">
        <x:f>IF(OR(B1122="",F1122=""),0,COUNTIFS('Istoric_Nativ'!$B$6:$B$405,E1122,'Istoric_Nativ'!$C$6:$C$405,F1122,'Istoric_Nativ'!$E$6:$E$405,G1122,'Istoric_Nativ'!$D$6:$D$405,"&lt;"&amp;J1122,'Istoric_Nativ'!$O$6:$O$405,"INVALID")+COUNTIFS('Istoric_Nativ'!$B$6:$B$405,E1122,'Istoric_Nativ'!$C$6:$C$405,F1122,'Istoric_Nativ'!$E$6:$E$405,G1122,'Istoric_Nativ'!$O$6:$O$405,"INVALID",'Istoric_Nativ'!$D$6:$D$405,"*")+COUNTIFS('Istoric_Nativ'!$B$6:$B$405,E1122,'Istoric_Nativ'!$C$6:$C$405,F1122,'Istoric_Nativ'!$E$6:$E$405,G1122,'Istoric_Nativ'!$D$6:$D$405,"&lt;"&amp;J1122,'Istoric_Nativ'!$O$6:$O$405,"SOURCE CONFLICT")+COUNTIFS('Istoric_Nativ'!$B$6:$B$405,E1122,'Istoric_Nativ'!$C$6:$C$405,F1122,'Istoric_Nativ'!$F$6:$F$405,G1122,'Istoric_Nativ'!$D$6:$D$405,"&lt;"&amp;J1122,'Istoric_Nativ'!$O$6:$O$405,"INVALID")+COUNTIFS('Istoric_Nativ'!$B$6:$B$405,E1122,'Istoric_Nativ'!$C$6:$C$405,F1122,'Istoric_Nativ'!$F$6:$F$405,G1122,'Istoric_Nativ'!$O$6:$O$405,"INVALID",'Istoric_Nativ'!$D$6:$D$405,"*")+COUNTIFS('Istoric_Nativ'!$B$6:$B$405,E1122,'Istoric_Nativ'!$C$6:$C$405,F1122,'Istoric_Nativ'!$F$6:$F$405,G1122,'Istoric_Nativ'!$D$6:$D$405,"&lt;"&amp;J1122,'Istoric_Nativ'!$O$6:$O$405,"SOURCE CONFLICT"))</x:f>
        <x:v>0</x:v>
      </x:c>
      <x:c r="T1122" s="2" t="str">
        <x:f>IF(B1122="","",IF(R1122&lt;&gt;"CLOSED",R1122,IF(S1122&gt;0,"NATIVE INPUT ISSUE",IF(M1122=0,"NO HISTORY",IF(M1122&lt;P1122,"SMALL SAMPLE","DERIVED")))))</x:f>
      </x:c>
      <x:c r="U1122" s="2" t="str">
        <x:f>IF(B1122="","","NativeTable; "&amp;E1122&amp;"; "&amp;F1122&amp;"; "&amp;G1122&amp;"; "&amp;H1122&amp;"; before "&amp;TEXT(J1122,"yyyy-mm-dd")&amp;IF(I1122="RECENT","; from "&amp;TEXT(L1122,"yyyy-mm-dd"),""))</x:f>
      </x:c>
    </x:row>
    <x:row r="1123" ht="21" customHeight="1">
      <x:c r="A1123" s="2" t="n">
        <x:v>94</x:v>
      </x:c>
      <x:c r="B1123" s="2" t="str">
        <x:f>IF('Input_Meci'!A99="","",'Input_Meci'!A99)</x:f>
      </x:c>
      <x:c r="C1123" s="2" t="str">
        <x:v>H</x:v>
      </x:c>
      <x:c r="D1123" s="2" t="str">
        <x:v>CURRENT</x:v>
      </x:c>
      <x:c r="E1123" s="2" t="str">
        <x:f>IF(B1123="","",'Input_Meci'!B99)</x:f>
      </x:c>
      <x:c r="F1123" s="2" t="str">
        <x:f>IF(B1123="","",IF('Input_Meci'!C99="","",'Input_Meci'!C99))</x:f>
      </x:c>
      <x:c r="G1123" s="2" t="str">
        <x:f>IF(B1123="","",'Input_Meci'!D99)</x:f>
      </x:c>
      <x:c r="H1123" s="2" t="str">
        <x:v>HOME</x:v>
      </x:c>
      <x:c r="I1123" s="2" t="str">
        <x:v>HA</x:v>
      </x:c>
      <x:c r="J1123" s="9" t="n">
        <x:f>IF(AND(B1123&lt;&gt;"",ISNUMBER('Input_Meci'!G99)),INT('Input_Meci'!G99),0)</x:f>
        <x:v>0</x:v>
      </x:c>
      <x:c r="K1123" s="2" t="n">
        <x:f>IF(OR(B1123="",F1123=""),0,IF(H1123="HOME",COUNTIFS('Istoric_Nativ'!$B$6:$B$405,E1123,'Istoric_Nativ'!$C$6:$C$405,F1123,'Istoric_Nativ'!$E$6:$E$405,G1123,'Istoric_Nativ'!$D$6:$D$405,"&lt;"&amp;J1123,'Istoric_Nativ'!$P$6:$P$405,1),IF(H1123="AWAY",COUNTIFS('Istoric_Nativ'!$B$6:$B$405,E1123,'Istoric_Nativ'!$C$6:$C$405,F1123,'Istoric_Nativ'!$F$6:$F$405,G1123,'Istoric_Nativ'!$D$6:$D$405,"&lt;"&amp;J1123,'Istoric_Nativ'!$P$6:$P$405,1),COUNTIFS('Istoric_Nativ'!$B$6:$B$405,E1123,'Istoric_Nativ'!$C$6:$C$405,F1123,'Istoric_Nativ'!$E$6:$E$405,G1123,'Istoric_Nativ'!$D$6:$D$405,"&lt;"&amp;J1123,'Istoric_Nativ'!$P$6:$P$405,1)+COUNTIFS('Istoric_Nativ'!$B$6:$B$405,E1123,'Istoric_Nativ'!$C$6:$C$405,F1123,'Istoric_Nativ'!$F$6:$F$405,G1123,'Istoric_Nativ'!$D$6:$D$405,"&lt;"&amp;J1123,'Istoric_Nativ'!$P$6:$P$405,1))))</x:f>
        <x:v>0</x:v>
      </x:c>
      <x:c r="L1123" s="17" t="n">
        <x:f>IF(AND(B1123&lt;&gt;"",I1123="RECENT",K1123&gt;0),LARGE(_xlfn._xlws.FILTER('Istoric_Nativ'!$D$6:$D$405,('Istoric_Nativ'!$B$6:$B$405=E1123)*('Istoric_Nativ'!$C$6:$C$405=F1123)*('Istoric_Nativ'!$P$6:$P$405=1)*('Istoric_Nativ'!$D$6:$D$405&lt;J1123)*((('Istoric_Nativ'!$E$6:$E$405=G1123)+('Istoric_Nativ'!$F$6:$F$405=G1123))&gt;0)),MIN('Config_v6'!$B$54,K1123)),0)</x:f>
        <x:v>0</x:v>
      </x:c>
      <x:c r="M1123" s="2" t="n">
        <x:f>IF(OR(B1123="",F1123=""),0,IF(H1123="HOME",COUNTIFS('Istoric_Nativ'!$B$6:$B$405,E1123,'Istoric_Nativ'!$C$6:$C$405,F1123,'Istoric_Nativ'!$E$6:$E$405,G1123,'Istoric_Nativ'!$D$6:$D$405,"&lt;"&amp;J1123,'Istoric_Nativ'!$P$6:$P$405,1,'Istoric_Nativ'!$D$6:$D$405,"&gt;="&amp;L1123),IF(H1123="AWAY",COUNTIFS('Istoric_Nativ'!$B$6:$B$405,E1123,'Istoric_Nativ'!$C$6:$C$405,F1123,'Istoric_Nativ'!$F$6:$F$405,G1123,'Istoric_Nativ'!$D$6:$D$405,"&lt;"&amp;J1123,'Istoric_Nativ'!$P$6:$P$405,1,'Istoric_Nativ'!$D$6:$D$405,"&gt;="&amp;L1123),COUNTIFS('Istoric_Nativ'!$B$6:$B$405,E1123,'Istoric_Nativ'!$C$6:$C$405,F1123,'Istoric_Nativ'!$E$6:$E$405,G1123,'Istoric_Nativ'!$D$6:$D$405,"&lt;"&amp;J1123,'Istoric_Nativ'!$P$6:$P$405,1,'Istoric_Nativ'!$D$6:$D$405,"&gt;="&amp;L1123)+COUNTIFS('Istoric_Nativ'!$B$6:$B$405,E1123,'Istoric_Nativ'!$C$6:$C$405,F1123,'Istoric_Nativ'!$F$6:$F$405,G1123,'Istoric_Nativ'!$D$6:$D$405,"&lt;"&amp;J1123,'Istoric_Nativ'!$P$6:$P$405,1,'Istoric_Nativ'!$D$6:$D$405,"&gt;="&amp;L1123))))</x:f>
        <x:v>0</x:v>
      </x:c>
      <x:c r="N1123" s="11" t="str">
        <x:f>IF(M1123=0,"",IF(H1123="HOME",SUMIFS('Istoric_Nativ'!$G$6:$G$405,'Istoric_Nativ'!$B$6:$B$405,E1123,'Istoric_Nativ'!$C$6:$C$405,F1123,'Istoric_Nativ'!$E$6:$E$405,G1123,'Istoric_Nativ'!$D$6:$D$405,"&lt;"&amp;J1123,'Istoric_Nativ'!$P$6:$P$405,1,'Istoric_Nativ'!$D$6:$D$405,"&gt;="&amp;L1123),IF(H1123="AWAY",SUMIFS('Istoric_Nativ'!$H$6:$H$405,'Istoric_Nativ'!$B$6:$B$405,E1123,'Istoric_Nativ'!$C$6:$C$405,F1123,'Istoric_Nativ'!$F$6:$F$405,G1123,'Istoric_Nativ'!$D$6:$D$405,"&lt;"&amp;J1123,'Istoric_Nativ'!$P$6:$P$405,1,'Istoric_Nativ'!$D$6:$D$405,"&gt;="&amp;L1123),SUMIFS('Istoric_Nativ'!$G$6:$G$405,'Istoric_Nativ'!$B$6:$B$405,E1123,'Istoric_Nativ'!$C$6:$C$405,F1123,'Istoric_Nativ'!$E$6:$E$405,G1123,'Istoric_Nativ'!$D$6:$D$405,"&lt;"&amp;J1123,'Istoric_Nativ'!$P$6:$P$405,1,'Istoric_Nativ'!$D$6:$D$405,"&gt;="&amp;L1123)+SUMIFS('Istoric_Nativ'!$H$6:$H$405,'Istoric_Nativ'!$B$6:$B$405,E1123,'Istoric_Nativ'!$C$6:$C$405,F1123,'Istoric_Nativ'!$F$6:$F$405,G1123,'Istoric_Nativ'!$D$6:$D$405,"&lt;"&amp;J1123,'Istoric_Nativ'!$P$6:$P$405,1,'Istoric_Nativ'!$D$6:$D$405,"&gt;="&amp;L1123)))/M1123)</x:f>
      </x:c>
      <x:c r="O1123" s="11" t="str">
        <x:f>IF(M1123=0,"",IF(H1123="HOME",SUMIFS('Istoric_Nativ'!$H$6:$H$405,'Istoric_Nativ'!$B$6:$B$405,E1123,'Istoric_Nativ'!$C$6:$C$405,F1123,'Istoric_Nativ'!$E$6:$E$405,G1123,'Istoric_Nativ'!$D$6:$D$405,"&lt;"&amp;J1123,'Istoric_Nativ'!$P$6:$P$405,1,'Istoric_Nativ'!$D$6:$D$405,"&gt;="&amp;L1123),IF(H1123="AWAY",SUMIFS('Istoric_Nativ'!$G$6:$G$405,'Istoric_Nativ'!$B$6:$B$405,E1123,'Istoric_Nativ'!$C$6:$C$405,F1123,'Istoric_Nativ'!$F$6:$F$405,G1123,'Istoric_Nativ'!$D$6:$D$405,"&lt;"&amp;J1123,'Istoric_Nativ'!$P$6:$P$405,1,'Istoric_Nativ'!$D$6:$D$405,"&gt;="&amp;L1123),SUMIFS('Istoric_Nativ'!$H$6:$H$405,'Istoric_Nativ'!$B$6:$B$405,E1123,'Istoric_Nativ'!$C$6:$C$405,F1123,'Istoric_Nativ'!$E$6:$E$405,G1123,'Istoric_Nativ'!$D$6:$D$405,"&lt;"&amp;J1123,'Istoric_Nativ'!$P$6:$P$405,1,'Istoric_Nativ'!$D$6:$D$405,"&gt;="&amp;L1123)+SUMIFS('Istoric_Nativ'!$G$6:$G$405,'Istoric_Nativ'!$B$6:$B$405,E1123,'Istoric_Nativ'!$C$6:$C$405,F1123,'Istoric_Nativ'!$F$6:$F$405,G1123,'Istoric_Nativ'!$D$6:$D$405,"&lt;"&amp;J1123,'Istoric_Nativ'!$P$6:$P$405,1,'Istoric_Nativ'!$D$6:$D$405,"&gt;="&amp;L1123)))/M1123)</x:f>
      </x:c>
      <x:c r="P1123" s="2" t="n">
        <x:f>'Config_v6'!$B$8</x:f>
        <x:v>5</x:v>
      </x:c>
      <x:c r="Q1123" s="2" t="n">
        <x:f>IF(OR(B1123="",F1123=""),0,IFERROR(MATCH(E1123&amp;"|"&amp;F1123,SourceTable[Source_Key],0),0))</x:f>
        <x:v>0</x:v>
      </x:c>
      <x:c r="R1123" s="2" t="str">
        <x:f>IF(B1123="","",IF(F1123="","UNUSED",IF(Q1123=0,"NOT CHECKED",IF(COUNTIF(SourceTable[Source_Key],E1123&amp;"|"&amp;F1123)&lt;&gt;1,"SOURCE CONFLICT",IF(NOT(OR(INDEX(SourceTable[Status],MAX(1,Q1123))="IMPORTED",INDEX(SourceTable[Status],MAX(1,Q1123))="PARTIAL",INDEX(SourceTable[Status],MAX(1,Q1123))="SOURCE CONFLICT")),"ACCESS BLOCKED",IF(OR(INDEX(SourceTable[Coverage],Q1123)&lt;&gt;"FULL SEASON EXPORT",INDEX(SourceTable[URL],Q1123)="",INDEX(SourceTable[SHA256],Q1123)=""),"EVIDENCE INCOMPLETE",IF(AND('Input_Meci'!H99="LIVE",INDEX(SourceTable[Retrieved_UTC],Q1123)&gt;'Input_Meci'!G99),"POST CUTOFF","CLOSED")))))))</x:f>
      </x:c>
      <x:c r="S1123" s="2" t="n">
        <x:f>IF(OR(B1123="",F1123=""),0,COUNTIFS('Istoric_Nativ'!$B$6:$B$405,E1123,'Istoric_Nativ'!$C$6:$C$405,F1123,'Istoric_Nativ'!$E$6:$E$405,G1123,'Istoric_Nativ'!$D$6:$D$405,"&lt;"&amp;J1123,'Istoric_Nativ'!$O$6:$O$405,"INVALID")+COUNTIFS('Istoric_Nativ'!$B$6:$B$405,E1123,'Istoric_Nativ'!$C$6:$C$405,F1123,'Istoric_Nativ'!$E$6:$E$405,G1123,'Istoric_Nativ'!$O$6:$O$405,"INVALID",'Istoric_Nativ'!$D$6:$D$405,"*")+COUNTIFS('Istoric_Nativ'!$B$6:$B$405,E1123,'Istoric_Nativ'!$C$6:$C$405,F1123,'Istoric_Nativ'!$E$6:$E$405,G1123,'Istoric_Nativ'!$D$6:$D$405,"&lt;"&amp;J1123,'Istoric_Nativ'!$O$6:$O$405,"SOURCE CONFLICT")+COUNTIFS('Istoric_Nativ'!$B$6:$B$405,E1123,'Istoric_Nativ'!$C$6:$C$405,F1123,'Istoric_Nativ'!$F$6:$F$405,G1123,'Istoric_Nativ'!$D$6:$D$405,"&lt;"&amp;J1123,'Istoric_Nativ'!$O$6:$O$405,"INVALID")+COUNTIFS('Istoric_Nativ'!$B$6:$B$405,E1123,'Istoric_Nativ'!$C$6:$C$405,F1123,'Istoric_Nativ'!$F$6:$F$405,G1123,'Istoric_Nativ'!$O$6:$O$405,"INVALID",'Istoric_Nativ'!$D$6:$D$405,"*")+COUNTIFS('Istoric_Nativ'!$B$6:$B$405,E1123,'Istoric_Nativ'!$C$6:$C$405,F1123,'Istoric_Nativ'!$F$6:$F$405,G1123,'Istoric_Nativ'!$D$6:$D$405,"&lt;"&amp;J1123,'Istoric_Nativ'!$O$6:$O$405,"SOURCE CONFLICT"))</x:f>
        <x:v>0</x:v>
      </x:c>
      <x:c r="T1123" s="2" t="str">
        <x:f>IF(B1123="","",IF(R1123&lt;&gt;"CLOSED",R1123,IF(S1123&gt;0,"NATIVE INPUT ISSUE",IF(M1123=0,"NO HISTORY",IF(M1123&lt;P1123,"SMALL SAMPLE","DERIVED")))))</x:f>
      </x:c>
      <x:c r="U1123" s="2" t="str">
        <x:f>IF(B1123="","","NativeTable; "&amp;E1123&amp;"; "&amp;F1123&amp;"; "&amp;G1123&amp;"; "&amp;H1123&amp;"; before "&amp;TEXT(J1123,"yyyy-mm-dd")&amp;IF(I1123="RECENT","; from "&amp;TEXT(L1123,"yyyy-mm-dd"),""))</x:f>
      </x:c>
    </x:row>
    <x:row r="1124" ht="21" customHeight="1">
      <x:c r="A1124" s="2" t="n">
        <x:v>94</x:v>
      </x:c>
      <x:c r="B1124" s="2" t="str">
        <x:f>IF('Input_Meci'!A99="","",'Input_Meci'!A99)</x:f>
      </x:c>
      <x:c r="C1124" s="2" t="str">
        <x:v>H</x:v>
      </x:c>
      <x:c r="D1124" s="2" t="str">
        <x:v>CURRENT</x:v>
      </x:c>
      <x:c r="E1124" s="2" t="str">
        <x:f>IF(B1124="","",'Input_Meci'!B99)</x:f>
      </x:c>
      <x:c r="F1124" s="2" t="str">
        <x:f>IF(B1124="","",IF('Input_Meci'!C99="","",'Input_Meci'!C99))</x:f>
      </x:c>
      <x:c r="G1124" s="2" t="str">
        <x:f>IF(B1124="","",'Input_Meci'!D99)</x:f>
      </x:c>
      <x:c r="H1124" s="2" t="str">
        <x:v>ANY</x:v>
      </x:c>
      <x:c r="I1124" s="2" t="str">
        <x:v>RECENT</x:v>
      </x:c>
      <x:c r="J1124" s="9" t="n">
        <x:f>IF(AND(B1124&lt;&gt;"",ISNUMBER('Input_Meci'!G99)),INT('Input_Meci'!G99),0)</x:f>
        <x:v>0</x:v>
      </x:c>
      <x:c r="K1124" s="2" t="n">
        <x:f>IF(OR(B1124="",F1124=""),0,IF(H1124="HOME",COUNTIFS('Istoric_Nativ'!$B$6:$B$405,E1124,'Istoric_Nativ'!$C$6:$C$405,F1124,'Istoric_Nativ'!$E$6:$E$405,G1124,'Istoric_Nativ'!$D$6:$D$405,"&lt;"&amp;J1124,'Istoric_Nativ'!$P$6:$P$405,1),IF(H1124="AWAY",COUNTIFS('Istoric_Nativ'!$B$6:$B$405,E1124,'Istoric_Nativ'!$C$6:$C$405,F1124,'Istoric_Nativ'!$F$6:$F$405,G1124,'Istoric_Nativ'!$D$6:$D$405,"&lt;"&amp;J1124,'Istoric_Nativ'!$P$6:$P$405,1),COUNTIFS('Istoric_Nativ'!$B$6:$B$405,E1124,'Istoric_Nativ'!$C$6:$C$405,F1124,'Istoric_Nativ'!$E$6:$E$405,G1124,'Istoric_Nativ'!$D$6:$D$405,"&lt;"&amp;J1124,'Istoric_Nativ'!$P$6:$P$405,1)+COUNTIFS('Istoric_Nativ'!$B$6:$B$405,E1124,'Istoric_Nativ'!$C$6:$C$405,F1124,'Istoric_Nativ'!$F$6:$F$405,G1124,'Istoric_Nativ'!$D$6:$D$405,"&lt;"&amp;J1124,'Istoric_Nativ'!$P$6:$P$405,1))))</x:f>
        <x:v>0</x:v>
      </x:c>
      <x:c r="L1124" s="17" t="n">
        <x:f>IF(AND(B1124&lt;&gt;"",I1124="RECENT",K1124&gt;0),LARGE(_xlfn._xlws.FILTER('Istoric_Nativ'!$D$6:$D$405,('Istoric_Nativ'!$B$6:$B$405=E1124)*('Istoric_Nativ'!$C$6:$C$405=F1124)*('Istoric_Nativ'!$P$6:$P$405=1)*('Istoric_Nativ'!$D$6:$D$405&lt;J1124)*((('Istoric_Nativ'!$E$6:$E$405=G1124)+('Istoric_Nativ'!$F$6:$F$405=G1124))&gt;0)),MIN('Config_v6'!$B$54,K1124)),0)</x:f>
        <x:v>0</x:v>
      </x:c>
      <x:c r="M1124" s="2" t="n">
        <x:f>IF(OR(B1124="",F1124=""),0,IF(H1124="HOME",COUNTIFS('Istoric_Nativ'!$B$6:$B$405,E1124,'Istoric_Nativ'!$C$6:$C$405,F1124,'Istoric_Nativ'!$E$6:$E$405,G1124,'Istoric_Nativ'!$D$6:$D$405,"&lt;"&amp;J1124,'Istoric_Nativ'!$P$6:$P$405,1,'Istoric_Nativ'!$D$6:$D$405,"&gt;="&amp;L1124),IF(H1124="AWAY",COUNTIFS('Istoric_Nativ'!$B$6:$B$405,E1124,'Istoric_Nativ'!$C$6:$C$405,F1124,'Istoric_Nativ'!$F$6:$F$405,G1124,'Istoric_Nativ'!$D$6:$D$405,"&lt;"&amp;J1124,'Istoric_Nativ'!$P$6:$P$405,1,'Istoric_Nativ'!$D$6:$D$405,"&gt;="&amp;L1124),COUNTIFS('Istoric_Nativ'!$B$6:$B$405,E1124,'Istoric_Nativ'!$C$6:$C$405,F1124,'Istoric_Nativ'!$E$6:$E$405,G1124,'Istoric_Nativ'!$D$6:$D$405,"&lt;"&amp;J1124,'Istoric_Nativ'!$P$6:$P$405,1,'Istoric_Nativ'!$D$6:$D$405,"&gt;="&amp;L1124)+COUNTIFS('Istoric_Nativ'!$B$6:$B$405,E1124,'Istoric_Nativ'!$C$6:$C$405,F1124,'Istoric_Nativ'!$F$6:$F$405,G1124,'Istoric_Nativ'!$D$6:$D$405,"&lt;"&amp;J1124,'Istoric_Nativ'!$P$6:$P$405,1,'Istoric_Nativ'!$D$6:$D$405,"&gt;="&amp;L1124))))</x:f>
        <x:v>0</x:v>
      </x:c>
      <x:c r="N1124" s="11" t="str">
        <x:f>IF(M1124=0,"",IF(H1124="HOME",SUMIFS('Istoric_Nativ'!$G$6:$G$405,'Istoric_Nativ'!$B$6:$B$405,E1124,'Istoric_Nativ'!$C$6:$C$405,F1124,'Istoric_Nativ'!$E$6:$E$405,G1124,'Istoric_Nativ'!$D$6:$D$405,"&lt;"&amp;J1124,'Istoric_Nativ'!$P$6:$P$405,1,'Istoric_Nativ'!$D$6:$D$405,"&gt;="&amp;L1124),IF(H1124="AWAY",SUMIFS('Istoric_Nativ'!$H$6:$H$405,'Istoric_Nativ'!$B$6:$B$405,E1124,'Istoric_Nativ'!$C$6:$C$405,F1124,'Istoric_Nativ'!$F$6:$F$405,G1124,'Istoric_Nativ'!$D$6:$D$405,"&lt;"&amp;J1124,'Istoric_Nativ'!$P$6:$P$405,1,'Istoric_Nativ'!$D$6:$D$405,"&gt;="&amp;L1124),SUMIFS('Istoric_Nativ'!$G$6:$G$405,'Istoric_Nativ'!$B$6:$B$405,E1124,'Istoric_Nativ'!$C$6:$C$405,F1124,'Istoric_Nativ'!$E$6:$E$405,G1124,'Istoric_Nativ'!$D$6:$D$405,"&lt;"&amp;J1124,'Istoric_Nativ'!$P$6:$P$405,1,'Istoric_Nativ'!$D$6:$D$405,"&gt;="&amp;L1124)+SUMIFS('Istoric_Nativ'!$H$6:$H$405,'Istoric_Nativ'!$B$6:$B$405,E1124,'Istoric_Nativ'!$C$6:$C$405,F1124,'Istoric_Nativ'!$F$6:$F$405,G1124,'Istoric_Nativ'!$D$6:$D$405,"&lt;"&amp;J1124,'Istoric_Nativ'!$P$6:$P$405,1,'Istoric_Nativ'!$D$6:$D$405,"&gt;="&amp;L1124)))/M1124)</x:f>
      </x:c>
      <x:c r="O1124" s="11" t="str">
        <x:f>IF(M1124=0,"",IF(H1124="HOME",SUMIFS('Istoric_Nativ'!$H$6:$H$405,'Istoric_Nativ'!$B$6:$B$405,E1124,'Istoric_Nativ'!$C$6:$C$405,F1124,'Istoric_Nativ'!$E$6:$E$405,G1124,'Istoric_Nativ'!$D$6:$D$405,"&lt;"&amp;J1124,'Istoric_Nativ'!$P$6:$P$405,1,'Istoric_Nativ'!$D$6:$D$405,"&gt;="&amp;L1124),IF(H1124="AWAY",SUMIFS('Istoric_Nativ'!$G$6:$G$405,'Istoric_Nativ'!$B$6:$B$405,E1124,'Istoric_Nativ'!$C$6:$C$405,F1124,'Istoric_Nativ'!$F$6:$F$405,G1124,'Istoric_Nativ'!$D$6:$D$405,"&lt;"&amp;J1124,'Istoric_Nativ'!$P$6:$P$405,1,'Istoric_Nativ'!$D$6:$D$405,"&gt;="&amp;L1124),SUMIFS('Istoric_Nativ'!$H$6:$H$405,'Istoric_Nativ'!$B$6:$B$405,E1124,'Istoric_Nativ'!$C$6:$C$405,F1124,'Istoric_Nativ'!$E$6:$E$405,G1124,'Istoric_Nativ'!$D$6:$D$405,"&lt;"&amp;J1124,'Istoric_Nativ'!$P$6:$P$405,1,'Istoric_Nativ'!$D$6:$D$405,"&gt;="&amp;L1124)+SUMIFS('Istoric_Nativ'!$G$6:$G$405,'Istoric_Nativ'!$B$6:$B$405,E1124,'Istoric_Nativ'!$C$6:$C$405,F1124,'Istoric_Nativ'!$F$6:$F$405,G1124,'Istoric_Nativ'!$D$6:$D$405,"&lt;"&amp;J1124,'Istoric_Nativ'!$P$6:$P$405,1,'Istoric_Nativ'!$D$6:$D$405,"&gt;="&amp;L1124)))/M1124)</x:f>
      </x:c>
      <x:c r="P1124" s="2" t="n">
        <x:f>'Config_v6'!$B$9</x:f>
        <x:v>3</x:v>
      </x:c>
      <x:c r="Q1124" s="2" t="n">
        <x:f>IF(OR(B1124="",F1124=""),0,IFERROR(MATCH(E1124&amp;"|"&amp;F1124,SourceTable[Source_Key],0),0))</x:f>
        <x:v>0</x:v>
      </x:c>
      <x:c r="R1124" s="2" t="str">
        <x:f>IF(B1124="","",IF(F1124="","UNUSED",IF(Q1124=0,"NOT CHECKED",IF(COUNTIF(SourceTable[Source_Key],E1124&amp;"|"&amp;F1124)&lt;&gt;1,"SOURCE CONFLICT",IF(NOT(OR(INDEX(SourceTable[Status],MAX(1,Q1124))="IMPORTED",INDEX(SourceTable[Status],MAX(1,Q1124))="PARTIAL",INDEX(SourceTable[Status],MAX(1,Q1124))="SOURCE CONFLICT")),"ACCESS BLOCKED",IF(OR(INDEX(SourceTable[Coverage],Q1124)&lt;&gt;"FULL SEASON EXPORT",INDEX(SourceTable[URL],Q1124)="",INDEX(SourceTable[SHA256],Q1124)=""),"EVIDENCE INCOMPLETE",IF(AND('Input_Meci'!H99="LIVE",INDEX(SourceTable[Retrieved_UTC],Q1124)&gt;'Input_Meci'!G99),"POST CUTOFF","CLOSED")))))))</x:f>
      </x:c>
      <x:c r="S1124" s="2" t="n">
        <x:f>IF(OR(B1124="",F1124=""),0,COUNTIFS('Istoric_Nativ'!$B$6:$B$405,E1124,'Istoric_Nativ'!$C$6:$C$405,F1124,'Istoric_Nativ'!$E$6:$E$405,G1124,'Istoric_Nativ'!$D$6:$D$405,"&lt;"&amp;J1124,'Istoric_Nativ'!$O$6:$O$405,"INVALID")+COUNTIFS('Istoric_Nativ'!$B$6:$B$405,E1124,'Istoric_Nativ'!$C$6:$C$405,F1124,'Istoric_Nativ'!$E$6:$E$405,G1124,'Istoric_Nativ'!$O$6:$O$405,"INVALID",'Istoric_Nativ'!$D$6:$D$405,"*")+COUNTIFS('Istoric_Nativ'!$B$6:$B$405,E1124,'Istoric_Nativ'!$C$6:$C$405,F1124,'Istoric_Nativ'!$E$6:$E$405,G1124,'Istoric_Nativ'!$D$6:$D$405,"&lt;"&amp;J1124,'Istoric_Nativ'!$O$6:$O$405,"SOURCE CONFLICT")+COUNTIFS('Istoric_Nativ'!$B$6:$B$405,E1124,'Istoric_Nativ'!$C$6:$C$405,F1124,'Istoric_Nativ'!$F$6:$F$405,G1124,'Istoric_Nativ'!$D$6:$D$405,"&lt;"&amp;J1124,'Istoric_Nativ'!$O$6:$O$405,"INVALID")+COUNTIFS('Istoric_Nativ'!$B$6:$B$405,E1124,'Istoric_Nativ'!$C$6:$C$405,F1124,'Istoric_Nativ'!$F$6:$F$405,G1124,'Istoric_Nativ'!$O$6:$O$405,"INVALID",'Istoric_Nativ'!$D$6:$D$405,"*")+COUNTIFS('Istoric_Nativ'!$B$6:$B$405,E1124,'Istoric_Nativ'!$C$6:$C$405,F1124,'Istoric_Nativ'!$F$6:$F$405,G1124,'Istoric_Nativ'!$D$6:$D$405,"&lt;"&amp;J1124,'Istoric_Nativ'!$O$6:$O$405,"SOURCE CONFLICT"))</x:f>
        <x:v>0</x:v>
      </x:c>
      <x:c r="T1124" s="2" t="str">
        <x:f>IF(B1124="","",IF(R1124&lt;&gt;"CLOSED",R1124,IF(S1124&gt;0,"NATIVE INPUT ISSUE",IF(M1124=0,"NO HISTORY",IF(M1124&lt;P1124,"SMALL SAMPLE","DERIVED")))))</x:f>
      </x:c>
      <x:c r="U1124" s="2" t="str">
        <x:f>IF(B1124="","","NativeTable; "&amp;E1124&amp;"; "&amp;F1124&amp;"; "&amp;G1124&amp;"; "&amp;H1124&amp;"; before "&amp;TEXT(J1124,"yyyy-mm-dd")&amp;IF(I1124="RECENT","; from "&amp;TEXT(L1124,"yyyy-mm-dd"),""))</x:f>
      </x:c>
    </x:row>
    <x:row r="1125" ht="21" customHeight="1">
      <x:c r="A1125" s="2" t="n">
        <x:v>94</x:v>
      </x:c>
      <x:c r="B1125" s="2" t="str">
        <x:f>IF('Input_Meci'!A99="","",'Input_Meci'!A99)</x:f>
      </x:c>
      <x:c r="C1125" s="2" t="str">
        <x:v>A</x:v>
      </x:c>
      <x:c r="D1125" s="2" t="str">
        <x:v>CURRENT</x:v>
      </x:c>
      <x:c r="E1125" s="2" t="str">
        <x:f>IF(B1125="","",'Input_Meci'!B99)</x:f>
      </x:c>
      <x:c r="F1125" s="2" t="str">
        <x:f>IF(B1125="","",IF('Input_Meci'!C99="","",'Input_Meci'!C99))</x:f>
      </x:c>
      <x:c r="G1125" s="2" t="str">
        <x:f>IF(B1125="","",'Input_Meci'!E99)</x:f>
      </x:c>
      <x:c r="H1125" s="2" t="str">
        <x:v>ANY</x:v>
      </x:c>
      <x:c r="I1125" s="2" t="str">
        <x:v>SEASON</x:v>
      </x:c>
      <x:c r="J1125" s="9" t="n">
        <x:f>IF(AND(B1125&lt;&gt;"",ISNUMBER('Input_Meci'!G99)),INT('Input_Meci'!G99),0)</x:f>
        <x:v>0</x:v>
      </x:c>
      <x:c r="K1125" s="2" t="n">
        <x:f>IF(OR(B1125="",F1125=""),0,IF(H1125="HOME",COUNTIFS('Istoric_Nativ'!$B$6:$B$405,E1125,'Istoric_Nativ'!$C$6:$C$405,F1125,'Istoric_Nativ'!$E$6:$E$405,G1125,'Istoric_Nativ'!$D$6:$D$405,"&lt;"&amp;J1125,'Istoric_Nativ'!$P$6:$P$405,1),IF(H1125="AWAY",COUNTIFS('Istoric_Nativ'!$B$6:$B$405,E1125,'Istoric_Nativ'!$C$6:$C$405,F1125,'Istoric_Nativ'!$F$6:$F$405,G1125,'Istoric_Nativ'!$D$6:$D$405,"&lt;"&amp;J1125,'Istoric_Nativ'!$P$6:$P$405,1),COUNTIFS('Istoric_Nativ'!$B$6:$B$405,E1125,'Istoric_Nativ'!$C$6:$C$405,F1125,'Istoric_Nativ'!$E$6:$E$405,G1125,'Istoric_Nativ'!$D$6:$D$405,"&lt;"&amp;J1125,'Istoric_Nativ'!$P$6:$P$405,1)+COUNTIFS('Istoric_Nativ'!$B$6:$B$405,E1125,'Istoric_Nativ'!$C$6:$C$405,F1125,'Istoric_Nativ'!$F$6:$F$405,G1125,'Istoric_Nativ'!$D$6:$D$405,"&lt;"&amp;J1125,'Istoric_Nativ'!$P$6:$P$405,1))))</x:f>
        <x:v>0</x:v>
      </x:c>
      <x:c r="L1125" s="17" t="n">
        <x:f>IF(AND(B1125&lt;&gt;"",I1125="RECENT",K1125&gt;0),LARGE(_xlfn._xlws.FILTER('Istoric_Nativ'!$D$6:$D$405,('Istoric_Nativ'!$B$6:$B$405=E1125)*('Istoric_Nativ'!$C$6:$C$405=F1125)*('Istoric_Nativ'!$P$6:$P$405=1)*('Istoric_Nativ'!$D$6:$D$405&lt;J1125)*((('Istoric_Nativ'!$E$6:$E$405=G1125)+('Istoric_Nativ'!$F$6:$F$405=G1125))&gt;0)),MIN('Config_v6'!$B$54,K1125)),0)</x:f>
        <x:v>0</x:v>
      </x:c>
      <x:c r="M1125" s="2" t="n">
        <x:f>IF(OR(B1125="",F1125=""),0,IF(H1125="HOME",COUNTIFS('Istoric_Nativ'!$B$6:$B$405,E1125,'Istoric_Nativ'!$C$6:$C$405,F1125,'Istoric_Nativ'!$E$6:$E$405,G1125,'Istoric_Nativ'!$D$6:$D$405,"&lt;"&amp;J1125,'Istoric_Nativ'!$P$6:$P$405,1,'Istoric_Nativ'!$D$6:$D$405,"&gt;="&amp;L1125),IF(H1125="AWAY",COUNTIFS('Istoric_Nativ'!$B$6:$B$405,E1125,'Istoric_Nativ'!$C$6:$C$405,F1125,'Istoric_Nativ'!$F$6:$F$405,G1125,'Istoric_Nativ'!$D$6:$D$405,"&lt;"&amp;J1125,'Istoric_Nativ'!$P$6:$P$405,1,'Istoric_Nativ'!$D$6:$D$405,"&gt;="&amp;L1125),COUNTIFS('Istoric_Nativ'!$B$6:$B$405,E1125,'Istoric_Nativ'!$C$6:$C$405,F1125,'Istoric_Nativ'!$E$6:$E$405,G1125,'Istoric_Nativ'!$D$6:$D$405,"&lt;"&amp;J1125,'Istoric_Nativ'!$P$6:$P$405,1,'Istoric_Nativ'!$D$6:$D$405,"&gt;="&amp;L1125)+COUNTIFS('Istoric_Nativ'!$B$6:$B$405,E1125,'Istoric_Nativ'!$C$6:$C$405,F1125,'Istoric_Nativ'!$F$6:$F$405,G1125,'Istoric_Nativ'!$D$6:$D$405,"&lt;"&amp;J1125,'Istoric_Nativ'!$P$6:$P$405,1,'Istoric_Nativ'!$D$6:$D$405,"&gt;="&amp;L1125))))</x:f>
        <x:v>0</x:v>
      </x:c>
      <x:c r="N1125" s="11" t="str">
        <x:f>IF(M1125=0,"",IF(H1125="HOME",SUMIFS('Istoric_Nativ'!$G$6:$G$405,'Istoric_Nativ'!$B$6:$B$405,E1125,'Istoric_Nativ'!$C$6:$C$405,F1125,'Istoric_Nativ'!$E$6:$E$405,G1125,'Istoric_Nativ'!$D$6:$D$405,"&lt;"&amp;J1125,'Istoric_Nativ'!$P$6:$P$405,1,'Istoric_Nativ'!$D$6:$D$405,"&gt;="&amp;L1125),IF(H1125="AWAY",SUMIFS('Istoric_Nativ'!$H$6:$H$405,'Istoric_Nativ'!$B$6:$B$405,E1125,'Istoric_Nativ'!$C$6:$C$405,F1125,'Istoric_Nativ'!$F$6:$F$405,G1125,'Istoric_Nativ'!$D$6:$D$405,"&lt;"&amp;J1125,'Istoric_Nativ'!$P$6:$P$405,1,'Istoric_Nativ'!$D$6:$D$405,"&gt;="&amp;L1125),SUMIFS('Istoric_Nativ'!$G$6:$G$405,'Istoric_Nativ'!$B$6:$B$405,E1125,'Istoric_Nativ'!$C$6:$C$405,F1125,'Istoric_Nativ'!$E$6:$E$405,G1125,'Istoric_Nativ'!$D$6:$D$405,"&lt;"&amp;J1125,'Istoric_Nativ'!$P$6:$P$405,1,'Istoric_Nativ'!$D$6:$D$405,"&gt;="&amp;L1125)+SUMIFS('Istoric_Nativ'!$H$6:$H$405,'Istoric_Nativ'!$B$6:$B$405,E1125,'Istoric_Nativ'!$C$6:$C$405,F1125,'Istoric_Nativ'!$F$6:$F$405,G1125,'Istoric_Nativ'!$D$6:$D$405,"&lt;"&amp;J1125,'Istoric_Nativ'!$P$6:$P$405,1,'Istoric_Nativ'!$D$6:$D$405,"&gt;="&amp;L1125)))/M1125)</x:f>
      </x:c>
      <x:c r="O1125" s="11" t="str">
        <x:f>IF(M1125=0,"",IF(H1125="HOME",SUMIFS('Istoric_Nativ'!$H$6:$H$405,'Istoric_Nativ'!$B$6:$B$405,E1125,'Istoric_Nativ'!$C$6:$C$405,F1125,'Istoric_Nativ'!$E$6:$E$405,G1125,'Istoric_Nativ'!$D$6:$D$405,"&lt;"&amp;J1125,'Istoric_Nativ'!$P$6:$P$405,1,'Istoric_Nativ'!$D$6:$D$405,"&gt;="&amp;L1125),IF(H1125="AWAY",SUMIFS('Istoric_Nativ'!$G$6:$G$405,'Istoric_Nativ'!$B$6:$B$405,E1125,'Istoric_Nativ'!$C$6:$C$405,F1125,'Istoric_Nativ'!$F$6:$F$405,G1125,'Istoric_Nativ'!$D$6:$D$405,"&lt;"&amp;J1125,'Istoric_Nativ'!$P$6:$P$405,1,'Istoric_Nativ'!$D$6:$D$405,"&gt;="&amp;L1125),SUMIFS('Istoric_Nativ'!$H$6:$H$405,'Istoric_Nativ'!$B$6:$B$405,E1125,'Istoric_Nativ'!$C$6:$C$405,F1125,'Istoric_Nativ'!$E$6:$E$405,G1125,'Istoric_Nativ'!$D$6:$D$405,"&lt;"&amp;J1125,'Istoric_Nativ'!$P$6:$P$405,1,'Istoric_Nativ'!$D$6:$D$405,"&gt;="&amp;L1125)+SUMIFS('Istoric_Nativ'!$G$6:$G$405,'Istoric_Nativ'!$B$6:$B$405,E1125,'Istoric_Nativ'!$C$6:$C$405,F1125,'Istoric_Nativ'!$F$6:$F$405,G1125,'Istoric_Nativ'!$D$6:$D$405,"&lt;"&amp;J1125,'Istoric_Nativ'!$P$6:$P$405,1,'Istoric_Nativ'!$D$6:$D$405,"&gt;="&amp;L1125)))/M1125)</x:f>
      </x:c>
      <x:c r="P1125" s="2" t="n">
        <x:f>'Config_v6'!$B$7</x:f>
        <x:v>10</x:v>
      </x:c>
      <x:c r="Q1125" s="2" t="n">
        <x:f>IF(OR(B1125="",F1125=""),0,IFERROR(MATCH(E1125&amp;"|"&amp;F1125,SourceTable[Source_Key],0),0))</x:f>
        <x:v>0</x:v>
      </x:c>
      <x:c r="R1125" s="2" t="str">
        <x:f>IF(B1125="","",IF(F1125="","UNUSED",IF(Q1125=0,"NOT CHECKED",IF(COUNTIF(SourceTable[Source_Key],E1125&amp;"|"&amp;F1125)&lt;&gt;1,"SOURCE CONFLICT",IF(NOT(OR(INDEX(SourceTable[Status],MAX(1,Q1125))="IMPORTED",INDEX(SourceTable[Status],MAX(1,Q1125))="PARTIAL",INDEX(SourceTable[Status],MAX(1,Q1125))="SOURCE CONFLICT")),"ACCESS BLOCKED",IF(OR(INDEX(SourceTable[Coverage],Q1125)&lt;&gt;"FULL SEASON EXPORT",INDEX(SourceTable[URL],Q1125)="",INDEX(SourceTable[SHA256],Q1125)=""),"EVIDENCE INCOMPLETE",IF(AND('Input_Meci'!H99="LIVE",INDEX(SourceTable[Retrieved_UTC],Q1125)&gt;'Input_Meci'!G99),"POST CUTOFF","CLOSED")))))))</x:f>
      </x:c>
      <x:c r="S1125" s="2" t="n">
        <x:f>IF(OR(B1125="",F1125=""),0,COUNTIFS('Istoric_Nativ'!$B$6:$B$405,E1125,'Istoric_Nativ'!$C$6:$C$405,F1125,'Istoric_Nativ'!$E$6:$E$405,G1125,'Istoric_Nativ'!$D$6:$D$405,"&lt;"&amp;J1125,'Istoric_Nativ'!$O$6:$O$405,"INVALID")+COUNTIFS('Istoric_Nativ'!$B$6:$B$405,E1125,'Istoric_Nativ'!$C$6:$C$405,F1125,'Istoric_Nativ'!$E$6:$E$405,G1125,'Istoric_Nativ'!$O$6:$O$405,"INVALID",'Istoric_Nativ'!$D$6:$D$405,"*")+COUNTIFS('Istoric_Nativ'!$B$6:$B$405,E1125,'Istoric_Nativ'!$C$6:$C$405,F1125,'Istoric_Nativ'!$E$6:$E$405,G1125,'Istoric_Nativ'!$D$6:$D$405,"&lt;"&amp;J1125,'Istoric_Nativ'!$O$6:$O$405,"SOURCE CONFLICT")+COUNTIFS('Istoric_Nativ'!$B$6:$B$405,E1125,'Istoric_Nativ'!$C$6:$C$405,F1125,'Istoric_Nativ'!$F$6:$F$405,G1125,'Istoric_Nativ'!$D$6:$D$405,"&lt;"&amp;J1125,'Istoric_Nativ'!$O$6:$O$405,"INVALID")+COUNTIFS('Istoric_Nativ'!$B$6:$B$405,E1125,'Istoric_Nativ'!$C$6:$C$405,F1125,'Istoric_Nativ'!$F$6:$F$405,G1125,'Istoric_Nativ'!$O$6:$O$405,"INVALID",'Istoric_Nativ'!$D$6:$D$405,"*")+COUNTIFS('Istoric_Nativ'!$B$6:$B$405,E1125,'Istoric_Nativ'!$C$6:$C$405,F1125,'Istoric_Nativ'!$F$6:$F$405,G1125,'Istoric_Nativ'!$D$6:$D$405,"&lt;"&amp;J1125,'Istoric_Nativ'!$O$6:$O$405,"SOURCE CONFLICT"))</x:f>
        <x:v>0</x:v>
      </x:c>
      <x:c r="T1125" s="2" t="str">
        <x:f>IF(B1125="","",IF(R1125&lt;&gt;"CLOSED",R1125,IF(S1125&gt;0,"NATIVE INPUT ISSUE",IF(M1125=0,"NO HISTORY",IF(M1125&lt;P1125,"SMALL SAMPLE","DERIVED")))))</x:f>
      </x:c>
      <x:c r="U1125" s="2" t="str">
        <x:f>IF(B1125="","","NativeTable; "&amp;E1125&amp;"; "&amp;F1125&amp;"; "&amp;G1125&amp;"; "&amp;H1125&amp;"; before "&amp;TEXT(J1125,"yyyy-mm-dd")&amp;IF(I1125="RECENT","; from "&amp;TEXT(L1125,"yyyy-mm-dd"),""))</x:f>
      </x:c>
    </x:row>
    <x:row r="1126" ht="21" customHeight="1">
      <x:c r="A1126" s="2" t="n">
        <x:v>94</x:v>
      </x:c>
      <x:c r="B1126" s="2" t="str">
        <x:f>IF('Input_Meci'!A99="","",'Input_Meci'!A99)</x:f>
      </x:c>
      <x:c r="C1126" s="2" t="str">
        <x:v>A</x:v>
      </x:c>
      <x:c r="D1126" s="2" t="str">
        <x:v>CURRENT</x:v>
      </x:c>
      <x:c r="E1126" s="2" t="str">
        <x:f>IF(B1126="","",'Input_Meci'!B99)</x:f>
      </x:c>
      <x:c r="F1126" s="2" t="str">
        <x:f>IF(B1126="","",IF('Input_Meci'!C99="","",'Input_Meci'!C99))</x:f>
      </x:c>
      <x:c r="G1126" s="2" t="str">
        <x:f>IF(B1126="","",'Input_Meci'!E99)</x:f>
      </x:c>
      <x:c r="H1126" s="2" t="str">
        <x:v>AWAY</x:v>
      </x:c>
      <x:c r="I1126" s="2" t="str">
        <x:v>HA</x:v>
      </x:c>
      <x:c r="J1126" s="9" t="n">
        <x:f>IF(AND(B1126&lt;&gt;"",ISNUMBER('Input_Meci'!G99)),INT('Input_Meci'!G99),0)</x:f>
        <x:v>0</x:v>
      </x:c>
      <x:c r="K1126" s="2" t="n">
        <x:f>IF(OR(B1126="",F1126=""),0,IF(H1126="HOME",COUNTIFS('Istoric_Nativ'!$B$6:$B$405,E1126,'Istoric_Nativ'!$C$6:$C$405,F1126,'Istoric_Nativ'!$E$6:$E$405,G1126,'Istoric_Nativ'!$D$6:$D$405,"&lt;"&amp;J1126,'Istoric_Nativ'!$P$6:$P$405,1),IF(H1126="AWAY",COUNTIFS('Istoric_Nativ'!$B$6:$B$405,E1126,'Istoric_Nativ'!$C$6:$C$405,F1126,'Istoric_Nativ'!$F$6:$F$405,G1126,'Istoric_Nativ'!$D$6:$D$405,"&lt;"&amp;J1126,'Istoric_Nativ'!$P$6:$P$405,1),COUNTIFS('Istoric_Nativ'!$B$6:$B$405,E1126,'Istoric_Nativ'!$C$6:$C$405,F1126,'Istoric_Nativ'!$E$6:$E$405,G1126,'Istoric_Nativ'!$D$6:$D$405,"&lt;"&amp;J1126,'Istoric_Nativ'!$P$6:$P$405,1)+COUNTIFS('Istoric_Nativ'!$B$6:$B$405,E1126,'Istoric_Nativ'!$C$6:$C$405,F1126,'Istoric_Nativ'!$F$6:$F$405,G1126,'Istoric_Nativ'!$D$6:$D$405,"&lt;"&amp;J1126,'Istoric_Nativ'!$P$6:$P$405,1))))</x:f>
        <x:v>0</x:v>
      </x:c>
      <x:c r="L1126" s="17" t="n">
        <x:f>IF(AND(B1126&lt;&gt;"",I1126="RECENT",K1126&gt;0),LARGE(_xlfn._xlws.FILTER('Istoric_Nativ'!$D$6:$D$405,('Istoric_Nativ'!$B$6:$B$405=E1126)*('Istoric_Nativ'!$C$6:$C$405=F1126)*('Istoric_Nativ'!$P$6:$P$405=1)*('Istoric_Nativ'!$D$6:$D$405&lt;J1126)*((('Istoric_Nativ'!$E$6:$E$405=G1126)+('Istoric_Nativ'!$F$6:$F$405=G1126))&gt;0)),MIN('Config_v6'!$B$54,K1126)),0)</x:f>
        <x:v>0</x:v>
      </x:c>
      <x:c r="M1126" s="2" t="n">
        <x:f>IF(OR(B1126="",F1126=""),0,IF(H1126="HOME",COUNTIFS('Istoric_Nativ'!$B$6:$B$405,E1126,'Istoric_Nativ'!$C$6:$C$405,F1126,'Istoric_Nativ'!$E$6:$E$405,G1126,'Istoric_Nativ'!$D$6:$D$405,"&lt;"&amp;J1126,'Istoric_Nativ'!$P$6:$P$405,1,'Istoric_Nativ'!$D$6:$D$405,"&gt;="&amp;L1126),IF(H1126="AWAY",COUNTIFS('Istoric_Nativ'!$B$6:$B$405,E1126,'Istoric_Nativ'!$C$6:$C$405,F1126,'Istoric_Nativ'!$F$6:$F$405,G1126,'Istoric_Nativ'!$D$6:$D$405,"&lt;"&amp;J1126,'Istoric_Nativ'!$P$6:$P$405,1,'Istoric_Nativ'!$D$6:$D$405,"&gt;="&amp;L1126),COUNTIFS('Istoric_Nativ'!$B$6:$B$405,E1126,'Istoric_Nativ'!$C$6:$C$405,F1126,'Istoric_Nativ'!$E$6:$E$405,G1126,'Istoric_Nativ'!$D$6:$D$405,"&lt;"&amp;J1126,'Istoric_Nativ'!$P$6:$P$405,1,'Istoric_Nativ'!$D$6:$D$405,"&gt;="&amp;L1126)+COUNTIFS('Istoric_Nativ'!$B$6:$B$405,E1126,'Istoric_Nativ'!$C$6:$C$405,F1126,'Istoric_Nativ'!$F$6:$F$405,G1126,'Istoric_Nativ'!$D$6:$D$405,"&lt;"&amp;J1126,'Istoric_Nativ'!$P$6:$P$405,1,'Istoric_Nativ'!$D$6:$D$405,"&gt;="&amp;L1126))))</x:f>
        <x:v>0</x:v>
      </x:c>
      <x:c r="N1126" s="11" t="str">
        <x:f>IF(M1126=0,"",IF(H1126="HOME",SUMIFS('Istoric_Nativ'!$G$6:$G$405,'Istoric_Nativ'!$B$6:$B$405,E1126,'Istoric_Nativ'!$C$6:$C$405,F1126,'Istoric_Nativ'!$E$6:$E$405,G1126,'Istoric_Nativ'!$D$6:$D$405,"&lt;"&amp;J1126,'Istoric_Nativ'!$P$6:$P$405,1,'Istoric_Nativ'!$D$6:$D$405,"&gt;="&amp;L1126),IF(H1126="AWAY",SUMIFS('Istoric_Nativ'!$H$6:$H$405,'Istoric_Nativ'!$B$6:$B$405,E1126,'Istoric_Nativ'!$C$6:$C$405,F1126,'Istoric_Nativ'!$F$6:$F$405,G1126,'Istoric_Nativ'!$D$6:$D$405,"&lt;"&amp;J1126,'Istoric_Nativ'!$P$6:$P$405,1,'Istoric_Nativ'!$D$6:$D$405,"&gt;="&amp;L1126),SUMIFS('Istoric_Nativ'!$G$6:$G$405,'Istoric_Nativ'!$B$6:$B$405,E1126,'Istoric_Nativ'!$C$6:$C$405,F1126,'Istoric_Nativ'!$E$6:$E$405,G1126,'Istoric_Nativ'!$D$6:$D$405,"&lt;"&amp;J1126,'Istoric_Nativ'!$P$6:$P$405,1,'Istoric_Nativ'!$D$6:$D$405,"&gt;="&amp;L1126)+SUMIFS('Istoric_Nativ'!$H$6:$H$405,'Istoric_Nativ'!$B$6:$B$405,E1126,'Istoric_Nativ'!$C$6:$C$405,F1126,'Istoric_Nativ'!$F$6:$F$405,G1126,'Istoric_Nativ'!$D$6:$D$405,"&lt;"&amp;J1126,'Istoric_Nativ'!$P$6:$P$405,1,'Istoric_Nativ'!$D$6:$D$405,"&gt;="&amp;L1126)))/M1126)</x:f>
      </x:c>
      <x:c r="O1126" s="11" t="str">
        <x:f>IF(M1126=0,"",IF(H1126="HOME",SUMIFS('Istoric_Nativ'!$H$6:$H$405,'Istoric_Nativ'!$B$6:$B$405,E1126,'Istoric_Nativ'!$C$6:$C$405,F1126,'Istoric_Nativ'!$E$6:$E$405,G1126,'Istoric_Nativ'!$D$6:$D$405,"&lt;"&amp;J1126,'Istoric_Nativ'!$P$6:$P$405,1,'Istoric_Nativ'!$D$6:$D$405,"&gt;="&amp;L1126),IF(H1126="AWAY",SUMIFS('Istoric_Nativ'!$G$6:$G$405,'Istoric_Nativ'!$B$6:$B$405,E1126,'Istoric_Nativ'!$C$6:$C$405,F1126,'Istoric_Nativ'!$F$6:$F$405,G1126,'Istoric_Nativ'!$D$6:$D$405,"&lt;"&amp;J1126,'Istoric_Nativ'!$P$6:$P$405,1,'Istoric_Nativ'!$D$6:$D$405,"&gt;="&amp;L1126),SUMIFS('Istoric_Nativ'!$H$6:$H$405,'Istoric_Nativ'!$B$6:$B$405,E1126,'Istoric_Nativ'!$C$6:$C$405,F1126,'Istoric_Nativ'!$E$6:$E$405,G1126,'Istoric_Nativ'!$D$6:$D$405,"&lt;"&amp;J1126,'Istoric_Nativ'!$P$6:$P$405,1,'Istoric_Nativ'!$D$6:$D$405,"&gt;="&amp;L1126)+SUMIFS('Istoric_Nativ'!$G$6:$G$405,'Istoric_Nativ'!$B$6:$B$405,E1126,'Istoric_Nativ'!$C$6:$C$405,F1126,'Istoric_Nativ'!$F$6:$F$405,G1126,'Istoric_Nativ'!$D$6:$D$405,"&lt;"&amp;J1126,'Istoric_Nativ'!$P$6:$P$405,1,'Istoric_Nativ'!$D$6:$D$405,"&gt;="&amp;L1126)))/M1126)</x:f>
      </x:c>
      <x:c r="P1126" s="2" t="n">
        <x:f>'Config_v6'!$B$8</x:f>
        <x:v>5</x:v>
      </x:c>
      <x:c r="Q1126" s="2" t="n">
        <x:f>IF(OR(B1126="",F1126=""),0,IFERROR(MATCH(E1126&amp;"|"&amp;F1126,SourceTable[Source_Key],0),0))</x:f>
        <x:v>0</x:v>
      </x:c>
      <x:c r="R1126" s="2" t="str">
        <x:f>IF(B1126="","",IF(F1126="","UNUSED",IF(Q1126=0,"NOT CHECKED",IF(COUNTIF(SourceTable[Source_Key],E1126&amp;"|"&amp;F1126)&lt;&gt;1,"SOURCE CONFLICT",IF(NOT(OR(INDEX(SourceTable[Status],MAX(1,Q1126))="IMPORTED",INDEX(SourceTable[Status],MAX(1,Q1126))="PARTIAL",INDEX(SourceTable[Status],MAX(1,Q1126))="SOURCE CONFLICT")),"ACCESS BLOCKED",IF(OR(INDEX(SourceTable[Coverage],Q1126)&lt;&gt;"FULL SEASON EXPORT",INDEX(SourceTable[URL],Q1126)="",INDEX(SourceTable[SHA256],Q1126)=""),"EVIDENCE INCOMPLETE",IF(AND('Input_Meci'!H99="LIVE",INDEX(SourceTable[Retrieved_UTC],Q1126)&gt;'Input_Meci'!G99),"POST CUTOFF","CLOSED")))))))</x:f>
      </x:c>
      <x:c r="S1126" s="2" t="n">
        <x:f>IF(OR(B1126="",F1126=""),0,COUNTIFS('Istoric_Nativ'!$B$6:$B$405,E1126,'Istoric_Nativ'!$C$6:$C$405,F1126,'Istoric_Nativ'!$E$6:$E$405,G1126,'Istoric_Nativ'!$D$6:$D$405,"&lt;"&amp;J1126,'Istoric_Nativ'!$O$6:$O$405,"INVALID")+COUNTIFS('Istoric_Nativ'!$B$6:$B$405,E1126,'Istoric_Nativ'!$C$6:$C$405,F1126,'Istoric_Nativ'!$E$6:$E$405,G1126,'Istoric_Nativ'!$O$6:$O$405,"INVALID",'Istoric_Nativ'!$D$6:$D$405,"*")+COUNTIFS('Istoric_Nativ'!$B$6:$B$405,E1126,'Istoric_Nativ'!$C$6:$C$405,F1126,'Istoric_Nativ'!$E$6:$E$405,G1126,'Istoric_Nativ'!$D$6:$D$405,"&lt;"&amp;J1126,'Istoric_Nativ'!$O$6:$O$405,"SOURCE CONFLICT")+COUNTIFS('Istoric_Nativ'!$B$6:$B$405,E1126,'Istoric_Nativ'!$C$6:$C$405,F1126,'Istoric_Nativ'!$F$6:$F$405,G1126,'Istoric_Nativ'!$D$6:$D$405,"&lt;"&amp;J1126,'Istoric_Nativ'!$O$6:$O$405,"INVALID")+COUNTIFS('Istoric_Nativ'!$B$6:$B$405,E1126,'Istoric_Nativ'!$C$6:$C$405,F1126,'Istoric_Nativ'!$F$6:$F$405,G1126,'Istoric_Nativ'!$O$6:$O$405,"INVALID",'Istoric_Nativ'!$D$6:$D$405,"*")+COUNTIFS('Istoric_Nativ'!$B$6:$B$405,E1126,'Istoric_Nativ'!$C$6:$C$405,F1126,'Istoric_Nativ'!$F$6:$F$405,G1126,'Istoric_Nativ'!$D$6:$D$405,"&lt;"&amp;J1126,'Istoric_Nativ'!$O$6:$O$405,"SOURCE CONFLICT"))</x:f>
        <x:v>0</x:v>
      </x:c>
      <x:c r="T1126" s="2" t="str">
        <x:f>IF(B1126="","",IF(R1126&lt;&gt;"CLOSED",R1126,IF(S1126&gt;0,"NATIVE INPUT ISSUE",IF(M1126=0,"NO HISTORY",IF(M1126&lt;P1126,"SMALL SAMPLE","DERIVED")))))</x:f>
      </x:c>
      <x:c r="U1126" s="2" t="str">
        <x:f>IF(B1126="","","NativeTable; "&amp;E1126&amp;"; "&amp;F1126&amp;"; "&amp;G1126&amp;"; "&amp;H1126&amp;"; before "&amp;TEXT(J1126,"yyyy-mm-dd")&amp;IF(I1126="RECENT","; from "&amp;TEXT(L1126,"yyyy-mm-dd"),""))</x:f>
      </x:c>
    </x:row>
    <x:row r="1127" ht="21" customHeight="1">
      <x:c r="A1127" s="2" t="n">
        <x:v>94</x:v>
      </x:c>
      <x:c r="B1127" s="2" t="str">
        <x:f>IF('Input_Meci'!A99="","",'Input_Meci'!A99)</x:f>
      </x:c>
      <x:c r="C1127" s="2" t="str">
        <x:v>A</x:v>
      </x:c>
      <x:c r="D1127" s="2" t="str">
        <x:v>CURRENT</x:v>
      </x:c>
      <x:c r="E1127" s="2" t="str">
        <x:f>IF(B1127="","",'Input_Meci'!B99)</x:f>
      </x:c>
      <x:c r="F1127" s="2" t="str">
        <x:f>IF(B1127="","",IF('Input_Meci'!C99="","",'Input_Meci'!C99))</x:f>
      </x:c>
      <x:c r="G1127" s="2" t="str">
        <x:f>IF(B1127="","",'Input_Meci'!E99)</x:f>
      </x:c>
      <x:c r="H1127" s="2" t="str">
        <x:v>ANY</x:v>
      </x:c>
      <x:c r="I1127" s="2" t="str">
        <x:v>RECENT</x:v>
      </x:c>
      <x:c r="J1127" s="9" t="n">
        <x:f>IF(AND(B1127&lt;&gt;"",ISNUMBER('Input_Meci'!G99)),INT('Input_Meci'!G99),0)</x:f>
        <x:v>0</x:v>
      </x:c>
      <x:c r="K1127" s="2" t="n">
        <x:f>IF(OR(B1127="",F1127=""),0,IF(H1127="HOME",COUNTIFS('Istoric_Nativ'!$B$6:$B$405,E1127,'Istoric_Nativ'!$C$6:$C$405,F1127,'Istoric_Nativ'!$E$6:$E$405,G1127,'Istoric_Nativ'!$D$6:$D$405,"&lt;"&amp;J1127,'Istoric_Nativ'!$P$6:$P$405,1),IF(H1127="AWAY",COUNTIFS('Istoric_Nativ'!$B$6:$B$405,E1127,'Istoric_Nativ'!$C$6:$C$405,F1127,'Istoric_Nativ'!$F$6:$F$405,G1127,'Istoric_Nativ'!$D$6:$D$405,"&lt;"&amp;J1127,'Istoric_Nativ'!$P$6:$P$405,1),COUNTIFS('Istoric_Nativ'!$B$6:$B$405,E1127,'Istoric_Nativ'!$C$6:$C$405,F1127,'Istoric_Nativ'!$E$6:$E$405,G1127,'Istoric_Nativ'!$D$6:$D$405,"&lt;"&amp;J1127,'Istoric_Nativ'!$P$6:$P$405,1)+COUNTIFS('Istoric_Nativ'!$B$6:$B$405,E1127,'Istoric_Nativ'!$C$6:$C$405,F1127,'Istoric_Nativ'!$F$6:$F$405,G1127,'Istoric_Nativ'!$D$6:$D$405,"&lt;"&amp;J1127,'Istoric_Nativ'!$P$6:$P$405,1))))</x:f>
        <x:v>0</x:v>
      </x:c>
      <x:c r="L1127" s="17" t="n">
        <x:f>IF(AND(B1127&lt;&gt;"",I1127="RECENT",K1127&gt;0),LARGE(_xlfn._xlws.FILTER('Istoric_Nativ'!$D$6:$D$405,('Istoric_Nativ'!$B$6:$B$405=E1127)*('Istoric_Nativ'!$C$6:$C$405=F1127)*('Istoric_Nativ'!$P$6:$P$405=1)*('Istoric_Nativ'!$D$6:$D$405&lt;J1127)*((('Istoric_Nativ'!$E$6:$E$405=G1127)+('Istoric_Nativ'!$F$6:$F$405=G1127))&gt;0)),MIN('Config_v6'!$B$54,K1127)),0)</x:f>
        <x:v>0</x:v>
      </x:c>
      <x:c r="M1127" s="2" t="n">
        <x:f>IF(OR(B1127="",F1127=""),0,IF(H1127="HOME",COUNTIFS('Istoric_Nativ'!$B$6:$B$405,E1127,'Istoric_Nativ'!$C$6:$C$405,F1127,'Istoric_Nativ'!$E$6:$E$405,G1127,'Istoric_Nativ'!$D$6:$D$405,"&lt;"&amp;J1127,'Istoric_Nativ'!$P$6:$P$405,1,'Istoric_Nativ'!$D$6:$D$405,"&gt;="&amp;L1127),IF(H1127="AWAY",COUNTIFS('Istoric_Nativ'!$B$6:$B$405,E1127,'Istoric_Nativ'!$C$6:$C$405,F1127,'Istoric_Nativ'!$F$6:$F$405,G1127,'Istoric_Nativ'!$D$6:$D$405,"&lt;"&amp;J1127,'Istoric_Nativ'!$P$6:$P$405,1,'Istoric_Nativ'!$D$6:$D$405,"&gt;="&amp;L1127),COUNTIFS('Istoric_Nativ'!$B$6:$B$405,E1127,'Istoric_Nativ'!$C$6:$C$405,F1127,'Istoric_Nativ'!$E$6:$E$405,G1127,'Istoric_Nativ'!$D$6:$D$405,"&lt;"&amp;J1127,'Istoric_Nativ'!$P$6:$P$405,1,'Istoric_Nativ'!$D$6:$D$405,"&gt;="&amp;L1127)+COUNTIFS('Istoric_Nativ'!$B$6:$B$405,E1127,'Istoric_Nativ'!$C$6:$C$405,F1127,'Istoric_Nativ'!$F$6:$F$405,G1127,'Istoric_Nativ'!$D$6:$D$405,"&lt;"&amp;J1127,'Istoric_Nativ'!$P$6:$P$405,1,'Istoric_Nativ'!$D$6:$D$405,"&gt;="&amp;L1127))))</x:f>
        <x:v>0</x:v>
      </x:c>
      <x:c r="N1127" s="11" t="str">
        <x:f>IF(M1127=0,"",IF(H1127="HOME",SUMIFS('Istoric_Nativ'!$G$6:$G$405,'Istoric_Nativ'!$B$6:$B$405,E1127,'Istoric_Nativ'!$C$6:$C$405,F1127,'Istoric_Nativ'!$E$6:$E$405,G1127,'Istoric_Nativ'!$D$6:$D$405,"&lt;"&amp;J1127,'Istoric_Nativ'!$P$6:$P$405,1,'Istoric_Nativ'!$D$6:$D$405,"&gt;="&amp;L1127),IF(H1127="AWAY",SUMIFS('Istoric_Nativ'!$H$6:$H$405,'Istoric_Nativ'!$B$6:$B$405,E1127,'Istoric_Nativ'!$C$6:$C$405,F1127,'Istoric_Nativ'!$F$6:$F$405,G1127,'Istoric_Nativ'!$D$6:$D$405,"&lt;"&amp;J1127,'Istoric_Nativ'!$P$6:$P$405,1,'Istoric_Nativ'!$D$6:$D$405,"&gt;="&amp;L1127),SUMIFS('Istoric_Nativ'!$G$6:$G$405,'Istoric_Nativ'!$B$6:$B$405,E1127,'Istoric_Nativ'!$C$6:$C$405,F1127,'Istoric_Nativ'!$E$6:$E$405,G1127,'Istoric_Nativ'!$D$6:$D$405,"&lt;"&amp;J1127,'Istoric_Nativ'!$P$6:$P$405,1,'Istoric_Nativ'!$D$6:$D$405,"&gt;="&amp;L1127)+SUMIFS('Istoric_Nativ'!$H$6:$H$405,'Istoric_Nativ'!$B$6:$B$405,E1127,'Istoric_Nativ'!$C$6:$C$405,F1127,'Istoric_Nativ'!$F$6:$F$405,G1127,'Istoric_Nativ'!$D$6:$D$405,"&lt;"&amp;J1127,'Istoric_Nativ'!$P$6:$P$405,1,'Istoric_Nativ'!$D$6:$D$405,"&gt;="&amp;L1127)))/M1127)</x:f>
      </x:c>
      <x:c r="O1127" s="11" t="str">
        <x:f>IF(M1127=0,"",IF(H1127="HOME",SUMIFS('Istoric_Nativ'!$H$6:$H$405,'Istoric_Nativ'!$B$6:$B$405,E1127,'Istoric_Nativ'!$C$6:$C$405,F1127,'Istoric_Nativ'!$E$6:$E$405,G1127,'Istoric_Nativ'!$D$6:$D$405,"&lt;"&amp;J1127,'Istoric_Nativ'!$P$6:$P$405,1,'Istoric_Nativ'!$D$6:$D$405,"&gt;="&amp;L1127),IF(H1127="AWAY",SUMIFS('Istoric_Nativ'!$G$6:$G$405,'Istoric_Nativ'!$B$6:$B$405,E1127,'Istoric_Nativ'!$C$6:$C$405,F1127,'Istoric_Nativ'!$F$6:$F$405,G1127,'Istoric_Nativ'!$D$6:$D$405,"&lt;"&amp;J1127,'Istoric_Nativ'!$P$6:$P$405,1,'Istoric_Nativ'!$D$6:$D$405,"&gt;="&amp;L1127),SUMIFS('Istoric_Nativ'!$H$6:$H$405,'Istoric_Nativ'!$B$6:$B$405,E1127,'Istoric_Nativ'!$C$6:$C$405,F1127,'Istoric_Nativ'!$E$6:$E$405,G1127,'Istoric_Nativ'!$D$6:$D$405,"&lt;"&amp;J1127,'Istoric_Nativ'!$P$6:$P$405,1,'Istoric_Nativ'!$D$6:$D$405,"&gt;="&amp;L1127)+SUMIFS('Istoric_Nativ'!$G$6:$G$405,'Istoric_Nativ'!$B$6:$B$405,E1127,'Istoric_Nativ'!$C$6:$C$405,F1127,'Istoric_Nativ'!$F$6:$F$405,G1127,'Istoric_Nativ'!$D$6:$D$405,"&lt;"&amp;J1127,'Istoric_Nativ'!$P$6:$P$405,1,'Istoric_Nativ'!$D$6:$D$405,"&gt;="&amp;L1127)))/M1127)</x:f>
      </x:c>
      <x:c r="P1127" s="2" t="n">
        <x:f>'Config_v6'!$B$9</x:f>
        <x:v>3</x:v>
      </x:c>
      <x:c r="Q1127" s="2" t="n">
        <x:f>IF(OR(B1127="",F1127=""),0,IFERROR(MATCH(E1127&amp;"|"&amp;F1127,SourceTable[Source_Key],0),0))</x:f>
        <x:v>0</x:v>
      </x:c>
      <x:c r="R1127" s="2" t="str">
        <x:f>IF(B1127="","",IF(F1127="","UNUSED",IF(Q1127=0,"NOT CHECKED",IF(COUNTIF(SourceTable[Source_Key],E1127&amp;"|"&amp;F1127)&lt;&gt;1,"SOURCE CONFLICT",IF(NOT(OR(INDEX(SourceTable[Status],MAX(1,Q1127))="IMPORTED",INDEX(SourceTable[Status],MAX(1,Q1127))="PARTIAL",INDEX(SourceTable[Status],MAX(1,Q1127))="SOURCE CONFLICT")),"ACCESS BLOCKED",IF(OR(INDEX(SourceTable[Coverage],Q1127)&lt;&gt;"FULL SEASON EXPORT",INDEX(SourceTable[URL],Q1127)="",INDEX(SourceTable[SHA256],Q1127)=""),"EVIDENCE INCOMPLETE",IF(AND('Input_Meci'!H99="LIVE",INDEX(SourceTable[Retrieved_UTC],Q1127)&gt;'Input_Meci'!G99),"POST CUTOFF","CLOSED")))))))</x:f>
      </x:c>
      <x:c r="S1127" s="2" t="n">
        <x:f>IF(OR(B1127="",F1127=""),0,COUNTIFS('Istoric_Nativ'!$B$6:$B$405,E1127,'Istoric_Nativ'!$C$6:$C$405,F1127,'Istoric_Nativ'!$E$6:$E$405,G1127,'Istoric_Nativ'!$D$6:$D$405,"&lt;"&amp;J1127,'Istoric_Nativ'!$O$6:$O$405,"INVALID")+COUNTIFS('Istoric_Nativ'!$B$6:$B$405,E1127,'Istoric_Nativ'!$C$6:$C$405,F1127,'Istoric_Nativ'!$E$6:$E$405,G1127,'Istoric_Nativ'!$O$6:$O$405,"INVALID",'Istoric_Nativ'!$D$6:$D$405,"*")+COUNTIFS('Istoric_Nativ'!$B$6:$B$405,E1127,'Istoric_Nativ'!$C$6:$C$405,F1127,'Istoric_Nativ'!$E$6:$E$405,G1127,'Istoric_Nativ'!$D$6:$D$405,"&lt;"&amp;J1127,'Istoric_Nativ'!$O$6:$O$405,"SOURCE CONFLICT")+COUNTIFS('Istoric_Nativ'!$B$6:$B$405,E1127,'Istoric_Nativ'!$C$6:$C$405,F1127,'Istoric_Nativ'!$F$6:$F$405,G1127,'Istoric_Nativ'!$D$6:$D$405,"&lt;"&amp;J1127,'Istoric_Nativ'!$O$6:$O$405,"INVALID")+COUNTIFS('Istoric_Nativ'!$B$6:$B$405,E1127,'Istoric_Nativ'!$C$6:$C$405,F1127,'Istoric_Nativ'!$F$6:$F$405,G1127,'Istoric_Nativ'!$O$6:$O$405,"INVALID",'Istoric_Nativ'!$D$6:$D$405,"*")+COUNTIFS('Istoric_Nativ'!$B$6:$B$405,E1127,'Istoric_Nativ'!$C$6:$C$405,F1127,'Istoric_Nativ'!$F$6:$F$405,G1127,'Istoric_Nativ'!$D$6:$D$405,"&lt;"&amp;J1127,'Istoric_Nativ'!$O$6:$O$405,"SOURCE CONFLICT"))</x:f>
        <x:v>0</x:v>
      </x:c>
      <x:c r="T1127" s="2" t="str">
        <x:f>IF(B1127="","",IF(R1127&lt;&gt;"CLOSED",R1127,IF(S1127&gt;0,"NATIVE INPUT ISSUE",IF(M1127=0,"NO HISTORY",IF(M1127&lt;P1127,"SMALL SAMPLE","DERIVED")))))</x:f>
      </x:c>
      <x:c r="U1127" s="2" t="str">
        <x:f>IF(B1127="","","NativeTable; "&amp;E1127&amp;"; "&amp;F1127&amp;"; "&amp;G1127&amp;"; "&amp;H1127&amp;"; before "&amp;TEXT(J1127,"yyyy-mm-dd")&amp;IF(I1127="RECENT","; from "&amp;TEXT(L1127,"yyyy-mm-dd"),""))</x:f>
      </x:c>
    </x:row>
    <x:row r="1128" ht="21" customHeight="1">
      <x:c r="A1128" s="2" t="n">
        <x:v>94</x:v>
      </x:c>
      <x:c r="B1128" s="2" t="str">
        <x:f>IF('Input_Meci'!A99="","",'Input_Meci'!A99)</x:f>
      </x:c>
      <x:c r="C1128" s="2" t="str">
        <x:v>H</x:v>
      </x:c>
      <x:c r="D1128" s="2" t="str">
        <x:v>PRIOR</x:v>
      </x:c>
      <x:c r="E1128" s="2" t="str">
        <x:f>IF(B1128="","",'Input_Meci'!B99)</x:f>
      </x:c>
      <x:c r="F1128" s="2" t="str">
        <x:f>IF(B1128="","",IF('Input_Meci'!K99="","",'Input_Meci'!K99))</x:f>
      </x:c>
      <x:c r="G1128" s="2" t="str">
        <x:f>IF(B1128="","",'Input_Meci'!D99)</x:f>
      </x:c>
      <x:c r="H1128" s="2" t="str">
        <x:v>ANY</x:v>
      </x:c>
      <x:c r="I1128" s="2" t="str">
        <x:v>SEASON</x:v>
      </x:c>
      <x:c r="J1128" s="9" t="n">
        <x:f>IF(AND(B1128&lt;&gt;"",ISNUMBER('Input_Meci'!G99)),INT('Input_Meci'!G99),0)</x:f>
        <x:v>0</x:v>
      </x:c>
      <x:c r="K1128" s="2" t="n">
        <x:f>IF(OR(B1128="",F1128=""),0,IF(H1128="HOME",COUNTIFS('Istoric_Nativ'!$B$6:$B$405,E1128,'Istoric_Nativ'!$C$6:$C$405,F1128,'Istoric_Nativ'!$E$6:$E$405,G1128,'Istoric_Nativ'!$D$6:$D$405,"&lt;"&amp;J1128,'Istoric_Nativ'!$P$6:$P$405,1),IF(H1128="AWAY",COUNTIFS('Istoric_Nativ'!$B$6:$B$405,E1128,'Istoric_Nativ'!$C$6:$C$405,F1128,'Istoric_Nativ'!$F$6:$F$405,G1128,'Istoric_Nativ'!$D$6:$D$405,"&lt;"&amp;J1128,'Istoric_Nativ'!$P$6:$P$405,1),COUNTIFS('Istoric_Nativ'!$B$6:$B$405,E1128,'Istoric_Nativ'!$C$6:$C$405,F1128,'Istoric_Nativ'!$E$6:$E$405,G1128,'Istoric_Nativ'!$D$6:$D$405,"&lt;"&amp;J1128,'Istoric_Nativ'!$P$6:$P$405,1)+COUNTIFS('Istoric_Nativ'!$B$6:$B$405,E1128,'Istoric_Nativ'!$C$6:$C$405,F1128,'Istoric_Nativ'!$F$6:$F$405,G1128,'Istoric_Nativ'!$D$6:$D$405,"&lt;"&amp;J1128,'Istoric_Nativ'!$P$6:$P$405,1))))</x:f>
        <x:v>0</x:v>
      </x:c>
      <x:c r="L1128" s="17" t="n">
        <x:f>IF(AND(B1128&lt;&gt;"",I1128="RECENT",K1128&gt;0),LARGE(_xlfn._xlws.FILTER('Istoric_Nativ'!$D$6:$D$405,('Istoric_Nativ'!$B$6:$B$405=E1128)*('Istoric_Nativ'!$C$6:$C$405=F1128)*('Istoric_Nativ'!$P$6:$P$405=1)*('Istoric_Nativ'!$D$6:$D$405&lt;J1128)*((('Istoric_Nativ'!$E$6:$E$405=G1128)+('Istoric_Nativ'!$F$6:$F$405=G1128))&gt;0)),MIN('Config_v6'!$B$54,K1128)),0)</x:f>
        <x:v>0</x:v>
      </x:c>
      <x:c r="M1128" s="2" t="n">
        <x:f>IF(OR(B1128="",F1128=""),0,IF(H1128="HOME",COUNTIFS('Istoric_Nativ'!$B$6:$B$405,E1128,'Istoric_Nativ'!$C$6:$C$405,F1128,'Istoric_Nativ'!$E$6:$E$405,G1128,'Istoric_Nativ'!$D$6:$D$405,"&lt;"&amp;J1128,'Istoric_Nativ'!$P$6:$P$405,1,'Istoric_Nativ'!$D$6:$D$405,"&gt;="&amp;L1128),IF(H1128="AWAY",COUNTIFS('Istoric_Nativ'!$B$6:$B$405,E1128,'Istoric_Nativ'!$C$6:$C$405,F1128,'Istoric_Nativ'!$F$6:$F$405,G1128,'Istoric_Nativ'!$D$6:$D$405,"&lt;"&amp;J1128,'Istoric_Nativ'!$P$6:$P$405,1,'Istoric_Nativ'!$D$6:$D$405,"&gt;="&amp;L1128),COUNTIFS('Istoric_Nativ'!$B$6:$B$405,E1128,'Istoric_Nativ'!$C$6:$C$405,F1128,'Istoric_Nativ'!$E$6:$E$405,G1128,'Istoric_Nativ'!$D$6:$D$405,"&lt;"&amp;J1128,'Istoric_Nativ'!$P$6:$P$405,1,'Istoric_Nativ'!$D$6:$D$405,"&gt;="&amp;L1128)+COUNTIFS('Istoric_Nativ'!$B$6:$B$405,E1128,'Istoric_Nativ'!$C$6:$C$405,F1128,'Istoric_Nativ'!$F$6:$F$405,G1128,'Istoric_Nativ'!$D$6:$D$405,"&lt;"&amp;J1128,'Istoric_Nativ'!$P$6:$P$405,1,'Istoric_Nativ'!$D$6:$D$405,"&gt;="&amp;L1128))))</x:f>
        <x:v>0</x:v>
      </x:c>
      <x:c r="N1128" s="11" t="str">
        <x:f>IF(M1128=0,"",IF(H1128="HOME",SUMIFS('Istoric_Nativ'!$G$6:$G$405,'Istoric_Nativ'!$B$6:$B$405,E1128,'Istoric_Nativ'!$C$6:$C$405,F1128,'Istoric_Nativ'!$E$6:$E$405,G1128,'Istoric_Nativ'!$D$6:$D$405,"&lt;"&amp;J1128,'Istoric_Nativ'!$P$6:$P$405,1,'Istoric_Nativ'!$D$6:$D$405,"&gt;="&amp;L1128),IF(H1128="AWAY",SUMIFS('Istoric_Nativ'!$H$6:$H$405,'Istoric_Nativ'!$B$6:$B$405,E1128,'Istoric_Nativ'!$C$6:$C$405,F1128,'Istoric_Nativ'!$F$6:$F$405,G1128,'Istoric_Nativ'!$D$6:$D$405,"&lt;"&amp;J1128,'Istoric_Nativ'!$P$6:$P$405,1,'Istoric_Nativ'!$D$6:$D$405,"&gt;="&amp;L1128),SUMIFS('Istoric_Nativ'!$G$6:$G$405,'Istoric_Nativ'!$B$6:$B$405,E1128,'Istoric_Nativ'!$C$6:$C$405,F1128,'Istoric_Nativ'!$E$6:$E$405,G1128,'Istoric_Nativ'!$D$6:$D$405,"&lt;"&amp;J1128,'Istoric_Nativ'!$P$6:$P$405,1,'Istoric_Nativ'!$D$6:$D$405,"&gt;="&amp;L1128)+SUMIFS('Istoric_Nativ'!$H$6:$H$405,'Istoric_Nativ'!$B$6:$B$405,E1128,'Istoric_Nativ'!$C$6:$C$405,F1128,'Istoric_Nativ'!$F$6:$F$405,G1128,'Istoric_Nativ'!$D$6:$D$405,"&lt;"&amp;J1128,'Istoric_Nativ'!$P$6:$P$405,1,'Istoric_Nativ'!$D$6:$D$405,"&gt;="&amp;L1128)))/M1128)</x:f>
      </x:c>
      <x:c r="O1128" s="11" t="str">
        <x:f>IF(M1128=0,"",IF(H1128="HOME",SUMIFS('Istoric_Nativ'!$H$6:$H$405,'Istoric_Nativ'!$B$6:$B$405,E1128,'Istoric_Nativ'!$C$6:$C$405,F1128,'Istoric_Nativ'!$E$6:$E$405,G1128,'Istoric_Nativ'!$D$6:$D$405,"&lt;"&amp;J1128,'Istoric_Nativ'!$P$6:$P$405,1,'Istoric_Nativ'!$D$6:$D$405,"&gt;="&amp;L1128),IF(H1128="AWAY",SUMIFS('Istoric_Nativ'!$G$6:$G$405,'Istoric_Nativ'!$B$6:$B$405,E1128,'Istoric_Nativ'!$C$6:$C$405,F1128,'Istoric_Nativ'!$F$6:$F$405,G1128,'Istoric_Nativ'!$D$6:$D$405,"&lt;"&amp;J1128,'Istoric_Nativ'!$P$6:$P$405,1,'Istoric_Nativ'!$D$6:$D$405,"&gt;="&amp;L1128),SUMIFS('Istoric_Nativ'!$H$6:$H$405,'Istoric_Nativ'!$B$6:$B$405,E1128,'Istoric_Nativ'!$C$6:$C$405,F1128,'Istoric_Nativ'!$E$6:$E$405,G1128,'Istoric_Nativ'!$D$6:$D$405,"&lt;"&amp;J1128,'Istoric_Nativ'!$P$6:$P$405,1,'Istoric_Nativ'!$D$6:$D$405,"&gt;="&amp;L1128)+SUMIFS('Istoric_Nativ'!$G$6:$G$405,'Istoric_Nativ'!$B$6:$B$405,E1128,'Istoric_Nativ'!$C$6:$C$405,F1128,'Istoric_Nativ'!$F$6:$F$405,G1128,'Istoric_Nativ'!$D$6:$D$405,"&lt;"&amp;J1128,'Istoric_Nativ'!$P$6:$P$405,1,'Istoric_Nativ'!$D$6:$D$405,"&gt;="&amp;L1128)))/M1128)</x:f>
      </x:c>
      <x:c r="P1128" s="2" t="n">
        <x:f>'Config_v6'!$B$7</x:f>
        <x:v>10</x:v>
      </x:c>
      <x:c r="Q1128" s="2" t="n">
        <x:f>IF(OR(B1128="",F1128=""),0,IFERROR(MATCH(E1128&amp;"|"&amp;F1128,SourceTable[Source_Key],0),0))</x:f>
        <x:v>0</x:v>
      </x:c>
      <x:c r="R1128" s="2" t="str">
        <x:f>IF(B1128="","",IF(F1128="","UNUSED",IF(Q1128=0,"NOT CHECKED",IF(COUNTIF(SourceTable[Source_Key],E1128&amp;"|"&amp;F1128)&lt;&gt;1,"SOURCE CONFLICT",IF(NOT(OR(INDEX(SourceTable[Status],MAX(1,Q1128))="IMPORTED",INDEX(SourceTable[Status],MAX(1,Q1128))="PARTIAL",INDEX(SourceTable[Status],MAX(1,Q1128))="SOURCE CONFLICT")),"ACCESS BLOCKED",IF(OR(INDEX(SourceTable[Coverage],Q1128)&lt;&gt;"FULL SEASON EXPORT",INDEX(SourceTable[URL],Q1128)="",INDEX(SourceTable[SHA256],Q1128)=""),"EVIDENCE INCOMPLETE",IF(AND('Input_Meci'!H99="LIVE",INDEX(SourceTable[Retrieved_UTC],Q1128)&gt;'Input_Meci'!G99),"POST CUTOFF","CLOSED")))))))</x:f>
      </x:c>
      <x:c r="S1128" s="2" t="n">
        <x:f>IF(OR(B1128="",F1128=""),0,COUNTIFS('Istoric_Nativ'!$B$6:$B$405,E1128,'Istoric_Nativ'!$C$6:$C$405,F1128,'Istoric_Nativ'!$E$6:$E$405,G1128,'Istoric_Nativ'!$D$6:$D$405,"&lt;"&amp;J1128,'Istoric_Nativ'!$O$6:$O$405,"INVALID")+COUNTIFS('Istoric_Nativ'!$B$6:$B$405,E1128,'Istoric_Nativ'!$C$6:$C$405,F1128,'Istoric_Nativ'!$E$6:$E$405,G1128,'Istoric_Nativ'!$O$6:$O$405,"INVALID",'Istoric_Nativ'!$D$6:$D$405,"*")+COUNTIFS('Istoric_Nativ'!$B$6:$B$405,E1128,'Istoric_Nativ'!$C$6:$C$405,F1128,'Istoric_Nativ'!$E$6:$E$405,G1128,'Istoric_Nativ'!$D$6:$D$405,"&lt;"&amp;J1128,'Istoric_Nativ'!$O$6:$O$405,"SOURCE CONFLICT")+COUNTIFS('Istoric_Nativ'!$B$6:$B$405,E1128,'Istoric_Nativ'!$C$6:$C$405,F1128,'Istoric_Nativ'!$F$6:$F$405,G1128,'Istoric_Nativ'!$D$6:$D$405,"&lt;"&amp;J1128,'Istoric_Nativ'!$O$6:$O$405,"INVALID")+COUNTIFS('Istoric_Nativ'!$B$6:$B$405,E1128,'Istoric_Nativ'!$C$6:$C$405,F1128,'Istoric_Nativ'!$F$6:$F$405,G1128,'Istoric_Nativ'!$O$6:$O$405,"INVALID",'Istoric_Nativ'!$D$6:$D$405,"*")+COUNTIFS('Istoric_Nativ'!$B$6:$B$405,E1128,'Istoric_Nativ'!$C$6:$C$405,F1128,'Istoric_Nativ'!$F$6:$F$405,G1128,'Istoric_Nativ'!$D$6:$D$405,"&lt;"&amp;J1128,'Istoric_Nativ'!$O$6:$O$405,"SOURCE CONFLICT"))</x:f>
        <x:v>0</x:v>
      </x:c>
      <x:c r="T1128" s="2" t="str">
        <x:f>IF(B1128="","",IF(R1128&lt;&gt;"CLOSED",R1128,IF(S1128&gt;0,"NATIVE INPUT ISSUE",IF(M1128=0,"NO HISTORY",IF(M1128&lt;P1128,"SMALL SAMPLE","DERIVED")))))</x:f>
      </x:c>
      <x:c r="U1128" s="2" t="str">
        <x:f>IF(B1128="","","NativeTable; "&amp;E1128&amp;"; "&amp;F1128&amp;"; "&amp;G1128&amp;"; "&amp;H1128&amp;"; before "&amp;TEXT(J1128,"yyyy-mm-dd")&amp;IF(I1128="RECENT","; from "&amp;TEXT(L1128,"yyyy-mm-dd"),""))</x:f>
      </x:c>
    </x:row>
    <x:row r="1129" ht="21" customHeight="1">
      <x:c r="A1129" s="2" t="n">
        <x:v>94</x:v>
      </x:c>
      <x:c r="B1129" s="2" t="str">
        <x:f>IF('Input_Meci'!A99="","",'Input_Meci'!A99)</x:f>
      </x:c>
      <x:c r="C1129" s="2" t="str">
        <x:v>H</x:v>
      </x:c>
      <x:c r="D1129" s="2" t="str">
        <x:v>PRIOR</x:v>
      </x:c>
      <x:c r="E1129" s="2" t="str">
        <x:f>IF(B1129="","",'Input_Meci'!B99)</x:f>
      </x:c>
      <x:c r="F1129" s="2" t="str">
        <x:f>IF(B1129="","",IF('Input_Meci'!K99="","",'Input_Meci'!K99))</x:f>
      </x:c>
      <x:c r="G1129" s="2" t="str">
        <x:f>IF(B1129="","",'Input_Meci'!D99)</x:f>
      </x:c>
      <x:c r="H1129" s="2" t="str">
        <x:v>HOME</x:v>
      </x:c>
      <x:c r="I1129" s="2" t="str">
        <x:v>HA</x:v>
      </x:c>
      <x:c r="J1129" s="9" t="n">
        <x:f>IF(AND(B1129&lt;&gt;"",ISNUMBER('Input_Meci'!G99)),INT('Input_Meci'!G99),0)</x:f>
        <x:v>0</x:v>
      </x:c>
      <x:c r="K1129" s="2" t="n">
        <x:f>IF(OR(B1129="",F1129=""),0,IF(H1129="HOME",COUNTIFS('Istoric_Nativ'!$B$6:$B$405,E1129,'Istoric_Nativ'!$C$6:$C$405,F1129,'Istoric_Nativ'!$E$6:$E$405,G1129,'Istoric_Nativ'!$D$6:$D$405,"&lt;"&amp;J1129,'Istoric_Nativ'!$P$6:$P$405,1),IF(H1129="AWAY",COUNTIFS('Istoric_Nativ'!$B$6:$B$405,E1129,'Istoric_Nativ'!$C$6:$C$405,F1129,'Istoric_Nativ'!$F$6:$F$405,G1129,'Istoric_Nativ'!$D$6:$D$405,"&lt;"&amp;J1129,'Istoric_Nativ'!$P$6:$P$405,1),COUNTIFS('Istoric_Nativ'!$B$6:$B$405,E1129,'Istoric_Nativ'!$C$6:$C$405,F1129,'Istoric_Nativ'!$E$6:$E$405,G1129,'Istoric_Nativ'!$D$6:$D$405,"&lt;"&amp;J1129,'Istoric_Nativ'!$P$6:$P$405,1)+COUNTIFS('Istoric_Nativ'!$B$6:$B$405,E1129,'Istoric_Nativ'!$C$6:$C$405,F1129,'Istoric_Nativ'!$F$6:$F$405,G1129,'Istoric_Nativ'!$D$6:$D$405,"&lt;"&amp;J1129,'Istoric_Nativ'!$P$6:$P$405,1))))</x:f>
        <x:v>0</x:v>
      </x:c>
      <x:c r="L1129" s="17" t="n">
        <x:f>IF(AND(B1129&lt;&gt;"",I1129="RECENT",K1129&gt;0),LARGE(_xlfn._xlws.FILTER('Istoric_Nativ'!$D$6:$D$405,('Istoric_Nativ'!$B$6:$B$405=E1129)*('Istoric_Nativ'!$C$6:$C$405=F1129)*('Istoric_Nativ'!$P$6:$P$405=1)*('Istoric_Nativ'!$D$6:$D$405&lt;J1129)*((('Istoric_Nativ'!$E$6:$E$405=G1129)+('Istoric_Nativ'!$F$6:$F$405=G1129))&gt;0)),MIN('Config_v6'!$B$54,K1129)),0)</x:f>
        <x:v>0</x:v>
      </x:c>
      <x:c r="M1129" s="2" t="n">
        <x:f>IF(OR(B1129="",F1129=""),0,IF(H1129="HOME",COUNTIFS('Istoric_Nativ'!$B$6:$B$405,E1129,'Istoric_Nativ'!$C$6:$C$405,F1129,'Istoric_Nativ'!$E$6:$E$405,G1129,'Istoric_Nativ'!$D$6:$D$405,"&lt;"&amp;J1129,'Istoric_Nativ'!$P$6:$P$405,1,'Istoric_Nativ'!$D$6:$D$405,"&gt;="&amp;L1129),IF(H1129="AWAY",COUNTIFS('Istoric_Nativ'!$B$6:$B$405,E1129,'Istoric_Nativ'!$C$6:$C$405,F1129,'Istoric_Nativ'!$F$6:$F$405,G1129,'Istoric_Nativ'!$D$6:$D$405,"&lt;"&amp;J1129,'Istoric_Nativ'!$P$6:$P$405,1,'Istoric_Nativ'!$D$6:$D$405,"&gt;="&amp;L1129),COUNTIFS('Istoric_Nativ'!$B$6:$B$405,E1129,'Istoric_Nativ'!$C$6:$C$405,F1129,'Istoric_Nativ'!$E$6:$E$405,G1129,'Istoric_Nativ'!$D$6:$D$405,"&lt;"&amp;J1129,'Istoric_Nativ'!$P$6:$P$405,1,'Istoric_Nativ'!$D$6:$D$405,"&gt;="&amp;L1129)+COUNTIFS('Istoric_Nativ'!$B$6:$B$405,E1129,'Istoric_Nativ'!$C$6:$C$405,F1129,'Istoric_Nativ'!$F$6:$F$405,G1129,'Istoric_Nativ'!$D$6:$D$405,"&lt;"&amp;J1129,'Istoric_Nativ'!$P$6:$P$405,1,'Istoric_Nativ'!$D$6:$D$405,"&gt;="&amp;L1129))))</x:f>
        <x:v>0</x:v>
      </x:c>
      <x:c r="N1129" s="11" t="str">
        <x:f>IF(M1129=0,"",IF(H1129="HOME",SUMIFS('Istoric_Nativ'!$G$6:$G$405,'Istoric_Nativ'!$B$6:$B$405,E1129,'Istoric_Nativ'!$C$6:$C$405,F1129,'Istoric_Nativ'!$E$6:$E$405,G1129,'Istoric_Nativ'!$D$6:$D$405,"&lt;"&amp;J1129,'Istoric_Nativ'!$P$6:$P$405,1,'Istoric_Nativ'!$D$6:$D$405,"&gt;="&amp;L1129),IF(H1129="AWAY",SUMIFS('Istoric_Nativ'!$H$6:$H$405,'Istoric_Nativ'!$B$6:$B$405,E1129,'Istoric_Nativ'!$C$6:$C$405,F1129,'Istoric_Nativ'!$F$6:$F$405,G1129,'Istoric_Nativ'!$D$6:$D$405,"&lt;"&amp;J1129,'Istoric_Nativ'!$P$6:$P$405,1,'Istoric_Nativ'!$D$6:$D$405,"&gt;="&amp;L1129),SUMIFS('Istoric_Nativ'!$G$6:$G$405,'Istoric_Nativ'!$B$6:$B$405,E1129,'Istoric_Nativ'!$C$6:$C$405,F1129,'Istoric_Nativ'!$E$6:$E$405,G1129,'Istoric_Nativ'!$D$6:$D$405,"&lt;"&amp;J1129,'Istoric_Nativ'!$P$6:$P$405,1,'Istoric_Nativ'!$D$6:$D$405,"&gt;="&amp;L1129)+SUMIFS('Istoric_Nativ'!$H$6:$H$405,'Istoric_Nativ'!$B$6:$B$405,E1129,'Istoric_Nativ'!$C$6:$C$405,F1129,'Istoric_Nativ'!$F$6:$F$405,G1129,'Istoric_Nativ'!$D$6:$D$405,"&lt;"&amp;J1129,'Istoric_Nativ'!$P$6:$P$405,1,'Istoric_Nativ'!$D$6:$D$405,"&gt;="&amp;L1129)))/M1129)</x:f>
      </x:c>
      <x:c r="O1129" s="11" t="str">
        <x:f>IF(M1129=0,"",IF(H1129="HOME",SUMIFS('Istoric_Nativ'!$H$6:$H$405,'Istoric_Nativ'!$B$6:$B$405,E1129,'Istoric_Nativ'!$C$6:$C$405,F1129,'Istoric_Nativ'!$E$6:$E$405,G1129,'Istoric_Nativ'!$D$6:$D$405,"&lt;"&amp;J1129,'Istoric_Nativ'!$P$6:$P$405,1,'Istoric_Nativ'!$D$6:$D$405,"&gt;="&amp;L1129),IF(H1129="AWAY",SUMIFS('Istoric_Nativ'!$G$6:$G$405,'Istoric_Nativ'!$B$6:$B$405,E1129,'Istoric_Nativ'!$C$6:$C$405,F1129,'Istoric_Nativ'!$F$6:$F$405,G1129,'Istoric_Nativ'!$D$6:$D$405,"&lt;"&amp;J1129,'Istoric_Nativ'!$P$6:$P$405,1,'Istoric_Nativ'!$D$6:$D$405,"&gt;="&amp;L1129),SUMIFS('Istoric_Nativ'!$H$6:$H$405,'Istoric_Nativ'!$B$6:$B$405,E1129,'Istoric_Nativ'!$C$6:$C$405,F1129,'Istoric_Nativ'!$E$6:$E$405,G1129,'Istoric_Nativ'!$D$6:$D$405,"&lt;"&amp;J1129,'Istoric_Nativ'!$P$6:$P$405,1,'Istoric_Nativ'!$D$6:$D$405,"&gt;="&amp;L1129)+SUMIFS('Istoric_Nativ'!$G$6:$G$405,'Istoric_Nativ'!$B$6:$B$405,E1129,'Istoric_Nativ'!$C$6:$C$405,F1129,'Istoric_Nativ'!$F$6:$F$405,G1129,'Istoric_Nativ'!$D$6:$D$405,"&lt;"&amp;J1129,'Istoric_Nativ'!$P$6:$P$405,1,'Istoric_Nativ'!$D$6:$D$405,"&gt;="&amp;L1129)))/M1129)</x:f>
      </x:c>
      <x:c r="P1129" s="2" t="n">
        <x:f>'Config_v6'!$B$8</x:f>
        <x:v>5</x:v>
      </x:c>
      <x:c r="Q1129" s="2" t="n">
        <x:f>IF(OR(B1129="",F1129=""),0,IFERROR(MATCH(E1129&amp;"|"&amp;F1129,SourceTable[Source_Key],0),0))</x:f>
        <x:v>0</x:v>
      </x:c>
      <x:c r="R1129" s="2" t="str">
        <x:f>IF(B1129="","",IF(F1129="","UNUSED",IF(Q1129=0,"NOT CHECKED",IF(COUNTIF(SourceTable[Source_Key],E1129&amp;"|"&amp;F1129)&lt;&gt;1,"SOURCE CONFLICT",IF(NOT(OR(INDEX(SourceTable[Status],MAX(1,Q1129))="IMPORTED",INDEX(SourceTable[Status],MAX(1,Q1129))="PARTIAL",INDEX(SourceTable[Status],MAX(1,Q1129))="SOURCE CONFLICT")),"ACCESS BLOCKED",IF(OR(INDEX(SourceTable[Coverage],Q1129)&lt;&gt;"FULL SEASON EXPORT",INDEX(SourceTable[URL],Q1129)="",INDEX(SourceTable[SHA256],Q1129)=""),"EVIDENCE INCOMPLETE",IF(AND('Input_Meci'!H99="LIVE",INDEX(SourceTable[Retrieved_UTC],Q1129)&gt;'Input_Meci'!G99),"POST CUTOFF","CLOSED")))))))</x:f>
      </x:c>
      <x:c r="S1129" s="2" t="n">
        <x:f>IF(OR(B1129="",F1129=""),0,COUNTIFS('Istoric_Nativ'!$B$6:$B$405,E1129,'Istoric_Nativ'!$C$6:$C$405,F1129,'Istoric_Nativ'!$E$6:$E$405,G1129,'Istoric_Nativ'!$D$6:$D$405,"&lt;"&amp;J1129,'Istoric_Nativ'!$O$6:$O$405,"INVALID")+COUNTIFS('Istoric_Nativ'!$B$6:$B$405,E1129,'Istoric_Nativ'!$C$6:$C$405,F1129,'Istoric_Nativ'!$E$6:$E$405,G1129,'Istoric_Nativ'!$O$6:$O$405,"INVALID",'Istoric_Nativ'!$D$6:$D$405,"*")+COUNTIFS('Istoric_Nativ'!$B$6:$B$405,E1129,'Istoric_Nativ'!$C$6:$C$405,F1129,'Istoric_Nativ'!$E$6:$E$405,G1129,'Istoric_Nativ'!$D$6:$D$405,"&lt;"&amp;J1129,'Istoric_Nativ'!$O$6:$O$405,"SOURCE CONFLICT")+COUNTIFS('Istoric_Nativ'!$B$6:$B$405,E1129,'Istoric_Nativ'!$C$6:$C$405,F1129,'Istoric_Nativ'!$F$6:$F$405,G1129,'Istoric_Nativ'!$D$6:$D$405,"&lt;"&amp;J1129,'Istoric_Nativ'!$O$6:$O$405,"INVALID")+COUNTIFS('Istoric_Nativ'!$B$6:$B$405,E1129,'Istoric_Nativ'!$C$6:$C$405,F1129,'Istoric_Nativ'!$F$6:$F$405,G1129,'Istoric_Nativ'!$O$6:$O$405,"INVALID",'Istoric_Nativ'!$D$6:$D$405,"*")+COUNTIFS('Istoric_Nativ'!$B$6:$B$405,E1129,'Istoric_Nativ'!$C$6:$C$405,F1129,'Istoric_Nativ'!$F$6:$F$405,G1129,'Istoric_Nativ'!$D$6:$D$405,"&lt;"&amp;J1129,'Istoric_Nativ'!$O$6:$O$405,"SOURCE CONFLICT"))</x:f>
        <x:v>0</x:v>
      </x:c>
      <x:c r="T1129" s="2" t="str">
        <x:f>IF(B1129="","",IF(R1129&lt;&gt;"CLOSED",R1129,IF(S1129&gt;0,"NATIVE INPUT ISSUE",IF(M1129=0,"NO HISTORY",IF(M1129&lt;P1129,"SMALL SAMPLE","DERIVED")))))</x:f>
      </x:c>
      <x:c r="U1129" s="2" t="str">
        <x:f>IF(B1129="","","NativeTable; "&amp;E1129&amp;"; "&amp;F1129&amp;"; "&amp;G1129&amp;"; "&amp;H1129&amp;"; before "&amp;TEXT(J1129,"yyyy-mm-dd")&amp;IF(I1129="RECENT","; from "&amp;TEXT(L1129,"yyyy-mm-dd"),""))</x:f>
      </x:c>
    </x:row>
    <x:row r="1130" ht="21" customHeight="1">
      <x:c r="A1130" s="2" t="n">
        <x:v>94</x:v>
      </x:c>
      <x:c r="B1130" s="2" t="str">
        <x:f>IF('Input_Meci'!A99="","",'Input_Meci'!A99)</x:f>
      </x:c>
      <x:c r="C1130" s="2" t="str">
        <x:v>H</x:v>
      </x:c>
      <x:c r="D1130" s="2" t="str">
        <x:v>PRIOR</x:v>
      </x:c>
      <x:c r="E1130" s="2" t="str">
        <x:f>IF(B1130="","",'Input_Meci'!B99)</x:f>
      </x:c>
      <x:c r="F1130" s="2" t="str">
        <x:f>IF(B1130="","",IF('Input_Meci'!K99="","",'Input_Meci'!K99))</x:f>
      </x:c>
      <x:c r="G1130" s="2" t="str">
        <x:f>IF(B1130="","",'Input_Meci'!D99)</x:f>
      </x:c>
      <x:c r="H1130" s="2" t="str">
        <x:v>ANY</x:v>
      </x:c>
      <x:c r="I1130" s="2" t="str">
        <x:v>RECENT</x:v>
      </x:c>
      <x:c r="J1130" s="9" t="n">
        <x:f>IF(AND(B1130&lt;&gt;"",ISNUMBER('Input_Meci'!G99)),INT('Input_Meci'!G99),0)</x:f>
        <x:v>0</x:v>
      </x:c>
      <x:c r="K1130" s="2" t="n">
        <x:f>IF(OR(B1130="",F1130=""),0,IF(H1130="HOME",COUNTIFS('Istoric_Nativ'!$B$6:$B$405,E1130,'Istoric_Nativ'!$C$6:$C$405,F1130,'Istoric_Nativ'!$E$6:$E$405,G1130,'Istoric_Nativ'!$D$6:$D$405,"&lt;"&amp;J1130,'Istoric_Nativ'!$P$6:$P$405,1),IF(H1130="AWAY",COUNTIFS('Istoric_Nativ'!$B$6:$B$405,E1130,'Istoric_Nativ'!$C$6:$C$405,F1130,'Istoric_Nativ'!$F$6:$F$405,G1130,'Istoric_Nativ'!$D$6:$D$405,"&lt;"&amp;J1130,'Istoric_Nativ'!$P$6:$P$405,1),COUNTIFS('Istoric_Nativ'!$B$6:$B$405,E1130,'Istoric_Nativ'!$C$6:$C$405,F1130,'Istoric_Nativ'!$E$6:$E$405,G1130,'Istoric_Nativ'!$D$6:$D$405,"&lt;"&amp;J1130,'Istoric_Nativ'!$P$6:$P$405,1)+COUNTIFS('Istoric_Nativ'!$B$6:$B$405,E1130,'Istoric_Nativ'!$C$6:$C$405,F1130,'Istoric_Nativ'!$F$6:$F$405,G1130,'Istoric_Nativ'!$D$6:$D$405,"&lt;"&amp;J1130,'Istoric_Nativ'!$P$6:$P$405,1))))</x:f>
        <x:v>0</x:v>
      </x:c>
      <x:c r="L1130" s="17" t="n">
        <x:f>IF(AND(B1130&lt;&gt;"",I1130="RECENT",K1130&gt;0),LARGE(_xlfn._xlws.FILTER('Istoric_Nativ'!$D$6:$D$405,('Istoric_Nativ'!$B$6:$B$405=E1130)*('Istoric_Nativ'!$C$6:$C$405=F1130)*('Istoric_Nativ'!$P$6:$P$405=1)*('Istoric_Nativ'!$D$6:$D$405&lt;J1130)*((('Istoric_Nativ'!$E$6:$E$405=G1130)+('Istoric_Nativ'!$F$6:$F$405=G1130))&gt;0)),MIN('Config_v6'!$B$54,K1130)),0)</x:f>
        <x:v>0</x:v>
      </x:c>
      <x:c r="M1130" s="2" t="n">
        <x:f>IF(OR(B1130="",F1130=""),0,IF(H1130="HOME",COUNTIFS('Istoric_Nativ'!$B$6:$B$405,E1130,'Istoric_Nativ'!$C$6:$C$405,F1130,'Istoric_Nativ'!$E$6:$E$405,G1130,'Istoric_Nativ'!$D$6:$D$405,"&lt;"&amp;J1130,'Istoric_Nativ'!$P$6:$P$405,1,'Istoric_Nativ'!$D$6:$D$405,"&gt;="&amp;L1130),IF(H1130="AWAY",COUNTIFS('Istoric_Nativ'!$B$6:$B$405,E1130,'Istoric_Nativ'!$C$6:$C$405,F1130,'Istoric_Nativ'!$F$6:$F$405,G1130,'Istoric_Nativ'!$D$6:$D$405,"&lt;"&amp;J1130,'Istoric_Nativ'!$P$6:$P$405,1,'Istoric_Nativ'!$D$6:$D$405,"&gt;="&amp;L1130),COUNTIFS('Istoric_Nativ'!$B$6:$B$405,E1130,'Istoric_Nativ'!$C$6:$C$405,F1130,'Istoric_Nativ'!$E$6:$E$405,G1130,'Istoric_Nativ'!$D$6:$D$405,"&lt;"&amp;J1130,'Istoric_Nativ'!$P$6:$P$405,1,'Istoric_Nativ'!$D$6:$D$405,"&gt;="&amp;L1130)+COUNTIFS('Istoric_Nativ'!$B$6:$B$405,E1130,'Istoric_Nativ'!$C$6:$C$405,F1130,'Istoric_Nativ'!$F$6:$F$405,G1130,'Istoric_Nativ'!$D$6:$D$405,"&lt;"&amp;J1130,'Istoric_Nativ'!$P$6:$P$405,1,'Istoric_Nativ'!$D$6:$D$405,"&gt;="&amp;L1130))))</x:f>
        <x:v>0</x:v>
      </x:c>
      <x:c r="N1130" s="11" t="str">
        <x:f>IF(M1130=0,"",IF(H1130="HOME",SUMIFS('Istoric_Nativ'!$G$6:$G$405,'Istoric_Nativ'!$B$6:$B$405,E1130,'Istoric_Nativ'!$C$6:$C$405,F1130,'Istoric_Nativ'!$E$6:$E$405,G1130,'Istoric_Nativ'!$D$6:$D$405,"&lt;"&amp;J1130,'Istoric_Nativ'!$P$6:$P$405,1,'Istoric_Nativ'!$D$6:$D$405,"&gt;="&amp;L1130),IF(H1130="AWAY",SUMIFS('Istoric_Nativ'!$H$6:$H$405,'Istoric_Nativ'!$B$6:$B$405,E1130,'Istoric_Nativ'!$C$6:$C$405,F1130,'Istoric_Nativ'!$F$6:$F$405,G1130,'Istoric_Nativ'!$D$6:$D$405,"&lt;"&amp;J1130,'Istoric_Nativ'!$P$6:$P$405,1,'Istoric_Nativ'!$D$6:$D$405,"&gt;="&amp;L1130),SUMIFS('Istoric_Nativ'!$G$6:$G$405,'Istoric_Nativ'!$B$6:$B$405,E1130,'Istoric_Nativ'!$C$6:$C$405,F1130,'Istoric_Nativ'!$E$6:$E$405,G1130,'Istoric_Nativ'!$D$6:$D$405,"&lt;"&amp;J1130,'Istoric_Nativ'!$P$6:$P$405,1,'Istoric_Nativ'!$D$6:$D$405,"&gt;="&amp;L1130)+SUMIFS('Istoric_Nativ'!$H$6:$H$405,'Istoric_Nativ'!$B$6:$B$405,E1130,'Istoric_Nativ'!$C$6:$C$405,F1130,'Istoric_Nativ'!$F$6:$F$405,G1130,'Istoric_Nativ'!$D$6:$D$405,"&lt;"&amp;J1130,'Istoric_Nativ'!$P$6:$P$405,1,'Istoric_Nativ'!$D$6:$D$405,"&gt;="&amp;L1130)))/M1130)</x:f>
      </x:c>
      <x:c r="O1130" s="11" t="str">
        <x:f>IF(M1130=0,"",IF(H1130="HOME",SUMIFS('Istoric_Nativ'!$H$6:$H$405,'Istoric_Nativ'!$B$6:$B$405,E1130,'Istoric_Nativ'!$C$6:$C$405,F1130,'Istoric_Nativ'!$E$6:$E$405,G1130,'Istoric_Nativ'!$D$6:$D$405,"&lt;"&amp;J1130,'Istoric_Nativ'!$P$6:$P$405,1,'Istoric_Nativ'!$D$6:$D$405,"&gt;="&amp;L1130),IF(H1130="AWAY",SUMIFS('Istoric_Nativ'!$G$6:$G$405,'Istoric_Nativ'!$B$6:$B$405,E1130,'Istoric_Nativ'!$C$6:$C$405,F1130,'Istoric_Nativ'!$F$6:$F$405,G1130,'Istoric_Nativ'!$D$6:$D$405,"&lt;"&amp;J1130,'Istoric_Nativ'!$P$6:$P$405,1,'Istoric_Nativ'!$D$6:$D$405,"&gt;="&amp;L1130),SUMIFS('Istoric_Nativ'!$H$6:$H$405,'Istoric_Nativ'!$B$6:$B$405,E1130,'Istoric_Nativ'!$C$6:$C$405,F1130,'Istoric_Nativ'!$E$6:$E$405,G1130,'Istoric_Nativ'!$D$6:$D$405,"&lt;"&amp;J1130,'Istoric_Nativ'!$P$6:$P$405,1,'Istoric_Nativ'!$D$6:$D$405,"&gt;="&amp;L1130)+SUMIFS('Istoric_Nativ'!$G$6:$G$405,'Istoric_Nativ'!$B$6:$B$405,E1130,'Istoric_Nativ'!$C$6:$C$405,F1130,'Istoric_Nativ'!$F$6:$F$405,G1130,'Istoric_Nativ'!$D$6:$D$405,"&lt;"&amp;J1130,'Istoric_Nativ'!$P$6:$P$405,1,'Istoric_Nativ'!$D$6:$D$405,"&gt;="&amp;L1130)))/M1130)</x:f>
      </x:c>
      <x:c r="P1130" s="2" t="n">
        <x:f>'Config_v6'!$B$9</x:f>
        <x:v>3</x:v>
      </x:c>
      <x:c r="Q1130" s="2" t="n">
        <x:f>IF(OR(B1130="",F1130=""),0,IFERROR(MATCH(E1130&amp;"|"&amp;F1130,SourceTable[Source_Key],0),0))</x:f>
        <x:v>0</x:v>
      </x:c>
      <x:c r="R1130" s="2" t="str">
        <x:f>IF(B1130="","",IF(F1130="","UNUSED",IF(Q1130=0,"NOT CHECKED",IF(COUNTIF(SourceTable[Source_Key],E1130&amp;"|"&amp;F1130)&lt;&gt;1,"SOURCE CONFLICT",IF(NOT(OR(INDEX(SourceTable[Status],MAX(1,Q1130))="IMPORTED",INDEX(SourceTable[Status],MAX(1,Q1130))="PARTIAL",INDEX(SourceTable[Status],MAX(1,Q1130))="SOURCE CONFLICT")),"ACCESS BLOCKED",IF(OR(INDEX(SourceTable[Coverage],Q1130)&lt;&gt;"FULL SEASON EXPORT",INDEX(SourceTable[URL],Q1130)="",INDEX(SourceTable[SHA256],Q1130)=""),"EVIDENCE INCOMPLETE",IF(AND('Input_Meci'!H99="LIVE",INDEX(SourceTable[Retrieved_UTC],Q1130)&gt;'Input_Meci'!G99),"POST CUTOFF","CLOSED")))))))</x:f>
      </x:c>
      <x:c r="S1130" s="2" t="n">
        <x:f>IF(OR(B1130="",F1130=""),0,COUNTIFS('Istoric_Nativ'!$B$6:$B$405,E1130,'Istoric_Nativ'!$C$6:$C$405,F1130,'Istoric_Nativ'!$E$6:$E$405,G1130,'Istoric_Nativ'!$D$6:$D$405,"&lt;"&amp;J1130,'Istoric_Nativ'!$O$6:$O$405,"INVALID")+COUNTIFS('Istoric_Nativ'!$B$6:$B$405,E1130,'Istoric_Nativ'!$C$6:$C$405,F1130,'Istoric_Nativ'!$E$6:$E$405,G1130,'Istoric_Nativ'!$O$6:$O$405,"INVALID",'Istoric_Nativ'!$D$6:$D$405,"*")+COUNTIFS('Istoric_Nativ'!$B$6:$B$405,E1130,'Istoric_Nativ'!$C$6:$C$405,F1130,'Istoric_Nativ'!$E$6:$E$405,G1130,'Istoric_Nativ'!$D$6:$D$405,"&lt;"&amp;J1130,'Istoric_Nativ'!$O$6:$O$405,"SOURCE CONFLICT")+COUNTIFS('Istoric_Nativ'!$B$6:$B$405,E1130,'Istoric_Nativ'!$C$6:$C$405,F1130,'Istoric_Nativ'!$F$6:$F$405,G1130,'Istoric_Nativ'!$D$6:$D$405,"&lt;"&amp;J1130,'Istoric_Nativ'!$O$6:$O$405,"INVALID")+COUNTIFS('Istoric_Nativ'!$B$6:$B$405,E1130,'Istoric_Nativ'!$C$6:$C$405,F1130,'Istoric_Nativ'!$F$6:$F$405,G1130,'Istoric_Nativ'!$O$6:$O$405,"INVALID",'Istoric_Nativ'!$D$6:$D$405,"*")+COUNTIFS('Istoric_Nativ'!$B$6:$B$405,E1130,'Istoric_Nativ'!$C$6:$C$405,F1130,'Istoric_Nativ'!$F$6:$F$405,G1130,'Istoric_Nativ'!$D$6:$D$405,"&lt;"&amp;J1130,'Istoric_Nativ'!$O$6:$O$405,"SOURCE CONFLICT"))</x:f>
        <x:v>0</x:v>
      </x:c>
      <x:c r="T1130" s="2" t="str">
        <x:f>IF(B1130="","",IF(R1130&lt;&gt;"CLOSED",R1130,IF(S1130&gt;0,"NATIVE INPUT ISSUE",IF(M1130=0,"NO HISTORY",IF(M1130&lt;P1130,"SMALL SAMPLE","DERIVED")))))</x:f>
      </x:c>
      <x:c r="U1130" s="2" t="str">
        <x:f>IF(B1130="","","NativeTable; "&amp;E1130&amp;"; "&amp;F1130&amp;"; "&amp;G1130&amp;"; "&amp;H1130&amp;"; before "&amp;TEXT(J1130,"yyyy-mm-dd")&amp;IF(I1130="RECENT","; from "&amp;TEXT(L1130,"yyyy-mm-dd"),""))</x:f>
      </x:c>
    </x:row>
    <x:row r="1131" ht="21" customHeight="1">
      <x:c r="A1131" s="2" t="n">
        <x:v>94</x:v>
      </x:c>
      <x:c r="B1131" s="2" t="str">
        <x:f>IF('Input_Meci'!A99="","",'Input_Meci'!A99)</x:f>
      </x:c>
      <x:c r="C1131" s="2" t="str">
        <x:v>A</x:v>
      </x:c>
      <x:c r="D1131" s="2" t="str">
        <x:v>PRIOR</x:v>
      </x:c>
      <x:c r="E1131" s="2" t="str">
        <x:f>IF(B1131="","",'Input_Meci'!B99)</x:f>
      </x:c>
      <x:c r="F1131" s="2" t="str">
        <x:f>IF(B1131="","",IF('Input_Meci'!K99="","",'Input_Meci'!K99))</x:f>
      </x:c>
      <x:c r="G1131" s="2" t="str">
        <x:f>IF(B1131="","",'Input_Meci'!E99)</x:f>
      </x:c>
      <x:c r="H1131" s="2" t="str">
        <x:v>ANY</x:v>
      </x:c>
      <x:c r="I1131" s="2" t="str">
        <x:v>SEASON</x:v>
      </x:c>
      <x:c r="J1131" s="9" t="n">
        <x:f>IF(AND(B1131&lt;&gt;"",ISNUMBER('Input_Meci'!G99)),INT('Input_Meci'!G99),0)</x:f>
        <x:v>0</x:v>
      </x:c>
      <x:c r="K1131" s="2" t="n">
        <x:f>IF(OR(B1131="",F1131=""),0,IF(H1131="HOME",COUNTIFS('Istoric_Nativ'!$B$6:$B$405,E1131,'Istoric_Nativ'!$C$6:$C$405,F1131,'Istoric_Nativ'!$E$6:$E$405,G1131,'Istoric_Nativ'!$D$6:$D$405,"&lt;"&amp;J1131,'Istoric_Nativ'!$P$6:$P$405,1),IF(H1131="AWAY",COUNTIFS('Istoric_Nativ'!$B$6:$B$405,E1131,'Istoric_Nativ'!$C$6:$C$405,F1131,'Istoric_Nativ'!$F$6:$F$405,G1131,'Istoric_Nativ'!$D$6:$D$405,"&lt;"&amp;J1131,'Istoric_Nativ'!$P$6:$P$405,1),COUNTIFS('Istoric_Nativ'!$B$6:$B$405,E1131,'Istoric_Nativ'!$C$6:$C$405,F1131,'Istoric_Nativ'!$E$6:$E$405,G1131,'Istoric_Nativ'!$D$6:$D$405,"&lt;"&amp;J1131,'Istoric_Nativ'!$P$6:$P$405,1)+COUNTIFS('Istoric_Nativ'!$B$6:$B$405,E1131,'Istoric_Nativ'!$C$6:$C$405,F1131,'Istoric_Nativ'!$F$6:$F$405,G1131,'Istoric_Nativ'!$D$6:$D$405,"&lt;"&amp;J1131,'Istoric_Nativ'!$P$6:$P$405,1))))</x:f>
        <x:v>0</x:v>
      </x:c>
      <x:c r="L1131" s="17" t="n">
        <x:f>IF(AND(B1131&lt;&gt;"",I1131="RECENT",K1131&gt;0),LARGE(_xlfn._xlws.FILTER('Istoric_Nativ'!$D$6:$D$405,('Istoric_Nativ'!$B$6:$B$405=E1131)*('Istoric_Nativ'!$C$6:$C$405=F1131)*('Istoric_Nativ'!$P$6:$P$405=1)*('Istoric_Nativ'!$D$6:$D$405&lt;J1131)*((('Istoric_Nativ'!$E$6:$E$405=G1131)+('Istoric_Nativ'!$F$6:$F$405=G1131))&gt;0)),MIN('Config_v6'!$B$54,K1131)),0)</x:f>
        <x:v>0</x:v>
      </x:c>
      <x:c r="M1131" s="2" t="n">
        <x:f>IF(OR(B1131="",F1131=""),0,IF(H1131="HOME",COUNTIFS('Istoric_Nativ'!$B$6:$B$405,E1131,'Istoric_Nativ'!$C$6:$C$405,F1131,'Istoric_Nativ'!$E$6:$E$405,G1131,'Istoric_Nativ'!$D$6:$D$405,"&lt;"&amp;J1131,'Istoric_Nativ'!$P$6:$P$405,1,'Istoric_Nativ'!$D$6:$D$405,"&gt;="&amp;L1131),IF(H1131="AWAY",COUNTIFS('Istoric_Nativ'!$B$6:$B$405,E1131,'Istoric_Nativ'!$C$6:$C$405,F1131,'Istoric_Nativ'!$F$6:$F$405,G1131,'Istoric_Nativ'!$D$6:$D$405,"&lt;"&amp;J1131,'Istoric_Nativ'!$P$6:$P$405,1,'Istoric_Nativ'!$D$6:$D$405,"&gt;="&amp;L1131),COUNTIFS('Istoric_Nativ'!$B$6:$B$405,E1131,'Istoric_Nativ'!$C$6:$C$405,F1131,'Istoric_Nativ'!$E$6:$E$405,G1131,'Istoric_Nativ'!$D$6:$D$405,"&lt;"&amp;J1131,'Istoric_Nativ'!$P$6:$P$405,1,'Istoric_Nativ'!$D$6:$D$405,"&gt;="&amp;L1131)+COUNTIFS('Istoric_Nativ'!$B$6:$B$405,E1131,'Istoric_Nativ'!$C$6:$C$405,F1131,'Istoric_Nativ'!$F$6:$F$405,G1131,'Istoric_Nativ'!$D$6:$D$405,"&lt;"&amp;J1131,'Istoric_Nativ'!$P$6:$P$405,1,'Istoric_Nativ'!$D$6:$D$405,"&gt;="&amp;L1131))))</x:f>
        <x:v>0</x:v>
      </x:c>
      <x:c r="N1131" s="11" t="str">
        <x:f>IF(M1131=0,"",IF(H1131="HOME",SUMIFS('Istoric_Nativ'!$G$6:$G$405,'Istoric_Nativ'!$B$6:$B$405,E1131,'Istoric_Nativ'!$C$6:$C$405,F1131,'Istoric_Nativ'!$E$6:$E$405,G1131,'Istoric_Nativ'!$D$6:$D$405,"&lt;"&amp;J1131,'Istoric_Nativ'!$P$6:$P$405,1,'Istoric_Nativ'!$D$6:$D$405,"&gt;="&amp;L1131),IF(H1131="AWAY",SUMIFS('Istoric_Nativ'!$H$6:$H$405,'Istoric_Nativ'!$B$6:$B$405,E1131,'Istoric_Nativ'!$C$6:$C$405,F1131,'Istoric_Nativ'!$F$6:$F$405,G1131,'Istoric_Nativ'!$D$6:$D$405,"&lt;"&amp;J1131,'Istoric_Nativ'!$P$6:$P$405,1,'Istoric_Nativ'!$D$6:$D$405,"&gt;="&amp;L1131),SUMIFS('Istoric_Nativ'!$G$6:$G$405,'Istoric_Nativ'!$B$6:$B$405,E1131,'Istoric_Nativ'!$C$6:$C$405,F1131,'Istoric_Nativ'!$E$6:$E$405,G1131,'Istoric_Nativ'!$D$6:$D$405,"&lt;"&amp;J1131,'Istoric_Nativ'!$P$6:$P$405,1,'Istoric_Nativ'!$D$6:$D$405,"&gt;="&amp;L1131)+SUMIFS('Istoric_Nativ'!$H$6:$H$405,'Istoric_Nativ'!$B$6:$B$405,E1131,'Istoric_Nativ'!$C$6:$C$405,F1131,'Istoric_Nativ'!$F$6:$F$405,G1131,'Istoric_Nativ'!$D$6:$D$405,"&lt;"&amp;J1131,'Istoric_Nativ'!$P$6:$P$405,1,'Istoric_Nativ'!$D$6:$D$405,"&gt;="&amp;L1131)))/M1131)</x:f>
      </x:c>
      <x:c r="O1131" s="11" t="str">
        <x:f>IF(M1131=0,"",IF(H1131="HOME",SUMIFS('Istoric_Nativ'!$H$6:$H$405,'Istoric_Nativ'!$B$6:$B$405,E1131,'Istoric_Nativ'!$C$6:$C$405,F1131,'Istoric_Nativ'!$E$6:$E$405,G1131,'Istoric_Nativ'!$D$6:$D$405,"&lt;"&amp;J1131,'Istoric_Nativ'!$P$6:$P$405,1,'Istoric_Nativ'!$D$6:$D$405,"&gt;="&amp;L1131),IF(H1131="AWAY",SUMIFS('Istoric_Nativ'!$G$6:$G$405,'Istoric_Nativ'!$B$6:$B$405,E1131,'Istoric_Nativ'!$C$6:$C$405,F1131,'Istoric_Nativ'!$F$6:$F$405,G1131,'Istoric_Nativ'!$D$6:$D$405,"&lt;"&amp;J1131,'Istoric_Nativ'!$P$6:$P$405,1,'Istoric_Nativ'!$D$6:$D$405,"&gt;="&amp;L1131),SUMIFS('Istoric_Nativ'!$H$6:$H$405,'Istoric_Nativ'!$B$6:$B$405,E1131,'Istoric_Nativ'!$C$6:$C$405,F1131,'Istoric_Nativ'!$E$6:$E$405,G1131,'Istoric_Nativ'!$D$6:$D$405,"&lt;"&amp;J1131,'Istoric_Nativ'!$P$6:$P$405,1,'Istoric_Nativ'!$D$6:$D$405,"&gt;="&amp;L1131)+SUMIFS('Istoric_Nativ'!$G$6:$G$405,'Istoric_Nativ'!$B$6:$B$405,E1131,'Istoric_Nativ'!$C$6:$C$405,F1131,'Istoric_Nativ'!$F$6:$F$405,G1131,'Istoric_Nativ'!$D$6:$D$405,"&lt;"&amp;J1131,'Istoric_Nativ'!$P$6:$P$405,1,'Istoric_Nativ'!$D$6:$D$405,"&gt;="&amp;L1131)))/M1131)</x:f>
      </x:c>
      <x:c r="P1131" s="2" t="n">
        <x:f>'Config_v6'!$B$7</x:f>
        <x:v>10</x:v>
      </x:c>
      <x:c r="Q1131" s="2" t="n">
        <x:f>IF(OR(B1131="",F1131=""),0,IFERROR(MATCH(E1131&amp;"|"&amp;F1131,SourceTable[Source_Key],0),0))</x:f>
        <x:v>0</x:v>
      </x:c>
      <x:c r="R1131" s="2" t="str">
        <x:f>IF(B1131="","",IF(F1131="","UNUSED",IF(Q1131=0,"NOT CHECKED",IF(COUNTIF(SourceTable[Source_Key],E1131&amp;"|"&amp;F1131)&lt;&gt;1,"SOURCE CONFLICT",IF(NOT(OR(INDEX(SourceTable[Status],MAX(1,Q1131))="IMPORTED",INDEX(SourceTable[Status],MAX(1,Q1131))="PARTIAL",INDEX(SourceTable[Status],MAX(1,Q1131))="SOURCE CONFLICT")),"ACCESS BLOCKED",IF(OR(INDEX(SourceTable[Coverage],Q1131)&lt;&gt;"FULL SEASON EXPORT",INDEX(SourceTable[URL],Q1131)="",INDEX(SourceTable[SHA256],Q1131)=""),"EVIDENCE INCOMPLETE",IF(AND('Input_Meci'!H99="LIVE",INDEX(SourceTable[Retrieved_UTC],Q1131)&gt;'Input_Meci'!G99),"POST CUTOFF","CLOSED")))))))</x:f>
      </x:c>
      <x:c r="S1131" s="2" t="n">
        <x:f>IF(OR(B1131="",F1131=""),0,COUNTIFS('Istoric_Nativ'!$B$6:$B$405,E1131,'Istoric_Nativ'!$C$6:$C$405,F1131,'Istoric_Nativ'!$E$6:$E$405,G1131,'Istoric_Nativ'!$D$6:$D$405,"&lt;"&amp;J1131,'Istoric_Nativ'!$O$6:$O$405,"INVALID")+COUNTIFS('Istoric_Nativ'!$B$6:$B$405,E1131,'Istoric_Nativ'!$C$6:$C$405,F1131,'Istoric_Nativ'!$E$6:$E$405,G1131,'Istoric_Nativ'!$O$6:$O$405,"INVALID",'Istoric_Nativ'!$D$6:$D$405,"*")+COUNTIFS('Istoric_Nativ'!$B$6:$B$405,E1131,'Istoric_Nativ'!$C$6:$C$405,F1131,'Istoric_Nativ'!$E$6:$E$405,G1131,'Istoric_Nativ'!$D$6:$D$405,"&lt;"&amp;J1131,'Istoric_Nativ'!$O$6:$O$405,"SOURCE CONFLICT")+COUNTIFS('Istoric_Nativ'!$B$6:$B$405,E1131,'Istoric_Nativ'!$C$6:$C$405,F1131,'Istoric_Nativ'!$F$6:$F$405,G1131,'Istoric_Nativ'!$D$6:$D$405,"&lt;"&amp;J1131,'Istoric_Nativ'!$O$6:$O$405,"INVALID")+COUNTIFS('Istoric_Nativ'!$B$6:$B$405,E1131,'Istoric_Nativ'!$C$6:$C$405,F1131,'Istoric_Nativ'!$F$6:$F$405,G1131,'Istoric_Nativ'!$O$6:$O$405,"INVALID",'Istoric_Nativ'!$D$6:$D$405,"*")+COUNTIFS('Istoric_Nativ'!$B$6:$B$405,E1131,'Istoric_Nativ'!$C$6:$C$405,F1131,'Istoric_Nativ'!$F$6:$F$405,G1131,'Istoric_Nativ'!$D$6:$D$405,"&lt;"&amp;J1131,'Istoric_Nativ'!$O$6:$O$405,"SOURCE CONFLICT"))</x:f>
        <x:v>0</x:v>
      </x:c>
      <x:c r="T1131" s="2" t="str">
        <x:f>IF(B1131="","",IF(R1131&lt;&gt;"CLOSED",R1131,IF(S1131&gt;0,"NATIVE INPUT ISSUE",IF(M1131=0,"NO HISTORY",IF(M1131&lt;P1131,"SMALL SAMPLE","DERIVED")))))</x:f>
      </x:c>
      <x:c r="U1131" s="2" t="str">
        <x:f>IF(B1131="","","NativeTable; "&amp;E1131&amp;"; "&amp;F1131&amp;"; "&amp;G1131&amp;"; "&amp;H1131&amp;"; before "&amp;TEXT(J1131,"yyyy-mm-dd")&amp;IF(I1131="RECENT","; from "&amp;TEXT(L1131,"yyyy-mm-dd"),""))</x:f>
      </x:c>
    </x:row>
    <x:row r="1132" ht="21" customHeight="1">
      <x:c r="A1132" s="2" t="n">
        <x:v>94</x:v>
      </x:c>
      <x:c r="B1132" s="2" t="str">
        <x:f>IF('Input_Meci'!A99="","",'Input_Meci'!A99)</x:f>
      </x:c>
      <x:c r="C1132" s="2" t="str">
        <x:v>A</x:v>
      </x:c>
      <x:c r="D1132" s="2" t="str">
        <x:v>PRIOR</x:v>
      </x:c>
      <x:c r="E1132" s="2" t="str">
        <x:f>IF(B1132="","",'Input_Meci'!B99)</x:f>
      </x:c>
      <x:c r="F1132" s="2" t="str">
        <x:f>IF(B1132="","",IF('Input_Meci'!K99="","",'Input_Meci'!K99))</x:f>
      </x:c>
      <x:c r="G1132" s="2" t="str">
        <x:f>IF(B1132="","",'Input_Meci'!E99)</x:f>
      </x:c>
      <x:c r="H1132" s="2" t="str">
        <x:v>AWAY</x:v>
      </x:c>
      <x:c r="I1132" s="2" t="str">
        <x:v>HA</x:v>
      </x:c>
      <x:c r="J1132" s="9" t="n">
        <x:f>IF(AND(B1132&lt;&gt;"",ISNUMBER('Input_Meci'!G99)),INT('Input_Meci'!G99),0)</x:f>
        <x:v>0</x:v>
      </x:c>
      <x:c r="K1132" s="2" t="n">
        <x:f>IF(OR(B1132="",F1132=""),0,IF(H1132="HOME",COUNTIFS('Istoric_Nativ'!$B$6:$B$405,E1132,'Istoric_Nativ'!$C$6:$C$405,F1132,'Istoric_Nativ'!$E$6:$E$405,G1132,'Istoric_Nativ'!$D$6:$D$405,"&lt;"&amp;J1132,'Istoric_Nativ'!$P$6:$P$405,1),IF(H1132="AWAY",COUNTIFS('Istoric_Nativ'!$B$6:$B$405,E1132,'Istoric_Nativ'!$C$6:$C$405,F1132,'Istoric_Nativ'!$F$6:$F$405,G1132,'Istoric_Nativ'!$D$6:$D$405,"&lt;"&amp;J1132,'Istoric_Nativ'!$P$6:$P$405,1),COUNTIFS('Istoric_Nativ'!$B$6:$B$405,E1132,'Istoric_Nativ'!$C$6:$C$405,F1132,'Istoric_Nativ'!$E$6:$E$405,G1132,'Istoric_Nativ'!$D$6:$D$405,"&lt;"&amp;J1132,'Istoric_Nativ'!$P$6:$P$405,1)+COUNTIFS('Istoric_Nativ'!$B$6:$B$405,E1132,'Istoric_Nativ'!$C$6:$C$405,F1132,'Istoric_Nativ'!$F$6:$F$405,G1132,'Istoric_Nativ'!$D$6:$D$405,"&lt;"&amp;J1132,'Istoric_Nativ'!$P$6:$P$405,1))))</x:f>
        <x:v>0</x:v>
      </x:c>
      <x:c r="L1132" s="17" t="n">
        <x:f>IF(AND(B1132&lt;&gt;"",I1132="RECENT",K1132&gt;0),LARGE(_xlfn._xlws.FILTER('Istoric_Nativ'!$D$6:$D$405,('Istoric_Nativ'!$B$6:$B$405=E1132)*('Istoric_Nativ'!$C$6:$C$405=F1132)*('Istoric_Nativ'!$P$6:$P$405=1)*('Istoric_Nativ'!$D$6:$D$405&lt;J1132)*((('Istoric_Nativ'!$E$6:$E$405=G1132)+('Istoric_Nativ'!$F$6:$F$405=G1132))&gt;0)),MIN('Config_v6'!$B$54,K1132)),0)</x:f>
        <x:v>0</x:v>
      </x:c>
      <x:c r="M1132" s="2" t="n">
        <x:f>IF(OR(B1132="",F1132=""),0,IF(H1132="HOME",COUNTIFS('Istoric_Nativ'!$B$6:$B$405,E1132,'Istoric_Nativ'!$C$6:$C$405,F1132,'Istoric_Nativ'!$E$6:$E$405,G1132,'Istoric_Nativ'!$D$6:$D$405,"&lt;"&amp;J1132,'Istoric_Nativ'!$P$6:$P$405,1,'Istoric_Nativ'!$D$6:$D$405,"&gt;="&amp;L1132),IF(H1132="AWAY",COUNTIFS('Istoric_Nativ'!$B$6:$B$405,E1132,'Istoric_Nativ'!$C$6:$C$405,F1132,'Istoric_Nativ'!$F$6:$F$405,G1132,'Istoric_Nativ'!$D$6:$D$405,"&lt;"&amp;J1132,'Istoric_Nativ'!$P$6:$P$405,1,'Istoric_Nativ'!$D$6:$D$405,"&gt;="&amp;L1132),COUNTIFS('Istoric_Nativ'!$B$6:$B$405,E1132,'Istoric_Nativ'!$C$6:$C$405,F1132,'Istoric_Nativ'!$E$6:$E$405,G1132,'Istoric_Nativ'!$D$6:$D$405,"&lt;"&amp;J1132,'Istoric_Nativ'!$P$6:$P$405,1,'Istoric_Nativ'!$D$6:$D$405,"&gt;="&amp;L1132)+COUNTIFS('Istoric_Nativ'!$B$6:$B$405,E1132,'Istoric_Nativ'!$C$6:$C$405,F1132,'Istoric_Nativ'!$F$6:$F$405,G1132,'Istoric_Nativ'!$D$6:$D$405,"&lt;"&amp;J1132,'Istoric_Nativ'!$P$6:$P$405,1,'Istoric_Nativ'!$D$6:$D$405,"&gt;="&amp;L1132))))</x:f>
        <x:v>0</x:v>
      </x:c>
      <x:c r="N1132" s="11" t="str">
        <x:f>IF(M1132=0,"",IF(H1132="HOME",SUMIFS('Istoric_Nativ'!$G$6:$G$405,'Istoric_Nativ'!$B$6:$B$405,E1132,'Istoric_Nativ'!$C$6:$C$405,F1132,'Istoric_Nativ'!$E$6:$E$405,G1132,'Istoric_Nativ'!$D$6:$D$405,"&lt;"&amp;J1132,'Istoric_Nativ'!$P$6:$P$405,1,'Istoric_Nativ'!$D$6:$D$405,"&gt;="&amp;L1132),IF(H1132="AWAY",SUMIFS('Istoric_Nativ'!$H$6:$H$405,'Istoric_Nativ'!$B$6:$B$405,E1132,'Istoric_Nativ'!$C$6:$C$405,F1132,'Istoric_Nativ'!$F$6:$F$405,G1132,'Istoric_Nativ'!$D$6:$D$405,"&lt;"&amp;J1132,'Istoric_Nativ'!$P$6:$P$405,1,'Istoric_Nativ'!$D$6:$D$405,"&gt;="&amp;L1132),SUMIFS('Istoric_Nativ'!$G$6:$G$405,'Istoric_Nativ'!$B$6:$B$405,E1132,'Istoric_Nativ'!$C$6:$C$405,F1132,'Istoric_Nativ'!$E$6:$E$405,G1132,'Istoric_Nativ'!$D$6:$D$405,"&lt;"&amp;J1132,'Istoric_Nativ'!$P$6:$P$405,1,'Istoric_Nativ'!$D$6:$D$405,"&gt;="&amp;L1132)+SUMIFS('Istoric_Nativ'!$H$6:$H$405,'Istoric_Nativ'!$B$6:$B$405,E1132,'Istoric_Nativ'!$C$6:$C$405,F1132,'Istoric_Nativ'!$F$6:$F$405,G1132,'Istoric_Nativ'!$D$6:$D$405,"&lt;"&amp;J1132,'Istoric_Nativ'!$P$6:$P$405,1,'Istoric_Nativ'!$D$6:$D$405,"&gt;="&amp;L1132)))/M1132)</x:f>
      </x:c>
      <x:c r="O1132" s="11" t="str">
        <x:f>IF(M1132=0,"",IF(H1132="HOME",SUMIFS('Istoric_Nativ'!$H$6:$H$405,'Istoric_Nativ'!$B$6:$B$405,E1132,'Istoric_Nativ'!$C$6:$C$405,F1132,'Istoric_Nativ'!$E$6:$E$405,G1132,'Istoric_Nativ'!$D$6:$D$405,"&lt;"&amp;J1132,'Istoric_Nativ'!$P$6:$P$405,1,'Istoric_Nativ'!$D$6:$D$405,"&gt;="&amp;L1132),IF(H1132="AWAY",SUMIFS('Istoric_Nativ'!$G$6:$G$405,'Istoric_Nativ'!$B$6:$B$405,E1132,'Istoric_Nativ'!$C$6:$C$405,F1132,'Istoric_Nativ'!$F$6:$F$405,G1132,'Istoric_Nativ'!$D$6:$D$405,"&lt;"&amp;J1132,'Istoric_Nativ'!$P$6:$P$405,1,'Istoric_Nativ'!$D$6:$D$405,"&gt;="&amp;L1132),SUMIFS('Istoric_Nativ'!$H$6:$H$405,'Istoric_Nativ'!$B$6:$B$405,E1132,'Istoric_Nativ'!$C$6:$C$405,F1132,'Istoric_Nativ'!$E$6:$E$405,G1132,'Istoric_Nativ'!$D$6:$D$405,"&lt;"&amp;J1132,'Istoric_Nativ'!$P$6:$P$405,1,'Istoric_Nativ'!$D$6:$D$405,"&gt;="&amp;L1132)+SUMIFS('Istoric_Nativ'!$G$6:$G$405,'Istoric_Nativ'!$B$6:$B$405,E1132,'Istoric_Nativ'!$C$6:$C$405,F1132,'Istoric_Nativ'!$F$6:$F$405,G1132,'Istoric_Nativ'!$D$6:$D$405,"&lt;"&amp;J1132,'Istoric_Nativ'!$P$6:$P$405,1,'Istoric_Nativ'!$D$6:$D$405,"&gt;="&amp;L1132)))/M1132)</x:f>
      </x:c>
      <x:c r="P1132" s="2" t="n">
        <x:f>'Config_v6'!$B$8</x:f>
        <x:v>5</x:v>
      </x:c>
      <x:c r="Q1132" s="2" t="n">
        <x:f>IF(OR(B1132="",F1132=""),0,IFERROR(MATCH(E1132&amp;"|"&amp;F1132,SourceTable[Source_Key],0),0))</x:f>
        <x:v>0</x:v>
      </x:c>
      <x:c r="R1132" s="2" t="str">
        <x:f>IF(B1132="","",IF(F1132="","UNUSED",IF(Q1132=0,"NOT CHECKED",IF(COUNTIF(SourceTable[Source_Key],E1132&amp;"|"&amp;F1132)&lt;&gt;1,"SOURCE CONFLICT",IF(NOT(OR(INDEX(SourceTable[Status],MAX(1,Q1132))="IMPORTED",INDEX(SourceTable[Status],MAX(1,Q1132))="PARTIAL",INDEX(SourceTable[Status],MAX(1,Q1132))="SOURCE CONFLICT")),"ACCESS BLOCKED",IF(OR(INDEX(SourceTable[Coverage],Q1132)&lt;&gt;"FULL SEASON EXPORT",INDEX(SourceTable[URL],Q1132)="",INDEX(SourceTable[SHA256],Q1132)=""),"EVIDENCE INCOMPLETE",IF(AND('Input_Meci'!H99="LIVE",INDEX(SourceTable[Retrieved_UTC],Q1132)&gt;'Input_Meci'!G99),"POST CUTOFF","CLOSED")))))))</x:f>
      </x:c>
      <x:c r="S1132" s="2" t="n">
        <x:f>IF(OR(B1132="",F1132=""),0,COUNTIFS('Istoric_Nativ'!$B$6:$B$405,E1132,'Istoric_Nativ'!$C$6:$C$405,F1132,'Istoric_Nativ'!$E$6:$E$405,G1132,'Istoric_Nativ'!$D$6:$D$405,"&lt;"&amp;J1132,'Istoric_Nativ'!$O$6:$O$405,"INVALID")+COUNTIFS('Istoric_Nativ'!$B$6:$B$405,E1132,'Istoric_Nativ'!$C$6:$C$405,F1132,'Istoric_Nativ'!$E$6:$E$405,G1132,'Istoric_Nativ'!$O$6:$O$405,"INVALID",'Istoric_Nativ'!$D$6:$D$405,"*")+COUNTIFS('Istoric_Nativ'!$B$6:$B$405,E1132,'Istoric_Nativ'!$C$6:$C$405,F1132,'Istoric_Nativ'!$E$6:$E$405,G1132,'Istoric_Nativ'!$D$6:$D$405,"&lt;"&amp;J1132,'Istoric_Nativ'!$O$6:$O$405,"SOURCE CONFLICT")+COUNTIFS('Istoric_Nativ'!$B$6:$B$405,E1132,'Istoric_Nativ'!$C$6:$C$405,F1132,'Istoric_Nativ'!$F$6:$F$405,G1132,'Istoric_Nativ'!$D$6:$D$405,"&lt;"&amp;J1132,'Istoric_Nativ'!$O$6:$O$405,"INVALID")+COUNTIFS('Istoric_Nativ'!$B$6:$B$405,E1132,'Istoric_Nativ'!$C$6:$C$405,F1132,'Istoric_Nativ'!$F$6:$F$405,G1132,'Istoric_Nativ'!$O$6:$O$405,"INVALID",'Istoric_Nativ'!$D$6:$D$405,"*")+COUNTIFS('Istoric_Nativ'!$B$6:$B$405,E1132,'Istoric_Nativ'!$C$6:$C$405,F1132,'Istoric_Nativ'!$F$6:$F$405,G1132,'Istoric_Nativ'!$D$6:$D$405,"&lt;"&amp;J1132,'Istoric_Nativ'!$O$6:$O$405,"SOURCE CONFLICT"))</x:f>
        <x:v>0</x:v>
      </x:c>
      <x:c r="T1132" s="2" t="str">
        <x:f>IF(B1132="","",IF(R1132&lt;&gt;"CLOSED",R1132,IF(S1132&gt;0,"NATIVE INPUT ISSUE",IF(M1132=0,"NO HISTORY",IF(M1132&lt;P1132,"SMALL SAMPLE","DERIVED")))))</x:f>
      </x:c>
      <x:c r="U1132" s="2" t="str">
        <x:f>IF(B1132="","","NativeTable; "&amp;E1132&amp;"; "&amp;F1132&amp;"; "&amp;G1132&amp;"; "&amp;H1132&amp;"; before "&amp;TEXT(J1132,"yyyy-mm-dd")&amp;IF(I1132="RECENT","; from "&amp;TEXT(L1132,"yyyy-mm-dd"),""))</x:f>
      </x:c>
    </x:row>
    <x:row r="1133" ht="21" customHeight="1">
      <x:c r="A1133" s="2" t="n">
        <x:v>94</x:v>
      </x:c>
      <x:c r="B1133" s="2" t="str">
        <x:f>IF('Input_Meci'!A99="","",'Input_Meci'!A99)</x:f>
      </x:c>
      <x:c r="C1133" s="2" t="str">
        <x:v>A</x:v>
      </x:c>
      <x:c r="D1133" s="2" t="str">
        <x:v>PRIOR</x:v>
      </x:c>
      <x:c r="E1133" s="2" t="str">
        <x:f>IF(B1133="","",'Input_Meci'!B99)</x:f>
      </x:c>
      <x:c r="F1133" s="2" t="str">
        <x:f>IF(B1133="","",IF('Input_Meci'!K99="","",'Input_Meci'!K99))</x:f>
      </x:c>
      <x:c r="G1133" s="2" t="str">
        <x:f>IF(B1133="","",'Input_Meci'!E99)</x:f>
      </x:c>
      <x:c r="H1133" s="2" t="str">
        <x:v>ANY</x:v>
      </x:c>
      <x:c r="I1133" s="2" t="str">
        <x:v>RECENT</x:v>
      </x:c>
      <x:c r="J1133" s="9" t="n">
        <x:f>IF(AND(B1133&lt;&gt;"",ISNUMBER('Input_Meci'!G99)),INT('Input_Meci'!G99),0)</x:f>
        <x:v>0</x:v>
      </x:c>
      <x:c r="K1133" s="2" t="n">
        <x:f>IF(OR(B1133="",F1133=""),0,IF(H1133="HOME",COUNTIFS('Istoric_Nativ'!$B$6:$B$405,E1133,'Istoric_Nativ'!$C$6:$C$405,F1133,'Istoric_Nativ'!$E$6:$E$405,G1133,'Istoric_Nativ'!$D$6:$D$405,"&lt;"&amp;J1133,'Istoric_Nativ'!$P$6:$P$405,1),IF(H1133="AWAY",COUNTIFS('Istoric_Nativ'!$B$6:$B$405,E1133,'Istoric_Nativ'!$C$6:$C$405,F1133,'Istoric_Nativ'!$F$6:$F$405,G1133,'Istoric_Nativ'!$D$6:$D$405,"&lt;"&amp;J1133,'Istoric_Nativ'!$P$6:$P$405,1),COUNTIFS('Istoric_Nativ'!$B$6:$B$405,E1133,'Istoric_Nativ'!$C$6:$C$405,F1133,'Istoric_Nativ'!$E$6:$E$405,G1133,'Istoric_Nativ'!$D$6:$D$405,"&lt;"&amp;J1133,'Istoric_Nativ'!$P$6:$P$405,1)+COUNTIFS('Istoric_Nativ'!$B$6:$B$405,E1133,'Istoric_Nativ'!$C$6:$C$405,F1133,'Istoric_Nativ'!$F$6:$F$405,G1133,'Istoric_Nativ'!$D$6:$D$405,"&lt;"&amp;J1133,'Istoric_Nativ'!$P$6:$P$405,1))))</x:f>
        <x:v>0</x:v>
      </x:c>
      <x:c r="L1133" s="17" t="n">
        <x:f>IF(AND(B1133&lt;&gt;"",I1133="RECENT",K1133&gt;0),LARGE(_xlfn._xlws.FILTER('Istoric_Nativ'!$D$6:$D$405,('Istoric_Nativ'!$B$6:$B$405=E1133)*('Istoric_Nativ'!$C$6:$C$405=F1133)*('Istoric_Nativ'!$P$6:$P$405=1)*('Istoric_Nativ'!$D$6:$D$405&lt;J1133)*((('Istoric_Nativ'!$E$6:$E$405=G1133)+('Istoric_Nativ'!$F$6:$F$405=G1133))&gt;0)),MIN('Config_v6'!$B$54,K1133)),0)</x:f>
        <x:v>0</x:v>
      </x:c>
      <x:c r="M1133" s="2" t="n">
        <x:f>IF(OR(B1133="",F1133=""),0,IF(H1133="HOME",COUNTIFS('Istoric_Nativ'!$B$6:$B$405,E1133,'Istoric_Nativ'!$C$6:$C$405,F1133,'Istoric_Nativ'!$E$6:$E$405,G1133,'Istoric_Nativ'!$D$6:$D$405,"&lt;"&amp;J1133,'Istoric_Nativ'!$P$6:$P$405,1,'Istoric_Nativ'!$D$6:$D$405,"&gt;="&amp;L1133),IF(H1133="AWAY",COUNTIFS('Istoric_Nativ'!$B$6:$B$405,E1133,'Istoric_Nativ'!$C$6:$C$405,F1133,'Istoric_Nativ'!$F$6:$F$405,G1133,'Istoric_Nativ'!$D$6:$D$405,"&lt;"&amp;J1133,'Istoric_Nativ'!$P$6:$P$405,1,'Istoric_Nativ'!$D$6:$D$405,"&gt;="&amp;L1133),COUNTIFS('Istoric_Nativ'!$B$6:$B$405,E1133,'Istoric_Nativ'!$C$6:$C$405,F1133,'Istoric_Nativ'!$E$6:$E$405,G1133,'Istoric_Nativ'!$D$6:$D$405,"&lt;"&amp;J1133,'Istoric_Nativ'!$P$6:$P$405,1,'Istoric_Nativ'!$D$6:$D$405,"&gt;="&amp;L1133)+COUNTIFS('Istoric_Nativ'!$B$6:$B$405,E1133,'Istoric_Nativ'!$C$6:$C$405,F1133,'Istoric_Nativ'!$F$6:$F$405,G1133,'Istoric_Nativ'!$D$6:$D$405,"&lt;"&amp;J1133,'Istoric_Nativ'!$P$6:$P$405,1,'Istoric_Nativ'!$D$6:$D$405,"&gt;="&amp;L1133))))</x:f>
        <x:v>0</x:v>
      </x:c>
      <x:c r="N1133" s="11" t="str">
        <x:f>IF(M1133=0,"",IF(H1133="HOME",SUMIFS('Istoric_Nativ'!$G$6:$G$405,'Istoric_Nativ'!$B$6:$B$405,E1133,'Istoric_Nativ'!$C$6:$C$405,F1133,'Istoric_Nativ'!$E$6:$E$405,G1133,'Istoric_Nativ'!$D$6:$D$405,"&lt;"&amp;J1133,'Istoric_Nativ'!$P$6:$P$405,1,'Istoric_Nativ'!$D$6:$D$405,"&gt;="&amp;L1133),IF(H1133="AWAY",SUMIFS('Istoric_Nativ'!$H$6:$H$405,'Istoric_Nativ'!$B$6:$B$405,E1133,'Istoric_Nativ'!$C$6:$C$405,F1133,'Istoric_Nativ'!$F$6:$F$405,G1133,'Istoric_Nativ'!$D$6:$D$405,"&lt;"&amp;J1133,'Istoric_Nativ'!$P$6:$P$405,1,'Istoric_Nativ'!$D$6:$D$405,"&gt;="&amp;L1133),SUMIFS('Istoric_Nativ'!$G$6:$G$405,'Istoric_Nativ'!$B$6:$B$405,E1133,'Istoric_Nativ'!$C$6:$C$405,F1133,'Istoric_Nativ'!$E$6:$E$405,G1133,'Istoric_Nativ'!$D$6:$D$405,"&lt;"&amp;J1133,'Istoric_Nativ'!$P$6:$P$405,1,'Istoric_Nativ'!$D$6:$D$405,"&gt;="&amp;L1133)+SUMIFS('Istoric_Nativ'!$H$6:$H$405,'Istoric_Nativ'!$B$6:$B$405,E1133,'Istoric_Nativ'!$C$6:$C$405,F1133,'Istoric_Nativ'!$F$6:$F$405,G1133,'Istoric_Nativ'!$D$6:$D$405,"&lt;"&amp;J1133,'Istoric_Nativ'!$P$6:$P$405,1,'Istoric_Nativ'!$D$6:$D$405,"&gt;="&amp;L1133)))/M1133)</x:f>
      </x:c>
      <x:c r="O1133" s="11" t="str">
        <x:f>IF(M1133=0,"",IF(H1133="HOME",SUMIFS('Istoric_Nativ'!$H$6:$H$405,'Istoric_Nativ'!$B$6:$B$405,E1133,'Istoric_Nativ'!$C$6:$C$405,F1133,'Istoric_Nativ'!$E$6:$E$405,G1133,'Istoric_Nativ'!$D$6:$D$405,"&lt;"&amp;J1133,'Istoric_Nativ'!$P$6:$P$405,1,'Istoric_Nativ'!$D$6:$D$405,"&gt;="&amp;L1133),IF(H1133="AWAY",SUMIFS('Istoric_Nativ'!$G$6:$G$405,'Istoric_Nativ'!$B$6:$B$405,E1133,'Istoric_Nativ'!$C$6:$C$405,F1133,'Istoric_Nativ'!$F$6:$F$405,G1133,'Istoric_Nativ'!$D$6:$D$405,"&lt;"&amp;J1133,'Istoric_Nativ'!$P$6:$P$405,1,'Istoric_Nativ'!$D$6:$D$405,"&gt;="&amp;L1133),SUMIFS('Istoric_Nativ'!$H$6:$H$405,'Istoric_Nativ'!$B$6:$B$405,E1133,'Istoric_Nativ'!$C$6:$C$405,F1133,'Istoric_Nativ'!$E$6:$E$405,G1133,'Istoric_Nativ'!$D$6:$D$405,"&lt;"&amp;J1133,'Istoric_Nativ'!$P$6:$P$405,1,'Istoric_Nativ'!$D$6:$D$405,"&gt;="&amp;L1133)+SUMIFS('Istoric_Nativ'!$G$6:$G$405,'Istoric_Nativ'!$B$6:$B$405,E1133,'Istoric_Nativ'!$C$6:$C$405,F1133,'Istoric_Nativ'!$F$6:$F$405,G1133,'Istoric_Nativ'!$D$6:$D$405,"&lt;"&amp;J1133,'Istoric_Nativ'!$P$6:$P$405,1,'Istoric_Nativ'!$D$6:$D$405,"&gt;="&amp;L1133)))/M1133)</x:f>
      </x:c>
      <x:c r="P1133" s="2" t="n">
        <x:f>'Config_v6'!$B$9</x:f>
        <x:v>3</x:v>
      </x:c>
      <x:c r="Q1133" s="2" t="n">
        <x:f>IF(OR(B1133="",F1133=""),0,IFERROR(MATCH(E1133&amp;"|"&amp;F1133,SourceTable[Source_Key],0),0))</x:f>
        <x:v>0</x:v>
      </x:c>
      <x:c r="R1133" s="2" t="str">
        <x:f>IF(B1133="","",IF(F1133="","UNUSED",IF(Q1133=0,"NOT CHECKED",IF(COUNTIF(SourceTable[Source_Key],E1133&amp;"|"&amp;F1133)&lt;&gt;1,"SOURCE CONFLICT",IF(NOT(OR(INDEX(SourceTable[Status],MAX(1,Q1133))="IMPORTED",INDEX(SourceTable[Status],MAX(1,Q1133))="PARTIAL",INDEX(SourceTable[Status],MAX(1,Q1133))="SOURCE CONFLICT")),"ACCESS BLOCKED",IF(OR(INDEX(SourceTable[Coverage],Q1133)&lt;&gt;"FULL SEASON EXPORT",INDEX(SourceTable[URL],Q1133)="",INDEX(SourceTable[SHA256],Q1133)=""),"EVIDENCE INCOMPLETE",IF(AND('Input_Meci'!H99="LIVE",INDEX(SourceTable[Retrieved_UTC],Q1133)&gt;'Input_Meci'!G99),"POST CUTOFF","CLOSED")))))))</x:f>
      </x:c>
      <x:c r="S1133" s="2" t="n">
        <x:f>IF(OR(B1133="",F1133=""),0,COUNTIFS('Istoric_Nativ'!$B$6:$B$405,E1133,'Istoric_Nativ'!$C$6:$C$405,F1133,'Istoric_Nativ'!$E$6:$E$405,G1133,'Istoric_Nativ'!$D$6:$D$405,"&lt;"&amp;J1133,'Istoric_Nativ'!$O$6:$O$405,"INVALID")+COUNTIFS('Istoric_Nativ'!$B$6:$B$405,E1133,'Istoric_Nativ'!$C$6:$C$405,F1133,'Istoric_Nativ'!$E$6:$E$405,G1133,'Istoric_Nativ'!$O$6:$O$405,"INVALID",'Istoric_Nativ'!$D$6:$D$405,"*")+COUNTIFS('Istoric_Nativ'!$B$6:$B$405,E1133,'Istoric_Nativ'!$C$6:$C$405,F1133,'Istoric_Nativ'!$E$6:$E$405,G1133,'Istoric_Nativ'!$D$6:$D$405,"&lt;"&amp;J1133,'Istoric_Nativ'!$O$6:$O$405,"SOURCE CONFLICT")+COUNTIFS('Istoric_Nativ'!$B$6:$B$405,E1133,'Istoric_Nativ'!$C$6:$C$405,F1133,'Istoric_Nativ'!$F$6:$F$405,G1133,'Istoric_Nativ'!$D$6:$D$405,"&lt;"&amp;J1133,'Istoric_Nativ'!$O$6:$O$405,"INVALID")+COUNTIFS('Istoric_Nativ'!$B$6:$B$405,E1133,'Istoric_Nativ'!$C$6:$C$405,F1133,'Istoric_Nativ'!$F$6:$F$405,G1133,'Istoric_Nativ'!$O$6:$O$405,"INVALID",'Istoric_Nativ'!$D$6:$D$405,"*")+COUNTIFS('Istoric_Nativ'!$B$6:$B$405,E1133,'Istoric_Nativ'!$C$6:$C$405,F1133,'Istoric_Nativ'!$F$6:$F$405,G1133,'Istoric_Nativ'!$D$6:$D$405,"&lt;"&amp;J1133,'Istoric_Nativ'!$O$6:$O$405,"SOURCE CONFLICT"))</x:f>
        <x:v>0</x:v>
      </x:c>
      <x:c r="T1133" s="2" t="str">
        <x:f>IF(B1133="","",IF(R1133&lt;&gt;"CLOSED",R1133,IF(S1133&gt;0,"NATIVE INPUT ISSUE",IF(M1133=0,"NO HISTORY",IF(M1133&lt;P1133,"SMALL SAMPLE","DERIVED")))))</x:f>
      </x:c>
      <x:c r="U1133" s="2" t="str">
        <x:f>IF(B1133="","","NativeTable; "&amp;E1133&amp;"; "&amp;F1133&amp;"; "&amp;G1133&amp;"; "&amp;H1133&amp;"; before "&amp;TEXT(J1133,"yyyy-mm-dd")&amp;IF(I1133="RECENT","; from "&amp;TEXT(L1133,"yyyy-mm-dd"),""))</x:f>
      </x:c>
    </x:row>
    <x:row r="1134" ht="21" customHeight="1">
      <x:c r="A1134" s="2" t="n">
        <x:v>95</x:v>
      </x:c>
      <x:c r="B1134" s="2" t="str">
        <x:f>IF('Input_Meci'!A100="","",'Input_Meci'!A100)</x:f>
      </x:c>
      <x:c r="C1134" s="2" t="str">
        <x:v>H</x:v>
      </x:c>
      <x:c r="D1134" s="2" t="str">
        <x:v>CURRENT</x:v>
      </x:c>
      <x:c r="E1134" s="2" t="str">
        <x:f>IF(B1134="","",'Input_Meci'!B100)</x:f>
      </x:c>
      <x:c r="F1134" s="2" t="str">
        <x:f>IF(B1134="","",IF('Input_Meci'!C100="","",'Input_Meci'!C100))</x:f>
      </x:c>
      <x:c r="G1134" s="2" t="str">
        <x:f>IF(B1134="","",'Input_Meci'!D100)</x:f>
      </x:c>
      <x:c r="H1134" s="2" t="str">
        <x:v>ANY</x:v>
      </x:c>
      <x:c r="I1134" s="2" t="str">
        <x:v>SEASON</x:v>
      </x:c>
      <x:c r="J1134" s="9" t="n">
        <x:f>IF(AND(B1134&lt;&gt;"",ISNUMBER('Input_Meci'!G100)),INT('Input_Meci'!G100),0)</x:f>
        <x:v>0</x:v>
      </x:c>
      <x:c r="K1134" s="2" t="n">
        <x:f>IF(OR(B1134="",F1134=""),0,IF(H1134="HOME",COUNTIFS('Istoric_Nativ'!$B$6:$B$405,E1134,'Istoric_Nativ'!$C$6:$C$405,F1134,'Istoric_Nativ'!$E$6:$E$405,G1134,'Istoric_Nativ'!$D$6:$D$405,"&lt;"&amp;J1134,'Istoric_Nativ'!$P$6:$P$405,1),IF(H1134="AWAY",COUNTIFS('Istoric_Nativ'!$B$6:$B$405,E1134,'Istoric_Nativ'!$C$6:$C$405,F1134,'Istoric_Nativ'!$F$6:$F$405,G1134,'Istoric_Nativ'!$D$6:$D$405,"&lt;"&amp;J1134,'Istoric_Nativ'!$P$6:$P$405,1),COUNTIFS('Istoric_Nativ'!$B$6:$B$405,E1134,'Istoric_Nativ'!$C$6:$C$405,F1134,'Istoric_Nativ'!$E$6:$E$405,G1134,'Istoric_Nativ'!$D$6:$D$405,"&lt;"&amp;J1134,'Istoric_Nativ'!$P$6:$P$405,1)+COUNTIFS('Istoric_Nativ'!$B$6:$B$405,E1134,'Istoric_Nativ'!$C$6:$C$405,F1134,'Istoric_Nativ'!$F$6:$F$405,G1134,'Istoric_Nativ'!$D$6:$D$405,"&lt;"&amp;J1134,'Istoric_Nativ'!$P$6:$P$405,1))))</x:f>
        <x:v>0</x:v>
      </x:c>
      <x:c r="L1134" s="17" t="n">
        <x:f>IF(AND(B1134&lt;&gt;"",I1134="RECENT",K1134&gt;0),LARGE(_xlfn._xlws.FILTER('Istoric_Nativ'!$D$6:$D$405,('Istoric_Nativ'!$B$6:$B$405=E1134)*('Istoric_Nativ'!$C$6:$C$405=F1134)*('Istoric_Nativ'!$P$6:$P$405=1)*('Istoric_Nativ'!$D$6:$D$405&lt;J1134)*((('Istoric_Nativ'!$E$6:$E$405=G1134)+('Istoric_Nativ'!$F$6:$F$405=G1134))&gt;0)),MIN('Config_v6'!$B$54,K1134)),0)</x:f>
        <x:v>0</x:v>
      </x:c>
      <x:c r="M1134" s="2" t="n">
        <x:f>IF(OR(B1134="",F1134=""),0,IF(H1134="HOME",COUNTIFS('Istoric_Nativ'!$B$6:$B$405,E1134,'Istoric_Nativ'!$C$6:$C$405,F1134,'Istoric_Nativ'!$E$6:$E$405,G1134,'Istoric_Nativ'!$D$6:$D$405,"&lt;"&amp;J1134,'Istoric_Nativ'!$P$6:$P$405,1,'Istoric_Nativ'!$D$6:$D$405,"&gt;="&amp;L1134),IF(H1134="AWAY",COUNTIFS('Istoric_Nativ'!$B$6:$B$405,E1134,'Istoric_Nativ'!$C$6:$C$405,F1134,'Istoric_Nativ'!$F$6:$F$405,G1134,'Istoric_Nativ'!$D$6:$D$405,"&lt;"&amp;J1134,'Istoric_Nativ'!$P$6:$P$405,1,'Istoric_Nativ'!$D$6:$D$405,"&gt;="&amp;L1134),COUNTIFS('Istoric_Nativ'!$B$6:$B$405,E1134,'Istoric_Nativ'!$C$6:$C$405,F1134,'Istoric_Nativ'!$E$6:$E$405,G1134,'Istoric_Nativ'!$D$6:$D$405,"&lt;"&amp;J1134,'Istoric_Nativ'!$P$6:$P$405,1,'Istoric_Nativ'!$D$6:$D$405,"&gt;="&amp;L1134)+COUNTIFS('Istoric_Nativ'!$B$6:$B$405,E1134,'Istoric_Nativ'!$C$6:$C$405,F1134,'Istoric_Nativ'!$F$6:$F$405,G1134,'Istoric_Nativ'!$D$6:$D$405,"&lt;"&amp;J1134,'Istoric_Nativ'!$P$6:$P$405,1,'Istoric_Nativ'!$D$6:$D$405,"&gt;="&amp;L1134))))</x:f>
        <x:v>0</x:v>
      </x:c>
      <x:c r="N1134" s="11" t="str">
        <x:f>IF(M1134=0,"",IF(H1134="HOME",SUMIFS('Istoric_Nativ'!$G$6:$G$405,'Istoric_Nativ'!$B$6:$B$405,E1134,'Istoric_Nativ'!$C$6:$C$405,F1134,'Istoric_Nativ'!$E$6:$E$405,G1134,'Istoric_Nativ'!$D$6:$D$405,"&lt;"&amp;J1134,'Istoric_Nativ'!$P$6:$P$405,1,'Istoric_Nativ'!$D$6:$D$405,"&gt;="&amp;L1134),IF(H1134="AWAY",SUMIFS('Istoric_Nativ'!$H$6:$H$405,'Istoric_Nativ'!$B$6:$B$405,E1134,'Istoric_Nativ'!$C$6:$C$405,F1134,'Istoric_Nativ'!$F$6:$F$405,G1134,'Istoric_Nativ'!$D$6:$D$405,"&lt;"&amp;J1134,'Istoric_Nativ'!$P$6:$P$405,1,'Istoric_Nativ'!$D$6:$D$405,"&gt;="&amp;L1134),SUMIFS('Istoric_Nativ'!$G$6:$G$405,'Istoric_Nativ'!$B$6:$B$405,E1134,'Istoric_Nativ'!$C$6:$C$405,F1134,'Istoric_Nativ'!$E$6:$E$405,G1134,'Istoric_Nativ'!$D$6:$D$405,"&lt;"&amp;J1134,'Istoric_Nativ'!$P$6:$P$405,1,'Istoric_Nativ'!$D$6:$D$405,"&gt;="&amp;L1134)+SUMIFS('Istoric_Nativ'!$H$6:$H$405,'Istoric_Nativ'!$B$6:$B$405,E1134,'Istoric_Nativ'!$C$6:$C$405,F1134,'Istoric_Nativ'!$F$6:$F$405,G1134,'Istoric_Nativ'!$D$6:$D$405,"&lt;"&amp;J1134,'Istoric_Nativ'!$P$6:$P$405,1,'Istoric_Nativ'!$D$6:$D$405,"&gt;="&amp;L1134)))/M1134)</x:f>
      </x:c>
      <x:c r="O1134" s="11" t="str">
        <x:f>IF(M1134=0,"",IF(H1134="HOME",SUMIFS('Istoric_Nativ'!$H$6:$H$405,'Istoric_Nativ'!$B$6:$B$405,E1134,'Istoric_Nativ'!$C$6:$C$405,F1134,'Istoric_Nativ'!$E$6:$E$405,G1134,'Istoric_Nativ'!$D$6:$D$405,"&lt;"&amp;J1134,'Istoric_Nativ'!$P$6:$P$405,1,'Istoric_Nativ'!$D$6:$D$405,"&gt;="&amp;L1134),IF(H1134="AWAY",SUMIFS('Istoric_Nativ'!$G$6:$G$405,'Istoric_Nativ'!$B$6:$B$405,E1134,'Istoric_Nativ'!$C$6:$C$405,F1134,'Istoric_Nativ'!$F$6:$F$405,G1134,'Istoric_Nativ'!$D$6:$D$405,"&lt;"&amp;J1134,'Istoric_Nativ'!$P$6:$P$405,1,'Istoric_Nativ'!$D$6:$D$405,"&gt;="&amp;L1134),SUMIFS('Istoric_Nativ'!$H$6:$H$405,'Istoric_Nativ'!$B$6:$B$405,E1134,'Istoric_Nativ'!$C$6:$C$405,F1134,'Istoric_Nativ'!$E$6:$E$405,G1134,'Istoric_Nativ'!$D$6:$D$405,"&lt;"&amp;J1134,'Istoric_Nativ'!$P$6:$P$405,1,'Istoric_Nativ'!$D$6:$D$405,"&gt;="&amp;L1134)+SUMIFS('Istoric_Nativ'!$G$6:$G$405,'Istoric_Nativ'!$B$6:$B$405,E1134,'Istoric_Nativ'!$C$6:$C$405,F1134,'Istoric_Nativ'!$F$6:$F$405,G1134,'Istoric_Nativ'!$D$6:$D$405,"&lt;"&amp;J1134,'Istoric_Nativ'!$P$6:$P$405,1,'Istoric_Nativ'!$D$6:$D$405,"&gt;="&amp;L1134)))/M1134)</x:f>
      </x:c>
      <x:c r="P1134" s="2" t="n">
        <x:f>'Config_v6'!$B$7</x:f>
        <x:v>10</x:v>
      </x:c>
      <x:c r="Q1134" s="2" t="n">
        <x:f>IF(OR(B1134="",F1134=""),0,IFERROR(MATCH(E1134&amp;"|"&amp;F1134,SourceTable[Source_Key],0),0))</x:f>
        <x:v>0</x:v>
      </x:c>
      <x:c r="R1134" s="2" t="str">
        <x:f>IF(B1134="","",IF(F1134="","UNUSED",IF(Q1134=0,"NOT CHECKED",IF(COUNTIF(SourceTable[Source_Key],E1134&amp;"|"&amp;F1134)&lt;&gt;1,"SOURCE CONFLICT",IF(NOT(OR(INDEX(SourceTable[Status],MAX(1,Q1134))="IMPORTED",INDEX(SourceTable[Status],MAX(1,Q1134))="PARTIAL",INDEX(SourceTable[Status],MAX(1,Q1134))="SOURCE CONFLICT")),"ACCESS BLOCKED",IF(OR(INDEX(SourceTable[Coverage],Q1134)&lt;&gt;"FULL SEASON EXPORT",INDEX(SourceTable[URL],Q1134)="",INDEX(SourceTable[SHA256],Q1134)=""),"EVIDENCE INCOMPLETE",IF(AND('Input_Meci'!H100="LIVE",INDEX(SourceTable[Retrieved_UTC],Q1134)&gt;'Input_Meci'!G100),"POST CUTOFF","CLOSED")))))))</x:f>
      </x:c>
      <x:c r="S1134" s="2" t="n">
        <x:f>IF(OR(B1134="",F1134=""),0,COUNTIFS('Istoric_Nativ'!$B$6:$B$405,E1134,'Istoric_Nativ'!$C$6:$C$405,F1134,'Istoric_Nativ'!$E$6:$E$405,G1134,'Istoric_Nativ'!$D$6:$D$405,"&lt;"&amp;J1134,'Istoric_Nativ'!$O$6:$O$405,"INVALID")+COUNTIFS('Istoric_Nativ'!$B$6:$B$405,E1134,'Istoric_Nativ'!$C$6:$C$405,F1134,'Istoric_Nativ'!$E$6:$E$405,G1134,'Istoric_Nativ'!$O$6:$O$405,"INVALID",'Istoric_Nativ'!$D$6:$D$405,"*")+COUNTIFS('Istoric_Nativ'!$B$6:$B$405,E1134,'Istoric_Nativ'!$C$6:$C$405,F1134,'Istoric_Nativ'!$E$6:$E$405,G1134,'Istoric_Nativ'!$D$6:$D$405,"&lt;"&amp;J1134,'Istoric_Nativ'!$O$6:$O$405,"SOURCE CONFLICT")+COUNTIFS('Istoric_Nativ'!$B$6:$B$405,E1134,'Istoric_Nativ'!$C$6:$C$405,F1134,'Istoric_Nativ'!$F$6:$F$405,G1134,'Istoric_Nativ'!$D$6:$D$405,"&lt;"&amp;J1134,'Istoric_Nativ'!$O$6:$O$405,"INVALID")+COUNTIFS('Istoric_Nativ'!$B$6:$B$405,E1134,'Istoric_Nativ'!$C$6:$C$405,F1134,'Istoric_Nativ'!$F$6:$F$405,G1134,'Istoric_Nativ'!$O$6:$O$405,"INVALID",'Istoric_Nativ'!$D$6:$D$405,"*")+COUNTIFS('Istoric_Nativ'!$B$6:$B$405,E1134,'Istoric_Nativ'!$C$6:$C$405,F1134,'Istoric_Nativ'!$F$6:$F$405,G1134,'Istoric_Nativ'!$D$6:$D$405,"&lt;"&amp;J1134,'Istoric_Nativ'!$O$6:$O$405,"SOURCE CONFLICT"))</x:f>
        <x:v>0</x:v>
      </x:c>
      <x:c r="T1134" s="2" t="str">
        <x:f>IF(B1134="","",IF(R1134&lt;&gt;"CLOSED",R1134,IF(S1134&gt;0,"NATIVE INPUT ISSUE",IF(M1134=0,"NO HISTORY",IF(M1134&lt;P1134,"SMALL SAMPLE","DERIVED")))))</x:f>
      </x:c>
      <x:c r="U1134" s="2" t="str">
        <x:f>IF(B1134="","","NativeTable; "&amp;E1134&amp;"; "&amp;F1134&amp;"; "&amp;G1134&amp;"; "&amp;H1134&amp;"; before "&amp;TEXT(J1134,"yyyy-mm-dd")&amp;IF(I1134="RECENT","; from "&amp;TEXT(L1134,"yyyy-mm-dd"),""))</x:f>
      </x:c>
    </x:row>
    <x:row r="1135" ht="21" customHeight="1">
      <x:c r="A1135" s="2" t="n">
        <x:v>95</x:v>
      </x:c>
      <x:c r="B1135" s="2" t="str">
        <x:f>IF('Input_Meci'!A100="","",'Input_Meci'!A100)</x:f>
      </x:c>
      <x:c r="C1135" s="2" t="str">
        <x:v>H</x:v>
      </x:c>
      <x:c r="D1135" s="2" t="str">
        <x:v>CURRENT</x:v>
      </x:c>
      <x:c r="E1135" s="2" t="str">
        <x:f>IF(B1135="","",'Input_Meci'!B100)</x:f>
      </x:c>
      <x:c r="F1135" s="2" t="str">
        <x:f>IF(B1135="","",IF('Input_Meci'!C100="","",'Input_Meci'!C100))</x:f>
      </x:c>
      <x:c r="G1135" s="2" t="str">
        <x:f>IF(B1135="","",'Input_Meci'!D100)</x:f>
      </x:c>
      <x:c r="H1135" s="2" t="str">
        <x:v>HOME</x:v>
      </x:c>
      <x:c r="I1135" s="2" t="str">
        <x:v>HA</x:v>
      </x:c>
      <x:c r="J1135" s="9" t="n">
        <x:f>IF(AND(B1135&lt;&gt;"",ISNUMBER('Input_Meci'!G100)),INT('Input_Meci'!G100),0)</x:f>
        <x:v>0</x:v>
      </x:c>
      <x:c r="K1135" s="2" t="n">
        <x:f>IF(OR(B1135="",F1135=""),0,IF(H1135="HOME",COUNTIFS('Istoric_Nativ'!$B$6:$B$405,E1135,'Istoric_Nativ'!$C$6:$C$405,F1135,'Istoric_Nativ'!$E$6:$E$405,G1135,'Istoric_Nativ'!$D$6:$D$405,"&lt;"&amp;J1135,'Istoric_Nativ'!$P$6:$P$405,1),IF(H1135="AWAY",COUNTIFS('Istoric_Nativ'!$B$6:$B$405,E1135,'Istoric_Nativ'!$C$6:$C$405,F1135,'Istoric_Nativ'!$F$6:$F$405,G1135,'Istoric_Nativ'!$D$6:$D$405,"&lt;"&amp;J1135,'Istoric_Nativ'!$P$6:$P$405,1),COUNTIFS('Istoric_Nativ'!$B$6:$B$405,E1135,'Istoric_Nativ'!$C$6:$C$405,F1135,'Istoric_Nativ'!$E$6:$E$405,G1135,'Istoric_Nativ'!$D$6:$D$405,"&lt;"&amp;J1135,'Istoric_Nativ'!$P$6:$P$405,1)+COUNTIFS('Istoric_Nativ'!$B$6:$B$405,E1135,'Istoric_Nativ'!$C$6:$C$405,F1135,'Istoric_Nativ'!$F$6:$F$405,G1135,'Istoric_Nativ'!$D$6:$D$405,"&lt;"&amp;J1135,'Istoric_Nativ'!$P$6:$P$405,1))))</x:f>
        <x:v>0</x:v>
      </x:c>
      <x:c r="L1135" s="17" t="n">
        <x:f>IF(AND(B1135&lt;&gt;"",I1135="RECENT",K1135&gt;0),LARGE(_xlfn._xlws.FILTER('Istoric_Nativ'!$D$6:$D$405,('Istoric_Nativ'!$B$6:$B$405=E1135)*('Istoric_Nativ'!$C$6:$C$405=F1135)*('Istoric_Nativ'!$P$6:$P$405=1)*('Istoric_Nativ'!$D$6:$D$405&lt;J1135)*((('Istoric_Nativ'!$E$6:$E$405=G1135)+('Istoric_Nativ'!$F$6:$F$405=G1135))&gt;0)),MIN('Config_v6'!$B$54,K1135)),0)</x:f>
        <x:v>0</x:v>
      </x:c>
      <x:c r="M1135" s="2" t="n">
        <x:f>IF(OR(B1135="",F1135=""),0,IF(H1135="HOME",COUNTIFS('Istoric_Nativ'!$B$6:$B$405,E1135,'Istoric_Nativ'!$C$6:$C$405,F1135,'Istoric_Nativ'!$E$6:$E$405,G1135,'Istoric_Nativ'!$D$6:$D$405,"&lt;"&amp;J1135,'Istoric_Nativ'!$P$6:$P$405,1,'Istoric_Nativ'!$D$6:$D$405,"&gt;="&amp;L1135),IF(H1135="AWAY",COUNTIFS('Istoric_Nativ'!$B$6:$B$405,E1135,'Istoric_Nativ'!$C$6:$C$405,F1135,'Istoric_Nativ'!$F$6:$F$405,G1135,'Istoric_Nativ'!$D$6:$D$405,"&lt;"&amp;J1135,'Istoric_Nativ'!$P$6:$P$405,1,'Istoric_Nativ'!$D$6:$D$405,"&gt;="&amp;L1135),COUNTIFS('Istoric_Nativ'!$B$6:$B$405,E1135,'Istoric_Nativ'!$C$6:$C$405,F1135,'Istoric_Nativ'!$E$6:$E$405,G1135,'Istoric_Nativ'!$D$6:$D$405,"&lt;"&amp;J1135,'Istoric_Nativ'!$P$6:$P$405,1,'Istoric_Nativ'!$D$6:$D$405,"&gt;="&amp;L1135)+COUNTIFS('Istoric_Nativ'!$B$6:$B$405,E1135,'Istoric_Nativ'!$C$6:$C$405,F1135,'Istoric_Nativ'!$F$6:$F$405,G1135,'Istoric_Nativ'!$D$6:$D$405,"&lt;"&amp;J1135,'Istoric_Nativ'!$P$6:$P$405,1,'Istoric_Nativ'!$D$6:$D$405,"&gt;="&amp;L1135))))</x:f>
        <x:v>0</x:v>
      </x:c>
      <x:c r="N1135" s="11" t="str">
        <x:f>IF(M1135=0,"",IF(H1135="HOME",SUMIFS('Istoric_Nativ'!$G$6:$G$405,'Istoric_Nativ'!$B$6:$B$405,E1135,'Istoric_Nativ'!$C$6:$C$405,F1135,'Istoric_Nativ'!$E$6:$E$405,G1135,'Istoric_Nativ'!$D$6:$D$405,"&lt;"&amp;J1135,'Istoric_Nativ'!$P$6:$P$405,1,'Istoric_Nativ'!$D$6:$D$405,"&gt;="&amp;L1135),IF(H1135="AWAY",SUMIFS('Istoric_Nativ'!$H$6:$H$405,'Istoric_Nativ'!$B$6:$B$405,E1135,'Istoric_Nativ'!$C$6:$C$405,F1135,'Istoric_Nativ'!$F$6:$F$405,G1135,'Istoric_Nativ'!$D$6:$D$405,"&lt;"&amp;J1135,'Istoric_Nativ'!$P$6:$P$405,1,'Istoric_Nativ'!$D$6:$D$405,"&gt;="&amp;L1135),SUMIFS('Istoric_Nativ'!$G$6:$G$405,'Istoric_Nativ'!$B$6:$B$405,E1135,'Istoric_Nativ'!$C$6:$C$405,F1135,'Istoric_Nativ'!$E$6:$E$405,G1135,'Istoric_Nativ'!$D$6:$D$405,"&lt;"&amp;J1135,'Istoric_Nativ'!$P$6:$P$405,1,'Istoric_Nativ'!$D$6:$D$405,"&gt;="&amp;L1135)+SUMIFS('Istoric_Nativ'!$H$6:$H$405,'Istoric_Nativ'!$B$6:$B$405,E1135,'Istoric_Nativ'!$C$6:$C$405,F1135,'Istoric_Nativ'!$F$6:$F$405,G1135,'Istoric_Nativ'!$D$6:$D$405,"&lt;"&amp;J1135,'Istoric_Nativ'!$P$6:$P$405,1,'Istoric_Nativ'!$D$6:$D$405,"&gt;="&amp;L1135)))/M1135)</x:f>
      </x:c>
      <x:c r="O1135" s="11" t="str">
        <x:f>IF(M1135=0,"",IF(H1135="HOME",SUMIFS('Istoric_Nativ'!$H$6:$H$405,'Istoric_Nativ'!$B$6:$B$405,E1135,'Istoric_Nativ'!$C$6:$C$405,F1135,'Istoric_Nativ'!$E$6:$E$405,G1135,'Istoric_Nativ'!$D$6:$D$405,"&lt;"&amp;J1135,'Istoric_Nativ'!$P$6:$P$405,1,'Istoric_Nativ'!$D$6:$D$405,"&gt;="&amp;L1135),IF(H1135="AWAY",SUMIFS('Istoric_Nativ'!$G$6:$G$405,'Istoric_Nativ'!$B$6:$B$405,E1135,'Istoric_Nativ'!$C$6:$C$405,F1135,'Istoric_Nativ'!$F$6:$F$405,G1135,'Istoric_Nativ'!$D$6:$D$405,"&lt;"&amp;J1135,'Istoric_Nativ'!$P$6:$P$405,1,'Istoric_Nativ'!$D$6:$D$405,"&gt;="&amp;L1135),SUMIFS('Istoric_Nativ'!$H$6:$H$405,'Istoric_Nativ'!$B$6:$B$405,E1135,'Istoric_Nativ'!$C$6:$C$405,F1135,'Istoric_Nativ'!$E$6:$E$405,G1135,'Istoric_Nativ'!$D$6:$D$405,"&lt;"&amp;J1135,'Istoric_Nativ'!$P$6:$P$405,1,'Istoric_Nativ'!$D$6:$D$405,"&gt;="&amp;L1135)+SUMIFS('Istoric_Nativ'!$G$6:$G$405,'Istoric_Nativ'!$B$6:$B$405,E1135,'Istoric_Nativ'!$C$6:$C$405,F1135,'Istoric_Nativ'!$F$6:$F$405,G1135,'Istoric_Nativ'!$D$6:$D$405,"&lt;"&amp;J1135,'Istoric_Nativ'!$P$6:$P$405,1,'Istoric_Nativ'!$D$6:$D$405,"&gt;="&amp;L1135)))/M1135)</x:f>
      </x:c>
      <x:c r="P1135" s="2" t="n">
        <x:f>'Config_v6'!$B$8</x:f>
        <x:v>5</x:v>
      </x:c>
      <x:c r="Q1135" s="2" t="n">
        <x:f>IF(OR(B1135="",F1135=""),0,IFERROR(MATCH(E1135&amp;"|"&amp;F1135,SourceTable[Source_Key],0),0))</x:f>
        <x:v>0</x:v>
      </x:c>
      <x:c r="R1135" s="2" t="str">
        <x:f>IF(B1135="","",IF(F1135="","UNUSED",IF(Q1135=0,"NOT CHECKED",IF(COUNTIF(SourceTable[Source_Key],E1135&amp;"|"&amp;F1135)&lt;&gt;1,"SOURCE CONFLICT",IF(NOT(OR(INDEX(SourceTable[Status],MAX(1,Q1135))="IMPORTED",INDEX(SourceTable[Status],MAX(1,Q1135))="PARTIAL",INDEX(SourceTable[Status],MAX(1,Q1135))="SOURCE CONFLICT")),"ACCESS BLOCKED",IF(OR(INDEX(SourceTable[Coverage],Q1135)&lt;&gt;"FULL SEASON EXPORT",INDEX(SourceTable[URL],Q1135)="",INDEX(SourceTable[SHA256],Q1135)=""),"EVIDENCE INCOMPLETE",IF(AND('Input_Meci'!H100="LIVE",INDEX(SourceTable[Retrieved_UTC],Q1135)&gt;'Input_Meci'!G100),"POST CUTOFF","CLOSED")))))))</x:f>
      </x:c>
      <x:c r="S1135" s="2" t="n">
        <x:f>IF(OR(B1135="",F1135=""),0,COUNTIFS('Istoric_Nativ'!$B$6:$B$405,E1135,'Istoric_Nativ'!$C$6:$C$405,F1135,'Istoric_Nativ'!$E$6:$E$405,G1135,'Istoric_Nativ'!$D$6:$D$405,"&lt;"&amp;J1135,'Istoric_Nativ'!$O$6:$O$405,"INVALID")+COUNTIFS('Istoric_Nativ'!$B$6:$B$405,E1135,'Istoric_Nativ'!$C$6:$C$405,F1135,'Istoric_Nativ'!$E$6:$E$405,G1135,'Istoric_Nativ'!$O$6:$O$405,"INVALID",'Istoric_Nativ'!$D$6:$D$405,"*")+COUNTIFS('Istoric_Nativ'!$B$6:$B$405,E1135,'Istoric_Nativ'!$C$6:$C$405,F1135,'Istoric_Nativ'!$E$6:$E$405,G1135,'Istoric_Nativ'!$D$6:$D$405,"&lt;"&amp;J1135,'Istoric_Nativ'!$O$6:$O$405,"SOURCE CONFLICT")+COUNTIFS('Istoric_Nativ'!$B$6:$B$405,E1135,'Istoric_Nativ'!$C$6:$C$405,F1135,'Istoric_Nativ'!$F$6:$F$405,G1135,'Istoric_Nativ'!$D$6:$D$405,"&lt;"&amp;J1135,'Istoric_Nativ'!$O$6:$O$405,"INVALID")+COUNTIFS('Istoric_Nativ'!$B$6:$B$405,E1135,'Istoric_Nativ'!$C$6:$C$405,F1135,'Istoric_Nativ'!$F$6:$F$405,G1135,'Istoric_Nativ'!$O$6:$O$405,"INVALID",'Istoric_Nativ'!$D$6:$D$405,"*")+COUNTIFS('Istoric_Nativ'!$B$6:$B$405,E1135,'Istoric_Nativ'!$C$6:$C$405,F1135,'Istoric_Nativ'!$F$6:$F$405,G1135,'Istoric_Nativ'!$D$6:$D$405,"&lt;"&amp;J1135,'Istoric_Nativ'!$O$6:$O$405,"SOURCE CONFLICT"))</x:f>
        <x:v>0</x:v>
      </x:c>
      <x:c r="T1135" s="2" t="str">
        <x:f>IF(B1135="","",IF(R1135&lt;&gt;"CLOSED",R1135,IF(S1135&gt;0,"NATIVE INPUT ISSUE",IF(M1135=0,"NO HISTORY",IF(M1135&lt;P1135,"SMALL SAMPLE","DERIVED")))))</x:f>
      </x:c>
      <x:c r="U1135" s="2" t="str">
        <x:f>IF(B1135="","","NativeTable; "&amp;E1135&amp;"; "&amp;F1135&amp;"; "&amp;G1135&amp;"; "&amp;H1135&amp;"; before "&amp;TEXT(J1135,"yyyy-mm-dd")&amp;IF(I1135="RECENT","; from "&amp;TEXT(L1135,"yyyy-mm-dd"),""))</x:f>
      </x:c>
    </x:row>
    <x:row r="1136" ht="21" customHeight="1">
      <x:c r="A1136" s="2" t="n">
        <x:v>95</x:v>
      </x:c>
      <x:c r="B1136" s="2" t="str">
        <x:f>IF('Input_Meci'!A100="","",'Input_Meci'!A100)</x:f>
      </x:c>
      <x:c r="C1136" s="2" t="str">
        <x:v>H</x:v>
      </x:c>
      <x:c r="D1136" s="2" t="str">
        <x:v>CURRENT</x:v>
      </x:c>
      <x:c r="E1136" s="2" t="str">
        <x:f>IF(B1136="","",'Input_Meci'!B100)</x:f>
      </x:c>
      <x:c r="F1136" s="2" t="str">
        <x:f>IF(B1136="","",IF('Input_Meci'!C100="","",'Input_Meci'!C100))</x:f>
      </x:c>
      <x:c r="G1136" s="2" t="str">
        <x:f>IF(B1136="","",'Input_Meci'!D100)</x:f>
      </x:c>
      <x:c r="H1136" s="2" t="str">
        <x:v>ANY</x:v>
      </x:c>
      <x:c r="I1136" s="2" t="str">
        <x:v>RECENT</x:v>
      </x:c>
      <x:c r="J1136" s="9" t="n">
        <x:f>IF(AND(B1136&lt;&gt;"",ISNUMBER('Input_Meci'!G100)),INT('Input_Meci'!G100),0)</x:f>
        <x:v>0</x:v>
      </x:c>
      <x:c r="K1136" s="2" t="n">
        <x:f>IF(OR(B1136="",F1136=""),0,IF(H1136="HOME",COUNTIFS('Istoric_Nativ'!$B$6:$B$405,E1136,'Istoric_Nativ'!$C$6:$C$405,F1136,'Istoric_Nativ'!$E$6:$E$405,G1136,'Istoric_Nativ'!$D$6:$D$405,"&lt;"&amp;J1136,'Istoric_Nativ'!$P$6:$P$405,1),IF(H1136="AWAY",COUNTIFS('Istoric_Nativ'!$B$6:$B$405,E1136,'Istoric_Nativ'!$C$6:$C$405,F1136,'Istoric_Nativ'!$F$6:$F$405,G1136,'Istoric_Nativ'!$D$6:$D$405,"&lt;"&amp;J1136,'Istoric_Nativ'!$P$6:$P$405,1),COUNTIFS('Istoric_Nativ'!$B$6:$B$405,E1136,'Istoric_Nativ'!$C$6:$C$405,F1136,'Istoric_Nativ'!$E$6:$E$405,G1136,'Istoric_Nativ'!$D$6:$D$405,"&lt;"&amp;J1136,'Istoric_Nativ'!$P$6:$P$405,1)+COUNTIFS('Istoric_Nativ'!$B$6:$B$405,E1136,'Istoric_Nativ'!$C$6:$C$405,F1136,'Istoric_Nativ'!$F$6:$F$405,G1136,'Istoric_Nativ'!$D$6:$D$405,"&lt;"&amp;J1136,'Istoric_Nativ'!$P$6:$P$405,1))))</x:f>
        <x:v>0</x:v>
      </x:c>
      <x:c r="L1136" s="17" t="n">
        <x:f>IF(AND(B1136&lt;&gt;"",I1136="RECENT",K1136&gt;0),LARGE(_xlfn._xlws.FILTER('Istoric_Nativ'!$D$6:$D$405,('Istoric_Nativ'!$B$6:$B$405=E1136)*('Istoric_Nativ'!$C$6:$C$405=F1136)*('Istoric_Nativ'!$P$6:$P$405=1)*('Istoric_Nativ'!$D$6:$D$405&lt;J1136)*((('Istoric_Nativ'!$E$6:$E$405=G1136)+('Istoric_Nativ'!$F$6:$F$405=G1136))&gt;0)),MIN('Config_v6'!$B$54,K1136)),0)</x:f>
        <x:v>0</x:v>
      </x:c>
      <x:c r="M1136" s="2" t="n">
        <x:f>IF(OR(B1136="",F1136=""),0,IF(H1136="HOME",COUNTIFS('Istoric_Nativ'!$B$6:$B$405,E1136,'Istoric_Nativ'!$C$6:$C$405,F1136,'Istoric_Nativ'!$E$6:$E$405,G1136,'Istoric_Nativ'!$D$6:$D$405,"&lt;"&amp;J1136,'Istoric_Nativ'!$P$6:$P$405,1,'Istoric_Nativ'!$D$6:$D$405,"&gt;="&amp;L1136),IF(H1136="AWAY",COUNTIFS('Istoric_Nativ'!$B$6:$B$405,E1136,'Istoric_Nativ'!$C$6:$C$405,F1136,'Istoric_Nativ'!$F$6:$F$405,G1136,'Istoric_Nativ'!$D$6:$D$405,"&lt;"&amp;J1136,'Istoric_Nativ'!$P$6:$P$405,1,'Istoric_Nativ'!$D$6:$D$405,"&gt;="&amp;L1136),COUNTIFS('Istoric_Nativ'!$B$6:$B$405,E1136,'Istoric_Nativ'!$C$6:$C$405,F1136,'Istoric_Nativ'!$E$6:$E$405,G1136,'Istoric_Nativ'!$D$6:$D$405,"&lt;"&amp;J1136,'Istoric_Nativ'!$P$6:$P$405,1,'Istoric_Nativ'!$D$6:$D$405,"&gt;="&amp;L1136)+COUNTIFS('Istoric_Nativ'!$B$6:$B$405,E1136,'Istoric_Nativ'!$C$6:$C$405,F1136,'Istoric_Nativ'!$F$6:$F$405,G1136,'Istoric_Nativ'!$D$6:$D$405,"&lt;"&amp;J1136,'Istoric_Nativ'!$P$6:$P$405,1,'Istoric_Nativ'!$D$6:$D$405,"&gt;="&amp;L1136))))</x:f>
        <x:v>0</x:v>
      </x:c>
      <x:c r="N1136" s="11" t="str">
        <x:f>IF(M1136=0,"",IF(H1136="HOME",SUMIFS('Istoric_Nativ'!$G$6:$G$405,'Istoric_Nativ'!$B$6:$B$405,E1136,'Istoric_Nativ'!$C$6:$C$405,F1136,'Istoric_Nativ'!$E$6:$E$405,G1136,'Istoric_Nativ'!$D$6:$D$405,"&lt;"&amp;J1136,'Istoric_Nativ'!$P$6:$P$405,1,'Istoric_Nativ'!$D$6:$D$405,"&gt;="&amp;L1136),IF(H1136="AWAY",SUMIFS('Istoric_Nativ'!$H$6:$H$405,'Istoric_Nativ'!$B$6:$B$405,E1136,'Istoric_Nativ'!$C$6:$C$405,F1136,'Istoric_Nativ'!$F$6:$F$405,G1136,'Istoric_Nativ'!$D$6:$D$405,"&lt;"&amp;J1136,'Istoric_Nativ'!$P$6:$P$405,1,'Istoric_Nativ'!$D$6:$D$405,"&gt;="&amp;L1136),SUMIFS('Istoric_Nativ'!$G$6:$G$405,'Istoric_Nativ'!$B$6:$B$405,E1136,'Istoric_Nativ'!$C$6:$C$405,F1136,'Istoric_Nativ'!$E$6:$E$405,G1136,'Istoric_Nativ'!$D$6:$D$405,"&lt;"&amp;J1136,'Istoric_Nativ'!$P$6:$P$405,1,'Istoric_Nativ'!$D$6:$D$405,"&gt;="&amp;L1136)+SUMIFS('Istoric_Nativ'!$H$6:$H$405,'Istoric_Nativ'!$B$6:$B$405,E1136,'Istoric_Nativ'!$C$6:$C$405,F1136,'Istoric_Nativ'!$F$6:$F$405,G1136,'Istoric_Nativ'!$D$6:$D$405,"&lt;"&amp;J1136,'Istoric_Nativ'!$P$6:$P$405,1,'Istoric_Nativ'!$D$6:$D$405,"&gt;="&amp;L1136)))/M1136)</x:f>
      </x:c>
      <x:c r="O1136" s="11" t="str">
        <x:f>IF(M1136=0,"",IF(H1136="HOME",SUMIFS('Istoric_Nativ'!$H$6:$H$405,'Istoric_Nativ'!$B$6:$B$405,E1136,'Istoric_Nativ'!$C$6:$C$405,F1136,'Istoric_Nativ'!$E$6:$E$405,G1136,'Istoric_Nativ'!$D$6:$D$405,"&lt;"&amp;J1136,'Istoric_Nativ'!$P$6:$P$405,1,'Istoric_Nativ'!$D$6:$D$405,"&gt;="&amp;L1136),IF(H1136="AWAY",SUMIFS('Istoric_Nativ'!$G$6:$G$405,'Istoric_Nativ'!$B$6:$B$405,E1136,'Istoric_Nativ'!$C$6:$C$405,F1136,'Istoric_Nativ'!$F$6:$F$405,G1136,'Istoric_Nativ'!$D$6:$D$405,"&lt;"&amp;J1136,'Istoric_Nativ'!$P$6:$P$405,1,'Istoric_Nativ'!$D$6:$D$405,"&gt;="&amp;L1136),SUMIFS('Istoric_Nativ'!$H$6:$H$405,'Istoric_Nativ'!$B$6:$B$405,E1136,'Istoric_Nativ'!$C$6:$C$405,F1136,'Istoric_Nativ'!$E$6:$E$405,G1136,'Istoric_Nativ'!$D$6:$D$405,"&lt;"&amp;J1136,'Istoric_Nativ'!$P$6:$P$405,1,'Istoric_Nativ'!$D$6:$D$405,"&gt;="&amp;L1136)+SUMIFS('Istoric_Nativ'!$G$6:$G$405,'Istoric_Nativ'!$B$6:$B$405,E1136,'Istoric_Nativ'!$C$6:$C$405,F1136,'Istoric_Nativ'!$F$6:$F$405,G1136,'Istoric_Nativ'!$D$6:$D$405,"&lt;"&amp;J1136,'Istoric_Nativ'!$P$6:$P$405,1,'Istoric_Nativ'!$D$6:$D$405,"&gt;="&amp;L1136)))/M1136)</x:f>
      </x:c>
      <x:c r="P1136" s="2" t="n">
        <x:f>'Config_v6'!$B$9</x:f>
        <x:v>3</x:v>
      </x:c>
      <x:c r="Q1136" s="2" t="n">
        <x:f>IF(OR(B1136="",F1136=""),0,IFERROR(MATCH(E1136&amp;"|"&amp;F1136,SourceTable[Source_Key],0),0))</x:f>
        <x:v>0</x:v>
      </x:c>
      <x:c r="R1136" s="2" t="str">
        <x:f>IF(B1136="","",IF(F1136="","UNUSED",IF(Q1136=0,"NOT CHECKED",IF(COUNTIF(SourceTable[Source_Key],E1136&amp;"|"&amp;F1136)&lt;&gt;1,"SOURCE CONFLICT",IF(NOT(OR(INDEX(SourceTable[Status],MAX(1,Q1136))="IMPORTED",INDEX(SourceTable[Status],MAX(1,Q1136))="PARTIAL",INDEX(SourceTable[Status],MAX(1,Q1136))="SOURCE CONFLICT")),"ACCESS BLOCKED",IF(OR(INDEX(SourceTable[Coverage],Q1136)&lt;&gt;"FULL SEASON EXPORT",INDEX(SourceTable[URL],Q1136)="",INDEX(SourceTable[SHA256],Q1136)=""),"EVIDENCE INCOMPLETE",IF(AND('Input_Meci'!H100="LIVE",INDEX(SourceTable[Retrieved_UTC],Q1136)&gt;'Input_Meci'!G100),"POST CUTOFF","CLOSED")))))))</x:f>
      </x:c>
      <x:c r="S1136" s="2" t="n">
        <x:f>IF(OR(B1136="",F1136=""),0,COUNTIFS('Istoric_Nativ'!$B$6:$B$405,E1136,'Istoric_Nativ'!$C$6:$C$405,F1136,'Istoric_Nativ'!$E$6:$E$405,G1136,'Istoric_Nativ'!$D$6:$D$405,"&lt;"&amp;J1136,'Istoric_Nativ'!$O$6:$O$405,"INVALID")+COUNTIFS('Istoric_Nativ'!$B$6:$B$405,E1136,'Istoric_Nativ'!$C$6:$C$405,F1136,'Istoric_Nativ'!$E$6:$E$405,G1136,'Istoric_Nativ'!$O$6:$O$405,"INVALID",'Istoric_Nativ'!$D$6:$D$405,"*")+COUNTIFS('Istoric_Nativ'!$B$6:$B$405,E1136,'Istoric_Nativ'!$C$6:$C$405,F1136,'Istoric_Nativ'!$E$6:$E$405,G1136,'Istoric_Nativ'!$D$6:$D$405,"&lt;"&amp;J1136,'Istoric_Nativ'!$O$6:$O$405,"SOURCE CONFLICT")+COUNTIFS('Istoric_Nativ'!$B$6:$B$405,E1136,'Istoric_Nativ'!$C$6:$C$405,F1136,'Istoric_Nativ'!$F$6:$F$405,G1136,'Istoric_Nativ'!$D$6:$D$405,"&lt;"&amp;J1136,'Istoric_Nativ'!$O$6:$O$405,"INVALID")+COUNTIFS('Istoric_Nativ'!$B$6:$B$405,E1136,'Istoric_Nativ'!$C$6:$C$405,F1136,'Istoric_Nativ'!$F$6:$F$405,G1136,'Istoric_Nativ'!$O$6:$O$405,"INVALID",'Istoric_Nativ'!$D$6:$D$405,"*")+COUNTIFS('Istoric_Nativ'!$B$6:$B$405,E1136,'Istoric_Nativ'!$C$6:$C$405,F1136,'Istoric_Nativ'!$F$6:$F$405,G1136,'Istoric_Nativ'!$D$6:$D$405,"&lt;"&amp;J1136,'Istoric_Nativ'!$O$6:$O$405,"SOURCE CONFLICT"))</x:f>
        <x:v>0</x:v>
      </x:c>
      <x:c r="T1136" s="2" t="str">
        <x:f>IF(B1136="","",IF(R1136&lt;&gt;"CLOSED",R1136,IF(S1136&gt;0,"NATIVE INPUT ISSUE",IF(M1136=0,"NO HISTORY",IF(M1136&lt;P1136,"SMALL SAMPLE","DERIVED")))))</x:f>
      </x:c>
      <x:c r="U1136" s="2" t="str">
        <x:f>IF(B1136="","","NativeTable; "&amp;E1136&amp;"; "&amp;F1136&amp;"; "&amp;G1136&amp;"; "&amp;H1136&amp;"; before "&amp;TEXT(J1136,"yyyy-mm-dd")&amp;IF(I1136="RECENT","; from "&amp;TEXT(L1136,"yyyy-mm-dd"),""))</x:f>
      </x:c>
    </x:row>
    <x:row r="1137" ht="21" customHeight="1">
      <x:c r="A1137" s="2" t="n">
        <x:v>95</x:v>
      </x:c>
      <x:c r="B1137" s="2" t="str">
        <x:f>IF('Input_Meci'!A100="","",'Input_Meci'!A100)</x:f>
      </x:c>
      <x:c r="C1137" s="2" t="str">
        <x:v>A</x:v>
      </x:c>
      <x:c r="D1137" s="2" t="str">
        <x:v>CURRENT</x:v>
      </x:c>
      <x:c r="E1137" s="2" t="str">
        <x:f>IF(B1137="","",'Input_Meci'!B100)</x:f>
      </x:c>
      <x:c r="F1137" s="2" t="str">
        <x:f>IF(B1137="","",IF('Input_Meci'!C100="","",'Input_Meci'!C100))</x:f>
      </x:c>
      <x:c r="G1137" s="2" t="str">
        <x:f>IF(B1137="","",'Input_Meci'!E100)</x:f>
      </x:c>
      <x:c r="H1137" s="2" t="str">
        <x:v>ANY</x:v>
      </x:c>
      <x:c r="I1137" s="2" t="str">
        <x:v>SEASON</x:v>
      </x:c>
      <x:c r="J1137" s="9" t="n">
        <x:f>IF(AND(B1137&lt;&gt;"",ISNUMBER('Input_Meci'!G100)),INT('Input_Meci'!G100),0)</x:f>
        <x:v>0</x:v>
      </x:c>
      <x:c r="K1137" s="2" t="n">
        <x:f>IF(OR(B1137="",F1137=""),0,IF(H1137="HOME",COUNTIFS('Istoric_Nativ'!$B$6:$B$405,E1137,'Istoric_Nativ'!$C$6:$C$405,F1137,'Istoric_Nativ'!$E$6:$E$405,G1137,'Istoric_Nativ'!$D$6:$D$405,"&lt;"&amp;J1137,'Istoric_Nativ'!$P$6:$P$405,1),IF(H1137="AWAY",COUNTIFS('Istoric_Nativ'!$B$6:$B$405,E1137,'Istoric_Nativ'!$C$6:$C$405,F1137,'Istoric_Nativ'!$F$6:$F$405,G1137,'Istoric_Nativ'!$D$6:$D$405,"&lt;"&amp;J1137,'Istoric_Nativ'!$P$6:$P$405,1),COUNTIFS('Istoric_Nativ'!$B$6:$B$405,E1137,'Istoric_Nativ'!$C$6:$C$405,F1137,'Istoric_Nativ'!$E$6:$E$405,G1137,'Istoric_Nativ'!$D$6:$D$405,"&lt;"&amp;J1137,'Istoric_Nativ'!$P$6:$P$405,1)+COUNTIFS('Istoric_Nativ'!$B$6:$B$405,E1137,'Istoric_Nativ'!$C$6:$C$405,F1137,'Istoric_Nativ'!$F$6:$F$405,G1137,'Istoric_Nativ'!$D$6:$D$405,"&lt;"&amp;J1137,'Istoric_Nativ'!$P$6:$P$405,1))))</x:f>
        <x:v>0</x:v>
      </x:c>
      <x:c r="L1137" s="17" t="n">
        <x:f>IF(AND(B1137&lt;&gt;"",I1137="RECENT",K1137&gt;0),LARGE(_xlfn._xlws.FILTER('Istoric_Nativ'!$D$6:$D$405,('Istoric_Nativ'!$B$6:$B$405=E1137)*('Istoric_Nativ'!$C$6:$C$405=F1137)*('Istoric_Nativ'!$P$6:$P$405=1)*('Istoric_Nativ'!$D$6:$D$405&lt;J1137)*((('Istoric_Nativ'!$E$6:$E$405=G1137)+('Istoric_Nativ'!$F$6:$F$405=G1137))&gt;0)),MIN('Config_v6'!$B$54,K1137)),0)</x:f>
        <x:v>0</x:v>
      </x:c>
      <x:c r="M1137" s="2" t="n">
        <x:f>IF(OR(B1137="",F1137=""),0,IF(H1137="HOME",COUNTIFS('Istoric_Nativ'!$B$6:$B$405,E1137,'Istoric_Nativ'!$C$6:$C$405,F1137,'Istoric_Nativ'!$E$6:$E$405,G1137,'Istoric_Nativ'!$D$6:$D$405,"&lt;"&amp;J1137,'Istoric_Nativ'!$P$6:$P$405,1,'Istoric_Nativ'!$D$6:$D$405,"&gt;="&amp;L1137),IF(H1137="AWAY",COUNTIFS('Istoric_Nativ'!$B$6:$B$405,E1137,'Istoric_Nativ'!$C$6:$C$405,F1137,'Istoric_Nativ'!$F$6:$F$405,G1137,'Istoric_Nativ'!$D$6:$D$405,"&lt;"&amp;J1137,'Istoric_Nativ'!$P$6:$P$405,1,'Istoric_Nativ'!$D$6:$D$405,"&gt;="&amp;L1137),COUNTIFS('Istoric_Nativ'!$B$6:$B$405,E1137,'Istoric_Nativ'!$C$6:$C$405,F1137,'Istoric_Nativ'!$E$6:$E$405,G1137,'Istoric_Nativ'!$D$6:$D$405,"&lt;"&amp;J1137,'Istoric_Nativ'!$P$6:$P$405,1,'Istoric_Nativ'!$D$6:$D$405,"&gt;="&amp;L1137)+COUNTIFS('Istoric_Nativ'!$B$6:$B$405,E1137,'Istoric_Nativ'!$C$6:$C$405,F1137,'Istoric_Nativ'!$F$6:$F$405,G1137,'Istoric_Nativ'!$D$6:$D$405,"&lt;"&amp;J1137,'Istoric_Nativ'!$P$6:$P$405,1,'Istoric_Nativ'!$D$6:$D$405,"&gt;="&amp;L1137))))</x:f>
        <x:v>0</x:v>
      </x:c>
      <x:c r="N1137" s="11" t="str">
        <x:f>IF(M1137=0,"",IF(H1137="HOME",SUMIFS('Istoric_Nativ'!$G$6:$G$405,'Istoric_Nativ'!$B$6:$B$405,E1137,'Istoric_Nativ'!$C$6:$C$405,F1137,'Istoric_Nativ'!$E$6:$E$405,G1137,'Istoric_Nativ'!$D$6:$D$405,"&lt;"&amp;J1137,'Istoric_Nativ'!$P$6:$P$405,1,'Istoric_Nativ'!$D$6:$D$405,"&gt;="&amp;L1137),IF(H1137="AWAY",SUMIFS('Istoric_Nativ'!$H$6:$H$405,'Istoric_Nativ'!$B$6:$B$405,E1137,'Istoric_Nativ'!$C$6:$C$405,F1137,'Istoric_Nativ'!$F$6:$F$405,G1137,'Istoric_Nativ'!$D$6:$D$405,"&lt;"&amp;J1137,'Istoric_Nativ'!$P$6:$P$405,1,'Istoric_Nativ'!$D$6:$D$405,"&gt;="&amp;L1137),SUMIFS('Istoric_Nativ'!$G$6:$G$405,'Istoric_Nativ'!$B$6:$B$405,E1137,'Istoric_Nativ'!$C$6:$C$405,F1137,'Istoric_Nativ'!$E$6:$E$405,G1137,'Istoric_Nativ'!$D$6:$D$405,"&lt;"&amp;J1137,'Istoric_Nativ'!$P$6:$P$405,1,'Istoric_Nativ'!$D$6:$D$405,"&gt;="&amp;L1137)+SUMIFS('Istoric_Nativ'!$H$6:$H$405,'Istoric_Nativ'!$B$6:$B$405,E1137,'Istoric_Nativ'!$C$6:$C$405,F1137,'Istoric_Nativ'!$F$6:$F$405,G1137,'Istoric_Nativ'!$D$6:$D$405,"&lt;"&amp;J1137,'Istoric_Nativ'!$P$6:$P$405,1,'Istoric_Nativ'!$D$6:$D$405,"&gt;="&amp;L1137)))/M1137)</x:f>
      </x:c>
      <x:c r="O1137" s="11" t="str">
        <x:f>IF(M1137=0,"",IF(H1137="HOME",SUMIFS('Istoric_Nativ'!$H$6:$H$405,'Istoric_Nativ'!$B$6:$B$405,E1137,'Istoric_Nativ'!$C$6:$C$405,F1137,'Istoric_Nativ'!$E$6:$E$405,G1137,'Istoric_Nativ'!$D$6:$D$405,"&lt;"&amp;J1137,'Istoric_Nativ'!$P$6:$P$405,1,'Istoric_Nativ'!$D$6:$D$405,"&gt;="&amp;L1137),IF(H1137="AWAY",SUMIFS('Istoric_Nativ'!$G$6:$G$405,'Istoric_Nativ'!$B$6:$B$405,E1137,'Istoric_Nativ'!$C$6:$C$405,F1137,'Istoric_Nativ'!$F$6:$F$405,G1137,'Istoric_Nativ'!$D$6:$D$405,"&lt;"&amp;J1137,'Istoric_Nativ'!$P$6:$P$405,1,'Istoric_Nativ'!$D$6:$D$405,"&gt;="&amp;L1137),SUMIFS('Istoric_Nativ'!$H$6:$H$405,'Istoric_Nativ'!$B$6:$B$405,E1137,'Istoric_Nativ'!$C$6:$C$405,F1137,'Istoric_Nativ'!$E$6:$E$405,G1137,'Istoric_Nativ'!$D$6:$D$405,"&lt;"&amp;J1137,'Istoric_Nativ'!$P$6:$P$405,1,'Istoric_Nativ'!$D$6:$D$405,"&gt;="&amp;L1137)+SUMIFS('Istoric_Nativ'!$G$6:$G$405,'Istoric_Nativ'!$B$6:$B$405,E1137,'Istoric_Nativ'!$C$6:$C$405,F1137,'Istoric_Nativ'!$F$6:$F$405,G1137,'Istoric_Nativ'!$D$6:$D$405,"&lt;"&amp;J1137,'Istoric_Nativ'!$P$6:$P$405,1,'Istoric_Nativ'!$D$6:$D$405,"&gt;="&amp;L1137)))/M1137)</x:f>
      </x:c>
      <x:c r="P1137" s="2" t="n">
        <x:f>'Config_v6'!$B$7</x:f>
        <x:v>10</x:v>
      </x:c>
      <x:c r="Q1137" s="2" t="n">
        <x:f>IF(OR(B1137="",F1137=""),0,IFERROR(MATCH(E1137&amp;"|"&amp;F1137,SourceTable[Source_Key],0),0))</x:f>
        <x:v>0</x:v>
      </x:c>
      <x:c r="R1137" s="2" t="str">
        <x:f>IF(B1137="","",IF(F1137="","UNUSED",IF(Q1137=0,"NOT CHECKED",IF(COUNTIF(SourceTable[Source_Key],E1137&amp;"|"&amp;F1137)&lt;&gt;1,"SOURCE CONFLICT",IF(NOT(OR(INDEX(SourceTable[Status],MAX(1,Q1137))="IMPORTED",INDEX(SourceTable[Status],MAX(1,Q1137))="PARTIAL",INDEX(SourceTable[Status],MAX(1,Q1137))="SOURCE CONFLICT")),"ACCESS BLOCKED",IF(OR(INDEX(SourceTable[Coverage],Q1137)&lt;&gt;"FULL SEASON EXPORT",INDEX(SourceTable[URL],Q1137)="",INDEX(SourceTable[SHA256],Q1137)=""),"EVIDENCE INCOMPLETE",IF(AND('Input_Meci'!H100="LIVE",INDEX(SourceTable[Retrieved_UTC],Q1137)&gt;'Input_Meci'!G100),"POST CUTOFF","CLOSED")))))))</x:f>
      </x:c>
      <x:c r="S1137" s="2" t="n">
        <x:f>IF(OR(B1137="",F1137=""),0,COUNTIFS('Istoric_Nativ'!$B$6:$B$405,E1137,'Istoric_Nativ'!$C$6:$C$405,F1137,'Istoric_Nativ'!$E$6:$E$405,G1137,'Istoric_Nativ'!$D$6:$D$405,"&lt;"&amp;J1137,'Istoric_Nativ'!$O$6:$O$405,"INVALID")+COUNTIFS('Istoric_Nativ'!$B$6:$B$405,E1137,'Istoric_Nativ'!$C$6:$C$405,F1137,'Istoric_Nativ'!$E$6:$E$405,G1137,'Istoric_Nativ'!$O$6:$O$405,"INVALID",'Istoric_Nativ'!$D$6:$D$405,"*")+COUNTIFS('Istoric_Nativ'!$B$6:$B$405,E1137,'Istoric_Nativ'!$C$6:$C$405,F1137,'Istoric_Nativ'!$E$6:$E$405,G1137,'Istoric_Nativ'!$D$6:$D$405,"&lt;"&amp;J1137,'Istoric_Nativ'!$O$6:$O$405,"SOURCE CONFLICT")+COUNTIFS('Istoric_Nativ'!$B$6:$B$405,E1137,'Istoric_Nativ'!$C$6:$C$405,F1137,'Istoric_Nativ'!$F$6:$F$405,G1137,'Istoric_Nativ'!$D$6:$D$405,"&lt;"&amp;J1137,'Istoric_Nativ'!$O$6:$O$405,"INVALID")+COUNTIFS('Istoric_Nativ'!$B$6:$B$405,E1137,'Istoric_Nativ'!$C$6:$C$405,F1137,'Istoric_Nativ'!$F$6:$F$405,G1137,'Istoric_Nativ'!$O$6:$O$405,"INVALID",'Istoric_Nativ'!$D$6:$D$405,"*")+COUNTIFS('Istoric_Nativ'!$B$6:$B$405,E1137,'Istoric_Nativ'!$C$6:$C$405,F1137,'Istoric_Nativ'!$F$6:$F$405,G1137,'Istoric_Nativ'!$D$6:$D$405,"&lt;"&amp;J1137,'Istoric_Nativ'!$O$6:$O$405,"SOURCE CONFLICT"))</x:f>
        <x:v>0</x:v>
      </x:c>
      <x:c r="T1137" s="2" t="str">
        <x:f>IF(B1137="","",IF(R1137&lt;&gt;"CLOSED",R1137,IF(S1137&gt;0,"NATIVE INPUT ISSUE",IF(M1137=0,"NO HISTORY",IF(M1137&lt;P1137,"SMALL SAMPLE","DERIVED")))))</x:f>
      </x:c>
      <x:c r="U1137" s="2" t="str">
        <x:f>IF(B1137="","","NativeTable; "&amp;E1137&amp;"; "&amp;F1137&amp;"; "&amp;G1137&amp;"; "&amp;H1137&amp;"; before "&amp;TEXT(J1137,"yyyy-mm-dd")&amp;IF(I1137="RECENT","; from "&amp;TEXT(L1137,"yyyy-mm-dd"),""))</x:f>
      </x:c>
    </x:row>
    <x:row r="1138" ht="21" customHeight="1">
      <x:c r="A1138" s="2" t="n">
        <x:v>95</x:v>
      </x:c>
      <x:c r="B1138" s="2" t="str">
        <x:f>IF('Input_Meci'!A100="","",'Input_Meci'!A100)</x:f>
      </x:c>
      <x:c r="C1138" s="2" t="str">
        <x:v>A</x:v>
      </x:c>
      <x:c r="D1138" s="2" t="str">
        <x:v>CURRENT</x:v>
      </x:c>
      <x:c r="E1138" s="2" t="str">
        <x:f>IF(B1138="","",'Input_Meci'!B100)</x:f>
      </x:c>
      <x:c r="F1138" s="2" t="str">
        <x:f>IF(B1138="","",IF('Input_Meci'!C100="","",'Input_Meci'!C100))</x:f>
      </x:c>
      <x:c r="G1138" s="2" t="str">
        <x:f>IF(B1138="","",'Input_Meci'!E100)</x:f>
      </x:c>
      <x:c r="H1138" s="2" t="str">
        <x:v>AWAY</x:v>
      </x:c>
      <x:c r="I1138" s="2" t="str">
        <x:v>HA</x:v>
      </x:c>
      <x:c r="J1138" s="9" t="n">
        <x:f>IF(AND(B1138&lt;&gt;"",ISNUMBER('Input_Meci'!G100)),INT('Input_Meci'!G100),0)</x:f>
        <x:v>0</x:v>
      </x:c>
      <x:c r="K1138" s="2" t="n">
        <x:f>IF(OR(B1138="",F1138=""),0,IF(H1138="HOME",COUNTIFS('Istoric_Nativ'!$B$6:$B$405,E1138,'Istoric_Nativ'!$C$6:$C$405,F1138,'Istoric_Nativ'!$E$6:$E$405,G1138,'Istoric_Nativ'!$D$6:$D$405,"&lt;"&amp;J1138,'Istoric_Nativ'!$P$6:$P$405,1),IF(H1138="AWAY",COUNTIFS('Istoric_Nativ'!$B$6:$B$405,E1138,'Istoric_Nativ'!$C$6:$C$405,F1138,'Istoric_Nativ'!$F$6:$F$405,G1138,'Istoric_Nativ'!$D$6:$D$405,"&lt;"&amp;J1138,'Istoric_Nativ'!$P$6:$P$405,1),COUNTIFS('Istoric_Nativ'!$B$6:$B$405,E1138,'Istoric_Nativ'!$C$6:$C$405,F1138,'Istoric_Nativ'!$E$6:$E$405,G1138,'Istoric_Nativ'!$D$6:$D$405,"&lt;"&amp;J1138,'Istoric_Nativ'!$P$6:$P$405,1)+COUNTIFS('Istoric_Nativ'!$B$6:$B$405,E1138,'Istoric_Nativ'!$C$6:$C$405,F1138,'Istoric_Nativ'!$F$6:$F$405,G1138,'Istoric_Nativ'!$D$6:$D$405,"&lt;"&amp;J1138,'Istoric_Nativ'!$P$6:$P$405,1))))</x:f>
        <x:v>0</x:v>
      </x:c>
      <x:c r="L1138" s="17" t="n">
        <x:f>IF(AND(B1138&lt;&gt;"",I1138="RECENT",K1138&gt;0),LARGE(_xlfn._xlws.FILTER('Istoric_Nativ'!$D$6:$D$405,('Istoric_Nativ'!$B$6:$B$405=E1138)*('Istoric_Nativ'!$C$6:$C$405=F1138)*('Istoric_Nativ'!$P$6:$P$405=1)*('Istoric_Nativ'!$D$6:$D$405&lt;J1138)*((('Istoric_Nativ'!$E$6:$E$405=G1138)+('Istoric_Nativ'!$F$6:$F$405=G1138))&gt;0)),MIN('Config_v6'!$B$54,K1138)),0)</x:f>
        <x:v>0</x:v>
      </x:c>
      <x:c r="M1138" s="2" t="n">
        <x:f>IF(OR(B1138="",F1138=""),0,IF(H1138="HOME",COUNTIFS('Istoric_Nativ'!$B$6:$B$405,E1138,'Istoric_Nativ'!$C$6:$C$405,F1138,'Istoric_Nativ'!$E$6:$E$405,G1138,'Istoric_Nativ'!$D$6:$D$405,"&lt;"&amp;J1138,'Istoric_Nativ'!$P$6:$P$405,1,'Istoric_Nativ'!$D$6:$D$405,"&gt;="&amp;L1138),IF(H1138="AWAY",COUNTIFS('Istoric_Nativ'!$B$6:$B$405,E1138,'Istoric_Nativ'!$C$6:$C$405,F1138,'Istoric_Nativ'!$F$6:$F$405,G1138,'Istoric_Nativ'!$D$6:$D$405,"&lt;"&amp;J1138,'Istoric_Nativ'!$P$6:$P$405,1,'Istoric_Nativ'!$D$6:$D$405,"&gt;="&amp;L1138),COUNTIFS('Istoric_Nativ'!$B$6:$B$405,E1138,'Istoric_Nativ'!$C$6:$C$405,F1138,'Istoric_Nativ'!$E$6:$E$405,G1138,'Istoric_Nativ'!$D$6:$D$405,"&lt;"&amp;J1138,'Istoric_Nativ'!$P$6:$P$405,1,'Istoric_Nativ'!$D$6:$D$405,"&gt;="&amp;L1138)+COUNTIFS('Istoric_Nativ'!$B$6:$B$405,E1138,'Istoric_Nativ'!$C$6:$C$405,F1138,'Istoric_Nativ'!$F$6:$F$405,G1138,'Istoric_Nativ'!$D$6:$D$405,"&lt;"&amp;J1138,'Istoric_Nativ'!$P$6:$P$405,1,'Istoric_Nativ'!$D$6:$D$405,"&gt;="&amp;L1138))))</x:f>
        <x:v>0</x:v>
      </x:c>
      <x:c r="N1138" s="11" t="str">
        <x:f>IF(M1138=0,"",IF(H1138="HOME",SUMIFS('Istoric_Nativ'!$G$6:$G$405,'Istoric_Nativ'!$B$6:$B$405,E1138,'Istoric_Nativ'!$C$6:$C$405,F1138,'Istoric_Nativ'!$E$6:$E$405,G1138,'Istoric_Nativ'!$D$6:$D$405,"&lt;"&amp;J1138,'Istoric_Nativ'!$P$6:$P$405,1,'Istoric_Nativ'!$D$6:$D$405,"&gt;="&amp;L1138),IF(H1138="AWAY",SUMIFS('Istoric_Nativ'!$H$6:$H$405,'Istoric_Nativ'!$B$6:$B$405,E1138,'Istoric_Nativ'!$C$6:$C$405,F1138,'Istoric_Nativ'!$F$6:$F$405,G1138,'Istoric_Nativ'!$D$6:$D$405,"&lt;"&amp;J1138,'Istoric_Nativ'!$P$6:$P$405,1,'Istoric_Nativ'!$D$6:$D$405,"&gt;="&amp;L1138),SUMIFS('Istoric_Nativ'!$G$6:$G$405,'Istoric_Nativ'!$B$6:$B$405,E1138,'Istoric_Nativ'!$C$6:$C$405,F1138,'Istoric_Nativ'!$E$6:$E$405,G1138,'Istoric_Nativ'!$D$6:$D$405,"&lt;"&amp;J1138,'Istoric_Nativ'!$P$6:$P$405,1,'Istoric_Nativ'!$D$6:$D$405,"&gt;="&amp;L1138)+SUMIFS('Istoric_Nativ'!$H$6:$H$405,'Istoric_Nativ'!$B$6:$B$405,E1138,'Istoric_Nativ'!$C$6:$C$405,F1138,'Istoric_Nativ'!$F$6:$F$405,G1138,'Istoric_Nativ'!$D$6:$D$405,"&lt;"&amp;J1138,'Istoric_Nativ'!$P$6:$P$405,1,'Istoric_Nativ'!$D$6:$D$405,"&gt;="&amp;L1138)))/M1138)</x:f>
      </x:c>
      <x:c r="O1138" s="11" t="str">
        <x:f>IF(M1138=0,"",IF(H1138="HOME",SUMIFS('Istoric_Nativ'!$H$6:$H$405,'Istoric_Nativ'!$B$6:$B$405,E1138,'Istoric_Nativ'!$C$6:$C$405,F1138,'Istoric_Nativ'!$E$6:$E$405,G1138,'Istoric_Nativ'!$D$6:$D$405,"&lt;"&amp;J1138,'Istoric_Nativ'!$P$6:$P$405,1,'Istoric_Nativ'!$D$6:$D$405,"&gt;="&amp;L1138),IF(H1138="AWAY",SUMIFS('Istoric_Nativ'!$G$6:$G$405,'Istoric_Nativ'!$B$6:$B$405,E1138,'Istoric_Nativ'!$C$6:$C$405,F1138,'Istoric_Nativ'!$F$6:$F$405,G1138,'Istoric_Nativ'!$D$6:$D$405,"&lt;"&amp;J1138,'Istoric_Nativ'!$P$6:$P$405,1,'Istoric_Nativ'!$D$6:$D$405,"&gt;="&amp;L1138),SUMIFS('Istoric_Nativ'!$H$6:$H$405,'Istoric_Nativ'!$B$6:$B$405,E1138,'Istoric_Nativ'!$C$6:$C$405,F1138,'Istoric_Nativ'!$E$6:$E$405,G1138,'Istoric_Nativ'!$D$6:$D$405,"&lt;"&amp;J1138,'Istoric_Nativ'!$P$6:$P$405,1,'Istoric_Nativ'!$D$6:$D$405,"&gt;="&amp;L1138)+SUMIFS('Istoric_Nativ'!$G$6:$G$405,'Istoric_Nativ'!$B$6:$B$405,E1138,'Istoric_Nativ'!$C$6:$C$405,F1138,'Istoric_Nativ'!$F$6:$F$405,G1138,'Istoric_Nativ'!$D$6:$D$405,"&lt;"&amp;J1138,'Istoric_Nativ'!$P$6:$P$405,1,'Istoric_Nativ'!$D$6:$D$405,"&gt;="&amp;L1138)))/M1138)</x:f>
      </x:c>
      <x:c r="P1138" s="2" t="n">
        <x:f>'Config_v6'!$B$8</x:f>
        <x:v>5</x:v>
      </x:c>
      <x:c r="Q1138" s="2" t="n">
        <x:f>IF(OR(B1138="",F1138=""),0,IFERROR(MATCH(E1138&amp;"|"&amp;F1138,SourceTable[Source_Key],0),0))</x:f>
        <x:v>0</x:v>
      </x:c>
      <x:c r="R1138" s="2" t="str">
        <x:f>IF(B1138="","",IF(F1138="","UNUSED",IF(Q1138=0,"NOT CHECKED",IF(COUNTIF(SourceTable[Source_Key],E1138&amp;"|"&amp;F1138)&lt;&gt;1,"SOURCE CONFLICT",IF(NOT(OR(INDEX(SourceTable[Status],MAX(1,Q1138))="IMPORTED",INDEX(SourceTable[Status],MAX(1,Q1138))="PARTIAL",INDEX(SourceTable[Status],MAX(1,Q1138))="SOURCE CONFLICT")),"ACCESS BLOCKED",IF(OR(INDEX(SourceTable[Coverage],Q1138)&lt;&gt;"FULL SEASON EXPORT",INDEX(SourceTable[URL],Q1138)="",INDEX(SourceTable[SHA256],Q1138)=""),"EVIDENCE INCOMPLETE",IF(AND('Input_Meci'!H100="LIVE",INDEX(SourceTable[Retrieved_UTC],Q1138)&gt;'Input_Meci'!G100),"POST CUTOFF","CLOSED")))))))</x:f>
      </x:c>
      <x:c r="S1138" s="2" t="n">
        <x:f>IF(OR(B1138="",F1138=""),0,COUNTIFS('Istoric_Nativ'!$B$6:$B$405,E1138,'Istoric_Nativ'!$C$6:$C$405,F1138,'Istoric_Nativ'!$E$6:$E$405,G1138,'Istoric_Nativ'!$D$6:$D$405,"&lt;"&amp;J1138,'Istoric_Nativ'!$O$6:$O$405,"INVALID")+COUNTIFS('Istoric_Nativ'!$B$6:$B$405,E1138,'Istoric_Nativ'!$C$6:$C$405,F1138,'Istoric_Nativ'!$E$6:$E$405,G1138,'Istoric_Nativ'!$O$6:$O$405,"INVALID",'Istoric_Nativ'!$D$6:$D$405,"*")+COUNTIFS('Istoric_Nativ'!$B$6:$B$405,E1138,'Istoric_Nativ'!$C$6:$C$405,F1138,'Istoric_Nativ'!$E$6:$E$405,G1138,'Istoric_Nativ'!$D$6:$D$405,"&lt;"&amp;J1138,'Istoric_Nativ'!$O$6:$O$405,"SOURCE CONFLICT")+COUNTIFS('Istoric_Nativ'!$B$6:$B$405,E1138,'Istoric_Nativ'!$C$6:$C$405,F1138,'Istoric_Nativ'!$F$6:$F$405,G1138,'Istoric_Nativ'!$D$6:$D$405,"&lt;"&amp;J1138,'Istoric_Nativ'!$O$6:$O$405,"INVALID")+COUNTIFS('Istoric_Nativ'!$B$6:$B$405,E1138,'Istoric_Nativ'!$C$6:$C$405,F1138,'Istoric_Nativ'!$F$6:$F$405,G1138,'Istoric_Nativ'!$O$6:$O$405,"INVALID",'Istoric_Nativ'!$D$6:$D$405,"*")+COUNTIFS('Istoric_Nativ'!$B$6:$B$405,E1138,'Istoric_Nativ'!$C$6:$C$405,F1138,'Istoric_Nativ'!$F$6:$F$405,G1138,'Istoric_Nativ'!$D$6:$D$405,"&lt;"&amp;J1138,'Istoric_Nativ'!$O$6:$O$405,"SOURCE CONFLICT"))</x:f>
        <x:v>0</x:v>
      </x:c>
      <x:c r="T1138" s="2" t="str">
        <x:f>IF(B1138="","",IF(R1138&lt;&gt;"CLOSED",R1138,IF(S1138&gt;0,"NATIVE INPUT ISSUE",IF(M1138=0,"NO HISTORY",IF(M1138&lt;P1138,"SMALL SAMPLE","DERIVED")))))</x:f>
      </x:c>
      <x:c r="U1138" s="2" t="str">
        <x:f>IF(B1138="","","NativeTable; "&amp;E1138&amp;"; "&amp;F1138&amp;"; "&amp;G1138&amp;"; "&amp;H1138&amp;"; before "&amp;TEXT(J1138,"yyyy-mm-dd")&amp;IF(I1138="RECENT","; from "&amp;TEXT(L1138,"yyyy-mm-dd"),""))</x:f>
      </x:c>
    </x:row>
    <x:row r="1139" ht="21" customHeight="1">
      <x:c r="A1139" s="2" t="n">
        <x:v>95</x:v>
      </x:c>
      <x:c r="B1139" s="2" t="str">
        <x:f>IF('Input_Meci'!A100="","",'Input_Meci'!A100)</x:f>
      </x:c>
      <x:c r="C1139" s="2" t="str">
        <x:v>A</x:v>
      </x:c>
      <x:c r="D1139" s="2" t="str">
        <x:v>CURRENT</x:v>
      </x:c>
      <x:c r="E1139" s="2" t="str">
        <x:f>IF(B1139="","",'Input_Meci'!B100)</x:f>
      </x:c>
      <x:c r="F1139" s="2" t="str">
        <x:f>IF(B1139="","",IF('Input_Meci'!C100="","",'Input_Meci'!C100))</x:f>
      </x:c>
      <x:c r="G1139" s="2" t="str">
        <x:f>IF(B1139="","",'Input_Meci'!E100)</x:f>
      </x:c>
      <x:c r="H1139" s="2" t="str">
        <x:v>ANY</x:v>
      </x:c>
      <x:c r="I1139" s="2" t="str">
        <x:v>RECENT</x:v>
      </x:c>
      <x:c r="J1139" s="9" t="n">
        <x:f>IF(AND(B1139&lt;&gt;"",ISNUMBER('Input_Meci'!G100)),INT('Input_Meci'!G100),0)</x:f>
        <x:v>0</x:v>
      </x:c>
      <x:c r="K1139" s="2" t="n">
        <x:f>IF(OR(B1139="",F1139=""),0,IF(H1139="HOME",COUNTIFS('Istoric_Nativ'!$B$6:$B$405,E1139,'Istoric_Nativ'!$C$6:$C$405,F1139,'Istoric_Nativ'!$E$6:$E$405,G1139,'Istoric_Nativ'!$D$6:$D$405,"&lt;"&amp;J1139,'Istoric_Nativ'!$P$6:$P$405,1),IF(H1139="AWAY",COUNTIFS('Istoric_Nativ'!$B$6:$B$405,E1139,'Istoric_Nativ'!$C$6:$C$405,F1139,'Istoric_Nativ'!$F$6:$F$405,G1139,'Istoric_Nativ'!$D$6:$D$405,"&lt;"&amp;J1139,'Istoric_Nativ'!$P$6:$P$405,1),COUNTIFS('Istoric_Nativ'!$B$6:$B$405,E1139,'Istoric_Nativ'!$C$6:$C$405,F1139,'Istoric_Nativ'!$E$6:$E$405,G1139,'Istoric_Nativ'!$D$6:$D$405,"&lt;"&amp;J1139,'Istoric_Nativ'!$P$6:$P$405,1)+COUNTIFS('Istoric_Nativ'!$B$6:$B$405,E1139,'Istoric_Nativ'!$C$6:$C$405,F1139,'Istoric_Nativ'!$F$6:$F$405,G1139,'Istoric_Nativ'!$D$6:$D$405,"&lt;"&amp;J1139,'Istoric_Nativ'!$P$6:$P$405,1))))</x:f>
        <x:v>0</x:v>
      </x:c>
      <x:c r="L1139" s="17" t="n">
        <x:f>IF(AND(B1139&lt;&gt;"",I1139="RECENT",K1139&gt;0),LARGE(_xlfn._xlws.FILTER('Istoric_Nativ'!$D$6:$D$405,('Istoric_Nativ'!$B$6:$B$405=E1139)*('Istoric_Nativ'!$C$6:$C$405=F1139)*('Istoric_Nativ'!$P$6:$P$405=1)*('Istoric_Nativ'!$D$6:$D$405&lt;J1139)*((('Istoric_Nativ'!$E$6:$E$405=G1139)+('Istoric_Nativ'!$F$6:$F$405=G1139))&gt;0)),MIN('Config_v6'!$B$54,K1139)),0)</x:f>
        <x:v>0</x:v>
      </x:c>
      <x:c r="M1139" s="2" t="n">
        <x:f>IF(OR(B1139="",F1139=""),0,IF(H1139="HOME",COUNTIFS('Istoric_Nativ'!$B$6:$B$405,E1139,'Istoric_Nativ'!$C$6:$C$405,F1139,'Istoric_Nativ'!$E$6:$E$405,G1139,'Istoric_Nativ'!$D$6:$D$405,"&lt;"&amp;J1139,'Istoric_Nativ'!$P$6:$P$405,1,'Istoric_Nativ'!$D$6:$D$405,"&gt;="&amp;L1139),IF(H1139="AWAY",COUNTIFS('Istoric_Nativ'!$B$6:$B$405,E1139,'Istoric_Nativ'!$C$6:$C$405,F1139,'Istoric_Nativ'!$F$6:$F$405,G1139,'Istoric_Nativ'!$D$6:$D$405,"&lt;"&amp;J1139,'Istoric_Nativ'!$P$6:$P$405,1,'Istoric_Nativ'!$D$6:$D$405,"&gt;="&amp;L1139),COUNTIFS('Istoric_Nativ'!$B$6:$B$405,E1139,'Istoric_Nativ'!$C$6:$C$405,F1139,'Istoric_Nativ'!$E$6:$E$405,G1139,'Istoric_Nativ'!$D$6:$D$405,"&lt;"&amp;J1139,'Istoric_Nativ'!$P$6:$P$405,1,'Istoric_Nativ'!$D$6:$D$405,"&gt;="&amp;L1139)+COUNTIFS('Istoric_Nativ'!$B$6:$B$405,E1139,'Istoric_Nativ'!$C$6:$C$405,F1139,'Istoric_Nativ'!$F$6:$F$405,G1139,'Istoric_Nativ'!$D$6:$D$405,"&lt;"&amp;J1139,'Istoric_Nativ'!$P$6:$P$405,1,'Istoric_Nativ'!$D$6:$D$405,"&gt;="&amp;L1139))))</x:f>
        <x:v>0</x:v>
      </x:c>
      <x:c r="N1139" s="11" t="str">
        <x:f>IF(M1139=0,"",IF(H1139="HOME",SUMIFS('Istoric_Nativ'!$G$6:$G$405,'Istoric_Nativ'!$B$6:$B$405,E1139,'Istoric_Nativ'!$C$6:$C$405,F1139,'Istoric_Nativ'!$E$6:$E$405,G1139,'Istoric_Nativ'!$D$6:$D$405,"&lt;"&amp;J1139,'Istoric_Nativ'!$P$6:$P$405,1,'Istoric_Nativ'!$D$6:$D$405,"&gt;="&amp;L1139),IF(H1139="AWAY",SUMIFS('Istoric_Nativ'!$H$6:$H$405,'Istoric_Nativ'!$B$6:$B$405,E1139,'Istoric_Nativ'!$C$6:$C$405,F1139,'Istoric_Nativ'!$F$6:$F$405,G1139,'Istoric_Nativ'!$D$6:$D$405,"&lt;"&amp;J1139,'Istoric_Nativ'!$P$6:$P$405,1,'Istoric_Nativ'!$D$6:$D$405,"&gt;="&amp;L1139),SUMIFS('Istoric_Nativ'!$G$6:$G$405,'Istoric_Nativ'!$B$6:$B$405,E1139,'Istoric_Nativ'!$C$6:$C$405,F1139,'Istoric_Nativ'!$E$6:$E$405,G1139,'Istoric_Nativ'!$D$6:$D$405,"&lt;"&amp;J1139,'Istoric_Nativ'!$P$6:$P$405,1,'Istoric_Nativ'!$D$6:$D$405,"&gt;="&amp;L1139)+SUMIFS('Istoric_Nativ'!$H$6:$H$405,'Istoric_Nativ'!$B$6:$B$405,E1139,'Istoric_Nativ'!$C$6:$C$405,F1139,'Istoric_Nativ'!$F$6:$F$405,G1139,'Istoric_Nativ'!$D$6:$D$405,"&lt;"&amp;J1139,'Istoric_Nativ'!$P$6:$P$405,1,'Istoric_Nativ'!$D$6:$D$405,"&gt;="&amp;L1139)))/M1139)</x:f>
      </x:c>
      <x:c r="O1139" s="11" t="str">
        <x:f>IF(M1139=0,"",IF(H1139="HOME",SUMIFS('Istoric_Nativ'!$H$6:$H$405,'Istoric_Nativ'!$B$6:$B$405,E1139,'Istoric_Nativ'!$C$6:$C$405,F1139,'Istoric_Nativ'!$E$6:$E$405,G1139,'Istoric_Nativ'!$D$6:$D$405,"&lt;"&amp;J1139,'Istoric_Nativ'!$P$6:$P$405,1,'Istoric_Nativ'!$D$6:$D$405,"&gt;="&amp;L1139),IF(H1139="AWAY",SUMIFS('Istoric_Nativ'!$G$6:$G$405,'Istoric_Nativ'!$B$6:$B$405,E1139,'Istoric_Nativ'!$C$6:$C$405,F1139,'Istoric_Nativ'!$F$6:$F$405,G1139,'Istoric_Nativ'!$D$6:$D$405,"&lt;"&amp;J1139,'Istoric_Nativ'!$P$6:$P$405,1,'Istoric_Nativ'!$D$6:$D$405,"&gt;="&amp;L1139),SUMIFS('Istoric_Nativ'!$H$6:$H$405,'Istoric_Nativ'!$B$6:$B$405,E1139,'Istoric_Nativ'!$C$6:$C$405,F1139,'Istoric_Nativ'!$E$6:$E$405,G1139,'Istoric_Nativ'!$D$6:$D$405,"&lt;"&amp;J1139,'Istoric_Nativ'!$P$6:$P$405,1,'Istoric_Nativ'!$D$6:$D$405,"&gt;="&amp;L1139)+SUMIFS('Istoric_Nativ'!$G$6:$G$405,'Istoric_Nativ'!$B$6:$B$405,E1139,'Istoric_Nativ'!$C$6:$C$405,F1139,'Istoric_Nativ'!$F$6:$F$405,G1139,'Istoric_Nativ'!$D$6:$D$405,"&lt;"&amp;J1139,'Istoric_Nativ'!$P$6:$P$405,1,'Istoric_Nativ'!$D$6:$D$405,"&gt;="&amp;L1139)))/M1139)</x:f>
      </x:c>
      <x:c r="P1139" s="2" t="n">
        <x:f>'Config_v6'!$B$9</x:f>
        <x:v>3</x:v>
      </x:c>
      <x:c r="Q1139" s="2" t="n">
        <x:f>IF(OR(B1139="",F1139=""),0,IFERROR(MATCH(E1139&amp;"|"&amp;F1139,SourceTable[Source_Key],0),0))</x:f>
        <x:v>0</x:v>
      </x:c>
      <x:c r="R1139" s="2" t="str">
        <x:f>IF(B1139="","",IF(F1139="","UNUSED",IF(Q1139=0,"NOT CHECKED",IF(COUNTIF(SourceTable[Source_Key],E1139&amp;"|"&amp;F1139)&lt;&gt;1,"SOURCE CONFLICT",IF(NOT(OR(INDEX(SourceTable[Status],MAX(1,Q1139))="IMPORTED",INDEX(SourceTable[Status],MAX(1,Q1139))="PARTIAL",INDEX(SourceTable[Status],MAX(1,Q1139))="SOURCE CONFLICT")),"ACCESS BLOCKED",IF(OR(INDEX(SourceTable[Coverage],Q1139)&lt;&gt;"FULL SEASON EXPORT",INDEX(SourceTable[URL],Q1139)="",INDEX(SourceTable[SHA256],Q1139)=""),"EVIDENCE INCOMPLETE",IF(AND('Input_Meci'!H100="LIVE",INDEX(SourceTable[Retrieved_UTC],Q1139)&gt;'Input_Meci'!G100),"POST CUTOFF","CLOSED")))))))</x:f>
      </x:c>
      <x:c r="S1139" s="2" t="n">
        <x:f>IF(OR(B1139="",F1139=""),0,COUNTIFS('Istoric_Nativ'!$B$6:$B$405,E1139,'Istoric_Nativ'!$C$6:$C$405,F1139,'Istoric_Nativ'!$E$6:$E$405,G1139,'Istoric_Nativ'!$D$6:$D$405,"&lt;"&amp;J1139,'Istoric_Nativ'!$O$6:$O$405,"INVALID")+COUNTIFS('Istoric_Nativ'!$B$6:$B$405,E1139,'Istoric_Nativ'!$C$6:$C$405,F1139,'Istoric_Nativ'!$E$6:$E$405,G1139,'Istoric_Nativ'!$O$6:$O$405,"INVALID",'Istoric_Nativ'!$D$6:$D$405,"*")+COUNTIFS('Istoric_Nativ'!$B$6:$B$405,E1139,'Istoric_Nativ'!$C$6:$C$405,F1139,'Istoric_Nativ'!$E$6:$E$405,G1139,'Istoric_Nativ'!$D$6:$D$405,"&lt;"&amp;J1139,'Istoric_Nativ'!$O$6:$O$405,"SOURCE CONFLICT")+COUNTIFS('Istoric_Nativ'!$B$6:$B$405,E1139,'Istoric_Nativ'!$C$6:$C$405,F1139,'Istoric_Nativ'!$F$6:$F$405,G1139,'Istoric_Nativ'!$D$6:$D$405,"&lt;"&amp;J1139,'Istoric_Nativ'!$O$6:$O$405,"INVALID")+COUNTIFS('Istoric_Nativ'!$B$6:$B$405,E1139,'Istoric_Nativ'!$C$6:$C$405,F1139,'Istoric_Nativ'!$F$6:$F$405,G1139,'Istoric_Nativ'!$O$6:$O$405,"INVALID",'Istoric_Nativ'!$D$6:$D$405,"*")+COUNTIFS('Istoric_Nativ'!$B$6:$B$405,E1139,'Istoric_Nativ'!$C$6:$C$405,F1139,'Istoric_Nativ'!$F$6:$F$405,G1139,'Istoric_Nativ'!$D$6:$D$405,"&lt;"&amp;J1139,'Istoric_Nativ'!$O$6:$O$405,"SOURCE CONFLICT"))</x:f>
        <x:v>0</x:v>
      </x:c>
      <x:c r="T1139" s="2" t="str">
        <x:f>IF(B1139="","",IF(R1139&lt;&gt;"CLOSED",R1139,IF(S1139&gt;0,"NATIVE INPUT ISSUE",IF(M1139=0,"NO HISTORY",IF(M1139&lt;P1139,"SMALL SAMPLE","DERIVED")))))</x:f>
      </x:c>
      <x:c r="U1139" s="2" t="str">
        <x:f>IF(B1139="","","NativeTable; "&amp;E1139&amp;"; "&amp;F1139&amp;"; "&amp;G1139&amp;"; "&amp;H1139&amp;"; before "&amp;TEXT(J1139,"yyyy-mm-dd")&amp;IF(I1139="RECENT","; from "&amp;TEXT(L1139,"yyyy-mm-dd"),""))</x:f>
      </x:c>
    </x:row>
    <x:row r="1140" ht="21" customHeight="1">
      <x:c r="A1140" s="2" t="n">
        <x:v>95</x:v>
      </x:c>
      <x:c r="B1140" s="2" t="str">
        <x:f>IF('Input_Meci'!A100="","",'Input_Meci'!A100)</x:f>
      </x:c>
      <x:c r="C1140" s="2" t="str">
        <x:v>H</x:v>
      </x:c>
      <x:c r="D1140" s="2" t="str">
        <x:v>PRIOR</x:v>
      </x:c>
      <x:c r="E1140" s="2" t="str">
        <x:f>IF(B1140="","",'Input_Meci'!B100)</x:f>
      </x:c>
      <x:c r="F1140" s="2" t="str">
        <x:f>IF(B1140="","",IF('Input_Meci'!K100="","",'Input_Meci'!K100))</x:f>
      </x:c>
      <x:c r="G1140" s="2" t="str">
        <x:f>IF(B1140="","",'Input_Meci'!D100)</x:f>
      </x:c>
      <x:c r="H1140" s="2" t="str">
        <x:v>ANY</x:v>
      </x:c>
      <x:c r="I1140" s="2" t="str">
        <x:v>SEASON</x:v>
      </x:c>
      <x:c r="J1140" s="9" t="n">
        <x:f>IF(AND(B1140&lt;&gt;"",ISNUMBER('Input_Meci'!G100)),INT('Input_Meci'!G100),0)</x:f>
        <x:v>0</x:v>
      </x:c>
      <x:c r="K1140" s="2" t="n">
        <x:f>IF(OR(B1140="",F1140=""),0,IF(H1140="HOME",COUNTIFS('Istoric_Nativ'!$B$6:$B$405,E1140,'Istoric_Nativ'!$C$6:$C$405,F1140,'Istoric_Nativ'!$E$6:$E$405,G1140,'Istoric_Nativ'!$D$6:$D$405,"&lt;"&amp;J1140,'Istoric_Nativ'!$P$6:$P$405,1),IF(H1140="AWAY",COUNTIFS('Istoric_Nativ'!$B$6:$B$405,E1140,'Istoric_Nativ'!$C$6:$C$405,F1140,'Istoric_Nativ'!$F$6:$F$405,G1140,'Istoric_Nativ'!$D$6:$D$405,"&lt;"&amp;J1140,'Istoric_Nativ'!$P$6:$P$405,1),COUNTIFS('Istoric_Nativ'!$B$6:$B$405,E1140,'Istoric_Nativ'!$C$6:$C$405,F1140,'Istoric_Nativ'!$E$6:$E$405,G1140,'Istoric_Nativ'!$D$6:$D$405,"&lt;"&amp;J1140,'Istoric_Nativ'!$P$6:$P$405,1)+COUNTIFS('Istoric_Nativ'!$B$6:$B$405,E1140,'Istoric_Nativ'!$C$6:$C$405,F1140,'Istoric_Nativ'!$F$6:$F$405,G1140,'Istoric_Nativ'!$D$6:$D$405,"&lt;"&amp;J1140,'Istoric_Nativ'!$P$6:$P$405,1))))</x:f>
        <x:v>0</x:v>
      </x:c>
      <x:c r="L1140" s="17" t="n">
        <x:f>IF(AND(B1140&lt;&gt;"",I1140="RECENT",K1140&gt;0),LARGE(_xlfn._xlws.FILTER('Istoric_Nativ'!$D$6:$D$405,('Istoric_Nativ'!$B$6:$B$405=E1140)*('Istoric_Nativ'!$C$6:$C$405=F1140)*('Istoric_Nativ'!$P$6:$P$405=1)*('Istoric_Nativ'!$D$6:$D$405&lt;J1140)*((('Istoric_Nativ'!$E$6:$E$405=G1140)+('Istoric_Nativ'!$F$6:$F$405=G1140))&gt;0)),MIN('Config_v6'!$B$54,K1140)),0)</x:f>
        <x:v>0</x:v>
      </x:c>
      <x:c r="M1140" s="2" t="n">
        <x:f>IF(OR(B1140="",F1140=""),0,IF(H1140="HOME",COUNTIFS('Istoric_Nativ'!$B$6:$B$405,E1140,'Istoric_Nativ'!$C$6:$C$405,F1140,'Istoric_Nativ'!$E$6:$E$405,G1140,'Istoric_Nativ'!$D$6:$D$405,"&lt;"&amp;J1140,'Istoric_Nativ'!$P$6:$P$405,1,'Istoric_Nativ'!$D$6:$D$405,"&gt;="&amp;L1140),IF(H1140="AWAY",COUNTIFS('Istoric_Nativ'!$B$6:$B$405,E1140,'Istoric_Nativ'!$C$6:$C$405,F1140,'Istoric_Nativ'!$F$6:$F$405,G1140,'Istoric_Nativ'!$D$6:$D$405,"&lt;"&amp;J1140,'Istoric_Nativ'!$P$6:$P$405,1,'Istoric_Nativ'!$D$6:$D$405,"&gt;="&amp;L1140),COUNTIFS('Istoric_Nativ'!$B$6:$B$405,E1140,'Istoric_Nativ'!$C$6:$C$405,F1140,'Istoric_Nativ'!$E$6:$E$405,G1140,'Istoric_Nativ'!$D$6:$D$405,"&lt;"&amp;J1140,'Istoric_Nativ'!$P$6:$P$405,1,'Istoric_Nativ'!$D$6:$D$405,"&gt;="&amp;L1140)+COUNTIFS('Istoric_Nativ'!$B$6:$B$405,E1140,'Istoric_Nativ'!$C$6:$C$405,F1140,'Istoric_Nativ'!$F$6:$F$405,G1140,'Istoric_Nativ'!$D$6:$D$405,"&lt;"&amp;J1140,'Istoric_Nativ'!$P$6:$P$405,1,'Istoric_Nativ'!$D$6:$D$405,"&gt;="&amp;L1140))))</x:f>
        <x:v>0</x:v>
      </x:c>
      <x:c r="N1140" s="11" t="str">
        <x:f>IF(M1140=0,"",IF(H1140="HOME",SUMIFS('Istoric_Nativ'!$G$6:$G$405,'Istoric_Nativ'!$B$6:$B$405,E1140,'Istoric_Nativ'!$C$6:$C$405,F1140,'Istoric_Nativ'!$E$6:$E$405,G1140,'Istoric_Nativ'!$D$6:$D$405,"&lt;"&amp;J1140,'Istoric_Nativ'!$P$6:$P$405,1,'Istoric_Nativ'!$D$6:$D$405,"&gt;="&amp;L1140),IF(H1140="AWAY",SUMIFS('Istoric_Nativ'!$H$6:$H$405,'Istoric_Nativ'!$B$6:$B$405,E1140,'Istoric_Nativ'!$C$6:$C$405,F1140,'Istoric_Nativ'!$F$6:$F$405,G1140,'Istoric_Nativ'!$D$6:$D$405,"&lt;"&amp;J1140,'Istoric_Nativ'!$P$6:$P$405,1,'Istoric_Nativ'!$D$6:$D$405,"&gt;="&amp;L1140),SUMIFS('Istoric_Nativ'!$G$6:$G$405,'Istoric_Nativ'!$B$6:$B$405,E1140,'Istoric_Nativ'!$C$6:$C$405,F1140,'Istoric_Nativ'!$E$6:$E$405,G1140,'Istoric_Nativ'!$D$6:$D$405,"&lt;"&amp;J1140,'Istoric_Nativ'!$P$6:$P$405,1,'Istoric_Nativ'!$D$6:$D$405,"&gt;="&amp;L1140)+SUMIFS('Istoric_Nativ'!$H$6:$H$405,'Istoric_Nativ'!$B$6:$B$405,E1140,'Istoric_Nativ'!$C$6:$C$405,F1140,'Istoric_Nativ'!$F$6:$F$405,G1140,'Istoric_Nativ'!$D$6:$D$405,"&lt;"&amp;J1140,'Istoric_Nativ'!$P$6:$P$405,1,'Istoric_Nativ'!$D$6:$D$405,"&gt;="&amp;L1140)))/M1140)</x:f>
      </x:c>
      <x:c r="O1140" s="11" t="str">
        <x:f>IF(M1140=0,"",IF(H1140="HOME",SUMIFS('Istoric_Nativ'!$H$6:$H$405,'Istoric_Nativ'!$B$6:$B$405,E1140,'Istoric_Nativ'!$C$6:$C$405,F1140,'Istoric_Nativ'!$E$6:$E$405,G1140,'Istoric_Nativ'!$D$6:$D$405,"&lt;"&amp;J1140,'Istoric_Nativ'!$P$6:$P$405,1,'Istoric_Nativ'!$D$6:$D$405,"&gt;="&amp;L1140),IF(H1140="AWAY",SUMIFS('Istoric_Nativ'!$G$6:$G$405,'Istoric_Nativ'!$B$6:$B$405,E1140,'Istoric_Nativ'!$C$6:$C$405,F1140,'Istoric_Nativ'!$F$6:$F$405,G1140,'Istoric_Nativ'!$D$6:$D$405,"&lt;"&amp;J1140,'Istoric_Nativ'!$P$6:$P$405,1,'Istoric_Nativ'!$D$6:$D$405,"&gt;="&amp;L1140),SUMIFS('Istoric_Nativ'!$H$6:$H$405,'Istoric_Nativ'!$B$6:$B$405,E1140,'Istoric_Nativ'!$C$6:$C$405,F1140,'Istoric_Nativ'!$E$6:$E$405,G1140,'Istoric_Nativ'!$D$6:$D$405,"&lt;"&amp;J1140,'Istoric_Nativ'!$P$6:$P$405,1,'Istoric_Nativ'!$D$6:$D$405,"&gt;="&amp;L1140)+SUMIFS('Istoric_Nativ'!$G$6:$G$405,'Istoric_Nativ'!$B$6:$B$405,E1140,'Istoric_Nativ'!$C$6:$C$405,F1140,'Istoric_Nativ'!$F$6:$F$405,G1140,'Istoric_Nativ'!$D$6:$D$405,"&lt;"&amp;J1140,'Istoric_Nativ'!$P$6:$P$405,1,'Istoric_Nativ'!$D$6:$D$405,"&gt;="&amp;L1140)))/M1140)</x:f>
      </x:c>
      <x:c r="P1140" s="2" t="n">
        <x:f>'Config_v6'!$B$7</x:f>
        <x:v>10</x:v>
      </x:c>
      <x:c r="Q1140" s="2" t="n">
        <x:f>IF(OR(B1140="",F1140=""),0,IFERROR(MATCH(E1140&amp;"|"&amp;F1140,SourceTable[Source_Key],0),0))</x:f>
        <x:v>0</x:v>
      </x:c>
      <x:c r="R1140" s="2" t="str">
        <x:f>IF(B1140="","",IF(F1140="","UNUSED",IF(Q1140=0,"NOT CHECKED",IF(COUNTIF(SourceTable[Source_Key],E1140&amp;"|"&amp;F1140)&lt;&gt;1,"SOURCE CONFLICT",IF(NOT(OR(INDEX(SourceTable[Status],MAX(1,Q1140))="IMPORTED",INDEX(SourceTable[Status],MAX(1,Q1140))="PARTIAL",INDEX(SourceTable[Status],MAX(1,Q1140))="SOURCE CONFLICT")),"ACCESS BLOCKED",IF(OR(INDEX(SourceTable[Coverage],Q1140)&lt;&gt;"FULL SEASON EXPORT",INDEX(SourceTable[URL],Q1140)="",INDEX(SourceTable[SHA256],Q1140)=""),"EVIDENCE INCOMPLETE",IF(AND('Input_Meci'!H100="LIVE",INDEX(SourceTable[Retrieved_UTC],Q1140)&gt;'Input_Meci'!G100),"POST CUTOFF","CLOSED")))))))</x:f>
      </x:c>
      <x:c r="S1140" s="2" t="n">
        <x:f>IF(OR(B1140="",F1140=""),0,COUNTIFS('Istoric_Nativ'!$B$6:$B$405,E1140,'Istoric_Nativ'!$C$6:$C$405,F1140,'Istoric_Nativ'!$E$6:$E$405,G1140,'Istoric_Nativ'!$D$6:$D$405,"&lt;"&amp;J1140,'Istoric_Nativ'!$O$6:$O$405,"INVALID")+COUNTIFS('Istoric_Nativ'!$B$6:$B$405,E1140,'Istoric_Nativ'!$C$6:$C$405,F1140,'Istoric_Nativ'!$E$6:$E$405,G1140,'Istoric_Nativ'!$O$6:$O$405,"INVALID",'Istoric_Nativ'!$D$6:$D$405,"*")+COUNTIFS('Istoric_Nativ'!$B$6:$B$405,E1140,'Istoric_Nativ'!$C$6:$C$405,F1140,'Istoric_Nativ'!$E$6:$E$405,G1140,'Istoric_Nativ'!$D$6:$D$405,"&lt;"&amp;J1140,'Istoric_Nativ'!$O$6:$O$405,"SOURCE CONFLICT")+COUNTIFS('Istoric_Nativ'!$B$6:$B$405,E1140,'Istoric_Nativ'!$C$6:$C$405,F1140,'Istoric_Nativ'!$F$6:$F$405,G1140,'Istoric_Nativ'!$D$6:$D$405,"&lt;"&amp;J1140,'Istoric_Nativ'!$O$6:$O$405,"INVALID")+COUNTIFS('Istoric_Nativ'!$B$6:$B$405,E1140,'Istoric_Nativ'!$C$6:$C$405,F1140,'Istoric_Nativ'!$F$6:$F$405,G1140,'Istoric_Nativ'!$O$6:$O$405,"INVALID",'Istoric_Nativ'!$D$6:$D$405,"*")+COUNTIFS('Istoric_Nativ'!$B$6:$B$405,E1140,'Istoric_Nativ'!$C$6:$C$405,F1140,'Istoric_Nativ'!$F$6:$F$405,G1140,'Istoric_Nativ'!$D$6:$D$405,"&lt;"&amp;J1140,'Istoric_Nativ'!$O$6:$O$405,"SOURCE CONFLICT"))</x:f>
        <x:v>0</x:v>
      </x:c>
      <x:c r="T1140" s="2" t="str">
        <x:f>IF(B1140="","",IF(R1140&lt;&gt;"CLOSED",R1140,IF(S1140&gt;0,"NATIVE INPUT ISSUE",IF(M1140=0,"NO HISTORY",IF(M1140&lt;P1140,"SMALL SAMPLE","DERIVED")))))</x:f>
      </x:c>
      <x:c r="U1140" s="2" t="str">
        <x:f>IF(B1140="","","NativeTable; "&amp;E1140&amp;"; "&amp;F1140&amp;"; "&amp;G1140&amp;"; "&amp;H1140&amp;"; before "&amp;TEXT(J1140,"yyyy-mm-dd")&amp;IF(I1140="RECENT","; from "&amp;TEXT(L1140,"yyyy-mm-dd"),""))</x:f>
      </x:c>
    </x:row>
    <x:row r="1141" ht="21" customHeight="1">
      <x:c r="A1141" s="2" t="n">
        <x:v>95</x:v>
      </x:c>
      <x:c r="B1141" s="2" t="str">
        <x:f>IF('Input_Meci'!A100="","",'Input_Meci'!A100)</x:f>
      </x:c>
      <x:c r="C1141" s="2" t="str">
        <x:v>H</x:v>
      </x:c>
      <x:c r="D1141" s="2" t="str">
        <x:v>PRIOR</x:v>
      </x:c>
      <x:c r="E1141" s="2" t="str">
        <x:f>IF(B1141="","",'Input_Meci'!B100)</x:f>
      </x:c>
      <x:c r="F1141" s="2" t="str">
        <x:f>IF(B1141="","",IF('Input_Meci'!K100="","",'Input_Meci'!K100))</x:f>
      </x:c>
      <x:c r="G1141" s="2" t="str">
        <x:f>IF(B1141="","",'Input_Meci'!D100)</x:f>
      </x:c>
      <x:c r="H1141" s="2" t="str">
        <x:v>HOME</x:v>
      </x:c>
      <x:c r="I1141" s="2" t="str">
        <x:v>HA</x:v>
      </x:c>
      <x:c r="J1141" s="9" t="n">
        <x:f>IF(AND(B1141&lt;&gt;"",ISNUMBER('Input_Meci'!G100)),INT('Input_Meci'!G100),0)</x:f>
        <x:v>0</x:v>
      </x:c>
      <x:c r="K1141" s="2" t="n">
        <x:f>IF(OR(B1141="",F1141=""),0,IF(H1141="HOME",COUNTIFS('Istoric_Nativ'!$B$6:$B$405,E1141,'Istoric_Nativ'!$C$6:$C$405,F1141,'Istoric_Nativ'!$E$6:$E$405,G1141,'Istoric_Nativ'!$D$6:$D$405,"&lt;"&amp;J1141,'Istoric_Nativ'!$P$6:$P$405,1),IF(H1141="AWAY",COUNTIFS('Istoric_Nativ'!$B$6:$B$405,E1141,'Istoric_Nativ'!$C$6:$C$405,F1141,'Istoric_Nativ'!$F$6:$F$405,G1141,'Istoric_Nativ'!$D$6:$D$405,"&lt;"&amp;J1141,'Istoric_Nativ'!$P$6:$P$405,1),COUNTIFS('Istoric_Nativ'!$B$6:$B$405,E1141,'Istoric_Nativ'!$C$6:$C$405,F1141,'Istoric_Nativ'!$E$6:$E$405,G1141,'Istoric_Nativ'!$D$6:$D$405,"&lt;"&amp;J1141,'Istoric_Nativ'!$P$6:$P$405,1)+COUNTIFS('Istoric_Nativ'!$B$6:$B$405,E1141,'Istoric_Nativ'!$C$6:$C$405,F1141,'Istoric_Nativ'!$F$6:$F$405,G1141,'Istoric_Nativ'!$D$6:$D$405,"&lt;"&amp;J1141,'Istoric_Nativ'!$P$6:$P$405,1))))</x:f>
        <x:v>0</x:v>
      </x:c>
      <x:c r="L1141" s="17" t="n">
        <x:f>IF(AND(B1141&lt;&gt;"",I1141="RECENT",K1141&gt;0),LARGE(_xlfn._xlws.FILTER('Istoric_Nativ'!$D$6:$D$405,('Istoric_Nativ'!$B$6:$B$405=E1141)*('Istoric_Nativ'!$C$6:$C$405=F1141)*('Istoric_Nativ'!$P$6:$P$405=1)*('Istoric_Nativ'!$D$6:$D$405&lt;J1141)*((('Istoric_Nativ'!$E$6:$E$405=G1141)+('Istoric_Nativ'!$F$6:$F$405=G1141))&gt;0)),MIN('Config_v6'!$B$54,K1141)),0)</x:f>
        <x:v>0</x:v>
      </x:c>
      <x:c r="M1141" s="2" t="n">
        <x:f>IF(OR(B1141="",F1141=""),0,IF(H1141="HOME",COUNTIFS('Istoric_Nativ'!$B$6:$B$405,E1141,'Istoric_Nativ'!$C$6:$C$405,F1141,'Istoric_Nativ'!$E$6:$E$405,G1141,'Istoric_Nativ'!$D$6:$D$405,"&lt;"&amp;J1141,'Istoric_Nativ'!$P$6:$P$405,1,'Istoric_Nativ'!$D$6:$D$405,"&gt;="&amp;L1141),IF(H1141="AWAY",COUNTIFS('Istoric_Nativ'!$B$6:$B$405,E1141,'Istoric_Nativ'!$C$6:$C$405,F1141,'Istoric_Nativ'!$F$6:$F$405,G1141,'Istoric_Nativ'!$D$6:$D$405,"&lt;"&amp;J1141,'Istoric_Nativ'!$P$6:$P$405,1,'Istoric_Nativ'!$D$6:$D$405,"&gt;="&amp;L1141),COUNTIFS('Istoric_Nativ'!$B$6:$B$405,E1141,'Istoric_Nativ'!$C$6:$C$405,F1141,'Istoric_Nativ'!$E$6:$E$405,G1141,'Istoric_Nativ'!$D$6:$D$405,"&lt;"&amp;J1141,'Istoric_Nativ'!$P$6:$P$405,1,'Istoric_Nativ'!$D$6:$D$405,"&gt;="&amp;L1141)+COUNTIFS('Istoric_Nativ'!$B$6:$B$405,E1141,'Istoric_Nativ'!$C$6:$C$405,F1141,'Istoric_Nativ'!$F$6:$F$405,G1141,'Istoric_Nativ'!$D$6:$D$405,"&lt;"&amp;J1141,'Istoric_Nativ'!$P$6:$P$405,1,'Istoric_Nativ'!$D$6:$D$405,"&gt;="&amp;L1141))))</x:f>
        <x:v>0</x:v>
      </x:c>
      <x:c r="N1141" s="11" t="str">
        <x:f>IF(M1141=0,"",IF(H1141="HOME",SUMIFS('Istoric_Nativ'!$G$6:$G$405,'Istoric_Nativ'!$B$6:$B$405,E1141,'Istoric_Nativ'!$C$6:$C$405,F1141,'Istoric_Nativ'!$E$6:$E$405,G1141,'Istoric_Nativ'!$D$6:$D$405,"&lt;"&amp;J1141,'Istoric_Nativ'!$P$6:$P$405,1,'Istoric_Nativ'!$D$6:$D$405,"&gt;="&amp;L1141),IF(H1141="AWAY",SUMIFS('Istoric_Nativ'!$H$6:$H$405,'Istoric_Nativ'!$B$6:$B$405,E1141,'Istoric_Nativ'!$C$6:$C$405,F1141,'Istoric_Nativ'!$F$6:$F$405,G1141,'Istoric_Nativ'!$D$6:$D$405,"&lt;"&amp;J1141,'Istoric_Nativ'!$P$6:$P$405,1,'Istoric_Nativ'!$D$6:$D$405,"&gt;="&amp;L1141),SUMIFS('Istoric_Nativ'!$G$6:$G$405,'Istoric_Nativ'!$B$6:$B$405,E1141,'Istoric_Nativ'!$C$6:$C$405,F1141,'Istoric_Nativ'!$E$6:$E$405,G1141,'Istoric_Nativ'!$D$6:$D$405,"&lt;"&amp;J1141,'Istoric_Nativ'!$P$6:$P$405,1,'Istoric_Nativ'!$D$6:$D$405,"&gt;="&amp;L1141)+SUMIFS('Istoric_Nativ'!$H$6:$H$405,'Istoric_Nativ'!$B$6:$B$405,E1141,'Istoric_Nativ'!$C$6:$C$405,F1141,'Istoric_Nativ'!$F$6:$F$405,G1141,'Istoric_Nativ'!$D$6:$D$405,"&lt;"&amp;J1141,'Istoric_Nativ'!$P$6:$P$405,1,'Istoric_Nativ'!$D$6:$D$405,"&gt;="&amp;L1141)))/M1141)</x:f>
      </x:c>
      <x:c r="O1141" s="11" t="str">
        <x:f>IF(M1141=0,"",IF(H1141="HOME",SUMIFS('Istoric_Nativ'!$H$6:$H$405,'Istoric_Nativ'!$B$6:$B$405,E1141,'Istoric_Nativ'!$C$6:$C$405,F1141,'Istoric_Nativ'!$E$6:$E$405,G1141,'Istoric_Nativ'!$D$6:$D$405,"&lt;"&amp;J1141,'Istoric_Nativ'!$P$6:$P$405,1,'Istoric_Nativ'!$D$6:$D$405,"&gt;="&amp;L1141),IF(H1141="AWAY",SUMIFS('Istoric_Nativ'!$G$6:$G$405,'Istoric_Nativ'!$B$6:$B$405,E1141,'Istoric_Nativ'!$C$6:$C$405,F1141,'Istoric_Nativ'!$F$6:$F$405,G1141,'Istoric_Nativ'!$D$6:$D$405,"&lt;"&amp;J1141,'Istoric_Nativ'!$P$6:$P$405,1,'Istoric_Nativ'!$D$6:$D$405,"&gt;="&amp;L1141),SUMIFS('Istoric_Nativ'!$H$6:$H$405,'Istoric_Nativ'!$B$6:$B$405,E1141,'Istoric_Nativ'!$C$6:$C$405,F1141,'Istoric_Nativ'!$E$6:$E$405,G1141,'Istoric_Nativ'!$D$6:$D$405,"&lt;"&amp;J1141,'Istoric_Nativ'!$P$6:$P$405,1,'Istoric_Nativ'!$D$6:$D$405,"&gt;="&amp;L1141)+SUMIFS('Istoric_Nativ'!$G$6:$G$405,'Istoric_Nativ'!$B$6:$B$405,E1141,'Istoric_Nativ'!$C$6:$C$405,F1141,'Istoric_Nativ'!$F$6:$F$405,G1141,'Istoric_Nativ'!$D$6:$D$405,"&lt;"&amp;J1141,'Istoric_Nativ'!$P$6:$P$405,1,'Istoric_Nativ'!$D$6:$D$405,"&gt;="&amp;L1141)))/M1141)</x:f>
      </x:c>
      <x:c r="P1141" s="2" t="n">
        <x:f>'Config_v6'!$B$8</x:f>
        <x:v>5</x:v>
      </x:c>
      <x:c r="Q1141" s="2" t="n">
        <x:f>IF(OR(B1141="",F1141=""),0,IFERROR(MATCH(E1141&amp;"|"&amp;F1141,SourceTable[Source_Key],0),0))</x:f>
        <x:v>0</x:v>
      </x:c>
      <x:c r="R1141" s="2" t="str">
        <x:f>IF(B1141="","",IF(F1141="","UNUSED",IF(Q1141=0,"NOT CHECKED",IF(COUNTIF(SourceTable[Source_Key],E1141&amp;"|"&amp;F1141)&lt;&gt;1,"SOURCE CONFLICT",IF(NOT(OR(INDEX(SourceTable[Status],MAX(1,Q1141))="IMPORTED",INDEX(SourceTable[Status],MAX(1,Q1141))="PARTIAL",INDEX(SourceTable[Status],MAX(1,Q1141))="SOURCE CONFLICT")),"ACCESS BLOCKED",IF(OR(INDEX(SourceTable[Coverage],Q1141)&lt;&gt;"FULL SEASON EXPORT",INDEX(SourceTable[URL],Q1141)="",INDEX(SourceTable[SHA256],Q1141)=""),"EVIDENCE INCOMPLETE",IF(AND('Input_Meci'!H100="LIVE",INDEX(SourceTable[Retrieved_UTC],Q1141)&gt;'Input_Meci'!G100),"POST CUTOFF","CLOSED")))))))</x:f>
      </x:c>
      <x:c r="S1141" s="2" t="n">
        <x:f>IF(OR(B1141="",F1141=""),0,COUNTIFS('Istoric_Nativ'!$B$6:$B$405,E1141,'Istoric_Nativ'!$C$6:$C$405,F1141,'Istoric_Nativ'!$E$6:$E$405,G1141,'Istoric_Nativ'!$D$6:$D$405,"&lt;"&amp;J1141,'Istoric_Nativ'!$O$6:$O$405,"INVALID")+COUNTIFS('Istoric_Nativ'!$B$6:$B$405,E1141,'Istoric_Nativ'!$C$6:$C$405,F1141,'Istoric_Nativ'!$E$6:$E$405,G1141,'Istoric_Nativ'!$O$6:$O$405,"INVALID",'Istoric_Nativ'!$D$6:$D$405,"*")+COUNTIFS('Istoric_Nativ'!$B$6:$B$405,E1141,'Istoric_Nativ'!$C$6:$C$405,F1141,'Istoric_Nativ'!$E$6:$E$405,G1141,'Istoric_Nativ'!$D$6:$D$405,"&lt;"&amp;J1141,'Istoric_Nativ'!$O$6:$O$405,"SOURCE CONFLICT")+COUNTIFS('Istoric_Nativ'!$B$6:$B$405,E1141,'Istoric_Nativ'!$C$6:$C$405,F1141,'Istoric_Nativ'!$F$6:$F$405,G1141,'Istoric_Nativ'!$D$6:$D$405,"&lt;"&amp;J1141,'Istoric_Nativ'!$O$6:$O$405,"INVALID")+COUNTIFS('Istoric_Nativ'!$B$6:$B$405,E1141,'Istoric_Nativ'!$C$6:$C$405,F1141,'Istoric_Nativ'!$F$6:$F$405,G1141,'Istoric_Nativ'!$O$6:$O$405,"INVALID",'Istoric_Nativ'!$D$6:$D$405,"*")+COUNTIFS('Istoric_Nativ'!$B$6:$B$405,E1141,'Istoric_Nativ'!$C$6:$C$405,F1141,'Istoric_Nativ'!$F$6:$F$405,G1141,'Istoric_Nativ'!$D$6:$D$405,"&lt;"&amp;J1141,'Istoric_Nativ'!$O$6:$O$405,"SOURCE CONFLICT"))</x:f>
        <x:v>0</x:v>
      </x:c>
      <x:c r="T1141" s="2" t="str">
        <x:f>IF(B1141="","",IF(R1141&lt;&gt;"CLOSED",R1141,IF(S1141&gt;0,"NATIVE INPUT ISSUE",IF(M1141=0,"NO HISTORY",IF(M1141&lt;P1141,"SMALL SAMPLE","DERIVED")))))</x:f>
      </x:c>
      <x:c r="U1141" s="2" t="str">
        <x:f>IF(B1141="","","NativeTable; "&amp;E1141&amp;"; "&amp;F1141&amp;"; "&amp;G1141&amp;"; "&amp;H1141&amp;"; before "&amp;TEXT(J1141,"yyyy-mm-dd")&amp;IF(I1141="RECENT","; from "&amp;TEXT(L1141,"yyyy-mm-dd"),""))</x:f>
      </x:c>
    </x:row>
    <x:row r="1142" ht="21" customHeight="1">
      <x:c r="A1142" s="2" t="n">
        <x:v>95</x:v>
      </x:c>
      <x:c r="B1142" s="2" t="str">
        <x:f>IF('Input_Meci'!A100="","",'Input_Meci'!A100)</x:f>
      </x:c>
      <x:c r="C1142" s="2" t="str">
        <x:v>H</x:v>
      </x:c>
      <x:c r="D1142" s="2" t="str">
        <x:v>PRIOR</x:v>
      </x:c>
      <x:c r="E1142" s="2" t="str">
        <x:f>IF(B1142="","",'Input_Meci'!B100)</x:f>
      </x:c>
      <x:c r="F1142" s="2" t="str">
        <x:f>IF(B1142="","",IF('Input_Meci'!K100="","",'Input_Meci'!K100))</x:f>
      </x:c>
      <x:c r="G1142" s="2" t="str">
        <x:f>IF(B1142="","",'Input_Meci'!D100)</x:f>
      </x:c>
      <x:c r="H1142" s="2" t="str">
        <x:v>ANY</x:v>
      </x:c>
      <x:c r="I1142" s="2" t="str">
        <x:v>RECENT</x:v>
      </x:c>
      <x:c r="J1142" s="9" t="n">
        <x:f>IF(AND(B1142&lt;&gt;"",ISNUMBER('Input_Meci'!G100)),INT('Input_Meci'!G100),0)</x:f>
        <x:v>0</x:v>
      </x:c>
      <x:c r="K1142" s="2" t="n">
        <x:f>IF(OR(B1142="",F1142=""),0,IF(H1142="HOME",COUNTIFS('Istoric_Nativ'!$B$6:$B$405,E1142,'Istoric_Nativ'!$C$6:$C$405,F1142,'Istoric_Nativ'!$E$6:$E$405,G1142,'Istoric_Nativ'!$D$6:$D$405,"&lt;"&amp;J1142,'Istoric_Nativ'!$P$6:$P$405,1),IF(H1142="AWAY",COUNTIFS('Istoric_Nativ'!$B$6:$B$405,E1142,'Istoric_Nativ'!$C$6:$C$405,F1142,'Istoric_Nativ'!$F$6:$F$405,G1142,'Istoric_Nativ'!$D$6:$D$405,"&lt;"&amp;J1142,'Istoric_Nativ'!$P$6:$P$405,1),COUNTIFS('Istoric_Nativ'!$B$6:$B$405,E1142,'Istoric_Nativ'!$C$6:$C$405,F1142,'Istoric_Nativ'!$E$6:$E$405,G1142,'Istoric_Nativ'!$D$6:$D$405,"&lt;"&amp;J1142,'Istoric_Nativ'!$P$6:$P$405,1)+COUNTIFS('Istoric_Nativ'!$B$6:$B$405,E1142,'Istoric_Nativ'!$C$6:$C$405,F1142,'Istoric_Nativ'!$F$6:$F$405,G1142,'Istoric_Nativ'!$D$6:$D$405,"&lt;"&amp;J1142,'Istoric_Nativ'!$P$6:$P$405,1))))</x:f>
        <x:v>0</x:v>
      </x:c>
      <x:c r="L1142" s="17" t="n">
        <x:f>IF(AND(B1142&lt;&gt;"",I1142="RECENT",K1142&gt;0),LARGE(_xlfn._xlws.FILTER('Istoric_Nativ'!$D$6:$D$405,('Istoric_Nativ'!$B$6:$B$405=E1142)*('Istoric_Nativ'!$C$6:$C$405=F1142)*('Istoric_Nativ'!$P$6:$P$405=1)*('Istoric_Nativ'!$D$6:$D$405&lt;J1142)*((('Istoric_Nativ'!$E$6:$E$405=G1142)+('Istoric_Nativ'!$F$6:$F$405=G1142))&gt;0)),MIN('Config_v6'!$B$54,K1142)),0)</x:f>
        <x:v>0</x:v>
      </x:c>
      <x:c r="M1142" s="2" t="n">
        <x:f>IF(OR(B1142="",F1142=""),0,IF(H1142="HOME",COUNTIFS('Istoric_Nativ'!$B$6:$B$405,E1142,'Istoric_Nativ'!$C$6:$C$405,F1142,'Istoric_Nativ'!$E$6:$E$405,G1142,'Istoric_Nativ'!$D$6:$D$405,"&lt;"&amp;J1142,'Istoric_Nativ'!$P$6:$P$405,1,'Istoric_Nativ'!$D$6:$D$405,"&gt;="&amp;L1142),IF(H1142="AWAY",COUNTIFS('Istoric_Nativ'!$B$6:$B$405,E1142,'Istoric_Nativ'!$C$6:$C$405,F1142,'Istoric_Nativ'!$F$6:$F$405,G1142,'Istoric_Nativ'!$D$6:$D$405,"&lt;"&amp;J1142,'Istoric_Nativ'!$P$6:$P$405,1,'Istoric_Nativ'!$D$6:$D$405,"&gt;="&amp;L1142),COUNTIFS('Istoric_Nativ'!$B$6:$B$405,E1142,'Istoric_Nativ'!$C$6:$C$405,F1142,'Istoric_Nativ'!$E$6:$E$405,G1142,'Istoric_Nativ'!$D$6:$D$405,"&lt;"&amp;J1142,'Istoric_Nativ'!$P$6:$P$405,1,'Istoric_Nativ'!$D$6:$D$405,"&gt;="&amp;L1142)+COUNTIFS('Istoric_Nativ'!$B$6:$B$405,E1142,'Istoric_Nativ'!$C$6:$C$405,F1142,'Istoric_Nativ'!$F$6:$F$405,G1142,'Istoric_Nativ'!$D$6:$D$405,"&lt;"&amp;J1142,'Istoric_Nativ'!$P$6:$P$405,1,'Istoric_Nativ'!$D$6:$D$405,"&gt;="&amp;L1142))))</x:f>
        <x:v>0</x:v>
      </x:c>
      <x:c r="N1142" s="11" t="str">
        <x:f>IF(M1142=0,"",IF(H1142="HOME",SUMIFS('Istoric_Nativ'!$G$6:$G$405,'Istoric_Nativ'!$B$6:$B$405,E1142,'Istoric_Nativ'!$C$6:$C$405,F1142,'Istoric_Nativ'!$E$6:$E$405,G1142,'Istoric_Nativ'!$D$6:$D$405,"&lt;"&amp;J1142,'Istoric_Nativ'!$P$6:$P$405,1,'Istoric_Nativ'!$D$6:$D$405,"&gt;="&amp;L1142),IF(H1142="AWAY",SUMIFS('Istoric_Nativ'!$H$6:$H$405,'Istoric_Nativ'!$B$6:$B$405,E1142,'Istoric_Nativ'!$C$6:$C$405,F1142,'Istoric_Nativ'!$F$6:$F$405,G1142,'Istoric_Nativ'!$D$6:$D$405,"&lt;"&amp;J1142,'Istoric_Nativ'!$P$6:$P$405,1,'Istoric_Nativ'!$D$6:$D$405,"&gt;="&amp;L1142),SUMIFS('Istoric_Nativ'!$G$6:$G$405,'Istoric_Nativ'!$B$6:$B$405,E1142,'Istoric_Nativ'!$C$6:$C$405,F1142,'Istoric_Nativ'!$E$6:$E$405,G1142,'Istoric_Nativ'!$D$6:$D$405,"&lt;"&amp;J1142,'Istoric_Nativ'!$P$6:$P$405,1,'Istoric_Nativ'!$D$6:$D$405,"&gt;="&amp;L1142)+SUMIFS('Istoric_Nativ'!$H$6:$H$405,'Istoric_Nativ'!$B$6:$B$405,E1142,'Istoric_Nativ'!$C$6:$C$405,F1142,'Istoric_Nativ'!$F$6:$F$405,G1142,'Istoric_Nativ'!$D$6:$D$405,"&lt;"&amp;J1142,'Istoric_Nativ'!$P$6:$P$405,1,'Istoric_Nativ'!$D$6:$D$405,"&gt;="&amp;L1142)))/M1142)</x:f>
      </x:c>
      <x:c r="O1142" s="11" t="str">
        <x:f>IF(M1142=0,"",IF(H1142="HOME",SUMIFS('Istoric_Nativ'!$H$6:$H$405,'Istoric_Nativ'!$B$6:$B$405,E1142,'Istoric_Nativ'!$C$6:$C$405,F1142,'Istoric_Nativ'!$E$6:$E$405,G1142,'Istoric_Nativ'!$D$6:$D$405,"&lt;"&amp;J1142,'Istoric_Nativ'!$P$6:$P$405,1,'Istoric_Nativ'!$D$6:$D$405,"&gt;="&amp;L1142),IF(H1142="AWAY",SUMIFS('Istoric_Nativ'!$G$6:$G$405,'Istoric_Nativ'!$B$6:$B$405,E1142,'Istoric_Nativ'!$C$6:$C$405,F1142,'Istoric_Nativ'!$F$6:$F$405,G1142,'Istoric_Nativ'!$D$6:$D$405,"&lt;"&amp;J1142,'Istoric_Nativ'!$P$6:$P$405,1,'Istoric_Nativ'!$D$6:$D$405,"&gt;="&amp;L1142),SUMIFS('Istoric_Nativ'!$H$6:$H$405,'Istoric_Nativ'!$B$6:$B$405,E1142,'Istoric_Nativ'!$C$6:$C$405,F1142,'Istoric_Nativ'!$E$6:$E$405,G1142,'Istoric_Nativ'!$D$6:$D$405,"&lt;"&amp;J1142,'Istoric_Nativ'!$P$6:$P$405,1,'Istoric_Nativ'!$D$6:$D$405,"&gt;="&amp;L1142)+SUMIFS('Istoric_Nativ'!$G$6:$G$405,'Istoric_Nativ'!$B$6:$B$405,E1142,'Istoric_Nativ'!$C$6:$C$405,F1142,'Istoric_Nativ'!$F$6:$F$405,G1142,'Istoric_Nativ'!$D$6:$D$405,"&lt;"&amp;J1142,'Istoric_Nativ'!$P$6:$P$405,1,'Istoric_Nativ'!$D$6:$D$405,"&gt;="&amp;L1142)))/M1142)</x:f>
      </x:c>
      <x:c r="P1142" s="2" t="n">
        <x:f>'Config_v6'!$B$9</x:f>
        <x:v>3</x:v>
      </x:c>
      <x:c r="Q1142" s="2" t="n">
        <x:f>IF(OR(B1142="",F1142=""),0,IFERROR(MATCH(E1142&amp;"|"&amp;F1142,SourceTable[Source_Key],0),0))</x:f>
        <x:v>0</x:v>
      </x:c>
      <x:c r="R1142" s="2" t="str">
        <x:f>IF(B1142="","",IF(F1142="","UNUSED",IF(Q1142=0,"NOT CHECKED",IF(COUNTIF(SourceTable[Source_Key],E1142&amp;"|"&amp;F1142)&lt;&gt;1,"SOURCE CONFLICT",IF(NOT(OR(INDEX(SourceTable[Status],MAX(1,Q1142))="IMPORTED",INDEX(SourceTable[Status],MAX(1,Q1142))="PARTIAL",INDEX(SourceTable[Status],MAX(1,Q1142))="SOURCE CONFLICT")),"ACCESS BLOCKED",IF(OR(INDEX(SourceTable[Coverage],Q1142)&lt;&gt;"FULL SEASON EXPORT",INDEX(SourceTable[URL],Q1142)="",INDEX(SourceTable[SHA256],Q1142)=""),"EVIDENCE INCOMPLETE",IF(AND('Input_Meci'!H100="LIVE",INDEX(SourceTable[Retrieved_UTC],Q1142)&gt;'Input_Meci'!G100),"POST CUTOFF","CLOSED")))))))</x:f>
      </x:c>
      <x:c r="S1142" s="2" t="n">
        <x:f>IF(OR(B1142="",F1142=""),0,COUNTIFS('Istoric_Nativ'!$B$6:$B$405,E1142,'Istoric_Nativ'!$C$6:$C$405,F1142,'Istoric_Nativ'!$E$6:$E$405,G1142,'Istoric_Nativ'!$D$6:$D$405,"&lt;"&amp;J1142,'Istoric_Nativ'!$O$6:$O$405,"INVALID")+COUNTIFS('Istoric_Nativ'!$B$6:$B$405,E1142,'Istoric_Nativ'!$C$6:$C$405,F1142,'Istoric_Nativ'!$E$6:$E$405,G1142,'Istoric_Nativ'!$O$6:$O$405,"INVALID",'Istoric_Nativ'!$D$6:$D$405,"*")+COUNTIFS('Istoric_Nativ'!$B$6:$B$405,E1142,'Istoric_Nativ'!$C$6:$C$405,F1142,'Istoric_Nativ'!$E$6:$E$405,G1142,'Istoric_Nativ'!$D$6:$D$405,"&lt;"&amp;J1142,'Istoric_Nativ'!$O$6:$O$405,"SOURCE CONFLICT")+COUNTIFS('Istoric_Nativ'!$B$6:$B$405,E1142,'Istoric_Nativ'!$C$6:$C$405,F1142,'Istoric_Nativ'!$F$6:$F$405,G1142,'Istoric_Nativ'!$D$6:$D$405,"&lt;"&amp;J1142,'Istoric_Nativ'!$O$6:$O$405,"INVALID")+COUNTIFS('Istoric_Nativ'!$B$6:$B$405,E1142,'Istoric_Nativ'!$C$6:$C$405,F1142,'Istoric_Nativ'!$F$6:$F$405,G1142,'Istoric_Nativ'!$O$6:$O$405,"INVALID",'Istoric_Nativ'!$D$6:$D$405,"*")+COUNTIFS('Istoric_Nativ'!$B$6:$B$405,E1142,'Istoric_Nativ'!$C$6:$C$405,F1142,'Istoric_Nativ'!$F$6:$F$405,G1142,'Istoric_Nativ'!$D$6:$D$405,"&lt;"&amp;J1142,'Istoric_Nativ'!$O$6:$O$405,"SOURCE CONFLICT"))</x:f>
        <x:v>0</x:v>
      </x:c>
      <x:c r="T1142" s="2" t="str">
        <x:f>IF(B1142="","",IF(R1142&lt;&gt;"CLOSED",R1142,IF(S1142&gt;0,"NATIVE INPUT ISSUE",IF(M1142=0,"NO HISTORY",IF(M1142&lt;P1142,"SMALL SAMPLE","DERIVED")))))</x:f>
      </x:c>
      <x:c r="U1142" s="2" t="str">
        <x:f>IF(B1142="","","NativeTable; "&amp;E1142&amp;"; "&amp;F1142&amp;"; "&amp;G1142&amp;"; "&amp;H1142&amp;"; before "&amp;TEXT(J1142,"yyyy-mm-dd")&amp;IF(I1142="RECENT","; from "&amp;TEXT(L1142,"yyyy-mm-dd"),""))</x:f>
      </x:c>
    </x:row>
    <x:row r="1143" ht="21" customHeight="1">
      <x:c r="A1143" s="2" t="n">
        <x:v>95</x:v>
      </x:c>
      <x:c r="B1143" s="2" t="str">
        <x:f>IF('Input_Meci'!A100="","",'Input_Meci'!A100)</x:f>
      </x:c>
      <x:c r="C1143" s="2" t="str">
        <x:v>A</x:v>
      </x:c>
      <x:c r="D1143" s="2" t="str">
        <x:v>PRIOR</x:v>
      </x:c>
      <x:c r="E1143" s="2" t="str">
        <x:f>IF(B1143="","",'Input_Meci'!B100)</x:f>
      </x:c>
      <x:c r="F1143" s="2" t="str">
        <x:f>IF(B1143="","",IF('Input_Meci'!K100="","",'Input_Meci'!K100))</x:f>
      </x:c>
      <x:c r="G1143" s="2" t="str">
        <x:f>IF(B1143="","",'Input_Meci'!E100)</x:f>
      </x:c>
      <x:c r="H1143" s="2" t="str">
        <x:v>ANY</x:v>
      </x:c>
      <x:c r="I1143" s="2" t="str">
        <x:v>SEASON</x:v>
      </x:c>
      <x:c r="J1143" s="9" t="n">
        <x:f>IF(AND(B1143&lt;&gt;"",ISNUMBER('Input_Meci'!G100)),INT('Input_Meci'!G100),0)</x:f>
        <x:v>0</x:v>
      </x:c>
      <x:c r="K1143" s="2" t="n">
        <x:f>IF(OR(B1143="",F1143=""),0,IF(H1143="HOME",COUNTIFS('Istoric_Nativ'!$B$6:$B$405,E1143,'Istoric_Nativ'!$C$6:$C$405,F1143,'Istoric_Nativ'!$E$6:$E$405,G1143,'Istoric_Nativ'!$D$6:$D$405,"&lt;"&amp;J1143,'Istoric_Nativ'!$P$6:$P$405,1),IF(H1143="AWAY",COUNTIFS('Istoric_Nativ'!$B$6:$B$405,E1143,'Istoric_Nativ'!$C$6:$C$405,F1143,'Istoric_Nativ'!$F$6:$F$405,G1143,'Istoric_Nativ'!$D$6:$D$405,"&lt;"&amp;J1143,'Istoric_Nativ'!$P$6:$P$405,1),COUNTIFS('Istoric_Nativ'!$B$6:$B$405,E1143,'Istoric_Nativ'!$C$6:$C$405,F1143,'Istoric_Nativ'!$E$6:$E$405,G1143,'Istoric_Nativ'!$D$6:$D$405,"&lt;"&amp;J1143,'Istoric_Nativ'!$P$6:$P$405,1)+COUNTIFS('Istoric_Nativ'!$B$6:$B$405,E1143,'Istoric_Nativ'!$C$6:$C$405,F1143,'Istoric_Nativ'!$F$6:$F$405,G1143,'Istoric_Nativ'!$D$6:$D$405,"&lt;"&amp;J1143,'Istoric_Nativ'!$P$6:$P$405,1))))</x:f>
        <x:v>0</x:v>
      </x:c>
      <x:c r="L1143" s="17" t="n">
        <x:f>IF(AND(B1143&lt;&gt;"",I1143="RECENT",K1143&gt;0),LARGE(_xlfn._xlws.FILTER('Istoric_Nativ'!$D$6:$D$405,('Istoric_Nativ'!$B$6:$B$405=E1143)*('Istoric_Nativ'!$C$6:$C$405=F1143)*('Istoric_Nativ'!$P$6:$P$405=1)*('Istoric_Nativ'!$D$6:$D$405&lt;J1143)*((('Istoric_Nativ'!$E$6:$E$405=G1143)+('Istoric_Nativ'!$F$6:$F$405=G1143))&gt;0)),MIN('Config_v6'!$B$54,K1143)),0)</x:f>
        <x:v>0</x:v>
      </x:c>
      <x:c r="M1143" s="2" t="n">
        <x:f>IF(OR(B1143="",F1143=""),0,IF(H1143="HOME",COUNTIFS('Istoric_Nativ'!$B$6:$B$405,E1143,'Istoric_Nativ'!$C$6:$C$405,F1143,'Istoric_Nativ'!$E$6:$E$405,G1143,'Istoric_Nativ'!$D$6:$D$405,"&lt;"&amp;J1143,'Istoric_Nativ'!$P$6:$P$405,1,'Istoric_Nativ'!$D$6:$D$405,"&gt;="&amp;L1143),IF(H1143="AWAY",COUNTIFS('Istoric_Nativ'!$B$6:$B$405,E1143,'Istoric_Nativ'!$C$6:$C$405,F1143,'Istoric_Nativ'!$F$6:$F$405,G1143,'Istoric_Nativ'!$D$6:$D$405,"&lt;"&amp;J1143,'Istoric_Nativ'!$P$6:$P$405,1,'Istoric_Nativ'!$D$6:$D$405,"&gt;="&amp;L1143),COUNTIFS('Istoric_Nativ'!$B$6:$B$405,E1143,'Istoric_Nativ'!$C$6:$C$405,F1143,'Istoric_Nativ'!$E$6:$E$405,G1143,'Istoric_Nativ'!$D$6:$D$405,"&lt;"&amp;J1143,'Istoric_Nativ'!$P$6:$P$405,1,'Istoric_Nativ'!$D$6:$D$405,"&gt;="&amp;L1143)+COUNTIFS('Istoric_Nativ'!$B$6:$B$405,E1143,'Istoric_Nativ'!$C$6:$C$405,F1143,'Istoric_Nativ'!$F$6:$F$405,G1143,'Istoric_Nativ'!$D$6:$D$405,"&lt;"&amp;J1143,'Istoric_Nativ'!$P$6:$P$405,1,'Istoric_Nativ'!$D$6:$D$405,"&gt;="&amp;L1143))))</x:f>
        <x:v>0</x:v>
      </x:c>
      <x:c r="N1143" s="11" t="str">
        <x:f>IF(M1143=0,"",IF(H1143="HOME",SUMIFS('Istoric_Nativ'!$G$6:$G$405,'Istoric_Nativ'!$B$6:$B$405,E1143,'Istoric_Nativ'!$C$6:$C$405,F1143,'Istoric_Nativ'!$E$6:$E$405,G1143,'Istoric_Nativ'!$D$6:$D$405,"&lt;"&amp;J1143,'Istoric_Nativ'!$P$6:$P$405,1,'Istoric_Nativ'!$D$6:$D$405,"&gt;="&amp;L1143),IF(H1143="AWAY",SUMIFS('Istoric_Nativ'!$H$6:$H$405,'Istoric_Nativ'!$B$6:$B$405,E1143,'Istoric_Nativ'!$C$6:$C$405,F1143,'Istoric_Nativ'!$F$6:$F$405,G1143,'Istoric_Nativ'!$D$6:$D$405,"&lt;"&amp;J1143,'Istoric_Nativ'!$P$6:$P$405,1,'Istoric_Nativ'!$D$6:$D$405,"&gt;="&amp;L1143),SUMIFS('Istoric_Nativ'!$G$6:$G$405,'Istoric_Nativ'!$B$6:$B$405,E1143,'Istoric_Nativ'!$C$6:$C$405,F1143,'Istoric_Nativ'!$E$6:$E$405,G1143,'Istoric_Nativ'!$D$6:$D$405,"&lt;"&amp;J1143,'Istoric_Nativ'!$P$6:$P$405,1,'Istoric_Nativ'!$D$6:$D$405,"&gt;="&amp;L1143)+SUMIFS('Istoric_Nativ'!$H$6:$H$405,'Istoric_Nativ'!$B$6:$B$405,E1143,'Istoric_Nativ'!$C$6:$C$405,F1143,'Istoric_Nativ'!$F$6:$F$405,G1143,'Istoric_Nativ'!$D$6:$D$405,"&lt;"&amp;J1143,'Istoric_Nativ'!$P$6:$P$405,1,'Istoric_Nativ'!$D$6:$D$405,"&gt;="&amp;L1143)))/M1143)</x:f>
      </x:c>
      <x:c r="O1143" s="11" t="str">
        <x:f>IF(M1143=0,"",IF(H1143="HOME",SUMIFS('Istoric_Nativ'!$H$6:$H$405,'Istoric_Nativ'!$B$6:$B$405,E1143,'Istoric_Nativ'!$C$6:$C$405,F1143,'Istoric_Nativ'!$E$6:$E$405,G1143,'Istoric_Nativ'!$D$6:$D$405,"&lt;"&amp;J1143,'Istoric_Nativ'!$P$6:$P$405,1,'Istoric_Nativ'!$D$6:$D$405,"&gt;="&amp;L1143),IF(H1143="AWAY",SUMIFS('Istoric_Nativ'!$G$6:$G$405,'Istoric_Nativ'!$B$6:$B$405,E1143,'Istoric_Nativ'!$C$6:$C$405,F1143,'Istoric_Nativ'!$F$6:$F$405,G1143,'Istoric_Nativ'!$D$6:$D$405,"&lt;"&amp;J1143,'Istoric_Nativ'!$P$6:$P$405,1,'Istoric_Nativ'!$D$6:$D$405,"&gt;="&amp;L1143),SUMIFS('Istoric_Nativ'!$H$6:$H$405,'Istoric_Nativ'!$B$6:$B$405,E1143,'Istoric_Nativ'!$C$6:$C$405,F1143,'Istoric_Nativ'!$E$6:$E$405,G1143,'Istoric_Nativ'!$D$6:$D$405,"&lt;"&amp;J1143,'Istoric_Nativ'!$P$6:$P$405,1,'Istoric_Nativ'!$D$6:$D$405,"&gt;="&amp;L1143)+SUMIFS('Istoric_Nativ'!$G$6:$G$405,'Istoric_Nativ'!$B$6:$B$405,E1143,'Istoric_Nativ'!$C$6:$C$405,F1143,'Istoric_Nativ'!$F$6:$F$405,G1143,'Istoric_Nativ'!$D$6:$D$405,"&lt;"&amp;J1143,'Istoric_Nativ'!$P$6:$P$405,1,'Istoric_Nativ'!$D$6:$D$405,"&gt;="&amp;L1143)))/M1143)</x:f>
      </x:c>
      <x:c r="P1143" s="2" t="n">
        <x:f>'Config_v6'!$B$7</x:f>
        <x:v>10</x:v>
      </x:c>
      <x:c r="Q1143" s="2" t="n">
        <x:f>IF(OR(B1143="",F1143=""),0,IFERROR(MATCH(E1143&amp;"|"&amp;F1143,SourceTable[Source_Key],0),0))</x:f>
        <x:v>0</x:v>
      </x:c>
      <x:c r="R1143" s="2" t="str">
        <x:f>IF(B1143="","",IF(F1143="","UNUSED",IF(Q1143=0,"NOT CHECKED",IF(COUNTIF(SourceTable[Source_Key],E1143&amp;"|"&amp;F1143)&lt;&gt;1,"SOURCE CONFLICT",IF(NOT(OR(INDEX(SourceTable[Status],MAX(1,Q1143))="IMPORTED",INDEX(SourceTable[Status],MAX(1,Q1143))="PARTIAL",INDEX(SourceTable[Status],MAX(1,Q1143))="SOURCE CONFLICT")),"ACCESS BLOCKED",IF(OR(INDEX(SourceTable[Coverage],Q1143)&lt;&gt;"FULL SEASON EXPORT",INDEX(SourceTable[URL],Q1143)="",INDEX(SourceTable[SHA256],Q1143)=""),"EVIDENCE INCOMPLETE",IF(AND('Input_Meci'!H100="LIVE",INDEX(SourceTable[Retrieved_UTC],Q1143)&gt;'Input_Meci'!G100),"POST CUTOFF","CLOSED")))))))</x:f>
      </x:c>
      <x:c r="S1143" s="2" t="n">
        <x:f>IF(OR(B1143="",F1143=""),0,COUNTIFS('Istoric_Nativ'!$B$6:$B$405,E1143,'Istoric_Nativ'!$C$6:$C$405,F1143,'Istoric_Nativ'!$E$6:$E$405,G1143,'Istoric_Nativ'!$D$6:$D$405,"&lt;"&amp;J1143,'Istoric_Nativ'!$O$6:$O$405,"INVALID")+COUNTIFS('Istoric_Nativ'!$B$6:$B$405,E1143,'Istoric_Nativ'!$C$6:$C$405,F1143,'Istoric_Nativ'!$E$6:$E$405,G1143,'Istoric_Nativ'!$O$6:$O$405,"INVALID",'Istoric_Nativ'!$D$6:$D$405,"*")+COUNTIFS('Istoric_Nativ'!$B$6:$B$405,E1143,'Istoric_Nativ'!$C$6:$C$405,F1143,'Istoric_Nativ'!$E$6:$E$405,G1143,'Istoric_Nativ'!$D$6:$D$405,"&lt;"&amp;J1143,'Istoric_Nativ'!$O$6:$O$405,"SOURCE CONFLICT")+COUNTIFS('Istoric_Nativ'!$B$6:$B$405,E1143,'Istoric_Nativ'!$C$6:$C$405,F1143,'Istoric_Nativ'!$F$6:$F$405,G1143,'Istoric_Nativ'!$D$6:$D$405,"&lt;"&amp;J1143,'Istoric_Nativ'!$O$6:$O$405,"INVALID")+COUNTIFS('Istoric_Nativ'!$B$6:$B$405,E1143,'Istoric_Nativ'!$C$6:$C$405,F1143,'Istoric_Nativ'!$F$6:$F$405,G1143,'Istoric_Nativ'!$O$6:$O$405,"INVALID",'Istoric_Nativ'!$D$6:$D$405,"*")+COUNTIFS('Istoric_Nativ'!$B$6:$B$405,E1143,'Istoric_Nativ'!$C$6:$C$405,F1143,'Istoric_Nativ'!$F$6:$F$405,G1143,'Istoric_Nativ'!$D$6:$D$405,"&lt;"&amp;J1143,'Istoric_Nativ'!$O$6:$O$405,"SOURCE CONFLICT"))</x:f>
        <x:v>0</x:v>
      </x:c>
      <x:c r="T1143" s="2" t="str">
        <x:f>IF(B1143="","",IF(R1143&lt;&gt;"CLOSED",R1143,IF(S1143&gt;0,"NATIVE INPUT ISSUE",IF(M1143=0,"NO HISTORY",IF(M1143&lt;P1143,"SMALL SAMPLE","DERIVED")))))</x:f>
      </x:c>
      <x:c r="U1143" s="2" t="str">
        <x:f>IF(B1143="","","NativeTable; "&amp;E1143&amp;"; "&amp;F1143&amp;"; "&amp;G1143&amp;"; "&amp;H1143&amp;"; before "&amp;TEXT(J1143,"yyyy-mm-dd")&amp;IF(I1143="RECENT","; from "&amp;TEXT(L1143,"yyyy-mm-dd"),""))</x:f>
      </x:c>
    </x:row>
    <x:row r="1144" ht="21" customHeight="1">
      <x:c r="A1144" s="2" t="n">
        <x:v>95</x:v>
      </x:c>
      <x:c r="B1144" s="2" t="str">
        <x:f>IF('Input_Meci'!A100="","",'Input_Meci'!A100)</x:f>
      </x:c>
      <x:c r="C1144" s="2" t="str">
        <x:v>A</x:v>
      </x:c>
      <x:c r="D1144" s="2" t="str">
        <x:v>PRIOR</x:v>
      </x:c>
      <x:c r="E1144" s="2" t="str">
        <x:f>IF(B1144="","",'Input_Meci'!B100)</x:f>
      </x:c>
      <x:c r="F1144" s="2" t="str">
        <x:f>IF(B1144="","",IF('Input_Meci'!K100="","",'Input_Meci'!K100))</x:f>
      </x:c>
      <x:c r="G1144" s="2" t="str">
        <x:f>IF(B1144="","",'Input_Meci'!E100)</x:f>
      </x:c>
      <x:c r="H1144" s="2" t="str">
        <x:v>AWAY</x:v>
      </x:c>
      <x:c r="I1144" s="2" t="str">
        <x:v>HA</x:v>
      </x:c>
      <x:c r="J1144" s="9" t="n">
        <x:f>IF(AND(B1144&lt;&gt;"",ISNUMBER('Input_Meci'!G100)),INT('Input_Meci'!G100),0)</x:f>
        <x:v>0</x:v>
      </x:c>
      <x:c r="K1144" s="2" t="n">
        <x:f>IF(OR(B1144="",F1144=""),0,IF(H1144="HOME",COUNTIFS('Istoric_Nativ'!$B$6:$B$405,E1144,'Istoric_Nativ'!$C$6:$C$405,F1144,'Istoric_Nativ'!$E$6:$E$405,G1144,'Istoric_Nativ'!$D$6:$D$405,"&lt;"&amp;J1144,'Istoric_Nativ'!$P$6:$P$405,1),IF(H1144="AWAY",COUNTIFS('Istoric_Nativ'!$B$6:$B$405,E1144,'Istoric_Nativ'!$C$6:$C$405,F1144,'Istoric_Nativ'!$F$6:$F$405,G1144,'Istoric_Nativ'!$D$6:$D$405,"&lt;"&amp;J1144,'Istoric_Nativ'!$P$6:$P$405,1),COUNTIFS('Istoric_Nativ'!$B$6:$B$405,E1144,'Istoric_Nativ'!$C$6:$C$405,F1144,'Istoric_Nativ'!$E$6:$E$405,G1144,'Istoric_Nativ'!$D$6:$D$405,"&lt;"&amp;J1144,'Istoric_Nativ'!$P$6:$P$405,1)+COUNTIFS('Istoric_Nativ'!$B$6:$B$405,E1144,'Istoric_Nativ'!$C$6:$C$405,F1144,'Istoric_Nativ'!$F$6:$F$405,G1144,'Istoric_Nativ'!$D$6:$D$405,"&lt;"&amp;J1144,'Istoric_Nativ'!$P$6:$P$405,1))))</x:f>
        <x:v>0</x:v>
      </x:c>
      <x:c r="L1144" s="17" t="n">
        <x:f>IF(AND(B1144&lt;&gt;"",I1144="RECENT",K1144&gt;0),LARGE(_xlfn._xlws.FILTER('Istoric_Nativ'!$D$6:$D$405,('Istoric_Nativ'!$B$6:$B$405=E1144)*('Istoric_Nativ'!$C$6:$C$405=F1144)*('Istoric_Nativ'!$P$6:$P$405=1)*('Istoric_Nativ'!$D$6:$D$405&lt;J1144)*((('Istoric_Nativ'!$E$6:$E$405=G1144)+('Istoric_Nativ'!$F$6:$F$405=G1144))&gt;0)),MIN('Config_v6'!$B$54,K1144)),0)</x:f>
        <x:v>0</x:v>
      </x:c>
      <x:c r="M1144" s="2" t="n">
        <x:f>IF(OR(B1144="",F1144=""),0,IF(H1144="HOME",COUNTIFS('Istoric_Nativ'!$B$6:$B$405,E1144,'Istoric_Nativ'!$C$6:$C$405,F1144,'Istoric_Nativ'!$E$6:$E$405,G1144,'Istoric_Nativ'!$D$6:$D$405,"&lt;"&amp;J1144,'Istoric_Nativ'!$P$6:$P$405,1,'Istoric_Nativ'!$D$6:$D$405,"&gt;="&amp;L1144),IF(H1144="AWAY",COUNTIFS('Istoric_Nativ'!$B$6:$B$405,E1144,'Istoric_Nativ'!$C$6:$C$405,F1144,'Istoric_Nativ'!$F$6:$F$405,G1144,'Istoric_Nativ'!$D$6:$D$405,"&lt;"&amp;J1144,'Istoric_Nativ'!$P$6:$P$405,1,'Istoric_Nativ'!$D$6:$D$405,"&gt;="&amp;L1144),COUNTIFS('Istoric_Nativ'!$B$6:$B$405,E1144,'Istoric_Nativ'!$C$6:$C$405,F1144,'Istoric_Nativ'!$E$6:$E$405,G1144,'Istoric_Nativ'!$D$6:$D$405,"&lt;"&amp;J1144,'Istoric_Nativ'!$P$6:$P$405,1,'Istoric_Nativ'!$D$6:$D$405,"&gt;="&amp;L1144)+COUNTIFS('Istoric_Nativ'!$B$6:$B$405,E1144,'Istoric_Nativ'!$C$6:$C$405,F1144,'Istoric_Nativ'!$F$6:$F$405,G1144,'Istoric_Nativ'!$D$6:$D$405,"&lt;"&amp;J1144,'Istoric_Nativ'!$P$6:$P$405,1,'Istoric_Nativ'!$D$6:$D$405,"&gt;="&amp;L1144))))</x:f>
        <x:v>0</x:v>
      </x:c>
      <x:c r="N1144" s="11" t="str">
        <x:f>IF(M1144=0,"",IF(H1144="HOME",SUMIFS('Istoric_Nativ'!$G$6:$G$405,'Istoric_Nativ'!$B$6:$B$405,E1144,'Istoric_Nativ'!$C$6:$C$405,F1144,'Istoric_Nativ'!$E$6:$E$405,G1144,'Istoric_Nativ'!$D$6:$D$405,"&lt;"&amp;J1144,'Istoric_Nativ'!$P$6:$P$405,1,'Istoric_Nativ'!$D$6:$D$405,"&gt;="&amp;L1144),IF(H1144="AWAY",SUMIFS('Istoric_Nativ'!$H$6:$H$405,'Istoric_Nativ'!$B$6:$B$405,E1144,'Istoric_Nativ'!$C$6:$C$405,F1144,'Istoric_Nativ'!$F$6:$F$405,G1144,'Istoric_Nativ'!$D$6:$D$405,"&lt;"&amp;J1144,'Istoric_Nativ'!$P$6:$P$405,1,'Istoric_Nativ'!$D$6:$D$405,"&gt;="&amp;L1144),SUMIFS('Istoric_Nativ'!$G$6:$G$405,'Istoric_Nativ'!$B$6:$B$405,E1144,'Istoric_Nativ'!$C$6:$C$405,F1144,'Istoric_Nativ'!$E$6:$E$405,G1144,'Istoric_Nativ'!$D$6:$D$405,"&lt;"&amp;J1144,'Istoric_Nativ'!$P$6:$P$405,1,'Istoric_Nativ'!$D$6:$D$405,"&gt;="&amp;L1144)+SUMIFS('Istoric_Nativ'!$H$6:$H$405,'Istoric_Nativ'!$B$6:$B$405,E1144,'Istoric_Nativ'!$C$6:$C$405,F1144,'Istoric_Nativ'!$F$6:$F$405,G1144,'Istoric_Nativ'!$D$6:$D$405,"&lt;"&amp;J1144,'Istoric_Nativ'!$P$6:$P$405,1,'Istoric_Nativ'!$D$6:$D$405,"&gt;="&amp;L1144)))/M1144)</x:f>
      </x:c>
      <x:c r="O1144" s="11" t="str">
        <x:f>IF(M1144=0,"",IF(H1144="HOME",SUMIFS('Istoric_Nativ'!$H$6:$H$405,'Istoric_Nativ'!$B$6:$B$405,E1144,'Istoric_Nativ'!$C$6:$C$405,F1144,'Istoric_Nativ'!$E$6:$E$405,G1144,'Istoric_Nativ'!$D$6:$D$405,"&lt;"&amp;J1144,'Istoric_Nativ'!$P$6:$P$405,1,'Istoric_Nativ'!$D$6:$D$405,"&gt;="&amp;L1144),IF(H1144="AWAY",SUMIFS('Istoric_Nativ'!$G$6:$G$405,'Istoric_Nativ'!$B$6:$B$405,E1144,'Istoric_Nativ'!$C$6:$C$405,F1144,'Istoric_Nativ'!$F$6:$F$405,G1144,'Istoric_Nativ'!$D$6:$D$405,"&lt;"&amp;J1144,'Istoric_Nativ'!$P$6:$P$405,1,'Istoric_Nativ'!$D$6:$D$405,"&gt;="&amp;L1144),SUMIFS('Istoric_Nativ'!$H$6:$H$405,'Istoric_Nativ'!$B$6:$B$405,E1144,'Istoric_Nativ'!$C$6:$C$405,F1144,'Istoric_Nativ'!$E$6:$E$405,G1144,'Istoric_Nativ'!$D$6:$D$405,"&lt;"&amp;J1144,'Istoric_Nativ'!$P$6:$P$405,1,'Istoric_Nativ'!$D$6:$D$405,"&gt;="&amp;L1144)+SUMIFS('Istoric_Nativ'!$G$6:$G$405,'Istoric_Nativ'!$B$6:$B$405,E1144,'Istoric_Nativ'!$C$6:$C$405,F1144,'Istoric_Nativ'!$F$6:$F$405,G1144,'Istoric_Nativ'!$D$6:$D$405,"&lt;"&amp;J1144,'Istoric_Nativ'!$P$6:$P$405,1,'Istoric_Nativ'!$D$6:$D$405,"&gt;="&amp;L1144)))/M1144)</x:f>
      </x:c>
      <x:c r="P1144" s="2" t="n">
        <x:f>'Config_v6'!$B$8</x:f>
        <x:v>5</x:v>
      </x:c>
      <x:c r="Q1144" s="2" t="n">
        <x:f>IF(OR(B1144="",F1144=""),0,IFERROR(MATCH(E1144&amp;"|"&amp;F1144,SourceTable[Source_Key],0),0))</x:f>
        <x:v>0</x:v>
      </x:c>
      <x:c r="R1144" s="2" t="str">
        <x:f>IF(B1144="","",IF(F1144="","UNUSED",IF(Q1144=0,"NOT CHECKED",IF(COUNTIF(SourceTable[Source_Key],E1144&amp;"|"&amp;F1144)&lt;&gt;1,"SOURCE CONFLICT",IF(NOT(OR(INDEX(SourceTable[Status],MAX(1,Q1144))="IMPORTED",INDEX(SourceTable[Status],MAX(1,Q1144))="PARTIAL",INDEX(SourceTable[Status],MAX(1,Q1144))="SOURCE CONFLICT")),"ACCESS BLOCKED",IF(OR(INDEX(SourceTable[Coverage],Q1144)&lt;&gt;"FULL SEASON EXPORT",INDEX(SourceTable[URL],Q1144)="",INDEX(SourceTable[SHA256],Q1144)=""),"EVIDENCE INCOMPLETE",IF(AND('Input_Meci'!H100="LIVE",INDEX(SourceTable[Retrieved_UTC],Q1144)&gt;'Input_Meci'!G100),"POST CUTOFF","CLOSED")))))))</x:f>
      </x:c>
      <x:c r="S1144" s="2" t="n">
        <x:f>IF(OR(B1144="",F1144=""),0,COUNTIFS('Istoric_Nativ'!$B$6:$B$405,E1144,'Istoric_Nativ'!$C$6:$C$405,F1144,'Istoric_Nativ'!$E$6:$E$405,G1144,'Istoric_Nativ'!$D$6:$D$405,"&lt;"&amp;J1144,'Istoric_Nativ'!$O$6:$O$405,"INVALID")+COUNTIFS('Istoric_Nativ'!$B$6:$B$405,E1144,'Istoric_Nativ'!$C$6:$C$405,F1144,'Istoric_Nativ'!$E$6:$E$405,G1144,'Istoric_Nativ'!$O$6:$O$405,"INVALID",'Istoric_Nativ'!$D$6:$D$405,"*")+COUNTIFS('Istoric_Nativ'!$B$6:$B$405,E1144,'Istoric_Nativ'!$C$6:$C$405,F1144,'Istoric_Nativ'!$E$6:$E$405,G1144,'Istoric_Nativ'!$D$6:$D$405,"&lt;"&amp;J1144,'Istoric_Nativ'!$O$6:$O$405,"SOURCE CONFLICT")+COUNTIFS('Istoric_Nativ'!$B$6:$B$405,E1144,'Istoric_Nativ'!$C$6:$C$405,F1144,'Istoric_Nativ'!$F$6:$F$405,G1144,'Istoric_Nativ'!$D$6:$D$405,"&lt;"&amp;J1144,'Istoric_Nativ'!$O$6:$O$405,"INVALID")+COUNTIFS('Istoric_Nativ'!$B$6:$B$405,E1144,'Istoric_Nativ'!$C$6:$C$405,F1144,'Istoric_Nativ'!$F$6:$F$405,G1144,'Istoric_Nativ'!$O$6:$O$405,"INVALID",'Istoric_Nativ'!$D$6:$D$405,"*")+COUNTIFS('Istoric_Nativ'!$B$6:$B$405,E1144,'Istoric_Nativ'!$C$6:$C$405,F1144,'Istoric_Nativ'!$F$6:$F$405,G1144,'Istoric_Nativ'!$D$6:$D$405,"&lt;"&amp;J1144,'Istoric_Nativ'!$O$6:$O$405,"SOURCE CONFLICT"))</x:f>
        <x:v>0</x:v>
      </x:c>
      <x:c r="T1144" s="2" t="str">
        <x:f>IF(B1144="","",IF(R1144&lt;&gt;"CLOSED",R1144,IF(S1144&gt;0,"NATIVE INPUT ISSUE",IF(M1144=0,"NO HISTORY",IF(M1144&lt;P1144,"SMALL SAMPLE","DERIVED")))))</x:f>
      </x:c>
      <x:c r="U1144" s="2" t="str">
        <x:f>IF(B1144="","","NativeTable; "&amp;E1144&amp;"; "&amp;F1144&amp;"; "&amp;G1144&amp;"; "&amp;H1144&amp;"; before "&amp;TEXT(J1144,"yyyy-mm-dd")&amp;IF(I1144="RECENT","; from "&amp;TEXT(L1144,"yyyy-mm-dd"),""))</x:f>
      </x:c>
    </x:row>
    <x:row r="1145" ht="21" customHeight="1">
      <x:c r="A1145" s="2" t="n">
        <x:v>95</x:v>
      </x:c>
      <x:c r="B1145" s="2" t="str">
        <x:f>IF('Input_Meci'!A100="","",'Input_Meci'!A100)</x:f>
      </x:c>
      <x:c r="C1145" s="2" t="str">
        <x:v>A</x:v>
      </x:c>
      <x:c r="D1145" s="2" t="str">
        <x:v>PRIOR</x:v>
      </x:c>
      <x:c r="E1145" s="2" t="str">
        <x:f>IF(B1145="","",'Input_Meci'!B100)</x:f>
      </x:c>
      <x:c r="F1145" s="2" t="str">
        <x:f>IF(B1145="","",IF('Input_Meci'!K100="","",'Input_Meci'!K100))</x:f>
      </x:c>
      <x:c r="G1145" s="2" t="str">
        <x:f>IF(B1145="","",'Input_Meci'!E100)</x:f>
      </x:c>
      <x:c r="H1145" s="2" t="str">
        <x:v>ANY</x:v>
      </x:c>
      <x:c r="I1145" s="2" t="str">
        <x:v>RECENT</x:v>
      </x:c>
      <x:c r="J1145" s="9" t="n">
        <x:f>IF(AND(B1145&lt;&gt;"",ISNUMBER('Input_Meci'!G100)),INT('Input_Meci'!G100),0)</x:f>
        <x:v>0</x:v>
      </x:c>
      <x:c r="K1145" s="2" t="n">
        <x:f>IF(OR(B1145="",F1145=""),0,IF(H1145="HOME",COUNTIFS('Istoric_Nativ'!$B$6:$B$405,E1145,'Istoric_Nativ'!$C$6:$C$405,F1145,'Istoric_Nativ'!$E$6:$E$405,G1145,'Istoric_Nativ'!$D$6:$D$405,"&lt;"&amp;J1145,'Istoric_Nativ'!$P$6:$P$405,1),IF(H1145="AWAY",COUNTIFS('Istoric_Nativ'!$B$6:$B$405,E1145,'Istoric_Nativ'!$C$6:$C$405,F1145,'Istoric_Nativ'!$F$6:$F$405,G1145,'Istoric_Nativ'!$D$6:$D$405,"&lt;"&amp;J1145,'Istoric_Nativ'!$P$6:$P$405,1),COUNTIFS('Istoric_Nativ'!$B$6:$B$405,E1145,'Istoric_Nativ'!$C$6:$C$405,F1145,'Istoric_Nativ'!$E$6:$E$405,G1145,'Istoric_Nativ'!$D$6:$D$405,"&lt;"&amp;J1145,'Istoric_Nativ'!$P$6:$P$405,1)+COUNTIFS('Istoric_Nativ'!$B$6:$B$405,E1145,'Istoric_Nativ'!$C$6:$C$405,F1145,'Istoric_Nativ'!$F$6:$F$405,G1145,'Istoric_Nativ'!$D$6:$D$405,"&lt;"&amp;J1145,'Istoric_Nativ'!$P$6:$P$405,1))))</x:f>
        <x:v>0</x:v>
      </x:c>
      <x:c r="L1145" s="17" t="n">
        <x:f>IF(AND(B1145&lt;&gt;"",I1145="RECENT",K1145&gt;0),LARGE(_xlfn._xlws.FILTER('Istoric_Nativ'!$D$6:$D$405,('Istoric_Nativ'!$B$6:$B$405=E1145)*('Istoric_Nativ'!$C$6:$C$405=F1145)*('Istoric_Nativ'!$P$6:$P$405=1)*('Istoric_Nativ'!$D$6:$D$405&lt;J1145)*((('Istoric_Nativ'!$E$6:$E$405=G1145)+('Istoric_Nativ'!$F$6:$F$405=G1145))&gt;0)),MIN('Config_v6'!$B$54,K1145)),0)</x:f>
        <x:v>0</x:v>
      </x:c>
      <x:c r="M1145" s="2" t="n">
        <x:f>IF(OR(B1145="",F1145=""),0,IF(H1145="HOME",COUNTIFS('Istoric_Nativ'!$B$6:$B$405,E1145,'Istoric_Nativ'!$C$6:$C$405,F1145,'Istoric_Nativ'!$E$6:$E$405,G1145,'Istoric_Nativ'!$D$6:$D$405,"&lt;"&amp;J1145,'Istoric_Nativ'!$P$6:$P$405,1,'Istoric_Nativ'!$D$6:$D$405,"&gt;="&amp;L1145),IF(H1145="AWAY",COUNTIFS('Istoric_Nativ'!$B$6:$B$405,E1145,'Istoric_Nativ'!$C$6:$C$405,F1145,'Istoric_Nativ'!$F$6:$F$405,G1145,'Istoric_Nativ'!$D$6:$D$405,"&lt;"&amp;J1145,'Istoric_Nativ'!$P$6:$P$405,1,'Istoric_Nativ'!$D$6:$D$405,"&gt;="&amp;L1145),COUNTIFS('Istoric_Nativ'!$B$6:$B$405,E1145,'Istoric_Nativ'!$C$6:$C$405,F1145,'Istoric_Nativ'!$E$6:$E$405,G1145,'Istoric_Nativ'!$D$6:$D$405,"&lt;"&amp;J1145,'Istoric_Nativ'!$P$6:$P$405,1,'Istoric_Nativ'!$D$6:$D$405,"&gt;="&amp;L1145)+COUNTIFS('Istoric_Nativ'!$B$6:$B$405,E1145,'Istoric_Nativ'!$C$6:$C$405,F1145,'Istoric_Nativ'!$F$6:$F$405,G1145,'Istoric_Nativ'!$D$6:$D$405,"&lt;"&amp;J1145,'Istoric_Nativ'!$P$6:$P$405,1,'Istoric_Nativ'!$D$6:$D$405,"&gt;="&amp;L1145))))</x:f>
        <x:v>0</x:v>
      </x:c>
      <x:c r="N1145" s="11" t="str">
        <x:f>IF(M1145=0,"",IF(H1145="HOME",SUMIFS('Istoric_Nativ'!$G$6:$G$405,'Istoric_Nativ'!$B$6:$B$405,E1145,'Istoric_Nativ'!$C$6:$C$405,F1145,'Istoric_Nativ'!$E$6:$E$405,G1145,'Istoric_Nativ'!$D$6:$D$405,"&lt;"&amp;J1145,'Istoric_Nativ'!$P$6:$P$405,1,'Istoric_Nativ'!$D$6:$D$405,"&gt;="&amp;L1145),IF(H1145="AWAY",SUMIFS('Istoric_Nativ'!$H$6:$H$405,'Istoric_Nativ'!$B$6:$B$405,E1145,'Istoric_Nativ'!$C$6:$C$405,F1145,'Istoric_Nativ'!$F$6:$F$405,G1145,'Istoric_Nativ'!$D$6:$D$405,"&lt;"&amp;J1145,'Istoric_Nativ'!$P$6:$P$405,1,'Istoric_Nativ'!$D$6:$D$405,"&gt;="&amp;L1145),SUMIFS('Istoric_Nativ'!$G$6:$G$405,'Istoric_Nativ'!$B$6:$B$405,E1145,'Istoric_Nativ'!$C$6:$C$405,F1145,'Istoric_Nativ'!$E$6:$E$405,G1145,'Istoric_Nativ'!$D$6:$D$405,"&lt;"&amp;J1145,'Istoric_Nativ'!$P$6:$P$405,1,'Istoric_Nativ'!$D$6:$D$405,"&gt;="&amp;L1145)+SUMIFS('Istoric_Nativ'!$H$6:$H$405,'Istoric_Nativ'!$B$6:$B$405,E1145,'Istoric_Nativ'!$C$6:$C$405,F1145,'Istoric_Nativ'!$F$6:$F$405,G1145,'Istoric_Nativ'!$D$6:$D$405,"&lt;"&amp;J1145,'Istoric_Nativ'!$P$6:$P$405,1,'Istoric_Nativ'!$D$6:$D$405,"&gt;="&amp;L1145)))/M1145)</x:f>
      </x:c>
      <x:c r="O1145" s="11" t="str">
        <x:f>IF(M1145=0,"",IF(H1145="HOME",SUMIFS('Istoric_Nativ'!$H$6:$H$405,'Istoric_Nativ'!$B$6:$B$405,E1145,'Istoric_Nativ'!$C$6:$C$405,F1145,'Istoric_Nativ'!$E$6:$E$405,G1145,'Istoric_Nativ'!$D$6:$D$405,"&lt;"&amp;J1145,'Istoric_Nativ'!$P$6:$P$405,1,'Istoric_Nativ'!$D$6:$D$405,"&gt;="&amp;L1145),IF(H1145="AWAY",SUMIFS('Istoric_Nativ'!$G$6:$G$405,'Istoric_Nativ'!$B$6:$B$405,E1145,'Istoric_Nativ'!$C$6:$C$405,F1145,'Istoric_Nativ'!$F$6:$F$405,G1145,'Istoric_Nativ'!$D$6:$D$405,"&lt;"&amp;J1145,'Istoric_Nativ'!$P$6:$P$405,1,'Istoric_Nativ'!$D$6:$D$405,"&gt;="&amp;L1145),SUMIFS('Istoric_Nativ'!$H$6:$H$405,'Istoric_Nativ'!$B$6:$B$405,E1145,'Istoric_Nativ'!$C$6:$C$405,F1145,'Istoric_Nativ'!$E$6:$E$405,G1145,'Istoric_Nativ'!$D$6:$D$405,"&lt;"&amp;J1145,'Istoric_Nativ'!$P$6:$P$405,1,'Istoric_Nativ'!$D$6:$D$405,"&gt;="&amp;L1145)+SUMIFS('Istoric_Nativ'!$G$6:$G$405,'Istoric_Nativ'!$B$6:$B$405,E1145,'Istoric_Nativ'!$C$6:$C$405,F1145,'Istoric_Nativ'!$F$6:$F$405,G1145,'Istoric_Nativ'!$D$6:$D$405,"&lt;"&amp;J1145,'Istoric_Nativ'!$P$6:$P$405,1,'Istoric_Nativ'!$D$6:$D$405,"&gt;="&amp;L1145)))/M1145)</x:f>
      </x:c>
      <x:c r="P1145" s="2" t="n">
        <x:f>'Config_v6'!$B$9</x:f>
        <x:v>3</x:v>
      </x:c>
      <x:c r="Q1145" s="2" t="n">
        <x:f>IF(OR(B1145="",F1145=""),0,IFERROR(MATCH(E1145&amp;"|"&amp;F1145,SourceTable[Source_Key],0),0))</x:f>
        <x:v>0</x:v>
      </x:c>
      <x:c r="R1145" s="2" t="str">
        <x:f>IF(B1145="","",IF(F1145="","UNUSED",IF(Q1145=0,"NOT CHECKED",IF(COUNTIF(SourceTable[Source_Key],E1145&amp;"|"&amp;F1145)&lt;&gt;1,"SOURCE CONFLICT",IF(NOT(OR(INDEX(SourceTable[Status],MAX(1,Q1145))="IMPORTED",INDEX(SourceTable[Status],MAX(1,Q1145))="PARTIAL",INDEX(SourceTable[Status],MAX(1,Q1145))="SOURCE CONFLICT")),"ACCESS BLOCKED",IF(OR(INDEX(SourceTable[Coverage],Q1145)&lt;&gt;"FULL SEASON EXPORT",INDEX(SourceTable[URL],Q1145)="",INDEX(SourceTable[SHA256],Q1145)=""),"EVIDENCE INCOMPLETE",IF(AND('Input_Meci'!H100="LIVE",INDEX(SourceTable[Retrieved_UTC],Q1145)&gt;'Input_Meci'!G100),"POST CUTOFF","CLOSED")))))))</x:f>
      </x:c>
      <x:c r="S1145" s="2" t="n">
        <x:f>IF(OR(B1145="",F1145=""),0,COUNTIFS('Istoric_Nativ'!$B$6:$B$405,E1145,'Istoric_Nativ'!$C$6:$C$405,F1145,'Istoric_Nativ'!$E$6:$E$405,G1145,'Istoric_Nativ'!$D$6:$D$405,"&lt;"&amp;J1145,'Istoric_Nativ'!$O$6:$O$405,"INVALID")+COUNTIFS('Istoric_Nativ'!$B$6:$B$405,E1145,'Istoric_Nativ'!$C$6:$C$405,F1145,'Istoric_Nativ'!$E$6:$E$405,G1145,'Istoric_Nativ'!$O$6:$O$405,"INVALID",'Istoric_Nativ'!$D$6:$D$405,"*")+COUNTIFS('Istoric_Nativ'!$B$6:$B$405,E1145,'Istoric_Nativ'!$C$6:$C$405,F1145,'Istoric_Nativ'!$E$6:$E$405,G1145,'Istoric_Nativ'!$D$6:$D$405,"&lt;"&amp;J1145,'Istoric_Nativ'!$O$6:$O$405,"SOURCE CONFLICT")+COUNTIFS('Istoric_Nativ'!$B$6:$B$405,E1145,'Istoric_Nativ'!$C$6:$C$405,F1145,'Istoric_Nativ'!$F$6:$F$405,G1145,'Istoric_Nativ'!$D$6:$D$405,"&lt;"&amp;J1145,'Istoric_Nativ'!$O$6:$O$405,"INVALID")+COUNTIFS('Istoric_Nativ'!$B$6:$B$405,E1145,'Istoric_Nativ'!$C$6:$C$405,F1145,'Istoric_Nativ'!$F$6:$F$405,G1145,'Istoric_Nativ'!$O$6:$O$405,"INVALID",'Istoric_Nativ'!$D$6:$D$405,"*")+COUNTIFS('Istoric_Nativ'!$B$6:$B$405,E1145,'Istoric_Nativ'!$C$6:$C$405,F1145,'Istoric_Nativ'!$F$6:$F$405,G1145,'Istoric_Nativ'!$D$6:$D$405,"&lt;"&amp;J1145,'Istoric_Nativ'!$O$6:$O$405,"SOURCE CONFLICT"))</x:f>
        <x:v>0</x:v>
      </x:c>
      <x:c r="T1145" s="2" t="str">
        <x:f>IF(B1145="","",IF(R1145&lt;&gt;"CLOSED",R1145,IF(S1145&gt;0,"NATIVE INPUT ISSUE",IF(M1145=0,"NO HISTORY",IF(M1145&lt;P1145,"SMALL SAMPLE","DERIVED")))))</x:f>
      </x:c>
      <x:c r="U1145" s="2" t="str">
        <x:f>IF(B1145="","","NativeTable; "&amp;E1145&amp;"; "&amp;F1145&amp;"; "&amp;G1145&amp;"; "&amp;H1145&amp;"; before "&amp;TEXT(J1145,"yyyy-mm-dd")&amp;IF(I1145="RECENT","; from "&amp;TEXT(L1145,"yyyy-mm-dd"),""))</x:f>
      </x:c>
    </x:row>
    <x:row r="1146" ht="21" customHeight="1">
      <x:c r="A1146" s="2" t="n">
        <x:v>96</x:v>
      </x:c>
      <x:c r="B1146" s="2" t="str">
        <x:f>IF('Input_Meci'!A101="","",'Input_Meci'!A101)</x:f>
      </x:c>
      <x:c r="C1146" s="2" t="str">
        <x:v>H</x:v>
      </x:c>
      <x:c r="D1146" s="2" t="str">
        <x:v>CURRENT</x:v>
      </x:c>
      <x:c r="E1146" s="2" t="str">
        <x:f>IF(B1146="","",'Input_Meci'!B101)</x:f>
      </x:c>
      <x:c r="F1146" s="2" t="str">
        <x:f>IF(B1146="","",IF('Input_Meci'!C101="","",'Input_Meci'!C101))</x:f>
      </x:c>
      <x:c r="G1146" s="2" t="str">
        <x:f>IF(B1146="","",'Input_Meci'!D101)</x:f>
      </x:c>
      <x:c r="H1146" s="2" t="str">
        <x:v>ANY</x:v>
      </x:c>
      <x:c r="I1146" s="2" t="str">
        <x:v>SEASON</x:v>
      </x:c>
      <x:c r="J1146" s="9" t="n">
        <x:f>IF(AND(B1146&lt;&gt;"",ISNUMBER('Input_Meci'!G101)),INT('Input_Meci'!G101),0)</x:f>
        <x:v>0</x:v>
      </x:c>
      <x:c r="K1146" s="2" t="n">
        <x:f>IF(OR(B1146="",F1146=""),0,IF(H1146="HOME",COUNTIFS('Istoric_Nativ'!$B$6:$B$405,E1146,'Istoric_Nativ'!$C$6:$C$405,F1146,'Istoric_Nativ'!$E$6:$E$405,G1146,'Istoric_Nativ'!$D$6:$D$405,"&lt;"&amp;J1146,'Istoric_Nativ'!$P$6:$P$405,1),IF(H1146="AWAY",COUNTIFS('Istoric_Nativ'!$B$6:$B$405,E1146,'Istoric_Nativ'!$C$6:$C$405,F1146,'Istoric_Nativ'!$F$6:$F$405,G1146,'Istoric_Nativ'!$D$6:$D$405,"&lt;"&amp;J1146,'Istoric_Nativ'!$P$6:$P$405,1),COUNTIFS('Istoric_Nativ'!$B$6:$B$405,E1146,'Istoric_Nativ'!$C$6:$C$405,F1146,'Istoric_Nativ'!$E$6:$E$405,G1146,'Istoric_Nativ'!$D$6:$D$405,"&lt;"&amp;J1146,'Istoric_Nativ'!$P$6:$P$405,1)+COUNTIFS('Istoric_Nativ'!$B$6:$B$405,E1146,'Istoric_Nativ'!$C$6:$C$405,F1146,'Istoric_Nativ'!$F$6:$F$405,G1146,'Istoric_Nativ'!$D$6:$D$405,"&lt;"&amp;J1146,'Istoric_Nativ'!$P$6:$P$405,1))))</x:f>
        <x:v>0</x:v>
      </x:c>
      <x:c r="L1146" s="17" t="n">
        <x:f>IF(AND(B1146&lt;&gt;"",I1146="RECENT",K1146&gt;0),LARGE(_xlfn._xlws.FILTER('Istoric_Nativ'!$D$6:$D$405,('Istoric_Nativ'!$B$6:$B$405=E1146)*('Istoric_Nativ'!$C$6:$C$405=F1146)*('Istoric_Nativ'!$P$6:$P$405=1)*('Istoric_Nativ'!$D$6:$D$405&lt;J1146)*((('Istoric_Nativ'!$E$6:$E$405=G1146)+('Istoric_Nativ'!$F$6:$F$405=G1146))&gt;0)),MIN('Config_v6'!$B$54,K1146)),0)</x:f>
        <x:v>0</x:v>
      </x:c>
      <x:c r="M1146" s="2" t="n">
        <x:f>IF(OR(B1146="",F1146=""),0,IF(H1146="HOME",COUNTIFS('Istoric_Nativ'!$B$6:$B$405,E1146,'Istoric_Nativ'!$C$6:$C$405,F1146,'Istoric_Nativ'!$E$6:$E$405,G1146,'Istoric_Nativ'!$D$6:$D$405,"&lt;"&amp;J1146,'Istoric_Nativ'!$P$6:$P$405,1,'Istoric_Nativ'!$D$6:$D$405,"&gt;="&amp;L1146),IF(H1146="AWAY",COUNTIFS('Istoric_Nativ'!$B$6:$B$405,E1146,'Istoric_Nativ'!$C$6:$C$405,F1146,'Istoric_Nativ'!$F$6:$F$405,G1146,'Istoric_Nativ'!$D$6:$D$405,"&lt;"&amp;J1146,'Istoric_Nativ'!$P$6:$P$405,1,'Istoric_Nativ'!$D$6:$D$405,"&gt;="&amp;L1146),COUNTIFS('Istoric_Nativ'!$B$6:$B$405,E1146,'Istoric_Nativ'!$C$6:$C$405,F1146,'Istoric_Nativ'!$E$6:$E$405,G1146,'Istoric_Nativ'!$D$6:$D$405,"&lt;"&amp;J1146,'Istoric_Nativ'!$P$6:$P$405,1,'Istoric_Nativ'!$D$6:$D$405,"&gt;="&amp;L1146)+COUNTIFS('Istoric_Nativ'!$B$6:$B$405,E1146,'Istoric_Nativ'!$C$6:$C$405,F1146,'Istoric_Nativ'!$F$6:$F$405,G1146,'Istoric_Nativ'!$D$6:$D$405,"&lt;"&amp;J1146,'Istoric_Nativ'!$P$6:$P$405,1,'Istoric_Nativ'!$D$6:$D$405,"&gt;="&amp;L1146))))</x:f>
        <x:v>0</x:v>
      </x:c>
      <x:c r="N1146" s="11" t="str">
        <x:f>IF(M1146=0,"",IF(H1146="HOME",SUMIFS('Istoric_Nativ'!$G$6:$G$405,'Istoric_Nativ'!$B$6:$B$405,E1146,'Istoric_Nativ'!$C$6:$C$405,F1146,'Istoric_Nativ'!$E$6:$E$405,G1146,'Istoric_Nativ'!$D$6:$D$405,"&lt;"&amp;J1146,'Istoric_Nativ'!$P$6:$P$405,1,'Istoric_Nativ'!$D$6:$D$405,"&gt;="&amp;L1146),IF(H1146="AWAY",SUMIFS('Istoric_Nativ'!$H$6:$H$405,'Istoric_Nativ'!$B$6:$B$405,E1146,'Istoric_Nativ'!$C$6:$C$405,F1146,'Istoric_Nativ'!$F$6:$F$405,G1146,'Istoric_Nativ'!$D$6:$D$405,"&lt;"&amp;J1146,'Istoric_Nativ'!$P$6:$P$405,1,'Istoric_Nativ'!$D$6:$D$405,"&gt;="&amp;L1146),SUMIFS('Istoric_Nativ'!$G$6:$G$405,'Istoric_Nativ'!$B$6:$B$405,E1146,'Istoric_Nativ'!$C$6:$C$405,F1146,'Istoric_Nativ'!$E$6:$E$405,G1146,'Istoric_Nativ'!$D$6:$D$405,"&lt;"&amp;J1146,'Istoric_Nativ'!$P$6:$P$405,1,'Istoric_Nativ'!$D$6:$D$405,"&gt;="&amp;L1146)+SUMIFS('Istoric_Nativ'!$H$6:$H$405,'Istoric_Nativ'!$B$6:$B$405,E1146,'Istoric_Nativ'!$C$6:$C$405,F1146,'Istoric_Nativ'!$F$6:$F$405,G1146,'Istoric_Nativ'!$D$6:$D$405,"&lt;"&amp;J1146,'Istoric_Nativ'!$P$6:$P$405,1,'Istoric_Nativ'!$D$6:$D$405,"&gt;="&amp;L1146)))/M1146)</x:f>
      </x:c>
      <x:c r="O1146" s="11" t="str">
        <x:f>IF(M1146=0,"",IF(H1146="HOME",SUMIFS('Istoric_Nativ'!$H$6:$H$405,'Istoric_Nativ'!$B$6:$B$405,E1146,'Istoric_Nativ'!$C$6:$C$405,F1146,'Istoric_Nativ'!$E$6:$E$405,G1146,'Istoric_Nativ'!$D$6:$D$405,"&lt;"&amp;J1146,'Istoric_Nativ'!$P$6:$P$405,1,'Istoric_Nativ'!$D$6:$D$405,"&gt;="&amp;L1146),IF(H1146="AWAY",SUMIFS('Istoric_Nativ'!$G$6:$G$405,'Istoric_Nativ'!$B$6:$B$405,E1146,'Istoric_Nativ'!$C$6:$C$405,F1146,'Istoric_Nativ'!$F$6:$F$405,G1146,'Istoric_Nativ'!$D$6:$D$405,"&lt;"&amp;J1146,'Istoric_Nativ'!$P$6:$P$405,1,'Istoric_Nativ'!$D$6:$D$405,"&gt;="&amp;L1146),SUMIFS('Istoric_Nativ'!$H$6:$H$405,'Istoric_Nativ'!$B$6:$B$405,E1146,'Istoric_Nativ'!$C$6:$C$405,F1146,'Istoric_Nativ'!$E$6:$E$405,G1146,'Istoric_Nativ'!$D$6:$D$405,"&lt;"&amp;J1146,'Istoric_Nativ'!$P$6:$P$405,1,'Istoric_Nativ'!$D$6:$D$405,"&gt;="&amp;L1146)+SUMIFS('Istoric_Nativ'!$G$6:$G$405,'Istoric_Nativ'!$B$6:$B$405,E1146,'Istoric_Nativ'!$C$6:$C$405,F1146,'Istoric_Nativ'!$F$6:$F$405,G1146,'Istoric_Nativ'!$D$6:$D$405,"&lt;"&amp;J1146,'Istoric_Nativ'!$P$6:$P$405,1,'Istoric_Nativ'!$D$6:$D$405,"&gt;="&amp;L1146)))/M1146)</x:f>
      </x:c>
      <x:c r="P1146" s="2" t="n">
        <x:f>'Config_v6'!$B$7</x:f>
        <x:v>10</x:v>
      </x:c>
      <x:c r="Q1146" s="2" t="n">
        <x:f>IF(OR(B1146="",F1146=""),0,IFERROR(MATCH(E1146&amp;"|"&amp;F1146,SourceTable[Source_Key],0),0))</x:f>
        <x:v>0</x:v>
      </x:c>
      <x:c r="R1146" s="2" t="str">
        <x:f>IF(B1146="","",IF(F1146="","UNUSED",IF(Q1146=0,"NOT CHECKED",IF(COUNTIF(SourceTable[Source_Key],E1146&amp;"|"&amp;F1146)&lt;&gt;1,"SOURCE CONFLICT",IF(NOT(OR(INDEX(SourceTable[Status],MAX(1,Q1146))="IMPORTED",INDEX(SourceTable[Status],MAX(1,Q1146))="PARTIAL",INDEX(SourceTable[Status],MAX(1,Q1146))="SOURCE CONFLICT")),"ACCESS BLOCKED",IF(OR(INDEX(SourceTable[Coverage],Q1146)&lt;&gt;"FULL SEASON EXPORT",INDEX(SourceTable[URL],Q1146)="",INDEX(SourceTable[SHA256],Q1146)=""),"EVIDENCE INCOMPLETE",IF(AND('Input_Meci'!H101="LIVE",INDEX(SourceTable[Retrieved_UTC],Q1146)&gt;'Input_Meci'!G101),"POST CUTOFF","CLOSED")))))))</x:f>
      </x:c>
      <x:c r="S1146" s="2" t="n">
        <x:f>IF(OR(B1146="",F1146=""),0,COUNTIFS('Istoric_Nativ'!$B$6:$B$405,E1146,'Istoric_Nativ'!$C$6:$C$405,F1146,'Istoric_Nativ'!$E$6:$E$405,G1146,'Istoric_Nativ'!$D$6:$D$405,"&lt;"&amp;J1146,'Istoric_Nativ'!$O$6:$O$405,"INVALID")+COUNTIFS('Istoric_Nativ'!$B$6:$B$405,E1146,'Istoric_Nativ'!$C$6:$C$405,F1146,'Istoric_Nativ'!$E$6:$E$405,G1146,'Istoric_Nativ'!$O$6:$O$405,"INVALID",'Istoric_Nativ'!$D$6:$D$405,"*")+COUNTIFS('Istoric_Nativ'!$B$6:$B$405,E1146,'Istoric_Nativ'!$C$6:$C$405,F1146,'Istoric_Nativ'!$E$6:$E$405,G1146,'Istoric_Nativ'!$D$6:$D$405,"&lt;"&amp;J1146,'Istoric_Nativ'!$O$6:$O$405,"SOURCE CONFLICT")+COUNTIFS('Istoric_Nativ'!$B$6:$B$405,E1146,'Istoric_Nativ'!$C$6:$C$405,F1146,'Istoric_Nativ'!$F$6:$F$405,G1146,'Istoric_Nativ'!$D$6:$D$405,"&lt;"&amp;J1146,'Istoric_Nativ'!$O$6:$O$405,"INVALID")+COUNTIFS('Istoric_Nativ'!$B$6:$B$405,E1146,'Istoric_Nativ'!$C$6:$C$405,F1146,'Istoric_Nativ'!$F$6:$F$405,G1146,'Istoric_Nativ'!$O$6:$O$405,"INVALID",'Istoric_Nativ'!$D$6:$D$405,"*")+COUNTIFS('Istoric_Nativ'!$B$6:$B$405,E1146,'Istoric_Nativ'!$C$6:$C$405,F1146,'Istoric_Nativ'!$F$6:$F$405,G1146,'Istoric_Nativ'!$D$6:$D$405,"&lt;"&amp;J1146,'Istoric_Nativ'!$O$6:$O$405,"SOURCE CONFLICT"))</x:f>
        <x:v>0</x:v>
      </x:c>
      <x:c r="T1146" s="2" t="str">
        <x:f>IF(B1146="","",IF(R1146&lt;&gt;"CLOSED",R1146,IF(S1146&gt;0,"NATIVE INPUT ISSUE",IF(M1146=0,"NO HISTORY",IF(M1146&lt;P1146,"SMALL SAMPLE","DERIVED")))))</x:f>
      </x:c>
      <x:c r="U1146" s="2" t="str">
        <x:f>IF(B1146="","","NativeTable; "&amp;E1146&amp;"; "&amp;F1146&amp;"; "&amp;G1146&amp;"; "&amp;H1146&amp;"; before "&amp;TEXT(J1146,"yyyy-mm-dd")&amp;IF(I1146="RECENT","; from "&amp;TEXT(L1146,"yyyy-mm-dd"),""))</x:f>
      </x:c>
    </x:row>
    <x:row r="1147" ht="21" customHeight="1">
      <x:c r="A1147" s="2" t="n">
        <x:v>96</x:v>
      </x:c>
      <x:c r="B1147" s="2" t="str">
        <x:f>IF('Input_Meci'!A101="","",'Input_Meci'!A101)</x:f>
      </x:c>
      <x:c r="C1147" s="2" t="str">
        <x:v>H</x:v>
      </x:c>
      <x:c r="D1147" s="2" t="str">
        <x:v>CURRENT</x:v>
      </x:c>
      <x:c r="E1147" s="2" t="str">
        <x:f>IF(B1147="","",'Input_Meci'!B101)</x:f>
      </x:c>
      <x:c r="F1147" s="2" t="str">
        <x:f>IF(B1147="","",IF('Input_Meci'!C101="","",'Input_Meci'!C101))</x:f>
      </x:c>
      <x:c r="G1147" s="2" t="str">
        <x:f>IF(B1147="","",'Input_Meci'!D101)</x:f>
      </x:c>
      <x:c r="H1147" s="2" t="str">
        <x:v>HOME</x:v>
      </x:c>
      <x:c r="I1147" s="2" t="str">
        <x:v>HA</x:v>
      </x:c>
      <x:c r="J1147" s="9" t="n">
        <x:f>IF(AND(B1147&lt;&gt;"",ISNUMBER('Input_Meci'!G101)),INT('Input_Meci'!G101),0)</x:f>
        <x:v>0</x:v>
      </x:c>
      <x:c r="K1147" s="2" t="n">
        <x:f>IF(OR(B1147="",F1147=""),0,IF(H1147="HOME",COUNTIFS('Istoric_Nativ'!$B$6:$B$405,E1147,'Istoric_Nativ'!$C$6:$C$405,F1147,'Istoric_Nativ'!$E$6:$E$405,G1147,'Istoric_Nativ'!$D$6:$D$405,"&lt;"&amp;J1147,'Istoric_Nativ'!$P$6:$P$405,1),IF(H1147="AWAY",COUNTIFS('Istoric_Nativ'!$B$6:$B$405,E1147,'Istoric_Nativ'!$C$6:$C$405,F1147,'Istoric_Nativ'!$F$6:$F$405,G1147,'Istoric_Nativ'!$D$6:$D$405,"&lt;"&amp;J1147,'Istoric_Nativ'!$P$6:$P$405,1),COUNTIFS('Istoric_Nativ'!$B$6:$B$405,E1147,'Istoric_Nativ'!$C$6:$C$405,F1147,'Istoric_Nativ'!$E$6:$E$405,G1147,'Istoric_Nativ'!$D$6:$D$405,"&lt;"&amp;J1147,'Istoric_Nativ'!$P$6:$P$405,1)+COUNTIFS('Istoric_Nativ'!$B$6:$B$405,E1147,'Istoric_Nativ'!$C$6:$C$405,F1147,'Istoric_Nativ'!$F$6:$F$405,G1147,'Istoric_Nativ'!$D$6:$D$405,"&lt;"&amp;J1147,'Istoric_Nativ'!$P$6:$P$405,1))))</x:f>
        <x:v>0</x:v>
      </x:c>
      <x:c r="L1147" s="17" t="n">
        <x:f>IF(AND(B1147&lt;&gt;"",I1147="RECENT",K1147&gt;0),LARGE(_xlfn._xlws.FILTER('Istoric_Nativ'!$D$6:$D$405,('Istoric_Nativ'!$B$6:$B$405=E1147)*('Istoric_Nativ'!$C$6:$C$405=F1147)*('Istoric_Nativ'!$P$6:$P$405=1)*('Istoric_Nativ'!$D$6:$D$405&lt;J1147)*((('Istoric_Nativ'!$E$6:$E$405=G1147)+('Istoric_Nativ'!$F$6:$F$405=G1147))&gt;0)),MIN('Config_v6'!$B$54,K1147)),0)</x:f>
        <x:v>0</x:v>
      </x:c>
      <x:c r="M1147" s="2" t="n">
        <x:f>IF(OR(B1147="",F1147=""),0,IF(H1147="HOME",COUNTIFS('Istoric_Nativ'!$B$6:$B$405,E1147,'Istoric_Nativ'!$C$6:$C$405,F1147,'Istoric_Nativ'!$E$6:$E$405,G1147,'Istoric_Nativ'!$D$6:$D$405,"&lt;"&amp;J1147,'Istoric_Nativ'!$P$6:$P$405,1,'Istoric_Nativ'!$D$6:$D$405,"&gt;="&amp;L1147),IF(H1147="AWAY",COUNTIFS('Istoric_Nativ'!$B$6:$B$405,E1147,'Istoric_Nativ'!$C$6:$C$405,F1147,'Istoric_Nativ'!$F$6:$F$405,G1147,'Istoric_Nativ'!$D$6:$D$405,"&lt;"&amp;J1147,'Istoric_Nativ'!$P$6:$P$405,1,'Istoric_Nativ'!$D$6:$D$405,"&gt;="&amp;L1147),COUNTIFS('Istoric_Nativ'!$B$6:$B$405,E1147,'Istoric_Nativ'!$C$6:$C$405,F1147,'Istoric_Nativ'!$E$6:$E$405,G1147,'Istoric_Nativ'!$D$6:$D$405,"&lt;"&amp;J1147,'Istoric_Nativ'!$P$6:$P$405,1,'Istoric_Nativ'!$D$6:$D$405,"&gt;="&amp;L1147)+COUNTIFS('Istoric_Nativ'!$B$6:$B$405,E1147,'Istoric_Nativ'!$C$6:$C$405,F1147,'Istoric_Nativ'!$F$6:$F$405,G1147,'Istoric_Nativ'!$D$6:$D$405,"&lt;"&amp;J1147,'Istoric_Nativ'!$P$6:$P$405,1,'Istoric_Nativ'!$D$6:$D$405,"&gt;="&amp;L1147))))</x:f>
        <x:v>0</x:v>
      </x:c>
      <x:c r="N1147" s="11" t="str">
        <x:f>IF(M1147=0,"",IF(H1147="HOME",SUMIFS('Istoric_Nativ'!$G$6:$G$405,'Istoric_Nativ'!$B$6:$B$405,E1147,'Istoric_Nativ'!$C$6:$C$405,F1147,'Istoric_Nativ'!$E$6:$E$405,G1147,'Istoric_Nativ'!$D$6:$D$405,"&lt;"&amp;J1147,'Istoric_Nativ'!$P$6:$P$405,1,'Istoric_Nativ'!$D$6:$D$405,"&gt;="&amp;L1147),IF(H1147="AWAY",SUMIFS('Istoric_Nativ'!$H$6:$H$405,'Istoric_Nativ'!$B$6:$B$405,E1147,'Istoric_Nativ'!$C$6:$C$405,F1147,'Istoric_Nativ'!$F$6:$F$405,G1147,'Istoric_Nativ'!$D$6:$D$405,"&lt;"&amp;J1147,'Istoric_Nativ'!$P$6:$P$405,1,'Istoric_Nativ'!$D$6:$D$405,"&gt;="&amp;L1147),SUMIFS('Istoric_Nativ'!$G$6:$G$405,'Istoric_Nativ'!$B$6:$B$405,E1147,'Istoric_Nativ'!$C$6:$C$405,F1147,'Istoric_Nativ'!$E$6:$E$405,G1147,'Istoric_Nativ'!$D$6:$D$405,"&lt;"&amp;J1147,'Istoric_Nativ'!$P$6:$P$405,1,'Istoric_Nativ'!$D$6:$D$405,"&gt;="&amp;L1147)+SUMIFS('Istoric_Nativ'!$H$6:$H$405,'Istoric_Nativ'!$B$6:$B$405,E1147,'Istoric_Nativ'!$C$6:$C$405,F1147,'Istoric_Nativ'!$F$6:$F$405,G1147,'Istoric_Nativ'!$D$6:$D$405,"&lt;"&amp;J1147,'Istoric_Nativ'!$P$6:$P$405,1,'Istoric_Nativ'!$D$6:$D$405,"&gt;="&amp;L1147)))/M1147)</x:f>
      </x:c>
      <x:c r="O1147" s="11" t="str">
        <x:f>IF(M1147=0,"",IF(H1147="HOME",SUMIFS('Istoric_Nativ'!$H$6:$H$405,'Istoric_Nativ'!$B$6:$B$405,E1147,'Istoric_Nativ'!$C$6:$C$405,F1147,'Istoric_Nativ'!$E$6:$E$405,G1147,'Istoric_Nativ'!$D$6:$D$405,"&lt;"&amp;J1147,'Istoric_Nativ'!$P$6:$P$405,1,'Istoric_Nativ'!$D$6:$D$405,"&gt;="&amp;L1147),IF(H1147="AWAY",SUMIFS('Istoric_Nativ'!$G$6:$G$405,'Istoric_Nativ'!$B$6:$B$405,E1147,'Istoric_Nativ'!$C$6:$C$405,F1147,'Istoric_Nativ'!$F$6:$F$405,G1147,'Istoric_Nativ'!$D$6:$D$405,"&lt;"&amp;J1147,'Istoric_Nativ'!$P$6:$P$405,1,'Istoric_Nativ'!$D$6:$D$405,"&gt;="&amp;L1147),SUMIFS('Istoric_Nativ'!$H$6:$H$405,'Istoric_Nativ'!$B$6:$B$405,E1147,'Istoric_Nativ'!$C$6:$C$405,F1147,'Istoric_Nativ'!$E$6:$E$405,G1147,'Istoric_Nativ'!$D$6:$D$405,"&lt;"&amp;J1147,'Istoric_Nativ'!$P$6:$P$405,1,'Istoric_Nativ'!$D$6:$D$405,"&gt;="&amp;L1147)+SUMIFS('Istoric_Nativ'!$G$6:$G$405,'Istoric_Nativ'!$B$6:$B$405,E1147,'Istoric_Nativ'!$C$6:$C$405,F1147,'Istoric_Nativ'!$F$6:$F$405,G1147,'Istoric_Nativ'!$D$6:$D$405,"&lt;"&amp;J1147,'Istoric_Nativ'!$P$6:$P$405,1,'Istoric_Nativ'!$D$6:$D$405,"&gt;="&amp;L1147)))/M1147)</x:f>
      </x:c>
      <x:c r="P1147" s="2" t="n">
        <x:f>'Config_v6'!$B$8</x:f>
        <x:v>5</x:v>
      </x:c>
      <x:c r="Q1147" s="2" t="n">
        <x:f>IF(OR(B1147="",F1147=""),0,IFERROR(MATCH(E1147&amp;"|"&amp;F1147,SourceTable[Source_Key],0),0))</x:f>
        <x:v>0</x:v>
      </x:c>
      <x:c r="R1147" s="2" t="str">
        <x:f>IF(B1147="","",IF(F1147="","UNUSED",IF(Q1147=0,"NOT CHECKED",IF(COUNTIF(SourceTable[Source_Key],E1147&amp;"|"&amp;F1147)&lt;&gt;1,"SOURCE CONFLICT",IF(NOT(OR(INDEX(SourceTable[Status],MAX(1,Q1147))="IMPORTED",INDEX(SourceTable[Status],MAX(1,Q1147))="PARTIAL",INDEX(SourceTable[Status],MAX(1,Q1147))="SOURCE CONFLICT")),"ACCESS BLOCKED",IF(OR(INDEX(SourceTable[Coverage],Q1147)&lt;&gt;"FULL SEASON EXPORT",INDEX(SourceTable[URL],Q1147)="",INDEX(SourceTable[SHA256],Q1147)=""),"EVIDENCE INCOMPLETE",IF(AND('Input_Meci'!H101="LIVE",INDEX(SourceTable[Retrieved_UTC],Q1147)&gt;'Input_Meci'!G101),"POST CUTOFF","CLOSED")))))))</x:f>
      </x:c>
      <x:c r="S1147" s="2" t="n">
        <x:f>IF(OR(B1147="",F1147=""),0,COUNTIFS('Istoric_Nativ'!$B$6:$B$405,E1147,'Istoric_Nativ'!$C$6:$C$405,F1147,'Istoric_Nativ'!$E$6:$E$405,G1147,'Istoric_Nativ'!$D$6:$D$405,"&lt;"&amp;J1147,'Istoric_Nativ'!$O$6:$O$405,"INVALID")+COUNTIFS('Istoric_Nativ'!$B$6:$B$405,E1147,'Istoric_Nativ'!$C$6:$C$405,F1147,'Istoric_Nativ'!$E$6:$E$405,G1147,'Istoric_Nativ'!$O$6:$O$405,"INVALID",'Istoric_Nativ'!$D$6:$D$405,"*")+COUNTIFS('Istoric_Nativ'!$B$6:$B$405,E1147,'Istoric_Nativ'!$C$6:$C$405,F1147,'Istoric_Nativ'!$E$6:$E$405,G1147,'Istoric_Nativ'!$D$6:$D$405,"&lt;"&amp;J1147,'Istoric_Nativ'!$O$6:$O$405,"SOURCE CONFLICT")+COUNTIFS('Istoric_Nativ'!$B$6:$B$405,E1147,'Istoric_Nativ'!$C$6:$C$405,F1147,'Istoric_Nativ'!$F$6:$F$405,G1147,'Istoric_Nativ'!$D$6:$D$405,"&lt;"&amp;J1147,'Istoric_Nativ'!$O$6:$O$405,"INVALID")+COUNTIFS('Istoric_Nativ'!$B$6:$B$405,E1147,'Istoric_Nativ'!$C$6:$C$405,F1147,'Istoric_Nativ'!$F$6:$F$405,G1147,'Istoric_Nativ'!$O$6:$O$405,"INVALID",'Istoric_Nativ'!$D$6:$D$405,"*")+COUNTIFS('Istoric_Nativ'!$B$6:$B$405,E1147,'Istoric_Nativ'!$C$6:$C$405,F1147,'Istoric_Nativ'!$F$6:$F$405,G1147,'Istoric_Nativ'!$D$6:$D$405,"&lt;"&amp;J1147,'Istoric_Nativ'!$O$6:$O$405,"SOURCE CONFLICT"))</x:f>
        <x:v>0</x:v>
      </x:c>
      <x:c r="T1147" s="2" t="str">
        <x:f>IF(B1147="","",IF(R1147&lt;&gt;"CLOSED",R1147,IF(S1147&gt;0,"NATIVE INPUT ISSUE",IF(M1147=0,"NO HISTORY",IF(M1147&lt;P1147,"SMALL SAMPLE","DERIVED")))))</x:f>
      </x:c>
      <x:c r="U1147" s="2" t="str">
        <x:f>IF(B1147="","","NativeTable; "&amp;E1147&amp;"; "&amp;F1147&amp;"; "&amp;G1147&amp;"; "&amp;H1147&amp;"; before "&amp;TEXT(J1147,"yyyy-mm-dd")&amp;IF(I1147="RECENT","; from "&amp;TEXT(L1147,"yyyy-mm-dd"),""))</x:f>
      </x:c>
    </x:row>
    <x:row r="1148" ht="21" customHeight="1">
      <x:c r="A1148" s="2" t="n">
        <x:v>96</x:v>
      </x:c>
      <x:c r="B1148" s="2" t="str">
        <x:f>IF('Input_Meci'!A101="","",'Input_Meci'!A101)</x:f>
      </x:c>
      <x:c r="C1148" s="2" t="str">
        <x:v>H</x:v>
      </x:c>
      <x:c r="D1148" s="2" t="str">
        <x:v>CURRENT</x:v>
      </x:c>
      <x:c r="E1148" s="2" t="str">
        <x:f>IF(B1148="","",'Input_Meci'!B101)</x:f>
      </x:c>
      <x:c r="F1148" s="2" t="str">
        <x:f>IF(B1148="","",IF('Input_Meci'!C101="","",'Input_Meci'!C101))</x:f>
      </x:c>
      <x:c r="G1148" s="2" t="str">
        <x:f>IF(B1148="","",'Input_Meci'!D101)</x:f>
      </x:c>
      <x:c r="H1148" s="2" t="str">
        <x:v>ANY</x:v>
      </x:c>
      <x:c r="I1148" s="2" t="str">
        <x:v>RECENT</x:v>
      </x:c>
      <x:c r="J1148" s="9" t="n">
        <x:f>IF(AND(B1148&lt;&gt;"",ISNUMBER('Input_Meci'!G101)),INT('Input_Meci'!G101),0)</x:f>
        <x:v>0</x:v>
      </x:c>
      <x:c r="K1148" s="2" t="n">
        <x:f>IF(OR(B1148="",F1148=""),0,IF(H1148="HOME",COUNTIFS('Istoric_Nativ'!$B$6:$B$405,E1148,'Istoric_Nativ'!$C$6:$C$405,F1148,'Istoric_Nativ'!$E$6:$E$405,G1148,'Istoric_Nativ'!$D$6:$D$405,"&lt;"&amp;J1148,'Istoric_Nativ'!$P$6:$P$405,1),IF(H1148="AWAY",COUNTIFS('Istoric_Nativ'!$B$6:$B$405,E1148,'Istoric_Nativ'!$C$6:$C$405,F1148,'Istoric_Nativ'!$F$6:$F$405,G1148,'Istoric_Nativ'!$D$6:$D$405,"&lt;"&amp;J1148,'Istoric_Nativ'!$P$6:$P$405,1),COUNTIFS('Istoric_Nativ'!$B$6:$B$405,E1148,'Istoric_Nativ'!$C$6:$C$405,F1148,'Istoric_Nativ'!$E$6:$E$405,G1148,'Istoric_Nativ'!$D$6:$D$405,"&lt;"&amp;J1148,'Istoric_Nativ'!$P$6:$P$405,1)+COUNTIFS('Istoric_Nativ'!$B$6:$B$405,E1148,'Istoric_Nativ'!$C$6:$C$405,F1148,'Istoric_Nativ'!$F$6:$F$405,G1148,'Istoric_Nativ'!$D$6:$D$405,"&lt;"&amp;J1148,'Istoric_Nativ'!$P$6:$P$405,1))))</x:f>
        <x:v>0</x:v>
      </x:c>
      <x:c r="L1148" s="17" t="n">
        <x:f>IF(AND(B1148&lt;&gt;"",I1148="RECENT",K1148&gt;0),LARGE(_xlfn._xlws.FILTER('Istoric_Nativ'!$D$6:$D$405,('Istoric_Nativ'!$B$6:$B$405=E1148)*('Istoric_Nativ'!$C$6:$C$405=F1148)*('Istoric_Nativ'!$P$6:$P$405=1)*('Istoric_Nativ'!$D$6:$D$405&lt;J1148)*((('Istoric_Nativ'!$E$6:$E$405=G1148)+('Istoric_Nativ'!$F$6:$F$405=G1148))&gt;0)),MIN('Config_v6'!$B$54,K1148)),0)</x:f>
        <x:v>0</x:v>
      </x:c>
      <x:c r="M1148" s="2" t="n">
        <x:f>IF(OR(B1148="",F1148=""),0,IF(H1148="HOME",COUNTIFS('Istoric_Nativ'!$B$6:$B$405,E1148,'Istoric_Nativ'!$C$6:$C$405,F1148,'Istoric_Nativ'!$E$6:$E$405,G1148,'Istoric_Nativ'!$D$6:$D$405,"&lt;"&amp;J1148,'Istoric_Nativ'!$P$6:$P$405,1,'Istoric_Nativ'!$D$6:$D$405,"&gt;="&amp;L1148),IF(H1148="AWAY",COUNTIFS('Istoric_Nativ'!$B$6:$B$405,E1148,'Istoric_Nativ'!$C$6:$C$405,F1148,'Istoric_Nativ'!$F$6:$F$405,G1148,'Istoric_Nativ'!$D$6:$D$405,"&lt;"&amp;J1148,'Istoric_Nativ'!$P$6:$P$405,1,'Istoric_Nativ'!$D$6:$D$405,"&gt;="&amp;L1148),COUNTIFS('Istoric_Nativ'!$B$6:$B$405,E1148,'Istoric_Nativ'!$C$6:$C$405,F1148,'Istoric_Nativ'!$E$6:$E$405,G1148,'Istoric_Nativ'!$D$6:$D$405,"&lt;"&amp;J1148,'Istoric_Nativ'!$P$6:$P$405,1,'Istoric_Nativ'!$D$6:$D$405,"&gt;="&amp;L1148)+COUNTIFS('Istoric_Nativ'!$B$6:$B$405,E1148,'Istoric_Nativ'!$C$6:$C$405,F1148,'Istoric_Nativ'!$F$6:$F$405,G1148,'Istoric_Nativ'!$D$6:$D$405,"&lt;"&amp;J1148,'Istoric_Nativ'!$P$6:$P$405,1,'Istoric_Nativ'!$D$6:$D$405,"&gt;="&amp;L1148))))</x:f>
        <x:v>0</x:v>
      </x:c>
      <x:c r="N1148" s="11" t="str">
        <x:f>IF(M1148=0,"",IF(H1148="HOME",SUMIFS('Istoric_Nativ'!$G$6:$G$405,'Istoric_Nativ'!$B$6:$B$405,E1148,'Istoric_Nativ'!$C$6:$C$405,F1148,'Istoric_Nativ'!$E$6:$E$405,G1148,'Istoric_Nativ'!$D$6:$D$405,"&lt;"&amp;J1148,'Istoric_Nativ'!$P$6:$P$405,1,'Istoric_Nativ'!$D$6:$D$405,"&gt;="&amp;L1148),IF(H1148="AWAY",SUMIFS('Istoric_Nativ'!$H$6:$H$405,'Istoric_Nativ'!$B$6:$B$405,E1148,'Istoric_Nativ'!$C$6:$C$405,F1148,'Istoric_Nativ'!$F$6:$F$405,G1148,'Istoric_Nativ'!$D$6:$D$405,"&lt;"&amp;J1148,'Istoric_Nativ'!$P$6:$P$405,1,'Istoric_Nativ'!$D$6:$D$405,"&gt;="&amp;L1148),SUMIFS('Istoric_Nativ'!$G$6:$G$405,'Istoric_Nativ'!$B$6:$B$405,E1148,'Istoric_Nativ'!$C$6:$C$405,F1148,'Istoric_Nativ'!$E$6:$E$405,G1148,'Istoric_Nativ'!$D$6:$D$405,"&lt;"&amp;J1148,'Istoric_Nativ'!$P$6:$P$405,1,'Istoric_Nativ'!$D$6:$D$405,"&gt;="&amp;L1148)+SUMIFS('Istoric_Nativ'!$H$6:$H$405,'Istoric_Nativ'!$B$6:$B$405,E1148,'Istoric_Nativ'!$C$6:$C$405,F1148,'Istoric_Nativ'!$F$6:$F$405,G1148,'Istoric_Nativ'!$D$6:$D$405,"&lt;"&amp;J1148,'Istoric_Nativ'!$P$6:$P$405,1,'Istoric_Nativ'!$D$6:$D$405,"&gt;="&amp;L1148)))/M1148)</x:f>
      </x:c>
      <x:c r="O1148" s="11" t="str">
        <x:f>IF(M1148=0,"",IF(H1148="HOME",SUMIFS('Istoric_Nativ'!$H$6:$H$405,'Istoric_Nativ'!$B$6:$B$405,E1148,'Istoric_Nativ'!$C$6:$C$405,F1148,'Istoric_Nativ'!$E$6:$E$405,G1148,'Istoric_Nativ'!$D$6:$D$405,"&lt;"&amp;J1148,'Istoric_Nativ'!$P$6:$P$405,1,'Istoric_Nativ'!$D$6:$D$405,"&gt;="&amp;L1148),IF(H1148="AWAY",SUMIFS('Istoric_Nativ'!$G$6:$G$405,'Istoric_Nativ'!$B$6:$B$405,E1148,'Istoric_Nativ'!$C$6:$C$405,F1148,'Istoric_Nativ'!$F$6:$F$405,G1148,'Istoric_Nativ'!$D$6:$D$405,"&lt;"&amp;J1148,'Istoric_Nativ'!$P$6:$P$405,1,'Istoric_Nativ'!$D$6:$D$405,"&gt;="&amp;L1148),SUMIFS('Istoric_Nativ'!$H$6:$H$405,'Istoric_Nativ'!$B$6:$B$405,E1148,'Istoric_Nativ'!$C$6:$C$405,F1148,'Istoric_Nativ'!$E$6:$E$405,G1148,'Istoric_Nativ'!$D$6:$D$405,"&lt;"&amp;J1148,'Istoric_Nativ'!$P$6:$P$405,1,'Istoric_Nativ'!$D$6:$D$405,"&gt;="&amp;L1148)+SUMIFS('Istoric_Nativ'!$G$6:$G$405,'Istoric_Nativ'!$B$6:$B$405,E1148,'Istoric_Nativ'!$C$6:$C$405,F1148,'Istoric_Nativ'!$F$6:$F$405,G1148,'Istoric_Nativ'!$D$6:$D$405,"&lt;"&amp;J1148,'Istoric_Nativ'!$P$6:$P$405,1,'Istoric_Nativ'!$D$6:$D$405,"&gt;="&amp;L1148)))/M1148)</x:f>
      </x:c>
      <x:c r="P1148" s="2" t="n">
        <x:f>'Config_v6'!$B$9</x:f>
        <x:v>3</x:v>
      </x:c>
      <x:c r="Q1148" s="2" t="n">
        <x:f>IF(OR(B1148="",F1148=""),0,IFERROR(MATCH(E1148&amp;"|"&amp;F1148,SourceTable[Source_Key],0),0))</x:f>
        <x:v>0</x:v>
      </x:c>
      <x:c r="R1148" s="2" t="str">
        <x:f>IF(B1148="","",IF(F1148="","UNUSED",IF(Q1148=0,"NOT CHECKED",IF(COUNTIF(SourceTable[Source_Key],E1148&amp;"|"&amp;F1148)&lt;&gt;1,"SOURCE CONFLICT",IF(NOT(OR(INDEX(SourceTable[Status],MAX(1,Q1148))="IMPORTED",INDEX(SourceTable[Status],MAX(1,Q1148))="PARTIAL",INDEX(SourceTable[Status],MAX(1,Q1148))="SOURCE CONFLICT")),"ACCESS BLOCKED",IF(OR(INDEX(SourceTable[Coverage],Q1148)&lt;&gt;"FULL SEASON EXPORT",INDEX(SourceTable[URL],Q1148)="",INDEX(SourceTable[SHA256],Q1148)=""),"EVIDENCE INCOMPLETE",IF(AND('Input_Meci'!H101="LIVE",INDEX(SourceTable[Retrieved_UTC],Q1148)&gt;'Input_Meci'!G101),"POST CUTOFF","CLOSED")))))))</x:f>
      </x:c>
      <x:c r="S1148" s="2" t="n">
        <x:f>IF(OR(B1148="",F1148=""),0,COUNTIFS('Istoric_Nativ'!$B$6:$B$405,E1148,'Istoric_Nativ'!$C$6:$C$405,F1148,'Istoric_Nativ'!$E$6:$E$405,G1148,'Istoric_Nativ'!$D$6:$D$405,"&lt;"&amp;J1148,'Istoric_Nativ'!$O$6:$O$405,"INVALID")+COUNTIFS('Istoric_Nativ'!$B$6:$B$405,E1148,'Istoric_Nativ'!$C$6:$C$405,F1148,'Istoric_Nativ'!$E$6:$E$405,G1148,'Istoric_Nativ'!$O$6:$O$405,"INVALID",'Istoric_Nativ'!$D$6:$D$405,"*")+COUNTIFS('Istoric_Nativ'!$B$6:$B$405,E1148,'Istoric_Nativ'!$C$6:$C$405,F1148,'Istoric_Nativ'!$E$6:$E$405,G1148,'Istoric_Nativ'!$D$6:$D$405,"&lt;"&amp;J1148,'Istoric_Nativ'!$O$6:$O$405,"SOURCE CONFLICT")+COUNTIFS('Istoric_Nativ'!$B$6:$B$405,E1148,'Istoric_Nativ'!$C$6:$C$405,F1148,'Istoric_Nativ'!$F$6:$F$405,G1148,'Istoric_Nativ'!$D$6:$D$405,"&lt;"&amp;J1148,'Istoric_Nativ'!$O$6:$O$405,"INVALID")+COUNTIFS('Istoric_Nativ'!$B$6:$B$405,E1148,'Istoric_Nativ'!$C$6:$C$405,F1148,'Istoric_Nativ'!$F$6:$F$405,G1148,'Istoric_Nativ'!$O$6:$O$405,"INVALID",'Istoric_Nativ'!$D$6:$D$405,"*")+COUNTIFS('Istoric_Nativ'!$B$6:$B$405,E1148,'Istoric_Nativ'!$C$6:$C$405,F1148,'Istoric_Nativ'!$F$6:$F$405,G1148,'Istoric_Nativ'!$D$6:$D$405,"&lt;"&amp;J1148,'Istoric_Nativ'!$O$6:$O$405,"SOURCE CONFLICT"))</x:f>
        <x:v>0</x:v>
      </x:c>
      <x:c r="T1148" s="2" t="str">
        <x:f>IF(B1148="","",IF(R1148&lt;&gt;"CLOSED",R1148,IF(S1148&gt;0,"NATIVE INPUT ISSUE",IF(M1148=0,"NO HISTORY",IF(M1148&lt;P1148,"SMALL SAMPLE","DERIVED")))))</x:f>
      </x:c>
      <x:c r="U1148" s="2" t="str">
        <x:f>IF(B1148="","","NativeTable; "&amp;E1148&amp;"; "&amp;F1148&amp;"; "&amp;G1148&amp;"; "&amp;H1148&amp;"; before "&amp;TEXT(J1148,"yyyy-mm-dd")&amp;IF(I1148="RECENT","; from "&amp;TEXT(L1148,"yyyy-mm-dd"),""))</x:f>
      </x:c>
    </x:row>
    <x:row r="1149" ht="21" customHeight="1">
      <x:c r="A1149" s="2" t="n">
        <x:v>96</x:v>
      </x:c>
      <x:c r="B1149" s="2" t="str">
        <x:f>IF('Input_Meci'!A101="","",'Input_Meci'!A101)</x:f>
      </x:c>
      <x:c r="C1149" s="2" t="str">
        <x:v>A</x:v>
      </x:c>
      <x:c r="D1149" s="2" t="str">
        <x:v>CURRENT</x:v>
      </x:c>
      <x:c r="E1149" s="2" t="str">
        <x:f>IF(B1149="","",'Input_Meci'!B101)</x:f>
      </x:c>
      <x:c r="F1149" s="2" t="str">
        <x:f>IF(B1149="","",IF('Input_Meci'!C101="","",'Input_Meci'!C101))</x:f>
      </x:c>
      <x:c r="G1149" s="2" t="str">
        <x:f>IF(B1149="","",'Input_Meci'!E101)</x:f>
      </x:c>
      <x:c r="H1149" s="2" t="str">
        <x:v>ANY</x:v>
      </x:c>
      <x:c r="I1149" s="2" t="str">
        <x:v>SEASON</x:v>
      </x:c>
      <x:c r="J1149" s="9" t="n">
        <x:f>IF(AND(B1149&lt;&gt;"",ISNUMBER('Input_Meci'!G101)),INT('Input_Meci'!G101),0)</x:f>
        <x:v>0</x:v>
      </x:c>
      <x:c r="K1149" s="2" t="n">
        <x:f>IF(OR(B1149="",F1149=""),0,IF(H1149="HOME",COUNTIFS('Istoric_Nativ'!$B$6:$B$405,E1149,'Istoric_Nativ'!$C$6:$C$405,F1149,'Istoric_Nativ'!$E$6:$E$405,G1149,'Istoric_Nativ'!$D$6:$D$405,"&lt;"&amp;J1149,'Istoric_Nativ'!$P$6:$P$405,1),IF(H1149="AWAY",COUNTIFS('Istoric_Nativ'!$B$6:$B$405,E1149,'Istoric_Nativ'!$C$6:$C$405,F1149,'Istoric_Nativ'!$F$6:$F$405,G1149,'Istoric_Nativ'!$D$6:$D$405,"&lt;"&amp;J1149,'Istoric_Nativ'!$P$6:$P$405,1),COUNTIFS('Istoric_Nativ'!$B$6:$B$405,E1149,'Istoric_Nativ'!$C$6:$C$405,F1149,'Istoric_Nativ'!$E$6:$E$405,G1149,'Istoric_Nativ'!$D$6:$D$405,"&lt;"&amp;J1149,'Istoric_Nativ'!$P$6:$P$405,1)+COUNTIFS('Istoric_Nativ'!$B$6:$B$405,E1149,'Istoric_Nativ'!$C$6:$C$405,F1149,'Istoric_Nativ'!$F$6:$F$405,G1149,'Istoric_Nativ'!$D$6:$D$405,"&lt;"&amp;J1149,'Istoric_Nativ'!$P$6:$P$405,1))))</x:f>
        <x:v>0</x:v>
      </x:c>
      <x:c r="L1149" s="17" t="n">
        <x:f>IF(AND(B1149&lt;&gt;"",I1149="RECENT",K1149&gt;0),LARGE(_xlfn._xlws.FILTER('Istoric_Nativ'!$D$6:$D$405,('Istoric_Nativ'!$B$6:$B$405=E1149)*('Istoric_Nativ'!$C$6:$C$405=F1149)*('Istoric_Nativ'!$P$6:$P$405=1)*('Istoric_Nativ'!$D$6:$D$405&lt;J1149)*((('Istoric_Nativ'!$E$6:$E$405=G1149)+('Istoric_Nativ'!$F$6:$F$405=G1149))&gt;0)),MIN('Config_v6'!$B$54,K1149)),0)</x:f>
        <x:v>0</x:v>
      </x:c>
      <x:c r="M1149" s="2" t="n">
        <x:f>IF(OR(B1149="",F1149=""),0,IF(H1149="HOME",COUNTIFS('Istoric_Nativ'!$B$6:$B$405,E1149,'Istoric_Nativ'!$C$6:$C$405,F1149,'Istoric_Nativ'!$E$6:$E$405,G1149,'Istoric_Nativ'!$D$6:$D$405,"&lt;"&amp;J1149,'Istoric_Nativ'!$P$6:$P$405,1,'Istoric_Nativ'!$D$6:$D$405,"&gt;="&amp;L1149),IF(H1149="AWAY",COUNTIFS('Istoric_Nativ'!$B$6:$B$405,E1149,'Istoric_Nativ'!$C$6:$C$405,F1149,'Istoric_Nativ'!$F$6:$F$405,G1149,'Istoric_Nativ'!$D$6:$D$405,"&lt;"&amp;J1149,'Istoric_Nativ'!$P$6:$P$405,1,'Istoric_Nativ'!$D$6:$D$405,"&gt;="&amp;L1149),COUNTIFS('Istoric_Nativ'!$B$6:$B$405,E1149,'Istoric_Nativ'!$C$6:$C$405,F1149,'Istoric_Nativ'!$E$6:$E$405,G1149,'Istoric_Nativ'!$D$6:$D$405,"&lt;"&amp;J1149,'Istoric_Nativ'!$P$6:$P$405,1,'Istoric_Nativ'!$D$6:$D$405,"&gt;="&amp;L1149)+COUNTIFS('Istoric_Nativ'!$B$6:$B$405,E1149,'Istoric_Nativ'!$C$6:$C$405,F1149,'Istoric_Nativ'!$F$6:$F$405,G1149,'Istoric_Nativ'!$D$6:$D$405,"&lt;"&amp;J1149,'Istoric_Nativ'!$P$6:$P$405,1,'Istoric_Nativ'!$D$6:$D$405,"&gt;="&amp;L1149))))</x:f>
        <x:v>0</x:v>
      </x:c>
      <x:c r="N1149" s="11" t="str">
        <x:f>IF(M1149=0,"",IF(H1149="HOME",SUMIFS('Istoric_Nativ'!$G$6:$G$405,'Istoric_Nativ'!$B$6:$B$405,E1149,'Istoric_Nativ'!$C$6:$C$405,F1149,'Istoric_Nativ'!$E$6:$E$405,G1149,'Istoric_Nativ'!$D$6:$D$405,"&lt;"&amp;J1149,'Istoric_Nativ'!$P$6:$P$405,1,'Istoric_Nativ'!$D$6:$D$405,"&gt;="&amp;L1149),IF(H1149="AWAY",SUMIFS('Istoric_Nativ'!$H$6:$H$405,'Istoric_Nativ'!$B$6:$B$405,E1149,'Istoric_Nativ'!$C$6:$C$405,F1149,'Istoric_Nativ'!$F$6:$F$405,G1149,'Istoric_Nativ'!$D$6:$D$405,"&lt;"&amp;J1149,'Istoric_Nativ'!$P$6:$P$405,1,'Istoric_Nativ'!$D$6:$D$405,"&gt;="&amp;L1149),SUMIFS('Istoric_Nativ'!$G$6:$G$405,'Istoric_Nativ'!$B$6:$B$405,E1149,'Istoric_Nativ'!$C$6:$C$405,F1149,'Istoric_Nativ'!$E$6:$E$405,G1149,'Istoric_Nativ'!$D$6:$D$405,"&lt;"&amp;J1149,'Istoric_Nativ'!$P$6:$P$405,1,'Istoric_Nativ'!$D$6:$D$405,"&gt;="&amp;L1149)+SUMIFS('Istoric_Nativ'!$H$6:$H$405,'Istoric_Nativ'!$B$6:$B$405,E1149,'Istoric_Nativ'!$C$6:$C$405,F1149,'Istoric_Nativ'!$F$6:$F$405,G1149,'Istoric_Nativ'!$D$6:$D$405,"&lt;"&amp;J1149,'Istoric_Nativ'!$P$6:$P$405,1,'Istoric_Nativ'!$D$6:$D$405,"&gt;="&amp;L1149)))/M1149)</x:f>
      </x:c>
      <x:c r="O1149" s="11" t="str">
        <x:f>IF(M1149=0,"",IF(H1149="HOME",SUMIFS('Istoric_Nativ'!$H$6:$H$405,'Istoric_Nativ'!$B$6:$B$405,E1149,'Istoric_Nativ'!$C$6:$C$405,F1149,'Istoric_Nativ'!$E$6:$E$405,G1149,'Istoric_Nativ'!$D$6:$D$405,"&lt;"&amp;J1149,'Istoric_Nativ'!$P$6:$P$405,1,'Istoric_Nativ'!$D$6:$D$405,"&gt;="&amp;L1149),IF(H1149="AWAY",SUMIFS('Istoric_Nativ'!$G$6:$G$405,'Istoric_Nativ'!$B$6:$B$405,E1149,'Istoric_Nativ'!$C$6:$C$405,F1149,'Istoric_Nativ'!$F$6:$F$405,G1149,'Istoric_Nativ'!$D$6:$D$405,"&lt;"&amp;J1149,'Istoric_Nativ'!$P$6:$P$405,1,'Istoric_Nativ'!$D$6:$D$405,"&gt;="&amp;L1149),SUMIFS('Istoric_Nativ'!$H$6:$H$405,'Istoric_Nativ'!$B$6:$B$405,E1149,'Istoric_Nativ'!$C$6:$C$405,F1149,'Istoric_Nativ'!$E$6:$E$405,G1149,'Istoric_Nativ'!$D$6:$D$405,"&lt;"&amp;J1149,'Istoric_Nativ'!$P$6:$P$405,1,'Istoric_Nativ'!$D$6:$D$405,"&gt;="&amp;L1149)+SUMIFS('Istoric_Nativ'!$G$6:$G$405,'Istoric_Nativ'!$B$6:$B$405,E1149,'Istoric_Nativ'!$C$6:$C$405,F1149,'Istoric_Nativ'!$F$6:$F$405,G1149,'Istoric_Nativ'!$D$6:$D$405,"&lt;"&amp;J1149,'Istoric_Nativ'!$P$6:$P$405,1,'Istoric_Nativ'!$D$6:$D$405,"&gt;="&amp;L1149)))/M1149)</x:f>
      </x:c>
      <x:c r="P1149" s="2" t="n">
        <x:f>'Config_v6'!$B$7</x:f>
        <x:v>10</x:v>
      </x:c>
      <x:c r="Q1149" s="2" t="n">
        <x:f>IF(OR(B1149="",F1149=""),0,IFERROR(MATCH(E1149&amp;"|"&amp;F1149,SourceTable[Source_Key],0),0))</x:f>
        <x:v>0</x:v>
      </x:c>
      <x:c r="R1149" s="2" t="str">
        <x:f>IF(B1149="","",IF(F1149="","UNUSED",IF(Q1149=0,"NOT CHECKED",IF(COUNTIF(SourceTable[Source_Key],E1149&amp;"|"&amp;F1149)&lt;&gt;1,"SOURCE CONFLICT",IF(NOT(OR(INDEX(SourceTable[Status],MAX(1,Q1149))="IMPORTED",INDEX(SourceTable[Status],MAX(1,Q1149))="PARTIAL",INDEX(SourceTable[Status],MAX(1,Q1149))="SOURCE CONFLICT")),"ACCESS BLOCKED",IF(OR(INDEX(SourceTable[Coverage],Q1149)&lt;&gt;"FULL SEASON EXPORT",INDEX(SourceTable[URL],Q1149)="",INDEX(SourceTable[SHA256],Q1149)=""),"EVIDENCE INCOMPLETE",IF(AND('Input_Meci'!H101="LIVE",INDEX(SourceTable[Retrieved_UTC],Q1149)&gt;'Input_Meci'!G101),"POST CUTOFF","CLOSED")))))))</x:f>
      </x:c>
      <x:c r="S1149" s="2" t="n">
        <x:f>IF(OR(B1149="",F1149=""),0,COUNTIFS('Istoric_Nativ'!$B$6:$B$405,E1149,'Istoric_Nativ'!$C$6:$C$405,F1149,'Istoric_Nativ'!$E$6:$E$405,G1149,'Istoric_Nativ'!$D$6:$D$405,"&lt;"&amp;J1149,'Istoric_Nativ'!$O$6:$O$405,"INVALID")+COUNTIFS('Istoric_Nativ'!$B$6:$B$405,E1149,'Istoric_Nativ'!$C$6:$C$405,F1149,'Istoric_Nativ'!$E$6:$E$405,G1149,'Istoric_Nativ'!$O$6:$O$405,"INVALID",'Istoric_Nativ'!$D$6:$D$405,"*")+COUNTIFS('Istoric_Nativ'!$B$6:$B$405,E1149,'Istoric_Nativ'!$C$6:$C$405,F1149,'Istoric_Nativ'!$E$6:$E$405,G1149,'Istoric_Nativ'!$D$6:$D$405,"&lt;"&amp;J1149,'Istoric_Nativ'!$O$6:$O$405,"SOURCE CONFLICT")+COUNTIFS('Istoric_Nativ'!$B$6:$B$405,E1149,'Istoric_Nativ'!$C$6:$C$405,F1149,'Istoric_Nativ'!$F$6:$F$405,G1149,'Istoric_Nativ'!$D$6:$D$405,"&lt;"&amp;J1149,'Istoric_Nativ'!$O$6:$O$405,"INVALID")+COUNTIFS('Istoric_Nativ'!$B$6:$B$405,E1149,'Istoric_Nativ'!$C$6:$C$405,F1149,'Istoric_Nativ'!$F$6:$F$405,G1149,'Istoric_Nativ'!$O$6:$O$405,"INVALID",'Istoric_Nativ'!$D$6:$D$405,"*")+COUNTIFS('Istoric_Nativ'!$B$6:$B$405,E1149,'Istoric_Nativ'!$C$6:$C$405,F1149,'Istoric_Nativ'!$F$6:$F$405,G1149,'Istoric_Nativ'!$D$6:$D$405,"&lt;"&amp;J1149,'Istoric_Nativ'!$O$6:$O$405,"SOURCE CONFLICT"))</x:f>
        <x:v>0</x:v>
      </x:c>
      <x:c r="T1149" s="2" t="str">
        <x:f>IF(B1149="","",IF(R1149&lt;&gt;"CLOSED",R1149,IF(S1149&gt;0,"NATIVE INPUT ISSUE",IF(M1149=0,"NO HISTORY",IF(M1149&lt;P1149,"SMALL SAMPLE","DERIVED")))))</x:f>
      </x:c>
      <x:c r="U1149" s="2" t="str">
        <x:f>IF(B1149="","","NativeTable; "&amp;E1149&amp;"; "&amp;F1149&amp;"; "&amp;G1149&amp;"; "&amp;H1149&amp;"; before "&amp;TEXT(J1149,"yyyy-mm-dd")&amp;IF(I1149="RECENT","; from "&amp;TEXT(L1149,"yyyy-mm-dd"),""))</x:f>
      </x:c>
    </x:row>
    <x:row r="1150" ht="21" customHeight="1">
      <x:c r="A1150" s="2" t="n">
        <x:v>96</x:v>
      </x:c>
      <x:c r="B1150" s="2" t="str">
        <x:f>IF('Input_Meci'!A101="","",'Input_Meci'!A101)</x:f>
      </x:c>
      <x:c r="C1150" s="2" t="str">
        <x:v>A</x:v>
      </x:c>
      <x:c r="D1150" s="2" t="str">
        <x:v>CURRENT</x:v>
      </x:c>
      <x:c r="E1150" s="2" t="str">
        <x:f>IF(B1150="","",'Input_Meci'!B101)</x:f>
      </x:c>
      <x:c r="F1150" s="2" t="str">
        <x:f>IF(B1150="","",IF('Input_Meci'!C101="","",'Input_Meci'!C101))</x:f>
      </x:c>
      <x:c r="G1150" s="2" t="str">
        <x:f>IF(B1150="","",'Input_Meci'!E101)</x:f>
      </x:c>
      <x:c r="H1150" s="2" t="str">
        <x:v>AWAY</x:v>
      </x:c>
      <x:c r="I1150" s="2" t="str">
        <x:v>HA</x:v>
      </x:c>
      <x:c r="J1150" s="9" t="n">
        <x:f>IF(AND(B1150&lt;&gt;"",ISNUMBER('Input_Meci'!G101)),INT('Input_Meci'!G101),0)</x:f>
        <x:v>0</x:v>
      </x:c>
      <x:c r="K1150" s="2" t="n">
        <x:f>IF(OR(B1150="",F1150=""),0,IF(H1150="HOME",COUNTIFS('Istoric_Nativ'!$B$6:$B$405,E1150,'Istoric_Nativ'!$C$6:$C$405,F1150,'Istoric_Nativ'!$E$6:$E$405,G1150,'Istoric_Nativ'!$D$6:$D$405,"&lt;"&amp;J1150,'Istoric_Nativ'!$P$6:$P$405,1),IF(H1150="AWAY",COUNTIFS('Istoric_Nativ'!$B$6:$B$405,E1150,'Istoric_Nativ'!$C$6:$C$405,F1150,'Istoric_Nativ'!$F$6:$F$405,G1150,'Istoric_Nativ'!$D$6:$D$405,"&lt;"&amp;J1150,'Istoric_Nativ'!$P$6:$P$405,1),COUNTIFS('Istoric_Nativ'!$B$6:$B$405,E1150,'Istoric_Nativ'!$C$6:$C$405,F1150,'Istoric_Nativ'!$E$6:$E$405,G1150,'Istoric_Nativ'!$D$6:$D$405,"&lt;"&amp;J1150,'Istoric_Nativ'!$P$6:$P$405,1)+COUNTIFS('Istoric_Nativ'!$B$6:$B$405,E1150,'Istoric_Nativ'!$C$6:$C$405,F1150,'Istoric_Nativ'!$F$6:$F$405,G1150,'Istoric_Nativ'!$D$6:$D$405,"&lt;"&amp;J1150,'Istoric_Nativ'!$P$6:$P$405,1))))</x:f>
        <x:v>0</x:v>
      </x:c>
      <x:c r="L1150" s="17" t="n">
        <x:f>IF(AND(B1150&lt;&gt;"",I1150="RECENT",K1150&gt;0),LARGE(_xlfn._xlws.FILTER('Istoric_Nativ'!$D$6:$D$405,('Istoric_Nativ'!$B$6:$B$405=E1150)*('Istoric_Nativ'!$C$6:$C$405=F1150)*('Istoric_Nativ'!$P$6:$P$405=1)*('Istoric_Nativ'!$D$6:$D$405&lt;J1150)*((('Istoric_Nativ'!$E$6:$E$405=G1150)+('Istoric_Nativ'!$F$6:$F$405=G1150))&gt;0)),MIN('Config_v6'!$B$54,K1150)),0)</x:f>
        <x:v>0</x:v>
      </x:c>
      <x:c r="M1150" s="2" t="n">
        <x:f>IF(OR(B1150="",F1150=""),0,IF(H1150="HOME",COUNTIFS('Istoric_Nativ'!$B$6:$B$405,E1150,'Istoric_Nativ'!$C$6:$C$405,F1150,'Istoric_Nativ'!$E$6:$E$405,G1150,'Istoric_Nativ'!$D$6:$D$405,"&lt;"&amp;J1150,'Istoric_Nativ'!$P$6:$P$405,1,'Istoric_Nativ'!$D$6:$D$405,"&gt;="&amp;L1150),IF(H1150="AWAY",COUNTIFS('Istoric_Nativ'!$B$6:$B$405,E1150,'Istoric_Nativ'!$C$6:$C$405,F1150,'Istoric_Nativ'!$F$6:$F$405,G1150,'Istoric_Nativ'!$D$6:$D$405,"&lt;"&amp;J1150,'Istoric_Nativ'!$P$6:$P$405,1,'Istoric_Nativ'!$D$6:$D$405,"&gt;="&amp;L1150),COUNTIFS('Istoric_Nativ'!$B$6:$B$405,E1150,'Istoric_Nativ'!$C$6:$C$405,F1150,'Istoric_Nativ'!$E$6:$E$405,G1150,'Istoric_Nativ'!$D$6:$D$405,"&lt;"&amp;J1150,'Istoric_Nativ'!$P$6:$P$405,1,'Istoric_Nativ'!$D$6:$D$405,"&gt;="&amp;L1150)+COUNTIFS('Istoric_Nativ'!$B$6:$B$405,E1150,'Istoric_Nativ'!$C$6:$C$405,F1150,'Istoric_Nativ'!$F$6:$F$405,G1150,'Istoric_Nativ'!$D$6:$D$405,"&lt;"&amp;J1150,'Istoric_Nativ'!$P$6:$P$405,1,'Istoric_Nativ'!$D$6:$D$405,"&gt;="&amp;L1150))))</x:f>
        <x:v>0</x:v>
      </x:c>
      <x:c r="N1150" s="11" t="str">
        <x:f>IF(M1150=0,"",IF(H1150="HOME",SUMIFS('Istoric_Nativ'!$G$6:$G$405,'Istoric_Nativ'!$B$6:$B$405,E1150,'Istoric_Nativ'!$C$6:$C$405,F1150,'Istoric_Nativ'!$E$6:$E$405,G1150,'Istoric_Nativ'!$D$6:$D$405,"&lt;"&amp;J1150,'Istoric_Nativ'!$P$6:$P$405,1,'Istoric_Nativ'!$D$6:$D$405,"&gt;="&amp;L1150),IF(H1150="AWAY",SUMIFS('Istoric_Nativ'!$H$6:$H$405,'Istoric_Nativ'!$B$6:$B$405,E1150,'Istoric_Nativ'!$C$6:$C$405,F1150,'Istoric_Nativ'!$F$6:$F$405,G1150,'Istoric_Nativ'!$D$6:$D$405,"&lt;"&amp;J1150,'Istoric_Nativ'!$P$6:$P$405,1,'Istoric_Nativ'!$D$6:$D$405,"&gt;="&amp;L1150),SUMIFS('Istoric_Nativ'!$G$6:$G$405,'Istoric_Nativ'!$B$6:$B$405,E1150,'Istoric_Nativ'!$C$6:$C$405,F1150,'Istoric_Nativ'!$E$6:$E$405,G1150,'Istoric_Nativ'!$D$6:$D$405,"&lt;"&amp;J1150,'Istoric_Nativ'!$P$6:$P$405,1,'Istoric_Nativ'!$D$6:$D$405,"&gt;="&amp;L1150)+SUMIFS('Istoric_Nativ'!$H$6:$H$405,'Istoric_Nativ'!$B$6:$B$405,E1150,'Istoric_Nativ'!$C$6:$C$405,F1150,'Istoric_Nativ'!$F$6:$F$405,G1150,'Istoric_Nativ'!$D$6:$D$405,"&lt;"&amp;J1150,'Istoric_Nativ'!$P$6:$P$405,1,'Istoric_Nativ'!$D$6:$D$405,"&gt;="&amp;L1150)))/M1150)</x:f>
      </x:c>
      <x:c r="O1150" s="11" t="str">
        <x:f>IF(M1150=0,"",IF(H1150="HOME",SUMIFS('Istoric_Nativ'!$H$6:$H$405,'Istoric_Nativ'!$B$6:$B$405,E1150,'Istoric_Nativ'!$C$6:$C$405,F1150,'Istoric_Nativ'!$E$6:$E$405,G1150,'Istoric_Nativ'!$D$6:$D$405,"&lt;"&amp;J1150,'Istoric_Nativ'!$P$6:$P$405,1,'Istoric_Nativ'!$D$6:$D$405,"&gt;="&amp;L1150),IF(H1150="AWAY",SUMIFS('Istoric_Nativ'!$G$6:$G$405,'Istoric_Nativ'!$B$6:$B$405,E1150,'Istoric_Nativ'!$C$6:$C$405,F1150,'Istoric_Nativ'!$F$6:$F$405,G1150,'Istoric_Nativ'!$D$6:$D$405,"&lt;"&amp;J1150,'Istoric_Nativ'!$P$6:$P$405,1,'Istoric_Nativ'!$D$6:$D$405,"&gt;="&amp;L1150),SUMIFS('Istoric_Nativ'!$H$6:$H$405,'Istoric_Nativ'!$B$6:$B$405,E1150,'Istoric_Nativ'!$C$6:$C$405,F1150,'Istoric_Nativ'!$E$6:$E$405,G1150,'Istoric_Nativ'!$D$6:$D$405,"&lt;"&amp;J1150,'Istoric_Nativ'!$P$6:$P$405,1,'Istoric_Nativ'!$D$6:$D$405,"&gt;="&amp;L1150)+SUMIFS('Istoric_Nativ'!$G$6:$G$405,'Istoric_Nativ'!$B$6:$B$405,E1150,'Istoric_Nativ'!$C$6:$C$405,F1150,'Istoric_Nativ'!$F$6:$F$405,G1150,'Istoric_Nativ'!$D$6:$D$405,"&lt;"&amp;J1150,'Istoric_Nativ'!$P$6:$P$405,1,'Istoric_Nativ'!$D$6:$D$405,"&gt;="&amp;L1150)))/M1150)</x:f>
      </x:c>
      <x:c r="P1150" s="2" t="n">
        <x:f>'Config_v6'!$B$8</x:f>
        <x:v>5</x:v>
      </x:c>
      <x:c r="Q1150" s="2" t="n">
        <x:f>IF(OR(B1150="",F1150=""),0,IFERROR(MATCH(E1150&amp;"|"&amp;F1150,SourceTable[Source_Key],0),0))</x:f>
        <x:v>0</x:v>
      </x:c>
      <x:c r="R1150" s="2" t="str">
        <x:f>IF(B1150="","",IF(F1150="","UNUSED",IF(Q1150=0,"NOT CHECKED",IF(COUNTIF(SourceTable[Source_Key],E1150&amp;"|"&amp;F1150)&lt;&gt;1,"SOURCE CONFLICT",IF(NOT(OR(INDEX(SourceTable[Status],MAX(1,Q1150))="IMPORTED",INDEX(SourceTable[Status],MAX(1,Q1150))="PARTIAL",INDEX(SourceTable[Status],MAX(1,Q1150))="SOURCE CONFLICT")),"ACCESS BLOCKED",IF(OR(INDEX(SourceTable[Coverage],Q1150)&lt;&gt;"FULL SEASON EXPORT",INDEX(SourceTable[URL],Q1150)="",INDEX(SourceTable[SHA256],Q1150)=""),"EVIDENCE INCOMPLETE",IF(AND('Input_Meci'!H101="LIVE",INDEX(SourceTable[Retrieved_UTC],Q1150)&gt;'Input_Meci'!G101),"POST CUTOFF","CLOSED")))))))</x:f>
      </x:c>
      <x:c r="S1150" s="2" t="n">
        <x:f>IF(OR(B1150="",F1150=""),0,COUNTIFS('Istoric_Nativ'!$B$6:$B$405,E1150,'Istoric_Nativ'!$C$6:$C$405,F1150,'Istoric_Nativ'!$E$6:$E$405,G1150,'Istoric_Nativ'!$D$6:$D$405,"&lt;"&amp;J1150,'Istoric_Nativ'!$O$6:$O$405,"INVALID")+COUNTIFS('Istoric_Nativ'!$B$6:$B$405,E1150,'Istoric_Nativ'!$C$6:$C$405,F1150,'Istoric_Nativ'!$E$6:$E$405,G1150,'Istoric_Nativ'!$O$6:$O$405,"INVALID",'Istoric_Nativ'!$D$6:$D$405,"*")+COUNTIFS('Istoric_Nativ'!$B$6:$B$405,E1150,'Istoric_Nativ'!$C$6:$C$405,F1150,'Istoric_Nativ'!$E$6:$E$405,G1150,'Istoric_Nativ'!$D$6:$D$405,"&lt;"&amp;J1150,'Istoric_Nativ'!$O$6:$O$405,"SOURCE CONFLICT")+COUNTIFS('Istoric_Nativ'!$B$6:$B$405,E1150,'Istoric_Nativ'!$C$6:$C$405,F1150,'Istoric_Nativ'!$F$6:$F$405,G1150,'Istoric_Nativ'!$D$6:$D$405,"&lt;"&amp;J1150,'Istoric_Nativ'!$O$6:$O$405,"INVALID")+COUNTIFS('Istoric_Nativ'!$B$6:$B$405,E1150,'Istoric_Nativ'!$C$6:$C$405,F1150,'Istoric_Nativ'!$F$6:$F$405,G1150,'Istoric_Nativ'!$O$6:$O$405,"INVALID",'Istoric_Nativ'!$D$6:$D$405,"*")+COUNTIFS('Istoric_Nativ'!$B$6:$B$405,E1150,'Istoric_Nativ'!$C$6:$C$405,F1150,'Istoric_Nativ'!$F$6:$F$405,G1150,'Istoric_Nativ'!$D$6:$D$405,"&lt;"&amp;J1150,'Istoric_Nativ'!$O$6:$O$405,"SOURCE CONFLICT"))</x:f>
        <x:v>0</x:v>
      </x:c>
      <x:c r="T1150" s="2" t="str">
        <x:f>IF(B1150="","",IF(R1150&lt;&gt;"CLOSED",R1150,IF(S1150&gt;0,"NATIVE INPUT ISSUE",IF(M1150=0,"NO HISTORY",IF(M1150&lt;P1150,"SMALL SAMPLE","DERIVED")))))</x:f>
      </x:c>
      <x:c r="U1150" s="2" t="str">
        <x:f>IF(B1150="","","NativeTable; "&amp;E1150&amp;"; "&amp;F1150&amp;"; "&amp;G1150&amp;"; "&amp;H1150&amp;"; before "&amp;TEXT(J1150,"yyyy-mm-dd")&amp;IF(I1150="RECENT","; from "&amp;TEXT(L1150,"yyyy-mm-dd"),""))</x:f>
      </x:c>
    </x:row>
    <x:row r="1151" ht="21" customHeight="1">
      <x:c r="A1151" s="2" t="n">
        <x:v>96</x:v>
      </x:c>
      <x:c r="B1151" s="2" t="str">
        <x:f>IF('Input_Meci'!A101="","",'Input_Meci'!A101)</x:f>
      </x:c>
      <x:c r="C1151" s="2" t="str">
        <x:v>A</x:v>
      </x:c>
      <x:c r="D1151" s="2" t="str">
        <x:v>CURRENT</x:v>
      </x:c>
      <x:c r="E1151" s="2" t="str">
        <x:f>IF(B1151="","",'Input_Meci'!B101)</x:f>
      </x:c>
      <x:c r="F1151" s="2" t="str">
        <x:f>IF(B1151="","",IF('Input_Meci'!C101="","",'Input_Meci'!C101))</x:f>
      </x:c>
      <x:c r="G1151" s="2" t="str">
        <x:f>IF(B1151="","",'Input_Meci'!E101)</x:f>
      </x:c>
      <x:c r="H1151" s="2" t="str">
        <x:v>ANY</x:v>
      </x:c>
      <x:c r="I1151" s="2" t="str">
        <x:v>RECENT</x:v>
      </x:c>
      <x:c r="J1151" s="9" t="n">
        <x:f>IF(AND(B1151&lt;&gt;"",ISNUMBER('Input_Meci'!G101)),INT('Input_Meci'!G101),0)</x:f>
        <x:v>0</x:v>
      </x:c>
      <x:c r="K1151" s="2" t="n">
        <x:f>IF(OR(B1151="",F1151=""),0,IF(H1151="HOME",COUNTIFS('Istoric_Nativ'!$B$6:$B$405,E1151,'Istoric_Nativ'!$C$6:$C$405,F1151,'Istoric_Nativ'!$E$6:$E$405,G1151,'Istoric_Nativ'!$D$6:$D$405,"&lt;"&amp;J1151,'Istoric_Nativ'!$P$6:$P$405,1),IF(H1151="AWAY",COUNTIFS('Istoric_Nativ'!$B$6:$B$405,E1151,'Istoric_Nativ'!$C$6:$C$405,F1151,'Istoric_Nativ'!$F$6:$F$405,G1151,'Istoric_Nativ'!$D$6:$D$405,"&lt;"&amp;J1151,'Istoric_Nativ'!$P$6:$P$405,1),COUNTIFS('Istoric_Nativ'!$B$6:$B$405,E1151,'Istoric_Nativ'!$C$6:$C$405,F1151,'Istoric_Nativ'!$E$6:$E$405,G1151,'Istoric_Nativ'!$D$6:$D$405,"&lt;"&amp;J1151,'Istoric_Nativ'!$P$6:$P$405,1)+COUNTIFS('Istoric_Nativ'!$B$6:$B$405,E1151,'Istoric_Nativ'!$C$6:$C$405,F1151,'Istoric_Nativ'!$F$6:$F$405,G1151,'Istoric_Nativ'!$D$6:$D$405,"&lt;"&amp;J1151,'Istoric_Nativ'!$P$6:$P$405,1))))</x:f>
        <x:v>0</x:v>
      </x:c>
      <x:c r="L1151" s="17" t="n">
        <x:f>IF(AND(B1151&lt;&gt;"",I1151="RECENT",K1151&gt;0),LARGE(_xlfn._xlws.FILTER('Istoric_Nativ'!$D$6:$D$405,('Istoric_Nativ'!$B$6:$B$405=E1151)*('Istoric_Nativ'!$C$6:$C$405=F1151)*('Istoric_Nativ'!$P$6:$P$405=1)*('Istoric_Nativ'!$D$6:$D$405&lt;J1151)*((('Istoric_Nativ'!$E$6:$E$405=G1151)+('Istoric_Nativ'!$F$6:$F$405=G1151))&gt;0)),MIN('Config_v6'!$B$54,K1151)),0)</x:f>
        <x:v>0</x:v>
      </x:c>
      <x:c r="M1151" s="2" t="n">
        <x:f>IF(OR(B1151="",F1151=""),0,IF(H1151="HOME",COUNTIFS('Istoric_Nativ'!$B$6:$B$405,E1151,'Istoric_Nativ'!$C$6:$C$405,F1151,'Istoric_Nativ'!$E$6:$E$405,G1151,'Istoric_Nativ'!$D$6:$D$405,"&lt;"&amp;J1151,'Istoric_Nativ'!$P$6:$P$405,1,'Istoric_Nativ'!$D$6:$D$405,"&gt;="&amp;L1151),IF(H1151="AWAY",COUNTIFS('Istoric_Nativ'!$B$6:$B$405,E1151,'Istoric_Nativ'!$C$6:$C$405,F1151,'Istoric_Nativ'!$F$6:$F$405,G1151,'Istoric_Nativ'!$D$6:$D$405,"&lt;"&amp;J1151,'Istoric_Nativ'!$P$6:$P$405,1,'Istoric_Nativ'!$D$6:$D$405,"&gt;="&amp;L1151),COUNTIFS('Istoric_Nativ'!$B$6:$B$405,E1151,'Istoric_Nativ'!$C$6:$C$405,F1151,'Istoric_Nativ'!$E$6:$E$405,G1151,'Istoric_Nativ'!$D$6:$D$405,"&lt;"&amp;J1151,'Istoric_Nativ'!$P$6:$P$405,1,'Istoric_Nativ'!$D$6:$D$405,"&gt;="&amp;L1151)+COUNTIFS('Istoric_Nativ'!$B$6:$B$405,E1151,'Istoric_Nativ'!$C$6:$C$405,F1151,'Istoric_Nativ'!$F$6:$F$405,G1151,'Istoric_Nativ'!$D$6:$D$405,"&lt;"&amp;J1151,'Istoric_Nativ'!$P$6:$P$405,1,'Istoric_Nativ'!$D$6:$D$405,"&gt;="&amp;L1151))))</x:f>
        <x:v>0</x:v>
      </x:c>
      <x:c r="N1151" s="11" t="str">
        <x:f>IF(M1151=0,"",IF(H1151="HOME",SUMIFS('Istoric_Nativ'!$G$6:$G$405,'Istoric_Nativ'!$B$6:$B$405,E1151,'Istoric_Nativ'!$C$6:$C$405,F1151,'Istoric_Nativ'!$E$6:$E$405,G1151,'Istoric_Nativ'!$D$6:$D$405,"&lt;"&amp;J1151,'Istoric_Nativ'!$P$6:$P$405,1,'Istoric_Nativ'!$D$6:$D$405,"&gt;="&amp;L1151),IF(H1151="AWAY",SUMIFS('Istoric_Nativ'!$H$6:$H$405,'Istoric_Nativ'!$B$6:$B$405,E1151,'Istoric_Nativ'!$C$6:$C$405,F1151,'Istoric_Nativ'!$F$6:$F$405,G1151,'Istoric_Nativ'!$D$6:$D$405,"&lt;"&amp;J1151,'Istoric_Nativ'!$P$6:$P$405,1,'Istoric_Nativ'!$D$6:$D$405,"&gt;="&amp;L1151),SUMIFS('Istoric_Nativ'!$G$6:$G$405,'Istoric_Nativ'!$B$6:$B$405,E1151,'Istoric_Nativ'!$C$6:$C$405,F1151,'Istoric_Nativ'!$E$6:$E$405,G1151,'Istoric_Nativ'!$D$6:$D$405,"&lt;"&amp;J1151,'Istoric_Nativ'!$P$6:$P$405,1,'Istoric_Nativ'!$D$6:$D$405,"&gt;="&amp;L1151)+SUMIFS('Istoric_Nativ'!$H$6:$H$405,'Istoric_Nativ'!$B$6:$B$405,E1151,'Istoric_Nativ'!$C$6:$C$405,F1151,'Istoric_Nativ'!$F$6:$F$405,G1151,'Istoric_Nativ'!$D$6:$D$405,"&lt;"&amp;J1151,'Istoric_Nativ'!$P$6:$P$405,1,'Istoric_Nativ'!$D$6:$D$405,"&gt;="&amp;L1151)))/M1151)</x:f>
      </x:c>
      <x:c r="O1151" s="11" t="str">
        <x:f>IF(M1151=0,"",IF(H1151="HOME",SUMIFS('Istoric_Nativ'!$H$6:$H$405,'Istoric_Nativ'!$B$6:$B$405,E1151,'Istoric_Nativ'!$C$6:$C$405,F1151,'Istoric_Nativ'!$E$6:$E$405,G1151,'Istoric_Nativ'!$D$6:$D$405,"&lt;"&amp;J1151,'Istoric_Nativ'!$P$6:$P$405,1,'Istoric_Nativ'!$D$6:$D$405,"&gt;="&amp;L1151),IF(H1151="AWAY",SUMIFS('Istoric_Nativ'!$G$6:$G$405,'Istoric_Nativ'!$B$6:$B$405,E1151,'Istoric_Nativ'!$C$6:$C$405,F1151,'Istoric_Nativ'!$F$6:$F$405,G1151,'Istoric_Nativ'!$D$6:$D$405,"&lt;"&amp;J1151,'Istoric_Nativ'!$P$6:$P$405,1,'Istoric_Nativ'!$D$6:$D$405,"&gt;="&amp;L1151),SUMIFS('Istoric_Nativ'!$H$6:$H$405,'Istoric_Nativ'!$B$6:$B$405,E1151,'Istoric_Nativ'!$C$6:$C$405,F1151,'Istoric_Nativ'!$E$6:$E$405,G1151,'Istoric_Nativ'!$D$6:$D$405,"&lt;"&amp;J1151,'Istoric_Nativ'!$P$6:$P$405,1,'Istoric_Nativ'!$D$6:$D$405,"&gt;="&amp;L1151)+SUMIFS('Istoric_Nativ'!$G$6:$G$405,'Istoric_Nativ'!$B$6:$B$405,E1151,'Istoric_Nativ'!$C$6:$C$405,F1151,'Istoric_Nativ'!$F$6:$F$405,G1151,'Istoric_Nativ'!$D$6:$D$405,"&lt;"&amp;J1151,'Istoric_Nativ'!$P$6:$P$405,1,'Istoric_Nativ'!$D$6:$D$405,"&gt;="&amp;L1151)))/M1151)</x:f>
      </x:c>
      <x:c r="P1151" s="2" t="n">
        <x:f>'Config_v6'!$B$9</x:f>
        <x:v>3</x:v>
      </x:c>
      <x:c r="Q1151" s="2" t="n">
        <x:f>IF(OR(B1151="",F1151=""),0,IFERROR(MATCH(E1151&amp;"|"&amp;F1151,SourceTable[Source_Key],0),0))</x:f>
        <x:v>0</x:v>
      </x:c>
      <x:c r="R1151" s="2" t="str">
        <x:f>IF(B1151="","",IF(F1151="","UNUSED",IF(Q1151=0,"NOT CHECKED",IF(COUNTIF(SourceTable[Source_Key],E1151&amp;"|"&amp;F1151)&lt;&gt;1,"SOURCE CONFLICT",IF(NOT(OR(INDEX(SourceTable[Status],MAX(1,Q1151))="IMPORTED",INDEX(SourceTable[Status],MAX(1,Q1151))="PARTIAL",INDEX(SourceTable[Status],MAX(1,Q1151))="SOURCE CONFLICT")),"ACCESS BLOCKED",IF(OR(INDEX(SourceTable[Coverage],Q1151)&lt;&gt;"FULL SEASON EXPORT",INDEX(SourceTable[URL],Q1151)="",INDEX(SourceTable[SHA256],Q1151)=""),"EVIDENCE INCOMPLETE",IF(AND('Input_Meci'!H101="LIVE",INDEX(SourceTable[Retrieved_UTC],Q1151)&gt;'Input_Meci'!G101),"POST CUTOFF","CLOSED")))))))</x:f>
      </x:c>
      <x:c r="S1151" s="2" t="n">
        <x:f>IF(OR(B1151="",F1151=""),0,COUNTIFS('Istoric_Nativ'!$B$6:$B$405,E1151,'Istoric_Nativ'!$C$6:$C$405,F1151,'Istoric_Nativ'!$E$6:$E$405,G1151,'Istoric_Nativ'!$D$6:$D$405,"&lt;"&amp;J1151,'Istoric_Nativ'!$O$6:$O$405,"INVALID")+COUNTIFS('Istoric_Nativ'!$B$6:$B$405,E1151,'Istoric_Nativ'!$C$6:$C$405,F1151,'Istoric_Nativ'!$E$6:$E$405,G1151,'Istoric_Nativ'!$O$6:$O$405,"INVALID",'Istoric_Nativ'!$D$6:$D$405,"*")+COUNTIFS('Istoric_Nativ'!$B$6:$B$405,E1151,'Istoric_Nativ'!$C$6:$C$405,F1151,'Istoric_Nativ'!$E$6:$E$405,G1151,'Istoric_Nativ'!$D$6:$D$405,"&lt;"&amp;J1151,'Istoric_Nativ'!$O$6:$O$405,"SOURCE CONFLICT")+COUNTIFS('Istoric_Nativ'!$B$6:$B$405,E1151,'Istoric_Nativ'!$C$6:$C$405,F1151,'Istoric_Nativ'!$F$6:$F$405,G1151,'Istoric_Nativ'!$D$6:$D$405,"&lt;"&amp;J1151,'Istoric_Nativ'!$O$6:$O$405,"INVALID")+COUNTIFS('Istoric_Nativ'!$B$6:$B$405,E1151,'Istoric_Nativ'!$C$6:$C$405,F1151,'Istoric_Nativ'!$F$6:$F$405,G1151,'Istoric_Nativ'!$O$6:$O$405,"INVALID",'Istoric_Nativ'!$D$6:$D$405,"*")+COUNTIFS('Istoric_Nativ'!$B$6:$B$405,E1151,'Istoric_Nativ'!$C$6:$C$405,F1151,'Istoric_Nativ'!$F$6:$F$405,G1151,'Istoric_Nativ'!$D$6:$D$405,"&lt;"&amp;J1151,'Istoric_Nativ'!$O$6:$O$405,"SOURCE CONFLICT"))</x:f>
        <x:v>0</x:v>
      </x:c>
      <x:c r="T1151" s="2" t="str">
        <x:f>IF(B1151="","",IF(R1151&lt;&gt;"CLOSED",R1151,IF(S1151&gt;0,"NATIVE INPUT ISSUE",IF(M1151=0,"NO HISTORY",IF(M1151&lt;P1151,"SMALL SAMPLE","DERIVED")))))</x:f>
      </x:c>
      <x:c r="U1151" s="2" t="str">
        <x:f>IF(B1151="","","NativeTable; "&amp;E1151&amp;"; "&amp;F1151&amp;"; "&amp;G1151&amp;"; "&amp;H1151&amp;"; before "&amp;TEXT(J1151,"yyyy-mm-dd")&amp;IF(I1151="RECENT","; from "&amp;TEXT(L1151,"yyyy-mm-dd"),""))</x:f>
      </x:c>
    </x:row>
    <x:row r="1152" ht="21" customHeight="1">
      <x:c r="A1152" s="2" t="n">
        <x:v>96</x:v>
      </x:c>
      <x:c r="B1152" s="2" t="str">
        <x:f>IF('Input_Meci'!A101="","",'Input_Meci'!A101)</x:f>
      </x:c>
      <x:c r="C1152" s="2" t="str">
        <x:v>H</x:v>
      </x:c>
      <x:c r="D1152" s="2" t="str">
        <x:v>PRIOR</x:v>
      </x:c>
      <x:c r="E1152" s="2" t="str">
        <x:f>IF(B1152="","",'Input_Meci'!B101)</x:f>
      </x:c>
      <x:c r="F1152" s="2" t="str">
        <x:f>IF(B1152="","",IF('Input_Meci'!K101="","",'Input_Meci'!K101))</x:f>
      </x:c>
      <x:c r="G1152" s="2" t="str">
        <x:f>IF(B1152="","",'Input_Meci'!D101)</x:f>
      </x:c>
      <x:c r="H1152" s="2" t="str">
        <x:v>ANY</x:v>
      </x:c>
      <x:c r="I1152" s="2" t="str">
        <x:v>SEASON</x:v>
      </x:c>
      <x:c r="J1152" s="9" t="n">
        <x:f>IF(AND(B1152&lt;&gt;"",ISNUMBER('Input_Meci'!G101)),INT('Input_Meci'!G101),0)</x:f>
        <x:v>0</x:v>
      </x:c>
      <x:c r="K1152" s="2" t="n">
        <x:f>IF(OR(B1152="",F1152=""),0,IF(H1152="HOME",COUNTIFS('Istoric_Nativ'!$B$6:$B$405,E1152,'Istoric_Nativ'!$C$6:$C$405,F1152,'Istoric_Nativ'!$E$6:$E$405,G1152,'Istoric_Nativ'!$D$6:$D$405,"&lt;"&amp;J1152,'Istoric_Nativ'!$P$6:$P$405,1),IF(H1152="AWAY",COUNTIFS('Istoric_Nativ'!$B$6:$B$405,E1152,'Istoric_Nativ'!$C$6:$C$405,F1152,'Istoric_Nativ'!$F$6:$F$405,G1152,'Istoric_Nativ'!$D$6:$D$405,"&lt;"&amp;J1152,'Istoric_Nativ'!$P$6:$P$405,1),COUNTIFS('Istoric_Nativ'!$B$6:$B$405,E1152,'Istoric_Nativ'!$C$6:$C$405,F1152,'Istoric_Nativ'!$E$6:$E$405,G1152,'Istoric_Nativ'!$D$6:$D$405,"&lt;"&amp;J1152,'Istoric_Nativ'!$P$6:$P$405,1)+COUNTIFS('Istoric_Nativ'!$B$6:$B$405,E1152,'Istoric_Nativ'!$C$6:$C$405,F1152,'Istoric_Nativ'!$F$6:$F$405,G1152,'Istoric_Nativ'!$D$6:$D$405,"&lt;"&amp;J1152,'Istoric_Nativ'!$P$6:$P$405,1))))</x:f>
        <x:v>0</x:v>
      </x:c>
      <x:c r="L1152" s="17" t="n">
        <x:f>IF(AND(B1152&lt;&gt;"",I1152="RECENT",K1152&gt;0),LARGE(_xlfn._xlws.FILTER('Istoric_Nativ'!$D$6:$D$405,('Istoric_Nativ'!$B$6:$B$405=E1152)*('Istoric_Nativ'!$C$6:$C$405=F1152)*('Istoric_Nativ'!$P$6:$P$405=1)*('Istoric_Nativ'!$D$6:$D$405&lt;J1152)*((('Istoric_Nativ'!$E$6:$E$405=G1152)+('Istoric_Nativ'!$F$6:$F$405=G1152))&gt;0)),MIN('Config_v6'!$B$54,K1152)),0)</x:f>
        <x:v>0</x:v>
      </x:c>
      <x:c r="M1152" s="2" t="n">
        <x:f>IF(OR(B1152="",F1152=""),0,IF(H1152="HOME",COUNTIFS('Istoric_Nativ'!$B$6:$B$405,E1152,'Istoric_Nativ'!$C$6:$C$405,F1152,'Istoric_Nativ'!$E$6:$E$405,G1152,'Istoric_Nativ'!$D$6:$D$405,"&lt;"&amp;J1152,'Istoric_Nativ'!$P$6:$P$405,1,'Istoric_Nativ'!$D$6:$D$405,"&gt;="&amp;L1152),IF(H1152="AWAY",COUNTIFS('Istoric_Nativ'!$B$6:$B$405,E1152,'Istoric_Nativ'!$C$6:$C$405,F1152,'Istoric_Nativ'!$F$6:$F$405,G1152,'Istoric_Nativ'!$D$6:$D$405,"&lt;"&amp;J1152,'Istoric_Nativ'!$P$6:$P$405,1,'Istoric_Nativ'!$D$6:$D$405,"&gt;="&amp;L1152),COUNTIFS('Istoric_Nativ'!$B$6:$B$405,E1152,'Istoric_Nativ'!$C$6:$C$405,F1152,'Istoric_Nativ'!$E$6:$E$405,G1152,'Istoric_Nativ'!$D$6:$D$405,"&lt;"&amp;J1152,'Istoric_Nativ'!$P$6:$P$405,1,'Istoric_Nativ'!$D$6:$D$405,"&gt;="&amp;L1152)+COUNTIFS('Istoric_Nativ'!$B$6:$B$405,E1152,'Istoric_Nativ'!$C$6:$C$405,F1152,'Istoric_Nativ'!$F$6:$F$405,G1152,'Istoric_Nativ'!$D$6:$D$405,"&lt;"&amp;J1152,'Istoric_Nativ'!$P$6:$P$405,1,'Istoric_Nativ'!$D$6:$D$405,"&gt;="&amp;L1152))))</x:f>
        <x:v>0</x:v>
      </x:c>
      <x:c r="N1152" s="11" t="str">
        <x:f>IF(M1152=0,"",IF(H1152="HOME",SUMIFS('Istoric_Nativ'!$G$6:$G$405,'Istoric_Nativ'!$B$6:$B$405,E1152,'Istoric_Nativ'!$C$6:$C$405,F1152,'Istoric_Nativ'!$E$6:$E$405,G1152,'Istoric_Nativ'!$D$6:$D$405,"&lt;"&amp;J1152,'Istoric_Nativ'!$P$6:$P$405,1,'Istoric_Nativ'!$D$6:$D$405,"&gt;="&amp;L1152),IF(H1152="AWAY",SUMIFS('Istoric_Nativ'!$H$6:$H$405,'Istoric_Nativ'!$B$6:$B$405,E1152,'Istoric_Nativ'!$C$6:$C$405,F1152,'Istoric_Nativ'!$F$6:$F$405,G1152,'Istoric_Nativ'!$D$6:$D$405,"&lt;"&amp;J1152,'Istoric_Nativ'!$P$6:$P$405,1,'Istoric_Nativ'!$D$6:$D$405,"&gt;="&amp;L1152),SUMIFS('Istoric_Nativ'!$G$6:$G$405,'Istoric_Nativ'!$B$6:$B$405,E1152,'Istoric_Nativ'!$C$6:$C$405,F1152,'Istoric_Nativ'!$E$6:$E$405,G1152,'Istoric_Nativ'!$D$6:$D$405,"&lt;"&amp;J1152,'Istoric_Nativ'!$P$6:$P$405,1,'Istoric_Nativ'!$D$6:$D$405,"&gt;="&amp;L1152)+SUMIFS('Istoric_Nativ'!$H$6:$H$405,'Istoric_Nativ'!$B$6:$B$405,E1152,'Istoric_Nativ'!$C$6:$C$405,F1152,'Istoric_Nativ'!$F$6:$F$405,G1152,'Istoric_Nativ'!$D$6:$D$405,"&lt;"&amp;J1152,'Istoric_Nativ'!$P$6:$P$405,1,'Istoric_Nativ'!$D$6:$D$405,"&gt;="&amp;L1152)))/M1152)</x:f>
      </x:c>
      <x:c r="O1152" s="11" t="str">
        <x:f>IF(M1152=0,"",IF(H1152="HOME",SUMIFS('Istoric_Nativ'!$H$6:$H$405,'Istoric_Nativ'!$B$6:$B$405,E1152,'Istoric_Nativ'!$C$6:$C$405,F1152,'Istoric_Nativ'!$E$6:$E$405,G1152,'Istoric_Nativ'!$D$6:$D$405,"&lt;"&amp;J1152,'Istoric_Nativ'!$P$6:$P$405,1,'Istoric_Nativ'!$D$6:$D$405,"&gt;="&amp;L1152),IF(H1152="AWAY",SUMIFS('Istoric_Nativ'!$G$6:$G$405,'Istoric_Nativ'!$B$6:$B$405,E1152,'Istoric_Nativ'!$C$6:$C$405,F1152,'Istoric_Nativ'!$F$6:$F$405,G1152,'Istoric_Nativ'!$D$6:$D$405,"&lt;"&amp;J1152,'Istoric_Nativ'!$P$6:$P$405,1,'Istoric_Nativ'!$D$6:$D$405,"&gt;="&amp;L1152),SUMIFS('Istoric_Nativ'!$H$6:$H$405,'Istoric_Nativ'!$B$6:$B$405,E1152,'Istoric_Nativ'!$C$6:$C$405,F1152,'Istoric_Nativ'!$E$6:$E$405,G1152,'Istoric_Nativ'!$D$6:$D$405,"&lt;"&amp;J1152,'Istoric_Nativ'!$P$6:$P$405,1,'Istoric_Nativ'!$D$6:$D$405,"&gt;="&amp;L1152)+SUMIFS('Istoric_Nativ'!$G$6:$G$405,'Istoric_Nativ'!$B$6:$B$405,E1152,'Istoric_Nativ'!$C$6:$C$405,F1152,'Istoric_Nativ'!$F$6:$F$405,G1152,'Istoric_Nativ'!$D$6:$D$405,"&lt;"&amp;J1152,'Istoric_Nativ'!$P$6:$P$405,1,'Istoric_Nativ'!$D$6:$D$405,"&gt;="&amp;L1152)))/M1152)</x:f>
      </x:c>
      <x:c r="P1152" s="2" t="n">
        <x:f>'Config_v6'!$B$7</x:f>
        <x:v>10</x:v>
      </x:c>
      <x:c r="Q1152" s="2" t="n">
        <x:f>IF(OR(B1152="",F1152=""),0,IFERROR(MATCH(E1152&amp;"|"&amp;F1152,SourceTable[Source_Key],0),0))</x:f>
        <x:v>0</x:v>
      </x:c>
      <x:c r="R1152" s="2" t="str">
        <x:f>IF(B1152="","",IF(F1152="","UNUSED",IF(Q1152=0,"NOT CHECKED",IF(COUNTIF(SourceTable[Source_Key],E1152&amp;"|"&amp;F1152)&lt;&gt;1,"SOURCE CONFLICT",IF(NOT(OR(INDEX(SourceTable[Status],MAX(1,Q1152))="IMPORTED",INDEX(SourceTable[Status],MAX(1,Q1152))="PARTIAL",INDEX(SourceTable[Status],MAX(1,Q1152))="SOURCE CONFLICT")),"ACCESS BLOCKED",IF(OR(INDEX(SourceTable[Coverage],Q1152)&lt;&gt;"FULL SEASON EXPORT",INDEX(SourceTable[URL],Q1152)="",INDEX(SourceTable[SHA256],Q1152)=""),"EVIDENCE INCOMPLETE",IF(AND('Input_Meci'!H101="LIVE",INDEX(SourceTable[Retrieved_UTC],Q1152)&gt;'Input_Meci'!G101),"POST CUTOFF","CLOSED")))))))</x:f>
      </x:c>
      <x:c r="S1152" s="2" t="n">
        <x:f>IF(OR(B1152="",F1152=""),0,COUNTIFS('Istoric_Nativ'!$B$6:$B$405,E1152,'Istoric_Nativ'!$C$6:$C$405,F1152,'Istoric_Nativ'!$E$6:$E$405,G1152,'Istoric_Nativ'!$D$6:$D$405,"&lt;"&amp;J1152,'Istoric_Nativ'!$O$6:$O$405,"INVALID")+COUNTIFS('Istoric_Nativ'!$B$6:$B$405,E1152,'Istoric_Nativ'!$C$6:$C$405,F1152,'Istoric_Nativ'!$E$6:$E$405,G1152,'Istoric_Nativ'!$O$6:$O$405,"INVALID",'Istoric_Nativ'!$D$6:$D$405,"*")+COUNTIFS('Istoric_Nativ'!$B$6:$B$405,E1152,'Istoric_Nativ'!$C$6:$C$405,F1152,'Istoric_Nativ'!$E$6:$E$405,G1152,'Istoric_Nativ'!$D$6:$D$405,"&lt;"&amp;J1152,'Istoric_Nativ'!$O$6:$O$405,"SOURCE CONFLICT")+COUNTIFS('Istoric_Nativ'!$B$6:$B$405,E1152,'Istoric_Nativ'!$C$6:$C$405,F1152,'Istoric_Nativ'!$F$6:$F$405,G1152,'Istoric_Nativ'!$D$6:$D$405,"&lt;"&amp;J1152,'Istoric_Nativ'!$O$6:$O$405,"INVALID")+COUNTIFS('Istoric_Nativ'!$B$6:$B$405,E1152,'Istoric_Nativ'!$C$6:$C$405,F1152,'Istoric_Nativ'!$F$6:$F$405,G1152,'Istoric_Nativ'!$O$6:$O$405,"INVALID",'Istoric_Nativ'!$D$6:$D$405,"*")+COUNTIFS('Istoric_Nativ'!$B$6:$B$405,E1152,'Istoric_Nativ'!$C$6:$C$405,F1152,'Istoric_Nativ'!$F$6:$F$405,G1152,'Istoric_Nativ'!$D$6:$D$405,"&lt;"&amp;J1152,'Istoric_Nativ'!$O$6:$O$405,"SOURCE CONFLICT"))</x:f>
        <x:v>0</x:v>
      </x:c>
      <x:c r="T1152" s="2" t="str">
        <x:f>IF(B1152="","",IF(R1152&lt;&gt;"CLOSED",R1152,IF(S1152&gt;0,"NATIVE INPUT ISSUE",IF(M1152=0,"NO HISTORY",IF(M1152&lt;P1152,"SMALL SAMPLE","DERIVED")))))</x:f>
      </x:c>
      <x:c r="U1152" s="2" t="str">
        <x:f>IF(B1152="","","NativeTable; "&amp;E1152&amp;"; "&amp;F1152&amp;"; "&amp;G1152&amp;"; "&amp;H1152&amp;"; before "&amp;TEXT(J1152,"yyyy-mm-dd")&amp;IF(I1152="RECENT","; from "&amp;TEXT(L1152,"yyyy-mm-dd"),""))</x:f>
      </x:c>
    </x:row>
    <x:row r="1153" ht="21" customHeight="1">
      <x:c r="A1153" s="2" t="n">
        <x:v>96</x:v>
      </x:c>
      <x:c r="B1153" s="2" t="str">
        <x:f>IF('Input_Meci'!A101="","",'Input_Meci'!A101)</x:f>
      </x:c>
      <x:c r="C1153" s="2" t="str">
        <x:v>H</x:v>
      </x:c>
      <x:c r="D1153" s="2" t="str">
        <x:v>PRIOR</x:v>
      </x:c>
      <x:c r="E1153" s="2" t="str">
        <x:f>IF(B1153="","",'Input_Meci'!B101)</x:f>
      </x:c>
      <x:c r="F1153" s="2" t="str">
        <x:f>IF(B1153="","",IF('Input_Meci'!K101="","",'Input_Meci'!K101))</x:f>
      </x:c>
      <x:c r="G1153" s="2" t="str">
        <x:f>IF(B1153="","",'Input_Meci'!D101)</x:f>
      </x:c>
      <x:c r="H1153" s="2" t="str">
        <x:v>HOME</x:v>
      </x:c>
      <x:c r="I1153" s="2" t="str">
        <x:v>HA</x:v>
      </x:c>
      <x:c r="J1153" s="9" t="n">
        <x:f>IF(AND(B1153&lt;&gt;"",ISNUMBER('Input_Meci'!G101)),INT('Input_Meci'!G101),0)</x:f>
        <x:v>0</x:v>
      </x:c>
      <x:c r="K1153" s="2" t="n">
        <x:f>IF(OR(B1153="",F1153=""),0,IF(H1153="HOME",COUNTIFS('Istoric_Nativ'!$B$6:$B$405,E1153,'Istoric_Nativ'!$C$6:$C$405,F1153,'Istoric_Nativ'!$E$6:$E$405,G1153,'Istoric_Nativ'!$D$6:$D$405,"&lt;"&amp;J1153,'Istoric_Nativ'!$P$6:$P$405,1),IF(H1153="AWAY",COUNTIFS('Istoric_Nativ'!$B$6:$B$405,E1153,'Istoric_Nativ'!$C$6:$C$405,F1153,'Istoric_Nativ'!$F$6:$F$405,G1153,'Istoric_Nativ'!$D$6:$D$405,"&lt;"&amp;J1153,'Istoric_Nativ'!$P$6:$P$405,1),COUNTIFS('Istoric_Nativ'!$B$6:$B$405,E1153,'Istoric_Nativ'!$C$6:$C$405,F1153,'Istoric_Nativ'!$E$6:$E$405,G1153,'Istoric_Nativ'!$D$6:$D$405,"&lt;"&amp;J1153,'Istoric_Nativ'!$P$6:$P$405,1)+COUNTIFS('Istoric_Nativ'!$B$6:$B$405,E1153,'Istoric_Nativ'!$C$6:$C$405,F1153,'Istoric_Nativ'!$F$6:$F$405,G1153,'Istoric_Nativ'!$D$6:$D$405,"&lt;"&amp;J1153,'Istoric_Nativ'!$P$6:$P$405,1))))</x:f>
        <x:v>0</x:v>
      </x:c>
      <x:c r="L1153" s="17" t="n">
        <x:f>IF(AND(B1153&lt;&gt;"",I1153="RECENT",K1153&gt;0),LARGE(_xlfn._xlws.FILTER('Istoric_Nativ'!$D$6:$D$405,('Istoric_Nativ'!$B$6:$B$405=E1153)*('Istoric_Nativ'!$C$6:$C$405=F1153)*('Istoric_Nativ'!$P$6:$P$405=1)*('Istoric_Nativ'!$D$6:$D$405&lt;J1153)*((('Istoric_Nativ'!$E$6:$E$405=G1153)+('Istoric_Nativ'!$F$6:$F$405=G1153))&gt;0)),MIN('Config_v6'!$B$54,K1153)),0)</x:f>
        <x:v>0</x:v>
      </x:c>
      <x:c r="M1153" s="2" t="n">
        <x:f>IF(OR(B1153="",F1153=""),0,IF(H1153="HOME",COUNTIFS('Istoric_Nativ'!$B$6:$B$405,E1153,'Istoric_Nativ'!$C$6:$C$405,F1153,'Istoric_Nativ'!$E$6:$E$405,G1153,'Istoric_Nativ'!$D$6:$D$405,"&lt;"&amp;J1153,'Istoric_Nativ'!$P$6:$P$405,1,'Istoric_Nativ'!$D$6:$D$405,"&gt;="&amp;L1153),IF(H1153="AWAY",COUNTIFS('Istoric_Nativ'!$B$6:$B$405,E1153,'Istoric_Nativ'!$C$6:$C$405,F1153,'Istoric_Nativ'!$F$6:$F$405,G1153,'Istoric_Nativ'!$D$6:$D$405,"&lt;"&amp;J1153,'Istoric_Nativ'!$P$6:$P$405,1,'Istoric_Nativ'!$D$6:$D$405,"&gt;="&amp;L1153),COUNTIFS('Istoric_Nativ'!$B$6:$B$405,E1153,'Istoric_Nativ'!$C$6:$C$405,F1153,'Istoric_Nativ'!$E$6:$E$405,G1153,'Istoric_Nativ'!$D$6:$D$405,"&lt;"&amp;J1153,'Istoric_Nativ'!$P$6:$P$405,1,'Istoric_Nativ'!$D$6:$D$405,"&gt;="&amp;L1153)+COUNTIFS('Istoric_Nativ'!$B$6:$B$405,E1153,'Istoric_Nativ'!$C$6:$C$405,F1153,'Istoric_Nativ'!$F$6:$F$405,G1153,'Istoric_Nativ'!$D$6:$D$405,"&lt;"&amp;J1153,'Istoric_Nativ'!$P$6:$P$405,1,'Istoric_Nativ'!$D$6:$D$405,"&gt;="&amp;L1153))))</x:f>
        <x:v>0</x:v>
      </x:c>
      <x:c r="N1153" s="11" t="str">
        <x:f>IF(M1153=0,"",IF(H1153="HOME",SUMIFS('Istoric_Nativ'!$G$6:$G$405,'Istoric_Nativ'!$B$6:$B$405,E1153,'Istoric_Nativ'!$C$6:$C$405,F1153,'Istoric_Nativ'!$E$6:$E$405,G1153,'Istoric_Nativ'!$D$6:$D$405,"&lt;"&amp;J1153,'Istoric_Nativ'!$P$6:$P$405,1,'Istoric_Nativ'!$D$6:$D$405,"&gt;="&amp;L1153),IF(H1153="AWAY",SUMIFS('Istoric_Nativ'!$H$6:$H$405,'Istoric_Nativ'!$B$6:$B$405,E1153,'Istoric_Nativ'!$C$6:$C$405,F1153,'Istoric_Nativ'!$F$6:$F$405,G1153,'Istoric_Nativ'!$D$6:$D$405,"&lt;"&amp;J1153,'Istoric_Nativ'!$P$6:$P$405,1,'Istoric_Nativ'!$D$6:$D$405,"&gt;="&amp;L1153),SUMIFS('Istoric_Nativ'!$G$6:$G$405,'Istoric_Nativ'!$B$6:$B$405,E1153,'Istoric_Nativ'!$C$6:$C$405,F1153,'Istoric_Nativ'!$E$6:$E$405,G1153,'Istoric_Nativ'!$D$6:$D$405,"&lt;"&amp;J1153,'Istoric_Nativ'!$P$6:$P$405,1,'Istoric_Nativ'!$D$6:$D$405,"&gt;="&amp;L1153)+SUMIFS('Istoric_Nativ'!$H$6:$H$405,'Istoric_Nativ'!$B$6:$B$405,E1153,'Istoric_Nativ'!$C$6:$C$405,F1153,'Istoric_Nativ'!$F$6:$F$405,G1153,'Istoric_Nativ'!$D$6:$D$405,"&lt;"&amp;J1153,'Istoric_Nativ'!$P$6:$P$405,1,'Istoric_Nativ'!$D$6:$D$405,"&gt;="&amp;L1153)))/M1153)</x:f>
      </x:c>
      <x:c r="O1153" s="11" t="str">
        <x:f>IF(M1153=0,"",IF(H1153="HOME",SUMIFS('Istoric_Nativ'!$H$6:$H$405,'Istoric_Nativ'!$B$6:$B$405,E1153,'Istoric_Nativ'!$C$6:$C$405,F1153,'Istoric_Nativ'!$E$6:$E$405,G1153,'Istoric_Nativ'!$D$6:$D$405,"&lt;"&amp;J1153,'Istoric_Nativ'!$P$6:$P$405,1,'Istoric_Nativ'!$D$6:$D$405,"&gt;="&amp;L1153),IF(H1153="AWAY",SUMIFS('Istoric_Nativ'!$G$6:$G$405,'Istoric_Nativ'!$B$6:$B$405,E1153,'Istoric_Nativ'!$C$6:$C$405,F1153,'Istoric_Nativ'!$F$6:$F$405,G1153,'Istoric_Nativ'!$D$6:$D$405,"&lt;"&amp;J1153,'Istoric_Nativ'!$P$6:$P$405,1,'Istoric_Nativ'!$D$6:$D$405,"&gt;="&amp;L1153),SUMIFS('Istoric_Nativ'!$H$6:$H$405,'Istoric_Nativ'!$B$6:$B$405,E1153,'Istoric_Nativ'!$C$6:$C$405,F1153,'Istoric_Nativ'!$E$6:$E$405,G1153,'Istoric_Nativ'!$D$6:$D$405,"&lt;"&amp;J1153,'Istoric_Nativ'!$P$6:$P$405,1,'Istoric_Nativ'!$D$6:$D$405,"&gt;="&amp;L1153)+SUMIFS('Istoric_Nativ'!$G$6:$G$405,'Istoric_Nativ'!$B$6:$B$405,E1153,'Istoric_Nativ'!$C$6:$C$405,F1153,'Istoric_Nativ'!$F$6:$F$405,G1153,'Istoric_Nativ'!$D$6:$D$405,"&lt;"&amp;J1153,'Istoric_Nativ'!$P$6:$P$405,1,'Istoric_Nativ'!$D$6:$D$405,"&gt;="&amp;L1153)))/M1153)</x:f>
      </x:c>
      <x:c r="P1153" s="2" t="n">
        <x:f>'Config_v6'!$B$8</x:f>
        <x:v>5</x:v>
      </x:c>
      <x:c r="Q1153" s="2" t="n">
        <x:f>IF(OR(B1153="",F1153=""),0,IFERROR(MATCH(E1153&amp;"|"&amp;F1153,SourceTable[Source_Key],0),0))</x:f>
        <x:v>0</x:v>
      </x:c>
      <x:c r="R1153" s="2" t="str">
        <x:f>IF(B1153="","",IF(F1153="","UNUSED",IF(Q1153=0,"NOT CHECKED",IF(COUNTIF(SourceTable[Source_Key],E1153&amp;"|"&amp;F1153)&lt;&gt;1,"SOURCE CONFLICT",IF(NOT(OR(INDEX(SourceTable[Status],MAX(1,Q1153))="IMPORTED",INDEX(SourceTable[Status],MAX(1,Q1153))="PARTIAL",INDEX(SourceTable[Status],MAX(1,Q1153))="SOURCE CONFLICT")),"ACCESS BLOCKED",IF(OR(INDEX(SourceTable[Coverage],Q1153)&lt;&gt;"FULL SEASON EXPORT",INDEX(SourceTable[URL],Q1153)="",INDEX(SourceTable[SHA256],Q1153)=""),"EVIDENCE INCOMPLETE",IF(AND('Input_Meci'!H101="LIVE",INDEX(SourceTable[Retrieved_UTC],Q1153)&gt;'Input_Meci'!G101),"POST CUTOFF","CLOSED")))))))</x:f>
      </x:c>
      <x:c r="S1153" s="2" t="n">
        <x:f>IF(OR(B1153="",F1153=""),0,COUNTIFS('Istoric_Nativ'!$B$6:$B$405,E1153,'Istoric_Nativ'!$C$6:$C$405,F1153,'Istoric_Nativ'!$E$6:$E$405,G1153,'Istoric_Nativ'!$D$6:$D$405,"&lt;"&amp;J1153,'Istoric_Nativ'!$O$6:$O$405,"INVALID")+COUNTIFS('Istoric_Nativ'!$B$6:$B$405,E1153,'Istoric_Nativ'!$C$6:$C$405,F1153,'Istoric_Nativ'!$E$6:$E$405,G1153,'Istoric_Nativ'!$O$6:$O$405,"INVALID",'Istoric_Nativ'!$D$6:$D$405,"*")+COUNTIFS('Istoric_Nativ'!$B$6:$B$405,E1153,'Istoric_Nativ'!$C$6:$C$405,F1153,'Istoric_Nativ'!$E$6:$E$405,G1153,'Istoric_Nativ'!$D$6:$D$405,"&lt;"&amp;J1153,'Istoric_Nativ'!$O$6:$O$405,"SOURCE CONFLICT")+COUNTIFS('Istoric_Nativ'!$B$6:$B$405,E1153,'Istoric_Nativ'!$C$6:$C$405,F1153,'Istoric_Nativ'!$F$6:$F$405,G1153,'Istoric_Nativ'!$D$6:$D$405,"&lt;"&amp;J1153,'Istoric_Nativ'!$O$6:$O$405,"INVALID")+COUNTIFS('Istoric_Nativ'!$B$6:$B$405,E1153,'Istoric_Nativ'!$C$6:$C$405,F1153,'Istoric_Nativ'!$F$6:$F$405,G1153,'Istoric_Nativ'!$O$6:$O$405,"INVALID",'Istoric_Nativ'!$D$6:$D$405,"*")+COUNTIFS('Istoric_Nativ'!$B$6:$B$405,E1153,'Istoric_Nativ'!$C$6:$C$405,F1153,'Istoric_Nativ'!$F$6:$F$405,G1153,'Istoric_Nativ'!$D$6:$D$405,"&lt;"&amp;J1153,'Istoric_Nativ'!$O$6:$O$405,"SOURCE CONFLICT"))</x:f>
        <x:v>0</x:v>
      </x:c>
      <x:c r="T1153" s="2" t="str">
        <x:f>IF(B1153="","",IF(R1153&lt;&gt;"CLOSED",R1153,IF(S1153&gt;0,"NATIVE INPUT ISSUE",IF(M1153=0,"NO HISTORY",IF(M1153&lt;P1153,"SMALL SAMPLE","DERIVED")))))</x:f>
      </x:c>
      <x:c r="U1153" s="2" t="str">
        <x:f>IF(B1153="","","NativeTable; "&amp;E1153&amp;"; "&amp;F1153&amp;"; "&amp;G1153&amp;"; "&amp;H1153&amp;"; before "&amp;TEXT(J1153,"yyyy-mm-dd")&amp;IF(I1153="RECENT","; from "&amp;TEXT(L1153,"yyyy-mm-dd"),""))</x:f>
      </x:c>
    </x:row>
    <x:row r="1154" ht="21" customHeight="1">
      <x:c r="A1154" s="2" t="n">
        <x:v>96</x:v>
      </x:c>
      <x:c r="B1154" s="2" t="str">
        <x:f>IF('Input_Meci'!A101="","",'Input_Meci'!A101)</x:f>
      </x:c>
      <x:c r="C1154" s="2" t="str">
        <x:v>H</x:v>
      </x:c>
      <x:c r="D1154" s="2" t="str">
        <x:v>PRIOR</x:v>
      </x:c>
      <x:c r="E1154" s="2" t="str">
        <x:f>IF(B1154="","",'Input_Meci'!B101)</x:f>
      </x:c>
      <x:c r="F1154" s="2" t="str">
        <x:f>IF(B1154="","",IF('Input_Meci'!K101="","",'Input_Meci'!K101))</x:f>
      </x:c>
      <x:c r="G1154" s="2" t="str">
        <x:f>IF(B1154="","",'Input_Meci'!D101)</x:f>
      </x:c>
      <x:c r="H1154" s="2" t="str">
        <x:v>ANY</x:v>
      </x:c>
      <x:c r="I1154" s="2" t="str">
        <x:v>RECENT</x:v>
      </x:c>
      <x:c r="J1154" s="9" t="n">
        <x:f>IF(AND(B1154&lt;&gt;"",ISNUMBER('Input_Meci'!G101)),INT('Input_Meci'!G101),0)</x:f>
        <x:v>0</x:v>
      </x:c>
      <x:c r="K1154" s="2" t="n">
        <x:f>IF(OR(B1154="",F1154=""),0,IF(H1154="HOME",COUNTIFS('Istoric_Nativ'!$B$6:$B$405,E1154,'Istoric_Nativ'!$C$6:$C$405,F1154,'Istoric_Nativ'!$E$6:$E$405,G1154,'Istoric_Nativ'!$D$6:$D$405,"&lt;"&amp;J1154,'Istoric_Nativ'!$P$6:$P$405,1),IF(H1154="AWAY",COUNTIFS('Istoric_Nativ'!$B$6:$B$405,E1154,'Istoric_Nativ'!$C$6:$C$405,F1154,'Istoric_Nativ'!$F$6:$F$405,G1154,'Istoric_Nativ'!$D$6:$D$405,"&lt;"&amp;J1154,'Istoric_Nativ'!$P$6:$P$405,1),COUNTIFS('Istoric_Nativ'!$B$6:$B$405,E1154,'Istoric_Nativ'!$C$6:$C$405,F1154,'Istoric_Nativ'!$E$6:$E$405,G1154,'Istoric_Nativ'!$D$6:$D$405,"&lt;"&amp;J1154,'Istoric_Nativ'!$P$6:$P$405,1)+COUNTIFS('Istoric_Nativ'!$B$6:$B$405,E1154,'Istoric_Nativ'!$C$6:$C$405,F1154,'Istoric_Nativ'!$F$6:$F$405,G1154,'Istoric_Nativ'!$D$6:$D$405,"&lt;"&amp;J1154,'Istoric_Nativ'!$P$6:$P$405,1))))</x:f>
        <x:v>0</x:v>
      </x:c>
      <x:c r="L1154" s="17" t="n">
        <x:f>IF(AND(B1154&lt;&gt;"",I1154="RECENT",K1154&gt;0),LARGE(_xlfn._xlws.FILTER('Istoric_Nativ'!$D$6:$D$405,('Istoric_Nativ'!$B$6:$B$405=E1154)*('Istoric_Nativ'!$C$6:$C$405=F1154)*('Istoric_Nativ'!$P$6:$P$405=1)*('Istoric_Nativ'!$D$6:$D$405&lt;J1154)*((('Istoric_Nativ'!$E$6:$E$405=G1154)+('Istoric_Nativ'!$F$6:$F$405=G1154))&gt;0)),MIN('Config_v6'!$B$54,K1154)),0)</x:f>
        <x:v>0</x:v>
      </x:c>
      <x:c r="M1154" s="2" t="n">
        <x:f>IF(OR(B1154="",F1154=""),0,IF(H1154="HOME",COUNTIFS('Istoric_Nativ'!$B$6:$B$405,E1154,'Istoric_Nativ'!$C$6:$C$405,F1154,'Istoric_Nativ'!$E$6:$E$405,G1154,'Istoric_Nativ'!$D$6:$D$405,"&lt;"&amp;J1154,'Istoric_Nativ'!$P$6:$P$405,1,'Istoric_Nativ'!$D$6:$D$405,"&gt;="&amp;L1154),IF(H1154="AWAY",COUNTIFS('Istoric_Nativ'!$B$6:$B$405,E1154,'Istoric_Nativ'!$C$6:$C$405,F1154,'Istoric_Nativ'!$F$6:$F$405,G1154,'Istoric_Nativ'!$D$6:$D$405,"&lt;"&amp;J1154,'Istoric_Nativ'!$P$6:$P$405,1,'Istoric_Nativ'!$D$6:$D$405,"&gt;="&amp;L1154),COUNTIFS('Istoric_Nativ'!$B$6:$B$405,E1154,'Istoric_Nativ'!$C$6:$C$405,F1154,'Istoric_Nativ'!$E$6:$E$405,G1154,'Istoric_Nativ'!$D$6:$D$405,"&lt;"&amp;J1154,'Istoric_Nativ'!$P$6:$P$405,1,'Istoric_Nativ'!$D$6:$D$405,"&gt;="&amp;L1154)+COUNTIFS('Istoric_Nativ'!$B$6:$B$405,E1154,'Istoric_Nativ'!$C$6:$C$405,F1154,'Istoric_Nativ'!$F$6:$F$405,G1154,'Istoric_Nativ'!$D$6:$D$405,"&lt;"&amp;J1154,'Istoric_Nativ'!$P$6:$P$405,1,'Istoric_Nativ'!$D$6:$D$405,"&gt;="&amp;L1154))))</x:f>
        <x:v>0</x:v>
      </x:c>
      <x:c r="N1154" s="11" t="str">
        <x:f>IF(M1154=0,"",IF(H1154="HOME",SUMIFS('Istoric_Nativ'!$G$6:$G$405,'Istoric_Nativ'!$B$6:$B$405,E1154,'Istoric_Nativ'!$C$6:$C$405,F1154,'Istoric_Nativ'!$E$6:$E$405,G1154,'Istoric_Nativ'!$D$6:$D$405,"&lt;"&amp;J1154,'Istoric_Nativ'!$P$6:$P$405,1,'Istoric_Nativ'!$D$6:$D$405,"&gt;="&amp;L1154),IF(H1154="AWAY",SUMIFS('Istoric_Nativ'!$H$6:$H$405,'Istoric_Nativ'!$B$6:$B$405,E1154,'Istoric_Nativ'!$C$6:$C$405,F1154,'Istoric_Nativ'!$F$6:$F$405,G1154,'Istoric_Nativ'!$D$6:$D$405,"&lt;"&amp;J1154,'Istoric_Nativ'!$P$6:$P$405,1,'Istoric_Nativ'!$D$6:$D$405,"&gt;="&amp;L1154),SUMIFS('Istoric_Nativ'!$G$6:$G$405,'Istoric_Nativ'!$B$6:$B$405,E1154,'Istoric_Nativ'!$C$6:$C$405,F1154,'Istoric_Nativ'!$E$6:$E$405,G1154,'Istoric_Nativ'!$D$6:$D$405,"&lt;"&amp;J1154,'Istoric_Nativ'!$P$6:$P$405,1,'Istoric_Nativ'!$D$6:$D$405,"&gt;="&amp;L1154)+SUMIFS('Istoric_Nativ'!$H$6:$H$405,'Istoric_Nativ'!$B$6:$B$405,E1154,'Istoric_Nativ'!$C$6:$C$405,F1154,'Istoric_Nativ'!$F$6:$F$405,G1154,'Istoric_Nativ'!$D$6:$D$405,"&lt;"&amp;J1154,'Istoric_Nativ'!$P$6:$P$405,1,'Istoric_Nativ'!$D$6:$D$405,"&gt;="&amp;L1154)))/M1154)</x:f>
      </x:c>
      <x:c r="O1154" s="11" t="str">
        <x:f>IF(M1154=0,"",IF(H1154="HOME",SUMIFS('Istoric_Nativ'!$H$6:$H$405,'Istoric_Nativ'!$B$6:$B$405,E1154,'Istoric_Nativ'!$C$6:$C$405,F1154,'Istoric_Nativ'!$E$6:$E$405,G1154,'Istoric_Nativ'!$D$6:$D$405,"&lt;"&amp;J1154,'Istoric_Nativ'!$P$6:$P$405,1,'Istoric_Nativ'!$D$6:$D$405,"&gt;="&amp;L1154),IF(H1154="AWAY",SUMIFS('Istoric_Nativ'!$G$6:$G$405,'Istoric_Nativ'!$B$6:$B$405,E1154,'Istoric_Nativ'!$C$6:$C$405,F1154,'Istoric_Nativ'!$F$6:$F$405,G1154,'Istoric_Nativ'!$D$6:$D$405,"&lt;"&amp;J1154,'Istoric_Nativ'!$P$6:$P$405,1,'Istoric_Nativ'!$D$6:$D$405,"&gt;="&amp;L1154),SUMIFS('Istoric_Nativ'!$H$6:$H$405,'Istoric_Nativ'!$B$6:$B$405,E1154,'Istoric_Nativ'!$C$6:$C$405,F1154,'Istoric_Nativ'!$E$6:$E$405,G1154,'Istoric_Nativ'!$D$6:$D$405,"&lt;"&amp;J1154,'Istoric_Nativ'!$P$6:$P$405,1,'Istoric_Nativ'!$D$6:$D$405,"&gt;="&amp;L1154)+SUMIFS('Istoric_Nativ'!$G$6:$G$405,'Istoric_Nativ'!$B$6:$B$405,E1154,'Istoric_Nativ'!$C$6:$C$405,F1154,'Istoric_Nativ'!$F$6:$F$405,G1154,'Istoric_Nativ'!$D$6:$D$405,"&lt;"&amp;J1154,'Istoric_Nativ'!$P$6:$P$405,1,'Istoric_Nativ'!$D$6:$D$405,"&gt;="&amp;L1154)))/M1154)</x:f>
      </x:c>
      <x:c r="P1154" s="2" t="n">
        <x:f>'Config_v6'!$B$9</x:f>
        <x:v>3</x:v>
      </x:c>
      <x:c r="Q1154" s="2" t="n">
        <x:f>IF(OR(B1154="",F1154=""),0,IFERROR(MATCH(E1154&amp;"|"&amp;F1154,SourceTable[Source_Key],0),0))</x:f>
        <x:v>0</x:v>
      </x:c>
      <x:c r="R1154" s="2" t="str">
        <x:f>IF(B1154="","",IF(F1154="","UNUSED",IF(Q1154=0,"NOT CHECKED",IF(COUNTIF(SourceTable[Source_Key],E1154&amp;"|"&amp;F1154)&lt;&gt;1,"SOURCE CONFLICT",IF(NOT(OR(INDEX(SourceTable[Status],MAX(1,Q1154))="IMPORTED",INDEX(SourceTable[Status],MAX(1,Q1154))="PARTIAL",INDEX(SourceTable[Status],MAX(1,Q1154))="SOURCE CONFLICT")),"ACCESS BLOCKED",IF(OR(INDEX(SourceTable[Coverage],Q1154)&lt;&gt;"FULL SEASON EXPORT",INDEX(SourceTable[URL],Q1154)="",INDEX(SourceTable[SHA256],Q1154)=""),"EVIDENCE INCOMPLETE",IF(AND('Input_Meci'!H101="LIVE",INDEX(SourceTable[Retrieved_UTC],Q1154)&gt;'Input_Meci'!G101),"POST CUTOFF","CLOSED")))))))</x:f>
      </x:c>
      <x:c r="S1154" s="2" t="n">
        <x:f>IF(OR(B1154="",F1154=""),0,COUNTIFS('Istoric_Nativ'!$B$6:$B$405,E1154,'Istoric_Nativ'!$C$6:$C$405,F1154,'Istoric_Nativ'!$E$6:$E$405,G1154,'Istoric_Nativ'!$D$6:$D$405,"&lt;"&amp;J1154,'Istoric_Nativ'!$O$6:$O$405,"INVALID")+COUNTIFS('Istoric_Nativ'!$B$6:$B$405,E1154,'Istoric_Nativ'!$C$6:$C$405,F1154,'Istoric_Nativ'!$E$6:$E$405,G1154,'Istoric_Nativ'!$O$6:$O$405,"INVALID",'Istoric_Nativ'!$D$6:$D$405,"*")+COUNTIFS('Istoric_Nativ'!$B$6:$B$405,E1154,'Istoric_Nativ'!$C$6:$C$405,F1154,'Istoric_Nativ'!$E$6:$E$405,G1154,'Istoric_Nativ'!$D$6:$D$405,"&lt;"&amp;J1154,'Istoric_Nativ'!$O$6:$O$405,"SOURCE CONFLICT")+COUNTIFS('Istoric_Nativ'!$B$6:$B$405,E1154,'Istoric_Nativ'!$C$6:$C$405,F1154,'Istoric_Nativ'!$F$6:$F$405,G1154,'Istoric_Nativ'!$D$6:$D$405,"&lt;"&amp;J1154,'Istoric_Nativ'!$O$6:$O$405,"INVALID")+COUNTIFS('Istoric_Nativ'!$B$6:$B$405,E1154,'Istoric_Nativ'!$C$6:$C$405,F1154,'Istoric_Nativ'!$F$6:$F$405,G1154,'Istoric_Nativ'!$O$6:$O$405,"INVALID",'Istoric_Nativ'!$D$6:$D$405,"*")+COUNTIFS('Istoric_Nativ'!$B$6:$B$405,E1154,'Istoric_Nativ'!$C$6:$C$405,F1154,'Istoric_Nativ'!$F$6:$F$405,G1154,'Istoric_Nativ'!$D$6:$D$405,"&lt;"&amp;J1154,'Istoric_Nativ'!$O$6:$O$405,"SOURCE CONFLICT"))</x:f>
        <x:v>0</x:v>
      </x:c>
      <x:c r="T1154" s="2" t="str">
        <x:f>IF(B1154="","",IF(R1154&lt;&gt;"CLOSED",R1154,IF(S1154&gt;0,"NATIVE INPUT ISSUE",IF(M1154=0,"NO HISTORY",IF(M1154&lt;P1154,"SMALL SAMPLE","DERIVED")))))</x:f>
      </x:c>
      <x:c r="U1154" s="2" t="str">
        <x:f>IF(B1154="","","NativeTable; "&amp;E1154&amp;"; "&amp;F1154&amp;"; "&amp;G1154&amp;"; "&amp;H1154&amp;"; before "&amp;TEXT(J1154,"yyyy-mm-dd")&amp;IF(I1154="RECENT","; from "&amp;TEXT(L1154,"yyyy-mm-dd"),""))</x:f>
      </x:c>
    </x:row>
    <x:row r="1155" ht="21" customHeight="1">
      <x:c r="A1155" s="2" t="n">
        <x:v>96</x:v>
      </x:c>
      <x:c r="B1155" s="2" t="str">
        <x:f>IF('Input_Meci'!A101="","",'Input_Meci'!A101)</x:f>
      </x:c>
      <x:c r="C1155" s="2" t="str">
        <x:v>A</x:v>
      </x:c>
      <x:c r="D1155" s="2" t="str">
        <x:v>PRIOR</x:v>
      </x:c>
      <x:c r="E1155" s="2" t="str">
        <x:f>IF(B1155="","",'Input_Meci'!B101)</x:f>
      </x:c>
      <x:c r="F1155" s="2" t="str">
        <x:f>IF(B1155="","",IF('Input_Meci'!K101="","",'Input_Meci'!K101))</x:f>
      </x:c>
      <x:c r="G1155" s="2" t="str">
        <x:f>IF(B1155="","",'Input_Meci'!E101)</x:f>
      </x:c>
      <x:c r="H1155" s="2" t="str">
        <x:v>ANY</x:v>
      </x:c>
      <x:c r="I1155" s="2" t="str">
        <x:v>SEASON</x:v>
      </x:c>
      <x:c r="J1155" s="9" t="n">
        <x:f>IF(AND(B1155&lt;&gt;"",ISNUMBER('Input_Meci'!G101)),INT('Input_Meci'!G101),0)</x:f>
        <x:v>0</x:v>
      </x:c>
      <x:c r="K1155" s="2" t="n">
        <x:f>IF(OR(B1155="",F1155=""),0,IF(H1155="HOME",COUNTIFS('Istoric_Nativ'!$B$6:$B$405,E1155,'Istoric_Nativ'!$C$6:$C$405,F1155,'Istoric_Nativ'!$E$6:$E$405,G1155,'Istoric_Nativ'!$D$6:$D$405,"&lt;"&amp;J1155,'Istoric_Nativ'!$P$6:$P$405,1),IF(H1155="AWAY",COUNTIFS('Istoric_Nativ'!$B$6:$B$405,E1155,'Istoric_Nativ'!$C$6:$C$405,F1155,'Istoric_Nativ'!$F$6:$F$405,G1155,'Istoric_Nativ'!$D$6:$D$405,"&lt;"&amp;J1155,'Istoric_Nativ'!$P$6:$P$405,1),COUNTIFS('Istoric_Nativ'!$B$6:$B$405,E1155,'Istoric_Nativ'!$C$6:$C$405,F1155,'Istoric_Nativ'!$E$6:$E$405,G1155,'Istoric_Nativ'!$D$6:$D$405,"&lt;"&amp;J1155,'Istoric_Nativ'!$P$6:$P$405,1)+COUNTIFS('Istoric_Nativ'!$B$6:$B$405,E1155,'Istoric_Nativ'!$C$6:$C$405,F1155,'Istoric_Nativ'!$F$6:$F$405,G1155,'Istoric_Nativ'!$D$6:$D$405,"&lt;"&amp;J1155,'Istoric_Nativ'!$P$6:$P$405,1))))</x:f>
        <x:v>0</x:v>
      </x:c>
      <x:c r="L1155" s="17" t="n">
        <x:f>IF(AND(B1155&lt;&gt;"",I1155="RECENT",K1155&gt;0),LARGE(_xlfn._xlws.FILTER('Istoric_Nativ'!$D$6:$D$405,('Istoric_Nativ'!$B$6:$B$405=E1155)*('Istoric_Nativ'!$C$6:$C$405=F1155)*('Istoric_Nativ'!$P$6:$P$405=1)*('Istoric_Nativ'!$D$6:$D$405&lt;J1155)*((('Istoric_Nativ'!$E$6:$E$405=G1155)+('Istoric_Nativ'!$F$6:$F$405=G1155))&gt;0)),MIN('Config_v6'!$B$54,K1155)),0)</x:f>
        <x:v>0</x:v>
      </x:c>
      <x:c r="M1155" s="2" t="n">
        <x:f>IF(OR(B1155="",F1155=""),0,IF(H1155="HOME",COUNTIFS('Istoric_Nativ'!$B$6:$B$405,E1155,'Istoric_Nativ'!$C$6:$C$405,F1155,'Istoric_Nativ'!$E$6:$E$405,G1155,'Istoric_Nativ'!$D$6:$D$405,"&lt;"&amp;J1155,'Istoric_Nativ'!$P$6:$P$405,1,'Istoric_Nativ'!$D$6:$D$405,"&gt;="&amp;L1155),IF(H1155="AWAY",COUNTIFS('Istoric_Nativ'!$B$6:$B$405,E1155,'Istoric_Nativ'!$C$6:$C$405,F1155,'Istoric_Nativ'!$F$6:$F$405,G1155,'Istoric_Nativ'!$D$6:$D$405,"&lt;"&amp;J1155,'Istoric_Nativ'!$P$6:$P$405,1,'Istoric_Nativ'!$D$6:$D$405,"&gt;="&amp;L1155),COUNTIFS('Istoric_Nativ'!$B$6:$B$405,E1155,'Istoric_Nativ'!$C$6:$C$405,F1155,'Istoric_Nativ'!$E$6:$E$405,G1155,'Istoric_Nativ'!$D$6:$D$405,"&lt;"&amp;J1155,'Istoric_Nativ'!$P$6:$P$405,1,'Istoric_Nativ'!$D$6:$D$405,"&gt;="&amp;L1155)+COUNTIFS('Istoric_Nativ'!$B$6:$B$405,E1155,'Istoric_Nativ'!$C$6:$C$405,F1155,'Istoric_Nativ'!$F$6:$F$405,G1155,'Istoric_Nativ'!$D$6:$D$405,"&lt;"&amp;J1155,'Istoric_Nativ'!$P$6:$P$405,1,'Istoric_Nativ'!$D$6:$D$405,"&gt;="&amp;L1155))))</x:f>
        <x:v>0</x:v>
      </x:c>
      <x:c r="N1155" s="11" t="str">
        <x:f>IF(M1155=0,"",IF(H1155="HOME",SUMIFS('Istoric_Nativ'!$G$6:$G$405,'Istoric_Nativ'!$B$6:$B$405,E1155,'Istoric_Nativ'!$C$6:$C$405,F1155,'Istoric_Nativ'!$E$6:$E$405,G1155,'Istoric_Nativ'!$D$6:$D$405,"&lt;"&amp;J1155,'Istoric_Nativ'!$P$6:$P$405,1,'Istoric_Nativ'!$D$6:$D$405,"&gt;="&amp;L1155),IF(H1155="AWAY",SUMIFS('Istoric_Nativ'!$H$6:$H$405,'Istoric_Nativ'!$B$6:$B$405,E1155,'Istoric_Nativ'!$C$6:$C$405,F1155,'Istoric_Nativ'!$F$6:$F$405,G1155,'Istoric_Nativ'!$D$6:$D$405,"&lt;"&amp;J1155,'Istoric_Nativ'!$P$6:$P$405,1,'Istoric_Nativ'!$D$6:$D$405,"&gt;="&amp;L1155),SUMIFS('Istoric_Nativ'!$G$6:$G$405,'Istoric_Nativ'!$B$6:$B$405,E1155,'Istoric_Nativ'!$C$6:$C$405,F1155,'Istoric_Nativ'!$E$6:$E$405,G1155,'Istoric_Nativ'!$D$6:$D$405,"&lt;"&amp;J1155,'Istoric_Nativ'!$P$6:$P$405,1,'Istoric_Nativ'!$D$6:$D$405,"&gt;="&amp;L1155)+SUMIFS('Istoric_Nativ'!$H$6:$H$405,'Istoric_Nativ'!$B$6:$B$405,E1155,'Istoric_Nativ'!$C$6:$C$405,F1155,'Istoric_Nativ'!$F$6:$F$405,G1155,'Istoric_Nativ'!$D$6:$D$405,"&lt;"&amp;J1155,'Istoric_Nativ'!$P$6:$P$405,1,'Istoric_Nativ'!$D$6:$D$405,"&gt;="&amp;L1155)))/M1155)</x:f>
      </x:c>
      <x:c r="O1155" s="11" t="str">
        <x:f>IF(M1155=0,"",IF(H1155="HOME",SUMIFS('Istoric_Nativ'!$H$6:$H$405,'Istoric_Nativ'!$B$6:$B$405,E1155,'Istoric_Nativ'!$C$6:$C$405,F1155,'Istoric_Nativ'!$E$6:$E$405,G1155,'Istoric_Nativ'!$D$6:$D$405,"&lt;"&amp;J1155,'Istoric_Nativ'!$P$6:$P$405,1,'Istoric_Nativ'!$D$6:$D$405,"&gt;="&amp;L1155),IF(H1155="AWAY",SUMIFS('Istoric_Nativ'!$G$6:$G$405,'Istoric_Nativ'!$B$6:$B$405,E1155,'Istoric_Nativ'!$C$6:$C$405,F1155,'Istoric_Nativ'!$F$6:$F$405,G1155,'Istoric_Nativ'!$D$6:$D$405,"&lt;"&amp;J1155,'Istoric_Nativ'!$P$6:$P$405,1,'Istoric_Nativ'!$D$6:$D$405,"&gt;="&amp;L1155),SUMIFS('Istoric_Nativ'!$H$6:$H$405,'Istoric_Nativ'!$B$6:$B$405,E1155,'Istoric_Nativ'!$C$6:$C$405,F1155,'Istoric_Nativ'!$E$6:$E$405,G1155,'Istoric_Nativ'!$D$6:$D$405,"&lt;"&amp;J1155,'Istoric_Nativ'!$P$6:$P$405,1,'Istoric_Nativ'!$D$6:$D$405,"&gt;="&amp;L1155)+SUMIFS('Istoric_Nativ'!$G$6:$G$405,'Istoric_Nativ'!$B$6:$B$405,E1155,'Istoric_Nativ'!$C$6:$C$405,F1155,'Istoric_Nativ'!$F$6:$F$405,G1155,'Istoric_Nativ'!$D$6:$D$405,"&lt;"&amp;J1155,'Istoric_Nativ'!$P$6:$P$405,1,'Istoric_Nativ'!$D$6:$D$405,"&gt;="&amp;L1155)))/M1155)</x:f>
      </x:c>
      <x:c r="P1155" s="2" t="n">
        <x:f>'Config_v6'!$B$7</x:f>
        <x:v>10</x:v>
      </x:c>
      <x:c r="Q1155" s="2" t="n">
        <x:f>IF(OR(B1155="",F1155=""),0,IFERROR(MATCH(E1155&amp;"|"&amp;F1155,SourceTable[Source_Key],0),0))</x:f>
        <x:v>0</x:v>
      </x:c>
      <x:c r="R1155" s="2" t="str">
        <x:f>IF(B1155="","",IF(F1155="","UNUSED",IF(Q1155=0,"NOT CHECKED",IF(COUNTIF(SourceTable[Source_Key],E1155&amp;"|"&amp;F1155)&lt;&gt;1,"SOURCE CONFLICT",IF(NOT(OR(INDEX(SourceTable[Status],MAX(1,Q1155))="IMPORTED",INDEX(SourceTable[Status],MAX(1,Q1155))="PARTIAL",INDEX(SourceTable[Status],MAX(1,Q1155))="SOURCE CONFLICT")),"ACCESS BLOCKED",IF(OR(INDEX(SourceTable[Coverage],Q1155)&lt;&gt;"FULL SEASON EXPORT",INDEX(SourceTable[URL],Q1155)="",INDEX(SourceTable[SHA256],Q1155)=""),"EVIDENCE INCOMPLETE",IF(AND('Input_Meci'!H101="LIVE",INDEX(SourceTable[Retrieved_UTC],Q1155)&gt;'Input_Meci'!G101),"POST CUTOFF","CLOSED")))))))</x:f>
      </x:c>
      <x:c r="S1155" s="2" t="n">
        <x:f>IF(OR(B1155="",F1155=""),0,COUNTIFS('Istoric_Nativ'!$B$6:$B$405,E1155,'Istoric_Nativ'!$C$6:$C$405,F1155,'Istoric_Nativ'!$E$6:$E$405,G1155,'Istoric_Nativ'!$D$6:$D$405,"&lt;"&amp;J1155,'Istoric_Nativ'!$O$6:$O$405,"INVALID")+COUNTIFS('Istoric_Nativ'!$B$6:$B$405,E1155,'Istoric_Nativ'!$C$6:$C$405,F1155,'Istoric_Nativ'!$E$6:$E$405,G1155,'Istoric_Nativ'!$O$6:$O$405,"INVALID",'Istoric_Nativ'!$D$6:$D$405,"*")+COUNTIFS('Istoric_Nativ'!$B$6:$B$405,E1155,'Istoric_Nativ'!$C$6:$C$405,F1155,'Istoric_Nativ'!$E$6:$E$405,G1155,'Istoric_Nativ'!$D$6:$D$405,"&lt;"&amp;J1155,'Istoric_Nativ'!$O$6:$O$405,"SOURCE CONFLICT")+COUNTIFS('Istoric_Nativ'!$B$6:$B$405,E1155,'Istoric_Nativ'!$C$6:$C$405,F1155,'Istoric_Nativ'!$F$6:$F$405,G1155,'Istoric_Nativ'!$D$6:$D$405,"&lt;"&amp;J1155,'Istoric_Nativ'!$O$6:$O$405,"INVALID")+COUNTIFS('Istoric_Nativ'!$B$6:$B$405,E1155,'Istoric_Nativ'!$C$6:$C$405,F1155,'Istoric_Nativ'!$F$6:$F$405,G1155,'Istoric_Nativ'!$O$6:$O$405,"INVALID",'Istoric_Nativ'!$D$6:$D$405,"*")+COUNTIFS('Istoric_Nativ'!$B$6:$B$405,E1155,'Istoric_Nativ'!$C$6:$C$405,F1155,'Istoric_Nativ'!$F$6:$F$405,G1155,'Istoric_Nativ'!$D$6:$D$405,"&lt;"&amp;J1155,'Istoric_Nativ'!$O$6:$O$405,"SOURCE CONFLICT"))</x:f>
        <x:v>0</x:v>
      </x:c>
      <x:c r="T1155" s="2" t="str">
        <x:f>IF(B1155="","",IF(R1155&lt;&gt;"CLOSED",R1155,IF(S1155&gt;0,"NATIVE INPUT ISSUE",IF(M1155=0,"NO HISTORY",IF(M1155&lt;P1155,"SMALL SAMPLE","DERIVED")))))</x:f>
      </x:c>
      <x:c r="U1155" s="2" t="str">
        <x:f>IF(B1155="","","NativeTable; "&amp;E1155&amp;"; "&amp;F1155&amp;"; "&amp;G1155&amp;"; "&amp;H1155&amp;"; before "&amp;TEXT(J1155,"yyyy-mm-dd")&amp;IF(I1155="RECENT","; from "&amp;TEXT(L1155,"yyyy-mm-dd"),""))</x:f>
      </x:c>
    </x:row>
    <x:row r="1156" ht="21" customHeight="1">
      <x:c r="A1156" s="2" t="n">
        <x:v>96</x:v>
      </x:c>
      <x:c r="B1156" s="2" t="str">
        <x:f>IF('Input_Meci'!A101="","",'Input_Meci'!A101)</x:f>
      </x:c>
      <x:c r="C1156" s="2" t="str">
        <x:v>A</x:v>
      </x:c>
      <x:c r="D1156" s="2" t="str">
        <x:v>PRIOR</x:v>
      </x:c>
      <x:c r="E1156" s="2" t="str">
        <x:f>IF(B1156="","",'Input_Meci'!B101)</x:f>
      </x:c>
      <x:c r="F1156" s="2" t="str">
        <x:f>IF(B1156="","",IF('Input_Meci'!K101="","",'Input_Meci'!K101))</x:f>
      </x:c>
      <x:c r="G1156" s="2" t="str">
        <x:f>IF(B1156="","",'Input_Meci'!E101)</x:f>
      </x:c>
      <x:c r="H1156" s="2" t="str">
        <x:v>AWAY</x:v>
      </x:c>
      <x:c r="I1156" s="2" t="str">
        <x:v>HA</x:v>
      </x:c>
      <x:c r="J1156" s="9" t="n">
        <x:f>IF(AND(B1156&lt;&gt;"",ISNUMBER('Input_Meci'!G101)),INT('Input_Meci'!G101),0)</x:f>
        <x:v>0</x:v>
      </x:c>
      <x:c r="K1156" s="2" t="n">
        <x:f>IF(OR(B1156="",F1156=""),0,IF(H1156="HOME",COUNTIFS('Istoric_Nativ'!$B$6:$B$405,E1156,'Istoric_Nativ'!$C$6:$C$405,F1156,'Istoric_Nativ'!$E$6:$E$405,G1156,'Istoric_Nativ'!$D$6:$D$405,"&lt;"&amp;J1156,'Istoric_Nativ'!$P$6:$P$405,1),IF(H1156="AWAY",COUNTIFS('Istoric_Nativ'!$B$6:$B$405,E1156,'Istoric_Nativ'!$C$6:$C$405,F1156,'Istoric_Nativ'!$F$6:$F$405,G1156,'Istoric_Nativ'!$D$6:$D$405,"&lt;"&amp;J1156,'Istoric_Nativ'!$P$6:$P$405,1),COUNTIFS('Istoric_Nativ'!$B$6:$B$405,E1156,'Istoric_Nativ'!$C$6:$C$405,F1156,'Istoric_Nativ'!$E$6:$E$405,G1156,'Istoric_Nativ'!$D$6:$D$405,"&lt;"&amp;J1156,'Istoric_Nativ'!$P$6:$P$405,1)+COUNTIFS('Istoric_Nativ'!$B$6:$B$405,E1156,'Istoric_Nativ'!$C$6:$C$405,F1156,'Istoric_Nativ'!$F$6:$F$405,G1156,'Istoric_Nativ'!$D$6:$D$405,"&lt;"&amp;J1156,'Istoric_Nativ'!$P$6:$P$405,1))))</x:f>
        <x:v>0</x:v>
      </x:c>
      <x:c r="L1156" s="17" t="n">
        <x:f>IF(AND(B1156&lt;&gt;"",I1156="RECENT",K1156&gt;0),LARGE(_xlfn._xlws.FILTER('Istoric_Nativ'!$D$6:$D$405,('Istoric_Nativ'!$B$6:$B$405=E1156)*('Istoric_Nativ'!$C$6:$C$405=F1156)*('Istoric_Nativ'!$P$6:$P$405=1)*('Istoric_Nativ'!$D$6:$D$405&lt;J1156)*((('Istoric_Nativ'!$E$6:$E$405=G1156)+('Istoric_Nativ'!$F$6:$F$405=G1156))&gt;0)),MIN('Config_v6'!$B$54,K1156)),0)</x:f>
        <x:v>0</x:v>
      </x:c>
      <x:c r="M1156" s="2" t="n">
        <x:f>IF(OR(B1156="",F1156=""),0,IF(H1156="HOME",COUNTIFS('Istoric_Nativ'!$B$6:$B$405,E1156,'Istoric_Nativ'!$C$6:$C$405,F1156,'Istoric_Nativ'!$E$6:$E$405,G1156,'Istoric_Nativ'!$D$6:$D$405,"&lt;"&amp;J1156,'Istoric_Nativ'!$P$6:$P$405,1,'Istoric_Nativ'!$D$6:$D$405,"&gt;="&amp;L1156),IF(H1156="AWAY",COUNTIFS('Istoric_Nativ'!$B$6:$B$405,E1156,'Istoric_Nativ'!$C$6:$C$405,F1156,'Istoric_Nativ'!$F$6:$F$405,G1156,'Istoric_Nativ'!$D$6:$D$405,"&lt;"&amp;J1156,'Istoric_Nativ'!$P$6:$P$405,1,'Istoric_Nativ'!$D$6:$D$405,"&gt;="&amp;L1156),COUNTIFS('Istoric_Nativ'!$B$6:$B$405,E1156,'Istoric_Nativ'!$C$6:$C$405,F1156,'Istoric_Nativ'!$E$6:$E$405,G1156,'Istoric_Nativ'!$D$6:$D$405,"&lt;"&amp;J1156,'Istoric_Nativ'!$P$6:$P$405,1,'Istoric_Nativ'!$D$6:$D$405,"&gt;="&amp;L1156)+COUNTIFS('Istoric_Nativ'!$B$6:$B$405,E1156,'Istoric_Nativ'!$C$6:$C$405,F1156,'Istoric_Nativ'!$F$6:$F$405,G1156,'Istoric_Nativ'!$D$6:$D$405,"&lt;"&amp;J1156,'Istoric_Nativ'!$P$6:$P$405,1,'Istoric_Nativ'!$D$6:$D$405,"&gt;="&amp;L1156))))</x:f>
        <x:v>0</x:v>
      </x:c>
      <x:c r="N1156" s="11" t="str">
        <x:f>IF(M1156=0,"",IF(H1156="HOME",SUMIFS('Istoric_Nativ'!$G$6:$G$405,'Istoric_Nativ'!$B$6:$B$405,E1156,'Istoric_Nativ'!$C$6:$C$405,F1156,'Istoric_Nativ'!$E$6:$E$405,G1156,'Istoric_Nativ'!$D$6:$D$405,"&lt;"&amp;J1156,'Istoric_Nativ'!$P$6:$P$405,1,'Istoric_Nativ'!$D$6:$D$405,"&gt;="&amp;L1156),IF(H1156="AWAY",SUMIFS('Istoric_Nativ'!$H$6:$H$405,'Istoric_Nativ'!$B$6:$B$405,E1156,'Istoric_Nativ'!$C$6:$C$405,F1156,'Istoric_Nativ'!$F$6:$F$405,G1156,'Istoric_Nativ'!$D$6:$D$405,"&lt;"&amp;J1156,'Istoric_Nativ'!$P$6:$P$405,1,'Istoric_Nativ'!$D$6:$D$405,"&gt;="&amp;L1156),SUMIFS('Istoric_Nativ'!$G$6:$G$405,'Istoric_Nativ'!$B$6:$B$405,E1156,'Istoric_Nativ'!$C$6:$C$405,F1156,'Istoric_Nativ'!$E$6:$E$405,G1156,'Istoric_Nativ'!$D$6:$D$405,"&lt;"&amp;J1156,'Istoric_Nativ'!$P$6:$P$405,1,'Istoric_Nativ'!$D$6:$D$405,"&gt;="&amp;L1156)+SUMIFS('Istoric_Nativ'!$H$6:$H$405,'Istoric_Nativ'!$B$6:$B$405,E1156,'Istoric_Nativ'!$C$6:$C$405,F1156,'Istoric_Nativ'!$F$6:$F$405,G1156,'Istoric_Nativ'!$D$6:$D$405,"&lt;"&amp;J1156,'Istoric_Nativ'!$P$6:$P$405,1,'Istoric_Nativ'!$D$6:$D$405,"&gt;="&amp;L1156)))/M1156)</x:f>
      </x:c>
      <x:c r="O1156" s="11" t="str">
        <x:f>IF(M1156=0,"",IF(H1156="HOME",SUMIFS('Istoric_Nativ'!$H$6:$H$405,'Istoric_Nativ'!$B$6:$B$405,E1156,'Istoric_Nativ'!$C$6:$C$405,F1156,'Istoric_Nativ'!$E$6:$E$405,G1156,'Istoric_Nativ'!$D$6:$D$405,"&lt;"&amp;J1156,'Istoric_Nativ'!$P$6:$P$405,1,'Istoric_Nativ'!$D$6:$D$405,"&gt;="&amp;L1156),IF(H1156="AWAY",SUMIFS('Istoric_Nativ'!$G$6:$G$405,'Istoric_Nativ'!$B$6:$B$405,E1156,'Istoric_Nativ'!$C$6:$C$405,F1156,'Istoric_Nativ'!$F$6:$F$405,G1156,'Istoric_Nativ'!$D$6:$D$405,"&lt;"&amp;J1156,'Istoric_Nativ'!$P$6:$P$405,1,'Istoric_Nativ'!$D$6:$D$405,"&gt;="&amp;L1156),SUMIFS('Istoric_Nativ'!$H$6:$H$405,'Istoric_Nativ'!$B$6:$B$405,E1156,'Istoric_Nativ'!$C$6:$C$405,F1156,'Istoric_Nativ'!$E$6:$E$405,G1156,'Istoric_Nativ'!$D$6:$D$405,"&lt;"&amp;J1156,'Istoric_Nativ'!$P$6:$P$405,1,'Istoric_Nativ'!$D$6:$D$405,"&gt;="&amp;L1156)+SUMIFS('Istoric_Nativ'!$G$6:$G$405,'Istoric_Nativ'!$B$6:$B$405,E1156,'Istoric_Nativ'!$C$6:$C$405,F1156,'Istoric_Nativ'!$F$6:$F$405,G1156,'Istoric_Nativ'!$D$6:$D$405,"&lt;"&amp;J1156,'Istoric_Nativ'!$P$6:$P$405,1,'Istoric_Nativ'!$D$6:$D$405,"&gt;="&amp;L1156)))/M1156)</x:f>
      </x:c>
      <x:c r="P1156" s="2" t="n">
        <x:f>'Config_v6'!$B$8</x:f>
        <x:v>5</x:v>
      </x:c>
      <x:c r="Q1156" s="2" t="n">
        <x:f>IF(OR(B1156="",F1156=""),0,IFERROR(MATCH(E1156&amp;"|"&amp;F1156,SourceTable[Source_Key],0),0))</x:f>
        <x:v>0</x:v>
      </x:c>
      <x:c r="R1156" s="2" t="str">
        <x:f>IF(B1156="","",IF(F1156="","UNUSED",IF(Q1156=0,"NOT CHECKED",IF(COUNTIF(SourceTable[Source_Key],E1156&amp;"|"&amp;F1156)&lt;&gt;1,"SOURCE CONFLICT",IF(NOT(OR(INDEX(SourceTable[Status],MAX(1,Q1156))="IMPORTED",INDEX(SourceTable[Status],MAX(1,Q1156))="PARTIAL",INDEX(SourceTable[Status],MAX(1,Q1156))="SOURCE CONFLICT")),"ACCESS BLOCKED",IF(OR(INDEX(SourceTable[Coverage],Q1156)&lt;&gt;"FULL SEASON EXPORT",INDEX(SourceTable[URL],Q1156)="",INDEX(SourceTable[SHA256],Q1156)=""),"EVIDENCE INCOMPLETE",IF(AND('Input_Meci'!H101="LIVE",INDEX(SourceTable[Retrieved_UTC],Q1156)&gt;'Input_Meci'!G101),"POST CUTOFF","CLOSED")))))))</x:f>
      </x:c>
      <x:c r="S1156" s="2" t="n">
        <x:f>IF(OR(B1156="",F1156=""),0,COUNTIFS('Istoric_Nativ'!$B$6:$B$405,E1156,'Istoric_Nativ'!$C$6:$C$405,F1156,'Istoric_Nativ'!$E$6:$E$405,G1156,'Istoric_Nativ'!$D$6:$D$405,"&lt;"&amp;J1156,'Istoric_Nativ'!$O$6:$O$405,"INVALID")+COUNTIFS('Istoric_Nativ'!$B$6:$B$405,E1156,'Istoric_Nativ'!$C$6:$C$405,F1156,'Istoric_Nativ'!$E$6:$E$405,G1156,'Istoric_Nativ'!$O$6:$O$405,"INVALID",'Istoric_Nativ'!$D$6:$D$405,"*")+COUNTIFS('Istoric_Nativ'!$B$6:$B$405,E1156,'Istoric_Nativ'!$C$6:$C$405,F1156,'Istoric_Nativ'!$E$6:$E$405,G1156,'Istoric_Nativ'!$D$6:$D$405,"&lt;"&amp;J1156,'Istoric_Nativ'!$O$6:$O$405,"SOURCE CONFLICT")+COUNTIFS('Istoric_Nativ'!$B$6:$B$405,E1156,'Istoric_Nativ'!$C$6:$C$405,F1156,'Istoric_Nativ'!$F$6:$F$405,G1156,'Istoric_Nativ'!$D$6:$D$405,"&lt;"&amp;J1156,'Istoric_Nativ'!$O$6:$O$405,"INVALID")+COUNTIFS('Istoric_Nativ'!$B$6:$B$405,E1156,'Istoric_Nativ'!$C$6:$C$405,F1156,'Istoric_Nativ'!$F$6:$F$405,G1156,'Istoric_Nativ'!$O$6:$O$405,"INVALID",'Istoric_Nativ'!$D$6:$D$405,"*")+COUNTIFS('Istoric_Nativ'!$B$6:$B$405,E1156,'Istoric_Nativ'!$C$6:$C$405,F1156,'Istoric_Nativ'!$F$6:$F$405,G1156,'Istoric_Nativ'!$D$6:$D$405,"&lt;"&amp;J1156,'Istoric_Nativ'!$O$6:$O$405,"SOURCE CONFLICT"))</x:f>
        <x:v>0</x:v>
      </x:c>
      <x:c r="T1156" s="2" t="str">
        <x:f>IF(B1156="","",IF(R1156&lt;&gt;"CLOSED",R1156,IF(S1156&gt;0,"NATIVE INPUT ISSUE",IF(M1156=0,"NO HISTORY",IF(M1156&lt;P1156,"SMALL SAMPLE","DERIVED")))))</x:f>
      </x:c>
      <x:c r="U1156" s="2" t="str">
        <x:f>IF(B1156="","","NativeTable; "&amp;E1156&amp;"; "&amp;F1156&amp;"; "&amp;G1156&amp;"; "&amp;H1156&amp;"; before "&amp;TEXT(J1156,"yyyy-mm-dd")&amp;IF(I1156="RECENT","; from "&amp;TEXT(L1156,"yyyy-mm-dd"),""))</x:f>
      </x:c>
    </x:row>
    <x:row r="1157" ht="21" customHeight="1">
      <x:c r="A1157" s="2" t="n">
        <x:v>96</x:v>
      </x:c>
      <x:c r="B1157" s="2" t="str">
        <x:f>IF('Input_Meci'!A101="","",'Input_Meci'!A101)</x:f>
      </x:c>
      <x:c r="C1157" s="2" t="str">
        <x:v>A</x:v>
      </x:c>
      <x:c r="D1157" s="2" t="str">
        <x:v>PRIOR</x:v>
      </x:c>
      <x:c r="E1157" s="2" t="str">
        <x:f>IF(B1157="","",'Input_Meci'!B101)</x:f>
      </x:c>
      <x:c r="F1157" s="2" t="str">
        <x:f>IF(B1157="","",IF('Input_Meci'!K101="","",'Input_Meci'!K101))</x:f>
      </x:c>
      <x:c r="G1157" s="2" t="str">
        <x:f>IF(B1157="","",'Input_Meci'!E101)</x:f>
      </x:c>
      <x:c r="H1157" s="2" t="str">
        <x:v>ANY</x:v>
      </x:c>
      <x:c r="I1157" s="2" t="str">
        <x:v>RECENT</x:v>
      </x:c>
      <x:c r="J1157" s="9" t="n">
        <x:f>IF(AND(B1157&lt;&gt;"",ISNUMBER('Input_Meci'!G101)),INT('Input_Meci'!G101),0)</x:f>
        <x:v>0</x:v>
      </x:c>
      <x:c r="K1157" s="2" t="n">
        <x:f>IF(OR(B1157="",F1157=""),0,IF(H1157="HOME",COUNTIFS('Istoric_Nativ'!$B$6:$B$405,E1157,'Istoric_Nativ'!$C$6:$C$405,F1157,'Istoric_Nativ'!$E$6:$E$405,G1157,'Istoric_Nativ'!$D$6:$D$405,"&lt;"&amp;J1157,'Istoric_Nativ'!$P$6:$P$405,1),IF(H1157="AWAY",COUNTIFS('Istoric_Nativ'!$B$6:$B$405,E1157,'Istoric_Nativ'!$C$6:$C$405,F1157,'Istoric_Nativ'!$F$6:$F$405,G1157,'Istoric_Nativ'!$D$6:$D$405,"&lt;"&amp;J1157,'Istoric_Nativ'!$P$6:$P$405,1),COUNTIFS('Istoric_Nativ'!$B$6:$B$405,E1157,'Istoric_Nativ'!$C$6:$C$405,F1157,'Istoric_Nativ'!$E$6:$E$405,G1157,'Istoric_Nativ'!$D$6:$D$405,"&lt;"&amp;J1157,'Istoric_Nativ'!$P$6:$P$405,1)+COUNTIFS('Istoric_Nativ'!$B$6:$B$405,E1157,'Istoric_Nativ'!$C$6:$C$405,F1157,'Istoric_Nativ'!$F$6:$F$405,G1157,'Istoric_Nativ'!$D$6:$D$405,"&lt;"&amp;J1157,'Istoric_Nativ'!$P$6:$P$405,1))))</x:f>
        <x:v>0</x:v>
      </x:c>
      <x:c r="L1157" s="17" t="n">
        <x:f>IF(AND(B1157&lt;&gt;"",I1157="RECENT",K1157&gt;0),LARGE(_xlfn._xlws.FILTER('Istoric_Nativ'!$D$6:$D$405,('Istoric_Nativ'!$B$6:$B$405=E1157)*('Istoric_Nativ'!$C$6:$C$405=F1157)*('Istoric_Nativ'!$P$6:$P$405=1)*('Istoric_Nativ'!$D$6:$D$405&lt;J1157)*((('Istoric_Nativ'!$E$6:$E$405=G1157)+('Istoric_Nativ'!$F$6:$F$405=G1157))&gt;0)),MIN('Config_v6'!$B$54,K1157)),0)</x:f>
        <x:v>0</x:v>
      </x:c>
      <x:c r="M1157" s="2" t="n">
        <x:f>IF(OR(B1157="",F1157=""),0,IF(H1157="HOME",COUNTIFS('Istoric_Nativ'!$B$6:$B$405,E1157,'Istoric_Nativ'!$C$6:$C$405,F1157,'Istoric_Nativ'!$E$6:$E$405,G1157,'Istoric_Nativ'!$D$6:$D$405,"&lt;"&amp;J1157,'Istoric_Nativ'!$P$6:$P$405,1,'Istoric_Nativ'!$D$6:$D$405,"&gt;="&amp;L1157),IF(H1157="AWAY",COUNTIFS('Istoric_Nativ'!$B$6:$B$405,E1157,'Istoric_Nativ'!$C$6:$C$405,F1157,'Istoric_Nativ'!$F$6:$F$405,G1157,'Istoric_Nativ'!$D$6:$D$405,"&lt;"&amp;J1157,'Istoric_Nativ'!$P$6:$P$405,1,'Istoric_Nativ'!$D$6:$D$405,"&gt;="&amp;L1157),COUNTIFS('Istoric_Nativ'!$B$6:$B$405,E1157,'Istoric_Nativ'!$C$6:$C$405,F1157,'Istoric_Nativ'!$E$6:$E$405,G1157,'Istoric_Nativ'!$D$6:$D$405,"&lt;"&amp;J1157,'Istoric_Nativ'!$P$6:$P$405,1,'Istoric_Nativ'!$D$6:$D$405,"&gt;="&amp;L1157)+COUNTIFS('Istoric_Nativ'!$B$6:$B$405,E1157,'Istoric_Nativ'!$C$6:$C$405,F1157,'Istoric_Nativ'!$F$6:$F$405,G1157,'Istoric_Nativ'!$D$6:$D$405,"&lt;"&amp;J1157,'Istoric_Nativ'!$P$6:$P$405,1,'Istoric_Nativ'!$D$6:$D$405,"&gt;="&amp;L1157))))</x:f>
        <x:v>0</x:v>
      </x:c>
      <x:c r="N1157" s="11" t="str">
        <x:f>IF(M1157=0,"",IF(H1157="HOME",SUMIFS('Istoric_Nativ'!$G$6:$G$405,'Istoric_Nativ'!$B$6:$B$405,E1157,'Istoric_Nativ'!$C$6:$C$405,F1157,'Istoric_Nativ'!$E$6:$E$405,G1157,'Istoric_Nativ'!$D$6:$D$405,"&lt;"&amp;J1157,'Istoric_Nativ'!$P$6:$P$405,1,'Istoric_Nativ'!$D$6:$D$405,"&gt;="&amp;L1157),IF(H1157="AWAY",SUMIFS('Istoric_Nativ'!$H$6:$H$405,'Istoric_Nativ'!$B$6:$B$405,E1157,'Istoric_Nativ'!$C$6:$C$405,F1157,'Istoric_Nativ'!$F$6:$F$405,G1157,'Istoric_Nativ'!$D$6:$D$405,"&lt;"&amp;J1157,'Istoric_Nativ'!$P$6:$P$405,1,'Istoric_Nativ'!$D$6:$D$405,"&gt;="&amp;L1157),SUMIFS('Istoric_Nativ'!$G$6:$G$405,'Istoric_Nativ'!$B$6:$B$405,E1157,'Istoric_Nativ'!$C$6:$C$405,F1157,'Istoric_Nativ'!$E$6:$E$405,G1157,'Istoric_Nativ'!$D$6:$D$405,"&lt;"&amp;J1157,'Istoric_Nativ'!$P$6:$P$405,1,'Istoric_Nativ'!$D$6:$D$405,"&gt;="&amp;L1157)+SUMIFS('Istoric_Nativ'!$H$6:$H$405,'Istoric_Nativ'!$B$6:$B$405,E1157,'Istoric_Nativ'!$C$6:$C$405,F1157,'Istoric_Nativ'!$F$6:$F$405,G1157,'Istoric_Nativ'!$D$6:$D$405,"&lt;"&amp;J1157,'Istoric_Nativ'!$P$6:$P$405,1,'Istoric_Nativ'!$D$6:$D$405,"&gt;="&amp;L1157)))/M1157)</x:f>
      </x:c>
      <x:c r="O1157" s="11" t="str">
        <x:f>IF(M1157=0,"",IF(H1157="HOME",SUMIFS('Istoric_Nativ'!$H$6:$H$405,'Istoric_Nativ'!$B$6:$B$405,E1157,'Istoric_Nativ'!$C$6:$C$405,F1157,'Istoric_Nativ'!$E$6:$E$405,G1157,'Istoric_Nativ'!$D$6:$D$405,"&lt;"&amp;J1157,'Istoric_Nativ'!$P$6:$P$405,1,'Istoric_Nativ'!$D$6:$D$405,"&gt;="&amp;L1157),IF(H1157="AWAY",SUMIFS('Istoric_Nativ'!$G$6:$G$405,'Istoric_Nativ'!$B$6:$B$405,E1157,'Istoric_Nativ'!$C$6:$C$405,F1157,'Istoric_Nativ'!$F$6:$F$405,G1157,'Istoric_Nativ'!$D$6:$D$405,"&lt;"&amp;J1157,'Istoric_Nativ'!$P$6:$P$405,1,'Istoric_Nativ'!$D$6:$D$405,"&gt;="&amp;L1157),SUMIFS('Istoric_Nativ'!$H$6:$H$405,'Istoric_Nativ'!$B$6:$B$405,E1157,'Istoric_Nativ'!$C$6:$C$405,F1157,'Istoric_Nativ'!$E$6:$E$405,G1157,'Istoric_Nativ'!$D$6:$D$405,"&lt;"&amp;J1157,'Istoric_Nativ'!$P$6:$P$405,1,'Istoric_Nativ'!$D$6:$D$405,"&gt;="&amp;L1157)+SUMIFS('Istoric_Nativ'!$G$6:$G$405,'Istoric_Nativ'!$B$6:$B$405,E1157,'Istoric_Nativ'!$C$6:$C$405,F1157,'Istoric_Nativ'!$F$6:$F$405,G1157,'Istoric_Nativ'!$D$6:$D$405,"&lt;"&amp;J1157,'Istoric_Nativ'!$P$6:$P$405,1,'Istoric_Nativ'!$D$6:$D$405,"&gt;="&amp;L1157)))/M1157)</x:f>
      </x:c>
      <x:c r="P1157" s="2" t="n">
        <x:f>'Config_v6'!$B$9</x:f>
        <x:v>3</x:v>
      </x:c>
      <x:c r="Q1157" s="2" t="n">
        <x:f>IF(OR(B1157="",F1157=""),0,IFERROR(MATCH(E1157&amp;"|"&amp;F1157,SourceTable[Source_Key],0),0))</x:f>
        <x:v>0</x:v>
      </x:c>
      <x:c r="R1157" s="2" t="str">
        <x:f>IF(B1157="","",IF(F1157="","UNUSED",IF(Q1157=0,"NOT CHECKED",IF(COUNTIF(SourceTable[Source_Key],E1157&amp;"|"&amp;F1157)&lt;&gt;1,"SOURCE CONFLICT",IF(NOT(OR(INDEX(SourceTable[Status],MAX(1,Q1157))="IMPORTED",INDEX(SourceTable[Status],MAX(1,Q1157))="PARTIAL",INDEX(SourceTable[Status],MAX(1,Q1157))="SOURCE CONFLICT")),"ACCESS BLOCKED",IF(OR(INDEX(SourceTable[Coverage],Q1157)&lt;&gt;"FULL SEASON EXPORT",INDEX(SourceTable[URL],Q1157)="",INDEX(SourceTable[SHA256],Q1157)=""),"EVIDENCE INCOMPLETE",IF(AND('Input_Meci'!H101="LIVE",INDEX(SourceTable[Retrieved_UTC],Q1157)&gt;'Input_Meci'!G101),"POST CUTOFF","CLOSED")))))))</x:f>
      </x:c>
      <x:c r="S1157" s="2" t="n">
        <x:f>IF(OR(B1157="",F1157=""),0,COUNTIFS('Istoric_Nativ'!$B$6:$B$405,E1157,'Istoric_Nativ'!$C$6:$C$405,F1157,'Istoric_Nativ'!$E$6:$E$405,G1157,'Istoric_Nativ'!$D$6:$D$405,"&lt;"&amp;J1157,'Istoric_Nativ'!$O$6:$O$405,"INVALID")+COUNTIFS('Istoric_Nativ'!$B$6:$B$405,E1157,'Istoric_Nativ'!$C$6:$C$405,F1157,'Istoric_Nativ'!$E$6:$E$405,G1157,'Istoric_Nativ'!$O$6:$O$405,"INVALID",'Istoric_Nativ'!$D$6:$D$405,"*")+COUNTIFS('Istoric_Nativ'!$B$6:$B$405,E1157,'Istoric_Nativ'!$C$6:$C$405,F1157,'Istoric_Nativ'!$E$6:$E$405,G1157,'Istoric_Nativ'!$D$6:$D$405,"&lt;"&amp;J1157,'Istoric_Nativ'!$O$6:$O$405,"SOURCE CONFLICT")+COUNTIFS('Istoric_Nativ'!$B$6:$B$405,E1157,'Istoric_Nativ'!$C$6:$C$405,F1157,'Istoric_Nativ'!$F$6:$F$405,G1157,'Istoric_Nativ'!$D$6:$D$405,"&lt;"&amp;J1157,'Istoric_Nativ'!$O$6:$O$405,"INVALID")+COUNTIFS('Istoric_Nativ'!$B$6:$B$405,E1157,'Istoric_Nativ'!$C$6:$C$405,F1157,'Istoric_Nativ'!$F$6:$F$405,G1157,'Istoric_Nativ'!$O$6:$O$405,"INVALID",'Istoric_Nativ'!$D$6:$D$405,"*")+COUNTIFS('Istoric_Nativ'!$B$6:$B$405,E1157,'Istoric_Nativ'!$C$6:$C$405,F1157,'Istoric_Nativ'!$F$6:$F$405,G1157,'Istoric_Nativ'!$D$6:$D$405,"&lt;"&amp;J1157,'Istoric_Nativ'!$O$6:$O$405,"SOURCE CONFLICT"))</x:f>
        <x:v>0</x:v>
      </x:c>
      <x:c r="T1157" s="2" t="str">
        <x:f>IF(B1157="","",IF(R1157&lt;&gt;"CLOSED",R1157,IF(S1157&gt;0,"NATIVE INPUT ISSUE",IF(M1157=0,"NO HISTORY",IF(M1157&lt;P1157,"SMALL SAMPLE","DERIVED")))))</x:f>
      </x:c>
      <x:c r="U1157" s="2" t="str">
        <x:f>IF(B1157="","","NativeTable; "&amp;E1157&amp;"; "&amp;F1157&amp;"; "&amp;G1157&amp;"; "&amp;H1157&amp;"; before "&amp;TEXT(J1157,"yyyy-mm-dd")&amp;IF(I1157="RECENT","; from "&amp;TEXT(L1157,"yyyy-mm-dd"),""))</x:f>
      </x:c>
    </x:row>
    <x:row r="1158" ht="21" customHeight="1">
      <x:c r="A1158" s="2" t="n">
        <x:v>97</x:v>
      </x:c>
      <x:c r="B1158" s="2" t="str">
        <x:f>IF('Input_Meci'!A102="","",'Input_Meci'!A102)</x:f>
      </x:c>
      <x:c r="C1158" s="2" t="str">
        <x:v>H</x:v>
      </x:c>
      <x:c r="D1158" s="2" t="str">
        <x:v>CURRENT</x:v>
      </x:c>
      <x:c r="E1158" s="2" t="str">
        <x:f>IF(B1158="","",'Input_Meci'!B102)</x:f>
      </x:c>
      <x:c r="F1158" s="2" t="str">
        <x:f>IF(B1158="","",IF('Input_Meci'!C102="","",'Input_Meci'!C102))</x:f>
      </x:c>
      <x:c r="G1158" s="2" t="str">
        <x:f>IF(B1158="","",'Input_Meci'!D102)</x:f>
      </x:c>
      <x:c r="H1158" s="2" t="str">
        <x:v>ANY</x:v>
      </x:c>
      <x:c r="I1158" s="2" t="str">
        <x:v>SEASON</x:v>
      </x:c>
      <x:c r="J1158" s="9" t="n">
        <x:f>IF(AND(B1158&lt;&gt;"",ISNUMBER('Input_Meci'!G102)),INT('Input_Meci'!G102),0)</x:f>
        <x:v>0</x:v>
      </x:c>
      <x:c r="K1158" s="2" t="n">
        <x:f>IF(OR(B1158="",F1158=""),0,IF(H1158="HOME",COUNTIFS('Istoric_Nativ'!$B$6:$B$405,E1158,'Istoric_Nativ'!$C$6:$C$405,F1158,'Istoric_Nativ'!$E$6:$E$405,G1158,'Istoric_Nativ'!$D$6:$D$405,"&lt;"&amp;J1158,'Istoric_Nativ'!$P$6:$P$405,1),IF(H1158="AWAY",COUNTIFS('Istoric_Nativ'!$B$6:$B$405,E1158,'Istoric_Nativ'!$C$6:$C$405,F1158,'Istoric_Nativ'!$F$6:$F$405,G1158,'Istoric_Nativ'!$D$6:$D$405,"&lt;"&amp;J1158,'Istoric_Nativ'!$P$6:$P$405,1),COUNTIFS('Istoric_Nativ'!$B$6:$B$405,E1158,'Istoric_Nativ'!$C$6:$C$405,F1158,'Istoric_Nativ'!$E$6:$E$405,G1158,'Istoric_Nativ'!$D$6:$D$405,"&lt;"&amp;J1158,'Istoric_Nativ'!$P$6:$P$405,1)+COUNTIFS('Istoric_Nativ'!$B$6:$B$405,E1158,'Istoric_Nativ'!$C$6:$C$405,F1158,'Istoric_Nativ'!$F$6:$F$405,G1158,'Istoric_Nativ'!$D$6:$D$405,"&lt;"&amp;J1158,'Istoric_Nativ'!$P$6:$P$405,1))))</x:f>
        <x:v>0</x:v>
      </x:c>
      <x:c r="L1158" s="17" t="n">
        <x:f>IF(AND(B1158&lt;&gt;"",I1158="RECENT",K1158&gt;0),LARGE(_xlfn._xlws.FILTER('Istoric_Nativ'!$D$6:$D$405,('Istoric_Nativ'!$B$6:$B$405=E1158)*('Istoric_Nativ'!$C$6:$C$405=F1158)*('Istoric_Nativ'!$P$6:$P$405=1)*('Istoric_Nativ'!$D$6:$D$405&lt;J1158)*((('Istoric_Nativ'!$E$6:$E$405=G1158)+('Istoric_Nativ'!$F$6:$F$405=G1158))&gt;0)),MIN('Config_v6'!$B$54,K1158)),0)</x:f>
        <x:v>0</x:v>
      </x:c>
      <x:c r="M1158" s="2" t="n">
        <x:f>IF(OR(B1158="",F1158=""),0,IF(H1158="HOME",COUNTIFS('Istoric_Nativ'!$B$6:$B$405,E1158,'Istoric_Nativ'!$C$6:$C$405,F1158,'Istoric_Nativ'!$E$6:$E$405,G1158,'Istoric_Nativ'!$D$6:$D$405,"&lt;"&amp;J1158,'Istoric_Nativ'!$P$6:$P$405,1,'Istoric_Nativ'!$D$6:$D$405,"&gt;="&amp;L1158),IF(H1158="AWAY",COUNTIFS('Istoric_Nativ'!$B$6:$B$405,E1158,'Istoric_Nativ'!$C$6:$C$405,F1158,'Istoric_Nativ'!$F$6:$F$405,G1158,'Istoric_Nativ'!$D$6:$D$405,"&lt;"&amp;J1158,'Istoric_Nativ'!$P$6:$P$405,1,'Istoric_Nativ'!$D$6:$D$405,"&gt;="&amp;L1158),COUNTIFS('Istoric_Nativ'!$B$6:$B$405,E1158,'Istoric_Nativ'!$C$6:$C$405,F1158,'Istoric_Nativ'!$E$6:$E$405,G1158,'Istoric_Nativ'!$D$6:$D$405,"&lt;"&amp;J1158,'Istoric_Nativ'!$P$6:$P$405,1,'Istoric_Nativ'!$D$6:$D$405,"&gt;="&amp;L1158)+COUNTIFS('Istoric_Nativ'!$B$6:$B$405,E1158,'Istoric_Nativ'!$C$6:$C$405,F1158,'Istoric_Nativ'!$F$6:$F$405,G1158,'Istoric_Nativ'!$D$6:$D$405,"&lt;"&amp;J1158,'Istoric_Nativ'!$P$6:$P$405,1,'Istoric_Nativ'!$D$6:$D$405,"&gt;="&amp;L1158))))</x:f>
        <x:v>0</x:v>
      </x:c>
      <x:c r="N1158" s="11" t="str">
        <x:f>IF(M1158=0,"",IF(H1158="HOME",SUMIFS('Istoric_Nativ'!$G$6:$G$405,'Istoric_Nativ'!$B$6:$B$405,E1158,'Istoric_Nativ'!$C$6:$C$405,F1158,'Istoric_Nativ'!$E$6:$E$405,G1158,'Istoric_Nativ'!$D$6:$D$405,"&lt;"&amp;J1158,'Istoric_Nativ'!$P$6:$P$405,1,'Istoric_Nativ'!$D$6:$D$405,"&gt;="&amp;L1158),IF(H1158="AWAY",SUMIFS('Istoric_Nativ'!$H$6:$H$405,'Istoric_Nativ'!$B$6:$B$405,E1158,'Istoric_Nativ'!$C$6:$C$405,F1158,'Istoric_Nativ'!$F$6:$F$405,G1158,'Istoric_Nativ'!$D$6:$D$405,"&lt;"&amp;J1158,'Istoric_Nativ'!$P$6:$P$405,1,'Istoric_Nativ'!$D$6:$D$405,"&gt;="&amp;L1158),SUMIFS('Istoric_Nativ'!$G$6:$G$405,'Istoric_Nativ'!$B$6:$B$405,E1158,'Istoric_Nativ'!$C$6:$C$405,F1158,'Istoric_Nativ'!$E$6:$E$405,G1158,'Istoric_Nativ'!$D$6:$D$405,"&lt;"&amp;J1158,'Istoric_Nativ'!$P$6:$P$405,1,'Istoric_Nativ'!$D$6:$D$405,"&gt;="&amp;L1158)+SUMIFS('Istoric_Nativ'!$H$6:$H$405,'Istoric_Nativ'!$B$6:$B$405,E1158,'Istoric_Nativ'!$C$6:$C$405,F1158,'Istoric_Nativ'!$F$6:$F$405,G1158,'Istoric_Nativ'!$D$6:$D$405,"&lt;"&amp;J1158,'Istoric_Nativ'!$P$6:$P$405,1,'Istoric_Nativ'!$D$6:$D$405,"&gt;="&amp;L1158)))/M1158)</x:f>
      </x:c>
      <x:c r="O1158" s="11" t="str">
        <x:f>IF(M1158=0,"",IF(H1158="HOME",SUMIFS('Istoric_Nativ'!$H$6:$H$405,'Istoric_Nativ'!$B$6:$B$405,E1158,'Istoric_Nativ'!$C$6:$C$405,F1158,'Istoric_Nativ'!$E$6:$E$405,G1158,'Istoric_Nativ'!$D$6:$D$405,"&lt;"&amp;J1158,'Istoric_Nativ'!$P$6:$P$405,1,'Istoric_Nativ'!$D$6:$D$405,"&gt;="&amp;L1158),IF(H1158="AWAY",SUMIFS('Istoric_Nativ'!$G$6:$G$405,'Istoric_Nativ'!$B$6:$B$405,E1158,'Istoric_Nativ'!$C$6:$C$405,F1158,'Istoric_Nativ'!$F$6:$F$405,G1158,'Istoric_Nativ'!$D$6:$D$405,"&lt;"&amp;J1158,'Istoric_Nativ'!$P$6:$P$405,1,'Istoric_Nativ'!$D$6:$D$405,"&gt;="&amp;L1158),SUMIFS('Istoric_Nativ'!$H$6:$H$405,'Istoric_Nativ'!$B$6:$B$405,E1158,'Istoric_Nativ'!$C$6:$C$405,F1158,'Istoric_Nativ'!$E$6:$E$405,G1158,'Istoric_Nativ'!$D$6:$D$405,"&lt;"&amp;J1158,'Istoric_Nativ'!$P$6:$P$405,1,'Istoric_Nativ'!$D$6:$D$405,"&gt;="&amp;L1158)+SUMIFS('Istoric_Nativ'!$G$6:$G$405,'Istoric_Nativ'!$B$6:$B$405,E1158,'Istoric_Nativ'!$C$6:$C$405,F1158,'Istoric_Nativ'!$F$6:$F$405,G1158,'Istoric_Nativ'!$D$6:$D$405,"&lt;"&amp;J1158,'Istoric_Nativ'!$P$6:$P$405,1,'Istoric_Nativ'!$D$6:$D$405,"&gt;="&amp;L1158)))/M1158)</x:f>
      </x:c>
      <x:c r="P1158" s="2" t="n">
        <x:f>'Config_v6'!$B$7</x:f>
        <x:v>10</x:v>
      </x:c>
      <x:c r="Q1158" s="2" t="n">
        <x:f>IF(OR(B1158="",F1158=""),0,IFERROR(MATCH(E1158&amp;"|"&amp;F1158,SourceTable[Source_Key],0),0))</x:f>
        <x:v>0</x:v>
      </x:c>
      <x:c r="R1158" s="2" t="str">
        <x:f>IF(B1158="","",IF(F1158="","UNUSED",IF(Q1158=0,"NOT CHECKED",IF(COUNTIF(SourceTable[Source_Key],E1158&amp;"|"&amp;F1158)&lt;&gt;1,"SOURCE CONFLICT",IF(NOT(OR(INDEX(SourceTable[Status],MAX(1,Q1158))="IMPORTED",INDEX(SourceTable[Status],MAX(1,Q1158))="PARTIAL",INDEX(SourceTable[Status],MAX(1,Q1158))="SOURCE CONFLICT")),"ACCESS BLOCKED",IF(OR(INDEX(SourceTable[Coverage],Q1158)&lt;&gt;"FULL SEASON EXPORT",INDEX(SourceTable[URL],Q1158)="",INDEX(SourceTable[SHA256],Q1158)=""),"EVIDENCE INCOMPLETE",IF(AND('Input_Meci'!H102="LIVE",INDEX(SourceTable[Retrieved_UTC],Q1158)&gt;'Input_Meci'!G102),"POST CUTOFF","CLOSED")))))))</x:f>
      </x:c>
      <x:c r="S1158" s="2" t="n">
        <x:f>IF(OR(B1158="",F1158=""),0,COUNTIFS('Istoric_Nativ'!$B$6:$B$405,E1158,'Istoric_Nativ'!$C$6:$C$405,F1158,'Istoric_Nativ'!$E$6:$E$405,G1158,'Istoric_Nativ'!$D$6:$D$405,"&lt;"&amp;J1158,'Istoric_Nativ'!$O$6:$O$405,"INVALID")+COUNTIFS('Istoric_Nativ'!$B$6:$B$405,E1158,'Istoric_Nativ'!$C$6:$C$405,F1158,'Istoric_Nativ'!$E$6:$E$405,G1158,'Istoric_Nativ'!$O$6:$O$405,"INVALID",'Istoric_Nativ'!$D$6:$D$405,"*")+COUNTIFS('Istoric_Nativ'!$B$6:$B$405,E1158,'Istoric_Nativ'!$C$6:$C$405,F1158,'Istoric_Nativ'!$E$6:$E$405,G1158,'Istoric_Nativ'!$D$6:$D$405,"&lt;"&amp;J1158,'Istoric_Nativ'!$O$6:$O$405,"SOURCE CONFLICT")+COUNTIFS('Istoric_Nativ'!$B$6:$B$405,E1158,'Istoric_Nativ'!$C$6:$C$405,F1158,'Istoric_Nativ'!$F$6:$F$405,G1158,'Istoric_Nativ'!$D$6:$D$405,"&lt;"&amp;J1158,'Istoric_Nativ'!$O$6:$O$405,"INVALID")+COUNTIFS('Istoric_Nativ'!$B$6:$B$405,E1158,'Istoric_Nativ'!$C$6:$C$405,F1158,'Istoric_Nativ'!$F$6:$F$405,G1158,'Istoric_Nativ'!$O$6:$O$405,"INVALID",'Istoric_Nativ'!$D$6:$D$405,"*")+COUNTIFS('Istoric_Nativ'!$B$6:$B$405,E1158,'Istoric_Nativ'!$C$6:$C$405,F1158,'Istoric_Nativ'!$F$6:$F$405,G1158,'Istoric_Nativ'!$D$6:$D$405,"&lt;"&amp;J1158,'Istoric_Nativ'!$O$6:$O$405,"SOURCE CONFLICT"))</x:f>
        <x:v>0</x:v>
      </x:c>
      <x:c r="T1158" s="2" t="str">
        <x:f>IF(B1158="","",IF(R1158&lt;&gt;"CLOSED",R1158,IF(S1158&gt;0,"NATIVE INPUT ISSUE",IF(M1158=0,"NO HISTORY",IF(M1158&lt;P1158,"SMALL SAMPLE","DERIVED")))))</x:f>
      </x:c>
      <x:c r="U1158" s="2" t="str">
        <x:f>IF(B1158="","","NativeTable; "&amp;E1158&amp;"; "&amp;F1158&amp;"; "&amp;G1158&amp;"; "&amp;H1158&amp;"; before "&amp;TEXT(J1158,"yyyy-mm-dd")&amp;IF(I1158="RECENT","; from "&amp;TEXT(L1158,"yyyy-mm-dd"),""))</x:f>
      </x:c>
    </x:row>
    <x:row r="1159" ht="21" customHeight="1">
      <x:c r="A1159" s="2" t="n">
        <x:v>97</x:v>
      </x:c>
      <x:c r="B1159" s="2" t="str">
        <x:f>IF('Input_Meci'!A102="","",'Input_Meci'!A102)</x:f>
      </x:c>
      <x:c r="C1159" s="2" t="str">
        <x:v>H</x:v>
      </x:c>
      <x:c r="D1159" s="2" t="str">
        <x:v>CURRENT</x:v>
      </x:c>
      <x:c r="E1159" s="2" t="str">
        <x:f>IF(B1159="","",'Input_Meci'!B102)</x:f>
      </x:c>
      <x:c r="F1159" s="2" t="str">
        <x:f>IF(B1159="","",IF('Input_Meci'!C102="","",'Input_Meci'!C102))</x:f>
      </x:c>
      <x:c r="G1159" s="2" t="str">
        <x:f>IF(B1159="","",'Input_Meci'!D102)</x:f>
      </x:c>
      <x:c r="H1159" s="2" t="str">
        <x:v>HOME</x:v>
      </x:c>
      <x:c r="I1159" s="2" t="str">
        <x:v>HA</x:v>
      </x:c>
      <x:c r="J1159" s="9" t="n">
        <x:f>IF(AND(B1159&lt;&gt;"",ISNUMBER('Input_Meci'!G102)),INT('Input_Meci'!G102),0)</x:f>
        <x:v>0</x:v>
      </x:c>
      <x:c r="K1159" s="2" t="n">
        <x:f>IF(OR(B1159="",F1159=""),0,IF(H1159="HOME",COUNTIFS('Istoric_Nativ'!$B$6:$B$405,E1159,'Istoric_Nativ'!$C$6:$C$405,F1159,'Istoric_Nativ'!$E$6:$E$405,G1159,'Istoric_Nativ'!$D$6:$D$405,"&lt;"&amp;J1159,'Istoric_Nativ'!$P$6:$P$405,1),IF(H1159="AWAY",COUNTIFS('Istoric_Nativ'!$B$6:$B$405,E1159,'Istoric_Nativ'!$C$6:$C$405,F1159,'Istoric_Nativ'!$F$6:$F$405,G1159,'Istoric_Nativ'!$D$6:$D$405,"&lt;"&amp;J1159,'Istoric_Nativ'!$P$6:$P$405,1),COUNTIFS('Istoric_Nativ'!$B$6:$B$405,E1159,'Istoric_Nativ'!$C$6:$C$405,F1159,'Istoric_Nativ'!$E$6:$E$405,G1159,'Istoric_Nativ'!$D$6:$D$405,"&lt;"&amp;J1159,'Istoric_Nativ'!$P$6:$P$405,1)+COUNTIFS('Istoric_Nativ'!$B$6:$B$405,E1159,'Istoric_Nativ'!$C$6:$C$405,F1159,'Istoric_Nativ'!$F$6:$F$405,G1159,'Istoric_Nativ'!$D$6:$D$405,"&lt;"&amp;J1159,'Istoric_Nativ'!$P$6:$P$405,1))))</x:f>
        <x:v>0</x:v>
      </x:c>
      <x:c r="L1159" s="17" t="n">
        <x:f>IF(AND(B1159&lt;&gt;"",I1159="RECENT",K1159&gt;0),LARGE(_xlfn._xlws.FILTER('Istoric_Nativ'!$D$6:$D$405,('Istoric_Nativ'!$B$6:$B$405=E1159)*('Istoric_Nativ'!$C$6:$C$405=F1159)*('Istoric_Nativ'!$P$6:$P$405=1)*('Istoric_Nativ'!$D$6:$D$405&lt;J1159)*((('Istoric_Nativ'!$E$6:$E$405=G1159)+('Istoric_Nativ'!$F$6:$F$405=G1159))&gt;0)),MIN('Config_v6'!$B$54,K1159)),0)</x:f>
        <x:v>0</x:v>
      </x:c>
      <x:c r="M1159" s="2" t="n">
        <x:f>IF(OR(B1159="",F1159=""),0,IF(H1159="HOME",COUNTIFS('Istoric_Nativ'!$B$6:$B$405,E1159,'Istoric_Nativ'!$C$6:$C$405,F1159,'Istoric_Nativ'!$E$6:$E$405,G1159,'Istoric_Nativ'!$D$6:$D$405,"&lt;"&amp;J1159,'Istoric_Nativ'!$P$6:$P$405,1,'Istoric_Nativ'!$D$6:$D$405,"&gt;="&amp;L1159),IF(H1159="AWAY",COUNTIFS('Istoric_Nativ'!$B$6:$B$405,E1159,'Istoric_Nativ'!$C$6:$C$405,F1159,'Istoric_Nativ'!$F$6:$F$405,G1159,'Istoric_Nativ'!$D$6:$D$405,"&lt;"&amp;J1159,'Istoric_Nativ'!$P$6:$P$405,1,'Istoric_Nativ'!$D$6:$D$405,"&gt;="&amp;L1159),COUNTIFS('Istoric_Nativ'!$B$6:$B$405,E1159,'Istoric_Nativ'!$C$6:$C$405,F1159,'Istoric_Nativ'!$E$6:$E$405,G1159,'Istoric_Nativ'!$D$6:$D$405,"&lt;"&amp;J1159,'Istoric_Nativ'!$P$6:$P$405,1,'Istoric_Nativ'!$D$6:$D$405,"&gt;="&amp;L1159)+COUNTIFS('Istoric_Nativ'!$B$6:$B$405,E1159,'Istoric_Nativ'!$C$6:$C$405,F1159,'Istoric_Nativ'!$F$6:$F$405,G1159,'Istoric_Nativ'!$D$6:$D$405,"&lt;"&amp;J1159,'Istoric_Nativ'!$P$6:$P$405,1,'Istoric_Nativ'!$D$6:$D$405,"&gt;="&amp;L1159))))</x:f>
        <x:v>0</x:v>
      </x:c>
      <x:c r="N1159" s="11" t="str">
        <x:f>IF(M1159=0,"",IF(H1159="HOME",SUMIFS('Istoric_Nativ'!$G$6:$G$405,'Istoric_Nativ'!$B$6:$B$405,E1159,'Istoric_Nativ'!$C$6:$C$405,F1159,'Istoric_Nativ'!$E$6:$E$405,G1159,'Istoric_Nativ'!$D$6:$D$405,"&lt;"&amp;J1159,'Istoric_Nativ'!$P$6:$P$405,1,'Istoric_Nativ'!$D$6:$D$405,"&gt;="&amp;L1159),IF(H1159="AWAY",SUMIFS('Istoric_Nativ'!$H$6:$H$405,'Istoric_Nativ'!$B$6:$B$405,E1159,'Istoric_Nativ'!$C$6:$C$405,F1159,'Istoric_Nativ'!$F$6:$F$405,G1159,'Istoric_Nativ'!$D$6:$D$405,"&lt;"&amp;J1159,'Istoric_Nativ'!$P$6:$P$405,1,'Istoric_Nativ'!$D$6:$D$405,"&gt;="&amp;L1159),SUMIFS('Istoric_Nativ'!$G$6:$G$405,'Istoric_Nativ'!$B$6:$B$405,E1159,'Istoric_Nativ'!$C$6:$C$405,F1159,'Istoric_Nativ'!$E$6:$E$405,G1159,'Istoric_Nativ'!$D$6:$D$405,"&lt;"&amp;J1159,'Istoric_Nativ'!$P$6:$P$405,1,'Istoric_Nativ'!$D$6:$D$405,"&gt;="&amp;L1159)+SUMIFS('Istoric_Nativ'!$H$6:$H$405,'Istoric_Nativ'!$B$6:$B$405,E1159,'Istoric_Nativ'!$C$6:$C$405,F1159,'Istoric_Nativ'!$F$6:$F$405,G1159,'Istoric_Nativ'!$D$6:$D$405,"&lt;"&amp;J1159,'Istoric_Nativ'!$P$6:$P$405,1,'Istoric_Nativ'!$D$6:$D$405,"&gt;="&amp;L1159)))/M1159)</x:f>
      </x:c>
      <x:c r="O1159" s="11" t="str">
        <x:f>IF(M1159=0,"",IF(H1159="HOME",SUMIFS('Istoric_Nativ'!$H$6:$H$405,'Istoric_Nativ'!$B$6:$B$405,E1159,'Istoric_Nativ'!$C$6:$C$405,F1159,'Istoric_Nativ'!$E$6:$E$405,G1159,'Istoric_Nativ'!$D$6:$D$405,"&lt;"&amp;J1159,'Istoric_Nativ'!$P$6:$P$405,1,'Istoric_Nativ'!$D$6:$D$405,"&gt;="&amp;L1159),IF(H1159="AWAY",SUMIFS('Istoric_Nativ'!$G$6:$G$405,'Istoric_Nativ'!$B$6:$B$405,E1159,'Istoric_Nativ'!$C$6:$C$405,F1159,'Istoric_Nativ'!$F$6:$F$405,G1159,'Istoric_Nativ'!$D$6:$D$405,"&lt;"&amp;J1159,'Istoric_Nativ'!$P$6:$P$405,1,'Istoric_Nativ'!$D$6:$D$405,"&gt;="&amp;L1159),SUMIFS('Istoric_Nativ'!$H$6:$H$405,'Istoric_Nativ'!$B$6:$B$405,E1159,'Istoric_Nativ'!$C$6:$C$405,F1159,'Istoric_Nativ'!$E$6:$E$405,G1159,'Istoric_Nativ'!$D$6:$D$405,"&lt;"&amp;J1159,'Istoric_Nativ'!$P$6:$P$405,1,'Istoric_Nativ'!$D$6:$D$405,"&gt;="&amp;L1159)+SUMIFS('Istoric_Nativ'!$G$6:$G$405,'Istoric_Nativ'!$B$6:$B$405,E1159,'Istoric_Nativ'!$C$6:$C$405,F1159,'Istoric_Nativ'!$F$6:$F$405,G1159,'Istoric_Nativ'!$D$6:$D$405,"&lt;"&amp;J1159,'Istoric_Nativ'!$P$6:$P$405,1,'Istoric_Nativ'!$D$6:$D$405,"&gt;="&amp;L1159)))/M1159)</x:f>
      </x:c>
      <x:c r="P1159" s="2" t="n">
        <x:f>'Config_v6'!$B$8</x:f>
        <x:v>5</x:v>
      </x:c>
      <x:c r="Q1159" s="2" t="n">
        <x:f>IF(OR(B1159="",F1159=""),0,IFERROR(MATCH(E1159&amp;"|"&amp;F1159,SourceTable[Source_Key],0),0))</x:f>
        <x:v>0</x:v>
      </x:c>
      <x:c r="R1159" s="2" t="str">
        <x:f>IF(B1159="","",IF(F1159="","UNUSED",IF(Q1159=0,"NOT CHECKED",IF(COUNTIF(SourceTable[Source_Key],E1159&amp;"|"&amp;F1159)&lt;&gt;1,"SOURCE CONFLICT",IF(NOT(OR(INDEX(SourceTable[Status],MAX(1,Q1159))="IMPORTED",INDEX(SourceTable[Status],MAX(1,Q1159))="PARTIAL",INDEX(SourceTable[Status],MAX(1,Q1159))="SOURCE CONFLICT")),"ACCESS BLOCKED",IF(OR(INDEX(SourceTable[Coverage],Q1159)&lt;&gt;"FULL SEASON EXPORT",INDEX(SourceTable[URL],Q1159)="",INDEX(SourceTable[SHA256],Q1159)=""),"EVIDENCE INCOMPLETE",IF(AND('Input_Meci'!H102="LIVE",INDEX(SourceTable[Retrieved_UTC],Q1159)&gt;'Input_Meci'!G102),"POST CUTOFF","CLOSED")))))))</x:f>
      </x:c>
      <x:c r="S1159" s="2" t="n">
        <x:f>IF(OR(B1159="",F1159=""),0,COUNTIFS('Istoric_Nativ'!$B$6:$B$405,E1159,'Istoric_Nativ'!$C$6:$C$405,F1159,'Istoric_Nativ'!$E$6:$E$405,G1159,'Istoric_Nativ'!$D$6:$D$405,"&lt;"&amp;J1159,'Istoric_Nativ'!$O$6:$O$405,"INVALID")+COUNTIFS('Istoric_Nativ'!$B$6:$B$405,E1159,'Istoric_Nativ'!$C$6:$C$405,F1159,'Istoric_Nativ'!$E$6:$E$405,G1159,'Istoric_Nativ'!$O$6:$O$405,"INVALID",'Istoric_Nativ'!$D$6:$D$405,"*")+COUNTIFS('Istoric_Nativ'!$B$6:$B$405,E1159,'Istoric_Nativ'!$C$6:$C$405,F1159,'Istoric_Nativ'!$E$6:$E$405,G1159,'Istoric_Nativ'!$D$6:$D$405,"&lt;"&amp;J1159,'Istoric_Nativ'!$O$6:$O$405,"SOURCE CONFLICT")+COUNTIFS('Istoric_Nativ'!$B$6:$B$405,E1159,'Istoric_Nativ'!$C$6:$C$405,F1159,'Istoric_Nativ'!$F$6:$F$405,G1159,'Istoric_Nativ'!$D$6:$D$405,"&lt;"&amp;J1159,'Istoric_Nativ'!$O$6:$O$405,"INVALID")+COUNTIFS('Istoric_Nativ'!$B$6:$B$405,E1159,'Istoric_Nativ'!$C$6:$C$405,F1159,'Istoric_Nativ'!$F$6:$F$405,G1159,'Istoric_Nativ'!$O$6:$O$405,"INVALID",'Istoric_Nativ'!$D$6:$D$405,"*")+COUNTIFS('Istoric_Nativ'!$B$6:$B$405,E1159,'Istoric_Nativ'!$C$6:$C$405,F1159,'Istoric_Nativ'!$F$6:$F$405,G1159,'Istoric_Nativ'!$D$6:$D$405,"&lt;"&amp;J1159,'Istoric_Nativ'!$O$6:$O$405,"SOURCE CONFLICT"))</x:f>
        <x:v>0</x:v>
      </x:c>
      <x:c r="T1159" s="2" t="str">
        <x:f>IF(B1159="","",IF(R1159&lt;&gt;"CLOSED",R1159,IF(S1159&gt;0,"NATIVE INPUT ISSUE",IF(M1159=0,"NO HISTORY",IF(M1159&lt;P1159,"SMALL SAMPLE","DERIVED")))))</x:f>
      </x:c>
      <x:c r="U1159" s="2" t="str">
        <x:f>IF(B1159="","","NativeTable; "&amp;E1159&amp;"; "&amp;F1159&amp;"; "&amp;G1159&amp;"; "&amp;H1159&amp;"; before "&amp;TEXT(J1159,"yyyy-mm-dd")&amp;IF(I1159="RECENT","; from "&amp;TEXT(L1159,"yyyy-mm-dd"),""))</x:f>
      </x:c>
    </x:row>
    <x:row r="1160" ht="21" customHeight="1">
      <x:c r="A1160" s="2" t="n">
        <x:v>97</x:v>
      </x:c>
      <x:c r="B1160" s="2" t="str">
        <x:f>IF('Input_Meci'!A102="","",'Input_Meci'!A102)</x:f>
      </x:c>
      <x:c r="C1160" s="2" t="str">
        <x:v>H</x:v>
      </x:c>
      <x:c r="D1160" s="2" t="str">
        <x:v>CURRENT</x:v>
      </x:c>
      <x:c r="E1160" s="2" t="str">
        <x:f>IF(B1160="","",'Input_Meci'!B102)</x:f>
      </x:c>
      <x:c r="F1160" s="2" t="str">
        <x:f>IF(B1160="","",IF('Input_Meci'!C102="","",'Input_Meci'!C102))</x:f>
      </x:c>
      <x:c r="G1160" s="2" t="str">
        <x:f>IF(B1160="","",'Input_Meci'!D102)</x:f>
      </x:c>
      <x:c r="H1160" s="2" t="str">
        <x:v>ANY</x:v>
      </x:c>
      <x:c r="I1160" s="2" t="str">
        <x:v>RECENT</x:v>
      </x:c>
      <x:c r="J1160" s="9" t="n">
        <x:f>IF(AND(B1160&lt;&gt;"",ISNUMBER('Input_Meci'!G102)),INT('Input_Meci'!G102),0)</x:f>
        <x:v>0</x:v>
      </x:c>
      <x:c r="K1160" s="2" t="n">
        <x:f>IF(OR(B1160="",F1160=""),0,IF(H1160="HOME",COUNTIFS('Istoric_Nativ'!$B$6:$B$405,E1160,'Istoric_Nativ'!$C$6:$C$405,F1160,'Istoric_Nativ'!$E$6:$E$405,G1160,'Istoric_Nativ'!$D$6:$D$405,"&lt;"&amp;J1160,'Istoric_Nativ'!$P$6:$P$405,1),IF(H1160="AWAY",COUNTIFS('Istoric_Nativ'!$B$6:$B$405,E1160,'Istoric_Nativ'!$C$6:$C$405,F1160,'Istoric_Nativ'!$F$6:$F$405,G1160,'Istoric_Nativ'!$D$6:$D$405,"&lt;"&amp;J1160,'Istoric_Nativ'!$P$6:$P$405,1),COUNTIFS('Istoric_Nativ'!$B$6:$B$405,E1160,'Istoric_Nativ'!$C$6:$C$405,F1160,'Istoric_Nativ'!$E$6:$E$405,G1160,'Istoric_Nativ'!$D$6:$D$405,"&lt;"&amp;J1160,'Istoric_Nativ'!$P$6:$P$405,1)+COUNTIFS('Istoric_Nativ'!$B$6:$B$405,E1160,'Istoric_Nativ'!$C$6:$C$405,F1160,'Istoric_Nativ'!$F$6:$F$405,G1160,'Istoric_Nativ'!$D$6:$D$405,"&lt;"&amp;J1160,'Istoric_Nativ'!$P$6:$P$405,1))))</x:f>
        <x:v>0</x:v>
      </x:c>
      <x:c r="L1160" s="17" t="n">
        <x:f>IF(AND(B1160&lt;&gt;"",I1160="RECENT",K1160&gt;0),LARGE(_xlfn._xlws.FILTER('Istoric_Nativ'!$D$6:$D$405,('Istoric_Nativ'!$B$6:$B$405=E1160)*('Istoric_Nativ'!$C$6:$C$405=F1160)*('Istoric_Nativ'!$P$6:$P$405=1)*('Istoric_Nativ'!$D$6:$D$405&lt;J1160)*((('Istoric_Nativ'!$E$6:$E$405=G1160)+('Istoric_Nativ'!$F$6:$F$405=G1160))&gt;0)),MIN('Config_v6'!$B$54,K1160)),0)</x:f>
        <x:v>0</x:v>
      </x:c>
      <x:c r="M1160" s="2" t="n">
        <x:f>IF(OR(B1160="",F1160=""),0,IF(H1160="HOME",COUNTIFS('Istoric_Nativ'!$B$6:$B$405,E1160,'Istoric_Nativ'!$C$6:$C$405,F1160,'Istoric_Nativ'!$E$6:$E$405,G1160,'Istoric_Nativ'!$D$6:$D$405,"&lt;"&amp;J1160,'Istoric_Nativ'!$P$6:$P$405,1,'Istoric_Nativ'!$D$6:$D$405,"&gt;="&amp;L1160),IF(H1160="AWAY",COUNTIFS('Istoric_Nativ'!$B$6:$B$405,E1160,'Istoric_Nativ'!$C$6:$C$405,F1160,'Istoric_Nativ'!$F$6:$F$405,G1160,'Istoric_Nativ'!$D$6:$D$405,"&lt;"&amp;J1160,'Istoric_Nativ'!$P$6:$P$405,1,'Istoric_Nativ'!$D$6:$D$405,"&gt;="&amp;L1160),COUNTIFS('Istoric_Nativ'!$B$6:$B$405,E1160,'Istoric_Nativ'!$C$6:$C$405,F1160,'Istoric_Nativ'!$E$6:$E$405,G1160,'Istoric_Nativ'!$D$6:$D$405,"&lt;"&amp;J1160,'Istoric_Nativ'!$P$6:$P$405,1,'Istoric_Nativ'!$D$6:$D$405,"&gt;="&amp;L1160)+COUNTIFS('Istoric_Nativ'!$B$6:$B$405,E1160,'Istoric_Nativ'!$C$6:$C$405,F1160,'Istoric_Nativ'!$F$6:$F$405,G1160,'Istoric_Nativ'!$D$6:$D$405,"&lt;"&amp;J1160,'Istoric_Nativ'!$P$6:$P$405,1,'Istoric_Nativ'!$D$6:$D$405,"&gt;="&amp;L1160))))</x:f>
        <x:v>0</x:v>
      </x:c>
      <x:c r="N1160" s="11" t="str">
        <x:f>IF(M1160=0,"",IF(H1160="HOME",SUMIFS('Istoric_Nativ'!$G$6:$G$405,'Istoric_Nativ'!$B$6:$B$405,E1160,'Istoric_Nativ'!$C$6:$C$405,F1160,'Istoric_Nativ'!$E$6:$E$405,G1160,'Istoric_Nativ'!$D$6:$D$405,"&lt;"&amp;J1160,'Istoric_Nativ'!$P$6:$P$405,1,'Istoric_Nativ'!$D$6:$D$405,"&gt;="&amp;L1160),IF(H1160="AWAY",SUMIFS('Istoric_Nativ'!$H$6:$H$405,'Istoric_Nativ'!$B$6:$B$405,E1160,'Istoric_Nativ'!$C$6:$C$405,F1160,'Istoric_Nativ'!$F$6:$F$405,G1160,'Istoric_Nativ'!$D$6:$D$405,"&lt;"&amp;J1160,'Istoric_Nativ'!$P$6:$P$405,1,'Istoric_Nativ'!$D$6:$D$405,"&gt;="&amp;L1160),SUMIFS('Istoric_Nativ'!$G$6:$G$405,'Istoric_Nativ'!$B$6:$B$405,E1160,'Istoric_Nativ'!$C$6:$C$405,F1160,'Istoric_Nativ'!$E$6:$E$405,G1160,'Istoric_Nativ'!$D$6:$D$405,"&lt;"&amp;J1160,'Istoric_Nativ'!$P$6:$P$405,1,'Istoric_Nativ'!$D$6:$D$405,"&gt;="&amp;L1160)+SUMIFS('Istoric_Nativ'!$H$6:$H$405,'Istoric_Nativ'!$B$6:$B$405,E1160,'Istoric_Nativ'!$C$6:$C$405,F1160,'Istoric_Nativ'!$F$6:$F$405,G1160,'Istoric_Nativ'!$D$6:$D$405,"&lt;"&amp;J1160,'Istoric_Nativ'!$P$6:$P$405,1,'Istoric_Nativ'!$D$6:$D$405,"&gt;="&amp;L1160)))/M1160)</x:f>
      </x:c>
      <x:c r="O1160" s="11" t="str">
        <x:f>IF(M1160=0,"",IF(H1160="HOME",SUMIFS('Istoric_Nativ'!$H$6:$H$405,'Istoric_Nativ'!$B$6:$B$405,E1160,'Istoric_Nativ'!$C$6:$C$405,F1160,'Istoric_Nativ'!$E$6:$E$405,G1160,'Istoric_Nativ'!$D$6:$D$405,"&lt;"&amp;J1160,'Istoric_Nativ'!$P$6:$P$405,1,'Istoric_Nativ'!$D$6:$D$405,"&gt;="&amp;L1160),IF(H1160="AWAY",SUMIFS('Istoric_Nativ'!$G$6:$G$405,'Istoric_Nativ'!$B$6:$B$405,E1160,'Istoric_Nativ'!$C$6:$C$405,F1160,'Istoric_Nativ'!$F$6:$F$405,G1160,'Istoric_Nativ'!$D$6:$D$405,"&lt;"&amp;J1160,'Istoric_Nativ'!$P$6:$P$405,1,'Istoric_Nativ'!$D$6:$D$405,"&gt;="&amp;L1160),SUMIFS('Istoric_Nativ'!$H$6:$H$405,'Istoric_Nativ'!$B$6:$B$405,E1160,'Istoric_Nativ'!$C$6:$C$405,F1160,'Istoric_Nativ'!$E$6:$E$405,G1160,'Istoric_Nativ'!$D$6:$D$405,"&lt;"&amp;J1160,'Istoric_Nativ'!$P$6:$P$405,1,'Istoric_Nativ'!$D$6:$D$405,"&gt;="&amp;L1160)+SUMIFS('Istoric_Nativ'!$G$6:$G$405,'Istoric_Nativ'!$B$6:$B$405,E1160,'Istoric_Nativ'!$C$6:$C$405,F1160,'Istoric_Nativ'!$F$6:$F$405,G1160,'Istoric_Nativ'!$D$6:$D$405,"&lt;"&amp;J1160,'Istoric_Nativ'!$P$6:$P$405,1,'Istoric_Nativ'!$D$6:$D$405,"&gt;="&amp;L1160)))/M1160)</x:f>
      </x:c>
      <x:c r="P1160" s="2" t="n">
        <x:f>'Config_v6'!$B$9</x:f>
        <x:v>3</x:v>
      </x:c>
      <x:c r="Q1160" s="2" t="n">
        <x:f>IF(OR(B1160="",F1160=""),0,IFERROR(MATCH(E1160&amp;"|"&amp;F1160,SourceTable[Source_Key],0),0))</x:f>
        <x:v>0</x:v>
      </x:c>
      <x:c r="R1160" s="2" t="str">
        <x:f>IF(B1160="","",IF(F1160="","UNUSED",IF(Q1160=0,"NOT CHECKED",IF(COUNTIF(SourceTable[Source_Key],E1160&amp;"|"&amp;F1160)&lt;&gt;1,"SOURCE CONFLICT",IF(NOT(OR(INDEX(SourceTable[Status],MAX(1,Q1160))="IMPORTED",INDEX(SourceTable[Status],MAX(1,Q1160))="PARTIAL",INDEX(SourceTable[Status],MAX(1,Q1160))="SOURCE CONFLICT")),"ACCESS BLOCKED",IF(OR(INDEX(SourceTable[Coverage],Q1160)&lt;&gt;"FULL SEASON EXPORT",INDEX(SourceTable[URL],Q1160)="",INDEX(SourceTable[SHA256],Q1160)=""),"EVIDENCE INCOMPLETE",IF(AND('Input_Meci'!H102="LIVE",INDEX(SourceTable[Retrieved_UTC],Q1160)&gt;'Input_Meci'!G102),"POST CUTOFF","CLOSED")))))))</x:f>
      </x:c>
      <x:c r="S1160" s="2" t="n">
        <x:f>IF(OR(B1160="",F1160=""),0,COUNTIFS('Istoric_Nativ'!$B$6:$B$405,E1160,'Istoric_Nativ'!$C$6:$C$405,F1160,'Istoric_Nativ'!$E$6:$E$405,G1160,'Istoric_Nativ'!$D$6:$D$405,"&lt;"&amp;J1160,'Istoric_Nativ'!$O$6:$O$405,"INVALID")+COUNTIFS('Istoric_Nativ'!$B$6:$B$405,E1160,'Istoric_Nativ'!$C$6:$C$405,F1160,'Istoric_Nativ'!$E$6:$E$405,G1160,'Istoric_Nativ'!$O$6:$O$405,"INVALID",'Istoric_Nativ'!$D$6:$D$405,"*")+COUNTIFS('Istoric_Nativ'!$B$6:$B$405,E1160,'Istoric_Nativ'!$C$6:$C$405,F1160,'Istoric_Nativ'!$E$6:$E$405,G1160,'Istoric_Nativ'!$D$6:$D$405,"&lt;"&amp;J1160,'Istoric_Nativ'!$O$6:$O$405,"SOURCE CONFLICT")+COUNTIFS('Istoric_Nativ'!$B$6:$B$405,E1160,'Istoric_Nativ'!$C$6:$C$405,F1160,'Istoric_Nativ'!$F$6:$F$405,G1160,'Istoric_Nativ'!$D$6:$D$405,"&lt;"&amp;J1160,'Istoric_Nativ'!$O$6:$O$405,"INVALID")+COUNTIFS('Istoric_Nativ'!$B$6:$B$405,E1160,'Istoric_Nativ'!$C$6:$C$405,F1160,'Istoric_Nativ'!$F$6:$F$405,G1160,'Istoric_Nativ'!$O$6:$O$405,"INVALID",'Istoric_Nativ'!$D$6:$D$405,"*")+COUNTIFS('Istoric_Nativ'!$B$6:$B$405,E1160,'Istoric_Nativ'!$C$6:$C$405,F1160,'Istoric_Nativ'!$F$6:$F$405,G1160,'Istoric_Nativ'!$D$6:$D$405,"&lt;"&amp;J1160,'Istoric_Nativ'!$O$6:$O$405,"SOURCE CONFLICT"))</x:f>
        <x:v>0</x:v>
      </x:c>
      <x:c r="T1160" s="2" t="str">
        <x:f>IF(B1160="","",IF(R1160&lt;&gt;"CLOSED",R1160,IF(S1160&gt;0,"NATIVE INPUT ISSUE",IF(M1160=0,"NO HISTORY",IF(M1160&lt;P1160,"SMALL SAMPLE","DERIVED")))))</x:f>
      </x:c>
      <x:c r="U1160" s="2" t="str">
        <x:f>IF(B1160="","","NativeTable; "&amp;E1160&amp;"; "&amp;F1160&amp;"; "&amp;G1160&amp;"; "&amp;H1160&amp;"; before "&amp;TEXT(J1160,"yyyy-mm-dd")&amp;IF(I1160="RECENT","; from "&amp;TEXT(L1160,"yyyy-mm-dd"),""))</x:f>
      </x:c>
    </x:row>
    <x:row r="1161" ht="21" customHeight="1">
      <x:c r="A1161" s="2" t="n">
        <x:v>97</x:v>
      </x:c>
      <x:c r="B1161" s="2" t="str">
        <x:f>IF('Input_Meci'!A102="","",'Input_Meci'!A102)</x:f>
      </x:c>
      <x:c r="C1161" s="2" t="str">
        <x:v>A</x:v>
      </x:c>
      <x:c r="D1161" s="2" t="str">
        <x:v>CURRENT</x:v>
      </x:c>
      <x:c r="E1161" s="2" t="str">
        <x:f>IF(B1161="","",'Input_Meci'!B102)</x:f>
      </x:c>
      <x:c r="F1161" s="2" t="str">
        <x:f>IF(B1161="","",IF('Input_Meci'!C102="","",'Input_Meci'!C102))</x:f>
      </x:c>
      <x:c r="G1161" s="2" t="str">
        <x:f>IF(B1161="","",'Input_Meci'!E102)</x:f>
      </x:c>
      <x:c r="H1161" s="2" t="str">
        <x:v>ANY</x:v>
      </x:c>
      <x:c r="I1161" s="2" t="str">
        <x:v>SEASON</x:v>
      </x:c>
      <x:c r="J1161" s="9" t="n">
        <x:f>IF(AND(B1161&lt;&gt;"",ISNUMBER('Input_Meci'!G102)),INT('Input_Meci'!G102),0)</x:f>
        <x:v>0</x:v>
      </x:c>
      <x:c r="K1161" s="2" t="n">
        <x:f>IF(OR(B1161="",F1161=""),0,IF(H1161="HOME",COUNTIFS('Istoric_Nativ'!$B$6:$B$405,E1161,'Istoric_Nativ'!$C$6:$C$405,F1161,'Istoric_Nativ'!$E$6:$E$405,G1161,'Istoric_Nativ'!$D$6:$D$405,"&lt;"&amp;J1161,'Istoric_Nativ'!$P$6:$P$405,1),IF(H1161="AWAY",COUNTIFS('Istoric_Nativ'!$B$6:$B$405,E1161,'Istoric_Nativ'!$C$6:$C$405,F1161,'Istoric_Nativ'!$F$6:$F$405,G1161,'Istoric_Nativ'!$D$6:$D$405,"&lt;"&amp;J1161,'Istoric_Nativ'!$P$6:$P$405,1),COUNTIFS('Istoric_Nativ'!$B$6:$B$405,E1161,'Istoric_Nativ'!$C$6:$C$405,F1161,'Istoric_Nativ'!$E$6:$E$405,G1161,'Istoric_Nativ'!$D$6:$D$405,"&lt;"&amp;J1161,'Istoric_Nativ'!$P$6:$P$405,1)+COUNTIFS('Istoric_Nativ'!$B$6:$B$405,E1161,'Istoric_Nativ'!$C$6:$C$405,F1161,'Istoric_Nativ'!$F$6:$F$405,G1161,'Istoric_Nativ'!$D$6:$D$405,"&lt;"&amp;J1161,'Istoric_Nativ'!$P$6:$P$405,1))))</x:f>
        <x:v>0</x:v>
      </x:c>
      <x:c r="L1161" s="17" t="n">
        <x:f>IF(AND(B1161&lt;&gt;"",I1161="RECENT",K1161&gt;0),LARGE(_xlfn._xlws.FILTER('Istoric_Nativ'!$D$6:$D$405,('Istoric_Nativ'!$B$6:$B$405=E1161)*('Istoric_Nativ'!$C$6:$C$405=F1161)*('Istoric_Nativ'!$P$6:$P$405=1)*('Istoric_Nativ'!$D$6:$D$405&lt;J1161)*((('Istoric_Nativ'!$E$6:$E$405=G1161)+('Istoric_Nativ'!$F$6:$F$405=G1161))&gt;0)),MIN('Config_v6'!$B$54,K1161)),0)</x:f>
        <x:v>0</x:v>
      </x:c>
      <x:c r="M1161" s="2" t="n">
        <x:f>IF(OR(B1161="",F1161=""),0,IF(H1161="HOME",COUNTIFS('Istoric_Nativ'!$B$6:$B$405,E1161,'Istoric_Nativ'!$C$6:$C$405,F1161,'Istoric_Nativ'!$E$6:$E$405,G1161,'Istoric_Nativ'!$D$6:$D$405,"&lt;"&amp;J1161,'Istoric_Nativ'!$P$6:$P$405,1,'Istoric_Nativ'!$D$6:$D$405,"&gt;="&amp;L1161),IF(H1161="AWAY",COUNTIFS('Istoric_Nativ'!$B$6:$B$405,E1161,'Istoric_Nativ'!$C$6:$C$405,F1161,'Istoric_Nativ'!$F$6:$F$405,G1161,'Istoric_Nativ'!$D$6:$D$405,"&lt;"&amp;J1161,'Istoric_Nativ'!$P$6:$P$405,1,'Istoric_Nativ'!$D$6:$D$405,"&gt;="&amp;L1161),COUNTIFS('Istoric_Nativ'!$B$6:$B$405,E1161,'Istoric_Nativ'!$C$6:$C$405,F1161,'Istoric_Nativ'!$E$6:$E$405,G1161,'Istoric_Nativ'!$D$6:$D$405,"&lt;"&amp;J1161,'Istoric_Nativ'!$P$6:$P$405,1,'Istoric_Nativ'!$D$6:$D$405,"&gt;="&amp;L1161)+COUNTIFS('Istoric_Nativ'!$B$6:$B$405,E1161,'Istoric_Nativ'!$C$6:$C$405,F1161,'Istoric_Nativ'!$F$6:$F$405,G1161,'Istoric_Nativ'!$D$6:$D$405,"&lt;"&amp;J1161,'Istoric_Nativ'!$P$6:$P$405,1,'Istoric_Nativ'!$D$6:$D$405,"&gt;="&amp;L1161))))</x:f>
        <x:v>0</x:v>
      </x:c>
      <x:c r="N1161" s="11" t="str">
        <x:f>IF(M1161=0,"",IF(H1161="HOME",SUMIFS('Istoric_Nativ'!$G$6:$G$405,'Istoric_Nativ'!$B$6:$B$405,E1161,'Istoric_Nativ'!$C$6:$C$405,F1161,'Istoric_Nativ'!$E$6:$E$405,G1161,'Istoric_Nativ'!$D$6:$D$405,"&lt;"&amp;J1161,'Istoric_Nativ'!$P$6:$P$405,1,'Istoric_Nativ'!$D$6:$D$405,"&gt;="&amp;L1161),IF(H1161="AWAY",SUMIFS('Istoric_Nativ'!$H$6:$H$405,'Istoric_Nativ'!$B$6:$B$405,E1161,'Istoric_Nativ'!$C$6:$C$405,F1161,'Istoric_Nativ'!$F$6:$F$405,G1161,'Istoric_Nativ'!$D$6:$D$405,"&lt;"&amp;J1161,'Istoric_Nativ'!$P$6:$P$405,1,'Istoric_Nativ'!$D$6:$D$405,"&gt;="&amp;L1161),SUMIFS('Istoric_Nativ'!$G$6:$G$405,'Istoric_Nativ'!$B$6:$B$405,E1161,'Istoric_Nativ'!$C$6:$C$405,F1161,'Istoric_Nativ'!$E$6:$E$405,G1161,'Istoric_Nativ'!$D$6:$D$405,"&lt;"&amp;J1161,'Istoric_Nativ'!$P$6:$P$405,1,'Istoric_Nativ'!$D$6:$D$405,"&gt;="&amp;L1161)+SUMIFS('Istoric_Nativ'!$H$6:$H$405,'Istoric_Nativ'!$B$6:$B$405,E1161,'Istoric_Nativ'!$C$6:$C$405,F1161,'Istoric_Nativ'!$F$6:$F$405,G1161,'Istoric_Nativ'!$D$6:$D$405,"&lt;"&amp;J1161,'Istoric_Nativ'!$P$6:$P$405,1,'Istoric_Nativ'!$D$6:$D$405,"&gt;="&amp;L1161)))/M1161)</x:f>
      </x:c>
      <x:c r="O1161" s="11" t="str">
        <x:f>IF(M1161=0,"",IF(H1161="HOME",SUMIFS('Istoric_Nativ'!$H$6:$H$405,'Istoric_Nativ'!$B$6:$B$405,E1161,'Istoric_Nativ'!$C$6:$C$405,F1161,'Istoric_Nativ'!$E$6:$E$405,G1161,'Istoric_Nativ'!$D$6:$D$405,"&lt;"&amp;J1161,'Istoric_Nativ'!$P$6:$P$405,1,'Istoric_Nativ'!$D$6:$D$405,"&gt;="&amp;L1161),IF(H1161="AWAY",SUMIFS('Istoric_Nativ'!$G$6:$G$405,'Istoric_Nativ'!$B$6:$B$405,E1161,'Istoric_Nativ'!$C$6:$C$405,F1161,'Istoric_Nativ'!$F$6:$F$405,G1161,'Istoric_Nativ'!$D$6:$D$405,"&lt;"&amp;J1161,'Istoric_Nativ'!$P$6:$P$405,1,'Istoric_Nativ'!$D$6:$D$405,"&gt;="&amp;L1161),SUMIFS('Istoric_Nativ'!$H$6:$H$405,'Istoric_Nativ'!$B$6:$B$405,E1161,'Istoric_Nativ'!$C$6:$C$405,F1161,'Istoric_Nativ'!$E$6:$E$405,G1161,'Istoric_Nativ'!$D$6:$D$405,"&lt;"&amp;J1161,'Istoric_Nativ'!$P$6:$P$405,1,'Istoric_Nativ'!$D$6:$D$405,"&gt;="&amp;L1161)+SUMIFS('Istoric_Nativ'!$G$6:$G$405,'Istoric_Nativ'!$B$6:$B$405,E1161,'Istoric_Nativ'!$C$6:$C$405,F1161,'Istoric_Nativ'!$F$6:$F$405,G1161,'Istoric_Nativ'!$D$6:$D$405,"&lt;"&amp;J1161,'Istoric_Nativ'!$P$6:$P$405,1,'Istoric_Nativ'!$D$6:$D$405,"&gt;="&amp;L1161)))/M1161)</x:f>
      </x:c>
      <x:c r="P1161" s="2" t="n">
        <x:f>'Config_v6'!$B$7</x:f>
        <x:v>10</x:v>
      </x:c>
      <x:c r="Q1161" s="2" t="n">
        <x:f>IF(OR(B1161="",F1161=""),0,IFERROR(MATCH(E1161&amp;"|"&amp;F1161,SourceTable[Source_Key],0),0))</x:f>
        <x:v>0</x:v>
      </x:c>
      <x:c r="R1161" s="2" t="str">
        <x:f>IF(B1161="","",IF(F1161="","UNUSED",IF(Q1161=0,"NOT CHECKED",IF(COUNTIF(SourceTable[Source_Key],E1161&amp;"|"&amp;F1161)&lt;&gt;1,"SOURCE CONFLICT",IF(NOT(OR(INDEX(SourceTable[Status],MAX(1,Q1161))="IMPORTED",INDEX(SourceTable[Status],MAX(1,Q1161))="PARTIAL",INDEX(SourceTable[Status],MAX(1,Q1161))="SOURCE CONFLICT")),"ACCESS BLOCKED",IF(OR(INDEX(SourceTable[Coverage],Q1161)&lt;&gt;"FULL SEASON EXPORT",INDEX(SourceTable[URL],Q1161)="",INDEX(SourceTable[SHA256],Q1161)=""),"EVIDENCE INCOMPLETE",IF(AND('Input_Meci'!H102="LIVE",INDEX(SourceTable[Retrieved_UTC],Q1161)&gt;'Input_Meci'!G102),"POST CUTOFF","CLOSED")))))))</x:f>
      </x:c>
      <x:c r="S1161" s="2" t="n">
        <x:f>IF(OR(B1161="",F1161=""),0,COUNTIFS('Istoric_Nativ'!$B$6:$B$405,E1161,'Istoric_Nativ'!$C$6:$C$405,F1161,'Istoric_Nativ'!$E$6:$E$405,G1161,'Istoric_Nativ'!$D$6:$D$405,"&lt;"&amp;J1161,'Istoric_Nativ'!$O$6:$O$405,"INVALID")+COUNTIFS('Istoric_Nativ'!$B$6:$B$405,E1161,'Istoric_Nativ'!$C$6:$C$405,F1161,'Istoric_Nativ'!$E$6:$E$405,G1161,'Istoric_Nativ'!$O$6:$O$405,"INVALID",'Istoric_Nativ'!$D$6:$D$405,"*")+COUNTIFS('Istoric_Nativ'!$B$6:$B$405,E1161,'Istoric_Nativ'!$C$6:$C$405,F1161,'Istoric_Nativ'!$E$6:$E$405,G1161,'Istoric_Nativ'!$D$6:$D$405,"&lt;"&amp;J1161,'Istoric_Nativ'!$O$6:$O$405,"SOURCE CONFLICT")+COUNTIFS('Istoric_Nativ'!$B$6:$B$405,E1161,'Istoric_Nativ'!$C$6:$C$405,F1161,'Istoric_Nativ'!$F$6:$F$405,G1161,'Istoric_Nativ'!$D$6:$D$405,"&lt;"&amp;J1161,'Istoric_Nativ'!$O$6:$O$405,"INVALID")+COUNTIFS('Istoric_Nativ'!$B$6:$B$405,E1161,'Istoric_Nativ'!$C$6:$C$405,F1161,'Istoric_Nativ'!$F$6:$F$405,G1161,'Istoric_Nativ'!$O$6:$O$405,"INVALID",'Istoric_Nativ'!$D$6:$D$405,"*")+COUNTIFS('Istoric_Nativ'!$B$6:$B$405,E1161,'Istoric_Nativ'!$C$6:$C$405,F1161,'Istoric_Nativ'!$F$6:$F$405,G1161,'Istoric_Nativ'!$D$6:$D$405,"&lt;"&amp;J1161,'Istoric_Nativ'!$O$6:$O$405,"SOURCE CONFLICT"))</x:f>
        <x:v>0</x:v>
      </x:c>
      <x:c r="T1161" s="2" t="str">
        <x:f>IF(B1161="","",IF(R1161&lt;&gt;"CLOSED",R1161,IF(S1161&gt;0,"NATIVE INPUT ISSUE",IF(M1161=0,"NO HISTORY",IF(M1161&lt;P1161,"SMALL SAMPLE","DERIVED")))))</x:f>
      </x:c>
      <x:c r="U1161" s="2" t="str">
        <x:f>IF(B1161="","","NativeTable; "&amp;E1161&amp;"; "&amp;F1161&amp;"; "&amp;G1161&amp;"; "&amp;H1161&amp;"; before "&amp;TEXT(J1161,"yyyy-mm-dd")&amp;IF(I1161="RECENT","; from "&amp;TEXT(L1161,"yyyy-mm-dd"),""))</x:f>
      </x:c>
    </x:row>
    <x:row r="1162" ht="21" customHeight="1">
      <x:c r="A1162" s="2" t="n">
        <x:v>97</x:v>
      </x:c>
      <x:c r="B1162" s="2" t="str">
        <x:f>IF('Input_Meci'!A102="","",'Input_Meci'!A102)</x:f>
      </x:c>
      <x:c r="C1162" s="2" t="str">
        <x:v>A</x:v>
      </x:c>
      <x:c r="D1162" s="2" t="str">
        <x:v>CURRENT</x:v>
      </x:c>
      <x:c r="E1162" s="2" t="str">
        <x:f>IF(B1162="","",'Input_Meci'!B102)</x:f>
      </x:c>
      <x:c r="F1162" s="2" t="str">
        <x:f>IF(B1162="","",IF('Input_Meci'!C102="","",'Input_Meci'!C102))</x:f>
      </x:c>
      <x:c r="G1162" s="2" t="str">
        <x:f>IF(B1162="","",'Input_Meci'!E102)</x:f>
      </x:c>
      <x:c r="H1162" s="2" t="str">
        <x:v>AWAY</x:v>
      </x:c>
      <x:c r="I1162" s="2" t="str">
        <x:v>HA</x:v>
      </x:c>
      <x:c r="J1162" s="9" t="n">
        <x:f>IF(AND(B1162&lt;&gt;"",ISNUMBER('Input_Meci'!G102)),INT('Input_Meci'!G102),0)</x:f>
        <x:v>0</x:v>
      </x:c>
      <x:c r="K1162" s="2" t="n">
        <x:f>IF(OR(B1162="",F1162=""),0,IF(H1162="HOME",COUNTIFS('Istoric_Nativ'!$B$6:$B$405,E1162,'Istoric_Nativ'!$C$6:$C$405,F1162,'Istoric_Nativ'!$E$6:$E$405,G1162,'Istoric_Nativ'!$D$6:$D$405,"&lt;"&amp;J1162,'Istoric_Nativ'!$P$6:$P$405,1),IF(H1162="AWAY",COUNTIFS('Istoric_Nativ'!$B$6:$B$405,E1162,'Istoric_Nativ'!$C$6:$C$405,F1162,'Istoric_Nativ'!$F$6:$F$405,G1162,'Istoric_Nativ'!$D$6:$D$405,"&lt;"&amp;J1162,'Istoric_Nativ'!$P$6:$P$405,1),COUNTIFS('Istoric_Nativ'!$B$6:$B$405,E1162,'Istoric_Nativ'!$C$6:$C$405,F1162,'Istoric_Nativ'!$E$6:$E$405,G1162,'Istoric_Nativ'!$D$6:$D$405,"&lt;"&amp;J1162,'Istoric_Nativ'!$P$6:$P$405,1)+COUNTIFS('Istoric_Nativ'!$B$6:$B$405,E1162,'Istoric_Nativ'!$C$6:$C$405,F1162,'Istoric_Nativ'!$F$6:$F$405,G1162,'Istoric_Nativ'!$D$6:$D$405,"&lt;"&amp;J1162,'Istoric_Nativ'!$P$6:$P$405,1))))</x:f>
        <x:v>0</x:v>
      </x:c>
      <x:c r="L1162" s="17" t="n">
        <x:f>IF(AND(B1162&lt;&gt;"",I1162="RECENT",K1162&gt;0),LARGE(_xlfn._xlws.FILTER('Istoric_Nativ'!$D$6:$D$405,('Istoric_Nativ'!$B$6:$B$405=E1162)*('Istoric_Nativ'!$C$6:$C$405=F1162)*('Istoric_Nativ'!$P$6:$P$405=1)*('Istoric_Nativ'!$D$6:$D$405&lt;J1162)*((('Istoric_Nativ'!$E$6:$E$405=G1162)+('Istoric_Nativ'!$F$6:$F$405=G1162))&gt;0)),MIN('Config_v6'!$B$54,K1162)),0)</x:f>
        <x:v>0</x:v>
      </x:c>
      <x:c r="M1162" s="2" t="n">
        <x:f>IF(OR(B1162="",F1162=""),0,IF(H1162="HOME",COUNTIFS('Istoric_Nativ'!$B$6:$B$405,E1162,'Istoric_Nativ'!$C$6:$C$405,F1162,'Istoric_Nativ'!$E$6:$E$405,G1162,'Istoric_Nativ'!$D$6:$D$405,"&lt;"&amp;J1162,'Istoric_Nativ'!$P$6:$P$405,1,'Istoric_Nativ'!$D$6:$D$405,"&gt;="&amp;L1162),IF(H1162="AWAY",COUNTIFS('Istoric_Nativ'!$B$6:$B$405,E1162,'Istoric_Nativ'!$C$6:$C$405,F1162,'Istoric_Nativ'!$F$6:$F$405,G1162,'Istoric_Nativ'!$D$6:$D$405,"&lt;"&amp;J1162,'Istoric_Nativ'!$P$6:$P$405,1,'Istoric_Nativ'!$D$6:$D$405,"&gt;="&amp;L1162),COUNTIFS('Istoric_Nativ'!$B$6:$B$405,E1162,'Istoric_Nativ'!$C$6:$C$405,F1162,'Istoric_Nativ'!$E$6:$E$405,G1162,'Istoric_Nativ'!$D$6:$D$405,"&lt;"&amp;J1162,'Istoric_Nativ'!$P$6:$P$405,1,'Istoric_Nativ'!$D$6:$D$405,"&gt;="&amp;L1162)+COUNTIFS('Istoric_Nativ'!$B$6:$B$405,E1162,'Istoric_Nativ'!$C$6:$C$405,F1162,'Istoric_Nativ'!$F$6:$F$405,G1162,'Istoric_Nativ'!$D$6:$D$405,"&lt;"&amp;J1162,'Istoric_Nativ'!$P$6:$P$405,1,'Istoric_Nativ'!$D$6:$D$405,"&gt;="&amp;L1162))))</x:f>
        <x:v>0</x:v>
      </x:c>
      <x:c r="N1162" s="11" t="str">
        <x:f>IF(M1162=0,"",IF(H1162="HOME",SUMIFS('Istoric_Nativ'!$G$6:$G$405,'Istoric_Nativ'!$B$6:$B$405,E1162,'Istoric_Nativ'!$C$6:$C$405,F1162,'Istoric_Nativ'!$E$6:$E$405,G1162,'Istoric_Nativ'!$D$6:$D$405,"&lt;"&amp;J1162,'Istoric_Nativ'!$P$6:$P$405,1,'Istoric_Nativ'!$D$6:$D$405,"&gt;="&amp;L1162),IF(H1162="AWAY",SUMIFS('Istoric_Nativ'!$H$6:$H$405,'Istoric_Nativ'!$B$6:$B$405,E1162,'Istoric_Nativ'!$C$6:$C$405,F1162,'Istoric_Nativ'!$F$6:$F$405,G1162,'Istoric_Nativ'!$D$6:$D$405,"&lt;"&amp;J1162,'Istoric_Nativ'!$P$6:$P$405,1,'Istoric_Nativ'!$D$6:$D$405,"&gt;="&amp;L1162),SUMIFS('Istoric_Nativ'!$G$6:$G$405,'Istoric_Nativ'!$B$6:$B$405,E1162,'Istoric_Nativ'!$C$6:$C$405,F1162,'Istoric_Nativ'!$E$6:$E$405,G1162,'Istoric_Nativ'!$D$6:$D$405,"&lt;"&amp;J1162,'Istoric_Nativ'!$P$6:$P$405,1,'Istoric_Nativ'!$D$6:$D$405,"&gt;="&amp;L1162)+SUMIFS('Istoric_Nativ'!$H$6:$H$405,'Istoric_Nativ'!$B$6:$B$405,E1162,'Istoric_Nativ'!$C$6:$C$405,F1162,'Istoric_Nativ'!$F$6:$F$405,G1162,'Istoric_Nativ'!$D$6:$D$405,"&lt;"&amp;J1162,'Istoric_Nativ'!$P$6:$P$405,1,'Istoric_Nativ'!$D$6:$D$405,"&gt;="&amp;L1162)))/M1162)</x:f>
      </x:c>
      <x:c r="O1162" s="11" t="str">
        <x:f>IF(M1162=0,"",IF(H1162="HOME",SUMIFS('Istoric_Nativ'!$H$6:$H$405,'Istoric_Nativ'!$B$6:$B$405,E1162,'Istoric_Nativ'!$C$6:$C$405,F1162,'Istoric_Nativ'!$E$6:$E$405,G1162,'Istoric_Nativ'!$D$6:$D$405,"&lt;"&amp;J1162,'Istoric_Nativ'!$P$6:$P$405,1,'Istoric_Nativ'!$D$6:$D$405,"&gt;="&amp;L1162),IF(H1162="AWAY",SUMIFS('Istoric_Nativ'!$G$6:$G$405,'Istoric_Nativ'!$B$6:$B$405,E1162,'Istoric_Nativ'!$C$6:$C$405,F1162,'Istoric_Nativ'!$F$6:$F$405,G1162,'Istoric_Nativ'!$D$6:$D$405,"&lt;"&amp;J1162,'Istoric_Nativ'!$P$6:$P$405,1,'Istoric_Nativ'!$D$6:$D$405,"&gt;="&amp;L1162),SUMIFS('Istoric_Nativ'!$H$6:$H$405,'Istoric_Nativ'!$B$6:$B$405,E1162,'Istoric_Nativ'!$C$6:$C$405,F1162,'Istoric_Nativ'!$E$6:$E$405,G1162,'Istoric_Nativ'!$D$6:$D$405,"&lt;"&amp;J1162,'Istoric_Nativ'!$P$6:$P$405,1,'Istoric_Nativ'!$D$6:$D$405,"&gt;="&amp;L1162)+SUMIFS('Istoric_Nativ'!$G$6:$G$405,'Istoric_Nativ'!$B$6:$B$405,E1162,'Istoric_Nativ'!$C$6:$C$405,F1162,'Istoric_Nativ'!$F$6:$F$405,G1162,'Istoric_Nativ'!$D$6:$D$405,"&lt;"&amp;J1162,'Istoric_Nativ'!$P$6:$P$405,1,'Istoric_Nativ'!$D$6:$D$405,"&gt;="&amp;L1162)))/M1162)</x:f>
      </x:c>
      <x:c r="P1162" s="2" t="n">
        <x:f>'Config_v6'!$B$8</x:f>
        <x:v>5</x:v>
      </x:c>
      <x:c r="Q1162" s="2" t="n">
        <x:f>IF(OR(B1162="",F1162=""),0,IFERROR(MATCH(E1162&amp;"|"&amp;F1162,SourceTable[Source_Key],0),0))</x:f>
        <x:v>0</x:v>
      </x:c>
      <x:c r="R1162" s="2" t="str">
        <x:f>IF(B1162="","",IF(F1162="","UNUSED",IF(Q1162=0,"NOT CHECKED",IF(COUNTIF(SourceTable[Source_Key],E1162&amp;"|"&amp;F1162)&lt;&gt;1,"SOURCE CONFLICT",IF(NOT(OR(INDEX(SourceTable[Status],MAX(1,Q1162))="IMPORTED",INDEX(SourceTable[Status],MAX(1,Q1162))="PARTIAL",INDEX(SourceTable[Status],MAX(1,Q1162))="SOURCE CONFLICT")),"ACCESS BLOCKED",IF(OR(INDEX(SourceTable[Coverage],Q1162)&lt;&gt;"FULL SEASON EXPORT",INDEX(SourceTable[URL],Q1162)="",INDEX(SourceTable[SHA256],Q1162)=""),"EVIDENCE INCOMPLETE",IF(AND('Input_Meci'!H102="LIVE",INDEX(SourceTable[Retrieved_UTC],Q1162)&gt;'Input_Meci'!G102),"POST CUTOFF","CLOSED")))))))</x:f>
      </x:c>
      <x:c r="S1162" s="2" t="n">
        <x:f>IF(OR(B1162="",F1162=""),0,COUNTIFS('Istoric_Nativ'!$B$6:$B$405,E1162,'Istoric_Nativ'!$C$6:$C$405,F1162,'Istoric_Nativ'!$E$6:$E$405,G1162,'Istoric_Nativ'!$D$6:$D$405,"&lt;"&amp;J1162,'Istoric_Nativ'!$O$6:$O$405,"INVALID")+COUNTIFS('Istoric_Nativ'!$B$6:$B$405,E1162,'Istoric_Nativ'!$C$6:$C$405,F1162,'Istoric_Nativ'!$E$6:$E$405,G1162,'Istoric_Nativ'!$O$6:$O$405,"INVALID",'Istoric_Nativ'!$D$6:$D$405,"*")+COUNTIFS('Istoric_Nativ'!$B$6:$B$405,E1162,'Istoric_Nativ'!$C$6:$C$405,F1162,'Istoric_Nativ'!$E$6:$E$405,G1162,'Istoric_Nativ'!$D$6:$D$405,"&lt;"&amp;J1162,'Istoric_Nativ'!$O$6:$O$405,"SOURCE CONFLICT")+COUNTIFS('Istoric_Nativ'!$B$6:$B$405,E1162,'Istoric_Nativ'!$C$6:$C$405,F1162,'Istoric_Nativ'!$F$6:$F$405,G1162,'Istoric_Nativ'!$D$6:$D$405,"&lt;"&amp;J1162,'Istoric_Nativ'!$O$6:$O$405,"INVALID")+COUNTIFS('Istoric_Nativ'!$B$6:$B$405,E1162,'Istoric_Nativ'!$C$6:$C$405,F1162,'Istoric_Nativ'!$F$6:$F$405,G1162,'Istoric_Nativ'!$O$6:$O$405,"INVALID",'Istoric_Nativ'!$D$6:$D$405,"*")+COUNTIFS('Istoric_Nativ'!$B$6:$B$405,E1162,'Istoric_Nativ'!$C$6:$C$405,F1162,'Istoric_Nativ'!$F$6:$F$405,G1162,'Istoric_Nativ'!$D$6:$D$405,"&lt;"&amp;J1162,'Istoric_Nativ'!$O$6:$O$405,"SOURCE CONFLICT"))</x:f>
        <x:v>0</x:v>
      </x:c>
      <x:c r="T1162" s="2" t="str">
        <x:f>IF(B1162="","",IF(R1162&lt;&gt;"CLOSED",R1162,IF(S1162&gt;0,"NATIVE INPUT ISSUE",IF(M1162=0,"NO HISTORY",IF(M1162&lt;P1162,"SMALL SAMPLE","DERIVED")))))</x:f>
      </x:c>
      <x:c r="U1162" s="2" t="str">
        <x:f>IF(B1162="","","NativeTable; "&amp;E1162&amp;"; "&amp;F1162&amp;"; "&amp;G1162&amp;"; "&amp;H1162&amp;"; before "&amp;TEXT(J1162,"yyyy-mm-dd")&amp;IF(I1162="RECENT","; from "&amp;TEXT(L1162,"yyyy-mm-dd"),""))</x:f>
      </x:c>
    </x:row>
    <x:row r="1163" ht="21" customHeight="1">
      <x:c r="A1163" s="2" t="n">
        <x:v>97</x:v>
      </x:c>
      <x:c r="B1163" s="2" t="str">
        <x:f>IF('Input_Meci'!A102="","",'Input_Meci'!A102)</x:f>
      </x:c>
      <x:c r="C1163" s="2" t="str">
        <x:v>A</x:v>
      </x:c>
      <x:c r="D1163" s="2" t="str">
        <x:v>CURRENT</x:v>
      </x:c>
      <x:c r="E1163" s="2" t="str">
        <x:f>IF(B1163="","",'Input_Meci'!B102)</x:f>
      </x:c>
      <x:c r="F1163" s="2" t="str">
        <x:f>IF(B1163="","",IF('Input_Meci'!C102="","",'Input_Meci'!C102))</x:f>
      </x:c>
      <x:c r="G1163" s="2" t="str">
        <x:f>IF(B1163="","",'Input_Meci'!E102)</x:f>
      </x:c>
      <x:c r="H1163" s="2" t="str">
        <x:v>ANY</x:v>
      </x:c>
      <x:c r="I1163" s="2" t="str">
        <x:v>RECENT</x:v>
      </x:c>
      <x:c r="J1163" s="9" t="n">
        <x:f>IF(AND(B1163&lt;&gt;"",ISNUMBER('Input_Meci'!G102)),INT('Input_Meci'!G102),0)</x:f>
        <x:v>0</x:v>
      </x:c>
      <x:c r="K1163" s="2" t="n">
        <x:f>IF(OR(B1163="",F1163=""),0,IF(H1163="HOME",COUNTIFS('Istoric_Nativ'!$B$6:$B$405,E1163,'Istoric_Nativ'!$C$6:$C$405,F1163,'Istoric_Nativ'!$E$6:$E$405,G1163,'Istoric_Nativ'!$D$6:$D$405,"&lt;"&amp;J1163,'Istoric_Nativ'!$P$6:$P$405,1),IF(H1163="AWAY",COUNTIFS('Istoric_Nativ'!$B$6:$B$405,E1163,'Istoric_Nativ'!$C$6:$C$405,F1163,'Istoric_Nativ'!$F$6:$F$405,G1163,'Istoric_Nativ'!$D$6:$D$405,"&lt;"&amp;J1163,'Istoric_Nativ'!$P$6:$P$405,1),COUNTIFS('Istoric_Nativ'!$B$6:$B$405,E1163,'Istoric_Nativ'!$C$6:$C$405,F1163,'Istoric_Nativ'!$E$6:$E$405,G1163,'Istoric_Nativ'!$D$6:$D$405,"&lt;"&amp;J1163,'Istoric_Nativ'!$P$6:$P$405,1)+COUNTIFS('Istoric_Nativ'!$B$6:$B$405,E1163,'Istoric_Nativ'!$C$6:$C$405,F1163,'Istoric_Nativ'!$F$6:$F$405,G1163,'Istoric_Nativ'!$D$6:$D$405,"&lt;"&amp;J1163,'Istoric_Nativ'!$P$6:$P$405,1))))</x:f>
        <x:v>0</x:v>
      </x:c>
      <x:c r="L1163" s="17" t="n">
        <x:f>IF(AND(B1163&lt;&gt;"",I1163="RECENT",K1163&gt;0),LARGE(_xlfn._xlws.FILTER('Istoric_Nativ'!$D$6:$D$405,('Istoric_Nativ'!$B$6:$B$405=E1163)*('Istoric_Nativ'!$C$6:$C$405=F1163)*('Istoric_Nativ'!$P$6:$P$405=1)*('Istoric_Nativ'!$D$6:$D$405&lt;J1163)*((('Istoric_Nativ'!$E$6:$E$405=G1163)+('Istoric_Nativ'!$F$6:$F$405=G1163))&gt;0)),MIN('Config_v6'!$B$54,K1163)),0)</x:f>
        <x:v>0</x:v>
      </x:c>
      <x:c r="M1163" s="2" t="n">
        <x:f>IF(OR(B1163="",F1163=""),0,IF(H1163="HOME",COUNTIFS('Istoric_Nativ'!$B$6:$B$405,E1163,'Istoric_Nativ'!$C$6:$C$405,F1163,'Istoric_Nativ'!$E$6:$E$405,G1163,'Istoric_Nativ'!$D$6:$D$405,"&lt;"&amp;J1163,'Istoric_Nativ'!$P$6:$P$405,1,'Istoric_Nativ'!$D$6:$D$405,"&gt;="&amp;L1163),IF(H1163="AWAY",COUNTIFS('Istoric_Nativ'!$B$6:$B$405,E1163,'Istoric_Nativ'!$C$6:$C$405,F1163,'Istoric_Nativ'!$F$6:$F$405,G1163,'Istoric_Nativ'!$D$6:$D$405,"&lt;"&amp;J1163,'Istoric_Nativ'!$P$6:$P$405,1,'Istoric_Nativ'!$D$6:$D$405,"&gt;="&amp;L1163),COUNTIFS('Istoric_Nativ'!$B$6:$B$405,E1163,'Istoric_Nativ'!$C$6:$C$405,F1163,'Istoric_Nativ'!$E$6:$E$405,G1163,'Istoric_Nativ'!$D$6:$D$405,"&lt;"&amp;J1163,'Istoric_Nativ'!$P$6:$P$405,1,'Istoric_Nativ'!$D$6:$D$405,"&gt;="&amp;L1163)+COUNTIFS('Istoric_Nativ'!$B$6:$B$405,E1163,'Istoric_Nativ'!$C$6:$C$405,F1163,'Istoric_Nativ'!$F$6:$F$405,G1163,'Istoric_Nativ'!$D$6:$D$405,"&lt;"&amp;J1163,'Istoric_Nativ'!$P$6:$P$405,1,'Istoric_Nativ'!$D$6:$D$405,"&gt;="&amp;L1163))))</x:f>
        <x:v>0</x:v>
      </x:c>
      <x:c r="N1163" s="11" t="str">
        <x:f>IF(M1163=0,"",IF(H1163="HOME",SUMIFS('Istoric_Nativ'!$G$6:$G$405,'Istoric_Nativ'!$B$6:$B$405,E1163,'Istoric_Nativ'!$C$6:$C$405,F1163,'Istoric_Nativ'!$E$6:$E$405,G1163,'Istoric_Nativ'!$D$6:$D$405,"&lt;"&amp;J1163,'Istoric_Nativ'!$P$6:$P$405,1,'Istoric_Nativ'!$D$6:$D$405,"&gt;="&amp;L1163),IF(H1163="AWAY",SUMIFS('Istoric_Nativ'!$H$6:$H$405,'Istoric_Nativ'!$B$6:$B$405,E1163,'Istoric_Nativ'!$C$6:$C$405,F1163,'Istoric_Nativ'!$F$6:$F$405,G1163,'Istoric_Nativ'!$D$6:$D$405,"&lt;"&amp;J1163,'Istoric_Nativ'!$P$6:$P$405,1,'Istoric_Nativ'!$D$6:$D$405,"&gt;="&amp;L1163),SUMIFS('Istoric_Nativ'!$G$6:$G$405,'Istoric_Nativ'!$B$6:$B$405,E1163,'Istoric_Nativ'!$C$6:$C$405,F1163,'Istoric_Nativ'!$E$6:$E$405,G1163,'Istoric_Nativ'!$D$6:$D$405,"&lt;"&amp;J1163,'Istoric_Nativ'!$P$6:$P$405,1,'Istoric_Nativ'!$D$6:$D$405,"&gt;="&amp;L1163)+SUMIFS('Istoric_Nativ'!$H$6:$H$405,'Istoric_Nativ'!$B$6:$B$405,E1163,'Istoric_Nativ'!$C$6:$C$405,F1163,'Istoric_Nativ'!$F$6:$F$405,G1163,'Istoric_Nativ'!$D$6:$D$405,"&lt;"&amp;J1163,'Istoric_Nativ'!$P$6:$P$405,1,'Istoric_Nativ'!$D$6:$D$405,"&gt;="&amp;L1163)))/M1163)</x:f>
      </x:c>
      <x:c r="O1163" s="11" t="str">
        <x:f>IF(M1163=0,"",IF(H1163="HOME",SUMIFS('Istoric_Nativ'!$H$6:$H$405,'Istoric_Nativ'!$B$6:$B$405,E1163,'Istoric_Nativ'!$C$6:$C$405,F1163,'Istoric_Nativ'!$E$6:$E$405,G1163,'Istoric_Nativ'!$D$6:$D$405,"&lt;"&amp;J1163,'Istoric_Nativ'!$P$6:$P$405,1,'Istoric_Nativ'!$D$6:$D$405,"&gt;="&amp;L1163),IF(H1163="AWAY",SUMIFS('Istoric_Nativ'!$G$6:$G$405,'Istoric_Nativ'!$B$6:$B$405,E1163,'Istoric_Nativ'!$C$6:$C$405,F1163,'Istoric_Nativ'!$F$6:$F$405,G1163,'Istoric_Nativ'!$D$6:$D$405,"&lt;"&amp;J1163,'Istoric_Nativ'!$P$6:$P$405,1,'Istoric_Nativ'!$D$6:$D$405,"&gt;="&amp;L1163),SUMIFS('Istoric_Nativ'!$H$6:$H$405,'Istoric_Nativ'!$B$6:$B$405,E1163,'Istoric_Nativ'!$C$6:$C$405,F1163,'Istoric_Nativ'!$E$6:$E$405,G1163,'Istoric_Nativ'!$D$6:$D$405,"&lt;"&amp;J1163,'Istoric_Nativ'!$P$6:$P$405,1,'Istoric_Nativ'!$D$6:$D$405,"&gt;="&amp;L1163)+SUMIFS('Istoric_Nativ'!$G$6:$G$405,'Istoric_Nativ'!$B$6:$B$405,E1163,'Istoric_Nativ'!$C$6:$C$405,F1163,'Istoric_Nativ'!$F$6:$F$405,G1163,'Istoric_Nativ'!$D$6:$D$405,"&lt;"&amp;J1163,'Istoric_Nativ'!$P$6:$P$405,1,'Istoric_Nativ'!$D$6:$D$405,"&gt;="&amp;L1163)))/M1163)</x:f>
      </x:c>
      <x:c r="P1163" s="2" t="n">
        <x:f>'Config_v6'!$B$9</x:f>
        <x:v>3</x:v>
      </x:c>
      <x:c r="Q1163" s="2" t="n">
        <x:f>IF(OR(B1163="",F1163=""),0,IFERROR(MATCH(E1163&amp;"|"&amp;F1163,SourceTable[Source_Key],0),0))</x:f>
        <x:v>0</x:v>
      </x:c>
      <x:c r="R1163" s="2" t="str">
        <x:f>IF(B1163="","",IF(F1163="","UNUSED",IF(Q1163=0,"NOT CHECKED",IF(COUNTIF(SourceTable[Source_Key],E1163&amp;"|"&amp;F1163)&lt;&gt;1,"SOURCE CONFLICT",IF(NOT(OR(INDEX(SourceTable[Status],MAX(1,Q1163))="IMPORTED",INDEX(SourceTable[Status],MAX(1,Q1163))="PARTIAL",INDEX(SourceTable[Status],MAX(1,Q1163))="SOURCE CONFLICT")),"ACCESS BLOCKED",IF(OR(INDEX(SourceTable[Coverage],Q1163)&lt;&gt;"FULL SEASON EXPORT",INDEX(SourceTable[URL],Q1163)="",INDEX(SourceTable[SHA256],Q1163)=""),"EVIDENCE INCOMPLETE",IF(AND('Input_Meci'!H102="LIVE",INDEX(SourceTable[Retrieved_UTC],Q1163)&gt;'Input_Meci'!G102),"POST CUTOFF","CLOSED")))))))</x:f>
      </x:c>
      <x:c r="S1163" s="2" t="n">
        <x:f>IF(OR(B1163="",F1163=""),0,COUNTIFS('Istoric_Nativ'!$B$6:$B$405,E1163,'Istoric_Nativ'!$C$6:$C$405,F1163,'Istoric_Nativ'!$E$6:$E$405,G1163,'Istoric_Nativ'!$D$6:$D$405,"&lt;"&amp;J1163,'Istoric_Nativ'!$O$6:$O$405,"INVALID")+COUNTIFS('Istoric_Nativ'!$B$6:$B$405,E1163,'Istoric_Nativ'!$C$6:$C$405,F1163,'Istoric_Nativ'!$E$6:$E$405,G1163,'Istoric_Nativ'!$O$6:$O$405,"INVALID",'Istoric_Nativ'!$D$6:$D$405,"*")+COUNTIFS('Istoric_Nativ'!$B$6:$B$405,E1163,'Istoric_Nativ'!$C$6:$C$405,F1163,'Istoric_Nativ'!$E$6:$E$405,G1163,'Istoric_Nativ'!$D$6:$D$405,"&lt;"&amp;J1163,'Istoric_Nativ'!$O$6:$O$405,"SOURCE CONFLICT")+COUNTIFS('Istoric_Nativ'!$B$6:$B$405,E1163,'Istoric_Nativ'!$C$6:$C$405,F1163,'Istoric_Nativ'!$F$6:$F$405,G1163,'Istoric_Nativ'!$D$6:$D$405,"&lt;"&amp;J1163,'Istoric_Nativ'!$O$6:$O$405,"INVALID")+COUNTIFS('Istoric_Nativ'!$B$6:$B$405,E1163,'Istoric_Nativ'!$C$6:$C$405,F1163,'Istoric_Nativ'!$F$6:$F$405,G1163,'Istoric_Nativ'!$O$6:$O$405,"INVALID",'Istoric_Nativ'!$D$6:$D$405,"*")+COUNTIFS('Istoric_Nativ'!$B$6:$B$405,E1163,'Istoric_Nativ'!$C$6:$C$405,F1163,'Istoric_Nativ'!$F$6:$F$405,G1163,'Istoric_Nativ'!$D$6:$D$405,"&lt;"&amp;J1163,'Istoric_Nativ'!$O$6:$O$405,"SOURCE CONFLICT"))</x:f>
        <x:v>0</x:v>
      </x:c>
      <x:c r="T1163" s="2" t="str">
        <x:f>IF(B1163="","",IF(R1163&lt;&gt;"CLOSED",R1163,IF(S1163&gt;0,"NATIVE INPUT ISSUE",IF(M1163=0,"NO HISTORY",IF(M1163&lt;P1163,"SMALL SAMPLE","DERIVED")))))</x:f>
      </x:c>
      <x:c r="U1163" s="2" t="str">
        <x:f>IF(B1163="","","NativeTable; "&amp;E1163&amp;"; "&amp;F1163&amp;"; "&amp;G1163&amp;"; "&amp;H1163&amp;"; before "&amp;TEXT(J1163,"yyyy-mm-dd")&amp;IF(I1163="RECENT","; from "&amp;TEXT(L1163,"yyyy-mm-dd"),""))</x:f>
      </x:c>
    </x:row>
    <x:row r="1164" ht="21" customHeight="1">
      <x:c r="A1164" s="2" t="n">
        <x:v>97</x:v>
      </x:c>
      <x:c r="B1164" s="2" t="str">
        <x:f>IF('Input_Meci'!A102="","",'Input_Meci'!A102)</x:f>
      </x:c>
      <x:c r="C1164" s="2" t="str">
        <x:v>H</x:v>
      </x:c>
      <x:c r="D1164" s="2" t="str">
        <x:v>PRIOR</x:v>
      </x:c>
      <x:c r="E1164" s="2" t="str">
        <x:f>IF(B1164="","",'Input_Meci'!B102)</x:f>
      </x:c>
      <x:c r="F1164" s="2" t="str">
        <x:f>IF(B1164="","",IF('Input_Meci'!K102="","",'Input_Meci'!K102))</x:f>
      </x:c>
      <x:c r="G1164" s="2" t="str">
        <x:f>IF(B1164="","",'Input_Meci'!D102)</x:f>
      </x:c>
      <x:c r="H1164" s="2" t="str">
        <x:v>ANY</x:v>
      </x:c>
      <x:c r="I1164" s="2" t="str">
        <x:v>SEASON</x:v>
      </x:c>
      <x:c r="J1164" s="9" t="n">
        <x:f>IF(AND(B1164&lt;&gt;"",ISNUMBER('Input_Meci'!G102)),INT('Input_Meci'!G102),0)</x:f>
        <x:v>0</x:v>
      </x:c>
      <x:c r="K1164" s="2" t="n">
        <x:f>IF(OR(B1164="",F1164=""),0,IF(H1164="HOME",COUNTIFS('Istoric_Nativ'!$B$6:$B$405,E1164,'Istoric_Nativ'!$C$6:$C$405,F1164,'Istoric_Nativ'!$E$6:$E$405,G1164,'Istoric_Nativ'!$D$6:$D$405,"&lt;"&amp;J1164,'Istoric_Nativ'!$P$6:$P$405,1),IF(H1164="AWAY",COUNTIFS('Istoric_Nativ'!$B$6:$B$405,E1164,'Istoric_Nativ'!$C$6:$C$405,F1164,'Istoric_Nativ'!$F$6:$F$405,G1164,'Istoric_Nativ'!$D$6:$D$405,"&lt;"&amp;J1164,'Istoric_Nativ'!$P$6:$P$405,1),COUNTIFS('Istoric_Nativ'!$B$6:$B$405,E1164,'Istoric_Nativ'!$C$6:$C$405,F1164,'Istoric_Nativ'!$E$6:$E$405,G1164,'Istoric_Nativ'!$D$6:$D$405,"&lt;"&amp;J1164,'Istoric_Nativ'!$P$6:$P$405,1)+COUNTIFS('Istoric_Nativ'!$B$6:$B$405,E1164,'Istoric_Nativ'!$C$6:$C$405,F1164,'Istoric_Nativ'!$F$6:$F$405,G1164,'Istoric_Nativ'!$D$6:$D$405,"&lt;"&amp;J1164,'Istoric_Nativ'!$P$6:$P$405,1))))</x:f>
        <x:v>0</x:v>
      </x:c>
      <x:c r="L1164" s="17" t="n">
        <x:f>IF(AND(B1164&lt;&gt;"",I1164="RECENT",K1164&gt;0),LARGE(_xlfn._xlws.FILTER('Istoric_Nativ'!$D$6:$D$405,('Istoric_Nativ'!$B$6:$B$405=E1164)*('Istoric_Nativ'!$C$6:$C$405=F1164)*('Istoric_Nativ'!$P$6:$P$405=1)*('Istoric_Nativ'!$D$6:$D$405&lt;J1164)*((('Istoric_Nativ'!$E$6:$E$405=G1164)+('Istoric_Nativ'!$F$6:$F$405=G1164))&gt;0)),MIN('Config_v6'!$B$54,K1164)),0)</x:f>
        <x:v>0</x:v>
      </x:c>
      <x:c r="M1164" s="2" t="n">
        <x:f>IF(OR(B1164="",F1164=""),0,IF(H1164="HOME",COUNTIFS('Istoric_Nativ'!$B$6:$B$405,E1164,'Istoric_Nativ'!$C$6:$C$405,F1164,'Istoric_Nativ'!$E$6:$E$405,G1164,'Istoric_Nativ'!$D$6:$D$405,"&lt;"&amp;J1164,'Istoric_Nativ'!$P$6:$P$405,1,'Istoric_Nativ'!$D$6:$D$405,"&gt;="&amp;L1164),IF(H1164="AWAY",COUNTIFS('Istoric_Nativ'!$B$6:$B$405,E1164,'Istoric_Nativ'!$C$6:$C$405,F1164,'Istoric_Nativ'!$F$6:$F$405,G1164,'Istoric_Nativ'!$D$6:$D$405,"&lt;"&amp;J1164,'Istoric_Nativ'!$P$6:$P$405,1,'Istoric_Nativ'!$D$6:$D$405,"&gt;="&amp;L1164),COUNTIFS('Istoric_Nativ'!$B$6:$B$405,E1164,'Istoric_Nativ'!$C$6:$C$405,F1164,'Istoric_Nativ'!$E$6:$E$405,G1164,'Istoric_Nativ'!$D$6:$D$405,"&lt;"&amp;J1164,'Istoric_Nativ'!$P$6:$P$405,1,'Istoric_Nativ'!$D$6:$D$405,"&gt;="&amp;L1164)+COUNTIFS('Istoric_Nativ'!$B$6:$B$405,E1164,'Istoric_Nativ'!$C$6:$C$405,F1164,'Istoric_Nativ'!$F$6:$F$405,G1164,'Istoric_Nativ'!$D$6:$D$405,"&lt;"&amp;J1164,'Istoric_Nativ'!$P$6:$P$405,1,'Istoric_Nativ'!$D$6:$D$405,"&gt;="&amp;L1164))))</x:f>
        <x:v>0</x:v>
      </x:c>
      <x:c r="N1164" s="11" t="str">
        <x:f>IF(M1164=0,"",IF(H1164="HOME",SUMIFS('Istoric_Nativ'!$G$6:$G$405,'Istoric_Nativ'!$B$6:$B$405,E1164,'Istoric_Nativ'!$C$6:$C$405,F1164,'Istoric_Nativ'!$E$6:$E$405,G1164,'Istoric_Nativ'!$D$6:$D$405,"&lt;"&amp;J1164,'Istoric_Nativ'!$P$6:$P$405,1,'Istoric_Nativ'!$D$6:$D$405,"&gt;="&amp;L1164),IF(H1164="AWAY",SUMIFS('Istoric_Nativ'!$H$6:$H$405,'Istoric_Nativ'!$B$6:$B$405,E1164,'Istoric_Nativ'!$C$6:$C$405,F1164,'Istoric_Nativ'!$F$6:$F$405,G1164,'Istoric_Nativ'!$D$6:$D$405,"&lt;"&amp;J1164,'Istoric_Nativ'!$P$6:$P$405,1,'Istoric_Nativ'!$D$6:$D$405,"&gt;="&amp;L1164),SUMIFS('Istoric_Nativ'!$G$6:$G$405,'Istoric_Nativ'!$B$6:$B$405,E1164,'Istoric_Nativ'!$C$6:$C$405,F1164,'Istoric_Nativ'!$E$6:$E$405,G1164,'Istoric_Nativ'!$D$6:$D$405,"&lt;"&amp;J1164,'Istoric_Nativ'!$P$6:$P$405,1,'Istoric_Nativ'!$D$6:$D$405,"&gt;="&amp;L1164)+SUMIFS('Istoric_Nativ'!$H$6:$H$405,'Istoric_Nativ'!$B$6:$B$405,E1164,'Istoric_Nativ'!$C$6:$C$405,F1164,'Istoric_Nativ'!$F$6:$F$405,G1164,'Istoric_Nativ'!$D$6:$D$405,"&lt;"&amp;J1164,'Istoric_Nativ'!$P$6:$P$405,1,'Istoric_Nativ'!$D$6:$D$405,"&gt;="&amp;L1164)))/M1164)</x:f>
      </x:c>
      <x:c r="O1164" s="11" t="str">
        <x:f>IF(M1164=0,"",IF(H1164="HOME",SUMIFS('Istoric_Nativ'!$H$6:$H$405,'Istoric_Nativ'!$B$6:$B$405,E1164,'Istoric_Nativ'!$C$6:$C$405,F1164,'Istoric_Nativ'!$E$6:$E$405,G1164,'Istoric_Nativ'!$D$6:$D$405,"&lt;"&amp;J1164,'Istoric_Nativ'!$P$6:$P$405,1,'Istoric_Nativ'!$D$6:$D$405,"&gt;="&amp;L1164),IF(H1164="AWAY",SUMIFS('Istoric_Nativ'!$G$6:$G$405,'Istoric_Nativ'!$B$6:$B$405,E1164,'Istoric_Nativ'!$C$6:$C$405,F1164,'Istoric_Nativ'!$F$6:$F$405,G1164,'Istoric_Nativ'!$D$6:$D$405,"&lt;"&amp;J1164,'Istoric_Nativ'!$P$6:$P$405,1,'Istoric_Nativ'!$D$6:$D$405,"&gt;="&amp;L1164),SUMIFS('Istoric_Nativ'!$H$6:$H$405,'Istoric_Nativ'!$B$6:$B$405,E1164,'Istoric_Nativ'!$C$6:$C$405,F1164,'Istoric_Nativ'!$E$6:$E$405,G1164,'Istoric_Nativ'!$D$6:$D$405,"&lt;"&amp;J1164,'Istoric_Nativ'!$P$6:$P$405,1,'Istoric_Nativ'!$D$6:$D$405,"&gt;="&amp;L1164)+SUMIFS('Istoric_Nativ'!$G$6:$G$405,'Istoric_Nativ'!$B$6:$B$405,E1164,'Istoric_Nativ'!$C$6:$C$405,F1164,'Istoric_Nativ'!$F$6:$F$405,G1164,'Istoric_Nativ'!$D$6:$D$405,"&lt;"&amp;J1164,'Istoric_Nativ'!$P$6:$P$405,1,'Istoric_Nativ'!$D$6:$D$405,"&gt;="&amp;L1164)))/M1164)</x:f>
      </x:c>
      <x:c r="P1164" s="2" t="n">
        <x:f>'Config_v6'!$B$7</x:f>
        <x:v>10</x:v>
      </x:c>
      <x:c r="Q1164" s="2" t="n">
        <x:f>IF(OR(B1164="",F1164=""),0,IFERROR(MATCH(E1164&amp;"|"&amp;F1164,SourceTable[Source_Key],0),0))</x:f>
        <x:v>0</x:v>
      </x:c>
      <x:c r="R1164" s="2" t="str">
        <x:f>IF(B1164="","",IF(F1164="","UNUSED",IF(Q1164=0,"NOT CHECKED",IF(COUNTIF(SourceTable[Source_Key],E1164&amp;"|"&amp;F1164)&lt;&gt;1,"SOURCE CONFLICT",IF(NOT(OR(INDEX(SourceTable[Status],MAX(1,Q1164))="IMPORTED",INDEX(SourceTable[Status],MAX(1,Q1164))="PARTIAL",INDEX(SourceTable[Status],MAX(1,Q1164))="SOURCE CONFLICT")),"ACCESS BLOCKED",IF(OR(INDEX(SourceTable[Coverage],Q1164)&lt;&gt;"FULL SEASON EXPORT",INDEX(SourceTable[URL],Q1164)="",INDEX(SourceTable[SHA256],Q1164)=""),"EVIDENCE INCOMPLETE",IF(AND('Input_Meci'!H102="LIVE",INDEX(SourceTable[Retrieved_UTC],Q1164)&gt;'Input_Meci'!G102),"POST CUTOFF","CLOSED")))))))</x:f>
      </x:c>
      <x:c r="S1164" s="2" t="n">
        <x:f>IF(OR(B1164="",F1164=""),0,COUNTIFS('Istoric_Nativ'!$B$6:$B$405,E1164,'Istoric_Nativ'!$C$6:$C$405,F1164,'Istoric_Nativ'!$E$6:$E$405,G1164,'Istoric_Nativ'!$D$6:$D$405,"&lt;"&amp;J1164,'Istoric_Nativ'!$O$6:$O$405,"INVALID")+COUNTIFS('Istoric_Nativ'!$B$6:$B$405,E1164,'Istoric_Nativ'!$C$6:$C$405,F1164,'Istoric_Nativ'!$E$6:$E$405,G1164,'Istoric_Nativ'!$O$6:$O$405,"INVALID",'Istoric_Nativ'!$D$6:$D$405,"*")+COUNTIFS('Istoric_Nativ'!$B$6:$B$405,E1164,'Istoric_Nativ'!$C$6:$C$405,F1164,'Istoric_Nativ'!$E$6:$E$405,G1164,'Istoric_Nativ'!$D$6:$D$405,"&lt;"&amp;J1164,'Istoric_Nativ'!$O$6:$O$405,"SOURCE CONFLICT")+COUNTIFS('Istoric_Nativ'!$B$6:$B$405,E1164,'Istoric_Nativ'!$C$6:$C$405,F1164,'Istoric_Nativ'!$F$6:$F$405,G1164,'Istoric_Nativ'!$D$6:$D$405,"&lt;"&amp;J1164,'Istoric_Nativ'!$O$6:$O$405,"INVALID")+COUNTIFS('Istoric_Nativ'!$B$6:$B$405,E1164,'Istoric_Nativ'!$C$6:$C$405,F1164,'Istoric_Nativ'!$F$6:$F$405,G1164,'Istoric_Nativ'!$O$6:$O$405,"INVALID",'Istoric_Nativ'!$D$6:$D$405,"*")+COUNTIFS('Istoric_Nativ'!$B$6:$B$405,E1164,'Istoric_Nativ'!$C$6:$C$405,F1164,'Istoric_Nativ'!$F$6:$F$405,G1164,'Istoric_Nativ'!$D$6:$D$405,"&lt;"&amp;J1164,'Istoric_Nativ'!$O$6:$O$405,"SOURCE CONFLICT"))</x:f>
        <x:v>0</x:v>
      </x:c>
      <x:c r="T1164" s="2" t="str">
        <x:f>IF(B1164="","",IF(R1164&lt;&gt;"CLOSED",R1164,IF(S1164&gt;0,"NATIVE INPUT ISSUE",IF(M1164=0,"NO HISTORY",IF(M1164&lt;P1164,"SMALL SAMPLE","DERIVED")))))</x:f>
      </x:c>
      <x:c r="U1164" s="2" t="str">
        <x:f>IF(B1164="","","NativeTable; "&amp;E1164&amp;"; "&amp;F1164&amp;"; "&amp;G1164&amp;"; "&amp;H1164&amp;"; before "&amp;TEXT(J1164,"yyyy-mm-dd")&amp;IF(I1164="RECENT","; from "&amp;TEXT(L1164,"yyyy-mm-dd"),""))</x:f>
      </x:c>
    </x:row>
    <x:row r="1165" ht="21" customHeight="1">
      <x:c r="A1165" s="2" t="n">
        <x:v>97</x:v>
      </x:c>
      <x:c r="B1165" s="2" t="str">
        <x:f>IF('Input_Meci'!A102="","",'Input_Meci'!A102)</x:f>
      </x:c>
      <x:c r="C1165" s="2" t="str">
        <x:v>H</x:v>
      </x:c>
      <x:c r="D1165" s="2" t="str">
        <x:v>PRIOR</x:v>
      </x:c>
      <x:c r="E1165" s="2" t="str">
        <x:f>IF(B1165="","",'Input_Meci'!B102)</x:f>
      </x:c>
      <x:c r="F1165" s="2" t="str">
        <x:f>IF(B1165="","",IF('Input_Meci'!K102="","",'Input_Meci'!K102))</x:f>
      </x:c>
      <x:c r="G1165" s="2" t="str">
        <x:f>IF(B1165="","",'Input_Meci'!D102)</x:f>
      </x:c>
      <x:c r="H1165" s="2" t="str">
        <x:v>HOME</x:v>
      </x:c>
      <x:c r="I1165" s="2" t="str">
        <x:v>HA</x:v>
      </x:c>
      <x:c r="J1165" s="9" t="n">
        <x:f>IF(AND(B1165&lt;&gt;"",ISNUMBER('Input_Meci'!G102)),INT('Input_Meci'!G102),0)</x:f>
        <x:v>0</x:v>
      </x:c>
      <x:c r="K1165" s="2" t="n">
        <x:f>IF(OR(B1165="",F1165=""),0,IF(H1165="HOME",COUNTIFS('Istoric_Nativ'!$B$6:$B$405,E1165,'Istoric_Nativ'!$C$6:$C$405,F1165,'Istoric_Nativ'!$E$6:$E$405,G1165,'Istoric_Nativ'!$D$6:$D$405,"&lt;"&amp;J1165,'Istoric_Nativ'!$P$6:$P$405,1),IF(H1165="AWAY",COUNTIFS('Istoric_Nativ'!$B$6:$B$405,E1165,'Istoric_Nativ'!$C$6:$C$405,F1165,'Istoric_Nativ'!$F$6:$F$405,G1165,'Istoric_Nativ'!$D$6:$D$405,"&lt;"&amp;J1165,'Istoric_Nativ'!$P$6:$P$405,1),COUNTIFS('Istoric_Nativ'!$B$6:$B$405,E1165,'Istoric_Nativ'!$C$6:$C$405,F1165,'Istoric_Nativ'!$E$6:$E$405,G1165,'Istoric_Nativ'!$D$6:$D$405,"&lt;"&amp;J1165,'Istoric_Nativ'!$P$6:$P$405,1)+COUNTIFS('Istoric_Nativ'!$B$6:$B$405,E1165,'Istoric_Nativ'!$C$6:$C$405,F1165,'Istoric_Nativ'!$F$6:$F$405,G1165,'Istoric_Nativ'!$D$6:$D$405,"&lt;"&amp;J1165,'Istoric_Nativ'!$P$6:$P$405,1))))</x:f>
        <x:v>0</x:v>
      </x:c>
      <x:c r="L1165" s="17" t="n">
        <x:f>IF(AND(B1165&lt;&gt;"",I1165="RECENT",K1165&gt;0),LARGE(_xlfn._xlws.FILTER('Istoric_Nativ'!$D$6:$D$405,('Istoric_Nativ'!$B$6:$B$405=E1165)*('Istoric_Nativ'!$C$6:$C$405=F1165)*('Istoric_Nativ'!$P$6:$P$405=1)*('Istoric_Nativ'!$D$6:$D$405&lt;J1165)*((('Istoric_Nativ'!$E$6:$E$405=G1165)+('Istoric_Nativ'!$F$6:$F$405=G1165))&gt;0)),MIN('Config_v6'!$B$54,K1165)),0)</x:f>
        <x:v>0</x:v>
      </x:c>
      <x:c r="M1165" s="2" t="n">
        <x:f>IF(OR(B1165="",F1165=""),0,IF(H1165="HOME",COUNTIFS('Istoric_Nativ'!$B$6:$B$405,E1165,'Istoric_Nativ'!$C$6:$C$405,F1165,'Istoric_Nativ'!$E$6:$E$405,G1165,'Istoric_Nativ'!$D$6:$D$405,"&lt;"&amp;J1165,'Istoric_Nativ'!$P$6:$P$405,1,'Istoric_Nativ'!$D$6:$D$405,"&gt;="&amp;L1165),IF(H1165="AWAY",COUNTIFS('Istoric_Nativ'!$B$6:$B$405,E1165,'Istoric_Nativ'!$C$6:$C$405,F1165,'Istoric_Nativ'!$F$6:$F$405,G1165,'Istoric_Nativ'!$D$6:$D$405,"&lt;"&amp;J1165,'Istoric_Nativ'!$P$6:$P$405,1,'Istoric_Nativ'!$D$6:$D$405,"&gt;="&amp;L1165),COUNTIFS('Istoric_Nativ'!$B$6:$B$405,E1165,'Istoric_Nativ'!$C$6:$C$405,F1165,'Istoric_Nativ'!$E$6:$E$405,G1165,'Istoric_Nativ'!$D$6:$D$405,"&lt;"&amp;J1165,'Istoric_Nativ'!$P$6:$P$405,1,'Istoric_Nativ'!$D$6:$D$405,"&gt;="&amp;L1165)+COUNTIFS('Istoric_Nativ'!$B$6:$B$405,E1165,'Istoric_Nativ'!$C$6:$C$405,F1165,'Istoric_Nativ'!$F$6:$F$405,G1165,'Istoric_Nativ'!$D$6:$D$405,"&lt;"&amp;J1165,'Istoric_Nativ'!$P$6:$P$405,1,'Istoric_Nativ'!$D$6:$D$405,"&gt;="&amp;L1165))))</x:f>
        <x:v>0</x:v>
      </x:c>
      <x:c r="N1165" s="11" t="str">
        <x:f>IF(M1165=0,"",IF(H1165="HOME",SUMIFS('Istoric_Nativ'!$G$6:$G$405,'Istoric_Nativ'!$B$6:$B$405,E1165,'Istoric_Nativ'!$C$6:$C$405,F1165,'Istoric_Nativ'!$E$6:$E$405,G1165,'Istoric_Nativ'!$D$6:$D$405,"&lt;"&amp;J1165,'Istoric_Nativ'!$P$6:$P$405,1,'Istoric_Nativ'!$D$6:$D$405,"&gt;="&amp;L1165),IF(H1165="AWAY",SUMIFS('Istoric_Nativ'!$H$6:$H$405,'Istoric_Nativ'!$B$6:$B$405,E1165,'Istoric_Nativ'!$C$6:$C$405,F1165,'Istoric_Nativ'!$F$6:$F$405,G1165,'Istoric_Nativ'!$D$6:$D$405,"&lt;"&amp;J1165,'Istoric_Nativ'!$P$6:$P$405,1,'Istoric_Nativ'!$D$6:$D$405,"&gt;="&amp;L1165),SUMIFS('Istoric_Nativ'!$G$6:$G$405,'Istoric_Nativ'!$B$6:$B$405,E1165,'Istoric_Nativ'!$C$6:$C$405,F1165,'Istoric_Nativ'!$E$6:$E$405,G1165,'Istoric_Nativ'!$D$6:$D$405,"&lt;"&amp;J1165,'Istoric_Nativ'!$P$6:$P$405,1,'Istoric_Nativ'!$D$6:$D$405,"&gt;="&amp;L1165)+SUMIFS('Istoric_Nativ'!$H$6:$H$405,'Istoric_Nativ'!$B$6:$B$405,E1165,'Istoric_Nativ'!$C$6:$C$405,F1165,'Istoric_Nativ'!$F$6:$F$405,G1165,'Istoric_Nativ'!$D$6:$D$405,"&lt;"&amp;J1165,'Istoric_Nativ'!$P$6:$P$405,1,'Istoric_Nativ'!$D$6:$D$405,"&gt;="&amp;L1165)))/M1165)</x:f>
      </x:c>
      <x:c r="O1165" s="11" t="str">
        <x:f>IF(M1165=0,"",IF(H1165="HOME",SUMIFS('Istoric_Nativ'!$H$6:$H$405,'Istoric_Nativ'!$B$6:$B$405,E1165,'Istoric_Nativ'!$C$6:$C$405,F1165,'Istoric_Nativ'!$E$6:$E$405,G1165,'Istoric_Nativ'!$D$6:$D$405,"&lt;"&amp;J1165,'Istoric_Nativ'!$P$6:$P$405,1,'Istoric_Nativ'!$D$6:$D$405,"&gt;="&amp;L1165),IF(H1165="AWAY",SUMIFS('Istoric_Nativ'!$G$6:$G$405,'Istoric_Nativ'!$B$6:$B$405,E1165,'Istoric_Nativ'!$C$6:$C$405,F1165,'Istoric_Nativ'!$F$6:$F$405,G1165,'Istoric_Nativ'!$D$6:$D$405,"&lt;"&amp;J1165,'Istoric_Nativ'!$P$6:$P$405,1,'Istoric_Nativ'!$D$6:$D$405,"&gt;="&amp;L1165),SUMIFS('Istoric_Nativ'!$H$6:$H$405,'Istoric_Nativ'!$B$6:$B$405,E1165,'Istoric_Nativ'!$C$6:$C$405,F1165,'Istoric_Nativ'!$E$6:$E$405,G1165,'Istoric_Nativ'!$D$6:$D$405,"&lt;"&amp;J1165,'Istoric_Nativ'!$P$6:$P$405,1,'Istoric_Nativ'!$D$6:$D$405,"&gt;="&amp;L1165)+SUMIFS('Istoric_Nativ'!$G$6:$G$405,'Istoric_Nativ'!$B$6:$B$405,E1165,'Istoric_Nativ'!$C$6:$C$405,F1165,'Istoric_Nativ'!$F$6:$F$405,G1165,'Istoric_Nativ'!$D$6:$D$405,"&lt;"&amp;J1165,'Istoric_Nativ'!$P$6:$P$405,1,'Istoric_Nativ'!$D$6:$D$405,"&gt;="&amp;L1165)))/M1165)</x:f>
      </x:c>
      <x:c r="P1165" s="2" t="n">
        <x:f>'Config_v6'!$B$8</x:f>
        <x:v>5</x:v>
      </x:c>
      <x:c r="Q1165" s="2" t="n">
        <x:f>IF(OR(B1165="",F1165=""),0,IFERROR(MATCH(E1165&amp;"|"&amp;F1165,SourceTable[Source_Key],0),0))</x:f>
        <x:v>0</x:v>
      </x:c>
      <x:c r="R1165" s="2" t="str">
        <x:f>IF(B1165="","",IF(F1165="","UNUSED",IF(Q1165=0,"NOT CHECKED",IF(COUNTIF(SourceTable[Source_Key],E1165&amp;"|"&amp;F1165)&lt;&gt;1,"SOURCE CONFLICT",IF(NOT(OR(INDEX(SourceTable[Status],MAX(1,Q1165))="IMPORTED",INDEX(SourceTable[Status],MAX(1,Q1165))="PARTIAL",INDEX(SourceTable[Status],MAX(1,Q1165))="SOURCE CONFLICT")),"ACCESS BLOCKED",IF(OR(INDEX(SourceTable[Coverage],Q1165)&lt;&gt;"FULL SEASON EXPORT",INDEX(SourceTable[URL],Q1165)="",INDEX(SourceTable[SHA256],Q1165)=""),"EVIDENCE INCOMPLETE",IF(AND('Input_Meci'!H102="LIVE",INDEX(SourceTable[Retrieved_UTC],Q1165)&gt;'Input_Meci'!G102),"POST CUTOFF","CLOSED")))))))</x:f>
      </x:c>
      <x:c r="S1165" s="2" t="n">
        <x:f>IF(OR(B1165="",F1165=""),0,COUNTIFS('Istoric_Nativ'!$B$6:$B$405,E1165,'Istoric_Nativ'!$C$6:$C$405,F1165,'Istoric_Nativ'!$E$6:$E$405,G1165,'Istoric_Nativ'!$D$6:$D$405,"&lt;"&amp;J1165,'Istoric_Nativ'!$O$6:$O$405,"INVALID")+COUNTIFS('Istoric_Nativ'!$B$6:$B$405,E1165,'Istoric_Nativ'!$C$6:$C$405,F1165,'Istoric_Nativ'!$E$6:$E$405,G1165,'Istoric_Nativ'!$O$6:$O$405,"INVALID",'Istoric_Nativ'!$D$6:$D$405,"*")+COUNTIFS('Istoric_Nativ'!$B$6:$B$405,E1165,'Istoric_Nativ'!$C$6:$C$405,F1165,'Istoric_Nativ'!$E$6:$E$405,G1165,'Istoric_Nativ'!$D$6:$D$405,"&lt;"&amp;J1165,'Istoric_Nativ'!$O$6:$O$405,"SOURCE CONFLICT")+COUNTIFS('Istoric_Nativ'!$B$6:$B$405,E1165,'Istoric_Nativ'!$C$6:$C$405,F1165,'Istoric_Nativ'!$F$6:$F$405,G1165,'Istoric_Nativ'!$D$6:$D$405,"&lt;"&amp;J1165,'Istoric_Nativ'!$O$6:$O$405,"INVALID")+COUNTIFS('Istoric_Nativ'!$B$6:$B$405,E1165,'Istoric_Nativ'!$C$6:$C$405,F1165,'Istoric_Nativ'!$F$6:$F$405,G1165,'Istoric_Nativ'!$O$6:$O$405,"INVALID",'Istoric_Nativ'!$D$6:$D$405,"*")+COUNTIFS('Istoric_Nativ'!$B$6:$B$405,E1165,'Istoric_Nativ'!$C$6:$C$405,F1165,'Istoric_Nativ'!$F$6:$F$405,G1165,'Istoric_Nativ'!$D$6:$D$405,"&lt;"&amp;J1165,'Istoric_Nativ'!$O$6:$O$405,"SOURCE CONFLICT"))</x:f>
        <x:v>0</x:v>
      </x:c>
      <x:c r="T1165" s="2" t="str">
        <x:f>IF(B1165="","",IF(R1165&lt;&gt;"CLOSED",R1165,IF(S1165&gt;0,"NATIVE INPUT ISSUE",IF(M1165=0,"NO HISTORY",IF(M1165&lt;P1165,"SMALL SAMPLE","DERIVED")))))</x:f>
      </x:c>
      <x:c r="U1165" s="2" t="str">
        <x:f>IF(B1165="","","NativeTable; "&amp;E1165&amp;"; "&amp;F1165&amp;"; "&amp;G1165&amp;"; "&amp;H1165&amp;"; before "&amp;TEXT(J1165,"yyyy-mm-dd")&amp;IF(I1165="RECENT","; from "&amp;TEXT(L1165,"yyyy-mm-dd"),""))</x:f>
      </x:c>
    </x:row>
    <x:row r="1166" ht="21" customHeight="1">
      <x:c r="A1166" s="2" t="n">
        <x:v>97</x:v>
      </x:c>
      <x:c r="B1166" s="2" t="str">
        <x:f>IF('Input_Meci'!A102="","",'Input_Meci'!A102)</x:f>
      </x:c>
      <x:c r="C1166" s="2" t="str">
        <x:v>H</x:v>
      </x:c>
      <x:c r="D1166" s="2" t="str">
        <x:v>PRIOR</x:v>
      </x:c>
      <x:c r="E1166" s="2" t="str">
        <x:f>IF(B1166="","",'Input_Meci'!B102)</x:f>
      </x:c>
      <x:c r="F1166" s="2" t="str">
        <x:f>IF(B1166="","",IF('Input_Meci'!K102="","",'Input_Meci'!K102))</x:f>
      </x:c>
      <x:c r="G1166" s="2" t="str">
        <x:f>IF(B1166="","",'Input_Meci'!D102)</x:f>
      </x:c>
      <x:c r="H1166" s="2" t="str">
        <x:v>ANY</x:v>
      </x:c>
      <x:c r="I1166" s="2" t="str">
        <x:v>RECENT</x:v>
      </x:c>
      <x:c r="J1166" s="9" t="n">
        <x:f>IF(AND(B1166&lt;&gt;"",ISNUMBER('Input_Meci'!G102)),INT('Input_Meci'!G102),0)</x:f>
        <x:v>0</x:v>
      </x:c>
      <x:c r="K1166" s="2" t="n">
        <x:f>IF(OR(B1166="",F1166=""),0,IF(H1166="HOME",COUNTIFS('Istoric_Nativ'!$B$6:$B$405,E1166,'Istoric_Nativ'!$C$6:$C$405,F1166,'Istoric_Nativ'!$E$6:$E$405,G1166,'Istoric_Nativ'!$D$6:$D$405,"&lt;"&amp;J1166,'Istoric_Nativ'!$P$6:$P$405,1),IF(H1166="AWAY",COUNTIFS('Istoric_Nativ'!$B$6:$B$405,E1166,'Istoric_Nativ'!$C$6:$C$405,F1166,'Istoric_Nativ'!$F$6:$F$405,G1166,'Istoric_Nativ'!$D$6:$D$405,"&lt;"&amp;J1166,'Istoric_Nativ'!$P$6:$P$405,1),COUNTIFS('Istoric_Nativ'!$B$6:$B$405,E1166,'Istoric_Nativ'!$C$6:$C$405,F1166,'Istoric_Nativ'!$E$6:$E$405,G1166,'Istoric_Nativ'!$D$6:$D$405,"&lt;"&amp;J1166,'Istoric_Nativ'!$P$6:$P$405,1)+COUNTIFS('Istoric_Nativ'!$B$6:$B$405,E1166,'Istoric_Nativ'!$C$6:$C$405,F1166,'Istoric_Nativ'!$F$6:$F$405,G1166,'Istoric_Nativ'!$D$6:$D$405,"&lt;"&amp;J1166,'Istoric_Nativ'!$P$6:$P$405,1))))</x:f>
        <x:v>0</x:v>
      </x:c>
      <x:c r="L1166" s="17" t="n">
        <x:f>IF(AND(B1166&lt;&gt;"",I1166="RECENT",K1166&gt;0),LARGE(_xlfn._xlws.FILTER('Istoric_Nativ'!$D$6:$D$405,('Istoric_Nativ'!$B$6:$B$405=E1166)*('Istoric_Nativ'!$C$6:$C$405=F1166)*('Istoric_Nativ'!$P$6:$P$405=1)*('Istoric_Nativ'!$D$6:$D$405&lt;J1166)*((('Istoric_Nativ'!$E$6:$E$405=G1166)+('Istoric_Nativ'!$F$6:$F$405=G1166))&gt;0)),MIN('Config_v6'!$B$54,K1166)),0)</x:f>
        <x:v>0</x:v>
      </x:c>
      <x:c r="M1166" s="2" t="n">
        <x:f>IF(OR(B1166="",F1166=""),0,IF(H1166="HOME",COUNTIFS('Istoric_Nativ'!$B$6:$B$405,E1166,'Istoric_Nativ'!$C$6:$C$405,F1166,'Istoric_Nativ'!$E$6:$E$405,G1166,'Istoric_Nativ'!$D$6:$D$405,"&lt;"&amp;J1166,'Istoric_Nativ'!$P$6:$P$405,1,'Istoric_Nativ'!$D$6:$D$405,"&gt;="&amp;L1166),IF(H1166="AWAY",COUNTIFS('Istoric_Nativ'!$B$6:$B$405,E1166,'Istoric_Nativ'!$C$6:$C$405,F1166,'Istoric_Nativ'!$F$6:$F$405,G1166,'Istoric_Nativ'!$D$6:$D$405,"&lt;"&amp;J1166,'Istoric_Nativ'!$P$6:$P$405,1,'Istoric_Nativ'!$D$6:$D$405,"&gt;="&amp;L1166),COUNTIFS('Istoric_Nativ'!$B$6:$B$405,E1166,'Istoric_Nativ'!$C$6:$C$405,F1166,'Istoric_Nativ'!$E$6:$E$405,G1166,'Istoric_Nativ'!$D$6:$D$405,"&lt;"&amp;J1166,'Istoric_Nativ'!$P$6:$P$405,1,'Istoric_Nativ'!$D$6:$D$405,"&gt;="&amp;L1166)+COUNTIFS('Istoric_Nativ'!$B$6:$B$405,E1166,'Istoric_Nativ'!$C$6:$C$405,F1166,'Istoric_Nativ'!$F$6:$F$405,G1166,'Istoric_Nativ'!$D$6:$D$405,"&lt;"&amp;J1166,'Istoric_Nativ'!$P$6:$P$405,1,'Istoric_Nativ'!$D$6:$D$405,"&gt;="&amp;L1166))))</x:f>
        <x:v>0</x:v>
      </x:c>
      <x:c r="N1166" s="11" t="str">
        <x:f>IF(M1166=0,"",IF(H1166="HOME",SUMIFS('Istoric_Nativ'!$G$6:$G$405,'Istoric_Nativ'!$B$6:$B$405,E1166,'Istoric_Nativ'!$C$6:$C$405,F1166,'Istoric_Nativ'!$E$6:$E$405,G1166,'Istoric_Nativ'!$D$6:$D$405,"&lt;"&amp;J1166,'Istoric_Nativ'!$P$6:$P$405,1,'Istoric_Nativ'!$D$6:$D$405,"&gt;="&amp;L1166),IF(H1166="AWAY",SUMIFS('Istoric_Nativ'!$H$6:$H$405,'Istoric_Nativ'!$B$6:$B$405,E1166,'Istoric_Nativ'!$C$6:$C$405,F1166,'Istoric_Nativ'!$F$6:$F$405,G1166,'Istoric_Nativ'!$D$6:$D$405,"&lt;"&amp;J1166,'Istoric_Nativ'!$P$6:$P$405,1,'Istoric_Nativ'!$D$6:$D$405,"&gt;="&amp;L1166),SUMIFS('Istoric_Nativ'!$G$6:$G$405,'Istoric_Nativ'!$B$6:$B$405,E1166,'Istoric_Nativ'!$C$6:$C$405,F1166,'Istoric_Nativ'!$E$6:$E$405,G1166,'Istoric_Nativ'!$D$6:$D$405,"&lt;"&amp;J1166,'Istoric_Nativ'!$P$6:$P$405,1,'Istoric_Nativ'!$D$6:$D$405,"&gt;="&amp;L1166)+SUMIFS('Istoric_Nativ'!$H$6:$H$405,'Istoric_Nativ'!$B$6:$B$405,E1166,'Istoric_Nativ'!$C$6:$C$405,F1166,'Istoric_Nativ'!$F$6:$F$405,G1166,'Istoric_Nativ'!$D$6:$D$405,"&lt;"&amp;J1166,'Istoric_Nativ'!$P$6:$P$405,1,'Istoric_Nativ'!$D$6:$D$405,"&gt;="&amp;L1166)))/M1166)</x:f>
      </x:c>
      <x:c r="O1166" s="11" t="str">
        <x:f>IF(M1166=0,"",IF(H1166="HOME",SUMIFS('Istoric_Nativ'!$H$6:$H$405,'Istoric_Nativ'!$B$6:$B$405,E1166,'Istoric_Nativ'!$C$6:$C$405,F1166,'Istoric_Nativ'!$E$6:$E$405,G1166,'Istoric_Nativ'!$D$6:$D$405,"&lt;"&amp;J1166,'Istoric_Nativ'!$P$6:$P$405,1,'Istoric_Nativ'!$D$6:$D$405,"&gt;="&amp;L1166),IF(H1166="AWAY",SUMIFS('Istoric_Nativ'!$G$6:$G$405,'Istoric_Nativ'!$B$6:$B$405,E1166,'Istoric_Nativ'!$C$6:$C$405,F1166,'Istoric_Nativ'!$F$6:$F$405,G1166,'Istoric_Nativ'!$D$6:$D$405,"&lt;"&amp;J1166,'Istoric_Nativ'!$P$6:$P$405,1,'Istoric_Nativ'!$D$6:$D$405,"&gt;="&amp;L1166),SUMIFS('Istoric_Nativ'!$H$6:$H$405,'Istoric_Nativ'!$B$6:$B$405,E1166,'Istoric_Nativ'!$C$6:$C$405,F1166,'Istoric_Nativ'!$E$6:$E$405,G1166,'Istoric_Nativ'!$D$6:$D$405,"&lt;"&amp;J1166,'Istoric_Nativ'!$P$6:$P$405,1,'Istoric_Nativ'!$D$6:$D$405,"&gt;="&amp;L1166)+SUMIFS('Istoric_Nativ'!$G$6:$G$405,'Istoric_Nativ'!$B$6:$B$405,E1166,'Istoric_Nativ'!$C$6:$C$405,F1166,'Istoric_Nativ'!$F$6:$F$405,G1166,'Istoric_Nativ'!$D$6:$D$405,"&lt;"&amp;J1166,'Istoric_Nativ'!$P$6:$P$405,1,'Istoric_Nativ'!$D$6:$D$405,"&gt;="&amp;L1166)))/M1166)</x:f>
      </x:c>
      <x:c r="P1166" s="2" t="n">
        <x:f>'Config_v6'!$B$9</x:f>
        <x:v>3</x:v>
      </x:c>
      <x:c r="Q1166" s="2" t="n">
        <x:f>IF(OR(B1166="",F1166=""),0,IFERROR(MATCH(E1166&amp;"|"&amp;F1166,SourceTable[Source_Key],0),0))</x:f>
        <x:v>0</x:v>
      </x:c>
      <x:c r="R1166" s="2" t="str">
        <x:f>IF(B1166="","",IF(F1166="","UNUSED",IF(Q1166=0,"NOT CHECKED",IF(COUNTIF(SourceTable[Source_Key],E1166&amp;"|"&amp;F1166)&lt;&gt;1,"SOURCE CONFLICT",IF(NOT(OR(INDEX(SourceTable[Status],MAX(1,Q1166))="IMPORTED",INDEX(SourceTable[Status],MAX(1,Q1166))="PARTIAL",INDEX(SourceTable[Status],MAX(1,Q1166))="SOURCE CONFLICT")),"ACCESS BLOCKED",IF(OR(INDEX(SourceTable[Coverage],Q1166)&lt;&gt;"FULL SEASON EXPORT",INDEX(SourceTable[URL],Q1166)="",INDEX(SourceTable[SHA256],Q1166)=""),"EVIDENCE INCOMPLETE",IF(AND('Input_Meci'!H102="LIVE",INDEX(SourceTable[Retrieved_UTC],Q1166)&gt;'Input_Meci'!G102),"POST CUTOFF","CLOSED")))))))</x:f>
      </x:c>
      <x:c r="S1166" s="2" t="n">
        <x:f>IF(OR(B1166="",F1166=""),0,COUNTIFS('Istoric_Nativ'!$B$6:$B$405,E1166,'Istoric_Nativ'!$C$6:$C$405,F1166,'Istoric_Nativ'!$E$6:$E$405,G1166,'Istoric_Nativ'!$D$6:$D$405,"&lt;"&amp;J1166,'Istoric_Nativ'!$O$6:$O$405,"INVALID")+COUNTIFS('Istoric_Nativ'!$B$6:$B$405,E1166,'Istoric_Nativ'!$C$6:$C$405,F1166,'Istoric_Nativ'!$E$6:$E$405,G1166,'Istoric_Nativ'!$O$6:$O$405,"INVALID",'Istoric_Nativ'!$D$6:$D$405,"*")+COUNTIFS('Istoric_Nativ'!$B$6:$B$405,E1166,'Istoric_Nativ'!$C$6:$C$405,F1166,'Istoric_Nativ'!$E$6:$E$405,G1166,'Istoric_Nativ'!$D$6:$D$405,"&lt;"&amp;J1166,'Istoric_Nativ'!$O$6:$O$405,"SOURCE CONFLICT")+COUNTIFS('Istoric_Nativ'!$B$6:$B$405,E1166,'Istoric_Nativ'!$C$6:$C$405,F1166,'Istoric_Nativ'!$F$6:$F$405,G1166,'Istoric_Nativ'!$D$6:$D$405,"&lt;"&amp;J1166,'Istoric_Nativ'!$O$6:$O$405,"INVALID")+COUNTIFS('Istoric_Nativ'!$B$6:$B$405,E1166,'Istoric_Nativ'!$C$6:$C$405,F1166,'Istoric_Nativ'!$F$6:$F$405,G1166,'Istoric_Nativ'!$O$6:$O$405,"INVALID",'Istoric_Nativ'!$D$6:$D$405,"*")+COUNTIFS('Istoric_Nativ'!$B$6:$B$405,E1166,'Istoric_Nativ'!$C$6:$C$405,F1166,'Istoric_Nativ'!$F$6:$F$405,G1166,'Istoric_Nativ'!$D$6:$D$405,"&lt;"&amp;J1166,'Istoric_Nativ'!$O$6:$O$405,"SOURCE CONFLICT"))</x:f>
        <x:v>0</x:v>
      </x:c>
      <x:c r="T1166" s="2" t="str">
        <x:f>IF(B1166="","",IF(R1166&lt;&gt;"CLOSED",R1166,IF(S1166&gt;0,"NATIVE INPUT ISSUE",IF(M1166=0,"NO HISTORY",IF(M1166&lt;P1166,"SMALL SAMPLE","DERIVED")))))</x:f>
      </x:c>
      <x:c r="U1166" s="2" t="str">
        <x:f>IF(B1166="","","NativeTable; "&amp;E1166&amp;"; "&amp;F1166&amp;"; "&amp;G1166&amp;"; "&amp;H1166&amp;"; before "&amp;TEXT(J1166,"yyyy-mm-dd")&amp;IF(I1166="RECENT","; from "&amp;TEXT(L1166,"yyyy-mm-dd"),""))</x:f>
      </x:c>
    </x:row>
    <x:row r="1167" ht="21" customHeight="1">
      <x:c r="A1167" s="2" t="n">
        <x:v>97</x:v>
      </x:c>
      <x:c r="B1167" s="2" t="str">
        <x:f>IF('Input_Meci'!A102="","",'Input_Meci'!A102)</x:f>
      </x:c>
      <x:c r="C1167" s="2" t="str">
        <x:v>A</x:v>
      </x:c>
      <x:c r="D1167" s="2" t="str">
        <x:v>PRIOR</x:v>
      </x:c>
      <x:c r="E1167" s="2" t="str">
        <x:f>IF(B1167="","",'Input_Meci'!B102)</x:f>
      </x:c>
      <x:c r="F1167" s="2" t="str">
        <x:f>IF(B1167="","",IF('Input_Meci'!K102="","",'Input_Meci'!K102))</x:f>
      </x:c>
      <x:c r="G1167" s="2" t="str">
        <x:f>IF(B1167="","",'Input_Meci'!E102)</x:f>
      </x:c>
      <x:c r="H1167" s="2" t="str">
        <x:v>ANY</x:v>
      </x:c>
      <x:c r="I1167" s="2" t="str">
        <x:v>SEASON</x:v>
      </x:c>
      <x:c r="J1167" s="9" t="n">
        <x:f>IF(AND(B1167&lt;&gt;"",ISNUMBER('Input_Meci'!G102)),INT('Input_Meci'!G102),0)</x:f>
        <x:v>0</x:v>
      </x:c>
      <x:c r="K1167" s="2" t="n">
        <x:f>IF(OR(B1167="",F1167=""),0,IF(H1167="HOME",COUNTIFS('Istoric_Nativ'!$B$6:$B$405,E1167,'Istoric_Nativ'!$C$6:$C$405,F1167,'Istoric_Nativ'!$E$6:$E$405,G1167,'Istoric_Nativ'!$D$6:$D$405,"&lt;"&amp;J1167,'Istoric_Nativ'!$P$6:$P$405,1),IF(H1167="AWAY",COUNTIFS('Istoric_Nativ'!$B$6:$B$405,E1167,'Istoric_Nativ'!$C$6:$C$405,F1167,'Istoric_Nativ'!$F$6:$F$405,G1167,'Istoric_Nativ'!$D$6:$D$405,"&lt;"&amp;J1167,'Istoric_Nativ'!$P$6:$P$405,1),COUNTIFS('Istoric_Nativ'!$B$6:$B$405,E1167,'Istoric_Nativ'!$C$6:$C$405,F1167,'Istoric_Nativ'!$E$6:$E$405,G1167,'Istoric_Nativ'!$D$6:$D$405,"&lt;"&amp;J1167,'Istoric_Nativ'!$P$6:$P$405,1)+COUNTIFS('Istoric_Nativ'!$B$6:$B$405,E1167,'Istoric_Nativ'!$C$6:$C$405,F1167,'Istoric_Nativ'!$F$6:$F$405,G1167,'Istoric_Nativ'!$D$6:$D$405,"&lt;"&amp;J1167,'Istoric_Nativ'!$P$6:$P$405,1))))</x:f>
        <x:v>0</x:v>
      </x:c>
      <x:c r="L1167" s="17" t="n">
        <x:f>IF(AND(B1167&lt;&gt;"",I1167="RECENT",K1167&gt;0),LARGE(_xlfn._xlws.FILTER('Istoric_Nativ'!$D$6:$D$405,('Istoric_Nativ'!$B$6:$B$405=E1167)*('Istoric_Nativ'!$C$6:$C$405=F1167)*('Istoric_Nativ'!$P$6:$P$405=1)*('Istoric_Nativ'!$D$6:$D$405&lt;J1167)*((('Istoric_Nativ'!$E$6:$E$405=G1167)+('Istoric_Nativ'!$F$6:$F$405=G1167))&gt;0)),MIN('Config_v6'!$B$54,K1167)),0)</x:f>
        <x:v>0</x:v>
      </x:c>
      <x:c r="M1167" s="2" t="n">
        <x:f>IF(OR(B1167="",F1167=""),0,IF(H1167="HOME",COUNTIFS('Istoric_Nativ'!$B$6:$B$405,E1167,'Istoric_Nativ'!$C$6:$C$405,F1167,'Istoric_Nativ'!$E$6:$E$405,G1167,'Istoric_Nativ'!$D$6:$D$405,"&lt;"&amp;J1167,'Istoric_Nativ'!$P$6:$P$405,1,'Istoric_Nativ'!$D$6:$D$405,"&gt;="&amp;L1167),IF(H1167="AWAY",COUNTIFS('Istoric_Nativ'!$B$6:$B$405,E1167,'Istoric_Nativ'!$C$6:$C$405,F1167,'Istoric_Nativ'!$F$6:$F$405,G1167,'Istoric_Nativ'!$D$6:$D$405,"&lt;"&amp;J1167,'Istoric_Nativ'!$P$6:$P$405,1,'Istoric_Nativ'!$D$6:$D$405,"&gt;="&amp;L1167),COUNTIFS('Istoric_Nativ'!$B$6:$B$405,E1167,'Istoric_Nativ'!$C$6:$C$405,F1167,'Istoric_Nativ'!$E$6:$E$405,G1167,'Istoric_Nativ'!$D$6:$D$405,"&lt;"&amp;J1167,'Istoric_Nativ'!$P$6:$P$405,1,'Istoric_Nativ'!$D$6:$D$405,"&gt;="&amp;L1167)+COUNTIFS('Istoric_Nativ'!$B$6:$B$405,E1167,'Istoric_Nativ'!$C$6:$C$405,F1167,'Istoric_Nativ'!$F$6:$F$405,G1167,'Istoric_Nativ'!$D$6:$D$405,"&lt;"&amp;J1167,'Istoric_Nativ'!$P$6:$P$405,1,'Istoric_Nativ'!$D$6:$D$405,"&gt;="&amp;L1167))))</x:f>
        <x:v>0</x:v>
      </x:c>
      <x:c r="N1167" s="11" t="str">
        <x:f>IF(M1167=0,"",IF(H1167="HOME",SUMIFS('Istoric_Nativ'!$G$6:$G$405,'Istoric_Nativ'!$B$6:$B$405,E1167,'Istoric_Nativ'!$C$6:$C$405,F1167,'Istoric_Nativ'!$E$6:$E$405,G1167,'Istoric_Nativ'!$D$6:$D$405,"&lt;"&amp;J1167,'Istoric_Nativ'!$P$6:$P$405,1,'Istoric_Nativ'!$D$6:$D$405,"&gt;="&amp;L1167),IF(H1167="AWAY",SUMIFS('Istoric_Nativ'!$H$6:$H$405,'Istoric_Nativ'!$B$6:$B$405,E1167,'Istoric_Nativ'!$C$6:$C$405,F1167,'Istoric_Nativ'!$F$6:$F$405,G1167,'Istoric_Nativ'!$D$6:$D$405,"&lt;"&amp;J1167,'Istoric_Nativ'!$P$6:$P$405,1,'Istoric_Nativ'!$D$6:$D$405,"&gt;="&amp;L1167),SUMIFS('Istoric_Nativ'!$G$6:$G$405,'Istoric_Nativ'!$B$6:$B$405,E1167,'Istoric_Nativ'!$C$6:$C$405,F1167,'Istoric_Nativ'!$E$6:$E$405,G1167,'Istoric_Nativ'!$D$6:$D$405,"&lt;"&amp;J1167,'Istoric_Nativ'!$P$6:$P$405,1,'Istoric_Nativ'!$D$6:$D$405,"&gt;="&amp;L1167)+SUMIFS('Istoric_Nativ'!$H$6:$H$405,'Istoric_Nativ'!$B$6:$B$405,E1167,'Istoric_Nativ'!$C$6:$C$405,F1167,'Istoric_Nativ'!$F$6:$F$405,G1167,'Istoric_Nativ'!$D$6:$D$405,"&lt;"&amp;J1167,'Istoric_Nativ'!$P$6:$P$405,1,'Istoric_Nativ'!$D$6:$D$405,"&gt;="&amp;L1167)))/M1167)</x:f>
      </x:c>
      <x:c r="O1167" s="11" t="str">
        <x:f>IF(M1167=0,"",IF(H1167="HOME",SUMIFS('Istoric_Nativ'!$H$6:$H$405,'Istoric_Nativ'!$B$6:$B$405,E1167,'Istoric_Nativ'!$C$6:$C$405,F1167,'Istoric_Nativ'!$E$6:$E$405,G1167,'Istoric_Nativ'!$D$6:$D$405,"&lt;"&amp;J1167,'Istoric_Nativ'!$P$6:$P$405,1,'Istoric_Nativ'!$D$6:$D$405,"&gt;="&amp;L1167),IF(H1167="AWAY",SUMIFS('Istoric_Nativ'!$G$6:$G$405,'Istoric_Nativ'!$B$6:$B$405,E1167,'Istoric_Nativ'!$C$6:$C$405,F1167,'Istoric_Nativ'!$F$6:$F$405,G1167,'Istoric_Nativ'!$D$6:$D$405,"&lt;"&amp;J1167,'Istoric_Nativ'!$P$6:$P$405,1,'Istoric_Nativ'!$D$6:$D$405,"&gt;="&amp;L1167),SUMIFS('Istoric_Nativ'!$H$6:$H$405,'Istoric_Nativ'!$B$6:$B$405,E1167,'Istoric_Nativ'!$C$6:$C$405,F1167,'Istoric_Nativ'!$E$6:$E$405,G1167,'Istoric_Nativ'!$D$6:$D$405,"&lt;"&amp;J1167,'Istoric_Nativ'!$P$6:$P$405,1,'Istoric_Nativ'!$D$6:$D$405,"&gt;="&amp;L1167)+SUMIFS('Istoric_Nativ'!$G$6:$G$405,'Istoric_Nativ'!$B$6:$B$405,E1167,'Istoric_Nativ'!$C$6:$C$405,F1167,'Istoric_Nativ'!$F$6:$F$405,G1167,'Istoric_Nativ'!$D$6:$D$405,"&lt;"&amp;J1167,'Istoric_Nativ'!$P$6:$P$405,1,'Istoric_Nativ'!$D$6:$D$405,"&gt;="&amp;L1167)))/M1167)</x:f>
      </x:c>
      <x:c r="P1167" s="2" t="n">
        <x:f>'Config_v6'!$B$7</x:f>
        <x:v>10</x:v>
      </x:c>
      <x:c r="Q1167" s="2" t="n">
        <x:f>IF(OR(B1167="",F1167=""),0,IFERROR(MATCH(E1167&amp;"|"&amp;F1167,SourceTable[Source_Key],0),0))</x:f>
        <x:v>0</x:v>
      </x:c>
      <x:c r="R1167" s="2" t="str">
        <x:f>IF(B1167="","",IF(F1167="","UNUSED",IF(Q1167=0,"NOT CHECKED",IF(COUNTIF(SourceTable[Source_Key],E1167&amp;"|"&amp;F1167)&lt;&gt;1,"SOURCE CONFLICT",IF(NOT(OR(INDEX(SourceTable[Status],MAX(1,Q1167))="IMPORTED",INDEX(SourceTable[Status],MAX(1,Q1167))="PARTIAL",INDEX(SourceTable[Status],MAX(1,Q1167))="SOURCE CONFLICT")),"ACCESS BLOCKED",IF(OR(INDEX(SourceTable[Coverage],Q1167)&lt;&gt;"FULL SEASON EXPORT",INDEX(SourceTable[URL],Q1167)="",INDEX(SourceTable[SHA256],Q1167)=""),"EVIDENCE INCOMPLETE",IF(AND('Input_Meci'!H102="LIVE",INDEX(SourceTable[Retrieved_UTC],Q1167)&gt;'Input_Meci'!G102),"POST CUTOFF","CLOSED")))))))</x:f>
      </x:c>
      <x:c r="S1167" s="2" t="n">
        <x:f>IF(OR(B1167="",F1167=""),0,COUNTIFS('Istoric_Nativ'!$B$6:$B$405,E1167,'Istoric_Nativ'!$C$6:$C$405,F1167,'Istoric_Nativ'!$E$6:$E$405,G1167,'Istoric_Nativ'!$D$6:$D$405,"&lt;"&amp;J1167,'Istoric_Nativ'!$O$6:$O$405,"INVALID")+COUNTIFS('Istoric_Nativ'!$B$6:$B$405,E1167,'Istoric_Nativ'!$C$6:$C$405,F1167,'Istoric_Nativ'!$E$6:$E$405,G1167,'Istoric_Nativ'!$O$6:$O$405,"INVALID",'Istoric_Nativ'!$D$6:$D$405,"*")+COUNTIFS('Istoric_Nativ'!$B$6:$B$405,E1167,'Istoric_Nativ'!$C$6:$C$405,F1167,'Istoric_Nativ'!$E$6:$E$405,G1167,'Istoric_Nativ'!$D$6:$D$405,"&lt;"&amp;J1167,'Istoric_Nativ'!$O$6:$O$405,"SOURCE CONFLICT")+COUNTIFS('Istoric_Nativ'!$B$6:$B$405,E1167,'Istoric_Nativ'!$C$6:$C$405,F1167,'Istoric_Nativ'!$F$6:$F$405,G1167,'Istoric_Nativ'!$D$6:$D$405,"&lt;"&amp;J1167,'Istoric_Nativ'!$O$6:$O$405,"INVALID")+COUNTIFS('Istoric_Nativ'!$B$6:$B$405,E1167,'Istoric_Nativ'!$C$6:$C$405,F1167,'Istoric_Nativ'!$F$6:$F$405,G1167,'Istoric_Nativ'!$O$6:$O$405,"INVALID",'Istoric_Nativ'!$D$6:$D$405,"*")+COUNTIFS('Istoric_Nativ'!$B$6:$B$405,E1167,'Istoric_Nativ'!$C$6:$C$405,F1167,'Istoric_Nativ'!$F$6:$F$405,G1167,'Istoric_Nativ'!$D$6:$D$405,"&lt;"&amp;J1167,'Istoric_Nativ'!$O$6:$O$405,"SOURCE CONFLICT"))</x:f>
        <x:v>0</x:v>
      </x:c>
      <x:c r="T1167" s="2" t="str">
        <x:f>IF(B1167="","",IF(R1167&lt;&gt;"CLOSED",R1167,IF(S1167&gt;0,"NATIVE INPUT ISSUE",IF(M1167=0,"NO HISTORY",IF(M1167&lt;P1167,"SMALL SAMPLE","DERIVED")))))</x:f>
      </x:c>
      <x:c r="U1167" s="2" t="str">
        <x:f>IF(B1167="","","NativeTable; "&amp;E1167&amp;"; "&amp;F1167&amp;"; "&amp;G1167&amp;"; "&amp;H1167&amp;"; before "&amp;TEXT(J1167,"yyyy-mm-dd")&amp;IF(I1167="RECENT","; from "&amp;TEXT(L1167,"yyyy-mm-dd"),""))</x:f>
      </x:c>
    </x:row>
    <x:row r="1168" ht="21" customHeight="1">
      <x:c r="A1168" s="2" t="n">
        <x:v>97</x:v>
      </x:c>
      <x:c r="B1168" s="2" t="str">
        <x:f>IF('Input_Meci'!A102="","",'Input_Meci'!A102)</x:f>
      </x:c>
      <x:c r="C1168" s="2" t="str">
        <x:v>A</x:v>
      </x:c>
      <x:c r="D1168" s="2" t="str">
        <x:v>PRIOR</x:v>
      </x:c>
      <x:c r="E1168" s="2" t="str">
        <x:f>IF(B1168="","",'Input_Meci'!B102)</x:f>
      </x:c>
      <x:c r="F1168" s="2" t="str">
        <x:f>IF(B1168="","",IF('Input_Meci'!K102="","",'Input_Meci'!K102))</x:f>
      </x:c>
      <x:c r="G1168" s="2" t="str">
        <x:f>IF(B1168="","",'Input_Meci'!E102)</x:f>
      </x:c>
      <x:c r="H1168" s="2" t="str">
        <x:v>AWAY</x:v>
      </x:c>
      <x:c r="I1168" s="2" t="str">
        <x:v>HA</x:v>
      </x:c>
      <x:c r="J1168" s="9" t="n">
        <x:f>IF(AND(B1168&lt;&gt;"",ISNUMBER('Input_Meci'!G102)),INT('Input_Meci'!G102),0)</x:f>
        <x:v>0</x:v>
      </x:c>
      <x:c r="K1168" s="2" t="n">
        <x:f>IF(OR(B1168="",F1168=""),0,IF(H1168="HOME",COUNTIFS('Istoric_Nativ'!$B$6:$B$405,E1168,'Istoric_Nativ'!$C$6:$C$405,F1168,'Istoric_Nativ'!$E$6:$E$405,G1168,'Istoric_Nativ'!$D$6:$D$405,"&lt;"&amp;J1168,'Istoric_Nativ'!$P$6:$P$405,1),IF(H1168="AWAY",COUNTIFS('Istoric_Nativ'!$B$6:$B$405,E1168,'Istoric_Nativ'!$C$6:$C$405,F1168,'Istoric_Nativ'!$F$6:$F$405,G1168,'Istoric_Nativ'!$D$6:$D$405,"&lt;"&amp;J1168,'Istoric_Nativ'!$P$6:$P$405,1),COUNTIFS('Istoric_Nativ'!$B$6:$B$405,E1168,'Istoric_Nativ'!$C$6:$C$405,F1168,'Istoric_Nativ'!$E$6:$E$405,G1168,'Istoric_Nativ'!$D$6:$D$405,"&lt;"&amp;J1168,'Istoric_Nativ'!$P$6:$P$405,1)+COUNTIFS('Istoric_Nativ'!$B$6:$B$405,E1168,'Istoric_Nativ'!$C$6:$C$405,F1168,'Istoric_Nativ'!$F$6:$F$405,G1168,'Istoric_Nativ'!$D$6:$D$405,"&lt;"&amp;J1168,'Istoric_Nativ'!$P$6:$P$405,1))))</x:f>
        <x:v>0</x:v>
      </x:c>
      <x:c r="L1168" s="17" t="n">
        <x:f>IF(AND(B1168&lt;&gt;"",I1168="RECENT",K1168&gt;0),LARGE(_xlfn._xlws.FILTER('Istoric_Nativ'!$D$6:$D$405,('Istoric_Nativ'!$B$6:$B$405=E1168)*('Istoric_Nativ'!$C$6:$C$405=F1168)*('Istoric_Nativ'!$P$6:$P$405=1)*('Istoric_Nativ'!$D$6:$D$405&lt;J1168)*((('Istoric_Nativ'!$E$6:$E$405=G1168)+('Istoric_Nativ'!$F$6:$F$405=G1168))&gt;0)),MIN('Config_v6'!$B$54,K1168)),0)</x:f>
        <x:v>0</x:v>
      </x:c>
      <x:c r="M1168" s="2" t="n">
        <x:f>IF(OR(B1168="",F1168=""),0,IF(H1168="HOME",COUNTIFS('Istoric_Nativ'!$B$6:$B$405,E1168,'Istoric_Nativ'!$C$6:$C$405,F1168,'Istoric_Nativ'!$E$6:$E$405,G1168,'Istoric_Nativ'!$D$6:$D$405,"&lt;"&amp;J1168,'Istoric_Nativ'!$P$6:$P$405,1,'Istoric_Nativ'!$D$6:$D$405,"&gt;="&amp;L1168),IF(H1168="AWAY",COUNTIFS('Istoric_Nativ'!$B$6:$B$405,E1168,'Istoric_Nativ'!$C$6:$C$405,F1168,'Istoric_Nativ'!$F$6:$F$405,G1168,'Istoric_Nativ'!$D$6:$D$405,"&lt;"&amp;J1168,'Istoric_Nativ'!$P$6:$P$405,1,'Istoric_Nativ'!$D$6:$D$405,"&gt;="&amp;L1168),COUNTIFS('Istoric_Nativ'!$B$6:$B$405,E1168,'Istoric_Nativ'!$C$6:$C$405,F1168,'Istoric_Nativ'!$E$6:$E$405,G1168,'Istoric_Nativ'!$D$6:$D$405,"&lt;"&amp;J1168,'Istoric_Nativ'!$P$6:$P$405,1,'Istoric_Nativ'!$D$6:$D$405,"&gt;="&amp;L1168)+COUNTIFS('Istoric_Nativ'!$B$6:$B$405,E1168,'Istoric_Nativ'!$C$6:$C$405,F1168,'Istoric_Nativ'!$F$6:$F$405,G1168,'Istoric_Nativ'!$D$6:$D$405,"&lt;"&amp;J1168,'Istoric_Nativ'!$P$6:$P$405,1,'Istoric_Nativ'!$D$6:$D$405,"&gt;="&amp;L1168))))</x:f>
        <x:v>0</x:v>
      </x:c>
      <x:c r="N1168" s="11" t="str">
        <x:f>IF(M1168=0,"",IF(H1168="HOME",SUMIFS('Istoric_Nativ'!$G$6:$G$405,'Istoric_Nativ'!$B$6:$B$405,E1168,'Istoric_Nativ'!$C$6:$C$405,F1168,'Istoric_Nativ'!$E$6:$E$405,G1168,'Istoric_Nativ'!$D$6:$D$405,"&lt;"&amp;J1168,'Istoric_Nativ'!$P$6:$P$405,1,'Istoric_Nativ'!$D$6:$D$405,"&gt;="&amp;L1168),IF(H1168="AWAY",SUMIFS('Istoric_Nativ'!$H$6:$H$405,'Istoric_Nativ'!$B$6:$B$405,E1168,'Istoric_Nativ'!$C$6:$C$405,F1168,'Istoric_Nativ'!$F$6:$F$405,G1168,'Istoric_Nativ'!$D$6:$D$405,"&lt;"&amp;J1168,'Istoric_Nativ'!$P$6:$P$405,1,'Istoric_Nativ'!$D$6:$D$405,"&gt;="&amp;L1168),SUMIFS('Istoric_Nativ'!$G$6:$G$405,'Istoric_Nativ'!$B$6:$B$405,E1168,'Istoric_Nativ'!$C$6:$C$405,F1168,'Istoric_Nativ'!$E$6:$E$405,G1168,'Istoric_Nativ'!$D$6:$D$405,"&lt;"&amp;J1168,'Istoric_Nativ'!$P$6:$P$405,1,'Istoric_Nativ'!$D$6:$D$405,"&gt;="&amp;L1168)+SUMIFS('Istoric_Nativ'!$H$6:$H$405,'Istoric_Nativ'!$B$6:$B$405,E1168,'Istoric_Nativ'!$C$6:$C$405,F1168,'Istoric_Nativ'!$F$6:$F$405,G1168,'Istoric_Nativ'!$D$6:$D$405,"&lt;"&amp;J1168,'Istoric_Nativ'!$P$6:$P$405,1,'Istoric_Nativ'!$D$6:$D$405,"&gt;="&amp;L1168)))/M1168)</x:f>
      </x:c>
      <x:c r="O1168" s="11" t="str">
        <x:f>IF(M1168=0,"",IF(H1168="HOME",SUMIFS('Istoric_Nativ'!$H$6:$H$405,'Istoric_Nativ'!$B$6:$B$405,E1168,'Istoric_Nativ'!$C$6:$C$405,F1168,'Istoric_Nativ'!$E$6:$E$405,G1168,'Istoric_Nativ'!$D$6:$D$405,"&lt;"&amp;J1168,'Istoric_Nativ'!$P$6:$P$405,1,'Istoric_Nativ'!$D$6:$D$405,"&gt;="&amp;L1168),IF(H1168="AWAY",SUMIFS('Istoric_Nativ'!$G$6:$G$405,'Istoric_Nativ'!$B$6:$B$405,E1168,'Istoric_Nativ'!$C$6:$C$405,F1168,'Istoric_Nativ'!$F$6:$F$405,G1168,'Istoric_Nativ'!$D$6:$D$405,"&lt;"&amp;J1168,'Istoric_Nativ'!$P$6:$P$405,1,'Istoric_Nativ'!$D$6:$D$405,"&gt;="&amp;L1168),SUMIFS('Istoric_Nativ'!$H$6:$H$405,'Istoric_Nativ'!$B$6:$B$405,E1168,'Istoric_Nativ'!$C$6:$C$405,F1168,'Istoric_Nativ'!$E$6:$E$405,G1168,'Istoric_Nativ'!$D$6:$D$405,"&lt;"&amp;J1168,'Istoric_Nativ'!$P$6:$P$405,1,'Istoric_Nativ'!$D$6:$D$405,"&gt;="&amp;L1168)+SUMIFS('Istoric_Nativ'!$G$6:$G$405,'Istoric_Nativ'!$B$6:$B$405,E1168,'Istoric_Nativ'!$C$6:$C$405,F1168,'Istoric_Nativ'!$F$6:$F$405,G1168,'Istoric_Nativ'!$D$6:$D$405,"&lt;"&amp;J1168,'Istoric_Nativ'!$P$6:$P$405,1,'Istoric_Nativ'!$D$6:$D$405,"&gt;="&amp;L1168)))/M1168)</x:f>
      </x:c>
      <x:c r="P1168" s="2" t="n">
        <x:f>'Config_v6'!$B$8</x:f>
        <x:v>5</x:v>
      </x:c>
      <x:c r="Q1168" s="2" t="n">
        <x:f>IF(OR(B1168="",F1168=""),0,IFERROR(MATCH(E1168&amp;"|"&amp;F1168,SourceTable[Source_Key],0),0))</x:f>
        <x:v>0</x:v>
      </x:c>
      <x:c r="R1168" s="2" t="str">
        <x:f>IF(B1168="","",IF(F1168="","UNUSED",IF(Q1168=0,"NOT CHECKED",IF(COUNTIF(SourceTable[Source_Key],E1168&amp;"|"&amp;F1168)&lt;&gt;1,"SOURCE CONFLICT",IF(NOT(OR(INDEX(SourceTable[Status],MAX(1,Q1168))="IMPORTED",INDEX(SourceTable[Status],MAX(1,Q1168))="PARTIAL",INDEX(SourceTable[Status],MAX(1,Q1168))="SOURCE CONFLICT")),"ACCESS BLOCKED",IF(OR(INDEX(SourceTable[Coverage],Q1168)&lt;&gt;"FULL SEASON EXPORT",INDEX(SourceTable[URL],Q1168)="",INDEX(SourceTable[SHA256],Q1168)=""),"EVIDENCE INCOMPLETE",IF(AND('Input_Meci'!H102="LIVE",INDEX(SourceTable[Retrieved_UTC],Q1168)&gt;'Input_Meci'!G102),"POST CUTOFF","CLOSED")))))))</x:f>
      </x:c>
      <x:c r="S1168" s="2" t="n">
        <x:f>IF(OR(B1168="",F1168=""),0,COUNTIFS('Istoric_Nativ'!$B$6:$B$405,E1168,'Istoric_Nativ'!$C$6:$C$405,F1168,'Istoric_Nativ'!$E$6:$E$405,G1168,'Istoric_Nativ'!$D$6:$D$405,"&lt;"&amp;J1168,'Istoric_Nativ'!$O$6:$O$405,"INVALID")+COUNTIFS('Istoric_Nativ'!$B$6:$B$405,E1168,'Istoric_Nativ'!$C$6:$C$405,F1168,'Istoric_Nativ'!$E$6:$E$405,G1168,'Istoric_Nativ'!$O$6:$O$405,"INVALID",'Istoric_Nativ'!$D$6:$D$405,"*")+COUNTIFS('Istoric_Nativ'!$B$6:$B$405,E1168,'Istoric_Nativ'!$C$6:$C$405,F1168,'Istoric_Nativ'!$E$6:$E$405,G1168,'Istoric_Nativ'!$D$6:$D$405,"&lt;"&amp;J1168,'Istoric_Nativ'!$O$6:$O$405,"SOURCE CONFLICT")+COUNTIFS('Istoric_Nativ'!$B$6:$B$405,E1168,'Istoric_Nativ'!$C$6:$C$405,F1168,'Istoric_Nativ'!$F$6:$F$405,G1168,'Istoric_Nativ'!$D$6:$D$405,"&lt;"&amp;J1168,'Istoric_Nativ'!$O$6:$O$405,"INVALID")+COUNTIFS('Istoric_Nativ'!$B$6:$B$405,E1168,'Istoric_Nativ'!$C$6:$C$405,F1168,'Istoric_Nativ'!$F$6:$F$405,G1168,'Istoric_Nativ'!$O$6:$O$405,"INVALID",'Istoric_Nativ'!$D$6:$D$405,"*")+COUNTIFS('Istoric_Nativ'!$B$6:$B$405,E1168,'Istoric_Nativ'!$C$6:$C$405,F1168,'Istoric_Nativ'!$F$6:$F$405,G1168,'Istoric_Nativ'!$D$6:$D$405,"&lt;"&amp;J1168,'Istoric_Nativ'!$O$6:$O$405,"SOURCE CONFLICT"))</x:f>
        <x:v>0</x:v>
      </x:c>
      <x:c r="T1168" s="2" t="str">
        <x:f>IF(B1168="","",IF(R1168&lt;&gt;"CLOSED",R1168,IF(S1168&gt;0,"NATIVE INPUT ISSUE",IF(M1168=0,"NO HISTORY",IF(M1168&lt;P1168,"SMALL SAMPLE","DERIVED")))))</x:f>
      </x:c>
      <x:c r="U1168" s="2" t="str">
        <x:f>IF(B1168="","","NativeTable; "&amp;E1168&amp;"; "&amp;F1168&amp;"; "&amp;G1168&amp;"; "&amp;H1168&amp;"; before "&amp;TEXT(J1168,"yyyy-mm-dd")&amp;IF(I1168="RECENT","; from "&amp;TEXT(L1168,"yyyy-mm-dd"),""))</x:f>
      </x:c>
    </x:row>
    <x:row r="1169" ht="21" customHeight="1">
      <x:c r="A1169" s="2" t="n">
        <x:v>97</x:v>
      </x:c>
      <x:c r="B1169" s="2" t="str">
        <x:f>IF('Input_Meci'!A102="","",'Input_Meci'!A102)</x:f>
      </x:c>
      <x:c r="C1169" s="2" t="str">
        <x:v>A</x:v>
      </x:c>
      <x:c r="D1169" s="2" t="str">
        <x:v>PRIOR</x:v>
      </x:c>
      <x:c r="E1169" s="2" t="str">
        <x:f>IF(B1169="","",'Input_Meci'!B102)</x:f>
      </x:c>
      <x:c r="F1169" s="2" t="str">
        <x:f>IF(B1169="","",IF('Input_Meci'!K102="","",'Input_Meci'!K102))</x:f>
      </x:c>
      <x:c r="G1169" s="2" t="str">
        <x:f>IF(B1169="","",'Input_Meci'!E102)</x:f>
      </x:c>
      <x:c r="H1169" s="2" t="str">
        <x:v>ANY</x:v>
      </x:c>
      <x:c r="I1169" s="2" t="str">
        <x:v>RECENT</x:v>
      </x:c>
      <x:c r="J1169" s="9" t="n">
        <x:f>IF(AND(B1169&lt;&gt;"",ISNUMBER('Input_Meci'!G102)),INT('Input_Meci'!G102),0)</x:f>
        <x:v>0</x:v>
      </x:c>
      <x:c r="K1169" s="2" t="n">
        <x:f>IF(OR(B1169="",F1169=""),0,IF(H1169="HOME",COUNTIFS('Istoric_Nativ'!$B$6:$B$405,E1169,'Istoric_Nativ'!$C$6:$C$405,F1169,'Istoric_Nativ'!$E$6:$E$405,G1169,'Istoric_Nativ'!$D$6:$D$405,"&lt;"&amp;J1169,'Istoric_Nativ'!$P$6:$P$405,1),IF(H1169="AWAY",COUNTIFS('Istoric_Nativ'!$B$6:$B$405,E1169,'Istoric_Nativ'!$C$6:$C$405,F1169,'Istoric_Nativ'!$F$6:$F$405,G1169,'Istoric_Nativ'!$D$6:$D$405,"&lt;"&amp;J1169,'Istoric_Nativ'!$P$6:$P$405,1),COUNTIFS('Istoric_Nativ'!$B$6:$B$405,E1169,'Istoric_Nativ'!$C$6:$C$405,F1169,'Istoric_Nativ'!$E$6:$E$405,G1169,'Istoric_Nativ'!$D$6:$D$405,"&lt;"&amp;J1169,'Istoric_Nativ'!$P$6:$P$405,1)+COUNTIFS('Istoric_Nativ'!$B$6:$B$405,E1169,'Istoric_Nativ'!$C$6:$C$405,F1169,'Istoric_Nativ'!$F$6:$F$405,G1169,'Istoric_Nativ'!$D$6:$D$405,"&lt;"&amp;J1169,'Istoric_Nativ'!$P$6:$P$405,1))))</x:f>
        <x:v>0</x:v>
      </x:c>
      <x:c r="L1169" s="17" t="n">
        <x:f>IF(AND(B1169&lt;&gt;"",I1169="RECENT",K1169&gt;0),LARGE(_xlfn._xlws.FILTER('Istoric_Nativ'!$D$6:$D$405,('Istoric_Nativ'!$B$6:$B$405=E1169)*('Istoric_Nativ'!$C$6:$C$405=F1169)*('Istoric_Nativ'!$P$6:$P$405=1)*('Istoric_Nativ'!$D$6:$D$405&lt;J1169)*((('Istoric_Nativ'!$E$6:$E$405=G1169)+('Istoric_Nativ'!$F$6:$F$405=G1169))&gt;0)),MIN('Config_v6'!$B$54,K1169)),0)</x:f>
        <x:v>0</x:v>
      </x:c>
      <x:c r="M1169" s="2" t="n">
        <x:f>IF(OR(B1169="",F1169=""),0,IF(H1169="HOME",COUNTIFS('Istoric_Nativ'!$B$6:$B$405,E1169,'Istoric_Nativ'!$C$6:$C$405,F1169,'Istoric_Nativ'!$E$6:$E$405,G1169,'Istoric_Nativ'!$D$6:$D$405,"&lt;"&amp;J1169,'Istoric_Nativ'!$P$6:$P$405,1,'Istoric_Nativ'!$D$6:$D$405,"&gt;="&amp;L1169),IF(H1169="AWAY",COUNTIFS('Istoric_Nativ'!$B$6:$B$405,E1169,'Istoric_Nativ'!$C$6:$C$405,F1169,'Istoric_Nativ'!$F$6:$F$405,G1169,'Istoric_Nativ'!$D$6:$D$405,"&lt;"&amp;J1169,'Istoric_Nativ'!$P$6:$P$405,1,'Istoric_Nativ'!$D$6:$D$405,"&gt;="&amp;L1169),COUNTIFS('Istoric_Nativ'!$B$6:$B$405,E1169,'Istoric_Nativ'!$C$6:$C$405,F1169,'Istoric_Nativ'!$E$6:$E$405,G1169,'Istoric_Nativ'!$D$6:$D$405,"&lt;"&amp;J1169,'Istoric_Nativ'!$P$6:$P$405,1,'Istoric_Nativ'!$D$6:$D$405,"&gt;="&amp;L1169)+COUNTIFS('Istoric_Nativ'!$B$6:$B$405,E1169,'Istoric_Nativ'!$C$6:$C$405,F1169,'Istoric_Nativ'!$F$6:$F$405,G1169,'Istoric_Nativ'!$D$6:$D$405,"&lt;"&amp;J1169,'Istoric_Nativ'!$P$6:$P$405,1,'Istoric_Nativ'!$D$6:$D$405,"&gt;="&amp;L1169))))</x:f>
        <x:v>0</x:v>
      </x:c>
      <x:c r="N1169" s="11" t="str">
        <x:f>IF(M1169=0,"",IF(H1169="HOME",SUMIFS('Istoric_Nativ'!$G$6:$G$405,'Istoric_Nativ'!$B$6:$B$405,E1169,'Istoric_Nativ'!$C$6:$C$405,F1169,'Istoric_Nativ'!$E$6:$E$405,G1169,'Istoric_Nativ'!$D$6:$D$405,"&lt;"&amp;J1169,'Istoric_Nativ'!$P$6:$P$405,1,'Istoric_Nativ'!$D$6:$D$405,"&gt;="&amp;L1169),IF(H1169="AWAY",SUMIFS('Istoric_Nativ'!$H$6:$H$405,'Istoric_Nativ'!$B$6:$B$405,E1169,'Istoric_Nativ'!$C$6:$C$405,F1169,'Istoric_Nativ'!$F$6:$F$405,G1169,'Istoric_Nativ'!$D$6:$D$405,"&lt;"&amp;J1169,'Istoric_Nativ'!$P$6:$P$405,1,'Istoric_Nativ'!$D$6:$D$405,"&gt;="&amp;L1169),SUMIFS('Istoric_Nativ'!$G$6:$G$405,'Istoric_Nativ'!$B$6:$B$405,E1169,'Istoric_Nativ'!$C$6:$C$405,F1169,'Istoric_Nativ'!$E$6:$E$405,G1169,'Istoric_Nativ'!$D$6:$D$405,"&lt;"&amp;J1169,'Istoric_Nativ'!$P$6:$P$405,1,'Istoric_Nativ'!$D$6:$D$405,"&gt;="&amp;L1169)+SUMIFS('Istoric_Nativ'!$H$6:$H$405,'Istoric_Nativ'!$B$6:$B$405,E1169,'Istoric_Nativ'!$C$6:$C$405,F1169,'Istoric_Nativ'!$F$6:$F$405,G1169,'Istoric_Nativ'!$D$6:$D$405,"&lt;"&amp;J1169,'Istoric_Nativ'!$P$6:$P$405,1,'Istoric_Nativ'!$D$6:$D$405,"&gt;="&amp;L1169)))/M1169)</x:f>
      </x:c>
      <x:c r="O1169" s="11" t="str">
        <x:f>IF(M1169=0,"",IF(H1169="HOME",SUMIFS('Istoric_Nativ'!$H$6:$H$405,'Istoric_Nativ'!$B$6:$B$405,E1169,'Istoric_Nativ'!$C$6:$C$405,F1169,'Istoric_Nativ'!$E$6:$E$405,G1169,'Istoric_Nativ'!$D$6:$D$405,"&lt;"&amp;J1169,'Istoric_Nativ'!$P$6:$P$405,1,'Istoric_Nativ'!$D$6:$D$405,"&gt;="&amp;L1169),IF(H1169="AWAY",SUMIFS('Istoric_Nativ'!$G$6:$G$405,'Istoric_Nativ'!$B$6:$B$405,E1169,'Istoric_Nativ'!$C$6:$C$405,F1169,'Istoric_Nativ'!$F$6:$F$405,G1169,'Istoric_Nativ'!$D$6:$D$405,"&lt;"&amp;J1169,'Istoric_Nativ'!$P$6:$P$405,1,'Istoric_Nativ'!$D$6:$D$405,"&gt;="&amp;L1169),SUMIFS('Istoric_Nativ'!$H$6:$H$405,'Istoric_Nativ'!$B$6:$B$405,E1169,'Istoric_Nativ'!$C$6:$C$405,F1169,'Istoric_Nativ'!$E$6:$E$405,G1169,'Istoric_Nativ'!$D$6:$D$405,"&lt;"&amp;J1169,'Istoric_Nativ'!$P$6:$P$405,1,'Istoric_Nativ'!$D$6:$D$405,"&gt;="&amp;L1169)+SUMIFS('Istoric_Nativ'!$G$6:$G$405,'Istoric_Nativ'!$B$6:$B$405,E1169,'Istoric_Nativ'!$C$6:$C$405,F1169,'Istoric_Nativ'!$F$6:$F$405,G1169,'Istoric_Nativ'!$D$6:$D$405,"&lt;"&amp;J1169,'Istoric_Nativ'!$P$6:$P$405,1,'Istoric_Nativ'!$D$6:$D$405,"&gt;="&amp;L1169)))/M1169)</x:f>
      </x:c>
      <x:c r="P1169" s="2" t="n">
        <x:f>'Config_v6'!$B$9</x:f>
        <x:v>3</x:v>
      </x:c>
      <x:c r="Q1169" s="2" t="n">
        <x:f>IF(OR(B1169="",F1169=""),0,IFERROR(MATCH(E1169&amp;"|"&amp;F1169,SourceTable[Source_Key],0),0))</x:f>
        <x:v>0</x:v>
      </x:c>
      <x:c r="R1169" s="2" t="str">
        <x:f>IF(B1169="","",IF(F1169="","UNUSED",IF(Q1169=0,"NOT CHECKED",IF(COUNTIF(SourceTable[Source_Key],E1169&amp;"|"&amp;F1169)&lt;&gt;1,"SOURCE CONFLICT",IF(NOT(OR(INDEX(SourceTable[Status],MAX(1,Q1169))="IMPORTED",INDEX(SourceTable[Status],MAX(1,Q1169))="PARTIAL",INDEX(SourceTable[Status],MAX(1,Q1169))="SOURCE CONFLICT")),"ACCESS BLOCKED",IF(OR(INDEX(SourceTable[Coverage],Q1169)&lt;&gt;"FULL SEASON EXPORT",INDEX(SourceTable[URL],Q1169)="",INDEX(SourceTable[SHA256],Q1169)=""),"EVIDENCE INCOMPLETE",IF(AND('Input_Meci'!H102="LIVE",INDEX(SourceTable[Retrieved_UTC],Q1169)&gt;'Input_Meci'!G102),"POST CUTOFF","CLOSED")))))))</x:f>
      </x:c>
      <x:c r="S1169" s="2" t="n">
        <x:f>IF(OR(B1169="",F1169=""),0,COUNTIFS('Istoric_Nativ'!$B$6:$B$405,E1169,'Istoric_Nativ'!$C$6:$C$405,F1169,'Istoric_Nativ'!$E$6:$E$405,G1169,'Istoric_Nativ'!$D$6:$D$405,"&lt;"&amp;J1169,'Istoric_Nativ'!$O$6:$O$405,"INVALID")+COUNTIFS('Istoric_Nativ'!$B$6:$B$405,E1169,'Istoric_Nativ'!$C$6:$C$405,F1169,'Istoric_Nativ'!$E$6:$E$405,G1169,'Istoric_Nativ'!$O$6:$O$405,"INVALID",'Istoric_Nativ'!$D$6:$D$405,"*")+COUNTIFS('Istoric_Nativ'!$B$6:$B$405,E1169,'Istoric_Nativ'!$C$6:$C$405,F1169,'Istoric_Nativ'!$E$6:$E$405,G1169,'Istoric_Nativ'!$D$6:$D$405,"&lt;"&amp;J1169,'Istoric_Nativ'!$O$6:$O$405,"SOURCE CONFLICT")+COUNTIFS('Istoric_Nativ'!$B$6:$B$405,E1169,'Istoric_Nativ'!$C$6:$C$405,F1169,'Istoric_Nativ'!$F$6:$F$405,G1169,'Istoric_Nativ'!$D$6:$D$405,"&lt;"&amp;J1169,'Istoric_Nativ'!$O$6:$O$405,"INVALID")+COUNTIFS('Istoric_Nativ'!$B$6:$B$405,E1169,'Istoric_Nativ'!$C$6:$C$405,F1169,'Istoric_Nativ'!$F$6:$F$405,G1169,'Istoric_Nativ'!$O$6:$O$405,"INVALID",'Istoric_Nativ'!$D$6:$D$405,"*")+COUNTIFS('Istoric_Nativ'!$B$6:$B$405,E1169,'Istoric_Nativ'!$C$6:$C$405,F1169,'Istoric_Nativ'!$F$6:$F$405,G1169,'Istoric_Nativ'!$D$6:$D$405,"&lt;"&amp;J1169,'Istoric_Nativ'!$O$6:$O$405,"SOURCE CONFLICT"))</x:f>
        <x:v>0</x:v>
      </x:c>
      <x:c r="T1169" s="2" t="str">
        <x:f>IF(B1169="","",IF(R1169&lt;&gt;"CLOSED",R1169,IF(S1169&gt;0,"NATIVE INPUT ISSUE",IF(M1169=0,"NO HISTORY",IF(M1169&lt;P1169,"SMALL SAMPLE","DERIVED")))))</x:f>
      </x:c>
      <x:c r="U1169" s="2" t="str">
        <x:f>IF(B1169="","","NativeTable; "&amp;E1169&amp;"; "&amp;F1169&amp;"; "&amp;G1169&amp;"; "&amp;H1169&amp;"; before "&amp;TEXT(J1169,"yyyy-mm-dd")&amp;IF(I1169="RECENT","; from "&amp;TEXT(L1169,"yyyy-mm-dd"),""))</x:f>
      </x:c>
    </x:row>
    <x:row r="1170" ht="21" customHeight="1">
      <x:c r="A1170" s="2" t="n">
        <x:v>98</x:v>
      </x:c>
      <x:c r="B1170" s="2" t="str">
        <x:f>IF('Input_Meci'!A103="","",'Input_Meci'!A103)</x:f>
      </x:c>
      <x:c r="C1170" s="2" t="str">
        <x:v>H</x:v>
      </x:c>
      <x:c r="D1170" s="2" t="str">
        <x:v>CURRENT</x:v>
      </x:c>
      <x:c r="E1170" s="2" t="str">
        <x:f>IF(B1170="","",'Input_Meci'!B103)</x:f>
      </x:c>
      <x:c r="F1170" s="2" t="str">
        <x:f>IF(B1170="","",IF('Input_Meci'!C103="","",'Input_Meci'!C103))</x:f>
      </x:c>
      <x:c r="G1170" s="2" t="str">
        <x:f>IF(B1170="","",'Input_Meci'!D103)</x:f>
      </x:c>
      <x:c r="H1170" s="2" t="str">
        <x:v>ANY</x:v>
      </x:c>
      <x:c r="I1170" s="2" t="str">
        <x:v>SEASON</x:v>
      </x:c>
      <x:c r="J1170" s="9" t="n">
        <x:f>IF(AND(B1170&lt;&gt;"",ISNUMBER('Input_Meci'!G103)),INT('Input_Meci'!G103),0)</x:f>
        <x:v>0</x:v>
      </x:c>
      <x:c r="K1170" s="2" t="n">
        <x:f>IF(OR(B1170="",F1170=""),0,IF(H1170="HOME",COUNTIFS('Istoric_Nativ'!$B$6:$B$405,E1170,'Istoric_Nativ'!$C$6:$C$405,F1170,'Istoric_Nativ'!$E$6:$E$405,G1170,'Istoric_Nativ'!$D$6:$D$405,"&lt;"&amp;J1170,'Istoric_Nativ'!$P$6:$P$405,1),IF(H1170="AWAY",COUNTIFS('Istoric_Nativ'!$B$6:$B$405,E1170,'Istoric_Nativ'!$C$6:$C$405,F1170,'Istoric_Nativ'!$F$6:$F$405,G1170,'Istoric_Nativ'!$D$6:$D$405,"&lt;"&amp;J1170,'Istoric_Nativ'!$P$6:$P$405,1),COUNTIFS('Istoric_Nativ'!$B$6:$B$405,E1170,'Istoric_Nativ'!$C$6:$C$405,F1170,'Istoric_Nativ'!$E$6:$E$405,G1170,'Istoric_Nativ'!$D$6:$D$405,"&lt;"&amp;J1170,'Istoric_Nativ'!$P$6:$P$405,1)+COUNTIFS('Istoric_Nativ'!$B$6:$B$405,E1170,'Istoric_Nativ'!$C$6:$C$405,F1170,'Istoric_Nativ'!$F$6:$F$405,G1170,'Istoric_Nativ'!$D$6:$D$405,"&lt;"&amp;J1170,'Istoric_Nativ'!$P$6:$P$405,1))))</x:f>
        <x:v>0</x:v>
      </x:c>
      <x:c r="L1170" s="17" t="n">
        <x:f>IF(AND(B1170&lt;&gt;"",I1170="RECENT",K1170&gt;0),LARGE(_xlfn._xlws.FILTER('Istoric_Nativ'!$D$6:$D$405,('Istoric_Nativ'!$B$6:$B$405=E1170)*('Istoric_Nativ'!$C$6:$C$405=F1170)*('Istoric_Nativ'!$P$6:$P$405=1)*('Istoric_Nativ'!$D$6:$D$405&lt;J1170)*((('Istoric_Nativ'!$E$6:$E$405=G1170)+('Istoric_Nativ'!$F$6:$F$405=G1170))&gt;0)),MIN('Config_v6'!$B$54,K1170)),0)</x:f>
        <x:v>0</x:v>
      </x:c>
      <x:c r="M1170" s="2" t="n">
        <x:f>IF(OR(B1170="",F1170=""),0,IF(H1170="HOME",COUNTIFS('Istoric_Nativ'!$B$6:$B$405,E1170,'Istoric_Nativ'!$C$6:$C$405,F1170,'Istoric_Nativ'!$E$6:$E$405,G1170,'Istoric_Nativ'!$D$6:$D$405,"&lt;"&amp;J1170,'Istoric_Nativ'!$P$6:$P$405,1,'Istoric_Nativ'!$D$6:$D$405,"&gt;="&amp;L1170),IF(H1170="AWAY",COUNTIFS('Istoric_Nativ'!$B$6:$B$405,E1170,'Istoric_Nativ'!$C$6:$C$405,F1170,'Istoric_Nativ'!$F$6:$F$405,G1170,'Istoric_Nativ'!$D$6:$D$405,"&lt;"&amp;J1170,'Istoric_Nativ'!$P$6:$P$405,1,'Istoric_Nativ'!$D$6:$D$405,"&gt;="&amp;L1170),COUNTIFS('Istoric_Nativ'!$B$6:$B$405,E1170,'Istoric_Nativ'!$C$6:$C$405,F1170,'Istoric_Nativ'!$E$6:$E$405,G1170,'Istoric_Nativ'!$D$6:$D$405,"&lt;"&amp;J1170,'Istoric_Nativ'!$P$6:$P$405,1,'Istoric_Nativ'!$D$6:$D$405,"&gt;="&amp;L1170)+COUNTIFS('Istoric_Nativ'!$B$6:$B$405,E1170,'Istoric_Nativ'!$C$6:$C$405,F1170,'Istoric_Nativ'!$F$6:$F$405,G1170,'Istoric_Nativ'!$D$6:$D$405,"&lt;"&amp;J1170,'Istoric_Nativ'!$P$6:$P$405,1,'Istoric_Nativ'!$D$6:$D$405,"&gt;="&amp;L1170))))</x:f>
        <x:v>0</x:v>
      </x:c>
      <x:c r="N1170" s="11" t="str">
        <x:f>IF(M1170=0,"",IF(H1170="HOME",SUMIFS('Istoric_Nativ'!$G$6:$G$405,'Istoric_Nativ'!$B$6:$B$405,E1170,'Istoric_Nativ'!$C$6:$C$405,F1170,'Istoric_Nativ'!$E$6:$E$405,G1170,'Istoric_Nativ'!$D$6:$D$405,"&lt;"&amp;J1170,'Istoric_Nativ'!$P$6:$P$405,1,'Istoric_Nativ'!$D$6:$D$405,"&gt;="&amp;L1170),IF(H1170="AWAY",SUMIFS('Istoric_Nativ'!$H$6:$H$405,'Istoric_Nativ'!$B$6:$B$405,E1170,'Istoric_Nativ'!$C$6:$C$405,F1170,'Istoric_Nativ'!$F$6:$F$405,G1170,'Istoric_Nativ'!$D$6:$D$405,"&lt;"&amp;J1170,'Istoric_Nativ'!$P$6:$P$405,1,'Istoric_Nativ'!$D$6:$D$405,"&gt;="&amp;L1170),SUMIFS('Istoric_Nativ'!$G$6:$G$405,'Istoric_Nativ'!$B$6:$B$405,E1170,'Istoric_Nativ'!$C$6:$C$405,F1170,'Istoric_Nativ'!$E$6:$E$405,G1170,'Istoric_Nativ'!$D$6:$D$405,"&lt;"&amp;J1170,'Istoric_Nativ'!$P$6:$P$405,1,'Istoric_Nativ'!$D$6:$D$405,"&gt;="&amp;L1170)+SUMIFS('Istoric_Nativ'!$H$6:$H$405,'Istoric_Nativ'!$B$6:$B$405,E1170,'Istoric_Nativ'!$C$6:$C$405,F1170,'Istoric_Nativ'!$F$6:$F$405,G1170,'Istoric_Nativ'!$D$6:$D$405,"&lt;"&amp;J1170,'Istoric_Nativ'!$P$6:$P$405,1,'Istoric_Nativ'!$D$6:$D$405,"&gt;="&amp;L1170)))/M1170)</x:f>
      </x:c>
      <x:c r="O1170" s="11" t="str">
        <x:f>IF(M1170=0,"",IF(H1170="HOME",SUMIFS('Istoric_Nativ'!$H$6:$H$405,'Istoric_Nativ'!$B$6:$B$405,E1170,'Istoric_Nativ'!$C$6:$C$405,F1170,'Istoric_Nativ'!$E$6:$E$405,G1170,'Istoric_Nativ'!$D$6:$D$405,"&lt;"&amp;J1170,'Istoric_Nativ'!$P$6:$P$405,1,'Istoric_Nativ'!$D$6:$D$405,"&gt;="&amp;L1170),IF(H1170="AWAY",SUMIFS('Istoric_Nativ'!$G$6:$G$405,'Istoric_Nativ'!$B$6:$B$405,E1170,'Istoric_Nativ'!$C$6:$C$405,F1170,'Istoric_Nativ'!$F$6:$F$405,G1170,'Istoric_Nativ'!$D$6:$D$405,"&lt;"&amp;J1170,'Istoric_Nativ'!$P$6:$P$405,1,'Istoric_Nativ'!$D$6:$D$405,"&gt;="&amp;L1170),SUMIFS('Istoric_Nativ'!$H$6:$H$405,'Istoric_Nativ'!$B$6:$B$405,E1170,'Istoric_Nativ'!$C$6:$C$405,F1170,'Istoric_Nativ'!$E$6:$E$405,G1170,'Istoric_Nativ'!$D$6:$D$405,"&lt;"&amp;J1170,'Istoric_Nativ'!$P$6:$P$405,1,'Istoric_Nativ'!$D$6:$D$405,"&gt;="&amp;L1170)+SUMIFS('Istoric_Nativ'!$G$6:$G$405,'Istoric_Nativ'!$B$6:$B$405,E1170,'Istoric_Nativ'!$C$6:$C$405,F1170,'Istoric_Nativ'!$F$6:$F$405,G1170,'Istoric_Nativ'!$D$6:$D$405,"&lt;"&amp;J1170,'Istoric_Nativ'!$P$6:$P$405,1,'Istoric_Nativ'!$D$6:$D$405,"&gt;="&amp;L1170)))/M1170)</x:f>
      </x:c>
      <x:c r="P1170" s="2" t="n">
        <x:f>'Config_v6'!$B$7</x:f>
        <x:v>10</x:v>
      </x:c>
      <x:c r="Q1170" s="2" t="n">
        <x:f>IF(OR(B1170="",F1170=""),0,IFERROR(MATCH(E1170&amp;"|"&amp;F1170,SourceTable[Source_Key],0),0))</x:f>
        <x:v>0</x:v>
      </x:c>
      <x:c r="R1170" s="2" t="str">
        <x:f>IF(B1170="","",IF(F1170="","UNUSED",IF(Q1170=0,"NOT CHECKED",IF(COUNTIF(SourceTable[Source_Key],E1170&amp;"|"&amp;F1170)&lt;&gt;1,"SOURCE CONFLICT",IF(NOT(OR(INDEX(SourceTable[Status],MAX(1,Q1170))="IMPORTED",INDEX(SourceTable[Status],MAX(1,Q1170))="PARTIAL",INDEX(SourceTable[Status],MAX(1,Q1170))="SOURCE CONFLICT")),"ACCESS BLOCKED",IF(OR(INDEX(SourceTable[Coverage],Q1170)&lt;&gt;"FULL SEASON EXPORT",INDEX(SourceTable[URL],Q1170)="",INDEX(SourceTable[SHA256],Q1170)=""),"EVIDENCE INCOMPLETE",IF(AND('Input_Meci'!H103="LIVE",INDEX(SourceTable[Retrieved_UTC],Q1170)&gt;'Input_Meci'!G103),"POST CUTOFF","CLOSED")))))))</x:f>
      </x:c>
      <x:c r="S1170" s="2" t="n">
        <x:f>IF(OR(B1170="",F1170=""),0,COUNTIFS('Istoric_Nativ'!$B$6:$B$405,E1170,'Istoric_Nativ'!$C$6:$C$405,F1170,'Istoric_Nativ'!$E$6:$E$405,G1170,'Istoric_Nativ'!$D$6:$D$405,"&lt;"&amp;J1170,'Istoric_Nativ'!$O$6:$O$405,"INVALID")+COUNTIFS('Istoric_Nativ'!$B$6:$B$405,E1170,'Istoric_Nativ'!$C$6:$C$405,F1170,'Istoric_Nativ'!$E$6:$E$405,G1170,'Istoric_Nativ'!$O$6:$O$405,"INVALID",'Istoric_Nativ'!$D$6:$D$405,"*")+COUNTIFS('Istoric_Nativ'!$B$6:$B$405,E1170,'Istoric_Nativ'!$C$6:$C$405,F1170,'Istoric_Nativ'!$E$6:$E$405,G1170,'Istoric_Nativ'!$D$6:$D$405,"&lt;"&amp;J1170,'Istoric_Nativ'!$O$6:$O$405,"SOURCE CONFLICT")+COUNTIFS('Istoric_Nativ'!$B$6:$B$405,E1170,'Istoric_Nativ'!$C$6:$C$405,F1170,'Istoric_Nativ'!$F$6:$F$405,G1170,'Istoric_Nativ'!$D$6:$D$405,"&lt;"&amp;J1170,'Istoric_Nativ'!$O$6:$O$405,"INVALID")+COUNTIFS('Istoric_Nativ'!$B$6:$B$405,E1170,'Istoric_Nativ'!$C$6:$C$405,F1170,'Istoric_Nativ'!$F$6:$F$405,G1170,'Istoric_Nativ'!$O$6:$O$405,"INVALID",'Istoric_Nativ'!$D$6:$D$405,"*")+COUNTIFS('Istoric_Nativ'!$B$6:$B$405,E1170,'Istoric_Nativ'!$C$6:$C$405,F1170,'Istoric_Nativ'!$F$6:$F$405,G1170,'Istoric_Nativ'!$D$6:$D$405,"&lt;"&amp;J1170,'Istoric_Nativ'!$O$6:$O$405,"SOURCE CONFLICT"))</x:f>
        <x:v>0</x:v>
      </x:c>
      <x:c r="T1170" s="2" t="str">
        <x:f>IF(B1170="","",IF(R1170&lt;&gt;"CLOSED",R1170,IF(S1170&gt;0,"NATIVE INPUT ISSUE",IF(M1170=0,"NO HISTORY",IF(M1170&lt;P1170,"SMALL SAMPLE","DERIVED")))))</x:f>
      </x:c>
      <x:c r="U1170" s="2" t="str">
        <x:f>IF(B1170="","","NativeTable; "&amp;E1170&amp;"; "&amp;F1170&amp;"; "&amp;G1170&amp;"; "&amp;H1170&amp;"; before "&amp;TEXT(J1170,"yyyy-mm-dd")&amp;IF(I1170="RECENT","; from "&amp;TEXT(L1170,"yyyy-mm-dd"),""))</x:f>
      </x:c>
    </x:row>
    <x:row r="1171" ht="21" customHeight="1">
      <x:c r="A1171" s="2" t="n">
        <x:v>98</x:v>
      </x:c>
      <x:c r="B1171" s="2" t="str">
        <x:f>IF('Input_Meci'!A103="","",'Input_Meci'!A103)</x:f>
      </x:c>
      <x:c r="C1171" s="2" t="str">
        <x:v>H</x:v>
      </x:c>
      <x:c r="D1171" s="2" t="str">
        <x:v>CURRENT</x:v>
      </x:c>
      <x:c r="E1171" s="2" t="str">
        <x:f>IF(B1171="","",'Input_Meci'!B103)</x:f>
      </x:c>
      <x:c r="F1171" s="2" t="str">
        <x:f>IF(B1171="","",IF('Input_Meci'!C103="","",'Input_Meci'!C103))</x:f>
      </x:c>
      <x:c r="G1171" s="2" t="str">
        <x:f>IF(B1171="","",'Input_Meci'!D103)</x:f>
      </x:c>
      <x:c r="H1171" s="2" t="str">
        <x:v>HOME</x:v>
      </x:c>
      <x:c r="I1171" s="2" t="str">
        <x:v>HA</x:v>
      </x:c>
      <x:c r="J1171" s="9" t="n">
        <x:f>IF(AND(B1171&lt;&gt;"",ISNUMBER('Input_Meci'!G103)),INT('Input_Meci'!G103),0)</x:f>
        <x:v>0</x:v>
      </x:c>
      <x:c r="K1171" s="2" t="n">
        <x:f>IF(OR(B1171="",F1171=""),0,IF(H1171="HOME",COUNTIFS('Istoric_Nativ'!$B$6:$B$405,E1171,'Istoric_Nativ'!$C$6:$C$405,F1171,'Istoric_Nativ'!$E$6:$E$405,G1171,'Istoric_Nativ'!$D$6:$D$405,"&lt;"&amp;J1171,'Istoric_Nativ'!$P$6:$P$405,1),IF(H1171="AWAY",COUNTIFS('Istoric_Nativ'!$B$6:$B$405,E1171,'Istoric_Nativ'!$C$6:$C$405,F1171,'Istoric_Nativ'!$F$6:$F$405,G1171,'Istoric_Nativ'!$D$6:$D$405,"&lt;"&amp;J1171,'Istoric_Nativ'!$P$6:$P$405,1),COUNTIFS('Istoric_Nativ'!$B$6:$B$405,E1171,'Istoric_Nativ'!$C$6:$C$405,F1171,'Istoric_Nativ'!$E$6:$E$405,G1171,'Istoric_Nativ'!$D$6:$D$405,"&lt;"&amp;J1171,'Istoric_Nativ'!$P$6:$P$405,1)+COUNTIFS('Istoric_Nativ'!$B$6:$B$405,E1171,'Istoric_Nativ'!$C$6:$C$405,F1171,'Istoric_Nativ'!$F$6:$F$405,G1171,'Istoric_Nativ'!$D$6:$D$405,"&lt;"&amp;J1171,'Istoric_Nativ'!$P$6:$P$405,1))))</x:f>
        <x:v>0</x:v>
      </x:c>
      <x:c r="L1171" s="17" t="n">
        <x:f>IF(AND(B1171&lt;&gt;"",I1171="RECENT",K1171&gt;0),LARGE(_xlfn._xlws.FILTER('Istoric_Nativ'!$D$6:$D$405,('Istoric_Nativ'!$B$6:$B$405=E1171)*('Istoric_Nativ'!$C$6:$C$405=F1171)*('Istoric_Nativ'!$P$6:$P$405=1)*('Istoric_Nativ'!$D$6:$D$405&lt;J1171)*((('Istoric_Nativ'!$E$6:$E$405=G1171)+('Istoric_Nativ'!$F$6:$F$405=G1171))&gt;0)),MIN('Config_v6'!$B$54,K1171)),0)</x:f>
        <x:v>0</x:v>
      </x:c>
      <x:c r="M1171" s="2" t="n">
        <x:f>IF(OR(B1171="",F1171=""),0,IF(H1171="HOME",COUNTIFS('Istoric_Nativ'!$B$6:$B$405,E1171,'Istoric_Nativ'!$C$6:$C$405,F1171,'Istoric_Nativ'!$E$6:$E$405,G1171,'Istoric_Nativ'!$D$6:$D$405,"&lt;"&amp;J1171,'Istoric_Nativ'!$P$6:$P$405,1,'Istoric_Nativ'!$D$6:$D$405,"&gt;="&amp;L1171),IF(H1171="AWAY",COUNTIFS('Istoric_Nativ'!$B$6:$B$405,E1171,'Istoric_Nativ'!$C$6:$C$405,F1171,'Istoric_Nativ'!$F$6:$F$405,G1171,'Istoric_Nativ'!$D$6:$D$405,"&lt;"&amp;J1171,'Istoric_Nativ'!$P$6:$P$405,1,'Istoric_Nativ'!$D$6:$D$405,"&gt;="&amp;L1171),COUNTIFS('Istoric_Nativ'!$B$6:$B$405,E1171,'Istoric_Nativ'!$C$6:$C$405,F1171,'Istoric_Nativ'!$E$6:$E$405,G1171,'Istoric_Nativ'!$D$6:$D$405,"&lt;"&amp;J1171,'Istoric_Nativ'!$P$6:$P$405,1,'Istoric_Nativ'!$D$6:$D$405,"&gt;="&amp;L1171)+COUNTIFS('Istoric_Nativ'!$B$6:$B$405,E1171,'Istoric_Nativ'!$C$6:$C$405,F1171,'Istoric_Nativ'!$F$6:$F$405,G1171,'Istoric_Nativ'!$D$6:$D$405,"&lt;"&amp;J1171,'Istoric_Nativ'!$P$6:$P$405,1,'Istoric_Nativ'!$D$6:$D$405,"&gt;="&amp;L1171))))</x:f>
        <x:v>0</x:v>
      </x:c>
      <x:c r="N1171" s="11" t="str">
        <x:f>IF(M1171=0,"",IF(H1171="HOME",SUMIFS('Istoric_Nativ'!$G$6:$G$405,'Istoric_Nativ'!$B$6:$B$405,E1171,'Istoric_Nativ'!$C$6:$C$405,F1171,'Istoric_Nativ'!$E$6:$E$405,G1171,'Istoric_Nativ'!$D$6:$D$405,"&lt;"&amp;J1171,'Istoric_Nativ'!$P$6:$P$405,1,'Istoric_Nativ'!$D$6:$D$405,"&gt;="&amp;L1171),IF(H1171="AWAY",SUMIFS('Istoric_Nativ'!$H$6:$H$405,'Istoric_Nativ'!$B$6:$B$405,E1171,'Istoric_Nativ'!$C$6:$C$405,F1171,'Istoric_Nativ'!$F$6:$F$405,G1171,'Istoric_Nativ'!$D$6:$D$405,"&lt;"&amp;J1171,'Istoric_Nativ'!$P$6:$P$405,1,'Istoric_Nativ'!$D$6:$D$405,"&gt;="&amp;L1171),SUMIFS('Istoric_Nativ'!$G$6:$G$405,'Istoric_Nativ'!$B$6:$B$405,E1171,'Istoric_Nativ'!$C$6:$C$405,F1171,'Istoric_Nativ'!$E$6:$E$405,G1171,'Istoric_Nativ'!$D$6:$D$405,"&lt;"&amp;J1171,'Istoric_Nativ'!$P$6:$P$405,1,'Istoric_Nativ'!$D$6:$D$405,"&gt;="&amp;L1171)+SUMIFS('Istoric_Nativ'!$H$6:$H$405,'Istoric_Nativ'!$B$6:$B$405,E1171,'Istoric_Nativ'!$C$6:$C$405,F1171,'Istoric_Nativ'!$F$6:$F$405,G1171,'Istoric_Nativ'!$D$6:$D$405,"&lt;"&amp;J1171,'Istoric_Nativ'!$P$6:$P$405,1,'Istoric_Nativ'!$D$6:$D$405,"&gt;="&amp;L1171)))/M1171)</x:f>
      </x:c>
      <x:c r="O1171" s="11" t="str">
        <x:f>IF(M1171=0,"",IF(H1171="HOME",SUMIFS('Istoric_Nativ'!$H$6:$H$405,'Istoric_Nativ'!$B$6:$B$405,E1171,'Istoric_Nativ'!$C$6:$C$405,F1171,'Istoric_Nativ'!$E$6:$E$405,G1171,'Istoric_Nativ'!$D$6:$D$405,"&lt;"&amp;J1171,'Istoric_Nativ'!$P$6:$P$405,1,'Istoric_Nativ'!$D$6:$D$405,"&gt;="&amp;L1171),IF(H1171="AWAY",SUMIFS('Istoric_Nativ'!$G$6:$G$405,'Istoric_Nativ'!$B$6:$B$405,E1171,'Istoric_Nativ'!$C$6:$C$405,F1171,'Istoric_Nativ'!$F$6:$F$405,G1171,'Istoric_Nativ'!$D$6:$D$405,"&lt;"&amp;J1171,'Istoric_Nativ'!$P$6:$P$405,1,'Istoric_Nativ'!$D$6:$D$405,"&gt;="&amp;L1171),SUMIFS('Istoric_Nativ'!$H$6:$H$405,'Istoric_Nativ'!$B$6:$B$405,E1171,'Istoric_Nativ'!$C$6:$C$405,F1171,'Istoric_Nativ'!$E$6:$E$405,G1171,'Istoric_Nativ'!$D$6:$D$405,"&lt;"&amp;J1171,'Istoric_Nativ'!$P$6:$P$405,1,'Istoric_Nativ'!$D$6:$D$405,"&gt;="&amp;L1171)+SUMIFS('Istoric_Nativ'!$G$6:$G$405,'Istoric_Nativ'!$B$6:$B$405,E1171,'Istoric_Nativ'!$C$6:$C$405,F1171,'Istoric_Nativ'!$F$6:$F$405,G1171,'Istoric_Nativ'!$D$6:$D$405,"&lt;"&amp;J1171,'Istoric_Nativ'!$P$6:$P$405,1,'Istoric_Nativ'!$D$6:$D$405,"&gt;="&amp;L1171)))/M1171)</x:f>
      </x:c>
      <x:c r="P1171" s="2" t="n">
        <x:f>'Config_v6'!$B$8</x:f>
        <x:v>5</x:v>
      </x:c>
      <x:c r="Q1171" s="2" t="n">
        <x:f>IF(OR(B1171="",F1171=""),0,IFERROR(MATCH(E1171&amp;"|"&amp;F1171,SourceTable[Source_Key],0),0))</x:f>
        <x:v>0</x:v>
      </x:c>
      <x:c r="R1171" s="2" t="str">
        <x:f>IF(B1171="","",IF(F1171="","UNUSED",IF(Q1171=0,"NOT CHECKED",IF(COUNTIF(SourceTable[Source_Key],E1171&amp;"|"&amp;F1171)&lt;&gt;1,"SOURCE CONFLICT",IF(NOT(OR(INDEX(SourceTable[Status],MAX(1,Q1171))="IMPORTED",INDEX(SourceTable[Status],MAX(1,Q1171))="PARTIAL",INDEX(SourceTable[Status],MAX(1,Q1171))="SOURCE CONFLICT")),"ACCESS BLOCKED",IF(OR(INDEX(SourceTable[Coverage],Q1171)&lt;&gt;"FULL SEASON EXPORT",INDEX(SourceTable[URL],Q1171)="",INDEX(SourceTable[SHA256],Q1171)=""),"EVIDENCE INCOMPLETE",IF(AND('Input_Meci'!H103="LIVE",INDEX(SourceTable[Retrieved_UTC],Q1171)&gt;'Input_Meci'!G103),"POST CUTOFF","CLOSED")))))))</x:f>
      </x:c>
      <x:c r="S1171" s="2" t="n">
        <x:f>IF(OR(B1171="",F1171=""),0,COUNTIFS('Istoric_Nativ'!$B$6:$B$405,E1171,'Istoric_Nativ'!$C$6:$C$405,F1171,'Istoric_Nativ'!$E$6:$E$405,G1171,'Istoric_Nativ'!$D$6:$D$405,"&lt;"&amp;J1171,'Istoric_Nativ'!$O$6:$O$405,"INVALID")+COUNTIFS('Istoric_Nativ'!$B$6:$B$405,E1171,'Istoric_Nativ'!$C$6:$C$405,F1171,'Istoric_Nativ'!$E$6:$E$405,G1171,'Istoric_Nativ'!$O$6:$O$405,"INVALID",'Istoric_Nativ'!$D$6:$D$405,"*")+COUNTIFS('Istoric_Nativ'!$B$6:$B$405,E1171,'Istoric_Nativ'!$C$6:$C$405,F1171,'Istoric_Nativ'!$E$6:$E$405,G1171,'Istoric_Nativ'!$D$6:$D$405,"&lt;"&amp;J1171,'Istoric_Nativ'!$O$6:$O$405,"SOURCE CONFLICT")+COUNTIFS('Istoric_Nativ'!$B$6:$B$405,E1171,'Istoric_Nativ'!$C$6:$C$405,F1171,'Istoric_Nativ'!$F$6:$F$405,G1171,'Istoric_Nativ'!$D$6:$D$405,"&lt;"&amp;J1171,'Istoric_Nativ'!$O$6:$O$405,"INVALID")+COUNTIFS('Istoric_Nativ'!$B$6:$B$405,E1171,'Istoric_Nativ'!$C$6:$C$405,F1171,'Istoric_Nativ'!$F$6:$F$405,G1171,'Istoric_Nativ'!$O$6:$O$405,"INVALID",'Istoric_Nativ'!$D$6:$D$405,"*")+COUNTIFS('Istoric_Nativ'!$B$6:$B$405,E1171,'Istoric_Nativ'!$C$6:$C$405,F1171,'Istoric_Nativ'!$F$6:$F$405,G1171,'Istoric_Nativ'!$D$6:$D$405,"&lt;"&amp;J1171,'Istoric_Nativ'!$O$6:$O$405,"SOURCE CONFLICT"))</x:f>
        <x:v>0</x:v>
      </x:c>
      <x:c r="T1171" s="2" t="str">
        <x:f>IF(B1171="","",IF(R1171&lt;&gt;"CLOSED",R1171,IF(S1171&gt;0,"NATIVE INPUT ISSUE",IF(M1171=0,"NO HISTORY",IF(M1171&lt;P1171,"SMALL SAMPLE","DERIVED")))))</x:f>
      </x:c>
      <x:c r="U1171" s="2" t="str">
        <x:f>IF(B1171="","","NativeTable; "&amp;E1171&amp;"; "&amp;F1171&amp;"; "&amp;G1171&amp;"; "&amp;H1171&amp;"; before "&amp;TEXT(J1171,"yyyy-mm-dd")&amp;IF(I1171="RECENT","; from "&amp;TEXT(L1171,"yyyy-mm-dd"),""))</x:f>
      </x:c>
    </x:row>
    <x:row r="1172" ht="21" customHeight="1">
      <x:c r="A1172" s="2" t="n">
        <x:v>98</x:v>
      </x:c>
      <x:c r="B1172" s="2" t="str">
        <x:f>IF('Input_Meci'!A103="","",'Input_Meci'!A103)</x:f>
      </x:c>
      <x:c r="C1172" s="2" t="str">
        <x:v>H</x:v>
      </x:c>
      <x:c r="D1172" s="2" t="str">
        <x:v>CURRENT</x:v>
      </x:c>
      <x:c r="E1172" s="2" t="str">
        <x:f>IF(B1172="","",'Input_Meci'!B103)</x:f>
      </x:c>
      <x:c r="F1172" s="2" t="str">
        <x:f>IF(B1172="","",IF('Input_Meci'!C103="","",'Input_Meci'!C103))</x:f>
      </x:c>
      <x:c r="G1172" s="2" t="str">
        <x:f>IF(B1172="","",'Input_Meci'!D103)</x:f>
      </x:c>
      <x:c r="H1172" s="2" t="str">
        <x:v>ANY</x:v>
      </x:c>
      <x:c r="I1172" s="2" t="str">
        <x:v>RECENT</x:v>
      </x:c>
      <x:c r="J1172" s="9" t="n">
        <x:f>IF(AND(B1172&lt;&gt;"",ISNUMBER('Input_Meci'!G103)),INT('Input_Meci'!G103),0)</x:f>
        <x:v>0</x:v>
      </x:c>
      <x:c r="K1172" s="2" t="n">
        <x:f>IF(OR(B1172="",F1172=""),0,IF(H1172="HOME",COUNTIFS('Istoric_Nativ'!$B$6:$B$405,E1172,'Istoric_Nativ'!$C$6:$C$405,F1172,'Istoric_Nativ'!$E$6:$E$405,G1172,'Istoric_Nativ'!$D$6:$D$405,"&lt;"&amp;J1172,'Istoric_Nativ'!$P$6:$P$405,1),IF(H1172="AWAY",COUNTIFS('Istoric_Nativ'!$B$6:$B$405,E1172,'Istoric_Nativ'!$C$6:$C$405,F1172,'Istoric_Nativ'!$F$6:$F$405,G1172,'Istoric_Nativ'!$D$6:$D$405,"&lt;"&amp;J1172,'Istoric_Nativ'!$P$6:$P$405,1),COUNTIFS('Istoric_Nativ'!$B$6:$B$405,E1172,'Istoric_Nativ'!$C$6:$C$405,F1172,'Istoric_Nativ'!$E$6:$E$405,G1172,'Istoric_Nativ'!$D$6:$D$405,"&lt;"&amp;J1172,'Istoric_Nativ'!$P$6:$P$405,1)+COUNTIFS('Istoric_Nativ'!$B$6:$B$405,E1172,'Istoric_Nativ'!$C$6:$C$405,F1172,'Istoric_Nativ'!$F$6:$F$405,G1172,'Istoric_Nativ'!$D$6:$D$405,"&lt;"&amp;J1172,'Istoric_Nativ'!$P$6:$P$405,1))))</x:f>
        <x:v>0</x:v>
      </x:c>
      <x:c r="L1172" s="17" t="n">
        <x:f>IF(AND(B1172&lt;&gt;"",I1172="RECENT",K1172&gt;0),LARGE(_xlfn._xlws.FILTER('Istoric_Nativ'!$D$6:$D$405,('Istoric_Nativ'!$B$6:$B$405=E1172)*('Istoric_Nativ'!$C$6:$C$405=F1172)*('Istoric_Nativ'!$P$6:$P$405=1)*('Istoric_Nativ'!$D$6:$D$405&lt;J1172)*((('Istoric_Nativ'!$E$6:$E$405=G1172)+('Istoric_Nativ'!$F$6:$F$405=G1172))&gt;0)),MIN('Config_v6'!$B$54,K1172)),0)</x:f>
        <x:v>0</x:v>
      </x:c>
      <x:c r="M1172" s="2" t="n">
        <x:f>IF(OR(B1172="",F1172=""),0,IF(H1172="HOME",COUNTIFS('Istoric_Nativ'!$B$6:$B$405,E1172,'Istoric_Nativ'!$C$6:$C$405,F1172,'Istoric_Nativ'!$E$6:$E$405,G1172,'Istoric_Nativ'!$D$6:$D$405,"&lt;"&amp;J1172,'Istoric_Nativ'!$P$6:$P$405,1,'Istoric_Nativ'!$D$6:$D$405,"&gt;="&amp;L1172),IF(H1172="AWAY",COUNTIFS('Istoric_Nativ'!$B$6:$B$405,E1172,'Istoric_Nativ'!$C$6:$C$405,F1172,'Istoric_Nativ'!$F$6:$F$405,G1172,'Istoric_Nativ'!$D$6:$D$405,"&lt;"&amp;J1172,'Istoric_Nativ'!$P$6:$P$405,1,'Istoric_Nativ'!$D$6:$D$405,"&gt;="&amp;L1172),COUNTIFS('Istoric_Nativ'!$B$6:$B$405,E1172,'Istoric_Nativ'!$C$6:$C$405,F1172,'Istoric_Nativ'!$E$6:$E$405,G1172,'Istoric_Nativ'!$D$6:$D$405,"&lt;"&amp;J1172,'Istoric_Nativ'!$P$6:$P$405,1,'Istoric_Nativ'!$D$6:$D$405,"&gt;="&amp;L1172)+COUNTIFS('Istoric_Nativ'!$B$6:$B$405,E1172,'Istoric_Nativ'!$C$6:$C$405,F1172,'Istoric_Nativ'!$F$6:$F$405,G1172,'Istoric_Nativ'!$D$6:$D$405,"&lt;"&amp;J1172,'Istoric_Nativ'!$P$6:$P$405,1,'Istoric_Nativ'!$D$6:$D$405,"&gt;="&amp;L1172))))</x:f>
        <x:v>0</x:v>
      </x:c>
      <x:c r="N1172" s="11" t="str">
        <x:f>IF(M1172=0,"",IF(H1172="HOME",SUMIFS('Istoric_Nativ'!$G$6:$G$405,'Istoric_Nativ'!$B$6:$B$405,E1172,'Istoric_Nativ'!$C$6:$C$405,F1172,'Istoric_Nativ'!$E$6:$E$405,G1172,'Istoric_Nativ'!$D$6:$D$405,"&lt;"&amp;J1172,'Istoric_Nativ'!$P$6:$P$405,1,'Istoric_Nativ'!$D$6:$D$405,"&gt;="&amp;L1172),IF(H1172="AWAY",SUMIFS('Istoric_Nativ'!$H$6:$H$405,'Istoric_Nativ'!$B$6:$B$405,E1172,'Istoric_Nativ'!$C$6:$C$405,F1172,'Istoric_Nativ'!$F$6:$F$405,G1172,'Istoric_Nativ'!$D$6:$D$405,"&lt;"&amp;J1172,'Istoric_Nativ'!$P$6:$P$405,1,'Istoric_Nativ'!$D$6:$D$405,"&gt;="&amp;L1172),SUMIFS('Istoric_Nativ'!$G$6:$G$405,'Istoric_Nativ'!$B$6:$B$405,E1172,'Istoric_Nativ'!$C$6:$C$405,F1172,'Istoric_Nativ'!$E$6:$E$405,G1172,'Istoric_Nativ'!$D$6:$D$405,"&lt;"&amp;J1172,'Istoric_Nativ'!$P$6:$P$405,1,'Istoric_Nativ'!$D$6:$D$405,"&gt;="&amp;L1172)+SUMIFS('Istoric_Nativ'!$H$6:$H$405,'Istoric_Nativ'!$B$6:$B$405,E1172,'Istoric_Nativ'!$C$6:$C$405,F1172,'Istoric_Nativ'!$F$6:$F$405,G1172,'Istoric_Nativ'!$D$6:$D$405,"&lt;"&amp;J1172,'Istoric_Nativ'!$P$6:$P$405,1,'Istoric_Nativ'!$D$6:$D$405,"&gt;="&amp;L1172)))/M1172)</x:f>
      </x:c>
      <x:c r="O1172" s="11" t="str">
        <x:f>IF(M1172=0,"",IF(H1172="HOME",SUMIFS('Istoric_Nativ'!$H$6:$H$405,'Istoric_Nativ'!$B$6:$B$405,E1172,'Istoric_Nativ'!$C$6:$C$405,F1172,'Istoric_Nativ'!$E$6:$E$405,G1172,'Istoric_Nativ'!$D$6:$D$405,"&lt;"&amp;J1172,'Istoric_Nativ'!$P$6:$P$405,1,'Istoric_Nativ'!$D$6:$D$405,"&gt;="&amp;L1172),IF(H1172="AWAY",SUMIFS('Istoric_Nativ'!$G$6:$G$405,'Istoric_Nativ'!$B$6:$B$405,E1172,'Istoric_Nativ'!$C$6:$C$405,F1172,'Istoric_Nativ'!$F$6:$F$405,G1172,'Istoric_Nativ'!$D$6:$D$405,"&lt;"&amp;J1172,'Istoric_Nativ'!$P$6:$P$405,1,'Istoric_Nativ'!$D$6:$D$405,"&gt;="&amp;L1172),SUMIFS('Istoric_Nativ'!$H$6:$H$405,'Istoric_Nativ'!$B$6:$B$405,E1172,'Istoric_Nativ'!$C$6:$C$405,F1172,'Istoric_Nativ'!$E$6:$E$405,G1172,'Istoric_Nativ'!$D$6:$D$405,"&lt;"&amp;J1172,'Istoric_Nativ'!$P$6:$P$405,1,'Istoric_Nativ'!$D$6:$D$405,"&gt;="&amp;L1172)+SUMIFS('Istoric_Nativ'!$G$6:$G$405,'Istoric_Nativ'!$B$6:$B$405,E1172,'Istoric_Nativ'!$C$6:$C$405,F1172,'Istoric_Nativ'!$F$6:$F$405,G1172,'Istoric_Nativ'!$D$6:$D$405,"&lt;"&amp;J1172,'Istoric_Nativ'!$P$6:$P$405,1,'Istoric_Nativ'!$D$6:$D$405,"&gt;="&amp;L1172)))/M1172)</x:f>
      </x:c>
      <x:c r="P1172" s="2" t="n">
        <x:f>'Config_v6'!$B$9</x:f>
        <x:v>3</x:v>
      </x:c>
      <x:c r="Q1172" s="2" t="n">
        <x:f>IF(OR(B1172="",F1172=""),0,IFERROR(MATCH(E1172&amp;"|"&amp;F1172,SourceTable[Source_Key],0),0))</x:f>
        <x:v>0</x:v>
      </x:c>
      <x:c r="R1172" s="2" t="str">
        <x:f>IF(B1172="","",IF(F1172="","UNUSED",IF(Q1172=0,"NOT CHECKED",IF(COUNTIF(SourceTable[Source_Key],E1172&amp;"|"&amp;F1172)&lt;&gt;1,"SOURCE CONFLICT",IF(NOT(OR(INDEX(SourceTable[Status],MAX(1,Q1172))="IMPORTED",INDEX(SourceTable[Status],MAX(1,Q1172))="PARTIAL",INDEX(SourceTable[Status],MAX(1,Q1172))="SOURCE CONFLICT")),"ACCESS BLOCKED",IF(OR(INDEX(SourceTable[Coverage],Q1172)&lt;&gt;"FULL SEASON EXPORT",INDEX(SourceTable[URL],Q1172)="",INDEX(SourceTable[SHA256],Q1172)=""),"EVIDENCE INCOMPLETE",IF(AND('Input_Meci'!H103="LIVE",INDEX(SourceTable[Retrieved_UTC],Q1172)&gt;'Input_Meci'!G103),"POST CUTOFF","CLOSED")))))))</x:f>
      </x:c>
      <x:c r="S1172" s="2" t="n">
        <x:f>IF(OR(B1172="",F1172=""),0,COUNTIFS('Istoric_Nativ'!$B$6:$B$405,E1172,'Istoric_Nativ'!$C$6:$C$405,F1172,'Istoric_Nativ'!$E$6:$E$405,G1172,'Istoric_Nativ'!$D$6:$D$405,"&lt;"&amp;J1172,'Istoric_Nativ'!$O$6:$O$405,"INVALID")+COUNTIFS('Istoric_Nativ'!$B$6:$B$405,E1172,'Istoric_Nativ'!$C$6:$C$405,F1172,'Istoric_Nativ'!$E$6:$E$405,G1172,'Istoric_Nativ'!$O$6:$O$405,"INVALID",'Istoric_Nativ'!$D$6:$D$405,"*")+COUNTIFS('Istoric_Nativ'!$B$6:$B$405,E1172,'Istoric_Nativ'!$C$6:$C$405,F1172,'Istoric_Nativ'!$E$6:$E$405,G1172,'Istoric_Nativ'!$D$6:$D$405,"&lt;"&amp;J1172,'Istoric_Nativ'!$O$6:$O$405,"SOURCE CONFLICT")+COUNTIFS('Istoric_Nativ'!$B$6:$B$405,E1172,'Istoric_Nativ'!$C$6:$C$405,F1172,'Istoric_Nativ'!$F$6:$F$405,G1172,'Istoric_Nativ'!$D$6:$D$405,"&lt;"&amp;J1172,'Istoric_Nativ'!$O$6:$O$405,"INVALID")+COUNTIFS('Istoric_Nativ'!$B$6:$B$405,E1172,'Istoric_Nativ'!$C$6:$C$405,F1172,'Istoric_Nativ'!$F$6:$F$405,G1172,'Istoric_Nativ'!$O$6:$O$405,"INVALID",'Istoric_Nativ'!$D$6:$D$405,"*")+COUNTIFS('Istoric_Nativ'!$B$6:$B$405,E1172,'Istoric_Nativ'!$C$6:$C$405,F1172,'Istoric_Nativ'!$F$6:$F$405,G1172,'Istoric_Nativ'!$D$6:$D$405,"&lt;"&amp;J1172,'Istoric_Nativ'!$O$6:$O$405,"SOURCE CONFLICT"))</x:f>
        <x:v>0</x:v>
      </x:c>
      <x:c r="T1172" s="2" t="str">
        <x:f>IF(B1172="","",IF(R1172&lt;&gt;"CLOSED",R1172,IF(S1172&gt;0,"NATIVE INPUT ISSUE",IF(M1172=0,"NO HISTORY",IF(M1172&lt;P1172,"SMALL SAMPLE","DERIVED")))))</x:f>
      </x:c>
      <x:c r="U1172" s="2" t="str">
        <x:f>IF(B1172="","","NativeTable; "&amp;E1172&amp;"; "&amp;F1172&amp;"; "&amp;G1172&amp;"; "&amp;H1172&amp;"; before "&amp;TEXT(J1172,"yyyy-mm-dd")&amp;IF(I1172="RECENT","; from "&amp;TEXT(L1172,"yyyy-mm-dd"),""))</x:f>
      </x:c>
    </x:row>
    <x:row r="1173" ht="21" customHeight="1">
      <x:c r="A1173" s="2" t="n">
        <x:v>98</x:v>
      </x:c>
      <x:c r="B1173" s="2" t="str">
        <x:f>IF('Input_Meci'!A103="","",'Input_Meci'!A103)</x:f>
      </x:c>
      <x:c r="C1173" s="2" t="str">
        <x:v>A</x:v>
      </x:c>
      <x:c r="D1173" s="2" t="str">
        <x:v>CURRENT</x:v>
      </x:c>
      <x:c r="E1173" s="2" t="str">
        <x:f>IF(B1173="","",'Input_Meci'!B103)</x:f>
      </x:c>
      <x:c r="F1173" s="2" t="str">
        <x:f>IF(B1173="","",IF('Input_Meci'!C103="","",'Input_Meci'!C103))</x:f>
      </x:c>
      <x:c r="G1173" s="2" t="str">
        <x:f>IF(B1173="","",'Input_Meci'!E103)</x:f>
      </x:c>
      <x:c r="H1173" s="2" t="str">
        <x:v>ANY</x:v>
      </x:c>
      <x:c r="I1173" s="2" t="str">
        <x:v>SEASON</x:v>
      </x:c>
      <x:c r="J1173" s="9" t="n">
        <x:f>IF(AND(B1173&lt;&gt;"",ISNUMBER('Input_Meci'!G103)),INT('Input_Meci'!G103),0)</x:f>
        <x:v>0</x:v>
      </x:c>
      <x:c r="K1173" s="2" t="n">
        <x:f>IF(OR(B1173="",F1173=""),0,IF(H1173="HOME",COUNTIFS('Istoric_Nativ'!$B$6:$B$405,E1173,'Istoric_Nativ'!$C$6:$C$405,F1173,'Istoric_Nativ'!$E$6:$E$405,G1173,'Istoric_Nativ'!$D$6:$D$405,"&lt;"&amp;J1173,'Istoric_Nativ'!$P$6:$P$405,1),IF(H1173="AWAY",COUNTIFS('Istoric_Nativ'!$B$6:$B$405,E1173,'Istoric_Nativ'!$C$6:$C$405,F1173,'Istoric_Nativ'!$F$6:$F$405,G1173,'Istoric_Nativ'!$D$6:$D$405,"&lt;"&amp;J1173,'Istoric_Nativ'!$P$6:$P$405,1),COUNTIFS('Istoric_Nativ'!$B$6:$B$405,E1173,'Istoric_Nativ'!$C$6:$C$405,F1173,'Istoric_Nativ'!$E$6:$E$405,G1173,'Istoric_Nativ'!$D$6:$D$405,"&lt;"&amp;J1173,'Istoric_Nativ'!$P$6:$P$405,1)+COUNTIFS('Istoric_Nativ'!$B$6:$B$405,E1173,'Istoric_Nativ'!$C$6:$C$405,F1173,'Istoric_Nativ'!$F$6:$F$405,G1173,'Istoric_Nativ'!$D$6:$D$405,"&lt;"&amp;J1173,'Istoric_Nativ'!$P$6:$P$405,1))))</x:f>
        <x:v>0</x:v>
      </x:c>
      <x:c r="L1173" s="17" t="n">
        <x:f>IF(AND(B1173&lt;&gt;"",I1173="RECENT",K1173&gt;0),LARGE(_xlfn._xlws.FILTER('Istoric_Nativ'!$D$6:$D$405,('Istoric_Nativ'!$B$6:$B$405=E1173)*('Istoric_Nativ'!$C$6:$C$405=F1173)*('Istoric_Nativ'!$P$6:$P$405=1)*('Istoric_Nativ'!$D$6:$D$405&lt;J1173)*((('Istoric_Nativ'!$E$6:$E$405=G1173)+('Istoric_Nativ'!$F$6:$F$405=G1173))&gt;0)),MIN('Config_v6'!$B$54,K1173)),0)</x:f>
        <x:v>0</x:v>
      </x:c>
      <x:c r="M1173" s="2" t="n">
        <x:f>IF(OR(B1173="",F1173=""),0,IF(H1173="HOME",COUNTIFS('Istoric_Nativ'!$B$6:$B$405,E1173,'Istoric_Nativ'!$C$6:$C$405,F1173,'Istoric_Nativ'!$E$6:$E$405,G1173,'Istoric_Nativ'!$D$6:$D$405,"&lt;"&amp;J1173,'Istoric_Nativ'!$P$6:$P$405,1,'Istoric_Nativ'!$D$6:$D$405,"&gt;="&amp;L1173),IF(H1173="AWAY",COUNTIFS('Istoric_Nativ'!$B$6:$B$405,E1173,'Istoric_Nativ'!$C$6:$C$405,F1173,'Istoric_Nativ'!$F$6:$F$405,G1173,'Istoric_Nativ'!$D$6:$D$405,"&lt;"&amp;J1173,'Istoric_Nativ'!$P$6:$P$405,1,'Istoric_Nativ'!$D$6:$D$405,"&gt;="&amp;L1173),COUNTIFS('Istoric_Nativ'!$B$6:$B$405,E1173,'Istoric_Nativ'!$C$6:$C$405,F1173,'Istoric_Nativ'!$E$6:$E$405,G1173,'Istoric_Nativ'!$D$6:$D$405,"&lt;"&amp;J1173,'Istoric_Nativ'!$P$6:$P$405,1,'Istoric_Nativ'!$D$6:$D$405,"&gt;="&amp;L1173)+COUNTIFS('Istoric_Nativ'!$B$6:$B$405,E1173,'Istoric_Nativ'!$C$6:$C$405,F1173,'Istoric_Nativ'!$F$6:$F$405,G1173,'Istoric_Nativ'!$D$6:$D$405,"&lt;"&amp;J1173,'Istoric_Nativ'!$P$6:$P$405,1,'Istoric_Nativ'!$D$6:$D$405,"&gt;="&amp;L1173))))</x:f>
        <x:v>0</x:v>
      </x:c>
      <x:c r="N1173" s="11" t="str">
        <x:f>IF(M1173=0,"",IF(H1173="HOME",SUMIFS('Istoric_Nativ'!$G$6:$G$405,'Istoric_Nativ'!$B$6:$B$405,E1173,'Istoric_Nativ'!$C$6:$C$405,F1173,'Istoric_Nativ'!$E$6:$E$405,G1173,'Istoric_Nativ'!$D$6:$D$405,"&lt;"&amp;J1173,'Istoric_Nativ'!$P$6:$P$405,1,'Istoric_Nativ'!$D$6:$D$405,"&gt;="&amp;L1173),IF(H1173="AWAY",SUMIFS('Istoric_Nativ'!$H$6:$H$405,'Istoric_Nativ'!$B$6:$B$405,E1173,'Istoric_Nativ'!$C$6:$C$405,F1173,'Istoric_Nativ'!$F$6:$F$405,G1173,'Istoric_Nativ'!$D$6:$D$405,"&lt;"&amp;J1173,'Istoric_Nativ'!$P$6:$P$405,1,'Istoric_Nativ'!$D$6:$D$405,"&gt;="&amp;L1173),SUMIFS('Istoric_Nativ'!$G$6:$G$405,'Istoric_Nativ'!$B$6:$B$405,E1173,'Istoric_Nativ'!$C$6:$C$405,F1173,'Istoric_Nativ'!$E$6:$E$405,G1173,'Istoric_Nativ'!$D$6:$D$405,"&lt;"&amp;J1173,'Istoric_Nativ'!$P$6:$P$405,1,'Istoric_Nativ'!$D$6:$D$405,"&gt;="&amp;L1173)+SUMIFS('Istoric_Nativ'!$H$6:$H$405,'Istoric_Nativ'!$B$6:$B$405,E1173,'Istoric_Nativ'!$C$6:$C$405,F1173,'Istoric_Nativ'!$F$6:$F$405,G1173,'Istoric_Nativ'!$D$6:$D$405,"&lt;"&amp;J1173,'Istoric_Nativ'!$P$6:$P$405,1,'Istoric_Nativ'!$D$6:$D$405,"&gt;="&amp;L1173)))/M1173)</x:f>
      </x:c>
      <x:c r="O1173" s="11" t="str">
        <x:f>IF(M1173=0,"",IF(H1173="HOME",SUMIFS('Istoric_Nativ'!$H$6:$H$405,'Istoric_Nativ'!$B$6:$B$405,E1173,'Istoric_Nativ'!$C$6:$C$405,F1173,'Istoric_Nativ'!$E$6:$E$405,G1173,'Istoric_Nativ'!$D$6:$D$405,"&lt;"&amp;J1173,'Istoric_Nativ'!$P$6:$P$405,1,'Istoric_Nativ'!$D$6:$D$405,"&gt;="&amp;L1173),IF(H1173="AWAY",SUMIFS('Istoric_Nativ'!$G$6:$G$405,'Istoric_Nativ'!$B$6:$B$405,E1173,'Istoric_Nativ'!$C$6:$C$405,F1173,'Istoric_Nativ'!$F$6:$F$405,G1173,'Istoric_Nativ'!$D$6:$D$405,"&lt;"&amp;J1173,'Istoric_Nativ'!$P$6:$P$405,1,'Istoric_Nativ'!$D$6:$D$405,"&gt;="&amp;L1173),SUMIFS('Istoric_Nativ'!$H$6:$H$405,'Istoric_Nativ'!$B$6:$B$405,E1173,'Istoric_Nativ'!$C$6:$C$405,F1173,'Istoric_Nativ'!$E$6:$E$405,G1173,'Istoric_Nativ'!$D$6:$D$405,"&lt;"&amp;J1173,'Istoric_Nativ'!$P$6:$P$405,1,'Istoric_Nativ'!$D$6:$D$405,"&gt;="&amp;L1173)+SUMIFS('Istoric_Nativ'!$G$6:$G$405,'Istoric_Nativ'!$B$6:$B$405,E1173,'Istoric_Nativ'!$C$6:$C$405,F1173,'Istoric_Nativ'!$F$6:$F$405,G1173,'Istoric_Nativ'!$D$6:$D$405,"&lt;"&amp;J1173,'Istoric_Nativ'!$P$6:$P$405,1,'Istoric_Nativ'!$D$6:$D$405,"&gt;="&amp;L1173)))/M1173)</x:f>
      </x:c>
      <x:c r="P1173" s="2" t="n">
        <x:f>'Config_v6'!$B$7</x:f>
        <x:v>10</x:v>
      </x:c>
      <x:c r="Q1173" s="2" t="n">
        <x:f>IF(OR(B1173="",F1173=""),0,IFERROR(MATCH(E1173&amp;"|"&amp;F1173,SourceTable[Source_Key],0),0))</x:f>
        <x:v>0</x:v>
      </x:c>
      <x:c r="R1173" s="2" t="str">
        <x:f>IF(B1173="","",IF(F1173="","UNUSED",IF(Q1173=0,"NOT CHECKED",IF(COUNTIF(SourceTable[Source_Key],E1173&amp;"|"&amp;F1173)&lt;&gt;1,"SOURCE CONFLICT",IF(NOT(OR(INDEX(SourceTable[Status],MAX(1,Q1173))="IMPORTED",INDEX(SourceTable[Status],MAX(1,Q1173))="PARTIAL",INDEX(SourceTable[Status],MAX(1,Q1173))="SOURCE CONFLICT")),"ACCESS BLOCKED",IF(OR(INDEX(SourceTable[Coverage],Q1173)&lt;&gt;"FULL SEASON EXPORT",INDEX(SourceTable[URL],Q1173)="",INDEX(SourceTable[SHA256],Q1173)=""),"EVIDENCE INCOMPLETE",IF(AND('Input_Meci'!H103="LIVE",INDEX(SourceTable[Retrieved_UTC],Q1173)&gt;'Input_Meci'!G103),"POST CUTOFF","CLOSED")))))))</x:f>
      </x:c>
      <x:c r="S1173" s="2" t="n">
        <x:f>IF(OR(B1173="",F1173=""),0,COUNTIFS('Istoric_Nativ'!$B$6:$B$405,E1173,'Istoric_Nativ'!$C$6:$C$405,F1173,'Istoric_Nativ'!$E$6:$E$405,G1173,'Istoric_Nativ'!$D$6:$D$405,"&lt;"&amp;J1173,'Istoric_Nativ'!$O$6:$O$405,"INVALID")+COUNTIFS('Istoric_Nativ'!$B$6:$B$405,E1173,'Istoric_Nativ'!$C$6:$C$405,F1173,'Istoric_Nativ'!$E$6:$E$405,G1173,'Istoric_Nativ'!$O$6:$O$405,"INVALID",'Istoric_Nativ'!$D$6:$D$405,"*")+COUNTIFS('Istoric_Nativ'!$B$6:$B$405,E1173,'Istoric_Nativ'!$C$6:$C$405,F1173,'Istoric_Nativ'!$E$6:$E$405,G1173,'Istoric_Nativ'!$D$6:$D$405,"&lt;"&amp;J1173,'Istoric_Nativ'!$O$6:$O$405,"SOURCE CONFLICT")+COUNTIFS('Istoric_Nativ'!$B$6:$B$405,E1173,'Istoric_Nativ'!$C$6:$C$405,F1173,'Istoric_Nativ'!$F$6:$F$405,G1173,'Istoric_Nativ'!$D$6:$D$405,"&lt;"&amp;J1173,'Istoric_Nativ'!$O$6:$O$405,"INVALID")+COUNTIFS('Istoric_Nativ'!$B$6:$B$405,E1173,'Istoric_Nativ'!$C$6:$C$405,F1173,'Istoric_Nativ'!$F$6:$F$405,G1173,'Istoric_Nativ'!$O$6:$O$405,"INVALID",'Istoric_Nativ'!$D$6:$D$405,"*")+COUNTIFS('Istoric_Nativ'!$B$6:$B$405,E1173,'Istoric_Nativ'!$C$6:$C$405,F1173,'Istoric_Nativ'!$F$6:$F$405,G1173,'Istoric_Nativ'!$D$6:$D$405,"&lt;"&amp;J1173,'Istoric_Nativ'!$O$6:$O$405,"SOURCE CONFLICT"))</x:f>
        <x:v>0</x:v>
      </x:c>
      <x:c r="T1173" s="2" t="str">
        <x:f>IF(B1173="","",IF(R1173&lt;&gt;"CLOSED",R1173,IF(S1173&gt;0,"NATIVE INPUT ISSUE",IF(M1173=0,"NO HISTORY",IF(M1173&lt;P1173,"SMALL SAMPLE","DERIVED")))))</x:f>
      </x:c>
      <x:c r="U1173" s="2" t="str">
        <x:f>IF(B1173="","","NativeTable; "&amp;E1173&amp;"; "&amp;F1173&amp;"; "&amp;G1173&amp;"; "&amp;H1173&amp;"; before "&amp;TEXT(J1173,"yyyy-mm-dd")&amp;IF(I1173="RECENT","; from "&amp;TEXT(L1173,"yyyy-mm-dd"),""))</x:f>
      </x:c>
    </x:row>
    <x:row r="1174" ht="21" customHeight="1">
      <x:c r="A1174" s="2" t="n">
        <x:v>98</x:v>
      </x:c>
      <x:c r="B1174" s="2" t="str">
        <x:f>IF('Input_Meci'!A103="","",'Input_Meci'!A103)</x:f>
      </x:c>
      <x:c r="C1174" s="2" t="str">
        <x:v>A</x:v>
      </x:c>
      <x:c r="D1174" s="2" t="str">
        <x:v>CURRENT</x:v>
      </x:c>
      <x:c r="E1174" s="2" t="str">
        <x:f>IF(B1174="","",'Input_Meci'!B103)</x:f>
      </x:c>
      <x:c r="F1174" s="2" t="str">
        <x:f>IF(B1174="","",IF('Input_Meci'!C103="","",'Input_Meci'!C103))</x:f>
      </x:c>
      <x:c r="G1174" s="2" t="str">
        <x:f>IF(B1174="","",'Input_Meci'!E103)</x:f>
      </x:c>
      <x:c r="H1174" s="2" t="str">
        <x:v>AWAY</x:v>
      </x:c>
      <x:c r="I1174" s="2" t="str">
        <x:v>HA</x:v>
      </x:c>
      <x:c r="J1174" s="9" t="n">
        <x:f>IF(AND(B1174&lt;&gt;"",ISNUMBER('Input_Meci'!G103)),INT('Input_Meci'!G103),0)</x:f>
        <x:v>0</x:v>
      </x:c>
      <x:c r="K1174" s="2" t="n">
        <x:f>IF(OR(B1174="",F1174=""),0,IF(H1174="HOME",COUNTIFS('Istoric_Nativ'!$B$6:$B$405,E1174,'Istoric_Nativ'!$C$6:$C$405,F1174,'Istoric_Nativ'!$E$6:$E$405,G1174,'Istoric_Nativ'!$D$6:$D$405,"&lt;"&amp;J1174,'Istoric_Nativ'!$P$6:$P$405,1),IF(H1174="AWAY",COUNTIFS('Istoric_Nativ'!$B$6:$B$405,E1174,'Istoric_Nativ'!$C$6:$C$405,F1174,'Istoric_Nativ'!$F$6:$F$405,G1174,'Istoric_Nativ'!$D$6:$D$405,"&lt;"&amp;J1174,'Istoric_Nativ'!$P$6:$P$405,1),COUNTIFS('Istoric_Nativ'!$B$6:$B$405,E1174,'Istoric_Nativ'!$C$6:$C$405,F1174,'Istoric_Nativ'!$E$6:$E$405,G1174,'Istoric_Nativ'!$D$6:$D$405,"&lt;"&amp;J1174,'Istoric_Nativ'!$P$6:$P$405,1)+COUNTIFS('Istoric_Nativ'!$B$6:$B$405,E1174,'Istoric_Nativ'!$C$6:$C$405,F1174,'Istoric_Nativ'!$F$6:$F$405,G1174,'Istoric_Nativ'!$D$6:$D$405,"&lt;"&amp;J1174,'Istoric_Nativ'!$P$6:$P$405,1))))</x:f>
        <x:v>0</x:v>
      </x:c>
      <x:c r="L1174" s="17" t="n">
        <x:f>IF(AND(B1174&lt;&gt;"",I1174="RECENT",K1174&gt;0),LARGE(_xlfn._xlws.FILTER('Istoric_Nativ'!$D$6:$D$405,('Istoric_Nativ'!$B$6:$B$405=E1174)*('Istoric_Nativ'!$C$6:$C$405=F1174)*('Istoric_Nativ'!$P$6:$P$405=1)*('Istoric_Nativ'!$D$6:$D$405&lt;J1174)*((('Istoric_Nativ'!$E$6:$E$405=G1174)+('Istoric_Nativ'!$F$6:$F$405=G1174))&gt;0)),MIN('Config_v6'!$B$54,K1174)),0)</x:f>
        <x:v>0</x:v>
      </x:c>
      <x:c r="M1174" s="2" t="n">
        <x:f>IF(OR(B1174="",F1174=""),0,IF(H1174="HOME",COUNTIFS('Istoric_Nativ'!$B$6:$B$405,E1174,'Istoric_Nativ'!$C$6:$C$405,F1174,'Istoric_Nativ'!$E$6:$E$405,G1174,'Istoric_Nativ'!$D$6:$D$405,"&lt;"&amp;J1174,'Istoric_Nativ'!$P$6:$P$405,1,'Istoric_Nativ'!$D$6:$D$405,"&gt;="&amp;L1174),IF(H1174="AWAY",COUNTIFS('Istoric_Nativ'!$B$6:$B$405,E1174,'Istoric_Nativ'!$C$6:$C$405,F1174,'Istoric_Nativ'!$F$6:$F$405,G1174,'Istoric_Nativ'!$D$6:$D$405,"&lt;"&amp;J1174,'Istoric_Nativ'!$P$6:$P$405,1,'Istoric_Nativ'!$D$6:$D$405,"&gt;="&amp;L1174),COUNTIFS('Istoric_Nativ'!$B$6:$B$405,E1174,'Istoric_Nativ'!$C$6:$C$405,F1174,'Istoric_Nativ'!$E$6:$E$405,G1174,'Istoric_Nativ'!$D$6:$D$405,"&lt;"&amp;J1174,'Istoric_Nativ'!$P$6:$P$405,1,'Istoric_Nativ'!$D$6:$D$405,"&gt;="&amp;L1174)+COUNTIFS('Istoric_Nativ'!$B$6:$B$405,E1174,'Istoric_Nativ'!$C$6:$C$405,F1174,'Istoric_Nativ'!$F$6:$F$405,G1174,'Istoric_Nativ'!$D$6:$D$405,"&lt;"&amp;J1174,'Istoric_Nativ'!$P$6:$P$405,1,'Istoric_Nativ'!$D$6:$D$405,"&gt;="&amp;L1174))))</x:f>
        <x:v>0</x:v>
      </x:c>
      <x:c r="N1174" s="11" t="str">
        <x:f>IF(M1174=0,"",IF(H1174="HOME",SUMIFS('Istoric_Nativ'!$G$6:$G$405,'Istoric_Nativ'!$B$6:$B$405,E1174,'Istoric_Nativ'!$C$6:$C$405,F1174,'Istoric_Nativ'!$E$6:$E$405,G1174,'Istoric_Nativ'!$D$6:$D$405,"&lt;"&amp;J1174,'Istoric_Nativ'!$P$6:$P$405,1,'Istoric_Nativ'!$D$6:$D$405,"&gt;="&amp;L1174),IF(H1174="AWAY",SUMIFS('Istoric_Nativ'!$H$6:$H$405,'Istoric_Nativ'!$B$6:$B$405,E1174,'Istoric_Nativ'!$C$6:$C$405,F1174,'Istoric_Nativ'!$F$6:$F$405,G1174,'Istoric_Nativ'!$D$6:$D$405,"&lt;"&amp;J1174,'Istoric_Nativ'!$P$6:$P$405,1,'Istoric_Nativ'!$D$6:$D$405,"&gt;="&amp;L1174),SUMIFS('Istoric_Nativ'!$G$6:$G$405,'Istoric_Nativ'!$B$6:$B$405,E1174,'Istoric_Nativ'!$C$6:$C$405,F1174,'Istoric_Nativ'!$E$6:$E$405,G1174,'Istoric_Nativ'!$D$6:$D$405,"&lt;"&amp;J1174,'Istoric_Nativ'!$P$6:$P$405,1,'Istoric_Nativ'!$D$6:$D$405,"&gt;="&amp;L1174)+SUMIFS('Istoric_Nativ'!$H$6:$H$405,'Istoric_Nativ'!$B$6:$B$405,E1174,'Istoric_Nativ'!$C$6:$C$405,F1174,'Istoric_Nativ'!$F$6:$F$405,G1174,'Istoric_Nativ'!$D$6:$D$405,"&lt;"&amp;J1174,'Istoric_Nativ'!$P$6:$P$405,1,'Istoric_Nativ'!$D$6:$D$405,"&gt;="&amp;L1174)))/M1174)</x:f>
      </x:c>
      <x:c r="O1174" s="11" t="str">
        <x:f>IF(M1174=0,"",IF(H1174="HOME",SUMIFS('Istoric_Nativ'!$H$6:$H$405,'Istoric_Nativ'!$B$6:$B$405,E1174,'Istoric_Nativ'!$C$6:$C$405,F1174,'Istoric_Nativ'!$E$6:$E$405,G1174,'Istoric_Nativ'!$D$6:$D$405,"&lt;"&amp;J1174,'Istoric_Nativ'!$P$6:$P$405,1,'Istoric_Nativ'!$D$6:$D$405,"&gt;="&amp;L1174),IF(H1174="AWAY",SUMIFS('Istoric_Nativ'!$G$6:$G$405,'Istoric_Nativ'!$B$6:$B$405,E1174,'Istoric_Nativ'!$C$6:$C$405,F1174,'Istoric_Nativ'!$F$6:$F$405,G1174,'Istoric_Nativ'!$D$6:$D$405,"&lt;"&amp;J1174,'Istoric_Nativ'!$P$6:$P$405,1,'Istoric_Nativ'!$D$6:$D$405,"&gt;="&amp;L1174),SUMIFS('Istoric_Nativ'!$H$6:$H$405,'Istoric_Nativ'!$B$6:$B$405,E1174,'Istoric_Nativ'!$C$6:$C$405,F1174,'Istoric_Nativ'!$E$6:$E$405,G1174,'Istoric_Nativ'!$D$6:$D$405,"&lt;"&amp;J1174,'Istoric_Nativ'!$P$6:$P$405,1,'Istoric_Nativ'!$D$6:$D$405,"&gt;="&amp;L1174)+SUMIFS('Istoric_Nativ'!$G$6:$G$405,'Istoric_Nativ'!$B$6:$B$405,E1174,'Istoric_Nativ'!$C$6:$C$405,F1174,'Istoric_Nativ'!$F$6:$F$405,G1174,'Istoric_Nativ'!$D$6:$D$405,"&lt;"&amp;J1174,'Istoric_Nativ'!$P$6:$P$405,1,'Istoric_Nativ'!$D$6:$D$405,"&gt;="&amp;L1174)))/M1174)</x:f>
      </x:c>
      <x:c r="P1174" s="2" t="n">
        <x:f>'Config_v6'!$B$8</x:f>
        <x:v>5</x:v>
      </x:c>
      <x:c r="Q1174" s="2" t="n">
        <x:f>IF(OR(B1174="",F1174=""),0,IFERROR(MATCH(E1174&amp;"|"&amp;F1174,SourceTable[Source_Key],0),0))</x:f>
        <x:v>0</x:v>
      </x:c>
      <x:c r="R1174" s="2" t="str">
        <x:f>IF(B1174="","",IF(F1174="","UNUSED",IF(Q1174=0,"NOT CHECKED",IF(COUNTIF(SourceTable[Source_Key],E1174&amp;"|"&amp;F1174)&lt;&gt;1,"SOURCE CONFLICT",IF(NOT(OR(INDEX(SourceTable[Status],MAX(1,Q1174))="IMPORTED",INDEX(SourceTable[Status],MAX(1,Q1174))="PARTIAL",INDEX(SourceTable[Status],MAX(1,Q1174))="SOURCE CONFLICT")),"ACCESS BLOCKED",IF(OR(INDEX(SourceTable[Coverage],Q1174)&lt;&gt;"FULL SEASON EXPORT",INDEX(SourceTable[URL],Q1174)="",INDEX(SourceTable[SHA256],Q1174)=""),"EVIDENCE INCOMPLETE",IF(AND('Input_Meci'!H103="LIVE",INDEX(SourceTable[Retrieved_UTC],Q1174)&gt;'Input_Meci'!G103),"POST CUTOFF","CLOSED")))))))</x:f>
      </x:c>
      <x:c r="S1174" s="2" t="n">
        <x:f>IF(OR(B1174="",F1174=""),0,COUNTIFS('Istoric_Nativ'!$B$6:$B$405,E1174,'Istoric_Nativ'!$C$6:$C$405,F1174,'Istoric_Nativ'!$E$6:$E$405,G1174,'Istoric_Nativ'!$D$6:$D$405,"&lt;"&amp;J1174,'Istoric_Nativ'!$O$6:$O$405,"INVALID")+COUNTIFS('Istoric_Nativ'!$B$6:$B$405,E1174,'Istoric_Nativ'!$C$6:$C$405,F1174,'Istoric_Nativ'!$E$6:$E$405,G1174,'Istoric_Nativ'!$O$6:$O$405,"INVALID",'Istoric_Nativ'!$D$6:$D$405,"*")+COUNTIFS('Istoric_Nativ'!$B$6:$B$405,E1174,'Istoric_Nativ'!$C$6:$C$405,F1174,'Istoric_Nativ'!$E$6:$E$405,G1174,'Istoric_Nativ'!$D$6:$D$405,"&lt;"&amp;J1174,'Istoric_Nativ'!$O$6:$O$405,"SOURCE CONFLICT")+COUNTIFS('Istoric_Nativ'!$B$6:$B$405,E1174,'Istoric_Nativ'!$C$6:$C$405,F1174,'Istoric_Nativ'!$F$6:$F$405,G1174,'Istoric_Nativ'!$D$6:$D$405,"&lt;"&amp;J1174,'Istoric_Nativ'!$O$6:$O$405,"INVALID")+COUNTIFS('Istoric_Nativ'!$B$6:$B$405,E1174,'Istoric_Nativ'!$C$6:$C$405,F1174,'Istoric_Nativ'!$F$6:$F$405,G1174,'Istoric_Nativ'!$O$6:$O$405,"INVALID",'Istoric_Nativ'!$D$6:$D$405,"*")+COUNTIFS('Istoric_Nativ'!$B$6:$B$405,E1174,'Istoric_Nativ'!$C$6:$C$405,F1174,'Istoric_Nativ'!$F$6:$F$405,G1174,'Istoric_Nativ'!$D$6:$D$405,"&lt;"&amp;J1174,'Istoric_Nativ'!$O$6:$O$405,"SOURCE CONFLICT"))</x:f>
        <x:v>0</x:v>
      </x:c>
      <x:c r="T1174" s="2" t="str">
        <x:f>IF(B1174="","",IF(R1174&lt;&gt;"CLOSED",R1174,IF(S1174&gt;0,"NATIVE INPUT ISSUE",IF(M1174=0,"NO HISTORY",IF(M1174&lt;P1174,"SMALL SAMPLE","DERIVED")))))</x:f>
      </x:c>
      <x:c r="U1174" s="2" t="str">
        <x:f>IF(B1174="","","NativeTable; "&amp;E1174&amp;"; "&amp;F1174&amp;"; "&amp;G1174&amp;"; "&amp;H1174&amp;"; before "&amp;TEXT(J1174,"yyyy-mm-dd")&amp;IF(I1174="RECENT","; from "&amp;TEXT(L1174,"yyyy-mm-dd"),""))</x:f>
      </x:c>
    </x:row>
    <x:row r="1175" ht="21" customHeight="1">
      <x:c r="A1175" s="2" t="n">
        <x:v>98</x:v>
      </x:c>
      <x:c r="B1175" s="2" t="str">
        <x:f>IF('Input_Meci'!A103="","",'Input_Meci'!A103)</x:f>
      </x:c>
      <x:c r="C1175" s="2" t="str">
        <x:v>A</x:v>
      </x:c>
      <x:c r="D1175" s="2" t="str">
        <x:v>CURRENT</x:v>
      </x:c>
      <x:c r="E1175" s="2" t="str">
        <x:f>IF(B1175="","",'Input_Meci'!B103)</x:f>
      </x:c>
      <x:c r="F1175" s="2" t="str">
        <x:f>IF(B1175="","",IF('Input_Meci'!C103="","",'Input_Meci'!C103))</x:f>
      </x:c>
      <x:c r="G1175" s="2" t="str">
        <x:f>IF(B1175="","",'Input_Meci'!E103)</x:f>
      </x:c>
      <x:c r="H1175" s="2" t="str">
        <x:v>ANY</x:v>
      </x:c>
      <x:c r="I1175" s="2" t="str">
        <x:v>RECENT</x:v>
      </x:c>
      <x:c r="J1175" s="9" t="n">
        <x:f>IF(AND(B1175&lt;&gt;"",ISNUMBER('Input_Meci'!G103)),INT('Input_Meci'!G103),0)</x:f>
        <x:v>0</x:v>
      </x:c>
      <x:c r="K1175" s="2" t="n">
        <x:f>IF(OR(B1175="",F1175=""),0,IF(H1175="HOME",COUNTIFS('Istoric_Nativ'!$B$6:$B$405,E1175,'Istoric_Nativ'!$C$6:$C$405,F1175,'Istoric_Nativ'!$E$6:$E$405,G1175,'Istoric_Nativ'!$D$6:$D$405,"&lt;"&amp;J1175,'Istoric_Nativ'!$P$6:$P$405,1),IF(H1175="AWAY",COUNTIFS('Istoric_Nativ'!$B$6:$B$405,E1175,'Istoric_Nativ'!$C$6:$C$405,F1175,'Istoric_Nativ'!$F$6:$F$405,G1175,'Istoric_Nativ'!$D$6:$D$405,"&lt;"&amp;J1175,'Istoric_Nativ'!$P$6:$P$405,1),COUNTIFS('Istoric_Nativ'!$B$6:$B$405,E1175,'Istoric_Nativ'!$C$6:$C$405,F1175,'Istoric_Nativ'!$E$6:$E$405,G1175,'Istoric_Nativ'!$D$6:$D$405,"&lt;"&amp;J1175,'Istoric_Nativ'!$P$6:$P$405,1)+COUNTIFS('Istoric_Nativ'!$B$6:$B$405,E1175,'Istoric_Nativ'!$C$6:$C$405,F1175,'Istoric_Nativ'!$F$6:$F$405,G1175,'Istoric_Nativ'!$D$6:$D$405,"&lt;"&amp;J1175,'Istoric_Nativ'!$P$6:$P$405,1))))</x:f>
        <x:v>0</x:v>
      </x:c>
      <x:c r="L1175" s="17" t="n">
        <x:f>IF(AND(B1175&lt;&gt;"",I1175="RECENT",K1175&gt;0),LARGE(_xlfn._xlws.FILTER('Istoric_Nativ'!$D$6:$D$405,('Istoric_Nativ'!$B$6:$B$405=E1175)*('Istoric_Nativ'!$C$6:$C$405=F1175)*('Istoric_Nativ'!$P$6:$P$405=1)*('Istoric_Nativ'!$D$6:$D$405&lt;J1175)*((('Istoric_Nativ'!$E$6:$E$405=G1175)+('Istoric_Nativ'!$F$6:$F$405=G1175))&gt;0)),MIN('Config_v6'!$B$54,K1175)),0)</x:f>
        <x:v>0</x:v>
      </x:c>
      <x:c r="M1175" s="2" t="n">
        <x:f>IF(OR(B1175="",F1175=""),0,IF(H1175="HOME",COUNTIFS('Istoric_Nativ'!$B$6:$B$405,E1175,'Istoric_Nativ'!$C$6:$C$405,F1175,'Istoric_Nativ'!$E$6:$E$405,G1175,'Istoric_Nativ'!$D$6:$D$405,"&lt;"&amp;J1175,'Istoric_Nativ'!$P$6:$P$405,1,'Istoric_Nativ'!$D$6:$D$405,"&gt;="&amp;L1175),IF(H1175="AWAY",COUNTIFS('Istoric_Nativ'!$B$6:$B$405,E1175,'Istoric_Nativ'!$C$6:$C$405,F1175,'Istoric_Nativ'!$F$6:$F$405,G1175,'Istoric_Nativ'!$D$6:$D$405,"&lt;"&amp;J1175,'Istoric_Nativ'!$P$6:$P$405,1,'Istoric_Nativ'!$D$6:$D$405,"&gt;="&amp;L1175),COUNTIFS('Istoric_Nativ'!$B$6:$B$405,E1175,'Istoric_Nativ'!$C$6:$C$405,F1175,'Istoric_Nativ'!$E$6:$E$405,G1175,'Istoric_Nativ'!$D$6:$D$405,"&lt;"&amp;J1175,'Istoric_Nativ'!$P$6:$P$405,1,'Istoric_Nativ'!$D$6:$D$405,"&gt;="&amp;L1175)+COUNTIFS('Istoric_Nativ'!$B$6:$B$405,E1175,'Istoric_Nativ'!$C$6:$C$405,F1175,'Istoric_Nativ'!$F$6:$F$405,G1175,'Istoric_Nativ'!$D$6:$D$405,"&lt;"&amp;J1175,'Istoric_Nativ'!$P$6:$P$405,1,'Istoric_Nativ'!$D$6:$D$405,"&gt;="&amp;L1175))))</x:f>
        <x:v>0</x:v>
      </x:c>
      <x:c r="N1175" s="11" t="str">
        <x:f>IF(M1175=0,"",IF(H1175="HOME",SUMIFS('Istoric_Nativ'!$G$6:$G$405,'Istoric_Nativ'!$B$6:$B$405,E1175,'Istoric_Nativ'!$C$6:$C$405,F1175,'Istoric_Nativ'!$E$6:$E$405,G1175,'Istoric_Nativ'!$D$6:$D$405,"&lt;"&amp;J1175,'Istoric_Nativ'!$P$6:$P$405,1,'Istoric_Nativ'!$D$6:$D$405,"&gt;="&amp;L1175),IF(H1175="AWAY",SUMIFS('Istoric_Nativ'!$H$6:$H$405,'Istoric_Nativ'!$B$6:$B$405,E1175,'Istoric_Nativ'!$C$6:$C$405,F1175,'Istoric_Nativ'!$F$6:$F$405,G1175,'Istoric_Nativ'!$D$6:$D$405,"&lt;"&amp;J1175,'Istoric_Nativ'!$P$6:$P$405,1,'Istoric_Nativ'!$D$6:$D$405,"&gt;="&amp;L1175),SUMIFS('Istoric_Nativ'!$G$6:$G$405,'Istoric_Nativ'!$B$6:$B$405,E1175,'Istoric_Nativ'!$C$6:$C$405,F1175,'Istoric_Nativ'!$E$6:$E$405,G1175,'Istoric_Nativ'!$D$6:$D$405,"&lt;"&amp;J1175,'Istoric_Nativ'!$P$6:$P$405,1,'Istoric_Nativ'!$D$6:$D$405,"&gt;="&amp;L1175)+SUMIFS('Istoric_Nativ'!$H$6:$H$405,'Istoric_Nativ'!$B$6:$B$405,E1175,'Istoric_Nativ'!$C$6:$C$405,F1175,'Istoric_Nativ'!$F$6:$F$405,G1175,'Istoric_Nativ'!$D$6:$D$405,"&lt;"&amp;J1175,'Istoric_Nativ'!$P$6:$P$405,1,'Istoric_Nativ'!$D$6:$D$405,"&gt;="&amp;L1175)))/M1175)</x:f>
      </x:c>
      <x:c r="O1175" s="11" t="str">
        <x:f>IF(M1175=0,"",IF(H1175="HOME",SUMIFS('Istoric_Nativ'!$H$6:$H$405,'Istoric_Nativ'!$B$6:$B$405,E1175,'Istoric_Nativ'!$C$6:$C$405,F1175,'Istoric_Nativ'!$E$6:$E$405,G1175,'Istoric_Nativ'!$D$6:$D$405,"&lt;"&amp;J1175,'Istoric_Nativ'!$P$6:$P$405,1,'Istoric_Nativ'!$D$6:$D$405,"&gt;="&amp;L1175),IF(H1175="AWAY",SUMIFS('Istoric_Nativ'!$G$6:$G$405,'Istoric_Nativ'!$B$6:$B$405,E1175,'Istoric_Nativ'!$C$6:$C$405,F1175,'Istoric_Nativ'!$F$6:$F$405,G1175,'Istoric_Nativ'!$D$6:$D$405,"&lt;"&amp;J1175,'Istoric_Nativ'!$P$6:$P$405,1,'Istoric_Nativ'!$D$6:$D$405,"&gt;="&amp;L1175),SUMIFS('Istoric_Nativ'!$H$6:$H$405,'Istoric_Nativ'!$B$6:$B$405,E1175,'Istoric_Nativ'!$C$6:$C$405,F1175,'Istoric_Nativ'!$E$6:$E$405,G1175,'Istoric_Nativ'!$D$6:$D$405,"&lt;"&amp;J1175,'Istoric_Nativ'!$P$6:$P$405,1,'Istoric_Nativ'!$D$6:$D$405,"&gt;="&amp;L1175)+SUMIFS('Istoric_Nativ'!$G$6:$G$405,'Istoric_Nativ'!$B$6:$B$405,E1175,'Istoric_Nativ'!$C$6:$C$405,F1175,'Istoric_Nativ'!$F$6:$F$405,G1175,'Istoric_Nativ'!$D$6:$D$405,"&lt;"&amp;J1175,'Istoric_Nativ'!$P$6:$P$405,1,'Istoric_Nativ'!$D$6:$D$405,"&gt;="&amp;L1175)))/M1175)</x:f>
      </x:c>
      <x:c r="P1175" s="2" t="n">
        <x:f>'Config_v6'!$B$9</x:f>
        <x:v>3</x:v>
      </x:c>
      <x:c r="Q1175" s="2" t="n">
        <x:f>IF(OR(B1175="",F1175=""),0,IFERROR(MATCH(E1175&amp;"|"&amp;F1175,SourceTable[Source_Key],0),0))</x:f>
        <x:v>0</x:v>
      </x:c>
      <x:c r="R1175" s="2" t="str">
        <x:f>IF(B1175="","",IF(F1175="","UNUSED",IF(Q1175=0,"NOT CHECKED",IF(COUNTIF(SourceTable[Source_Key],E1175&amp;"|"&amp;F1175)&lt;&gt;1,"SOURCE CONFLICT",IF(NOT(OR(INDEX(SourceTable[Status],MAX(1,Q1175))="IMPORTED",INDEX(SourceTable[Status],MAX(1,Q1175))="PARTIAL",INDEX(SourceTable[Status],MAX(1,Q1175))="SOURCE CONFLICT")),"ACCESS BLOCKED",IF(OR(INDEX(SourceTable[Coverage],Q1175)&lt;&gt;"FULL SEASON EXPORT",INDEX(SourceTable[URL],Q1175)="",INDEX(SourceTable[SHA256],Q1175)=""),"EVIDENCE INCOMPLETE",IF(AND('Input_Meci'!H103="LIVE",INDEX(SourceTable[Retrieved_UTC],Q1175)&gt;'Input_Meci'!G103),"POST CUTOFF","CLOSED")))))))</x:f>
      </x:c>
      <x:c r="S1175" s="2" t="n">
        <x:f>IF(OR(B1175="",F1175=""),0,COUNTIFS('Istoric_Nativ'!$B$6:$B$405,E1175,'Istoric_Nativ'!$C$6:$C$405,F1175,'Istoric_Nativ'!$E$6:$E$405,G1175,'Istoric_Nativ'!$D$6:$D$405,"&lt;"&amp;J1175,'Istoric_Nativ'!$O$6:$O$405,"INVALID")+COUNTIFS('Istoric_Nativ'!$B$6:$B$405,E1175,'Istoric_Nativ'!$C$6:$C$405,F1175,'Istoric_Nativ'!$E$6:$E$405,G1175,'Istoric_Nativ'!$O$6:$O$405,"INVALID",'Istoric_Nativ'!$D$6:$D$405,"*")+COUNTIFS('Istoric_Nativ'!$B$6:$B$405,E1175,'Istoric_Nativ'!$C$6:$C$405,F1175,'Istoric_Nativ'!$E$6:$E$405,G1175,'Istoric_Nativ'!$D$6:$D$405,"&lt;"&amp;J1175,'Istoric_Nativ'!$O$6:$O$405,"SOURCE CONFLICT")+COUNTIFS('Istoric_Nativ'!$B$6:$B$405,E1175,'Istoric_Nativ'!$C$6:$C$405,F1175,'Istoric_Nativ'!$F$6:$F$405,G1175,'Istoric_Nativ'!$D$6:$D$405,"&lt;"&amp;J1175,'Istoric_Nativ'!$O$6:$O$405,"INVALID")+COUNTIFS('Istoric_Nativ'!$B$6:$B$405,E1175,'Istoric_Nativ'!$C$6:$C$405,F1175,'Istoric_Nativ'!$F$6:$F$405,G1175,'Istoric_Nativ'!$O$6:$O$405,"INVALID",'Istoric_Nativ'!$D$6:$D$405,"*")+COUNTIFS('Istoric_Nativ'!$B$6:$B$405,E1175,'Istoric_Nativ'!$C$6:$C$405,F1175,'Istoric_Nativ'!$F$6:$F$405,G1175,'Istoric_Nativ'!$D$6:$D$405,"&lt;"&amp;J1175,'Istoric_Nativ'!$O$6:$O$405,"SOURCE CONFLICT"))</x:f>
        <x:v>0</x:v>
      </x:c>
      <x:c r="T1175" s="2" t="str">
        <x:f>IF(B1175="","",IF(R1175&lt;&gt;"CLOSED",R1175,IF(S1175&gt;0,"NATIVE INPUT ISSUE",IF(M1175=0,"NO HISTORY",IF(M1175&lt;P1175,"SMALL SAMPLE","DERIVED")))))</x:f>
      </x:c>
      <x:c r="U1175" s="2" t="str">
        <x:f>IF(B1175="","","NativeTable; "&amp;E1175&amp;"; "&amp;F1175&amp;"; "&amp;G1175&amp;"; "&amp;H1175&amp;"; before "&amp;TEXT(J1175,"yyyy-mm-dd")&amp;IF(I1175="RECENT","; from "&amp;TEXT(L1175,"yyyy-mm-dd"),""))</x:f>
      </x:c>
    </x:row>
    <x:row r="1176" ht="21" customHeight="1">
      <x:c r="A1176" s="2" t="n">
        <x:v>98</x:v>
      </x:c>
      <x:c r="B1176" s="2" t="str">
        <x:f>IF('Input_Meci'!A103="","",'Input_Meci'!A103)</x:f>
      </x:c>
      <x:c r="C1176" s="2" t="str">
        <x:v>H</x:v>
      </x:c>
      <x:c r="D1176" s="2" t="str">
        <x:v>PRIOR</x:v>
      </x:c>
      <x:c r="E1176" s="2" t="str">
        <x:f>IF(B1176="","",'Input_Meci'!B103)</x:f>
      </x:c>
      <x:c r="F1176" s="2" t="str">
        <x:f>IF(B1176="","",IF('Input_Meci'!K103="","",'Input_Meci'!K103))</x:f>
      </x:c>
      <x:c r="G1176" s="2" t="str">
        <x:f>IF(B1176="","",'Input_Meci'!D103)</x:f>
      </x:c>
      <x:c r="H1176" s="2" t="str">
        <x:v>ANY</x:v>
      </x:c>
      <x:c r="I1176" s="2" t="str">
        <x:v>SEASON</x:v>
      </x:c>
      <x:c r="J1176" s="9" t="n">
        <x:f>IF(AND(B1176&lt;&gt;"",ISNUMBER('Input_Meci'!G103)),INT('Input_Meci'!G103),0)</x:f>
        <x:v>0</x:v>
      </x:c>
      <x:c r="K1176" s="2" t="n">
        <x:f>IF(OR(B1176="",F1176=""),0,IF(H1176="HOME",COUNTIFS('Istoric_Nativ'!$B$6:$B$405,E1176,'Istoric_Nativ'!$C$6:$C$405,F1176,'Istoric_Nativ'!$E$6:$E$405,G1176,'Istoric_Nativ'!$D$6:$D$405,"&lt;"&amp;J1176,'Istoric_Nativ'!$P$6:$P$405,1),IF(H1176="AWAY",COUNTIFS('Istoric_Nativ'!$B$6:$B$405,E1176,'Istoric_Nativ'!$C$6:$C$405,F1176,'Istoric_Nativ'!$F$6:$F$405,G1176,'Istoric_Nativ'!$D$6:$D$405,"&lt;"&amp;J1176,'Istoric_Nativ'!$P$6:$P$405,1),COUNTIFS('Istoric_Nativ'!$B$6:$B$405,E1176,'Istoric_Nativ'!$C$6:$C$405,F1176,'Istoric_Nativ'!$E$6:$E$405,G1176,'Istoric_Nativ'!$D$6:$D$405,"&lt;"&amp;J1176,'Istoric_Nativ'!$P$6:$P$405,1)+COUNTIFS('Istoric_Nativ'!$B$6:$B$405,E1176,'Istoric_Nativ'!$C$6:$C$405,F1176,'Istoric_Nativ'!$F$6:$F$405,G1176,'Istoric_Nativ'!$D$6:$D$405,"&lt;"&amp;J1176,'Istoric_Nativ'!$P$6:$P$405,1))))</x:f>
        <x:v>0</x:v>
      </x:c>
      <x:c r="L1176" s="17" t="n">
        <x:f>IF(AND(B1176&lt;&gt;"",I1176="RECENT",K1176&gt;0),LARGE(_xlfn._xlws.FILTER('Istoric_Nativ'!$D$6:$D$405,('Istoric_Nativ'!$B$6:$B$405=E1176)*('Istoric_Nativ'!$C$6:$C$405=F1176)*('Istoric_Nativ'!$P$6:$P$405=1)*('Istoric_Nativ'!$D$6:$D$405&lt;J1176)*((('Istoric_Nativ'!$E$6:$E$405=G1176)+('Istoric_Nativ'!$F$6:$F$405=G1176))&gt;0)),MIN('Config_v6'!$B$54,K1176)),0)</x:f>
        <x:v>0</x:v>
      </x:c>
      <x:c r="M1176" s="2" t="n">
        <x:f>IF(OR(B1176="",F1176=""),0,IF(H1176="HOME",COUNTIFS('Istoric_Nativ'!$B$6:$B$405,E1176,'Istoric_Nativ'!$C$6:$C$405,F1176,'Istoric_Nativ'!$E$6:$E$405,G1176,'Istoric_Nativ'!$D$6:$D$405,"&lt;"&amp;J1176,'Istoric_Nativ'!$P$6:$P$405,1,'Istoric_Nativ'!$D$6:$D$405,"&gt;="&amp;L1176),IF(H1176="AWAY",COUNTIFS('Istoric_Nativ'!$B$6:$B$405,E1176,'Istoric_Nativ'!$C$6:$C$405,F1176,'Istoric_Nativ'!$F$6:$F$405,G1176,'Istoric_Nativ'!$D$6:$D$405,"&lt;"&amp;J1176,'Istoric_Nativ'!$P$6:$P$405,1,'Istoric_Nativ'!$D$6:$D$405,"&gt;="&amp;L1176),COUNTIFS('Istoric_Nativ'!$B$6:$B$405,E1176,'Istoric_Nativ'!$C$6:$C$405,F1176,'Istoric_Nativ'!$E$6:$E$405,G1176,'Istoric_Nativ'!$D$6:$D$405,"&lt;"&amp;J1176,'Istoric_Nativ'!$P$6:$P$405,1,'Istoric_Nativ'!$D$6:$D$405,"&gt;="&amp;L1176)+COUNTIFS('Istoric_Nativ'!$B$6:$B$405,E1176,'Istoric_Nativ'!$C$6:$C$405,F1176,'Istoric_Nativ'!$F$6:$F$405,G1176,'Istoric_Nativ'!$D$6:$D$405,"&lt;"&amp;J1176,'Istoric_Nativ'!$P$6:$P$405,1,'Istoric_Nativ'!$D$6:$D$405,"&gt;="&amp;L1176))))</x:f>
        <x:v>0</x:v>
      </x:c>
      <x:c r="N1176" s="11" t="str">
        <x:f>IF(M1176=0,"",IF(H1176="HOME",SUMIFS('Istoric_Nativ'!$G$6:$G$405,'Istoric_Nativ'!$B$6:$B$405,E1176,'Istoric_Nativ'!$C$6:$C$405,F1176,'Istoric_Nativ'!$E$6:$E$405,G1176,'Istoric_Nativ'!$D$6:$D$405,"&lt;"&amp;J1176,'Istoric_Nativ'!$P$6:$P$405,1,'Istoric_Nativ'!$D$6:$D$405,"&gt;="&amp;L1176),IF(H1176="AWAY",SUMIFS('Istoric_Nativ'!$H$6:$H$405,'Istoric_Nativ'!$B$6:$B$405,E1176,'Istoric_Nativ'!$C$6:$C$405,F1176,'Istoric_Nativ'!$F$6:$F$405,G1176,'Istoric_Nativ'!$D$6:$D$405,"&lt;"&amp;J1176,'Istoric_Nativ'!$P$6:$P$405,1,'Istoric_Nativ'!$D$6:$D$405,"&gt;="&amp;L1176),SUMIFS('Istoric_Nativ'!$G$6:$G$405,'Istoric_Nativ'!$B$6:$B$405,E1176,'Istoric_Nativ'!$C$6:$C$405,F1176,'Istoric_Nativ'!$E$6:$E$405,G1176,'Istoric_Nativ'!$D$6:$D$405,"&lt;"&amp;J1176,'Istoric_Nativ'!$P$6:$P$405,1,'Istoric_Nativ'!$D$6:$D$405,"&gt;="&amp;L1176)+SUMIFS('Istoric_Nativ'!$H$6:$H$405,'Istoric_Nativ'!$B$6:$B$405,E1176,'Istoric_Nativ'!$C$6:$C$405,F1176,'Istoric_Nativ'!$F$6:$F$405,G1176,'Istoric_Nativ'!$D$6:$D$405,"&lt;"&amp;J1176,'Istoric_Nativ'!$P$6:$P$405,1,'Istoric_Nativ'!$D$6:$D$405,"&gt;="&amp;L1176)))/M1176)</x:f>
      </x:c>
      <x:c r="O1176" s="11" t="str">
        <x:f>IF(M1176=0,"",IF(H1176="HOME",SUMIFS('Istoric_Nativ'!$H$6:$H$405,'Istoric_Nativ'!$B$6:$B$405,E1176,'Istoric_Nativ'!$C$6:$C$405,F1176,'Istoric_Nativ'!$E$6:$E$405,G1176,'Istoric_Nativ'!$D$6:$D$405,"&lt;"&amp;J1176,'Istoric_Nativ'!$P$6:$P$405,1,'Istoric_Nativ'!$D$6:$D$405,"&gt;="&amp;L1176),IF(H1176="AWAY",SUMIFS('Istoric_Nativ'!$G$6:$G$405,'Istoric_Nativ'!$B$6:$B$405,E1176,'Istoric_Nativ'!$C$6:$C$405,F1176,'Istoric_Nativ'!$F$6:$F$405,G1176,'Istoric_Nativ'!$D$6:$D$405,"&lt;"&amp;J1176,'Istoric_Nativ'!$P$6:$P$405,1,'Istoric_Nativ'!$D$6:$D$405,"&gt;="&amp;L1176),SUMIFS('Istoric_Nativ'!$H$6:$H$405,'Istoric_Nativ'!$B$6:$B$405,E1176,'Istoric_Nativ'!$C$6:$C$405,F1176,'Istoric_Nativ'!$E$6:$E$405,G1176,'Istoric_Nativ'!$D$6:$D$405,"&lt;"&amp;J1176,'Istoric_Nativ'!$P$6:$P$405,1,'Istoric_Nativ'!$D$6:$D$405,"&gt;="&amp;L1176)+SUMIFS('Istoric_Nativ'!$G$6:$G$405,'Istoric_Nativ'!$B$6:$B$405,E1176,'Istoric_Nativ'!$C$6:$C$405,F1176,'Istoric_Nativ'!$F$6:$F$405,G1176,'Istoric_Nativ'!$D$6:$D$405,"&lt;"&amp;J1176,'Istoric_Nativ'!$P$6:$P$405,1,'Istoric_Nativ'!$D$6:$D$405,"&gt;="&amp;L1176)))/M1176)</x:f>
      </x:c>
      <x:c r="P1176" s="2" t="n">
        <x:f>'Config_v6'!$B$7</x:f>
        <x:v>10</x:v>
      </x:c>
      <x:c r="Q1176" s="2" t="n">
        <x:f>IF(OR(B1176="",F1176=""),0,IFERROR(MATCH(E1176&amp;"|"&amp;F1176,SourceTable[Source_Key],0),0))</x:f>
        <x:v>0</x:v>
      </x:c>
      <x:c r="R1176" s="2" t="str">
        <x:f>IF(B1176="","",IF(F1176="","UNUSED",IF(Q1176=0,"NOT CHECKED",IF(COUNTIF(SourceTable[Source_Key],E1176&amp;"|"&amp;F1176)&lt;&gt;1,"SOURCE CONFLICT",IF(NOT(OR(INDEX(SourceTable[Status],MAX(1,Q1176))="IMPORTED",INDEX(SourceTable[Status],MAX(1,Q1176))="PARTIAL",INDEX(SourceTable[Status],MAX(1,Q1176))="SOURCE CONFLICT")),"ACCESS BLOCKED",IF(OR(INDEX(SourceTable[Coverage],Q1176)&lt;&gt;"FULL SEASON EXPORT",INDEX(SourceTable[URL],Q1176)="",INDEX(SourceTable[SHA256],Q1176)=""),"EVIDENCE INCOMPLETE",IF(AND('Input_Meci'!H103="LIVE",INDEX(SourceTable[Retrieved_UTC],Q1176)&gt;'Input_Meci'!G103),"POST CUTOFF","CLOSED")))))))</x:f>
      </x:c>
      <x:c r="S1176" s="2" t="n">
        <x:f>IF(OR(B1176="",F1176=""),0,COUNTIFS('Istoric_Nativ'!$B$6:$B$405,E1176,'Istoric_Nativ'!$C$6:$C$405,F1176,'Istoric_Nativ'!$E$6:$E$405,G1176,'Istoric_Nativ'!$D$6:$D$405,"&lt;"&amp;J1176,'Istoric_Nativ'!$O$6:$O$405,"INVALID")+COUNTIFS('Istoric_Nativ'!$B$6:$B$405,E1176,'Istoric_Nativ'!$C$6:$C$405,F1176,'Istoric_Nativ'!$E$6:$E$405,G1176,'Istoric_Nativ'!$O$6:$O$405,"INVALID",'Istoric_Nativ'!$D$6:$D$405,"*")+COUNTIFS('Istoric_Nativ'!$B$6:$B$405,E1176,'Istoric_Nativ'!$C$6:$C$405,F1176,'Istoric_Nativ'!$E$6:$E$405,G1176,'Istoric_Nativ'!$D$6:$D$405,"&lt;"&amp;J1176,'Istoric_Nativ'!$O$6:$O$405,"SOURCE CONFLICT")+COUNTIFS('Istoric_Nativ'!$B$6:$B$405,E1176,'Istoric_Nativ'!$C$6:$C$405,F1176,'Istoric_Nativ'!$F$6:$F$405,G1176,'Istoric_Nativ'!$D$6:$D$405,"&lt;"&amp;J1176,'Istoric_Nativ'!$O$6:$O$405,"INVALID")+COUNTIFS('Istoric_Nativ'!$B$6:$B$405,E1176,'Istoric_Nativ'!$C$6:$C$405,F1176,'Istoric_Nativ'!$F$6:$F$405,G1176,'Istoric_Nativ'!$O$6:$O$405,"INVALID",'Istoric_Nativ'!$D$6:$D$405,"*")+COUNTIFS('Istoric_Nativ'!$B$6:$B$405,E1176,'Istoric_Nativ'!$C$6:$C$405,F1176,'Istoric_Nativ'!$F$6:$F$405,G1176,'Istoric_Nativ'!$D$6:$D$405,"&lt;"&amp;J1176,'Istoric_Nativ'!$O$6:$O$405,"SOURCE CONFLICT"))</x:f>
        <x:v>0</x:v>
      </x:c>
      <x:c r="T1176" s="2" t="str">
        <x:f>IF(B1176="","",IF(R1176&lt;&gt;"CLOSED",R1176,IF(S1176&gt;0,"NATIVE INPUT ISSUE",IF(M1176=0,"NO HISTORY",IF(M1176&lt;P1176,"SMALL SAMPLE","DERIVED")))))</x:f>
      </x:c>
      <x:c r="U1176" s="2" t="str">
        <x:f>IF(B1176="","","NativeTable; "&amp;E1176&amp;"; "&amp;F1176&amp;"; "&amp;G1176&amp;"; "&amp;H1176&amp;"; before "&amp;TEXT(J1176,"yyyy-mm-dd")&amp;IF(I1176="RECENT","; from "&amp;TEXT(L1176,"yyyy-mm-dd"),""))</x:f>
      </x:c>
    </x:row>
    <x:row r="1177" ht="21" customHeight="1">
      <x:c r="A1177" s="2" t="n">
        <x:v>98</x:v>
      </x:c>
      <x:c r="B1177" s="2" t="str">
        <x:f>IF('Input_Meci'!A103="","",'Input_Meci'!A103)</x:f>
      </x:c>
      <x:c r="C1177" s="2" t="str">
        <x:v>H</x:v>
      </x:c>
      <x:c r="D1177" s="2" t="str">
        <x:v>PRIOR</x:v>
      </x:c>
      <x:c r="E1177" s="2" t="str">
        <x:f>IF(B1177="","",'Input_Meci'!B103)</x:f>
      </x:c>
      <x:c r="F1177" s="2" t="str">
        <x:f>IF(B1177="","",IF('Input_Meci'!K103="","",'Input_Meci'!K103))</x:f>
      </x:c>
      <x:c r="G1177" s="2" t="str">
        <x:f>IF(B1177="","",'Input_Meci'!D103)</x:f>
      </x:c>
      <x:c r="H1177" s="2" t="str">
        <x:v>HOME</x:v>
      </x:c>
      <x:c r="I1177" s="2" t="str">
        <x:v>HA</x:v>
      </x:c>
      <x:c r="J1177" s="9" t="n">
        <x:f>IF(AND(B1177&lt;&gt;"",ISNUMBER('Input_Meci'!G103)),INT('Input_Meci'!G103),0)</x:f>
        <x:v>0</x:v>
      </x:c>
      <x:c r="K1177" s="2" t="n">
        <x:f>IF(OR(B1177="",F1177=""),0,IF(H1177="HOME",COUNTIFS('Istoric_Nativ'!$B$6:$B$405,E1177,'Istoric_Nativ'!$C$6:$C$405,F1177,'Istoric_Nativ'!$E$6:$E$405,G1177,'Istoric_Nativ'!$D$6:$D$405,"&lt;"&amp;J1177,'Istoric_Nativ'!$P$6:$P$405,1),IF(H1177="AWAY",COUNTIFS('Istoric_Nativ'!$B$6:$B$405,E1177,'Istoric_Nativ'!$C$6:$C$405,F1177,'Istoric_Nativ'!$F$6:$F$405,G1177,'Istoric_Nativ'!$D$6:$D$405,"&lt;"&amp;J1177,'Istoric_Nativ'!$P$6:$P$405,1),COUNTIFS('Istoric_Nativ'!$B$6:$B$405,E1177,'Istoric_Nativ'!$C$6:$C$405,F1177,'Istoric_Nativ'!$E$6:$E$405,G1177,'Istoric_Nativ'!$D$6:$D$405,"&lt;"&amp;J1177,'Istoric_Nativ'!$P$6:$P$405,1)+COUNTIFS('Istoric_Nativ'!$B$6:$B$405,E1177,'Istoric_Nativ'!$C$6:$C$405,F1177,'Istoric_Nativ'!$F$6:$F$405,G1177,'Istoric_Nativ'!$D$6:$D$405,"&lt;"&amp;J1177,'Istoric_Nativ'!$P$6:$P$405,1))))</x:f>
        <x:v>0</x:v>
      </x:c>
      <x:c r="L1177" s="17" t="n">
        <x:f>IF(AND(B1177&lt;&gt;"",I1177="RECENT",K1177&gt;0),LARGE(_xlfn._xlws.FILTER('Istoric_Nativ'!$D$6:$D$405,('Istoric_Nativ'!$B$6:$B$405=E1177)*('Istoric_Nativ'!$C$6:$C$405=F1177)*('Istoric_Nativ'!$P$6:$P$405=1)*('Istoric_Nativ'!$D$6:$D$405&lt;J1177)*((('Istoric_Nativ'!$E$6:$E$405=G1177)+('Istoric_Nativ'!$F$6:$F$405=G1177))&gt;0)),MIN('Config_v6'!$B$54,K1177)),0)</x:f>
        <x:v>0</x:v>
      </x:c>
      <x:c r="M1177" s="2" t="n">
        <x:f>IF(OR(B1177="",F1177=""),0,IF(H1177="HOME",COUNTIFS('Istoric_Nativ'!$B$6:$B$405,E1177,'Istoric_Nativ'!$C$6:$C$405,F1177,'Istoric_Nativ'!$E$6:$E$405,G1177,'Istoric_Nativ'!$D$6:$D$405,"&lt;"&amp;J1177,'Istoric_Nativ'!$P$6:$P$405,1,'Istoric_Nativ'!$D$6:$D$405,"&gt;="&amp;L1177),IF(H1177="AWAY",COUNTIFS('Istoric_Nativ'!$B$6:$B$405,E1177,'Istoric_Nativ'!$C$6:$C$405,F1177,'Istoric_Nativ'!$F$6:$F$405,G1177,'Istoric_Nativ'!$D$6:$D$405,"&lt;"&amp;J1177,'Istoric_Nativ'!$P$6:$P$405,1,'Istoric_Nativ'!$D$6:$D$405,"&gt;="&amp;L1177),COUNTIFS('Istoric_Nativ'!$B$6:$B$405,E1177,'Istoric_Nativ'!$C$6:$C$405,F1177,'Istoric_Nativ'!$E$6:$E$405,G1177,'Istoric_Nativ'!$D$6:$D$405,"&lt;"&amp;J1177,'Istoric_Nativ'!$P$6:$P$405,1,'Istoric_Nativ'!$D$6:$D$405,"&gt;="&amp;L1177)+COUNTIFS('Istoric_Nativ'!$B$6:$B$405,E1177,'Istoric_Nativ'!$C$6:$C$405,F1177,'Istoric_Nativ'!$F$6:$F$405,G1177,'Istoric_Nativ'!$D$6:$D$405,"&lt;"&amp;J1177,'Istoric_Nativ'!$P$6:$P$405,1,'Istoric_Nativ'!$D$6:$D$405,"&gt;="&amp;L1177))))</x:f>
        <x:v>0</x:v>
      </x:c>
      <x:c r="N1177" s="11" t="str">
        <x:f>IF(M1177=0,"",IF(H1177="HOME",SUMIFS('Istoric_Nativ'!$G$6:$G$405,'Istoric_Nativ'!$B$6:$B$405,E1177,'Istoric_Nativ'!$C$6:$C$405,F1177,'Istoric_Nativ'!$E$6:$E$405,G1177,'Istoric_Nativ'!$D$6:$D$405,"&lt;"&amp;J1177,'Istoric_Nativ'!$P$6:$P$405,1,'Istoric_Nativ'!$D$6:$D$405,"&gt;="&amp;L1177),IF(H1177="AWAY",SUMIFS('Istoric_Nativ'!$H$6:$H$405,'Istoric_Nativ'!$B$6:$B$405,E1177,'Istoric_Nativ'!$C$6:$C$405,F1177,'Istoric_Nativ'!$F$6:$F$405,G1177,'Istoric_Nativ'!$D$6:$D$405,"&lt;"&amp;J1177,'Istoric_Nativ'!$P$6:$P$405,1,'Istoric_Nativ'!$D$6:$D$405,"&gt;="&amp;L1177),SUMIFS('Istoric_Nativ'!$G$6:$G$405,'Istoric_Nativ'!$B$6:$B$405,E1177,'Istoric_Nativ'!$C$6:$C$405,F1177,'Istoric_Nativ'!$E$6:$E$405,G1177,'Istoric_Nativ'!$D$6:$D$405,"&lt;"&amp;J1177,'Istoric_Nativ'!$P$6:$P$405,1,'Istoric_Nativ'!$D$6:$D$405,"&gt;="&amp;L1177)+SUMIFS('Istoric_Nativ'!$H$6:$H$405,'Istoric_Nativ'!$B$6:$B$405,E1177,'Istoric_Nativ'!$C$6:$C$405,F1177,'Istoric_Nativ'!$F$6:$F$405,G1177,'Istoric_Nativ'!$D$6:$D$405,"&lt;"&amp;J1177,'Istoric_Nativ'!$P$6:$P$405,1,'Istoric_Nativ'!$D$6:$D$405,"&gt;="&amp;L1177)))/M1177)</x:f>
      </x:c>
      <x:c r="O1177" s="11" t="str">
        <x:f>IF(M1177=0,"",IF(H1177="HOME",SUMIFS('Istoric_Nativ'!$H$6:$H$405,'Istoric_Nativ'!$B$6:$B$405,E1177,'Istoric_Nativ'!$C$6:$C$405,F1177,'Istoric_Nativ'!$E$6:$E$405,G1177,'Istoric_Nativ'!$D$6:$D$405,"&lt;"&amp;J1177,'Istoric_Nativ'!$P$6:$P$405,1,'Istoric_Nativ'!$D$6:$D$405,"&gt;="&amp;L1177),IF(H1177="AWAY",SUMIFS('Istoric_Nativ'!$G$6:$G$405,'Istoric_Nativ'!$B$6:$B$405,E1177,'Istoric_Nativ'!$C$6:$C$405,F1177,'Istoric_Nativ'!$F$6:$F$405,G1177,'Istoric_Nativ'!$D$6:$D$405,"&lt;"&amp;J1177,'Istoric_Nativ'!$P$6:$P$405,1,'Istoric_Nativ'!$D$6:$D$405,"&gt;="&amp;L1177),SUMIFS('Istoric_Nativ'!$H$6:$H$405,'Istoric_Nativ'!$B$6:$B$405,E1177,'Istoric_Nativ'!$C$6:$C$405,F1177,'Istoric_Nativ'!$E$6:$E$405,G1177,'Istoric_Nativ'!$D$6:$D$405,"&lt;"&amp;J1177,'Istoric_Nativ'!$P$6:$P$405,1,'Istoric_Nativ'!$D$6:$D$405,"&gt;="&amp;L1177)+SUMIFS('Istoric_Nativ'!$G$6:$G$405,'Istoric_Nativ'!$B$6:$B$405,E1177,'Istoric_Nativ'!$C$6:$C$405,F1177,'Istoric_Nativ'!$F$6:$F$405,G1177,'Istoric_Nativ'!$D$6:$D$405,"&lt;"&amp;J1177,'Istoric_Nativ'!$P$6:$P$405,1,'Istoric_Nativ'!$D$6:$D$405,"&gt;="&amp;L1177)))/M1177)</x:f>
      </x:c>
      <x:c r="P1177" s="2" t="n">
        <x:f>'Config_v6'!$B$8</x:f>
        <x:v>5</x:v>
      </x:c>
      <x:c r="Q1177" s="2" t="n">
        <x:f>IF(OR(B1177="",F1177=""),0,IFERROR(MATCH(E1177&amp;"|"&amp;F1177,SourceTable[Source_Key],0),0))</x:f>
        <x:v>0</x:v>
      </x:c>
      <x:c r="R1177" s="2" t="str">
        <x:f>IF(B1177="","",IF(F1177="","UNUSED",IF(Q1177=0,"NOT CHECKED",IF(COUNTIF(SourceTable[Source_Key],E1177&amp;"|"&amp;F1177)&lt;&gt;1,"SOURCE CONFLICT",IF(NOT(OR(INDEX(SourceTable[Status],MAX(1,Q1177))="IMPORTED",INDEX(SourceTable[Status],MAX(1,Q1177))="PARTIAL",INDEX(SourceTable[Status],MAX(1,Q1177))="SOURCE CONFLICT")),"ACCESS BLOCKED",IF(OR(INDEX(SourceTable[Coverage],Q1177)&lt;&gt;"FULL SEASON EXPORT",INDEX(SourceTable[URL],Q1177)="",INDEX(SourceTable[SHA256],Q1177)=""),"EVIDENCE INCOMPLETE",IF(AND('Input_Meci'!H103="LIVE",INDEX(SourceTable[Retrieved_UTC],Q1177)&gt;'Input_Meci'!G103),"POST CUTOFF","CLOSED")))))))</x:f>
      </x:c>
      <x:c r="S1177" s="2" t="n">
        <x:f>IF(OR(B1177="",F1177=""),0,COUNTIFS('Istoric_Nativ'!$B$6:$B$405,E1177,'Istoric_Nativ'!$C$6:$C$405,F1177,'Istoric_Nativ'!$E$6:$E$405,G1177,'Istoric_Nativ'!$D$6:$D$405,"&lt;"&amp;J1177,'Istoric_Nativ'!$O$6:$O$405,"INVALID")+COUNTIFS('Istoric_Nativ'!$B$6:$B$405,E1177,'Istoric_Nativ'!$C$6:$C$405,F1177,'Istoric_Nativ'!$E$6:$E$405,G1177,'Istoric_Nativ'!$O$6:$O$405,"INVALID",'Istoric_Nativ'!$D$6:$D$405,"*")+COUNTIFS('Istoric_Nativ'!$B$6:$B$405,E1177,'Istoric_Nativ'!$C$6:$C$405,F1177,'Istoric_Nativ'!$E$6:$E$405,G1177,'Istoric_Nativ'!$D$6:$D$405,"&lt;"&amp;J1177,'Istoric_Nativ'!$O$6:$O$405,"SOURCE CONFLICT")+COUNTIFS('Istoric_Nativ'!$B$6:$B$405,E1177,'Istoric_Nativ'!$C$6:$C$405,F1177,'Istoric_Nativ'!$F$6:$F$405,G1177,'Istoric_Nativ'!$D$6:$D$405,"&lt;"&amp;J1177,'Istoric_Nativ'!$O$6:$O$405,"INVALID")+COUNTIFS('Istoric_Nativ'!$B$6:$B$405,E1177,'Istoric_Nativ'!$C$6:$C$405,F1177,'Istoric_Nativ'!$F$6:$F$405,G1177,'Istoric_Nativ'!$O$6:$O$405,"INVALID",'Istoric_Nativ'!$D$6:$D$405,"*")+COUNTIFS('Istoric_Nativ'!$B$6:$B$405,E1177,'Istoric_Nativ'!$C$6:$C$405,F1177,'Istoric_Nativ'!$F$6:$F$405,G1177,'Istoric_Nativ'!$D$6:$D$405,"&lt;"&amp;J1177,'Istoric_Nativ'!$O$6:$O$405,"SOURCE CONFLICT"))</x:f>
        <x:v>0</x:v>
      </x:c>
      <x:c r="T1177" s="2" t="str">
        <x:f>IF(B1177="","",IF(R1177&lt;&gt;"CLOSED",R1177,IF(S1177&gt;0,"NATIVE INPUT ISSUE",IF(M1177=0,"NO HISTORY",IF(M1177&lt;P1177,"SMALL SAMPLE","DERIVED")))))</x:f>
      </x:c>
      <x:c r="U1177" s="2" t="str">
        <x:f>IF(B1177="","","NativeTable; "&amp;E1177&amp;"; "&amp;F1177&amp;"; "&amp;G1177&amp;"; "&amp;H1177&amp;"; before "&amp;TEXT(J1177,"yyyy-mm-dd")&amp;IF(I1177="RECENT","; from "&amp;TEXT(L1177,"yyyy-mm-dd"),""))</x:f>
      </x:c>
    </x:row>
    <x:row r="1178" ht="21" customHeight="1">
      <x:c r="A1178" s="2" t="n">
        <x:v>98</x:v>
      </x:c>
      <x:c r="B1178" s="2" t="str">
        <x:f>IF('Input_Meci'!A103="","",'Input_Meci'!A103)</x:f>
      </x:c>
      <x:c r="C1178" s="2" t="str">
        <x:v>H</x:v>
      </x:c>
      <x:c r="D1178" s="2" t="str">
        <x:v>PRIOR</x:v>
      </x:c>
      <x:c r="E1178" s="2" t="str">
        <x:f>IF(B1178="","",'Input_Meci'!B103)</x:f>
      </x:c>
      <x:c r="F1178" s="2" t="str">
        <x:f>IF(B1178="","",IF('Input_Meci'!K103="","",'Input_Meci'!K103))</x:f>
      </x:c>
      <x:c r="G1178" s="2" t="str">
        <x:f>IF(B1178="","",'Input_Meci'!D103)</x:f>
      </x:c>
      <x:c r="H1178" s="2" t="str">
        <x:v>ANY</x:v>
      </x:c>
      <x:c r="I1178" s="2" t="str">
        <x:v>RECENT</x:v>
      </x:c>
      <x:c r="J1178" s="9" t="n">
        <x:f>IF(AND(B1178&lt;&gt;"",ISNUMBER('Input_Meci'!G103)),INT('Input_Meci'!G103),0)</x:f>
        <x:v>0</x:v>
      </x:c>
      <x:c r="K1178" s="2" t="n">
        <x:f>IF(OR(B1178="",F1178=""),0,IF(H1178="HOME",COUNTIFS('Istoric_Nativ'!$B$6:$B$405,E1178,'Istoric_Nativ'!$C$6:$C$405,F1178,'Istoric_Nativ'!$E$6:$E$405,G1178,'Istoric_Nativ'!$D$6:$D$405,"&lt;"&amp;J1178,'Istoric_Nativ'!$P$6:$P$405,1),IF(H1178="AWAY",COUNTIFS('Istoric_Nativ'!$B$6:$B$405,E1178,'Istoric_Nativ'!$C$6:$C$405,F1178,'Istoric_Nativ'!$F$6:$F$405,G1178,'Istoric_Nativ'!$D$6:$D$405,"&lt;"&amp;J1178,'Istoric_Nativ'!$P$6:$P$405,1),COUNTIFS('Istoric_Nativ'!$B$6:$B$405,E1178,'Istoric_Nativ'!$C$6:$C$405,F1178,'Istoric_Nativ'!$E$6:$E$405,G1178,'Istoric_Nativ'!$D$6:$D$405,"&lt;"&amp;J1178,'Istoric_Nativ'!$P$6:$P$405,1)+COUNTIFS('Istoric_Nativ'!$B$6:$B$405,E1178,'Istoric_Nativ'!$C$6:$C$405,F1178,'Istoric_Nativ'!$F$6:$F$405,G1178,'Istoric_Nativ'!$D$6:$D$405,"&lt;"&amp;J1178,'Istoric_Nativ'!$P$6:$P$405,1))))</x:f>
        <x:v>0</x:v>
      </x:c>
      <x:c r="L1178" s="17" t="n">
        <x:f>IF(AND(B1178&lt;&gt;"",I1178="RECENT",K1178&gt;0),LARGE(_xlfn._xlws.FILTER('Istoric_Nativ'!$D$6:$D$405,('Istoric_Nativ'!$B$6:$B$405=E1178)*('Istoric_Nativ'!$C$6:$C$405=F1178)*('Istoric_Nativ'!$P$6:$P$405=1)*('Istoric_Nativ'!$D$6:$D$405&lt;J1178)*((('Istoric_Nativ'!$E$6:$E$405=G1178)+('Istoric_Nativ'!$F$6:$F$405=G1178))&gt;0)),MIN('Config_v6'!$B$54,K1178)),0)</x:f>
        <x:v>0</x:v>
      </x:c>
      <x:c r="M1178" s="2" t="n">
        <x:f>IF(OR(B1178="",F1178=""),0,IF(H1178="HOME",COUNTIFS('Istoric_Nativ'!$B$6:$B$405,E1178,'Istoric_Nativ'!$C$6:$C$405,F1178,'Istoric_Nativ'!$E$6:$E$405,G1178,'Istoric_Nativ'!$D$6:$D$405,"&lt;"&amp;J1178,'Istoric_Nativ'!$P$6:$P$405,1,'Istoric_Nativ'!$D$6:$D$405,"&gt;="&amp;L1178),IF(H1178="AWAY",COUNTIFS('Istoric_Nativ'!$B$6:$B$405,E1178,'Istoric_Nativ'!$C$6:$C$405,F1178,'Istoric_Nativ'!$F$6:$F$405,G1178,'Istoric_Nativ'!$D$6:$D$405,"&lt;"&amp;J1178,'Istoric_Nativ'!$P$6:$P$405,1,'Istoric_Nativ'!$D$6:$D$405,"&gt;="&amp;L1178),COUNTIFS('Istoric_Nativ'!$B$6:$B$405,E1178,'Istoric_Nativ'!$C$6:$C$405,F1178,'Istoric_Nativ'!$E$6:$E$405,G1178,'Istoric_Nativ'!$D$6:$D$405,"&lt;"&amp;J1178,'Istoric_Nativ'!$P$6:$P$405,1,'Istoric_Nativ'!$D$6:$D$405,"&gt;="&amp;L1178)+COUNTIFS('Istoric_Nativ'!$B$6:$B$405,E1178,'Istoric_Nativ'!$C$6:$C$405,F1178,'Istoric_Nativ'!$F$6:$F$405,G1178,'Istoric_Nativ'!$D$6:$D$405,"&lt;"&amp;J1178,'Istoric_Nativ'!$P$6:$P$405,1,'Istoric_Nativ'!$D$6:$D$405,"&gt;="&amp;L1178))))</x:f>
        <x:v>0</x:v>
      </x:c>
      <x:c r="N1178" s="11" t="str">
        <x:f>IF(M1178=0,"",IF(H1178="HOME",SUMIFS('Istoric_Nativ'!$G$6:$G$405,'Istoric_Nativ'!$B$6:$B$405,E1178,'Istoric_Nativ'!$C$6:$C$405,F1178,'Istoric_Nativ'!$E$6:$E$405,G1178,'Istoric_Nativ'!$D$6:$D$405,"&lt;"&amp;J1178,'Istoric_Nativ'!$P$6:$P$405,1,'Istoric_Nativ'!$D$6:$D$405,"&gt;="&amp;L1178),IF(H1178="AWAY",SUMIFS('Istoric_Nativ'!$H$6:$H$405,'Istoric_Nativ'!$B$6:$B$405,E1178,'Istoric_Nativ'!$C$6:$C$405,F1178,'Istoric_Nativ'!$F$6:$F$405,G1178,'Istoric_Nativ'!$D$6:$D$405,"&lt;"&amp;J1178,'Istoric_Nativ'!$P$6:$P$405,1,'Istoric_Nativ'!$D$6:$D$405,"&gt;="&amp;L1178),SUMIFS('Istoric_Nativ'!$G$6:$G$405,'Istoric_Nativ'!$B$6:$B$405,E1178,'Istoric_Nativ'!$C$6:$C$405,F1178,'Istoric_Nativ'!$E$6:$E$405,G1178,'Istoric_Nativ'!$D$6:$D$405,"&lt;"&amp;J1178,'Istoric_Nativ'!$P$6:$P$405,1,'Istoric_Nativ'!$D$6:$D$405,"&gt;="&amp;L1178)+SUMIFS('Istoric_Nativ'!$H$6:$H$405,'Istoric_Nativ'!$B$6:$B$405,E1178,'Istoric_Nativ'!$C$6:$C$405,F1178,'Istoric_Nativ'!$F$6:$F$405,G1178,'Istoric_Nativ'!$D$6:$D$405,"&lt;"&amp;J1178,'Istoric_Nativ'!$P$6:$P$405,1,'Istoric_Nativ'!$D$6:$D$405,"&gt;="&amp;L1178)))/M1178)</x:f>
      </x:c>
      <x:c r="O1178" s="11" t="str">
        <x:f>IF(M1178=0,"",IF(H1178="HOME",SUMIFS('Istoric_Nativ'!$H$6:$H$405,'Istoric_Nativ'!$B$6:$B$405,E1178,'Istoric_Nativ'!$C$6:$C$405,F1178,'Istoric_Nativ'!$E$6:$E$405,G1178,'Istoric_Nativ'!$D$6:$D$405,"&lt;"&amp;J1178,'Istoric_Nativ'!$P$6:$P$405,1,'Istoric_Nativ'!$D$6:$D$405,"&gt;="&amp;L1178),IF(H1178="AWAY",SUMIFS('Istoric_Nativ'!$G$6:$G$405,'Istoric_Nativ'!$B$6:$B$405,E1178,'Istoric_Nativ'!$C$6:$C$405,F1178,'Istoric_Nativ'!$F$6:$F$405,G1178,'Istoric_Nativ'!$D$6:$D$405,"&lt;"&amp;J1178,'Istoric_Nativ'!$P$6:$P$405,1,'Istoric_Nativ'!$D$6:$D$405,"&gt;="&amp;L1178),SUMIFS('Istoric_Nativ'!$H$6:$H$405,'Istoric_Nativ'!$B$6:$B$405,E1178,'Istoric_Nativ'!$C$6:$C$405,F1178,'Istoric_Nativ'!$E$6:$E$405,G1178,'Istoric_Nativ'!$D$6:$D$405,"&lt;"&amp;J1178,'Istoric_Nativ'!$P$6:$P$405,1,'Istoric_Nativ'!$D$6:$D$405,"&gt;="&amp;L1178)+SUMIFS('Istoric_Nativ'!$G$6:$G$405,'Istoric_Nativ'!$B$6:$B$405,E1178,'Istoric_Nativ'!$C$6:$C$405,F1178,'Istoric_Nativ'!$F$6:$F$405,G1178,'Istoric_Nativ'!$D$6:$D$405,"&lt;"&amp;J1178,'Istoric_Nativ'!$P$6:$P$405,1,'Istoric_Nativ'!$D$6:$D$405,"&gt;="&amp;L1178)))/M1178)</x:f>
      </x:c>
      <x:c r="P1178" s="2" t="n">
        <x:f>'Config_v6'!$B$9</x:f>
        <x:v>3</x:v>
      </x:c>
      <x:c r="Q1178" s="2" t="n">
        <x:f>IF(OR(B1178="",F1178=""),0,IFERROR(MATCH(E1178&amp;"|"&amp;F1178,SourceTable[Source_Key],0),0))</x:f>
        <x:v>0</x:v>
      </x:c>
      <x:c r="R1178" s="2" t="str">
        <x:f>IF(B1178="","",IF(F1178="","UNUSED",IF(Q1178=0,"NOT CHECKED",IF(COUNTIF(SourceTable[Source_Key],E1178&amp;"|"&amp;F1178)&lt;&gt;1,"SOURCE CONFLICT",IF(NOT(OR(INDEX(SourceTable[Status],MAX(1,Q1178))="IMPORTED",INDEX(SourceTable[Status],MAX(1,Q1178))="PARTIAL",INDEX(SourceTable[Status],MAX(1,Q1178))="SOURCE CONFLICT")),"ACCESS BLOCKED",IF(OR(INDEX(SourceTable[Coverage],Q1178)&lt;&gt;"FULL SEASON EXPORT",INDEX(SourceTable[URL],Q1178)="",INDEX(SourceTable[SHA256],Q1178)=""),"EVIDENCE INCOMPLETE",IF(AND('Input_Meci'!H103="LIVE",INDEX(SourceTable[Retrieved_UTC],Q1178)&gt;'Input_Meci'!G103),"POST CUTOFF","CLOSED")))))))</x:f>
      </x:c>
      <x:c r="S1178" s="2" t="n">
        <x:f>IF(OR(B1178="",F1178=""),0,COUNTIFS('Istoric_Nativ'!$B$6:$B$405,E1178,'Istoric_Nativ'!$C$6:$C$405,F1178,'Istoric_Nativ'!$E$6:$E$405,G1178,'Istoric_Nativ'!$D$6:$D$405,"&lt;"&amp;J1178,'Istoric_Nativ'!$O$6:$O$405,"INVALID")+COUNTIFS('Istoric_Nativ'!$B$6:$B$405,E1178,'Istoric_Nativ'!$C$6:$C$405,F1178,'Istoric_Nativ'!$E$6:$E$405,G1178,'Istoric_Nativ'!$O$6:$O$405,"INVALID",'Istoric_Nativ'!$D$6:$D$405,"*")+COUNTIFS('Istoric_Nativ'!$B$6:$B$405,E1178,'Istoric_Nativ'!$C$6:$C$405,F1178,'Istoric_Nativ'!$E$6:$E$405,G1178,'Istoric_Nativ'!$D$6:$D$405,"&lt;"&amp;J1178,'Istoric_Nativ'!$O$6:$O$405,"SOURCE CONFLICT")+COUNTIFS('Istoric_Nativ'!$B$6:$B$405,E1178,'Istoric_Nativ'!$C$6:$C$405,F1178,'Istoric_Nativ'!$F$6:$F$405,G1178,'Istoric_Nativ'!$D$6:$D$405,"&lt;"&amp;J1178,'Istoric_Nativ'!$O$6:$O$405,"INVALID")+COUNTIFS('Istoric_Nativ'!$B$6:$B$405,E1178,'Istoric_Nativ'!$C$6:$C$405,F1178,'Istoric_Nativ'!$F$6:$F$405,G1178,'Istoric_Nativ'!$O$6:$O$405,"INVALID",'Istoric_Nativ'!$D$6:$D$405,"*")+COUNTIFS('Istoric_Nativ'!$B$6:$B$405,E1178,'Istoric_Nativ'!$C$6:$C$405,F1178,'Istoric_Nativ'!$F$6:$F$405,G1178,'Istoric_Nativ'!$D$6:$D$405,"&lt;"&amp;J1178,'Istoric_Nativ'!$O$6:$O$405,"SOURCE CONFLICT"))</x:f>
        <x:v>0</x:v>
      </x:c>
      <x:c r="T1178" s="2" t="str">
        <x:f>IF(B1178="","",IF(R1178&lt;&gt;"CLOSED",R1178,IF(S1178&gt;0,"NATIVE INPUT ISSUE",IF(M1178=0,"NO HISTORY",IF(M1178&lt;P1178,"SMALL SAMPLE","DERIVED")))))</x:f>
      </x:c>
      <x:c r="U1178" s="2" t="str">
        <x:f>IF(B1178="","","NativeTable; "&amp;E1178&amp;"; "&amp;F1178&amp;"; "&amp;G1178&amp;"; "&amp;H1178&amp;"; before "&amp;TEXT(J1178,"yyyy-mm-dd")&amp;IF(I1178="RECENT","; from "&amp;TEXT(L1178,"yyyy-mm-dd"),""))</x:f>
      </x:c>
    </x:row>
    <x:row r="1179" ht="21" customHeight="1">
      <x:c r="A1179" s="2" t="n">
        <x:v>98</x:v>
      </x:c>
      <x:c r="B1179" s="2" t="str">
        <x:f>IF('Input_Meci'!A103="","",'Input_Meci'!A103)</x:f>
      </x:c>
      <x:c r="C1179" s="2" t="str">
        <x:v>A</x:v>
      </x:c>
      <x:c r="D1179" s="2" t="str">
        <x:v>PRIOR</x:v>
      </x:c>
      <x:c r="E1179" s="2" t="str">
        <x:f>IF(B1179="","",'Input_Meci'!B103)</x:f>
      </x:c>
      <x:c r="F1179" s="2" t="str">
        <x:f>IF(B1179="","",IF('Input_Meci'!K103="","",'Input_Meci'!K103))</x:f>
      </x:c>
      <x:c r="G1179" s="2" t="str">
        <x:f>IF(B1179="","",'Input_Meci'!E103)</x:f>
      </x:c>
      <x:c r="H1179" s="2" t="str">
        <x:v>ANY</x:v>
      </x:c>
      <x:c r="I1179" s="2" t="str">
        <x:v>SEASON</x:v>
      </x:c>
      <x:c r="J1179" s="9" t="n">
        <x:f>IF(AND(B1179&lt;&gt;"",ISNUMBER('Input_Meci'!G103)),INT('Input_Meci'!G103),0)</x:f>
        <x:v>0</x:v>
      </x:c>
      <x:c r="K1179" s="2" t="n">
        <x:f>IF(OR(B1179="",F1179=""),0,IF(H1179="HOME",COUNTIFS('Istoric_Nativ'!$B$6:$B$405,E1179,'Istoric_Nativ'!$C$6:$C$405,F1179,'Istoric_Nativ'!$E$6:$E$405,G1179,'Istoric_Nativ'!$D$6:$D$405,"&lt;"&amp;J1179,'Istoric_Nativ'!$P$6:$P$405,1),IF(H1179="AWAY",COUNTIFS('Istoric_Nativ'!$B$6:$B$405,E1179,'Istoric_Nativ'!$C$6:$C$405,F1179,'Istoric_Nativ'!$F$6:$F$405,G1179,'Istoric_Nativ'!$D$6:$D$405,"&lt;"&amp;J1179,'Istoric_Nativ'!$P$6:$P$405,1),COUNTIFS('Istoric_Nativ'!$B$6:$B$405,E1179,'Istoric_Nativ'!$C$6:$C$405,F1179,'Istoric_Nativ'!$E$6:$E$405,G1179,'Istoric_Nativ'!$D$6:$D$405,"&lt;"&amp;J1179,'Istoric_Nativ'!$P$6:$P$405,1)+COUNTIFS('Istoric_Nativ'!$B$6:$B$405,E1179,'Istoric_Nativ'!$C$6:$C$405,F1179,'Istoric_Nativ'!$F$6:$F$405,G1179,'Istoric_Nativ'!$D$6:$D$405,"&lt;"&amp;J1179,'Istoric_Nativ'!$P$6:$P$405,1))))</x:f>
        <x:v>0</x:v>
      </x:c>
      <x:c r="L1179" s="17" t="n">
        <x:f>IF(AND(B1179&lt;&gt;"",I1179="RECENT",K1179&gt;0),LARGE(_xlfn._xlws.FILTER('Istoric_Nativ'!$D$6:$D$405,('Istoric_Nativ'!$B$6:$B$405=E1179)*('Istoric_Nativ'!$C$6:$C$405=F1179)*('Istoric_Nativ'!$P$6:$P$405=1)*('Istoric_Nativ'!$D$6:$D$405&lt;J1179)*((('Istoric_Nativ'!$E$6:$E$405=G1179)+('Istoric_Nativ'!$F$6:$F$405=G1179))&gt;0)),MIN('Config_v6'!$B$54,K1179)),0)</x:f>
        <x:v>0</x:v>
      </x:c>
      <x:c r="M1179" s="2" t="n">
        <x:f>IF(OR(B1179="",F1179=""),0,IF(H1179="HOME",COUNTIFS('Istoric_Nativ'!$B$6:$B$405,E1179,'Istoric_Nativ'!$C$6:$C$405,F1179,'Istoric_Nativ'!$E$6:$E$405,G1179,'Istoric_Nativ'!$D$6:$D$405,"&lt;"&amp;J1179,'Istoric_Nativ'!$P$6:$P$405,1,'Istoric_Nativ'!$D$6:$D$405,"&gt;="&amp;L1179),IF(H1179="AWAY",COUNTIFS('Istoric_Nativ'!$B$6:$B$405,E1179,'Istoric_Nativ'!$C$6:$C$405,F1179,'Istoric_Nativ'!$F$6:$F$405,G1179,'Istoric_Nativ'!$D$6:$D$405,"&lt;"&amp;J1179,'Istoric_Nativ'!$P$6:$P$405,1,'Istoric_Nativ'!$D$6:$D$405,"&gt;="&amp;L1179),COUNTIFS('Istoric_Nativ'!$B$6:$B$405,E1179,'Istoric_Nativ'!$C$6:$C$405,F1179,'Istoric_Nativ'!$E$6:$E$405,G1179,'Istoric_Nativ'!$D$6:$D$405,"&lt;"&amp;J1179,'Istoric_Nativ'!$P$6:$P$405,1,'Istoric_Nativ'!$D$6:$D$405,"&gt;="&amp;L1179)+COUNTIFS('Istoric_Nativ'!$B$6:$B$405,E1179,'Istoric_Nativ'!$C$6:$C$405,F1179,'Istoric_Nativ'!$F$6:$F$405,G1179,'Istoric_Nativ'!$D$6:$D$405,"&lt;"&amp;J1179,'Istoric_Nativ'!$P$6:$P$405,1,'Istoric_Nativ'!$D$6:$D$405,"&gt;="&amp;L1179))))</x:f>
        <x:v>0</x:v>
      </x:c>
      <x:c r="N1179" s="11" t="str">
        <x:f>IF(M1179=0,"",IF(H1179="HOME",SUMIFS('Istoric_Nativ'!$G$6:$G$405,'Istoric_Nativ'!$B$6:$B$405,E1179,'Istoric_Nativ'!$C$6:$C$405,F1179,'Istoric_Nativ'!$E$6:$E$405,G1179,'Istoric_Nativ'!$D$6:$D$405,"&lt;"&amp;J1179,'Istoric_Nativ'!$P$6:$P$405,1,'Istoric_Nativ'!$D$6:$D$405,"&gt;="&amp;L1179),IF(H1179="AWAY",SUMIFS('Istoric_Nativ'!$H$6:$H$405,'Istoric_Nativ'!$B$6:$B$405,E1179,'Istoric_Nativ'!$C$6:$C$405,F1179,'Istoric_Nativ'!$F$6:$F$405,G1179,'Istoric_Nativ'!$D$6:$D$405,"&lt;"&amp;J1179,'Istoric_Nativ'!$P$6:$P$405,1,'Istoric_Nativ'!$D$6:$D$405,"&gt;="&amp;L1179),SUMIFS('Istoric_Nativ'!$G$6:$G$405,'Istoric_Nativ'!$B$6:$B$405,E1179,'Istoric_Nativ'!$C$6:$C$405,F1179,'Istoric_Nativ'!$E$6:$E$405,G1179,'Istoric_Nativ'!$D$6:$D$405,"&lt;"&amp;J1179,'Istoric_Nativ'!$P$6:$P$405,1,'Istoric_Nativ'!$D$6:$D$405,"&gt;="&amp;L1179)+SUMIFS('Istoric_Nativ'!$H$6:$H$405,'Istoric_Nativ'!$B$6:$B$405,E1179,'Istoric_Nativ'!$C$6:$C$405,F1179,'Istoric_Nativ'!$F$6:$F$405,G1179,'Istoric_Nativ'!$D$6:$D$405,"&lt;"&amp;J1179,'Istoric_Nativ'!$P$6:$P$405,1,'Istoric_Nativ'!$D$6:$D$405,"&gt;="&amp;L1179)))/M1179)</x:f>
      </x:c>
      <x:c r="O1179" s="11" t="str">
        <x:f>IF(M1179=0,"",IF(H1179="HOME",SUMIFS('Istoric_Nativ'!$H$6:$H$405,'Istoric_Nativ'!$B$6:$B$405,E1179,'Istoric_Nativ'!$C$6:$C$405,F1179,'Istoric_Nativ'!$E$6:$E$405,G1179,'Istoric_Nativ'!$D$6:$D$405,"&lt;"&amp;J1179,'Istoric_Nativ'!$P$6:$P$405,1,'Istoric_Nativ'!$D$6:$D$405,"&gt;="&amp;L1179),IF(H1179="AWAY",SUMIFS('Istoric_Nativ'!$G$6:$G$405,'Istoric_Nativ'!$B$6:$B$405,E1179,'Istoric_Nativ'!$C$6:$C$405,F1179,'Istoric_Nativ'!$F$6:$F$405,G1179,'Istoric_Nativ'!$D$6:$D$405,"&lt;"&amp;J1179,'Istoric_Nativ'!$P$6:$P$405,1,'Istoric_Nativ'!$D$6:$D$405,"&gt;="&amp;L1179),SUMIFS('Istoric_Nativ'!$H$6:$H$405,'Istoric_Nativ'!$B$6:$B$405,E1179,'Istoric_Nativ'!$C$6:$C$405,F1179,'Istoric_Nativ'!$E$6:$E$405,G1179,'Istoric_Nativ'!$D$6:$D$405,"&lt;"&amp;J1179,'Istoric_Nativ'!$P$6:$P$405,1,'Istoric_Nativ'!$D$6:$D$405,"&gt;="&amp;L1179)+SUMIFS('Istoric_Nativ'!$G$6:$G$405,'Istoric_Nativ'!$B$6:$B$405,E1179,'Istoric_Nativ'!$C$6:$C$405,F1179,'Istoric_Nativ'!$F$6:$F$405,G1179,'Istoric_Nativ'!$D$6:$D$405,"&lt;"&amp;J1179,'Istoric_Nativ'!$P$6:$P$405,1,'Istoric_Nativ'!$D$6:$D$405,"&gt;="&amp;L1179)))/M1179)</x:f>
      </x:c>
      <x:c r="P1179" s="2" t="n">
        <x:f>'Config_v6'!$B$7</x:f>
        <x:v>10</x:v>
      </x:c>
      <x:c r="Q1179" s="2" t="n">
        <x:f>IF(OR(B1179="",F1179=""),0,IFERROR(MATCH(E1179&amp;"|"&amp;F1179,SourceTable[Source_Key],0),0))</x:f>
        <x:v>0</x:v>
      </x:c>
      <x:c r="R1179" s="2" t="str">
        <x:f>IF(B1179="","",IF(F1179="","UNUSED",IF(Q1179=0,"NOT CHECKED",IF(COUNTIF(SourceTable[Source_Key],E1179&amp;"|"&amp;F1179)&lt;&gt;1,"SOURCE CONFLICT",IF(NOT(OR(INDEX(SourceTable[Status],MAX(1,Q1179))="IMPORTED",INDEX(SourceTable[Status],MAX(1,Q1179))="PARTIAL",INDEX(SourceTable[Status],MAX(1,Q1179))="SOURCE CONFLICT")),"ACCESS BLOCKED",IF(OR(INDEX(SourceTable[Coverage],Q1179)&lt;&gt;"FULL SEASON EXPORT",INDEX(SourceTable[URL],Q1179)="",INDEX(SourceTable[SHA256],Q1179)=""),"EVIDENCE INCOMPLETE",IF(AND('Input_Meci'!H103="LIVE",INDEX(SourceTable[Retrieved_UTC],Q1179)&gt;'Input_Meci'!G103),"POST CUTOFF","CLOSED")))))))</x:f>
      </x:c>
      <x:c r="S1179" s="2" t="n">
        <x:f>IF(OR(B1179="",F1179=""),0,COUNTIFS('Istoric_Nativ'!$B$6:$B$405,E1179,'Istoric_Nativ'!$C$6:$C$405,F1179,'Istoric_Nativ'!$E$6:$E$405,G1179,'Istoric_Nativ'!$D$6:$D$405,"&lt;"&amp;J1179,'Istoric_Nativ'!$O$6:$O$405,"INVALID")+COUNTIFS('Istoric_Nativ'!$B$6:$B$405,E1179,'Istoric_Nativ'!$C$6:$C$405,F1179,'Istoric_Nativ'!$E$6:$E$405,G1179,'Istoric_Nativ'!$O$6:$O$405,"INVALID",'Istoric_Nativ'!$D$6:$D$405,"*")+COUNTIFS('Istoric_Nativ'!$B$6:$B$405,E1179,'Istoric_Nativ'!$C$6:$C$405,F1179,'Istoric_Nativ'!$E$6:$E$405,G1179,'Istoric_Nativ'!$D$6:$D$405,"&lt;"&amp;J1179,'Istoric_Nativ'!$O$6:$O$405,"SOURCE CONFLICT")+COUNTIFS('Istoric_Nativ'!$B$6:$B$405,E1179,'Istoric_Nativ'!$C$6:$C$405,F1179,'Istoric_Nativ'!$F$6:$F$405,G1179,'Istoric_Nativ'!$D$6:$D$405,"&lt;"&amp;J1179,'Istoric_Nativ'!$O$6:$O$405,"INVALID")+COUNTIFS('Istoric_Nativ'!$B$6:$B$405,E1179,'Istoric_Nativ'!$C$6:$C$405,F1179,'Istoric_Nativ'!$F$6:$F$405,G1179,'Istoric_Nativ'!$O$6:$O$405,"INVALID",'Istoric_Nativ'!$D$6:$D$405,"*")+COUNTIFS('Istoric_Nativ'!$B$6:$B$405,E1179,'Istoric_Nativ'!$C$6:$C$405,F1179,'Istoric_Nativ'!$F$6:$F$405,G1179,'Istoric_Nativ'!$D$6:$D$405,"&lt;"&amp;J1179,'Istoric_Nativ'!$O$6:$O$405,"SOURCE CONFLICT"))</x:f>
        <x:v>0</x:v>
      </x:c>
      <x:c r="T1179" s="2" t="str">
        <x:f>IF(B1179="","",IF(R1179&lt;&gt;"CLOSED",R1179,IF(S1179&gt;0,"NATIVE INPUT ISSUE",IF(M1179=0,"NO HISTORY",IF(M1179&lt;P1179,"SMALL SAMPLE","DERIVED")))))</x:f>
      </x:c>
      <x:c r="U1179" s="2" t="str">
        <x:f>IF(B1179="","","NativeTable; "&amp;E1179&amp;"; "&amp;F1179&amp;"; "&amp;G1179&amp;"; "&amp;H1179&amp;"; before "&amp;TEXT(J1179,"yyyy-mm-dd")&amp;IF(I1179="RECENT","; from "&amp;TEXT(L1179,"yyyy-mm-dd"),""))</x:f>
      </x:c>
    </x:row>
    <x:row r="1180" ht="21" customHeight="1">
      <x:c r="A1180" s="2" t="n">
        <x:v>98</x:v>
      </x:c>
      <x:c r="B1180" s="2" t="str">
        <x:f>IF('Input_Meci'!A103="","",'Input_Meci'!A103)</x:f>
      </x:c>
      <x:c r="C1180" s="2" t="str">
        <x:v>A</x:v>
      </x:c>
      <x:c r="D1180" s="2" t="str">
        <x:v>PRIOR</x:v>
      </x:c>
      <x:c r="E1180" s="2" t="str">
        <x:f>IF(B1180="","",'Input_Meci'!B103)</x:f>
      </x:c>
      <x:c r="F1180" s="2" t="str">
        <x:f>IF(B1180="","",IF('Input_Meci'!K103="","",'Input_Meci'!K103))</x:f>
      </x:c>
      <x:c r="G1180" s="2" t="str">
        <x:f>IF(B1180="","",'Input_Meci'!E103)</x:f>
      </x:c>
      <x:c r="H1180" s="2" t="str">
        <x:v>AWAY</x:v>
      </x:c>
      <x:c r="I1180" s="2" t="str">
        <x:v>HA</x:v>
      </x:c>
      <x:c r="J1180" s="9" t="n">
        <x:f>IF(AND(B1180&lt;&gt;"",ISNUMBER('Input_Meci'!G103)),INT('Input_Meci'!G103),0)</x:f>
        <x:v>0</x:v>
      </x:c>
      <x:c r="K1180" s="2" t="n">
        <x:f>IF(OR(B1180="",F1180=""),0,IF(H1180="HOME",COUNTIFS('Istoric_Nativ'!$B$6:$B$405,E1180,'Istoric_Nativ'!$C$6:$C$405,F1180,'Istoric_Nativ'!$E$6:$E$405,G1180,'Istoric_Nativ'!$D$6:$D$405,"&lt;"&amp;J1180,'Istoric_Nativ'!$P$6:$P$405,1),IF(H1180="AWAY",COUNTIFS('Istoric_Nativ'!$B$6:$B$405,E1180,'Istoric_Nativ'!$C$6:$C$405,F1180,'Istoric_Nativ'!$F$6:$F$405,G1180,'Istoric_Nativ'!$D$6:$D$405,"&lt;"&amp;J1180,'Istoric_Nativ'!$P$6:$P$405,1),COUNTIFS('Istoric_Nativ'!$B$6:$B$405,E1180,'Istoric_Nativ'!$C$6:$C$405,F1180,'Istoric_Nativ'!$E$6:$E$405,G1180,'Istoric_Nativ'!$D$6:$D$405,"&lt;"&amp;J1180,'Istoric_Nativ'!$P$6:$P$405,1)+COUNTIFS('Istoric_Nativ'!$B$6:$B$405,E1180,'Istoric_Nativ'!$C$6:$C$405,F1180,'Istoric_Nativ'!$F$6:$F$405,G1180,'Istoric_Nativ'!$D$6:$D$405,"&lt;"&amp;J1180,'Istoric_Nativ'!$P$6:$P$405,1))))</x:f>
        <x:v>0</x:v>
      </x:c>
      <x:c r="L1180" s="17" t="n">
        <x:f>IF(AND(B1180&lt;&gt;"",I1180="RECENT",K1180&gt;0),LARGE(_xlfn._xlws.FILTER('Istoric_Nativ'!$D$6:$D$405,('Istoric_Nativ'!$B$6:$B$405=E1180)*('Istoric_Nativ'!$C$6:$C$405=F1180)*('Istoric_Nativ'!$P$6:$P$405=1)*('Istoric_Nativ'!$D$6:$D$405&lt;J1180)*((('Istoric_Nativ'!$E$6:$E$405=G1180)+('Istoric_Nativ'!$F$6:$F$405=G1180))&gt;0)),MIN('Config_v6'!$B$54,K1180)),0)</x:f>
        <x:v>0</x:v>
      </x:c>
      <x:c r="M1180" s="2" t="n">
        <x:f>IF(OR(B1180="",F1180=""),0,IF(H1180="HOME",COUNTIFS('Istoric_Nativ'!$B$6:$B$405,E1180,'Istoric_Nativ'!$C$6:$C$405,F1180,'Istoric_Nativ'!$E$6:$E$405,G1180,'Istoric_Nativ'!$D$6:$D$405,"&lt;"&amp;J1180,'Istoric_Nativ'!$P$6:$P$405,1,'Istoric_Nativ'!$D$6:$D$405,"&gt;="&amp;L1180),IF(H1180="AWAY",COUNTIFS('Istoric_Nativ'!$B$6:$B$405,E1180,'Istoric_Nativ'!$C$6:$C$405,F1180,'Istoric_Nativ'!$F$6:$F$405,G1180,'Istoric_Nativ'!$D$6:$D$405,"&lt;"&amp;J1180,'Istoric_Nativ'!$P$6:$P$405,1,'Istoric_Nativ'!$D$6:$D$405,"&gt;="&amp;L1180),COUNTIFS('Istoric_Nativ'!$B$6:$B$405,E1180,'Istoric_Nativ'!$C$6:$C$405,F1180,'Istoric_Nativ'!$E$6:$E$405,G1180,'Istoric_Nativ'!$D$6:$D$405,"&lt;"&amp;J1180,'Istoric_Nativ'!$P$6:$P$405,1,'Istoric_Nativ'!$D$6:$D$405,"&gt;="&amp;L1180)+COUNTIFS('Istoric_Nativ'!$B$6:$B$405,E1180,'Istoric_Nativ'!$C$6:$C$405,F1180,'Istoric_Nativ'!$F$6:$F$405,G1180,'Istoric_Nativ'!$D$6:$D$405,"&lt;"&amp;J1180,'Istoric_Nativ'!$P$6:$P$405,1,'Istoric_Nativ'!$D$6:$D$405,"&gt;="&amp;L1180))))</x:f>
        <x:v>0</x:v>
      </x:c>
      <x:c r="N1180" s="11" t="str">
        <x:f>IF(M1180=0,"",IF(H1180="HOME",SUMIFS('Istoric_Nativ'!$G$6:$G$405,'Istoric_Nativ'!$B$6:$B$405,E1180,'Istoric_Nativ'!$C$6:$C$405,F1180,'Istoric_Nativ'!$E$6:$E$405,G1180,'Istoric_Nativ'!$D$6:$D$405,"&lt;"&amp;J1180,'Istoric_Nativ'!$P$6:$P$405,1,'Istoric_Nativ'!$D$6:$D$405,"&gt;="&amp;L1180),IF(H1180="AWAY",SUMIFS('Istoric_Nativ'!$H$6:$H$405,'Istoric_Nativ'!$B$6:$B$405,E1180,'Istoric_Nativ'!$C$6:$C$405,F1180,'Istoric_Nativ'!$F$6:$F$405,G1180,'Istoric_Nativ'!$D$6:$D$405,"&lt;"&amp;J1180,'Istoric_Nativ'!$P$6:$P$405,1,'Istoric_Nativ'!$D$6:$D$405,"&gt;="&amp;L1180),SUMIFS('Istoric_Nativ'!$G$6:$G$405,'Istoric_Nativ'!$B$6:$B$405,E1180,'Istoric_Nativ'!$C$6:$C$405,F1180,'Istoric_Nativ'!$E$6:$E$405,G1180,'Istoric_Nativ'!$D$6:$D$405,"&lt;"&amp;J1180,'Istoric_Nativ'!$P$6:$P$405,1,'Istoric_Nativ'!$D$6:$D$405,"&gt;="&amp;L1180)+SUMIFS('Istoric_Nativ'!$H$6:$H$405,'Istoric_Nativ'!$B$6:$B$405,E1180,'Istoric_Nativ'!$C$6:$C$405,F1180,'Istoric_Nativ'!$F$6:$F$405,G1180,'Istoric_Nativ'!$D$6:$D$405,"&lt;"&amp;J1180,'Istoric_Nativ'!$P$6:$P$405,1,'Istoric_Nativ'!$D$6:$D$405,"&gt;="&amp;L1180)))/M1180)</x:f>
      </x:c>
      <x:c r="O1180" s="11" t="str">
        <x:f>IF(M1180=0,"",IF(H1180="HOME",SUMIFS('Istoric_Nativ'!$H$6:$H$405,'Istoric_Nativ'!$B$6:$B$405,E1180,'Istoric_Nativ'!$C$6:$C$405,F1180,'Istoric_Nativ'!$E$6:$E$405,G1180,'Istoric_Nativ'!$D$6:$D$405,"&lt;"&amp;J1180,'Istoric_Nativ'!$P$6:$P$405,1,'Istoric_Nativ'!$D$6:$D$405,"&gt;="&amp;L1180),IF(H1180="AWAY",SUMIFS('Istoric_Nativ'!$G$6:$G$405,'Istoric_Nativ'!$B$6:$B$405,E1180,'Istoric_Nativ'!$C$6:$C$405,F1180,'Istoric_Nativ'!$F$6:$F$405,G1180,'Istoric_Nativ'!$D$6:$D$405,"&lt;"&amp;J1180,'Istoric_Nativ'!$P$6:$P$405,1,'Istoric_Nativ'!$D$6:$D$405,"&gt;="&amp;L1180),SUMIFS('Istoric_Nativ'!$H$6:$H$405,'Istoric_Nativ'!$B$6:$B$405,E1180,'Istoric_Nativ'!$C$6:$C$405,F1180,'Istoric_Nativ'!$E$6:$E$405,G1180,'Istoric_Nativ'!$D$6:$D$405,"&lt;"&amp;J1180,'Istoric_Nativ'!$P$6:$P$405,1,'Istoric_Nativ'!$D$6:$D$405,"&gt;="&amp;L1180)+SUMIFS('Istoric_Nativ'!$G$6:$G$405,'Istoric_Nativ'!$B$6:$B$405,E1180,'Istoric_Nativ'!$C$6:$C$405,F1180,'Istoric_Nativ'!$F$6:$F$405,G1180,'Istoric_Nativ'!$D$6:$D$405,"&lt;"&amp;J1180,'Istoric_Nativ'!$P$6:$P$405,1,'Istoric_Nativ'!$D$6:$D$405,"&gt;="&amp;L1180)))/M1180)</x:f>
      </x:c>
      <x:c r="P1180" s="2" t="n">
        <x:f>'Config_v6'!$B$8</x:f>
        <x:v>5</x:v>
      </x:c>
      <x:c r="Q1180" s="2" t="n">
        <x:f>IF(OR(B1180="",F1180=""),0,IFERROR(MATCH(E1180&amp;"|"&amp;F1180,SourceTable[Source_Key],0),0))</x:f>
        <x:v>0</x:v>
      </x:c>
      <x:c r="R1180" s="2" t="str">
        <x:f>IF(B1180="","",IF(F1180="","UNUSED",IF(Q1180=0,"NOT CHECKED",IF(COUNTIF(SourceTable[Source_Key],E1180&amp;"|"&amp;F1180)&lt;&gt;1,"SOURCE CONFLICT",IF(NOT(OR(INDEX(SourceTable[Status],MAX(1,Q1180))="IMPORTED",INDEX(SourceTable[Status],MAX(1,Q1180))="PARTIAL",INDEX(SourceTable[Status],MAX(1,Q1180))="SOURCE CONFLICT")),"ACCESS BLOCKED",IF(OR(INDEX(SourceTable[Coverage],Q1180)&lt;&gt;"FULL SEASON EXPORT",INDEX(SourceTable[URL],Q1180)="",INDEX(SourceTable[SHA256],Q1180)=""),"EVIDENCE INCOMPLETE",IF(AND('Input_Meci'!H103="LIVE",INDEX(SourceTable[Retrieved_UTC],Q1180)&gt;'Input_Meci'!G103),"POST CUTOFF","CLOSED")))))))</x:f>
      </x:c>
      <x:c r="S1180" s="2" t="n">
        <x:f>IF(OR(B1180="",F1180=""),0,COUNTIFS('Istoric_Nativ'!$B$6:$B$405,E1180,'Istoric_Nativ'!$C$6:$C$405,F1180,'Istoric_Nativ'!$E$6:$E$405,G1180,'Istoric_Nativ'!$D$6:$D$405,"&lt;"&amp;J1180,'Istoric_Nativ'!$O$6:$O$405,"INVALID")+COUNTIFS('Istoric_Nativ'!$B$6:$B$405,E1180,'Istoric_Nativ'!$C$6:$C$405,F1180,'Istoric_Nativ'!$E$6:$E$405,G1180,'Istoric_Nativ'!$O$6:$O$405,"INVALID",'Istoric_Nativ'!$D$6:$D$405,"*")+COUNTIFS('Istoric_Nativ'!$B$6:$B$405,E1180,'Istoric_Nativ'!$C$6:$C$405,F1180,'Istoric_Nativ'!$E$6:$E$405,G1180,'Istoric_Nativ'!$D$6:$D$405,"&lt;"&amp;J1180,'Istoric_Nativ'!$O$6:$O$405,"SOURCE CONFLICT")+COUNTIFS('Istoric_Nativ'!$B$6:$B$405,E1180,'Istoric_Nativ'!$C$6:$C$405,F1180,'Istoric_Nativ'!$F$6:$F$405,G1180,'Istoric_Nativ'!$D$6:$D$405,"&lt;"&amp;J1180,'Istoric_Nativ'!$O$6:$O$405,"INVALID")+COUNTIFS('Istoric_Nativ'!$B$6:$B$405,E1180,'Istoric_Nativ'!$C$6:$C$405,F1180,'Istoric_Nativ'!$F$6:$F$405,G1180,'Istoric_Nativ'!$O$6:$O$405,"INVALID",'Istoric_Nativ'!$D$6:$D$405,"*")+COUNTIFS('Istoric_Nativ'!$B$6:$B$405,E1180,'Istoric_Nativ'!$C$6:$C$405,F1180,'Istoric_Nativ'!$F$6:$F$405,G1180,'Istoric_Nativ'!$D$6:$D$405,"&lt;"&amp;J1180,'Istoric_Nativ'!$O$6:$O$405,"SOURCE CONFLICT"))</x:f>
        <x:v>0</x:v>
      </x:c>
      <x:c r="T1180" s="2" t="str">
        <x:f>IF(B1180="","",IF(R1180&lt;&gt;"CLOSED",R1180,IF(S1180&gt;0,"NATIVE INPUT ISSUE",IF(M1180=0,"NO HISTORY",IF(M1180&lt;P1180,"SMALL SAMPLE","DERIVED")))))</x:f>
      </x:c>
      <x:c r="U1180" s="2" t="str">
        <x:f>IF(B1180="","","NativeTable; "&amp;E1180&amp;"; "&amp;F1180&amp;"; "&amp;G1180&amp;"; "&amp;H1180&amp;"; before "&amp;TEXT(J1180,"yyyy-mm-dd")&amp;IF(I1180="RECENT","; from "&amp;TEXT(L1180,"yyyy-mm-dd"),""))</x:f>
      </x:c>
    </x:row>
    <x:row r="1181" ht="21" customHeight="1">
      <x:c r="A1181" s="2" t="n">
        <x:v>98</x:v>
      </x:c>
      <x:c r="B1181" s="2" t="str">
        <x:f>IF('Input_Meci'!A103="","",'Input_Meci'!A103)</x:f>
      </x:c>
      <x:c r="C1181" s="2" t="str">
        <x:v>A</x:v>
      </x:c>
      <x:c r="D1181" s="2" t="str">
        <x:v>PRIOR</x:v>
      </x:c>
      <x:c r="E1181" s="2" t="str">
        <x:f>IF(B1181="","",'Input_Meci'!B103)</x:f>
      </x:c>
      <x:c r="F1181" s="2" t="str">
        <x:f>IF(B1181="","",IF('Input_Meci'!K103="","",'Input_Meci'!K103))</x:f>
      </x:c>
      <x:c r="G1181" s="2" t="str">
        <x:f>IF(B1181="","",'Input_Meci'!E103)</x:f>
      </x:c>
      <x:c r="H1181" s="2" t="str">
        <x:v>ANY</x:v>
      </x:c>
      <x:c r="I1181" s="2" t="str">
        <x:v>RECENT</x:v>
      </x:c>
      <x:c r="J1181" s="9" t="n">
        <x:f>IF(AND(B1181&lt;&gt;"",ISNUMBER('Input_Meci'!G103)),INT('Input_Meci'!G103),0)</x:f>
        <x:v>0</x:v>
      </x:c>
      <x:c r="K1181" s="2" t="n">
        <x:f>IF(OR(B1181="",F1181=""),0,IF(H1181="HOME",COUNTIFS('Istoric_Nativ'!$B$6:$B$405,E1181,'Istoric_Nativ'!$C$6:$C$405,F1181,'Istoric_Nativ'!$E$6:$E$405,G1181,'Istoric_Nativ'!$D$6:$D$405,"&lt;"&amp;J1181,'Istoric_Nativ'!$P$6:$P$405,1),IF(H1181="AWAY",COUNTIFS('Istoric_Nativ'!$B$6:$B$405,E1181,'Istoric_Nativ'!$C$6:$C$405,F1181,'Istoric_Nativ'!$F$6:$F$405,G1181,'Istoric_Nativ'!$D$6:$D$405,"&lt;"&amp;J1181,'Istoric_Nativ'!$P$6:$P$405,1),COUNTIFS('Istoric_Nativ'!$B$6:$B$405,E1181,'Istoric_Nativ'!$C$6:$C$405,F1181,'Istoric_Nativ'!$E$6:$E$405,G1181,'Istoric_Nativ'!$D$6:$D$405,"&lt;"&amp;J1181,'Istoric_Nativ'!$P$6:$P$405,1)+COUNTIFS('Istoric_Nativ'!$B$6:$B$405,E1181,'Istoric_Nativ'!$C$6:$C$405,F1181,'Istoric_Nativ'!$F$6:$F$405,G1181,'Istoric_Nativ'!$D$6:$D$405,"&lt;"&amp;J1181,'Istoric_Nativ'!$P$6:$P$405,1))))</x:f>
        <x:v>0</x:v>
      </x:c>
      <x:c r="L1181" s="17" t="n">
        <x:f>IF(AND(B1181&lt;&gt;"",I1181="RECENT",K1181&gt;0),LARGE(_xlfn._xlws.FILTER('Istoric_Nativ'!$D$6:$D$405,('Istoric_Nativ'!$B$6:$B$405=E1181)*('Istoric_Nativ'!$C$6:$C$405=F1181)*('Istoric_Nativ'!$P$6:$P$405=1)*('Istoric_Nativ'!$D$6:$D$405&lt;J1181)*((('Istoric_Nativ'!$E$6:$E$405=G1181)+('Istoric_Nativ'!$F$6:$F$405=G1181))&gt;0)),MIN('Config_v6'!$B$54,K1181)),0)</x:f>
        <x:v>0</x:v>
      </x:c>
      <x:c r="M1181" s="2" t="n">
        <x:f>IF(OR(B1181="",F1181=""),0,IF(H1181="HOME",COUNTIFS('Istoric_Nativ'!$B$6:$B$405,E1181,'Istoric_Nativ'!$C$6:$C$405,F1181,'Istoric_Nativ'!$E$6:$E$405,G1181,'Istoric_Nativ'!$D$6:$D$405,"&lt;"&amp;J1181,'Istoric_Nativ'!$P$6:$P$405,1,'Istoric_Nativ'!$D$6:$D$405,"&gt;="&amp;L1181),IF(H1181="AWAY",COUNTIFS('Istoric_Nativ'!$B$6:$B$405,E1181,'Istoric_Nativ'!$C$6:$C$405,F1181,'Istoric_Nativ'!$F$6:$F$405,G1181,'Istoric_Nativ'!$D$6:$D$405,"&lt;"&amp;J1181,'Istoric_Nativ'!$P$6:$P$405,1,'Istoric_Nativ'!$D$6:$D$405,"&gt;="&amp;L1181),COUNTIFS('Istoric_Nativ'!$B$6:$B$405,E1181,'Istoric_Nativ'!$C$6:$C$405,F1181,'Istoric_Nativ'!$E$6:$E$405,G1181,'Istoric_Nativ'!$D$6:$D$405,"&lt;"&amp;J1181,'Istoric_Nativ'!$P$6:$P$405,1,'Istoric_Nativ'!$D$6:$D$405,"&gt;="&amp;L1181)+COUNTIFS('Istoric_Nativ'!$B$6:$B$405,E1181,'Istoric_Nativ'!$C$6:$C$405,F1181,'Istoric_Nativ'!$F$6:$F$405,G1181,'Istoric_Nativ'!$D$6:$D$405,"&lt;"&amp;J1181,'Istoric_Nativ'!$P$6:$P$405,1,'Istoric_Nativ'!$D$6:$D$405,"&gt;="&amp;L1181))))</x:f>
        <x:v>0</x:v>
      </x:c>
      <x:c r="N1181" s="11" t="str">
        <x:f>IF(M1181=0,"",IF(H1181="HOME",SUMIFS('Istoric_Nativ'!$G$6:$G$405,'Istoric_Nativ'!$B$6:$B$405,E1181,'Istoric_Nativ'!$C$6:$C$405,F1181,'Istoric_Nativ'!$E$6:$E$405,G1181,'Istoric_Nativ'!$D$6:$D$405,"&lt;"&amp;J1181,'Istoric_Nativ'!$P$6:$P$405,1,'Istoric_Nativ'!$D$6:$D$405,"&gt;="&amp;L1181),IF(H1181="AWAY",SUMIFS('Istoric_Nativ'!$H$6:$H$405,'Istoric_Nativ'!$B$6:$B$405,E1181,'Istoric_Nativ'!$C$6:$C$405,F1181,'Istoric_Nativ'!$F$6:$F$405,G1181,'Istoric_Nativ'!$D$6:$D$405,"&lt;"&amp;J1181,'Istoric_Nativ'!$P$6:$P$405,1,'Istoric_Nativ'!$D$6:$D$405,"&gt;="&amp;L1181),SUMIFS('Istoric_Nativ'!$G$6:$G$405,'Istoric_Nativ'!$B$6:$B$405,E1181,'Istoric_Nativ'!$C$6:$C$405,F1181,'Istoric_Nativ'!$E$6:$E$405,G1181,'Istoric_Nativ'!$D$6:$D$405,"&lt;"&amp;J1181,'Istoric_Nativ'!$P$6:$P$405,1,'Istoric_Nativ'!$D$6:$D$405,"&gt;="&amp;L1181)+SUMIFS('Istoric_Nativ'!$H$6:$H$405,'Istoric_Nativ'!$B$6:$B$405,E1181,'Istoric_Nativ'!$C$6:$C$405,F1181,'Istoric_Nativ'!$F$6:$F$405,G1181,'Istoric_Nativ'!$D$6:$D$405,"&lt;"&amp;J1181,'Istoric_Nativ'!$P$6:$P$405,1,'Istoric_Nativ'!$D$6:$D$405,"&gt;="&amp;L1181)))/M1181)</x:f>
      </x:c>
      <x:c r="O1181" s="11" t="str">
        <x:f>IF(M1181=0,"",IF(H1181="HOME",SUMIFS('Istoric_Nativ'!$H$6:$H$405,'Istoric_Nativ'!$B$6:$B$405,E1181,'Istoric_Nativ'!$C$6:$C$405,F1181,'Istoric_Nativ'!$E$6:$E$405,G1181,'Istoric_Nativ'!$D$6:$D$405,"&lt;"&amp;J1181,'Istoric_Nativ'!$P$6:$P$405,1,'Istoric_Nativ'!$D$6:$D$405,"&gt;="&amp;L1181),IF(H1181="AWAY",SUMIFS('Istoric_Nativ'!$G$6:$G$405,'Istoric_Nativ'!$B$6:$B$405,E1181,'Istoric_Nativ'!$C$6:$C$405,F1181,'Istoric_Nativ'!$F$6:$F$405,G1181,'Istoric_Nativ'!$D$6:$D$405,"&lt;"&amp;J1181,'Istoric_Nativ'!$P$6:$P$405,1,'Istoric_Nativ'!$D$6:$D$405,"&gt;="&amp;L1181),SUMIFS('Istoric_Nativ'!$H$6:$H$405,'Istoric_Nativ'!$B$6:$B$405,E1181,'Istoric_Nativ'!$C$6:$C$405,F1181,'Istoric_Nativ'!$E$6:$E$405,G1181,'Istoric_Nativ'!$D$6:$D$405,"&lt;"&amp;J1181,'Istoric_Nativ'!$P$6:$P$405,1,'Istoric_Nativ'!$D$6:$D$405,"&gt;="&amp;L1181)+SUMIFS('Istoric_Nativ'!$G$6:$G$405,'Istoric_Nativ'!$B$6:$B$405,E1181,'Istoric_Nativ'!$C$6:$C$405,F1181,'Istoric_Nativ'!$F$6:$F$405,G1181,'Istoric_Nativ'!$D$6:$D$405,"&lt;"&amp;J1181,'Istoric_Nativ'!$P$6:$P$405,1,'Istoric_Nativ'!$D$6:$D$405,"&gt;="&amp;L1181)))/M1181)</x:f>
      </x:c>
      <x:c r="P1181" s="2" t="n">
        <x:f>'Config_v6'!$B$9</x:f>
        <x:v>3</x:v>
      </x:c>
      <x:c r="Q1181" s="2" t="n">
        <x:f>IF(OR(B1181="",F1181=""),0,IFERROR(MATCH(E1181&amp;"|"&amp;F1181,SourceTable[Source_Key],0),0))</x:f>
        <x:v>0</x:v>
      </x:c>
      <x:c r="R1181" s="2" t="str">
        <x:f>IF(B1181="","",IF(F1181="","UNUSED",IF(Q1181=0,"NOT CHECKED",IF(COUNTIF(SourceTable[Source_Key],E1181&amp;"|"&amp;F1181)&lt;&gt;1,"SOURCE CONFLICT",IF(NOT(OR(INDEX(SourceTable[Status],MAX(1,Q1181))="IMPORTED",INDEX(SourceTable[Status],MAX(1,Q1181))="PARTIAL",INDEX(SourceTable[Status],MAX(1,Q1181))="SOURCE CONFLICT")),"ACCESS BLOCKED",IF(OR(INDEX(SourceTable[Coverage],Q1181)&lt;&gt;"FULL SEASON EXPORT",INDEX(SourceTable[URL],Q1181)="",INDEX(SourceTable[SHA256],Q1181)=""),"EVIDENCE INCOMPLETE",IF(AND('Input_Meci'!H103="LIVE",INDEX(SourceTable[Retrieved_UTC],Q1181)&gt;'Input_Meci'!G103),"POST CUTOFF","CLOSED")))))))</x:f>
      </x:c>
      <x:c r="S1181" s="2" t="n">
        <x:f>IF(OR(B1181="",F1181=""),0,COUNTIFS('Istoric_Nativ'!$B$6:$B$405,E1181,'Istoric_Nativ'!$C$6:$C$405,F1181,'Istoric_Nativ'!$E$6:$E$405,G1181,'Istoric_Nativ'!$D$6:$D$405,"&lt;"&amp;J1181,'Istoric_Nativ'!$O$6:$O$405,"INVALID")+COUNTIFS('Istoric_Nativ'!$B$6:$B$405,E1181,'Istoric_Nativ'!$C$6:$C$405,F1181,'Istoric_Nativ'!$E$6:$E$405,G1181,'Istoric_Nativ'!$O$6:$O$405,"INVALID",'Istoric_Nativ'!$D$6:$D$405,"*")+COUNTIFS('Istoric_Nativ'!$B$6:$B$405,E1181,'Istoric_Nativ'!$C$6:$C$405,F1181,'Istoric_Nativ'!$E$6:$E$405,G1181,'Istoric_Nativ'!$D$6:$D$405,"&lt;"&amp;J1181,'Istoric_Nativ'!$O$6:$O$405,"SOURCE CONFLICT")+COUNTIFS('Istoric_Nativ'!$B$6:$B$405,E1181,'Istoric_Nativ'!$C$6:$C$405,F1181,'Istoric_Nativ'!$F$6:$F$405,G1181,'Istoric_Nativ'!$D$6:$D$405,"&lt;"&amp;J1181,'Istoric_Nativ'!$O$6:$O$405,"INVALID")+COUNTIFS('Istoric_Nativ'!$B$6:$B$405,E1181,'Istoric_Nativ'!$C$6:$C$405,F1181,'Istoric_Nativ'!$F$6:$F$405,G1181,'Istoric_Nativ'!$O$6:$O$405,"INVALID",'Istoric_Nativ'!$D$6:$D$405,"*")+COUNTIFS('Istoric_Nativ'!$B$6:$B$405,E1181,'Istoric_Nativ'!$C$6:$C$405,F1181,'Istoric_Nativ'!$F$6:$F$405,G1181,'Istoric_Nativ'!$D$6:$D$405,"&lt;"&amp;J1181,'Istoric_Nativ'!$O$6:$O$405,"SOURCE CONFLICT"))</x:f>
        <x:v>0</x:v>
      </x:c>
      <x:c r="T1181" s="2" t="str">
        <x:f>IF(B1181="","",IF(R1181&lt;&gt;"CLOSED",R1181,IF(S1181&gt;0,"NATIVE INPUT ISSUE",IF(M1181=0,"NO HISTORY",IF(M1181&lt;P1181,"SMALL SAMPLE","DERIVED")))))</x:f>
      </x:c>
      <x:c r="U1181" s="2" t="str">
        <x:f>IF(B1181="","","NativeTable; "&amp;E1181&amp;"; "&amp;F1181&amp;"; "&amp;G1181&amp;"; "&amp;H1181&amp;"; before "&amp;TEXT(J1181,"yyyy-mm-dd")&amp;IF(I1181="RECENT","; from "&amp;TEXT(L1181,"yyyy-mm-dd"),""))</x:f>
      </x:c>
    </x:row>
    <x:row r="1182" ht="21" customHeight="1">
      <x:c r="A1182" s="2" t="n">
        <x:v>99</x:v>
      </x:c>
      <x:c r="B1182" s="2" t="str">
        <x:f>IF('Input_Meci'!A104="","",'Input_Meci'!A104)</x:f>
      </x:c>
      <x:c r="C1182" s="2" t="str">
        <x:v>H</x:v>
      </x:c>
      <x:c r="D1182" s="2" t="str">
        <x:v>CURRENT</x:v>
      </x:c>
      <x:c r="E1182" s="2" t="str">
        <x:f>IF(B1182="","",'Input_Meci'!B104)</x:f>
      </x:c>
      <x:c r="F1182" s="2" t="str">
        <x:f>IF(B1182="","",IF('Input_Meci'!C104="","",'Input_Meci'!C104))</x:f>
      </x:c>
      <x:c r="G1182" s="2" t="str">
        <x:f>IF(B1182="","",'Input_Meci'!D104)</x:f>
      </x:c>
      <x:c r="H1182" s="2" t="str">
        <x:v>ANY</x:v>
      </x:c>
      <x:c r="I1182" s="2" t="str">
        <x:v>SEASON</x:v>
      </x:c>
      <x:c r="J1182" s="9" t="n">
        <x:f>IF(AND(B1182&lt;&gt;"",ISNUMBER('Input_Meci'!G104)),INT('Input_Meci'!G104),0)</x:f>
        <x:v>0</x:v>
      </x:c>
      <x:c r="K1182" s="2" t="n">
        <x:f>IF(OR(B1182="",F1182=""),0,IF(H1182="HOME",COUNTIFS('Istoric_Nativ'!$B$6:$B$405,E1182,'Istoric_Nativ'!$C$6:$C$405,F1182,'Istoric_Nativ'!$E$6:$E$405,G1182,'Istoric_Nativ'!$D$6:$D$405,"&lt;"&amp;J1182,'Istoric_Nativ'!$P$6:$P$405,1),IF(H1182="AWAY",COUNTIFS('Istoric_Nativ'!$B$6:$B$405,E1182,'Istoric_Nativ'!$C$6:$C$405,F1182,'Istoric_Nativ'!$F$6:$F$405,G1182,'Istoric_Nativ'!$D$6:$D$405,"&lt;"&amp;J1182,'Istoric_Nativ'!$P$6:$P$405,1),COUNTIFS('Istoric_Nativ'!$B$6:$B$405,E1182,'Istoric_Nativ'!$C$6:$C$405,F1182,'Istoric_Nativ'!$E$6:$E$405,G1182,'Istoric_Nativ'!$D$6:$D$405,"&lt;"&amp;J1182,'Istoric_Nativ'!$P$6:$P$405,1)+COUNTIFS('Istoric_Nativ'!$B$6:$B$405,E1182,'Istoric_Nativ'!$C$6:$C$405,F1182,'Istoric_Nativ'!$F$6:$F$405,G1182,'Istoric_Nativ'!$D$6:$D$405,"&lt;"&amp;J1182,'Istoric_Nativ'!$P$6:$P$405,1))))</x:f>
        <x:v>0</x:v>
      </x:c>
      <x:c r="L1182" s="17" t="n">
        <x:f>IF(AND(B1182&lt;&gt;"",I1182="RECENT",K1182&gt;0),LARGE(_xlfn._xlws.FILTER('Istoric_Nativ'!$D$6:$D$405,('Istoric_Nativ'!$B$6:$B$405=E1182)*('Istoric_Nativ'!$C$6:$C$405=F1182)*('Istoric_Nativ'!$P$6:$P$405=1)*('Istoric_Nativ'!$D$6:$D$405&lt;J1182)*((('Istoric_Nativ'!$E$6:$E$405=G1182)+('Istoric_Nativ'!$F$6:$F$405=G1182))&gt;0)),MIN('Config_v6'!$B$54,K1182)),0)</x:f>
        <x:v>0</x:v>
      </x:c>
      <x:c r="M1182" s="2" t="n">
        <x:f>IF(OR(B1182="",F1182=""),0,IF(H1182="HOME",COUNTIFS('Istoric_Nativ'!$B$6:$B$405,E1182,'Istoric_Nativ'!$C$6:$C$405,F1182,'Istoric_Nativ'!$E$6:$E$405,G1182,'Istoric_Nativ'!$D$6:$D$405,"&lt;"&amp;J1182,'Istoric_Nativ'!$P$6:$P$405,1,'Istoric_Nativ'!$D$6:$D$405,"&gt;="&amp;L1182),IF(H1182="AWAY",COUNTIFS('Istoric_Nativ'!$B$6:$B$405,E1182,'Istoric_Nativ'!$C$6:$C$405,F1182,'Istoric_Nativ'!$F$6:$F$405,G1182,'Istoric_Nativ'!$D$6:$D$405,"&lt;"&amp;J1182,'Istoric_Nativ'!$P$6:$P$405,1,'Istoric_Nativ'!$D$6:$D$405,"&gt;="&amp;L1182),COUNTIFS('Istoric_Nativ'!$B$6:$B$405,E1182,'Istoric_Nativ'!$C$6:$C$405,F1182,'Istoric_Nativ'!$E$6:$E$405,G1182,'Istoric_Nativ'!$D$6:$D$405,"&lt;"&amp;J1182,'Istoric_Nativ'!$P$6:$P$405,1,'Istoric_Nativ'!$D$6:$D$405,"&gt;="&amp;L1182)+COUNTIFS('Istoric_Nativ'!$B$6:$B$405,E1182,'Istoric_Nativ'!$C$6:$C$405,F1182,'Istoric_Nativ'!$F$6:$F$405,G1182,'Istoric_Nativ'!$D$6:$D$405,"&lt;"&amp;J1182,'Istoric_Nativ'!$P$6:$P$405,1,'Istoric_Nativ'!$D$6:$D$405,"&gt;="&amp;L1182))))</x:f>
        <x:v>0</x:v>
      </x:c>
      <x:c r="N1182" s="11" t="str">
        <x:f>IF(M1182=0,"",IF(H1182="HOME",SUMIFS('Istoric_Nativ'!$G$6:$G$405,'Istoric_Nativ'!$B$6:$B$405,E1182,'Istoric_Nativ'!$C$6:$C$405,F1182,'Istoric_Nativ'!$E$6:$E$405,G1182,'Istoric_Nativ'!$D$6:$D$405,"&lt;"&amp;J1182,'Istoric_Nativ'!$P$6:$P$405,1,'Istoric_Nativ'!$D$6:$D$405,"&gt;="&amp;L1182),IF(H1182="AWAY",SUMIFS('Istoric_Nativ'!$H$6:$H$405,'Istoric_Nativ'!$B$6:$B$405,E1182,'Istoric_Nativ'!$C$6:$C$405,F1182,'Istoric_Nativ'!$F$6:$F$405,G1182,'Istoric_Nativ'!$D$6:$D$405,"&lt;"&amp;J1182,'Istoric_Nativ'!$P$6:$P$405,1,'Istoric_Nativ'!$D$6:$D$405,"&gt;="&amp;L1182),SUMIFS('Istoric_Nativ'!$G$6:$G$405,'Istoric_Nativ'!$B$6:$B$405,E1182,'Istoric_Nativ'!$C$6:$C$405,F1182,'Istoric_Nativ'!$E$6:$E$405,G1182,'Istoric_Nativ'!$D$6:$D$405,"&lt;"&amp;J1182,'Istoric_Nativ'!$P$6:$P$405,1,'Istoric_Nativ'!$D$6:$D$405,"&gt;="&amp;L1182)+SUMIFS('Istoric_Nativ'!$H$6:$H$405,'Istoric_Nativ'!$B$6:$B$405,E1182,'Istoric_Nativ'!$C$6:$C$405,F1182,'Istoric_Nativ'!$F$6:$F$405,G1182,'Istoric_Nativ'!$D$6:$D$405,"&lt;"&amp;J1182,'Istoric_Nativ'!$P$6:$P$405,1,'Istoric_Nativ'!$D$6:$D$405,"&gt;="&amp;L1182)))/M1182)</x:f>
      </x:c>
      <x:c r="O1182" s="11" t="str">
        <x:f>IF(M1182=0,"",IF(H1182="HOME",SUMIFS('Istoric_Nativ'!$H$6:$H$405,'Istoric_Nativ'!$B$6:$B$405,E1182,'Istoric_Nativ'!$C$6:$C$405,F1182,'Istoric_Nativ'!$E$6:$E$405,G1182,'Istoric_Nativ'!$D$6:$D$405,"&lt;"&amp;J1182,'Istoric_Nativ'!$P$6:$P$405,1,'Istoric_Nativ'!$D$6:$D$405,"&gt;="&amp;L1182),IF(H1182="AWAY",SUMIFS('Istoric_Nativ'!$G$6:$G$405,'Istoric_Nativ'!$B$6:$B$405,E1182,'Istoric_Nativ'!$C$6:$C$405,F1182,'Istoric_Nativ'!$F$6:$F$405,G1182,'Istoric_Nativ'!$D$6:$D$405,"&lt;"&amp;J1182,'Istoric_Nativ'!$P$6:$P$405,1,'Istoric_Nativ'!$D$6:$D$405,"&gt;="&amp;L1182),SUMIFS('Istoric_Nativ'!$H$6:$H$405,'Istoric_Nativ'!$B$6:$B$405,E1182,'Istoric_Nativ'!$C$6:$C$405,F1182,'Istoric_Nativ'!$E$6:$E$405,G1182,'Istoric_Nativ'!$D$6:$D$405,"&lt;"&amp;J1182,'Istoric_Nativ'!$P$6:$P$405,1,'Istoric_Nativ'!$D$6:$D$405,"&gt;="&amp;L1182)+SUMIFS('Istoric_Nativ'!$G$6:$G$405,'Istoric_Nativ'!$B$6:$B$405,E1182,'Istoric_Nativ'!$C$6:$C$405,F1182,'Istoric_Nativ'!$F$6:$F$405,G1182,'Istoric_Nativ'!$D$6:$D$405,"&lt;"&amp;J1182,'Istoric_Nativ'!$P$6:$P$405,1,'Istoric_Nativ'!$D$6:$D$405,"&gt;="&amp;L1182)))/M1182)</x:f>
      </x:c>
      <x:c r="P1182" s="2" t="n">
        <x:f>'Config_v6'!$B$7</x:f>
        <x:v>10</x:v>
      </x:c>
      <x:c r="Q1182" s="2" t="n">
        <x:f>IF(OR(B1182="",F1182=""),0,IFERROR(MATCH(E1182&amp;"|"&amp;F1182,SourceTable[Source_Key],0),0))</x:f>
        <x:v>0</x:v>
      </x:c>
      <x:c r="R1182" s="2" t="str">
        <x:f>IF(B1182="","",IF(F1182="","UNUSED",IF(Q1182=0,"NOT CHECKED",IF(COUNTIF(SourceTable[Source_Key],E1182&amp;"|"&amp;F1182)&lt;&gt;1,"SOURCE CONFLICT",IF(NOT(OR(INDEX(SourceTable[Status],MAX(1,Q1182))="IMPORTED",INDEX(SourceTable[Status],MAX(1,Q1182))="PARTIAL",INDEX(SourceTable[Status],MAX(1,Q1182))="SOURCE CONFLICT")),"ACCESS BLOCKED",IF(OR(INDEX(SourceTable[Coverage],Q1182)&lt;&gt;"FULL SEASON EXPORT",INDEX(SourceTable[URL],Q1182)="",INDEX(SourceTable[SHA256],Q1182)=""),"EVIDENCE INCOMPLETE",IF(AND('Input_Meci'!H104="LIVE",INDEX(SourceTable[Retrieved_UTC],Q1182)&gt;'Input_Meci'!G104),"POST CUTOFF","CLOSED")))))))</x:f>
      </x:c>
      <x:c r="S1182" s="2" t="n">
        <x:f>IF(OR(B1182="",F1182=""),0,COUNTIFS('Istoric_Nativ'!$B$6:$B$405,E1182,'Istoric_Nativ'!$C$6:$C$405,F1182,'Istoric_Nativ'!$E$6:$E$405,G1182,'Istoric_Nativ'!$D$6:$D$405,"&lt;"&amp;J1182,'Istoric_Nativ'!$O$6:$O$405,"INVALID")+COUNTIFS('Istoric_Nativ'!$B$6:$B$405,E1182,'Istoric_Nativ'!$C$6:$C$405,F1182,'Istoric_Nativ'!$E$6:$E$405,G1182,'Istoric_Nativ'!$O$6:$O$405,"INVALID",'Istoric_Nativ'!$D$6:$D$405,"*")+COUNTIFS('Istoric_Nativ'!$B$6:$B$405,E1182,'Istoric_Nativ'!$C$6:$C$405,F1182,'Istoric_Nativ'!$E$6:$E$405,G1182,'Istoric_Nativ'!$D$6:$D$405,"&lt;"&amp;J1182,'Istoric_Nativ'!$O$6:$O$405,"SOURCE CONFLICT")+COUNTIFS('Istoric_Nativ'!$B$6:$B$405,E1182,'Istoric_Nativ'!$C$6:$C$405,F1182,'Istoric_Nativ'!$F$6:$F$405,G1182,'Istoric_Nativ'!$D$6:$D$405,"&lt;"&amp;J1182,'Istoric_Nativ'!$O$6:$O$405,"INVALID")+COUNTIFS('Istoric_Nativ'!$B$6:$B$405,E1182,'Istoric_Nativ'!$C$6:$C$405,F1182,'Istoric_Nativ'!$F$6:$F$405,G1182,'Istoric_Nativ'!$O$6:$O$405,"INVALID",'Istoric_Nativ'!$D$6:$D$405,"*")+COUNTIFS('Istoric_Nativ'!$B$6:$B$405,E1182,'Istoric_Nativ'!$C$6:$C$405,F1182,'Istoric_Nativ'!$F$6:$F$405,G1182,'Istoric_Nativ'!$D$6:$D$405,"&lt;"&amp;J1182,'Istoric_Nativ'!$O$6:$O$405,"SOURCE CONFLICT"))</x:f>
        <x:v>0</x:v>
      </x:c>
      <x:c r="T1182" s="2" t="str">
        <x:f>IF(B1182="","",IF(R1182&lt;&gt;"CLOSED",R1182,IF(S1182&gt;0,"NATIVE INPUT ISSUE",IF(M1182=0,"NO HISTORY",IF(M1182&lt;P1182,"SMALL SAMPLE","DERIVED")))))</x:f>
      </x:c>
      <x:c r="U1182" s="2" t="str">
        <x:f>IF(B1182="","","NativeTable; "&amp;E1182&amp;"; "&amp;F1182&amp;"; "&amp;G1182&amp;"; "&amp;H1182&amp;"; before "&amp;TEXT(J1182,"yyyy-mm-dd")&amp;IF(I1182="RECENT","; from "&amp;TEXT(L1182,"yyyy-mm-dd"),""))</x:f>
      </x:c>
    </x:row>
    <x:row r="1183" ht="21" customHeight="1">
      <x:c r="A1183" s="2" t="n">
        <x:v>99</x:v>
      </x:c>
      <x:c r="B1183" s="2" t="str">
        <x:f>IF('Input_Meci'!A104="","",'Input_Meci'!A104)</x:f>
      </x:c>
      <x:c r="C1183" s="2" t="str">
        <x:v>H</x:v>
      </x:c>
      <x:c r="D1183" s="2" t="str">
        <x:v>CURRENT</x:v>
      </x:c>
      <x:c r="E1183" s="2" t="str">
        <x:f>IF(B1183="","",'Input_Meci'!B104)</x:f>
      </x:c>
      <x:c r="F1183" s="2" t="str">
        <x:f>IF(B1183="","",IF('Input_Meci'!C104="","",'Input_Meci'!C104))</x:f>
      </x:c>
      <x:c r="G1183" s="2" t="str">
        <x:f>IF(B1183="","",'Input_Meci'!D104)</x:f>
      </x:c>
      <x:c r="H1183" s="2" t="str">
        <x:v>HOME</x:v>
      </x:c>
      <x:c r="I1183" s="2" t="str">
        <x:v>HA</x:v>
      </x:c>
      <x:c r="J1183" s="9" t="n">
        <x:f>IF(AND(B1183&lt;&gt;"",ISNUMBER('Input_Meci'!G104)),INT('Input_Meci'!G104),0)</x:f>
        <x:v>0</x:v>
      </x:c>
      <x:c r="K1183" s="2" t="n">
        <x:f>IF(OR(B1183="",F1183=""),0,IF(H1183="HOME",COUNTIFS('Istoric_Nativ'!$B$6:$B$405,E1183,'Istoric_Nativ'!$C$6:$C$405,F1183,'Istoric_Nativ'!$E$6:$E$405,G1183,'Istoric_Nativ'!$D$6:$D$405,"&lt;"&amp;J1183,'Istoric_Nativ'!$P$6:$P$405,1),IF(H1183="AWAY",COUNTIFS('Istoric_Nativ'!$B$6:$B$405,E1183,'Istoric_Nativ'!$C$6:$C$405,F1183,'Istoric_Nativ'!$F$6:$F$405,G1183,'Istoric_Nativ'!$D$6:$D$405,"&lt;"&amp;J1183,'Istoric_Nativ'!$P$6:$P$405,1),COUNTIFS('Istoric_Nativ'!$B$6:$B$405,E1183,'Istoric_Nativ'!$C$6:$C$405,F1183,'Istoric_Nativ'!$E$6:$E$405,G1183,'Istoric_Nativ'!$D$6:$D$405,"&lt;"&amp;J1183,'Istoric_Nativ'!$P$6:$P$405,1)+COUNTIFS('Istoric_Nativ'!$B$6:$B$405,E1183,'Istoric_Nativ'!$C$6:$C$405,F1183,'Istoric_Nativ'!$F$6:$F$405,G1183,'Istoric_Nativ'!$D$6:$D$405,"&lt;"&amp;J1183,'Istoric_Nativ'!$P$6:$P$405,1))))</x:f>
        <x:v>0</x:v>
      </x:c>
      <x:c r="L1183" s="17" t="n">
        <x:f>IF(AND(B1183&lt;&gt;"",I1183="RECENT",K1183&gt;0),LARGE(_xlfn._xlws.FILTER('Istoric_Nativ'!$D$6:$D$405,('Istoric_Nativ'!$B$6:$B$405=E1183)*('Istoric_Nativ'!$C$6:$C$405=F1183)*('Istoric_Nativ'!$P$6:$P$405=1)*('Istoric_Nativ'!$D$6:$D$405&lt;J1183)*((('Istoric_Nativ'!$E$6:$E$405=G1183)+('Istoric_Nativ'!$F$6:$F$405=G1183))&gt;0)),MIN('Config_v6'!$B$54,K1183)),0)</x:f>
        <x:v>0</x:v>
      </x:c>
      <x:c r="M1183" s="2" t="n">
        <x:f>IF(OR(B1183="",F1183=""),0,IF(H1183="HOME",COUNTIFS('Istoric_Nativ'!$B$6:$B$405,E1183,'Istoric_Nativ'!$C$6:$C$405,F1183,'Istoric_Nativ'!$E$6:$E$405,G1183,'Istoric_Nativ'!$D$6:$D$405,"&lt;"&amp;J1183,'Istoric_Nativ'!$P$6:$P$405,1,'Istoric_Nativ'!$D$6:$D$405,"&gt;="&amp;L1183),IF(H1183="AWAY",COUNTIFS('Istoric_Nativ'!$B$6:$B$405,E1183,'Istoric_Nativ'!$C$6:$C$405,F1183,'Istoric_Nativ'!$F$6:$F$405,G1183,'Istoric_Nativ'!$D$6:$D$405,"&lt;"&amp;J1183,'Istoric_Nativ'!$P$6:$P$405,1,'Istoric_Nativ'!$D$6:$D$405,"&gt;="&amp;L1183),COUNTIFS('Istoric_Nativ'!$B$6:$B$405,E1183,'Istoric_Nativ'!$C$6:$C$405,F1183,'Istoric_Nativ'!$E$6:$E$405,G1183,'Istoric_Nativ'!$D$6:$D$405,"&lt;"&amp;J1183,'Istoric_Nativ'!$P$6:$P$405,1,'Istoric_Nativ'!$D$6:$D$405,"&gt;="&amp;L1183)+COUNTIFS('Istoric_Nativ'!$B$6:$B$405,E1183,'Istoric_Nativ'!$C$6:$C$405,F1183,'Istoric_Nativ'!$F$6:$F$405,G1183,'Istoric_Nativ'!$D$6:$D$405,"&lt;"&amp;J1183,'Istoric_Nativ'!$P$6:$P$405,1,'Istoric_Nativ'!$D$6:$D$405,"&gt;="&amp;L1183))))</x:f>
        <x:v>0</x:v>
      </x:c>
      <x:c r="N1183" s="11" t="str">
        <x:f>IF(M1183=0,"",IF(H1183="HOME",SUMIFS('Istoric_Nativ'!$G$6:$G$405,'Istoric_Nativ'!$B$6:$B$405,E1183,'Istoric_Nativ'!$C$6:$C$405,F1183,'Istoric_Nativ'!$E$6:$E$405,G1183,'Istoric_Nativ'!$D$6:$D$405,"&lt;"&amp;J1183,'Istoric_Nativ'!$P$6:$P$405,1,'Istoric_Nativ'!$D$6:$D$405,"&gt;="&amp;L1183),IF(H1183="AWAY",SUMIFS('Istoric_Nativ'!$H$6:$H$405,'Istoric_Nativ'!$B$6:$B$405,E1183,'Istoric_Nativ'!$C$6:$C$405,F1183,'Istoric_Nativ'!$F$6:$F$405,G1183,'Istoric_Nativ'!$D$6:$D$405,"&lt;"&amp;J1183,'Istoric_Nativ'!$P$6:$P$405,1,'Istoric_Nativ'!$D$6:$D$405,"&gt;="&amp;L1183),SUMIFS('Istoric_Nativ'!$G$6:$G$405,'Istoric_Nativ'!$B$6:$B$405,E1183,'Istoric_Nativ'!$C$6:$C$405,F1183,'Istoric_Nativ'!$E$6:$E$405,G1183,'Istoric_Nativ'!$D$6:$D$405,"&lt;"&amp;J1183,'Istoric_Nativ'!$P$6:$P$405,1,'Istoric_Nativ'!$D$6:$D$405,"&gt;="&amp;L1183)+SUMIFS('Istoric_Nativ'!$H$6:$H$405,'Istoric_Nativ'!$B$6:$B$405,E1183,'Istoric_Nativ'!$C$6:$C$405,F1183,'Istoric_Nativ'!$F$6:$F$405,G1183,'Istoric_Nativ'!$D$6:$D$405,"&lt;"&amp;J1183,'Istoric_Nativ'!$P$6:$P$405,1,'Istoric_Nativ'!$D$6:$D$405,"&gt;="&amp;L1183)))/M1183)</x:f>
      </x:c>
      <x:c r="O1183" s="11" t="str">
        <x:f>IF(M1183=0,"",IF(H1183="HOME",SUMIFS('Istoric_Nativ'!$H$6:$H$405,'Istoric_Nativ'!$B$6:$B$405,E1183,'Istoric_Nativ'!$C$6:$C$405,F1183,'Istoric_Nativ'!$E$6:$E$405,G1183,'Istoric_Nativ'!$D$6:$D$405,"&lt;"&amp;J1183,'Istoric_Nativ'!$P$6:$P$405,1,'Istoric_Nativ'!$D$6:$D$405,"&gt;="&amp;L1183),IF(H1183="AWAY",SUMIFS('Istoric_Nativ'!$G$6:$G$405,'Istoric_Nativ'!$B$6:$B$405,E1183,'Istoric_Nativ'!$C$6:$C$405,F1183,'Istoric_Nativ'!$F$6:$F$405,G1183,'Istoric_Nativ'!$D$6:$D$405,"&lt;"&amp;J1183,'Istoric_Nativ'!$P$6:$P$405,1,'Istoric_Nativ'!$D$6:$D$405,"&gt;="&amp;L1183),SUMIFS('Istoric_Nativ'!$H$6:$H$405,'Istoric_Nativ'!$B$6:$B$405,E1183,'Istoric_Nativ'!$C$6:$C$405,F1183,'Istoric_Nativ'!$E$6:$E$405,G1183,'Istoric_Nativ'!$D$6:$D$405,"&lt;"&amp;J1183,'Istoric_Nativ'!$P$6:$P$405,1,'Istoric_Nativ'!$D$6:$D$405,"&gt;="&amp;L1183)+SUMIFS('Istoric_Nativ'!$G$6:$G$405,'Istoric_Nativ'!$B$6:$B$405,E1183,'Istoric_Nativ'!$C$6:$C$405,F1183,'Istoric_Nativ'!$F$6:$F$405,G1183,'Istoric_Nativ'!$D$6:$D$405,"&lt;"&amp;J1183,'Istoric_Nativ'!$P$6:$P$405,1,'Istoric_Nativ'!$D$6:$D$405,"&gt;="&amp;L1183)))/M1183)</x:f>
      </x:c>
      <x:c r="P1183" s="2" t="n">
        <x:f>'Config_v6'!$B$8</x:f>
        <x:v>5</x:v>
      </x:c>
      <x:c r="Q1183" s="2" t="n">
        <x:f>IF(OR(B1183="",F1183=""),0,IFERROR(MATCH(E1183&amp;"|"&amp;F1183,SourceTable[Source_Key],0),0))</x:f>
        <x:v>0</x:v>
      </x:c>
      <x:c r="R1183" s="2" t="str">
        <x:f>IF(B1183="","",IF(F1183="","UNUSED",IF(Q1183=0,"NOT CHECKED",IF(COUNTIF(SourceTable[Source_Key],E1183&amp;"|"&amp;F1183)&lt;&gt;1,"SOURCE CONFLICT",IF(NOT(OR(INDEX(SourceTable[Status],MAX(1,Q1183))="IMPORTED",INDEX(SourceTable[Status],MAX(1,Q1183))="PARTIAL",INDEX(SourceTable[Status],MAX(1,Q1183))="SOURCE CONFLICT")),"ACCESS BLOCKED",IF(OR(INDEX(SourceTable[Coverage],Q1183)&lt;&gt;"FULL SEASON EXPORT",INDEX(SourceTable[URL],Q1183)="",INDEX(SourceTable[SHA256],Q1183)=""),"EVIDENCE INCOMPLETE",IF(AND('Input_Meci'!H104="LIVE",INDEX(SourceTable[Retrieved_UTC],Q1183)&gt;'Input_Meci'!G104),"POST CUTOFF","CLOSED")))))))</x:f>
      </x:c>
      <x:c r="S1183" s="2" t="n">
        <x:f>IF(OR(B1183="",F1183=""),0,COUNTIFS('Istoric_Nativ'!$B$6:$B$405,E1183,'Istoric_Nativ'!$C$6:$C$405,F1183,'Istoric_Nativ'!$E$6:$E$405,G1183,'Istoric_Nativ'!$D$6:$D$405,"&lt;"&amp;J1183,'Istoric_Nativ'!$O$6:$O$405,"INVALID")+COUNTIFS('Istoric_Nativ'!$B$6:$B$405,E1183,'Istoric_Nativ'!$C$6:$C$405,F1183,'Istoric_Nativ'!$E$6:$E$405,G1183,'Istoric_Nativ'!$O$6:$O$405,"INVALID",'Istoric_Nativ'!$D$6:$D$405,"*")+COUNTIFS('Istoric_Nativ'!$B$6:$B$405,E1183,'Istoric_Nativ'!$C$6:$C$405,F1183,'Istoric_Nativ'!$E$6:$E$405,G1183,'Istoric_Nativ'!$D$6:$D$405,"&lt;"&amp;J1183,'Istoric_Nativ'!$O$6:$O$405,"SOURCE CONFLICT")+COUNTIFS('Istoric_Nativ'!$B$6:$B$405,E1183,'Istoric_Nativ'!$C$6:$C$405,F1183,'Istoric_Nativ'!$F$6:$F$405,G1183,'Istoric_Nativ'!$D$6:$D$405,"&lt;"&amp;J1183,'Istoric_Nativ'!$O$6:$O$405,"INVALID")+COUNTIFS('Istoric_Nativ'!$B$6:$B$405,E1183,'Istoric_Nativ'!$C$6:$C$405,F1183,'Istoric_Nativ'!$F$6:$F$405,G1183,'Istoric_Nativ'!$O$6:$O$405,"INVALID",'Istoric_Nativ'!$D$6:$D$405,"*")+COUNTIFS('Istoric_Nativ'!$B$6:$B$405,E1183,'Istoric_Nativ'!$C$6:$C$405,F1183,'Istoric_Nativ'!$F$6:$F$405,G1183,'Istoric_Nativ'!$D$6:$D$405,"&lt;"&amp;J1183,'Istoric_Nativ'!$O$6:$O$405,"SOURCE CONFLICT"))</x:f>
        <x:v>0</x:v>
      </x:c>
      <x:c r="T1183" s="2" t="str">
        <x:f>IF(B1183="","",IF(R1183&lt;&gt;"CLOSED",R1183,IF(S1183&gt;0,"NATIVE INPUT ISSUE",IF(M1183=0,"NO HISTORY",IF(M1183&lt;P1183,"SMALL SAMPLE","DERIVED")))))</x:f>
      </x:c>
      <x:c r="U1183" s="2" t="str">
        <x:f>IF(B1183="","","NativeTable; "&amp;E1183&amp;"; "&amp;F1183&amp;"; "&amp;G1183&amp;"; "&amp;H1183&amp;"; before "&amp;TEXT(J1183,"yyyy-mm-dd")&amp;IF(I1183="RECENT","; from "&amp;TEXT(L1183,"yyyy-mm-dd"),""))</x:f>
      </x:c>
    </x:row>
    <x:row r="1184" ht="21" customHeight="1">
      <x:c r="A1184" s="2" t="n">
        <x:v>99</x:v>
      </x:c>
      <x:c r="B1184" s="2" t="str">
        <x:f>IF('Input_Meci'!A104="","",'Input_Meci'!A104)</x:f>
      </x:c>
      <x:c r="C1184" s="2" t="str">
        <x:v>H</x:v>
      </x:c>
      <x:c r="D1184" s="2" t="str">
        <x:v>CURRENT</x:v>
      </x:c>
      <x:c r="E1184" s="2" t="str">
        <x:f>IF(B1184="","",'Input_Meci'!B104)</x:f>
      </x:c>
      <x:c r="F1184" s="2" t="str">
        <x:f>IF(B1184="","",IF('Input_Meci'!C104="","",'Input_Meci'!C104))</x:f>
      </x:c>
      <x:c r="G1184" s="2" t="str">
        <x:f>IF(B1184="","",'Input_Meci'!D104)</x:f>
      </x:c>
      <x:c r="H1184" s="2" t="str">
        <x:v>ANY</x:v>
      </x:c>
      <x:c r="I1184" s="2" t="str">
        <x:v>RECENT</x:v>
      </x:c>
      <x:c r="J1184" s="9" t="n">
        <x:f>IF(AND(B1184&lt;&gt;"",ISNUMBER('Input_Meci'!G104)),INT('Input_Meci'!G104),0)</x:f>
        <x:v>0</x:v>
      </x:c>
      <x:c r="K1184" s="2" t="n">
        <x:f>IF(OR(B1184="",F1184=""),0,IF(H1184="HOME",COUNTIFS('Istoric_Nativ'!$B$6:$B$405,E1184,'Istoric_Nativ'!$C$6:$C$405,F1184,'Istoric_Nativ'!$E$6:$E$405,G1184,'Istoric_Nativ'!$D$6:$D$405,"&lt;"&amp;J1184,'Istoric_Nativ'!$P$6:$P$405,1),IF(H1184="AWAY",COUNTIFS('Istoric_Nativ'!$B$6:$B$405,E1184,'Istoric_Nativ'!$C$6:$C$405,F1184,'Istoric_Nativ'!$F$6:$F$405,G1184,'Istoric_Nativ'!$D$6:$D$405,"&lt;"&amp;J1184,'Istoric_Nativ'!$P$6:$P$405,1),COUNTIFS('Istoric_Nativ'!$B$6:$B$405,E1184,'Istoric_Nativ'!$C$6:$C$405,F1184,'Istoric_Nativ'!$E$6:$E$405,G1184,'Istoric_Nativ'!$D$6:$D$405,"&lt;"&amp;J1184,'Istoric_Nativ'!$P$6:$P$405,1)+COUNTIFS('Istoric_Nativ'!$B$6:$B$405,E1184,'Istoric_Nativ'!$C$6:$C$405,F1184,'Istoric_Nativ'!$F$6:$F$405,G1184,'Istoric_Nativ'!$D$6:$D$405,"&lt;"&amp;J1184,'Istoric_Nativ'!$P$6:$P$405,1))))</x:f>
        <x:v>0</x:v>
      </x:c>
      <x:c r="L1184" s="17" t="n">
        <x:f>IF(AND(B1184&lt;&gt;"",I1184="RECENT",K1184&gt;0),LARGE(_xlfn._xlws.FILTER('Istoric_Nativ'!$D$6:$D$405,('Istoric_Nativ'!$B$6:$B$405=E1184)*('Istoric_Nativ'!$C$6:$C$405=F1184)*('Istoric_Nativ'!$P$6:$P$405=1)*('Istoric_Nativ'!$D$6:$D$405&lt;J1184)*((('Istoric_Nativ'!$E$6:$E$405=G1184)+('Istoric_Nativ'!$F$6:$F$405=G1184))&gt;0)),MIN('Config_v6'!$B$54,K1184)),0)</x:f>
        <x:v>0</x:v>
      </x:c>
      <x:c r="M1184" s="2" t="n">
        <x:f>IF(OR(B1184="",F1184=""),0,IF(H1184="HOME",COUNTIFS('Istoric_Nativ'!$B$6:$B$405,E1184,'Istoric_Nativ'!$C$6:$C$405,F1184,'Istoric_Nativ'!$E$6:$E$405,G1184,'Istoric_Nativ'!$D$6:$D$405,"&lt;"&amp;J1184,'Istoric_Nativ'!$P$6:$P$405,1,'Istoric_Nativ'!$D$6:$D$405,"&gt;="&amp;L1184),IF(H1184="AWAY",COUNTIFS('Istoric_Nativ'!$B$6:$B$405,E1184,'Istoric_Nativ'!$C$6:$C$405,F1184,'Istoric_Nativ'!$F$6:$F$405,G1184,'Istoric_Nativ'!$D$6:$D$405,"&lt;"&amp;J1184,'Istoric_Nativ'!$P$6:$P$405,1,'Istoric_Nativ'!$D$6:$D$405,"&gt;="&amp;L1184),COUNTIFS('Istoric_Nativ'!$B$6:$B$405,E1184,'Istoric_Nativ'!$C$6:$C$405,F1184,'Istoric_Nativ'!$E$6:$E$405,G1184,'Istoric_Nativ'!$D$6:$D$405,"&lt;"&amp;J1184,'Istoric_Nativ'!$P$6:$P$405,1,'Istoric_Nativ'!$D$6:$D$405,"&gt;="&amp;L1184)+COUNTIFS('Istoric_Nativ'!$B$6:$B$405,E1184,'Istoric_Nativ'!$C$6:$C$405,F1184,'Istoric_Nativ'!$F$6:$F$405,G1184,'Istoric_Nativ'!$D$6:$D$405,"&lt;"&amp;J1184,'Istoric_Nativ'!$P$6:$P$405,1,'Istoric_Nativ'!$D$6:$D$405,"&gt;="&amp;L1184))))</x:f>
        <x:v>0</x:v>
      </x:c>
      <x:c r="N1184" s="11" t="str">
        <x:f>IF(M1184=0,"",IF(H1184="HOME",SUMIFS('Istoric_Nativ'!$G$6:$G$405,'Istoric_Nativ'!$B$6:$B$405,E1184,'Istoric_Nativ'!$C$6:$C$405,F1184,'Istoric_Nativ'!$E$6:$E$405,G1184,'Istoric_Nativ'!$D$6:$D$405,"&lt;"&amp;J1184,'Istoric_Nativ'!$P$6:$P$405,1,'Istoric_Nativ'!$D$6:$D$405,"&gt;="&amp;L1184),IF(H1184="AWAY",SUMIFS('Istoric_Nativ'!$H$6:$H$405,'Istoric_Nativ'!$B$6:$B$405,E1184,'Istoric_Nativ'!$C$6:$C$405,F1184,'Istoric_Nativ'!$F$6:$F$405,G1184,'Istoric_Nativ'!$D$6:$D$405,"&lt;"&amp;J1184,'Istoric_Nativ'!$P$6:$P$405,1,'Istoric_Nativ'!$D$6:$D$405,"&gt;="&amp;L1184),SUMIFS('Istoric_Nativ'!$G$6:$G$405,'Istoric_Nativ'!$B$6:$B$405,E1184,'Istoric_Nativ'!$C$6:$C$405,F1184,'Istoric_Nativ'!$E$6:$E$405,G1184,'Istoric_Nativ'!$D$6:$D$405,"&lt;"&amp;J1184,'Istoric_Nativ'!$P$6:$P$405,1,'Istoric_Nativ'!$D$6:$D$405,"&gt;="&amp;L1184)+SUMIFS('Istoric_Nativ'!$H$6:$H$405,'Istoric_Nativ'!$B$6:$B$405,E1184,'Istoric_Nativ'!$C$6:$C$405,F1184,'Istoric_Nativ'!$F$6:$F$405,G1184,'Istoric_Nativ'!$D$6:$D$405,"&lt;"&amp;J1184,'Istoric_Nativ'!$P$6:$P$405,1,'Istoric_Nativ'!$D$6:$D$405,"&gt;="&amp;L1184)))/M1184)</x:f>
      </x:c>
      <x:c r="O1184" s="11" t="str">
        <x:f>IF(M1184=0,"",IF(H1184="HOME",SUMIFS('Istoric_Nativ'!$H$6:$H$405,'Istoric_Nativ'!$B$6:$B$405,E1184,'Istoric_Nativ'!$C$6:$C$405,F1184,'Istoric_Nativ'!$E$6:$E$405,G1184,'Istoric_Nativ'!$D$6:$D$405,"&lt;"&amp;J1184,'Istoric_Nativ'!$P$6:$P$405,1,'Istoric_Nativ'!$D$6:$D$405,"&gt;="&amp;L1184),IF(H1184="AWAY",SUMIFS('Istoric_Nativ'!$G$6:$G$405,'Istoric_Nativ'!$B$6:$B$405,E1184,'Istoric_Nativ'!$C$6:$C$405,F1184,'Istoric_Nativ'!$F$6:$F$405,G1184,'Istoric_Nativ'!$D$6:$D$405,"&lt;"&amp;J1184,'Istoric_Nativ'!$P$6:$P$405,1,'Istoric_Nativ'!$D$6:$D$405,"&gt;="&amp;L1184),SUMIFS('Istoric_Nativ'!$H$6:$H$405,'Istoric_Nativ'!$B$6:$B$405,E1184,'Istoric_Nativ'!$C$6:$C$405,F1184,'Istoric_Nativ'!$E$6:$E$405,G1184,'Istoric_Nativ'!$D$6:$D$405,"&lt;"&amp;J1184,'Istoric_Nativ'!$P$6:$P$405,1,'Istoric_Nativ'!$D$6:$D$405,"&gt;="&amp;L1184)+SUMIFS('Istoric_Nativ'!$G$6:$G$405,'Istoric_Nativ'!$B$6:$B$405,E1184,'Istoric_Nativ'!$C$6:$C$405,F1184,'Istoric_Nativ'!$F$6:$F$405,G1184,'Istoric_Nativ'!$D$6:$D$405,"&lt;"&amp;J1184,'Istoric_Nativ'!$P$6:$P$405,1,'Istoric_Nativ'!$D$6:$D$405,"&gt;="&amp;L1184)))/M1184)</x:f>
      </x:c>
      <x:c r="P1184" s="2" t="n">
        <x:f>'Config_v6'!$B$9</x:f>
        <x:v>3</x:v>
      </x:c>
      <x:c r="Q1184" s="2" t="n">
        <x:f>IF(OR(B1184="",F1184=""),0,IFERROR(MATCH(E1184&amp;"|"&amp;F1184,SourceTable[Source_Key],0),0))</x:f>
        <x:v>0</x:v>
      </x:c>
      <x:c r="R1184" s="2" t="str">
        <x:f>IF(B1184="","",IF(F1184="","UNUSED",IF(Q1184=0,"NOT CHECKED",IF(COUNTIF(SourceTable[Source_Key],E1184&amp;"|"&amp;F1184)&lt;&gt;1,"SOURCE CONFLICT",IF(NOT(OR(INDEX(SourceTable[Status],MAX(1,Q1184))="IMPORTED",INDEX(SourceTable[Status],MAX(1,Q1184))="PARTIAL",INDEX(SourceTable[Status],MAX(1,Q1184))="SOURCE CONFLICT")),"ACCESS BLOCKED",IF(OR(INDEX(SourceTable[Coverage],Q1184)&lt;&gt;"FULL SEASON EXPORT",INDEX(SourceTable[URL],Q1184)="",INDEX(SourceTable[SHA256],Q1184)=""),"EVIDENCE INCOMPLETE",IF(AND('Input_Meci'!H104="LIVE",INDEX(SourceTable[Retrieved_UTC],Q1184)&gt;'Input_Meci'!G104),"POST CUTOFF","CLOSED")))))))</x:f>
      </x:c>
      <x:c r="S1184" s="2" t="n">
        <x:f>IF(OR(B1184="",F1184=""),0,COUNTIFS('Istoric_Nativ'!$B$6:$B$405,E1184,'Istoric_Nativ'!$C$6:$C$405,F1184,'Istoric_Nativ'!$E$6:$E$405,G1184,'Istoric_Nativ'!$D$6:$D$405,"&lt;"&amp;J1184,'Istoric_Nativ'!$O$6:$O$405,"INVALID")+COUNTIFS('Istoric_Nativ'!$B$6:$B$405,E1184,'Istoric_Nativ'!$C$6:$C$405,F1184,'Istoric_Nativ'!$E$6:$E$405,G1184,'Istoric_Nativ'!$O$6:$O$405,"INVALID",'Istoric_Nativ'!$D$6:$D$405,"*")+COUNTIFS('Istoric_Nativ'!$B$6:$B$405,E1184,'Istoric_Nativ'!$C$6:$C$405,F1184,'Istoric_Nativ'!$E$6:$E$405,G1184,'Istoric_Nativ'!$D$6:$D$405,"&lt;"&amp;J1184,'Istoric_Nativ'!$O$6:$O$405,"SOURCE CONFLICT")+COUNTIFS('Istoric_Nativ'!$B$6:$B$405,E1184,'Istoric_Nativ'!$C$6:$C$405,F1184,'Istoric_Nativ'!$F$6:$F$405,G1184,'Istoric_Nativ'!$D$6:$D$405,"&lt;"&amp;J1184,'Istoric_Nativ'!$O$6:$O$405,"INVALID")+COUNTIFS('Istoric_Nativ'!$B$6:$B$405,E1184,'Istoric_Nativ'!$C$6:$C$405,F1184,'Istoric_Nativ'!$F$6:$F$405,G1184,'Istoric_Nativ'!$O$6:$O$405,"INVALID",'Istoric_Nativ'!$D$6:$D$405,"*")+COUNTIFS('Istoric_Nativ'!$B$6:$B$405,E1184,'Istoric_Nativ'!$C$6:$C$405,F1184,'Istoric_Nativ'!$F$6:$F$405,G1184,'Istoric_Nativ'!$D$6:$D$405,"&lt;"&amp;J1184,'Istoric_Nativ'!$O$6:$O$405,"SOURCE CONFLICT"))</x:f>
        <x:v>0</x:v>
      </x:c>
      <x:c r="T1184" s="2" t="str">
        <x:f>IF(B1184="","",IF(R1184&lt;&gt;"CLOSED",R1184,IF(S1184&gt;0,"NATIVE INPUT ISSUE",IF(M1184=0,"NO HISTORY",IF(M1184&lt;P1184,"SMALL SAMPLE","DERIVED")))))</x:f>
      </x:c>
      <x:c r="U1184" s="2" t="str">
        <x:f>IF(B1184="","","NativeTable; "&amp;E1184&amp;"; "&amp;F1184&amp;"; "&amp;G1184&amp;"; "&amp;H1184&amp;"; before "&amp;TEXT(J1184,"yyyy-mm-dd")&amp;IF(I1184="RECENT","; from "&amp;TEXT(L1184,"yyyy-mm-dd"),""))</x:f>
      </x:c>
    </x:row>
    <x:row r="1185" ht="21" customHeight="1">
      <x:c r="A1185" s="2" t="n">
        <x:v>99</x:v>
      </x:c>
      <x:c r="B1185" s="2" t="str">
        <x:f>IF('Input_Meci'!A104="","",'Input_Meci'!A104)</x:f>
      </x:c>
      <x:c r="C1185" s="2" t="str">
        <x:v>A</x:v>
      </x:c>
      <x:c r="D1185" s="2" t="str">
        <x:v>CURRENT</x:v>
      </x:c>
      <x:c r="E1185" s="2" t="str">
        <x:f>IF(B1185="","",'Input_Meci'!B104)</x:f>
      </x:c>
      <x:c r="F1185" s="2" t="str">
        <x:f>IF(B1185="","",IF('Input_Meci'!C104="","",'Input_Meci'!C104))</x:f>
      </x:c>
      <x:c r="G1185" s="2" t="str">
        <x:f>IF(B1185="","",'Input_Meci'!E104)</x:f>
      </x:c>
      <x:c r="H1185" s="2" t="str">
        <x:v>ANY</x:v>
      </x:c>
      <x:c r="I1185" s="2" t="str">
        <x:v>SEASON</x:v>
      </x:c>
      <x:c r="J1185" s="9" t="n">
        <x:f>IF(AND(B1185&lt;&gt;"",ISNUMBER('Input_Meci'!G104)),INT('Input_Meci'!G104),0)</x:f>
        <x:v>0</x:v>
      </x:c>
      <x:c r="K1185" s="2" t="n">
        <x:f>IF(OR(B1185="",F1185=""),0,IF(H1185="HOME",COUNTIFS('Istoric_Nativ'!$B$6:$B$405,E1185,'Istoric_Nativ'!$C$6:$C$405,F1185,'Istoric_Nativ'!$E$6:$E$405,G1185,'Istoric_Nativ'!$D$6:$D$405,"&lt;"&amp;J1185,'Istoric_Nativ'!$P$6:$P$405,1),IF(H1185="AWAY",COUNTIFS('Istoric_Nativ'!$B$6:$B$405,E1185,'Istoric_Nativ'!$C$6:$C$405,F1185,'Istoric_Nativ'!$F$6:$F$405,G1185,'Istoric_Nativ'!$D$6:$D$405,"&lt;"&amp;J1185,'Istoric_Nativ'!$P$6:$P$405,1),COUNTIFS('Istoric_Nativ'!$B$6:$B$405,E1185,'Istoric_Nativ'!$C$6:$C$405,F1185,'Istoric_Nativ'!$E$6:$E$405,G1185,'Istoric_Nativ'!$D$6:$D$405,"&lt;"&amp;J1185,'Istoric_Nativ'!$P$6:$P$405,1)+COUNTIFS('Istoric_Nativ'!$B$6:$B$405,E1185,'Istoric_Nativ'!$C$6:$C$405,F1185,'Istoric_Nativ'!$F$6:$F$405,G1185,'Istoric_Nativ'!$D$6:$D$405,"&lt;"&amp;J1185,'Istoric_Nativ'!$P$6:$P$405,1))))</x:f>
        <x:v>0</x:v>
      </x:c>
      <x:c r="L1185" s="17" t="n">
        <x:f>IF(AND(B1185&lt;&gt;"",I1185="RECENT",K1185&gt;0),LARGE(_xlfn._xlws.FILTER('Istoric_Nativ'!$D$6:$D$405,('Istoric_Nativ'!$B$6:$B$405=E1185)*('Istoric_Nativ'!$C$6:$C$405=F1185)*('Istoric_Nativ'!$P$6:$P$405=1)*('Istoric_Nativ'!$D$6:$D$405&lt;J1185)*((('Istoric_Nativ'!$E$6:$E$405=G1185)+('Istoric_Nativ'!$F$6:$F$405=G1185))&gt;0)),MIN('Config_v6'!$B$54,K1185)),0)</x:f>
        <x:v>0</x:v>
      </x:c>
      <x:c r="M1185" s="2" t="n">
        <x:f>IF(OR(B1185="",F1185=""),0,IF(H1185="HOME",COUNTIFS('Istoric_Nativ'!$B$6:$B$405,E1185,'Istoric_Nativ'!$C$6:$C$405,F1185,'Istoric_Nativ'!$E$6:$E$405,G1185,'Istoric_Nativ'!$D$6:$D$405,"&lt;"&amp;J1185,'Istoric_Nativ'!$P$6:$P$405,1,'Istoric_Nativ'!$D$6:$D$405,"&gt;="&amp;L1185),IF(H1185="AWAY",COUNTIFS('Istoric_Nativ'!$B$6:$B$405,E1185,'Istoric_Nativ'!$C$6:$C$405,F1185,'Istoric_Nativ'!$F$6:$F$405,G1185,'Istoric_Nativ'!$D$6:$D$405,"&lt;"&amp;J1185,'Istoric_Nativ'!$P$6:$P$405,1,'Istoric_Nativ'!$D$6:$D$405,"&gt;="&amp;L1185),COUNTIFS('Istoric_Nativ'!$B$6:$B$405,E1185,'Istoric_Nativ'!$C$6:$C$405,F1185,'Istoric_Nativ'!$E$6:$E$405,G1185,'Istoric_Nativ'!$D$6:$D$405,"&lt;"&amp;J1185,'Istoric_Nativ'!$P$6:$P$405,1,'Istoric_Nativ'!$D$6:$D$405,"&gt;="&amp;L1185)+COUNTIFS('Istoric_Nativ'!$B$6:$B$405,E1185,'Istoric_Nativ'!$C$6:$C$405,F1185,'Istoric_Nativ'!$F$6:$F$405,G1185,'Istoric_Nativ'!$D$6:$D$405,"&lt;"&amp;J1185,'Istoric_Nativ'!$P$6:$P$405,1,'Istoric_Nativ'!$D$6:$D$405,"&gt;="&amp;L1185))))</x:f>
        <x:v>0</x:v>
      </x:c>
      <x:c r="N1185" s="11" t="str">
        <x:f>IF(M1185=0,"",IF(H1185="HOME",SUMIFS('Istoric_Nativ'!$G$6:$G$405,'Istoric_Nativ'!$B$6:$B$405,E1185,'Istoric_Nativ'!$C$6:$C$405,F1185,'Istoric_Nativ'!$E$6:$E$405,G1185,'Istoric_Nativ'!$D$6:$D$405,"&lt;"&amp;J1185,'Istoric_Nativ'!$P$6:$P$405,1,'Istoric_Nativ'!$D$6:$D$405,"&gt;="&amp;L1185),IF(H1185="AWAY",SUMIFS('Istoric_Nativ'!$H$6:$H$405,'Istoric_Nativ'!$B$6:$B$405,E1185,'Istoric_Nativ'!$C$6:$C$405,F1185,'Istoric_Nativ'!$F$6:$F$405,G1185,'Istoric_Nativ'!$D$6:$D$405,"&lt;"&amp;J1185,'Istoric_Nativ'!$P$6:$P$405,1,'Istoric_Nativ'!$D$6:$D$405,"&gt;="&amp;L1185),SUMIFS('Istoric_Nativ'!$G$6:$G$405,'Istoric_Nativ'!$B$6:$B$405,E1185,'Istoric_Nativ'!$C$6:$C$405,F1185,'Istoric_Nativ'!$E$6:$E$405,G1185,'Istoric_Nativ'!$D$6:$D$405,"&lt;"&amp;J1185,'Istoric_Nativ'!$P$6:$P$405,1,'Istoric_Nativ'!$D$6:$D$405,"&gt;="&amp;L1185)+SUMIFS('Istoric_Nativ'!$H$6:$H$405,'Istoric_Nativ'!$B$6:$B$405,E1185,'Istoric_Nativ'!$C$6:$C$405,F1185,'Istoric_Nativ'!$F$6:$F$405,G1185,'Istoric_Nativ'!$D$6:$D$405,"&lt;"&amp;J1185,'Istoric_Nativ'!$P$6:$P$405,1,'Istoric_Nativ'!$D$6:$D$405,"&gt;="&amp;L1185)))/M1185)</x:f>
      </x:c>
      <x:c r="O1185" s="11" t="str">
        <x:f>IF(M1185=0,"",IF(H1185="HOME",SUMIFS('Istoric_Nativ'!$H$6:$H$405,'Istoric_Nativ'!$B$6:$B$405,E1185,'Istoric_Nativ'!$C$6:$C$405,F1185,'Istoric_Nativ'!$E$6:$E$405,G1185,'Istoric_Nativ'!$D$6:$D$405,"&lt;"&amp;J1185,'Istoric_Nativ'!$P$6:$P$405,1,'Istoric_Nativ'!$D$6:$D$405,"&gt;="&amp;L1185),IF(H1185="AWAY",SUMIFS('Istoric_Nativ'!$G$6:$G$405,'Istoric_Nativ'!$B$6:$B$405,E1185,'Istoric_Nativ'!$C$6:$C$405,F1185,'Istoric_Nativ'!$F$6:$F$405,G1185,'Istoric_Nativ'!$D$6:$D$405,"&lt;"&amp;J1185,'Istoric_Nativ'!$P$6:$P$405,1,'Istoric_Nativ'!$D$6:$D$405,"&gt;="&amp;L1185),SUMIFS('Istoric_Nativ'!$H$6:$H$405,'Istoric_Nativ'!$B$6:$B$405,E1185,'Istoric_Nativ'!$C$6:$C$405,F1185,'Istoric_Nativ'!$E$6:$E$405,G1185,'Istoric_Nativ'!$D$6:$D$405,"&lt;"&amp;J1185,'Istoric_Nativ'!$P$6:$P$405,1,'Istoric_Nativ'!$D$6:$D$405,"&gt;="&amp;L1185)+SUMIFS('Istoric_Nativ'!$G$6:$G$405,'Istoric_Nativ'!$B$6:$B$405,E1185,'Istoric_Nativ'!$C$6:$C$405,F1185,'Istoric_Nativ'!$F$6:$F$405,G1185,'Istoric_Nativ'!$D$6:$D$405,"&lt;"&amp;J1185,'Istoric_Nativ'!$P$6:$P$405,1,'Istoric_Nativ'!$D$6:$D$405,"&gt;="&amp;L1185)))/M1185)</x:f>
      </x:c>
      <x:c r="P1185" s="2" t="n">
        <x:f>'Config_v6'!$B$7</x:f>
        <x:v>10</x:v>
      </x:c>
      <x:c r="Q1185" s="2" t="n">
        <x:f>IF(OR(B1185="",F1185=""),0,IFERROR(MATCH(E1185&amp;"|"&amp;F1185,SourceTable[Source_Key],0),0))</x:f>
        <x:v>0</x:v>
      </x:c>
      <x:c r="R1185" s="2" t="str">
        <x:f>IF(B1185="","",IF(F1185="","UNUSED",IF(Q1185=0,"NOT CHECKED",IF(COUNTIF(SourceTable[Source_Key],E1185&amp;"|"&amp;F1185)&lt;&gt;1,"SOURCE CONFLICT",IF(NOT(OR(INDEX(SourceTable[Status],MAX(1,Q1185))="IMPORTED",INDEX(SourceTable[Status],MAX(1,Q1185))="PARTIAL",INDEX(SourceTable[Status],MAX(1,Q1185))="SOURCE CONFLICT")),"ACCESS BLOCKED",IF(OR(INDEX(SourceTable[Coverage],Q1185)&lt;&gt;"FULL SEASON EXPORT",INDEX(SourceTable[URL],Q1185)="",INDEX(SourceTable[SHA256],Q1185)=""),"EVIDENCE INCOMPLETE",IF(AND('Input_Meci'!H104="LIVE",INDEX(SourceTable[Retrieved_UTC],Q1185)&gt;'Input_Meci'!G104),"POST CUTOFF","CLOSED")))))))</x:f>
      </x:c>
      <x:c r="S1185" s="2" t="n">
        <x:f>IF(OR(B1185="",F1185=""),0,COUNTIFS('Istoric_Nativ'!$B$6:$B$405,E1185,'Istoric_Nativ'!$C$6:$C$405,F1185,'Istoric_Nativ'!$E$6:$E$405,G1185,'Istoric_Nativ'!$D$6:$D$405,"&lt;"&amp;J1185,'Istoric_Nativ'!$O$6:$O$405,"INVALID")+COUNTIFS('Istoric_Nativ'!$B$6:$B$405,E1185,'Istoric_Nativ'!$C$6:$C$405,F1185,'Istoric_Nativ'!$E$6:$E$405,G1185,'Istoric_Nativ'!$O$6:$O$405,"INVALID",'Istoric_Nativ'!$D$6:$D$405,"*")+COUNTIFS('Istoric_Nativ'!$B$6:$B$405,E1185,'Istoric_Nativ'!$C$6:$C$405,F1185,'Istoric_Nativ'!$E$6:$E$405,G1185,'Istoric_Nativ'!$D$6:$D$405,"&lt;"&amp;J1185,'Istoric_Nativ'!$O$6:$O$405,"SOURCE CONFLICT")+COUNTIFS('Istoric_Nativ'!$B$6:$B$405,E1185,'Istoric_Nativ'!$C$6:$C$405,F1185,'Istoric_Nativ'!$F$6:$F$405,G1185,'Istoric_Nativ'!$D$6:$D$405,"&lt;"&amp;J1185,'Istoric_Nativ'!$O$6:$O$405,"INVALID")+COUNTIFS('Istoric_Nativ'!$B$6:$B$405,E1185,'Istoric_Nativ'!$C$6:$C$405,F1185,'Istoric_Nativ'!$F$6:$F$405,G1185,'Istoric_Nativ'!$O$6:$O$405,"INVALID",'Istoric_Nativ'!$D$6:$D$405,"*")+COUNTIFS('Istoric_Nativ'!$B$6:$B$405,E1185,'Istoric_Nativ'!$C$6:$C$405,F1185,'Istoric_Nativ'!$F$6:$F$405,G1185,'Istoric_Nativ'!$D$6:$D$405,"&lt;"&amp;J1185,'Istoric_Nativ'!$O$6:$O$405,"SOURCE CONFLICT"))</x:f>
        <x:v>0</x:v>
      </x:c>
      <x:c r="T1185" s="2" t="str">
        <x:f>IF(B1185="","",IF(R1185&lt;&gt;"CLOSED",R1185,IF(S1185&gt;0,"NATIVE INPUT ISSUE",IF(M1185=0,"NO HISTORY",IF(M1185&lt;P1185,"SMALL SAMPLE","DERIVED")))))</x:f>
      </x:c>
      <x:c r="U1185" s="2" t="str">
        <x:f>IF(B1185="","","NativeTable; "&amp;E1185&amp;"; "&amp;F1185&amp;"; "&amp;G1185&amp;"; "&amp;H1185&amp;"; before "&amp;TEXT(J1185,"yyyy-mm-dd")&amp;IF(I1185="RECENT","; from "&amp;TEXT(L1185,"yyyy-mm-dd"),""))</x:f>
      </x:c>
    </x:row>
    <x:row r="1186" ht="21" customHeight="1">
      <x:c r="A1186" s="2" t="n">
        <x:v>99</x:v>
      </x:c>
      <x:c r="B1186" s="2" t="str">
        <x:f>IF('Input_Meci'!A104="","",'Input_Meci'!A104)</x:f>
      </x:c>
      <x:c r="C1186" s="2" t="str">
        <x:v>A</x:v>
      </x:c>
      <x:c r="D1186" s="2" t="str">
        <x:v>CURRENT</x:v>
      </x:c>
      <x:c r="E1186" s="2" t="str">
        <x:f>IF(B1186="","",'Input_Meci'!B104)</x:f>
      </x:c>
      <x:c r="F1186" s="2" t="str">
        <x:f>IF(B1186="","",IF('Input_Meci'!C104="","",'Input_Meci'!C104))</x:f>
      </x:c>
      <x:c r="G1186" s="2" t="str">
        <x:f>IF(B1186="","",'Input_Meci'!E104)</x:f>
      </x:c>
      <x:c r="H1186" s="2" t="str">
        <x:v>AWAY</x:v>
      </x:c>
      <x:c r="I1186" s="2" t="str">
        <x:v>HA</x:v>
      </x:c>
      <x:c r="J1186" s="9" t="n">
        <x:f>IF(AND(B1186&lt;&gt;"",ISNUMBER('Input_Meci'!G104)),INT('Input_Meci'!G104),0)</x:f>
        <x:v>0</x:v>
      </x:c>
      <x:c r="K1186" s="2" t="n">
        <x:f>IF(OR(B1186="",F1186=""),0,IF(H1186="HOME",COUNTIFS('Istoric_Nativ'!$B$6:$B$405,E1186,'Istoric_Nativ'!$C$6:$C$405,F1186,'Istoric_Nativ'!$E$6:$E$405,G1186,'Istoric_Nativ'!$D$6:$D$405,"&lt;"&amp;J1186,'Istoric_Nativ'!$P$6:$P$405,1),IF(H1186="AWAY",COUNTIFS('Istoric_Nativ'!$B$6:$B$405,E1186,'Istoric_Nativ'!$C$6:$C$405,F1186,'Istoric_Nativ'!$F$6:$F$405,G1186,'Istoric_Nativ'!$D$6:$D$405,"&lt;"&amp;J1186,'Istoric_Nativ'!$P$6:$P$405,1),COUNTIFS('Istoric_Nativ'!$B$6:$B$405,E1186,'Istoric_Nativ'!$C$6:$C$405,F1186,'Istoric_Nativ'!$E$6:$E$405,G1186,'Istoric_Nativ'!$D$6:$D$405,"&lt;"&amp;J1186,'Istoric_Nativ'!$P$6:$P$405,1)+COUNTIFS('Istoric_Nativ'!$B$6:$B$405,E1186,'Istoric_Nativ'!$C$6:$C$405,F1186,'Istoric_Nativ'!$F$6:$F$405,G1186,'Istoric_Nativ'!$D$6:$D$405,"&lt;"&amp;J1186,'Istoric_Nativ'!$P$6:$P$405,1))))</x:f>
        <x:v>0</x:v>
      </x:c>
      <x:c r="L1186" s="17" t="n">
        <x:f>IF(AND(B1186&lt;&gt;"",I1186="RECENT",K1186&gt;0),LARGE(_xlfn._xlws.FILTER('Istoric_Nativ'!$D$6:$D$405,('Istoric_Nativ'!$B$6:$B$405=E1186)*('Istoric_Nativ'!$C$6:$C$405=F1186)*('Istoric_Nativ'!$P$6:$P$405=1)*('Istoric_Nativ'!$D$6:$D$405&lt;J1186)*((('Istoric_Nativ'!$E$6:$E$405=G1186)+('Istoric_Nativ'!$F$6:$F$405=G1186))&gt;0)),MIN('Config_v6'!$B$54,K1186)),0)</x:f>
        <x:v>0</x:v>
      </x:c>
      <x:c r="M1186" s="2" t="n">
        <x:f>IF(OR(B1186="",F1186=""),0,IF(H1186="HOME",COUNTIFS('Istoric_Nativ'!$B$6:$B$405,E1186,'Istoric_Nativ'!$C$6:$C$405,F1186,'Istoric_Nativ'!$E$6:$E$405,G1186,'Istoric_Nativ'!$D$6:$D$405,"&lt;"&amp;J1186,'Istoric_Nativ'!$P$6:$P$405,1,'Istoric_Nativ'!$D$6:$D$405,"&gt;="&amp;L1186),IF(H1186="AWAY",COUNTIFS('Istoric_Nativ'!$B$6:$B$405,E1186,'Istoric_Nativ'!$C$6:$C$405,F1186,'Istoric_Nativ'!$F$6:$F$405,G1186,'Istoric_Nativ'!$D$6:$D$405,"&lt;"&amp;J1186,'Istoric_Nativ'!$P$6:$P$405,1,'Istoric_Nativ'!$D$6:$D$405,"&gt;="&amp;L1186),COUNTIFS('Istoric_Nativ'!$B$6:$B$405,E1186,'Istoric_Nativ'!$C$6:$C$405,F1186,'Istoric_Nativ'!$E$6:$E$405,G1186,'Istoric_Nativ'!$D$6:$D$405,"&lt;"&amp;J1186,'Istoric_Nativ'!$P$6:$P$405,1,'Istoric_Nativ'!$D$6:$D$405,"&gt;="&amp;L1186)+COUNTIFS('Istoric_Nativ'!$B$6:$B$405,E1186,'Istoric_Nativ'!$C$6:$C$405,F1186,'Istoric_Nativ'!$F$6:$F$405,G1186,'Istoric_Nativ'!$D$6:$D$405,"&lt;"&amp;J1186,'Istoric_Nativ'!$P$6:$P$405,1,'Istoric_Nativ'!$D$6:$D$405,"&gt;="&amp;L1186))))</x:f>
        <x:v>0</x:v>
      </x:c>
      <x:c r="N1186" s="11" t="str">
        <x:f>IF(M1186=0,"",IF(H1186="HOME",SUMIFS('Istoric_Nativ'!$G$6:$G$405,'Istoric_Nativ'!$B$6:$B$405,E1186,'Istoric_Nativ'!$C$6:$C$405,F1186,'Istoric_Nativ'!$E$6:$E$405,G1186,'Istoric_Nativ'!$D$6:$D$405,"&lt;"&amp;J1186,'Istoric_Nativ'!$P$6:$P$405,1,'Istoric_Nativ'!$D$6:$D$405,"&gt;="&amp;L1186),IF(H1186="AWAY",SUMIFS('Istoric_Nativ'!$H$6:$H$405,'Istoric_Nativ'!$B$6:$B$405,E1186,'Istoric_Nativ'!$C$6:$C$405,F1186,'Istoric_Nativ'!$F$6:$F$405,G1186,'Istoric_Nativ'!$D$6:$D$405,"&lt;"&amp;J1186,'Istoric_Nativ'!$P$6:$P$405,1,'Istoric_Nativ'!$D$6:$D$405,"&gt;="&amp;L1186),SUMIFS('Istoric_Nativ'!$G$6:$G$405,'Istoric_Nativ'!$B$6:$B$405,E1186,'Istoric_Nativ'!$C$6:$C$405,F1186,'Istoric_Nativ'!$E$6:$E$405,G1186,'Istoric_Nativ'!$D$6:$D$405,"&lt;"&amp;J1186,'Istoric_Nativ'!$P$6:$P$405,1,'Istoric_Nativ'!$D$6:$D$405,"&gt;="&amp;L1186)+SUMIFS('Istoric_Nativ'!$H$6:$H$405,'Istoric_Nativ'!$B$6:$B$405,E1186,'Istoric_Nativ'!$C$6:$C$405,F1186,'Istoric_Nativ'!$F$6:$F$405,G1186,'Istoric_Nativ'!$D$6:$D$405,"&lt;"&amp;J1186,'Istoric_Nativ'!$P$6:$P$405,1,'Istoric_Nativ'!$D$6:$D$405,"&gt;="&amp;L1186)))/M1186)</x:f>
      </x:c>
      <x:c r="O1186" s="11" t="str">
        <x:f>IF(M1186=0,"",IF(H1186="HOME",SUMIFS('Istoric_Nativ'!$H$6:$H$405,'Istoric_Nativ'!$B$6:$B$405,E1186,'Istoric_Nativ'!$C$6:$C$405,F1186,'Istoric_Nativ'!$E$6:$E$405,G1186,'Istoric_Nativ'!$D$6:$D$405,"&lt;"&amp;J1186,'Istoric_Nativ'!$P$6:$P$405,1,'Istoric_Nativ'!$D$6:$D$405,"&gt;="&amp;L1186),IF(H1186="AWAY",SUMIFS('Istoric_Nativ'!$G$6:$G$405,'Istoric_Nativ'!$B$6:$B$405,E1186,'Istoric_Nativ'!$C$6:$C$405,F1186,'Istoric_Nativ'!$F$6:$F$405,G1186,'Istoric_Nativ'!$D$6:$D$405,"&lt;"&amp;J1186,'Istoric_Nativ'!$P$6:$P$405,1,'Istoric_Nativ'!$D$6:$D$405,"&gt;="&amp;L1186),SUMIFS('Istoric_Nativ'!$H$6:$H$405,'Istoric_Nativ'!$B$6:$B$405,E1186,'Istoric_Nativ'!$C$6:$C$405,F1186,'Istoric_Nativ'!$E$6:$E$405,G1186,'Istoric_Nativ'!$D$6:$D$405,"&lt;"&amp;J1186,'Istoric_Nativ'!$P$6:$P$405,1,'Istoric_Nativ'!$D$6:$D$405,"&gt;="&amp;L1186)+SUMIFS('Istoric_Nativ'!$G$6:$G$405,'Istoric_Nativ'!$B$6:$B$405,E1186,'Istoric_Nativ'!$C$6:$C$405,F1186,'Istoric_Nativ'!$F$6:$F$405,G1186,'Istoric_Nativ'!$D$6:$D$405,"&lt;"&amp;J1186,'Istoric_Nativ'!$P$6:$P$405,1,'Istoric_Nativ'!$D$6:$D$405,"&gt;="&amp;L1186)))/M1186)</x:f>
      </x:c>
      <x:c r="P1186" s="2" t="n">
        <x:f>'Config_v6'!$B$8</x:f>
        <x:v>5</x:v>
      </x:c>
      <x:c r="Q1186" s="2" t="n">
        <x:f>IF(OR(B1186="",F1186=""),0,IFERROR(MATCH(E1186&amp;"|"&amp;F1186,SourceTable[Source_Key],0),0))</x:f>
        <x:v>0</x:v>
      </x:c>
      <x:c r="R1186" s="2" t="str">
        <x:f>IF(B1186="","",IF(F1186="","UNUSED",IF(Q1186=0,"NOT CHECKED",IF(COUNTIF(SourceTable[Source_Key],E1186&amp;"|"&amp;F1186)&lt;&gt;1,"SOURCE CONFLICT",IF(NOT(OR(INDEX(SourceTable[Status],MAX(1,Q1186))="IMPORTED",INDEX(SourceTable[Status],MAX(1,Q1186))="PARTIAL",INDEX(SourceTable[Status],MAX(1,Q1186))="SOURCE CONFLICT")),"ACCESS BLOCKED",IF(OR(INDEX(SourceTable[Coverage],Q1186)&lt;&gt;"FULL SEASON EXPORT",INDEX(SourceTable[URL],Q1186)="",INDEX(SourceTable[SHA256],Q1186)=""),"EVIDENCE INCOMPLETE",IF(AND('Input_Meci'!H104="LIVE",INDEX(SourceTable[Retrieved_UTC],Q1186)&gt;'Input_Meci'!G104),"POST CUTOFF","CLOSED")))))))</x:f>
      </x:c>
      <x:c r="S1186" s="2" t="n">
        <x:f>IF(OR(B1186="",F1186=""),0,COUNTIFS('Istoric_Nativ'!$B$6:$B$405,E1186,'Istoric_Nativ'!$C$6:$C$405,F1186,'Istoric_Nativ'!$E$6:$E$405,G1186,'Istoric_Nativ'!$D$6:$D$405,"&lt;"&amp;J1186,'Istoric_Nativ'!$O$6:$O$405,"INVALID")+COUNTIFS('Istoric_Nativ'!$B$6:$B$405,E1186,'Istoric_Nativ'!$C$6:$C$405,F1186,'Istoric_Nativ'!$E$6:$E$405,G1186,'Istoric_Nativ'!$O$6:$O$405,"INVALID",'Istoric_Nativ'!$D$6:$D$405,"*")+COUNTIFS('Istoric_Nativ'!$B$6:$B$405,E1186,'Istoric_Nativ'!$C$6:$C$405,F1186,'Istoric_Nativ'!$E$6:$E$405,G1186,'Istoric_Nativ'!$D$6:$D$405,"&lt;"&amp;J1186,'Istoric_Nativ'!$O$6:$O$405,"SOURCE CONFLICT")+COUNTIFS('Istoric_Nativ'!$B$6:$B$405,E1186,'Istoric_Nativ'!$C$6:$C$405,F1186,'Istoric_Nativ'!$F$6:$F$405,G1186,'Istoric_Nativ'!$D$6:$D$405,"&lt;"&amp;J1186,'Istoric_Nativ'!$O$6:$O$405,"INVALID")+COUNTIFS('Istoric_Nativ'!$B$6:$B$405,E1186,'Istoric_Nativ'!$C$6:$C$405,F1186,'Istoric_Nativ'!$F$6:$F$405,G1186,'Istoric_Nativ'!$O$6:$O$405,"INVALID",'Istoric_Nativ'!$D$6:$D$405,"*")+COUNTIFS('Istoric_Nativ'!$B$6:$B$405,E1186,'Istoric_Nativ'!$C$6:$C$405,F1186,'Istoric_Nativ'!$F$6:$F$405,G1186,'Istoric_Nativ'!$D$6:$D$405,"&lt;"&amp;J1186,'Istoric_Nativ'!$O$6:$O$405,"SOURCE CONFLICT"))</x:f>
        <x:v>0</x:v>
      </x:c>
      <x:c r="T1186" s="2" t="str">
        <x:f>IF(B1186="","",IF(R1186&lt;&gt;"CLOSED",R1186,IF(S1186&gt;0,"NATIVE INPUT ISSUE",IF(M1186=0,"NO HISTORY",IF(M1186&lt;P1186,"SMALL SAMPLE","DERIVED")))))</x:f>
      </x:c>
      <x:c r="U1186" s="2" t="str">
        <x:f>IF(B1186="","","NativeTable; "&amp;E1186&amp;"; "&amp;F1186&amp;"; "&amp;G1186&amp;"; "&amp;H1186&amp;"; before "&amp;TEXT(J1186,"yyyy-mm-dd")&amp;IF(I1186="RECENT","; from "&amp;TEXT(L1186,"yyyy-mm-dd"),""))</x:f>
      </x:c>
    </x:row>
    <x:row r="1187" ht="21" customHeight="1">
      <x:c r="A1187" s="2" t="n">
        <x:v>99</x:v>
      </x:c>
      <x:c r="B1187" s="2" t="str">
        <x:f>IF('Input_Meci'!A104="","",'Input_Meci'!A104)</x:f>
      </x:c>
      <x:c r="C1187" s="2" t="str">
        <x:v>A</x:v>
      </x:c>
      <x:c r="D1187" s="2" t="str">
        <x:v>CURRENT</x:v>
      </x:c>
      <x:c r="E1187" s="2" t="str">
        <x:f>IF(B1187="","",'Input_Meci'!B104)</x:f>
      </x:c>
      <x:c r="F1187" s="2" t="str">
        <x:f>IF(B1187="","",IF('Input_Meci'!C104="","",'Input_Meci'!C104))</x:f>
      </x:c>
      <x:c r="G1187" s="2" t="str">
        <x:f>IF(B1187="","",'Input_Meci'!E104)</x:f>
      </x:c>
      <x:c r="H1187" s="2" t="str">
        <x:v>ANY</x:v>
      </x:c>
      <x:c r="I1187" s="2" t="str">
        <x:v>RECENT</x:v>
      </x:c>
      <x:c r="J1187" s="9" t="n">
        <x:f>IF(AND(B1187&lt;&gt;"",ISNUMBER('Input_Meci'!G104)),INT('Input_Meci'!G104),0)</x:f>
        <x:v>0</x:v>
      </x:c>
      <x:c r="K1187" s="2" t="n">
        <x:f>IF(OR(B1187="",F1187=""),0,IF(H1187="HOME",COUNTIFS('Istoric_Nativ'!$B$6:$B$405,E1187,'Istoric_Nativ'!$C$6:$C$405,F1187,'Istoric_Nativ'!$E$6:$E$405,G1187,'Istoric_Nativ'!$D$6:$D$405,"&lt;"&amp;J1187,'Istoric_Nativ'!$P$6:$P$405,1),IF(H1187="AWAY",COUNTIFS('Istoric_Nativ'!$B$6:$B$405,E1187,'Istoric_Nativ'!$C$6:$C$405,F1187,'Istoric_Nativ'!$F$6:$F$405,G1187,'Istoric_Nativ'!$D$6:$D$405,"&lt;"&amp;J1187,'Istoric_Nativ'!$P$6:$P$405,1),COUNTIFS('Istoric_Nativ'!$B$6:$B$405,E1187,'Istoric_Nativ'!$C$6:$C$405,F1187,'Istoric_Nativ'!$E$6:$E$405,G1187,'Istoric_Nativ'!$D$6:$D$405,"&lt;"&amp;J1187,'Istoric_Nativ'!$P$6:$P$405,1)+COUNTIFS('Istoric_Nativ'!$B$6:$B$405,E1187,'Istoric_Nativ'!$C$6:$C$405,F1187,'Istoric_Nativ'!$F$6:$F$405,G1187,'Istoric_Nativ'!$D$6:$D$405,"&lt;"&amp;J1187,'Istoric_Nativ'!$P$6:$P$405,1))))</x:f>
        <x:v>0</x:v>
      </x:c>
      <x:c r="L1187" s="17" t="n">
        <x:f>IF(AND(B1187&lt;&gt;"",I1187="RECENT",K1187&gt;0),LARGE(_xlfn._xlws.FILTER('Istoric_Nativ'!$D$6:$D$405,('Istoric_Nativ'!$B$6:$B$405=E1187)*('Istoric_Nativ'!$C$6:$C$405=F1187)*('Istoric_Nativ'!$P$6:$P$405=1)*('Istoric_Nativ'!$D$6:$D$405&lt;J1187)*((('Istoric_Nativ'!$E$6:$E$405=G1187)+('Istoric_Nativ'!$F$6:$F$405=G1187))&gt;0)),MIN('Config_v6'!$B$54,K1187)),0)</x:f>
        <x:v>0</x:v>
      </x:c>
      <x:c r="M1187" s="2" t="n">
        <x:f>IF(OR(B1187="",F1187=""),0,IF(H1187="HOME",COUNTIFS('Istoric_Nativ'!$B$6:$B$405,E1187,'Istoric_Nativ'!$C$6:$C$405,F1187,'Istoric_Nativ'!$E$6:$E$405,G1187,'Istoric_Nativ'!$D$6:$D$405,"&lt;"&amp;J1187,'Istoric_Nativ'!$P$6:$P$405,1,'Istoric_Nativ'!$D$6:$D$405,"&gt;="&amp;L1187),IF(H1187="AWAY",COUNTIFS('Istoric_Nativ'!$B$6:$B$405,E1187,'Istoric_Nativ'!$C$6:$C$405,F1187,'Istoric_Nativ'!$F$6:$F$405,G1187,'Istoric_Nativ'!$D$6:$D$405,"&lt;"&amp;J1187,'Istoric_Nativ'!$P$6:$P$405,1,'Istoric_Nativ'!$D$6:$D$405,"&gt;="&amp;L1187),COUNTIFS('Istoric_Nativ'!$B$6:$B$405,E1187,'Istoric_Nativ'!$C$6:$C$405,F1187,'Istoric_Nativ'!$E$6:$E$405,G1187,'Istoric_Nativ'!$D$6:$D$405,"&lt;"&amp;J1187,'Istoric_Nativ'!$P$6:$P$405,1,'Istoric_Nativ'!$D$6:$D$405,"&gt;="&amp;L1187)+COUNTIFS('Istoric_Nativ'!$B$6:$B$405,E1187,'Istoric_Nativ'!$C$6:$C$405,F1187,'Istoric_Nativ'!$F$6:$F$405,G1187,'Istoric_Nativ'!$D$6:$D$405,"&lt;"&amp;J1187,'Istoric_Nativ'!$P$6:$P$405,1,'Istoric_Nativ'!$D$6:$D$405,"&gt;="&amp;L1187))))</x:f>
        <x:v>0</x:v>
      </x:c>
      <x:c r="N1187" s="11" t="str">
        <x:f>IF(M1187=0,"",IF(H1187="HOME",SUMIFS('Istoric_Nativ'!$G$6:$G$405,'Istoric_Nativ'!$B$6:$B$405,E1187,'Istoric_Nativ'!$C$6:$C$405,F1187,'Istoric_Nativ'!$E$6:$E$405,G1187,'Istoric_Nativ'!$D$6:$D$405,"&lt;"&amp;J1187,'Istoric_Nativ'!$P$6:$P$405,1,'Istoric_Nativ'!$D$6:$D$405,"&gt;="&amp;L1187),IF(H1187="AWAY",SUMIFS('Istoric_Nativ'!$H$6:$H$405,'Istoric_Nativ'!$B$6:$B$405,E1187,'Istoric_Nativ'!$C$6:$C$405,F1187,'Istoric_Nativ'!$F$6:$F$405,G1187,'Istoric_Nativ'!$D$6:$D$405,"&lt;"&amp;J1187,'Istoric_Nativ'!$P$6:$P$405,1,'Istoric_Nativ'!$D$6:$D$405,"&gt;="&amp;L1187),SUMIFS('Istoric_Nativ'!$G$6:$G$405,'Istoric_Nativ'!$B$6:$B$405,E1187,'Istoric_Nativ'!$C$6:$C$405,F1187,'Istoric_Nativ'!$E$6:$E$405,G1187,'Istoric_Nativ'!$D$6:$D$405,"&lt;"&amp;J1187,'Istoric_Nativ'!$P$6:$P$405,1,'Istoric_Nativ'!$D$6:$D$405,"&gt;="&amp;L1187)+SUMIFS('Istoric_Nativ'!$H$6:$H$405,'Istoric_Nativ'!$B$6:$B$405,E1187,'Istoric_Nativ'!$C$6:$C$405,F1187,'Istoric_Nativ'!$F$6:$F$405,G1187,'Istoric_Nativ'!$D$6:$D$405,"&lt;"&amp;J1187,'Istoric_Nativ'!$P$6:$P$405,1,'Istoric_Nativ'!$D$6:$D$405,"&gt;="&amp;L1187)))/M1187)</x:f>
      </x:c>
      <x:c r="O1187" s="11" t="str">
        <x:f>IF(M1187=0,"",IF(H1187="HOME",SUMIFS('Istoric_Nativ'!$H$6:$H$405,'Istoric_Nativ'!$B$6:$B$405,E1187,'Istoric_Nativ'!$C$6:$C$405,F1187,'Istoric_Nativ'!$E$6:$E$405,G1187,'Istoric_Nativ'!$D$6:$D$405,"&lt;"&amp;J1187,'Istoric_Nativ'!$P$6:$P$405,1,'Istoric_Nativ'!$D$6:$D$405,"&gt;="&amp;L1187),IF(H1187="AWAY",SUMIFS('Istoric_Nativ'!$G$6:$G$405,'Istoric_Nativ'!$B$6:$B$405,E1187,'Istoric_Nativ'!$C$6:$C$405,F1187,'Istoric_Nativ'!$F$6:$F$405,G1187,'Istoric_Nativ'!$D$6:$D$405,"&lt;"&amp;J1187,'Istoric_Nativ'!$P$6:$P$405,1,'Istoric_Nativ'!$D$6:$D$405,"&gt;="&amp;L1187),SUMIFS('Istoric_Nativ'!$H$6:$H$405,'Istoric_Nativ'!$B$6:$B$405,E1187,'Istoric_Nativ'!$C$6:$C$405,F1187,'Istoric_Nativ'!$E$6:$E$405,G1187,'Istoric_Nativ'!$D$6:$D$405,"&lt;"&amp;J1187,'Istoric_Nativ'!$P$6:$P$405,1,'Istoric_Nativ'!$D$6:$D$405,"&gt;="&amp;L1187)+SUMIFS('Istoric_Nativ'!$G$6:$G$405,'Istoric_Nativ'!$B$6:$B$405,E1187,'Istoric_Nativ'!$C$6:$C$405,F1187,'Istoric_Nativ'!$F$6:$F$405,G1187,'Istoric_Nativ'!$D$6:$D$405,"&lt;"&amp;J1187,'Istoric_Nativ'!$P$6:$P$405,1,'Istoric_Nativ'!$D$6:$D$405,"&gt;="&amp;L1187)))/M1187)</x:f>
      </x:c>
      <x:c r="P1187" s="2" t="n">
        <x:f>'Config_v6'!$B$9</x:f>
        <x:v>3</x:v>
      </x:c>
      <x:c r="Q1187" s="2" t="n">
        <x:f>IF(OR(B1187="",F1187=""),0,IFERROR(MATCH(E1187&amp;"|"&amp;F1187,SourceTable[Source_Key],0),0))</x:f>
        <x:v>0</x:v>
      </x:c>
      <x:c r="R1187" s="2" t="str">
        <x:f>IF(B1187="","",IF(F1187="","UNUSED",IF(Q1187=0,"NOT CHECKED",IF(COUNTIF(SourceTable[Source_Key],E1187&amp;"|"&amp;F1187)&lt;&gt;1,"SOURCE CONFLICT",IF(NOT(OR(INDEX(SourceTable[Status],MAX(1,Q1187))="IMPORTED",INDEX(SourceTable[Status],MAX(1,Q1187))="PARTIAL",INDEX(SourceTable[Status],MAX(1,Q1187))="SOURCE CONFLICT")),"ACCESS BLOCKED",IF(OR(INDEX(SourceTable[Coverage],Q1187)&lt;&gt;"FULL SEASON EXPORT",INDEX(SourceTable[URL],Q1187)="",INDEX(SourceTable[SHA256],Q1187)=""),"EVIDENCE INCOMPLETE",IF(AND('Input_Meci'!H104="LIVE",INDEX(SourceTable[Retrieved_UTC],Q1187)&gt;'Input_Meci'!G104),"POST CUTOFF","CLOSED")))))))</x:f>
      </x:c>
      <x:c r="S1187" s="2" t="n">
        <x:f>IF(OR(B1187="",F1187=""),0,COUNTIFS('Istoric_Nativ'!$B$6:$B$405,E1187,'Istoric_Nativ'!$C$6:$C$405,F1187,'Istoric_Nativ'!$E$6:$E$405,G1187,'Istoric_Nativ'!$D$6:$D$405,"&lt;"&amp;J1187,'Istoric_Nativ'!$O$6:$O$405,"INVALID")+COUNTIFS('Istoric_Nativ'!$B$6:$B$405,E1187,'Istoric_Nativ'!$C$6:$C$405,F1187,'Istoric_Nativ'!$E$6:$E$405,G1187,'Istoric_Nativ'!$O$6:$O$405,"INVALID",'Istoric_Nativ'!$D$6:$D$405,"*")+COUNTIFS('Istoric_Nativ'!$B$6:$B$405,E1187,'Istoric_Nativ'!$C$6:$C$405,F1187,'Istoric_Nativ'!$E$6:$E$405,G1187,'Istoric_Nativ'!$D$6:$D$405,"&lt;"&amp;J1187,'Istoric_Nativ'!$O$6:$O$405,"SOURCE CONFLICT")+COUNTIFS('Istoric_Nativ'!$B$6:$B$405,E1187,'Istoric_Nativ'!$C$6:$C$405,F1187,'Istoric_Nativ'!$F$6:$F$405,G1187,'Istoric_Nativ'!$D$6:$D$405,"&lt;"&amp;J1187,'Istoric_Nativ'!$O$6:$O$405,"INVALID")+COUNTIFS('Istoric_Nativ'!$B$6:$B$405,E1187,'Istoric_Nativ'!$C$6:$C$405,F1187,'Istoric_Nativ'!$F$6:$F$405,G1187,'Istoric_Nativ'!$O$6:$O$405,"INVALID",'Istoric_Nativ'!$D$6:$D$405,"*")+COUNTIFS('Istoric_Nativ'!$B$6:$B$405,E1187,'Istoric_Nativ'!$C$6:$C$405,F1187,'Istoric_Nativ'!$F$6:$F$405,G1187,'Istoric_Nativ'!$D$6:$D$405,"&lt;"&amp;J1187,'Istoric_Nativ'!$O$6:$O$405,"SOURCE CONFLICT"))</x:f>
        <x:v>0</x:v>
      </x:c>
      <x:c r="T1187" s="2" t="str">
        <x:f>IF(B1187="","",IF(R1187&lt;&gt;"CLOSED",R1187,IF(S1187&gt;0,"NATIVE INPUT ISSUE",IF(M1187=0,"NO HISTORY",IF(M1187&lt;P1187,"SMALL SAMPLE","DERIVED")))))</x:f>
      </x:c>
      <x:c r="U1187" s="2" t="str">
        <x:f>IF(B1187="","","NativeTable; "&amp;E1187&amp;"; "&amp;F1187&amp;"; "&amp;G1187&amp;"; "&amp;H1187&amp;"; before "&amp;TEXT(J1187,"yyyy-mm-dd")&amp;IF(I1187="RECENT","; from "&amp;TEXT(L1187,"yyyy-mm-dd"),""))</x:f>
      </x:c>
    </x:row>
    <x:row r="1188" ht="21" customHeight="1">
      <x:c r="A1188" s="2" t="n">
        <x:v>99</x:v>
      </x:c>
      <x:c r="B1188" s="2" t="str">
        <x:f>IF('Input_Meci'!A104="","",'Input_Meci'!A104)</x:f>
      </x:c>
      <x:c r="C1188" s="2" t="str">
        <x:v>H</x:v>
      </x:c>
      <x:c r="D1188" s="2" t="str">
        <x:v>PRIOR</x:v>
      </x:c>
      <x:c r="E1188" s="2" t="str">
        <x:f>IF(B1188="","",'Input_Meci'!B104)</x:f>
      </x:c>
      <x:c r="F1188" s="2" t="str">
        <x:f>IF(B1188="","",IF('Input_Meci'!K104="","",'Input_Meci'!K104))</x:f>
      </x:c>
      <x:c r="G1188" s="2" t="str">
        <x:f>IF(B1188="","",'Input_Meci'!D104)</x:f>
      </x:c>
      <x:c r="H1188" s="2" t="str">
        <x:v>ANY</x:v>
      </x:c>
      <x:c r="I1188" s="2" t="str">
        <x:v>SEASON</x:v>
      </x:c>
      <x:c r="J1188" s="9" t="n">
        <x:f>IF(AND(B1188&lt;&gt;"",ISNUMBER('Input_Meci'!G104)),INT('Input_Meci'!G104),0)</x:f>
        <x:v>0</x:v>
      </x:c>
      <x:c r="K1188" s="2" t="n">
        <x:f>IF(OR(B1188="",F1188=""),0,IF(H1188="HOME",COUNTIFS('Istoric_Nativ'!$B$6:$B$405,E1188,'Istoric_Nativ'!$C$6:$C$405,F1188,'Istoric_Nativ'!$E$6:$E$405,G1188,'Istoric_Nativ'!$D$6:$D$405,"&lt;"&amp;J1188,'Istoric_Nativ'!$P$6:$P$405,1),IF(H1188="AWAY",COUNTIFS('Istoric_Nativ'!$B$6:$B$405,E1188,'Istoric_Nativ'!$C$6:$C$405,F1188,'Istoric_Nativ'!$F$6:$F$405,G1188,'Istoric_Nativ'!$D$6:$D$405,"&lt;"&amp;J1188,'Istoric_Nativ'!$P$6:$P$405,1),COUNTIFS('Istoric_Nativ'!$B$6:$B$405,E1188,'Istoric_Nativ'!$C$6:$C$405,F1188,'Istoric_Nativ'!$E$6:$E$405,G1188,'Istoric_Nativ'!$D$6:$D$405,"&lt;"&amp;J1188,'Istoric_Nativ'!$P$6:$P$405,1)+COUNTIFS('Istoric_Nativ'!$B$6:$B$405,E1188,'Istoric_Nativ'!$C$6:$C$405,F1188,'Istoric_Nativ'!$F$6:$F$405,G1188,'Istoric_Nativ'!$D$6:$D$405,"&lt;"&amp;J1188,'Istoric_Nativ'!$P$6:$P$405,1))))</x:f>
        <x:v>0</x:v>
      </x:c>
      <x:c r="L1188" s="17" t="n">
        <x:f>IF(AND(B1188&lt;&gt;"",I1188="RECENT",K1188&gt;0),LARGE(_xlfn._xlws.FILTER('Istoric_Nativ'!$D$6:$D$405,('Istoric_Nativ'!$B$6:$B$405=E1188)*('Istoric_Nativ'!$C$6:$C$405=F1188)*('Istoric_Nativ'!$P$6:$P$405=1)*('Istoric_Nativ'!$D$6:$D$405&lt;J1188)*((('Istoric_Nativ'!$E$6:$E$405=G1188)+('Istoric_Nativ'!$F$6:$F$405=G1188))&gt;0)),MIN('Config_v6'!$B$54,K1188)),0)</x:f>
        <x:v>0</x:v>
      </x:c>
      <x:c r="M1188" s="2" t="n">
        <x:f>IF(OR(B1188="",F1188=""),0,IF(H1188="HOME",COUNTIFS('Istoric_Nativ'!$B$6:$B$405,E1188,'Istoric_Nativ'!$C$6:$C$405,F1188,'Istoric_Nativ'!$E$6:$E$405,G1188,'Istoric_Nativ'!$D$6:$D$405,"&lt;"&amp;J1188,'Istoric_Nativ'!$P$6:$P$405,1,'Istoric_Nativ'!$D$6:$D$405,"&gt;="&amp;L1188),IF(H1188="AWAY",COUNTIFS('Istoric_Nativ'!$B$6:$B$405,E1188,'Istoric_Nativ'!$C$6:$C$405,F1188,'Istoric_Nativ'!$F$6:$F$405,G1188,'Istoric_Nativ'!$D$6:$D$405,"&lt;"&amp;J1188,'Istoric_Nativ'!$P$6:$P$405,1,'Istoric_Nativ'!$D$6:$D$405,"&gt;="&amp;L1188),COUNTIFS('Istoric_Nativ'!$B$6:$B$405,E1188,'Istoric_Nativ'!$C$6:$C$405,F1188,'Istoric_Nativ'!$E$6:$E$405,G1188,'Istoric_Nativ'!$D$6:$D$405,"&lt;"&amp;J1188,'Istoric_Nativ'!$P$6:$P$405,1,'Istoric_Nativ'!$D$6:$D$405,"&gt;="&amp;L1188)+COUNTIFS('Istoric_Nativ'!$B$6:$B$405,E1188,'Istoric_Nativ'!$C$6:$C$405,F1188,'Istoric_Nativ'!$F$6:$F$405,G1188,'Istoric_Nativ'!$D$6:$D$405,"&lt;"&amp;J1188,'Istoric_Nativ'!$P$6:$P$405,1,'Istoric_Nativ'!$D$6:$D$405,"&gt;="&amp;L1188))))</x:f>
        <x:v>0</x:v>
      </x:c>
      <x:c r="N1188" s="11" t="str">
        <x:f>IF(M1188=0,"",IF(H1188="HOME",SUMIFS('Istoric_Nativ'!$G$6:$G$405,'Istoric_Nativ'!$B$6:$B$405,E1188,'Istoric_Nativ'!$C$6:$C$405,F1188,'Istoric_Nativ'!$E$6:$E$405,G1188,'Istoric_Nativ'!$D$6:$D$405,"&lt;"&amp;J1188,'Istoric_Nativ'!$P$6:$P$405,1,'Istoric_Nativ'!$D$6:$D$405,"&gt;="&amp;L1188),IF(H1188="AWAY",SUMIFS('Istoric_Nativ'!$H$6:$H$405,'Istoric_Nativ'!$B$6:$B$405,E1188,'Istoric_Nativ'!$C$6:$C$405,F1188,'Istoric_Nativ'!$F$6:$F$405,G1188,'Istoric_Nativ'!$D$6:$D$405,"&lt;"&amp;J1188,'Istoric_Nativ'!$P$6:$P$405,1,'Istoric_Nativ'!$D$6:$D$405,"&gt;="&amp;L1188),SUMIFS('Istoric_Nativ'!$G$6:$G$405,'Istoric_Nativ'!$B$6:$B$405,E1188,'Istoric_Nativ'!$C$6:$C$405,F1188,'Istoric_Nativ'!$E$6:$E$405,G1188,'Istoric_Nativ'!$D$6:$D$405,"&lt;"&amp;J1188,'Istoric_Nativ'!$P$6:$P$405,1,'Istoric_Nativ'!$D$6:$D$405,"&gt;="&amp;L1188)+SUMIFS('Istoric_Nativ'!$H$6:$H$405,'Istoric_Nativ'!$B$6:$B$405,E1188,'Istoric_Nativ'!$C$6:$C$405,F1188,'Istoric_Nativ'!$F$6:$F$405,G1188,'Istoric_Nativ'!$D$6:$D$405,"&lt;"&amp;J1188,'Istoric_Nativ'!$P$6:$P$405,1,'Istoric_Nativ'!$D$6:$D$405,"&gt;="&amp;L1188)))/M1188)</x:f>
      </x:c>
      <x:c r="O1188" s="11" t="str">
        <x:f>IF(M1188=0,"",IF(H1188="HOME",SUMIFS('Istoric_Nativ'!$H$6:$H$405,'Istoric_Nativ'!$B$6:$B$405,E1188,'Istoric_Nativ'!$C$6:$C$405,F1188,'Istoric_Nativ'!$E$6:$E$405,G1188,'Istoric_Nativ'!$D$6:$D$405,"&lt;"&amp;J1188,'Istoric_Nativ'!$P$6:$P$405,1,'Istoric_Nativ'!$D$6:$D$405,"&gt;="&amp;L1188),IF(H1188="AWAY",SUMIFS('Istoric_Nativ'!$G$6:$G$405,'Istoric_Nativ'!$B$6:$B$405,E1188,'Istoric_Nativ'!$C$6:$C$405,F1188,'Istoric_Nativ'!$F$6:$F$405,G1188,'Istoric_Nativ'!$D$6:$D$405,"&lt;"&amp;J1188,'Istoric_Nativ'!$P$6:$P$405,1,'Istoric_Nativ'!$D$6:$D$405,"&gt;="&amp;L1188),SUMIFS('Istoric_Nativ'!$H$6:$H$405,'Istoric_Nativ'!$B$6:$B$405,E1188,'Istoric_Nativ'!$C$6:$C$405,F1188,'Istoric_Nativ'!$E$6:$E$405,G1188,'Istoric_Nativ'!$D$6:$D$405,"&lt;"&amp;J1188,'Istoric_Nativ'!$P$6:$P$405,1,'Istoric_Nativ'!$D$6:$D$405,"&gt;="&amp;L1188)+SUMIFS('Istoric_Nativ'!$G$6:$G$405,'Istoric_Nativ'!$B$6:$B$405,E1188,'Istoric_Nativ'!$C$6:$C$405,F1188,'Istoric_Nativ'!$F$6:$F$405,G1188,'Istoric_Nativ'!$D$6:$D$405,"&lt;"&amp;J1188,'Istoric_Nativ'!$P$6:$P$405,1,'Istoric_Nativ'!$D$6:$D$405,"&gt;="&amp;L1188)))/M1188)</x:f>
      </x:c>
      <x:c r="P1188" s="2" t="n">
        <x:f>'Config_v6'!$B$7</x:f>
        <x:v>10</x:v>
      </x:c>
      <x:c r="Q1188" s="2" t="n">
        <x:f>IF(OR(B1188="",F1188=""),0,IFERROR(MATCH(E1188&amp;"|"&amp;F1188,SourceTable[Source_Key],0),0))</x:f>
        <x:v>0</x:v>
      </x:c>
      <x:c r="R1188" s="2" t="str">
        <x:f>IF(B1188="","",IF(F1188="","UNUSED",IF(Q1188=0,"NOT CHECKED",IF(COUNTIF(SourceTable[Source_Key],E1188&amp;"|"&amp;F1188)&lt;&gt;1,"SOURCE CONFLICT",IF(NOT(OR(INDEX(SourceTable[Status],MAX(1,Q1188))="IMPORTED",INDEX(SourceTable[Status],MAX(1,Q1188))="PARTIAL",INDEX(SourceTable[Status],MAX(1,Q1188))="SOURCE CONFLICT")),"ACCESS BLOCKED",IF(OR(INDEX(SourceTable[Coverage],Q1188)&lt;&gt;"FULL SEASON EXPORT",INDEX(SourceTable[URL],Q1188)="",INDEX(SourceTable[SHA256],Q1188)=""),"EVIDENCE INCOMPLETE",IF(AND('Input_Meci'!H104="LIVE",INDEX(SourceTable[Retrieved_UTC],Q1188)&gt;'Input_Meci'!G104),"POST CUTOFF","CLOSED")))))))</x:f>
      </x:c>
      <x:c r="S1188" s="2" t="n">
        <x:f>IF(OR(B1188="",F1188=""),0,COUNTIFS('Istoric_Nativ'!$B$6:$B$405,E1188,'Istoric_Nativ'!$C$6:$C$405,F1188,'Istoric_Nativ'!$E$6:$E$405,G1188,'Istoric_Nativ'!$D$6:$D$405,"&lt;"&amp;J1188,'Istoric_Nativ'!$O$6:$O$405,"INVALID")+COUNTIFS('Istoric_Nativ'!$B$6:$B$405,E1188,'Istoric_Nativ'!$C$6:$C$405,F1188,'Istoric_Nativ'!$E$6:$E$405,G1188,'Istoric_Nativ'!$O$6:$O$405,"INVALID",'Istoric_Nativ'!$D$6:$D$405,"*")+COUNTIFS('Istoric_Nativ'!$B$6:$B$405,E1188,'Istoric_Nativ'!$C$6:$C$405,F1188,'Istoric_Nativ'!$E$6:$E$405,G1188,'Istoric_Nativ'!$D$6:$D$405,"&lt;"&amp;J1188,'Istoric_Nativ'!$O$6:$O$405,"SOURCE CONFLICT")+COUNTIFS('Istoric_Nativ'!$B$6:$B$405,E1188,'Istoric_Nativ'!$C$6:$C$405,F1188,'Istoric_Nativ'!$F$6:$F$405,G1188,'Istoric_Nativ'!$D$6:$D$405,"&lt;"&amp;J1188,'Istoric_Nativ'!$O$6:$O$405,"INVALID")+COUNTIFS('Istoric_Nativ'!$B$6:$B$405,E1188,'Istoric_Nativ'!$C$6:$C$405,F1188,'Istoric_Nativ'!$F$6:$F$405,G1188,'Istoric_Nativ'!$O$6:$O$405,"INVALID",'Istoric_Nativ'!$D$6:$D$405,"*")+COUNTIFS('Istoric_Nativ'!$B$6:$B$405,E1188,'Istoric_Nativ'!$C$6:$C$405,F1188,'Istoric_Nativ'!$F$6:$F$405,G1188,'Istoric_Nativ'!$D$6:$D$405,"&lt;"&amp;J1188,'Istoric_Nativ'!$O$6:$O$405,"SOURCE CONFLICT"))</x:f>
        <x:v>0</x:v>
      </x:c>
      <x:c r="T1188" s="2" t="str">
        <x:f>IF(B1188="","",IF(R1188&lt;&gt;"CLOSED",R1188,IF(S1188&gt;0,"NATIVE INPUT ISSUE",IF(M1188=0,"NO HISTORY",IF(M1188&lt;P1188,"SMALL SAMPLE","DERIVED")))))</x:f>
      </x:c>
      <x:c r="U1188" s="2" t="str">
        <x:f>IF(B1188="","","NativeTable; "&amp;E1188&amp;"; "&amp;F1188&amp;"; "&amp;G1188&amp;"; "&amp;H1188&amp;"; before "&amp;TEXT(J1188,"yyyy-mm-dd")&amp;IF(I1188="RECENT","; from "&amp;TEXT(L1188,"yyyy-mm-dd"),""))</x:f>
      </x:c>
    </x:row>
    <x:row r="1189" ht="21" customHeight="1">
      <x:c r="A1189" s="2" t="n">
        <x:v>99</x:v>
      </x:c>
      <x:c r="B1189" s="2" t="str">
        <x:f>IF('Input_Meci'!A104="","",'Input_Meci'!A104)</x:f>
      </x:c>
      <x:c r="C1189" s="2" t="str">
        <x:v>H</x:v>
      </x:c>
      <x:c r="D1189" s="2" t="str">
        <x:v>PRIOR</x:v>
      </x:c>
      <x:c r="E1189" s="2" t="str">
        <x:f>IF(B1189="","",'Input_Meci'!B104)</x:f>
      </x:c>
      <x:c r="F1189" s="2" t="str">
        <x:f>IF(B1189="","",IF('Input_Meci'!K104="","",'Input_Meci'!K104))</x:f>
      </x:c>
      <x:c r="G1189" s="2" t="str">
        <x:f>IF(B1189="","",'Input_Meci'!D104)</x:f>
      </x:c>
      <x:c r="H1189" s="2" t="str">
        <x:v>HOME</x:v>
      </x:c>
      <x:c r="I1189" s="2" t="str">
        <x:v>HA</x:v>
      </x:c>
      <x:c r="J1189" s="9" t="n">
        <x:f>IF(AND(B1189&lt;&gt;"",ISNUMBER('Input_Meci'!G104)),INT('Input_Meci'!G104),0)</x:f>
        <x:v>0</x:v>
      </x:c>
      <x:c r="K1189" s="2" t="n">
        <x:f>IF(OR(B1189="",F1189=""),0,IF(H1189="HOME",COUNTIFS('Istoric_Nativ'!$B$6:$B$405,E1189,'Istoric_Nativ'!$C$6:$C$405,F1189,'Istoric_Nativ'!$E$6:$E$405,G1189,'Istoric_Nativ'!$D$6:$D$405,"&lt;"&amp;J1189,'Istoric_Nativ'!$P$6:$P$405,1),IF(H1189="AWAY",COUNTIFS('Istoric_Nativ'!$B$6:$B$405,E1189,'Istoric_Nativ'!$C$6:$C$405,F1189,'Istoric_Nativ'!$F$6:$F$405,G1189,'Istoric_Nativ'!$D$6:$D$405,"&lt;"&amp;J1189,'Istoric_Nativ'!$P$6:$P$405,1),COUNTIFS('Istoric_Nativ'!$B$6:$B$405,E1189,'Istoric_Nativ'!$C$6:$C$405,F1189,'Istoric_Nativ'!$E$6:$E$405,G1189,'Istoric_Nativ'!$D$6:$D$405,"&lt;"&amp;J1189,'Istoric_Nativ'!$P$6:$P$405,1)+COUNTIFS('Istoric_Nativ'!$B$6:$B$405,E1189,'Istoric_Nativ'!$C$6:$C$405,F1189,'Istoric_Nativ'!$F$6:$F$405,G1189,'Istoric_Nativ'!$D$6:$D$405,"&lt;"&amp;J1189,'Istoric_Nativ'!$P$6:$P$405,1))))</x:f>
        <x:v>0</x:v>
      </x:c>
      <x:c r="L1189" s="17" t="n">
        <x:f>IF(AND(B1189&lt;&gt;"",I1189="RECENT",K1189&gt;0),LARGE(_xlfn._xlws.FILTER('Istoric_Nativ'!$D$6:$D$405,('Istoric_Nativ'!$B$6:$B$405=E1189)*('Istoric_Nativ'!$C$6:$C$405=F1189)*('Istoric_Nativ'!$P$6:$P$405=1)*('Istoric_Nativ'!$D$6:$D$405&lt;J1189)*((('Istoric_Nativ'!$E$6:$E$405=G1189)+('Istoric_Nativ'!$F$6:$F$405=G1189))&gt;0)),MIN('Config_v6'!$B$54,K1189)),0)</x:f>
        <x:v>0</x:v>
      </x:c>
      <x:c r="M1189" s="2" t="n">
        <x:f>IF(OR(B1189="",F1189=""),0,IF(H1189="HOME",COUNTIFS('Istoric_Nativ'!$B$6:$B$405,E1189,'Istoric_Nativ'!$C$6:$C$405,F1189,'Istoric_Nativ'!$E$6:$E$405,G1189,'Istoric_Nativ'!$D$6:$D$405,"&lt;"&amp;J1189,'Istoric_Nativ'!$P$6:$P$405,1,'Istoric_Nativ'!$D$6:$D$405,"&gt;="&amp;L1189),IF(H1189="AWAY",COUNTIFS('Istoric_Nativ'!$B$6:$B$405,E1189,'Istoric_Nativ'!$C$6:$C$405,F1189,'Istoric_Nativ'!$F$6:$F$405,G1189,'Istoric_Nativ'!$D$6:$D$405,"&lt;"&amp;J1189,'Istoric_Nativ'!$P$6:$P$405,1,'Istoric_Nativ'!$D$6:$D$405,"&gt;="&amp;L1189),COUNTIFS('Istoric_Nativ'!$B$6:$B$405,E1189,'Istoric_Nativ'!$C$6:$C$405,F1189,'Istoric_Nativ'!$E$6:$E$405,G1189,'Istoric_Nativ'!$D$6:$D$405,"&lt;"&amp;J1189,'Istoric_Nativ'!$P$6:$P$405,1,'Istoric_Nativ'!$D$6:$D$405,"&gt;="&amp;L1189)+COUNTIFS('Istoric_Nativ'!$B$6:$B$405,E1189,'Istoric_Nativ'!$C$6:$C$405,F1189,'Istoric_Nativ'!$F$6:$F$405,G1189,'Istoric_Nativ'!$D$6:$D$405,"&lt;"&amp;J1189,'Istoric_Nativ'!$P$6:$P$405,1,'Istoric_Nativ'!$D$6:$D$405,"&gt;="&amp;L1189))))</x:f>
        <x:v>0</x:v>
      </x:c>
      <x:c r="N1189" s="11" t="str">
        <x:f>IF(M1189=0,"",IF(H1189="HOME",SUMIFS('Istoric_Nativ'!$G$6:$G$405,'Istoric_Nativ'!$B$6:$B$405,E1189,'Istoric_Nativ'!$C$6:$C$405,F1189,'Istoric_Nativ'!$E$6:$E$405,G1189,'Istoric_Nativ'!$D$6:$D$405,"&lt;"&amp;J1189,'Istoric_Nativ'!$P$6:$P$405,1,'Istoric_Nativ'!$D$6:$D$405,"&gt;="&amp;L1189),IF(H1189="AWAY",SUMIFS('Istoric_Nativ'!$H$6:$H$405,'Istoric_Nativ'!$B$6:$B$405,E1189,'Istoric_Nativ'!$C$6:$C$405,F1189,'Istoric_Nativ'!$F$6:$F$405,G1189,'Istoric_Nativ'!$D$6:$D$405,"&lt;"&amp;J1189,'Istoric_Nativ'!$P$6:$P$405,1,'Istoric_Nativ'!$D$6:$D$405,"&gt;="&amp;L1189),SUMIFS('Istoric_Nativ'!$G$6:$G$405,'Istoric_Nativ'!$B$6:$B$405,E1189,'Istoric_Nativ'!$C$6:$C$405,F1189,'Istoric_Nativ'!$E$6:$E$405,G1189,'Istoric_Nativ'!$D$6:$D$405,"&lt;"&amp;J1189,'Istoric_Nativ'!$P$6:$P$405,1,'Istoric_Nativ'!$D$6:$D$405,"&gt;="&amp;L1189)+SUMIFS('Istoric_Nativ'!$H$6:$H$405,'Istoric_Nativ'!$B$6:$B$405,E1189,'Istoric_Nativ'!$C$6:$C$405,F1189,'Istoric_Nativ'!$F$6:$F$405,G1189,'Istoric_Nativ'!$D$6:$D$405,"&lt;"&amp;J1189,'Istoric_Nativ'!$P$6:$P$405,1,'Istoric_Nativ'!$D$6:$D$405,"&gt;="&amp;L1189)))/M1189)</x:f>
      </x:c>
      <x:c r="O1189" s="11" t="str">
        <x:f>IF(M1189=0,"",IF(H1189="HOME",SUMIFS('Istoric_Nativ'!$H$6:$H$405,'Istoric_Nativ'!$B$6:$B$405,E1189,'Istoric_Nativ'!$C$6:$C$405,F1189,'Istoric_Nativ'!$E$6:$E$405,G1189,'Istoric_Nativ'!$D$6:$D$405,"&lt;"&amp;J1189,'Istoric_Nativ'!$P$6:$P$405,1,'Istoric_Nativ'!$D$6:$D$405,"&gt;="&amp;L1189),IF(H1189="AWAY",SUMIFS('Istoric_Nativ'!$G$6:$G$405,'Istoric_Nativ'!$B$6:$B$405,E1189,'Istoric_Nativ'!$C$6:$C$405,F1189,'Istoric_Nativ'!$F$6:$F$405,G1189,'Istoric_Nativ'!$D$6:$D$405,"&lt;"&amp;J1189,'Istoric_Nativ'!$P$6:$P$405,1,'Istoric_Nativ'!$D$6:$D$405,"&gt;="&amp;L1189),SUMIFS('Istoric_Nativ'!$H$6:$H$405,'Istoric_Nativ'!$B$6:$B$405,E1189,'Istoric_Nativ'!$C$6:$C$405,F1189,'Istoric_Nativ'!$E$6:$E$405,G1189,'Istoric_Nativ'!$D$6:$D$405,"&lt;"&amp;J1189,'Istoric_Nativ'!$P$6:$P$405,1,'Istoric_Nativ'!$D$6:$D$405,"&gt;="&amp;L1189)+SUMIFS('Istoric_Nativ'!$G$6:$G$405,'Istoric_Nativ'!$B$6:$B$405,E1189,'Istoric_Nativ'!$C$6:$C$405,F1189,'Istoric_Nativ'!$F$6:$F$405,G1189,'Istoric_Nativ'!$D$6:$D$405,"&lt;"&amp;J1189,'Istoric_Nativ'!$P$6:$P$405,1,'Istoric_Nativ'!$D$6:$D$405,"&gt;="&amp;L1189)))/M1189)</x:f>
      </x:c>
      <x:c r="P1189" s="2" t="n">
        <x:f>'Config_v6'!$B$8</x:f>
        <x:v>5</x:v>
      </x:c>
      <x:c r="Q1189" s="2" t="n">
        <x:f>IF(OR(B1189="",F1189=""),0,IFERROR(MATCH(E1189&amp;"|"&amp;F1189,SourceTable[Source_Key],0),0))</x:f>
        <x:v>0</x:v>
      </x:c>
      <x:c r="R1189" s="2" t="str">
        <x:f>IF(B1189="","",IF(F1189="","UNUSED",IF(Q1189=0,"NOT CHECKED",IF(COUNTIF(SourceTable[Source_Key],E1189&amp;"|"&amp;F1189)&lt;&gt;1,"SOURCE CONFLICT",IF(NOT(OR(INDEX(SourceTable[Status],MAX(1,Q1189))="IMPORTED",INDEX(SourceTable[Status],MAX(1,Q1189))="PARTIAL",INDEX(SourceTable[Status],MAX(1,Q1189))="SOURCE CONFLICT")),"ACCESS BLOCKED",IF(OR(INDEX(SourceTable[Coverage],Q1189)&lt;&gt;"FULL SEASON EXPORT",INDEX(SourceTable[URL],Q1189)="",INDEX(SourceTable[SHA256],Q1189)=""),"EVIDENCE INCOMPLETE",IF(AND('Input_Meci'!H104="LIVE",INDEX(SourceTable[Retrieved_UTC],Q1189)&gt;'Input_Meci'!G104),"POST CUTOFF","CLOSED")))))))</x:f>
      </x:c>
      <x:c r="S1189" s="2" t="n">
        <x:f>IF(OR(B1189="",F1189=""),0,COUNTIFS('Istoric_Nativ'!$B$6:$B$405,E1189,'Istoric_Nativ'!$C$6:$C$405,F1189,'Istoric_Nativ'!$E$6:$E$405,G1189,'Istoric_Nativ'!$D$6:$D$405,"&lt;"&amp;J1189,'Istoric_Nativ'!$O$6:$O$405,"INVALID")+COUNTIFS('Istoric_Nativ'!$B$6:$B$405,E1189,'Istoric_Nativ'!$C$6:$C$405,F1189,'Istoric_Nativ'!$E$6:$E$405,G1189,'Istoric_Nativ'!$O$6:$O$405,"INVALID",'Istoric_Nativ'!$D$6:$D$405,"*")+COUNTIFS('Istoric_Nativ'!$B$6:$B$405,E1189,'Istoric_Nativ'!$C$6:$C$405,F1189,'Istoric_Nativ'!$E$6:$E$405,G1189,'Istoric_Nativ'!$D$6:$D$405,"&lt;"&amp;J1189,'Istoric_Nativ'!$O$6:$O$405,"SOURCE CONFLICT")+COUNTIFS('Istoric_Nativ'!$B$6:$B$405,E1189,'Istoric_Nativ'!$C$6:$C$405,F1189,'Istoric_Nativ'!$F$6:$F$405,G1189,'Istoric_Nativ'!$D$6:$D$405,"&lt;"&amp;J1189,'Istoric_Nativ'!$O$6:$O$405,"INVALID")+COUNTIFS('Istoric_Nativ'!$B$6:$B$405,E1189,'Istoric_Nativ'!$C$6:$C$405,F1189,'Istoric_Nativ'!$F$6:$F$405,G1189,'Istoric_Nativ'!$O$6:$O$405,"INVALID",'Istoric_Nativ'!$D$6:$D$405,"*")+COUNTIFS('Istoric_Nativ'!$B$6:$B$405,E1189,'Istoric_Nativ'!$C$6:$C$405,F1189,'Istoric_Nativ'!$F$6:$F$405,G1189,'Istoric_Nativ'!$D$6:$D$405,"&lt;"&amp;J1189,'Istoric_Nativ'!$O$6:$O$405,"SOURCE CONFLICT"))</x:f>
        <x:v>0</x:v>
      </x:c>
      <x:c r="T1189" s="2" t="str">
        <x:f>IF(B1189="","",IF(R1189&lt;&gt;"CLOSED",R1189,IF(S1189&gt;0,"NATIVE INPUT ISSUE",IF(M1189=0,"NO HISTORY",IF(M1189&lt;P1189,"SMALL SAMPLE","DERIVED")))))</x:f>
      </x:c>
      <x:c r="U1189" s="2" t="str">
        <x:f>IF(B1189="","","NativeTable; "&amp;E1189&amp;"; "&amp;F1189&amp;"; "&amp;G1189&amp;"; "&amp;H1189&amp;"; before "&amp;TEXT(J1189,"yyyy-mm-dd")&amp;IF(I1189="RECENT","; from "&amp;TEXT(L1189,"yyyy-mm-dd"),""))</x:f>
      </x:c>
    </x:row>
    <x:row r="1190" ht="21" customHeight="1">
      <x:c r="A1190" s="2" t="n">
        <x:v>99</x:v>
      </x:c>
      <x:c r="B1190" s="2" t="str">
        <x:f>IF('Input_Meci'!A104="","",'Input_Meci'!A104)</x:f>
      </x:c>
      <x:c r="C1190" s="2" t="str">
        <x:v>H</x:v>
      </x:c>
      <x:c r="D1190" s="2" t="str">
        <x:v>PRIOR</x:v>
      </x:c>
      <x:c r="E1190" s="2" t="str">
        <x:f>IF(B1190="","",'Input_Meci'!B104)</x:f>
      </x:c>
      <x:c r="F1190" s="2" t="str">
        <x:f>IF(B1190="","",IF('Input_Meci'!K104="","",'Input_Meci'!K104))</x:f>
      </x:c>
      <x:c r="G1190" s="2" t="str">
        <x:f>IF(B1190="","",'Input_Meci'!D104)</x:f>
      </x:c>
      <x:c r="H1190" s="2" t="str">
        <x:v>ANY</x:v>
      </x:c>
      <x:c r="I1190" s="2" t="str">
        <x:v>RECENT</x:v>
      </x:c>
      <x:c r="J1190" s="9" t="n">
        <x:f>IF(AND(B1190&lt;&gt;"",ISNUMBER('Input_Meci'!G104)),INT('Input_Meci'!G104),0)</x:f>
        <x:v>0</x:v>
      </x:c>
      <x:c r="K1190" s="2" t="n">
        <x:f>IF(OR(B1190="",F1190=""),0,IF(H1190="HOME",COUNTIFS('Istoric_Nativ'!$B$6:$B$405,E1190,'Istoric_Nativ'!$C$6:$C$405,F1190,'Istoric_Nativ'!$E$6:$E$405,G1190,'Istoric_Nativ'!$D$6:$D$405,"&lt;"&amp;J1190,'Istoric_Nativ'!$P$6:$P$405,1),IF(H1190="AWAY",COUNTIFS('Istoric_Nativ'!$B$6:$B$405,E1190,'Istoric_Nativ'!$C$6:$C$405,F1190,'Istoric_Nativ'!$F$6:$F$405,G1190,'Istoric_Nativ'!$D$6:$D$405,"&lt;"&amp;J1190,'Istoric_Nativ'!$P$6:$P$405,1),COUNTIFS('Istoric_Nativ'!$B$6:$B$405,E1190,'Istoric_Nativ'!$C$6:$C$405,F1190,'Istoric_Nativ'!$E$6:$E$405,G1190,'Istoric_Nativ'!$D$6:$D$405,"&lt;"&amp;J1190,'Istoric_Nativ'!$P$6:$P$405,1)+COUNTIFS('Istoric_Nativ'!$B$6:$B$405,E1190,'Istoric_Nativ'!$C$6:$C$405,F1190,'Istoric_Nativ'!$F$6:$F$405,G1190,'Istoric_Nativ'!$D$6:$D$405,"&lt;"&amp;J1190,'Istoric_Nativ'!$P$6:$P$405,1))))</x:f>
        <x:v>0</x:v>
      </x:c>
      <x:c r="L1190" s="17" t="n">
        <x:f>IF(AND(B1190&lt;&gt;"",I1190="RECENT",K1190&gt;0),LARGE(_xlfn._xlws.FILTER('Istoric_Nativ'!$D$6:$D$405,('Istoric_Nativ'!$B$6:$B$405=E1190)*('Istoric_Nativ'!$C$6:$C$405=F1190)*('Istoric_Nativ'!$P$6:$P$405=1)*('Istoric_Nativ'!$D$6:$D$405&lt;J1190)*((('Istoric_Nativ'!$E$6:$E$405=G1190)+('Istoric_Nativ'!$F$6:$F$405=G1190))&gt;0)),MIN('Config_v6'!$B$54,K1190)),0)</x:f>
        <x:v>0</x:v>
      </x:c>
      <x:c r="M1190" s="2" t="n">
        <x:f>IF(OR(B1190="",F1190=""),0,IF(H1190="HOME",COUNTIFS('Istoric_Nativ'!$B$6:$B$405,E1190,'Istoric_Nativ'!$C$6:$C$405,F1190,'Istoric_Nativ'!$E$6:$E$405,G1190,'Istoric_Nativ'!$D$6:$D$405,"&lt;"&amp;J1190,'Istoric_Nativ'!$P$6:$P$405,1,'Istoric_Nativ'!$D$6:$D$405,"&gt;="&amp;L1190),IF(H1190="AWAY",COUNTIFS('Istoric_Nativ'!$B$6:$B$405,E1190,'Istoric_Nativ'!$C$6:$C$405,F1190,'Istoric_Nativ'!$F$6:$F$405,G1190,'Istoric_Nativ'!$D$6:$D$405,"&lt;"&amp;J1190,'Istoric_Nativ'!$P$6:$P$405,1,'Istoric_Nativ'!$D$6:$D$405,"&gt;="&amp;L1190),COUNTIFS('Istoric_Nativ'!$B$6:$B$405,E1190,'Istoric_Nativ'!$C$6:$C$405,F1190,'Istoric_Nativ'!$E$6:$E$405,G1190,'Istoric_Nativ'!$D$6:$D$405,"&lt;"&amp;J1190,'Istoric_Nativ'!$P$6:$P$405,1,'Istoric_Nativ'!$D$6:$D$405,"&gt;="&amp;L1190)+COUNTIFS('Istoric_Nativ'!$B$6:$B$405,E1190,'Istoric_Nativ'!$C$6:$C$405,F1190,'Istoric_Nativ'!$F$6:$F$405,G1190,'Istoric_Nativ'!$D$6:$D$405,"&lt;"&amp;J1190,'Istoric_Nativ'!$P$6:$P$405,1,'Istoric_Nativ'!$D$6:$D$405,"&gt;="&amp;L1190))))</x:f>
        <x:v>0</x:v>
      </x:c>
      <x:c r="N1190" s="11" t="str">
        <x:f>IF(M1190=0,"",IF(H1190="HOME",SUMIFS('Istoric_Nativ'!$G$6:$G$405,'Istoric_Nativ'!$B$6:$B$405,E1190,'Istoric_Nativ'!$C$6:$C$405,F1190,'Istoric_Nativ'!$E$6:$E$405,G1190,'Istoric_Nativ'!$D$6:$D$405,"&lt;"&amp;J1190,'Istoric_Nativ'!$P$6:$P$405,1,'Istoric_Nativ'!$D$6:$D$405,"&gt;="&amp;L1190),IF(H1190="AWAY",SUMIFS('Istoric_Nativ'!$H$6:$H$405,'Istoric_Nativ'!$B$6:$B$405,E1190,'Istoric_Nativ'!$C$6:$C$405,F1190,'Istoric_Nativ'!$F$6:$F$405,G1190,'Istoric_Nativ'!$D$6:$D$405,"&lt;"&amp;J1190,'Istoric_Nativ'!$P$6:$P$405,1,'Istoric_Nativ'!$D$6:$D$405,"&gt;="&amp;L1190),SUMIFS('Istoric_Nativ'!$G$6:$G$405,'Istoric_Nativ'!$B$6:$B$405,E1190,'Istoric_Nativ'!$C$6:$C$405,F1190,'Istoric_Nativ'!$E$6:$E$405,G1190,'Istoric_Nativ'!$D$6:$D$405,"&lt;"&amp;J1190,'Istoric_Nativ'!$P$6:$P$405,1,'Istoric_Nativ'!$D$6:$D$405,"&gt;="&amp;L1190)+SUMIFS('Istoric_Nativ'!$H$6:$H$405,'Istoric_Nativ'!$B$6:$B$405,E1190,'Istoric_Nativ'!$C$6:$C$405,F1190,'Istoric_Nativ'!$F$6:$F$405,G1190,'Istoric_Nativ'!$D$6:$D$405,"&lt;"&amp;J1190,'Istoric_Nativ'!$P$6:$P$405,1,'Istoric_Nativ'!$D$6:$D$405,"&gt;="&amp;L1190)))/M1190)</x:f>
      </x:c>
      <x:c r="O1190" s="11" t="str">
        <x:f>IF(M1190=0,"",IF(H1190="HOME",SUMIFS('Istoric_Nativ'!$H$6:$H$405,'Istoric_Nativ'!$B$6:$B$405,E1190,'Istoric_Nativ'!$C$6:$C$405,F1190,'Istoric_Nativ'!$E$6:$E$405,G1190,'Istoric_Nativ'!$D$6:$D$405,"&lt;"&amp;J1190,'Istoric_Nativ'!$P$6:$P$405,1,'Istoric_Nativ'!$D$6:$D$405,"&gt;="&amp;L1190),IF(H1190="AWAY",SUMIFS('Istoric_Nativ'!$G$6:$G$405,'Istoric_Nativ'!$B$6:$B$405,E1190,'Istoric_Nativ'!$C$6:$C$405,F1190,'Istoric_Nativ'!$F$6:$F$405,G1190,'Istoric_Nativ'!$D$6:$D$405,"&lt;"&amp;J1190,'Istoric_Nativ'!$P$6:$P$405,1,'Istoric_Nativ'!$D$6:$D$405,"&gt;="&amp;L1190),SUMIFS('Istoric_Nativ'!$H$6:$H$405,'Istoric_Nativ'!$B$6:$B$405,E1190,'Istoric_Nativ'!$C$6:$C$405,F1190,'Istoric_Nativ'!$E$6:$E$405,G1190,'Istoric_Nativ'!$D$6:$D$405,"&lt;"&amp;J1190,'Istoric_Nativ'!$P$6:$P$405,1,'Istoric_Nativ'!$D$6:$D$405,"&gt;="&amp;L1190)+SUMIFS('Istoric_Nativ'!$G$6:$G$405,'Istoric_Nativ'!$B$6:$B$405,E1190,'Istoric_Nativ'!$C$6:$C$405,F1190,'Istoric_Nativ'!$F$6:$F$405,G1190,'Istoric_Nativ'!$D$6:$D$405,"&lt;"&amp;J1190,'Istoric_Nativ'!$P$6:$P$405,1,'Istoric_Nativ'!$D$6:$D$405,"&gt;="&amp;L1190)))/M1190)</x:f>
      </x:c>
      <x:c r="P1190" s="2" t="n">
        <x:f>'Config_v6'!$B$9</x:f>
        <x:v>3</x:v>
      </x:c>
      <x:c r="Q1190" s="2" t="n">
        <x:f>IF(OR(B1190="",F1190=""),0,IFERROR(MATCH(E1190&amp;"|"&amp;F1190,SourceTable[Source_Key],0),0))</x:f>
        <x:v>0</x:v>
      </x:c>
      <x:c r="R1190" s="2" t="str">
        <x:f>IF(B1190="","",IF(F1190="","UNUSED",IF(Q1190=0,"NOT CHECKED",IF(COUNTIF(SourceTable[Source_Key],E1190&amp;"|"&amp;F1190)&lt;&gt;1,"SOURCE CONFLICT",IF(NOT(OR(INDEX(SourceTable[Status],MAX(1,Q1190))="IMPORTED",INDEX(SourceTable[Status],MAX(1,Q1190))="PARTIAL",INDEX(SourceTable[Status],MAX(1,Q1190))="SOURCE CONFLICT")),"ACCESS BLOCKED",IF(OR(INDEX(SourceTable[Coverage],Q1190)&lt;&gt;"FULL SEASON EXPORT",INDEX(SourceTable[URL],Q1190)="",INDEX(SourceTable[SHA256],Q1190)=""),"EVIDENCE INCOMPLETE",IF(AND('Input_Meci'!H104="LIVE",INDEX(SourceTable[Retrieved_UTC],Q1190)&gt;'Input_Meci'!G104),"POST CUTOFF","CLOSED")))))))</x:f>
      </x:c>
      <x:c r="S1190" s="2" t="n">
        <x:f>IF(OR(B1190="",F1190=""),0,COUNTIFS('Istoric_Nativ'!$B$6:$B$405,E1190,'Istoric_Nativ'!$C$6:$C$405,F1190,'Istoric_Nativ'!$E$6:$E$405,G1190,'Istoric_Nativ'!$D$6:$D$405,"&lt;"&amp;J1190,'Istoric_Nativ'!$O$6:$O$405,"INVALID")+COUNTIFS('Istoric_Nativ'!$B$6:$B$405,E1190,'Istoric_Nativ'!$C$6:$C$405,F1190,'Istoric_Nativ'!$E$6:$E$405,G1190,'Istoric_Nativ'!$O$6:$O$405,"INVALID",'Istoric_Nativ'!$D$6:$D$405,"*")+COUNTIFS('Istoric_Nativ'!$B$6:$B$405,E1190,'Istoric_Nativ'!$C$6:$C$405,F1190,'Istoric_Nativ'!$E$6:$E$405,G1190,'Istoric_Nativ'!$D$6:$D$405,"&lt;"&amp;J1190,'Istoric_Nativ'!$O$6:$O$405,"SOURCE CONFLICT")+COUNTIFS('Istoric_Nativ'!$B$6:$B$405,E1190,'Istoric_Nativ'!$C$6:$C$405,F1190,'Istoric_Nativ'!$F$6:$F$405,G1190,'Istoric_Nativ'!$D$6:$D$405,"&lt;"&amp;J1190,'Istoric_Nativ'!$O$6:$O$405,"INVALID")+COUNTIFS('Istoric_Nativ'!$B$6:$B$405,E1190,'Istoric_Nativ'!$C$6:$C$405,F1190,'Istoric_Nativ'!$F$6:$F$405,G1190,'Istoric_Nativ'!$O$6:$O$405,"INVALID",'Istoric_Nativ'!$D$6:$D$405,"*")+COUNTIFS('Istoric_Nativ'!$B$6:$B$405,E1190,'Istoric_Nativ'!$C$6:$C$405,F1190,'Istoric_Nativ'!$F$6:$F$405,G1190,'Istoric_Nativ'!$D$6:$D$405,"&lt;"&amp;J1190,'Istoric_Nativ'!$O$6:$O$405,"SOURCE CONFLICT"))</x:f>
        <x:v>0</x:v>
      </x:c>
      <x:c r="T1190" s="2" t="str">
        <x:f>IF(B1190="","",IF(R1190&lt;&gt;"CLOSED",R1190,IF(S1190&gt;0,"NATIVE INPUT ISSUE",IF(M1190=0,"NO HISTORY",IF(M1190&lt;P1190,"SMALL SAMPLE","DERIVED")))))</x:f>
      </x:c>
      <x:c r="U1190" s="2" t="str">
        <x:f>IF(B1190="","","NativeTable; "&amp;E1190&amp;"; "&amp;F1190&amp;"; "&amp;G1190&amp;"; "&amp;H1190&amp;"; before "&amp;TEXT(J1190,"yyyy-mm-dd")&amp;IF(I1190="RECENT","; from "&amp;TEXT(L1190,"yyyy-mm-dd"),""))</x:f>
      </x:c>
    </x:row>
    <x:row r="1191" ht="21" customHeight="1">
      <x:c r="A1191" s="2" t="n">
        <x:v>99</x:v>
      </x:c>
      <x:c r="B1191" s="2" t="str">
        <x:f>IF('Input_Meci'!A104="","",'Input_Meci'!A104)</x:f>
      </x:c>
      <x:c r="C1191" s="2" t="str">
        <x:v>A</x:v>
      </x:c>
      <x:c r="D1191" s="2" t="str">
        <x:v>PRIOR</x:v>
      </x:c>
      <x:c r="E1191" s="2" t="str">
        <x:f>IF(B1191="","",'Input_Meci'!B104)</x:f>
      </x:c>
      <x:c r="F1191" s="2" t="str">
        <x:f>IF(B1191="","",IF('Input_Meci'!K104="","",'Input_Meci'!K104))</x:f>
      </x:c>
      <x:c r="G1191" s="2" t="str">
        <x:f>IF(B1191="","",'Input_Meci'!E104)</x:f>
      </x:c>
      <x:c r="H1191" s="2" t="str">
        <x:v>ANY</x:v>
      </x:c>
      <x:c r="I1191" s="2" t="str">
        <x:v>SEASON</x:v>
      </x:c>
      <x:c r="J1191" s="9" t="n">
        <x:f>IF(AND(B1191&lt;&gt;"",ISNUMBER('Input_Meci'!G104)),INT('Input_Meci'!G104),0)</x:f>
        <x:v>0</x:v>
      </x:c>
      <x:c r="K1191" s="2" t="n">
        <x:f>IF(OR(B1191="",F1191=""),0,IF(H1191="HOME",COUNTIFS('Istoric_Nativ'!$B$6:$B$405,E1191,'Istoric_Nativ'!$C$6:$C$405,F1191,'Istoric_Nativ'!$E$6:$E$405,G1191,'Istoric_Nativ'!$D$6:$D$405,"&lt;"&amp;J1191,'Istoric_Nativ'!$P$6:$P$405,1),IF(H1191="AWAY",COUNTIFS('Istoric_Nativ'!$B$6:$B$405,E1191,'Istoric_Nativ'!$C$6:$C$405,F1191,'Istoric_Nativ'!$F$6:$F$405,G1191,'Istoric_Nativ'!$D$6:$D$405,"&lt;"&amp;J1191,'Istoric_Nativ'!$P$6:$P$405,1),COUNTIFS('Istoric_Nativ'!$B$6:$B$405,E1191,'Istoric_Nativ'!$C$6:$C$405,F1191,'Istoric_Nativ'!$E$6:$E$405,G1191,'Istoric_Nativ'!$D$6:$D$405,"&lt;"&amp;J1191,'Istoric_Nativ'!$P$6:$P$405,1)+COUNTIFS('Istoric_Nativ'!$B$6:$B$405,E1191,'Istoric_Nativ'!$C$6:$C$405,F1191,'Istoric_Nativ'!$F$6:$F$405,G1191,'Istoric_Nativ'!$D$6:$D$405,"&lt;"&amp;J1191,'Istoric_Nativ'!$P$6:$P$405,1))))</x:f>
        <x:v>0</x:v>
      </x:c>
      <x:c r="L1191" s="17" t="n">
        <x:f>IF(AND(B1191&lt;&gt;"",I1191="RECENT",K1191&gt;0),LARGE(_xlfn._xlws.FILTER('Istoric_Nativ'!$D$6:$D$405,('Istoric_Nativ'!$B$6:$B$405=E1191)*('Istoric_Nativ'!$C$6:$C$405=F1191)*('Istoric_Nativ'!$P$6:$P$405=1)*('Istoric_Nativ'!$D$6:$D$405&lt;J1191)*((('Istoric_Nativ'!$E$6:$E$405=G1191)+('Istoric_Nativ'!$F$6:$F$405=G1191))&gt;0)),MIN('Config_v6'!$B$54,K1191)),0)</x:f>
        <x:v>0</x:v>
      </x:c>
      <x:c r="M1191" s="2" t="n">
        <x:f>IF(OR(B1191="",F1191=""),0,IF(H1191="HOME",COUNTIFS('Istoric_Nativ'!$B$6:$B$405,E1191,'Istoric_Nativ'!$C$6:$C$405,F1191,'Istoric_Nativ'!$E$6:$E$405,G1191,'Istoric_Nativ'!$D$6:$D$405,"&lt;"&amp;J1191,'Istoric_Nativ'!$P$6:$P$405,1,'Istoric_Nativ'!$D$6:$D$405,"&gt;="&amp;L1191),IF(H1191="AWAY",COUNTIFS('Istoric_Nativ'!$B$6:$B$405,E1191,'Istoric_Nativ'!$C$6:$C$405,F1191,'Istoric_Nativ'!$F$6:$F$405,G1191,'Istoric_Nativ'!$D$6:$D$405,"&lt;"&amp;J1191,'Istoric_Nativ'!$P$6:$P$405,1,'Istoric_Nativ'!$D$6:$D$405,"&gt;="&amp;L1191),COUNTIFS('Istoric_Nativ'!$B$6:$B$405,E1191,'Istoric_Nativ'!$C$6:$C$405,F1191,'Istoric_Nativ'!$E$6:$E$405,G1191,'Istoric_Nativ'!$D$6:$D$405,"&lt;"&amp;J1191,'Istoric_Nativ'!$P$6:$P$405,1,'Istoric_Nativ'!$D$6:$D$405,"&gt;="&amp;L1191)+COUNTIFS('Istoric_Nativ'!$B$6:$B$405,E1191,'Istoric_Nativ'!$C$6:$C$405,F1191,'Istoric_Nativ'!$F$6:$F$405,G1191,'Istoric_Nativ'!$D$6:$D$405,"&lt;"&amp;J1191,'Istoric_Nativ'!$P$6:$P$405,1,'Istoric_Nativ'!$D$6:$D$405,"&gt;="&amp;L1191))))</x:f>
        <x:v>0</x:v>
      </x:c>
      <x:c r="N1191" s="11" t="str">
        <x:f>IF(M1191=0,"",IF(H1191="HOME",SUMIFS('Istoric_Nativ'!$G$6:$G$405,'Istoric_Nativ'!$B$6:$B$405,E1191,'Istoric_Nativ'!$C$6:$C$405,F1191,'Istoric_Nativ'!$E$6:$E$405,G1191,'Istoric_Nativ'!$D$6:$D$405,"&lt;"&amp;J1191,'Istoric_Nativ'!$P$6:$P$405,1,'Istoric_Nativ'!$D$6:$D$405,"&gt;="&amp;L1191),IF(H1191="AWAY",SUMIFS('Istoric_Nativ'!$H$6:$H$405,'Istoric_Nativ'!$B$6:$B$405,E1191,'Istoric_Nativ'!$C$6:$C$405,F1191,'Istoric_Nativ'!$F$6:$F$405,G1191,'Istoric_Nativ'!$D$6:$D$405,"&lt;"&amp;J1191,'Istoric_Nativ'!$P$6:$P$405,1,'Istoric_Nativ'!$D$6:$D$405,"&gt;="&amp;L1191),SUMIFS('Istoric_Nativ'!$G$6:$G$405,'Istoric_Nativ'!$B$6:$B$405,E1191,'Istoric_Nativ'!$C$6:$C$405,F1191,'Istoric_Nativ'!$E$6:$E$405,G1191,'Istoric_Nativ'!$D$6:$D$405,"&lt;"&amp;J1191,'Istoric_Nativ'!$P$6:$P$405,1,'Istoric_Nativ'!$D$6:$D$405,"&gt;="&amp;L1191)+SUMIFS('Istoric_Nativ'!$H$6:$H$405,'Istoric_Nativ'!$B$6:$B$405,E1191,'Istoric_Nativ'!$C$6:$C$405,F1191,'Istoric_Nativ'!$F$6:$F$405,G1191,'Istoric_Nativ'!$D$6:$D$405,"&lt;"&amp;J1191,'Istoric_Nativ'!$P$6:$P$405,1,'Istoric_Nativ'!$D$6:$D$405,"&gt;="&amp;L1191)))/M1191)</x:f>
      </x:c>
      <x:c r="O1191" s="11" t="str">
        <x:f>IF(M1191=0,"",IF(H1191="HOME",SUMIFS('Istoric_Nativ'!$H$6:$H$405,'Istoric_Nativ'!$B$6:$B$405,E1191,'Istoric_Nativ'!$C$6:$C$405,F1191,'Istoric_Nativ'!$E$6:$E$405,G1191,'Istoric_Nativ'!$D$6:$D$405,"&lt;"&amp;J1191,'Istoric_Nativ'!$P$6:$P$405,1,'Istoric_Nativ'!$D$6:$D$405,"&gt;="&amp;L1191),IF(H1191="AWAY",SUMIFS('Istoric_Nativ'!$G$6:$G$405,'Istoric_Nativ'!$B$6:$B$405,E1191,'Istoric_Nativ'!$C$6:$C$405,F1191,'Istoric_Nativ'!$F$6:$F$405,G1191,'Istoric_Nativ'!$D$6:$D$405,"&lt;"&amp;J1191,'Istoric_Nativ'!$P$6:$P$405,1,'Istoric_Nativ'!$D$6:$D$405,"&gt;="&amp;L1191),SUMIFS('Istoric_Nativ'!$H$6:$H$405,'Istoric_Nativ'!$B$6:$B$405,E1191,'Istoric_Nativ'!$C$6:$C$405,F1191,'Istoric_Nativ'!$E$6:$E$405,G1191,'Istoric_Nativ'!$D$6:$D$405,"&lt;"&amp;J1191,'Istoric_Nativ'!$P$6:$P$405,1,'Istoric_Nativ'!$D$6:$D$405,"&gt;="&amp;L1191)+SUMIFS('Istoric_Nativ'!$G$6:$G$405,'Istoric_Nativ'!$B$6:$B$405,E1191,'Istoric_Nativ'!$C$6:$C$405,F1191,'Istoric_Nativ'!$F$6:$F$405,G1191,'Istoric_Nativ'!$D$6:$D$405,"&lt;"&amp;J1191,'Istoric_Nativ'!$P$6:$P$405,1,'Istoric_Nativ'!$D$6:$D$405,"&gt;="&amp;L1191)))/M1191)</x:f>
      </x:c>
      <x:c r="P1191" s="2" t="n">
        <x:f>'Config_v6'!$B$7</x:f>
        <x:v>10</x:v>
      </x:c>
      <x:c r="Q1191" s="2" t="n">
        <x:f>IF(OR(B1191="",F1191=""),0,IFERROR(MATCH(E1191&amp;"|"&amp;F1191,SourceTable[Source_Key],0),0))</x:f>
        <x:v>0</x:v>
      </x:c>
      <x:c r="R1191" s="2" t="str">
        <x:f>IF(B1191="","",IF(F1191="","UNUSED",IF(Q1191=0,"NOT CHECKED",IF(COUNTIF(SourceTable[Source_Key],E1191&amp;"|"&amp;F1191)&lt;&gt;1,"SOURCE CONFLICT",IF(NOT(OR(INDEX(SourceTable[Status],MAX(1,Q1191))="IMPORTED",INDEX(SourceTable[Status],MAX(1,Q1191))="PARTIAL",INDEX(SourceTable[Status],MAX(1,Q1191))="SOURCE CONFLICT")),"ACCESS BLOCKED",IF(OR(INDEX(SourceTable[Coverage],Q1191)&lt;&gt;"FULL SEASON EXPORT",INDEX(SourceTable[URL],Q1191)="",INDEX(SourceTable[SHA256],Q1191)=""),"EVIDENCE INCOMPLETE",IF(AND('Input_Meci'!H104="LIVE",INDEX(SourceTable[Retrieved_UTC],Q1191)&gt;'Input_Meci'!G104),"POST CUTOFF","CLOSED")))))))</x:f>
      </x:c>
      <x:c r="S1191" s="2" t="n">
        <x:f>IF(OR(B1191="",F1191=""),0,COUNTIFS('Istoric_Nativ'!$B$6:$B$405,E1191,'Istoric_Nativ'!$C$6:$C$405,F1191,'Istoric_Nativ'!$E$6:$E$405,G1191,'Istoric_Nativ'!$D$6:$D$405,"&lt;"&amp;J1191,'Istoric_Nativ'!$O$6:$O$405,"INVALID")+COUNTIFS('Istoric_Nativ'!$B$6:$B$405,E1191,'Istoric_Nativ'!$C$6:$C$405,F1191,'Istoric_Nativ'!$E$6:$E$405,G1191,'Istoric_Nativ'!$O$6:$O$405,"INVALID",'Istoric_Nativ'!$D$6:$D$405,"*")+COUNTIFS('Istoric_Nativ'!$B$6:$B$405,E1191,'Istoric_Nativ'!$C$6:$C$405,F1191,'Istoric_Nativ'!$E$6:$E$405,G1191,'Istoric_Nativ'!$D$6:$D$405,"&lt;"&amp;J1191,'Istoric_Nativ'!$O$6:$O$405,"SOURCE CONFLICT")+COUNTIFS('Istoric_Nativ'!$B$6:$B$405,E1191,'Istoric_Nativ'!$C$6:$C$405,F1191,'Istoric_Nativ'!$F$6:$F$405,G1191,'Istoric_Nativ'!$D$6:$D$405,"&lt;"&amp;J1191,'Istoric_Nativ'!$O$6:$O$405,"INVALID")+COUNTIFS('Istoric_Nativ'!$B$6:$B$405,E1191,'Istoric_Nativ'!$C$6:$C$405,F1191,'Istoric_Nativ'!$F$6:$F$405,G1191,'Istoric_Nativ'!$O$6:$O$405,"INVALID",'Istoric_Nativ'!$D$6:$D$405,"*")+COUNTIFS('Istoric_Nativ'!$B$6:$B$405,E1191,'Istoric_Nativ'!$C$6:$C$405,F1191,'Istoric_Nativ'!$F$6:$F$405,G1191,'Istoric_Nativ'!$D$6:$D$405,"&lt;"&amp;J1191,'Istoric_Nativ'!$O$6:$O$405,"SOURCE CONFLICT"))</x:f>
        <x:v>0</x:v>
      </x:c>
      <x:c r="T1191" s="2" t="str">
        <x:f>IF(B1191="","",IF(R1191&lt;&gt;"CLOSED",R1191,IF(S1191&gt;0,"NATIVE INPUT ISSUE",IF(M1191=0,"NO HISTORY",IF(M1191&lt;P1191,"SMALL SAMPLE","DERIVED")))))</x:f>
      </x:c>
      <x:c r="U1191" s="2" t="str">
        <x:f>IF(B1191="","","NativeTable; "&amp;E1191&amp;"; "&amp;F1191&amp;"; "&amp;G1191&amp;"; "&amp;H1191&amp;"; before "&amp;TEXT(J1191,"yyyy-mm-dd")&amp;IF(I1191="RECENT","; from "&amp;TEXT(L1191,"yyyy-mm-dd"),""))</x:f>
      </x:c>
    </x:row>
    <x:row r="1192" ht="21" customHeight="1">
      <x:c r="A1192" s="2" t="n">
        <x:v>99</x:v>
      </x:c>
      <x:c r="B1192" s="2" t="str">
        <x:f>IF('Input_Meci'!A104="","",'Input_Meci'!A104)</x:f>
      </x:c>
      <x:c r="C1192" s="2" t="str">
        <x:v>A</x:v>
      </x:c>
      <x:c r="D1192" s="2" t="str">
        <x:v>PRIOR</x:v>
      </x:c>
      <x:c r="E1192" s="2" t="str">
        <x:f>IF(B1192="","",'Input_Meci'!B104)</x:f>
      </x:c>
      <x:c r="F1192" s="2" t="str">
        <x:f>IF(B1192="","",IF('Input_Meci'!K104="","",'Input_Meci'!K104))</x:f>
      </x:c>
      <x:c r="G1192" s="2" t="str">
        <x:f>IF(B1192="","",'Input_Meci'!E104)</x:f>
      </x:c>
      <x:c r="H1192" s="2" t="str">
        <x:v>AWAY</x:v>
      </x:c>
      <x:c r="I1192" s="2" t="str">
        <x:v>HA</x:v>
      </x:c>
      <x:c r="J1192" s="9" t="n">
        <x:f>IF(AND(B1192&lt;&gt;"",ISNUMBER('Input_Meci'!G104)),INT('Input_Meci'!G104),0)</x:f>
        <x:v>0</x:v>
      </x:c>
      <x:c r="K1192" s="2" t="n">
        <x:f>IF(OR(B1192="",F1192=""),0,IF(H1192="HOME",COUNTIFS('Istoric_Nativ'!$B$6:$B$405,E1192,'Istoric_Nativ'!$C$6:$C$405,F1192,'Istoric_Nativ'!$E$6:$E$405,G1192,'Istoric_Nativ'!$D$6:$D$405,"&lt;"&amp;J1192,'Istoric_Nativ'!$P$6:$P$405,1),IF(H1192="AWAY",COUNTIFS('Istoric_Nativ'!$B$6:$B$405,E1192,'Istoric_Nativ'!$C$6:$C$405,F1192,'Istoric_Nativ'!$F$6:$F$405,G1192,'Istoric_Nativ'!$D$6:$D$405,"&lt;"&amp;J1192,'Istoric_Nativ'!$P$6:$P$405,1),COUNTIFS('Istoric_Nativ'!$B$6:$B$405,E1192,'Istoric_Nativ'!$C$6:$C$405,F1192,'Istoric_Nativ'!$E$6:$E$405,G1192,'Istoric_Nativ'!$D$6:$D$405,"&lt;"&amp;J1192,'Istoric_Nativ'!$P$6:$P$405,1)+COUNTIFS('Istoric_Nativ'!$B$6:$B$405,E1192,'Istoric_Nativ'!$C$6:$C$405,F1192,'Istoric_Nativ'!$F$6:$F$405,G1192,'Istoric_Nativ'!$D$6:$D$405,"&lt;"&amp;J1192,'Istoric_Nativ'!$P$6:$P$405,1))))</x:f>
        <x:v>0</x:v>
      </x:c>
      <x:c r="L1192" s="17" t="n">
        <x:f>IF(AND(B1192&lt;&gt;"",I1192="RECENT",K1192&gt;0),LARGE(_xlfn._xlws.FILTER('Istoric_Nativ'!$D$6:$D$405,('Istoric_Nativ'!$B$6:$B$405=E1192)*('Istoric_Nativ'!$C$6:$C$405=F1192)*('Istoric_Nativ'!$P$6:$P$405=1)*('Istoric_Nativ'!$D$6:$D$405&lt;J1192)*((('Istoric_Nativ'!$E$6:$E$405=G1192)+('Istoric_Nativ'!$F$6:$F$405=G1192))&gt;0)),MIN('Config_v6'!$B$54,K1192)),0)</x:f>
        <x:v>0</x:v>
      </x:c>
      <x:c r="M1192" s="2" t="n">
        <x:f>IF(OR(B1192="",F1192=""),0,IF(H1192="HOME",COUNTIFS('Istoric_Nativ'!$B$6:$B$405,E1192,'Istoric_Nativ'!$C$6:$C$405,F1192,'Istoric_Nativ'!$E$6:$E$405,G1192,'Istoric_Nativ'!$D$6:$D$405,"&lt;"&amp;J1192,'Istoric_Nativ'!$P$6:$P$405,1,'Istoric_Nativ'!$D$6:$D$405,"&gt;="&amp;L1192),IF(H1192="AWAY",COUNTIFS('Istoric_Nativ'!$B$6:$B$405,E1192,'Istoric_Nativ'!$C$6:$C$405,F1192,'Istoric_Nativ'!$F$6:$F$405,G1192,'Istoric_Nativ'!$D$6:$D$405,"&lt;"&amp;J1192,'Istoric_Nativ'!$P$6:$P$405,1,'Istoric_Nativ'!$D$6:$D$405,"&gt;="&amp;L1192),COUNTIFS('Istoric_Nativ'!$B$6:$B$405,E1192,'Istoric_Nativ'!$C$6:$C$405,F1192,'Istoric_Nativ'!$E$6:$E$405,G1192,'Istoric_Nativ'!$D$6:$D$405,"&lt;"&amp;J1192,'Istoric_Nativ'!$P$6:$P$405,1,'Istoric_Nativ'!$D$6:$D$405,"&gt;="&amp;L1192)+COUNTIFS('Istoric_Nativ'!$B$6:$B$405,E1192,'Istoric_Nativ'!$C$6:$C$405,F1192,'Istoric_Nativ'!$F$6:$F$405,G1192,'Istoric_Nativ'!$D$6:$D$405,"&lt;"&amp;J1192,'Istoric_Nativ'!$P$6:$P$405,1,'Istoric_Nativ'!$D$6:$D$405,"&gt;="&amp;L1192))))</x:f>
        <x:v>0</x:v>
      </x:c>
      <x:c r="N1192" s="11" t="str">
        <x:f>IF(M1192=0,"",IF(H1192="HOME",SUMIFS('Istoric_Nativ'!$G$6:$G$405,'Istoric_Nativ'!$B$6:$B$405,E1192,'Istoric_Nativ'!$C$6:$C$405,F1192,'Istoric_Nativ'!$E$6:$E$405,G1192,'Istoric_Nativ'!$D$6:$D$405,"&lt;"&amp;J1192,'Istoric_Nativ'!$P$6:$P$405,1,'Istoric_Nativ'!$D$6:$D$405,"&gt;="&amp;L1192),IF(H1192="AWAY",SUMIFS('Istoric_Nativ'!$H$6:$H$405,'Istoric_Nativ'!$B$6:$B$405,E1192,'Istoric_Nativ'!$C$6:$C$405,F1192,'Istoric_Nativ'!$F$6:$F$405,G1192,'Istoric_Nativ'!$D$6:$D$405,"&lt;"&amp;J1192,'Istoric_Nativ'!$P$6:$P$405,1,'Istoric_Nativ'!$D$6:$D$405,"&gt;="&amp;L1192),SUMIFS('Istoric_Nativ'!$G$6:$G$405,'Istoric_Nativ'!$B$6:$B$405,E1192,'Istoric_Nativ'!$C$6:$C$405,F1192,'Istoric_Nativ'!$E$6:$E$405,G1192,'Istoric_Nativ'!$D$6:$D$405,"&lt;"&amp;J1192,'Istoric_Nativ'!$P$6:$P$405,1,'Istoric_Nativ'!$D$6:$D$405,"&gt;="&amp;L1192)+SUMIFS('Istoric_Nativ'!$H$6:$H$405,'Istoric_Nativ'!$B$6:$B$405,E1192,'Istoric_Nativ'!$C$6:$C$405,F1192,'Istoric_Nativ'!$F$6:$F$405,G1192,'Istoric_Nativ'!$D$6:$D$405,"&lt;"&amp;J1192,'Istoric_Nativ'!$P$6:$P$405,1,'Istoric_Nativ'!$D$6:$D$405,"&gt;="&amp;L1192)))/M1192)</x:f>
      </x:c>
      <x:c r="O1192" s="11" t="str">
        <x:f>IF(M1192=0,"",IF(H1192="HOME",SUMIFS('Istoric_Nativ'!$H$6:$H$405,'Istoric_Nativ'!$B$6:$B$405,E1192,'Istoric_Nativ'!$C$6:$C$405,F1192,'Istoric_Nativ'!$E$6:$E$405,G1192,'Istoric_Nativ'!$D$6:$D$405,"&lt;"&amp;J1192,'Istoric_Nativ'!$P$6:$P$405,1,'Istoric_Nativ'!$D$6:$D$405,"&gt;="&amp;L1192),IF(H1192="AWAY",SUMIFS('Istoric_Nativ'!$G$6:$G$405,'Istoric_Nativ'!$B$6:$B$405,E1192,'Istoric_Nativ'!$C$6:$C$405,F1192,'Istoric_Nativ'!$F$6:$F$405,G1192,'Istoric_Nativ'!$D$6:$D$405,"&lt;"&amp;J1192,'Istoric_Nativ'!$P$6:$P$405,1,'Istoric_Nativ'!$D$6:$D$405,"&gt;="&amp;L1192),SUMIFS('Istoric_Nativ'!$H$6:$H$405,'Istoric_Nativ'!$B$6:$B$405,E1192,'Istoric_Nativ'!$C$6:$C$405,F1192,'Istoric_Nativ'!$E$6:$E$405,G1192,'Istoric_Nativ'!$D$6:$D$405,"&lt;"&amp;J1192,'Istoric_Nativ'!$P$6:$P$405,1,'Istoric_Nativ'!$D$6:$D$405,"&gt;="&amp;L1192)+SUMIFS('Istoric_Nativ'!$G$6:$G$405,'Istoric_Nativ'!$B$6:$B$405,E1192,'Istoric_Nativ'!$C$6:$C$405,F1192,'Istoric_Nativ'!$F$6:$F$405,G1192,'Istoric_Nativ'!$D$6:$D$405,"&lt;"&amp;J1192,'Istoric_Nativ'!$P$6:$P$405,1,'Istoric_Nativ'!$D$6:$D$405,"&gt;="&amp;L1192)))/M1192)</x:f>
      </x:c>
      <x:c r="P1192" s="2" t="n">
        <x:f>'Config_v6'!$B$8</x:f>
        <x:v>5</x:v>
      </x:c>
      <x:c r="Q1192" s="2" t="n">
        <x:f>IF(OR(B1192="",F1192=""),0,IFERROR(MATCH(E1192&amp;"|"&amp;F1192,SourceTable[Source_Key],0),0))</x:f>
        <x:v>0</x:v>
      </x:c>
      <x:c r="R1192" s="2" t="str">
        <x:f>IF(B1192="","",IF(F1192="","UNUSED",IF(Q1192=0,"NOT CHECKED",IF(COUNTIF(SourceTable[Source_Key],E1192&amp;"|"&amp;F1192)&lt;&gt;1,"SOURCE CONFLICT",IF(NOT(OR(INDEX(SourceTable[Status],MAX(1,Q1192))="IMPORTED",INDEX(SourceTable[Status],MAX(1,Q1192))="PARTIAL",INDEX(SourceTable[Status],MAX(1,Q1192))="SOURCE CONFLICT")),"ACCESS BLOCKED",IF(OR(INDEX(SourceTable[Coverage],Q1192)&lt;&gt;"FULL SEASON EXPORT",INDEX(SourceTable[URL],Q1192)="",INDEX(SourceTable[SHA256],Q1192)=""),"EVIDENCE INCOMPLETE",IF(AND('Input_Meci'!H104="LIVE",INDEX(SourceTable[Retrieved_UTC],Q1192)&gt;'Input_Meci'!G104),"POST CUTOFF","CLOSED")))))))</x:f>
      </x:c>
      <x:c r="S1192" s="2" t="n">
        <x:f>IF(OR(B1192="",F1192=""),0,COUNTIFS('Istoric_Nativ'!$B$6:$B$405,E1192,'Istoric_Nativ'!$C$6:$C$405,F1192,'Istoric_Nativ'!$E$6:$E$405,G1192,'Istoric_Nativ'!$D$6:$D$405,"&lt;"&amp;J1192,'Istoric_Nativ'!$O$6:$O$405,"INVALID")+COUNTIFS('Istoric_Nativ'!$B$6:$B$405,E1192,'Istoric_Nativ'!$C$6:$C$405,F1192,'Istoric_Nativ'!$E$6:$E$405,G1192,'Istoric_Nativ'!$O$6:$O$405,"INVALID",'Istoric_Nativ'!$D$6:$D$405,"*")+COUNTIFS('Istoric_Nativ'!$B$6:$B$405,E1192,'Istoric_Nativ'!$C$6:$C$405,F1192,'Istoric_Nativ'!$E$6:$E$405,G1192,'Istoric_Nativ'!$D$6:$D$405,"&lt;"&amp;J1192,'Istoric_Nativ'!$O$6:$O$405,"SOURCE CONFLICT")+COUNTIFS('Istoric_Nativ'!$B$6:$B$405,E1192,'Istoric_Nativ'!$C$6:$C$405,F1192,'Istoric_Nativ'!$F$6:$F$405,G1192,'Istoric_Nativ'!$D$6:$D$405,"&lt;"&amp;J1192,'Istoric_Nativ'!$O$6:$O$405,"INVALID")+COUNTIFS('Istoric_Nativ'!$B$6:$B$405,E1192,'Istoric_Nativ'!$C$6:$C$405,F1192,'Istoric_Nativ'!$F$6:$F$405,G1192,'Istoric_Nativ'!$O$6:$O$405,"INVALID",'Istoric_Nativ'!$D$6:$D$405,"*")+COUNTIFS('Istoric_Nativ'!$B$6:$B$405,E1192,'Istoric_Nativ'!$C$6:$C$405,F1192,'Istoric_Nativ'!$F$6:$F$405,G1192,'Istoric_Nativ'!$D$6:$D$405,"&lt;"&amp;J1192,'Istoric_Nativ'!$O$6:$O$405,"SOURCE CONFLICT"))</x:f>
        <x:v>0</x:v>
      </x:c>
      <x:c r="T1192" s="2" t="str">
        <x:f>IF(B1192="","",IF(R1192&lt;&gt;"CLOSED",R1192,IF(S1192&gt;0,"NATIVE INPUT ISSUE",IF(M1192=0,"NO HISTORY",IF(M1192&lt;P1192,"SMALL SAMPLE","DERIVED")))))</x:f>
      </x:c>
      <x:c r="U1192" s="2" t="str">
        <x:f>IF(B1192="","","NativeTable; "&amp;E1192&amp;"; "&amp;F1192&amp;"; "&amp;G1192&amp;"; "&amp;H1192&amp;"; before "&amp;TEXT(J1192,"yyyy-mm-dd")&amp;IF(I1192="RECENT","; from "&amp;TEXT(L1192,"yyyy-mm-dd"),""))</x:f>
      </x:c>
    </x:row>
    <x:row r="1193" ht="21" customHeight="1">
      <x:c r="A1193" s="2" t="n">
        <x:v>99</x:v>
      </x:c>
      <x:c r="B1193" s="2" t="str">
        <x:f>IF('Input_Meci'!A104="","",'Input_Meci'!A104)</x:f>
      </x:c>
      <x:c r="C1193" s="2" t="str">
        <x:v>A</x:v>
      </x:c>
      <x:c r="D1193" s="2" t="str">
        <x:v>PRIOR</x:v>
      </x:c>
      <x:c r="E1193" s="2" t="str">
        <x:f>IF(B1193="","",'Input_Meci'!B104)</x:f>
      </x:c>
      <x:c r="F1193" s="2" t="str">
        <x:f>IF(B1193="","",IF('Input_Meci'!K104="","",'Input_Meci'!K104))</x:f>
      </x:c>
      <x:c r="G1193" s="2" t="str">
        <x:f>IF(B1193="","",'Input_Meci'!E104)</x:f>
      </x:c>
      <x:c r="H1193" s="2" t="str">
        <x:v>ANY</x:v>
      </x:c>
      <x:c r="I1193" s="2" t="str">
        <x:v>RECENT</x:v>
      </x:c>
      <x:c r="J1193" s="9" t="n">
        <x:f>IF(AND(B1193&lt;&gt;"",ISNUMBER('Input_Meci'!G104)),INT('Input_Meci'!G104),0)</x:f>
        <x:v>0</x:v>
      </x:c>
      <x:c r="K1193" s="2" t="n">
        <x:f>IF(OR(B1193="",F1193=""),0,IF(H1193="HOME",COUNTIFS('Istoric_Nativ'!$B$6:$B$405,E1193,'Istoric_Nativ'!$C$6:$C$405,F1193,'Istoric_Nativ'!$E$6:$E$405,G1193,'Istoric_Nativ'!$D$6:$D$405,"&lt;"&amp;J1193,'Istoric_Nativ'!$P$6:$P$405,1),IF(H1193="AWAY",COUNTIFS('Istoric_Nativ'!$B$6:$B$405,E1193,'Istoric_Nativ'!$C$6:$C$405,F1193,'Istoric_Nativ'!$F$6:$F$405,G1193,'Istoric_Nativ'!$D$6:$D$405,"&lt;"&amp;J1193,'Istoric_Nativ'!$P$6:$P$405,1),COUNTIFS('Istoric_Nativ'!$B$6:$B$405,E1193,'Istoric_Nativ'!$C$6:$C$405,F1193,'Istoric_Nativ'!$E$6:$E$405,G1193,'Istoric_Nativ'!$D$6:$D$405,"&lt;"&amp;J1193,'Istoric_Nativ'!$P$6:$P$405,1)+COUNTIFS('Istoric_Nativ'!$B$6:$B$405,E1193,'Istoric_Nativ'!$C$6:$C$405,F1193,'Istoric_Nativ'!$F$6:$F$405,G1193,'Istoric_Nativ'!$D$6:$D$405,"&lt;"&amp;J1193,'Istoric_Nativ'!$P$6:$P$405,1))))</x:f>
        <x:v>0</x:v>
      </x:c>
      <x:c r="L1193" s="17" t="n">
        <x:f>IF(AND(B1193&lt;&gt;"",I1193="RECENT",K1193&gt;0),LARGE(_xlfn._xlws.FILTER('Istoric_Nativ'!$D$6:$D$405,('Istoric_Nativ'!$B$6:$B$405=E1193)*('Istoric_Nativ'!$C$6:$C$405=F1193)*('Istoric_Nativ'!$P$6:$P$405=1)*('Istoric_Nativ'!$D$6:$D$405&lt;J1193)*((('Istoric_Nativ'!$E$6:$E$405=G1193)+('Istoric_Nativ'!$F$6:$F$405=G1193))&gt;0)),MIN('Config_v6'!$B$54,K1193)),0)</x:f>
        <x:v>0</x:v>
      </x:c>
      <x:c r="M1193" s="2" t="n">
        <x:f>IF(OR(B1193="",F1193=""),0,IF(H1193="HOME",COUNTIFS('Istoric_Nativ'!$B$6:$B$405,E1193,'Istoric_Nativ'!$C$6:$C$405,F1193,'Istoric_Nativ'!$E$6:$E$405,G1193,'Istoric_Nativ'!$D$6:$D$405,"&lt;"&amp;J1193,'Istoric_Nativ'!$P$6:$P$405,1,'Istoric_Nativ'!$D$6:$D$405,"&gt;="&amp;L1193),IF(H1193="AWAY",COUNTIFS('Istoric_Nativ'!$B$6:$B$405,E1193,'Istoric_Nativ'!$C$6:$C$405,F1193,'Istoric_Nativ'!$F$6:$F$405,G1193,'Istoric_Nativ'!$D$6:$D$405,"&lt;"&amp;J1193,'Istoric_Nativ'!$P$6:$P$405,1,'Istoric_Nativ'!$D$6:$D$405,"&gt;="&amp;L1193),COUNTIFS('Istoric_Nativ'!$B$6:$B$405,E1193,'Istoric_Nativ'!$C$6:$C$405,F1193,'Istoric_Nativ'!$E$6:$E$405,G1193,'Istoric_Nativ'!$D$6:$D$405,"&lt;"&amp;J1193,'Istoric_Nativ'!$P$6:$P$405,1,'Istoric_Nativ'!$D$6:$D$405,"&gt;="&amp;L1193)+COUNTIFS('Istoric_Nativ'!$B$6:$B$405,E1193,'Istoric_Nativ'!$C$6:$C$405,F1193,'Istoric_Nativ'!$F$6:$F$405,G1193,'Istoric_Nativ'!$D$6:$D$405,"&lt;"&amp;J1193,'Istoric_Nativ'!$P$6:$P$405,1,'Istoric_Nativ'!$D$6:$D$405,"&gt;="&amp;L1193))))</x:f>
        <x:v>0</x:v>
      </x:c>
      <x:c r="N1193" s="11" t="str">
        <x:f>IF(M1193=0,"",IF(H1193="HOME",SUMIFS('Istoric_Nativ'!$G$6:$G$405,'Istoric_Nativ'!$B$6:$B$405,E1193,'Istoric_Nativ'!$C$6:$C$405,F1193,'Istoric_Nativ'!$E$6:$E$405,G1193,'Istoric_Nativ'!$D$6:$D$405,"&lt;"&amp;J1193,'Istoric_Nativ'!$P$6:$P$405,1,'Istoric_Nativ'!$D$6:$D$405,"&gt;="&amp;L1193),IF(H1193="AWAY",SUMIFS('Istoric_Nativ'!$H$6:$H$405,'Istoric_Nativ'!$B$6:$B$405,E1193,'Istoric_Nativ'!$C$6:$C$405,F1193,'Istoric_Nativ'!$F$6:$F$405,G1193,'Istoric_Nativ'!$D$6:$D$405,"&lt;"&amp;J1193,'Istoric_Nativ'!$P$6:$P$405,1,'Istoric_Nativ'!$D$6:$D$405,"&gt;="&amp;L1193),SUMIFS('Istoric_Nativ'!$G$6:$G$405,'Istoric_Nativ'!$B$6:$B$405,E1193,'Istoric_Nativ'!$C$6:$C$405,F1193,'Istoric_Nativ'!$E$6:$E$405,G1193,'Istoric_Nativ'!$D$6:$D$405,"&lt;"&amp;J1193,'Istoric_Nativ'!$P$6:$P$405,1,'Istoric_Nativ'!$D$6:$D$405,"&gt;="&amp;L1193)+SUMIFS('Istoric_Nativ'!$H$6:$H$405,'Istoric_Nativ'!$B$6:$B$405,E1193,'Istoric_Nativ'!$C$6:$C$405,F1193,'Istoric_Nativ'!$F$6:$F$405,G1193,'Istoric_Nativ'!$D$6:$D$405,"&lt;"&amp;J1193,'Istoric_Nativ'!$P$6:$P$405,1,'Istoric_Nativ'!$D$6:$D$405,"&gt;="&amp;L1193)))/M1193)</x:f>
      </x:c>
      <x:c r="O1193" s="11" t="str">
        <x:f>IF(M1193=0,"",IF(H1193="HOME",SUMIFS('Istoric_Nativ'!$H$6:$H$405,'Istoric_Nativ'!$B$6:$B$405,E1193,'Istoric_Nativ'!$C$6:$C$405,F1193,'Istoric_Nativ'!$E$6:$E$405,G1193,'Istoric_Nativ'!$D$6:$D$405,"&lt;"&amp;J1193,'Istoric_Nativ'!$P$6:$P$405,1,'Istoric_Nativ'!$D$6:$D$405,"&gt;="&amp;L1193),IF(H1193="AWAY",SUMIFS('Istoric_Nativ'!$G$6:$G$405,'Istoric_Nativ'!$B$6:$B$405,E1193,'Istoric_Nativ'!$C$6:$C$405,F1193,'Istoric_Nativ'!$F$6:$F$405,G1193,'Istoric_Nativ'!$D$6:$D$405,"&lt;"&amp;J1193,'Istoric_Nativ'!$P$6:$P$405,1,'Istoric_Nativ'!$D$6:$D$405,"&gt;="&amp;L1193),SUMIFS('Istoric_Nativ'!$H$6:$H$405,'Istoric_Nativ'!$B$6:$B$405,E1193,'Istoric_Nativ'!$C$6:$C$405,F1193,'Istoric_Nativ'!$E$6:$E$405,G1193,'Istoric_Nativ'!$D$6:$D$405,"&lt;"&amp;J1193,'Istoric_Nativ'!$P$6:$P$405,1,'Istoric_Nativ'!$D$6:$D$405,"&gt;="&amp;L1193)+SUMIFS('Istoric_Nativ'!$G$6:$G$405,'Istoric_Nativ'!$B$6:$B$405,E1193,'Istoric_Nativ'!$C$6:$C$405,F1193,'Istoric_Nativ'!$F$6:$F$405,G1193,'Istoric_Nativ'!$D$6:$D$405,"&lt;"&amp;J1193,'Istoric_Nativ'!$P$6:$P$405,1,'Istoric_Nativ'!$D$6:$D$405,"&gt;="&amp;L1193)))/M1193)</x:f>
      </x:c>
      <x:c r="P1193" s="2" t="n">
        <x:f>'Config_v6'!$B$9</x:f>
        <x:v>3</x:v>
      </x:c>
      <x:c r="Q1193" s="2" t="n">
        <x:f>IF(OR(B1193="",F1193=""),0,IFERROR(MATCH(E1193&amp;"|"&amp;F1193,SourceTable[Source_Key],0),0))</x:f>
        <x:v>0</x:v>
      </x:c>
      <x:c r="R1193" s="2" t="str">
        <x:f>IF(B1193="","",IF(F1193="","UNUSED",IF(Q1193=0,"NOT CHECKED",IF(COUNTIF(SourceTable[Source_Key],E1193&amp;"|"&amp;F1193)&lt;&gt;1,"SOURCE CONFLICT",IF(NOT(OR(INDEX(SourceTable[Status],MAX(1,Q1193))="IMPORTED",INDEX(SourceTable[Status],MAX(1,Q1193))="PARTIAL",INDEX(SourceTable[Status],MAX(1,Q1193))="SOURCE CONFLICT")),"ACCESS BLOCKED",IF(OR(INDEX(SourceTable[Coverage],Q1193)&lt;&gt;"FULL SEASON EXPORT",INDEX(SourceTable[URL],Q1193)="",INDEX(SourceTable[SHA256],Q1193)=""),"EVIDENCE INCOMPLETE",IF(AND('Input_Meci'!H104="LIVE",INDEX(SourceTable[Retrieved_UTC],Q1193)&gt;'Input_Meci'!G104),"POST CUTOFF","CLOSED")))))))</x:f>
      </x:c>
      <x:c r="S1193" s="2" t="n">
        <x:f>IF(OR(B1193="",F1193=""),0,COUNTIFS('Istoric_Nativ'!$B$6:$B$405,E1193,'Istoric_Nativ'!$C$6:$C$405,F1193,'Istoric_Nativ'!$E$6:$E$405,G1193,'Istoric_Nativ'!$D$6:$D$405,"&lt;"&amp;J1193,'Istoric_Nativ'!$O$6:$O$405,"INVALID")+COUNTIFS('Istoric_Nativ'!$B$6:$B$405,E1193,'Istoric_Nativ'!$C$6:$C$405,F1193,'Istoric_Nativ'!$E$6:$E$405,G1193,'Istoric_Nativ'!$O$6:$O$405,"INVALID",'Istoric_Nativ'!$D$6:$D$405,"*")+COUNTIFS('Istoric_Nativ'!$B$6:$B$405,E1193,'Istoric_Nativ'!$C$6:$C$405,F1193,'Istoric_Nativ'!$E$6:$E$405,G1193,'Istoric_Nativ'!$D$6:$D$405,"&lt;"&amp;J1193,'Istoric_Nativ'!$O$6:$O$405,"SOURCE CONFLICT")+COUNTIFS('Istoric_Nativ'!$B$6:$B$405,E1193,'Istoric_Nativ'!$C$6:$C$405,F1193,'Istoric_Nativ'!$F$6:$F$405,G1193,'Istoric_Nativ'!$D$6:$D$405,"&lt;"&amp;J1193,'Istoric_Nativ'!$O$6:$O$405,"INVALID")+COUNTIFS('Istoric_Nativ'!$B$6:$B$405,E1193,'Istoric_Nativ'!$C$6:$C$405,F1193,'Istoric_Nativ'!$F$6:$F$405,G1193,'Istoric_Nativ'!$O$6:$O$405,"INVALID",'Istoric_Nativ'!$D$6:$D$405,"*")+COUNTIFS('Istoric_Nativ'!$B$6:$B$405,E1193,'Istoric_Nativ'!$C$6:$C$405,F1193,'Istoric_Nativ'!$F$6:$F$405,G1193,'Istoric_Nativ'!$D$6:$D$405,"&lt;"&amp;J1193,'Istoric_Nativ'!$O$6:$O$405,"SOURCE CONFLICT"))</x:f>
        <x:v>0</x:v>
      </x:c>
      <x:c r="T1193" s="2" t="str">
        <x:f>IF(B1193="","",IF(R1193&lt;&gt;"CLOSED",R1193,IF(S1193&gt;0,"NATIVE INPUT ISSUE",IF(M1193=0,"NO HISTORY",IF(M1193&lt;P1193,"SMALL SAMPLE","DERIVED")))))</x:f>
      </x:c>
      <x:c r="U1193" s="2" t="str">
        <x:f>IF(B1193="","","NativeTable; "&amp;E1193&amp;"; "&amp;F1193&amp;"; "&amp;G1193&amp;"; "&amp;H1193&amp;"; before "&amp;TEXT(J1193,"yyyy-mm-dd")&amp;IF(I1193="RECENT","; from "&amp;TEXT(L1193,"yyyy-mm-dd"),""))</x:f>
      </x:c>
    </x:row>
    <x:row r="1194" ht="21" customHeight="1">
      <x:c r="A1194" s="2" t="n">
        <x:v>100</x:v>
      </x:c>
      <x:c r="B1194" s="2" t="str">
        <x:f>IF('Input_Meci'!A105="","",'Input_Meci'!A105)</x:f>
      </x:c>
      <x:c r="C1194" s="2" t="str">
        <x:v>H</x:v>
      </x:c>
      <x:c r="D1194" s="2" t="str">
        <x:v>CURRENT</x:v>
      </x:c>
      <x:c r="E1194" s="2" t="str">
        <x:f>IF(B1194="","",'Input_Meci'!B105)</x:f>
      </x:c>
      <x:c r="F1194" s="2" t="str">
        <x:f>IF(B1194="","",IF('Input_Meci'!C105="","",'Input_Meci'!C105))</x:f>
      </x:c>
      <x:c r="G1194" s="2" t="str">
        <x:f>IF(B1194="","",'Input_Meci'!D105)</x:f>
      </x:c>
      <x:c r="H1194" s="2" t="str">
        <x:v>ANY</x:v>
      </x:c>
      <x:c r="I1194" s="2" t="str">
        <x:v>SEASON</x:v>
      </x:c>
      <x:c r="J1194" s="9" t="n">
        <x:f>IF(AND(B1194&lt;&gt;"",ISNUMBER('Input_Meci'!G105)),INT('Input_Meci'!G105),0)</x:f>
        <x:v>0</x:v>
      </x:c>
      <x:c r="K1194" s="2" t="n">
        <x:f>IF(OR(B1194="",F1194=""),0,IF(H1194="HOME",COUNTIFS('Istoric_Nativ'!$B$6:$B$405,E1194,'Istoric_Nativ'!$C$6:$C$405,F1194,'Istoric_Nativ'!$E$6:$E$405,G1194,'Istoric_Nativ'!$D$6:$D$405,"&lt;"&amp;J1194,'Istoric_Nativ'!$P$6:$P$405,1),IF(H1194="AWAY",COUNTIFS('Istoric_Nativ'!$B$6:$B$405,E1194,'Istoric_Nativ'!$C$6:$C$405,F1194,'Istoric_Nativ'!$F$6:$F$405,G1194,'Istoric_Nativ'!$D$6:$D$405,"&lt;"&amp;J1194,'Istoric_Nativ'!$P$6:$P$405,1),COUNTIFS('Istoric_Nativ'!$B$6:$B$405,E1194,'Istoric_Nativ'!$C$6:$C$405,F1194,'Istoric_Nativ'!$E$6:$E$405,G1194,'Istoric_Nativ'!$D$6:$D$405,"&lt;"&amp;J1194,'Istoric_Nativ'!$P$6:$P$405,1)+COUNTIFS('Istoric_Nativ'!$B$6:$B$405,E1194,'Istoric_Nativ'!$C$6:$C$405,F1194,'Istoric_Nativ'!$F$6:$F$405,G1194,'Istoric_Nativ'!$D$6:$D$405,"&lt;"&amp;J1194,'Istoric_Nativ'!$P$6:$P$405,1))))</x:f>
        <x:v>0</x:v>
      </x:c>
      <x:c r="L1194" s="17" t="n">
        <x:f>IF(AND(B1194&lt;&gt;"",I1194="RECENT",K1194&gt;0),LARGE(_xlfn._xlws.FILTER('Istoric_Nativ'!$D$6:$D$405,('Istoric_Nativ'!$B$6:$B$405=E1194)*('Istoric_Nativ'!$C$6:$C$405=F1194)*('Istoric_Nativ'!$P$6:$P$405=1)*('Istoric_Nativ'!$D$6:$D$405&lt;J1194)*((('Istoric_Nativ'!$E$6:$E$405=G1194)+('Istoric_Nativ'!$F$6:$F$405=G1194))&gt;0)),MIN('Config_v6'!$B$54,K1194)),0)</x:f>
        <x:v>0</x:v>
      </x:c>
      <x:c r="M1194" s="2" t="n">
        <x:f>IF(OR(B1194="",F1194=""),0,IF(H1194="HOME",COUNTIFS('Istoric_Nativ'!$B$6:$B$405,E1194,'Istoric_Nativ'!$C$6:$C$405,F1194,'Istoric_Nativ'!$E$6:$E$405,G1194,'Istoric_Nativ'!$D$6:$D$405,"&lt;"&amp;J1194,'Istoric_Nativ'!$P$6:$P$405,1,'Istoric_Nativ'!$D$6:$D$405,"&gt;="&amp;L1194),IF(H1194="AWAY",COUNTIFS('Istoric_Nativ'!$B$6:$B$405,E1194,'Istoric_Nativ'!$C$6:$C$405,F1194,'Istoric_Nativ'!$F$6:$F$405,G1194,'Istoric_Nativ'!$D$6:$D$405,"&lt;"&amp;J1194,'Istoric_Nativ'!$P$6:$P$405,1,'Istoric_Nativ'!$D$6:$D$405,"&gt;="&amp;L1194),COUNTIFS('Istoric_Nativ'!$B$6:$B$405,E1194,'Istoric_Nativ'!$C$6:$C$405,F1194,'Istoric_Nativ'!$E$6:$E$405,G1194,'Istoric_Nativ'!$D$6:$D$405,"&lt;"&amp;J1194,'Istoric_Nativ'!$P$6:$P$405,1,'Istoric_Nativ'!$D$6:$D$405,"&gt;="&amp;L1194)+COUNTIFS('Istoric_Nativ'!$B$6:$B$405,E1194,'Istoric_Nativ'!$C$6:$C$405,F1194,'Istoric_Nativ'!$F$6:$F$405,G1194,'Istoric_Nativ'!$D$6:$D$405,"&lt;"&amp;J1194,'Istoric_Nativ'!$P$6:$P$405,1,'Istoric_Nativ'!$D$6:$D$405,"&gt;="&amp;L1194))))</x:f>
        <x:v>0</x:v>
      </x:c>
      <x:c r="N1194" s="11" t="str">
        <x:f>IF(M1194=0,"",IF(H1194="HOME",SUMIFS('Istoric_Nativ'!$G$6:$G$405,'Istoric_Nativ'!$B$6:$B$405,E1194,'Istoric_Nativ'!$C$6:$C$405,F1194,'Istoric_Nativ'!$E$6:$E$405,G1194,'Istoric_Nativ'!$D$6:$D$405,"&lt;"&amp;J1194,'Istoric_Nativ'!$P$6:$P$405,1,'Istoric_Nativ'!$D$6:$D$405,"&gt;="&amp;L1194),IF(H1194="AWAY",SUMIFS('Istoric_Nativ'!$H$6:$H$405,'Istoric_Nativ'!$B$6:$B$405,E1194,'Istoric_Nativ'!$C$6:$C$405,F1194,'Istoric_Nativ'!$F$6:$F$405,G1194,'Istoric_Nativ'!$D$6:$D$405,"&lt;"&amp;J1194,'Istoric_Nativ'!$P$6:$P$405,1,'Istoric_Nativ'!$D$6:$D$405,"&gt;="&amp;L1194),SUMIFS('Istoric_Nativ'!$G$6:$G$405,'Istoric_Nativ'!$B$6:$B$405,E1194,'Istoric_Nativ'!$C$6:$C$405,F1194,'Istoric_Nativ'!$E$6:$E$405,G1194,'Istoric_Nativ'!$D$6:$D$405,"&lt;"&amp;J1194,'Istoric_Nativ'!$P$6:$P$405,1,'Istoric_Nativ'!$D$6:$D$405,"&gt;="&amp;L1194)+SUMIFS('Istoric_Nativ'!$H$6:$H$405,'Istoric_Nativ'!$B$6:$B$405,E1194,'Istoric_Nativ'!$C$6:$C$405,F1194,'Istoric_Nativ'!$F$6:$F$405,G1194,'Istoric_Nativ'!$D$6:$D$405,"&lt;"&amp;J1194,'Istoric_Nativ'!$P$6:$P$405,1,'Istoric_Nativ'!$D$6:$D$405,"&gt;="&amp;L1194)))/M1194)</x:f>
      </x:c>
      <x:c r="O1194" s="11" t="str">
        <x:f>IF(M1194=0,"",IF(H1194="HOME",SUMIFS('Istoric_Nativ'!$H$6:$H$405,'Istoric_Nativ'!$B$6:$B$405,E1194,'Istoric_Nativ'!$C$6:$C$405,F1194,'Istoric_Nativ'!$E$6:$E$405,G1194,'Istoric_Nativ'!$D$6:$D$405,"&lt;"&amp;J1194,'Istoric_Nativ'!$P$6:$P$405,1,'Istoric_Nativ'!$D$6:$D$405,"&gt;="&amp;L1194),IF(H1194="AWAY",SUMIFS('Istoric_Nativ'!$G$6:$G$405,'Istoric_Nativ'!$B$6:$B$405,E1194,'Istoric_Nativ'!$C$6:$C$405,F1194,'Istoric_Nativ'!$F$6:$F$405,G1194,'Istoric_Nativ'!$D$6:$D$405,"&lt;"&amp;J1194,'Istoric_Nativ'!$P$6:$P$405,1,'Istoric_Nativ'!$D$6:$D$405,"&gt;="&amp;L1194),SUMIFS('Istoric_Nativ'!$H$6:$H$405,'Istoric_Nativ'!$B$6:$B$405,E1194,'Istoric_Nativ'!$C$6:$C$405,F1194,'Istoric_Nativ'!$E$6:$E$405,G1194,'Istoric_Nativ'!$D$6:$D$405,"&lt;"&amp;J1194,'Istoric_Nativ'!$P$6:$P$405,1,'Istoric_Nativ'!$D$6:$D$405,"&gt;="&amp;L1194)+SUMIFS('Istoric_Nativ'!$G$6:$G$405,'Istoric_Nativ'!$B$6:$B$405,E1194,'Istoric_Nativ'!$C$6:$C$405,F1194,'Istoric_Nativ'!$F$6:$F$405,G1194,'Istoric_Nativ'!$D$6:$D$405,"&lt;"&amp;J1194,'Istoric_Nativ'!$P$6:$P$405,1,'Istoric_Nativ'!$D$6:$D$405,"&gt;="&amp;L1194)))/M1194)</x:f>
      </x:c>
      <x:c r="P1194" s="2" t="n">
        <x:f>'Config_v6'!$B$7</x:f>
        <x:v>10</x:v>
      </x:c>
      <x:c r="Q1194" s="2" t="n">
        <x:f>IF(OR(B1194="",F1194=""),0,IFERROR(MATCH(E1194&amp;"|"&amp;F1194,SourceTable[Source_Key],0),0))</x:f>
        <x:v>0</x:v>
      </x:c>
      <x:c r="R1194" s="2" t="str">
        <x:f>IF(B1194="","",IF(F1194="","UNUSED",IF(Q1194=0,"NOT CHECKED",IF(COUNTIF(SourceTable[Source_Key],E1194&amp;"|"&amp;F1194)&lt;&gt;1,"SOURCE CONFLICT",IF(NOT(OR(INDEX(SourceTable[Status],MAX(1,Q1194))="IMPORTED",INDEX(SourceTable[Status],MAX(1,Q1194))="PARTIAL",INDEX(SourceTable[Status],MAX(1,Q1194))="SOURCE CONFLICT")),"ACCESS BLOCKED",IF(OR(INDEX(SourceTable[Coverage],Q1194)&lt;&gt;"FULL SEASON EXPORT",INDEX(SourceTable[URL],Q1194)="",INDEX(SourceTable[SHA256],Q1194)=""),"EVIDENCE INCOMPLETE",IF(AND('Input_Meci'!H105="LIVE",INDEX(SourceTable[Retrieved_UTC],Q1194)&gt;'Input_Meci'!G105),"POST CUTOFF","CLOSED")))))))</x:f>
      </x:c>
      <x:c r="S1194" s="2" t="n">
        <x:f>IF(OR(B1194="",F1194=""),0,COUNTIFS('Istoric_Nativ'!$B$6:$B$405,E1194,'Istoric_Nativ'!$C$6:$C$405,F1194,'Istoric_Nativ'!$E$6:$E$405,G1194,'Istoric_Nativ'!$D$6:$D$405,"&lt;"&amp;J1194,'Istoric_Nativ'!$O$6:$O$405,"INVALID")+COUNTIFS('Istoric_Nativ'!$B$6:$B$405,E1194,'Istoric_Nativ'!$C$6:$C$405,F1194,'Istoric_Nativ'!$E$6:$E$405,G1194,'Istoric_Nativ'!$O$6:$O$405,"INVALID",'Istoric_Nativ'!$D$6:$D$405,"*")+COUNTIFS('Istoric_Nativ'!$B$6:$B$405,E1194,'Istoric_Nativ'!$C$6:$C$405,F1194,'Istoric_Nativ'!$E$6:$E$405,G1194,'Istoric_Nativ'!$D$6:$D$405,"&lt;"&amp;J1194,'Istoric_Nativ'!$O$6:$O$405,"SOURCE CONFLICT")+COUNTIFS('Istoric_Nativ'!$B$6:$B$405,E1194,'Istoric_Nativ'!$C$6:$C$405,F1194,'Istoric_Nativ'!$F$6:$F$405,G1194,'Istoric_Nativ'!$D$6:$D$405,"&lt;"&amp;J1194,'Istoric_Nativ'!$O$6:$O$405,"INVALID")+COUNTIFS('Istoric_Nativ'!$B$6:$B$405,E1194,'Istoric_Nativ'!$C$6:$C$405,F1194,'Istoric_Nativ'!$F$6:$F$405,G1194,'Istoric_Nativ'!$O$6:$O$405,"INVALID",'Istoric_Nativ'!$D$6:$D$405,"*")+COUNTIFS('Istoric_Nativ'!$B$6:$B$405,E1194,'Istoric_Nativ'!$C$6:$C$405,F1194,'Istoric_Nativ'!$F$6:$F$405,G1194,'Istoric_Nativ'!$D$6:$D$405,"&lt;"&amp;J1194,'Istoric_Nativ'!$O$6:$O$405,"SOURCE CONFLICT"))</x:f>
        <x:v>0</x:v>
      </x:c>
      <x:c r="T1194" s="2" t="str">
        <x:f>IF(B1194="","",IF(R1194&lt;&gt;"CLOSED",R1194,IF(S1194&gt;0,"NATIVE INPUT ISSUE",IF(M1194=0,"NO HISTORY",IF(M1194&lt;P1194,"SMALL SAMPLE","DERIVED")))))</x:f>
      </x:c>
      <x:c r="U1194" s="2" t="str">
        <x:f>IF(B1194="","","NativeTable; "&amp;E1194&amp;"; "&amp;F1194&amp;"; "&amp;G1194&amp;"; "&amp;H1194&amp;"; before "&amp;TEXT(J1194,"yyyy-mm-dd")&amp;IF(I1194="RECENT","; from "&amp;TEXT(L1194,"yyyy-mm-dd"),""))</x:f>
      </x:c>
    </x:row>
    <x:row r="1195" ht="21" customHeight="1">
      <x:c r="A1195" s="2" t="n">
        <x:v>100</x:v>
      </x:c>
      <x:c r="B1195" s="2" t="str">
        <x:f>IF('Input_Meci'!A105="","",'Input_Meci'!A105)</x:f>
      </x:c>
      <x:c r="C1195" s="2" t="str">
        <x:v>H</x:v>
      </x:c>
      <x:c r="D1195" s="2" t="str">
        <x:v>CURRENT</x:v>
      </x:c>
      <x:c r="E1195" s="2" t="str">
        <x:f>IF(B1195="","",'Input_Meci'!B105)</x:f>
      </x:c>
      <x:c r="F1195" s="2" t="str">
        <x:f>IF(B1195="","",IF('Input_Meci'!C105="","",'Input_Meci'!C105))</x:f>
      </x:c>
      <x:c r="G1195" s="2" t="str">
        <x:f>IF(B1195="","",'Input_Meci'!D105)</x:f>
      </x:c>
      <x:c r="H1195" s="2" t="str">
        <x:v>HOME</x:v>
      </x:c>
      <x:c r="I1195" s="2" t="str">
        <x:v>HA</x:v>
      </x:c>
      <x:c r="J1195" s="9" t="n">
        <x:f>IF(AND(B1195&lt;&gt;"",ISNUMBER('Input_Meci'!G105)),INT('Input_Meci'!G105),0)</x:f>
        <x:v>0</x:v>
      </x:c>
      <x:c r="K1195" s="2" t="n">
        <x:f>IF(OR(B1195="",F1195=""),0,IF(H1195="HOME",COUNTIFS('Istoric_Nativ'!$B$6:$B$405,E1195,'Istoric_Nativ'!$C$6:$C$405,F1195,'Istoric_Nativ'!$E$6:$E$405,G1195,'Istoric_Nativ'!$D$6:$D$405,"&lt;"&amp;J1195,'Istoric_Nativ'!$P$6:$P$405,1),IF(H1195="AWAY",COUNTIFS('Istoric_Nativ'!$B$6:$B$405,E1195,'Istoric_Nativ'!$C$6:$C$405,F1195,'Istoric_Nativ'!$F$6:$F$405,G1195,'Istoric_Nativ'!$D$6:$D$405,"&lt;"&amp;J1195,'Istoric_Nativ'!$P$6:$P$405,1),COUNTIFS('Istoric_Nativ'!$B$6:$B$405,E1195,'Istoric_Nativ'!$C$6:$C$405,F1195,'Istoric_Nativ'!$E$6:$E$405,G1195,'Istoric_Nativ'!$D$6:$D$405,"&lt;"&amp;J1195,'Istoric_Nativ'!$P$6:$P$405,1)+COUNTIFS('Istoric_Nativ'!$B$6:$B$405,E1195,'Istoric_Nativ'!$C$6:$C$405,F1195,'Istoric_Nativ'!$F$6:$F$405,G1195,'Istoric_Nativ'!$D$6:$D$405,"&lt;"&amp;J1195,'Istoric_Nativ'!$P$6:$P$405,1))))</x:f>
        <x:v>0</x:v>
      </x:c>
      <x:c r="L1195" s="17" t="n">
        <x:f>IF(AND(B1195&lt;&gt;"",I1195="RECENT",K1195&gt;0),LARGE(_xlfn._xlws.FILTER('Istoric_Nativ'!$D$6:$D$405,('Istoric_Nativ'!$B$6:$B$405=E1195)*('Istoric_Nativ'!$C$6:$C$405=F1195)*('Istoric_Nativ'!$P$6:$P$405=1)*('Istoric_Nativ'!$D$6:$D$405&lt;J1195)*((('Istoric_Nativ'!$E$6:$E$405=G1195)+('Istoric_Nativ'!$F$6:$F$405=G1195))&gt;0)),MIN('Config_v6'!$B$54,K1195)),0)</x:f>
        <x:v>0</x:v>
      </x:c>
      <x:c r="M1195" s="2" t="n">
        <x:f>IF(OR(B1195="",F1195=""),0,IF(H1195="HOME",COUNTIFS('Istoric_Nativ'!$B$6:$B$405,E1195,'Istoric_Nativ'!$C$6:$C$405,F1195,'Istoric_Nativ'!$E$6:$E$405,G1195,'Istoric_Nativ'!$D$6:$D$405,"&lt;"&amp;J1195,'Istoric_Nativ'!$P$6:$P$405,1,'Istoric_Nativ'!$D$6:$D$405,"&gt;="&amp;L1195),IF(H1195="AWAY",COUNTIFS('Istoric_Nativ'!$B$6:$B$405,E1195,'Istoric_Nativ'!$C$6:$C$405,F1195,'Istoric_Nativ'!$F$6:$F$405,G1195,'Istoric_Nativ'!$D$6:$D$405,"&lt;"&amp;J1195,'Istoric_Nativ'!$P$6:$P$405,1,'Istoric_Nativ'!$D$6:$D$405,"&gt;="&amp;L1195),COUNTIFS('Istoric_Nativ'!$B$6:$B$405,E1195,'Istoric_Nativ'!$C$6:$C$405,F1195,'Istoric_Nativ'!$E$6:$E$405,G1195,'Istoric_Nativ'!$D$6:$D$405,"&lt;"&amp;J1195,'Istoric_Nativ'!$P$6:$P$405,1,'Istoric_Nativ'!$D$6:$D$405,"&gt;="&amp;L1195)+COUNTIFS('Istoric_Nativ'!$B$6:$B$405,E1195,'Istoric_Nativ'!$C$6:$C$405,F1195,'Istoric_Nativ'!$F$6:$F$405,G1195,'Istoric_Nativ'!$D$6:$D$405,"&lt;"&amp;J1195,'Istoric_Nativ'!$P$6:$P$405,1,'Istoric_Nativ'!$D$6:$D$405,"&gt;="&amp;L1195))))</x:f>
        <x:v>0</x:v>
      </x:c>
      <x:c r="N1195" s="11" t="str">
        <x:f>IF(M1195=0,"",IF(H1195="HOME",SUMIFS('Istoric_Nativ'!$G$6:$G$405,'Istoric_Nativ'!$B$6:$B$405,E1195,'Istoric_Nativ'!$C$6:$C$405,F1195,'Istoric_Nativ'!$E$6:$E$405,G1195,'Istoric_Nativ'!$D$6:$D$405,"&lt;"&amp;J1195,'Istoric_Nativ'!$P$6:$P$405,1,'Istoric_Nativ'!$D$6:$D$405,"&gt;="&amp;L1195),IF(H1195="AWAY",SUMIFS('Istoric_Nativ'!$H$6:$H$405,'Istoric_Nativ'!$B$6:$B$405,E1195,'Istoric_Nativ'!$C$6:$C$405,F1195,'Istoric_Nativ'!$F$6:$F$405,G1195,'Istoric_Nativ'!$D$6:$D$405,"&lt;"&amp;J1195,'Istoric_Nativ'!$P$6:$P$405,1,'Istoric_Nativ'!$D$6:$D$405,"&gt;="&amp;L1195),SUMIFS('Istoric_Nativ'!$G$6:$G$405,'Istoric_Nativ'!$B$6:$B$405,E1195,'Istoric_Nativ'!$C$6:$C$405,F1195,'Istoric_Nativ'!$E$6:$E$405,G1195,'Istoric_Nativ'!$D$6:$D$405,"&lt;"&amp;J1195,'Istoric_Nativ'!$P$6:$P$405,1,'Istoric_Nativ'!$D$6:$D$405,"&gt;="&amp;L1195)+SUMIFS('Istoric_Nativ'!$H$6:$H$405,'Istoric_Nativ'!$B$6:$B$405,E1195,'Istoric_Nativ'!$C$6:$C$405,F1195,'Istoric_Nativ'!$F$6:$F$405,G1195,'Istoric_Nativ'!$D$6:$D$405,"&lt;"&amp;J1195,'Istoric_Nativ'!$P$6:$P$405,1,'Istoric_Nativ'!$D$6:$D$405,"&gt;="&amp;L1195)))/M1195)</x:f>
      </x:c>
      <x:c r="O1195" s="11" t="str">
        <x:f>IF(M1195=0,"",IF(H1195="HOME",SUMIFS('Istoric_Nativ'!$H$6:$H$405,'Istoric_Nativ'!$B$6:$B$405,E1195,'Istoric_Nativ'!$C$6:$C$405,F1195,'Istoric_Nativ'!$E$6:$E$405,G1195,'Istoric_Nativ'!$D$6:$D$405,"&lt;"&amp;J1195,'Istoric_Nativ'!$P$6:$P$405,1,'Istoric_Nativ'!$D$6:$D$405,"&gt;="&amp;L1195),IF(H1195="AWAY",SUMIFS('Istoric_Nativ'!$G$6:$G$405,'Istoric_Nativ'!$B$6:$B$405,E1195,'Istoric_Nativ'!$C$6:$C$405,F1195,'Istoric_Nativ'!$F$6:$F$405,G1195,'Istoric_Nativ'!$D$6:$D$405,"&lt;"&amp;J1195,'Istoric_Nativ'!$P$6:$P$405,1,'Istoric_Nativ'!$D$6:$D$405,"&gt;="&amp;L1195),SUMIFS('Istoric_Nativ'!$H$6:$H$405,'Istoric_Nativ'!$B$6:$B$405,E1195,'Istoric_Nativ'!$C$6:$C$405,F1195,'Istoric_Nativ'!$E$6:$E$405,G1195,'Istoric_Nativ'!$D$6:$D$405,"&lt;"&amp;J1195,'Istoric_Nativ'!$P$6:$P$405,1,'Istoric_Nativ'!$D$6:$D$405,"&gt;="&amp;L1195)+SUMIFS('Istoric_Nativ'!$G$6:$G$405,'Istoric_Nativ'!$B$6:$B$405,E1195,'Istoric_Nativ'!$C$6:$C$405,F1195,'Istoric_Nativ'!$F$6:$F$405,G1195,'Istoric_Nativ'!$D$6:$D$405,"&lt;"&amp;J1195,'Istoric_Nativ'!$P$6:$P$405,1,'Istoric_Nativ'!$D$6:$D$405,"&gt;="&amp;L1195)))/M1195)</x:f>
      </x:c>
      <x:c r="P1195" s="2" t="n">
        <x:f>'Config_v6'!$B$8</x:f>
        <x:v>5</x:v>
      </x:c>
      <x:c r="Q1195" s="2" t="n">
        <x:f>IF(OR(B1195="",F1195=""),0,IFERROR(MATCH(E1195&amp;"|"&amp;F1195,SourceTable[Source_Key],0),0))</x:f>
        <x:v>0</x:v>
      </x:c>
      <x:c r="R1195" s="2" t="str">
        <x:f>IF(B1195="","",IF(F1195="","UNUSED",IF(Q1195=0,"NOT CHECKED",IF(COUNTIF(SourceTable[Source_Key],E1195&amp;"|"&amp;F1195)&lt;&gt;1,"SOURCE CONFLICT",IF(NOT(OR(INDEX(SourceTable[Status],MAX(1,Q1195))="IMPORTED",INDEX(SourceTable[Status],MAX(1,Q1195))="PARTIAL",INDEX(SourceTable[Status],MAX(1,Q1195))="SOURCE CONFLICT")),"ACCESS BLOCKED",IF(OR(INDEX(SourceTable[Coverage],Q1195)&lt;&gt;"FULL SEASON EXPORT",INDEX(SourceTable[URL],Q1195)="",INDEX(SourceTable[SHA256],Q1195)=""),"EVIDENCE INCOMPLETE",IF(AND('Input_Meci'!H105="LIVE",INDEX(SourceTable[Retrieved_UTC],Q1195)&gt;'Input_Meci'!G105),"POST CUTOFF","CLOSED")))))))</x:f>
      </x:c>
      <x:c r="S1195" s="2" t="n">
        <x:f>IF(OR(B1195="",F1195=""),0,COUNTIFS('Istoric_Nativ'!$B$6:$B$405,E1195,'Istoric_Nativ'!$C$6:$C$405,F1195,'Istoric_Nativ'!$E$6:$E$405,G1195,'Istoric_Nativ'!$D$6:$D$405,"&lt;"&amp;J1195,'Istoric_Nativ'!$O$6:$O$405,"INVALID")+COUNTIFS('Istoric_Nativ'!$B$6:$B$405,E1195,'Istoric_Nativ'!$C$6:$C$405,F1195,'Istoric_Nativ'!$E$6:$E$405,G1195,'Istoric_Nativ'!$O$6:$O$405,"INVALID",'Istoric_Nativ'!$D$6:$D$405,"*")+COUNTIFS('Istoric_Nativ'!$B$6:$B$405,E1195,'Istoric_Nativ'!$C$6:$C$405,F1195,'Istoric_Nativ'!$E$6:$E$405,G1195,'Istoric_Nativ'!$D$6:$D$405,"&lt;"&amp;J1195,'Istoric_Nativ'!$O$6:$O$405,"SOURCE CONFLICT")+COUNTIFS('Istoric_Nativ'!$B$6:$B$405,E1195,'Istoric_Nativ'!$C$6:$C$405,F1195,'Istoric_Nativ'!$F$6:$F$405,G1195,'Istoric_Nativ'!$D$6:$D$405,"&lt;"&amp;J1195,'Istoric_Nativ'!$O$6:$O$405,"INVALID")+COUNTIFS('Istoric_Nativ'!$B$6:$B$405,E1195,'Istoric_Nativ'!$C$6:$C$405,F1195,'Istoric_Nativ'!$F$6:$F$405,G1195,'Istoric_Nativ'!$O$6:$O$405,"INVALID",'Istoric_Nativ'!$D$6:$D$405,"*")+COUNTIFS('Istoric_Nativ'!$B$6:$B$405,E1195,'Istoric_Nativ'!$C$6:$C$405,F1195,'Istoric_Nativ'!$F$6:$F$405,G1195,'Istoric_Nativ'!$D$6:$D$405,"&lt;"&amp;J1195,'Istoric_Nativ'!$O$6:$O$405,"SOURCE CONFLICT"))</x:f>
        <x:v>0</x:v>
      </x:c>
      <x:c r="T1195" s="2" t="str">
        <x:f>IF(B1195="","",IF(R1195&lt;&gt;"CLOSED",R1195,IF(S1195&gt;0,"NATIVE INPUT ISSUE",IF(M1195=0,"NO HISTORY",IF(M1195&lt;P1195,"SMALL SAMPLE","DERIVED")))))</x:f>
      </x:c>
      <x:c r="U1195" s="2" t="str">
        <x:f>IF(B1195="","","NativeTable; "&amp;E1195&amp;"; "&amp;F1195&amp;"; "&amp;G1195&amp;"; "&amp;H1195&amp;"; before "&amp;TEXT(J1195,"yyyy-mm-dd")&amp;IF(I1195="RECENT","; from "&amp;TEXT(L1195,"yyyy-mm-dd"),""))</x:f>
      </x:c>
    </x:row>
    <x:row r="1196" ht="21" customHeight="1">
      <x:c r="A1196" s="2" t="n">
        <x:v>100</x:v>
      </x:c>
      <x:c r="B1196" s="2" t="str">
        <x:f>IF('Input_Meci'!A105="","",'Input_Meci'!A105)</x:f>
      </x:c>
      <x:c r="C1196" s="2" t="str">
        <x:v>H</x:v>
      </x:c>
      <x:c r="D1196" s="2" t="str">
        <x:v>CURRENT</x:v>
      </x:c>
      <x:c r="E1196" s="2" t="str">
        <x:f>IF(B1196="","",'Input_Meci'!B105)</x:f>
      </x:c>
      <x:c r="F1196" s="2" t="str">
        <x:f>IF(B1196="","",IF('Input_Meci'!C105="","",'Input_Meci'!C105))</x:f>
      </x:c>
      <x:c r="G1196" s="2" t="str">
        <x:f>IF(B1196="","",'Input_Meci'!D105)</x:f>
      </x:c>
      <x:c r="H1196" s="2" t="str">
        <x:v>ANY</x:v>
      </x:c>
      <x:c r="I1196" s="2" t="str">
        <x:v>RECENT</x:v>
      </x:c>
      <x:c r="J1196" s="9" t="n">
        <x:f>IF(AND(B1196&lt;&gt;"",ISNUMBER('Input_Meci'!G105)),INT('Input_Meci'!G105),0)</x:f>
        <x:v>0</x:v>
      </x:c>
      <x:c r="K1196" s="2" t="n">
        <x:f>IF(OR(B1196="",F1196=""),0,IF(H1196="HOME",COUNTIFS('Istoric_Nativ'!$B$6:$B$405,E1196,'Istoric_Nativ'!$C$6:$C$405,F1196,'Istoric_Nativ'!$E$6:$E$405,G1196,'Istoric_Nativ'!$D$6:$D$405,"&lt;"&amp;J1196,'Istoric_Nativ'!$P$6:$P$405,1),IF(H1196="AWAY",COUNTIFS('Istoric_Nativ'!$B$6:$B$405,E1196,'Istoric_Nativ'!$C$6:$C$405,F1196,'Istoric_Nativ'!$F$6:$F$405,G1196,'Istoric_Nativ'!$D$6:$D$405,"&lt;"&amp;J1196,'Istoric_Nativ'!$P$6:$P$405,1),COUNTIFS('Istoric_Nativ'!$B$6:$B$405,E1196,'Istoric_Nativ'!$C$6:$C$405,F1196,'Istoric_Nativ'!$E$6:$E$405,G1196,'Istoric_Nativ'!$D$6:$D$405,"&lt;"&amp;J1196,'Istoric_Nativ'!$P$6:$P$405,1)+COUNTIFS('Istoric_Nativ'!$B$6:$B$405,E1196,'Istoric_Nativ'!$C$6:$C$405,F1196,'Istoric_Nativ'!$F$6:$F$405,G1196,'Istoric_Nativ'!$D$6:$D$405,"&lt;"&amp;J1196,'Istoric_Nativ'!$P$6:$P$405,1))))</x:f>
        <x:v>0</x:v>
      </x:c>
      <x:c r="L1196" s="17" t="n">
        <x:f>IF(AND(B1196&lt;&gt;"",I1196="RECENT",K1196&gt;0),LARGE(_xlfn._xlws.FILTER('Istoric_Nativ'!$D$6:$D$405,('Istoric_Nativ'!$B$6:$B$405=E1196)*('Istoric_Nativ'!$C$6:$C$405=F1196)*('Istoric_Nativ'!$P$6:$P$405=1)*('Istoric_Nativ'!$D$6:$D$405&lt;J1196)*((('Istoric_Nativ'!$E$6:$E$405=G1196)+('Istoric_Nativ'!$F$6:$F$405=G1196))&gt;0)),MIN('Config_v6'!$B$54,K1196)),0)</x:f>
        <x:v>0</x:v>
      </x:c>
      <x:c r="M1196" s="2" t="n">
        <x:f>IF(OR(B1196="",F1196=""),0,IF(H1196="HOME",COUNTIFS('Istoric_Nativ'!$B$6:$B$405,E1196,'Istoric_Nativ'!$C$6:$C$405,F1196,'Istoric_Nativ'!$E$6:$E$405,G1196,'Istoric_Nativ'!$D$6:$D$405,"&lt;"&amp;J1196,'Istoric_Nativ'!$P$6:$P$405,1,'Istoric_Nativ'!$D$6:$D$405,"&gt;="&amp;L1196),IF(H1196="AWAY",COUNTIFS('Istoric_Nativ'!$B$6:$B$405,E1196,'Istoric_Nativ'!$C$6:$C$405,F1196,'Istoric_Nativ'!$F$6:$F$405,G1196,'Istoric_Nativ'!$D$6:$D$405,"&lt;"&amp;J1196,'Istoric_Nativ'!$P$6:$P$405,1,'Istoric_Nativ'!$D$6:$D$405,"&gt;="&amp;L1196),COUNTIFS('Istoric_Nativ'!$B$6:$B$405,E1196,'Istoric_Nativ'!$C$6:$C$405,F1196,'Istoric_Nativ'!$E$6:$E$405,G1196,'Istoric_Nativ'!$D$6:$D$405,"&lt;"&amp;J1196,'Istoric_Nativ'!$P$6:$P$405,1,'Istoric_Nativ'!$D$6:$D$405,"&gt;="&amp;L1196)+COUNTIFS('Istoric_Nativ'!$B$6:$B$405,E1196,'Istoric_Nativ'!$C$6:$C$405,F1196,'Istoric_Nativ'!$F$6:$F$405,G1196,'Istoric_Nativ'!$D$6:$D$405,"&lt;"&amp;J1196,'Istoric_Nativ'!$P$6:$P$405,1,'Istoric_Nativ'!$D$6:$D$405,"&gt;="&amp;L1196))))</x:f>
        <x:v>0</x:v>
      </x:c>
      <x:c r="N1196" s="11" t="str">
        <x:f>IF(M1196=0,"",IF(H1196="HOME",SUMIFS('Istoric_Nativ'!$G$6:$G$405,'Istoric_Nativ'!$B$6:$B$405,E1196,'Istoric_Nativ'!$C$6:$C$405,F1196,'Istoric_Nativ'!$E$6:$E$405,G1196,'Istoric_Nativ'!$D$6:$D$405,"&lt;"&amp;J1196,'Istoric_Nativ'!$P$6:$P$405,1,'Istoric_Nativ'!$D$6:$D$405,"&gt;="&amp;L1196),IF(H1196="AWAY",SUMIFS('Istoric_Nativ'!$H$6:$H$405,'Istoric_Nativ'!$B$6:$B$405,E1196,'Istoric_Nativ'!$C$6:$C$405,F1196,'Istoric_Nativ'!$F$6:$F$405,G1196,'Istoric_Nativ'!$D$6:$D$405,"&lt;"&amp;J1196,'Istoric_Nativ'!$P$6:$P$405,1,'Istoric_Nativ'!$D$6:$D$405,"&gt;="&amp;L1196),SUMIFS('Istoric_Nativ'!$G$6:$G$405,'Istoric_Nativ'!$B$6:$B$405,E1196,'Istoric_Nativ'!$C$6:$C$405,F1196,'Istoric_Nativ'!$E$6:$E$405,G1196,'Istoric_Nativ'!$D$6:$D$405,"&lt;"&amp;J1196,'Istoric_Nativ'!$P$6:$P$405,1,'Istoric_Nativ'!$D$6:$D$405,"&gt;="&amp;L1196)+SUMIFS('Istoric_Nativ'!$H$6:$H$405,'Istoric_Nativ'!$B$6:$B$405,E1196,'Istoric_Nativ'!$C$6:$C$405,F1196,'Istoric_Nativ'!$F$6:$F$405,G1196,'Istoric_Nativ'!$D$6:$D$405,"&lt;"&amp;J1196,'Istoric_Nativ'!$P$6:$P$405,1,'Istoric_Nativ'!$D$6:$D$405,"&gt;="&amp;L1196)))/M1196)</x:f>
      </x:c>
      <x:c r="O1196" s="11" t="str">
        <x:f>IF(M1196=0,"",IF(H1196="HOME",SUMIFS('Istoric_Nativ'!$H$6:$H$405,'Istoric_Nativ'!$B$6:$B$405,E1196,'Istoric_Nativ'!$C$6:$C$405,F1196,'Istoric_Nativ'!$E$6:$E$405,G1196,'Istoric_Nativ'!$D$6:$D$405,"&lt;"&amp;J1196,'Istoric_Nativ'!$P$6:$P$405,1,'Istoric_Nativ'!$D$6:$D$405,"&gt;="&amp;L1196),IF(H1196="AWAY",SUMIFS('Istoric_Nativ'!$G$6:$G$405,'Istoric_Nativ'!$B$6:$B$405,E1196,'Istoric_Nativ'!$C$6:$C$405,F1196,'Istoric_Nativ'!$F$6:$F$405,G1196,'Istoric_Nativ'!$D$6:$D$405,"&lt;"&amp;J1196,'Istoric_Nativ'!$P$6:$P$405,1,'Istoric_Nativ'!$D$6:$D$405,"&gt;="&amp;L1196),SUMIFS('Istoric_Nativ'!$H$6:$H$405,'Istoric_Nativ'!$B$6:$B$405,E1196,'Istoric_Nativ'!$C$6:$C$405,F1196,'Istoric_Nativ'!$E$6:$E$405,G1196,'Istoric_Nativ'!$D$6:$D$405,"&lt;"&amp;J1196,'Istoric_Nativ'!$P$6:$P$405,1,'Istoric_Nativ'!$D$6:$D$405,"&gt;="&amp;L1196)+SUMIFS('Istoric_Nativ'!$G$6:$G$405,'Istoric_Nativ'!$B$6:$B$405,E1196,'Istoric_Nativ'!$C$6:$C$405,F1196,'Istoric_Nativ'!$F$6:$F$405,G1196,'Istoric_Nativ'!$D$6:$D$405,"&lt;"&amp;J1196,'Istoric_Nativ'!$P$6:$P$405,1,'Istoric_Nativ'!$D$6:$D$405,"&gt;="&amp;L1196)))/M1196)</x:f>
      </x:c>
      <x:c r="P1196" s="2" t="n">
        <x:f>'Config_v6'!$B$9</x:f>
        <x:v>3</x:v>
      </x:c>
      <x:c r="Q1196" s="2" t="n">
        <x:f>IF(OR(B1196="",F1196=""),0,IFERROR(MATCH(E1196&amp;"|"&amp;F1196,SourceTable[Source_Key],0),0))</x:f>
        <x:v>0</x:v>
      </x:c>
      <x:c r="R1196" s="2" t="str">
        <x:f>IF(B1196="","",IF(F1196="","UNUSED",IF(Q1196=0,"NOT CHECKED",IF(COUNTIF(SourceTable[Source_Key],E1196&amp;"|"&amp;F1196)&lt;&gt;1,"SOURCE CONFLICT",IF(NOT(OR(INDEX(SourceTable[Status],MAX(1,Q1196))="IMPORTED",INDEX(SourceTable[Status],MAX(1,Q1196))="PARTIAL",INDEX(SourceTable[Status],MAX(1,Q1196))="SOURCE CONFLICT")),"ACCESS BLOCKED",IF(OR(INDEX(SourceTable[Coverage],Q1196)&lt;&gt;"FULL SEASON EXPORT",INDEX(SourceTable[URL],Q1196)="",INDEX(SourceTable[SHA256],Q1196)=""),"EVIDENCE INCOMPLETE",IF(AND('Input_Meci'!H105="LIVE",INDEX(SourceTable[Retrieved_UTC],Q1196)&gt;'Input_Meci'!G105),"POST CUTOFF","CLOSED")))))))</x:f>
      </x:c>
      <x:c r="S1196" s="2" t="n">
        <x:f>IF(OR(B1196="",F1196=""),0,COUNTIFS('Istoric_Nativ'!$B$6:$B$405,E1196,'Istoric_Nativ'!$C$6:$C$405,F1196,'Istoric_Nativ'!$E$6:$E$405,G1196,'Istoric_Nativ'!$D$6:$D$405,"&lt;"&amp;J1196,'Istoric_Nativ'!$O$6:$O$405,"INVALID")+COUNTIFS('Istoric_Nativ'!$B$6:$B$405,E1196,'Istoric_Nativ'!$C$6:$C$405,F1196,'Istoric_Nativ'!$E$6:$E$405,G1196,'Istoric_Nativ'!$O$6:$O$405,"INVALID",'Istoric_Nativ'!$D$6:$D$405,"*")+COUNTIFS('Istoric_Nativ'!$B$6:$B$405,E1196,'Istoric_Nativ'!$C$6:$C$405,F1196,'Istoric_Nativ'!$E$6:$E$405,G1196,'Istoric_Nativ'!$D$6:$D$405,"&lt;"&amp;J1196,'Istoric_Nativ'!$O$6:$O$405,"SOURCE CONFLICT")+COUNTIFS('Istoric_Nativ'!$B$6:$B$405,E1196,'Istoric_Nativ'!$C$6:$C$405,F1196,'Istoric_Nativ'!$F$6:$F$405,G1196,'Istoric_Nativ'!$D$6:$D$405,"&lt;"&amp;J1196,'Istoric_Nativ'!$O$6:$O$405,"INVALID")+COUNTIFS('Istoric_Nativ'!$B$6:$B$405,E1196,'Istoric_Nativ'!$C$6:$C$405,F1196,'Istoric_Nativ'!$F$6:$F$405,G1196,'Istoric_Nativ'!$O$6:$O$405,"INVALID",'Istoric_Nativ'!$D$6:$D$405,"*")+COUNTIFS('Istoric_Nativ'!$B$6:$B$405,E1196,'Istoric_Nativ'!$C$6:$C$405,F1196,'Istoric_Nativ'!$F$6:$F$405,G1196,'Istoric_Nativ'!$D$6:$D$405,"&lt;"&amp;J1196,'Istoric_Nativ'!$O$6:$O$405,"SOURCE CONFLICT"))</x:f>
        <x:v>0</x:v>
      </x:c>
      <x:c r="T1196" s="2" t="str">
        <x:f>IF(B1196="","",IF(R1196&lt;&gt;"CLOSED",R1196,IF(S1196&gt;0,"NATIVE INPUT ISSUE",IF(M1196=0,"NO HISTORY",IF(M1196&lt;P1196,"SMALL SAMPLE","DERIVED")))))</x:f>
      </x:c>
      <x:c r="U1196" s="2" t="str">
        <x:f>IF(B1196="","","NativeTable; "&amp;E1196&amp;"; "&amp;F1196&amp;"; "&amp;G1196&amp;"; "&amp;H1196&amp;"; before "&amp;TEXT(J1196,"yyyy-mm-dd")&amp;IF(I1196="RECENT","; from "&amp;TEXT(L1196,"yyyy-mm-dd"),""))</x:f>
      </x:c>
    </x:row>
    <x:row r="1197" ht="21" customHeight="1">
      <x:c r="A1197" s="2" t="n">
        <x:v>100</x:v>
      </x:c>
      <x:c r="B1197" s="2" t="str">
        <x:f>IF('Input_Meci'!A105="","",'Input_Meci'!A105)</x:f>
      </x:c>
      <x:c r="C1197" s="2" t="str">
        <x:v>A</x:v>
      </x:c>
      <x:c r="D1197" s="2" t="str">
        <x:v>CURRENT</x:v>
      </x:c>
      <x:c r="E1197" s="2" t="str">
        <x:f>IF(B1197="","",'Input_Meci'!B105)</x:f>
      </x:c>
      <x:c r="F1197" s="2" t="str">
        <x:f>IF(B1197="","",IF('Input_Meci'!C105="","",'Input_Meci'!C105))</x:f>
      </x:c>
      <x:c r="G1197" s="2" t="str">
        <x:f>IF(B1197="","",'Input_Meci'!E105)</x:f>
      </x:c>
      <x:c r="H1197" s="2" t="str">
        <x:v>ANY</x:v>
      </x:c>
      <x:c r="I1197" s="2" t="str">
        <x:v>SEASON</x:v>
      </x:c>
      <x:c r="J1197" s="9" t="n">
        <x:f>IF(AND(B1197&lt;&gt;"",ISNUMBER('Input_Meci'!G105)),INT('Input_Meci'!G105),0)</x:f>
        <x:v>0</x:v>
      </x:c>
      <x:c r="K1197" s="2" t="n">
        <x:f>IF(OR(B1197="",F1197=""),0,IF(H1197="HOME",COUNTIFS('Istoric_Nativ'!$B$6:$B$405,E1197,'Istoric_Nativ'!$C$6:$C$405,F1197,'Istoric_Nativ'!$E$6:$E$405,G1197,'Istoric_Nativ'!$D$6:$D$405,"&lt;"&amp;J1197,'Istoric_Nativ'!$P$6:$P$405,1),IF(H1197="AWAY",COUNTIFS('Istoric_Nativ'!$B$6:$B$405,E1197,'Istoric_Nativ'!$C$6:$C$405,F1197,'Istoric_Nativ'!$F$6:$F$405,G1197,'Istoric_Nativ'!$D$6:$D$405,"&lt;"&amp;J1197,'Istoric_Nativ'!$P$6:$P$405,1),COUNTIFS('Istoric_Nativ'!$B$6:$B$405,E1197,'Istoric_Nativ'!$C$6:$C$405,F1197,'Istoric_Nativ'!$E$6:$E$405,G1197,'Istoric_Nativ'!$D$6:$D$405,"&lt;"&amp;J1197,'Istoric_Nativ'!$P$6:$P$405,1)+COUNTIFS('Istoric_Nativ'!$B$6:$B$405,E1197,'Istoric_Nativ'!$C$6:$C$405,F1197,'Istoric_Nativ'!$F$6:$F$405,G1197,'Istoric_Nativ'!$D$6:$D$405,"&lt;"&amp;J1197,'Istoric_Nativ'!$P$6:$P$405,1))))</x:f>
        <x:v>0</x:v>
      </x:c>
      <x:c r="L1197" s="17" t="n">
        <x:f>IF(AND(B1197&lt;&gt;"",I1197="RECENT",K1197&gt;0),LARGE(_xlfn._xlws.FILTER('Istoric_Nativ'!$D$6:$D$405,('Istoric_Nativ'!$B$6:$B$405=E1197)*('Istoric_Nativ'!$C$6:$C$405=F1197)*('Istoric_Nativ'!$P$6:$P$405=1)*('Istoric_Nativ'!$D$6:$D$405&lt;J1197)*((('Istoric_Nativ'!$E$6:$E$405=G1197)+('Istoric_Nativ'!$F$6:$F$405=G1197))&gt;0)),MIN('Config_v6'!$B$54,K1197)),0)</x:f>
        <x:v>0</x:v>
      </x:c>
      <x:c r="M1197" s="2" t="n">
        <x:f>IF(OR(B1197="",F1197=""),0,IF(H1197="HOME",COUNTIFS('Istoric_Nativ'!$B$6:$B$405,E1197,'Istoric_Nativ'!$C$6:$C$405,F1197,'Istoric_Nativ'!$E$6:$E$405,G1197,'Istoric_Nativ'!$D$6:$D$405,"&lt;"&amp;J1197,'Istoric_Nativ'!$P$6:$P$405,1,'Istoric_Nativ'!$D$6:$D$405,"&gt;="&amp;L1197),IF(H1197="AWAY",COUNTIFS('Istoric_Nativ'!$B$6:$B$405,E1197,'Istoric_Nativ'!$C$6:$C$405,F1197,'Istoric_Nativ'!$F$6:$F$405,G1197,'Istoric_Nativ'!$D$6:$D$405,"&lt;"&amp;J1197,'Istoric_Nativ'!$P$6:$P$405,1,'Istoric_Nativ'!$D$6:$D$405,"&gt;="&amp;L1197),COUNTIFS('Istoric_Nativ'!$B$6:$B$405,E1197,'Istoric_Nativ'!$C$6:$C$405,F1197,'Istoric_Nativ'!$E$6:$E$405,G1197,'Istoric_Nativ'!$D$6:$D$405,"&lt;"&amp;J1197,'Istoric_Nativ'!$P$6:$P$405,1,'Istoric_Nativ'!$D$6:$D$405,"&gt;="&amp;L1197)+COUNTIFS('Istoric_Nativ'!$B$6:$B$405,E1197,'Istoric_Nativ'!$C$6:$C$405,F1197,'Istoric_Nativ'!$F$6:$F$405,G1197,'Istoric_Nativ'!$D$6:$D$405,"&lt;"&amp;J1197,'Istoric_Nativ'!$P$6:$P$405,1,'Istoric_Nativ'!$D$6:$D$405,"&gt;="&amp;L1197))))</x:f>
        <x:v>0</x:v>
      </x:c>
      <x:c r="N1197" s="11" t="str">
        <x:f>IF(M1197=0,"",IF(H1197="HOME",SUMIFS('Istoric_Nativ'!$G$6:$G$405,'Istoric_Nativ'!$B$6:$B$405,E1197,'Istoric_Nativ'!$C$6:$C$405,F1197,'Istoric_Nativ'!$E$6:$E$405,G1197,'Istoric_Nativ'!$D$6:$D$405,"&lt;"&amp;J1197,'Istoric_Nativ'!$P$6:$P$405,1,'Istoric_Nativ'!$D$6:$D$405,"&gt;="&amp;L1197),IF(H1197="AWAY",SUMIFS('Istoric_Nativ'!$H$6:$H$405,'Istoric_Nativ'!$B$6:$B$405,E1197,'Istoric_Nativ'!$C$6:$C$405,F1197,'Istoric_Nativ'!$F$6:$F$405,G1197,'Istoric_Nativ'!$D$6:$D$405,"&lt;"&amp;J1197,'Istoric_Nativ'!$P$6:$P$405,1,'Istoric_Nativ'!$D$6:$D$405,"&gt;="&amp;L1197),SUMIFS('Istoric_Nativ'!$G$6:$G$405,'Istoric_Nativ'!$B$6:$B$405,E1197,'Istoric_Nativ'!$C$6:$C$405,F1197,'Istoric_Nativ'!$E$6:$E$405,G1197,'Istoric_Nativ'!$D$6:$D$405,"&lt;"&amp;J1197,'Istoric_Nativ'!$P$6:$P$405,1,'Istoric_Nativ'!$D$6:$D$405,"&gt;="&amp;L1197)+SUMIFS('Istoric_Nativ'!$H$6:$H$405,'Istoric_Nativ'!$B$6:$B$405,E1197,'Istoric_Nativ'!$C$6:$C$405,F1197,'Istoric_Nativ'!$F$6:$F$405,G1197,'Istoric_Nativ'!$D$6:$D$405,"&lt;"&amp;J1197,'Istoric_Nativ'!$P$6:$P$405,1,'Istoric_Nativ'!$D$6:$D$405,"&gt;="&amp;L1197)))/M1197)</x:f>
      </x:c>
      <x:c r="O1197" s="11" t="str">
        <x:f>IF(M1197=0,"",IF(H1197="HOME",SUMIFS('Istoric_Nativ'!$H$6:$H$405,'Istoric_Nativ'!$B$6:$B$405,E1197,'Istoric_Nativ'!$C$6:$C$405,F1197,'Istoric_Nativ'!$E$6:$E$405,G1197,'Istoric_Nativ'!$D$6:$D$405,"&lt;"&amp;J1197,'Istoric_Nativ'!$P$6:$P$405,1,'Istoric_Nativ'!$D$6:$D$405,"&gt;="&amp;L1197),IF(H1197="AWAY",SUMIFS('Istoric_Nativ'!$G$6:$G$405,'Istoric_Nativ'!$B$6:$B$405,E1197,'Istoric_Nativ'!$C$6:$C$405,F1197,'Istoric_Nativ'!$F$6:$F$405,G1197,'Istoric_Nativ'!$D$6:$D$405,"&lt;"&amp;J1197,'Istoric_Nativ'!$P$6:$P$405,1,'Istoric_Nativ'!$D$6:$D$405,"&gt;="&amp;L1197),SUMIFS('Istoric_Nativ'!$H$6:$H$405,'Istoric_Nativ'!$B$6:$B$405,E1197,'Istoric_Nativ'!$C$6:$C$405,F1197,'Istoric_Nativ'!$E$6:$E$405,G1197,'Istoric_Nativ'!$D$6:$D$405,"&lt;"&amp;J1197,'Istoric_Nativ'!$P$6:$P$405,1,'Istoric_Nativ'!$D$6:$D$405,"&gt;="&amp;L1197)+SUMIFS('Istoric_Nativ'!$G$6:$G$405,'Istoric_Nativ'!$B$6:$B$405,E1197,'Istoric_Nativ'!$C$6:$C$405,F1197,'Istoric_Nativ'!$F$6:$F$405,G1197,'Istoric_Nativ'!$D$6:$D$405,"&lt;"&amp;J1197,'Istoric_Nativ'!$P$6:$P$405,1,'Istoric_Nativ'!$D$6:$D$405,"&gt;="&amp;L1197)))/M1197)</x:f>
      </x:c>
      <x:c r="P1197" s="2" t="n">
        <x:f>'Config_v6'!$B$7</x:f>
        <x:v>10</x:v>
      </x:c>
      <x:c r="Q1197" s="2" t="n">
        <x:f>IF(OR(B1197="",F1197=""),0,IFERROR(MATCH(E1197&amp;"|"&amp;F1197,SourceTable[Source_Key],0),0))</x:f>
        <x:v>0</x:v>
      </x:c>
      <x:c r="R1197" s="2" t="str">
        <x:f>IF(B1197="","",IF(F1197="","UNUSED",IF(Q1197=0,"NOT CHECKED",IF(COUNTIF(SourceTable[Source_Key],E1197&amp;"|"&amp;F1197)&lt;&gt;1,"SOURCE CONFLICT",IF(NOT(OR(INDEX(SourceTable[Status],MAX(1,Q1197))="IMPORTED",INDEX(SourceTable[Status],MAX(1,Q1197))="PARTIAL",INDEX(SourceTable[Status],MAX(1,Q1197))="SOURCE CONFLICT")),"ACCESS BLOCKED",IF(OR(INDEX(SourceTable[Coverage],Q1197)&lt;&gt;"FULL SEASON EXPORT",INDEX(SourceTable[URL],Q1197)="",INDEX(SourceTable[SHA256],Q1197)=""),"EVIDENCE INCOMPLETE",IF(AND('Input_Meci'!H105="LIVE",INDEX(SourceTable[Retrieved_UTC],Q1197)&gt;'Input_Meci'!G105),"POST CUTOFF","CLOSED")))))))</x:f>
      </x:c>
      <x:c r="S1197" s="2" t="n">
        <x:f>IF(OR(B1197="",F1197=""),0,COUNTIFS('Istoric_Nativ'!$B$6:$B$405,E1197,'Istoric_Nativ'!$C$6:$C$405,F1197,'Istoric_Nativ'!$E$6:$E$405,G1197,'Istoric_Nativ'!$D$6:$D$405,"&lt;"&amp;J1197,'Istoric_Nativ'!$O$6:$O$405,"INVALID")+COUNTIFS('Istoric_Nativ'!$B$6:$B$405,E1197,'Istoric_Nativ'!$C$6:$C$405,F1197,'Istoric_Nativ'!$E$6:$E$405,G1197,'Istoric_Nativ'!$O$6:$O$405,"INVALID",'Istoric_Nativ'!$D$6:$D$405,"*")+COUNTIFS('Istoric_Nativ'!$B$6:$B$405,E1197,'Istoric_Nativ'!$C$6:$C$405,F1197,'Istoric_Nativ'!$E$6:$E$405,G1197,'Istoric_Nativ'!$D$6:$D$405,"&lt;"&amp;J1197,'Istoric_Nativ'!$O$6:$O$405,"SOURCE CONFLICT")+COUNTIFS('Istoric_Nativ'!$B$6:$B$405,E1197,'Istoric_Nativ'!$C$6:$C$405,F1197,'Istoric_Nativ'!$F$6:$F$405,G1197,'Istoric_Nativ'!$D$6:$D$405,"&lt;"&amp;J1197,'Istoric_Nativ'!$O$6:$O$405,"INVALID")+COUNTIFS('Istoric_Nativ'!$B$6:$B$405,E1197,'Istoric_Nativ'!$C$6:$C$405,F1197,'Istoric_Nativ'!$F$6:$F$405,G1197,'Istoric_Nativ'!$O$6:$O$405,"INVALID",'Istoric_Nativ'!$D$6:$D$405,"*")+COUNTIFS('Istoric_Nativ'!$B$6:$B$405,E1197,'Istoric_Nativ'!$C$6:$C$405,F1197,'Istoric_Nativ'!$F$6:$F$405,G1197,'Istoric_Nativ'!$D$6:$D$405,"&lt;"&amp;J1197,'Istoric_Nativ'!$O$6:$O$405,"SOURCE CONFLICT"))</x:f>
        <x:v>0</x:v>
      </x:c>
      <x:c r="T1197" s="2" t="str">
        <x:f>IF(B1197="","",IF(R1197&lt;&gt;"CLOSED",R1197,IF(S1197&gt;0,"NATIVE INPUT ISSUE",IF(M1197=0,"NO HISTORY",IF(M1197&lt;P1197,"SMALL SAMPLE","DERIVED")))))</x:f>
      </x:c>
      <x:c r="U1197" s="2" t="str">
        <x:f>IF(B1197="","","NativeTable; "&amp;E1197&amp;"; "&amp;F1197&amp;"; "&amp;G1197&amp;"; "&amp;H1197&amp;"; before "&amp;TEXT(J1197,"yyyy-mm-dd")&amp;IF(I1197="RECENT","; from "&amp;TEXT(L1197,"yyyy-mm-dd"),""))</x:f>
      </x:c>
    </x:row>
    <x:row r="1198" ht="21" customHeight="1">
      <x:c r="A1198" s="2" t="n">
        <x:v>100</x:v>
      </x:c>
      <x:c r="B1198" s="2" t="str">
        <x:f>IF('Input_Meci'!A105="","",'Input_Meci'!A105)</x:f>
      </x:c>
      <x:c r="C1198" s="2" t="str">
        <x:v>A</x:v>
      </x:c>
      <x:c r="D1198" s="2" t="str">
        <x:v>CURRENT</x:v>
      </x:c>
      <x:c r="E1198" s="2" t="str">
        <x:f>IF(B1198="","",'Input_Meci'!B105)</x:f>
      </x:c>
      <x:c r="F1198" s="2" t="str">
        <x:f>IF(B1198="","",IF('Input_Meci'!C105="","",'Input_Meci'!C105))</x:f>
      </x:c>
      <x:c r="G1198" s="2" t="str">
        <x:f>IF(B1198="","",'Input_Meci'!E105)</x:f>
      </x:c>
      <x:c r="H1198" s="2" t="str">
        <x:v>AWAY</x:v>
      </x:c>
      <x:c r="I1198" s="2" t="str">
        <x:v>HA</x:v>
      </x:c>
      <x:c r="J1198" s="9" t="n">
        <x:f>IF(AND(B1198&lt;&gt;"",ISNUMBER('Input_Meci'!G105)),INT('Input_Meci'!G105),0)</x:f>
        <x:v>0</x:v>
      </x:c>
      <x:c r="K1198" s="2" t="n">
        <x:f>IF(OR(B1198="",F1198=""),0,IF(H1198="HOME",COUNTIFS('Istoric_Nativ'!$B$6:$B$405,E1198,'Istoric_Nativ'!$C$6:$C$405,F1198,'Istoric_Nativ'!$E$6:$E$405,G1198,'Istoric_Nativ'!$D$6:$D$405,"&lt;"&amp;J1198,'Istoric_Nativ'!$P$6:$P$405,1),IF(H1198="AWAY",COUNTIFS('Istoric_Nativ'!$B$6:$B$405,E1198,'Istoric_Nativ'!$C$6:$C$405,F1198,'Istoric_Nativ'!$F$6:$F$405,G1198,'Istoric_Nativ'!$D$6:$D$405,"&lt;"&amp;J1198,'Istoric_Nativ'!$P$6:$P$405,1),COUNTIFS('Istoric_Nativ'!$B$6:$B$405,E1198,'Istoric_Nativ'!$C$6:$C$405,F1198,'Istoric_Nativ'!$E$6:$E$405,G1198,'Istoric_Nativ'!$D$6:$D$405,"&lt;"&amp;J1198,'Istoric_Nativ'!$P$6:$P$405,1)+COUNTIFS('Istoric_Nativ'!$B$6:$B$405,E1198,'Istoric_Nativ'!$C$6:$C$405,F1198,'Istoric_Nativ'!$F$6:$F$405,G1198,'Istoric_Nativ'!$D$6:$D$405,"&lt;"&amp;J1198,'Istoric_Nativ'!$P$6:$P$405,1))))</x:f>
        <x:v>0</x:v>
      </x:c>
      <x:c r="L1198" s="17" t="n">
        <x:f>IF(AND(B1198&lt;&gt;"",I1198="RECENT",K1198&gt;0),LARGE(_xlfn._xlws.FILTER('Istoric_Nativ'!$D$6:$D$405,('Istoric_Nativ'!$B$6:$B$405=E1198)*('Istoric_Nativ'!$C$6:$C$405=F1198)*('Istoric_Nativ'!$P$6:$P$405=1)*('Istoric_Nativ'!$D$6:$D$405&lt;J1198)*((('Istoric_Nativ'!$E$6:$E$405=G1198)+('Istoric_Nativ'!$F$6:$F$405=G1198))&gt;0)),MIN('Config_v6'!$B$54,K1198)),0)</x:f>
        <x:v>0</x:v>
      </x:c>
      <x:c r="M1198" s="2" t="n">
        <x:f>IF(OR(B1198="",F1198=""),0,IF(H1198="HOME",COUNTIFS('Istoric_Nativ'!$B$6:$B$405,E1198,'Istoric_Nativ'!$C$6:$C$405,F1198,'Istoric_Nativ'!$E$6:$E$405,G1198,'Istoric_Nativ'!$D$6:$D$405,"&lt;"&amp;J1198,'Istoric_Nativ'!$P$6:$P$405,1,'Istoric_Nativ'!$D$6:$D$405,"&gt;="&amp;L1198),IF(H1198="AWAY",COUNTIFS('Istoric_Nativ'!$B$6:$B$405,E1198,'Istoric_Nativ'!$C$6:$C$405,F1198,'Istoric_Nativ'!$F$6:$F$405,G1198,'Istoric_Nativ'!$D$6:$D$405,"&lt;"&amp;J1198,'Istoric_Nativ'!$P$6:$P$405,1,'Istoric_Nativ'!$D$6:$D$405,"&gt;="&amp;L1198),COUNTIFS('Istoric_Nativ'!$B$6:$B$405,E1198,'Istoric_Nativ'!$C$6:$C$405,F1198,'Istoric_Nativ'!$E$6:$E$405,G1198,'Istoric_Nativ'!$D$6:$D$405,"&lt;"&amp;J1198,'Istoric_Nativ'!$P$6:$P$405,1,'Istoric_Nativ'!$D$6:$D$405,"&gt;="&amp;L1198)+COUNTIFS('Istoric_Nativ'!$B$6:$B$405,E1198,'Istoric_Nativ'!$C$6:$C$405,F1198,'Istoric_Nativ'!$F$6:$F$405,G1198,'Istoric_Nativ'!$D$6:$D$405,"&lt;"&amp;J1198,'Istoric_Nativ'!$P$6:$P$405,1,'Istoric_Nativ'!$D$6:$D$405,"&gt;="&amp;L1198))))</x:f>
        <x:v>0</x:v>
      </x:c>
      <x:c r="N1198" s="11" t="str">
        <x:f>IF(M1198=0,"",IF(H1198="HOME",SUMIFS('Istoric_Nativ'!$G$6:$G$405,'Istoric_Nativ'!$B$6:$B$405,E1198,'Istoric_Nativ'!$C$6:$C$405,F1198,'Istoric_Nativ'!$E$6:$E$405,G1198,'Istoric_Nativ'!$D$6:$D$405,"&lt;"&amp;J1198,'Istoric_Nativ'!$P$6:$P$405,1,'Istoric_Nativ'!$D$6:$D$405,"&gt;="&amp;L1198),IF(H1198="AWAY",SUMIFS('Istoric_Nativ'!$H$6:$H$405,'Istoric_Nativ'!$B$6:$B$405,E1198,'Istoric_Nativ'!$C$6:$C$405,F1198,'Istoric_Nativ'!$F$6:$F$405,G1198,'Istoric_Nativ'!$D$6:$D$405,"&lt;"&amp;J1198,'Istoric_Nativ'!$P$6:$P$405,1,'Istoric_Nativ'!$D$6:$D$405,"&gt;="&amp;L1198),SUMIFS('Istoric_Nativ'!$G$6:$G$405,'Istoric_Nativ'!$B$6:$B$405,E1198,'Istoric_Nativ'!$C$6:$C$405,F1198,'Istoric_Nativ'!$E$6:$E$405,G1198,'Istoric_Nativ'!$D$6:$D$405,"&lt;"&amp;J1198,'Istoric_Nativ'!$P$6:$P$405,1,'Istoric_Nativ'!$D$6:$D$405,"&gt;="&amp;L1198)+SUMIFS('Istoric_Nativ'!$H$6:$H$405,'Istoric_Nativ'!$B$6:$B$405,E1198,'Istoric_Nativ'!$C$6:$C$405,F1198,'Istoric_Nativ'!$F$6:$F$405,G1198,'Istoric_Nativ'!$D$6:$D$405,"&lt;"&amp;J1198,'Istoric_Nativ'!$P$6:$P$405,1,'Istoric_Nativ'!$D$6:$D$405,"&gt;="&amp;L1198)))/M1198)</x:f>
      </x:c>
      <x:c r="O1198" s="11" t="str">
        <x:f>IF(M1198=0,"",IF(H1198="HOME",SUMIFS('Istoric_Nativ'!$H$6:$H$405,'Istoric_Nativ'!$B$6:$B$405,E1198,'Istoric_Nativ'!$C$6:$C$405,F1198,'Istoric_Nativ'!$E$6:$E$405,G1198,'Istoric_Nativ'!$D$6:$D$405,"&lt;"&amp;J1198,'Istoric_Nativ'!$P$6:$P$405,1,'Istoric_Nativ'!$D$6:$D$405,"&gt;="&amp;L1198),IF(H1198="AWAY",SUMIFS('Istoric_Nativ'!$G$6:$G$405,'Istoric_Nativ'!$B$6:$B$405,E1198,'Istoric_Nativ'!$C$6:$C$405,F1198,'Istoric_Nativ'!$F$6:$F$405,G1198,'Istoric_Nativ'!$D$6:$D$405,"&lt;"&amp;J1198,'Istoric_Nativ'!$P$6:$P$405,1,'Istoric_Nativ'!$D$6:$D$405,"&gt;="&amp;L1198),SUMIFS('Istoric_Nativ'!$H$6:$H$405,'Istoric_Nativ'!$B$6:$B$405,E1198,'Istoric_Nativ'!$C$6:$C$405,F1198,'Istoric_Nativ'!$E$6:$E$405,G1198,'Istoric_Nativ'!$D$6:$D$405,"&lt;"&amp;J1198,'Istoric_Nativ'!$P$6:$P$405,1,'Istoric_Nativ'!$D$6:$D$405,"&gt;="&amp;L1198)+SUMIFS('Istoric_Nativ'!$G$6:$G$405,'Istoric_Nativ'!$B$6:$B$405,E1198,'Istoric_Nativ'!$C$6:$C$405,F1198,'Istoric_Nativ'!$F$6:$F$405,G1198,'Istoric_Nativ'!$D$6:$D$405,"&lt;"&amp;J1198,'Istoric_Nativ'!$P$6:$P$405,1,'Istoric_Nativ'!$D$6:$D$405,"&gt;="&amp;L1198)))/M1198)</x:f>
      </x:c>
      <x:c r="P1198" s="2" t="n">
        <x:f>'Config_v6'!$B$8</x:f>
        <x:v>5</x:v>
      </x:c>
      <x:c r="Q1198" s="2" t="n">
        <x:f>IF(OR(B1198="",F1198=""),0,IFERROR(MATCH(E1198&amp;"|"&amp;F1198,SourceTable[Source_Key],0),0))</x:f>
        <x:v>0</x:v>
      </x:c>
      <x:c r="R1198" s="2" t="str">
        <x:f>IF(B1198="","",IF(F1198="","UNUSED",IF(Q1198=0,"NOT CHECKED",IF(COUNTIF(SourceTable[Source_Key],E1198&amp;"|"&amp;F1198)&lt;&gt;1,"SOURCE CONFLICT",IF(NOT(OR(INDEX(SourceTable[Status],MAX(1,Q1198))="IMPORTED",INDEX(SourceTable[Status],MAX(1,Q1198))="PARTIAL",INDEX(SourceTable[Status],MAX(1,Q1198))="SOURCE CONFLICT")),"ACCESS BLOCKED",IF(OR(INDEX(SourceTable[Coverage],Q1198)&lt;&gt;"FULL SEASON EXPORT",INDEX(SourceTable[URL],Q1198)="",INDEX(SourceTable[SHA256],Q1198)=""),"EVIDENCE INCOMPLETE",IF(AND('Input_Meci'!H105="LIVE",INDEX(SourceTable[Retrieved_UTC],Q1198)&gt;'Input_Meci'!G105),"POST CUTOFF","CLOSED")))))))</x:f>
      </x:c>
      <x:c r="S1198" s="2" t="n">
        <x:f>IF(OR(B1198="",F1198=""),0,COUNTIFS('Istoric_Nativ'!$B$6:$B$405,E1198,'Istoric_Nativ'!$C$6:$C$405,F1198,'Istoric_Nativ'!$E$6:$E$405,G1198,'Istoric_Nativ'!$D$6:$D$405,"&lt;"&amp;J1198,'Istoric_Nativ'!$O$6:$O$405,"INVALID")+COUNTIFS('Istoric_Nativ'!$B$6:$B$405,E1198,'Istoric_Nativ'!$C$6:$C$405,F1198,'Istoric_Nativ'!$E$6:$E$405,G1198,'Istoric_Nativ'!$O$6:$O$405,"INVALID",'Istoric_Nativ'!$D$6:$D$405,"*")+COUNTIFS('Istoric_Nativ'!$B$6:$B$405,E1198,'Istoric_Nativ'!$C$6:$C$405,F1198,'Istoric_Nativ'!$E$6:$E$405,G1198,'Istoric_Nativ'!$D$6:$D$405,"&lt;"&amp;J1198,'Istoric_Nativ'!$O$6:$O$405,"SOURCE CONFLICT")+COUNTIFS('Istoric_Nativ'!$B$6:$B$405,E1198,'Istoric_Nativ'!$C$6:$C$405,F1198,'Istoric_Nativ'!$F$6:$F$405,G1198,'Istoric_Nativ'!$D$6:$D$405,"&lt;"&amp;J1198,'Istoric_Nativ'!$O$6:$O$405,"INVALID")+COUNTIFS('Istoric_Nativ'!$B$6:$B$405,E1198,'Istoric_Nativ'!$C$6:$C$405,F1198,'Istoric_Nativ'!$F$6:$F$405,G1198,'Istoric_Nativ'!$O$6:$O$405,"INVALID",'Istoric_Nativ'!$D$6:$D$405,"*")+COUNTIFS('Istoric_Nativ'!$B$6:$B$405,E1198,'Istoric_Nativ'!$C$6:$C$405,F1198,'Istoric_Nativ'!$F$6:$F$405,G1198,'Istoric_Nativ'!$D$6:$D$405,"&lt;"&amp;J1198,'Istoric_Nativ'!$O$6:$O$405,"SOURCE CONFLICT"))</x:f>
        <x:v>0</x:v>
      </x:c>
      <x:c r="T1198" s="2" t="str">
        <x:f>IF(B1198="","",IF(R1198&lt;&gt;"CLOSED",R1198,IF(S1198&gt;0,"NATIVE INPUT ISSUE",IF(M1198=0,"NO HISTORY",IF(M1198&lt;P1198,"SMALL SAMPLE","DERIVED")))))</x:f>
      </x:c>
      <x:c r="U1198" s="2" t="str">
        <x:f>IF(B1198="","","NativeTable; "&amp;E1198&amp;"; "&amp;F1198&amp;"; "&amp;G1198&amp;"; "&amp;H1198&amp;"; before "&amp;TEXT(J1198,"yyyy-mm-dd")&amp;IF(I1198="RECENT","; from "&amp;TEXT(L1198,"yyyy-mm-dd"),""))</x:f>
      </x:c>
    </x:row>
    <x:row r="1199" ht="21" customHeight="1">
      <x:c r="A1199" s="2" t="n">
        <x:v>100</x:v>
      </x:c>
      <x:c r="B1199" s="2" t="str">
        <x:f>IF('Input_Meci'!A105="","",'Input_Meci'!A105)</x:f>
      </x:c>
      <x:c r="C1199" s="2" t="str">
        <x:v>A</x:v>
      </x:c>
      <x:c r="D1199" s="2" t="str">
        <x:v>CURRENT</x:v>
      </x:c>
      <x:c r="E1199" s="2" t="str">
        <x:f>IF(B1199="","",'Input_Meci'!B105)</x:f>
      </x:c>
      <x:c r="F1199" s="2" t="str">
        <x:f>IF(B1199="","",IF('Input_Meci'!C105="","",'Input_Meci'!C105))</x:f>
      </x:c>
      <x:c r="G1199" s="2" t="str">
        <x:f>IF(B1199="","",'Input_Meci'!E105)</x:f>
      </x:c>
      <x:c r="H1199" s="2" t="str">
        <x:v>ANY</x:v>
      </x:c>
      <x:c r="I1199" s="2" t="str">
        <x:v>RECENT</x:v>
      </x:c>
      <x:c r="J1199" s="9" t="n">
        <x:f>IF(AND(B1199&lt;&gt;"",ISNUMBER('Input_Meci'!G105)),INT('Input_Meci'!G105),0)</x:f>
        <x:v>0</x:v>
      </x:c>
      <x:c r="K1199" s="2" t="n">
        <x:f>IF(OR(B1199="",F1199=""),0,IF(H1199="HOME",COUNTIFS('Istoric_Nativ'!$B$6:$B$405,E1199,'Istoric_Nativ'!$C$6:$C$405,F1199,'Istoric_Nativ'!$E$6:$E$405,G1199,'Istoric_Nativ'!$D$6:$D$405,"&lt;"&amp;J1199,'Istoric_Nativ'!$P$6:$P$405,1),IF(H1199="AWAY",COUNTIFS('Istoric_Nativ'!$B$6:$B$405,E1199,'Istoric_Nativ'!$C$6:$C$405,F1199,'Istoric_Nativ'!$F$6:$F$405,G1199,'Istoric_Nativ'!$D$6:$D$405,"&lt;"&amp;J1199,'Istoric_Nativ'!$P$6:$P$405,1),COUNTIFS('Istoric_Nativ'!$B$6:$B$405,E1199,'Istoric_Nativ'!$C$6:$C$405,F1199,'Istoric_Nativ'!$E$6:$E$405,G1199,'Istoric_Nativ'!$D$6:$D$405,"&lt;"&amp;J1199,'Istoric_Nativ'!$P$6:$P$405,1)+COUNTIFS('Istoric_Nativ'!$B$6:$B$405,E1199,'Istoric_Nativ'!$C$6:$C$405,F1199,'Istoric_Nativ'!$F$6:$F$405,G1199,'Istoric_Nativ'!$D$6:$D$405,"&lt;"&amp;J1199,'Istoric_Nativ'!$P$6:$P$405,1))))</x:f>
        <x:v>0</x:v>
      </x:c>
      <x:c r="L1199" s="17" t="n">
        <x:f>IF(AND(B1199&lt;&gt;"",I1199="RECENT",K1199&gt;0),LARGE(_xlfn._xlws.FILTER('Istoric_Nativ'!$D$6:$D$405,('Istoric_Nativ'!$B$6:$B$405=E1199)*('Istoric_Nativ'!$C$6:$C$405=F1199)*('Istoric_Nativ'!$P$6:$P$405=1)*('Istoric_Nativ'!$D$6:$D$405&lt;J1199)*((('Istoric_Nativ'!$E$6:$E$405=G1199)+('Istoric_Nativ'!$F$6:$F$405=G1199))&gt;0)),MIN('Config_v6'!$B$54,K1199)),0)</x:f>
        <x:v>0</x:v>
      </x:c>
      <x:c r="M1199" s="2" t="n">
        <x:f>IF(OR(B1199="",F1199=""),0,IF(H1199="HOME",COUNTIFS('Istoric_Nativ'!$B$6:$B$405,E1199,'Istoric_Nativ'!$C$6:$C$405,F1199,'Istoric_Nativ'!$E$6:$E$405,G1199,'Istoric_Nativ'!$D$6:$D$405,"&lt;"&amp;J1199,'Istoric_Nativ'!$P$6:$P$405,1,'Istoric_Nativ'!$D$6:$D$405,"&gt;="&amp;L1199),IF(H1199="AWAY",COUNTIFS('Istoric_Nativ'!$B$6:$B$405,E1199,'Istoric_Nativ'!$C$6:$C$405,F1199,'Istoric_Nativ'!$F$6:$F$405,G1199,'Istoric_Nativ'!$D$6:$D$405,"&lt;"&amp;J1199,'Istoric_Nativ'!$P$6:$P$405,1,'Istoric_Nativ'!$D$6:$D$405,"&gt;="&amp;L1199),COUNTIFS('Istoric_Nativ'!$B$6:$B$405,E1199,'Istoric_Nativ'!$C$6:$C$405,F1199,'Istoric_Nativ'!$E$6:$E$405,G1199,'Istoric_Nativ'!$D$6:$D$405,"&lt;"&amp;J1199,'Istoric_Nativ'!$P$6:$P$405,1,'Istoric_Nativ'!$D$6:$D$405,"&gt;="&amp;L1199)+COUNTIFS('Istoric_Nativ'!$B$6:$B$405,E1199,'Istoric_Nativ'!$C$6:$C$405,F1199,'Istoric_Nativ'!$F$6:$F$405,G1199,'Istoric_Nativ'!$D$6:$D$405,"&lt;"&amp;J1199,'Istoric_Nativ'!$P$6:$P$405,1,'Istoric_Nativ'!$D$6:$D$405,"&gt;="&amp;L1199))))</x:f>
        <x:v>0</x:v>
      </x:c>
      <x:c r="N1199" s="11" t="str">
        <x:f>IF(M1199=0,"",IF(H1199="HOME",SUMIFS('Istoric_Nativ'!$G$6:$G$405,'Istoric_Nativ'!$B$6:$B$405,E1199,'Istoric_Nativ'!$C$6:$C$405,F1199,'Istoric_Nativ'!$E$6:$E$405,G1199,'Istoric_Nativ'!$D$6:$D$405,"&lt;"&amp;J1199,'Istoric_Nativ'!$P$6:$P$405,1,'Istoric_Nativ'!$D$6:$D$405,"&gt;="&amp;L1199),IF(H1199="AWAY",SUMIFS('Istoric_Nativ'!$H$6:$H$405,'Istoric_Nativ'!$B$6:$B$405,E1199,'Istoric_Nativ'!$C$6:$C$405,F1199,'Istoric_Nativ'!$F$6:$F$405,G1199,'Istoric_Nativ'!$D$6:$D$405,"&lt;"&amp;J1199,'Istoric_Nativ'!$P$6:$P$405,1,'Istoric_Nativ'!$D$6:$D$405,"&gt;="&amp;L1199),SUMIFS('Istoric_Nativ'!$G$6:$G$405,'Istoric_Nativ'!$B$6:$B$405,E1199,'Istoric_Nativ'!$C$6:$C$405,F1199,'Istoric_Nativ'!$E$6:$E$405,G1199,'Istoric_Nativ'!$D$6:$D$405,"&lt;"&amp;J1199,'Istoric_Nativ'!$P$6:$P$405,1,'Istoric_Nativ'!$D$6:$D$405,"&gt;="&amp;L1199)+SUMIFS('Istoric_Nativ'!$H$6:$H$405,'Istoric_Nativ'!$B$6:$B$405,E1199,'Istoric_Nativ'!$C$6:$C$405,F1199,'Istoric_Nativ'!$F$6:$F$405,G1199,'Istoric_Nativ'!$D$6:$D$405,"&lt;"&amp;J1199,'Istoric_Nativ'!$P$6:$P$405,1,'Istoric_Nativ'!$D$6:$D$405,"&gt;="&amp;L1199)))/M1199)</x:f>
      </x:c>
      <x:c r="O1199" s="11" t="str">
        <x:f>IF(M1199=0,"",IF(H1199="HOME",SUMIFS('Istoric_Nativ'!$H$6:$H$405,'Istoric_Nativ'!$B$6:$B$405,E1199,'Istoric_Nativ'!$C$6:$C$405,F1199,'Istoric_Nativ'!$E$6:$E$405,G1199,'Istoric_Nativ'!$D$6:$D$405,"&lt;"&amp;J1199,'Istoric_Nativ'!$P$6:$P$405,1,'Istoric_Nativ'!$D$6:$D$405,"&gt;="&amp;L1199),IF(H1199="AWAY",SUMIFS('Istoric_Nativ'!$G$6:$G$405,'Istoric_Nativ'!$B$6:$B$405,E1199,'Istoric_Nativ'!$C$6:$C$405,F1199,'Istoric_Nativ'!$F$6:$F$405,G1199,'Istoric_Nativ'!$D$6:$D$405,"&lt;"&amp;J1199,'Istoric_Nativ'!$P$6:$P$405,1,'Istoric_Nativ'!$D$6:$D$405,"&gt;="&amp;L1199),SUMIFS('Istoric_Nativ'!$H$6:$H$405,'Istoric_Nativ'!$B$6:$B$405,E1199,'Istoric_Nativ'!$C$6:$C$405,F1199,'Istoric_Nativ'!$E$6:$E$405,G1199,'Istoric_Nativ'!$D$6:$D$405,"&lt;"&amp;J1199,'Istoric_Nativ'!$P$6:$P$405,1,'Istoric_Nativ'!$D$6:$D$405,"&gt;="&amp;L1199)+SUMIFS('Istoric_Nativ'!$G$6:$G$405,'Istoric_Nativ'!$B$6:$B$405,E1199,'Istoric_Nativ'!$C$6:$C$405,F1199,'Istoric_Nativ'!$F$6:$F$405,G1199,'Istoric_Nativ'!$D$6:$D$405,"&lt;"&amp;J1199,'Istoric_Nativ'!$P$6:$P$405,1,'Istoric_Nativ'!$D$6:$D$405,"&gt;="&amp;L1199)))/M1199)</x:f>
      </x:c>
      <x:c r="P1199" s="2" t="n">
        <x:f>'Config_v6'!$B$9</x:f>
        <x:v>3</x:v>
      </x:c>
      <x:c r="Q1199" s="2" t="n">
        <x:f>IF(OR(B1199="",F1199=""),0,IFERROR(MATCH(E1199&amp;"|"&amp;F1199,SourceTable[Source_Key],0),0))</x:f>
        <x:v>0</x:v>
      </x:c>
      <x:c r="R1199" s="2" t="str">
        <x:f>IF(B1199="","",IF(F1199="","UNUSED",IF(Q1199=0,"NOT CHECKED",IF(COUNTIF(SourceTable[Source_Key],E1199&amp;"|"&amp;F1199)&lt;&gt;1,"SOURCE CONFLICT",IF(NOT(OR(INDEX(SourceTable[Status],MAX(1,Q1199))="IMPORTED",INDEX(SourceTable[Status],MAX(1,Q1199))="PARTIAL",INDEX(SourceTable[Status],MAX(1,Q1199))="SOURCE CONFLICT")),"ACCESS BLOCKED",IF(OR(INDEX(SourceTable[Coverage],Q1199)&lt;&gt;"FULL SEASON EXPORT",INDEX(SourceTable[URL],Q1199)="",INDEX(SourceTable[SHA256],Q1199)=""),"EVIDENCE INCOMPLETE",IF(AND('Input_Meci'!H105="LIVE",INDEX(SourceTable[Retrieved_UTC],Q1199)&gt;'Input_Meci'!G105),"POST CUTOFF","CLOSED")))))))</x:f>
      </x:c>
      <x:c r="S1199" s="2" t="n">
        <x:f>IF(OR(B1199="",F1199=""),0,COUNTIFS('Istoric_Nativ'!$B$6:$B$405,E1199,'Istoric_Nativ'!$C$6:$C$405,F1199,'Istoric_Nativ'!$E$6:$E$405,G1199,'Istoric_Nativ'!$D$6:$D$405,"&lt;"&amp;J1199,'Istoric_Nativ'!$O$6:$O$405,"INVALID")+COUNTIFS('Istoric_Nativ'!$B$6:$B$405,E1199,'Istoric_Nativ'!$C$6:$C$405,F1199,'Istoric_Nativ'!$E$6:$E$405,G1199,'Istoric_Nativ'!$O$6:$O$405,"INVALID",'Istoric_Nativ'!$D$6:$D$405,"*")+COUNTIFS('Istoric_Nativ'!$B$6:$B$405,E1199,'Istoric_Nativ'!$C$6:$C$405,F1199,'Istoric_Nativ'!$E$6:$E$405,G1199,'Istoric_Nativ'!$D$6:$D$405,"&lt;"&amp;J1199,'Istoric_Nativ'!$O$6:$O$405,"SOURCE CONFLICT")+COUNTIFS('Istoric_Nativ'!$B$6:$B$405,E1199,'Istoric_Nativ'!$C$6:$C$405,F1199,'Istoric_Nativ'!$F$6:$F$405,G1199,'Istoric_Nativ'!$D$6:$D$405,"&lt;"&amp;J1199,'Istoric_Nativ'!$O$6:$O$405,"INVALID")+COUNTIFS('Istoric_Nativ'!$B$6:$B$405,E1199,'Istoric_Nativ'!$C$6:$C$405,F1199,'Istoric_Nativ'!$F$6:$F$405,G1199,'Istoric_Nativ'!$O$6:$O$405,"INVALID",'Istoric_Nativ'!$D$6:$D$405,"*")+COUNTIFS('Istoric_Nativ'!$B$6:$B$405,E1199,'Istoric_Nativ'!$C$6:$C$405,F1199,'Istoric_Nativ'!$F$6:$F$405,G1199,'Istoric_Nativ'!$D$6:$D$405,"&lt;"&amp;J1199,'Istoric_Nativ'!$O$6:$O$405,"SOURCE CONFLICT"))</x:f>
        <x:v>0</x:v>
      </x:c>
      <x:c r="T1199" s="2" t="str">
        <x:f>IF(B1199="","",IF(R1199&lt;&gt;"CLOSED",R1199,IF(S1199&gt;0,"NATIVE INPUT ISSUE",IF(M1199=0,"NO HISTORY",IF(M1199&lt;P1199,"SMALL SAMPLE","DERIVED")))))</x:f>
      </x:c>
      <x:c r="U1199" s="2" t="str">
        <x:f>IF(B1199="","","NativeTable; "&amp;E1199&amp;"; "&amp;F1199&amp;"; "&amp;G1199&amp;"; "&amp;H1199&amp;"; before "&amp;TEXT(J1199,"yyyy-mm-dd")&amp;IF(I1199="RECENT","; from "&amp;TEXT(L1199,"yyyy-mm-dd"),""))</x:f>
      </x:c>
    </x:row>
    <x:row r="1200" ht="21" customHeight="1">
      <x:c r="A1200" s="2" t="n">
        <x:v>100</x:v>
      </x:c>
      <x:c r="B1200" s="2" t="str">
        <x:f>IF('Input_Meci'!A105="","",'Input_Meci'!A105)</x:f>
      </x:c>
      <x:c r="C1200" s="2" t="str">
        <x:v>H</x:v>
      </x:c>
      <x:c r="D1200" s="2" t="str">
        <x:v>PRIOR</x:v>
      </x:c>
      <x:c r="E1200" s="2" t="str">
        <x:f>IF(B1200="","",'Input_Meci'!B105)</x:f>
      </x:c>
      <x:c r="F1200" s="2" t="str">
        <x:f>IF(B1200="","",IF('Input_Meci'!K105="","",'Input_Meci'!K105))</x:f>
      </x:c>
      <x:c r="G1200" s="2" t="str">
        <x:f>IF(B1200="","",'Input_Meci'!D105)</x:f>
      </x:c>
      <x:c r="H1200" s="2" t="str">
        <x:v>ANY</x:v>
      </x:c>
      <x:c r="I1200" s="2" t="str">
        <x:v>SEASON</x:v>
      </x:c>
      <x:c r="J1200" s="9" t="n">
        <x:f>IF(AND(B1200&lt;&gt;"",ISNUMBER('Input_Meci'!G105)),INT('Input_Meci'!G105),0)</x:f>
        <x:v>0</x:v>
      </x:c>
      <x:c r="K1200" s="2" t="n">
        <x:f>IF(OR(B1200="",F1200=""),0,IF(H1200="HOME",COUNTIFS('Istoric_Nativ'!$B$6:$B$405,E1200,'Istoric_Nativ'!$C$6:$C$405,F1200,'Istoric_Nativ'!$E$6:$E$405,G1200,'Istoric_Nativ'!$D$6:$D$405,"&lt;"&amp;J1200,'Istoric_Nativ'!$P$6:$P$405,1),IF(H1200="AWAY",COUNTIFS('Istoric_Nativ'!$B$6:$B$405,E1200,'Istoric_Nativ'!$C$6:$C$405,F1200,'Istoric_Nativ'!$F$6:$F$405,G1200,'Istoric_Nativ'!$D$6:$D$405,"&lt;"&amp;J1200,'Istoric_Nativ'!$P$6:$P$405,1),COUNTIFS('Istoric_Nativ'!$B$6:$B$405,E1200,'Istoric_Nativ'!$C$6:$C$405,F1200,'Istoric_Nativ'!$E$6:$E$405,G1200,'Istoric_Nativ'!$D$6:$D$405,"&lt;"&amp;J1200,'Istoric_Nativ'!$P$6:$P$405,1)+COUNTIFS('Istoric_Nativ'!$B$6:$B$405,E1200,'Istoric_Nativ'!$C$6:$C$405,F1200,'Istoric_Nativ'!$F$6:$F$405,G1200,'Istoric_Nativ'!$D$6:$D$405,"&lt;"&amp;J1200,'Istoric_Nativ'!$P$6:$P$405,1))))</x:f>
        <x:v>0</x:v>
      </x:c>
      <x:c r="L1200" s="17" t="n">
        <x:f>IF(AND(B1200&lt;&gt;"",I1200="RECENT",K1200&gt;0),LARGE(_xlfn._xlws.FILTER('Istoric_Nativ'!$D$6:$D$405,('Istoric_Nativ'!$B$6:$B$405=E1200)*('Istoric_Nativ'!$C$6:$C$405=F1200)*('Istoric_Nativ'!$P$6:$P$405=1)*('Istoric_Nativ'!$D$6:$D$405&lt;J1200)*((('Istoric_Nativ'!$E$6:$E$405=G1200)+('Istoric_Nativ'!$F$6:$F$405=G1200))&gt;0)),MIN('Config_v6'!$B$54,K1200)),0)</x:f>
        <x:v>0</x:v>
      </x:c>
      <x:c r="M1200" s="2" t="n">
        <x:f>IF(OR(B1200="",F1200=""),0,IF(H1200="HOME",COUNTIFS('Istoric_Nativ'!$B$6:$B$405,E1200,'Istoric_Nativ'!$C$6:$C$405,F1200,'Istoric_Nativ'!$E$6:$E$405,G1200,'Istoric_Nativ'!$D$6:$D$405,"&lt;"&amp;J1200,'Istoric_Nativ'!$P$6:$P$405,1,'Istoric_Nativ'!$D$6:$D$405,"&gt;="&amp;L1200),IF(H1200="AWAY",COUNTIFS('Istoric_Nativ'!$B$6:$B$405,E1200,'Istoric_Nativ'!$C$6:$C$405,F1200,'Istoric_Nativ'!$F$6:$F$405,G1200,'Istoric_Nativ'!$D$6:$D$405,"&lt;"&amp;J1200,'Istoric_Nativ'!$P$6:$P$405,1,'Istoric_Nativ'!$D$6:$D$405,"&gt;="&amp;L1200),COUNTIFS('Istoric_Nativ'!$B$6:$B$405,E1200,'Istoric_Nativ'!$C$6:$C$405,F1200,'Istoric_Nativ'!$E$6:$E$405,G1200,'Istoric_Nativ'!$D$6:$D$405,"&lt;"&amp;J1200,'Istoric_Nativ'!$P$6:$P$405,1,'Istoric_Nativ'!$D$6:$D$405,"&gt;="&amp;L1200)+COUNTIFS('Istoric_Nativ'!$B$6:$B$405,E1200,'Istoric_Nativ'!$C$6:$C$405,F1200,'Istoric_Nativ'!$F$6:$F$405,G1200,'Istoric_Nativ'!$D$6:$D$405,"&lt;"&amp;J1200,'Istoric_Nativ'!$P$6:$P$405,1,'Istoric_Nativ'!$D$6:$D$405,"&gt;="&amp;L1200))))</x:f>
        <x:v>0</x:v>
      </x:c>
      <x:c r="N1200" s="11" t="str">
        <x:f>IF(M1200=0,"",IF(H1200="HOME",SUMIFS('Istoric_Nativ'!$G$6:$G$405,'Istoric_Nativ'!$B$6:$B$405,E1200,'Istoric_Nativ'!$C$6:$C$405,F1200,'Istoric_Nativ'!$E$6:$E$405,G1200,'Istoric_Nativ'!$D$6:$D$405,"&lt;"&amp;J1200,'Istoric_Nativ'!$P$6:$P$405,1,'Istoric_Nativ'!$D$6:$D$405,"&gt;="&amp;L1200),IF(H1200="AWAY",SUMIFS('Istoric_Nativ'!$H$6:$H$405,'Istoric_Nativ'!$B$6:$B$405,E1200,'Istoric_Nativ'!$C$6:$C$405,F1200,'Istoric_Nativ'!$F$6:$F$405,G1200,'Istoric_Nativ'!$D$6:$D$405,"&lt;"&amp;J1200,'Istoric_Nativ'!$P$6:$P$405,1,'Istoric_Nativ'!$D$6:$D$405,"&gt;="&amp;L1200),SUMIFS('Istoric_Nativ'!$G$6:$G$405,'Istoric_Nativ'!$B$6:$B$405,E1200,'Istoric_Nativ'!$C$6:$C$405,F1200,'Istoric_Nativ'!$E$6:$E$405,G1200,'Istoric_Nativ'!$D$6:$D$405,"&lt;"&amp;J1200,'Istoric_Nativ'!$P$6:$P$405,1,'Istoric_Nativ'!$D$6:$D$405,"&gt;="&amp;L1200)+SUMIFS('Istoric_Nativ'!$H$6:$H$405,'Istoric_Nativ'!$B$6:$B$405,E1200,'Istoric_Nativ'!$C$6:$C$405,F1200,'Istoric_Nativ'!$F$6:$F$405,G1200,'Istoric_Nativ'!$D$6:$D$405,"&lt;"&amp;J1200,'Istoric_Nativ'!$P$6:$P$405,1,'Istoric_Nativ'!$D$6:$D$405,"&gt;="&amp;L1200)))/M1200)</x:f>
      </x:c>
      <x:c r="O1200" s="11" t="str">
        <x:f>IF(M1200=0,"",IF(H1200="HOME",SUMIFS('Istoric_Nativ'!$H$6:$H$405,'Istoric_Nativ'!$B$6:$B$405,E1200,'Istoric_Nativ'!$C$6:$C$405,F1200,'Istoric_Nativ'!$E$6:$E$405,G1200,'Istoric_Nativ'!$D$6:$D$405,"&lt;"&amp;J1200,'Istoric_Nativ'!$P$6:$P$405,1,'Istoric_Nativ'!$D$6:$D$405,"&gt;="&amp;L1200),IF(H1200="AWAY",SUMIFS('Istoric_Nativ'!$G$6:$G$405,'Istoric_Nativ'!$B$6:$B$405,E1200,'Istoric_Nativ'!$C$6:$C$405,F1200,'Istoric_Nativ'!$F$6:$F$405,G1200,'Istoric_Nativ'!$D$6:$D$405,"&lt;"&amp;J1200,'Istoric_Nativ'!$P$6:$P$405,1,'Istoric_Nativ'!$D$6:$D$405,"&gt;="&amp;L1200),SUMIFS('Istoric_Nativ'!$H$6:$H$405,'Istoric_Nativ'!$B$6:$B$405,E1200,'Istoric_Nativ'!$C$6:$C$405,F1200,'Istoric_Nativ'!$E$6:$E$405,G1200,'Istoric_Nativ'!$D$6:$D$405,"&lt;"&amp;J1200,'Istoric_Nativ'!$P$6:$P$405,1,'Istoric_Nativ'!$D$6:$D$405,"&gt;="&amp;L1200)+SUMIFS('Istoric_Nativ'!$G$6:$G$405,'Istoric_Nativ'!$B$6:$B$405,E1200,'Istoric_Nativ'!$C$6:$C$405,F1200,'Istoric_Nativ'!$F$6:$F$405,G1200,'Istoric_Nativ'!$D$6:$D$405,"&lt;"&amp;J1200,'Istoric_Nativ'!$P$6:$P$405,1,'Istoric_Nativ'!$D$6:$D$405,"&gt;="&amp;L1200)))/M1200)</x:f>
      </x:c>
      <x:c r="P1200" s="2" t="n">
        <x:f>'Config_v6'!$B$7</x:f>
        <x:v>10</x:v>
      </x:c>
      <x:c r="Q1200" s="2" t="n">
        <x:f>IF(OR(B1200="",F1200=""),0,IFERROR(MATCH(E1200&amp;"|"&amp;F1200,SourceTable[Source_Key],0),0))</x:f>
        <x:v>0</x:v>
      </x:c>
      <x:c r="R1200" s="2" t="str">
        <x:f>IF(B1200="","",IF(F1200="","UNUSED",IF(Q1200=0,"NOT CHECKED",IF(COUNTIF(SourceTable[Source_Key],E1200&amp;"|"&amp;F1200)&lt;&gt;1,"SOURCE CONFLICT",IF(NOT(OR(INDEX(SourceTable[Status],MAX(1,Q1200))="IMPORTED",INDEX(SourceTable[Status],MAX(1,Q1200))="PARTIAL",INDEX(SourceTable[Status],MAX(1,Q1200))="SOURCE CONFLICT")),"ACCESS BLOCKED",IF(OR(INDEX(SourceTable[Coverage],Q1200)&lt;&gt;"FULL SEASON EXPORT",INDEX(SourceTable[URL],Q1200)="",INDEX(SourceTable[SHA256],Q1200)=""),"EVIDENCE INCOMPLETE",IF(AND('Input_Meci'!H105="LIVE",INDEX(SourceTable[Retrieved_UTC],Q1200)&gt;'Input_Meci'!G105),"POST CUTOFF","CLOSED")))))))</x:f>
      </x:c>
      <x:c r="S1200" s="2" t="n">
        <x:f>IF(OR(B1200="",F1200=""),0,COUNTIFS('Istoric_Nativ'!$B$6:$B$405,E1200,'Istoric_Nativ'!$C$6:$C$405,F1200,'Istoric_Nativ'!$E$6:$E$405,G1200,'Istoric_Nativ'!$D$6:$D$405,"&lt;"&amp;J1200,'Istoric_Nativ'!$O$6:$O$405,"INVALID")+COUNTIFS('Istoric_Nativ'!$B$6:$B$405,E1200,'Istoric_Nativ'!$C$6:$C$405,F1200,'Istoric_Nativ'!$E$6:$E$405,G1200,'Istoric_Nativ'!$O$6:$O$405,"INVALID",'Istoric_Nativ'!$D$6:$D$405,"*")+COUNTIFS('Istoric_Nativ'!$B$6:$B$405,E1200,'Istoric_Nativ'!$C$6:$C$405,F1200,'Istoric_Nativ'!$E$6:$E$405,G1200,'Istoric_Nativ'!$D$6:$D$405,"&lt;"&amp;J1200,'Istoric_Nativ'!$O$6:$O$405,"SOURCE CONFLICT")+COUNTIFS('Istoric_Nativ'!$B$6:$B$405,E1200,'Istoric_Nativ'!$C$6:$C$405,F1200,'Istoric_Nativ'!$F$6:$F$405,G1200,'Istoric_Nativ'!$D$6:$D$405,"&lt;"&amp;J1200,'Istoric_Nativ'!$O$6:$O$405,"INVALID")+COUNTIFS('Istoric_Nativ'!$B$6:$B$405,E1200,'Istoric_Nativ'!$C$6:$C$405,F1200,'Istoric_Nativ'!$F$6:$F$405,G1200,'Istoric_Nativ'!$O$6:$O$405,"INVALID",'Istoric_Nativ'!$D$6:$D$405,"*")+COUNTIFS('Istoric_Nativ'!$B$6:$B$405,E1200,'Istoric_Nativ'!$C$6:$C$405,F1200,'Istoric_Nativ'!$F$6:$F$405,G1200,'Istoric_Nativ'!$D$6:$D$405,"&lt;"&amp;J1200,'Istoric_Nativ'!$O$6:$O$405,"SOURCE CONFLICT"))</x:f>
        <x:v>0</x:v>
      </x:c>
      <x:c r="T1200" s="2" t="str">
        <x:f>IF(B1200="","",IF(R1200&lt;&gt;"CLOSED",R1200,IF(S1200&gt;0,"NATIVE INPUT ISSUE",IF(M1200=0,"NO HISTORY",IF(M1200&lt;P1200,"SMALL SAMPLE","DERIVED")))))</x:f>
      </x:c>
      <x:c r="U1200" s="2" t="str">
        <x:f>IF(B1200="","","NativeTable; "&amp;E1200&amp;"; "&amp;F1200&amp;"; "&amp;G1200&amp;"; "&amp;H1200&amp;"; before "&amp;TEXT(J1200,"yyyy-mm-dd")&amp;IF(I1200="RECENT","; from "&amp;TEXT(L1200,"yyyy-mm-dd"),""))</x:f>
      </x:c>
    </x:row>
    <x:row r="1201" ht="21" customHeight="1">
      <x:c r="A1201" s="2" t="n">
        <x:v>100</x:v>
      </x:c>
      <x:c r="B1201" s="2" t="str">
        <x:f>IF('Input_Meci'!A105="","",'Input_Meci'!A105)</x:f>
      </x:c>
      <x:c r="C1201" s="2" t="str">
        <x:v>H</x:v>
      </x:c>
      <x:c r="D1201" s="2" t="str">
        <x:v>PRIOR</x:v>
      </x:c>
      <x:c r="E1201" s="2" t="str">
        <x:f>IF(B1201="","",'Input_Meci'!B105)</x:f>
      </x:c>
      <x:c r="F1201" s="2" t="str">
        <x:f>IF(B1201="","",IF('Input_Meci'!K105="","",'Input_Meci'!K105))</x:f>
      </x:c>
      <x:c r="G1201" s="2" t="str">
        <x:f>IF(B1201="","",'Input_Meci'!D105)</x:f>
      </x:c>
      <x:c r="H1201" s="2" t="str">
        <x:v>HOME</x:v>
      </x:c>
      <x:c r="I1201" s="2" t="str">
        <x:v>HA</x:v>
      </x:c>
      <x:c r="J1201" s="9" t="n">
        <x:f>IF(AND(B1201&lt;&gt;"",ISNUMBER('Input_Meci'!G105)),INT('Input_Meci'!G105),0)</x:f>
        <x:v>0</x:v>
      </x:c>
      <x:c r="K1201" s="2" t="n">
        <x:f>IF(OR(B1201="",F1201=""),0,IF(H1201="HOME",COUNTIFS('Istoric_Nativ'!$B$6:$B$405,E1201,'Istoric_Nativ'!$C$6:$C$405,F1201,'Istoric_Nativ'!$E$6:$E$405,G1201,'Istoric_Nativ'!$D$6:$D$405,"&lt;"&amp;J1201,'Istoric_Nativ'!$P$6:$P$405,1),IF(H1201="AWAY",COUNTIFS('Istoric_Nativ'!$B$6:$B$405,E1201,'Istoric_Nativ'!$C$6:$C$405,F1201,'Istoric_Nativ'!$F$6:$F$405,G1201,'Istoric_Nativ'!$D$6:$D$405,"&lt;"&amp;J1201,'Istoric_Nativ'!$P$6:$P$405,1),COUNTIFS('Istoric_Nativ'!$B$6:$B$405,E1201,'Istoric_Nativ'!$C$6:$C$405,F1201,'Istoric_Nativ'!$E$6:$E$405,G1201,'Istoric_Nativ'!$D$6:$D$405,"&lt;"&amp;J1201,'Istoric_Nativ'!$P$6:$P$405,1)+COUNTIFS('Istoric_Nativ'!$B$6:$B$405,E1201,'Istoric_Nativ'!$C$6:$C$405,F1201,'Istoric_Nativ'!$F$6:$F$405,G1201,'Istoric_Nativ'!$D$6:$D$405,"&lt;"&amp;J1201,'Istoric_Nativ'!$P$6:$P$405,1))))</x:f>
        <x:v>0</x:v>
      </x:c>
      <x:c r="L1201" s="17" t="n">
        <x:f>IF(AND(B1201&lt;&gt;"",I1201="RECENT",K1201&gt;0),LARGE(_xlfn._xlws.FILTER('Istoric_Nativ'!$D$6:$D$405,('Istoric_Nativ'!$B$6:$B$405=E1201)*('Istoric_Nativ'!$C$6:$C$405=F1201)*('Istoric_Nativ'!$P$6:$P$405=1)*('Istoric_Nativ'!$D$6:$D$405&lt;J1201)*((('Istoric_Nativ'!$E$6:$E$405=G1201)+('Istoric_Nativ'!$F$6:$F$405=G1201))&gt;0)),MIN('Config_v6'!$B$54,K1201)),0)</x:f>
        <x:v>0</x:v>
      </x:c>
      <x:c r="M1201" s="2" t="n">
        <x:f>IF(OR(B1201="",F1201=""),0,IF(H1201="HOME",COUNTIFS('Istoric_Nativ'!$B$6:$B$405,E1201,'Istoric_Nativ'!$C$6:$C$405,F1201,'Istoric_Nativ'!$E$6:$E$405,G1201,'Istoric_Nativ'!$D$6:$D$405,"&lt;"&amp;J1201,'Istoric_Nativ'!$P$6:$P$405,1,'Istoric_Nativ'!$D$6:$D$405,"&gt;="&amp;L1201),IF(H1201="AWAY",COUNTIFS('Istoric_Nativ'!$B$6:$B$405,E1201,'Istoric_Nativ'!$C$6:$C$405,F1201,'Istoric_Nativ'!$F$6:$F$405,G1201,'Istoric_Nativ'!$D$6:$D$405,"&lt;"&amp;J1201,'Istoric_Nativ'!$P$6:$P$405,1,'Istoric_Nativ'!$D$6:$D$405,"&gt;="&amp;L1201),COUNTIFS('Istoric_Nativ'!$B$6:$B$405,E1201,'Istoric_Nativ'!$C$6:$C$405,F1201,'Istoric_Nativ'!$E$6:$E$405,G1201,'Istoric_Nativ'!$D$6:$D$405,"&lt;"&amp;J1201,'Istoric_Nativ'!$P$6:$P$405,1,'Istoric_Nativ'!$D$6:$D$405,"&gt;="&amp;L1201)+COUNTIFS('Istoric_Nativ'!$B$6:$B$405,E1201,'Istoric_Nativ'!$C$6:$C$405,F1201,'Istoric_Nativ'!$F$6:$F$405,G1201,'Istoric_Nativ'!$D$6:$D$405,"&lt;"&amp;J1201,'Istoric_Nativ'!$P$6:$P$405,1,'Istoric_Nativ'!$D$6:$D$405,"&gt;="&amp;L1201))))</x:f>
        <x:v>0</x:v>
      </x:c>
      <x:c r="N1201" s="11" t="str">
        <x:f>IF(M1201=0,"",IF(H1201="HOME",SUMIFS('Istoric_Nativ'!$G$6:$G$405,'Istoric_Nativ'!$B$6:$B$405,E1201,'Istoric_Nativ'!$C$6:$C$405,F1201,'Istoric_Nativ'!$E$6:$E$405,G1201,'Istoric_Nativ'!$D$6:$D$405,"&lt;"&amp;J1201,'Istoric_Nativ'!$P$6:$P$405,1,'Istoric_Nativ'!$D$6:$D$405,"&gt;="&amp;L1201),IF(H1201="AWAY",SUMIFS('Istoric_Nativ'!$H$6:$H$405,'Istoric_Nativ'!$B$6:$B$405,E1201,'Istoric_Nativ'!$C$6:$C$405,F1201,'Istoric_Nativ'!$F$6:$F$405,G1201,'Istoric_Nativ'!$D$6:$D$405,"&lt;"&amp;J1201,'Istoric_Nativ'!$P$6:$P$405,1,'Istoric_Nativ'!$D$6:$D$405,"&gt;="&amp;L1201),SUMIFS('Istoric_Nativ'!$G$6:$G$405,'Istoric_Nativ'!$B$6:$B$405,E1201,'Istoric_Nativ'!$C$6:$C$405,F1201,'Istoric_Nativ'!$E$6:$E$405,G1201,'Istoric_Nativ'!$D$6:$D$405,"&lt;"&amp;J1201,'Istoric_Nativ'!$P$6:$P$405,1,'Istoric_Nativ'!$D$6:$D$405,"&gt;="&amp;L1201)+SUMIFS('Istoric_Nativ'!$H$6:$H$405,'Istoric_Nativ'!$B$6:$B$405,E1201,'Istoric_Nativ'!$C$6:$C$405,F1201,'Istoric_Nativ'!$F$6:$F$405,G1201,'Istoric_Nativ'!$D$6:$D$405,"&lt;"&amp;J1201,'Istoric_Nativ'!$P$6:$P$405,1,'Istoric_Nativ'!$D$6:$D$405,"&gt;="&amp;L1201)))/M1201)</x:f>
      </x:c>
      <x:c r="O1201" s="11" t="str">
        <x:f>IF(M1201=0,"",IF(H1201="HOME",SUMIFS('Istoric_Nativ'!$H$6:$H$405,'Istoric_Nativ'!$B$6:$B$405,E1201,'Istoric_Nativ'!$C$6:$C$405,F1201,'Istoric_Nativ'!$E$6:$E$405,G1201,'Istoric_Nativ'!$D$6:$D$405,"&lt;"&amp;J1201,'Istoric_Nativ'!$P$6:$P$405,1,'Istoric_Nativ'!$D$6:$D$405,"&gt;="&amp;L1201),IF(H1201="AWAY",SUMIFS('Istoric_Nativ'!$G$6:$G$405,'Istoric_Nativ'!$B$6:$B$405,E1201,'Istoric_Nativ'!$C$6:$C$405,F1201,'Istoric_Nativ'!$F$6:$F$405,G1201,'Istoric_Nativ'!$D$6:$D$405,"&lt;"&amp;J1201,'Istoric_Nativ'!$P$6:$P$405,1,'Istoric_Nativ'!$D$6:$D$405,"&gt;="&amp;L1201),SUMIFS('Istoric_Nativ'!$H$6:$H$405,'Istoric_Nativ'!$B$6:$B$405,E1201,'Istoric_Nativ'!$C$6:$C$405,F1201,'Istoric_Nativ'!$E$6:$E$405,G1201,'Istoric_Nativ'!$D$6:$D$405,"&lt;"&amp;J1201,'Istoric_Nativ'!$P$6:$P$405,1,'Istoric_Nativ'!$D$6:$D$405,"&gt;="&amp;L1201)+SUMIFS('Istoric_Nativ'!$G$6:$G$405,'Istoric_Nativ'!$B$6:$B$405,E1201,'Istoric_Nativ'!$C$6:$C$405,F1201,'Istoric_Nativ'!$F$6:$F$405,G1201,'Istoric_Nativ'!$D$6:$D$405,"&lt;"&amp;J1201,'Istoric_Nativ'!$P$6:$P$405,1,'Istoric_Nativ'!$D$6:$D$405,"&gt;="&amp;L1201)))/M1201)</x:f>
      </x:c>
      <x:c r="P1201" s="2" t="n">
        <x:f>'Config_v6'!$B$8</x:f>
        <x:v>5</x:v>
      </x:c>
      <x:c r="Q1201" s="2" t="n">
        <x:f>IF(OR(B1201="",F1201=""),0,IFERROR(MATCH(E1201&amp;"|"&amp;F1201,SourceTable[Source_Key],0),0))</x:f>
        <x:v>0</x:v>
      </x:c>
      <x:c r="R1201" s="2" t="str">
        <x:f>IF(B1201="","",IF(F1201="","UNUSED",IF(Q1201=0,"NOT CHECKED",IF(COUNTIF(SourceTable[Source_Key],E1201&amp;"|"&amp;F1201)&lt;&gt;1,"SOURCE CONFLICT",IF(NOT(OR(INDEX(SourceTable[Status],MAX(1,Q1201))="IMPORTED",INDEX(SourceTable[Status],MAX(1,Q1201))="PARTIAL",INDEX(SourceTable[Status],MAX(1,Q1201))="SOURCE CONFLICT")),"ACCESS BLOCKED",IF(OR(INDEX(SourceTable[Coverage],Q1201)&lt;&gt;"FULL SEASON EXPORT",INDEX(SourceTable[URL],Q1201)="",INDEX(SourceTable[SHA256],Q1201)=""),"EVIDENCE INCOMPLETE",IF(AND('Input_Meci'!H105="LIVE",INDEX(SourceTable[Retrieved_UTC],Q1201)&gt;'Input_Meci'!G105),"POST CUTOFF","CLOSED")))))))</x:f>
      </x:c>
      <x:c r="S1201" s="2" t="n">
        <x:f>IF(OR(B1201="",F1201=""),0,COUNTIFS('Istoric_Nativ'!$B$6:$B$405,E1201,'Istoric_Nativ'!$C$6:$C$405,F1201,'Istoric_Nativ'!$E$6:$E$405,G1201,'Istoric_Nativ'!$D$6:$D$405,"&lt;"&amp;J1201,'Istoric_Nativ'!$O$6:$O$405,"INVALID")+COUNTIFS('Istoric_Nativ'!$B$6:$B$405,E1201,'Istoric_Nativ'!$C$6:$C$405,F1201,'Istoric_Nativ'!$E$6:$E$405,G1201,'Istoric_Nativ'!$O$6:$O$405,"INVALID",'Istoric_Nativ'!$D$6:$D$405,"*")+COUNTIFS('Istoric_Nativ'!$B$6:$B$405,E1201,'Istoric_Nativ'!$C$6:$C$405,F1201,'Istoric_Nativ'!$E$6:$E$405,G1201,'Istoric_Nativ'!$D$6:$D$405,"&lt;"&amp;J1201,'Istoric_Nativ'!$O$6:$O$405,"SOURCE CONFLICT")+COUNTIFS('Istoric_Nativ'!$B$6:$B$405,E1201,'Istoric_Nativ'!$C$6:$C$405,F1201,'Istoric_Nativ'!$F$6:$F$405,G1201,'Istoric_Nativ'!$D$6:$D$405,"&lt;"&amp;J1201,'Istoric_Nativ'!$O$6:$O$405,"INVALID")+COUNTIFS('Istoric_Nativ'!$B$6:$B$405,E1201,'Istoric_Nativ'!$C$6:$C$405,F1201,'Istoric_Nativ'!$F$6:$F$405,G1201,'Istoric_Nativ'!$O$6:$O$405,"INVALID",'Istoric_Nativ'!$D$6:$D$405,"*")+COUNTIFS('Istoric_Nativ'!$B$6:$B$405,E1201,'Istoric_Nativ'!$C$6:$C$405,F1201,'Istoric_Nativ'!$F$6:$F$405,G1201,'Istoric_Nativ'!$D$6:$D$405,"&lt;"&amp;J1201,'Istoric_Nativ'!$O$6:$O$405,"SOURCE CONFLICT"))</x:f>
        <x:v>0</x:v>
      </x:c>
      <x:c r="T1201" s="2" t="str">
        <x:f>IF(B1201="","",IF(R1201&lt;&gt;"CLOSED",R1201,IF(S1201&gt;0,"NATIVE INPUT ISSUE",IF(M1201=0,"NO HISTORY",IF(M1201&lt;P1201,"SMALL SAMPLE","DERIVED")))))</x:f>
      </x:c>
      <x:c r="U1201" s="2" t="str">
        <x:f>IF(B1201="","","NativeTable; "&amp;E1201&amp;"; "&amp;F1201&amp;"; "&amp;G1201&amp;"; "&amp;H1201&amp;"; before "&amp;TEXT(J1201,"yyyy-mm-dd")&amp;IF(I1201="RECENT","; from "&amp;TEXT(L1201,"yyyy-mm-dd"),""))</x:f>
      </x:c>
    </x:row>
    <x:row r="1202" ht="21" customHeight="1">
      <x:c r="A1202" s="2" t="n">
        <x:v>100</x:v>
      </x:c>
      <x:c r="B1202" s="2" t="str">
        <x:f>IF('Input_Meci'!A105="","",'Input_Meci'!A105)</x:f>
      </x:c>
      <x:c r="C1202" s="2" t="str">
        <x:v>H</x:v>
      </x:c>
      <x:c r="D1202" s="2" t="str">
        <x:v>PRIOR</x:v>
      </x:c>
      <x:c r="E1202" s="2" t="str">
        <x:f>IF(B1202="","",'Input_Meci'!B105)</x:f>
      </x:c>
      <x:c r="F1202" s="2" t="str">
        <x:f>IF(B1202="","",IF('Input_Meci'!K105="","",'Input_Meci'!K105))</x:f>
      </x:c>
      <x:c r="G1202" s="2" t="str">
        <x:f>IF(B1202="","",'Input_Meci'!D105)</x:f>
      </x:c>
      <x:c r="H1202" s="2" t="str">
        <x:v>ANY</x:v>
      </x:c>
      <x:c r="I1202" s="2" t="str">
        <x:v>RECENT</x:v>
      </x:c>
      <x:c r="J1202" s="9" t="n">
        <x:f>IF(AND(B1202&lt;&gt;"",ISNUMBER('Input_Meci'!G105)),INT('Input_Meci'!G105),0)</x:f>
        <x:v>0</x:v>
      </x:c>
      <x:c r="K1202" s="2" t="n">
        <x:f>IF(OR(B1202="",F1202=""),0,IF(H1202="HOME",COUNTIFS('Istoric_Nativ'!$B$6:$B$405,E1202,'Istoric_Nativ'!$C$6:$C$405,F1202,'Istoric_Nativ'!$E$6:$E$405,G1202,'Istoric_Nativ'!$D$6:$D$405,"&lt;"&amp;J1202,'Istoric_Nativ'!$P$6:$P$405,1),IF(H1202="AWAY",COUNTIFS('Istoric_Nativ'!$B$6:$B$405,E1202,'Istoric_Nativ'!$C$6:$C$405,F1202,'Istoric_Nativ'!$F$6:$F$405,G1202,'Istoric_Nativ'!$D$6:$D$405,"&lt;"&amp;J1202,'Istoric_Nativ'!$P$6:$P$405,1),COUNTIFS('Istoric_Nativ'!$B$6:$B$405,E1202,'Istoric_Nativ'!$C$6:$C$405,F1202,'Istoric_Nativ'!$E$6:$E$405,G1202,'Istoric_Nativ'!$D$6:$D$405,"&lt;"&amp;J1202,'Istoric_Nativ'!$P$6:$P$405,1)+COUNTIFS('Istoric_Nativ'!$B$6:$B$405,E1202,'Istoric_Nativ'!$C$6:$C$405,F1202,'Istoric_Nativ'!$F$6:$F$405,G1202,'Istoric_Nativ'!$D$6:$D$405,"&lt;"&amp;J1202,'Istoric_Nativ'!$P$6:$P$405,1))))</x:f>
        <x:v>0</x:v>
      </x:c>
      <x:c r="L1202" s="17" t="n">
        <x:f>IF(AND(B1202&lt;&gt;"",I1202="RECENT",K1202&gt;0),LARGE(_xlfn._xlws.FILTER('Istoric_Nativ'!$D$6:$D$405,('Istoric_Nativ'!$B$6:$B$405=E1202)*('Istoric_Nativ'!$C$6:$C$405=F1202)*('Istoric_Nativ'!$P$6:$P$405=1)*('Istoric_Nativ'!$D$6:$D$405&lt;J1202)*((('Istoric_Nativ'!$E$6:$E$405=G1202)+('Istoric_Nativ'!$F$6:$F$405=G1202))&gt;0)),MIN('Config_v6'!$B$54,K1202)),0)</x:f>
        <x:v>0</x:v>
      </x:c>
      <x:c r="M1202" s="2" t="n">
        <x:f>IF(OR(B1202="",F1202=""),0,IF(H1202="HOME",COUNTIFS('Istoric_Nativ'!$B$6:$B$405,E1202,'Istoric_Nativ'!$C$6:$C$405,F1202,'Istoric_Nativ'!$E$6:$E$405,G1202,'Istoric_Nativ'!$D$6:$D$405,"&lt;"&amp;J1202,'Istoric_Nativ'!$P$6:$P$405,1,'Istoric_Nativ'!$D$6:$D$405,"&gt;="&amp;L1202),IF(H1202="AWAY",COUNTIFS('Istoric_Nativ'!$B$6:$B$405,E1202,'Istoric_Nativ'!$C$6:$C$405,F1202,'Istoric_Nativ'!$F$6:$F$405,G1202,'Istoric_Nativ'!$D$6:$D$405,"&lt;"&amp;J1202,'Istoric_Nativ'!$P$6:$P$405,1,'Istoric_Nativ'!$D$6:$D$405,"&gt;="&amp;L1202),COUNTIFS('Istoric_Nativ'!$B$6:$B$405,E1202,'Istoric_Nativ'!$C$6:$C$405,F1202,'Istoric_Nativ'!$E$6:$E$405,G1202,'Istoric_Nativ'!$D$6:$D$405,"&lt;"&amp;J1202,'Istoric_Nativ'!$P$6:$P$405,1,'Istoric_Nativ'!$D$6:$D$405,"&gt;="&amp;L1202)+COUNTIFS('Istoric_Nativ'!$B$6:$B$405,E1202,'Istoric_Nativ'!$C$6:$C$405,F1202,'Istoric_Nativ'!$F$6:$F$405,G1202,'Istoric_Nativ'!$D$6:$D$405,"&lt;"&amp;J1202,'Istoric_Nativ'!$P$6:$P$405,1,'Istoric_Nativ'!$D$6:$D$405,"&gt;="&amp;L1202))))</x:f>
        <x:v>0</x:v>
      </x:c>
      <x:c r="N1202" s="11" t="str">
        <x:f>IF(M1202=0,"",IF(H1202="HOME",SUMIFS('Istoric_Nativ'!$G$6:$G$405,'Istoric_Nativ'!$B$6:$B$405,E1202,'Istoric_Nativ'!$C$6:$C$405,F1202,'Istoric_Nativ'!$E$6:$E$405,G1202,'Istoric_Nativ'!$D$6:$D$405,"&lt;"&amp;J1202,'Istoric_Nativ'!$P$6:$P$405,1,'Istoric_Nativ'!$D$6:$D$405,"&gt;="&amp;L1202),IF(H1202="AWAY",SUMIFS('Istoric_Nativ'!$H$6:$H$405,'Istoric_Nativ'!$B$6:$B$405,E1202,'Istoric_Nativ'!$C$6:$C$405,F1202,'Istoric_Nativ'!$F$6:$F$405,G1202,'Istoric_Nativ'!$D$6:$D$405,"&lt;"&amp;J1202,'Istoric_Nativ'!$P$6:$P$405,1,'Istoric_Nativ'!$D$6:$D$405,"&gt;="&amp;L1202),SUMIFS('Istoric_Nativ'!$G$6:$G$405,'Istoric_Nativ'!$B$6:$B$405,E1202,'Istoric_Nativ'!$C$6:$C$405,F1202,'Istoric_Nativ'!$E$6:$E$405,G1202,'Istoric_Nativ'!$D$6:$D$405,"&lt;"&amp;J1202,'Istoric_Nativ'!$P$6:$P$405,1,'Istoric_Nativ'!$D$6:$D$405,"&gt;="&amp;L1202)+SUMIFS('Istoric_Nativ'!$H$6:$H$405,'Istoric_Nativ'!$B$6:$B$405,E1202,'Istoric_Nativ'!$C$6:$C$405,F1202,'Istoric_Nativ'!$F$6:$F$405,G1202,'Istoric_Nativ'!$D$6:$D$405,"&lt;"&amp;J1202,'Istoric_Nativ'!$P$6:$P$405,1,'Istoric_Nativ'!$D$6:$D$405,"&gt;="&amp;L1202)))/M1202)</x:f>
      </x:c>
      <x:c r="O1202" s="11" t="str">
        <x:f>IF(M1202=0,"",IF(H1202="HOME",SUMIFS('Istoric_Nativ'!$H$6:$H$405,'Istoric_Nativ'!$B$6:$B$405,E1202,'Istoric_Nativ'!$C$6:$C$405,F1202,'Istoric_Nativ'!$E$6:$E$405,G1202,'Istoric_Nativ'!$D$6:$D$405,"&lt;"&amp;J1202,'Istoric_Nativ'!$P$6:$P$405,1,'Istoric_Nativ'!$D$6:$D$405,"&gt;="&amp;L1202),IF(H1202="AWAY",SUMIFS('Istoric_Nativ'!$G$6:$G$405,'Istoric_Nativ'!$B$6:$B$405,E1202,'Istoric_Nativ'!$C$6:$C$405,F1202,'Istoric_Nativ'!$F$6:$F$405,G1202,'Istoric_Nativ'!$D$6:$D$405,"&lt;"&amp;J1202,'Istoric_Nativ'!$P$6:$P$405,1,'Istoric_Nativ'!$D$6:$D$405,"&gt;="&amp;L1202),SUMIFS('Istoric_Nativ'!$H$6:$H$405,'Istoric_Nativ'!$B$6:$B$405,E1202,'Istoric_Nativ'!$C$6:$C$405,F1202,'Istoric_Nativ'!$E$6:$E$405,G1202,'Istoric_Nativ'!$D$6:$D$405,"&lt;"&amp;J1202,'Istoric_Nativ'!$P$6:$P$405,1,'Istoric_Nativ'!$D$6:$D$405,"&gt;="&amp;L1202)+SUMIFS('Istoric_Nativ'!$G$6:$G$405,'Istoric_Nativ'!$B$6:$B$405,E1202,'Istoric_Nativ'!$C$6:$C$405,F1202,'Istoric_Nativ'!$F$6:$F$405,G1202,'Istoric_Nativ'!$D$6:$D$405,"&lt;"&amp;J1202,'Istoric_Nativ'!$P$6:$P$405,1,'Istoric_Nativ'!$D$6:$D$405,"&gt;="&amp;L1202)))/M1202)</x:f>
      </x:c>
      <x:c r="P1202" s="2" t="n">
        <x:f>'Config_v6'!$B$9</x:f>
        <x:v>3</x:v>
      </x:c>
      <x:c r="Q1202" s="2" t="n">
        <x:f>IF(OR(B1202="",F1202=""),0,IFERROR(MATCH(E1202&amp;"|"&amp;F1202,SourceTable[Source_Key],0),0))</x:f>
        <x:v>0</x:v>
      </x:c>
      <x:c r="R1202" s="2" t="str">
        <x:f>IF(B1202="","",IF(F1202="","UNUSED",IF(Q1202=0,"NOT CHECKED",IF(COUNTIF(SourceTable[Source_Key],E1202&amp;"|"&amp;F1202)&lt;&gt;1,"SOURCE CONFLICT",IF(NOT(OR(INDEX(SourceTable[Status],MAX(1,Q1202))="IMPORTED",INDEX(SourceTable[Status],MAX(1,Q1202))="PARTIAL",INDEX(SourceTable[Status],MAX(1,Q1202))="SOURCE CONFLICT")),"ACCESS BLOCKED",IF(OR(INDEX(SourceTable[Coverage],Q1202)&lt;&gt;"FULL SEASON EXPORT",INDEX(SourceTable[URL],Q1202)="",INDEX(SourceTable[SHA256],Q1202)=""),"EVIDENCE INCOMPLETE",IF(AND('Input_Meci'!H105="LIVE",INDEX(SourceTable[Retrieved_UTC],Q1202)&gt;'Input_Meci'!G105),"POST CUTOFF","CLOSED")))))))</x:f>
      </x:c>
      <x:c r="S1202" s="2" t="n">
        <x:f>IF(OR(B1202="",F1202=""),0,COUNTIFS('Istoric_Nativ'!$B$6:$B$405,E1202,'Istoric_Nativ'!$C$6:$C$405,F1202,'Istoric_Nativ'!$E$6:$E$405,G1202,'Istoric_Nativ'!$D$6:$D$405,"&lt;"&amp;J1202,'Istoric_Nativ'!$O$6:$O$405,"INVALID")+COUNTIFS('Istoric_Nativ'!$B$6:$B$405,E1202,'Istoric_Nativ'!$C$6:$C$405,F1202,'Istoric_Nativ'!$E$6:$E$405,G1202,'Istoric_Nativ'!$O$6:$O$405,"INVALID",'Istoric_Nativ'!$D$6:$D$405,"*")+COUNTIFS('Istoric_Nativ'!$B$6:$B$405,E1202,'Istoric_Nativ'!$C$6:$C$405,F1202,'Istoric_Nativ'!$E$6:$E$405,G1202,'Istoric_Nativ'!$D$6:$D$405,"&lt;"&amp;J1202,'Istoric_Nativ'!$O$6:$O$405,"SOURCE CONFLICT")+COUNTIFS('Istoric_Nativ'!$B$6:$B$405,E1202,'Istoric_Nativ'!$C$6:$C$405,F1202,'Istoric_Nativ'!$F$6:$F$405,G1202,'Istoric_Nativ'!$D$6:$D$405,"&lt;"&amp;J1202,'Istoric_Nativ'!$O$6:$O$405,"INVALID")+COUNTIFS('Istoric_Nativ'!$B$6:$B$405,E1202,'Istoric_Nativ'!$C$6:$C$405,F1202,'Istoric_Nativ'!$F$6:$F$405,G1202,'Istoric_Nativ'!$O$6:$O$405,"INVALID",'Istoric_Nativ'!$D$6:$D$405,"*")+COUNTIFS('Istoric_Nativ'!$B$6:$B$405,E1202,'Istoric_Nativ'!$C$6:$C$405,F1202,'Istoric_Nativ'!$F$6:$F$405,G1202,'Istoric_Nativ'!$D$6:$D$405,"&lt;"&amp;J1202,'Istoric_Nativ'!$O$6:$O$405,"SOURCE CONFLICT"))</x:f>
        <x:v>0</x:v>
      </x:c>
      <x:c r="T1202" s="2" t="str">
        <x:f>IF(B1202="","",IF(R1202&lt;&gt;"CLOSED",R1202,IF(S1202&gt;0,"NATIVE INPUT ISSUE",IF(M1202=0,"NO HISTORY",IF(M1202&lt;P1202,"SMALL SAMPLE","DERIVED")))))</x:f>
      </x:c>
      <x:c r="U1202" s="2" t="str">
        <x:f>IF(B1202="","","NativeTable; "&amp;E1202&amp;"; "&amp;F1202&amp;"; "&amp;G1202&amp;"; "&amp;H1202&amp;"; before "&amp;TEXT(J1202,"yyyy-mm-dd")&amp;IF(I1202="RECENT","; from "&amp;TEXT(L1202,"yyyy-mm-dd"),""))</x:f>
      </x:c>
    </x:row>
    <x:row r="1203" ht="21" customHeight="1">
      <x:c r="A1203" s="2" t="n">
        <x:v>100</x:v>
      </x:c>
      <x:c r="B1203" s="2" t="str">
        <x:f>IF('Input_Meci'!A105="","",'Input_Meci'!A105)</x:f>
      </x:c>
      <x:c r="C1203" s="2" t="str">
        <x:v>A</x:v>
      </x:c>
      <x:c r="D1203" s="2" t="str">
        <x:v>PRIOR</x:v>
      </x:c>
      <x:c r="E1203" s="2" t="str">
        <x:f>IF(B1203="","",'Input_Meci'!B105)</x:f>
      </x:c>
      <x:c r="F1203" s="2" t="str">
        <x:f>IF(B1203="","",IF('Input_Meci'!K105="","",'Input_Meci'!K105))</x:f>
      </x:c>
      <x:c r="G1203" s="2" t="str">
        <x:f>IF(B1203="","",'Input_Meci'!E105)</x:f>
      </x:c>
      <x:c r="H1203" s="2" t="str">
        <x:v>ANY</x:v>
      </x:c>
      <x:c r="I1203" s="2" t="str">
        <x:v>SEASON</x:v>
      </x:c>
      <x:c r="J1203" s="9" t="n">
        <x:f>IF(AND(B1203&lt;&gt;"",ISNUMBER('Input_Meci'!G105)),INT('Input_Meci'!G105),0)</x:f>
        <x:v>0</x:v>
      </x:c>
      <x:c r="K1203" s="2" t="n">
        <x:f>IF(OR(B1203="",F1203=""),0,IF(H1203="HOME",COUNTIFS('Istoric_Nativ'!$B$6:$B$405,E1203,'Istoric_Nativ'!$C$6:$C$405,F1203,'Istoric_Nativ'!$E$6:$E$405,G1203,'Istoric_Nativ'!$D$6:$D$405,"&lt;"&amp;J1203,'Istoric_Nativ'!$P$6:$P$405,1),IF(H1203="AWAY",COUNTIFS('Istoric_Nativ'!$B$6:$B$405,E1203,'Istoric_Nativ'!$C$6:$C$405,F1203,'Istoric_Nativ'!$F$6:$F$405,G1203,'Istoric_Nativ'!$D$6:$D$405,"&lt;"&amp;J1203,'Istoric_Nativ'!$P$6:$P$405,1),COUNTIFS('Istoric_Nativ'!$B$6:$B$405,E1203,'Istoric_Nativ'!$C$6:$C$405,F1203,'Istoric_Nativ'!$E$6:$E$405,G1203,'Istoric_Nativ'!$D$6:$D$405,"&lt;"&amp;J1203,'Istoric_Nativ'!$P$6:$P$405,1)+COUNTIFS('Istoric_Nativ'!$B$6:$B$405,E1203,'Istoric_Nativ'!$C$6:$C$405,F1203,'Istoric_Nativ'!$F$6:$F$405,G1203,'Istoric_Nativ'!$D$6:$D$405,"&lt;"&amp;J1203,'Istoric_Nativ'!$P$6:$P$405,1))))</x:f>
        <x:v>0</x:v>
      </x:c>
      <x:c r="L1203" s="17" t="n">
        <x:f>IF(AND(B1203&lt;&gt;"",I1203="RECENT",K1203&gt;0),LARGE(_xlfn._xlws.FILTER('Istoric_Nativ'!$D$6:$D$405,('Istoric_Nativ'!$B$6:$B$405=E1203)*('Istoric_Nativ'!$C$6:$C$405=F1203)*('Istoric_Nativ'!$P$6:$P$405=1)*('Istoric_Nativ'!$D$6:$D$405&lt;J1203)*((('Istoric_Nativ'!$E$6:$E$405=G1203)+('Istoric_Nativ'!$F$6:$F$405=G1203))&gt;0)),MIN('Config_v6'!$B$54,K1203)),0)</x:f>
        <x:v>0</x:v>
      </x:c>
      <x:c r="M1203" s="2" t="n">
        <x:f>IF(OR(B1203="",F1203=""),0,IF(H1203="HOME",COUNTIFS('Istoric_Nativ'!$B$6:$B$405,E1203,'Istoric_Nativ'!$C$6:$C$405,F1203,'Istoric_Nativ'!$E$6:$E$405,G1203,'Istoric_Nativ'!$D$6:$D$405,"&lt;"&amp;J1203,'Istoric_Nativ'!$P$6:$P$405,1,'Istoric_Nativ'!$D$6:$D$405,"&gt;="&amp;L1203),IF(H1203="AWAY",COUNTIFS('Istoric_Nativ'!$B$6:$B$405,E1203,'Istoric_Nativ'!$C$6:$C$405,F1203,'Istoric_Nativ'!$F$6:$F$405,G1203,'Istoric_Nativ'!$D$6:$D$405,"&lt;"&amp;J1203,'Istoric_Nativ'!$P$6:$P$405,1,'Istoric_Nativ'!$D$6:$D$405,"&gt;="&amp;L1203),COUNTIFS('Istoric_Nativ'!$B$6:$B$405,E1203,'Istoric_Nativ'!$C$6:$C$405,F1203,'Istoric_Nativ'!$E$6:$E$405,G1203,'Istoric_Nativ'!$D$6:$D$405,"&lt;"&amp;J1203,'Istoric_Nativ'!$P$6:$P$405,1,'Istoric_Nativ'!$D$6:$D$405,"&gt;="&amp;L1203)+COUNTIFS('Istoric_Nativ'!$B$6:$B$405,E1203,'Istoric_Nativ'!$C$6:$C$405,F1203,'Istoric_Nativ'!$F$6:$F$405,G1203,'Istoric_Nativ'!$D$6:$D$405,"&lt;"&amp;J1203,'Istoric_Nativ'!$P$6:$P$405,1,'Istoric_Nativ'!$D$6:$D$405,"&gt;="&amp;L1203))))</x:f>
        <x:v>0</x:v>
      </x:c>
      <x:c r="N1203" s="11" t="str">
        <x:f>IF(M1203=0,"",IF(H1203="HOME",SUMIFS('Istoric_Nativ'!$G$6:$G$405,'Istoric_Nativ'!$B$6:$B$405,E1203,'Istoric_Nativ'!$C$6:$C$405,F1203,'Istoric_Nativ'!$E$6:$E$405,G1203,'Istoric_Nativ'!$D$6:$D$405,"&lt;"&amp;J1203,'Istoric_Nativ'!$P$6:$P$405,1,'Istoric_Nativ'!$D$6:$D$405,"&gt;="&amp;L1203),IF(H1203="AWAY",SUMIFS('Istoric_Nativ'!$H$6:$H$405,'Istoric_Nativ'!$B$6:$B$405,E1203,'Istoric_Nativ'!$C$6:$C$405,F1203,'Istoric_Nativ'!$F$6:$F$405,G1203,'Istoric_Nativ'!$D$6:$D$405,"&lt;"&amp;J1203,'Istoric_Nativ'!$P$6:$P$405,1,'Istoric_Nativ'!$D$6:$D$405,"&gt;="&amp;L1203),SUMIFS('Istoric_Nativ'!$G$6:$G$405,'Istoric_Nativ'!$B$6:$B$405,E1203,'Istoric_Nativ'!$C$6:$C$405,F1203,'Istoric_Nativ'!$E$6:$E$405,G1203,'Istoric_Nativ'!$D$6:$D$405,"&lt;"&amp;J1203,'Istoric_Nativ'!$P$6:$P$405,1,'Istoric_Nativ'!$D$6:$D$405,"&gt;="&amp;L1203)+SUMIFS('Istoric_Nativ'!$H$6:$H$405,'Istoric_Nativ'!$B$6:$B$405,E1203,'Istoric_Nativ'!$C$6:$C$405,F1203,'Istoric_Nativ'!$F$6:$F$405,G1203,'Istoric_Nativ'!$D$6:$D$405,"&lt;"&amp;J1203,'Istoric_Nativ'!$P$6:$P$405,1,'Istoric_Nativ'!$D$6:$D$405,"&gt;="&amp;L1203)))/M1203)</x:f>
      </x:c>
      <x:c r="O1203" s="11" t="str">
        <x:f>IF(M1203=0,"",IF(H1203="HOME",SUMIFS('Istoric_Nativ'!$H$6:$H$405,'Istoric_Nativ'!$B$6:$B$405,E1203,'Istoric_Nativ'!$C$6:$C$405,F1203,'Istoric_Nativ'!$E$6:$E$405,G1203,'Istoric_Nativ'!$D$6:$D$405,"&lt;"&amp;J1203,'Istoric_Nativ'!$P$6:$P$405,1,'Istoric_Nativ'!$D$6:$D$405,"&gt;="&amp;L1203),IF(H1203="AWAY",SUMIFS('Istoric_Nativ'!$G$6:$G$405,'Istoric_Nativ'!$B$6:$B$405,E1203,'Istoric_Nativ'!$C$6:$C$405,F1203,'Istoric_Nativ'!$F$6:$F$405,G1203,'Istoric_Nativ'!$D$6:$D$405,"&lt;"&amp;J1203,'Istoric_Nativ'!$P$6:$P$405,1,'Istoric_Nativ'!$D$6:$D$405,"&gt;="&amp;L1203),SUMIFS('Istoric_Nativ'!$H$6:$H$405,'Istoric_Nativ'!$B$6:$B$405,E1203,'Istoric_Nativ'!$C$6:$C$405,F1203,'Istoric_Nativ'!$E$6:$E$405,G1203,'Istoric_Nativ'!$D$6:$D$405,"&lt;"&amp;J1203,'Istoric_Nativ'!$P$6:$P$405,1,'Istoric_Nativ'!$D$6:$D$405,"&gt;="&amp;L1203)+SUMIFS('Istoric_Nativ'!$G$6:$G$405,'Istoric_Nativ'!$B$6:$B$405,E1203,'Istoric_Nativ'!$C$6:$C$405,F1203,'Istoric_Nativ'!$F$6:$F$405,G1203,'Istoric_Nativ'!$D$6:$D$405,"&lt;"&amp;J1203,'Istoric_Nativ'!$P$6:$P$405,1,'Istoric_Nativ'!$D$6:$D$405,"&gt;="&amp;L1203)))/M1203)</x:f>
      </x:c>
      <x:c r="P1203" s="2" t="n">
        <x:f>'Config_v6'!$B$7</x:f>
        <x:v>10</x:v>
      </x:c>
      <x:c r="Q1203" s="2" t="n">
        <x:f>IF(OR(B1203="",F1203=""),0,IFERROR(MATCH(E1203&amp;"|"&amp;F1203,SourceTable[Source_Key],0),0))</x:f>
        <x:v>0</x:v>
      </x:c>
      <x:c r="R1203" s="2" t="str">
        <x:f>IF(B1203="","",IF(F1203="","UNUSED",IF(Q1203=0,"NOT CHECKED",IF(COUNTIF(SourceTable[Source_Key],E1203&amp;"|"&amp;F1203)&lt;&gt;1,"SOURCE CONFLICT",IF(NOT(OR(INDEX(SourceTable[Status],MAX(1,Q1203))="IMPORTED",INDEX(SourceTable[Status],MAX(1,Q1203))="PARTIAL",INDEX(SourceTable[Status],MAX(1,Q1203))="SOURCE CONFLICT")),"ACCESS BLOCKED",IF(OR(INDEX(SourceTable[Coverage],Q1203)&lt;&gt;"FULL SEASON EXPORT",INDEX(SourceTable[URL],Q1203)="",INDEX(SourceTable[SHA256],Q1203)=""),"EVIDENCE INCOMPLETE",IF(AND('Input_Meci'!H105="LIVE",INDEX(SourceTable[Retrieved_UTC],Q1203)&gt;'Input_Meci'!G105),"POST CUTOFF","CLOSED")))))))</x:f>
      </x:c>
      <x:c r="S1203" s="2" t="n">
        <x:f>IF(OR(B1203="",F1203=""),0,COUNTIFS('Istoric_Nativ'!$B$6:$B$405,E1203,'Istoric_Nativ'!$C$6:$C$405,F1203,'Istoric_Nativ'!$E$6:$E$405,G1203,'Istoric_Nativ'!$D$6:$D$405,"&lt;"&amp;J1203,'Istoric_Nativ'!$O$6:$O$405,"INVALID")+COUNTIFS('Istoric_Nativ'!$B$6:$B$405,E1203,'Istoric_Nativ'!$C$6:$C$405,F1203,'Istoric_Nativ'!$E$6:$E$405,G1203,'Istoric_Nativ'!$O$6:$O$405,"INVALID",'Istoric_Nativ'!$D$6:$D$405,"*")+COUNTIFS('Istoric_Nativ'!$B$6:$B$405,E1203,'Istoric_Nativ'!$C$6:$C$405,F1203,'Istoric_Nativ'!$E$6:$E$405,G1203,'Istoric_Nativ'!$D$6:$D$405,"&lt;"&amp;J1203,'Istoric_Nativ'!$O$6:$O$405,"SOURCE CONFLICT")+COUNTIFS('Istoric_Nativ'!$B$6:$B$405,E1203,'Istoric_Nativ'!$C$6:$C$405,F1203,'Istoric_Nativ'!$F$6:$F$405,G1203,'Istoric_Nativ'!$D$6:$D$405,"&lt;"&amp;J1203,'Istoric_Nativ'!$O$6:$O$405,"INVALID")+COUNTIFS('Istoric_Nativ'!$B$6:$B$405,E1203,'Istoric_Nativ'!$C$6:$C$405,F1203,'Istoric_Nativ'!$F$6:$F$405,G1203,'Istoric_Nativ'!$O$6:$O$405,"INVALID",'Istoric_Nativ'!$D$6:$D$405,"*")+COUNTIFS('Istoric_Nativ'!$B$6:$B$405,E1203,'Istoric_Nativ'!$C$6:$C$405,F1203,'Istoric_Nativ'!$F$6:$F$405,G1203,'Istoric_Nativ'!$D$6:$D$405,"&lt;"&amp;J1203,'Istoric_Nativ'!$O$6:$O$405,"SOURCE CONFLICT"))</x:f>
        <x:v>0</x:v>
      </x:c>
      <x:c r="T1203" s="2" t="str">
        <x:f>IF(B1203="","",IF(R1203&lt;&gt;"CLOSED",R1203,IF(S1203&gt;0,"NATIVE INPUT ISSUE",IF(M1203=0,"NO HISTORY",IF(M1203&lt;P1203,"SMALL SAMPLE","DERIVED")))))</x:f>
      </x:c>
      <x:c r="U1203" s="2" t="str">
        <x:f>IF(B1203="","","NativeTable; "&amp;E1203&amp;"; "&amp;F1203&amp;"; "&amp;G1203&amp;"; "&amp;H1203&amp;"; before "&amp;TEXT(J1203,"yyyy-mm-dd")&amp;IF(I1203="RECENT","; from "&amp;TEXT(L1203,"yyyy-mm-dd"),""))</x:f>
      </x:c>
    </x:row>
    <x:row r="1204" ht="21" customHeight="1">
      <x:c r="A1204" s="2" t="n">
        <x:v>100</x:v>
      </x:c>
      <x:c r="B1204" s="2" t="str">
        <x:f>IF('Input_Meci'!A105="","",'Input_Meci'!A105)</x:f>
      </x:c>
      <x:c r="C1204" s="2" t="str">
        <x:v>A</x:v>
      </x:c>
      <x:c r="D1204" s="2" t="str">
        <x:v>PRIOR</x:v>
      </x:c>
      <x:c r="E1204" s="2" t="str">
        <x:f>IF(B1204="","",'Input_Meci'!B105)</x:f>
      </x:c>
      <x:c r="F1204" s="2" t="str">
        <x:f>IF(B1204="","",IF('Input_Meci'!K105="","",'Input_Meci'!K105))</x:f>
      </x:c>
      <x:c r="G1204" s="2" t="str">
        <x:f>IF(B1204="","",'Input_Meci'!E105)</x:f>
      </x:c>
      <x:c r="H1204" s="2" t="str">
        <x:v>AWAY</x:v>
      </x:c>
      <x:c r="I1204" s="2" t="str">
        <x:v>HA</x:v>
      </x:c>
      <x:c r="J1204" s="9" t="n">
        <x:f>IF(AND(B1204&lt;&gt;"",ISNUMBER('Input_Meci'!G105)),INT('Input_Meci'!G105),0)</x:f>
        <x:v>0</x:v>
      </x:c>
      <x:c r="K1204" s="2" t="n">
        <x:f>IF(OR(B1204="",F1204=""),0,IF(H1204="HOME",COUNTIFS('Istoric_Nativ'!$B$6:$B$405,E1204,'Istoric_Nativ'!$C$6:$C$405,F1204,'Istoric_Nativ'!$E$6:$E$405,G1204,'Istoric_Nativ'!$D$6:$D$405,"&lt;"&amp;J1204,'Istoric_Nativ'!$P$6:$P$405,1),IF(H1204="AWAY",COUNTIFS('Istoric_Nativ'!$B$6:$B$405,E1204,'Istoric_Nativ'!$C$6:$C$405,F1204,'Istoric_Nativ'!$F$6:$F$405,G1204,'Istoric_Nativ'!$D$6:$D$405,"&lt;"&amp;J1204,'Istoric_Nativ'!$P$6:$P$405,1),COUNTIFS('Istoric_Nativ'!$B$6:$B$405,E1204,'Istoric_Nativ'!$C$6:$C$405,F1204,'Istoric_Nativ'!$E$6:$E$405,G1204,'Istoric_Nativ'!$D$6:$D$405,"&lt;"&amp;J1204,'Istoric_Nativ'!$P$6:$P$405,1)+COUNTIFS('Istoric_Nativ'!$B$6:$B$405,E1204,'Istoric_Nativ'!$C$6:$C$405,F1204,'Istoric_Nativ'!$F$6:$F$405,G1204,'Istoric_Nativ'!$D$6:$D$405,"&lt;"&amp;J1204,'Istoric_Nativ'!$P$6:$P$405,1))))</x:f>
        <x:v>0</x:v>
      </x:c>
      <x:c r="L1204" s="17" t="n">
        <x:f>IF(AND(B1204&lt;&gt;"",I1204="RECENT",K1204&gt;0),LARGE(_xlfn._xlws.FILTER('Istoric_Nativ'!$D$6:$D$405,('Istoric_Nativ'!$B$6:$B$405=E1204)*('Istoric_Nativ'!$C$6:$C$405=F1204)*('Istoric_Nativ'!$P$6:$P$405=1)*('Istoric_Nativ'!$D$6:$D$405&lt;J1204)*((('Istoric_Nativ'!$E$6:$E$405=G1204)+('Istoric_Nativ'!$F$6:$F$405=G1204))&gt;0)),MIN('Config_v6'!$B$54,K1204)),0)</x:f>
        <x:v>0</x:v>
      </x:c>
      <x:c r="M1204" s="2" t="n">
        <x:f>IF(OR(B1204="",F1204=""),0,IF(H1204="HOME",COUNTIFS('Istoric_Nativ'!$B$6:$B$405,E1204,'Istoric_Nativ'!$C$6:$C$405,F1204,'Istoric_Nativ'!$E$6:$E$405,G1204,'Istoric_Nativ'!$D$6:$D$405,"&lt;"&amp;J1204,'Istoric_Nativ'!$P$6:$P$405,1,'Istoric_Nativ'!$D$6:$D$405,"&gt;="&amp;L1204),IF(H1204="AWAY",COUNTIFS('Istoric_Nativ'!$B$6:$B$405,E1204,'Istoric_Nativ'!$C$6:$C$405,F1204,'Istoric_Nativ'!$F$6:$F$405,G1204,'Istoric_Nativ'!$D$6:$D$405,"&lt;"&amp;J1204,'Istoric_Nativ'!$P$6:$P$405,1,'Istoric_Nativ'!$D$6:$D$405,"&gt;="&amp;L1204),COUNTIFS('Istoric_Nativ'!$B$6:$B$405,E1204,'Istoric_Nativ'!$C$6:$C$405,F1204,'Istoric_Nativ'!$E$6:$E$405,G1204,'Istoric_Nativ'!$D$6:$D$405,"&lt;"&amp;J1204,'Istoric_Nativ'!$P$6:$P$405,1,'Istoric_Nativ'!$D$6:$D$405,"&gt;="&amp;L1204)+COUNTIFS('Istoric_Nativ'!$B$6:$B$405,E1204,'Istoric_Nativ'!$C$6:$C$405,F1204,'Istoric_Nativ'!$F$6:$F$405,G1204,'Istoric_Nativ'!$D$6:$D$405,"&lt;"&amp;J1204,'Istoric_Nativ'!$P$6:$P$405,1,'Istoric_Nativ'!$D$6:$D$405,"&gt;="&amp;L1204))))</x:f>
        <x:v>0</x:v>
      </x:c>
      <x:c r="N1204" s="11" t="str">
        <x:f>IF(M1204=0,"",IF(H1204="HOME",SUMIFS('Istoric_Nativ'!$G$6:$G$405,'Istoric_Nativ'!$B$6:$B$405,E1204,'Istoric_Nativ'!$C$6:$C$405,F1204,'Istoric_Nativ'!$E$6:$E$405,G1204,'Istoric_Nativ'!$D$6:$D$405,"&lt;"&amp;J1204,'Istoric_Nativ'!$P$6:$P$405,1,'Istoric_Nativ'!$D$6:$D$405,"&gt;="&amp;L1204),IF(H1204="AWAY",SUMIFS('Istoric_Nativ'!$H$6:$H$405,'Istoric_Nativ'!$B$6:$B$405,E1204,'Istoric_Nativ'!$C$6:$C$405,F1204,'Istoric_Nativ'!$F$6:$F$405,G1204,'Istoric_Nativ'!$D$6:$D$405,"&lt;"&amp;J1204,'Istoric_Nativ'!$P$6:$P$405,1,'Istoric_Nativ'!$D$6:$D$405,"&gt;="&amp;L1204),SUMIFS('Istoric_Nativ'!$G$6:$G$405,'Istoric_Nativ'!$B$6:$B$405,E1204,'Istoric_Nativ'!$C$6:$C$405,F1204,'Istoric_Nativ'!$E$6:$E$405,G1204,'Istoric_Nativ'!$D$6:$D$405,"&lt;"&amp;J1204,'Istoric_Nativ'!$P$6:$P$405,1,'Istoric_Nativ'!$D$6:$D$405,"&gt;="&amp;L1204)+SUMIFS('Istoric_Nativ'!$H$6:$H$405,'Istoric_Nativ'!$B$6:$B$405,E1204,'Istoric_Nativ'!$C$6:$C$405,F1204,'Istoric_Nativ'!$F$6:$F$405,G1204,'Istoric_Nativ'!$D$6:$D$405,"&lt;"&amp;J1204,'Istoric_Nativ'!$P$6:$P$405,1,'Istoric_Nativ'!$D$6:$D$405,"&gt;="&amp;L1204)))/M1204)</x:f>
      </x:c>
      <x:c r="O1204" s="11" t="str">
        <x:f>IF(M1204=0,"",IF(H1204="HOME",SUMIFS('Istoric_Nativ'!$H$6:$H$405,'Istoric_Nativ'!$B$6:$B$405,E1204,'Istoric_Nativ'!$C$6:$C$405,F1204,'Istoric_Nativ'!$E$6:$E$405,G1204,'Istoric_Nativ'!$D$6:$D$405,"&lt;"&amp;J1204,'Istoric_Nativ'!$P$6:$P$405,1,'Istoric_Nativ'!$D$6:$D$405,"&gt;="&amp;L1204),IF(H1204="AWAY",SUMIFS('Istoric_Nativ'!$G$6:$G$405,'Istoric_Nativ'!$B$6:$B$405,E1204,'Istoric_Nativ'!$C$6:$C$405,F1204,'Istoric_Nativ'!$F$6:$F$405,G1204,'Istoric_Nativ'!$D$6:$D$405,"&lt;"&amp;J1204,'Istoric_Nativ'!$P$6:$P$405,1,'Istoric_Nativ'!$D$6:$D$405,"&gt;="&amp;L1204),SUMIFS('Istoric_Nativ'!$H$6:$H$405,'Istoric_Nativ'!$B$6:$B$405,E1204,'Istoric_Nativ'!$C$6:$C$405,F1204,'Istoric_Nativ'!$E$6:$E$405,G1204,'Istoric_Nativ'!$D$6:$D$405,"&lt;"&amp;J1204,'Istoric_Nativ'!$P$6:$P$405,1,'Istoric_Nativ'!$D$6:$D$405,"&gt;="&amp;L1204)+SUMIFS('Istoric_Nativ'!$G$6:$G$405,'Istoric_Nativ'!$B$6:$B$405,E1204,'Istoric_Nativ'!$C$6:$C$405,F1204,'Istoric_Nativ'!$F$6:$F$405,G1204,'Istoric_Nativ'!$D$6:$D$405,"&lt;"&amp;J1204,'Istoric_Nativ'!$P$6:$P$405,1,'Istoric_Nativ'!$D$6:$D$405,"&gt;="&amp;L1204)))/M1204)</x:f>
      </x:c>
      <x:c r="P1204" s="2" t="n">
        <x:f>'Config_v6'!$B$8</x:f>
        <x:v>5</x:v>
      </x:c>
      <x:c r="Q1204" s="2" t="n">
        <x:f>IF(OR(B1204="",F1204=""),0,IFERROR(MATCH(E1204&amp;"|"&amp;F1204,SourceTable[Source_Key],0),0))</x:f>
        <x:v>0</x:v>
      </x:c>
      <x:c r="R1204" s="2" t="str">
        <x:f>IF(B1204="","",IF(F1204="","UNUSED",IF(Q1204=0,"NOT CHECKED",IF(COUNTIF(SourceTable[Source_Key],E1204&amp;"|"&amp;F1204)&lt;&gt;1,"SOURCE CONFLICT",IF(NOT(OR(INDEX(SourceTable[Status],MAX(1,Q1204))="IMPORTED",INDEX(SourceTable[Status],MAX(1,Q1204))="PARTIAL",INDEX(SourceTable[Status],MAX(1,Q1204))="SOURCE CONFLICT")),"ACCESS BLOCKED",IF(OR(INDEX(SourceTable[Coverage],Q1204)&lt;&gt;"FULL SEASON EXPORT",INDEX(SourceTable[URL],Q1204)="",INDEX(SourceTable[SHA256],Q1204)=""),"EVIDENCE INCOMPLETE",IF(AND('Input_Meci'!H105="LIVE",INDEX(SourceTable[Retrieved_UTC],Q1204)&gt;'Input_Meci'!G105),"POST CUTOFF","CLOSED")))))))</x:f>
      </x:c>
      <x:c r="S1204" s="2" t="n">
        <x:f>IF(OR(B1204="",F1204=""),0,COUNTIFS('Istoric_Nativ'!$B$6:$B$405,E1204,'Istoric_Nativ'!$C$6:$C$405,F1204,'Istoric_Nativ'!$E$6:$E$405,G1204,'Istoric_Nativ'!$D$6:$D$405,"&lt;"&amp;J1204,'Istoric_Nativ'!$O$6:$O$405,"INVALID")+COUNTIFS('Istoric_Nativ'!$B$6:$B$405,E1204,'Istoric_Nativ'!$C$6:$C$405,F1204,'Istoric_Nativ'!$E$6:$E$405,G1204,'Istoric_Nativ'!$O$6:$O$405,"INVALID",'Istoric_Nativ'!$D$6:$D$405,"*")+COUNTIFS('Istoric_Nativ'!$B$6:$B$405,E1204,'Istoric_Nativ'!$C$6:$C$405,F1204,'Istoric_Nativ'!$E$6:$E$405,G1204,'Istoric_Nativ'!$D$6:$D$405,"&lt;"&amp;J1204,'Istoric_Nativ'!$O$6:$O$405,"SOURCE CONFLICT")+COUNTIFS('Istoric_Nativ'!$B$6:$B$405,E1204,'Istoric_Nativ'!$C$6:$C$405,F1204,'Istoric_Nativ'!$F$6:$F$405,G1204,'Istoric_Nativ'!$D$6:$D$405,"&lt;"&amp;J1204,'Istoric_Nativ'!$O$6:$O$405,"INVALID")+COUNTIFS('Istoric_Nativ'!$B$6:$B$405,E1204,'Istoric_Nativ'!$C$6:$C$405,F1204,'Istoric_Nativ'!$F$6:$F$405,G1204,'Istoric_Nativ'!$O$6:$O$405,"INVALID",'Istoric_Nativ'!$D$6:$D$405,"*")+COUNTIFS('Istoric_Nativ'!$B$6:$B$405,E1204,'Istoric_Nativ'!$C$6:$C$405,F1204,'Istoric_Nativ'!$F$6:$F$405,G1204,'Istoric_Nativ'!$D$6:$D$405,"&lt;"&amp;J1204,'Istoric_Nativ'!$O$6:$O$405,"SOURCE CONFLICT"))</x:f>
        <x:v>0</x:v>
      </x:c>
      <x:c r="T1204" s="2" t="str">
        <x:f>IF(B1204="","",IF(R1204&lt;&gt;"CLOSED",R1204,IF(S1204&gt;0,"NATIVE INPUT ISSUE",IF(M1204=0,"NO HISTORY",IF(M1204&lt;P1204,"SMALL SAMPLE","DERIVED")))))</x:f>
      </x:c>
      <x:c r="U1204" s="2" t="str">
        <x:f>IF(B1204="","","NativeTable; "&amp;E1204&amp;"; "&amp;F1204&amp;"; "&amp;G1204&amp;"; "&amp;H1204&amp;"; before "&amp;TEXT(J1204,"yyyy-mm-dd")&amp;IF(I1204="RECENT","; from "&amp;TEXT(L1204,"yyyy-mm-dd"),""))</x:f>
      </x:c>
    </x:row>
    <x:row r="1205" ht="21" customHeight="1">
      <x:c r="A1205" s="2" t="n">
        <x:v>100</x:v>
      </x:c>
      <x:c r="B1205" s="2" t="str">
        <x:f>IF('Input_Meci'!A105="","",'Input_Meci'!A105)</x:f>
      </x:c>
      <x:c r="C1205" s="2" t="str">
        <x:v>A</x:v>
      </x:c>
      <x:c r="D1205" s="2" t="str">
        <x:v>PRIOR</x:v>
      </x:c>
      <x:c r="E1205" s="2" t="str">
        <x:f>IF(B1205="","",'Input_Meci'!B105)</x:f>
      </x:c>
      <x:c r="F1205" s="2" t="str">
        <x:f>IF(B1205="","",IF('Input_Meci'!K105="","",'Input_Meci'!K105))</x:f>
      </x:c>
      <x:c r="G1205" s="2" t="str">
        <x:f>IF(B1205="","",'Input_Meci'!E105)</x:f>
      </x:c>
      <x:c r="H1205" s="2" t="str">
        <x:v>ANY</x:v>
      </x:c>
      <x:c r="I1205" s="2" t="str">
        <x:v>RECENT</x:v>
      </x:c>
      <x:c r="J1205" s="9" t="n">
        <x:f>IF(AND(B1205&lt;&gt;"",ISNUMBER('Input_Meci'!G105)),INT('Input_Meci'!G105),0)</x:f>
        <x:v>0</x:v>
      </x:c>
      <x:c r="K1205" s="2" t="n">
        <x:f>IF(OR(B1205="",F1205=""),0,IF(H1205="HOME",COUNTIFS('Istoric_Nativ'!$B$6:$B$405,E1205,'Istoric_Nativ'!$C$6:$C$405,F1205,'Istoric_Nativ'!$E$6:$E$405,G1205,'Istoric_Nativ'!$D$6:$D$405,"&lt;"&amp;J1205,'Istoric_Nativ'!$P$6:$P$405,1),IF(H1205="AWAY",COUNTIFS('Istoric_Nativ'!$B$6:$B$405,E1205,'Istoric_Nativ'!$C$6:$C$405,F1205,'Istoric_Nativ'!$F$6:$F$405,G1205,'Istoric_Nativ'!$D$6:$D$405,"&lt;"&amp;J1205,'Istoric_Nativ'!$P$6:$P$405,1),COUNTIFS('Istoric_Nativ'!$B$6:$B$405,E1205,'Istoric_Nativ'!$C$6:$C$405,F1205,'Istoric_Nativ'!$E$6:$E$405,G1205,'Istoric_Nativ'!$D$6:$D$405,"&lt;"&amp;J1205,'Istoric_Nativ'!$P$6:$P$405,1)+COUNTIFS('Istoric_Nativ'!$B$6:$B$405,E1205,'Istoric_Nativ'!$C$6:$C$405,F1205,'Istoric_Nativ'!$F$6:$F$405,G1205,'Istoric_Nativ'!$D$6:$D$405,"&lt;"&amp;J1205,'Istoric_Nativ'!$P$6:$P$405,1))))</x:f>
        <x:v>0</x:v>
      </x:c>
      <x:c r="L1205" s="17" t="n">
        <x:f>IF(AND(B1205&lt;&gt;"",I1205="RECENT",K1205&gt;0),LARGE(_xlfn._xlws.FILTER('Istoric_Nativ'!$D$6:$D$405,('Istoric_Nativ'!$B$6:$B$405=E1205)*('Istoric_Nativ'!$C$6:$C$405=F1205)*('Istoric_Nativ'!$P$6:$P$405=1)*('Istoric_Nativ'!$D$6:$D$405&lt;J1205)*((('Istoric_Nativ'!$E$6:$E$405=G1205)+('Istoric_Nativ'!$F$6:$F$405=G1205))&gt;0)),MIN('Config_v6'!$B$54,K1205)),0)</x:f>
        <x:v>0</x:v>
      </x:c>
      <x:c r="M1205" s="2" t="n">
        <x:f>IF(OR(B1205="",F1205=""),0,IF(H1205="HOME",COUNTIFS('Istoric_Nativ'!$B$6:$B$405,E1205,'Istoric_Nativ'!$C$6:$C$405,F1205,'Istoric_Nativ'!$E$6:$E$405,G1205,'Istoric_Nativ'!$D$6:$D$405,"&lt;"&amp;J1205,'Istoric_Nativ'!$P$6:$P$405,1,'Istoric_Nativ'!$D$6:$D$405,"&gt;="&amp;L1205),IF(H1205="AWAY",COUNTIFS('Istoric_Nativ'!$B$6:$B$405,E1205,'Istoric_Nativ'!$C$6:$C$405,F1205,'Istoric_Nativ'!$F$6:$F$405,G1205,'Istoric_Nativ'!$D$6:$D$405,"&lt;"&amp;J1205,'Istoric_Nativ'!$P$6:$P$405,1,'Istoric_Nativ'!$D$6:$D$405,"&gt;="&amp;L1205),COUNTIFS('Istoric_Nativ'!$B$6:$B$405,E1205,'Istoric_Nativ'!$C$6:$C$405,F1205,'Istoric_Nativ'!$E$6:$E$405,G1205,'Istoric_Nativ'!$D$6:$D$405,"&lt;"&amp;J1205,'Istoric_Nativ'!$P$6:$P$405,1,'Istoric_Nativ'!$D$6:$D$405,"&gt;="&amp;L1205)+COUNTIFS('Istoric_Nativ'!$B$6:$B$405,E1205,'Istoric_Nativ'!$C$6:$C$405,F1205,'Istoric_Nativ'!$F$6:$F$405,G1205,'Istoric_Nativ'!$D$6:$D$405,"&lt;"&amp;J1205,'Istoric_Nativ'!$P$6:$P$405,1,'Istoric_Nativ'!$D$6:$D$405,"&gt;="&amp;L1205))))</x:f>
        <x:v>0</x:v>
      </x:c>
      <x:c r="N1205" s="11" t="str">
        <x:f>IF(M1205=0,"",IF(H1205="HOME",SUMIFS('Istoric_Nativ'!$G$6:$G$405,'Istoric_Nativ'!$B$6:$B$405,E1205,'Istoric_Nativ'!$C$6:$C$405,F1205,'Istoric_Nativ'!$E$6:$E$405,G1205,'Istoric_Nativ'!$D$6:$D$405,"&lt;"&amp;J1205,'Istoric_Nativ'!$P$6:$P$405,1,'Istoric_Nativ'!$D$6:$D$405,"&gt;="&amp;L1205),IF(H1205="AWAY",SUMIFS('Istoric_Nativ'!$H$6:$H$405,'Istoric_Nativ'!$B$6:$B$405,E1205,'Istoric_Nativ'!$C$6:$C$405,F1205,'Istoric_Nativ'!$F$6:$F$405,G1205,'Istoric_Nativ'!$D$6:$D$405,"&lt;"&amp;J1205,'Istoric_Nativ'!$P$6:$P$405,1,'Istoric_Nativ'!$D$6:$D$405,"&gt;="&amp;L1205),SUMIFS('Istoric_Nativ'!$G$6:$G$405,'Istoric_Nativ'!$B$6:$B$405,E1205,'Istoric_Nativ'!$C$6:$C$405,F1205,'Istoric_Nativ'!$E$6:$E$405,G1205,'Istoric_Nativ'!$D$6:$D$405,"&lt;"&amp;J1205,'Istoric_Nativ'!$P$6:$P$405,1,'Istoric_Nativ'!$D$6:$D$405,"&gt;="&amp;L1205)+SUMIFS('Istoric_Nativ'!$H$6:$H$405,'Istoric_Nativ'!$B$6:$B$405,E1205,'Istoric_Nativ'!$C$6:$C$405,F1205,'Istoric_Nativ'!$F$6:$F$405,G1205,'Istoric_Nativ'!$D$6:$D$405,"&lt;"&amp;J1205,'Istoric_Nativ'!$P$6:$P$405,1,'Istoric_Nativ'!$D$6:$D$405,"&gt;="&amp;L1205)))/M1205)</x:f>
      </x:c>
      <x:c r="O1205" s="11" t="str">
        <x:f>IF(M1205=0,"",IF(H1205="HOME",SUMIFS('Istoric_Nativ'!$H$6:$H$405,'Istoric_Nativ'!$B$6:$B$405,E1205,'Istoric_Nativ'!$C$6:$C$405,F1205,'Istoric_Nativ'!$E$6:$E$405,G1205,'Istoric_Nativ'!$D$6:$D$405,"&lt;"&amp;J1205,'Istoric_Nativ'!$P$6:$P$405,1,'Istoric_Nativ'!$D$6:$D$405,"&gt;="&amp;L1205),IF(H1205="AWAY",SUMIFS('Istoric_Nativ'!$G$6:$G$405,'Istoric_Nativ'!$B$6:$B$405,E1205,'Istoric_Nativ'!$C$6:$C$405,F1205,'Istoric_Nativ'!$F$6:$F$405,G1205,'Istoric_Nativ'!$D$6:$D$405,"&lt;"&amp;J1205,'Istoric_Nativ'!$P$6:$P$405,1,'Istoric_Nativ'!$D$6:$D$405,"&gt;="&amp;L1205),SUMIFS('Istoric_Nativ'!$H$6:$H$405,'Istoric_Nativ'!$B$6:$B$405,E1205,'Istoric_Nativ'!$C$6:$C$405,F1205,'Istoric_Nativ'!$E$6:$E$405,G1205,'Istoric_Nativ'!$D$6:$D$405,"&lt;"&amp;J1205,'Istoric_Nativ'!$P$6:$P$405,1,'Istoric_Nativ'!$D$6:$D$405,"&gt;="&amp;L1205)+SUMIFS('Istoric_Nativ'!$G$6:$G$405,'Istoric_Nativ'!$B$6:$B$405,E1205,'Istoric_Nativ'!$C$6:$C$405,F1205,'Istoric_Nativ'!$F$6:$F$405,G1205,'Istoric_Nativ'!$D$6:$D$405,"&lt;"&amp;J1205,'Istoric_Nativ'!$P$6:$P$405,1,'Istoric_Nativ'!$D$6:$D$405,"&gt;="&amp;L1205)))/M1205)</x:f>
      </x:c>
      <x:c r="P1205" s="2" t="n">
        <x:f>'Config_v6'!$B$9</x:f>
        <x:v>3</x:v>
      </x:c>
      <x:c r="Q1205" s="2" t="n">
        <x:f>IF(OR(B1205="",F1205=""),0,IFERROR(MATCH(E1205&amp;"|"&amp;F1205,SourceTable[Source_Key],0),0))</x:f>
        <x:v>0</x:v>
      </x:c>
      <x:c r="R1205" s="2" t="str">
        <x:f>IF(B1205="","",IF(F1205="","UNUSED",IF(Q1205=0,"NOT CHECKED",IF(COUNTIF(SourceTable[Source_Key],E1205&amp;"|"&amp;F1205)&lt;&gt;1,"SOURCE CONFLICT",IF(NOT(OR(INDEX(SourceTable[Status],MAX(1,Q1205))="IMPORTED",INDEX(SourceTable[Status],MAX(1,Q1205))="PARTIAL",INDEX(SourceTable[Status],MAX(1,Q1205))="SOURCE CONFLICT")),"ACCESS BLOCKED",IF(OR(INDEX(SourceTable[Coverage],Q1205)&lt;&gt;"FULL SEASON EXPORT",INDEX(SourceTable[URL],Q1205)="",INDEX(SourceTable[SHA256],Q1205)=""),"EVIDENCE INCOMPLETE",IF(AND('Input_Meci'!H105="LIVE",INDEX(SourceTable[Retrieved_UTC],Q1205)&gt;'Input_Meci'!G105),"POST CUTOFF","CLOSED")))))))</x:f>
      </x:c>
      <x:c r="S1205" s="2" t="n">
        <x:f>IF(OR(B1205="",F1205=""),0,COUNTIFS('Istoric_Nativ'!$B$6:$B$405,E1205,'Istoric_Nativ'!$C$6:$C$405,F1205,'Istoric_Nativ'!$E$6:$E$405,G1205,'Istoric_Nativ'!$D$6:$D$405,"&lt;"&amp;J1205,'Istoric_Nativ'!$O$6:$O$405,"INVALID")+COUNTIFS('Istoric_Nativ'!$B$6:$B$405,E1205,'Istoric_Nativ'!$C$6:$C$405,F1205,'Istoric_Nativ'!$E$6:$E$405,G1205,'Istoric_Nativ'!$O$6:$O$405,"INVALID",'Istoric_Nativ'!$D$6:$D$405,"*")+COUNTIFS('Istoric_Nativ'!$B$6:$B$405,E1205,'Istoric_Nativ'!$C$6:$C$405,F1205,'Istoric_Nativ'!$E$6:$E$405,G1205,'Istoric_Nativ'!$D$6:$D$405,"&lt;"&amp;J1205,'Istoric_Nativ'!$O$6:$O$405,"SOURCE CONFLICT")+COUNTIFS('Istoric_Nativ'!$B$6:$B$405,E1205,'Istoric_Nativ'!$C$6:$C$405,F1205,'Istoric_Nativ'!$F$6:$F$405,G1205,'Istoric_Nativ'!$D$6:$D$405,"&lt;"&amp;J1205,'Istoric_Nativ'!$O$6:$O$405,"INVALID")+COUNTIFS('Istoric_Nativ'!$B$6:$B$405,E1205,'Istoric_Nativ'!$C$6:$C$405,F1205,'Istoric_Nativ'!$F$6:$F$405,G1205,'Istoric_Nativ'!$O$6:$O$405,"INVALID",'Istoric_Nativ'!$D$6:$D$405,"*")+COUNTIFS('Istoric_Nativ'!$B$6:$B$405,E1205,'Istoric_Nativ'!$C$6:$C$405,F1205,'Istoric_Nativ'!$F$6:$F$405,G1205,'Istoric_Nativ'!$D$6:$D$405,"&lt;"&amp;J1205,'Istoric_Nativ'!$O$6:$O$405,"SOURCE CONFLICT"))</x:f>
        <x:v>0</x:v>
      </x:c>
      <x:c r="T1205" s="2" t="str">
        <x:f>IF(B1205="","",IF(R1205&lt;&gt;"CLOSED",R1205,IF(S1205&gt;0,"NATIVE INPUT ISSUE",IF(M1205=0,"NO HISTORY",IF(M1205&lt;P1205,"SMALL SAMPLE","DERIVED")))))</x:f>
      </x:c>
      <x:c r="U1205" s="2" t="str">
        <x:f>IF(B1205="","","NativeTable; "&amp;E1205&amp;"; "&amp;F1205&amp;"; "&amp;G1205&amp;"; "&amp;H1205&amp;"; before "&amp;TEXT(J1205,"yyyy-mm-dd")&amp;IF(I1205="RECENT","; from "&amp;TEXT(L1205,"yyyy-mm-dd"),""))</x:f>
      </x:c>
    </x:row>
  </x:sheetData>
  <x:pageMargins left="0.7" right="0.7" top="0.75" bottom="0.75" header="0.3" footer="0.3"/>
  <x:tableParts count="1">
    <x:tablePart xmlns:r="http://schemas.openxmlformats.org/officeDocument/2006/relationships" r:id="R414e71f7267744a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</x:row>
    <x:row r="2" ht="21" customHeight="1">
      <x:c r="A2" s="3" t="str">
        <x:v>DISTRIBUȚIA TOTALULUI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</x:row>
    <x:row r="5" ht="46" customHeight="1">
      <x:c r="A5" s="6" t="str">
        <x:v>Match_ID</x:v>
      </x:c>
      <x:c r="B5" s="6" t="str">
        <x:v>Mu</x:v>
      </x:c>
      <x:c r="C5" s="6" t="str">
        <x:v>D</x:v>
      </x:c>
      <x:c r="D5" s="6" t="str">
        <x:v>Size</x:v>
      </x:c>
      <x:c r="E5" s="6" t="str">
        <x:v>PMF_0</x:v>
      </x:c>
      <x:c r="F5" s="6" t="str">
        <x:v>PMF_1</x:v>
      </x:c>
      <x:c r="G5" s="6" t="str">
        <x:v>PMF_2</x:v>
      </x:c>
      <x:c r="H5" s="6" t="str">
        <x:v>PMF_3</x:v>
      </x:c>
      <x:c r="I5" s="6" t="str">
        <x:v>PMF_4</x:v>
      </x:c>
      <x:c r="J5" s="6" t="str">
        <x:v>PMF_5</x:v>
      </x:c>
      <x:c r="K5" s="6" t="str">
        <x:v>PMF_6</x:v>
      </x:c>
      <x:c r="L5" s="6" t="str">
        <x:v>PMF_7</x:v>
      </x:c>
      <x:c r="M5" s="6" t="str">
        <x:v>PMF_8</x:v>
      </x:c>
      <x:c r="N5" s="6" t="str">
        <x:v>PMF_9</x:v>
      </x:c>
      <x:c r="O5" s="6" t="str">
        <x:v>PMF_10</x:v>
      </x:c>
      <x:c r="P5" s="6" t="str">
        <x:v>PMF_11</x:v>
      </x:c>
      <x:c r="Q5" s="6" t="str">
        <x:v>PMF_12</x:v>
      </x:c>
      <x:c r="R5" s="6" t="str">
        <x:v>PMF_13</x:v>
      </x:c>
      <x:c r="S5" s="6" t="str">
        <x:v>PMF_14</x:v>
      </x:c>
      <x:c r="T5" s="6" t="str">
        <x:v>PMF_15</x:v>
      </x:c>
      <x:c r="U5" s="6" t="str">
        <x:v>PMF_16</x:v>
      </x:c>
      <x:c r="V5" s="6" t="str">
        <x:v>PMF_17</x:v>
      </x:c>
      <x:c r="W5" s="6" t="str">
        <x:v>PMF_18</x:v>
      </x:c>
      <x:c r="X5" s="6" t="str">
        <x:v>CDF_0</x:v>
      </x:c>
      <x:c r="Y5" s="6" t="str">
        <x:v>CDF_1</x:v>
      </x:c>
      <x:c r="Z5" s="6" t="str">
        <x:v>CDF_2</x:v>
      </x:c>
      <x:c r="AA5" s="6" t="str">
        <x:v>CDF_3</x:v>
      </x:c>
      <x:c r="AB5" s="6" t="str">
        <x:v>CDF_4</x:v>
      </x:c>
      <x:c r="AC5" s="6" t="str">
        <x:v>CDF_5</x:v>
      </x:c>
      <x:c r="AD5" s="6" t="str">
        <x:v>CDF_6</x:v>
      </x:c>
      <x:c r="AE5" s="6" t="str">
        <x:v>CDF_7</x:v>
      </x:c>
      <x:c r="AF5" s="6" t="str">
        <x:v>CDF_8</x:v>
      </x:c>
      <x:c r="AG5" s="6" t="str">
        <x:v>CDF_9</x:v>
      </x:c>
      <x:c r="AH5" s="6" t="str">
        <x:v>CDF_10</x:v>
      </x:c>
      <x:c r="AI5" s="6" t="str">
        <x:v>CDF_11</x:v>
      </x:c>
      <x:c r="AJ5" s="6" t="str">
        <x:v>CDF_12</x:v>
      </x:c>
      <x:c r="AK5" s="6" t="str">
        <x:v>CDF_13</x:v>
      </x:c>
      <x:c r="AL5" s="6" t="str">
        <x:v>CDF_14</x:v>
      </x:c>
      <x:c r="AM5" s="6" t="str">
        <x:v>CDF_15</x:v>
      </x:c>
      <x:c r="AN5" s="6" t="str">
        <x:v>CDF_16</x:v>
      </x:c>
      <x:c r="AO5" s="6" t="str">
        <x:v>CDF_17</x:v>
      </x:c>
      <x:c r="AP5" s="6" t="str">
        <x:v>CDF_18</x:v>
      </x:c>
    </x:row>
    <x:row r="6" ht="21" customHeight="1">
      <x:c r="A6" s="2" t="str">
        <x:f>IF('Motor_Meciuri'!A6="","",'Motor_Meciuri'!A6)</x:f>
        <x:v>REPLAY_1</x:v>
      </x:c>
      <x:c r="B6" s="2" t="n">
        <x:f>IF('Motor_Meciuri'!I6&lt;&gt;"PASS","",'Motor_Meciuri'!BD6)</x:f>
        <x:v>10.27195945945946</x:v>
      </x:c>
      <x:c r="C6" s="2" t="n">
        <x:f>IF(B6="","",'Motor_Meciuri'!AU6)</x:f>
        <x:v>0.9007607192254518</x:v>
      </x:c>
      <x:c r="D6" s="2" t="n">
        <x:f>IF(B6="","",'Motor_Meciuri'!AW6)</x:f>
        <x:v>9999</x:v>
      </x:c>
      <x:c r="E6" s="2" t="n">
        <x:f>IF(B6="","",IF(C6&lt;='Config_v6'!$B$10,EXP(-B6),(D6/(D6+B6))^D6))</x:f>
        <x:v>0.00003458953219263637</x:v>
      </x:c>
      <x:c r="F6" s="2" t="n">
        <x:f>IF(B6="","",IF(C6&lt;='Config_v6'!$B$10,E6*B6/1,E6*(D6+0)/1*B6/(D6+B6)))</x:f>
        <x:v>0.0003553022724044287</x:v>
      </x:c>
      <x:c r="G6" s="2" t="n">
        <x:f>IF(B6="","",IF(C6&lt;='Config_v6'!$B$10,F6*B6/2,F6*(D6+1)/2*B6/(D6+B6)))</x:f>
        <x:v>0.0018248252689960565</x:v>
      </x:c>
      <x:c r="H6" s="2" t="n">
        <x:f>IF(B6="","",IF(C6&lt;='Config_v6'!$B$10,G6*B6/3,G6*(D6+2)/3*B6/(D6+B6)))</x:f>
        <x:v>0.006248177061241565</x:v>
      </x:c>
      <x:c r="I6" s="2" t="n">
        <x:f>IF(B6="","",IF(C6&lt;='Config_v6'!$B$10,H6*B6/4,H6*(D6+3)/4*B6/(D6+B6)))</x:f>
        <x:v>0.016045255367149475</x:v>
      </x:c>
      <x:c r="J6" s="2" t="n">
        <x:f>IF(B6="","",IF(C6&lt;='Config_v6'!$B$10,I6*B6/5,I6*(D6+4)/5*B6/(D6+B6)))</x:f>
        <x:v>0.032963242529606744</x:v>
      </x:c>
      <x:c r="K6" s="2" t="n">
        <x:f>IF(B6="","",IF(C6&lt;='Config_v6'!$B$10,J6*B6/6,J6*(D6+5)/6*B6/(D6+B6)))</x:f>
        <x:v>0.056432848486075056</x:v>
      </x:c>
      <x:c r="L6" s="2" t="n">
        <x:f>IF(B6="","",IF(C6&lt;='Config_v6'!$B$10,K6*B6/7,K6*(D6+6)/7*B6/(D6+B6)))</x:f>
        <x:v>0.0828108474043973</x:v>
      </x:c>
      <x:c r="M6" s="2" t="n">
        <x:f>IF(B6="","",IF(C6&lt;='Config_v6'!$B$10,L6*B6/8,L6*(D6+7)/8*B6/(D6+B6)))</x:f>
        <x:v>0.10632870841768159</x:v>
      </x:c>
      <x:c r="N6" s="2" t="n">
        <x:f>IF(B6="","",IF(C6&lt;='Config_v6'!$B$10,M6*B6/9,M6*(D6+8)/9*B6/(D6+B6)))</x:f>
        <x:v>0.12135602024923456</x:v>
      </x:c>
      <x:c r="O6" s="2" t="n">
        <x:f>IF(B6="","",IF(C6&lt;='Config_v6'!$B$10,N6*B6/10,N6*(D6+9)/10*B6/(D6+B6)))</x:f>
        <x:v>0.12465641201614786</x:v>
      </x:c>
      <x:c r="P6" s="2" t="n">
        <x:f>IF(B6="","",IF(C6&lt;='Config_v6'!$B$10,O6*B6/11,O6*(D6+10)/11*B6/(D6+B6)))</x:f>
        <x:v>0.11640596459923143</x:v>
      </x:c>
      <x:c r="Q6" s="2" t="n">
        <x:f>IF(B6="","",IF(C6&lt;='Config_v6'!$B$10,P6*B6/12,P6*(D6+11)/12*B6/(D6+B6)))</x:f>
        <x:v>0.09964311243354819</x:v>
      </x:c>
      <x:c r="R6" s="2" t="n">
        <x:f>IF(B6="","",IF(C6&lt;='Config_v6'!$B$10,Q6*B6/13,Q6*(D6+12)/13*B6/(D6+B6)))</x:f>
        <x:v>0.07873307779475137</x:v>
      </x:c>
      <x:c r="S6" s="2" t="n">
        <x:f>IF(B6="","",IF(C6&lt;='Config_v6'!$B$10,R6*B6/14,R6*(D6+13)/14*B6/(D6+B6)))</x:f>
        <x:v>0.05776735594472528</x:v>
      </x:c>
      <x:c r="T6" s="2" t="n">
        <x:f>IF(B6="","",IF(C6&lt;='Config_v6'!$B$10,S6*B6/15,S6*(D6+14)/15*B6/(D6+B6)))</x:f>
        <x:v>0.039558929222958825</x:v>
      </x:c>
      <x:c r="U6" s="2" t="n">
        <x:f>IF(B6="","",IF(C6&lt;='Config_v6'!$B$10,T6*B6/16,T6*(D6+15)/16*B6/(D6+B6)))</x:f>
        <x:v>0.0253967323273662</x:v>
      </x:c>
      <x:c r="V6" s="2" t="n">
        <x:f>IF(B6="","",IF(C6&lt;='Config_v6'!$B$10,U6*B6/17,U6*(D6+16)/17*B6/(D6+B6)))</x:f>
        <x:v>0.01534554146290877</x:v>
      </x:c>
      <x:c r="W6" s="2" t="n">
        <x:f>IF(B6="","",IF(C6&lt;='Config_v6'!$B$10,V6*B6/18,V6*(D6+17)/18*B6/(D6+B6)))</x:f>
        <x:v>0.00875715443280295</x:v>
      </x:c>
      <x:c r="X6" s="2" t="n">
        <x:f>IF(B6="","",MIN(1,SUM(E6:E6)))</x:f>
        <x:v>0.00003458953219263637</x:v>
      </x:c>
      <x:c r="Y6" s="2" t="n">
        <x:f>IF(B6="","",MIN(1,SUM(E6:F6)))</x:f>
        <x:v>0.0003898918045970651</x:v>
      </x:c>
      <x:c r="Z6" s="2" t="n">
        <x:f>IF(B6="","",MIN(1,SUM(E6:G6)))</x:f>
        <x:v>0.0022147170735931218</x:v>
      </x:c>
      <x:c r="AA6" s="2" t="n">
        <x:f>IF(B6="","",MIN(1,SUM(E6:H6)))</x:f>
        <x:v>0.008462894134834687</x:v>
      </x:c>
      <x:c r="AB6" s="2" t="n">
        <x:f>IF(B6="","",MIN(1,SUM(E6:I6)))</x:f>
        <x:v>0.024508149501984162</x:v>
      </x:c>
      <x:c r="AC6" s="2" t="n">
        <x:f>IF(B6="","",MIN(1,SUM(E6:J6)))</x:f>
        <x:v>0.05747139203159091</x:v>
      </x:c>
      <x:c r="AD6" s="2" t="n">
        <x:f>IF(B6="","",MIN(1,SUM(E6:K6)))</x:f>
        <x:v>0.11390424051766596</x:v>
      </x:c>
      <x:c r="AE6" s="2" t="n">
        <x:f>IF(B6="","",MIN(1,SUM(E6:L6)))</x:f>
        <x:v>0.19671508792206327</x:v>
      </x:c>
      <x:c r="AF6" s="2" t="n">
        <x:f>IF(B6="","",MIN(1,SUM(E6:M6)))</x:f>
        <x:v>0.3030437963397449</x:v>
      </x:c>
      <x:c r="AG6" s="2" t="n">
        <x:f>IF(B6="","",MIN(1,SUM(E6:N6)))</x:f>
        <x:v>0.4243998165889794</x:v>
      </x:c>
      <x:c r="AH6" s="2" t="n">
        <x:f>IF(B6="","",MIN(1,SUM(E6:O6)))</x:f>
        <x:v>0.5490562286051273</x:v>
      </x:c>
      <x:c r="AI6" s="2" t="n">
        <x:f>IF(B6="","",MIN(1,SUM(E6:P6)))</x:f>
        <x:v>0.6654621932043587</x:v>
      </x:c>
      <x:c r="AJ6" s="2" t="n">
        <x:f>IF(B6="","",MIN(1,SUM(E6:Q6)))</x:f>
        <x:v>0.7651053056379069</x:v>
      </x:c>
      <x:c r="AK6" s="2" t="n">
        <x:f>IF(B6="","",MIN(1,SUM(E6:R6)))</x:f>
        <x:v>0.8438383834326583</x:v>
      </x:c>
      <x:c r="AL6" s="2" t="n">
        <x:f>IF(B6="","",MIN(1,SUM(E6:S6)))</x:f>
        <x:v>0.9016057393773835</x:v>
      </x:c>
      <x:c r="AM6" s="2" t="n">
        <x:f>IF(B6="","",MIN(1,SUM(E6:T6)))</x:f>
        <x:v>0.9411646686003423</x:v>
      </x:c>
      <x:c r="AN6" s="2" t="n">
        <x:f>IF(B6="","",MIN(1,SUM(E6:U6)))</x:f>
        <x:v>0.9665614009277085</x:v>
      </x:c>
      <x:c r="AO6" s="2" t="n">
        <x:f>IF(B6="","",MIN(1,SUM(E6:V6)))</x:f>
        <x:v>0.9819069423906173</x:v>
      </x:c>
      <x:c r="AP6" s="2" t="n">
        <x:f>IF(B6="","",MIN(1,SUM(E6:W6)))</x:f>
        <x:v>0.9906640968234202</x:v>
      </x:c>
    </x:row>
    <x:row r="7" ht="21" customHeight="1">
      <x:c r="A7" s="2" t="str">
        <x:f>IF('Motor_Meciuri'!A7="","",'Motor_Meciuri'!A7)</x:f>
        <x:v>REPLAY_2</x:v>
      </x:c>
      <x:c r="B7" s="2" t="n">
        <x:f>IF('Motor_Meciuri'!I7&lt;&gt;"PASS","",'Motor_Meciuri'!BD7)</x:f>
        <x:v>9.471621621621622</x:v>
      </x:c>
      <x:c r="C7" s="2" t="n">
        <x:f>IF(B7="","",'Motor_Meciuri'!AU7)</x:f>
        <x:v>1.0431201550387579</x:v>
      </x:c>
      <x:c r="D7" s="2" t="n">
        <x:f>IF(B7="","",'Motor_Meciuri'!AW7)</x:f>
        <x:v>9999</x:v>
      </x:c>
      <x:c r="E7" s="2" t="n">
        <x:f>IF(B7="","",IF(C7&lt;='Config_v6'!$B$10,EXP(-B7),(D7/(D7+B7))^D7))</x:f>
        <x:v>0.00007700643088418279</x:v>
      </x:c>
      <x:c r="F7" s="2" t="n">
        <x:f>IF(B7="","",IF(C7&lt;='Config_v6'!$B$10,E7*B7/1,E7*(D7+0)/1*B7/(D7+B7)))</x:f>
        <x:v>0.0007293757757665367</x:v>
      </x:c>
      <x:c r="G7" s="2" t="n">
        <x:f>IF(B7="","",IF(C7&lt;='Config_v6'!$B$10,F7*B7/2,F7*(D7+1)/2*B7/(D7+B7)))</x:f>
        <x:v>0.0034541856840186866</x:v>
      </x:c>
      <x:c r="H7" s="2" t="n">
        <x:f>IF(B7="","",IF(C7&lt;='Config_v6'!$B$10,G7*B7/3,G7*(D7+2)/3*B7/(D7+B7)))</x:f>
        <x:v>0.010905579936615756</x:v>
      </x:c>
      <x:c r="I7" s="2" t="n">
        <x:f>IF(B7="","",IF(C7&lt;='Config_v6'!$B$10,H7*B7/4,H7*(D7+3)/4*B7/(D7+B7)))</x:f>
        <x:v>0.02582338168099319</x:v>
      </x:c>
      <x:c r="J7" s="2" t="n">
        <x:f>IF(B7="","",IF(C7&lt;='Config_v6'!$B$10,I7*B7/5,I7*(D7+4)/5*B7/(D7+B7)))</x:f>
        <x:v>0.048917860054616555</x:v>
      </x:c>
      <x:c r="K7" s="2" t="n">
        <x:f>IF(B7="","",IF(C7&lt;='Config_v6'!$B$10,J7*B7/6,J7*(D7+5)/6*B7/(D7+B7)))</x:f>
        <x:v>0.07722191016279448</x:v>
      </x:c>
      <x:c r="L7" s="2" t="n">
        <x:f>IF(B7="","",IF(C7&lt;='Config_v6'!$B$10,K7*B7/7,K7*(D7+6)/7*B7/(D7+B7)))</x:f>
        <x:v>0.10448810199440665</x:v>
      </x:c>
      <x:c r="M7" s="2" t="n">
        <x:f>IF(B7="","",IF(C7&lt;='Config_v6'!$B$10,L7*B7/8,L7*(D7+7)/8*B7/(D7+B7)))</x:f>
        <x:v>0.12370897075655343</x:v>
      </x:c>
      <x:c r="N7" s="2" t="n">
        <x:f>IF(B7="","",IF(C7&lt;='Config_v6'!$B$10,M7*B7/9,M7*(D7+8)/9*B7/(D7+B7)))</x:f>
        <x:v>0.1301916180229254</x:v>
      </x:c>
      <x:c r="O7" s="2" t="n">
        <x:f>IF(B7="","",IF(C7&lt;='Config_v6'!$B$10,N7*B7/10,N7*(D7+9)/10*B7/(D7+B7)))</x:f>
        <x:v>0.12331257442198436</x:v>
      </x:c>
      <x:c r="P7" s="2" t="n">
        <x:f>IF(B7="","",IF(C7&lt;='Config_v6'!$B$10,O7*B7/11,O7*(D7+10)/11*B7/(D7+B7)))</x:f>
        <x:v>0.10617909510119022</x:v>
      </x:c>
      <x:c r="Q7" s="2" t="n">
        <x:f>IF(B7="","",IF(C7&lt;='Config_v6'!$B$10,P7*B7/12,P7*(D7+11)/12*B7/(D7+B7)))</x:f>
        <x:v>0.08380735107705432</x:v>
      </x:c>
      <x:c r="R7" s="2" t="n">
        <x:f>IF(B7="","",IF(C7&lt;='Config_v6'!$B$10,Q7*B7/13,Q7*(D7+12)/13*B7/(D7+B7)))</x:f>
        <x:v>0.061060886039404766</x:v>
      </x:c>
      <x:c r="S7" s="2" t="n">
        <x:f>IF(B7="","",IF(C7&lt;='Config_v6'!$B$10,R7*B7/14,R7*(D7+13)/14*B7/(D7+B7)))</x:f>
        <x:v>0.041310400603300004</x:v>
      </x:c>
      <x:c r="T7" s="2" t="n">
        <x:f>IF(B7="","",IF(C7&lt;='Config_v6'!$B$10,S7*B7/15,S7*(D7+14)/15*B7/(D7+B7)))</x:f>
        <x:v>0.02608509890347115</x:v>
      </x:c>
      <x:c r="U7" s="2" t="n">
        <x:f>IF(B7="","",IF(C7&lt;='Config_v6'!$B$10,T7*B7/16,T7*(D7+15)/16*B7/(D7+B7)))</x:f>
        <x:v>0.015441761673515988</x:v>
      </x:c>
      <x:c r="V7" s="2" t="n">
        <x:f>IF(B7="","",IF(C7&lt;='Config_v6'!$B$10,U7*B7/17,U7*(D7+16)/17*B7/(D7+B7)))</x:f>
        <x:v>0.008603442573106008</x:v>
      </x:c>
      <x:c r="W7" s="2" t="n">
        <x:f>IF(B7="","",IF(C7&lt;='Config_v6'!$B$10,V7*B7/18,V7*(D7+17)/18*B7/(D7+B7)))</x:f>
        <x:v>0.004527141816433935</x:v>
      </x:c>
      <x:c r="X7" s="2" t="n">
        <x:f>IF(B7="","",MIN(1,SUM(E7:E7)))</x:f>
        <x:v>0.00007700643088418279</x:v>
      </x:c>
      <x:c r="Y7" s="2" t="n">
        <x:f>IF(B7="","",MIN(1,SUM(E7:F7)))</x:f>
        <x:v>0.0008063822066507196</x:v>
      </x:c>
      <x:c r="Z7" s="2" t="n">
        <x:f>IF(B7="","",MIN(1,SUM(E7:G7)))</x:f>
        <x:v>0.004260567890669406</x:v>
      </x:c>
      <x:c r="AA7" s="2" t="n">
        <x:f>IF(B7="","",MIN(1,SUM(E7:H7)))</x:f>
        <x:v>0.015166147827285162</x:v>
      </x:c>
      <x:c r="AB7" s="2" t="n">
        <x:f>IF(B7="","",MIN(1,SUM(E7:I7)))</x:f>
        <x:v>0.04098952950827835</x:v>
      </x:c>
      <x:c r="AC7" s="2" t="n">
        <x:f>IF(B7="","",MIN(1,SUM(E7:J7)))</x:f>
        <x:v>0.0899073895628949</x:v>
      </x:c>
      <x:c r="AD7" s="2" t="n">
        <x:f>IF(B7="","",MIN(1,SUM(E7:K7)))</x:f>
        <x:v>0.16712929972568938</x:v>
      </x:c>
      <x:c r="AE7" s="2" t="n">
        <x:f>IF(B7="","",MIN(1,SUM(E7:L7)))</x:f>
        <x:v>0.271617401720096</x:v>
      </x:c>
      <x:c r="AF7" s="2" t="n">
        <x:f>IF(B7="","",MIN(1,SUM(E7:M7)))</x:f>
        <x:v>0.3953263724766495</x:v>
      </x:c>
      <x:c r="AG7" s="2" t="n">
        <x:f>IF(B7="","",MIN(1,SUM(E7:N7)))</x:f>
        <x:v>0.5255179904995748</x:v>
      </x:c>
      <x:c r="AH7" s="2" t="n">
        <x:f>IF(B7="","",MIN(1,SUM(E7:O7)))</x:f>
        <x:v>0.6488305649215592</x:v>
      </x:c>
      <x:c r="AI7" s="2" t="n">
        <x:f>IF(B7="","",MIN(1,SUM(E7:P7)))</x:f>
        <x:v>0.7550096600227494</x:v>
      </x:c>
      <x:c r="AJ7" s="2" t="n">
        <x:f>IF(B7="","",MIN(1,SUM(E7:Q7)))</x:f>
        <x:v>0.8388170110998037</x:v>
      </x:c>
      <x:c r="AK7" s="2" t="n">
        <x:f>IF(B7="","",MIN(1,SUM(E7:R7)))</x:f>
        <x:v>0.8998778971392084</x:v>
      </x:c>
      <x:c r="AL7" s="2" t="n">
        <x:f>IF(B7="","",MIN(1,SUM(E7:S7)))</x:f>
        <x:v>0.9411882977425085</x:v>
      </x:c>
      <x:c r="AM7" s="2" t="n">
        <x:f>IF(B7="","",MIN(1,SUM(E7:T7)))</x:f>
        <x:v>0.9672733966459796</x:v>
      </x:c>
      <x:c r="AN7" s="2" t="n">
        <x:f>IF(B7="","",MIN(1,SUM(E7:U7)))</x:f>
        <x:v>0.9827151583194955</x:v>
      </x:c>
      <x:c r="AO7" s="2" t="n">
        <x:f>IF(B7="","",MIN(1,SUM(E7:V7)))</x:f>
        <x:v>0.9913186008926015</x:v>
      </x:c>
      <x:c r="AP7" s="2" t="n">
        <x:f>IF(B7="","",MIN(1,SUM(E7:W7)))</x:f>
        <x:v>0.9958457427090355</x:v>
      </x:c>
    </x:row>
    <x:row r="8" ht="21" customHeight="1">
      <x:c r="A8" s="2" t="str">
        <x:f>IF('Motor_Meciuri'!A8="","",'Motor_Meciuri'!A8)</x:f>
        <x:v>REPLAY_3</x:v>
      </x:c>
      <x:c r="B8" s="2" t="n">
        <x:f>IF('Motor_Meciuri'!I8&lt;&gt;"PASS","",'Motor_Meciuri'!BD8)</x:f>
        <x:v>9.505743243243243</x:v>
      </x:c>
      <x:c r="C8" s="2" t="n">
        <x:f>IF(B8="","",'Motor_Meciuri'!AU8)</x:f>
        <x:v>1.3207885304659515</x:v>
      </x:c>
      <x:c r="D8" s="2" t="n">
        <x:f>IF(B8="","",'Motor_Meciuri'!AW8)</x:f>
        <x:v>29.12344072855269</x:v>
      </x:c>
      <x:c r="E8" s="2" t="n">
        <x:f>IF(B8="","",IF(C8&lt;='Config_v6'!$B$10,EXP(-B8),(D8/(D8+B8))^D8))</x:f>
        <x:v>0.0002675127479000379</x:v>
      </x:c>
      <x:c r="F8" s="2" t="n">
        <x:f>IF(B8="","",IF(C8&lt;='Config_v6'!$B$10,E8*B8/1,E8*(D8+0)/1*B8/(D8+B8)))</x:f>
        <x:v>0.001917157136612919</x:v>
      </x:c>
      <x:c r="G8" s="2" t="n">
        <x:f>IF(B8="","",IF(C8&lt;='Config_v6'!$B$10,F8*B8/2,F8*(D8+1)/2*B8/(D8+B8)))</x:f>
        <x:v>0.0071056340408008605</x:v>
      </x:c>
      <x:c r="H8" s="2" t="n">
        <x:f>IF(B8="","",IF(C8&lt;='Config_v6'!$B$10,G8*B8/3,G8*(D8+2)/3*B8/(D8+B8)))</x:f>
        <x:v>0.018140102218426817</x:v>
      </x:c>
      <x:c r="I8" s="2" t="n">
        <x:f>IF(B8="","",IF(C8&lt;='Config_v6'!$B$10,H8*B8/4,H8*(D8+3)/4*B8/(D8+B8)))</x:f>
        <x:v>0.03584861161006866</x:v>
      </x:c>
      <x:c r="J8" s="2" t="n">
        <x:f>IF(B8="","",IF(C8&lt;='Config_v6'!$B$10,I8*B8/5,I8*(D8+4)/5*B8/(D8+B8)))</x:f>
        <x:v>0.0584397467036177</x:v>
      </x:c>
      <x:c r="K8" s="2" t="n">
        <x:f>IF(B8="","",IF(C8&lt;='Config_v6'!$B$10,J8*B8/6,J8*(D8+5)/6*B8/(D8+B8)))</x:f>
        <x:v>0.08178627632823177</x:v>
      </x:c>
      <x:c r="L8" s="2" t="n">
        <x:f>IF(B8="","",IF(C8&lt;='Config_v6'!$B$10,K8*B8/7,K8*(D8+6)/7*B8/(D8+B8)))</x:f>
        <x:v>0.10098340128694684</x:v>
      </x:c>
      <x:c r="M8" s="2" t="n">
        <x:f>IF(B8="","",IF(C8&lt;='Config_v6'!$B$10,L8*B8/8,L8*(D8+7)/8*B8/(D8+B8)))</x:f>
        <x:v>0.11220692550785502</x:v>
      </x:c>
      <x:c r="N8" s="2" t="n">
        <x:f>IF(B8="","",IF(C8&lt;='Config_v6'!$B$10,M8*B8/9,M8*(D8+8)/9*B8/(D8+B8)))</x:f>
        <x:v>0.11389270828018654</x:v>
      </x:c>
      <x:c r="O8" s="2" t="n">
        <x:f>IF(B8="","",IF(C8&lt;='Config_v6'!$B$10,N8*B8/10,N8*(D8+9)/10*B8/(D8+B8)))</x:f>
        <x:v>0.10684607075053786</x:v>
      </x:c>
      <x:c r="P8" s="2" t="n">
        <x:f>IF(B8="","",IF(C8&lt;='Config_v6'!$B$10,O8*B8/11,O8*(D8+10)/11*B8/(D8+B8)))</x:f>
        <x:v>0.09351331615062787</x:v>
      </x:c>
      <x:c r="Q8" s="2" t="n">
        <x:f>IF(B8="","",IF(C8&lt;='Config_v6'!$B$10,P8*B8/12,P8*(D8+11)/12*B8/(D8+B8)))</x:f>
        <x:v>0.07694154910446088</x:v>
      </x:c>
      <x:c r="R8" s="2" t="n">
        <x:f>IF(B8="","",IF(C8&lt;='Config_v6'!$B$10,Q8*B8/13,Q8*(D8+12)/13*B8/(D8+B8)))</x:f>
        <x:v>0.059893206349489386</x:v>
      </x:c>
      <x:c r="S8" s="2" t="n">
        <x:f>IF(B8="","",IF(C8&lt;='Config_v6'!$B$10,R8*B8/14,R8*(D8+13)/14*B8/(D8+B8)))</x:f>
        <x:v>0.04434492363638681</x:v>
      </x:c>
      <x:c r="T8" s="2" t="n">
        <x:f>IF(B8="","",IF(C8&lt;='Config_v6'!$B$10,S8*B8/15,S8*(D8+14)/15*B8/(D8+B8)))</x:f>
        <x:v>0.03137159522951829</x:v>
      </x:c>
      <x:c r="U8" s="2" t="n">
        <x:f>IF(B8="","",IF(C8&lt;='Config_v6'!$B$10,T8*B8/16,T8*(D8+15)/16*B8/(D8+B8)))</x:f>
        <x:v>0.021289062504480413</x:v>
      </x:c>
      <x:c r="V8" s="2" t="n">
        <x:f>IF(B8="","",IF(C8&lt;='Config_v6'!$B$10,U8*B8/17,U8*(D8+16)/17*B8/(D8+B8)))</x:f>
        <x:v>0.013905300195828377</x:v>
      </x:c>
      <x:c r="W8" s="2" t="n">
        <x:f>IF(B8="","",IF(C8&lt;='Config_v6'!$B$10,V8*B8/18,V8*(D8+17)/18*B8/(D8+B8)))</x:f>
        <x:v>0.008767991236097183</x:v>
      </x:c>
      <x:c r="X8" s="2" t="n">
        <x:f>IF(B8="","",MIN(1,SUM(E8:E8)))</x:f>
        <x:v>0.0002675127479000379</x:v>
      </x:c>
      <x:c r="Y8" s="2" t="n">
        <x:f>IF(B8="","",MIN(1,SUM(E8:F8)))</x:f>
        <x:v>0.002184669884512957</x:v>
      </x:c>
      <x:c r="Z8" s="2" t="n">
        <x:f>IF(B8="","",MIN(1,SUM(E8:G8)))</x:f>
        <x:v>0.009290303925313818</x:v>
      </x:c>
      <x:c r="AA8" s="2" t="n">
        <x:f>IF(B8="","",MIN(1,SUM(E8:H8)))</x:f>
        <x:v>0.027430406143740635</x:v>
      </x:c>
      <x:c r="AB8" s="2" t="n">
        <x:f>IF(B8="","",MIN(1,SUM(E8:I8)))</x:f>
        <x:v>0.06327901775380929</x:v>
      </x:c>
      <x:c r="AC8" s="2" t="n">
        <x:f>IF(B8="","",MIN(1,SUM(E8:J8)))</x:f>
        <x:v>0.12171876445742699</x:v>
      </x:c>
      <x:c r="AD8" s="2" t="n">
        <x:f>IF(B8="","",MIN(1,SUM(E8:K8)))</x:f>
        <x:v>0.20350504078565876</x:v>
      </x:c>
      <x:c r="AE8" s="2" t="n">
        <x:f>IF(B8="","",MIN(1,SUM(E8:L8)))</x:f>
        <x:v>0.3044884420726056</x:v>
      </x:c>
      <x:c r="AF8" s="2" t="n">
        <x:f>IF(B8="","",MIN(1,SUM(E8:M8)))</x:f>
        <x:v>0.41669536758046066</x:v>
      </x:c>
      <x:c r="AG8" s="2" t="n">
        <x:f>IF(B8="","",MIN(1,SUM(E8:N8)))</x:f>
        <x:v>0.5305880758606472</x:v>
      </x:c>
      <x:c r="AH8" s="2" t="n">
        <x:f>IF(B8="","",MIN(1,SUM(E8:O8)))</x:f>
        <x:v>0.637434146611185</x:v>
      </x:c>
      <x:c r="AI8" s="2" t="n">
        <x:f>IF(B8="","",MIN(1,SUM(E8:P8)))</x:f>
        <x:v>0.7309474627618129</x:v>
      </x:c>
      <x:c r="AJ8" s="2" t="n">
        <x:f>IF(B8="","",MIN(1,SUM(E8:Q8)))</x:f>
        <x:v>0.8078890118662738</x:v>
      </x:c>
      <x:c r="AK8" s="2" t="n">
        <x:f>IF(B8="","",MIN(1,SUM(E8:R8)))</x:f>
        <x:v>0.8677822182157632</x:v>
      </x:c>
      <x:c r="AL8" s="2" t="n">
        <x:f>IF(B8="","",MIN(1,SUM(E8:S8)))</x:f>
        <x:v>0.9121271418521499</x:v>
      </x:c>
      <x:c r="AM8" s="2" t="n">
        <x:f>IF(B8="","",MIN(1,SUM(E8:T8)))</x:f>
        <x:v>0.9434987370816682</x:v>
      </x:c>
      <x:c r="AN8" s="2" t="n">
        <x:f>IF(B8="","",MIN(1,SUM(E8:U8)))</x:f>
        <x:v>0.9647877995861486</x:v>
      </x:c>
      <x:c r="AO8" s="2" t="n">
        <x:f>IF(B8="","",MIN(1,SUM(E8:V8)))</x:f>
        <x:v>0.9786930997819769</x:v>
      </x:c>
      <x:c r="AP8" s="2" t="n">
        <x:f>IF(B8="","",MIN(1,SUM(E8:W8)))</x:f>
        <x:v>0.9874610910180741</x:v>
      </x:c>
    </x:row>
    <x:row r="9" ht="21" customHeight="1">
      <x:c r="A9" s="2" t="str">
        <x:f>IF('Motor_Meciuri'!A9="","",'Motor_Meciuri'!A9)</x:f>
      </x:c>
      <x:c r="B9" s="2" t="str">
        <x:f>IF('Motor_Meciuri'!I9&lt;&gt;"PASS","",'Motor_Meciuri'!BD9)</x:f>
      </x:c>
      <x:c r="C9" s="2" t="str">
        <x:f>IF(B9="","",'Motor_Meciuri'!AU9)</x:f>
      </x:c>
      <x:c r="D9" s="2" t="str">
        <x:f>IF(B9="","",'Motor_Meciuri'!AW9)</x:f>
      </x:c>
      <x:c r="E9" s="2" t="str">
        <x:f>IF(B9="","",IF(C9&lt;='Config_v6'!$B$10,EXP(-B9),(D9/(D9+B9))^D9))</x:f>
      </x:c>
      <x:c r="F9" s="2" t="str">
        <x:f>IF(B9="","",IF(C9&lt;='Config_v6'!$B$10,E9*B9/1,E9*(D9+0)/1*B9/(D9+B9)))</x:f>
      </x:c>
      <x:c r="G9" s="2" t="str">
        <x:f>IF(B9="","",IF(C9&lt;='Config_v6'!$B$10,F9*B9/2,F9*(D9+1)/2*B9/(D9+B9)))</x:f>
      </x:c>
      <x:c r="H9" s="2" t="str">
        <x:f>IF(B9="","",IF(C9&lt;='Config_v6'!$B$10,G9*B9/3,G9*(D9+2)/3*B9/(D9+B9)))</x:f>
      </x:c>
      <x:c r="I9" s="2" t="str">
        <x:f>IF(B9="","",IF(C9&lt;='Config_v6'!$B$10,H9*B9/4,H9*(D9+3)/4*B9/(D9+B9)))</x:f>
      </x:c>
      <x:c r="J9" s="2" t="str">
        <x:f>IF(B9="","",IF(C9&lt;='Config_v6'!$B$10,I9*B9/5,I9*(D9+4)/5*B9/(D9+B9)))</x:f>
      </x:c>
      <x:c r="K9" s="2" t="str">
        <x:f>IF(B9="","",IF(C9&lt;='Config_v6'!$B$10,J9*B9/6,J9*(D9+5)/6*B9/(D9+B9)))</x:f>
      </x:c>
      <x:c r="L9" s="2" t="str">
        <x:f>IF(B9="","",IF(C9&lt;='Config_v6'!$B$10,K9*B9/7,K9*(D9+6)/7*B9/(D9+B9)))</x:f>
      </x:c>
      <x:c r="M9" s="2" t="str">
        <x:f>IF(B9="","",IF(C9&lt;='Config_v6'!$B$10,L9*B9/8,L9*(D9+7)/8*B9/(D9+B9)))</x:f>
      </x:c>
      <x:c r="N9" s="2" t="str">
        <x:f>IF(B9="","",IF(C9&lt;='Config_v6'!$B$10,M9*B9/9,M9*(D9+8)/9*B9/(D9+B9)))</x:f>
      </x:c>
      <x:c r="O9" s="2" t="str">
        <x:f>IF(B9="","",IF(C9&lt;='Config_v6'!$B$10,N9*B9/10,N9*(D9+9)/10*B9/(D9+B9)))</x:f>
      </x:c>
      <x:c r="P9" s="2" t="str">
        <x:f>IF(B9="","",IF(C9&lt;='Config_v6'!$B$10,O9*B9/11,O9*(D9+10)/11*B9/(D9+B9)))</x:f>
      </x:c>
      <x:c r="Q9" s="2" t="str">
        <x:f>IF(B9="","",IF(C9&lt;='Config_v6'!$B$10,P9*B9/12,P9*(D9+11)/12*B9/(D9+B9)))</x:f>
      </x:c>
      <x:c r="R9" s="2" t="str">
        <x:f>IF(B9="","",IF(C9&lt;='Config_v6'!$B$10,Q9*B9/13,Q9*(D9+12)/13*B9/(D9+B9)))</x:f>
      </x:c>
      <x:c r="S9" s="2" t="str">
        <x:f>IF(B9="","",IF(C9&lt;='Config_v6'!$B$10,R9*B9/14,R9*(D9+13)/14*B9/(D9+B9)))</x:f>
      </x:c>
      <x:c r="T9" s="2" t="str">
        <x:f>IF(B9="","",IF(C9&lt;='Config_v6'!$B$10,S9*B9/15,S9*(D9+14)/15*B9/(D9+B9)))</x:f>
      </x:c>
      <x:c r="U9" s="2" t="str">
        <x:f>IF(B9="","",IF(C9&lt;='Config_v6'!$B$10,T9*B9/16,T9*(D9+15)/16*B9/(D9+B9)))</x:f>
      </x:c>
      <x:c r="V9" s="2" t="str">
        <x:f>IF(B9="","",IF(C9&lt;='Config_v6'!$B$10,U9*B9/17,U9*(D9+16)/17*B9/(D9+B9)))</x:f>
      </x:c>
      <x:c r="W9" s="2" t="str">
        <x:f>IF(B9="","",IF(C9&lt;='Config_v6'!$B$10,V9*B9/18,V9*(D9+17)/18*B9/(D9+B9)))</x:f>
      </x:c>
      <x:c r="X9" s="2" t="str">
        <x:f>IF(B9="","",MIN(1,SUM(E9:E9)))</x:f>
      </x:c>
      <x:c r="Y9" s="2" t="str">
        <x:f>IF(B9="","",MIN(1,SUM(E9:F9)))</x:f>
      </x:c>
      <x:c r="Z9" s="2" t="str">
        <x:f>IF(B9="","",MIN(1,SUM(E9:G9)))</x:f>
      </x:c>
      <x:c r="AA9" s="2" t="str">
        <x:f>IF(B9="","",MIN(1,SUM(E9:H9)))</x:f>
      </x:c>
      <x:c r="AB9" s="2" t="str">
        <x:f>IF(B9="","",MIN(1,SUM(E9:I9)))</x:f>
      </x:c>
      <x:c r="AC9" s="2" t="str">
        <x:f>IF(B9="","",MIN(1,SUM(E9:J9)))</x:f>
      </x:c>
      <x:c r="AD9" s="2" t="str">
        <x:f>IF(B9="","",MIN(1,SUM(E9:K9)))</x:f>
      </x:c>
      <x:c r="AE9" s="2" t="str">
        <x:f>IF(B9="","",MIN(1,SUM(E9:L9)))</x:f>
      </x:c>
      <x:c r="AF9" s="2" t="str">
        <x:f>IF(B9="","",MIN(1,SUM(E9:M9)))</x:f>
      </x:c>
      <x:c r="AG9" s="2" t="str">
        <x:f>IF(B9="","",MIN(1,SUM(E9:N9)))</x:f>
      </x:c>
      <x:c r="AH9" s="2" t="str">
        <x:f>IF(B9="","",MIN(1,SUM(E9:O9)))</x:f>
      </x:c>
      <x:c r="AI9" s="2" t="str">
        <x:f>IF(B9="","",MIN(1,SUM(E9:P9)))</x:f>
      </x:c>
      <x:c r="AJ9" s="2" t="str">
        <x:f>IF(B9="","",MIN(1,SUM(E9:Q9)))</x:f>
      </x:c>
      <x:c r="AK9" s="2" t="str">
        <x:f>IF(B9="","",MIN(1,SUM(E9:R9)))</x:f>
      </x:c>
      <x:c r="AL9" s="2" t="str">
        <x:f>IF(B9="","",MIN(1,SUM(E9:S9)))</x:f>
      </x:c>
      <x:c r="AM9" s="2" t="str">
        <x:f>IF(B9="","",MIN(1,SUM(E9:T9)))</x:f>
      </x:c>
      <x:c r="AN9" s="2" t="str">
        <x:f>IF(B9="","",MIN(1,SUM(E9:U9)))</x:f>
      </x:c>
      <x:c r="AO9" s="2" t="str">
        <x:f>IF(B9="","",MIN(1,SUM(E9:V9)))</x:f>
      </x:c>
      <x:c r="AP9" s="2" t="str">
        <x:f>IF(B9="","",MIN(1,SUM(E9:W9)))</x:f>
      </x:c>
    </x:row>
    <x:row r="10" ht="21" customHeight="1">
      <x:c r="A10" s="2" t="str">
        <x:f>IF('Motor_Meciuri'!A10="","",'Motor_Meciuri'!A10)</x:f>
      </x:c>
      <x:c r="B10" s="2" t="str">
        <x:f>IF('Motor_Meciuri'!I10&lt;&gt;"PASS","",'Motor_Meciuri'!BD10)</x:f>
      </x:c>
      <x:c r="C10" s="2" t="str">
        <x:f>IF(B10="","",'Motor_Meciuri'!AU10)</x:f>
      </x:c>
      <x:c r="D10" s="2" t="str">
        <x:f>IF(B10="","",'Motor_Meciuri'!AW10)</x:f>
      </x:c>
      <x:c r="E10" s="2" t="str">
        <x:f>IF(B10="","",IF(C10&lt;='Config_v6'!$B$10,EXP(-B10),(D10/(D10+B10))^D10))</x:f>
      </x:c>
      <x:c r="F10" s="2" t="str">
        <x:f>IF(B10="","",IF(C10&lt;='Config_v6'!$B$10,E10*B10/1,E10*(D10+0)/1*B10/(D10+B10)))</x:f>
      </x:c>
      <x:c r="G10" s="2" t="str">
        <x:f>IF(B10="","",IF(C10&lt;='Config_v6'!$B$10,F10*B10/2,F10*(D10+1)/2*B10/(D10+B10)))</x:f>
      </x:c>
      <x:c r="H10" s="2" t="str">
        <x:f>IF(B10="","",IF(C10&lt;='Config_v6'!$B$10,G10*B10/3,G10*(D10+2)/3*B10/(D10+B10)))</x:f>
      </x:c>
      <x:c r="I10" s="2" t="str">
        <x:f>IF(B10="","",IF(C10&lt;='Config_v6'!$B$10,H10*B10/4,H10*(D10+3)/4*B10/(D10+B10)))</x:f>
      </x:c>
      <x:c r="J10" s="2" t="str">
        <x:f>IF(B10="","",IF(C10&lt;='Config_v6'!$B$10,I10*B10/5,I10*(D10+4)/5*B10/(D10+B10)))</x:f>
      </x:c>
      <x:c r="K10" s="2" t="str">
        <x:f>IF(B10="","",IF(C10&lt;='Config_v6'!$B$10,J10*B10/6,J10*(D10+5)/6*B10/(D10+B10)))</x:f>
      </x:c>
      <x:c r="L10" s="2" t="str">
        <x:f>IF(B10="","",IF(C10&lt;='Config_v6'!$B$10,K10*B10/7,K10*(D10+6)/7*B10/(D10+B10)))</x:f>
      </x:c>
      <x:c r="M10" s="2" t="str">
        <x:f>IF(B10="","",IF(C10&lt;='Config_v6'!$B$10,L10*B10/8,L10*(D10+7)/8*B10/(D10+B10)))</x:f>
      </x:c>
      <x:c r="N10" s="2" t="str">
        <x:f>IF(B10="","",IF(C10&lt;='Config_v6'!$B$10,M10*B10/9,M10*(D10+8)/9*B10/(D10+B10)))</x:f>
      </x:c>
      <x:c r="O10" s="2" t="str">
        <x:f>IF(B10="","",IF(C10&lt;='Config_v6'!$B$10,N10*B10/10,N10*(D10+9)/10*B10/(D10+B10)))</x:f>
      </x:c>
      <x:c r="P10" s="2" t="str">
        <x:f>IF(B10="","",IF(C10&lt;='Config_v6'!$B$10,O10*B10/11,O10*(D10+10)/11*B10/(D10+B10)))</x:f>
      </x:c>
      <x:c r="Q10" s="2" t="str">
        <x:f>IF(B10="","",IF(C10&lt;='Config_v6'!$B$10,P10*B10/12,P10*(D10+11)/12*B10/(D10+B10)))</x:f>
      </x:c>
      <x:c r="R10" s="2" t="str">
        <x:f>IF(B10="","",IF(C10&lt;='Config_v6'!$B$10,Q10*B10/13,Q10*(D10+12)/13*B10/(D10+B10)))</x:f>
      </x:c>
      <x:c r="S10" s="2" t="str">
        <x:f>IF(B10="","",IF(C10&lt;='Config_v6'!$B$10,R10*B10/14,R10*(D10+13)/14*B10/(D10+B10)))</x:f>
      </x:c>
      <x:c r="T10" s="2" t="str">
        <x:f>IF(B10="","",IF(C10&lt;='Config_v6'!$B$10,S10*B10/15,S10*(D10+14)/15*B10/(D10+B10)))</x:f>
      </x:c>
      <x:c r="U10" s="2" t="str">
        <x:f>IF(B10="","",IF(C10&lt;='Config_v6'!$B$10,T10*B10/16,T10*(D10+15)/16*B10/(D10+B10)))</x:f>
      </x:c>
      <x:c r="V10" s="2" t="str">
        <x:f>IF(B10="","",IF(C10&lt;='Config_v6'!$B$10,U10*B10/17,U10*(D10+16)/17*B10/(D10+B10)))</x:f>
      </x:c>
      <x:c r="W10" s="2" t="str">
        <x:f>IF(B10="","",IF(C10&lt;='Config_v6'!$B$10,V10*B10/18,V10*(D10+17)/18*B10/(D10+B10)))</x:f>
      </x:c>
      <x:c r="X10" s="2" t="str">
        <x:f>IF(B10="","",MIN(1,SUM(E10:E10)))</x:f>
      </x:c>
      <x:c r="Y10" s="2" t="str">
        <x:f>IF(B10="","",MIN(1,SUM(E10:F10)))</x:f>
      </x:c>
      <x:c r="Z10" s="2" t="str">
        <x:f>IF(B10="","",MIN(1,SUM(E10:G10)))</x:f>
      </x:c>
      <x:c r="AA10" s="2" t="str">
        <x:f>IF(B10="","",MIN(1,SUM(E10:H10)))</x:f>
      </x:c>
      <x:c r="AB10" s="2" t="str">
        <x:f>IF(B10="","",MIN(1,SUM(E10:I10)))</x:f>
      </x:c>
      <x:c r="AC10" s="2" t="str">
        <x:f>IF(B10="","",MIN(1,SUM(E10:J10)))</x:f>
      </x:c>
      <x:c r="AD10" s="2" t="str">
        <x:f>IF(B10="","",MIN(1,SUM(E10:K10)))</x:f>
      </x:c>
      <x:c r="AE10" s="2" t="str">
        <x:f>IF(B10="","",MIN(1,SUM(E10:L10)))</x:f>
      </x:c>
      <x:c r="AF10" s="2" t="str">
        <x:f>IF(B10="","",MIN(1,SUM(E10:M10)))</x:f>
      </x:c>
      <x:c r="AG10" s="2" t="str">
        <x:f>IF(B10="","",MIN(1,SUM(E10:N10)))</x:f>
      </x:c>
      <x:c r="AH10" s="2" t="str">
        <x:f>IF(B10="","",MIN(1,SUM(E10:O10)))</x:f>
      </x:c>
      <x:c r="AI10" s="2" t="str">
        <x:f>IF(B10="","",MIN(1,SUM(E10:P10)))</x:f>
      </x:c>
      <x:c r="AJ10" s="2" t="str">
        <x:f>IF(B10="","",MIN(1,SUM(E10:Q10)))</x:f>
      </x:c>
      <x:c r="AK10" s="2" t="str">
        <x:f>IF(B10="","",MIN(1,SUM(E10:R10)))</x:f>
      </x:c>
      <x:c r="AL10" s="2" t="str">
        <x:f>IF(B10="","",MIN(1,SUM(E10:S10)))</x:f>
      </x:c>
      <x:c r="AM10" s="2" t="str">
        <x:f>IF(B10="","",MIN(1,SUM(E10:T10)))</x:f>
      </x:c>
      <x:c r="AN10" s="2" t="str">
        <x:f>IF(B10="","",MIN(1,SUM(E10:U10)))</x:f>
      </x:c>
      <x:c r="AO10" s="2" t="str">
        <x:f>IF(B10="","",MIN(1,SUM(E10:V10)))</x:f>
      </x:c>
      <x:c r="AP10" s="2" t="str">
        <x:f>IF(B10="","",MIN(1,SUM(E10:W10)))</x:f>
      </x:c>
    </x:row>
    <x:row r="11" ht="21" customHeight="1">
      <x:c r="A11" s="2" t="str">
        <x:f>IF('Motor_Meciuri'!A11="","",'Motor_Meciuri'!A11)</x:f>
      </x:c>
      <x:c r="B11" s="2" t="str">
        <x:f>IF('Motor_Meciuri'!I11&lt;&gt;"PASS","",'Motor_Meciuri'!BD11)</x:f>
      </x:c>
      <x:c r="C11" s="2" t="str">
        <x:f>IF(B11="","",'Motor_Meciuri'!AU11)</x:f>
      </x:c>
      <x:c r="D11" s="2" t="str">
        <x:f>IF(B11="","",'Motor_Meciuri'!AW11)</x:f>
      </x:c>
      <x:c r="E11" s="2" t="str">
        <x:f>IF(B11="","",IF(C11&lt;='Config_v6'!$B$10,EXP(-B11),(D11/(D11+B11))^D11))</x:f>
      </x:c>
      <x:c r="F11" s="2" t="str">
        <x:f>IF(B11="","",IF(C11&lt;='Config_v6'!$B$10,E11*B11/1,E11*(D11+0)/1*B11/(D11+B11)))</x:f>
      </x:c>
      <x:c r="G11" s="2" t="str">
        <x:f>IF(B11="","",IF(C11&lt;='Config_v6'!$B$10,F11*B11/2,F11*(D11+1)/2*B11/(D11+B11)))</x:f>
      </x:c>
      <x:c r="H11" s="2" t="str">
        <x:f>IF(B11="","",IF(C11&lt;='Config_v6'!$B$10,G11*B11/3,G11*(D11+2)/3*B11/(D11+B11)))</x:f>
      </x:c>
      <x:c r="I11" s="2" t="str">
        <x:f>IF(B11="","",IF(C11&lt;='Config_v6'!$B$10,H11*B11/4,H11*(D11+3)/4*B11/(D11+B11)))</x:f>
      </x:c>
      <x:c r="J11" s="2" t="str">
        <x:f>IF(B11="","",IF(C11&lt;='Config_v6'!$B$10,I11*B11/5,I11*(D11+4)/5*B11/(D11+B11)))</x:f>
      </x:c>
      <x:c r="K11" s="2" t="str">
        <x:f>IF(B11="","",IF(C11&lt;='Config_v6'!$B$10,J11*B11/6,J11*(D11+5)/6*B11/(D11+B11)))</x:f>
      </x:c>
      <x:c r="L11" s="2" t="str">
        <x:f>IF(B11="","",IF(C11&lt;='Config_v6'!$B$10,K11*B11/7,K11*(D11+6)/7*B11/(D11+B11)))</x:f>
      </x:c>
      <x:c r="M11" s="2" t="str">
        <x:f>IF(B11="","",IF(C11&lt;='Config_v6'!$B$10,L11*B11/8,L11*(D11+7)/8*B11/(D11+B11)))</x:f>
      </x:c>
      <x:c r="N11" s="2" t="str">
        <x:f>IF(B11="","",IF(C11&lt;='Config_v6'!$B$10,M11*B11/9,M11*(D11+8)/9*B11/(D11+B11)))</x:f>
      </x:c>
      <x:c r="O11" s="2" t="str">
        <x:f>IF(B11="","",IF(C11&lt;='Config_v6'!$B$10,N11*B11/10,N11*(D11+9)/10*B11/(D11+B11)))</x:f>
      </x:c>
      <x:c r="P11" s="2" t="str">
        <x:f>IF(B11="","",IF(C11&lt;='Config_v6'!$B$10,O11*B11/11,O11*(D11+10)/11*B11/(D11+B11)))</x:f>
      </x:c>
      <x:c r="Q11" s="2" t="str">
        <x:f>IF(B11="","",IF(C11&lt;='Config_v6'!$B$10,P11*B11/12,P11*(D11+11)/12*B11/(D11+B11)))</x:f>
      </x:c>
      <x:c r="R11" s="2" t="str">
        <x:f>IF(B11="","",IF(C11&lt;='Config_v6'!$B$10,Q11*B11/13,Q11*(D11+12)/13*B11/(D11+B11)))</x:f>
      </x:c>
      <x:c r="S11" s="2" t="str">
        <x:f>IF(B11="","",IF(C11&lt;='Config_v6'!$B$10,R11*B11/14,R11*(D11+13)/14*B11/(D11+B11)))</x:f>
      </x:c>
      <x:c r="T11" s="2" t="str">
        <x:f>IF(B11="","",IF(C11&lt;='Config_v6'!$B$10,S11*B11/15,S11*(D11+14)/15*B11/(D11+B11)))</x:f>
      </x:c>
      <x:c r="U11" s="2" t="str">
        <x:f>IF(B11="","",IF(C11&lt;='Config_v6'!$B$10,T11*B11/16,T11*(D11+15)/16*B11/(D11+B11)))</x:f>
      </x:c>
      <x:c r="V11" s="2" t="str">
        <x:f>IF(B11="","",IF(C11&lt;='Config_v6'!$B$10,U11*B11/17,U11*(D11+16)/17*B11/(D11+B11)))</x:f>
      </x:c>
      <x:c r="W11" s="2" t="str">
        <x:f>IF(B11="","",IF(C11&lt;='Config_v6'!$B$10,V11*B11/18,V11*(D11+17)/18*B11/(D11+B11)))</x:f>
      </x:c>
      <x:c r="X11" s="2" t="str">
        <x:f>IF(B11="","",MIN(1,SUM(E11:E11)))</x:f>
      </x:c>
      <x:c r="Y11" s="2" t="str">
        <x:f>IF(B11="","",MIN(1,SUM(E11:F11)))</x:f>
      </x:c>
      <x:c r="Z11" s="2" t="str">
        <x:f>IF(B11="","",MIN(1,SUM(E11:G11)))</x:f>
      </x:c>
      <x:c r="AA11" s="2" t="str">
        <x:f>IF(B11="","",MIN(1,SUM(E11:H11)))</x:f>
      </x:c>
      <x:c r="AB11" s="2" t="str">
        <x:f>IF(B11="","",MIN(1,SUM(E11:I11)))</x:f>
      </x:c>
      <x:c r="AC11" s="2" t="str">
        <x:f>IF(B11="","",MIN(1,SUM(E11:J11)))</x:f>
      </x:c>
      <x:c r="AD11" s="2" t="str">
        <x:f>IF(B11="","",MIN(1,SUM(E11:K11)))</x:f>
      </x:c>
      <x:c r="AE11" s="2" t="str">
        <x:f>IF(B11="","",MIN(1,SUM(E11:L11)))</x:f>
      </x:c>
      <x:c r="AF11" s="2" t="str">
        <x:f>IF(B11="","",MIN(1,SUM(E11:M11)))</x:f>
      </x:c>
      <x:c r="AG11" s="2" t="str">
        <x:f>IF(B11="","",MIN(1,SUM(E11:N11)))</x:f>
      </x:c>
      <x:c r="AH11" s="2" t="str">
        <x:f>IF(B11="","",MIN(1,SUM(E11:O11)))</x:f>
      </x:c>
      <x:c r="AI11" s="2" t="str">
        <x:f>IF(B11="","",MIN(1,SUM(E11:P11)))</x:f>
      </x:c>
      <x:c r="AJ11" s="2" t="str">
        <x:f>IF(B11="","",MIN(1,SUM(E11:Q11)))</x:f>
      </x:c>
      <x:c r="AK11" s="2" t="str">
        <x:f>IF(B11="","",MIN(1,SUM(E11:R11)))</x:f>
      </x:c>
      <x:c r="AL11" s="2" t="str">
        <x:f>IF(B11="","",MIN(1,SUM(E11:S11)))</x:f>
      </x:c>
      <x:c r="AM11" s="2" t="str">
        <x:f>IF(B11="","",MIN(1,SUM(E11:T11)))</x:f>
      </x:c>
      <x:c r="AN11" s="2" t="str">
        <x:f>IF(B11="","",MIN(1,SUM(E11:U11)))</x:f>
      </x:c>
      <x:c r="AO11" s="2" t="str">
        <x:f>IF(B11="","",MIN(1,SUM(E11:V11)))</x:f>
      </x:c>
      <x:c r="AP11" s="2" t="str">
        <x:f>IF(B11="","",MIN(1,SUM(E11:W11)))</x:f>
      </x:c>
    </x:row>
    <x:row r="12" ht="21" customHeight="1">
      <x:c r="A12" s="2" t="str">
        <x:f>IF('Motor_Meciuri'!A12="","",'Motor_Meciuri'!A12)</x:f>
      </x:c>
      <x:c r="B12" s="2" t="str">
        <x:f>IF('Motor_Meciuri'!I12&lt;&gt;"PASS","",'Motor_Meciuri'!BD12)</x:f>
      </x:c>
      <x:c r="C12" s="2" t="str">
        <x:f>IF(B12="","",'Motor_Meciuri'!AU12)</x:f>
      </x:c>
      <x:c r="D12" s="2" t="str">
        <x:f>IF(B12="","",'Motor_Meciuri'!AW12)</x:f>
      </x:c>
      <x:c r="E12" s="2" t="str">
        <x:f>IF(B12="","",IF(C12&lt;='Config_v6'!$B$10,EXP(-B12),(D12/(D12+B12))^D12))</x:f>
      </x:c>
      <x:c r="F12" s="2" t="str">
        <x:f>IF(B12="","",IF(C12&lt;='Config_v6'!$B$10,E12*B12/1,E12*(D12+0)/1*B12/(D12+B12)))</x:f>
      </x:c>
      <x:c r="G12" s="2" t="str">
        <x:f>IF(B12="","",IF(C12&lt;='Config_v6'!$B$10,F12*B12/2,F12*(D12+1)/2*B12/(D12+B12)))</x:f>
      </x:c>
      <x:c r="H12" s="2" t="str">
        <x:f>IF(B12="","",IF(C12&lt;='Config_v6'!$B$10,G12*B12/3,G12*(D12+2)/3*B12/(D12+B12)))</x:f>
      </x:c>
      <x:c r="I12" s="2" t="str">
        <x:f>IF(B12="","",IF(C12&lt;='Config_v6'!$B$10,H12*B12/4,H12*(D12+3)/4*B12/(D12+B12)))</x:f>
      </x:c>
      <x:c r="J12" s="2" t="str">
        <x:f>IF(B12="","",IF(C12&lt;='Config_v6'!$B$10,I12*B12/5,I12*(D12+4)/5*B12/(D12+B12)))</x:f>
      </x:c>
      <x:c r="K12" s="2" t="str">
        <x:f>IF(B12="","",IF(C12&lt;='Config_v6'!$B$10,J12*B12/6,J12*(D12+5)/6*B12/(D12+B12)))</x:f>
      </x:c>
      <x:c r="L12" s="2" t="str">
        <x:f>IF(B12="","",IF(C12&lt;='Config_v6'!$B$10,K12*B12/7,K12*(D12+6)/7*B12/(D12+B12)))</x:f>
      </x:c>
      <x:c r="M12" s="2" t="str">
        <x:f>IF(B12="","",IF(C12&lt;='Config_v6'!$B$10,L12*B12/8,L12*(D12+7)/8*B12/(D12+B12)))</x:f>
      </x:c>
      <x:c r="N12" s="2" t="str">
        <x:f>IF(B12="","",IF(C12&lt;='Config_v6'!$B$10,M12*B12/9,M12*(D12+8)/9*B12/(D12+B12)))</x:f>
      </x:c>
      <x:c r="O12" s="2" t="str">
        <x:f>IF(B12="","",IF(C12&lt;='Config_v6'!$B$10,N12*B12/10,N12*(D12+9)/10*B12/(D12+B12)))</x:f>
      </x:c>
      <x:c r="P12" s="2" t="str">
        <x:f>IF(B12="","",IF(C12&lt;='Config_v6'!$B$10,O12*B12/11,O12*(D12+10)/11*B12/(D12+B12)))</x:f>
      </x:c>
      <x:c r="Q12" s="2" t="str">
        <x:f>IF(B12="","",IF(C12&lt;='Config_v6'!$B$10,P12*B12/12,P12*(D12+11)/12*B12/(D12+B12)))</x:f>
      </x:c>
      <x:c r="R12" s="2" t="str">
        <x:f>IF(B12="","",IF(C12&lt;='Config_v6'!$B$10,Q12*B12/13,Q12*(D12+12)/13*B12/(D12+B12)))</x:f>
      </x:c>
      <x:c r="S12" s="2" t="str">
        <x:f>IF(B12="","",IF(C12&lt;='Config_v6'!$B$10,R12*B12/14,R12*(D12+13)/14*B12/(D12+B12)))</x:f>
      </x:c>
      <x:c r="T12" s="2" t="str">
        <x:f>IF(B12="","",IF(C12&lt;='Config_v6'!$B$10,S12*B12/15,S12*(D12+14)/15*B12/(D12+B12)))</x:f>
      </x:c>
      <x:c r="U12" s="2" t="str">
        <x:f>IF(B12="","",IF(C12&lt;='Config_v6'!$B$10,T12*B12/16,T12*(D12+15)/16*B12/(D12+B12)))</x:f>
      </x:c>
      <x:c r="V12" s="2" t="str">
        <x:f>IF(B12="","",IF(C12&lt;='Config_v6'!$B$10,U12*B12/17,U12*(D12+16)/17*B12/(D12+B12)))</x:f>
      </x:c>
      <x:c r="W12" s="2" t="str">
        <x:f>IF(B12="","",IF(C12&lt;='Config_v6'!$B$10,V12*B12/18,V12*(D12+17)/18*B12/(D12+B12)))</x:f>
      </x:c>
      <x:c r="X12" s="2" t="str">
        <x:f>IF(B12="","",MIN(1,SUM(E12:E12)))</x:f>
      </x:c>
      <x:c r="Y12" s="2" t="str">
        <x:f>IF(B12="","",MIN(1,SUM(E12:F12)))</x:f>
      </x:c>
      <x:c r="Z12" s="2" t="str">
        <x:f>IF(B12="","",MIN(1,SUM(E12:G12)))</x:f>
      </x:c>
      <x:c r="AA12" s="2" t="str">
        <x:f>IF(B12="","",MIN(1,SUM(E12:H12)))</x:f>
      </x:c>
      <x:c r="AB12" s="2" t="str">
        <x:f>IF(B12="","",MIN(1,SUM(E12:I12)))</x:f>
      </x:c>
      <x:c r="AC12" s="2" t="str">
        <x:f>IF(B12="","",MIN(1,SUM(E12:J12)))</x:f>
      </x:c>
      <x:c r="AD12" s="2" t="str">
        <x:f>IF(B12="","",MIN(1,SUM(E12:K12)))</x:f>
      </x:c>
      <x:c r="AE12" s="2" t="str">
        <x:f>IF(B12="","",MIN(1,SUM(E12:L12)))</x:f>
      </x:c>
      <x:c r="AF12" s="2" t="str">
        <x:f>IF(B12="","",MIN(1,SUM(E12:M12)))</x:f>
      </x:c>
      <x:c r="AG12" s="2" t="str">
        <x:f>IF(B12="","",MIN(1,SUM(E12:N12)))</x:f>
      </x:c>
      <x:c r="AH12" s="2" t="str">
        <x:f>IF(B12="","",MIN(1,SUM(E12:O12)))</x:f>
      </x:c>
      <x:c r="AI12" s="2" t="str">
        <x:f>IF(B12="","",MIN(1,SUM(E12:P12)))</x:f>
      </x:c>
      <x:c r="AJ12" s="2" t="str">
        <x:f>IF(B12="","",MIN(1,SUM(E12:Q12)))</x:f>
      </x:c>
      <x:c r="AK12" s="2" t="str">
        <x:f>IF(B12="","",MIN(1,SUM(E12:R12)))</x:f>
      </x:c>
      <x:c r="AL12" s="2" t="str">
        <x:f>IF(B12="","",MIN(1,SUM(E12:S12)))</x:f>
      </x:c>
      <x:c r="AM12" s="2" t="str">
        <x:f>IF(B12="","",MIN(1,SUM(E12:T12)))</x:f>
      </x:c>
      <x:c r="AN12" s="2" t="str">
        <x:f>IF(B12="","",MIN(1,SUM(E12:U12)))</x:f>
      </x:c>
      <x:c r="AO12" s="2" t="str">
        <x:f>IF(B12="","",MIN(1,SUM(E12:V12)))</x:f>
      </x:c>
      <x:c r="AP12" s="2" t="str">
        <x:f>IF(B12="","",MIN(1,SUM(E12:W12)))</x:f>
      </x:c>
    </x:row>
    <x:row r="13" ht="21" customHeight="1">
      <x:c r="A13" s="2" t="str">
        <x:f>IF('Motor_Meciuri'!A13="","",'Motor_Meciuri'!A13)</x:f>
      </x:c>
      <x:c r="B13" s="2" t="str">
        <x:f>IF('Motor_Meciuri'!I13&lt;&gt;"PASS","",'Motor_Meciuri'!BD13)</x:f>
      </x:c>
      <x:c r="C13" s="2" t="str">
        <x:f>IF(B13="","",'Motor_Meciuri'!AU13)</x:f>
      </x:c>
      <x:c r="D13" s="2" t="str">
        <x:f>IF(B13="","",'Motor_Meciuri'!AW13)</x:f>
      </x:c>
      <x:c r="E13" s="2" t="str">
        <x:f>IF(B13="","",IF(C13&lt;='Config_v6'!$B$10,EXP(-B13),(D13/(D13+B13))^D13))</x:f>
      </x:c>
      <x:c r="F13" s="2" t="str">
        <x:f>IF(B13="","",IF(C13&lt;='Config_v6'!$B$10,E13*B13/1,E13*(D13+0)/1*B13/(D13+B13)))</x:f>
      </x:c>
      <x:c r="G13" s="2" t="str">
        <x:f>IF(B13="","",IF(C13&lt;='Config_v6'!$B$10,F13*B13/2,F13*(D13+1)/2*B13/(D13+B13)))</x:f>
      </x:c>
      <x:c r="H13" s="2" t="str">
        <x:f>IF(B13="","",IF(C13&lt;='Config_v6'!$B$10,G13*B13/3,G13*(D13+2)/3*B13/(D13+B13)))</x:f>
      </x:c>
      <x:c r="I13" s="2" t="str">
        <x:f>IF(B13="","",IF(C13&lt;='Config_v6'!$B$10,H13*B13/4,H13*(D13+3)/4*B13/(D13+B13)))</x:f>
      </x:c>
      <x:c r="J13" s="2" t="str">
        <x:f>IF(B13="","",IF(C13&lt;='Config_v6'!$B$10,I13*B13/5,I13*(D13+4)/5*B13/(D13+B13)))</x:f>
      </x:c>
      <x:c r="K13" s="2" t="str">
        <x:f>IF(B13="","",IF(C13&lt;='Config_v6'!$B$10,J13*B13/6,J13*(D13+5)/6*B13/(D13+B13)))</x:f>
      </x:c>
      <x:c r="L13" s="2" t="str">
        <x:f>IF(B13="","",IF(C13&lt;='Config_v6'!$B$10,K13*B13/7,K13*(D13+6)/7*B13/(D13+B13)))</x:f>
      </x:c>
      <x:c r="M13" s="2" t="str">
        <x:f>IF(B13="","",IF(C13&lt;='Config_v6'!$B$10,L13*B13/8,L13*(D13+7)/8*B13/(D13+B13)))</x:f>
      </x:c>
      <x:c r="N13" s="2" t="str">
        <x:f>IF(B13="","",IF(C13&lt;='Config_v6'!$B$10,M13*B13/9,M13*(D13+8)/9*B13/(D13+B13)))</x:f>
      </x:c>
      <x:c r="O13" s="2" t="str">
        <x:f>IF(B13="","",IF(C13&lt;='Config_v6'!$B$10,N13*B13/10,N13*(D13+9)/10*B13/(D13+B13)))</x:f>
      </x:c>
      <x:c r="P13" s="2" t="str">
        <x:f>IF(B13="","",IF(C13&lt;='Config_v6'!$B$10,O13*B13/11,O13*(D13+10)/11*B13/(D13+B13)))</x:f>
      </x:c>
      <x:c r="Q13" s="2" t="str">
        <x:f>IF(B13="","",IF(C13&lt;='Config_v6'!$B$10,P13*B13/12,P13*(D13+11)/12*B13/(D13+B13)))</x:f>
      </x:c>
      <x:c r="R13" s="2" t="str">
        <x:f>IF(B13="","",IF(C13&lt;='Config_v6'!$B$10,Q13*B13/13,Q13*(D13+12)/13*B13/(D13+B13)))</x:f>
      </x:c>
      <x:c r="S13" s="2" t="str">
        <x:f>IF(B13="","",IF(C13&lt;='Config_v6'!$B$10,R13*B13/14,R13*(D13+13)/14*B13/(D13+B13)))</x:f>
      </x:c>
      <x:c r="T13" s="2" t="str">
        <x:f>IF(B13="","",IF(C13&lt;='Config_v6'!$B$10,S13*B13/15,S13*(D13+14)/15*B13/(D13+B13)))</x:f>
      </x:c>
      <x:c r="U13" s="2" t="str">
        <x:f>IF(B13="","",IF(C13&lt;='Config_v6'!$B$10,T13*B13/16,T13*(D13+15)/16*B13/(D13+B13)))</x:f>
      </x:c>
      <x:c r="V13" s="2" t="str">
        <x:f>IF(B13="","",IF(C13&lt;='Config_v6'!$B$10,U13*B13/17,U13*(D13+16)/17*B13/(D13+B13)))</x:f>
      </x:c>
      <x:c r="W13" s="2" t="str">
        <x:f>IF(B13="","",IF(C13&lt;='Config_v6'!$B$10,V13*B13/18,V13*(D13+17)/18*B13/(D13+B13)))</x:f>
      </x:c>
      <x:c r="X13" s="2" t="str">
        <x:f>IF(B13="","",MIN(1,SUM(E13:E13)))</x:f>
      </x:c>
      <x:c r="Y13" s="2" t="str">
        <x:f>IF(B13="","",MIN(1,SUM(E13:F13)))</x:f>
      </x:c>
      <x:c r="Z13" s="2" t="str">
        <x:f>IF(B13="","",MIN(1,SUM(E13:G13)))</x:f>
      </x:c>
      <x:c r="AA13" s="2" t="str">
        <x:f>IF(B13="","",MIN(1,SUM(E13:H13)))</x:f>
      </x:c>
      <x:c r="AB13" s="2" t="str">
        <x:f>IF(B13="","",MIN(1,SUM(E13:I13)))</x:f>
      </x:c>
      <x:c r="AC13" s="2" t="str">
        <x:f>IF(B13="","",MIN(1,SUM(E13:J13)))</x:f>
      </x:c>
      <x:c r="AD13" s="2" t="str">
        <x:f>IF(B13="","",MIN(1,SUM(E13:K13)))</x:f>
      </x:c>
      <x:c r="AE13" s="2" t="str">
        <x:f>IF(B13="","",MIN(1,SUM(E13:L13)))</x:f>
      </x:c>
      <x:c r="AF13" s="2" t="str">
        <x:f>IF(B13="","",MIN(1,SUM(E13:M13)))</x:f>
      </x:c>
      <x:c r="AG13" s="2" t="str">
        <x:f>IF(B13="","",MIN(1,SUM(E13:N13)))</x:f>
      </x:c>
      <x:c r="AH13" s="2" t="str">
        <x:f>IF(B13="","",MIN(1,SUM(E13:O13)))</x:f>
      </x:c>
      <x:c r="AI13" s="2" t="str">
        <x:f>IF(B13="","",MIN(1,SUM(E13:P13)))</x:f>
      </x:c>
      <x:c r="AJ13" s="2" t="str">
        <x:f>IF(B13="","",MIN(1,SUM(E13:Q13)))</x:f>
      </x:c>
      <x:c r="AK13" s="2" t="str">
        <x:f>IF(B13="","",MIN(1,SUM(E13:R13)))</x:f>
      </x:c>
      <x:c r="AL13" s="2" t="str">
        <x:f>IF(B13="","",MIN(1,SUM(E13:S13)))</x:f>
      </x:c>
      <x:c r="AM13" s="2" t="str">
        <x:f>IF(B13="","",MIN(1,SUM(E13:T13)))</x:f>
      </x:c>
      <x:c r="AN13" s="2" t="str">
        <x:f>IF(B13="","",MIN(1,SUM(E13:U13)))</x:f>
      </x:c>
      <x:c r="AO13" s="2" t="str">
        <x:f>IF(B13="","",MIN(1,SUM(E13:V13)))</x:f>
      </x:c>
      <x:c r="AP13" s="2" t="str">
        <x:f>IF(B13="","",MIN(1,SUM(E13:W13)))</x:f>
      </x:c>
    </x:row>
    <x:row r="14" ht="21" customHeight="1">
      <x:c r="A14" s="2" t="str">
        <x:f>IF('Motor_Meciuri'!A14="","",'Motor_Meciuri'!A14)</x:f>
      </x:c>
      <x:c r="B14" s="2" t="str">
        <x:f>IF('Motor_Meciuri'!I14&lt;&gt;"PASS","",'Motor_Meciuri'!BD14)</x:f>
      </x:c>
      <x:c r="C14" s="2" t="str">
        <x:f>IF(B14="","",'Motor_Meciuri'!AU14)</x:f>
      </x:c>
      <x:c r="D14" s="2" t="str">
        <x:f>IF(B14="","",'Motor_Meciuri'!AW14)</x:f>
      </x:c>
      <x:c r="E14" s="2" t="str">
        <x:f>IF(B14="","",IF(C14&lt;='Config_v6'!$B$10,EXP(-B14),(D14/(D14+B14))^D14))</x:f>
      </x:c>
      <x:c r="F14" s="2" t="str">
        <x:f>IF(B14="","",IF(C14&lt;='Config_v6'!$B$10,E14*B14/1,E14*(D14+0)/1*B14/(D14+B14)))</x:f>
      </x:c>
      <x:c r="G14" s="2" t="str">
        <x:f>IF(B14="","",IF(C14&lt;='Config_v6'!$B$10,F14*B14/2,F14*(D14+1)/2*B14/(D14+B14)))</x:f>
      </x:c>
      <x:c r="H14" s="2" t="str">
        <x:f>IF(B14="","",IF(C14&lt;='Config_v6'!$B$10,G14*B14/3,G14*(D14+2)/3*B14/(D14+B14)))</x:f>
      </x:c>
      <x:c r="I14" s="2" t="str">
        <x:f>IF(B14="","",IF(C14&lt;='Config_v6'!$B$10,H14*B14/4,H14*(D14+3)/4*B14/(D14+B14)))</x:f>
      </x:c>
      <x:c r="J14" s="2" t="str">
        <x:f>IF(B14="","",IF(C14&lt;='Config_v6'!$B$10,I14*B14/5,I14*(D14+4)/5*B14/(D14+B14)))</x:f>
      </x:c>
      <x:c r="K14" s="2" t="str">
        <x:f>IF(B14="","",IF(C14&lt;='Config_v6'!$B$10,J14*B14/6,J14*(D14+5)/6*B14/(D14+B14)))</x:f>
      </x:c>
      <x:c r="L14" s="2" t="str">
        <x:f>IF(B14="","",IF(C14&lt;='Config_v6'!$B$10,K14*B14/7,K14*(D14+6)/7*B14/(D14+B14)))</x:f>
      </x:c>
      <x:c r="M14" s="2" t="str">
        <x:f>IF(B14="","",IF(C14&lt;='Config_v6'!$B$10,L14*B14/8,L14*(D14+7)/8*B14/(D14+B14)))</x:f>
      </x:c>
      <x:c r="N14" s="2" t="str">
        <x:f>IF(B14="","",IF(C14&lt;='Config_v6'!$B$10,M14*B14/9,M14*(D14+8)/9*B14/(D14+B14)))</x:f>
      </x:c>
      <x:c r="O14" s="2" t="str">
        <x:f>IF(B14="","",IF(C14&lt;='Config_v6'!$B$10,N14*B14/10,N14*(D14+9)/10*B14/(D14+B14)))</x:f>
      </x:c>
      <x:c r="P14" s="2" t="str">
        <x:f>IF(B14="","",IF(C14&lt;='Config_v6'!$B$10,O14*B14/11,O14*(D14+10)/11*B14/(D14+B14)))</x:f>
      </x:c>
      <x:c r="Q14" s="2" t="str">
        <x:f>IF(B14="","",IF(C14&lt;='Config_v6'!$B$10,P14*B14/12,P14*(D14+11)/12*B14/(D14+B14)))</x:f>
      </x:c>
      <x:c r="R14" s="2" t="str">
        <x:f>IF(B14="","",IF(C14&lt;='Config_v6'!$B$10,Q14*B14/13,Q14*(D14+12)/13*B14/(D14+B14)))</x:f>
      </x:c>
      <x:c r="S14" s="2" t="str">
        <x:f>IF(B14="","",IF(C14&lt;='Config_v6'!$B$10,R14*B14/14,R14*(D14+13)/14*B14/(D14+B14)))</x:f>
      </x:c>
      <x:c r="T14" s="2" t="str">
        <x:f>IF(B14="","",IF(C14&lt;='Config_v6'!$B$10,S14*B14/15,S14*(D14+14)/15*B14/(D14+B14)))</x:f>
      </x:c>
      <x:c r="U14" s="2" t="str">
        <x:f>IF(B14="","",IF(C14&lt;='Config_v6'!$B$10,T14*B14/16,T14*(D14+15)/16*B14/(D14+B14)))</x:f>
      </x:c>
      <x:c r="V14" s="2" t="str">
        <x:f>IF(B14="","",IF(C14&lt;='Config_v6'!$B$10,U14*B14/17,U14*(D14+16)/17*B14/(D14+B14)))</x:f>
      </x:c>
      <x:c r="W14" s="2" t="str">
        <x:f>IF(B14="","",IF(C14&lt;='Config_v6'!$B$10,V14*B14/18,V14*(D14+17)/18*B14/(D14+B14)))</x:f>
      </x:c>
      <x:c r="X14" s="2" t="str">
        <x:f>IF(B14="","",MIN(1,SUM(E14:E14)))</x:f>
      </x:c>
      <x:c r="Y14" s="2" t="str">
        <x:f>IF(B14="","",MIN(1,SUM(E14:F14)))</x:f>
      </x:c>
      <x:c r="Z14" s="2" t="str">
        <x:f>IF(B14="","",MIN(1,SUM(E14:G14)))</x:f>
      </x:c>
      <x:c r="AA14" s="2" t="str">
        <x:f>IF(B14="","",MIN(1,SUM(E14:H14)))</x:f>
      </x:c>
      <x:c r="AB14" s="2" t="str">
        <x:f>IF(B14="","",MIN(1,SUM(E14:I14)))</x:f>
      </x:c>
      <x:c r="AC14" s="2" t="str">
        <x:f>IF(B14="","",MIN(1,SUM(E14:J14)))</x:f>
      </x:c>
      <x:c r="AD14" s="2" t="str">
        <x:f>IF(B14="","",MIN(1,SUM(E14:K14)))</x:f>
      </x:c>
      <x:c r="AE14" s="2" t="str">
        <x:f>IF(B14="","",MIN(1,SUM(E14:L14)))</x:f>
      </x:c>
      <x:c r="AF14" s="2" t="str">
        <x:f>IF(B14="","",MIN(1,SUM(E14:M14)))</x:f>
      </x:c>
      <x:c r="AG14" s="2" t="str">
        <x:f>IF(B14="","",MIN(1,SUM(E14:N14)))</x:f>
      </x:c>
      <x:c r="AH14" s="2" t="str">
        <x:f>IF(B14="","",MIN(1,SUM(E14:O14)))</x:f>
      </x:c>
      <x:c r="AI14" s="2" t="str">
        <x:f>IF(B14="","",MIN(1,SUM(E14:P14)))</x:f>
      </x:c>
      <x:c r="AJ14" s="2" t="str">
        <x:f>IF(B14="","",MIN(1,SUM(E14:Q14)))</x:f>
      </x:c>
      <x:c r="AK14" s="2" t="str">
        <x:f>IF(B14="","",MIN(1,SUM(E14:R14)))</x:f>
      </x:c>
      <x:c r="AL14" s="2" t="str">
        <x:f>IF(B14="","",MIN(1,SUM(E14:S14)))</x:f>
      </x:c>
      <x:c r="AM14" s="2" t="str">
        <x:f>IF(B14="","",MIN(1,SUM(E14:T14)))</x:f>
      </x:c>
      <x:c r="AN14" s="2" t="str">
        <x:f>IF(B14="","",MIN(1,SUM(E14:U14)))</x:f>
      </x:c>
      <x:c r="AO14" s="2" t="str">
        <x:f>IF(B14="","",MIN(1,SUM(E14:V14)))</x:f>
      </x:c>
      <x:c r="AP14" s="2" t="str">
        <x:f>IF(B14="","",MIN(1,SUM(E14:W14)))</x:f>
      </x:c>
    </x:row>
    <x:row r="15" ht="21" customHeight="1">
      <x:c r="A15" s="2" t="str">
        <x:f>IF('Motor_Meciuri'!A15="","",'Motor_Meciuri'!A15)</x:f>
      </x:c>
      <x:c r="B15" s="2" t="str">
        <x:f>IF('Motor_Meciuri'!I15&lt;&gt;"PASS","",'Motor_Meciuri'!BD15)</x:f>
      </x:c>
      <x:c r="C15" s="2" t="str">
        <x:f>IF(B15="","",'Motor_Meciuri'!AU15)</x:f>
      </x:c>
      <x:c r="D15" s="2" t="str">
        <x:f>IF(B15="","",'Motor_Meciuri'!AW15)</x:f>
      </x:c>
      <x:c r="E15" s="2" t="str">
        <x:f>IF(B15="","",IF(C15&lt;='Config_v6'!$B$10,EXP(-B15),(D15/(D15+B15))^D15))</x:f>
      </x:c>
      <x:c r="F15" s="2" t="str">
        <x:f>IF(B15="","",IF(C15&lt;='Config_v6'!$B$10,E15*B15/1,E15*(D15+0)/1*B15/(D15+B15)))</x:f>
      </x:c>
      <x:c r="G15" s="2" t="str">
        <x:f>IF(B15="","",IF(C15&lt;='Config_v6'!$B$10,F15*B15/2,F15*(D15+1)/2*B15/(D15+B15)))</x:f>
      </x:c>
      <x:c r="H15" s="2" t="str">
        <x:f>IF(B15="","",IF(C15&lt;='Config_v6'!$B$10,G15*B15/3,G15*(D15+2)/3*B15/(D15+B15)))</x:f>
      </x:c>
      <x:c r="I15" s="2" t="str">
        <x:f>IF(B15="","",IF(C15&lt;='Config_v6'!$B$10,H15*B15/4,H15*(D15+3)/4*B15/(D15+B15)))</x:f>
      </x:c>
      <x:c r="J15" s="2" t="str">
        <x:f>IF(B15="","",IF(C15&lt;='Config_v6'!$B$10,I15*B15/5,I15*(D15+4)/5*B15/(D15+B15)))</x:f>
      </x:c>
      <x:c r="K15" s="2" t="str">
        <x:f>IF(B15="","",IF(C15&lt;='Config_v6'!$B$10,J15*B15/6,J15*(D15+5)/6*B15/(D15+B15)))</x:f>
      </x:c>
      <x:c r="L15" s="2" t="str">
        <x:f>IF(B15="","",IF(C15&lt;='Config_v6'!$B$10,K15*B15/7,K15*(D15+6)/7*B15/(D15+B15)))</x:f>
      </x:c>
      <x:c r="M15" s="2" t="str">
        <x:f>IF(B15="","",IF(C15&lt;='Config_v6'!$B$10,L15*B15/8,L15*(D15+7)/8*B15/(D15+B15)))</x:f>
      </x:c>
      <x:c r="N15" s="2" t="str">
        <x:f>IF(B15="","",IF(C15&lt;='Config_v6'!$B$10,M15*B15/9,M15*(D15+8)/9*B15/(D15+B15)))</x:f>
      </x:c>
      <x:c r="O15" s="2" t="str">
        <x:f>IF(B15="","",IF(C15&lt;='Config_v6'!$B$10,N15*B15/10,N15*(D15+9)/10*B15/(D15+B15)))</x:f>
      </x:c>
      <x:c r="P15" s="2" t="str">
        <x:f>IF(B15="","",IF(C15&lt;='Config_v6'!$B$10,O15*B15/11,O15*(D15+10)/11*B15/(D15+B15)))</x:f>
      </x:c>
      <x:c r="Q15" s="2" t="str">
        <x:f>IF(B15="","",IF(C15&lt;='Config_v6'!$B$10,P15*B15/12,P15*(D15+11)/12*B15/(D15+B15)))</x:f>
      </x:c>
      <x:c r="R15" s="2" t="str">
        <x:f>IF(B15="","",IF(C15&lt;='Config_v6'!$B$10,Q15*B15/13,Q15*(D15+12)/13*B15/(D15+B15)))</x:f>
      </x:c>
      <x:c r="S15" s="2" t="str">
        <x:f>IF(B15="","",IF(C15&lt;='Config_v6'!$B$10,R15*B15/14,R15*(D15+13)/14*B15/(D15+B15)))</x:f>
      </x:c>
      <x:c r="T15" s="2" t="str">
        <x:f>IF(B15="","",IF(C15&lt;='Config_v6'!$B$10,S15*B15/15,S15*(D15+14)/15*B15/(D15+B15)))</x:f>
      </x:c>
      <x:c r="U15" s="2" t="str">
        <x:f>IF(B15="","",IF(C15&lt;='Config_v6'!$B$10,T15*B15/16,T15*(D15+15)/16*B15/(D15+B15)))</x:f>
      </x:c>
      <x:c r="V15" s="2" t="str">
        <x:f>IF(B15="","",IF(C15&lt;='Config_v6'!$B$10,U15*B15/17,U15*(D15+16)/17*B15/(D15+B15)))</x:f>
      </x:c>
      <x:c r="W15" s="2" t="str">
        <x:f>IF(B15="","",IF(C15&lt;='Config_v6'!$B$10,V15*B15/18,V15*(D15+17)/18*B15/(D15+B15)))</x:f>
      </x:c>
      <x:c r="X15" s="2" t="str">
        <x:f>IF(B15="","",MIN(1,SUM(E15:E15)))</x:f>
      </x:c>
      <x:c r="Y15" s="2" t="str">
        <x:f>IF(B15="","",MIN(1,SUM(E15:F15)))</x:f>
      </x:c>
      <x:c r="Z15" s="2" t="str">
        <x:f>IF(B15="","",MIN(1,SUM(E15:G15)))</x:f>
      </x:c>
      <x:c r="AA15" s="2" t="str">
        <x:f>IF(B15="","",MIN(1,SUM(E15:H15)))</x:f>
      </x:c>
      <x:c r="AB15" s="2" t="str">
        <x:f>IF(B15="","",MIN(1,SUM(E15:I15)))</x:f>
      </x:c>
      <x:c r="AC15" s="2" t="str">
        <x:f>IF(B15="","",MIN(1,SUM(E15:J15)))</x:f>
      </x:c>
      <x:c r="AD15" s="2" t="str">
        <x:f>IF(B15="","",MIN(1,SUM(E15:K15)))</x:f>
      </x:c>
      <x:c r="AE15" s="2" t="str">
        <x:f>IF(B15="","",MIN(1,SUM(E15:L15)))</x:f>
      </x:c>
      <x:c r="AF15" s="2" t="str">
        <x:f>IF(B15="","",MIN(1,SUM(E15:M15)))</x:f>
      </x:c>
      <x:c r="AG15" s="2" t="str">
        <x:f>IF(B15="","",MIN(1,SUM(E15:N15)))</x:f>
      </x:c>
      <x:c r="AH15" s="2" t="str">
        <x:f>IF(B15="","",MIN(1,SUM(E15:O15)))</x:f>
      </x:c>
      <x:c r="AI15" s="2" t="str">
        <x:f>IF(B15="","",MIN(1,SUM(E15:P15)))</x:f>
      </x:c>
      <x:c r="AJ15" s="2" t="str">
        <x:f>IF(B15="","",MIN(1,SUM(E15:Q15)))</x:f>
      </x:c>
      <x:c r="AK15" s="2" t="str">
        <x:f>IF(B15="","",MIN(1,SUM(E15:R15)))</x:f>
      </x:c>
      <x:c r="AL15" s="2" t="str">
        <x:f>IF(B15="","",MIN(1,SUM(E15:S15)))</x:f>
      </x:c>
      <x:c r="AM15" s="2" t="str">
        <x:f>IF(B15="","",MIN(1,SUM(E15:T15)))</x:f>
      </x:c>
      <x:c r="AN15" s="2" t="str">
        <x:f>IF(B15="","",MIN(1,SUM(E15:U15)))</x:f>
      </x:c>
      <x:c r="AO15" s="2" t="str">
        <x:f>IF(B15="","",MIN(1,SUM(E15:V15)))</x:f>
      </x:c>
      <x:c r="AP15" s="2" t="str">
        <x:f>IF(B15="","",MIN(1,SUM(E15:W15)))</x:f>
      </x:c>
    </x:row>
    <x:row r="16" ht="21" customHeight="1">
      <x:c r="A16" s="2" t="str">
        <x:f>IF('Motor_Meciuri'!A16="","",'Motor_Meciuri'!A16)</x:f>
      </x:c>
      <x:c r="B16" s="2" t="str">
        <x:f>IF('Motor_Meciuri'!I16&lt;&gt;"PASS","",'Motor_Meciuri'!BD16)</x:f>
      </x:c>
      <x:c r="C16" s="2" t="str">
        <x:f>IF(B16="","",'Motor_Meciuri'!AU16)</x:f>
      </x:c>
      <x:c r="D16" s="2" t="str">
        <x:f>IF(B16="","",'Motor_Meciuri'!AW16)</x:f>
      </x:c>
      <x:c r="E16" s="2" t="str">
        <x:f>IF(B16="","",IF(C16&lt;='Config_v6'!$B$10,EXP(-B16),(D16/(D16+B16))^D16))</x:f>
      </x:c>
      <x:c r="F16" s="2" t="str">
        <x:f>IF(B16="","",IF(C16&lt;='Config_v6'!$B$10,E16*B16/1,E16*(D16+0)/1*B16/(D16+B16)))</x:f>
      </x:c>
      <x:c r="G16" s="2" t="str">
        <x:f>IF(B16="","",IF(C16&lt;='Config_v6'!$B$10,F16*B16/2,F16*(D16+1)/2*B16/(D16+B16)))</x:f>
      </x:c>
      <x:c r="H16" s="2" t="str">
        <x:f>IF(B16="","",IF(C16&lt;='Config_v6'!$B$10,G16*B16/3,G16*(D16+2)/3*B16/(D16+B16)))</x:f>
      </x:c>
      <x:c r="I16" s="2" t="str">
        <x:f>IF(B16="","",IF(C16&lt;='Config_v6'!$B$10,H16*B16/4,H16*(D16+3)/4*B16/(D16+B16)))</x:f>
      </x:c>
      <x:c r="J16" s="2" t="str">
        <x:f>IF(B16="","",IF(C16&lt;='Config_v6'!$B$10,I16*B16/5,I16*(D16+4)/5*B16/(D16+B16)))</x:f>
      </x:c>
      <x:c r="K16" s="2" t="str">
        <x:f>IF(B16="","",IF(C16&lt;='Config_v6'!$B$10,J16*B16/6,J16*(D16+5)/6*B16/(D16+B16)))</x:f>
      </x:c>
      <x:c r="L16" s="2" t="str">
        <x:f>IF(B16="","",IF(C16&lt;='Config_v6'!$B$10,K16*B16/7,K16*(D16+6)/7*B16/(D16+B16)))</x:f>
      </x:c>
      <x:c r="M16" s="2" t="str">
        <x:f>IF(B16="","",IF(C16&lt;='Config_v6'!$B$10,L16*B16/8,L16*(D16+7)/8*B16/(D16+B16)))</x:f>
      </x:c>
      <x:c r="N16" s="2" t="str">
        <x:f>IF(B16="","",IF(C16&lt;='Config_v6'!$B$10,M16*B16/9,M16*(D16+8)/9*B16/(D16+B16)))</x:f>
      </x:c>
      <x:c r="O16" s="2" t="str">
        <x:f>IF(B16="","",IF(C16&lt;='Config_v6'!$B$10,N16*B16/10,N16*(D16+9)/10*B16/(D16+B16)))</x:f>
      </x:c>
      <x:c r="P16" s="2" t="str">
        <x:f>IF(B16="","",IF(C16&lt;='Config_v6'!$B$10,O16*B16/11,O16*(D16+10)/11*B16/(D16+B16)))</x:f>
      </x:c>
      <x:c r="Q16" s="2" t="str">
        <x:f>IF(B16="","",IF(C16&lt;='Config_v6'!$B$10,P16*B16/12,P16*(D16+11)/12*B16/(D16+B16)))</x:f>
      </x:c>
      <x:c r="R16" s="2" t="str">
        <x:f>IF(B16="","",IF(C16&lt;='Config_v6'!$B$10,Q16*B16/13,Q16*(D16+12)/13*B16/(D16+B16)))</x:f>
      </x:c>
      <x:c r="S16" s="2" t="str">
        <x:f>IF(B16="","",IF(C16&lt;='Config_v6'!$B$10,R16*B16/14,R16*(D16+13)/14*B16/(D16+B16)))</x:f>
      </x:c>
      <x:c r="T16" s="2" t="str">
        <x:f>IF(B16="","",IF(C16&lt;='Config_v6'!$B$10,S16*B16/15,S16*(D16+14)/15*B16/(D16+B16)))</x:f>
      </x:c>
      <x:c r="U16" s="2" t="str">
        <x:f>IF(B16="","",IF(C16&lt;='Config_v6'!$B$10,T16*B16/16,T16*(D16+15)/16*B16/(D16+B16)))</x:f>
      </x:c>
      <x:c r="V16" s="2" t="str">
        <x:f>IF(B16="","",IF(C16&lt;='Config_v6'!$B$10,U16*B16/17,U16*(D16+16)/17*B16/(D16+B16)))</x:f>
      </x:c>
      <x:c r="W16" s="2" t="str">
        <x:f>IF(B16="","",IF(C16&lt;='Config_v6'!$B$10,V16*B16/18,V16*(D16+17)/18*B16/(D16+B16)))</x:f>
      </x:c>
      <x:c r="X16" s="2" t="str">
        <x:f>IF(B16="","",MIN(1,SUM(E16:E16)))</x:f>
      </x:c>
      <x:c r="Y16" s="2" t="str">
        <x:f>IF(B16="","",MIN(1,SUM(E16:F16)))</x:f>
      </x:c>
      <x:c r="Z16" s="2" t="str">
        <x:f>IF(B16="","",MIN(1,SUM(E16:G16)))</x:f>
      </x:c>
      <x:c r="AA16" s="2" t="str">
        <x:f>IF(B16="","",MIN(1,SUM(E16:H16)))</x:f>
      </x:c>
      <x:c r="AB16" s="2" t="str">
        <x:f>IF(B16="","",MIN(1,SUM(E16:I16)))</x:f>
      </x:c>
      <x:c r="AC16" s="2" t="str">
        <x:f>IF(B16="","",MIN(1,SUM(E16:J16)))</x:f>
      </x:c>
      <x:c r="AD16" s="2" t="str">
        <x:f>IF(B16="","",MIN(1,SUM(E16:K16)))</x:f>
      </x:c>
      <x:c r="AE16" s="2" t="str">
        <x:f>IF(B16="","",MIN(1,SUM(E16:L16)))</x:f>
      </x:c>
      <x:c r="AF16" s="2" t="str">
        <x:f>IF(B16="","",MIN(1,SUM(E16:M16)))</x:f>
      </x:c>
      <x:c r="AG16" s="2" t="str">
        <x:f>IF(B16="","",MIN(1,SUM(E16:N16)))</x:f>
      </x:c>
      <x:c r="AH16" s="2" t="str">
        <x:f>IF(B16="","",MIN(1,SUM(E16:O16)))</x:f>
      </x:c>
      <x:c r="AI16" s="2" t="str">
        <x:f>IF(B16="","",MIN(1,SUM(E16:P16)))</x:f>
      </x:c>
      <x:c r="AJ16" s="2" t="str">
        <x:f>IF(B16="","",MIN(1,SUM(E16:Q16)))</x:f>
      </x:c>
      <x:c r="AK16" s="2" t="str">
        <x:f>IF(B16="","",MIN(1,SUM(E16:R16)))</x:f>
      </x:c>
      <x:c r="AL16" s="2" t="str">
        <x:f>IF(B16="","",MIN(1,SUM(E16:S16)))</x:f>
      </x:c>
      <x:c r="AM16" s="2" t="str">
        <x:f>IF(B16="","",MIN(1,SUM(E16:T16)))</x:f>
      </x:c>
      <x:c r="AN16" s="2" t="str">
        <x:f>IF(B16="","",MIN(1,SUM(E16:U16)))</x:f>
      </x:c>
      <x:c r="AO16" s="2" t="str">
        <x:f>IF(B16="","",MIN(1,SUM(E16:V16)))</x:f>
      </x:c>
      <x:c r="AP16" s="2" t="str">
        <x:f>IF(B16="","",MIN(1,SUM(E16:W16)))</x:f>
      </x:c>
    </x:row>
    <x:row r="17" ht="21" customHeight="1">
      <x:c r="A17" s="2" t="str">
        <x:f>IF('Motor_Meciuri'!A17="","",'Motor_Meciuri'!A17)</x:f>
      </x:c>
      <x:c r="B17" s="2" t="str">
        <x:f>IF('Motor_Meciuri'!I17&lt;&gt;"PASS","",'Motor_Meciuri'!BD17)</x:f>
      </x:c>
      <x:c r="C17" s="2" t="str">
        <x:f>IF(B17="","",'Motor_Meciuri'!AU17)</x:f>
      </x:c>
      <x:c r="D17" s="2" t="str">
        <x:f>IF(B17="","",'Motor_Meciuri'!AW17)</x:f>
      </x:c>
      <x:c r="E17" s="2" t="str">
        <x:f>IF(B17="","",IF(C17&lt;='Config_v6'!$B$10,EXP(-B17),(D17/(D17+B17))^D17))</x:f>
      </x:c>
      <x:c r="F17" s="2" t="str">
        <x:f>IF(B17="","",IF(C17&lt;='Config_v6'!$B$10,E17*B17/1,E17*(D17+0)/1*B17/(D17+B17)))</x:f>
      </x:c>
      <x:c r="G17" s="2" t="str">
        <x:f>IF(B17="","",IF(C17&lt;='Config_v6'!$B$10,F17*B17/2,F17*(D17+1)/2*B17/(D17+B17)))</x:f>
      </x:c>
      <x:c r="H17" s="2" t="str">
        <x:f>IF(B17="","",IF(C17&lt;='Config_v6'!$B$10,G17*B17/3,G17*(D17+2)/3*B17/(D17+B17)))</x:f>
      </x:c>
      <x:c r="I17" s="2" t="str">
        <x:f>IF(B17="","",IF(C17&lt;='Config_v6'!$B$10,H17*B17/4,H17*(D17+3)/4*B17/(D17+B17)))</x:f>
      </x:c>
      <x:c r="J17" s="2" t="str">
        <x:f>IF(B17="","",IF(C17&lt;='Config_v6'!$B$10,I17*B17/5,I17*(D17+4)/5*B17/(D17+B17)))</x:f>
      </x:c>
      <x:c r="K17" s="2" t="str">
        <x:f>IF(B17="","",IF(C17&lt;='Config_v6'!$B$10,J17*B17/6,J17*(D17+5)/6*B17/(D17+B17)))</x:f>
      </x:c>
      <x:c r="L17" s="2" t="str">
        <x:f>IF(B17="","",IF(C17&lt;='Config_v6'!$B$10,K17*B17/7,K17*(D17+6)/7*B17/(D17+B17)))</x:f>
      </x:c>
      <x:c r="M17" s="2" t="str">
        <x:f>IF(B17="","",IF(C17&lt;='Config_v6'!$B$10,L17*B17/8,L17*(D17+7)/8*B17/(D17+B17)))</x:f>
      </x:c>
      <x:c r="N17" s="2" t="str">
        <x:f>IF(B17="","",IF(C17&lt;='Config_v6'!$B$10,M17*B17/9,M17*(D17+8)/9*B17/(D17+B17)))</x:f>
      </x:c>
      <x:c r="O17" s="2" t="str">
        <x:f>IF(B17="","",IF(C17&lt;='Config_v6'!$B$10,N17*B17/10,N17*(D17+9)/10*B17/(D17+B17)))</x:f>
      </x:c>
      <x:c r="P17" s="2" t="str">
        <x:f>IF(B17="","",IF(C17&lt;='Config_v6'!$B$10,O17*B17/11,O17*(D17+10)/11*B17/(D17+B17)))</x:f>
      </x:c>
      <x:c r="Q17" s="2" t="str">
        <x:f>IF(B17="","",IF(C17&lt;='Config_v6'!$B$10,P17*B17/12,P17*(D17+11)/12*B17/(D17+B17)))</x:f>
      </x:c>
      <x:c r="R17" s="2" t="str">
        <x:f>IF(B17="","",IF(C17&lt;='Config_v6'!$B$10,Q17*B17/13,Q17*(D17+12)/13*B17/(D17+B17)))</x:f>
      </x:c>
      <x:c r="S17" s="2" t="str">
        <x:f>IF(B17="","",IF(C17&lt;='Config_v6'!$B$10,R17*B17/14,R17*(D17+13)/14*B17/(D17+B17)))</x:f>
      </x:c>
      <x:c r="T17" s="2" t="str">
        <x:f>IF(B17="","",IF(C17&lt;='Config_v6'!$B$10,S17*B17/15,S17*(D17+14)/15*B17/(D17+B17)))</x:f>
      </x:c>
      <x:c r="U17" s="2" t="str">
        <x:f>IF(B17="","",IF(C17&lt;='Config_v6'!$B$10,T17*B17/16,T17*(D17+15)/16*B17/(D17+B17)))</x:f>
      </x:c>
      <x:c r="V17" s="2" t="str">
        <x:f>IF(B17="","",IF(C17&lt;='Config_v6'!$B$10,U17*B17/17,U17*(D17+16)/17*B17/(D17+B17)))</x:f>
      </x:c>
      <x:c r="W17" s="2" t="str">
        <x:f>IF(B17="","",IF(C17&lt;='Config_v6'!$B$10,V17*B17/18,V17*(D17+17)/18*B17/(D17+B17)))</x:f>
      </x:c>
      <x:c r="X17" s="2" t="str">
        <x:f>IF(B17="","",MIN(1,SUM(E17:E17)))</x:f>
      </x:c>
      <x:c r="Y17" s="2" t="str">
        <x:f>IF(B17="","",MIN(1,SUM(E17:F17)))</x:f>
      </x:c>
      <x:c r="Z17" s="2" t="str">
        <x:f>IF(B17="","",MIN(1,SUM(E17:G17)))</x:f>
      </x:c>
      <x:c r="AA17" s="2" t="str">
        <x:f>IF(B17="","",MIN(1,SUM(E17:H17)))</x:f>
      </x:c>
      <x:c r="AB17" s="2" t="str">
        <x:f>IF(B17="","",MIN(1,SUM(E17:I17)))</x:f>
      </x:c>
      <x:c r="AC17" s="2" t="str">
        <x:f>IF(B17="","",MIN(1,SUM(E17:J17)))</x:f>
      </x:c>
      <x:c r="AD17" s="2" t="str">
        <x:f>IF(B17="","",MIN(1,SUM(E17:K17)))</x:f>
      </x:c>
      <x:c r="AE17" s="2" t="str">
        <x:f>IF(B17="","",MIN(1,SUM(E17:L17)))</x:f>
      </x:c>
      <x:c r="AF17" s="2" t="str">
        <x:f>IF(B17="","",MIN(1,SUM(E17:M17)))</x:f>
      </x:c>
      <x:c r="AG17" s="2" t="str">
        <x:f>IF(B17="","",MIN(1,SUM(E17:N17)))</x:f>
      </x:c>
      <x:c r="AH17" s="2" t="str">
        <x:f>IF(B17="","",MIN(1,SUM(E17:O17)))</x:f>
      </x:c>
      <x:c r="AI17" s="2" t="str">
        <x:f>IF(B17="","",MIN(1,SUM(E17:P17)))</x:f>
      </x:c>
      <x:c r="AJ17" s="2" t="str">
        <x:f>IF(B17="","",MIN(1,SUM(E17:Q17)))</x:f>
      </x:c>
      <x:c r="AK17" s="2" t="str">
        <x:f>IF(B17="","",MIN(1,SUM(E17:R17)))</x:f>
      </x:c>
      <x:c r="AL17" s="2" t="str">
        <x:f>IF(B17="","",MIN(1,SUM(E17:S17)))</x:f>
      </x:c>
      <x:c r="AM17" s="2" t="str">
        <x:f>IF(B17="","",MIN(1,SUM(E17:T17)))</x:f>
      </x:c>
      <x:c r="AN17" s="2" t="str">
        <x:f>IF(B17="","",MIN(1,SUM(E17:U17)))</x:f>
      </x:c>
      <x:c r="AO17" s="2" t="str">
        <x:f>IF(B17="","",MIN(1,SUM(E17:V17)))</x:f>
      </x:c>
      <x:c r="AP17" s="2" t="str">
        <x:f>IF(B17="","",MIN(1,SUM(E17:W17)))</x:f>
      </x:c>
    </x:row>
    <x:row r="18" ht="21" customHeight="1">
      <x:c r="A18" s="2" t="str">
        <x:f>IF('Motor_Meciuri'!A18="","",'Motor_Meciuri'!A18)</x:f>
      </x:c>
      <x:c r="B18" s="2" t="str">
        <x:f>IF('Motor_Meciuri'!I18&lt;&gt;"PASS","",'Motor_Meciuri'!BD18)</x:f>
      </x:c>
      <x:c r="C18" s="2" t="str">
        <x:f>IF(B18="","",'Motor_Meciuri'!AU18)</x:f>
      </x:c>
      <x:c r="D18" s="2" t="str">
        <x:f>IF(B18="","",'Motor_Meciuri'!AW18)</x:f>
      </x:c>
      <x:c r="E18" s="2" t="str">
        <x:f>IF(B18="","",IF(C18&lt;='Config_v6'!$B$10,EXP(-B18),(D18/(D18+B18))^D18))</x:f>
      </x:c>
      <x:c r="F18" s="2" t="str">
        <x:f>IF(B18="","",IF(C18&lt;='Config_v6'!$B$10,E18*B18/1,E18*(D18+0)/1*B18/(D18+B18)))</x:f>
      </x:c>
      <x:c r="G18" s="2" t="str">
        <x:f>IF(B18="","",IF(C18&lt;='Config_v6'!$B$10,F18*B18/2,F18*(D18+1)/2*B18/(D18+B18)))</x:f>
      </x:c>
      <x:c r="H18" s="2" t="str">
        <x:f>IF(B18="","",IF(C18&lt;='Config_v6'!$B$10,G18*B18/3,G18*(D18+2)/3*B18/(D18+B18)))</x:f>
      </x:c>
      <x:c r="I18" s="2" t="str">
        <x:f>IF(B18="","",IF(C18&lt;='Config_v6'!$B$10,H18*B18/4,H18*(D18+3)/4*B18/(D18+B18)))</x:f>
      </x:c>
      <x:c r="J18" s="2" t="str">
        <x:f>IF(B18="","",IF(C18&lt;='Config_v6'!$B$10,I18*B18/5,I18*(D18+4)/5*B18/(D18+B18)))</x:f>
      </x:c>
      <x:c r="K18" s="2" t="str">
        <x:f>IF(B18="","",IF(C18&lt;='Config_v6'!$B$10,J18*B18/6,J18*(D18+5)/6*B18/(D18+B18)))</x:f>
      </x:c>
      <x:c r="L18" s="2" t="str">
        <x:f>IF(B18="","",IF(C18&lt;='Config_v6'!$B$10,K18*B18/7,K18*(D18+6)/7*B18/(D18+B18)))</x:f>
      </x:c>
      <x:c r="M18" s="2" t="str">
        <x:f>IF(B18="","",IF(C18&lt;='Config_v6'!$B$10,L18*B18/8,L18*(D18+7)/8*B18/(D18+B18)))</x:f>
      </x:c>
      <x:c r="N18" s="2" t="str">
        <x:f>IF(B18="","",IF(C18&lt;='Config_v6'!$B$10,M18*B18/9,M18*(D18+8)/9*B18/(D18+B18)))</x:f>
      </x:c>
      <x:c r="O18" s="2" t="str">
        <x:f>IF(B18="","",IF(C18&lt;='Config_v6'!$B$10,N18*B18/10,N18*(D18+9)/10*B18/(D18+B18)))</x:f>
      </x:c>
      <x:c r="P18" s="2" t="str">
        <x:f>IF(B18="","",IF(C18&lt;='Config_v6'!$B$10,O18*B18/11,O18*(D18+10)/11*B18/(D18+B18)))</x:f>
      </x:c>
      <x:c r="Q18" s="2" t="str">
        <x:f>IF(B18="","",IF(C18&lt;='Config_v6'!$B$10,P18*B18/12,P18*(D18+11)/12*B18/(D18+B18)))</x:f>
      </x:c>
      <x:c r="R18" s="2" t="str">
        <x:f>IF(B18="","",IF(C18&lt;='Config_v6'!$B$10,Q18*B18/13,Q18*(D18+12)/13*B18/(D18+B18)))</x:f>
      </x:c>
      <x:c r="S18" s="2" t="str">
        <x:f>IF(B18="","",IF(C18&lt;='Config_v6'!$B$10,R18*B18/14,R18*(D18+13)/14*B18/(D18+B18)))</x:f>
      </x:c>
      <x:c r="T18" s="2" t="str">
        <x:f>IF(B18="","",IF(C18&lt;='Config_v6'!$B$10,S18*B18/15,S18*(D18+14)/15*B18/(D18+B18)))</x:f>
      </x:c>
      <x:c r="U18" s="2" t="str">
        <x:f>IF(B18="","",IF(C18&lt;='Config_v6'!$B$10,T18*B18/16,T18*(D18+15)/16*B18/(D18+B18)))</x:f>
      </x:c>
      <x:c r="V18" s="2" t="str">
        <x:f>IF(B18="","",IF(C18&lt;='Config_v6'!$B$10,U18*B18/17,U18*(D18+16)/17*B18/(D18+B18)))</x:f>
      </x:c>
      <x:c r="W18" s="2" t="str">
        <x:f>IF(B18="","",IF(C18&lt;='Config_v6'!$B$10,V18*B18/18,V18*(D18+17)/18*B18/(D18+B18)))</x:f>
      </x:c>
      <x:c r="X18" s="2" t="str">
        <x:f>IF(B18="","",MIN(1,SUM(E18:E18)))</x:f>
      </x:c>
      <x:c r="Y18" s="2" t="str">
        <x:f>IF(B18="","",MIN(1,SUM(E18:F18)))</x:f>
      </x:c>
      <x:c r="Z18" s="2" t="str">
        <x:f>IF(B18="","",MIN(1,SUM(E18:G18)))</x:f>
      </x:c>
      <x:c r="AA18" s="2" t="str">
        <x:f>IF(B18="","",MIN(1,SUM(E18:H18)))</x:f>
      </x:c>
      <x:c r="AB18" s="2" t="str">
        <x:f>IF(B18="","",MIN(1,SUM(E18:I18)))</x:f>
      </x:c>
      <x:c r="AC18" s="2" t="str">
        <x:f>IF(B18="","",MIN(1,SUM(E18:J18)))</x:f>
      </x:c>
      <x:c r="AD18" s="2" t="str">
        <x:f>IF(B18="","",MIN(1,SUM(E18:K18)))</x:f>
      </x:c>
      <x:c r="AE18" s="2" t="str">
        <x:f>IF(B18="","",MIN(1,SUM(E18:L18)))</x:f>
      </x:c>
      <x:c r="AF18" s="2" t="str">
        <x:f>IF(B18="","",MIN(1,SUM(E18:M18)))</x:f>
      </x:c>
      <x:c r="AG18" s="2" t="str">
        <x:f>IF(B18="","",MIN(1,SUM(E18:N18)))</x:f>
      </x:c>
      <x:c r="AH18" s="2" t="str">
        <x:f>IF(B18="","",MIN(1,SUM(E18:O18)))</x:f>
      </x:c>
      <x:c r="AI18" s="2" t="str">
        <x:f>IF(B18="","",MIN(1,SUM(E18:P18)))</x:f>
      </x:c>
      <x:c r="AJ18" s="2" t="str">
        <x:f>IF(B18="","",MIN(1,SUM(E18:Q18)))</x:f>
      </x:c>
      <x:c r="AK18" s="2" t="str">
        <x:f>IF(B18="","",MIN(1,SUM(E18:R18)))</x:f>
      </x:c>
      <x:c r="AL18" s="2" t="str">
        <x:f>IF(B18="","",MIN(1,SUM(E18:S18)))</x:f>
      </x:c>
      <x:c r="AM18" s="2" t="str">
        <x:f>IF(B18="","",MIN(1,SUM(E18:T18)))</x:f>
      </x:c>
      <x:c r="AN18" s="2" t="str">
        <x:f>IF(B18="","",MIN(1,SUM(E18:U18)))</x:f>
      </x:c>
      <x:c r="AO18" s="2" t="str">
        <x:f>IF(B18="","",MIN(1,SUM(E18:V18)))</x:f>
      </x:c>
      <x:c r="AP18" s="2" t="str">
        <x:f>IF(B18="","",MIN(1,SUM(E18:W18)))</x:f>
      </x:c>
    </x:row>
    <x:row r="19" ht="21" customHeight="1">
      <x:c r="A19" s="2" t="str">
        <x:f>IF('Motor_Meciuri'!A19="","",'Motor_Meciuri'!A19)</x:f>
      </x:c>
      <x:c r="B19" s="2" t="str">
        <x:f>IF('Motor_Meciuri'!I19&lt;&gt;"PASS","",'Motor_Meciuri'!BD19)</x:f>
      </x:c>
      <x:c r="C19" s="2" t="str">
        <x:f>IF(B19="","",'Motor_Meciuri'!AU19)</x:f>
      </x:c>
      <x:c r="D19" s="2" t="str">
        <x:f>IF(B19="","",'Motor_Meciuri'!AW19)</x:f>
      </x:c>
      <x:c r="E19" s="2" t="str">
        <x:f>IF(B19="","",IF(C19&lt;='Config_v6'!$B$10,EXP(-B19),(D19/(D19+B19))^D19))</x:f>
      </x:c>
      <x:c r="F19" s="2" t="str">
        <x:f>IF(B19="","",IF(C19&lt;='Config_v6'!$B$10,E19*B19/1,E19*(D19+0)/1*B19/(D19+B19)))</x:f>
      </x:c>
      <x:c r="G19" s="2" t="str">
        <x:f>IF(B19="","",IF(C19&lt;='Config_v6'!$B$10,F19*B19/2,F19*(D19+1)/2*B19/(D19+B19)))</x:f>
      </x:c>
      <x:c r="H19" s="2" t="str">
        <x:f>IF(B19="","",IF(C19&lt;='Config_v6'!$B$10,G19*B19/3,G19*(D19+2)/3*B19/(D19+B19)))</x:f>
      </x:c>
      <x:c r="I19" s="2" t="str">
        <x:f>IF(B19="","",IF(C19&lt;='Config_v6'!$B$10,H19*B19/4,H19*(D19+3)/4*B19/(D19+B19)))</x:f>
      </x:c>
      <x:c r="J19" s="2" t="str">
        <x:f>IF(B19="","",IF(C19&lt;='Config_v6'!$B$10,I19*B19/5,I19*(D19+4)/5*B19/(D19+B19)))</x:f>
      </x:c>
      <x:c r="K19" s="2" t="str">
        <x:f>IF(B19="","",IF(C19&lt;='Config_v6'!$B$10,J19*B19/6,J19*(D19+5)/6*B19/(D19+B19)))</x:f>
      </x:c>
      <x:c r="L19" s="2" t="str">
        <x:f>IF(B19="","",IF(C19&lt;='Config_v6'!$B$10,K19*B19/7,K19*(D19+6)/7*B19/(D19+B19)))</x:f>
      </x:c>
      <x:c r="M19" s="2" t="str">
        <x:f>IF(B19="","",IF(C19&lt;='Config_v6'!$B$10,L19*B19/8,L19*(D19+7)/8*B19/(D19+B19)))</x:f>
      </x:c>
      <x:c r="N19" s="2" t="str">
        <x:f>IF(B19="","",IF(C19&lt;='Config_v6'!$B$10,M19*B19/9,M19*(D19+8)/9*B19/(D19+B19)))</x:f>
      </x:c>
      <x:c r="O19" s="2" t="str">
        <x:f>IF(B19="","",IF(C19&lt;='Config_v6'!$B$10,N19*B19/10,N19*(D19+9)/10*B19/(D19+B19)))</x:f>
      </x:c>
      <x:c r="P19" s="2" t="str">
        <x:f>IF(B19="","",IF(C19&lt;='Config_v6'!$B$10,O19*B19/11,O19*(D19+10)/11*B19/(D19+B19)))</x:f>
      </x:c>
      <x:c r="Q19" s="2" t="str">
        <x:f>IF(B19="","",IF(C19&lt;='Config_v6'!$B$10,P19*B19/12,P19*(D19+11)/12*B19/(D19+B19)))</x:f>
      </x:c>
      <x:c r="R19" s="2" t="str">
        <x:f>IF(B19="","",IF(C19&lt;='Config_v6'!$B$10,Q19*B19/13,Q19*(D19+12)/13*B19/(D19+B19)))</x:f>
      </x:c>
      <x:c r="S19" s="2" t="str">
        <x:f>IF(B19="","",IF(C19&lt;='Config_v6'!$B$10,R19*B19/14,R19*(D19+13)/14*B19/(D19+B19)))</x:f>
      </x:c>
      <x:c r="T19" s="2" t="str">
        <x:f>IF(B19="","",IF(C19&lt;='Config_v6'!$B$10,S19*B19/15,S19*(D19+14)/15*B19/(D19+B19)))</x:f>
      </x:c>
      <x:c r="U19" s="2" t="str">
        <x:f>IF(B19="","",IF(C19&lt;='Config_v6'!$B$10,T19*B19/16,T19*(D19+15)/16*B19/(D19+B19)))</x:f>
      </x:c>
      <x:c r="V19" s="2" t="str">
        <x:f>IF(B19="","",IF(C19&lt;='Config_v6'!$B$10,U19*B19/17,U19*(D19+16)/17*B19/(D19+B19)))</x:f>
      </x:c>
      <x:c r="W19" s="2" t="str">
        <x:f>IF(B19="","",IF(C19&lt;='Config_v6'!$B$10,V19*B19/18,V19*(D19+17)/18*B19/(D19+B19)))</x:f>
      </x:c>
      <x:c r="X19" s="2" t="str">
        <x:f>IF(B19="","",MIN(1,SUM(E19:E19)))</x:f>
      </x:c>
      <x:c r="Y19" s="2" t="str">
        <x:f>IF(B19="","",MIN(1,SUM(E19:F19)))</x:f>
      </x:c>
      <x:c r="Z19" s="2" t="str">
        <x:f>IF(B19="","",MIN(1,SUM(E19:G19)))</x:f>
      </x:c>
      <x:c r="AA19" s="2" t="str">
        <x:f>IF(B19="","",MIN(1,SUM(E19:H19)))</x:f>
      </x:c>
      <x:c r="AB19" s="2" t="str">
        <x:f>IF(B19="","",MIN(1,SUM(E19:I19)))</x:f>
      </x:c>
      <x:c r="AC19" s="2" t="str">
        <x:f>IF(B19="","",MIN(1,SUM(E19:J19)))</x:f>
      </x:c>
      <x:c r="AD19" s="2" t="str">
        <x:f>IF(B19="","",MIN(1,SUM(E19:K19)))</x:f>
      </x:c>
      <x:c r="AE19" s="2" t="str">
        <x:f>IF(B19="","",MIN(1,SUM(E19:L19)))</x:f>
      </x:c>
      <x:c r="AF19" s="2" t="str">
        <x:f>IF(B19="","",MIN(1,SUM(E19:M19)))</x:f>
      </x:c>
      <x:c r="AG19" s="2" t="str">
        <x:f>IF(B19="","",MIN(1,SUM(E19:N19)))</x:f>
      </x:c>
      <x:c r="AH19" s="2" t="str">
        <x:f>IF(B19="","",MIN(1,SUM(E19:O19)))</x:f>
      </x:c>
      <x:c r="AI19" s="2" t="str">
        <x:f>IF(B19="","",MIN(1,SUM(E19:P19)))</x:f>
      </x:c>
      <x:c r="AJ19" s="2" t="str">
        <x:f>IF(B19="","",MIN(1,SUM(E19:Q19)))</x:f>
      </x:c>
      <x:c r="AK19" s="2" t="str">
        <x:f>IF(B19="","",MIN(1,SUM(E19:R19)))</x:f>
      </x:c>
      <x:c r="AL19" s="2" t="str">
        <x:f>IF(B19="","",MIN(1,SUM(E19:S19)))</x:f>
      </x:c>
      <x:c r="AM19" s="2" t="str">
        <x:f>IF(B19="","",MIN(1,SUM(E19:T19)))</x:f>
      </x:c>
      <x:c r="AN19" s="2" t="str">
        <x:f>IF(B19="","",MIN(1,SUM(E19:U19)))</x:f>
      </x:c>
      <x:c r="AO19" s="2" t="str">
        <x:f>IF(B19="","",MIN(1,SUM(E19:V19)))</x:f>
      </x:c>
      <x:c r="AP19" s="2" t="str">
        <x:f>IF(B19="","",MIN(1,SUM(E19:W19)))</x:f>
      </x:c>
    </x:row>
    <x:row r="20" ht="21" customHeight="1">
      <x:c r="A20" s="2" t="str">
        <x:f>IF('Motor_Meciuri'!A20="","",'Motor_Meciuri'!A20)</x:f>
      </x:c>
      <x:c r="B20" s="2" t="str">
        <x:f>IF('Motor_Meciuri'!I20&lt;&gt;"PASS","",'Motor_Meciuri'!BD20)</x:f>
      </x:c>
      <x:c r="C20" s="2" t="str">
        <x:f>IF(B20="","",'Motor_Meciuri'!AU20)</x:f>
      </x:c>
      <x:c r="D20" s="2" t="str">
        <x:f>IF(B20="","",'Motor_Meciuri'!AW20)</x:f>
      </x:c>
      <x:c r="E20" s="2" t="str">
        <x:f>IF(B20="","",IF(C20&lt;='Config_v6'!$B$10,EXP(-B20),(D20/(D20+B20))^D20))</x:f>
      </x:c>
      <x:c r="F20" s="2" t="str">
        <x:f>IF(B20="","",IF(C20&lt;='Config_v6'!$B$10,E20*B20/1,E20*(D20+0)/1*B20/(D20+B20)))</x:f>
      </x:c>
      <x:c r="G20" s="2" t="str">
        <x:f>IF(B20="","",IF(C20&lt;='Config_v6'!$B$10,F20*B20/2,F20*(D20+1)/2*B20/(D20+B20)))</x:f>
      </x:c>
      <x:c r="H20" s="2" t="str">
        <x:f>IF(B20="","",IF(C20&lt;='Config_v6'!$B$10,G20*B20/3,G20*(D20+2)/3*B20/(D20+B20)))</x:f>
      </x:c>
      <x:c r="I20" s="2" t="str">
        <x:f>IF(B20="","",IF(C20&lt;='Config_v6'!$B$10,H20*B20/4,H20*(D20+3)/4*B20/(D20+B20)))</x:f>
      </x:c>
      <x:c r="J20" s="2" t="str">
        <x:f>IF(B20="","",IF(C20&lt;='Config_v6'!$B$10,I20*B20/5,I20*(D20+4)/5*B20/(D20+B20)))</x:f>
      </x:c>
      <x:c r="K20" s="2" t="str">
        <x:f>IF(B20="","",IF(C20&lt;='Config_v6'!$B$10,J20*B20/6,J20*(D20+5)/6*B20/(D20+B20)))</x:f>
      </x:c>
      <x:c r="L20" s="2" t="str">
        <x:f>IF(B20="","",IF(C20&lt;='Config_v6'!$B$10,K20*B20/7,K20*(D20+6)/7*B20/(D20+B20)))</x:f>
      </x:c>
      <x:c r="M20" s="2" t="str">
        <x:f>IF(B20="","",IF(C20&lt;='Config_v6'!$B$10,L20*B20/8,L20*(D20+7)/8*B20/(D20+B20)))</x:f>
      </x:c>
      <x:c r="N20" s="2" t="str">
        <x:f>IF(B20="","",IF(C20&lt;='Config_v6'!$B$10,M20*B20/9,M20*(D20+8)/9*B20/(D20+B20)))</x:f>
      </x:c>
      <x:c r="O20" s="2" t="str">
        <x:f>IF(B20="","",IF(C20&lt;='Config_v6'!$B$10,N20*B20/10,N20*(D20+9)/10*B20/(D20+B20)))</x:f>
      </x:c>
      <x:c r="P20" s="2" t="str">
        <x:f>IF(B20="","",IF(C20&lt;='Config_v6'!$B$10,O20*B20/11,O20*(D20+10)/11*B20/(D20+B20)))</x:f>
      </x:c>
      <x:c r="Q20" s="2" t="str">
        <x:f>IF(B20="","",IF(C20&lt;='Config_v6'!$B$10,P20*B20/12,P20*(D20+11)/12*B20/(D20+B20)))</x:f>
      </x:c>
      <x:c r="R20" s="2" t="str">
        <x:f>IF(B20="","",IF(C20&lt;='Config_v6'!$B$10,Q20*B20/13,Q20*(D20+12)/13*B20/(D20+B20)))</x:f>
      </x:c>
      <x:c r="S20" s="2" t="str">
        <x:f>IF(B20="","",IF(C20&lt;='Config_v6'!$B$10,R20*B20/14,R20*(D20+13)/14*B20/(D20+B20)))</x:f>
      </x:c>
      <x:c r="T20" s="2" t="str">
        <x:f>IF(B20="","",IF(C20&lt;='Config_v6'!$B$10,S20*B20/15,S20*(D20+14)/15*B20/(D20+B20)))</x:f>
      </x:c>
      <x:c r="U20" s="2" t="str">
        <x:f>IF(B20="","",IF(C20&lt;='Config_v6'!$B$10,T20*B20/16,T20*(D20+15)/16*B20/(D20+B20)))</x:f>
      </x:c>
      <x:c r="V20" s="2" t="str">
        <x:f>IF(B20="","",IF(C20&lt;='Config_v6'!$B$10,U20*B20/17,U20*(D20+16)/17*B20/(D20+B20)))</x:f>
      </x:c>
      <x:c r="W20" s="2" t="str">
        <x:f>IF(B20="","",IF(C20&lt;='Config_v6'!$B$10,V20*B20/18,V20*(D20+17)/18*B20/(D20+B20)))</x:f>
      </x:c>
      <x:c r="X20" s="2" t="str">
        <x:f>IF(B20="","",MIN(1,SUM(E20:E20)))</x:f>
      </x:c>
      <x:c r="Y20" s="2" t="str">
        <x:f>IF(B20="","",MIN(1,SUM(E20:F20)))</x:f>
      </x:c>
      <x:c r="Z20" s="2" t="str">
        <x:f>IF(B20="","",MIN(1,SUM(E20:G20)))</x:f>
      </x:c>
      <x:c r="AA20" s="2" t="str">
        <x:f>IF(B20="","",MIN(1,SUM(E20:H20)))</x:f>
      </x:c>
      <x:c r="AB20" s="2" t="str">
        <x:f>IF(B20="","",MIN(1,SUM(E20:I20)))</x:f>
      </x:c>
      <x:c r="AC20" s="2" t="str">
        <x:f>IF(B20="","",MIN(1,SUM(E20:J20)))</x:f>
      </x:c>
      <x:c r="AD20" s="2" t="str">
        <x:f>IF(B20="","",MIN(1,SUM(E20:K20)))</x:f>
      </x:c>
      <x:c r="AE20" s="2" t="str">
        <x:f>IF(B20="","",MIN(1,SUM(E20:L20)))</x:f>
      </x:c>
      <x:c r="AF20" s="2" t="str">
        <x:f>IF(B20="","",MIN(1,SUM(E20:M20)))</x:f>
      </x:c>
      <x:c r="AG20" s="2" t="str">
        <x:f>IF(B20="","",MIN(1,SUM(E20:N20)))</x:f>
      </x:c>
      <x:c r="AH20" s="2" t="str">
        <x:f>IF(B20="","",MIN(1,SUM(E20:O20)))</x:f>
      </x:c>
      <x:c r="AI20" s="2" t="str">
        <x:f>IF(B20="","",MIN(1,SUM(E20:P20)))</x:f>
      </x:c>
      <x:c r="AJ20" s="2" t="str">
        <x:f>IF(B20="","",MIN(1,SUM(E20:Q20)))</x:f>
      </x:c>
      <x:c r="AK20" s="2" t="str">
        <x:f>IF(B20="","",MIN(1,SUM(E20:R20)))</x:f>
      </x:c>
      <x:c r="AL20" s="2" t="str">
        <x:f>IF(B20="","",MIN(1,SUM(E20:S20)))</x:f>
      </x:c>
      <x:c r="AM20" s="2" t="str">
        <x:f>IF(B20="","",MIN(1,SUM(E20:T20)))</x:f>
      </x:c>
      <x:c r="AN20" s="2" t="str">
        <x:f>IF(B20="","",MIN(1,SUM(E20:U20)))</x:f>
      </x:c>
      <x:c r="AO20" s="2" t="str">
        <x:f>IF(B20="","",MIN(1,SUM(E20:V20)))</x:f>
      </x:c>
      <x:c r="AP20" s="2" t="str">
        <x:f>IF(B20="","",MIN(1,SUM(E20:W20)))</x:f>
      </x:c>
    </x:row>
    <x:row r="21" ht="21" customHeight="1">
      <x:c r="A21" s="2" t="str">
        <x:f>IF('Motor_Meciuri'!A21="","",'Motor_Meciuri'!A21)</x:f>
      </x:c>
      <x:c r="B21" s="2" t="str">
        <x:f>IF('Motor_Meciuri'!I21&lt;&gt;"PASS","",'Motor_Meciuri'!BD21)</x:f>
      </x:c>
      <x:c r="C21" s="2" t="str">
        <x:f>IF(B21="","",'Motor_Meciuri'!AU21)</x:f>
      </x:c>
      <x:c r="D21" s="2" t="str">
        <x:f>IF(B21="","",'Motor_Meciuri'!AW21)</x:f>
      </x:c>
      <x:c r="E21" s="2" t="str">
        <x:f>IF(B21="","",IF(C21&lt;='Config_v6'!$B$10,EXP(-B21),(D21/(D21+B21))^D21))</x:f>
      </x:c>
      <x:c r="F21" s="2" t="str">
        <x:f>IF(B21="","",IF(C21&lt;='Config_v6'!$B$10,E21*B21/1,E21*(D21+0)/1*B21/(D21+B21)))</x:f>
      </x:c>
      <x:c r="G21" s="2" t="str">
        <x:f>IF(B21="","",IF(C21&lt;='Config_v6'!$B$10,F21*B21/2,F21*(D21+1)/2*B21/(D21+B21)))</x:f>
      </x:c>
      <x:c r="H21" s="2" t="str">
        <x:f>IF(B21="","",IF(C21&lt;='Config_v6'!$B$10,G21*B21/3,G21*(D21+2)/3*B21/(D21+B21)))</x:f>
      </x:c>
      <x:c r="I21" s="2" t="str">
        <x:f>IF(B21="","",IF(C21&lt;='Config_v6'!$B$10,H21*B21/4,H21*(D21+3)/4*B21/(D21+B21)))</x:f>
      </x:c>
      <x:c r="J21" s="2" t="str">
        <x:f>IF(B21="","",IF(C21&lt;='Config_v6'!$B$10,I21*B21/5,I21*(D21+4)/5*B21/(D21+B21)))</x:f>
      </x:c>
      <x:c r="K21" s="2" t="str">
        <x:f>IF(B21="","",IF(C21&lt;='Config_v6'!$B$10,J21*B21/6,J21*(D21+5)/6*B21/(D21+B21)))</x:f>
      </x:c>
      <x:c r="L21" s="2" t="str">
        <x:f>IF(B21="","",IF(C21&lt;='Config_v6'!$B$10,K21*B21/7,K21*(D21+6)/7*B21/(D21+B21)))</x:f>
      </x:c>
      <x:c r="M21" s="2" t="str">
        <x:f>IF(B21="","",IF(C21&lt;='Config_v6'!$B$10,L21*B21/8,L21*(D21+7)/8*B21/(D21+B21)))</x:f>
      </x:c>
      <x:c r="N21" s="2" t="str">
        <x:f>IF(B21="","",IF(C21&lt;='Config_v6'!$B$10,M21*B21/9,M21*(D21+8)/9*B21/(D21+B21)))</x:f>
      </x:c>
      <x:c r="O21" s="2" t="str">
        <x:f>IF(B21="","",IF(C21&lt;='Config_v6'!$B$10,N21*B21/10,N21*(D21+9)/10*B21/(D21+B21)))</x:f>
      </x:c>
      <x:c r="P21" s="2" t="str">
        <x:f>IF(B21="","",IF(C21&lt;='Config_v6'!$B$10,O21*B21/11,O21*(D21+10)/11*B21/(D21+B21)))</x:f>
      </x:c>
      <x:c r="Q21" s="2" t="str">
        <x:f>IF(B21="","",IF(C21&lt;='Config_v6'!$B$10,P21*B21/12,P21*(D21+11)/12*B21/(D21+B21)))</x:f>
      </x:c>
      <x:c r="R21" s="2" t="str">
        <x:f>IF(B21="","",IF(C21&lt;='Config_v6'!$B$10,Q21*B21/13,Q21*(D21+12)/13*B21/(D21+B21)))</x:f>
      </x:c>
      <x:c r="S21" s="2" t="str">
        <x:f>IF(B21="","",IF(C21&lt;='Config_v6'!$B$10,R21*B21/14,R21*(D21+13)/14*B21/(D21+B21)))</x:f>
      </x:c>
      <x:c r="T21" s="2" t="str">
        <x:f>IF(B21="","",IF(C21&lt;='Config_v6'!$B$10,S21*B21/15,S21*(D21+14)/15*B21/(D21+B21)))</x:f>
      </x:c>
      <x:c r="U21" s="2" t="str">
        <x:f>IF(B21="","",IF(C21&lt;='Config_v6'!$B$10,T21*B21/16,T21*(D21+15)/16*B21/(D21+B21)))</x:f>
      </x:c>
      <x:c r="V21" s="2" t="str">
        <x:f>IF(B21="","",IF(C21&lt;='Config_v6'!$B$10,U21*B21/17,U21*(D21+16)/17*B21/(D21+B21)))</x:f>
      </x:c>
      <x:c r="W21" s="2" t="str">
        <x:f>IF(B21="","",IF(C21&lt;='Config_v6'!$B$10,V21*B21/18,V21*(D21+17)/18*B21/(D21+B21)))</x:f>
      </x:c>
      <x:c r="X21" s="2" t="str">
        <x:f>IF(B21="","",MIN(1,SUM(E21:E21)))</x:f>
      </x:c>
      <x:c r="Y21" s="2" t="str">
        <x:f>IF(B21="","",MIN(1,SUM(E21:F21)))</x:f>
      </x:c>
      <x:c r="Z21" s="2" t="str">
        <x:f>IF(B21="","",MIN(1,SUM(E21:G21)))</x:f>
      </x:c>
      <x:c r="AA21" s="2" t="str">
        <x:f>IF(B21="","",MIN(1,SUM(E21:H21)))</x:f>
      </x:c>
      <x:c r="AB21" s="2" t="str">
        <x:f>IF(B21="","",MIN(1,SUM(E21:I21)))</x:f>
      </x:c>
      <x:c r="AC21" s="2" t="str">
        <x:f>IF(B21="","",MIN(1,SUM(E21:J21)))</x:f>
      </x:c>
      <x:c r="AD21" s="2" t="str">
        <x:f>IF(B21="","",MIN(1,SUM(E21:K21)))</x:f>
      </x:c>
      <x:c r="AE21" s="2" t="str">
        <x:f>IF(B21="","",MIN(1,SUM(E21:L21)))</x:f>
      </x:c>
      <x:c r="AF21" s="2" t="str">
        <x:f>IF(B21="","",MIN(1,SUM(E21:M21)))</x:f>
      </x:c>
      <x:c r="AG21" s="2" t="str">
        <x:f>IF(B21="","",MIN(1,SUM(E21:N21)))</x:f>
      </x:c>
      <x:c r="AH21" s="2" t="str">
        <x:f>IF(B21="","",MIN(1,SUM(E21:O21)))</x:f>
      </x:c>
      <x:c r="AI21" s="2" t="str">
        <x:f>IF(B21="","",MIN(1,SUM(E21:P21)))</x:f>
      </x:c>
      <x:c r="AJ21" s="2" t="str">
        <x:f>IF(B21="","",MIN(1,SUM(E21:Q21)))</x:f>
      </x:c>
      <x:c r="AK21" s="2" t="str">
        <x:f>IF(B21="","",MIN(1,SUM(E21:R21)))</x:f>
      </x:c>
      <x:c r="AL21" s="2" t="str">
        <x:f>IF(B21="","",MIN(1,SUM(E21:S21)))</x:f>
      </x:c>
      <x:c r="AM21" s="2" t="str">
        <x:f>IF(B21="","",MIN(1,SUM(E21:T21)))</x:f>
      </x:c>
      <x:c r="AN21" s="2" t="str">
        <x:f>IF(B21="","",MIN(1,SUM(E21:U21)))</x:f>
      </x:c>
      <x:c r="AO21" s="2" t="str">
        <x:f>IF(B21="","",MIN(1,SUM(E21:V21)))</x:f>
      </x:c>
      <x:c r="AP21" s="2" t="str">
        <x:f>IF(B21="","",MIN(1,SUM(E21:W21)))</x:f>
      </x:c>
    </x:row>
    <x:row r="22" ht="21" customHeight="1">
      <x:c r="A22" s="2" t="str">
        <x:f>IF('Motor_Meciuri'!A22="","",'Motor_Meciuri'!A22)</x:f>
      </x:c>
      <x:c r="B22" s="2" t="str">
        <x:f>IF('Motor_Meciuri'!I22&lt;&gt;"PASS","",'Motor_Meciuri'!BD22)</x:f>
      </x:c>
      <x:c r="C22" s="2" t="str">
        <x:f>IF(B22="","",'Motor_Meciuri'!AU22)</x:f>
      </x:c>
      <x:c r="D22" s="2" t="str">
        <x:f>IF(B22="","",'Motor_Meciuri'!AW22)</x:f>
      </x:c>
      <x:c r="E22" s="2" t="str">
        <x:f>IF(B22="","",IF(C22&lt;='Config_v6'!$B$10,EXP(-B22),(D22/(D22+B22))^D22))</x:f>
      </x:c>
      <x:c r="F22" s="2" t="str">
        <x:f>IF(B22="","",IF(C22&lt;='Config_v6'!$B$10,E22*B22/1,E22*(D22+0)/1*B22/(D22+B22)))</x:f>
      </x:c>
      <x:c r="G22" s="2" t="str">
        <x:f>IF(B22="","",IF(C22&lt;='Config_v6'!$B$10,F22*B22/2,F22*(D22+1)/2*B22/(D22+B22)))</x:f>
      </x:c>
      <x:c r="H22" s="2" t="str">
        <x:f>IF(B22="","",IF(C22&lt;='Config_v6'!$B$10,G22*B22/3,G22*(D22+2)/3*B22/(D22+B22)))</x:f>
      </x:c>
      <x:c r="I22" s="2" t="str">
        <x:f>IF(B22="","",IF(C22&lt;='Config_v6'!$B$10,H22*B22/4,H22*(D22+3)/4*B22/(D22+B22)))</x:f>
      </x:c>
      <x:c r="J22" s="2" t="str">
        <x:f>IF(B22="","",IF(C22&lt;='Config_v6'!$B$10,I22*B22/5,I22*(D22+4)/5*B22/(D22+B22)))</x:f>
      </x:c>
      <x:c r="K22" s="2" t="str">
        <x:f>IF(B22="","",IF(C22&lt;='Config_v6'!$B$10,J22*B22/6,J22*(D22+5)/6*B22/(D22+B22)))</x:f>
      </x:c>
      <x:c r="L22" s="2" t="str">
        <x:f>IF(B22="","",IF(C22&lt;='Config_v6'!$B$10,K22*B22/7,K22*(D22+6)/7*B22/(D22+B22)))</x:f>
      </x:c>
      <x:c r="M22" s="2" t="str">
        <x:f>IF(B22="","",IF(C22&lt;='Config_v6'!$B$10,L22*B22/8,L22*(D22+7)/8*B22/(D22+B22)))</x:f>
      </x:c>
      <x:c r="N22" s="2" t="str">
        <x:f>IF(B22="","",IF(C22&lt;='Config_v6'!$B$10,M22*B22/9,M22*(D22+8)/9*B22/(D22+B22)))</x:f>
      </x:c>
      <x:c r="O22" s="2" t="str">
        <x:f>IF(B22="","",IF(C22&lt;='Config_v6'!$B$10,N22*B22/10,N22*(D22+9)/10*B22/(D22+B22)))</x:f>
      </x:c>
      <x:c r="P22" s="2" t="str">
        <x:f>IF(B22="","",IF(C22&lt;='Config_v6'!$B$10,O22*B22/11,O22*(D22+10)/11*B22/(D22+B22)))</x:f>
      </x:c>
      <x:c r="Q22" s="2" t="str">
        <x:f>IF(B22="","",IF(C22&lt;='Config_v6'!$B$10,P22*B22/12,P22*(D22+11)/12*B22/(D22+B22)))</x:f>
      </x:c>
      <x:c r="R22" s="2" t="str">
        <x:f>IF(B22="","",IF(C22&lt;='Config_v6'!$B$10,Q22*B22/13,Q22*(D22+12)/13*B22/(D22+B22)))</x:f>
      </x:c>
      <x:c r="S22" s="2" t="str">
        <x:f>IF(B22="","",IF(C22&lt;='Config_v6'!$B$10,R22*B22/14,R22*(D22+13)/14*B22/(D22+B22)))</x:f>
      </x:c>
      <x:c r="T22" s="2" t="str">
        <x:f>IF(B22="","",IF(C22&lt;='Config_v6'!$B$10,S22*B22/15,S22*(D22+14)/15*B22/(D22+B22)))</x:f>
      </x:c>
      <x:c r="U22" s="2" t="str">
        <x:f>IF(B22="","",IF(C22&lt;='Config_v6'!$B$10,T22*B22/16,T22*(D22+15)/16*B22/(D22+B22)))</x:f>
      </x:c>
      <x:c r="V22" s="2" t="str">
        <x:f>IF(B22="","",IF(C22&lt;='Config_v6'!$B$10,U22*B22/17,U22*(D22+16)/17*B22/(D22+B22)))</x:f>
      </x:c>
      <x:c r="W22" s="2" t="str">
        <x:f>IF(B22="","",IF(C22&lt;='Config_v6'!$B$10,V22*B22/18,V22*(D22+17)/18*B22/(D22+B22)))</x:f>
      </x:c>
      <x:c r="X22" s="2" t="str">
        <x:f>IF(B22="","",MIN(1,SUM(E22:E22)))</x:f>
      </x:c>
      <x:c r="Y22" s="2" t="str">
        <x:f>IF(B22="","",MIN(1,SUM(E22:F22)))</x:f>
      </x:c>
      <x:c r="Z22" s="2" t="str">
        <x:f>IF(B22="","",MIN(1,SUM(E22:G22)))</x:f>
      </x:c>
      <x:c r="AA22" s="2" t="str">
        <x:f>IF(B22="","",MIN(1,SUM(E22:H22)))</x:f>
      </x:c>
      <x:c r="AB22" s="2" t="str">
        <x:f>IF(B22="","",MIN(1,SUM(E22:I22)))</x:f>
      </x:c>
      <x:c r="AC22" s="2" t="str">
        <x:f>IF(B22="","",MIN(1,SUM(E22:J22)))</x:f>
      </x:c>
      <x:c r="AD22" s="2" t="str">
        <x:f>IF(B22="","",MIN(1,SUM(E22:K22)))</x:f>
      </x:c>
      <x:c r="AE22" s="2" t="str">
        <x:f>IF(B22="","",MIN(1,SUM(E22:L22)))</x:f>
      </x:c>
      <x:c r="AF22" s="2" t="str">
        <x:f>IF(B22="","",MIN(1,SUM(E22:M22)))</x:f>
      </x:c>
      <x:c r="AG22" s="2" t="str">
        <x:f>IF(B22="","",MIN(1,SUM(E22:N22)))</x:f>
      </x:c>
      <x:c r="AH22" s="2" t="str">
        <x:f>IF(B22="","",MIN(1,SUM(E22:O22)))</x:f>
      </x:c>
      <x:c r="AI22" s="2" t="str">
        <x:f>IF(B22="","",MIN(1,SUM(E22:P22)))</x:f>
      </x:c>
      <x:c r="AJ22" s="2" t="str">
        <x:f>IF(B22="","",MIN(1,SUM(E22:Q22)))</x:f>
      </x:c>
      <x:c r="AK22" s="2" t="str">
        <x:f>IF(B22="","",MIN(1,SUM(E22:R22)))</x:f>
      </x:c>
      <x:c r="AL22" s="2" t="str">
        <x:f>IF(B22="","",MIN(1,SUM(E22:S22)))</x:f>
      </x:c>
      <x:c r="AM22" s="2" t="str">
        <x:f>IF(B22="","",MIN(1,SUM(E22:T22)))</x:f>
      </x:c>
      <x:c r="AN22" s="2" t="str">
        <x:f>IF(B22="","",MIN(1,SUM(E22:U22)))</x:f>
      </x:c>
      <x:c r="AO22" s="2" t="str">
        <x:f>IF(B22="","",MIN(1,SUM(E22:V22)))</x:f>
      </x:c>
      <x:c r="AP22" s="2" t="str">
        <x:f>IF(B22="","",MIN(1,SUM(E22:W22)))</x:f>
      </x:c>
    </x:row>
    <x:row r="23" ht="21" customHeight="1">
      <x:c r="A23" s="2" t="str">
        <x:f>IF('Motor_Meciuri'!A23="","",'Motor_Meciuri'!A23)</x:f>
      </x:c>
      <x:c r="B23" s="2" t="str">
        <x:f>IF('Motor_Meciuri'!I23&lt;&gt;"PASS","",'Motor_Meciuri'!BD23)</x:f>
      </x:c>
      <x:c r="C23" s="2" t="str">
        <x:f>IF(B23="","",'Motor_Meciuri'!AU23)</x:f>
      </x:c>
      <x:c r="D23" s="2" t="str">
        <x:f>IF(B23="","",'Motor_Meciuri'!AW23)</x:f>
      </x:c>
      <x:c r="E23" s="2" t="str">
        <x:f>IF(B23="","",IF(C23&lt;='Config_v6'!$B$10,EXP(-B23),(D23/(D23+B23))^D23))</x:f>
      </x:c>
      <x:c r="F23" s="2" t="str">
        <x:f>IF(B23="","",IF(C23&lt;='Config_v6'!$B$10,E23*B23/1,E23*(D23+0)/1*B23/(D23+B23)))</x:f>
      </x:c>
      <x:c r="G23" s="2" t="str">
        <x:f>IF(B23="","",IF(C23&lt;='Config_v6'!$B$10,F23*B23/2,F23*(D23+1)/2*B23/(D23+B23)))</x:f>
      </x:c>
      <x:c r="H23" s="2" t="str">
        <x:f>IF(B23="","",IF(C23&lt;='Config_v6'!$B$10,G23*B23/3,G23*(D23+2)/3*B23/(D23+B23)))</x:f>
      </x:c>
      <x:c r="I23" s="2" t="str">
        <x:f>IF(B23="","",IF(C23&lt;='Config_v6'!$B$10,H23*B23/4,H23*(D23+3)/4*B23/(D23+B23)))</x:f>
      </x:c>
      <x:c r="J23" s="2" t="str">
        <x:f>IF(B23="","",IF(C23&lt;='Config_v6'!$B$10,I23*B23/5,I23*(D23+4)/5*B23/(D23+B23)))</x:f>
      </x:c>
      <x:c r="K23" s="2" t="str">
        <x:f>IF(B23="","",IF(C23&lt;='Config_v6'!$B$10,J23*B23/6,J23*(D23+5)/6*B23/(D23+B23)))</x:f>
      </x:c>
      <x:c r="L23" s="2" t="str">
        <x:f>IF(B23="","",IF(C23&lt;='Config_v6'!$B$10,K23*B23/7,K23*(D23+6)/7*B23/(D23+B23)))</x:f>
      </x:c>
      <x:c r="M23" s="2" t="str">
        <x:f>IF(B23="","",IF(C23&lt;='Config_v6'!$B$10,L23*B23/8,L23*(D23+7)/8*B23/(D23+B23)))</x:f>
      </x:c>
      <x:c r="N23" s="2" t="str">
        <x:f>IF(B23="","",IF(C23&lt;='Config_v6'!$B$10,M23*B23/9,M23*(D23+8)/9*B23/(D23+B23)))</x:f>
      </x:c>
      <x:c r="O23" s="2" t="str">
        <x:f>IF(B23="","",IF(C23&lt;='Config_v6'!$B$10,N23*B23/10,N23*(D23+9)/10*B23/(D23+B23)))</x:f>
      </x:c>
      <x:c r="P23" s="2" t="str">
        <x:f>IF(B23="","",IF(C23&lt;='Config_v6'!$B$10,O23*B23/11,O23*(D23+10)/11*B23/(D23+B23)))</x:f>
      </x:c>
      <x:c r="Q23" s="2" t="str">
        <x:f>IF(B23="","",IF(C23&lt;='Config_v6'!$B$10,P23*B23/12,P23*(D23+11)/12*B23/(D23+B23)))</x:f>
      </x:c>
      <x:c r="R23" s="2" t="str">
        <x:f>IF(B23="","",IF(C23&lt;='Config_v6'!$B$10,Q23*B23/13,Q23*(D23+12)/13*B23/(D23+B23)))</x:f>
      </x:c>
      <x:c r="S23" s="2" t="str">
        <x:f>IF(B23="","",IF(C23&lt;='Config_v6'!$B$10,R23*B23/14,R23*(D23+13)/14*B23/(D23+B23)))</x:f>
      </x:c>
      <x:c r="T23" s="2" t="str">
        <x:f>IF(B23="","",IF(C23&lt;='Config_v6'!$B$10,S23*B23/15,S23*(D23+14)/15*B23/(D23+B23)))</x:f>
      </x:c>
      <x:c r="U23" s="2" t="str">
        <x:f>IF(B23="","",IF(C23&lt;='Config_v6'!$B$10,T23*B23/16,T23*(D23+15)/16*B23/(D23+B23)))</x:f>
      </x:c>
      <x:c r="V23" s="2" t="str">
        <x:f>IF(B23="","",IF(C23&lt;='Config_v6'!$B$10,U23*B23/17,U23*(D23+16)/17*B23/(D23+B23)))</x:f>
      </x:c>
      <x:c r="W23" s="2" t="str">
        <x:f>IF(B23="","",IF(C23&lt;='Config_v6'!$B$10,V23*B23/18,V23*(D23+17)/18*B23/(D23+B23)))</x:f>
      </x:c>
      <x:c r="X23" s="2" t="str">
        <x:f>IF(B23="","",MIN(1,SUM(E23:E23)))</x:f>
      </x:c>
      <x:c r="Y23" s="2" t="str">
        <x:f>IF(B23="","",MIN(1,SUM(E23:F23)))</x:f>
      </x:c>
      <x:c r="Z23" s="2" t="str">
        <x:f>IF(B23="","",MIN(1,SUM(E23:G23)))</x:f>
      </x:c>
      <x:c r="AA23" s="2" t="str">
        <x:f>IF(B23="","",MIN(1,SUM(E23:H23)))</x:f>
      </x:c>
      <x:c r="AB23" s="2" t="str">
        <x:f>IF(B23="","",MIN(1,SUM(E23:I23)))</x:f>
      </x:c>
      <x:c r="AC23" s="2" t="str">
        <x:f>IF(B23="","",MIN(1,SUM(E23:J23)))</x:f>
      </x:c>
      <x:c r="AD23" s="2" t="str">
        <x:f>IF(B23="","",MIN(1,SUM(E23:K23)))</x:f>
      </x:c>
      <x:c r="AE23" s="2" t="str">
        <x:f>IF(B23="","",MIN(1,SUM(E23:L23)))</x:f>
      </x:c>
      <x:c r="AF23" s="2" t="str">
        <x:f>IF(B23="","",MIN(1,SUM(E23:M23)))</x:f>
      </x:c>
      <x:c r="AG23" s="2" t="str">
        <x:f>IF(B23="","",MIN(1,SUM(E23:N23)))</x:f>
      </x:c>
      <x:c r="AH23" s="2" t="str">
        <x:f>IF(B23="","",MIN(1,SUM(E23:O23)))</x:f>
      </x:c>
      <x:c r="AI23" s="2" t="str">
        <x:f>IF(B23="","",MIN(1,SUM(E23:P23)))</x:f>
      </x:c>
      <x:c r="AJ23" s="2" t="str">
        <x:f>IF(B23="","",MIN(1,SUM(E23:Q23)))</x:f>
      </x:c>
      <x:c r="AK23" s="2" t="str">
        <x:f>IF(B23="","",MIN(1,SUM(E23:R23)))</x:f>
      </x:c>
      <x:c r="AL23" s="2" t="str">
        <x:f>IF(B23="","",MIN(1,SUM(E23:S23)))</x:f>
      </x:c>
      <x:c r="AM23" s="2" t="str">
        <x:f>IF(B23="","",MIN(1,SUM(E23:T23)))</x:f>
      </x:c>
      <x:c r="AN23" s="2" t="str">
        <x:f>IF(B23="","",MIN(1,SUM(E23:U23)))</x:f>
      </x:c>
      <x:c r="AO23" s="2" t="str">
        <x:f>IF(B23="","",MIN(1,SUM(E23:V23)))</x:f>
      </x:c>
      <x:c r="AP23" s="2" t="str">
        <x:f>IF(B23="","",MIN(1,SUM(E23:W23)))</x:f>
      </x:c>
    </x:row>
    <x:row r="24" ht="21" customHeight="1">
      <x:c r="A24" s="2" t="str">
        <x:f>IF('Motor_Meciuri'!A24="","",'Motor_Meciuri'!A24)</x:f>
      </x:c>
      <x:c r="B24" s="2" t="str">
        <x:f>IF('Motor_Meciuri'!I24&lt;&gt;"PASS","",'Motor_Meciuri'!BD24)</x:f>
      </x:c>
      <x:c r="C24" s="2" t="str">
        <x:f>IF(B24="","",'Motor_Meciuri'!AU24)</x:f>
      </x:c>
      <x:c r="D24" s="2" t="str">
        <x:f>IF(B24="","",'Motor_Meciuri'!AW24)</x:f>
      </x:c>
      <x:c r="E24" s="2" t="str">
        <x:f>IF(B24="","",IF(C24&lt;='Config_v6'!$B$10,EXP(-B24),(D24/(D24+B24))^D24))</x:f>
      </x:c>
      <x:c r="F24" s="2" t="str">
        <x:f>IF(B24="","",IF(C24&lt;='Config_v6'!$B$10,E24*B24/1,E24*(D24+0)/1*B24/(D24+B24)))</x:f>
      </x:c>
      <x:c r="G24" s="2" t="str">
        <x:f>IF(B24="","",IF(C24&lt;='Config_v6'!$B$10,F24*B24/2,F24*(D24+1)/2*B24/(D24+B24)))</x:f>
      </x:c>
      <x:c r="H24" s="2" t="str">
        <x:f>IF(B24="","",IF(C24&lt;='Config_v6'!$B$10,G24*B24/3,G24*(D24+2)/3*B24/(D24+B24)))</x:f>
      </x:c>
      <x:c r="I24" s="2" t="str">
        <x:f>IF(B24="","",IF(C24&lt;='Config_v6'!$B$10,H24*B24/4,H24*(D24+3)/4*B24/(D24+B24)))</x:f>
      </x:c>
      <x:c r="J24" s="2" t="str">
        <x:f>IF(B24="","",IF(C24&lt;='Config_v6'!$B$10,I24*B24/5,I24*(D24+4)/5*B24/(D24+B24)))</x:f>
      </x:c>
      <x:c r="K24" s="2" t="str">
        <x:f>IF(B24="","",IF(C24&lt;='Config_v6'!$B$10,J24*B24/6,J24*(D24+5)/6*B24/(D24+B24)))</x:f>
      </x:c>
      <x:c r="L24" s="2" t="str">
        <x:f>IF(B24="","",IF(C24&lt;='Config_v6'!$B$10,K24*B24/7,K24*(D24+6)/7*B24/(D24+B24)))</x:f>
      </x:c>
      <x:c r="M24" s="2" t="str">
        <x:f>IF(B24="","",IF(C24&lt;='Config_v6'!$B$10,L24*B24/8,L24*(D24+7)/8*B24/(D24+B24)))</x:f>
      </x:c>
      <x:c r="N24" s="2" t="str">
        <x:f>IF(B24="","",IF(C24&lt;='Config_v6'!$B$10,M24*B24/9,M24*(D24+8)/9*B24/(D24+B24)))</x:f>
      </x:c>
      <x:c r="O24" s="2" t="str">
        <x:f>IF(B24="","",IF(C24&lt;='Config_v6'!$B$10,N24*B24/10,N24*(D24+9)/10*B24/(D24+B24)))</x:f>
      </x:c>
      <x:c r="P24" s="2" t="str">
        <x:f>IF(B24="","",IF(C24&lt;='Config_v6'!$B$10,O24*B24/11,O24*(D24+10)/11*B24/(D24+B24)))</x:f>
      </x:c>
      <x:c r="Q24" s="2" t="str">
        <x:f>IF(B24="","",IF(C24&lt;='Config_v6'!$B$10,P24*B24/12,P24*(D24+11)/12*B24/(D24+B24)))</x:f>
      </x:c>
      <x:c r="R24" s="2" t="str">
        <x:f>IF(B24="","",IF(C24&lt;='Config_v6'!$B$10,Q24*B24/13,Q24*(D24+12)/13*B24/(D24+B24)))</x:f>
      </x:c>
      <x:c r="S24" s="2" t="str">
        <x:f>IF(B24="","",IF(C24&lt;='Config_v6'!$B$10,R24*B24/14,R24*(D24+13)/14*B24/(D24+B24)))</x:f>
      </x:c>
      <x:c r="T24" s="2" t="str">
        <x:f>IF(B24="","",IF(C24&lt;='Config_v6'!$B$10,S24*B24/15,S24*(D24+14)/15*B24/(D24+B24)))</x:f>
      </x:c>
      <x:c r="U24" s="2" t="str">
        <x:f>IF(B24="","",IF(C24&lt;='Config_v6'!$B$10,T24*B24/16,T24*(D24+15)/16*B24/(D24+B24)))</x:f>
      </x:c>
      <x:c r="V24" s="2" t="str">
        <x:f>IF(B24="","",IF(C24&lt;='Config_v6'!$B$10,U24*B24/17,U24*(D24+16)/17*B24/(D24+B24)))</x:f>
      </x:c>
      <x:c r="W24" s="2" t="str">
        <x:f>IF(B24="","",IF(C24&lt;='Config_v6'!$B$10,V24*B24/18,V24*(D24+17)/18*B24/(D24+B24)))</x:f>
      </x:c>
      <x:c r="X24" s="2" t="str">
        <x:f>IF(B24="","",MIN(1,SUM(E24:E24)))</x:f>
      </x:c>
      <x:c r="Y24" s="2" t="str">
        <x:f>IF(B24="","",MIN(1,SUM(E24:F24)))</x:f>
      </x:c>
      <x:c r="Z24" s="2" t="str">
        <x:f>IF(B24="","",MIN(1,SUM(E24:G24)))</x:f>
      </x:c>
      <x:c r="AA24" s="2" t="str">
        <x:f>IF(B24="","",MIN(1,SUM(E24:H24)))</x:f>
      </x:c>
      <x:c r="AB24" s="2" t="str">
        <x:f>IF(B24="","",MIN(1,SUM(E24:I24)))</x:f>
      </x:c>
      <x:c r="AC24" s="2" t="str">
        <x:f>IF(B24="","",MIN(1,SUM(E24:J24)))</x:f>
      </x:c>
      <x:c r="AD24" s="2" t="str">
        <x:f>IF(B24="","",MIN(1,SUM(E24:K24)))</x:f>
      </x:c>
      <x:c r="AE24" s="2" t="str">
        <x:f>IF(B24="","",MIN(1,SUM(E24:L24)))</x:f>
      </x:c>
      <x:c r="AF24" s="2" t="str">
        <x:f>IF(B24="","",MIN(1,SUM(E24:M24)))</x:f>
      </x:c>
      <x:c r="AG24" s="2" t="str">
        <x:f>IF(B24="","",MIN(1,SUM(E24:N24)))</x:f>
      </x:c>
      <x:c r="AH24" s="2" t="str">
        <x:f>IF(B24="","",MIN(1,SUM(E24:O24)))</x:f>
      </x:c>
      <x:c r="AI24" s="2" t="str">
        <x:f>IF(B24="","",MIN(1,SUM(E24:P24)))</x:f>
      </x:c>
      <x:c r="AJ24" s="2" t="str">
        <x:f>IF(B24="","",MIN(1,SUM(E24:Q24)))</x:f>
      </x:c>
      <x:c r="AK24" s="2" t="str">
        <x:f>IF(B24="","",MIN(1,SUM(E24:R24)))</x:f>
      </x:c>
      <x:c r="AL24" s="2" t="str">
        <x:f>IF(B24="","",MIN(1,SUM(E24:S24)))</x:f>
      </x:c>
      <x:c r="AM24" s="2" t="str">
        <x:f>IF(B24="","",MIN(1,SUM(E24:T24)))</x:f>
      </x:c>
      <x:c r="AN24" s="2" t="str">
        <x:f>IF(B24="","",MIN(1,SUM(E24:U24)))</x:f>
      </x:c>
      <x:c r="AO24" s="2" t="str">
        <x:f>IF(B24="","",MIN(1,SUM(E24:V24)))</x:f>
      </x:c>
      <x:c r="AP24" s="2" t="str">
        <x:f>IF(B24="","",MIN(1,SUM(E24:W24)))</x:f>
      </x:c>
    </x:row>
    <x:row r="25" ht="21" customHeight="1">
      <x:c r="A25" s="2" t="str">
        <x:f>IF('Motor_Meciuri'!A25="","",'Motor_Meciuri'!A25)</x:f>
      </x:c>
      <x:c r="B25" s="2" t="str">
        <x:f>IF('Motor_Meciuri'!I25&lt;&gt;"PASS","",'Motor_Meciuri'!BD25)</x:f>
      </x:c>
      <x:c r="C25" s="2" t="str">
        <x:f>IF(B25="","",'Motor_Meciuri'!AU25)</x:f>
      </x:c>
      <x:c r="D25" s="2" t="str">
        <x:f>IF(B25="","",'Motor_Meciuri'!AW25)</x:f>
      </x:c>
      <x:c r="E25" s="2" t="str">
        <x:f>IF(B25="","",IF(C25&lt;='Config_v6'!$B$10,EXP(-B25),(D25/(D25+B25))^D25))</x:f>
      </x:c>
      <x:c r="F25" s="2" t="str">
        <x:f>IF(B25="","",IF(C25&lt;='Config_v6'!$B$10,E25*B25/1,E25*(D25+0)/1*B25/(D25+B25)))</x:f>
      </x:c>
      <x:c r="G25" s="2" t="str">
        <x:f>IF(B25="","",IF(C25&lt;='Config_v6'!$B$10,F25*B25/2,F25*(D25+1)/2*B25/(D25+B25)))</x:f>
      </x:c>
      <x:c r="H25" s="2" t="str">
        <x:f>IF(B25="","",IF(C25&lt;='Config_v6'!$B$10,G25*B25/3,G25*(D25+2)/3*B25/(D25+B25)))</x:f>
      </x:c>
      <x:c r="I25" s="2" t="str">
        <x:f>IF(B25="","",IF(C25&lt;='Config_v6'!$B$10,H25*B25/4,H25*(D25+3)/4*B25/(D25+B25)))</x:f>
      </x:c>
      <x:c r="J25" s="2" t="str">
        <x:f>IF(B25="","",IF(C25&lt;='Config_v6'!$B$10,I25*B25/5,I25*(D25+4)/5*B25/(D25+B25)))</x:f>
      </x:c>
      <x:c r="K25" s="2" t="str">
        <x:f>IF(B25="","",IF(C25&lt;='Config_v6'!$B$10,J25*B25/6,J25*(D25+5)/6*B25/(D25+B25)))</x:f>
      </x:c>
      <x:c r="L25" s="2" t="str">
        <x:f>IF(B25="","",IF(C25&lt;='Config_v6'!$B$10,K25*B25/7,K25*(D25+6)/7*B25/(D25+B25)))</x:f>
      </x:c>
      <x:c r="M25" s="2" t="str">
        <x:f>IF(B25="","",IF(C25&lt;='Config_v6'!$B$10,L25*B25/8,L25*(D25+7)/8*B25/(D25+B25)))</x:f>
      </x:c>
      <x:c r="N25" s="2" t="str">
        <x:f>IF(B25="","",IF(C25&lt;='Config_v6'!$B$10,M25*B25/9,M25*(D25+8)/9*B25/(D25+B25)))</x:f>
      </x:c>
      <x:c r="O25" s="2" t="str">
        <x:f>IF(B25="","",IF(C25&lt;='Config_v6'!$B$10,N25*B25/10,N25*(D25+9)/10*B25/(D25+B25)))</x:f>
      </x:c>
      <x:c r="P25" s="2" t="str">
        <x:f>IF(B25="","",IF(C25&lt;='Config_v6'!$B$10,O25*B25/11,O25*(D25+10)/11*B25/(D25+B25)))</x:f>
      </x:c>
      <x:c r="Q25" s="2" t="str">
        <x:f>IF(B25="","",IF(C25&lt;='Config_v6'!$B$10,P25*B25/12,P25*(D25+11)/12*B25/(D25+B25)))</x:f>
      </x:c>
      <x:c r="R25" s="2" t="str">
        <x:f>IF(B25="","",IF(C25&lt;='Config_v6'!$B$10,Q25*B25/13,Q25*(D25+12)/13*B25/(D25+B25)))</x:f>
      </x:c>
      <x:c r="S25" s="2" t="str">
        <x:f>IF(B25="","",IF(C25&lt;='Config_v6'!$B$10,R25*B25/14,R25*(D25+13)/14*B25/(D25+B25)))</x:f>
      </x:c>
      <x:c r="T25" s="2" t="str">
        <x:f>IF(B25="","",IF(C25&lt;='Config_v6'!$B$10,S25*B25/15,S25*(D25+14)/15*B25/(D25+B25)))</x:f>
      </x:c>
      <x:c r="U25" s="2" t="str">
        <x:f>IF(B25="","",IF(C25&lt;='Config_v6'!$B$10,T25*B25/16,T25*(D25+15)/16*B25/(D25+B25)))</x:f>
      </x:c>
      <x:c r="V25" s="2" t="str">
        <x:f>IF(B25="","",IF(C25&lt;='Config_v6'!$B$10,U25*B25/17,U25*(D25+16)/17*B25/(D25+B25)))</x:f>
      </x:c>
      <x:c r="W25" s="2" t="str">
        <x:f>IF(B25="","",IF(C25&lt;='Config_v6'!$B$10,V25*B25/18,V25*(D25+17)/18*B25/(D25+B25)))</x:f>
      </x:c>
      <x:c r="X25" s="2" t="str">
        <x:f>IF(B25="","",MIN(1,SUM(E25:E25)))</x:f>
      </x:c>
      <x:c r="Y25" s="2" t="str">
        <x:f>IF(B25="","",MIN(1,SUM(E25:F25)))</x:f>
      </x:c>
      <x:c r="Z25" s="2" t="str">
        <x:f>IF(B25="","",MIN(1,SUM(E25:G25)))</x:f>
      </x:c>
      <x:c r="AA25" s="2" t="str">
        <x:f>IF(B25="","",MIN(1,SUM(E25:H25)))</x:f>
      </x:c>
      <x:c r="AB25" s="2" t="str">
        <x:f>IF(B25="","",MIN(1,SUM(E25:I25)))</x:f>
      </x:c>
      <x:c r="AC25" s="2" t="str">
        <x:f>IF(B25="","",MIN(1,SUM(E25:J25)))</x:f>
      </x:c>
      <x:c r="AD25" s="2" t="str">
        <x:f>IF(B25="","",MIN(1,SUM(E25:K25)))</x:f>
      </x:c>
      <x:c r="AE25" s="2" t="str">
        <x:f>IF(B25="","",MIN(1,SUM(E25:L25)))</x:f>
      </x:c>
      <x:c r="AF25" s="2" t="str">
        <x:f>IF(B25="","",MIN(1,SUM(E25:M25)))</x:f>
      </x:c>
      <x:c r="AG25" s="2" t="str">
        <x:f>IF(B25="","",MIN(1,SUM(E25:N25)))</x:f>
      </x:c>
      <x:c r="AH25" s="2" t="str">
        <x:f>IF(B25="","",MIN(1,SUM(E25:O25)))</x:f>
      </x:c>
      <x:c r="AI25" s="2" t="str">
        <x:f>IF(B25="","",MIN(1,SUM(E25:P25)))</x:f>
      </x:c>
      <x:c r="AJ25" s="2" t="str">
        <x:f>IF(B25="","",MIN(1,SUM(E25:Q25)))</x:f>
      </x:c>
      <x:c r="AK25" s="2" t="str">
        <x:f>IF(B25="","",MIN(1,SUM(E25:R25)))</x:f>
      </x:c>
      <x:c r="AL25" s="2" t="str">
        <x:f>IF(B25="","",MIN(1,SUM(E25:S25)))</x:f>
      </x:c>
      <x:c r="AM25" s="2" t="str">
        <x:f>IF(B25="","",MIN(1,SUM(E25:T25)))</x:f>
      </x:c>
      <x:c r="AN25" s="2" t="str">
        <x:f>IF(B25="","",MIN(1,SUM(E25:U25)))</x:f>
      </x:c>
      <x:c r="AO25" s="2" t="str">
        <x:f>IF(B25="","",MIN(1,SUM(E25:V25)))</x:f>
      </x:c>
      <x:c r="AP25" s="2" t="str">
        <x:f>IF(B25="","",MIN(1,SUM(E25:W25)))</x:f>
      </x:c>
    </x:row>
    <x:row r="26" ht="21" customHeight="1">
      <x:c r="A26" s="2" t="str">
        <x:f>IF('Motor_Meciuri'!A26="","",'Motor_Meciuri'!A26)</x:f>
      </x:c>
      <x:c r="B26" s="2" t="str">
        <x:f>IF('Motor_Meciuri'!I26&lt;&gt;"PASS","",'Motor_Meciuri'!BD26)</x:f>
      </x:c>
      <x:c r="C26" s="2" t="str">
        <x:f>IF(B26="","",'Motor_Meciuri'!AU26)</x:f>
      </x:c>
      <x:c r="D26" s="2" t="str">
        <x:f>IF(B26="","",'Motor_Meciuri'!AW26)</x:f>
      </x:c>
      <x:c r="E26" s="2" t="str">
        <x:f>IF(B26="","",IF(C26&lt;='Config_v6'!$B$10,EXP(-B26),(D26/(D26+B26))^D26))</x:f>
      </x:c>
      <x:c r="F26" s="2" t="str">
        <x:f>IF(B26="","",IF(C26&lt;='Config_v6'!$B$10,E26*B26/1,E26*(D26+0)/1*B26/(D26+B26)))</x:f>
      </x:c>
      <x:c r="G26" s="2" t="str">
        <x:f>IF(B26="","",IF(C26&lt;='Config_v6'!$B$10,F26*B26/2,F26*(D26+1)/2*B26/(D26+B26)))</x:f>
      </x:c>
      <x:c r="H26" s="2" t="str">
        <x:f>IF(B26="","",IF(C26&lt;='Config_v6'!$B$10,G26*B26/3,G26*(D26+2)/3*B26/(D26+B26)))</x:f>
      </x:c>
      <x:c r="I26" s="2" t="str">
        <x:f>IF(B26="","",IF(C26&lt;='Config_v6'!$B$10,H26*B26/4,H26*(D26+3)/4*B26/(D26+B26)))</x:f>
      </x:c>
      <x:c r="J26" s="2" t="str">
        <x:f>IF(B26="","",IF(C26&lt;='Config_v6'!$B$10,I26*B26/5,I26*(D26+4)/5*B26/(D26+B26)))</x:f>
      </x:c>
      <x:c r="K26" s="2" t="str">
        <x:f>IF(B26="","",IF(C26&lt;='Config_v6'!$B$10,J26*B26/6,J26*(D26+5)/6*B26/(D26+B26)))</x:f>
      </x:c>
      <x:c r="L26" s="2" t="str">
        <x:f>IF(B26="","",IF(C26&lt;='Config_v6'!$B$10,K26*B26/7,K26*(D26+6)/7*B26/(D26+B26)))</x:f>
      </x:c>
      <x:c r="M26" s="2" t="str">
        <x:f>IF(B26="","",IF(C26&lt;='Config_v6'!$B$10,L26*B26/8,L26*(D26+7)/8*B26/(D26+B26)))</x:f>
      </x:c>
      <x:c r="N26" s="2" t="str">
        <x:f>IF(B26="","",IF(C26&lt;='Config_v6'!$B$10,M26*B26/9,M26*(D26+8)/9*B26/(D26+B26)))</x:f>
      </x:c>
      <x:c r="O26" s="2" t="str">
        <x:f>IF(B26="","",IF(C26&lt;='Config_v6'!$B$10,N26*B26/10,N26*(D26+9)/10*B26/(D26+B26)))</x:f>
      </x:c>
      <x:c r="P26" s="2" t="str">
        <x:f>IF(B26="","",IF(C26&lt;='Config_v6'!$B$10,O26*B26/11,O26*(D26+10)/11*B26/(D26+B26)))</x:f>
      </x:c>
      <x:c r="Q26" s="2" t="str">
        <x:f>IF(B26="","",IF(C26&lt;='Config_v6'!$B$10,P26*B26/12,P26*(D26+11)/12*B26/(D26+B26)))</x:f>
      </x:c>
      <x:c r="R26" s="2" t="str">
        <x:f>IF(B26="","",IF(C26&lt;='Config_v6'!$B$10,Q26*B26/13,Q26*(D26+12)/13*B26/(D26+B26)))</x:f>
      </x:c>
      <x:c r="S26" s="2" t="str">
        <x:f>IF(B26="","",IF(C26&lt;='Config_v6'!$B$10,R26*B26/14,R26*(D26+13)/14*B26/(D26+B26)))</x:f>
      </x:c>
      <x:c r="T26" s="2" t="str">
        <x:f>IF(B26="","",IF(C26&lt;='Config_v6'!$B$10,S26*B26/15,S26*(D26+14)/15*B26/(D26+B26)))</x:f>
      </x:c>
      <x:c r="U26" s="2" t="str">
        <x:f>IF(B26="","",IF(C26&lt;='Config_v6'!$B$10,T26*B26/16,T26*(D26+15)/16*B26/(D26+B26)))</x:f>
      </x:c>
      <x:c r="V26" s="2" t="str">
        <x:f>IF(B26="","",IF(C26&lt;='Config_v6'!$B$10,U26*B26/17,U26*(D26+16)/17*B26/(D26+B26)))</x:f>
      </x:c>
      <x:c r="W26" s="2" t="str">
        <x:f>IF(B26="","",IF(C26&lt;='Config_v6'!$B$10,V26*B26/18,V26*(D26+17)/18*B26/(D26+B26)))</x:f>
      </x:c>
      <x:c r="X26" s="2" t="str">
        <x:f>IF(B26="","",MIN(1,SUM(E26:E26)))</x:f>
      </x:c>
      <x:c r="Y26" s="2" t="str">
        <x:f>IF(B26="","",MIN(1,SUM(E26:F26)))</x:f>
      </x:c>
      <x:c r="Z26" s="2" t="str">
        <x:f>IF(B26="","",MIN(1,SUM(E26:G26)))</x:f>
      </x:c>
      <x:c r="AA26" s="2" t="str">
        <x:f>IF(B26="","",MIN(1,SUM(E26:H26)))</x:f>
      </x:c>
      <x:c r="AB26" s="2" t="str">
        <x:f>IF(B26="","",MIN(1,SUM(E26:I26)))</x:f>
      </x:c>
      <x:c r="AC26" s="2" t="str">
        <x:f>IF(B26="","",MIN(1,SUM(E26:J26)))</x:f>
      </x:c>
      <x:c r="AD26" s="2" t="str">
        <x:f>IF(B26="","",MIN(1,SUM(E26:K26)))</x:f>
      </x:c>
      <x:c r="AE26" s="2" t="str">
        <x:f>IF(B26="","",MIN(1,SUM(E26:L26)))</x:f>
      </x:c>
      <x:c r="AF26" s="2" t="str">
        <x:f>IF(B26="","",MIN(1,SUM(E26:M26)))</x:f>
      </x:c>
      <x:c r="AG26" s="2" t="str">
        <x:f>IF(B26="","",MIN(1,SUM(E26:N26)))</x:f>
      </x:c>
      <x:c r="AH26" s="2" t="str">
        <x:f>IF(B26="","",MIN(1,SUM(E26:O26)))</x:f>
      </x:c>
      <x:c r="AI26" s="2" t="str">
        <x:f>IF(B26="","",MIN(1,SUM(E26:P26)))</x:f>
      </x:c>
      <x:c r="AJ26" s="2" t="str">
        <x:f>IF(B26="","",MIN(1,SUM(E26:Q26)))</x:f>
      </x:c>
      <x:c r="AK26" s="2" t="str">
        <x:f>IF(B26="","",MIN(1,SUM(E26:R26)))</x:f>
      </x:c>
      <x:c r="AL26" s="2" t="str">
        <x:f>IF(B26="","",MIN(1,SUM(E26:S26)))</x:f>
      </x:c>
      <x:c r="AM26" s="2" t="str">
        <x:f>IF(B26="","",MIN(1,SUM(E26:T26)))</x:f>
      </x:c>
      <x:c r="AN26" s="2" t="str">
        <x:f>IF(B26="","",MIN(1,SUM(E26:U26)))</x:f>
      </x:c>
      <x:c r="AO26" s="2" t="str">
        <x:f>IF(B26="","",MIN(1,SUM(E26:V26)))</x:f>
      </x:c>
      <x:c r="AP26" s="2" t="str">
        <x:f>IF(B26="","",MIN(1,SUM(E26:W26)))</x:f>
      </x:c>
    </x:row>
    <x:row r="27" ht="21" customHeight="1">
      <x:c r="A27" s="2" t="str">
        <x:f>IF('Motor_Meciuri'!A27="","",'Motor_Meciuri'!A27)</x:f>
      </x:c>
      <x:c r="B27" s="2" t="str">
        <x:f>IF('Motor_Meciuri'!I27&lt;&gt;"PASS","",'Motor_Meciuri'!BD27)</x:f>
      </x:c>
      <x:c r="C27" s="2" t="str">
        <x:f>IF(B27="","",'Motor_Meciuri'!AU27)</x:f>
      </x:c>
      <x:c r="D27" s="2" t="str">
        <x:f>IF(B27="","",'Motor_Meciuri'!AW27)</x:f>
      </x:c>
      <x:c r="E27" s="2" t="str">
        <x:f>IF(B27="","",IF(C27&lt;='Config_v6'!$B$10,EXP(-B27),(D27/(D27+B27))^D27))</x:f>
      </x:c>
      <x:c r="F27" s="2" t="str">
        <x:f>IF(B27="","",IF(C27&lt;='Config_v6'!$B$10,E27*B27/1,E27*(D27+0)/1*B27/(D27+B27)))</x:f>
      </x:c>
      <x:c r="G27" s="2" t="str">
        <x:f>IF(B27="","",IF(C27&lt;='Config_v6'!$B$10,F27*B27/2,F27*(D27+1)/2*B27/(D27+B27)))</x:f>
      </x:c>
      <x:c r="H27" s="2" t="str">
        <x:f>IF(B27="","",IF(C27&lt;='Config_v6'!$B$10,G27*B27/3,G27*(D27+2)/3*B27/(D27+B27)))</x:f>
      </x:c>
      <x:c r="I27" s="2" t="str">
        <x:f>IF(B27="","",IF(C27&lt;='Config_v6'!$B$10,H27*B27/4,H27*(D27+3)/4*B27/(D27+B27)))</x:f>
      </x:c>
      <x:c r="J27" s="2" t="str">
        <x:f>IF(B27="","",IF(C27&lt;='Config_v6'!$B$10,I27*B27/5,I27*(D27+4)/5*B27/(D27+B27)))</x:f>
      </x:c>
      <x:c r="K27" s="2" t="str">
        <x:f>IF(B27="","",IF(C27&lt;='Config_v6'!$B$10,J27*B27/6,J27*(D27+5)/6*B27/(D27+B27)))</x:f>
      </x:c>
      <x:c r="L27" s="2" t="str">
        <x:f>IF(B27="","",IF(C27&lt;='Config_v6'!$B$10,K27*B27/7,K27*(D27+6)/7*B27/(D27+B27)))</x:f>
      </x:c>
      <x:c r="M27" s="2" t="str">
        <x:f>IF(B27="","",IF(C27&lt;='Config_v6'!$B$10,L27*B27/8,L27*(D27+7)/8*B27/(D27+B27)))</x:f>
      </x:c>
      <x:c r="N27" s="2" t="str">
        <x:f>IF(B27="","",IF(C27&lt;='Config_v6'!$B$10,M27*B27/9,M27*(D27+8)/9*B27/(D27+B27)))</x:f>
      </x:c>
      <x:c r="O27" s="2" t="str">
        <x:f>IF(B27="","",IF(C27&lt;='Config_v6'!$B$10,N27*B27/10,N27*(D27+9)/10*B27/(D27+B27)))</x:f>
      </x:c>
      <x:c r="P27" s="2" t="str">
        <x:f>IF(B27="","",IF(C27&lt;='Config_v6'!$B$10,O27*B27/11,O27*(D27+10)/11*B27/(D27+B27)))</x:f>
      </x:c>
      <x:c r="Q27" s="2" t="str">
        <x:f>IF(B27="","",IF(C27&lt;='Config_v6'!$B$10,P27*B27/12,P27*(D27+11)/12*B27/(D27+B27)))</x:f>
      </x:c>
      <x:c r="R27" s="2" t="str">
        <x:f>IF(B27="","",IF(C27&lt;='Config_v6'!$B$10,Q27*B27/13,Q27*(D27+12)/13*B27/(D27+B27)))</x:f>
      </x:c>
      <x:c r="S27" s="2" t="str">
        <x:f>IF(B27="","",IF(C27&lt;='Config_v6'!$B$10,R27*B27/14,R27*(D27+13)/14*B27/(D27+B27)))</x:f>
      </x:c>
      <x:c r="T27" s="2" t="str">
        <x:f>IF(B27="","",IF(C27&lt;='Config_v6'!$B$10,S27*B27/15,S27*(D27+14)/15*B27/(D27+B27)))</x:f>
      </x:c>
      <x:c r="U27" s="2" t="str">
        <x:f>IF(B27="","",IF(C27&lt;='Config_v6'!$B$10,T27*B27/16,T27*(D27+15)/16*B27/(D27+B27)))</x:f>
      </x:c>
      <x:c r="V27" s="2" t="str">
        <x:f>IF(B27="","",IF(C27&lt;='Config_v6'!$B$10,U27*B27/17,U27*(D27+16)/17*B27/(D27+B27)))</x:f>
      </x:c>
      <x:c r="W27" s="2" t="str">
        <x:f>IF(B27="","",IF(C27&lt;='Config_v6'!$B$10,V27*B27/18,V27*(D27+17)/18*B27/(D27+B27)))</x:f>
      </x:c>
      <x:c r="X27" s="2" t="str">
        <x:f>IF(B27="","",MIN(1,SUM(E27:E27)))</x:f>
      </x:c>
      <x:c r="Y27" s="2" t="str">
        <x:f>IF(B27="","",MIN(1,SUM(E27:F27)))</x:f>
      </x:c>
      <x:c r="Z27" s="2" t="str">
        <x:f>IF(B27="","",MIN(1,SUM(E27:G27)))</x:f>
      </x:c>
      <x:c r="AA27" s="2" t="str">
        <x:f>IF(B27="","",MIN(1,SUM(E27:H27)))</x:f>
      </x:c>
      <x:c r="AB27" s="2" t="str">
        <x:f>IF(B27="","",MIN(1,SUM(E27:I27)))</x:f>
      </x:c>
      <x:c r="AC27" s="2" t="str">
        <x:f>IF(B27="","",MIN(1,SUM(E27:J27)))</x:f>
      </x:c>
      <x:c r="AD27" s="2" t="str">
        <x:f>IF(B27="","",MIN(1,SUM(E27:K27)))</x:f>
      </x:c>
      <x:c r="AE27" s="2" t="str">
        <x:f>IF(B27="","",MIN(1,SUM(E27:L27)))</x:f>
      </x:c>
      <x:c r="AF27" s="2" t="str">
        <x:f>IF(B27="","",MIN(1,SUM(E27:M27)))</x:f>
      </x:c>
      <x:c r="AG27" s="2" t="str">
        <x:f>IF(B27="","",MIN(1,SUM(E27:N27)))</x:f>
      </x:c>
      <x:c r="AH27" s="2" t="str">
        <x:f>IF(B27="","",MIN(1,SUM(E27:O27)))</x:f>
      </x:c>
      <x:c r="AI27" s="2" t="str">
        <x:f>IF(B27="","",MIN(1,SUM(E27:P27)))</x:f>
      </x:c>
      <x:c r="AJ27" s="2" t="str">
        <x:f>IF(B27="","",MIN(1,SUM(E27:Q27)))</x:f>
      </x:c>
      <x:c r="AK27" s="2" t="str">
        <x:f>IF(B27="","",MIN(1,SUM(E27:R27)))</x:f>
      </x:c>
      <x:c r="AL27" s="2" t="str">
        <x:f>IF(B27="","",MIN(1,SUM(E27:S27)))</x:f>
      </x:c>
      <x:c r="AM27" s="2" t="str">
        <x:f>IF(B27="","",MIN(1,SUM(E27:T27)))</x:f>
      </x:c>
      <x:c r="AN27" s="2" t="str">
        <x:f>IF(B27="","",MIN(1,SUM(E27:U27)))</x:f>
      </x:c>
      <x:c r="AO27" s="2" t="str">
        <x:f>IF(B27="","",MIN(1,SUM(E27:V27)))</x:f>
      </x:c>
      <x:c r="AP27" s="2" t="str">
        <x:f>IF(B27="","",MIN(1,SUM(E27:W27)))</x:f>
      </x:c>
    </x:row>
    <x:row r="28" ht="21" customHeight="1">
      <x:c r="A28" s="2" t="str">
        <x:f>IF('Motor_Meciuri'!A28="","",'Motor_Meciuri'!A28)</x:f>
      </x:c>
      <x:c r="B28" s="2" t="str">
        <x:f>IF('Motor_Meciuri'!I28&lt;&gt;"PASS","",'Motor_Meciuri'!BD28)</x:f>
      </x:c>
      <x:c r="C28" s="2" t="str">
        <x:f>IF(B28="","",'Motor_Meciuri'!AU28)</x:f>
      </x:c>
      <x:c r="D28" s="2" t="str">
        <x:f>IF(B28="","",'Motor_Meciuri'!AW28)</x:f>
      </x:c>
      <x:c r="E28" s="2" t="str">
        <x:f>IF(B28="","",IF(C28&lt;='Config_v6'!$B$10,EXP(-B28),(D28/(D28+B28))^D28))</x:f>
      </x:c>
      <x:c r="F28" s="2" t="str">
        <x:f>IF(B28="","",IF(C28&lt;='Config_v6'!$B$10,E28*B28/1,E28*(D28+0)/1*B28/(D28+B28)))</x:f>
      </x:c>
      <x:c r="G28" s="2" t="str">
        <x:f>IF(B28="","",IF(C28&lt;='Config_v6'!$B$10,F28*B28/2,F28*(D28+1)/2*B28/(D28+B28)))</x:f>
      </x:c>
      <x:c r="H28" s="2" t="str">
        <x:f>IF(B28="","",IF(C28&lt;='Config_v6'!$B$10,G28*B28/3,G28*(D28+2)/3*B28/(D28+B28)))</x:f>
      </x:c>
      <x:c r="I28" s="2" t="str">
        <x:f>IF(B28="","",IF(C28&lt;='Config_v6'!$B$10,H28*B28/4,H28*(D28+3)/4*B28/(D28+B28)))</x:f>
      </x:c>
      <x:c r="J28" s="2" t="str">
        <x:f>IF(B28="","",IF(C28&lt;='Config_v6'!$B$10,I28*B28/5,I28*(D28+4)/5*B28/(D28+B28)))</x:f>
      </x:c>
      <x:c r="K28" s="2" t="str">
        <x:f>IF(B28="","",IF(C28&lt;='Config_v6'!$B$10,J28*B28/6,J28*(D28+5)/6*B28/(D28+B28)))</x:f>
      </x:c>
      <x:c r="L28" s="2" t="str">
        <x:f>IF(B28="","",IF(C28&lt;='Config_v6'!$B$10,K28*B28/7,K28*(D28+6)/7*B28/(D28+B28)))</x:f>
      </x:c>
      <x:c r="M28" s="2" t="str">
        <x:f>IF(B28="","",IF(C28&lt;='Config_v6'!$B$10,L28*B28/8,L28*(D28+7)/8*B28/(D28+B28)))</x:f>
      </x:c>
      <x:c r="N28" s="2" t="str">
        <x:f>IF(B28="","",IF(C28&lt;='Config_v6'!$B$10,M28*B28/9,M28*(D28+8)/9*B28/(D28+B28)))</x:f>
      </x:c>
      <x:c r="O28" s="2" t="str">
        <x:f>IF(B28="","",IF(C28&lt;='Config_v6'!$B$10,N28*B28/10,N28*(D28+9)/10*B28/(D28+B28)))</x:f>
      </x:c>
      <x:c r="P28" s="2" t="str">
        <x:f>IF(B28="","",IF(C28&lt;='Config_v6'!$B$10,O28*B28/11,O28*(D28+10)/11*B28/(D28+B28)))</x:f>
      </x:c>
      <x:c r="Q28" s="2" t="str">
        <x:f>IF(B28="","",IF(C28&lt;='Config_v6'!$B$10,P28*B28/12,P28*(D28+11)/12*B28/(D28+B28)))</x:f>
      </x:c>
      <x:c r="R28" s="2" t="str">
        <x:f>IF(B28="","",IF(C28&lt;='Config_v6'!$B$10,Q28*B28/13,Q28*(D28+12)/13*B28/(D28+B28)))</x:f>
      </x:c>
      <x:c r="S28" s="2" t="str">
        <x:f>IF(B28="","",IF(C28&lt;='Config_v6'!$B$10,R28*B28/14,R28*(D28+13)/14*B28/(D28+B28)))</x:f>
      </x:c>
      <x:c r="T28" s="2" t="str">
        <x:f>IF(B28="","",IF(C28&lt;='Config_v6'!$B$10,S28*B28/15,S28*(D28+14)/15*B28/(D28+B28)))</x:f>
      </x:c>
      <x:c r="U28" s="2" t="str">
        <x:f>IF(B28="","",IF(C28&lt;='Config_v6'!$B$10,T28*B28/16,T28*(D28+15)/16*B28/(D28+B28)))</x:f>
      </x:c>
      <x:c r="V28" s="2" t="str">
        <x:f>IF(B28="","",IF(C28&lt;='Config_v6'!$B$10,U28*B28/17,U28*(D28+16)/17*B28/(D28+B28)))</x:f>
      </x:c>
      <x:c r="W28" s="2" t="str">
        <x:f>IF(B28="","",IF(C28&lt;='Config_v6'!$B$10,V28*B28/18,V28*(D28+17)/18*B28/(D28+B28)))</x:f>
      </x:c>
      <x:c r="X28" s="2" t="str">
        <x:f>IF(B28="","",MIN(1,SUM(E28:E28)))</x:f>
      </x:c>
      <x:c r="Y28" s="2" t="str">
        <x:f>IF(B28="","",MIN(1,SUM(E28:F28)))</x:f>
      </x:c>
      <x:c r="Z28" s="2" t="str">
        <x:f>IF(B28="","",MIN(1,SUM(E28:G28)))</x:f>
      </x:c>
      <x:c r="AA28" s="2" t="str">
        <x:f>IF(B28="","",MIN(1,SUM(E28:H28)))</x:f>
      </x:c>
      <x:c r="AB28" s="2" t="str">
        <x:f>IF(B28="","",MIN(1,SUM(E28:I28)))</x:f>
      </x:c>
      <x:c r="AC28" s="2" t="str">
        <x:f>IF(B28="","",MIN(1,SUM(E28:J28)))</x:f>
      </x:c>
      <x:c r="AD28" s="2" t="str">
        <x:f>IF(B28="","",MIN(1,SUM(E28:K28)))</x:f>
      </x:c>
      <x:c r="AE28" s="2" t="str">
        <x:f>IF(B28="","",MIN(1,SUM(E28:L28)))</x:f>
      </x:c>
      <x:c r="AF28" s="2" t="str">
        <x:f>IF(B28="","",MIN(1,SUM(E28:M28)))</x:f>
      </x:c>
      <x:c r="AG28" s="2" t="str">
        <x:f>IF(B28="","",MIN(1,SUM(E28:N28)))</x:f>
      </x:c>
      <x:c r="AH28" s="2" t="str">
        <x:f>IF(B28="","",MIN(1,SUM(E28:O28)))</x:f>
      </x:c>
      <x:c r="AI28" s="2" t="str">
        <x:f>IF(B28="","",MIN(1,SUM(E28:P28)))</x:f>
      </x:c>
      <x:c r="AJ28" s="2" t="str">
        <x:f>IF(B28="","",MIN(1,SUM(E28:Q28)))</x:f>
      </x:c>
      <x:c r="AK28" s="2" t="str">
        <x:f>IF(B28="","",MIN(1,SUM(E28:R28)))</x:f>
      </x:c>
      <x:c r="AL28" s="2" t="str">
        <x:f>IF(B28="","",MIN(1,SUM(E28:S28)))</x:f>
      </x:c>
      <x:c r="AM28" s="2" t="str">
        <x:f>IF(B28="","",MIN(1,SUM(E28:T28)))</x:f>
      </x:c>
      <x:c r="AN28" s="2" t="str">
        <x:f>IF(B28="","",MIN(1,SUM(E28:U28)))</x:f>
      </x:c>
      <x:c r="AO28" s="2" t="str">
        <x:f>IF(B28="","",MIN(1,SUM(E28:V28)))</x:f>
      </x:c>
      <x:c r="AP28" s="2" t="str">
        <x:f>IF(B28="","",MIN(1,SUM(E28:W28)))</x:f>
      </x:c>
    </x:row>
    <x:row r="29" ht="21" customHeight="1">
      <x:c r="A29" s="2" t="str">
        <x:f>IF('Motor_Meciuri'!A29="","",'Motor_Meciuri'!A29)</x:f>
      </x:c>
      <x:c r="B29" s="2" t="str">
        <x:f>IF('Motor_Meciuri'!I29&lt;&gt;"PASS","",'Motor_Meciuri'!BD29)</x:f>
      </x:c>
      <x:c r="C29" s="2" t="str">
        <x:f>IF(B29="","",'Motor_Meciuri'!AU29)</x:f>
      </x:c>
      <x:c r="D29" s="2" t="str">
        <x:f>IF(B29="","",'Motor_Meciuri'!AW29)</x:f>
      </x:c>
      <x:c r="E29" s="2" t="str">
        <x:f>IF(B29="","",IF(C29&lt;='Config_v6'!$B$10,EXP(-B29),(D29/(D29+B29))^D29))</x:f>
      </x:c>
      <x:c r="F29" s="2" t="str">
        <x:f>IF(B29="","",IF(C29&lt;='Config_v6'!$B$10,E29*B29/1,E29*(D29+0)/1*B29/(D29+B29)))</x:f>
      </x:c>
      <x:c r="G29" s="2" t="str">
        <x:f>IF(B29="","",IF(C29&lt;='Config_v6'!$B$10,F29*B29/2,F29*(D29+1)/2*B29/(D29+B29)))</x:f>
      </x:c>
      <x:c r="H29" s="2" t="str">
        <x:f>IF(B29="","",IF(C29&lt;='Config_v6'!$B$10,G29*B29/3,G29*(D29+2)/3*B29/(D29+B29)))</x:f>
      </x:c>
      <x:c r="I29" s="2" t="str">
        <x:f>IF(B29="","",IF(C29&lt;='Config_v6'!$B$10,H29*B29/4,H29*(D29+3)/4*B29/(D29+B29)))</x:f>
      </x:c>
      <x:c r="J29" s="2" t="str">
        <x:f>IF(B29="","",IF(C29&lt;='Config_v6'!$B$10,I29*B29/5,I29*(D29+4)/5*B29/(D29+B29)))</x:f>
      </x:c>
      <x:c r="K29" s="2" t="str">
        <x:f>IF(B29="","",IF(C29&lt;='Config_v6'!$B$10,J29*B29/6,J29*(D29+5)/6*B29/(D29+B29)))</x:f>
      </x:c>
      <x:c r="L29" s="2" t="str">
        <x:f>IF(B29="","",IF(C29&lt;='Config_v6'!$B$10,K29*B29/7,K29*(D29+6)/7*B29/(D29+B29)))</x:f>
      </x:c>
      <x:c r="M29" s="2" t="str">
        <x:f>IF(B29="","",IF(C29&lt;='Config_v6'!$B$10,L29*B29/8,L29*(D29+7)/8*B29/(D29+B29)))</x:f>
      </x:c>
      <x:c r="N29" s="2" t="str">
        <x:f>IF(B29="","",IF(C29&lt;='Config_v6'!$B$10,M29*B29/9,M29*(D29+8)/9*B29/(D29+B29)))</x:f>
      </x:c>
      <x:c r="O29" s="2" t="str">
        <x:f>IF(B29="","",IF(C29&lt;='Config_v6'!$B$10,N29*B29/10,N29*(D29+9)/10*B29/(D29+B29)))</x:f>
      </x:c>
      <x:c r="P29" s="2" t="str">
        <x:f>IF(B29="","",IF(C29&lt;='Config_v6'!$B$10,O29*B29/11,O29*(D29+10)/11*B29/(D29+B29)))</x:f>
      </x:c>
      <x:c r="Q29" s="2" t="str">
        <x:f>IF(B29="","",IF(C29&lt;='Config_v6'!$B$10,P29*B29/12,P29*(D29+11)/12*B29/(D29+B29)))</x:f>
      </x:c>
      <x:c r="R29" s="2" t="str">
        <x:f>IF(B29="","",IF(C29&lt;='Config_v6'!$B$10,Q29*B29/13,Q29*(D29+12)/13*B29/(D29+B29)))</x:f>
      </x:c>
      <x:c r="S29" s="2" t="str">
        <x:f>IF(B29="","",IF(C29&lt;='Config_v6'!$B$10,R29*B29/14,R29*(D29+13)/14*B29/(D29+B29)))</x:f>
      </x:c>
      <x:c r="T29" s="2" t="str">
        <x:f>IF(B29="","",IF(C29&lt;='Config_v6'!$B$10,S29*B29/15,S29*(D29+14)/15*B29/(D29+B29)))</x:f>
      </x:c>
      <x:c r="U29" s="2" t="str">
        <x:f>IF(B29="","",IF(C29&lt;='Config_v6'!$B$10,T29*B29/16,T29*(D29+15)/16*B29/(D29+B29)))</x:f>
      </x:c>
      <x:c r="V29" s="2" t="str">
        <x:f>IF(B29="","",IF(C29&lt;='Config_v6'!$B$10,U29*B29/17,U29*(D29+16)/17*B29/(D29+B29)))</x:f>
      </x:c>
      <x:c r="W29" s="2" t="str">
        <x:f>IF(B29="","",IF(C29&lt;='Config_v6'!$B$10,V29*B29/18,V29*(D29+17)/18*B29/(D29+B29)))</x:f>
      </x:c>
      <x:c r="X29" s="2" t="str">
        <x:f>IF(B29="","",MIN(1,SUM(E29:E29)))</x:f>
      </x:c>
      <x:c r="Y29" s="2" t="str">
        <x:f>IF(B29="","",MIN(1,SUM(E29:F29)))</x:f>
      </x:c>
      <x:c r="Z29" s="2" t="str">
        <x:f>IF(B29="","",MIN(1,SUM(E29:G29)))</x:f>
      </x:c>
      <x:c r="AA29" s="2" t="str">
        <x:f>IF(B29="","",MIN(1,SUM(E29:H29)))</x:f>
      </x:c>
      <x:c r="AB29" s="2" t="str">
        <x:f>IF(B29="","",MIN(1,SUM(E29:I29)))</x:f>
      </x:c>
      <x:c r="AC29" s="2" t="str">
        <x:f>IF(B29="","",MIN(1,SUM(E29:J29)))</x:f>
      </x:c>
      <x:c r="AD29" s="2" t="str">
        <x:f>IF(B29="","",MIN(1,SUM(E29:K29)))</x:f>
      </x:c>
      <x:c r="AE29" s="2" t="str">
        <x:f>IF(B29="","",MIN(1,SUM(E29:L29)))</x:f>
      </x:c>
      <x:c r="AF29" s="2" t="str">
        <x:f>IF(B29="","",MIN(1,SUM(E29:M29)))</x:f>
      </x:c>
      <x:c r="AG29" s="2" t="str">
        <x:f>IF(B29="","",MIN(1,SUM(E29:N29)))</x:f>
      </x:c>
      <x:c r="AH29" s="2" t="str">
        <x:f>IF(B29="","",MIN(1,SUM(E29:O29)))</x:f>
      </x:c>
      <x:c r="AI29" s="2" t="str">
        <x:f>IF(B29="","",MIN(1,SUM(E29:P29)))</x:f>
      </x:c>
      <x:c r="AJ29" s="2" t="str">
        <x:f>IF(B29="","",MIN(1,SUM(E29:Q29)))</x:f>
      </x:c>
      <x:c r="AK29" s="2" t="str">
        <x:f>IF(B29="","",MIN(1,SUM(E29:R29)))</x:f>
      </x:c>
      <x:c r="AL29" s="2" t="str">
        <x:f>IF(B29="","",MIN(1,SUM(E29:S29)))</x:f>
      </x:c>
      <x:c r="AM29" s="2" t="str">
        <x:f>IF(B29="","",MIN(1,SUM(E29:T29)))</x:f>
      </x:c>
      <x:c r="AN29" s="2" t="str">
        <x:f>IF(B29="","",MIN(1,SUM(E29:U29)))</x:f>
      </x:c>
      <x:c r="AO29" s="2" t="str">
        <x:f>IF(B29="","",MIN(1,SUM(E29:V29)))</x:f>
      </x:c>
      <x:c r="AP29" s="2" t="str">
        <x:f>IF(B29="","",MIN(1,SUM(E29:W29)))</x:f>
      </x:c>
    </x:row>
    <x:row r="30" ht="21" customHeight="1">
      <x:c r="A30" s="2" t="str">
        <x:f>IF('Motor_Meciuri'!A30="","",'Motor_Meciuri'!A30)</x:f>
      </x:c>
      <x:c r="B30" s="2" t="str">
        <x:f>IF('Motor_Meciuri'!I30&lt;&gt;"PASS","",'Motor_Meciuri'!BD30)</x:f>
      </x:c>
      <x:c r="C30" s="2" t="str">
        <x:f>IF(B30="","",'Motor_Meciuri'!AU30)</x:f>
      </x:c>
      <x:c r="D30" s="2" t="str">
        <x:f>IF(B30="","",'Motor_Meciuri'!AW30)</x:f>
      </x:c>
      <x:c r="E30" s="2" t="str">
        <x:f>IF(B30="","",IF(C30&lt;='Config_v6'!$B$10,EXP(-B30),(D30/(D30+B30))^D30))</x:f>
      </x:c>
      <x:c r="F30" s="2" t="str">
        <x:f>IF(B30="","",IF(C30&lt;='Config_v6'!$B$10,E30*B30/1,E30*(D30+0)/1*B30/(D30+B30)))</x:f>
      </x:c>
      <x:c r="G30" s="2" t="str">
        <x:f>IF(B30="","",IF(C30&lt;='Config_v6'!$B$10,F30*B30/2,F30*(D30+1)/2*B30/(D30+B30)))</x:f>
      </x:c>
      <x:c r="H30" s="2" t="str">
        <x:f>IF(B30="","",IF(C30&lt;='Config_v6'!$B$10,G30*B30/3,G30*(D30+2)/3*B30/(D30+B30)))</x:f>
      </x:c>
      <x:c r="I30" s="2" t="str">
        <x:f>IF(B30="","",IF(C30&lt;='Config_v6'!$B$10,H30*B30/4,H30*(D30+3)/4*B30/(D30+B30)))</x:f>
      </x:c>
      <x:c r="J30" s="2" t="str">
        <x:f>IF(B30="","",IF(C30&lt;='Config_v6'!$B$10,I30*B30/5,I30*(D30+4)/5*B30/(D30+B30)))</x:f>
      </x:c>
      <x:c r="K30" s="2" t="str">
        <x:f>IF(B30="","",IF(C30&lt;='Config_v6'!$B$10,J30*B30/6,J30*(D30+5)/6*B30/(D30+B30)))</x:f>
      </x:c>
      <x:c r="L30" s="2" t="str">
        <x:f>IF(B30="","",IF(C30&lt;='Config_v6'!$B$10,K30*B30/7,K30*(D30+6)/7*B30/(D30+B30)))</x:f>
      </x:c>
      <x:c r="M30" s="2" t="str">
        <x:f>IF(B30="","",IF(C30&lt;='Config_v6'!$B$10,L30*B30/8,L30*(D30+7)/8*B30/(D30+B30)))</x:f>
      </x:c>
      <x:c r="N30" s="2" t="str">
        <x:f>IF(B30="","",IF(C30&lt;='Config_v6'!$B$10,M30*B30/9,M30*(D30+8)/9*B30/(D30+B30)))</x:f>
      </x:c>
      <x:c r="O30" s="2" t="str">
        <x:f>IF(B30="","",IF(C30&lt;='Config_v6'!$B$10,N30*B30/10,N30*(D30+9)/10*B30/(D30+B30)))</x:f>
      </x:c>
      <x:c r="P30" s="2" t="str">
        <x:f>IF(B30="","",IF(C30&lt;='Config_v6'!$B$10,O30*B30/11,O30*(D30+10)/11*B30/(D30+B30)))</x:f>
      </x:c>
      <x:c r="Q30" s="2" t="str">
        <x:f>IF(B30="","",IF(C30&lt;='Config_v6'!$B$10,P30*B30/12,P30*(D30+11)/12*B30/(D30+B30)))</x:f>
      </x:c>
      <x:c r="R30" s="2" t="str">
        <x:f>IF(B30="","",IF(C30&lt;='Config_v6'!$B$10,Q30*B30/13,Q30*(D30+12)/13*B30/(D30+B30)))</x:f>
      </x:c>
      <x:c r="S30" s="2" t="str">
        <x:f>IF(B30="","",IF(C30&lt;='Config_v6'!$B$10,R30*B30/14,R30*(D30+13)/14*B30/(D30+B30)))</x:f>
      </x:c>
      <x:c r="T30" s="2" t="str">
        <x:f>IF(B30="","",IF(C30&lt;='Config_v6'!$B$10,S30*B30/15,S30*(D30+14)/15*B30/(D30+B30)))</x:f>
      </x:c>
      <x:c r="U30" s="2" t="str">
        <x:f>IF(B30="","",IF(C30&lt;='Config_v6'!$B$10,T30*B30/16,T30*(D30+15)/16*B30/(D30+B30)))</x:f>
      </x:c>
      <x:c r="V30" s="2" t="str">
        <x:f>IF(B30="","",IF(C30&lt;='Config_v6'!$B$10,U30*B30/17,U30*(D30+16)/17*B30/(D30+B30)))</x:f>
      </x:c>
      <x:c r="W30" s="2" t="str">
        <x:f>IF(B30="","",IF(C30&lt;='Config_v6'!$B$10,V30*B30/18,V30*(D30+17)/18*B30/(D30+B30)))</x:f>
      </x:c>
      <x:c r="X30" s="2" t="str">
        <x:f>IF(B30="","",MIN(1,SUM(E30:E30)))</x:f>
      </x:c>
      <x:c r="Y30" s="2" t="str">
        <x:f>IF(B30="","",MIN(1,SUM(E30:F30)))</x:f>
      </x:c>
      <x:c r="Z30" s="2" t="str">
        <x:f>IF(B30="","",MIN(1,SUM(E30:G30)))</x:f>
      </x:c>
      <x:c r="AA30" s="2" t="str">
        <x:f>IF(B30="","",MIN(1,SUM(E30:H30)))</x:f>
      </x:c>
      <x:c r="AB30" s="2" t="str">
        <x:f>IF(B30="","",MIN(1,SUM(E30:I30)))</x:f>
      </x:c>
      <x:c r="AC30" s="2" t="str">
        <x:f>IF(B30="","",MIN(1,SUM(E30:J30)))</x:f>
      </x:c>
      <x:c r="AD30" s="2" t="str">
        <x:f>IF(B30="","",MIN(1,SUM(E30:K30)))</x:f>
      </x:c>
      <x:c r="AE30" s="2" t="str">
        <x:f>IF(B30="","",MIN(1,SUM(E30:L30)))</x:f>
      </x:c>
      <x:c r="AF30" s="2" t="str">
        <x:f>IF(B30="","",MIN(1,SUM(E30:M30)))</x:f>
      </x:c>
      <x:c r="AG30" s="2" t="str">
        <x:f>IF(B30="","",MIN(1,SUM(E30:N30)))</x:f>
      </x:c>
      <x:c r="AH30" s="2" t="str">
        <x:f>IF(B30="","",MIN(1,SUM(E30:O30)))</x:f>
      </x:c>
      <x:c r="AI30" s="2" t="str">
        <x:f>IF(B30="","",MIN(1,SUM(E30:P30)))</x:f>
      </x:c>
      <x:c r="AJ30" s="2" t="str">
        <x:f>IF(B30="","",MIN(1,SUM(E30:Q30)))</x:f>
      </x:c>
      <x:c r="AK30" s="2" t="str">
        <x:f>IF(B30="","",MIN(1,SUM(E30:R30)))</x:f>
      </x:c>
      <x:c r="AL30" s="2" t="str">
        <x:f>IF(B30="","",MIN(1,SUM(E30:S30)))</x:f>
      </x:c>
      <x:c r="AM30" s="2" t="str">
        <x:f>IF(B30="","",MIN(1,SUM(E30:T30)))</x:f>
      </x:c>
      <x:c r="AN30" s="2" t="str">
        <x:f>IF(B30="","",MIN(1,SUM(E30:U30)))</x:f>
      </x:c>
      <x:c r="AO30" s="2" t="str">
        <x:f>IF(B30="","",MIN(1,SUM(E30:V30)))</x:f>
      </x:c>
      <x:c r="AP30" s="2" t="str">
        <x:f>IF(B30="","",MIN(1,SUM(E30:W30)))</x:f>
      </x:c>
    </x:row>
    <x:row r="31" ht="21" customHeight="1">
      <x:c r="A31" s="2" t="str">
        <x:f>IF('Motor_Meciuri'!A31="","",'Motor_Meciuri'!A31)</x:f>
      </x:c>
      <x:c r="B31" s="2" t="str">
        <x:f>IF('Motor_Meciuri'!I31&lt;&gt;"PASS","",'Motor_Meciuri'!BD31)</x:f>
      </x:c>
      <x:c r="C31" s="2" t="str">
        <x:f>IF(B31="","",'Motor_Meciuri'!AU31)</x:f>
      </x:c>
      <x:c r="D31" s="2" t="str">
        <x:f>IF(B31="","",'Motor_Meciuri'!AW31)</x:f>
      </x:c>
      <x:c r="E31" s="2" t="str">
        <x:f>IF(B31="","",IF(C31&lt;='Config_v6'!$B$10,EXP(-B31),(D31/(D31+B31))^D31))</x:f>
      </x:c>
      <x:c r="F31" s="2" t="str">
        <x:f>IF(B31="","",IF(C31&lt;='Config_v6'!$B$10,E31*B31/1,E31*(D31+0)/1*B31/(D31+B31)))</x:f>
      </x:c>
      <x:c r="G31" s="2" t="str">
        <x:f>IF(B31="","",IF(C31&lt;='Config_v6'!$B$10,F31*B31/2,F31*(D31+1)/2*B31/(D31+B31)))</x:f>
      </x:c>
      <x:c r="H31" s="2" t="str">
        <x:f>IF(B31="","",IF(C31&lt;='Config_v6'!$B$10,G31*B31/3,G31*(D31+2)/3*B31/(D31+B31)))</x:f>
      </x:c>
      <x:c r="I31" s="2" t="str">
        <x:f>IF(B31="","",IF(C31&lt;='Config_v6'!$B$10,H31*B31/4,H31*(D31+3)/4*B31/(D31+B31)))</x:f>
      </x:c>
      <x:c r="J31" s="2" t="str">
        <x:f>IF(B31="","",IF(C31&lt;='Config_v6'!$B$10,I31*B31/5,I31*(D31+4)/5*B31/(D31+B31)))</x:f>
      </x:c>
      <x:c r="K31" s="2" t="str">
        <x:f>IF(B31="","",IF(C31&lt;='Config_v6'!$B$10,J31*B31/6,J31*(D31+5)/6*B31/(D31+B31)))</x:f>
      </x:c>
      <x:c r="L31" s="2" t="str">
        <x:f>IF(B31="","",IF(C31&lt;='Config_v6'!$B$10,K31*B31/7,K31*(D31+6)/7*B31/(D31+B31)))</x:f>
      </x:c>
      <x:c r="M31" s="2" t="str">
        <x:f>IF(B31="","",IF(C31&lt;='Config_v6'!$B$10,L31*B31/8,L31*(D31+7)/8*B31/(D31+B31)))</x:f>
      </x:c>
      <x:c r="N31" s="2" t="str">
        <x:f>IF(B31="","",IF(C31&lt;='Config_v6'!$B$10,M31*B31/9,M31*(D31+8)/9*B31/(D31+B31)))</x:f>
      </x:c>
      <x:c r="O31" s="2" t="str">
        <x:f>IF(B31="","",IF(C31&lt;='Config_v6'!$B$10,N31*B31/10,N31*(D31+9)/10*B31/(D31+B31)))</x:f>
      </x:c>
      <x:c r="P31" s="2" t="str">
        <x:f>IF(B31="","",IF(C31&lt;='Config_v6'!$B$10,O31*B31/11,O31*(D31+10)/11*B31/(D31+B31)))</x:f>
      </x:c>
      <x:c r="Q31" s="2" t="str">
        <x:f>IF(B31="","",IF(C31&lt;='Config_v6'!$B$10,P31*B31/12,P31*(D31+11)/12*B31/(D31+B31)))</x:f>
      </x:c>
      <x:c r="R31" s="2" t="str">
        <x:f>IF(B31="","",IF(C31&lt;='Config_v6'!$B$10,Q31*B31/13,Q31*(D31+12)/13*B31/(D31+B31)))</x:f>
      </x:c>
      <x:c r="S31" s="2" t="str">
        <x:f>IF(B31="","",IF(C31&lt;='Config_v6'!$B$10,R31*B31/14,R31*(D31+13)/14*B31/(D31+B31)))</x:f>
      </x:c>
      <x:c r="T31" s="2" t="str">
        <x:f>IF(B31="","",IF(C31&lt;='Config_v6'!$B$10,S31*B31/15,S31*(D31+14)/15*B31/(D31+B31)))</x:f>
      </x:c>
      <x:c r="U31" s="2" t="str">
        <x:f>IF(B31="","",IF(C31&lt;='Config_v6'!$B$10,T31*B31/16,T31*(D31+15)/16*B31/(D31+B31)))</x:f>
      </x:c>
      <x:c r="V31" s="2" t="str">
        <x:f>IF(B31="","",IF(C31&lt;='Config_v6'!$B$10,U31*B31/17,U31*(D31+16)/17*B31/(D31+B31)))</x:f>
      </x:c>
      <x:c r="W31" s="2" t="str">
        <x:f>IF(B31="","",IF(C31&lt;='Config_v6'!$B$10,V31*B31/18,V31*(D31+17)/18*B31/(D31+B31)))</x:f>
      </x:c>
      <x:c r="X31" s="2" t="str">
        <x:f>IF(B31="","",MIN(1,SUM(E31:E31)))</x:f>
      </x:c>
      <x:c r="Y31" s="2" t="str">
        <x:f>IF(B31="","",MIN(1,SUM(E31:F31)))</x:f>
      </x:c>
      <x:c r="Z31" s="2" t="str">
        <x:f>IF(B31="","",MIN(1,SUM(E31:G31)))</x:f>
      </x:c>
      <x:c r="AA31" s="2" t="str">
        <x:f>IF(B31="","",MIN(1,SUM(E31:H31)))</x:f>
      </x:c>
      <x:c r="AB31" s="2" t="str">
        <x:f>IF(B31="","",MIN(1,SUM(E31:I31)))</x:f>
      </x:c>
      <x:c r="AC31" s="2" t="str">
        <x:f>IF(B31="","",MIN(1,SUM(E31:J31)))</x:f>
      </x:c>
      <x:c r="AD31" s="2" t="str">
        <x:f>IF(B31="","",MIN(1,SUM(E31:K31)))</x:f>
      </x:c>
      <x:c r="AE31" s="2" t="str">
        <x:f>IF(B31="","",MIN(1,SUM(E31:L31)))</x:f>
      </x:c>
      <x:c r="AF31" s="2" t="str">
        <x:f>IF(B31="","",MIN(1,SUM(E31:M31)))</x:f>
      </x:c>
      <x:c r="AG31" s="2" t="str">
        <x:f>IF(B31="","",MIN(1,SUM(E31:N31)))</x:f>
      </x:c>
      <x:c r="AH31" s="2" t="str">
        <x:f>IF(B31="","",MIN(1,SUM(E31:O31)))</x:f>
      </x:c>
      <x:c r="AI31" s="2" t="str">
        <x:f>IF(B31="","",MIN(1,SUM(E31:P31)))</x:f>
      </x:c>
      <x:c r="AJ31" s="2" t="str">
        <x:f>IF(B31="","",MIN(1,SUM(E31:Q31)))</x:f>
      </x:c>
      <x:c r="AK31" s="2" t="str">
        <x:f>IF(B31="","",MIN(1,SUM(E31:R31)))</x:f>
      </x:c>
      <x:c r="AL31" s="2" t="str">
        <x:f>IF(B31="","",MIN(1,SUM(E31:S31)))</x:f>
      </x:c>
      <x:c r="AM31" s="2" t="str">
        <x:f>IF(B31="","",MIN(1,SUM(E31:T31)))</x:f>
      </x:c>
      <x:c r="AN31" s="2" t="str">
        <x:f>IF(B31="","",MIN(1,SUM(E31:U31)))</x:f>
      </x:c>
      <x:c r="AO31" s="2" t="str">
        <x:f>IF(B31="","",MIN(1,SUM(E31:V31)))</x:f>
      </x:c>
      <x:c r="AP31" s="2" t="str">
        <x:f>IF(B31="","",MIN(1,SUM(E31:W31)))</x:f>
      </x:c>
    </x:row>
    <x:row r="32" ht="21" customHeight="1">
      <x:c r="A32" s="2" t="str">
        <x:f>IF('Motor_Meciuri'!A32="","",'Motor_Meciuri'!A32)</x:f>
      </x:c>
      <x:c r="B32" s="2" t="str">
        <x:f>IF('Motor_Meciuri'!I32&lt;&gt;"PASS","",'Motor_Meciuri'!BD32)</x:f>
      </x:c>
      <x:c r="C32" s="2" t="str">
        <x:f>IF(B32="","",'Motor_Meciuri'!AU32)</x:f>
      </x:c>
      <x:c r="D32" s="2" t="str">
        <x:f>IF(B32="","",'Motor_Meciuri'!AW32)</x:f>
      </x:c>
      <x:c r="E32" s="2" t="str">
        <x:f>IF(B32="","",IF(C32&lt;='Config_v6'!$B$10,EXP(-B32),(D32/(D32+B32))^D32))</x:f>
      </x:c>
      <x:c r="F32" s="2" t="str">
        <x:f>IF(B32="","",IF(C32&lt;='Config_v6'!$B$10,E32*B32/1,E32*(D32+0)/1*B32/(D32+B32)))</x:f>
      </x:c>
      <x:c r="G32" s="2" t="str">
        <x:f>IF(B32="","",IF(C32&lt;='Config_v6'!$B$10,F32*B32/2,F32*(D32+1)/2*B32/(D32+B32)))</x:f>
      </x:c>
      <x:c r="H32" s="2" t="str">
        <x:f>IF(B32="","",IF(C32&lt;='Config_v6'!$B$10,G32*B32/3,G32*(D32+2)/3*B32/(D32+B32)))</x:f>
      </x:c>
      <x:c r="I32" s="2" t="str">
        <x:f>IF(B32="","",IF(C32&lt;='Config_v6'!$B$10,H32*B32/4,H32*(D32+3)/4*B32/(D32+B32)))</x:f>
      </x:c>
      <x:c r="J32" s="2" t="str">
        <x:f>IF(B32="","",IF(C32&lt;='Config_v6'!$B$10,I32*B32/5,I32*(D32+4)/5*B32/(D32+B32)))</x:f>
      </x:c>
      <x:c r="K32" s="2" t="str">
        <x:f>IF(B32="","",IF(C32&lt;='Config_v6'!$B$10,J32*B32/6,J32*(D32+5)/6*B32/(D32+B32)))</x:f>
      </x:c>
      <x:c r="L32" s="2" t="str">
        <x:f>IF(B32="","",IF(C32&lt;='Config_v6'!$B$10,K32*B32/7,K32*(D32+6)/7*B32/(D32+B32)))</x:f>
      </x:c>
      <x:c r="M32" s="2" t="str">
        <x:f>IF(B32="","",IF(C32&lt;='Config_v6'!$B$10,L32*B32/8,L32*(D32+7)/8*B32/(D32+B32)))</x:f>
      </x:c>
      <x:c r="N32" s="2" t="str">
        <x:f>IF(B32="","",IF(C32&lt;='Config_v6'!$B$10,M32*B32/9,M32*(D32+8)/9*B32/(D32+B32)))</x:f>
      </x:c>
      <x:c r="O32" s="2" t="str">
        <x:f>IF(B32="","",IF(C32&lt;='Config_v6'!$B$10,N32*B32/10,N32*(D32+9)/10*B32/(D32+B32)))</x:f>
      </x:c>
      <x:c r="P32" s="2" t="str">
        <x:f>IF(B32="","",IF(C32&lt;='Config_v6'!$B$10,O32*B32/11,O32*(D32+10)/11*B32/(D32+B32)))</x:f>
      </x:c>
      <x:c r="Q32" s="2" t="str">
        <x:f>IF(B32="","",IF(C32&lt;='Config_v6'!$B$10,P32*B32/12,P32*(D32+11)/12*B32/(D32+B32)))</x:f>
      </x:c>
      <x:c r="R32" s="2" t="str">
        <x:f>IF(B32="","",IF(C32&lt;='Config_v6'!$B$10,Q32*B32/13,Q32*(D32+12)/13*B32/(D32+B32)))</x:f>
      </x:c>
      <x:c r="S32" s="2" t="str">
        <x:f>IF(B32="","",IF(C32&lt;='Config_v6'!$B$10,R32*B32/14,R32*(D32+13)/14*B32/(D32+B32)))</x:f>
      </x:c>
      <x:c r="T32" s="2" t="str">
        <x:f>IF(B32="","",IF(C32&lt;='Config_v6'!$B$10,S32*B32/15,S32*(D32+14)/15*B32/(D32+B32)))</x:f>
      </x:c>
      <x:c r="U32" s="2" t="str">
        <x:f>IF(B32="","",IF(C32&lt;='Config_v6'!$B$10,T32*B32/16,T32*(D32+15)/16*B32/(D32+B32)))</x:f>
      </x:c>
      <x:c r="V32" s="2" t="str">
        <x:f>IF(B32="","",IF(C32&lt;='Config_v6'!$B$10,U32*B32/17,U32*(D32+16)/17*B32/(D32+B32)))</x:f>
      </x:c>
      <x:c r="W32" s="2" t="str">
        <x:f>IF(B32="","",IF(C32&lt;='Config_v6'!$B$10,V32*B32/18,V32*(D32+17)/18*B32/(D32+B32)))</x:f>
      </x:c>
      <x:c r="X32" s="2" t="str">
        <x:f>IF(B32="","",MIN(1,SUM(E32:E32)))</x:f>
      </x:c>
      <x:c r="Y32" s="2" t="str">
        <x:f>IF(B32="","",MIN(1,SUM(E32:F32)))</x:f>
      </x:c>
      <x:c r="Z32" s="2" t="str">
        <x:f>IF(B32="","",MIN(1,SUM(E32:G32)))</x:f>
      </x:c>
      <x:c r="AA32" s="2" t="str">
        <x:f>IF(B32="","",MIN(1,SUM(E32:H32)))</x:f>
      </x:c>
      <x:c r="AB32" s="2" t="str">
        <x:f>IF(B32="","",MIN(1,SUM(E32:I32)))</x:f>
      </x:c>
      <x:c r="AC32" s="2" t="str">
        <x:f>IF(B32="","",MIN(1,SUM(E32:J32)))</x:f>
      </x:c>
      <x:c r="AD32" s="2" t="str">
        <x:f>IF(B32="","",MIN(1,SUM(E32:K32)))</x:f>
      </x:c>
      <x:c r="AE32" s="2" t="str">
        <x:f>IF(B32="","",MIN(1,SUM(E32:L32)))</x:f>
      </x:c>
      <x:c r="AF32" s="2" t="str">
        <x:f>IF(B32="","",MIN(1,SUM(E32:M32)))</x:f>
      </x:c>
      <x:c r="AG32" s="2" t="str">
        <x:f>IF(B32="","",MIN(1,SUM(E32:N32)))</x:f>
      </x:c>
      <x:c r="AH32" s="2" t="str">
        <x:f>IF(B32="","",MIN(1,SUM(E32:O32)))</x:f>
      </x:c>
      <x:c r="AI32" s="2" t="str">
        <x:f>IF(B32="","",MIN(1,SUM(E32:P32)))</x:f>
      </x:c>
      <x:c r="AJ32" s="2" t="str">
        <x:f>IF(B32="","",MIN(1,SUM(E32:Q32)))</x:f>
      </x:c>
      <x:c r="AK32" s="2" t="str">
        <x:f>IF(B32="","",MIN(1,SUM(E32:R32)))</x:f>
      </x:c>
      <x:c r="AL32" s="2" t="str">
        <x:f>IF(B32="","",MIN(1,SUM(E32:S32)))</x:f>
      </x:c>
      <x:c r="AM32" s="2" t="str">
        <x:f>IF(B32="","",MIN(1,SUM(E32:T32)))</x:f>
      </x:c>
      <x:c r="AN32" s="2" t="str">
        <x:f>IF(B32="","",MIN(1,SUM(E32:U32)))</x:f>
      </x:c>
      <x:c r="AO32" s="2" t="str">
        <x:f>IF(B32="","",MIN(1,SUM(E32:V32)))</x:f>
      </x:c>
      <x:c r="AP32" s="2" t="str">
        <x:f>IF(B32="","",MIN(1,SUM(E32:W32)))</x:f>
      </x:c>
    </x:row>
    <x:row r="33" ht="21" customHeight="1">
      <x:c r="A33" s="2" t="str">
        <x:f>IF('Motor_Meciuri'!A33="","",'Motor_Meciuri'!A33)</x:f>
      </x:c>
      <x:c r="B33" s="2" t="str">
        <x:f>IF('Motor_Meciuri'!I33&lt;&gt;"PASS","",'Motor_Meciuri'!BD33)</x:f>
      </x:c>
      <x:c r="C33" s="2" t="str">
        <x:f>IF(B33="","",'Motor_Meciuri'!AU33)</x:f>
      </x:c>
      <x:c r="D33" s="2" t="str">
        <x:f>IF(B33="","",'Motor_Meciuri'!AW33)</x:f>
      </x:c>
      <x:c r="E33" s="2" t="str">
        <x:f>IF(B33="","",IF(C33&lt;='Config_v6'!$B$10,EXP(-B33),(D33/(D33+B33))^D33))</x:f>
      </x:c>
      <x:c r="F33" s="2" t="str">
        <x:f>IF(B33="","",IF(C33&lt;='Config_v6'!$B$10,E33*B33/1,E33*(D33+0)/1*B33/(D33+B33)))</x:f>
      </x:c>
      <x:c r="G33" s="2" t="str">
        <x:f>IF(B33="","",IF(C33&lt;='Config_v6'!$B$10,F33*B33/2,F33*(D33+1)/2*B33/(D33+B33)))</x:f>
      </x:c>
      <x:c r="H33" s="2" t="str">
        <x:f>IF(B33="","",IF(C33&lt;='Config_v6'!$B$10,G33*B33/3,G33*(D33+2)/3*B33/(D33+B33)))</x:f>
      </x:c>
      <x:c r="I33" s="2" t="str">
        <x:f>IF(B33="","",IF(C33&lt;='Config_v6'!$B$10,H33*B33/4,H33*(D33+3)/4*B33/(D33+B33)))</x:f>
      </x:c>
      <x:c r="J33" s="2" t="str">
        <x:f>IF(B33="","",IF(C33&lt;='Config_v6'!$B$10,I33*B33/5,I33*(D33+4)/5*B33/(D33+B33)))</x:f>
      </x:c>
      <x:c r="K33" s="2" t="str">
        <x:f>IF(B33="","",IF(C33&lt;='Config_v6'!$B$10,J33*B33/6,J33*(D33+5)/6*B33/(D33+B33)))</x:f>
      </x:c>
      <x:c r="L33" s="2" t="str">
        <x:f>IF(B33="","",IF(C33&lt;='Config_v6'!$B$10,K33*B33/7,K33*(D33+6)/7*B33/(D33+B33)))</x:f>
      </x:c>
      <x:c r="M33" s="2" t="str">
        <x:f>IF(B33="","",IF(C33&lt;='Config_v6'!$B$10,L33*B33/8,L33*(D33+7)/8*B33/(D33+B33)))</x:f>
      </x:c>
      <x:c r="N33" s="2" t="str">
        <x:f>IF(B33="","",IF(C33&lt;='Config_v6'!$B$10,M33*B33/9,M33*(D33+8)/9*B33/(D33+B33)))</x:f>
      </x:c>
      <x:c r="O33" s="2" t="str">
        <x:f>IF(B33="","",IF(C33&lt;='Config_v6'!$B$10,N33*B33/10,N33*(D33+9)/10*B33/(D33+B33)))</x:f>
      </x:c>
      <x:c r="P33" s="2" t="str">
        <x:f>IF(B33="","",IF(C33&lt;='Config_v6'!$B$10,O33*B33/11,O33*(D33+10)/11*B33/(D33+B33)))</x:f>
      </x:c>
      <x:c r="Q33" s="2" t="str">
        <x:f>IF(B33="","",IF(C33&lt;='Config_v6'!$B$10,P33*B33/12,P33*(D33+11)/12*B33/(D33+B33)))</x:f>
      </x:c>
      <x:c r="R33" s="2" t="str">
        <x:f>IF(B33="","",IF(C33&lt;='Config_v6'!$B$10,Q33*B33/13,Q33*(D33+12)/13*B33/(D33+B33)))</x:f>
      </x:c>
      <x:c r="S33" s="2" t="str">
        <x:f>IF(B33="","",IF(C33&lt;='Config_v6'!$B$10,R33*B33/14,R33*(D33+13)/14*B33/(D33+B33)))</x:f>
      </x:c>
      <x:c r="T33" s="2" t="str">
        <x:f>IF(B33="","",IF(C33&lt;='Config_v6'!$B$10,S33*B33/15,S33*(D33+14)/15*B33/(D33+B33)))</x:f>
      </x:c>
      <x:c r="U33" s="2" t="str">
        <x:f>IF(B33="","",IF(C33&lt;='Config_v6'!$B$10,T33*B33/16,T33*(D33+15)/16*B33/(D33+B33)))</x:f>
      </x:c>
      <x:c r="V33" s="2" t="str">
        <x:f>IF(B33="","",IF(C33&lt;='Config_v6'!$B$10,U33*B33/17,U33*(D33+16)/17*B33/(D33+B33)))</x:f>
      </x:c>
      <x:c r="W33" s="2" t="str">
        <x:f>IF(B33="","",IF(C33&lt;='Config_v6'!$B$10,V33*B33/18,V33*(D33+17)/18*B33/(D33+B33)))</x:f>
      </x:c>
      <x:c r="X33" s="2" t="str">
        <x:f>IF(B33="","",MIN(1,SUM(E33:E33)))</x:f>
      </x:c>
      <x:c r="Y33" s="2" t="str">
        <x:f>IF(B33="","",MIN(1,SUM(E33:F33)))</x:f>
      </x:c>
      <x:c r="Z33" s="2" t="str">
        <x:f>IF(B33="","",MIN(1,SUM(E33:G33)))</x:f>
      </x:c>
      <x:c r="AA33" s="2" t="str">
        <x:f>IF(B33="","",MIN(1,SUM(E33:H33)))</x:f>
      </x:c>
      <x:c r="AB33" s="2" t="str">
        <x:f>IF(B33="","",MIN(1,SUM(E33:I33)))</x:f>
      </x:c>
      <x:c r="AC33" s="2" t="str">
        <x:f>IF(B33="","",MIN(1,SUM(E33:J33)))</x:f>
      </x:c>
      <x:c r="AD33" s="2" t="str">
        <x:f>IF(B33="","",MIN(1,SUM(E33:K33)))</x:f>
      </x:c>
      <x:c r="AE33" s="2" t="str">
        <x:f>IF(B33="","",MIN(1,SUM(E33:L33)))</x:f>
      </x:c>
      <x:c r="AF33" s="2" t="str">
        <x:f>IF(B33="","",MIN(1,SUM(E33:M33)))</x:f>
      </x:c>
      <x:c r="AG33" s="2" t="str">
        <x:f>IF(B33="","",MIN(1,SUM(E33:N33)))</x:f>
      </x:c>
      <x:c r="AH33" s="2" t="str">
        <x:f>IF(B33="","",MIN(1,SUM(E33:O33)))</x:f>
      </x:c>
      <x:c r="AI33" s="2" t="str">
        <x:f>IF(B33="","",MIN(1,SUM(E33:P33)))</x:f>
      </x:c>
      <x:c r="AJ33" s="2" t="str">
        <x:f>IF(B33="","",MIN(1,SUM(E33:Q33)))</x:f>
      </x:c>
      <x:c r="AK33" s="2" t="str">
        <x:f>IF(B33="","",MIN(1,SUM(E33:R33)))</x:f>
      </x:c>
      <x:c r="AL33" s="2" t="str">
        <x:f>IF(B33="","",MIN(1,SUM(E33:S33)))</x:f>
      </x:c>
      <x:c r="AM33" s="2" t="str">
        <x:f>IF(B33="","",MIN(1,SUM(E33:T33)))</x:f>
      </x:c>
      <x:c r="AN33" s="2" t="str">
        <x:f>IF(B33="","",MIN(1,SUM(E33:U33)))</x:f>
      </x:c>
      <x:c r="AO33" s="2" t="str">
        <x:f>IF(B33="","",MIN(1,SUM(E33:V33)))</x:f>
      </x:c>
      <x:c r="AP33" s="2" t="str">
        <x:f>IF(B33="","",MIN(1,SUM(E33:W33)))</x:f>
      </x:c>
    </x:row>
    <x:row r="34" ht="21" customHeight="1">
      <x:c r="A34" s="2" t="str">
        <x:f>IF('Motor_Meciuri'!A34="","",'Motor_Meciuri'!A34)</x:f>
      </x:c>
      <x:c r="B34" s="2" t="str">
        <x:f>IF('Motor_Meciuri'!I34&lt;&gt;"PASS","",'Motor_Meciuri'!BD34)</x:f>
      </x:c>
      <x:c r="C34" s="2" t="str">
        <x:f>IF(B34="","",'Motor_Meciuri'!AU34)</x:f>
      </x:c>
      <x:c r="D34" s="2" t="str">
        <x:f>IF(B34="","",'Motor_Meciuri'!AW34)</x:f>
      </x:c>
      <x:c r="E34" s="2" t="str">
        <x:f>IF(B34="","",IF(C34&lt;='Config_v6'!$B$10,EXP(-B34),(D34/(D34+B34))^D34))</x:f>
      </x:c>
      <x:c r="F34" s="2" t="str">
        <x:f>IF(B34="","",IF(C34&lt;='Config_v6'!$B$10,E34*B34/1,E34*(D34+0)/1*B34/(D34+B34)))</x:f>
      </x:c>
      <x:c r="G34" s="2" t="str">
        <x:f>IF(B34="","",IF(C34&lt;='Config_v6'!$B$10,F34*B34/2,F34*(D34+1)/2*B34/(D34+B34)))</x:f>
      </x:c>
      <x:c r="H34" s="2" t="str">
        <x:f>IF(B34="","",IF(C34&lt;='Config_v6'!$B$10,G34*B34/3,G34*(D34+2)/3*B34/(D34+B34)))</x:f>
      </x:c>
      <x:c r="I34" s="2" t="str">
        <x:f>IF(B34="","",IF(C34&lt;='Config_v6'!$B$10,H34*B34/4,H34*(D34+3)/4*B34/(D34+B34)))</x:f>
      </x:c>
      <x:c r="J34" s="2" t="str">
        <x:f>IF(B34="","",IF(C34&lt;='Config_v6'!$B$10,I34*B34/5,I34*(D34+4)/5*B34/(D34+B34)))</x:f>
      </x:c>
      <x:c r="K34" s="2" t="str">
        <x:f>IF(B34="","",IF(C34&lt;='Config_v6'!$B$10,J34*B34/6,J34*(D34+5)/6*B34/(D34+B34)))</x:f>
      </x:c>
      <x:c r="L34" s="2" t="str">
        <x:f>IF(B34="","",IF(C34&lt;='Config_v6'!$B$10,K34*B34/7,K34*(D34+6)/7*B34/(D34+B34)))</x:f>
      </x:c>
      <x:c r="M34" s="2" t="str">
        <x:f>IF(B34="","",IF(C34&lt;='Config_v6'!$B$10,L34*B34/8,L34*(D34+7)/8*B34/(D34+B34)))</x:f>
      </x:c>
      <x:c r="N34" s="2" t="str">
        <x:f>IF(B34="","",IF(C34&lt;='Config_v6'!$B$10,M34*B34/9,M34*(D34+8)/9*B34/(D34+B34)))</x:f>
      </x:c>
      <x:c r="O34" s="2" t="str">
        <x:f>IF(B34="","",IF(C34&lt;='Config_v6'!$B$10,N34*B34/10,N34*(D34+9)/10*B34/(D34+B34)))</x:f>
      </x:c>
      <x:c r="P34" s="2" t="str">
        <x:f>IF(B34="","",IF(C34&lt;='Config_v6'!$B$10,O34*B34/11,O34*(D34+10)/11*B34/(D34+B34)))</x:f>
      </x:c>
      <x:c r="Q34" s="2" t="str">
        <x:f>IF(B34="","",IF(C34&lt;='Config_v6'!$B$10,P34*B34/12,P34*(D34+11)/12*B34/(D34+B34)))</x:f>
      </x:c>
      <x:c r="R34" s="2" t="str">
        <x:f>IF(B34="","",IF(C34&lt;='Config_v6'!$B$10,Q34*B34/13,Q34*(D34+12)/13*B34/(D34+B34)))</x:f>
      </x:c>
      <x:c r="S34" s="2" t="str">
        <x:f>IF(B34="","",IF(C34&lt;='Config_v6'!$B$10,R34*B34/14,R34*(D34+13)/14*B34/(D34+B34)))</x:f>
      </x:c>
      <x:c r="T34" s="2" t="str">
        <x:f>IF(B34="","",IF(C34&lt;='Config_v6'!$B$10,S34*B34/15,S34*(D34+14)/15*B34/(D34+B34)))</x:f>
      </x:c>
      <x:c r="U34" s="2" t="str">
        <x:f>IF(B34="","",IF(C34&lt;='Config_v6'!$B$10,T34*B34/16,T34*(D34+15)/16*B34/(D34+B34)))</x:f>
      </x:c>
      <x:c r="V34" s="2" t="str">
        <x:f>IF(B34="","",IF(C34&lt;='Config_v6'!$B$10,U34*B34/17,U34*(D34+16)/17*B34/(D34+B34)))</x:f>
      </x:c>
      <x:c r="W34" s="2" t="str">
        <x:f>IF(B34="","",IF(C34&lt;='Config_v6'!$B$10,V34*B34/18,V34*(D34+17)/18*B34/(D34+B34)))</x:f>
      </x:c>
      <x:c r="X34" s="2" t="str">
        <x:f>IF(B34="","",MIN(1,SUM(E34:E34)))</x:f>
      </x:c>
      <x:c r="Y34" s="2" t="str">
        <x:f>IF(B34="","",MIN(1,SUM(E34:F34)))</x:f>
      </x:c>
      <x:c r="Z34" s="2" t="str">
        <x:f>IF(B34="","",MIN(1,SUM(E34:G34)))</x:f>
      </x:c>
      <x:c r="AA34" s="2" t="str">
        <x:f>IF(B34="","",MIN(1,SUM(E34:H34)))</x:f>
      </x:c>
      <x:c r="AB34" s="2" t="str">
        <x:f>IF(B34="","",MIN(1,SUM(E34:I34)))</x:f>
      </x:c>
      <x:c r="AC34" s="2" t="str">
        <x:f>IF(B34="","",MIN(1,SUM(E34:J34)))</x:f>
      </x:c>
      <x:c r="AD34" s="2" t="str">
        <x:f>IF(B34="","",MIN(1,SUM(E34:K34)))</x:f>
      </x:c>
      <x:c r="AE34" s="2" t="str">
        <x:f>IF(B34="","",MIN(1,SUM(E34:L34)))</x:f>
      </x:c>
      <x:c r="AF34" s="2" t="str">
        <x:f>IF(B34="","",MIN(1,SUM(E34:M34)))</x:f>
      </x:c>
      <x:c r="AG34" s="2" t="str">
        <x:f>IF(B34="","",MIN(1,SUM(E34:N34)))</x:f>
      </x:c>
      <x:c r="AH34" s="2" t="str">
        <x:f>IF(B34="","",MIN(1,SUM(E34:O34)))</x:f>
      </x:c>
      <x:c r="AI34" s="2" t="str">
        <x:f>IF(B34="","",MIN(1,SUM(E34:P34)))</x:f>
      </x:c>
      <x:c r="AJ34" s="2" t="str">
        <x:f>IF(B34="","",MIN(1,SUM(E34:Q34)))</x:f>
      </x:c>
      <x:c r="AK34" s="2" t="str">
        <x:f>IF(B34="","",MIN(1,SUM(E34:R34)))</x:f>
      </x:c>
      <x:c r="AL34" s="2" t="str">
        <x:f>IF(B34="","",MIN(1,SUM(E34:S34)))</x:f>
      </x:c>
      <x:c r="AM34" s="2" t="str">
        <x:f>IF(B34="","",MIN(1,SUM(E34:T34)))</x:f>
      </x:c>
      <x:c r="AN34" s="2" t="str">
        <x:f>IF(B34="","",MIN(1,SUM(E34:U34)))</x:f>
      </x:c>
      <x:c r="AO34" s="2" t="str">
        <x:f>IF(B34="","",MIN(1,SUM(E34:V34)))</x:f>
      </x:c>
      <x:c r="AP34" s="2" t="str">
        <x:f>IF(B34="","",MIN(1,SUM(E34:W34)))</x:f>
      </x:c>
    </x:row>
    <x:row r="35" ht="21" customHeight="1">
      <x:c r="A35" s="2" t="str">
        <x:f>IF('Motor_Meciuri'!A35="","",'Motor_Meciuri'!A35)</x:f>
      </x:c>
      <x:c r="B35" s="2" t="str">
        <x:f>IF('Motor_Meciuri'!I35&lt;&gt;"PASS","",'Motor_Meciuri'!BD35)</x:f>
      </x:c>
      <x:c r="C35" s="2" t="str">
        <x:f>IF(B35="","",'Motor_Meciuri'!AU35)</x:f>
      </x:c>
      <x:c r="D35" s="2" t="str">
        <x:f>IF(B35="","",'Motor_Meciuri'!AW35)</x:f>
      </x:c>
      <x:c r="E35" s="2" t="str">
        <x:f>IF(B35="","",IF(C35&lt;='Config_v6'!$B$10,EXP(-B35),(D35/(D35+B35))^D35))</x:f>
      </x:c>
      <x:c r="F35" s="2" t="str">
        <x:f>IF(B35="","",IF(C35&lt;='Config_v6'!$B$10,E35*B35/1,E35*(D35+0)/1*B35/(D35+B35)))</x:f>
      </x:c>
      <x:c r="G35" s="2" t="str">
        <x:f>IF(B35="","",IF(C35&lt;='Config_v6'!$B$10,F35*B35/2,F35*(D35+1)/2*B35/(D35+B35)))</x:f>
      </x:c>
      <x:c r="H35" s="2" t="str">
        <x:f>IF(B35="","",IF(C35&lt;='Config_v6'!$B$10,G35*B35/3,G35*(D35+2)/3*B35/(D35+B35)))</x:f>
      </x:c>
      <x:c r="I35" s="2" t="str">
        <x:f>IF(B35="","",IF(C35&lt;='Config_v6'!$B$10,H35*B35/4,H35*(D35+3)/4*B35/(D35+B35)))</x:f>
      </x:c>
      <x:c r="J35" s="2" t="str">
        <x:f>IF(B35="","",IF(C35&lt;='Config_v6'!$B$10,I35*B35/5,I35*(D35+4)/5*B35/(D35+B35)))</x:f>
      </x:c>
      <x:c r="K35" s="2" t="str">
        <x:f>IF(B35="","",IF(C35&lt;='Config_v6'!$B$10,J35*B35/6,J35*(D35+5)/6*B35/(D35+B35)))</x:f>
      </x:c>
      <x:c r="L35" s="2" t="str">
        <x:f>IF(B35="","",IF(C35&lt;='Config_v6'!$B$10,K35*B35/7,K35*(D35+6)/7*B35/(D35+B35)))</x:f>
      </x:c>
      <x:c r="M35" s="2" t="str">
        <x:f>IF(B35="","",IF(C35&lt;='Config_v6'!$B$10,L35*B35/8,L35*(D35+7)/8*B35/(D35+B35)))</x:f>
      </x:c>
      <x:c r="N35" s="2" t="str">
        <x:f>IF(B35="","",IF(C35&lt;='Config_v6'!$B$10,M35*B35/9,M35*(D35+8)/9*B35/(D35+B35)))</x:f>
      </x:c>
      <x:c r="O35" s="2" t="str">
        <x:f>IF(B35="","",IF(C35&lt;='Config_v6'!$B$10,N35*B35/10,N35*(D35+9)/10*B35/(D35+B35)))</x:f>
      </x:c>
      <x:c r="P35" s="2" t="str">
        <x:f>IF(B35="","",IF(C35&lt;='Config_v6'!$B$10,O35*B35/11,O35*(D35+10)/11*B35/(D35+B35)))</x:f>
      </x:c>
      <x:c r="Q35" s="2" t="str">
        <x:f>IF(B35="","",IF(C35&lt;='Config_v6'!$B$10,P35*B35/12,P35*(D35+11)/12*B35/(D35+B35)))</x:f>
      </x:c>
      <x:c r="R35" s="2" t="str">
        <x:f>IF(B35="","",IF(C35&lt;='Config_v6'!$B$10,Q35*B35/13,Q35*(D35+12)/13*B35/(D35+B35)))</x:f>
      </x:c>
      <x:c r="S35" s="2" t="str">
        <x:f>IF(B35="","",IF(C35&lt;='Config_v6'!$B$10,R35*B35/14,R35*(D35+13)/14*B35/(D35+B35)))</x:f>
      </x:c>
      <x:c r="T35" s="2" t="str">
        <x:f>IF(B35="","",IF(C35&lt;='Config_v6'!$B$10,S35*B35/15,S35*(D35+14)/15*B35/(D35+B35)))</x:f>
      </x:c>
      <x:c r="U35" s="2" t="str">
        <x:f>IF(B35="","",IF(C35&lt;='Config_v6'!$B$10,T35*B35/16,T35*(D35+15)/16*B35/(D35+B35)))</x:f>
      </x:c>
      <x:c r="V35" s="2" t="str">
        <x:f>IF(B35="","",IF(C35&lt;='Config_v6'!$B$10,U35*B35/17,U35*(D35+16)/17*B35/(D35+B35)))</x:f>
      </x:c>
      <x:c r="W35" s="2" t="str">
        <x:f>IF(B35="","",IF(C35&lt;='Config_v6'!$B$10,V35*B35/18,V35*(D35+17)/18*B35/(D35+B35)))</x:f>
      </x:c>
      <x:c r="X35" s="2" t="str">
        <x:f>IF(B35="","",MIN(1,SUM(E35:E35)))</x:f>
      </x:c>
      <x:c r="Y35" s="2" t="str">
        <x:f>IF(B35="","",MIN(1,SUM(E35:F35)))</x:f>
      </x:c>
      <x:c r="Z35" s="2" t="str">
        <x:f>IF(B35="","",MIN(1,SUM(E35:G35)))</x:f>
      </x:c>
      <x:c r="AA35" s="2" t="str">
        <x:f>IF(B35="","",MIN(1,SUM(E35:H35)))</x:f>
      </x:c>
      <x:c r="AB35" s="2" t="str">
        <x:f>IF(B35="","",MIN(1,SUM(E35:I35)))</x:f>
      </x:c>
      <x:c r="AC35" s="2" t="str">
        <x:f>IF(B35="","",MIN(1,SUM(E35:J35)))</x:f>
      </x:c>
      <x:c r="AD35" s="2" t="str">
        <x:f>IF(B35="","",MIN(1,SUM(E35:K35)))</x:f>
      </x:c>
      <x:c r="AE35" s="2" t="str">
        <x:f>IF(B35="","",MIN(1,SUM(E35:L35)))</x:f>
      </x:c>
      <x:c r="AF35" s="2" t="str">
        <x:f>IF(B35="","",MIN(1,SUM(E35:M35)))</x:f>
      </x:c>
      <x:c r="AG35" s="2" t="str">
        <x:f>IF(B35="","",MIN(1,SUM(E35:N35)))</x:f>
      </x:c>
      <x:c r="AH35" s="2" t="str">
        <x:f>IF(B35="","",MIN(1,SUM(E35:O35)))</x:f>
      </x:c>
      <x:c r="AI35" s="2" t="str">
        <x:f>IF(B35="","",MIN(1,SUM(E35:P35)))</x:f>
      </x:c>
      <x:c r="AJ35" s="2" t="str">
        <x:f>IF(B35="","",MIN(1,SUM(E35:Q35)))</x:f>
      </x:c>
      <x:c r="AK35" s="2" t="str">
        <x:f>IF(B35="","",MIN(1,SUM(E35:R35)))</x:f>
      </x:c>
      <x:c r="AL35" s="2" t="str">
        <x:f>IF(B35="","",MIN(1,SUM(E35:S35)))</x:f>
      </x:c>
      <x:c r="AM35" s="2" t="str">
        <x:f>IF(B35="","",MIN(1,SUM(E35:T35)))</x:f>
      </x:c>
      <x:c r="AN35" s="2" t="str">
        <x:f>IF(B35="","",MIN(1,SUM(E35:U35)))</x:f>
      </x:c>
      <x:c r="AO35" s="2" t="str">
        <x:f>IF(B35="","",MIN(1,SUM(E35:V35)))</x:f>
      </x:c>
      <x:c r="AP35" s="2" t="str">
        <x:f>IF(B35="","",MIN(1,SUM(E35:W35)))</x:f>
      </x:c>
    </x:row>
    <x:row r="36" ht="21" customHeight="1">
      <x:c r="A36" s="2" t="str">
        <x:f>IF('Motor_Meciuri'!A36="","",'Motor_Meciuri'!A36)</x:f>
      </x:c>
      <x:c r="B36" s="2" t="str">
        <x:f>IF('Motor_Meciuri'!I36&lt;&gt;"PASS","",'Motor_Meciuri'!BD36)</x:f>
      </x:c>
      <x:c r="C36" s="2" t="str">
        <x:f>IF(B36="","",'Motor_Meciuri'!AU36)</x:f>
      </x:c>
      <x:c r="D36" s="2" t="str">
        <x:f>IF(B36="","",'Motor_Meciuri'!AW36)</x:f>
      </x:c>
      <x:c r="E36" s="2" t="str">
        <x:f>IF(B36="","",IF(C36&lt;='Config_v6'!$B$10,EXP(-B36),(D36/(D36+B36))^D36))</x:f>
      </x:c>
      <x:c r="F36" s="2" t="str">
        <x:f>IF(B36="","",IF(C36&lt;='Config_v6'!$B$10,E36*B36/1,E36*(D36+0)/1*B36/(D36+B36)))</x:f>
      </x:c>
      <x:c r="G36" s="2" t="str">
        <x:f>IF(B36="","",IF(C36&lt;='Config_v6'!$B$10,F36*B36/2,F36*(D36+1)/2*B36/(D36+B36)))</x:f>
      </x:c>
      <x:c r="H36" s="2" t="str">
        <x:f>IF(B36="","",IF(C36&lt;='Config_v6'!$B$10,G36*B36/3,G36*(D36+2)/3*B36/(D36+B36)))</x:f>
      </x:c>
      <x:c r="I36" s="2" t="str">
        <x:f>IF(B36="","",IF(C36&lt;='Config_v6'!$B$10,H36*B36/4,H36*(D36+3)/4*B36/(D36+B36)))</x:f>
      </x:c>
      <x:c r="J36" s="2" t="str">
        <x:f>IF(B36="","",IF(C36&lt;='Config_v6'!$B$10,I36*B36/5,I36*(D36+4)/5*B36/(D36+B36)))</x:f>
      </x:c>
      <x:c r="K36" s="2" t="str">
        <x:f>IF(B36="","",IF(C36&lt;='Config_v6'!$B$10,J36*B36/6,J36*(D36+5)/6*B36/(D36+B36)))</x:f>
      </x:c>
      <x:c r="L36" s="2" t="str">
        <x:f>IF(B36="","",IF(C36&lt;='Config_v6'!$B$10,K36*B36/7,K36*(D36+6)/7*B36/(D36+B36)))</x:f>
      </x:c>
      <x:c r="M36" s="2" t="str">
        <x:f>IF(B36="","",IF(C36&lt;='Config_v6'!$B$10,L36*B36/8,L36*(D36+7)/8*B36/(D36+B36)))</x:f>
      </x:c>
      <x:c r="N36" s="2" t="str">
        <x:f>IF(B36="","",IF(C36&lt;='Config_v6'!$B$10,M36*B36/9,M36*(D36+8)/9*B36/(D36+B36)))</x:f>
      </x:c>
      <x:c r="O36" s="2" t="str">
        <x:f>IF(B36="","",IF(C36&lt;='Config_v6'!$B$10,N36*B36/10,N36*(D36+9)/10*B36/(D36+B36)))</x:f>
      </x:c>
      <x:c r="P36" s="2" t="str">
        <x:f>IF(B36="","",IF(C36&lt;='Config_v6'!$B$10,O36*B36/11,O36*(D36+10)/11*B36/(D36+B36)))</x:f>
      </x:c>
      <x:c r="Q36" s="2" t="str">
        <x:f>IF(B36="","",IF(C36&lt;='Config_v6'!$B$10,P36*B36/12,P36*(D36+11)/12*B36/(D36+B36)))</x:f>
      </x:c>
      <x:c r="R36" s="2" t="str">
        <x:f>IF(B36="","",IF(C36&lt;='Config_v6'!$B$10,Q36*B36/13,Q36*(D36+12)/13*B36/(D36+B36)))</x:f>
      </x:c>
      <x:c r="S36" s="2" t="str">
        <x:f>IF(B36="","",IF(C36&lt;='Config_v6'!$B$10,R36*B36/14,R36*(D36+13)/14*B36/(D36+B36)))</x:f>
      </x:c>
      <x:c r="T36" s="2" t="str">
        <x:f>IF(B36="","",IF(C36&lt;='Config_v6'!$B$10,S36*B36/15,S36*(D36+14)/15*B36/(D36+B36)))</x:f>
      </x:c>
      <x:c r="U36" s="2" t="str">
        <x:f>IF(B36="","",IF(C36&lt;='Config_v6'!$B$10,T36*B36/16,T36*(D36+15)/16*B36/(D36+B36)))</x:f>
      </x:c>
      <x:c r="V36" s="2" t="str">
        <x:f>IF(B36="","",IF(C36&lt;='Config_v6'!$B$10,U36*B36/17,U36*(D36+16)/17*B36/(D36+B36)))</x:f>
      </x:c>
      <x:c r="W36" s="2" t="str">
        <x:f>IF(B36="","",IF(C36&lt;='Config_v6'!$B$10,V36*B36/18,V36*(D36+17)/18*B36/(D36+B36)))</x:f>
      </x:c>
      <x:c r="X36" s="2" t="str">
        <x:f>IF(B36="","",MIN(1,SUM(E36:E36)))</x:f>
      </x:c>
      <x:c r="Y36" s="2" t="str">
        <x:f>IF(B36="","",MIN(1,SUM(E36:F36)))</x:f>
      </x:c>
      <x:c r="Z36" s="2" t="str">
        <x:f>IF(B36="","",MIN(1,SUM(E36:G36)))</x:f>
      </x:c>
      <x:c r="AA36" s="2" t="str">
        <x:f>IF(B36="","",MIN(1,SUM(E36:H36)))</x:f>
      </x:c>
      <x:c r="AB36" s="2" t="str">
        <x:f>IF(B36="","",MIN(1,SUM(E36:I36)))</x:f>
      </x:c>
      <x:c r="AC36" s="2" t="str">
        <x:f>IF(B36="","",MIN(1,SUM(E36:J36)))</x:f>
      </x:c>
      <x:c r="AD36" s="2" t="str">
        <x:f>IF(B36="","",MIN(1,SUM(E36:K36)))</x:f>
      </x:c>
      <x:c r="AE36" s="2" t="str">
        <x:f>IF(B36="","",MIN(1,SUM(E36:L36)))</x:f>
      </x:c>
      <x:c r="AF36" s="2" t="str">
        <x:f>IF(B36="","",MIN(1,SUM(E36:M36)))</x:f>
      </x:c>
      <x:c r="AG36" s="2" t="str">
        <x:f>IF(B36="","",MIN(1,SUM(E36:N36)))</x:f>
      </x:c>
      <x:c r="AH36" s="2" t="str">
        <x:f>IF(B36="","",MIN(1,SUM(E36:O36)))</x:f>
      </x:c>
      <x:c r="AI36" s="2" t="str">
        <x:f>IF(B36="","",MIN(1,SUM(E36:P36)))</x:f>
      </x:c>
      <x:c r="AJ36" s="2" t="str">
        <x:f>IF(B36="","",MIN(1,SUM(E36:Q36)))</x:f>
      </x:c>
      <x:c r="AK36" s="2" t="str">
        <x:f>IF(B36="","",MIN(1,SUM(E36:R36)))</x:f>
      </x:c>
      <x:c r="AL36" s="2" t="str">
        <x:f>IF(B36="","",MIN(1,SUM(E36:S36)))</x:f>
      </x:c>
      <x:c r="AM36" s="2" t="str">
        <x:f>IF(B36="","",MIN(1,SUM(E36:T36)))</x:f>
      </x:c>
      <x:c r="AN36" s="2" t="str">
        <x:f>IF(B36="","",MIN(1,SUM(E36:U36)))</x:f>
      </x:c>
      <x:c r="AO36" s="2" t="str">
        <x:f>IF(B36="","",MIN(1,SUM(E36:V36)))</x:f>
      </x:c>
      <x:c r="AP36" s="2" t="str">
        <x:f>IF(B36="","",MIN(1,SUM(E36:W36)))</x:f>
      </x:c>
    </x:row>
    <x:row r="37" ht="21" customHeight="1">
      <x:c r="A37" s="2" t="str">
        <x:f>IF('Motor_Meciuri'!A37="","",'Motor_Meciuri'!A37)</x:f>
      </x:c>
      <x:c r="B37" s="2" t="str">
        <x:f>IF('Motor_Meciuri'!I37&lt;&gt;"PASS","",'Motor_Meciuri'!BD37)</x:f>
      </x:c>
      <x:c r="C37" s="2" t="str">
        <x:f>IF(B37="","",'Motor_Meciuri'!AU37)</x:f>
      </x:c>
      <x:c r="D37" s="2" t="str">
        <x:f>IF(B37="","",'Motor_Meciuri'!AW37)</x:f>
      </x:c>
      <x:c r="E37" s="2" t="str">
        <x:f>IF(B37="","",IF(C37&lt;='Config_v6'!$B$10,EXP(-B37),(D37/(D37+B37))^D37))</x:f>
      </x:c>
      <x:c r="F37" s="2" t="str">
        <x:f>IF(B37="","",IF(C37&lt;='Config_v6'!$B$10,E37*B37/1,E37*(D37+0)/1*B37/(D37+B37)))</x:f>
      </x:c>
      <x:c r="G37" s="2" t="str">
        <x:f>IF(B37="","",IF(C37&lt;='Config_v6'!$B$10,F37*B37/2,F37*(D37+1)/2*B37/(D37+B37)))</x:f>
      </x:c>
      <x:c r="H37" s="2" t="str">
        <x:f>IF(B37="","",IF(C37&lt;='Config_v6'!$B$10,G37*B37/3,G37*(D37+2)/3*B37/(D37+B37)))</x:f>
      </x:c>
      <x:c r="I37" s="2" t="str">
        <x:f>IF(B37="","",IF(C37&lt;='Config_v6'!$B$10,H37*B37/4,H37*(D37+3)/4*B37/(D37+B37)))</x:f>
      </x:c>
      <x:c r="J37" s="2" t="str">
        <x:f>IF(B37="","",IF(C37&lt;='Config_v6'!$B$10,I37*B37/5,I37*(D37+4)/5*B37/(D37+B37)))</x:f>
      </x:c>
      <x:c r="K37" s="2" t="str">
        <x:f>IF(B37="","",IF(C37&lt;='Config_v6'!$B$10,J37*B37/6,J37*(D37+5)/6*B37/(D37+B37)))</x:f>
      </x:c>
      <x:c r="L37" s="2" t="str">
        <x:f>IF(B37="","",IF(C37&lt;='Config_v6'!$B$10,K37*B37/7,K37*(D37+6)/7*B37/(D37+B37)))</x:f>
      </x:c>
      <x:c r="M37" s="2" t="str">
        <x:f>IF(B37="","",IF(C37&lt;='Config_v6'!$B$10,L37*B37/8,L37*(D37+7)/8*B37/(D37+B37)))</x:f>
      </x:c>
      <x:c r="N37" s="2" t="str">
        <x:f>IF(B37="","",IF(C37&lt;='Config_v6'!$B$10,M37*B37/9,M37*(D37+8)/9*B37/(D37+B37)))</x:f>
      </x:c>
      <x:c r="O37" s="2" t="str">
        <x:f>IF(B37="","",IF(C37&lt;='Config_v6'!$B$10,N37*B37/10,N37*(D37+9)/10*B37/(D37+B37)))</x:f>
      </x:c>
      <x:c r="P37" s="2" t="str">
        <x:f>IF(B37="","",IF(C37&lt;='Config_v6'!$B$10,O37*B37/11,O37*(D37+10)/11*B37/(D37+B37)))</x:f>
      </x:c>
      <x:c r="Q37" s="2" t="str">
        <x:f>IF(B37="","",IF(C37&lt;='Config_v6'!$B$10,P37*B37/12,P37*(D37+11)/12*B37/(D37+B37)))</x:f>
      </x:c>
      <x:c r="R37" s="2" t="str">
        <x:f>IF(B37="","",IF(C37&lt;='Config_v6'!$B$10,Q37*B37/13,Q37*(D37+12)/13*B37/(D37+B37)))</x:f>
      </x:c>
      <x:c r="S37" s="2" t="str">
        <x:f>IF(B37="","",IF(C37&lt;='Config_v6'!$B$10,R37*B37/14,R37*(D37+13)/14*B37/(D37+B37)))</x:f>
      </x:c>
      <x:c r="T37" s="2" t="str">
        <x:f>IF(B37="","",IF(C37&lt;='Config_v6'!$B$10,S37*B37/15,S37*(D37+14)/15*B37/(D37+B37)))</x:f>
      </x:c>
      <x:c r="U37" s="2" t="str">
        <x:f>IF(B37="","",IF(C37&lt;='Config_v6'!$B$10,T37*B37/16,T37*(D37+15)/16*B37/(D37+B37)))</x:f>
      </x:c>
      <x:c r="V37" s="2" t="str">
        <x:f>IF(B37="","",IF(C37&lt;='Config_v6'!$B$10,U37*B37/17,U37*(D37+16)/17*B37/(D37+B37)))</x:f>
      </x:c>
      <x:c r="W37" s="2" t="str">
        <x:f>IF(B37="","",IF(C37&lt;='Config_v6'!$B$10,V37*B37/18,V37*(D37+17)/18*B37/(D37+B37)))</x:f>
      </x:c>
      <x:c r="X37" s="2" t="str">
        <x:f>IF(B37="","",MIN(1,SUM(E37:E37)))</x:f>
      </x:c>
      <x:c r="Y37" s="2" t="str">
        <x:f>IF(B37="","",MIN(1,SUM(E37:F37)))</x:f>
      </x:c>
      <x:c r="Z37" s="2" t="str">
        <x:f>IF(B37="","",MIN(1,SUM(E37:G37)))</x:f>
      </x:c>
      <x:c r="AA37" s="2" t="str">
        <x:f>IF(B37="","",MIN(1,SUM(E37:H37)))</x:f>
      </x:c>
      <x:c r="AB37" s="2" t="str">
        <x:f>IF(B37="","",MIN(1,SUM(E37:I37)))</x:f>
      </x:c>
      <x:c r="AC37" s="2" t="str">
        <x:f>IF(B37="","",MIN(1,SUM(E37:J37)))</x:f>
      </x:c>
      <x:c r="AD37" s="2" t="str">
        <x:f>IF(B37="","",MIN(1,SUM(E37:K37)))</x:f>
      </x:c>
      <x:c r="AE37" s="2" t="str">
        <x:f>IF(B37="","",MIN(1,SUM(E37:L37)))</x:f>
      </x:c>
      <x:c r="AF37" s="2" t="str">
        <x:f>IF(B37="","",MIN(1,SUM(E37:M37)))</x:f>
      </x:c>
      <x:c r="AG37" s="2" t="str">
        <x:f>IF(B37="","",MIN(1,SUM(E37:N37)))</x:f>
      </x:c>
      <x:c r="AH37" s="2" t="str">
        <x:f>IF(B37="","",MIN(1,SUM(E37:O37)))</x:f>
      </x:c>
      <x:c r="AI37" s="2" t="str">
        <x:f>IF(B37="","",MIN(1,SUM(E37:P37)))</x:f>
      </x:c>
      <x:c r="AJ37" s="2" t="str">
        <x:f>IF(B37="","",MIN(1,SUM(E37:Q37)))</x:f>
      </x:c>
      <x:c r="AK37" s="2" t="str">
        <x:f>IF(B37="","",MIN(1,SUM(E37:R37)))</x:f>
      </x:c>
      <x:c r="AL37" s="2" t="str">
        <x:f>IF(B37="","",MIN(1,SUM(E37:S37)))</x:f>
      </x:c>
      <x:c r="AM37" s="2" t="str">
        <x:f>IF(B37="","",MIN(1,SUM(E37:T37)))</x:f>
      </x:c>
      <x:c r="AN37" s="2" t="str">
        <x:f>IF(B37="","",MIN(1,SUM(E37:U37)))</x:f>
      </x:c>
      <x:c r="AO37" s="2" t="str">
        <x:f>IF(B37="","",MIN(1,SUM(E37:V37)))</x:f>
      </x:c>
      <x:c r="AP37" s="2" t="str">
        <x:f>IF(B37="","",MIN(1,SUM(E37:W37)))</x:f>
      </x:c>
    </x:row>
    <x:row r="38" ht="21" customHeight="1">
      <x:c r="A38" s="2" t="str">
        <x:f>IF('Motor_Meciuri'!A38="","",'Motor_Meciuri'!A38)</x:f>
      </x:c>
      <x:c r="B38" s="2" t="str">
        <x:f>IF('Motor_Meciuri'!I38&lt;&gt;"PASS","",'Motor_Meciuri'!BD38)</x:f>
      </x:c>
      <x:c r="C38" s="2" t="str">
        <x:f>IF(B38="","",'Motor_Meciuri'!AU38)</x:f>
      </x:c>
      <x:c r="D38" s="2" t="str">
        <x:f>IF(B38="","",'Motor_Meciuri'!AW38)</x:f>
      </x:c>
      <x:c r="E38" s="2" t="str">
        <x:f>IF(B38="","",IF(C38&lt;='Config_v6'!$B$10,EXP(-B38),(D38/(D38+B38))^D38))</x:f>
      </x:c>
      <x:c r="F38" s="2" t="str">
        <x:f>IF(B38="","",IF(C38&lt;='Config_v6'!$B$10,E38*B38/1,E38*(D38+0)/1*B38/(D38+B38)))</x:f>
      </x:c>
      <x:c r="G38" s="2" t="str">
        <x:f>IF(B38="","",IF(C38&lt;='Config_v6'!$B$10,F38*B38/2,F38*(D38+1)/2*B38/(D38+B38)))</x:f>
      </x:c>
      <x:c r="H38" s="2" t="str">
        <x:f>IF(B38="","",IF(C38&lt;='Config_v6'!$B$10,G38*B38/3,G38*(D38+2)/3*B38/(D38+B38)))</x:f>
      </x:c>
      <x:c r="I38" s="2" t="str">
        <x:f>IF(B38="","",IF(C38&lt;='Config_v6'!$B$10,H38*B38/4,H38*(D38+3)/4*B38/(D38+B38)))</x:f>
      </x:c>
      <x:c r="J38" s="2" t="str">
        <x:f>IF(B38="","",IF(C38&lt;='Config_v6'!$B$10,I38*B38/5,I38*(D38+4)/5*B38/(D38+B38)))</x:f>
      </x:c>
      <x:c r="K38" s="2" t="str">
        <x:f>IF(B38="","",IF(C38&lt;='Config_v6'!$B$10,J38*B38/6,J38*(D38+5)/6*B38/(D38+B38)))</x:f>
      </x:c>
      <x:c r="L38" s="2" t="str">
        <x:f>IF(B38="","",IF(C38&lt;='Config_v6'!$B$10,K38*B38/7,K38*(D38+6)/7*B38/(D38+B38)))</x:f>
      </x:c>
      <x:c r="M38" s="2" t="str">
        <x:f>IF(B38="","",IF(C38&lt;='Config_v6'!$B$10,L38*B38/8,L38*(D38+7)/8*B38/(D38+B38)))</x:f>
      </x:c>
      <x:c r="N38" s="2" t="str">
        <x:f>IF(B38="","",IF(C38&lt;='Config_v6'!$B$10,M38*B38/9,M38*(D38+8)/9*B38/(D38+B38)))</x:f>
      </x:c>
      <x:c r="O38" s="2" t="str">
        <x:f>IF(B38="","",IF(C38&lt;='Config_v6'!$B$10,N38*B38/10,N38*(D38+9)/10*B38/(D38+B38)))</x:f>
      </x:c>
      <x:c r="P38" s="2" t="str">
        <x:f>IF(B38="","",IF(C38&lt;='Config_v6'!$B$10,O38*B38/11,O38*(D38+10)/11*B38/(D38+B38)))</x:f>
      </x:c>
      <x:c r="Q38" s="2" t="str">
        <x:f>IF(B38="","",IF(C38&lt;='Config_v6'!$B$10,P38*B38/12,P38*(D38+11)/12*B38/(D38+B38)))</x:f>
      </x:c>
      <x:c r="R38" s="2" t="str">
        <x:f>IF(B38="","",IF(C38&lt;='Config_v6'!$B$10,Q38*B38/13,Q38*(D38+12)/13*B38/(D38+B38)))</x:f>
      </x:c>
      <x:c r="S38" s="2" t="str">
        <x:f>IF(B38="","",IF(C38&lt;='Config_v6'!$B$10,R38*B38/14,R38*(D38+13)/14*B38/(D38+B38)))</x:f>
      </x:c>
      <x:c r="T38" s="2" t="str">
        <x:f>IF(B38="","",IF(C38&lt;='Config_v6'!$B$10,S38*B38/15,S38*(D38+14)/15*B38/(D38+B38)))</x:f>
      </x:c>
      <x:c r="U38" s="2" t="str">
        <x:f>IF(B38="","",IF(C38&lt;='Config_v6'!$B$10,T38*B38/16,T38*(D38+15)/16*B38/(D38+B38)))</x:f>
      </x:c>
      <x:c r="V38" s="2" t="str">
        <x:f>IF(B38="","",IF(C38&lt;='Config_v6'!$B$10,U38*B38/17,U38*(D38+16)/17*B38/(D38+B38)))</x:f>
      </x:c>
      <x:c r="W38" s="2" t="str">
        <x:f>IF(B38="","",IF(C38&lt;='Config_v6'!$B$10,V38*B38/18,V38*(D38+17)/18*B38/(D38+B38)))</x:f>
      </x:c>
      <x:c r="X38" s="2" t="str">
        <x:f>IF(B38="","",MIN(1,SUM(E38:E38)))</x:f>
      </x:c>
      <x:c r="Y38" s="2" t="str">
        <x:f>IF(B38="","",MIN(1,SUM(E38:F38)))</x:f>
      </x:c>
      <x:c r="Z38" s="2" t="str">
        <x:f>IF(B38="","",MIN(1,SUM(E38:G38)))</x:f>
      </x:c>
      <x:c r="AA38" s="2" t="str">
        <x:f>IF(B38="","",MIN(1,SUM(E38:H38)))</x:f>
      </x:c>
      <x:c r="AB38" s="2" t="str">
        <x:f>IF(B38="","",MIN(1,SUM(E38:I38)))</x:f>
      </x:c>
      <x:c r="AC38" s="2" t="str">
        <x:f>IF(B38="","",MIN(1,SUM(E38:J38)))</x:f>
      </x:c>
      <x:c r="AD38" s="2" t="str">
        <x:f>IF(B38="","",MIN(1,SUM(E38:K38)))</x:f>
      </x:c>
      <x:c r="AE38" s="2" t="str">
        <x:f>IF(B38="","",MIN(1,SUM(E38:L38)))</x:f>
      </x:c>
      <x:c r="AF38" s="2" t="str">
        <x:f>IF(B38="","",MIN(1,SUM(E38:M38)))</x:f>
      </x:c>
      <x:c r="AG38" s="2" t="str">
        <x:f>IF(B38="","",MIN(1,SUM(E38:N38)))</x:f>
      </x:c>
      <x:c r="AH38" s="2" t="str">
        <x:f>IF(B38="","",MIN(1,SUM(E38:O38)))</x:f>
      </x:c>
      <x:c r="AI38" s="2" t="str">
        <x:f>IF(B38="","",MIN(1,SUM(E38:P38)))</x:f>
      </x:c>
      <x:c r="AJ38" s="2" t="str">
        <x:f>IF(B38="","",MIN(1,SUM(E38:Q38)))</x:f>
      </x:c>
      <x:c r="AK38" s="2" t="str">
        <x:f>IF(B38="","",MIN(1,SUM(E38:R38)))</x:f>
      </x:c>
      <x:c r="AL38" s="2" t="str">
        <x:f>IF(B38="","",MIN(1,SUM(E38:S38)))</x:f>
      </x:c>
      <x:c r="AM38" s="2" t="str">
        <x:f>IF(B38="","",MIN(1,SUM(E38:T38)))</x:f>
      </x:c>
      <x:c r="AN38" s="2" t="str">
        <x:f>IF(B38="","",MIN(1,SUM(E38:U38)))</x:f>
      </x:c>
      <x:c r="AO38" s="2" t="str">
        <x:f>IF(B38="","",MIN(1,SUM(E38:V38)))</x:f>
      </x:c>
      <x:c r="AP38" s="2" t="str">
        <x:f>IF(B38="","",MIN(1,SUM(E38:W38)))</x:f>
      </x:c>
    </x:row>
    <x:row r="39" ht="21" customHeight="1">
      <x:c r="A39" s="2" t="str">
        <x:f>IF('Motor_Meciuri'!A39="","",'Motor_Meciuri'!A39)</x:f>
      </x:c>
      <x:c r="B39" s="2" t="str">
        <x:f>IF('Motor_Meciuri'!I39&lt;&gt;"PASS","",'Motor_Meciuri'!BD39)</x:f>
      </x:c>
      <x:c r="C39" s="2" t="str">
        <x:f>IF(B39="","",'Motor_Meciuri'!AU39)</x:f>
      </x:c>
      <x:c r="D39" s="2" t="str">
        <x:f>IF(B39="","",'Motor_Meciuri'!AW39)</x:f>
      </x:c>
      <x:c r="E39" s="2" t="str">
        <x:f>IF(B39="","",IF(C39&lt;='Config_v6'!$B$10,EXP(-B39),(D39/(D39+B39))^D39))</x:f>
      </x:c>
      <x:c r="F39" s="2" t="str">
        <x:f>IF(B39="","",IF(C39&lt;='Config_v6'!$B$10,E39*B39/1,E39*(D39+0)/1*B39/(D39+B39)))</x:f>
      </x:c>
      <x:c r="G39" s="2" t="str">
        <x:f>IF(B39="","",IF(C39&lt;='Config_v6'!$B$10,F39*B39/2,F39*(D39+1)/2*B39/(D39+B39)))</x:f>
      </x:c>
      <x:c r="H39" s="2" t="str">
        <x:f>IF(B39="","",IF(C39&lt;='Config_v6'!$B$10,G39*B39/3,G39*(D39+2)/3*B39/(D39+B39)))</x:f>
      </x:c>
      <x:c r="I39" s="2" t="str">
        <x:f>IF(B39="","",IF(C39&lt;='Config_v6'!$B$10,H39*B39/4,H39*(D39+3)/4*B39/(D39+B39)))</x:f>
      </x:c>
      <x:c r="J39" s="2" t="str">
        <x:f>IF(B39="","",IF(C39&lt;='Config_v6'!$B$10,I39*B39/5,I39*(D39+4)/5*B39/(D39+B39)))</x:f>
      </x:c>
      <x:c r="K39" s="2" t="str">
        <x:f>IF(B39="","",IF(C39&lt;='Config_v6'!$B$10,J39*B39/6,J39*(D39+5)/6*B39/(D39+B39)))</x:f>
      </x:c>
      <x:c r="L39" s="2" t="str">
        <x:f>IF(B39="","",IF(C39&lt;='Config_v6'!$B$10,K39*B39/7,K39*(D39+6)/7*B39/(D39+B39)))</x:f>
      </x:c>
      <x:c r="M39" s="2" t="str">
        <x:f>IF(B39="","",IF(C39&lt;='Config_v6'!$B$10,L39*B39/8,L39*(D39+7)/8*B39/(D39+B39)))</x:f>
      </x:c>
      <x:c r="N39" s="2" t="str">
        <x:f>IF(B39="","",IF(C39&lt;='Config_v6'!$B$10,M39*B39/9,M39*(D39+8)/9*B39/(D39+B39)))</x:f>
      </x:c>
      <x:c r="O39" s="2" t="str">
        <x:f>IF(B39="","",IF(C39&lt;='Config_v6'!$B$10,N39*B39/10,N39*(D39+9)/10*B39/(D39+B39)))</x:f>
      </x:c>
      <x:c r="P39" s="2" t="str">
        <x:f>IF(B39="","",IF(C39&lt;='Config_v6'!$B$10,O39*B39/11,O39*(D39+10)/11*B39/(D39+B39)))</x:f>
      </x:c>
      <x:c r="Q39" s="2" t="str">
        <x:f>IF(B39="","",IF(C39&lt;='Config_v6'!$B$10,P39*B39/12,P39*(D39+11)/12*B39/(D39+B39)))</x:f>
      </x:c>
      <x:c r="R39" s="2" t="str">
        <x:f>IF(B39="","",IF(C39&lt;='Config_v6'!$B$10,Q39*B39/13,Q39*(D39+12)/13*B39/(D39+B39)))</x:f>
      </x:c>
      <x:c r="S39" s="2" t="str">
        <x:f>IF(B39="","",IF(C39&lt;='Config_v6'!$B$10,R39*B39/14,R39*(D39+13)/14*B39/(D39+B39)))</x:f>
      </x:c>
      <x:c r="T39" s="2" t="str">
        <x:f>IF(B39="","",IF(C39&lt;='Config_v6'!$B$10,S39*B39/15,S39*(D39+14)/15*B39/(D39+B39)))</x:f>
      </x:c>
      <x:c r="U39" s="2" t="str">
        <x:f>IF(B39="","",IF(C39&lt;='Config_v6'!$B$10,T39*B39/16,T39*(D39+15)/16*B39/(D39+B39)))</x:f>
      </x:c>
      <x:c r="V39" s="2" t="str">
        <x:f>IF(B39="","",IF(C39&lt;='Config_v6'!$B$10,U39*B39/17,U39*(D39+16)/17*B39/(D39+B39)))</x:f>
      </x:c>
      <x:c r="W39" s="2" t="str">
        <x:f>IF(B39="","",IF(C39&lt;='Config_v6'!$B$10,V39*B39/18,V39*(D39+17)/18*B39/(D39+B39)))</x:f>
      </x:c>
      <x:c r="X39" s="2" t="str">
        <x:f>IF(B39="","",MIN(1,SUM(E39:E39)))</x:f>
      </x:c>
      <x:c r="Y39" s="2" t="str">
        <x:f>IF(B39="","",MIN(1,SUM(E39:F39)))</x:f>
      </x:c>
      <x:c r="Z39" s="2" t="str">
        <x:f>IF(B39="","",MIN(1,SUM(E39:G39)))</x:f>
      </x:c>
      <x:c r="AA39" s="2" t="str">
        <x:f>IF(B39="","",MIN(1,SUM(E39:H39)))</x:f>
      </x:c>
      <x:c r="AB39" s="2" t="str">
        <x:f>IF(B39="","",MIN(1,SUM(E39:I39)))</x:f>
      </x:c>
      <x:c r="AC39" s="2" t="str">
        <x:f>IF(B39="","",MIN(1,SUM(E39:J39)))</x:f>
      </x:c>
      <x:c r="AD39" s="2" t="str">
        <x:f>IF(B39="","",MIN(1,SUM(E39:K39)))</x:f>
      </x:c>
      <x:c r="AE39" s="2" t="str">
        <x:f>IF(B39="","",MIN(1,SUM(E39:L39)))</x:f>
      </x:c>
      <x:c r="AF39" s="2" t="str">
        <x:f>IF(B39="","",MIN(1,SUM(E39:M39)))</x:f>
      </x:c>
      <x:c r="AG39" s="2" t="str">
        <x:f>IF(B39="","",MIN(1,SUM(E39:N39)))</x:f>
      </x:c>
      <x:c r="AH39" s="2" t="str">
        <x:f>IF(B39="","",MIN(1,SUM(E39:O39)))</x:f>
      </x:c>
      <x:c r="AI39" s="2" t="str">
        <x:f>IF(B39="","",MIN(1,SUM(E39:P39)))</x:f>
      </x:c>
      <x:c r="AJ39" s="2" t="str">
        <x:f>IF(B39="","",MIN(1,SUM(E39:Q39)))</x:f>
      </x:c>
      <x:c r="AK39" s="2" t="str">
        <x:f>IF(B39="","",MIN(1,SUM(E39:R39)))</x:f>
      </x:c>
      <x:c r="AL39" s="2" t="str">
        <x:f>IF(B39="","",MIN(1,SUM(E39:S39)))</x:f>
      </x:c>
      <x:c r="AM39" s="2" t="str">
        <x:f>IF(B39="","",MIN(1,SUM(E39:T39)))</x:f>
      </x:c>
      <x:c r="AN39" s="2" t="str">
        <x:f>IF(B39="","",MIN(1,SUM(E39:U39)))</x:f>
      </x:c>
      <x:c r="AO39" s="2" t="str">
        <x:f>IF(B39="","",MIN(1,SUM(E39:V39)))</x:f>
      </x:c>
      <x:c r="AP39" s="2" t="str">
        <x:f>IF(B39="","",MIN(1,SUM(E39:W39)))</x:f>
      </x:c>
    </x:row>
    <x:row r="40" ht="21" customHeight="1">
      <x:c r="A40" s="2" t="str">
        <x:f>IF('Motor_Meciuri'!A40="","",'Motor_Meciuri'!A40)</x:f>
      </x:c>
      <x:c r="B40" s="2" t="str">
        <x:f>IF('Motor_Meciuri'!I40&lt;&gt;"PASS","",'Motor_Meciuri'!BD40)</x:f>
      </x:c>
      <x:c r="C40" s="2" t="str">
        <x:f>IF(B40="","",'Motor_Meciuri'!AU40)</x:f>
      </x:c>
      <x:c r="D40" s="2" t="str">
        <x:f>IF(B40="","",'Motor_Meciuri'!AW40)</x:f>
      </x:c>
      <x:c r="E40" s="2" t="str">
        <x:f>IF(B40="","",IF(C40&lt;='Config_v6'!$B$10,EXP(-B40),(D40/(D40+B40))^D40))</x:f>
      </x:c>
      <x:c r="F40" s="2" t="str">
        <x:f>IF(B40="","",IF(C40&lt;='Config_v6'!$B$10,E40*B40/1,E40*(D40+0)/1*B40/(D40+B40)))</x:f>
      </x:c>
      <x:c r="G40" s="2" t="str">
        <x:f>IF(B40="","",IF(C40&lt;='Config_v6'!$B$10,F40*B40/2,F40*(D40+1)/2*B40/(D40+B40)))</x:f>
      </x:c>
      <x:c r="H40" s="2" t="str">
        <x:f>IF(B40="","",IF(C40&lt;='Config_v6'!$B$10,G40*B40/3,G40*(D40+2)/3*B40/(D40+B40)))</x:f>
      </x:c>
      <x:c r="I40" s="2" t="str">
        <x:f>IF(B40="","",IF(C40&lt;='Config_v6'!$B$10,H40*B40/4,H40*(D40+3)/4*B40/(D40+B40)))</x:f>
      </x:c>
      <x:c r="J40" s="2" t="str">
        <x:f>IF(B40="","",IF(C40&lt;='Config_v6'!$B$10,I40*B40/5,I40*(D40+4)/5*B40/(D40+B40)))</x:f>
      </x:c>
      <x:c r="K40" s="2" t="str">
        <x:f>IF(B40="","",IF(C40&lt;='Config_v6'!$B$10,J40*B40/6,J40*(D40+5)/6*B40/(D40+B40)))</x:f>
      </x:c>
      <x:c r="L40" s="2" t="str">
        <x:f>IF(B40="","",IF(C40&lt;='Config_v6'!$B$10,K40*B40/7,K40*(D40+6)/7*B40/(D40+B40)))</x:f>
      </x:c>
      <x:c r="M40" s="2" t="str">
        <x:f>IF(B40="","",IF(C40&lt;='Config_v6'!$B$10,L40*B40/8,L40*(D40+7)/8*B40/(D40+B40)))</x:f>
      </x:c>
      <x:c r="N40" s="2" t="str">
        <x:f>IF(B40="","",IF(C40&lt;='Config_v6'!$B$10,M40*B40/9,M40*(D40+8)/9*B40/(D40+B40)))</x:f>
      </x:c>
      <x:c r="O40" s="2" t="str">
        <x:f>IF(B40="","",IF(C40&lt;='Config_v6'!$B$10,N40*B40/10,N40*(D40+9)/10*B40/(D40+B40)))</x:f>
      </x:c>
      <x:c r="P40" s="2" t="str">
        <x:f>IF(B40="","",IF(C40&lt;='Config_v6'!$B$10,O40*B40/11,O40*(D40+10)/11*B40/(D40+B40)))</x:f>
      </x:c>
      <x:c r="Q40" s="2" t="str">
        <x:f>IF(B40="","",IF(C40&lt;='Config_v6'!$B$10,P40*B40/12,P40*(D40+11)/12*B40/(D40+B40)))</x:f>
      </x:c>
      <x:c r="R40" s="2" t="str">
        <x:f>IF(B40="","",IF(C40&lt;='Config_v6'!$B$10,Q40*B40/13,Q40*(D40+12)/13*B40/(D40+B40)))</x:f>
      </x:c>
      <x:c r="S40" s="2" t="str">
        <x:f>IF(B40="","",IF(C40&lt;='Config_v6'!$B$10,R40*B40/14,R40*(D40+13)/14*B40/(D40+B40)))</x:f>
      </x:c>
      <x:c r="T40" s="2" t="str">
        <x:f>IF(B40="","",IF(C40&lt;='Config_v6'!$B$10,S40*B40/15,S40*(D40+14)/15*B40/(D40+B40)))</x:f>
      </x:c>
      <x:c r="U40" s="2" t="str">
        <x:f>IF(B40="","",IF(C40&lt;='Config_v6'!$B$10,T40*B40/16,T40*(D40+15)/16*B40/(D40+B40)))</x:f>
      </x:c>
      <x:c r="V40" s="2" t="str">
        <x:f>IF(B40="","",IF(C40&lt;='Config_v6'!$B$10,U40*B40/17,U40*(D40+16)/17*B40/(D40+B40)))</x:f>
      </x:c>
      <x:c r="W40" s="2" t="str">
        <x:f>IF(B40="","",IF(C40&lt;='Config_v6'!$B$10,V40*B40/18,V40*(D40+17)/18*B40/(D40+B40)))</x:f>
      </x:c>
      <x:c r="X40" s="2" t="str">
        <x:f>IF(B40="","",MIN(1,SUM(E40:E40)))</x:f>
      </x:c>
      <x:c r="Y40" s="2" t="str">
        <x:f>IF(B40="","",MIN(1,SUM(E40:F40)))</x:f>
      </x:c>
      <x:c r="Z40" s="2" t="str">
        <x:f>IF(B40="","",MIN(1,SUM(E40:G40)))</x:f>
      </x:c>
      <x:c r="AA40" s="2" t="str">
        <x:f>IF(B40="","",MIN(1,SUM(E40:H40)))</x:f>
      </x:c>
      <x:c r="AB40" s="2" t="str">
        <x:f>IF(B40="","",MIN(1,SUM(E40:I40)))</x:f>
      </x:c>
      <x:c r="AC40" s="2" t="str">
        <x:f>IF(B40="","",MIN(1,SUM(E40:J40)))</x:f>
      </x:c>
      <x:c r="AD40" s="2" t="str">
        <x:f>IF(B40="","",MIN(1,SUM(E40:K40)))</x:f>
      </x:c>
      <x:c r="AE40" s="2" t="str">
        <x:f>IF(B40="","",MIN(1,SUM(E40:L40)))</x:f>
      </x:c>
      <x:c r="AF40" s="2" t="str">
        <x:f>IF(B40="","",MIN(1,SUM(E40:M40)))</x:f>
      </x:c>
      <x:c r="AG40" s="2" t="str">
        <x:f>IF(B40="","",MIN(1,SUM(E40:N40)))</x:f>
      </x:c>
      <x:c r="AH40" s="2" t="str">
        <x:f>IF(B40="","",MIN(1,SUM(E40:O40)))</x:f>
      </x:c>
      <x:c r="AI40" s="2" t="str">
        <x:f>IF(B40="","",MIN(1,SUM(E40:P40)))</x:f>
      </x:c>
      <x:c r="AJ40" s="2" t="str">
        <x:f>IF(B40="","",MIN(1,SUM(E40:Q40)))</x:f>
      </x:c>
      <x:c r="AK40" s="2" t="str">
        <x:f>IF(B40="","",MIN(1,SUM(E40:R40)))</x:f>
      </x:c>
      <x:c r="AL40" s="2" t="str">
        <x:f>IF(B40="","",MIN(1,SUM(E40:S40)))</x:f>
      </x:c>
      <x:c r="AM40" s="2" t="str">
        <x:f>IF(B40="","",MIN(1,SUM(E40:T40)))</x:f>
      </x:c>
      <x:c r="AN40" s="2" t="str">
        <x:f>IF(B40="","",MIN(1,SUM(E40:U40)))</x:f>
      </x:c>
      <x:c r="AO40" s="2" t="str">
        <x:f>IF(B40="","",MIN(1,SUM(E40:V40)))</x:f>
      </x:c>
      <x:c r="AP40" s="2" t="str">
        <x:f>IF(B40="","",MIN(1,SUM(E40:W40)))</x:f>
      </x:c>
    </x:row>
    <x:row r="41" ht="21" customHeight="1">
      <x:c r="A41" s="2" t="str">
        <x:f>IF('Motor_Meciuri'!A41="","",'Motor_Meciuri'!A41)</x:f>
      </x:c>
      <x:c r="B41" s="2" t="str">
        <x:f>IF('Motor_Meciuri'!I41&lt;&gt;"PASS","",'Motor_Meciuri'!BD41)</x:f>
      </x:c>
      <x:c r="C41" s="2" t="str">
        <x:f>IF(B41="","",'Motor_Meciuri'!AU41)</x:f>
      </x:c>
      <x:c r="D41" s="2" t="str">
        <x:f>IF(B41="","",'Motor_Meciuri'!AW41)</x:f>
      </x:c>
      <x:c r="E41" s="2" t="str">
        <x:f>IF(B41="","",IF(C41&lt;='Config_v6'!$B$10,EXP(-B41),(D41/(D41+B41))^D41))</x:f>
      </x:c>
      <x:c r="F41" s="2" t="str">
        <x:f>IF(B41="","",IF(C41&lt;='Config_v6'!$B$10,E41*B41/1,E41*(D41+0)/1*B41/(D41+B41)))</x:f>
      </x:c>
      <x:c r="G41" s="2" t="str">
        <x:f>IF(B41="","",IF(C41&lt;='Config_v6'!$B$10,F41*B41/2,F41*(D41+1)/2*B41/(D41+B41)))</x:f>
      </x:c>
      <x:c r="H41" s="2" t="str">
        <x:f>IF(B41="","",IF(C41&lt;='Config_v6'!$B$10,G41*B41/3,G41*(D41+2)/3*B41/(D41+B41)))</x:f>
      </x:c>
      <x:c r="I41" s="2" t="str">
        <x:f>IF(B41="","",IF(C41&lt;='Config_v6'!$B$10,H41*B41/4,H41*(D41+3)/4*B41/(D41+B41)))</x:f>
      </x:c>
      <x:c r="J41" s="2" t="str">
        <x:f>IF(B41="","",IF(C41&lt;='Config_v6'!$B$10,I41*B41/5,I41*(D41+4)/5*B41/(D41+B41)))</x:f>
      </x:c>
      <x:c r="K41" s="2" t="str">
        <x:f>IF(B41="","",IF(C41&lt;='Config_v6'!$B$10,J41*B41/6,J41*(D41+5)/6*B41/(D41+B41)))</x:f>
      </x:c>
      <x:c r="L41" s="2" t="str">
        <x:f>IF(B41="","",IF(C41&lt;='Config_v6'!$B$10,K41*B41/7,K41*(D41+6)/7*B41/(D41+B41)))</x:f>
      </x:c>
      <x:c r="M41" s="2" t="str">
        <x:f>IF(B41="","",IF(C41&lt;='Config_v6'!$B$10,L41*B41/8,L41*(D41+7)/8*B41/(D41+B41)))</x:f>
      </x:c>
      <x:c r="N41" s="2" t="str">
        <x:f>IF(B41="","",IF(C41&lt;='Config_v6'!$B$10,M41*B41/9,M41*(D41+8)/9*B41/(D41+B41)))</x:f>
      </x:c>
      <x:c r="O41" s="2" t="str">
        <x:f>IF(B41="","",IF(C41&lt;='Config_v6'!$B$10,N41*B41/10,N41*(D41+9)/10*B41/(D41+B41)))</x:f>
      </x:c>
      <x:c r="P41" s="2" t="str">
        <x:f>IF(B41="","",IF(C41&lt;='Config_v6'!$B$10,O41*B41/11,O41*(D41+10)/11*B41/(D41+B41)))</x:f>
      </x:c>
      <x:c r="Q41" s="2" t="str">
        <x:f>IF(B41="","",IF(C41&lt;='Config_v6'!$B$10,P41*B41/12,P41*(D41+11)/12*B41/(D41+B41)))</x:f>
      </x:c>
      <x:c r="R41" s="2" t="str">
        <x:f>IF(B41="","",IF(C41&lt;='Config_v6'!$B$10,Q41*B41/13,Q41*(D41+12)/13*B41/(D41+B41)))</x:f>
      </x:c>
      <x:c r="S41" s="2" t="str">
        <x:f>IF(B41="","",IF(C41&lt;='Config_v6'!$B$10,R41*B41/14,R41*(D41+13)/14*B41/(D41+B41)))</x:f>
      </x:c>
      <x:c r="T41" s="2" t="str">
        <x:f>IF(B41="","",IF(C41&lt;='Config_v6'!$B$10,S41*B41/15,S41*(D41+14)/15*B41/(D41+B41)))</x:f>
      </x:c>
      <x:c r="U41" s="2" t="str">
        <x:f>IF(B41="","",IF(C41&lt;='Config_v6'!$B$10,T41*B41/16,T41*(D41+15)/16*B41/(D41+B41)))</x:f>
      </x:c>
      <x:c r="V41" s="2" t="str">
        <x:f>IF(B41="","",IF(C41&lt;='Config_v6'!$B$10,U41*B41/17,U41*(D41+16)/17*B41/(D41+B41)))</x:f>
      </x:c>
      <x:c r="W41" s="2" t="str">
        <x:f>IF(B41="","",IF(C41&lt;='Config_v6'!$B$10,V41*B41/18,V41*(D41+17)/18*B41/(D41+B41)))</x:f>
      </x:c>
      <x:c r="X41" s="2" t="str">
        <x:f>IF(B41="","",MIN(1,SUM(E41:E41)))</x:f>
      </x:c>
      <x:c r="Y41" s="2" t="str">
        <x:f>IF(B41="","",MIN(1,SUM(E41:F41)))</x:f>
      </x:c>
      <x:c r="Z41" s="2" t="str">
        <x:f>IF(B41="","",MIN(1,SUM(E41:G41)))</x:f>
      </x:c>
      <x:c r="AA41" s="2" t="str">
        <x:f>IF(B41="","",MIN(1,SUM(E41:H41)))</x:f>
      </x:c>
      <x:c r="AB41" s="2" t="str">
        <x:f>IF(B41="","",MIN(1,SUM(E41:I41)))</x:f>
      </x:c>
      <x:c r="AC41" s="2" t="str">
        <x:f>IF(B41="","",MIN(1,SUM(E41:J41)))</x:f>
      </x:c>
      <x:c r="AD41" s="2" t="str">
        <x:f>IF(B41="","",MIN(1,SUM(E41:K41)))</x:f>
      </x:c>
      <x:c r="AE41" s="2" t="str">
        <x:f>IF(B41="","",MIN(1,SUM(E41:L41)))</x:f>
      </x:c>
      <x:c r="AF41" s="2" t="str">
        <x:f>IF(B41="","",MIN(1,SUM(E41:M41)))</x:f>
      </x:c>
      <x:c r="AG41" s="2" t="str">
        <x:f>IF(B41="","",MIN(1,SUM(E41:N41)))</x:f>
      </x:c>
      <x:c r="AH41" s="2" t="str">
        <x:f>IF(B41="","",MIN(1,SUM(E41:O41)))</x:f>
      </x:c>
      <x:c r="AI41" s="2" t="str">
        <x:f>IF(B41="","",MIN(1,SUM(E41:P41)))</x:f>
      </x:c>
      <x:c r="AJ41" s="2" t="str">
        <x:f>IF(B41="","",MIN(1,SUM(E41:Q41)))</x:f>
      </x:c>
      <x:c r="AK41" s="2" t="str">
        <x:f>IF(B41="","",MIN(1,SUM(E41:R41)))</x:f>
      </x:c>
      <x:c r="AL41" s="2" t="str">
        <x:f>IF(B41="","",MIN(1,SUM(E41:S41)))</x:f>
      </x:c>
      <x:c r="AM41" s="2" t="str">
        <x:f>IF(B41="","",MIN(1,SUM(E41:T41)))</x:f>
      </x:c>
      <x:c r="AN41" s="2" t="str">
        <x:f>IF(B41="","",MIN(1,SUM(E41:U41)))</x:f>
      </x:c>
      <x:c r="AO41" s="2" t="str">
        <x:f>IF(B41="","",MIN(1,SUM(E41:V41)))</x:f>
      </x:c>
      <x:c r="AP41" s="2" t="str">
        <x:f>IF(B41="","",MIN(1,SUM(E41:W41)))</x:f>
      </x:c>
    </x:row>
    <x:row r="42" ht="21" customHeight="1">
      <x:c r="A42" s="2" t="str">
        <x:f>IF('Motor_Meciuri'!A42="","",'Motor_Meciuri'!A42)</x:f>
      </x:c>
      <x:c r="B42" s="2" t="str">
        <x:f>IF('Motor_Meciuri'!I42&lt;&gt;"PASS","",'Motor_Meciuri'!BD42)</x:f>
      </x:c>
      <x:c r="C42" s="2" t="str">
        <x:f>IF(B42="","",'Motor_Meciuri'!AU42)</x:f>
      </x:c>
      <x:c r="D42" s="2" t="str">
        <x:f>IF(B42="","",'Motor_Meciuri'!AW42)</x:f>
      </x:c>
      <x:c r="E42" s="2" t="str">
        <x:f>IF(B42="","",IF(C42&lt;='Config_v6'!$B$10,EXP(-B42),(D42/(D42+B42))^D42))</x:f>
      </x:c>
      <x:c r="F42" s="2" t="str">
        <x:f>IF(B42="","",IF(C42&lt;='Config_v6'!$B$10,E42*B42/1,E42*(D42+0)/1*B42/(D42+B42)))</x:f>
      </x:c>
      <x:c r="G42" s="2" t="str">
        <x:f>IF(B42="","",IF(C42&lt;='Config_v6'!$B$10,F42*B42/2,F42*(D42+1)/2*B42/(D42+B42)))</x:f>
      </x:c>
      <x:c r="H42" s="2" t="str">
        <x:f>IF(B42="","",IF(C42&lt;='Config_v6'!$B$10,G42*B42/3,G42*(D42+2)/3*B42/(D42+B42)))</x:f>
      </x:c>
      <x:c r="I42" s="2" t="str">
        <x:f>IF(B42="","",IF(C42&lt;='Config_v6'!$B$10,H42*B42/4,H42*(D42+3)/4*B42/(D42+B42)))</x:f>
      </x:c>
      <x:c r="J42" s="2" t="str">
        <x:f>IF(B42="","",IF(C42&lt;='Config_v6'!$B$10,I42*B42/5,I42*(D42+4)/5*B42/(D42+B42)))</x:f>
      </x:c>
      <x:c r="K42" s="2" t="str">
        <x:f>IF(B42="","",IF(C42&lt;='Config_v6'!$B$10,J42*B42/6,J42*(D42+5)/6*B42/(D42+B42)))</x:f>
      </x:c>
      <x:c r="L42" s="2" t="str">
        <x:f>IF(B42="","",IF(C42&lt;='Config_v6'!$B$10,K42*B42/7,K42*(D42+6)/7*B42/(D42+B42)))</x:f>
      </x:c>
      <x:c r="M42" s="2" t="str">
        <x:f>IF(B42="","",IF(C42&lt;='Config_v6'!$B$10,L42*B42/8,L42*(D42+7)/8*B42/(D42+B42)))</x:f>
      </x:c>
      <x:c r="N42" s="2" t="str">
        <x:f>IF(B42="","",IF(C42&lt;='Config_v6'!$B$10,M42*B42/9,M42*(D42+8)/9*B42/(D42+B42)))</x:f>
      </x:c>
      <x:c r="O42" s="2" t="str">
        <x:f>IF(B42="","",IF(C42&lt;='Config_v6'!$B$10,N42*B42/10,N42*(D42+9)/10*B42/(D42+B42)))</x:f>
      </x:c>
      <x:c r="P42" s="2" t="str">
        <x:f>IF(B42="","",IF(C42&lt;='Config_v6'!$B$10,O42*B42/11,O42*(D42+10)/11*B42/(D42+B42)))</x:f>
      </x:c>
      <x:c r="Q42" s="2" t="str">
        <x:f>IF(B42="","",IF(C42&lt;='Config_v6'!$B$10,P42*B42/12,P42*(D42+11)/12*B42/(D42+B42)))</x:f>
      </x:c>
      <x:c r="R42" s="2" t="str">
        <x:f>IF(B42="","",IF(C42&lt;='Config_v6'!$B$10,Q42*B42/13,Q42*(D42+12)/13*B42/(D42+B42)))</x:f>
      </x:c>
      <x:c r="S42" s="2" t="str">
        <x:f>IF(B42="","",IF(C42&lt;='Config_v6'!$B$10,R42*B42/14,R42*(D42+13)/14*B42/(D42+B42)))</x:f>
      </x:c>
      <x:c r="T42" s="2" t="str">
        <x:f>IF(B42="","",IF(C42&lt;='Config_v6'!$B$10,S42*B42/15,S42*(D42+14)/15*B42/(D42+B42)))</x:f>
      </x:c>
      <x:c r="U42" s="2" t="str">
        <x:f>IF(B42="","",IF(C42&lt;='Config_v6'!$B$10,T42*B42/16,T42*(D42+15)/16*B42/(D42+B42)))</x:f>
      </x:c>
      <x:c r="V42" s="2" t="str">
        <x:f>IF(B42="","",IF(C42&lt;='Config_v6'!$B$10,U42*B42/17,U42*(D42+16)/17*B42/(D42+B42)))</x:f>
      </x:c>
      <x:c r="W42" s="2" t="str">
        <x:f>IF(B42="","",IF(C42&lt;='Config_v6'!$B$10,V42*B42/18,V42*(D42+17)/18*B42/(D42+B42)))</x:f>
      </x:c>
      <x:c r="X42" s="2" t="str">
        <x:f>IF(B42="","",MIN(1,SUM(E42:E42)))</x:f>
      </x:c>
      <x:c r="Y42" s="2" t="str">
        <x:f>IF(B42="","",MIN(1,SUM(E42:F42)))</x:f>
      </x:c>
      <x:c r="Z42" s="2" t="str">
        <x:f>IF(B42="","",MIN(1,SUM(E42:G42)))</x:f>
      </x:c>
      <x:c r="AA42" s="2" t="str">
        <x:f>IF(B42="","",MIN(1,SUM(E42:H42)))</x:f>
      </x:c>
      <x:c r="AB42" s="2" t="str">
        <x:f>IF(B42="","",MIN(1,SUM(E42:I42)))</x:f>
      </x:c>
      <x:c r="AC42" s="2" t="str">
        <x:f>IF(B42="","",MIN(1,SUM(E42:J42)))</x:f>
      </x:c>
      <x:c r="AD42" s="2" t="str">
        <x:f>IF(B42="","",MIN(1,SUM(E42:K42)))</x:f>
      </x:c>
      <x:c r="AE42" s="2" t="str">
        <x:f>IF(B42="","",MIN(1,SUM(E42:L42)))</x:f>
      </x:c>
      <x:c r="AF42" s="2" t="str">
        <x:f>IF(B42="","",MIN(1,SUM(E42:M42)))</x:f>
      </x:c>
      <x:c r="AG42" s="2" t="str">
        <x:f>IF(B42="","",MIN(1,SUM(E42:N42)))</x:f>
      </x:c>
      <x:c r="AH42" s="2" t="str">
        <x:f>IF(B42="","",MIN(1,SUM(E42:O42)))</x:f>
      </x:c>
      <x:c r="AI42" s="2" t="str">
        <x:f>IF(B42="","",MIN(1,SUM(E42:P42)))</x:f>
      </x:c>
      <x:c r="AJ42" s="2" t="str">
        <x:f>IF(B42="","",MIN(1,SUM(E42:Q42)))</x:f>
      </x:c>
      <x:c r="AK42" s="2" t="str">
        <x:f>IF(B42="","",MIN(1,SUM(E42:R42)))</x:f>
      </x:c>
      <x:c r="AL42" s="2" t="str">
        <x:f>IF(B42="","",MIN(1,SUM(E42:S42)))</x:f>
      </x:c>
      <x:c r="AM42" s="2" t="str">
        <x:f>IF(B42="","",MIN(1,SUM(E42:T42)))</x:f>
      </x:c>
      <x:c r="AN42" s="2" t="str">
        <x:f>IF(B42="","",MIN(1,SUM(E42:U42)))</x:f>
      </x:c>
      <x:c r="AO42" s="2" t="str">
        <x:f>IF(B42="","",MIN(1,SUM(E42:V42)))</x:f>
      </x:c>
      <x:c r="AP42" s="2" t="str">
        <x:f>IF(B42="","",MIN(1,SUM(E42:W42)))</x:f>
      </x:c>
    </x:row>
    <x:row r="43" ht="21" customHeight="1">
      <x:c r="A43" s="2" t="str">
        <x:f>IF('Motor_Meciuri'!A43="","",'Motor_Meciuri'!A43)</x:f>
      </x:c>
      <x:c r="B43" s="2" t="str">
        <x:f>IF('Motor_Meciuri'!I43&lt;&gt;"PASS","",'Motor_Meciuri'!BD43)</x:f>
      </x:c>
      <x:c r="C43" s="2" t="str">
        <x:f>IF(B43="","",'Motor_Meciuri'!AU43)</x:f>
      </x:c>
      <x:c r="D43" s="2" t="str">
        <x:f>IF(B43="","",'Motor_Meciuri'!AW43)</x:f>
      </x:c>
      <x:c r="E43" s="2" t="str">
        <x:f>IF(B43="","",IF(C43&lt;='Config_v6'!$B$10,EXP(-B43),(D43/(D43+B43))^D43))</x:f>
      </x:c>
      <x:c r="F43" s="2" t="str">
        <x:f>IF(B43="","",IF(C43&lt;='Config_v6'!$B$10,E43*B43/1,E43*(D43+0)/1*B43/(D43+B43)))</x:f>
      </x:c>
      <x:c r="G43" s="2" t="str">
        <x:f>IF(B43="","",IF(C43&lt;='Config_v6'!$B$10,F43*B43/2,F43*(D43+1)/2*B43/(D43+B43)))</x:f>
      </x:c>
      <x:c r="H43" s="2" t="str">
        <x:f>IF(B43="","",IF(C43&lt;='Config_v6'!$B$10,G43*B43/3,G43*(D43+2)/3*B43/(D43+B43)))</x:f>
      </x:c>
      <x:c r="I43" s="2" t="str">
        <x:f>IF(B43="","",IF(C43&lt;='Config_v6'!$B$10,H43*B43/4,H43*(D43+3)/4*B43/(D43+B43)))</x:f>
      </x:c>
      <x:c r="J43" s="2" t="str">
        <x:f>IF(B43="","",IF(C43&lt;='Config_v6'!$B$10,I43*B43/5,I43*(D43+4)/5*B43/(D43+B43)))</x:f>
      </x:c>
      <x:c r="K43" s="2" t="str">
        <x:f>IF(B43="","",IF(C43&lt;='Config_v6'!$B$10,J43*B43/6,J43*(D43+5)/6*B43/(D43+B43)))</x:f>
      </x:c>
      <x:c r="L43" s="2" t="str">
        <x:f>IF(B43="","",IF(C43&lt;='Config_v6'!$B$10,K43*B43/7,K43*(D43+6)/7*B43/(D43+B43)))</x:f>
      </x:c>
      <x:c r="M43" s="2" t="str">
        <x:f>IF(B43="","",IF(C43&lt;='Config_v6'!$B$10,L43*B43/8,L43*(D43+7)/8*B43/(D43+B43)))</x:f>
      </x:c>
      <x:c r="N43" s="2" t="str">
        <x:f>IF(B43="","",IF(C43&lt;='Config_v6'!$B$10,M43*B43/9,M43*(D43+8)/9*B43/(D43+B43)))</x:f>
      </x:c>
      <x:c r="O43" s="2" t="str">
        <x:f>IF(B43="","",IF(C43&lt;='Config_v6'!$B$10,N43*B43/10,N43*(D43+9)/10*B43/(D43+B43)))</x:f>
      </x:c>
      <x:c r="P43" s="2" t="str">
        <x:f>IF(B43="","",IF(C43&lt;='Config_v6'!$B$10,O43*B43/11,O43*(D43+10)/11*B43/(D43+B43)))</x:f>
      </x:c>
      <x:c r="Q43" s="2" t="str">
        <x:f>IF(B43="","",IF(C43&lt;='Config_v6'!$B$10,P43*B43/12,P43*(D43+11)/12*B43/(D43+B43)))</x:f>
      </x:c>
      <x:c r="R43" s="2" t="str">
        <x:f>IF(B43="","",IF(C43&lt;='Config_v6'!$B$10,Q43*B43/13,Q43*(D43+12)/13*B43/(D43+B43)))</x:f>
      </x:c>
      <x:c r="S43" s="2" t="str">
        <x:f>IF(B43="","",IF(C43&lt;='Config_v6'!$B$10,R43*B43/14,R43*(D43+13)/14*B43/(D43+B43)))</x:f>
      </x:c>
      <x:c r="T43" s="2" t="str">
        <x:f>IF(B43="","",IF(C43&lt;='Config_v6'!$B$10,S43*B43/15,S43*(D43+14)/15*B43/(D43+B43)))</x:f>
      </x:c>
      <x:c r="U43" s="2" t="str">
        <x:f>IF(B43="","",IF(C43&lt;='Config_v6'!$B$10,T43*B43/16,T43*(D43+15)/16*B43/(D43+B43)))</x:f>
      </x:c>
      <x:c r="V43" s="2" t="str">
        <x:f>IF(B43="","",IF(C43&lt;='Config_v6'!$B$10,U43*B43/17,U43*(D43+16)/17*B43/(D43+B43)))</x:f>
      </x:c>
      <x:c r="W43" s="2" t="str">
        <x:f>IF(B43="","",IF(C43&lt;='Config_v6'!$B$10,V43*B43/18,V43*(D43+17)/18*B43/(D43+B43)))</x:f>
      </x:c>
      <x:c r="X43" s="2" t="str">
        <x:f>IF(B43="","",MIN(1,SUM(E43:E43)))</x:f>
      </x:c>
      <x:c r="Y43" s="2" t="str">
        <x:f>IF(B43="","",MIN(1,SUM(E43:F43)))</x:f>
      </x:c>
      <x:c r="Z43" s="2" t="str">
        <x:f>IF(B43="","",MIN(1,SUM(E43:G43)))</x:f>
      </x:c>
      <x:c r="AA43" s="2" t="str">
        <x:f>IF(B43="","",MIN(1,SUM(E43:H43)))</x:f>
      </x:c>
      <x:c r="AB43" s="2" t="str">
        <x:f>IF(B43="","",MIN(1,SUM(E43:I43)))</x:f>
      </x:c>
      <x:c r="AC43" s="2" t="str">
        <x:f>IF(B43="","",MIN(1,SUM(E43:J43)))</x:f>
      </x:c>
      <x:c r="AD43" s="2" t="str">
        <x:f>IF(B43="","",MIN(1,SUM(E43:K43)))</x:f>
      </x:c>
      <x:c r="AE43" s="2" t="str">
        <x:f>IF(B43="","",MIN(1,SUM(E43:L43)))</x:f>
      </x:c>
      <x:c r="AF43" s="2" t="str">
        <x:f>IF(B43="","",MIN(1,SUM(E43:M43)))</x:f>
      </x:c>
      <x:c r="AG43" s="2" t="str">
        <x:f>IF(B43="","",MIN(1,SUM(E43:N43)))</x:f>
      </x:c>
      <x:c r="AH43" s="2" t="str">
        <x:f>IF(B43="","",MIN(1,SUM(E43:O43)))</x:f>
      </x:c>
      <x:c r="AI43" s="2" t="str">
        <x:f>IF(B43="","",MIN(1,SUM(E43:P43)))</x:f>
      </x:c>
      <x:c r="AJ43" s="2" t="str">
        <x:f>IF(B43="","",MIN(1,SUM(E43:Q43)))</x:f>
      </x:c>
      <x:c r="AK43" s="2" t="str">
        <x:f>IF(B43="","",MIN(1,SUM(E43:R43)))</x:f>
      </x:c>
      <x:c r="AL43" s="2" t="str">
        <x:f>IF(B43="","",MIN(1,SUM(E43:S43)))</x:f>
      </x:c>
      <x:c r="AM43" s="2" t="str">
        <x:f>IF(B43="","",MIN(1,SUM(E43:T43)))</x:f>
      </x:c>
      <x:c r="AN43" s="2" t="str">
        <x:f>IF(B43="","",MIN(1,SUM(E43:U43)))</x:f>
      </x:c>
      <x:c r="AO43" s="2" t="str">
        <x:f>IF(B43="","",MIN(1,SUM(E43:V43)))</x:f>
      </x:c>
      <x:c r="AP43" s="2" t="str">
        <x:f>IF(B43="","",MIN(1,SUM(E43:W43)))</x:f>
      </x:c>
    </x:row>
    <x:row r="44" ht="21" customHeight="1">
      <x:c r="A44" s="2" t="str">
        <x:f>IF('Motor_Meciuri'!A44="","",'Motor_Meciuri'!A44)</x:f>
      </x:c>
      <x:c r="B44" s="2" t="str">
        <x:f>IF('Motor_Meciuri'!I44&lt;&gt;"PASS","",'Motor_Meciuri'!BD44)</x:f>
      </x:c>
      <x:c r="C44" s="2" t="str">
        <x:f>IF(B44="","",'Motor_Meciuri'!AU44)</x:f>
      </x:c>
      <x:c r="D44" s="2" t="str">
        <x:f>IF(B44="","",'Motor_Meciuri'!AW44)</x:f>
      </x:c>
      <x:c r="E44" s="2" t="str">
        <x:f>IF(B44="","",IF(C44&lt;='Config_v6'!$B$10,EXP(-B44),(D44/(D44+B44))^D44))</x:f>
      </x:c>
      <x:c r="F44" s="2" t="str">
        <x:f>IF(B44="","",IF(C44&lt;='Config_v6'!$B$10,E44*B44/1,E44*(D44+0)/1*B44/(D44+B44)))</x:f>
      </x:c>
      <x:c r="G44" s="2" t="str">
        <x:f>IF(B44="","",IF(C44&lt;='Config_v6'!$B$10,F44*B44/2,F44*(D44+1)/2*B44/(D44+B44)))</x:f>
      </x:c>
      <x:c r="H44" s="2" t="str">
        <x:f>IF(B44="","",IF(C44&lt;='Config_v6'!$B$10,G44*B44/3,G44*(D44+2)/3*B44/(D44+B44)))</x:f>
      </x:c>
      <x:c r="I44" s="2" t="str">
        <x:f>IF(B44="","",IF(C44&lt;='Config_v6'!$B$10,H44*B44/4,H44*(D44+3)/4*B44/(D44+B44)))</x:f>
      </x:c>
      <x:c r="J44" s="2" t="str">
        <x:f>IF(B44="","",IF(C44&lt;='Config_v6'!$B$10,I44*B44/5,I44*(D44+4)/5*B44/(D44+B44)))</x:f>
      </x:c>
      <x:c r="K44" s="2" t="str">
        <x:f>IF(B44="","",IF(C44&lt;='Config_v6'!$B$10,J44*B44/6,J44*(D44+5)/6*B44/(D44+B44)))</x:f>
      </x:c>
      <x:c r="L44" s="2" t="str">
        <x:f>IF(B44="","",IF(C44&lt;='Config_v6'!$B$10,K44*B44/7,K44*(D44+6)/7*B44/(D44+B44)))</x:f>
      </x:c>
      <x:c r="M44" s="2" t="str">
        <x:f>IF(B44="","",IF(C44&lt;='Config_v6'!$B$10,L44*B44/8,L44*(D44+7)/8*B44/(D44+B44)))</x:f>
      </x:c>
      <x:c r="N44" s="2" t="str">
        <x:f>IF(B44="","",IF(C44&lt;='Config_v6'!$B$10,M44*B44/9,M44*(D44+8)/9*B44/(D44+B44)))</x:f>
      </x:c>
      <x:c r="O44" s="2" t="str">
        <x:f>IF(B44="","",IF(C44&lt;='Config_v6'!$B$10,N44*B44/10,N44*(D44+9)/10*B44/(D44+B44)))</x:f>
      </x:c>
      <x:c r="P44" s="2" t="str">
        <x:f>IF(B44="","",IF(C44&lt;='Config_v6'!$B$10,O44*B44/11,O44*(D44+10)/11*B44/(D44+B44)))</x:f>
      </x:c>
      <x:c r="Q44" s="2" t="str">
        <x:f>IF(B44="","",IF(C44&lt;='Config_v6'!$B$10,P44*B44/12,P44*(D44+11)/12*B44/(D44+B44)))</x:f>
      </x:c>
      <x:c r="R44" s="2" t="str">
        <x:f>IF(B44="","",IF(C44&lt;='Config_v6'!$B$10,Q44*B44/13,Q44*(D44+12)/13*B44/(D44+B44)))</x:f>
      </x:c>
      <x:c r="S44" s="2" t="str">
        <x:f>IF(B44="","",IF(C44&lt;='Config_v6'!$B$10,R44*B44/14,R44*(D44+13)/14*B44/(D44+B44)))</x:f>
      </x:c>
      <x:c r="T44" s="2" t="str">
        <x:f>IF(B44="","",IF(C44&lt;='Config_v6'!$B$10,S44*B44/15,S44*(D44+14)/15*B44/(D44+B44)))</x:f>
      </x:c>
      <x:c r="U44" s="2" t="str">
        <x:f>IF(B44="","",IF(C44&lt;='Config_v6'!$B$10,T44*B44/16,T44*(D44+15)/16*B44/(D44+B44)))</x:f>
      </x:c>
      <x:c r="V44" s="2" t="str">
        <x:f>IF(B44="","",IF(C44&lt;='Config_v6'!$B$10,U44*B44/17,U44*(D44+16)/17*B44/(D44+B44)))</x:f>
      </x:c>
      <x:c r="W44" s="2" t="str">
        <x:f>IF(B44="","",IF(C44&lt;='Config_v6'!$B$10,V44*B44/18,V44*(D44+17)/18*B44/(D44+B44)))</x:f>
      </x:c>
      <x:c r="X44" s="2" t="str">
        <x:f>IF(B44="","",MIN(1,SUM(E44:E44)))</x:f>
      </x:c>
      <x:c r="Y44" s="2" t="str">
        <x:f>IF(B44="","",MIN(1,SUM(E44:F44)))</x:f>
      </x:c>
      <x:c r="Z44" s="2" t="str">
        <x:f>IF(B44="","",MIN(1,SUM(E44:G44)))</x:f>
      </x:c>
      <x:c r="AA44" s="2" t="str">
        <x:f>IF(B44="","",MIN(1,SUM(E44:H44)))</x:f>
      </x:c>
      <x:c r="AB44" s="2" t="str">
        <x:f>IF(B44="","",MIN(1,SUM(E44:I44)))</x:f>
      </x:c>
      <x:c r="AC44" s="2" t="str">
        <x:f>IF(B44="","",MIN(1,SUM(E44:J44)))</x:f>
      </x:c>
      <x:c r="AD44" s="2" t="str">
        <x:f>IF(B44="","",MIN(1,SUM(E44:K44)))</x:f>
      </x:c>
      <x:c r="AE44" s="2" t="str">
        <x:f>IF(B44="","",MIN(1,SUM(E44:L44)))</x:f>
      </x:c>
      <x:c r="AF44" s="2" t="str">
        <x:f>IF(B44="","",MIN(1,SUM(E44:M44)))</x:f>
      </x:c>
      <x:c r="AG44" s="2" t="str">
        <x:f>IF(B44="","",MIN(1,SUM(E44:N44)))</x:f>
      </x:c>
      <x:c r="AH44" s="2" t="str">
        <x:f>IF(B44="","",MIN(1,SUM(E44:O44)))</x:f>
      </x:c>
      <x:c r="AI44" s="2" t="str">
        <x:f>IF(B44="","",MIN(1,SUM(E44:P44)))</x:f>
      </x:c>
      <x:c r="AJ44" s="2" t="str">
        <x:f>IF(B44="","",MIN(1,SUM(E44:Q44)))</x:f>
      </x:c>
      <x:c r="AK44" s="2" t="str">
        <x:f>IF(B44="","",MIN(1,SUM(E44:R44)))</x:f>
      </x:c>
      <x:c r="AL44" s="2" t="str">
        <x:f>IF(B44="","",MIN(1,SUM(E44:S44)))</x:f>
      </x:c>
      <x:c r="AM44" s="2" t="str">
        <x:f>IF(B44="","",MIN(1,SUM(E44:T44)))</x:f>
      </x:c>
      <x:c r="AN44" s="2" t="str">
        <x:f>IF(B44="","",MIN(1,SUM(E44:U44)))</x:f>
      </x:c>
      <x:c r="AO44" s="2" t="str">
        <x:f>IF(B44="","",MIN(1,SUM(E44:V44)))</x:f>
      </x:c>
      <x:c r="AP44" s="2" t="str">
        <x:f>IF(B44="","",MIN(1,SUM(E44:W44)))</x:f>
      </x:c>
    </x:row>
    <x:row r="45" ht="21" customHeight="1">
      <x:c r="A45" s="2" t="str">
        <x:f>IF('Motor_Meciuri'!A45="","",'Motor_Meciuri'!A45)</x:f>
      </x:c>
      <x:c r="B45" s="2" t="str">
        <x:f>IF('Motor_Meciuri'!I45&lt;&gt;"PASS","",'Motor_Meciuri'!BD45)</x:f>
      </x:c>
      <x:c r="C45" s="2" t="str">
        <x:f>IF(B45="","",'Motor_Meciuri'!AU45)</x:f>
      </x:c>
      <x:c r="D45" s="2" t="str">
        <x:f>IF(B45="","",'Motor_Meciuri'!AW45)</x:f>
      </x:c>
      <x:c r="E45" s="2" t="str">
        <x:f>IF(B45="","",IF(C45&lt;='Config_v6'!$B$10,EXP(-B45),(D45/(D45+B45))^D45))</x:f>
      </x:c>
      <x:c r="F45" s="2" t="str">
        <x:f>IF(B45="","",IF(C45&lt;='Config_v6'!$B$10,E45*B45/1,E45*(D45+0)/1*B45/(D45+B45)))</x:f>
      </x:c>
      <x:c r="G45" s="2" t="str">
        <x:f>IF(B45="","",IF(C45&lt;='Config_v6'!$B$10,F45*B45/2,F45*(D45+1)/2*B45/(D45+B45)))</x:f>
      </x:c>
      <x:c r="H45" s="2" t="str">
        <x:f>IF(B45="","",IF(C45&lt;='Config_v6'!$B$10,G45*B45/3,G45*(D45+2)/3*B45/(D45+B45)))</x:f>
      </x:c>
      <x:c r="I45" s="2" t="str">
        <x:f>IF(B45="","",IF(C45&lt;='Config_v6'!$B$10,H45*B45/4,H45*(D45+3)/4*B45/(D45+B45)))</x:f>
      </x:c>
      <x:c r="J45" s="2" t="str">
        <x:f>IF(B45="","",IF(C45&lt;='Config_v6'!$B$10,I45*B45/5,I45*(D45+4)/5*B45/(D45+B45)))</x:f>
      </x:c>
      <x:c r="K45" s="2" t="str">
        <x:f>IF(B45="","",IF(C45&lt;='Config_v6'!$B$10,J45*B45/6,J45*(D45+5)/6*B45/(D45+B45)))</x:f>
      </x:c>
      <x:c r="L45" s="2" t="str">
        <x:f>IF(B45="","",IF(C45&lt;='Config_v6'!$B$10,K45*B45/7,K45*(D45+6)/7*B45/(D45+B45)))</x:f>
      </x:c>
      <x:c r="M45" s="2" t="str">
        <x:f>IF(B45="","",IF(C45&lt;='Config_v6'!$B$10,L45*B45/8,L45*(D45+7)/8*B45/(D45+B45)))</x:f>
      </x:c>
      <x:c r="N45" s="2" t="str">
        <x:f>IF(B45="","",IF(C45&lt;='Config_v6'!$B$10,M45*B45/9,M45*(D45+8)/9*B45/(D45+B45)))</x:f>
      </x:c>
      <x:c r="O45" s="2" t="str">
        <x:f>IF(B45="","",IF(C45&lt;='Config_v6'!$B$10,N45*B45/10,N45*(D45+9)/10*B45/(D45+B45)))</x:f>
      </x:c>
      <x:c r="P45" s="2" t="str">
        <x:f>IF(B45="","",IF(C45&lt;='Config_v6'!$B$10,O45*B45/11,O45*(D45+10)/11*B45/(D45+B45)))</x:f>
      </x:c>
      <x:c r="Q45" s="2" t="str">
        <x:f>IF(B45="","",IF(C45&lt;='Config_v6'!$B$10,P45*B45/12,P45*(D45+11)/12*B45/(D45+B45)))</x:f>
      </x:c>
      <x:c r="R45" s="2" t="str">
        <x:f>IF(B45="","",IF(C45&lt;='Config_v6'!$B$10,Q45*B45/13,Q45*(D45+12)/13*B45/(D45+B45)))</x:f>
      </x:c>
      <x:c r="S45" s="2" t="str">
        <x:f>IF(B45="","",IF(C45&lt;='Config_v6'!$B$10,R45*B45/14,R45*(D45+13)/14*B45/(D45+B45)))</x:f>
      </x:c>
      <x:c r="T45" s="2" t="str">
        <x:f>IF(B45="","",IF(C45&lt;='Config_v6'!$B$10,S45*B45/15,S45*(D45+14)/15*B45/(D45+B45)))</x:f>
      </x:c>
      <x:c r="U45" s="2" t="str">
        <x:f>IF(B45="","",IF(C45&lt;='Config_v6'!$B$10,T45*B45/16,T45*(D45+15)/16*B45/(D45+B45)))</x:f>
      </x:c>
      <x:c r="V45" s="2" t="str">
        <x:f>IF(B45="","",IF(C45&lt;='Config_v6'!$B$10,U45*B45/17,U45*(D45+16)/17*B45/(D45+B45)))</x:f>
      </x:c>
      <x:c r="W45" s="2" t="str">
        <x:f>IF(B45="","",IF(C45&lt;='Config_v6'!$B$10,V45*B45/18,V45*(D45+17)/18*B45/(D45+B45)))</x:f>
      </x:c>
      <x:c r="X45" s="2" t="str">
        <x:f>IF(B45="","",MIN(1,SUM(E45:E45)))</x:f>
      </x:c>
      <x:c r="Y45" s="2" t="str">
        <x:f>IF(B45="","",MIN(1,SUM(E45:F45)))</x:f>
      </x:c>
      <x:c r="Z45" s="2" t="str">
        <x:f>IF(B45="","",MIN(1,SUM(E45:G45)))</x:f>
      </x:c>
      <x:c r="AA45" s="2" t="str">
        <x:f>IF(B45="","",MIN(1,SUM(E45:H45)))</x:f>
      </x:c>
      <x:c r="AB45" s="2" t="str">
        <x:f>IF(B45="","",MIN(1,SUM(E45:I45)))</x:f>
      </x:c>
      <x:c r="AC45" s="2" t="str">
        <x:f>IF(B45="","",MIN(1,SUM(E45:J45)))</x:f>
      </x:c>
      <x:c r="AD45" s="2" t="str">
        <x:f>IF(B45="","",MIN(1,SUM(E45:K45)))</x:f>
      </x:c>
      <x:c r="AE45" s="2" t="str">
        <x:f>IF(B45="","",MIN(1,SUM(E45:L45)))</x:f>
      </x:c>
      <x:c r="AF45" s="2" t="str">
        <x:f>IF(B45="","",MIN(1,SUM(E45:M45)))</x:f>
      </x:c>
      <x:c r="AG45" s="2" t="str">
        <x:f>IF(B45="","",MIN(1,SUM(E45:N45)))</x:f>
      </x:c>
      <x:c r="AH45" s="2" t="str">
        <x:f>IF(B45="","",MIN(1,SUM(E45:O45)))</x:f>
      </x:c>
      <x:c r="AI45" s="2" t="str">
        <x:f>IF(B45="","",MIN(1,SUM(E45:P45)))</x:f>
      </x:c>
      <x:c r="AJ45" s="2" t="str">
        <x:f>IF(B45="","",MIN(1,SUM(E45:Q45)))</x:f>
      </x:c>
      <x:c r="AK45" s="2" t="str">
        <x:f>IF(B45="","",MIN(1,SUM(E45:R45)))</x:f>
      </x:c>
      <x:c r="AL45" s="2" t="str">
        <x:f>IF(B45="","",MIN(1,SUM(E45:S45)))</x:f>
      </x:c>
      <x:c r="AM45" s="2" t="str">
        <x:f>IF(B45="","",MIN(1,SUM(E45:T45)))</x:f>
      </x:c>
      <x:c r="AN45" s="2" t="str">
        <x:f>IF(B45="","",MIN(1,SUM(E45:U45)))</x:f>
      </x:c>
      <x:c r="AO45" s="2" t="str">
        <x:f>IF(B45="","",MIN(1,SUM(E45:V45)))</x:f>
      </x:c>
      <x:c r="AP45" s="2" t="str">
        <x:f>IF(B45="","",MIN(1,SUM(E45:W45)))</x:f>
      </x:c>
    </x:row>
    <x:row r="46" ht="21" customHeight="1">
      <x:c r="A46" s="2" t="str">
        <x:f>IF('Motor_Meciuri'!A46="","",'Motor_Meciuri'!A46)</x:f>
      </x:c>
      <x:c r="B46" s="2" t="str">
        <x:f>IF('Motor_Meciuri'!I46&lt;&gt;"PASS","",'Motor_Meciuri'!BD46)</x:f>
      </x:c>
      <x:c r="C46" s="2" t="str">
        <x:f>IF(B46="","",'Motor_Meciuri'!AU46)</x:f>
      </x:c>
      <x:c r="D46" s="2" t="str">
        <x:f>IF(B46="","",'Motor_Meciuri'!AW46)</x:f>
      </x:c>
      <x:c r="E46" s="2" t="str">
        <x:f>IF(B46="","",IF(C46&lt;='Config_v6'!$B$10,EXP(-B46),(D46/(D46+B46))^D46))</x:f>
      </x:c>
      <x:c r="F46" s="2" t="str">
        <x:f>IF(B46="","",IF(C46&lt;='Config_v6'!$B$10,E46*B46/1,E46*(D46+0)/1*B46/(D46+B46)))</x:f>
      </x:c>
      <x:c r="G46" s="2" t="str">
        <x:f>IF(B46="","",IF(C46&lt;='Config_v6'!$B$10,F46*B46/2,F46*(D46+1)/2*B46/(D46+B46)))</x:f>
      </x:c>
      <x:c r="H46" s="2" t="str">
        <x:f>IF(B46="","",IF(C46&lt;='Config_v6'!$B$10,G46*B46/3,G46*(D46+2)/3*B46/(D46+B46)))</x:f>
      </x:c>
      <x:c r="I46" s="2" t="str">
        <x:f>IF(B46="","",IF(C46&lt;='Config_v6'!$B$10,H46*B46/4,H46*(D46+3)/4*B46/(D46+B46)))</x:f>
      </x:c>
      <x:c r="J46" s="2" t="str">
        <x:f>IF(B46="","",IF(C46&lt;='Config_v6'!$B$10,I46*B46/5,I46*(D46+4)/5*B46/(D46+B46)))</x:f>
      </x:c>
      <x:c r="K46" s="2" t="str">
        <x:f>IF(B46="","",IF(C46&lt;='Config_v6'!$B$10,J46*B46/6,J46*(D46+5)/6*B46/(D46+B46)))</x:f>
      </x:c>
      <x:c r="L46" s="2" t="str">
        <x:f>IF(B46="","",IF(C46&lt;='Config_v6'!$B$10,K46*B46/7,K46*(D46+6)/7*B46/(D46+B46)))</x:f>
      </x:c>
      <x:c r="M46" s="2" t="str">
        <x:f>IF(B46="","",IF(C46&lt;='Config_v6'!$B$10,L46*B46/8,L46*(D46+7)/8*B46/(D46+B46)))</x:f>
      </x:c>
      <x:c r="N46" s="2" t="str">
        <x:f>IF(B46="","",IF(C46&lt;='Config_v6'!$B$10,M46*B46/9,M46*(D46+8)/9*B46/(D46+B46)))</x:f>
      </x:c>
      <x:c r="O46" s="2" t="str">
        <x:f>IF(B46="","",IF(C46&lt;='Config_v6'!$B$10,N46*B46/10,N46*(D46+9)/10*B46/(D46+B46)))</x:f>
      </x:c>
      <x:c r="P46" s="2" t="str">
        <x:f>IF(B46="","",IF(C46&lt;='Config_v6'!$B$10,O46*B46/11,O46*(D46+10)/11*B46/(D46+B46)))</x:f>
      </x:c>
      <x:c r="Q46" s="2" t="str">
        <x:f>IF(B46="","",IF(C46&lt;='Config_v6'!$B$10,P46*B46/12,P46*(D46+11)/12*B46/(D46+B46)))</x:f>
      </x:c>
      <x:c r="R46" s="2" t="str">
        <x:f>IF(B46="","",IF(C46&lt;='Config_v6'!$B$10,Q46*B46/13,Q46*(D46+12)/13*B46/(D46+B46)))</x:f>
      </x:c>
      <x:c r="S46" s="2" t="str">
        <x:f>IF(B46="","",IF(C46&lt;='Config_v6'!$B$10,R46*B46/14,R46*(D46+13)/14*B46/(D46+B46)))</x:f>
      </x:c>
      <x:c r="T46" s="2" t="str">
        <x:f>IF(B46="","",IF(C46&lt;='Config_v6'!$B$10,S46*B46/15,S46*(D46+14)/15*B46/(D46+B46)))</x:f>
      </x:c>
      <x:c r="U46" s="2" t="str">
        <x:f>IF(B46="","",IF(C46&lt;='Config_v6'!$B$10,T46*B46/16,T46*(D46+15)/16*B46/(D46+B46)))</x:f>
      </x:c>
      <x:c r="V46" s="2" t="str">
        <x:f>IF(B46="","",IF(C46&lt;='Config_v6'!$B$10,U46*B46/17,U46*(D46+16)/17*B46/(D46+B46)))</x:f>
      </x:c>
      <x:c r="W46" s="2" t="str">
        <x:f>IF(B46="","",IF(C46&lt;='Config_v6'!$B$10,V46*B46/18,V46*(D46+17)/18*B46/(D46+B46)))</x:f>
      </x:c>
      <x:c r="X46" s="2" t="str">
        <x:f>IF(B46="","",MIN(1,SUM(E46:E46)))</x:f>
      </x:c>
      <x:c r="Y46" s="2" t="str">
        <x:f>IF(B46="","",MIN(1,SUM(E46:F46)))</x:f>
      </x:c>
      <x:c r="Z46" s="2" t="str">
        <x:f>IF(B46="","",MIN(1,SUM(E46:G46)))</x:f>
      </x:c>
      <x:c r="AA46" s="2" t="str">
        <x:f>IF(B46="","",MIN(1,SUM(E46:H46)))</x:f>
      </x:c>
      <x:c r="AB46" s="2" t="str">
        <x:f>IF(B46="","",MIN(1,SUM(E46:I46)))</x:f>
      </x:c>
      <x:c r="AC46" s="2" t="str">
        <x:f>IF(B46="","",MIN(1,SUM(E46:J46)))</x:f>
      </x:c>
      <x:c r="AD46" s="2" t="str">
        <x:f>IF(B46="","",MIN(1,SUM(E46:K46)))</x:f>
      </x:c>
      <x:c r="AE46" s="2" t="str">
        <x:f>IF(B46="","",MIN(1,SUM(E46:L46)))</x:f>
      </x:c>
      <x:c r="AF46" s="2" t="str">
        <x:f>IF(B46="","",MIN(1,SUM(E46:M46)))</x:f>
      </x:c>
      <x:c r="AG46" s="2" t="str">
        <x:f>IF(B46="","",MIN(1,SUM(E46:N46)))</x:f>
      </x:c>
      <x:c r="AH46" s="2" t="str">
        <x:f>IF(B46="","",MIN(1,SUM(E46:O46)))</x:f>
      </x:c>
      <x:c r="AI46" s="2" t="str">
        <x:f>IF(B46="","",MIN(1,SUM(E46:P46)))</x:f>
      </x:c>
      <x:c r="AJ46" s="2" t="str">
        <x:f>IF(B46="","",MIN(1,SUM(E46:Q46)))</x:f>
      </x:c>
      <x:c r="AK46" s="2" t="str">
        <x:f>IF(B46="","",MIN(1,SUM(E46:R46)))</x:f>
      </x:c>
      <x:c r="AL46" s="2" t="str">
        <x:f>IF(B46="","",MIN(1,SUM(E46:S46)))</x:f>
      </x:c>
      <x:c r="AM46" s="2" t="str">
        <x:f>IF(B46="","",MIN(1,SUM(E46:T46)))</x:f>
      </x:c>
      <x:c r="AN46" s="2" t="str">
        <x:f>IF(B46="","",MIN(1,SUM(E46:U46)))</x:f>
      </x:c>
      <x:c r="AO46" s="2" t="str">
        <x:f>IF(B46="","",MIN(1,SUM(E46:V46)))</x:f>
      </x:c>
      <x:c r="AP46" s="2" t="str">
        <x:f>IF(B46="","",MIN(1,SUM(E46:W46)))</x:f>
      </x:c>
    </x:row>
    <x:row r="47" ht="21" customHeight="1">
      <x:c r="A47" s="2" t="str">
        <x:f>IF('Motor_Meciuri'!A47="","",'Motor_Meciuri'!A47)</x:f>
      </x:c>
      <x:c r="B47" s="2" t="str">
        <x:f>IF('Motor_Meciuri'!I47&lt;&gt;"PASS","",'Motor_Meciuri'!BD47)</x:f>
      </x:c>
      <x:c r="C47" s="2" t="str">
        <x:f>IF(B47="","",'Motor_Meciuri'!AU47)</x:f>
      </x:c>
      <x:c r="D47" s="2" t="str">
        <x:f>IF(B47="","",'Motor_Meciuri'!AW47)</x:f>
      </x:c>
      <x:c r="E47" s="2" t="str">
        <x:f>IF(B47="","",IF(C47&lt;='Config_v6'!$B$10,EXP(-B47),(D47/(D47+B47))^D47))</x:f>
      </x:c>
      <x:c r="F47" s="2" t="str">
        <x:f>IF(B47="","",IF(C47&lt;='Config_v6'!$B$10,E47*B47/1,E47*(D47+0)/1*B47/(D47+B47)))</x:f>
      </x:c>
      <x:c r="G47" s="2" t="str">
        <x:f>IF(B47="","",IF(C47&lt;='Config_v6'!$B$10,F47*B47/2,F47*(D47+1)/2*B47/(D47+B47)))</x:f>
      </x:c>
      <x:c r="H47" s="2" t="str">
        <x:f>IF(B47="","",IF(C47&lt;='Config_v6'!$B$10,G47*B47/3,G47*(D47+2)/3*B47/(D47+B47)))</x:f>
      </x:c>
      <x:c r="I47" s="2" t="str">
        <x:f>IF(B47="","",IF(C47&lt;='Config_v6'!$B$10,H47*B47/4,H47*(D47+3)/4*B47/(D47+B47)))</x:f>
      </x:c>
      <x:c r="J47" s="2" t="str">
        <x:f>IF(B47="","",IF(C47&lt;='Config_v6'!$B$10,I47*B47/5,I47*(D47+4)/5*B47/(D47+B47)))</x:f>
      </x:c>
      <x:c r="K47" s="2" t="str">
        <x:f>IF(B47="","",IF(C47&lt;='Config_v6'!$B$10,J47*B47/6,J47*(D47+5)/6*B47/(D47+B47)))</x:f>
      </x:c>
      <x:c r="L47" s="2" t="str">
        <x:f>IF(B47="","",IF(C47&lt;='Config_v6'!$B$10,K47*B47/7,K47*(D47+6)/7*B47/(D47+B47)))</x:f>
      </x:c>
      <x:c r="M47" s="2" t="str">
        <x:f>IF(B47="","",IF(C47&lt;='Config_v6'!$B$10,L47*B47/8,L47*(D47+7)/8*B47/(D47+B47)))</x:f>
      </x:c>
      <x:c r="N47" s="2" t="str">
        <x:f>IF(B47="","",IF(C47&lt;='Config_v6'!$B$10,M47*B47/9,M47*(D47+8)/9*B47/(D47+B47)))</x:f>
      </x:c>
      <x:c r="O47" s="2" t="str">
        <x:f>IF(B47="","",IF(C47&lt;='Config_v6'!$B$10,N47*B47/10,N47*(D47+9)/10*B47/(D47+B47)))</x:f>
      </x:c>
      <x:c r="P47" s="2" t="str">
        <x:f>IF(B47="","",IF(C47&lt;='Config_v6'!$B$10,O47*B47/11,O47*(D47+10)/11*B47/(D47+B47)))</x:f>
      </x:c>
      <x:c r="Q47" s="2" t="str">
        <x:f>IF(B47="","",IF(C47&lt;='Config_v6'!$B$10,P47*B47/12,P47*(D47+11)/12*B47/(D47+B47)))</x:f>
      </x:c>
      <x:c r="R47" s="2" t="str">
        <x:f>IF(B47="","",IF(C47&lt;='Config_v6'!$B$10,Q47*B47/13,Q47*(D47+12)/13*B47/(D47+B47)))</x:f>
      </x:c>
      <x:c r="S47" s="2" t="str">
        <x:f>IF(B47="","",IF(C47&lt;='Config_v6'!$B$10,R47*B47/14,R47*(D47+13)/14*B47/(D47+B47)))</x:f>
      </x:c>
      <x:c r="T47" s="2" t="str">
        <x:f>IF(B47="","",IF(C47&lt;='Config_v6'!$B$10,S47*B47/15,S47*(D47+14)/15*B47/(D47+B47)))</x:f>
      </x:c>
      <x:c r="U47" s="2" t="str">
        <x:f>IF(B47="","",IF(C47&lt;='Config_v6'!$B$10,T47*B47/16,T47*(D47+15)/16*B47/(D47+B47)))</x:f>
      </x:c>
      <x:c r="V47" s="2" t="str">
        <x:f>IF(B47="","",IF(C47&lt;='Config_v6'!$B$10,U47*B47/17,U47*(D47+16)/17*B47/(D47+B47)))</x:f>
      </x:c>
      <x:c r="W47" s="2" t="str">
        <x:f>IF(B47="","",IF(C47&lt;='Config_v6'!$B$10,V47*B47/18,V47*(D47+17)/18*B47/(D47+B47)))</x:f>
      </x:c>
      <x:c r="X47" s="2" t="str">
        <x:f>IF(B47="","",MIN(1,SUM(E47:E47)))</x:f>
      </x:c>
      <x:c r="Y47" s="2" t="str">
        <x:f>IF(B47="","",MIN(1,SUM(E47:F47)))</x:f>
      </x:c>
      <x:c r="Z47" s="2" t="str">
        <x:f>IF(B47="","",MIN(1,SUM(E47:G47)))</x:f>
      </x:c>
      <x:c r="AA47" s="2" t="str">
        <x:f>IF(B47="","",MIN(1,SUM(E47:H47)))</x:f>
      </x:c>
      <x:c r="AB47" s="2" t="str">
        <x:f>IF(B47="","",MIN(1,SUM(E47:I47)))</x:f>
      </x:c>
      <x:c r="AC47" s="2" t="str">
        <x:f>IF(B47="","",MIN(1,SUM(E47:J47)))</x:f>
      </x:c>
      <x:c r="AD47" s="2" t="str">
        <x:f>IF(B47="","",MIN(1,SUM(E47:K47)))</x:f>
      </x:c>
      <x:c r="AE47" s="2" t="str">
        <x:f>IF(B47="","",MIN(1,SUM(E47:L47)))</x:f>
      </x:c>
      <x:c r="AF47" s="2" t="str">
        <x:f>IF(B47="","",MIN(1,SUM(E47:M47)))</x:f>
      </x:c>
      <x:c r="AG47" s="2" t="str">
        <x:f>IF(B47="","",MIN(1,SUM(E47:N47)))</x:f>
      </x:c>
      <x:c r="AH47" s="2" t="str">
        <x:f>IF(B47="","",MIN(1,SUM(E47:O47)))</x:f>
      </x:c>
      <x:c r="AI47" s="2" t="str">
        <x:f>IF(B47="","",MIN(1,SUM(E47:P47)))</x:f>
      </x:c>
      <x:c r="AJ47" s="2" t="str">
        <x:f>IF(B47="","",MIN(1,SUM(E47:Q47)))</x:f>
      </x:c>
      <x:c r="AK47" s="2" t="str">
        <x:f>IF(B47="","",MIN(1,SUM(E47:R47)))</x:f>
      </x:c>
      <x:c r="AL47" s="2" t="str">
        <x:f>IF(B47="","",MIN(1,SUM(E47:S47)))</x:f>
      </x:c>
      <x:c r="AM47" s="2" t="str">
        <x:f>IF(B47="","",MIN(1,SUM(E47:T47)))</x:f>
      </x:c>
      <x:c r="AN47" s="2" t="str">
        <x:f>IF(B47="","",MIN(1,SUM(E47:U47)))</x:f>
      </x:c>
      <x:c r="AO47" s="2" t="str">
        <x:f>IF(B47="","",MIN(1,SUM(E47:V47)))</x:f>
      </x:c>
      <x:c r="AP47" s="2" t="str">
        <x:f>IF(B47="","",MIN(1,SUM(E47:W47)))</x:f>
      </x:c>
    </x:row>
    <x:row r="48" ht="21" customHeight="1">
      <x:c r="A48" s="2" t="str">
        <x:f>IF('Motor_Meciuri'!A48="","",'Motor_Meciuri'!A48)</x:f>
      </x:c>
      <x:c r="B48" s="2" t="str">
        <x:f>IF('Motor_Meciuri'!I48&lt;&gt;"PASS","",'Motor_Meciuri'!BD48)</x:f>
      </x:c>
      <x:c r="C48" s="2" t="str">
        <x:f>IF(B48="","",'Motor_Meciuri'!AU48)</x:f>
      </x:c>
      <x:c r="D48" s="2" t="str">
        <x:f>IF(B48="","",'Motor_Meciuri'!AW48)</x:f>
      </x:c>
      <x:c r="E48" s="2" t="str">
        <x:f>IF(B48="","",IF(C48&lt;='Config_v6'!$B$10,EXP(-B48),(D48/(D48+B48))^D48))</x:f>
      </x:c>
      <x:c r="F48" s="2" t="str">
        <x:f>IF(B48="","",IF(C48&lt;='Config_v6'!$B$10,E48*B48/1,E48*(D48+0)/1*B48/(D48+B48)))</x:f>
      </x:c>
      <x:c r="G48" s="2" t="str">
        <x:f>IF(B48="","",IF(C48&lt;='Config_v6'!$B$10,F48*B48/2,F48*(D48+1)/2*B48/(D48+B48)))</x:f>
      </x:c>
      <x:c r="H48" s="2" t="str">
        <x:f>IF(B48="","",IF(C48&lt;='Config_v6'!$B$10,G48*B48/3,G48*(D48+2)/3*B48/(D48+B48)))</x:f>
      </x:c>
      <x:c r="I48" s="2" t="str">
        <x:f>IF(B48="","",IF(C48&lt;='Config_v6'!$B$10,H48*B48/4,H48*(D48+3)/4*B48/(D48+B48)))</x:f>
      </x:c>
      <x:c r="J48" s="2" t="str">
        <x:f>IF(B48="","",IF(C48&lt;='Config_v6'!$B$10,I48*B48/5,I48*(D48+4)/5*B48/(D48+B48)))</x:f>
      </x:c>
      <x:c r="K48" s="2" t="str">
        <x:f>IF(B48="","",IF(C48&lt;='Config_v6'!$B$10,J48*B48/6,J48*(D48+5)/6*B48/(D48+B48)))</x:f>
      </x:c>
      <x:c r="L48" s="2" t="str">
        <x:f>IF(B48="","",IF(C48&lt;='Config_v6'!$B$10,K48*B48/7,K48*(D48+6)/7*B48/(D48+B48)))</x:f>
      </x:c>
      <x:c r="M48" s="2" t="str">
        <x:f>IF(B48="","",IF(C48&lt;='Config_v6'!$B$10,L48*B48/8,L48*(D48+7)/8*B48/(D48+B48)))</x:f>
      </x:c>
      <x:c r="N48" s="2" t="str">
        <x:f>IF(B48="","",IF(C48&lt;='Config_v6'!$B$10,M48*B48/9,M48*(D48+8)/9*B48/(D48+B48)))</x:f>
      </x:c>
      <x:c r="O48" s="2" t="str">
        <x:f>IF(B48="","",IF(C48&lt;='Config_v6'!$B$10,N48*B48/10,N48*(D48+9)/10*B48/(D48+B48)))</x:f>
      </x:c>
      <x:c r="P48" s="2" t="str">
        <x:f>IF(B48="","",IF(C48&lt;='Config_v6'!$B$10,O48*B48/11,O48*(D48+10)/11*B48/(D48+B48)))</x:f>
      </x:c>
      <x:c r="Q48" s="2" t="str">
        <x:f>IF(B48="","",IF(C48&lt;='Config_v6'!$B$10,P48*B48/12,P48*(D48+11)/12*B48/(D48+B48)))</x:f>
      </x:c>
      <x:c r="R48" s="2" t="str">
        <x:f>IF(B48="","",IF(C48&lt;='Config_v6'!$B$10,Q48*B48/13,Q48*(D48+12)/13*B48/(D48+B48)))</x:f>
      </x:c>
      <x:c r="S48" s="2" t="str">
        <x:f>IF(B48="","",IF(C48&lt;='Config_v6'!$B$10,R48*B48/14,R48*(D48+13)/14*B48/(D48+B48)))</x:f>
      </x:c>
      <x:c r="T48" s="2" t="str">
        <x:f>IF(B48="","",IF(C48&lt;='Config_v6'!$B$10,S48*B48/15,S48*(D48+14)/15*B48/(D48+B48)))</x:f>
      </x:c>
      <x:c r="U48" s="2" t="str">
        <x:f>IF(B48="","",IF(C48&lt;='Config_v6'!$B$10,T48*B48/16,T48*(D48+15)/16*B48/(D48+B48)))</x:f>
      </x:c>
      <x:c r="V48" s="2" t="str">
        <x:f>IF(B48="","",IF(C48&lt;='Config_v6'!$B$10,U48*B48/17,U48*(D48+16)/17*B48/(D48+B48)))</x:f>
      </x:c>
      <x:c r="W48" s="2" t="str">
        <x:f>IF(B48="","",IF(C48&lt;='Config_v6'!$B$10,V48*B48/18,V48*(D48+17)/18*B48/(D48+B48)))</x:f>
      </x:c>
      <x:c r="X48" s="2" t="str">
        <x:f>IF(B48="","",MIN(1,SUM(E48:E48)))</x:f>
      </x:c>
      <x:c r="Y48" s="2" t="str">
        <x:f>IF(B48="","",MIN(1,SUM(E48:F48)))</x:f>
      </x:c>
      <x:c r="Z48" s="2" t="str">
        <x:f>IF(B48="","",MIN(1,SUM(E48:G48)))</x:f>
      </x:c>
      <x:c r="AA48" s="2" t="str">
        <x:f>IF(B48="","",MIN(1,SUM(E48:H48)))</x:f>
      </x:c>
      <x:c r="AB48" s="2" t="str">
        <x:f>IF(B48="","",MIN(1,SUM(E48:I48)))</x:f>
      </x:c>
      <x:c r="AC48" s="2" t="str">
        <x:f>IF(B48="","",MIN(1,SUM(E48:J48)))</x:f>
      </x:c>
      <x:c r="AD48" s="2" t="str">
        <x:f>IF(B48="","",MIN(1,SUM(E48:K48)))</x:f>
      </x:c>
      <x:c r="AE48" s="2" t="str">
        <x:f>IF(B48="","",MIN(1,SUM(E48:L48)))</x:f>
      </x:c>
      <x:c r="AF48" s="2" t="str">
        <x:f>IF(B48="","",MIN(1,SUM(E48:M48)))</x:f>
      </x:c>
      <x:c r="AG48" s="2" t="str">
        <x:f>IF(B48="","",MIN(1,SUM(E48:N48)))</x:f>
      </x:c>
      <x:c r="AH48" s="2" t="str">
        <x:f>IF(B48="","",MIN(1,SUM(E48:O48)))</x:f>
      </x:c>
      <x:c r="AI48" s="2" t="str">
        <x:f>IF(B48="","",MIN(1,SUM(E48:P48)))</x:f>
      </x:c>
      <x:c r="AJ48" s="2" t="str">
        <x:f>IF(B48="","",MIN(1,SUM(E48:Q48)))</x:f>
      </x:c>
      <x:c r="AK48" s="2" t="str">
        <x:f>IF(B48="","",MIN(1,SUM(E48:R48)))</x:f>
      </x:c>
      <x:c r="AL48" s="2" t="str">
        <x:f>IF(B48="","",MIN(1,SUM(E48:S48)))</x:f>
      </x:c>
      <x:c r="AM48" s="2" t="str">
        <x:f>IF(B48="","",MIN(1,SUM(E48:T48)))</x:f>
      </x:c>
      <x:c r="AN48" s="2" t="str">
        <x:f>IF(B48="","",MIN(1,SUM(E48:U48)))</x:f>
      </x:c>
      <x:c r="AO48" s="2" t="str">
        <x:f>IF(B48="","",MIN(1,SUM(E48:V48)))</x:f>
      </x:c>
      <x:c r="AP48" s="2" t="str">
        <x:f>IF(B48="","",MIN(1,SUM(E48:W48)))</x:f>
      </x:c>
    </x:row>
    <x:row r="49" ht="21" customHeight="1">
      <x:c r="A49" s="2" t="str">
        <x:f>IF('Motor_Meciuri'!A49="","",'Motor_Meciuri'!A49)</x:f>
      </x:c>
      <x:c r="B49" s="2" t="str">
        <x:f>IF('Motor_Meciuri'!I49&lt;&gt;"PASS","",'Motor_Meciuri'!BD49)</x:f>
      </x:c>
      <x:c r="C49" s="2" t="str">
        <x:f>IF(B49="","",'Motor_Meciuri'!AU49)</x:f>
      </x:c>
      <x:c r="D49" s="2" t="str">
        <x:f>IF(B49="","",'Motor_Meciuri'!AW49)</x:f>
      </x:c>
      <x:c r="E49" s="2" t="str">
        <x:f>IF(B49="","",IF(C49&lt;='Config_v6'!$B$10,EXP(-B49),(D49/(D49+B49))^D49))</x:f>
      </x:c>
      <x:c r="F49" s="2" t="str">
        <x:f>IF(B49="","",IF(C49&lt;='Config_v6'!$B$10,E49*B49/1,E49*(D49+0)/1*B49/(D49+B49)))</x:f>
      </x:c>
      <x:c r="G49" s="2" t="str">
        <x:f>IF(B49="","",IF(C49&lt;='Config_v6'!$B$10,F49*B49/2,F49*(D49+1)/2*B49/(D49+B49)))</x:f>
      </x:c>
      <x:c r="H49" s="2" t="str">
        <x:f>IF(B49="","",IF(C49&lt;='Config_v6'!$B$10,G49*B49/3,G49*(D49+2)/3*B49/(D49+B49)))</x:f>
      </x:c>
      <x:c r="I49" s="2" t="str">
        <x:f>IF(B49="","",IF(C49&lt;='Config_v6'!$B$10,H49*B49/4,H49*(D49+3)/4*B49/(D49+B49)))</x:f>
      </x:c>
      <x:c r="J49" s="2" t="str">
        <x:f>IF(B49="","",IF(C49&lt;='Config_v6'!$B$10,I49*B49/5,I49*(D49+4)/5*B49/(D49+B49)))</x:f>
      </x:c>
      <x:c r="K49" s="2" t="str">
        <x:f>IF(B49="","",IF(C49&lt;='Config_v6'!$B$10,J49*B49/6,J49*(D49+5)/6*B49/(D49+B49)))</x:f>
      </x:c>
      <x:c r="L49" s="2" t="str">
        <x:f>IF(B49="","",IF(C49&lt;='Config_v6'!$B$10,K49*B49/7,K49*(D49+6)/7*B49/(D49+B49)))</x:f>
      </x:c>
      <x:c r="M49" s="2" t="str">
        <x:f>IF(B49="","",IF(C49&lt;='Config_v6'!$B$10,L49*B49/8,L49*(D49+7)/8*B49/(D49+B49)))</x:f>
      </x:c>
      <x:c r="N49" s="2" t="str">
        <x:f>IF(B49="","",IF(C49&lt;='Config_v6'!$B$10,M49*B49/9,M49*(D49+8)/9*B49/(D49+B49)))</x:f>
      </x:c>
      <x:c r="O49" s="2" t="str">
        <x:f>IF(B49="","",IF(C49&lt;='Config_v6'!$B$10,N49*B49/10,N49*(D49+9)/10*B49/(D49+B49)))</x:f>
      </x:c>
      <x:c r="P49" s="2" t="str">
        <x:f>IF(B49="","",IF(C49&lt;='Config_v6'!$B$10,O49*B49/11,O49*(D49+10)/11*B49/(D49+B49)))</x:f>
      </x:c>
      <x:c r="Q49" s="2" t="str">
        <x:f>IF(B49="","",IF(C49&lt;='Config_v6'!$B$10,P49*B49/12,P49*(D49+11)/12*B49/(D49+B49)))</x:f>
      </x:c>
      <x:c r="R49" s="2" t="str">
        <x:f>IF(B49="","",IF(C49&lt;='Config_v6'!$B$10,Q49*B49/13,Q49*(D49+12)/13*B49/(D49+B49)))</x:f>
      </x:c>
      <x:c r="S49" s="2" t="str">
        <x:f>IF(B49="","",IF(C49&lt;='Config_v6'!$B$10,R49*B49/14,R49*(D49+13)/14*B49/(D49+B49)))</x:f>
      </x:c>
      <x:c r="T49" s="2" t="str">
        <x:f>IF(B49="","",IF(C49&lt;='Config_v6'!$B$10,S49*B49/15,S49*(D49+14)/15*B49/(D49+B49)))</x:f>
      </x:c>
      <x:c r="U49" s="2" t="str">
        <x:f>IF(B49="","",IF(C49&lt;='Config_v6'!$B$10,T49*B49/16,T49*(D49+15)/16*B49/(D49+B49)))</x:f>
      </x:c>
      <x:c r="V49" s="2" t="str">
        <x:f>IF(B49="","",IF(C49&lt;='Config_v6'!$B$10,U49*B49/17,U49*(D49+16)/17*B49/(D49+B49)))</x:f>
      </x:c>
      <x:c r="W49" s="2" t="str">
        <x:f>IF(B49="","",IF(C49&lt;='Config_v6'!$B$10,V49*B49/18,V49*(D49+17)/18*B49/(D49+B49)))</x:f>
      </x:c>
      <x:c r="X49" s="2" t="str">
        <x:f>IF(B49="","",MIN(1,SUM(E49:E49)))</x:f>
      </x:c>
      <x:c r="Y49" s="2" t="str">
        <x:f>IF(B49="","",MIN(1,SUM(E49:F49)))</x:f>
      </x:c>
      <x:c r="Z49" s="2" t="str">
        <x:f>IF(B49="","",MIN(1,SUM(E49:G49)))</x:f>
      </x:c>
      <x:c r="AA49" s="2" t="str">
        <x:f>IF(B49="","",MIN(1,SUM(E49:H49)))</x:f>
      </x:c>
      <x:c r="AB49" s="2" t="str">
        <x:f>IF(B49="","",MIN(1,SUM(E49:I49)))</x:f>
      </x:c>
      <x:c r="AC49" s="2" t="str">
        <x:f>IF(B49="","",MIN(1,SUM(E49:J49)))</x:f>
      </x:c>
      <x:c r="AD49" s="2" t="str">
        <x:f>IF(B49="","",MIN(1,SUM(E49:K49)))</x:f>
      </x:c>
      <x:c r="AE49" s="2" t="str">
        <x:f>IF(B49="","",MIN(1,SUM(E49:L49)))</x:f>
      </x:c>
      <x:c r="AF49" s="2" t="str">
        <x:f>IF(B49="","",MIN(1,SUM(E49:M49)))</x:f>
      </x:c>
      <x:c r="AG49" s="2" t="str">
        <x:f>IF(B49="","",MIN(1,SUM(E49:N49)))</x:f>
      </x:c>
      <x:c r="AH49" s="2" t="str">
        <x:f>IF(B49="","",MIN(1,SUM(E49:O49)))</x:f>
      </x:c>
      <x:c r="AI49" s="2" t="str">
        <x:f>IF(B49="","",MIN(1,SUM(E49:P49)))</x:f>
      </x:c>
      <x:c r="AJ49" s="2" t="str">
        <x:f>IF(B49="","",MIN(1,SUM(E49:Q49)))</x:f>
      </x:c>
      <x:c r="AK49" s="2" t="str">
        <x:f>IF(B49="","",MIN(1,SUM(E49:R49)))</x:f>
      </x:c>
      <x:c r="AL49" s="2" t="str">
        <x:f>IF(B49="","",MIN(1,SUM(E49:S49)))</x:f>
      </x:c>
      <x:c r="AM49" s="2" t="str">
        <x:f>IF(B49="","",MIN(1,SUM(E49:T49)))</x:f>
      </x:c>
      <x:c r="AN49" s="2" t="str">
        <x:f>IF(B49="","",MIN(1,SUM(E49:U49)))</x:f>
      </x:c>
      <x:c r="AO49" s="2" t="str">
        <x:f>IF(B49="","",MIN(1,SUM(E49:V49)))</x:f>
      </x:c>
      <x:c r="AP49" s="2" t="str">
        <x:f>IF(B49="","",MIN(1,SUM(E49:W49)))</x:f>
      </x:c>
    </x:row>
    <x:row r="50" ht="21" customHeight="1">
      <x:c r="A50" s="2" t="str">
        <x:f>IF('Motor_Meciuri'!A50="","",'Motor_Meciuri'!A50)</x:f>
      </x:c>
      <x:c r="B50" s="2" t="str">
        <x:f>IF('Motor_Meciuri'!I50&lt;&gt;"PASS","",'Motor_Meciuri'!BD50)</x:f>
      </x:c>
      <x:c r="C50" s="2" t="str">
        <x:f>IF(B50="","",'Motor_Meciuri'!AU50)</x:f>
      </x:c>
      <x:c r="D50" s="2" t="str">
        <x:f>IF(B50="","",'Motor_Meciuri'!AW50)</x:f>
      </x:c>
      <x:c r="E50" s="2" t="str">
        <x:f>IF(B50="","",IF(C50&lt;='Config_v6'!$B$10,EXP(-B50),(D50/(D50+B50))^D50))</x:f>
      </x:c>
      <x:c r="F50" s="2" t="str">
        <x:f>IF(B50="","",IF(C50&lt;='Config_v6'!$B$10,E50*B50/1,E50*(D50+0)/1*B50/(D50+B50)))</x:f>
      </x:c>
      <x:c r="G50" s="2" t="str">
        <x:f>IF(B50="","",IF(C50&lt;='Config_v6'!$B$10,F50*B50/2,F50*(D50+1)/2*B50/(D50+B50)))</x:f>
      </x:c>
      <x:c r="H50" s="2" t="str">
        <x:f>IF(B50="","",IF(C50&lt;='Config_v6'!$B$10,G50*B50/3,G50*(D50+2)/3*B50/(D50+B50)))</x:f>
      </x:c>
      <x:c r="I50" s="2" t="str">
        <x:f>IF(B50="","",IF(C50&lt;='Config_v6'!$B$10,H50*B50/4,H50*(D50+3)/4*B50/(D50+B50)))</x:f>
      </x:c>
      <x:c r="J50" s="2" t="str">
        <x:f>IF(B50="","",IF(C50&lt;='Config_v6'!$B$10,I50*B50/5,I50*(D50+4)/5*B50/(D50+B50)))</x:f>
      </x:c>
      <x:c r="K50" s="2" t="str">
        <x:f>IF(B50="","",IF(C50&lt;='Config_v6'!$B$10,J50*B50/6,J50*(D50+5)/6*B50/(D50+B50)))</x:f>
      </x:c>
      <x:c r="L50" s="2" t="str">
        <x:f>IF(B50="","",IF(C50&lt;='Config_v6'!$B$10,K50*B50/7,K50*(D50+6)/7*B50/(D50+B50)))</x:f>
      </x:c>
      <x:c r="M50" s="2" t="str">
        <x:f>IF(B50="","",IF(C50&lt;='Config_v6'!$B$10,L50*B50/8,L50*(D50+7)/8*B50/(D50+B50)))</x:f>
      </x:c>
      <x:c r="N50" s="2" t="str">
        <x:f>IF(B50="","",IF(C50&lt;='Config_v6'!$B$10,M50*B50/9,M50*(D50+8)/9*B50/(D50+B50)))</x:f>
      </x:c>
      <x:c r="O50" s="2" t="str">
        <x:f>IF(B50="","",IF(C50&lt;='Config_v6'!$B$10,N50*B50/10,N50*(D50+9)/10*B50/(D50+B50)))</x:f>
      </x:c>
      <x:c r="P50" s="2" t="str">
        <x:f>IF(B50="","",IF(C50&lt;='Config_v6'!$B$10,O50*B50/11,O50*(D50+10)/11*B50/(D50+B50)))</x:f>
      </x:c>
      <x:c r="Q50" s="2" t="str">
        <x:f>IF(B50="","",IF(C50&lt;='Config_v6'!$B$10,P50*B50/12,P50*(D50+11)/12*B50/(D50+B50)))</x:f>
      </x:c>
      <x:c r="R50" s="2" t="str">
        <x:f>IF(B50="","",IF(C50&lt;='Config_v6'!$B$10,Q50*B50/13,Q50*(D50+12)/13*B50/(D50+B50)))</x:f>
      </x:c>
      <x:c r="S50" s="2" t="str">
        <x:f>IF(B50="","",IF(C50&lt;='Config_v6'!$B$10,R50*B50/14,R50*(D50+13)/14*B50/(D50+B50)))</x:f>
      </x:c>
      <x:c r="T50" s="2" t="str">
        <x:f>IF(B50="","",IF(C50&lt;='Config_v6'!$B$10,S50*B50/15,S50*(D50+14)/15*B50/(D50+B50)))</x:f>
      </x:c>
      <x:c r="U50" s="2" t="str">
        <x:f>IF(B50="","",IF(C50&lt;='Config_v6'!$B$10,T50*B50/16,T50*(D50+15)/16*B50/(D50+B50)))</x:f>
      </x:c>
      <x:c r="V50" s="2" t="str">
        <x:f>IF(B50="","",IF(C50&lt;='Config_v6'!$B$10,U50*B50/17,U50*(D50+16)/17*B50/(D50+B50)))</x:f>
      </x:c>
      <x:c r="W50" s="2" t="str">
        <x:f>IF(B50="","",IF(C50&lt;='Config_v6'!$B$10,V50*B50/18,V50*(D50+17)/18*B50/(D50+B50)))</x:f>
      </x:c>
      <x:c r="X50" s="2" t="str">
        <x:f>IF(B50="","",MIN(1,SUM(E50:E50)))</x:f>
      </x:c>
      <x:c r="Y50" s="2" t="str">
        <x:f>IF(B50="","",MIN(1,SUM(E50:F50)))</x:f>
      </x:c>
      <x:c r="Z50" s="2" t="str">
        <x:f>IF(B50="","",MIN(1,SUM(E50:G50)))</x:f>
      </x:c>
      <x:c r="AA50" s="2" t="str">
        <x:f>IF(B50="","",MIN(1,SUM(E50:H50)))</x:f>
      </x:c>
      <x:c r="AB50" s="2" t="str">
        <x:f>IF(B50="","",MIN(1,SUM(E50:I50)))</x:f>
      </x:c>
      <x:c r="AC50" s="2" t="str">
        <x:f>IF(B50="","",MIN(1,SUM(E50:J50)))</x:f>
      </x:c>
      <x:c r="AD50" s="2" t="str">
        <x:f>IF(B50="","",MIN(1,SUM(E50:K50)))</x:f>
      </x:c>
      <x:c r="AE50" s="2" t="str">
        <x:f>IF(B50="","",MIN(1,SUM(E50:L50)))</x:f>
      </x:c>
      <x:c r="AF50" s="2" t="str">
        <x:f>IF(B50="","",MIN(1,SUM(E50:M50)))</x:f>
      </x:c>
      <x:c r="AG50" s="2" t="str">
        <x:f>IF(B50="","",MIN(1,SUM(E50:N50)))</x:f>
      </x:c>
      <x:c r="AH50" s="2" t="str">
        <x:f>IF(B50="","",MIN(1,SUM(E50:O50)))</x:f>
      </x:c>
      <x:c r="AI50" s="2" t="str">
        <x:f>IF(B50="","",MIN(1,SUM(E50:P50)))</x:f>
      </x:c>
      <x:c r="AJ50" s="2" t="str">
        <x:f>IF(B50="","",MIN(1,SUM(E50:Q50)))</x:f>
      </x:c>
      <x:c r="AK50" s="2" t="str">
        <x:f>IF(B50="","",MIN(1,SUM(E50:R50)))</x:f>
      </x:c>
      <x:c r="AL50" s="2" t="str">
        <x:f>IF(B50="","",MIN(1,SUM(E50:S50)))</x:f>
      </x:c>
      <x:c r="AM50" s="2" t="str">
        <x:f>IF(B50="","",MIN(1,SUM(E50:T50)))</x:f>
      </x:c>
      <x:c r="AN50" s="2" t="str">
        <x:f>IF(B50="","",MIN(1,SUM(E50:U50)))</x:f>
      </x:c>
      <x:c r="AO50" s="2" t="str">
        <x:f>IF(B50="","",MIN(1,SUM(E50:V50)))</x:f>
      </x:c>
      <x:c r="AP50" s="2" t="str">
        <x:f>IF(B50="","",MIN(1,SUM(E50:W50)))</x:f>
      </x:c>
    </x:row>
    <x:row r="51" ht="21" customHeight="1">
      <x:c r="A51" s="2" t="str">
        <x:f>IF('Motor_Meciuri'!A51="","",'Motor_Meciuri'!A51)</x:f>
      </x:c>
      <x:c r="B51" s="2" t="str">
        <x:f>IF('Motor_Meciuri'!I51&lt;&gt;"PASS","",'Motor_Meciuri'!BD51)</x:f>
      </x:c>
      <x:c r="C51" s="2" t="str">
        <x:f>IF(B51="","",'Motor_Meciuri'!AU51)</x:f>
      </x:c>
      <x:c r="D51" s="2" t="str">
        <x:f>IF(B51="","",'Motor_Meciuri'!AW51)</x:f>
      </x:c>
      <x:c r="E51" s="2" t="str">
        <x:f>IF(B51="","",IF(C51&lt;='Config_v6'!$B$10,EXP(-B51),(D51/(D51+B51))^D51))</x:f>
      </x:c>
      <x:c r="F51" s="2" t="str">
        <x:f>IF(B51="","",IF(C51&lt;='Config_v6'!$B$10,E51*B51/1,E51*(D51+0)/1*B51/(D51+B51)))</x:f>
      </x:c>
      <x:c r="G51" s="2" t="str">
        <x:f>IF(B51="","",IF(C51&lt;='Config_v6'!$B$10,F51*B51/2,F51*(D51+1)/2*B51/(D51+B51)))</x:f>
      </x:c>
      <x:c r="H51" s="2" t="str">
        <x:f>IF(B51="","",IF(C51&lt;='Config_v6'!$B$10,G51*B51/3,G51*(D51+2)/3*B51/(D51+B51)))</x:f>
      </x:c>
      <x:c r="I51" s="2" t="str">
        <x:f>IF(B51="","",IF(C51&lt;='Config_v6'!$B$10,H51*B51/4,H51*(D51+3)/4*B51/(D51+B51)))</x:f>
      </x:c>
      <x:c r="J51" s="2" t="str">
        <x:f>IF(B51="","",IF(C51&lt;='Config_v6'!$B$10,I51*B51/5,I51*(D51+4)/5*B51/(D51+B51)))</x:f>
      </x:c>
      <x:c r="K51" s="2" t="str">
        <x:f>IF(B51="","",IF(C51&lt;='Config_v6'!$B$10,J51*B51/6,J51*(D51+5)/6*B51/(D51+B51)))</x:f>
      </x:c>
      <x:c r="L51" s="2" t="str">
        <x:f>IF(B51="","",IF(C51&lt;='Config_v6'!$B$10,K51*B51/7,K51*(D51+6)/7*B51/(D51+B51)))</x:f>
      </x:c>
      <x:c r="M51" s="2" t="str">
        <x:f>IF(B51="","",IF(C51&lt;='Config_v6'!$B$10,L51*B51/8,L51*(D51+7)/8*B51/(D51+B51)))</x:f>
      </x:c>
      <x:c r="N51" s="2" t="str">
        <x:f>IF(B51="","",IF(C51&lt;='Config_v6'!$B$10,M51*B51/9,M51*(D51+8)/9*B51/(D51+B51)))</x:f>
      </x:c>
      <x:c r="O51" s="2" t="str">
        <x:f>IF(B51="","",IF(C51&lt;='Config_v6'!$B$10,N51*B51/10,N51*(D51+9)/10*B51/(D51+B51)))</x:f>
      </x:c>
      <x:c r="P51" s="2" t="str">
        <x:f>IF(B51="","",IF(C51&lt;='Config_v6'!$B$10,O51*B51/11,O51*(D51+10)/11*B51/(D51+B51)))</x:f>
      </x:c>
      <x:c r="Q51" s="2" t="str">
        <x:f>IF(B51="","",IF(C51&lt;='Config_v6'!$B$10,P51*B51/12,P51*(D51+11)/12*B51/(D51+B51)))</x:f>
      </x:c>
      <x:c r="R51" s="2" t="str">
        <x:f>IF(B51="","",IF(C51&lt;='Config_v6'!$B$10,Q51*B51/13,Q51*(D51+12)/13*B51/(D51+B51)))</x:f>
      </x:c>
      <x:c r="S51" s="2" t="str">
        <x:f>IF(B51="","",IF(C51&lt;='Config_v6'!$B$10,R51*B51/14,R51*(D51+13)/14*B51/(D51+B51)))</x:f>
      </x:c>
      <x:c r="T51" s="2" t="str">
        <x:f>IF(B51="","",IF(C51&lt;='Config_v6'!$B$10,S51*B51/15,S51*(D51+14)/15*B51/(D51+B51)))</x:f>
      </x:c>
      <x:c r="U51" s="2" t="str">
        <x:f>IF(B51="","",IF(C51&lt;='Config_v6'!$B$10,T51*B51/16,T51*(D51+15)/16*B51/(D51+B51)))</x:f>
      </x:c>
      <x:c r="V51" s="2" t="str">
        <x:f>IF(B51="","",IF(C51&lt;='Config_v6'!$B$10,U51*B51/17,U51*(D51+16)/17*B51/(D51+B51)))</x:f>
      </x:c>
      <x:c r="W51" s="2" t="str">
        <x:f>IF(B51="","",IF(C51&lt;='Config_v6'!$B$10,V51*B51/18,V51*(D51+17)/18*B51/(D51+B51)))</x:f>
      </x:c>
      <x:c r="X51" s="2" t="str">
        <x:f>IF(B51="","",MIN(1,SUM(E51:E51)))</x:f>
      </x:c>
      <x:c r="Y51" s="2" t="str">
        <x:f>IF(B51="","",MIN(1,SUM(E51:F51)))</x:f>
      </x:c>
      <x:c r="Z51" s="2" t="str">
        <x:f>IF(B51="","",MIN(1,SUM(E51:G51)))</x:f>
      </x:c>
      <x:c r="AA51" s="2" t="str">
        <x:f>IF(B51="","",MIN(1,SUM(E51:H51)))</x:f>
      </x:c>
      <x:c r="AB51" s="2" t="str">
        <x:f>IF(B51="","",MIN(1,SUM(E51:I51)))</x:f>
      </x:c>
      <x:c r="AC51" s="2" t="str">
        <x:f>IF(B51="","",MIN(1,SUM(E51:J51)))</x:f>
      </x:c>
      <x:c r="AD51" s="2" t="str">
        <x:f>IF(B51="","",MIN(1,SUM(E51:K51)))</x:f>
      </x:c>
      <x:c r="AE51" s="2" t="str">
        <x:f>IF(B51="","",MIN(1,SUM(E51:L51)))</x:f>
      </x:c>
      <x:c r="AF51" s="2" t="str">
        <x:f>IF(B51="","",MIN(1,SUM(E51:M51)))</x:f>
      </x:c>
      <x:c r="AG51" s="2" t="str">
        <x:f>IF(B51="","",MIN(1,SUM(E51:N51)))</x:f>
      </x:c>
      <x:c r="AH51" s="2" t="str">
        <x:f>IF(B51="","",MIN(1,SUM(E51:O51)))</x:f>
      </x:c>
      <x:c r="AI51" s="2" t="str">
        <x:f>IF(B51="","",MIN(1,SUM(E51:P51)))</x:f>
      </x:c>
      <x:c r="AJ51" s="2" t="str">
        <x:f>IF(B51="","",MIN(1,SUM(E51:Q51)))</x:f>
      </x:c>
      <x:c r="AK51" s="2" t="str">
        <x:f>IF(B51="","",MIN(1,SUM(E51:R51)))</x:f>
      </x:c>
      <x:c r="AL51" s="2" t="str">
        <x:f>IF(B51="","",MIN(1,SUM(E51:S51)))</x:f>
      </x:c>
      <x:c r="AM51" s="2" t="str">
        <x:f>IF(B51="","",MIN(1,SUM(E51:T51)))</x:f>
      </x:c>
      <x:c r="AN51" s="2" t="str">
        <x:f>IF(B51="","",MIN(1,SUM(E51:U51)))</x:f>
      </x:c>
      <x:c r="AO51" s="2" t="str">
        <x:f>IF(B51="","",MIN(1,SUM(E51:V51)))</x:f>
      </x:c>
      <x:c r="AP51" s="2" t="str">
        <x:f>IF(B51="","",MIN(1,SUM(E51:W51)))</x:f>
      </x:c>
    </x:row>
    <x:row r="52" ht="21" customHeight="1">
      <x:c r="A52" s="2" t="str">
        <x:f>IF('Motor_Meciuri'!A52="","",'Motor_Meciuri'!A52)</x:f>
      </x:c>
      <x:c r="B52" s="2" t="str">
        <x:f>IF('Motor_Meciuri'!I52&lt;&gt;"PASS","",'Motor_Meciuri'!BD52)</x:f>
      </x:c>
      <x:c r="C52" s="2" t="str">
        <x:f>IF(B52="","",'Motor_Meciuri'!AU52)</x:f>
      </x:c>
      <x:c r="D52" s="2" t="str">
        <x:f>IF(B52="","",'Motor_Meciuri'!AW52)</x:f>
      </x:c>
      <x:c r="E52" s="2" t="str">
        <x:f>IF(B52="","",IF(C52&lt;='Config_v6'!$B$10,EXP(-B52),(D52/(D52+B52))^D52))</x:f>
      </x:c>
      <x:c r="F52" s="2" t="str">
        <x:f>IF(B52="","",IF(C52&lt;='Config_v6'!$B$10,E52*B52/1,E52*(D52+0)/1*B52/(D52+B52)))</x:f>
      </x:c>
      <x:c r="G52" s="2" t="str">
        <x:f>IF(B52="","",IF(C52&lt;='Config_v6'!$B$10,F52*B52/2,F52*(D52+1)/2*B52/(D52+B52)))</x:f>
      </x:c>
      <x:c r="H52" s="2" t="str">
        <x:f>IF(B52="","",IF(C52&lt;='Config_v6'!$B$10,G52*B52/3,G52*(D52+2)/3*B52/(D52+B52)))</x:f>
      </x:c>
      <x:c r="I52" s="2" t="str">
        <x:f>IF(B52="","",IF(C52&lt;='Config_v6'!$B$10,H52*B52/4,H52*(D52+3)/4*B52/(D52+B52)))</x:f>
      </x:c>
      <x:c r="J52" s="2" t="str">
        <x:f>IF(B52="","",IF(C52&lt;='Config_v6'!$B$10,I52*B52/5,I52*(D52+4)/5*B52/(D52+B52)))</x:f>
      </x:c>
      <x:c r="K52" s="2" t="str">
        <x:f>IF(B52="","",IF(C52&lt;='Config_v6'!$B$10,J52*B52/6,J52*(D52+5)/6*B52/(D52+B52)))</x:f>
      </x:c>
      <x:c r="L52" s="2" t="str">
        <x:f>IF(B52="","",IF(C52&lt;='Config_v6'!$B$10,K52*B52/7,K52*(D52+6)/7*B52/(D52+B52)))</x:f>
      </x:c>
      <x:c r="M52" s="2" t="str">
        <x:f>IF(B52="","",IF(C52&lt;='Config_v6'!$B$10,L52*B52/8,L52*(D52+7)/8*B52/(D52+B52)))</x:f>
      </x:c>
      <x:c r="N52" s="2" t="str">
        <x:f>IF(B52="","",IF(C52&lt;='Config_v6'!$B$10,M52*B52/9,M52*(D52+8)/9*B52/(D52+B52)))</x:f>
      </x:c>
      <x:c r="O52" s="2" t="str">
        <x:f>IF(B52="","",IF(C52&lt;='Config_v6'!$B$10,N52*B52/10,N52*(D52+9)/10*B52/(D52+B52)))</x:f>
      </x:c>
      <x:c r="P52" s="2" t="str">
        <x:f>IF(B52="","",IF(C52&lt;='Config_v6'!$B$10,O52*B52/11,O52*(D52+10)/11*B52/(D52+B52)))</x:f>
      </x:c>
      <x:c r="Q52" s="2" t="str">
        <x:f>IF(B52="","",IF(C52&lt;='Config_v6'!$B$10,P52*B52/12,P52*(D52+11)/12*B52/(D52+B52)))</x:f>
      </x:c>
      <x:c r="R52" s="2" t="str">
        <x:f>IF(B52="","",IF(C52&lt;='Config_v6'!$B$10,Q52*B52/13,Q52*(D52+12)/13*B52/(D52+B52)))</x:f>
      </x:c>
      <x:c r="S52" s="2" t="str">
        <x:f>IF(B52="","",IF(C52&lt;='Config_v6'!$B$10,R52*B52/14,R52*(D52+13)/14*B52/(D52+B52)))</x:f>
      </x:c>
      <x:c r="T52" s="2" t="str">
        <x:f>IF(B52="","",IF(C52&lt;='Config_v6'!$B$10,S52*B52/15,S52*(D52+14)/15*B52/(D52+B52)))</x:f>
      </x:c>
      <x:c r="U52" s="2" t="str">
        <x:f>IF(B52="","",IF(C52&lt;='Config_v6'!$B$10,T52*B52/16,T52*(D52+15)/16*B52/(D52+B52)))</x:f>
      </x:c>
      <x:c r="V52" s="2" t="str">
        <x:f>IF(B52="","",IF(C52&lt;='Config_v6'!$B$10,U52*B52/17,U52*(D52+16)/17*B52/(D52+B52)))</x:f>
      </x:c>
      <x:c r="W52" s="2" t="str">
        <x:f>IF(B52="","",IF(C52&lt;='Config_v6'!$B$10,V52*B52/18,V52*(D52+17)/18*B52/(D52+B52)))</x:f>
      </x:c>
      <x:c r="X52" s="2" t="str">
        <x:f>IF(B52="","",MIN(1,SUM(E52:E52)))</x:f>
      </x:c>
      <x:c r="Y52" s="2" t="str">
        <x:f>IF(B52="","",MIN(1,SUM(E52:F52)))</x:f>
      </x:c>
      <x:c r="Z52" s="2" t="str">
        <x:f>IF(B52="","",MIN(1,SUM(E52:G52)))</x:f>
      </x:c>
      <x:c r="AA52" s="2" t="str">
        <x:f>IF(B52="","",MIN(1,SUM(E52:H52)))</x:f>
      </x:c>
      <x:c r="AB52" s="2" t="str">
        <x:f>IF(B52="","",MIN(1,SUM(E52:I52)))</x:f>
      </x:c>
      <x:c r="AC52" s="2" t="str">
        <x:f>IF(B52="","",MIN(1,SUM(E52:J52)))</x:f>
      </x:c>
      <x:c r="AD52" s="2" t="str">
        <x:f>IF(B52="","",MIN(1,SUM(E52:K52)))</x:f>
      </x:c>
      <x:c r="AE52" s="2" t="str">
        <x:f>IF(B52="","",MIN(1,SUM(E52:L52)))</x:f>
      </x:c>
      <x:c r="AF52" s="2" t="str">
        <x:f>IF(B52="","",MIN(1,SUM(E52:M52)))</x:f>
      </x:c>
      <x:c r="AG52" s="2" t="str">
        <x:f>IF(B52="","",MIN(1,SUM(E52:N52)))</x:f>
      </x:c>
      <x:c r="AH52" s="2" t="str">
        <x:f>IF(B52="","",MIN(1,SUM(E52:O52)))</x:f>
      </x:c>
      <x:c r="AI52" s="2" t="str">
        <x:f>IF(B52="","",MIN(1,SUM(E52:P52)))</x:f>
      </x:c>
      <x:c r="AJ52" s="2" t="str">
        <x:f>IF(B52="","",MIN(1,SUM(E52:Q52)))</x:f>
      </x:c>
      <x:c r="AK52" s="2" t="str">
        <x:f>IF(B52="","",MIN(1,SUM(E52:R52)))</x:f>
      </x:c>
      <x:c r="AL52" s="2" t="str">
        <x:f>IF(B52="","",MIN(1,SUM(E52:S52)))</x:f>
      </x:c>
      <x:c r="AM52" s="2" t="str">
        <x:f>IF(B52="","",MIN(1,SUM(E52:T52)))</x:f>
      </x:c>
      <x:c r="AN52" s="2" t="str">
        <x:f>IF(B52="","",MIN(1,SUM(E52:U52)))</x:f>
      </x:c>
      <x:c r="AO52" s="2" t="str">
        <x:f>IF(B52="","",MIN(1,SUM(E52:V52)))</x:f>
      </x:c>
      <x:c r="AP52" s="2" t="str">
        <x:f>IF(B52="","",MIN(1,SUM(E52:W52)))</x:f>
      </x:c>
    </x:row>
    <x:row r="53" ht="21" customHeight="1">
      <x:c r="A53" s="2" t="str">
        <x:f>IF('Motor_Meciuri'!A53="","",'Motor_Meciuri'!A53)</x:f>
      </x:c>
      <x:c r="B53" s="2" t="str">
        <x:f>IF('Motor_Meciuri'!I53&lt;&gt;"PASS","",'Motor_Meciuri'!BD53)</x:f>
      </x:c>
      <x:c r="C53" s="2" t="str">
        <x:f>IF(B53="","",'Motor_Meciuri'!AU53)</x:f>
      </x:c>
      <x:c r="D53" s="2" t="str">
        <x:f>IF(B53="","",'Motor_Meciuri'!AW53)</x:f>
      </x:c>
      <x:c r="E53" s="2" t="str">
        <x:f>IF(B53="","",IF(C53&lt;='Config_v6'!$B$10,EXP(-B53),(D53/(D53+B53))^D53))</x:f>
      </x:c>
      <x:c r="F53" s="2" t="str">
        <x:f>IF(B53="","",IF(C53&lt;='Config_v6'!$B$10,E53*B53/1,E53*(D53+0)/1*B53/(D53+B53)))</x:f>
      </x:c>
      <x:c r="G53" s="2" t="str">
        <x:f>IF(B53="","",IF(C53&lt;='Config_v6'!$B$10,F53*B53/2,F53*(D53+1)/2*B53/(D53+B53)))</x:f>
      </x:c>
      <x:c r="H53" s="2" t="str">
        <x:f>IF(B53="","",IF(C53&lt;='Config_v6'!$B$10,G53*B53/3,G53*(D53+2)/3*B53/(D53+B53)))</x:f>
      </x:c>
      <x:c r="I53" s="2" t="str">
        <x:f>IF(B53="","",IF(C53&lt;='Config_v6'!$B$10,H53*B53/4,H53*(D53+3)/4*B53/(D53+B53)))</x:f>
      </x:c>
      <x:c r="J53" s="2" t="str">
        <x:f>IF(B53="","",IF(C53&lt;='Config_v6'!$B$10,I53*B53/5,I53*(D53+4)/5*B53/(D53+B53)))</x:f>
      </x:c>
      <x:c r="K53" s="2" t="str">
        <x:f>IF(B53="","",IF(C53&lt;='Config_v6'!$B$10,J53*B53/6,J53*(D53+5)/6*B53/(D53+B53)))</x:f>
      </x:c>
      <x:c r="L53" s="2" t="str">
        <x:f>IF(B53="","",IF(C53&lt;='Config_v6'!$B$10,K53*B53/7,K53*(D53+6)/7*B53/(D53+B53)))</x:f>
      </x:c>
      <x:c r="M53" s="2" t="str">
        <x:f>IF(B53="","",IF(C53&lt;='Config_v6'!$B$10,L53*B53/8,L53*(D53+7)/8*B53/(D53+B53)))</x:f>
      </x:c>
      <x:c r="N53" s="2" t="str">
        <x:f>IF(B53="","",IF(C53&lt;='Config_v6'!$B$10,M53*B53/9,M53*(D53+8)/9*B53/(D53+B53)))</x:f>
      </x:c>
      <x:c r="O53" s="2" t="str">
        <x:f>IF(B53="","",IF(C53&lt;='Config_v6'!$B$10,N53*B53/10,N53*(D53+9)/10*B53/(D53+B53)))</x:f>
      </x:c>
      <x:c r="P53" s="2" t="str">
        <x:f>IF(B53="","",IF(C53&lt;='Config_v6'!$B$10,O53*B53/11,O53*(D53+10)/11*B53/(D53+B53)))</x:f>
      </x:c>
      <x:c r="Q53" s="2" t="str">
        <x:f>IF(B53="","",IF(C53&lt;='Config_v6'!$B$10,P53*B53/12,P53*(D53+11)/12*B53/(D53+B53)))</x:f>
      </x:c>
      <x:c r="R53" s="2" t="str">
        <x:f>IF(B53="","",IF(C53&lt;='Config_v6'!$B$10,Q53*B53/13,Q53*(D53+12)/13*B53/(D53+B53)))</x:f>
      </x:c>
      <x:c r="S53" s="2" t="str">
        <x:f>IF(B53="","",IF(C53&lt;='Config_v6'!$B$10,R53*B53/14,R53*(D53+13)/14*B53/(D53+B53)))</x:f>
      </x:c>
      <x:c r="T53" s="2" t="str">
        <x:f>IF(B53="","",IF(C53&lt;='Config_v6'!$B$10,S53*B53/15,S53*(D53+14)/15*B53/(D53+B53)))</x:f>
      </x:c>
      <x:c r="U53" s="2" t="str">
        <x:f>IF(B53="","",IF(C53&lt;='Config_v6'!$B$10,T53*B53/16,T53*(D53+15)/16*B53/(D53+B53)))</x:f>
      </x:c>
      <x:c r="V53" s="2" t="str">
        <x:f>IF(B53="","",IF(C53&lt;='Config_v6'!$B$10,U53*B53/17,U53*(D53+16)/17*B53/(D53+B53)))</x:f>
      </x:c>
      <x:c r="W53" s="2" t="str">
        <x:f>IF(B53="","",IF(C53&lt;='Config_v6'!$B$10,V53*B53/18,V53*(D53+17)/18*B53/(D53+B53)))</x:f>
      </x:c>
      <x:c r="X53" s="2" t="str">
        <x:f>IF(B53="","",MIN(1,SUM(E53:E53)))</x:f>
      </x:c>
      <x:c r="Y53" s="2" t="str">
        <x:f>IF(B53="","",MIN(1,SUM(E53:F53)))</x:f>
      </x:c>
      <x:c r="Z53" s="2" t="str">
        <x:f>IF(B53="","",MIN(1,SUM(E53:G53)))</x:f>
      </x:c>
      <x:c r="AA53" s="2" t="str">
        <x:f>IF(B53="","",MIN(1,SUM(E53:H53)))</x:f>
      </x:c>
      <x:c r="AB53" s="2" t="str">
        <x:f>IF(B53="","",MIN(1,SUM(E53:I53)))</x:f>
      </x:c>
      <x:c r="AC53" s="2" t="str">
        <x:f>IF(B53="","",MIN(1,SUM(E53:J53)))</x:f>
      </x:c>
      <x:c r="AD53" s="2" t="str">
        <x:f>IF(B53="","",MIN(1,SUM(E53:K53)))</x:f>
      </x:c>
      <x:c r="AE53" s="2" t="str">
        <x:f>IF(B53="","",MIN(1,SUM(E53:L53)))</x:f>
      </x:c>
      <x:c r="AF53" s="2" t="str">
        <x:f>IF(B53="","",MIN(1,SUM(E53:M53)))</x:f>
      </x:c>
      <x:c r="AG53" s="2" t="str">
        <x:f>IF(B53="","",MIN(1,SUM(E53:N53)))</x:f>
      </x:c>
      <x:c r="AH53" s="2" t="str">
        <x:f>IF(B53="","",MIN(1,SUM(E53:O53)))</x:f>
      </x:c>
      <x:c r="AI53" s="2" t="str">
        <x:f>IF(B53="","",MIN(1,SUM(E53:P53)))</x:f>
      </x:c>
      <x:c r="AJ53" s="2" t="str">
        <x:f>IF(B53="","",MIN(1,SUM(E53:Q53)))</x:f>
      </x:c>
      <x:c r="AK53" s="2" t="str">
        <x:f>IF(B53="","",MIN(1,SUM(E53:R53)))</x:f>
      </x:c>
      <x:c r="AL53" s="2" t="str">
        <x:f>IF(B53="","",MIN(1,SUM(E53:S53)))</x:f>
      </x:c>
      <x:c r="AM53" s="2" t="str">
        <x:f>IF(B53="","",MIN(1,SUM(E53:T53)))</x:f>
      </x:c>
      <x:c r="AN53" s="2" t="str">
        <x:f>IF(B53="","",MIN(1,SUM(E53:U53)))</x:f>
      </x:c>
      <x:c r="AO53" s="2" t="str">
        <x:f>IF(B53="","",MIN(1,SUM(E53:V53)))</x:f>
      </x:c>
      <x:c r="AP53" s="2" t="str">
        <x:f>IF(B53="","",MIN(1,SUM(E53:W53)))</x:f>
      </x:c>
    </x:row>
    <x:row r="54" ht="21" customHeight="1">
      <x:c r="A54" s="2" t="str">
        <x:f>IF('Motor_Meciuri'!A54="","",'Motor_Meciuri'!A54)</x:f>
      </x:c>
      <x:c r="B54" s="2" t="str">
        <x:f>IF('Motor_Meciuri'!I54&lt;&gt;"PASS","",'Motor_Meciuri'!BD54)</x:f>
      </x:c>
      <x:c r="C54" s="2" t="str">
        <x:f>IF(B54="","",'Motor_Meciuri'!AU54)</x:f>
      </x:c>
      <x:c r="D54" s="2" t="str">
        <x:f>IF(B54="","",'Motor_Meciuri'!AW54)</x:f>
      </x:c>
      <x:c r="E54" s="2" t="str">
        <x:f>IF(B54="","",IF(C54&lt;='Config_v6'!$B$10,EXP(-B54),(D54/(D54+B54))^D54))</x:f>
      </x:c>
      <x:c r="F54" s="2" t="str">
        <x:f>IF(B54="","",IF(C54&lt;='Config_v6'!$B$10,E54*B54/1,E54*(D54+0)/1*B54/(D54+B54)))</x:f>
      </x:c>
      <x:c r="G54" s="2" t="str">
        <x:f>IF(B54="","",IF(C54&lt;='Config_v6'!$B$10,F54*B54/2,F54*(D54+1)/2*B54/(D54+B54)))</x:f>
      </x:c>
      <x:c r="H54" s="2" t="str">
        <x:f>IF(B54="","",IF(C54&lt;='Config_v6'!$B$10,G54*B54/3,G54*(D54+2)/3*B54/(D54+B54)))</x:f>
      </x:c>
      <x:c r="I54" s="2" t="str">
        <x:f>IF(B54="","",IF(C54&lt;='Config_v6'!$B$10,H54*B54/4,H54*(D54+3)/4*B54/(D54+B54)))</x:f>
      </x:c>
      <x:c r="J54" s="2" t="str">
        <x:f>IF(B54="","",IF(C54&lt;='Config_v6'!$B$10,I54*B54/5,I54*(D54+4)/5*B54/(D54+B54)))</x:f>
      </x:c>
      <x:c r="K54" s="2" t="str">
        <x:f>IF(B54="","",IF(C54&lt;='Config_v6'!$B$10,J54*B54/6,J54*(D54+5)/6*B54/(D54+B54)))</x:f>
      </x:c>
      <x:c r="L54" s="2" t="str">
        <x:f>IF(B54="","",IF(C54&lt;='Config_v6'!$B$10,K54*B54/7,K54*(D54+6)/7*B54/(D54+B54)))</x:f>
      </x:c>
      <x:c r="M54" s="2" t="str">
        <x:f>IF(B54="","",IF(C54&lt;='Config_v6'!$B$10,L54*B54/8,L54*(D54+7)/8*B54/(D54+B54)))</x:f>
      </x:c>
      <x:c r="N54" s="2" t="str">
        <x:f>IF(B54="","",IF(C54&lt;='Config_v6'!$B$10,M54*B54/9,M54*(D54+8)/9*B54/(D54+B54)))</x:f>
      </x:c>
      <x:c r="O54" s="2" t="str">
        <x:f>IF(B54="","",IF(C54&lt;='Config_v6'!$B$10,N54*B54/10,N54*(D54+9)/10*B54/(D54+B54)))</x:f>
      </x:c>
      <x:c r="P54" s="2" t="str">
        <x:f>IF(B54="","",IF(C54&lt;='Config_v6'!$B$10,O54*B54/11,O54*(D54+10)/11*B54/(D54+B54)))</x:f>
      </x:c>
      <x:c r="Q54" s="2" t="str">
        <x:f>IF(B54="","",IF(C54&lt;='Config_v6'!$B$10,P54*B54/12,P54*(D54+11)/12*B54/(D54+B54)))</x:f>
      </x:c>
      <x:c r="R54" s="2" t="str">
        <x:f>IF(B54="","",IF(C54&lt;='Config_v6'!$B$10,Q54*B54/13,Q54*(D54+12)/13*B54/(D54+B54)))</x:f>
      </x:c>
      <x:c r="S54" s="2" t="str">
        <x:f>IF(B54="","",IF(C54&lt;='Config_v6'!$B$10,R54*B54/14,R54*(D54+13)/14*B54/(D54+B54)))</x:f>
      </x:c>
      <x:c r="T54" s="2" t="str">
        <x:f>IF(B54="","",IF(C54&lt;='Config_v6'!$B$10,S54*B54/15,S54*(D54+14)/15*B54/(D54+B54)))</x:f>
      </x:c>
      <x:c r="U54" s="2" t="str">
        <x:f>IF(B54="","",IF(C54&lt;='Config_v6'!$B$10,T54*B54/16,T54*(D54+15)/16*B54/(D54+B54)))</x:f>
      </x:c>
      <x:c r="V54" s="2" t="str">
        <x:f>IF(B54="","",IF(C54&lt;='Config_v6'!$B$10,U54*B54/17,U54*(D54+16)/17*B54/(D54+B54)))</x:f>
      </x:c>
      <x:c r="W54" s="2" t="str">
        <x:f>IF(B54="","",IF(C54&lt;='Config_v6'!$B$10,V54*B54/18,V54*(D54+17)/18*B54/(D54+B54)))</x:f>
      </x:c>
      <x:c r="X54" s="2" t="str">
        <x:f>IF(B54="","",MIN(1,SUM(E54:E54)))</x:f>
      </x:c>
      <x:c r="Y54" s="2" t="str">
        <x:f>IF(B54="","",MIN(1,SUM(E54:F54)))</x:f>
      </x:c>
      <x:c r="Z54" s="2" t="str">
        <x:f>IF(B54="","",MIN(1,SUM(E54:G54)))</x:f>
      </x:c>
      <x:c r="AA54" s="2" t="str">
        <x:f>IF(B54="","",MIN(1,SUM(E54:H54)))</x:f>
      </x:c>
      <x:c r="AB54" s="2" t="str">
        <x:f>IF(B54="","",MIN(1,SUM(E54:I54)))</x:f>
      </x:c>
      <x:c r="AC54" s="2" t="str">
        <x:f>IF(B54="","",MIN(1,SUM(E54:J54)))</x:f>
      </x:c>
      <x:c r="AD54" s="2" t="str">
        <x:f>IF(B54="","",MIN(1,SUM(E54:K54)))</x:f>
      </x:c>
      <x:c r="AE54" s="2" t="str">
        <x:f>IF(B54="","",MIN(1,SUM(E54:L54)))</x:f>
      </x:c>
      <x:c r="AF54" s="2" t="str">
        <x:f>IF(B54="","",MIN(1,SUM(E54:M54)))</x:f>
      </x:c>
      <x:c r="AG54" s="2" t="str">
        <x:f>IF(B54="","",MIN(1,SUM(E54:N54)))</x:f>
      </x:c>
      <x:c r="AH54" s="2" t="str">
        <x:f>IF(B54="","",MIN(1,SUM(E54:O54)))</x:f>
      </x:c>
      <x:c r="AI54" s="2" t="str">
        <x:f>IF(B54="","",MIN(1,SUM(E54:P54)))</x:f>
      </x:c>
      <x:c r="AJ54" s="2" t="str">
        <x:f>IF(B54="","",MIN(1,SUM(E54:Q54)))</x:f>
      </x:c>
      <x:c r="AK54" s="2" t="str">
        <x:f>IF(B54="","",MIN(1,SUM(E54:R54)))</x:f>
      </x:c>
      <x:c r="AL54" s="2" t="str">
        <x:f>IF(B54="","",MIN(1,SUM(E54:S54)))</x:f>
      </x:c>
      <x:c r="AM54" s="2" t="str">
        <x:f>IF(B54="","",MIN(1,SUM(E54:T54)))</x:f>
      </x:c>
      <x:c r="AN54" s="2" t="str">
        <x:f>IF(B54="","",MIN(1,SUM(E54:U54)))</x:f>
      </x:c>
      <x:c r="AO54" s="2" t="str">
        <x:f>IF(B54="","",MIN(1,SUM(E54:V54)))</x:f>
      </x:c>
      <x:c r="AP54" s="2" t="str">
        <x:f>IF(B54="","",MIN(1,SUM(E54:W54)))</x:f>
      </x:c>
    </x:row>
    <x:row r="55" ht="21" customHeight="1">
      <x:c r="A55" s="2" t="str">
        <x:f>IF('Motor_Meciuri'!A55="","",'Motor_Meciuri'!A55)</x:f>
      </x:c>
      <x:c r="B55" s="2" t="str">
        <x:f>IF('Motor_Meciuri'!I55&lt;&gt;"PASS","",'Motor_Meciuri'!BD55)</x:f>
      </x:c>
      <x:c r="C55" s="2" t="str">
        <x:f>IF(B55="","",'Motor_Meciuri'!AU55)</x:f>
      </x:c>
      <x:c r="D55" s="2" t="str">
        <x:f>IF(B55="","",'Motor_Meciuri'!AW55)</x:f>
      </x:c>
      <x:c r="E55" s="2" t="str">
        <x:f>IF(B55="","",IF(C55&lt;='Config_v6'!$B$10,EXP(-B55),(D55/(D55+B55))^D55))</x:f>
      </x:c>
      <x:c r="F55" s="2" t="str">
        <x:f>IF(B55="","",IF(C55&lt;='Config_v6'!$B$10,E55*B55/1,E55*(D55+0)/1*B55/(D55+B55)))</x:f>
      </x:c>
      <x:c r="G55" s="2" t="str">
        <x:f>IF(B55="","",IF(C55&lt;='Config_v6'!$B$10,F55*B55/2,F55*(D55+1)/2*B55/(D55+B55)))</x:f>
      </x:c>
      <x:c r="H55" s="2" t="str">
        <x:f>IF(B55="","",IF(C55&lt;='Config_v6'!$B$10,G55*B55/3,G55*(D55+2)/3*B55/(D55+B55)))</x:f>
      </x:c>
      <x:c r="I55" s="2" t="str">
        <x:f>IF(B55="","",IF(C55&lt;='Config_v6'!$B$10,H55*B55/4,H55*(D55+3)/4*B55/(D55+B55)))</x:f>
      </x:c>
      <x:c r="J55" s="2" t="str">
        <x:f>IF(B55="","",IF(C55&lt;='Config_v6'!$B$10,I55*B55/5,I55*(D55+4)/5*B55/(D55+B55)))</x:f>
      </x:c>
      <x:c r="K55" s="2" t="str">
        <x:f>IF(B55="","",IF(C55&lt;='Config_v6'!$B$10,J55*B55/6,J55*(D55+5)/6*B55/(D55+B55)))</x:f>
      </x:c>
      <x:c r="L55" s="2" t="str">
        <x:f>IF(B55="","",IF(C55&lt;='Config_v6'!$B$10,K55*B55/7,K55*(D55+6)/7*B55/(D55+B55)))</x:f>
      </x:c>
      <x:c r="M55" s="2" t="str">
        <x:f>IF(B55="","",IF(C55&lt;='Config_v6'!$B$10,L55*B55/8,L55*(D55+7)/8*B55/(D55+B55)))</x:f>
      </x:c>
      <x:c r="N55" s="2" t="str">
        <x:f>IF(B55="","",IF(C55&lt;='Config_v6'!$B$10,M55*B55/9,M55*(D55+8)/9*B55/(D55+B55)))</x:f>
      </x:c>
      <x:c r="O55" s="2" t="str">
        <x:f>IF(B55="","",IF(C55&lt;='Config_v6'!$B$10,N55*B55/10,N55*(D55+9)/10*B55/(D55+B55)))</x:f>
      </x:c>
      <x:c r="P55" s="2" t="str">
        <x:f>IF(B55="","",IF(C55&lt;='Config_v6'!$B$10,O55*B55/11,O55*(D55+10)/11*B55/(D55+B55)))</x:f>
      </x:c>
      <x:c r="Q55" s="2" t="str">
        <x:f>IF(B55="","",IF(C55&lt;='Config_v6'!$B$10,P55*B55/12,P55*(D55+11)/12*B55/(D55+B55)))</x:f>
      </x:c>
      <x:c r="R55" s="2" t="str">
        <x:f>IF(B55="","",IF(C55&lt;='Config_v6'!$B$10,Q55*B55/13,Q55*(D55+12)/13*B55/(D55+B55)))</x:f>
      </x:c>
      <x:c r="S55" s="2" t="str">
        <x:f>IF(B55="","",IF(C55&lt;='Config_v6'!$B$10,R55*B55/14,R55*(D55+13)/14*B55/(D55+B55)))</x:f>
      </x:c>
      <x:c r="T55" s="2" t="str">
        <x:f>IF(B55="","",IF(C55&lt;='Config_v6'!$B$10,S55*B55/15,S55*(D55+14)/15*B55/(D55+B55)))</x:f>
      </x:c>
      <x:c r="U55" s="2" t="str">
        <x:f>IF(B55="","",IF(C55&lt;='Config_v6'!$B$10,T55*B55/16,T55*(D55+15)/16*B55/(D55+B55)))</x:f>
      </x:c>
      <x:c r="V55" s="2" t="str">
        <x:f>IF(B55="","",IF(C55&lt;='Config_v6'!$B$10,U55*B55/17,U55*(D55+16)/17*B55/(D55+B55)))</x:f>
      </x:c>
      <x:c r="W55" s="2" t="str">
        <x:f>IF(B55="","",IF(C55&lt;='Config_v6'!$B$10,V55*B55/18,V55*(D55+17)/18*B55/(D55+B55)))</x:f>
      </x:c>
      <x:c r="X55" s="2" t="str">
        <x:f>IF(B55="","",MIN(1,SUM(E55:E55)))</x:f>
      </x:c>
      <x:c r="Y55" s="2" t="str">
        <x:f>IF(B55="","",MIN(1,SUM(E55:F55)))</x:f>
      </x:c>
      <x:c r="Z55" s="2" t="str">
        <x:f>IF(B55="","",MIN(1,SUM(E55:G55)))</x:f>
      </x:c>
      <x:c r="AA55" s="2" t="str">
        <x:f>IF(B55="","",MIN(1,SUM(E55:H55)))</x:f>
      </x:c>
      <x:c r="AB55" s="2" t="str">
        <x:f>IF(B55="","",MIN(1,SUM(E55:I55)))</x:f>
      </x:c>
      <x:c r="AC55" s="2" t="str">
        <x:f>IF(B55="","",MIN(1,SUM(E55:J55)))</x:f>
      </x:c>
      <x:c r="AD55" s="2" t="str">
        <x:f>IF(B55="","",MIN(1,SUM(E55:K55)))</x:f>
      </x:c>
      <x:c r="AE55" s="2" t="str">
        <x:f>IF(B55="","",MIN(1,SUM(E55:L55)))</x:f>
      </x:c>
      <x:c r="AF55" s="2" t="str">
        <x:f>IF(B55="","",MIN(1,SUM(E55:M55)))</x:f>
      </x:c>
      <x:c r="AG55" s="2" t="str">
        <x:f>IF(B55="","",MIN(1,SUM(E55:N55)))</x:f>
      </x:c>
      <x:c r="AH55" s="2" t="str">
        <x:f>IF(B55="","",MIN(1,SUM(E55:O55)))</x:f>
      </x:c>
      <x:c r="AI55" s="2" t="str">
        <x:f>IF(B55="","",MIN(1,SUM(E55:P55)))</x:f>
      </x:c>
      <x:c r="AJ55" s="2" t="str">
        <x:f>IF(B55="","",MIN(1,SUM(E55:Q55)))</x:f>
      </x:c>
      <x:c r="AK55" s="2" t="str">
        <x:f>IF(B55="","",MIN(1,SUM(E55:R55)))</x:f>
      </x:c>
      <x:c r="AL55" s="2" t="str">
        <x:f>IF(B55="","",MIN(1,SUM(E55:S55)))</x:f>
      </x:c>
      <x:c r="AM55" s="2" t="str">
        <x:f>IF(B55="","",MIN(1,SUM(E55:T55)))</x:f>
      </x:c>
      <x:c r="AN55" s="2" t="str">
        <x:f>IF(B55="","",MIN(1,SUM(E55:U55)))</x:f>
      </x:c>
      <x:c r="AO55" s="2" t="str">
        <x:f>IF(B55="","",MIN(1,SUM(E55:V55)))</x:f>
      </x:c>
      <x:c r="AP55" s="2" t="str">
        <x:f>IF(B55="","",MIN(1,SUM(E55:W55)))</x:f>
      </x:c>
    </x:row>
    <x:row r="56" ht="21" customHeight="1">
      <x:c r="A56" s="2" t="str">
        <x:f>IF('Motor_Meciuri'!A56="","",'Motor_Meciuri'!A56)</x:f>
      </x:c>
      <x:c r="B56" s="2" t="str">
        <x:f>IF('Motor_Meciuri'!I56&lt;&gt;"PASS","",'Motor_Meciuri'!BD56)</x:f>
      </x:c>
      <x:c r="C56" s="2" t="str">
        <x:f>IF(B56="","",'Motor_Meciuri'!AU56)</x:f>
      </x:c>
      <x:c r="D56" s="2" t="str">
        <x:f>IF(B56="","",'Motor_Meciuri'!AW56)</x:f>
      </x:c>
      <x:c r="E56" s="2" t="str">
        <x:f>IF(B56="","",IF(C56&lt;='Config_v6'!$B$10,EXP(-B56),(D56/(D56+B56))^D56))</x:f>
      </x:c>
      <x:c r="F56" s="2" t="str">
        <x:f>IF(B56="","",IF(C56&lt;='Config_v6'!$B$10,E56*B56/1,E56*(D56+0)/1*B56/(D56+B56)))</x:f>
      </x:c>
      <x:c r="G56" s="2" t="str">
        <x:f>IF(B56="","",IF(C56&lt;='Config_v6'!$B$10,F56*B56/2,F56*(D56+1)/2*B56/(D56+B56)))</x:f>
      </x:c>
      <x:c r="H56" s="2" t="str">
        <x:f>IF(B56="","",IF(C56&lt;='Config_v6'!$B$10,G56*B56/3,G56*(D56+2)/3*B56/(D56+B56)))</x:f>
      </x:c>
      <x:c r="I56" s="2" t="str">
        <x:f>IF(B56="","",IF(C56&lt;='Config_v6'!$B$10,H56*B56/4,H56*(D56+3)/4*B56/(D56+B56)))</x:f>
      </x:c>
      <x:c r="J56" s="2" t="str">
        <x:f>IF(B56="","",IF(C56&lt;='Config_v6'!$B$10,I56*B56/5,I56*(D56+4)/5*B56/(D56+B56)))</x:f>
      </x:c>
      <x:c r="K56" s="2" t="str">
        <x:f>IF(B56="","",IF(C56&lt;='Config_v6'!$B$10,J56*B56/6,J56*(D56+5)/6*B56/(D56+B56)))</x:f>
      </x:c>
      <x:c r="L56" s="2" t="str">
        <x:f>IF(B56="","",IF(C56&lt;='Config_v6'!$B$10,K56*B56/7,K56*(D56+6)/7*B56/(D56+B56)))</x:f>
      </x:c>
      <x:c r="M56" s="2" t="str">
        <x:f>IF(B56="","",IF(C56&lt;='Config_v6'!$B$10,L56*B56/8,L56*(D56+7)/8*B56/(D56+B56)))</x:f>
      </x:c>
      <x:c r="N56" s="2" t="str">
        <x:f>IF(B56="","",IF(C56&lt;='Config_v6'!$B$10,M56*B56/9,M56*(D56+8)/9*B56/(D56+B56)))</x:f>
      </x:c>
      <x:c r="O56" s="2" t="str">
        <x:f>IF(B56="","",IF(C56&lt;='Config_v6'!$B$10,N56*B56/10,N56*(D56+9)/10*B56/(D56+B56)))</x:f>
      </x:c>
      <x:c r="P56" s="2" t="str">
        <x:f>IF(B56="","",IF(C56&lt;='Config_v6'!$B$10,O56*B56/11,O56*(D56+10)/11*B56/(D56+B56)))</x:f>
      </x:c>
      <x:c r="Q56" s="2" t="str">
        <x:f>IF(B56="","",IF(C56&lt;='Config_v6'!$B$10,P56*B56/12,P56*(D56+11)/12*B56/(D56+B56)))</x:f>
      </x:c>
      <x:c r="R56" s="2" t="str">
        <x:f>IF(B56="","",IF(C56&lt;='Config_v6'!$B$10,Q56*B56/13,Q56*(D56+12)/13*B56/(D56+B56)))</x:f>
      </x:c>
      <x:c r="S56" s="2" t="str">
        <x:f>IF(B56="","",IF(C56&lt;='Config_v6'!$B$10,R56*B56/14,R56*(D56+13)/14*B56/(D56+B56)))</x:f>
      </x:c>
      <x:c r="T56" s="2" t="str">
        <x:f>IF(B56="","",IF(C56&lt;='Config_v6'!$B$10,S56*B56/15,S56*(D56+14)/15*B56/(D56+B56)))</x:f>
      </x:c>
      <x:c r="U56" s="2" t="str">
        <x:f>IF(B56="","",IF(C56&lt;='Config_v6'!$B$10,T56*B56/16,T56*(D56+15)/16*B56/(D56+B56)))</x:f>
      </x:c>
      <x:c r="V56" s="2" t="str">
        <x:f>IF(B56="","",IF(C56&lt;='Config_v6'!$B$10,U56*B56/17,U56*(D56+16)/17*B56/(D56+B56)))</x:f>
      </x:c>
      <x:c r="W56" s="2" t="str">
        <x:f>IF(B56="","",IF(C56&lt;='Config_v6'!$B$10,V56*B56/18,V56*(D56+17)/18*B56/(D56+B56)))</x:f>
      </x:c>
      <x:c r="X56" s="2" t="str">
        <x:f>IF(B56="","",MIN(1,SUM(E56:E56)))</x:f>
      </x:c>
      <x:c r="Y56" s="2" t="str">
        <x:f>IF(B56="","",MIN(1,SUM(E56:F56)))</x:f>
      </x:c>
      <x:c r="Z56" s="2" t="str">
        <x:f>IF(B56="","",MIN(1,SUM(E56:G56)))</x:f>
      </x:c>
      <x:c r="AA56" s="2" t="str">
        <x:f>IF(B56="","",MIN(1,SUM(E56:H56)))</x:f>
      </x:c>
      <x:c r="AB56" s="2" t="str">
        <x:f>IF(B56="","",MIN(1,SUM(E56:I56)))</x:f>
      </x:c>
      <x:c r="AC56" s="2" t="str">
        <x:f>IF(B56="","",MIN(1,SUM(E56:J56)))</x:f>
      </x:c>
      <x:c r="AD56" s="2" t="str">
        <x:f>IF(B56="","",MIN(1,SUM(E56:K56)))</x:f>
      </x:c>
      <x:c r="AE56" s="2" t="str">
        <x:f>IF(B56="","",MIN(1,SUM(E56:L56)))</x:f>
      </x:c>
      <x:c r="AF56" s="2" t="str">
        <x:f>IF(B56="","",MIN(1,SUM(E56:M56)))</x:f>
      </x:c>
      <x:c r="AG56" s="2" t="str">
        <x:f>IF(B56="","",MIN(1,SUM(E56:N56)))</x:f>
      </x:c>
      <x:c r="AH56" s="2" t="str">
        <x:f>IF(B56="","",MIN(1,SUM(E56:O56)))</x:f>
      </x:c>
      <x:c r="AI56" s="2" t="str">
        <x:f>IF(B56="","",MIN(1,SUM(E56:P56)))</x:f>
      </x:c>
      <x:c r="AJ56" s="2" t="str">
        <x:f>IF(B56="","",MIN(1,SUM(E56:Q56)))</x:f>
      </x:c>
      <x:c r="AK56" s="2" t="str">
        <x:f>IF(B56="","",MIN(1,SUM(E56:R56)))</x:f>
      </x:c>
      <x:c r="AL56" s="2" t="str">
        <x:f>IF(B56="","",MIN(1,SUM(E56:S56)))</x:f>
      </x:c>
      <x:c r="AM56" s="2" t="str">
        <x:f>IF(B56="","",MIN(1,SUM(E56:T56)))</x:f>
      </x:c>
      <x:c r="AN56" s="2" t="str">
        <x:f>IF(B56="","",MIN(1,SUM(E56:U56)))</x:f>
      </x:c>
      <x:c r="AO56" s="2" t="str">
        <x:f>IF(B56="","",MIN(1,SUM(E56:V56)))</x:f>
      </x:c>
      <x:c r="AP56" s="2" t="str">
        <x:f>IF(B56="","",MIN(1,SUM(E56:W56)))</x:f>
      </x:c>
    </x:row>
    <x:row r="57" ht="21" customHeight="1">
      <x:c r="A57" s="2" t="str">
        <x:f>IF('Motor_Meciuri'!A57="","",'Motor_Meciuri'!A57)</x:f>
      </x:c>
      <x:c r="B57" s="2" t="str">
        <x:f>IF('Motor_Meciuri'!I57&lt;&gt;"PASS","",'Motor_Meciuri'!BD57)</x:f>
      </x:c>
      <x:c r="C57" s="2" t="str">
        <x:f>IF(B57="","",'Motor_Meciuri'!AU57)</x:f>
      </x:c>
      <x:c r="D57" s="2" t="str">
        <x:f>IF(B57="","",'Motor_Meciuri'!AW57)</x:f>
      </x:c>
      <x:c r="E57" s="2" t="str">
        <x:f>IF(B57="","",IF(C57&lt;='Config_v6'!$B$10,EXP(-B57),(D57/(D57+B57))^D57))</x:f>
      </x:c>
      <x:c r="F57" s="2" t="str">
        <x:f>IF(B57="","",IF(C57&lt;='Config_v6'!$B$10,E57*B57/1,E57*(D57+0)/1*B57/(D57+B57)))</x:f>
      </x:c>
      <x:c r="G57" s="2" t="str">
        <x:f>IF(B57="","",IF(C57&lt;='Config_v6'!$B$10,F57*B57/2,F57*(D57+1)/2*B57/(D57+B57)))</x:f>
      </x:c>
      <x:c r="H57" s="2" t="str">
        <x:f>IF(B57="","",IF(C57&lt;='Config_v6'!$B$10,G57*B57/3,G57*(D57+2)/3*B57/(D57+B57)))</x:f>
      </x:c>
      <x:c r="I57" s="2" t="str">
        <x:f>IF(B57="","",IF(C57&lt;='Config_v6'!$B$10,H57*B57/4,H57*(D57+3)/4*B57/(D57+B57)))</x:f>
      </x:c>
      <x:c r="J57" s="2" t="str">
        <x:f>IF(B57="","",IF(C57&lt;='Config_v6'!$B$10,I57*B57/5,I57*(D57+4)/5*B57/(D57+B57)))</x:f>
      </x:c>
      <x:c r="K57" s="2" t="str">
        <x:f>IF(B57="","",IF(C57&lt;='Config_v6'!$B$10,J57*B57/6,J57*(D57+5)/6*B57/(D57+B57)))</x:f>
      </x:c>
      <x:c r="L57" s="2" t="str">
        <x:f>IF(B57="","",IF(C57&lt;='Config_v6'!$B$10,K57*B57/7,K57*(D57+6)/7*B57/(D57+B57)))</x:f>
      </x:c>
      <x:c r="M57" s="2" t="str">
        <x:f>IF(B57="","",IF(C57&lt;='Config_v6'!$B$10,L57*B57/8,L57*(D57+7)/8*B57/(D57+B57)))</x:f>
      </x:c>
      <x:c r="N57" s="2" t="str">
        <x:f>IF(B57="","",IF(C57&lt;='Config_v6'!$B$10,M57*B57/9,M57*(D57+8)/9*B57/(D57+B57)))</x:f>
      </x:c>
      <x:c r="O57" s="2" t="str">
        <x:f>IF(B57="","",IF(C57&lt;='Config_v6'!$B$10,N57*B57/10,N57*(D57+9)/10*B57/(D57+B57)))</x:f>
      </x:c>
      <x:c r="P57" s="2" t="str">
        <x:f>IF(B57="","",IF(C57&lt;='Config_v6'!$B$10,O57*B57/11,O57*(D57+10)/11*B57/(D57+B57)))</x:f>
      </x:c>
      <x:c r="Q57" s="2" t="str">
        <x:f>IF(B57="","",IF(C57&lt;='Config_v6'!$B$10,P57*B57/12,P57*(D57+11)/12*B57/(D57+B57)))</x:f>
      </x:c>
      <x:c r="R57" s="2" t="str">
        <x:f>IF(B57="","",IF(C57&lt;='Config_v6'!$B$10,Q57*B57/13,Q57*(D57+12)/13*B57/(D57+B57)))</x:f>
      </x:c>
      <x:c r="S57" s="2" t="str">
        <x:f>IF(B57="","",IF(C57&lt;='Config_v6'!$B$10,R57*B57/14,R57*(D57+13)/14*B57/(D57+B57)))</x:f>
      </x:c>
      <x:c r="T57" s="2" t="str">
        <x:f>IF(B57="","",IF(C57&lt;='Config_v6'!$B$10,S57*B57/15,S57*(D57+14)/15*B57/(D57+B57)))</x:f>
      </x:c>
      <x:c r="U57" s="2" t="str">
        <x:f>IF(B57="","",IF(C57&lt;='Config_v6'!$B$10,T57*B57/16,T57*(D57+15)/16*B57/(D57+B57)))</x:f>
      </x:c>
      <x:c r="V57" s="2" t="str">
        <x:f>IF(B57="","",IF(C57&lt;='Config_v6'!$B$10,U57*B57/17,U57*(D57+16)/17*B57/(D57+B57)))</x:f>
      </x:c>
      <x:c r="W57" s="2" t="str">
        <x:f>IF(B57="","",IF(C57&lt;='Config_v6'!$B$10,V57*B57/18,V57*(D57+17)/18*B57/(D57+B57)))</x:f>
      </x:c>
      <x:c r="X57" s="2" t="str">
        <x:f>IF(B57="","",MIN(1,SUM(E57:E57)))</x:f>
      </x:c>
      <x:c r="Y57" s="2" t="str">
        <x:f>IF(B57="","",MIN(1,SUM(E57:F57)))</x:f>
      </x:c>
      <x:c r="Z57" s="2" t="str">
        <x:f>IF(B57="","",MIN(1,SUM(E57:G57)))</x:f>
      </x:c>
      <x:c r="AA57" s="2" t="str">
        <x:f>IF(B57="","",MIN(1,SUM(E57:H57)))</x:f>
      </x:c>
      <x:c r="AB57" s="2" t="str">
        <x:f>IF(B57="","",MIN(1,SUM(E57:I57)))</x:f>
      </x:c>
      <x:c r="AC57" s="2" t="str">
        <x:f>IF(B57="","",MIN(1,SUM(E57:J57)))</x:f>
      </x:c>
      <x:c r="AD57" s="2" t="str">
        <x:f>IF(B57="","",MIN(1,SUM(E57:K57)))</x:f>
      </x:c>
      <x:c r="AE57" s="2" t="str">
        <x:f>IF(B57="","",MIN(1,SUM(E57:L57)))</x:f>
      </x:c>
      <x:c r="AF57" s="2" t="str">
        <x:f>IF(B57="","",MIN(1,SUM(E57:M57)))</x:f>
      </x:c>
      <x:c r="AG57" s="2" t="str">
        <x:f>IF(B57="","",MIN(1,SUM(E57:N57)))</x:f>
      </x:c>
      <x:c r="AH57" s="2" t="str">
        <x:f>IF(B57="","",MIN(1,SUM(E57:O57)))</x:f>
      </x:c>
      <x:c r="AI57" s="2" t="str">
        <x:f>IF(B57="","",MIN(1,SUM(E57:P57)))</x:f>
      </x:c>
      <x:c r="AJ57" s="2" t="str">
        <x:f>IF(B57="","",MIN(1,SUM(E57:Q57)))</x:f>
      </x:c>
      <x:c r="AK57" s="2" t="str">
        <x:f>IF(B57="","",MIN(1,SUM(E57:R57)))</x:f>
      </x:c>
      <x:c r="AL57" s="2" t="str">
        <x:f>IF(B57="","",MIN(1,SUM(E57:S57)))</x:f>
      </x:c>
      <x:c r="AM57" s="2" t="str">
        <x:f>IF(B57="","",MIN(1,SUM(E57:T57)))</x:f>
      </x:c>
      <x:c r="AN57" s="2" t="str">
        <x:f>IF(B57="","",MIN(1,SUM(E57:U57)))</x:f>
      </x:c>
      <x:c r="AO57" s="2" t="str">
        <x:f>IF(B57="","",MIN(1,SUM(E57:V57)))</x:f>
      </x:c>
      <x:c r="AP57" s="2" t="str">
        <x:f>IF(B57="","",MIN(1,SUM(E57:W57)))</x:f>
      </x:c>
    </x:row>
    <x:row r="58" ht="21" customHeight="1">
      <x:c r="A58" s="2" t="str">
        <x:f>IF('Motor_Meciuri'!A58="","",'Motor_Meciuri'!A58)</x:f>
      </x:c>
      <x:c r="B58" s="2" t="str">
        <x:f>IF('Motor_Meciuri'!I58&lt;&gt;"PASS","",'Motor_Meciuri'!BD58)</x:f>
      </x:c>
      <x:c r="C58" s="2" t="str">
        <x:f>IF(B58="","",'Motor_Meciuri'!AU58)</x:f>
      </x:c>
      <x:c r="D58" s="2" t="str">
        <x:f>IF(B58="","",'Motor_Meciuri'!AW58)</x:f>
      </x:c>
      <x:c r="E58" s="2" t="str">
        <x:f>IF(B58="","",IF(C58&lt;='Config_v6'!$B$10,EXP(-B58),(D58/(D58+B58))^D58))</x:f>
      </x:c>
      <x:c r="F58" s="2" t="str">
        <x:f>IF(B58="","",IF(C58&lt;='Config_v6'!$B$10,E58*B58/1,E58*(D58+0)/1*B58/(D58+B58)))</x:f>
      </x:c>
      <x:c r="G58" s="2" t="str">
        <x:f>IF(B58="","",IF(C58&lt;='Config_v6'!$B$10,F58*B58/2,F58*(D58+1)/2*B58/(D58+B58)))</x:f>
      </x:c>
      <x:c r="H58" s="2" t="str">
        <x:f>IF(B58="","",IF(C58&lt;='Config_v6'!$B$10,G58*B58/3,G58*(D58+2)/3*B58/(D58+B58)))</x:f>
      </x:c>
      <x:c r="I58" s="2" t="str">
        <x:f>IF(B58="","",IF(C58&lt;='Config_v6'!$B$10,H58*B58/4,H58*(D58+3)/4*B58/(D58+B58)))</x:f>
      </x:c>
      <x:c r="J58" s="2" t="str">
        <x:f>IF(B58="","",IF(C58&lt;='Config_v6'!$B$10,I58*B58/5,I58*(D58+4)/5*B58/(D58+B58)))</x:f>
      </x:c>
      <x:c r="K58" s="2" t="str">
        <x:f>IF(B58="","",IF(C58&lt;='Config_v6'!$B$10,J58*B58/6,J58*(D58+5)/6*B58/(D58+B58)))</x:f>
      </x:c>
      <x:c r="L58" s="2" t="str">
        <x:f>IF(B58="","",IF(C58&lt;='Config_v6'!$B$10,K58*B58/7,K58*(D58+6)/7*B58/(D58+B58)))</x:f>
      </x:c>
      <x:c r="M58" s="2" t="str">
        <x:f>IF(B58="","",IF(C58&lt;='Config_v6'!$B$10,L58*B58/8,L58*(D58+7)/8*B58/(D58+B58)))</x:f>
      </x:c>
      <x:c r="N58" s="2" t="str">
        <x:f>IF(B58="","",IF(C58&lt;='Config_v6'!$B$10,M58*B58/9,M58*(D58+8)/9*B58/(D58+B58)))</x:f>
      </x:c>
      <x:c r="O58" s="2" t="str">
        <x:f>IF(B58="","",IF(C58&lt;='Config_v6'!$B$10,N58*B58/10,N58*(D58+9)/10*B58/(D58+B58)))</x:f>
      </x:c>
      <x:c r="P58" s="2" t="str">
        <x:f>IF(B58="","",IF(C58&lt;='Config_v6'!$B$10,O58*B58/11,O58*(D58+10)/11*B58/(D58+B58)))</x:f>
      </x:c>
      <x:c r="Q58" s="2" t="str">
        <x:f>IF(B58="","",IF(C58&lt;='Config_v6'!$B$10,P58*B58/12,P58*(D58+11)/12*B58/(D58+B58)))</x:f>
      </x:c>
      <x:c r="R58" s="2" t="str">
        <x:f>IF(B58="","",IF(C58&lt;='Config_v6'!$B$10,Q58*B58/13,Q58*(D58+12)/13*B58/(D58+B58)))</x:f>
      </x:c>
      <x:c r="S58" s="2" t="str">
        <x:f>IF(B58="","",IF(C58&lt;='Config_v6'!$B$10,R58*B58/14,R58*(D58+13)/14*B58/(D58+B58)))</x:f>
      </x:c>
      <x:c r="T58" s="2" t="str">
        <x:f>IF(B58="","",IF(C58&lt;='Config_v6'!$B$10,S58*B58/15,S58*(D58+14)/15*B58/(D58+B58)))</x:f>
      </x:c>
      <x:c r="U58" s="2" t="str">
        <x:f>IF(B58="","",IF(C58&lt;='Config_v6'!$B$10,T58*B58/16,T58*(D58+15)/16*B58/(D58+B58)))</x:f>
      </x:c>
      <x:c r="V58" s="2" t="str">
        <x:f>IF(B58="","",IF(C58&lt;='Config_v6'!$B$10,U58*B58/17,U58*(D58+16)/17*B58/(D58+B58)))</x:f>
      </x:c>
      <x:c r="W58" s="2" t="str">
        <x:f>IF(B58="","",IF(C58&lt;='Config_v6'!$B$10,V58*B58/18,V58*(D58+17)/18*B58/(D58+B58)))</x:f>
      </x:c>
      <x:c r="X58" s="2" t="str">
        <x:f>IF(B58="","",MIN(1,SUM(E58:E58)))</x:f>
      </x:c>
      <x:c r="Y58" s="2" t="str">
        <x:f>IF(B58="","",MIN(1,SUM(E58:F58)))</x:f>
      </x:c>
      <x:c r="Z58" s="2" t="str">
        <x:f>IF(B58="","",MIN(1,SUM(E58:G58)))</x:f>
      </x:c>
      <x:c r="AA58" s="2" t="str">
        <x:f>IF(B58="","",MIN(1,SUM(E58:H58)))</x:f>
      </x:c>
      <x:c r="AB58" s="2" t="str">
        <x:f>IF(B58="","",MIN(1,SUM(E58:I58)))</x:f>
      </x:c>
      <x:c r="AC58" s="2" t="str">
        <x:f>IF(B58="","",MIN(1,SUM(E58:J58)))</x:f>
      </x:c>
      <x:c r="AD58" s="2" t="str">
        <x:f>IF(B58="","",MIN(1,SUM(E58:K58)))</x:f>
      </x:c>
      <x:c r="AE58" s="2" t="str">
        <x:f>IF(B58="","",MIN(1,SUM(E58:L58)))</x:f>
      </x:c>
      <x:c r="AF58" s="2" t="str">
        <x:f>IF(B58="","",MIN(1,SUM(E58:M58)))</x:f>
      </x:c>
      <x:c r="AG58" s="2" t="str">
        <x:f>IF(B58="","",MIN(1,SUM(E58:N58)))</x:f>
      </x:c>
      <x:c r="AH58" s="2" t="str">
        <x:f>IF(B58="","",MIN(1,SUM(E58:O58)))</x:f>
      </x:c>
      <x:c r="AI58" s="2" t="str">
        <x:f>IF(B58="","",MIN(1,SUM(E58:P58)))</x:f>
      </x:c>
      <x:c r="AJ58" s="2" t="str">
        <x:f>IF(B58="","",MIN(1,SUM(E58:Q58)))</x:f>
      </x:c>
      <x:c r="AK58" s="2" t="str">
        <x:f>IF(B58="","",MIN(1,SUM(E58:R58)))</x:f>
      </x:c>
      <x:c r="AL58" s="2" t="str">
        <x:f>IF(B58="","",MIN(1,SUM(E58:S58)))</x:f>
      </x:c>
      <x:c r="AM58" s="2" t="str">
        <x:f>IF(B58="","",MIN(1,SUM(E58:T58)))</x:f>
      </x:c>
      <x:c r="AN58" s="2" t="str">
        <x:f>IF(B58="","",MIN(1,SUM(E58:U58)))</x:f>
      </x:c>
      <x:c r="AO58" s="2" t="str">
        <x:f>IF(B58="","",MIN(1,SUM(E58:V58)))</x:f>
      </x:c>
      <x:c r="AP58" s="2" t="str">
        <x:f>IF(B58="","",MIN(1,SUM(E58:W58)))</x:f>
      </x:c>
    </x:row>
    <x:row r="59" ht="21" customHeight="1">
      <x:c r="A59" s="2" t="str">
        <x:f>IF('Motor_Meciuri'!A59="","",'Motor_Meciuri'!A59)</x:f>
      </x:c>
      <x:c r="B59" s="2" t="str">
        <x:f>IF('Motor_Meciuri'!I59&lt;&gt;"PASS","",'Motor_Meciuri'!BD59)</x:f>
      </x:c>
      <x:c r="C59" s="2" t="str">
        <x:f>IF(B59="","",'Motor_Meciuri'!AU59)</x:f>
      </x:c>
      <x:c r="D59" s="2" t="str">
        <x:f>IF(B59="","",'Motor_Meciuri'!AW59)</x:f>
      </x:c>
      <x:c r="E59" s="2" t="str">
        <x:f>IF(B59="","",IF(C59&lt;='Config_v6'!$B$10,EXP(-B59),(D59/(D59+B59))^D59))</x:f>
      </x:c>
      <x:c r="F59" s="2" t="str">
        <x:f>IF(B59="","",IF(C59&lt;='Config_v6'!$B$10,E59*B59/1,E59*(D59+0)/1*B59/(D59+B59)))</x:f>
      </x:c>
      <x:c r="G59" s="2" t="str">
        <x:f>IF(B59="","",IF(C59&lt;='Config_v6'!$B$10,F59*B59/2,F59*(D59+1)/2*B59/(D59+B59)))</x:f>
      </x:c>
      <x:c r="H59" s="2" t="str">
        <x:f>IF(B59="","",IF(C59&lt;='Config_v6'!$B$10,G59*B59/3,G59*(D59+2)/3*B59/(D59+B59)))</x:f>
      </x:c>
      <x:c r="I59" s="2" t="str">
        <x:f>IF(B59="","",IF(C59&lt;='Config_v6'!$B$10,H59*B59/4,H59*(D59+3)/4*B59/(D59+B59)))</x:f>
      </x:c>
      <x:c r="J59" s="2" t="str">
        <x:f>IF(B59="","",IF(C59&lt;='Config_v6'!$B$10,I59*B59/5,I59*(D59+4)/5*B59/(D59+B59)))</x:f>
      </x:c>
      <x:c r="K59" s="2" t="str">
        <x:f>IF(B59="","",IF(C59&lt;='Config_v6'!$B$10,J59*B59/6,J59*(D59+5)/6*B59/(D59+B59)))</x:f>
      </x:c>
      <x:c r="L59" s="2" t="str">
        <x:f>IF(B59="","",IF(C59&lt;='Config_v6'!$B$10,K59*B59/7,K59*(D59+6)/7*B59/(D59+B59)))</x:f>
      </x:c>
      <x:c r="M59" s="2" t="str">
        <x:f>IF(B59="","",IF(C59&lt;='Config_v6'!$B$10,L59*B59/8,L59*(D59+7)/8*B59/(D59+B59)))</x:f>
      </x:c>
      <x:c r="N59" s="2" t="str">
        <x:f>IF(B59="","",IF(C59&lt;='Config_v6'!$B$10,M59*B59/9,M59*(D59+8)/9*B59/(D59+B59)))</x:f>
      </x:c>
      <x:c r="O59" s="2" t="str">
        <x:f>IF(B59="","",IF(C59&lt;='Config_v6'!$B$10,N59*B59/10,N59*(D59+9)/10*B59/(D59+B59)))</x:f>
      </x:c>
      <x:c r="P59" s="2" t="str">
        <x:f>IF(B59="","",IF(C59&lt;='Config_v6'!$B$10,O59*B59/11,O59*(D59+10)/11*B59/(D59+B59)))</x:f>
      </x:c>
      <x:c r="Q59" s="2" t="str">
        <x:f>IF(B59="","",IF(C59&lt;='Config_v6'!$B$10,P59*B59/12,P59*(D59+11)/12*B59/(D59+B59)))</x:f>
      </x:c>
      <x:c r="R59" s="2" t="str">
        <x:f>IF(B59="","",IF(C59&lt;='Config_v6'!$B$10,Q59*B59/13,Q59*(D59+12)/13*B59/(D59+B59)))</x:f>
      </x:c>
      <x:c r="S59" s="2" t="str">
        <x:f>IF(B59="","",IF(C59&lt;='Config_v6'!$B$10,R59*B59/14,R59*(D59+13)/14*B59/(D59+B59)))</x:f>
      </x:c>
      <x:c r="T59" s="2" t="str">
        <x:f>IF(B59="","",IF(C59&lt;='Config_v6'!$B$10,S59*B59/15,S59*(D59+14)/15*B59/(D59+B59)))</x:f>
      </x:c>
      <x:c r="U59" s="2" t="str">
        <x:f>IF(B59="","",IF(C59&lt;='Config_v6'!$B$10,T59*B59/16,T59*(D59+15)/16*B59/(D59+B59)))</x:f>
      </x:c>
      <x:c r="V59" s="2" t="str">
        <x:f>IF(B59="","",IF(C59&lt;='Config_v6'!$B$10,U59*B59/17,U59*(D59+16)/17*B59/(D59+B59)))</x:f>
      </x:c>
      <x:c r="W59" s="2" t="str">
        <x:f>IF(B59="","",IF(C59&lt;='Config_v6'!$B$10,V59*B59/18,V59*(D59+17)/18*B59/(D59+B59)))</x:f>
      </x:c>
      <x:c r="X59" s="2" t="str">
        <x:f>IF(B59="","",MIN(1,SUM(E59:E59)))</x:f>
      </x:c>
      <x:c r="Y59" s="2" t="str">
        <x:f>IF(B59="","",MIN(1,SUM(E59:F59)))</x:f>
      </x:c>
      <x:c r="Z59" s="2" t="str">
        <x:f>IF(B59="","",MIN(1,SUM(E59:G59)))</x:f>
      </x:c>
      <x:c r="AA59" s="2" t="str">
        <x:f>IF(B59="","",MIN(1,SUM(E59:H59)))</x:f>
      </x:c>
      <x:c r="AB59" s="2" t="str">
        <x:f>IF(B59="","",MIN(1,SUM(E59:I59)))</x:f>
      </x:c>
      <x:c r="AC59" s="2" t="str">
        <x:f>IF(B59="","",MIN(1,SUM(E59:J59)))</x:f>
      </x:c>
      <x:c r="AD59" s="2" t="str">
        <x:f>IF(B59="","",MIN(1,SUM(E59:K59)))</x:f>
      </x:c>
      <x:c r="AE59" s="2" t="str">
        <x:f>IF(B59="","",MIN(1,SUM(E59:L59)))</x:f>
      </x:c>
      <x:c r="AF59" s="2" t="str">
        <x:f>IF(B59="","",MIN(1,SUM(E59:M59)))</x:f>
      </x:c>
      <x:c r="AG59" s="2" t="str">
        <x:f>IF(B59="","",MIN(1,SUM(E59:N59)))</x:f>
      </x:c>
      <x:c r="AH59" s="2" t="str">
        <x:f>IF(B59="","",MIN(1,SUM(E59:O59)))</x:f>
      </x:c>
      <x:c r="AI59" s="2" t="str">
        <x:f>IF(B59="","",MIN(1,SUM(E59:P59)))</x:f>
      </x:c>
      <x:c r="AJ59" s="2" t="str">
        <x:f>IF(B59="","",MIN(1,SUM(E59:Q59)))</x:f>
      </x:c>
      <x:c r="AK59" s="2" t="str">
        <x:f>IF(B59="","",MIN(1,SUM(E59:R59)))</x:f>
      </x:c>
      <x:c r="AL59" s="2" t="str">
        <x:f>IF(B59="","",MIN(1,SUM(E59:S59)))</x:f>
      </x:c>
      <x:c r="AM59" s="2" t="str">
        <x:f>IF(B59="","",MIN(1,SUM(E59:T59)))</x:f>
      </x:c>
      <x:c r="AN59" s="2" t="str">
        <x:f>IF(B59="","",MIN(1,SUM(E59:U59)))</x:f>
      </x:c>
      <x:c r="AO59" s="2" t="str">
        <x:f>IF(B59="","",MIN(1,SUM(E59:V59)))</x:f>
      </x:c>
      <x:c r="AP59" s="2" t="str">
        <x:f>IF(B59="","",MIN(1,SUM(E59:W59)))</x:f>
      </x:c>
    </x:row>
    <x:row r="60" ht="21" customHeight="1">
      <x:c r="A60" s="2" t="str">
        <x:f>IF('Motor_Meciuri'!A60="","",'Motor_Meciuri'!A60)</x:f>
      </x:c>
      <x:c r="B60" s="2" t="str">
        <x:f>IF('Motor_Meciuri'!I60&lt;&gt;"PASS","",'Motor_Meciuri'!BD60)</x:f>
      </x:c>
      <x:c r="C60" s="2" t="str">
        <x:f>IF(B60="","",'Motor_Meciuri'!AU60)</x:f>
      </x:c>
      <x:c r="D60" s="2" t="str">
        <x:f>IF(B60="","",'Motor_Meciuri'!AW60)</x:f>
      </x:c>
      <x:c r="E60" s="2" t="str">
        <x:f>IF(B60="","",IF(C60&lt;='Config_v6'!$B$10,EXP(-B60),(D60/(D60+B60))^D60))</x:f>
      </x:c>
      <x:c r="F60" s="2" t="str">
        <x:f>IF(B60="","",IF(C60&lt;='Config_v6'!$B$10,E60*B60/1,E60*(D60+0)/1*B60/(D60+B60)))</x:f>
      </x:c>
      <x:c r="G60" s="2" t="str">
        <x:f>IF(B60="","",IF(C60&lt;='Config_v6'!$B$10,F60*B60/2,F60*(D60+1)/2*B60/(D60+B60)))</x:f>
      </x:c>
      <x:c r="H60" s="2" t="str">
        <x:f>IF(B60="","",IF(C60&lt;='Config_v6'!$B$10,G60*B60/3,G60*(D60+2)/3*B60/(D60+B60)))</x:f>
      </x:c>
      <x:c r="I60" s="2" t="str">
        <x:f>IF(B60="","",IF(C60&lt;='Config_v6'!$B$10,H60*B60/4,H60*(D60+3)/4*B60/(D60+B60)))</x:f>
      </x:c>
      <x:c r="J60" s="2" t="str">
        <x:f>IF(B60="","",IF(C60&lt;='Config_v6'!$B$10,I60*B60/5,I60*(D60+4)/5*B60/(D60+B60)))</x:f>
      </x:c>
      <x:c r="K60" s="2" t="str">
        <x:f>IF(B60="","",IF(C60&lt;='Config_v6'!$B$10,J60*B60/6,J60*(D60+5)/6*B60/(D60+B60)))</x:f>
      </x:c>
      <x:c r="L60" s="2" t="str">
        <x:f>IF(B60="","",IF(C60&lt;='Config_v6'!$B$10,K60*B60/7,K60*(D60+6)/7*B60/(D60+B60)))</x:f>
      </x:c>
      <x:c r="M60" s="2" t="str">
        <x:f>IF(B60="","",IF(C60&lt;='Config_v6'!$B$10,L60*B60/8,L60*(D60+7)/8*B60/(D60+B60)))</x:f>
      </x:c>
      <x:c r="N60" s="2" t="str">
        <x:f>IF(B60="","",IF(C60&lt;='Config_v6'!$B$10,M60*B60/9,M60*(D60+8)/9*B60/(D60+B60)))</x:f>
      </x:c>
      <x:c r="O60" s="2" t="str">
        <x:f>IF(B60="","",IF(C60&lt;='Config_v6'!$B$10,N60*B60/10,N60*(D60+9)/10*B60/(D60+B60)))</x:f>
      </x:c>
      <x:c r="P60" s="2" t="str">
        <x:f>IF(B60="","",IF(C60&lt;='Config_v6'!$B$10,O60*B60/11,O60*(D60+10)/11*B60/(D60+B60)))</x:f>
      </x:c>
      <x:c r="Q60" s="2" t="str">
        <x:f>IF(B60="","",IF(C60&lt;='Config_v6'!$B$10,P60*B60/12,P60*(D60+11)/12*B60/(D60+B60)))</x:f>
      </x:c>
      <x:c r="R60" s="2" t="str">
        <x:f>IF(B60="","",IF(C60&lt;='Config_v6'!$B$10,Q60*B60/13,Q60*(D60+12)/13*B60/(D60+B60)))</x:f>
      </x:c>
      <x:c r="S60" s="2" t="str">
        <x:f>IF(B60="","",IF(C60&lt;='Config_v6'!$B$10,R60*B60/14,R60*(D60+13)/14*B60/(D60+B60)))</x:f>
      </x:c>
      <x:c r="T60" s="2" t="str">
        <x:f>IF(B60="","",IF(C60&lt;='Config_v6'!$B$10,S60*B60/15,S60*(D60+14)/15*B60/(D60+B60)))</x:f>
      </x:c>
      <x:c r="U60" s="2" t="str">
        <x:f>IF(B60="","",IF(C60&lt;='Config_v6'!$B$10,T60*B60/16,T60*(D60+15)/16*B60/(D60+B60)))</x:f>
      </x:c>
      <x:c r="V60" s="2" t="str">
        <x:f>IF(B60="","",IF(C60&lt;='Config_v6'!$B$10,U60*B60/17,U60*(D60+16)/17*B60/(D60+B60)))</x:f>
      </x:c>
      <x:c r="W60" s="2" t="str">
        <x:f>IF(B60="","",IF(C60&lt;='Config_v6'!$B$10,V60*B60/18,V60*(D60+17)/18*B60/(D60+B60)))</x:f>
      </x:c>
      <x:c r="X60" s="2" t="str">
        <x:f>IF(B60="","",MIN(1,SUM(E60:E60)))</x:f>
      </x:c>
      <x:c r="Y60" s="2" t="str">
        <x:f>IF(B60="","",MIN(1,SUM(E60:F60)))</x:f>
      </x:c>
      <x:c r="Z60" s="2" t="str">
        <x:f>IF(B60="","",MIN(1,SUM(E60:G60)))</x:f>
      </x:c>
      <x:c r="AA60" s="2" t="str">
        <x:f>IF(B60="","",MIN(1,SUM(E60:H60)))</x:f>
      </x:c>
      <x:c r="AB60" s="2" t="str">
        <x:f>IF(B60="","",MIN(1,SUM(E60:I60)))</x:f>
      </x:c>
      <x:c r="AC60" s="2" t="str">
        <x:f>IF(B60="","",MIN(1,SUM(E60:J60)))</x:f>
      </x:c>
      <x:c r="AD60" s="2" t="str">
        <x:f>IF(B60="","",MIN(1,SUM(E60:K60)))</x:f>
      </x:c>
      <x:c r="AE60" s="2" t="str">
        <x:f>IF(B60="","",MIN(1,SUM(E60:L60)))</x:f>
      </x:c>
      <x:c r="AF60" s="2" t="str">
        <x:f>IF(B60="","",MIN(1,SUM(E60:M60)))</x:f>
      </x:c>
      <x:c r="AG60" s="2" t="str">
        <x:f>IF(B60="","",MIN(1,SUM(E60:N60)))</x:f>
      </x:c>
      <x:c r="AH60" s="2" t="str">
        <x:f>IF(B60="","",MIN(1,SUM(E60:O60)))</x:f>
      </x:c>
      <x:c r="AI60" s="2" t="str">
        <x:f>IF(B60="","",MIN(1,SUM(E60:P60)))</x:f>
      </x:c>
      <x:c r="AJ60" s="2" t="str">
        <x:f>IF(B60="","",MIN(1,SUM(E60:Q60)))</x:f>
      </x:c>
      <x:c r="AK60" s="2" t="str">
        <x:f>IF(B60="","",MIN(1,SUM(E60:R60)))</x:f>
      </x:c>
      <x:c r="AL60" s="2" t="str">
        <x:f>IF(B60="","",MIN(1,SUM(E60:S60)))</x:f>
      </x:c>
      <x:c r="AM60" s="2" t="str">
        <x:f>IF(B60="","",MIN(1,SUM(E60:T60)))</x:f>
      </x:c>
      <x:c r="AN60" s="2" t="str">
        <x:f>IF(B60="","",MIN(1,SUM(E60:U60)))</x:f>
      </x:c>
      <x:c r="AO60" s="2" t="str">
        <x:f>IF(B60="","",MIN(1,SUM(E60:V60)))</x:f>
      </x:c>
      <x:c r="AP60" s="2" t="str">
        <x:f>IF(B60="","",MIN(1,SUM(E60:W60)))</x:f>
      </x:c>
    </x:row>
    <x:row r="61" ht="21" customHeight="1">
      <x:c r="A61" s="2" t="str">
        <x:f>IF('Motor_Meciuri'!A61="","",'Motor_Meciuri'!A61)</x:f>
      </x:c>
      <x:c r="B61" s="2" t="str">
        <x:f>IF('Motor_Meciuri'!I61&lt;&gt;"PASS","",'Motor_Meciuri'!BD61)</x:f>
      </x:c>
      <x:c r="C61" s="2" t="str">
        <x:f>IF(B61="","",'Motor_Meciuri'!AU61)</x:f>
      </x:c>
      <x:c r="D61" s="2" t="str">
        <x:f>IF(B61="","",'Motor_Meciuri'!AW61)</x:f>
      </x:c>
      <x:c r="E61" s="2" t="str">
        <x:f>IF(B61="","",IF(C61&lt;='Config_v6'!$B$10,EXP(-B61),(D61/(D61+B61))^D61))</x:f>
      </x:c>
      <x:c r="F61" s="2" t="str">
        <x:f>IF(B61="","",IF(C61&lt;='Config_v6'!$B$10,E61*B61/1,E61*(D61+0)/1*B61/(D61+B61)))</x:f>
      </x:c>
      <x:c r="G61" s="2" t="str">
        <x:f>IF(B61="","",IF(C61&lt;='Config_v6'!$B$10,F61*B61/2,F61*(D61+1)/2*B61/(D61+B61)))</x:f>
      </x:c>
      <x:c r="H61" s="2" t="str">
        <x:f>IF(B61="","",IF(C61&lt;='Config_v6'!$B$10,G61*B61/3,G61*(D61+2)/3*B61/(D61+B61)))</x:f>
      </x:c>
      <x:c r="I61" s="2" t="str">
        <x:f>IF(B61="","",IF(C61&lt;='Config_v6'!$B$10,H61*B61/4,H61*(D61+3)/4*B61/(D61+B61)))</x:f>
      </x:c>
      <x:c r="J61" s="2" t="str">
        <x:f>IF(B61="","",IF(C61&lt;='Config_v6'!$B$10,I61*B61/5,I61*(D61+4)/5*B61/(D61+B61)))</x:f>
      </x:c>
      <x:c r="K61" s="2" t="str">
        <x:f>IF(B61="","",IF(C61&lt;='Config_v6'!$B$10,J61*B61/6,J61*(D61+5)/6*B61/(D61+B61)))</x:f>
      </x:c>
      <x:c r="L61" s="2" t="str">
        <x:f>IF(B61="","",IF(C61&lt;='Config_v6'!$B$10,K61*B61/7,K61*(D61+6)/7*B61/(D61+B61)))</x:f>
      </x:c>
      <x:c r="M61" s="2" t="str">
        <x:f>IF(B61="","",IF(C61&lt;='Config_v6'!$B$10,L61*B61/8,L61*(D61+7)/8*B61/(D61+B61)))</x:f>
      </x:c>
      <x:c r="N61" s="2" t="str">
        <x:f>IF(B61="","",IF(C61&lt;='Config_v6'!$B$10,M61*B61/9,M61*(D61+8)/9*B61/(D61+B61)))</x:f>
      </x:c>
      <x:c r="O61" s="2" t="str">
        <x:f>IF(B61="","",IF(C61&lt;='Config_v6'!$B$10,N61*B61/10,N61*(D61+9)/10*B61/(D61+B61)))</x:f>
      </x:c>
      <x:c r="P61" s="2" t="str">
        <x:f>IF(B61="","",IF(C61&lt;='Config_v6'!$B$10,O61*B61/11,O61*(D61+10)/11*B61/(D61+B61)))</x:f>
      </x:c>
      <x:c r="Q61" s="2" t="str">
        <x:f>IF(B61="","",IF(C61&lt;='Config_v6'!$B$10,P61*B61/12,P61*(D61+11)/12*B61/(D61+B61)))</x:f>
      </x:c>
      <x:c r="R61" s="2" t="str">
        <x:f>IF(B61="","",IF(C61&lt;='Config_v6'!$B$10,Q61*B61/13,Q61*(D61+12)/13*B61/(D61+B61)))</x:f>
      </x:c>
      <x:c r="S61" s="2" t="str">
        <x:f>IF(B61="","",IF(C61&lt;='Config_v6'!$B$10,R61*B61/14,R61*(D61+13)/14*B61/(D61+B61)))</x:f>
      </x:c>
      <x:c r="T61" s="2" t="str">
        <x:f>IF(B61="","",IF(C61&lt;='Config_v6'!$B$10,S61*B61/15,S61*(D61+14)/15*B61/(D61+B61)))</x:f>
      </x:c>
      <x:c r="U61" s="2" t="str">
        <x:f>IF(B61="","",IF(C61&lt;='Config_v6'!$B$10,T61*B61/16,T61*(D61+15)/16*B61/(D61+B61)))</x:f>
      </x:c>
      <x:c r="V61" s="2" t="str">
        <x:f>IF(B61="","",IF(C61&lt;='Config_v6'!$B$10,U61*B61/17,U61*(D61+16)/17*B61/(D61+B61)))</x:f>
      </x:c>
      <x:c r="W61" s="2" t="str">
        <x:f>IF(B61="","",IF(C61&lt;='Config_v6'!$B$10,V61*B61/18,V61*(D61+17)/18*B61/(D61+B61)))</x:f>
      </x:c>
      <x:c r="X61" s="2" t="str">
        <x:f>IF(B61="","",MIN(1,SUM(E61:E61)))</x:f>
      </x:c>
      <x:c r="Y61" s="2" t="str">
        <x:f>IF(B61="","",MIN(1,SUM(E61:F61)))</x:f>
      </x:c>
      <x:c r="Z61" s="2" t="str">
        <x:f>IF(B61="","",MIN(1,SUM(E61:G61)))</x:f>
      </x:c>
      <x:c r="AA61" s="2" t="str">
        <x:f>IF(B61="","",MIN(1,SUM(E61:H61)))</x:f>
      </x:c>
      <x:c r="AB61" s="2" t="str">
        <x:f>IF(B61="","",MIN(1,SUM(E61:I61)))</x:f>
      </x:c>
      <x:c r="AC61" s="2" t="str">
        <x:f>IF(B61="","",MIN(1,SUM(E61:J61)))</x:f>
      </x:c>
      <x:c r="AD61" s="2" t="str">
        <x:f>IF(B61="","",MIN(1,SUM(E61:K61)))</x:f>
      </x:c>
      <x:c r="AE61" s="2" t="str">
        <x:f>IF(B61="","",MIN(1,SUM(E61:L61)))</x:f>
      </x:c>
      <x:c r="AF61" s="2" t="str">
        <x:f>IF(B61="","",MIN(1,SUM(E61:M61)))</x:f>
      </x:c>
      <x:c r="AG61" s="2" t="str">
        <x:f>IF(B61="","",MIN(1,SUM(E61:N61)))</x:f>
      </x:c>
      <x:c r="AH61" s="2" t="str">
        <x:f>IF(B61="","",MIN(1,SUM(E61:O61)))</x:f>
      </x:c>
      <x:c r="AI61" s="2" t="str">
        <x:f>IF(B61="","",MIN(1,SUM(E61:P61)))</x:f>
      </x:c>
      <x:c r="AJ61" s="2" t="str">
        <x:f>IF(B61="","",MIN(1,SUM(E61:Q61)))</x:f>
      </x:c>
      <x:c r="AK61" s="2" t="str">
        <x:f>IF(B61="","",MIN(1,SUM(E61:R61)))</x:f>
      </x:c>
      <x:c r="AL61" s="2" t="str">
        <x:f>IF(B61="","",MIN(1,SUM(E61:S61)))</x:f>
      </x:c>
      <x:c r="AM61" s="2" t="str">
        <x:f>IF(B61="","",MIN(1,SUM(E61:T61)))</x:f>
      </x:c>
      <x:c r="AN61" s="2" t="str">
        <x:f>IF(B61="","",MIN(1,SUM(E61:U61)))</x:f>
      </x:c>
      <x:c r="AO61" s="2" t="str">
        <x:f>IF(B61="","",MIN(1,SUM(E61:V61)))</x:f>
      </x:c>
      <x:c r="AP61" s="2" t="str">
        <x:f>IF(B61="","",MIN(1,SUM(E61:W61)))</x:f>
      </x:c>
    </x:row>
    <x:row r="62" ht="21" customHeight="1">
      <x:c r="A62" s="2" t="str">
        <x:f>IF('Motor_Meciuri'!A62="","",'Motor_Meciuri'!A62)</x:f>
      </x:c>
      <x:c r="B62" s="2" t="str">
        <x:f>IF('Motor_Meciuri'!I62&lt;&gt;"PASS","",'Motor_Meciuri'!BD62)</x:f>
      </x:c>
      <x:c r="C62" s="2" t="str">
        <x:f>IF(B62="","",'Motor_Meciuri'!AU62)</x:f>
      </x:c>
      <x:c r="D62" s="2" t="str">
        <x:f>IF(B62="","",'Motor_Meciuri'!AW62)</x:f>
      </x:c>
      <x:c r="E62" s="2" t="str">
        <x:f>IF(B62="","",IF(C62&lt;='Config_v6'!$B$10,EXP(-B62),(D62/(D62+B62))^D62))</x:f>
      </x:c>
      <x:c r="F62" s="2" t="str">
        <x:f>IF(B62="","",IF(C62&lt;='Config_v6'!$B$10,E62*B62/1,E62*(D62+0)/1*B62/(D62+B62)))</x:f>
      </x:c>
      <x:c r="G62" s="2" t="str">
        <x:f>IF(B62="","",IF(C62&lt;='Config_v6'!$B$10,F62*B62/2,F62*(D62+1)/2*B62/(D62+B62)))</x:f>
      </x:c>
      <x:c r="H62" s="2" t="str">
        <x:f>IF(B62="","",IF(C62&lt;='Config_v6'!$B$10,G62*B62/3,G62*(D62+2)/3*B62/(D62+B62)))</x:f>
      </x:c>
      <x:c r="I62" s="2" t="str">
        <x:f>IF(B62="","",IF(C62&lt;='Config_v6'!$B$10,H62*B62/4,H62*(D62+3)/4*B62/(D62+B62)))</x:f>
      </x:c>
      <x:c r="J62" s="2" t="str">
        <x:f>IF(B62="","",IF(C62&lt;='Config_v6'!$B$10,I62*B62/5,I62*(D62+4)/5*B62/(D62+B62)))</x:f>
      </x:c>
      <x:c r="K62" s="2" t="str">
        <x:f>IF(B62="","",IF(C62&lt;='Config_v6'!$B$10,J62*B62/6,J62*(D62+5)/6*B62/(D62+B62)))</x:f>
      </x:c>
      <x:c r="L62" s="2" t="str">
        <x:f>IF(B62="","",IF(C62&lt;='Config_v6'!$B$10,K62*B62/7,K62*(D62+6)/7*B62/(D62+B62)))</x:f>
      </x:c>
      <x:c r="M62" s="2" t="str">
        <x:f>IF(B62="","",IF(C62&lt;='Config_v6'!$B$10,L62*B62/8,L62*(D62+7)/8*B62/(D62+B62)))</x:f>
      </x:c>
      <x:c r="N62" s="2" t="str">
        <x:f>IF(B62="","",IF(C62&lt;='Config_v6'!$B$10,M62*B62/9,M62*(D62+8)/9*B62/(D62+B62)))</x:f>
      </x:c>
      <x:c r="O62" s="2" t="str">
        <x:f>IF(B62="","",IF(C62&lt;='Config_v6'!$B$10,N62*B62/10,N62*(D62+9)/10*B62/(D62+B62)))</x:f>
      </x:c>
      <x:c r="P62" s="2" t="str">
        <x:f>IF(B62="","",IF(C62&lt;='Config_v6'!$B$10,O62*B62/11,O62*(D62+10)/11*B62/(D62+B62)))</x:f>
      </x:c>
      <x:c r="Q62" s="2" t="str">
        <x:f>IF(B62="","",IF(C62&lt;='Config_v6'!$B$10,P62*B62/12,P62*(D62+11)/12*B62/(D62+B62)))</x:f>
      </x:c>
      <x:c r="R62" s="2" t="str">
        <x:f>IF(B62="","",IF(C62&lt;='Config_v6'!$B$10,Q62*B62/13,Q62*(D62+12)/13*B62/(D62+B62)))</x:f>
      </x:c>
      <x:c r="S62" s="2" t="str">
        <x:f>IF(B62="","",IF(C62&lt;='Config_v6'!$B$10,R62*B62/14,R62*(D62+13)/14*B62/(D62+B62)))</x:f>
      </x:c>
      <x:c r="T62" s="2" t="str">
        <x:f>IF(B62="","",IF(C62&lt;='Config_v6'!$B$10,S62*B62/15,S62*(D62+14)/15*B62/(D62+B62)))</x:f>
      </x:c>
      <x:c r="U62" s="2" t="str">
        <x:f>IF(B62="","",IF(C62&lt;='Config_v6'!$B$10,T62*B62/16,T62*(D62+15)/16*B62/(D62+B62)))</x:f>
      </x:c>
      <x:c r="V62" s="2" t="str">
        <x:f>IF(B62="","",IF(C62&lt;='Config_v6'!$B$10,U62*B62/17,U62*(D62+16)/17*B62/(D62+B62)))</x:f>
      </x:c>
      <x:c r="W62" s="2" t="str">
        <x:f>IF(B62="","",IF(C62&lt;='Config_v6'!$B$10,V62*B62/18,V62*(D62+17)/18*B62/(D62+B62)))</x:f>
      </x:c>
      <x:c r="X62" s="2" t="str">
        <x:f>IF(B62="","",MIN(1,SUM(E62:E62)))</x:f>
      </x:c>
      <x:c r="Y62" s="2" t="str">
        <x:f>IF(B62="","",MIN(1,SUM(E62:F62)))</x:f>
      </x:c>
      <x:c r="Z62" s="2" t="str">
        <x:f>IF(B62="","",MIN(1,SUM(E62:G62)))</x:f>
      </x:c>
      <x:c r="AA62" s="2" t="str">
        <x:f>IF(B62="","",MIN(1,SUM(E62:H62)))</x:f>
      </x:c>
      <x:c r="AB62" s="2" t="str">
        <x:f>IF(B62="","",MIN(1,SUM(E62:I62)))</x:f>
      </x:c>
      <x:c r="AC62" s="2" t="str">
        <x:f>IF(B62="","",MIN(1,SUM(E62:J62)))</x:f>
      </x:c>
      <x:c r="AD62" s="2" t="str">
        <x:f>IF(B62="","",MIN(1,SUM(E62:K62)))</x:f>
      </x:c>
      <x:c r="AE62" s="2" t="str">
        <x:f>IF(B62="","",MIN(1,SUM(E62:L62)))</x:f>
      </x:c>
      <x:c r="AF62" s="2" t="str">
        <x:f>IF(B62="","",MIN(1,SUM(E62:M62)))</x:f>
      </x:c>
      <x:c r="AG62" s="2" t="str">
        <x:f>IF(B62="","",MIN(1,SUM(E62:N62)))</x:f>
      </x:c>
      <x:c r="AH62" s="2" t="str">
        <x:f>IF(B62="","",MIN(1,SUM(E62:O62)))</x:f>
      </x:c>
      <x:c r="AI62" s="2" t="str">
        <x:f>IF(B62="","",MIN(1,SUM(E62:P62)))</x:f>
      </x:c>
      <x:c r="AJ62" s="2" t="str">
        <x:f>IF(B62="","",MIN(1,SUM(E62:Q62)))</x:f>
      </x:c>
      <x:c r="AK62" s="2" t="str">
        <x:f>IF(B62="","",MIN(1,SUM(E62:R62)))</x:f>
      </x:c>
      <x:c r="AL62" s="2" t="str">
        <x:f>IF(B62="","",MIN(1,SUM(E62:S62)))</x:f>
      </x:c>
      <x:c r="AM62" s="2" t="str">
        <x:f>IF(B62="","",MIN(1,SUM(E62:T62)))</x:f>
      </x:c>
      <x:c r="AN62" s="2" t="str">
        <x:f>IF(B62="","",MIN(1,SUM(E62:U62)))</x:f>
      </x:c>
      <x:c r="AO62" s="2" t="str">
        <x:f>IF(B62="","",MIN(1,SUM(E62:V62)))</x:f>
      </x:c>
      <x:c r="AP62" s="2" t="str">
        <x:f>IF(B62="","",MIN(1,SUM(E62:W62)))</x:f>
      </x:c>
    </x:row>
    <x:row r="63" ht="21" customHeight="1">
      <x:c r="A63" s="2" t="str">
        <x:f>IF('Motor_Meciuri'!A63="","",'Motor_Meciuri'!A63)</x:f>
      </x:c>
      <x:c r="B63" s="2" t="str">
        <x:f>IF('Motor_Meciuri'!I63&lt;&gt;"PASS","",'Motor_Meciuri'!BD63)</x:f>
      </x:c>
      <x:c r="C63" s="2" t="str">
        <x:f>IF(B63="","",'Motor_Meciuri'!AU63)</x:f>
      </x:c>
      <x:c r="D63" s="2" t="str">
        <x:f>IF(B63="","",'Motor_Meciuri'!AW63)</x:f>
      </x:c>
      <x:c r="E63" s="2" t="str">
        <x:f>IF(B63="","",IF(C63&lt;='Config_v6'!$B$10,EXP(-B63),(D63/(D63+B63))^D63))</x:f>
      </x:c>
      <x:c r="F63" s="2" t="str">
        <x:f>IF(B63="","",IF(C63&lt;='Config_v6'!$B$10,E63*B63/1,E63*(D63+0)/1*B63/(D63+B63)))</x:f>
      </x:c>
      <x:c r="G63" s="2" t="str">
        <x:f>IF(B63="","",IF(C63&lt;='Config_v6'!$B$10,F63*B63/2,F63*(D63+1)/2*B63/(D63+B63)))</x:f>
      </x:c>
      <x:c r="H63" s="2" t="str">
        <x:f>IF(B63="","",IF(C63&lt;='Config_v6'!$B$10,G63*B63/3,G63*(D63+2)/3*B63/(D63+B63)))</x:f>
      </x:c>
      <x:c r="I63" s="2" t="str">
        <x:f>IF(B63="","",IF(C63&lt;='Config_v6'!$B$10,H63*B63/4,H63*(D63+3)/4*B63/(D63+B63)))</x:f>
      </x:c>
      <x:c r="J63" s="2" t="str">
        <x:f>IF(B63="","",IF(C63&lt;='Config_v6'!$B$10,I63*B63/5,I63*(D63+4)/5*B63/(D63+B63)))</x:f>
      </x:c>
      <x:c r="K63" s="2" t="str">
        <x:f>IF(B63="","",IF(C63&lt;='Config_v6'!$B$10,J63*B63/6,J63*(D63+5)/6*B63/(D63+B63)))</x:f>
      </x:c>
      <x:c r="L63" s="2" t="str">
        <x:f>IF(B63="","",IF(C63&lt;='Config_v6'!$B$10,K63*B63/7,K63*(D63+6)/7*B63/(D63+B63)))</x:f>
      </x:c>
      <x:c r="M63" s="2" t="str">
        <x:f>IF(B63="","",IF(C63&lt;='Config_v6'!$B$10,L63*B63/8,L63*(D63+7)/8*B63/(D63+B63)))</x:f>
      </x:c>
      <x:c r="N63" s="2" t="str">
        <x:f>IF(B63="","",IF(C63&lt;='Config_v6'!$B$10,M63*B63/9,M63*(D63+8)/9*B63/(D63+B63)))</x:f>
      </x:c>
      <x:c r="O63" s="2" t="str">
        <x:f>IF(B63="","",IF(C63&lt;='Config_v6'!$B$10,N63*B63/10,N63*(D63+9)/10*B63/(D63+B63)))</x:f>
      </x:c>
      <x:c r="P63" s="2" t="str">
        <x:f>IF(B63="","",IF(C63&lt;='Config_v6'!$B$10,O63*B63/11,O63*(D63+10)/11*B63/(D63+B63)))</x:f>
      </x:c>
      <x:c r="Q63" s="2" t="str">
        <x:f>IF(B63="","",IF(C63&lt;='Config_v6'!$B$10,P63*B63/12,P63*(D63+11)/12*B63/(D63+B63)))</x:f>
      </x:c>
      <x:c r="R63" s="2" t="str">
        <x:f>IF(B63="","",IF(C63&lt;='Config_v6'!$B$10,Q63*B63/13,Q63*(D63+12)/13*B63/(D63+B63)))</x:f>
      </x:c>
      <x:c r="S63" s="2" t="str">
        <x:f>IF(B63="","",IF(C63&lt;='Config_v6'!$B$10,R63*B63/14,R63*(D63+13)/14*B63/(D63+B63)))</x:f>
      </x:c>
      <x:c r="T63" s="2" t="str">
        <x:f>IF(B63="","",IF(C63&lt;='Config_v6'!$B$10,S63*B63/15,S63*(D63+14)/15*B63/(D63+B63)))</x:f>
      </x:c>
      <x:c r="U63" s="2" t="str">
        <x:f>IF(B63="","",IF(C63&lt;='Config_v6'!$B$10,T63*B63/16,T63*(D63+15)/16*B63/(D63+B63)))</x:f>
      </x:c>
      <x:c r="V63" s="2" t="str">
        <x:f>IF(B63="","",IF(C63&lt;='Config_v6'!$B$10,U63*B63/17,U63*(D63+16)/17*B63/(D63+B63)))</x:f>
      </x:c>
      <x:c r="W63" s="2" t="str">
        <x:f>IF(B63="","",IF(C63&lt;='Config_v6'!$B$10,V63*B63/18,V63*(D63+17)/18*B63/(D63+B63)))</x:f>
      </x:c>
      <x:c r="X63" s="2" t="str">
        <x:f>IF(B63="","",MIN(1,SUM(E63:E63)))</x:f>
      </x:c>
      <x:c r="Y63" s="2" t="str">
        <x:f>IF(B63="","",MIN(1,SUM(E63:F63)))</x:f>
      </x:c>
      <x:c r="Z63" s="2" t="str">
        <x:f>IF(B63="","",MIN(1,SUM(E63:G63)))</x:f>
      </x:c>
      <x:c r="AA63" s="2" t="str">
        <x:f>IF(B63="","",MIN(1,SUM(E63:H63)))</x:f>
      </x:c>
      <x:c r="AB63" s="2" t="str">
        <x:f>IF(B63="","",MIN(1,SUM(E63:I63)))</x:f>
      </x:c>
      <x:c r="AC63" s="2" t="str">
        <x:f>IF(B63="","",MIN(1,SUM(E63:J63)))</x:f>
      </x:c>
      <x:c r="AD63" s="2" t="str">
        <x:f>IF(B63="","",MIN(1,SUM(E63:K63)))</x:f>
      </x:c>
      <x:c r="AE63" s="2" t="str">
        <x:f>IF(B63="","",MIN(1,SUM(E63:L63)))</x:f>
      </x:c>
      <x:c r="AF63" s="2" t="str">
        <x:f>IF(B63="","",MIN(1,SUM(E63:M63)))</x:f>
      </x:c>
      <x:c r="AG63" s="2" t="str">
        <x:f>IF(B63="","",MIN(1,SUM(E63:N63)))</x:f>
      </x:c>
      <x:c r="AH63" s="2" t="str">
        <x:f>IF(B63="","",MIN(1,SUM(E63:O63)))</x:f>
      </x:c>
      <x:c r="AI63" s="2" t="str">
        <x:f>IF(B63="","",MIN(1,SUM(E63:P63)))</x:f>
      </x:c>
      <x:c r="AJ63" s="2" t="str">
        <x:f>IF(B63="","",MIN(1,SUM(E63:Q63)))</x:f>
      </x:c>
      <x:c r="AK63" s="2" t="str">
        <x:f>IF(B63="","",MIN(1,SUM(E63:R63)))</x:f>
      </x:c>
      <x:c r="AL63" s="2" t="str">
        <x:f>IF(B63="","",MIN(1,SUM(E63:S63)))</x:f>
      </x:c>
      <x:c r="AM63" s="2" t="str">
        <x:f>IF(B63="","",MIN(1,SUM(E63:T63)))</x:f>
      </x:c>
      <x:c r="AN63" s="2" t="str">
        <x:f>IF(B63="","",MIN(1,SUM(E63:U63)))</x:f>
      </x:c>
      <x:c r="AO63" s="2" t="str">
        <x:f>IF(B63="","",MIN(1,SUM(E63:V63)))</x:f>
      </x:c>
      <x:c r="AP63" s="2" t="str">
        <x:f>IF(B63="","",MIN(1,SUM(E63:W63)))</x:f>
      </x:c>
    </x:row>
    <x:row r="64" ht="21" customHeight="1">
      <x:c r="A64" s="2" t="str">
        <x:f>IF('Motor_Meciuri'!A64="","",'Motor_Meciuri'!A64)</x:f>
      </x:c>
      <x:c r="B64" s="2" t="str">
        <x:f>IF('Motor_Meciuri'!I64&lt;&gt;"PASS","",'Motor_Meciuri'!BD64)</x:f>
      </x:c>
      <x:c r="C64" s="2" t="str">
        <x:f>IF(B64="","",'Motor_Meciuri'!AU64)</x:f>
      </x:c>
      <x:c r="D64" s="2" t="str">
        <x:f>IF(B64="","",'Motor_Meciuri'!AW64)</x:f>
      </x:c>
      <x:c r="E64" s="2" t="str">
        <x:f>IF(B64="","",IF(C64&lt;='Config_v6'!$B$10,EXP(-B64),(D64/(D64+B64))^D64))</x:f>
      </x:c>
      <x:c r="F64" s="2" t="str">
        <x:f>IF(B64="","",IF(C64&lt;='Config_v6'!$B$10,E64*B64/1,E64*(D64+0)/1*B64/(D64+B64)))</x:f>
      </x:c>
      <x:c r="G64" s="2" t="str">
        <x:f>IF(B64="","",IF(C64&lt;='Config_v6'!$B$10,F64*B64/2,F64*(D64+1)/2*B64/(D64+B64)))</x:f>
      </x:c>
      <x:c r="H64" s="2" t="str">
        <x:f>IF(B64="","",IF(C64&lt;='Config_v6'!$B$10,G64*B64/3,G64*(D64+2)/3*B64/(D64+B64)))</x:f>
      </x:c>
      <x:c r="I64" s="2" t="str">
        <x:f>IF(B64="","",IF(C64&lt;='Config_v6'!$B$10,H64*B64/4,H64*(D64+3)/4*B64/(D64+B64)))</x:f>
      </x:c>
      <x:c r="J64" s="2" t="str">
        <x:f>IF(B64="","",IF(C64&lt;='Config_v6'!$B$10,I64*B64/5,I64*(D64+4)/5*B64/(D64+B64)))</x:f>
      </x:c>
      <x:c r="K64" s="2" t="str">
        <x:f>IF(B64="","",IF(C64&lt;='Config_v6'!$B$10,J64*B64/6,J64*(D64+5)/6*B64/(D64+B64)))</x:f>
      </x:c>
      <x:c r="L64" s="2" t="str">
        <x:f>IF(B64="","",IF(C64&lt;='Config_v6'!$B$10,K64*B64/7,K64*(D64+6)/7*B64/(D64+B64)))</x:f>
      </x:c>
      <x:c r="M64" s="2" t="str">
        <x:f>IF(B64="","",IF(C64&lt;='Config_v6'!$B$10,L64*B64/8,L64*(D64+7)/8*B64/(D64+B64)))</x:f>
      </x:c>
      <x:c r="N64" s="2" t="str">
        <x:f>IF(B64="","",IF(C64&lt;='Config_v6'!$B$10,M64*B64/9,M64*(D64+8)/9*B64/(D64+B64)))</x:f>
      </x:c>
      <x:c r="O64" s="2" t="str">
        <x:f>IF(B64="","",IF(C64&lt;='Config_v6'!$B$10,N64*B64/10,N64*(D64+9)/10*B64/(D64+B64)))</x:f>
      </x:c>
      <x:c r="P64" s="2" t="str">
        <x:f>IF(B64="","",IF(C64&lt;='Config_v6'!$B$10,O64*B64/11,O64*(D64+10)/11*B64/(D64+B64)))</x:f>
      </x:c>
      <x:c r="Q64" s="2" t="str">
        <x:f>IF(B64="","",IF(C64&lt;='Config_v6'!$B$10,P64*B64/12,P64*(D64+11)/12*B64/(D64+B64)))</x:f>
      </x:c>
      <x:c r="R64" s="2" t="str">
        <x:f>IF(B64="","",IF(C64&lt;='Config_v6'!$B$10,Q64*B64/13,Q64*(D64+12)/13*B64/(D64+B64)))</x:f>
      </x:c>
      <x:c r="S64" s="2" t="str">
        <x:f>IF(B64="","",IF(C64&lt;='Config_v6'!$B$10,R64*B64/14,R64*(D64+13)/14*B64/(D64+B64)))</x:f>
      </x:c>
      <x:c r="T64" s="2" t="str">
        <x:f>IF(B64="","",IF(C64&lt;='Config_v6'!$B$10,S64*B64/15,S64*(D64+14)/15*B64/(D64+B64)))</x:f>
      </x:c>
      <x:c r="U64" s="2" t="str">
        <x:f>IF(B64="","",IF(C64&lt;='Config_v6'!$B$10,T64*B64/16,T64*(D64+15)/16*B64/(D64+B64)))</x:f>
      </x:c>
      <x:c r="V64" s="2" t="str">
        <x:f>IF(B64="","",IF(C64&lt;='Config_v6'!$B$10,U64*B64/17,U64*(D64+16)/17*B64/(D64+B64)))</x:f>
      </x:c>
      <x:c r="W64" s="2" t="str">
        <x:f>IF(B64="","",IF(C64&lt;='Config_v6'!$B$10,V64*B64/18,V64*(D64+17)/18*B64/(D64+B64)))</x:f>
      </x:c>
      <x:c r="X64" s="2" t="str">
        <x:f>IF(B64="","",MIN(1,SUM(E64:E64)))</x:f>
      </x:c>
      <x:c r="Y64" s="2" t="str">
        <x:f>IF(B64="","",MIN(1,SUM(E64:F64)))</x:f>
      </x:c>
      <x:c r="Z64" s="2" t="str">
        <x:f>IF(B64="","",MIN(1,SUM(E64:G64)))</x:f>
      </x:c>
      <x:c r="AA64" s="2" t="str">
        <x:f>IF(B64="","",MIN(1,SUM(E64:H64)))</x:f>
      </x:c>
      <x:c r="AB64" s="2" t="str">
        <x:f>IF(B64="","",MIN(1,SUM(E64:I64)))</x:f>
      </x:c>
      <x:c r="AC64" s="2" t="str">
        <x:f>IF(B64="","",MIN(1,SUM(E64:J64)))</x:f>
      </x:c>
      <x:c r="AD64" s="2" t="str">
        <x:f>IF(B64="","",MIN(1,SUM(E64:K64)))</x:f>
      </x:c>
      <x:c r="AE64" s="2" t="str">
        <x:f>IF(B64="","",MIN(1,SUM(E64:L64)))</x:f>
      </x:c>
      <x:c r="AF64" s="2" t="str">
        <x:f>IF(B64="","",MIN(1,SUM(E64:M64)))</x:f>
      </x:c>
      <x:c r="AG64" s="2" t="str">
        <x:f>IF(B64="","",MIN(1,SUM(E64:N64)))</x:f>
      </x:c>
      <x:c r="AH64" s="2" t="str">
        <x:f>IF(B64="","",MIN(1,SUM(E64:O64)))</x:f>
      </x:c>
      <x:c r="AI64" s="2" t="str">
        <x:f>IF(B64="","",MIN(1,SUM(E64:P64)))</x:f>
      </x:c>
      <x:c r="AJ64" s="2" t="str">
        <x:f>IF(B64="","",MIN(1,SUM(E64:Q64)))</x:f>
      </x:c>
      <x:c r="AK64" s="2" t="str">
        <x:f>IF(B64="","",MIN(1,SUM(E64:R64)))</x:f>
      </x:c>
      <x:c r="AL64" s="2" t="str">
        <x:f>IF(B64="","",MIN(1,SUM(E64:S64)))</x:f>
      </x:c>
      <x:c r="AM64" s="2" t="str">
        <x:f>IF(B64="","",MIN(1,SUM(E64:T64)))</x:f>
      </x:c>
      <x:c r="AN64" s="2" t="str">
        <x:f>IF(B64="","",MIN(1,SUM(E64:U64)))</x:f>
      </x:c>
      <x:c r="AO64" s="2" t="str">
        <x:f>IF(B64="","",MIN(1,SUM(E64:V64)))</x:f>
      </x:c>
      <x:c r="AP64" s="2" t="str">
        <x:f>IF(B64="","",MIN(1,SUM(E64:W64)))</x:f>
      </x:c>
    </x:row>
    <x:row r="65" ht="21" customHeight="1">
      <x:c r="A65" s="2" t="str">
        <x:f>IF('Motor_Meciuri'!A65="","",'Motor_Meciuri'!A65)</x:f>
      </x:c>
      <x:c r="B65" s="2" t="str">
        <x:f>IF('Motor_Meciuri'!I65&lt;&gt;"PASS","",'Motor_Meciuri'!BD65)</x:f>
      </x:c>
      <x:c r="C65" s="2" t="str">
        <x:f>IF(B65="","",'Motor_Meciuri'!AU65)</x:f>
      </x:c>
      <x:c r="D65" s="2" t="str">
        <x:f>IF(B65="","",'Motor_Meciuri'!AW65)</x:f>
      </x:c>
      <x:c r="E65" s="2" t="str">
        <x:f>IF(B65="","",IF(C65&lt;='Config_v6'!$B$10,EXP(-B65),(D65/(D65+B65))^D65))</x:f>
      </x:c>
      <x:c r="F65" s="2" t="str">
        <x:f>IF(B65="","",IF(C65&lt;='Config_v6'!$B$10,E65*B65/1,E65*(D65+0)/1*B65/(D65+B65)))</x:f>
      </x:c>
      <x:c r="G65" s="2" t="str">
        <x:f>IF(B65="","",IF(C65&lt;='Config_v6'!$B$10,F65*B65/2,F65*(D65+1)/2*B65/(D65+B65)))</x:f>
      </x:c>
      <x:c r="H65" s="2" t="str">
        <x:f>IF(B65="","",IF(C65&lt;='Config_v6'!$B$10,G65*B65/3,G65*(D65+2)/3*B65/(D65+B65)))</x:f>
      </x:c>
      <x:c r="I65" s="2" t="str">
        <x:f>IF(B65="","",IF(C65&lt;='Config_v6'!$B$10,H65*B65/4,H65*(D65+3)/4*B65/(D65+B65)))</x:f>
      </x:c>
      <x:c r="J65" s="2" t="str">
        <x:f>IF(B65="","",IF(C65&lt;='Config_v6'!$B$10,I65*B65/5,I65*(D65+4)/5*B65/(D65+B65)))</x:f>
      </x:c>
      <x:c r="K65" s="2" t="str">
        <x:f>IF(B65="","",IF(C65&lt;='Config_v6'!$B$10,J65*B65/6,J65*(D65+5)/6*B65/(D65+B65)))</x:f>
      </x:c>
      <x:c r="L65" s="2" t="str">
        <x:f>IF(B65="","",IF(C65&lt;='Config_v6'!$B$10,K65*B65/7,K65*(D65+6)/7*B65/(D65+B65)))</x:f>
      </x:c>
      <x:c r="M65" s="2" t="str">
        <x:f>IF(B65="","",IF(C65&lt;='Config_v6'!$B$10,L65*B65/8,L65*(D65+7)/8*B65/(D65+B65)))</x:f>
      </x:c>
      <x:c r="N65" s="2" t="str">
        <x:f>IF(B65="","",IF(C65&lt;='Config_v6'!$B$10,M65*B65/9,M65*(D65+8)/9*B65/(D65+B65)))</x:f>
      </x:c>
      <x:c r="O65" s="2" t="str">
        <x:f>IF(B65="","",IF(C65&lt;='Config_v6'!$B$10,N65*B65/10,N65*(D65+9)/10*B65/(D65+B65)))</x:f>
      </x:c>
      <x:c r="P65" s="2" t="str">
        <x:f>IF(B65="","",IF(C65&lt;='Config_v6'!$B$10,O65*B65/11,O65*(D65+10)/11*B65/(D65+B65)))</x:f>
      </x:c>
      <x:c r="Q65" s="2" t="str">
        <x:f>IF(B65="","",IF(C65&lt;='Config_v6'!$B$10,P65*B65/12,P65*(D65+11)/12*B65/(D65+B65)))</x:f>
      </x:c>
      <x:c r="R65" s="2" t="str">
        <x:f>IF(B65="","",IF(C65&lt;='Config_v6'!$B$10,Q65*B65/13,Q65*(D65+12)/13*B65/(D65+B65)))</x:f>
      </x:c>
      <x:c r="S65" s="2" t="str">
        <x:f>IF(B65="","",IF(C65&lt;='Config_v6'!$B$10,R65*B65/14,R65*(D65+13)/14*B65/(D65+B65)))</x:f>
      </x:c>
      <x:c r="T65" s="2" t="str">
        <x:f>IF(B65="","",IF(C65&lt;='Config_v6'!$B$10,S65*B65/15,S65*(D65+14)/15*B65/(D65+B65)))</x:f>
      </x:c>
      <x:c r="U65" s="2" t="str">
        <x:f>IF(B65="","",IF(C65&lt;='Config_v6'!$B$10,T65*B65/16,T65*(D65+15)/16*B65/(D65+B65)))</x:f>
      </x:c>
      <x:c r="V65" s="2" t="str">
        <x:f>IF(B65="","",IF(C65&lt;='Config_v6'!$B$10,U65*B65/17,U65*(D65+16)/17*B65/(D65+B65)))</x:f>
      </x:c>
      <x:c r="W65" s="2" t="str">
        <x:f>IF(B65="","",IF(C65&lt;='Config_v6'!$B$10,V65*B65/18,V65*(D65+17)/18*B65/(D65+B65)))</x:f>
      </x:c>
      <x:c r="X65" s="2" t="str">
        <x:f>IF(B65="","",MIN(1,SUM(E65:E65)))</x:f>
      </x:c>
      <x:c r="Y65" s="2" t="str">
        <x:f>IF(B65="","",MIN(1,SUM(E65:F65)))</x:f>
      </x:c>
      <x:c r="Z65" s="2" t="str">
        <x:f>IF(B65="","",MIN(1,SUM(E65:G65)))</x:f>
      </x:c>
      <x:c r="AA65" s="2" t="str">
        <x:f>IF(B65="","",MIN(1,SUM(E65:H65)))</x:f>
      </x:c>
      <x:c r="AB65" s="2" t="str">
        <x:f>IF(B65="","",MIN(1,SUM(E65:I65)))</x:f>
      </x:c>
      <x:c r="AC65" s="2" t="str">
        <x:f>IF(B65="","",MIN(1,SUM(E65:J65)))</x:f>
      </x:c>
      <x:c r="AD65" s="2" t="str">
        <x:f>IF(B65="","",MIN(1,SUM(E65:K65)))</x:f>
      </x:c>
      <x:c r="AE65" s="2" t="str">
        <x:f>IF(B65="","",MIN(1,SUM(E65:L65)))</x:f>
      </x:c>
      <x:c r="AF65" s="2" t="str">
        <x:f>IF(B65="","",MIN(1,SUM(E65:M65)))</x:f>
      </x:c>
      <x:c r="AG65" s="2" t="str">
        <x:f>IF(B65="","",MIN(1,SUM(E65:N65)))</x:f>
      </x:c>
      <x:c r="AH65" s="2" t="str">
        <x:f>IF(B65="","",MIN(1,SUM(E65:O65)))</x:f>
      </x:c>
      <x:c r="AI65" s="2" t="str">
        <x:f>IF(B65="","",MIN(1,SUM(E65:P65)))</x:f>
      </x:c>
      <x:c r="AJ65" s="2" t="str">
        <x:f>IF(B65="","",MIN(1,SUM(E65:Q65)))</x:f>
      </x:c>
      <x:c r="AK65" s="2" t="str">
        <x:f>IF(B65="","",MIN(1,SUM(E65:R65)))</x:f>
      </x:c>
      <x:c r="AL65" s="2" t="str">
        <x:f>IF(B65="","",MIN(1,SUM(E65:S65)))</x:f>
      </x:c>
      <x:c r="AM65" s="2" t="str">
        <x:f>IF(B65="","",MIN(1,SUM(E65:T65)))</x:f>
      </x:c>
      <x:c r="AN65" s="2" t="str">
        <x:f>IF(B65="","",MIN(1,SUM(E65:U65)))</x:f>
      </x:c>
      <x:c r="AO65" s="2" t="str">
        <x:f>IF(B65="","",MIN(1,SUM(E65:V65)))</x:f>
      </x:c>
      <x:c r="AP65" s="2" t="str">
        <x:f>IF(B65="","",MIN(1,SUM(E65:W65)))</x:f>
      </x:c>
    </x:row>
    <x:row r="66" ht="21" customHeight="1">
      <x:c r="A66" s="2" t="str">
        <x:f>IF('Motor_Meciuri'!A66="","",'Motor_Meciuri'!A66)</x:f>
      </x:c>
      <x:c r="B66" s="2" t="str">
        <x:f>IF('Motor_Meciuri'!I66&lt;&gt;"PASS","",'Motor_Meciuri'!BD66)</x:f>
      </x:c>
      <x:c r="C66" s="2" t="str">
        <x:f>IF(B66="","",'Motor_Meciuri'!AU66)</x:f>
      </x:c>
      <x:c r="D66" s="2" t="str">
        <x:f>IF(B66="","",'Motor_Meciuri'!AW66)</x:f>
      </x:c>
      <x:c r="E66" s="2" t="str">
        <x:f>IF(B66="","",IF(C66&lt;='Config_v6'!$B$10,EXP(-B66),(D66/(D66+B66))^D66))</x:f>
      </x:c>
      <x:c r="F66" s="2" t="str">
        <x:f>IF(B66="","",IF(C66&lt;='Config_v6'!$B$10,E66*B66/1,E66*(D66+0)/1*B66/(D66+B66)))</x:f>
      </x:c>
      <x:c r="G66" s="2" t="str">
        <x:f>IF(B66="","",IF(C66&lt;='Config_v6'!$B$10,F66*B66/2,F66*(D66+1)/2*B66/(D66+B66)))</x:f>
      </x:c>
      <x:c r="H66" s="2" t="str">
        <x:f>IF(B66="","",IF(C66&lt;='Config_v6'!$B$10,G66*B66/3,G66*(D66+2)/3*B66/(D66+B66)))</x:f>
      </x:c>
      <x:c r="I66" s="2" t="str">
        <x:f>IF(B66="","",IF(C66&lt;='Config_v6'!$B$10,H66*B66/4,H66*(D66+3)/4*B66/(D66+B66)))</x:f>
      </x:c>
      <x:c r="J66" s="2" t="str">
        <x:f>IF(B66="","",IF(C66&lt;='Config_v6'!$B$10,I66*B66/5,I66*(D66+4)/5*B66/(D66+B66)))</x:f>
      </x:c>
      <x:c r="K66" s="2" t="str">
        <x:f>IF(B66="","",IF(C66&lt;='Config_v6'!$B$10,J66*B66/6,J66*(D66+5)/6*B66/(D66+B66)))</x:f>
      </x:c>
      <x:c r="L66" s="2" t="str">
        <x:f>IF(B66="","",IF(C66&lt;='Config_v6'!$B$10,K66*B66/7,K66*(D66+6)/7*B66/(D66+B66)))</x:f>
      </x:c>
      <x:c r="M66" s="2" t="str">
        <x:f>IF(B66="","",IF(C66&lt;='Config_v6'!$B$10,L66*B66/8,L66*(D66+7)/8*B66/(D66+B66)))</x:f>
      </x:c>
      <x:c r="N66" s="2" t="str">
        <x:f>IF(B66="","",IF(C66&lt;='Config_v6'!$B$10,M66*B66/9,M66*(D66+8)/9*B66/(D66+B66)))</x:f>
      </x:c>
      <x:c r="O66" s="2" t="str">
        <x:f>IF(B66="","",IF(C66&lt;='Config_v6'!$B$10,N66*B66/10,N66*(D66+9)/10*B66/(D66+B66)))</x:f>
      </x:c>
      <x:c r="P66" s="2" t="str">
        <x:f>IF(B66="","",IF(C66&lt;='Config_v6'!$B$10,O66*B66/11,O66*(D66+10)/11*B66/(D66+B66)))</x:f>
      </x:c>
      <x:c r="Q66" s="2" t="str">
        <x:f>IF(B66="","",IF(C66&lt;='Config_v6'!$B$10,P66*B66/12,P66*(D66+11)/12*B66/(D66+B66)))</x:f>
      </x:c>
      <x:c r="R66" s="2" t="str">
        <x:f>IF(B66="","",IF(C66&lt;='Config_v6'!$B$10,Q66*B66/13,Q66*(D66+12)/13*B66/(D66+B66)))</x:f>
      </x:c>
      <x:c r="S66" s="2" t="str">
        <x:f>IF(B66="","",IF(C66&lt;='Config_v6'!$B$10,R66*B66/14,R66*(D66+13)/14*B66/(D66+B66)))</x:f>
      </x:c>
      <x:c r="T66" s="2" t="str">
        <x:f>IF(B66="","",IF(C66&lt;='Config_v6'!$B$10,S66*B66/15,S66*(D66+14)/15*B66/(D66+B66)))</x:f>
      </x:c>
      <x:c r="U66" s="2" t="str">
        <x:f>IF(B66="","",IF(C66&lt;='Config_v6'!$B$10,T66*B66/16,T66*(D66+15)/16*B66/(D66+B66)))</x:f>
      </x:c>
      <x:c r="V66" s="2" t="str">
        <x:f>IF(B66="","",IF(C66&lt;='Config_v6'!$B$10,U66*B66/17,U66*(D66+16)/17*B66/(D66+B66)))</x:f>
      </x:c>
      <x:c r="W66" s="2" t="str">
        <x:f>IF(B66="","",IF(C66&lt;='Config_v6'!$B$10,V66*B66/18,V66*(D66+17)/18*B66/(D66+B66)))</x:f>
      </x:c>
      <x:c r="X66" s="2" t="str">
        <x:f>IF(B66="","",MIN(1,SUM(E66:E66)))</x:f>
      </x:c>
      <x:c r="Y66" s="2" t="str">
        <x:f>IF(B66="","",MIN(1,SUM(E66:F66)))</x:f>
      </x:c>
      <x:c r="Z66" s="2" t="str">
        <x:f>IF(B66="","",MIN(1,SUM(E66:G66)))</x:f>
      </x:c>
      <x:c r="AA66" s="2" t="str">
        <x:f>IF(B66="","",MIN(1,SUM(E66:H66)))</x:f>
      </x:c>
      <x:c r="AB66" s="2" t="str">
        <x:f>IF(B66="","",MIN(1,SUM(E66:I66)))</x:f>
      </x:c>
      <x:c r="AC66" s="2" t="str">
        <x:f>IF(B66="","",MIN(1,SUM(E66:J66)))</x:f>
      </x:c>
      <x:c r="AD66" s="2" t="str">
        <x:f>IF(B66="","",MIN(1,SUM(E66:K66)))</x:f>
      </x:c>
      <x:c r="AE66" s="2" t="str">
        <x:f>IF(B66="","",MIN(1,SUM(E66:L66)))</x:f>
      </x:c>
      <x:c r="AF66" s="2" t="str">
        <x:f>IF(B66="","",MIN(1,SUM(E66:M66)))</x:f>
      </x:c>
      <x:c r="AG66" s="2" t="str">
        <x:f>IF(B66="","",MIN(1,SUM(E66:N66)))</x:f>
      </x:c>
      <x:c r="AH66" s="2" t="str">
        <x:f>IF(B66="","",MIN(1,SUM(E66:O66)))</x:f>
      </x:c>
      <x:c r="AI66" s="2" t="str">
        <x:f>IF(B66="","",MIN(1,SUM(E66:P66)))</x:f>
      </x:c>
      <x:c r="AJ66" s="2" t="str">
        <x:f>IF(B66="","",MIN(1,SUM(E66:Q66)))</x:f>
      </x:c>
      <x:c r="AK66" s="2" t="str">
        <x:f>IF(B66="","",MIN(1,SUM(E66:R66)))</x:f>
      </x:c>
      <x:c r="AL66" s="2" t="str">
        <x:f>IF(B66="","",MIN(1,SUM(E66:S66)))</x:f>
      </x:c>
      <x:c r="AM66" s="2" t="str">
        <x:f>IF(B66="","",MIN(1,SUM(E66:T66)))</x:f>
      </x:c>
      <x:c r="AN66" s="2" t="str">
        <x:f>IF(B66="","",MIN(1,SUM(E66:U66)))</x:f>
      </x:c>
      <x:c r="AO66" s="2" t="str">
        <x:f>IF(B66="","",MIN(1,SUM(E66:V66)))</x:f>
      </x:c>
      <x:c r="AP66" s="2" t="str">
        <x:f>IF(B66="","",MIN(1,SUM(E66:W66)))</x:f>
      </x:c>
    </x:row>
    <x:row r="67" ht="21" customHeight="1">
      <x:c r="A67" s="2" t="str">
        <x:f>IF('Motor_Meciuri'!A67="","",'Motor_Meciuri'!A67)</x:f>
      </x:c>
      <x:c r="B67" s="2" t="str">
        <x:f>IF('Motor_Meciuri'!I67&lt;&gt;"PASS","",'Motor_Meciuri'!BD67)</x:f>
      </x:c>
      <x:c r="C67" s="2" t="str">
        <x:f>IF(B67="","",'Motor_Meciuri'!AU67)</x:f>
      </x:c>
      <x:c r="D67" s="2" t="str">
        <x:f>IF(B67="","",'Motor_Meciuri'!AW67)</x:f>
      </x:c>
      <x:c r="E67" s="2" t="str">
        <x:f>IF(B67="","",IF(C67&lt;='Config_v6'!$B$10,EXP(-B67),(D67/(D67+B67))^D67))</x:f>
      </x:c>
      <x:c r="F67" s="2" t="str">
        <x:f>IF(B67="","",IF(C67&lt;='Config_v6'!$B$10,E67*B67/1,E67*(D67+0)/1*B67/(D67+B67)))</x:f>
      </x:c>
      <x:c r="G67" s="2" t="str">
        <x:f>IF(B67="","",IF(C67&lt;='Config_v6'!$B$10,F67*B67/2,F67*(D67+1)/2*B67/(D67+B67)))</x:f>
      </x:c>
      <x:c r="H67" s="2" t="str">
        <x:f>IF(B67="","",IF(C67&lt;='Config_v6'!$B$10,G67*B67/3,G67*(D67+2)/3*B67/(D67+B67)))</x:f>
      </x:c>
      <x:c r="I67" s="2" t="str">
        <x:f>IF(B67="","",IF(C67&lt;='Config_v6'!$B$10,H67*B67/4,H67*(D67+3)/4*B67/(D67+B67)))</x:f>
      </x:c>
      <x:c r="J67" s="2" t="str">
        <x:f>IF(B67="","",IF(C67&lt;='Config_v6'!$B$10,I67*B67/5,I67*(D67+4)/5*B67/(D67+B67)))</x:f>
      </x:c>
      <x:c r="K67" s="2" t="str">
        <x:f>IF(B67="","",IF(C67&lt;='Config_v6'!$B$10,J67*B67/6,J67*(D67+5)/6*B67/(D67+B67)))</x:f>
      </x:c>
      <x:c r="L67" s="2" t="str">
        <x:f>IF(B67="","",IF(C67&lt;='Config_v6'!$B$10,K67*B67/7,K67*(D67+6)/7*B67/(D67+B67)))</x:f>
      </x:c>
      <x:c r="M67" s="2" t="str">
        <x:f>IF(B67="","",IF(C67&lt;='Config_v6'!$B$10,L67*B67/8,L67*(D67+7)/8*B67/(D67+B67)))</x:f>
      </x:c>
      <x:c r="N67" s="2" t="str">
        <x:f>IF(B67="","",IF(C67&lt;='Config_v6'!$B$10,M67*B67/9,M67*(D67+8)/9*B67/(D67+B67)))</x:f>
      </x:c>
      <x:c r="O67" s="2" t="str">
        <x:f>IF(B67="","",IF(C67&lt;='Config_v6'!$B$10,N67*B67/10,N67*(D67+9)/10*B67/(D67+B67)))</x:f>
      </x:c>
      <x:c r="P67" s="2" t="str">
        <x:f>IF(B67="","",IF(C67&lt;='Config_v6'!$B$10,O67*B67/11,O67*(D67+10)/11*B67/(D67+B67)))</x:f>
      </x:c>
      <x:c r="Q67" s="2" t="str">
        <x:f>IF(B67="","",IF(C67&lt;='Config_v6'!$B$10,P67*B67/12,P67*(D67+11)/12*B67/(D67+B67)))</x:f>
      </x:c>
      <x:c r="R67" s="2" t="str">
        <x:f>IF(B67="","",IF(C67&lt;='Config_v6'!$B$10,Q67*B67/13,Q67*(D67+12)/13*B67/(D67+B67)))</x:f>
      </x:c>
      <x:c r="S67" s="2" t="str">
        <x:f>IF(B67="","",IF(C67&lt;='Config_v6'!$B$10,R67*B67/14,R67*(D67+13)/14*B67/(D67+B67)))</x:f>
      </x:c>
      <x:c r="T67" s="2" t="str">
        <x:f>IF(B67="","",IF(C67&lt;='Config_v6'!$B$10,S67*B67/15,S67*(D67+14)/15*B67/(D67+B67)))</x:f>
      </x:c>
      <x:c r="U67" s="2" t="str">
        <x:f>IF(B67="","",IF(C67&lt;='Config_v6'!$B$10,T67*B67/16,T67*(D67+15)/16*B67/(D67+B67)))</x:f>
      </x:c>
      <x:c r="V67" s="2" t="str">
        <x:f>IF(B67="","",IF(C67&lt;='Config_v6'!$B$10,U67*B67/17,U67*(D67+16)/17*B67/(D67+B67)))</x:f>
      </x:c>
      <x:c r="W67" s="2" t="str">
        <x:f>IF(B67="","",IF(C67&lt;='Config_v6'!$B$10,V67*B67/18,V67*(D67+17)/18*B67/(D67+B67)))</x:f>
      </x:c>
      <x:c r="X67" s="2" t="str">
        <x:f>IF(B67="","",MIN(1,SUM(E67:E67)))</x:f>
      </x:c>
      <x:c r="Y67" s="2" t="str">
        <x:f>IF(B67="","",MIN(1,SUM(E67:F67)))</x:f>
      </x:c>
      <x:c r="Z67" s="2" t="str">
        <x:f>IF(B67="","",MIN(1,SUM(E67:G67)))</x:f>
      </x:c>
      <x:c r="AA67" s="2" t="str">
        <x:f>IF(B67="","",MIN(1,SUM(E67:H67)))</x:f>
      </x:c>
      <x:c r="AB67" s="2" t="str">
        <x:f>IF(B67="","",MIN(1,SUM(E67:I67)))</x:f>
      </x:c>
      <x:c r="AC67" s="2" t="str">
        <x:f>IF(B67="","",MIN(1,SUM(E67:J67)))</x:f>
      </x:c>
      <x:c r="AD67" s="2" t="str">
        <x:f>IF(B67="","",MIN(1,SUM(E67:K67)))</x:f>
      </x:c>
      <x:c r="AE67" s="2" t="str">
        <x:f>IF(B67="","",MIN(1,SUM(E67:L67)))</x:f>
      </x:c>
      <x:c r="AF67" s="2" t="str">
        <x:f>IF(B67="","",MIN(1,SUM(E67:M67)))</x:f>
      </x:c>
      <x:c r="AG67" s="2" t="str">
        <x:f>IF(B67="","",MIN(1,SUM(E67:N67)))</x:f>
      </x:c>
      <x:c r="AH67" s="2" t="str">
        <x:f>IF(B67="","",MIN(1,SUM(E67:O67)))</x:f>
      </x:c>
      <x:c r="AI67" s="2" t="str">
        <x:f>IF(B67="","",MIN(1,SUM(E67:P67)))</x:f>
      </x:c>
      <x:c r="AJ67" s="2" t="str">
        <x:f>IF(B67="","",MIN(1,SUM(E67:Q67)))</x:f>
      </x:c>
      <x:c r="AK67" s="2" t="str">
        <x:f>IF(B67="","",MIN(1,SUM(E67:R67)))</x:f>
      </x:c>
      <x:c r="AL67" s="2" t="str">
        <x:f>IF(B67="","",MIN(1,SUM(E67:S67)))</x:f>
      </x:c>
      <x:c r="AM67" s="2" t="str">
        <x:f>IF(B67="","",MIN(1,SUM(E67:T67)))</x:f>
      </x:c>
      <x:c r="AN67" s="2" t="str">
        <x:f>IF(B67="","",MIN(1,SUM(E67:U67)))</x:f>
      </x:c>
      <x:c r="AO67" s="2" t="str">
        <x:f>IF(B67="","",MIN(1,SUM(E67:V67)))</x:f>
      </x:c>
      <x:c r="AP67" s="2" t="str">
        <x:f>IF(B67="","",MIN(1,SUM(E67:W67)))</x:f>
      </x:c>
    </x:row>
    <x:row r="68" ht="21" customHeight="1">
      <x:c r="A68" s="2" t="str">
        <x:f>IF('Motor_Meciuri'!A68="","",'Motor_Meciuri'!A68)</x:f>
      </x:c>
      <x:c r="B68" s="2" t="str">
        <x:f>IF('Motor_Meciuri'!I68&lt;&gt;"PASS","",'Motor_Meciuri'!BD68)</x:f>
      </x:c>
      <x:c r="C68" s="2" t="str">
        <x:f>IF(B68="","",'Motor_Meciuri'!AU68)</x:f>
      </x:c>
      <x:c r="D68" s="2" t="str">
        <x:f>IF(B68="","",'Motor_Meciuri'!AW68)</x:f>
      </x:c>
      <x:c r="E68" s="2" t="str">
        <x:f>IF(B68="","",IF(C68&lt;='Config_v6'!$B$10,EXP(-B68),(D68/(D68+B68))^D68))</x:f>
      </x:c>
      <x:c r="F68" s="2" t="str">
        <x:f>IF(B68="","",IF(C68&lt;='Config_v6'!$B$10,E68*B68/1,E68*(D68+0)/1*B68/(D68+B68)))</x:f>
      </x:c>
      <x:c r="G68" s="2" t="str">
        <x:f>IF(B68="","",IF(C68&lt;='Config_v6'!$B$10,F68*B68/2,F68*(D68+1)/2*B68/(D68+B68)))</x:f>
      </x:c>
      <x:c r="H68" s="2" t="str">
        <x:f>IF(B68="","",IF(C68&lt;='Config_v6'!$B$10,G68*B68/3,G68*(D68+2)/3*B68/(D68+B68)))</x:f>
      </x:c>
      <x:c r="I68" s="2" t="str">
        <x:f>IF(B68="","",IF(C68&lt;='Config_v6'!$B$10,H68*B68/4,H68*(D68+3)/4*B68/(D68+B68)))</x:f>
      </x:c>
      <x:c r="J68" s="2" t="str">
        <x:f>IF(B68="","",IF(C68&lt;='Config_v6'!$B$10,I68*B68/5,I68*(D68+4)/5*B68/(D68+B68)))</x:f>
      </x:c>
      <x:c r="K68" s="2" t="str">
        <x:f>IF(B68="","",IF(C68&lt;='Config_v6'!$B$10,J68*B68/6,J68*(D68+5)/6*B68/(D68+B68)))</x:f>
      </x:c>
      <x:c r="L68" s="2" t="str">
        <x:f>IF(B68="","",IF(C68&lt;='Config_v6'!$B$10,K68*B68/7,K68*(D68+6)/7*B68/(D68+B68)))</x:f>
      </x:c>
      <x:c r="M68" s="2" t="str">
        <x:f>IF(B68="","",IF(C68&lt;='Config_v6'!$B$10,L68*B68/8,L68*(D68+7)/8*B68/(D68+B68)))</x:f>
      </x:c>
      <x:c r="N68" s="2" t="str">
        <x:f>IF(B68="","",IF(C68&lt;='Config_v6'!$B$10,M68*B68/9,M68*(D68+8)/9*B68/(D68+B68)))</x:f>
      </x:c>
      <x:c r="O68" s="2" t="str">
        <x:f>IF(B68="","",IF(C68&lt;='Config_v6'!$B$10,N68*B68/10,N68*(D68+9)/10*B68/(D68+B68)))</x:f>
      </x:c>
      <x:c r="P68" s="2" t="str">
        <x:f>IF(B68="","",IF(C68&lt;='Config_v6'!$B$10,O68*B68/11,O68*(D68+10)/11*B68/(D68+B68)))</x:f>
      </x:c>
      <x:c r="Q68" s="2" t="str">
        <x:f>IF(B68="","",IF(C68&lt;='Config_v6'!$B$10,P68*B68/12,P68*(D68+11)/12*B68/(D68+B68)))</x:f>
      </x:c>
      <x:c r="R68" s="2" t="str">
        <x:f>IF(B68="","",IF(C68&lt;='Config_v6'!$B$10,Q68*B68/13,Q68*(D68+12)/13*B68/(D68+B68)))</x:f>
      </x:c>
      <x:c r="S68" s="2" t="str">
        <x:f>IF(B68="","",IF(C68&lt;='Config_v6'!$B$10,R68*B68/14,R68*(D68+13)/14*B68/(D68+B68)))</x:f>
      </x:c>
      <x:c r="T68" s="2" t="str">
        <x:f>IF(B68="","",IF(C68&lt;='Config_v6'!$B$10,S68*B68/15,S68*(D68+14)/15*B68/(D68+B68)))</x:f>
      </x:c>
      <x:c r="U68" s="2" t="str">
        <x:f>IF(B68="","",IF(C68&lt;='Config_v6'!$B$10,T68*B68/16,T68*(D68+15)/16*B68/(D68+B68)))</x:f>
      </x:c>
      <x:c r="V68" s="2" t="str">
        <x:f>IF(B68="","",IF(C68&lt;='Config_v6'!$B$10,U68*B68/17,U68*(D68+16)/17*B68/(D68+B68)))</x:f>
      </x:c>
      <x:c r="W68" s="2" t="str">
        <x:f>IF(B68="","",IF(C68&lt;='Config_v6'!$B$10,V68*B68/18,V68*(D68+17)/18*B68/(D68+B68)))</x:f>
      </x:c>
      <x:c r="X68" s="2" t="str">
        <x:f>IF(B68="","",MIN(1,SUM(E68:E68)))</x:f>
      </x:c>
      <x:c r="Y68" s="2" t="str">
        <x:f>IF(B68="","",MIN(1,SUM(E68:F68)))</x:f>
      </x:c>
      <x:c r="Z68" s="2" t="str">
        <x:f>IF(B68="","",MIN(1,SUM(E68:G68)))</x:f>
      </x:c>
      <x:c r="AA68" s="2" t="str">
        <x:f>IF(B68="","",MIN(1,SUM(E68:H68)))</x:f>
      </x:c>
      <x:c r="AB68" s="2" t="str">
        <x:f>IF(B68="","",MIN(1,SUM(E68:I68)))</x:f>
      </x:c>
      <x:c r="AC68" s="2" t="str">
        <x:f>IF(B68="","",MIN(1,SUM(E68:J68)))</x:f>
      </x:c>
      <x:c r="AD68" s="2" t="str">
        <x:f>IF(B68="","",MIN(1,SUM(E68:K68)))</x:f>
      </x:c>
      <x:c r="AE68" s="2" t="str">
        <x:f>IF(B68="","",MIN(1,SUM(E68:L68)))</x:f>
      </x:c>
      <x:c r="AF68" s="2" t="str">
        <x:f>IF(B68="","",MIN(1,SUM(E68:M68)))</x:f>
      </x:c>
      <x:c r="AG68" s="2" t="str">
        <x:f>IF(B68="","",MIN(1,SUM(E68:N68)))</x:f>
      </x:c>
      <x:c r="AH68" s="2" t="str">
        <x:f>IF(B68="","",MIN(1,SUM(E68:O68)))</x:f>
      </x:c>
      <x:c r="AI68" s="2" t="str">
        <x:f>IF(B68="","",MIN(1,SUM(E68:P68)))</x:f>
      </x:c>
      <x:c r="AJ68" s="2" t="str">
        <x:f>IF(B68="","",MIN(1,SUM(E68:Q68)))</x:f>
      </x:c>
      <x:c r="AK68" s="2" t="str">
        <x:f>IF(B68="","",MIN(1,SUM(E68:R68)))</x:f>
      </x:c>
      <x:c r="AL68" s="2" t="str">
        <x:f>IF(B68="","",MIN(1,SUM(E68:S68)))</x:f>
      </x:c>
      <x:c r="AM68" s="2" t="str">
        <x:f>IF(B68="","",MIN(1,SUM(E68:T68)))</x:f>
      </x:c>
      <x:c r="AN68" s="2" t="str">
        <x:f>IF(B68="","",MIN(1,SUM(E68:U68)))</x:f>
      </x:c>
      <x:c r="AO68" s="2" t="str">
        <x:f>IF(B68="","",MIN(1,SUM(E68:V68)))</x:f>
      </x:c>
      <x:c r="AP68" s="2" t="str">
        <x:f>IF(B68="","",MIN(1,SUM(E68:W68)))</x:f>
      </x:c>
    </x:row>
    <x:row r="69" ht="21" customHeight="1">
      <x:c r="A69" s="2" t="str">
        <x:f>IF('Motor_Meciuri'!A69="","",'Motor_Meciuri'!A69)</x:f>
      </x:c>
      <x:c r="B69" s="2" t="str">
        <x:f>IF('Motor_Meciuri'!I69&lt;&gt;"PASS","",'Motor_Meciuri'!BD69)</x:f>
      </x:c>
      <x:c r="C69" s="2" t="str">
        <x:f>IF(B69="","",'Motor_Meciuri'!AU69)</x:f>
      </x:c>
      <x:c r="D69" s="2" t="str">
        <x:f>IF(B69="","",'Motor_Meciuri'!AW69)</x:f>
      </x:c>
      <x:c r="E69" s="2" t="str">
        <x:f>IF(B69="","",IF(C69&lt;='Config_v6'!$B$10,EXP(-B69),(D69/(D69+B69))^D69))</x:f>
      </x:c>
      <x:c r="F69" s="2" t="str">
        <x:f>IF(B69="","",IF(C69&lt;='Config_v6'!$B$10,E69*B69/1,E69*(D69+0)/1*B69/(D69+B69)))</x:f>
      </x:c>
      <x:c r="G69" s="2" t="str">
        <x:f>IF(B69="","",IF(C69&lt;='Config_v6'!$B$10,F69*B69/2,F69*(D69+1)/2*B69/(D69+B69)))</x:f>
      </x:c>
      <x:c r="H69" s="2" t="str">
        <x:f>IF(B69="","",IF(C69&lt;='Config_v6'!$B$10,G69*B69/3,G69*(D69+2)/3*B69/(D69+B69)))</x:f>
      </x:c>
      <x:c r="I69" s="2" t="str">
        <x:f>IF(B69="","",IF(C69&lt;='Config_v6'!$B$10,H69*B69/4,H69*(D69+3)/4*B69/(D69+B69)))</x:f>
      </x:c>
      <x:c r="J69" s="2" t="str">
        <x:f>IF(B69="","",IF(C69&lt;='Config_v6'!$B$10,I69*B69/5,I69*(D69+4)/5*B69/(D69+B69)))</x:f>
      </x:c>
      <x:c r="K69" s="2" t="str">
        <x:f>IF(B69="","",IF(C69&lt;='Config_v6'!$B$10,J69*B69/6,J69*(D69+5)/6*B69/(D69+B69)))</x:f>
      </x:c>
      <x:c r="L69" s="2" t="str">
        <x:f>IF(B69="","",IF(C69&lt;='Config_v6'!$B$10,K69*B69/7,K69*(D69+6)/7*B69/(D69+B69)))</x:f>
      </x:c>
      <x:c r="M69" s="2" t="str">
        <x:f>IF(B69="","",IF(C69&lt;='Config_v6'!$B$10,L69*B69/8,L69*(D69+7)/8*B69/(D69+B69)))</x:f>
      </x:c>
      <x:c r="N69" s="2" t="str">
        <x:f>IF(B69="","",IF(C69&lt;='Config_v6'!$B$10,M69*B69/9,M69*(D69+8)/9*B69/(D69+B69)))</x:f>
      </x:c>
      <x:c r="O69" s="2" t="str">
        <x:f>IF(B69="","",IF(C69&lt;='Config_v6'!$B$10,N69*B69/10,N69*(D69+9)/10*B69/(D69+B69)))</x:f>
      </x:c>
      <x:c r="P69" s="2" t="str">
        <x:f>IF(B69="","",IF(C69&lt;='Config_v6'!$B$10,O69*B69/11,O69*(D69+10)/11*B69/(D69+B69)))</x:f>
      </x:c>
      <x:c r="Q69" s="2" t="str">
        <x:f>IF(B69="","",IF(C69&lt;='Config_v6'!$B$10,P69*B69/12,P69*(D69+11)/12*B69/(D69+B69)))</x:f>
      </x:c>
      <x:c r="R69" s="2" t="str">
        <x:f>IF(B69="","",IF(C69&lt;='Config_v6'!$B$10,Q69*B69/13,Q69*(D69+12)/13*B69/(D69+B69)))</x:f>
      </x:c>
      <x:c r="S69" s="2" t="str">
        <x:f>IF(B69="","",IF(C69&lt;='Config_v6'!$B$10,R69*B69/14,R69*(D69+13)/14*B69/(D69+B69)))</x:f>
      </x:c>
      <x:c r="T69" s="2" t="str">
        <x:f>IF(B69="","",IF(C69&lt;='Config_v6'!$B$10,S69*B69/15,S69*(D69+14)/15*B69/(D69+B69)))</x:f>
      </x:c>
      <x:c r="U69" s="2" t="str">
        <x:f>IF(B69="","",IF(C69&lt;='Config_v6'!$B$10,T69*B69/16,T69*(D69+15)/16*B69/(D69+B69)))</x:f>
      </x:c>
      <x:c r="V69" s="2" t="str">
        <x:f>IF(B69="","",IF(C69&lt;='Config_v6'!$B$10,U69*B69/17,U69*(D69+16)/17*B69/(D69+B69)))</x:f>
      </x:c>
      <x:c r="W69" s="2" t="str">
        <x:f>IF(B69="","",IF(C69&lt;='Config_v6'!$B$10,V69*B69/18,V69*(D69+17)/18*B69/(D69+B69)))</x:f>
      </x:c>
      <x:c r="X69" s="2" t="str">
        <x:f>IF(B69="","",MIN(1,SUM(E69:E69)))</x:f>
      </x:c>
      <x:c r="Y69" s="2" t="str">
        <x:f>IF(B69="","",MIN(1,SUM(E69:F69)))</x:f>
      </x:c>
      <x:c r="Z69" s="2" t="str">
        <x:f>IF(B69="","",MIN(1,SUM(E69:G69)))</x:f>
      </x:c>
      <x:c r="AA69" s="2" t="str">
        <x:f>IF(B69="","",MIN(1,SUM(E69:H69)))</x:f>
      </x:c>
      <x:c r="AB69" s="2" t="str">
        <x:f>IF(B69="","",MIN(1,SUM(E69:I69)))</x:f>
      </x:c>
      <x:c r="AC69" s="2" t="str">
        <x:f>IF(B69="","",MIN(1,SUM(E69:J69)))</x:f>
      </x:c>
      <x:c r="AD69" s="2" t="str">
        <x:f>IF(B69="","",MIN(1,SUM(E69:K69)))</x:f>
      </x:c>
      <x:c r="AE69" s="2" t="str">
        <x:f>IF(B69="","",MIN(1,SUM(E69:L69)))</x:f>
      </x:c>
      <x:c r="AF69" s="2" t="str">
        <x:f>IF(B69="","",MIN(1,SUM(E69:M69)))</x:f>
      </x:c>
      <x:c r="AG69" s="2" t="str">
        <x:f>IF(B69="","",MIN(1,SUM(E69:N69)))</x:f>
      </x:c>
      <x:c r="AH69" s="2" t="str">
        <x:f>IF(B69="","",MIN(1,SUM(E69:O69)))</x:f>
      </x:c>
      <x:c r="AI69" s="2" t="str">
        <x:f>IF(B69="","",MIN(1,SUM(E69:P69)))</x:f>
      </x:c>
      <x:c r="AJ69" s="2" t="str">
        <x:f>IF(B69="","",MIN(1,SUM(E69:Q69)))</x:f>
      </x:c>
      <x:c r="AK69" s="2" t="str">
        <x:f>IF(B69="","",MIN(1,SUM(E69:R69)))</x:f>
      </x:c>
      <x:c r="AL69" s="2" t="str">
        <x:f>IF(B69="","",MIN(1,SUM(E69:S69)))</x:f>
      </x:c>
      <x:c r="AM69" s="2" t="str">
        <x:f>IF(B69="","",MIN(1,SUM(E69:T69)))</x:f>
      </x:c>
      <x:c r="AN69" s="2" t="str">
        <x:f>IF(B69="","",MIN(1,SUM(E69:U69)))</x:f>
      </x:c>
      <x:c r="AO69" s="2" t="str">
        <x:f>IF(B69="","",MIN(1,SUM(E69:V69)))</x:f>
      </x:c>
      <x:c r="AP69" s="2" t="str">
        <x:f>IF(B69="","",MIN(1,SUM(E69:W69)))</x:f>
      </x:c>
    </x:row>
    <x:row r="70" ht="21" customHeight="1">
      <x:c r="A70" s="2" t="str">
        <x:f>IF('Motor_Meciuri'!A70="","",'Motor_Meciuri'!A70)</x:f>
      </x:c>
      <x:c r="B70" s="2" t="str">
        <x:f>IF('Motor_Meciuri'!I70&lt;&gt;"PASS","",'Motor_Meciuri'!BD70)</x:f>
      </x:c>
      <x:c r="C70" s="2" t="str">
        <x:f>IF(B70="","",'Motor_Meciuri'!AU70)</x:f>
      </x:c>
      <x:c r="D70" s="2" t="str">
        <x:f>IF(B70="","",'Motor_Meciuri'!AW70)</x:f>
      </x:c>
      <x:c r="E70" s="2" t="str">
        <x:f>IF(B70="","",IF(C70&lt;='Config_v6'!$B$10,EXP(-B70),(D70/(D70+B70))^D70))</x:f>
      </x:c>
      <x:c r="F70" s="2" t="str">
        <x:f>IF(B70="","",IF(C70&lt;='Config_v6'!$B$10,E70*B70/1,E70*(D70+0)/1*B70/(D70+B70)))</x:f>
      </x:c>
      <x:c r="G70" s="2" t="str">
        <x:f>IF(B70="","",IF(C70&lt;='Config_v6'!$B$10,F70*B70/2,F70*(D70+1)/2*B70/(D70+B70)))</x:f>
      </x:c>
      <x:c r="H70" s="2" t="str">
        <x:f>IF(B70="","",IF(C70&lt;='Config_v6'!$B$10,G70*B70/3,G70*(D70+2)/3*B70/(D70+B70)))</x:f>
      </x:c>
      <x:c r="I70" s="2" t="str">
        <x:f>IF(B70="","",IF(C70&lt;='Config_v6'!$B$10,H70*B70/4,H70*(D70+3)/4*B70/(D70+B70)))</x:f>
      </x:c>
      <x:c r="J70" s="2" t="str">
        <x:f>IF(B70="","",IF(C70&lt;='Config_v6'!$B$10,I70*B70/5,I70*(D70+4)/5*B70/(D70+B70)))</x:f>
      </x:c>
      <x:c r="K70" s="2" t="str">
        <x:f>IF(B70="","",IF(C70&lt;='Config_v6'!$B$10,J70*B70/6,J70*(D70+5)/6*B70/(D70+B70)))</x:f>
      </x:c>
      <x:c r="L70" s="2" t="str">
        <x:f>IF(B70="","",IF(C70&lt;='Config_v6'!$B$10,K70*B70/7,K70*(D70+6)/7*B70/(D70+B70)))</x:f>
      </x:c>
      <x:c r="M70" s="2" t="str">
        <x:f>IF(B70="","",IF(C70&lt;='Config_v6'!$B$10,L70*B70/8,L70*(D70+7)/8*B70/(D70+B70)))</x:f>
      </x:c>
      <x:c r="N70" s="2" t="str">
        <x:f>IF(B70="","",IF(C70&lt;='Config_v6'!$B$10,M70*B70/9,M70*(D70+8)/9*B70/(D70+B70)))</x:f>
      </x:c>
      <x:c r="O70" s="2" t="str">
        <x:f>IF(B70="","",IF(C70&lt;='Config_v6'!$B$10,N70*B70/10,N70*(D70+9)/10*B70/(D70+B70)))</x:f>
      </x:c>
      <x:c r="P70" s="2" t="str">
        <x:f>IF(B70="","",IF(C70&lt;='Config_v6'!$B$10,O70*B70/11,O70*(D70+10)/11*B70/(D70+B70)))</x:f>
      </x:c>
      <x:c r="Q70" s="2" t="str">
        <x:f>IF(B70="","",IF(C70&lt;='Config_v6'!$B$10,P70*B70/12,P70*(D70+11)/12*B70/(D70+B70)))</x:f>
      </x:c>
      <x:c r="R70" s="2" t="str">
        <x:f>IF(B70="","",IF(C70&lt;='Config_v6'!$B$10,Q70*B70/13,Q70*(D70+12)/13*B70/(D70+B70)))</x:f>
      </x:c>
      <x:c r="S70" s="2" t="str">
        <x:f>IF(B70="","",IF(C70&lt;='Config_v6'!$B$10,R70*B70/14,R70*(D70+13)/14*B70/(D70+B70)))</x:f>
      </x:c>
      <x:c r="T70" s="2" t="str">
        <x:f>IF(B70="","",IF(C70&lt;='Config_v6'!$B$10,S70*B70/15,S70*(D70+14)/15*B70/(D70+B70)))</x:f>
      </x:c>
      <x:c r="U70" s="2" t="str">
        <x:f>IF(B70="","",IF(C70&lt;='Config_v6'!$B$10,T70*B70/16,T70*(D70+15)/16*B70/(D70+B70)))</x:f>
      </x:c>
      <x:c r="V70" s="2" t="str">
        <x:f>IF(B70="","",IF(C70&lt;='Config_v6'!$B$10,U70*B70/17,U70*(D70+16)/17*B70/(D70+B70)))</x:f>
      </x:c>
      <x:c r="W70" s="2" t="str">
        <x:f>IF(B70="","",IF(C70&lt;='Config_v6'!$B$10,V70*B70/18,V70*(D70+17)/18*B70/(D70+B70)))</x:f>
      </x:c>
      <x:c r="X70" s="2" t="str">
        <x:f>IF(B70="","",MIN(1,SUM(E70:E70)))</x:f>
      </x:c>
      <x:c r="Y70" s="2" t="str">
        <x:f>IF(B70="","",MIN(1,SUM(E70:F70)))</x:f>
      </x:c>
      <x:c r="Z70" s="2" t="str">
        <x:f>IF(B70="","",MIN(1,SUM(E70:G70)))</x:f>
      </x:c>
      <x:c r="AA70" s="2" t="str">
        <x:f>IF(B70="","",MIN(1,SUM(E70:H70)))</x:f>
      </x:c>
      <x:c r="AB70" s="2" t="str">
        <x:f>IF(B70="","",MIN(1,SUM(E70:I70)))</x:f>
      </x:c>
      <x:c r="AC70" s="2" t="str">
        <x:f>IF(B70="","",MIN(1,SUM(E70:J70)))</x:f>
      </x:c>
      <x:c r="AD70" s="2" t="str">
        <x:f>IF(B70="","",MIN(1,SUM(E70:K70)))</x:f>
      </x:c>
      <x:c r="AE70" s="2" t="str">
        <x:f>IF(B70="","",MIN(1,SUM(E70:L70)))</x:f>
      </x:c>
      <x:c r="AF70" s="2" t="str">
        <x:f>IF(B70="","",MIN(1,SUM(E70:M70)))</x:f>
      </x:c>
      <x:c r="AG70" s="2" t="str">
        <x:f>IF(B70="","",MIN(1,SUM(E70:N70)))</x:f>
      </x:c>
      <x:c r="AH70" s="2" t="str">
        <x:f>IF(B70="","",MIN(1,SUM(E70:O70)))</x:f>
      </x:c>
      <x:c r="AI70" s="2" t="str">
        <x:f>IF(B70="","",MIN(1,SUM(E70:P70)))</x:f>
      </x:c>
      <x:c r="AJ70" s="2" t="str">
        <x:f>IF(B70="","",MIN(1,SUM(E70:Q70)))</x:f>
      </x:c>
      <x:c r="AK70" s="2" t="str">
        <x:f>IF(B70="","",MIN(1,SUM(E70:R70)))</x:f>
      </x:c>
      <x:c r="AL70" s="2" t="str">
        <x:f>IF(B70="","",MIN(1,SUM(E70:S70)))</x:f>
      </x:c>
      <x:c r="AM70" s="2" t="str">
        <x:f>IF(B70="","",MIN(1,SUM(E70:T70)))</x:f>
      </x:c>
      <x:c r="AN70" s="2" t="str">
        <x:f>IF(B70="","",MIN(1,SUM(E70:U70)))</x:f>
      </x:c>
      <x:c r="AO70" s="2" t="str">
        <x:f>IF(B70="","",MIN(1,SUM(E70:V70)))</x:f>
      </x:c>
      <x:c r="AP70" s="2" t="str">
        <x:f>IF(B70="","",MIN(1,SUM(E70:W70)))</x:f>
      </x:c>
    </x:row>
    <x:row r="71" ht="21" customHeight="1">
      <x:c r="A71" s="2" t="str">
        <x:f>IF('Motor_Meciuri'!A71="","",'Motor_Meciuri'!A71)</x:f>
      </x:c>
      <x:c r="B71" s="2" t="str">
        <x:f>IF('Motor_Meciuri'!I71&lt;&gt;"PASS","",'Motor_Meciuri'!BD71)</x:f>
      </x:c>
      <x:c r="C71" s="2" t="str">
        <x:f>IF(B71="","",'Motor_Meciuri'!AU71)</x:f>
      </x:c>
      <x:c r="D71" s="2" t="str">
        <x:f>IF(B71="","",'Motor_Meciuri'!AW71)</x:f>
      </x:c>
      <x:c r="E71" s="2" t="str">
        <x:f>IF(B71="","",IF(C71&lt;='Config_v6'!$B$10,EXP(-B71),(D71/(D71+B71))^D71))</x:f>
      </x:c>
      <x:c r="F71" s="2" t="str">
        <x:f>IF(B71="","",IF(C71&lt;='Config_v6'!$B$10,E71*B71/1,E71*(D71+0)/1*B71/(D71+B71)))</x:f>
      </x:c>
      <x:c r="G71" s="2" t="str">
        <x:f>IF(B71="","",IF(C71&lt;='Config_v6'!$B$10,F71*B71/2,F71*(D71+1)/2*B71/(D71+B71)))</x:f>
      </x:c>
      <x:c r="H71" s="2" t="str">
        <x:f>IF(B71="","",IF(C71&lt;='Config_v6'!$B$10,G71*B71/3,G71*(D71+2)/3*B71/(D71+B71)))</x:f>
      </x:c>
      <x:c r="I71" s="2" t="str">
        <x:f>IF(B71="","",IF(C71&lt;='Config_v6'!$B$10,H71*B71/4,H71*(D71+3)/4*B71/(D71+B71)))</x:f>
      </x:c>
      <x:c r="J71" s="2" t="str">
        <x:f>IF(B71="","",IF(C71&lt;='Config_v6'!$B$10,I71*B71/5,I71*(D71+4)/5*B71/(D71+B71)))</x:f>
      </x:c>
      <x:c r="K71" s="2" t="str">
        <x:f>IF(B71="","",IF(C71&lt;='Config_v6'!$B$10,J71*B71/6,J71*(D71+5)/6*B71/(D71+B71)))</x:f>
      </x:c>
      <x:c r="L71" s="2" t="str">
        <x:f>IF(B71="","",IF(C71&lt;='Config_v6'!$B$10,K71*B71/7,K71*(D71+6)/7*B71/(D71+B71)))</x:f>
      </x:c>
      <x:c r="M71" s="2" t="str">
        <x:f>IF(B71="","",IF(C71&lt;='Config_v6'!$B$10,L71*B71/8,L71*(D71+7)/8*B71/(D71+B71)))</x:f>
      </x:c>
      <x:c r="N71" s="2" t="str">
        <x:f>IF(B71="","",IF(C71&lt;='Config_v6'!$B$10,M71*B71/9,M71*(D71+8)/9*B71/(D71+B71)))</x:f>
      </x:c>
      <x:c r="O71" s="2" t="str">
        <x:f>IF(B71="","",IF(C71&lt;='Config_v6'!$B$10,N71*B71/10,N71*(D71+9)/10*B71/(D71+B71)))</x:f>
      </x:c>
      <x:c r="P71" s="2" t="str">
        <x:f>IF(B71="","",IF(C71&lt;='Config_v6'!$B$10,O71*B71/11,O71*(D71+10)/11*B71/(D71+B71)))</x:f>
      </x:c>
      <x:c r="Q71" s="2" t="str">
        <x:f>IF(B71="","",IF(C71&lt;='Config_v6'!$B$10,P71*B71/12,P71*(D71+11)/12*B71/(D71+B71)))</x:f>
      </x:c>
      <x:c r="R71" s="2" t="str">
        <x:f>IF(B71="","",IF(C71&lt;='Config_v6'!$B$10,Q71*B71/13,Q71*(D71+12)/13*B71/(D71+B71)))</x:f>
      </x:c>
      <x:c r="S71" s="2" t="str">
        <x:f>IF(B71="","",IF(C71&lt;='Config_v6'!$B$10,R71*B71/14,R71*(D71+13)/14*B71/(D71+B71)))</x:f>
      </x:c>
      <x:c r="T71" s="2" t="str">
        <x:f>IF(B71="","",IF(C71&lt;='Config_v6'!$B$10,S71*B71/15,S71*(D71+14)/15*B71/(D71+B71)))</x:f>
      </x:c>
      <x:c r="U71" s="2" t="str">
        <x:f>IF(B71="","",IF(C71&lt;='Config_v6'!$B$10,T71*B71/16,T71*(D71+15)/16*B71/(D71+B71)))</x:f>
      </x:c>
      <x:c r="V71" s="2" t="str">
        <x:f>IF(B71="","",IF(C71&lt;='Config_v6'!$B$10,U71*B71/17,U71*(D71+16)/17*B71/(D71+B71)))</x:f>
      </x:c>
      <x:c r="W71" s="2" t="str">
        <x:f>IF(B71="","",IF(C71&lt;='Config_v6'!$B$10,V71*B71/18,V71*(D71+17)/18*B71/(D71+B71)))</x:f>
      </x:c>
      <x:c r="X71" s="2" t="str">
        <x:f>IF(B71="","",MIN(1,SUM(E71:E71)))</x:f>
      </x:c>
      <x:c r="Y71" s="2" t="str">
        <x:f>IF(B71="","",MIN(1,SUM(E71:F71)))</x:f>
      </x:c>
      <x:c r="Z71" s="2" t="str">
        <x:f>IF(B71="","",MIN(1,SUM(E71:G71)))</x:f>
      </x:c>
      <x:c r="AA71" s="2" t="str">
        <x:f>IF(B71="","",MIN(1,SUM(E71:H71)))</x:f>
      </x:c>
      <x:c r="AB71" s="2" t="str">
        <x:f>IF(B71="","",MIN(1,SUM(E71:I71)))</x:f>
      </x:c>
      <x:c r="AC71" s="2" t="str">
        <x:f>IF(B71="","",MIN(1,SUM(E71:J71)))</x:f>
      </x:c>
      <x:c r="AD71" s="2" t="str">
        <x:f>IF(B71="","",MIN(1,SUM(E71:K71)))</x:f>
      </x:c>
      <x:c r="AE71" s="2" t="str">
        <x:f>IF(B71="","",MIN(1,SUM(E71:L71)))</x:f>
      </x:c>
      <x:c r="AF71" s="2" t="str">
        <x:f>IF(B71="","",MIN(1,SUM(E71:M71)))</x:f>
      </x:c>
      <x:c r="AG71" s="2" t="str">
        <x:f>IF(B71="","",MIN(1,SUM(E71:N71)))</x:f>
      </x:c>
      <x:c r="AH71" s="2" t="str">
        <x:f>IF(B71="","",MIN(1,SUM(E71:O71)))</x:f>
      </x:c>
      <x:c r="AI71" s="2" t="str">
        <x:f>IF(B71="","",MIN(1,SUM(E71:P71)))</x:f>
      </x:c>
      <x:c r="AJ71" s="2" t="str">
        <x:f>IF(B71="","",MIN(1,SUM(E71:Q71)))</x:f>
      </x:c>
      <x:c r="AK71" s="2" t="str">
        <x:f>IF(B71="","",MIN(1,SUM(E71:R71)))</x:f>
      </x:c>
      <x:c r="AL71" s="2" t="str">
        <x:f>IF(B71="","",MIN(1,SUM(E71:S71)))</x:f>
      </x:c>
      <x:c r="AM71" s="2" t="str">
        <x:f>IF(B71="","",MIN(1,SUM(E71:T71)))</x:f>
      </x:c>
      <x:c r="AN71" s="2" t="str">
        <x:f>IF(B71="","",MIN(1,SUM(E71:U71)))</x:f>
      </x:c>
      <x:c r="AO71" s="2" t="str">
        <x:f>IF(B71="","",MIN(1,SUM(E71:V71)))</x:f>
      </x:c>
      <x:c r="AP71" s="2" t="str">
        <x:f>IF(B71="","",MIN(1,SUM(E71:W71)))</x:f>
      </x:c>
    </x:row>
    <x:row r="72" ht="21" customHeight="1">
      <x:c r="A72" s="2" t="str">
        <x:f>IF('Motor_Meciuri'!A72="","",'Motor_Meciuri'!A72)</x:f>
      </x:c>
      <x:c r="B72" s="2" t="str">
        <x:f>IF('Motor_Meciuri'!I72&lt;&gt;"PASS","",'Motor_Meciuri'!BD72)</x:f>
      </x:c>
      <x:c r="C72" s="2" t="str">
        <x:f>IF(B72="","",'Motor_Meciuri'!AU72)</x:f>
      </x:c>
      <x:c r="D72" s="2" t="str">
        <x:f>IF(B72="","",'Motor_Meciuri'!AW72)</x:f>
      </x:c>
      <x:c r="E72" s="2" t="str">
        <x:f>IF(B72="","",IF(C72&lt;='Config_v6'!$B$10,EXP(-B72),(D72/(D72+B72))^D72))</x:f>
      </x:c>
      <x:c r="F72" s="2" t="str">
        <x:f>IF(B72="","",IF(C72&lt;='Config_v6'!$B$10,E72*B72/1,E72*(D72+0)/1*B72/(D72+B72)))</x:f>
      </x:c>
      <x:c r="G72" s="2" t="str">
        <x:f>IF(B72="","",IF(C72&lt;='Config_v6'!$B$10,F72*B72/2,F72*(D72+1)/2*B72/(D72+B72)))</x:f>
      </x:c>
      <x:c r="H72" s="2" t="str">
        <x:f>IF(B72="","",IF(C72&lt;='Config_v6'!$B$10,G72*B72/3,G72*(D72+2)/3*B72/(D72+B72)))</x:f>
      </x:c>
      <x:c r="I72" s="2" t="str">
        <x:f>IF(B72="","",IF(C72&lt;='Config_v6'!$B$10,H72*B72/4,H72*(D72+3)/4*B72/(D72+B72)))</x:f>
      </x:c>
      <x:c r="J72" s="2" t="str">
        <x:f>IF(B72="","",IF(C72&lt;='Config_v6'!$B$10,I72*B72/5,I72*(D72+4)/5*B72/(D72+B72)))</x:f>
      </x:c>
      <x:c r="K72" s="2" t="str">
        <x:f>IF(B72="","",IF(C72&lt;='Config_v6'!$B$10,J72*B72/6,J72*(D72+5)/6*B72/(D72+B72)))</x:f>
      </x:c>
      <x:c r="L72" s="2" t="str">
        <x:f>IF(B72="","",IF(C72&lt;='Config_v6'!$B$10,K72*B72/7,K72*(D72+6)/7*B72/(D72+B72)))</x:f>
      </x:c>
      <x:c r="M72" s="2" t="str">
        <x:f>IF(B72="","",IF(C72&lt;='Config_v6'!$B$10,L72*B72/8,L72*(D72+7)/8*B72/(D72+B72)))</x:f>
      </x:c>
      <x:c r="N72" s="2" t="str">
        <x:f>IF(B72="","",IF(C72&lt;='Config_v6'!$B$10,M72*B72/9,M72*(D72+8)/9*B72/(D72+B72)))</x:f>
      </x:c>
      <x:c r="O72" s="2" t="str">
        <x:f>IF(B72="","",IF(C72&lt;='Config_v6'!$B$10,N72*B72/10,N72*(D72+9)/10*B72/(D72+B72)))</x:f>
      </x:c>
      <x:c r="P72" s="2" t="str">
        <x:f>IF(B72="","",IF(C72&lt;='Config_v6'!$B$10,O72*B72/11,O72*(D72+10)/11*B72/(D72+B72)))</x:f>
      </x:c>
      <x:c r="Q72" s="2" t="str">
        <x:f>IF(B72="","",IF(C72&lt;='Config_v6'!$B$10,P72*B72/12,P72*(D72+11)/12*B72/(D72+B72)))</x:f>
      </x:c>
      <x:c r="R72" s="2" t="str">
        <x:f>IF(B72="","",IF(C72&lt;='Config_v6'!$B$10,Q72*B72/13,Q72*(D72+12)/13*B72/(D72+B72)))</x:f>
      </x:c>
      <x:c r="S72" s="2" t="str">
        <x:f>IF(B72="","",IF(C72&lt;='Config_v6'!$B$10,R72*B72/14,R72*(D72+13)/14*B72/(D72+B72)))</x:f>
      </x:c>
      <x:c r="T72" s="2" t="str">
        <x:f>IF(B72="","",IF(C72&lt;='Config_v6'!$B$10,S72*B72/15,S72*(D72+14)/15*B72/(D72+B72)))</x:f>
      </x:c>
      <x:c r="U72" s="2" t="str">
        <x:f>IF(B72="","",IF(C72&lt;='Config_v6'!$B$10,T72*B72/16,T72*(D72+15)/16*B72/(D72+B72)))</x:f>
      </x:c>
      <x:c r="V72" s="2" t="str">
        <x:f>IF(B72="","",IF(C72&lt;='Config_v6'!$B$10,U72*B72/17,U72*(D72+16)/17*B72/(D72+B72)))</x:f>
      </x:c>
      <x:c r="W72" s="2" t="str">
        <x:f>IF(B72="","",IF(C72&lt;='Config_v6'!$B$10,V72*B72/18,V72*(D72+17)/18*B72/(D72+B72)))</x:f>
      </x:c>
      <x:c r="X72" s="2" t="str">
        <x:f>IF(B72="","",MIN(1,SUM(E72:E72)))</x:f>
      </x:c>
      <x:c r="Y72" s="2" t="str">
        <x:f>IF(B72="","",MIN(1,SUM(E72:F72)))</x:f>
      </x:c>
      <x:c r="Z72" s="2" t="str">
        <x:f>IF(B72="","",MIN(1,SUM(E72:G72)))</x:f>
      </x:c>
      <x:c r="AA72" s="2" t="str">
        <x:f>IF(B72="","",MIN(1,SUM(E72:H72)))</x:f>
      </x:c>
      <x:c r="AB72" s="2" t="str">
        <x:f>IF(B72="","",MIN(1,SUM(E72:I72)))</x:f>
      </x:c>
      <x:c r="AC72" s="2" t="str">
        <x:f>IF(B72="","",MIN(1,SUM(E72:J72)))</x:f>
      </x:c>
      <x:c r="AD72" s="2" t="str">
        <x:f>IF(B72="","",MIN(1,SUM(E72:K72)))</x:f>
      </x:c>
      <x:c r="AE72" s="2" t="str">
        <x:f>IF(B72="","",MIN(1,SUM(E72:L72)))</x:f>
      </x:c>
      <x:c r="AF72" s="2" t="str">
        <x:f>IF(B72="","",MIN(1,SUM(E72:M72)))</x:f>
      </x:c>
      <x:c r="AG72" s="2" t="str">
        <x:f>IF(B72="","",MIN(1,SUM(E72:N72)))</x:f>
      </x:c>
      <x:c r="AH72" s="2" t="str">
        <x:f>IF(B72="","",MIN(1,SUM(E72:O72)))</x:f>
      </x:c>
      <x:c r="AI72" s="2" t="str">
        <x:f>IF(B72="","",MIN(1,SUM(E72:P72)))</x:f>
      </x:c>
      <x:c r="AJ72" s="2" t="str">
        <x:f>IF(B72="","",MIN(1,SUM(E72:Q72)))</x:f>
      </x:c>
      <x:c r="AK72" s="2" t="str">
        <x:f>IF(B72="","",MIN(1,SUM(E72:R72)))</x:f>
      </x:c>
      <x:c r="AL72" s="2" t="str">
        <x:f>IF(B72="","",MIN(1,SUM(E72:S72)))</x:f>
      </x:c>
      <x:c r="AM72" s="2" t="str">
        <x:f>IF(B72="","",MIN(1,SUM(E72:T72)))</x:f>
      </x:c>
      <x:c r="AN72" s="2" t="str">
        <x:f>IF(B72="","",MIN(1,SUM(E72:U72)))</x:f>
      </x:c>
      <x:c r="AO72" s="2" t="str">
        <x:f>IF(B72="","",MIN(1,SUM(E72:V72)))</x:f>
      </x:c>
      <x:c r="AP72" s="2" t="str">
        <x:f>IF(B72="","",MIN(1,SUM(E72:W72)))</x:f>
      </x:c>
    </x:row>
    <x:row r="73" ht="21" customHeight="1">
      <x:c r="A73" s="2" t="str">
        <x:f>IF('Motor_Meciuri'!A73="","",'Motor_Meciuri'!A73)</x:f>
      </x:c>
      <x:c r="B73" s="2" t="str">
        <x:f>IF('Motor_Meciuri'!I73&lt;&gt;"PASS","",'Motor_Meciuri'!BD73)</x:f>
      </x:c>
      <x:c r="C73" s="2" t="str">
        <x:f>IF(B73="","",'Motor_Meciuri'!AU73)</x:f>
      </x:c>
      <x:c r="D73" s="2" t="str">
        <x:f>IF(B73="","",'Motor_Meciuri'!AW73)</x:f>
      </x:c>
      <x:c r="E73" s="2" t="str">
        <x:f>IF(B73="","",IF(C73&lt;='Config_v6'!$B$10,EXP(-B73),(D73/(D73+B73))^D73))</x:f>
      </x:c>
      <x:c r="F73" s="2" t="str">
        <x:f>IF(B73="","",IF(C73&lt;='Config_v6'!$B$10,E73*B73/1,E73*(D73+0)/1*B73/(D73+B73)))</x:f>
      </x:c>
      <x:c r="G73" s="2" t="str">
        <x:f>IF(B73="","",IF(C73&lt;='Config_v6'!$B$10,F73*B73/2,F73*(D73+1)/2*B73/(D73+B73)))</x:f>
      </x:c>
      <x:c r="H73" s="2" t="str">
        <x:f>IF(B73="","",IF(C73&lt;='Config_v6'!$B$10,G73*B73/3,G73*(D73+2)/3*B73/(D73+B73)))</x:f>
      </x:c>
      <x:c r="I73" s="2" t="str">
        <x:f>IF(B73="","",IF(C73&lt;='Config_v6'!$B$10,H73*B73/4,H73*(D73+3)/4*B73/(D73+B73)))</x:f>
      </x:c>
      <x:c r="J73" s="2" t="str">
        <x:f>IF(B73="","",IF(C73&lt;='Config_v6'!$B$10,I73*B73/5,I73*(D73+4)/5*B73/(D73+B73)))</x:f>
      </x:c>
      <x:c r="K73" s="2" t="str">
        <x:f>IF(B73="","",IF(C73&lt;='Config_v6'!$B$10,J73*B73/6,J73*(D73+5)/6*B73/(D73+B73)))</x:f>
      </x:c>
      <x:c r="L73" s="2" t="str">
        <x:f>IF(B73="","",IF(C73&lt;='Config_v6'!$B$10,K73*B73/7,K73*(D73+6)/7*B73/(D73+B73)))</x:f>
      </x:c>
      <x:c r="M73" s="2" t="str">
        <x:f>IF(B73="","",IF(C73&lt;='Config_v6'!$B$10,L73*B73/8,L73*(D73+7)/8*B73/(D73+B73)))</x:f>
      </x:c>
      <x:c r="N73" s="2" t="str">
        <x:f>IF(B73="","",IF(C73&lt;='Config_v6'!$B$10,M73*B73/9,M73*(D73+8)/9*B73/(D73+B73)))</x:f>
      </x:c>
      <x:c r="O73" s="2" t="str">
        <x:f>IF(B73="","",IF(C73&lt;='Config_v6'!$B$10,N73*B73/10,N73*(D73+9)/10*B73/(D73+B73)))</x:f>
      </x:c>
      <x:c r="P73" s="2" t="str">
        <x:f>IF(B73="","",IF(C73&lt;='Config_v6'!$B$10,O73*B73/11,O73*(D73+10)/11*B73/(D73+B73)))</x:f>
      </x:c>
      <x:c r="Q73" s="2" t="str">
        <x:f>IF(B73="","",IF(C73&lt;='Config_v6'!$B$10,P73*B73/12,P73*(D73+11)/12*B73/(D73+B73)))</x:f>
      </x:c>
      <x:c r="R73" s="2" t="str">
        <x:f>IF(B73="","",IF(C73&lt;='Config_v6'!$B$10,Q73*B73/13,Q73*(D73+12)/13*B73/(D73+B73)))</x:f>
      </x:c>
      <x:c r="S73" s="2" t="str">
        <x:f>IF(B73="","",IF(C73&lt;='Config_v6'!$B$10,R73*B73/14,R73*(D73+13)/14*B73/(D73+B73)))</x:f>
      </x:c>
      <x:c r="T73" s="2" t="str">
        <x:f>IF(B73="","",IF(C73&lt;='Config_v6'!$B$10,S73*B73/15,S73*(D73+14)/15*B73/(D73+B73)))</x:f>
      </x:c>
      <x:c r="U73" s="2" t="str">
        <x:f>IF(B73="","",IF(C73&lt;='Config_v6'!$B$10,T73*B73/16,T73*(D73+15)/16*B73/(D73+B73)))</x:f>
      </x:c>
      <x:c r="V73" s="2" t="str">
        <x:f>IF(B73="","",IF(C73&lt;='Config_v6'!$B$10,U73*B73/17,U73*(D73+16)/17*B73/(D73+B73)))</x:f>
      </x:c>
      <x:c r="W73" s="2" t="str">
        <x:f>IF(B73="","",IF(C73&lt;='Config_v6'!$B$10,V73*B73/18,V73*(D73+17)/18*B73/(D73+B73)))</x:f>
      </x:c>
      <x:c r="X73" s="2" t="str">
        <x:f>IF(B73="","",MIN(1,SUM(E73:E73)))</x:f>
      </x:c>
      <x:c r="Y73" s="2" t="str">
        <x:f>IF(B73="","",MIN(1,SUM(E73:F73)))</x:f>
      </x:c>
      <x:c r="Z73" s="2" t="str">
        <x:f>IF(B73="","",MIN(1,SUM(E73:G73)))</x:f>
      </x:c>
      <x:c r="AA73" s="2" t="str">
        <x:f>IF(B73="","",MIN(1,SUM(E73:H73)))</x:f>
      </x:c>
      <x:c r="AB73" s="2" t="str">
        <x:f>IF(B73="","",MIN(1,SUM(E73:I73)))</x:f>
      </x:c>
      <x:c r="AC73" s="2" t="str">
        <x:f>IF(B73="","",MIN(1,SUM(E73:J73)))</x:f>
      </x:c>
      <x:c r="AD73" s="2" t="str">
        <x:f>IF(B73="","",MIN(1,SUM(E73:K73)))</x:f>
      </x:c>
      <x:c r="AE73" s="2" t="str">
        <x:f>IF(B73="","",MIN(1,SUM(E73:L73)))</x:f>
      </x:c>
      <x:c r="AF73" s="2" t="str">
        <x:f>IF(B73="","",MIN(1,SUM(E73:M73)))</x:f>
      </x:c>
      <x:c r="AG73" s="2" t="str">
        <x:f>IF(B73="","",MIN(1,SUM(E73:N73)))</x:f>
      </x:c>
      <x:c r="AH73" s="2" t="str">
        <x:f>IF(B73="","",MIN(1,SUM(E73:O73)))</x:f>
      </x:c>
      <x:c r="AI73" s="2" t="str">
        <x:f>IF(B73="","",MIN(1,SUM(E73:P73)))</x:f>
      </x:c>
      <x:c r="AJ73" s="2" t="str">
        <x:f>IF(B73="","",MIN(1,SUM(E73:Q73)))</x:f>
      </x:c>
      <x:c r="AK73" s="2" t="str">
        <x:f>IF(B73="","",MIN(1,SUM(E73:R73)))</x:f>
      </x:c>
      <x:c r="AL73" s="2" t="str">
        <x:f>IF(B73="","",MIN(1,SUM(E73:S73)))</x:f>
      </x:c>
      <x:c r="AM73" s="2" t="str">
        <x:f>IF(B73="","",MIN(1,SUM(E73:T73)))</x:f>
      </x:c>
      <x:c r="AN73" s="2" t="str">
        <x:f>IF(B73="","",MIN(1,SUM(E73:U73)))</x:f>
      </x:c>
      <x:c r="AO73" s="2" t="str">
        <x:f>IF(B73="","",MIN(1,SUM(E73:V73)))</x:f>
      </x:c>
      <x:c r="AP73" s="2" t="str">
        <x:f>IF(B73="","",MIN(1,SUM(E73:W73)))</x:f>
      </x:c>
    </x:row>
    <x:row r="74" ht="21" customHeight="1">
      <x:c r="A74" s="2" t="str">
        <x:f>IF('Motor_Meciuri'!A74="","",'Motor_Meciuri'!A74)</x:f>
      </x:c>
      <x:c r="B74" s="2" t="str">
        <x:f>IF('Motor_Meciuri'!I74&lt;&gt;"PASS","",'Motor_Meciuri'!BD74)</x:f>
      </x:c>
      <x:c r="C74" s="2" t="str">
        <x:f>IF(B74="","",'Motor_Meciuri'!AU74)</x:f>
      </x:c>
      <x:c r="D74" s="2" t="str">
        <x:f>IF(B74="","",'Motor_Meciuri'!AW74)</x:f>
      </x:c>
      <x:c r="E74" s="2" t="str">
        <x:f>IF(B74="","",IF(C74&lt;='Config_v6'!$B$10,EXP(-B74),(D74/(D74+B74))^D74))</x:f>
      </x:c>
      <x:c r="F74" s="2" t="str">
        <x:f>IF(B74="","",IF(C74&lt;='Config_v6'!$B$10,E74*B74/1,E74*(D74+0)/1*B74/(D74+B74)))</x:f>
      </x:c>
      <x:c r="G74" s="2" t="str">
        <x:f>IF(B74="","",IF(C74&lt;='Config_v6'!$B$10,F74*B74/2,F74*(D74+1)/2*B74/(D74+B74)))</x:f>
      </x:c>
      <x:c r="H74" s="2" t="str">
        <x:f>IF(B74="","",IF(C74&lt;='Config_v6'!$B$10,G74*B74/3,G74*(D74+2)/3*B74/(D74+B74)))</x:f>
      </x:c>
      <x:c r="I74" s="2" t="str">
        <x:f>IF(B74="","",IF(C74&lt;='Config_v6'!$B$10,H74*B74/4,H74*(D74+3)/4*B74/(D74+B74)))</x:f>
      </x:c>
      <x:c r="J74" s="2" t="str">
        <x:f>IF(B74="","",IF(C74&lt;='Config_v6'!$B$10,I74*B74/5,I74*(D74+4)/5*B74/(D74+B74)))</x:f>
      </x:c>
      <x:c r="K74" s="2" t="str">
        <x:f>IF(B74="","",IF(C74&lt;='Config_v6'!$B$10,J74*B74/6,J74*(D74+5)/6*B74/(D74+B74)))</x:f>
      </x:c>
      <x:c r="L74" s="2" t="str">
        <x:f>IF(B74="","",IF(C74&lt;='Config_v6'!$B$10,K74*B74/7,K74*(D74+6)/7*B74/(D74+B74)))</x:f>
      </x:c>
      <x:c r="M74" s="2" t="str">
        <x:f>IF(B74="","",IF(C74&lt;='Config_v6'!$B$10,L74*B74/8,L74*(D74+7)/8*B74/(D74+B74)))</x:f>
      </x:c>
      <x:c r="N74" s="2" t="str">
        <x:f>IF(B74="","",IF(C74&lt;='Config_v6'!$B$10,M74*B74/9,M74*(D74+8)/9*B74/(D74+B74)))</x:f>
      </x:c>
      <x:c r="O74" s="2" t="str">
        <x:f>IF(B74="","",IF(C74&lt;='Config_v6'!$B$10,N74*B74/10,N74*(D74+9)/10*B74/(D74+B74)))</x:f>
      </x:c>
      <x:c r="P74" s="2" t="str">
        <x:f>IF(B74="","",IF(C74&lt;='Config_v6'!$B$10,O74*B74/11,O74*(D74+10)/11*B74/(D74+B74)))</x:f>
      </x:c>
      <x:c r="Q74" s="2" t="str">
        <x:f>IF(B74="","",IF(C74&lt;='Config_v6'!$B$10,P74*B74/12,P74*(D74+11)/12*B74/(D74+B74)))</x:f>
      </x:c>
      <x:c r="R74" s="2" t="str">
        <x:f>IF(B74="","",IF(C74&lt;='Config_v6'!$B$10,Q74*B74/13,Q74*(D74+12)/13*B74/(D74+B74)))</x:f>
      </x:c>
      <x:c r="S74" s="2" t="str">
        <x:f>IF(B74="","",IF(C74&lt;='Config_v6'!$B$10,R74*B74/14,R74*(D74+13)/14*B74/(D74+B74)))</x:f>
      </x:c>
      <x:c r="T74" s="2" t="str">
        <x:f>IF(B74="","",IF(C74&lt;='Config_v6'!$B$10,S74*B74/15,S74*(D74+14)/15*B74/(D74+B74)))</x:f>
      </x:c>
      <x:c r="U74" s="2" t="str">
        <x:f>IF(B74="","",IF(C74&lt;='Config_v6'!$B$10,T74*B74/16,T74*(D74+15)/16*B74/(D74+B74)))</x:f>
      </x:c>
      <x:c r="V74" s="2" t="str">
        <x:f>IF(B74="","",IF(C74&lt;='Config_v6'!$B$10,U74*B74/17,U74*(D74+16)/17*B74/(D74+B74)))</x:f>
      </x:c>
      <x:c r="W74" s="2" t="str">
        <x:f>IF(B74="","",IF(C74&lt;='Config_v6'!$B$10,V74*B74/18,V74*(D74+17)/18*B74/(D74+B74)))</x:f>
      </x:c>
      <x:c r="X74" s="2" t="str">
        <x:f>IF(B74="","",MIN(1,SUM(E74:E74)))</x:f>
      </x:c>
      <x:c r="Y74" s="2" t="str">
        <x:f>IF(B74="","",MIN(1,SUM(E74:F74)))</x:f>
      </x:c>
      <x:c r="Z74" s="2" t="str">
        <x:f>IF(B74="","",MIN(1,SUM(E74:G74)))</x:f>
      </x:c>
      <x:c r="AA74" s="2" t="str">
        <x:f>IF(B74="","",MIN(1,SUM(E74:H74)))</x:f>
      </x:c>
      <x:c r="AB74" s="2" t="str">
        <x:f>IF(B74="","",MIN(1,SUM(E74:I74)))</x:f>
      </x:c>
      <x:c r="AC74" s="2" t="str">
        <x:f>IF(B74="","",MIN(1,SUM(E74:J74)))</x:f>
      </x:c>
      <x:c r="AD74" s="2" t="str">
        <x:f>IF(B74="","",MIN(1,SUM(E74:K74)))</x:f>
      </x:c>
      <x:c r="AE74" s="2" t="str">
        <x:f>IF(B74="","",MIN(1,SUM(E74:L74)))</x:f>
      </x:c>
      <x:c r="AF74" s="2" t="str">
        <x:f>IF(B74="","",MIN(1,SUM(E74:M74)))</x:f>
      </x:c>
      <x:c r="AG74" s="2" t="str">
        <x:f>IF(B74="","",MIN(1,SUM(E74:N74)))</x:f>
      </x:c>
      <x:c r="AH74" s="2" t="str">
        <x:f>IF(B74="","",MIN(1,SUM(E74:O74)))</x:f>
      </x:c>
      <x:c r="AI74" s="2" t="str">
        <x:f>IF(B74="","",MIN(1,SUM(E74:P74)))</x:f>
      </x:c>
      <x:c r="AJ74" s="2" t="str">
        <x:f>IF(B74="","",MIN(1,SUM(E74:Q74)))</x:f>
      </x:c>
      <x:c r="AK74" s="2" t="str">
        <x:f>IF(B74="","",MIN(1,SUM(E74:R74)))</x:f>
      </x:c>
      <x:c r="AL74" s="2" t="str">
        <x:f>IF(B74="","",MIN(1,SUM(E74:S74)))</x:f>
      </x:c>
      <x:c r="AM74" s="2" t="str">
        <x:f>IF(B74="","",MIN(1,SUM(E74:T74)))</x:f>
      </x:c>
      <x:c r="AN74" s="2" t="str">
        <x:f>IF(B74="","",MIN(1,SUM(E74:U74)))</x:f>
      </x:c>
      <x:c r="AO74" s="2" t="str">
        <x:f>IF(B74="","",MIN(1,SUM(E74:V74)))</x:f>
      </x:c>
      <x:c r="AP74" s="2" t="str">
        <x:f>IF(B74="","",MIN(1,SUM(E74:W74)))</x:f>
      </x:c>
    </x:row>
    <x:row r="75" ht="21" customHeight="1">
      <x:c r="A75" s="2" t="str">
        <x:f>IF('Motor_Meciuri'!A75="","",'Motor_Meciuri'!A75)</x:f>
      </x:c>
      <x:c r="B75" s="2" t="str">
        <x:f>IF('Motor_Meciuri'!I75&lt;&gt;"PASS","",'Motor_Meciuri'!BD75)</x:f>
      </x:c>
      <x:c r="C75" s="2" t="str">
        <x:f>IF(B75="","",'Motor_Meciuri'!AU75)</x:f>
      </x:c>
      <x:c r="D75" s="2" t="str">
        <x:f>IF(B75="","",'Motor_Meciuri'!AW75)</x:f>
      </x:c>
      <x:c r="E75" s="2" t="str">
        <x:f>IF(B75="","",IF(C75&lt;='Config_v6'!$B$10,EXP(-B75),(D75/(D75+B75))^D75))</x:f>
      </x:c>
      <x:c r="F75" s="2" t="str">
        <x:f>IF(B75="","",IF(C75&lt;='Config_v6'!$B$10,E75*B75/1,E75*(D75+0)/1*B75/(D75+B75)))</x:f>
      </x:c>
      <x:c r="G75" s="2" t="str">
        <x:f>IF(B75="","",IF(C75&lt;='Config_v6'!$B$10,F75*B75/2,F75*(D75+1)/2*B75/(D75+B75)))</x:f>
      </x:c>
      <x:c r="H75" s="2" t="str">
        <x:f>IF(B75="","",IF(C75&lt;='Config_v6'!$B$10,G75*B75/3,G75*(D75+2)/3*B75/(D75+B75)))</x:f>
      </x:c>
      <x:c r="I75" s="2" t="str">
        <x:f>IF(B75="","",IF(C75&lt;='Config_v6'!$B$10,H75*B75/4,H75*(D75+3)/4*B75/(D75+B75)))</x:f>
      </x:c>
      <x:c r="J75" s="2" t="str">
        <x:f>IF(B75="","",IF(C75&lt;='Config_v6'!$B$10,I75*B75/5,I75*(D75+4)/5*B75/(D75+B75)))</x:f>
      </x:c>
      <x:c r="K75" s="2" t="str">
        <x:f>IF(B75="","",IF(C75&lt;='Config_v6'!$B$10,J75*B75/6,J75*(D75+5)/6*B75/(D75+B75)))</x:f>
      </x:c>
      <x:c r="L75" s="2" t="str">
        <x:f>IF(B75="","",IF(C75&lt;='Config_v6'!$B$10,K75*B75/7,K75*(D75+6)/7*B75/(D75+B75)))</x:f>
      </x:c>
      <x:c r="M75" s="2" t="str">
        <x:f>IF(B75="","",IF(C75&lt;='Config_v6'!$B$10,L75*B75/8,L75*(D75+7)/8*B75/(D75+B75)))</x:f>
      </x:c>
      <x:c r="N75" s="2" t="str">
        <x:f>IF(B75="","",IF(C75&lt;='Config_v6'!$B$10,M75*B75/9,M75*(D75+8)/9*B75/(D75+B75)))</x:f>
      </x:c>
      <x:c r="O75" s="2" t="str">
        <x:f>IF(B75="","",IF(C75&lt;='Config_v6'!$B$10,N75*B75/10,N75*(D75+9)/10*B75/(D75+B75)))</x:f>
      </x:c>
      <x:c r="P75" s="2" t="str">
        <x:f>IF(B75="","",IF(C75&lt;='Config_v6'!$B$10,O75*B75/11,O75*(D75+10)/11*B75/(D75+B75)))</x:f>
      </x:c>
      <x:c r="Q75" s="2" t="str">
        <x:f>IF(B75="","",IF(C75&lt;='Config_v6'!$B$10,P75*B75/12,P75*(D75+11)/12*B75/(D75+B75)))</x:f>
      </x:c>
      <x:c r="R75" s="2" t="str">
        <x:f>IF(B75="","",IF(C75&lt;='Config_v6'!$B$10,Q75*B75/13,Q75*(D75+12)/13*B75/(D75+B75)))</x:f>
      </x:c>
      <x:c r="S75" s="2" t="str">
        <x:f>IF(B75="","",IF(C75&lt;='Config_v6'!$B$10,R75*B75/14,R75*(D75+13)/14*B75/(D75+B75)))</x:f>
      </x:c>
      <x:c r="T75" s="2" t="str">
        <x:f>IF(B75="","",IF(C75&lt;='Config_v6'!$B$10,S75*B75/15,S75*(D75+14)/15*B75/(D75+B75)))</x:f>
      </x:c>
      <x:c r="U75" s="2" t="str">
        <x:f>IF(B75="","",IF(C75&lt;='Config_v6'!$B$10,T75*B75/16,T75*(D75+15)/16*B75/(D75+B75)))</x:f>
      </x:c>
      <x:c r="V75" s="2" t="str">
        <x:f>IF(B75="","",IF(C75&lt;='Config_v6'!$B$10,U75*B75/17,U75*(D75+16)/17*B75/(D75+B75)))</x:f>
      </x:c>
      <x:c r="W75" s="2" t="str">
        <x:f>IF(B75="","",IF(C75&lt;='Config_v6'!$B$10,V75*B75/18,V75*(D75+17)/18*B75/(D75+B75)))</x:f>
      </x:c>
      <x:c r="X75" s="2" t="str">
        <x:f>IF(B75="","",MIN(1,SUM(E75:E75)))</x:f>
      </x:c>
      <x:c r="Y75" s="2" t="str">
        <x:f>IF(B75="","",MIN(1,SUM(E75:F75)))</x:f>
      </x:c>
      <x:c r="Z75" s="2" t="str">
        <x:f>IF(B75="","",MIN(1,SUM(E75:G75)))</x:f>
      </x:c>
      <x:c r="AA75" s="2" t="str">
        <x:f>IF(B75="","",MIN(1,SUM(E75:H75)))</x:f>
      </x:c>
      <x:c r="AB75" s="2" t="str">
        <x:f>IF(B75="","",MIN(1,SUM(E75:I75)))</x:f>
      </x:c>
      <x:c r="AC75" s="2" t="str">
        <x:f>IF(B75="","",MIN(1,SUM(E75:J75)))</x:f>
      </x:c>
      <x:c r="AD75" s="2" t="str">
        <x:f>IF(B75="","",MIN(1,SUM(E75:K75)))</x:f>
      </x:c>
      <x:c r="AE75" s="2" t="str">
        <x:f>IF(B75="","",MIN(1,SUM(E75:L75)))</x:f>
      </x:c>
      <x:c r="AF75" s="2" t="str">
        <x:f>IF(B75="","",MIN(1,SUM(E75:M75)))</x:f>
      </x:c>
      <x:c r="AG75" s="2" t="str">
        <x:f>IF(B75="","",MIN(1,SUM(E75:N75)))</x:f>
      </x:c>
      <x:c r="AH75" s="2" t="str">
        <x:f>IF(B75="","",MIN(1,SUM(E75:O75)))</x:f>
      </x:c>
      <x:c r="AI75" s="2" t="str">
        <x:f>IF(B75="","",MIN(1,SUM(E75:P75)))</x:f>
      </x:c>
      <x:c r="AJ75" s="2" t="str">
        <x:f>IF(B75="","",MIN(1,SUM(E75:Q75)))</x:f>
      </x:c>
      <x:c r="AK75" s="2" t="str">
        <x:f>IF(B75="","",MIN(1,SUM(E75:R75)))</x:f>
      </x:c>
      <x:c r="AL75" s="2" t="str">
        <x:f>IF(B75="","",MIN(1,SUM(E75:S75)))</x:f>
      </x:c>
      <x:c r="AM75" s="2" t="str">
        <x:f>IF(B75="","",MIN(1,SUM(E75:T75)))</x:f>
      </x:c>
      <x:c r="AN75" s="2" t="str">
        <x:f>IF(B75="","",MIN(1,SUM(E75:U75)))</x:f>
      </x:c>
      <x:c r="AO75" s="2" t="str">
        <x:f>IF(B75="","",MIN(1,SUM(E75:V75)))</x:f>
      </x:c>
      <x:c r="AP75" s="2" t="str">
        <x:f>IF(B75="","",MIN(1,SUM(E75:W75)))</x:f>
      </x:c>
    </x:row>
    <x:row r="76" ht="21" customHeight="1">
      <x:c r="A76" s="2" t="str">
        <x:f>IF('Motor_Meciuri'!A76="","",'Motor_Meciuri'!A76)</x:f>
      </x:c>
      <x:c r="B76" s="2" t="str">
        <x:f>IF('Motor_Meciuri'!I76&lt;&gt;"PASS","",'Motor_Meciuri'!BD76)</x:f>
      </x:c>
      <x:c r="C76" s="2" t="str">
        <x:f>IF(B76="","",'Motor_Meciuri'!AU76)</x:f>
      </x:c>
      <x:c r="D76" s="2" t="str">
        <x:f>IF(B76="","",'Motor_Meciuri'!AW76)</x:f>
      </x:c>
      <x:c r="E76" s="2" t="str">
        <x:f>IF(B76="","",IF(C76&lt;='Config_v6'!$B$10,EXP(-B76),(D76/(D76+B76))^D76))</x:f>
      </x:c>
      <x:c r="F76" s="2" t="str">
        <x:f>IF(B76="","",IF(C76&lt;='Config_v6'!$B$10,E76*B76/1,E76*(D76+0)/1*B76/(D76+B76)))</x:f>
      </x:c>
      <x:c r="G76" s="2" t="str">
        <x:f>IF(B76="","",IF(C76&lt;='Config_v6'!$B$10,F76*B76/2,F76*(D76+1)/2*B76/(D76+B76)))</x:f>
      </x:c>
      <x:c r="H76" s="2" t="str">
        <x:f>IF(B76="","",IF(C76&lt;='Config_v6'!$B$10,G76*B76/3,G76*(D76+2)/3*B76/(D76+B76)))</x:f>
      </x:c>
      <x:c r="I76" s="2" t="str">
        <x:f>IF(B76="","",IF(C76&lt;='Config_v6'!$B$10,H76*B76/4,H76*(D76+3)/4*B76/(D76+B76)))</x:f>
      </x:c>
      <x:c r="J76" s="2" t="str">
        <x:f>IF(B76="","",IF(C76&lt;='Config_v6'!$B$10,I76*B76/5,I76*(D76+4)/5*B76/(D76+B76)))</x:f>
      </x:c>
      <x:c r="K76" s="2" t="str">
        <x:f>IF(B76="","",IF(C76&lt;='Config_v6'!$B$10,J76*B76/6,J76*(D76+5)/6*B76/(D76+B76)))</x:f>
      </x:c>
      <x:c r="L76" s="2" t="str">
        <x:f>IF(B76="","",IF(C76&lt;='Config_v6'!$B$10,K76*B76/7,K76*(D76+6)/7*B76/(D76+B76)))</x:f>
      </x:c>
      <x:c r="M76" s="2" t="str">
        <x:f>IF(B76="","",IF(C76&lt;='Config_v6'!$B$10,L76*B76/8,L76*(D76+7)/8*B76/(D76+B76)))</x:f>
      </x:c>
      <x:c r="N76" s="2" t="str">
        <x:f>IF(B76="","",IF(C76&lt;='Config_v6'!$B$10,M76*B76/9,M76*(D76+8)/9*B76/(D76+B76)))</x:f>
      </x:c>
      <x:c r="O76" s="2" t="str">
        <x:f>IF(B76="","",IF(C76&lt;='Config_v6'!$B$10,N76*B76/10,N76*(D76+9)/10*B76/(D76+B76)))</x:f>
      </x:c>
      <x:c r="P76" s="2" t="str">
        <x:f>IF(B76="","",IF(C76&lt;='Config_v6'!$B$10,O76*B76/11,O76*(D76+10)/11*B76/(D76+B76)))</x:f>
      </x:c>
      <x:c r="Q76" s="2" t="str">
        <x:f>IF(B76="","",IF(C76&lt;='Config_v6'!$B$10,P76*B76/12,P76*(D76+11)/12*B76/(D76+B76)))</x:f>
      </x:c>
      <x:c r="R76" s="2" t="str">
        <x:f>IF(B76="","",IF(C76&lt;='Config_v6'!$B$10,Q76*B76/13,Q76*(D76+12)/13*B76/(D76+B76)))</x:f>
      </x:c>
      <x:c r="S76" s="2" t="str">
        <x:f>IF(B76="","",IF(C76&lt;='Config_v6'!$B$10,R76*B76/14,R76*(D76+13)/14*B76/(D76+B76)))</x:f>
      </x:c>
      <x:c r="T76" s="2" t="str">
        <x:f>IF(B76="","",IF(C76&lt;='Config_v6'!$B$10,S76*B76/15,S76*(D76+14)/15*B76/(D76+B76)))</x:f>
      </x:c>
      <x:c r="U76" s="2" t="str">
        <x:f>IF(B76="","",IF(C76&lt;='Config_v6'!$B$10,T76*B76/16,T76*(D76+15)/16*B76/(D76+B76)))</x:f>
      </x:c>
      <x:c r="V76" s="2" t="str">
        <x:f>IF(B76="","",IF(C76&lt;='Config_v6'!$B$10,U76*B76/17,U76*(D76+16)/17*B76/(D76+B76)))</x:f>
      </x:c>
      <x:c r="W76" s="2" t="str">
        <x:f>IF(B76="","",IF(C76&lt;='Config_v6'!$B$10,V76*B76/18,V76*(D76+17)/18*B76/(D76+B76)))</x:f>
      </x:c>
      <x:c r="X76" s="2" t="str">
        <x:f>IF(B76="","",MIN(1,SUM(E76:E76)))</x:f>
      </x:c>
      <x:c r="Y76" s="2" t="str">
        <x:f>IF(B76="","",MIN(1,SUM(E76:F76)))</x:f>
      </x:c>
      <x:c r="Z76" s="2" t="str">
        <x:f>IF(B76="","",MIN(1,SUM(E76:G76)))</x:f>
      </x:c>
      <x:c r="AA76" s="2" t="str">
        <x:f>IF(B76="","",MIN(1,SUM(E76:H76)))</x:f>
      </x:c>
      <x:c r="AB76" s="2" t="str">
        <x:f>IF(B76="","",MIN(1,SUM(E76:I76)))</x:f>
      </x:c>
      <x:c r="AC76" s="2" t="str">
        <x:f>IF(B76="","",MIN(1,SUM(E76:J76)))</x:f>
      </x:c>
      <x:c r="AD76" s="2" t="str">
        <x:f>IF(B76="","",MIN(1,SUM(E76:K76)))</x:f>
      </x:c>
      <x:c r="AE76" s="2" t="str">
        <x:f>IF(B76="","",MIN(1,SUM(E76:L76)))</x:f>
      </x:c>
      <x:c r="AF76" s="2" t="str">
        <x:f>IF(B76="","",MIN(1,SUM(E76:M76)))</x:f>
      </x:c>
      <x:c r="AG76" s="2" t="str">
        <x:f>IF(B76="","",MIN(1,SUM(E76:N76)))</x:f>
      </x:c>
      <x:c r="AH76" s="2" t="str">
        <x:f>IF(B76="","",MIN(1,SUM(E76:O76)))</x:f>
      </x:c>
      <x:c r="AI76" s="2" t="str">
        <x:f>IF(B76="","",MIN(1,SUM(E76:P76)))</x:f>
      </x:c>
      <x:c r="AJ76" s="2" t="str">
        <x:f>IF(B76="","",MIN(1,SUM(E76:Q76)))</x:f>
      </x:c>
      <x:c r="AK76" s="2" t="str">
        <x:f>IF(B76="","",MIN(1,SUM(E76:R76)))</x:f>
      </x:c>
      <x:c r="AL76" s="2" t="str">
        <x:f>IF(B76="","",MIN(1,SUM(E76:S76)))</x:f>
      </x:c>
      <x:c r="AM76" s="2" t="str">
        <x:f>IF(B76="","",MIN(1,SUM(E76:T76)))</x:f>
      </x:c>
      <x:c r="AN76" s="2" t="str">
        <x:f>IF(B76="","",MIN(1,SUM(E76:U76)))</x:f>
      </x:c>
      <x:c r="AO76" s="2" t="str">
        <x:f>IF(B76="","",MIN(1,SUM(E76:V76)))</x:f>
      </x:c>
      <x:c r="AP76" s="2" t="str">
        <x:f>IF(B76="","",MIN(1,SUM(E76:W76)))</x:f>
      </x:c>
    </x:row>
    <x:row r="77" ht="21" customHeight="1">
      <x:c r="A77" s="2" t="str">
        <x:f>IF('Motor_Meciuri'!A77="","",'Motor_Meciuri'!A77)</x:f>
      </x:c>
      <x:c r="B77" s="2" t="str">
        <x:f>IF('Motor_Meciuri'!I77&lt;&gt;"PASS","",'Motor_Meciuri'!BD77)</x:f>
      </x:c>
      <x:c r="C77" s="2" t="str">
        <x:f>IF(B77="","",'Motor_Meciuri'!AU77)</x:f>
      </x:c>
      <x:c r="D77" s="2" t="str">
        <x:f>IF(B77="","",'Motor_Meciuri'!AW77)</x:f>
      </x:c>
      <x:c r="E77" s="2" t="str">
        <x:f>IF(B77="","",IF(C77&lt;='Config_v6'!$B$10,EXP(-B77),(D77/(D77+B77))^D77))</x:f>
      </x:c>
      <x:c r="F77" s="2" t="str">
        <x:f>IF(B77="","",IF(C77&lt;='Config_v6'!$B$10,E77*B77/1,E77*(D77+0)/1*B77/(D77+B77)))</x:f>
      </x:c>
      <x:c r="G77" s="2" t="str">
        <x:f>IF(B77="","",IF(C77&lt;='Config_v6'!$B$10,F77*B77/2,F77*(D77+1)/2*B77/(D77+B77)))</x:f>
      </x:c>
      <x:c r="H77" s="2" t="str">
        <x:f>IF(B77="","",IF(C77&lt;='Config_v6'!$B$10,G77*B77/3,G77*(D77+2)/3*B77/(D77+B77)))</x:f>
      </x:c>
      <x:c r="I77" s="2" t="str">
        <x:f>IF(B77="","",IF(C77&lt;='Config_v6'!$B$10,H77*B77/4,H77*(D77+3)/4*B77/(D77+B77)))</x:f>
      </x:c>
      <x:c r="J77" s="2" t="str">
        <x:f>IF(B77="","",IF(C77&lt;='Config_v6'!$B$10,I77*B77/5,I77*(D77+4)/5*B77/(D77+B77)))</x:f>
      </x:c>
      <x:c r="K77" s="2" t="str">
        <x:f>IF(B77="","",IF(C77&lt;='Config_v6'!$B$10,J77*B77/6,J77*(D77+5)/6*B77/(D77+B77)))</x:f>
      </x:c>
      <x:c r="L77" s="2" t="str">
        <x:f>IF(B77="","",IF(C77&lt;='Config_v6'!$B$10,K77*B77/7,K77*(D77+6)/7*B77/(D77+B77)))</x:f>
      </x:c>
      <x:c r="M77" s="2" t="str">
        <x:f>IF(B77="","",IF(C77&lt;='Config_v6'!$B$10,L77*B77/8,L77*(D77+7)/8*B77/(D77+B77)))</x:f>
      </x:c>
      <x:c r="N77" s="2" t="str">
        <x:f>IF(B77="","",IF(C77&lt;='Config_v6'!$B$10,M77*B77/9,M77*(D77+8)/9*B77/(D77+B77)))</x:f>
      </x:c>
      <x:c r="O77" s="2" t="str">
        <x:f>IF(B77="","",IF(C77&lt;='Config_v6'!$B$10,N77*B77/10,N77*(D77+9)/10*B77/(D77+B77)))</x:f>
      </x:c>
      <x:c r="P77" s="2" t="str">
        <x:f>IF(B77="","",IF(C77&lt;='Config_v6'!$B$10,O77*B77/11,O77*(D77+10)/11*B77/(D77+B77)))</x:f>
      </x:c>
      <x:c r="Q77" s="2" t="str">
        <x:f>IF(B77="","",IF(C77&lt;='Config_v6'!$B$10,P77*B77/12,P77*(D77+11)/12*B77/(D77+B77)))</x:f>
      </x:c>
      <x:c r="R77" s="2" t="str">
        <x:f>IF(B77="","",IF(C77&lt;='Config_v6'!$B$10,Q77*B77/13,Q77*(D77+12)/13*B77/(D77+B77)))</x:f>
      </x:c>
      <x:c r="S77" s="2" t="str">
        <x:f>IF(B77="","",IF(C77&lt;='Config_v6'!$B$10,R77*B77/14,R77*(D77+13)/14*B77/(D77+B77)))</x:f>
      </x:c>
      <x:c r="T77" s="2" t="str">
        <x:f>IF(B77="","",IF(C77&lt;='Config_v6'!$B$10,S77*B77/15,S77*(D77+14)/15*B77/(D77+B77)))</x:f>
      </x:c>
      <x:c r="U77" s="2" t="str">
        <x:f>IF(B77="","",IF(C77&lt;='Config_v6'!$B$10,T77*B77/16,T77*(D77+15)/16*B77/(D77+B77)))</x:f>
      </x:c>
      <x:c r="V77" s="2" t="str">
        <x:f>IF(B77="","",IF(C77&lt;='Config_v6'!$B$10,U77*B77/17,U77*(D77+16)/17*B77/(D77+B77)))</x:f>
      </x:c>
      <x:c r="W77" s="2" t="str">
        <x:f>IF(B77="","",IF(C77&lt;='Config_v6'!$B$10,V77*B77/18,V77*(D77+17)/18*B77/(D77+B77)))</x:f>
      </x:c>
      <x:c r="X77" s="2" t="str">
        <x:f>IF(B77="","",MIN(1,SUM(E77:E77)))</x:f>
      </x:c>
      <x:c r="Y77" s="2" t="str">
        <x:f>IF(B77="","",MIN(1,SUM(E77:F77)))</x:f>
      </x:c>
      <x:c r="Z77" s="2" t="str">
        <x:f>IF(B77="","",MIN(1,SUM(E77:G77)))</x:f>
      </x:c>
      <x:c r="AA77" s="2" t="str">
        <x:f>IF(B77="","",MIN(1,SUM(E77:H77)))</x:f>
      </x:c>
      <x:c r="AB77" s="2" t="str">
        <x:f>IF(B77="","",MIN(1,SUM(E77:I77)))</x:f>
      </x:c>
      <x:c r="AC77" s="2" t="str">
        <x:f>IF(B77="","",MIN(1,SUM(E77:J77)))</x:f>
      </x:c>
      <x:c r="AD77" s="2" t="str">
        <x:f>IF(B77="","",MIN(1,SUM(E77:K77)))</x:f>
      </x:c>
      <x:c r="AE77" s="2" t="str">
        <x:f>IF(B77="","",MIN(1,SUM(E77:L77)))</x:f>
      </x:c>
      <x:c r="AF77" s="2" t="str">
        <x:f>IF(B77="","",MIN(1,SUM(E77:M77)))</x:f>
      </x:c>
      <x:c r="AG77" s="2" t="str">
        <x:f>IF(B77="","",MIN(1,SUM(E77:N77)))</x:f>
      </x:c>
      <x:c r="AH77" s="2" t="str">
        <x:f>IF(B77="","",MIN(1,SUM(E77:O77)))</x:f>
      </x:c>
      <x:c r="AI77" s="2" t="str">
        <x:f>IF(B77="","",MIN(1,SUM(E77:P77)))</x:f>
      </x:c>
      <x:c r="AJ77" s="2" t="str">
        <x:f>IF(B77="","",MIN(1,SUM(E77:Q77)))</x:f>
      </x:c>
      <x:c r="AK77" s="2" t="str">
        <x:f>IF(B77="","",MIN(1,SUM(E77:R77)))</x:f>
      </x:c>
      <x:c r="AL77" s="2" t="str">
        <x:f>IF(B77="","",MIN(1,SUM(E77:S77)))</x:f>
      </x:c>
      <x:c r="AM77" s="2" t="str">
        <x:f>IF(B77="","",MIN(1,SUM(E77:T77)))</x:f>
      </x:c>
      <x:c r="AN77" s="2" t="str">
        <x:f>IF(B77="","",MIN(1,SUM(E77:U77)))</x:f>
      </x:c>
      <x:c r="AO77" s="2" t="str">
        <x:f>IF(B77="","",MIN(1,SUM(E77:V77)))</x:f>
      </x:c>
      <x:c r="AP77" s="2" t="str">
        <x:f>IF(B77="","",MIN(1,SUM(E77:W77)))</x:f>
      </x:c>
    </x:row>
    <x:row r="78" ht="21" customHeight="1">
      <x:c r="A78" s="2" t="str">
        <x:f>IF('Motor_Meciuri'!A78="","",'Motor_Meciuri'!A78)</x:f>
      </x:c>
      <x:c r="B78" s="2" t="str">
        <x:f>IF('Motor_Meciuri'!I78&lt;&gt;"PASS","",'Motor_Meciuri'!BD78)</x:f>
      </x:c>
      <x:c r="C78" s="2" t="str">
        <x:f>IF(B78="","",'Motor_Meciuri'!AU78)</x:f>
      </x:c>
      <x:c r="D78" s="2" t="str">
        <x:f>IF(B78="","",'Motor_Meciuri'!AW78)</x:f>
      </x:c>
      <x:c r="E78" s="2" t="str">
        <x:f>IF(B78="","",IF(C78&lt;='Config_v6'!$B$10,EXP(-B78),(D78/(D78+B78))^D78))</x:f>
      </x:c>
      <x:c r="F78" s="2" t="str">
        <x:f>IF(B78="","",IF(C78&lt;='Config_v6'!$B$10,E78*B78/1,E78*(D78+0)/1*B78/(D78+B78)))</x:f>
      </x:c>
      <x:c r="G78" s="2" t="str">
        <x:f>IF(B78="","",IF(C78&lt;='Config_v6'!$B$10,F78*B78/2,F78*(D78+1)/2*B78/(D78+B78)))</x:f>
      </x:c>
      <x:c r="H78" s="2" t="str">
        <x:f>IF(B78="","",IF(C78&lt;='Config_v6'!$B$10,G78*B78/3,G78*(D78+2)/3*B78/(D78+B78)))</x:f>
      </x:c>
      <x:c r="I78" s="2" t="str">
        <x:f>IF(B78="","",IF(C78&lt;='Config_v6'!$B$10,H78*B78/4,H78*(D78+3)/4*B78/(D78+B78)))</x:f>
      </x:c>
      <x:c r="J78" s="2" t="str">
        <x:f>IF(B78="","",IF(C78&lt;='Config_v6'!$B$10,I78*B78/5,I78*(D78+4)/5*B78/(D78+B78)))</x:f>
      </x:c>
      <x:c r="K78" s="2" t="str">
        <x:f>IF(B78="","",IF(C78&lt;='Config_v6'!$B$10,J78*B78/6,J78*(D78+5)/6*B78/(D78+B78)))</x:f>
      </x:c>
      <x:c r="L78" s="2" t="str">
        <x:f>IF(B78="","",IF(C78&lt;='Config_v6'!$B$10,K78*B78/7,K78*(D78+6)/7*B78/(D78+B78)))</x:f>
      </x:c>
      <x:c r="M78" s="2" t="str">
        <x:f>IF(B78="","",IF(C78&lt;='Config_v6'!$B$10,L78*B78/8,L78*(D78+7)/8*B78/(D78+B78)))</x:f>
      </x:c>
      <x:c r="N78" s="2" t="str">
        <x:f>IF(B78="","",IF(C78&lt;='Config_v6'!$B$10,M78*B78/9,M78*(D78+8)/9*B78/(D78+B78)))</x:f>
      </x:c>
      <x:c r="O78" s="2" t="str">
        <x:f>IF(B78="","",IF(C78&lt;='Config_v6'!$B$10,N78*B78/10,N78*(D78+9)/10*B78/(D78+B78)))</x:f>
      </x:c>
      <x:c r="P78" s="2" t="str">
        <x:f>IF(B78="","",IF(C78&lt;='Config_v6'!$B$10,O78*B78/11,O78*(D78+10)/11*B78/(D78+B78)))</x:f>
      </x:c>
      <x:c r="Q78" s="2" t="str">
        <x:f>IF(B78="","",IF(C78&lt;='Config_v6'!$B$10,P78*B78/12,P78*(D78+11)/12*B78/(D78+B78)))</x:f>
      </x:c>
      <x:c r="R78" s="2" t="str">
        <x:f>IF(B78="","",IF(C78&lt;='Config_v6'!$B$10,Q78*B78/13,Q78*(D78+12)/13*B78/(D78+B78)))</x:f>
      </x:c>
      <x:c r="S78" s="2" t="str">
        <x:f>IF(B78="","",IF(C78&lt;='Config_v6'!$B$10,R78*B78/14,R78*(D78+13)/14*B78/(D78+B78)))</x:f>
      </x:c>
      <x:c r="T78" s="2" t="str">
        <x:f>IF(B78="","",IF(C78&lt;='Config_v6'!$B$10,S78*B78/15,S78*(D78+14)/15*B78/(D78+B78)))</x:f>
      </x:c>
      <x:c r="U78" s="2" t="str">
        <x:f>IF(B78="","",IF(C78&lt;='Config_v6'!$B$10,T78*B78/16,T78*(D78+15)/16*B78/(D78+B78)))</x:f>
      </x:c>
      <x:c r="V78" s="2" t="str">
        <x:f>IF(B78="","",IF(C78&lt;='Config_v6'!$B$10,U78*B78/17,U78*(D78+16)/17*B78/(D78+B78)))</x:f>
      </x:c>
      <x:c r="W78" s="2" t="str">
        <x:f>IF(B78="","",IF(C78&lt;='Config_v6'!$B$10,V78*B78/18,V78*(D78+17)/18*B78/(D78+B78)))</x:f>
      </x:c>
      <x:c r="X78" s="2" t="str">
        <x:f>IF(B78="","",MIN(1,SUM(E78:E78)))</x:f>
      </x:c>
      <x:c r="Y78" s="2" t="str">
        <x:f>IF(B78="","",MIN(1,SUM(E78:F78)))</x:f>
      </x:c>
      <x:c r="Z78" s="2" t="str">
        <x:f>IF(B78="","",MIN(1,SUM(E78:G78)))</x:f>
      </x:c>
      <x:c r="AA78" s="2" t="str">
        <x:f>IF(B78="","",MIN(1,SUM(E78:H78)))</x:f>
      </x:c>
      <x:c r="AB78" s="2" t="str">
        <x:f>IF(B78="","",MIN(1,SUM(E78:I78)))</x:f>
      </x:c>
      <x:c r="AC78" s="2" t="str">
        <x:f>IF(B78="","",MIN(1,SUM(E78:J78)))</x:f>
      </x:c>
      <x:c r="AD78" s="2" t="str">
        <x:f>IF(B78="","",MIN(1,SUM(E78:K78)))</x:f>
      </x:c>
      <x:c r="AE78" s="2" t="str">
        <x:f>IF(B78="","",MIN(1,SUM(E78:L78)))</x:f>
      </x:c>
      <x:c r="AF78" s="2" t="str">
        <x:f>IF(B78="","",MIN(1,SUM(E78:M78)))</x:f>
      </x:c>
      <x:c r="AG78" s="2" t="str">
        <x:f>IF(B78="","",MIN(1,SUM(E78:N78)))</x:f>
      </x:c>
      <x:c r="AH78" s="2" t="str">
        <x:f>IF(B78="","",MIN(1,SUM(E78:O78)))</x:f>
      </x:c>
      <x:c r="AI78" s="2" t="str">
        <x:f>IF(B78="","",MIN(1,SUM(E78:P78)))</x:f>
      </x:c>
      <x:c r="AJ78" s="2" t="str">
        <x:f>IF(B78="","",MIN(1,SUM(E78:Q78)))</x:f>
      </x:c>
      <x:c r="AK78" s="2" t="str">
        <x:f>IF(B78="","",MIN(1,SUM(E78:R78)))</x:f>
      </x:c>
      <x:c r="AL78" s="2" t="str">
        <x:f>IF(B78="","",MIN(1,SUM(E78:S78)))</x:f>
      </x:c>
      <x:c r="AM78" s="2" t="str">
        <x:f>IF(B78="","",MIN(1,SUM(E78:T78)))</x:f>
      </x:c>
      <x:c r="AN78" s="2" t="str">
        <x:f>IF(B78="","",MIN(1,SUM(E78:U78)))</x:f>
      </x:c>
      <x:c r="AO78" s="2" t="str">
        <x:f>IF(B78="","",MIN(1,SUM(E78:V78)))</x:f>
      </x:c>
      <x:c r="AP78" s="2" t="str">
        <x:f>IF(B78="","",MIN(1,SUM(E78:W78)))</x:f>
      </x:c>
    </x:row>
    <x:row r="79" ht="21" customHeight="1">
      <x:c r="A79" s="2" t="str">
        <x:f>IF('Motor_Meciuri'!A79="","",'Motor_Meciuri'!A79)</x:f>
      </x:c>
      <x:c r="B79" s="2" t="str">
        <x:f>IF('Motor_Meciuri'!I79&lt;&gt;"PASS","",'Motor_Meciuri'!BD79)</x:f>
      </x:c>
      <x:c r="C79" s="2" t="str">
        <x:f>IF(B79="","",'Motor_Meciuri'!AU79)</x:f>
      </x:c>
      <x:c r="D79" s="2" t="str">
        <x:f>IF(B79="","",'Motor_Meciuri'!AW79)</x:f>
      </x:c>
      <x:c r="E79" s="2" t="str">
        <x:f>IF(B79="","",IF(C79&lt;='Config_v6'!$B$10,EXP(-B79),(D79/(D79+B79))^D79))</x:f>
      </x:c>
      <x:c r="F79" s="2" t="str">
        <x:f>IF(B79="","",IF(C79&lt;='Config_v6'!$B$10,E79*B79/1,E79*(D79+0)/1*B79/(D79+B79)))</x:f>
      </x:c>
      <x:c r="G79" s="2" t="str">
        <x:f>IF(B79="","",IF(C79&lt;='Config_v6'!$B$10,F79*B79/2,F79*(D79+1)/2*B79/(D79+B79)))</x:f>
      </x:c>
      <x:c r="H79" s="2" t="str">
        <x:f>IF(B79="","",IF(C79&lt;='Config_v6'!$B$10,G79*B79/3,G79*(D79+2)/3*B79/(D79+B79)))</x:f>
      </x:c>
      <x:c r="I79" s="2" t="str">
        <x:f>IF(B79="","",IF(C79&lt;='Config_v6'!$B$10,H79*B79/4,H79*(D79+3)/4*B79/(D79+B79)))</x:f>
      </x:c>
      <x:c r="J79" s="2" t="str">
        <x:f>IF(B79="","",IF(C79&lt;='Config_v6'!$B$10,I79*B79/5,I79*(D79+4)/5*B79/(D79+B79)))</x:f>
      </x:c>
      <x:c r="K79" s="2" t="str">
        <x:f>IF(B79="","",IF(C79&lt;='Config_v6'!$B$10,J79*B79/6,J79*(D79+5)/6*B79/(D79+B79)))</x:f>
      </x:c>
      <x:c r="L79" s="2" t="str">
        <x:f>IF(B79="","",IF(C79&lt;='Config_v6'!$B$10,K79*B79/7,K79*(D79+6)/7*B79/(D79+B79)))</x:f>
      </x:c>
      <x:c r="M79" s="2" t="str">
        <x:f>IF(B79="","",IF(C79&lt;='Config_v6'!$B$10,L79*B79/8,L79*(D79+7)/8*B79/(D79+B79)))</x:f>
      </x:c>
      <x:c r="N79" s="2" t="str">
        <x:f>IF(B79="","",IF(C79&lt;='Config_v6'!$B$10,M79*B79/9,M79*(D79+8)/9*B79/(D79+B79)))</x:f>
      </x:c>
      <x:c r="O79" s="2" t="str">
        <x:f>IF(B79="","",IF(C79&lt;='Config_v6'!$B$10,N79*B79/10,N79*(D79+9)/10*B79/(D79+B79)))</x:f>
      </x:c>
      <x:c r="P79" s="2" t="str">
        <x:f>IF(B79="","",IF(C79&lt;='Config_v6'!$B$10,O79*B79/11,O79*(D79+10)/11*B79/(D79+B79)))</x:f>
      </x:c>
      <x:c r="Q79" s="2" t="str">
        <x:f>IF(B79="","",IF(C79&lt;='Config_v6'!$B$10,P79*B79/12,P79*(D79+11)/12*B79/(D79+B79)))</x:f>
      </x:c>
      <x:c r="R79" s="2" t="str">
        <x:f>IF(B79="","",IF(C79&lt;='Config_v6'!$B$10,Q79*B79/13,Q79*(D79+12)/13*B79/(D79+B79)))</x:f>
      </x:c>
      <x:c r="S79" s="2" t="str">
        <x:f>IF(B79="","",IF(C79&lt;='Config_v6'!$B$10,R79*B79/14,R79*(D79+13)/14*B79/(D79+B79)))</x:f>
      </x:c>
      <x:c r="T79" s="2" t="str">
        <x:f>IF(B79="","",IF(C79&lt;='Config_v6'!$B$10,S79*B79/15,S79*(D79+14)/15*B79/(D79+B79)))</x:f>
      </x:c>
      <x:c r="U79" s="2" t="str">
        <x:f>IF(B79="","",IF(C79&lt;='Config_v6'!$B$10,T79*B79/16,T79*(D79+15)/16*B79/(D79+B79)))</x:f>
      </x:c>
      <x:c r="V79" s="2" t="str">
        <x:f>IF(B79="","",IF(C79&lt;='Config_v6'!$B$10,U79*B79/17,U79*(D79+16)/17*B79/(D79+B79)))</x:f>
      </x:c>
      <x:c r="W79" s="2" t="str">
        <x:f>IF(B79="","",IF(C79&lt;='Config_v6'!$B$10,V79*B79/18,V79*(D79+17)/18*B79/(D79+B79)))</x:f>
      </x:c>
      <x:c r="X79" s="2" t="str">
        <x:f>IF(B79="","",MIN(1,SUM(E79:E79)))</x:f>
      </x:c>
      <x:c r="Y79" s="2" t="str">
        <x:f>IF(B79="","",MIN(1,SUM(E79:F79)))</x:f>
      </x:c>
      <x:c r="Z79" s="2" t="str">
        <x:f>IF(B79="","",MIN(1,SUM(E79:G79)))</x:f>
      </x:c>
      <x:c r="AA79" s="2" t="str">
        <x:f>IF(B79="","",MIN(1,SUM(E79:H79)))</x:f>
      </x:c>
      <x:c r="AB79" s="2" t="str">
        <x:f>IF(B79="","",MIN(1,SUM(E79:I79)))</x:f>
      </x:c>
      <x:c r="AC79" s="2" t="str">
        <x:f>IF(B79="","",MIN(1,SUM(E79:J79)))</x:f>
      </x:c>
      <x:c r="AD79" s="2" t="str">
        <x:f>IF(B79="","",MIN(1,SUM(E79:K79)))</x:f>
      </x:c>
      <x:c r="AE79" s="2" t="str">
        <x:f>IF(B79="","",MIN(1,SUM(E79:L79)))</x:f>
      </x:c>
      <x:c r="AF79" s="2" t="str">
        <x:f>IF(B79="","",MIN(1,SUM(E79:M79)))</x:f>
      </x:c>
      <x:c r="AG79" s="2" t="str">
        <x:f>IF(B79="","",MIN(1,SUM(E79:N79)))</x:f>
      </x:c>
      <x:c r="AH79" s="2" t="str">
        <x:f>IF(B79="","",MIN(1,SUM(E79:O79)))</x:f>
      </x:c>
      <x:c r="AI79" s="2" t="str">
        <x:f>IF(B79="","",MIN(1,SUM(E79:P79)))</x:f>
      </x:c>
      <x:c r="AJ79" s="2" t="str">
        <x:f>IF(B79="","",MIN(1,SUM(E79:Q79)))</x:f>
      </x:c>
      <x:c r="AK79" s="2" t="str">
        <x:f>IF(B79="","",MIN(1,SUM(E79:R79)))</x:f>
      </x:c>
      <x:c r="AL79" s="2" t="str">
        <x:f>IF(B79="","",MIN(1,SUM(E79:S79)))</x:f>
      </x:c>
      <x:c r="AM79" s="2" t="str">
        <x:f>IF(B79="","",MIN(1,SUM(E79:T79)))</x:f>
      </x:c>
      <x:c r="AN79" s="2" t="str">
        <x:f>IF(B79="","",MIN(1,SUM(E79:U79)))</x:f>
      </x:c>
      <x:c r="AO79" s="2" t="str">
        <x:f>IF(B79="","",MIN(1,SUM(E79:V79)))</x:f>
      </x:c>
      <x:c r="AP79" s="2" t="str">
        <x:f>IF(B79="","",MIN(1,SUM(E79:W79)))</x:f>
      </x:c>
    </x:row>
    <x:row r="80" ht="21" customHeight="1">
      <x:c r="A80" s="2" t="str">
        <x:f>IF('Motor_Meciuri'!A80="","",'Motor_Meciuri'!A80)</x:f>
      </x:c>
      <x:c r="B80" s="2" t="str">
        <x:f>IF('Motor_Meciuri'!I80&lt;&gt;"PASS","",'Motor_Meciuri'!BD80)</x:f>
      </x:c>
      <x:c r="C80" s="2" t="str">
        <x:f>IF(B80="","",'Motor_Meciuri'!AU80)</x:f>
      </x:c>
      <x:c r="D80" s="2" t="str">
        <x:f>IF(B80="","",'Motor_Meciuri'!AW80)</x:f>
      </x:c>
      <x:c r="E80" s="2" t="str">
        <x:f>IF(B80="","",IF(C80&lt;='Config_v6'!$B$10,EXP(-B80),(D80/(D80+B80))^D80))</x:f>
      </x:c>
      <x:c r="F80" s="2" t="str">
        <x:f>IF(B80="","",IF(C80&lt;='Config_v6'!$B$10,E80*B80/1,E80*(D80+0)/1*B80/(D80+B80)))</x:f>
      </x:c>
      <x:c r="G80" s="2" t="str">
        <x:f>IF(B80="","",IF(C80&lt;='Config_v6'!$B$10,F80*B80/2,F80*(D80+1)/2*B80/(D80+B80)))</x:f>
      </x:c>
      <x:c r="H80" s="2" t="str">
        <x:f>IF(B80="","",IF(C80&lt;='Config_v6'!$B$10,G80*B80/3,G80*(D80+2)/3*B80/(D80+B80)))</x:f>
      </x:c>
      <x:c r="I80" s="2" t="str">
        <x:f>IF(B80="","",IF(C80&lt;='Config_v6'!$B$10,H80*B80/4,H80*(D80+3)/4*B80/(D80+B80)))</x:f>
      </x:c>
      <x:c r="J80" s="2" t="str">
        <x:f>IF(B80="","",IF(C80&lt;='Config_v6'!$B$10,I80*B80/5,I80*(D80+4)/5*B80/(D80+B80)))</x:f>
      </x:c>
      <x:c r="K80" s="2" t="str">
        <x:f>IF(B80="","",IF(C80&lt;='Config_v6'!$B$10,J80*B80/6,J80*(D80+5)/6*B80/(D80+B80)))</x:f>
      </x:c>
      <x:c r="L80" s="2" t="str">
        <x:f>IF(B80="","",IF(C80&lt;='Config_v6'!$B$10,K80*B80/7,K80*(D80+6)/7*B80/(D80+B80)))</x:f>
      </x:c>
      <x:c r="M80" s="2" t="str">
        <x:f>IF(B80="","",IF(C80&lt;='Config_v6'!$B$10,L80*B80/8,L80*(D80+7)/8*B80/(D80+B80)))</x:f>
      </x:c>
      <x:c r="N80" s="2" t="str">
        <x:f>IF(B80="","",IF(C80&lt;='Config_v6'!$B$10,M80*B80/9,M80*(D80+8)/9*B80/(D80+B80)))</x:f>
      </x:c>
      <x:c r="O80" s="2" t="str">
        <x:f>IF(B80="","",IF(C80&lt;='Config_v6'!$B$10,N80*B80/10,N80*(D80+9)/10*B80/(D80+B80)))</x:f>
      </x:c>
      <x:c r="P80" s="2" t="str">
        <x:f>IF(B80="","",IF(C80&lt;='Config_v6'!$B$10,O80*B80/11,O80*(D80+10)/11*B80/(D80+B80)))</x:f>
      </x:c>
      <x:c r="Q80" s="2" t="str">
        <x:f>IF(B80="","",IF(C80&lt;='Config_v6'!$B$10,P80*B80/12,P80*(D80+11)/12*B80/(D80+B80)))</x:f>
      </x:c>
      <x:c r="R80" s="2" t="str">
        <x:f>IF(B80="","",IF(C80&lt;='Config_v6'!$B$10,Q80*B80/13,Q80*(D80+12)/13*B80/(D80+B80)))</x:f>
      </x:c>
      <x:c r="S80" s="2" t="str">
        <x:f>IF(B80="","",IF(C80&lt;='Config_v6'!$B$10,R80*B80/14,R80*(D80+13)/14*B80/(D80+B80)))</x:f>
      </x:c>
      <x:c r="T80" s="2" t="str">
        <x:f>IF(B80="","",IF(C80&lt;='Config_v6'!$B$10,S80*B80/15,S80*(D80+14)/15*B80/(D80+B80)))</x:f>
      </x:c>
      <x:c r="U80" s="2" t="str">
        <x:f>IF(B80="","",IF(C80&lt;='Config_v6'!$B$10,T80*B80/16,T80*(D80+15)/16*B80/(D80+B80)))</x:f>
      </x:c>
      <x:c r="V80" s="2" t="str">
        <x:f>IF(B80="","",IF(C80&lt;='Config_v6'!$B$10,U80*B80/17,U80*(D80+16)/17*B80/(D80+B80)))</x:f>
      </x:c>
      <x:c r="W80" s="2" t="str">
        <x:f>IF(B80="","",IF(C80&lt;='Config_v6'!$B$10,V80*B80/18,V80*(D80+17)/18*B80/(D80+B80)))</x:f>
      </x:c>
      <x:c r="X80" s="2" t="str">
        <x:f>IF(B80="","",MIN(1,SUM(E80:E80)))</x:f>
      </x:c>
      <x:c r="Y80" s="2" t="str">
        <x:f>IF(B80="","",MIN(1,SUM(E80:F80)))</x:f>
      </x:c>
      <x:c r="Z80" s="2" t="str">
        <x:f>IF(B80="","",MIN(1,SUM(E80:G80)))</x:f>
      </x:c>
      <x:c r="AA80" s="2" t="str">
        <x:f>IF(B80="","",MIN(1,SUM(E80:H80)))</x:f>
      </x:c>
      <x:c r="AB80" s="2" t="str">
        <x:f>IF(B80="","",MIN(1,SUM(E80:I80)))</x:f>
      </x:c>
      <x:c r="AC80" s="2" t="str">
        <x:f>IF(B80="","",MIN(1,SUM(E80:J80)))</x:f>
      </x:c>
      <x:c r="AD80" s="2" t="str">
        <x:f>IF(B80="","",MIN(1,SUM(E80:K80)))</x:f>
      </x:c>
      <x:c r="AE80" s="2" t="str">
        <x:f>IF(B80="","",MIN(1,SUM(E80:L80)))</x:f>
      </x:c>
      <x:c r="AF80" s="2" t="str">
        <x:f>IF(B80="","",MIN(1,SUM(E80:M80)))</x:f>
      </x:c>
      <x:c r="AG80" s="2" t="str">
        <x:f>IF(B80="","",MIN(1,SUM(E80:N80)))</x:f>
      </x:c>
      <x:c r="AH80" s="2" t="str">
        <x:f>IF(B80="","",MIN(1,SUM(E80:O80)))</x:f>
      </x:c>
      <x:c r="AI80" s="2" t="str">
        <x:f>IF(B80="","",MIN(1,SUM(E80:P80)))</x:f>
      </x:c>
      <x:c r="AJ80" s="2" t="str">
        <x:f>IF(B80="","",MIN(1,SUM(E80:Q80)))</x:f>
      </x:c>
      <x:c r="AK80" s="2" t="str">
        <x:f>IF(B80="","",MIN(1,SUM(E80:R80)))</x:f>
      </x:c>
      <x:c r="AL80" s="2" t="str">
        <x:f>IF(B80="","",MIN(1,SUM(E80:S80)))</x:f>
      </x:c>
      <x:c r="AM80" s="2" t="str">
        <x:f>IF(B80="","",MIN(1,SUM(E80:T80)))</x:f>
      </x:c>
      <x:c r="AN80" s="2" t="str">
        <x:f>IF(B80="","",MIN(1,SUM(E80:U80)))</x:f>
      </x:c>
      <x:c r="AO80" s="2" t="str">
        <x:f>IF(B80="","",MIN(1,SUM(E80:V80)))</x:f>
      </x:c>
      <x:c r="AP80" s="2" t="str">
        <x:f>IF(B80="","",MIN(1,SUM(E80:W80)))</x:f>
      </x:c>
    </x:row>
    <x:row r="81" ht="21" customHeight="1">
      <x:c r="A81" s="2" t="str">
        <x:f>IF('Motor_Meciuri'!A81="","",'Motor_Meciuri'!A81)</x:f>
      </x:c>
      <x:c r="B81" s="2" t="str">
        <x:f>IF('Motor_Meciuri'!I81&lt;&gt;"PASS","",'Motor_Meciuri'!BD81)</x:f>
      </x:c>
      <x:c r="C81" s="2" t="str">
        <x:f>IF(B81="","",'Motor_Meciuri'!AU81)</x:f>
      </x:c>
      <x:c r="D81" s="2" t="str">
        <x:f>IF(B81="","",'Motor_Meciuri'!AW81)</x:f>
      </x:c>
      <x:c r="E81" s="2" t="str">
        <x:f>IF(B81="","",IF(C81&lt;='Config_v6'!$B$10,EXP(-B81),(D81/(D81+B81))^D81))</x:f>
      </x:c>
      <x:c r="F81" s="2" t="str">
        <x:f>IF(B81="","",IF(C81&lt;='Config_v6'!$B$10,E81*B81/1,E81*(D81+0)/1*B81/(D81+B81)))</x:f>
      </x:c>
      <x:c r="G81" s="2" t="str">
        <x:f>IF(B81="","",IF(C81&lt;='Config_v6'!$B$10,F81*B81/2,F81*(D81+1)/2*B81/(D81+B81)))</x:f>
      </x:c>
      <x:c r="H81" s="2" t="str">
        <x:f>IF(B81="","",IF(C81&lt;='Config_v6'!$B$10,G81*B81/3,G81*(D81+2)/3*B81/(D81+B81)))</x:f>
      </x:c>
      <x:c r="I81" s="2" t="str">
        <x:f>IF(B81="","",IF(C81&lt;='Config_v6'!$B$10,H81*B81/4,H81*(D81+3)/4*B81/(D81+B81)))</x:f>
      </x:c>
      <x:c r="J81" s="2" t="str">
        <x:f>IF(B81="","",IF(C81&lt;='Config_v6'!$B$10,I81*B81/5,I81*(D81+4)/5*B81/(D81+B81)))</x:f>
      </x:c>
      <x:c r="K81" s="2" t="str">
        <x:f>IF(B81="","",IF(C81&lt;='Config_v6'!$B$10,J81*B81/6,J81*(D81+5)/6*B81/(D81+B81)))</x:f>
      </x:c>
      <x:c r="L81" s="2" t="str">
        <x:f>IF(B81="","",IF(C81&lt;='Config_v6'!$B$10,K81*B81/7,K81*(D81+6)/7*B81/(D81+B81)))</x:f>
      </x:c>
      <x:c r="M81" s="2" t="str">
        <x:f>IF(B81="","",IF(C81&lt;='Config_v6'!$B$10,L81*B81/8,L81*(D81+7)/8*B81/(D81+B81)))</x:f>
      </x:c>
      <x:c r="N81" s="2" t="str">
        <x:f>IF(B81="","",IF(C81&lt;='Config_v6'!$B$10,M81*B81/9,M81*(D81+8)/9*B81/(D81+B81)))</x:f>
      </x:c>
      <x:c r="O81" s="2" t="str">
        <x:f>IF(B81="","",IF(C81&lt;='Config_v6'!$B$10,N81*B81/10,N81*(D81+9)/10*B81/(D81+B81)))</x:f>
      </x:c>
      <x:c r="P81" s="2" t="str">
        <x:f>IF(B81="","",IF(C81&lt;='Config_v6'!$B$10,O81*B81/11,O81*(D81+10)/11*B81/(D81+B81)))</x:f>
      </x:c>
      <x:c r="Q81" s="2" t="str">
        <x:f>IF(B81="","",IF(C81&lt;='Config_v6'!$B$10,P81*B81/12,P81*(D81+11)/12*B81/(D81+B81)))</x:f>
      </x:c>
      <x:c r="R81" s="2" t="str">
        <x:f>IF(B81="","",IF(C81&lt;='Config_v6'!$B$10,Q81*B81/13,Q81*(D81+12)/13*B81/(D81+B81)))</x:f>
      </x:c>
      <x:c r="S81" s="2" t="str">
        <x:f>IF(B81="","",IF(C81&lt;='Config_v6'!$B$10,R81*B81/14,R81*(D81+13)/14*B81/(D81+B81)))</x:f>
      </x:c>
      <x:c r="T81" s="2" t="str">
        <x:f>IF(B81="","",IF(C81&lt;='Config_v6'!$B$10,S81*B81/15,S81*(D81+14)/15*B81/(D81+B81)))</x:f>
      </x:c>
      <x:c r="U81" s="2" t="str">
        <x:f>IF(B81="","",IF(C81&lt;='Config_v6'!$B$10,T81*B81/16,T81*(D81+15)/16*B81/(D81+B81)))</x:f>
      </x:c>
      <x:c r="V81" s="2" t="str">
        <x:f>IF(B81="","",IF(C81&lt;='Config_v6'!$B$10,U81*B81/17,U81*(D81+16)/17*B81/(D81+B81)))</x:f>
      </x:c>
      <x:c r="W81" s="2" t="str">
        <x:f>IF(B81="","",IF(C81&lt;='Config_v6'!$B$10,V81*B81/18,V81*(D81+17)/18*B81/(D81+B81)))</x:f>
      </x:c>
      <x:c r="X81" s="2" t="str">
        <x:f>IF(B81="","",MIN(1,SUM(E81:E81)))</x:f>
      </x:c>
      <x:c r="Y81" s="2" t="str">
        <x:f>IF(B81="","",MIN(1,SUM(E81:F81)))</x:f>
      </x:c>
      <x:c r="Z81" s="2" t="str">
        <x:f>IF(B81="","",MIN(1,SUM(E81:G81)))</x:f>
      </x:c>
      <x:c r="AA81" s="2" t="str">
        <x:f>IF(B81="","",MIN(1,SUM(E81:H81)))</x:f>
      </x:c>
      <x:c r="AB81" s="2" t="str">
        <x:f>IF(B81="","",MIN(1,SUM(E81:I81)))</x:f>
      </x:c>
      <x:c r="AC81" s="2" t="str">
        <x:f>IF(B81="","",MIN(1,SUM(E81:J81)))</x:f>
      </x:c>
      <x:c r="AD81" s="2" t="str">
        <x:f>IF(B81="","",MIN(1,SUM(E81:K81)))</x:f>
      </x:c>
      <x:c r="AE81" s="2" t="str">
        <x:f>IF(B81="","",MIN(1,SUM(E81:L81)))</x:f>
      </x:c>
      <x:c r="AF81" s="2" t="str">
        <x:f>IF(B81="","",MIN(1,SUM(E81:M81)))</x:f>
      </x:c>
      <x:c r="AG81" s="2" t="str">
        <x:f>IF(B81="","",MIN(1,SUM(E81:N81)))</x:f>
      </x:c>
      <x:c r="AH81" s="2" t="str">
        <x:f>IF(B81="","",MIN(1,SUM(E81:O81)))</x:f>
      </x:c>
      <x:c r="AI81" s="2" t="str">
        <x:f>IF(B81="","",MIN(1,SUM(E81:P81)))</x:f>
      </x:c>
      <x:c r="AJ81" s="2" t="str">
        <x:f>IF(B81="","",MIN(1,SUM(E81:Q81)))</x:f>
      </x:c>
      <x:c r="AK81" s="2" t="str">
        <x:f>IF(B81="","",MIN(1,SUM(E81:R81)))</x:f>
      </x:c>
      <x:c r="AL81" s="2" t="str">
        <x:f>IF(B81="","",MIN(1,SUM(E81:S81)))</x:f>
      </x:c>
      <x:c r="AM81" s="2" t="str">
        <x:f>IF(B81="","",MIN(1,SUM(E81:T81)))</x:f>
      </x:c>
      <x:c r="AN81" s="2" t="str">
        <x:f>IF(B81="","",MIN(1,SUM(E81:U81)))</x:f>
      </x:c>
      <x:c r="AO81" s="2" t="str">
        <x:f>IF(B81="","",MIN(1,SUM(E81:V81)))</x:f>
      </x:c>
      <x:c r="AP81" s="2" t="str">
        <x:f>IF(B81="","",MIN(1,SUM(E81:W81)))</x:f>
      </x:c>
    </x:row>
    <x:row r="82" ht="21" customHeight="1">
      <x:c r="A82" s="2" t="str">
        <x:f>IF('Motor_Meciuri'!A82="","",'Motor_Meciuri'!A82)</x:f>
      </x:c>
      <x:c r="B82" s="2" t="str">
        <x:f>IF('Motor_Meciuri'!I82&lt;&gt;"PASS","",'Motor_Meciuri'!BD82)</x:f>
      </x:c>
      <x:c r="C82" s="2" t="str">
        <x:f>IF(B82="","",'Motor_Meciuri'!AU82)</x:f>
      </x:c>
      <x:c r="D82" s="2" t="str">
        <x:f>IF(B82="","",'Motor_Meciuri'!AW82)</x:f>
      </x:c>
      <x:c r="E82" s="2" t="str">
        <x:f>IF(B82="","",IF(C82&lt;='Config_v6'!$B$10,EXP(-B82),(D82/(D82+B82))^D82))</x:f>
      </x:c>
      <x:c r="F82" s="2" t="str">
        <x:f>IF(B82="","",IF(C82&lt;='Config_v6'!$B$10,E82*B82/1,E82*(D82+0)/1*B82/(D82+B82)))</x:f>
      </x:c>
      <x:c r="G82" s="2" t="str">
        <x:f>IF(B82="","",IF(C82&lt;='Config_v6'!$B$10,F82*B82/2,F82*(D82+1)/2*B82/(D82+B82)))</x:f>
      </x:c>
      <x:c r="H82" s="2" t="str">
        <x:f>IF(B82="","",IF(C82&lt;='Config_v6'!$B$10,G82*B82/3,G82*(D82+2)/3*B82/(D82+B82)))</x:f>
      </x:c>
      <x:c r="I82" s="2" t="str">
        <x:f>IF(B82="","",IF(C82&lt;='Config_v6'!$B$10,H82*B82/4,H82*(D82+3)/4*B82/(D82+B82)))</x:f>
      </x:c>
      <x:c r="J82" s="2" t="str">
        <x:f>IF(B82="","",IF(C82&lt;='Config_v6'!$B$10,I82*B82/5,I82*(D82+4)/5*B82/(D82+B82)))</x:f>
      </x:c>
      <x:c r="K82" s="2" t="str">
        <x:f>IF(B82="","",IF(C82&lt;='Config_v6'!$B$10,J82*B82/6,J82*(D82+5)/6*B82/(D82+B82)))</x:f>
      </x:c>
      <x:c r="L82" s="2" t="str">
        <x:f>IF(B82="","",IF(C82&lt;='Config_v6'!$B$10,K82*B82/7,K82*(D82+6)/7*B82/(D82+B82)))</x:f>
      </x:c>
      <x:c r="M82" s="2" t="str">
        <x:f>IF(B82="","",IF(C82&lt;='Config_v6'!$B$10,L82*B82/8,L82*(D82+7)/8*B82/(D82+B82)))</x:f>
      </x:c>
      <x:c r="N82" s="2" t="str">
        <x:f>IF(B82="","",IF(C82&lt;='Config_v6'!$B$10,M82*B82/9,M82*(D82+8)/9*B82/(D82+B82)))</x:f>
      </x:c>
      <x:c r="O82" s="2" t="str">
        <x:f>IF(B82="","",IF(C82&lt;='Config_v6'!$B$10,N82*B82/10,N82*(D82+9)/10*B82/(D82+B82)))</x:f>
      </x:c>
      <x:c r="P82" s="2" t="str">
        <x:f>IF(B82="","",IF(C82&lt;='Config_v6'!$B$10,O82*B82/11,O82*(D82+10)/11*B82/(D82+B82)))</x:f>
      </x:c>
      <x:c r="Q82" s="2" t="str">
        <x:f>IF(B82="","",IF(C82&lt;='Config_v6'!$B$10,P82*B82/12,P82*(D82+11)/12*B82/(D82+B82)))</x:f>
      </x:c>
      <x:c r="R82" s="2" t="str">
        <x:f>IF(B82="","",IF(C82&lt;='Config_v6'!$B$10,Q82*B82/13,Q82*(D82+12)/13*B82/(D82+B82)))</x:f>
      </x:c>
      <x:c r="S82" s="2" t="str">
        <x:f>IF(B82="","",IF(C82&lt;='Config_v6'!$B$10,R82*B82/14,R82*(D82+13)/14*B82/(D82+B82)))</x:f>
      </x:c>
      <x:c r="T82" s="2" t="str">
        <x:f>IF(B82="","",IF(C82&lt;='Config_v6'!$B$10,S82*B82/15,S82*(D82+14)/15*B82/(D82+B82)))</x:f>
      </x:c>
      <x:c r="U82" s="2" t="str">
        <x:f>IF(B82="","",IF(C82&lt;='Config_v6'!$B$10,T82*B82/16,T82*(D82+15)/16*B82/(D82+B82)))</x:f>
      </x:c>
      <x:c r="V82" s="2" t="str">
        <x:f>IF(B82="","",IF(C82&lt;='Config_v6'!$B$10,U82*B82/17,U82*(D82+16)/17*B82/(D82+B82)))</x:f>
      </x:c>
      <x:c r="W82" s="2" t="str">
        <x:f>IF(B82="","",IF(C82&lt;='Config_v6'!$B$10,V82*B82/18,V82*(D82+17)/18*B82/(D82+B82)))</x:f>
      </x:c>
      <x:c r="X82" s="2" t="str">
        <x:f>IF(B82="","",MIN(1,SUM(E82:E82)))</x:f>
      </x:c>
      <x:c r="Y82" s="2" t="str">
        <x:f>IF(B82="","",MIN(1,SUM(E82:F82)))</x:f>
      </x:c>
      <x:c r="Z82" s="2" t="str">
        <x:f>IF(B82="","",MIN(1,SUM(E82:G82)))</x:f>
      </x:c>
      <x:c r="AA82" s="2" t="str">
        <x:f>IF(B82="","",MIN(1,SUM(E82:H82)))</x:f>
      </x:c>
      <x:c r="AB82" s="2" t="str">
        <x:f>IF(B82="","",MIN(1,SUM(E82:I82)))</x:f>
      </x:c>
      <x:c r="AC82" s="2" t="str">
        <x:f>IF(B82="","",MIN(1,SUM(E82:J82)))</x:f>
      </x:c>
      <x:c r="AD82" s="2" t="str">
        <x:f>IF(B82="","",MIN(1,SUM(E82:K82)))</x:f>
      </x:c>
      <x:c r="AE82" s="2" t="str">
        <x:f>IF(B82="","",MIN(1,SUM(E82:L82)))</x:f>
      </x:c>
      <x:c r="AF82" s="2" t="str">
        <x:f>IF(B82="","",MIN(1,SUM(E82:M82)))</x:f>
      </x:c>
      <x:c r="AG82" s="2" t="str">
        <x:f>IF(B82="","",MIN(1,SUM(E82:N82)))</x:f>
      </x:c>
      <x:c r="AH82" s="2" t="str">
        <x:f>IF(B82="","",MIN(1,SUM(E82:O82)))</x:f>
      </x:c>
      <x:c r="AI82" s="2" t="str">
        <x:f>IF(B82="","",MIN(1,SUM(E82:P82)))</x:f>
      </x:c>
      <x:c r="AJ82" s="2" t="str">
        <x:f>IF(B82="","",MIN(1,SUM(E82:Q82)))</x:f>
      </x:c>
      <x:c r="AK82" s="2" t="str">
        <x:f>IF(B82="","",MIN(1,SUM(E82:R82)))</x:f>
      </x:c>
      <x:c r="AL82" s="2" t="str">
        <x:f>IF(B82="","",MIN(1,SUM(E82:S82)))</x:f>
      </x:c>
      <x:c r="AM82" s="2" t="str">
        <x:f>IF(B82="","",MIN(1,SUM(E82:T82)))</x:f>
      </x:c>
      <x:c r="AN82" s="2" t="str">
        <x:f>IF(B82="","",MIN(1,SUM(E82:U82)))</x:f>
      </x:c>
      <x:c r="AO82" s="2" t="str">
        <x:f>IF(B82="","",MIN(1,SUM(E82:V82)))</x:f>
      </x:c>
      <x:c r="AP82" s="2" t="str">
        <x:f>IF(B82="","",MIN(1,SUM(E82:W82)))</x:f>
      </x:c>
    </x:row>
    <x:row r="83" ht="21" customHeight="1">
      <x:c r="A83" s="2" t="str">
        <x:f>IF('Motor_Meciuri'!A83="","",'Motor_Meciuri'!A83)</x:f>
      </x:c>
      <x:c r="B83" s="2" t="str">
        <x:f>IF('Motor_Meciuri'!I83&lt;&gt;"PASS","",'Motor_Meciuri'!BD83)</x:f>
      </x:c>
      <x:c r="C83" s="2" t="str">
        <x:f>IF(B83="","",'Motor_Meciuri'!AU83)</x:f>
      </x:c>
      <x:c r="D83" s="2" t="str">
        <x:f>IF(B83="","",'Motor_Meciuri'!AW83)</x:f>
      </x:c>
      <x:c r="E83" s="2" t="str">
        <x:f>IF(B83="","",IF(C83&lt;='Config_v6'!$B$10,EXP(-B83),(D83/(D83+B83))^D83))</x:f>
      </x:c>
      <x:c r="F83" s="2" t="str">
        <x:f>IF(B83="","",IF(C83&lt;='Config_v6'!$B$10,E83*B83/1,E83*(D83+0)/1*B83/(D83+B83)))</x:f>
      </x:c>
      <x:c r="G83" s="2" t="str">
        <x:f>IF(B83="","",IF(C83&lt;='Config_v6'!$B$10,F83*B83/2,F83*(D83+1)/2*B83/(D83+B83)))</x:f>
      </x:c>
      <x:c r="H83" s="2" t="str">
        <x:f>IF(B83="","",IF(C83&lt;='Config_v6'!$B$10,G83*B83/3,G83*(D83+2)/3*B83/(D83+B83)))</x:f>
      </x:c>
      <x:c r="I83" s="2" t="str">
        <x:f>IF(B83="","",IF(C83&lt;='Config_v6'!$B$10,H83*B83/4,H83*(D83+3)/4*B83/(D83+B83)))</x:f>
      </x:c>
      <x:c r="J83" s="2" t="str">
        <x:f>IF(B83="","",IF(C83&lt;='Config_v6'!$B$10,I83*B83/5,I83*(D83+4)/5*B83/(D83+B83)))</x:f>
      </x:c>
      <x:c r="K83" s="2" t="str">
        <x:f>IF(B83="","",IF(C83&lt;='Config_v6'!$B$10,J83*B83/6,J83*(D83+5)/6*B83/(D83+B83)))</x:f>
      </x:c>
      <x:c r="L83" s="2" t="str">
        <x:f>IF(B83="","",IF(C83&lt;='Config_v6'!$B$10,K83*B83/7,K83*(D83+6)/7*B83/(D83+B83)))</x:f>
      </x:c>
      <x:c r="M83" s="2" t="str">
        <x:f>IF(B83="","",IF(C83&lt;='Config_v6'!$B$10,L83*B83/8,L83*(D83+7)/8*B83/(D83+B83)))</x:f>
      </x:c>
      <x:c r="N83" s="2" t="str">
        <x:f>IF(B83="","",IF(C83&lt;='Config_v6'!$B$10,M83*B83/9,M83*(D83+8)/9*B83/(D83+B83)))</x:f>
      </x:c>
      <x:c r="O83" s="2" t="str">
        <x:f>IF(B83="","",IF(C83&lt;='Config_v6'!$B$10,N83*B83/10,N83*(D83+9)/10*B83/(D83+B83)))</x:f>
      </x:c>
      <x:c r="P83" s="2" t="str">
        <x:f>IF(B83="","",IF(C83&lt;='Config_v6'!$B$10,O83*B83/11,O83*(D83+10)/11*B83/(D83+B83)))</x:f>
      </x:c>
      <x:c r="Q83" s="2" t="str">
        <x:f>IF(B83="","",IF(C83&lt;='Config_v6'!$B$10,P83*B83/12,P83*(D83+11)/12*B83/(D83+B83)))</x:f>
      </x:c>
      <x:c r="R83" s="2" t="str">
        <x:f>IF(B83="","",IF(C83&lt;='Config_v6'!$B$10,Q83*B83/13,Q83*(D83+12)/13*B83/(D83+B83)))</x:f>
      </x:c>
      <x:c r="S83" s="2" t="str">
        <x:f>IF(B83="","",IF(C83&lt;='Config_v6'!$B$10,R83*B83/14,R83*(D83+13)/14*B83/(D83+B83)))</x:f>
      </x:c>
      <x:c r="T83" s="2" t="str">
        <x:f>IF(B83="","",IF(C83&lt;='Config_v6'!$B$10,S83*B83/15,S83*(D83+14)/15*B83/(D83+B83)))</x:f>
      </x:c>
      <x:c r="U83" s="2" t="str">
        <x:f>IF(B83="","",IF(C83&lt;='Config_v6'!$B$10,T83*B83/16,T83*(D83+15)/16*B83/(D83+B83)))</x:f>
      </x:c>
      <x:c r="V83" s="2" t="str">
        <x:f>IF(B83="","",IF(C83&lt;='Config_v6'!$B$10,U83*B83/17,U83*(D83+16)/17*B83/(D83+B83)))</x:f>
      </x:c>
      <x:c r="W83" s="2" t="str">
        <x:f>IF(B83="","",IF(C83&lt;='Config_v6'!$B$10,V83*B83/18,V83*(D83+17)/18*B83/(D83+B83)))</x:f>
      </x:c>
      <x:c r="X83" s="2" t="str">
        <x:f>IF(B83="","",MIN(1,SUM(E83:E83)))</x:f>
      </x:c>
      <x:c r="Y83" s="2" t="str">
        <x:f>IF(B83="","",MIN(1,SUM(E83:F83)))</x:f>
      </x:c>
      <x:c r="Z83" s="2" t="str">
        <x:f>IF(B83="","",MIN(1,SUM(E83:G83)))</x:f>
      </x:c>
      <x:c r="AA83" s="2" t="str">
        <x:f>IF(B83="","",MIN(1,SUM(E83:H83)))</x:f>
      </x:c>
      <x:c r="AB83" s="2" t="str">
        <x:f>IF(B83="","",MIN(1,SUM(E83:I83)))</x:f>
      </x:c>
      <x:c r="AC83" s="2" t="str">
        <x:f>IF(B83="","",MIN(1,SUM(E83:J83)))</x:f>
      </x:c>
      <x:c r="AD83" s="2" t="str">
        <x:f>IF(B83="","",MIN(1,SUM(E83:K83)))</x:f>
      </x:c>
      <x:c r="AE83" s="2" t="str">
        <x:f>IF(B83="","",MIN(1,SUM(E83:L83)))</x:f>
      </x:c>
      <x:c r="AF83" s="2" t="str">
        <x:f>IF(B83="","",MIN(1,SUM(E83:M83)))</x:f>
      </x:c>
      <x:c r="AG83" s="2" t="str">
        <x:f>IF(B83="","",MIN(1,SUM(E83:N83)))</x:f>
      </x:c>
      <x:c r="AH83" s="2" t="str">
        <x:f>IF(B83="","",MIN(1,SUM(E83:O83)))</x:f>
      </x:c>
      <x:c r="AI83" s="2" t="str">
        <x:f>IF(B83="","",MIN(1,SUM(E83:P83)))</x:f>
      </x:c>
      <x:c r="AJ83" s="2" t="str">
        <x:f>IF(B83="","",MIN(1,SUM(E83:Q83)))</x:f>
      </x:c>
      <x:c r="AK83" s="2" t="str">
        <x:f>IF(B83="","",MIN(1,SUM(E83:R83)))</x:f>
      </x:c>
      <x:c r="AL83" s="2" t="str">
        <x:f>IF(B83="","",MIN(1,SUM(E83:S83)))</x:f>
      </x:c>
      <x:c r="AM83" s="2" t="str">
        <x:f>IF(B83="","",MIN(1,SUM(E83:T83)))</x:f>
      </x:c>
      <x:c r="AN83" s="2" t="str">
        <x:f>IF(B83="","",MIN(1,SUM(E83:U83)))</x:f>
      </x:c>
      <x:c r="AO83" s="2" t="str">
        <x:f>IF(B83="","",MIN(1,SUM(E83:V83)))</x:f>
      </x:c>
      <x:c r="AP83" s="2" t="str">
        <x:f>IF(B83="","",MIN(1,SUM(E83:W83)))</x:f>
      </x:c>
    </x:row>
    <x:row r="84" ht="21" customHeight="1">
      <x:c r="A84" s="2" t="str">
        <x:f>IF('Motor_Meciuri'!A84="","",'Motor_Meciuri'!A84)</x:f>
      </x:c>
      <x:c r="B84" s="2" t="str">
        <x:f>IF('Motor_Meciuri'!I84&lt;&gt;"PASS","",'Motor_Meciuri'!BD84)</x:f>
      </x:c>
      <x:c r="C84" s="2" t="str">
        <x:f>IF(B84="","",'Motor_Meciuri'!AU84)</x:f>
      </x:c>
      <x:c r="D84" s="2" t="str">
        <x:f>IF(B84="","",'Motor_Meciuri'!AW84)</x:f>
      </x:c>
      <x:c r="E84" s="2" t="str">
        <x:f>IF(B84="","",IF(C84&lt;='Config_v6'!$B$10,EXP(-B84),(D84/(D84+B84))^D84))</x:f>
      </x:c>
      <x:c r="F84" s="2" t="str">
        <x:f>IF(B84="","",IF(C84&lt;='Config_v6'!$B$10,E84*B84/1,E84*(D84+0)/1*B84/(D84+B84)))</x:f>
      </x:c>
      <x:c r="G84" s="2" t="str">
        <x:f>IF(B84="","",IF(C84&lt;='Config_v6'!$B$10,F84*B84/2,F84*(D84+1)/2*B84/(D84+B84)))</x:f>
      </x:c>
      <x:c r="H84" s="2" t="str">
        <x:f>IF(B84="","",IF(C84&lt;='Config_v6'!$B$10,G84*B84/3,G84*(D84+2)/3*B84/(D84+B84)))</x:f>
      </x:c>
      <x:c r="I84" s="2" t="str">
        <x:f>IF(B84="","",IF(C84&lt;='Config_v6'!$B$10,H84*B84/4,H84*(D84+3)/4*B84/(D84+B84)))</x:f>
      </x:c>
      <x:c r="J84" s="2" t="str">
        <x:f>IF(B84="","",IF(C84&lt;='Config_v6'!$B$10,I84*B84/5,I84*(D84+4)/5*B84/(D84+B84)))</x:f>
      </x:c>
      <x:c r="K84" s="2" t="str">
        <x:f>IF(B84="","",IF(C84&lt;='Config_v6'!$B$10,J84*B84/6,J84*(D84+5)/6*B84/(D84+B84)))</x:f>
      </x:c>
      <x:c r="L84" s="2" t="str">
        <x:f>IF(B84="","",IF(C84&lt;='Config_v6'!$B$10,K84*B84/7,K84*(D84+6)/7*B84/(D84+B84)))</x:f>
      </x:c>
      <x:c r="M84" s="2" t="str">
        <x:f>IF(B84="","",IF(C84&lt;='Config_v6'!$B$10,L84*B84/8,L84*(D84+7)/8*B84/(D84+B84)))</x:f>
      </x:c>
      <x:c r="N84" s="2" t="str">
        <x:f>IF(B84="","",IF(C84&lt;='Config_v6'!$B$10,M84*B84/9,M84*(D84+8)/9*B84/(D84+B84)))</x:f>
      </x:c>
      <x:c r="O84" s="2" t="str">
        <x:f>IF(B84="","",IF(C84&lt;='Config_v6'!$B$10,N84*B84/10,N84*(D84+9)/10*B84/(D84+B84)))</x:f>
      </x:c>
      <x:c r="P84" s="2" t="str">
        <x:f>IF(B84="","",IF(C84&lt;='Config_v6'!$B$10,O84*B84/11,O84*(D84+10)/11*B84/(D84+B84)))</x:f>
      </x:c>
      <x:c r="Q84" s="2" t="str">
        <x:f>IF(B84="","",IF(C84&lt;='Config_v6'!$B$10,P84*B84/12,P84*(D84+11)/12*B84/(D84+B84)))</x:f>
      </x:c>
      <x:c r="R84" s="2" t="str">
        <x:f>IF(B84="","",IF(C84&lt;='Config_v6'!$B$10,Q84*B84/13,Q84*(D84+12)/13*B84/(D84+B84)))</x:f>
      </x:c>
      <x:c r="S84" s="2" t="str">
        <x:f>IF(B84="","",IF(C84&lt;='Config_v6'!$B$10,R84*B84/14,R84*(D84+13)/14*B84/(D84+B84)))</x:f>
      </x:c>
      <x:c r="T84" s="2" t="str">
        <x:f>IF(B84="","",IF(C84&lt;='Config_v6'!$B$10,S84*B84/15,S84*(D84+14)/15*B84/(D84+B84)))</x:f>
      </x:c>
      <x:c r="U84" s="2" t="str">
        <x:f>IF(B84="","",IF(C84&lt;='Config_v6'!$B$10,T84*B84/16,T84*(D84+15)/16*B84/(D84+B84)))</x:f>
      </x:c>
      <x:c r="V84" s="2" t="str">
        <x:f>IF(B84="","",IF(C84&lt;='Config_v6'!$B$10,U84*B84/17,U84*(D84+16)/17*B84/(D84+B84)))</x:f>
      </x:c>
      <x:c r="W84" s="2" t="str">
        <x:f>IF(B84="","",IF(C84&lt;='Config_v6'!$B$10,V84*B84/18,V84*(D84+17)/18*B84/(D84+B84)))</x:f>
      </x:c>
      <x:c r="X84" s="2" t="str">
        <x:f>IF(B84="","",MIN(1,SUM(E84:E84)))</x:f>
      </x:c>
      <x:c r="Y84" s="2" t="str">
        <x:f>IF(B84="","",MIN(1,SUM(E84:F84)))</x:f>
      </x:c>
      <x:c r="Z84" s="2" t="str">
        <x:f>IF(B84="","",MIN(1,SUM(E84:G84)))</x:f>
      </x:c>
      <x:c r="AA84" s="2" t="str">
        <x:f>IF(B84="","",MIN(1,SUM(E84:H84)))</x:f>
      </x:c>
      <x:c r="AB84" s="2" t="str">
        <x:f>IF(B84="","",MIN(1,SUM(E84:I84)))</x:f>
      </x:c>
      <x:c r="AC84" s="2" t="str">
        <x:f>IF(B84="","",MIN(1,SUM(E84:J84)))</x:f>
      </x:c>
      <x:c r="AD84" s="2" t="str">
        <x:f>IF(B84="","",MIN(1,SUM(E84:K84)))</x:f>
      </x:c>
      <x:c r="AE84" s="2" t="str">
        <x:f>IF(B84="","",MIN(1,SUM(E84:L84)))</x:f>
      </x:c>
      <x:c r="AF84" s="2" t="str">
        <x:f>IF(B84="","",MIN(1,SUM(E84:M84)))</x:f>
      </x:c>
      <x:c r="AG84" s="2" t="str">
        <x:f>IF(B84="","",MIN(1,SUM(E84:N84)))</x:f>
      </x:c>
      <x:c r="AH84" s="2" t="str">
        <x:f>IF(B84="","",MIN(1,SUM(E84:O84)))</x:f>
      </x:c>
      <x:c r="AI84" s="2" t="str">
        <x:f>IF(B84="","",MIN(1,SUM(E84:P84)))</x:f>
      </x:c>
      <x:c r="AJ84" s="2" t="str">
        <x:f>IF(B84="","",MIN(1,SUM(E84:Q84)))</x:f>
      </x:c>
      <x:c r="AK84" s="2" t="str">
        <x:f>IF(B84="","",MIN(1,SUM(E84:R84)))</x:f>
      </x:c>
      <x:c r="AL84" s="2" t="str">
        <x:f>IF(B84="","",MIN(1,SUM(E84:S84)))</x:f>
      </x:c>
      <x:c r="AM84" s="2" t="str">
        <x:f>IF(B84="","",MIN(1,SUM(E84:T84)))</x:f>
      </x:c>
      <x:c r="AN84" s="2" t="str">
        <x:f>IF(B84="","",MIN(1,SUM(E84:U84)))</x:f>
      </x:c>
      <x:c r="AO84" s="2" t="str">
        <x:f>IF(B84="","",MIN(1,SUM(E84:V84)))</x:f>
      </x:c>
      <x:c r="AP84" s="2" t="str">
        <x:f>IF(B84="","",MIN(1,SUM(E84:W84)))</x:f>
      </x:c>
    </x:row>
    <x:row r="85" ht="21" customHeight="1">
      <x:c r="A85" s="2" t="str">
        <x:f>IF('Motor_Meciuri'!A85="","",'Motor_Meciuri'!A85)</x:f>
      </x:c>
      <x:c r="B85" s="2" t="str">
        <x:f>IF('Motor_Meciuri'!I85&lt;&gt;"PASS","",'Motor_Meciuri'!BD85)</x:f>
      </x:c>
      <x:c r="C85" s="2" t="str">
        <x:f>IF(B85="","",'Motor_Meciuri'!AU85)</x:f>
      </x:c>
      <x:c r="D85" s="2" t="str">
        <x:f>IF(B85="","",'Motor_Meciuri'!AW85)</x:f>
      </x:c>
      <x:c r="E85" s="2" t="str">
        <x:f>IF(B85="","",IF(C85&lt;='Config_v6'!$B$10,EXP(-B85),(D85/(D85+B85))^D85))</x:f>
      </x:c>
      <x:c r="F85" s="2" t="str">
        <x:f>IF(B85="","",IF(C85&lt;='Config_v6'!$B$10,E85*B85/1,E85*(D85+0)/1*B85/(D85+B85)))</x:f>
      </x:c>
      <x:c r="G85" s="2" t="str">
        <x:f>IF(B85="","",IF(C85&lt;='Config_v6'!$B$10,F85*B85/2,F85*(D85+1)/2*B85/(D85+B85)))</x:f>
      </x:c>
      <x:c r="H85" s="2" t="str">
        <x:f>IF(B85="","",IF(C85&lt;='Config_v6'!$B$10,G85*B85/3,G85*(D85+2)/3*B85/(D85+B85)))</x:f>
      </x:c>
      <x:c r="I85" s="2" t="str">
        <x:f>IF(B85="","",IF(C85&lt;='Config_v6'!$B$10,H85*B85/4,H85*(D85+3)/4*B85/(D85+B85)))</x:f>
      </x:c>
      <x:c r="J85" s="2" t="str">
        <x:f>IF(B85="","",IF(C85&lt;='Config_v6'!$B$10,I85*B85/5,I85*(D85+4)/5*B85/(D85+B85)))</x:f>
      </x:c>
      <x:c r="K85" s="2" t="str">
        <x:f>IF(B85="","",IF(C85&lt;='Config_v6'!$B$10,J85*B85/6,J85*(D85+5)/6*B85/(D85+B85)))</x:f>
      </x:c>
      <x:c r="L85" s="2" t="str">
        <x:f>IF(B85="","",IF(C85&lt;='Config_v6'!$B$10,K85*B85/7,K85*(D85+6)/7*B85/(D85+B85)))</x:f>
      </x:c>
      <x:c r="M85" s="2" t="str">
        <x:f>IF(B85="","",IF(C85&lt;='Config_v6'!$B$10,L85*B85/8,L85*(D85+7)/8*B85/(D85+B85)))</x:f>
      </x:c>
      <x:c r="N85" s="2" t="str">
        <x:f>IF(B85="","",IF(C85&lt;='Config_v6'!$B$10,M85*B85/9,M85*(D85+8)/9*B85/(D85+B85)))</x:f>
      </x:c>
      <x:c r="O85" s="2" t="str">
        <x:f>IF(B85="","",IF(C85&lt;='Config_v6'!$B$10,N85*B85/10,N85*(D85+9)/10*B85/(D85+B85)))</x:f>
      </x:c>
      <x:c r="P85" s="2" t="str">
        <x:f>IF(B85="","",IF(C85&lt;='Config_v6'!$B$10,O85*B85/11,O85*(D85+10)/11*B85/(D85+B85)))</x:f>
      </x:c>
      <x:c r="Q85" s="2" t="str">
        <x:f>IF(B85="","",IF(C85&lt;='Config_v6'!$B$10,P85*B85/12,P85*(D85+11)/12*B85/(D85+B85)))</x:f>
      </x:c>
      <x:c r="R85" s="2" t="str">
        <x:f>IF(B85="","",IF(C85&lt;='Config_v6'!$B$10,Q85*B85/13,Q85*(D85+12)/13*B85/(D85+B85)))</x:f>
      </x:c>
      <x:c r="S85" s="2" t="str">
        <x:f>IF(B85="","",IF(C85&lt;='Config_v6'!$B$10,R85*B85/14,R85*(D85+13)/14*B85/(D85+B85)))</x:f>
      </x:c>
      <x:c r="T85" s="2" t="str">
        <x:f>IF(B85="","",IF(C85&lt;='Config_v6'!$B$10,S85*B85/15,S85*(D85+14)/15*B85/(D85+B85)))</x:f>
      </x:c>
      <x:c r="U85" s="2" t="str">
        <x:f>IF(B85="","",IF(C85&lt;='Config_v6'!$B$10,T85*B85/16,T85*(D85+15)/16*B85/(D85+B85)))</x:f>
      </x:c>
      <x:c r="V85" s="2" t="str">
        <x:f>IF(B85="","",IF(C85&lt;='Config_v6'!$B$10,U85*B85/17,U85*(D85+16)/17*B85/(D85+B85)))</x:f>
      </x:c>
      <x:c r="W85" s="2" t="str">
        <x:f>IF(B85="","",IF(C85&lt;='Config_v6'!$B$10,V85*B85/18,V85*(D85+17)/18*B85/(D85+B85)))</x:f>
      </x:c>
      <x:c r="X85" s="2" t="str">
        <x:f>IF(B85="","",MIN(1,SUM(E85:E85)))</x:f>
      </x:c>
      <x:c r="Y85" s="2" t="str">
        <x:f>IF(B85="","",MIN(1,SUM(E85:F85)))</x:f>
      </x:c>
      <x:c r="Z85" s="2" t="str">
        <x:f>IF(B85="","",MIN(1,SUM(E85:G85)))</x:f>
      </x:c>
      <x:c r="AA85" s="2" t="str">
        <x:f>IF(B85="","",MIN(1,SUM(E85:H85)))</x:f>
      </x:c>
      <x:c r="AB85" s="2" t="str">
        <x:f>IF(B85="","",MIN(1,SUM(E85:I85)))</x:f>
      </x:c>
      <x:c r="AC85" s="2" t="str">
        <x:f>IF(B85="","",MIN(1,SUM(E85:J85)))</x:f>
      </x:c>
      <x:c r="AD85" s="2" t="str">
        <x:f>IF(B85="","",MIN(1,SUM(E85:K85)))</x:f>
      </x:c>
      <x:c r="AE85" s="2" t="str">
        <x:f>IF(B85="","",MIN(1,SUM(E85:L85)))</x:f>
      </x:c>
      <x:c r="AF85" s="2" t="str">
        <x:f>IF(B85="","",MIN(1,SUM(E85:M85)))</x:f>
      </x:c>
      <x:c r="AG85" s="2" t="str">
        <x:f>IF(B85="","",MIN(1,SUM(E85:N85)))</x:f>
      </x:c>
      <x:c r="AH85" s="2" t="str">
        <x:f>IF(B85="","",MIN(1,SUM(E85:O85)))</x:f>
      </x:c>
      <x:c r="AI85" s="2" t="str">
        <x:f>IF(B85="","",MIN(1,SUM(E85:P85)))</x:f>
      </x:c>
      <x:c r="AJ85" s="2" t="str">
        <x:f>IF(B85="","",MIN(1,SUM(E85:Q85)))</x:f>
      </x:c>
      <x:c r="AK85" s="2" t="str">
        <x:f>IF(B85="","",MIN(1,SUM(E85:R85)))</x:f>
      </x:c>
      <x:c r="AL85" s="2" t="str">
        <x:f>IF(B85="","",MIN(1,SUM(E85:S85)))</x:f>
      </x:c>
      <x:c r="AM85" s="2" t="str">
        <x:f>IF(B85="","",MIN(1,SUM(E85:T85)))</x:f>
      </x:c>
      <x:c r="AN85" s="2" t="str">
        <x:f>IF(B85="","",MIN(1,SUM(E85:U85)))</x:f>
      </x:c>
      <x:c r="AO85" s="2" t="str">
        <x:f>IF(B85="","",MIN(1,SUM(E85:V85)))</x:f>
      </x:c>
      <x:c r="AP85" s="2" t="str">
        <x:f>IF(B85="","",MIN(1,SUM(E85:W85)))</x:f>
      </x:c>
    </x:row>
    <x:row r="86" ht="21" customHeight="1">
      <x:c r="A86" s="2" t="str">
        <x:f>IF('Motor_Meciuri'!A86="","",'Motor_Meciuri'!A86)</x:f>
      </x:c>
      <x:c r="B86" s="2" t="str">
        <x:f>IF('Motor_Meciuri'!I86&lt;&gt;"PASS","",'Motor_Meciuri'!BD86)</x:f>
      </x:c>
      <x:c r="C86" s="2" t="str">
        <x:f>IF(B86="","",'Motor_Meciuri'!AU86)</x:f>
      </x:c>
      <x:c r="D86" s="2" t="str">
        <x:f>IF(B86="","",'Motor_Meciuri'!AW86)</x:f>
      </x:c>
      <x:c r="E86" s="2" t="str">
        <x:f>IF(B86="","",IF(C86&lt;='Config_v6'!$B$10,EXP(-B86),(D86/(D86+B86))^D86))</x:f>
      </x:c>
      <x:c r="F86" s="2" t="str">
        <x:f>IF(B86="","",IF(C86&lt;='Config_v6'!$B$10,E86*B86/1,E86*(D86+0)/1*B86/(D86+B86)))</x:f>
      </x:c>
      <x:c r="G86" s="2" t="str">
        <x:f>IF(B86="","",IF(C86&lt;='Config_v6'!$B$10,F86*B86/2,F86*(D86+1)/2*B86/(D86+B86)))</x:f>
      </x:c>
      <x:c r="H86" s="2" t="str">
        <x:f>IF(B86="","",IF(C86&lt;='Config_v6'!$B$10,G86*B86/3,G86*(D86+2)/3*B86/(D86+B86)))</x:f>
      </x:c>
      <x:c r="I86" s="2" t="str">
        <x:f>IF(B86="","",IF(C86&lt;='Config_v6'!$B$10,H86*B86/4,H86*(D86+3)/4*B86/(D86+B86)))</x:f>
      </x:c>
      <x:c r="J86" s="2" t="str">
        <x:f>IF(B86="","",IF(C86&lt;='Config_v6'!$B$10,I86*B86/5,I86*(D86+4)/5*B86/(D86+B86)))</x:f>
      </x:c>
      <x:c r="K86" s="2" t="str">
        <x:f>IF(B86="","",IF(C86&lt;='Config_v6'!$B$10,J86*B86/6,J86*(D86+5)/6*B86/(D86+B86)))</x:f>
      </x:c>
      <x:c r="L86" s="2" t="str">
        <x:f>IF(B86="","",IF(C86&lt;='Config_v6'!$B$10,K86*B86/7,K86*(D86+6)/7*B86/(D86+B86)))</x:f>
      </x:c>
      <x:c r="M86" s="2" t="str">
        <x:f>IF(B86="","",IF(C86&lt;='Config_v6'!$B$10,L86*B86/8,L86*(D86+7)/8*B86/(D86+B86)))</x:f>
      </x:c>
      <x:c r="N86" s="2" t="str">
        <x:f>IF(B86="","",IF(C86&lt;='Config_v6'!$B$10,M86*B86/9,M86*(D86+8)/9*B86/(D86+B86)))</x:f>
      </x:c>
      <x:c r="O86" s="2" t="str">
        <x:f>IF(B86="","",IF(C86&lt;='Config_v6'!$B$10,N86*B86/10,N86*(D86+9)/10*B86/(D86+B86)))</x:f>
      </x:c>
      <x:c r="P86" s="2" t="str">
        <x:f>IF(B86="","",IF(C86&lt;='Config_v6'!$B$10,O86*B86/11,O86*(D86+10)/11*B86/(D86+B86)))</x:f>
      </x:c>
      <x:c r="Q86" s="2" t="str">
        <x:f>IF(B86="","",IF(C86&lt;='Config_v6'!$B$10,P86*B86/12,P86*(D86+11)/12*B86/(D86+B86)))</x:f>
      </x:c>
      <x:c r="R86" s="2" t="str">
        <x:f>IF(B86="","",IF(C86&lt;='Config_v6'!$B$10,Q86*B86/13,Q86*(D86+12)/13*B86/(D86+B86)))</x:f>
      </x:c>
      <x:c r="S86" s="2" t="str">
        <x:f>IF(B86="","",IF(C86&lt;='Config_v6'!$B$10,R86*B86/14,R86*(D86+13)/14*B86/(D86+B86)))</x:f>
      </x:c>
      <x:c r="T86" s="2" t="str">
        <x:f>IF(B86="","",IF(C86&lt;='Config_v6'!$B$10,S86*B86/15,S86*(D86+14)/15*B86/(D86+B86)))</x:f>
      </x:c>
      <x:c r="U86" s="2" t="str">
        <x:f>IF(B86="","",IF(C86&lt;='Config_v6'!$B$10,T86*B86/16,T86*(D86+15)/16*B86/(D86+B86)))</x:f>
      </x:c>
      <x:c r="V86" s="2" t="str">
        <x:f>IF(B86="","",IF(C86&lt;='Config_v6'!$B$10,U86*B86/17,U86*(D86+16)/17*B86/(D86+B86)))</x:f>
      </x:c>
      <x:c r="W86" s="2" t="str">
        <x:f>IF(B86="","",IF(C86&lt;='Config_v6'!$B$10,V86*B86/18,V86*(D86+17)/18*B86/(D86+B86)))</x:f>
      </x:c>
      <x:c r="X86" s="2" t="str">
        <x:f>IF(B86="","",MIN(1,SUM(E86:E86)))</x:f>
      </x:c>
      <x:c r="Y86" s="2" t="str">
        <x:f>IF(B86="","",MIN(1,SUM(E86:F86)))</x:f>
      </x:c>
      <x:c r="Z86" s="2" t="str">
        <x:f>IF(B86="","",MIN(1,SUM(E86:G86)))</x:f>
      </x:c>
      <x:c r="AA86" s="2" t="str">
        <x:f>IF(B86="","",MIN(1,SUM(E86:H86)))</x:f>
      </x:c>
      <x:c r="AB86" s="2" t="str">
        <x:f>IF(B86="","",MIN(1,SUM(E86:I86)))</x:f>
      </x:c>
      <x:c r="AC86" s="2" t="str">
        <x:f>IF(B86="","",MIN(1,SUM(E86:J86)))</x:f>
      </x:c>
      <x:c r="AD86" s="2" t="str">
        <x:f>IF(B86="","",MIN(1,SUM(E86:K86)))</x:f>
      </x:c>
      <x:c r="AE86" s="2" t="str">
        <x:f>IF(B86="","",MIN(1,SUM(E86:L86)))</x:f>
      </x:c>
      <x:c r="AF86" s="2" t="str">
        <x:f>IF(B86="","",MIN(1,SUM(E86:M86)))</x:f>
      </x:c>
      <x:c r="AG86" s="2" t="str">
        <x:f>IF(B86="","",MIN(1,SUM(E86:N86)))</x:f>
      </x:c>
      <x:c r="AH86" s="2" t="str">
        <x:f>IF(B86="","",MIN(1,SUM(E86:O86)))</x:f>
      </x:c>
      <x:c r="AI86" s="2" t="str">
        <x:f>IF(B86="","",MIN(1,SUM(E86:P86)))</x:f>
      </x:c>
      <x:c r="AJ86" s="2" t="str">
        <x:f>IF(B86="","",MIN(1,SUM(E86:Q86)))</x:f>
      </x:c>
      <x:c r="AK86" s="2" t="str">
        <x:f>IF(B86="","",MIN(1,SUM(E86:R86)))</x:f>
      </x:c>
      <x:c r="AL86" s="2" t="str">
        <x:f>IF(B86="","",MIN(1,SUM(E86:S86)))</x:f>
      </x:c>
      <x:c r="AM86" s="2" t="str">
        <x:f>IF(B86="","",MIN(1,SUM(E86:T86)))</x:f>
      </x:c>
      <x:c r="AN86" s="2" t="str">
        <x:f>IF(B86="","",MIN(1,SUM(E86:U86)))</x:f>
      </x:c>
      <x:c r="AO86" s="2" t="str">
        <x:f>IF(B86="","",MIN(1,SUM(E86:V86)))</x:f>
      </x:c>
      <x:c r="AP86" s="2" t="str">
        <x:f>IF(B86="","",MIN(1,SUM(E86:W86)))</x:f>
      </x:c>
    </x:row>
    <x:row r="87" ht="21" customHeight="1">
      <x:c r="A87" s="2" t="str">
        <x:f>IF('Motor_Meciuri'!A87="","",'Motor_Meciuri'!A87)</x:f>
      </x:c>
      <x:c r="B87" s="2" t="str">
        <x:f>IF('Motor_Meciuri'!I87&lt;&gt;"PASS","",'Motor_Meciuri'!BD87)</x:f>
      </x:c>
      <x:c r="C87" s="2" t="str">
        <x:f>IF(B87="","",'Motor_Meciuri'!AU87)</x:f>
      </x:c>
      <x:c r="D87" s="2" t="str">
        <x:f>IF(B87="","",'Motor_Meciuri'!AW87)</x:f>
      </x:c>
      <x:c r="E87" s="2" t="str">
        <x:f>IF(B87="","",IF(C87&lt;='Config_v6'!$B$10,EXP(-B87),(D87/(D87+B87))^D87))</x:f>
      </x:c>
      <x:c r="F87" s="2" t="str">
        <x:f>IF(B87="","",IF(C87&lt;='Config_v6'!$B$10,E87*B87/1,E87*(D87+0)/1*B87/(D87+B87)))</x:f>
      </x:c>
      <x:c r="G87" s="2" t="str">
        <x:f>IF(B87="","",IF(C87&lt;='Config_v6'!$B$10,F87*B87/2,F87*(D87+1)/2*B87/(D87+B87)))</x:f>
      </x:c>
      <x:c r="H87" s="2" t="str">
        <x:f>IF(B87="","",IF(C87&lt;='Config_v6'!$B$10,G87*B87/3,G87*(D87+2)/3*B87/(D87+B87)))</x:f>
      </x:c>
      <x:c r="I87" s="2" t="str">
        <x:f>IF(B87="","",IF(C87&lt;='Config_v6'!$B$10,H87*B87/4,H87*(D87+3)/4*B87/(D87+B87)))</x:f>
      </x:c>
      <x:c r="J87" s="2" t="str">
        <x:f>IF(B87="","",IF(C87&lt;='Config_v6'!$B$10,I87*B87/5,I87*(D87+4)/5*B87/(D87+B87)))</x:f>
      </x:c>
      <x:c r="K87" s="2" t="str">
        <x:f>IF(B87="","",IF(C87&lt;='Config_v6'!$B$10,J87*B87/6,J87*(D87+5)/6*B87/(D87+B87)))</x:f>
      </x:c>
      <x:c r="L87" s="2" t="str">
        <x:f>IF(B87="","",IF(C87&lt;='Config_v6'!$B$10,K87*B87/7,K87*(D87+6)/7*B87/(D87+B87)))</x:f>
      </x:c>
      <x:c r="M87" s="2" t="str">
        <x:f>IF(B87="","",IF(C87&lt;='Config_v6'!$B$10,L87*B87/8,L87*(D87+7)/8*B87/(D87+B87)))</x:f>
      </x:c>
      <x:c r="N87" s="2" t="str">
        <x:f>IF(B87="","",IF(C87&lt;='Config_v6'!$B$10,M87*B87/9,M87*(D87+8)/9*B87/(D87+B87)))</x:f>
      </x:c>
      <x:c r="O87" s="2" t="str">
        <x:f>IF(B87="","",IF(C87&lt;='Config_v6'!$B$10,N87*B87/10,N87*(D87+9)/10*B87/(D87+B87)))</x:f>
      </x:c>
      <x:c r="P87" s="2" t="str">
        <x:f>IF(B87="","",IF(C87&lt;='Config_v6'!$B$10,O87*B87/11,O87*(D87+10)/11*B87/(D87+B87)))</x:f>
      </x:c>
      <x:c r="Q87" s="2" t="str">
        <x:f>IF(B87="","",IF(C87&lt;='Config_v6'!$B$10,P87*B87/12,P87*(D87+11)/12*B87/(D87+B87)))</x:f>
      </x:c>
      <x:c r="R87" s="2" t="str">
        <x:f>IF(B87="","",IF(C87&lt;='Config_v6'!$B$10,Q87*B87/13,Q87*(D87+12)/13*B87/(D87+B87)))</x:f>
      </x:c>
      <x:c r="S87" s="2" t="str">
        <x:f>IF(B87="","",IF(C87&lt;='Config_v6'!$B$10,R87*B87/14,R87*(D87+13)/14*B87/(D87+B87)))</x:f>
      </x:c>
      <x:c r="T87" s="2" t="str">
        <x:f>IF(B87="","",IF(C87&lt;='Config_v6'!$B$10,S87*B87/15,S87*(D87+14)/15*B87/(D87+B87)))</x:f>
      </x:c>
      <x:c r="U87" s="2" t="str">
        <x:f>IF(B87="","",IF(C87&lt;='Config_v6'!$B$10,T87*B87/16,T87*(D87+15)/16*B87/(D87+B87)))</x:f>
      </x:c>
      <x:c r="V87" s="2" t="str">
        <x:f>IF(B87="","",IF(C87&lt;='Config_v6'!$B$10,U87*B87/17,U87*(D87+16)/17*B87/(D87+B87)))</x:f>
      </x:c>
      <x:c r="W87" s="2" t="str">
        <x:f>IF(B87="","",IF(C87&lt;='Config_v6'!$B$10,V87*B87/18,V87*(D87+17)/18*B87/(D87+B87)))</x:f>
      </x:c>
      <x:c r="X87" s="2" t="str">
        <x:f>IF(B87="","",MIN(1,SUM(E87:E87)))</x:f>
      </x:c>
      <x:c r="Y87" s="2" t="str">
        <x:f>IF(B87="","",MIN(1,SUM(E87:F87)))</x:f>
      </x:c>
      <x:c r="Z87" s="2" t="str">
        <x:f>IF(B87="","",MIN(1,SUM(E87:G87)))</x:f>
      </x:c>
      <x:c r="AA87" s="2" t="str">
        <x:f>IF(B87="","",MIN(1,SUM(E87:H87)))</x:f>
      </x:c>
      <x:c r="AB87" s="2" t="str">
        <x:f>IF(B87="","",MIN(1,SUM(E87:I87)))</x:f>
      </x:c>
      <x:c r="AC87" s="2" t="str">
        <x:f>IF(B87="","",MIN(1,SUM(E87:J87)))</x:f>
      </x:c>
      <x:c r="AD87" s="2" t="str">
        <x:f>IF(B87="","",MIN(1,SUM(E87:K87)))</x:f>
      </x:c>
      <x:c r="AE87" s="2" t="str">
        <x:f>IF(B87="","",MIN(1,SUM(E87:L87)))</x:f>
      </x:c>
      <x:c r="AF87" s="2" t="str">
        <x:f>IF(B87="","",MIN(1,SUM(E87:M87)))</x:f>
      </x:c>
      <x:c r="AG87" s="2" t="str">
        <x:f>IF(B87="","",MIN(1,SUM(E87:N87)))</x:f>
      </x:c>
      <x:c r="AH87" s="2" t="str">
        <x:f>IF(B87="","",MIN(1,SUM(E87:O87)))</x:f>
      </x:c>
      <x:c r="AI87" s="2" t="str">
        <x:f>IF(B87="","",MIN(1,SUM(E87:P87)))</x:f>
      </x:c>
      <x:c r="AJ87" s="2" t="str">
        <x:f>IF(B87="","",MIN(1,SUM(E87:Q87)))</x:f>
      </x:c>
      <x:c r="AK87" s="2" t="str">
        <x:f>IF(B87="","",MIN(1,SUM(E87:R87)))</x:f>
      </x:c>
      <x:c r="AL87" s="2" t="str">
        <x:f>IF(B87="","",MIN(1,SUM(E87:S87)))</x:f>
      </x:c>
      <x:c r="AM87" s="2" t="str">
        <x:f>IF(B87="","",MIN(1,SUM(E87:T87)))</x:f>
      </x:c>
      <x:c r="AN87" s="2" t="str">
        <x:f>IF(B87="","",MIN(1,SUM(E87:U87)))</x:f>
      </x:c>
      <x:c r="AO87" s="2" t="str">
        <x:f>IF(B87="","",MIN(1,SUM(E87:V87)))</x:f>
      </x:c>
      <x:c r="AP87" s="2" t="str">
        <x:f>IF(B87="","",MIN(1,SUM(E87:W87)))</x:f>
      </x:c>
    </x:row>
    <x:row r="88" ht="21" customHeight="1">
      <x:c r="A88" s="2" t="str">
        <x:f>IF('Motor_Meciuri'!A88="","",'Motor_Meciuri'!A88)</x:f>
      </x:c>
      <x:c r="B88" s="2" t="str">
        <x:f>IF('Motor_Meciuri'!I88&lt;&gt;"PASS","",'Motor_Meciuri'!BD88)</x:f>
      </x:c>
      <x:c r="C88" s="2" t="str">
        <x:f>IF(B88="","",'Motor_Meciuri'!AU88)</x:f>
      </x:c>
      <x:c r="D88" s="2" t="str">
        <x:f>IF(B88="","",'Motor_Meciuri'!AW88)</x:f>
      </x:c>
      <x:c r="E88" s="2" t="str">
        <x:f>IF(B88="","",IF(C88&lt;='Config_v6'!$B$10,EXP(-B88),(D88/(D88+B88))^D88))</x:f>
      </x:c>
      <x:c r="F88" s="2" t="str">
        <x:f>IF(B88="","",IF(C88&lt;='Config_v6'!$B$10,E88*B88/1,E88*(D88+0)/1*B88/(D88+B88)))</x:f>
      </x:c>
      <x:c r="G88" s="2" t="str">
        <x:f>IF(B88="","",IF(C88&lt;='Config_v6'!$B$10,F88*B88/2,F88*(D88+1)/2*B88/(D88+B88)))</x:f>
      </x:c>
      <x:c r="H88" s="2" t="str">
        <x:f>IF(B88="","",IF(C88&lt;='Config_v6'!$B$10,G88*B88/3,G88*(D88+2)/3*B88/(D88+B88)))</x:f>
      </x:c>
      <x:c r="I88" s="2" t="str">
        <x:f>IF(B88="","",IF(C88&lt;='Config_v6'!$B$10,H88*B88/4,H88*(D88+3)/4*B88/(D88+B88)))</x:f>
      </x:c>
      <x:c r="J88" s="2" t="str">
        <x:f>IF(B88="","",IF(C88&lt;='Config_v6'!$B$10,I88*B88/5,I88*(D88+4)/5*B88/(D88+B88)))</x:f>
      </x:c>
      <x:c r="K88" s="2" t="str">
        <x:f>IF(B88="","",IF(C88&lt;='Config_v6'!$B$10,J88*B88/6,J88*(D88+5)/6*B88/(D88+B88)))</x:f>
      </x:c>
      <x:c r="L88" s="2" t="str">
        <x:f>IF(B88="","",IF(C88&lt;='Config_v6'!$B$10,K88*B88/7,K88*(D88+6)/7*B88/(D88+B88)))</x:f>
      </x:c>
      <x:c r="M88" s="2" t="str">
        <x:f>IF(B88="","",IF(C88&lt;='Config_v6'!$B$10,L88*B88/8,L88*(D88+7)/8*B88/(D88+B88)))</x:f>
      </x:c>
      <x:c r="N88" s="2" t="str">
        <x:f>IF(B88="","",IF(C88&lt;='Config_v6'!$B$10,M88*B88/9,M88*(D88+8)/9*B88/(D88+B88)))</x:f>
      </x:c>
      <x:c r="O88" s="2" t="str">
        <x:f>IF(B88="","",IF(C88&lt;='Config_v6'!$B$10,N88*B88/10,N88*(D88+9)/10*B88/(D88+B88)))</x:f>
      </x:c>
      <x:c r="P88" s="2" t="str">
        <x:f>IF(B88="","",IF(C88&lt;='Config_v6'!$B$10,O88*B88/11,O88*(D88+10)/11*B88/(D88+B88)))</x:f>
      </x:c>
      <x:c r="Q88" s="2" t="str">
        <x:f>IF(B88="","",IF(C88&lt;='Config_v6'!$B$10,P88*B88/12,P88*(D88+11)/12*B88/(D88+B88)))</x:f>
      </x:c>
      <x:c r="R88" s="2" t="str">
        <x:f>IF(B88="","",IF(C88&lt;='Config_v6'!$B$10,Q88*B88/13,Q88*(D88+12)/13*B88/(D88+B88)))</x:f>
      </x:c>
      <x:c r="S88" s="2" t="str">
        <x:f>IF(B88="","",IF(C88&lt;='Config_v6'!$B$10,R88*B88/14,R88*(D88+13)/14*B88/(D88+B88)))</x:f>
      </x:c>
      <x:c r="T88" s="2" t="str">
        <x:f>IF(B88="","",IF(C88&lt;='Config_v6'!$B$10,S88*B88/15,S88*(D88+14)/15*B88/(D88+B88)))</x:f>
      </x:c>
      <x:c r="U88" s="2" t="str">
        <x:f>IF(B88="","",IF(C88&lt;='Config_v6'!$B$10,T88*B88/16,T88*(D88+15)/16*B88/(D88+B88)))</x:f>
      </x:c>
      <x:c r="V88" s="2" t="str">
        <x:f>IF(B88="","",IF(C88&lt;='Config_v6'!$B$10,U88*B88/17,U88*(D88+16)/17*B88/(D88+B88)))</x:f>
      </x:c>
      <x:c r="W88" s="2" t="str">
        <x:f>IF(B88="","",IF(C88&lt;='Config_v6'!$B$10,V88*B88/18,V88*(D88+17)/18*B88/(D88+B88)))</x:f>
      </x:c>
      <x:c r="X88" s="2" t="str">
        <x:f>IF(B88="","",MIN(1,SUM(E88:E88)))</x:f>
      </x:c>
      <x:c r="Y88" s="2" t="str">
        <x:f>IF(B88="","",MIN(1,SUM(E88:F88)))</x:f>
      </x:c>
      <x:c r="Z88" s="2" t="str">
        <x:f>IF(B88="","",MIN(1,SUM(E88:G88)))</x:f>
      </x:c>
      <x:c r="AA88" s="2" t="str">
        <x:f>IF(B88="","",MIN(1,SUM(E88:H88)))</x:f>
      </x:c>
      <x:c r="AB88" s="2" t="str">
        <x:f>IF(B88="","",MIN(1,SUM(E88:I88)))</x:f>
      </x:c>
      <x:c r="AC88" s="2" t="str">
        <x:f>IF(B88="","",MIN(1,SUM(E88:J88)))</x:f>
      </x:c>
      <x:c r="AD88" s="2" t="str">
        <x:f>IF(B88="","",MIN(1,SUM(E88:K88)))</x:f>
      </x:c>
      <x:c r="AE88" s="2" t="str">
        <x:f>IF(B88="","",MIN(1,SUM(E88:L88)))</x:f>
      </x:c>
      <x:c r="AF88" s="2" t="str">
        <x:f>IF(B88="","",MIN(1,SUM(E88:M88)))</x:f>
      </x:c>
      <x:c r="AG88" s="2" t="str">
        <x:f>IF(B88="","",MIN(1,SUM(E88:N88)))</x:f>
      </x:c>
      <x:c r="AH88" s="2" t="str">
        <x:f>IF(B88="","",MIN(1,SUM(E88:O88)))</x:f>
      </x:c>
      <x:c r="AI88" s="2" t="str">
        <x:f>IF(B88="","",MIN(1,SUM(E88:P88)))</x:f>
      </x:c>
      <x:c r="AJ88" s="2" t="str">
        <x:f>IF(B88="","",MIN(1,SUM(E88:Q88)))</x:f>
      </x:c>
      <x:c r="AK88" s="2" t="str">
        <x:f>IF(B88="","",MIN(1,SUM(E88:R88)))</x:f>
      </x:c>
      <x:c r="AL88" s="2" t="str">
        <x:f>IF(B88="","",MIN(1,SUM(E88:S88)))</x:f>
      </x:c>
      <x:c r="AM88" s="2" t="str">
        <x:f>IF(B88="","",MIN(1,SUM(E88:T88)))</x:f>
      </x:c>
      <x:c r="AN88" s="2" t="str">
        <x:f>IF(B88="","",MIN(1,SUM(E88:U88)))</x:f>
      </x:c>
      <x:c r="AO88" s="2" t="str">
        <x:f>IF(B88="","",MIN(1,SUM(E88:V88)))</x:f>
      </x:c>
      <x:c r="AP88" s="2" t="str">
        <x:f>IF(B88="","",MIN(1,SUM(E88:W88)))</x:f>
      </x:c>
    </x:row>
    <x:row r="89" ht="21" customHeight="1">
      <x:c r="A89" s="2" t="str">
        <x:f>IF('Motor_Meciuri'!A89="","",'Motor_Meciuri'!A89)</x:f>
      </x:c>
      <x:c r="B89" s="2" t="str">
        <x:f>IF('Motor_Meciuri'!I89&lt;&gt;"PASS","",'Motor_Meciuri'!BD89)</x:f>
      </x:c>
      <x:c r="C89" s="2" t="str">
        <x:f>IF(B89="","",'Motor_Meciuri'!AU89)</x:f>
      </x:c>
      <x:c r="D89" s="2" t="str">
        <x:f>IF(B89="","",'Motor_Meciuri'!AW89)</x:f>
      </x:c>
      <x:c r="E89" s="2" t="str">
        <x:f>IF(B89="","",IF(C89&lt;='Config_v6'!$B$10,EXP(-B89),(D89/(D89+B89))^D89))</x:f>
      </x:c>
      <x:c r="F89" s="2" t="str">
        <x:f>IF(B89="","",IF(C89&lt;='Config_v6'!$B$10,E89*B89/1,E89*(D89+0)/1*B89/(D89+B89)))</x:f>
      </x:c>
      <x:c r="G89" s="2" t="str">
        <x:f>IF(B89="","",IF(C89&lt;='Config_v6'!$B$10,F89*B89/2,F89*(D89+1)/2*B89/(D89+B89)))</x:f>
      </x:c>
      <x:c r="H89" s="2" t="str">
        <x:f>IF(B89="","",IF(C89&lt;='Config_v6'!$B$10,G89*B89/3,G89*(D89+2)/3*B89/(D89+B89)))</x:f>
      </x:c>
      <x:c r="I89" s="2" t="str">
        <x:f>IF(B89="","",IF(C89&lt;='Config_v6'!$B$10,H89*B89/4,H89*(D89+3)/4*B89/(D89+B89)))</x:f>
      </x:c>
      <x:c r="J89" s="2" t="str">
        <x:f>IF(B89="","",IF(C89&lt;='Config_v6'!$B$10,I89*B89/5,I89*(D89+4)/5*B89/(D89+B89)))</x:f>
      </x:c>
      <x:c r="K89" s="2" t="str">
        <x:f>IF(B89="","",IF(C89&lt;='Config_v6'!$B$10,J89*B89/6,J89*(D89+5)/6*B89/(D89+B89)))</x:f>
      </x:c>
      <x:c r="L89" s="2" t="str">
        <x:f>IF(B89="","",IF(C89&lt;='Config_v6'!$B$10,K89*B89/7,K89*(D89+6)/7*B89/(D89+B89)))</x:f>
      </x:c>
      <x:c r="M89" s="2" t="str">
        <x:f>IF(B89="","",IF(C89&lt;='Config_v6'!$B$10,L89*B89/8,L89*(D89+7)/8*B89/(D89+B89)))</x:f>
      </x:c>
      <x:c r="N89" s="2" t="str">
        <x:f>IF(B89="","",IF(C89&lt;='Config_v6'!$B$10,M89*B89/9,M89*(D89+8)/9*B89/(D89+B89)))</x:f>
      </x:c>
      <x:c r="O89" s="2" t="str">
        <x:f>IF(B89="","",IF(C89&lt;='Config_v6'!$B$10,N89*B89/10,N89*(D89+9)/10*B89/(D89+B89)))</x:f>
      </x:c>
      <x:c r="P89" s="2" t="str">
        <x:f>IF(B89="","",IF(C89&lt;='Config_v6'!$B$10,O89*B89/11,O89*(D89+10)/11*B89/(D89+B89)))</x:f>
      </x:c>
      <x:c r="Q89" s="2" t="str">
        <x:f>IF(B89="","",IF(C89&lt;='Config_v6'!$B$10,P89*B89/12,P89*(D89+11)/12*B89/(D89+B89)))</x:f>
      </x:c>
      <x:c r="R89" s="2" t="str">
        <x:f>IF(B89="","",IF(C89&lt;='Config_v6'!$B$10,Q89*B89/13,Q89*(D89+12)/13*B89/(D89+B89)))</x:f>
      </x:c>
      <x:c r="S89" s="2" t="str">
        <x:f>IF(B89="","",IF(C89&lt;='Config_v6'!$B$10,R89*B89/14,R89*(D89+13)/14*B89/(D89+B89)))</x:f>
      </x:c>
      <x:c r="T89" s="2" t="str">
        <x:f>IF(B89="","",IF(C89&lt;='Config_v6'!$B$10,S89*B89/15,S89*(D89+14)/15*B89/(D89+B89)))</x:f>
      </x:c>
      <x:c r="U89" s="2" t="str">
        <x:f>IF(B89="","",IF(C89&lt;='Config_v6'!$B$10,T89*B89/16,T89*(D89+15)/16*B89/(D89+B89)))</x:f>
      </x:c>
      <x:c r="V89" s="2" t="str">
        <x:f>IF(B89="","",IF(C89&lt;='Config_v6'!$B$10,U89*B89/17,U89*(D89+16)/17*B89/(D89+B89)))</x:f>
      </x:c>
      <x:c r="W89" s="2" t="str">
        <x:f>IF(B89="","",IF(C89&lt;='Config_v6'!$B$10,V89*B89/18,V89*(D89+17)/18*B89/(D89+B89)))</x:f>
      </x:c>
      <x:c r="X89" s="2" t="str">
        <x:f>IF(B89="","",MIN(1,SUM(E89:E89)))</x:f>
      </x:c>
      <x:c r="Y89" s="2" t="str">
        <x:f>IF(B89="","",MIN(1,SUM(E89:F89)))</x:f>
      </x:c>
      <x:c r="Z89" s="2" t="str">
        <x:f>IF(B89="","",MIN(1,SUM(E89:G89)))</x:f>
      </x:c>
      <x:c r="AA89" s="2" t="str">
        <x:f>IF(B89="","",MIN(1,SUM(E89:H89)))</x:f>
      </x:c>
      <x:c r="AB89" s="2" t="str">
        <x:f>IF(B89="","",MIN(1,SUM(E89:I89)))</x:f>
      </x:c>
      <x:c r="AC89" s="2" t="str">
        <x:f>IF(B89="","",MIN(1,SUM(E89:J89)))</x:f>
      </x:c>
      <x:c r="AD89" s="2" t="str">
        <x:f>IF(B89="","",MIN(1,SUM(E89:K89)))</x:f>
      </x:c>
      <x:c r="AE89" s="2" t="str">
        <x:f>IF(B89="","",MIN(1,SUM(E89:L89)))</x:f>
      </x:c>
      <x:c r="AF89" s="2" t="str">
        <x:f>IF(B89="","",MIN(1,SUM(E89:M89)))</x:f>
      </x:c>
      <x:c r="AG89" s="2" t="str">
        <x:f>IF(B89="","",MIN(1,SUM(E89:N89)))</x:f>
      </x:c>
      <x:c r="AH89" s="2" t="str">
        <x:f>IF(B89="","",MIN(1,SUM(E89:O89)))</x:f>
      </x:c>
      <x:c r="AI89" s="2" t="str">
        <x:f>IF(B89="","",MIN(1,SUM(E89:P89)))</x:f>
      </x:c>
      <x:c r="AJ89" s="2" t="str">
        <x:f>IF(B89="","",MIN(1,SUM(E89:Q89)))</x:f>
      </x:c>
      <x:c r="AK89" s="2" t="str">
        <x:f>IF(B89="","",MIN(1,SUM(E89:R89)))</x:f>
      </x:c>
      <x:c r="AL89" s="2" t="str">
        <x:f>IF(B89="","",MIN(1,SUM(E89:S89)))</x:f>
      </x:c>
      <x:c r="AM89" s="2" t="str">
        <x:f>IF(B89="","",MIN(1,SUM(E89:T89)))</x:f>
      </x:c>
      <x:c r="AN89" s="2" t="str">
        <x:f>IF(B89="","",MIN(1,SUM(E89:U89)))</x:f>
      </x:c>
      <x:c r="AO89" s="2" t="str">
        <x:f>IF(B89="","",MIN(1,SUM(E89:V89)))</x:f>
      </x:c>
      <x:c r="AP89" s="2" t="str">
        <x:f>IF(B89="","",MIN(1,SUM(E89:W89)))</x:f>
      </x:c>
    </x:row>
    <x:row r="90" ht="21" customHeight="1">
      <x:c r="A90" s="2" t="str">
        <x:f>IF('Motor_Meciuri'!A90="","",'Motor_Meciuri'!A90)</x:f>
      </x:c>
      <x:c r="B90" s="2" t="str">
        <x:f>IF('Motor_Meciuri'!I90&lt;&gt;"PASS","",'Motor_Meciuri'!BD90)</x:f>
      </x:c>
      <x:c r="C90" s="2" t="str">
        <x:f>IF(B90="","",'Motor_Meciuri'!AU90)</x:f>
      </x:c>
      <x:c r="D90" s="2" t="str">
        <x:f>IF(B90="","",'Motor_Meciuri'!AW90)</x:f>
      </x:c>
      <x:c r="E90" s="2" t="str">
        <x:f>IF(B90="","",IF(C90&lt;='Config_v6'!$B$10,EXP(-B90),(D90/(D90+B90))^D90))</x:f>
      </x:c>
      <x:c r="F90" s="2" t="str">
        <x:f>IF(B90="","",IF(C90&lt;='Config_v6'!$B$10,E90*B90/1,E90*(D90+0)/1*B90/(D90+B90)))</x:f>
      </x:c>
      <x:c r="G90" s="2" t="str">
        <x:f>IF(B90="","",IF(C90&lt;='Config_v6'!$B$10,F90*B90/2,F90*(D90+1)/2*B90/(D90+B90)))</x:f>
      </x:c>
      <x:c r="H90" s="2" t="str">
        <x:f>IF(B90="","",IF(C90&lt;='Config_v6'!$B$10,G90*B90/3,G90*(D90+2)/3*B90/(D90+B90)))</x:f>
      </x:c>
      <x:c r="I90" s="2" t="str">
        <x:f>IF(B90="","",IF(C90&lt;='Config_v6'!$B$10,H90*B90/4,H90*(D90+3)/4*B90/(D90+B90)))</x:f>
      </x:c>
      <x:c r="J90" s="2" t="str">
        <x:f>IF(B90="","",IF(C90&lt;='Config_v6'!$B$10,I90*B90/5,I90*(D90+4)/5*B90/(D90+B90)))</x:f>
      </x:c>
      <x:c r="K90" s="2" t="str">
        <x:f>IF(B90="","",IF(C90&lt;='Config_v6'!$B$10,J90*B90/6,J90*(D90+5)/6*B90/(D90+B90)))</x:f>
      </x:c>
      <x:c r="L90" s="2" t="str">
        <x:f>IF(B90="","",IF(C90&lt;='Config_v6'!$B$10,K90*B90/7,K90*(D90+6)/7*B90/(D90+B90)))</x:f>
      </x:c>
      <x:c r="M90" s="2" t="str">
        <x:f>IF(B90="","",IF(C90&lt;='Config_v6'!$B$10,L90*B90/8,L90*(D90+7)/8*B90/(D90+B90)))</x:f>
      </x:c>
      <x:c r="N90" s="2" t="str">
        <x:f>IF(B90="","",IF(C90&lt;='Config_v6'!$B$10,M90*B90/9,M90*(D90+8)/9*B90/(D90+B90)))</x:f>
      </x:c>
      <x:c r="O90" s="2" t="str">
        <x:f>IF(B90="","",IF(C90&lt;='Config_v6'!$B$10,N90*B90/10,N90*(D90+9)/10*B90/(D90+B90)))</x:f>
      </x:c>
      <x:c r="P90" s="2" t="str">
        <x:f>IF(B90="","",IF(C90&lt;='Config_v6'!$B$10,O90*B90/11,O90*(D90+10)/11*B90/(D90+B90)))</x:f>
      </x:c>
      <x:c r="Q90" s="2" t="str">
        <x:f>IF(B90="","",IF(C90&lt;='Config_v6'!$B$10,P90*B90/12,P90*(D90+11)/12*B90/(D90+B90)))</x:f>
      </x:c>
      <x:c r="R90" s="2" t="str">
        <x:f>IF(B90="","",IF(C90&lt;='Config_v6'!$B$10,Q90*B90/13,Q90*(D90+12)/13*B90/(D90+B90)))</x:f>
      </x:c>
      <x:c r="S90" s="2" t="str">
        <x:f>IF(B90="","",IF(C90&lt;='Config_v6'!$B$10,R90*B90/14,R90*(D90+13)/14*B90/(D90+B90)))</x:f>
      </x:c>
      <x:c r="T90" s="2" t="str">
        <x:f>IF(B90="","",IF(C90&lt;='Config_v6'!$B$10,S90*B90/15,S90*(D90+14)/15*B90/(D90+B90)))</x:f>
      </x:c>
      <x:c r="U90" s="2" t="str">
        <x:f>IF(B90="","",IF(C90&lt;='Config_v6'!$B$10,T90*B90/16,T90*(D90+15)/16*B90/(D90+B90)))</x:f>
      </x:c>
      <x:c r="V90" s="2" t="str">
        <x:f>IF(B90="","",IF(C90&lt;='Config_v6'!$B$10,U90*B90/17,U90*(D90+16)/17*B90/(D90+B90)))</x:f>
      </x:c>
      <x:c r="W90" s="2" t="str">
        <x:f>IF(B90="","",IF(C90&lt;='Config_v6'!$B$10,V90*B90/18,V90*(D90+17)/18*B90/(D90+B90)))</x:f>
      </x:c>
      <x:c r="X90" s="2" t="str">
        <x:f>IF(B90="","",MIN(1,SUM(E90:E90)))</x:f>
      </x:c>
      <x:c r="Y90" s="2" t="str">
        <x:f>IF(B90="","",MIN(1,SUM(E90:F90)))</x:f>
      </x:c>
      <x:c r="Z90" s="2" t="str">
        <x:f>IF(B90="","",MIN(1,SUM(E90:G90)))</x:f>
      </x:c>
      <x:c r="AA90" s="2" t="str">
        <x:f>IF(B90="","",MIN(1,SUM(E90:H90)))</x:f>
      </x:c>
      <x:c r="AB90" s="2" t="str">
        <x:f>IF(B90="","",MIN(1,SUM(E90:I90)))</x:f>
      </x:c>
      <x:c r="AC90" s="2" t="str">
        <x:f>IF(B90="","",MIN(1,SUM(E90:J90)))</x:f>
      </x:c>
      <x:c r="AD90" s="2" t="str">
        <x:f>IF(B90="","",MIN(1,SUM(E90:K90)))</x:f>
      </x:c>
      <x:c r="AE90" s="2" t="str">
        <x:f>IF(B90="","",MIN(1,SUM(E90:L90)))</x:f>
      </x:c>
      <x:c r="AF90" s="2" t="str">
        <x:f>IF(B90="","",MIN(1,SUM(E90:M90)))</x:f>
      </x:c>
      <x:c r="AG90" s="2" t="str">
        <x:f>IF(B90="","",MIN(1,SUM(E90:N90)))</x:f>
      </x:c>
      <x:c r="AH90" s="2" t="str">
        <x:f>IF(B90="","",MIN(1,SUM(E90:O90)))</x:f>
      </x:c>
      <x:c r="AI90" s="2" t="str">
        <x:f>IF(B90="","",MIN(1,SUM(E90:P90)))</x:f>
      </x:c>
      <x:c r="AJ90" s="2" t="str">
        <x:f>IF(B90="","",MIN(1,SUM(E90:Q90)))</x:f>
      </x:c>
      <x:c r="AK90" s="2" t="str">
        <x:f>IF(B90="","",MIN(1,SUM(E90:R90)))</x:f>
      </x:c>
      <x:c r="AL90" s="2" t="str">
        <x:f>IF(B90="","",MIN(1,SUM(E90:S90)))</x:f>
      </x:c>
      <x:c r="AM90" s="2" t="str">
        <x:f>IF(B90="","",MIN(1,SUM(E90:T90)))</x:f>
      </x:c>
      <x:c r="AN90" s="2" t="str">
        <x:f>IF(B90="","",MIN(1,SUM(E90:U90)))</x:f>
      </x:c>
      <x:c r="AO90" s="2" t="str">
        <x:f>IF(B90="","",MIN(1,SUM(E90:V90)))</x:f>
      </x:c>
      <x:c r="AP90" s="2" t="str">
        <x:f>IF(B90="","",MIN(1,SUM(E90:W90)))</x:f>
      </x:c>
    </x:row>
    <x:row r="91" ht="21" customHeight="1">
      <x:c r="A91" s="2" t="str">
        <x:f>IF('Motor_Meciuri'!A91="","",'Motor_Meciuri'!A91)</x:f>
      </x:c>
      <x:c r="B91" s="2" t="str">
        <x:f>IF('Motor_Meciuri'!I91&lt;&gt;"PASS","",'Motor_Meciuri'!BD91)</x:f>
      </x:c>
      <x:c r="C91" s="2" t="str">
        <x:f>IF(B91="","",'Motor_Meciuri'!AU91)</x:f>
      </x:c>
      <x:c r="D91" s="2" t="str">
        <x:f>IF(B91="","",'Motor_Meciuri'!AW91)</x:f>
      </x:c>
      <x:c r="E91" s="2" t="str">
        <x:f>IF(B91="","",IF(C91&lt;='Config_v6'!$B$10,EXP(-B91),(D91/(D91+B91))^D91))</x:f>
      </x:c>
      <x:c r="F91" s="2" t="str">
        <x:f>IF(B91="","",IF(C91&lt;='Config_v6'!$B$10,E91*B91/1,E91*(D91+0)/1*B91/(D91+B91)))</x:f>
      </x:c>
      <x:c r="G91" s="2" t="str">
        <x:f>IF(B91="","",IF(C91&lt;='Config_v6'!$B$10,F91*B91/2,F91*(D91+1)/2*B91/(D91+B91)))</x:f>
      </x:c>
      <x:c r="H91" s="2" t="str">
        <x:f>IF(B91="","",IF(C91&lt;='Config_v6'!$B$10,G91*B91/3,G91*(D91+2)/3*B91/(D91+B91)))</x:f>
      </x:c>
      <x:c r="I91" s="2" t="str">
        <x:f>IF(B91="","",IF(C91&lt;='Config_v6'!$B$10,H91*B91/4,H91*(D91+3)/4*B91/(D91+B91)))</x:f>
      </x:c>
      <x:c r="J91" s="2" t="str">
        <x:f>IF(B91="","",IF(C91&lt;='Config_v6'!$B$10,I91*B91/5,I91*(D91+4)/5*B91/(D91+B91)))</x:f>
      </x:c>
      <x:c r="K91" s="2" t="str">
        <x:f>IF(B91="","",IF(C91&lt;='Config_v6'!$B$10,J91*B91/6,J91*(D91+5)/6*B91/(D91+B91)))</x:f>
      </x:c>
      <x:c r="L91" s="2" t="str">
        <x:f>IF(B91="","",IF(C91&lt;='Config_v6'!$B$10,K91*B91/7,K91*(D91+6)/7*B91/(D91+B91)))</x:f>
      </x:c>
      <x:c r="M91" s="2" t="str">
        <x:f>IF(B91="","",IF(C91&lt;='Config_v6'!$B$10,L91*B91/8,L91*(D91+7)/8*B91/(D91+B91)))</x:f>
      </x:c>
      <x:c r="N91" s="2" t="str">
        <x:f>IF(B91="","",IF(C91&lt;='Config_v6'!$B$10,M91*B91/9,M91*(D91+8)/9*B91/(D91+B91)))</x:f>
      </x:c>
      <x:c r="O91" s="2" t="str">
        <x:f>IF(B91="","",IF(C91&lt;='Config_v6'!$B$10,N91*B91/10,N91*(D91+9)/10*B91/(D91+B91)))</x:f>
      </x:c>
      <x:c r="P91" s="2" t="str">
        <x:f>IF(B91="","",IF(C91&lt;='Config_v6'!$B$10,O91*B91/11,O91*(D91+10)/11*B91/(D91+B91)))</x:f>
      </x:c>
      <x:c r="Q91" s="2" t="str">
        <x:f>IF(B91="","",IF(C91&lt;='Config_v6'!$B$10,P91*B91/12,P91*(D91+11)/12*B91/(D91+B91)))</x:f>
      </x:c>
      <x:c r="R91" s="2" t="str">
        <x:f>IF(B91="","",IF(C91&lt;='Config_v6'!$B$10,Q91*B91/13,Q91*(D91+12)/13*B91/(D91+B91)))</x:f>
      </x:c>
      <x:c r="S91" s="2" t="str">
        <x:f>IF(B91="","",IF(C91&lt;='Config_v6'!$B$10,R91*B91/14,R91*(D91+13)/14*B91/(D91+B91)))</x:f>
      </x:c>
      <x:c r="T91" s="2" t="str">
        <x:f>IF(B91="","",IF(C91&lt;='Config_v6'!$B$10,S91*B91/15,S91*(D91+14)/15*B91/(D91+B91)))</x:f>
      </x:c>
      <x:c r="U91" s="2" t="str">
        <x:f>IF(B91="","",IF(C91&lt;='Config_v6'!$B$10,T91*B91/16,T91*(D91+15)/16*B91/(D91+B91)))</x:f>
      </x:c>
      <x:c r="V91" s="2" t="str">
        <x:f>IF(B91="","",IF(C91&lt;='Config_v6'!$B$10,U91*B91/17,U91*(D91+16)/17*B91/(D91+B91)))</x:f>
      </x:c>
      <x:c r="W91" s="2" t="str">
        <x:f>IF(B91="","",IF(C91&lt;='Config_v6'!$B$10,V91*B91/18,V91*(D91+17)/18*B91/(D91+B91)))</x:f>
      </x:c>
      <x:c r="X91" s="2" t="str">
        <x:f>IF(B91="","",MIN(1,SUM(E91:E91)))</x:f>
      </x:c>
      <x:c r="Y91" s="2" t="str">
        <x:f>IF(B91="","",MIN(1,SUM(E91:F91)))</x:f>
      </x:c>
      <x:c r="Z91" s="2" t="str">
        <x:f>IF(B91="","",MIN(1,SUM(E91:G91)))</x:f>
      </x:c>
      <x:c r="AA91" s="2" t="str">
        <x:f>IF(B91="","",MIN(1,SUM(E91:H91)))</x:f>
      </x:c>
      <x:c r="AB91" s="2" t="str">
        <x:f>IF(B91="","",MIN(1,SUM(E91:I91)))</x:f>
      </x:c>
      <x:c r="AC91" s="2" t="str">
        <x:f>IF(B91="","",MIN(1,SUM(E91:J91)))</x:f>
      </x:c>
      <x:c r="AD91" s="2" t="str">
        <x:f>IF(B91="","",MIN(1,SUM(E91:K91)))</x:f>
      </x:c>
      <x:c r="AE91" s="2" t="str">
        <x:f>IF(B91="","",MIN(1,SUM(E91:L91)))</x:f>
      </x:c>
      <x:c r="AF91" s="2" t="str">
        <x:f>IF(B91="","",MIN(1,SUM(E91:M91)))</x:f>
      </x:c>
      <x:c r="AG91" s="2" t="str">
        <x:f>IF(B91="","",MIN(1,SUM(E91:N91)))</x:f>
      </x:c>
      <x:c r="AH91" s="2" t="str">
        <x:f>IF(B91="","",MIN(1,SUM(E91:O91)))</x:f>
      </x:c>
      <x:c r="AI91" s="2" t="str">
        <x:f>IF(B91="","",MIN(1,SUM(E91:P91)))</x:f>
      </x:c>
      <x:c r="AJ91" s="2" t="str">
        <x:f>IF(B91="","",MIN(1,SUM(E91:Q91)))</x:f>
      </x:c>
      <x:c r="AK91" s="2" t="str">
        <x:f>IF(B91="","",MIN(1,SUM(E91:R91)))</x:f>
      </x:c>
      <x:c r="AL91" s="2" t="str">
        <x:f>IF(B91="","",MIN(1,SUM(E91:S91)))</x:f>
      </x:c>
      <x:c r="AM91" s="2" t="str">
        <x:f>IF(B91="","",MIN(1,SUM(E91:T91)))</x:f>
      </x:c>
      <x:c r="AN91" s="2" t="str">
        <x:f>IF(B91="","",MIN(1,SUM(E91:U91)))</x:f>
      </x:c>
      <x:c r="AO91" s="2" t="str">
        <x:f>IF(B91="","",MIN(1,SUM(E91:V91)))</x:f>
      </x:c>
      <x:c r="AP91" s="2" t="str">
        <x:f>IF(B91="","",MIN(1,SUM(E91:W91)))</x:f>
      </x:c>
    </x:row>
    <x:row r="92" ht="21" customHeight="1">
      <x:c r="A92" s="2" t="str">
        <x:f>IF('Motor_Meciuri'!A92="","",'Motor_Meciuri'!A92)</x:f>
      </x:c>
      <x:c r="B92" s="2" t="str">
        <x:f>IF('Motor_Meciuri'!I92&lt;&gt;"PASS","",'Motor_Meciuri'!BD92)</x:f>
      </x:c>
      <x:c r="C92" s="2" t="str">
        <x:f>IF(B92="","",'Motor_Meciuri'!AU92)</x:f>
      </x:c>
      <x:c r="D92" s="2" t="str">
        <x:f>IF(B92="","",'Motor_Meciuri'!AW92)</x:f>
      </x:c>
      <x:c r="E92" s="2" t="str">
        <x:f>IF(B92="","",IF(C92&lt;='Config_v6'!$B$10,EXP(-B92),(D92/(D92+B92))^D92))</x:f>
      </x:c>
      <x:c r="F92" s="2" t="str">
        <x:f>IF(B92="","",IF(C92&lt;='Config_v6'!$B$10,E92*B92/1,E92*(D92+0)/1*B92/(D92+B92)))</x:f>
      </x:c>
      <x:c r="G92" s="2" t="str">
        <x:f>IF(B92="","",IF(C92&lt;='Config_v6'!$B$10,F92*B92/2,F92*(D92+1)/2*B92/(D92+B92)))</x:f>
      </x:c>
      <x:c r="H92" s="2" t="str">
        <x:f>IF(B92="","",IF(C92&lt;='Config_v6'!$B$10,G92*B92/3,G92*(D92+2)/3*B92/(D92+B92)))</x:f>
      </x:c>
      <x:c r="I92" s="2" t="str">
        <x:f>IF(B92="","",IF(C92&lt;='Config_v6'!$B$10,H92*B92/4,H92*(D92+3)/4*B92/(D92+B92)))</x:f>
      </x:c>
      <x:c r="J92" s="2" t="str">
        <x:f>IF(B92="","",IF(C92&lt;='Config_v6'!$B$10,I92*B92/5,I92*(D92+4)/5*B92/(D92+B92)))</x:f>
      </x:c>
      <x:c r="K92" s="2" t="str">
        <x:f>IF(B92="","",IF(C92&lt;='Config_v6'!$B$10,J92*B92/6,J92*(D92+5)/6*B92/(D92+B92)))</x:f>
      </x:c>
      <x:c r="L92" s="2" t="str">
        <x:f>IF(B92="","",IF(C92&lt;='Config_v6'!$B$10,K92*B92/7,K92*(D92+6)/7*B92/(D92+B92)))</x:f>
      </x:c>
      <x:c r="M92" s="2" t="str">
        <x:f>IF(B92="","",IF(C92&lt;='Config_v6'!$B$10,L92*B92/8,L92*(D92+7)/8*B92/(D92+B92)))</x:f>
      </x:c>
      <x:c r="N92" s="2" t="str">
        <x:f>IF(B92="","",IF(C92&lt;='Config_v6'!$B$10,M92*B92/9,M92*(D92+8)/9*B92/(D92+B92)))</x:f>
      </x:c>
      <x:c r="O92" s="2" t="str">
        <x:f>IF(B92="","",IF(C92&lt;='Config_v6'!$B$10,N92*B92/10,N92*(D92+9)/10*B92/(D92+B92)))</x:f>
      </x:c>
      <x:c r="P92" s="2" t="str">
        <x:f>IF(B92="","",IF(C92&lt;='Config_v6'!$B$10,O92*B92/11,O92*(D92+10)/11*B92/(D92+B92)))</x:f>
      </x:c>
      <x:c r="Q92" s="2" t="str">
        <x:f>IF(B92="","",IF(C92&lt;='Config_v6'!$B$10,P92*B92/12,P92*(D92+11)/12*B92/(D92+B92)))</x:f>
      </x:c>
      <x:c r="R92" s="2" t="str">
        <x:f>IF(B92="","",IF(C92&lt;='Config_v6'!$B$10,Q92*B92/13,Q92*(D92+12)/13*B92/(D92+B92)))</x:f>
      </x:c>
      <x:c r="S92" s="2" t="str">
        <x:f>IF(B92="","",IF(C92&lt;='Config_v6'!$B$10,R92*B92/14,R92*(D92+13)/14*B92/(D92+B92)))</x:f>
      </x:c>
      <x:c r="T92" s="2" t="str">
        <x:f>IF(B92="","",IF(C92&lt;='Config_v6'!$B$10,S92*B92/15,S92*(D92+14)/15*B92/(D92+B92)))</x:f>
      </x:c>
      <x:c r="U92" s="2" t="str">
        <x:f>IF(B92="","",IF(C92&lt;='Config_v6'!$B$10,T92*B92/16,T92*(D92+15)/16*B92/(D92+B92)))</x:f>
      </x:c>
      <x:c r="V92" s="2" t="str">
        <x:f>IF(B92="","",IF(C92&lt;='Config_v6'!$B$10,U92*B92/17,U92*(D92+16)/17*B92/(D92+B92)))</x:f>
      </x:c>
      <x:c r="W92" s="2" t="str">
        <x:f>IF(B92="","",IF(C92&lt;='Config_v6'!$B$10,V92*B92/18,V92*(D92+17)/18*B92/(D92+B92)))</x:f>
      </x:c>
      <x:c r="X92" s="2" t="str">
        <x:f>IF(B92="","",MIN(1,SUM(E92:E92)))</x:f>
      </x:c>
      <x:c r="Y92" s="2" t="str">
        <x:f>IF(B92="","",MIN(1,SUM(E92:F92)))</x:f>
      </x:c>
      <x:c r="Z92" s="2" t="str">
        <x:f>IF(B92="","",MIN(1,SUM(E92:G92)))</x:f>
      </x:c>
      <x:c r="AA92" s="2" t="str">
        <x:f>IF(B92="","",MIN(1,SUM(E92:H92)))</x:f>
      </x:c>
      <x:c r="AB92" s="2" t="str">
        <x:f>IF(B92="","",MIN(1,SUM(E92:I92)))</x:f>
      </x:c>
      <x:c r="AC92" s="2" t="str">
        <x:f>IF(B92="","",MIN(1,SUM(E92:J92)))</x:f>
      </x:c>
      <x:c r="AD92" s="2" t="str">
        <x:f>IF(B92="","",MIN(1,SUM(E92:K92)))</x:f>
      </x:c>
      <x:c r="AE92" s="2" t="str">
        <x:f>IF(B92="","",MIN(1,SUM(E92:L92)))</x:f>
      </x:c>
      <x:c r="AF92" s="2" t="str">
        <x:f>IF(B92="","",MIN(1,SUM(E92:M92)))</x:f>
      </x:c>
      <x:c r="AG92" s="2" t="str">
        <x:f>IF(B92="","",MIN(1,SUM(E92:N92)))</x:f>
      </x:c>
      <x:c r="AH92" s="2" t="str">
        <x:f>IF(B92="","",MIN(1,SUM(E92:O92)))</x:f>
      </x:c>
      <x:c r="AI92" s="2" t="str">
        <x:f>IF(B92="","",MIN(1,SUM(E92:P92)))</x:f>
      </x:c>
      <x:c r="AJ92" s="2" t="str">
        <x:f>IF(B92="","",MIN(1,SUM(E92:Q92)))</x:f>
      </x:c>
      <x:c r="AK92" s="2" t="str">
        <x:f>IF(B92="","",MIN(1,SUM(E92:R92)))</x:f>
      </x:c>
      <x:c r="AL92" s="2" t="str">
        <x:f>IF(B92="","",MIN(1,SUM(E92:S92)))</x:f>
      </x:c>
      <x:c r="AM92" s="2" t="str">
        <x:f>IF(B92="","",MIN(1,SUM(E92:T92)))</x:f>
      </x:c>
      <x:c r="AN92" s="2" t="str">
        <x:f>IF(B92="","",MIN(1,SUM(E92:U92)))</x:f>
      </x:c>
      <x:c r="AO92" s="2" t="str">
        <x:f>IF(B92="","",MIN(1,SUM(E92:V92)))</x:f>
      </x:c>
      <x:c r="AP92" s="2" t="str">
        <x:f>IF(B92="","",MIN(1,SUM(E92:W92)))</x:f>
      </x:c>
    </x:row>
    <x:row r="93" ht="21" customHeight="1">
      <x:c r="A93" s="2" t="str">
        <x:f>IF('Motor_Meciuri'!A93="","",'Motor_Meciuri'!A93)</x:f>
      </x:c>
      <x:c r="B93" s="2" t="str">
        <x:f>IF('Motor_Meciuri'!I93&lt;&gt;"PASS","",'Motor_Meciuri'!BD93)</x:f>
      </x:c>
      <x:c r="C93" s="2" t="str">
        <x:f>IF(B93="","",'Motor_Meciuri'!AU93)</x:f>
      </x:c>
      <x:c r="D93" s="2" t="str">
        <x:f>IF(B93="","",'Motor_Meciuri'!AW93)</x:f>
      </x:c>
      <x:c r="E93" s="2" t="str">
        <x:f>IF(B93="","",IF(C93&lt;='Config_v6'!$B$10,EXP(-B93),(D93/(D93+B93))^D93))</x:f>
      </x:c>
      <x:c r="F93" s="2" t="str">
        <x:f>IF(B93="","",IF(C93&lt;='Config_v6'!$B$10,E93*B93/1,E93*(D93+0)/1*B93/(D93+B93)))</x:f>
      </x:c>
      <x:c r="G93" s="2" t="str">
        <x:f>IF(B93="","",IF(C93&lt;='Config_v6'!$B$10,F93*B93/2,F93*(D93+1)/2*B93/(D93+B93)))</x:f>
      </x:c>
      <x:c r="H93" s="2" t="str">
        <x:f>IF(B93="","",IF(C93&lt;='Config_v6'!$B$10,G93*B93/3,G93*(D93+2)/3*B93/(D93+B93)))</x:f>
      </x:c>
      <x:c r="I93" s="2" t="str">
        <x:f>IF(B93="","",IF(C93&lt;='Config_v6'!$B$10,H93*B93/4,H93*(D93+3)/4*B93/(D93+B93)))</x:f>
      </x:c>
      <x:c r="J93" s="2" t="str">
        <x:f>IF(B93="","",IF(C93&lt;='Config_v6'!$B$10,I93*B93/5,I93*(D93+4)/5*B93/(D93+B93)))</x:f>
      </x:c>
      <x:c r="K93" s="2" t="str">
        <x:f>IF(B93="","",IF(C93&lt;='Config_v6'!$B$10,J93*B93/6,J93*(D93+5)/6*B93/(D93+B93)))</x:f>
      </x:c>
      <x:c r="L93" s="2" t="str">
        <x:f>IF(B93="","",IF(C93&lt;='Config_v6'!$B$10,K93*B93/7,K93*(D93+6)/7*B93/(D93+B93)))</x:f>
      </x:c>
      <x:c r="M93" s="2" t="str">
        <x:f>IF(B93="","",IF(C93&lt;='Config_v6'!$B$10,L93*B93/8,L93*(D93+7)/8*B93/(D93+B93)))</x:f>
      </x:c>
      <x:c r="N93" s="2" t="str">
        <x:f>IF(B93="","",IF(C93&lt;='Config_v6'!$B$10,M93*B93/9,M93*(D93+8)/9*B93/(D93+B93)))</x:f>
      </x:c>
      <x:c r="O93" s="2" t="str">
        <x:f>IF(B93="","",IF(C93&lt;='Config_v6'!$B$10,N93*B93/10,N93*(D93+9)/10*B93/(D93+B93)))</x:f>
      </x:c>
      <x:c r="P93" s="2" t="str">
        <x:f>IF(B93="","",IF(C93&lt;='Config_v6'!$B$10,O93*B93/11,O93*(D93+10)/11*B93/(D93+B93)))</x:f>
      </x:c>
      <x:c r="Q93" s="2" t="str">
        <x:f>IF(B93="","",IF(C93&lt;='Config_v6'!$B$10,P93*B93/12,P93*(D93+11)/12*B93/(D93+B93)))</x:f>
      </x:c>
      <x:c r="R93" s="2" t="str">
        <x:f>IF(B93="","",IF(C93&lt;='Config_v6'!$B$10,Q93*B93/13,Q93*(D93+12)/13*B93/(D93+B93)))</x:f>
      </x:c>
      <x:c r="S93" s="2" t="str">
        <x:f>IF(B93="","",IF(C93&lt;='Config_v6'!$B$10,R93*B93/14,R93*(D93+13)/14*B93/(D93+B93)))</x:f>
      </x:c>
      <x:c r="T93" s="2" t="str">
        <x:f>IF(B93="","",IF(C93&lt;='Config_v6'!$B$10,S93*B93/15,S93*(D93+14)/15*B93/(D93+B93)))</x:f>
      </x:c>
      <x:c r="U93" s="2" t="str">
        <x:f>IF(B93="","",IF(C93&lt;='Config_v6'!$B$10,T93*B93/16,T93*(D93+15)/16*B93/(D93+B93)))</x:f>
      </x:c>
      <x:c r="V93" s="2" t="str">
        <x:f>IF(B93="","",IF(C93&lt;='Config_v6'!$B$10,U93*B93/17,U93*(D93+16)/17*B93/(D93+B93)))</x:f>
      </x:c>
      <x:c r="W93" s="2" t="str">
        <x:f>IF(B93="","",IF(C93&lt;='Config_v6'!$B$10,V93*B93/18,V93*(D93+17)/18*B93/(D93+B93)))</x:f>
      </x:c>
      <x:c r="X93" s="2" t="str">
        <x:f>IF(B93="","",MIN(1,SUM(E93:E93)))</x:f>
      </x:c>
      <x:c r="Y93" s="2" t="str">
        <x:f>IF(B93="","",MIN(1,SUM(E93:F93)))</x:f>
      </x:c>
      <x:c r="Z93" s="2" t="str">
        <x:f>IF(B93="","",MIN(1,SUM(E93:G93)))</x:f>
      </x:c>
      <x:c r="AA93" s="2" t="str">
        <x:f>IF(B93="","",MIN(1,SUM(E93:H93)))</x:f>
      </x:c>
      <x:c r="AB93" s="2" t="str">
        <x:f>IF(B93="","",MIN(1,SUM(E93:I93)))</x:f>
      </x:c>
      <x:c r="AC93" s="2" t="str">
        <x:f>IF(B93="","",MIN(1,SUM(E93:J93)))</x:f>
      </x:c>
      <x:c r="AD93" s="2" t="str">
        <x:f>IF(B93="","",MIN(1,SUM(E93:K93)))</x:f>
      </x:c>
      <x:c r="AE93" s="2" t="str">
        <x:f>IF(B93="","",MIN(1,SUM(E93:L93)))</x:f>
      </x:c>
      <x:c r="AF93" s="2" t="str">
        <x:f>IF(B93="","",MIN(1,SUM(E93:M93)))</x:f>
      </x:c>
      <x:c r="AG93" s="2" t="str">
        <x:f>IF(B93="","",MIN(1,SUM(E93:N93)))</x:f>
      </x:c>
      <x:c r="AH93" s="2" t="str">
        <x:f>IF(B93="","",MIN(1,SUM(E93:O93)))</x:f>
      </x:c>
      <x:c r="AI93" s="2" t="str">
        <x:f>IF(B93="","",MIN(1,SUM(E93:P93)))</x:f>
      </x:c>
      <x:c r="AJ93" s="2" t="str">
        <x:f>IF(B93="","",MIN(1,SUM(E93:Q93)))</x:f>
      </x:c>
      <x:c r="AK93" s="2" t="str">
        <x:f>IF(B93="","",MIN(1,SUM(E93:R93)))</x:f>
      </x:c>
      <x:c r="AL93" s="2" t="str">
        <x:f>IF(B93="","",MIN(1,SUM(E93:S93)))</x:f>
      </x:c>
      <x:c r="AM93" s="2" t="str">
        <x:f>IF(B93="","",MIN(1,SUM(E93:T93)))</x:f>
      </x:c>
      <x:c r="AN93" s="2" t="str">
        <x:f>IF(B93="","",MIN(1,SUM(E93:U93)))</x:f>
      </x:c>
      <x:c r="AO93" s="2" t="str">
        <x:f>IF(B93="","",MIN(1,SUM(E93:V93)))</x:f>
      </x:c>
      <x:c r="AP93" s="2" t="str">
        <x:f>IF(B93="","",MIN(1,SUM(E93:W93)))</x:f>
      </x:c>
    </x:row>
    <x:row r="94" ht="21" customHeight="1">
      <x:c r="A94" s="2" t="str">
        <x:f>IF('Motor_Meciuri'!A94="","",'Motor_Meciuri'!A94)</x:f>
      </x:c>
      <x:c r="B94" s="2" t="str">
        <x:f>IF('Motor_Meciuri'!I94&lt;&gt;"PASS","",'Motor_Meciuri'!BD94)</x:f>
      </x:c>
      <x:c r="C94" s="2" t="str">
        <x:f>IF(B94="","",'Motor_Meciuri'!AU94)</x:f>
      </x:c>
      <x:c r="D94" s="2" t="str">
        <x:f>IF(B94="","",'Motor_Meciuri'!AW94)</x:f>
      </x:c>
      <x:c r="E94" s="2" t="str">
        <x:f>IF(B94="","",IF(C94&lt;='Config_v6'!$B$10,EXP(-B94),(D94/(D94+B94))^D94))</x:f>
      </x:c>
      <x:c r="F94" s="2" t="str">
        <x:f>IF(B94="","",IF(C94&lt;='Config_v6'!$B$10,E94*B94/1,E94*(D94+0)/1*B94/(D94+B94)))</x:f>
      </x:c>
      <x:c r="G94" s="2" t="str">
        <x:f>IF(B94="","",IF(C94&lt;='Config_v6'!$B$10,F94*B94/2,F94*(D94+1)/2*B94/(D94+B94)))</x:f>
      </x:c>
      <x:c r="H94" s="2" t="str">
        <x:f>IF(B94="","",IF(C94&lt;='Config_v6'!$B$10,G94*B94/3,G94*(D94+2)/3*B94/(D94+B94)))</x:f>
      </x:c>
      <x:c r="I94" s="2" t="str">
        <x:f>IF(B94="","",IF(C94&lt;='Config_v6'!$B$10,H94*B94/4,H94*(D94+3)/4*B94/(D94+B94)))</x:f>
      </x:c>
      <x:c r="J94" s="2" t="str">
        <x:f>IF(B94="","",IF(C94&lt;='Config_v6'!$B$10,I94*B94/5,I94*(D94+4)/5*B94/(D94+B94)))</x:f>
      </x:c>
      <x:c r="K94" s="2" t="str">
        <x:f>IF(B94="","",IF(C94&lt;='Config_v6'!$B$10,J94*B94/6,J94*(D94+5)/6*B94/(D94+B94)))</x:f>
      </x:c>
      <x:c r="L94" s="2" t="str">
        <x:f>IF(B94="","",IF(C94&lt;='Config_v6'!$B$10,K94*B94/7,K94*(D94+6)/7*B94/(D94+B94)))</x:f>
      </x:c>
      <x:c r="M94" s="2" t="str">
        <x:f>IF(B94="","",IF(C94&lt;='Config_v6'!$B$10,L94*B94/8,L94*(D94+7)/8*B94/(D94+B94)))</x:f>
      </x:c>
      <x:c r="N94" s="2" t="str">
        <x:f>IF(B94="","",IF(C94&lt;='Config_v6'!$B$10,M94*B94/9,M94*(D94+8)/9*B94/(D94+B94)))</x:f>
      </x:c>
      <x:c r="O94" s="2" t="str">
        <x:f>IF(B94="","",IF(C94&lt;='Config_v6'!$B$10,N94*B94/10,N94*(D94+9)/10*B94/(D94+B94)))</x:f>
      </x:c>
      <x:c r="P94" s="2" t="str">
        <x:f>IF(B94="","",IF(C94&lt;='Config_v6'!$B$10,O94*B94/11,O94*(D94+10)/11*B94/(D94+B94)))</x:f>
      </x:c>
      <x:c r="Q94" s="2" t="str">
        <x:f>IF(B94="","",IF(C94&lt;='Config_v6'!$B$10,P94*B94/12,P94*(D94+11)/12*B94/(D94+B94)))</x:f>
      </x:c>
      <x:c r="R94" s="2" t="str">
        <x:f>IF(B94="","",IF(C94&lt;='Config_v6'!$B$10,Q94*B94/13,Q94*(D94+12)/13*B94/(D94+B94)))</x:f>
      </x:c>
      <x:c r="S94" s="2" t="str">
        <x:f>IF(B94="","",IF(C94&lt;='Config_v6'!$B$10,R94*B94/14,R94*(D94+13)/14*B94/(D94+B94)))</x:f>
      </x:c>
      <x:c r="T94" s="2" t="str">
        <x:f>IF(B94="","",IF(C94&lt;='Config_v6'!$B$10,S94*B94/15,S94*(D94+14)/15*B94/(D94+B94)))</x:f>
      </x:c>
      <x:c r="U94" s="2" t="str">
        <x:f>IF(B94="","",IF(C94&lt;='Config_v6'!$B$10,T94*B94/16,T94*(D94+15)/16*B94/(D94+B94)))</x:f>
      </x:c>
      <x:c r="V94" s="2" t="str">
        <x:f>IF(B94="","",IF(C94&lt;='Config_v6'!$B$10,U94*B94/17,U94*(D94+16)/17*B94/(D94+B94)))</x:f>
      </x:c>
      <x:c r="W94" s="2" t="str">
        <x:f>IF(B94="","",IF(C94&lt;='Config_v6'!$B$10,V94*B94/18,V94*(D94+17)/18*B94/(D94+B94)))</x:f>
      </x:c>
      <x:c r="X94" s="2" t="str">
        <x:f>IF(B94="","",MIN(1,SUM(E94:E94)))</x:f>
      </x:c>
      <x:c r="Y94" s="2" t="str">
        <x:f>IF(B94="","",MIN(1,SUM(E94:F94)))</x:f>
      </x:c>
      <x:c r="Z94" s="2" t="str">
        <x:f>IF(B94="","",MIN(1,SUM(E94:G94)))</x:f>
      </x:c>
      <x:c r="AA94" s="2" t="str">
        <x:f>IF(B94="","",MIN(1,SUM(E94:H94)))</x:f>
      </x:c>
      <x:c r="AB94" s="2" t="str">
        <x:f>IF(B94="","",MIN(1,SUM(E94:I94)))</x:f>
      </x:c>
      <x:c r="AC94" s="2" t="str">
        <x:f>IF(B94="","",MIN(1,SUM(E94:J94)))</x:f>
      </x:c>
      <x:c r="AD94" s="2" t="str">
        <x:f>IF(B94="","",MIN(1,SUM(E94:K94)))</x:f>
      </x:c>
      <x:c r="AE94" s="2" t="str">
        <x:f>IF(B94="","",MIN(1,SUM(E94:L94)))</x:f>
      </x:c>
      <x:c r="AF94" s="2" t="str">
        <x:f>IF(B94="","",MIN(1,SUM(E94:M94)))</x:f>
      </x:c>
      <x:c r="AG94" s="2" t="str">
        <x:f>IF(B94="","",MIN(1,SUM(E94:N94)))</x:f>
      </x:c>
      <x:c r="AH94" s="2" t="str">
        <x:f>IF(B94="","",MIN(1,SUM(E94:O94)))</x:f>
      </x:c>
      <x:c r="AI94" s="2" t="str">
        <x:f>IF(B94="","",MIN(1,SUM(E94:P94)))</x:f>
      </x:c>
      <x:c r="AJ94" s="2" t="str">
        <x:f>IF(B94="","",MIN(1,SUM(E94:Q94)))</x:f>
      </x:c>
      <x:c r="AK94" s="2" t="str">
        <x:f>IF(B94="","",MIN(1,SUM(E94:R94)))</x:f>
      </x:c>
      <x:c r="AL94" s="2" t="str">
        <x:f>IF(B94="","",MIN(1,SUM(E94:S94)))</x:f>
      </x:c>
      <x:c r="AM94" s="2" t="str">
        <x:f>IF(B94="","",MIN(1,SUM(E94:T94)))</x:f>
      </x:c>
      <x:c r="AN94" s="2" t="str">
        <x:f>IF(B94="","",MIN(1,SUM(E94:U94)))</x:f>
      </x:c>
      <x:c r="AO94" s="2" t="str">
        <x:f>IF(B94="","",MIN(1,SUM(E94:V94)))</x:f>
      </x:c>
      <x:c r="AP94" s="2" t="str">
        <x:f>IF(B94="","",MIN(1,SUM(E94:W94)))</x:f>
      </x:c>
    </x:row>
    <x:row r="95" ht="21" customHeight="1">
      <x:c r="A95" s="2" t="str">
        <x:f>IF('Motor_Meciuri'!A95="","",'Motor_Meciuri'!A95)</x:f>
      </x:c>
      <x:c r="B95" s="2" t="str">
        <x:f>IF('Motor_Meciuri'!I95&lt;&gt;"PASS","",'Motor_Meciuri'!BD95)</x:f>
      </x:c>
      <x:c r="C95" s="2" t="str">
        <x:f>IF(B95="","",'Motor_Meciuri'!AU95)</x:f>
      </x:c>
      <x:c r="D95" s="2" t="str">
        <x:f>IF(B95="","",'Motor_Meciuri'!AW95)</x:f>
      </x:c>
      <x:c r="E95" s="2" t="str">
        <x:f>IF(B95="","",IF(C95&lt;='Config_v6'!$B$10,EXP(-B95),(D95/(D95+B95))^D95))</x:f>
      </x:c>
      <x:c r="F95" s="2" t="str">
        <x:f>IF(B95="","",IF(C95&lt;='Config_v6'!$B$10,E95*B95/1,E95*(D95+0)/1*B95/(D95+B95)))</x:f>
      </x:c>
      <x:c r="G95" s="2" t="str">
        <x:f>IF(B95="","",IF(C95&lt;='Config_v6'!$B$10,F95*B95/2,F95*(D95+1)/2*B95/(D95+B95)))</x:f>
      </x:c>
      <x:c r="H95" s="2" t="str">
        <x:f>IF(B95="","",IF(C95&lt;='Config_v6'!$B$10,G95*B95/3,G95*(D95+2)/3*B95/(D95+B95)))</x:f>
      </x:c>
      <x:c r="I95" s="2" t="str">
        <x:f>IF(B95="","",IF(C95&lt;='Config_v6'!$B$10,H95*B95/4,H95*(D95+3)/4*B95/(D95+B95)))</x:f>
      </x:c>
      <x:c r="J95" s="2" t="str">
        <x:f>IF(B95="","",IF(C95&lt;='Config_v6'!$B$10,I95*B95/5,I95*(D95+4)/5*B95/(D95+B95)))</x:f>
      </x:c>
      <x:c r="K95" s="2" t="str">
        <x:f>IF(B95="","",IF(C95&lt;='Config_v6'!$B$10,J95*B95/6,J95*(D95+5)/6*B95/(D95+B95)))</x:f>
      </x:c>
      <x:c r="L95" s="2" t="str">
        <x:f>IF(B95="","",IF(C95&lt;='Config_v6'!$B$10,K95*B95/7,K95*(D95+6)/7*B95/(D95+B95)))</x:f>
      </x:c>
      <x:c r="M95" s="2" t="str">
        <x:f>IF(B95="","",IF(C95&lt;='Config_v6'!$B$10,L95*B95/8,L95*(D95+7)/8*B95/(D95+B95)))</x:f>
      </x:c>
      <x:c r="N95" s="2" t="str">
        <x:f>IF(B95="","",IF(C95&lt;='Config_v6'!$B$10,M95*B95/9,M95*(D95+8)/9*B95/(D95+B95)))</x:f>
      </x:c>
      <x:c r="O95" s="2" t="str">
        <x:f>IF(B95="","",IF(C95&lt;='Config_v6'!$B$10,N95*B95/10,N95*(D95+9)/10*B95/(D95+B95)))</x:f>
      </x:c>
      <x:c r="P95" s="2" t="str">
        <x:f>IF(B95="","",IF(C95&lt;='Config_v6'!$B$10,O95*B95/11,O95*(D95+10)/11*B95/(D95+B95)))</x:f>
      </x:c>
      <x:c r="Q95" s="2" t="str">
        <x:f>IF(B95="","",IF(C95&lt;='Config_v6'!$B$10,P95*B95/12,P95*(D95+11)/12*B95/(D95+B95)))</x:f>
      </x:c>
      <x:c r="R95" s="2" t="str">
        <x:f>IF(B95="","",IF(C95&lt;='Config_v6'!$B$10,Q95*B95/13,Q95*(D95+12)/13*B95/(D95+B95)))</x:f>
      </x:c>
      <x:c r="S95" s="2" t="str">
        <x:f>IF(B95="","",IF(C95&lt;='Config_v6'!$B$10,R95*B95/14,R95*(D95+13)/14*B95/(D95+B95)))</x:f>
      </x:c>
      <x:c r="T95" s="2" t="str">
        <x:f>IF(B95="","",IF(C95&lt;='Config_v6'!$B$10,S95*B95/15,S95*(D95+14)/15*B95/(D95+B95)))</x:f>
      </x:c>
      <x:c r="U95" s="2" t="str">
        <x:f>IF(B95="","",IF(C95&lt;='Config_v6'!$B$10,T95*B95/16,T95*(D95+15)/16*B95/(D95+B95)))</x:f>
      </x:c>
      <x:c r="V95" s="2" t="str">
        <x:f>IF(B95="","",IF(C95&lt;='Config_v6'!$B$10,U95*B95/17,U95*(D95+16)/17*B95/(D95+B95)))</x:f>
      </x:c>
      <x:c r="W95" s="2" t="str">
        <x:f>IF(B95="","",IF(C95&lt;='Config_v6'!$B$10,V95*B95/18,V95*(D95+17)/18*B95/(D95+B95)))</x:f>
      </x:c>
      <x:c r="X95" s="2" t="str">
        <x:f>IF(B95="","",MIN(1,SUM(E95:E95)))</x:f>
      </x:c>
      <x:c r="Y95" s="2" t="str">
        <x:f>IF(B95="","",MIN(1,SUM(E95:F95)))</x:f>
      </x:c>
      <x:c r="Z95" s="2" t="str">
        <x:f>IF(B95="","",MIN(1,SUM(E95:G95)))</x:f>
      </x:c>
      <x:c r="AA95" s="2" t="str">
        <x:f>IF(B95="","",MIN(1,SUM(E95:H95)))</x:f>
      </x:c>
      <x:c r="AB95" s="2" t="str">
        <x:f>IF(B95="","",MIN(1,SUM(E95:I95)))</x:f>
      </x:c>
      <x:c r="AC95" s="2" t="str">
        <x:f>IF(B95="","",MIN(1,SUM(E95:J95)))</x:f>
      </x:c>
      <x:c r="AD95" s="2" t="str">
        <x:f>IF(B95="","",MIN(1,SUM(E95:K95)))</x:f>
      </x:c>
      <x:c r="AE95" s="2" t="str">
        <x:f>IF(B95="","",MIN(1,SUM(E95:L95)))</x:f>
      </x:c>
      <x:c r="AF95" s="2" t="str">
        <x:f>IF(B95="","",MIN(1,SUM(E95:M95)))</x:f>
      </x:c>
      <x:c r="AG95" s="2" t="str">
        <x:f>IF(B95="","",MIN(1,SUM(E95:N95)))</x:f>
      </x:c>
      <x:c r="AH95" s="2" t="str">
        <x:f>IF(B95="","",MIN(1,SUM(E95:O95)))</x:f>
      </x:c>
      <x:c r="AI95" s="2" t="str">
        <x:f>IF(B95="","",MIN(1,SUM(E95:P95)))</x:f>
      </x:c>
      <x:c r="AJ95" s="2" t="str">
        <x:f>IF(B95="","",MIN(1,SUM(E95:Q95)))</x:f>
      </x:c>
      <x:c r="AK95" s="2" t="str">
        <x:f>IF(B95="","",MIN(1,SUM(E95:R95)))</x:f>
      </x:c>
      <x:c r="AL95" s="2" t="str">
        <x:f>IF(B95="","",MIN(1,SUM(E95:S95)))</x:f>
      </x:c>
      <x:c r="AM95" s="2" t="str">
        <x:f>IF(B95="","",MIN(1,SUM(E95:T95)))</x:f>
      </x:c>
      <x:c r="AN95" s="2" t="str">
        <x:f>IF(B95="","",MIN(1,SUM(E95:U95)))</x:f>
      </x:c>
      <x:c r="AO95" s="2" t="str">
        <x:f>IF(B95="","",MIN(1,SUM(E95:V95)))</x:f>
      </x:c>
      <x:c r="AP95" s="2" t="str">
        <x:f>IF(B95="","",MIN(1,SUM(E95:W95)))</x:f>
      </x:c>
    </x:row>
    <x:row r="96" ht="21" customHeight="1">
      <x:c r="A96" s="2" t="str">
        <x:f>IF('Motor_Meciuri'!A96="","",'Motor_Meciuri'!A96)</x:f>
      </x:c>
      <x:c r="B96" s="2" t="str">
        <x:f>IF('Motor_Meciuri'!I96&lt;&gt;"PASS","",'Motor_Meciuri'!BD96)</x:f>
      </x:c>
      <x:c r="C96" s="2" t="str">
        <x:f>IF(B96="","",'Motor_Meciuri'!AU96)</x:f>
      </x:c>
      <x:c r="D96" s="2" t="str">
        <x:f>IF(B96="","",'Motor_Meciuri'!AW96)</x:f>
      </x:c>
      <x:c r="E96" s="2" t="str">
        <x:f>IF(B96="","",IF(C96&lt;='Config_v6'!$B$10,EXP(-B96),(D96/(D96+B96))^D96))</x:f>
      </x:c>
      <x:c r="F96" s="2" t="str">
        <x:f>IF(B96="","",IF(C96&lt;='Config_v6'!$B$10,E96*B96/1,E96*(D96+0)/1*B96/(D96+B96)))</x:f>
      </x:c>
      <x:c r="G96" s="2" t="str">
        <x:f>IF(B96="","",IF(C96&lt;='Config_v6'!$B$10,F96*B96/2,F96*(D96+1)/2*B96/(D96+B96)))</x:f>
      </x:c>
      <x:c r="H96" s="2" t="str">
        <x:f>IF(B96="","",IF(C96&lt;='Config_v6'!$B$10,G96*B96/3,G96*(D96+2)/3*B96/(D96+B96)))</x:f>
      </x:c>
      <x:c r="I96" s="2" t="str">
        <x:f>IF(B96="","",IF(C96&lt;='Config_v6'!$B$10,H96*B96/4,H96*(D96+3)/4*B96/(D96+B96)))</x:f>
      </x:c>
      <x:c r="J96" s="2" t="str">
        <x:f>IF(B96="","",IF(C96&lt;='Config_v6'!$B$10,I96*B96/5,I96*(D96+4)/5*B96/(D96+B96)))</x:f>
      </x:c>
      <x:c r="K96" s="2" t="str">
        <x:f>IF(B96="","",IF(C96&lt;='Config_v6'!$B$10,J96*B96/6,J96*(D96+5)/6*B96/(D96+B96)))</x:f>
      </x:c>
      <x:c r="L96" s="2" t="str">
        <x:f>IF(B96="","",IF(C96&lt;='Config_v6'!$B$10,K96*B96/7,K96*(D96+6)/7*B96/(D96+B96)))</x:f>
      </x:c>
      <x:c r="M96" s="2" t="str">
        <x:f>IF(B96="","",IF(C96&lt;='Config_v6'!$B$10,L96*B96/8,L96*(D96+7)/8*B96/(D96+B96)))</x:f>
      </x:c>
      <x:c r="N96" s="2" t="str">
        <x:f>IF(B96="","",IF(C96&lt;='Config_v6'!$B$10,M96*B96/9,M96*(D96+8)/9*B96/(D96+B96)))</x:f>
      </x:c>
      <x:c r="O96" s="2" t="str">
        <x:f>IF(B96="","",IF(C96&lt;='Config_v6'!$B$10,N96*B96/10,N96*(D96+9)/10*B96/(D96+B96)))</x:f>
      </x:c>
      <x:c r="P96" s="2" t="str">
        <x:f>IF(B96="","",IF(C96&lt;='Config_v6'!$B$10,O96*B96/11,O96*(D96+10)/11*B96/(D96+B96)))</x:f>
      </x:c>
      <x:c r="Q96" s="2" t="str">
        <x:f>IF(B96="","",IF(C96&lt;='Config_v6'!$B$10,P96*B96/12,P96*(D96+11)/12*B96/(D96+B96)))</x:f>
      </x:c>
      <x:c r="R96" s="2" t="str">
        <x:f>IF(B96="","",IF(C96&lt;='Config_v6'!$B$10,Q96*B96/13,Q96*(D96+12)/13*B96/(D96+B96)))</x:f>
      </x:c>
      <x:c r="S96" s="2" t="str">
        <x:f>IF(B96="","",IF(C96&lt;='Config_v6'!$B$10,R96*B96/14,R96*(D96+13)/14*B96/(D96+B96)))</x:f>
      </x:c>
      <x:c r="T96" s="2" t="str">
        <x:f>IF(B96="","",IF(C96&lt;='Config_v6'!$B$10,S96*B96/15,S96*(D96+14)/15*B96/(D96+B96)))</x:f>
      </x:c>
      <x:c r="U96" s="2" t="str">
        <x:f>IF(B96="","",IF(C96&lt;='Config_v6'!$B$10,T96*B96/16,T96*(D96+15)/16*B96/(D96+B96)))</x:f>
      </x:c>
      <x:c r="V96" s="2" t="str">
        <x:f>IF(B96="","",IF(C96&lt;='Config_v6'!$B$10,U96*B96/17,U96*(D96+16)/17*B96/(D96+B96)))</x:f>
      </x:c>
      <x:c r="W96" s="2" t="str">
        <x:f>IF(B96="","",IF(C96&lt;='Config_v6'!$B$10,V96*B96/18,V96*(D96+17)/18*B96/(D96+B96)))</x:f>
      </x:c>
      <x:c r="X96" s="2" t="str">
        <x:f>IF(B96="","",MIN(1,SUM(E96:E96)))</x:f>
      </x:c>
      <x:c r="Y96" s="2" t="str">
        <x:f>IF(B96="","",MIN(1,SUM(E96:F96)))</x:f>
      </x:c>
      <x:c r="Z96" s="2" t="str">
        <x:f>IF(B96="","",MIN(1,SUM(E96:G96)))</x:f>
      </x:c>
      <x:c r="AA96" s="2" t="str">
        <x:f>IF(B96="","",MIN(1,SUM(E96:H96)))</x:f>
      </x:c>
      <x:c r="AB96" s="2" t="str">
        <x:f>IF(B96="","",MIN(1,SUM(E96:I96)))</x:f>
      </x:c>
      <x:c r="AC96" s="2" t="str">
        <x:f>IF(B96="","",MIN(1,SUM(E96:J96)))</x:f>
      </x:c>
      <x:c r="AD96" s="2" t="str">
        <x:f>IF(B96="","",MIN(1,SUM(E96:K96)))</x:f>
      </x:c>
      <x:c r="AE96" s="2" t="str">
        <x:f>IF(B96="","",MIN(1,SUM(E96:L96)))</x:f>
      </x:c>
      <x:c r="AF96" s="2" t="str">
        <x:f>IF(B96="","",MIN(1,SUM(E96:M96)))</x:f>
      </x:c>
      <x:c r="AG96" s="2" t="str">
        <x:f>IF(B96="","",MIN(1,SUM(E96:N96)))</x:f>
      </x:c>
      <x:c r="AH96" s="2" t="str">
        <x:f>IF(B96="","",MIN(1,SUM(E96:O96)))</x:f>
      </x:c>
      <x:c r="AI96" s="2" t="str">
        <x:f>IF(B96="","",MIN(1,SUM(E96:P96)))</x:f>
      </x:c>
      <x:c r="AJ96" s="2" t="str">
        <x:f>IF(B96="","",MIN(1,SUM(E96:Q96)))</x:f>
      </x:c>
      <x:c r="AK96" s="2" t="str">
        <x:f>IF(B96="","",MIN(1,SUM(E96:R96)))</x:f>
      </x:c>
      <x:c r="AL96" s="2" t="str">
        <x:f>IF(B96="","",MIN(1,SUM(E96:S96)))</x:f>
      </x:c>
      <x:c r="AM96" s="2" t="str">
        <x:f>IF(B96="","",MIN(1,SUM(E96:T96)))</x:f>
      </x:c>
      <x:c r="AN96" s="2" t="str">
        <x:f>IF(B96="","",MIN(1,SUM(E96:U96)))</x:f>
      </x:c>
      <x:c r="AO96" s="2" t="str">
        <x:f>IF(B96="","",MIN(1,SUM(E96:V96)))</x:f>
      </x:c>
      <x:c r="AP96" s="2" t="str">
        <x:f>IF(B96="","",MIN(1,SUM(E96:W96)))</x:f>
      </x:c>
    </x:row>
    <x:row r="97" ht="21" customHeight="1">
      <x:c r="A97" s="2" t="str">
        <x:f>IF('Motor_Meciuri'!A97="","",'Motor_Meciuri'!A97)</x:f>
      </x:c>
      <x:c r="B97" s="2" t="str">
        <x:f>IF('Motor_Meciuri'!I97&lt;&gt;"PASS","",'Motor_Meciuri'!BD97)</x:f>
      </x:c>
      <x:c r="C97" s="2" t="str">
        <x:f>IF(B97="","",'Motor_Meciuri'!AU97)</x:f>
      </x:c>
      <x:c r="D97" s="2" t="str">
        <x:f>IF(B97="","",'Motor_Meciuri'!AW97)</x:f>
      </x:c>
      <x:c r="E97" s="2" t="str">
        <x:f>IF(B97="","",IF(C97&lt;='Config_v6'!$B$10,EXP(-B97),(D97/(D97+B97))^D97))</x:f>
      </x:c>
      <x:c r="F97" s="2" t="str">
        <x:f>IF(B97="","",IF(C97&lt;='Config_v6'!$B$10,E97*B97/1,E97*(D97+0)/1*B97/(D97+B97)))</x:f>
      </x:c>
      <x:c r="G97" s="2" t="str">
        <x:f>IF(B97="","",IF(C97&lt;='Config_v6'!$B$10,F97*B97/2,F97*(D97+1)/2*B97/(D97+B97)))</x:f>
      </x:c>
      <x:c r="H97" s="2" t="str">
        <x:f>IF(B97="","",IF(C97&lt;='Config_v6'!$B$10,G97*B97/3,G97*(D97+2)/3*B97/(D97+B97)))</x:f>
      </x:c>
      <x:c r="I97" s="2" t="str">
        <x:f>IF(B97="","",IF(C97&lt;='Config_v6'!$B$10,H97*B97/4,H97*(D97+3)/4*B97/(D97+B97)))</x:f>
      </x:c>
      <x:c r="J97" s="2" t="str">
        <x:f>IF(B97="","",IF(C97&lt;='Config_v6'!$B$10,I97*B97/5,I97*(D97+4)/5*B97/(D97+B97)))</x:f>
      </x:c>
      <x:c r="K97" s="2" t="str">
        <x:f>IF(B97="","",IF(C97&lt;='Config_v6'!$B$10,J97*B97/6,J97*(D97+5)/6*B97/(D97+B97)))</x:f>
      </x:c>
      <x:c r="L97" s="2" t="str">
        <x:f>IF(B97="","",IF(C97&lt;='Config_v6'!$B$10,K97*B97/7,K97*(D97+6)/7*B97/(D97+B97)))</x:f>
      </x:c>
      <x:c r="M97" s="2" t="str">
        <x:f>IF(B97="","",IF(C97&lt;='Config_v6'!$B$10,L97*B97/8,L97*(D97+7)/8*B97/(D97+B97)))</x:f>
      </x:c>
      <x:c r="N97" s="2" t="str">
        <x:f>IF(B97="","",IF(C97&lt;='Config_v6'!$B$10,M97*B97/9,M97*(D97+8)/9*B97/(D97+B97)))</x:f>
      </x:c>
      <x:c r="O97" s="2" t="str">
        <x:f>IF(B97="","",IF(C97&lt;='Config_v6'!$B$10,N97*B97/10,N97*(D97+9)/10*B97/(D97+B97)))</x:f>
      </x:c>
      <x:c r="P97" s="2" t="str">
        <x:f>IF(B97="","",IF(C97&lt;='Config_v6'!$B$10,O97*B97/11,O97*(D97+10)/11*B97/(D97+B97)))</x:f>
      </x:c>
      <x:c r="Q97" s="2" t="str">
        <x:f>IF(B97="","",IF(C97&lt;='Config_v6'!$B$10,P97*B97/12,P97*(D97+11)/12*B97/(D97+B97)))</x:f>
      </x:c>
      <x:c r="R97" s="2" t="str">
        <x:f>IF(B97="","",IF(C97&lt;='Config_v6'!$B$10,Q97*B97/13,Q97*(D97+12)/13*B97/(D97+B97)))</x:f>
      </x:c>
      <x:c r="S97" s="2" t="str">
        <x:f>IF(B97="","",IF(C97&lt;='Config_v6'!$B$10,R97*B97/14,R97*(D97+13)/14*B97/(D97+B97)))</x:f>
      </x:c>
      <x:c r="T97" s="2" t="str">
        <x:f>IF(B97="","",IF(C97&lt;='Config_v6'!$B$10,S97*B97/15,S97*(D97+14)/15*B97/(D97+B97)))</x:f>
      </x:c>
      <x:c r="U97" s="2" t="str">
        <x:f>IF(B97="","",IF(C97&lt;='Config_v6'!$B$10,T97*B97/16,T97*(D97+15)/16*B97/(D97+B97)))</x:f>
      </x:c>
      <x:c r="V97" s="2" t="str">
        <x:f>IF(B97="","",IF(C97&lt;='Config_v6'!$B$10,U97*B97/17,U97*(D97+16)/17*B97/(D97+B97)))</x:f>
      </x:c>
      <x:c r="W97" s="2" t="str">
        <x:f>IF(B97="","",IF(C97&lt;='Config_v6'!$B$10,V97*B97/18,V97*(D97+17)/18*B97/(D97+B97)))</x:f>
      </x:c>
      <x:c r="X97" s="2" t="str">
        <x:f>IF(B97="","",MIN(1,SUM(E97:E97)))</x:f>
      </x:c>
      <x:c r="Y97" s="2" t="str">
        <x:f>IF(B97="","",MIN(1,SUM(E97:F97)))</x:f>
      </x:c>
      <x:c r="Z97" s="2" t="str">
        <x:f>IF(B97="","",MIN(1,SUM(E97:G97)))</x:f>
      </x:c>
      <x:c r="AA97" s="2" t="str">
        <x:f>IF(B97="","",MIN(1,SUM(E97:H97)))</x:f>
      </x:c>
      <x:c r="AB97" s="2" t="str">
        <x:f>IF(B97="","",MIN(1,SUM(E97:I97)))</x:f>
      </x:c>
      <x:c r="AC97" s="2" t="str">
        <x:f>IF(B97="","",MIN(1,SUM(E97:J97)))</x:f>
      </x:c>
      <x:c r="AD97" s="2" t="str">
        <x:f>IF(B97="","",MIN(1,SUM(E97:K97)))</x:f>
      </x:c>
      <x:c r="AE97" s="2" t="str">
        <x:f>IF(B97="","",MIN(1,SUM(E97:L97)))</x:f>
      </x:c>
      <x:c r="AF97" s="2" t="str">
        <x:f>IF(B97="","",MIN(1,SUM(E97:M97)))</x:f>
      </x:c>
      <x:c r="AG97" s="2" t="str">
        <x:f>IF(B97="","",MIN(1,SUM(E97:N97)))</x:f>
      </x:c>
      <x:c r="AH97" s="2" t="str">
        <x:f>IF(B97="","",MIN(1,SUM(E97:O97)))</x:f>
      </x:c>
      <x:c r="AI97" s="2" t="str">
        <x:f>IF(B97="","",MIN(1,SUM(E97:P97)))</x:f>
      </x:c>
      <x:c r="AJ97" s="2" t="str">
        <x:f>IF(B97="","",MIN(1,SUM(E97:Q97)))</x:f>
      </x:c>
      <x:c r="AK97" s="2" t="str">
        <x:f>IF(B97="","",MIN(1,SUM(E97:R97)))</x:f>
      </x:c>
      <x:c r="AL97" s="2" t="str">
        <x:f>IF(B97="","",MIN(1,SUM(E97:S97)))</x:f>
      </x:c>
      <x:c r="AM97" s="2" t="str">
        <x:f>IF(B97="","",MIN(1,SUM(E97:T97)))</x:f>
      </x:c>
      <x:c r="AN97" s="2" t="str">
        <x:f>IF(B97="","",MIN(1,SUM(E97:U97)))</x:f>
      </x:c>
      <x:c r="AO97" s="2" t="str">
        <x:f>IF(B97="","",MIN(1,SUM(E97:V97)))</x:f>
      </x:c>
      <x:c r="AP97" s="2" t="str">
        <x:f>IF(B97="","",MIN(1,SUM(E97:W97)))</x:f>
      </x:c>
    </x:row>
    <x:row r="98" ht="21" customHeight="1">
      <x:c r="A98" s="2" t="str">
        <x:f>IF('Motor_Meciuri'!A98="","",'Motor_Meciuri'!A98)</x:f>
      </x:c>
      <x:c r="B98" s="2" t="str">
        <x:f>IF('Motor_Meciuri'!I98&lt;&gt;"PASS","",'Motor_Meciuri'!BD98)</x:f>
      </x:c>
      <x:c r="C98" s="2" t="str">
        <x:f>IF(B98="","",'Motor_Meciuri'!AU98)</x:f>
      </x:c>
      <x:c r="D98" s="2" t="str">
        <x:f>IF(B98="","",'Motor_Meciuri'!AW98)</x:f>
      </x:c>
      <x:c r="E98" s="2" t="str">
        <x:f>IF(B98="","",IF(C98&lt;='Config_v6'!$B$10,EXP(-B98),(D98/(D98+B98))^D98))</x:f>
      </x:c>
      <x:c r="F98" s="2" t="str">
        <x:f>IF(B98="","",IF(C98&lt;='Config_v6'!$B$10,E98*B98/1,E98*(D98+0)/1*B98/(D98+B98)))</x:f>
      </x:c>
      <x:c r="G98" s="2" t="str">
        <x:f>IF(B98="","",IF(C98&lt;='Config_v6'!$B$10,F98*B98/2,F98*(D98+1)/2*B98/(D98+B98)))</x:f>
      </x:c>
      <x:c r="H98" s="2" t="str">
        <x:f>IF(B98="","",IF(C98&lt;='Config_v6'!$B$10,G98*B98/3,G98*(D98+2)/3*B98/(D98+B98)))</x:f>
      </x:c>
      <x:c r="I98" s="2" t="str">
        <x:f>IF(B98="","",IF(C98&lt;='Config_v6'!$B$10,H98*B98/4,H98*(D98+3)/4*B98/(D98+B98)))</x:f>
      </x:c>
      <x:c r="J98" s="2" t="str">
        <x:f>IF(B98="","",IF(C98&lt;='Config_v6'!$B$10,I98*B98/5,I98*(D98+4)/5*B98/(D98+B98)))</x:f>
      </x:c>
      <x:c r="K98" s="2" t="str">
        <x:f>IF(B98="","",IF(C98&lt;='Config_v6'!$B$10,J98*B98/6,J98*(D98+5)/6*B98/(D98+B98)))</x:f>
      </x:c>
      <x:c r="L98" s="2" t="str">
        <x:f>IF(B98="","",IF(C98&lt;='Config_v6'!$B$10,K98*B98/7,K98*(D98+6)/7*B98/(D98+B98)))</x:f>
      </x:c>
      <x:c r="M98" s="2" t="str">
        <x:f>IF(B98="","",IF(C98&lt;='Config_v6'!$B$10,L98*B98/8,L98*(D98+7)/8*B98/(D98+B98)))</x:f>
      </x:c>
      <x:c r="N98" s="2" t="str">
        <x:f>IF(B98="","",IF(C98&lt;='Config_v6'!$B$10,M98*B98/9,M98*(D98+8)/9*B98/(D98+B98)))</x:f>
      </x:c>
      <x:c r="O98" s="2" t="str">
        <x:f>IF(B98="","",IF(C98&lt;='Config_v6'!$B$10,N98*B98/10,N98*(D98+9)/10*B98/(D98+B98)))</x:f>
      </x:c>
      <x:c r="P98" s="2" t="str">
        <x:f>IF(B98="","",IF(C98&lt;='Config_v6'!$B$10,O98*B98/11,O98*(D98+10)/11*B98/(D98+B98)))</x:f>
      </x:c>
      <x:c r="Q98" s="2" t="str">
        <x:f>IF(B98="","",IF(C98&lt;='Config_v6'!$B$10,P98*B98/12,P98*(D98+11)/12*B98/(D98+B98)))</x:f>
      </x:c>
      <x:c r="R98" s="2" t="str">
        <x:f>IF(B98="","",IF(C98&lt;='Config_v6'!$B$10,Q98*B98/13,Q98*(D98+12)/13*B98/(D98+B98)))</x:f>
      </x:c>
      <x:c r="S98" s="2" t="str">
        <x:f>IF(B98="","",IF(C98&lt;='Config_v6'!$B$10,R98*B98/14,R98*(D98+13)/14*B98/(D98+B98)))</x:f>
      </x:c>
      <x:c r="T98" s="2" t="str">
        <x:f>IF(B98="","",IF(C98&lt;='Config_v6'!$B$10,S98*B98/15,S98*(D98+14)/15*B98/(D98+B98)))</x:f>
      </x:c>
      <x:c r="U98" s="2" t="str">
        <x:f>IF(B98="","",IF(C98&lt;='Config_v6'!$B$10,T98*B98/16,T98*(D98+15)/16*B98/(D98+B98)))</x:f>
      </x:c>
      <x:c r="V98" s="2" t="str">
        <x:f>IF(B98="","",IF(C98&lt;='Config_v6'!$B$10,U98*B98/17,U98*(D98+16)/17*B98/(D98+B98)))</x:f>
      </x:c>
      <x:c r="W98" s="2" t="str">
        <x:f>IF(B98="","",IF(C98&lt;='Config_v6'!$B$10,V98*B98/18,V98*(D98+17)/18*B98/(D98+B98)))</x:f>
      </x:c>
      <x:c r="X98" s="2" t="str">
        <x:f>IF(B98="","",MIN(1,SUM(E98:E98)))</x:f>
      </x:c>
      <x:c r="Y98" s="2" t="str">
        <x:f>IF(B98="","",MIN(1,SUM(E98:F98)))</x:f>
      </x:c>
      <x:c r="Z98" s="2" t="str">
        <x:f>IF(B98="","",MIN(1,SUM(E98:G98)))</x:f>
      </x:c>
      <x:c r="AA98" s="2" t="str">
        <x:f>IF(B98="","",MIN(1,SUM(E98:H98)))</x:f>
      </x:c>
      <x:c r="AB98" s="2" t="str">
        <x:f>IF(B98="","",MIN(1,SUM(E98:I98)))</x:f>
      </x:c>
      <x:c r="AC98" s="2" t="str">
        <x:f>IF(B98="","",MIN(1,SUM(E98:J98)))</x:f>
      </x:c>
      <x:c r="AD98" s="2" t="str">
        <x:f>IF(B98="","",MIN(1,SUM(E98:K98)))</x:f>
      </x:c>
      <x:c r="AE98" s="2" t="str">
        <x:f>IF(B98="","",MIN(1,SUM(E98:L98)))</x:f>
      </x:c>
      <x:c r="AF98" s="2" t="str">
        <x:f>IF(B98="","",MIN(1,SUM(E98:M98)))</x:f>
      </x:c>
      <x:c r="AG98" s="2" t="str">
        <x:f>IF(B98="","",MIN(1,SUM(E98:N98)))</x:f>
      </x:c>
      <x:c r="AH98" s="2" t="str">
        <x:f>IF(B98="","",MIN(1,SUM(E98:O98)))</x:f>
      </x:c>
      <x:c r="AI98" s="2" t="str">
        <x:f>IF(B98="","",MIN(1,SUM(E98:P98)))</x:f>
      </x:c>
      <x:c r="AJ98" s="2" t="str">
        <x:f>IF(B98="","",MIN(1,SUM(E98:Q98)))</x:f>
      </x:c>
      <x:c r="AK98" s="2" t="str">
        <x:f>IF(B98="","",MIN(1,SUM(E98:R98)))</x:f>
      </x:c>
      <x:c r="AL98" s="2" t="str">
        <x:f>IF(B98="","",MIN(1,SUM(E98:S98)))</x:f>
      </x:c>
      <x:c r="AM98" s="2" t="str">
        <x:f>IF(B98="","",MIN(1,SUM(E98:T98)))</x:f>
      </x:c>
      <x:c r="AN98" s="2" t="str">
        <x:f>IF(B98="","",MIN(1,SUM(E98:U98)))</x:f>
      </x:c>
      <x:c r="AO98" s="2" t="str">
        <x:f>IF(B98="","",MIN(1,SUM(E98:V98)))</x:f>
      </x:c>
      <x:c r="AP98" s="2" t="str">
        <x:f>IF(B98="","",MIN(1,SUM(E98:W98)))</x:f>
      </x:c>
    </x:row>
    <x:row r="99" ht="21" customHeight="1">
      <x:c r="A99" s="2" t="str">
        <x:f>IF('Motor_Meciuri'!A99="","",'Motor_Meciuri'!A99)</x:f>
      </x:c>
      <x:c r="B99" s="2" t="str">
        <x:f>IF('Motor_Meciuri'!I99&lt;&gt;"PASS","",'Motor_Meciuri'!BD99)</x:f>
      </x:c>
      <x:c r="C99" s="2" t="str">
        <x:f>IF(B99="","",'Motor_Meciuri'!AU99)</x:f>
      </x:c>
      <x:c r="D99" s="2" t="str">
        <x:f>IF(B99="","",'Motor_Meciuri'!AW99)</x:f>
      </x:c>
      <x:c r="E99" s="2" t="str">
        <x:f>IF(B99="","",IF(C99&lt;='Config_v6'!$B$10,EXP(-B99),(D99/(D99+B99))^D99))</x:f>
      </x:c>
      <x:c r="F99" s="2" t="str">
        <x:f>IF(B99="","",IF(C99&lt;='Config_v6'!$B$10,E99*B99/1,E99*(D99+0)/1*B99/(D99+B99)))</x:f>
      </x:c>
      <x:c r="G99" s="2" t="str">
        <x:f>IF(B99="","",IF(C99&lt;='Config_v6'!$B$10,F99*B99/2,F99*(D99+1)/2*B99/(D99+B99)))</x:f>
      </x:c>
      <x:c r="H99" s="2" t="str">
        <x:f>IF(B99="","",IF(C99&lt;='Config_v6'!$B$10,G99*B99/3,G99*(D99+2)/3*B99/(D99+B99)))</x:f>
      </x:c>
      <x:c r="I99" s="2" t="str">
        <x:f>IF(B99="","",IF(C99&lt;='Config_v6'!$B$10,H99*B99/4,H99*(D99+3)/4*B99/(D99+B99)))</x:f>
      </x:c>
      <x:c r="J99" s="2" t="str">
        <x:f>IF(B99="","",IF(C99&lt;='Config_v6'!$B$10,I99*B99/5,I99*(D99+4)/5*B99/(D99+B99)))</x:f>
      </x:c>
      <x:c r="K99" s="2" t="str">
        <x:f>IF(B99="","",IF(C99&lt;='Config_v6'!$B$10,J99*B99/6,J99*(D99+5)/6*B99/(D99+B99)))</x:f>
      </x:c>
      <x:c r="L99" s="2" t="str">
        <x:f>IF(B99="","",IF(C99&lt;='Config_v6'!$B$10,K99*B99/7,K99*(D99+6)/7*B99/(D99+B99)))</x:f>
      </x:c>
      <x:c r="M99" s="2" t="str">
        <x:f>IF(B99="","",IF(C99&lt;='Config_v6'!$B$10,L99*B99/8,L99*(D99+7)/8*B99/(D99+B99)))</x:f>
      </x:c>
      <x:c r="N99" s="2" t="str">
        <x:f>IF(B99="","",IF(C99&lt;='Config_v6'!$B$10,M99*B99/9,M99*(D99+8)/9*B99/(D99+B99)))</x:f>
      </x:c>
      <x:c r="O99" s="2" t="str">
        <x:f>IF(B99="","",IF(C99&lt;='Config_v6'!$B$10,N99*B99/10,N99*(D99+9)/10*B99/(D99+B99)))</x:f>
      </x:c>
      <x:c r="P99" s="2" t="str">
        <x:f>IF(B99="","",IF(C99&lt;='Config_v6'!$B$10,O99*B99/11,O99*(D99+10)/11*B99/(D99+B99)))</x:f>
      </x:c>
      <x:c r="Q99" s="2" t="str">
        <x:f>IF(B99="","",IF(C99&lt;='Config_v6'!$B$10,P99*B99/12,P99*(D99+11)/12*B99/(D99+B99)))</x:f>
      </x:c>
      <x:c r="R99" s="2" t="str">
        <x:f>IF(B99="","",IF(C99&lt;='Config_v6'!$B$10,Q99*B99/13,Q99*(D99+12)/13*B99/(D99+B99)))</x:f>
      </x:c>
      <x:c r="S99" s="2" t="str">
        <x:f>IF(B99="","",IF(C99&lt;='Config_v6'!$B$10,R99*B99/14,R99*(D99+13)/14*B99/(D99+B99)))</x:f>
      </x:c>
      <x:c r="T99" s="2" t="str">
        <x:f>IF(B99="","",IF(C99&lt;='Config_v6'!$B$10,S99*B99/15,S99*(D99+14)/15*B99/(D99+B99)))</x:f>
      </x:c>
      <x:c r="U99" s="2" t="str">
        <x:f>IF(B99="","",IF(C99&lt;='Config_v6'!$B$10,T99*B99/16,T99*(D99+15)/16*B99/(D99+B99)))</x:f>
      </x:c>
      <x:c r="V99" s="2" t="str">
        <x:f>IF(B99="","",IF(C99&lt;='Config_v6'!$B$10,U99*B99/17,U99*(D99+16)/17*B99/(D99+B99)))</x:f>
      </x:c>
      <x:c r="W99" s="2" t="str">
        <x:f>IF(B99="","",IF(C99&lt;='Config_v6'!$B$10,V99*B99/18,V99*(D99+17)/18*B99/(D99+B99)))</x:f>
      </x:c>
      <x:c r="X99" s="2" t="str">
        <x:f>IF(B99="","",MIN(1,SUM(E99:E99)))</x:f>
      </x:c>
      <x:c r="Y99" s="2" t="str">
        <x:f>IF(B99="","",MIN(1,SUM(E99:F99)))</x:f>
      </x:c>
      <x:c r="Z99" s="2" t="str">
        <x:f>IF(B99="","",MIN(1,SUM(E99:G99)))</x:f>
      </x:c>
      <x:c r="AA99" s="2" t="str">
        <x:f>IF(B99="","",MIN(1,SUM(E99:H99)))</x:f>
      </x:c>
      <x:c r="AB99" s="2" t="str">
        <x:f>IF(B99="","",MIN(1,SUM(E99:I99)))</x:f>
      </x:c>
      <x:c r="AC99" s="2" t="str">
        <x:f>IF(B99="","",MIN(1,SUM(E99:J99)))</x:f>
      </x:c>
      <x:c r="AD99" s="2" t="str">
        <x:f>IF(B99="","",MIN(1,SUM(E99:K99)))</x:f>
      </x:c>
      <x:c r="AE99" s="2" t="str">
        <x:f>IF(B99="","",MIN(1,SUM(E99:L99)))</x:f>
      </x:c>
      <x:c r="AF99" s="2" t="str">
        <x:f>IF(B99="","",MIN(1,SUM(E99:M99)))</x:f>
      </x:c>
      <x:c r="AG99" s="2" t="str">
        <x:f>IF(B99="","",MIN(1,SUM(E99:N99)))</x:f>
      </x:c>
      <x:c r="AH99" s="2" t="str">
        <x:f>IF(B99="","",MIN(1,SUM(E99:O99)))</x:f>
      </x:c>
      <x:c r="AI99" s="2" t="str">
        <x:f>IF(B99="","",MIN(1,SUM(E99:P99)))</x:f>
      </x:c>
      <x:c r="AJ99" s="2" t="str">
        <x:f>IF(B99="","",MIN(1,SUM(E99:Q99)))</x:f>
      </x:c>
      <x:c r="AK99" s="2" t="str">
        <x:f>IF(B99="","",MIN(1,SUM(E99:R99)))</x:f>
      </x:c>
      <x:c r="AL99" s="2" t="str">
        <x:f>IF(B99="","",MIN(1,SUM(E99:S99)))</x:f>
      </x:c>
      <x:c r="AM99" s="2" t="str">
        <x:f>IF(B99="","",MIN(1,SUM(E99:T99)))</x:f>
      </x:c>
      <x:c r="AN99" s="2" t="str">
        <x:f>IF(B99="","",MIN(1,SUM(E99:U99)))</x:f>
      </x:c>
      <x:c r="AO99" s="2" t="str">
        <x:f>IF(B99="","",MIN(1,SUM(E99:V99)))</x:f>
      </x:c>
      <x:c r="AP99" s="2" t="str">
        <x:f>IF(B99="","",MIN(1,SUM(E99:W99)))</x:f>
      </x:c>
    </x:row>
    <x:row r="100" ht="21" customHeight="1">
      <x:c r="A100" s="2" t="str">
        <x:f>IF('Motor_Meciuri'!A100="","",'Motor_Meciuri'!A100)</x:f>
      </x:c>
      <x:c r="B100" s="2" t="str">
        <x:f>IF('Motor_Meciuri'!I100&lt;&gt;"PASS","",'Motor_Meciuri'!BD100)</x:f>
      </x:c>
      <x:c r="C100" s="2" t="str">
        <x:f>IF(B100="","",'Motor_Meciuri'!AU100)</x:f>
      </x:c>
      <x:c r="D100" s="2" t="str">
        <x:f>IF(B100="","",'Motor_Meciuri'!AW100)</x:f>
      </x:c>
      <x:c r="E100" s="2" t="str">
        <x:f>IF(B100="","",IF(C100&lt;='Config_v6'!$B$10,EXP(-B100),(D100/(D100+B100))^D100))</x:f>
      </x:c>
      <x:c r="F100" s="2" t="str">
        <x:f>IF(B100="","",IF(C100&lt;='Config_v6'!$B$10,E100*B100/1,E100*(D100+0)/1*B100/(D100+B100)))</x:f>
      </x:c>
      <x:c r="G100" s="2" t="str">
        <x:f>IF(B100="","",IF(C100&lt;='Config_v6'!$B$10,F100*B100/2,F100*(D100+1)/2*B100/(D100+B100)))</x:f>
      </x:c>
      <x:c r="H100" s="2" t="str">
        <x:f>IF(B100="","",IF(C100&lt;='Config_v6'!$B$10,G100*B100/3,G100*(D100+2)/3*B100/(D100+B100)))</x:f>
      </x:c>
      <x:c r="I100" s="2" t="str">
        <x:f>IF(B100="","",IF(C100&lt;='Config_v6'!$B$10,H100*B100/4,H100*(D100+3)/4*B100/(D100+B100)))</x:f>
      </x:c>
      <x:c r="J100" s="2" t="str">
        <x:f>IF(B100="","",IF(C100&lt;='Config_v6'!$B$10,I100*B100/5,I100*(D100+4)/5*B100/(D100+B100)))</x:f>
      </x:c>
      <x:c r="K100" s="2" t="str">
        <x:f>IF(B100="","",IF(C100&lt;='Config_v6'!$B$10,J100*B100/6,J100*(D100+5)/6*B100/(D100+B100)))</x:f>
      </x:c>
      <x:c r="L100" s="2" t="str">
        <x:f>IF(B100="","",IF(C100&lt;='Config_v6'!$B$10,K100*B100/7,K100*(D100+6)/7*B100/(D100+B100)))</x:f>
      </x:c>
      <x:c r="M100" s="2" t="str">
        <x:f>IF(B100="","",IF(C100&lt;='Config_v6'!$B$10,L100*B100/8,L100*(D100+7)/8*B100/(D100+B100)))</x:f>
      </x:c>
      <x:c r="N100" s="2" t="str">
        <x:f>IF(B100="","",IF(C100&lt;='Config_v6'!$B$10,M100*B100/9,M100*(D100+8)/9*B100/(D100+B100)))</x:f>
      </x:c>
      <x:c r="O100" s="2" t="str">
        <x:f>IF(B100="","",IF(C100&lt;='Config_v6'!$B$10,N100*B100/10,N100*(D100+9)/10*B100/(D100+B100)))</x:f>
      </x:c>
      <x:c r="P100" s="2" t="str">
        <x:f>IF(B100="","",IF(C100&lt;='Config_v6'!$B$10,O100*B100/11,O100*(D100+10)/11*B100/(D100+B100)))</x:f>
      </x:c>
      <x:c r="Q100" s="2" t="str">
        <x:f>IF(B100="","",IF(C100&lt;='Config_v6'!$B$10,P100*B100/12,P100*(D100+11)/12*B100/(D100+B100)))</x:f>
      </x:c>
      <x:c r="R100" s="2" t="str">
        <x:f>IF(B100="","",IF(C100&lt;='Config_v6'!$B$10,Q100*B100/13,Q100*(D100+12)/13*B100/(D100+B100)))</x:f>
      </x:c>
      <x:c r="S100" s="2" t="str">
        <x:f>IF(B100="","",IF(C100&lt;='Config_v6'!$B$10,R100*B100/14,R100*(D100+13)/14*B100/(D100+B100)))</x:f>
      </x:c>
      <x:c r="T100" s="2" t="str">
        <x:f>IF(B100="","",IF(C100&lt;='Config_v6'!$B$10,S100*B100/15,S100*(D100+14)/15*B100/(D100+B100)))</x:f>
      </x:c>
      <x:c r="U100" s="2" t="str">
        <x:f>IF(B100="","",IF(C100&lt;='Config_v6'!$B$10,T100*B100/16,T100*(D100+15)/16*B100/(D100+B100)))</x:f>
      </x:c>
      <x:c r="V100" s="2" t="str">
        <x:f>IF(B100="","",IF(C100&lt;='Config_v6'!$B$10,U100*B100/17,U100*(D100+16)/17*B100/(D100+B100)))</x:f>
      </x:c>
      <x:c r="W100" s="2" t="str">
        <x:f>IF(B100="","",IF(C100&lt;='Config_v6'!$B$10,V100*B100/18,V100*(D100+17)/18*B100/(D100+B100)))</x:f>
      </x:c>
      <x:c r="X100" s="2" t="str">
        <x:f>IF(B100="","",MIN(1,SUM(E100:E100)))</x:f>
      </x:c>
      <x:c r="Y100" s="2" t="str">
        <x:f>IF(B100="","",MIN(1,SUM(E100:F100)))</x:f>
      </x:c>
      <x:c r="Z100" s="2" t="str">
        <x:f>IF(B100="","",MIN(1,SUM(E100:G100)))</x:f>
      </x:c>
      <x:c r="AA100" s="2" t="str">
        <x:f>IF(B100="","",MIN(1,SUM(E100:H100)))</x:f>
      </x:c>
      <x:c r="AB100" s="2" t="str">
        <x:f>IF(B100="","",MIN(1,SUM(E100:I100)))</x:f>
      </x:c>
      <x:c r="AC100" s="2" t="str">
        <x:f>IF(B100="","",MIN(1,SUM(E100:J100)))</x:f>
      </x:c>
      <x:c r="AD100" s="2" t="str">
        <x:f>IF(B100="","",MIN(1,SUM(E100:K100)))</x:f>
      </x:c>
      <x:c r="AE100" s="2" t="str">
        <x:f>IF(B100="","",MIN(1,SUM(E100:L100)))</x:f>
      </x:c>
      <x:c r="AF100" s="2" t="str">
        <x:f>IF(B100="","",MIN(1,SUM(E100:M100)))</x:f>
      </x:c>
      <x:c r="AG100" s="2" t="str">
        <x:f>IF(B100="","",MIN(1,SUM(E100:N100)))</x:f>
      </x:c>
      <x:c r="AH100" s="2" t="str">
        <x:f>IF(B100="","",MIN(1,SUM(E100:O100)))</x:f>
      </x:c>
      <x:c r="AI100" s="2" t="str">
        <x:f>IF(B100="","",MIN(1,SUM(E100:P100)))</x:f>
      </x:c>
      <x:c r="AJ100" s="2" t="str">
        <x:f>IF(B100="","",MIN(1,SUM(E100:Q100)))</x:f>
      </x:c>
      <x:c r="AK100" s="2" t="str">
        <x:f>IF(B100="","",MIN(1,SUM(E100:R100)))</x:f>
      </x:c>
      <x:c r="AL100" s="2" t="str">
        <x:f>IF(B100="","",MIN(1,SUM(E100:S100)))</x:f>
      </x:c>
      <x:c r="AM100" s="2" t="str">
        <x:f>IF(B100="","",MIN(1,SUM(E100:T100)))</x:f>
      </x:c>
      <x:c r="AN100" s="2" t="str">
        <x:f>IF(B100="","",MIN(1,SUM(E100:U100)))</x:f>
      </x:c>
      <x:c r="AO100" s="2" t="str">
        <x:f>IF(B100="","",MIN(1,SUM(E100:V100)))</x:f>
      </x:c>
      <x:c r="AP100" s="2" t="str">
        <x:f>IF(B100="","",MIN(1,SUM(E100:W100)))</x:f>
      </x:c>
    </x:row>
    <x:row r="101" ht="21" customHeight="1">
      <x:c r="A101" s="2" t="str">
        <x:f>IF('Motor_Meciuri'!A101="","",'Motor_Meciuri'!A101)</x:f>
      </x:c>
      <x:c r="B101" s="2" t="str">
        <x:f>IF('Motor_Meciuri'!I101&lt;&gt;"PASS","",'Motor_Meciuri'!BD101)</x:f>
      </x:c>
      <x:c r="C101" s="2" t="str">
        <x:f>IF(B101="","",'Motor_Meciuri'!AU101)</x:f>
      </x:c>
      <x:c r="D101" s="2" t="str">
        <x:f>IF(B101="","",'Motor_Meciuri'!AW101)</x:f>
      </x:c>
      <x:c r="E101" s="2" t="str">
        <x:f>IF(B101="","",IF(C101&lt;='Config_v6'!$B$10,EXP(-B101),(D101/(D101+B101))^D101))</x:f>
      </x:c>
      <x:c r="F101" s="2" t="str">
        <x:f>IF(B101="","",IF(C101&lt;='Config_v6'!$B$10,E101*B101/1,E101*(D101+0)/1*B101/(D101+B101)))</x:f>
      </x:c>
      <x:c r="G101" s="2" t="str">
        <x:f>IF(B101="","",IF(C101&lt;='Config_v6'!$B$10,F101*B101/2,F101*(D101+1)/2*B101/(D101+B101)))</x:f>
      </x:c>
      <x:c r="H101" s="2" t="str">
        <x:f>IF(B101="","",IF(C101&lt;='Config_v6'!$B$10,G101*B101/3,G101*(D101+2)/3*B101/(D101+B101)))</x:f>
      </x:c>
      <x:c r="I101" s="2" t="str">
        <x:f>IF(B101="","",IF(C101&lt;='Config_v6'!$B$10,H101*B101/4,H101*(D101+3)/4*B101/(D101+B101)))</x:f>
      </x:c>
      <x:c r="J101" s="2" t="str">
        <x:f>IF(B101="","",IF(C101&lt;='Config_v6'!$B$10,I101*B101/5,I101*(D101+4)/5*B101/(D101+B101)))</x:f>
      </x:c>
      <x:c r="K101" s="2" t="str">
        <x:f>IF(B101="","",IF(C101&lt;='Config_v6'!$B$10,J101*B101/6,J101*(D101+5)/6*B101/(D101+B101)))</x:f>
      </x:c>
      <x:c r="L101" s="2" t="str">
        <x:f>IF(B101="","",IF(C101&lt;='Config_v6'!$B$10,K101*B101/7,K101*(D101+6)/7*B101/(D101+B101)))</x:f>
      </x:c>
      <x:c r="M101" s="2" t="str">
        <x:f>IF(B101="","",IF(C101&lt;='Config_v6'!$B$10,L101*B101/8,L101*(D101+7)/8*B101/(D101+B101)))</x:f>
      </x:c>
      <x:c r="N101" s="2" t="str">
        <x:f>IF(B101="","",IF(C101&lt;='Config_v6'!$B$10,M101*B101/9,M101*(D101+8)/9*B101/(D101+B101)))</x:f>
      </x:c>
      <x:c r="O101" s="2" t="str">
        <x:f>IF(B101="","",IF(C101&lt;='Config_v6'!$B$10,N101*B101/10,N101*(D101+9)/10*B101/(D101+B101)))</x:f>
      </x:c>
      <x:c r="P101" s="2" t="str">
        <x:f>IF(B101="","",IF(C101&lt;='Config_v6'!$B$10,O101*B101/11,O101*(D101+10)/11*B101/(D101+B101)))</x:f>
      </x:c>
      <x:c r="Q101" s="2" t="str">
        <x:f>IF(B101="","",IF(C101&lt;='Config_v6'!$B$10,P101*B101/12,P101*(D101+11)/12*B101/(D101+B101)))</x:f>
      </x:c>
      <x:c r="R101" s="2" t="str">
        <x:f>IF(B101="","",IF(C101&lt;='Config_v6'!$B$10,Q101*B101/13,Q101*(D101+12)/13*B101/(D101+B101)))</x:f>
      </x:c>
      <x:c r="S101" s="2" t="str">
        <x:f>IF(B101="","",IF(C101&lt;='Config_v6'!$B$10,R101*B101/14,R101*(D101+13)/14*B101/(D101+B101)))</x:f>
      </x:c>
      <x:c r="T101" s="2" t="str">
        <x:f>IF(B101="","",IF(C101&lt;='Config_v6'!$B$10,S101*B101/15,S101*(D101+14)/15*B101/(D101+B101)))</x:f>
      </x:c>
      <x:c r="U101" s="2" t="str">
        <x:f>IF(B101="","",IF(C101&lt;='Config_v6'!$B$10,T101*B101/16,T101*(D101+15)/16*B101/(D101+B101)))</x:f>
      </x:c>
      <x:c r="V101" s="2" t="str">
        <x:f>IF(B101="","",IF(C101&lt;='Config_v6'!$B$10,U101*B101/17,U101*(D101+16)/17*B101/(D101+B101)))</x:f>
      </x:c>
      <x:c r="W101" s="2" t="str">
        <x:f>IF(B101="","",IF(C101&lt;='Config_v6'!$B$10,V101*B101/18,V101*(D101+17)/18*B101/(D101+B101)))</x:f>
      </x:c>
      <x:c r="X101" s="2" t="str">
        <x:f>IF(B101="","",MIN(1,SUM(E101:E101)))</x:f>
      </x:c>
      <x:c r="Y101" s="2" t="str">
        <x:f>IF(B101="","",MIN(1,SUM(E101:F101)))</x:f>
      </x:c>
      <x:c r="Z101" s="2" t="str">
        <x:f>IF(B101="","",MIN(1,SUM(E101:G101)))</x:f>
      </x:c>
      <x:c r="AA101" s="2" t="str">
        <x:f>IF(B101="","",MIN(1,SUM(E101:H101)))</x:f>
      </x:c>
      <x:c r="AB101" s="2" t="str">
        <x:f>IF(B101="","",MIN(1,SUM(E101:I101)))</x:f>
      </x:c>
      <x:c r="AC101" s="2" t="str">
        <x:f>IF(B101="","",MIN(1,SUM(E101:J101)))</x:f>
      </x:c>
      <x:c r="AD101" s="2" t="str">
        <x:f>IF(B101="","",MIN(1,SUM(E101:K101)))</x:f>
      </x:c>
      <x:c r="AE101" s="2" t="str">
        <x:f>IF(B101="","",MIN(1,SUM(E101:L101)))</x:f>
      </x:c>
      <x:c r="AF101" s="2" t="str">
        <x:f>IF(B101="","",MIN(1,SUM(E101:M101)))</x:f>
      </x:c>
      <x:c r="AG101" s="2" t="str">
        <x:f>IF(B101="","",MIN(1,SUM(E101:N101)))</x:f>
      </x:c>
      <x:c r="AH101" s="2" t="str">
        <x:f>IF(B101="","",MIN(1,SUM(E101:O101)))</x:f>
      </x:c>
      <x:c r="AI101" s="2" t="str">
        <x:f>IF(B101="","",MIN(1,SUM(E101:P101)))</x:f>
      </x:c>
      <x:c r="AJ101" s="2" t="str">
        <x:f>IF(B101="","",MIN(1,SUM(E101:Q101)))</x:f>
      </x:c>
      <x:c r="AK101" s="2" t="str">
        <x:f>IF(B101="","",MIN(1,SUM(E101:R101)))</x:f>
      </x:c>
      <x:c r="AL101" s="2" t="str">
        <x:f>IF(B101="","",MIN(1,SUM(E101:S101)))</x:f>
      </x:c>
      <x:c r="AM101" s="2" t="str">
        <x:f>IF(B101="","",MIN(1,SUM(E101:T101)))</x:f>
      </x:c>
      <x:c r="AN101" s="2" t="str">
        <x:f>IF(B101="","",MIN(1,SUM(E101:U101)))</x:f>
      </x:c>
      <x:c r="AO101" s="2" t="str">
        <x:f>IF(B101="","",MIN(1,SUM(E101:V101)))</x:f>
      </x:c>
      <x:c r="AP101" s="2" t="str">
        <x:f>IF(B101="","",MIN(1,SUM(E101:W101)))</x:f>
      </x:c>
    </x:row>
    <x:row r="102" ht="21" customHeight="1">
      <x:c r="A102" s="2" t="str">
        <x:f>IF('Motor_Meciuri'!A102="","",'Motor_Meciuri'!A102)</x:f>
      </x:c>
      <x:c r="B102" s="2" t="str">
        <x:f>IF('Motor_Meciuri'!I102&lt;&gt;"PASS","",'Motor_Meciuri'!BD102)</x:f>
      </x:c>
      <x:c r="C102" s="2" t="str">
        <x:f>IF(B102="","",'Motor_Meciuri'!AU102)</x:f>
      </x:c>
      <x:c r="D102" s="2" t="str">
        <x:f>IF(B102="","",'Motor_Meciuri'!AW102)</x:f>
      </x:c>
      <x:c r="E102" s="2" t="str">
        <x:f>IF(B102="","",IF(C102&lt;='Config_v6'!$B$10,EXP(-B102),(D102/(D102+B102))^D102))</x:f>
      </x:c>
      <x:c r="F102" s="2" t="str">
        <x:f>IF(B102="","",IF(C102&lt;='Config_v6'!$B$10,E102*B102/1,E102*(D102+0)/1*B102/(D102+B102)))</x:f>
      </x:c>
      <x:c r="G102" s="2" t="str">
        <x:f>IF(B102="","",IF(C102&lt;='Config_v6'!$B$10,F102*B102/2,F102*(D102+1)/2*B102/(D102+B102)))</x:f>
      </x:c>
      <x:c r="H102" s="2" t="str">
        <x:f>IF(B102="","",IF(C102&lt;='Config_v6'!$B$10,G102*B102/3,G102*(D102+2)/3*B102/(D102+B102)))</x:f>
      </x:c>
      <x:c r="I102" s="2" t="str">
        <x:f>IF(B102="","",IF(C102&lt;='Config_v6'!$B$10,H102*B102/4,H102*(D102+3)/4*B102/(D102+B102)))</x:f>
      </x:c>
      <x:c r="J102" s="2" t="str">
        <x:f>IF(B102="","",IF(C102&lt;='Config_v6'!$B$10,I102*B102/5,I102*(D102+4)/5*B102/(D102+B102)))</x:f>
      </x:c>
      <x:c r="K102" s="2" t="str">
        <x:f>IF(B102="","",IF(C102&lt;='Config_v6'!$B$10,J102*B102/6,J102*(D102+5)/6*B102/(D102+B102)))</x:f>
      </x:c>
      <x:c r="L102" s="2" t="str">
        <x:f>IF(B102="","",IF(C102&lt;='Config_v6'!$B$10,K102*B102/7,K102*(D102+6)/7*B102/(D102+B102)))</x:f>
      </x:c>
      <x:c r="M102" s="2" t="str">
        <x:f>IF(B102="","",IF(C102&lt;='Config_v6'!$B$10,L102*B102/8,L102*(D102+7)/8*B102/(D102+B102)))</x:f>
      </x:c>
      <x:c r="N102" s="2" t="str">
        <x:f>IF(B102="","",IF(C102&lt;='Config_v6'!$B$10,M102*B102/9,M102*(D102+8)/9*B102/(D102+B102)))</x:f>
      </x:c>
      <x:c r="O102" s="2" t="str">
        <x:f>IF(B102="","",IF(C102&lt;='Config_v6'!$B$10,N102*B102/10,N102*(D102+9)/10*B102/(D102+B102)))</x:f>
      </x:c>
      <x:c r="P102" s="2" t="str">
        <x:f>IF(B102="","",IF(C102&lt;='Config_v6'!$B$10,O102*B102/11,O102*(D102+10)/11*B102/(D102+B102)))</x:f>
      </x:c>
      <x:c r="Q102" s="2" t="str">
        <x:f>IF(B102="","",IF(C102&lt;='Config_v6'!$B$10,P102*B102/12,P102*(D102+11)/12*B102/(D102+B102)))</x:f>
      </x:c>
      <x:c r="R102" s="2" t="str">
        <x:f>IF(B102="","",IF(C102&lt;='Config_v6'!$B$10,Q102*B102/13,Q102*(D102+12)/13*B102/(D102+B102)))</x:f>
      </x:c>
      <x:c r="S102" s="2" t="str">
        <x:f>IF(B102="","",IF(C102&lt;='Config_v6'!$B$10,R102*B102/14,R102*(D102+13)/14*B102/(D102+B102)))</x:f>
      </x:c>
      <x:c r="T102" s="2" t="str">
        <x:f>IF(B102="","",IF(C102&lt;='Config_v6'!$B$10,S102*B102/15,S102*(D102+14)/15*B102/(D102+B102)))</x:f>
      </x:c>
      <x:c r="U102" s="2" t="str">
        <x:f>IF(B102="","",IF(C102&lt;='Config_v6'!$B$10,T102*B102/16,T102*(D102+15)/16*B102/(D102+B102)))</x:f>
      </x:c>
      <x:c r="V102" s="2" t="str">
        <x:f>IF(B102="","",IF(C102&lt;='Config_v6'!$B$10,U102*B102/17,U102*(D102+16)/17*B102/(D102+B102)))</x:f>
      </x:c>
      <x:c r="W102" s="2" t="str">
        <x:f>IF(B102="","",IF(C102&lt;='Config_v6'!$B$10,V102*B102/18,V102*(D102+17)/18*B102/(D102+B102)))</x:f>
      </x:c>
      <x:c r="X102" s="2" t="str">
        <x:f>IF(B102="","",MIN(1,SUM(E102:E102)))</x:f>
      </x:c>
      <x:c r="Y102" s="2" t="str">
        <x:f>IF(B102="","",MIN(1,SUM(E102:F102)))</x:f>
      </x:c>
      <x:c r="Z102" s="2" t="str">
        <x:f>IF(B102="","",MIN(1,SUM(E102:G102)))</x:f>
      </x:c>
      <x:c r="AA102" s="2" t="str">
        <x:f>IF(B102="","",MIN(1,SUM(E102:H102)))</x:f>
      </x:c>
      <x:c r="AB102" s="2" t="str">
        <x:f>IF(B102="","",MIN(1,SUM(E102:I102)))</x:f>
      </x:c>
      <x:c r="AC102" s="2" t="str">
        <x:f>IF(B102="","",MIN(1,SUM(E102:J102)))</x:f>
      </x:c>
      <x:c r="AD102" s="2" t="str">
        <x:f>IF(B102="","",MIN(1,SUM(E102:K102)))</x:f>
      </x:c>
      <x:c r="AE102" s="2" t="str">
        <x:f>IF(B102="","",MIN(1,SUM(E102:L102)))</x:f>
      </x:c>
      <x:c r="AF102" s="2" t="str">
        <x:f>IF(B102="","",MIN(1,SUM(E102:M102)))</x:f>
      </x:c>
      <x:c r="AG102" s="2" t="str">
        <x:f>IF(B102="","",MIN(1,SUM(E102:N102)))</x:f>
      </x:c>
      <x:c r="AH102" s="2" t="str">
        <x:f>IF(B102="","",MIN(1,SUM(E102:O102)))</x:f>
      </x:c>
      <x:c r="AI102" s="2" t="str">
        <x:f>IF(B102="","",MIN(1,SUM(E102:P102)))</x:f>
      </x:c>
      <x:c r="AJ102" s="2" t="str">
        <x:f>IF(B102="","",MIN(1,SUM(E102:Q102)))</x:f>
      </x:c>
      <x:c r="AK102" s="2" t="str">
        <x:f>IF(B102="","",MIN(1,SUM(E102:R102)))</x:f>
      </x:c>
      <x:c r="AL102" s="2" t="str">
        <x:f>IF(B102="","",MIN(1,SUM(E102:S102)))</x:f>
      </x:c>
      <x:c r="AM102" s="2" t="str">
        <x:f>IF(B102="","",MIN(1,SUM(E102:T102)))</x:f>
      </x:c>
      <x:c r="AN102" s="2" t="str">
        <x:f>IF(B102="","",MIN(1,SUM(E102:U102)))</x:f>
      </x:c>
      <x:c r="AO102" s="2" t="str">
        <x:f>IF(B102="","",MIN(1,SUM(E102:V102)))</x:f>
      </x:c>
      <x:c r="AP102" s="2" t="str">
        <x:f>IF(B102="","",MIN(1,SUM(E102:W102)))</x:f>
      </x:c>
    </x:row>
    <x:row r="103" ht="21" customHeight="1">
      <x:c r="A103" s="2" t="str">
        <x:f>IF('Motor_Meciuri'!A103="","",'Motor_Meciuri'!A103)</x:f>
      </x:c>
      <x:c r="B103" s="2" t="str">
        <x:f>IF('Motor_Meciuri'!I103&lt;&gt;"PASS","",'Motor_Meciuri'!BD103)</x:f>
      </x:c>
      <x:c r="C103" s="2" t="str">
        <x:f>IF(B103="","",'Motor_Meciuri'!AU103)</x:f>
      </x:c>
      <x:c r="D103" s="2" t="str">
        <x:f>IF(B103="","",'Motor_Meciuri'!AW103)</x:f>
      </x:c>
      <x:c r="E103" s="2" t="str">
        <x:f>IF(B103="","",IF(C103&lt;='Config_v6'!$B$10,EXP(-B103),(D103/(D103+B103))^D103))</x:f>
      </x:c>
      <x:c r="F103" s="2" t="str">
        <x:f>IF(B103="","",IF(C103&lt;='Config_v6'!$B$10,E103*B103/1,E103*(D103+0)/1*B103/(D103+B103)))</x:f>
      </x:c>
      <x:c r="G103" s="2" t="str">
        <x:f>IF(B103="","",IF(C103&lt;='Config_v6'!$B$10,F103*B103/2,F103*(D103+1)/2*B103/(D103+B103)))</x:f>
      </x:c>
      <x:c r="H103" s="2" t="str">
        <x:f>IF(B103="","",IF(C103&lt;='Config_v6'!$B$10,G103*B103/3,G103*(D103+2)/3*B103/(D103+B103)))</x:f>
      </x:c>
      <x:c r="I103" s="2" t="str">
        <x:f>IF(B103="","",IF(C103&lt;='Config_v6'!$B$10,H103*B103/4,H103*(D103+3)/4*B103/(D103+B103)))</x:f>
      </x:c>
      <x:c r="J103" s="2" t="str">
        <x:f>IF(B103="","",IF(C103&lt;='Config_v6'!$B$10,I103*B103/5,I103*(D103+4)/5*B103/(D103+B103)))</x:f>
      </x:c>
      <x:c r="K103" s="2" t="str">
        <x:f>IF(B103="","",IF(C103&lt;='Config_v6'!$B$10,J103*B103/6,J103*(D103+5)/6*B103/(D103+B103)))</x:f>
      </x:c>
      <x:c r="L103" s="2" t="str">
        <x:f>IF(B103="","",IF(C103&lt;='Config_v6'!$B$10,K103*B103/7,K103*(D103+6)/7*B103/(D103+B103)))</x:f>
      </x:c>
      <x:c r="M103" s="2" t="str">
        <x:f>IF(B103="","",IF(C103&lt;='Config_v6'!$B$10,L103*B103/8,L103*(D103+7)/8*B103/(D103+B103)))</x:f>
      </x:c>
      <x:c r="N103" s="2" t="str">
        <x:f>IF(B103="","",IF(C103&lt;='Config_v6'!$B$10,M103*B103/9,M103*(D103+8)/9*B103/(D103+B103)))</x:f>
      </x:c>
      <x:c r="O103" s="2" t="str">
        <x:f>IF(B103="","",IF(C103&lt;='Config_v6'!$B$10,N103*B103/10,N103*(D103+9)/10*B103/(D103+B103)))</x:f>
      </x:c>
      <x:c r="P103" s="2" t="str">
        <x:f>IF(B103="","",IF(C103&lt;='Config_v6'!$B$10,O103*B103/11,O103*(D103+10)/11*B103/(D103+B103)))</x:f>
      </x:c>
      <x:c r="Q103" s="2" t="str">
        <x:f>IF(B103="","",IF(C103&lt;='Config_v6'!$B$10,P103*B103/12,P103*(D103+11)/12*B103/(D103+B103)))</x:f>
      </x:c>
      <x:c r="R103" s="2" t="str">
        <x:f>IF(B103="","",IF(C103&lt;='Config_v6'!$B$10,Q103*B103/13,Q103*(D103+12)/13*B103/(D103+B103)))</x:f>
      </x:c>
      <x:c r="S103" s="2" t="str">
        <x:f>IF(B103="","",IF(C103&lt;='Config_v6'!$B$10,R103*B103/14,R103*(D103+13)/14*B103/(D103+B103)))</x:f>
      </x:c>
      <x:c r="T103" s="2" t="str">
        <x:f>IF(B103="","",IF(C103&lt;='Config_v6'!$B$10,S103*B103/15,S103*(D103+14)/15*B103/(D103+B103)))</x:f>
      </x:c>
      <x:c r="U103" s="2" t="str">
        <x:f>IF(B103="","",IF(C103&lt;='Config_v6'!$B$10,T103*B103/16,T103*(D103+15)/16*B103/(D103+B103)))</x:f>
      </x:c>
      <x:c r="V103" s="2" t="str">
        <x:f>IF(B103="","",IF(C103&lt;='Config_v6'!$B$10,U103*B103/17,U103*(D103+16)/17*B103/(D103+B103)))</x:f>
      </x:c>
      <x:c r="W103" s="2" t="str">
        <x:f>IF(B103="","",IF(C103&lt;='Config_v6'!$B$10,V103*B103/18,V103*(D103+17)/18*B103/(D103+B103)))</x:f>
      </x:c>
      <x:c r="X103" s="2" t="str">
        <x:f>IF(B103="","",MIN(1,SUM(E103:E103)))</x:f>
      </x:c>
      <x:c r="Y103" s="2" t="str">
        <x:f>IF(B103="","",MIN(1,SUM(E103:F103)))</x:f>
      </x:c>
      <x:c r="Z103" s="2" t="str">
        <x:f>IF(B103="","",MIN(1,SUM(E103:G103)))</x:f>
      </x:c>
      <x:c r="AA103" s="2" t="str">
        <x:f>IF(B103="","",MIN(1,SUM(E103:H103)))</x:f>
      </x:c>
      <x:c r="AB103" s="2" t="str">
        <x:f>IF(B103="","",MIN(1,SUM(E103:I103)))</x:f>
      </x:c>
      <x:c r="AC103" s="2" t="str">
        <x:f>IF(B103="","",MIN(1,SUM(E103:J103)))</x:f>
      </x:c>
      <x:c r="AD103" s="2" t="str">
        <x:f>IF(B103="","",MIN(1,SUM(E103:K103)))</x:f>
      </x:c>
      <x:c r="AE103" s="2" t="str">
        <x:f>IF(B103="","",MIN(1,SUM(E103:L103)))</x:f>
      </x:c>
      <x:c r="AF103" s="2" t="str">
        <x:f>IF(B103="","",MIN(1,SUM(E103:M103)))</x:f>
      </x:c>
      <x:c r="AG103" s="2" t="str">
        <x:f>IF(B103="","",MIN(1,SUM(E103:N103)))</x:f>
      </x:c>
      <x:c r="AH103" s="2" t="str">
        <x:f>IF(B103="","",MIN(1,SUM(E103:O103)))</x:f>
      </x:c>
      <x:c r="AI103" s="2" t="str">
        <x:f>IF(B103="","",MIN(1,SUM(E103:P103)))</x:f>
      </x:c>
      <x:c r="AJ103" s="2" t="str">
        <x:f>IF(B103="","",MIN(1,SUM(E103:Q103)))</x:f>
      </x:c>
      <x:c r="AK103" s="2" t="str">
        <x:f>IF(B103="","",MIN(1,SUM(E103:R103)))</x:f>
      </x:c>
      <x:c r="AL103" s="2" t="str">
        <x:f>IF(B103="","",MIN(1,SUM(E103:S103)))</x:f>
      </x:c>
      <x:c r="AM103" s="2" t="str">
        <x:f>IF(B103="","",MIN(1,SUM(E103:T103)))</x:f>
      </x:c>
      <x:c r="AN103" s="2" t="str">
        <x:f>IF(B103="","",MIN(1,SUM(E103:U103)))</x:f>
      </x:c>
      <x:c r="AO103" s="2" t="str">
        <x:f>IF(B103="","",MIN(1,SUM(E103:V103)))</x:f>
      </x:c>
      <x:c r="AP103" s="2" t="str">
        <x:f>IF(B103="","",MIN(1,SUM(E103:W103)))</x:f>
      </x:c>
    </x:row>
    <x:row r="104" ht="21" customHeight="1">
      <x:c r="A104" s="2" t="str">
        <x:f>IF('Motor_Meciuri'!A104="","",'Motor_Meciuri'!A104)</x:f>
      </x:c>
      <x:c r="B104" s="2" t="str">
        <x:f>IF('Motor_Meciuri'!I104&lt;&gt;"PASS","",'Motor_Meciuri'!BD104)</x:f>
      </x:c>
      <x:c r="C104" s="2" t="str">
        <x:f>IF(B104="","",'Motor_Meciuri'!AU104)</x:f>
      </x:c>
      <x:c r="D104" s="2" t="str">
        <x:f>IF(B104="","",'Motor_Meciuri'!AW104)</x:f>
      </x:c>
      <x:c r="E104" s="2" t="str">
        <x:f>IF(B104="","",IF(C104&lt;='Config_v6'!$B$10,EXP(-B104),(D104/(D104+B104))^D104))</x:f>
      </x:c>
      <x:c r="F104" s="2" t="str">
        <x:f>IF(B104="","",IF(C104&lt;='Config_v6'!$B$10,E104*B104/1,E104*(D104+0)/1*B104/(D104+B104)))</x:f>
      </x:c>
      <x:c r="G104" s="2" t="str">
        <x:f>IF(B104="","",IF(C104&lt;='Config_v6'!$B$10,F104*B104/2,F104*(D104+1)/2*B104/(D104+B104)))</x:f>
      </x:c>
      <x:c r="H104" s="2" t="str">
        <x:f>IF(B104="","",IF(C104&lt;='Config_v6'!$B$10,G104*B104/3,G104*(D104+2)/3*B104/(D104+B104)))</x:f>
      </x:c>
      <x:c r="I104" s="2" t="str">
        <x:f>IF(B104="","",IF(C104&lt;='Config_v6'!$B$10,H104*B104/4,H104*(D104+3)/4*B104/(D104+B104)))</x:f>
      </x:c>
      <x:c r="J104" s="2" t="str">
        <x:f>IF(B104="","",IF(C104&lt;='Config_v6'!$B$10,I104*B104/5,I104*(D104+4)/5*B104/(D104+B104)))</x:f>
      </x:c>
      <x:c r="K104" s="2" t="str">
        <x:f>IF(B104="","",IF(C104&lt;='Config_v6'!$B$10,J104*B104/6,J104*(D104+5)/6*B104/(D104+B104)))</x:f>
      </x:c>
      <x:c r="L104" s="2" t="str">
        <x:f>IF(B104="","",IF(C104&lt;='Config_v6'!$B$10,K104*B104/7,K104*(D104+6)/7*B104/(D104+B104)))</x:f>
      </x:c>
      <x:c r="M104" s="2" t="str">
        <x:f>IF(B104="","",IF(C104&lt;='Config_v6'!$B$10,L104*B104/8,L104*(D104+7)/8*B104/(D104+B104)))</x:f>
      </x:c>
      <x:c r="N104" s="2" t="str">
        <x:f>IF(B104="","",IF(C104&lt;='Config_v6'!$B$10,M104*B104/9,M104*(D104+8)/9*B104/(D104+B104)))</x:f>
      </x:c>
      <x:c r="O104" s="2" t="str">
        <x:f>IF(B104="","",IF(C104&lt;='Config_v6'!$B$10,N104*B104/10,N104*(D104+9)/10*B104/(D104+B104)))</x:f>
      </x:c>
      <x:c r="P104" s="2" t="str">
        <x:f>IF(B104="","",IF(C104&lt;='Config_v6'!$B$10,O104*B104/11,O104*(D104+10)/11*B104/(D104+B104)))</x:f>
      </x:c>
      <x:c r="Q104" s="2" t="str">
        <x:f>IF(B104="","",IF(C104&lt;='Config_v6'!$B$10,P104*B104/12,P104*(D104+11)/12*B104/(D104+B104)))</x:f>
      </x:c>
      <x:c r="R104" s="2" t="str">
        <x:f>IF(B104="","",IF(C104&lt;='Config_v6'!$B$10,Q104*B104/13,Q104*(D104+12)/13*B104/(D104+B104)))</x:f>
      </x:c>
      <x:c r="S104" s="2" t="str">
        <x:f>IF(B104="","",IF(C104&lt;='Config_v6'!$B$10,R104*B104/14,R104*(D104+13)/14*B104/(D104+B104)))</x:f>
      </x:c>
      <x:c r="T104" s="2" t="str">
        <x:f>IF(B104="","",IF(C104&lt;='Config_v6'!$B$10,S104*B104/15,S104*(D104+14)/15*B104/(D104+B104)))</x:f>
      </x:c>
      <x:c r="U104" s="2" t="str">
        <x:f>IF(B104="","",IF(C104&lt;='Config_v6'!$B$10,T104*B104/16,T104*(D104+15)/16*B104/(D104+B104)))</x:f>
      </x:c>
      <x:c r="V104" s="2" t="str">
        <x:f>IF(B104="","",IF(C104&lt;='Config_v6'!$B$10,U104*B104/17,U104*(D104+16)/17*B104/(D104+B104)))</x:f>
      </x:c>
      <x:c r="W104" s="2" t="str">
        <x:f>IF(B104="","",IF(C104&lt;='Config_v6'!$B$10,V104*B104/18,V104*(D104+17)/18*B104/(D104+B104)))</x:f>
      </x:c>
      <x:c r="X104" s="2" t="str">
        <x:f>IF(B104="","",MIN(1,SUM(E104:E104)))</x:f>
      </x:c>
      <x:c r="Y104" s="2" t="str">
        <x:f>IF(B104="","",MIN(1,SUM(E104:F104)))</x:f>
      </x:c>
      <x:c r="Z104" s="2" t="str">
        <x:f>IF(B104="","",MIN(1,SUM(E104:G104)))</x:f>
      </x:c>
      <x:c r="AA104" s="2" t="str">
        <x:f>IF(B104="","",MIN(1,SUM(E104:H104)))</x:f>
      </x:c>
      <x:c r="AB104" s="2" t="str">
        <x:f>IF(B104="","",MIN(1,SUM(E104:I104)))</x:f>
      </x:c>
      <x:c r="AC104" s="2" t="str">
        <x:f>IF(B104="","",MIN(1,SUM(E104:J104)))</x:f>
      </x:c>
      <x:c r="AD104" s="2" t="str">
        <x:f>IF(B104="","",MIN(1,SUM(E104:K104)))</x:f>
      </x:c>
      <x:c r="AE104" s="2" t="str">
        <x:f>IF(B104="","",MIN(1,SUM(E104:L104)))</x:f>
      </x:c>
      <x:c r="AF104" s="2" t="str">
        <x:f>IF(B104="","",MIN(1,SUM(E104:M104)))</x:f>
      </x:c>
      <x:c r="AG104" s="2" t="str">
        <x:f>IF(B104="","",MIN(1,SUM(E104:N104)))</x:f>
      </x:c>
      <x:c r="AH104" s="2" t="str">
        <x:f>IF(B104="","",MIN(1,SUM(E104:O104)))</x:f>
      </x:c>
      <x:c r="AI104" s="2" t="str">
        <x:f>IF(B104="","",MIN(1,SUM(E104:P104)))</x:f>
      </x:c>
      <x:c r="AJ104" s="2" t="str">
        <x:f>IF(B104="","",MIN(1,SUM(E104:Q104)))</x:f>
      </x:c>
      <x:c r="AK104" s="2" t="str">
        <x:f>IF(B104="","",MIN(1,SUM(E104:R104)))</x:f>
      </x:c>
      <x:c r="AL104" s="2" t="str">
        <x:f>IF(B104="","",MIN(1,SUM(E104:S104)))</x:f>
      </x:c>
      <x:c r="AM104" s="2" t="str">
        <x:f>IF(B104="","",MIN(1,SUM(E104:T104)))</x:f>
      </x:c>
      <x:c r="AN104" s="2" t="str">
        <x:f>IF(B104="","",MIN(1,SUM(E104:U104)))</x:f>
      </x:c>
      <x:c r="AO104" s="2" t="str">
        <x:f>IF(B104="","",MIN(1,SUM(E104:V104)))</x:f>
      </x:c>
      <x:c r="AP104" s="2" t="str">
        <x:f>IF(B104="","",MIN(1,SUM(E104:W104)))</x:f>
      </x:c>
    </x:row>
    <x:row r="105" ht="21" customHeight="1">
      <x:c r="A105" s="2" t="str">
        <x:f>IF('Motor_Meciuri'!A105="","",'Motor_Meciuri'!A105)</x:f>
      </x:c>
      <x:c r="B105" s="2" t="str">
        <x:f>IF('Motor_Meciuri'!I105&lt;&gt;"PASS","",'Motor_Meciuri'!BD105)</x:f>
      </x:c>
      <x:c r="C105" s="2" t="str">
        <x:f>IF(B105="","",'Motor_Meciuri'!AU105)</x:f>
      </x:c>
      <x:c r="D105" s="2" t="str">
        <x:f>IF(B105="","",'Motor_Meciuri'!AW105)</x:f>
      </x:c>
      <x:c r="E105" s="2" t="str">
        <x:f>IF(B105="","",IF(C105&lt;='Config_v6'!$B$10,EXP(-B105),(D105/(D105+B105))^D105))</x:f>
      </x:c>
      <x:c r="F105" s="2" t="str">
        <x:f>IF(B105="","",IF(C105&lt;='Config_v6'!$B$10,E105*B105/1,E105*(D105+0)/1*B105/(D105+B105)))</x:f>
      </x:c>
      <x:c r="G105" s="2" t="str">
        <x:f>IF(B105="","",IF(C105&lt;='Config_v6'!$B$10,F105*B105/2,F105*(D105+1)/2*B105/(D105+B105)))</x:f>
      </x:c>
      <x:c r="H105" s="2" t="str">
        <x:f>IF(B105="","",IF(C105&lt;='Config_v6'!$B$10,G105*B105/3,G105*(D105+2)/3*B105/(D105+B105)))</x:f>
      </x:c>
      <x:c r="I105" s="2" t="str">
        <x:f>IF(B105="","",IF(C105&lt;='Config_v6'!$B$10,H105*B105/4,H105*(D105+3)/4*B105/(D105+B105)))</x:f>
      </x:c>
      <x:c r="J105" s="2" t="str">
        <x:f>IF(B105="","",IF(C105&lt;='Config_v6'!$B$10,I105*B105/5,I105*(D105+4)/5*B105/(D105+B105)))</x:f>
      </x:c>
      <x:c r="K105" s="2" t="str">
        <x:f>IF(B105="","",IF(C105&lt;='Config_v6'!$B$10,J105*B105/6,J105*(D105+5)/6*B105/(D105+B105)))</x:f>
      </x:c>
      <x:c r="L105" s="2" t="str">
        <x:f>IF(B105="","",IF(C105&lt;='Config_v6'!$B$10,K105*B105/7,K105*(D105+6)/7*B105/(D105+B105)))</x:f>
      </x:c>
      <x:c r="M105" s="2" t="str">
        <x:f>IF(B105="","",IF(C105&lt;='Config_v6'!$B$10,L105*B105/8,L105*(D105+7)/8*B105/(D105+B105)))</x:f>
      </x:c>
      <x:c r="N105" s="2" t="str">
        <x:f>IF(B105="","",IF(C105&lt;='Config_v6'!$B$10,M105*B105/9,M105*(D105+8)/9*B105/(D105+B105)))</x:f>
      </x:c>
      <x:c r="O105" s="2" t="str">
        <x:f>IF(B105="","",IF(C105&lt;='Config_v6'!$B$10,N105*B105/10,N105*(D105+9)/10*B105/(D105+B105)))</x:f>
      </x:c>
      <x:c r="P105" s="2" t="str">
        <x:f>IF(B105="","",IF(C105&lt;='Config_v6'!$B$10,O105*B105/11,O105*(D105+10)/11*B105/(D105+B105)))</x:f>
      </x:c>
      <x:c r="Q105" s="2" t="str">
        <x:f>IF(B105="","",IF(C105&lt;='Config_v6'!$B$10,P105*B105/12,P105*(D105+11)/12*B105/(D105+B105)))</x:f>
      </x:c>
      <x:c r="R105" s="2" t="str">
        <x:f>IF(B105="","",IF(C105&lt;='Config_v6'!$B$10,Q105*B105/13,Q105*(D105+12)/13*B105/(D105+B105)))</x:f>
      </x:c>
      <x:c r="S105" s="2" t="str">
        <x:f>IF(B105="","",IF(C105&lt;='Config_v6'!$B$10,R105*B105/14,R105*(D105+13)/14*B105/(D105+B105)))</x:f>
      </x:c>
      <x:c r="T105" s="2" t="str">
        <x:f>IF(B105="","",IF(C105&lt;='Config_v6'!$B$10,S105*B105/15,S105*(D105+14)/15*B105/(D105+B105)))</x:f>
      </x:c>
      <x:c r="U105" s="2" t="str">
        <x:f>IF(B105="","",IF(C105&lt;='Config_v6'!$B$10,T105*B105/16,T105*(D105+15)/16*B105/(D105+B105)))</x:f>
      </x:c>
      <x:c r="V105" s="2" t="str">
        <x:f>IF(B105="","",IF(C105&lt;='Config_v6'!$B$10,U105*B105/17,U105*(D105+16)/17*B105/(D105+B105)))</x:f>
      </x:c>
      <x:c r="W105" s="2" t="str">
        <x:f>IF(B105="","",IF(C105&lt;='Config_v6'!$B$10,V105*B105/18,V105*(D105+17)/18*B105/(D105+B105)))</x:f>
      </x:c>
      <x:c r="X105" s="2" t="str">
        <x:f>IF(B105="","",MIN(1,SUM(E105:E105)))</x:f>
      </x:c>
      <x:c r="Y105" s="2" t="str">
        <x:f>IF(B105="","",MIN(1,SUM(E105:F105)))</x:f>
      </x:c>
      <x:c r="Z105" s="2" t="str">
        <x:f>IF(B105="","",MIN(1,SUM(E105:G105)))</x:f>
      </x:c>
      <x:c r="AA105" s="2" t="str">
        <x:f>IF(B105="","",MIN(1,SUM(E105:H105)))</x:f>
      </x:c>
      <x:c r="AB105" s="2" t="str">
        <x:f>IF(B105="","",MIN(1,SUM(E105:I105)))</x:f>
      </x:c>
      <x:c r="AC105" s="2" t="str">
        <x:f>IF(B105="","",MIN(1,SUM(E105:J105)))</x:f>
      </x:c>
      <x:c r="AD105" s="2" t="str">
        <x:f>IF(B105="","",MIN(1,SUM(E105:K105)))</x:f>
      </x:c>
      <x:c r="AE105" s="2" t="str">
        <x:f>IF(B105="","",MIN(1,SUM(E105:L105)))</x:f>
      </x:c>
      <x:c r="AF105" s="2" t="str">
        <x:f>IF(B105="","",MIN(1,SUM(E105:M105)))</x:f>
      </x:c>
      <x:c r="AG105" s="2" t="str">
        <x:f>IF(B105="","",MIN(1,SUM(E105:N105)))</x:f>
      </x:c>
      <x:c r="AH105" s="2" t="str">
        <x:f>IF(B105="","",MIN(1,SUM(E105:O105)))</x:f>
      </x:c>
      <x:c r="AI105" s="2" t="str">
        <x:f>IF(B105="","",MIN(1,SUM(E105:P105)))</x:f>
      </x:c>
      <x:c r="AJ105" s="2" t="str">
        <x:f>IF(B105="","",MIN(1,SUM(E105:Q105)))</x:f>
      </x:c>
      <x:c r="AK105" s="2" t="str">
        <x:f>IF(B105="","",MIN(1,SUM(E105:R105)))</x:f>
      </x:c>
      <x:c r="AL105" s="2" t="str">
        <x:f>IF(B105="","",MIN(1,SUM(E105:S105)))</x:f>
      </x:c>
      <x:c r="AM105" s="2" t="str">
        <x:f>IF(B105="","",MIN(1,SUM(E105:T105)))</x:f>
      </x:c>
      <x:c r="AN105" s="2" t="str">
        <x:f>IF(B105="","",MIN(1,SUM(E105:U105)))</x:f>
      </x:c>
      <x:c r="AO105" s="2" t="str">
        <x:f>IF(B105="","",MIN(1,SUM(E105:V105)))</x:f>
      </x:c>
      <x:c r="AP105" s="2" t="str">
        <x:f>IF(B105="","",MIN(1,SUM(E105:W105)))</x:f>
      </x:c>
    </x:row>
  </x:sheetData>
  <x:pageMargins left="0.7" right="0.7" top="0.75" bottom="0.75" header="0.3" footer="0.3"/>
  <x:tableParts count="1">
    <x:tablePart xmlns:r="http://schemas.openxmlformats.org/officeDocument/2006/relationships" r:id="R11ea34ae60ea46b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7" hidden="0" customWidth="1"/>
    <x:col min="5" max="5" width="2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65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21" customHeight="1">
      <x:c r="A2" s="3" t="str">
        <x:v>MECIURI ȘI CONTEXT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</x:row>
    <x:row r="5" ht="46" customHeight="1">
      <x:c r="A5" s="6" t="str">
        <x:v>Match_ID</x:v>
      </x:c>
      <x:c r="B5" s="6" t="str">
        <x:v>League</x:v>
      </x:c>
      <x:c r="C5" s="6" t="str">
        <x:v>Season</x:v>
      </x:c>
      <x:c r="D5" s="6" t="str">
        <x:v>Home</x:v>
      </x:c>
      <x:c r="E5" s="6" t="str">
        <x:v>Away</x:v>
      </x:c>
      <x:c r="F5" s="6" t="str">
        <x:v>Kickoff_UTC</x:v>
      </x:c>
      <x:c r="G5" s="6" t="str">
        <x:v>Cutoff_UTC</x:v>
      </x:c>
      <x:c r="H5" s="6" t="str">
        <x:v>Mode</x:v>
      </x:c>
      <x:c r="I5" s="6" t="str">
        <x:v>Sourcing_Decision</x:v>
      </x:c>
      <x:c r="J5" s="6" t="str">
        <x:v>Evidence_or_Attempts</x:v>
      </x:c>
      <x:c r="K5" s="6" t="str">
        <x:v>Prior_Season</x:v>
      </x:c>
      <x:c r="L5" s="6" t="str">
        <x:v>Prior_Allowed</x:v>
      </x:c>
      <x:c r="M5" s="6" t="str">
        <x:v>Notes</x:v>
      </x:c>
      <x:c r="N5" s="6" t="str">
        <x:v>Shots_H</x:v>
      </x:c>
      <x:c r="O5" s="6" t="str">
        <x:v>Shots_A</x:v>
      </x:c>
      <x:c r="P5" s="6" t="str">
        <x:v>Blocked_H</x:v>
      </x:c>
      <x:c r="Q5" s="6" t="str">
        <x:v>Blocked_A</x:v>
      </x:c>
      <x:c r="R5" s="6" t="str">
        <x:v>Crosses_H</x:v>
      </x:c>
      <x:c r="S5" s="6" t="str">
        <x:v>Crosses_A</x:v>
      </x:c>
      <x:c r="T5" s="6" t="str">
        <x:v>Possession_H</x:v>
      </x:c>
      <x:c r="U5" s="6" t="str">
        <x:v>Possession_A</x:v>
      </x:c>
      <x:c r="V5" s="6" t="str">
        <x:v>Field_Tilt_H</x:v>
      </x:c>
      <x:c r="W5" s="6" t="str">
        <x:v>Field_Tilt_A</x:v>
      </x:c>
      <x:c r="X5" s="6" t="str">
        <x:v>Attack_H</x:v>
      </x:c>
      <x:c r="Y5" s="6" t="str">
        <x:v>Attack_A</x:v>
      </x:c>
      <x:c r="Z5" s="6" t="str">
        <x:v>Chasing_H</x:v>
      </x:c>
      <x:c r="AA5" s="6" t="str">
        <x:v>Chasing_A</x:v>
      </x:c>
      <x:c r="AB5" s="6" t="str">
        <x:v>Wings_H</x:v>
      </x:c>
      <x:c r="AC5" s="6" t="str">
        <x:v>Wings_A</x:v>
      </x:c>
      <x:c r="AD5" s="6" t="str">
        <x:v>Absences_H</x:v>
      </x:c>
      <x:c r="AE5" s="6" t="str">
        <x:v>Absences_A</x:v>
      </x:c>
      <x:c r="AF5" s="6" t="str">
        <x:v>Stakes_H</x:v>
      </x:c>
      <x:c r="AG5" s="6" t="str">
        <x:v>Stakes_A</x:v>
      </x:c>
    </x:row>
    <x:row r="6" ht="34" customHeight="1">
      <x:c r="A6" s="7" t="str">
        <x:v>REPLAY_1</x:v>
      </x:c>
      <x:c r="B6" s="7" t="str">
        <x:v>E0</x:v>
      </x:c>
      <x:c r="C6" s="7" t="str">
        <x:v>2025/26</x:v>
      </x:c>
      <x:c r="D6" s="7" t="str">
        <x:v>Brighton</x:v>
      </x:c>
      <x:c r="E6" s="7" t="str">
        <x:v>Man United</x:v>
      </x:c>
      <x:c r="F6" s="8" t="n">
        <x:v>46166</x:v>
      </x:c>
      <x:c r="G6" s="8" t="n">
        <x:v>46165.958333333336</x:v>
      </x:c>
      <x:c r="H6" s="7" t="str">
        <x:v>REPLAY</x:v>
      </x:c>
      <x:c r="I6" s="7" t="str">
        <x:v>AUTO</x:v>
      </x:c>
      <x:c r="J6" s="7"/>
      <x:c r="K6" s="7"/>
      <x:c r="L6" s="7" t="str">
        <x:v>NO</x:v>
      </x:c>
      <x:c r="M6" s="15" t="str">
        <x:v>Exemplu istoric; cutoff convențional înainte de ziua meciului. Exclus din Top LIVE.</x:v>
      </x:c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</x:row>
    <x:row r="7" ht="34" customHeight="1">
      <x:c r="A7" s="7" t="str">
        <x:v>REPLAY_2</x:v>
      </x:c>
      <x:c r="B7" s="7" t="str">
        <x:v>E0</x:v>
      </x:c>
      <x:c r="C7" s="7" t="str">
        <x:v>2025/26</x:v>
      </x:c>
      <x:c r="D7" s="7" t="str">
        <x:v>Burnley</x:v>
      </x:c>
      <x:c r="E7" s="7" t="str">
        <x:v>Wolves</x:v>
      </x:c>
      <x:c r="F7" s="8" t="n">
        <x:v>46166</x:v>
      </x:c>
      <x:c r="G7" s="8" t="n">
        <x:v>46165.958333333336</x:v>
      </x:c>
      <x:c r="H7" s="7" t="str">
        <x:v>REPLAY</x:v>
      </x:c>
      <x:c r="I7" s="7" t="str">
        <x:v>AUTO</x:v>
      </x:c>
      <x:c r="J7" s="7"/>
      <x:c r="K7" s="7"/>
      <x:c r="L7" s="7" t="str">
        <x:v>NO</x:v>
      </x:c>
      <x:c r="M7" s="15" t="str">
        <x:v>Exemplu istoric; cutoff convențional înainte de ziua meciului. Exclus din Top LIVE.</x:v>
      </x:c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</x:row>
    <x:row r="8" ht="34" customHeight="1">
      <x:c r="A8" s="7" t="str">
        <x:v>REPLAY_3</x:v>
      </x:c>
      <x:c r="B8" s="7" t="str">
        <x:v>E0</x:v>
      </x:c>
      <x:c r="C8" s="7" t="str">
        <x:v>2025/26</x:v>
      </x:c>
      <x:c r="D8" s="7" t="str">
        <x:v>Crystal Palace</x:v>
      </x:c>
      <x:c r="E8" s="7" t="str">
        <x:v>Arsenal</x:v>
      </x:c>
      <x:c r="F8" s="8" t="n">
        <x:v>46166</x:v>
      </x:c>
      <x:c r="G8" s="8" t="n">
        <x:v>46165.958333333336</x:v>
      </x:c>
      <x:c r="H8" s="7" t="str">
        <x:v>REPLAY</x:v>
      </x:c>
      <x:c r="I8" s="7" t="str">
        <x:v>AUTO</x:v>
      </x:c>
      <x:c r="J8" s="7"/>
      <x:c r="K8" s="7"/>
      <x:c r="L8" s="7" t="str">
        <x:v>NO</x:v>
      </x:c>
      <x:c r="M8" s="15" t="str">
        <x:v>Exemplu istoric; cutoff convențional înainte de ziua meciului. Exclus din Top LIVE.</x:v>
      </x:c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</x:row>
    <x:row r="9" ht="34" customHeight="1">
      <x:c r="A9" s="7"/>
      <x:c r="B9" s="7"/>
      <x:c r="C9" s="7"/>
      <x:c r="D9" s="7"/>
      <x:c r="E9" s="7"/>
      <x:c r="F9" s="8"/>
      <x:c r="G9" s="8"/>
      <x:c r="H9" s="7"/>
      <x:c r="I9" s="7"/>
      <x:c r="J9" s="7"/>
      <x:c r="K9" s="7"/>
      <x:c r="L9" s="7"/>
      <x:c r="M9" s="15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 s="7"/>
      <x:c r="AF9" s="7"/>
      <x:c r="AG9" s="7"/>
    </x:row>
    <x:row r="10" ht="34" customHeight="1">
      <x:c r="A10" s="7"/>
      <x:c r="B10" s="7"/>
      <x:c r="C10" s="7"/>
      <x:c r="D10" s="7"/>
      <x:c r="E10" s="7"/>
      <x:c r="F10" s="8"/>
      <x:c r="G10" s="8"/>
      <x:c r="H10" s="7"/>
      <x:c r="I10" s="7"/>
      <x:c r="J10" s="7"/>
      <x:c r="K10" s="7"/>
      <x:c r="L10" s="7"/>
      <x:c r="M10" s="15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</x:row>
    <x:row r="11" ht="34" customHeight="1">
      <x:c r="A11" s="7"/>
      <x:c r="B11" s="7"/>
      <x:c r="C11" s="7"/>
      <x:c r="D11" s="7"/>
      <x:c r="E11" s="7"/>
      <x:c r="F11" s="8"/>
      <x:c r="G11" s="8"/>
      <x:c r="H11" s="7"/>
      <x:c r="I11" s="7"/>
      <x:c r="J11" s="7"/>
      <x:c r="K11" s="7"/>
      <x:c r="L11" s="7"/>
      <x:c r="M11" s="15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</x:row>
    <x:row r="12" ht="34" customHeight="1">
      <x:c r="A12" s="7"/>
      <x:c r="B12" s="7"/>
      <x:c r="C12" s="7"/>
      <x:c r="D12" s="7"/>
      <x:c r="E12" s="7"/>
      <x:c r="F12" s="8"/>
      <x:c r="G12" s="8"/>
      <x:c r="H12" s="7"/>
      <x:c r="I12" s="7"/>
      <x:c r="J12" s="7"/>
      <x:c r="K12" s="7"/>
      <x:c r="L12" s="7"/>
      <x:c r="M12" s="15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</x:row>
    <x:row r="13" ht="34" customHeight="1">
      <x:c r="A13" s="7"/>
      <x:c r="B13" s="7"/>
      <x:c r="C13" s="7"/>
      <x:c r="D13" s="7"/>
      <x:c r="E13" s="7"/>
      <x:c r="F13" s="8"/>
      <x:c r="G13" s="8"/>
      <x:c r="H13" s="7"/>
      <x:c r="I13" s="7"/>
      <x:c r="J13" s="7"/>
      <x:c r="K13" s="7"/>
      <x:c r="L13" s="7"/>
      <x:c r="M13" s="15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</x:row>
    <x:row r="14" ht="34" customHeight="1">
      <x:c r="A14" s="7"/>
      <x:c r="B14" s="7"/>
      <x:c r="C14" s="7"/>
      <x:c r="D14" s="7"/>
      <x:c r="E14" s="7"/>
      <x:c r="F14" s="8"/>
      <x:c r="G14" s="8"/>
      <x:c r="H14" s="7"/>
      <x:c r="I14" s="7"/>
      <x:c r="J14" s="7"/>
      <x:c r="K14" s="7"/>
      <x:c r="L14" s="7"/>
      <x:c r="M14" s="15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</x:row>
    <x:row r="15" ht="34" customHeight="1">
      <x:c r="A15" s="7"/>
      <x:c r="B15" s="7"/>
      <x:c r="C15" s="7"/>
      <x:c r="D15" s="7"/>
      <x:c r="E15" s="7"/>
      <x:c r="F15" s="8"/>
      <x:c r="G15" s="8"/>
      <x:c r="H15" s="7"/>
      <x:c r="I15" s="7"/>
      <x:c r="J15" s="7"/>
      <x:c r="K15" s="7"/>
      <x:c r="L15" s="7"/>
      <x:c r="M15" s="15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</x:row>
    <x:row r="16" ht="34" customHeight="1">
      <x:c r="A16" s="7"/>
      <x:c r="B16" s="7"/>
      <x:c r="C16" s="7"/>
      <x:c r="D16" s="7"/>
      <x:c r="E16" s="7"/>
      <x:c r="F16" s="8"/>
      <x:c r="G16" s="8"/>
      <x:c r="H16" s="7"/>
      <x:c r="I16" s="7"/>
      <x:c r="J16" s="7"/>
      <x:c r="K16" s="7"/>
      <x:c r="L16" s="7"/>
      <x:c r="M16" s="15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</x:row>
    <x:row r="17" ht="34" customHeight="1">
      <x:c r="A17" s="7"/>
      <x:c r="B17" s="7"/>
      <x:c r="C17" s="7"/>
      <x:c r="D17" s="7"/>
      <x:c r="E17" s="7"/>
      <x:c r="F17" s="8"/>
      <x:c r="G17" s="8"/>
      <x:c r="H17" s="7"/>
      <x:c r="I17" s="7"/>
      <x:c r="J17" s="7"/>
      <x:c r="K17" s="7"/>
      <x:c r="L17" s="7"/>
      <x:c r="M17" s="15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</x:row>
    <x:row r="18" ht="34" customHeight="1">
      <x:c r="A18" s="7"/>
      <x:c r="B18" s="7"/>
      <x:c r="C18" s="7"/>
      <x:c r="D18" s="7"/>
      <x:c r="E18" s="7"/>
      <x:c r="F18" s="8"/>
      <x:c r="G18" s="8"/>
      <x:c r="H18" s="7"/>
      <x:c r="I18" s="7"/>
      <x:c r="J18" s="7"/>
      <x:c r="K18" s="7"/>
      <x:c r="L18" s="7"/>
      <x:c r="M18" s="15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</x:row>
    <x:row r="19" ht="34" customHeight="1">
      <x:c r="A19" s="7"/>
      <x:c r="B19" s="7"/>
      <x:c r="C19" s="7"/>
      <x:c r="D19" s="7"/>
      <x:c r="E19" s="7"/>
      <x:c r="F19" s="8"/>
      <x:c r="G19" s="8"/>
      <x:c r="H19" s="7"/>
      <x:c r="I19" s="7"/>
      <x:c r="J19" s="7"/>
      <x:c r="K19" s="7"/>
      <x:c r="L19" s="7"/>
      <x:c r="M19" s="15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</x:row>
    <x:row r="20" ht="34" customHeight="1">
      <x:c r="A20" s="7"/>
      <x:c r="B20" s="7"/>
      <x:c r="C20" s="7"/>
      <x:c r="D20" s="7"/>
      <x:c r="E20" s="7"/>
      <x:c r="F20" s="8"/>
      <x:c r="G20" s="8"/>
      <x:c r="H20" s="7"/>
      <x:c r="I20" s="7"/>
      <x:c r="J20" s="7"/>
      <x:c r="K20" s="7"/>
      <x:c r="L20" s="7"/>
      <x:c r="M20" s="15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</x:row>
    <x:row r="21" ht="34" customHeight="1">
      <x:c r="A21" s="7"/>
      <x:c r="B21" s="7"/>
      <x:c r="C21" s="7"/>
      <x:c r="D21" s="7"/>
      <x:c r="E21" s="7"/>
      <x:c r="F21" s="8"/>
      <x:c r="G21" s="8"/>
      <x:c r="H21" s="7"/>
      <x:c r="I21" s="7"/>
      <x:c r="J21" s="7"/>
      <x:c r="K21" s="7"/>
      <x:c r="L21" s="7"/>
      <x:c r="M21" s="15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</x:row>
    <x:row r="22" ht="34" customHeight="1">
      <x:c r="A22" s="7"/>
      <x:c r="B22" s="7"/>
      <x:c r="C22" s="7"/>
      <x:c r="D22" s="7"/>
      <x:c r="E22" s="7"/>
      <x:c r="F22" s="8"/>
      <x:c r="G22" s="8"/>
      <x:c r="H22" s="7"/>
      <x:c r="I22" s="7"/>
      <x:c r="J22" s="7"/>
      <x:c r="K22" s="7"/>
      <x:c r="L22" s="7"/>
      <x:c r="M22" s="15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</x:row>
    <x:row r="23" ht="34" customHeight="1">
      <x:c r="A23" s="7"/>
      <x:c r="B23" s="7"/>
      <x:c r="C23" s="7"/>
      <x:c r="D23" s="7"/>
      <x:c r="E23" s="7"/>
      <x:c r="F23" s="8"/>
      <x:c r="G23" s="8"/>
      <x:c r="H23" s="7"/>
      <x:c r="I23" s="7"/>
      <x:c r="J23" s="7"/>
      <x:c r="K23" s="7"/>
      <x:c r="L23" s="7"/>
      <x:c r="M23" s="15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</x:row>
    <x:row r="24" ht="34" customHeight="1">
      <x:c r="A24" s="7"/>
      <x:c r="B24" s="7"/>
      <x:c r="C24" s="7"/>
      <x:c r="D24" s="7"/>
      <x:c r="E24" s="7"/>
      <x:c r="F24" s="8"/>
      <x:c r="G24" s="8"/>
      <x:c r="H24" s="7"/>
      <x:c r="I24" s="7"/>
      <x:c r="J24" s="7"/>
      <x:c r="K24" s="7"/>
      <x:c r="L24" s="7"/>
      <x:c r="M24" s="15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</x:row>
    <x:row r="25" ht="34" customHeight="1">
      <x:c r="A25" s="7"/>
      <x:c r="B25" s="7"/>
      <x:c r="C25" s="7"/>
      <x:c r="D25" s="7"/>
      <x:c r="E25" s="7"/>
      <x:c r="F25" s="8"/>
      <x:c r="G25" s="8"/>
      <x:c r="H25" s="7"/>
      <x:c r="I25" s="7"/>
      <x:c r="J25" s="7"/>
      <x:c r="K25" s="7"/>
      <x:c r="L25" s="7"/>
      <x:c r="M25" s="15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</x:row>
    <x:row r="26" ht="34" customHeight="1">
      <x:c r="A26" s="7"/>
      <x:c r="B26" s="7"/>
      <x:c r="C26" s="7"/>
      <x:c r="D26" s="7"/>
      <x:c r="E26" s="7"/>
      <x:c r="F26" s="8"/>
      <x:c r="G26" s="8"/>
      <x:c r="H26" s="7"/>
      <x:c r="I26" s="7"/>
      <x:c r="J26" s="7"/>
      <x:c r="K26" s="7"/>
      <x:c r="L26" s="7"/>
      <x:c r="M26" s="15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</x:row>
    <x:row r="27" ht="34" customHeight="1">
      <x:c r="A27" s="7"/>
      <x:c r="B27" s="7"/>
      <x:c r="C27" s="7"/>
      <x:c r="D27" s="7"/>
      <x:c r="E27" s="7"/>
      <x:c r="F27" s="8"/>
      <x:c r="G27" s="8"/>
      <x:c r="H27" s="7"/>
      <x:c r="I27" s="7"/>
      <x:c r="J27" s="7"/>
      <x:c r="K27" s="7"/>
      <x:c r="L27" s="7"/>
      <x:c r="M27" s="15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7"/>
      <x:c r="AG27" s="7"/>
    </x:row>
    <x:row r="28" ht="34" customHeight="1">
      <x:c r="A28" s="7"/>
      <x:c r="B28" s="7"/>
      <x:c r="C28" s="7"/>
      <x:c r="D28" s="7"/>
      <x:c r="E28" s="7"/>
      <x:c r="F28" s="8"/>
      <x:c r="G28" s="8"/>
      <x:c r="H28" s="7"/>
      <x:c r="I28" s="7"/>
      <x:c r="J28" s="7"/>
      <x:c r="K28" s="7"/>
      <x:c r="L28" s="7"/>
      <x:c r="M28" s="15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7"/>
      <x:c r="AG28" s="7"/>
    </x:row>
    <x:row r="29" ht="34" customHeight="1">
      <x:c r="A29" s="7"/>
      <x:c r="B29" s="7"/>
      <x:c r="C29" s="7"/>
      <x:c r="D29" s="7"/>
      <x:c r="E29" s="7"/>
      <x:c r="F29" s="8"/>
      <x:c r="G29" s="8"/>
      <x:c r="H29" s="7"/>
      <x:c r="I29" s="7"/>
      <x:c r="J29" s="7"/>
      <x:c r="K29" s="7"/>
      <x:c r="L29" s="7"/>
      <x:c r="M29" s="15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7"/>
      <x:c r="AG29" s="7"/>
    </x:row>
    <x:row r="30" ht="34" customHeight="1">
      <x:c r="A30" s="7"/>
      <x:c r="B30" s="7"/>
      <x:c r="C30" s="7"/>
      <x:c r="D30" s="7"/>
      <x:c r="E30" s="7"/>
      <x:c r="F30" s="8"/>
      <x:c r="G30" s="8"/>
      <x:c r="H30" s="7"/>
      <x:c r="I30" s="7"/>
      <x:c r="J30" s="7"/>
      <x:c r="K30" s="7"/>
      <x:c r="L30" s="7"/>
      <x:c r="M30" s="15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7"/>
      <x:c r="AG30" s="7"/>
    </x:row>
    <x:row r="31" ht="34" customHeight="1">
      <x:c r="A31" s="7"/>
      <x:c r="B31" s="7"/>
      <x:c r="C31" s="7"/>
      <x:c r="D31" s="7"/>
      <x:c r="E31" s="7"/>
      <x:c r="F31" s="8"/>
      <x:c r="G31" s="8"/>
      <x:c r="H31" s="7"/>
      <x:c r="I31" s="7"/>
      <x:c r="J31" s="7"/>
      <x:c r="K31" s="7"/>
      <x:c r="L31" s="7"/>
      <x:c r="M31" s="15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7"/>
      <x:c r="AG31" s="7"/>
    </x:row>
    <x:row r="32" ht="34" customHeight="1">
      <x:c r="A32" s="7"/>
      <x:c r="B32" s="7"/>
      <x:c r="C32" s="7"/>
      <x:c r="D32" s="7"/>
      <x:c r="E32" s="7"/>
      <x:c r="F32" s="8"/>
      <x:c r="G32" s="8"/>
      <x:c r="H32" s="7"/>
      <x:c r="I32" s="7"/>
      <x:c r="J32" s="7"/>
      <x:c r="K32" s="7"/>
      <x:c r="L32" s="7"/>
      <x:c r="M32" s="15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7"/>
      <x:c r="AG32" s="7"/>
    </x:row>
    <x:row r="33" ht="34" customHeight="1">
      <x:c r="A33" s="7"/>
      <x:c r="B33" s="7"/>
      <x:c r="C33" s="7"/>
      <x:c r="D33" s="7"/>
      <x:c r="E33" s="7"/>
      <x:c r="F33" s="8"/>
      <x:c r="G33" s="8"/>
      <x:c r="H33" s="7"/>
      <x:c r="I33" s="7"/>
      <x:c r="J33" s="7"/>
      <x:c r="K33" s="7"/>
      <x:c r="L33" s="7"/>
      <x:c r="M33" s="15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7"/>
      <x:c r="AG33" s="7"/>
    </x:row>
    <x:row r="34" ht="34" customHeight="1">
      <x:c r="A34" s="7"/>
      <x:c r="B34" s="7"/>
      <x:c r="C34" s="7"/>
      <x:c r="D34" s="7"/>
      <x:c r="E34" s="7"/>
      <x:c r="F34" s="8"/>
      <x:c r="G34" s="8"/>
      <x:c r="H34" s="7"/>
      <x:c r="I34" s="7"/>
      <x:c r="J34" s="7"/>
      <x:c r="K34" s="7"/>
      <x:c r="L34" s="7"/>
      <x:c r="M34" s="15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7"/>
      <x:c r="AG34" s="7"/>
    </x:row>
    <x:row r="35" ht="34" customHeight="1">
      <x:c r="A35" s="7"/>
      <x:c r="B35" s="7"/>
      <x:c r="C35" s="7"/>
      <x:c r="D35" s="7"/>
      <x:c r="E35" s="7"/>
      <x:c r="F35" s="8"/>
      <x:c r="G35" s="8"/>
      <x:c r="H35" s="7"/>
      <x:c r="I35" s="7"/>
      <x:c r="J35" s="7"/>
      <x:c r="K35" s="7"/>
      <x:c r="L35" s="7"/>
      <x:c r="M35" s="15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7"/>
      <x:c r="AG35" s="7"/>
    </x:row>
    <x:row r="36" ht="34" customHeight="1">
      <x:c r="A36" s="7"/>
      <x:c r="B36" s="7"/>
      <x:c r="C36" s="7"/>
      <x:c r="D36" s="7"/>
      <x:c r="E36" s="7"/>
      <x:c r="F36" s="8"/>
      <x:c r="G36" s="8"/>
      <x:c r="H36" s="7"/>
      <x:c r="I36" s="7"/>
      <x:c r="J36" s="7"/>
      <x:c r="K36" s="7"/>
      <x:c r="L36" s="7"/>
      <x:c r="M36" s="15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7"/>
      <x:c r="AG36" s="7"/>
    </x:row>
    <x:row r="37" ht="34" customHeight="1">
      <x:c r="A37" s="7"/>
      <x:c r="B37" s="7"/>
      <x:c r="C37" s="7"/>
      <x:c r="D37" s="7"/>
      <x:c r="E37" s="7"/>
      <x:c r="F37" s="8"/>
      <x:c r="G37" s="8"/>
      <x:c r="H37" s="7"/>
      <x:c r="I37" s="7"/>
      <x:c r="J37" s="7"/>
      <x:c r="K37" s="7"/>
      <x:c r="L37" s="7"/>
      <x:c r="M37" s="15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7"/>
      <x:c r="AG37" s="7"/>
    </x:row>
    <x:row r="38" ht="34" customHeight="1">
      <x:c r="A38" s="7"/>
      <x:c r="B38" s="7"/>
      <x:c r="C38" s="7"/>
      <x:c r="D38" s="7"/>
      <x:c r="E38" s="7"/>
      <x:c r="F38" s="8"/>
      <x:c r="G38" s="8"/>
      <x:c r="H38" s="7"/>
      <x:c r="I38" s="7"/>
      <x:c r="J38" s="7"/>
      <x:c r="K38" s="7"/>
      <x:c r="L38" s="7"/>
      <x:c r="M38" s="15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7"/>
      <x:c r="AG38" s="7"/>
    </x:row>
    <x:row r="39" ht="34" customHeight="1">
      <x:c r="A39" s="7"/>
      <x:c r="B39" s="7"/>
      <x:c r="C39" s="7"/>
      <x:c r="D39" s="7"/>
      <x:c r="E39" s="7"/>
      <x:c r="F39" s="8"/>
      <x:c r="G39" s="8"/>
      <x:c r="H39" s="7"/>
      <x:c r="I39" s="7"/>
      <x:c r="J39" s="7"/>
      <x:c r="K39" s="7"/>
      <x:c r="L39" s="7"/>
      <x:c r="M39" s="15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7"/>
      <x:c r="AG39" s="7"/>
    </x:row>
    <x:row r="40" ht="34" customHeight="1">
      <x:c r="A40" s="7"/>
      <x:c r="B40" s="7"/>
      <x:c r="C40" s="7"/>
      <x:c r="D40" s="7"/>
      <x:c r="E40" s="7"/>
      <x:c r="F40" s="8"/>
      <x:c r="G40" s="8"/>
      <x:c r="H40" s="7"/>
      <x:c r="I40" s="7"/>
      <x:c r="J40" s="7"/>
      <x:c r="K40" s="7"/>
      <x:c r="L40" s="7"/>
      <x:c r="M40" s="15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7"/>
      <x:c r="AG40" s="7"/>
    </x:row>
    <x:row r="41" ht="34" customHeight="1">
      <x:c r="A41" s="7"/>
      <x:c r="B41" s="7"/>
      <x:c r="C41" s="7"/>
      <x:c r="D41" s="7"/>
      <x:c r="E41" s="7"/>
      <x:c r="F41" s="8"/>
      <x:c r="G41" s="8"/>
      <x:c r="H41" s="7"/>
      <x:c r="I41" s="7"/>
      <x:c r="J41" s="7"/>
      <x:c r="K41" s="7"/>
      <x:c r="L41" s="7"/>
      <x:c r="M41" s="15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7"/>
      <x:c r="AG41" s="7"/>
    </x:row>
    <x:row r="42" ht="34" customHeight="1">
      <x:c r="A42" s="7"/>
      <x:c r="B42" s="7"/>
      <x:c r="C42" s="7"/>
      <x:c r="D42" s="7"/>
      <x:c r="E42" s="7"/>
      <x:c r="F42" s="8"/>
      <x:c r="G42" s="8"/>
      <x:c r="H42" s="7"/>
      <x:c r="I42" s="7"/>
      <x:c r="J42" s="7"/>
      <x:c r="K42" s="7"/>
      <x:c r="L42" s="7"/>
      <x:c r="M42" s="15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7"/>
      <x:c r="AG42" s="7"/>
    </x:row>
    <x:row r="43" ht="34" customHeight="1">
      <x:c r="A43" s="7"/>
      <x:c r="B43" s="7"/>
      <x:c r="C43" s="7"/>
      <x:c r="D43" s="7"/>
      <x:c r="E43" s="7"/>
      <x:c r="F43" s="8"/>
      <x:c r="G43" s="8"/>
      <x:c r="H43" s="7"/>
      <x:c r="I43" s="7"/>
      <x:c r="J43" s="7"/>
      <x:c r="K43" s="7"/>
      <x:c r="L43" s="7"/>
      <x:c r="M43" s="15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7"/>
      <x:c r="AG43" s="7"/>
    </x:row>
    <x:row r="44" ht="34" customHeight="1">
      <x:c r="A44" s="7"/>
      <x:c r="B44" s="7"/>
      <x:c r="C44" s="7"/>
      <x:c r="D44" s="7"/>
      <x:c r="E44" s="7"/>
      <x:c r="F44" s="8"/>
      <x:c r="G44" s="8"/>
      <x:c r="H44" s="7"/>
      <x:c r="I44" s="7"/>
      <x:c r="J44" s="7"/>
      <x:c r="K44" s="7"/>
      <x:c r="L44" s="7"/>
      <x:c r="M44" s="15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</x:row>
    <x:row r="45" ht="34" customHeight="1">
      <x:c r="A45" s="7"/>
      <x:c r="B45" s="7"/>
      <x:c r="C45" s="7"/>
      <x:c r="D45" s="7"/>
      <x:c r="E45" s="7"/>
      <x:c r="F45" s="8"/>
      <x:c r="G45" s="8"/>
      <x:c r="H45" s="7"/>
      <x:c r="I45" s="7"/>
      <x:c r="J45" s="7"/>
      <x:c r="K45" s="7"/>
      <x:c r="L45" s="7"/>
      <x:c r="M45" s="15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7"/>
      <x:c r="AG45" s="7"/>
    </x:row>
    <x:row r="46" ht="34" customHeight="1">
      <x:c r="A46" s="7"/>
      <x:c r="B46" s="7"/>
      <x:c r="C46" s="7"/>
      <x:c r="D46" s="7"/>
      <x:c r="E46" s="7"/>
      <x:c r="F46" s="8"/>
      <x:c r="G46" s="8"/>
      <x:c r="H46" s="7"/>
      <x:c r="I46" s="7"/>
      <x:c r="J46" s="7"/>
      <x:c r="K46" s="7"/>
      <x:c r="L46" s="7"/>
      <x:c r="M46" s="15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7"/>
      <x:c r="AG46" s="7"/>
    </x:row>
    <x:row r="47" ht="34" customHeight="1">
      <x:c r="A47" s="7"/>
      <x:c r="B47" s="7"/>
      <x:c r="C47" s="7"/>
      <x:c r="D47" s="7"/>
      <x:c r="E47" s="7"/>
      <x:c r="F47" s="8"/>
      <x:c r="G47" s="8"/>
      <x:c r="H47" s="7"/>
      <x:c r="I47" s="7"/>
      <x:c r="J47" s="7"/>
      <x:c r="K47" s="7"/>
      <x:c r="L47" s="7"/>
      <x:c r="M47" s="15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7"/>
      <x:c r="AG47" s="7"/>
    </x:row>
    <x:row r="48" ht="34" customHeight="1">
      <x:c r="A48" s="7"/>
      <x:c r="B48" s="7"/>
      <x:c r="C48" s="7"/>
      <x:c r="D48" s="7"/>
      <x:c r="E48" s="7"/>
      <x:c r="F48" s="8"/>
      <x:c r="G48" s="8"/>
      <x:c r="H48" s="7"/>
      <x:c r="I48" s="7"/>
      <x:c r="J48" s="7"/>
      <x:c r="K48" s="7"/>
      <x:c r="L48" s="7"/>
      <x:c r="M48" s="15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7"/>
      <x:c r="AG48" s="7"/>
    </x:row>
    <x:row r="49" ht="34" customHeight="1">
      <x:c r="A49" s="7"/>
      <x:c r="B49" s="7"/>
      <x:c r="C49" s="7"/>
      <x:c r="D49" s="7"/>
      <x:c r="E49" s="7"/>
      <x:c r="F49" s="8"/>
      <x:c r="G49" s="8"/>
      <x:c r="H49" s="7"/>
      <x:c r="I49" s="7"/>
      <x:c r="J49" s="7"/>
      <x:c r="K49" s="7"/>
      <x:c r="L49" s="7"/>
      <x:c r="M49" s="15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7"/>
      <x:c r="AG49" s="7"/>
    </x:row>
    <x:row r="50" ht="34" customHeight="1">
      <x:c r="A50" s="7"/>
      <x:c r="B50" s="7"/>
      <x:c r="C50" s="7"/>
      <x:c r="D50" s="7"/>
      <x:c r="E50" s="7"/>
      <x:c r="F50" s="8"/>
      <x:c r="G50" s="8"/>
      <x:c r="H50" s="7"/>
      <x:c r="I50" s="7"/>
      <x:c r="J50" s="7"/>
      <x:c r="K50" s="7"/>
      <x:c r="L50" s="7"/>
      <x:c r="M50" s="15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7"/>
      <x:c r="AG50" s="7"/>
    </x:row>
    <x:row r="51" ht="34" customHeight="1">
      <x:c r="A51" s="7"/>
      <x:c r="B51" s="7"/>
      <x:c r="C51" s="7"/>
      <x:c r="D51" s="7"/>
      <x:c r="E51" s="7"/>
      <x:c r="F51" s="8"/>
      <x:c r="G51" s="8"/>
      <x:c r="H51" s="7"/>
      <x:c r="I51" s="7"/>
      <x:c r="J51" s="7"/>
      <x:c r="K51" s="7"/>
      <x:c r="L51" s="7"/>
      <x:c r="M51" s="15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7"/>
      <x:c r="AG51" s="7"/>
    </x:row>
    <x:row r="52" ht="34" customHeight="1">
      <x:c r="A52" s="7"/>
      <x:c r="B52" s="7"/>
      <x:c r="C52" s="7"/>
      <x:c r="D52" s="7"/>
      <x:c r="E52" s="7"/>
      <x:c r="F52" s="8"/>
      <x:c r="G52" s="8"/>
      <x:c r="H52" s="7"/>
      <x:c r="I52" s="7"/>
      <x:c r="J52" s="7"/>
      <x:c r="K52" s="7"/>
      <x:c r="L52" s="7"/>
      <x:c r="M52" s="15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7"/>
      <x:c r="AG52" s="7"/>
    </x:row>
    <x:row r="53" ht="34" customHeight="1">
      <x:c r="A53" s="7"/>
      <x:c r="B53" s="7"/>
      <x:c r="C53" s="7"/>
      <x:c r="D53" s="7"/>
      <x:c r="E53" s="7"/>
      <x:c r="F53" s="8"/>
      <x:c r="G53" s="8"/>
      <x:c r="H53" s="7"/>
      <x:c r="I53" s="7"/>
      <x:c r="J53" s="7"/>
      <x:c r="K53" s="7"/>
      <x:c r="L53" s="7"/>
      <x:c r="M53" s="15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7"/>
      <x:c r="AG53" s="7"/>
    </x:row>
    <x:row r="54" ht="34" customHeight="1">
      <x:c r="A54" s="7"/>
      <x:c r="B54" s="7"/>
      <x:c r="C54" s="7"/>
      <x:c r="D54" s="7"/>
      <x:c r="E54" s="7"/>
      <x:c r="F54" s="8"/>
      <x:c r="G54" s="8"/>
      <x:c r="H54" s="7"/>
      <x:c r="I54" s="7"/>
      <x:c r="J54" s="7"/>
      <x:c r="K54" s="7"/>
      <x:c r="L54" s="7"/>
      <x:c r="M54" s="15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7"/>
      <x:c r="AG54" s="7"/>
    </x:row>
    <x:row r="55" ht="34" customHeight="1">
      <x:c r="A55" s="7"/>
      <x:c r="B55" s="7"/>
      <x:c r="C55" s="7"/>
      <x:c r="D55" s="7"/>
      <x:c r="E55" s="7"/>
      <x:c r="F55" s="8"/>
      <x:c r="G55" s="8"/>
      <x:c r="H55" s="7"/>
      <x:c r="I55" s="7"/>
      <x:c r="J55" s="7"/>
      <x:c r="K55" s="7"/>
      <x:c r="L55" s="7"/>
      <x:c r="M55" s="15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7"/>
      <x:c r="AG55" s="7"/>
    </x:row>
    <x:row r="56" ht="34" customHeight="1">
      <x:c r="A56" s="7"/>
      <x:c r="B56" s="7"/>
      <x:c r="C56" s="7"/>
      <x:c r="D56" s="7"/>
      <x:c r="E56" s="7"/>
      <x:c r="F56" s="8"/>
      <x:c r="G56" s="8"/>
      <x:c r="H56" s="7"/>
      <x:c r="I56" s="7"/>
      <x:c r="J56" s="7"/>
      <x:c r="K56" s="7"/>
      <x:c r="L56" s="7"/>
      <x:c r="M56" s="15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7"/>
      <x:c r="AG56" s="7"/>
    </x:row>
    <x:row r="57" ht="34" customHeight="1">
      <x:c r="A57" s="7"/>
      <x:c r="B57" s="7"/>
      <x:c r="C57" s="7"/>
      <x:c r="D57" s="7"/>
      <x:c r="E57" s="7"/>
      <x:c r="F57" s="8"/>
      <x:c r="G57" s="8"/>
      <x:c r="H57" s="7"/>
      <x:c r="I57" s="7"/>
      <x:c r="J57" s="7"/>
      <x:c r="K57" s="7"/>
      <x:c r="L57" s="7"/>
      <x:c r="M57" s="15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7"/>
      <x:c r="AG57" s="7"/>
    </x:row>
    <x:row r="58" ht="34" customHeight="1">
      <x:c r="A58" s="7"/>
      <x:c r="B58" s="7"/>
      <x:c r="C58" s="7"/>
      <x:c r="D58" s="7"/>
      <x:c r="E58" s="7"/>
      <x:c r="F58" s="8"/>
      <x:c r="G58" s="8"/>
      <x:c r="H58" s="7"/>
      <x:c r="I58" s="7"/>
      <x:c r="J58" s="7"/>
      <x:c r="K58" s="7"/>
      <x:c r="L58" s="7"/>
      <x:c r="M58" s="15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7"/>
      <x:c r="AG58" s="7"/>
    </x:row>
    <x:row r="59" ht="34" customHeight="1">
      <x:c r="A59" s="7"/>
      <x:c r="B59" s="7"/>
      <x:c r="C59" s="7"/>
      <x:c r="D59" s="7"/>
      <x:c r="E59" s="7"/>
      <x:c r="F59" s="8"/>
      <x:c r="G59" s="8"/>
      <x:c r="H59" s="7"/>
      <x:c r="I59" s="7"/>
      <x:c r="J59" s="7"/>
      <x:c r="K59" s="7"/>
      <x:c r="L59" s="7"/>
      <x:c r="M59" s="15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7"/>
      <x:c r="AG59" s="7"/>
    </x:row>
    <x:row r="60" ht="34" customHeight="1">
      <x:c r="A60" s="7"/>
      <x:c r="B60" s="7"/>
      <x:c r="C60" s="7"/>
      <x:c r="D60" s="7"/>
      <x:c r="E60" s="7"/>
      <x:c r="F60" s="8"/>
      <x:c r="G60" s="8"/>
      <x:c r="H60" s="7"/>
      <x:c r="I60" s="7"/>
      <x:c r="J60" s="7"/>
      <x:c r="K60" s="7"/>
      <x:c r="L60" s="7"/>
      <x:c r="M60" s="15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7"/>
      <x:c r="AG60" s="7"/>
    </x:row>
    <x:row r="61" ht="34" customHeight="1">
      <x:c r="A61" s="7"/>
      <x:c r="B61" s="7"/>
      <x:c r="C61" s="7"/>
      <x:c r="D61" s="7"/>
      <x:c r="E61" s="7"/>
      <x:c r="F61" s="8"/>
      <x:c r="G61" s="8"/>
      <x:c r="H61" s="7"/>
      <x:c r="I61" s="7"/>
      <x:c r="J61" s="7"/>
      <x:c r="K61" s="7"/>
      <x:c r="L61" s="7"/>
      <x:c r="M61" s="15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7"/>
      <x:c r="AG61" s="7"/>
    </x:row>
    <x:row r="62" ht="34" customHeight="1">
      <x:c r="A62" s="7"/>
      <x:c r="B62" s="7"/>
      <x:c r="C62" s="7"/>
      <x:c r="D62" s="7"/>
      <x:c r="E62" s="7"/>
      <x:c r="F62" s="8"/>
      <x:c r="G62" s="8"/>
      <x:c r="H62" s="7"/>
      <x:c r="I62" s="7"/>
      <x:c r="J62" s="7"/>
      <x:c r="K62" s="7"/>
      <x:c r="L62" s="7"/>
      <x:c r="M62" s="15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7"/>
      <x:c r="AG62" s="7"/>
    </x:row>
    <x:row r="63" ht="34" customHeight="1">
      <x:c r="A63" s="7"/>
      <x:c r="B63" s="7"/>
      <x:c r="C63" s="7"/>
      <x:c r="D63" s="7"/>
      <x:c r="E63" s="7"/>
      <x:c r="F63" s="8"/>
      <x:c r="G63" s="8"/>
      <x:c r="H63" s="7"/>
      <x:c r="I63" s="7"/>
      <x:c r="J63" s="7"/>
      <x:c r="K63" s="7"/>
      <x:c r="L63" s="7"/>
      <x:c r="M63" s="15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7"/>
      <x:c r="AG63" s="7"/>
    </x:row>
    <x:row r="64" ht="34" customHeight="1">
      <x:c r="A64" s="7"/>
      <x:c r="B64" s="7"/>
      <x:c r="C64" s="7"/>
      <x:c r="D64" s="7"/>
      <x:c r="E64" s="7"/>
      <x:c r="F64" s="8"/>
      <x:c r="G64" s="8"/>
      <x:c r="H64" s="7"/>
      <x:c r="I64" s="7"/>
      <x:c r="J64" s="7"/>
      <x:c r="K64" s="7"/>
      <x:c r="L64" s="7"/>
      <x:c r="M64" s="15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7"/>
      <x:c r="AG64" s="7"/>
    </x:row>
    <x:row r="65" ht="34" customHeight="1">
      <x:c r="A65" s="7"/>
      <x:c r="B65" s="7"/>
      <x:c r="C65" s="7"/>
      <x:c r="D65" s="7"/>
      <x:c r="E65" s="7"/>
      <x:c r="F65" s="8"/>
      <x:c r="G65" s="8"/>
      <x:c r="H65" s="7"/>
      <x:c r="I65" s="7"/>
      <x:c r="J65" s="7"/>
      <x:c r="K65" s="7"/>
      <x:c r="L65" s="7"/>
      <x:c r="M65" s="15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7"/>
      <x:c r="AG65" s="7"/>
    </x:row>
    <x:row r="66" ht="34" customHeight="1">
      <x:c r="A66" s="7"/>
      <x:c r="B66" s="7"/>
      <x:c r="C66" s="7"/>
      <x:c r="D66" s="7"/>
      <x:c r="E66" s="7"/>
      <x:c r="F66" s="8"/>
      <x:c r="G66" s="8"/>
      <x:c r="H66" s="7"/>
      <x:c r="I66" s="7"/>
      <x:c r="J66" s="7"/>
      <x:c r="K66" s="7"/>
      <x:c r="L66" s="7"/>
      <x:c r="M66" s="15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7"/>
      <x:c r="AF66" s="7"/>
      <x:c r="AG66" s="7"/>
    </x:row>
    <x:row r="67" ht="34" customHeight="1">
      <x:c r="A67" s="7"/>
      <x:c r="B67" s="7"/>
      <x:c r="C67" s="7"/>
      <x:c r="D67" s="7"/>
      <x:c r="E67" s="7"/>
      <x:c r="F67" s="8"/>
      <x:c r="G67" s="8"/>
      <x:c r="H67" s="7"/>
      <x:c r="I67" s="7"/>
      <x:c r="J67" s="7"/>
      <x:c r="K67" s="7"/>
      <x:c r="L67" s="7"/>
      <x:c r="M67" s="15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7"/>
      <x:c r="AF67" s="7"/>
      <x:c r="AG67" s="7"/>
    </x:row>
    <x:row r="68" ht="34" customHeight="1">
      <x:c r="A68" s="7"/>
      <x:c r="B68" s="7"/>
      <x:c r="C68" s="7"/>
      <x:c r="D68" s="7"/>
      <x:c r="E68" s="7"/>
      <x:c r="F68" s="8"/>
      <x:c r="G68" s="8"/>
      <x:c r="H68" s="7"/>
      <x:c r="I68" s="7"/>
      <x:c r="J68" s="7"/>
      <x:c r="K68" s="7"/>
      <x:c r="L68" s="7"/>
      <x:c r="M68" s="15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7"/>
      <x:c r="AF68" s="7"/>
      <x:c r="AG68" s="7"/>
    </x:row>
    <x:row r="69" ht="34" customHeight="1">
      <x:c r="A69" s="7"/>
      <x:c r="B69" s="7"/>
      <x:c r="C69" s="7"/>
      <x:c r="D69" s="7"/>
      <x:c r="E69" s="7"/>
      <x:c r="F69" s="8"/>
      <x:c r="G69" s="8"/>
      <x:c r="H69" s="7"/>
      <x:c r="I69" s="7"/>
      <x:c r="J69" s="7"/>
      <x:c r="K69" s="7"/>
      <x:c r="L69" s="7"/>
      <x:c r="M69" s="15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7"/>
      <x:c r="AF69" s="7"/>
      <x:c r="AG69" s="7"/>
    </x:row>
    <x:row r="70" ht="34" customHeight="1">
      <x:c r="A70" s="7"/>
      <x:c r="B70" s="7"/>
      <x:c r="C70" s="7"/>
      <x:c r="D70" s="7"/>
      <x:c r="E70" s="7"/>
      <x:c r="F70" s="8"/>
      <x:c r="G70" s="8"/>
      <x:c r="H70" s="7"/>
      <x:c r="I70" s="7"/>
      <x:c r="J70" s="7"/>
      <x:c r="K70" s="7"/>
      <x:c r="L70" s="7"/>
      <x:c r="M70" s="15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7"/>
      <x:c r="AF70" s="7"/>
      <x:c r="AG70" s="7"/>
    </x:row>
    <x:row r="71" ht="34" customHeight="1">
      <x:c r="A71" s="7"/>
      <x:c r="B71" s="7"/>
      <x:c r="C71" s="7"/>
      <x:c r="D71" s="7"/>
      <x:c r="E71" s="7"/>
      <x:c r="F71" s="8"/>
      <x:c r="G71" s="8"/>
      <x:c r="H71" s="7"/>
      <x:c r="I71" s="7"/>
      <x:c r="J71" s="7"/>
      <x:c r="K71" s="7"/>
      <x:c r="L71" s="7"/>
      <x:c r="M71" s="15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7"/>
      <x:c r="AF71" s="7"/>
      <x:c r="AG71" s="7"/>
    </x:row>
    <x:row r="72" ht="34" customHeight="1">
      <x:c r="A72" s="7"/>
      <x:c r="B72" s="7"/>
      <x:c r="C72" s="7"/>
      <x:c r="D72" s="7"/>
      <x:c r="E72" s="7"/>
      <x:c r="F72" s="8"/>
      <x:c r="G72" s="8"/>
      <x:c r="H72" s="7"/>
      <x:c r="I72" s="7"/>
      <x:c r="J72" s="7"/>
      <x:c r="K72" s="7"/>
      <x:c r="L72" s="7"/>
      <x:c r="M72" s="15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7"/>
      <x:c r="AF72" s="7"/>
      <x:c r="AG72" s="7"/>
    </x:row>
    <x:row r="73" ht="34" customHeight="1">
      <x:c r="A73" s="7"/>
      <x:c r="B73" s="7"/>
      <x:c r="C73" s="7"/>
      <x:c r="D73" s="7"/>
      <x:c r="E73" s="7"/>
      <x:c r="F73" s="8"/>
      <x:c r="G73" s="8"/>
      <x:c r="H73" s="7"/>
      <x:c r="I73" s="7"/>
      <x:c r="J73" s="7"/>
      <x:c r="K73" s="7"/>
      <x:c r="L73" s="7"/>
      <x:c r="M73" s="15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7"/>
      <x:c r="AF73" s="7"/>
      <x:c r="AG73" s="7"/>
    </x:row>
    <x:row r="74" ht="34" customHeight="1">
      <x:c r="A74" s="7"/>
      <x:c r="B74" s="7"/>
      <x:c r="C74" s="7"/>
      <x:c r="D74" s="7"/>
      <x:c r="E74" s="7"/>
      <x:c r="F74" s="8"/>
      <x:c r="G74" s="8"/>
      <x:c r="H74" s="7"/>
      <x:c r="I74" s="7"/>
      <x:c r="J74" s="7"/>
      <x:c r="K74" s="7"/>
      <x:c r="L74" s="7"/>
      <x:c r="M74" s="15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7"/>
      <x:c r="AF74" s="7"/>
      <x:c r="AG74" s="7"/>
    </x:row>
    <x:row r="75" ht="34" customHeight="1">
      <x:c r="A75" s="7"/>
      <x:c r="B75" s="7"/>
      <x:c r="C75" s="7"/>
      <x:c r="D75" s="7"/>
      <x:c r="E75" s="7"/>
      <x:c r="F75" s="8"/>
      <x:c r="G75" s="8"/>
      <x:c r="H75" s="7"/>
      <x:c r="I75" s="7"/>
      <x:c r="J75" s="7"/>
      <x:c r="K75" s="7"/>
      <x:c r="L75" s="7"/>
      <x:c r="M75" s="15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7"/>
      <x:c r="AF75" s="7"/>
      <x:c r="AG75" s="7"/>
    </x:row>
    <x:row r="76" ht="34" customHeight="1">
      <x:c r="A76" s="7"/>
      <x:c r="B76" s="7"/>
      <x:c r="C76" s="7"/>
      <x:c r="D76" s="7"/>
      <x:c r="E76" s="7"/>
      <x:c r="F76" s="8"/>
      <x:c r="G76" s="8"/>
      <x:c r="H76" s="7"/>
      <x:c r="I76" s="7"/>
      <x:c r="J76" s="7"/>
      <x:c r="K76" s="7"/>
      <x:c r="L76" s="7"/>
      <x:c r="M76" s="15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7"/>
      <x:c r="AF76" s="7"/>
      <x:c r="AG76" s="7"/>
    </x:row>
    <x:row r="77" ht="34" customHeight="1">
      <x:c r="A77" s="7"/>
      <x:c r="B77" s="7"/>
      <x:c r="C77" s="7"/>
      <x:c r="D77" s="7"/>
      <x:c r="E77" s="7"/>
      <x:c r="F77" s="8"/>
      <x:c r="G77" s="8"/>
      <x:c r="H77" s="7"/>
      <x:c r="I77" s="7"/>
      <x:c r="J77" s="7"/>
      <x:c r="K77" s="7"/>
      <x:c r="L77" s="7"/>
      <x:c r="M77" s="15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7"/>
      <x:c r="AF77" s="7"/>
      <x:c r="AG77" s="7"/>
    </x:row>
    <x:row r="78" ht="34" customHeight="1">
      <x:c r="A78" s="7"/>
      <x:c r="B78" s="7"/>
      <x:c r="C78" s="7"/>
      <x:c r="D78" s="7"/>
      <x:c r="E78" s="7"/>
      <x:c r="F78" s="8"/>
      <x:c r="G78" s="8"/>
      <x:c r="H78" s="7"/>
      <x:c r="I78" s="7"/>
      <x:c r="J78" s="7"/>
      <x:c r="K78" s="7"/>
      <x:c r="L78" s="7"/>
      <x:c r="M78" s="15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7"/>
      <x:c r="AF78" s="7"/>
      <x:c r="AG78" s="7"/>
    </x:row>
    <x:row r="79" ht="34" customHeight="1">
      <x:c r="A79" s="7"/>
      <x:c r="B79" s="7"/>
      <x:c r="C79" s="7"/>
      <x:c r="D79" s="7"/>
      <x:c r="E79" s="7"/>
      <x:c r="F79" s="8"/>
      <x:c r="G79" s="8"/>
      <x:c r="H79" s="7"/>
      <x:c r="I79" s="7"/>
      <x:c r="J79" s="7"/>
      <x:c r="K79" s="7"/>
      <x:c r="L79" s="7"/>
      <x:c r="M79" s="15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7"/>
      <x:c r="AF79" s="7"/>
      <x:c r="AG79" s="7"/>
    </x:row>
    <x:row r="80" ht="34" customHeight="1">
      <x:c r="A80" s="7"/>
      <x:c r="B80" s="7"/>
      <x:c r="C80" s="7"/>
      <x:c r="D80" s="7"/>
      <x:c r="E80" s="7"/>
      <x:c r="F80" s="8"/>
      <x:c r="G80" s="8"/>
      <x:c r="H80" s="7"/>
      <x:c r="I80" s="7"/>
      <x:c r="J80" s="7"/>
      <x:c r="K80" s="7"/>
      <x:c r="L80" s="7"/>
      <x:c r="M80" s="15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7"/>
      <x:c r="AF80" s="7"/>
      <x:c r="AG80" s="7"/>
    </x:row>
    <x:row r="81" ht="34" customHeight="1">
      <x:c r="A81" s="7"/>
      <x:c r="B81" s="7"/>
      <x:c r="C81" s="7"/>
      <x:c r="D81" s="7"/>
      <x:c r="E81" s="7"/>
      <x:c r="F81" s="8"/>
      <x:c r="G81" s="8"/>
      <x:c r="H81" s="7"/>
      <x:c r="I81" s="7"/>
      <x:c r="J81" s="7"/>
      <x:c r="K81" s="7"/>
      <x:c r="L81" s="7"/>
      <x:c r="M81" s="15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7"/>
      <x:c r="AF81" s="7"/>
      <x:c r="AG81" s="7"/>
    </x:row>
    <x:row r="82" ht="34" customHeight="1">
      <x:c r="A82" s="7"/>
      <x:c r="B82" s="7"/>
      <x:c r="C82" s="7"/>
      <x:c r="D82" s="7"/>
      <x:c r="E82" s="7"/>
      <x:c r="F82" s="8"/>
      <x:c r="G82" s="8"/>
      <x:c r="H82" s="7"/>
      <x:c r="I82" s="7"/>
      <x:c r="J82" s="7"/>
      <x:c r="K82" s="7"/>
      <x:c r="L82" s="7"/>
      <x:c r="M82" s="15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7"/>
      <x:c r="AF82" s="7"/>
      <x:c r="AG82" s="7"/>
    </x:row>
    <x:row r="83" ht="34" customHeight="1">
      <x:c r="A83" s="7"/>
      <x:c r="B83" s="7"/>
      <x:c r="C83" s="7"/>
      <x:c r="D83" s="7"/>
      <x:c r="E83" s="7"/>
      <x:c r="F83" s="8"/>
      <x:c r="G83" s="8"/>
      <x:c r="H83" s="7"/>
      <x:c r="I83" s="7"/>
      <x:c r="J83" s="7"/>
      <x:c r="K83" s="7"/>
      <x:c r="L83" s="7"/>
      <x:c r="M83" s="15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7"/>
      <x:c r="AF83" s="7"/>
      <x:c r="AG83" s="7"/>
    </x:row>
    <x:row r="84" ht="34" customHeight="1">
      <x:c r="A84" s="7"/>
      <x:c r="B84" s="7"/>
      <x:c r="C84" s="7"/>
      <x:c r="D84" s="7"/>
      <x:c r="E84" s="7"/>
      <x:c r="F84" s="8"/>
      <x:c r="G84" s="8"/>
      <x:c r="H84" s="7"/>
      <x:c r="I84" s="7"/>
      <x:c r="J84" s="7"/>
      <x:c r="K84" s="7"/>
      <x:c r="L84" s="7"/>
      <x:c r="M84" s="15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</x:row>
    <x:row r="85" ht="34" customHeight="1">
      <x:c r="A85" s="7"/>
      <x:c r="B85" s="7"/>
      <x:c r="C85" s="7"/>
      <x:c r="D85" s="7"/>
      <x:c r="E85" s="7"/>
      <x:c r="F85" s="8"/>
      <x:c r="G85" s="8"/>
      <x:c r="H85" s="7"/>
      <x:c r="I85" s="7"/>
      <x:c r="J85" s="7"/>
      <x:c r="K85" s="7"/>
      <x:c r="L85" s="7"/>
      <x:c r="M85" s="15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</x:row>
    <x:row r="86" ht="34" customHeight="1">
      <x:c r="A86" s="7"/>
      <x:c r="B86" s="7"/>
      <x:c r="C86" s="7"/>
      <x:c r="D86" s="7"/>
      <x:c r="E86" s="7"/>
      <x:c r="F86" s="8"/>
      <x:c r="G86" s="8"/>
      <x:c r="H86" s="7"/>
      <x:c r="I86" s="7"/>
      <x:c r="J86" s="7"/>
      <x:c r="K86" s="7"/>
      <x:c r="L86" s="7"/>
      <x:c r="M86" s="15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7"/>
      <x:c r="AF86" s="7"/>
      <x:c r="AG86" s="7"/>
    </x:row>
    <x:row r="87" ht="34" customHeight="1">
      <x:c r="A87" s="7"/>
      <x:c r="B87" s="7"/>
      <x:c r="C87" s="7"/>
      <x:c r="D87" s="7"/>
      <x:c r="E87" s="7"/>
      <x:c r="F87" s="8"/>
      <x:c r="G87" s="8"/>
      <x:c r="H87" s="7"/>
      <x:c r="I87" s="7"/>
      <x:c r="J87" s="7"/>
      <x:c r="K87" s="7"/>
      <x:c r="L87" s="7"/>
      <x:c r="M87" s="15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7"/>
      <x:c r="AF87" s="7"/>
      <x:c r="AG87" s="7"/>
    </x:row>
    <x:row r="88" ht="34" customHeight="1">
      <x:c r="A88" s="7"/>
      <x:c r="B88" s="7"/>
      <x:c r="C88" s="7"/>
      <x:c r="D88" s="7"/>
      <x:c r="E88" s="7"/>
      <x:c r="F88" s="8"/>
      <x:c r="G88" s="8"/>
      <x:c r="H88" s="7"/>
      <x:c r="I88" s="7"/>
      <x:c r="J88" s="7"/>
      <x:c r="K88" s="7"/>
      <x:c r="L88" s="7"/>
      <x:c r="M88" s="15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7"/>
      <x:c r="AF88" s="7"/>
      <x:c r="AG88" s="7"/>
    </x:row>
    <x:row r="89" ht="34" customHeight="1">
      <x:c r="A89" s="7"/>
      <x:c r="B89" s="7"/>
      <x:c r="C89" s="7"/>
      <x:c r="D89" s="7"/>
      <x:c r="E89" s="7"/>
      <x:c r="F89" s="8"/>
      <x:c r="G89" s="8"/>
      <x:c r="H89" s="7"/>
      <x:c r="I89" s="7"/>
      <x:c r="J89" s="7"/>
      <x:c r="K89" s="7"/>
      <x:c r="L89" s="7"/>
      <x:c r="M89" s="15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7"/>
      <x:c r="AF89" s="7"/>
      <x:c r="AG89" s="7"/>
    </x:row>
    <x:row r="90" ht="34" customHeight="1">
      <x:c r="A90" s="7"/>
      <x:c r="B90" s="7"/>
      <x:c r="C90" s="7"/>
      <x:c r="D90" s="7"/>
      <x:c r="E90" s="7"/>
      <x:c r="F90" s="8"/>
      <x:c r="G90" s="8"/>
      <x:c r="H90" s="7"/>
      <x:c r="I90" s="7"/>
      <x:c r="J90" s="7"/>
      <x:c r="K90" s="7"/>
      <x:c r="L90" s="7"/>
      <x:c r="M90" s="15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7"/>
      <x:c r="AF90" s="7"/>
      <x:c r="AG90" s="7"/>
    </x:row>
    <x:row r="91" ht="34" customHeight="1">
      <x:c r="A91" s="7"/>
      <x:c r="B91" s="7"/>
      <x:c r="C91" s="7"/>
      <x:c r="D91" s="7"/>
      <x:c r="E91" s="7"/>
      <x:c r="F91" s="8"/>
      <x:c r="G91" s="8"/>
      <x:c r="H91" s="7"/>
      <x:c r="I91" s="7"/>
      <x:c r="J91" s="7"/>
      <x:c r="K91" s="7"/>
      <x:c r="L91" s="7"/>
      <x:c r="M91" s="15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7"/>
      <x:c r="AF91" s="7"/>
      <x:c r="AG91" s="7"/>
    </x:row>
    <x:row r="92" ht="34" customHeight="1">
      <x:c r="A92" s="7"/>
      <x:c r="B92" s="7"/>
      <x:c r="C92" s="7"/>
      <x:c r="D92" s="7"/>
      <x:c r="E92" s="7"/>
      <x:c r="F92" s="8"/>
      <x:c r="G92" s="8"/>
      <x:c r="H92" s="7"/>
      <x:c r="I92" s="7"/>
      <x:c r="J92" s="7"/>
      <x:c r="K92" s="7"/>
      <x:c r="L92" s="7"/>
      <x:c r="M92" s="15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7"/>
      <x:c r="AF92" s="7"/>
      <x:c r="AG92" s="7"/>
    </x:row>
    <x:row r="93" ht="34" customHeight="1">
      <x:c r="A93" s="7"/>
      <x:c r="B93" s="7"/>
      <x:c r="C93" s="7"/>
      <x:c r="D93" s="7"/>
      <x:c r="E93" s="7"/>
      <x:c r="F93" s="8"/>
      <x:c r="G93" s="8"/>
      <x:c r="H93" s="7"/>
      <x:c r="I93" s="7"/>
      <x:c r="J93" s="7"/>
      <x:c r="K93" s="7"/>
      <x:c r="L93" s="7"/>
      <x:c r="M93" s="15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7"/>
      <x:c r="AF93" s="7"/>
      <x:c r="AG93" s="7"/>
    </x:row>
    <x:row r="94" ht="34" customHeight="1">
      <x:c r="A94" s="7"/>
      <x:c r="B94" s="7"/>
      <x:c r="C94" s="7"/>
      <x:c r="D94" s="7"/>
      <x:c r="E94" s="7"/>
      <x:c r="F94" s="8"/>
      <x:c r="G94" s="8"/>
      <x:c r="H94" s="7"/>
      <x:c r="I94" s="7"/>
      <x:c r="J94" s="7"/>
      <x:c r="K94" s="7"/>
      <x:c r="L94" s="7"/>
      <x:c r="M94" s="15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7"/>
      <x:c r="AF94" s="7"/>
      <x:c r="AG94" s="7"/>
    </x:row>
    <x:row r="95" ht="34" customHeight="1">
      <x:c r="A95" s="7"/>
      <x:c r="B95" s="7"/>
      <x:c r="C95" s="7"/>
      <x:c r="D95" s="7"/>
      <x:c r="E95" s="7"/>
      <x:c r="F95" s="8"/>
      <x:c r="G95" s="8"/>
      <x:c r="H95" s="7"/>
      <x:c r="I95" s="7"/>
      <x:c r="J95" s="7"/>
      <x:c r="K95" s="7"/>
      <x:c r="L95" s="7"/>
      <x:c r="M95" s="15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7"/>
      <x:c r="AF95" s="7"/>
      <x:c r="AG95" s="7"/>
    </x:row>
    <x:row r="96" ht="34" customHeight="1">
      <x:c r="A96" s="7"/>
      <x:c r="B96" s="7"/>
      <x:c r="C96" s="7"/>
      <x:c r="D96" s="7"/>
      <x:c r="E96" s="7"/>
      <x:c r="F96" s="8"/>
      <x:c r="G96" s="8"/>
      <x:c r="H96" s="7"/>
      <x:c r="I96" s="7"/>
      <x:c r="J96" s="7"/>
      <x:c r="K96" s="7"/>
      <x:c r="L96" s="7"/>
      <x:c r="M96" s="15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7"/>
      <x:c r="AF96" s="7"/>
      <x:c r="AG96" s="7"/>
    </x:row>
    <x:row r="97" ht="34" customHeight="1">
      <x:c r="A97" s="7"/>
      <x:c r="B97" s="7"/>
      <x:c r="C97" s="7"/>
      <x:c r="D97" s="7"/>
      <x:c r="E97" s="7"/>
      <x:c r="F97" s="8"/>
      <x:c r="G97" s="8"/>
      <x:c r="H97" s="7"/>
      <x:c r="I97" s="7"/>
      <x:c r="J97" s="7"/>
      <x:c r="K97" s="7"/>
      <x:c r="L97" s="7"/>
      <x:c r="M97" s="15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7"/>
      <x:c r="AF97" s="7"/>
      <x:c r="AG97" s="7"/>
    </x:row>
    <x:row r="98" ht="34" customHeight="1">
      <x:c r="A98" s="7"/>
      <x:c r="B98" s="7"/>
      <x:c r="C98" s="7"/>
      <x:c r="D98" s="7"/>
      <x:c r="E98" s="7"/>
      <x:c r="F98" s="8"/>
      <x:c r="G98" s="8"/>
      <x:c r="H98" s="7"/>
      <x:c r="I98" s="7"/>
      <x:c r="J98" s="7"/>
      <x:c r="K98" s="7"/>
      <x:c r="L98" s="7"/>
      <x:c r="M98" s="15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7"/>
      <x:c r="AF98" s="7"/>
      <x:c r="AG98" s="7"/>
    </x:row>
    <x:row r="99" ht="34" customHeight="1">
      <x:c r="A99" s="7"/>
      <x:c r="B99" s="7"/>
      <x:c r="C99" s="7"/>
      <x:c r="D99" s="7"/>
      <x:c r="E99" s="7"/>
      <x:c r="F99" s="8"/>
      <x:c r="G99" s="8"/>
      <x:c r="H99" s="7"/>
      <x:c r="I99" s="7"/>
      <x:c r="J99" s="7"/>
      <x:c r="K99" s="7"/>
      <x:c r="L99" s="7"/>
      <x:c r="M99" s="15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7"/>
      <x:c r="AF99" s="7"/>
      <x:c r="AG99" s="7"/>
    </x:row>
    <x:row r="100" ht="34" customHeight="1">
      <x:c r="A100" s="7"/>
      <x:c r="B100" s="7"/>
      <x:c r="C100" s="7"/>
      <x:c r="D100" s="7"/>
      <x:c r="E100" s="7"/>
      <x:c r="F100" s="8"/>
      <x:c r="G100" s="8"/>
      <x:c r="H100" s="7"/>
      <x:c r="I100" s="7"/>
      <x:c r="J100" s="7"/>
      <x:c r="K100" s="7"/>
      <x:c r="L100" s="7"/>
      <x:c r="M100" s="15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7"/>
      <x:c r="AF100" s="7"/>
      <x:c r="AG100" s="7"/>
    </x:row>
    <x:row r="101" ht="34" customHeight="1">
      <x:c r="A101" s="7"/>
      <x:c r="B101" s="7"/>
      <x:c r="C101" s="7"/>
      <x:c r="D101" s="7"/>
      <x:c r="E101" s="7"/>
      <x:c r="F101" s="8"/>
      <x:c r="G101" s="8"/>
      <x:c r="H101" s="7"/>
      <x:c r="I101" s="7"/>
      <x:c r="J101" s="7"/>
      <x:c r="K101" s="7"/>
      <x:c r="L101" s="7"/>
      <x:c r="M101" s="15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7"/>
      <x:c r="AF101" s="7"/>
      <x:c r="AG101" s="7"/>
    </x:row>
    <x:row r="102" ht="34" customHeight="1">
      <x:c r="A102" s="7"/>
      <x:c r="B102" s="7"/>
      <x:c r="C102" s="7"/>
      <x:c r="D102" s="7"/>
      <x:c r="E102" s="7"/>
      <x:c r="F102" s="8"/>
      <x:c r="G102" s="8"/>
      <x:c r="H102" s="7"/>
      <x:c r="I102" s="7"/>
      <x:c r="J102" s="7"/>
      <x:c r="K102" s="7"/>
      <x:c r="L102" s="7"/>
      <x:c r="M102" s="15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7"/>
      <x:c r="AF102" s="7"/>
      <x:c r="AG102" s="7"/>
    </x:row>
    <x:row r="103" ht="34" customHeight="1">
      <x:c r="A103" s="7"/>
      <x:c r="B103" s="7"/>
      <x:c r="C103" s="7"/>
      <x:c r="D103" s="7"/>
      <x:c r="E103" s="7"/>
      <x:c r="F103" s="8"/>
      <x:c r="G103" s="8"/>
      <x:c r="H103" s="7"/>
      <x:c r="I103" s="7"/>
      <x:c r="J103" s="7"/>
      <x:c r="K103" s="7"/>
      <x:c r="L103" s="7"/>
      <x:c r="M103" s="15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7"/>
      <x:c r="AF103" s="7"/>
      <x:c r="AG103" s="7"/>
    </x:row>
    <x:row r="104" ht="34" customHeight="1">
      <x:c r="A104" s="7"/>
      <x:c r="B104" s="7"/>
      <x:c r="C104" s="7"/>
      <x:c r="D104" s="7"/>
      <x:c r="E104" s="7"/>
      <x:c r="F104" s="8"/>
      <x:c r="G104" s="8"/>
      <x:c r="H104" s="7"/>
      <x:c r="I104" s="7"/>
      <x:c r="J104" s="7"/>
      <x:c r="K104" s="7"/>
      <x:c r="L104" s="7"/>
      <x:c r="M104" s="15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7"/>
      <x:c r="AG104" s="7"/>
    </x:row>
    <x:row r="105" ht="34" customHeight="1">
      <x:c r="A105" s="7"/>
      <x:c r="B105" s="7"/>
      <x:c r="C105" s="7"/>
      <x:c r="D105" s="7"/>
      <x:c r="E105" s="7"/>
      <x:c r="F105" s="8"/>
      <x:c r="G105" s="8"/>
      <x:c r="H105" s="7"/>
      <x:c r="I105" s="7"/>
      <x:c r="J105" s="7"/>
      <x:c r="K105" s="7"/>
      <x:c r="L105" s="7"/>
      <x:c r="M105" s="15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7"/>
      <x:c r="AG105" s="7"/>
    </x:row>
  </x:sheetData>
  <x:dataValidations count="3">
    <x:dataValidation type="list" sqref="H6:H105">
      <x:formula1>"LIVE,REPLAY"</x:formula1>
    </x:dataValidation>
    <x:dataValidation type="list" sqref="I6:I105">
      <x:formula1>"AUTO,ACCESS BLOCKED,NOT AVAILABLE,SOURCE CONFLICT"</x:formula1>
    </x:dataValidation>
    <x:dataValidation type="list" sqref="L6:L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05195e8f45443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6" hidden="0" customWidth="1"/>
    <x:col min="6" max="6" width="26" hidden="0" customWidth="1"/>
    <x:col min="7" max="7" width="17" hidden="0" customWidth="1"/>
    <x:col min="8" max="8" width="17" hidden="0" customWidth="1"/>
    <x:col min="9" max="9" width="17" hidden="0" customWidth="1"/>
    <x:col min="10" max="10" width="6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ISTORIC NATIV DE CORNERE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6" customHeight="1">
      <x:c r="A5" s="6" t="str">
        <x:v>Event_ID</x:v>
      </x:c>
      <x:c r="B5" s="6" t="str">
        <x:v>League</x:v>
      </x:c>
      <x:c r="C5" s="6" t="str">
        <x:v>Season</x:v>
      </x:c>
      <x:c r="D5" s="6" t="str">
        <x:v>Match_Date</x:v>
      </x:c>
      <x:c r="E5" s="6" t="str">
        <x:v>Home</x:v>
      </x:c>
      <x:c r="F5" s="6" t="str">
        <x:v>Away</x:v>
      </x:c>
      <x:c r="G5" s="6" t="str">
        <x:v>HC</x:v>
      </x:c>
      <x:c r="H5" s="6" t="str">
        <x:v>AC</x:v>
      </x:c>
      <x:c r="I5" s="6" t="str">
        <x:v>Source_ID</x:v>
      </x:c>
      <x:c r="J5" s="6" t="str">
        <x:v>Source_URL</x:v>
      </x:c>
      <x:c r="K5" s="6" t="str">
        <x:v>Retrieved_UTC</x:v>
      </x:c>
      <x:c r="L5" s="6" t="str">
        <x:v>Definition</x:v>
      </x:c>
      <x:c r="M5" s="6" t="str">
        <x:v>Evidence</x:v>
      </x:c>
      <x:c r="N5" s="6" t="str">
        <x:v>Canonical_Key</x:v>
      </x:c>
      <x:c r="O5" s="6" t="str">
        <x:v>Row_State</x:v>
      </x:c>
      <x:c r="P5" s="6" t="str">
        <x:v>Use_Row</x:v>
      </x:c>
      <x:c r="Q5" s="6" t="str">
        <x:v>Total</x:v>
      </x:c>
      <x:c r="R5" s="6" t="str">
        <x:v>Total_Squared</x:v>
      </x:c>
      <x:c r="S5" s="6" t="str">
        <x:v>Source_Row</x:v>
      </x:c>
    </x:row>
    <x:row r="6" ht="21" customHeight="1">
      <x:c r="A6" s="7" t="str">
        <x:v>131f1dda53ca414c59dd</x:v>
      </x:c>
      <x:c r="B6" s="7" t="str">
        <x:v>E0</x:v>
      </x:c>
      <x:c r="C6" s="7" t="str">
        <x:v>2025/26</x:v>
      </x:c>
      <x:c r="D6" s="8" t="n">
        <x:v>45884</x:v>
      </x:c>
      <x:c r="E6" s="7" t="str">
        <x:v>Liverpool</x:v>
      </x:c>
      <x:c r="F6" s="7" t="str">
        <x:v>Bournemouth</x:v>
      </x:c>
      <x:c r="G6" s="7" t="n">
        <x:v>6</x:v>
      </x:c>
      <x:c r="H6" s="7" t="n">
        <x:v>7</x:v>
      </x:c>
      <x:c r="I6" s="7" t="str">
        <x:v>FD_E0_2526</x:v>
      </x:c>
      <x:c r="J6" s="7" t="str">
        <x:v>https://www.football-data.co.uk/mmz4281/2526/E0.csv</x:v>
      </x:c>
      <x:c r="K6" s="8" t="n">
        <x:v>46278.70306712963</x:v>
      </x:c>
      <x:c r="L6" s="7" t="str">
        <x:v>FT90</x:v>
      </x:c>
      <x:c r="M6" s="7" t="str">
        <x:v>CSV row 2</x:v>
      </x:c>
      <x:c r="N6" s="2" t="str">
        <x:f>IF(AND(A6&lt;&gt;"",ISNUMBER(D6)),B6&amp;"|"&amp;C6&amp;"|"&amp;TEXT(D6,"yyyymmdd")&amp;"|"&amp;E6&amp;"|"&amp;F6,"")</x:f>
        <x:v>E0|2025/26|20250815|Liverpool|Bournemouth</x:v>
      </x:c>
      <x:c r="O6" s="2" t="str">
        <x:f>IF(A6="","",IFERROR(IF(NOT(AND(B6&lt;&gt;"",C6&lt;&gt;"",ISNUMBER(D6),D6&gt;0,E6&lt;&gt;"",F6&lt;&gt;"",E6&lt;&gt;F6,ISNUMBER(G6),ISNUMBER(H6),G6&gt;=0,H6&gt;=0,G6&lt;=100,H6&lt;=100,MOD(G6,1)=0,MOD(H6,1)=0,L6="FT90",S6&gt;0,INDEX(SourceTable[League],MAX(1,S6))=B6,INDEX(SourceTable[Season],MAX(1,S6))=C6,ISNUMBER(K6),K6=INDEX(SourceTable[Retrieved_UTC],MAX(1,S6)),J6&lt;&gt;"",M6&lt;&gt;"")),"INVALID",IF(OR(COUNTIFS('Istoric_Nativ'!$N$6:$N$405,N6,'Istoric_Nativ'!$G$6:$G$405,G6)&lt;&gt;COUNTIF('Istoric_Nativ'!$N$6:$N$405,N6),COUNTIFS('Istoric_Nativ'!$N$6:$N$405,N6,'Istoric_Nativ'!$H$6:$H$405,H6)&lt;&gt;COUNTIF('Istoric_Nativ'!$N$6:$N$405,N6)),"SOURCE CONFLICT",IF(COUNTIF($N$6:N6,N6)&gt;1,"DUPLICATE","VALID"))),"INVALID"))</x:f>
        <x:v>VALID</x:v>
      </x:c>
      <x:c r="P6" s="2" t="n">
        <x:f>IF(O6="VALID",1,0)</x:f>
        <x:v>1</x:v>
      </x:c>
      <x:c r="Q6" s="2" t="n">
        <x:f>IF(P6=1,G6+H6,0)</x:f>
        <x:v>13</x:v>
      </x:c>
      <x:c r="R6" s="2" t="n">
        <x:f>Q6^2</x:f>
        <x:v>169</x:v>
      </x:c>
      <x:c r="S6" s="2" t="n">
        <x:f>IF(A6="","",IFERROR(MATCH(I6,SourceTable[Source_ID],0),0))</x:f>
        <x:v>1</x:v>
      </x:c>
    </x:row>
    <x:row r="7" ht="21" customHeight="1">
      <x:c r="A7" s="7" t="str">
        <x:v>1b61b5b69f93b0567b9e</x:v>
      </x:c>
      <x:c r="B7" s="7" t="str">
        <x:v>E0</x:v>
      </x:c>
      <x:c r="C7" s="7" t="str">
        <x:v>2025/26</x:v>
      </x:c>
      <x:c r="D7" s="8" t="n">
        <x:v>45885</x:v>
      </x:c>
      <x:c r="E7" s="7" t="str">
        <x:v>Aston Villa</x:v>
      </x:c>
      <x:c r="F7" s="7" t="str">
        <x:v>Newcastle</x:v>
      </x:c>
      <x:c r="G7" s="7" t="n">
        <x:v>3</x:v>
      </x:c>
      <x:c r="H7" s="7" t="n">
        <x:v>6</x:v>
      </x:c>
      <x:c r="I7" s="7" t="str">
        <x:v>FD_E0_2526</x:v>
      </x:c>
      <x:c r="J7" s="7" t="str">
        <x:v>https://www.football-data.co.uk/mmz4281/2526/E0.csv</x:v>
      </x:c>
      <x:c r="K7" s="8" t="n">
        <x:v>46278.70306712963</x:v>
      </x:c>
      <x:c r="L7" s="7" t="str">
        <x:v>FT90</x:v>
      </x:c>
      <x:c r="M7" s="7" t="str">
        <x:v>CSV row 3</x:v>
      </x:c>
      <x:c r="N7" s="2" t="str">
        <x:f>IF(AND(A7&lt;&gt;"",ISNUMBER(D7)),B7&amp;"|"&amp;C7&amp;"|"&amp;TEXT(D7,"yyyymmdd")&amp;"|"&amp;E7&amp;"|"&amp;F7,"")</x:f>
        <x:v>E0|2025/26|20250816|Aston Villa|Newcastle</x:v>
      </x:c>
      <x:c r="O7" s="2" t="str">
        <x:f>IF(A7="","",IFERROR(IF(NOT(AND(B7&lt;&gt;"",C7&lt;&gt;"",ISNUMBER(D7),D7&gt;0,E7&lt;&gt;"",F7&lt;&gt;"",E7&lt;&gt;F7,ISNUMBER(G7),ISNUMBER(H7),G7&gt;=0,H7&gt;=0,G7&lt;=100,H7&lt;=100,MOD(G7,1)=0,MOD(H7,1)=0,L7="FT90",S7&gt;0,INDEX(SourceTable[League],MAX(1,S7))=B7,INDEX(SourceTable[Season],MAX(1,S7))=C7,ISNUMBER(K7),K7=INDEX(SourceTable[Retrieved_UTC],MAX(1,S7)),J7&lt;&gt;"",M7&lt;&gt;"")),"INVALID",IF(OR(COUNTIFS('Istoric_Nativ'!$N$6:$N$405,N7,'Istoric_Nativ'!$G$6:$G$405,G7)&lt;&gt;COUNTIF('Istoric_Nativ'!$N$6:$N$405,N7),COUNTIFS('Istoric_Nativ'!$N$6:$N$405,N7,'Istoric_Nativ'!$H$6:$H$405,H7)&lt;&gt;COUNTIF('Istoric_Nativ'!$N$6:$N$405,N7)),"SOURCE CONFLICT",IF(COUNTIF($N$6:N7,N7)&gt;1,"DUPLICATE","VALID"))),"INVALID"))</x:f>
        <x:v>VALID</x:v>
      </x:c>
      <x:c r="P7" s="2" t="n">
        <x:f>IF(O7="VALID",1,0)</x:f>
        <x:v>1</x:v>
      </x:c>
      <x:c r="Q7" s="2" t="n">
        <x:f>IF(P7=1,G7+H7,0)</x:f>
        <x:v>9</x:v>
      </x:c>
      <x:c r="R7" s="2" t="n">
        <x:f>Q7^2</x:f>
        <x:v>81</x:v>
      </x:c>
      <x:c r="S7" s="2" t="n">
        <x:f>IF(A7="","",IFERROR(MATCH(I7,SourceTable[Source_ID],0),0))</x:f>
        <x:v>1</x:v>
      </x:c>
    </x:row>
    <x:row r="8" ht="21" customHeight="1">
      <x:c r="A8" s="7" t="str">
        <x:v>3917fc59c140666375fd</x:v>
      </x:c>
      <x:c r="B8" s="7" t="str">
        <x:v>E0</x:v>
      </x:c>
      <x:c r="C8" s="7" t="str">
        <x:v>2025/26</x:v>
      </x:c>
      <x:c r="D8" s="8" t="n">
        <x:v>45885</x:v>
      </x:c>
      <x:c r="E8" s="7" t="str">
        <x:v>Brighton</x:v>
      </x:c>
      <x:c r="F8" s="7" t="str">
        <x:v>Fulham</x:v>
      </x:c>
      <x:c r="G8" s="7" t="n">
        <x:v>4</x:v>
      </x:c>
      <x:c r="H8" s="7" t="n">
        <x:v>3</x:v>
      </x:c>
      <x:c r="I8" s="7" t="str">
        <x:v>FD_E0_2526</x:v>
      </x:c>
      <x:c r="J8" s="7" t="str">
        <x:v>https://www.football-data.co.uk/mmz4281/2526/E0.csv</x:v>
      </x:c>
      <x:c r="K8" s="8" t="n">
        <x:v>46278.70306712963</x:v>
      </x:c>
      <x:c r="L8" s="7" t="str">
        <x:v>FT90</x:v>
      </x:c>
      <x:c r="M8" s="7" t="str">
        <x:v>CSV row 4</x:v>
      </x:c>
      <x:c r="N8" s="2" t="str">
        <x:f>IF(AND(A8&lt;&gt;"",ISNUMBER(D8)),B8&amp;"|"&amp;C8&amp;"|"&amp;TEXT(D8,"yyyymmdd")&amp;"|"&amp;E8&amp;"|"&amp;F8,"")</x:f>
        <x:v>E0|2025/26|20250816|Brighton|Fulham</x:v>
      </x:c>
      <x:c r="O8" s="2" t="str">
        <x:f>IF(A8="","",IFERROR(IF(NOT(AND(B8&lt;&gt;"",C8&lt;&gt;"",ISNUMBER(D8),D8&gt;0,E8&lt;&gt;"",F8&lt;&gt;"",E8&lt;&gt;F8,ISNUMBER(G8),ISNUMBER(H8),G8&gt;=0,H8&gt;=0,G8&lt;=100,H8&lt;=100,MOD(G8,1)=0,MOD(H8,1)=0,L8="FT90",S8&gt;0,INDEX(SourceTable[League],MAX(1,S8))=B8,INDEX(SourceTable[Season],MAX(1,S8))=C8,ISNUMBER(K8),K8=INDEX(SourceTable[Retrieved_UTC],MAX(1,S8)),J8&lt;&gt;"",M8&lt;&gt;"")),"INVALID",IF(OR(COUNTIFS('Istoric_Nativ'!$N$6:$N$405,N8,'Istoric_Nativ'!$G$6:$G$405,G8)&lt;&gt;COUNTIF('Istoric_Nativ'!$N$6:$N$405,N8),COUNTIFS('Istoric_Nativ'!$N$6:$N$405,N8,'Istoric_Nativ'!$H$6:$H$405,H8)&lt;&gt;COUNTIF('Istoric_Nativ'!$N$6:$N$405,N8)),"SOURCE CONFLICT",IF(COUNTIF($N$6:N8,N8)&gt;1,"DUPLICATE","VALID"))),"INVALID"))</x:f>
        <x:v>VALID</x:v>
      </x:c>
      <x:c r="P8" s="2" t="n">
        <x:f>IF(O8="VALID",1,0)</x:f>
        <x:v>1</x:v>
      </x:c>
      <x:c r="Q8" s="2" t="n">
        <x:f>IF(P8=1,G8+H8,0)</x:f>
        <x:v>7</x:v>
      </x:c>
      <x:c r="R8" s="2" t="n">
        <x:f>Q8^2</x:f>
        <x:v>49</x:v>
      </x:c>
      <x:c r="S8" s="2" t="n">
        <x:f>IF(A8="","",IFERROR(MATCH(I8,SourceTable[Source_ID],0),0))</x:f>
        <x:v>1</x:v>
      </x:c>
    </x:row>
    <x:row r="9" ht="21" customHeight="1">
      <x:c r="A9" s="7" t="str">
        <x:v>94d4725e5a044e5d38d5</x:v>
      </x:c>
      <x:c r="B9" s="7" t="str">
        <x:v>E0</x:v>
      </x:c>
      <x:c r="C9" s="7" t="str">
        <x:v>2025/26</x:v>
      </x:c>
      <x:c r="D9" s="8" t="n">
        <x:v>45885</x:v>
      </x:c>
      <x:c r="E9" s="7" t="str">
        <x:v>Sunderland</x:v>
      </x:c>
      <x:c r="F9" s="7" t="str">
        <x:v>West Ham</x:v>
      </x:c>
      <x:c r="G9" s="7" t="n">
        <x:v>5</x:v>
      </x:c>
      <x:c r="H9" s="7" t="n">
        <x:v>7</x:v>
      </x:c>
      <x:c r="I9" s="7" t="str">
        <x:v>FD_E0_2526</x:v>
      </x:c>
      <x:c r="J9" s="7" t="str">
        <x:v>https://www.football-data.co.uk/mmz4281/2526/E0.csv</x:v>
      </x:c>
      <x:c r="K9" s="8" t="n">
        <x:v>46278.70306712963</x:v>
      </x:c>
      <x:c r="L9" s="7" t="str">
        <x:v>FT90</x:v>
      </x:c>
      <x:c r="M9" s="7" t="str">
        <x:v>CSV row 5</x:v>
      </x:c>
      <x:c r="N9" s="2" t="str">
        <x:f>IF(AND(A9&lt;&gt;"",ISNUMBER(D9)),B9&amp;"|"&amp;C9&amp;"|"&amp;TEXT(D9,"yyyymmdd")&amp;"|"&amp;E9&amp;"|"&amp;F9,"")</x:f>
        <x:v>E0|2025/26|20250816|Sunderland|West Ham</x:v>
      </x:c>
      <x:c r="O9" s="2" t="str">
        <x:f>IF(A9="","",IFERROR(IF(NOT(AND(B9&lt;&gt;"",C9&lt;&gt;"",ISNUMBER(D9),D9&gt;0,E9&lt;&gt;"",F9&lt;&gt;"",E9&lt;&gt;F9,ISNUMBER(G9),ISNUMBER(H9),G9&gt;=0,H9&gt;=0,G9&lt;=100,H9&lt;=100,MOD(G9,1)=0,MOD(H9,1)=0,L9="FT90",S9&gt;0,INDEX(SourceTable[League],MAX(1,S9))=B9,INDEX(SourceTable[Season],MAX(1,S9))=C9,ISNUMBER(K9),K9=INDEX(SourceTable[Retrieved_UTC],MAX(1,S9)),J9&lt;&gt;"",M9&lt;&gt;"")),"INVALID",IF(OR(COUNTIFS('Istoric_Nativ'!$N$6:$N$405,N9,'Istoric_Nativ'!$G$6:$G$405,G9)&lt;&gt;COUNTIF('Istoric_Nativ'!$N$6:$N$405,N9),COUNTIFS('Istoric_Nativ'!$N$6:$N$405,N9,'Istoric_Nativ'!$H$6:$H$405,H9)&lt;&gt;COUNTIF('Istoric_Nativ'!$N$6:$N$405,N9)),"SOURCE CONFLICT",IF(COUNTIF($N$6:N9,N9)&gt;1,"DUPLICATE","VALID"))),"INVALID"))</x:f>
        <x:v>VALID</x:v>
      </x:c>
      <x:c r="P9" s="2" t="n">
        <x:f>IF(O9="VALID",1,0)</x:f>
        <x:v>1</x:v>
      </x:c>
      <x:c r="Q9" s="2" t="n">
        <x:f>IF(P9=1,G9+H9,0)</x:f>
        <x:v>12</x:v>
      </x:c>
      <x:c r="R9" s="2" t="n">
        <x:f>Q9^2</x:f>
        <x:v>144</x:v>
      </x:c>
      <x:c r="S9" s="2" t="n">
        <x:f>IF(A9="","",IFERROR(MATCH(I9,SourceTable[Source_ID],0),0))</x:f>
        <x:v>1</x:v>
      </x:c>
    </x:row>
    <x:row r="10" ht="21" customHeight="1">
      <x:c r="A10" s="7" t="str">
        <x:v>5aa96891764809a8d3ff</x:v>
      </x:c>
      <x:c r="B10" s="7" t="str">
        <x:v>E0</x:v>
      </x:c>
      <x:c r="C10" s="7" t="str">
        <x:v>2025/26</x:v>
      </x:c>
      <x:c r="D10" s="8" t="n">
        <x:v>45885</x:v>
      </x:c>
      <x:c r="E10" s="7" t="str">
        <x:v>Tottenham</x:v>
      </x:c>
      <x:c r="F10" s="7" t="str">
        <x:v>Burnley</x:v>
      </x:c>
      <x:c r="G10" s="7" t="n">
        <x:v>6</x:v>
      </x:c>
      <x:c r="H10" s="7" t="n">
        <x:v>5</x:v>
      </x:c>
      <x:c r="I10" s="7" t="str">
        <x:v>FD_E0_2526</x:v>
      </x:c>
      <x:c r="J10" s="7" t="str">
        <x:v>https://www.football-data.co.uk/mmz4281/2526/E0.csv</x:v>
      </x:c>
      <x:c r="K10" s="8" t="n">
        <x:v>46278.70306712963</x:v>
      </x:c>
      <x:c r="L10" s="7" t="str">
        <x:v>FT90</x:v>
      </x:c>
      <x:c r="M10" s="7" t="str">
        <x:v>CSV row 6</x:v>
      </x:c>
      <x:c r="N10" s="2" t="str">
        <x:f>IF(AND(A10&lt;&gt;"",ISNUMBER(D10)),B10&amp;"|"&amp;C10&amp;"|"&amp;TEXT(D10,"yyyymmdd")&amp;"|"&amp;E10&amp;"|"&amp;F10,"")</x:f>
        <x:v>E0|2025/26|20250816|Tottenham|Burnley</x:v>
      </x:c>
      <x:c r="O10" s="2" t="str">
        <x:f>IF(A10="","",IFERROR(IF(NOT(AND(B10&lt;&gt;"",C10&lt;&gt;"",ISNUMBER(D10),D10&gt;0,E10&lt;&gt;"",F10&lt;&gt;"",E10&lt;&gt;F10,ISNUMBER(G10),ISNUMBER(H10),G10&gt;=0,H10&gt;=0,G10&lt;=100,H10&lt;=100,MOD(G10,1)=0,MOD(H10,1)=0,L10="FT90",S10&gt;0,INDEX(SourceTable[League],MAX(1,S10))=B10,INDEX(SourceTable[Season],MAX(1,S10))=C10,ISNUMBER(K10),K10=INDEX(SourceTable[Retrieved_UTC],MAX(1,S10)),J10&lt;&gt;"",M10&lt;&gt;"")),"INVALID",IF(OR(COUNTIFS('Istoric_Nativ'!$N$6:$N$405,N10,'Istoric_Nativ'!$G$6:$G$405,G10)&lt;&gt;COUNTIF('Istoric_Nativ'!$N$6:$N$405,N10),COUNTIFS('Istoric_Nativ'!$N$6:$N$405,N10,'Istoric_Nativ'!$H$6:$H$405,H10)&lt;&gt;COUNTIF('Istoric_Nativ'!$N$6:$N$405,N10)),"SOURCE CONFLICT",IF(COUNTIF($N$6:N10,N10)&gt;1,"DUPLICATE","VALID"))),"INVALID"))</x:f>
        <x:v>VALID</x:v>
      </x:c>
      <x:c r="P10" s="2" t="n">
        <x:f>IF(O10="VALID",1,0)</x:f>
        <x:v>1</x:v>
      </x:c>
      <x:c r="Q10" s="2" t="n">
        <x:f>IF(P10=1,G10+H10,0)</x:f>
        <x:v>11</x:v>
      </x:c>
      <x:c r="R10" s="2" t="n">
        <x:f>Q10^2</x:f>
        <x:v>121</x:v>
      </x:c>
      <x:c r="S10" s="2" t="n">
        <x:f>IF(A10="","",IFERROR(MATCH(I10,SourceTable[Source_ID],0),0))</x:f>
        <x:v>1</x:v>
      </x:c>
    </x:row>
    <x:row r="11" ht="21" customHeight="1">
      <x:c r="A11" s="7" t="str">
        <x:v>d2bb7e6707cf0584b7bc</x:v>
      </x:c>
      <x:c r="B11" s="7" t="str">
        <x:v>E0</x:v>
      </x:c>
      <x:c r="C11" s="7" t="str">
        <x:v>2025/26</x:v>
      </x:c>
      <x:c r="D11" s="8" t="n">
        <x:v>45885</x:v>
      </x:c>
      <x:c r="E11" s="7" t="str">
        <x:v>Wolves</x:v>
      </x:c>
      <x:c r="F11" s="7" t="str">
        <x:v>Man City</x:v>
      </x:c>
      <x:c r="G11" s="7" t="n">
        <x:v>4</x:v>
      </x:c>
      <x:c r="H11" s="7" t="n">
        <x:v>6</x:v>
      </x:c>
      <x:c r="I11" s="7" t="str">
        <x:v>FD_E0_2526</x:v>
      </x:c>
      <x:c r="J11" s="7" t="str">
        <x:v>https://www.football-data.co.uk/mmz4281/2526/E0.csv</x:v>
      </x:c>
      <x:c r="K11" s="8" t="n">
        <x:v>46278.70306712963</x:v>
      </x:c>
      <x:c r="L11" s="7" t="str">
        <x:v>FT90</x:v>
      </x:c>
      <x:c r="M11" s="7" t="str">
        <x:v>CSV row 7</x:v>
      </x:c>
      <x:c r="N11" s="2" t="str">
        <x:f>IF(AND(A11&lt;&gt;"",ISNUMBER(D11)),B11&amp;"|"&amp;C11&amp;"|"&amp;TEXT(D11,"yyyymmdd")&amp;"|"&amp;E11&amp;"|"&amp;F11,"")</x:f>
        <x:v>E0|2025/26|20250816|Wolves|Man City</x:v>
      </x:c>
      <x:c r="O11" s="2" t="str">
        <x:f>IF(A11="","",IFERROR(IF(NOT(AND(B11&lt;&gt;"",C11&lt;&gt;"",ISNUMBER(D11),D11&gt;0,E11&lt;&gt;"",F11&lt;&gt;"",E11&lt;&gt;F11,ISNUMBER(G11),ISNUMBER(H11),G11&gt;=0,H11&gt;=0,G11&lt;=100,H11&lt;=100,MOD(G11,1)=0,MOD(H11,1)=0,L11="FT90",S11&gt;0,INDEX(SourceTable[League],MAX(1,S11))=B11,INDEX(SourceTable[Season],MAX(1,S11))=C11,ISNUMBER(K11),K11=INDEX(SourceTable[Retrieved_UTC],MAX(1,S11)),J11&lt;&gt;"",M11&lt;&gt;"")),"INVALID",IF(OR(COUNTIFS('Istoric_Nativ'!$N$6:$N$405,N11,'Istoric_Nativ'!$G$6:$G$405,G11)&lt;&gt;COUNTIF('Istoric_Nativ'!$N$6:$N$405,N11),COUNTIFS('Istoric_Nativ'!$N$6:$N$405,N11,'Istoric_Nativ'!$H$6:$H$405,H11)&lt;&gt;COUNTIF('Istoric_Nativ'!$N$6:$N$405,N11)),"SOURCE CONFLICT",IF(COUNTIF($N$6:N11,N11)&gt;1,"DUPLICATE","VALID"))),"INVALID"))</x:f>
        <x:v>VALID</x:v>
      </x:c>
      <x:c r="P11" s="2" t="n">
        <x:f>IF(O11="VALID",1,0)</x:f>
        <x:v>1</x:v>
      </x:c>
      <x:c r="Q11" s="2" t="n">
        <x:f>IF(P11=1,G11+H11,0)</x:f>
        <x:v>10</x:v>
      </x:c>
      <x:c r="R11" s="2" t="n">
        <x:f>Q11^2</x:f>
        <x:v>100</x:v>
      </x:c>
      <x:c r="S11" s="2" t="n">
        <x:f>IF(A11="","",IFERROR(MATCH(I11,SourceTable[Source_ID],0),0))</x:f>
        <x:v>1</x:v>
      </x:c>
    </x:row>
    <x:row r="12" ht="21" customHeight="1">
      <x:c r="A12" s="7" t="str">
        <x:v>2a45da5ba2783222bfaf</x:v>
      </x:c>
      <x:c r="B12" s="7" t="str">
        <x:v>E0</x:v>
      </x:c>
      <x:c r="C12" s="7" t="str">
        <x:v>2025/26</x:v>
      </x:c>
      <x:c r="D12" s="8" t="n">
        <x:v>45886</x:v>
      </x:c>
      <x:c r="E12" s="7" t="str">
        <x:v>Chelsea</x:v>
      </x:c>
      <x:c r="F12" s="7" t="str">
        <x:v>Crystal Palace</x:v>
      </x:c>
      <x:c r="G12" s="7" t="n">
        <x:v>11</x:v>
      </x:c>
      <x:c r="H12" s="7" t="n">
        <x:v>2</x:v>
      </x:c>
      <x:c r="I12" s="7" t="str">
        <x:v>FD_E0_2526</x:v>
      </x:c>
      <x:c r="J12" s="7" t="str">
        <x:v>https://www.football-data.co.uk/mmz4281/2526/E0.csv</x:v>
      </x:c>
      <x:c r="K12" s="8" t="n">
        <x:v>46278.70306712963</x:v>
      </x:c>
      <x:c r="L12" s="7" t="str">
        <x:v>FT90</x:v>
      </x:c>
      <x:c r="M12" s="7" t="str">
        <x:v>CSV row 8</x:v>
      </x:c>
      <x:c r="N12" s="2" t="str">
        <x:f>IF(AND(A12&lt;&gt;"",ISNUMBER(D12)),B12&amp;"|"&amp;C12&amp;"|"&amp;TEXT(D12,"yyyymmdd")&amp;"|"&amp;E12&amp;"|"&amp;F12,"")</x:f>
        <x:v>E0|2025/26|20250817|Chelsea|Crystal Palace</x:v>
      </x:c>
      <x:c r="O12" s="2" t="str">
        <x:f>IF(A12="","",IFERROR(IF(NOT(AND(B12&lt;&gt;"",C12&lt;&gt;"",ISNUMBER(D12),D12&gt;0,E12&lt;&gt;"",F12&lt;&gt;"",E12&lt;&gt;F12,ISNUMBER(G12),ISNUMBER(H12),G12&gt;=0,H12&gt;=0,G12&lt;=100,H12&lt;=100,MOD(G12,1)=0,MOD(H12,1)=0,L12="FT90",S12&gt;0,INDEX(SourceTable[League],MAX(1,S12))=B12,INDEX(SourceTable[Season],MAX(1,S12))=C12,ISNUMBER(K12),K12=INDEX(SourceTable[Retrieved_UTC],MAX(1,S12)),J12&lt;&gt;"",M12&lt;&gt;"")),"INVALID",IF(OR(COUNTIFS('Istoric_Nativ'!$N$6:$N$405,N12,'Istoric_Nativ'!$G$6:$G$405,G12)&lt;&gt;COUNTIF('Istoric_Nativ'!$N$6:$N$405,N12),COUNTIFS('Istoric_Nativ'!$N$6:$N$405,N12,'Istoric_Nativ'!$H$6:$H$405,H12)&lt;&gt;COUNTIF('Istoric_Nativ'!$N$6:$N$405,N12)),"SOURCE CONFLICT",IF(COUNTIF($N$6:N12,N12)&gt;1,"DUPLICATE","VALID"))),"INVALID"))</x:f>
        <x:v>VALID</x:v>
      </x:c>
      <x:c r="P12" s="2" t="n">
        <x:f>IF(O12="VALID",1,0)</x:f>
        <x:v>1</x:v>
      </x:c>
      <x:c r="Q12" s="2" t="n">
        <x:f>IF(P12=1,G12+H12,0)</x:f>
        <x:v>13</x:v>
      </x:c>
      <x:c r="R12" s="2" t="n">
        <x:f>Q12^2</x:f>
        <x:v>169</x:v>
      </x:c>
      <x:c r="S12" s="2" t="n">
        <x:f>IF(A12="","",IFERROR(MATCH(I12,SourceTable[Source_ID],0),0))</x:f>
        <x:v>1</x:v>
      </x:c>
    </x:row>
    <x:row r="13" ht="21" customHeight="1">
      <x:c r="A13" s="7" t="str">
        <x:v>463e076390278727ce2b</x:v>
      </x:c>
      <x:c r="B13" s="7" t="str">
        <x:v>E0</x:v>
      </x:c>
      <x:c r="C13" s="7" t="str">
        <x:v>2025/26</x:v>
      </x:c>
      <x:c r="D13" s="8" t="n">
        <x:v>45886</x:v>
      </x:c>
      <x:c r="E13" s="7" t="str">
        <x:v>Man United</x:v>
      </x:c>
      <x:c r="F13" s="7" t="str">
        <x:v>Arsenal</x:v>
      </x:c>
      <x:c r="G13" s="7" t="n">
        <x:v>3</x:v>
      </x:c>
      <x:c r="H13" s="7" t="n">
        <x:v>4</x:v>
      </x:c>
      <x:c r="I13" s="7" t="str">
        <x:v>FD_E0_2526</x:v>
      </x:c>
      <x:c r="J13" s="7" t="str">
        <x:v>https://www.football-data.co.uk/mmz4281/2526/E0.csv</x:v>
      </x:c>
      <x:c r="K13" s="8" t="n">
        <x:v>46278.70306712963</x:v>
      </x:c>
      <x:c r="L13" s="7" t="str">
        <x:v>FT90</x:v>
      </x:c>
      <x:c r="M13" s="7" t="str">
        <x:v>CSV row 10</x:v>
      </x:c>
      <x:c r="N13" s="2" t="str">
        <x:f>IF(AND(A13&lt;&gt;"",ISNUMBER(D13)),B13&amp;"|"&amp;C13&amp;"|"&amp;TEXT(D13,"yyyymmdd")&amp;"|"&amp;E13&amp;"|"&amp;F13,"")</x:f>
        <x:v>E0|2025/26|20250817|Man United|Arsenal</x:v>
      </x:c>
      <x:c r="O13" s="2" t="str">
        <x:f>IF(A13="","",IFERROR(IF(NOT(AND(B13&lt;&gt;"",C13&lt;&gt;"",ISNUMBER(D13),D13&gt;0,E13&lt;&gt;"",F13&lt;&gt;"",E13&lt;&gt;F13,ISNUMBER(G13),ISNUMBER(H13),G13&gt;=0,H13&gt;=0,G13&lt;=100,H13&lt;=100,MOD(G13,1)=0,MOD(H13,1)=0,L13="FT90",S13&gt;0,INDEX(SourceTable[League],MAX(1,S13))=B13,INDEX(SourceTable[Season],MAX(1,S13))=C13,ISNUMBER(K13),K13=INDEX(SourceTable[Retrieved_UTC],MAX(1,S13)),J13&lt;&gt;"",M13&lt;&gt;"")),"INVALID",IF(OR(COUNTIFS('Istoric_Nativ'!$N$6:$N$405,N13,'Istoric_Nativ'!$G$6:$G$405,G13)&lt;&gt;COUNTIF('Istoric_Nativ'!$N$6:$N$405,N13),COUNTIFS('Istoric_Nativ'!$N$6:$N$405,N13,'Istoric_Nativ'!$H$6:$H$405,H13)&lt;&gt;COUNTIF('Istoric_Nativ'!$N$6:$N$405,N13)),"SOURCE CONFLICT",IF(COUNTIF($N$6:N13,N13)&gt;1,"DUPLICATE","VALID"))),"INVALID"))</x:f>
        <x:v>VALID</x:v>
      </x:c>
      <x:c r="P13" s="2" t="n">
        <x:f>IF(O13="VALID",1,0)</x:f>
        <x:v>1</x:v>
      </x:c>
      <x:c r="Q13" s="2" t="n">
        <x:f>IF(P13=1,G13+H13,0)</x:f>
        <x:v>7</x:v>
      </x:c>
      <x:c r="R13" s="2" t="n">
        <x:f>Q13^2</x:f>
        <x:v>49</x:v>
      </x:c>
      <x:c r="S13" s="2" t="n">
        <x:f>IF(A13="","",IFERROR(MATCH(I13,SourceTable[Source_ID],0),0))</x:f>
        <x:v>1</x:v>
      </x:c>
    </x:row>
    <x:row r="14" ht="21" customHeight="1">
      <x:c r="A14" s="7" t="str">
        <x:v>1e570fe7c06ce49416b2</x:v>
      </x:c>
      <x:c r="B14" s="7" t="str">
        <x:v>E0</x:v>
      </x:c>
      <x:c r="C14" s="7" t="str">
        <x:v>2025/26</x:v>
      </x:c>
      <x:c r="D14" s="8" t="n">
        <x:v>45886</x:v>
      </x:c>
      <x:c r="E14" s="7" t="str">
        <x:v>Nott'm Forest</x:v>
      </x:c>
      <x:c r="F14" s="7" t="str">
        <x:v>Brentford</x:v>
      </x:c>
      <x:c r="G14" s="7" t="n">
        <x:v>5</x:v>
      </x:c>
      <x:c r="H14" s="7" t="n">
        <x:v>5</x:v>
      </x:c>
      <x:c r="I14" s="7" t="str">
        <x:v>FD_E0_2526</x:v>
      </x:c>
      <x:c r="J14" s="7" t="str">
        <x:v>https://www.football-data.co.uk/mmz4281/2526/E0.csv</x:v>
      </x:c>
      <x:c r="K14" s="8" t="n">
        <x:v>46278.70306712963</x:v>
      </x:c>
      <x:c r="L14" s="7" t="str">
        <x:v>FT90</x:v>
      </x:c>
      <x:c r="M14" s="7" t="str">
        <x:v>CSV row 9</x:v>
      </x:c>
      <x:c r="N14" s="2" t="str">
        <x:f>IF(AND(A14&lt;&gt;"",ISNUMBER(D14)),B14&amp;"|"&amp;C14&amp;"|"&amp;TEXT(D14,"yyyymmdd")&amp;"|"&amp;E14&amp;"|"&amp;F14,"")</x:f>
        <x:v>E0|2025/26|20250817|Nott'm Forest|Brentford</x:v>
      </x:c>
      <x:c r="O14" s="2" t="str">
        <x:f>IF(A14="","",IFERROR(IF(NOT(AND(B14&lt;&gt;"",C14&lt;&gt;"",ISNUMBER(D14),D14&gt;0,E14&lt;&gt;"",F14&lt;&gt;"",E14&lt;&gt;F14,ISNUMBER(G14),ISNUMBER(H14),G14&gt;=0,H14&gt;=0,G14&lt;=100,H14&lt;=100,MOD(G14,1)=0,MOD(H14,1)=0,L14="FT90",S14&gt;0,INDEX(SourceTable[League],MAX(1,S14))=B14,INDEX(SourceTable[Season],MAX(1,S14))=C14,ISNUMBER(K14),K14=INDEX(SourceTable[Retrieved_UTC],MAX(1,S14)),J14&lt;&gt;"",M14&lt;&gt;"")),"INVALID",IF(OR(COUNTIFS('Istoric_Nativ'!$N$6:$N$405,N14,'Istoric_Nativ'!$G$6:$G$405,G14)&lt;&gt;COUNTIF('Istoric_Nativ'!$N$6:$N$405,N14),COUNTIFS('Istoric_Nativ'!$N$6:$N$405,N14,'Istoric_Nativ'!$H$6:$H$405,H14)&lt;&gt;COUNTIF('Istoric_Nativ'!$N$6:$N$405,N14)),"SOURCE CONFLICT",IF(COUNTIF($N$6:N14,N14)&gt;1,"DUPLICATE","VALID"))),"INVALID"))</x:f>
        <x:v>VALID</x:v>
      </x:c>
      <x:c r="P14" s="2" t="n">
        <x:f>IF(O14="VALID",1,0)</x:f>
        <x:v>1</x:v>
      </x:c>
      <x:c r="Q14" s="2" t="n">
        <x:f>IF(P14=1,G14+H14,0)</x:f>
        <x:v>10</x:v>
      </x:c>
      <x:c r="R14" s="2" t="n">
        <x:f>Q14^2</x:f>
        <x:v>100</x:v>
      </x:c>
      <x:c r="S14" s="2" t="n">
        <x:f>IF(A14="","",IFERROR(MATCH(I14,SourceTable[Source_ID],0),0))</x:f>
        <x:v>1</x:v>
      </x:c>
    </x:row>
    <x:row r="15" ht="21" customHeight="1">
      <x:c r="A15" s="7" t="str">
        <x:v>3ca33db40147e274a0f7</x:v>
      </x:c>
      <x:c r="B15" s="7" t="str">
        <x:v>E0</x:v>
      </x:c>
      <x:c r="C15" s="7" t="str">
        <x:v>2025/26</x:v>
      </x:c>
      <x:c r="D15" s="8" t="n">
        <x:v>45887</x:v>
      </x:c>
      <x:c r="E15" s="7" t="str">
        <x:v>Leeds</x:v>
      </x:c>
      <x:c r="F15" s="7" t="str">
        <x:v>Everton</x:v>
      </x:c>
      <x:c r="G15" s="7" t="n">
        <x:v>7</x:v>
      </x:c>
      <x:c r="H15" s="7" t="n">
        <x:v>2</x:v>
      </x:c>
      <x:c r="I15" s="7" t="str">
        <x:v>FD_E0_2526</x:v>
      </x:c>
      <x:c r="J15" s="7" t="str">
        <x:v>https://www.football-data.co.uk/mmz4281/2526/E0.csv</x:v>
      </x:c>
      <x:c r="K15" s="8" t="n">
        <x:v>46278.70306712963</x:v>
      </x:c>
      <x:c r="L15" s="7" t="str">
        <x:v>FT90</x:v>
      </x:c>
      <x:c r="M15" s="7" t="str">
        <x:v>CSV row 11</x:v>
      </x:c>
      <x:c r="N15" s="2" t="str">
        <x:f>IF(AND(A15&lt;&gt;"",ISNUMBER(D15)),B15&amp;"|"&amp;C15&amp;"|"&amp;TEXT(D15,"yyyymmdd")&amp;"|"&amp;E15&amp;"|"&amp;F15,"")</x:f>
        <x:v>E0|2025/26|20250818|Leeds|Everton</x:v>
      </x:c>
      <x:c r="O15" s="2" t="str">
        <x:f>IF(A15="","",IFERROR(IF(NOT(AND(B15&lt;&gt;"",C15&lt;&gt;"",ISNUMBER(D15),D15&gt;0,E15&lt;&gt;"",F15&lt;&gt;"",E15&lt;&gt;F15,ISNUMBER(G15),ISNUMBER(H15),G15&gt;=0,H15&gt;=0,G15&lt;=100,H15&lt;=100,MOD(G15,1)=0,MOD(H15,1)=0,L15="FT90",S15&gt;0,INDEX(SourceTable[League],MAX(1,S15))=B15,INDEX(SourceTable[Season],MAX(1,S15))=C15,ISNUMBER(K15),K15=INDEX(SourceTable[Retrieved_UTC],MAX(1,S15)),J15&lt;&gt;"",M15&lt;&gt;"")),"INVALID",IF(OR(COUNTIFS('Istoric_Nativ'!$N$6:$N$405,N15,'Istoric_Nativ'!$G$6:$G$405,G15)&lt;&gt;COUNTIF('Istoric_Nativ'!$N$6:$N$405,N15),COUNTIFS('Istoric_Nativ'!$N$6:$N$405,N15,'Istoric_Nativ'!$H$6:$H$405,H15)&lt;&gt;COUNTIF('Istoric_Nativ'!$N$6:$N$405,N15)),"SOURCE CONFLICT",IF(COUNTIF($N$6:N15,N15)&gt;1,"DUPLICATE","VALID"))),"INVALID"))</x:f>
        <x:v>VALID</x:v>
      </x:c>
      <x:c r="P15" s="2" t="n">
        <x:f>IF(O15="VALID",1,0)</x:f>
        <x:v>1</x:v>
      </x:c>
      <x:c r="Q15" s="2" t="n">
        <x:f>IF(P15=1,G15+H15,0)</x:f>
        <x:v>9</x:v>
      </x:c>
      <x:c r="R15" s="2" t="n">
        <x:f>Q15^2</x:f>
        <x:v>81</x:v>
      </x:c>
      <x:c r="S15" s="2" t="n">
        <x:f>IF(A15="","",IFERROR(MATCH(I15,SourceTable[Source_ID],0),0))</x:f>
        <x:v>1</x:v>
      </x:c>
    </x:row>
    <x:row r="16" ht="21" customHeight="1">
      <x:c r="A16" s="7" t="str">
        <x:v>eb589c693269d22acf03</x:v>
      </x:c>
      <x:c r="B16" s="7" t="str">
        <x:v>E0</x:v>
      </x:c>
      <x:c r="C16" s="7" t="str">
        <x:v>2025/26</x:v>
      </x:c>
      <x:c r="D16" s="8" t="n">
        <x:v>45891</x:v>
      </x:c>
      <x:c r="E16" s="7" t="str">
        <x:v>West Ham</x:v>
      </x:c>
      <x:c r="F16" s="7" t="str">
        <x:v>Chelsea</x:v>
      </x:c>
      <x:c r="G16" s="7" t="n">
        <x:v>7</x:v>
      </x:c>
      <x:c r="H16" s="7" t="n">
        <x:v>5</x:v>
      </x:c>
      <x:c r="I16" s="7" t="str">
        <x:v>FD_E0_2526</x:v>
      </x:c>
      <x:c r="J16" s="7" t="str">
        <x:v>https://www.football-data.co.uk/mmz4281/2526/E0.csv</x:v>
      </x:c>
      <x:c r="K16" s="8" t="n">
        <x:v>46278.70306712963</x:v>
      </x:c>
      <x:c r="L16" s="7" t="str">
        <x:v>FT90</x:v>
      </x:c>
      <x:c r="M16" s="7" t="str">
        <x:v>CSV row 12</x:v>
      </x:c>
      <x:c r="N16" s="2" t="str">
        <x:f>IF(AND(A16&lt;&gt;"",ISNUMBER(D16)),B16&amp;"|"&amp;C16&amp;"|"&amp;TEXT(D16,"yyyymmdd")&amp;"|"&amp;E16&amp;"|"&amp;F16,"")</x:f>
        <x:v>E0|2025/26|20250822|West Ham|Chelsea</x:v>
      </x:c>
      <x:c r="O16" s="2" t="str">
        <x:f>IF(A16="","",IFERROR(IF(NOT(AND(B16&lt;&gt;"",C16&lt;&gt;"",ISNUMBER(D16),D16&gt;0,E16&lt;&gt;"",F16&lt;&gt;"",E16&lt;&gt;F16,ISNUMBER(G16),ISNUMBER(H16),G16&gt;=0,H16&gt;=0,G16&lt;=100,H16&lt;=100,MOD(G16,1)=0,MOD(H16,1)=0,L16="FT90",S16&gt;0,INDEX(SourceTable[League],MAX(1,S16))=B16,INDEX(SourceTable[Season],MAX(1,S16))=C16,ISNUMBER(K16),K16=INDEX(SourceTable[Retrieved_UTC],MAX(1,S16)),J16&lt;&gt;"",M16&lt;&gt;"")),"INVALID",IF(OR(COUNTIFS('Istoric_Nativ'!$N$6:$N$405,N16,'Istoric_Nativ'!$G$6:$G$405,G16)&lt;&gt;COUNTIF('Istoric_Nativ'!$N$6:$N$405,N16),COUNTIFS('Istoric_Nativ'!$N$6:$N$405,N16,'Istoric_Nativ'!$H$6:$H$405,H16)&lt;&gt;COUNTIF('Istoric_Nativ'!$N$6:$N$405,N16)),"SOURCE CONFLICT",IF(COUNTIF($N$6:N16,N16)&gt;1,"DUPLICATE","VALID"))),"INVALID"))</x:f>
        <x:v>VALID</x:v>
      </x:c>
      <x:c r="P16" s="2" t="n">
        <x:f>IF(O16="VALID",1,0)</x:f>
        <x:v>1</x:v>
      </x:c>
      <x:c r="Q16" s="2" t="n">
        <x:f>IF(P16=1,G16+H16,0)</x:f>
        <x:v>12</x:v>
      </x:c>
      <x:c r="R16" s="2" t="n">
        <x:f>Q16^2</x:f>
        <x:v>144</x:v>
      </x:c>
      <x:c r="S16" s="2" t="n">
        <x:f>IF(A16="","",IFERROR(MATCH(I16,SourceTable[Source_ID],0),0))</x:f>
        <x:v>1</x:v>
      </x:c>
    </x:row>
    <x:row r="17" ht="21" customHeight="1">
      <x:c r="A17" s="7" t="str">
        <x:v>22b244095165aeb7509a</x:v>
      </x:c>
      <x:c r="B17" s="7" t="str">
        <x:v>E0</x:v>
      </x:c>
      <x:c r="C17" s="7" t="str">
        <x:v>2025/26</x:v>
      </x:c>
      <x:c r="D17" s="8" t="n">
        <x:v>45892</x:v>
      </x:c>
      <x:c r="E17" s="7" t="str">
        <x:v>Arsenal</x:v>
      </x:c>
      <x:c r="F17" s="7" t="str">
        <x:v>Leeds</x:v>
      </x:c>
      <x:c r="G17" s="7" t="n">
        <x:v>2</x:v>
      </x:c>
      <x:c r="H17" s="7" t="n">
        <x:v>2</x:v>
      </x:c>
      <x:c r="I17" s="7" t="str">
        <x:v>FD_E0_2526</x:v>
      </x:c>
      <x:c r="J17" s="7" t="str">
        <x:v>https://www.football-data.co.uk/mmz4281/2526/E0.csv</x:v>
      </x:c>
      <x:c r="K17" s="8" t="n">
        <x:v>46278.70306712963</x:v>
      </x:c>
      <x:c r="L17" s="7" t="str">
        <x:v>FT90</x:v>
      </x:c>
      <x:c r="M17" s="7" t="str">
        <x:v>CSV row 17</x:v>
      </x:c>
      <x:c r="N17" s="2" t="str">
        <x:f>IF(AND(A17&lt;&gt;"",ISNUMBER(D17)),B17&amp;"|"&amp;C17&amp;"|"&amp;TEXT(D17,"yyyymmdd")&amp;"|"&amp;E17&amp;"|"&amp;F17,"")</x:f>
        <x:v>E0|2025/26|20250823|Arsenal|Leeds</x:v>
      </x:c>
      <x:c r="O17" s="2" t="str">
        <x:f>IF(A17="","",IFERROR(IF(NOT(AND(B17&lt;&gt;"",C17&lt;&gt;"",ISNUMBER(D17),D17&gt;0,E17&lt;&gt;"",F17&lt;&gt;"",E17&lt;&gt;F17,ISNUMBER(G17),ISNUMBER(H17),G17&gt;=0,H17&gt;=0,G17&lt;=100,H17&lt;=100,MOD(G17,1)=0,MOD(H17,1)=0,L17="FT90",S17&gt;0,INDEX(SourceTable[League],MAX(1,S17))=B17,INDEX(SourceTable[Season],MAX(1,S17))=C17,ISNUMBER(K17),K17=INDEX(SourceTable[Retrieved_UTC],MAX(1,S17)),J17&lt;&gt;"",M17&lt;&gt;"")),"INVALID",IF(OR(COUNTIFS('Istoric_Nativ'!$N$6:$N$405,N17,'Istoric_Nativ'!$G$6:$G$405,G17)&lt;&gt;COUNTIF('Istoric_Nativ'!$N$6:$N$405,N17),COUNTIFS('Istoric_Nativ'!$N$6:$N$405,N17,'Istoric_Nativ'!$H$6:$H$405,H17)&lt;&gt;COUNTIF('Istoric_Nativ'!$N$6:$N$405,N17)),"SOURCE CONFLICT",IF(COUNTIF($N$6:N17,N17)&gt;1,"DUPLICATE","VALID"))),"INVALID"))</x:f>
        <x:v>VALID</x:v>
      </x:c>
      <x:c r="P17" s="2" t="n">
        <x:f>IF(O17="VALID",1,0)</x:f>
        <x:v>1</x:v>
      </x:c>
      <x:c r="Q17" s="2" t="n">
        <x:f>IF(P17=1,G17+H17,0)</x:f>
        <x:v>4</x:v>
      </x:c>
      <x:c r="R17" s="2" t="n">
        <x:f>Q17^2</x:f>
        <x:v>16</x:v>
      </x:c>
      <x:c r="S17" s="2" t="n">
        <x:f>IF(A17="","",IFERROR(MATCH(I17,SourceTable[Source_ID],0),0))</x:f>
        <x:v>1</x:v>
      </x:c>
    </x:row>
    <x:row r="18" ht="21" customHeight="1">
      <x:c r="A18" s="7" t="str">
        <x:v>74f406d836c6f04be36d</x:v>
      </x:c>
      <x:c r="B18" s="7" t="str">
        <x:v>E0</x:v>
      </x:c>
      <x:c r="C18" s="7" t="str">
        <x:v>2025/26</x:v>
      </x:c>
      <x:c r="D18" s="8" t="n">
        <x:v>45892</x:v>
      </x:c>
      <x:c r="E18" s="7" t="str">
        <x:v>Bournemouth</x:v>
      </x:c>
      <x:c r="F18" s="7" t="str">
        <x:v>Wolves</x:v>
      </x:c>
      <x:c r="G18" s="7" t="n">
        <x:v>8</x:v>
      </x:c>
      <x:c r="H18" s="7" t="n">
        <x:v>3</x:v>
      </x:c>
      <x:c r="I18" s="7" t="str">
        <x:v>FD_E0_2526</x:v>
      </x:c>
      <x:c r="J18" s="7" t="str">
        <x:v>https://www.football-data.co.uk/mmz4281/2526/E0.csv</x:v>
      </x:c>
      <x:c r="K18" s="8" t="n">
        <x:v>46278.70306712963</x:v>
      </x:c>
      <x:c r="L18" s="7" t="str">
        <x:v>FT90</x:v>
      </x:c>
      <x:c r="M18" s="7" t="str">
        <x:v>CSV row 14</x:v>
      </x:c>
      <x:c r="N18" s="2" t="str">
        <x:f>IF(AND(A18&lt;&gt;"",ISNUMBER(D18)),B18&amp;"|"&amp;C18&amp;"|"&amp;TEXT(D18,"yyyymmdd")&amp;"|"&amp;E18&amp;"|"&amp;F18,"")</x:f>
        <x:v>E0|2025/26|20250823|Bournemouth|Wolves</x:v>
      </x:c>
      <x:c r="O18" s="2" t="str">
        <x:f>IF(A18="","",IFERROR(IF(NOT(AND(B18&lt;&gt;"",C18&lt;&gt;"",ISNUMBER(D18),D18&gt;0,E18&lt;&gt;"",F18&lt;&gt;"",E18&lt;&gt;F18,ISNUMBER(G18),ISNUMBER(H18),G18&gt;=0,H18&gt;=0,G18&lt;=100,H18&lt;=100,MOD(G18,1)=0,MOD(H18,1)=0,L18="FT90",S18&gt;0,INDEX(SourceTable[League],MAX(1,S18))=B18,INDEX(SourceTable[Season],MAX(1,S18))=C18,ISNUMBER(K18),K18=INDEX(SourceTable[Retrieved_UTC],MAX(1,S18)),J18&lt;&gt;"",M18&lt;&gt;"")),"INVALID",IF(OR(COUNTIFS('Istoric_Nativ'!$N$6:$N$405,N18,'Istoric_Nativ'!$G$6:$G$405,G18)&lt;&gt;COUNTIF('Istoric_Nativ'!$N$6:$N$405,N18),COUNTIFS('Istoric_Nativ'!$N$6:$N$405,N18,'Istoric_Nativ'!$H$6:$H$405,H18)&lt;&gt;COUNTIF('Istoric_Nativ'!$N$6:$N$405,N18)),"SOURCE CONFLICT",IF(COUNTIF($N$6:N18,N18)&gt;1,"DUPLICATE","VALID"))),"INVALID"))</x:f>
        <x:v>VALID</x:v>
      </x:c>
      <x:c r="P18" s="2" t="n">
        <x:f>IF(O18="VALID",1,0)</x:f>
        <x:v>1</x:v>
      </x:c>
      <x:c r="Q18" s="2" t="n">
        <x:f>IF(P18=1,G18+H18,0)</x:f>
        <x:v>11</x:v>
      </x:c>
      <x:c r="R18" s="2" t="n">
        <x:f>Q18^2</x:f>
        <x:v>121</x:v>
      </x:c>
      <x:c r="S18" s="2" t="n">
        <x:f>IF(A18="","",IFERROR(MATCH(I18,SourceTable[Source_ID],0),0))</x:f>
        <x:v>1</x:v>
      </x:c>
    </x:row>
    <x:row r="19" ht="21" customHeight="1">
      <x:c r="A19" s="7" t="str">
        <x:v>77e37845dcc5e6fd6765</x:v>
      </x:c>
      <x:c r="B19" s="7" t="str">
        <x:v>E0</x:v>
      </x:c>
      <x:c r="C19" s="7" t="str">
        <x:v>2025/26</x:v>
      </x:c>
      <x:c r="D19" s="8" t="n">
        <x:v>45892</x:v>
      </x:c>
      <x:c r="E19" s="7" t="str">
        <x:v>Brentford</x:v>
      </x:c>
      <x:c r="F19" s="7" t="str">
        <x:v>Aston Villa</x:v>
      </x:c>
      <x:c r="G19" s="7" t="n">
        <x:v>2</x:v>
      </x:c>
      <x:c r="H19" s="7" t="n">
        <x:v>9</x:v>
      </x:c>
      <x:c r="I19" s="7" t="str">
        <x:v>FD_E0_2526</x:v>
      </x:c>
      <x:c r="J19" s="7" t="str">
        <x:v>https://www.football-data.co.uk/mmz4281/2526/E0.csv</x:v>
      </x:c>
      <x:c r="K19" s="8" t="n">
        <x:v>46278.70306712963</x:v>
      </x:c>
      <x:c r="L19" s="7" t="str">
        <x:v>FT90</x:v>
      </x:c>
      <x:c r="M19" s="7" t="str">
        <x:v>CSV row 15</x:v>
      </x:c>
      <x:c r="N19" s="2" t="str">
        <x:f>IF(AND(A19&lt;&gt;"",ISNUMBER(D19)),B19&amp;"|"&amp;C19&amp;"|"&amp;TEXT(D19,"yyyymmdd")&amp;"|"&amp;E19&amp;"|"&amp;F19,"")</x:f>
        <x:v>E0|2025/26|20250823|Brentford|Aston Villa</x:v>
      </x:c>
      <x:c r="O19" s="2" t="str">
        <x:f>IF(A19="","",IFERROR(IF(NOT(AND(B19&lt;&gt;"",C19&lt;&gt;"",ISNUMBER(D19),D19&gt;0,E19&lt;&gt;"",F19&lt;&gt;"",E19&lt;&gt;F19,ISNUMBER(G19),ISNUMBER(H19),G19&gt;=0,H19&gt;=0,G19&lt;=100,H19&lt;=100,MOD(G19,1)=0,MOD(H19,1)=0,L19="FT90",S19&gt;0,INDEX(SourceTable[League],MAX(1,S19))=B19,INDEX(SourceTable[Season],MAX(1,S19))=C19,ISNUMBER(K19),K19=INDEX(SourceTable[Retrieved_UTC],MAX(1,S19)),J19&lt;&gt;"",M19&lt;&gt;"")),"INVALID",IF(OR(COUNTIFS('Istoric_Nativ'!$N$6:$N$405,N19,'Istoric_Nativ'!$G$6:$G$405,G19)&lt;&gt;COUNTIF('Istoric_Nativ'!$N$6:$N$405,N19),COUNTIFS('Istoric_Nativ'!$N$6:$N$405,N19,'Istoric_Nativ'!$H$6:$H$405,H19)&lt;&gt;COUNTIF('Istoric_Nativ'!$N$6:$N$405,N19)),"SOURCE CONFLICT",IF(COUNTIF($N$6:N19,N19)&gt;1,"DUPLICATE","VALID"))),"INVALID"))</x:f>
        <x:v>VALID</x:v>
      </x:c>
      <x:c r="P19" s="2" t="n">
        <x:f>IF(O19="VALID",1,0)</x:f>
        <x:v>1</x:v>
      </x:c>
      <x:c r="Q19" s="2" t="n">
        <x:f>IF(P19=1,G19+H19,0)</x:f>
        <x:v>11</x:v>
      </x:c>
      <x:c r="R19" s="2" t="n">
        <x:f>Q19^2</x:f>
        <x:v>121</x:v>
      </x:c>
      <x:c r="S19" s="2" t="n">
        <x:f>IF(A19="","",IFERROR(MATCH(I19,SourceTable[Source_ID],0),0))</x:f>
        <x:v>1</x:v>
      </x:c>
    </x:row>
    <x:row r="20" ht="21" customHeight="1">
      <x:c r="A20" s="7" t="str">
        <x:v>d288a1d139c13d963cfc</x:v>
      </x:c>
      <x:c r="B20" s="7" t="str">
        <x:v>E0</x:v>
      </x:c>
      <x:c r="C20" s="7" t="str">
        <x:v>2025/26</x:v>
      </x:c>
      <x:c r="D20" s="8" t="n">
        <x:v>45892</x:v>
      </x:c>
      <x:c r="E20" s="7" t="str">
        <x:v>Burnley</x:v>
      </x:c>
      <x:c r="F20" s="7" t="str">
        <x:v>Sunderland</x:v>
      </x:c>
      <x:c r="G20" s="7" t="n">
        <x:v>4</x:v>
      </x:c>
      <x:c r="H20" s="7" t="n">
        <x:v>3</x:v>
      </x:c>
      <x:c r="I20" s="7" t="str">
        <x:v>FD_E0_2526</x:v>
      </x:c>
      <x:c r="J20" s="7" t="str">
        <x:v>https://www.football-data.co.uk/mmz4281/2526/E0.csv</x:v>
      </x:c>
      <x:c r="K20" s="8" t="n">
        <x:v>46278.70306712963</x:v>
      </x:c>
      <x:c r="L20" s="7" t="str">
        <x:v>FT90</x:v>
      </x:c>
      <x:c r="M20" s="7" t="str">
        <x:v>CSV row 16</x:v>
      </x:c>
      <x:c r="N20" s="2" t="str">
        <x:f>IF(AND(A20&lt;&gt;"",ISNUMBER(D20)),B20&amp;"|"&amp;C20&amp;"|"&amp;TEXT(D20,"yyyymmdd")&amp;"|"&amp;E20&amp;"|"&amp;F20,"")</x:f>
        <x:v>E0|2025/26|20250823|Burnley|Sunderland</x:v>
      </x:c>
      <x:c r="O20" s="2" t="str">
        <x:f>IF(A20="","",IFERROR(IF(NOT(AND(B20&lt;&gt;"",C20&lt;&gt;"",ISNUMBER(D20),D20&gt;0,E20&lt;&gt;"",F20&lt;&gt;"",E20&lt;&gt;F20,ISNUMBER(G20),ISNUMBER(H20),G20&gt;=0,H20&gt;=0,G20&lt;=100,H20&lt;=100,MOD(G20,1)=0,MOD(H20,1)=0,L20="FT90",S20&gt;0,INDEX(SourceTable[League],MAX(1,S20))=B20,INDEX(SourceTable[Season],MAX(1,S20))=C20,ISNUMBER(K20),K20=INDEX(SourceTable[Retrieved_UTC],MAX(1,S20)),J20&lt;&gt;"",M20&lt;&gt;"")),"INVALID",IF(OR(COUNTIFS('Istoric_Nativ'!$N$6:$N$405,N20,'Istoric_Nativ'!$G$6:$G$405,G20)&lt;&gt;COUNTIF('Istoric_Nativ'!$N$6:$N$405,N20),COUNTIFS('Istoric_Nativ'!$N$6:$N$405,N20,'Istoric_Nativ'!$H$6:$H$405,H20)&lt;&gt;COUNTIF('Istoric_Nativ'!$N$6:$N$405,N20)),"SOURCE CONFLICT",IF(COUNTIF($N$6:N20,N20)&gt;1,"DUPLICATE","VALID"))),"INVALID"))</x:f>
        <x:v>VALID</x:v>
      </x:c>
      <x:c r="P20" s="2" t="n">
        <x:f>IF(O20="VALID",1,0)</x:f>
        <x:v>1</x:v>
      </x:c>
      <x:c r="Q20" s="2" t="n">
        <x:f>IF(P20=1,G20+H20,0)</x:f>
        <x:v>7</x:v>
      </x:c>
      <x:c r="R20" s="2" t="n">
        <x:f>Q20^2</x:f>
        <x:v>49</x:v>
      </x:c>
      <x:c r="S20" s="2" t="n">
        <x:f>IF(A20="","",IFERROR(MATCH(I20,SourceTable[Source_ID],0),0))</x:f>
        <x:v>1</x:v>
      </x:c>
    </x:row>
    <x:row r="21" ht="21" customHeight="1">
      <x:c r="A21" s="7" t="str">
        <x:v>9ed86cfb085d45a5607f</x:v>
      </x:c>
      <x:c r="B21" s="7" t="str">
        <x:v>E0</x:v>
      </x:c>
      <x:c r="C21" s="7" t="str">
        <x:v>2025/26</x:v>
      </x:c>
      <x:c r="D21" s="8" t="n">
        <x:v>45892</x:v>
      </x:c>
      <x:c r="E21" s="7" t="str">
        <x:v>Man City</x:v>
      </x:c>
      <x:c r="F21" s="7" t="str">
        <x:v>Tottenham</x:v>
      </x:c>
      <x:c r="G21" s="7" t="n">
        <x:v>7</x:v>
      </x:c>
      <x:c r="H21" s="7" t="n">
        <x:v>2</x:v>
      </x:c>
      <x:c r="I21" s="7" t="str">
        <x:v>FD_E0_2526</x:v>
      </x:c>
      <x:c r="J21" s="7" t="str">
        <x:v>https://www.football-data.co.uk/mmz4281/2526/E0.csv</x:v>
      </x:c>
      <x:c r="K21" s="8" t="n">
        <x:v>46278.70306712963</x:v>
      </x:c>
      <x:c r="L21" s="7" t="str">
        <x:v>FT90</x:v>
      </x:c>
      <x:c r="M21" s="7" t="str">
        <x:v>CSV row 13</x:v>
      </x:c>
      <x:c r="N21" s="2" t="str">
        <x:f>IF(AND(A21&lt;&gt;"",ISNUMBER(D21)),B21&amp;"|"&amp;C21&amp;"|"&amp;TEXT(D21,"yyyymmdd")&amp;"|"&amp;E21&amp;"|"&amp;F21,"")</x:f>
        <x:v>E0|2025/26|20250823|Man City|Tottenham</x:v>
      </x:c>
      <x:c r="O21" s="2" t="str">
        <x:f>IF(A21="","",IFERROR(IF(NOT(AND(B21&lt;&gt;"",C21&lt;&gt;"",ISNUMBER(D21),D21&gt;0,E21&lt;&gt;"",F21&lt;&gt;"",E21&lt;&gt;F21,ISNUMBER(G21),ISNUMBER(H21),G21&gt;=0,H21&gt;=0,G21&lt;=100,H21&lt;=100,MOD(G21,1)=0,MOD(H21,1)=0,L21="FT90",S21&gt;0,INDEX(SourceTable[League],MAX(1,S21))=B21,INDEX(SourceTable[Season],MAX(1,S21))=C21,ISNUMBER(K21),K21=INDEX(SourceTable[Retrieved_UTC],MAX(1,S21)),J21&lt;&gt;"",M21&lt;&gt;"")),"INVALID",IF(OR(COUNTIFS('Istoric_Nativ'!$N$6:$N$405,N21,'Istoric_Nativ'!$G$6:$G$405,G21)&lt;&gt;COUNTIF('Istoric_Nativ'!$N$6:$N$405,N21),COUNTIFS('Istoric_Nativ'!$N$6:$N$405,N21,'Istoric_Nativ'!$H$6:$H$405,H21)&lt;&gt;COUNTIF('Istoric_Nativ'!$N$6:$N$405,N21)),"SOURCE CONFLICT",IF(COUNTIF($N$6:N21,N21)&gt;1,"DUPLICATE","VALID"))),"INVALID"))</x:f>
        <x:v>VALID</x:v>
      </x:c>
      <x:c r="P21" s="2" t="n">
        <x:f>IF(O21="VALID",1,0)</x:f>
        <x:v>1</x:v>
      </x:c>
      <x:c r="Q21" s="2" t="n">
        <x:f>IF(P21=1,G21+H21,0)</x:f>
        <x:v>9</x:v>
      </x:c>
      <x:c r="R21" s="2" t="n">
        <x:f>Q21^2</x:f>
        <x:v>81</x:v>
      </x:c>
      <x:c r="S21" s="2" t="n">
        <x:f>IF(A21="","",IFERROR(MATCH(I21,SourceTable[Source_ID],0),0))</x:f>
        <x:v>1</x:v>
      </x:c>
    </x:row>
    <x:row r="22" ht="21" customHeight="1">
      <x:c r="A22" s="7" t="str">
        <x:v>31be91a4927787de2931</x:v>
      </x:c>
      <x:c r="B22" s="7" t="str">
        <x:v>E0</x:v>
      </x:c>
      <x:c r="C22" s="7" t="str">
        <x:v>2025/26</x:v>
      </x:c>
      <x:c r="D22" s="8" t="n">
        <x:v>45893</x:v>
      </x:c>
      <x:c r="E22" s="7" t="str">
        <x:v>Crystal Palace</x:v>
      </x:c>
      <x:c r="F22" s="7" t="str">
        <x:v>Nott'm Forest</x:v>
      </x:c>
      <x:c r="G22" s="7" t="n">
        <x:v>1</x:v>
      </x:c>
      <x:c r="H22" s="7" t="n">
        <x:v>3</x:v>
      </x:c>
      <x:c r="I22" s="7" t="str">
        <x:v>FD_E0_2526</x:v>
      </x:c>
      <x:c r="J22" s="7" t="str">
        <x:v>https://www.football-data.co.uk/mmz4281/2526/E0.csv</x:v>
      </x:c>
      <x:c r="K22" s="8" t="n">
        <x:v>46278.70306712963</x:v>
      </x:c>
      <x:c r="L22" s="7" t="str">
        <x:v>FT90</x:v>
      </x:c>
      <x:c r="M22" s="7" t="str">
        <x:v>CSV row 18</x:v>
      </x:c>
      <x:c r="N22" s="2" t="str">
        <x:f>IF(AND(A22&lt;&gt;"",ISNUMBER(D22)),B22&amp;"|"&amp;C22&amp;"|"&amp;TEXT(D22,"yyyymmdd")&amp;"|"&amp;E22&amp;"|"&amp;F22,"")</x:f>
        <x:v>E0|2025/26|20250824|Crystal Palace|Nott'm Forest</x:v>
      </x:c>
      <x:c r="O22" s="2" t="str">
        <x:f>IF(A22="","",IFERROR(IF(NOT(AND(B22&lt;&gt;"",C22&lt;&gt;"",ISNUMBER(D22),D22&gt;0,E22&lt;&gt;"",F22&lt;&gt;"",E22&lt;&gt;F22,ISNUMBER(G22),ISNUMBER(H22),G22&gt;=0,H22&gt;=0,G22&lt;=100,H22&lt;=100,MOD(G22,1)=0,MOD(H22,1)=0,L22="FT90",S22&gt;0,INDEX(SourceTable[League],MAX(1,S22))=B22,INDEX(SourceTable[Season],MAX(1,S22))=C22,ISNUMBER(K22),K22=INDEX(SourceTable[Retrieved_UTC],MAX(1,S22)),J22&lt;&gt;"",M22&lt;&gt;"")),"INVALID",IF(OR(COUNTIFS('Istoric_Nativ'!$N$6:$N$405,N22,'Istoric_Nativ'!$G$6:$G$405,G22)&lt;&gt;COUNTIF('Istoric_Nativ'!$N$6:$N$405,N22),COUNTIFS('Istoric_Nativ'!$N$6:$N$405,N22,'Istoric_Nativ'!$H$6:$H$405,H22)&lt;&gt;COUNTIF('Istoric_Nativ'!$N$6:$N$405,N22)),"SOURCE CONFLICT",IF(COUNTIF($N$6:N22,N22)&gt;1,"DUPLICATE","VALID"))),"INVALID"))</x:f>
        <x:v>VALID</x:v>
      </x:c>
      <x:c r="P22" s="2" t="n">
        <x:f>IF(O22="VALID",1,0)</x:f>
        <x:v>1</x:v>
      </x:c>
      <x:c r="Q22" s="2" t="n">
        <x:f>IF(P22=1,G22+H22,0)</x:f>
        <x:v>4</x:v>
      </x:c>
      <x:c r="R22" s="2" t="n">
        <x:f>Q22^2</x:f>
        <x:v>16</x:v>
      </x:c>
      <x:c r="S22" s="2" t="n">
        <x:f>IF(A22="","",IFERROR(MATCH(I22,SourceTable[Source_ID],0),0))</x:f>
        <x:v>1</x:v>
      </x:c>
    </x:row>
    <x:row r="23" ht="21" customHeight="1">
      <x:c r="A23" s="7" t="str">
        <x:v>389371a3431e5f809ba7</x:v>
      </x:c>
      <x:c r="B23" s="7" t="str">
        <x:v>E0</x:v>
      </x:c>
      <x:c r="C23" s="7" t="str">
        <x:v>2025/26</x:v>
      </x:c>
      <x:c r="D23" s="8" t="n">
        <x:v>45893</x:v>
      </x:c>
      <x:c r="E23" s="7" t="str">
        <x:v>Everton</x:v>
      </x:c>
      <x:c r="F23" s="7" t="str">
        <x:v>Brighton</x:v>
      </x:c>
      <x:c r="G23" s="7" t="n">
        <x:v>2</x:v>
      </x:c>
      <x:c r="H23" s="7" t="n">
        <x:v>2</x:v>
      </x:c>
      <x:c r="I23" s="7" t="str">
        <x:v>FD_E0_2526</x:v>
      </x:c>
      <x:c r="J23" s="7" t="str">
        <x:v>https://www.football-data.co.uk/mmz4281/2526/E0.csv</x:v>
      </x:c>
      <x:c r="K23" s="8" t="n">
        <x:v>46278.70306712963</x:v>
      </x:c>
      <x:c r="L23" s="7" t="str">
        <x:v>FT90</x:v>
      </x:c>
      <x:c r="M23" s="7" t="str">
        <x:v>CSV row 19</x:v>
      </x:c>
      <x:c r="N23" s="2" t="str">
        <x:f>IF(AND(A23&lt;&gt;"",ISNUMBER(D23)),B23&amp;"|"&amp;C23&amp;"|"&amp;TEXT(D23,"yyyymmdd")&amp;"|"&amp;E23&amp;"|"&amp;F23,"")</x:f>
        <x:v>E0|2025/26|20250824|Everton|Brighton</x:v>
      </x:c>
      <x:c r="O23" s="2" t="str">
        <x:f>IF(A23="","",IFERROR(IF(NOT(AND(B23&lt;&gt;"",C23&lt;&gt;"",ISNUMBER(D23),D23&gt;0,E23&lt;&gt;"",F23&lt;&gt;"",E23&lt;&gt;F23,ISNUMBER(G23),ISNUMBER(H23),G23&gt;=0,H23&gt;=0,G23&lt;=100,H23&lt;=100,MOD(G23,1)=0,MOD(H23,1)=0,L23="FT90",S23&gt;0,INDEX(SourceTable[League],MAX(1,S23))=B23,INDEX(SourceTable[Season],MAX(1,S23))=C23,ISNUMBER(K23),K23=INDEX(SourceTable[Retrieved_UTC],MAX(1,S23)),J23&lt;&gt;"",M23&lt;&gt;"")),"INVALID",IF(OR(COUNTIFS('Istoric_Nativ'!$N$6:$N$405,N23,'Istoric_Nativ'!$G$6:$G$405,G23)&lt;&gt;COUNTIF('Istoric_Nativ'!$N$6:$N$405,N23),COUNTIFS('Istoric_Nativ'!$N$6:$N$405,N23,'Istoric_Nativ'!$H$6:$H$405,H23)&lt;&gt;COUNTIF('Istoric_Nativ'!$N$6:$N$405,N23)),"SOURCE CONFLICT",IF(COUNTIF($N$6:N23,N23)&gt;1,"DUPLICATE","VALID"))),"INVALID"))</x:f>
        <x:v>VALID</x:v>
      </x:c>
      <x:c r="P23" s="2" t="n">
        <x:f>IF(O23="VALID",1,0)</x:f>
        <x:v>1</x:v>
      </x:c>
      <x:c r="Q23" s="2" t="n">
        <x:f>IF(P23=1,G23+H23,0)</x:f>
        <x:v>4</x:v>
      </x:c>
      <x:c r="R23" s="2" t="n">
        <x:f>Q23^2</x:f>
        <x:v>16</x:v>
      </x:c>
      <x:c r="S23" s="2" t="n">
        <x:f>IF(A23="","",IFERROR(MATCH(I23,SourceTable[Source_ID],0),0))</x:f>
        <x:v>1</x:v>
      </x:c>
    </x:row>
    <x:row r="24" ht="21" customHeight="1">
      <x:c r="A24" s="7" t="str">
        <x:v>1dd09f98fdc3e2fb8f61</x:v>
      </x:c>
      <x:c r="B24" s="7" t="str">
        <x:v>E0</x:v>
      </x:c>
      <x:c r="C24" s="7" t="str">
        <x:v>2025/26</x:v>
      </x:c>
      <x:c r="D24" s="8" t="n">
        <x:v>45893</x:v>
      </x:c>
      <x:c r="E24" s="7" t="str">
        <x:v>Fulham</x:v>
      </x:c>
      <x:c r="F24" s="7" t="str">
        <x:v>Man United</x:v>
      </x:c>
      <x:c r="G24" s="7" t="n">
        <x:v>9</x:v>
      </x:c>
      <x:c r="H24" s="7" t="n">
        <x:v>6</x:v>
      </x:c>
      <x:c r="I24" s="7" t="str">
        <x:v>FD_E0_2526</x:v>
      </x:c>
      <x:c r="J24" s="7" t="str">
        <x:v>https://www.football-data.co.uk/mmz4281/2526/E0.csv</x:v>
      </x:c>
      <x:c r="K24" s="8" t="n">
        <x:v>46278.70306712963</x:v>
      </x:c>
      <x:c r="L24" s="7" t="str">
        <x:v>FT90</x:v>
      </x:c>
      <x:c r="M24" s="7" t="str">
        <x:v>CSV row 20</x:v>
      </x:c>
      <x:c r="N24" s="2" t="str">
        <x:f>IF(AND(A24&lt;&gt;"",ISNUMBER(D24)),B24&amp;"|"&amp;C24&amp;"|"&amp;TEXT(D24,"yyyymmdd")&amp;"|"&amp;E24&amp;"|"&amp;F24,"")</x:f>
        <x:v>E0|2025/26|20250824|Fulham|Man United</x:v>
      </x:c>
      <x:c r="O24" s="2" t="str">
        <x:f>IF(A24="","",IFERROR(IF(NOT(AND(B24&lt;&gt;"",C24&lt;&gt;"",ISNUMBER(D24),D24&gt;0,E24&lt;&gt;"",F24&lt;&gt;"",E24&lt;&gt;F24,ISNUMBER(G24),ISNUMBER(H24),G24&gt;=0,H24&gt;=0,G24&lt;=100,H24&lt;=100,MOD(G24,1)=0,MOD(H24,1)=0,L24="FT90",S24&gt;0,INDEX(SourceTable[League],MAX(1,S24))=B24,INDEX(SourceTable[Season],MAX(1,S24))=C24,ISNUMBER(K24),K24=INDEX(SourceTable[Retrieved_UTC],MAX(1,S24)),J24&lt;&gt;"",M24&lt;&gt;"")),"INVALID",IF(OR(COUNTIFS('Istoric_Nativ'!$N$6:$N$405,N24,'Istoric_Nativ'!$G$6:$G$405,G24)&lt;&gt;COUNTIF('Istoric_Nativ'!$N$6:$N$405,N24),COUNTIFS('Istoric_Nativ'!$N$6:$N$405,N24,'Istoric_Nativ'!$H$6:$H$405,H24)&lt;&gt;COUNTIF('Istoric_Nativ'!$N$6:$N$405,N24)),"SOURCE CONFLICT",IF(COUNTIF($N$6:N24,N24)&gt;1,"DUPLICATE","VALID"))),"INVALID"))</x:f>
        <x:v>VALID</x:v>
      </x:c>
      <x:c r="P24" s="2" t="n">
        <x:f>IF(O24="VALID",1,0)</x:f>
        <x:v>1</x:v>
      </x:c>
      <x:c r="Q24" s="2" t="n">
        <x:f>IF(P24=1,G24+H24,0)</x:f>
        <x:v>15</x:v>
      </x:c>
      <x:c r="R24" s="2" t="n">
        <x:f>Q24^2</x:f>
        <x:v>225</x:v>
      </x:c>
      <x:c r="S24" s="2" t="n">
        <x:f>IF(A24="","",IFERROR(MATCH(I24,SourceTable[Source_ID],0),0))</x:f>
        <x:v>1</x:v>
      </x:c>
    </x:row>
    <x:row r="25" ht="21" customHeight="1">
      <x:c r="A25" s="7" t="str">
        <x:v>d0265d7ea04027eda848</x:v>
      </x:c>
      <x:c r="B25" s="7" t="str">
        <x:v>E0</x:v>
      </x:c>
      <x:c r="C25" s="7" t="str">
        <x:v>2025/26</x:v>
      </x:c>
      <x:c r="D25" s="8" t="n">
        <x:v>45894</x:v>
      </x:c>
      <x:c r="E25" s="7" t="str">
        <x:v>Newcastle</x:v>
      </x:c>
      <x:c r="F25" s="7" t="str">
        <x:v>Liverpool</x:v>
      </x:c>
      <x:c r="G25" s="7" t="n">
        <x:v>7</x:v>
      </x:c>
      <x:c r="H25" s="7" t="n">
        <x:v>1</x:v>
      </x:c>
      <x:c r="I25" s="7" t="str">
        <x:v>FD_E0_2526</x:v>
      </x:c>
      <x:c r="J25" s="7" t="str">
        <x:v>https://www.football-data.co.uk/mmz4281/2526/E0.csv</x:v>
      </x:c>
      <x:c r="K25" s="8" t="n">
        <x:v>46278.70306712963</x:v>
      </x:c>
      <x:c r="L25" s="7" t="str">
        <x:v>FT90</x:v>
      </x:c>
      <x:c r="M25" s="7" t="str">
        <x:v>CSV row 21</x:v>
      </x:c>
      <x:c r="N25" s="2" t="str">
        <x:f>IF(AND(A25&lt;&gt;"",ISNUMBER(D25)),B25&amp;"|"&amp;C25&amp;"|"&amp;TEXT(D25,"yyyymmdd")&amp;"|"&amp;E25&amp;"|"&amp;F25,"")</x:f>
        <x:v>E0|2025/26|20250825|Newcastle|Liverpool</x:v>
      </x:c>
      <x:c r="O25" s="2" t="str">
        <x:f>IF(A25="","",IFERROR(IF(NOT(AND(B25&lt;&gt;"",C25&lt;&gt;"",ISNUMBER(D25),D25&gt;0,E25&lt;&gt;"",F25&lt;&gt;"",E25&lt;&gt;F25,ISNUMBER(G25),ISNUMBER(H25),G25&gt;=0,H25&gt;=0,G25&lt;=100,H25&lt;=100,MOD(G25,1)=0,MOD(H25,1)=0,L25="FT90",S25&gt;0,INDEX(SourceTable[League],MAX(1,S25))=B25,INDEX(SourceTable[Season],MAX(1,S25))=C25,ISNUMBER(K25),K25=INDEX(SourceTable[Retrieved_UTC],MAX(1,S25)),J25&lt;&gt;"",M25&lt;&gt;"")),"INVALID",IF(OR(COUNTIFS('Istoric_Nativ'!$N$6:$N$405,N25,'Istoric_Nativ'!$G$6:$G$405,G25)&lt;&gt;COUNTIF('Istoric_Nativ'!$N$6:$N$405,N25),COUNTIFS('Istoric_Nativ'!$N$6:$N$405,N25,'Istoric_Nativ'!$H$6:$H$405,H25)&lt;&gt;COUNTIF('Istoric_Nativ'!$N$6:$N$405,N25)),"SOURCE CONFLICT",IF(COUNTIF($N$6:N25,N25)&gt;1,"DUPLICATE","VALID"))),"INVALID"))</x:f>
        <x:v>VALID</x:v>
      </x:c>
      <x:c r="P25" s="2" t="n">
        <x:f>IF(O25="VALID",1,0)</x:f>
        <x:v>1</x:v>
      </x:c>
      <x:c r="Q25" s="2" t="n">
        <x:f>IF(P25=1,G25+H25,0)</x:f>
        <x:v>8</x:v>
      </x:c>
      <x:c r="R25" s="2" t="n">
        <x:f>Q25^2</x:f>
        <x:v>64</x:v>
      </x:c>
      <x:c r="S25" s="2" t="n">
        <x:f>IF(A25="","",IFERROR(MATCH(I25,SourceTable[Source_ID],0),0))</x:f>
        <x:v>1</x:v>
      </x:c>
    </x:row>
    <x:row r="26" ht="21" customHeight="1">
      <x:c r="A26" s="7" t="str">
        <x:v>3b126f0e908f605690a5</x:v>
      </x:c>
      <x:c r="B26" s="7" t="str">
        <x:v>E0</x:v>
      </x:c>
      <x:c r="C26" s="7" t="str">
        <x:v>2025/26</x:v>
      </x:c>
      <x:c r="D26" s="8" t="n">
        <x:v>45899</x:v>
      </x:c>
      <x:c r="E26" s="7" t="str">
        <x:v>Chelsea</x:v>
      </x:c>
      <x:c r="F26" s="7" t="str">
        <x:v>Fulham</x:v>
      </x:c>
      <x:c r="G26" s="7" t="n">
        <x:v>6</x:v>
      </x:c>
      <x:c r="H26" s="7" t="n">
        <x:v>4</x:v>
      </x:c>
      <x:c r="I26" s="7" t="str">
        <x:v>FD_E0_2526</x:v>
      </x:c>
      <x:c r="J26" s="7" t="str">
        <x:v>https://www.football-data.co.uk/mmz4281/2526/E0.csv</x:v>
      </x:c>
      <x:c r="K26" s="8" t="n">
        <x:v>46278.70306712963</x:v>
      </x:c>
      <x:c r="L26" s="7" t="str">
        <x:v>FT90</x:v>
      </x:c>
      <x:c r="M26" s="7" t="str">
        <x:v>CSV row 22</x:v>
      </x:c>
      <x:c r="N26" s="2" t="str">
        <x:f>IF(AND(A26&lt;&gt;"",ISNUMBER(D26)),B26&amp;"|"&amp;C26&amp;"|"&amp;TEXT(D26,"yyyymmdd")&amp;"|"&amp;E26&amp;"|"&amp;F26,"")</x:f>
        <x:v>E0|2025/26|20250830|Chelsea|Fulham</x:v>
      </x:c>
      <x:c r="O26" s="2" t="str">
        <x:f>IF(A26="","",IFERROR(IF(NOT(AND(B26&lt;&gt;"",C26&lt;&gt;"",ISNUMBER(D26),D26&gt;0,E26&lt;&gt;"",F26&lt;&gt;"",E26&lt;&gt;F26,ISNUMBER(G26),ISNUMBER(H26),G26&gt;=0,H26&gt;=0,G26&lt;=100,H26&lt;=100,MOD(G26,1)=0,MOD(H26,1)=0,L26="FT90",S26&gt;0,INDEX(SourceTable[League],MAX(1,S26))=B26,INDEX(SourceTable[Season],MAX(1,S26))=C26,ISNUMBER(K26),K26=INDEX(SourceTable[Retrieved_UTC],MAX(1,S26)),J26&lt;&gt;"",M26&lt;&gt;"")),"INVALID",IF(OR(COUNTIFS('Istoric_Nativ'!$N$6:$N$405,N26,'Istoric_Nativ'!$G$6:$G$405,G26)&lt;&gt;COUNTIF('Istoric_Nativ'!$N$6:$N$405,N26),COUNTIFS('Istoric_Nativ'!$N$6:$N$405,N26,'Istoric_Nativ'!$H$6:$H$405,H26)&lt;&gt;COUNTIF('Istoric_Nativ'!$N$6:$N$405,N26)),"SOURCE CONFLICT",IF(COUNTIF($N$6:N26,N26)&gt;1,"DUPLICATE","VALID"))),"INVALID"))</x:f>
        <x:v>VALID</x:v>
      </x:c>
      <x:c r="P26" s="2" t="n">
        <x:f>IF(O26="VALID",1,0)</x:f>
        <x:v>1</x:v>
      </x:c>
      <x:c r="Q26" s="2" t="n">
        <x:f>IF(P26=1,G26+H26,0)</x:f>
        <x:v>10</x:v>
      </x:c>
      <x:c r="R26" s="2" t="n">
        <x:f>Q26^2</x:f>
        <x:v>100</x:v>
      </x:c>
      <x:c r="S26" s="2" t="n">
        <x:f>IF(A26="","",IFERROR(MATCH(I26,SourceTable[Source_ID],0),0))</x:f>
        <x:v>1</x:v>
      </x:c>
    </x:row>
    <x:row r="27" ht="21" customHeight="1">
      <x:c r="A27" s="7" t="str">
        <x:v>d73a0eacea09dc5b9c79</x:v>
      </x:c>
      <x:c r="B27" s="7" t="str">
        <x:v>E0</x:v>
      </x:c>
      <x:c r="C27" s="7" t="str">
        <x:v>2025/26</x:v>
      </x:c>
      <x:c r="D27" s="8" t="n">
        <x:v>45899</x:v>
      </x:c>
      <x:c r="E27" s="7" t="str">
        <x:v>Leeds</x:v>
      </x:c>
      <x:c r="F27" s="7" t="str">
        <x:v>Newcastle</x:v>
      </x:c>
      <x:c r="G27" s="7" t="n">
        <x:v>5</x:v>
      </x:c>
      <x:c r="H27" s="7" t="n">
        <x:v>5</x:v>
      </x:c>
      <x:c r="I27" s="7" t="str">
        <x:v>FD_E0_2526</x:v>
      </x:c>
      <x:c r="J27" s="7" t="str">
        <x:v>https://www.football-data.co.uk/mmz4281/2526/E0.csv</x:v>
      </x:c>
      <x:c r="K27" s="8" t="n">
        <x:v>46278.70306712963</x:v>
      </x:c>
      <x:c r="L27" s="7" t="str">
        <x:v>FT90</x:v>
      </x:c>
      <x:c r="M27" s="7" t="str">
        <x:v>CSV row 27</x:v>
      </x:c>
      <x:c r="N27" s="2" t="str">
        <x:f>IF(AND(A27&lt;&gt;"",ISNUMBER(D27)),B27&amp;"|"&amp;C27&amp;"|"&amp;TEXT(D27,"yyyymmdd")&amp;"|"&amp;E27&amp;"|"&amp;F27,"")</x:f>
        <x:v>E0|2025/26|20250830|Leeds|Newcastle</x:v>
      </x:c>
      <x:c r="O27" s="2" t="str">
        <x:f>IF(A27="","",IFERROR(IF(NOT(AND(B27&lt;&gt;"",C27&lt;&gt;"",ISNUMBER(D27),D27&gt;0,E27&lt;&gt;"",F27&lt;&gt;"",E27&lt;&gt;F27,ISNUMBER(G27),ISNUMBER(H27),G27&gt;=0,H27&gt;=0,G27&lt;=100,H27&lt;=100,MOD(G27,1)=0,MOD(H27,1)=0,L27="FT90",S27&gt;0,INDEX(SourceTable[League],MAX(1,S27))=B27,INDEX(SourceTable[Season],MAX(1,S27))=C27,ISNUMBER(K27),K27=INDEX(SourceTable[Retrieved_UTC],MAX(1,S27)),J27&lt;&gt;"",M27&lt;&gt;"")),"INVALID",IF(OR(COUNTIFS('Istoric_Nativ'!$N$6:$N$405,N27,'Istoric_Nativ'!$G$6:$G$405,G27)&lt;&gt;COUNTIF('Istoric_Nativ'!$N$6:$N$405,N27),COUNTIFS('Istoric_Nativ'!$N$6:$N$405,N27,'Istoric_Nativ'!$H$6:$H$405,H27)&lt;&gt;COUNTIF('Istoric_Nativ'!$N$6:$N$405,N27)),"SOURCE CONFLICT",IF(COUNTIF($N$6:N27,N27)&gt;1,"DUPLICATE","VALID"))),"INVALID"))</x:f>
        <x:v>VALID</x:v>
      </x:c>
      <x:c r="P27" s="2" t="n">
        <x:f>IF(O27="VALID",1,0)</x:f>
        <x:v>1</x:v>
      </x:c>
      <x:c r="Q27" s="2" t="n">
        <x:f>IF(P27=1,G27+H27,0)</x:f>
        <x:v>10</x:v>
      </x:c>
      <x:c r="R27" s="2" t="n">
        <x:f>Q27^2</x:f>
        <x:v>100</x:v>
      </x:c>
      <x:c r="S27" s="2" t="n">
        <x:f>IF(A27="","",IFERROR(MATCH(I27,SourceTable[Source_ID],0),0))</x:f>
        <x:v>1</x:v>
      </x:c>
    </x:row>
    <x:row r="28" ht="21" customHeight="1">
      <x:c r="A28" s="7" t="str">
        <x:v>b0d1ac146459cbdf5884</x:v>
      </x:c>
      <x:c r="B28" s="7" t="str">
        <x:v>E0</x:v>
      </x:c>
      <x:c r="C28" s="7" t="str">
        <x:v>2025/26</x:v>
      </x:c>
      <x:c r="D28" s="8" t="n">
        <x:v>45899</x:v>
      </x:c>
      <x:c r="E28" s="7" t="str">
        <x:v>Man United</x:v>
      </x:c>
      <x:c r="F28" s="7" t="str">
        <x:v>Burnley</x:v>
      </x:c>
      <x:c r="G28" s="7" t="n">
        <x:v>7</x:v>
      </x:c>
      <x:c r="H28" s="7" t="n">
        <x:v>1</x:v>
      </x:c>
      <x:c r="I28" s="7" t="str">
        <x:v>FD_E0_2526</x:v>
      </x:c>
      <x:c r="J28" s="7" t="str">
        <x:v>https://www.football-data.co.uk/mmz4281/2526/E0.csv</x:v>
      </x:c>
      <x:c r="K28" s="8" t="n">
        <x:v>46278.70306712963</x:v>
      </x:c>
      <x:c r="L28" s="7" t="str">
        <x:v>FT90</x:v>
      </x:c>
      <x:c r="M28" s="7" t="str">
        <x:v>CSV row 23</x:v>
      </x:c>
      <x:c r="N28" s="2" t="str">
        <x:f>IF(AND(A28&lt;&gt;"",ISNUMBER(D28)),B28&amp;"|"&amp;C28&amp;"|"&amp;TEXT(D28,"yyyymmdd")&amp;"|"&amp;E28&amp;"|"&amp;F28,"")</x:f>
        <x:v>E0|2025/26|20250830|Man United|Burnley</x:v>
      </x:c>
      <x:c r="O28" s="2" t="str">
        <x:f>IF(A28="","",IFERROR(IF(NOT(AND(B28&lt;&gt;"",C28&lt;&gt;"",ISNUMBER(D28),D28&gt;0,E28&lt;&gt;"",F28&lt;&gt;"",E28&lt;&gt;F28,ISNUMBER(G28),ISNUMBER(H28),G28&gt;=0,H28&gt;=0,G28&lt;=100,H28&lt;=100,MOD(G28,1)=0,MOD(H28,1)=0,L28="FT90",S28&gt;0,INDEX(SourceTable[League],MAX(1,S28))=B28,INDEX(SourceTable[Season],MAX(1,S28))=C28,ISNUMBER(K28),K28=INDEX(SourceTable[Retrieved_UTC],MAX(1,S28)),J28&lt;&gt;"",M28&lt;&gt;"")),"INVALID",IF(OR(COUNTIFS('Istoric_Nativ'!$N$6:$N$405,N28,'Istoric_Nativ'!$G$6:$G$405,G28)&lt;&gt;COUNTIF('Istoric_Nativ'!$N$6:$N$405,N28),COUNTIFS('Istoric_Nativ'!$N$6:$N$405,N28,'Istoric_Nativ'!$H$6:$H$405,H28)&lt;&gt;COUNTIF('Istoric_Nativ'!$N$6:$N$405,N28)),"SOURCE CONFLICT",IF(COUNTIF($N$6:N28,N28)&gt;1,"DUPLICATE","VALID"))),"INVALID"))</x:f>
        <x:v>VALID</x:v>
      </x:c>
      <x:c r="P28" s="2" t="n">
        <x:f>IF(O28="VALID",1,0)</x:f>
        <x:v>1</x:v>
      </x:c>
      <x:c r="Q28" s="2" t="n">
        <x:f>IF(P28=1,G28+H28,0)</x:f>
        <x:v>8</x:v>
      </x:c>
      <x:c r="R28" s="2" t="n">
        <x:f>Q28^2</x:f>
        <x:v>64</x:v>
      </x:c>
      <x:c r="S28" s="2" t="n">
        <x:f>IF(A28="","",IFERROR(MATCH(I28,SourceTable[Source_ID],0),0))</x:f>
        <x:v>1</x:v>
      </x:c>
    </x:row>
    <x:row r="29" ht="21" customHeight="1">
      <x:c r="A29" s="7" t="str">
        <x:v>d21a21f015487c459f36</x:v>
      </x:c>
      <x:c r="B29" s="7" t="str">
        <x:v>E0</x:v>
      </x:c>
      <x:c r="C29" s="7" t="str">
        <x:v>2025/26</x:v>
      </x:c>
      <x:c r="D29" s="8" t="n">
        <x:v>45899</x:v>
      </x:c>
      <x:c r="E29" s="7" t="str">
        <x:v>Sunderland</x:v>
      </x:c>
      <x:c r="F29" s="7" t="str">
        <x:v>Brentford</x:v>
      </x:c>
      <x:c r="G29" s="7" t="n">
        <x:v>3</x:v>
      </x:c>
      <x:c r="H29" s="7" t="n">
        <x:v>4</x:v>
      </x:c>
      <x:c r="I29" s="7" t="str">
        <x:v>FD_E0_2526</x:v>
      </x:c>
      <x:c r="J29" s="7" t="str">
        <x:v>https://www.football-data.co.uk/mmz4281/2526/E0.csv</x:v>
      </x:c>
      <x:c r="K29" s="8" t="n">
        <x:v>46278.70306712963</x:v>
      </x:c>
      <x:c r="L29" s="7" t="str">
        <x:v>FT90</x:v>
      </x:c>
      <x:c r="M29" s="7" t="str">
        <x:v>CSV row 24</x:v>
      </x:c>
      <x:c r="N29" s="2" t="str">
        <x:f>IF(AND(A29&lt;&gt;"",ISNUMBER(D29)),B29&amp;"|"&amp;C29&amp;"|"&amp;TEXT(D29,"yyyymmdd")&amp;"|"&amp;E29&amp;"|"&amp;F29,"")</x:f>
        <x:v>E0|2025/26|20250830|Sunderland|Brentford</x:v>
      </x:c>
      <x:c r="O29" s="2" t="str">
        <x:f>IF(A29="","",IFERROR(IF(NOT(AND(B29&lt;&gt;"",C29&lt;&gt;"",ISNUMBER(D29),D29&gt;0,E29&lt;&gt;"",F29&lt;&gt;"",E29&lt;&gt;F29,ISNUMBER(G29),ISNUMBER(H29),G29&gt;=0,H29&gt;=0,G29&lt;=100,H29&lt;=100,MOD(G29,1)=0,MOD(H29,1)=0,L29="FT90",S29&gt;0,INDEX(SourceTable[League],MAX(1,S29))=B29,INDEX(SourceTable[Season],MAX(1,S29))=C29,ISNUMBER(K29),K29=INDEX(SourceTable[Retrieved_UTC],MAX(1,S29)),J29&lt;&gt;"",M29&lt;&gt;"")),"INVALID",IF(OR(COUNTIFS('Istoric_Nativ'!$N$6:$N$405,N29,'Istoric_Nativ'!$G$6:$G$405,G29)&lt;&gt;COUNTIF('Istoric_Nativ'!$N$6:$N$405,N29),COUNTIFS('Istoric_Nativ'!$N$6:$N$405,N29,'Istoric_Nativ'!$H$6:$H$405,H29)&lt;&gt;COUNTIF('Istoric_Nativ'!$N$6:$N$405,N29)),"SOURCE CONFLICT",IF(COUNTIF($N$6:N29,N29)&gt;1,"DUPLICATE","VALID"))),"INVALID"))</x:f>
        <x:v>VALID</x:v>
      </x:c>
      <x:c r="P29" s="2" t="n">
        <x:f>IF(O29="VALID",1,0)</x:f>
        <x:v>1</x:v>
      </x:c>
      <x:c r="Q29" s="2" t="n">
        <x:f>IF(P29=1,G29+H29,0)</x:f>
        <x:v>7</x:v>
      </x:c>
      <x:c r="R29" s="2" t="n">
        <x:f>Q29^2</x:f>
        <x:v>49</x:v>
      </x:c>
      <x:c r="S29" s="2" t="n">
        <x:f>IF(A29="","",IFERROR(MATCH(I29,SourceTable[Source_ID],0),0))</x:f>
        <x:v>1</x:v>
      </x:c>
    </x:row>
    <x:row r="30" ht="21" customHeight="1">
      <x:c r="A30" s="7" t="str">
        <x:v>536e7689253e3edad15e</x:v>
      </x:c>
      <x:c r="B30" s="7" t="str">
        <x:v>E0</x:v>
      </x:c>
      <x:c r="C30" s="7" t="str">
        <x:v>2025/26</x:v>
      </x:c>
      <x:c r="D30" s="8" t="n">
        <x:v>45899</x:v>
      </x:c>
      <x:c r="E30" s="7" t="str">
        <x:v>Tottenham</x:v>
      </x:c>
      <x:c r="F30" s="7" t="str">
        <x:v>Bournemouth</x:v>
      </x:c>
      <x:c r="G30" s="7" t="n">
        <x:v>0</x:v>
      </x:c>
      <x:c r="H30" s="7" t="n">
        <x:v>8</x:v>
      </x:c>
      <x:c r="I30" s="7" t="str">
        <x:v>FD_E0_2526</x:v>
      </x:c>
      <x:c r="J30" s="7" t="str">
        <x:v>https://www.football-data.co.uk/mmz4281/2526/E0.csv</x:v>
      </x:c>
      <x:c r="K30" s="8" t="n">
        <x:v>46278.70306712963</x:v>
      </x:c>
      <x:c r="L30" s="7" t="str">
        <x:v>FT90</x:v>
      </x:c>
      <x:c r="M30" s="7" t="str">
        <x:v>CSV row 25</x:v>
      </x:c>
      <x:c r="N30" s="2" t="str">
        <x:f>IF(AND(A30&lt;&gt;"",ISNUMBER(D30)),B30&amp;"|"&amp;C30&amp;"|"&amp;TEXT(D30,"yyyymmdd")&amp;"|"&amp;E30&amp;"|"&amp;F30,"")</x:f>
        <x:v>E0|2025/26|20250830|Tottenham|Bournemouth</x:v>
      </x:c>
      <x:c r="O30" s="2" t="str">
        <x:f>IF(A30="","",IFERROR(IF(NOT(AND(B30&lt;&gt;"",C30&lt;&gt;"",ISNUMBER(D30),D30&gt;0,E30&lt;&gt;"",F30&lt;&gt;"",E30&lt;&gt;F30,ISNUMBER(G30),ISNUMBER(H30),G30&gt;=0,H30&gt;=0,G30&lt;=100,H30&lt;=100,MOD(G30,1)=0,MOD(H30,1)=0,L30="FT90",S30&gt;0,INDEX(SourceTable[League],MAX(1,S30))=B30,INDEX(SourceTable[Season],MAX(1,S30))=C30,ISNUMBER(K30),K30=INDEX(SourceTable[Retrieved_UTC],MAX(1,S30)),J30&lt;&gt;"",M30&lt;&gt;"")),"INVALID",IF(OR(COUNTIFS('Istoric_Nativ'!$N$6:$N$405,N30,'Istoric_Nativ'!$G$6:$G$405,G30)&lt;&gt;COUNTIF('Istoric_Nativ'!$N$6:$N$405,N30),COUNTIFS('Istoric_Nativ'!$N$6:$N$405,N30,'Istoric_Nativ'!$H$6:$H$405,H30)&lt;&gt;COUNTIF('Istoric_Nativ'!$N$6:$N$405,N30)),"SOURCE CONFLICT",IF(COUNTIF($N$6:N30,N30)&gt;1,"DUPLICATE","VALID"))),"INVALID"))</x:f>
        <x:v>VALID</x:v>
      </x:c>
      <x:c r="P30" s="2" t="n">
        <x:f>IF(O30="VALID",1,0)</x:f>
        <x:v>1</x:v>
      </x:c>
      <x:c r="Q30" s="2" t="n">
        <x:f>IF(P30=1,G30+H30,0)</x:f>
        <x:v>8</x:v>
      </x:c>
      <x:c r="R30" s="2" t="n">
        <x:f>Q30^2</x:f>
        <x:v>64</x:v>
      </x:c>
      <x:c r="S30" s="2" t="n">
        <x:f>IF(A30="","",IFERROR(MATCH(I30,SourceTable[Source_ID],0),0))</x:f>
        <x:v>1</x:v>
      </x:c>
    </x:row>
    <x:row r="31" ht="21" customHeight="1">
      <x:c r="A31" s="7" t="str">
        <x:v>4c6b30ea1d760d42c936</x:v>
      </x:c>
      <x:c r="B31" s="7" t="str">
        <x:v>E0</x:v>
      </x:c>
      <x:c r="C31" s="7" t="str">
        <x:v>2025/26</x:v>
      </x:c>
      <x:c r="D31" s="8" t="n">
        <x:v>45899</x:v>
      </x:c>
      <x:c r="E31" s="7" t="str">
        <x:v>Wolves</x:v>
      </x:c>
      <x:c r="F31" s="7" t="str">
        <x:v>Everton</x:v>
      </x:c>
      <x:c r="G31" s="7" t="n">
        <x:v>2</x:v>
      </x:c>
      <x:c r="H31" s="7" t="n">
        <x:v>2</x:v>
      </x:c>
      <x:c r="I31" s="7" t="str">
        <x:v>FD_E0_2526</x:v>
      </x:c>
      <x:c r="J31" s="7" t="str">
        <x:v>https://www.football-data.co.uk/mmz4281/2526/E0.csv</x:v>
      </x:c>
      <x:c r="K31" s="8" t="n">
        <x:v>46278.70306712963</x:v>
      </x:c>
      <x:c r="L31" s="7" t="str">
        <x:v>FT90</x:v>
      </x:c>
      <x:c r="M31" s="7" t="str">
        <x:v>CSV row 26</x:v>
      </x:c>
      <x:c r="N31" s="2" t="str">
        <x:f>IF(AND(A31&lt;&gt;"",ISNUMBER(D31)),B31&amp;"|"&amp;C31&amp;"|"&amp;TEXT(D31,"yyyymmdd")&amp;"|"&amp;E31&amp;"|"&amp;F31,"")</x:f>
        <x:v>E0|2025/26|20250830|Wolves|Everton</x:v>
      </x:c>
      <x:c r="O31" s="2" t="str">
        <x:f>IF(A31="","",IFERROR(IF(NOT(AND(B31&lt;&gt;"",C31&lt;&gt;"",ISNUMBER(D31),D31&gt;0,E31&lt;&gt;"",F31&lt;&gt;"",E31&lt;&gt;F31,ISNUMBER(G31),ISNUMBER(H31),G31&gt;=0,H31&gt;=0,G31&lt;=100,H31&lt;=100,MOD(G31,1)=0,MOD(H31,1)=0,L31="FT90",S31&gt;0,INDEX(SourceTable[League],MAX(1,S31))=B31,INDEX(SourceTable[Season],MAX(1,S31))=C31,ISNUMBER(K31),K31=INDEX(SourceTable[Retrieved_UTC],MAX(1,S31)),J31&lt;&gt;"",M31&lt;&gt;"")),"INVALID",IF(OR(COUNTIFS('Istoric_Nativ'!$N$6:$N$405,N31,'Istoric_Nativ'!$G$6:$G$405,G31)&lt;&gt;COUNTIF('Istoric_Nativ'!$N$6:$N$405,N31),COUNTIFS('Istoric_Nativ'!$N$6:$N$405,N31,'Istoric_Nativ'!$H$6:$H$405,H31)&lt;&gt;COUNTIF('Istoric_Nativ'!$N$6:$N$405,N31)),"SOURCE CONFLICT",IF(COUNTIF($N$6:N31,N31)&gt;1,"DUPLICATE","VALID"))),"INVALID"))</x:f>
        <x:v>VALID</x:v>
      </x:c>
      <x:c r="P31" s="2" t="n">
        <x:f>IF(O31="VALID",1,0)</x:f>
        <x:v>1</x:v>
      </x:c>
      <x:c r="Q31" s="2" t="n">
        <x:f>IF(P31=1,G31+H31,0)</x:f>
        <x:v>4</x:v>
      </x:c>
      <x:c r="R31" s="2" t="n">
        <x:f>Q31^2</x:f>
        <x:v>16</x:v>
      </x:c>
      <x:c r="S31" s="2" t="n">
        <x:f>IF(A31="","",IFERROR(MATCH(I31,SourceTable[Source_ID],0),0))</x:f>
        <x:v>1</x:v>
      </x:c>
    </x:row>
    <x:row r="32" ht="21" customHeight="1">
      <x:c r="A32" s="7" t="str">
        <x:v>68debdaf78d9b542d639</x:v>
      </x:c>
      <x:c r="B32" s="7" t="str">
        <x:v>E0</x:v>
      </x:c>
      <x:c r="C32" s="7" t="str">
        <x:v>2025/26</x:v>
      </x:c>
      <x:c r="D32" s="8" t="n">
        <x:v>45900</x:v>
      </x:c>
      <x:c r="E32" s="7" t="str">
        <x:v>Aston Villa</x:v>
      </x:c>
      <x:c r="F32" s="7" t="str">
        <x:v>Crystal Palace</x:v>
      </x:c>
      <x:c r="G32" s="7" t="n">
        <x:v>10</x:v>
      </x:c>
      <x:c r="H32" s="7" t="n">
        <x:v>1</x:v>
      </x:c>
      <x:c r="I32" s="7" t="str">
        <x:v>FD_E0_2526</x:v>
      </x:c>
      <x:c r="J32" s="7" t="str">
        <x:v>https://www.football-data.co.uk/mmz4281/2526/E0.csv</x:v>
      </x:c>
      <x:c r="K32" s="8" t="n">
        <x:v>46278.70306712963</x:v>
      </x:c>
      <x:c r="L32" s="7" t="str">
        <x:v>FT90</x:v>
      </x:c>
      <x:c r="M32" s="7" t="str">
        <x:v>CSV row 31</x:v>
      </x:c>
      <x:c r="N32" s="2" t="str">
        <x:f>IF(AND(A32&lt;&gt;"",ISNUMBER(D32)),B32&amp;"|"&amp;C32&amp;"|"&amp;TEXT(D32,"yyyymmdd")&amp;"|"&amp;E32&amp;"|"&amp;F32,"")</x:f>
        <x:v>E0|2025/26|20250831|Aston Villa|Crystal Palace</x:v>
      </x:c>
      <x:c r="O32" s="2" t="str">
        <x:f>IF(A32="","",IFERROR(IF(NOT(AND(B32&lt;&gt;"",C32&lt;&gt;"",ISNUMBER(D32),D32&gt;0,E32&lt;&gt;"",F32&lt;&gt;"",E32&lt;&gt;F32,ISNUMBER(G32),ISNUMBER(H32),G32&gt;=0,H32&gt;=0,G32&lt;=100,H32&lt;=100,MOD(G32,1)=0,MOD(H32,1)=0,L32="FT90",S32&gt;0,INDEX(SourceTable[League],MAX(1,S32))=B32,INDEX(SourceTable[Season],MAX(1,S32))=C32,ISNUMBER(K32),K32=INDEX(SourceTable[Retrieved_UTC],MAX(1,S32)),J32&lt;&gt;"",M32&lt;&gt;"")),"INVALID",IF(OR(COUNTIFS('Istoric_Nativ'!$N$6:$N$405,N32,'Istoric_Nativ'!$G$6:$G$405,G32)&lt;&gt;COUNTIF('Istoric_Nativ'!$N$6:$N$405,N32),COUNTIFS('Istoric_Nativ'!$N$6:$N$405,N32,'Istoric_Nativ'!$H$6:$H$405,H32)&lt;&gt;COUNTIF('Istoric_Nativ'!$N$6:$N$405,N32)),"SOURCE CONFLICT",IF(COUNTIF($N$6:N32,N32)&gt;1,"DUPLICATE","VALID"))),"INVALID"))</x:f>
        <x:v>VALID</x:v>
      </x:c>
      <x:c r="P32" s="2" t="n">
        <x:f>IF(O32="VALID",1,0)</x:f>
        <x:v>1</x:v>
      </x:c>
      <x:c r="Q32" s="2" t="n">
        <x:f>IF(P32=1,G32+H32,0)</x:f>
        <x:v>11</x:v>
      </x:c>
      <x:c r="R32" s="2" t="n">
        <x:f>Q32^2</x:f>
        <x:v>121</x:v>
      </x:c>
      <x:c r="S32" s="2" t="n">
        <x:f>IF(A32="","",IFERROR(MATCH(I32,SourceTable[Source_ID],0),0))</x:f>
        <x:v>1</x:v>
      </x:c>
    </x:row>
    <x:row r="33" ht="21" customHeight="1">
      <x:c r="A33" s="7" t="str">
        <x:v>49e0a64a518ed90b1780</x:v>
      </x:c>
      <x:c r="B33" s="7" t="str">
        <x:v>E0</x:v>
      </x:c>
      <x:c r="C33" s="7" t="str">
        <x:v>2025/26</x:v>
      </x:c>
      <x:c r="D33" s="8" t="n">
        <x:v>45900</x:v>
      </x:c>
      <x:c r="E33" s="7" t="str">
        <x:v>Brighton</x:v>
      </x:c>
      <x:c r="F33" s="7" t="str">
        <x:v>Man City</x:v>
      </x:c>
      <x:c r="G33" s="7" t="n">
        <x:v>3</x:v>
      </x:c>
      <x:c r="H33" s="7" t="n">
        <x:v>2</x:v>
      </x:c>
      <x:c r="I33" s="7" t="str">
        <x:v>FD_E0_2526</x:v>
      </x:c>
      <x:c r="J33" s="7" t="str">
        <x:v>https://www.football-data.co.uk/mmz4281/2526/E0.csv</x:v>
      </x:c>
      <x:c r="K33" s="8" t="n">
        <x:v>46278.70306712963</x:v>
      </x:c>
      <x:c r="L33" s="7" t="str">
        <x:v>FT90</x:v>
      </x:c>
      <x:c r="M33" s="7" t="str">
        <x:v>CSV row 28</x:v>
      </x:c>
      <x:c r="N33" s="2" t="str">
        <x:f>IF(AND(A33&lt;&gt;"",ISNUMBER(D33)),B33&amp;"|"&amp;C33&amp;"|"&amp;TEXT(D33,"yyyymmdd")&amp;"|"&amp;E33&amp;"|"&amp;F33,"")</x:f>
        <x:v>E0|2025/26|20250831|Brighton|Man City</x:v>
      </x:c>
      <x:c r="O33" s="2" t="str">
        <x:f>IF(A33="","",IFERROR(IF(NOT(AND(B33&lt;&gt;"",C33&lt;&gt;"",ISNUMBER(D33),D33&gt;0,E33&lt;&gt;"",F33&lt;&gt;"",E33&lt;&gt;F33,ISNUMBER(G33),ISNUMBER(H33),G33&gt;=0,H33&gt;=0,G33&lt;=100,H33&lt;=100,MOD(G33,1)=0,MOD(H33,1)=0,L33="FT90",S33&gt;0,INDEX(SourceTable[League],MAX(1,S33))=B33,INDEX(SourceTable[Season],MAX(1,S33))=C33,ISNUMBER(K33),K33=INDEX(SourceTable[Retrieved_UTC],MAX(1,S33)),J33&lt;&gt;"",M33&lt;&gt;"")),"INVALID",IF(OR(COUNTIFS('Istoric_Nativ'!$N$6:$N$405,N33,'Istoric_Nativ'!$G$6:$G$405,G33)&lt;&gt;COUNTIF('Istoric_Nativ'!$N$6:$N$405,N33),COUNTIFS('Istoric_Nativ'!$N$6:$N$405,N33,'Istoric_Nativ'!$H$6:$H$405,H33)&lt;&gt;COUNTIF('Istoric_Nativ'!$N$6:$N$405,N33)),"SOURCE CONFLICT",IF(COUNTIF($N$6:N33,N33)&gt;1,"DUPLICATE","VALID"))),"INVALID"))</x:f>
        <x:v>VALID</x:v>
      </x:c>
      <x:c r="P33" s="2" t="n">
        <x:f>IF(O33="VALID",1,0)</x:f>
        <x:v>1</x:v>
      </x:c>
      <x:c r="Q33" s="2" t="n">
        <x:f>IF(P33=1,G33+H33,0)</x:f>
        <x:v>5</x:v>
      </x:c>
      <x:c r="R33" s="2" t="n">
        <x:f>Q33^2</x:f>
        <x:v>25</x:v>
      </x:c>
      <x:c r="S33" s="2" t="n">
        <x:f>IF(A33="","",IFERROR(MATCH(I33,SourceTable[Source_ID],0),0))</x:f>
        <x:v>1</x:v>
      </x:c>
    </x:row>
    <x:row r="34" ht="21" customHeight="1">
      <x:c r="A34" s="7" t="str">
        <x:v>67974734dcc9e0a290ed</x:v>
      </x:c>
      <x:c r="B34" s="7" t="str">
        <x:v>E0</x:v>
      </x:c>
      <x:c r="C34" s="7" t="str">
        <x:v>2025/26</x:v>
      </x:c>
      <x:c r="D34" s="8" t="n">
        <x:v>45900</x:v>
      </x:c>
      <x:c r="E34" s="7" t="str">
        <x:v>Liverpool</x:v>
      </x:c>
      <x:c r="F34" s="7" t="str">
        <x:v>Arsenal</x:v>
      </x:c>
      <x:c r="G34" s="7" t="n">
        <x:v>3</x:v>
      </x:c>
      <x:c r="H34" s="7" t="n">
        <x:v>8</x:v>
      </x:c>
      <x:c r="I34" s="7" t="str">
        <x:v>FD_E0_2526</x:v>
      </x:c>
      <x:c r="J34" s="7" t="str">
        <x:v>https://www.football-data.co.uk/mmz4281/2526/E0.csv</x:v>
      </x:c>
      <x:c r="K34" s="8" t="n">
        <x:v>46278.70306712963</x:v>
      </x:c>
      <x:c r="L34" s="7" t="str">
        <x:v>FT90</x:v>
      </x:c>
      <x:c r="M34" s="7" t="str">
        <x:v>CSV row 30</x:v>
      </x:c>
      <x:c r="N34" s="2" t="str">
        <x:f>IF(AND(A34&lt;&gt;"",ISNUMBER(D34)),B34&amp;"|"&amp;C34&amp;"|"&amp;TEXT(D34,"yyyymmdd")&amp;"|"&amp;E34&amp;"|"&amp;F34,"")</x:f>
        <x:v>E0|2025/26|20250831|Liverpool|Arsenal</x:v>
      </x:c>
      <x:c r="O34" s="2" t="str">
        <x:f>IF(A34="","",IFERROR(IF(NOT(AND(B34&lt;&gt;"",C34&lt;&gt;"",ISNUMBER(D34),D34&gt;0,E34&lt;&gt;"",F34&lt;&gt;"",E34&lt;&gt;F34,ISNUMBER(G34),ISNUMBER(H34),G34&gt;=0,H34&gt;=0,G34&lt;=100,H34&lt;=100,MOD(G34,1)=0,MOD(H34,1)=0,L34="FT90",S34&gt;0,INDEX(SourceTable[League],MAX(1,S34))=B34,INDEX(SourceTable[Season],MAX(1,S34))=C34,ISNUMBER(K34),K34=INDEX(SourceTable[Retrieved_UTC],MAX(1,S34)),J34&lt;&gt;"",M34&lt;&gt;"")),"INVALID",IF(OR(COUNTIFS('Istoric_Nativ'!$N$6:$N$405,N34,'Istoric_Nativ'!$G$6:$G$405,G34)&lt;&gt;COUNTIF('Istoric_Nativ'!$N$6:$N$405,N34),COUNTIFS('Istoric_Nativ'!$N$6:$N$405,N34,'Istoric_Nativ'!$H$6:$H$405,H34)&lt;&gt;COUNTIF('Istoric_Nativ'!$N$6:$N$405,N34)),"SOURCE CONFLICT",IF(COUNTIF($N$6:N34,N34)&gt;1,"DUPLICATE","VALID"))),"INVALID"))</x:f>
        <x:v>VALID</x:v>
      </x:c>
      <x:c r="P34" s="2" t="n">
        <x:f>IF(O34="VALID",1,0)</x:f>
        <x:v>1</x:v>
      </x:c>
      <x:c r="Q34" s="2" t="n">
        <x:f>IF(P34=1,G34+H34,0)</x:f>
        <x:v>11</x:v>
      </x:c>
      <x:c r="R34" s="2" t="n">
        <x:f>Q34^2</x:f>
        <x:v>121</x:v>
      </x:c>
      <x:c r="S34" s="2" t="n">
        <x:f>IF(A34="","",IFERROR(MATCH(I34,SourceTable[Source_ID],0),0))</x:f>
        <x:v>1</x:v>
      </x:c>
    </x:row>
    <x:row r="35" ht="21" customHeight="1">
      <x:c r="A35" s="7" t="str">
        <x:v>08d80dfdcf0f43af6c12</x:v>
      </x:c>
      <x:c r="B35" s="7" t="str">
        <x:v>E0</x:v>
      </x:c>
      <x:c r="C35" s="7" t="str">
        <x:v>2025/26</x:v>
      </x:c>
      <x:c r="D35" s="8" t="n">
        <x:v>45900</x:v>
      </x:c>
      <x:c r="E35" s="7" t="str">
        <x:v>Nott'm Forest</x:v>
      </x:c>
      <x:c r="F35" s="7" t="str">
        <x:v>West Ham</x:v>
      </x:c>
      <x:c r="G35" s="7" t="n">
        <x:v>9</x:v>
      </x:c>
      <x:c r="H35" s="7" t="n">
        <x:v>7</x:v>
      </x:c>
      <x:c r="I35" s="7" t="str">
        <x:v>FD_E0_2526</x:v>
      </x:c>
      <x:c r="J35" s="7" t="str">
        <x:v>https://www.football-data.co.uk/mmz4281/2526/E0.csv</x:v>
      </x:c>
      <x:c r="K35" s="8" t="n">
        <x:v>46278.70306712963</x:v>
      </x:c>
      <x:c r="L35" s="7" t="str">
        <x:v>FT90</x:v>
      </x:c>
      <x:c r="M35" s="7" t="str">
        <x:v>CSV row 29</x:v>
      </x:c>
      <x:c r="N35" s="2" t="str">
        <x:f>IF(AND(A35&lt;&gt;"",ISNUMBER(D35)),B35&amp;"|"&amp;C35&amp;"|"&amp;TEXT(D35,"yyyymmdd")&amp;"|"&amp;E35&amp;"|"&amp;F35,"")</x:f>
        <x:v>E0|2025/26|20250831|Nott'm Forest|West Ham</x:v>
      </x:c>
      <x:c r="O35" s="2" t="str">
        <x:f>IF(A35="","",IFERROR(IF(NOT(AND(B35&lt;&gt;"",C35&lt;&gt;"",ISNUMBER(D35),D35&gt;0,E35&lt;&gt;"",F35&lt;&gt;"",E35&lt;&gt;F35,ISNUMBER(G35),ISNUMBER(H35),G35&gt;=0,H35&gt;=0,G35&lt;=100,H35&lt;=100,MOD(G35,1)=0,MOD(H35,1)=0,L35="FT90",S35&gt;0,INDEX(SourceTable[League],MAX(1,S35))=B35,INDEX(SourceTable[Season],MAX(1,S35))=C35,ISNUMBER(K35),K35=INDEX(SourceTable[Retrieved_UTC],MAX(1,S35)),J35&lt;&gt;"",M35&lt;&gt;"")),"INVALID",IF(OR(COUNTIFS('Istoric_Nativ'!$N$6:$N$405,N35,'Istoric_Nativ'!$G$6:$G$405,G35)&lt;&gt;COUNTIF('Istoric_Nativ'!$N$6:$N$405,N35),COUNTIFS('Istoric_Nativ'!$N$6:$N$405,N35,'Istoric_Nativ'!$H$6:$H$405,H35)&lt;&gt;COUNTIF('Istoric_Nativ'!$N$6:$N$405,N35)),"SOURCE CONFLICT",IF(COUNTIF($N$6:N35,N35)&gt;1,"DUPLICATE","VALID"))),"INVALID"))</x:f>
        <x:v>VALID</x:v>
      </x:c>
      <x:c r="P35" s="2" t="n">
        <x:f>IF(O35="VALID",1,0)</x:f>
        <x:v>1</x:v>
      </x:c>
      <x:c r="Q35" s="2" t="n">
        <x:f>IF(P35=1,G35+H35,0)</x:f>
        <x:v>16</x:v>
      </x:c>
      <x:c r="R35" s="2" t="n">
        <x:f>Q35^2</x:f>
        <x:v>256</x:v>
      </x:c>
      <x:c r="S35" s="2" t="n">
        <x:f>IF(A35="","",IFERROR(MATCH(I35,SourceTable[Source_ID],0),0))</x:f>
        <x:v>1</x:v>
      </x:c>
    </x:row>
    <x:row r="36" ht="21" customHeight="1">
      <x:c r="A36" s="7" t="str">
        <x:v>441be13ecfdfa933fd6c</x:v>
      </x:c>
      <x:c r="B36" s="7" t="str">
        <x:v>E0</x:v>
      </x:c>
      <x:c r="C36" s="7" t="str">
        <x:v>2025/26</x:v>
      </x:c>
      <x:c r="D36" s="8" t="n">
        <x:v>45913</x:v>
      </x:c>
      <x:c r="E36" s="7" t="str">
        <x:v>Arsenal</x:v>
      </x:c>
      <x:c r="F36" s="7" t="str">
        <x:v>Nott'm Forest</x:v>
      </x:c>
      <x:c r="G36" s="7" t="n">
        <x:v>8</x:v>
      </x:c>
      <x:c r="H36" s="7" t="n">
        <x:v>4</x:v>
      </x:c>
      <x:c r="I36" s="7" t="str">
        <x:v>FD_E0_2526</x:v>
      </x:c>
      <x:c r="J36" s="7" t="str">
        <x:v>https://www.football-data.co.uk/mmz4281/2526/E0.csv</x:v>
      </x:c>
      <x:c r="K36" s="8" t="n">
        <x:v>46278.70306712963</x:v>
      </x:c>
      <x:c r="L36" s="7" t="str">
        <x:v>FT90</x:v>
      </x:c>
      <x:c r="M36" s="7" t="str">
        <x:v>CSV row 32</x:v>
      </x:c>
      <x:c r="N36" s="2" t="str">
        <x:f>IF(AND(A36&lt;&gt;"",ISNUMBER(D36)),B36&amp;"|"&amp;C36&amp;"|"&amp;TEXT(D36,"yyyymmdd")&amp;"|"&amp;E36&amp;"|"&amp;F36,"")</x:f>
        <x:v>E0|2025/26|20250913|Arsenal|Nott'm Forest</x:v>
      </x:c>
      <x:c r="O36" s="2" t="str">
        <x:f>IF(A36="","",IFERROR(IF(NOT(AND(B36&lt;&gt;"",C36&lt;&gt;"",ISNUMBER(D36),D36&gt;0,E36&lt;&gt;"",F36&lt;&gt;"",E36&lt;&gt;F36,ISNUMBER(G36),ISNUMBER(H36),G36&gt;=0,H36&gt;=0,G36&lt;=100,H36&lt;=100,MOD(G36,1)=0,MOD(H36,1)=0,L36="FT90",S36&gt;0,INDEX(SourceTable[League],MAX(1,S36))=B36,INDEX(SourceTable[Season],MAX(1,S36))=C36,ISNUMBER(K36),K36=INDEX(SourceTable[Retrieved_UTC],MAX(1,S36)),J36&lt;&gt;"",M36&lt;&gt;"")),"INVALID",IF(OR(COUNTIFS('Istoric_Nativ'!$N$6:$N$405,N36,'Istoric_Nativ'!$G$6:$G$405,G36)&lt;&gt;COUNTIF('Istoric_Nativ'!$N$6:$N$405,N36),COUNTIFS('Istoric_Nativ'!$N$6:$N$405,N36,'Istoric_Nativ'!$H$6:$H$405,H36)&lt;&gt;COUNTIF('Istoric_Nativ'!$N$6:$N$405,N36)),"SOURCE CONFLICT",IF(COUNTIF($N$6:N36,N36)&gt;1,"DUPLICATE","VALID"))),"INVALID"))</x:f>
        <x:v>VALID</x:v>
      </x:c>
      <x:c r="P36" s="2" t="n">
        <x:f>IF(O36="VALID",1,0)</x:f>
        <x:v>1</x:v>
      </x:c>
      <x:c r="Q36" s="2" t="n">
        <x:f>IF(P36=1,G36+H36,0)</x:f>
        <x:v>12</x:v>
      </x:c>
      <x:c r="R36" s="2" t="n">
        <x:f>Q36^2</x:f>
        <x:v>144</x:v>
      </x:c>
      <x:c r="S36" s="2" t="n">
        <x:f>IF(A36="","",IFERROR(MATCH(I36,SourceTable[Source_ID],0),0))</x:f>
        <x:v>1</x:v>
      </x:c>
    </x:row>
    <x:row r="37" ht="21" customHeight="1">
      <x:c r="A37" s="7" t="str">
        <x:v>afa8df0ea042018dc936</x:v>
      </x:c>
      <x:c r="B37" s="7" t="str">
        <x:v>E0</x:v>
      </x:c>
      <x:c r="C37" s="7" t="str">
        <x:v>2025/26</x:v>
      </x:c>
      <x:c r="D37" s="8" t="n">
        <x:v>45913</x:v>
      </x:c>
      <x:c r="E37" s="7" t="str">
        <x:v>Bournemouth</x:v>
      </x:c>
      <x:c r="F37" s="7" t="str">
        <x:v>Brighton</x:v>
      </x:c>
      <x:c r="G37" s="7" t="n">
        <x:v>4</x:v>
      </x:c>
      <x:c r="H37" s="7" t="n">
        <x:v>4</x:v>
      </x:c>
      <x:c r="I37" s="7" t="str">
        <x:v>FD_E0_2526</x:v>
      </x:c>
      <x:c r="J37" s="7" t="str">
        <x:v>https://www.football-data.co.uk/mmz4281/2526/E0.csv</x:v>
      </x:c>
      <x:c r="K37" s="8" t="n">
        <x:v>46278.70306712963</x:v>
      </x:c>
      <x:c r="L37" s="7" t="str">
        <x:v>FT90</x:v>
      </x:c>
      <x:c r="M37" s="7" t="str">
        <x:v>CSV row 33</x:v>
      </x:c>
      <x:c r="N37" s="2" t="str">
        <x:f>IF(AND(A37&lt;&gt;"",ISNUMBER(D37)),B37&amp;"|"&amp;C37&amp;"|"&amp;TEXT(D37,"yyyymmdd")&amp;"|"&amp;E37&amp;"|"&amp;F37,"")</x:f>
        <x:v>E0|2025/26|20250913|Bournemouth|Brighton</x:v>
      </x:c>
      <x:c r="O37" s="2" t="str">
        <x:f>IF(A37="","",IFERROR(IF(NOT(AND(B37&lt;&gt;"",C37&lt;&gt;"",ISNUMBER(D37),D37&gt;0,E37&lt;&gt;"",F37&lt;&gt;"",E37&lt;&gt;F37,ISNUMBER(G37),ISNUMBER(H37),G37&gt;=0,H37&gt;=0,G37&lt;=100,H37&lt;=100,MOD(G37,1)=0,MOD(H37,1)=0,L37="FT90",S37&gt;0,INDEX(SourceTable[League],MAX(1,S37))=B37,INDEX(SourceTable[Season],MAX(1,S37))=C37,ISNUMBER(K37),K37=INDEX(SourceTable[Retrieved_UTC],MAX(1,S37)),J37&lt;&gt;"",M37&lt;&gt;"")),"INVALID",IF(OR(COUNTIFS('Istoric_Nativ'!$N$6:$N$405,N37,'Istoric_Nativ'!$G$6:$G$405,G37)&lt;&gt;COUNTIF('Istoric_Nativ'!$N$6:$N$405,N37),COUNTIFS('Istoric_Nativ'!$N$6:$N$405,N37,'Istoric_Nativ'!$H$6:$H$405,H37)&lt;&gt;COUNTIF('Istoric_Nativ'!$N$6:$N$405,N37)),"SOURCE CONFLICT",IF(COUNTIF($N$6:N37,N37)&gt;1,"DUPLICATE","VALID"))),"INVALID"))</x:f>
        <x:v>VALID</x:v>
      </x:c>
      <x:c r="P37" s="2" t="n">
        <x:f>IF(O37="VALID",1,0)</x:f>
        <x:v>1</x:v>
      </x:c>
      <x:c r="Q37" s="2" t="n">
        <x:f>IF(P37=1,G37+H37,0)</x:f>
        <x:v>8</x:v>
      </x:c>
      <x:c r="R37" s="2" t="n">
        <x:f>Q37^2</x:f>
        <x:v>64</x:v>
      </x:c>
      <x:c r="S37" s="2" t="n">
        <x:f>IF(A37="","",IFERROR(MATCH(I37,SourceTable[Source_ID],0),0))</x:f>
        <x:v>1</x:v>
      </x:c>
    </x:row>
    <x:row r="38" ht="21" customHeight="1">
      <x:c r="A38" s="7" t="str">
        <x:v>f0129ea3134c81bcd62f</x:v>
      </x:c>
      <x:c r="B38" s="7" t="str">
        <x:v>E0</x:v>
      </x:c>
      <x:c r="C38" s="7" t="str">
        <x:v>2025/26</x:v>
      </x:c>
      <x:c r="D38" s="8" t="n">
        <x:v>45913</x:v>
      </x:c>
      <x:c r="E38" s="7" t="str">
        <x:v>Brentford</x:v>
      </x:c>
      <x:c r="F38" s="7" t="str">
        <x:v>Chelsea</x:v>
      </x:c>
      <x:c r="G38" s="7" t="n">
        <x:v>5</x:v>
      </x:c>
      <x:c r="H38" s="7" t="n">
        <x:v>6</x:v>
      </x:c>
      <x:c r="I38" s="7" t="str">
        <x:v>FD_E0_2526</x:v>
      </x:c>
      <x:c r="J38" s="7" t="str">
        <x:v>https://www.football-data.co.uk/mmz4281/2526/E0.csv</x:v>
      </x:c>
      <x:c r="K38" s="8" t="n">
        <x:v>46278.70306712963</x:v>
      </x:c>
      <x:c r="L38" s="7" t="str">
        <x:v>FT90</x:v>
      </x:c>
      <x:c r="M38" s="7" t="str">
        <x:v>CSV row 39</x:v>
      </x:c>
      <x:c r="N38" s="2" t="str">
        <x:f>IF(AND(A38&lt;&gt;"",ISNUMBER(D38)),B38&amp;"|"&amp;C38&amp;"|"&amp;TEXT(D38,"yyyymmdd")&amp;"|"&amp;E38&amp;"|"&amp;F38,"")</x:f>
        <x:v>E0|2025/26|20250913|Brentford|Chelsea</x:v>
      </x:c>
      <x:c r="O38" s="2" t="str">
        <x:f>IF(A38="","",IFERROR(IF(NOT(AND(B38&lt;&gt;"",C38&lt;&gt;"",ISNUMBER(D38),D38&gt;0,E38&lt;&gt;"",F38&lt;&gt;"",E38&lt;&gt;F38,ISNUMBER(G38),ISNUMBER(H38),G38&gt;=0,H38&gt;=0,G38&lt;=100,H38&lt;=100,MOD(G38,1)=0,MOD(H38,1)=0,L38="FT90",S38&gt;0,INDEX(SourceTable[League],MAX(1,S38))=B38,INDEX(SourceTable[Season],MAX(1,S38))=C38,ISNUMBER(K38),K38=INDEX(SourceTable[Retrieved_UTC],MAX(1,S38)),J38&lt;&gt;"",M38&lt;&gt;"")),"INVALID",IF(OR(COUNTIFS('Istoric_Nativ'!$N$6:$N$405,N38,'Istoric_Nativ'!$G$6:$G$405,G38)&lt;&gt;COUNTIF('Istoric_Nativ'!$N$6:$N$405,N38),COUNTIFS('Istoric_Nativ'!$N$6:$N$405,N38,'Istoric_Nativ'!$H$6:$H$405,H38)&lt;&gt;COUNTIF('Istoric_Nativ'!$N$6:$N$405,N38)),"SOURCE CONFLICT",IF(COUNTIF($N$6:N38,N38)&gt;1,"DUPLICATE","VALID"))),"INVALID"))</x:f>
        <x:v>VALID</x:v>
      </x:c>
      <x:c r="P38" s="2" t="n">
        <x:f>IF(O38="VALID",1,0)</x:f>
        <x:v>1</x:v>
      </x:c>
      <x:c r="Q38" s="2" t="n">
        <x:f>IF(P38=1,G38+H38,0)</x:f>
        <x:v>11</x:v>
      </x:c>
      <x:c r="R38" s="2" t="n">
        <x:f>Q38^2</x:f>
        <x:v>121</x:v>
      </x:c>
      <x:c r="S38" s="2" t="n">
        <x:f>IF(A38="","",IFERROR(MATCH(I38,SourceTable[Source_ID],0),0))</x:f>
        <x:v>1</x:v>
      </x:c>
    </x:row>
    <x:row r="39" ht="21" customHeight="1">
      <x:c r="A39" s="7" t="str">
        <x:v>7f275c1401996663db6a</x:v>
      </x:c>
      <x:c r="B39" s="7" t="str">
        <x:v>E0</x:v>
      </x:c>
      <x:c r="C39" s="7" t="str">
        <x:v>2025/26</x:v>
      </x:c>
      <x:c r="D39" s="8" t="n">
        <x:v>45913</x:v>
      </x:c>
      <x:c r="E39" s="7" t="str">
        <x:v>Crystal Palace</x:v>
      </x:c>
      <x:c r="F39" s="7" t="str">
        <x:v>Sunderland</x:v>
      </x:c>
      <x:c r="G39" s="7" t="n">
        <x:v>5</x:v>
      </x:c>
      <x:c r="H39" s="7" t="n">
        <x:v>3</x:v>
      </x:c>
      <x:c r="I39" s="7" t="str">
        <x:v>FD_E0_2526</x:v>
      </x:c>
      <x:c r="J39" s="7" t="str">
        <x:v>https://www.football-data.co.uk/mmz4281/2526/E0.csv</x:v>
      </x:c>
      <x:c r="K39" s="8" t="n">
        <x:v>46278.70306712963</x:v>
      </x:c>
      <x:c r="L39" s="7" t="str">
        <x:v>FT90</x:v>
      </x:c>
      <x:c r="M39" s="7" t="str">
        <x:v>CSV row 34</x:v>
      </x:c>
      <x:c r="N39" s="2" t="str">
        <x:f>IF(AND(A39&lt;&gt;"",ISNUMBER(D39)),B39&amp;"|"&amp;C39&amp;"|"&amp;TEXT(D39,"yyyymmdd")&amp;"|"&amp;E39&amp;"|"&amp;F39,"")</x:f>
        <x:v>E0|2025/26|20250913|Crystal Palace|Sunderland</x:v>
      </x:c>
      <x:c r="O39" s="2" t="str">
        <x:f>IF(A39="","",IFERROR(IF(NOT(AND(B39&lt;&gt;"",C39&lt;&gt;"",ISNUMBER(D39),D39&gt;0,E39&lt;&gt;"",F39&lt;&gt;"",E39&lt;&gt;F39,ISNUMBER(G39),ISNUMBER(H39),G39&gt;=0,H39&gt;=0,G39&lt;=100,H39&lt;=100,MOD(G39,1)=0,MOD(H39,1)=0,L39="FT90",S39&gt;0,INDEX(SourceTable[League],MAX(1,S39))=B39,INDEX(SourceTable[Season],MAX(1,S39))=C39,ISNUMBER(K39),K39=INDEX(SourceTable[Retrieved_UTC],MAX(1,S39)),J39&lt;&gt;"",M39&lt;&gt;"")),"INVALID",IF(OR(COUNTIFS('Istoric_Nativ'!$N$6:$N$405,N39,'Istoric_Nativ'!$G$6:$G$405,G39)&lt;&gt;COUNTIF('Istoric_Nativ'!$N$6:$N$405,N39),COUNTIFS('Istoric_Nativ'!$N$6:$N$405,N39,'Istoric_Nativ'!$H$6:$H$405,H39)&lt;&gt;COUNTIF('Istoric_Nativ'!$N$6:$N$405,N39)),"SOURCE CONFLICT",IF(COUNTIF($N$6:N39,N39)&gt;1,"DUPLICATE","VALID"))),"INVALID"))</x:f>
        <x:v>VALID</x:v>
      </x:c>
      <x:c r="P39" s="2" t="n">
        <x:f>IF(O39="VALID",1,0)</x:f>
        <x:v>1</x:v>
      </x:c>
      <x:c r="Q39" s="2" t="n">
        <x:f>IF(P39=1,G39+H39,0)</x:f>
        <x:v>8</x:v>
      </x:c>
      <x:c r="R39" s="2" t="n">
        <x:f>Q39^2</x:f>
        <x:v>64</x:v>
      </x:c>
      <x:c r="S39" s="2" t="n">
        <x:f>IF(A39="","",IFERROR(MATCH(I39,SourceTable[Source_ID],0),0))</x:f>
        <x:v>1</x:v>
      </x:c>
    </x:row>
    <x:row r="40" ht="21" customHeight="1">
      <x:c r="A40" s="7" t="str">
        <x:v>2c687d409ef35685819c</x:v>
      </x:c>
      <x:c r="B40" s="7" t="str">
        <x:v>E0</x:v>
      </x:c>
      <x:c r="C40" s="7" t="str">
        <x:v>2025/26</x:v>
      </x:c>
      <x:c r="D40" s="8" t="n">
        <x:v>45913</x:v>
      </x:c>
      <x:c r="E40" s="7" t="str">
        <x:v>Everton</x:v>
      </x:c>
      <x:c r="F40" s="7" t="str">
        <x:v>Aston Villa</x:v>
      </x:c>
      <x:c r="G40" s="7" t="n">
        <x:v>10</x:v>
      </x:c>
      <x:c r="H40" s="7" t="n">
        <x:v>3</x:v>
      </x:c>
      <x:c r="I40" s="7" t="str">
        <x:v>FD_E0_2526</x:v>
      </x:c>
      <x:c r="J40" s="7" t="str">
        <x:v>https://www.football-data.co.uk/mmz4281/2526/E0.csv</x:v>
      </x:c>
      <x:c r="K40" s="8" t="n">
        <x:v>46278.70306712963</x:v>
      </x:c>
      <x:c r="L40" s="7" t="str">
        <x:v>FT90</x:v>
      </x:c>
      <x:c r="M40" s="7" t="str">
        <x:v>CSV row 35</x:v>
      </x:c>
      <x:c r="N40" s="2" t="str">
        <x:f>IF(AND(A40&lt;&gt;"",ISNUMBER(D40)),B40&amp;"|"&amp;C40&amp;"|"&amp;TEXT(D40,"yyyymmdd")&amp;"|"&amp;E40&amp;"|"&amp;F40,"")</x:f>
        <x:v>E0|2025/26|20250913|Everton|Aston Villa</x:v>
      </x:c>
      <x:c r="O40" s="2" t="str">
        <x:f>IF(A40="","",IFERROR(IF(NOT(AND(B40&lt;&gt;"",C40&lt;&gt;"",ISNUMBER(D40),D40&gt;0,E40&lt;&gt;"",F40&lt;&gt;"",E40&lt;&gt;F40,ISNUMBER(G40),ISNUMBER(H40),G40&gt;=0,H40&gt;=0,G40&lt;=100,H40&lt;=100,MOD(G40,1)=0,MOD(H40,1)=0,L40="FT90",S40&gt;0,INDEX(SourceTable[League],MAX(1,S40))=B40,INDEX(SourceTable[Season],MAX(1,S40))=C40,ISNUMBER(K40),K40=INDEX(SourceTable[Retrieved_UTC],MAX(1,S40)),J40&lt;&gt;"",M40&lt;&gt;"")),"INVALID",IF(OR(COUNTIFS('Istoric_Nativ'!$N$6:$N$405,N40,'Istoric_Nativ'!$G$6:$G$405,G40)&lt;&gt;COUNTIF('Istoric_Nativ'!$N$6:$N$405,N40),COUNTIFS('Istoric_Nativ'!$N$6:$N$405,N40,'Istoric_Nativ'!$H$6:$H$405,H40)&lt;&gt;COUNTIF('Istoric_Nativ'!$N$6:$N$405,N40)),"SOURCE CONFLICT",IF(COUNTIF($N$6:N40,N40)&gt;1,"DUPLICATE","VALID"))),"INVALID"))</x:f>
        <x:v>VALID</x:v>
      </x:c>
      <x:c r="P40" s="2" t="n">
        <x:f>IF(O40="VALID",1,0)</x:f>
        <x:v>1</x:v>
      </x:c>
      <x:c r="Q40" s="2" t="n">
        <x:f>IF(P40=1,G40+H40,0)</x:f>
        <x:v>13</x:v>
      </x:c>
      <x:c r="R40" s="2" t="n">
        <x:f>Q40^2</x:f>
        <x:v>169</x:v>
      </x:c>
      <x:c r="S40" s="2" t="n">
        <x:f>IF(A40="","",IFERROR(MATCH(I40,SourceTable[Source_ID],0),0))</x:f>
        <x:v>1</x:v>
      </x:c>
    </x:row>
    <x:row r="41" ht="21" customHeight="1">
      <x:c r="A41" s="7" t="str">
        <x:v>6fe5476c8bd543d02ccd</x:v>
      </x:c>
      <x:c r="B41" s="7" t="str">
        <x:v>E0</x:v>
      </x:c>
      <x:c r="C41" s="7" t="str">
        <x:v>2025/26</x:v>
      </x:c>
      <x:c r="D41" s="8" t="n">
        <x:v>45913</x:v>
      </x:c>
      <x:c r="E41" s="7" t="str">
        <x:v>Fulham</x:v>
      </x:c>
      <x:c r="F41" s="7" t="str">
        <x:v>Leeds</x:v>
      </x:c>
      <x:c r="G41" s="7" t="n">
        <x:v>3</x:v>
      </x:c>
      <x:c r="H41" s="7" t="n">
        <x:v>3</x:v>
      </x:c>
      <x:c r="I41" s="7" t="str">
        <x:v>FD_E0_2526</x:v>
      </x:c>
      <x:c r="J41" s="7" t="str">
        <x:v>https://www.football-data.co.uk/mmz4281/2526/E0.csv</x:v>
      </x:c>
      <x:c r="K41" s="8" t="n">
        <x:v>46278.70306712963</x:v>
      </x:c>
      <x:c r="L41" s="7" t="str">
        <x:v>FT90</x:v>
      </x:c>
      <x:c r="M41" s="7" t="str">
        <x:v>CSV row 36</x:v>
      </x:c>
      <x:c r="N41" s="2" t="str">
        <x:f>IF(AND(A41&lt;&gt;"",ISNUMBER(D41)),B41&amp;"|"&amp;C41&amp;"|"&amp;TEXT(D41,"yyyymmdd")&amp;"|"&amp;E41&amp;"|"&amp;F41,"")</x:f>
        <x:v>E0|2025/26|20250913|Fulham|Leeds</x:v>
      </x:c>
      <x:c r="O41" s="2" t="str">
        <x:f>IF(A41="","",IFERROR(IF(NOT(AND(B41&lt;&gt;"",C41&lt;&gt;"",ISNUMBER(D41),D41&gt;0,E41&lt;&gt;"",F41&lt;&gt;"",E41&lt;&gt;F41,ISNUMBER(G41),ISNUMBER(H41),G41&gt;=0,H41&gt;=0,G41&lt;=100,H41&lt;=100,MOD(G41,1)=0,MOD(H41,1)=0,L41="FT90",S41&gt;0,INDEX(SourceTable[League],MAX(1,S41))=B41,INDEX(SourceTable[Season],MAX(1,S41))=C41,ISNUMBER(K41),K41=INDEX(SourceTable[Retrieved_UTC],MAX(1,S41)),J41&lt;&gt;"",M41&lt;&gt;"")),"INVALID",IF(OR(COUNTIFS('Istoric_Nativ'!$N$6:$N$405,N41,'Istoric_Nativ'!$G$6:$G$405,G41)&lt;&gt;COUNTIF('Istoric_Nativ'!$N$6:$N$405,N41),COUNTIFS('Istoric_Nativ'!$N$6:$N$405,N41,'Istoric_Nativ'!$H$6:$H$405,H41)&lt;&gt;COUNTIF('Istoric_Nativ'!$N$6:$N$405,N41)),"SOURCE CONFLICT",IF(COUNTIF($N$6:N41,N41)&gt;1,"DUPLICATE","VALID"))),"INVALID"))</x:f>
        <x:v>VALID</x:v>
      </x:c>
      <x:c r="P41" s="2" t="n">
        <x:f>IF(O41="VALID",1,0)</x:f>
        <x:v>1</x:v>
      </x:c>
      <x:c r="Q41" s="2" t="n">
        <x:f>IF(P41=1,G41+H41,0)</x:f>
        <x:v>6</x:v>
      </x:c>
      <x:c r="R41" s="2" t="n">
        <x:f>Q41^2</x:f>
        <x:v>36</x:v>
      </x:c>
      <x:c r="S41" s="2" t="n">
        <x:f>IF(A41="","",IFERROR(MATCH(I41,SourceTable[Source_ID],0),0))</x:f>
        <x:v>1</x:v>
      </x:c>
    </x:row>
    <x:row r="42" ht="21" customHeight="1">
      <x:c r="A42" s="7" t="str">
        <x:v>1d2ffc0e533f759e73ab</x:v>
      </x:c>
      <x:c r="B42" s="7" t="str">
        <x:v>E0</x:v>
      </x:c>
      <x:c r="C42" s="7" t="str">
        <x:v>2025/26</x:v>
      </x:c>
      <x:c r="D42" s="8" t="n">
        <x:v>45913</x:v>
      </x:c>
      <x:c r="E42" s="7" t="str">
        <x:v>Newcastle</x:v>
      </x:c>
      <x:c r="F42" s="7" t="str">
        <x:v>Wolves</x:v>
      </x:c>
      <x:c r="G42" s="7" t="n">
        <x:v>10</x:v>
      </x:c>
      <x:c r="H42" s="7" t="n">
        <x:v>4</x:v>
      </x:c>
      <x:c r="I42" s="7" t="str">
        <x:v>FD_E0_2526</x:v>
      </x:c>
      <x:c r="J42" s="7" t="str">
        <x:v>https://www.football-data.co.uk/mmz4281/2526/E0.csv</x:v>
      </x:c>
      <x:c r="K42" s="8" t="n">
        <x:v>46278.70306712963</x:v>
      </x:c>
      <x:c r="L42" s="7" t="str">
        <x:v>FT90</x:v>
      </x:c>
      <x:c r="M42" s="7" t="str">
        <x:v>CSV row 37</x:v>
      </x:c>
      <x:c r="N42" s="2" t="str">
        <x:f>IF(AND(A42&lt;&gt;"",ISNUMBER(D42)),B42&amp;"|"&amp;C42&amp;"|"&amp;TEXT(D42,"yyyymmdd")&amp;"|"&amp;E42&amp;"|"&amp;F42,"")</x:f>
        <x:v>E0|2025/26|20250913|Newcastle|Wolves</x:v>
      </x:c>
      <x:c r="O42" s="2" t="str">
        <x:f>IF(A42="","",IFERROR(IF(NOT(AND(B42&lt;&gt;"",C42&lt;&gt;"",ISNUMBER(D42),D42&gt;0,E42&lt;&gt;"",F42&lt;&gt;"",E42&lt;&gt;F42,ISNUMBER(G42),ISNUMBER(H42),G42&gt;=0,H42&gt;=0,G42&lt;=100,H42&lt;=100,MOD(G42,1)=0,MOD(H42,1)=0,L42="FT90",S42&gt;0,INDEX(SourceTable[League],MAX(1,S42))=B42,INDEX(SourceTable[Season],MAX(1,S42))=C42,ISNUMBER(K42),K42=INDEX(SourceTable[Retrieved_UTC],MAX(1,S42)),J42&lt;&gt;"",M42&lt;&gt;"")),"INVALID",IF(OR(COUNTIFS('Istoric_Nativ'!$N$6:$N$405,N42,'Istoric_Nativ'!$G$6:$G$405,G42)&lt;&gt;COUNTIF('Istoric_Nativ'!$N$6:$N$405,N42),COUNTIFS('Istoric_Nativ'!$N$6:$N$405,N42,'Istoric_Nativ'!$H$6:$H$405,H42)&lt;&gt;COUNTIF('Istoric_Nativ'!$N$6:$N$405,N42)),"SOURCE CONFLICT",IF(COUNTIF($N$6:N42,N42)&gt;1,"DUPLICATE","VALID"))),"INVALID"))</x:f>
        <x:v>VALID</x:v>
      </x:c>
      <x:c r="P42" s="2" t="n">
        <x:f>IF(O42="VALID",1,0)</x:f>
        <x:v>1</x:v>
      </x:c>
      <x:c r="Q42" s="2" t="n">
        <x:f>IF(P42=1,G42+H42,0)</x:f>
        <x:v>14</x:v>
      </x:c>
      <x:c r="R42" s="2" t="n">
        <x:f>Q42^2</x:f>
        <x:v>196</x:v>
      </x:c>
      <x:c r="S42" s="2" t="n">
        <x:f>IF(A42="","",IFERROR(MATCH(I42,SourceTable[Source_ID],0),0))</x:f>
        <x:v>1</x:v>
      </x:c>
    </x:row>
    <x:row r="43" ht="21" customHeight="1">
      <x:c r="A43" s="7" t="str">
        <x:v>b53db4c55da1bf536334</x:v>
      </x:c>
      <x:c r="B43" s="7" t="str">
        <x:v>E0</x:v>
      </x:c>
      <x:c r="C43" s="7" t="str">
        <x:v>2025/26</x:v>
      </x:c>
      <x:c r="D43" s="8" t="n">
        <x:v>45913</x:v>
      </x:c>
      <x:c r="E43" s="7" t="str">
        <x:v>West Ham</x:v>
      </x:c>
      <x:c r="F43" s="7" t="str">
        <x:v>Tottenham</x:v>
      </x:c>
      <x:c r="G43" s="7" t="n">
        <x:v>2</x:v>
      </x:c>
      <x:c r="H43" s="7" t="n">
        <x:v>13</x:v>
      </x:c>
      <x:c r="I43" s="7" t="str">
        <x:v>FD_E0_2526</x:v>
      </x:c>
      <x:c r="J43" s="7" t="str">
        <x:v>https://www.football-data.co.uk/mmz4281/2526/E0.csv</x:v>
      </x:c>
      <x:c r="K43" s="8" t="n">
        <x:v>46278.70306712963</x:v>
      </x:c>
      <x:c r="L43" s="7" t="str">
        <x:v>FT90</x:v>
      </x:c>
      <x:c r="M43" s="7" t="str">
        <x:v>CSV row 38</x:v>
      </x:c>
      <x:c r="N43" s="2" t="str">
        <x:f>IF(AND(A43&lt;&gt;"",ISNUMBER(D43)),B43&amp;"|"&amp;C43&amp;"|"&amp;TEXT(D43,"yyyymmdd")&amp;"|"&amp;E43&amp;"|"&amp;F43,"")</x:f>
        <x:v>E0|2025/26|20250913|West Ham|Tottenham</x:v>
      </x:c>
      <x:c r="O43" s="2" t="str">
        <x:f>IF(A43="","",IFERROR(IF(NOT(AND(B43&lt;&gt;"",C43&lt;&gt;"",ISNUMBER(D43),D43&gt;0,E43&lt;&gt;"",F43&lt;&gt;"",E43&lt;&gt;F43,ISNUMBER(G43),ISNUMBER(H43),G43&gt;=0,H43&gt;=0,G43&lt;=100,H43&lt;=100,MOD(G43,1)=0,MOD(H43,1)=0,L43="FT90",S43&gt;0,INDEX(SourceTable[League],MAX(1,S43))=B43,INDEX(SourceTable[Season],MAX(1,S43))=C43,ISNUMBER(K43),K43=INDEX(SourceTable[Retrieved_UTC],MAX(1,S43)),J43&lt;&gt;"",M43&lt;&gt;"")),"INVALID",IF(OR(COUNTIFS('Istoric_Nativ'!$N$6:$N$405,N43,'Istoric_Nativ'!$G$6:$G$405,G43)&lt;&gt;COUNTIF('Istoric_Nativ'!$N$6:$N$405,N43),COUNTIFS('Istoric_Nativ'!$N$6:$N$405,N43,'Istoric_Nativ'!$H$6:$H$405,H43)&lt;&gt;COUNTIF('Istoric_Nativ'!$N$6:$N$405,N43)),"SOURCE CONFLICT",IF(COUNTIF($N$6:N43,N43)&gt;1,"DUPLICATE","VALID"))),"INVALID"))</x:f>
        <x:v>VALID</x:v>
      </x:c>
      <x:c r="P43" s="2" t="n">
        <x:f>IF(O43="VALID",1,0)</x:f>
        <x:v>1</x:v>
      </x:c>
      <x:c r="Q43" s="2" t="n">
        <x:f>IF(P43=1,G43+H43,0)</x:f>
        <x:v>15</x:v>
      </x:c>
      <x:c r="R43" s="2" t="n">
        <x:f>Q43^2</x:f>
        <x:v>225</x:v>
      </x:c>
      <x:c r="S43" s="2" t="n">
        <x:f>IF(A43="","",IFERROR(MATCH(I43,SourceTable[Source_ID],0),0))</x:f>
        <x:v>1</x:v>
      </x:c>
    </x:row>
    <x:row r="44" ht="21" customHeight="1">
      <x:c r="A44" s="7" t="str">
        <x:v>985e5e82e21d811c6bd1</x:v>
      </x:c>
      <x:c r="B44" s="7" t="str">
        <x:v>E0</x:v>
      </x:c>
      <x:c r="C44" s="7" t="str">
        <x:v>2025/26</x:v>
      </x:c>
      <x:c r="D44" s="8" t="n">
        <x:v>45914</x:v>
      </x:c>
      <x:c r="E44" s="7" t="str">
        <x:v>Burnley</x:v>
      </x:c>
      <x:c r="F44" s="7" t="str">
        <x:v>Liverpool</x:v>
      </x:c>
      <x:c r="G44" s="7" t="n">
        <x:v>1</x:v>
      </x:c>
      <x:c r="H44" s="7" t="n">
        <x:v>13</x:v>
      </x:c>
      <x:c r="I44" s="7" t="str">
        <x:v>FD_E0_2526</x:v>
      </x:c>
      <x:c r="J44" s="7" t="str">
        <x:v>https://www.football-data.co.uk/mmz4281/2526/E0.csv</x:v>
      </x:c>
      <x:c r="K44" s="8" t="n">
        <x:v>46278.70306712963</x:v>
      </x:c>
      <x:c r="L44" s="7" t="str">
        <x:v>FT90</x:v>
      </x:c>
      <x:c r="M44" s="7" t="str">
        <x:v>CSV row 40</x:v>
      </x:c>
      <x:c r="N44" s="2" t="str">
        <x:f>IF(AND(A44&lt;&gt;"",ISNUMBER(D44)),B44&amp;"|"&amp;C44&amp;"|"&amp;TEXT(D44,"yyyymmdd")&amp;"|"&amp;E44&amp;"|"&amp;F44,"")</x:f>
        <x:v>E0|2025/26|20250914|Burnley|Liverpool</x:v>
      </x:c>
      <x:c r="O44" s="2" t="str">
        <x:f>IF(A44="","",IFERROR(IF(NOT(AND(B44&lt;&gt;"",C44&lt;&gt;"",ISNUMBER(D44),D44&gt;0,E44&lt;&gt;"",F44&lt;&gt;"",E44&lt;&gt;F44,ISNUMBER(G44),ISNUMBER(H44),G44&gt;=0,H44&gt;=0,G44&lt;=100,H44&lt;=100,MOD(G44,1)=0,MOD(H44,1)=0,L44="FT90",S44&gt;0,INDEX(SourceTable[League],MAX(1,S44))=B44,INDEX(SourceTable[Season],MAX(1,S44))=C44,ISNUMBER(K44),K44=INDEX(SourceTable[Retrieved_UTC],MAX(1,S44)),J44&lt;&gt;"",M44&lt;&gt;"")),"INVALID",IF(OR(COUNTIFS('Istoric_Nativ'!$N$6:$N$405,N44,'Istoric_Nativ'!$G$6:$G$405,G44)&lt;&gt;COUNTIF('Istoric_Nativ'!$N$6:$N$405,N44),COUNTIFS('Istoric_Nativ'!$N$6:$N$405,N44,'Istoric_Nativ'!$H$6:$H$405,H44)&lt;&gt;COUNTIF('Istoric_Nativ'!$N$6:$N$405,N44)),"SOURCE CONFLICT",IF(COUNTIF($N$6:N44,N44)&gt;1,"DUPLICATE","VALID"))),"INVALID"))</x:f>
        <x:v>VALID</x:v>
      </x:c>
      <x:c r="P44" s="2" t="n">
        <x:f>IF(O44="VALID",1,0)</x:f>
        <x:v>1</x:v>
      </x:c>
      <x:c r="Q44" s="2" t="n">
        <x:f>IF(P44=1,G44+H44,0)</x:f>
        <x:v>14</x:v>
      </x:c>
      <x:c r="R44" s="2" t="n">
        <x:f>Q44^2</x:f>
        <x:v>196</x:v>
      </x:c>
      <x:c r="S44" s="2" t="n">
        <x:f>IF(A44="","",IFERROR(MATCH(I44,SourceTable[Source_ID],0),0))</x:f>
        <x:v>1</x:v>
      </x:c>
    </x:row>
    <x:row r="45" ht="21" customHeight="1">
      <x:c r="A45" s="7" t="str">
        <x:v>defbd90233948af3aa67</x:v>
      </x:c>
      <x:c r="B45" s="7" t="str">
        <x:v>E0</x:v>
      </x:c>
      <x:c r="C45" s="7" t="str">
        <x:v>2025/26</x:v>
      </x:c>
      <x:c r="D45" s="8" t="n">
        <x:v>45914</x:v>
      </x:c>
      <x:c r="E45" s="7" t="str">
        <x:v>Man City</x:v>
      </x:c>
      <x:c r="F45" s="7" t="str">
        <x:v>Man United</x:v>
      </x:c>
      <x:c r="G45" s="7" t="n">
        <x:v>2</x:v>
      </x:c>
      <x:c r="H45" s="7" t="n">
        <x:v>4</x:v>
      </x:c>
      <x:c r="I45" s="7" t="str">
        <x:v>FD_E0_2526</x:v>
      </x:c>
      <x:c r="J45" s="7" t="str">
        <x:v>https://www.football-data.co.uk/mmz4281/2526/E0.csv</x:v>
      </x:c>
      <x:c r="K45" s="8" t="n">
        <x:v>46278.70306712963</x:v>
      </x:c>
      <x:c r="L45" s="7" t="str">
        <x:v>FT90</x:v>
      </x:c>
      <x:c r="M45" s="7" t="str">
        <x:v>CSV row 41</x:v>
      </x:c>
      <x:c r="N45" s="2" t="str">
        <x:f>IF(AND(A45&lt;&gt;"",ISNUMBER(D45)),B45&amp;"|"&amp;C45&amp;"|"&amp;TEXT(D45,"yyyymmdd")&amp;"|"&amp;E45&amp;"|"&amp;F45,"")</x:f>
        <x:v>E0|2025/26|20250914|Man City|Man United</x:v>
      </x:c>
      <x:c r="O45" s="2" t="str">
        <x:f>IF(A45="","",IFERROR(IF(NOT(AND(B45&lt;&gt;"",C45&lt;&gt;"",ISNUMBER(D45),D45&gt;0,E45&lt;&gt;"",F45&lt;&gt;"",E45&lt;&gt;F45,ISNUMBER(G45),ISNUMBER(H45),G45&gt;=0,H45&gt;=0,G45&lt;=100,H45&lt;=100,MOD(G45,1)=0,MOD(H45,1)=0,L45="FT90",S45&gt;0,INDEX(SourceTable[League],MAX(1,S45))=B45,INDEX(SourceTable[Season],MAX(1,S45))=C45,ISNUMBER(K45),K45=INDEX(SourceTable[Retrieved_UTC],MAX(1,S45)),J45&lt;&gt;"",M45&lt;&gt;"")),"INVALID",IF(OR(COUNTIFS('Istoric_Nativ'!$N$6:$N$405,N45,'Istoric_Nativ'!$G$6:$G$405,G45)&lt;&gt;COUNTIF('Istoric_Nativ'!$N$6:$N$405,N45),COUNTIFS('Istoric_Nativ'!$N$6:$N$405,N45,'Istoric_Nativ'!$H$6:$H$405,H45)&lt;&gt;COUNTIF('Istoric_Nativ'!$N$6:$N$405,N45)),"SOURCE CONFLICT",IF(COUNTIF($N$6:N45,N45)&gt;1,"DUPLICATE","VALID"))),"INVALID"))</x:f>
        <x:v>VALID</x:v>
      </x:c>
      <x:c r="P45" s="2" t="n">
        <x:f>IF(O45="VALID",1,0)</x:f>
        <x:v>1</x:v>
      </x:c>
      <x:c r="Q45" s="2" t="n">
        <x:f>IF(P45=1,G45+H45,0)</x:f>
        <x:v>6</x:v>
      </x:c>
      <x:c r="R45" s="2" t="n">
        <x:f>Q45^2</x:f>
        <x:v>36</x:v>
      </x:c>
      <x:c r="S45" s="2" t="n">
        <x:f>IF(A45="","",IFERROR(MATCH(I45,SourceTable[Source_ID],0),0))</x:f>
        <x:v>1</x:v>
      </x:c>
    </x:row>
    <x:row r="46" ht="21" customHeight="1">
      <x:c r="A46" s="7" t="str">
        <x:v>86f057dae74948c29acb</x:v>
      </x:c>
      <x:c r="B46" s="7" t="str">
        <x:v>E0</x:v>
      </x:c>
      <x:c r="C46" s="7" t="str">
        <x:v>2025/26</x:v>
      </x:c>
      <x:c r="D46" s="8" t="n">
        <x:v>45920</x:v>
      </x:c>
      <x:c r="E46" s="7" t="str">
        <x:v>Brighton</x:v>
      </x:c>
      <x:c r="F46" s="7" t="str">
        <x:v>Tottenham</x:v>
      </x:c>
      <x:c r="G46" s="7" t="n">
        <x:v>2</x:v>
      </x:c>
      <x:c r="H46" s="7" t="n">
        <x:v>10</x:v>
      </x:c>
      <x:c r="I46" s="7" t="str">
        <x:v>FD_E0_2526</x:v>
      </x:c>
      <x:c r="J46" s="7" t="str">
        <x:v>https://www.football-data.co.uk/mmz4281/2526/E0.csv</x:v>
      </x:c>
      <x:c r="K46" s="8" t="n">
        <x:v>46278.70306712963</x:v>
      </x:c>
      <x:c r="L46" s="7" t="str">
        <x:v>FT90</x:v>
      </x:c>
      <x:c r="M46" s="7" t="str">
        <x:v>CSV row 43</x:v>
      </x:c>
      <x:c r="N46" s="2" t="str">
        <x:f>IF(AND(A46&lt;&gt;"",ISNUMBER(D46)),B46&amp;"|"&amp;C46&amp;"|"&amp;TEXT(D46,"yyyymmdd")&amp;"|"&amp;E46&amp;"|"&amp;F46,"")</x:f>
        <x:v>E0|2025/26|20250920|Brighton|Tottenham</x:v>
      </x:c>
      <x:c r="O46" s="2" t="str">
        <x:f>IF(A46="","",IFERROR(IF(NOT(AND(B46&lt;&gt;"",C46&lt;&gt;"",ISNUMBER(D46),D46&gt;0,E46&lt;&gt;"",F46&lt;&gt;"",E46&lt;&gt;F46,ISNUMBER(G46),ISNUMBER(H46),G46&gt;=0,H46&gt;=0,G46&lt;=100,H46&lt;=100,MOD(G46,1)=0,MOD(H46,1)=0,L46="FT90",S46&gt;0,INDEX(SourceTable[League],MAX(1,S46))=B46,INDEX(SourceTable[Season],MAX(1,S46))=C46,ISNUMBER(K46),K46=INDEX(SourceTable[Retrieved_UTC],MAX(1,S46)),J46&lt;&gt;"",M46&lt;&gt;"")),"INVALID",IF(OR(COUNTIFS('Istoric_Nativ'!$N$6:$N$405,N46,'Istoric_Nativ'!$G$6:$G$405,G46)&lt;&gt;COUNTIF('Istoric_Nativ'!$N$6:$N$405,N46),COUNTIFS('Istoric_Nativ'!$N$6:$N$405,N46,'Istoric_Nativ'!$H$6:$H$405,H46)&lt;&gt;COUNTIF('Istoric_Nativ'!$N$6:$N$405,N46)),"SOURCE CONFLICT",IF(COUNTIF($N$6:N46,N46)&gt;1,"DUPLICATE","VALID"))),"INVALID"))</x:f>
        <x:v>VALID</x:v>
      </x:c>
      <x:c r="P46" s="2" t="n">
        <x:f>IF(O46="VALID",1,0)</x:f>
        <x:v>1</x:v>
      </x:c>
      <x:c r="Q46" s="2" t="n">
        <x:f>IF(P46=1,G46+H46,0)</x:f>
        <x:v>12</x:v>
      </x:c>
      <x:c r="R46" s="2" t="n">
        <x:f>Q46^2</x:f>
        <x:v>144</x:v>
      </x:c>
      <x:c r="S46" s="2" t="n">
        <x:f>IF(A46="","",IFERROR(MATCH(I46,SourceTable[Source_ID],0),0))</x:f>
        <x:v>1</x:v>
      </x:c>
    </x:row>
    <x:row r="47" ht="21" customHeight="1">
      <x:c r="A47" s="7" t="str">
        <x:v>2376077e4e04e89581bb</x:v>
      </x:c>
      <x:c r="B47" s="7" t="str">
        <x:v>E0</x:v>
      </x:c>
      <x:c r="C47" s="7" t="str">
        <x:v>2025/26</x:v>
      </x:c>
      <x:c r="D47" s="8" t="n">
        <x:v>45920</x:v>
      </x:c>
      <x:c r="E47" s="7" t="str">
        <x:v>Burnley</x:v>
      </x:c>
      <x:c r="F47" s="7" t="str">
        <x:v>Nott'm Forest</x:v>
      </x:c>
      <x:c r="G47" s="7" t="n">
        <x:v>4</x:v>
      </x:c>
      <x:c r="H47" s="7" t="n">
        <x:v>5</x:v>
      </x:c>
      <x:c r="I47" s="7" t="str">
        <x:v>FD_E0_2526</x:v>
      </x:c>
      <x:c r="J47" s="7" t="str">
        <x:v>https://www.football-data.co.uk/mmz4281/2526/E0.csv</x:v>
      </x:c>
      <x:c r="K47" s="8" t="n">
        <x:v>46278.70306712963</x:v>
      </x:c>
      <x:c r="L47" s="7" t="str">
        <x:v>FT90</x:v>
      </x:c>
      <x:c r="M47" s="7" t="str">
        <x:v>CSV row 44</x:v>
      </x:c>
      <x:c r="N47" s="2" t="str">
        <x:f>IF(AND(A47&lt;&gt;"",ISNUMBER(D47)),B47&amp;"|"&amp;C47&amp;"|"&amp;TEXT(D47,"yyyymmdd")&amp;"|"&amp;E47&amp;"|"&amp;F47,"")</x:f>
        <x:v>E0|2025/26|20250920|Burnley|Nott'm Forest</x:v>
      </x:c>
      <x:c r="O47" s="2" t="str">
        <x:f>IF(A47="","",IFERROR(IF(NOT(AND(B47&lt;&gt;"",C47&lt;&gt;"",ISNUMBER(D47),D47&gt;0,E47&lt;&gt;"",F47&lt;&gt;"",E47&lt;&gt;F47,ISNUMBER(G47),ISNUMBER(H47),G47&gt;=0,H47&gt;=0,G47&lt;=100,H47&lt;=100,MOD(G47,1)=0,MOD(H47,1)=0,L47="FT90",S47&gt;0,INDEX(SourceTable[League],MAX(1,S47))=B47,INDEX(SourceTable[Season],MAX(1,S47))=C47,ISNUMBER(K47),K47=INDEX(SourceTable[Retrieved_UTC],MAX(1,S47)),J47&lt;&gt;"",M47&lt;&gt;"")),"INVALID",IF(OR(COUNTIFS('Istoric_Nativ'!$N$6:$N$405,N47,'Istoric_Nativ'!$G$6:$G$405,G47)&lt;&gt;COUNTIF('Istoric_Nativ'!$N$6:$N$405,N47),COUNTIFS('Istoric_Nativ'!$N$6:$N$405,N47,'Istoric_Nativ'!$H$6:$H$405,H47)&lt;&gt;COUNTIF('Istoric_Nativ'!$N$6:$N$405,N47)),"SOURCE CONFLICT",IF(COUNTIF($N$6:N47,N47)&gt;1,"DUPLICATE","VALID"))),"INVALID"))</x:f>
        <x:v>VALID</x:v>
      </x:c>
      <x:c r="P47" s="2" t="n">
        <x:f>IF(O47="VALID",1,0)</x:f>
        <x:v>1</x:v>
      </x:c>
      <x:c r="Q47" s="2" t="n">
        <x:f>IF(P47=1,G47+H47,0)</x:f>
        <x:v>9</x:v>
      </x:c>
      <x:c r="R47" s="2" t="n">
        <x:f>Q47^2</x:f>
        <x:v>81</x:v>
      </x:c>
      <x:c r="S47" s="2" t="n">
        <x:f>IF(A47="","",IFERROR(MATCH(I47,SourceTable[Source_ID],0),0))</x:f>
        <x:v>1</x:v>
      </x:c>
    </x:row>
    <x:row r="48" ht="21" customHeight="1">
      <x:c r="A48" s="7" t="str">
        <x:v>ff0191c91fe0b44016bf</x:v>
      </x:c>
      <x:c r="B48" s="7" t="str">
        <x:v>E0</x:v>
      </x:c>
      <x:c r="C48" s="7" t="str">
        <x:v>2025/26</x:v>
      </x:c>
      <x:c r="D48" s="8" t="n">
        <x:v>45920</x:v>
      </x:c>
      <x:c r="E48" s="7" t="str">
        <x:v>Fulham</x:v>
      </x:c>
      <x:c r="F48" s="7" t="str">
        <x:v>Brentford</x:v>
      </x:c>
      <x:c r="G48" s="7" t="n">
        <x:v>2</x:v>
      </x:c>
      <x:c r="H48" s="7" t="n">
        <x:v>10</x:v>
      </x:c>
      <x:c r="I48" s="7" t="str">
        <x:v>FD_E0_2526</x:v>
      </x:c>
      <x:c r="J48" s="7" t="str">
        <x:v>https://www.football-data.co.uk/mmz4281/2526/E0.csv</x:v>
      </x:c>
      <x:c r="K48" s="8" t="n">
        <x:v>46278.70306712963</x:v>
      </x:c>
      <x:c r="L48" s="7" t="str">
        <x:v>FT90</x:v>
      </x:c>
      <x:c r="M48" s="7" t="str">
        <x:v>CSV row 48</x:v>
      </x:c>
      <x:c r="N48" s="2" t="str">
        <x:f>IF(AND(A48&lt;&gt;"",ISNUMBER(D48)),B48&amp;"|"&amp;C48&amp;"|"&amp;TEXT(D48,"yyyymmdd")&amp;"|"&amp;E48&amp;"|"&amp;F48,"")</x:f>
        <x:v>E0|2025/26|20250920|Fulham|Brentford</x:v>
      </x:c>
      <x:c r="O48" s="2" t="str">
        <x:f>IF(A48="","",IFERROR(IF(NOT(AND(B48&lt;&gt;"",C48&lt;&gt;"",ISNUMBER(D48),D48&gt;0,E48&lt;&gt;"",F48&lt;&gt;"",E48&lt;&gt;F48,ISNUMBER(G48),ISNUMBER(H48),G48&gt;=0,H48&gt;=0,G48&lt;=100,H48&lt;=100,MOD(G48,1)=0,MOD(H48,1)=0,L48="FT90",S48&gt;0,INDEX(SourceTable[League],MAX(1,S48))=B48,INDEX(SourceTable[Season],MAX(1,S48))=C48,ISNUMBER(K48),K48=INDEX(SourceTable[Retrieved_UTC],MAX(1,S48)),J48&lt;&gt;"",M48&lt;&gt;"")),"INVALID",IF(OR(COUNTIFS('Istoric_Nativ'!$N$6:$N$405,N48,'Istoric_Nativ'!$G$6:$G$405,G48)&lt;&gt;COUNTIF('Istoric_Nativ'!$N$6:$N$405,N48),COUNTIFS('Istoric_Nativ'!$N$6:$N$405,N48,'Istoric_Nativ'!$H$6:$H$405,H48)&lt;&gt;COUNTIF('Istoric_Nativ'!$N$6:$N$405,N48)),"SOURCE CONFLICT",IF(COUNTIF($N$6:N48,N48)&gt;1,"DUPLICATE","VALID"))),"INVALID"))</x:f>
        <x:v>VALID</x:v>
      </x:c>
      <x:c r="P48" s="2" t="n">
        <x:f>IF(O48="VALID",1,0)</x:f>
        <x:v>1</x:v>
      </x:c>
      <x:c r="Q48" s="2" t="n">
        <x:f>IF(P48=1,G48+H48,0)</x:f>
        <x:v>12</x:v>
      </x:c>
      <x:c r="R48" s="2" t="n">
        <x:f>Q48^2</x:f>
        <x:v>144</x:v>
      </x:c>
      <x:c r="S48" s="2" t="n">
        <x:f>IF(A48="","",IFERROR(MATCH(I48,SourceTable[Source_ID],0),0))</x:f>
        <x:v>1</x:v>
      </x:c>
    </x:row>
    <x:row r="49" ht="21" customHeight="1">
      <x:c r="A49" s="7" t="str">
        <x:v>a385f80cd82de87f929e</x:v>
      </x:c>
      <x:c r="B49" s="7" t="str">
        <x:v>E0</x:v>
      </x:c>
      <x:c r="C49" s="7" t="str">
        <x:v>2025/26</x:v>
      </x:c>
      <x:c r="D49" s="8" t="n">
        <x:v>45920</x:v>
      </x:c>
      <x:c r="E49" s="7" t="str">
        <x:v>Liverpool</x:v>
      </x:c>
      <x:c r="F49" s="7" t="str">
        <x:v>Everton</x:v>
      </x:c>
      <x:c r="G49" s="7" t="n">
        <x:v>5</x:v>
      </x:c>
      <x:c r="H49" s="7" t="n">
        <x:v>4</x:v>
      </x:c>
      <x:c r="I49" s="7" t="str">
        <x:v>FD_E0_2526</x:v>
      </x:c>
      <x:c r="J49" s="7" t="str">
        <x:v>https://www.football-data.co.uk/mmz4281/2526/E0.csv</x:v>
      </x:c>
      <x:c r="K49" s="8" t="n">
        <x:v>46278.70306712963</x:v>
      </x:c>
      <x:c r="L49" s="7" t="str">
        <x:v>FT90</x:v>
      </x:c>
      <x:c r="M49" s="7" t="str">
        <x:v>CSV row 42</x:v>
      </x:c>
      <x:c r="N49" s="2" t="str">
        <x:f>IF(AND(A49&lt;&gt;"",ISNUMBER(D49)),B49&amp;"|"&amp;C49&amp;"|"&amp;TEXT(D49,"yyyymmdd")&amp;"|"&amp;E49&amp;"|"&amp;F49,"")</x:f>
        <x:v>E0|2025/26|20250920|Liverpool|Everton</x:v>
      </x:c>
      <x:c r="O49" s="2" t="str">
        <x:f>IF(A49="","",IFERROR(IF(NOT(AND(B49&lt;&gt;"",C49&lt;&gt;"",ISNUMBER(D49),D49&gt;0,E49&lt;&gt;"",F49&lt;&gt;"",E49&lt;&gt;F49,ISNUMBER(G49),ISNUMBER(H49),G49&gt;=0,H49&gt;=0,G49&lt;=100,H49&lt;=100,MOD(G49,1)=0,MOD(H49,1)=0,L49="FT90",S49&gt;0,INDEX(SourceTable[League],MAX(1,S49))=B49,INDEX(SourceTable[Season],MAX(1,S49))=C49,ISNUMBER(K49),K49=INDEX(SourceTable[Retrieved_UTC],MAX(1,S49)),J49&lt;&gt;"",M49&lt;&gt;"")),"INVALID",IF(OR(COUNTIFS('Istoric_Nativ'!$N$6:$N$405,N49,'Istoric_Nativ'!$G$6:$G$405,G49)&lt;&gt;COUNTIF('Istoric_Nativ'!$N$6:$N$405,N49),COUNTIFS('Istoric_Nativ'!$N$6:$N$405,N49,'Istoric_Nativ'!$H$6:$H$405,H49)&lt;&gt;COUNTIF('Istoric_Nativ'!$N$6:$N$405,N49)),"SOURCE CONFLICT",IF(COUNTIF($N$6:N49,N49)&gt;1,"DUPLICATE","VALID"))),"INVALID"))</x:f>
        <x:v>VALID</x:v>
      </x:c>
      <x:c r="P49" s="2" t="n">
        <x:f>IF(O49="VALID",1,0)</x:f>
        <x:v>1</x:v>
      </x:c>
      <x:c r="Q49" s="2" t="n">
        <x:f>IF(P49=1,G49+H49,0)</x:f>
        <x:v>9</x:v>
      </x:c>
      <x:c r="R49" s="2" t="n">
        <x:f>Q49^2</x:f>
        <x:v>81</x:v>
      </x:c>
      <x:c r="S49" s="2" t="n">
        <x:f>IF(A49="","",IFERROR(MATCH(I49,SourceTable[Source_ID],0),0))</x:f>
        <x:v>1</x:v>
      </x:c>
    </x:row>
    <x:row r="50" ht="21" customHeight="1">
      <x:c r="A50" s="7" t="str">
        <x:v>8657cb3c439b70df63a6</x:v>
      </x:c>
      <x:c r="B50" s="7" t="str">
        <x:v>E0</x:v>
      </x:c>
      <x:c r="C50" s="7" t="str">
        <x:v>2025/26</x:v>
      </x:c>
      <x:c r="D50" s="8" t="n">
        <x:v>45920</x:v>
      </x:c>
      <x:c r="E50" s="7" t="str">
        <x:v>Man United</x:v>
      </x:c>
      <x:c r="F50" s="7" t="str">
        <x:v>Chelsea</x:v>
      </x:c>
      <x:c r="G50" s="7" t="n">
        <x:v>5</x:v>
      </x:c>
      <x:c r="H50" s="7" t="n">
        <x:v>5</x:v>
      </x:c>
      <x:c r="I50" s="7" t="str">
        <x:v>FD_E0_2526</x:v>
      </x:c>
      <x:c r="J50" s="7" t="str">
        <x:v>https://www.football-data.co.uk/mmz4281/2526/E0.csv</x:v>
      </x:c>
      <x:c r="K50" s="8" t="n">
        <x:v>46278.70306712963</x:v>
      </x:c>
      <x:c r="L50" s="7" t="str">
        <x:v>FT90</x:v>
      </x:c>
      <x:c r="M50" s="7" t="str">
        <x:v>CSV row 47</x:v>
      </x:c>
      <x:c r="N50" s="2" t="str">
        <x:f>IF(AND(A50&lt;&gt;"",ISNUMBER(D50)),B50&amp;"|"&amp;C50&amp;"|"&amp;TEXT(D50,"yyyymmdd")&amp;"|"&amp;E50&amp;"|"&amp;F50,"")</x:f>
        <x:v>E0|2025/26|20250920|Man United|Chelsea</x:v>
      </x:c>
      <x:c r="O50" s="2" t="str">
        <x:f>IF(A50="","",IFERROR(IF(NOT(AND(B50&lt;&gt;"",C50&lt;&gt;"",ISNUMBER(D50),D50&gt;0,E50&lt;&gt;"",F50&lt;&gt;"",E50&lt;&gt;F50,ISNUMBER(G50),ISNUMBER(H50),G50&gt;=0,H50&gt;=0,G50&lt;=100,H50&lt;=100,MOD(G50,1)=0,MOD(H50,1)=0,L50="FT90",S50&gt;0,INDEX(SourceTable[League],MAX(1,S50))=B50,INDEX(SourceTable[Season],MAX(1,S50))=C50,ISNUMBER(K50),K50=INDEX(SourceTable[Retrieved_UTC],MAX(1,S50)),J50&lt;&gt;"",M50&lt;&gt;"")),"INVALID",IF(OR(COUNTIFS('Istoric_Nativ'!$N$6:$N$405,N50,'Istoric_Nativ'!$G$6:$G$405,G50)&lt;&gt;COUNTIF('Istoric_Nativ'!$N$6:$N$405,N50),COUNTIFS('Istoric_Nativ'!$N$6:$N$405,N50,'Istoric_Nativ'!$H$6:$H$405,H50)&lt;&gt;COUNTIF('Istoric_Nativ'!$N$6:$N$405,N50)),"SOURCE CONFLICT",IF(COUNTIF($N$6:N50,N50)&gt;1,"DUPLICATE","VALID"))),"INVALID"))</x:f>
        <x:v>VALID</x:v>
      </x:c>
      <x:c r="P50" s="2" t="n">
        <x:f>IF(O50="VALID",1,0)</x:f>
        <x:v>1</x:v>
      </x:c>
      <x:c r="Q50" s="2" t="n">
        <x:f>IF(P50=1,G50+H50,0)</x:f>
        <x:v>10</x:v>
      </x:c>
      <x:c r="R50" s="2" t="n">
        <x:f>Q50^2</x:f>
        <x:v>100</x:v>
      </x:c>
      <x:c r="S50" s="2" t="n">
        <x:f>IF(A50="","",IFERROR(MATCH(I50,SourceTable[Source_ID],0),0))</x:f>
        <x:v>1</x:v>
      </x:c>
    </x:row>
    <x:row r="51" ht="21" customHeight="1">
      <x:c r="A51" s="7" t="str">
        <x:v>1085eafe9a24e3ac6467</x:v>
      </x:c>
      <x:c r="B51" s="7" t="str">
        <x:v>E0</x:v>
      </x:c>
      <x:c r="C51" s="7" t="str">
        <x:v>2025/26</x:v>
      </x:c>
      <x:c r="D51" s="8" t="n">
        <x:v>45920</x:v>
      </x:c>
      <x:c r="E51" s="7" t="str">
        <x:v>West Ham</x:v>
      </x:c>
      <x:c r="F51" s="7" t="str">
        <x:v>Crystal Palace</x:v>
      </x:c>
      <x:c r="G51" s="7" t="n">
        <x:v>8</x:v>
      </x:c>
      <x:c r="H51" s="7" t="n">
        <x:v>8</x:v>
      </x:c>
      <x:c r="I51" s="7" t="str">
        <x:v>FD_E0_2526</x:v>
      </x:c>
      <x:c r="J51" s="7" t="str">
        <x:v>https://www.football-data.co.uk/mmz4281/2526/E0.csv</x:v>
      </x:c>
      <x:c r="K51" s="8" t="n">
        <x:v>46278.70306712963</x:v>
      </x:c>
      <x:c r="L51" s="7" t="str">
        <x:v>FT90</x:v>
      </x:c>
      <x:c r="M51" s="7" t="str">
        <x:v>CSV row 45</x:v>
      </x:c>
      <x:c r="N51" s="2" t="str">
        <x:f>IF(AND(A51&lt;&gt;"",ISNUMBER(D51)),B51&amp;"|"&amp;C51&amp;"|"&amp;TEXT(D51,"yyyymmdd")&amp;"|"&amp;E51&amp;"|"&amp;F51,"")</x:f>
        <x:v>E0|2025/26|20250920|West Ham|Crystal Palace</x:v>
      </x:c>
      <x:c r="O51" s="2" t="str">
        <x:f>IF(A51="","",IFERROR(IF(NOT(AND(B51&lt;&gt;"",C51&lt;&gt;"",ISNUMBER(D51),D51&gt;0,E51&lt;&gt;"",F51&lt;&gt;"",E51&lt;&gt;F51,ISNUMBER(G51),ISNUMBER(H51),G51&gt;=0,H51&gt;=0,G51&lt;=100,H51&lt;=100,MOD(G51,1)=0,MOD(H51,1)=0,L51="FT90",S51&gt;0,INDEX(SourceTable[League],MAX(1,S51))=B51,INDEX(SourceTable[Season],MAX(1,S51))=C51,ISNUMBER(K51),K51=INDEX(SourceTable[Retrieved_UTC],MAX(1,S51)),J51&lt;&gt;"",M51&lt;&gt;"")),"INVALID",IF(OR(COUNTIFS('Istoric_Nativ'!$N$6:$N$405,N51,'Istoric_Nativ'!$G$6:$G$405,G51)&lt;&gt;COUNTIF('Istoric_Nativ'!$N$6:$N$405,N51),COUNTIFS('Istoric_Nativ'!$N$6:$N$405,N51,'Istoric_Nativ'!$H$6:$H$405,H51)&lt;&gt;COUNTIF('Istoric_Nativ'!$N$6:$N$405,N51)),"SOURCE CONFLICT",IF(COUNTIF($N$6:N51,N51)&gt;1,"DUPLICATE","VALID"))),"INVALID"))</x:f>
        <x:v>VALID</x:v>
      </x:c>
      <x:c r="P51" s="2" t="n">
        <x:f>IF(O51="VALID",1,0)</x:f>
        <x:v>1</x:v>
      </x:c>
      <x:c r="Q51" s="2" t="n">
        <x:f>IF(P51=1,G51+H51,0)</x:f>
        <x:v>16</x:v>
      </x:c>
      <x:c r="R51" s="2" t="n">
        <x:f>Q51^2</x:f>
        <x:v>256</x:v>
      </x:c>
      <x:c r="S51" s="2" t="n">
        <x:f>IF(A51="","",IFERROR(MATCH(I51,SourceTable[Source_ID],0),0))</x:f>
        <x:v>1</x:v>
      </x:c>
    </x:row>
    <x:row r="52" ht="21" customHeight="1">
      <x:c r="A52" s="7" t="str">
        <x:v>165a4b045c922daccd5e</x:v>
      </x:c>
      <x:c r="B52" s="7" t="str">
        <x:v>E0</x:v>
      </x:c>
      <x:c r="C52" s="7" t="str">
        <x:v>2025/26</x:v>
      </x:c>
      <x:c r="D52" s="8" t="n">
        <x:v>45920</x:v>
      </x:c>
      <x:c r="E52" s="7" t="str">
        <x:v>Wolves</x:v>
      </x:c>
      <x:c r="F52" s="7" t="str">
        <x:v>Leeds</x:v>
      </x:c>
      <x:c r="G52" s="7" t="n">
        <x:v>4</x:v>
      </x:c>
      <x:c r="H52" s="7" t="n">
        <x:v>0</x:v>
      </x:c>
      <x:c r="I52" s="7" t="str">
        <x:v>FD_E0_2526</x:v>
      </x:c>
      <x:c r="J52" s="7" t="str">
        <x:v>https://www.football-data.co.uk/mmz4281/2526/E0.csv</x:v>
      </x:c>
      <x:c r="K52" s="8" t="n">
        <x:v>46278.70306712963</x:v>
      </x:c>
      <x:c r="L52" s="7" t="str">
        <x:v>FT90</x:v>
      </x:c>
      <x:c r="M52" s="7" t="str">
        <x:v>CSV row 46</x:v>
      </x:c>
      <x:c r="N52" s="2" t="str">
        <x:f>IF(AND(A52&lt;&gt;"",ISNUMBER(D52)),B52&amp;"|"&amp;C52&amp;"|"&amp;TEXT(D52,"yyyymmdd")&amp;"|"&amp;E52&amp;"|"&amp;F52,"")</x:f>
        <x:v>E0|2025/26|20250920|Wolves|Leeds</x:v>
      </x:c>
      <x:c r="O52" s="2" t="str">
        <x:f>IF(A52="","",IFERROR(IF(NOT(AND(B52&lt;&gt;"",C52&lt;&gt;"",ISNUMBER(D52),D52&gt;0,E52&lt;&gt;"",F52&lt;&gt;"",E52&lt;&gt;F52,ISNUMBER(G52),ISNUMBER(H52),G52&gt;=0,H52&gt;=0,G52&lt;=100,H52&lt;=100,MOD(G52,1)=0,MOD(H52,1)=0,L52="FT90",S52&gt;0,INDEX(SourceTable[League],MAX(1,S52))=B52,INDEX(SourceTable[Season],MAX(1,S52))=C52,ISNUMBER(K52),K52=INDEX(SourceTable[Retrieved_UTC],MAX(1,S52)),J52&lt;&gt;"",M52&lt;&gt;"")),"INVALID",IF(OR(COUNTIFS('Istoric_Nativ'!$N$6:$N$405,N52,'Istoric_Nativ'!$G$6:$G$405,G52)&lt;&gt;COUNTIF('Istoric_Nativ'!$N$6:$N$405,N52),COUNTIFS('Istoric_Nativ'!$N$6:$N$405,N52,'Istoric_Nativ'!$H$6:$H$405,H52)&lt;&gt;COUNTIF('Istoric_Nativ'!$N$6:$N$405,N52)),"SOURCE CONFLICT",IF(COUNTIF($N$6:N52,N52)&gt;1,"DUPLICATE","VALID"))),"INVALID"))</x:f>
        <x:v>VALID</x:v>
      </x:c>
      <x:c r="P52" s="2" t="n">
        <x:f>IF(O52="VALID",1,0)</x:f>
        <x:v>1</x:v>
      </x:c>
      <x:c r="Q52" s="2" t="n">
        <x:f>IF(P52=1,G52+H52,0)</x:f>
        <x:v>4</x:v>
      </x:c>
      <x:c r="R52" s="2" t="n">
        <x:f>Q52^2</x:f>
        <x:v>16</x:v>
      </x:c>
      <x:c r="S52" s="2" t="n">
        <x:f>IF(A52="","",IFERROR(MATCH(I52,SourceTable[Source_ID],0),0))</x:f>
        <x:v>1</x:v>
      </x:c>
    </x:row>
    <x:row r="53" ht="21" customHeight="1">
      <x:c r="A53" s="7" t="str">
        <x:v>91c9fcb8d8dc1721fa2d</x:v>
      </x:c>
      <x:c r="B53" s="7" t="str">
        <x:v>E0</x:v>
      </x:c>
      <x:c r="C53" s="7" t="str">
        <x:v>2025/26</x:v>
      </x:c>
      <x:c r="D53" s="8" t="n">
        <x:v>45921</x:v>
      </x:c>
      <x:c r="E53" s="7" t="str">
        <x:v>Arsenal</x:v>
      </x:c>
      <x:c r="F53" s="7" t="str">
        <x:v>Man City</x:v>
      </x:c>
      <x:c r="G53" s="7" t="n">
        <x:v>11</x:v>
      </x:c>
      <x:c r="H53" s="7" t="n">
        <x:v>2</x:v>
      </x:c>
      <x:c r="I53" s="7" t="str">
        <x:v>FD_E0_2526</x:v>
      </x:c>
      <x:c r="J53" s="7" t="str">
        <x:v>https://www.football-data.co.uk/mmz4281/2526/E0.csv</x:v>
      </x:c>
      <x:c r="K53" s="8" t="n">
        <x:v>46278.70306712963</x:v>
      </x:c>
      <x:c r="L53" s="7" t="str">
        <x:v>FT90</x:v>
      </x:c>
      <x:c r="M53" s="7" t="str">
        <x:v>CSV row 51</x:v>
      </x:c>
      <x:c r="N53" s="2" t="str">
        <x:f>IF(AND(A53&lt;&gt;"",ISNUMBER(D53)),B53&amp;"|"&amp;C53&amp;"|"&amp;TEXT(D53,"yyyymmdd")&amp;"|"&amp;E53&amp;"|"&amp;F53,"")</x:f>
        <x:v>E0|2025/26|20250921|Arsenal|Man City</x:v>
      </x:c>
      <x:c r="O53" s="2" t="str">
        <x:f>IF(A53="","",IFERROR(IF(NOT(AND(B53&lt;&gt;"",C53&lt;&gt;"",ISNUMBER(D53),D53&gt;0,E53&lt;&gt;"",F53&lt;&gt;"",E53&lt;&gt;F53,ISNUMBER(G53),ISNUMBER(H53),G53&gt;=0,H53&gt;=0,G53&lt;=100,H53&lt;=100,MOD(G53,1)=0,MOD(H53,1)=0,L53="FT90",S53&gt;0,INDEX(SourceTable[League],MAX(1,S53))=B53,INDEX(SourceTable[Season],MAX(1,S53))=C53,ISNUMBER(K53),K53=INDEX(SourceTable[Retrieved_UTC],MAX(1,S53)),J53&lt;&gt;"",M53&lt;&gt;"")),"INVALID",IF(OR(COUNTIFS('Istoric_Nativ'!$N$6:$N$405,N53,'Istoric_Nativ'!$G$6:$G$405,G53)&lt;&gt;COUNTIF('Istoric_Nativ'!$N$6:$N$405,N53),COUNTIFS('Istoric_Nativ'!$N$6:$N$405,N53,'Istoric_Nativ'!$H$6:$H$405,H53)&lt;&gt;COUNTIF('Istoric_Nativ'!$N$6:$N$405,N53)),"SOURCE CONFLICT",IF(COUNTIF($N$6:N53,N53)&gt;1,"DUPLICATE","VALID"))),"INVALID"))</x:f>
        <x:v>VALID</x:v>
      </x:c>
      <x:c r="P53" s="2" t="n">
        <x:f>IF(O53="VALID",1,0)</x:f>
        <x:v>1</x:v>
      </x:c>
      <x:c r="Q53" s="2" t="n">
        <x:f>IF(P53=1,G53+H53,0)</x:f>
        <x:v>13</x:v>
      </x:c>
      <x:c r="R53" s="2" t="n">
        <x:f>Q53^2</x:f>
        <x:v>169</x:v>
      </x:c>
      <x:c r="S53" s="2" t="n">
        <x:f>IF(A53="","",IFERROR(MATCH(I53,SourceTable[Source_ID],0),0))</x:f>
        <x:v>1</x:v>
      </x:c>
    </x:row>
    <x:row r="54" ht="21" customHeight="1">
      <x:c r="A54" s="7" t="str">
        <x:v>3c16f93843321b578875</x:v>
      </x:c>
      <x:c r="B54" s="7" t="str">
        <x:v>E0</x:v>
      </x:c>
      <x:c r="C54" s="7" t="str">
        <x:v>2025/26</x:v>
      </x:c>
      <x:c r="D54" s="8" t="n">
        <x:v>45921</x:v>
      </x:c>
      <x:c r="E54" s="7" t="str">
        <x:v>Bournemouth</x:v>
      </x:c>
      <x:c r="F54" s="7" t="str">
        <x:v>Newcastle</x:v>
      </x:c>
      <x:c r="G54" s="7" t="n">
        <x:v>5</x:v>
      </x:c>
      <x:c r="H54" s="7" t="n">
        <x:v>2</x:v>
      </x:c>
      <x:c r="I54" s="7" t="str">
        <x:v>FD_E0_2526</x:v>
      </x:c>
      <x:c r="J54" s="7" t="str">
        <x:v>https://www.football-data.co.uk/mmz4281/2526/E0.csv</x:v>
      </x:c>
      <x:c r="K54" s="8" t="n">
        <x:v>46278.70306712963</x:v>
      </x:c>
      <x:c r="L54" s="7" t="str">
        <x:v>FT90</x:v>
      </x:c>
      <x:c r="M54" s="7" t="str">
        <x:v>CSV row 49</x:v>
      </x:c>
      <x:c r="N54" s="2" t="str">
        <x:f>IF(AND(A54&lt;&gt;"",ISNUMBER(D54)),B54&amp;"|"&amp;C54&amp;"|"&amp;TEXT(D54,"yyyymmdd")&amp;"|"&amp;E54&amp;"|"&amp;F54,"")</x:f>
        <x:v>E0|2025/26|20250921|Bournemouth|Newcastle</x:v>
      </x:c>
      <x:c r="O54" s="2" t="str">
        <x:f>IF(A54="","",IFERROR(IF(NOT(AND(B54&lt;&gt;"",C54&lt;&gt;"",ISNUMBER(D54),D54&gt;0,E54&lt;&gt;"",F54&lt;&gt;"",E54&lt;&gt;F54,ISNUMBER(G54),ISNUMBER(H54),G54&gt;=0,H54&gt;=0,G54&lt;=100,H54&lt;=100,MOD(G54,1)=0,MOD(H54,1)=0,L54="FT90",S54&gt;0,INDEX(SourceTable[League],MAX(1,S54))=B54,INDEX(SourceTable[Season],MAX(1,S54))=C54,ISNUMBER(K54),K54=INDEX(SourceTable[Retrieved_UTC],MAX(1,S54)),J54&lt;&gt;"",M54&lt;&gt;"")),"INVALID",IF(OR(COUNTIFS('Istoric_Nativ'!$N$6:$N$405,N54,'Istoric_Nativ'!$G$6:$G$405,G54)&lt;&gt;COUNTIF('Istoric_Nativ'!$N$6:$N$405,N54),COUNTIFS('Istoric_Nativ'!$N$6:$N$405,N54,'Istoric_Nativ'!$H$6:$H$405,H54)&lt;&gt;COUNTIF('Istoric_Nativ'!$N$6:$N$405,N54)),"SOURCE CONFLICT",IF(COUNTIF($N$6:N54,N54)&gt;1,"DUPLICATE","VALID"))),"INVALID"))</x:f>
        <x:v>VALID</x:v>
      </x:c>
      <x:c r="P54" s="2" t="n">
        <x:f>IF(O54="VALID",1,0)</x:f>
        <x:v>1</x:v>
      </x:c>
      <x:c r="Q54" s="2" t="n">
        <x:f>IF(P54=1,G54+H54,0)</x:f>
        <x:v>7</x:v>
      </x:c>
      <x:c r="R54" s="2" t="n">
        <x:f>Q54^2</x:f>
        <x:v>49</x:v>
      </x:c>
      <x:c r="S54" s="2" t="n">
        <x:f>IF(A54="","",IFERROR(MATCH(I54,SourceTable[Source_ID],0),0))</x:f>
        <x:v>1</x:v>
      </x:c>
    </x:row>
    <x:row r="55" ht="21" customHeight="1">
      <x:c r="A55" s="7" t="str">
        <x:v>8e6da72bc732d63bb728</x:v>
      </x:c>
      <x:c r="B55" s="7" t="str">
        <x:v>E0</x:v>
      </x:c>
      <x:c r="C55" s="7" t="str">
        <x:v>2025/26</x:v>
      </x:c>
      <x:c r="D55" s="8" t="n">
        <x:v>45921</x:v>
      </x:c>
      <x:c r="E55" s="7" t="str">
        <x:v>Sunderland</x:v>
      </x:c>
      <x:c r="F55" s="7" t="str">
        <x:v>Aston Villa</x:v>
      </x:c>
      <x:c r="G55" s="7" t="n">
        <x:v>6</x:v>
      </x:c>
      <x:c r="H55" s="7" t="n">
        <x:v>5</x:v>
      </x:c>
      <x:c r="I55" s="7" t="str">
        <x:v>FD_E0_2526</x:v>
      </x:c>
      <x:c r="J55" s="7" t="str">
        <x:v>https://www.football-data.co.uk/mmz4281/2526/E0.csv</x:v>
      </x:c>
      <x:c r="K55" s="8" t="n">
        <x:v>46278.70306712963</x:v>
      </x:c>
      <x:c r="L55" s="7" t="str">
        <x:v>FT90</x:v>
      </x:c>
      <x:c r="M55" s="7" t="str">
        <x:v>CSV row 50</x:v>
      </x:c>
      <x:c r="N55" s="2" t="str">
        <x:f>IF(AND(A55&lt;&gt;"",ISNUMBER(D55)),B55&amp;"|"&amp;C55&amp;"|"&amp;TEXT(D55,"yyyymmdd")&amp;"|"&amp;E55&amp;"|"&amp;F55,"")</x:f>
        <x:v>E0|2025/26|20250921|Sunderland|Aston Villa</x:v>
      </x:c>
      <x:c r="O55" s="2" t="str">
        <x:f>IF(A55="","",IFERROR(IF(NOT(AND(B55&lt;&gt;"",C55&lt;&gt;"",ISNUMBER(D55),D55&gt;0,E55&lt;&gt;"",F55&lt;&gt;"",E55&lt;&gt;F55,ISNUMBER(G55),ISNUMBER(H55),G55&gt;=0,H55&gt;=0,G55&lt;=100,H55&lt;=100,MOD(G55,1)=0,MOD(H55,1)=0,L55="FT90",S55&gt;0,INDEX(SourceTable[League],MAX(1,S55))=B55,INDEX(SourceTable[Season],MAX(1,S55))=C55,ISNUMBER(K55),K55=INDEX(SourceTable[Retrieved_UTC],MAX(1,S55)),J55&lt;&gt;"",M55&lt;&gt;"")),"INVALID",IF(OR(COUNTIFS('Istoric_Nativ'!$N$6:$N$405,N55,'Istoric_Nativ'!$G$6:$G$405,G55)&lt;&gt;COUNTIF('Istoric_Nativ'!$N$6:$N$405,N55),COUNTIFS('Istoric_Nativ'!$N$6:$N$405,N55,'Istoric_Nativ'!$H$6:$H$405,H55)&lt;&gt;COUNTIF('Istoric_Nativ'!$N$6:$N$405,N55)),"SOURCE CONFLICT",IF(COUNTIF($N$6:N55,N55)&gt;1,"DUPLICATE","VALID"))),"INVALID"))</x:f>
        <x:v>VALID</x:v>
      </x:c>
      <x:c r="P55" s="2" t="n">
        <x:f>IF(O55="VALID",1,0)</x:f>
        <x:v>1</x:v>
      </x:c>
      <x:c r="Q55" s="2" t="n">
        <x:f>IF(P55=1,G55+H55,0)</x:f>
        <x:v>11</x:v>
      </x:c>
      <x:c r="R55" s="2" t="n">
        <x:f>Q55^2</x:f>
        <x:v>121</x:v>
      </x:c>
      <x:c r="S55" s="2" t="n">
        <x:f>IF(A55="","",IFERROR(MATCH(I55,SourceTable[Source_ID],0),0))</x:f>
        <x:v>1</x:v>
      </x:c>
    </x:row>
    <x:row r="56" ht="21" customHeight="1">
      <x:c r="A56" s="7" t="str">
        <x:v>66323b8c4b07d4701a4a</x:v>
      </x:c>
      <x:c r="B56" s="7" t="str">
        <x:v>E0</x:v>
      </x:c>
      <x:c r="C56" s="7" t="str">
        <x:v>2025/26</x:v>
      </x:c>
      <x:c r="D56" s="8" t="n">
        <x:v>45927</x:v>
      </x:c>
      <x:c r="E56" s="7" t="str">
        <x:v>Brentford</x:v>
      </x:c>
      <x:c r="F56" s="7" t="str">
        <x:v>Man United</x:v>
      </x:c>
      <x:c r="G56" s="7" t="n">
        <x:v>4</x:v>
      </x:c>
      <x:c r="H56" s="7" t="n">
        <x:v>2</x:v>
      </x:c>
      <x:c r="I56" s="7" t="str">
        <x:v>FD_E0_2526</x:v>
      </x:c>
      <x:c r="J56" s="7" t="str">
        <x:v>https://www.football-data.co.uk/mmz4281/2526/E0.csv</x:v>
      </x:c>
      <x:c r="K56" s="8" t="n">
        <x:v>46278.70306712963</x:v>
      </x:c>
      <x:c r="L56" s="7" t="str">
        <x:v>FT90</x:v>
      </x:c>
      <x:c r="M56" s="7" t="str">
        <x:v>CSV row 52</x:v>
      </x:c>
      <x:c r="N56" s="2" t="str">
        <x:f>IF(AND(A56&lt;&gt;"",ISNUMBER(D56)),B56&amp;"|"&amp;C56&amp;"|"&amp;TEXT(D56,"yyyymmdd")&amp;"|"&amp;E56&amp;"|"&amp;F56,"")</x:f>
        <x:v>E0|2025/26|20250927|Brentford|Man United</x:v>
      </x:c>
      <x:c r="O56" s="2" t="str">
        <x:f>IF(A56="","",IFERROR(IF(NOT(AND(B56&lt;&gt;"",C56&lt;&gt;"",ISNUMBER(D56),D56&gt;0,E56&lt;&gt;"",F56&lt;&gt;"",E56&lt;&gt;F56,ISNUMBER(G56),ISNUMBER(H56),G56&gt;=0,H56&gt;=0,G56&lt;=100,H56&lt;=100,MOD(G56,1)=0,MOD(H56,1)=0,L56="FT90",S56&gt;0,INDEX(SourceTable[League],MAX(1,S56))=B56,INDEX(SourceTable[Season],MAX(1,S56))=C56,ISNUMBER(K56),K56=INDEX(SourceTable[Retrieved_UTC],MAX(1,S56)),J56&lt;&gt;"",M56&lt;&gt;"")),"INVALID",IF(OR(COUNTIFS('Istoric_Nativ'!$N$6:$N$405,N56,'Istoric_Nativ'!$G$6:$G$405,G56)&lt;&gt;COUNTIF('Istoric_Nativ'!$N$6:$N$405,N56),COUNTIFS('Istoric_Nativ'!$N$6:$N$405,N56,'Istoric_Nativ'!$H$6:$H$405,H56)&lt;&gt;COUNTIF('Istoric_Nativ'!$N$6:$N$405,N56)),"SOURCE CONFLICT",IF(COUNTIF($N$6:N56,N56)&gt;1,"DUPLICATE","VALID"))),"INVALID"))</x:f>
        <x:v>VALID</x:v>
      </x:c>
      <x:c r="P56" s="2" t="n">
        <x:f>IF(O56="VALID",1,0)</x:f>
        <x:v>1</x:v>
      </x:c>
      <x:c r="Q56" s="2" t="n">
        <x:f>IF(P56=1,G56+H56,0)</x:f>
        <x:v>6</x:v>
      </x:c>
      <x:c r="R56" s="2" t="n">
        <x:f>Q56^2</x:f>
        <x:v>36</x:v>
      </x:c>
      <x:c r="S56" s="2" t="n">
        <x:f>IF(A56="","",IFERROR(MATCH(I56,SourceTable[Source_ID],0),0))</x:f>
        <x:v>1</x:v>
      </x:c>
    </x:row>
    <x:row r="57" ht="21" customHeight="1">
      <x:c r="A57" s="7" t="str">
        <x:v>f917d24aafbb25661842</x:v>
      </x:c>
      <x:c r="B57" s="7" t="str">
        <x:v>E0</x:v>
      </x:c>
      <x:c r="C57" s="7" t="str">
        <x:v>2025/26</x:v>
      </x:c>
      <x:c r="D57" s="8" t="n">
        <x:v>45927</x:v>
      </x:c>
      <x:c r="E57" s="7" t="str">
        <x:v>Chelsea</x:v>
      </x:c>
      <x:c r="F57" s="7" t="str">
        <x:v>Brighton</x:v>
      </x:c>
      <x:c r="G57" s="7" t="n">
        <x:v>5</x:v>
      </x:c>
      <x:c r="H57" s="7" t="n">
        <x:v>7</x:v>
      </x:c>
      <x:c r="I57" s="7" t="str">
        <x:v>FD_E0_2526</x:v>
      </x:c>
      <x:c r="J57" s="7" t="str">
        <x:v>https://www.football-data.co.uk/mmz4281/2526/E0.csv</x:v>
      </x:c>
      <x:c r="K57" s="8" t="n">
        <x:v>46278.70306712963</x:v>
      </x:c>
      <x:c r="L57" s="7" t="str">
        <x:v>FT90</x:v>
      </x:c>
      <x:c r="M57" s="7" t="str">
        <x:v>CSV row 53</x:v>
      </x:c>
      <x:c r="N57" s="2" t="str">
        <x:f>IF(AND(A57&lt;&gt;"",ISNUMBER(D57)),B57&amp;"|"&amp;C57&amp;"|"&amp;TEXT(D57,"yyyymmdd")&amp;"|"&amp;E57&amp;"|"&amp;F57,"")</x:f>
        <x:v>E0|2025/26|20250927|Chelsea|Brighton</x:v>
      </x:c>
      <x:c r="O57" s="2" t="str">
        <x:f>IF(A57="","",IFERROR(IF(NOT(AND(B57&lt;&gt;"",C57&lt;&gt;"",ISNUMBER(D57),D57&gt;0,E57&lt;&gt;"",F57&lt;&gt;"",E57&lt;&gt;F57,ISNUMBER(G57),ISNUMBER(H57),G57&gt;=0,H57&gt;=0,G57&lt;=100,H57&lt;=100,MOD(G57,1)=0,MOD(H57,1)=0,L57="FT90",S57&gt;0,INDEX(SourceTable[League],MAX(1,S57))=B57,INDEX(SourceTable[Season],MAX(1,S57))=C57,ISNUMBER(K57),K57=INDEX(SourceTable[Retrieved_UTC],MAX(1,S57)),J57&lt;&gt;"",M57&lt;&gt;"")),"INVALID",IF(OR(COUNTIFS('Istoric_Nativ'!$N$6:$N$405,N57,'Istoric_Nativ'!$G$6:$G$405,G57)&lt;&gt;COUNTIF('Istoric_Nativ'!$N$6:$N$405,N57),COUNTIFS('Istoric_Nativ'!$N$6:$N$405,N57,'Istoric_Nativ'!$H$6:$H$405,H57)&lt;&gt;COUNTIF('Istoric_Nativ'!$N$6:$N$405,N57)),"SOURCE CONFLICT",IF(COUNTIF($N$6:N57,N57)&gt;1,"DUPLICATE","VALID"))),"INVALID"))</x:f>
        <x:v>VALID</x:v>
      </x:c>
      <x:c r="P57" s="2" t="n">
        <x:f>IF(O57="VALID",1,0)</x:f>
        <x:v>1</x:v>
      </x:c>
      <x:c r="Q57" s="2" t="n">
        <x:f>IF(P57=1,G57+H57,0)</x:f>
        <x:v>12</x:v>
      </x:c>
      <x:c r="R57" s="2" t="n">
        <x:f>Q57^2</x:f>
        <x:v>144</x:v>
      </x:c>
      <x:c r="S57" s="2" t="n">
        <x:f>IF(A57="","",IFERROR(MATCH(I57,SourceTable[Source_ID],0),0))</x:f>
        <x:v>1</x:v>
      </x:c>
    </x:row>
    <x:row r="58" ht="21" customHeight="1">
      <x:c r="A58" s="7" t="str">
        <x:v>69e5609e1f0bfd02657d</x:v>
      </x:c>
      <x:c r="B58" s="7" t="str">
        <x:v>E0</x:v>
      </x:c>
      <x:c r="C58" s="7" t="str">
        <x:v>2025/26</x:v>
      </x:c>
      <x:c r="D58" s="8" t="n">
        <x:v>45927</x:v>
      </x:c>
      <x:c r="E58" s="7" t="str">
        <x:v>Crystal Palace</x:v>
      </x:c>
      <x:c r="F58" s="7" t="str">
        <x:v>Liverpool</x:v>
      </x:c>
      <x:c r="G58" s="7" t="n">
        <x:v>2</x:v>
      </x:c>
      <x:c r="H58" s="7" t="n">
        <x:v>6</x:v>
      </x:c>
      <x:c r="I58" s="7" t="str">
        <x:v>FD_E0_2526</x:v>
      </x:c>
      <x:c r="J58" s="7" t="str">
        <x:v>https://www.football-data.co.uk/mmz4281/2526/E0.csv</x:v>
      </x:c>
      <x:c r="K58" s="8" t="n">
        <x:v>46278.70306712963</x:v>
      </x:c>
      <x:c r="L58" s="7" t="str">
        <x:v>FT90</x:v>
      </x:c>
      <x:c r="M58" s="7" t="str">
        <x:v>CSV row 54</x:v>
      </x:c>
      <x:c r="N58" s="2" t="str">
        <x:f>IF(AND(A58&lt;&gt;"",ISNUMBER(D58)),B58&amp;"|"&amp;C58&amp;"|"&amp;TEXT(D58,"yyyymmdd")&amp;"|"&amp;E58&amp;"|"&amp;F58,"")</x:f>
        <x:v>E0|2025/26|20250927|Crystal Palace|Liverpool</x:v>
      </x:c>
      <x:c r="O58" s="2" t="str">
        <x:f>IF(A58="","",IFERROR(IF(NOT(AND(B58&lt;&gt;"",C58&lt;&gt;"",ISNUMBER(D58),D58&gt;0,E58&lt;&gt;"",F58&lt;&gt;"",E58&lt;&gt;F58,ISNUMBER(G58),ISNUMBER(H58),G58&gt;=0,H58&gt;=0,G58&lt;=100,H58&lt;=100,MOD(G58,1)=0,MOD(H58,1)=0,L58="FT90",S58&gt;0,INDEX(SourceTable[League],MAX(1,S58))=B58,INDEX(SourceTable[Season],MAX(1,S58))=C58,ISNUMBER(K58),K58=INDEX(SourceTable[Retrieved_UTC],MAX(1,S58)),J58&lt;&gt;"",M58&lt;&gt;"")),"INVALID",IF(OR(COUNTIFS('Istoric_Nativ'!$N$6:$N$405,N58,'Istoric_Nativ'!$G$6:$G$405,G58)&lt;&gt;COUNTIF('Istoric_Nativ'!$N$6:$N$405,N58),COUNTIFS('Istoric_Nativ'!$N$6:$N$405,N58,'Istoric_Nativ'!$H$6:$H$405,H58)&lt;&gt;COUNTIF('Istoric_Nativ'!$N$6:$N$405,N58)),"SOURCE CONFLICT",IF(COUNTIF($N$6:N58,N58)&gt;1,"DUPLICATE","VALID"))),"INVALID"))</x:f>
        <x:v>VALID</x:v>
      </x:c>
      <x:c r="P58" s="2" t="n">
        <x:f>IF(O58="VALID",1,0)</x:f>
        <x:v>1</x:v>
      </x:c>
      <x:c r="Q58" s="2" t="n">
        <x:f>IF(P58=1,G58+H58,0)</x:f>
        <x:v>8</x:v>
      </x:c>
      <x:c r="R58" s="2" t="n">
        <x:f>Q58^2</x:f>
        <x:v>64</x:v>
      </x:c>
      <x:c r="S58" s="2" t="n">
        <x:f>IF(A58="","",IFERROR(MATCH(I58,SourceTable[Source_ID],0),0))</x:f>
        <x:v>1</x:v>
      </x:c>
    </x:row>
    <x:row r="59" ht="21" customHeight="1">
      <x:c r="A59" s="7" t="str">
        <x:v>cf16f31bc47b681107b5</x:v>
      </x:c>
      <x:c r="B59" s="7" t="str">
        <x:v>E0</x:v>
      </x:c>
      <x:c r="C59" s="7" t="str">
        <x:v>2025/26</x:v>
      </x:c>
      <x:c r="D59" s="8" t="n">
        <x:v>45927</x:v>
      </x:c>
      <x:c r="E59" s="7" t="str">
        <x:v>Leeds</x:v>
      </x:c>
      <x:c r="F59" s="7" t="str">
        <x:v>Bournemouth</x:v>
      </x:c>
      <x:c r="G59" s="7" t="n">
        <x:v>7</x:v>
      </x:c>
      <x:c r="H59" s="7" t="n">
        <x:v>4</x:v>
      </x:c>
      <x:c r="I59" s="7" t="str">
        <x:v>FD_E0_2526</x:v>
      </x:c>
      <x:c r="J59" s="7" t="str">
        <x:v>https://www.football-data.co.uk/mmz4281/2526/E0.csv</x:v>
      </x:c>
      <x:c r="K59" s="8" t="n">
        <x:v>46278.70306712963</x:v>
      </x:c>
      <x:c r="L59" s="7" t="str">
        <x:v>FT90</x:v>
      </x:c>
      <x:c r="M59" s="7" t="str">
        <x:v>CSV row 55</x:v>
      </x:c>
      <x:c r="N59" s="2" t="str">
        <x:f>IF(AND(A59&lt;&gt;"",ISNUMBER(D59)),B59&amp;"|"&amp;C59&amp;"|"&amp;TEXT(D59,"yyyymmdd")&amp;"|"&amp;E59&amp;"|"&amp;F59,"")</x:f>
        <x:v>E0|2025/26|20250927|Leeds|Bournemouth</x:v>
      </x:c>
      <x:c r="O59" s="2" t="str">
        <x:f>IF(A59="","",IFERROR(IF(NOT(AND(B59&lt;&gt;"",C59&lt;&gt;"",ISNUMBER(D59),D59&gt;0,E59&lt;&gt;"",F59&lt;&gt;"",E59&lt;&gt;F59,ISNUMBER(G59),ISNUMBER(H59),G59&gt;=0,H59&gt;=0,G59&lt;=100,H59&lt;=100,MOD(G59,1)=0,MOD(H59,1)=0,L59="FT90",S59&gt;0,INDEX(SourceTable[League],MAX(1,S59))=B59,INDEX(SourceTable[Season],MAX(1,S59))=C59,ISNUMBER(K59),K59=INDEX(SourceTable[Retrieved_UTC],MAX(1,S59)),J59&lt;&gt;"",M59&lt;&gt;"")),"INVALID",IF(OR(COUNTIFS('Istoric_Nativ'!$N$6:$N$405,N59,'Istoric_Nativ'!$G$6:$G$405,G59)&lt;&gt;COUNTIF('Istoric_Nativ'!$N$6:$N$405,N59),COUNTIFS('Istoric_Nativ'!$N$6:$N$405,N59,'Istoric_Nativ'!$H$6:$H$405,H59)&lt;&gt;COUNTIF('Istoric_Nativ'!$N$6:$N$405,N59)),"SOURCE CONFLICT",IF(COUNTIF($N$6:N59,N59)&gt;1,"DUPLICATE","VALID"))),"INVALID"))</x:f>
        <x:v>VALID</x:v>
      </x:c>
      <x:c r="P59" s="2" t="n">
        <x:f>IF(O59="VALID",1,0)</x:f>
        <x:v>1</x:v>
      </x:c>
      <x:c r="Q59" s="2" t="n">
        <x:f>IF(P59=1,G59+H59,0)</x:f>
        <x:v>11</x:v>
      </x:c>
      <x:c r="R59" s="2" t="n">
        <x:f>Q59^2</x:f>
        <x:v>121</x:v>
      </x:c>
      <x:c r="S59" s="2" t="n">
        <x:f>IF(A59="","",IFERROR(MATCH(I59,SourceTable[Source_ID],0),0))</x:f>
        <x:v>1</x:v>
      </x:c>
    </x:row>
    <x:row r="60" ht="21" customHeight="1">
      <x:c r="A60" s="7" t="str">
        <x:v>d2b29ddeddfadbf24b72</x:v>
      </x:c>
      <x:c r="B60" s="7" t="str">
        <x:v>E0</x:v>
      </x:c>
      <x:c r="C60" s="7" t="str">
        <x:v>2025/26</x:v>
      </x:c>
      <x:c r="D60" s="8" t="n">
        <x:v>45927</x:v>
      </x:c>
      <x:c r="E60" s="7" t="str">
        <x:v>Man City</x:v>
      </x:c>
      <x:c r="F60" s="7" t="str">
        <x:v>Burnley</x:v>
      </x:c>
      <x:c r="G60" s="7" t="n">
        <x:v>10</x:v>
      </x:c>
      <x:c r="H60" s="7" t="n">
        <x:v>2</x:v>
      </x:c>
      <x:c r="I60" s="7" t="str">
        <x:v>FD_E0_2526</x:v>
      </x:c>
      <x:c r="J60" s="7" t="str">
        <x:v>https://www.football-data.co.uk/mmz4281/2526/E0.csv</x:v>
      </x:c>
      <x:c r="K60" s="8" t="n">
        <x:v>46278.70306712963</x:v>
      </x:c>
      <x:c r="L60" s="7" t="str">
        <x:v>FT90</x:v>
      </x:c>
      <x:c r="M60" s="7" t="str">
        <x:v>CSV row 56</x:v>
      </x:c>
      <x:c r="N60" s="2" t="str">
        <x:f>IF(AND(A60&lt;&gt;"",ISNUMBER(D60)),B60&amp;"|"&amp;C60&amp;"|"&amp;TEXT(D60,"yyyymmdd")&amp;"|"&amp;E60&amp;"|"&amp;F60,"")</x:f>
        <x:v>E0|2025/26|20250927|Man City|Burnley</x:v>
      </x:c>
      <x:c r="O60" s="2" t="str">
        <x:f>IF(A60="","",IFERROR(IF(NOT(AND(B60&lt;&gt;"",C60&lt;&gt;"",ISNUMBER(D60),D60&gt;0,E60&lt;&gt;"",F60&lt;&gt;"",E60&lt;&gt;F60,ISNUMBER(G60),ISNUMBER(H60),G60&gt;=0,H60&gt;=0,G60&lt;=100,H60&lt;=100,MOD(G60,1)=0,MOD(H60,1)=0,L60="FT90",S60&gt;0,INDEX(SourceTable[League],MAX(1,S60))=B60,INDEX(SourceTable[Season],MAX(1,S60))=C60,ISNUMBER(K60),K60=INDEX(SourceTable[Retrieved_UTC],MAX(1,S60)),J60&lt;&gt;"",M60&lt;&gt;"")),"INVALID",IF(OR(COUNTIFS('Istoric_Nativ'!$N$6:$N$405,N60,'Istoric_Nativ'!$G$6:$G$405,G60)&lt;&gt;COUNTIF('Istoric_Nativ'!$N$6:$N$405,N60),COUNTIFS('Istoric_Nativ'!$N$6:$N$405,N60,'Istoric_Nativ'!$H$6:$H$405,H60)&lt;&gt;COUNTIF('Istoric_Nativ'!$N$6:$N$405,N60)),"SOURCE CONFLICT",IF(COUNTIF($N$6:N60,N60)&gt;1,"DUPLICATE","VALID"))),"INVALID"))</x:f>
        <x:v>VALID</x:v>
      </x:c>
      <x:c r="P60" s="2" t="n">
        <x:f>IF(O60="VALID",1,0)</x:f>
        <x:v>1</x:v>
      </x:c>
      <x:c r="Q60" s="2" t="n">
        <x:f>IF(P60=1,G60+H60,0)</x:f>
        <x:v>12</x:v>
      </x:c>
      <x:c r="R60" s="2" t="n">
        <x:f>Q60^2</x:f>
        <x:v>144</x:v>
      </x:c>
      <x:c r="S60" s="2" t="n">
        <x:f>IF(A60="","",IFERROR(MATCH(I60,SourceTable[Source_ID],0),0))</x:f>
        <x:v>1</x:v>
      </x:c>
    </x:row>
    <x:row r="61" ht="21" customHeight="1">
      <x:c r="A61" s="7" t="str">
        <x:v>c9c741b06a94fb16fea4</x:v>
      </x:c>
      <x:c r="B61" s="7" t="str">
        <x:v>E0</x:v>
      </x:c>
      <x:c r="C61" s="7" t="str">
        <x:v>2025/26</x:v>
      </x:c>
      <x:c r="D61" s="8" t="n">
        <x:v>45927</x:v>
      </x:c>
      <x:c r="E61" s="7" t="str">
        <x:v>Nott'm Forest</x:v>
      </x:c>
      <x:c r="F61" s="7" t="str">
        <x:v>Sunderland</x:v>
      </x:c>
      <x:c r="G61" s="7" t="n">
        <x:v>7</x:v>
      </x:c>
      <x:c r="H61" s="7" t="n">
        <x:v>4</x:v>
      </x:c>
      <x:c r="I61" s="7" t="str">
        <x:v>FD_E0_2526</x:v>
      </x:c>
      <x:c r="J61" s="7" t="str">
        <x:v>https://www.football-data.co.uk/mmz4281/2526/E0.csv</x:v>
      </x:c>
      <x:c r="K61" s="8" t="n">
        <x:v>46278.70306712963</x:v>
      </x:c>
      <x:c r="L61" s="7" t="str">
        <x:v>FT90</x:v>
      </x:c>
      <x:c r="M61" s="7" t="str">
        <x:v>CSV row 57</x:v>
      </x:c>
      <x:c r="N61" s="2" t="str">
        <x:f>IF(AND(A61&lt;&gt;"",ISNUMBER(D61)),B61&amp;"|"&amp;C61&amp;"|"&amp;TEXT(D61,"yyyymmdd")&amp;"|"&amp;E61&amp;"|"&amp;F61,"")</x:f>
        <x:v>E0|2025/26|20250927|Nott'm Forest|Sunderland</x:v>
      </x:c>
      <x:c r="O61" s="2" t="str">
        <x:f>IF(A61="","",IFERROR(IF(NOT(AND(B61&lt;&gt;"",C61&lt;&gt;"",ISNUMBER(D61),D61&gt;0,E61&lt;&gt;"",F61&lt;&gt;"",E61&lt;&gt;F61,ISNUMBER(G61),ISNUMBER(H61),G61&gt;=0,H61&gt;=0,G61&lt;=100,H61&lt;=100,MOD(G61,1)=0,MOD(H61,1)=0,L61="FT90",S61&gt;0,INDEX(SourceTable[League],MAX(1,S61))=B61,INDEX(SourceTable[Season],MAX(1,S61))=C61,ISNUMBER(K61),K61=INDEX(SourceTable[Retrieved_UTC],MAX(1,S61)),J61&lt;&gt;"",M61&lt;&gt;"")),"INVALID",IF(OR(COUNTIFS('Istoric_Nativ'!$N$6:$N$405,N61,'Istoric_Nativ'!$G$6:$G$405,G61)&lt;&gt;COUNTIF('Istoric_Nativ'!$N$6:$N$405,N61),COUNTIFS('Istoric_Nativ'!$N$6:$N$405,N61,'Istoric_Nativ'!$H$6:$H$405,H61)&lt;&gt;COUNTIF('Istoric_Nativ'!$N$6:$N$405,N61)),"SOURCE CONFLICT",IF(COUNTIF($N$6:N61,N61)&gt;1,"DUPLICATE","VALID"))),"INVALID"))</x:f>
        <x:v>VALID</x:v>
      </x:c>
      <x:c r="P61" s="2" t="n">
        <x:f>IF(O61="VALID",1,0)</x:f>
        <x:v>1</x:v>
      </x:c>
      <x:c r="Q61" s="2" t="n">
        <x:f>IF(P61=1,G61+H61,0)</x:f>
        <x:v>11</x:v>
      </x:c>
      <x:c r="R61" s="2" t="n">
        <x:f>Q61^2</x:f>
        <x:v>121</x:v>
      </x:c>
      <x:c r="S61" s="2" t="n">
        <x:f>IF(A61="","",IFERROR(MATCH(I61,SourceTable[Source_ID],0),0))</x:f>
        <x:v>1</x:v>
      </x:c>
    </x:row>
    <x:row r="62" ht="21" customHeight="1">
      <x:c r="A62" s="7" t="str">
        <x:v>87625b348d0c7b229ef4</x:v>
      </x:c>
      <x:c r="B62" s="7" t="str">
        <x:v>E0</x:v>
      </x:c>
      <x:c r="C62" s="7" t="str">
        <x:v>2025/26</x:v>
      </x:c>
      <x:c r="D62" s="8" t="n">
        <x:v>45927</x:v>
      </x:c>
      <x:c r="E62" s="7" t="str">
        <x:v>Tottenham</x:v>
      </x:c>
      <x:c r="F62" s="7" t="str">
        <x:v>Wolves</x:v>
      </x:c>
      <x:c r="G62" s="7" t="n">
        <x:v>10</x:v>
      </x:c>
      <x:c r="H62" s="7" t="n">
        <x:v>9</x:v>
      </x:c>
      <x:c r="I62" s="7" t="str">
        <x:v>FD_E0_2526</x:v>
      </x:c>
      <x:c r="J62" s="7" t="str">
        <x:v>https://www.football-data.co.uk/mmz4281/2526/E0.csv</x:v>
      </x:c>
      <x:c r="K62" s="8" t="n">
        <x:v>46278.70306712963</x:v>
      </x:c>
      <x:c r="L62" s="7" t="str">
        <x:v>FT90</x:v>
      </x:c>
      <x:c r="M62" s="7" t="str">
        <x:v>CSV row 58</x:v>
      </x:c>
      <x:c r="N62" s="2" t="str">
        <x:f>IF(AND(A62&lt;&gt;"",ISNUMBER(D62)),B62&amp;"|"&amp;C62&amp;"|"&amp;TEXT(D62,"yyyymmdd")&amp;"|"&amp;E62&amp;"|"&amp;F62,"")</x:f>
        <x:v>E0|2025/26|20250927|Tottenham|Wolves</x:v>
      </x:c>
      <x:c r="O62" s="2" t="str">
        <x:f>IF(A62="","",IFERROR(IF(NOT(AND(B62&lt;&gt;"",C62&lt;&gt;"",ISNUMBER(D62),D62&gt;0,E62&lt;&gt;"",F62&lt;&gt;"",E62&lt;&gt;F62,ISNUMBER(G62),ISNUMBER(H62),G62&gt;=0,H62&gt;=0,G62&lt;=100,H62&lt;=100,MOD(G62,1)=0,MOD(H62,1)=0,L62="FT90",S62&gt;0,INDEX(SourceTable[League],MAX(1,S62))=B62,INDEX(SourceTable[Season],MAX(1,S62))=C62,ISNUMBER(K62),K62=INDEX(SourceTable[Retrieved_UTC],MAX(1,S62)),J62&lt;&gt;"",M62&lt;&gt;"")),"INVALID",IF(OR(COUNTIFS('Istoric_Nativ'!$N$6:$N$405,N62,'Istoric_Nativ'!$G$6:$G$405,G62)&lt;&gt;COUNTIF('Istoric_Nativ'!$N$6:$N$405,N62),COUNTIFS('Istoric_Nativ'!$N$6:$N$405,N62,'Istoric_Nativ'!$H$6:$H$405,H62)&lt;&gt;COUNTIF('Istoric_Nativ'!$N$6:$N$405,N62)),"SOURCE CONFLICT",IF(COUNTIF($N$6:N62,N62)&gt;1,"DUPLICATE","VALID"))),"INVALID"))</x:f>
        <x:v>VALID</x:v>
      </x:c>
      <x:c r="P62" s="2" t="n">
        <x:f>IF(O62="VALID",1,0)</x:f>
        <x:v>1</x:v>
      </x:c>
      <x:c r="Q62" s="2" t="n">
        <x:f>IF(P62=1,G62+H62,0)</x:f>
        <x:v>19</x:v>
      </x:c>
      <x:c r="R62" s="2" t="n">
        <x:f>Q62^2</x:f>
        <x:v>361</x:v>
      </x:c>
      <x:c r="S62" s="2" t="n">
        <x:f>IF(A62="","",IFERROR(MATCH(I62,SourceTable[Source_ID],0),0))</x:f>
        <x:v>1</x:v>
      </x:c>
    </x:row>
    <x:row r="63" ht="21" customHeight="1">
      <x:c r="A63" s="7" t="str">
        <x:v>62f8d51328c373ed0ffb</x:v>
      </x:c>
      <x:c r="B63" s="7" t="str">
        <x:v>E0</x:v>
      </x:c>
      <x:c r="C63" s="7" t="str">
        <x:v>2025/26</x:v>
      </x:c>
      <x:c r="D63" s="8" t="n">
        <x:v>45928</x:v>
      </x:c>
      <x:c r="E63" s="7" t="str">
        <x:v>Aston Villa</x:v>
      </x:c>
      <x:c r="F63" s="7" t="str">
        <x:v>Fulham</x:v>
      </x:c>
      <x:c r="G63" s="7" t="n">
        <x:v>2</x:v>
      </x:c>
      <x:c r="H63" s="7" t="n">
        <x:v>8</x:v>
      </x:c>
      <x:c r="I63" s="7" t="str">
        <x:v>FD_E0_2526</x:v>
      </x:c>
      <x:c r="J63" s="7" t="str">
        <x:v>https://www.football-data.co.uk/mmz4281/2526/E0.csv</x:v>
      </x:c>
      <x:c r="K63" s="8" t="n">
        <x:v>46278.70306712963</x:v>
      </x:c>
      <x:c r="L63" s="7" t="str">
        <x:v>FT90</x:v>
      </x:c>
      <x:c r="M63" s="7" t="str">
        <x:v>CSV row 59</x:v>
      </x:c>
      <x:c r="N63" s="2" t="str">
        <x:f>IF(AND(A63&lt;&gt;"",ISNUMBER(D63)),B63&amp;"|"&amp;C63&amp;"|"&amp;TEXT(D63,"yyyymmdd")&amp;"|"&amp;E63&amp;"|"&amp;F63,"")</x:f>
        <x:v>E0|2025/26|20250928|Aston Villa|Fulham</x:v>
      </x:c>
      <x:c r="O63" s="2" t="str">
        <x:f>IF(A63="","",IFERROR(IF(NOT(AND(B63&lt;&gt;"",C63&lt;&gt;"",ISNUMBER(D63),D63&gt;0,E63&lt;&gt;"",F63&lt;&gt;"",E63&lt;&gt;F63,ISNUMBER(G63),ISNUMBER(H63),G63&gt;=0,H63&gt;=0,G63&lt;=100,H63&lt;=100,MOD(G63,1)=0,MOD(H63,1)=0,L63="FT90",S63&gt;0,INDEX(SourceTable[League],MAX(1,S63))=B63,INDEX(SourceTable[Season],MAX(1,S63))=C63,ISNUMBER(K63),K63=INDEX(SourceTable[Retrieved_UTC],MAX(1,S63)),J63&lt;&gt;"",M63&lt;&gt;"")),"INVALID",IF(OR(COUNTIFS('Istoric_Nativ'!$N$6:$N$405,N63,'Istoric_Nativ'!$G$6:$G$405,G63)&lt;&gt;COUNTIF('Istoric_Nativ'!$N$6:$N$405,N63),COUNTIFS('Istoric_Nativ'!$N$6:$N$405,N63,'Istoric_Nativ'!$H$6:$H$405,H63)&lt;&gt;COUNTIF('Istoric_Nativ'!$N$6:$N$405,N63)),"SOURCE CONFLICT",IF(COUNTIF($N$6:N63,N63)&gt;1,"DUPLICATE","VALID"))),"INVALID"))</x:f>
        <x:v>VALID</x:v>
      </x:c>
      <x:c r="P63" s="2" t="n">
        <x:f>IF(O63="VALID",1,0)</x:f>
        <x:v>1</x:v>
      </x:c>
      <x:c r="Q63" s="2" t="n">
        <x:f>IF(P63=1,G63+H63,0)</x:f>
        <x:v>10</x:v>
      </x:c>
      <x:c r="R63" s="2" t="n">
        <x:f>Q63^2</x:f>
        <x:v>100</x:v>
      </x:c>
      <x:c r="S63" s="2" t="n">
        <x:f>IF(A63="","",IFERROR(MATCH(I63,SourceTable[Source_ID],0),0))</x:f>
        <x:v>1</x:v>
      </x:c>
    </x:row>
    <x:row r="64" ht="21" customHeight="1">
      <x:c r="A64" s="7" t="str">
        <x:v>d63b40126cf79c77cbf2</x:v>
      </x:c>
      <x:c r="B64" s="7" t="str">
        <x:v>E0</x:v>
      </x:c>
      <x:c r="C64" s="7" t="str">
        <x:v>2025/26</x:v>
      </x:c>
      <x:c r="D64" s="8" t="n">
        <x:v>45928</x:v>
      </x:c>
      <x:c r="E64" s="7" t="str">
        <x:v>Newcastle</x:v>
      </x:c>
      <x:c r="F64" s="7" t="str">
        <x:v>Arsenal</x:v>
      </x:c>
      <x:c r="G64" s="7" t="n">
        <x:v>7</x:v>
      </x:c>
      <x:c r="H64" s="7" t="n">
        <x:v>12</x:v>
      </x:c>
      <x:c r="I64" s="7" t="str">
        <x:v>FD_E0_2526</x:v>
      </x:c>
      <x:c r="J64" s="7" t="str">
        <x:v>https://www.football-data.co.uk/mmz4281/2526/E0.csv</x:v>
      </x:c>
      <x:c r="K64" s="8" t="n">
        <x:v>46278.70306712963</x:v>
      </x:c>
      <x:c r="L64" s="7" t="str">
        <x:v>FT90</x:v>
      </x:c>
      <x:c r="M64" s="7" t="str">
        <x:v>CSV row 60</x:v>
      </x:c>
      <x:c r="N64" s="2" t="str">
        <x:f>IF(AND(A64&lt;&gt;"",ISNUMBER(D64)),B64&amp;"|"&amp;C64&amp;"|"&amp;TEXT(D64,"yyyymmdd")&amp;"|"&amp;E64&amp;"|"&amp;F64,"")</x:f>
        <x:v>E0|2025/26|20250928|Newcastle|Arsenal</x:v>
      </x:c>
      <x:c r="O64" s="2" t="str">
        <x:f>IF(A64="","",IFERROR(IF(NOT(AND(B64&lt;&gt;"",C64&lt;&gt;"",ISNUMBER(D64),D64&gt;0,E64&lt;&gt;"",F64&lt;&gt;"",E64&lt;&gt;F64,ISNUMBER(G64),ISNUMBER(H64),G64&gt;=0,H64&gt;=0,G64&lt;=100,H64&lt;=100,MOD(G64,1)=0,MOD(H64,1)=0,L64="FT90",S64&gt;0,INDEX(SourceTable[League],MAX(1,S64))=B64,INDEX(SourceTable[Season],MAX(1,S64))=C64,ISNUMBER(K64),K64=INDEX(SourceTable[Retrieved_UTC],MAX(1,S64)),J64&lt;&gt;"",M64&lt;&gt;"")),"INVALID",IF(OR(COUNTIFS('Istoric_Nativ'!$N$6:$N$405,N64,'Istoric_Nativ'!$G$6:$G$405,G64)&lt;&gt;COUNTIF('Istoric_Nativ'!$N$6:$N$405,N64),COUNTIFS('Istoric_Nativ'!$N$6:$N$405,N64,'Istoric_Nativ'!$H$6:$H$405,H64)&lt;&gt;COUNTIF('Istoric_Nativ'!$N$6:$N$405,N64)),"SOURCE CONFLICT",IF(COUNTIF($N$6:N64,N64)&gt;1,"DUPLICATE","VALID"))),"INVALID"))</x:f>
        <x:v>VALID</x:v>
      </x:c>
      <x:c r="P64" s="2" t="n">
        <x:f>IF(O64="VALID",1,0)</x:f>
        <x:v>1</x:v>
      </x:c>
      <x:c r="Q64" s="2" t="n">
        <x:f>IF(P64=1,G64+H64,0)</x:f>
        <x:v>19</x:v>
      </x:c>
      <x:c r="R64" s="2" t="n">
        <x:f>Q64^2</x:f>
        <x:v>361</x:v>
      </x:c>
      <x:c r="S64" s="2" t="n">
        <x:f>IF(A64="","",IFERROR(MATCH(I64,SourceTable[Source_ID],0),0))</x:f>
        <x:v>1</x:v>
      </x:c>
    </x:row>
    <x:row r="65" ht="21" customHeight="1">
      <x:c r="A65" s="7" t="str">
        <x:v>91cd4f782bc9e9205237</x:v>
      </x:c>
      <x:c r="B65" s="7" t="str">
        <x:v>E0</x:v>
      </x:c>
      <x:c r="C65" s="7" t="str">
        <x:v>2025/26</x:v>
      </x:c>
      <x:c r="D65" s="8" t="n">
        <x:v>45929</x:v>
      </x:c>
      <x:c r="E65" s="7" t="str">
        <x:v>Everton</x:v>
      </x:c>
      <x:c r="F65" s="7" t="str">
        <x:v>West Ham</x:v>
      </x:c>
      <x:c r="G65" s="7" t="n">
        <x:v>3</x:v>
      </x:c>
      <x:c r="H65" s="7" t="n">
        <x:v>5</x:v>
      </x:c>
      <x:c r="I65" s="7" t="str">
        <x:v>FD_E0_2526</x:v>
      </x:c>
      <x:c r="J65" s="7" t="str">
        <x:v>https://www.football-data.co.uk/mmz4281/2526/E0.csv</x:v>
      </x:c>
      <x:c r="K65" s="8" t="n">
        <x:v>46278.70306712963</x:v>
      </x:c>
      <x:c r="L65" s="7" t="str">
        <x:v>FT90</x:v>
      </x:c>
      <x:c r="M65" s="7" t="str">
        <x:v>CSV row 61</x:v>
      </x:c>
      <x:c r="N65" s="2" t="str">
        <x:f>IF(AND(A65&lt;&gt;"",ISNUMBER(D65)),B65&amp;"|"&amp;C65&amp;"|"&amp;TEXT(D65,"yyyymmdd")&amp;"|"&amp;E65&amp;"|"&amp;F65,"")</x:f>
        <x:v>E0|2025/26|20250929|Everton|West Ham</x:v>
      </x:c>
      <x:c r="O65" s="2" t="str">
        <x:f>IF(A65="","",IFERROR(IF(NOT(AND(B65&lt;&gt;"",C65&lt;&gt;"",ISNUMBER(D65),D65&gt;0,E65&lt;&gt;"",F65&lt;&gt;"",E65&lt;&gt;F65,ISNUMBER(G65),ISNUMBER(H65),G65&gt;=0,H65&gt;=0,G65&lt;=100,H65&lt;=100,MOD(G65,1)=0,MOD(H65,1)=0,L65="FT90",S65&gt;0,INDEX(SourceTable[League],MAX(1,S65))=B65,INDEX(SourceTable[Season],MAX(1,S65))=C65,ISNUMBER(K65),K65=INDEX(SourceTable[Retrieved_UTC],MAX(1,S65)),J65&lt;&gt;"",M65&lt;&gt;"")),"INVALID",IF(OR(COUNTIFS('Istoric_Nativ'!$N$6:$N$405,N65,'Istoric_Nativ'!$G$6:$G$405,G65)&lt;&gt;COUNTIF('Istoric_Nativ'!$N$6:$N$405,N65),COUNTIFS('Istoric_Nativ'!$N$6:$N$405,N65,'Istoric_Nativ'!$H$6:$H$405,H65)&lt;&gt;COUNTIF('Istoric_Nativ'!$N$6:$N$405,N65)),"SOURCE CONFLICT",IF(COUNTIF($N$6:N65,N65)&gt;1,"DUPLICATE","VALID"))),"INVALID"))</x:f>
        <x:v>VALID</x:v>
      </x:c>
      <x:c r="P65" s="2" t="n">
        <x:f>IF(O65="VALID",1,0)</x:f>
        <x:v>1</x:v>
      </x:c>
      <x:c r="Q65" s="2" t="n">
        <x:f>IF(P65=1,G65+H65,0)</x:f>
        <x:v>8</x:v>
      </x:c>
      <x:c r="R65" s="2" t="n">
        <x:f>Q65^2</x:f>
        <x:v>64</x:v>
      </x:c>
      <x:c r="S65" s="2" t="n">
        <x:f>IF(A65="","",IFERROR(MATCH(I65,SourceTable[Source_ID],0),0))</x:f>
        <x:v>1</x:v>
      </x:c>
    </x:row>
    <x:row r="66" ht="21" customHeight="1">
      <x:c r="A66" s="7" t="str">
        <x:v>34a3a55142d58df6f68a</x:v>
      </x:c>
      <x:c r="B66" s="7" t="str">
        <x:v>E0</x:v>
      </x:c>
      <x:c r="C66" s="7" t="str">
        <x:v>2025/26</x:v>
      </x:c>
      <x:c r="D66" s="8" t="n">
        <x:v>45933</x:v>
      </x:c>
      <x:c r="E66" s="7" t="str">
        <x:v>Bournemouth</x:v>
      </x:c>
      <x:c r="F66" s="7" t="str">
        <x:v>Fulham</x:v>
      </x:c>
      <x:c r="G66" s="7" t="n">
        <x:v>4</x:v>
      </x:c>
      <x:c r="H66" s="7" t="n">
        <x:v>3</x:v>
      </x:c>
      <x:c r="I66" s="7" t="str">
        <x:v>FD_E0_2526</x:v>
      </x:c>
      <x:c r="J66" s="7" t="str">
        <x:v>https://www.football-data.co.uk/mmz4281/2526/E0.csv</x:v>
      </x:c>
      <x:c r="K66" s="8" t="n">
        <x:v>46278.70306712963</x:v>
      </x:c>
      <x:c r="L66" s="7" t="str">
        <x:v>FT90</x:v>
      </x:c>
      <x:c r="M66" s="7" t="str">
        <x:v>CSV row 62</x:v>
      </x:c>
      <x:c r="N66" s="2" t="str">
        <x:f>IF(AND(A66&lt;&gt;"",ISNUMBER(D66)),B66&amp;"|"&amp;C66&amp;"|"&amp;TEXT(D66,"yyyymmdd")&amp;"|"&amp;E66&amp;"|"&amp;F66,"")</x:f>
        <x:v>E0|2025/26|20251003|Bournemouth|Fulham</x:v>
      </x:c>
      <x:c r="O66" s="2" t="str">
        <x:f>IF(A66="","",IFERROR(IF(NOT(AND(B66&lt;&gt;"",C66&lt;&gt;"",ISNUMBER(D66),D66&gt;0,E66&lt;&gt;"",F66&lt;&gt;"",E66&lt;&gt;F66,ISNUMBER(G66),ISNUMBER(H66),G66&gt;=0,H66&gt;=0,G66&lt;=100,H66&lt;=100,MOD(G66,1)=0,MOD(H66,1)=0,L66="FT90",S66&gt;0,INDEX(SourceTable[League],MAX(1,S66))=B66,INDEX(SourceTable[Season],MAX(1,S66))=C66,ISNUMBER(K66),K66=INDEX(SourceTable[Retrieved_UTC],MAX(1,S66)),J66&lt;&gt;"",M66&lt;&gt;"")),"INVALID",IF(OR(COUNTIFS('Istoric_Nativ'!$N$6:$N$405,N66,'Istoric_Nativ'!$G$6:$G$405,G66)&lt;&gt;COUNTIF('Istoric_Nativ'!$N$6:$N$405,N66),COUNTIFS('Istoric_Nativ'!$N$6:$N$405,N66,'Istoric_Nativ'!$H$6:$H$405,H66)&lt;&gt;COUNTIF('Istoric_Nativ'!$N$6:$N$405,N66)),"SOURCE CONFLICT",IF(COUNTIF($N$6:N66,N66)&gt;1,"DUPLICATE","VALID"))),"INVALID"))</x:f>
        <x:v>VALID</x:v>
      </x:c>
      <x:c r="P66" s="2" t="n">
        <x:f>IF(O66="VALID",1,0)</x:f>
        <x:v>1</x:v>
      </x:c>
      <x:c r="Q66" s="2" t="n">
        <x:f>IF(P66=1,G66+H66,0)</x:f>
        <x:v>7</x:v>
      </x:c>
      <x:c r="R66" s="2" t="n">
        <x:f>Q66^2</x:f>
        <x:v>49</x:v>
      </x:c>
      <x:c r="S66" s="2" t="n">
        <x:f>IF(A66="","",IFERROR(MATCH(I66,SourceTable[Source_ID],0),0))</x:f>
        <x:v>1</x:v>
      </x:c>
    </x:row>
    <x:row r="67" ht="21" customHeight="1">
      <x:c r="A67" s="7" t="str">
        <x:v>7ccba4a8b0cb26f3a9d4</x:v>
      </x:c>
      <x:c r="B67" s="7" t="str">
        <x:v>E0</x:v>
      </x:c>
      <x:c r="C67" s="7" t="str">
        <x:v>2025/26</x:v>
      </x:c>
      <x:c r="D67" s="8" t="n">
        <x:v>45934</x:v>
      </x:c>
      <x:c r="E67" s="7" t="str">
        <x:v>Arsenal</x:v>
      </x:c>
      <x:c r="F67" s="7" t="str">
        <x:v>West Ham</x:v>
      </x:c>
      <x:c r="G67" s="7" t="n">
        <x:v>8</x:v>
      </x:c>
      <x:c r="H67" s="7" t="n">
        <x:v>3</x:v>
      </x:c>
      <x:c r="I67" s="7" t="str">
        <x:v>FD_E0_2526</x:v>
      </x:c>
      <x:c r="J67" s="7" t="str">
        <x:v>https://www.football-data.co.uk/mmz4281/2526/E0.csv</x:v>
      </x:c>
      <x:c r="K67" s="8" t="n">
        <x:v>46278.70306712963</x:v>
      </x:c>
      <x:c r="L67" s="7" t="str">
        <x:v>FT90</x:v>
      </x:c>
      <x:c r="M67" s="7" t="str">
        <x:v>CSV row 64</x:v>
      </x:c>
      <x:c r="N67" s="2" t="str">
        <x:f>IF(AND(A67&lt;&gt;"",ISNUMBER(D67)),B67&amp;"|"&amp;C67&amp;"|"&amp;TEXT(D67,"yyyymmdd")&amp;"|"&amp;E67&amp;"|"&amp;F67,"")</x:f>
        <x:v>E0|2025/26|20251004|Arsenal|West Ham</x:v>
      </x:c>
      <x:c r="O67" s="2" t="str">
        <x:f>IF(A67="","",IFERROR(IF(NOT(AND(B67&lt;&gt;"",C67&lt;&gt;"",ISNUMBER(D67),D67&gt;0,E67&lt;&gt;"",F67&lt;&gt;"",E67&lt;&gt;F67,ISNUMBER(G67),ISNUMBER(H67),G67&gt;=0,H67&gt;=0,G67&lt;=100,H67&lt;=100,MOD(G67,1)=0,MOD(H67,1)=0,L67="FT90",S67&gt;0,INDEX(SourceTable[League],MAX(1,S67))=B67,INDEX(SourceTable[Season],MAX(1,S67))=C67,ISNUMBER(K67),K67=INDEX(SourceTable[Retrieved_UTC],MAX(1,S67)),J67&lt;&gt;"",M67&lt;&gt;"")),"INVALID",IF(OR(COUNTIFS('Istoric_Nativ'!$N$6:$N$405,N67,'Istoric_Nativ'!$G$6:$G$405,G67)&lt;&gt;COUNTIF('Istoric_Nativ'!$N$6:$N$405,N67),COUNTIFS('Istoric_Nativ'!$N$6:$N$405,N67,'Istoric_Nativ'!$H$6:$H$405,H67)&lt;&gt;COUNTIF('Istoric_Nativ'!$N$6:$N$405,N67)),"SOURCE CONFLICT",IF(COUNTIF($N$6:N67,N67)&gt;1,"DUPLICATE","VALID"))),"INVALID"))</x:f>
        <x:v>VALID</x:v>
      </x:c>
      <x:c r="P67" s="2" t="n">
        <x:f>IF(O67="VALID",1,0)</x:f>
        <x:v>1</x:v>
      </x:c>
      <x:c r="Q67" s="2" t="n">
        <x:f>IF(P67=1,G67+H67,0)</x:f>
        <x:v>11</x:v>
      </x:c>
      <x:c r="R67" s="2" t="n">
        <x:f>Q67^2</x:f>
        <x:v>121</x:v>
      </x:c>
      <x:c r="S67" s="2" t="n">
        <x:f>IF(A67="","",IFERROR(MATCH(I67,SourceTable[Source_ID],0),0))</x:f>
        <x:v>1</x:v>
      </x:c>
    </x:row>
    <x:row r="68" ht="21" customHeight="1">
      <x:c r="A68" s="7" t="str">
        <x:v>2fdd3a7275da4ce50251</x:v>
      </x:c>
      <x:c r="B68" s="7" t="str">
        <x:v>E0</x:v>
      </x:c>
      <x:c r="C68" s="7" t="str">
        <x:v>2025/26</x:v>
      </x:c>
      <x:c r="D68" s="8" t="n">
        <x:v>45934</x:v>
      </x:c>
      <x:c r="E68" s="7" t="str">
        <x:v>Chelsea</x:v>
      </x:c>
      <x:c r="F68" s="7" t="str">
        <x:v>Liverpool</x:v>
      </x:c>
      <x:c r="G68" s="7" t="n">
        <x:v>7</x:v>
      </x:c>
      <x:c r="H68" s="7" t="n">
        <x:v>2</x:v>
      </x:c>
      <x:c r="I68" s="7" t="str">
        <x:v>FD_E0_2526</x:v>
      </x:c>
      <x:c r="J68" s="7" t="str">
        <x:v>https://www.football-data.co.uk/mmz4281/2526/E0.csv</x:v>
      </x:c>
      <x:c r="K68" s="8" t="n">
        <x:v>46278.70306712963</x:v>
      </x:c>
      <x:c r="L68" s="7" t="str">
        <x:v>FT90</x:v>
      </x:c>
      <x:c r="M68" s="7" t="str">
        <x:v>CSV row 66</x:v>
      </x:c>
      <x:c r="N68" s="2" t="str">
        <x:f>IF(AND(A68&lt;&gt;"",ISNUMBER(D68)),B68&amp;"|"&amp;C68&amp;"|"&amp;TEXT(D68,"yyyymmdd")&amp;"|"&amp;E68&amp;"|"&amp;F68,"")</x:f>
        <x:v>E0|2025/26|20251004|Chelsea|Liverpool</x:v>
      </x:c>
      <x:c r="O68" s="2" t="str">
        <x:f>IF(A68="","",IFERROR(IF(NOT(AND(B68&lt;&gt;"",C68&lt;&gt;"",ISNUMBER(D68),D68&gt;0,E68&lt;&gt;"",F68&lt;&gt;"",E68&lt;&gt;F68,ISNUMBER(G68),ISNUMBER(H68),G68&gt;=0,H68&gt;=0,G68&lt;=100,H68&lt;=100,MOD(G68,1)=0,MOD(H68,1)=0,L68="FT90",S68&gt;0,INDEX(SourceTable[League],MAX(1,S68))=B68,INDEX(SourceTable[Season],MAX(1,S68))=C68,ISNUMBER(K68),K68=INDEX(SourceTable[Retrieved_UTC],MAX(1,S68)),J68&lt;&gt;"",M68&lt;&gt;"")),"INVALID",IF(OR(COUNTIFS('Istoric_Nativ'!$N$6:$N$405,N68,'Istoric_Nativ'!$G$6:$G$405,G68)&lt;&gt;COUNTIF('Istoric_Nativ'!$N$6:$N$405,N68),COUNTIFS('Istoric_Nativ'!$N$6:$N$405,N68,'Istoric_Nativ'!$H$6:$H$405,H68)&lt;&gt;COUNTIF('Istoric_Nativ'!$N$6:$N$405,N68)),"SOURCE CONFLICT",IF(COUNTIF($N$6:N68,N68)&gt;1,"DUPLICATE","VALID"))),"INVALID"))</x:f>
        <x:v>VALID</x:v>
      </x:c>
      <x:c r="P68" s="2" t="n">
        <x:f>IF(O68="VALID",1,0)</x:f>
        <x:v>1</x:v>
      </x:c>
      <x:c r="Q68" s="2" t="n">
        <x:f>IF(P68=1,G68+H68,0)</x:f>
        <x:v>9</x:v>
      </x:c>
      <x:c r="R68" s="2" t="n">
        <x:f>Q68^2</x:f>
        <x:v>81</x:v>
      </x:c>
      <x:c r="S68" s="2" t="n">
        <x:f>IF(A68="","",IFERROR(MATCH(I68,SourceTable[Source_ID],0),0))</x:f>
        <x:v>1</x:v>
      </x:c>
    </x:row>
    <x:row r="69" ht="21" customHeight="1">
      <x:c r="A69" s="7" t="str">
        <x:v>905f9b270152608b5b2c</x:v>
      </x:c>
      <x:c r="B69" s="7" t="str">
        <x:v>E0</x:v>
      </x:c>
      <x:c r="C69" s="7" t="str">
        <x:v>2025/26</x:v>
      </x:c>
      <x:c r="D69" s="8" t="n">
        <x:v>45934</x:v>
      </x:c>
      <x:c r="E69" s="7" t="str">
        <x:v>Leeds</x:v>
      </x:c>
      <x:c r="F69" s="7" t="str">
        <x:v>Tottenham</x:v>
      </x:c>
      <x:c r="G69" s="7" t="n">
        <x:v>4</x:v>
      </x:c>
      <x:c r="H69" s="7" t="n">
        <x:v>1</x:v>
      </x:c>
      <x:c r="I69" s="7" t="str">
        <x:v>FD_E0_2526</x:v>
      </x:c>
      <x:c r="J69" s="7" t="str">
        <x:v>https://www.football-data.co.uk/mmz4281/2526/E0.csv</x:v>
      </x:c>
      <x:c r="K69" s="8" t="n">
        <x:v>46278.70306712963</x:v>
      </x:c>
      <x:c r="L69" s="7" t="str">
        <x:v>FT90</x:v>
      </x:c>
      <x:c r="M69" s="7" t="str">
        <x:v>CSV row 63</x:v>
      </x:c>
      <x:c r="N69" s="2" t="str">
        <x:f>IF(AND(A69&lt;&gt;"",ISNUMBER(D69)),B69&amp;"|"&amp;C69&amp;"|"&amp;TEXT(D69,"yyyymmdd")&amp;"|"&amp;E69&amp;"|"&amp;F69,"")</x:f>
        <x:v>E0|2025/26|20251004|Leeds|Tottenham</x:v>
      </x:c>
      <x:c r="O69" s="2" t="str">
        <x:f>IF(A69="","",IFERROR(IF(NOT(AND(B69&lt;&gt;"",C69&lt;&gt;"",ISNUMBER(D69),D69&gt;0,E69&lt;&gt;"",F69&lt;&gt;"",E69&lt;&gt;F69,ISNUMBER(G69),ISNUMBER(H69),G69&gt;=0,H69&gt;=0,G69&lt;=100,H69&lt;=100,MOD(G69,1)=0,MOD(H69,1)=0,L69="FT90",S69&gt;0,INDEX(SourceTable[League],MAX(1,S69))=B69,INDEX(SourceTable[Season],MAX(1,S69))=C69,ISNUMBER(K69),K69=INDEX(SourceTable[Retrieved_UTC],MAX(1,S69)),J69&lt;&gt;"",M69&lt;&gt;"")),"INVALID",IF(OR(COUNTIFS('Istoric_Nativ'!$N$6:$N$405,N69,'Istoric_Nativ'!$G$6:$G$405,G69)&lt;&gt;COUNTIF('Istoric_Nativ'!$N$6:$N$405,N69),COUNTIFS('Istoric_Nativ'!$N$6:$N$405,N69,'Istoric_Nativ'!$H$6:$H$405,H69)&lt;&gt;COUNTIF('Istoric_Nativ'!$N$6:$N$405,N69)),"SOURCE CONFLICT",IF(COUNTIF($N$6:N69,N69)&gt;1,"DUPLICATE","VALID"))),"INVALID"))</x:f>
        <x:v>VALID</x:v>
      </x:c>
      <x:c r="P69" s="2" t="n">
        <x:f>IF(O69="VALID",1,0)</x:f>
        <x:v>1</x:v>
      </x:c>
      <x:c r="Q69" s="2" t="n">
        <x:f>IF(P69=1,G69+H69,0)</x:f>
        <x:v>5</x:v>
      </x:c>
      <x:c r="R69" s="2" t="n">
        <x:f>Q69^2</x:f>
        <x:v>25</x:v>
      </x:c>
      <x:c r="S69" s="2" t="n">
        <x:f>IF(A69="","",IFERROR(MATCH(I69,SourceTable[Source_ID],0),0))</x:f>
        <x:v>1</x:v>
      </x:c>
    </x:row>
    <x:row r="70" ht="21" customHeight="1">
      <x:c r="A70" s="7" t="str">
        <x:v>f2c4397af4f6c420d71f</x:v>
      </x:c>
      <x:c r="B70" s="7" t="str">
        <x:v>E0</x:v>
      </x:c>
      <x:c r="C70" s="7" t="str">
        <x:v>2025/26</x:v>
      </x:c>
      <x:c r="D70" s="8" t="n">
        <x:v>45934</x:v>
      </x:c>
      <x:c r="E70" s="7" t="str">
        <x:v>Man United</x:v>
      </x:c>
      <x:c r="F70" s="7" t="str">
        <x:v>Sunderland</x:v>
      </x:c>
      <x:c r="G70" s="7" t="n">
        <x:v>2</x:v>
      </x:c>
      <x:c r="H70" s="7" t="n">
        <x:v>3</x:v>
      </x:c>
      <x:c r="I70" s="7" t="str">
        <x:v>FD_E0_2526</x:v>
      </x:c>
      <x:c r="J70" s="7" t="str">
        <x:v>https://www.football-data.co.uk/mmz4281/2526/E0.csv</x:v>
      </x:c>
      <x:c r="K70" s="8" t="n">
        <x:v>46278.70306712963</x:v>
      </x:c>
      <x:c r="L70" s="7" t="str">
        <x:v>FT90</x:v>
      </x:c>
      <x:c r="M70" s="7" t="str">
        <x:v>CSV row 65</x:v>
      </x:c>
      <x:c r="N70" s="2" t="str">
        <x:f>IF(AND(A70&lt;&gt;"",ISNUMBER(D70)),B70&amp;"|"&amp;C70&amp;"|"&amp;TEXT(D70,"yyyymmdd")&amp;"|"&amp;E70&amp;"|"&amp;F70,"")</x:f>
        <x:v>E0|2025/26|20251004|Man United|Sunderland</x:v>
      </x:c>
      <x:c r="O70" s="2" t="str">
        <x:f>IF(A70="","",IFERROR(IF(NOT(AND(B70&lt;&gt;"",C70&lt;&gt;"",ISNUMBER(D70),D70&gt;0,E70&lt;&gt;"",F70&lt;&gt;"",E70&lt;&gt;F70,ISNUMBER(G70),ISNUMBER(H70),G70&gt;=0,H70&gt;=0,G70&lt;=100,H70&lt;=100,MOD(G70,1)=0,MOD(H70,1)=0,L70="FT90",S70&gt;0,INDEX(SourceTable[League],MAX(1,S70))=B70,INDEX(SourceTable[Season],MAX(1,S70))=C70,ISNUMBER(K70),K70=INDEX(SourceTable[Retrieved_UTC],MAX(1,S70)),J70&lt;&gt;"",M70&lt;&gt;"")),"INVALID",IF(OR(COUNTIFS('Istoric_Nativ'!$N$6:$N$405,N70,'Istoric_Nativ'!$G$6:$G$405,G70)&lt;&gt;COUNTIF('Istoric_Nativ'!$N$6:$N$405,N70),COUNTIFS('Istoric_Nativ'!$N$6:$N$405,N70,'Istoric_Nativ'!$H$6:$H$405,H70)&lt;&gt;COUNTIF('Istoric_Nativ'!$N$6:$N$405,N70)),"SOURCE CONFLICT",IF(COUNTIF($N$6:N70,N70)&gt;1,"DUPLICATE","VALID"))),"INVALID"))</x:f>
        <x:v>VALID</x:v>
      </x:c>
      <x:c r="P70" s="2" t="n">
        <x:f>IF(O70="VALID",1,0)</x:f>
        <x:v>1</x:v>
      </x:c>
      <x:c r="Q70" s="2" t="n">
        <x:f>IF(P70=1,G70+H70,0)</x:f>
        <x:v>5</x:v>
      </x:c>
      <x:c r="R70" s="2" t="n">
        <x:f>Q70^2</x:f>
        <x:v>25</x:v>
      </x:c>
      <x:c r="S70" s="2" t="n">
        <x:f>IF(A70="","",IFERROR(MATCH(I70,SourceTable[Source_ID],0),0))</x:f>
        <x:v>1</x:v>
      </x:c>
    </x:row>
    <x:row r="71" ht="21" customHeight="1">
      <x:c r="A71" s="7" t="str">
        <x:v>decb2c884d4c901194a3</x:v>
      </x:c>
      <x:c r="B71" s="7" t="str">
        <x:v>E0</x:v>
      </x:c>
      <x:c r="C71" s="7" t="str">
        <x:v>2025/26</x:v>
      </x:c>
      <x:c r="D71" s="8" t="n">
        <x:v>45935</x:v>
      </x:c>
      <x:c r="E71" s="7" t="str">
        <x:v>Aston Villa</x:v>
      </x:c>
      <x:c r="F71" s="7" t="str">
        <x:v>Burnley</x:v>
      </x:c>
      <x:c r="G71" s="7" t="n">
        <x:v>6</x:v>
      </x:c>
      <x:c r="H71" s="7" t="n">
        <x:v>4</x:v>
      </x:c>
      <x:c r="I71" s="7" t="str">
        <x:v>FD_E0_2526</x:v>
      </x:c>
      <x:c r="J71" s="7" t="str">
        <x:v>https://www.football-data.co.uk/mmz4281/2526/E0.csv</x:v>
      </x:c>
      <x:c r="K71" s="8" t="n">
        <x:v>46278.70306712963</x:v>
      </x:c>
      <x:c r="L71" s="7" t="str">
        <x:v>FT90</x:v>
      </x:c>
      <x:c r="M71" s="7" t="str">
        <x:v>CSV row 67</x:v>
      </x:c>
      <x:c r="N71" s="2" t="str">
        <x:f>IF(AND(A71&lt;&gt;"",ISNUMBER(D71)),B71&amp;"|"&amp;C71&amp;"|"&amp;TEXT(D71,"yyyymmdd")&amp;"|"&amp;E71&amp;"|"&amp;F71,"")</x:f>
        <x:v>E0|2025/26|20251005|Aston Villa|Burnley</x:v>
      </x:c>
      <x:c r="O71" s="2" t="str">
        <x:f>IF(A71="","",IFERROR(IF(NOT(AND(B71&lt;&gt;"",C71&lt;&gt;"",ISNUMBER(D71),D71&gt;0,E71&lt;&gt;"",F71&lt;&gt;"",E71&lt;&gt;F71,ISNUMBER(G71),ISNUMBER(H71),G71&gt;=0,H71&gt;=0,G71&lt;=100,H71&lt;=100,MOD(G71,1)=0,MOD(H71,1)=0,L71="FT90",S71&gt;0,INDEX(SourceTable[League],MAX(1,S71))=B71,INDEX(SourceTable[Season],MAX(1,S71))=C71,ISNUMBER(K71),K71=INDEX(SourceTable[Retrieved_UTC],MAX(1,S71)),J71&lt;&gt;"",M71&lt;&gt;"")),"INVALID",IF(OR(COUNTIFS('Istoric_Nativ'!$N$6:$N$405,N71,'Istoric_Nativ'!$G$6:$G$405,G71)&lt;&gt;COUNTIF('Istoric_Nativ'!$N$6:$N$405,N71),COUNTIFS('Istoric_Nativ'!$N$6:$N$405,N71,'Istoric_Nativ'!$H$6:$H$405,H71)&lt;&gt;COUNTIF('Istoric_Nativ'!$N$6:$N$405,N71)),"SOURCE CONFLICT",IF(COUNTIF($N$6:N71,N71)&gt;1,"DUPLICATE","VALID"))),"INVALID"))</x:f>
        <x:v>VALID</x:v>
      </x:c>
      <x:c r="P71" s="2" t="n">
        <x:f>IF(O71="VALID",1,0)</x:f>
        <x:v>1</x:v>
      </x:c>
      <x:c r="Q71" s="2" t="n">
        <x:f>IF(P71=1,G71+H71,0)</x:f>
        <x:v>10</x:v>
      </x:c>
      <x:c r="R71" s="2" t="n">
        <x:f>Q71^2</x:f>
        <x:v>100</x:v>
      </x:c>
      <x:c r="S71" s="2" t="n">
        <x:f>IF(A71="","",IFERROR(MATCH(I71,SourceTable[Source_ID],0),0))</x:f>
        <x:v>1</x:v>
      </x:c>
    </x:row>
    <x:row r="72" ht="21" customHeight="1">
      <x:c r="A72" s="7" t="str">
        <x:v>f0d73fdb0e897f951e47</x:v>
      </x:c>
      <x:c r="B72" s="7" t="str">
        <x:v>E0</x:v>
      </x:c>
      <x:c r="C72" s="7" t="str">
        <x:v>2025/26</x:v>
      </x:c>
      <x:c r="D72" s="8" t="n">
        <x:v>45935</x:v>
      </x:c>
      <x:c r="E72" s="7" t="str">
        <x:v>Brentford</x:v>
      </x:c>
      <x:c r="F72" s="7" t="str">
        <x:v>Man City</x:v>
      </x:c>
      <x:c r="G72" s="7" t="n">
        <x:v>3</x:v>
      </x:c>
      <x:c r="H72" s="7" t="n">
        <x:v>2</x:v>
      </x:c>
      <x:c r="I72" s="7" t="str">
        <x:v>FD_E0_2526</x:v>
      </x:c>
      <x:c r="J72" s="7" t="str">
        <x:v>https://www.football-data.co.uk/mmz4281/2526/E0.csv</x:v>
      </x:c>
      <x:c r="K72" s="8" t="n">
        <x:v>46278.70306712963</x:v>
      </x:c>
      <x:c r="L72" s="7" t="str">
        <x:v>FT90</x:v>
      </x:c>
      <x:c r="M72" s="7" t="str">
        <x:v>CSV row 71</x:v>
      </x:c>
      <x:c r="N72" s="2" t="str">
        <x:f>IF(AND(A72&lt;&gt;"",ISNUMBER(D72)),B72&amp;"|"&amp;C72&amp;"|"&amp;TEXT(D72,"yyyymmdd")&amp;"|"&amp;E72&amp;"|"&amp;F72,"")</x:f>
        <x:v>E0|2025/26|20251005|Brentford|Man City</x:v>
      </x:c>
      <x:c r="O72" s="2" t="str">
        <x:f>IF(A72="","",IFERROR(IF(NOT(AND(B72&lt;&gt;"",C72&lt;&gt;"",ISNUMBER(D72),D72&gt;0,E72&lt;&gt;"",F72&lt;&gt;"",E72&lt;&gt;F72,ISNUMBER(G72),ISNUMBER(H72),G72&gt;=0,H72&gt;=0,G72&lt;=100,H72&lt;=100,MOD(G72,1)=0,MOD(H72,1)=0,L72="FT90",S72&gt;0,INDEX(SourceTable[League],MAX(1,S72))=B72,INDEX(SourceTable[Season],MAX(1,S72))=C72,ISNUMBER(K72),K72=INDEX(SourceTable[Retrieved_UTC],MAX(1,S72)),J72&lt;&gt;"",M72&lt;&gt;"")),"INVALID",IF(OR(COUNTIFS('Istoric_Nativ'!$N$6:$N$405,N72,'Istoric_Nativ'!$G$6:$G$405,G72)&lt;&gt;COUNTIF('Istoric_Nativ'!$N$6:$N$405,N72),COUNTIFS('Istoric_Nativ'!$N$6:$N$405,N72,'Istoric_Nativ'!$H$6:$H$405,H72)&lt;&gt;COUNTIF('Istoric_Nativ'!$N$6:$N$405,N72)),"SOURCE CONFLICT",IF(COUNTIF($N$6:N72,N72)&gt;1,"DUPLICATE","VALID"))),"INVALID"))</x:f>
        <x:v>VALID</x:v>
      </x:c>
      <x:c r="P72" s="2" t="n">
        <x:f>IF(O72="VALID",1,0)</x:f>
        <x:v>1</x:v>
      </x:c>
      <x:c r="Q72" s="2" t="n">
        <x:f>IF(P72=1,G72+H72,0)</x:f>
        <x:v>5</x:v>
      </x:c>
      <x:c r="R72" s="2" t="n">
        <x:f>Q72^2</x:f>
        <x:v>25</x:v>
      </x:c>
      <x:c r="S72" s="2" t="n">
        <x:f>IF(A72="","",IFERROR(MATCH(I72,SourceTable[Source_ID],0),0))</x:f>
        <x:v>1</x:v>
      </x:c>
    </x:row>
    <x:row r="73" ht="21" customHeight="1">
      <x:c r="A73" s="7" t="str">
        <x:v>bba0521f56ef5c72bab4</x:v>
      </x:c>
      <x:c r="B73" s="7" t="str">
        <x:v>E0</x:v>
      </x:c>
      <x:c r="C73" s="7" t="str">
        <x:v>2025/26</x:v>
      </x:c>
      <x:c r="D73" s="8" t="n">
        <x:v>45935</x:v>
      </x:c>
      <x:c r="E73" s="7" t="str">
        <x:v>Everton</x:v>
      </x:c>
      <x:c r="F73" s="7" t="str">
        <x:v>Crystal Palace</x:v>
      </x:c>
      <x:c r="G73" s="7" t="n">
        <x:v>2</x:v>
      </x:c>
      <x:c r="H73" s="7" t="n">
        <x:v>4</x:v>
      </x:c>
      <x:c r="I73" s="7" t="str">
        <x:v>FD_E0_2526</x:v>
      </x:c>
      <x:c r="J73" s="7" t="str">
        <x:v>https://www.football-data.co.uk/mmz4281/2526/E0.csv</x:v>
      </x:c>
      <x:c r="K73" s="8" t="n">
        <x:v>46278.70306712963</x:v>
      </x:c>
      <x:c r="L73" s="7" t="str">
        <x:v>FT90</x:v>
      </x:c>
      <x:c r="M73" s="7" t="str">
        <x:v>CSV row 68</x:v>
      </x:c>
      <x:c r="N73" s="2" t="str">
        <x:f>IF(AND(A73&lt;&gt;"",ISNUMBER(D73)),B73&amp;"|"&amp;C73&amp;"|"&amp;TEXT(D73,"yyyymmdd")&amp;"|"&amp;E73&amp;"|"&amp;F73,"")</x:f>
        <x:v>E0|2025/26|20251005|Everton|Crystal Palace</x:v>
      </x:c>
      <x:c r="O73" s="2" t="str">
        <x:f>IF(A73="","",IFERROR(IF(NOT(AND(B73&lt;&gt;"",C73&lt;&gt;"",ISNUMBER(D73),D73&gt;0,E73&lt;&gt;"",F73&lt;&gt;"",E73&lt;&gt;F73,ISNUMBER(G73),ISNUMBER(H73),G73&gt;=0,H73&gt;=0,G73&lt;=100,H73&lt;=100,MOD(G73,1)=0,MOD(H73,1)=0,L73="FT90",S73&gt;0,INDEX(SourceTable[League],MAX(1,S73))=B73,INDEX(SourceTable[Season],MAX(1,S73))=C73,ISNUMBER(K73),K73=INDEX(SourceTable[Retrieved_UTC],MAX(1,S73)),J73&lt;&gt;"",M73&lt;&gt;"")),"INVALID",IF(OR(COUNTIFS('Istoric_Nativ'!$N$6:$N$405,N73,'Istoric_Nativ'!$G$6:$G$405,G73)&lt;&gt;COUNTIF('Istoric_Nativ'!$N$6:$N$405,N73),COUNTIFS('Istoric_Nativ'!$N$6:$N$405,N73,'Istoric_Nativ'!$H$6:$H$405,H73)&lt;&gt;COUNTIF('Istoric_Nativ'!$N$6:$N$405,N73)),"SOURCE CONFLICT",IF(COUNTIF($N$6:N73,N73)&gt;1,"DUPLICATE","VALID"))),"INVALID"))</x:f>
        <x:v>VALID</x:v>
      </x:c>
      <x:c r="P73" s="2" t="n">
        <x:f>IF(O73="VALID",1,0)</x:f>
        <x:v>1</x:v>
      </x:c>
      <x:c r="Q73" s="2" t="n">
        <x:f>IF(P73=1,G73+H73,0)</x:f>
        <x:v>6</x:v>
      </x:c>
      <x:c r="R73" s="2" t="n">
        <x:f>Q73^2</x:f>
        <x:v>36</x:v>
      </x:c>
      <x:c r="S73" s="2" t="n">
        <x:f>IF(A73="","",IFERROR(MATCH(I73,SourceTable[Source_ID],0),0))</x:f>
        <x:v>1</x:v>
      </x:c>
    </x:row>
    <x:row r="74" ht="21" customHeight="1">
      <x:c r="A74" s="7" t="str">
        <x:v>b667f7d8b4c278af4591</x:v>
      </x:c>
      <x:c r="B74" s="7" t="str">
        <x:v>E0</x:v>
      </x:c>
      <x:c r="C74" s="7" t="str">
        <x:v>2025/26</x:v>
      </x:c>
      <x:c r="D74" s="8" t="n">
        <x:v>45935</x:v>
      </x:c>
      <x:c r="E74" s="7" t="str">
        <x:v>Newcastle</x:v>
      </x:c>
      <x:c r="F74" s="7" t="str">
        <x:v>Nott'm Forest</x:v>
      </x:c>
      <x:c r="G74" s="7" t="n">
        <x:v>8</x:v>
      </x:c>
      <x:c r="H74" s="7" t="n">
        <x:v>1</x:v>
      </x:c>
      <x:c r="I74" s="7" t="str">
        <x:v>FD_E0_2526</x:v>
      </x:c>
      <x:c r="J74" s="7" t="str">
        <x:v>https://www.football-data.co.uk/mmz4281/2526/E0.csv</x:v>
      </x:c>
      <x:c r="K74" s="8" t="n">
        <x:v>46278.70306712963</x:v>
      </x:c>
      <x:c r="L74" s="7" t="str">
        <x:v>FT90</x:v>
      </x:c>
      <x:c r="M74" s="7" t="str">
        <x:v>CSV row 69</x:v>
      </x:c>
      <x:c r="N74" s="2" t="str">
        <x:f>IF(AND(A74&lt;&gt;"",ISNUMBER(D74)),B74&amp;"|"&amp;C74&amp;"|"&amp;TEXT(D74,"yyyymmdd")&amp;"|"&amp;E74&amp;"|"&amp;F74,"")</x:f>
        <x:v>E0|2025/26|20251005|Newcastle|Nott'm Forest</x:v>
      </x:c>
      <x:c r="O74" s="2" t="str">
        <x:f>IF(A74="","",IFERROR(IF(NOT(AND(B74&lt;&gt;"",C74&lt;&gt;"",ISNUMBER(D74),D74&gt;0,E74&lt;&gt;"",F74&lt;&gt;"",E74&lt;&gt;F74,ISNUMBER(G74),ISNUMBER(H74),G74&gt;=0,H74&gt;=0,G74&lt;=100,H74&lt;=100,MOD(G74,1)=0,MOD(H74,1)=0,L74="FT90",S74&gt;0,INDEX(SourceTable[League],MAX(1,S74))=B74,INDEX(SourceTable[Season],MAX(1,S74))=C74,ISNUMBER(K74),K74=INDEX(SourceTable[Retrieved_UTC],MAX(1,S74)),J74&lt;&gt;"",M74&lt;&gt;"")),"INVALID",IF(OR(COUNTIFS('Istoric_Nativ'!$N$6:$N$405,N74,'Istoric_Nativ'!$G$6:$G$405,G74)&lt;&gt;COUNTIF('Istoric_Nativ'!$N$6:$N$405,N74),COUNTIFS('Istoric_Nativ'!$N$6:$N$405,N74,'Istoric_Nativ'!$H$6:$H$405,H74)&lt;&gt;COUNTIF('Istoric_Nativ'!$N$6:$N$405,N74)),"SOURCE CONFLICT",IF(COUNTIF($N$6:N74,N74)&gt;1,"DUPLICATE","VALID"))),"INVALID"))</x:f>
        <x:v>VALID</x:v>
      </x:c>
      <x:c r="P74" s="2" t="n">
        <x:f>IF(O74="VALID",1,0)</x:f>
        <x:v>1</x:v>
      </x:c>
      <x:c r="Q74" s="2" t="n">
        <x:f>IF(P74=1,G74+H74,0)</x:f>
        <x:v>9</x:v>
      </x:c>
      <x:c r="R74" s="2" t="n">
        <x:f>Q74^2</x:f>
        <x:v>81</x:v>
      </x:c>
      <x:c r="S74" s="2" t="n">
        <x:f>IF(A74="","",IFERROR(MATCH(I74,SourceTable[Source_ID],0),0))</x:f>
        <x:v>1</x:v>
      </x:c>
    </x:row>
    <x:row r="75" ht="21" customHeight="1">
      <x:c r="A75" s="7" t="str">
        <x:v>af2357b7c0922e690e11</x:v>
      </x:c>
      <x:c r="B75" s="7" t="str">
        <x:v>E0</x:v>
      </x:c>
      <x:c r="C75" s="7" t="str">
        <x:v>2025/26</x:v>
      </x:c>
      <x:c r="D75" s="8" t="n">
        <x:v>45935</x:v>
      </x:c>
      <x:c r="E75" s="7" t="str">
        <x:v>Wolves</x:v>
      </x:c>
      <x:c r="F75" s="7" t="str">
        <x:v>Brighton</x:v>
      </x:c>
      <x:c r="G75" s="7" t="n">
        <x:v>2</x:v>
      </x:c>
      <x:c r="H75" s="7" t="n">
        <x:v>8</x:v>
      </x:c>
      <x:c r="I75" s="7" t="str">
        <x:v>FD_E0_2526</x:v>
      </x:c>
      <x:c r="J75" s="7" t="str">
        <x:v>https://www.football-data.co.uk/mmz4281/2526/E0.csv</x:v>
      </x:c>
      <x:c r="K75" s="8" t="n">
        <x:v>46278.70306712963</x:v>
      </x:c>
      <x:c r="L75" s="7" t="str">
        <x:v>FT90</x:v>
      </x:c>
      <x:c r="M75" s="7" t="str">
        <x:v>CSV row 70</x:v>
      </x:c>
      <x:c r="N75" s="2" t="str">
        <x:f>IF(AND(A75&lt;&gt;"",ISNUMBER(D75)),B75&amp;"|"&amp;C75&amp;"|"&amp;TEXT(D75,"yyyymmdd")&amp;"|"&amp;E75&amp;"|"&amp;F75,"")</x:f>
        <x:v>E0|2025/26|20251005|Wolves|Brighton</x:v>
      </x:c>
      <x:c r="O75" s="2" t="str">
        <x:f>IF(A75="","",IFERROR(IF(NOT(AND(B75&lt;&gt;"",C75&lt;&gt;"",ISNUMBER(D75),D75&gt;0,E75&lt;&gt;"",F75&lt;&gt;"",E75&lt;&gt;F75,ISNUMBER(G75),ISNUMBER(H75),G75&gt;=0,H75&gt;=0,G75&lt;=100,H75&lt;=100,MOD(G75,1)=0,MOD(H75,1)=0,L75="FT90",S75&gt;0,INDEX(SourceTable[League],MAX(1,S75))=B75,INDEX(SourceTable[Season],MAX(1,S75))=C75,ISNUMBER(K75),K75=INDEX(SourceTable[Retrieved_UTC],MAX(1,S75)),J75&lt;&gt;"",M75&lt;&gt;"")),"INVALID",IF(OR(COUNTIFS('Istoric_Nativ'!$N$6:$N$405,N75,'Istoric_Nativ'!$G$6:$G$405,G75)&lt;&gt;COUNTIF('Istoric_Nativ'!$N$6:$N$405,N75),COUNTIFS('Istoric_Nativ'!$N$6:$N$405,N75,'Istoric_Nativ'!$H$6:$H$405,H75)&lt;&gt;COUNTIF('Istoric_Nativ'!$N$6:$N$405,N75)),"SOURCE CONFLICT",IF(COUNTIF($N$6:N75,N75)&gt;1,"DUPLICATE","VALID"))),"INVALID"))</x:f>
        <x:v>VALID</x:v>
      </x:c>
      <x:c r="P75" s="2" t="n">
        <x:f>IF(O75="VALID",1,0)</x:f>
        <x:v>1</x:v>
      </x:c>
      <x:c r="Q75" s="2" t="n">
        <x:f>IF(P75=1,G75+H75,0)</x:f>
        <x:v>10</x:v>
      </x:c>
      <x:c r="R75" s="2" t="n">
        <x:f>Q75^2</x:f>
        <x:v>100</x:v>
      </x:c>
      <x:c r="S75" s="2" t="n">
        <x:f>IF(A75="","",IFERROR(MATCH(I75,SourceTable[Source_ID],0),0))</x:f>
        <x:v>1</x:v>
      </x:c>
    </x:row>
    <x:row r="76" ht="21" customHeight="1">
      <x:c r="A76" s="7" t="str">
        <x:v>4bbb6afd5e9272ce80e5</x:v>
      </x:c>
      <x:c r="B76" s="7" t="str">
        <x:v>E0</x:v>
      </x:c>
      <x:c r="C76" s="7" t="str">
        <x:v>2025/26</x:v>
      </x:c>
      <x:c r="D76" s="8" t="n">
        <x:v>45948</x:v>
      </x:c>
      <x:c r="E76" s="7" t="str">
        <x:v>Brighton</x:v>
      </x:c>
      <x:c r="F76" s="7" t="str">
        <x:v>Newcastle</x:v>
      </x:c>
      <x:c r="G76" s="7" t="n">
        <x:v>8</x:v>
      </x:c>
      <x:c r="H76" s="7" t="n">
        <x:v>4</x:v>
      </x:c>
      <x:c r="I76" s="7" t="str">
        <x:v>FD_E0_2526</x:v>
      </x:c>
      <x:c r="J76" s="7" t="str">
        <x:v>https://www.football-data.co.uk/mmz4281/2526/E0.csv</x:v>
      </x:c>
      <x:c r="K76" s="8" t="n">
        <x:v>46278.70306712963</x:v>
      </x:c>
      <x:c r="L76" s="7" t="str">
        <x:v>FT90</x:v>
      </x:c>
      <x:c r="M76" s="7" t="str">
        <x:v>CSV row 73</x:v>
      </x:c>
      <x:c r="N76" s="2" t="str">
        <x:f>IF(AND(A76&lt;&gt;"",ISNUMBER(D76)),B76&amp;"|"&amp;C76&amp;"|"&amp;TEXT(D76,"yyyymmdd")&amp;"|"&amp;E76&amp;"|"&amp;F76,"")</x:f>
        <x:v>E0|2025/26|20251018|Brighton|Newcastle</x:v>
      </x:c>
      <x:c r="O76" s="2" t="str">
        <x:f>IF(A76="","",IFERROR(IF(NOT(AND(B76&lt;&gt;"",C76&lt;&gt;"",ISNUMBER(D76),D76&gt;0,E76&lt;&gt;"",F76&lt;&gt;"",E76&lt;&gt;F76,ISNUMBER(G76),ISNUMBER(H76),G76&gt;=0,H76&gt;=0,G76&lt;=100,H76&lt;=100,MOD(G76,1)=0,MOD(H76,1)=0,L76="FT90",S76&gt;0,INDEX(SourceTable[League],MAX(1,S76))=B76,INDEX(SourceTable[Season],MAX(1,S76))=C76,ISNUMBER(K76),K76=INDEX(SourceTable[Retrieved_UTC],MAX(1,S76)),J76&lt;&gt;"",M76&lt;&gt;"")),"INVALID",IF(OR(COUNTIFS('Istoric_Nativ'!$N$6:$N$405,N76,'Istoric_Nativ'!$G$6:$G$405,G76)&lt;&gt;COUNTIF('Istoric_Nativ'!$N$6:$N$405,N76),COUNTIFS('Istoric_Nativ'!$N$6:$N$405,N76,'Istoric_Nativ'!$H$6:$H$405,H76)&lt;&gt;COUNTIF('Istoric_Nativ'!$N$6:$N$405,N76)),"SOURCE CONFLICT",IF(COUNTIF($N$6:N76,N76)&gt;1,"DUPLICATE","VALID"))),"INVALID"))</x:f>
        <x:v>VALID</x:v>
      </x:c>
      <x:c r="P76" s="2" t="n">
        <x:f>IF(O76="VALID",1,0)</x:f>
        <x:v>1</x:v>
      </x:c>
      <x:c r="Q76" s="2" t="n">
        <x:f>IF(P76=1,G76+H76,0)</x:f>
        <x:v>12</x:v>
      </x:c>
      <x:c r="R76" s="2" t="n">
        <x:f>Q76^2</x:f>
        <x:v>144</x:v>
      </x:c>
      <x:c r="S76" s="2" t="n">
        <x:f>IF(A76="","",IFERROR(MATCH(I76,SourceTable[Source_ID],0),0))</x:f>
        <x:v>1</x:v>
      </x:c>
    </x:row>
    <x:row r="77" ht="21" customHeight="1">
      <x:c r="A77" s="7" t="str">
        <x:v>93b0238bc8b68ef92fc4</x:v>
      </x:c>
      <x:c r="B77" s="7" t="str">
        <x:v>E0</x:v>
      </x:c>
      <x:c r="C77" s="7" t="str">
        <x:v>2025/26</x:v>
      </x:c>
      <x:c r="D77" s="8" t="n">
        <x:v>45948</x:v>
      </x:c>
      <x:c r="E77" s="7" t="str">
        <x:v>Burnley</x:v>
      </x:c>
      <x:c r="F77" s="7" t="str">
        <x:v>Leeds</x:v>
      </x:c>
      <x:c r="G77" s="7" t="n">
        <x:v>1</x:v>
      </x:c>
      <x:c r="H77" s="7" t="n">
        <x:v>5</x:v>
      </x:c>
      <x:c r="I77" s="7" t="str">
        <x:v>FD_E0_2526</x:v>
      </x:c>
      <x:c r="J77" s="7" t="str">
        <x:v>https://www.football-data.co.uk/mmz4281/2526/E0.csv</x:v>
      </x:c>
      <x:c r="K77" s="8" t="n">
        <x:v>46278.70306712963</x:v>
      </x:c>
      <x:c r="L77" s="7" t="str">
        <x:v>FT90</x:v>
      </x:c>
      <x:c r="M77" s="7" t="str">
        <x:v>CSV row 74</x:v>
      </x:c>
      <x:c r="N77" s="2" t="str">
        <x:f>IF(AND(A77&lt;&gt;"",ISNUMBER(D77)),B77&amp;"|"&amp;C77&amp;"|"&amp;TEXT(D77,"yyyymmdd")&amp;"|"&amp;E77&amp;"|"&amp;F77,"")</x:f>
        <x:v>E0|2025/26|20251018|Burnley|Leeds</x:v>
      </x:c>
      <x:c r="O77" s="2" t="str">
        <x:f>IF(A77="","",IFERROR(IF(NOT(AND(B77&lt;&gt;"",C77&lt;&gt;"",ISNUMBER(D77),D77&gt;0,E77&lt;&gt;"",F77&lt;&gt;"",E77&lt;&gt;F77,ISNUMBER(G77),ISNUMBER(H77),G77&gt;=0,H77&gt;=0,G77&lt;=100,H77&lt;=100,MOD(G77,1)=0,MOD(H77,1)=0,L77="FT90",S77&gt;0,INDEX(SourceTable[League],MAX(1,S77))=B77,INDEX(SourceTable[Season],MAX(1,S77))=C77,ISNUMBER(K77),K77=INDEX(SourceTable[Retrieved_UTC],MAX(1,S77)),J77&lt;&gt;"",M77&lt;&gt;"")),"INVALID",IF(OR(COUNTIFS('Istoric_Nativ'!$N$6:$N$405,N77,'Istoric_Nativ'!$G$6:$G$405,G77)&lt;&gt;COUNTIF('Istoric_Nativ'!$N$6:$N$405,N77),COUNTIFS('Istoric_Nativ'!$N$6:$N$405,N77,'Istoric_Nativ'!$H$6:$H$405,H77)&lt;&gt;COUNTIF('Istoric_Nativ'!$N$6:$N$405,N77)),"SOURCE CONFLICT",IF(COUNTIF($N$6:N77,N77)&gt;1,"DUPLICATE","VALID"))),"INVALID"))</x:f>
        <x:v>VALID</x:v>
      </x:c>
      <x:c r="P77" s="2" t="n">
        <x:f>IF(O77="VALID",1,0)</x:f>
        <x:v>1</x:v>
      </x:c>
      <x:c r="Q77" s="2" t="n">
        <x:f>IF(P77=1,G77+H77,0)</x:f>
        <x:v>6</x:v>
      </x:c>
      <x:c r="R77" s="2" t="n">
        <x:f>Q77^2</x:f>
        <x:v>36</x:v>
      </x:c>
      <x:c r="S77" s="2" t="n">
        <x:f>IF(A77="","",IFERROR(MATCH(I77,SourceTable[Source_ID],0),0))</x:f>
        <x:v>1</x:v>
      </x:c>
    </x:row>
    <x:row r="78" ht="21" customHeight="1">
      <x:c r="A78" s="7" t="str">
        <x:v>5c955a223c487c7c5c90</x:v>
      </x:c>
      <x:c r="B78" s="7" t="str">
        <x:v>E0</x:v>
      </x:c>
      <x:c r="C78" s="7" t="str">
        <x:v>2025/26</x:v>
      </x:c>
      <x:c r="D78" s="8" t="n">
        <x:v>45948</x:v>
      </x:c>
      <x:c r="E78" s="7" t="str">
        <x:v>Crystal Palace</x:v>
      </x:c>
      <x:c r="F78" s="7" t="str">
        <x:v>Bournemouth</x:v>
      </x:c>
      <x:c r="G78" s="7" t="n">
        <x:v>6</x:v>
      </x:c>
      <x:c r="H78" s="7" t="n">
        <x:v>5</x:v>
      </x:c>
      <x:c r="I78" s="7" t="str">
        <x:v>FD_E0_2526</x:v>
      </x:c>
      <x:c r="J78" s="7" t="str">
        <x:v>https://www.football-data.co.uk/mmz4281/2526/E0.csv</x:v>
      </x:c>
      <x:c r="K78" s="8" t="n">
        <x:v>46278.70306712963</x:v>
      </x:c>
      <x:c r="L78" s="7" t="str">
        <x:v>FT90</x:v>
      </x:c>
      <x:c r="M78" s="7" t="str">
        <x:v>CSV row 75</x:v>
      </x:c>
      <x:c r="N78" s="2" t="str">
        <x:f>IF(AND(A78&lt;&gt;"",ISNUMBER(D78)),B78&amp;"|"&amp;C78&amp;"|"&amp;TEXT(D78,"yyyymmdd")&amp;"|"&amp;E78&amp;"|"&amp;F78,"")</x:f>
        <x:v>E0|2025/26|20251018|Crystal Palace|Bournemouth</x:v>
      </x:c>
      <x:c r="O78" s="2" t="str">
        <x:f>IF(A78="","",IFERROR(IF(NOT(AND(B78&lt;&gt;"",C78&lt;&gt;"",ISNUMBER(D78),D78&gt;0,E78&lt;&gt;"",F78&lt;&gt;"",E78&lt;&gt;F78,ISNUMBER(G78),ISNUMBER(H78),G78&gt;=0,H78&gt;=0,G78&lt;=100,H78&lt;=100,MOD(G78,1)=0,MOD(H78,1)=0,L78="FT90",S78&gt;0,INDEX(SourceTable[League],MAX(1,S78))=B78,INDEX(SourceTable[Season],MAX(1,S78))=C78,ISNUMBER(K78),K78=INDEX(SourceTable[Retrieved_UTC],MAX(1,S78)),J78&lt;&gt;"",M78&lt;&gt;"")),"INVALID",IF(OR(COUNTIFS('Istoric_Nativ'!$N$6:$N$405,N78,'Istoric_Nativ'!$G$6:$G$405,G78)&lt;&gt;COUNTIF('Istoric_Nativ'!$N$6:$N$405,N78),COUNTIFS('Istoric_Nativ'!$N$6:$N$405,N78,'Istoric_Nativ'!$H$6:$H$405,H78)&lt;&gt;COUNTIF('Istoric_Nativ'!$N$6:$N$405,N78)),"SOURCE CONFLICT",IF(COUNTIF($N$6:N78,N78)&gt;1,"DUPLICATE","VALID"))),"INVALID"))</x:f>
        <x:v>VALID</x:v>
      </x:c>
      <x:c r="P78" s="2" t="n">
        <x:f>IF(O78="VALID",1,0)</x:f>
        <x:v>1</x:v>
      </x:c>
      <x:c r="Q78" s="2" t="n">
        <x:f>IF(P78=1,G78+H78,0)</x:f>
        <x:v>11</x:v>
      </x:c>
      <x:c r="R78" s="2" t="n">
        <x:f>Q78^2</x:f>
        <x:v>121</x:v>
      </x:c>
      <x:c r="S78" s="2" t="n">
        <x:f>IF(A78="","",IFERROR(MATCH(I78,SourceTable[Source_ID],0),0))</x:f>
        <x:v>1</x:v>
      </x:c>
    </x:row>
    <x:row r="79" ht="21" customHeight="1">
      <x:c r="A79" s="7" t="str">
        <x:v>5ab7bb1fd06bbc69795b</x:v>
      </x:c>
      <x:c r="B79" s="7" t="str">
        <x:v>E0</x:v>
      </x:c>
      <x:c r="C79" s="7" t="str">
        <x:v>2025/26</x:v>
      </x:c>
      <x:c r="D79" s="8" t="n">
        <x:v>45948</x:v>
      </x:c>
      <x:c r="E79" s="7" t="str">
        <x:v>Fulham</x:v>
      </x:c>
      <x:c r="F79" s="7" t="str">
        <x:v>Arsenal</x:v>
      </x:c>
      <x:c r="G79" s="7" t="n">
        <x:v>6</x:v>
      </x:c>
      <x:c r="H79" s="7" t="n">
        <x:v>10</x:v>
      </x:c>
      <x:c r="I79" s="7" t="str">
        <x:v>FD_E0_2526</x:v>
      </x:c>
      <x:c r="J79" s="7" t="str">
        <x:v>https://www.football-data.co.uk/mmz4281/2526/E0.csv</x:v>
      </x:c>
      <x:c r="K79" s="8" t="n">
        <x:v>46278.70306712963</x:v>
      </x:c>
      <x:c r="L79" s="7" t="str">
        <x:v>FT90</x:v>
      </x:c>
      <x:c r="M79" s="7" t="str">
        <x:v>CSV row 78</x:v>
      </x:c>
      <x:c r="N79" s="2" t="str">
        <x:f>IF(AND(A79&lt;&gt;"",ISNUMBER(D79)),B79&amp;"|"&amp;C79&amp;"|"&amp;TEXT(D79,"yyyymmdd")&amp;"|"&amp;E79&amp;"|"&amp;F79,"")</x:f>
        <x:v>E0|2025/26|20251018|Fulham|Arsenal</x:v>
      </x:c>
      <x:c r="O79" s="2" t="str">
        <x:f>IF(A79="","",IFERROR(IF(NOT(AND(B79&lt;&gt;"",C79&lt;&gt;"",ISNUMBER(D79),D79&gt;0,E79&lt;&gt;"",F79&lt;&gt;"",E79&lt;&gt;F79,ISNUMBER(G79),ISNUMBER(H79),G79&gt;=0,H79&gt;=0,G79&lt;=100,H79&lt;=100,MOD(G79,1)=0,MOD(H79,1)=0,L79="FT90",S79&gt;0,INDEX(SourceTable[League],MAX(1,S79))=B79,INDEX(SourceTable[Season],MAX(1,S79))=C79,ISNUMBER(K79),K79=INDEX(SourceTable[Retrieved_UTC],MAX(1,S79)),J79&lt;&gt;"",M79&lt;&gt;"")),"INVALID",IF(OR(COUNTIFS('Istoric_Nativ'!$N$6:$N$405,N79,'Istoric_Nativ'!$G$6:$G$405,G79)&lt;&gt;COUNTIF('Istoric_Nativ'!$N$6:$N$405,N79),COUNTIFS('Istoric_Nativ'!$N$6:$N$405,N79,'Istoric_Nativ'!$H$6:$H$405,H79)&lt;&gt;COUNTIF('Istoric_Nativ'!$N$6:$N$405,N79)),"SOURCE CONFLICT",IF(COUNTIF($N$6:N79,N79)&gt;1,"DUPLICATE","VALID"))),"INVALID"))</x:f>
        <x:v>VALID</x:v>
      </x:c>
      <x:c r="P79" s="2" t="n">
        <x:f>IF(O79="VALID",1,0)</x:f>
        <x:v>1</x:v>
      </x:c>
      <x:c r="Q79" s="2" t="n">
        <x:f>IF(P79=1,G79+H79,0)</x:f>
        <x:v>16</x:v>
      </x:c>
      <x:c r="R79" s="2" t="n">
        <x:f>Q79^2</x:f>
        <x:v>256</x:v>
      </x:c>
      <x:c r="S79" s="2" t="n">
        <x:f>IF(A79="","",IFERROR(MATCH(I79,SourceTable[Source_ID],0),0))</x:f>
        <x:v>1</x:v>
      </x:c>
    </x:row>
    <x:row r="80" ht="21" customHeight="1">
      <x:c r="A80" s="7" t="str">
        <x:v>7f6ff6a844344121af86</x:v>
      </x:c>
      <x:c r="B80" s="7" t="str">
        <x:v>E0</x:v>
      </x:c>
      <x:c r="C80" s="7" t="str">
        <x:v>2025/26</x:v>
      </x:c>
      <x:c r="D80" s="8" t="n">
        <x:v>45948</x:v>
      </x:c>
      <x:c r="E80" s="7" t="str">
        <x:v>Man City</x:v>
      </x:c>
      <x:c r="F80" s="7" t="str">
        <x:v>Everton</x:v>
      </x:c>
      <x:c r="G80" s="7" t="n">
        <x:v>11</x:v>
      </x:c>
      <x:c r="H80" s="7" t="n">
        <x:v>3</x:v>
      </x:c>
      <x:c r="I80" s="7" t="str">
        <x:v>FD_E0_2526</x:v>
      </x:c>
      <x:c r="J80" s="7" t="str">
        <x:v>https://www.football-data.co.uk/mmz4281/2526/E0.csv</x:v>
      </x:c>
      <x:c r="K80" s="8" t="n">
        <x:v>46278.70306712963</x:v>
      </x:c>
      <x:c r="L80" s="7" t="str">
        <x:v>FT90</x:v>
      </x:c>
      <x:c r="M80" s="7" t="str">
        <x:v>CSV row 76</x:v>
      </x:c>
      <x:c r="N80" s="2" t="str">
        <x:f>IF(AND(A80&lt;&gt;"",ISNUMBER(D80)),B80&amp;"|"&amp;C80&amp;"|"&amp;TEXT(D80,"yyyymmdd")&amp;"|"&amp;E80&amp;"|"&amp;F80,"")</x:f>
        <x:v>E0|2025/26|20251018|Man City|Everton</x:v>
      </x:c>
      <x:c r="O80" s="2" t="str">
        <x:f>IF(A80="","",IFERROR(IF(NOT(AND(B80&lt;&gt;"",C80&lt;&gt;"",ISNUMBER(D80),D80&gt;0,E80&lt;&gt;"",F80&lt;&gt;"",E80&lt;&gt;F80,ISNUMBER(G80),ISNUMBER(H80),G80&gt;=0,H80&gt;=0,G80&lt;=100,H80&lt;=100,MOD(G80,1)=0,MOD(H80,1)=0,L80="FT90",S80&gt;0,INDEX(SourceTable[League],MAX(1,S80))=B80,INDEX(SourceTable[Season],MAX(1,S80))=C80,ISNUMBER(K80),K80=INDEX(SourceTable[Retrieved_UTC],MAX(1,S80)),J80&lt;&gt;"",M80&lt;&gt;"")),"INVALID",IF(OR(COUNTIFS('Istoric_Nativ'!$N$6:$N$405,N80,'Istoric_Nativ'!$G$6:$G$405,G80)&lt;&gt;COUNTIF('Istoric_Nativ'!$N$6:$N$405,N80),COUNTIFS('Istoric_Nativ'!$N$6:$N$405,N80,'Istoric_Nativ'!$H$6:$H$405,H80)&lt;&gt;COUNTIF('Istoric_Nativ'!$N$6:$N$405,N80)),"SOURCE CONFLICT",IF(COUNTIF($N$6:N80,N80)&gt;1,"DUPLICATE","VALID"))),"INVALID"))</x:f>
        <x:v>VALID</x:v>
      </x:c>
      <x:c r="P80" s="2" t="n">
        <x:f>IF(O80="VALID",1,0)</x:f>
        <x:v>1</x:v>
      </x:c>
      <x:c r="Q80" s="2" t="n">
        <x:f>IF(P80=1,G80+H80,0)</x:f>
        <x:v>14</x:v>
      </x:c>
      <x:c r="R80" s="2" t="n">
        <x:f>Q80^2</x:f>
        <x:v>196</x:v>
      </x:c>
      <x:c r="S80" s="2" t="n">
        <x:f>IF(A80="","",IFERROR(MATCH(I80,SourceTable[Source_ID],0),0))</x:f>
        <x:v>1</x:v>
      </x:c>
    </x:row>
    <x:row r="81" ht="21" customHeight="1">
      <x:c r="A81" s="7" t="str">
        <x:v>f9b9b7a7a2dd8f14c17c</x:v>
      </x:c>
      <x:c r="B81" s="7" t="str">
        <x:v>E0</x:v>
      </x:c>
      <x:c r="C81" s="7" t="str">
        <x:v>2025/26</x:v>
      </x:c>
      <x:c r="D81" s="8" t="n">
        <x:v>45948</x:v>
      </x:c>
      <x:c r="E81" s="7" t="str">
        <x:v>Nott'm Forest</x:v>
      </x:c>
      <x:c r="F81" s="7" t="str">
        <x:v>Chelsea</x:v>
      </x:c>
      <x:c r="G81" s="7" t="n">
        <x:v>5</x:v>
      </x:c>
      <x:c r="H81" s="7" t="n">
        <x:v>2</x:v>
      </x:c>
      <x:c r="I81" s="7" t="str">
        <x:v>FD_E0_2526</x:v>
      </x:c>
      <x:c r="J81" s="7" t="str">
        <x:v>https://www.football-data.co.uk/mmz4281/2526/E0.csv</x:v>
      </x:c>
      <x:c r="K81" s="8" t="n">
        <x:v>46278.70306712963</x:v>
      </x:c>
      <x:c r="L81" s="7" t="str">
        <x:v>FT90</x:v>
      </x:c>
      <x:c r="M81" s="7" t="str">
        <x:v>CSV row 72</x:v>
      </x:c>
      <x:c r="N81" s="2" t="str">
        <x:f>IF(AND(A81&lt;&gt;"",ISNUMBER(D81)),B81&amp;"|"&amp;C81&amp;"|"&amp;TEXT(D81,"yyyymmdd")&amp;"|"&amp;E81&amp;"|"&amp;F81,"")</x:f>
        <x:v>E0|2025/26|20251018|Nott'm Forest|Chelsea</x:v>
      </x:c>
      <x:c r="O81" s="2" t="str">
        <x:f>IF(A81="","",IFERROR(IF(NOT(AND(B81&lt;&gt;"",C81&lt;&gt;"",ISNUMBER(D81),D81&gt;0,E81&lt;&gt;"",F81&lt;&gt;"",E81&lt;&gt;F81,ISNUMBER(G81),ISNUMBER(H81),G81&gt;=0,H81&gt;=0,G81&lt;=100,H81&lt;=100,MOD(G81,1)=0,MOD(H81,1)=0,L81="FT90",S81&gt;0,INDEX(SourceTable[League],MAX(1,S81))=B81,INDEX(SourceTable[Season],MAX(1,S81))=C81,ISNUMBER(K81),K81=INDEX(SourceTable[Retrieved_UTC],MAX(1,S81)),J81&lt;&gt;"",M81&lt;&gt;"")),"INVALID",IF(OR(COUNTIFS('Istoric_Nativ'!$N$6:$N$405,N81,'Istoric_Nativ'!$G$6:$G$405,G81)&lt;&gt;COUNTIF('Istoric_Nativ'!$N$6:$N$405,N81),COUNTIFS('Istoric_Nativ'!$N$6:$N$405,N81,'Istoric_Nativ'!$H$6:$H$405,H81)&lt;&gt;COUNTIF('Istoric_Nativ'!$N$6:$N$405,N81)),"SOURCE CONFLICT",IF(COUNTIF($N$6:N81,N81)&gt;1,"DUPLICATE","VALID"))),"INVALID"))</x:f>
        <x:v>VALID</x:v>
      </x:c>
      <x:c r="P81" s="2" t="n">
        <x:f>IF(O81="VALID",1,0)</x:f>
        <x:v>1</x:v>
      </x:c>
      <x:c r="Q81" s="2" t="n">
        <x:f>IF(P81=1,G81+H81,0)</x:f>
        <x:v>7</x:v>
      </x:c>
      <x:c r="R81" s="2" t="n">
        <x:f>Q81^2</x:f>
        <x:v>49</x:v>
      </x:c>
      <x:c r="S81" s="2" t="n">
        <x:f>IF(A81="","",IFERROR(MATCH(I81,SourceTable[Source_ID],0),0))</x:f>
        <x:v>1</x:v>
      </x:c>
    </x:row>
    <x:row r="82" ht="21" customHeight="1">
      <x:c r="A82" s="7" t="str">
        <x:v>9a80886f974131c8dcc4</x:v>
      </x:c>
      <x:c r="B82" s="7" t="str">
        <x:v>E0</x:v>
      </x:c>
      <x:c r="C82" s="7" t="str">
        <x:v>2025/26</x:v>
      </x:c>
      <x:c r="D82" s="8" t="n">
        <x:v>45948</x:v>
      </x:c>
      <x:c r="E82" s="7" t="str">
        <x:v>Sunderland</x:v>
      </x:c>
      <x:c r="F82" s="7" t="str">
        <x:v>Wolves</x:v>
      </x:c>
      <x:c r="G82" s="7" t="n">
        <x:v>3</x:v>
      </x:c>
      <x:c r="H82" s="7" t="n">
        <x:v>2</x:v>
      </x:c>
      <x:c r="I82" s="7" t="str">
        <x:v>FD_E0_2526</x:v>
      </x:c>
      <x:c r="J82" s="7" t="str">
        <x:v>https://www.football-data.co.uk/mmz4281/2526/E0.csv</x:v>
      </x:c>
      <x:c r="K82" s="8" t="n">
        <x:v>46278.70306712963</x:v>
      </x:c>
      <x:c r="L82" s="7" t="str">
        <x:v>FT90</x:v>
      </x:c>
      <x:c r="M82" s="7" t="str">
        <x:v>CSV row 77</x:v>
      </x:c>
      <x:c r="N82" s="2" t="str">
        <x:f>IF(AND(A82&lt;&gt;"",ISNUMBER(D82)),B82&amp;"|"&amp;C82&amp;"|"&amp;TEXT(D82,"yyyymmdd")&amp;"|"&amp;E82&amp;"|"&amp;F82,"")</x:f>
        <x:v>E0|2025/26|20251018|Sunderland|Wolves</x:v>
      </x:c>
      <x:c r="O82" s="2" t="str">
        <x:f>IF(A82="","",IFERROR(IF(NOT(AND(B82&lt;&gt;"",C82&lt;&gt;"",ISNUMBER(D82),D82&gt;0,E82&lt;&gt;"",F82&lt;&gt;"",E82&lt;&gt;F82,ISNUMBER(G82),ISNUMBER(H82),G82&gt;=0,H82&gt;=0,G82&lt;=100,H82&lt;=100,MOD(G82,1)=0,MOD(H82,1)=0,L82="FT90",S82&gt;0,INDEX(SourceTable[League],MAX(1,S82))=B82,INDEX(SourceTable[Season],MAX(1,S82))=C82,ISNUMBER(K82),K82=INDEX(SourceTable[Retrieved_UTC],MAX(1,S82)),J82&lt;&gt;"",M82&lt;&gt;"")),"INVALID",IF(OR(COUNTIFS('Istoric_Nativ'!$N$6:$N$405,N82,'Istoric_Nativ'!$G$6:$G$405,G82)&lt;&gt;COUNTIF('Istoric_Nativ'!$N$6:$N$405,N82),COUNTIFS('Istoric_Nativ'!$N$6:$N$405,N82,'Istoric_Nativ'!$H$6:$H$405,H82)&lt;&gt;COUNTIF('Istoric_Nativ'!$N$6:$N$405,N82)),"SOURCE CONFLICT",IF(COUNTIF($N$6:N82,N82)&gt;1,"DUPLICATE","VALID"))),"INVALID"))</x:f>
        <x:v>VALID</x:v>
      </x:c>
      <x:c r="P82" s="2" t="n">
        <x:f>IF(O82="VALID",1,0)</x:f>
        <x:v>1</x:v>
      </x:c>
      <x:c r="Q82" s="2" t="n">
        <x:f>IF(P82=1,G82+H82,0)</x:f>
        <x:v>5</x:v>
      </x:c>
      <x:c r="R82" s="2" t="n">
        <x:f>Q82^2</x:f>
        <x:v>25</x:v>
      </x:c>
      <x:c r="S82" s="2" t="n">
        <x:f>IF(A82="","",IFERROR(MATCH(I82,SourceTable[Source_ID],0),0))</x:f>
        <x:v>1</x:v>
      </x:c>
    </x:row>
    <x:row r="83" ht="21" customHeight="1">
      <x:c r="A83" s="7" t="str">
        <x:v>3c0b89016c6877cc6797</x:v>
      </x:c>
      <x:c r="B83" s="7" t="str">
        <x:v>E0</x:v>
      </x:c>
      <x:c r="C83" s="7" t="str">
        <x:v>2025/26</x:v>
      </x:c>
      <x:c r="D83" s="8" t="n">
        <x:v>45949</x:v>
      </x:c>
      <x:c r="E83" s="7" t="str">
        <x:v>Liverpool</x:v>
      </x:c>
      <x:c r="F83" s="7" t="str">
        <x:v>Man United</x:v>
      </x:c>
      <x:c r="G83" s="7" t="n">
        <x:v>9</x:v>
      </x:c>
      <x:c r="H83" s="7" t="n">
        <x:v>4</x:v>
      </x:c>
      <x:c r="I83" s="7" t="str">
        <x:v>FD_E0_2526</x:v>
      </x:c>
      <x:c r="J83" s="7" t="str">
        <x:v>https://www.football-data.co.uk/mmz4281/2526/E0.csv</x:v>
      </x:c>
      <x:c r="K83" s="8" t="n">
        <x:v>46278.70306712963</x:v>
      </x:c>
      <x:c r="L83" s="7" t="str">
        <x:v>FT90</x:v>
      </x:c>
      <x:c r="M83" s="7" t="str">
        <x:v>CSV row 80</x:v>
      </x:c>
      <x:c r="N83" s="2" t="str">
        <x:f>IF(AND(A83&lt;&gt;"",ISNUMBER(D83)),B83&amp;"|"&amp;C83&amp;"|"&amp;TEXT(D83,"yyyymmdd")&amp;"|"&amp;E83&amp;"|"&amp;F83,"")</x:f>
        <x:v>E0|2025/26|20251019|Liverpool|Man United</x:v>
      </x:c>
      <x:c r="O83" s="2" t="str">
        <x:f>IF(A83="","",IFERROR(IF(NOT(AND(B83&lt;&gt;"",C83&lt;&gt;"",ISNUMBER(D83),D83&gt;0,E83&lt;&gt;"",F83&lt;&gt;"",E83&lt;&gt;F83,ISNUMBER(G83),ISNUMBER(H83),G83&gt;=0,H83&gt;=0,G83&lt;=100,H83&lt;=100,MOD(G83,1)=0,MOD(H83,1)=0,L83="FT90",S83&gt;0,INDEX(SourceTable[League],MAX(1,S83))=B83,INDEX(SourceTable[Season],MAX(1,S83))=C83,ISNUMBER(K83),K83=INDEX(SourceTable[Retrieved_UTC],MAX(1,S83)),J83&lt;&gt;"",M83&lt;&gt;"")),"INVALID",IF(OR(COUNTIFS('Istoric_Nativ'!$N$6:$N$405,N83,'Istoric_Nativ'!$G$6:$G$405,G83)&lt;&gt;COUNTIF('Istoric_Nativ'!$N$6:$N$405,N83),COUNTIFS('Istoric_Nativ'!$N$6:$N$405,N83,'Istoric_Nativ'!$H$6:$H$405,H83)&lt;&gt;COUNTIF('Istoric_Nativ'!$N$6:$N$405,N83)),"SOURCE CONFLICT",IF(COUNTIF($N$6:N83,N83)&gt;1,"DUPLICATE","VALID"))),"INVALID"))</x:f>
        <x:v>VALID</x:v>
      </x:c>
      <x:c r="P83" s="2" t="n">
        <x:f>IF(O83="VALID",1,0)</x:f>
        <x:v>1</x:v>
      </x:c>
      <x:c r="Q83" s="2" t="n">
        <x:f>IF(P83=1,G83+H83,0)</x:f>
        <x:v>13</x:v>
      </x:c>
      <x:c r="R83" s="2" t="n">
        <x:f>Q83^2</x:f>
        <x:v>169</x:v>
      </x:c>
      <x:c r="S83" s="2" t="n">
        <x:f>IF(A83="","",IFERROR(MATCH(I83,SourceTable[Source_ID],0),0))</x:f>
        <x:v>1</x:v>
      </x:c>
    </x:row>
    <x:row r="84" ht="21" customHeight="1">
      <x:c r="A84" s="7" t="str">
        <x:v>257b0a7645dd2e03c228</x:v>
      </x:c>
      <x:c r="B84" s="7" t="str">
        <x:v>E0</x:v>
      </x:c>
      <x:c r="C84" s="7" t="str">
        <x:v>2025/26</x:v>
      </x:c>
      <x:c r="D84" s="8" t="n">
        <x:v>45949</x:v>
      </x:c>
      <x:c r="E84" s="7" t="str">
        <x:v>Tottenham</x:v>
      </x:c>
      <x:c r="F84" s="7" t="str">
        <x:v>Aston Villa</x:v>
      </x:c>
      <x:c r="G84" s="7" t="n">
        <x:v>6</x:v>
      </x:c>
      <x:c r="H84" s="7" t="n">
        <x:v>6</x:v>
      </x:c>
      <x:c r="I84" s="7" t="str">
        <x:v>FD_E0_2526</x:v>
      </x:c>
      <x:c r="J84" s="7" t="str">
        <x:v>https://www.football-data.co.uk/mmz4281/2526/E0.csv</x:v>
      </x:c>
      <x:c r="K84" s="8" t="n">
        <x:v>46278.70306712963</x:v>
      </x:c>
      <x:c r="L84" s="7" t="str">
        <x:v>FT90</x:v>
      </x:c>
      <x:c r="M84" s="7" t="str">
        <x:v>CSV row 79</x:v>
      </x:c>
      <x:c r="N84" s="2" t="str">
        <x:f>IF(AND(A84&lt;&gt;"",ISNUMBER(D84)),B84&amp;"|"&amp;C84&amp;"|"&amp;TEXT(D84,"yyyymmdd")&amp;"|"&amp;E84&amp;"|"&amp;F84,"")</x:f>
        <x:v>E0|2025/26|20251019|Tottenham|Aston Villa</x:v>
      </x:c>
      <x:c r="O84" s="2" t="str">
        <x:f>IF(A84="","",IFERROR(IF(NOT(AND(B84&lt;&gt;"",C84&lt;&gt;"",ISNUMBER(D84),D84&gt;0,E84&lt;&gt;"",F84&lt;&gt;"",E84&lt;&gt;F84,ISNUMBER(G84),ISNUMBER(H84),G84&gt;=0,H84&gt;=0,G84&lt;=100,H84&lt;=100,MOD(G84,1)=0,MOD(H84,1)=0,L84="FT90",S84&gt;0,INDEX(SourceTable[League],MAX(1,S84))=B84,INDEX(SourceTable[Season],MAX(1,S84))=C84,ISNUMBER(K84),K84=INDEX(SourceTable[Retrieved_UTC],MAX(1,S84)),J84&lt;&gt;"",M84&lt;&gt;"")),"INVALID",IF(OR(COUNTIFS('Istoric_Nativ'!$N$6:$N$405,N84,'Istoric_Nativ'!$G$6:$G$405,G84)&lt;&gt;COUNTIF('Istoric_Nativ'!$N$6:$N$405,N84),COUNTIFS('Istoric_Nativ'!$N$6:$N$405,N84,'Istoric_Nativ'!$H$6:$H$405,H84)&lt;&gt;COUNTIF('Istoric_Nativ'!$N$6:$N$405,N84)),"SOURCE CONFLICT",IF(COUNTIF($N$6:N84,N84)&gt;1,"DUPLICATE","VALID"))),"INVALID"))</x:f>
        <x:v>VALID</x:v>
      </x:c>
      <x:c r="P84" s="2" t="n">
        <x:f>IF(O84="VALID",1,0)</x:f>
        <x:v>1</x:v>
      </x:c>
      <x:c r="Q84" s="2" t="n">
        <x:f>IF(P84=1,G84+H84,0)</x:f>
        <x:v>12</x:v>
      </x:c>
      <x:c r="R84" s="2" t="n">
        <x:f>Q84^2</x:f>
        <x:v>144</x:v>
      </x:c>
      <x:c r="S84" s="2" t="n">
        <x:f>IF(A84="","",IFERROR(MATCH(I84,SourceTable[Source_ID],0),0))</x:f>
        <x:v>1</x:v>
      </x:c>
    </x:row>
    <x:row r="85" ht="21" customHeight="1">
      <x:c r="A85" s="7" t="str">
        <x:v>c31d671c4a71cd91456b</x:v>
      </x:c>
      <x:c r="B85" s="7" t="str">
        <x:v>E0</x:v>
      </x:c>
      <x:c r="C85" s="7" t="str">
        <x:v>2025/26</x:v>
      </x:c>
      <x:c r="D85" s="8" t="n">
        <x:v>45950</x:v>
      </x:c>
      <x:c r="E85" s="7" t="str">
        <x:v>West Ham</x:v>
      </x:c>
      <x:c r="F85" s="7" t="str">
        <x:v>Brentford</x:v>
      </x:c>
      <x:c r="G85" s="7" t="n">
        <x:v>6</x:v>
      </x:c>
      <x:c r="H85" s="7" t="n">
        <x:v>10</x:v>
      </x:c>
      <x:c r="I85" s="7" t="str">
        <x:v>FD_E0_2526</x:v>
      </x:c>
      <x:c r="J85" s="7" t="str">
        <x:v>https://www.football-data.co.uk/mmz4281/2526/E0.csv</x:v>
      </x:c>
      <x:c r="K85" s="8" t="n">
        <x:v>46278.70306712963</x:v>
      </x:c>
      <x:c r="L85" s="7" t="str">
        <x:v>FT90</x:v>
      </x:c>
      <x:c r="M85" s="7" t="str">
        <x:v>CSV row 81</x:v>
      </x:c>
      <x:c r="N85" s="2" t="str">
        <x:f>IF(AND(A85&lt;&gt;"",ISNUMBER(D85)),B85&amp;"|"&amp;C85&amp;"|"&amp;TEXT(D85,"yyyymmdd")&amp;"|"&amp;E85&amp;"|"&amp;F85,"")</x:f>
        <x:v>E0|2025/26|20251020|West Ham|Brentford</x:v>
      </x:c>
      <x:c r="O85" s="2" t="str">
        <x:f>IF(A85="","",IFERROR(IF(NOT(AND(B85&lt;&gt;"",C85&lt;&gt;"",ISNUMBER(D85),D85&gt;0,E85&lt;&gt;"",F85&lt;&gt;"",E85&lt;&gt;F85,ISNUMBER(G85),ISNUMBER(H85),G85&gt;=0,H85&gt;=0,G85&lt;=100,H85&lt;=100,MOD(G85,1)=0,MOD(H85,1)=0,L85="FT90",S85&gt;0,INDEX(SourceTable[League],MAX(1,S85))=B85,INDEX(SourceTable[Season],MAX(1,S85))=C85,ISNUMBER(K85),K85=INDEX(SourceTable[Retrieved_UTC],MAX(1,S85)),J85&lt;&gt;"",M85&lt;&gt;"")),"INVALID",IF(OR(COUNTIFS('Istoric_Nativ'!$N$6:$N$405,N85,'Istoric_Nativ'!$G$6:$G$405,G85)&lt;&gt;COUNTIF('Istoric_Nativ'!$N$6:$N$405,N85),COUNTIFS('Istoric_Nativ'!$N$6:$N$405,N85,'Istoric_Nativ'!$H$6:$H$405,H85)&lt;&gt;COUNTIF('Istoric_Nativ'!$N$6:$N$405,N85)),"SOURCE CONFLICT",IF(COUNTIF($N$6:N85,N85)&gt;1,"DUPLICATE","VALID"))),"INVALID"))</x:f>
        <x:v>VALID</x:v>
      </x:c>
      <x:c r="P85" s="2" t="n">
        <x:f>IF(O85="VALID",1,0)</x:f>
        <x:v>1</x:v>
      </x:c>
      <x:c r="Q85" s="2" t="n">
        <x:f>IF(P85=1,G85+H85,0)</x:f>
        <x:v>16</x:v>
      </x:c>
      <x:c r="R85" s="2" t="n">
        <x:f>Q85^2</x:f>
        <x:v>256</x:v>
      </x:c>
      <x:c r="S85" s="2" t="n">
        <x:f>IF(A85="","",IFERROR(MATCH(I85,SourceTable[Source_ID],0),0))</x:f>
        <x:v>1</x:v>
      </x:c>
    </x:row>
    <x:row r="86" ht="21" customHeight="1">
      <x:c r="A86" s="7" t="str">
        <x:v>84fbbbeb5092d8c9ce84</x:v>
      </x:c>
      <x:c r="B86" s="7" t="str">
        <x:v>E0</x:v>
      </x:c>
      <x:c r="C86" s="7" t="str">
        <x:v>2025/26</x:v>
      </x:c>
      <x:c r="D86" s="8" t="n">
        <x:v>45954</x:v>
      </x:c>
      <x:c r="E86" s="7" t="str">
        <x:v>Leeds</x:v>
      </x:c>
      <x:c r="F86" s="7" t="str">
        <x:v>West Ham</x:v>
      </x:c>
      <x:c r="G86" s="7" t="n">
        <x:v>3</x:v>
      </x:c>
      <x:c r="H86" s="7" t="n">
        <x:v>4</x:v>
      </x:c>
      <x:c r="I86" s="7" t="str">
        <x:v>FD_E0_2526</x:v>
      </x:c>
      <x:c r="J86" s="7" t="str">
        <x:v>https://www.football-data.co.uk/mmz4281/2526/E0.csv</x:v>
      </x:c>
      <x:c r="K86" s="8" t="n">
        <x:v>46278.70306712963</x:v>
      </x:c>
      <x:c r="L86" s="7" t="str">
        <x:v>FT90</x:v>
      </x:c>
      <x:c r="M86" s="7" t="str">
        <x:v>CSV row 82</x:v>
      </x:c>
      <x:c r="N86" s="2" t="str">
        <x:f>IF(AND(A86&lt;&gt;"",ISNUMBER(D86)),B86&amp;"|"&amp;C86&amp;"|"&amp;TEXT(D86,"yyyymmdd")&amp;"|"&amp;E86&amp;"|"&amp;F86,"")</x:f>
        <x:v>E0|2025/26|20251024|Leeds|West Ham</x:v>
      </x:c>
      <x:c r="O86" s="2" t="str">
        <x:f>IF(A86="","",IFERROR(IF(NOT(AND(B86&lt;&gt;"",C86&lt;&gt;"",ISNUMBER(D86),D86&gt;0,E86&lt;&gt;"",F86&lt;&gt;"",E86&lt;&gt;F86,ISNUMBER(G86),ISNUMBER(H86),G86&gt;=0,H86&gt;=0,G86&lt;=100,H86&lt;=100,MOD(G86,1)=0,MOD(H86,1)=0,L86="FT90",S86&gt;0,INDEX(SourceTable[League],MAX(1,S86))=B86,INDEX(SourceTable[Season],MAX(1,S86))=C86,ISNUMBER(K86),K86=INDEX(SourceTable[Retrieved_UTC],MAX(1,S86)),J86&lt;&gt;"",M86&lt;&gt;"")),"INVALID",IF(OR(COUNTIFS('Istoric_Nativ'!$N$6:$N$405,N86,'Istoric_Nativ'!$G$6:$G$405,G86)&lt;&gt;COUNTIF('Istoric_Nativ'!$N$6:$N$405,N86),COUNTIFS('Istoric_Nativ'!$N$6:$N$405,N86,'Istoric_Nativ'!$H$6:$H$405,H86)&lt;&gt;COUNTIF('Istoric_Nativ'!$N$6:$N$405,N86)),"SOURCE CONFLICT",IF(COUNTIF($N$6:N86,N86)&gt;1,"DUPLICATE","VALID"))),"INVALID"))</x:f>
        <x:v>VALID</x:v>
      </x:c>
      <x:c r="P86" s="2" t="n">
        <x:f>IF(O86="VALID",1,0)</x:f>
        <x:v>1</x:v>
      </x:c>
      <x:c r="Q86" s="2" t="n">
        <x:f>IF(P86=1,G86+H86,0)</x:f>
        <x:v>7</x:v>
      </x:c>
      <x:c r="R86" s="2" t="n">
        <x:f>Q86^2</x:f>
        <x:v>49</x:v>
      </x:c>
      <x:c r="S86" s="2" t="n">
        <x:f>IF(A86="","",IFERROR(MATCH(I86,SourceTable[Source_ID],0),0))</x:f>
        <x:v>1</x:v>
      </x:c>
    </x:row>
    <x:row r="87" ht="21" customHeight="1">
      <x:c r="A87" s="7" t="str">
        <x:v>34c29d1e9a7955a2c54b</x:v>
      </x:c>
      <x:c r="B87" s="7" t="str">
        <x:v>E0</x:v>
      </x:c>
      <x:c r="C87" s="7" t="str">
        <x:v>2025/26</x:v>
      </x:c>
      <x:c r="D87" s="8" t="n">
        <x:v>45955</x:v>
      </x:c>
      <x:c r="E87" s="7" t="str">
        <x:v>Brentford</x:v>
      </x:c>
      <x:c r="F87" s="7" t="str">
        <x:v>Liverpool</x:v>
      </x:c>
      <x:c r="G87" s="7" t="n">
        <x:v>5</x:v>
      </x:c>
      <x:c r="H87" s="7" t="n">
        <x:v>4</x:v>
      </x:c>
      <x:c r="I87" s="7" t="str">
        <x:v>FD_E0_2526</x:v>
      </x:c>
      <x:c r="J87" s="7" t="str">
        <x:v>https://www.football-data.co.uk/mmz4281/2526/E0.csv</x:v>
      </x:c>
      <x:c r="K87" s="8" t="n">
        <x:v>46278.70306712963</x:v>
      </x:c>
      <x:c r="L87" s="7" t="str">
        <x:v>FT90</x:v>
      </x:c>
      <x:c r="M87" s="7" t="str">
        <x:v>CSV row 86</x:v>
      </x:c>
      <x:c r="N87" s="2" t="str">
        <x:f>IF(AND(A87&lt;&gt;"",ISNUMBER(D87)),B87&amp;"|"&amp;C87&amp;"|"&amp;TEXT(D87,"yyyymmdd")&amp;"|"&amp;E87&amp;"|"&amp;F87,"")</x:f>
        <x:v>E0|2025/26|20251025|Brentford|Liverpool</x:v>
      </x:c>
      <x:c r="O87" s="2" t="str">
        <x:f>IF(A87="","",IFERROR(IF(NOT(AND(B87&lt;&gt;"",C87&lt;&gt;"",ISNUMBER(D87),D87&gt;0,E87&lt;&gt;"",F87&lt;&gt;"",E87&lt;&gt;F87,ISNUMBER(G87),ISNUMBER(H87),G87&gt;=0,H87&gt;=0,G87&lt;=100,H87&lt;=100,MOD(G87,1)=0,MOD(H87,1)=0,L87="FT90",S87&gt;0,INDEX(SourceTable[League],MAX(1,S87))=B87,INDEX(SourceTable[Season],MAX(1,S87))=C87,ISNUMBER(K87),K87=INDEX(SourceTable[Retrieved_UTC],MAX(1,S87)),J87&lt;&gt;"",M87&lt;&gt;"")),"INVALID",IF(OR(COUNTIFS('Istoric_Nativ'!$N$6:$N$405,N87,'Istoric_Nativ'!$G$6:$G$405,G87)&lt;&gt;COUNTIF('Istoric_Nativ'!$N$6:$N$405,N87),COUNTIFS('Istoric_Nativ'!$N$6:$N$405,N87,'Istoric_Nativ'!$H$6:$H$405,H87)&lt;&gt;COUNTIF('Istoric_Nativ'!$N$6:$N$405,N87)),"SOURCE CONFLICT",IF(COUNTIF($N$6:N87,N87)&gt;1,"DUPLICATE","VALID"))),"INVALID"))</x:f>
        <x:v>VALID</x:v>
      </x:c>
      <x:c r="P87" s="2" t="n">
        <x:f>IF(O87="VALID",1,0)</x:f>
        <x:v>1</x:v>
      </x:c>
      <x:c r="Q87" s="2" t="n">
        <x:f>IF(P87=1,G87+H87,0)</x:f>
        <x:v>9</x:v>
      </x:c>
      <x:c r="R87" s="2" t="n">
        <x:f>Q87^2</x:f>
        <x:v>81</x:v>
      </x:c>
      <x:c r="S87" s="2" t="n">
        <x:f>IF(A87="","",IFERROR(MATCH(I87,SourceTable[Source_ID],0),0))</x:f>
        <x:v>1</x:v>
      </x:c>
    </x:row>
    <x:row r="88" ht="21" customHeight="1">
      <x:c r="A88" s="7" t="str">
        <x:v>ce2b3d0f63708ea77357</x:v>
      </x:c>
      <x:c r="B88" s="7" t="str">
        <x:v>E0</x:v>
      </x:c>
      <x:c r="C88" s="7" t="str">
        <x:v>2025/26</x:v>
      </x:c>
      <x:c r="D88" s="8" t="n">
        <x:v>45955</x:v>
      </x:c>
      <x:c r="E88" s="7" t="str">
        <x:v>Chelsea</x:v>
      </x:c>
      <x:c r="F88" s="7" t="str">
        <x:v>Sunderland</x:v>
      </x:c>
      <x:c r="G88" s="7" t="n">
        <x:v>9</x:v>
      </x:c>
      <x:c r="H88" s="7" t="n">
        <x:v>1</x:v>
      </x:c>
      <x:c r="I88" s="7" t="str">
        <x:v>FD_E0_2526</x:v>
      </x:c>
      <x:c r="J88" s="7" t="str">
        <x:v>https://www.football-data.co.uk/mmz4281/2526/E0.csv</x:v>
      </x:c>
      <x:c r="K88" s="8" t="n">
        <x:v>46278.70306712963</x:v>
      </x:c>
      <x:c r="L88" s="7" t="str">
        <x:v>FT90</x:v>
      </x:c>
      <x:c r="M88" s="7" t="str">
        <x:v>CSV row 83</x:v>
      </x:c>
      <x:c r="N88" s="2" t="str">
        <x:f>IF(AND(A88&lt;&gt;"",ISNUMBER(D88)),B88&amp;"|"&amp;C88&amp;"|"&amp;TEXT(D88,"yyyymmdd")&amp;"|"&amp;E88&amp;"|"&amp;F88,"")</x:f>
        <x:v>E0|2025/26|20251025|Chelsea|Sunderland</x:v>
      </x:c>
      <x:c r="O88" s="2" t="str">
        <x:f>IF(A88="","",IFERROR(IF(NOT(AND(B88&lt;&gt;"",C88&lt;&gt;"",ISNUMBER(D88),D88&gt;0,E88&lt;&gt;"",F88&lt;&gt;"",E88&lt;&gt;F88,ISNUMBER(G88),ISNUMBER(H88),G88&gt;=0,H88&gt;=0,G88&lt;=100,H88&lt;=100,MOD(G88,1)=0,MOD(H88,1)=0,L88="FT90",S88&gt;0,INDEX(SourceTable[League],MAX(1,S88))=B88,INDEX(SourceTable[Season],MAX(1,S88))=C88,ISNUMBER(K88),K88=INDEX(SourceTable[Retrieved_UTC],MAX(1,S88)),J88&lt;&gt;"",M88&lt;&gt;"")),"INVALID",IF(OR(COUNTIFS('Istoric_Nativ'!$N$6:$N$405,N88,'Istoric_Nativ'!$G$6:$G$405,G88)&lt;&gt;COUNTIF('Istoric_Nativ'!$N$6:$N$405,N88),COUNTIFS('Istoric_Nativ'!$N$6:$N$405,N88,'Istoric_Nativ'!$H$6:$H$405,H88)&lt;&gt;COUNTIF('Istoric_Nativ'!$N$6:$N$405,N88)),"SOURCE CONFLICT",IF(COUNTIF($N$6:N88,N88)&gt;1,"DUPLICATE","VALID"))),"INVALID"))</x:f>
        <x:v>VALID</x:v>
      </x:c>
      <x:c r="P88" s="2" t="n">
        <x:f>IF(O88="VALID",1,0)</x:f>
        <x:v>1</x:v>
      </x:c>
      <x:c r="Q88" s="2" t="n">
        <x:f>IF(P88=1,G88+H88,0)</x:f>
        <x:v>10</x:v>
      </x:c>
      <x:c r="R88" s="2" t="n">
        <x:f>Q88^2</x:f>
        <x:v>100</x:v>
      </x:c>
      <x:c r="S88" s="2" t="n">
        <x:f>IF(A88="","",IFERROR(MATCH(I88,SourceTable[Source_ID],0),0))</x:f>
        <x:v>1</x:v>
      </x:c>
    </x:row>
    <x:row r="89" ht="21" customHeight="1">
      <x:c r="A89" s="7" t="str">
        <x:v>a2aca520f58d063ab255</x:v>
      </x:c>
      <x:c r="B89" s="7" t="str">
        <x:v>E0</x:v>
      </x:c>
      <x:c r="C89" s="7" t="str">
        <x:v>2025/26</x:v>
      </x:c>
      <x:c r="D89" s="8" t="n">
        <x:v>45955</x:v>
      </x:c>
      <x:c r="E89" s="7" t="str">
        <x:v>Man United</x:v>
      </x:c>
      <x:c r="F89" s="7" t="str">
        <x:v>Brighton</x:v>
      </x:c>
      <x:c r="G89" s="7" t="n">
        <x:v>1</x:v>
      </x:c>
      <x:c r="H89" s="7" t="n">
        <x:v>6</x:v>
      </x:c>
      <x:c r="I89" s="7" t="str">
        <x:v>FD_E0_2526</x:v>
      </x:c>
      <x:c r="J89" s="7" t="str">
        <x:v>https://www.football-data.co.uk/mmz4281/2526/E0.csv</x:v>
      </x:c>
      <x:c r="K89" s="8" t="n">
        <x:v>46278.70306712963</x:v>
      </x:c>
      <x:c r="L89" s="7" t="str">
        <x:v>FT90</x:v>
      </x:c>
      <x:c r="M89" s="7" t="str">
        <x:v>CSV row 85</x:v>
      </x:c>
      <x:c r="N89" s="2" t="str">
        <x:f>IF(AND(A89&lt;&gt;"",ISNUMBER(D89)),B89&amp;"|"&amp;C89&amp;"|"&amp;TEXT(D89,"yyyymmdd")&amp;"|"&amp;E89&amp;"|"&amp;F89,"")</x:f>
        <x:v>E0|2025/26|20251025|Man United|Brighton</x:v>
      </x:c>
      <x:c r="O89" s="2" t="str">
        <x:f>IF(A89="","",IFERROR(IF(NOT(AND(B89&lt;&gt;"",C89&lt;&gt;"",ISNUMBER(D89),D89&gt;0,E89&lt;&gt;"",F89&lt;&gt;"",E89&lt;&gt;F89,ISNUMBER(G89),ISNUMBER(H89),G89&gt;=0,H89&gt;=0,G89&lt;=100,H89&lt;=100,MOD(G89,1)=0,MOD(H89,1)=0,L89="FT90",S89&gt;0,INDEX(SourceTable[League],MAX(1,S89))=B89,INDEX(SourceTable[Season],MAX(1,S89))=C89,ISNUMBER(K89),K89=INDEX(SourceTable[Retrieved_UTC],MAX(1,S89)),J89&lt;&gt;"",M89&lt;&gt;"")),"INVALID",IF(OR(COUNTIFS('Istoric_Nativ'!$N$6:$N$405,N89,'Istoric_Nativ'!$G$6:$G$405,G89)&lt;&gt;COUNTIF('Istoric_Nativ'!$N$6:$N$405,N89),COUNTIFS('Istoric_Nativ'!$N$6:$N$405,N89,'Istoric_Nativ'!$H$6:$H$405,H89)&lt;&gt;COUNTIF('Istoric_Nativ'!$N$6:$N$405,N89)),"SOURCE CONFLICT",IF(COUNTIF($N$6:N89,N89)&gt;1,"DUPLICATE","VALID"))),"INVALID"))</x:f>
        <x:v>VALID</x:v>
      </x:c>
      <x:c r="P89" s="2" t="n">
        <x:f>IF(O89="VALID",1,0)</x:f>
        <x:v>1</x:v>
      </x:c>
      <x:c r="Q89" s="2" t="n">
        <x:f>IF(P89=1,G89+H89,0)</x:f>
        <x:v>7</x:v>
      </x:c>
      <x:c r="R89" s="2" t="n">
        <x:f>Q89^2</x:f>
        <x:v>49</x:v>
      </x:c>
      <x:c r="S89" s="2" t="n">
        <x:f>IF(A89="","",IFERROR(MATCH(I89,SourceTable[Source_ID],0),0))</x:f>
        <x:v>1</x:v>
      </x:c>
    </x:row>
    <x:row r="90" ht="21" customHeight="1">
      <x:c r="A90" s="7" t="str">
        <x:v>d8035d50db74e383799b</x:v>
      </x:c>
      <x:c r="B90" s="7" t="str">
        <x:v>E0</x:v>
      </x:c>
      <x:c r="C90" s="7" t="str">
        <x:v>2025/26</x:v>
      </x:c>
      <x:c r="D90" s="8" t="n">
        <x:v>45955</x:v>
      </x:c>
      <x:c r="E90" s="7" t="str">
        <x:v>Newcastle</x:v>
      </x:c>
      <x:c r="F90" s="7" t="str">
        <x:v>Fulham</x:v>
      </x:c>
      <x:c r="G90" s="7" t="n">
        <x:v>4</x:v>
      </x:c>
      <x:c r="H90" s="7" t="n">
        <x:v>3</x:v>
      </x:c>
      <x:c r="I90" s="7" t="str">
        <x:v>FD_E0_2526</x:v>
      </x:c>
      <x:c r="J90" s="7" t="str">
        <x:v>https://www.football-data.co.uk/mmz4281/2526/E0.csv</x:v>
      </x:c>
      <x:c r="K90" s="8" t="n">
        <x:v>46278.70306712963</x:v>
      </x:c>
      <x:c r="L90" s="7" t="str">
        <x:v>FT90</x:v>
      </x:c>
      <x:c r="M90" s="7" t="str">
        <x:v>CSV row 84</x:v>
      </x:c>
      <x:c r="N90" s="2" t="str">
        <x:f>IF(AND(A90&lt;&gt;"",ISNUMBER(D90)),B90&amp;"|"&amp;C90&amp;"|"&amp;TEXT(D90,"yyyymmdd")&amp;"|"&amp;E90&amp;"|"&amp;F90,"")</x:f>
        <x:v>E0|2025/26|20251025|Newcastle|Fulham</x:v>
      </x:c>
      <x:c r="O90" s="2" t="str">
        <x:f>IF(A90="","",IFERROR(IF(NOT(AND(B90&lt;&gt;"",C90&lt;&gt;"",ISNUMBER(D90),D90&gt;0,E90&lt;&gt;"",F90&lt;&gt;"",E90&lt;&gt;F90,ISNUMBER(G90),ISNUMBER(H90),G90&gt;=0,H90&gt;=0,G90&lt;=100,H90&lt;=100,MOD(G90,1)=0,MOD(H90,1)=0,L90="FT90",S90&gt;0,INDEX(SourceTable[League],MAX(1,S90))=B90,INDEX(SourceTable[Season],MAX(1,S90))=C90,ISNUMBER(K90),K90=INDEX(SourceTable[Retrieved_UTC],MAX(1,S90)),J90&lt;&gt;"",M90&lt;&gt;"")),"INVALID",IF(OR(COUNTIFS('Istoric_Nativ'!$N$6:$N$405,N90,'Istoric_Nativ'!$G$6:$G$405,G90)&lt;&gt;COUNTIF('Istoric_Nativ'!$N$6:$N$405,N90),COUNTIFS('Istoric_Nativ'!$N$6:$N$405,N90,'Istoric_Nativ'!$H$6:$H$405,H90)&lt;&gt;COUNTIF('Istoric_Nativ'!$N$6:$N$405,N90)),"SOURCE CONFLICT",IF(COUNTIF($N$6:N90,N90)&gt;1,"DUPLICATE","VALID"))),"INVALID"))</x:f>
        <x:v>VALID</x:v>
      </x:c>
      <x:c r="P90" s="2" t="n">
        <x:f>IF(O90="VALID",1,0)</x:f>
        <x:v>1</x:v>
      </x:c>
      <x:c r="Q90" s="2" t="n">
        <x:f>IF(P90=1,G90+H90,0)</x:f>
        <x:v>7</x:v>
      </x:c>
      <x:c r="R90" s="2" t="n">
        <x:f>Q90^2</x:f>
        <x:v>49</x:v>
      </x:c>
      <x:c r="S90" s="2" t="n">
        <x:f>IF(A90="","",IFERROR(MATCH(I90,SourceTable[Source_ID],0),0))</x:f>
        <x:v>1</x:v>
      </x:c>
    </x:row>
    <x:row r="91" ht="21" customHeight="1">
      <x:c r="A91" s="7" t="str">
        <x:v>20cfed9a8ce2abe744e8</x:v>
      </x:c>
      <x:c r="B91" s="7" t="str">
        <x:v>E0</x:v>
      </x:c>
      <x:c r="C91" s="7" t="str">
        <x:v>2025/26</x:v>
      </x:c>
      <x:c r="D91" s="8" t="n">
        <x:v>45956</x:v>
      </x:c>
      <x:c r="E91" s="7" t="str">
        <x:v>Arsenal</x:v>
      </x:c>
      <x:c r="F91" s="7" t="str">
        <x:v>Crystal Palace</x:v>
      </x:c>
      <x:c r="G91" s="7" t="n">
        <x:v>4</x:v>
      </x:c>
      <x:c r="H91" s="7" t="n">
        <x:v>3</x:v>
      </x:c>
      <x:c r="I91" s="7" t="str">
        <x:v>FD_E0_2526</x:v>
      </x:c>
      <x:c r="J91" s="7" t="str">
        <x:v>https://www.football-data.co.uk/mmz4281/2526/E0.csv</x:v>
      </x:c>
      <x:c r="K91" s="8" t="n">
        <x:v>46278.70306712963</x:v>
      </x:c>
      <x:c r="L91" s="7" t="str">
        <x:v>FT90</x:v>
      </x:c>
      <x:c r="M91" s="7" t="str">
        <x:v>CSV row 87</x:v>
      </x:c>
      <x:c r="N91" s="2" t="str">
        <x:f>IF(AND(A91&lt;&gt;"",ISNUMBER(D91)),B91&amp;"|"&amp;C91&amp;"|"&amp;TEXT(D91,"yyyymmdd")&amp;"|"&amp;E91&amp;"|"&amp;F91,"")</x:f>
        <x:v>E0|2025/26|20251026|Arsenal|Crystal Palace</x:v>
      </x:c>
      <x:c r="O91" s="2" t="str">
        <x:f>IF(A91="","",IFERROR(IF(NOT(AND(B91&lt;&gt;"",C91&lt;&gt;"",ISNUMBER(D91),D91&gt;0,E91&lt;&gt;"",F91&lt;&gt;"",E91&lt;&gt;F91,ISNUMBER(G91),ISNUMBER(H91),G91&gt;=0,H91&gt;=0,G91&lt;=100,H91&lt;=100,MOD(G91,1)=0,MOD(H91,1)=0,L91="FT90",S91&gt;0,INDEX(SourceTable[League],MAX(1,S91))=B91,INDEX(SourceTable[Season],MAX(1,S91))=C91,ISNUMBER(K91),K91=INDEX(SourceTable[Retrieved_UTC],MAX(1,S91)),J91&lt;&gt;"",M91&lt;&gt;"")),"INVALID",IF(OR(COUNTIFS('Istoric_Nativ'!$N$6:$N$405,N91,'Istoric_Nativ'!$G$6:$G$405,G91)&lt;&gt;COUNTIF('Istoric_Nativ'!$N$6:$N$405,N91),COUNTIFS('Istoric_Nativ'!$N$6:$N$405,N91,'Istoric_Nativ'!$H$6:$H$405,H91)&lt;&gt;COUNTIF('Istoric_Nativ'!$N$6:$N$405,N91)),"SOURCE CONFLICT",IF(COUNTIF($N$6:N91,N91)&gt;1,"DUPLICATE","VALID"))),"INVALID"))</x:f>
        <x:v>VALID</x:v>
      </x:c>
      <x:c r="P91" s="2" t="n">
        <x:f>IF(O91="VALID",1,0)</x:f>
        <x:v>1</x:v>
      </x:c>
      <x:c r="Q91" s="2" t="n">
        <x:f>IF(P91=1,G91+H91,0)</x:f>
        <x:v>7</x:v>
      </x:c>
      <x:c r="R91" s="2" t="n">
        <x:f>Q91^2</x:f>
        <x:v>49</x:v>
      </x:c>
      <x:c r="S91" s="2" t="n">
        <x:f>IF(A91="","",IFERROR(MATCH(I91,SourceTable[Source_ID],0),0))</x:f>
        <x:v>1</x:v>
      </x:c>
    </x:row>
    <x:row r="92" ht="21" customHeight="1">
      <x:c r="A92" s="7" t="str">
        <x:v>54eaf7e9c69acedd612a</x:v>
      </x:c>
      <x:c r="B92" s="7" t="str">
        <x:v>E0</x:v>
      </x:c>
      <x:c r="C92" s="7" t="str">
        <x:v>2025/26</x:v>
      </x:c>
      <x:c r="D92" s="8" t="n">
        <x:v>45956</x:v>
      </x:c>
      <x:c r="E92" s="7" t="str">
        <x:v>Aston Villa</x:v>
      </x:c>
      <x:c r="F92" s="7" t="str">
        <x:v>Man City</x:v>
      </x:c>
      <x:c r="G92" s="7" t="n">
        <x:v>5</x:v>
      </x:c>
      <x:c r="H92" s="7" t="n">
        <x:v>6</x:v>
      </x:c>
      <x:c r="I92" s="7" t="str">
        <x:v>FD_E0_2526</x:v>
      </x:c>
      <x:c r="J92" s="7" t="str">
        <x:v>https://www.football-data.co.uk/mmz4281/2526/E0.csv</x:v>
      </x:c>
      <x:c r="K92" s="8" t="n">
        <x:v>46278.70306712963</x:v>
      </x:c>
      <x:c r="L92" s="7" t="str">
        <x:v>FT90</x:v>
      </x:c>
      <x:c r="M92" s="7" t="str">
        <x:v>CSV row 88</x:v>
      </x:c>
      <x:c r="N92" s="2" t="str">
        <x:f>IF(AND(A92&lt;&gt;"",ISNUMBER(D92)),B92&amp;"|"&amp;C92&amp;"|"&amp;TEXT(D92,"yyyymmdd")&amp;"|"&amp;E92&amp;"|"&amp;F92,"")</x:f>
        <x:v>E0|2025/26|20251026|Aston Villa|Man City</x:v>
      </x:c>
      <x:c r="O92" s="2" t="str">
        <x:f>IF(A92="","",IFERROR(IF(NOT(AND(B92&lt;&gt;"",C92&lt;&gt;"",ISNUMBER(D92),D92&gt;0,E92&lt;&gt;"",F92&lt;&gt;"",E92&lt;&gt;F92,ISNUMBER(G92),ISNUMBER(H92),G92&gt;=0,H92&gt;=0,G92&lt;=100,H92&lt;=100,MOD(G92,1)=0,MOD(H92,1)=0,L92="FT90",S92&gt;0,INDEX(SourceTable[League],MAX(1,S92))=B92,INDEX(SourceTable[Season],MAX(1,S92))=C92,ISNUMBER(K92),K92=INDEX(SourceTable[Retrieved_UTC],MAX(1,S92)),J92&lt;&gt;"",M92&lt;&gt;"")),"INVALID",IF(OR(COUNTIFS('Istoric_Nativ'!$N$6:$N$405,N92,'Istoric_Nativ'!$G$6:$G$405,G92)&lt;&gt;COUNTIF('Istoric_Nativ'!$N$6:$N$405,N92),COUNTIFS('Istoric_Nativ'!$N$6:$N$405,N92,'Istoric_Nativ'!$H$6:$H$405,H92)&lt;&gt;COUNTIF('Istoric_Nativ'!$N$6:$N$405,N92)),"SOURCE CONFLICT",IF(COUNTIF($N$6:N92,N92)&gt;1,"DUPLICATE","VALID"))),"INVALID"))</x:f>
        <x:v>VALID</x:v>
      </x:c>
      <x:c r="P92" s="2" t="n">
        <x:f>IF(O92="VALID",1,0)</x:f>
        <x:v>1</x:v>
      </x:c>
      <x:c r="Q92" s="2" t="n">
        <x:f>IF(P92=1,G92+H92,0)</x:f>
        <x:v>11</x:v>
      </x:c>
      <x:c r="R92" s="2" t="n">
        <x:f>Q92^2</x:f>
        <x:v>121</x:v>
      </x:c>
      <x:c r="S92" s="2" t="n">
        <x:f>IF(A92="","",IFERROR(MATCH(I92,SourceTable[Source_ID],0),0))</x:f>
        <x:v>1</x:v>
      </x:c>
    </x:row>
    <x:row r="93" ht="21" customHeight="1">
      <x:c r="A93" s="7" t="str">
        <x:v>3f04828e56c9a61e10a8</x:v>
      </x:c>
      <x:c r="B93" s="7" t="str">
        <x:v>E0</x:v>
      </x:c>
      <x:c r="C93" s="7" t="str">
        <x:v>2025/26</x:v>
      </x:c>
      <x:c r="D93" s="8" t="n">
        <x:v>45956</x:v>
      </x:c>
      <x:c r="E93" s="7" t="str">
        <x:v>Bournemouth</x:v>
      </x:c>
      <x:c r="F93" s="7" t="str">
        <x:v>Nott'm Forest</x:v>
      </x:c>
      <x:c r="G93" s="7" t="n">
        <x:v>6</x:v>
      </x:c>
      <x:c r="H93" s="7" t="n">
        <x:v>4</x:v>
      </x:c>
      <x:c r="I93" s="7" t="str">
        <x:v>FD_E0_2526</x:v>
      </x:c>
      <x:c r="J93" s="7" t="str">
        <x:v>https://www.football-data.co.uk/mmz4281/2526/E0.csv</x:v>
      </x:c>
      <x:c r="K93" s="8" t="n">
        <x:v>46278.70306712963</x:v>
      </x:c>
      <x:c r="L93" s="7" t="str">
        <x:v>FT90</x:v>
      </x:c>
      <x:c r="M93" s="7" t="str">
        <x:v>CSV row 89</x:v>
      </x:c>
      <x:c r="N93" s="2" t="str">
        <x:f>IF(AND(A93&lt;&gt;"",ISNUMBER(D93)),B93&amp;"|"&amp;C93&amp;"|"&amp;TEXT(D93,"yyyymmdd")&amp;"|"&amp;E93&amp;"|"&amp;F93,"")</x:f>
        <x:v>E0|2025/26|20251026|Bournemouth|Nott'm Forest</x:v>
      </x:c>
      <x:c r="O93" s="2" t="str">
        <x:f>IF(A93="","",IFERROR(IF(NOT(AND(B93&lt;&gt;"",C93&lt;&gt;"",ISNUMBER(D93),D93&gt;0,E93&lt;&gt;"",F93&lt;&gt;"",E93&lt;&gt;F93,ISNUMBER(G93),ISNUMBER(H93),G93&gt;=0,H93&gt;=0,G93&lt;=100,H93&lt;=100,MOD(G93,1)=0,MOD(H93,1)=0,L93="FT90",S93&gt;0,INDEX(SourceTable[League],MAX(1,S93))=B93,INDEX(SourceTable[Season],MAX(1,S93))=C93,ISNUMBER(K93),K93=INDEX(SourceTable[Retrieved_UTC],MAX(1,S93)),J93&lt;&gt;"",M93&lt;&gt;"")),"INVALID",IF(OR(COUNTIFS('Istoric_Nativ'!$N$6:$N$405,N93,'Istoric_Nativ'!$G$6:$G$405,G93)&lt;&gt;COUNTIF('Istoric_Nativ'!$N$6:$N$405,N93),COUNTIFS('Istoric_Nativ'!$N$6:$N$405,N93,'Istoric_Nativ'!$H$6:$H$405,H93)&lt;&gt;COUNTIF('Istoric_Nativ'!$N$6:$N$405,N93)),"SOURCE CONFLICT",IF(COUNTIF($N$6:N93,N93)&gt;1,"DUPLICATE","VALID"))),"INVALID"))</x:f>
        <x:v>VALID</x:v>
      </x:c>
      <x:c r="P93" s="2" t="n">
        <x:f>IF(O93="VALID",1,0)</x:f>
        <x:v>1</x:v>
      </x:c>
      <x:c r="Q93" s="2" t="n">
        <x:f>IF(P93=1,G93+H93,0)</x:f>
        <x:v>10</x:v>
      </x:c>
      <x:c r="R93" s="2" t="n">
        <x:f>Q93^2</x:f>
        <x:v>100</x:v>
      </x:c>
      <x:c r="S93" s="2" t="n">
        <x:f>IF(A93="","",IFERROR(MATCH(I93,SourceTable[Source_ID],0),0))</x:f>
        <x:v>1</x:v>
      </x:c>
    </x:row>
    <x:row r="94" ht="21" customHeight="1">
      <x:c r="A94" s="7" t="str">
        <x:v>943a0cdfdb05008d6008</x:v>
      </x:c>
      <x:c r="B94" s="7" t="str">
        <x:v>E0</x:v>
      </x:c>
      <x:c r="C94" s="7" t="str">
        <x:v>2025/26</x:v>
      </x:c>
      <x:c r="D94" s="8" t="n">
        <x:v>45956</x:v>
      </x:c>
      <x:c r="E94" s="7" t="str">
        <x:v>Everton</x:v>
      </x:c>
      <x:c r="F94" s="7" t="str">
        <x:v>Tottenham</x:v>
      </x:c>
      <x:c r="G94" s="7" t="n">
        <x:v>9</x:v>
      </x:c>
      <x:c r="H94" s="7" t="n">
        <x:v>8</x:v>
      </x:c>
      <x:c r="I94" s="7" t="str">
        <x:v>FD_E0_2526</x:v>
      </x:c>
      <x:c r="J94" s="7" t="str">
        <x:v>https://www.football-data.co.uk/mmz4281/2526/E0.csv</x:v>
      </x:c>
      <x:c r="K94" s="8" t="n">
        <x:v>46278.70306712963</x:v>
      </x:c>
      <x:c r="L94" s="7" t="str">
        <x:v>FT90</x:v>
      </x:c>
      <x:c r="M94" s="7" t="str">
        <x:v>CSV row 91</x:v>
      </x:c>
      <x:c r="N94" s="2" t="str">
        <x:f>IF(AND(A94&lt;&gt;"",ISNUMBER(D94)),B94&amp;"|"&amp;C94&amp;"|"&amp;TEXT(D94,"yyyymmdd")&amp;"|"&amp;E94&amp;"|"&amp;F94,"")</x:f>
        <x:v>E0|2025/26|20251026|Everton|Tottenham</x:v>
      </x:c>
      <x:c r="O94" s="2" t="str">
        <x:f>IF(A94="","",IFERROR(IF(NOT(AND(B94&lt;&gt;"",C94&lt;&gt;"",ISNUMBER(D94),D94&gt;0,E94&lt;&gt;"",F94&lt;&gt;"",E94&lt;&gt;F94,ISNUMBER(G94),ISNUMBER(H94),G94&gt;=0,H94&gt;=0,G94&lt;=100,H94&lt;=100,MOD(G94,1)=0,MOD(H94,1)=0,L94="FT90",S94&gt;0,INDEX(SourceTable[League],MAX(1,S94))=B94,INDEX(SourceTable[Season],MAX(1,S94))=C94,ISNUMBER(K94),K94=INDEX(SourceTable[Retrieved_UTC],MAX(1,S94)),J94&lt;&gt;"",M94&lt;&gt;"")),"INVALID",IF(OR(COUNTIFS('Istoric_Nativ'!$N$6:$N$405,N94,'Istoric_Nativ'!$G$6:$G$405,G94)&lt;&gt;COUNTIF('Istoric_Nativ'!$N$6:$N$405,N94),COUNTIFS('Istoric_Nativ'!$N$6:$N$405,N94,'Istoric_Nativ'!$H$6:$H$405,H94)&lt;&gt;COUNTIF('Istoric_Nativ'!$N$6:$N$405,N94)),"SOURCE CONFLICT",IF(COUNTIF($N$6:N94,N94)&gt;1,"DUPLICATE","VALID"))),"INVALID"))</x:f>
        <x:v>VALID</x:v>
      </x:c>
      <x:c r="P94" s="2" t="n">
        <x:f>IF(O94="VALID",1,0)</x:f>
        <x:v>1</x:v>
      </x:c>
      <x:c r="Q94" s="2" t="n">
        <x:f>IF(P94=1,G94+H94,0)</x:f>
        <x:v>17</x:v>
      </x:c>
      <x:c r="R94" s="2" t="n">
        <x:f>Q94^2</x:f>
        <x:v>289</x:v>
      </x:c>
      <x:c r="S94" s="2" t="n">
        <x:f>IF(A94="","",IFERROR(MATCH(I94,SourceTable[Source_ID],0),0))</x:f>
        <x:v>1</x:v>
      </x:c>
    </x:row>
    <x:row r="95" ht="21" customHeight="1">
      <x:c r="A95" s="7" t="str">
        <x:v>a29a960a9171c5d85098</x:v>
      </x:c>
      <x:c r="B95" s="7" t="str">
        <x:v>E0</x:v>
      </x:c>
      <x:c r="C95" s="7" t="str">
        <x:v>2025/26</x:v>
      </x:c>
      <x:c r="D95" s="8" t="n">
        <x:v>45956</x:v>
      </x:c>
      <x:c r="E95" s="7" t="str">
        <x:v>Wolves</x:v>
      </x:c>
      <x:c r="F95" s="7" t="str">
        <x:v>Burnley</x:v>
      </x:c>
      <x:c r="G95" s="7" t="n">
        <x:v>5</x:v>
      </x:c>
      <x:c r="H95" s="7" t="n">
        <x:v>3</x:v>
      </x:c>
      <x:c r="I95" s="7" t="str">
        <x:v>FD_E0_2526</x:v>
      </x:c>
      <x:c r="J95" s="7" t="str">
        <x:v>https://www.football-data.co.uk/mmz4281/2526/E0.csv</x:v>
      </x:c>
      <x:c r="K95" s="8" t="n">
        <x:v>46278.70306712963</x:v>
      </x:c>
      <x:c r="L95" s="7" t="str">
        <x:v>FT90</x:v>
      </x:c>
      <x:c r="M95" s="7" t="str">
        <x:v>CSV row 90</x:v>
      </x:c>
      <x:c r="N95" s="2" t="str">
        <x:f>IF(AND(A95&lt;&gt;"",ISNUMBER(D95)),B95&amp;"|"&amp;C95&amp;"|"&amp;TEXT(D95,"yyyymmdd")&amp;"|"&amp;E95&amp;"|"&amp;F95,"")</x:f>
        <x:v>E0|2025/26|20251026|Wolves|Burnley</x:v>
      </x:c>
      <x:c r="O95" s="2" t="str">
        <x:f>IF(A95="","",IFERROR(IF(NOT(AND(B95&lt;&gt;"",C95&lt;&gt;"",ISNUMBER(D95),D95&gt;0,E95&lt;&gt;"",F95&lt;&gt;"",E95&lt;&gt;F95,ISNUMBER(G95),ISNUMBER(H95),G95&gt;=0,H95&gt;=0,G95&lt;=100,H95&lt;=100,MOD(G95,1)=0,MOD(H95,1)=0,L95="FT90",S95&gt;0,INDEX(SourceTable[League],MAX(1,S95))=B95,INDEX(SourceTable[Season],MAX(1,S95))=C95,ISNUMBER(K95),K95=INDEX(SourceTable[Retrieved_UTC],MAX(1,S95)),J95&lt;&gt;"",M95&lt;&gt;"")),"INVALID",IF(OR(COUNTIFS('Istoric_Nativ'!$N$6:$N$405,N95,'Istoric_Nativ'!$G$6:$G$405,G95)&lt;&gt;COUNTIF('Istoric_Nativ'!$N$6:$N$405,N95),COUNTIFS('Istoric_Nativ'!$N$6:$N$405,N95,'Istoric_Nativ'!$H$6:$H$405,H95)&lt;&gt;COUNTIF('Istoric_Nativ'!$N$6:$N$405,N95)),"SOURCE CONFLICT",IF(COUNTIF($N$6:N95,N95)&gt;1,"DUPLICATE","VALID"))),"INVALID"))</x:f>
        <x:v>VALID</x:v>
      </x:c>
      <x:c r="P95" s="2" t="n">
        <x:f>IF(O95="VALID",1,0)</x:f>
        <x:v>1</x:v>
      </x:c>
      <x:c r="Q95" s="2" t="n">
        <x:f>IF(P95=1,G95+H95,0)</x:f>
        <x:v>8</x:v>
      </x:c>
      <x:c r="R95" s="2" t="n">
        <x:f>Q95^2</x:f>
        <x:v>64</x:v>
      </x:c>
      <x:c r="S95" s="2" t="n">
        <x:f>IF(A95="","",IFERROR(MATCH(I95,SourceTable[Source_ID],0),0))</x:f>
        <x:v>1</x:v>
      </x:c>
    </x:row>
    <x:row r="96" ht="21" customHeight="1">
      <x:c r="A96" s="7" t="str">
        <x:v>b3419ca5c7783c0167e5</x:v>
      </x:c>
      <x:c r="B96" s="7" t="str">
        <x:v>E0</x:v>
      </x:c>
      <x:c r="C96" s="7" t="str">
        <x:v>2025/26</x:v>
      </x:c>
      <x:c r="D96" s="8" t="n">
        <x:v>45962</x:v>
      </x:c>
      <x:c r="E96" s="7" t="str">
        <x:v>Brighton</x:v>
      </x:c>
      <x:c r="F96" s="7" t="str">
        <x:v>Leeds</x:v>
      </x:c>
      <x:c r="G96" s="7" t="n">
        <x:v>4</x:v>
      </x:c>
      <x:c r="H96" s="7" t="n">
        <x:v>7</x:v>
      </x:c>
      <x:c r="I96" s="7" t="str">
        <x:v>FD_E0_2526</x:v>
      </x:c>
      <x:c r="J96" s="7" t="str">
        <x:v>https://www.football-data.co.uk/mmz4281/2526/E0.csv</x:v>
      </x:c>
      <x:c r="K96" s="8" t="n">
        <x:v>46278.70306712963</x:v>
      </x:c>
      <x:c r="L96" s="7" t="str">
        <x:v>FT90</x:v>
      </x:c>
      <x:c r="M96" s="7" t="str">
        <x:v>CSV row 92</x:v>
      </x:c>
      <x:c r="N96" s="2" t="str">
        <x:f>IF(AND(A96&lt;&gt;"",ISNUMBER(D96)),B96&amp;"|"&amp;C96&amp;"|"&amp;TEXT(D96,"yyyymmdd")&amp;"|"&amp;E96&amp;"|"&amp;F96,"")</x:f>
        <x:v>E0|2025/26|20251101|Brighton|Leeds</x:v>
      </x:c>
      <x:c r="O96" s="2" t="str">
        <x:f>IF(A96="","",IFERROR(IF(NOT(AND(B96&lt;&gt;"",C96&lt;&gt;"",ISNUMBER(D96),D96&gt;0,E96&lt;&gt;"",F96&lt;&gt;"",E96&lt;&gt;F96,ISNUMBER(G96),ISNUMBER(H96),G96&gt;=0,H96&gt;=0,G96&lt;=100,H96&lt;=100,MOD(G96,1)=0,MOD(H96,1)=0,L96="FT90",S96&gt;0,INDEX(SourceTable[League],MAX(1,S96))=B96,INDEX(SourceTable[Season],MAX(1,S96))=C96,ISNUMBER(K96),K96=INDEX(SourceTable[Retrieved_UTC],MAX(1,S96)),J96&lt;&gt;"",M96&lt;&gt;"")),"INVALID",IF(OR(COUNTIFS('Istoric_Nativ'!$N$6:$N$405,N96,'Istoric_Nativ'!$G$6:$G$405,G96)&lt;&gt;COUNTIF('Istoric_Nativ'!$N$6:$N$405,N96),COUNTIFS('Istoric_Nativ'!$N$6:$N$405,N96,'Istoric_Nativ'!$H$6:$H$405,H96)&lt;&gt;COUNTIF('Istoric_Nativ'!$N$6:$N$405,N96)),"SOURCE CONFLICT",IF(COUNTIF($N$6:N96,N96)&gt;1,"DUPLICATE","VALID"))),"INVALID"))</x:f>
        <x:v>VALID</x:v>
      </x:c>
      <x:c r="P96" s="2" t="n">
        <x:f>IF(O96="VALID",1,0)</x:f>
        <x:v>1</x:v>
      </x:c>
      <x:c r="Q96" s="2" t="n">
        <x:f>IF(P96=1,G96+H96,0)</x:f>
        <x:v>11</x:v>
      </x:c>
      <x:c r="R96" s="2" t="n">
        <x:f>Q96^2</x:f>
        <x:v>121</x:v>
      </x:c>
      <x:c r="S96" s="2" t="n">
        <x:f>IF(A96="","",IFERROR(MATCH(I96,SourceTable[Source_ID],0),0))</x:f>
        <x:v>1</x:v>
      </x:c>
    </x:row>
    <x:row r="97" ht="21" customHeight="1">
      <x:c r="A97" s="7" t="str">
        <x:v>21c9e1c43ca0e48ca8d3</x:v>
      </x:c>
      <x:c r="B97" s="7" t="str">
        <x:v>E0</x:v>
      </x:c>
      <x:c r="C97" s="7" t="str">
        <x:v>2025/26</x:v>
      </x:c>
      <x:c r="D97" s="8" t="n">
        <x:v>45962</x:v>
      </x:c>
      <x:c r="E97" s="7" t="str">
        <x:v>Burnley</x:v>
      </x:c>
      <x:c r="F97" s="7" t="str">
        <x:v>Arsenal</x:v>
      </x:c>
      <x:c r="G97" s="7" t="n">
        <x:v>1</x:v>
      </x:c>
      <x:c r="H97" s="7" t="n">
        <x:v>6</x:v>
      </x:c>
      <x:c r="I97" s="7" t="str">
        <x:v>FD_E0_2526</x:v>
      </x:c>
      <x:c r="J97" s="7" t="str">
        <x:v>https://www.football-data.co.uk/mmz4281/2526/E0.csv</x:v>
      </x:c>
      <x:c r="K97" s="8" t="n">
        <x:v>46278.70306712963</x:v>
      </x:c>
      <x:c r="L97" s="7" t="str">
        <x:v>FT90</x:v>
      </x:c>
      <x:c r="M97" s="7" t="str">
        <x:v>CSV row 93</x:v>
      </x:c>
      <x:c r="N97" s="2" t="str">
        <x:f>IF(AND(A97&lt;&gt;"",ISNUMBER(D97)),B97&amp;"|"&amp;C97&amp;"|"&amp;TEXT(D97,"yyyymmdd")&amp;"|"&amp;E97&amp;"|"&amp;F97,"")</x:f>
        <x:v>E0|2025/26|20251101|Burnley|Arsenal</x:v>
      </x:c>
      <x:c r="O97" s="2" t="str">
        <x:f>IF(A97="","",IFERROR(IF(NOT(AND(B97&lt;&gt;"",C97&lt;&gt;"",ISNUMBER(D97),D97&gt;0,E97&lt;&gt;"",F97&lt;&gt;"",E97&lt;&gt;F97,ISNUMBER(G97),ISNUMBER(H97),G97&gt;=0,H97&gt;=0,G97&lt;=100,H97&lt;=100,MOD(G97,1)=0,MOD(H97,1)=0,L97="FT90",S97&gt;0,INDEX(SourceTable[League],MAX(1,S97))=B97,INDEX(SourceTable[Season],MAX(1,S97))=C97,ISNUMBER(K97),K97=INDEX(SourceTable[Retrieved_UTC],MAX(1,S97)),J97&lt;&gt;"",M97&lt;&gt;"")),"INVALID",IF(OR(COUNTIFS('Istoric_Nativ'!$N$6:$N$405,N97,'Istoric_Nativ'!$G$6:$G$405,G97)&lt;&gt;COUNTIF('Istoric_Nativ'!$N$6:$N$405,N97),COUNTIFS('Istoric_Nativ'!$N$6:$N$405,N97,'Istoric_Nativ'!$H$6:$H$405,H97)&lt;&gt;COUNTIF('Istoric_Nativ'!$N$6:$N$405,N97)),"SOURCE CONFLICT",IF(COUNTIF($N$6:N97,N97)&gt;1,"DUPLICATE","VALID"))),"INVALID"))</x:f>
        <x:v>VALID</x:v>
      </x:c>
      <x:c r="P97" s="2" t="n">
        <x:f>IF(O97="VALID",1,0)</x:f>
        <x:v>1</x:v>
      </x:c>
      <x:c r="Q97" s="2" t="n">
        <x:f>IF(P97=1,G97+H97,0)</x:f>
        <x:v>7</x:v>
      </x:c>
      <x:c r="R97" s="2" t="n">
        <x:f>Q97^2</x:f>
        <x:v>49</x:v>
      </x:c>
      <x:c r="S97" s="2" t="n">
        <x:f>IF(A97="","",IFERROR(MATCH(I97,SourceTable[Source_ID],0),0))</x:f>
        <x:v>1</x:v>
      </x:c>
    </x:row>
    <x:row r="98" ht="21" customHeight="1">
      <x:c r="A98" s="7" t="str">
        <x:v>5527c6565e6278af1d00</x:v>
      </x:c>
      <x:c r="B98" s="7" t="str">
        <x:v>E0</x:v>
      </x:c>
      <x:c r="C98" s="7" t="str">
        <x:v>2025/26</x:v>
      </x:c>
      <x:c r="D98" s="8" t="n">
        <x:v>45962</x:v>
      </x:c>
      <x:c r="E98" s="7" t="str">
        <x:v>Crystal Palace</x:v>
      </x:c>
      <x:c r="F98" s="7" t="str">
        <x:v>Brentford</x:v>
      </x:c>
      <x:c r="G98" s="7" t="n">
        <x:v>6</x:v>
      </x:c>
      <x:c r="H98" s="7" t="n">
        <x:v>5</x:v>
      </x:c>
      <x:c r="I98" s="7" t="str">
        <x:v>FD_E0_2526</x:v>
      </x:c>
      <x:c r="J98" s="7" t="str">
        <x:v>https://www.football-data.co.uk/mmz4281/2526/E0.csv</x:v>
      </x:c>
      <x:c r="K98" s="8" t="n">
        <x:v>46278.70306712963</x:v>
      </x:c>
      <x:c r="L98" s="7" t="str">
        <x:v>FT90</x:v>
      </x:c>
      <x:c r="M98" s="7" t="str">
        <x:v>CSV row 94</x:v>
      </x:c>
      <x:c r="N98" s="2" t="str">
        <x:f>IF(AND(A98&lt;&gt;"",ISNUMBER(D98)),B98&amp;"|"&amp;C98&amp;"|"&amp;TEXT(D98,"yyyymmdd")&amp;"|"&amp;E98&amp;"|"&amp;F98,"")</x:f>
        <x:v>E0|2025/26|20251101|Crystal Palace|Brentford</x:v>
      </x:c>
      <x:c r="O98" s="2" t="str">
        <x:f>IF(A98="","",IFERROR(IF(NOT(AND(B98&lt;&gt;"",C98&lt;&gt;"",ISNUMBER(D98),D98&gt;0,E98&lt;&gt;"",F98&lt;&gt;"",E98&lt;&gt;F98,ISNUMBER(G98),ISNUMBER(H98),G98&gt;=0,H98&gt;=0,G98&lt;=100,H98&lt;=100,MOD(G98,1)=0,MOD(H98,1)=0,L98="FT90",S98&gt;0,INDEX(SourceTable[League],MAX(1,S98))=B98,INDEX(SourceTable[Season],MAX(1,S98))=C98,ISNUMBER(K98),K98=INDEX(SourceTable[Retrieved_UTC],MAX(1,S98)),J98&lt;&gt;"",M98&lt;&gt;"")),"INVALID",IF(OR(COUNTIFS('Istoric_Nativ'!$N$6:$N$405,N98,'Istoric_Nativ'!$G$6:$G$405,G98)&lt;&gt;COUNTIF('Istoric_Nativ'!$N$6:$N$405,N98),COUNTIFS('Istoric_Nativ'!$N$6:$N$405,N98,'Istoric_Nativ'!$H$6:$H$405,H98)&lt;&gt;COUNTIF('Istoric_Nativ'!$N$6:$N$405,N98)),"SOURCE CONFLICT",IF(COUNTIF($N$6:N98,N98)&gt;1,"DUPLICATE","VALID"))),"INVALID"))</x:f>
        <x:v>VALID</x:v>
      </x:c>
      <x:c r="P98" s="2" t="n">
        <x:f>IF(O98="VALID",1,0)</x:f>
        <x:v>1</x:v>
      </x:c>
      <x:c r="Q98" s="2" t="n">
        <x:f>IF(P98=1,G98+H98,0)</x:f>
        <x:v>11</x:v>
      </x:c>
      <x:c r="R98" s="2" t="n">
        <x:f>Q98^2</x:f>
        <x:v>121</x:v>
      </x:c>
      <x:c r="S98" s="2" t="n">
        <x:f>IF(A98="","",IFERROR(MATCH(I98,SourceTable[Source_ID],0),0))</x:f>
        <x:v>1</x:v>
      </x:c>
    </x:row>
    <x:row r="99" ht="21" customHeight="1">
      <x:c r="A99" s="7" t="str">
        <x:v>b80b2ad48470d922a473</x:v>
      </x:c>
      <x:c r="B99" s="7" t="str">
        <x:v>E0</x:v>
      </x:c>
      <x:c r="C99" s="7" t="str">
        <x:v>2025/26</x:v>
      </x:c>
      <x:c r="D99" s="8" t="n">
        <x:v>45962</x:v>
      </x:c>
      <x:c r="E99" s="7" t="str">
        <x:v>Fulham</x:v>
      </x:c>
      <x:c r="F99" s="7" t="str">
        <x:v>Wolves</x:v>
      </x:c>
      <x:c r="G99" s="7" t="n">
        <x:v>10</x:v>
      </x:c>
      <x:c r="H99" s="7" t="n">
        <x:v>1</x:v>
      </x:c>
      <x:c r="I99" s="7" t="str">
        <x:v>FD_E0_2526</x:v>
      </x:c>
      <x:c r="J99" s="7" t="str">
        <x:v>https://www.football-data.co.uk/mmz4281/2526/E0.csv</x:v>
      </x:c>
      <x:c r="K99" s="8" t="n">
        <x:v>46278.70306712963</x:v>
      </x:c>
      <x:c r="L99" s="7" t="str">
        <x:v>FT90</x:v>
      </x:c>
      <x:c r="M99" s="7" t="str">
        <x:v>CSV row 95</x:v>
      </x:c>
      <x:c r="N99" s="2" t="str">
        <x:f>IF(AND(A99&lt;&gt;"",ISNUMBER(D99)),B99&amp;"|"&amp;C99&amp;"|"&amp;TEXT(D99,"yyyymmdd")&amp;"|"&amp;E99&amp;"|"&amp;F99,"")</x:f>
        <x:v>E0|2025/26|20251101|Fulham|Wolves</x:v>
      </x:c>
      <x:c r="O99" s="2" t="str">
        <x:f>IF(A99="","",IFERROR(IF(NOT(AND(B99&lt;&gt;"",C99&lt;&gt;"",ISNUMBER(D99),D99&gt;0,E99&lt;&gt;"",F99&lt;&gt;"",E99&lt;&gt;F99,ISNUMBER(G99),ISNUMBER(H99),G99&gt;=0,H99&gt;=0,G99&lt;=100,H99&lt;=100,MOD(G99,1)=0,MOD(H99,1)=0,L99="FT90",S99&gt;0,INDEX(SourceTable[League],MAX(1,S99))=B99,INDEX(SourceTable[Season],MAX(1,S99))=C99,ISNUMBER(K99),K99=INDEX(SourceTable[Retrieved_UTC],MAX(1,S99)),J99&lt;&gt;"",M99&lt;&gt;"")),"INVALID",IF(OR(COUNTIFS('Istoric_Nativ'!$N$6:$N$405,N99,'Istoric_Nativ'!$G$6:$G$405,G99)&lt;&gt;COUNTIF('Istoric_Nativ'!$N$6:$N$405,N99),COUNTIFS('Istoric_Nativ'!$N$6:$N$405,N99,'Istoric_Nativ'!$H$6:$H$405,H99)&lt;&gt;COUNTIF('Istoric_Nativ'!$N$6:$N$405,N99)),"SOURCE CONFLICT",IF(COUNTIF($N$6:N99,N99)&gt;1,"DUPLICATE","VALID"))),"INVALID"))</x:f>
        <x:v>VALID</x:v>
      </x:c>
      <x:c r="P99" s="2" t="n">
        <x:f>IF(O99="VALID",1,0)</x:f>
        <x:v>1</x:v>
      </x:c>
      <x:c r="Q99" s="2" t="n">
        <x:f>IF(P99=1,G99+H99,0)</x:f>
        <x:v>11</x:v>
      </x:c>
      <x:c r="R99" s="2" t="n">
        <x:f>Q99^2</x:f>
        <x:v>121</x:v>
      </x:c>
      <x:c r="S99" s="2" t="n">
        <x:f>IF(A99="","",IFERROR(MATCH(I99,SourceTable[Source_ID],0),0))</x:f>
        <x:v>1</x:v>
      </x:c>
    </x:row>
    <x:row r="100" ht="21" customHeight="1">
      <x:c r="A100" s="7" t="str">
        <x:v>3ca097a620fe8a4540aa</x:v>
      </x:c>
      <x:c r="B100" s="7" t="str">
        <x:v>E0</x:v>
      </x:c>
      <x:c r="C100" s="7" t="str">
        <x:v>2025/26</x:v>
      </x:c>
      <x:c r="D100" s="8" t="n">
        <x:v>45962</x:v>
      </x:c>
      <x:c r="E100" s="7" t="str">
        <x:v>Liverpool</x:v>
      </x:c>
      <x:c r="F100" s="7" t="str">
        <x:v>Aston Villa</x:v>
      </x:c>
      <x:c r="G100" s="7" t="n">
        <x:v>1</x:v>
      </x:c>
      <x:c r="H100" s="7" t="n">
        <x:v>4</x:v>
      </x:c>
      <x:c r="I100" s="7" t="str">
        <x:v>FD_E0_2526</x:v>
      </x:c>
      <x:c r="J100" s="7" t="str">
        <x:v>https://www.football-data.co.uk/mmz4281/2526/E0.csv</x:v>
      </x:c>
      <x:c r="K100" s="8" t="n">
        <x:v>46278.70306712963</x:v>
      </x:c>
      <x:c r="L100" s="7" t="str">
        <x:v>FT90</x:v>
      </x:c>
      <x:c r="M100" s="7" t="str">
        <x:v>CSV row 98</x:v>
      </x:c>
      <x:c r="N100" s="2" t="str">
        <x:f>IF(AND(A100&lt;&gt;"",ISNUMBER(D100)),B100&amp;"|"&amp;C100&amp;"|"&amp;TEXT(D100,"yyyymmdd")&amp;"|"&amp;E100&amp;"|"&amp;F100,"")</x:f>
        <x:v>E0|2025/26|20251101|Liverpool|Aston Villa</x:v>
      </x:c>
      <x:c r="O100" s="2" t="str">
        <x:f>IF(A100="","",IFERROR(IF(NOT(AND(B100&lt;&gt;"",C100&lt;&gt;"",ISNUMBER(D100),D100&gt;0,E100&lt;&gt;"",F100&lt;&gt;"",E100&lt;&gt;F100,ISNUMBER(G100),ISNUMBER(H100),G100&gt;=0,H100&gt;=0,G100&lt;=100,H100&lt;=100,MOD(G100,1)=0,MOD(H100,1)=0,L100="FT90",S100&gt;0,INDEX(SourceTable[League],MAX(1,S100))=B100,INDEX(SourceTable[Season],MAX(1,S100))=C100,ISNUMBER(K100),K100=INDEX(SourceTable[Retrieved_UTC],MAX(1,S100)),J100&lt;&gt;"",M100&lt;&gt;"")),"INVALID",IF(OR(COUNTIFS('Istoric_Nativ'!$N$6:$N$405,N100,'Istoric_Nativ'!$G$6:$G$405,G100)&lt;&gt;COUNTIF('Istoric_Nativ'!$N$6:$N$405,N100),COUNTIFS('Istoric_Nativ'!$N$6:$N$405,N100,'Istoric_Nativ'!$H$6:$H$405,H100)&lt;&gt;COUNTIF('Istoric_Nativ'!$N$6:$N$405,N100)),"SOURCE CONFLICT",IF(COUNTIF($N$6:N100,N100)&gt;1,"DUPLICATE","VALID"))),"INVALID"))</x:f>
        <x:v>VALID</x:v>
      </x:c>
      <x:c r="P100" s="2" t="n">
        <x:f>IF(O100="VALID",1,0)</x:f>
        <x:v>1</x:v>
      </x:c>
      <x:c r="Q100" s="2" t="n">
        <x:f>IF(P100=1,G100+H100,0)</x:f>
        <x:v>5</x:v>
      </x:c>
      <x:c r="R100" s="2" t="n">
        <x:f>Q100^2</x:f>
        <x:v>25</x:v>
      </x:c>
      <x:c r="S100" s="2" t="n">
        <x:f>IF(A100="","",IFERROR(MATCH(I100,SourceTable[Source_ID],0),0))</x:f>
        <x:v>1</x:v>
      </x:c>
    </x:row>
    <x:row r="101" ht="21" customHeight="1">
      <x:c r="A101" s="7" t="str">
        <x:v>ec35e9c9dd1cb38de20f</x:v>
      </x:c>
      <x:c r="B101" s="7" t="str">
        <x:v>E0</x:v>
      </x:c>
      <x:c r="C101" s="7" t="str">
        <x:v>2025/26</x:v>
      </x:c>
      <x:c r="D101" s="8" t="n">
        <x:v>45962</x:v>
      </x:c>
      <x:c r="E101" s="7" t="str">
        <x:v>Nott'm Forest</x:v>
      </x:c>
      <x:c r="F101" s="7" t="str">
        <x:v>Man United</x:v>
      </x:c>
      <x:c r="G101" s="7" t="n">
        <x:v>8</x:v>
      </x:c>
      <x:c r="H101" s="7" t="n">
        <x:v>5</x:v>
      </x:c>
      <x:c r="I101" s="7" t="str">
        <x:v>FD_E0_2526</x:v>
      </x:c>
      <x:c r="J101" s="7" t="str">
        <x:v>https://www.football-data.co.uk/mmz4281/2526/E0.csv</x:v>
      </x:c>
      <x:c r="K101" s="8" t="n">
        <x:v>46278.70306712963</x:v>
      </x:c>
      <x:c r="L101" s="7" t="str">
        <x:v>FT90</x:v>
      </x:c>
      <x:c r="M101" s="7" t="str">
        <x:v>CSV row 96</x:v>
      </x:c>
      <x:c r="N101" s="2" t="str">
        <x:f>IF(AND(A101&lt;&gt;"",ISNUMBER(D101)),B101&amp;"|"&amp;C101&amp;"|"&amp;TEXT(D101,"yyyymmdd")&amp;"|"&amp;E101&amp;"|"&amp;F101,"")</x:f>
        <x:v>E0|2025/26|20251101|Nott'm Forest|Man United</x:v>
      </x:c>
      <x:c r="O101" s="2" t="str">
        <x:f>IF(A101="","",IFERROR(IF(NOT(AND(B101&lt;&gt;"",C101&lt;&gt;"",ISNUMBER(D101),D101&gt;0,E101&lt;&gt;"",F101&lt;&gt;"",E101&lt;&gt;F101,ISNUMBER(G101),ISNUMBER(H101),G101&gt;=0,H101&gt;=0,G101&lt;=100,H101&lt;=100,MOD(G101,1)=0,MOD(H101,1)=0,L101="FT90",S101&gt;0,INDEX(SourceTable[League],MAX(1,S101))=B101,INDEX(SourceTable[Season],MAX(1,S101))=C101,ISNUMBER(K101),K101=INDEX(SourceTable[Retrieved_UTC],MAX(1,S101)),J101&lt;&gt;"",M101&lt;&gt;"")),"INVALID",IF(OR(COUNTIFS('Istoric_Nativ'!$N$6:$N$405,N101,'Istoric_Nativ'!$G$6:$G$405,G101)&lt;&gt;COUNTIF('Istoric_Nativ'!$N$6:$N$405,N101),COUNTIFS('Istoric_Nativ'!$N$6:$N$405,N101,'Istoric_Nativ'!$H$6:$H$405,H101)&lt;&gt;COUNTIF('Istoric_Nativ'!$N$6:$N$405,N101)),"SOURCE CONFLICT",IF(COUNTIF($N$6:N101,N101)&gt;1,"DUPLICATE","VALID"))),"INVALID"))</x:f>
        <x:v>VALID</x:v>
      </x:c>
      <x:c r="P101" s="2" t="n">
        <x:f>IF(O101="VALID",1,0)</x:f>
        <x:v>1</x:v>
      </x:c>
      <x:c r="Q101" s="2" t="n">
        <x:f>IF(P101=1,G101+H101,0)</x:f>
        <x:v>13</x:v>
      </x:c>
      <x:c r="R101" s="2" t="n">
        <x:f>Q101^2</x:f>
        <x:v>169</x:v>
      </x:c>
      <x:c r="S101" s="2" t="n">
        <x:f>IF(A101="","",IFERROR(MATCH(I101,SourceTable[Source_ID],0),0))</x:f>
        <x:v>1</x:v>
      </x:c>
    </x:row>
    <x:row r="102" ht="21" customHeight="1">
      <x:c r="A102" s="7" t="str">
        <x:v>78acec345ea53f6e1e08</x:v>
      </x:c>
      <x:c r="B102" s="7" t="str">
        <x:v>E0</x:v>
      </x:c>
      <x:c r="C102" s="7" t="str">
        <x:v>2025/26</x:v>
      </x:c>
      <x:c r="D102" s="8" t="n">
        <x:v>45962</x:v>
      </x:c>
      <x:c r="E102" s="7" t="str">
        <x:v>Tottenham</x:v>
      </x:c>
      <x:c r="F102" s="7" t="str">
        <x:v>Chelsea</x:v>
      </x:c>
      <x:c r="G102" s="7" t="n">
        <x:v>6</x:v>
      </x:c>
      <x:c r="H102" s="7" t="n">
        <x:v>5</x:v>
      </x:c>
      <x:c r="I102" s="7" t="str">
        <x:v>FD_E0_2526</x:v>
      </x:c>
      <x:c r="J102" s="7" t="str">
        <x:v>https://www.football-data.co.uk/mmz4281/2526/E0.csv</x:v>
      </x:c>
      <x:c r="K102" s="8" t="n">
        <x:v>46278.70306712963</x:v>
      </x:c>
      <x:c r="L102" s="7" t="str">
        <x:v>FT90</x:v>
      </x:c>
      <x:c r="M102" s="7" t="str">
        <x:v>CSV row 97</x:v>
      </x:c>
      <x:c r="N102" s="2" t="str">
        <x:f>IF(AND(A102&lt;&gt;"",ISNUMBER(D102)),B102&amp;"|"&amp;C102&amp;"|"&amp;TEXT(D102,"yyyymmdd")&amp;"|"&amp;E102&amp;"|"&amp;F102,"")</x:f>
        <x:v>E0|2025/26|20251101|Tottenham|Chelsea</x:v>
      </x:c>
      <x:c r="O102" s="2" t="str">
        <x:f>IF(A102="","",IFERROR(IF(NOT(AND(B102&lt;&gt;"",C102&lt;&gt;"",ISNUMBER(D102),D102&gt;0,E102&lt;&gt;"",F102&lt;&gt;"",E102&lt;&gt;F102,ISNUMBER(G102),ISNUMBER(H102),G102&gt;=0,H102&gt;=0,G102&lt;=100,H102&lt;=100,MOD(G102,1)=0,MOD(H102,1)=0,L102="FT90",S102&gt;0,INDEX(SourceTable[League],MAX(1,S102))=B102,INDEX(SourceTable[Season],MAX(1,S102))=C102,ISNUMBER(K102),K102=INDEX(SourceTable[Retrieved_UTC],MAX(1,S102)),J102&lt;&gt;"",M102&lt;&gt;"")),"INVALID",IF(OR(COUNTIFS('Istoric_Nativ'!$N$6:$N$405,N102,'Istoric_Nativ'!$G$6:$G$405,G102)&lt;&gt;COUNTIF('Istoric_Nativ'!$N$6:$N$405,N102),COUNTIFS('Istoric_Nativ'!$N$6:$N$405,N102,'Istoric_Nativ'!$H$6:$H$405,H102)&lt;&gt;COUNTIF('Istoric_Nativ'!$N$6:$N$405,N102)),"SOURCE CONFLICT",IF(COUNTIF($N$6:N102,N102)&gt;1,"DUPLICATE","VALID"))),"INVALID"))</x:f>
        <x:v>VALID</x:v>
      </x:c>
      <x:c r="P102" s="2" t="n">
        <x:f>IF(O102="VALID",1,0)</x:f>
        <x:v>1</x:v>
      </x:c>
      <x:c r="Q102" s="2" t="n">
        <x:f>IF(P102=1,G102+H102,0)</x:f>
        <x:v>11</x:v>
      </x:c>
      <x:c r="R102" s="2" t="n">
        <x:f>Q102^2</x:f>
        <x:v>121</x:v>
      </x:c>
      <x:c r="S102" s="2" t="n">
        <x:f>IF(A102="","",IFERROR(MATCH(I102,SourceTable[Source_ID],0),0))</x:f>
        <x:v>1</x:v>
      </x:c>
    </x:row>
    <x:row r="103" ht="21" customHeight="1">
      <x:c r="A103" s="7" t="str">
        <x:v>5c98feab222860727d44</x:v>
      </x:c>
      <x:c r="B103" s="7" t="str">
        <x:v>E0</x:v>
      </x:c>
      <x:c r="C103" s="7" t="str">
        <x:v>2025/26</x:v>
      </x:c>
      <x:c r="D103" s="8" t="n">
        <x:v>45963</x:v>
      </x:c>
      <x:c r="E103" s="7" t="str">
        <x:v>Man City</x:v>
      </x:c>
      <x:c r="F103" s="7" t="str">
        <x:v>Bournemouth</x:v>
      </x:c>
      <x:c r="G103" s="7" t="n">
        <x:v>10</x:v>
      </x:c>
      <x:c r="H103" s="7" t="n">
        <x:v>4</x:v>
      </x:c>
      <x:c r="I103" s="7" t="str">
        <x:v>FD_E0_2526</x:v>
      </x:c>
      <x:c r="J103" s="7" t="str">
        <x:v>https://www.football-data.co.uk/mmz4281/2526/E0.csv</x:v>
      </x:c>
      <x:c r="K103" s="8" t="n">
        <x:v>46278.70306712963</x:v>
      </x:c>
      <x:c r="L103" s="7" t="str">
        <x:v>FT90</x:v>
      </x:c>
      <x:c r="M103" s="7" t="str">
        <x:v>CSV row 100</x:v>
      </x:c>
      <x:c r="N103" s="2" t="str">
        <x:f>IF(AND(A103&lt;&gt;"",ISNUMBER(D103)),B103&amp;"|"&amp;C103&amp;"|"&amp;TEXT(D103,"yyyymmdd")&amp;"|"&amp;E103&amp;"|"&amp;F103,"")</x:f>
        <x:v>E0|2025/26|20251102|Man City|Bournemouth</x:v>
      </x:c>
      <x:c r="O103" s="2" t="str">
        <x:f>IF(A103="","",IFERROR(IF(NOT(AND(B103&lt;&gt;"",C103&lt;&gt;"",ISNUMBER(D103),D103&gt;0,E103&lt;&gt;"",F103&lt;&gt;"",E103&lt;&gt;F103,ISNUMBER(G103),ISNUMBER(H103),G103&gt;=0,H103&gt;=0,G103&lt;=100,H103&lt;=100,MOD(G103,1)=0,MOD(H103,1)=0,L103="FT90",S103&gt;0,INDEX(SourceTable[League],MAX(1,S103))=B103,INDEX(SourceTable[Season],MAX(1,S103))=C103,ISNUMBER(K103),K103=INDEX(SourceTable[Retrieved_UTC],MAX(1,S103)),J103&lt;&gt;"",M103&lt;&gt;"")),"INVALID",IF(OR(COUNTIFS('Istoric_Nativ'!$N$6:$N$405,N103,'Istoric_Nativ'!$G$6:$G$405,G103)&lt;&gt;COUNTIF('Istoric_Nativ'!$N$6:$N$405,N103),COUNTIFS('Istoric_Nativ'!$N$6:$N$405,N103,'Istoric_Nativ'!$H$6:$H$405,H103)&lt;&gt;COUNTIF('Istoric_Nativ'!$N$6:$N$405,N103)),"SOURCE CONFLICT",IF(COUNTIF($N$6:N103,N103)&gt;1,"DUPLICATE","VALID"))),"INVALID"))</x:f>
        <x:v>VALID</x:v>
      </x:c>
      <x:c r="P103" s="2" t="n">
        <x:f>IF(O103="VALID",1,0)</x:f>
        <x:v>1</x:v>
      </x:c>
      <x:c r="Q103" s="2" t="n">
        <x:f>IF(P103=1,G103+H103,0)</x:f>
        <x:v>14</x:v>
      </x:c>
      <x:c r="R103" s="2" t="n">
        <x:f>Q103^2</x:f>
        <x:v>196</x:v>
      </x:c>
      <x:c r="S103" s="2" t="n">
        <x:f>IF(A103="","",IFERROR(MATCH(I103,SourceTable[Source_ID],0),0))</x:f>
        <x:v>1</x:v>
      </x:c>
    </x:row>
    <x:row r="104" ht="21" customHeight="1">
      <x:c r="A104" s="7" t="str">
        <x:v>14ff76674d86b1bd2a0f</x:v>
      </x:c>
      <x:c r="B104" s="7" t="str">
        <x:v>E0</x:v>
      </x:c>
      <x:c r="C104" s="7" t="str">
        <x:v>2025/26</x:v>
      </x:c>
      <x:c r="D104" s="8" t="n">
        <x:v>45963</x:v>
      </x:c>
      <x:c r="E104" s="7" t="str">
        <x:v>West Ham</x:v>
      </x:c>
      <x:c r="F104" s="7" t="str">
        <x:v>Newcastle</x:v>
      </x:c>
      <x:c r="G104" s="7" t="n">
        <x:v>7</x:v>
      </x:c>
      <x:c r="H104" s="7" t="n">
        <x:v>6</x:v>
      </x:c>
      <x:c r="I104" s="7" t="str">
        <x:v>FD_E0_2526</x:v>
      </x:c>
      <x:c r="J104" s="7" t="str">
        <x:v>https://www.football-data.co.uk/mmz4281/2526/E0.csv</x:v>
      </x:c>
      <x:c r="K104" s="8" t="n">
        <x:v>46278.70306712963</x:v>
      </x:c>
      <x:c r="L104" s="7" t="str">
        <x:v>FT90</x:v>
      </x:c>
      <x:c r="M104" s="7" t="str">
        <x:v>CSV row 99</x:v>
      </x:c>
      <x:c r="N104" s="2" t="str">
        <x:f>IF(AND(A104&lt;&gt;"",ISNUMBER(D104)),B104&amp;"|"&amp;C104&amp;"|"&amp;TEXT(D104,"yyyymmdd")&amp;"|"&amp;E104&amp;"|"&amp;F104,"")</x:f>
        <x:v>E0|2025/26|20251102|West Ham|Newcastle</x:v>
      </x:c>
      <x:c r="O104" s="2" t="str">
        <x:f>IF(A104="","",IFERROR(IF(NOT(AND(B104&lt;&gt;"",C104&lt;&gt;"",ISNUMBER(D104),D104&gt;0,E104&lt;&gt;"",F104&lt;&gt;"",E104&lt;&gt;F104,ISNUMBER(G104),ISNUMBER(H104),G104&gt;=0,H104&gt;=0,G104&lt;=100,H104&lt;=100,MOD(G104,1)=0,MOD(H104,1)=0,L104="FT90",S104&gt;0,INDEX(SourceTable[League],MAX(1,S104))=B104,INDEX(SourceTable[Season],MAX(1,S104))=C104,ISNUMBER(K104),K104=INDEX(SourceTable[Retrieved_UTC],MAX(1,S104)),J104&lt;&gt;"",M104&lt;&gt;"")),"INVALID",IF(OR(COUNTIFS('Istoric_Nativ'!$N$6:$N$405,N104,'Istoric_Nativ'!$G$6:$G$405,G104)&lt;&gt;COUNTIF('Istoric_Nativ'!$N$6:$N$405,N104),COUNTIFS('Istoric_Nativ'!$N$6:$N$405,N104,'Istoric_Nativ'!$H$6:$H$405,H104)&lt;&gt;COUNTIF('Istoric_Nativ'!$N$6:$N$405,N104)),"SOURCE CONFLICT",IF(COUNTIF($N$6:N104,N104)&gt;1,"DUPLICATE","VALID"))),"INVALID"))</x:f>
        <x:v>VALID</x:v>
      </x:c>
      <x:c r="P104" s="2" t="n">
        <x:f>IF(O104="VALID",1,0)</x:f>
        <x:v>1</x:v>
      </x:c>
      <x:c r="Q104" s="2" t="n">
        <x:f>IF(P104=1,G104+H104,0)</x:f>
        <x:v>13</x:v>
      </x:c>
      <x:c r="R104" s="2" t="n">
        <x:f>Q104^2</x:f>
        <x:v>169</x:v>
      </x:c>
      <x:c r="S104" s="2" t="n">
        <x:f>IF(A104="","",IFERROR(MATCH(I104,SourceTable[Source_ID],0),0))</x:f>
        <x:v>1</x:v>
      </x:c>
    </x:row>
    <x:row r="105" ht="21" customHeight="1">
      <x:c r="A105" s="7" t="str">
        <x:v>9a87b4e11dd75f365afe</x:v>
      </x:c>
      <x:c r="B105" s="7" t="str">
        <x:v>E0</x:v>
      </x:c>
      <x:c r="C105" s="7" t="str">
        <x:v>2025/26</x:v>
      </x:c>
      <x:c r="D105" s="8" t="n">
        <x:v>45964</x:v>
      </x:c>
      <x:c r="E105" s="7" t="str">
        <x:v>Sunderland</x:v>
      </x:c>
      <x:c r="F105" s="7" t="str">
        <x:v>Everton</x:v>
      </x:c>
      <x:c r="G105" s="7" t="n">
        <x:v>4</x:v>
      </x:c>
      <x:c r="H105" s="7" t="n">
        <x:v>1</x:v>
      </x:c>
      <x:c r="I105" s="7" t="str">
        <x:v>FD_E0_2526</x:v>
      </x:c>
      <x:c r="J105" s="7" t="str">
        <x:v>https://www.football-data.co.uk/mmz4281/2526/E0.csv</x:v>
      </x:c>
      <x:c r="K105" s="8" t="n">
        <x:v>46278.70306712963</x:v>
      </x:c>
      <x:c r="L105" s="7" t="str">
        <x:v>FT90</x:v>
      </x:c>
      <x:c r="M105" s="7" t="str">
        <x:v>CSV row 101</x:v>
      </x:c>
      <x:c r="N105" s="2" t="str">
        <x:f>IF(AND(A105&lt;&gt;"",ISNUMBER(D105)),B105&amp;"|"&amp;C105&amp;"|"&amp;TEXT(D105,"yyyymmdd")&amp;"|"&amp;E105&amp;"|"&amp;F105,"")</x:f>
        <x:v>E0|2025/26|20251103|Sunderland|Everton</x:v>
      </x:c>
      <x:c r="O105" s="2" t="str">
        <x:f>IF(A105="","",IFERROR(IF(NOT(AND(B105&lt;&gt;"",C105&lt;&gt;"",ISNUMBER(D105),D105&gt;0,E105&lt;&gt;"",F105&lt;&gt;"",E105&lt;&gt;F105,ISNUMBER(G105),ISNUMBER(H105),G105&gt;=0,H105&gt;=0,G105&lt;=100,H105&lt;=100,MOD(G105,1)=0,MOD(H105,1)=0,L105="FT90",S105&gt;0,INDEX(SourceTable[League],MAX(1,S105))=B105,INDEX(SourceTable[Season],MAX(1,S105))=C105,ISNUMBER(K105),K105=INDEX(SourceTable[Retrieved_UTC],MAX(1,S105)),J105&lt;&gt;"",M105&lt;&gt;"")),"INVALID",IF(OR(COUNTIFS('Istoric_Nativ'!$N$6:$N$405,N105,'Istoric_Nativ'!$G$6:$G$405,G105)&lt;&gt;COUNTIF('Istoric_Nativ'!$N$6:$N$405,N105),COUNTIFS('Istoric_Nativ'!$N$6:$N$405,N105,'Istoric_Nativ'!$H$6:$H$405,H105)&lt;&gt;COUNTIF('Istoric_Nativ'!$N$6:$N$405,N105)),"SOURCE CONFLICT",IF(COUNTIF($N$6:N105,N105)&gt;1,"DUPLICATE","VALID"))),"INVALID"))</x:f>
        <x:v>VALID</x:v>
      </x:c>
      <x:c r="P105" s="2" t="n">
        <x:f>IF(O105="VALID",1,0)</x:f>
        <x:v>1</x:v>
      </x:c>
      <x:c r="Q105" s="2" t="n">
        <x:f>IF(P105=1,G105+H105,0)</x:f>
        <x:v>5</x:v>
      </x:c>
      <x:c r="R105" s="2" t="n">
        <x:f>Q105^2</x:f>
        <x:v>25</x:v>
      </x:c>
      <x:c r="S105" s="2" t="n">
        <x:f>IF(A105="","",IFERROR(MATCH(I105,SourceTable[Source_ID],0),0))</x:f>
        <x:v>1</x:v>
      </x:c>
    </x:row>
    <x:row r="106" ht="21" customHeight="1">
      <x:c r="A106" s="7" t="str">
        <x:v>51c16fe1acc48917a1fd</x:v>
      </x:c>
      <x:c r="B106" s="7" t="str">
        <x:v>E0</x:v>
      </x:c>
      <x:c r="C106" s="7" t="str">
        <x:v>2025/26</x:v>
      </x:c>
      <x:c r="D106" s="8" t="n">
        <x:v>45969</x:v>
      </x:c>
      <x:c r="E106" s="7" t="str">
        <x:v>Chelsea</x:v>
      </x:c>
      <x:c r="F106" s="7" t="str">
        <x:v>Wolves</x:v>
      </x:c>
      <x:c r="G106" s="7" t="n">
        <x:v>10</x:v>
      </x:c>
      <x:c r="H106" s="7" t="n">
        <x:v>1</x:v>
      </x:c>
      <x:c r="I106" s="7" t="str">
        <x:v>FD_E0_2526</x:v>
      </x:c>
      <x:c r="J106" s="7" t="str">
        <x:v>https://www.football-data.co.uk/mmz4281/2526/E0.csv</x:v>
      </x:c>
      <x:c r="K106" s="8" t="n">
        <x:v>46278.70306712963</x:v>
      </x:c>
      <x:c r="L106" s="7" t="str">
        <x:v>FT90</x:v>
      </x:c>
      <x:c r="M106" s="7" t="str">
        <x:v>CSV row 106</x:v>
      </x:c>
      <x:c r="N106" s="2" t="str">
        <x:f>IF(AND(A106&lt;&gt;"",ISNUMBER(D106)),B106&amp;"|"&amp;C106&amp;"|"&amp;TEXT(D106,"yyyymmdd")&amp;"|"&amp;E106&amp;"|"&amp;F106,"")</x:f>
        <x:v>E0|2025/26|20251108|Chelsea|Wolves</x:v>
      </x:c>
      <x:c r="O106" s="2" t="str">
        <x:f>IF(A106="","",IFERROR(IF(NOT(AND(B106&lt;&gt;"",C106&lt;&gt;"",ISNUMBER(D106),D106&gt;0,E106&lt;&gt;"",F106&lt;&gt;"",E106&lt;&gt;F106,ISNUMBER(G106),ISNUMBER(H106),G106&gt;=0,H106&gt;=0,G106&lt;=100,H106&lt;=100,MOD(G106,1)=0,MOD(H106,1)=0,L106="FT90",S106&gt;0,INDEX(SourceTable[League],MAX(1,S106))=B106,INDEX(SourceTable[Season],MAX(1,S106))=C106,ISNUMBER(K106),K106=INDEX(SourceTable[Retrieved_UTC],MAX(1,S106)),J106&lt;&gt;"",M106&lt;&gt;"")),"INVALID",IF(OR(COUNTIFS('Istoric_Nativ'!$N$6:$N$405,N106,'Istoric_Nativ'!$G$6:$G$405,G106)&lt;&gt;COUNTIF('Istoric_Nativ'!$N$6:$N$405,N106),COUNTIFS('Istoric_Nativ'!$N$6:$N$405,N106,'Istoric_Nativ'!$H$6:$H$405,H106)&lt;&gt;COUNTIF('Istoric_Nativ'!$N$6:$N$405,N106)),"SOURCE CONFLICT",IF(COUNTIF($N$6:N106,N106)&gt;1,"DUPLICATE","VALID"))),"INVALID"))</x:f>
        <x:v>VALID</x:v>
      </x:c>
      <x:c r="P106" s="2" t="n">
        <x:f>IF(O106="VALID",1,0)</x:f>
        <x:v>1</x:v>
      </x:c>
      <x:c r="Q106" s="2" t="n">
        <x:f>IF(P106=1,G106+H106,0)</x:f>
        <x:v>11</x:v>
      </x:c>
      <x:c r="R106" s="2" t="n">
        <x:f>Q106^2</x:f>
        <x:v>121</x:v>
      </x:c>
      <x:c r="S106" s="2" t="n">
        <x:f>IF(A106="","",IFERROR(MATCH(I106,SourceTable[Source_ID],0),0))</x:f>
        <x:v>1</x:v>
      </x:c>
    </x:row>
    <x:row r="107" ht="21" customHeight="1">
      <x:c r="A107" s="7" t="str">
        <x:v>224d2994cd44f746f41e</x:v>
      </x:c>
      <x:c r="B107" s="7" t="str">
        <x:v>E0</x:v>
      </x:c>
      <x:c r="C107" s="7" t="str">
        <x:v>2025/26</x:v>
      </x:c>
      <x:c r="D107" s="8" t="n">
        <x:v>45969</x:v>
      </x:c>
      <x:c r="E107" s="7" t="str">
        <x:v>Everton</x:v>
      </x:c>
      <x:c r="F107" s="7" t="str">
        <x:v>Fulham</x:v>
      </x:c>
      <x:c r="G107" s="7" t="n">
        <x:v>7</x:v>
      </x:c>
      <x:c r="H107" s="7" t="n">
        <x:v>5</x:v>
      </x:c>
      <x:c r="I107" s="7" t="str">
        <x:v>FD_E0_2526</x:v>
      </x:c>
      <x:c r="J107" s="7" t="str">
        <x:v>https://www.football-data.co.uk/mmz4281/2526/E0.csv</x:v>
      </x:c>
      <x:c r="K107" s="8" t="n">
        <x:v>46278.70306712963</x:v>
      </x:c>
      <x:c r="L107" s="7" t="str">
        <x:v>FT90</x:v>
      </x:c>
      <x:c r="M107" s="7" t="str">
        <x:v>CSV row 103</x:v>
      </x:c>
      <x:c r="N107" s="2" t="str">
        <x:f>IF(AND(A107&lt;&gt;"",ISNUMBER(D107)),B107&amp;"|"&amp;C107&amp;"|"&amp;TEXT(D107,"yyyymmdd")&amp;"|"&amp;E107&amp;"|"&amp;F107,"")</x:f>
        <x:v>E0|2025/26|20251108|Everton|Fulham</x:v>
      </x:c>
      <x:c r="O107" s="2" t="str">
        <x:f>IF(A107="","",IFERROR(IF(NOT(AND(B107&lt;&gt;"",C107&lt;&gt;"",ISNUMBER(D107),D107&gt;0,E107&lt;&gt;"",F107&lt;&gt;"",E107&lt;&gt;F107,ISNUMBER(G107),ISNUMBER(H107),G107&gt;=0,H107&gt;=0,G107&lt;=100,H107&lt;=100,MOD(G107,1)=0,MOD(H107,1)=0,L107="FT90",S107&gt;0,INDEX(SourceTable[League],MAX(1,S107))=B107,INDEX(SourceTable[Season],MAX(1,S107))=C107,ISNUMBER(K107),K107=INDEX(SourceTable[Retrieved_UTC],MAX(1,S107)),J107&lt;&gt;"",M107&lt;&gt;"")),"INVALID",IF(OR(COUNTIFS('Istoric_Nativ'!$N$6:$N$405,N107,'Istoric_Nativ'!$G$6:$G$405,G107)&lt;&gt;COUNTIF('Istoric_Nativ'!$N$6:$N$405,N107),COUNTIFS('Istoric_Nativ'!$N$6:$N$405,N107,'Istoric_Nativ'!$H$6:$H$405,H107)&lt;&gt;COUNTIF('Istoric_Nativ'!$N$6:$N$405,N107)),"SOURCE CONFLICT",IF(COUNTIF($N$6:N107,N107)&gt;1,"DUPLICATE","VALID"))),"INVALID"))</x:f>
        <x:v>VALID</x:v>
      </x:c>
      <x:c r="P107" s="2" t="n">
        <x:f>IF(O107="VALID",1,0)</x:f>
        <x:v>1</x:v>
      </x:c>
      <x:c r="Q107" s="2" t="n">
        <x:f>IF(P107=1,G107+H107,0)</x:f>
        <x:v>12</x:v>
      </x:c>
      <x:c r="R107" s="2" t="n">
        <x:f>Q107^2</x:f>
        <x:v>144</x:v>
      </x:c>
      <x:c r="S107" s="2" t="n">
        <x:f>IF(A107="","",IFERROR(MATCH(I107,SourceTable[Source_ID],0),0))</x:f>
        <x:v>1</x:v>
      </x:c>
    </x:row>
    <x:row r="108" ht="21" customHeight="1">
      <x:c r="A108" s="7" t="str">
        <x:v>58bef300008f24cc3ddc</x:v>
      </x:c>
      <x:c r="B108" s="7" t="str">
        <x:v>E0</x:v>
      </x:c>
      <x:c r="C108" s="7" t="str">
        <x:v>2025/26</x:v>
      </x:c>
      <x:c r="D108" s="8" t="n">
        <x:v>45969</x:v>
      </x:c>
      <x:c r="E108" s="7" t="str">
        <x:v>Sunderland</x:v>
      </x:c>
      <x:c r="F108" s="7" t="str">
        <x:v>Arsenal</x:v>
      </x:c>
      <x:c r="G108" s="7" t="n">
        <x:v>2</x:v>
      </x:c>
      <x:c r="H108" s="7" t="n">
        <x:v>2</x:v>
      </x:c>
      <x:c r="I108" s="7" t="str">
        <x:v>FD_E0_2526</x:v>
      </x:c>
      <x:c r="J108" s="7" t="str">
        <x:v>https://www.football-data.co.uk/mmz4281/2526/E0.csv</x:v>
      </x:c>
      <x:c r="K108" s="8" t="n">
        <x:v>46278.70306712963</x:v>
      </x:c>
      <x:c r="L108" s="7" t="str">
        <x:v>FT90</x:v>
      </x:c>
      <x:c r="M108" s="7" t="str">
        <x:v>CSV row 105</x:v>
      </x:c>
      <x:c r="N108" s="2" t="str">
        <x:f>IF(AND(A108&lt;&gt;"",ISNUMBER(D108)),B108&amp;"|"&amp;C108&amp;"|"&amp;TEXT(D108,"yyyymmdd")&amp;"|"&amp;E108&amp;"|"&amp;F108,"")</x:f>
        <x:v>E0|2025/26|20251108|Sunderland|Arsenal</x:v>
      </x:c>
      <x:c r="O108" s="2" t="str">
        <x:f>IF(A108="","",IFERROR(IF(NOT(AND(B108&lt;&gt;"",C108&lt;&gt;"",ISNUMBER(D108),D108&gt;0,E108&lt;&gt;"",F108&lt;&gt;"",E108&lt;&gt;F108,ISNUMBER(G108),ISNUMBER(H108),G108&gt;=0,H108&gt;=0,G108&lt;=100,H108&lt;=100,MOD(G108,1)=0,MOD(H108,1)=0,L108="FT90",S108&gt;0,INDEX(SourceTable[League],MAX(1,S108))=B108,INDEX(SourceTable[Season],MAX(1,S108))=C108,ISNUMBER(K108),K108=INDEX(SourceTable[Retrieved_UTC],MAX(1,S108)),J108&lt;&gt;"",M108&lt;&gt;"")),"INVALID",IF(OR(COUNTIFS('Istoric_Nativ'!$N$6:$N$405,N108,'Istoric_Nativ'!$G$6:$G$405,G108)&lt;&gt;COUNTIF('Istoric_Nativ'!$N$6:$N$405,N108),COUNTIFS('Istoric_Nativ'!$N$6:$N$405,N108,'Istoric_Nativ'!$H$6:$H$405,H108)&lt;&gt;COUNTIF('Istoric_Nativ'!$N$6:$N$405,N108)),"SOURCE CONFLICT",IF(COUNTIF($N$6:N108,N108)&gt;1,"DUPLICATE","VALID"))),"INVALID"))</x:f>
        <x:v>VALID</x:v>
      </x:c>
      <x:c r="P108" s="2" t="n">
        <x:f>IF(O108="VALID",1,0)</x:f>
        <x:v>1</x:v>
      </x:c>
      <x:c r="Q108" s="2" t="n">
        <x:f>IF(P108=1,G108+H108,0)</x:f>
        <x:v>4</x:v>
      </x:c>
      <x:c r="R108" s="2" t="n">
        <x:f>Q108^2</x:f>
        <x:v>16</x:v>
      </x:c>
      <x:c r="S108" s="2" t="n">
        <x:f>IF(A108="","",IFERROR(MATCH(I108,SourceTable[Source_ID],0),0))</x:f>
        <x:v>1</x:v>
      </x:c>
    </x:row>
    <x:row r="109" ht="21" customHeight="1">
      <x:c r="A109" s="7" t="str">
        <x:v>e516578bb8cc8ceaa757</x:v>
      </x:c>
      <x:c r="B109" s="7" t="str">
        <x:v>E0</x:v>
      </x:c>
      <x:c r="C109" s="7" t="str">
        <x:v>2025/26</x:v>
      </x:c>
      <x:c r="D109" s="8" t="n">
        <x:v>45969</x:v>
      </x:c>
      <x:c r="E109" s="7" t="str">
        <x:v>Tottenham</x:v>
      </x:c>
      <x:c r="F109" s="7" t="str">
        <x:v>Man United</x:v>
      </x:c>
      <x:c r="G109" s="7" t="n">
        <x:v>5</x:v>
      </x:c>
      <x:c r="H109" s="7" t="n">
        <x:v>3</x:v>
      </x:c>
      <x:c r="I109" s="7" t="str">
        <x:v>FD_E0_2526</x:v>
      </x:c>
      <x:c r="J109" s="7" t="str">
        <x:v>https://www.football-data.co.uk/mmz4281/2526/E0.csv</x:v>
      </x:c>
      <x:c r="K109" s="8" t="n">
        <x:v>46278.70306712963</x:v>
      </x:c>
      <x:c r="L109" s="7" t="str">
        <x:v>FT90</x:v>
      </x:c>
      <x:c r="M109" s="7" t="str">
        <x:v>CSV row 102</x:v>
      </x:c>
      <x:c r="N109" s="2" t="str">
        <x:f>IF(AND(A109&lt;&gt;"",ISNUMBER(D109)),B109&amp;"|"&amp;C109&amp;"|"&amp;TEXT(D109,"yyyymmdd")&amp;"|"&amp;E109&amp;"|"&amp;F109,"")</x:f>
        <x:v>E0|2025/26|20251108|Tottenham|Man United</x:v>
      </x:c>
      <x:c r="O109" s="2" t="str">
        <x:f>IF(A109="","",IFERROR(IF(NOT(AND(B109&lt;&gt;"",C109&lt;&gt;"",ISNUMBER(D109),D109&gt;0,E109&lt;&gt;"",F109&lt;&gt;"",E109&lt;&gt;F109,ISNUMBER(G109),ISNUMBER(H109),G109&gt;=0,H109&gt;=0,G109&lt;=100,H109&lt;=100,MOD(G109,1)=0,MOD(H109,1)=0,L109="FT90",S109&gt;0,INDEX(SourceTable[League],MAX(1,S109))=B109,INDEX(SourceTable[Season],MAX(1,S109))=C109,ISNUMBER(K109),K109=INDEX(SourceTable[Retrieved_UTC],MAX(1,S109)),J109&lt;&gt;"",M109&lt;&gt;"")),"INVALID",IF(OR(COUNTIFS('Istoric_Nativ'!$N$6:$N$405,N109,'Istoric_Nativ'!$G$6:$G$405,G109)&lt;&gt;COUNTIF('Istoric_Nativ'!$N$6:$N$405,N109),COUNTIFS('Istoric_Nativ'!$N$6:$N$405,N109,'Istoric_Nativ'!$H$6:$H$405,H109)&lt;&gt;COUNTIF('Istoric_Nativ'!$N$6:$N$405,N109)),"SOURCE CONFLICT",IF(COUNTIF($N$6:N109,N109)&gt;1,"DUPLICATE","VALID"))),"INVALID"))</x:f>
        <x:v>VALID</x:v>
      </x:c>
      <x:c r="P109" s="2" t="n">
        <x:f>IF(O109="VALID",1,0)</x:f>
        <x:v>1</x:v>
      </x:c>
      <x:c r="Q109" s="2" t="n">
        <x:f>IF(P109=1,G109+H109,0)</x:f>
        <x:v>8</x:v>
      </x:c>
      <x:c r="R109" s="2" t="n">
        <x:f>Q109^2</x:f>
        <x:v>64</x:v>
      </x:c>
      <x:c r="S109" s="2" t="n">
        <x:f>IF(A109="","",IFERROR(MATCH(I109,SourceTable[Source_ID],0),0))</x:f>
        <x:v>1</x:v>
      </x:c>
    </x:row>
    <x:row r="110" ht="21" customHeight="1">
      <x:c r="A110" s="7" t="str">
        <x:v>e8e05f36eb6d363441ee</x:v>
      </x:c>
      <x:c r="B110" s="7" t="str">
        <x:v>E0</x:v>
      </x:c>
      <x:c r="C110" s="7" t="str">
        <x:v>2025/26</x:v>
      </x:c>
      <x:c r="D110" s="8" t="n">
        <x:v>45969</x:v>
      </x:c>
      <x:c r="E110" s="7" t="str">
        <x:v>West Ham</x:v>
      </x:c>
      <x:c r="F110" s="7" t="str">
        <x:v>Burnley</x:v>
      </x:c>
      <x:c r="G110" s="7" t="n">
        <x:v>7</x:v>
      </x:c>
      <x:c r="H110" s="7" t="n">
        <x:v>4</x:v>
      </x:c>
      <x:c r="I110" s="7" t="str">
        <x:v>FD_E0_2526</x:v>
      </x:c>
      <x:c r="J110" s="7" t="str">
        <x:v>https://www.football-data.co.uk/mmz4281/2526/E0.csv</x:v>
      </x:c>
      <x:c r="K110" s="8" t="n">
        <x:v>46278.70306712963</x:v>
      </x:c>
      <x:c r="L110" s="7" t="str">
        <x:v>FT90</x:v>
      </x:c>
      <x:c r="M110" s="7" t="str">
        <x:v>CSV row 104</x:v>
      </x:c>
      <x:c r="N110" s="2" t="str">
        <x:f>IF(AND(A110&lt;&gt;"",ISNUMBER(D110)),B110&amp;"|"&amp;C110&amp;"|"&amp;TEXT(D110,"yyyymmdd")&amp;"|"&amp;E110&amp;"|"&amp;F110,"")</x:f>
        <x:v>E0|2025/26|20251108|West Ham|Burnley</x:v>
      </x:c>
      <x:c r="O110" s="2" t="str">
        <x:f>IF(A110="","",IFERROR(IF(NOT(AND(B110&lt;&gt;"",C110&lt;&gt;"",ISNUMBER(D110),D110&gt;0,E110&lt;&gt;"",F110&lt;&gt;"",E110&lt;&gt;F110,ISNUMBER(G110),ISNUMBER(H110),G110&gt;=0,H110&gt;=0,G110&lt;=100,H110&lt;=100,MOD(G110,1)=0,MOD(H110,1)=0,L110="FT90",S110&gt;0,INDEX(SourceTable[League],MAX(1,S110))=B110,INDEX(SourceTable[Season],MAX(1,S110))=C110,ISNUMBER(K110),K110=INDEX(SourceTable[Retrieved_UTC],MAX(1,S110)),J110&lt;&gt;"",M110&lt;&gt;"")),"INVALID",IF(OR(COUNTIFS('Istoric_Nativ'!$N$6:$N$405,N110,'Istoric_Nativ'!$G$6:$G$405,G110)&lt;&gt;COUNTIF('Istoric_Nativ'!$N$6:$N$405,N110),COUNTIFS('Istoric_Nativ'!$N$6:$N$405,N110,'Istoric_Nativ'!$H$6:$H$405,H110)&lt;&gt;COUNTIF('Istoric_Nativ'!$N$6:$N$405,N110)),"SOURCE CONFLICT",IF(COUNTIF($N$6:N110,N110)&gt;1,"DUPLICATE","VALID"))),"INVALID"))</x:f>
        <x:v>VALID</x:v>
      </x:c>
      <x:c r="P110" s="2" t="n">
        <x:f>IF(O110="VALID",1,0)</x:f>
        <x:v>1</x:v>
      </x:c>
      <x:c r="Q110" s="2" t="n">
        <x:f>IF(P110=1,G110+H110,0)</x:f>
        <x:v>11</x:v>
      </x:c>
      <x:c r="R110" s="2" t="n">
        <x:f>Q110^2</x:f>
        <x:v>121</x:v>
      </x:c>
      <x:c r="S110" s="2" t="n">
        <x:f>IF(A110="","",IFERROR(MATCH(I110,SourceTable[Source_ID],0),0))</x:f>
        <x:v>1</x:v>
      </x:c>
    </x:row>
    <x:row r="111" ht="21" customHeight="1">
      <x:c r="A111" s="7" t="str">
        <x:v>5c1dbe8a4d269f1c9b57</x:v>
      </x:c>
      <x:c r="B111" s="7" t="str">
        <x:v>E0</x:v>
      </x:c>
      <x:c r="C111" s="7" t="str">
        <x:v>2025/26</x:v>
      </x:c>
      <x:c r="D111" s="8" t="n">
        <x:v>45970</x:v>
      </x:c>
      <x:c r="E111" s="7" t="str">
        <x:v>Aston Villa</x:v>
      </x:c>
      <x:c r="F111" s="7" t="str">
        <x:v>Bournemouth</x:v>
      </x:c>
      <x:c r="G111" s="7" t="n">
        <x:v>6</x:v>
      </x:c>
      <x:c r="H111" s="7" t="n">
        <x:v>9</x:v>
      </x:c>
      <x:c r="I111" s="7" t="str">
        <x:v>FD_E0_2526</x:v>
      </x:c>
      <x:c r="J111" s="7" t="str">
        <x:v>https://www.football-data.co.uk/mmz4281/2526/E0.csv</x:v>
      </x:c>
      <x:c r="K111" s="8" t="n">
        <x:v>46278.70306712963</x:v>
      </x:c>
      <x:c r="L111" s="7" t="str">
        <x:v>FT90</x:v>
      </x:c>
      <x:c r="M111" s="7" t="str">
        <x:v>CSV row 107</x:v>
      </x:c>
      <x:c r="N111" s="2" t="str">
        <x:f>IF(AND(A111&lt;&gt;"",ISNUMBER(D111)),B111&amp;"|"&amp;C111&amp;"|"&amp;TEXT(D111,"yyyymmdd")&amp;"|"&amp;E111&amp;"|"&amp;F111,"")</x:f>
        <x:v>E0|2025/26|20251109|Aston Villa|Bournemouth</x:v>
      </x:c>
      <x:c r="O111" s="2" t="str">
        <x:f>IF(A111="","",IFERROR(IF(NOT(AND(B111&lt;&gt;"",C111&lt;&gt;"",ISNUMBER(D111),D111&gt;0,E111&lt;&gt;"",F111&lt;&gt;"",E111&lt;&gt;F111,ISNUMBER(G111),ISNUMBER(H111),G111&gt;=0,H111&gt;=0,G111&lt;=100,H111&lt;=100,MOD(G111,1)=0,MOD(H111,1)=0,L111="FT90",S111&gt;0,INDEX(SourceTable[League],MAX(1,S111))=B111,INDEX(SourceTable[Season],MAX(1,S111))=C111,ISNUMBER(K111),K111=INDEX(SourceTable[Retrieved_UTC],MAX(1,S111)),J111&lt;&gt;"",M111&lt;&gt;"")),"INVALID",IF(OR(COUNTIFS('Istoric_Nativ'!$N$6:$N$405,N111,'Istoric_Nativ'!$G$6:$G$405,G111)&lt;&gt;COUNTIF('Istoric_Nativ'!$N$6:$N$405,N111),COUNTIFS('Istoric_Nativ'!$N$6:$N$405,N111,'Istoric_Nativ'!$H$6:$H$405,H111)&lt;&gt;COUNTIF('Istoric_Nativ'!$N$6:$N$405,N111)),"SOURCE CONFLICT",IF(COUNTIF($N$6:N111,N111)&gt;1,"DUPLICATE","VALID"))),"INVALID"))</x:f>
        <x:v>VALID</x:v>
      </x:c>
      <x:c r="P111" s="2" t="n">
        <x:f>IF(O111="VALID",1,0)</x:f>
        <x:v>1</x:v>
      </x:c>
      <x:c r="Q111" s="2" t="n">
        <x:f>IF(P111=1,G111+H111,0)</x:f>
        <x:v>15</x:v>
      </x:c>
      <x:c r="R111" s="2" t="n">
        <x:f>Q111^2</x:f>
        <x:v>225</x:v>
      </x:c>
      <x:c r="S111" s="2" t="n">
        <x:f>IF(A111="","",IFERROR(MATCH(I111,SourceTable[Source_ID],0),0))</x:f>
        <x:v>1</x:v>
      </x:c>
    </x:row>
    <x:row r="112" ht="21" customHeight="1">
      <x:c r="A112" s="7" t="str">
        <x:v>6ab86c015bba0b3c5c85</x:v>
      </x:c>
      <x:c r="B112" s="7" t="str">
        <x:v>E0</x:v>
      </x:c>
      <x:c r="C112" s="7" t="str">
        <x:v>2025/26</x:v>
      </x:c>
      <x:c r="D112" s="8" t="n">
        <x:v>45970</x:v>
      </x:c>
      <x:c r="E112" s="7" t="str">
        <x:v>Brentford</x:v>
      </x:c>
      <x:c r="F112" s="7" t="str">
        <x:v>Newcastle</x:v>
      </x:c>
      <x:c r="G112" s="7" t="n">
        <x:v>6</x:v>
      </x:c>
      <x:c r="H112" s="7" t="n">
        <x:v>2</x:v>
      </x:c>
      <x:c r="I112" s="7" t="str">
        <x:v>FD_E0_2526</x:v>
      </x:c>
      <x:c r="J112" s="7" t="str">
        <x:v>https://www.football-data.co.uk/mmz4281/2526/E0.csv</x:v>
      </x:c>
      <x:c r="K112" s="8" t="n">
        <x:v>46278.70306712963</x:v>
      </x:c>
      <x:c r="L112" s="7" t="str">
        <x:v>FT90</x:v>
      </x:c>
      <x:c r="M112" s="7" t="str">
        <x:v>CSV row 108</x:v>
      </x:c>
      <x:c r="N112" s="2" t="str">
        <x:f>IF(AND(A112&lt;&gt;"",ISNUMBER(D112)),B112&amp;"|"&amp;C112&amp;"|"&amp;TEXT(D112,"yyyymmdd")&amp;"|"&amp;E112&amp;"|"&amp;F112,"")</x:f>
        <x:v>E0|2025/26|20251109|Brentford|Newcastle</x:v>
      </x:c>
      <x:c r="O112" s="2" t="str">
        <x:f>IF(A112="","",IFERROR(IF(NOT(AND(B112&lt;&gt;"",C112&lt;&gt;"",ISNUMBER(D112),D112&gt;0,E112&lt;&gt;"",F112&lt;&gt;"",E112&lt;&gt;F112,ISNUMBER(G112),ISNUMBER(H112),G112&gt;=0,H112&gt;=0,G112&lt;=100,H112&lt;=100,MOD(G112,1)=0,MOD(H112,1)=0,L112="FT90",S112&gt;0,INDEX(SourceTable[League],MAX(1,S112))=B112,INDEX(SourceTable[Season],MAX(1,S112))=C112,ISNUMBER(K112),K112=INDEX(SourceTable[Retrieved_UTC],MAX(1,S112)),J112&lt;&gt;"",M112&lt;&gt;"")),"INVALID",IF(OR(COUNTIFS('Istoric_Nativ'!$N$6:$N$405,N112,'Istoric_Nativ'!$G$6:$G$405,G112)&lt;&gt;COUNTIF('Istoric_Nativ'!$N$6:$N$405,N112),COUNTIFS('Istoric_Nativ'!$N$6:$N$405,N112,'Istoric_Nativ'!$H$6:$H$405,H112)&lt;&gt;COUNTIF('Istoric_Nativ'!$N$6:$N$405,N112)),"SOURCE CONFLICT",IF(COUNTIF($N$6:N112,N112)&gt;1,"DUPLICATE","VALID"))),"INVALID"))</x:f>
        <x:v>VALID</x:v>
      </x:c>
      <x:c r="P112" s="2" t="n">
        <x:f>IF(O112="VALID",1,0)</x:f>
        <x:v>1</x:v>
      </x:c>
      <x:c r="Q112" s="2" t="n">
        <x:f>IF(P112=1,G112+H112,0)</x:f>
        <x:v>8</x:v>
      </x:c>
      <x:c r="R112" s="2" t="n">
        <x:f>Q112^2</x:f>
        <x:v>64</x:v>
      </x:c>
      <x:c r="S112" s="2" t="n">
        <x:f>IF(A112="","",IFERROR(MATCH(I112,SourceTable[Source_ID],0),0))</x:f>
        <x:v>1</x:v>
      </x:c>
    </x:row>
    <x:row r="113" ht="21" customHeight="1">
      <x:c r="A113" s="7" t="str">
        <x:v>2a4668acd6116c654dfd</x:v>
      </x:c>
      <x:c r="B113" s="7" t="str">
        <x:v>E0</x:v>
      </x:c>
      <x:c r="C113" s="7" t="str">
        <x:v>2025/26</x:v>
      </x:c>
      <x:c r="D113" s="8" t="n">
        <x:v>45970</x:v>
      </x:c>
      <x:c r="E113" s="7" t="str">
        <x:v>Crystal Palace</x:v>
      </x:c>
      <x:c r="F113" s="7" t="str">
        <x:v>Brighton</x:v>
      </x:c>
      <x:c r="G113" s="7" t="n">
        <x:v>4</x:v>
      </x:c>
      <x:c r="H113" s="7" t="n">
        <x:v>8</x:v>
      </x:c>
      <x:c r="I113" s="7" t="str">
        <x:v>FD_E0_2526</x:v>
      </x:c>
      <x:c r="J113" s="7" t="str">
        <x:v>https://www.football-data.co.uk/mmz4281/2526/E0.csv</x:v>
      </x:c>
      <x:c r="K113" s="8" t="n">
        <x:v>46278.70306712963</x:v>
      </x:c>
      <x:c r="L113" s="7" t="str">
        <x:v>FT90</x:v>
      </x:c>
      <x:c r="M113" s="7" t="str">
        <x:v>CSV row 109</x:v>
      </x:c>
      <x:c r="N113" s="2" t="str">
        <x:f>IF(AND(A113&lt;&gt;"",ISNUMBER(D113)),B113&amp;"|"&amp;C113&amp;"|"&amp;TEXT(D113,"yyyymmdd")&amp;"|"&amp;E113&amp;"|"&amp;F113,"")</x:f>
        <x:v>E0|2025/26|20251109|Crystal Palace|Brighton</x:v>
      </x:c>
      <x:c r="O113" s="2" t="str">
        <x:f>IF(A113="","",IFERROR(IF(NOT(AND(B113&lt;&gt;"",C113&lt;&gt;"",ISNUMBER(D113),D113&gt;0,E113&lt;&gt;"",F113&lt;&gt;"",E113&lt;&gt;F113,ISNUMBER(G113),ISNUMBER(H113),G113&gt;=0,H113&gt;=0,G113&lt;=100,H113&lt;=100,MOD(G113,1)=0,MOD(H113,1)=0,L113="FT90",S113&gt;0,INDEX(SourceTable[League],MAX(1,S113))=B113,INDEX(SourceTable[Season],MAX(1,S113))=C113,ISNUMBER(K113),K113=INDEX(SourceTable[Retrieved_UTC],MAX(1,S113)),J113&lt;&gt;"",M113&lt;&gt;"")),"INVALID",IF(OR(COUNTIFS('Istoric_Nativ'!$N$6:$N$405,N113,'Istoric_Nativ'!$G$6:$G$405,G113)&lt;&gt;COUNTIF('Istoric_Nativ'!$N$6:$N$405,N113),COUNTIFS('Istoric_Nativ'!$N$6:$N$405,N113,'Istoric_Nativ'!$H$6:$H$405,H113)&lt;&gt;COUNTIF('Istoric_Nativ'!$N$6:$N$405,N113)),"SOURCE CONFLICT",IF(COUNTIF($N$6:N113,N113)&gt;1,"DUPLICATE","VALID"))),"INVALID"))</x:f>
        <x:v>VALID</x:v>
      </x:c>
      <x:c r="P113" s="2" t="n">
        <x:f>IF(O113="VALID",1,0)</x:f>
        <x:v>1</x:v>
      </x:c>
      <x:c r="Q113" s="2" t="n">
        <x:f>IF(P113=1,G113+H113,0)</x:f>
        <x:v>12</x:v>
      </x:c>
      <x:c r="R113" s="2" t="n">
        <x:f>Q113^2</x:f>
        <x:v>144</x:v>
      </x:c>
      <x:c r="S113" s="2" t="n">
        <x:f>IF(A113="","",IFERROR(MATCH(I113,SourceTable[Source_ID],0),0))</x:f>
        <x:v>1</x:v>
      </x:c>
    </x:row>
    <x:row r="114" ht="21" customHeight="1">
      <x:c r="A114" s="7" t="str">
        <x:v>052dd4d4beb69a0d669f</x:v>
      </x:c>
      <x:c r="B114" s="7" t="str">
        <x:v>E0</x:v>
      </x:c>
      <x:c r="C114" s="7" t="str">
        <x:v>2025/26</x:v>
      </x:c>
      <x:c r="D114" s="8" t="n">
        <x:v>45970</x:v>
      </x:c>
      <x:c r="E114" s="7" t="str">
        <x:v>Man City</x:v>
      </x:c>
      <x:c r="F114" s="7" t="str">
        <x:v>Liverpool</x:v>
      </x:c>
      <x:c r="G114" s="7" t="n">
        <x:v>7</x:v>
      </x:c>
      <x:c r="H114" s="7" t="n">
        <x:v>7</x:v>
      </x:c>
      <x:c r="I114" s="7" t="str">
        <x:v>FD_E0_2526</x:v>
      </x:c>
      <x:c r="J114" s="7" t="str">
        <x:v>https://www.football-data.co.uk/mmz4281/2526/E0.csv</x:v>
      </x:c>
      <x:c r="K114" s="8" t="n">
        <x:v>46278.70306712963</x:v>
      </x:c>
      <x:c r="L114" s="7" t="str">
        <x:v>FT90</x:v>
      </x:c>
      <x:c r="M114" s="7" t="str">
        <x:v>CSV row 111</x:v>
      </x:c>
      <x:c r="N114" s="2" t="str">
        <x:f>IF(AND(A114&lt;&gt;"",ISNUMBER(D114)),B114&amp;"|"&amp;C114&amp;"|"&amp;TEXT(D114,"yyyymmdd")&amp;"|"&amp;E114&amp;"|"&amp;F114,"")</x:f>
        <x:v>E0|2025/26|20251109|Man City|Liverpool</x:v>
      </x:c>
      <x:c r="O114" s="2" t="str">
        <x:f>IF(A114="","",IFERROR(IF(NOT(AND(B114&lt;&gt;"",C114&lt;&gt;"",ISNUMBER(D114),D114&gt;0,E114&lt;&gt;"",F114&lt;&gt;"",E114&lt;&gt;F114,ISNUMBER(G114),ISNUMBER(H114),G114&gt;=0,H114&gt;=0,G114&lt;=100,H114&lt;=100,MOD(G114,1)=0,MOD(H114,1)=0,L114="FT90",S114&gt;0,INDEX(SourceTable[League],MAX(1,S114))=B114,INDEX(SourceTable[Season],MAX(1,S114))=C114,ISNUMBER(K114),K114=INDEX(SourceTable[Retrieved_UTC],MAX(1,S114)),J114&lt;&gt;"",M114&lt;&gt;"")),"INVALID",IF(OR(COUNTIFS('Istoric_Nativ'!$N$6:$N$405,N114,'Istoric_Nativ'!$G$6:$G$405,G114)&lt;&gt;COUNTIF('Istoric_Nativ'!$N$6:$N$405,N114),COUNTIFS('Istoric_Nativ'!$N$6:$N$405,N114,'Istoric_Nativ'!$H$6:$H$405,H114)&lt;&gt;COUNTIF('Istoric_Nativ'!$N$6:$N$405,N114)),"SOURCE CONFLICT",IF(COUNTIF($N$6:N114,N114)&gt;1,"DUPLICATE","VALID"))),"INVALID"))</x:f>
        <x:v>VALID</x:v>
      </x:c>
      <x:c r="P114" s="2" t="n">
        <x:f>IF(O114="VALID",1,0)</x:f>
        <x:v>1</x:v>
      </x:c>
      <x:c r="Q114" s="2" t="n">
        <x:f>IF(P114=1,G114+H114,0)</x:f>
        <x:v>14</x:v>
      </x:c>
      <x:c r="R114" s="2" t="n">
        <x:f>Q114^2</x:f>
        <x:v>196</x:v>
      </x:c>
      <x:c r="S114" s="2" t="n">
        <x:f>IF(A114="","",IFERROR(MATCH(I114,SourceTable[Source_ID],0),0))</x:f>
        <x:v>1</x:v>
      </x:c>
    </x:row>
    <x:row r="115" ht="21" customHeight="1">
      <x:c r="A115" s="7" t="str">
        <x:v>f9354490c7f3db879801</x:v>
      </x:c>
      <x:c r="B115" s="7" t="str">
        <x:v>E0</x:v>
      </x:c>
      <x:c r="C115" s="7" t="str">
        <x:v>2025/26</x:v>
      </x:c>
      <x:c r="D115" s="8" t="n">
        <x:v>45970</x:v>
      </x:c>
      <x:c r="E115" s="7" t="str">
        <x:v>Nott'm Forest</x:v>
      </x:c>
      <x:c r="F115" s="7" t="str">
        <x:v>Leeds</x:v>
      </x:c>
      <x:c r="G115" s="7" t="n">
        <x:v>6</x:v>
      </x:c>
      <x:c r="H115" s="7" t="n">
        <x:v>4</x:v>
      </x:c>
      <x:c r="I115" s="7" t="str">
        <x:v>FD_E0_2526</x:v>
      </x:c>
      <x:c r="J115" s="7" t="str">
        <x:v>https://www.football-data.co.uk/mmz4281/2526/E0.csv</x:v>
      </x:c>
      <x:c r="K115" s="8" t="n">
        <x:v>46278.70306712963</x:v>
      </x:c>
      <x:c r="L115" s="7" t="str">
        <x:v>FT90</x:v>
      </x:c>
      <x:c r="M115" s="7" t="str">
        <x:v>CSV row 110</x:v>
      </x:c>
      <x:c r="N115" s="2" t="str">
        <x:f>IF(AND(A115&lt;&gt;"",ISNUMBER(D115)),B115&amp;"|"&amp;C115&amp;"|"&amp;TEXT(D115,"yyyymmdd")&amp;"|"&amp;E115&amp;"|"&amp;F115,"")</x:f>
        <x:v>E0|2025/26|20251109|Nott'm Forest|Leeds</x:v>
      </x:c>
      <x:c r="O115" s="2" t="str">
        <x:f>IF(A115="","",IFERROR(IF(NOT(AND(B115&lt;&gt;"",C115&lt;&gt;"",ISNUMBER(D115),D115&gt;0,E115&lt;&gt;"",F115&lt;&gt;"",E115&lt;&gt;F115,ISNUMBER(G115),ISNUMBER(H115),G115&gt;=0,H115&gt;=0,G115&lt;=100,H115&lt;=100,MOD(G115,1)=0,MOD(H115,1)=0,L115="FT90",S115&gt;0,INDEX(SourceTable[League],MAX(1,S115))=B115,INDEX(SourceTable[Season],MAX(1,S115))=C115,ISNUMBER(K115),K115=INDEX(SourceTable[Retrieved_UTC],MAX(1,S115)),J115&lt;&gt;"",M115&lt;&gt;"")),"INVALID",IF(OR(COUNTIFS('Istoric_Nativ'!$N$6:$N$405,N115,'Istoric_Nativ'!$G$6:$G$405,G115)&lt;&gt;COUNTIF('Istoric_Nativ'!$N$6:$N$405,N115),COUNTIFS('Istoric_Nativ'!$N$6:$N$405,N115,'Istoric_Nativ'!$H$6:$H$405,H115)&lt;&gt;COUNTIF('Istoric_Nativ'!$N$6:$N$405,N115)),"SOURCE CONFLICT",IF(COUNTIF($N$6:N115,N115)&gt;1,"DUPLICATE","VALID"))),"INVALID"))</x:f>
        <x:v>VALID</x:v>
      </x:c>
      <x:c r="P115" s="2" t="n">
        <x:f>IF(O115="VALID",1,0)</x:f>
        <x:v>1</x:v>
      </x:c>
      <x:c r="Q115" s="2" t="n">
        <x:f>IF(P115=1,G115+H115,0)</x:f>
        <x:v>10</x:v>
      </x:c>
      <x:c r="R115" s="2" t="n">
        <x:f>Q115^2</x:f>
        <x:v>100</x:v>
      </x:c>
      <x:c r="S115" s="2" t="n">
        <x:f>IF(A115="","",IFERROR(MATCH(I115,SourceTable[Source_ID],0),0))</x:f>
        <x:v>1</x:v>
      </x:c>
    </x:row>
    <x:row r="116" ht="21" customHeight="1">
      <x:c r="A116" s="7" t="str">
        <x:v>c958ca155e99ee45a71e</x:v>
      </x:c>
      <x:c r="B116" s="7" t="str">
        <x:v>E0</x:v>
      </x:c>
      <x:c r="C116" s="7" t="str">
        <x:v>2025/26</x:v>
      </x:c>
      <x:c r="D116" s="8" t="n">
        <x:v>45983</x:v>
      </x:c>
      <x:c r="E116" s="7" t="str">
        <x:v>Bournemouth</x:v>
      </x:c>
      <x:c r="F116" s="7" t="str">
        <x:v>West Ham</x:v>
      </x:c>
      <x:c r="G116" s="7" t="n">
        <x:v>9</x:v>
      </x:c>
      <x:c r="H116" s="7" t="n">
        <x:v>2</x:v>
      </x:c>
      <x:c r="I116" s="7" t="str">
        <x:v>FD_E0_2526</x:v>
      </x:c>
      <x:c r="J116" s="7" t="str">
        <x:v>https://www.football-data.co.uk/mmz4281/2526/E0.csv</x:v>
      </x:c>
      <x:c r="K116" s="8" t="n">
        <x:v>46278.70306712963</x:v>
      </x:c>
      <x:c r="L116" s="7" t="str">
        <x:v>FT90</x:v>
      </x:c>
      <x:c r="M116" s="7" t="str">
        <x:v>CSV row 113</x:v>
      </x:c>
      <x:c r="N116" s="2" t="str">
        <x:f>IF(AND(A116&lt;&gt;"",ISNUMBER(D116)),B116&amp;"|"&amp;C116&amp;"|"&amp;TEXT(D116,"yyyymmdd")&amp;"|"&amp;E116&amp;"|"&amp;F116,"")</x:f>
        <x:v>E0|2025/26|20251122|Bournemouth|West Ham</x:v>
      </x:c>
      <x:c r="O116" s="2" t="str">
        <x:f>IF(A116="","",IFERROR(IF(NOT(AND(B116&lt;&gt;"",C116&lt;&gt;"",ISNUMBER(D116),D116&gt;0,E116&lt;&gt;"",F116&lt;&gt;"",E116&lt;&gt;F116,ISNUMBER(G116),ISNUMBER(H116),G116&gt;=0,H116&gt;=0,G116&lt;=100,H116&lt;=100,MOD(G116,1)=0,MOD(H116,1)=0,L116="FT90",S116&gt;0,INDEX(SourceTable[League],MAX(1,S116))=B116,INDEX(SourceTable[Season],MAX(1,S116))=C116,ISNUMBER(K116),K116=INDEX(SourceTable[Retrieved_UTC],MAX(1,S116)),J116&lt;&gt;"",M116&lt;&gt;"")),"INVALID",IF(OR(COUNTIFS('Istoric_Nativ'!$N$6:$N$405,N116,'Istoric_Nativ'!$G$6:$G$405,G116)&lt;&gt;COUNTIF('Istoric_Nativ'!$N$6:$N$405,N116),COUNTIFS('Istoric_Nativ'!$N$6:$N$405,N116,'Istoric_Nativ'!$H$6:$H$405,H116)&lt;&gt;COUNTIF('Istoric_Nativ'!$N$6:$N$405,N116)),"SOURCE CONFLICT",IF(COUNTIF($N$6:N116,N116)&gt;1,"DUPLICATE","VALID"))),"INVALID"))</x:f>
        <x:v>VALID</x:v>
      </x:c>
      <x:c r="P116" s="2" t="n">
        <x:f>IF(O116="VALID",1,0)</x:f>
        <x:v>1</x:v>
      </x:c>
      <x:c r="Q116" s="2" t="n">
        <x:f>IF(P116=1,G116+H116,0)</x:f>
        <x:v>11</x:v>
      </x:c>
      <x:c r="R116" s="2" t="n">
        <x:f>Q116^2</x:f>
        <x:v>121</x:v>
      </x:c>
      <x:c r="S116" s="2" t="n">
        <x:f>IF(A116="","",IFERROR(MATCH(I116,SourceTable[Source_ID],0),0))</x:f>
        <x:v>1</x:v>
      </x:c>
    </x:row>
    <x:row r="117" ht="21" customHeight="1">
      <x:c r="A117" s="7" t="str">
        <x:v>c8642bc711f05b46a75c</x:v>
      </x:c>
      <x:c r="B117" s="7" t="str">
        <x:v>E0</x:v>
      </x:c>
      <x:c r="C117" s="7" t="str">
        <x:v>2025/26</x:v>
      </x:c>
      <x:c r="D117" s="8" t="n">
        <x:v>45983</x:v>
      </x:c>
      <x:c r="E117" s="7" t="str">
        <x:v>Brighton</x:v>
      </x:c>
      <x:c r="F117" s="7" t="str">
        <x:v>Brentford</x:v>
      </x:c>
      <x:c r="G117" s="7" t="n">
        <x:v>7</x:v>
      </x:c>
      <x:c r="H117" s="7" t="n">
        <x:v>4</x:v>
      </x:c>
      <x:c r="I117" s="7" t="str">
        <x:v>FD_E0_2526</x:v>
      </x:c>
      <x:c r="J117" s="7" t="str">
        <x:v>https://www.football-data.co.uk/mmz4281/2526/E0.csv</x:v>
      </x:c>
      <x:c r="K117" s="8" t="n">
        <x:v>46278.70306712963</x:v>
      </x:c>
      <x:c r="L117" s="7" t="str">
        <x:v>FT90</x:v>
      </x:c>
      <x:c r="M117" s="7" t="str">
        <x:v>CSV row 114</x:v>
      </x:c>
      <x:c r="N117" s="2" t="str">
        <x:f>IF(AND(A117&lt;&gt;"",ISNUMBER(D117)),B117&amp;"|"&amp;C117&amp;"|"&amp;TEXT(D117,"yyyymmdd")&amp;"|"&amp;E117&amp;"|"&amp;F117,"")</x:f>
        <x:v>E0|2025/26|20251122|Brighton|Brentford</x:v>
      </x:c>
      <x:c r="O117" s="2" t="str">
        <x:f>IF(A117="","",IFERROR(IF(NOT(AND(B117&lt;&gt;"",C117&lt;&gt;"",ISNUMBER(D117),D117&gt;0,E117&lt;&gt;"",F117&lt;&gt;"",E117&lt;&gt;F117,ISNUMBER(G117),ISNUMBER(H117),G117&gt;=0,H117&gt;=0,G117&lt;=100,H117&lt;=100,MOD(G117,1)=0,MOD(H117,1)=0,L117="FT90",S117&gt;0,INDEX(SourceTable[League],MAX(1,S117))=B117,INDEX(SourceTable[Season],MAX(1,S117))=C117,ISNUMBER(K117),K117=INDEX(SourceTable[Retrieved_UTC],MAX(1,S117)),J117&lt;&gt;"",M117&lt;&gt;"")),"INVALID",IF(OR(COUNTIFS('Istoric_Nativ'!$N$6:$N$405,N117,'Istoric_Nativ'!$G$6:$G$405,G117)&lt;&gt;COUNTIF('Istoric_Nativ'!$N$6:$N$405,N117),COUNTIFS('Istoric_Nativ'!$N$6:$N$405,N117,'Istoric_Nativ'!$H$6:$H$405,H117)&lt;&gt;COUNTIF('Istoric_Nativ'!$N$6:$N$405,N117)),"SOURCE CONFLICT",IF(COUNTIF($N$6:N117,N117)&gt;1,"DUPLICATE","VALID"))),"INVALID"))</x:f>
        <x:v>VALID</x:v>
      </x:c>
      <x:c r="P117" s="2" t="n">
        <x:f>IF(O117="VALID",1,0)</x:f>
        <x:v>1</x:v>
      </x:c>
      <x:c r="Q117" s="2" t="n">
        <x:f>IF(P117=1,G117+H117,0)</x:f>
        <x:v>11</x:v>
      </x:c>
      <x:c r="R117" s="2" t="n">
        <x:f>Q117^2</x:f>
        <x:v>121</x:v>
      </x:c>
      <x:c r="S117" s="2" t="n">
        <x:f>IF(A117="","",IFERROR(MATCH(I117,SourceTable[Source_ID],0),0))</x:f>
        <x:v>1</x:v>
      </x:c>
    </x:row>
    <x:row r="118" ht="21" customHeight="1">
      <x:c r="A118" s="7" t="str">
        <x:v>6b65fec5e146870661b4</x:v>
      </x:c>
      <x:c r="B118" s="7" t="str">
        <x:v>E0</x:v>
      </x:c>
      <x:c r="C118" s="7" t="str">
        <x:v>2025/26</x:v>
      </x:c>
      <x:c r="D118" s="8" t="n">
        <x:v>45983</x:v>
      </x:c>
      <x:c r="E118" s="7" t="str">
        <x:v>Burnley</x:v>
      </x:c>
      <x:c r="F118" s="7" t="str">
        <x:v>Chelsea</x:v>
      </x:c>
      <x:c r="G118" s="7" t="n">
        <x:v>1</x:v>
      </x:c>
      <x:c r="H118" s="7" t="n">
        <x:v>9</x:v>
      </x:c>
      <x:c r="I118" s="7" t="str">
        <x:v>FD_E0_2526</x:v>
      </x:c>
      <x:c r="J118" s="7" t="str">
        <x:v>https://www.football-data.co.uk/mmz4281/2526/E0.csv</x:v>
      </x:c>
      <x:c r="K118" s="8" t="n">
        <x:v>46278.70306712963</x:v>
      </x:c>
      <x:c r="L118" s="7" t="str">
        <x:v>FT90</x:v>
      </x:c>
      <x:c r="M118" s="7" t="str">
        <x:v>CSV row 112</x:v>
      </x:c>
      <x:c r="N118" s="2" t="str">
        <x:f>IF(AND(A118&lt;&gt;"",ISNUMBER(D118)),B118&amp;"|"&amp;C118&amp;"|"&amp;TEXT(D118,"yyyymmdd")&amp;"|"&amp;E118&amp;"|"&amp;F118,"")</x:f>
        <x:v>E0|2025/26|20251122|Burnley|Chelsea</x:v>
      </x:c>
      <x:c r="O118" s="2" t="str">
        <x:f>IF(A118="","",IFERROR(IF(NOT(AND(B118&lt;&gt;"",C118&lt;&gt;"",ISNUMBER(D118),D118&gt;0,E118&lt;&gt;"",F118&lt;&gt;"",E118&lt;&gt;F118,ISNUMBER(G118),ISNUMBER(H118),G118&gt;=0,H118&gt;=0,G118&lt;=100,H118&lt;=100,MOD(G118,1)=0,MOD(H118,1)=0,L118="FT90",S118&gt;0,INDEX(SourceTable[League],MAX(1,S118))=B118,INDEX(SourceTable[Season],MAX(1,S118))=C118,ISNUMBER(K118),K118=INDEX(SourceTable[Retrieved_UTC],MAX(1,S118)),J118&lt;&gt;"",M118&lt;&gt;"")),"INVALID",IF(OR(COUNTIFS('Istoric_Nativ'!$N$6:$N$405,N118,'Istoric_Nativ'!$G$6:$G$405,G118)&lt;&gt;COUNTIF('Istoric_Nativ'!$N$6:$N$405,N118),COUNTIFS('Istoric_Nativ'!$N$6:$N$405,N118,'Istoric_Nativ'!$H$6:$H$405,H118)&lt;&gt;COUNTIF('Istoric_Nativ'!$N$6:$N$405,N118)),"SOURCE CONFLICT",IF(COUNTIF($N$6:N118,N118)&gt;1,"DUPLICATE","VALID"))),"INVALID"))</x:f>
        <x:v>VALID</x:v>
      </x:c>
      <x:c r="P118" s="2" t="n">
        <x:f>IF(O118="VALID",1,0)</x:f>
        <x:v>1</x:v>
      </x:c>
      <x:c r="Q118" s="2" t="n">
        <x:f>IF(P118=1,G118+H118,0)</x:f>
        <x:v>10</x:v>
      </x:c>
      <x:c r="R118" s="2" t="n">
        <x:f>Q118^2</x:f>
        <x:v>100</x:v>
      </x:c>
      <x:c r="S118" s="2" t="n">
        <x:f>IF(A118="","",IFERROR(MATCH(I118,SourceTable[Source_ID],0),0))</x:f>
        <x:v>1</x:v>
      </x:c>
    </x:row>
    <x:row r="119" ht="21" customHeight="1">
      <x:c r="A119" s="7" t="str">
        <x:v>ef5a2baf3acdb1294d4d</x:v>
      </x:c>
      <x:c r="B119" s="7" t="str">
        <x:v>E0</x:v>
      </x:c>
      <x:c r="C119" s="7" t="str">
        <x:v>2025/26</x:v>
      </x:c>
      <x:c r="D119" s="8" t="n">
        <x:v>45983</x:v>
      </x:c>
      <x:c r="E119" s="7" t="str">
        <x:v>Fulham</x:v>
      </x:c>
      <x:c r="F119" s="7" t="str">
        <x:v>Sunderland</x:v>
      </x:c>
      <x:c r="G119" s="7" t="n">
        <x:v>7</x:v>
      </x:c>
      <x:c r="H119" s="7" t="n">
        <x:v>4</x:v>
      </x:c>
      <x:c r="I119" s="7" t="str">
        <x:v>FD_E0_2526</x:v>
      </x:c>
      <x:c r="J119" s="7" t="str">
        <x:v>https://www.football-data.co.uk/mmz4281/2526/E0.csv</x:v>
      </x:c>
      <x:c r="K119" s="8" t="n">
        <x:v>46278.70306712963</x:v>
      </x:c>
      <x:c r="L119" s="7" t="str">
        <x:v>FT90</x:v>
      </x:c>
      <x:c r="M119" s="7" t="str">
        <x:v>CSV row 115</x:v>
      </x:c>
      <x:c r="N119" s="2" t="str">
        <x:f>IF(AND(A119&lt;&gt;"",ISNUMBER(D119)),B119&amp;"|"&amp;C119&amp;"|"&amp;TEXT(D119,"yyyymmdd")&amp;"|"&amp;E119&amp;"|"&amp;F119,"")</x:f>
        <x:v>E0|2025/26|20251122|Fulham|Sunderland</x:v>
      </x:c>
      <x:c r="O119" s="2" t="str">
        <x:f>IF(A119="","",IFERROR(IF(NOT(AND(B119&lt;&gt;"",C119&lt;&gt;"",ISNUMBER(D119),D119&gt;0,E119&lt;&gt;"",F119&lt;&gt;"",E119&lt;&gt;F119,ISNUMBER(G119),ISNUMBER(H119),G119&gt;=0,H119&gt;=0,G119&lt;=100,H119&lt;=100,MOD(G119,1)=0,MOD(H119,1)=0,L119="FT90",S119&gt;0,INDEX(SourceTable[League],MAX(1,S119))=B119,INDEX(SourceTable[Season],MAX(1,S119))=C119,ISNUMBER(K119),K119=INDEX(SourceTable[Retrieved_UTC],MAX(1,S119)),J119&lt;&gt;"",M119&lt;&gt;"")),"INVALID",IF(OR(COUNTIFS('Istoric_Nativ'!$N$6:$N$405,N119,'Istoric_Nativ'!$G$6:$G$405,G119)&lt;&gt;COUNTIF('Istoric_Nativ'!$N$6:$N$405,N119),COUNTIFS('Istoric_Nativ'!$N$6:$N$405,N119,'Istoric_Nativ'!$H$6:$H$405,H119)&lt;&gt;COUNTIF('Istoric_Nativ'!$N$6:$N$405,N119)),"SOURCE CONFLICT",IF(COUNTIF($N$6:N119,N119)&gt;1,"DUPLICATE","VALID"))),"INVALID"))</x:f>
        <x:v>VALID</x:v>
      </x:c>
      <x:c r="P119" s="2" t="n">
        <x:f>IF(O119="VALID",1,0)</x:f>
        <x:v>1</x:v>
      </x:c>
      <x:c r="Q119" s="2" t="n">
        <x:f>IF(P119=1,G119+H119,0)</x:f>
        <x:v>11</x:v>
      </x:c>
      <x:c r="R119" s="2" t="n">
        <x:f>Q119^2</x:f>
        <x:v>121</x:v>
      </x:c>
      <x:c r="S119" s="2" t="n">
        <x:f>IF(A119="","",IFERROR(MATCH(I119,SourceTable[Source_ID],0),0))</x:f>
        <x:v>1</x:v>
      </x:c>
    </x:row>
    <x:row r="120" ht="21" customHeight="1">
      <x:c r="A120" s="7" t="str">
        <x:v>3c06a852e8d97f6c923f</x:v>
      </x:c>
      <x:c r="B120" s="7" t="str">
        <x:v>E0</x:v>
      </x:c>
      <x:c r="C120" s="7" t="str">
        <x:v>2025/26</x:v>
      </x:c>
      <x:c r="D120" s="8" t="n">
        <x:v>45983</x:v>
      </x:c>
      <x:c r="E120" s="7" t="str">
        <x:v>Liverpool</x:v>
      </x:c>
      <x:c r="F120" s="7" t="str">
        <x:v>Nott'm Forest</x:v>
      </x:c>
      <x:c r="G120" s="7" t="n">
        <x:v>8</x:v>
      </x:c>
      <x:c r="H120" s="7" t="n">
        <x:v>6</x:v>
      </x:c>
      <x:c r="I120" s="7" t="str">
        <x:v>FD_E0_2526</x:v>
      </x:c>
      <x:c r="J120" s="7" t="str">
        <x:v>https://www.football-data.co.uk/mmz4281/2526/E0.csv</x:v>
      </x:c>
      <x:c r="K120" s="8" t="n">
        <x:v>46278.70306712963</x:v>
      </x:c>
      <x:c r="L120" s="7" t="str">
        <x:v>FT90</x:v>
      </x:c>
      <x:c r="M120" s="7" t="str">
        <x:v>CSV row 116</x:v>
      </x:c>
      <x:c r="N120" s="2" t="str">
        <x:f>IF(AND(A120&lt;&gt;"",ISNUMBER(D120)),B120&amp;"|"&amp;C120&amp;"|"&amp;TEXT(D120,"yyyymmdd")&amp;"|"&amp;E120&amp;"|"&amp;F120,"")</x:f>
        <x:v>E0|2025/26|20251122|Liverpool|Nott'm Forest</x:v>
      </x:c>
      <x:c r="O120" s="2" t="str">
        <x:f>IF(A120="","",IFERROR(IF(NOT(AND(B120&lt;&gt;"",C120&lt;&gt;"",ISNUMBER(D120),D120&gt;0,E120&lt;&gt;"",F120&lt;&gt;"",E120&lt;&gt;F120,ISNUMBER(G120),ISNUMBER(H120),G120&gt;=0,H120&gt;=0,G120&lt;=100,H120&lt;=100,MOD(G120,1)=0,MOD(H120,1)=0,L120="FT90",S120&gt;0,INDEX(SourceTable[League],MAX(1,S120))=B120,INDEX(SourceTable[Season],MAX(1,S120))=C120,ISNUMBER(K120),K120=INDEX(SourceTable[Retrieved_UTC],MAX(1,S120)),J120&lt;&gt;"",M120&lt;&gt;"")),"INVALID",IF(OR(COUNTIFS('Istoric_Nativ'!$N$6:$N$405,N120,'Istoric_Nativ'!$G$6:$G$405,G120)&lt;&gt;COUNTIF('Istoric_Nativ'!$N$6:$N$405,N120),COUNTIFS('Istoric_Nativ'!$N$6:$N$405,N120,'Istoric_Nativ'!$H$6:$H$405,H120)&lt;&gt;COUNTIF('Istoric_Nativ'!$N$6:$N$405,N120)),"SOURCE CONFLICT",IF(COUNTIF($N$6:N120,N120)&gt;1,"DUPLICATE","VALID"))),"INVALID"))</x:f>
        <x:v>VALID</x:v>
      </x:c>
      <x:c r="P120" s="2" t="n">
        <x:f>IF(O120="VALID",1,0)</x:f>
        <x:v>1</x:v>
      </x:c>
      <x:c r="Q120" s="2" t="n">
        <x:f>IF(P120=1,G120+H120,0)</x:f>
        <x:v>14</x:v>
      </x:c>
      <x:c r="R120" s="2" t="n">
        <x:f>Q120^2</x:f>
        <x:v>196</x:v>
      </x:c>
      <x:c r="S120" s="2" t="n">
        <x:f>IF(A120="","",IFERROR(MATCH(I120,SourceTable[Source_ID],0),0))</x:f>
        <x:v>1</x:v>
      </x:c>
    </x:row>
    <x:row r="121" ht="21" customHeight="1">
      <x:c r="A121" s="7" t="str">
        <x:v>ec8a1b75cd6356be3869</x:v>
      </x:c>
      <x:c r="B121" s="7" t="str">
        <x:v>E0</x:v>
      </x:c>
      <x:c r="C121" s="7" t="str">
        <x:v>2025/26</x:v>
      </x:c>
      <x:c r="D121" s="8" t="n">
        <x:v>45983</x:v>
      </x:c>
      <x:c r="E121" s="7" t="str">
        <x:v>Newcastle</x:v>
      </x:c>
      <x:c r="F121" s="7" t="str">
        <x:v>Man City</x:v>
      </x:c>
      <x:c r="G121" s="7" t="n">
        <x:v>5</x:v>
      </x:c>
      <x:c r="H121" s="7" t="n">
        <x:v>9</x:v>
      </x:c>
      <x:c r="I121" s="7" t="str">
        <x:v>FD_E0_2526</x:v>
      </x:c>
      <x:c r="J121" s="7" t="str">
        <x:v>https://www.football-data.co.uk/mmz4281/2526/E0.csv</x:v>
      </x:c>
      <x:c r="K121" s="8" t="n">
        <x:v>46278.70306712963</x:v>
      </x:c>
      <x:c r="L121" s="7" t="str">
        <x:v>FT90</x:v>
      </x:c>
      <x:c r="M121" s="7" t="str">
        <x:v>CSV row 118</x:v>
      </x:c>
      <x:c r="N121" s="2" t="str">
        <x:f>IF(AND(A121&lt;&gt;"",ISNUMBER(D121)),B121&amp;"|"&amp;C121&amp;"|"&amp;TEXT(D121,"yyyymmdd")&amp;"|"&amp;E121&amp;"|"&amp;F121,"")</x:f>
        <x:v>E0|2025/26|20251122|Newcastle|Man City</x:v>
      </x:c>
      <x:c r="O121" s="2" t="str">
        <x:f>IF(A121="","",IFERROR(IF(NOT(AND(B121&lt;&gt;"",C121&lt;&gt;"",ISNUMBER(D121),D121&gt;0,E121&lt;&gt;"",F121&lt;&gt;"",E121&lt;&gt;F121,ISNUMBER(G121),ISNUMBER(H121),G121&gt;=0,H121&gt;=0,G121&lt;=100,H121&lt;=100,MOD(G121,1)=0,MOD(H121,1)=0,L121="FT90",S121&gt;0,INDEX(SourceTable[League],MAX(1,S121))=B121,INDEX(SourceTable[Season],MAX(1,S121))=C121,ISNUMBER(K121),K121=INDEX(SourceTable[Retrieved_UTC],MAX(1,S121)),J121&lt;&gt;"",M121&lt;&gt;"")),"INVALID",IF(OR(COUNTIFS('Istoric_Nativ'!$N$6:$N$405,N121,'Istoric_Nativ'!$G$6:$G$405,G121)&lt;&gt;COUNTIF('Istoric_Nativ'!$N$6:$N$405,N121),COUNTIFS('Istoric_Nativ'!$N$6:$N$405,N121,'Istoric_Nativ'!$H$6:$H$405,H121)&lt;&gt;COUNTIF('Istoric_Nativ'!$N$6:$N$405,N121)),"SOURCE CONFLICT",IF(COUNTIF($N$6:N121,N121)&gt;1,"DUPLICATE","VALID"))),"INVALID"))</x:f>
        <x:v>VALID</x:v>
      </x:c>
      <x:c r="P121" s="2" t="n">
        <x:f>IF(O121="VALID",1,0)</x:f>
        <x:v>1</x:v>
      </x:c>
      <x:c r="Q121" s="2" t="n">
        <x:f>IF(P121=1,G121+H121,0)</x:f>
        <x:v>14</x:v>
      </x:c>
      <x:c r="R121" s="2" t="n">
        <x:f>Q121^2</x:f>
        <x:v>196</x:v>
      </x:c>
      <x:c r="S121" s="2" t="n">
        <x:f>IF(A121="","",IFERROR(MATCH(I121,SourceTable[Source_ID],0),0))</x:f>
        <x:v>1</x:v>
      </x:c>
    </x:row>
    <x:row r="122" ht="21" customHeight="1">
      <x:c r="A122" s="7" t="str">
        <x:v>a3c0d7b13e5aeb61b28f</x:v>
      </x:c>
      <x:c r="B122" s="7" t="str">
        <x:v>E0</x:v>
      </x:c>
      <x:c r="C122" s="7" t="str">
        <x:v>2025/26</x:v>
      </x:c>
      <x:c r="D122" s="8" t="n">
        <x:v>45983</x:v>
      </x:c>
      <x:c r="E122" s="7" t="str">
        <x:v>Wolves</x:v>
      </x:c>
      <x:c r="F122" s="7" t="str">
        <x:v>Crystal Palace</x:v>
      </x:c>
      <x:c r="G122" s="7" t="n">
        <x:v>1</x:v>
      </x:c>
      <x:c r="H122" s="7" t="n">
        <x:v>4</x:v>
      </x:c>
      <x:c r="I122" s="7" t="str">
        <x:v>FD_E0_2526</x:v>
      </x:c>
      <x:c r="J122" s="7" t="str">
        <x:v>https://www.football-data.co.uk/mmz4281/2526/E0.csv</x:v>
      </x:c>
      <x:c r="K122" s="8" t="n">
        <x:v>46278.70306712963</x:v>
      </x:c>
      <x:c r="L122" s="7" t="str">
        <x:v>FT90</x:v>
      </x:c>
      <x:c r="M122" s="7" t="str">
        <x:v>CSV row 117</x:v>
      </x:c>
      <x:c r="N122" s="2" t="str">
        <x:f>IF(AND(A122&lt;&gt;"",ISNUMBER(D122)),B122&amp;"|"&amp;C122&amp;"|"&amp;TEXT(D122,"yyyymmdd")&amp;"|"&amp;E122&amp;"|"&amp;F122,"")</x:f>
        <x:v>E0|2025/26|20251122|Wolves|Crystal Palace</x:v>
      </x:c>
      <x:c r="O122" s="2" t="str">
        <x:f>IF(A122="","",IFERROR(IF(NOT(AND(B122&lt;&gt;"",C122&lt;&gt;"",ISNUMBER(D122),D122&gt;0,E122&lt;&gt;"",F122&lt;&gt;"",E122&lt;&gt;F122,ISNUMBER(G122),ISNUMBER(H122),G122&gt;=0,H122&gt;=0,G122&lt;=100,H122&lt;=100,MOD(G122,1)=0,MOD(H122,1)=0,L122="FT90",S122&gt;0,INDEX(SourceTable[League],MAX(1,S122))=B122,INDEX(SourceTable[Season],MAX(1,S122))=C122,ISNUMBER(K122),K122=INDEX(SourceTable[Retrieved_UTC],MAX(1,S122)),J122&lt;&gt;"",M122&lt;&gt;"")),"INVALID",IF(OR(COUNTIFS('Istoric_Nativ'!$N$6:$N$405,N122,'Istoric_Nativ'!$G$6:$G$405,G122)&lt;&gt;COUNTIF('Istoric_Nativ'!$N$6:$N$405,N122),COUNTIFS('Istoric_Nativ'!$N$6:$N$405,N122,'Istoric_Nativ'!$H$6:$H$405,H122)&lt;&gt;COUNTIF('Istoric_Nativ'!$N$6:$N$405,N122)),"SOURCE CONFLICT",IF(COUNTIF($N$6:N122,N122)&gt;1,"DUPLICATE","VALID"))),"INVALID"))</x:f>
        <x:v>VALID</x:v>
      </x:c>
      <x:c r="P122" s="2" t="n">
        <x:f>IF(O122="VALID",1,0)</x:f>
        <x:v>1</x:v>
      </x:c>
      <x:c r="Q122" s="2" t="n">
        <x:f>IF(P122=1,G122+H122,0)</x:f>
        <x:v>5</x:v>
      </x:c>
      <x:c r="R122" s="2" t="n">
        <x:f>Q122^2</x:f>
        <x:v>25</x:v>
      </x:c>
      <x:c r="S122" s="2" t="n">
        <x:f>IF(A122="","",IFERROR(MATCH(I122,SourceTable[Source_ID],0),0))</x:f>
        <x:v>1</x:v>
      </x:c>
    </x:row>
    <x:row r="123" ht="21" customHeight="1">
      <x:c r="A123" s="7" t="str">
        <x:v>d42b96317d195b98146f</x:v>
      </x:c>
      <x:c r="B123" s="7" t="str">
        <x:v>E0</x:v>
      </x:c>
      <x:c r="C123" s="7" t="str">
        <x:v>2025/26</x:v>
      </x:c>
      <x:c r="D123" s="8" t="n">
        <x:v>45984</x:v>
      </x:c>
      <x:c r="E123" s="7" t="str">
        <x:v>Arsenal</x:v>
      </x:c>
      <x:c r="F123" s="7" t="str">
        <x:v>Tottenham</x:v>
      </x:c>
      <x:c r="G123" s="7" t="n">
        <x:v>4</x:v>
      </x:c>
      <x:c r="H123" s="7" t="n">
        <x:v>1</x:v>
      </x:c>
      <x:c r="I123" s="7" t="str">
        <x:v>FD_E0_2526</x:v>
      </x:c>
      <x:c r="J123" s="7" t="str">
        <x:v>https://www.football-data.co.uk/mmz4281/2526/E0.csv</x:v>
      </x:c>
      <x:c r="K123" s="8" t="n">
        <x:v>46278.70306712963</x:v>
      </x:c>
      <x:c r="L123" s="7" t="str">
        <x:v>FT90</x:v>
      </x:c>
      <x:c r="M123" s="7" t="str">
        <x:v>CSV row 120</x:v>
      </x:c>
      <x:c r="N123" s="2" t="str">
        <x:f>IF(AND(A123&lt;&gt;"",ISNUMBER(D123)),B123&amp;"|"&amp;C123&amp;"|"&amp;TEXT(D123,"yyyymmdd")&amp;"|"&amp;E123&amp;"|"&amp;F123,"")</x:f>
        <x:v>E0|2025/26|20251123|Arsenal|Tottenham</x:v>
      </x:c>
      <x:c r="O123" s="2" t="str">
        <x:f>IF(A123="","",IFERROR(IF(NOT(AND(B123&lt;&gt;"",C123&lt;&gt;"",ISNUMBER(D123),D123&gt;0,E123&lt;&gt;"",F123&lt;&gt;"",E123&lt;&gt;F123,ISNUMBER(G123),ISNUMBER(H123),G123&gt;=0,H123&gt;=0,G123&lt;=100,H123&lt;=100,MOD(G123,1)=0,MOD(H123,1)=0,L123="FT90",S123&gt;0,INDEX(SourceTable[League],MAX(1,S123))=B123,INDEX(SourceTable[Season],MAX(1,S123))=C123,ISNUMBER(K123),K123=INDEX(SourceTable[Retrieved_UTC],MAX(1,S123)),J123&lt;&gt;"",M123&lt;&gt;"")),"INVALID",IF(OR(COUNTIFS('Istoric_Nativ'!$N$6:$N$405,N123,'Istoric_Nativ'!$G$6:$G$405,G123)&lt;&gt;COUNTIF('Istoric_Nativ'!$N$6:$N$405,N123),COUNTIFS('Istoric_Nativ'!$N$6:$N$405,N123,'Istoric_Nativ'!$H$6:$H$405,H123)&lt;&gt;COUNTIF('Istoric_Nativ'!$N$6:$N$405,N123)),"SOURCE CONFLICT",IF(COUNTIF($N$6:N123,N123)&gt;1,"DUPLICATE","VALID"))),"INVALID"))</x:f>
        <x:v>VALID</x:v>
      </x:c>
      <x:c r="P123" s="2" t="n">
        <x:f>IF(O123="VALID",1,0)</x:f>
        <x:v>1</x:v>
      </x:c>
      <x:c r="Q123" s="2" t="n">
        <x:f>IF(P123=1,G123+H123,0)</x:f>
        <x:v>5</x:v>
      </x:c>
      <x:c r="R123" s="2" t="n">
        <x:f>Q123^2</x:f>
        <x:v>25</x:v>
      </x:c>
      <x:c r="S123" s="2" t="n">
        <x:f>IF(A123="","",IFERROR(MATCH(I123,SourceTable[Source_ID],0),0))</x:f>
        <x:v>1</x:v>
      </x:c>
    </x:row>
    <x:row r="124" ht="21" customHeight="1">
      <x:c r="A124" s="7" t="str">
        <x:v>c82dd8f7758d81b8c5bf</x:v>
      </x:c>
      <x:c r="B124" s="7" t="str">
        <x:v>E0</x:v>
      </x:c>
      <x:c r="C124" s="7" t="str">
        <x:v>2025/26</x:v>
      </x:c>
      <x:c r="D124" s="8" t="n">
        <x:v>45984</x:v>
      </x:c>
      <x:c r="E124" s="7" t="str">
        <x:v>Leeds</x:v>
      </x:c>
      <x:c r="F124" s="7" t="str">
        <x:v>Aston Villa</x:v>
      </x:c>
      <x:c r="G124" s="7" t="n">
        <x:v>3</x:v>
      </x:c>
      <x:c r="H124" s="7" t="n">
        <x:v>3</x:v>
      </x:c>
      <x:c r="I124" s="7" t="str">
        <x:v>FD_E0_2526</x:v>
      </x:c>
      <x:c r="J124" s="7" t="str">
        <x:v>https://www.football-data.co.uk/mmz4281/2526/E0.csv</x:v>
      </x:c>
      <x:c r="K124" s="8" t="n">
        <x:v>46278.70306712963</x:v>
      </x:c>
      <x:c r="L124" s="7" t="str">
        <x:v>FT90</x:v>
      </x:c>
      <x:c r="M124" s="7" t="str">
        <x:v>CSV row 119</x:v>
      </x:c>
      <x:c r="N124" s="2" t="str">
        <x:f>IF(AND(A124&lt;&gt;"",ISNUMBER(D124)),B124&amp;"|"&amp;C124&amp;"|"&amp;TEXT(D124,"yyyymmdd")&amp;"|"&amp;E124&amp;"|"&amp;F124,"")</x:f>
        <x:v>E0|2025/26|20251123|Leeds|Aston Villa</x:v>
      </x:c>
      <x:c r="O124" s="2" t="str">
        <x:f>IF(A124="","",IFERROR(IF(NOT(AND(B124&lt;&gt;"",C124&lt;&gt;"",ISNUMBER(D124),D124&gt;0,E124&lt;&gt;"",F124&lt;&gt;"",E124&lt;&gt;F124,ISNUMBER(G124),ISNUMBER(H124),G124&gt;=0,H124&gt;=0,G124&lt;=100,H124&lt;=100,MOD(G124,1)=0,MOD(H124,1)=0,L124="FT90",S124&gt;0,INDEX(SourceTable[League],MAX(1,S124))=B124,INDEX(SourceTable[Season],MAX(1,S124))=C124,ISNUMBER(K124),K124=INDEX(SourceTable[Retrieved_UTC],MAX(1,S124)),J124&lt;&gt;"",M124&lt;&gt;"")),"INVALID",IF(OR(COUNTIFS('Istoric_Nativ'!$N$6:$N$405,N124,'Istoric_Nativ'!$G$6:$G$405,G124)&lt;&gt;COUNTIF('Istoric_Nativ'!$N$6:$N$405,N124),COUNTIFS('Istoric_Nativ'!$N$6:$N$405,N124,'Istoric_Nativ'!$H$6:$H$405,H124)&lt;&gt;COUNTIF('Istoric_Nativ'!$N$6:$N$405,N124)),"SOURCE CONFLICT",IF(COUNTIF($N$6:N124,N124)&gt;1,"DUPLICATE","VALID"))),"INVALID"))</x:f>
        <x:v>VALID</x:v>
      </x:c>
      <x:c r="P124" s="2" t="n">
        <x:f>IF(O124="VALID",1,0)</x:f>
        <x:v>1</x:v>
      </x:c>
      <x:c r="Q124" s="2" t="n">
        <x:f>IF(P124=1,G124+H124,0)</x:f>
        <x:v>6</x:v>
      </x:c>
      <x:c r="R124" s="2" t="n">
        <x:f>Q124^2</x:f>
        <x:v>36</x:v>
      </x:c>
      <x:c r="S124" s="2" t="n">
        <x:f>IF(A124="","",IFERROR(MATCH(I124,SourceTable[Source_ID],0),0))</x:f>
        <x:v>1</x:v>
      </x:c>
    </x:row>
    <x:row r="125" ht="21" customHeight="1">
      <x:c r="A125" s="7" t="str">
        <x:v>27eac92c360edc53e2ac</x:v>
      </x:c>
      <x:c r="B125" s="7" t="str">
        <x:v>E0</x:v>
      </x:c>
      <x:c r="C125" s="7" t="str">
        <x:v>2025/26</x:v>
      </x:c>
      <x:c r="D125" s="8" t="n">
        <x:v>45985</x:v>
      </x:c>
      <x:c r="E125" s="7" t="str">
        <x:v>Man United</x:v>
      </x:c>
      <x:c r="F125" s="7" t="str">
        <x:v>Everton</x:v>
      </x:c>
      <x:c r="G125" s="7" t="n">
        <x:v>9</x:v>
      </x:c>
      <x:c r="H125" s="7" t="n">
        <x:v>1</x:v>
      </x:c>
      <x:c r="I125" s="7" t="str">
        <x:v>FD_E0_2526</x:v>
      </x:c>
      <x:c r="J125" s="7" t="str">
        <x:v>https://www.football-data.co.uk/mmz4281/2526/E0.csv</x:v>
      </x:c>
      <x:c r="K125" s="8" t="n">
        <x:v>46278.70306712963</x:v>
      </x:c>
      <x:c r="L125" s="7" t="str">
        <x:v>FT90</x:v>
      </x:c>
      <x:c r="M125" s="7" t="str">
        <x:v>CSV row 121</x:v>
      </x:c>
      <x:c r="N125" s="2" t="str">
        <x:f>IF(AND(A125&lt;&gt;"",ISNUMBER(D125)),B125&amp;"|"&amp;C125&amp;"|"&amp;TEXT(D125,"yyyymmdd")&amp;"|"&amp;E125&amp;"|"&amp;F125,"")</x:f>
        <x:v>E0|2025/26|20251124|Man United|Everton</x:v>
      </x:c>
      <x:c r="O125" s="2" t="str">
        <x:f>IF(A125="","",IFERROR(IF(NOT(AND(B125&lt;&gt;"",C125&lt;&gt;"",ISNUMBER(D125),D125&gt;0,E125&lt;&gt;"",F125&lt;&gt;"",E125&lt;&gt;F125,ISNUMBER(G125),ISNUMBER(H125),G125&gt;=0,H125&gt;=0,G125&lt;=100,H125&lt;=100,MOD(G125,1)=0,MOD(H125,1)=0,L125="FT90",S125&gt;0,INDEX(SourceTable[League],MAX(1,S125))=B125,INDEX(SourceTable[Season],MAX(1,S125))=C125,ISNUMBER(K125),K125=INDEX(SourceTable[Retrieved_UTC],MAX(1,S125)),J125&lt;&gt;"",M125&lt;&gt;"")),"INVALID",IF(OR(COUNTIFS('Istoric_Nativ'!$N$6:$N$405,N125,'Istoric_Nativ'!$G$6:$G$405,G125)&lt;&gt;COUNTIF('Istoric_Nativ'!$N$6:$N$405,N125),COUNTIFS('Istoric_Nativ'!$N$6:$N$405,N125,'Istoric_Nativ'!$H$6:$H$405,H125)&lt;&gt;COUNTIF('Istoric_Nativ'!$N$6:$N$405,N125)),"SOURCE CONFLICT",IF(COUNTIF($N$6:N125,N125)&gt;1,"DUPLICATE","VALID"))),"INVALID"))</x:f>
        <x:v>VALID</x:v>
      </x:c>
      <x:c r="P125" s="2" t="n">
        <x:f>IF(O125="VALID",1,0)</x:f>
        <x:v>1</x:v>
      </x:c>
      <x:c r="Q125" s="2" t="n">
        <x:f>IF(P125=1,G125+H125,0)</x:f>
        <x:v>10</x:v>
      </x:c>
      <x:c r="R125" s="2" t="n">
        <x:f>Q125^2</x:f>
        <x:v>100</x:v>
      </x:c>
      <x:c r="S125" s="2" t="n">
        <x:f>IF(A125="","",IFERROR(MATCH(I125,SourceTable[Source_ID],0),0))</x:f>
        <x:v>1</x:v>
      </x:c>
    </x:row>
    <x:row r="126" ht="21" customHeight="1">
      <x:c r="A126" s="7" t="str">
        <x:v>8d809a0041ce14d17fa3</x:v>
      </x:c>
      <x:c r="B126" s="7" t="str">
        <x:v>E0</x:v>
      </x:c>
      <x:c r="C126" s="7" t="str">
        <x:v>2025/26</x:v>
      </x:c>
      <x:c r="D126" s="8" t="n">
        <x:v>45990</x:v>
      </x:c>
      <x:c r="E126" s="7" t="str">
        <x:v>Brentford</x:v>
      </x:c>
      <x:c r="F126" s="7" t="str">
        <x:v>Burnley</x:v>
      </x:c>
      <x:c r="G126" s="7" t="n">
        <x:v>5</x:v>
      </x:c>
      <x:c r="H126" s="7" t="n">
        <x:v>6</x:v>
      </x:c>
      <x:c r="I126" s="7" t="str">
        <x:v>FD_E0_2526</x:v>
      </x:c>
      <x:c r="J126" s="7" t="str">
        <x:v>https://www.football-data.co.uk/mmz4281/2526/E0.csv</x:v>
      </x:c>
      <x:c r="K126" s="8" t="n">
        <x:v>46278.70306712963</x:v>
      </x:c>
      <x:c r="L126" s="7" t="str">
        <x:v>FT90</x:v>
      </x:c>
      <x:c r="M126" s="7" t="str">
        <x:v>CSV row 122</x:v>
      </x:c>
      <x:c r="N126" s="2" t="str">
        <x:f>IF(AND(A126&lt;&gt;"",ISNUMBER(D126)),B126&amp;"|"&amp;C126&amp;"|"&amp;TEXT(D126,"yyyymmdd")&amp;"|"&amp;E126&amp;"|"&amp;F126,"")</x:f>
        <x:v>E0|2025/26|20251129|Brentford|Burnley</x:v>
      </x:c>
      <x:c r="O126" s="2" t="str">
        <x:f>IF(A126="","",IFERROR(IF(NOT(AND(B126&lt;&gt;"",C126&lt;&gt;"",ISNUMBER(D126),D126&gt;0,E126&lt;&gt;"",F126&lt;&gt;"",E126&lt;&gt;F126,ISNUMBER(G126),ISNUMBER(H126),G126&gt;=0,H126&gt;=0,G126&lt;=100,H126&lt;=100,MOD(G126,1)=0,MOD(H126,1)=0,L126="FT90",S126&gt;0,INDEX(SourceTable[League],MAX(1,S126))=B126,INDEX(SourceTable[Season],MAX(1,S126))=C126,ISNUMBER(K126),K126=INDEX(SourceTable[Retrieved_UTC],MAX(1,S126)),J126&lt;&gt;"",M126&lt;&gt;"")),"INVALID",IF(OR(COUNTIFS('Istoric_Nativ'!$N$6:$N$405,N126,'Istoric_Nativ'!$G$6:$G$405,G126)&lt;&gt;COUNTIF('Istoric_Nativ'!$N$6:$N$405,N126),COUNTIFS('Istoric_Nativ'!$N$6:$N$405,N126,'Istoric_Nativ'!$H$6:$H$405,H126)&lt;&gt;COUNTIF('Istoric_Nativ'!$N$6:$N$405,N126)),"SOURCE CONFLICT",IF(COUNTIF($N$6:N126,N126)&gt;1,"DUPLICATE","VALID"))),"INVALID"))</x:f>
        <x:v>VALID</x:v>
      </x:c>
      <x:c r="P126" s="2" t="n">
        <x:f>IF(O126="VALID",1,0)</x:f>
        <x:v>1</x:v>
      </x:c>
      <x:c r="Q126" s="2" t="n">
        <x:f>IF(P126=1,G126+H126,0)</x:f>
        <x:v>11</x:v>
      </x:c>
      <x:c r="R126" s="2" t="n">
        <x:f>Q126^2</x:f>
        <x:v>121</x:v>
      </x:c>
      <x:c r="S126" s="2" t="n">
        <x:f>IF(A126="","",IFERROR(MATCH(I126,SourceTable[Source_ID],0),0))</x:f>
        <x:v>1</x:v>
      </x:c>
    </x:row>
    <x:row r="127" ht="21" customHeight="1">
      <x:c r="A127" s="7" t="str">
        <x:v>10d5a8b0358ef55b75bd</x:v>
      </x:c>
      <x:c r="B127" s="7" t="str">
        <x:v>E0</x:v>
      </x:c>
      <x:c r="C127" s="7" t="str">
        <x:v>2025/26</x:v>
      </x:c>
      <x:c r="D127" s="8" t="n">
        <x:v>45990</x:v>
      </x:c>
      <x:c r="E127" s="7" t="str">
        <x:v>Everton</x:v>
      </x:c>
      <x:c r="F127" s="7" t="str">
        <x:v>Newcastle</x:v>
      </x:c>
      <x:c r="G127" s="7" t="n">
        <x:v>8</x:v>
      </x:c>
      <x:c r="H127" s="7" t="n">
        <x:v>7</x:v>
      </x:c>
      <x:c r="I127" s="7" t="str">
        <x:v>FD_E0_2526</x:v>
      </x:c>
      <x:c r="J127" s="7" t="str">
        <x:v>https://www.football-data.co.uk/mmz4281/2526/E0.csv</x:v>
      </x:c>
      <x:c r="K127" s="8" t="n">
        <x:v>46278.70306712963</x:v>
      </x:c>
      <x:c r="L127" s="7" t="str">
        <x:v>FT90</x:v>
      </x:c>
      <x:c r="M127" s="7" t="str">
        <x:v>CSV row 125</x:v>
      </x:c>
      <x:c r="N127" s="2" t="str">
        <x:f>IF(AND(A127&lt;&gt;"",ISNUMBER(D127)),B127&amp;"|"&amp;C127&amp;"|"&amp;TEXT(D127,"yyyymmdd")&amp;"|"&amp;E127&amp;"|"&amp;F127,"")</x:f>
        <x:v>E0|2025/26|20251129|Everton|Newcastle</x:v>
      </x:c>
      <x:c r="O127" s="2" t="str">
        <x:f>IF(A127="","",IFERROR(IF(NOT(AND(B127&lt;&gt;"",C127&lt;&gt;"",ISNUMBER(D127),D127&gt;0,E127&lt;&gt;"",F127&lt;&gt;"",E127&lt;&gt;F127,ISNUMBER(G127),ISNUMBER(H127),G127&gt;=0,H127&gt;=0,G127&lt;=100,H127&lt;=100,MOD(G127,1)=0,MOD(H127,1)=0,L127="FT90",S127&gt;0,INDEX(SourceTable[League],MAX(1,S127))=B127,INDEX(SourceTable[Season],MAX(1,S127))=C127,ISNUMBER(K127),K127=INDEX(SourceTable[Retrieved_UTC],MAX(1,S127)),J127&lt;&gt;"",M127&lt;&gt;"")),"INVALID",IF(OR(COUNTIFS('Istoric_Nativ'!$N$6:$N$405,N127,'Istoric_Nativ'!$G$6:$G$405,G127)&lt;&gt;COUNTIF('Istoric_Nativ'!$N$6:$N$405,N127),COUNTIFS('Istoric_Nativ'!$N$6:$N$405,N127,'Istoric_Nativ'!$H$6:$H$405,H127)&lt;&gt;COUNTIF('Istoric_Nativ'!$N$6:$N$405,N127)),"SOURCE CONFLICT",IF(COUNTIF($N$6:N127,N127)&gt;1,"DUPLICATE","VALID"))),"INVALID"))</x:f>
        <x:v>VALID</x:v>
      </x:c>
      <x:c r="P127" s="2" t="n">
        <x:f>IF(O127="VALID",1,0)</x:f>
        <x:v>1</x:v>
      </x:c>
      <x:c r="Q127" s="2" t="n">
        <x:f>IF(P127=1,G127+H127,0)</x:f>
        <x:v>15</x:v>
      </x:c>
      <x:c r="R127" s="2" t="n">
        <x:f>Q127^2</x:f>
        <x:v>225</x:v>
      </x:c>
      <x:c r="S127" s="2" t="n">
        <x:f>IF(A127="","",IFERROR(MATCH(I127,SourceTable[Source_ID],0),0))</x:f>
        <x:v>1</x:v>
      </x:c>
    </x:row>
    <x:row r="128" ht="21" customHeight="1">
      <x:c r="A128" s="7" t="str">
        <x:v>bc9b19769775da4770d1</x:v>
      </x:c>
      <x:c r="B128" s="7" t="str">
        <x:v>E0</x:v>
      </x:c>
      <x:c r="C128" s="7" t="str">
        <x:v>2025/26</x:v>
      </x:c>
      <x:c r="D128" s="8" t="n">
        <x:v>45990</x:v>
      </x:c>
      <x:c r="E128" s="7" t="str">
        <x:v>Man City</x:v>
      </x:c>
      <x:c r="F128" s="7" t="str">
        <x:v>Leeds</x:v>
      </x:c>
      <x:c r="G128" s="7" t="n">
        <x:v>8</x:v>
      </x:c>
      <x:c r="H128" s="7" t="n">
        <x:v>1</x:v>
      </x:c>
      <x:c r="I128" s="7" t="str">
        <x:v>FD_E0_2526</x:v>
      </x:c>
      <x:c r="J128" s="7" t="str">
        <x:v>https://www.football-data.co.uk/mmz4281/2526/E0.csv</x:v>
      </x:c>
      <x:c r="K128" s="8" t="n">
        <x:v>46278.70306712963</x:v>
      </x:c>
      <x:c r="L128" s="7" t="str">
        <x:v>FT90</x:v>
      </x:c>
      <x:c r="M128" s="7" t="str">
        <x:v>CSV row 123</x:v>
      </x:c>
      <x:c r="N128" s="2" t="str">
        <x:f>IF(AND(A128&lt;&gt;"",ISNUMBER(D128)),B128&amp;"|"&amp;C128&amp;"|"&amp;TEXT(D128,"yyyymmdd")&amp;"|"&amp;E128&amp;"|"&amp;F128,"")</x:f>
        <x:v>E0|2025/26|20251129|Man City|Leeds</x:v>
      </x:c>
      <x:c r="O128" s="2" t="str">
        <x:f>IF(A128="","",IFERROR(IF(NOT(AND(B128&lt;&gt;"",C128&lt;&gt;"",ISNUMBER(D128),D128&gt;0,E128&lt;&gt;"",F128&lt;&gt;"",E128&lt;&gt;F128,ISNUMBER(G128),ISNUMBER(H128),G128&gt;=0,H128&gt;=0,G128&lt;=100,H128&lt;=100,MOD(G128,1)=0,MOD(H128,1)=0,L128="FT90",S128&gt;0,INDEX(SourceTable[League],MAX(1,S128))=B128,INDEX(SourceTable[Season],MAX(1,S128))=C128,ISNUMBER(K128),K128=INDEX(SourceTable[Retrieved_UTC],MAX(1,S128)),J128&lt;&gt;"",M128&lt;&gt;"")),"INVALID",IF(OR(COUNTIFS('Istoric_Nativ'!$N$6:$N$405,N128,'Istoric_Nativ'!$G$6:$G$405,G128)&lt;&gt;COUNTIF('Istoric_Nativ'!$N$6:$N$405,N128),COUNTIFS('Istoric_Nativ'!$N$6:$N$405,N128,'Istoric_Nativ'!$H$6:$H$405,H128)&lt;&gt;COUNTIF('Istoric_Nativ'!$N$6:$N$405,N128)),"SOURCE CONFLICT",IF(COUNTIF($N$6:N128,N128)&gt;1,"DUPLICATE","VALID"))),"INVALID"))</x:f>
        <x:v>VALID</x:v>
      </x:c>
      <x:c r="P128" s="2" t="n">
        <x:f>IF(O128="VALID",1,0)</x:f>
        <x:v>1</x:v>
      </x:c>
      <x:c r="Q128" s="2" t="n">
        <x:f>IF(P128=1,G128+H128,0)</x:f>
        <x:v>9</x:v>
      </x:c>
      <x:c r="R128" s="2" t="n">
        <x:f>Q128^2</x:f>
        <x:v>81</x:v>
      </x:c>
      <x:c r="S128" s="2" t="n">
        <x:f>IF(A128="","",IFERROR(MATCH(I128,SourceTable[Source_ID],0),0))</x:f>
        <x:v>1</x:v>
      </x:c>
    </x:row>
    <x:row r="129" ht="21" customHeight="1">
      <x:c r="A129" s="7" t="str">
        <x:v>0da1e6ba2b0ced683bfd</x:v>
      </x:c>
      <x:c r="B129" s="7" t="str">
        <x:v>E0</x:v>
      </x:c>
      <x:c r="C129" s="7" t="str">
        <x:v>2025/26</x:v>
      </x:c>
      <x:c r="D129" s="8" t="n">
        <x:v>45990</x:v>
      </x:c>
      <x:c r="E129" s="7" t="str">
        <x:v>Sunderland</x:v>
      </x:c>
      <x:c r="F129" s="7" t="str">
        <x:v>Bournemouth</x:v>
      </x:c>
      <x:c r="G129" s="7" t="n">
        <x:v>6</x:v>
      </x:c>
      <x:c r="H129" s="7" t="n">
        <x:v>3</x:v>
      </x:c>
      <x:c r="I129" s="7" t="str">
        <x:v>FD_E0_2526</x:v>
      </x:c>
      <x:c r="J129" s="7" t="str">
        <x:v>https://www.football-data.co.uk/mmz4281/2526/E0.csv</x:v>
      </x:c>
      <x:c r="K129" s="8" t="n">
        <x:v>46278.70306712963</x:v>
      </x:c>
      <x:c r="L129" s="7" t="str">
        <x:v>FT90</x:v>
      </x:c>
      <x:c r="M129" s="7" t="str">
        <x:v>CSV row 124</x:v>
      </x:c>
      <x:c r="N129" s="2" t="str">
        <x:f>IF(AND(A129&lt;&gt;"",ISNUMBER(D129)),B129&amp;"|"&amp;C129&amp;"|"&amp;TEXT(D129,"yyyymmdd")&amp;"|"&amp;E129&amp;"|"&amp;F129,"")</x:f>
        <x:v>E0|2025/26|20251129|Sunderland|Bournemouth</x:v>
      </x:c>
      <x:c r="O129" s="2" t="str">
        <x:f>IF(A129="","",IFERROR(IF(NOT(AND(B129&lt;&gt;"",C129&lt;&gt;"",ISNUMBER(D129),D129&gt;0,E129&lt;&gt;"",F129&lt;&gt;"",E129&lt;&gt;F129,ISNUMBER(G129),ISNUMBER(H129),G129&gt;=0,H129&gt;=0,G129&lt;=100,H129&lt;=100,MOD(G129,1)=0,MOD(H129,1)=0,L129="FT90",S129&gt;0,INDEX(SourceTable[League],MAX(1,S129))=B129,INDEX(SourceTable[Season],MAX(1,S129))=C129,ISNUMBER(K129),K129=INDEX(SourceTable[Retrieved_UTC],MAX(1,S129)),J129&lt;&gt;"",M129&lt;&gt;"")),"INVALID",IF(OR(COUNTIFS('Istoric_Nativ'!$N$6:$N$405,N129,'Istoric_Nativ'!$G$6:$G$405,G129)&lt;&gt;COUNTIF('Istoric_Nativ'!$N$6:$N$405,N129),COUNTIFS('Istoric_Nativ'!$N$6:$N$405,N129,'Istoric_Nativ'!$H$6:$H$405,H129)&lt;&gt;COUNTIF('Istoric_Nativ'!$N$6:$N$405,N129)),"SOURCE CONFLICT",IF(COUNTIF($N$6:N129,N129)&gt;1,"DUPLICATE","VALID"))),"INVALID"))</x:f>
        <x:v>VALID</x:v>
      </x:c>
      <x:c r="P129" s="2" t="n">
        <x:f>IF(O129="VALID",1,0)</x:f>
        <x:v>1</x:v>
      </x:c>
      <x:c r="Q129" s="2" t="n">
        <x:f>IF(P129=1,G129+H129,0)</x:f>
        <x:v>9</x:v>
      </x:c>
      <x:c r="R129" s="2" t="n">
        <x:f>Q129^2</x:f>
        <x:v>81</x:v>
      </x:c>
      <x:c r="S129" s="2" t="n">
        <x:f>IF(A129="","",IFERROR(MATCH(I129,SourceTable[Source_ID],0),0))</x:f>
        <x:v>1</x:v>
      </x:c>
    </x:row>
    <x:row r="130" ht="21" customHeight="1">
      <x:c r="A130" s="7" t="str">
        <x:v>0786b0ba6e6d3212ff9f</x:v>
      </x:c>
      <x:c r="B130" s="7" t="str">
        <x:v>E0</x:v>
      </x:c>
      <x:c r="C130" s="7" t="str">
        <x:v>2025/26</x:v>
      </x:c>
      <x:c r="D130" s="8" t="n">
        <x:v>45990</x:v>
      </x:c>
      <x:c r="E130" s="7" t="str">
        <x:v>Tottenham</x:v>
      </x:c>
      <x:c r="F130" s="7" t="str">
        <x:v>Fulham</x:v>
      </x:c>
      <x:c r="G130" s="7" t="n">
        <x:v>8</x:v>
      </x:c>
      <x:c r="H130" s="7" t="n">
        <x:v>2</x:v>
      </x:c>
      <x:c r="I130" s="7" t="str">
        <x:v>FD_E0_2526</x:v>
      </x:c>
      <x:c r="J130" s="7" t="str">
        <x:v>https://www.football-data.co.uk/mmz4281/2526/E0.csv</x:v>
      </x:c>
      <x:c r="K130" s="8" t="n">
        <x:v>46278.70306712963</x:v>
      </x:c>
      <x:c r="L130" s="7" t="str">
        <x:v>FT90</x:v>
      </x:c>
      <x:c r="M130" s="7" t="str">
        <x:v>CSV row 126</x:v>
      </x:c>
      <x:c r="N130" s="2" t="str">
        <x:f>IF(AND(A130&lt;&gt;"",ISNUMBER(D130)),B130&amp;"|"&amp;C130&amp;"|"&amp;TEXT(D130,"yyyymmdd")&amp;"|"&amp;E130&amp;"|"&amp;F130,"")</x:f>
        <x:v>E0|2025/26|20251129|Tottenham|Fulham</x:v>
      </x:c>
      <x:c r="O130" s="2" t="str">
        <x:f>IF(A130="","",IFERROR(IF(NOT(AND(B130&lt;&gt;"",C130&lt;&gt;"",ISNUMBER(D130),D130&gt;0,E130&lt;&gt;"",F130&lt;&gt;"",E130&lt;&gt;F130,ISNUMBER(G130),ISNUMBER(H130),G130&gt;=0,H130&gt;=0,G130&lt;=100,H130&lt;=100,MOD(G130,1)=0,MOD(H130,1)=0,L130="FT90",S130&gt;0,INDEX(SourceTable[League],MAX(1,S130))=B130,INDEX(SourceTable[Season],MAX(1,S130))=C130,ISNUMBER(K130),K130=INDEX(SourceTable[Retrieved_UTC],MAX(1,S130)),J130&lt;&gt;"",M130&lt;&gt;"")),"INVALID",IF(OR(COUNTIFS('Istoric_Nativ'!$N$6:$N$405,N130,'Istoric_Nativ'!$G$6:$G$405,G130)&lt;&gt;COUNTIF('Istoric_Nativ'!$N$6:$N$405,N130),COUNTIFS('Istoric_Nativ'!$N$6:$N$405,N130,'Istoric_Nativ'!$H$6:$H$405,H130)&lt;&gt;COUNTIF('Istoric_Nativ'!$N$6:$N$405,N130)),"SOURCE CONFLICT",IF(COUNTIF($N$6:N130,N130)&gt;1,"DUPLICATE","VALID"))),"INVALID"))</x:f>
        <x:v>VALID</x:v>
      </x:c>
      <x:c r="P130" s="2" t="n">
        <x:f>IF(O130="VALID",1,0)</x:f>
        <x:v>1</x:v>
      </x:c>
      <x:c r="Q130" s="2" t="n">
        <x:f>IF(P130=1,G130+H130,0)</x:f>
        <x:v>10</x:v>
      </x:c>
      <x:c r="R130" s="2" t="n">
        <x:f>Q130^2</x:f>
        <x:v>100</x:v>
      </x:c>
      <x:c r="S130" s="2" t="n">
        <x:f>IF(A130="","",IFERROR(MATCH(I130,SourceTable[Source_ID],0),0))</x:f>
        <x:v>1</x:v>
      </x:c>
    </x:row>
    <x:row r="131" ht="21" customHeight="1">
      <x:c r="A131" s="7" t="str">
        <x:v>d450ed7a9c53317682cf</x:v>
      </x:c>
      <x:c r="B131" s="7" t="str">
        <x:v>E0</x:v>
      </x:c>
      <x:c r="C131" s="7" t="str">
        <x:v>2025/26</x:v>
      </x:c>
      <x:c r="D131" s="8" t="n">
        <x:v>45991</x:v>
      </x:c>
      <x:c r="E131" s="7" t="str">
        <x:v>Aston Villa</x:v>
      </x:c>
      <x:c r="F131" s="7" t="str">
        <x:v>Wolves</x:v>
      </x:c>
      <x:c r="G131" s="7" t="n">
        <x:v>7</x:v>
      </x:c>
      <x:c r="H131" s="7" t="n">
        <x:v>3</x:v>
      </x:c>
      <x:c r="I131" s="7" t="str">
        <x:v>FD_E0_2526</x:v>
      </x:c>
      <x:c r="J131" s="7" t="str">
        <x:v>https://www.football-data.co.uk/mmz4281/2526/E0.csv</x:v>
      </x:c>
      <x:c r="K131" s="8" t="n">
        <x:v>46278.70306712963</x:v>
      </x:c>
      <x:c r="L131" s="7" t="str">
        <x:v>FT90</x:v>
      </x:c>
      <x:c r="M131" s="7" t="str">
        <x:v>CSV row 128</x:v>
      </x:c>
      <x:c r="N131" s="2" t="str">
        <x:f>IF(AND(A131&lt;&gt;"",ISNUMBER(D131)),B131&amp;"|"&amp;C131&amp;"|"&amp;TEXT(D131,"yyyymmdd")&amp;"|"&amp;E131&amp;"|"&amp;F131,"")</x:f>
        <x:v>E0|2025/26|20251130|Aston Villa|Wolves</x:v>
      </x:c>
      <x:c r="O131" s="2" t="str">
        <x:f>IF(A131="","",IFERROR(IF(NOT(AND(B131&lt;&gt;"",C131&lt;&gt;"",ISNUMBER(D131),D131&gt;0,E131&lt;&gt;"",F131&lt;&gt;"",E131&lt;&gt;F131,ISNUMBER(G131),ISNUMBER(H131),G131&gt;=0,H131&gt;=0,G131&lt;=100,H131&lt;=100,MOD(G131,1)=0,MOD(H131,1)=0,L131="FT90",S131&gt;0,INDEX(SourceTable[League],MAX(1,S131))=B131,INDEX(SourceTable[Season],MAX(1,S131))=C131,ISNUMBER(K131),K131=INDEX(SourceTable[Retrieved_UTC],MAX(1,S131)),J131&lt;&gt;"",M131&lt;&gt;"")),"INVALID",IF(OR(COUNTIFS('Istoric_Nativ'!$N$6:$N$405,N131,'Istoric_Nativ'!$G$6:$G$405,G131)&lt;&gt;COUNTIF('Istoric_Nativ'!$N$6:$N$405,N131),COUNTIFS('Istoric_Nativ'!$N$6:$N$405,N131,'Istoric_Nativ'!$H$6:$H$405,H131)&lt;&gt;COUNTIF('Istoric_Nativ'!$N$6:$N$405,N131)),"SOURCE CONFLICT",IF(COUNTIF($N$6:N131,N131)&gt;1,"DUPLICATE","VALID"))),"INVALID"))</x:f>
        <x:v>VALID</x:v>
      </x:c>
      <x:c r="P131" s="2" t="n">
        <x:f>IF(O131="VALID",1,0)</x:f>
        <x:v>1</x:v>
      </x:c>
      <x:c r="Q131" s="2" t="n">
        <x:f>IF(P131=1,G131+H131,0)</x:f>
        <x:v>10</x:v>
      </x:c>
      <x:c r="R131" s="2" t="n">
        <x:f>Q131^2</x:f>
        <x:v>100</x:v>
      </x:c>
      <x:c r="S131" s="2" t="n">
        <x:f>IF(A131="","",IFERROR(MATCH(I131,SourceTable[Source_ID],0),0))</x:f>
        <x:v>1</x:v>
      </x:c>
    </x:row>
    <x:row r="132" ht="21" customHeight="1">
      <x:c r="A132" s="7" t="str">
        <x:v>7876bb4b8125a8846004</x:v>
      </x:c>
      <x:c r="B132" s="7" t="str">
        <x:v>E0</x:v>
      </x:c>
      <x:c r="C132" s="7" t="str">
        <x:v>2025/26</x:v>
      </x:c>
      <x:c r="D132" s="8" t="n">
        <x:v>45991</x:v>
      </x:c>
      <x:c r="E132" s="7" t="str">
        <x:v>Chelsea</x:v>
      </x:c>
      <x:c r="F132" s="7" t="str">
        <x:v>Arsenal</x:v>
      </x:c>
      <x:c r="G132" s="7" t="n">
        <x:v>3</x:v>
      </x:c>
      <x:c r="H132" s="7" t="n">
        <x:v>3</x:v>
      </x:c>
      <x:c r="I132" s="7" t="str">
        <x:v>FD_E0_2526</x:v>
      </x:c>
      <x:c r="J132" s="7" t="str">
        <x:v>https://www.football-data.co.uk/mmz4281/2526/E0.csv</x:v>
      </x:c>
      <x:c r="K132" s="8" t="n">
        <x:v>46278.70306712963</x:v>
      </x:c>
      <x:c r="L132" s="7" t="str">
        <x:v>FT90</x:v>
      </x:c>
      <x:c r="M132" s="7" t="str">
        <x:v>CSV row 131</x:v>
      </x:c>
      <x:c r="N132" s="2" t="str">
        <x:f>IF(AND(A132&lt;&gt;"",ISNUMBER(D132)),B132&amp;"|"&amp;C132&amp;"|"&amp;TEXT(D132,"yyyymmdd")&amp;"|"&amp;E132&amp;"|"&amp;F132,"")</x:f>
        <x:v>E0|2025/26|20251130|Chelsea|Arsenal</x:v>
      </x:c>
      <x:c r="O132" s="2" t="str">
        <x:f>IF(A132="","",IFERROR(IF(NOT(AND(B132&lt;&gt;"",C132&lt;&gt;"",ISNUMBER(D132),D132&gt;0,E132&lt;&gt;"",F132&lt;&gt;"",E132&lt;&gt;F132,ISNUMBER(G132),ISNUMBER(H132),G132&gt;=0,H132&gt;=0,G132&lt;=100,H132&lt;=100,MOD(G132,1)=0,MOD(H132,1)=0,L132="FT90",S132&gt;0,INDEX(SourceTable[League],MAX(1,S132))=B132,INDEX(SourceTable[Season],MAX(1,S132))=C132,ISNUMBER(K132),K132=INDEX(SourceTable[Retrieved_UTC],MAX(1,S132)),J132&lt;&gt;"",M132&lt;&gt;"")),"INVALID",IF(OR(COUNTIFS('Istoric_Nativ'!$N$6:$N$405,N132,'Istoric_Nativ'!$G$6:$G$405,G132)&lt;&gt;COUNTIF('Istoric_Nativ'!$N$6:$N$405,N132),COUNTIFS('Istoric_Nativ'!$N$6:$N$405,N132,'Istoric_Nativ'!$H$6:$H$405,H132)&lt;&gt;COUNTIF('Istoric_Nativ'!$N$6:$N$405,N132)),"SOURCE CONFLICT",IF(COUNTIF($N$6:N132,N132)&gt;1,"DUPLICATE","VALID"))),"INVALID"))</x:f>
        <x:v>VALID</x:v>
      </x:c>
      <x:c r="P132" s="2" t="n">
        <x:f>IF(O132="VALID",1,0)</x:f>
        <x:v>1</x:v>
      </x:c>
      <x:c r="Q132" s="2" t="n">
        <x:f>IF(P132=1,G132+H132,0)</x:f>
        <x:v>6</x:v>
      </x:c>
      <x:c r="R132" s="2" t="n">
        <x:f>Q132^2</x:f>
        <x:v>36</x:v>
      </x:c>
      <x:c r="S132" s="2" t="n">
        <x:f>IF(A132="","",IFERROR(MATCH(I132,SourceTable[Source_ID],0),0))</x:f>
        <x:v>1</x:v>
      </x:c>
    </x:row>
    <x:row r="133" ht="21" customHeight="1">
      <x:c r="A133" s="7" t="str">
        <x:v>463926879ce647737345</x:v>
      </x:c>
      <x:c r="B133" s="7" t="str">
        <x:v>E0</x:v>
      </x:c>
      <x:c r="C133" s="7" t="str">
        <x:v>2025/26</x:v>
      </x:c>
      <x:c r="D133" s="8" t="n">
        <x:v>45991</x:v>
      </x:c>
      <x:c r="E133" s="7" t="str">
        <x:v>Crystal Palace</x:v>
      </x:c>
      <x:c r="F133" s="7" t="str">
        <x:v>Man United</x:v>
      </x:c>
      <x:c r="G133" s="7" t="n">
        <x:v>4</x:v>
      </x:c>
      <x:c r="H133" s="7" t="n">
        <x:v>4</x:v>
      </x:c>
      <x:c r="I133" s="7" t="str">
        <x:v>FD_E0_2526</x:v>
      </x:c>
      <x:c r="J133" s="7" t="str">
        <x:v>https://www.football-data.co.uk/mmz4281/2526/E0.csv</x:v>
      </x:c>
      <x:c r="K133" s="8" t="n">
        <x:v>46278.70306712963</x:v>
      </x:c>
      <x:c r="L133" s="7" t="str">
        <x:v>FT90</x:v>
      </x:c>
      <x:c r="M133" s="7" t="str">
        <x:v>CSV row 127</x:v>
      </x:c>
      <x:c r="N133" s="2" t="str">
        <x:f>IF(AND(A133&lt;&gt;"",ISNUMBER(D133)),B133&amp;"|"&amp;C133&amp;"|"&amp;TEXT(D133,"yyyymmdd")&amp;"|"&amp;E133&amp;"|"&amp;F133,"")</x:f>
        <x:v>E0|2025/26|20251130|Crystal Palace|Man United</x:v>
      </x:c>
      <x:c r="O133" s="2" t="str">
        <x:f>IF(A133="","",IFERROR(IF(NOT(AND(B133&lt;&gt;"",C133&lt;&gt;"",ISNUMBER(D133),D133&gt;0,E133&lt;&gt;"",F133&lt;&gt;"",E133&lt;&gt;F133,ISNUMBER(G133),ISNUMBER(H133),G133&gt;=0,H133&gt;=0,G133&lt;=100,H133&lt;=100,MOD(G133,1)=0,MOD(H133,1)=0,L133="FT90",S133&gt;0,INDEX(SourceTable[League],MAX(1,S133))=B133,INDEX(SourceTable[Season],MAX(1,S133))=C133,ISNUMBER(K133),K133=INDEX(SourceTable[Retrieved_UTC],MAX(1,S133)),J133&lt;&gt;"",M133&lt;&gt;"")),"INVALID",IF(OR(COUNTIFS('Istoric_Nativ'!$N$6:$N$405,N133,'Istoric_Nativ'!$G$6:$G$405,G133)&lt;&gt;COUNTIF('Istoric_Nativ'!$N$6:$N$405,N133),COUNTIFS('Istoric_Nativ'!$N$6:$N$405,N133,'Istoric_Nativ'!$H$6:$H$405,H133)&lt;&gt;COUNTIF('Istoric_Nativ'!$N$6:$N$405,N133)),"SOURCE CONFLICT",IF(COUNTIF($N$6:N133,N133)&gt;1,"DUPLICATE","VALID"))),"INVALID"))</x:f>
        <x:v>VALID</x:v>
      </x:c>
      <x:c r="P133" s="2" t="n">
        <x:f>IF(O133="VALID",1,0)</x:f>
        <x:v>1</x:v>
      </x:c>
      <x:c r="Q133" s="2" t="n">
        <x:f>IF(P133=1,G133+H133,0)</x:f>
        <x:v>8</x:v>
      </x:c>
      <x:c r="R133" s="2" t="n">
        <x:f>Q133^2</x:f>
        <x:v>64</x:v>
      </x:c>
      <x:c r="S133" s="2" t="n">
        <x:f>IF(A133="","",IFERROR(MATCH(I133,SourceTable[Source_ID],0),0))</x:f>
        <x:v>1</x:v>
      </x:c>
    </x:row>
    <x:row r="134" ht="21" customHeight="1">
      <x:c r="A134" s="7" t="str">
        <x:v>b72345d8e7aa8195ca11</x:v>
      </x:c>
      <x:c r="B134" s="7" t="str">
        <x:v>E0</x:v>
      </x:c>
      <x:c r="C134" s="7" t="str">
        <x:v>2025/26</x:v>
      </x:c>
      <x:c r="D134" s="8" t="n">
        <x:v>45991</x:v>
      </x:c>
      <x:c r="E134" s="7" t="str">
        <x:v>Nott'm Forest</x:v>
      </x:c>
      <x:c r="F134" s="7" t="str">
        <x:v>Brighton</x:v>
      </x:c>
      <x:c r="G134" s="7" t="n">
        <x:v>9</x:v>
      </x:c>
      <x:c r="H134" s="7" t="n">
        <x:v>2</x:v>
      </x:c>
      <x:c r="I134" s="7" t="str">
        <x:v>FD_E0_2526</x:v>
      </x:c>
      <x:c r="J134" s="7" t="str">
        <x:v>https://www.football-data.co.uk/mmz4281/2526/E0.csv</x:v>
      </x:c>
      <x:c r="K134" s="8" t="n">
        <x:v>46278.70306712963</x:v>
      </x:c>
      <x:c r="L134" s="7" t="str">
        <x:v>FT90</x:v>
      </x:c>
      <x:c r="M134" s="7" t="str">
        <x:v>CSV row 129</x:v>
      </x:c>
      <x:c r="N134" s="2" t="str">
        <x:f>IF(AND(A134&lt;&gt;"",ISNUMBER(D134)),B134&amp;"|"&amp;C134&amp;"|"&amp;TEXT(D134,"yyyymmdd")&amp;"|"&amp;E134&amp;"|"&amp;F134,"")</x:f>
        <x:v>E0|2025/26|20251130|Nott'm Forest|Brighton</x:v>
      </x:c>
      <x:c r="O134" s="2" t="str">
        <x:f>IF(A134="","",IFERROR(IF(NOT(AND(B134&lt;&gt;"",C134&lt;&gt;"",ISNUMBER(D134),D134&gt;0,E134&lt;&gt;"",F134&lt;&gt;"",E134&lt;&gt;F134,ISNUMBER(G134),ISNUMBER(H134),G134&gt;=0,H134&gt;=0,G134&lt;=100,H134&lt;=100,MOD(G134,1)=0,MOD(H134,1)=0,L134="FT90",S134&gt;0,INDEX(SourceTable[League],MAX(1,S134))=B134,INDEX(SourceTable[Season],MAX(1,S134))=C134,ISNUMBER(K134),K134=INDEX(SourceTable[Retrieved_UTC],MAX(1,S134)),J134&lt;&gt;"",M134&lt;&gt;"")),"INVALID",IF(OR(COUNTIFS('Istoric_Nativ'!$N$6:$N$405,N134,'Istoric_Nativ'!$G$6:$G$405,G134)&lt;&gt;COUNTIF('Istoric_Nativ'!$N$6:$N$405,N134),COUNTIFS('Istoric_Nativ'!$N$6:$N$405,N134,'Istoric_Nativ'!$H$6:$H$405,H134)&lt;&gt;COUNTIF('Istoric_Nativ'!$N$6:$N$405,N134)),"SOURCE CONFLICT",IF(COUNTIF($N$6:N134,N134)&gt;1,"DUPLICATE","VALID"))),"INVALID"))</x:f>
        <x:v>VALID</x:v>
      </x:c>
      <x:c r="P134" s="2" t="n">
        <x:f>IF(O134="VALID",1,0)</x:f>
        <x:v>1</x:v>
      </x:c>
      <x:c r="Q134" s="2" t="n">
        <x:f>IF(P134=1,G134+H134,0)</x:f>
        <x:v>11</x:v>
      </x:c>
      <x:c r="R134" s="2" t="n">
        <x:f>Q134^2</x:f>
        <x:v>121</x:v>
      </x:c>
      <x:c r="S134" s="2" t="n">
        <x:f>IF(A134="","",IFERROR(MATCH(I134,SourceTable[Source_ID],0),0))</x:f>
        <x:v>1</x:v>
      </x:c>
    </x:row>
    <x:row r="135" ht="21" customHeight="1">
      <x:c r="A135" s="7" t="str">
        <x:v>6edececa8934273fb88f</x:v>
      </x:c>
      <x:c r="B135" s="7" t="str">
        <x:v>E0</x:v>
      </x:c>
      <x:c r="C135" s="7" t="str">
        <x:v>2025/26</x:v>
      </x:c>
      <x:c r="D135" s="8" t="n">
        <x:v>45991</x:v>
      </x:c>
      <x:c r="E135" s="7" t="str">
        <x:v>West Ham</x:v>
      </x:c>
      <x:c r="F135" s="7" t="str">
        <x:v>Liverpool</x:v>
      </x:c>
      <x:c r="G135" s="7" t="n">
        <x:v>7</x:v>
      </x:c>
      <x:c r="H135" s="7" t="n">
        <x:v>2</x:v>
      </x:c>
      <x:c r="I135" s="7" t="str">
        <x:v>FD_E0_2526</x:v>
      </x:c>
      <x:c r="J135" s="7" t="str">
        <x:v>https://www.football-data.co.uk/mmz4281/2526/E0.csv</x:v>
      </x:c>
      <x:c r="K135" s="8" t="n">
        <x:v>46278.70306712963</x:v>
      </x:c>
      <x:c r="L135" s="7" t="str">
        <x:v>FT90</x:v>
      </x:c>
      <x:c r="M135" s="7" t="str">
        <x:v>CSV row 130</x:v>
      </x:c>
      <x:c r="N135" s="2" t="str">
        <x:f>IF(AND(A135&lt;&gt;"",ISNUMBER(D135)),B135&amp;"|"&amp;C135&amp;"|"&amp;TEXT(D135,"yyyymmdd")&amp;"|"&amp;E135&amp;"|"&amp;F135,"")</x:f>
        <x:v>E0|2025/26|20251130|West Ham|Liverpool</x:v>
      </x:c>
      <x:c r="O135" s="2" t="str">
        <x:f>IF(A135="","",IFERROR(IF(NOT(AND(B135&lt;&gt;"",C135&lt;&gt;"",ISNUMBER(D135),D135&gt;0,E135&lt;&gt;"",F135&lt;&gt;"",E135&lt;&gt;F135,ISNUMBER(G135),ISNUMBER(H135),G135&gt;=0,H135&gt;=0,G135&lt;=100,H135&lt;=100,MOD(G135,1)=0,MOD(H135,1)=0,L135="FT90",S135&gt;0,INDEX(SourceTable[League],MAX(1,S135))=B135,INDEX(SourceTable[Season],MAX(1,S135))=C135,ISNUMBER(K135),K135=INDEX(SourceTable[Retrieved_UTC],MAX(1,S135)),J135&lt;&gt;"",M135&lt;&gt;"")),"INVALID",IF(OR(COUNTIFS('Istoric_Nativ'!$N$6:$N$405,N135,'Istoric_Nativ'!$G$6:$G$405,G135)&lt;&gt;COUNTIF('Istoric_Nativ'!$N$6:$N$405,N135),COUNTIFS('Istoric_Nativ'!$N$6:$N$405,N135,'Istoric_Nativ'!$H$6:$H$405,H135)&lt;&gt;COUNTIF('Istoric_Nativ'!$N$6:$N$405,N135)),"SOURCE CONFLICT",IF(COUNTIF($N$6:N135,N135)&gt;1,"DUPLICATE","VALID"))),"INVALID"))</x:f>
        <x:v>VALID</x:v>
      </x:c>
      <x:c r="P135" s="2" t="n">
        <x:f>IF(O135="VALID",1,0)</x:f>
        <x:v>1</x:v>
      </x:c>
      <x:c r="Q135" s="2" t="n">
        <x:f>IF(P135=1,G135+H135,0)</x:f>
        <x:v>9</x:v>
      </x:c>
      <x:c r="R135" s="2" t="n">
        <x:f>Q135^2</x:f>
        <x:v>81</x:v>
      </x:c>
      <x:c r="S135" s="2" t="n">
        <x:f>IF(A135="","",IFERROR(MATCH(I135,SourceTable[Source_ID],0),0))</x:f>
        <x:v>1</x:v>
      </x:c>
    </x:row>
    <x:row r="136" ht="21" customHeight="1">
      <x:c r="A136" s="7" t="str">
        <x:v>382faf0c905faf3d9874</x:v>
      </x:c>
      <x:c r="B136" s="7" t="str">
        <x:v>E0</x:v>
      </x:c>
      <x:c r="C136" s="7" t="str">
        <x:v>2025/26</x:v>
      </x:c>
      <x:c r="D136" s="8" t="n">
        <x:v>45993</x:v>
      </x:c>
      <x:c r="E136" s="7" t="str">
        <x:v>Bournemouth</x:v>
      </x:c>
      <x:c r="F136" s="7" t="str">
        <x:v>Everton</x:v>
      </x:c>
      <x:c r="G136" s="7" t="n">
        <x:v>1</x:v>
      </x:c>
      <x:c r="H136" s="7" t="n">
        <x:v>6</x:v>
      </x:c>
      <x:c r="I136" s="7" t="str">
        <x:v>FD_E0_2526</x:v>
      </x:c>
      <x:c r="J136" s="7" t="str">
        <x:v>https://www.football-data.co.uk/mmz4281/2526/E0.csv</x:v>
      </x:c>
      <x:c r="K136" s="8" t="n">
        <x:v>46278.70306712963</x:v>
      </x:c>
      <x:c r="L136" s="7" t="str">
        <x:v>FT90</x:v>
      </x:c>
      <x:c r="M136" s="7" t="str">
        <x:v>CSV row 132</x:v>
      </x:c>
      <x:c r="N136" s="2" t="str">
        <x:f>IF(AND(A136&lt;&gt;"",ISNUMBER(D136)),B136&amp;"|"&amp;C136&amp;"|"&amp;TEXT(D136,"yyyymmdd")&amp;"|"&amp;E136&amp;"|"&amp;F136,"")</x:f>
        <x:v>E0|2025/26|20251202|Bournemouth|Everton</x:v>
      </x:c>
      <x:c r="O136" s="2" t="str">
        <x:f>IF(A136="","",IFERROR(IF(NOT(AND(B136&lt;&gt;"",C136&lt;&gt;"",ISNUMBER(D136),D136&gt;0,E136&lt;&gt;"",F136&lt;&gt;"",E136&lt;&gt;F136,ISNUMBER(G136),ISNUMBER(H136),G136&gt;=0,H136&gt;=0,G136&lt;=100,H136&lt;=100,MOD(G136,1)=0,MOD(H136,1)=0,L136="FT90",S136&gt;0,INDEX(SourceTable[League],MAX(1,S136))=B136,INDEX(SourceTable[Season],MAX(1,S136))=C136,ISNUMBER(K136),K136=INDEX(SourceTable[Retrieved_UTC],MAX(1,S136)),J136&lt;&gt;"",M136&lt;&gt;"")),"INVALID",IF(OR(COUNTIFS('Istoric_Nativ'!$N$6:$N$405,N136,'Istoric_Nativ'!$G$6:$G$405,G136)&lt;&gt;COUNTIF('Istoric_Nativ'!$N$6:$N$405,N136),COUNTIFS('Istoric_Nativ'!$N$6:$N$405,N136,'Istoric_Nativ'!$H$6:$H$405,H136)&lt;&gt;COUNTIF('Istoric_Nativ'!$N$6:$N$405,N136)),"SOURCE CONFLICT",IF(COUNTIF($N$6:N136,N136)&gt;1,"DUPLICATE","VALID"))),"INVALID"))</x:f>
        <x:v>VALID</x:v>
      </x:c>
      <x:c r="P136" s="2" t="n">
        <x:f>IF(O136="VALID",1,0)</x:f>
        <x:v>1</x:v>
      </x:c>
      <x:c r="Q136" s="2" t="n">
        <x:f>IF(P136=1,G136+H136,0)</x:f>
        <x:v>7</x:v>
      </x:c>
      <x:c r="R136" s="2" t="n">
        <x:f>Q136^2</x:f>
        <x:v>49</x:v>
      </x:c>
      <x:c r="S136" s="2" t="n">
        <x:f>IF(A136="","",IFERROR(MATCH(I136,SourceTable[Source_ID],0),0))</x:f>
        <x:v>1</x:v>
      </x:c>
    </x:row>
    <x:row r="137" ht="21" customHeight="1">
      <x:c r="A137" s="7" t="str">
        <x:v>49790e7d1063f26f4c35</x:v>
      </x:c>
      <x:c r="B137" s="7" t="str">
        <x:v>E0</x:v>
      </x:c>
      <x:c r="C137" s="7" t="str">
        <x:v>2025/26</x:v>
      </x:c>
      <x:c r="D137" s="8" t="n">
        <x:v>45993</x:v>
      </x:c>
      <x:c r="E137" s="7" t="str">
        <x:v>Fulham</x:v>
      </x:c>
      <x:c r="F137" s="7" t="str">
        <x:v>Man City</x:v>
      </x:c>
      <x:c r="G137" s="7" t="n">
        <x:v>7</x:v>
      </x:c>
      <x:c r="H137" s="7" t="n">
        <x:v>2</x:v>
      </x:c>
      <x:c r="I137" s="7" t="str">
        <x:v>FD_E0_2526</x:v>
      </x:c>
      <x:c r="J137" s="7" t="str">
        <x:v>https://www.football-data.co.uk/mmz4281/2526/E0.csv</x:v>
      </x:c>
      <x:c r="K137" s="8" t="n">
        <x:v>46278.70306712963</x:v>
      </x:c>
      <x:c r="L137" s="7" t="str">
        <x:v>FT90</x:v>
      </x:c>
      <x:c r="M137" s="7" t="str">
        <x:v>CSV row 133</x:v>
      </x:c>
      <x:c r="N137" s="2" t="str">
        <x:f>IF(AND(A137&lt;&gt;"",ISNUMBER(D137)),B137&amp;"|"&amp;C137&amp;"|"&amp;TEXT(D137,"yyyymmdd")&amp;"|"&amp;E137&amp;"|"&amp;F137,"")</x:f>
        <x:v>E0|2025/26|20251202|Fulham|Man City</x:v>
      </x:c>
      <x:c r="O137" s="2" t="str">
        <x:f>IF(A137="","",IFERROR(IF(NOT(AND(B137&lt;&gt;"",C137&lt;&gt;"",ISNUMBER(D137),D137&gt;0,E137&lt;&gt;"",F137&lt;&gt;"",E137&lt;&gt;F137,ISNUMBER(G137),ISNUMBER(H137),G137&gt;=0,H137&gt;=0,G137&lt;=100,H137&lt;=100,MOD(G137,1)=0,MOD(H137,1)=0,L137="FT90",S137&gt;0,INDEX(SourceTable[League],MAX(1,S137))=B137,INDEX(SourceTable[Season],MAX(1,S137))=C137,ISNUMBER(K137),K137=INDEX(SourceTable[Retrieved_UTC],MAX(1,S137)),J137&lt;&gt;"",M137&lt;&gt;"")),"INVALID",IF(OR(COUNTIFS('Istoric_Nativ'!$N$6:$N$405,N137,'Istoric_Nativ'!$G$6:$G$405,G137)&lt;&gt;COUNTIF('Istoric_Nativ'!$N$6:$N$405,N137),COUNTIFS('Istoric_Nativ'!$N$6:$N$405,N137,'Istoric_Nativ'!$H$6:$H$405,H137)&lt;&gt;COUNTIF('Istoric_Nativ'!$N$6:$N$405,N137)),"SOURCE CONFLICT",IF(COUNTIF($N$6:N137,N137)&gt;1,"DUPLICATE","VALID"))),"INVALID"))</x:f>
        <x:v>VALID</x:v>
      </x:c>
      <x:c r="P137" s="2" t="n">
        <x:f>IF(O137="VALID",1,0)</x:f>
        <x:v>1</x:v>
      </x:c>
      <x:c r="Q137" s="2" t="n">
        <x:f>IF(P137=1,G137+H137,0)</x:f>
        <x:v>9</x:v>
      </x:c>
      <x:c r="R137" s="2" t="n">
        <x:f>Q137^2</x:f>
        <x:v>81</x:v>
      </x:c>
      <x:c r="S137" s="2" t="n">
        <x:f>IF(A137="","",IFERROR(MATCH(I137,SourceTable[Source_ID],0),0))</x:f>
        <x:v>1</x:v>
      </x:c>
    </x:row>
    <x:row r="138" ht="21" customHeight="1">
      <x:c r="A138" s="7" t="str">
        <x:v>4dde5bf6c3fb1a4c1a52</x:v>
      </x:c>
      <x:c r="B138" s="7" t="str">
        <x:v>E0</x:v>
      </x:c>
      <x:c r="C138" s="7" t="str">
        <x:v>2025/26</x:v>
      </x:c>
      <x:c r="D138" s="8" t="n">
        <x:v>45993</x:v>
      </x:c>
      <x:c r="E138" s="7" t="str">
        <x:v>Newcastle</x:v>
      </x:c>
      <x:c r="F138" s="7" t="str">
        <x:v>Tottenham</x:v>
      </x:c>
      <x:c r="G138" s="7" t="n">
        <x:v>11</x:v>
      </x:c>
      <x:c r="H138" s="7" t="n">
        <x:v>8</x:v>
      </x:c>
      <x:c r="I138" s="7" t="str">
        <x:v>FD_E0_2526</x:v>
      </x:c>
      <x:c r="J138" s="7" t="str">
        <x:v>https://www.football-data.co.uk/mmz4281/2526/E0.csv</x:v>
      </x:c>
      <x:c r="K138" s="8" t="n">
        <x:v>46278.70306712963</x:v>
      </x:c>
      <x:c r="L138" s="7" t="str">
        <x:v>FT90</x:v>
      </x:c>
      <x:c r="M138" s="7" t="str">
        <x:v>CSV row 134</x:v>
      </x:c>
      <x:c r="N138" s="2" t="str">
        <x:f>IF(AND(A138&lt;&gt;"",ISNUMBER(D138)),B138&amp;"|"&amp;C138&amp;"|"&amp;TEXT(D138,"yyyymmdd")&amp;"|"&amp;E138&amp;"|"&amp;F138,"")</x:f>
        <x:v>E0|2025/26|20251202|Newcastle|Tottenham</x:v>
      </x:c>
      <x:c r="O138" s="2" t="str">
        <x:f>IF(A138="","",IFERROR(IF(NOT(AND(B138&lt;&gt;"",C138&lt;&gt;"",ISNUMBER(D138),D138&gt;0,E138&lt;&gt;"",F138&lt;&gt;"",E138&lt;&gt;F138,ISNUMBER(G138),ISNUMBER(H138),G138&gt;=0,H138&gt;=0,G138&lt;=100,H138&lt;=100,MOD(G138,1)=0,MOD(H138,1)=0,L138="FT90",S138&gt;0,INDEX(SourceTable[League],MAX(1,S138))=B138,INDEX(SourceTable[Season],MAX(1,S138))=C138,ISNUMBER(K138),K138=INDEX(SourceTable[Retrieved_UTC],MAX(1,S138)),J138&lt;&gt;"",M138&lt;&gt;"")),"INVALID",IF(OR(COUNTIFS('Istoric_Nativ'!$N$6:$N$405,N138,'Istoric_Nativ'!$G$6:$G$405,G138)&lt;&gt;COUNTIF('Istoric_Nativ'!$N$6:$N$405,N138),COUNTIFS('Istoric_Nativ'!$N$6:$N$405,N138,'Istoric_Nativ'!$H$6:$H$405,H138)&lt;&gt;COUNTIF('Istoric_Nativ'!$N$6:$N$405,N138)),"SOURCE CONFLICT",IF(COUNTIF($N$6:N138,N138)&gt;1,"DUPLICATE","VALID"))),"INVALID"))</x:f>
        <x:v>VALID</x:v>
      </x:c>
      <x:c r="P138" s="2" t="n">
        <x:f>IF(O138="VALID",1,0)</x:f>
        <x:v>1</x:v>
      </x:c>
      <x:c r="Q138" s="2" t="n">
        <x:f>IF(P138=1,G138+H138,0)</x:f>
        <x:v>19</x:v>
      </x:c>
      <x:c r="R138" s="2" t="n">
        <x:f>Q138^2</x:f>
        <x:v>361</x:v>
      </x:c>
      <x:c r="S138" s="2" t="n">
        <x:f>IF(A138="","",IFERROR(MATCH(I138,SourceTable[Source_ID],0),0))</x:f>
        <x:v>1</x:v>
      </x:c>
    </x:row>
    <x:row r="139" ht="21" customHeight="1">
      <x:c r="A139" s="7" t="str">
        <x:v>9006b68a23ef8e3e7e99</x:v>
      </x:c>
      <x:c r="B139" s="7" t="str">
        <x:v>E0</x:v>
      </x:c>
      <x:c r="C139" s="7" t="str">
        <x:v>2025/26</x:v>
      </x:c>
      <x:c r="D139" s="8" t="n">
        <x:v>45994</x:v>
      </x:c>
      <x:c r="E139" s="7" t="str">
        <x:v>Arsenal</x:v>
      </x:c>
      <x:c r="F139" s="7" t="str">
        <x:v>Brentford</x:v>
      </x:c>
      <x:c r="G139" s="7" t="n">
        <x:v>4</x:v>
      </x:c>
      <x:c r="H139" s="7" t="n">
        <x:v>8</x:v>
      </x:c>
      <x:c r="I139" s="7" t="str">
        <x:v>FD_E0_2526</x:v>
      </x:c>
      <x:c r="J139" s="7" t="str">
        <x:v>https://www.football-data.co.uk/mmz4281/2526/E0.csv</x:v>
      </x:c>
      <x:c r="K139" s="8" t="n">
        <x:v>46278.70306712963</x:v>
      </x:c>
      <x:c r="L139" s="7" t="str">
        <x:v>FT90</x:v>
      </x:c>
      <x:c r="M139" s="7" t="str">
        <x:v>CSV row 135</x:v>
      </x:c>
      <x:c r="N139" s="2" t="str">
        <x:f>IF(AND(A139&lt;&gt;"",ISNUMBER(D139)),B139&amp;"|"&amp;C139&amp;"|"&amp;TEXT(D139,"yyyymmdd")&amp;"|"&amp;E139&amp;"|"&amp;F139,"")</x:f>
        <x:v>E0|2025/26|20251203|Arsenal|Brentford</x:v>
      </x:c>
      <x:c r="O139" s="2" t="str">
        <x:f>IF(A139="","",IFERROR(IF(NOT(AND(B139&lt;&gt;"",C139&lt;&gt;"",ISNUMBER(D139),D139&gt;0,E139&lt;&gt;"",F139&lt;&gt;"",E139&lt;&gt;F139,ISNUMBER(G139),ISNUMBER(H139),G139&gt;=0,H139&gt;=0,G139&lt;=100,H139&lt;=100,MOD(G139,1)=0,MOD(H139,1)=0,L139="FT90",S139&gt;0,INDEX(SourceTable[League],MAX(1,S139))=B139,INDEX(SourceTable[Season],MAX(1,S139))=C139,ISNUMBER(K139),K139=INDEX(SourceTable[Retrieved_UTC],MAX(1,S139)),J139&lt;&gt;"",M139&lt;&gt;"")),"INVALID",IF(OR(COUNTIFS('Istoric_Nativ'!$N$6:$N$405,N139,'Istoric_Nativ'!$G$6:$G$405,G139)&lt;&gt;COUNTIF('Istoric_Nativ'!$N$6:$N$405,N139),COUNTIFS('Istoric_Nativ'!$N$6:$N$405,N139,'Istoric_Nativ'!$H$6:$H$405,H139)&lt;&gt;COUNTIF('Istoric_Nativ'!$N$6:$N$405,N139)),"SOURCE CONFLICT",IF(COUNTIF($N$6:N139,N139)&gt;1,"DUPLICATE","VALID"))),"INVALID"))</x:f>
        <x:v>VALID</x:v>
      </x:c>
      <x:c r="P139" s="2" t="n">
        <x:f>IF(O139="VALID",1,0)</x:f>
        <x:v>1</x:v>
      </x:c>
      <x:c r="Q139" s="2" t="n">
        <x:f>IF(P139=1,G139+H139,0)</x:f>
        <x:v>12</x:v>
      </x:c>
      <x:c r="R139" s="2" t="n">
        <x:f>Q139^2</x:f>
        <x:v>144</x:v>
      </x:c>
      <x:c r="S139" s="2" t="n">
        <x:f>IF(A139="","",IFERROR(MATCH(I139,SourceTable[Source_ID],0),0))</x:f>
        <x:v>1</x:v>
      </x:c>
    </x:row>
    <x:row r="140" ht="21" customHeight="1">
      <x:c r="A140" s="7" t="str">
        <x:v>3528ae19adce910689af</x:v>
      </x:c>
      <x:c r="B140" s="7" t="str">
        <x:v>E0</x:v>
      </x:c>
      <x:c r="C140" s="7" t="str">
        <x:v>2025/26</x:v>
      </x:c>
      <x:c r="D140" s="8" t="n">
        <x:v>45994</x:v>
      </x:c>
      <x:c r="E140" s="7" t="str">
        <x:v>Brighton</x:v>
      </x:c>
      <x:c r="F140" s="7" t="str">
        <x:v>Aston Villa</x:v>
      </x:c>
      <x:c r="G140" s="7" t="n">
        <x:v>5</x:v>
      </x:c>
      <x:c r="H140" s="7" t="n">
        <x:v>6</x:v>
      </x:c>
      <x:c r="I140" s="7" t="str">
        <x:v>FD_E0_2526</x:v>
      </x:c>
      <x:c r="J140" s="7" t="str">
        <x:v>https://www.football-data.co.uk/mmz4281/2526/E0.csv</x:v>
      </x:c>
      <x:c r="K140" s="8" t="n">
        <x:v>46278.70306712963</x:v>
      </x:c>
      <x:c r="L140" s="7" t="str">
        <x:v>FT90</x:v>
      </x:c>
      <x:c r="M140" s="7" t="str">
        <x:v>CSV row 136</x:v>
      </x:c>
      <x:c r="N140" s="2" t="str">
        <x:f>IF(AND(A140&lt;&gt;"",ISNUMBER(D140)),B140&amp;"|"&amp;C140&amp;"|"&amp;TEXT(D140,"yyyymmdd")&amp;"|"&amp;E140&amp;"|"&amp;F140,"")</x:f>
        <x:v>E0|2025/26|20251203|Brighton|Aston Villa</x:v>
      </x:c>
      <x:c r="O140" s="2" t="str">
        <x:f>IF(A140="","",IFERROR(IF(NOT(AND(B140&lt;&gt;"",C140&lt;&gt;"",ISNUMBER(D140),D140&gt;0,E140&lt;&gt;"",F140&lt;&gt;"",E140&lt;&gt;F140,ISNUMBER(G140),ISNUMBER(H140),G140&gt;=0,H140&gt;=0,G140&lt;=100,H140&lt;=100,MOD(G140,1)=0,MOD(H140,1)=0,L140="FT90",S140&gt;0,INDEX(SourceTable[League],MAX(1,S140))=B140,INDEX(SourceTable[Season],MAX(1,S140))=C140,ISNUMBER(K140),K140=INDEX(SourceTable[Retrieved_UTC],MAX(1,S140)),J140&lt;&gt;"",M140&lt;&gt;"")),"INVALID",IF(OR(COUNTIFS('Istoric_Nativ'!$N$6:$N$405,N140,'Istoric_Nativ'!$G$6:$G$405,G140)&lt;&gt;COUNTIF('Istoric_Nativ'!$N$6:$N$405,N140),COUNTIFS('Istoric_Nativ'!$N$6:$N$405,N140,'Istoric_Nativ'!$H$6:$H$405,H140)&lt;&gt;COUNTIF('Istoric_Nativ'!$N$6:$N$405,N140)),"SOURCE CONFLICT",IF(COUNTIF($N$6:N140,N140)&gt;1,"DUPLICATE","VALID"))),"INVALID"))</x:f>
        <x:v>VALID</x:v>
      </x:c>
      <x:c r="P140" s="2" t="n">
        <x:f>IF(O140="VALID",1,0)</x:f>
        <x:v>1</x:v>
      </x:c>
      <x:c r="Q140" s="2" t="n">
        <x:f>IF(P140=1,G140+H140,0)</x:f>
        <x:v>11</x:v>
      </x:c>
      <x:c r="R140" s="2" t="n">
        <x:f>Q140^2</x:f>
        <x:v>121</x:v>
      </x:c>
      <x:c r="S140" s="2" t="n">
        <x:f>IF(A140="","",IFERROR(MATCH(I140,SourceTable[Source_ID],0),0))</x:f>
        <x:v>1</x:v>
      </x:c>
    </x:row>
    <x:row r="141" ht="21" customHeight="1">
      <x:c r="A141" s="7" t="str">
        <x:v>1f322f149f171e4b51b8</x:v>
      </x:c>
      <x:c r="B141" s="7" t="str">
        <x:v>E0</x:v>
      </x:c>
      <x:c r="C141" s="7" t="str">
        <x:v>2025/26</x:v>
      </x:c>
      <x:c r="D141" s="8" t="n">
        <x:v>45994</x:v>
      </x:c>
      <x:c r="E141" s="7" t="str">
        <x:v>Burnley</x:v>
      </x:c>
      <x:c r="F141" s="7" t="str">
        <x:v>Crystal Palace</x:v>
      </x:c>
      <x:c r="G141" s="7" t="n">
        <x:v>3</x:v>
      </x:c>
      <x:c r="H141" s="7" t="n">
        <x:v>4</x:v>
      </x:c>
      <x:c r="I141" s="7" t="str">
        <x:v>FD_E0_2526</x:v>
      </x:c>
      <x:c r="J141" s="7" t="str">
        <x:v>https://www.football-data.co.uk/mmz4281/2526/E0.csv</x:v>
      </x:c>
      <x:c r="K141" s="8" t="n">
        <x:v>46278.70306712963</x:v>
      </x:c>
      <x:c r="L141" s="7" t="str">
        <x:v>FT90</x:v>
      </x:c>
      <x:c r="M141" s="7" t="str">
        <x:v>CSV row 137</x:v>
      </x:c>
      <x:c r="N141" s="2" t="str">
        <x:f>IF(AND(A141&lt;&gt;"",ISNUMBER(D141)),B141&amp;"|"&amp;C141&amp;"|"&amp;TEXT(D141,"yyyymmdd")&amp;"|"&amp;E141&amp;"|"&amp;F141,"")</x:f>
        <x:v>E0|2025/26|20251203|Burnley|Crystal Palace</x:v>
      </x:c>
      <x:c r="O141" s="2" t="str">
        <x:f>IF(A141="","",IFERROR(IF(NOT(AND(B141&lt;&gt;"",C141&lt;&gt;"",ISNUMBER(D141),D141&gt;0,E141&lt;&gt;"",F141&lt;&gt;"",E141&lt;&gt;F141,ISNUMBER(G141),ISNUMBER(H141),G141&gt;=0,H141&gt;=0,G141&lt;=100,H141&lt;=100,MOD(G141,1)=0,MOD(H141,1)=0,L141="FT90",S141&gt;0,INDEX(SourceTable[League],MAX(1,S141))=B141,INDEX(SourceTable[Season],MAX(1,S141))=C141,ISNUMBER(K141),K141=INDEX(SourceTable[Retrieved_UTC],MAX(1,S141)),J141&lt;&gt;"",M141&lt;&gt;"")),"INVALID",IF(OR(COUNTIFS('Istoric_Nativ'!$N$6:$N$405,N141,'Istoric_Nativ'!$G$6:$G$405,G141)&lt;&gt;COUNTIF('Istoric_Nativ'!$N$6:$N$405,N141),COUNTIFS('Istoric_Nativ'!$N$6:$N$405,N141,'Istoric_Nativ'!$H$6:$H$405,H141)&lt;&gt;COUNTIF('Istoric_Nativ'!$N$6:$N$405,N141)),"SOURCE CONFLICT",IF(COUNTIF($N$6:N141,N141)&gt;1,"DUPLICATE","VALID"))),"INVALID"))</x:f>
        <x:v>VALID</x:v>
      </x:c>
      <x:c r="P141" s="2" t="n">
        <x:f>IF(O141="VALID",1,0)</x:f>
        <x:v>1</x:v>
      </x:c>
      <x:c r="Q141" s="2" t="n">
        <x:f>IF(P141=1,G141+H141,0)</x:f>
        <x:v>7</x:v>
      </x:c>
      <x:c r="R141" s="2" t="n">
        <x:f>Q141^2</x:f>
        <x:v>49</x:v>
      </x:c>
      <x:c r="S141" s="2" t="n">
        <x:f>IF(A141="","",IFERROR(MATCH(I141,SourceTable[Source_ID],0),0))</x:f>
        <x:v>1</x:v>
      </x:c>
    </x:row>
    <x:row r="142" ht="21" customHeight="1">
      <x:c r="A142" s="7" t="str">
        <x:v>81968a31821ae35f3f84</x:v>
      </x:c>
      <x:c r="B142" s="7" t="str">
        <x:v>E0</x:v>
      </x:c>
      <x:c r="C142" s="7" t="str">
        <x:v>2025/26</x:v>
      </x:c>
      <x:c r="D142" s="8" t="n">
        <x:v>45994</x:v>
      </x:c>
      <x:c r="E142" s="7" t="str">
        <x:v>Leeds</x:v>
      </x:c>
      <x:c r="F142" s="7" t="str">
        <x:v>Chelsea</x:v>
      </x:c>
      <x:c r="G142" s="7" t="n">
        <x:v>4</x:v>
      </x:c>
      <x:c r="H142" s="7" t="n">
        <x:v>2</x:v>
      </x:c>
      <x:c r="I142" s="7" t="str">
        <x:v>FD_E0_2526</x:v>
      </x:c>
      <x:c r="J142" s="7" t="str">
        <x:v>https://www.football-data.co.uk/mmz4281/2526/E0.csv</x:v>
      </x:c>
      <x:c r="K142" s="8" t="n">
        <x:v>46278.70306712963</x:v>
      </x:c>
      <x:c r="L142" s="7" t="str">
        <x:v>FT90</x:v>
      </x:c>
      <x:c r="M142" s="7" t="str">
        <x:v>CSV row 139</x:v>
      </x:c>
      <x:c r="N142" s="2" t="str">
        <x:f>IF(AND(A142&lt;&gt;"",ISNUMBER(D142)),B142&amp;"|"&amp;C142&amp;"|"&amp;TEXT(D142,"yyyymmdd")&amp;"|"&amp;E142&amp;"|"&amp;F142,"")</x:f>
        <x:v>E0|2025/26|20251203|Leeds|Chelsea</x:v>
      </x:c>
      <x:c r="O142" s="2" t="str">
        <x:f>IF(A142="","",IFERROR(IF(NOT(AND(B142&lt;&gt;"",C142&lt;&gt;"",ISNUMBER(D142),D142&gt;0,E142&lt;&gt;"",F142&lt;&gt;"",E142&lt;&gt;F142,ISNUMBER(G142),ISNUMBER(H142),G142&gt;=0,H142&gt;=0,G142&lt;=100,H142&lt;=100,MOD(G142,1)=0,MOD(H142,1)=0,L142="FT90",S142&gt;0,INDEX(SourceTable[League],MAX(1,S142))=B142,INDEX(SourceTable[Season],MAX(1,S142))=C142,ISNUMBER(K142),K142=INDEX(SourceTable[Retrieved_UTC],MAX(1,S142)),J142&lt;&gt;"",M142&lt;&gt;"")),"INVALID",IF(OR(COUNTIFS('Istoric_Nativ'!$N$6:$N$405,N142,'Istoric_Nativ'!$G$6:$G$405,G142)&lt;&gt;COUNTIF('Istoric_Nativ'!$N$6:$N$405,N142),COUNTIFS('Istoric_Nativ'!$N$6:$N$405,N142,'Istoric_Nativ'!$H$6:$H$405,H142)&lt;&gt;COUNTIF('Istoric_Nativ'!$N$6:$N$405,N142)),"SOURCE CONFLICT",IF(COUNTIF($N$6:N142,N142)&gt;1,"DUPLICATE","VALID"))),"INVALID"))</x:f>
        <x:v>VALID</x:v>
      </x:c>
      <x:c r="P142" s="2" t="n">
        <x:f>IF(O142="VALID",1,0)</x:f>
        <x:v>1</x:v>
      </x:c>
      <x:c r="Q142" s="2" t="n">
        <x:f>IF(P142=1,G142+H142,0)</x:f>
        <x:v>6</x:v>
      </x:c>
      <x:c r="R142" s="2" t="n">
        <x:f>Q142^2</x:f>
        <x:v>36</x:v>
      </x:c>
      <x:c r="S142" s="2" t="n">
        <x:f>IF(A142="","",IFERROR(MATCH(I142,SourceTable[Source_ID],0),0))</x:f>
        <x:v>1</x:v>
      </x:c>
    </x:row>
    <x:row r="143" ht="21" customHeight="1">
      <x:c r="A143" s="7" t="str">
        <x:v>4e3bb35524b3d589dc5a</x:v>
      </x:c>
      <x:c r="B143" s="7" t="str">
        <x:v>E0</x:v>
      </x:c>
      <x:c r="C143" s="7" t="str">
        <x:v>2025/26</x:v>
      </x:c>
      <x:c r="D143" s="8" t="n">
        <x:v>45994</x:v>
      </x:c>
      <x:c r="E143" s="7" t="str">
        <x:v>Liverpool</x:v>
      </x:c>
      <x:c r="F143" s="7" t="str">
        <x:v>Sunderland</x:v>
      </x:c>
      <x:c r="G143" s="7" t="n">
        <x:v>7</x:v>
      </x:c>
      <x:c r="H143" s="7" t="n">
        <x:v>3</x:v>
      </x:c>
      <x:c r="I143" s="7" t="str">
        <x:v>FD_E0_2526</x:v>
      </x:c>
      <x:c r="J143" s="7" t="str">
        <x:v>https://www.football-data.co.uk/mmz4281/2526/E0.csv</x:v>
      </x:c>
      <x:c r="K143" s="8" t="n">
        <x:v>46278.70306712963</x:v>
      </x:c>
      <x:c r="L143" s="7" t="str">
        <x:v>FT90</x:v>
      </x:c>
      <x:c r="M143" s="7" t="str">
        <x:v>CSV row 140</x:v>
      </x:c>
      <x:c r="N143" s="2" t="str">
        <x:f>IF(AND(A143&lt;&gt;"",ISNUMBER(D143)),B143&amp;"|"&amp;C143&amp;"|"&amp;TEXT(D143,"yyyymmdd")&amp;"|"&amp;E143&amp;"|"&amp;F143,"")</x:f>
        <x:v>E0|2025/26|20251203|Liverpool|Sunderland</x:v>
      </x:c>
      <x:c r="O143" s="2" t="str">
        <x:f>IF(A143="","",IFERROR(IF(NOT(AND(B143&lt;&gt;"",C143&lt;&gt;"",ISNUMBER(D143),D143&gt;0,E143&lt;&gt;"",F143&lt;&gt;"",E143&lt;&gt;F143,ISNUMBER(G143),ISNUMBER(H143),G143&gt;=0,H143&gt;=0,G143&lt;=100,H143&lt;=100,MOD(G143,1)=0,MOD(H143,1)=0,L143="FT90",S143&gt;0,INDEX(SourceTable[League],MAX(1,S143))=B143,INDEX(SourceTable[Season],MAX(1,S143))=C143,ISNUMBER(K143),K143=INDEX(SourceTable[Retrieved_UTC],MAX(1,S143)),J143&lt;&gt;"",M143&lt;&gt;"")),"INVALID",IF(OR(COUNTIFS('Istoric_Nativ'!$N$6:$N$405,N143,'Istoric_Nativ'!$G$6:$G$405,G143)&lt;&gt;COUNTIF('Istoric_Nativ'!$N$6:$N$405,N143),COUNTIFS('Istoric_Nativ'!$N$6:$N$405,N143,'Istoric_Nativ'!$H$6:$H$405,H143)&lt;&gt;COUNTIF('Istoric_Nativ'!$N$6:$N$405,N143)),"SOURCE CONFLICT",IF(COUNTIF($N$6:N143,N143)&gt;1,"DUPLICATE","VALID"))),"INVALID"))</x:f>
        <x:v>VALID</x:v>
      </x:c>
      <x:c r="P143" s="2" t="n">
        <x:f>IF(O143="VALID",1,0)</x:f>
        <x:v>1</x:v>
      </x:c>
      <x:c r="Q143" s="2" t="n">
        <x:f>IF(P143=1,G143+H143,0)</x:f>
        <x:v>10</x:v>
      </x:c>
      <x:c r="R143" s="2" t="n">
        <x:f>Q143^2</x:f>
        <x:v>100</x:v>
      </x:c>
      <x:c r="S143" s="2" t="n">
        <x:f>IF(A143="","",IFERROR(MATCH(I143,SourceTable[Source_ID],0),0))</x:f>
        <x:v>1</x:v>
      </x:c>
    </x:row>
    <x:row r="144" ht="21" customHeight="1">
      <x:c r="A144" s="7" t="str">
        <x:v>c04518a8e97c6ad1116f</x:v>
      </x:c>
      <x:c r="B144" s="7" t="str">
        <x:v>E0</x:v>
      </x:c>
      <x:c r="C144" s="7" t="str">
        <x:v>2025/26</x:v>
      </x:c>
      <x:c r="D144" s="8" t="n">
        <x:v>45994</x:v>
      </x:c>
      <x:c r="E144" s="7" t="str">
        <x:v>Wolves</x:v>
      </x:c>
      <x:c r="F144" s="7" t="str">
        <x:v>Nott'm Forest</x:v>
      </x:c>
      <x:c r="G144" s="7" t="n">
        <x:v>3</x:v>
      </x:c>
      <x:c r="H144" s="7" t="n">
        <x:v>9</x:v>
      </x:c>
      <x:c r="I144" s="7" t="str">
        <x:v>FD_E0_2526</x:v>
      </x:c>
      <x:c r="J144" s="7" t="str">
        <x:v>https://www.football-data.co.uk/mmz4281/2526/E0.csv</x:v>
      </x:c>
      <x:c r="K144" s="8" t="n">
        <x:v>46278.70306712963</x:v>
      </x:c>
      <x:c r="L144" s="7" t="str">
        <x:v>FT90</x:v>
      </x:c>
      <x:c r="M144" s="7" t="str">
        <x:v>CSV row 138</x:v>
      </x:c>
      <x:c r="N144" s="2" t="str">
        <x:f>IF(AND(A144&lt;&gt;"",ISNUMBER(D144)),B144&amp;"|"&amp;C144&amp;"|"&amp;TEXT(D144,"yyyymmdd")&amp;"|"&amp;E144&amp;"|"&amp;F144,"")</x:f>
        <x:v>E0|2025/26|20251203|Wolves|Nott'm Forest</x:v>
      </x:c>
      <x:c r="O144" s="2" t="str">
        <x:f>IF(A144="","",IFERROR(IF(NOT(AND(B144&lt;&gt;"",C144&lt;&gt;"",ISNUMBER(D144),D144&gt;0,E144&lt;&gt;"",F144&lt;&gt;"",E144&lt;&gt;F144,ISNUMBER(G144),ISNUMBER(H144),G144&gt;=0,H144&gt;=0,G144&lt;=100,H144&lt;=100,MOD(G144,1)=0,MOD(H144,1)=0,L144="FT90",S144&gt;0,INDEX(SourceTable[League],MAX(1,S144))=B144,INDEX(SourceTable[Season],MAX(1,S144))=C144,ISNUMBER(K144),K144=INDEX(SourceTable[Retrieved_UTC],MAX(1,S144)),J144&lt;&gt;"",M144&lt;&gt;"")),"INVALID",IF(OR(COUNTIFS('Istoric_Nativ'!$N$6:$N$405,N144,'Istoric_Nativ'!$G$6:$G$405,G144)&lt;&gt;COUNTIF('Istoric_Nativ'!$N$6:$N$405,N144),COUNTIFS('Istoric_Nativ'!$N$6:$N$405,N144,'Istoric_Nativ'!$H$6:$H$405,H144)&lt;&gt;COUNTIF('Istoric_Nativ'!$N$6:$N$405,N144)),"SOURCE CONFLICT",IF(COUNTIF($N$6:N144,N144)&gt;1,"DUPLICATE","VALID"))),"INVALID"))</x:f>
        <x:v>VALID</x:v>
      </x:c>
      <x:c r="P144" s="2" t="n">
        <x:f>IF(O144="VALID",1,0)</x:f>
        <x:v>1</x:v>
      </x:c>
      <x:c r="Q144" s="2" t="n">
        <x:f>IF(P144=1,G144+H144,0)</x:f>
        <x:v>12</x:v>
      </x:c>
      <x:c r="R144" s="2" t="n">
        <x:f>Q144^2</x:f>
        <x:v>144</x:v>
      </x:c>
      <x:c r="S144" s="2" t="n">
        <x:f>IF(A144="","",IFERROR(MATCH(I144,SourceTable[Source_ID],0),0))</x:f>
        <x:v>1</x:v>
      </x:c>
    </x:row>
    <x:row r="145" ht="21" customHeight="1">
      <x:c r="A145" s="7" t="str">
        <x:v>781c15e58facccdc211d</x:v>
      </x:c>
      <x:c r="B145" s="7" t="str">
        <x:v>E0</x:v>
      </x:c>
      <x:c r="C145" s="7" t="str">
        <x:v>2025/26</x:v>
      </x:c>
      <x:c r="D145" s="8" t="n">
        <x:v>45995</x:v>
      </x:c>
      <x:c r="E145" s="7" t="str">
        <x:v>Man United</x:v>
      </x:c>
      <x:c r="F145" s="7" t="str">
        <x:v>West Ham</x:v>
      </x:c>
      <x:c r="G145" s="7" t="n">
        <x:v>6</x:v>
      </x:c>
      <x:c r="H145" s="7" t="n">
        <x:v>6</x:v>
      </x:c>
      <x:c r="I145" s="7" t="str">
        <x:v>FD_E0_2526</x:v>
      </x:c>
      <x:c r="J145" s="7" t="str">
        <x:v>https://www.football-data.co.uk/mmz4281/2526/E0.csv</x:v>
      </x:c>
      <x:c r="K145" s="8" t="n">
        <x:v>46278.70306712963</x:v>
      </x:c>
      <x:c r="L145" s="7" t="str">
        <x:v>FT90</x:v>
      </x:c>
      <x:c r="M145" s="7" t="str">
        <x:v>CSV row 141</x:v>
      </x:c>
      <x:c r="N145" s="2" t="str">
        <x:f>IF(AND(A145&lt;&gt;"",ISNUMBER(D145)),B145&amp;"|"&amp;C145&amp;"|"&amp;TEXT(D145,"yyyymmdd")&amp;"|"&amp;E145&amp;"|"&amp;F145,"")</x:f>
        <x:v>E0|2025/26|20251204|Man United|West Ham</x:v>
      </x:c>
      <x:c r="O145" s="2" t="str">
        <x:f>IF(A145="","",IFERROR(IF(NOT(AND(B145&lt;&gt;"",C145&lt;&gt;"",ISNUMBER(D145),D145&gt;0,E145&lt;&gt;"",F145&lt;&gt;"",E145&lt;&gt;F145,ISNUMBER(G145),ISNUMBER(H145),G145&gt;=0,H145&gt;=0,G145&lt;=100,H145&lt;=100,MOD(G145,1)=0,MOD(H145,1)=0,L145="FT90",S145&gt;0,INDEX(SourceTable[League],MAX(1,S145))=B145,INDEX(SourceTable[Season],MAX(1,S145))=C145,ISNUMBER(K145),K145=INDEX(SourceTable[Retrieved_UTC],MAX(1,S145)),J145&lt;&gt;"",M145&lt;&gt;"")),"INVALID",IF(OR(COUNTIFS('Istoric_Nativ'!$N$6:$N$405,N145,'Istoric_Nativ'!$G$6:$G$405,G145)&lt;&gt;COUNTIF('Istoric_Nativ'!$N$6:$N$405,N145),COUNTIFS('Istoric_Nativ'!$N$6:$N$405,N145,'Istoric_Nativ'!$H$6:$H$405,H145)&lt;&gt;COUNTIF('Istoric_Nativ'!$N$6:$N$405,N145)),"SOURCE CONFLICT",IF(COUNTIF($N$6:N145,N145)&gt;1,"DUPLICATE","VALID"))),"INVALID"))</x:f>
        <x:v>VALID</x:v>
      </x:c>
      <x:c r="P145" s="2" t="n">
        <x:f>IF(O145="VALID",1,0)</x:f>
        <x:v>1</x:v>
      </x:c>
      <x:c r="Q145" s="2" t="n">
        <x:f>IF(P145=1,G145+H145,0)</x:f>
        <x:v>12</x:v>
      </x:c>
      <x:c r="R145" s="2" t="n">
        <x:f>Q145^2</x:f>
        <x:v>144</x:v>
      </x:c>
      <x:c r="S145" s="2" t="n">
        <x:f>IF(A145="","",IFERROR(MATCH(I145,SourceTable[Source_ID],0),0))</x:f>
        <x:v>1</x:v>
      </x:c>
    </x:row>
    <x:row r="146" ht="21" customHeight="1">
      <x:c r="A146" s="7" t="str">
        <x:v>5ad66878222b00fefa3c</x:v>
      </x:c>
      <x:c r="B146" s="7" t="str">
        <x:v>E0</x:v>
      </x:c>
      <x:c r="C146" s="7" t="str">
        <x:v>2025/26</x:v>
      </x:c>
      <x:c r="D146" s="8" t="n">
        <x:v>45997</x:v>
      </x:c>
      <x:c r="E146" s="7" t="str">
        <x:v>Aston Villa</x:v>
      </x:c>
      <x:c r="F146" s="7" t="str">
        <x:v>Arsenal</x:v>
      </x:c>
      <x:c r="G146" s="7" t="n">
        <x:v>3</x:v>
      </x:c>
      <x:c r="H146" s="7" t="n">
        <x:v>3</x:v>
      </x:c>
      <x:c r="I146" s="7" t="str">
        <x:v>FD_E0_2526</x:v>
      </x:c>
      <x:c r="J146" s="7" t="str">
        <x:v>https://www.football-data.co.uk/mmz4281/2526/E0.csv</x:v>
      </x:c>
      <x:c r="K146" s="8" t="n">
        <x:v>46278.70306712963</x:v>
      </x:c>
      <x:c r="L146" s="7" t="str">
        <x:v>FT90</x:v>
      </x:c>
      <x:c r="M146" s="7" t="str">
        <x:v>CSV row 142</x:v>
      </x:c>
      <x:c r="N146" s="2" t="str">
        <x:f>IF(AND(A146&lt;&gt;"",ISNUMBER(D146)),B146&amp;"|"&amp;C146&amp;"|"&amp;TEXT(D146,"yyyymmdd")&amp;"|"&amp;E146&amp;"|"&amp;F146,"")</x:f>
        <x:v>E0|2025/26|20251206|Aston Villa|Arsenal</x:v>
      </x:c>
      <x:c r="O146" s="2" t="str">
        <x:f>IF(A146="","",IFERROR(IF(NOT(AND(B146&lt;&gt;"",C146&lt;&gt;"",ISNUMBER(D146),D146&gt;0,E146&lt;&gt;"",F146&lt;&gt;"",E146&lt;&gt;F146,ISNUMBER(G146),ISNUMBER(H146),G146&gt;=0,H146&gt;=0,G146&lt;=100,H146&lt;=100,MOD(G146,1)=0,MOD(H146,1)=0,L146="FT90",S146&gt;0,INDEX(SourceTable[League],MAX(1,S146))=B146,INDEX(SourceTable[Season],MAX(1,S146))=C146,ISNUMBER(K146),K146=INDEX(SourceTable[Retrieved_UTC],MAX(1,S146)),J146&lt;&gt;"",M146&lt;&gt;"")),"INVALID",IF(OR(COUNTIFS('Istoric_Nativ'!$N$6:$N$405,N146,'Istoric_Nativ'!$G$6:$G$405,G146)&lt;&gt;COUNTIF('Istoric_Nativ'!$N$6:$N$405,N146),COUNTIFS('Istoric_Nativ'!$N$6:$N$405,N146,'Istoric_Nativ'!$H$6:$H$405,H146)&lt;&gt;COUNTIF('Istoric_Nativ'!$N$6:$N$405,N146)),"SOURCE CONFLICT",IF(COUNTIF($N$6:N146,N146)&gt;1,"DUPLICATE","VALID"))),"INVALID"))</x:f>
        <x:v>VALID</x:v>
      </x:c>
      <x:c r="P146" s="2" t="n">
        <x:f>IF(O146="VALID",1,0)</x:f>
        <x:v>1</x:v>
      </x:c>
      <x:c r="Q146" s="2" t="n">
        <x:f>IF(P146=1,G146+H146,0)</x:f>
        <x:v>6</x:v>
      </x:c>
      <x:c r="R146" s="2" t="n">
        <x:f>Q146^2</x:f>
        <x:v>36</x:v>
      </x:c>
      <x:c r="S146" s="2" t="n">
        <x:f>IF(A146="","",IFERROR(MATCH(I146,SourceTable[Source_ID],0),0))</x:f>
        <x:v>1</x:v>
      </x:c>
    </x:row>
    <x:row r="147" ht="21" customHeight="1">
      <x:c r="A147" s="7" t="str">
        <x:v>f787266b6606cb113118</x:v>
      </x:c>
      <x:c r="B147" s="7" t="str">
        <x:v>E0</x:v>
      </x:c>
      <x:c r="C147" s="7" t="str">
        <x:v>2025/26</x:v>
      </x:c>
      <x:c r="D147" s="8" t="n">
        <x:v>45997</x:v>
      </x:c>
      <x:c r="E147" s="7" t="str">
        <x:v>Bournemouth</x:v>
      </x:c>
      <x:c r="F147" s="7" t="str">
        <x:v>Chelsea</x:v>
      </x:c>
      <x:c r="G147" s="7" t="n">
        <x:v>5</x:v>
      </x:c>
      <x:c r="H147" s="7" t="n">
        <x:v>0</x:v>
      </x:c>
      <x:c r="I147" s="7" t="str">
        <x:v>FD_E0_2526</x:v>
      </x:c>
      <x:c r="J147" s="7" t="str">
        <x:v>https://www.football-data.co.uk/mmz4281/2526/E0.csv</x:v>
      </x:c>
      <x:c r="K147" s="8" t="n">
        <x:v>46278.70306712963</x:v>
      </x:c>
      <x:c r="L147" s="7" t="str">
        <x:v>FT90</x:v>
      </x:c>
      <x:c r="M147" s="7" t="str">
        <x:v>CSV row 143</x:v>
      </x:c>
      <x:c r="N147" s="2" t="str">
        <x:f>IF(AND(A147&lt;&gt;"",ISNUMBER(D147)),B147&amp;"|"&amp;C147&amp;"|"&amp;TEXT(D147,"yyyymmdd")&amp;"|"&amp;E147&amp;"|"&amp;F147,"")</x:f>
        <x:v>E0|2025/26|20251206|Bournemouth|Chelsea</x:v>
      </x:c>
      <x:c r="O147" s="2" t="str">
        <x:f>IF(A147="","",IFERROR(IF(NOT(AND(B147&lt;&gt;"",C147&lt;&gt;"",ISNUMBER(D147),D147&gt;0,E147&lt;&gt;"",F147&lt;&gt;"",E147&lt;&gt;F147,ISNUMBER(G147),ISNUMBER(H147),G147&gt;=0,H147&gt;=0,G147&lt;=100,H147&lt;=100,MOD(G147,1)=0,MOD(H147,1)=0,L147="FT90",S147&gt;0,INDEX(SourceTable[League],MAX(1,S147))=B147,INDEX(SourceTable[Season],MAX(1,S147))=C147,ISNUMBER(K147),K147=INDEX(SourceTable[Retrieved_UTC],MAX(1,S147)),J147&lt;&gt;"",M147&lt;&gt;"")),"INVALID",IF(OR(COUNTIFS('Istoric_Nativ'!$N$6:$N$405,N147,'Istoric_Nativ'!$G$6:$G$405,G147)&lt;&gt;COUNTIF('Istoric_Nativ'!$N$6:$N$405,N147),COUNTIFS('Istoric_Nativ'!$N$6:$N$405,N147,'Istoric_Nativ'!$H$6:$H$405,H147)&lt;&gt;COUNTIF('Istoric_Nativ'!$N$6:$N$405,N147)),"SOURCE CONFLICT",IF(COUNTIF($N$6:N147,N147)&gt;1,"DUPLICATE","VALID"))),"INVALID"))</x:f>
        <x:v>VALID</x:v>
      </x:c>
      <x:c r="P147" s="2" t="n">
        <x:f>IF(O147="VALID",1,0)</x:f>
        <x:v>1</x:v>
      </x:c>
      <x:c r="Q147" s="2" t="n">
        <x:f>IF(P147=1,G147+H147,0)</x:f>
        <x:v>5</x:v>
      </x:c>
      <x:c r="R147" s="2" t="n">
        <x:f>Q147^2</x:f>
        <x:v>25</x:v>
      </x:c>
      <x:c r="S147" s="2" t="n">
        <x:f>IF(A147="","",IFERROR(MATCH(I147,SourceTable[Source_ID],0),0))</x:f>
        <x:v>1</x:v>
      </x:c>
    </x:row>
    <x:row r="148" ht="21" customHeight="1">
      <x:c r="A148" s="7" t="str">
        <x:v>810fa873509ba92cffbc</x:v>
      </x:c>
      <x:c r="B148" s="7" t="str">
        <x:v>E0</x:v>
      </x:c>
      <x:c r="C148" s="7" t="str">
        <x:v>2025/26</x:v>
      </x:c>
      <x:c r="D148" s="8" t="n">
        <x:v>45997</x:v>
      </x:c>
      <x:c r="E148" s="7" t="str">
        <x:v>Everton</x:v>
      </x:c>
      <x:c r="F148" s="7" t="str">
        <x:v>Nott'm Forest</x:v>
      </x:c>
      <x:c r="G148" s="7" t="n">
        <x:v>6</x:v>
      </x:c>
      <x:c r="H148" s="7" t="n">
        <x:v>3</x:v>
      </x:c>
      <x:c r="I148" s="7" t="str">
        <x:v>FD_E0_2526</x:v>
      </x:c>
      <x:c r="J148" s="7" t="str">
        <x:v>https://www.football-data.co.uk/mmz4281/2526/E0.csv</x:v>
      </x:c>
      <x:c r="K148" s="8" t="n">
        <x:v>46278.70306712963</x:v>
      </x:c>
      <x:c r="L148" s="7" t="str">
        <x:v>FT90</x:v>
      </x:c>
      <x:c r="M148" s="7" t="str">
        <x:v>CSV row 144</x:v>
      </x:c>
      <x:c r="N148" s="2" t="str">
        <x:f>IF(AND(A148&lt;&gt;"",ISNUMBER(D148)),B148&amp;"|"&amp;C148&amp;"|"&amp;TEXT(D148,"yyyymmdd")&amp;"|"&amp;E148&amp;"|"&amp;F148,"")</x:f>
        <x:v>E0|2025/26|20251206|Everton|Nott'm Forest</x:v>
      </x:c>
      <x:c r="O148" s="2" t="str">
        <x:f>IF(A148="","",IFERROR(IF(NOT(AND(B148&lt;&gt;"",C148&lt;&gt;"",ISNUMBER(D148),D148&gt;0,E148&lt;&gt;"",F148&lt;&gt;"",E148&lt;&gt;F148,ISNUMBER(G148),ISNUMBER(H148),G148&gt;=0,H148&gt;=0,G148&lt;=100,H148&lt;=100,MOD(G148,1)=0,MOD(H148,1)=0,L148="FT90",S148&gt;0,INDEX(SourceTable[League],MAX(1,S148))=B148,INDEX(SourceTable[Season],MAX(1,S148))=C148,ISNUMBER(K148),K148=INDEX(SourceTable[Retrieved_UTC],MAX(1,S148)),J148&lt;&gt;"",M148&lt;&gt;"")),"INVALID",IF(OR(COUNTIFS('Istoric_Nativ'!$N$6:$N$405,N148,'Istoric_Nativ'!$G$6:$G$405,G148)&lt;&gt;COUNTIF('Istoric_Nativ'!$N$6:$N$405,N148),COUNTIFS('Istoric_Nativ'!$N$6:$N$405,N148,'Istoric_Nativ'!$H$6:$H$405,H148)&lt;&gt;COUNTIF('Istoric_Nativ'!$N$6:$N$405,N148)),"SOURCE CONFLICT",IF(COUNTIF($N$6:N148,N148)&gt;1,"DUPLICATE","VALID"))),"INVALID"))</x:f>
        <x:v>VALID</x:v>
      </x:c>
      <x:c r="P148" s="2" t="n">
        <x:f>IF(O148="VALID",1,0)</x:f>
        <x:v>1</x:v>
      </x:c>
      <x:c r="Q148" s="2" t="n">
        <x:f>IF(P148=1,G148+H148,0)</x:f>
        <x:v>9</x:v>
      </x:c>
      <x:c r="R148" s="2" t="n">
        <x:f>Q148^2</x:f>
        <x:v>81</x:v>
      </x:c>
      <x:c r="S148" s="2" t="n">
        <x:f>IF(A148="","",IFERROR(MATCH(I148,SourceTable[Source_ID],0),0))</x:f>
        <x:v>1</x:v>
      </x:c>
    </x:row>
    <x:row r="149" ht="21" customHeight="1">
      <x:c r="A149" s="7" t="str">
        <x:v>0bdf9257b07537d4bb52</x:v>
      </x:c>
      <x:c r="B149" s="7" t="str">
        <x:v>E0</x:v>
      </x:c>
      <x:c r="C149" s="7" t="str">
        <x:v>2025/26</x:v>
      </x:c>
      <x:c r="D149" s="8" t="n">
        <x:v>45997</x:v>
      </x:c>
      <x:c r="E149" s="7" t="str">
        <x:v>Leeds</x:v>
      </x:c>
      <x:c r="F149" s="7" t="str">
        <x:v>Liverpool</x:v>
      </x:c>
      <x:c r="G149" s="7" t="n">
        <x:v>5</x:v>
      </x:c>
      <x:c r="H149" s="7" t="n">
        <x:v>4</x:v>
      </x:c>
      <x:c r="I149" s="7" t="str">
        <x:v>FD_E0_2526</x:v>
      </x:c>
      <x:c r="J149" s="7" t="str">
        <x:v>https://www.football-data.co.uk/mmz4281/2526/E0.csv</x:v>
      </x:c>
      <x:c r="K149" s="8" t="n">
        <x:v>46278.70306712963</x:v>
      </x:c>
      <x:c r="L149" s="7" t="str">
        <x:v>FT90</x:v>
      </x:c>
      <x:c r="M149" s="7" t="str">
        <x:v>CSV row 148</x:v>
      </x:c>
      <x:c r="N149" s="2" t="str">
        <x:f>IF(AND(A149&lt;&gt;"",ISNUMBER(D149)),B149&amp;"|"&amp;C149&amp;"|"&amp;TEXT(D149,"yyyymmdd")&amp;"|"&amp;E149&amp;"|"&amp;F149,"")</x:f>
        <x:v>E0|2025/26|20251206|Leeds|Liverpool</x:v>
      </x:c>
      <x:c r="O149" s="2" t="str">
        <x:f>IF(A149="","",IFERROR(IF(NOT(AND(B149&lt;&gt;"",C149&lt;&gt;"",ISNUMBER(D149),D149&gt;0,E149&lt;&gt;"",F149&lt;&gt;"",E149&lt;&gt;F149,ISNUMBER(G149),ISNUMBER(H149),G149&gt;=0,H149&gt;=0,G149&lt;=100,H149&lt;=100,MOD(G149,1)=0,MOD(H149,1)=0,L149="FT90",S149&gt;0,INDEX(SourceTable[League],MAX(1,S149))=B149,INDEX(SourceTable[Season],MAX(1,S149))=C149,ISNUMBER(K149),K149=INDEX(SourceTable[Retrieved_UTC],MAX(1,S149)),J149&lt;&gt;"",M149&lt;&gt;"")),"INVALID",IF(OR(COUNTIFS('Istoric_Nativ'!$N$6:$N$405,N149,'Istoric_Nativ'!$G$6:$G$405,G149)&lt;&gt;COUNTIF('Istoric_Nativ'!$N$6:$N$405,N149),COUNTIFS('Istoric_Nativ'!$N$6:$N$405,N149,'Istoric_Nativ'!$H$6:$H$405,H149)&lt;&gt;COUNTIF('Istoric_Nativ'!$N$6:$N$405,N149)),"SOURCE CONFLICT",IF(COUNTIF($N$6:N149,N149)&gt;1,"DUPLICATE","VALID"))),"INVALID"))</x:f>
        <x:v>VALID</x:v>
      </x:c>
      <x:c r="P149" s="2" t="n">
        <x:f>IF(O149="VALID",1,0)</x:f>
        <x:v>1</x:v>
      </x:c>
      <x:c r="Q149" s="2" t="n">
        <x:f>IF(P149=1,G149+H149,0)</x:f>
        <x:v>9</x:v>
      </x:c>
      <x:c r="R149" s="2" t="n">
        <x:f>Q149^2</x:f>
        <x:v>81</x:v>
      </x:c>
      <x:c r="S149" s="2" t="n">
        <x:f>IF(A149="","",IFERROR(MATCH(I149,SourceTable[Source_ID],0),0))</x:f>
        <x:v>1</x:v>
      </x:c>
    </x:row>
    <x:row r="150" ht="21" customHeight="1">
      <x:c r="A150" s="7" t="str">
        <x:v>7689a9769396f65cbf9f</x:v>
      </x:c>
      <x:c r="B150" s="7" t="str">
        <x:v>E0</x:v>
      </x:c>
      <x:c r="C150" s="7" t="str">
        <x:v>2025/26</x:v>
      </x:c>
      <x:c r="D150" s="8" t="n">
        <x:v>45997</x:v>
      </x:c>
      <x:c r="E150" s="7" t="str">
        <x:v>Man City</x:v>
      </x:c>
      <x:c r="F150" s="7" t="str">
        <x:v>Sunderland</x:v>
      </x:c>
      <x:c r="G150" s="7" t="n">
        <x:v>6</x:v>
      </x:c>
      <x:c r="H150" s="7" t="n">
        <x:v>5</x:v>
      </x:c>
      <x:c r="I150" s="7" t="str">
        <x:v>FD_E0_2526</x:v>
      </x:c>
      <x:c r="J150" s="7" t="str">
        <x:v>https://www.football-data.co.uk/mmz4281/2526/E0.csv</x:v>
      </x:c>
      <x:c r="K150" s="8" t="n">
        <x:v>46278.70306712963</x:v>
      </x:c>
      <x:c r="L150" s="7" t="str">
        <x:v>FT90</x:v>
      </x:c>
      <x:c r="M150" s="7" t="str">
        <x:v>CSV row 145</x:v>
      </x:c>
      <x:c r="N150" s="2" t="str">
        <x:f>IF(AND(A150&lt;&gt;"",ISNUMBER(D150)),B150&amp;"|"&amp;C150&amp;"|"&amp;TEXT(D150,"yyyymmdd")&amp;"|"&amp;E150&amp;"|"&amp;F150,"")</x:f>
        <x:v>E0|2025/26|20251206|Man City|Sunderland</x:v>
      </x:c>
      <x:c r="O150" s="2" t="str">
        <x:f>IF(A150="","",IFERROR(IF(NOT(AND(B150&lt;&gt;"",C150&lt;&gt;"",ISNUMBER(D150),D150&gt;0,E150&lt;&gt;"",F150&lt;&gt;"",E150&lt;&gt;F150,ISNUMBER(G150),ISNUMBER(H150),G150&gt;=0,H150&gt;=0,G150&lt;=100,H150&lt;=100,MOD(G150,1)=0,MOD(H150,1)=0,L150="FT90",S150&gt;0,INDEX(SourceTable[League],MAX(1,S150))=B150,INDEX(SourceTable[Season],MAX(1,S150))=C150,ISNUMBER(K150),K150=INDEX(SourceTable[Retrieved_UTC],MAX(1,S150)),J150&lt;&gt;"",M150&lt;&gt;"")),"INVALID",IF(OR(COUNTIFS('Istoric_Nativ'!$N$6:$N$405,N150,'Istoric_Nativ'!$G$6:$G$405,G150)&lt;&gt;COUNTIF('Istoric_Nativ'!$N$6:$N$405,N150),COUNTIFS('Istoric_Nativ'!$N$6:$N$405,N150,'Istoric_Nativ'!$H$6:$H$405,H150)&lt;&gt;COUNTIF('Istoric_Nativ'!$N$6:$N$405,N150)),"SOURCE CONFLICT",IF(COUNTIF($N$6:N150,N150)&gt;1,"DUPLICATE","VALID"))),"INVALID"))</x:f>
        <x:v>VALID</x:v>
      </x:c>
      <x:c r="P150" s="2" t="n">
        <x:f>IF(O150="VALID",1,0)</x:f>
        <x:v>1</x:v>
      </x:c>
      <x:c r="Q150" s="2" t="n">
        <x:f>IF(P150=1,G150+H150,0)</x:f>
        <x:v>11</x:v>
      </x:c>
      <x:c r="R150" s="2" t="n">
        <x:f>Q150^2</x:f>
        <x:v>121</x:v>
      </x:c>
      <x:c r="S150" s="2" t="n">
        <x:f>IF(A150="","",IFERROR(MATCH(I150,SourceTable[Source_ID],0),0))</x:f>
        <x:v>1</x:v>
      </x:c>
    </x:row>
    <x:row r="151" ht="21" customHeight="1">
      <x:c r="A151" s="7" t="str">
        <x:v>5a6768d0dc676b751ba8</x:v>
      </x:c>
      <x:c r="B151" s="7" t="str">
        <x:v>E0</x:v>
      </x:c>
      <x:c r="C151" s="7" t="str">
        <x:v>2025/26</x:v>
      </x:c>
      <x:c r="D151" s="8" t="n">
        <x:v>45997</x:v>
      </x:c>
      <x:c r="E151" s="7" t="str">
        <x:v>Newcastle</x:v>
      </x:c>
      <x:c r="F151" s="7" t="str">
        <x:v>Burnley</x:v>
      </x:c>
      <x:c r="G151" s="7" t="n">
        <x:v>9</x:v>
      </x:c>
      <x:c r="H151" s="7" t="n">
        <x:v>9</x:v>
      </x:c>
      <x:c r="I151" s="7" t="str">
        <x:v>FD_E0_2526</x:v>
      </x:c>
      <x:c r="J151" s="7" t="str">
        <x:v>https://www.football-data.co.uk/mmz4281/2526/E0.csv</x:v>
      </x:c>
      <x:c r="K151" s="8" t="n">
        <x:v>46278.70306712963</x:v>
      </x:c>
      <x:c r="L151" s="7" t="str">
        <x:v>FT90</x:v>
      </x:c>
      <x:c r="M151" s="7" t="str">
        <x:v>CSV row 146</x:v>
      </x:c>
      <x:c r="N151" s="2" t="str">
        <x:f>IF(AND(A151&lt;&gt;"",ISNUMBER(D151)),B151&amp;"|"&amp;C151&amp;"|"&amp;TEXT(D151,"yyyymmdd")&amp;"|"&amp;E151&amp;"|"&amp;F151,"")</x:f>
        <x:v>E0|2025/26|20251206|Newcastle|Burnley</x:v>
      </x:c>
      <x:c r="O151" s="2" t="str">
        <x:f>IF(A151="","",IFERROR(IF(NOT(AND(B151&lt;&gt;"",C151&lt;&gt;"",ISNUMBER(D151),D151&gt;0,E151&lt;&gt;"",F151&lt;&gt;"",E151&lt;&gt;F151,ISNUMBER(G151),ISNUMBER(H151),G151&gt;=0,H151&gt;=0,G151&lt;=100,H151&lt;=100,MOD(G151,1)=0,MOD(H151,1)=0,L151="FT90",S151&gt;0,INDEX(SourceTable[League],MAX(1,S151))=B151,INDEX(SourceTable[Season],MAX(1,S151))=C151,ISNUMBER(K151),K151=INDEX(SourceTable[Retrieved_UTC],MAX(1,S151)),J151&lt;&gt;"",M151&lt;&gt;"")),"INVALID",IF(OR(COUNTIFS('Istoric_Nativ'!$N$6:$N$405,N151,'Istoric_Nativ'!$G$6:$G$405,G151)&lt;&gt;COUNTIF('Istoric_Nativ'!$N$6:$N$405,N151),COUNTIFS('Istoric_Nativ'!$N$6:$N$405,N151,'Istoric_Nativ'!$H$6:$H$405,H151)&lt;&gt;COUNTIF('Istoric_Nativ'!$N$6:$N$405,N151)),"SOURCE CONFLICT",IF(COUNTIF($N$6:N151,N151)&gt;1,"DUPLICATE","VALID"))),"INVALID"))</x:f>
        <x:v>VALID</x:v>
      </x:c>
      <x:c r="P151" s="2" t="n">
        <x:f>IF(O151="VALID",1,0)</x:f>
        <x:v>1</x:v>
      </x:c>
      <x:c r="Q151" s="2" t="n">
        <x:f>IF(P151=1,G151+H151,0)</x:f>
        <x:v>18</x:v>
      </x:c>
      <x:c r="R151" s="2" t="n">
        <x:f>Q151^2</x:f>
        <x:v>324</x:v>
      </x:c>
      <x:c r="S151" s="2" t="n">
        <x:f>IF(A151="","",IFERROR(MATCH(I151,SourceTable[Source_ID],0),0))</x:f>
        <x:v>1</x:v>
      </x:c>
    </x:row>
    <x:row r="152" ht="21" customHeight="1">
      <x:c r="A152" s="7" t="str">
        <x:v>451b4b100f33da150e6f</x:v>
      </x:c>
      <x:c r="B152" s="7" t="str">
        <x:v>E0</x:v>
      </x:c>
      <x:c r="C152" s="7" t="str">
        <x:v>2025/26</x:v>
      </x:c>
      <x:c r="D152" s="8" t="n">
        <x:v>45997</x:v>
      </x:c>
      <x:c r="E152" s="7" t="str">
        <x:v>Tottenham</x:v>
      </x:c>
      <x:c r="F152" s="7" t="str">
        <x:v>Brentford</x:v>
      </x:c>
      <x:c r="G152" s="7" t="n">
        <x:v>7</x:v>
      </x:c>
      <x:c r="H152" s="7" t="n">
        <x:v>6</x:v>
      </x:c>
      <x:c r="I152" s="7" t="str">
        <x:v>FD_E0_2526</x:v>
      </x:c>
      <x:c r="J152" s="7" t="str">
        <x:v>https://www.football-data.co.uk/mmz4281/2526/E0.csv</x:v>
      </x:c>
      <x:c r="K152" s="8" t="n">
        <x:v>46278.70306712963</x:v>
      </x:c>
      <x:c r="L152" s="7" t="str">
        <x:v>FT90</x:v>
      </x:c>
      <x:c r="M152" s="7" t="str">
        <x:v>CSV row 147</x:v>
      </x:c>
      <x:c r="N152" s="2" t="str">
        <x:f>IF(AND(A152&lt;&gt;"",ISNUMBER(D152)),B152&amp;"|"&amp;C152&amp;"|"&amp;TEXT(D152,"yyyymmdd")&amp;"|"&amp;E152&amp;"|"&amp;F152,"")</x:f>
        <x:v>E0|2025/26|20251206|Tottenham|Brentford</x:v>
      </x:c>
      <x:c r="O152" s="2" t="str">
        <x:f>IF(A152="","",IFERROR(IF(NOT(AND(B152&lt;&gt;"",C152&lt;&gt;"",ISNUMBER(D152),D152&gt;0,E152&lt;&gt;"",F152&lt;&gt;"",E152&lt;&gt;F152,ISNUMBER(G152),ISNUMBER(H152),G152&gt;=0,H152&gt;=0,G152&lt;=100,H152&lt;=100,MOD(G152,1)=0,MOD(H152,1)=0,L152="FT90",S152&gt;0,INDEX(SourceTable[League],MAX(1,S152))=B152,INDEX(SourceTable[Season],MAX(1,S152))=C152,ISNUMBER(K152),K152=INDEX(SourceTable[Retrieved_UTC],MAX(1,S152)),J152&lt;&gt;"",M152&lt;&gt;"")),"INVALID",IF(OR(COUNTIFS('Istoric_Nativ'!$N$6:$N$405,N152,'Istoric_Nativ'!$G$6:$G$405,G152)&lt;&gt;COUNTIF('Istoric_Nativ'!$N$6:$N$405,N152),COUNTIFS('Istoric_Nativ'!$N$6:$N$405,N152,'Istoric_Nativ'!$H$6:$H$405,H152)&lt;&gt;COUNTIF('Istoric_Nativ'!$N$6:$N$405,N152)),"SOURCE CONFLICT",IF(COUNTIF($N$6:N152,N152)&gt;1,"DUPLICATE","VALID"))),"INVALID"))</x:f>
        <x:v>VALID</x:v>
      </x:c>
      <x:c r="P152" s="2" t="n">
        <x:f>IF(O152="VALID",1,0)</x:f>
        <x:v>1</x:v>
      </x:c>
      <x:c r="Q152" s="2" t="n">
        <x:f>IF(P152=1,G152+H152,0)</x:f>
        <x:v>13</x:v>
      </x:c>
      <x:c r="R152" s="2" t="n">
        <x:f>Q152^2</x:f>
        <x:v>169</x:v>
      </x:c>
      <x:c r="S152" s="2" t="n">
        <x:f>IF(A152="","",IFERROR(MATCH(I152,SourceTable[Source_ID],0),0))</x:f>
        <x:v>1</x:v>
      </x:c>
    </x:row>
    <x:row r="153" ht="21" customHeight="1">
      <x:c r="A153" s="7" t="str">
        <x:v>6da3880825156c6ba3a1</x:v>
      </x:c>
      <x:c r="B153" s="7" t="str">
        <x:v>E0</x:v>
      </x:c>
      <x:c r="C153" s="7" t="str">
        <x:v>2025/26</x:v>
      </x:c>
      <x:c r="D153" s="8" t="n">
        <x:v>45998</x:v>
      </x:c>
      <x:c r="E153" s="7" t="str">
        <x:v>Brighton</x:v>
      </x:c>
      <x:c r="F153" s="7" t="str">
        <x:v>West Ham</x:v>
      </x:c>
      <x:c r="G153" s="7" t="n">
        <x:v>10</x:v>
      </x:c>
      <x:c r="H153" s="7" t="n">
        <x:v>6</x:v>
      </x:c>
      <x:c r="I153" s="7" t="str">
        <x:v>FD_E0_2526</x:v>
      </x:c>
      <x:c r="J153" s="7" t="str">
        <x:v>https://www.football-data.co.uk/mmz4281/2526/E0.csv</x:v>
      </x:c>
      <x:c r="K153" s="8" t="n">
        <x:v>46278.70306712963</x:v>
      </x:c>
      <x:c r="L153" s="7" t="str">
        <x:v>FT90</x:v>
      </x:c>
      <x:c r="M153" s="7" t="str">
        <x:v>CSV row 149</x:v>
      </x:c>
      <x:c r="N153" s="2" t="str">
        <x:f>IF(AND(A153&lt;&gt;"",ISNUMBER(D153)),B153&amp;"|"&amp;C153&amp;"|"&amp;TEXT(D153,"yyyymmdd")&amp;"|"&amp;E153&amp;"|"&amp;F153,"")</x:f>
        <x:v>E0|2025/26|20251207|Brighton|West Ham</x:v>
      </x:c>
      <x:c r="O153" s="2" t="str">
        <x:f>IF(A153="","",IFERROR(IF(NOT(AND(B153&lt;&gt;"",C153&lt;&gt;"",ISNUMBER(D153),D153&gt;0,E153&lt;&gt;"",F153&lt;&gt;"",E153&lt;&gt;F153,ISNUMBER(G153),ISNUMBER(H153),G153&gt;=0,H153&gt;=0,G153&lt;=100,H153&lt;=100,MOD(G153,1)=0,MOD(H153,1)=0,L153="FT90",S153&gt;0,INDEX(SourceTable[League],MAX(1,S153))=B153,INDEX(SourceTable[Season],MAX(1,S153))=C153,ISNUMBER(K153),K153=INDEX(SourceTable[Retrieved_UTC],MAX(1,S153)),J153&lt;&gt;"",M153&lt;&gt;"")),"INVALID",IF(OR(COUNTIFS('Istoric_Nativ'!$N$6:$N$405,N153,'Istoric_Nativ'!$G$6:$G$405,G153)&lt;&gt;COUNTIF('Istoric_Nativ'!$N$6:$N$405,N153),COUNTIFS('Istoric_Nativ'!$N$6:$N$405,N153,'Istoric_Nativ'!$H$6:$H$405,H153)&lt;&gt;COUNTIF('Istoric_Nativ'!$N$6:$N$405,N153)),"SOURCE CONFLICT",IF(COUNTIF($N$6:N153,N153)&gt;1,"DUPLICATE","VALID"))),"INVALID"))</x:f>
        <x:v>VALID</x:v>
      </x:c>
      <x:c r="P153" s="2" t="n">
        <x:f>IF(O153="VALID",1,0)</x:f>
        <x:v>1</x:v>
      </x:c>
      <x:c r="Q153" s="2" t="n">
        <x:f>IF(P153=1,G153+H153,0)</x:f>
        <x:v>16</x:v>
      </x:c>
      <x:c r="R153" s="2" t="n">
        <x:f>Q153^2</x:f>
        <x:v>256</x:v>
      </x:c>
      <x:c r="S153" s="2" t="n">
        <x:f>IF(A153="","",IFERROR(MATCH(I153,SourceTable[Source_ID],0),0))</x:f>
        <x:v>1</x:v>
      </x:c>
    </x:row>
    <x:row r="154" ht="21" customHeight="1">
      <x:c r="A154" s="7" t="str">
        <x:v>0b0c0ca23f7ddac54f06</x:v>
      </x:c>
      <x:c r="B154" s="7" t="str">
        <x:v>E0</x:v>
      </x:c>
      <x:c r="C154" s="7" t="str">
        <x:v>2025/26</x:v>
      </x:c>
      <x:c r="D154" s="8" t="n">
        <x:v>45998</x:v>
      </x:c>
      <x:c r="E154" s="7" t="str">
        <x:v>Fulham</x:v>
      </x:c>
      <x:c r="F154" s="7" t="str">
        <x:v>Crystal Palace</x:v>
      </x:c>
      <x:c r="G154" s="7" t="n">
        <x:v>6</x:v>
      </x:c>
      <x:c r="H154" s="7" t="n">
        <x:v>4</x:v>
      </x:c>
      <x:c r="I154" s="7" t="str">
        <x:v>FD_E0_2526</x:v>
      </x:c>
      <x:c r="J154" s="7" t="str">
        <x:v>https://www.football-data.co.uk/mmz4281/2526/E0.csv</x:v>
      </x:c>
      <x:c r="K154" s="8" t="n">
        <x:v>46278.70306712963</x:v>
      </x:c>
      <x:c r="L154" s="7" t="str">
        <x:v>FT90</x:v>
      </x:c>
      <x:c r="M154" s="7" t="str">
        <x:v>CSV row 150</x:v>
      </x:c>
      <x:c r="N154" s="2" t="str">
        <x:f>IF(AND(A154&lt;&gt;"",ISNUMBER(D154)),B154&amp;"|"&amp;C154&amp;"|"&amp;TEXT(D154,"yyyymmdd")&amp;"|"&amp;E154&amp;"|"&amp;F154,"")</x:f>
        <x:v>E0|2025/26|20251207|Fulham|Crystal Palace</x:v>
      </x:c>
      <x:c r="O154" s="2" t="str">
        <x:f>IF(A154="","",IFERROR(IF(NOT(AND(B154&lt;&gt;"",C154&lt;&gt;"",ISNUMBER(D154),D154&gt;0,E154&lt;&gt;"",F154&lt;&gt;"",E154&lt;&gt;F154,ISNUMBER(G154),ISNUMBER(H154),G154&gt;=0,H154&gt;=0,G154&lt;=100,H154&lt;=100,MOD(G154,1)=0,MOD(H154,1)=0,L154="FT90",S154&gt;0,INDEX(SourceTable[League],MAX(1,S154))=B154,INDEX(SourceTable[Season],MAX(1,S154))=C154,ISNUMBER(K154),K154=INDEX(SourceTable[Retrieved_UTC],MAX(1,S154)),J154&lt;&gt;"",M154&lt;&gt;"")),"INVALID",IF(OR(COUNTIFS('Istoric_Nativ'!$N$6:$N$405,N154,'Istoric_Nativ'!$G$6:$G$405,G154)&lt;&gt;COUNTIF('Istoric_Nativ'!$N$6:$N$405,N154),COUNTIFS('Istoric_Nativ'!$N$6:$N$405,N154,'Istoric_Nativ'!$H$6:$H$405,H154)&lt;&gt;COUNTIF('Istoric_Nativ'!$N$6:$N$405,N154)),"SOURCE CONFLICT",IF(COUNTIF($N$6:N154,N154)&gt;1,"DUPLICATE","VALID"))),"INVALID"))</x:f>
        <x:v>VALID</x:v>
      </x:c>
      <x:c r="P154" s="2" t="n">
        <x:f>IF(O154="VALID",1,0)</x:f>
        <x:v>1</x:v>
      </x:c>
      <x:c r="Q154" s="2" t="n">
        <x:f>IF(P154=1,G154+H154,0)</x:f>
        <x:v>10</x:v>
      </x:c>
      <x:c r="R154" s="2" t="n">
        <x:f>Q154^2</x:f>
        <x:v>100</x:v>
      </x:c>
      <x:c r="S154" s="2" t="n">
        <x:f>IF(A154="","",IFERROR(MATCH(I154,SourceTable[Source_ID],0),0))</x:f>
        <x:v>1</x:v>
      </x:c>
    </x:row>
    <x:row r="155" ht="21" customHeight="1">
      <x:c r="A155" s="7" t="str">
        <x:v>0217ec8d269184fc5bb8</x:v>
      </x:c>
      <x:c r="B155" s="7" t="str">
        <x:v>E0</x:v>
      </x:c>
      <x:c r="C155" s="7" t="str">
        <x:v>2025/26</x:v>
      </x:c>
      <x:c r="D155" s="8" t="n">
        <x:v>45999</x:v>
      </x:c>
      <x:c r="E155" s="7" t="str">
        <x:v>Wolves</x:v>
      </x:c>
      <x:c r="F155" s="7" t="str">
        <x:v>Man United</x:v>
      </x:c>
      <x:c r="G155" s="7" t="n">
        <x:v>1</x:v>
      </x:c>
      <x:c r="H155" s="7" t="n">
        <x:v>9</x:v>
      </x:c>
      <x:c r="I155" s="7" t="str">
        <x:v>FD_E0_2526</x:v>
      </x:c>
      <x:c r="J155" s="7" t="str">
        <x:v>https://www.football-data.co.uk/mmz4281/2526/E0.csv</x:v>
      </x:c>
      <x:c r="K155" s="8" t="n">
        <x:v>46278.70306712963</x:v>
      </x:c>
      <x:c r="L155" s="7" t="str">
        <x:v>FT90</x:v>
      </x:c>
      <x:c r="M155" s="7" t="str">
        <x:v>CSV row 151</x:v>
      </x:c>
      <x:c r="N155" s="2" t="str">
        <x:f>IF(AND(A155&lt;&gt;"",ISNUMBER(D155)),B155&amp;"|"&amp;C155&amp;"|"&amp;TEXT(D155,"yyyymmdd")&amp;"|"&amp;E155&amp;"|"&amp;F155,"")</x:f>
        <x:v>E0|2025/26|20251208|Wolves|Man United</x:v>
      </x:c>
      <x:c r="O155" s="2" t="str">
        <x:f>IF(A155="","",IFERROR(IF(NOT(AND(B155&lt;&gt;"",C155&lt;&gt;"",ISNUMBER(D155),D155&gt;0,E155&lt;&gt;"",F155&lt;&gt;"",E155&lt;&gt;F155,ISNUMBER(G155),ISNUMBER(H155),G155&gt;=0,H155&gt;=0,G155&lt;=100,H155&lt;=100,MOD(G155,1)=0,MOD(H155,1)=0,L155="FT90",S155&gt;0,INDEX(SourceTable[League],MAX(1,S155))=B155,INDEX(SourceTable[Season],MAX(1,S155))=C155,ISNUMBER(K155),K155=INDEX(SourceTable[Retrieved_UTC],MAX(1,S155)),J155&lt;&gt;"",M155&lt;&gt;"")),"INVALID",IF(OR(COUNTIFS('Istoric_Nativ'!$N$6:$N$405,N155,'Istoric_Nativ'!$G$6:$G$405,G155)&lt;&gt;COUNTIF('Istoric_Nativ'!$N$6:$N$405,N155),COUNTIFS('Istoric_Nativ'!$N$6:$N$405,N155,'Istoric_Nativ'!$H$6:$H$405,H155)&lt;&gt;COUNTIF('Istoric_Nativ'!$N$6:$N$405,N155)),"SOURCE CONFLICT",IF(COUNTIF($N$6:N155,N155)&gt;1,"DUPLICATE","VALID"))),"INVALID"))</x:f>
        <x:v>VALID</x:v>
      </x:c>
      <x:c r="P155" s="2" t="n">
        <x:f>IF(O155="VALID",1,0)</x:f>
        <x:v>1</x:v>
      </x:c>
      <x:c r="Q155" s="2" t="n">
        <x:f>IF(P155=1,G155+H155,0)</x:f>
        <x:v>10</x:v>
      </x:c>
      <x:c r="R155" s="2" t="n">
        <x:f>Q155^2</x:f>
        <x:v>100</x:v>
      </x:c>
      <x:c r="S155" s="2" t="n">
        <x:f>IF(A155="","",IFERROR(MATCH(I155,SourceTable[Source_ID],0),0))</x:f>
        <x:v>1</x:v>
      </x:c>
    </x:row>
    <x:row r="156" ht="21" customHeight="1">
      <x:c r="A156" s="7" t="str">
        <x:v>56ad19b7454730890410</x:v>
      </x:c>
      <x:c r="B156" s="7" t="str">
        <x:v>E0</x:v>
      </x:c>
      <x:c r="C156" s="7" t="str">
        <x:v>2025/26</x:v>
      </x:c>
      <x:c r="D156" s="8" t="n">
        <x:v>46004</x:v>
      </x:c>
      <x:c r="E156" s="7" t="str">
        <x:v>Arsenal</x:v>
      </x:c>
      <x:c r="F156" s="7" t="str">
        <x:v>Wolves</x:v>
      </x:c>
      <x:c r="G156" s="7" t="n">
        <x:v>8</x:v>
      </x:c>
      <x:c r="H156" s="7" t="n">
        <x:v>0</x:v>
      </x:c>
      <x:c r="I156" s="7" t="str">
        <x:v>FD_E0_2526</x:v>
      </x:c>
      <x:c r="J156" s="7" t="str">
        <x:v>https://www.football-data.co.uk/mmz4281/2526/E0.csv</x:v>
      </x:c>
      <x:c r="K156" s="8" t="n">
        <x:v>46278.70306712963</x:v>
      </x:c>
      <x:c r="L156" s="7" t="str">
        <x:v>FT90</x:v>
      </x:c>
      <x:c r="M156" s="7" t="str">
        <x:v>CSV row 155</x:v>
      </x:c>
      <x:c r="N156" s="2" t="str">
        <x:f>IF(AND(A156&lt;&gt;"",ISNUMBER(D156)),B156&amp;"|"&amp;C156&amp;"|"&amp;TEXT(D156,"yyyymmdd")&amp;"|"&amp;E156&amp;"|"&amp;F156,"")</x:f>
        <x:v>E0|2025/26|20251213|Arsenal|Wolves</x:v>
      </x:c>
      <x:c r="O156" s="2" t="str">
        <x:f>IF(A156="","",IFERROR(IF(NOT(AND(B156&lt;&gt;"",C156&lt;&gt;"",ISNUMBER(D156),D156&gt;0,E156&lt;&gt;"",F156&lt;&gt;"",E156&lt;&gt;F156,ISNUMBER(G156),ISNUMBER(H156),G156&gt;=0,H156&gt;=0,G156&lt;=100,H156&lt;=100,MOD(G156,1)=0,MOD(H156,1)=0,L156="FT90",S156&gt;0,INDEX(SourceTable[League],MAX(1,S156))=B156,INDEX(SourceTable[Season],MAX(1,S156))=C156,ISNUMBER(K156),K156=INDEX(SourceTable[Retrieved_UTC],MAX(1,S156)),J156&lt;&gt;"",M156&lt;&gt;"")),"INVALID",IF(OR(COUNTIFS('Istoric_Nativ'!$N$6:$N$405,N156,'Istoric_Nativ'!$G$6:$G$405,G156)&lt;&gt;COUNTIF('Istoric_Nativ'!$N$6:$N$405,N156),COUNTIFS('Istoric_Nativ'!$N$6:$N$405,N156,'Istoric_Nativ'!$H$6:$H$405,H156)&lt;&gt;COUNTIF('Istoric_Nativ'!$N$6:$N$405,N156)),"SOURCE CONFLICT",IF(COUNTIF($N$6:N156,N156)&gt;1,"DUPLICATE","VALID"))),"INVALID"))</x:f>
        <x:v>VALID</x:v>
      </x:c>
      <x:c r="P156" s="2" t="n">
        <x:f>IF(O156="VALID",1,0)</x:f>
        <x:v>1</x:v>
      </x:c>
      <x:c r="Q156" s="2" t="n">
        <x:f>IF(P156=1,G156+H156,0)</x:f>
        <x:v>8</x:v>
      </x:c>
      <x:c r="R156" s="2" t="n">
        <x:f>Q156^2</x:f>
        <x:v>64</x:v>
      </x:c>
      <x:c r="S156" s="2" t="n">
        <x:f>IF(A156="","",IFERROR(MATCH(I156,SourceTable[Source_ID],0),0))</x:f>
        <x:v>1</x:v>
      </x:c>
    </x:row>
    <x:row r="157" ht="21" customHeight="1">
      <x:c r="A157" s="7" t="str">
        <x:v>acb33d070995c8698420</x:v>
      </x:c>
      <x:c r="B157" s="7" t="str">
        <x:v>E0</x:v>
      </x:c>
      <x:c r="C157" s="7" t="str">
        <x:v>2025/26</x:v>
      </x:c>
      <x:c r="D157" s="8" t="n">
        <x:v>46004</x:v>
      </x:c>
      <x:c r="E157" s="7" t="str">
        <x:v>Burnley</x:v>
      </x:c>
      <x:c r="F157" s="7" t="str">
        <x:v>Fulham</x:v>
      </x:c>
      <x:c r="G157" s="7" t="n">
        <x:v>10</x:v>
      </x:c>
      <x:c r="H157" s="7" t="n">
        <x:v>4</x:v>
      </x:c>
      <x:c r="I157" s="7" t="str">
        <x:v>FD_E0_2526</x:v>
      </x:c>
      <x:c r="J157" s="7" t="str">
        <x:v>https://www.football-data.co.uk/mmz4281/2526/E0.csv</x:v>
      </x:c>
      <x:c r="K157" s="8" t="n">
        <x:v>46278.70306712963</x:v>
      </x:c>
      <x:c r="L157" s="7" t="str">
        <x:v>FT90</x:v>
      </x:c>
      <x:c r="M157" s="7" t="str">
        <x:v>CSV row 154</x:v>
      </x:c>
      <x:c r="N157" s="2" t="str">
        <x:f>IF(AND(A157&lt;&gt;"",ISNUMBER(D157)),B157&amp;"|"&amp;C157&amp;"|"&amp;TEXT(D157,"yyyymmdd")&amp;"|"&amp;E157&amp;"|"&amp;F157,"")</x:f>
        <x:v>E0|2025/26|20251213|Burnley|Fulham</x:v>
      </x:c>
      <x:c r="O157" s="2" t="str">
        <x:f>IF(A157="","",IFERROR(IF(NOT(AND(B157&lt;&gt;"",C157&lt;&gt;"",ISNUMBER(D157),D157&gt;0,E157&lt;&gt;"",F157&lt;&gt;"",E157&lt;&gt;F157,ISNUMBER(G157),ISNUMBER(H157),G157&gt;=0,H157&gt;=0,G157&lt;=100,H157&lt;=100,MOD(G157,1)=0,MOD(H157,1)=0,L157="FT90",S157&gt;0,INDEX(SourceTable[League],MAX(1,S157))=B157,INDEX(SourceTable[Season],MAX(1,S157))=C157,ISNUMBER(K157),K157=INDEX(SourceTable[Retrieved_UTC],MAX(1,S157)),J157&lt;&gt;"",M157&lt;&gt;"")),"INVALID",IF(OR(COUNTIFS('Istoric_Nativ'!$N$6:$N$405,N157,'Istoric_Nativ'!$G$6:$G$405,G157)&lt;&gt;COUNTIF('Istoric_Nativ'!$N$6:$N$405,N157),COUNTIFS('Istoric_Nativ'!$N$6:$N$405,N157,'Istoric_Nativ'!$H$6:$H$405,H157)&lt;&gt;COUNTIF('Istoric_Nativ'!$N$6:$N$405,N157)),"SOURCE CONFLICT",IF(COUNTIF($N$6:N157,N157)&gt;1,"DUPLICATE","VALID"))),"INVALID"))</x:f>
        <x:v>VALID</x:v>
      </x:c>
      <x:c r="P157" s="2" t="n">
        <x:f>IF(O157="VALID",1,0)</x:f>
        <x:v>1</x:v>
      </x:c>
      <x:c r="Q157" s="2" t="n">
        <x:f>IF(P157=1,G157+H157,0)</x:f>
        <x:v>14</x:v>
      </x:c>
      <x:c r="R157" s="2" t="n">
        <x:f>Q157^2</x:f>
        <x:v>196</x:v>
      </x:c>
      <x:c r="S157" s="2" t="n">
        <x:f>IF(A157="","",IFERROR(MATCH(I157,SourceTable[Source_ID],0),0))</x:f>
        <x:v>1</x:v>
      </x:c>
    </x:row>
    <x:row r="158" ht="21" customHeight="1">
      <x:c r="A158" s="7" t="str">
        <x:v>7f7092282e8c1276cbc3</x:v>
      </x:c>
      <x:c r="B158" s="7" t="str">
        <x:v>E0</x:v>
      </x:c>
      <x:c r="C158" s="7" t="str">
        <x:v>2025/26</x:v>
      </x:c>
      <x:c r="D158" s="8" t="n">
        <x:v>46004</x:v>
      </x:c>
      <x:c r="E158" s="7" t="str">
        <x:v>Chelsea</x:v>
      </x:c>
      <x:c r="F158" s="7" t="str">
        <x:v>Everton</x:v>
      </x:c>
      <x:c r="G158" s="7" t="n">
        <x:v>4</x:v>
      </x:c>
      <x:c r="H158" s="7" t="n">
        <x:v>7</x:v>
      </x:c>
      <x:c r="I158" s="7" t="str">
        <x:v>FD_E0_2526</x:v>
      </x:c>
      <x:c r="J158" s="7" t="str">
        <x:v>https://www.football-data.co.uk/mmz4281/2526/E0.csv</x:v>
      </x:c>
      <x:c r="K158" s="8" t="n">
        <x:v>46278.70306712963</x:v>
      </x:c>
      <x:c r="L158" s="7" t="str">
        <x:v>FT90</x:v>
      </x:c>
      <x:c r="M158" s="7" t="str">
        <x:v>CSV row 152</x:v>
      </x:c>
      <x:c r="N158" s="2" t="str">
        <x:f>IF(AND(A158&lt;&gt;"",ISNUMBER(D158)),B158&amp;"|"&amp;C158&amp;"|"&amp;TEXT(D158,"yyyymmdd")&amp;"|"&amp;E158&amp;"|"&amp;F158,"")</x:f>
        <x:v>E0|2025/26|20251213|Chelsea|Everton</x:v>
      </x:c>
      <x:c r="O158" s="2" t="str">
        <x:f>IF(A158="","",IFERROR(IF(NOT(AND(B158&lt;&gt;"",C158&lt;&gt;"",ISNUMBER(D158),D158&gt;0,E158&lt;&gt;"",F158&lt;&gt;"",E158&lt;&gt;F158,ISNUMBER(G158),ISNUMBER(H158),G158&gt;=0,H158&gt;=0,G158&lt;=100,H158&lt;=100,MOD(G158,1)=0,MOD(H158,1)=0,L158="FT90",S158&gt;0,INDEX(SourceTable[League],MAX(1,S158))=B158,INDEX(SourceTable[Season],MAX(1,S158))=C158,ISNUMBER(K158),K158=INDEX(SourceTable[Retrieved_UTC],MAX(1,S158)),J158&lt;&gt;"",M158&lt;&gt;"")),"INVALID",IF(OR(COUNTIFS('Istoric_Nativ'!$N$6:$N$405,N158,'Istoric_Nativ'!$G$6:$G$405,G158)&lt;&gt;COUNTIF('Istoric_Nativ'!$N$6:$N$405,N158),COUNTIFS('Istoric_Nativ'!$N$6:$N$405,N158,'Istoric_Nativ'!$H$6:$H$405,H158)&lt;&gt;COUNTIF('Istoric_Nativ'!$N$6:$N$405,N158)),"SOURCE CONFLICT",IF(COUNTIF($N$6:N158,N158)&gt;1,"DUPLICATE","VALID"))),"INVALID"))</x:f>
        <x:v>VALID</x:v>
      </x:c>
      <x:c r="P158" s="2" t="n">
        <x:f>IF(O158="VALID",1,0)</x:f>
        <x:v>1</x:v>
      </x:c>
      <x:c r="Q158" s="2" t="n">
        <x:f>IF(P158=1,G158+H158,0)</x:f>
        <x:v>11</x:v>
      </x:c>
      <x:c r="R158" s="2" t="n">
        <x:f>Q158^2</x:f>
        <x:v>121</x:v>
      </x:c>
      <x:c r="S158" s="2" t="n">
        <x:f>IF(A158="","",IFERROR(MATCH(I158,SourceTable[Source_ID],0),0))</x:f>
        <x:v>1</x:v>
      </x:c>
    </x:row>
    <x:row r="159" ht="21" customHeight="1">
      <x:c r="A159" s="7" t="str">
        <x:v>39b489b14d4027161614</x:v>
      </x:c>
      <x:c r="B159" s="7" t="str">
        <x:v>E0</x:v>
      </x:c>
      <x:c r="C159" s="7" t="str">
        <x:v>2025/26</x:v>
      </x:c>
      <x:c r="D159" s="8" t="n">
        <x:v>46004</x:v>
      </x:c>
      <x:c r="E159" s="7" t="str">
        <x:v>Liverpool</x:v>
      </x:c>
      <x:c r="F159" s="7" t="str">
        <x:v>Brighton</x:v>
      </x:c>
      <x:c r="G159" s="7" t="n">
        <x:v>2</x:v>
      </x:c>
      <x:c r="H159" s="7" t="n">
        <x:v>2</x:v>
      </x:c>
      <x:c r="I159" s="7" t="str">
        <x:v>FD_E0_2526</x:v>
      </x:c>
      <x:c r="J159" s="7" t="str">
        <x:v>https://www.football-data.co.uk/mmz4281/2526/E0.csv</x:v>
      </x:c>
      <x:c r="K159" s="8" t="n">
        <x:v>46278.70306712963</x:v>
      </x:c>
      <x:c r="L159" s="7" t="str">
        <x:v>FT90</x:v>
      </x:c>
      <x:c r="M159" s="7" t="str">
        <x:v>CSV row 153</x:v>
      </x:c>
      <x:c r="N159" s="2" t="str">
        <x:f>IF(AND(A159&lt;&gt;"",ISNUMBER(D159)),B159&amp;"|"&amp;C159&amp;"|"&amp;TEXT(D159,"yyyymmdd")&amp;"|"&amp;E159&amp;"|"&amp;F159,"")</x:f>
        <x:v>E0|2025/26|20251213|Liverpool|Brighton</x:v>
      </x:c>
      <x:c r="O159" s="2" t="str">
        <x:f>IF(A159="","",IFERROR(IF(NOT(AND(B159&lt;&gt;"",C159&lt;&gt;"",ISNUMBER(D159),D159&gt;0,E159&lt;&gt;"",F159&lt;&gt;"",E159&lt;&gt;F159,ISNUMBER(G159),ISNUMBER(H159),G159&gt;=0,H159&gt;=0,G159&lt;=100,H159&lt;=100,MOD(G159,1)=0,MOD(H159,1)=0,L159="FT90",S159&gt;0,INDEX(SourceTable[League],MAX(1,S159))=B159,INDEX(SourceTable[Season],MAX(1,S159))=C159,ISNUMBER(K159),K159=INDEX(SourceTable[Retrieved_UTC],MAX(1,S159)),J159&lt;&gt;"",M159&lt;&gt;"")),"INVALID",IF(OR(COUNTIFS('Istoric_Nativ'!$N$6:$N$405,N159,'Istoric_Nativ'!$G$6:$G$405,G159)&lt;&gt;COUNTIF('Istoric_Nativ'!$N$6:$N$405,N159),COUNTIFS('Istoric_Nativ'!$N$6:$N$405,N159,'Istoric_Nativ'!$H$6:$H$405,H159)&lt;&gt;COUNTIF('Istoric_Nativ'!$N$6:$N$405,N159)),"SOURCE CONFLICT",IF(COUNTIF($N$6:N159,N159)&gt;1,"DUPLICATE","VALID"))),"INVALID"))</x:f>
        <x:v>VALID</x:v>
      </x:c>
      <x:c r="P159" s="2" t="n">
        <x:f>IF(O159="VALID",1,0)</x:f>
        <x:v>1</x:v>
      </x:c>
      <x:c r="Q159" s="2" t="n">
        <x:f>IF(P159=1,G159+H159,0)</x:f>
        <x:v>4</x:v>
      </x:c>
      <x:c r="R159" s="2" t="n">
        <x:f>Q159^2</x:f>
        <x:v>16</x:v>
      </x:c>
      <x:c r="S159" s="2" t="n">
        <x:f>IF(A159="","",IFERROR(MATCH(I159,SourceTable[Source_ID],0),0))</x:f>
        <x:v>1</x:v>
      </x:c>
    </x:row>
    <x:row r="160" ht="21" customHeight="1">
      <x:c r="A160" s="7" t="str">
        <x:v>99ed3904bce3fd70edc9</x:v>
      </x:c>
      <x:c r="B160" s="7" t="str">
        <x:v>E0</x:v>
      </x:c>
      <x:c r="C160" s="7" t="str">
        <x:v>2025/26</x:v>
      </x:c>
      <x:c r="D160" s="8" t="n">
        <x:v>46005</x:v>
      </x:c>
      <x:c r="E160" s="7" t="str">
        <x:v>Brentford</x:v>
      </x:c>
      <x:c r="F160" s="7" t="str">
        <x:v>Leeds</x:v>
      </x:c>
      <x:c r="G160" s="7" t="n">
        <x:v>0</x:v>
      </x:c>
      <x:c r="H160" s="7" t="n">
        <x:v>3</x:v>
      </x:c>
      <x:c r="I160" s="7" t="str">
        <x:v>FD_E0_2526</x:v>
      </x:c>
      <x:c r="J160" s="7" t="str">
        <x:v>https://www.football-data.co.uk/mmz4281/2526/E0.csv</x:v>
      </x:c>
      <x:c r="K160" s="8" t="n">
        <x:v>46278.70306712963</x:v>
      </x:c>
      <x:c r="L160" s="7" t="str">
        <x:v>FT90</x:v>
      </x:c>
      <x:c r="M160" s="7" t="str">
        <x:v>CSV row 160</x:v>
      </x:c>
      <x:c r="N160" s="2" t="str">
        <x:f>IF(AND(A160&lt;&gt;"",ISNUMBER(D160)),B160&amp;"|"&amp;C160&amp;"|"&amp;TEXT(D160,"yyyymmdd")&amp;"|"&amp;E160&amp;"|"&amp;F160,"")</x:f>
        <x:v>E0|2025/26|20251214|Brentford|Leeds</x:v>
      </x:c>
      <x:c r="O160" s="2" t="str">
        <x:f>IF(A160="","",IFERROR(IF(NOT(AND(B160&lt;&gt;"",C160&lt;&gt;"",ISNUMBER(D160),D160&gt;0,E160&lt;&gt;"",F160&lt;&gt;"",E160&lt;&gt;F160,ISNUMBER(G160),ISNUMBER(H160),G160&gt;=0,H160&gt;=0,G160&lt;=100,H160&lt;=100,MOD(G160,1)=0,MOD(H160,1)=0,L160="FT90",S160&gt;0,INDEX(SourceTable[League],MAX(1,S160))=B160,INDEX(SourceTable[Season],MAX(1,S160))=C160,ISNUMBER(K160),K160=INDEX(SourceTable[Retrieved_UTC],MAX(1,S160)),J160&lt;&gt;"",M160&lt;&gt;"")),"INVALID",IF(OR(COUNTIFS('Istoric_Nativ'!$N$6:$N$405,N160,'Istoric_Nativ'!$G$6:$G$405,G160)&lt;&gt;COUNTIF('Istoric_Nativ'!$N$6:$N$405,N160),COUNTIFS('Istoric_Nativ'!$N$6:$N$405,N160,'Istoric_Nativ'!$H$6:$H$405,H160)&lt;&gt;COUNTIF('Istoric_Nativ'!$N$6:$N$405,N160)),"SOURCE CONFLICT",IF(COUNTIF($N$6:N160,N160)&gt;1,"DUPLICATE","VALID"))),"INVALID"))</x:f>
        <x:v>VALID</x:v>
      </x:c>
      <x:c r="P160" s="2" t="n">
        <x:f>IF(O160="VALID",1,0)</x:f>
        <x:v>1</x:v>
      </x:c>
      <x:c r="Q160" s="2" t="n">
        <x:f>IF(P160=1,G160+H160,0)</x:f>
        <x:v>3</x:v>
      </x:c>
      <x:c r="R160" s="2" t="n">
        <x:f>Q160^2</x:f>
        <x:v>9</x:v>
      </x:c>
      <x:c r="S160" s="2" t="n">
        <x:f>IF(A160="","",IFERROR(MATCH(I160,SourceTable[Source_ID],0),0))</x:f>
        <x:v>1</x:v>
      </x:c>
    </x:row>
    <x:row r="161" ht="21" customHeight="1">
      <x:c r="A161" s="7" t="str">
        <x:v>cfcdd3ad42079867d581</x:v>
      </x:c>
      <x:c r="B161" s="7" t="str">
        <x:v>E0</x:v>
      </x:c>
      <x:c r="C161" s="7" t="str">
        <x:v>2025/26</x:v>
      </x:c>
      <x:c r="D161" s="8" t="n">
        <x:v>46005</x:v>
      </x:c>
      <x:c r="E161" s="7" t="str">
        <x:v>Crystal Palace</x:v>
      </x:c>
      <x:c r="F161" s="7" t="str">
        <x:v>Man City</x:v>
      </x:c>
      <x:c r="G161" s="7" t="n">
        <x:v>2</x:v>
      </x:c>
      <x:c r="H161" s="7" t="n">
        <x:v>2</x:v>
      </x:c>
      <x:c r="I161" s="7" t="str">
        <x:v>FD_E0_2526</x:v>
      </x:c>
      <x:c r="J161" s="7" t="str">
        <x:v>https://www.football-data.co.uk/mmz4281/2526/E0.csv</x:v>
      </x:c>
      <x:c r="K161" s="8" t="n">
        <x:v>46278.70306712963</x:v>
      </x:c>
      <x:c r="L161" s="7" t="str">
        <x:v>FT90</x:v>
      </x:c>
      <x:c r="M161" s="7" t="str">
        <x:v>CSV row 156</x:v>
      </x:c>
      <x:c r="N161" s="2" t="str">
        <x:f>IF(AND(A161&lt;&gt;"",ISNUMBER(D161)),B161&amp;"|"&amp;C161&amp;"|"&amp;TEXT(D161,"yyyymmdd")&amp;"|"&amp;E161&amp;"|"&amp;F161,"")</x:f>
        <x:v>E0|2025/26|20251214|Crystal Palace|Man City</x:v>
      </x:c>
      <x:c r="O161" s="2" t="str">
        <x:f>IF(A161="","",IFERROR(IF(NOT(AND(B161&lt;&gt;"",C161&lt;&gt;"",ISNUMBER(D161),D161&gt;0,E161&lt;&gt;"",F161&lt;&gt;"",E161&lt;&gt;F161,ISNUMBER(G161),ISNUMBER(H161),G161&gt;=0,H161&gt;=0,G161&lt;=100,H161&lt;=100,MOD(G161,1)=0,MOD(H161,1)=0,L161="FT90",S161&gt;0,INDEX(SourceTable[League],MAX(1,S161))=B161,INDEX(SourceTable[Season],MAX(1,S161))=C161,ISNUMBER(K161),K161=INDEX(SourceTable[Retrieved_UTC],MAX(1,S161)),J161&lt;&gt;"",M161&lt;&gt;"")),"INVALID",IF(OR(COUNTIFS('Istoric_Nativ'!$N$6:$N$405,N161,'Istoric_Nativ'!$G$6:$G$405,G161)&lt;&gt;COUNTIF('Istoric_Nativ'!$N$6:$N$405,N161),COUNTIFS('Istoric_Nativ'!$N$6:$N$405,N161,'Istoric_Nativ'!$H$6:$H$405,H161)&lt;&gt;COUNTIF('Istoric_Nativ'!$N$6:$N$405,N161)),"SOURCE CONFLICT",IF(COUNTIF($N$6:N161,N161)&gt;1,"DUPLICATE","VALID"))),"INVALID"))</x:f>
        <x:v>VALID</x:v>
      </x:c>
      <x:c r="P161" s="2" t="n">
        <x:f>IF(O161="VALID",1,0)</x:f>
        <x:v>1</x:v>
      </x:c>
      <x:c r="Q161" s="2" t="n">
        <x:f>IF(P161=1,G161+H161,0)</x:f>
        <x:v>4</x:v>
      </x:c>
      <x:c r="R161" s="2" t="n">
        <x:f>Q161^2</x:f>
        <x:v>16</x:v>
      </x:c>
      <x:c r="S161" s="2" t="n">
        <x:f>IF(A161="","",IFERROR(MATCH(I161,SourceTable[Source_ID],0),0))</x:f>
        <x:v>1</x:v>
      </x:c>
    </x:row>
    <x:row r="162" ht="21" customHeight="1">
      <x:c r="A162" s="7" t="str">
        <x:v>c13ee5cb7f9aa8d443f2</x:v>
      </x:c>
      <x:c r="B162" s="7" t="str">
        <x:v>E0</x:v>
      </x:c>
      <x:c r="C162" s="7" t="str">
        <x:v>2025/26</x:v>
      </x:c>
      <x:c r="D162" s="8" t="n">
        <x:v>46005</x:v>
      </x:c>
      <x:c r="E162" s="7" t="str">
        <x:v>Nott'm Forest</x:v>
      </x:c>
      <x:c r="F162" s="7" t="str">
        <x:v>Tottenham</x:v>
      </x:c>
      <x:c r="G162" s="7" t="n">
        <x:v>3</x:v>
      </x:c>
      <x:c r="H162" s="7" t="n">
        <x:v>3</x:v>
      </x:c>
      <x:c r="I162" s="7" t="str">
        <x:v>FD_E0_2526</x:v>
      </x:c>
      <x:c r="J162" s="7" t="str">
        <x:v>https://www.football-data.co.uk/mmz4281/2526/E0.csv</x:v>
      </x:c>
      <x:c r="K162" s="8" t="n">
        <x:v>46278.70306712963</x:v>
      </x:c>
      <x:c r="L162" s="7" t="str">
        <x:v>FT90</x:v>
      </x:c>
      <x:c r="M162" s="7" t="str">
        <x:v>CSV row 157</x:v>
      </x:c>
      <x:c r="N162" s="2" t="str">
        <x:f>IF(AND(A162&lt;&gt;"",ISNUMBER(D162)),B162&amp;"|"&amp;C162&amp;"|"&amp;TEXT(D162,"yyyymmdd")&amp;"|"&amp;E162&amp;"|"&amp;F162,"")</x:f>
        <x:v>E0|2025/26|20251214|Nott'm Forest|Tottenham</x:v>
      </x:c>
      <x:c r="O162" s="2" t="str">
        <x:f>IF(A162="","",IFERROR(IF(NOT(AND(B162&lt;&gt;"",C162&lt;&gt;"",ISNUMBER(D162),D162&gt;0,E162&lt;&gt;"",F162&lt;&gt;"",E162&lt;&gt;F162,ISNUMBER(G162),ISNUMBER(H162),G162&gt;=0,H162&gt;=0,G162&lt;=100,H162&lt;=100,MOD(G162,1)=0,MOD(H162,1)=0,L162="FT90",S162&gt;0,INDEX(SourceTable[League],MAX(1,S162))=B162,INDEX(SourceTable[Season],MAX(1,S162))=C162,ISNUMBER(K162),K162=INDEX(SourceTable[Retrieved_UTC],MAX(1,S162)),J162&lt;&gt;"",M162&lt;&gt;"")),"INVALID",IF(OR(COUNTIFS('Istoric_Nativ'!$N$6:$N$405,N162,'Istoric_Nativ'!$G$6:$G$405,G162)&lt;&gt;COUNTIF('Istoric_Nativ'!$N$6:$N$405,N162),COUNTIFS('Istoric_Nativ'!$N$6:$N$405,N162,'Istoric_Nativ'!$H$6:$H$405,H162)&lt;&gt;COUNTIF('Istoric_Nativ'!$N$6:$N$405,N162)),"SOURCE CONFLICT",IF(COUNTIF($N$6:N162,N162)&gt;1,"DUPLICATE","VALID"))),"INVALID"))</x:f>
        <x:v>VALID</x:v>
      </x:c>
      <x:c r="P162" s="2" t="n">
        <x:f>IF(O162="VALID",1,0)</x:f>
        <x:v>1</x:v>
      </x:c>
      <x:c r="Q162" s="2" t="n">
        <x:f>IF(P162=1,G162+H162,0)</x:f>
        <x:v>6</x:v>
      </x:c>
      <x:c r="R162" s="2" t="n">
        <x:f>Q162^2</x:f>
        <x:v>36</x:v>
      </x:c>
      <x:c r="S162" s="2" t="n">
        <x:f>IF(A162="","",IFERROR(MATCH(I162,SourceTable[Source_ID],0),0))</x:f>
        <x:v>1</x:v>
      </x:c>
    </x:row>
    <x:row r="163" ht="21" customHeight="1">
      <x:c r="A163" s="7" t="str">
        <x:v>b966c513aaa9b97f5e1b</x:v>
      </x:c>
      <x:c r="B163" s="7" t="str">
        <x:v>E0</x:v>
      </x:c>
      <x:c r="C163" s="7" t="str">
        <x:v>2025/26</x:v>
      </x:c>
      <x:c r="D163" s="8" t="n">
        <x:v>46005</x:v>
      </x:c>
      <x:c r="E163" s="7" t="str">
        <x:v>Sunderland</x:v>
      </x:c>
      <x:c r="F163" s="7" t="str">
        <x:v>Newcastle</x:v>
      </x:c>
      <x:c r="G163" s="7" t="n">
        <x:v>3</x:v>
      </x:c>
      <x:c r="H163" s="7" t="n">
        <x:v>6</x:v>
      </x:c>
      <x:c r="I163" s="7" t="str">
        <x:v>FD_E0_2526</x:v>
      </x:c>
      <x:c r="J163" s="7" t="str">
        <x:v>https://www.football-data.co.uk/mmz4281/2526/E0.csv</x:v>
      </x:c>
      <x:c r="K163" s="8" t="n">
        <x:v>46278.70306712963</x:v>
      </x:c>
      <x:c r="L163" s="7" t="str">
        <x:v>FT90</x:v>
      </x:c>
      <x:c r="M163" s="7" t="str">
        <x:v>CSV row 158</x:v>
      </x:c>
      <x:c r="N163" s="2" t="str">
        <x:f>IF(AND(A163&lt;&gt;"",ISNUMBER(D163)),B163&amp;"|"&amp;C163&amp;"|"&amp;TEXT(D163,"yyyymmdd")&amp;"|"&amp;E163&amp;"|"&amp;F163,"")</x:f>
        <x:v>E0|2025/26|20251214|Sunderland|Newcastle</x:v>
      </x:c>
      <x:c r="O163" s="2" t="str">
        <x:f>IF(A163="","",IFERROR(IF(NOT(AND(B163&lt;&gt;"",C163&lt;&gt;"",ISNUMBER(D163),D163&gt;0,E163&lt;&gt;"",F163&lt;&gt;"",E163&lt;&gt;F163,ISNUMBER(G163),ISNUMBER(H163),G163&gt;=0,H163&gt;=0,G163&lt;=100,H163&lt;=100,MOD(G163,1)=0,MOD(H163,1)=0,L163="FT90",S163&gt;0,INDEX(SourceTable[League],MAX(1,S163))=B163,INDEX(SourceTable[Season],MAX(1,S163))=C163,ISNUMBER(K163),K163=INDEX(SourceTable[Retrieved_UTC],MAX(1,S163)),J163&lt;&gt;"",M163&lt;&gt;"")),"INVALID",IF(OR(COUNTIFS('Istoric_Nativ'!$N$6:$N$405,N163,'Istoric_Nativ'!$G$6:$G$405,G163)&lt;&gt;COUNTIF('Istoric_Nativ'!$N$6:$N$405,N163),COUNTIFS('Istoric_Nativ'!$N$6:$N$405,N163,'Istoric_Nativ'!$H$6:$H$405,H163)&lt;&gt;COUNTIF('Istoric_Nativ'!$N$6:$N$405,N163)),"SOURCE CONFLICT",IF(COUNTIF($N$6:N163,N163)&gt;1,"DUPLICATE","VALID"))),"INVALID"))</x:f>
        <x:v>VALID</x:v>
      </x:c>
      <x:c r="P163" s="2" t="n">
        <x:f>IF(O163="VALID",1,0)</x:f>
        <x:v>1</x:v>
      </x:c>
      <x:c r="Q163" s="2" t="n">
        <x:f>IF(P163=1,G163+H163,0)</x:f>
        <x:v>9</x:v>
      </x:c>
      <x:c r="R163" s="2" t="n">
        <x:f>Q163^2</x:f>
        <x:v>81</x:v>
      </x:c>
      <x:c r="S163" s="2" t="n">
        <x:f>IF(A163="","",IFERROR(MATCH(I163,SourceTable[Source_ID],0),0))</x:f>
        <x:v>1</x:v>
      </x:c>
    </x:row>
    <x:row r="164" ht="21" customHeight="1">
      <x:c r="A164" s="7" t="str">
        <x:v>5ce126e6c42cffdeb694</x:v>
      </x:c>
      <x:c r="B164" s="7" t="str">
        <x:v>E0</x:v>
      </x:c>
      <x:c r="C164" s="7" t="str">
        <x:v>2025/26</x:v>
      </x:c>
      <x:c r="D164" s="8" t="n">
        <x:v>46005</x:v>
      </x:c>
      <x:c r="E164" s="7" t="str">
        <x:v>West Ham</x:v>
      </x:c>
      <x:c r="F164" s="7" t="str">
        <x:v>Aston Villa</x:v>
      </x:c>
      <x:c r="G164" s="7" t="n">
        <x:v>5</x:v>
      </x:c>
      <x:c r="H164" s="7" t="n">
        <x:v>3</x:v>
      </x:c>
      <x:c r="I164" s="7" t="str">
        <x:v>FD_E0_2526</x:v>
      </x:c>
      <x:c r="J164" s="7" t="str">
        <x:v>https://www.football-data.co.uk/mmz4281/2526/E0.csv</x:v>
      </x:c>
      <x:c r="K164" s="8" t="n">
        <x:v>46278.70306712963</x:v>
      </x:c>
      <x:c r="L164" s="7" t="str">
        <x:v>FT90</x:v>
      </x:c>
      <x:c r="M164" s="7" t="str">
        <x:v>CSV row 159</x:v>
      </x:c>
      <x:c r="N164" s="2" t="str">
        <x:f>IF(AND(A164&lt;&gt;"",ISNUMBER(D164)),B164&amp;"|"&amp;C164&amp;"|"&amp;TEXT(D164,"yyyymmdd")&amp;"|"&amp;E164&amp;"|"&amp;F164,"")</x:f>
        <x:v>E0|2025/26|20251214|West Ham|Aston Villa</x:v>
      </x:c>
      <x:c r="O164" s="2" t="str">
        <x:f>IF(A164="","",IFERROR(IF(NOT(AND(B164&lt;&gt;"",C164&lt;&gt;"",ISNUMBER(D164),D164&gt;0,E164&lt;&gt;"",F164&lt;&gt;"",E164&lt;&gt;F164,ISNUMBER(G164),ISNUMBER(H164),G164&gt;=0,H164&gt;=0,G164&lt;=100,H164&lt;=100,MOD(G164,1)=0,MOD(H164,1)=0,L164="FT90",S164&gt;0,INDEX(SourceTable[League],MAX(1,S164))=B164,INDEX(SourceTable[Season],MAX(1,S164))=C164,ISNUMBER(K164),K164=INDEX(SourceTable[Retrieved_UTC],MAX(1,S164)),J164&lt;&gt;"",M164&lt;&gt;"")),"INVALID",IF(OR(COUNTIFS('Istoric_Nativ'!$N$6:$N$405,N164,'Istoric_Nativ'!$G$6:$G$405,G164)&lt;&gt;COUNTIF('Istoric_Nativ'!$N$6:$N$405,N164),COUNTIFS('Istoric_Nativ'!$N$6:$N$405,N164,'Istoric_Nativ'!$H$6:$H$405,H164)&lt;&gt;COUNTIF('Istoric_Nativ'!$N$6:$N$405,N164)),"SOURCE CONFLICT",IF(COUNTIF($N$6:N164,N164)&gt;1,"DUPLICATE","VALID"))),"INVALID"))</x:f>
        <x:v>VALID</x:v>
      </x:c>
      <x:c r="P164" s="2" t="n">
        <x:f>IF(O164="VALID",1,0)</x:f>
        <x:v>1</x:v>
      </x:c>
      <x:c r="Q164" s="2" t="n">
        <x:f>IF(P164=1,G164+H164,0)</x:f>
        <x:v>8</x:v>
      </x:c>
      <x:c r="R164" s="2" t="n">
        <x:f>Q164^2</x:f>
        <x:v>64</x:v>
      </x:c>
      <x:c r="S164" s="2" t="n">
        <x:f>IF(A164="","",IFERROR(MATCH(I164,SourceTable[Source_ID],0),0))</x:f>
        <x:v>1</x:v>
      </x:c>
    </x:row>
    <x:row r="165" ht="21" customHeight="1">
      <x:c r="A165" s="7" t="str">
        <x:v>bcc45e384a3a67c33a24</x:v>
      </x:c>
      <x:c r="B165" s="7" t="str">
        <x:v>E0</x:v>
      </x:c>
      <x:c r="C165" s="7" t="str">
        <x:v>2025/26</x:v>
      </x:c>
      <x:c r="D165" s="8" t="n">
        <x:v>46006</x:v>
      </x:c>
      <x:c r="E165" s="7" t="str">
        <x:v>Man United</x:v>
      </x:c>
      <x:c r="F165" s="7" t="str">
        <x:v>Bournemouth</x:v>
      </x:c>
      <x:c r="G165" s="7" t="n">
        <x:v>5</x:v>
      </x:c>
      <x:c r="H165" s="7" t="n">
        <x:v>4</x:v>
      </x:c>
      <x:c r="I165" s="7" t="str">
        <x:v>FD_E0_2526</x:v>
      </x:c>
      <x:c r="J165" s="7" t="str">
        <x:v>https://www.football-data.co.uk/mmz4281/2526/E0.csv</x:v>
      </x:c>
      <x:c r="K165" s="8" t="n">
        <x:v>46278.70306712963</x:v>
      </x:c>
      <x:c r="L165" s="7" t="str">
        <x:v>FT90</x:v>
      </x:c>
      <x:c r="M165" s="7" t="str">
        <x:v>CSV row 161</x:v>
      </x:c>
      <x:c r="N165" s="2" t="str">
        <x:f>IF(AND(A165&lt;&gt;"",ISNUMBER(D165)),B165&amp;"|"&amp;C165&amp;"|"&amp;TEXT(D165,"yyyymmdd")&amp;"|"&amp;E165&amp;"|"&amp;F165,"")</x:f>
        <x:v>E0|2025/26|20251215|Man United|Bournemouth</x:v>
      </x:c>
      <x:c r="O165" s="2" t="str">
        <x:f>IF(A165="","",IFERROR(IF(NOT(AND(B165&lt;&gt;"",C165&lt;&gt;"",ISNUMBER(D165),D165&gt;0,E165&lt;&gt;"",F165&lt;&gt;"",E165&lt;&gt;F165,ISNUMBER(G165),ISNUMBER(H165),G165&gt;=0,H165&gt;=0,G165&lt;=100,H165&lt;=100,MOD(G165,1)=0,MOD(H165,1)=0,L165="FT90",S165&gt;0,INDEX(SourceTable[League],MAX(1,S165))=B165,INDEX(SourceTable[Season],MAX(1,S165))=C165,ISNUMBER(K165),K165=INDEX(SourceTable[Retrieved_UTC],MAX(1,S165)),J165&lt;&gt;"",M165&lt;&gt;"")),"INVALID",IF(OR(COUNTIFS('Istoric_Nativ'!$N$6:$N$405,N165,'Istoric_Nativ'!$G$6:$G$405,G165)&lt;&gt;COUNTIF('Istoric_Nativ'!$N$6:$N$405,N165),COUNTIFS('Istoric_Nativ'!$N$6:$N$405,N165,'Istoric_Nativ'!$H$6:$H$405,H165)&lt;&gt;COUNTIF('Istoric_Nativ'!$N$6:$N$405,N165)),"SOURCE CONFLICT",IF(COUNTIF($N$6:N165,N165)&gt;1,"DUPLICATE","VALID"))),"INVALID"))</x:f>
        <x:v>VALID</x:v>
      </x:c>
      <x:c r="P165" s="2" t="n">
        <x:f>IF(O165="VALID",1,0)</x:f>
        <x:v>1</x:v>
      </x:c>
      <x:c r="Q165" s="2" t="n">
        <x:f>IF(P165=1,G165+H165,0)</x:f>
        <x:v>9</x:v>
      </x:c>
      <x:c r="R165" s="2" t="n">
        <x:f>Q165^2</x:f>
        <x:v>81</x:v>
      </x:c>
      <x:c r="S165" s="2" t="n">
        <x:f>IF(A165="","",IFERROR(MATCH(I165,SourceTable[Source_ID],0),0))</x:f>
        <x:v>1</x:v>
      </x:c>
    </x:row>
    <x:row r="166" ht="21" customHeight="1">
      <x:c r="A166" s="7" t="str">
        <x:v>be952b8a2073c8b7098c</x:v>
      </x:c>
      <x:c r="B166" s="7" t="str">
        <x:v>E0</x:v>
      </x:c>
      <x:c r="C166" s="7" t="str">
        <x:v>2025/26</x:v>
      </x:c>
      <x:c r="D166" s="8" t="n">
        <x:v>46011</x:v>
      </x:c>
      <x:c r="E166" s="7" t="str">
        <x:v>Bournemouth</x:v>
      </x:c>
      <x:c r="F166" s="7" t="str">
        <x:v>Burnley</x:v>
      </x:c>
      <x:c r="G166" s="7" t="n">
        <x:v>5</x:v>
      </x:c>
      <x:c r="H166" s="7" t="n">
        <x:v>3</x:v>
      </x:c>
      <x:c r="I166" s="7" t="str">
        <x:v>FD_E0_2526</x:v>
      </x:c>
      <x:c r="J166" s="7" t="str">
        <x:v>https://www.football-data.co.uk/mmz4281/2526/E0.csv</x:v>
      </x:c>
      <x:c r="K166" s="8" t="n">
        <x:v>46278.70306712963</x:v>
      </x:c>
      <x:c r="L166" s="7" t="str">
        <x:v>FT90</x:v>
      </x:c>
      <x:c r="M166" s="7" t="str">
        <x:v>CSV row 163</x:v>
      </x:c>
      <x:c r="N166" s="2" t="str">
        <x:f>IF(AND(A166&lt;&gt;"",ISNUMBER(D166)),B166&amp;"|"&amp;C166&amp;"|"&amp;TEXT(D166,"yyyymmdd")&amp;"|"&amp;E166&amp;"|"&amp;F166,"")</x:f>
        <x:v>E0|2025/26|20251220|Bournemouth|Burnley</x:v>
      </x:c>
      <x:c r="O166" s="2" t="str">
        <x:f>IF(A166="","",IFERROR(IF(NOT(AND(B166&lt;&gt;"",C166&lt;&gt;"",ISNUMBER(D166),D166&gt;0,E166&lt;&gt;"",F166&lt;&gt;"",E166&lt;&gt;F166,ISNUMBER(G166),ISNUMBER(H166),G166&gt;=0,H166&gt;=0,G166&lt;=100,H166&lt;=100,MOD(G166,1)=0,MOD(H166,1)=0,L166="FT90",S166&gt;0,INDEX(SourceTable[League],MAX(1,S166))=B166,INDEX(SourceTable[Season],MAX(1,S166))=C166,ISNUMBER(K166),K166=INDEX(SourceTable[Retrieved_UTC],MAX(1,S166)),J166&lt;&gt;"",M166&lt;&gt;"")),"INVALID",IF(OR(COUNTIFS('Istoric_Nativ'!$N$6:$N$405,N166,'Istoric_Nativ'!$G$6:$G$405,G166)&lt;&gt;COUNTIF('Istoric_Nativ'!$N$6:$N$405,N166),COUNTIFS('Istoric_Nativ'!$N$6:$N$405,N166,'Istoric_Nativ'!$H$6:$H$405,H166)&lt;&gt;COUNTIF('Istoric_Nativ'!$N$6:$N$405,N166)),"SOURCE CONFLICT",IF(COUNTIF($N$6:N166,N166)&gt;1,"DUPLICATE","VALID"))),"INVALID"))</x:f>
        <x:v>VALID</x:v>
      </x:c>
      <x:c r="P166" s="2" t="n">
        <x:f>IF(O166="VALID",1,0)</x:f>
        <x:v>1</x:v>
      </x:c>
      <x:c r="Q166" s="2" t="n">
        <x:f>IF(P166=1,G166+H166,0)</x:f>
        <x:v>8</x:v>
      </x:c>
      <x:c r="R166" s="2" t="n">
        <x:f>Q166^2</x:f>
        <x:v>64</x:v>
      </x:c>
      <x:c r="S166" s="2" t="n">
        <x:f>IF(A166="","",IFERROR(MATCH(I166,SourceTable[Source_ID],0),0))</x:f>
        <x:v>1</x:v>
      </x:c>
    </x:row>
    <x:row r="167" ht="21" customHeight="1">
      <x:c r="A167" s="7" t="str">
        <x:v>21a9907856d5a1e97409</x:v>
      </x:c>
      <x:c r="B167" s="7" t="str">
        <x:v>E0</x:v>
      </x:c>
      <x:c r="C167" s="7" t="str">
        <x:v>2025/26</x:v>
      </x:c>
      <x:c r="D167" s="8" t="n">
        <x:v>46011</x:v>
      </x:c>
      <x:c r="E167" s="7" t="str">
        <x:v>Brighton</x:v>
      </x:c>
      <x:c r="F167" s="7" t="str">
        <x:v>Sunderland</x:v>
      </x:c>
      <x:c r="G167" s="7" t="n">
        <x:v>3</x:v>
      </x:c>
      <x:c r="H167" s="7" t="n">
        <x:v>4</x:v>
      </x:c>
      <x:c r="I167" s="7" t="str">
        <x:v>FD_E0_2526</x:v>
      </x:c>
      <x:c r="J167" s="7" t="str">
        <x:v>https://www.football-data.co.uk/mmz4281/2526/E0.csv</x:v>
      </x:c>
      <x:c r="K167" s="8" t="n">
        <x:v>46278.70306712963</x:v>
      </x:c>
      <x:c r="L167" s="7" t="str">
        <x:v>FT90</x:v>
      </x:c>
      <x:c r="M167" s="7" t="str">
        <x:v>CSV row 164</x:v>
      </x:c>
      <x:c r="N167" s="2" t="str">
        <x:f>IF(AND(A167&lt;&gt;"",ISNUMBER(D167)),B167&amp;"|"&amp;C167&amp;"|"&amp;TEXT(D167,"yyyymmdd")&amp;"|"&amp;E167&amp;"|"&amp;F167,"")</x:f>
        <x:v>E0|2025/26|20251220|Brighton|Sunderland</x:v>
      </x:c>
      <x:c r="O167" s="2" t="str">
        <x:f>IF(A167="","",IFERROR(IF(NOT(AND(B167&lt;&gt;"",C167&lt;&gt;"",ISNUMBER(D167),D167&gt;0,E167&lt;&gt;"",F167&lt;&gt;"",E167&lt;&gt;F167,ISNUMBER(G167),ISNUMBER(H167),G167&gt;=0,H167&gt;=0,G167&lt;=100,H167&lt;=100,MOD(G167,1)=0,MOD(H167,1)=0,L167="FT90",S167&gt;0,INDEX(SourceTable[League],MAX(1,S167))=B167,INDEX(SourceTable[Season],MAX(1,S167))=C167,ISNUMBER(K167),K167=INDEX(SourceTable[Retrieved_UTC],MAX(1,S167)),J167&lt;&gt;"",M167&lt;&gt;"")),"INVALID",IF(OR(COUNTIFS('Istoric_Nativ'!$N$6:$N$405,N167,'Istoric_Nativ'!$G$6:$G$405,G167)&lt;&gt;COUNTIF('Istoric_Nativ'!$N$6:$N$405,N167),COUNTIFS('Istoric_Nativ'!$N$6:$N$405,N167,'Istoric_Nativ'!$H$6:$H$405,H167)&lt;&gt;COUNTIF('Istoric_Nativ'!$N$6:$N$405,N167)),"SOURCE CONFLICT",IF(COUNTIF($N$6:N167,N167)&gt;1,"DUPLICATE","VALID"))),"INVALID"))</x:f>
        <x:v>VALID</x:v>
      </x:c>
      <x:c r="P167" s="2" t="n">
        <x:f>IF(O167="VALID",1,0)</x:f>
        <x:v>1</x:v>
      </x:c>
      <x:c r="Q167" s="2" t="n">
        <x:f>IF(P167=1,G167+H167,0)</x:f>
        <x:v>7</x:v>
      </x:c>
      <x:c r="R167" s="2" t="n">
        <x:f>Q167^2</x:f>
        <x:v>49</x:v>
      </x:c>
      <x:c r="S167" s="2" t="n">
        <x:f>IF(A167="","",IFERROR(MATCH(I167,SourceTable[Source_ID],0),0))</x:f>
        <x:v>1</x:v>
      </x:c>
    </x:row>
    <x:row r="168" ht="21" customHeight="1">
      <x:c r="A168" s="7" t="str">
        <x:v>87cbf81858f6b4edc78e</x:v>
      </x:c>
      <x:c r="B168" s="7" t="str">
        <x:v>E0</x:v>
      </x:c>
      <x:c r="C168" s="7" t="str">
        <x:v>2025/26</x:v>
      </x:c>
      <x:c r="D168" s="8" t="n">
        <x:v>46011</x:v>
      </x:c>
      <x:c r="E168" s="7" t="str">
        <x:v>Everton</x:v>
      </x:c>
      <x:c r="F168" s="7" t="str">
        <x:v>Arsenal</x:v>
      </x:c>
      <x:c r="G168" s="7" t="n">
        <x:v>2</x:v>
      </x:c>
      <x:c r="H168" s="7" t="n">
        <x:v>3</x:v>
      </x:c>
      <x:c r="I168" s="7" t="str">
        <x:v>FD_E0_2526</x:v>
      </x:c>
      <x:c r="J168" s="7" t="str">
        <x:v>https://www.football-data.co.uk/mmz4281/2526/E0.csv</x:v>
      </x:c>
      <x:c r="K168" s="8" t="n">
        <x:v>46278.70306712963</x:v>
      </x:c>
      <x:c r="L168" s="7" t="str">
        <x:v>FT90</x:v>
      </x:c>
      <x:c r="M168" s="7" t="str">
        <x:v>CSV row 168</x:v>
      </x:c>
      <x:c r="N168" s="2" t="str">
        <x:f>IF(AND(A168&lt;&gt;"",ISNUMBER(D168)),B168&amp;"|"&amp;C168&amp;"|"&amp;TEXT(D168,"yyyymmdd")&amp;"|"&amp;E168&amp;"|"&amp;F168,"")</x:f>
        <x:v>E0|2025/26|20251220|Everton|Arsenal</x:v>
      </x:c>
      <x:c r="O168" s="2" t="str">
        <x:f>IF(A168="","",IFERROR(IF(NOT(AND(B168&lt;&gt;"",C168&lt;&gt;"",ISNUMBER(D168),D168&gt;0,E168&lt;&gt;"",F168&lt;&gt;"",E168&lt;&gt;F168,ISNUMBER(G168),ISNUMBER(H168),G168&gt;=0,H168&gt;=0,G168&lt;=100,H168&lt;=100,MOD(G168,1)=0,MOD(H168,1)=0,L168="FT90",S168&gt;0,INDEX(SourceTable[League],MAX(1,S168))=B168,INDEX(SourceTable[Season],MAX(1,S168))=C168,ISNUMBER(K168),K168=INDEX(SourceTable[Retrieved_UTC],MAX(1,S168)),J168&lt;&gt;"",M168&lt;&gt;"")),"INVALID",IF(OR(COUNTIFS('Istoric_Nativ'!$N$6:$N$405,N168,'Istoric_Nativ'!$G$6:$G$405,G168)&lt;&gt;COUNTIF('Istoric_Nativ'!$N$6:$N$405,N168),COUNTIFS('Istoric_Nativ'!$N$6:$N$405,N168,'Istoric_Nativ'!$H$6:$H$405,H168)&lt;&gt;COUNTIF('Istoric_Nativ'!$N$6:$N$405,N168)),"SOURCE CONFLICT",IF(COUNTIF($N$6:N168,N168)&gt;1,"DUPLICATE","VALID"))),"INVALID"))</x:f>
        <x:v>VALID</x:v>
      </x:c>
      <x:c r="P168" s="2" t="n">
        <x:f>IF(O168="VALID",1,0)</x:f>
        <x:v>1</x:v>
      </x:c>
      <x:c r="Q168" s="2" t="n">
        <x:f>IF(P168=1,G168+H168,0)</x:f>
        <x:v>5</x:v>
      </x:c>
      <x:c r="R168" s="2" t="n">
        <x:f>Q168^2</x:f>
        <x:v>25</x:v>
      </x:c>
      <x:c r="S168" s="2" t="n">
        <x:f>IF(A168="","",IFERROR(MATCH(I168,SourceTable[Source_ID],0),0))</x:f>
        <x:v>1</x:v>
      </x:c>
    </x:row>
    <x:row r="169" ht="21" customHeight="1">
      <x:c r="A169" s="7" t="str">
        <x:v>dc77ae866fe68e0a5b94</x:v>
      </x:c>
      <x:c r="B169" s="7" t="str">
        <x:v>E0</x:v>
      </x:c>
      <x:c r="C169" s="7" t="str">
        <x:v>2025/26</x:v>
      </x:c>
      <x:c r="D169" s="8" t="n">
        <x:v>46011</x:v>
      </x:c>
      <x:c r="E169" s="7" t="str">
        <x:v>Leeds</x:v>
      </x:c>
      <x:c r="F169" s="7" t="str">
        <x:v>Crystal Palace</x:v>
      </x:c>
      <x:c r="G169" s="7" t="n">
        <x:v>9</x:v>
      </x:c>
      <x:c r="H169" s="7" t="n">
        <x:v>5</x:v>
      </x:c>
      <x:c r="I169" s="7" t="str">
        <x:v>FD_E0_2526</x:v>
      </x:c>
      <x:c r="J169" s="7" t="str">
        <x:v>https://www.football-data.co.uk/mmz4281/2526/E0.csv</x:v>
      </x:c>
      <x:c r="K169" s="8" t="n">
        <x:v>46278.70306712963</x:v>
      </x:c>
      <x:c r="L169" s="7" t="str">
        <x:v>FT90</x:v>
      </x:c>
      <x:c r="M169" s="7" t="str">
        <x:v>CSV row 169</x:v>
      </x:c>
      <x:c r="N169" s="2" t="str">
        <x:f>IF(AND(A169&lt;&gt;"",ISNUMBER(D169)),B169&amp;"|"&amp;C169&amp;"|"&amp;TEXT(D169,"yyyymmdd")&amp;"|"&amp;E169&amp;"|"&amp;F169,"")</x:f>
        <x:v>E0|2025/26|20251220|Leeds|Crystal Palace</x:v>
      </x:c>
      <x:c r="O169" s="2" t="str">
        <x:f>IF(A169="","",IFERROR(IF(NOT(AND(B169&lt;&gt;"",C169&lt;&gt;"",ISNUMBER(D169),D169&gt;0,E169&lt;&gt;"",F169&lt;&gt;"",E169&lt;&gt;F169,ISNUMBER(G169),ISNUMBER(H169),G169&gt;=0,H169&gt;=0,G169&lt;=100,H169&lt;=100,MOD(G169,1)=0,MOD(H169,1)=0,L169="FT90",S169&gt;0,INDEX(SourceTable[League],MAX(1,S169))=B169,INDEX(SourceTable[Season],MAX(1,S169))=C169,ISNUMBER(K169),K169=INDEX(SourceTable[Retrieved_UTC],MAX(1,S169)),J169&lt;&gt;"",M169&lt;&gt;"")),"INVALID",IF(OR(COUNTIFS('Istoric_Nativ'!$N$6:$N$405,N169,'Istoric_Nativ'!$G$6:$G$405,G169)&lt;&gt;COUNTIF('Istoric_Nativ'!$N$6:$N$405,N169),COUNTIFS('Istoric_Nativ'!$N$6:$N$405,N169,'Istoric_Nativ'!$H$6:$H$405,H169)&lt;&gt;COUNTIF('Istoric_Nativ'!$N$6:$N$405,N169)),"SOURCE CONFLICT",IF(COUNTIF($N$6:N169,N169)&gt;1,"DUPLICATE","VALID"))),"INVALID"))</x:f>
        <x:v>VALID</x:v>
      </x:c>
      <x:c r="P169" s="2" t="n">
        <x:f>IF(O169="VALID",1,0)</x:f>
        <x:v>1</x:v>
      </x:c>
      <x:c r="Q169" s="2" t="n">
        <x:f>IF(P169=1,G169+H169,0)</x:f>
        <x:v>14</x:v>
      </x:c>
      <x:c r="R169" s="2" t="n">
        <x:f>Q169^2</x:f>
        <x:v>196</x:v>
      </x:c>
      <x:c r="S169" s="2" t="n">
        <x:f>IF(A169="","",IFERROR(MATCH(I169,SourceTable[Source_ID],0),0))</x:f>
        <x:v>1</x:v>
      </x:c>
    </x:row>
    <x:row r="170" ht="21" customHeight="1">
      <x:c r="A170" s="7" t="str">
        <x:v>5f9ade8bac9cb04db90c</x:v>
      </x:c>
      <x:c r="B170" s="7" t="str">
        <x:v>E0</x:v>
      </x:c>
      <x:c r="C170" s="7" t="str">
        <x:v>2025/26</x:v>
      </x:c>
      <x:c r="D170" s="8" t="n">
        <x:v>46011</x:v>
      </x:c>
      <x:c r="E170" s="7" t="str">
        <x:v>Man City</x:v>
      </x:c>
      <x:c r="F170" s="7" t="str">
        <x:v>West Ham</x:v>
      </x:c>
      <x:c r="G170" s="7" t="n">
        <x:v>6</x:v>
      </x:c>
      <x:c r="H170" s="7" t="n">
        <x:v>0</x:v>
      </x:c>
      <x:c r="I170" s="7" t="str">
        <x:v>FD_E0_2526</x:v>
      </x:c>
      <x:c r="J170" s="7" t="str">
        <x:v>https://www.football-data.co.uk/mmz4281/2526/E0.csv</x:v>
      </x:c>
      <x:c r="K170" s="8" t="n">
        <x:v>46278.70306712963</x:v>
      </x:c>
      <x:c r="L170" s="7" t="str">
        <x:v>FT90</x:v>
      </x:c>
      <x:c r="M170" s="7" t="str">
        <x:v>CSV row 165</x:v>
      </x:c>
      <x:c r="N170" s="2" t="str">
        <x:f>IF(AND(A170&lt;&gt;"",ISNUMBER(D170)),B170&amp;"|"&amp;C170&amp;"|"&amp;TEXT(D170,"yyyymmdd")&amp;"|"&amp;E170&amp;"|"&amp;F170,"")</x:f>
        <x:v>E0|2025/26|20251220|Man City|West Ham</x:v>
      </x:c>
      <x:c r="O170" s="2" t="str">
        <x:f>IF(A170="","",IFERROR(IF(NOT(AND(B170&lt;&gt;"",C170&lt;&gt;"",ISNUMBER(D170),D170&gt;0,E170&lt;&gt;"",F170&lt;&gt;"",E170&lt;&gt;F170,ISNUMBER(G170),ISNUMBER(H170),G170&gt;=0,H170&gt;=0,G170&lt;=100,H170&lt;=100,MOD(G170,1)=0,MOD(H170,1)=0,L170="FT90",S170&gt;0,INDEX(SourceTable[League],MAX(1,S170))=B170,INDEX(SourceTable[Season],MAX(1,S170))=C170,ISNUMBER(K170),K170=INDEX(SourceTable[Retrieved_UTC],MAX(1,S170)),J170&lt;&gt;"",M170&lt;&gt;"")),"INVALID",IF(OR(COUNTIFS('Istoric_Nativ'!$N$6:$N$405,N170,'Istoric_Nativ'!$G$6:$G$405,G170)&lt;&gt;COUNTIF('Istoric_Nativ'!$N$6:$N$405,N170),COUNTIFS('Istoric_Nativ'!$N$6:$N$405,N170,'Istoric_Nativ'!$H$6:$H$405,H170)&lt;&gt;COUNTIF('Istoric_Nativ'!$N$6:$N$405,N170)),"SOURCE CONFLICT",IF(COUNTIF($N$6:N170,N170)&gt;1,"DUPLICATE","VALID"))),"INVALID"))</x:f>
        <x:v>VALID</x:v>
      </x:c>
      <x:c r="P170" s="2" t="n">
        <x:f>IF(O170="VALID",1,0)</x:f>
        <x:v>1</x:v>
      </x:c>
      <x:c r="Q170" s="2" t="n">
        <x:f>IF(P170=1,G170+H170,0)</x:f>
        <x:v>6</x:v>
      </x:c>
      <x:c r="R170" s="2" t="n">
        <x:f>Q170^2</x:f>
        <x:v>36</x:v>
      </x:c>
      <x:c r="S170" s="2" t="n">
        <x:f>IF(A170="","",IFERROR(MATCH(I170,SourceTable[Source_ID],0),0))</x:f>
        <x:v>1</x:v>
      </x:c>
    </x:row>
    <x:row r="171" ht="21" customHeight="1">
      <x:c r="A171" s="7" t="str">
        <x:v>725722d5cec8c4d85ff8</x:v>
      </x:c>
      <x:c r="B171" s="7" t="str">
        <x:v>E0</x:v>
      </x:c>
      <x:c r="C171" s="7" t="str">
        <x:v>2025/26</x:v>
      </x:c>
      <x:c r="D171" s="8" t="n">
        <x:v>46011</x:v>
      </x:c>
      <x:c r="E171" s="7" t="str">
        <x:v>Newcastle</x:v>
      </x:c>
      <x:c r="F171" s="7" t="str">
        <x:v>Chelsea</x:v>
      </x:c>
      <x:c r="G171" s="7" t="n">
        <x:v>6</x:v>
      </x:c>
      <x:c r="H171" s="7" t="n">
        <x:v>4</x:v>
      </x:c>
      <x:c r="I171" s="7" t="str">
        <x:v>FD_E0_2526</x:v>
      </x:c>
      <x:c r="J171" s="7" t="str">
        <x:v>https://www.football-data.co.uk/mmz4281/2526/E0.csv</x:v>
      </x:c>
      <x:c r="K171" s="8" t="n">
        <x:v>46278.70306712963</x:v>
      </x:c>
      <x:c r="L171" s="7" t="str">
        <x:v>FT90</x:v>
      </x:c>
      <x:c r="M171" s="7" t="str">
        <x:v>CSV row 162</x:v>
      </x:c>
      <x:c r="N171" s="2" t="str">
        <x:f>IF(AND(A171&lt;&gt;"",ISNUMBER(D171)),B171&amp;"|"&amp;C171&amp;"|"&amp;TEXT(D171,"yyyymmdd")&amp;"|"&amp;E171&amp;"|"&amp;F171,"")</x:f>
        <x:v>E0|2025/26|20251220|Newcastle|Chelsea</x:v>
      </x:c>
      <x:c r="O171" s="2" t="str">
        <x:f>IF(A171="","",IFERROR(IF(NOT(AND(B171&lt;&gt;"",C171&lt;&gt;"",ISNUMBER(D171),D171&gt;0,E171&lt;&gt;"",F171&lt;&gt;"",E171&lt;&gt;F171,ISNUMBER(G171),ISNUMBER(H171),G171&gt;=0,H171&gt;=0,G171&lt;=100,H171&lt;=100,MOD(G171,1)=0,MOD(H171,1)=0,L171="FT90",S171&gt;0,INDEX(SourceTable[League],MAX(1,S171))=B171,INDEX(SourceTable[Season],MAX(1,S171))=C171,ISNUMBER(K171),K171=INDEX(SourceTable[Retrieved_UTC],MAX(1,S171)),J171&lt;&gt;"",M171&lt;&gt;"")),"INVALID",IF(OR(COUNTIFS('Istoric_Nativ'!$N$6:$N$405,N171,'Istoric_Nativ'!$G$6:$G$405,G171)&lt;&gt;COUNTIF('Istoric_Nativ'!$N$6:$N$405,N171),COUNTIFS('Istoric_Nativ'!$N$6:$N$405,N171,'Istoric_Nativ'!$H$6:$H$405,H171)&lt;&gt;COUNTIF('Istoric_Nativ'!$N$6:$N$405,N171)),"SOURCE CONFLICT",IF(COUNTIF($N$6:N171,N171)&gt;1,"DUPLICATE","VALID"))),"INVALID"))</x:f>
        <x:v>VALID</x:v>
      </x:c>
      <x:c r="P171" s="2" t="n">
        <x:f>IF(O171="VALID",1,0)</x:f>
        <x:v>1</x:v>
      </x:c>
      <x:c r="Q171" s="2" t="n">
        <x:f>IF(P171=1,G171+H171,0)</x:f>
        <x:v>10</x:v>
      </x:c>
      <x:c r="R171" s="2" t="n">
        <x:f>Q171^2</x:f>
        <x:v>100</x:v>
      </x:c>
      <x:c r="S171" s="2" t="n">
        <x:f>IF(A171="","",IFERROR(MATCH(I171,SourceTable[Source_ID],0),0))</x:f>
        <x:v>1</x:v>
      </x:c>
    </x:row>
    <x:row r="172" ht="21" customHeight="1">
      <x:c r="A172" s="7" t="str">
        <x:v>f67ff53e02628a2f197c</x:v>
      </x:c>
      <x:c r="B172" s="7" t="str">
        <x:v>E0</x:v>
      </x:c>
      <x:c r="C172" s="7" t="str">
        <x:v>2025/26</x:v>
      </x:c>
      <x:c r="D172" s="8" t="n">
        <x:v>46011</x:v>
      </x:c>
      <x:c r="E172" s="7" t="str">
        <x:v>Tottenham</x:v>
      </x:c>
      <x:c r="F172" s="7" t="str">
        <x:v>Liverpool</x:v>
      </x:c>
      <x:c r="G172" s="7" t="n">
        <x:v>2</x:v>
      </x:c>
      <x:c r="H172" s="7" t="n">
        <x:v>6</x:v>
      </x:c>
      <x:c r="I172" s="7" t="str">
        <x:v>FD_E0_2526</x:v>
      </x:c>
      <x:c r="J172" s="7" t="str">
        <x:v>https://www.football-data.co.uk/mmz4281/2526/E0.csv</x:v>
      </x:c>
      <x:c r="K172" s="8" t="n">
        <x:v>46278.70306712963</x:v>
      </x:c>
      <x:c r="L172" s="7" t="str">
        <x:v>FT90</x:v>
      </x:c>
      <x:c r="M172" s="7" t="str">
        <x:v>CSV row 167</x:v>
      </x:c>
      <x:c r="N172" s="2" t="str">
        <x:f>IF(AND(A172&lt;&gt;"",ISNUMBER(D172)),B172&amp;"|"&amp;C172&amp;"|"&amp;TEXT(D172,"yyyymmdd")&amp;"|"&amp;E172&amp;"|"&amp;F172,"")</x:f>
        <x:v>E0|2025/26|20251220|Tottenham|Liverpool</x:v>
      </x:c>
      <x:c r="O172" s="2" t="str">
        <x:f>IF(A172="","",IFERROR(IF(NOT(AND(B172&lt;&gt;"",C172&lt;&gt;"",ISNUMBER(D172),D172&gt;0,E172&lt;&gt;"",F172&lt;&gt;"",E172&lt;&gt;F172,ISNUMBER(G172),ISNUMBER(H172),G172&gt;=0,H172&gt;=0,G172&lt;=100,H172&lt;=100,MOD(G172,1)=0,MOD(H172,1)=0,L172="FT90",S172&gt;0,INDEX(SourceTable[League],MAX(1,S172))=B172,INDEX(SourceTable[Season],MAX(1,S172))=C172,ISNUMBER(K172),K172=INDEX(SourceTable[Retrieved_UTC],MAX(1,S172)),J172&lt;&gt;"",M172&lt;&gt;"")),"INVALID",IF(OR(COUNTIFS('Istoric_Nativ'!$N$6:$N$405,N172,'Istoric_Nativ'!$G$6:$G$405,G172)&lt;&gt;COUNTIF('Istoric_Nativ'!$N$6:$N$405,N172),COUNTIFS('Istoric_Nativ'!$N$6:$N$405,N172,'Istoric_Nativ'!$H$6:$H$405,H172)&lt;&gt;COUNTIF('Istoric_Nativ'!$N$6:$N$405,N172)),"SOURCE CONFLICT",IF(COUNTIF($N$6:N172,N172)&gt;1,"DUPLICATE","VALID"))),"INVALID"))</x:f>
        <x:v>VALID</x:v>
      </x:c>
      <x:c r="P172" s="2" t="n">
        <x:f>IF(O172="VALID",1,0)</x:f>
        <x:v>1</x:v>
      </x:c>
      <x:c r="Q172" s="2" t="n">
        <x:f>IF(P172=1,G172+H172,0)</x:f>
        <x:v>8</x:v>
      </x:c>
      <x:c r="R172" s="2" t="n">
        <x:f>Q172^2</x:f>
        <x:v>64</x:v>
      </x:c>
      <x:c r="S172" s="2" t="n">
        <x:f>IF(A172="","",IFERROR(MATCH(I172,SourceTable[Source_ID],0),0))</x:f>
        <x:v>1</x:v>
      </x:c>
    </x:row>
    <x:row r="173" ht="21" customHeight="1">
      <x:c r="A173" s="7" t="str">
        <x:v>0c6a02dd4215e3f5974d</x:v>
      </x:c>
      <x:c r="B173" s="7" t="str">
        <x:v>E0</x:v>
      </x:c>
      <x:c r="C173" s="7" t="str">
        <x:v>2025/26</x:v>
      </x:c>
      <x:c r="D173" s="8" t="n">
        <x:v>46011</x:v>
      </x:c>
      <x:c r="E173" s="7" t="str">
        <x:v>Wolves</x:v>
      </x:c>
      <x:c r="F173" s="7" t="str">
        <x:v>Brentford</x:v>
      </x:c>
      <x:c r="G173" s="7" t="n">
        <x:v>3</x:v>
      </x:c>
      <x:c r="H173" s="7" t="n">
        <x:v>4</x:v>
      </x:c>
      <x:c r="I173" s="7" t="str">
        <x:v>FD_E0_2526</x:v>
      </x:c>
      <x:c r="J173" s="7" t="str">
        <x:v>https://www.football-data.co.uk/mmz4281/2526/E0.csv</x:v>
      </x:c>
      <x:c r="K173" s="8" t="n">
        <x:v>46278.70306712963</x:v>
      </x:c>
      <x:c r="L173" s="7" t="str">
        <x:v>FT90</x:v>
      </x:c>
      <x:c r="M173" s="7" t="str">
        <x:v>CSV row 166</x:v>
      </x:c>
      <x:c r="N173" s="2" t="str">
        <x:f>IF(AND(A173&lt;&gt;"",ISNUMBER(D173)),B173&amp;"|"&amp;C173&amp;"|"&amp;TEXT(D173,"yyyymmdd")&amp;"|"&amp;E173&amp;"|"&amp;F173,"")</x:f>
        <x:v>E0|2025/26|20251220|Wolves|Brentford</x:v>
      </x:c>
      <x:c r="O173" s="2" t="str">
        <x:f>IF(A173="","",IFERROR(IF(NOT(AND(B173&lt;&gt;"",C173&lt;&gt;"",ISNUMBER(D173),D173&gt;0,E173&lt;&gt;"",F173&lt;&gt;"",E173&lt;&gt;F173,ISNUMBER(G173),ISNUMBER(H173),G173&gt;=0,H173&gt;=0,G173&lt;=100,H173&lt;=100,MOD(G173,1)=0,MOD(H173,1)=0,L173="FT90",S173&gt;0,INDEX(SourceTable[League],MAX(1,S173))=B173,INDEX(SourceTable[Season],MAX(1,S173))=C173,ISNUMBER(K173),K173=INDEX(SourceTable[Retrieved_UTC],MAX(1,S173)),J173&lt;&gt;"",M173&lt;&gt;"")),"INVALID",IF(OR(COUNTIFS('Istoric_Nativ'!$N$6:$N$405,N173,'Istoric_Nativ'!$G$6:$G$405,G173)&lt;&gt;COUNTIF('Istoric_Nativ'!$N$6:$N$405,N173),COUNTIFS('Istoric_Nativ'!$N$6:$N$405,N173,'Istoric_Nativ'!$H$6:$H$405,H173)&lt;&gt;COUNTIF('Istoric_Nativ'!$N$6:$N$405,N173)),"SOURCE CONFLICT",IF(COUNTIF($N$6:N173,N173)&gt;1,"DUPLICATE","VALID"))),"INVALID"))</x:f>
        <x:v>VALID</x:v>
      </x:c>
      <x:c r="P173" s="2" t="n">
        <x:f>IF(O173="VALID",1,0)</x:f>
        <x:v>1</x:v>
      </x:c>
      <x:c r="Q173" s="2" t="n">
        <x:f>IF(P173=1,G173+H173,0)</x:f>
        <x:v>7</x:v>
      </x:c>
      <x:c r="R173" s="2" t="n">
        <x:f>Q173^2</x:f>
        <x:v>49</x:v>
      </x:c>
      <x:c r="S173" s="2" t="n">
        <x:f>IF(A173="","",IFERROR(MATCH(I173,SourceTable[Source_ID],0),0))</x:f>
        <x:v>1</x:v>
      </x:c>
    </x:row>
    <x:row r="174" ht="21" customHeight="1">
      <x:c r="A174" s="7" t="str">
        <x:v>bb80cde5c7c2eda61862</x:v>
      </x:c>
      <x:c r="B174" s="7" t="str">
        <x:v>E0</x:v>
      </x:c>
      <x:c r="C174" s="7" t="str">
        <x:v>2025/26</x:v>
      </x:c>
      <x:c r="D174" s="8" t="n">
        <x:v>46012</x:v>
      </x:c>
      <x:c r="E174" s="7" t="str">
        <x:v>Aston Villa</x:v>
      </x:c>
      <x:c r="F174" s="7" t="str">
        <x:v>Man United</x:v>
      </x:c>
      <x:c r="G174" s="7" t="n">
        <x:v>5</x:v>
      </x:c>
      <x:c r="H174" s="7" t="n">
        <x:v>5</x:v>
      </x:c>
      <x:c r="I174" s="7" t="str">
        <x:v>FD_E0_2526</x:v>
      </x:c>
      <x:c r="J174" s="7" t="str">
        <x:v>https://www.football-data.co.uk/mmz4281/2526/E0.csv</x:v>
      </x:c>
      <x:c r="K174" s="8" t="n">
        <x:v>46278.70306712963</x:v>
      </x:c>
      <x:c r="L174" s="7" t="str">
        <x:v>FT90</x:v>
      </x:c>
      <x:c r="M174" s="7" t="str">
        <x:v>CSV row 170</x:v>
      </x:c>
      <x:c r="N174" s="2" t="str">
        <x:f>IF(AND(A174&lt;&gt;"",ISNUMBER(D174)),B174&amp;"|"&amp;C174&amp;"|"&amp;TEXT(D174,"yyyymmdd")&amp;"|"&amp;E174&amp;"|"&amp;F174,"")</x:f>
        <x:v>E0|2025/26|20251221|Aston Villa|Man United</x:v>
      </x:c>
      <x:c r="O174" s="2" t="str">
        <x:f>IF(A174="","",IFERROR(IF(NOT(AND(B174&lt;&gt;"",C174&lt;&gt;"",ISNUMBER(D174),D174&gt;0,E174&lt;&gt;"",F174&lt;&gt;"",E174&lt;&gt;F174,ISNUMBER(G174),ISNUMBER(H174),G174&gt;=0,H174&gt;=0,G174&lt;=100,H174&lt;=100,MOD(G174,1)=0,MOD(H174,1)=0,L174="FT90",S174&gt;0,INDEX(SourceTable[League],MAX(1,S174))=B174,INDEX(SourceTable[Season],MAX(1,S174))=C174,ISNUMBER(K174),K174=INDEX(SourceTable[Retrieved_UTC],MAX(1,S174)),J174&lt;&gt;"",M174&lt;&gt;"")),"INVALID",IF(OR(COUNTIFS('Istoric_Nativ'!$N$6:$N$405,N174,'Istoric_Nativ'!$G$6:$G$405,G174)&lt;&gt;COUNTIF('Istoric_Nativ'!$N$6:$N$405,N174),COUNTIFS('Istoric_Nativ'!$N$6:$N$405,N174,'Istoric_Nativ'!$H$6:$H$405,H174)&lt;&gt;COUNTIF('Istoric_Nativ'!$N$6:$N$405,N174)),"SOURCE CONFLICT",IF(COUNTIF($N$6:N174,N174)&gt;1,"DUPLICATE","VALID"))),"INVALID"))</x:f>
        <x:v>VALID</x:v>
      </x:c>
      <x:c r="P174" s="2" t="n">
        <x:f>IF(O174="VALID",1,0)</x:f>
        <x:v>1</x:v>
      </x:c>
      <x:c r="Q174" s="2" t="n">
        <x:f>IF(P174=1,G174+H174,0)</x:f>
        <x:v>10</x:v>
      </x:c>
      <x:c r="R174" s="2" t="n">
        <x:f>Q174^2</x:f>
        <x:v>100</x:v>
      </x:c>
      <x:c r="S174" s="2" t="n">
        <x:f>IF(A174="","",IFERROR(MATCH(I174,SourceTable[Source_ID],0),0))</x:f>
        <x:v>1</x:v>
      </x:c>
    </x:row>
    <x:row r="175" ht="21" customHeight="1">
      <x:c r="A175" s="7" t="str">
        <x:v>36074871dd673d8236a7</x:v>
      </x:c>
      <x:c r="B175" s="7" t="str">
        <x:v>E0</x:v>
      </x:c>
      <x:c r="C175" s="7" t="str">
        <x:v>2025/26</x:v>
      </x:c>
      <x:c r="D175" s="8" t="n">
        <x:v>46013</x:v>
      </x:c>
      <x:c r="E175" s="7" t="str">
        <x:v>Fulham</x:v>
      </x:c>
      <x:c r="F175" s="7" t="str">
        <x:v>Nott'm Forest</x:v>
      </x:c>
      <x:c r="G175" s="7" t="n">
        <x:v>1</x:v>
      </x:c>
      <x:c r="H175" s="7" t="n">
        <x:v>5</x:v>
      </x:c>
      <x:c r="I175" s="7" t="str">
        <x:v>FD_E0_2526</x:v>
      </x:c>
      <x:c r="J175" s="7" t="str">
        <x:v>https://www.football-data.co.uk/mmz4281/2526/E0.csv</x:v>
      </x:c>
      <x:c r="K175" s="8" t="n">
        <x:v>46278.70306712963</x:v>
      </x:c>
      <x:c r="L175" s="7" t="str">
        <x:v>FT90</x:v>
      </x:c>
      <x:c r="M175" s="7" t="str">
        <x:v>CSV row 171</x:v>
      </x:c>
      <x:c r="N175" s="2" t="str">
        <x:f>IF(AND(A175&lt;&gt;"",ISNUMBER(D175)),B175&amp;"|"&amp;C175&amp;"|"&amp;TEXT(D175,"yyyymmdd")&amp;"|"&amp;E175&amp;"|"&amp;F175,"")</x:f>
        <x:v>E0|2025/26|20251222|Fulham|Nott'm Forest</x:v>
      </x:c>
      <x:c r="O175" s="2" t="str">
        <x:f>IF(A175="","",IFERROR(IF(NOT(AND(B175&lt;&gt;"",C175&lt;&gt;"",ISNUMBER(D175),D175&gt;0,E175&lt;&gt;"",F175&lt;&gt;"",E175&lt;&gt;F175,ISNUMBER(G175),ISNUMBER(H175),G175&gt;=0,H175&gt;=0,G175&lt;=100,H175&lt;=100,MOD(G175,1)=0,MOD(H175,1)=0,L175="FT90",S175&gt;0,INDEX(SourceTable[League],MAX(1,S175))=B175,INDEX(SourceTable[Season],MAX(1,S175))=C175,ISNUMBER(K175),K175=INDEX(SourceTable[Retrieved_UTC],MAX(1,S175)),J175&lt;&gt;"",M175&lt;&gt;"")),"INVALID",IF(OR(COUNTIFS('Istoric_Nativ'!$N$6:$N$405,N175,'Istoric_Nativ'!$G$6:$G$405,G175)&lt;&gt;COUNTIF('Istoric_Nativ'!$N$6:$N$405,N175),COUNTIFS('Istoric_Nativ'!$N$6:$N$405,N175,'Istoric_Nativ'!$H$6:$H$405,H175)&lt;&gt;COUNTIF('Istoric_Nativ'!$N$6:$N$405,N175)),"SOURCE CONFLICT",IF(COUNTIF($N$6:N175,N175)&gt;1,"DUPLICATE","VALID"))),"INVALID"))</x:f>
        <x:v>VALID</x:v>
      </x:c>
      <x:c r="P175" s="2" t="n">
        <x:f>IF(O175="VALID",1,0)</x:f>
        <x:v>1</x:v>
      </x:c>
      <x:c r="Q175" s="2" t="n">
        <x:f>IF(P175=1,G175+H175,0)</x:f>
        <x:v>6</x:v>
      </x:c>
      <x:c r="R175" s="2" t="n">
        <x:f>Q175^2</x:f>
        <x:v>36</x:v>
      </x:c>
      <x:c r="S175" s="2" t="n">
        <x:f>IF(A175="","",IFERROR(MATCH(I175,SourceTable[Source_ID],0),0))</x:f>
        <x:v>1</x:v>
      </x:c>
    </x:row>
    <x:row r="176" ht="21" customHeight="1">
      <x:c r="A176" s="7" t="str">
        <x:v>257c50a1623cea0b9155</x:v>
      </x:c>
      <x:c r="B176" s="7" t="str">
        <x:v>E0</x:v>
      </x:c>
      <x:c r="C176" s="7" t="str">
        <x:v>2025/26</x:v>
      </x:c>
      <x:c r="D176" s="8" t="n">
        <x:v>46017</x:v>
      </x:c>
      <x:c r="E176" s="7" t="str">
        <x:v>Man United</x:v>
      </x:c>
      <x:c r="F176" s="7" t="str">
        <x:v>Newcastle</x:v>
      </x:c>
      <x:c r="G176" s="7" t="n">
        <x:v>2</x:v>
      </x:c>
      <x:c r="H176" s="7" t="n">
        <x:v>11</x:v>
      </x:c>
      <x:c r="I176" s="7" t="str">
        <x:v>FD_E0_2526</x:v>
      </x:c>
      <x:c r="J176" s="7" t="str">
        <x:v>https://www.football-data.co.uk/mmz4281/2526/E0.csv</x:v>
      </x:c>
      <x:c r="K176" s="8" t="n">
        <x:v>46278.70306712963</x:v>
      </x:c>
      <x:c r="L176" s="7" t="str">
        <x:v>FT90</x:v>
      </x:c>
      <x:c r="M176" s="7" t="str">
        <x:v>CSV row 172</x:v>
      </x:c>
      <x:c r="N176" s="2" t="str">
        <x:f>IF(AND(A176&lt;&gt;"",ISNUMBER(D176)),B176&amp;"|"&amp;C176&amp;"|"&amp;TEXT(D176,"yyyymmdd")&amp;"|"&amp;E176&amp;"|"&amp;F176,"")</x:f>
        <x:v>E0|2025/26|20251226|Man United|Newcastle</x:v>
      </x:c>
      <x:c r="O176" s="2" t="str">
        <x:f>IF(A176="","",IFERROR(IF(NOT(AND(B176&lt;&gt;"",C176&lt;&gt;"",ISNUMBER(D176),D176&gt;0,E176&lt;&gt;"",F176&lt;&gt;"",E176&lt;&gt;F176,ISNUMBER(G176),ISNUMBER(H176),G176&gt;=0,H176&gt;=0,G176&lt;=100,H176&lt;=100,MOD(G176,1)=0,MOD(H176,1)=0,L176="FT90",S176&gt;0,INDEX(SourceTable[League],MAX(1,S176))=B176,INDEX(SourceTable[Season],MAX(1,S176))=C176,ISNUMBER(K176),K176=INDEX(SourceTable[Retrieved_UTC],MAX(1,S176)),J176&lt;&gt;"",M176&lt;&gt;"")),"INVALID",IF(OR(COUNTIFS('Istoric_Nativ'!$N$6:$N$405,N176,'Istoric_Nativ'!$G$6:$G$405,G176)&lt;&gt;COUNTIF('Istoric_Nativ'!$N$6:$N$405,N176),COUNTIFS('Istoric_Nativ'!$N$6:$N$405,N176,'Istoric_Nativ'!$H$6:$H$405,H176)&lt;&gt;COUNTIF('Istoric_Nativ'!$N$6:$N$405,N176)),"SOURCE CONFLICT",IF(COUNTIF($N$6:N176,N176)&gt;1,"DUPLICATE","VALID"))),"INVALID"))</x:f>
        <x:v>VALID</x:v>
      </x:c>
      <x:c r="P176" s="2" t="n">
        <x:f>IF(O176="VALID",1,0)</x:f>
        <x:v>1</x:v>
      </x:c>
      <x:c r="Q176" s="2" t="n">
        <x:f>IF(P176=1,G176+H176,0)</x:f>
        <x:v>13</x:v>
      </x:c>
      <x:c r="R176" s="2" t="n">
        <x:f>Q176^2</x:f>
        <x:v>169</x:v>
      </x:c>
      <x:c r="S176" s="2" t="n">
        <x:f>IF(A176="","",IFERROR(MATCH(I176,SourceTable[Source_ID],0),0))</x:f>
        <x:v>1</x:v>
      </x:c>
    </x:row>
    <x:row r="177" ht="21" customHeight="1">
      <x:c r="A177" s="7" t="str">
        <x:v>8c434e7b7073c194d447</x:v>
      </x:c>
      <x:c r="B177" s="7" t="str">
        <x:v>E0</x:v>
      </x:c>
      <x:c r="C177" s="7" t="str">
        <x:v>2025/26</x:v>
      </x:c>
      <x:c r="D177" s="8" t="n">
        <x:v>46018</x:v>
      </x:c>
      <x:c r="E177" s="7" t="str">
        <x:v>Arsenal</x:v>
      </x:c>
      <x:c r="F177" s="7" t="str">
        <x:v>Brighton</x:v>
      </x:c>
      <x:c r="G177" s="7" t="n">
        <x:v>7</x:v>
      </x:c>
      <x:c r="H177" s="7" t="n">
        <x:v>2</x:v>
      </x:c>
      <x:c r="I177" s="7" t="str">
        <x:v>FD_E0_2526</x:v>
      </x:c>
      <x:c r="J177" s="7" t="str">
        <x:v>https://www.football-data.co.uk/mmz4281/2526/E0.csv</x:v>
      </x:c>
      <x:c r="K177" s="8" t="n">
        <x:v>46278.70306712963</x:v>
      </x:c>
      <x:c r="L177" s="7" t="str">
        <x:v>FT90</x:v>
      </x:c>
      <x:c r="M177" s="7" t="str">
        <x:v>CSV row 174</x:v>
      </x:c>
      <x:c r="N177" s="2" t="str">
        <x:f>IF(AND(A177&lt;&gt;"",ISNUMBER(D177)),B177&amp;"|"&amp;C177&amp;"|"&amp;TEXT(D177,"yyyymmdd")&amp;"|"&amp;E177&amp;"|"&amp;F177,"")</x:f>
        <x:v>E0|2025/26|20251227|Arsenal|Brighton</x:v>
      </x:c>
      <x:c r="O177" s="2" t="str">
        <x:f>IF(A177="","",IFERROR(IF(NOT(AND(B177&lt;&gt;"",C177&lt;&gt;"",ISNUMBER(D177),D177&gt;0,E177&lt;&gt;"",F177&lt;&gt;"",E177&lt;&gt;F177,ISNUMBER(G177),ISNUMBER(H177),G177&gt;=0,H177&gt;=0,G177&lt;=100,H177&lt;=100,MOD(G177,1)=0,MOD(H177,1)=0,L177="FT90",S177&gt;0,INDEX(SourceTable[League],MAX(1,S177))=B177,INDEX(SourceTable[Season],MAX(1,S177))=C177,ISNUMBER(K177),K177=INDEX(SourceTable[Retrieved_UTC],MAX(1,S177)),J177&lt;&gt;"",M177&lt;&gt;"")),"INVALID",IF(OR(COUNTIFS('Istoric_Nativ'!$N$6:$N$405,N177,'Istoric_Nativ'!$G$6:$G$405,G177)&lt;&gt;COUNTIF('Istoric_Nativ'!$N$6:$N$405,N177),COUNTIFS('Istoric_Nativ'!$N$6:$N$405,N177,'Istoric_Nativ'!$H$6:$H$405,H177)&lt;&gt;COUNTIF('Istoric_Nativ'!$N$6:$N$405,N177)),"SOURCE CONFLICT",IF(COUNTIF($N$6:N177,N177)&gt;1,"DUPLICATE","VALID"))),"INVALID"))</x:f>
        <x:v>VALID</x:v>
      </x:c>
      <x:c r="P177" s="2" t="n">
        <x:f>IF(O177="VALID",1,0)</x:f>
        <x:v>1</x:v>
      </x:c>
      <x:c r="Q177" s="2" t="n">
        <x:f>IF(P177=1,G177+H177,0)</x:f>
        <x:v>9</x:v>
      </x:c>
      <x:c r="R177" s="2" t="n">
        <x:f>Q177^2</x:f>
        <x:v>81</x:v>
      </x:c>
      <x:c r="S177" s="2" t="n">
        <x:f>IF(A177="","",IFERROR(MATCH(I177,SourceTable[Source_ID],0),0))</x:f>
        <x:v>1</x:v>
      </x:c>
    </x:row>
    <x:row r="178" ht="21" customHeight="1">
      <x:c r="A178" s="7" t="str">
        <x:v>08a63c414b5c97c8224e</x:v>
      </x:c>
      <x:c r="B178" s="7" t="str">
        <x:v>E0</x:v>
      </x:c>
      <x:c r="C178" s="7" t="str">
        <x:v>2025/26</x:v>
      </x:c>
      <x:c r="D178" s="8" t="n">
        <x:v>46018</x:v>
      </x:c>
      <x:c r="E178" s="7" t="str">
        <x:v>Brentford</x:v>
      </x:c>
      <x:c r="F178" s="7" t="str">
        <x:v>Bournemouth</x:v>
      </x:c>
      <x:c r="G178" s="7" t="n">
        <x:v>2</x:v>
      </x:c>
      <x:c r="H178" s="7" t="n">
        <x:v>15</x:v>
      </x:c>
      <x:c r="I178" s="7" t="str">
        <x:v>FD_E0_2526</x:v>
      </x:c>
      <x:c r="J178" s="7" t="str">
        <x:v>https://www.football-data.co.uk/mmz4281/2526/E0.csv</x:v>
      </x:c>
      <x:c r="K178" s="8" t="n">
        <x:v>46278.70306712963</x:v>
      </x:c>
      <x:c r="L178" s="7" t="str">
        <x:v>FT90</x:v>
      </x:c>
      <x:c r="M178" s="7" t="str">
        <x:v>CSV row 175</x:v>
      </x:c>
      <x:c r="N178" s="2" t="str">
        <x:f>IF(AND(A178&lt;&gt;"",ISNUMBER(D178)),B178&amp;"|"&amp;C178&amp;"|"&amp;TEXT(D178,"yyyymmdd")&amp;"|"&amp;E178&amp;"|"&amp;F178,"")</x:f>
        <x:v>E0|2025/26|20251227|Brentford|Bournemouth</x:v>
      </x:c>
      <x:c r="O178" s="2" t="str">
        <x:f>IF(A178="","",IFERROR(IF(NOT(AND(B178&lt;&gt;"",C178&lt;&gt;"",ISNUMBER(D178),D178&gt;0,E178&lt;&gt;"",F178&lt;&gt;"",E178&lt;&gt;F178,ISNUMBER(G178),ISNUMBER(H178),G178&gt;=0,H178&gt;=0,G178&lt;=100,H178&lt;=100,MOD(G178,1)=0,MOD(H178,1)=0,L178="FT90",S178&gt;0,INDEX(SourceTable[League],MAX(1,S178))=B178,INDEX(SourceTable[Season],MAX(1,S178))=C178,ISNUMBER(K178),K178=INDEX(SourceTable[Retrieved_UTC],MAX(1,S178)),J178&lt;&gt;"",M178&lt;&gt;"")),"INVALID",IF(OR(COUNTIFS('Istoric_Nativ'!$N$6:$N$405,N178,'Istoric_Nativ'!$G$6:$G$405,G178)&lt;&gt;COUNTIF('Istoric_Nativ'!$N$6:$N$405,N178),COUNTIFS('Istoric_Nativ'!$N$6:$N$405,N178,'Istoric_Nativ'!$H$6:$H$405,H178)&lt;&gt;COUNTIF('Istoric_Nativ'!$N$6:$N$405,N178)),"SOURCE CONFLICT",IF(COUNTIF($N$6:N178,N178)&gt;1,"DUPLICATE","VALID"))),"INVALID"))</x:f>
        <x:v>VALID</x:v>
      </x:c>
      <x:c r="P178" s="2" t="n">
        <x:f>IF(O178="VALID",1,0)</x:f>
        <x:v>1</x:v>
      </x:c>
      <x:c r="Q178" s="2" t="n">
        <x:f>IF(P178=1,G178+H178,0)</x:f>
        <x:v>17</x:v>
      </x:c>
      <x:c r="R178" s="2" t="n">
        <x:f>Q178^2</x:f>
        <x:v>289</x:v>
      </x:c>
      <x:c r="S178" s="2" t="n">
        <x:f>IF(A178="","",IFERROR(MATCH(I178,SourceTable[Source_ID],0),0))</x:f>
        <x:v>1</x:v>
      </x:c>
    </x:row>
    <x:row r="179" ht="21" customHeight="1">
      <x:c r="A179" s="7" t="str">
        <x:v>0baf59b24cf000df3b0a</x:v>
      </x:c>
      <x:c r="B179" s="7" t="str">
        <x:v>E0</x:v>
      </x:c>
      <x:c r="C179" s="7" t="str">
        <x:v>2025/26</x:v>
      </x:c>
      <x:c r="D179" s="8" t="n">
        <x:v>46018</x:v>
      </x:c>
      <x:c r="E179" s="7" t="str">
        <x:v>Burnley</x:v>
      </x:c>
      <x:c r="F179" s="7" t="str">
        <x:v>Everton</x:v>
      </x:c>
      <x:c r="G179" s="7" t="n">
        <x:v>6</x:v>
      </x:c>
      <x:c r="H179" s="7" t="n">
        <x:v>5</x:v>
      </x:c>
      <x:c r="I179" s="7" t="str">
        <x:v>FD_E0_2526</x:v>
      </x:c>
      <x:c r="J179" s="7" t="str">
        <x:v>https://www.football-data.co.uk/mmz4281/2526/E0.csv</x:v>
      </x:c>
      <x:c r="K179" s="8" t="n">
        <x:v>46278.70306712963</x:v>
      </x:c>
      <x:c r="L179" s="7" t="str">
        <x:v>FT90</x:v>
      </x:c>
      <x:c r="M179" s="7" t="str">
        <x:v>CSV row 176</x:v>
      </x:c>
      <x:c r="N179" s="2" t="str">
        <x:f>IF(AND(A179&lt;&gt;"",ISNUMBER(D179)),B179&amp;"|"&amp;C179&amp;"|"&amp;TEXT(D179,"yyyymmdd")&amp;"|"&amp;E179&amp;"|"&amp;F179,"")</x:f>
        <x:v>E0|2025/26|20251227|Burnley|Everton</x:v>
      </x:c>
      <x:c r="O179" s="2" t="str">
        <x:f>IF(A179="","",IFERROR(IF(NOT(AND(B179&lt;&gt;"",C179&lt;&gt;"",ISNUMBER(D179),D179&gt;0,E179&lt;&gt;"",F179&lt;&gt;"",E179&lt;&gt;F179,ISNUMBER(G179),ISNUMBER(H179),G179&gt;=0,H179&gt;=0,G179&lt;=100,H179&lt;=100,MOD(G179,1)=0,MOD(H179,1)=0,L179="FT90",S179&gt;0,INDEX(SourceTable[League],MAX(1,S179))=B179,INDEX(SourceTable[Season],MAX(1,S179))=C179,ISNUMBER(K179),K179=INDEX(SourceTable[Retrieved_UTC],MAX(1,S179)),J179&lt;&gt;"",M179&lt;&gt;"")),"INVALID",IF(OR(COUNTIFS('Istoric_Nativ'!$N$6:$N$405,N179,'Istoric_Nativ'!$G$6:$G$405,G179)&lt;&gt;COUNTIF('Istoric_Nativ'!$N$6:$N$405,N179),COUNTIFS('Istoric_Nativ'!$N$6:$N$405,N179,'Istoric_Nativ'!$H$6:$H$405,H179)&lt;&gt;COUNTIF('Istoric_Nativ'!$N$6:$N$405,N179)),"SOURCE CONFLICT",IF(COUNTIF($N$6:N179,N179)&gt;1,"DUPLICATE","VALID"))),"INVALID"))</x:f>
        <x:v>VALID</x:v>
      </x:c>
      <x:c r="P179" s="2" t="n">
        <x:f>IF(O179="VALID",1,0)</x:f>
        <x:v>1</x:v>
      </x:c>
      <x:c r="Q179" s="2" t="n">
        <x:f>IF(P179=1,G179+H179,0)</x:f>
        <x:v>11</x:v>
      </x:c>
      <x:c r="R179" s="2" t="n">
        <x:f>Q179^2</x:f>
        <x:v>121</x:v>
      </x:c>
      <x:c r="S179" s="2" t="n">
        <x:f>IF(A179="","",IFERROR(MATCH(I179,SourceTable[Source_ID],0),0))</x:f>
        <x:v>1</x:v>
      </x:c>
    </x:row>
    <x:row r="180" ht="21" customHeight="1">
      <x:c r="A180" s="7" t="str">
        <x:v>d86784426d0177f5d0c2</x:v>
      </x:c>
      <x:c r="B180" s="7" t="str">
        <x:v>E0</x:v>
      </x:c>
      <x:c r="C180" s="7" t="str">
        <x:v>2025/26</x:v>
      </x:c>
      <x:c r="D180" s="8" t="n">
        <x:v>46018</x:v>
      </x:c>
      <x:c r="E180" s="7" t="str">
        <x:v>Chelsea</x:v>
      </x:c>
      <x:c r="F180" s="7" t="str">
        <x:v>Aston Villa</x:v>
      </x:c>
      <x:c r="G180" s="7" t="n">
        <x:v>6</x:v>
      </x:c>
      <x:c r="H180" s="7" t="n">
        <x:v>7</x:v>
      </x:c>
      <x:c r="I180" s="7" t="str">
        <x:v>FD_E0_2526</x:v>
      </x:c>
      <x:c r="J180" s="7" t="str">
        <x:v>https://www.football-data.co.uk/mmz4281/2526/E0.csv</x:v>
      </x:c>
      <x:c r="K180" s="8" t="n">
        <x:v>46278.70306712963</x:v>
      </x:c>
      <x:c r="L180" s="7" t="str">
        <x:v>FT90</x:v>
      </x:c>
      <x:c r="M180" s="7" t="str">
        <x:v>CSV row 179</x:v>
      </x:c>
      <x:c r="N180" s="2" t="str">
        <x:f>IF(AND(A180&lt;&gt;"",ISNUMBER(D180)),B180&amp;"|"&amp;C180&amp;"|"&amp;TEXT(D180,"yyyymmdd")&amp;"|"&amp;E180&amp;"|"&amp;F180,"")</x:f>
        <x:v>E0|2025/26|20251227|Chelsea|Aston Villa</x:v>
      </x:c>
      <x:c r="O180" s="2" t="str">
        <x:f>IF(A180="","",IFERROR(IF(NOT(AND(B180&lt;&gt;"",C180&lt;&gt;"",ISNUMBER(D180),D180&gt;0,E180&lt;&gt;"",F180&lt;&gt;"",E180&lt;&gt;F180,ISNUMBER(G180),ISNUMBER(H180),G180&gt;=0,H180&gt;=0,G180&lt;=100,H180&lt;=100,MOD(G180,1)=0,MOD(H180,1)=0,L180="FT90",S180&gt;0,INDEX(SourceTable[League],MAX(1,S180))=B180,INDEX(SourceTable[Season],MAX(1,S180))=C180,ISNUMBER(K180),K180=INDEX(SourceTable[Retrieved_UTC],MAX(1,S180)),J180&lt;&gt;"",M180&lt;&gt;"")),"INVALID",IF(OR(COUNTIFS('Istoric_Nativ'!$N$6:$N$405,N180,'Istoric_Nativ'!$G$6:$G$405,G180)&lt;&gt;COUNTIF('Istoric_Nativ'!$N$6:$N$405,N180),COUNTIFS('Istoric_Nativ'!$N$6:$N$405,N180,'Istoric_Nativ'!$H$6:$H$405,H180)&lt;&gt;COUNTIF('Istoric_Nativ'!$N$6:$N$405,N180)),"SOURCE CONFLICT",IF(COUNTIF($N$6:N180,N180)&gt;1,"DUPLICATE","VALID"))),"INVALID"))</x:f>
        <x:v>VALID</x:v>
      </x:c>
      <x:c r="P180" s="2" t="n">
        <x:f>IF(O180="VALID",1,0)</x:f>
        <x:v>1</x:v>
      </x:c>
      <x:c r="Q180" s="2" t="n">
        <x:f>IF(P180=1,G180+H180,0)</x:f>
        <x:v>13</x:v>
      </x:c>
      <x:c r="R180" s="2" t="n">
        <x:f>Q180^2</x:f>
        <x:v>169</x:v>
      </x:c>
      <x:c r="S180" s="2" t="n">
        <x:f>IF(A180="","",IFERROR(MATCH(I180,SourceTable[Source_ID],0),0))</x:f>
        <x:v>1</x:v>
      </x:c>
    </x:row>
    <x:row r="181" ht="21" customHeight="1">
      <x:c r="A181" s="7" t="str">
        <x:v>89db49b76265388aba0a</x:v>
      </x:c>
      <x:c r="B181" s="7" t="str">
        <x:v>E0</x:v>
      </x:c>
      <x:c r="C181" s="7" t="str">
        <x:v>2025/26</x:v>
      </x:c>
      <x:c r="D181" s="8" t="n">
        <x:v>46018</x:v>
      </x:c>
      <x:c r="E181" s="7" t="str">
        <x:v>Liverpool</x:v>
      </x:c>
      <x:c r="F181" s="7" t="str">
        <x:v>Wolves</x:v>
      </x:c>
      <x:c r="G181" s="7" t="n">
        <x:v>6</x:v>
      </x:c>
      <x:c r="H181" s="7" t="n">
        <x:v>4</x:v>
      </x:c>
      <x:c r="I181" s="7" t="str">
        <x:v>FD_E0_2526</x:v>
      </x:c>
      <x:c r="J181" s="7" t="str">
        <x:v>https://www.football-data.co.uk/mmz4281/2526/E0.csv</x:v>
      </x:c>
      <x:c r="K181" s="8" t="n">
        <x:v>46278.70306712963</x:v>
      </x:c>
      <x:c r="L181" s="7" t="str">
        <x:v>FT90</x:v>
      </x:c>
      <x:c r="M181" s="7" t="str">
        <x:v>CSV row 177</x:v>
      </x:c>
      <x:c r="N181" s="2" t="str">
        <x:f>IF(AND(A181&lt;&gt;"",ISNUMBER(D181)),B181&amp;"|"&amp;C181&amp;"|"&amp;TEXT(D181,"yyyymmdd")&amp;"|"&amp;E181&amp;"|"&amp;F181,"")</x:f>
        <x:v>E0|2025/26|20251227|Liverpool|Wolves</x:v>
      </x:c>
      <x:c r="O181" s="2" t="str">
        <x:f>IF(A181="","",IFERROR(IF(NOT(AND(B181&lt;&gt;"",C181&lt;&gt;"",ISNUMBER(D181),D181&gt;0,E181&lt;&gt;"",F181&lt;&gt;"",E181&lt;&gt;F181,ISNUMBER(G181),ISNUMBER(H181),G181&gt;=0,H181&gt;=0,G181&lt;=100,H181&lt;=100,MOD(G181,1)=0,MOD(H181,1)=0,L181="FT90",S181&gt;0,INDEX(SourceTable[League],MAX(1,S181))=B181,INDEX(SourceTable[Season],MAX(1,S181))=C181,ISNUMBER(K181),K181=INDEX(SourceTable[Retrieved_UTC],MAX(1,S181)),J181&lt;&gt;"",M181&lt;&gt;"")),"INVALID",IF(OR(COUNTIFS('Istoric_Nativ'!$N$6:$N$405,N181,'Istoric_Nativ'!$G$6:$G$405,G181)&lt;&gt;COUNTIF('Istoric_Nativ'!$N$6:$N$405,N181),COUNTIFS('Istoric_Nativ'!$N$6:$N$405,N181,'Istoric_Nativ'!$H$6:$H$405,H181)&lt;&gt;COUNTIF('Istoric_Nativ'!$N$6:$N$405,N181)),"SOURCE CONFLICT",IF(COUNTIF($N$6:N181,N181)&gt;1,"DUPLICATE","VALID"))),"INVALID"))</x:f>
        <x:v>VALID</x:v>
      </x:c>
      <x:c r="P181" s="2" t="n">
        <x:f>IF(O181="VALID",1,0)</x:f>
        <x:v>1</x:v>
      </x:c>
      <x:c r="Q181" s="2" t="n">
        <x:f>IF(P181=1,G181+H181,0)</x:f>
        <x:v>10</x:v>
      </x:c>
      <x:c r="R181" s="2" t="n">
        <x:f>Q181^2</x:f>
        <x:v>100</x:v>
      </x:c>
      <x:c r="S181" s="2" t="n">
        <x:f>IF(A181="","",IFERROR(MATCH(I181,SourceTable[Source_ID],0),0))</x:f>
        <x:v>1</x:v>
      </x:c>
    </x:row>
    <x:row r="182" ht="21" customHeight="1">
      <x:c r="A182" s="7" t="str">
        <x:v>d14d57e89ceef7fc64df</x:v>
      </x:c>
      <x:c r="B182" s="7" t="str">
        <x:v>E0</x:v>
      </x:c>
      <x:c r="C182" s="7" t="str">
        <x:v>2025/26</x:v>
      </x:c>
      <x:c r="D182" s="8" t="n">
        <x:v>46018</x:v>
      </x:c>
      <x:c r="E182" s="7" t="str">
        <x:v>Nott'm Forest</x:v>
      </x:c>
      <x:c r="F182" s="7" t="str">
        <x:v>Man City</x:v>
      </x:c>
      <x:c r="G182" s="7" t="n">
        <x:v>5</x:v>
      </x:c>
      <x:c r="H182" s="7" t="n">
        <x:v>5</x:v>
      </x:c>
      <x:c r="I182" s="7" t="str">
        <x:v>FD_E0_2526</x:v>
      </x:c>
      <x:c r="J182" s="7" t="str">
        <x:v>https://www.football-data.co.uk/mmz4281/2526/E0.csv</x:v>
      </x:c>
      <x:c r="K182" s="8" t="n">
        <x:v>46278.70306712963</x:v>
      </x:c>
      <x:c r="L182" s="7" t="str">
        <x:v>FT90</x:v>
      </x:c>
      <x:c r="M182" s="7" t="str">
        <x:v>CSV row 173</x:v>
      </x:c>
      <x:c r="N182" s="2" t="str">
        <x:f>IF(AND(A182&lt;&gt;"",ISNUMBER(D182)),B182&amp;"|"&amp;C182&amp;"|"&amp;TEXT(D182,"yyyymmdd")&amp;"|"&amp;E182&amp;"|"&amp;F182,"")</x:f>
        <x:v>E0|2025/26|20251227|Nott'm Forest|Man City</x:v>
      </x:c>
      <x:c r="O182" s="2" t="str">
        <x:f>IF(A182="","",IFERROR(IF(NOT(AND(B182&lt;&gt;"",C182&lt;&gt;"",ISNUMBER(D182),D182&gt;0,E182&lt;&gt;"",F182&lt;&gt;"",E182&lt;&gt;F182,ISNUMBER(G182),ISNUMBER(H182),G182&gt;=0,H182&gt;=0,G182&lt;=100,H182&lt;=100,MOD(G182,1)=0,MOD(H182,1)=0,L182="FT90",S182&gt;0,INDEX(SourceTable[League],MAX(1,S182))=B182,INDEX(SourceTable[Season],MAX(1,S182))=C182,ISNUMBER(K182),K182=INDEX(SourceTable[Retrieved_UTC],MAX(1,S182)),J182&lt;&gt;"",M182&lt;&gt;"")),"INVALID",IF(OR(COUNTIFS('Istoric_Nativ'!$N$6:$N$405,N182,'Istoric_Nativ'!$G$6:$G$405,G182)&lt;&gt;COUNTIF('Istoric_Nativ'!$N$6:$N$405,N182),COUNTIFS('Istoric_Nativ'!$N$6:$N$405,N182,'Istoric_Nativ'!$H$6:$H$405,H182)&lt;&gt;COUNTIF('Istoric_Nativ'!$N$6:$N$405,N182)),"SOURCE CONFLICT",IF(COUNTIF($N$6:N182,N182)&gt;1,"DUPLICATE","VALID"))),"INVALID"))</x:f>
        <x:v>VALID</x:v>
      </x:c>
      <x:c r="P182" s="2" t="n">
        <x:f>IF(O182="VALID",1,0)</x:f>
        <x:v>1</x:v>
      </x:c>
      <x:c r="Q182" s="2" t="n">
        <x:f>IF(P182=1,G182+H182,0)</x:f>
        <x:v>10</x:v>
      </x:c>
      <x:c r="R182" s="2" t="n">
        <x:f>Q182^2</x:f>
        <x:v>100</x:v>
      </x:c>
      <x:c r="S182" s="2" t="n">
        <x:f>IF(A182="","",IFERROR(MATCH(I182,SourceTable[Source_ID],0),0))</x:f>
        <x:v>1</x:v>
      </x:c>
    </x:row>
    <x:row r="183" ht="21" customHeight="1">
      <x:c r="A183" s="7" t="str">
        <x:v>c07a73b57efbd6fa1261</x:v>
      </x:c>
      <x:c r="B183" s="7" t="str">
        <x:v>E0</x:v>
      </x:c>
      <x:c r="C183" s="7" t="str">
        <x:v>2025/26</x:v>
      </x:c>
      <x:c r="D183" s="8" t="n">
        <x:v>46018</x:v>
      </x:c>
      <x:c r="E183" s="7" t="str">
        <x:v>West Ham</x:v>
      </x:c>
      <x:c r="F183" s="7" t="str">
        <x:v>Fulham</x:v>
      </x:c>
      <x:c r="G183" s="7" t="n">
        <x:v>5</x:v>
      </x:c>
      <x:c r="H183" s="7" t="n">
        <x:v>4</x:v>
      </x:c>
      <x:c r="I183" s="7" t="str">
        <x:v>FD_E0_2526</x:v>
      </x:c>
      <x:c r="J183" s="7" t="str">
        <x:v>https://www.football-data.co.uk/mmz4281/2526/E0.csv</x:v>
      </x:c>
      <x:c r="K183" s="8" t="n">
        <x:v>46278.70306712963</x:v>
      </x:c>
      <x:c r="L183" s="7" t="str">
        <x:v>FT90</x:v>
      </x:c>
      <x:c r="M183" s="7" t="str">
        <x:v>CSV row 178</x:v>
      </x:c>
      <x:c r="N183" s="2" t="str">
        <x:f>IF(AND(A183&lt;&gt;"",ISNUMBER(D183)),B183&amp;"|"&amp;C183&amp;"|"&amp;TEXT(D183,"yyyymmdd")&amp;"|"&amp;E183&amp;"|"&amp;F183,"")</x:f>
        <x:v>E0|2025/26|20251227|West Ham|Fulham</x:v>
      </x:c>
      <x:c r="O183" s="2" t="str">
        <x:f>IF(A183="","",IFERROR(IF(NOT(AND(B183&lt;&gt;"",C183&lt;&gt;"",ISNUMBER(D183),D183&gt;0,E183&lt;&gt;"",F183&lt;&gt;"",E183&lt;&gt;F183,ISNUMBER(G183),ISNUMBER(H183),G183&gt;=0,H183&gt;=0,G183&lt;=100,H183&lt;=100,MOD(G183,1)=0,MOD(H183,1)=0,L183="FT90",S183&gt;0,INDEX(SourceTable[League],MAX(1,S183))=B183,INDEX(SourceTable[Season],MAX(1,S183))=C183,ISNUMBER(K183),K183=INDEX(SourceTable[Retrieved_UTC],MAX(1,S183)),J183&lt;&gt;"",M183&lt;&gt;"")),"INVALID",IF(OR(COUNTIFS('Istoric_Nativ'!$N$6:$N$405,N183,'Istoric_Nativ'!$G$6:$G$405,G183)&lt;&gt;COUNTIF('Istoric_Nativ'!$N$6:$N$405,N183),COUNTIFS('Istoric_Nativ'!$N$6:$N$405,N183,'Istoric_Nativ'!$H$6:$H$405,H183)&lt;&gt;COUNTIF('Istoric_Nativ'!$N$6:$N$405,N183)),"SOURCE CONFLICT",IF(COUNTIF($N$6:N183,N183)&gt;1,"DUPLICATE","VALID"))),"INVALID"))</x:f>
        <x:v>VALID</x:v>
      </x:c>
      <x:c r="P183" s="2" t="n">
        <x:f>IF(O183="VALID",1,0)</x:f>
        <x:v>1</x:v>
      </x:c>
      <x:c r="Q183" s="2" t="n">
        <x:f>IF(P183=1,G183+H183,0)</x:f>
        <x:v>9</x:v>
      </x:c>
      <x:c r="R183" s="2" t="n">
        <x:f>Q183^2</x:f>
        <x:v>81</x:v>
      </x:c>
      <x:c r="S183" s="2" t="n">
        <x:f>IF(A183="","",IFERROR(MATCH(I183,SourceTable[Source_ID],0),0))</x:f>
        <x:v>1</x:v>
      </x:c>
    </x:row>
    <x:row r="184" ht="21" customHeight="1">
      <x:c r="A184" s="7" t="str">
        <x:v>69f9665e344466360f39</x:v>
      </x:c>
      <x:c r="B184" s="7" t="str">
        <x:v>E0</x:v>
      </x:c>
      <x:c r="C184" s="7" t="str">
        <x:v>2025/26</x:v>
      </x:c>
      <x:c r="D184" s="8" t="n">
        <x:v>46019</x:v>
      </x:c>
      <x:c r="E184" s="7" t="str">
        <x:v>Crystal Palace</x:v>
      </x:c>
      <x:c r="F184" s="7" t="str">
        <x:v>Tottenham</x:v>
      </x:c>
      <x:c r="G184" s="7" t="n">
        <x:v>3</x:v>
      </x:c>
      <x:c r="H184" s="7" t="n">
        <x:v>2</x:v>
      </x:c>
      <x:c r="I184" s="7" t="str">
        <x:v>FD_E0_2526</x:v>
      </x:c>
      <x:c r="J184" s="7" t="str">
        <x:v>https://www.football-data.co.uk/mmz4281/2526/E0.csv</x:v>
      </x:c>
      <x:c r="K184" s="8" t="n">
        <x:v>46278.70306712963</x:v>
      </x:c>
      <x:c r="L184" s="7" t="str">
        <x:v>FT90</x:v>
      </x:c>
      <x:c r="M184" s="7" t="str">
        <x:v>CSV row 181</x:v>
      </x:c>
      <x:c r="N184" s="2" t="str">
        <x:f>IF(AND(A184&lt;&gt;"",ISNUMBER(D184)),B184&amp;"|"&amp;C184&amp;"|"&amp;TEXT(D184,"yyyymmdd")&amp;"|"&amp;E184&amp;"|"&amp;F184,"")</x:f>
        <x:v>E0|2025/26|20251228|Crystal Palace|Tottenham</x:v>
      </x:c>
      <x:c r="O184" s="2" t="str">
        <x:f>IF(A184="","",IFERROR(IF(NOT(AND(B184&lt;&gt;"",C184&lt;&gt;"",ISNUMBER(D184),D184&gt;0,E184&lt;&gt;"",F184&lt;&gt;"",E184&lt;&gt;F184,ISNUMBER(G184),ISNUMBER(H184),G184&gt;=0,H184&gt;=0,G184&lt;=100,H184&lt;=100,MOD(G184,1)=0,MOD(H184,1)=0,L184="FT90",S184&gt;0,INDEX(SourceTable[League],MAX(1,S184))=B184,INDEX(SourceTable[Season],MAX(1,S184))=C184,ISNUMBER(K184),K184=INDEX(SourceTable[Retrieved_UTC],MAX(1,S184)),J184&lt;&gt;"",M184&lt;&gt;"")),"INVALID",IF(OR(COUNTIFS('Istoric_Nativ'!$N$6:$N$405,N184,'Istoric_Nativ'!$G$6:$G$405,G184)&lt;&gt;COUNTIF('Istoric_Nativ'!$N$6:$N$405,N184),COUNTIFS('Istoric_Nativ'!$N$6:$N$405,N184,'Istoric_Nativ'!$H$6:$H$405,H184)&lt;&gt;COUNTIF('Istoric_Nativ'!$N$6:$N$405,N184)),"SOURCE CONFLICT",IF(COUNTIF($N$6:N184,N184)&gt;1,"DUPLICATE","VALID"))),"INVALID"))</x:f>
        <x:v>VALID</x:v>
      </x:c>
      <x:c r="P184" s="2" t="n">
        <x:f>IF(O184="VALID",1,0)</x:f>
        <x:v>1</x:v>
      </x:c>
      <x:c r="Q184" s="2" t="n">
        <x:f>IF(P184=1,G184+H184,0)</x:f>
        <x:v>5</x:v>
      </x:c>
      <x:c r="R184" s="2" t="n">
        <x:f>Q184^2</x:f>
        <x:v>25</x:v>
      </x:c>
      <x:c r="S184" s="2" t="n">
        <x:f>IF(A184="","",IFERROR(MATCH(I184,SourceTable[Source_ID],0),0))</x:f>
        <x:v>1</x:v>
      </x:c>
    </x:row>
    <x:row r="185" ht="21" customHeight="1">
      <x:c r="A185" s="7" t="str">
        <x:v>58a97b8c6cd265440b6a</x:v>
      </x:c>
      <x:c r="B185" s="7" t="str">
        <x:v>E0</x:v>
      </x:c>
      <x:c r="C185" s="7" t="str">
        <x:v>2025/26</x:v>
      </x:c>
      <x:c r="D185" s="8" t="n">
        <x:v>46019</x:v>
      </x:c>
      <x:c r="E185" s="7" t="str">
        <x:v>Sunderland</x:v>
      </x:c>
      <x:c r="F185" s="7" t="str">
        <x:v>Leeds</x:v>
      </x:c>
      <x:c r="G185" s="7" t="n">
        <x:v>3</x:v>
      </x:c>
      <x:c r="H185" s="7" t="n">
        <x:v>9</x:v>
      </x:c>
      <x:c r="I185" s="7" t="str">
        <x:v>FD_E0_2526</x:v>
      </x:c>
      <x:c r="J185" s="7" t="str">
        <x:v>https://www.football-data.co.uk/mmz4281/2526/E0.csv</x:v>
      </x:c>
      <x:c r="K185" s="8" t="n">
        <x:v>46278.70306712963</x:v>
      </x:c>
      <x:c r="L185" s="7" t="str">
        <x:v>FT90</x:v>
      </x:c>
      <x:c r="M185" s="7" t="str">
        <x:v>CSV row 180</x:v>
      </x:c>
      <x:c r="N185" s="2" t="str">
        <x:f>IF(AND(A185&lt;&gt;"",ISNUMBER(D185)),B185&amp;"|"&amp;C185&amp;"|"&amp;TEXT(D185,"yyyymmdd")&amp;"|"&amp;E185&amp;"|"&amp;F185,"")</x:f>
        <x:v>E0|2025/26|20251228|Sunderland|Leeds</x:v>
      </x:c>
      <x:c r="O185" s="2" t="str">
        <x:f>IF(A185="","",IFERROR(IF(NOT(AND(B185&lt;&gt;"",C185&lt;&gt;"",ISNUMBER(D185),D185&gt;0,E185&lt;&gt;"",F185&lt;&gt;"",E185&lt;&gt;F185,ISNUMBER(G185),ISNUMBER(H185),G185&gt;=0,H185&gt;=0,G185&lt;=100,H185&lt;=100,MOD(G185,1)=0,MOD(H185,1)=0,L185="FT90",S185&gt;0,INDEX(SourceTable[League],MAX(1,S185))=B185,INDEX(SourceTable[Season],MAX(1,S185))=C185,ISNUMBER(K185),K185=INDEX(SourceTable[Retrieved_UTC],MAX(1,S185)),J185&lt;&gt;"",M185&lt;&gt;"")),"INVALID",IF(OR(COUNTIFS('Istoric_Nativ'!$N$6:$N$405,N185,'Istoric_Nativ'!$G$6:$G$405,G185)&lt;&gt;COUNTIF('Istoric_Nativ'!$N$6:$N$405,N185),COUNTIFS('Istoric_Nativ'!$N$6:$N$405,N185,'Istoric_Nativ'!$H$6:$H$405,H185)&lt;&gt;COUNTIF('Istoric_Nativ'!$N$6:$N$405,N185)),"SOURCE CONFLICT",IF(COUNTIF($N$6:N185,N185)&gt;1,"DUPLICATE","VALID"))),"INVALID"))</x:f>
        <x:v>VALID</x:v>
      </x:c>
      <x:c r="P185" s="2" t="n">
        <x:f>IF(O185="VALID",1,0)</x:f>
        <x:v>1</x:v>
      </x:c>
      <x:c r="Q185" s="2" t="n">
        <x:f>IF(P185=1,G185+H185,0)</x:f>
        <x:v>12</x:v>
      </x:c>
      <x:c r="R185" s="2" t="n">
        <x:f>Q185^2</x:f>
        <x:v>144</x:v>
      </x:c>
      <x:c r="S185" s="2" t="n">
        <x:f>IF(A185="","",IFERROR(MATCH(I185,SourceTable[Source_ID],0),0))</x:f>
        <x:v>1</x:v>
      </x:c>
    </x:row>
    <x:row r="186" ht="21" customHeight="1">
      <x:c r="A186" s="7" t="str">
        <x:v>e6ee951e85e5f7ab5b94</x:v>
      </x:c>
      <x:c r="B186" s="7" t="str">
        <x:v>E0</x:v>
      </x:c>
      <x:c r="C186" s="7" t="str">
        <x:v>2025/26</x:v>
      </x:c>
      <x:c r="D186" s="8" t="n">
        <x:v>46021</x:v>
      </x:c>
      <x:c r="E186" s="7" t="str">
        <x:v>Arsenal</x:v>
      </x:c>
      <x:c r="F186" s="7" t="str">
        <x:v>Aston Villa</x:v>
      </x:c>
      <x:c r="G186" s="7" t="n">
        <x:v>3</x:v>
      </x:c>
      <x:c r="H186" s="7" t="n">
        <x:v>3</x:v>
      </x:c>
      <x:c r="I186" s="7" t="str">
        <x:v>FD_E0_2526</x:v>
      </x:c>
      <x:c r="J186" s="7" t="str">
        <x:v>https://www.football-data.co.uk/mmz4281/2526/E0.csv</x:v>
      </x:c>
      <x:c r="K186" s="8" t="n">
        <x:v>46278.70306712963</x:v>
      </x:c>
      <x:c r="L186" s="7" t="str">
        <x:v>FT90</x:v>
      </x:c>
      <x:c r="M186" s="7" t="str">
        <x:v>CSV row 186</x:v>
      </x:c>
      <x:c r="N186" s="2" t="str">
        <x:f>IF(AND(A186&lt;&gt;"",ISNUMBER(D186)),B186&amp;"|"&amp;C186&amp;"|"&amp;TEXT(D186,"yyyymmdd")&amp;"|"&amp;E186&amp;"|"&amp;F186,"")</x:f>
        <x:v>E0|2025/26|20251230|Arsenal|Aston Villa</x:v>
      </x:c>
      <x:c r="O186" s="2" t="str">
        <x:f>IF(A186="","",IFERROR(IF(NOT(AND(B186&lt;&gt;"",C186&lt;&gt;"",ISNUMBER(D186),D186&gt;0,E186&lt;&gt;"",F186&lt;&gt;"",E186&lt;&gt;F186,ISNUMBER(G186),ISNUMBER(H186),G186&gt;=0,H186&gt;=0,G186&lt;=100,H186&lt;=100,MOD(G186,1)=0,MOD(H186,1)=0,L186="FT90",S186&gt;0,INDEX(SourceTable[League],MAX(1,S186))=B186,INDEX(SourceTable[Season],MAX(1,S186))=C186,ISNUMBER(K186),K186=INDEX(SourceTable[Retrieved_UTC],MAX(1,S186)),J186&lt;&gt;"",M186&lt;&gt;"")),"INVALID",IF(OR(COUNTIFS('Istoric_Nativ'!$N$6:$N$405,N186,'Istoric_Nativ'!$G$6:$G$405,G186)&lt;&gt;COUNTIF('Istoric_Nativ'!$N$6:$N$405,N186),COUNTIFS('Istoric_Nativ'!$N$6:$N$405,N186,'Istoric_Nativ'!$H$6:$H$405,H186)&lt;&gt;COUNTIF('Istoric_Nativ'!$N$6:$N$405,N186)),"SOURCE CONFLICT",IF(COUNTIF($N$6:N186,N186)&gt;1,"DUPLICATE","VALID"))),"INVALID"))</x:f>
        <x:v>VALID</x:v>
      </x:c>
      <x:c r="P186" s="2" t="n">
        <x:f>IF(O186="VALID",1,0)</x:f>
        <x:v>1</x:v>
      </x:c>
      <x:c r="Q186" s="2" t="n">
        <x:f>IF(P186=1,G186+H186,0)</x:f>
        <x:v>6</x:v>
      </x:c>
      <x:c r="R186" s="2" t="n">
        <x:f>Q186^2</x:f>
        <x:v>36</x:v>
      </x:c>
      <x:c r="S186" s="2" t="n">
        <x:f>IF(A186="","",IFERROR(MATCH(I186,SourceTable[Source_ID],0),0))</x:f>
        <x:v>1</x:v>
      </x:c>
    </x:row>
    <x:row r="187" ht="21" customHeight="1">
      <x:c r="A187" s="7" t="str">
        <x:v>b9dce91e8114df00ce99</x:v>
      </x:c>
      <x:c r="B187" s="7" t="str">
        <x:v>E0</x:v>
      </x:c>
      <x:c r="C187" s="7" t="str">
        <x:v>2025/26</x:v>
      </x:c>
      <x:c r="D187" s="8" t="n">
        <x:v>46021</x:v>
      </x:c>
      <x:c r="E187" s="7" t="str">
        <x:v>Burnley</x:v>
      </x:c>
      <x:c r="F187" s="7" t="str">
        <x:v>Newcastle</x:v>
      </x:c>
      <x:c r="G187" s="7" t="n">
        <x:v>3</x:v>
      </x:c>
      <x:c r="H187" s="7" t="n">
        <x:v>4</x:v>
      </x:c>
      <x:c r="I187" s="7" t="str">
        <x:v>FD_E0_2526</x:v>
      </x:c>
      <x:c r="J187" s="7" t="str">
        <x:v>https://www.football-data.co.uk/mmz4281/2526/E0.csv</x:v>
      </x:c>
      <x:c r="K187" s="8" t="n">
        <x:v>46278.70306712963</x:v>
      </x:c>
      <x:c r="L187" s="7" t="str">
        <x:v>FT90</x:v>
      </x:c>
      <x:c r="M187" s="7" t="str">
        <x:v>CSV row 182</x:v>
      </x:c>
      <x:c r="N187" s="2" t="str">
        <x:f>IF(AND(A187&lt;&gt;"",ISNUMBER(D187)),B187&amp;"|"&amp;C187&amp;"|"&amp;TEXT(D187,"yyyymmdd")&amp;"|"&amp;E187&amp;"|"&amp;F187,"")</x:f>
        <x:v>E0|2025/26|20251230|Burnley|Newcastle</x:v>
      </x:c>
      <x:c r="O187" s="2" t="str">
        <x:f>IF(A187="","",IFERROR(IF(NOT(AND(B187&lt;&gt;"",C187&lt;&gt;"",ISNUMBER(D187),D187&gt;0,E187&lt;&gt;"",F187&lt;&gt;"",E187&lt;&gt;F187,ISNUMBER(G187),ISNUMBER(H187),G187&gt;=0,H187&gt;=0,G187&lt;=100,H187&lt;=100,MOD(G187,1)=0,MOD(H187,1)=0,L187="FT90",S187&gt;0,INDEX(SourceTable[League],MAX(1,S187))=B187,INDEX(SourceTable[Season],MAX(1,S187))=C187,ISNUMBER(K187),K187=INDEX(SourceTable[Retrieved_UTC],MAX(1,S187)),J187&lt;&gt;"",M187&lt;&gt;"")),"INVALID",IF(OR(COUNTIFS('Istoric_Nativ'!$N$6:$N$405,N187,'Istoric_Nativ'!$G$6:$G$405,G187)&lt;&gt;COUNTIF('Istoric_Nativ'!$N$6:$N$405,N187),COUNTIFS('Istoric_Nativ'!$N$6:$N$405,N187,'Istoric_Nativ'!$H$6:$H$405,H187)&lt;&gt;COUNTIF('Istoric_Nativ'!$N$6:$N$405,N187)),"SOURCE CONFLICT",IF(COUNTIF($N$6:N187,N187)&gt;1,"DUPLICATE","VALID"))),"INVALID"))</x:f>
        <x:v>VALID</x:v>
      </x:c>
      <x:c r="P187" s="2" t="n">
        <x:f>IF(O187="VALID",1,0)</x:f>
        <x:v>1</x:v>
      </x:c>
      <x:c r="Q187" s="2" t="n">
        <x:f>IF(P187=1,G187+H187,0)</x:f>
        <x:v>7</x:v>
      </x:c>
      <x:c r="R187" s="2" t="n">
        <x:f>Q187^2</x:f>
        <x:v>49</x:v>
      </x:c>
      <x:c r="S187" s="2" t="n">
        <x:f>IF(A187="","",IFERROR(MATCH(I187,SourceTable[Source_ID],0),0))</x:f>
        <x:v>1</x:v>
      </x:c>
    </x:row>
    <x:row r="188" ht="21" customHeight="1">
      <x:c r="A188" s="7" t="str">
        <x:v>2fc901c8ca5ed75abd37</x:v>
      </x:c>
      <x:c r="B188" s="7" t="str">
        <x:v>E0</x:v>
      </x:c>
      <x:c r="C188" s="7" t="str">
        <x:v>2025/26</x:v>
      </x:c>
      <x:c r="D188" s="8" t="n">
        <x:v>46021</x:v>
      </x:c>
      <x:c r="E188" s="7" t="str">
        <x:v>Chelsea</x:v>
      </x:c>
      <x:c r="F188" s="7" t="str">
        <x:v>Bournemouth</x:v>
      </x:c>
      <x:c r="G188" s="7" t="n">
        <x:v>12</x:v>
      </x:c>
      <x:c r="H188" s="7" t="n">
        <x:v>3</x:v>
      </x:c>
      <x:c r="I188" s="7" t="str">
        <x:v>FD_E0_2526</x:v>
      </x:c>
      <x:c r="J188" s="7" t="str">
        <x:v>https://www.football-data.co.uk/mmz4281/2526/E0.csv</x:v>
      </x:c>
      <x:c r="K188" s="8" t="n">
        <x:v>46278.70306712963</x:v>
      </x:c>
      <x:c r="L188" s="7" t="str">
        <x:v>FT90</x:v>
      </x:c>
      <x:c r="M188" s="7" t="str">
        <x:v>CSV row 183</x:v>
      </x:c>
      <x:c r="N188" s="2" t="str">
        <x:f>IF(AND(A188&lt;&gt;"",ISNUMBER(D188)),B188&amp;"|"&amp;C188&amp;"|"&amp;TEXT(D188,"yyyymmdd")&amp;"|"&amp;E188&amp;"|"&amp;F188,"")</x:f>
        <x:v>E0|2025/26|20251230|Chelsea|Bournemouth</x:v>
      </x:c>
      <x:c r="O188" s="2" t="str">
        <x:f>IF(A188="","",IFERROR(IF(NOT(AND(B188&lt;&gt;"",C188&lt;&gt;"",ISNUMBER(D188),D188&gt;0,E188&lt;&gt;"",F188&lt;&gt;"",E188&lt;&gt;F188,ISNUMBER(G188),ISNUMBER(H188),G188&gt;=0,H188&gt;=0,G188&lt;=100,H188&lt;=100,MOD(G188,1)=0,MOD(H188,1)=0,L188="FT90",S188&gt;0,INDEX(SourceTable[League],MAX(1,S188))=B188,INDEX(SourceTable[Season],MAX(1,S188))=C188,ISNUMBER(K188),K188=INDEX(SourceTable[Retrieved_UTC],MAX(1,S188)),J188&lt;&gt;"",M188&lt;&gt;"")),"INVALID",IF(OR(COUNTIFS('Istoric_Nativ'!$N$6:$N$405,N188,'Istoric_Nativ'!$G$6:$G$405,G188)&lt;&gt;COUNTIF('Istoric_Nativ'!$N$6:$N$405,N188),COUNTIFS('Istoric_Nativ'!$N$6:$N$405,N188,'Istoric_Nativ'!$H$6:$H$405,H188)&lt;&gt;COUNTIF('Istoric_Nativ'!$N$6:$N$405,N188)),"SOURCE CONFLICT",IF(COUNTIF($N$6:N188,N188)&gt;1,"DUPLICATE","VALID"))),"INVALID"))</x:f>
        <x:v>VALID</x:v>
      </x:c>
      <x:c r="P188" s="2" t="n">
        <x:f>IF(O188="VALID",1,0)</x:f>
        <x:v>1</x:v>
      </x:c>
      <x:c r="Q188" s="2" t="n">
        <x:f>IF(P188=1,G188+H188,0)</x:f>
        <x:v>15</x:v>
      </x:c>
      <x:c r="R188" s="2" t="n">
        <x:f>Q188^2</x:f>
        <x:v>225</x:v>
      </x:c>
      <x:c r="S188" s="2" t="n">
        <x:f>IF(A188="","",IFERROR(MATCH(I188,SourceTable[Source_ID],0),0))</x:f>
        <x:v>1</x:v>
      </x:c>
    </x:row>
    <x:row r="189" ht="21" customHeight="1">
      <x:c r="A189" s="7" t="str">
        <x:v>4ff97ebc77dcdb6391ff</x:v>
      </x:c>
      <x:c r="B189" s="7" t="str">
        <x:v>E0</x:v>
      </x:c>
      <x:c r="C189" s="7" t="str">
        <x:v>2025/26</x:v>
      </x:c>
      <x:c r="D189" s="8" t="n">
        <x:v>46021</x:v>
      </x:c>
      <x:c r="E189" s="7" t="str">
        <x:v>Man United</x:v>
      </x:c>
      <x:c r="F189" s="7" t="str">
        <x:v>Wolves</x:v>
      </x:c>
      <x:c r="G189" s="7" t="n">
        <x:v>8</x:v>
      </x:c>
      <x:c r="H189" s="7" t="n">
        <x:v>4</x:v>
      </x:c>
      <x:c r="I189" s="7" t="str">
        <x:v>FD_E0_2526</x:v>
      </x:c>
      <x:c r="J189" s="7" t="str">
        <x:v>https://www.football-data.co.uk/mmz4281/2526/E0.csv</x:v>
      </x:c>
      <x:c r="K189" s="8" t="n">
        <x:v>46278.70306712963</x:v>
      </x:c>
      <x:c r="L189" s="7" t="str">
        <x:v>FT90</x:v>
      </x:c>
      <x:c r="M189" s="7" t="str">
        <x:v>CSV row 187</x:v>
      </x:c>
      <x:c r="N189" s="2" t="str">
        <x:f>IF(AND(A189&lt;&gt;"",ISNUMBER(D189)),B189&amp;"|"&amp;C189&amp;"|"&amp;TEXT(D189,"yyyymmdd")&amp;"|"&amp;E189&amp;"|"&amp;F189,"")</x:f>
        <x:v>E0|2025/26|20251230|Man United|Wolves</x:v>
      </x:c>
      <x:c r="O189" s="2" t="str">
        <x:f>IF(A189="","",IFERROR(IF(NOT(AND(B189&lt;&gt;"",C189&lt;&gt;"",ISNUMBER(D189),D189&gt;0,E189&lt;&gt;"",F189&lt;&gt;"",E189&lt;&gt;F189,ISNUMBER(G189),ISNUMBER(H189),G189&gt;=0,H189&gt;=0,G189&lt;=100,H189&lt;=100,MOD(G189,1)=0,MOD(H189,1)=0,L189="FT90",S189&gt;0,INDEX(SourceTable[League],MAX(1,S189))=B189,INDEX(SourceTable[Season],MAX(1,S189))=C189,ISNUMBER(K189),K189=INDEX(SourceTable[Retrieved_UTC],MAX(1,S189)),J189&lt;&gt;"",M189&lt;&gt;"")),"INVALID",IF(OR(COUNTIFS('Istoric_Nativ'!$N$6:$N$405,N189,'Istoric_Nativ'!$G$6:$G$405,G189)&lt;&gt;COUNTIF('Istoric_Nativ'!$N$6:$N$405,N189),COUNTIFS('Istoric_Nativ'!$N$6:$N$405,N189,'Istoric_Nativ'!$H$6:$H$405,H189)&lt;&gt;COUNTIF('Istoric_Nativ'!$N$6:$N$405,N189)),"SOURCE CONFLICT",IF(COUNTIF($N$6:N189,N189)&gt;1,"DUPLICATE","VALID"))),"INVALID"))</x:f>
        <x:v>VALID</x:v>
      </x:c>
      <x:c r="P189" s="2" t="n">
        <x:f>IF(O189="VALID",1,0)</x:f>
        <x:v>1</x:v>
      </x:c>
      <x:c r="Q189" s="2" t="n">
        <x:f>IF(P189=1,G189+H189,0)</x:f>
        <x:v>12</x:v>
      </x:c>
      <x:c r="R189" s="2" t="n">
        <x:f>Q189^2</x:f>
        <x:v>144</x:v>
      </x:c>
      <x:c r="S189" s="2" t="n">
        <x:f>IF(A189="","",IFERROR(MATCH(I189,SourceTable[Source_ID],0),0))</x:f>
        <x:v>1</x:v>
      </x:c>
    </x:row>
    <x:row r="190" ht="21" customHeight="1">
      <x:c r="A190" s="7" t="str">
        <x:v>8f1cb77caf3954bd5f4f</x:v>
      </x:c>
      <x:c r="B190" s="7" t="str">
        <x:v>E0</x:v>
      </x:c>
      <x:c r="C190" s="7" t="str">
        <x:v>2025/26</x:v>
      </x:c>
      <x:c r="D190" s="8" t="n">
        <x:v>46021</x:v>
      </x:c>
      <x:c r="E190" s="7" t="str">
        <x:v>Nott'm Forest</x:v>
      </x:c>
      <x:c r="F190" s="7" t="str">
        <x:v>Everton</x:v>
      </x:c>
      <x:c r="G190" s="7" t="n">
        <x:v>9</x:v>
      </x:c>
      <x:c r="H190" s="7" t="n">
        <x:v>2</x:v>
      </x:c>
      <x:c r="I190" s="7" t="str">
        <x:v>FD_E0_2526</x:v>
      </x:c>
      <x:c r="J190" s="7" t="str">
        <x:v>https://www.football-data.co.uk/mmz4281/2526/E0.csv</x:v>
      </x:c>
      <x:c r="K190" s="8" t="n">
        <x:v>46278.70306712963</x:v>
      </x:c>
      <x:c r="L190" s="7" t="str">
        <x:v>FT90</x:v>
      </x:c>
      <x:c r="M190" s="7" t="str">
        <x:v>CSV row 184</x:v>
      </x:c>
      <x:c r="N190" s="2" t="str">
        <x:f>IF(AND(A190&lt;&gt;"",ISNUMBER(D190)),B190&amp;"|"&amp;C190&amp;"|"&amp;TEXT(D190,"yyyymmdd")&amp;"|"&amp;E190&amp;"|"&amp;F190,"")</x:f>
        <x:v>E0|2025/26|20251230|Nott'm Forest|Everton</x:v>
      </x:c>
      <x:c r="O190" s="2" t="str">
        <x:f>IF(A190="","",IFERROR(IF(NOT(AND(B190&lt;&gt;"",C190&lt;&gt;"",ISNUMBER(D190),D190&gt;0,E190&lt;&gt;"",F190&lt;&gt;"",E190&lt;&gt;F190,ISNUMBER(G190),ISNUMBER(H190),G190&gt;=0,H190&gt;=0,G190&lt;=100,H190&lt;=100,MOD(G190,1)=0,MOD(H190,1)=0,L190="FT90",S190&gt;0,INDEX(SourceTable[League],MAX(1,S190))=B190,INDEX(SourceTable[Season],MAX(1,S190))=C190,ISNUMBER(K190),K190=INDEX(SourceTable[Retrieved_UTC],MAX(1,S190)),J190&lt;&gt;"",M190&lt;&gt;"")),"INVALID",IF(OR(COUNTIFS('Istoric_Nativ'!$N$6:$N$405,N190,'Istoric_Nativ'!$G$6:$G$405,G190)&lt;&gt;COUNTIF('Istoric_Nativ'!$N$6:$N$405,N190),COUNTIFS('Istoric_Nativ'!$N$6:$N$405,N190,'Istoric_Nativ'!$H$6:$H$405,H190)&lt;&gt;COUNTIF('Istoric_Nativ'!$N$6:$N$405,N190)),"SOURCE CONFLICT",IF(COUNTIF($N$6:N190,N190)&gt;1,"DUPLICATE","VALID"))),"INVALID"))</x:f>
        <x:v>VALID</x:v>
      </x:c>
      <x:c r="P190" s="2" t="n">
        <x:f>IF(O190="VALID",1,0)</x:f>
        <x:v>1</x:v>
      </x:c>
      <x:c r="Q190" s="2" t="n">
        <x:f>IF(P190=1,G190+H190,0)</x:f>
        <x:v>11</x:v>
      </x:c>
      <x:c r="R190" s="2" t="n">
        <x:f>Q190^2</x:f>
        <x:v>121</x:v>
      </x:c>
      <x:c r="S190" s="2" t="n">
        <x:f>IF(A190="","",IFERROR(MATCH(I190,SourceTable[Source_ID],0),0))</x:f>
        <x:v>1</x:v>
      </x:c>
    </x:row>
    <x:row r="191" ht="21" customHeight="1">
      <x:c r="A191" s="7" t="str">
        <x:v>f4339ea26d647d50eeb5</x:v>
      </x:c>
      <x:c r="B191" s="7" t="str">
        <x:v>E0</x:v>
      </x:c>
      <x:c r="C191" s="7" t="str">
        <x:v>2025/26</x:v>
      </x:c>
      <x:c r="D191" s="8" t="n">
        <x:v>46021</x:v>
      </x:c>
      <x:c r="E191" s="7" t="str">
        <x:v>West Ham</x:v>
      </x:c>
      <x:c r="F191" s="7" t="str">
        <x:v>Brighton</x:v>
      </x:c>
      <x:c r="G191" s="7" t="n">
        <x:v>5</x:v>
      </x:c>
      <x:c r="H191" s="7" t="n">
        <x:v>5</x:v>
      </x:c>
      <x:c r="I191" s="7" t="str">
        <x:v>FD_E0_2526</x:v>
      </x:c>
      <x:c r="J191" s="7" t="str">
        <x:v>https://www.football-data.co.uk/mmz4281/2526/E0.csv</x:v>
      </x:c>
      <x:c r="K191" s="8" t="n">
        <x:v>46278.70306712963</x:v>
      </x:c>
      <x:c r="L191" s="7" t="str">
        <x:v>FT90</x:v>
      </x:c>
      <x:c r="M191" s="7" t="str">
        <x:v>CSV row 185</x:v>
      </x:c>
      <x:c r="N191" s="2" t="str">
        <x:f>IF(AND(A191&lt;&gt;"",ISNUMBER(D191)),B191&amp;"|"&amp;C191&amp;"|"&amp;TEXT(D191,"yyyymmdd")&amp;"|"&amp;E191&amp;"|"&amp;F191,"")</x:f>
        <x:v>E0|2025/26|20251230|West Ham|Brighton</x:v>
      </x:c>
      <x:c r="O191" s="2" t="str">
        <x:f>IF(A191="","",IFERROR(IF(NOT(AND(B191&lt;&gt;"",C191&lt;&gt;"",ISNUMBER(D191),D191&gt;0,E191&lt;&gt;"",F191&lt;&gt;"",E191&lt;&gt;F191,ISNUMBER(G191),ISNUMBER(H191),G191&gt;=0,H191&gt;=0,G191&lt;=100,H191&lt;=100,MOD(G191,1)=0,MOD(H191,1)=0,L191="FT90",S191&gt;0,INDEX(SourceTable[League],MAX(1,S191))=B191,INDEX(SourceTable[Season],MAX(1,S191))=C191,ISNUMBER(K191),K191=INDEX(SourceTable[Retrieved_UTC],MAX(1,S191)),J191&lt;&gt;"",M191&lt;&gt;"")),"INVALID",IF(OR(COUNTIFS('Istoric_Nativ'!$N$6:$N$405,N191,'Istoric_Nativ'!$G$6:$G$405,G191)&lt;&gt;COUNTIF('Istoric_Nativ'!$N$6:$N$405,N191),COUNTIFS('Istoric_Nativ'!$N$6:$N$405,N191,'Istoric_Nativ'!$H$6:$H$405,H191)&lt;&gt;COUNTIF('Istoric_Nativ'!$N$6:$N$405,N191)),"SOURCE CONFLICT",IF(COUNTIF($N$6:N191,N191)&gt;1,"DUPLICATE","VALID"))),"INVALID"))</x:f>
        <x:v>VALID</x:v>
      </x:c>
      <x:c r="P191" s="2" t="n">
        <x:f>IF(O191="VALID",1,0)</x:f>
        <x:v>1</x:v>
      </x:c>
      <x:c r="Q191" s="2" t="n">
        <x:f>IF(P191=1,G191+H191,0)</x:f>
        <x:v>10</x:v>
      </x:c>
      <x:c r="R191" s="2" t="n">
        <x:f>Q191^2</x:f>
        <x:v>100</x:v>
      </x:c>
      <x:c r="S191" s="2" t="n">
        <x:f>IF(A191="","",IFERROR(MATCH(I191,SourceTable[Source_ID],0),0))</x:f>
        <x:v>1</x:v>
      </x:c>
    </x:row>
    <x:row r="192" ht="21" customHeight="1">
      <x:c r="A192" s="7" t="str">
        <x:v>353e0f6ea93cf4de00cf</x:v>
      </x:c>
      <x:c r="B192" s="7" t="str">
        <x:v>E0</x:v>
      </x:c>
      <x:c r="C192" s="7" t="str">
        <x:v>2025/26</x:v>
      </x:c>
      <x:c r="D192" s="8" t="n">
        <x:v>46023</x:v>
      </x:c>
      <x:c r="E192" s="7" t="str">
        <x:v>Brentford</x:v>
      </x:c>
      <x:c r="F192" s="7" t="str">
        <x:v>Tottenham</x:v>
      </x:c>
      <x:c r="G192" s="7" t="n">
        <x:v>3</x:v>
      </x:c>
      <x:c r="H192" s="7" t="n">
        <x:v>1</x:v>
      </x:c>
      <x:c r="I192" s="7" t="str">
        <x:v>FD_E0_2526</x:v>
      </x:c>
      <x:c r="J192" s="7" t="str">
        <x:v>https://www.football-data.co.uk/mmz4281/2526/E0.csv</x:v>
      </x:c>
      <x:c r="K192" s="8" t="n">
        <x:v>46278.70306712963</x:v>
      </x:c>
      <x:c r="L192" s="7" t="str">
        <x:v>FT90</x:v>
      </x:c>
      <x:c r="M192" s="7" t="str">
        <x:v>CSV row 190</x:v>
      </x:c>
      <x:c r="N192" s="2" t="str">
        <x:f>IF(AND(A192&lt;&gt;"",ISNUMBER(D192)),B192&amp;"|"&amp;C192&amp;"|"&amp;TEXT(D192,"yyyymmdd")&amp;"|"&amp;E192&amp;"|"&amp;F192,"")</x:f>
        <x:v>E0|2025/26|20260101|Brentford|Tottenham</x:v>
      </x:c>
      <x:c r="O192" s="2" t="str">
        <x:f>IF(A192="","",IFERROR(IF(NOT(AND(B192&lt;&gt;"",C192&lt;&gt;"",ISNUMBER(D192),D192&gt;0,E192&lt;&gt;"",F192&lt;&gt;"",E192&lt;&gt;F192,ISNUMBER(G192),ISNUMBER(H192),G192&gt;=0,H192&gt;=0,G192&lt;=100,H192&lt;=100,MOD(G192,1)=0,MOD(H192,1)=0,L192="FT90",S192&gt;0,INDEX(SourceTable[League],MAX(1,S192))=B192,INDEX(SourceTable[Season],MAX(1,S192))=C192,ISNUMBER(K192),K192=INDEX(SourceTable[Retrieved_UTC],MAX(1,S192)),J192&lt;&gt;"",M192&lt;&gt;"")),"INVALID",IF(OR(COUNTIFS('Istoric_Nativ'!$N$6:$N$405,N192,'Istoric_Nativ'!$G$6:$G$405,G192)&lt;&gt;COUNTIF('Istoric_Nativ'!$N$6:$N$405,N192),COUNTIFS('Istoric_Nativ'!$N$6:$N$405,N192,'Istoric_Nativ'!$H$6:$H$405,H192)&lt;&gt;COUNTIF('Istoric_Nativ'!$N$6:$N$405,N192)),"SOURCE CONFLICT",IF(COUNTIF($N$6:N192,N192)&gt;1,"DUPLICATE","VALID"))),"INVALID"))</x:f>
        <x:v>VALID</x:v>
      </x:c>
      <x:c r="P192" s="2" t="n">
        <x:f>IF(O192="VALID",1,0)</x:f>
        <x:v>1</x:v>
      </x:c>
      <x:c r="Q192" s="2" t="n">
        <x:f>IF(P192=1,G192+H192,0)</x:f>
        <x:v>4</x:v>
      </x:c>
      <x:c r="R192" s="2" t="n">
        <x:f>Q192^2</x:f>
        <x:v>16</x:v>
      </x:c>
      <x:c r="S192" s="2" t="n">
        <x:f>IF(A192="","",IFERROR(MATCH(I192,SourceTable[Source_ID],0),0))</x:f>
        <x:v>1</x:v>
      </x:c>
    </x:row>
    <x:row r="193" ht="21" customHeight="1">
      <x:c r="A193" s="7" t="str">
        <x:v>9b2297f8bc6994ddcb00</x:v>
      </x:c>
      <x:c r="B193" s="7" t="str">
        <x:v>E0</x:v>
      </x:c>
      <x:c r="C193" s="7" t="str">
        <x:v>2025/26</x:v>
      </x:c>
      <x:c r="D193" s="8" t="n">
        <x:v>46023</x:v>
      </x:c>
      <x:c r="E193" s="7" t="str">
        <x:v>Crystal Palace</x:v>
      </x:c>
      <x:c r="F193" s="7" t="str">
        <x:v>Fulham</x:v>
      </x:c>
      <x:c r="G193" s="7" t="n">
        <x:v>6</x:v>
      </x:c>
      <x:c r="H193" s="7" t="n">
        <x:v>3</x:v>
      </x:c>
      <x:c r="I193" s="7" t="str">
        <x:v>FD_E0_2526</x:v>
      </x:c>
      <x:c r="J193" s="7" t="str">
        <x:v>https://www.football-data.co.uk/mmz4281/2526/E0.csv</x:v>
      </x:c>
      <x:c r="K193" s="8" t="n">
        <x:v>46278.70306712963</x:v>
      </x:c>
      <x:c r="L193" s="7" t="str">
        <x:v>FT90</x:v>
      </x:c>
      <x:c r="M193" s="7" t="str">
        <x:v>CSV row 188</x:v>
      </x:c>
      <x:c r="N193" s="2" t="str">
        <x:f>IF(AND(A193&lt;&gt;"",ISNUMBER(D193)),B193&amp;"|"&amp;C193&amp;"|"&amp;TEXT(D193,"yyyymmdd")&amp;"|"&amp;E193&amp;"|"&amp;F193,"")</x:f>
        <x:v>E0|2025/26|20260101|Crystal Palace|Fulham</x:v>
      </x:c>
      <x:c r="O193" s="2" t="str">
        <x:f>IF(A193="","",IFERROR(IF(NOT(AND(B193&lt;&gt;"",C193&lt;&gt;"",ISNUMBER(D193),D193&gt;0,E193&lt;&gt;"",F193&lt;&gt;"",E193&lt;&gt;F193,ISNUMBER(G193),ISNUMBER(H193),G193&gt;=0,H193&gt;=0,G193&lt;=100,H193&lt;=100,MOD(G193,1)=0,MOD(H193,1)=0,L193="FT90",S193&gt;0,INDEX(SourceTable[League],MAX(1,S193))=B193,INDEX(SourceTable[Season],MAX(1,S193))=C193,ISNUMBER(K193),K193=INDEX(SourceTable[Retrieved_UTC],MAX(1,S193)),J193&lt;&gt;"",M193&lt;&gt;"")),"INVALID",IF(OR(COUNTIFS('Istoric_Nativ'!$N$6:$N$405,N193,'Istoric_Nativ'!$G$6:$G$405,G193)&lt;&gt;COUNTIF('Istoric_Nativ'!$N$6:$N$405,N193),COUNTIFS('Istoric_Nativ'!$N$6:$N$405,N193,'Istoric_Nativ'!$H$6:$H$405,H193)&lt;&gt;COUNTIF('Istoric_Nativ'!$N$6:$N$405,N193)),"SOURCE CONFLICT",IF(COUNTIF($N$6:N193,N193)&gt;1,"DUPLICATE","VALID"))),"INVALID"))</x:f>
        <x:v>VALID</x:v>
      </x:c>
      <x:c r="P193" s="2" t="n">
        <x:f>IF(O193="VALID",1,0)</x:f>
        <x:v>1</x:v>
      </x:c>
      <x:c r="Q193" s="2" t="n">
        <x:f>IF(P193=1,G193+H193,0)</x:f>
        <x:v>9</x:v>
      </x:c>
      <x:c r="R193" s="2" t="n">
        <x:f>Q193^2</x:f>
        <x:v>81</x:v>
      </x:c>
      <x:c r="S193" s="2" t="n">
        <x:f>IF(A193="","",IFERROR(MATCH(I193,SourceTable[Source_ID],0),0))</x:f>
        <x:v>1</x:v>
      </x:c>
    </x:row>
    <x:row r="194" ht="21" customHeight="1">
      <x:c r="A194" s="7" t="str">
        <x:v>92a361d7b93fbf947f70</x:v>
      </x:c>
      <x:c r="B194" s="7" t="str">
        <x:v>E0</x:v>
      </x:c>
      <x:c r="C194" s="7" t="str">
        <x:v>2025/26</x:v>
      </x:c>
      <x:c r="D194" s="8" t="n">
        <x:v>46023</x:v>
      </x:c>
      <x:c r="E194" s="7" t="str">
        <x:v>Liverpool</x:v>
      </x:c>
      <x:c r="F194" s="7" t="str">
        <x:v>Leeds</x:v>
      </x:c>
      <x:c r="G194" s="7" t="n">
        <x:v>8</x:v>
      </x:c>
      <x:c r="H194" s="7" t="n">
        <x:v>3</x:v>
      </x:c>
      <x:c r="I194" s="7" t="str">
        <x:v>FD_E0_2526</x:v>
      </x:c>
      <x:c r="J194" s="7" t="str">
        <x:v>https://www.football-data.co.uk/mmz4281/2526/E0.csv</x:v>
      </x:c>
      <x:c r="K194" s="8" t="n">
        <x:v>46278.70306712963</x:v>
      </x:c>
      <x:c r="L194" s="7" t="str">
        <x:v>FT90</x:v>
      </x:c>
      <x:c r="M194" s="7" t="str">
        <x:v>CSV row 189</x:v>
      </x:c>
      <x:c r="N194" s="2" t="str">
        <x:f>IF(AND(A194&lt;&gt;"",ISNUMBER(D194)),B194&amp;"|"&amp;C194&amp;"|"&amp;TEXT(D194,"yyyymmdd")&amp;"|"&amp;E194&amp;"|"&amp;F194,"")</x:f>
        <x:v>E0|2025/26|20260101|Liverpool|Leeds</x:v>
      </x:c>
      <x:c r="O194" s="2" t="str">
        <x:f>IF(A194="","",IFERROR(IF(NOT(AND(B194&lt;&gt;"",C194&lt;&gt;"",ISNUMBER(D194),D194&gt;0,E194&lt;&gt;"",F194&lt;&gt;"",E194&lt;&gt;F194,ISNUMBER(G194),ISNUMBER(H194),G194&gt;=0,H194&gt;=0,G194&lt;=100,H194&lt;=100,MOD(G194,1)=0,MOD(H194,1)=0,L194="FT90",S194&gt;0,INDEX(SourceTable[League],MAX(1,S194))=B194,INDEX(SourceTable[Season],MAX(1,S194))=C194,ISNUMBER(K194),K194=INDEX(SourceTable[Retrieved_UTC],MAX(1,S194)),J194&lt;&gt;"",M194&lt;&gt;"")),"INVALID",IF(OR(COUNTIFS('Istoric_Nativ'!$N$6:$N$405,N194,'Istoric_Nativ'!$G$6:$G$405,G194)&lt;&gt;COUNTIF('Istoric_Nativ'!$N$6:$N$405,N194),COUNTIFS('Istoric_Nativ'!$N$6:$N$405,N194,'Istoric_Nativ'!$H$6:$H$405,H194)&lt;&gt;COUNTIF('Istoric_Nativ'!$N$6:$N$405,N194)),"SOURCE CONFLICT",IF(COUNTIF($N$6:N194,N194)&gt;1,"DUPLICATE","VALID"))),"INVALID"))</x:f>
        <x:v>VALID</x:v>
      </x:c>
      <x:c r="P194" s="2" t="n">
        <x:f>IF(O194="VALID",1,0)</x:f>
        <x:v>1</x:v>
      </x:c>
      <x:c r="Q194" s="2" t="n">
        <x:f>IF(P194=1,G194+H194,0)</x:f>
        <x:v>11</x:v>
      </x:c>
      <x:c r="R194" s="2" t="n">
        <x:f>Q194^2</x:f>
        <x:v>121</x:v>
      </x:c>
      <x:c r="S194" s="2" t="n">
        <x:f>IF(A194="","",IFERROR(MATCH(I194,SourceTable[Source_ID],0),0))</x:f>
        <x:v>1</x:v>
      </x:c>
    </x:row>
    <x:row r="195" ht="21" customHeight="1">
      <x:c r="A195" s="7" t="str">
        <x:v>3e425388c7ef3f707afb</x:v>
      </x:c>
      <x:c r="B195" s="7" t="str">
        <x:v>E0</x:v>
      </x:c>
      <x:c r="C195" s="7" t="str">
        <x:v>2025/26</x:v>
      </x:c>
      <x:c r="D195" s="8" t="n">
        <x:v>46023</x:v>
      </x:c>
      <x:c r="E195" s="7" t="str">
        <x:v>Sunderland</x:v>
      </x:c>
      <x:c r="F195" s="7" t="str">
        <x:v>Man City</x:v>
      </x:c>
      <x:c r="G195" s="7" t="n">
        <x:v>3</x:v>
      </x:c>
      <x:c r="H195" s="7" t="n">
        <x:v>5</x:v>
      </x:c>
      <x:c r="I195" s="7" t="str">
        <x:v>FD_E0_2526</x:v>
      </x:c>
      <x:c r="J195" s="7" t="str">
        <x:v>https://www.football-data.co.uk/mmz4281/2526/E0.csv</x:v>
      </x:c>
      <x:c r="K195" s="8" t="n">
        <x:v>46278.70306712963</x:v>
      </x:c>
      <x:c r="L195" s="7" t="str">
        <x:v>FT90</x:v>
      </x:c>
      <x:c r="M195" s="7" t="str">
        <x:v>CSV row 191</x:v>
      </x:c>
      <x:c r="N195" s="2" t="str">
        <x:f>IF(AND(A195&lt;&gt;"",ISNUMBER(D195)),B195&amp;"|"&amp;C195&amp;"|"&amp;TEXT(D195,"yyyymmdd")&amp;"|"&amp;E195&amp;"|"&amp;F195,"")</x:f>
        <x:v>E0|2025/26|20260101|Sunderland|Man City</x:v>
      </x:c>
      <x:c r="O195" s="2" t="str">
        <x:f>IF(A195="","",IFERROR(IF(NOT(AND(B195&lt;&gt;"",C195&lt;&gt;"",ISNUMBER(D195),D195&gt;0,E195&lt;&gt;"",F195&lt;&gt;"",E195&lt;&gt;F195,ISNUMBER(G195),ISNUMBER(H195),G195&gt;=0,H195&gt;=0,G195&lt;=100,H195&lt;=100,MOD(G195,1)=0,MOD(H195,1)=0,L195="FT90",S195&gt;0,INDEX(SourceTable[League],MAX(1,S195))=B195,INDEX(SourceTable[Season],MAX(1,S195))=C195,ISNUMBER(K195),K195=INDEX(SourceTable[Retrieved_UTC],MAX(1,S195)),J195&lt;&gt;"",M195&lt;&gt;"")),"INVALID",IF(OR(COUNTIFS('Istoric_Nativ'!$N$6:$N$405,N195,'Istoric_Nativ'!$G$6:$G$405,G195)&lt;&gt;COUNTIF('Istoric_Nativ'!$N$6:$N$405,N195),COUNTIFS('Istoric_Nativ'!$N$6:$N$405,N195,'Istoric_Nativ'!$H$6:$H$405,H195)&lt;&gt;COUNTIF('Istoric_Nativ'!$N$6:$N$405,N195)),"SOURCE CONFLICT",IF(COUNTIF($N$6:N195,N195)&gt;1,"DUPLICATE","VALID"))),"INVALID"))</x:f>
        <x:v>VALID</x:v>
      </x:c>
      <x:c r="P195" s="2" t="n">
        <x:f>IF(O195="VALID",1,0)</x:f>
        <x:v>1</x:v>
      </x:c>
      <x:c r="Q195" s="2" t="n">
        <x:f>IF(P195=1,G195+H195,0)</x:f>
        <x:v>8</x:v>
      </x:c>
      <x:c r="R195" s="2" t="n">
        <x:f>Q195^2</x:f>
        <x:v>64</x:v>
      </x:c>
      <x:c r="S195" s="2" t="n">
        <x:f>IF(A195="","",IFERROR(MATCH(I195,SourceTable[Source_ID],0),0))</x:f>
        <x:v>1</x:v>
      </x:c>
    </x:row>
    <x:row r="196" ht="21" customHeight="1">
      <x:c r="A196" s="7" t="str">
        <x:v>97edc7f82e4ac790b248</x:v>
      </x:c>
      <x:c r="B196" s="7" t="str">
        <x:v>E0</x:v>
      </x:c>
      <x:c r="C196" s="7" t="str">
        <x:v>2025/26</x:v>
      </x:c>
      <x:c r="D196" s="8" t="n">
        <x:v>46025</x:v>
      </x:c>
      <x:c r="E196" s="7" t="str">
        <x:v>Aston Villa</x:v>
      </x:c>
      <x:c r="F196" s="7" t="str">
        <x:v>Nott'm Forest</x:v>
      </x:c>
      <x:c r="G196" s="7" t="n">
        <x:v>4</x:v>
      </x:c>
      <x:c r="H196" s="7" t="n">
        <x:v>4</x:v>
      </x:c>
      <x:c r="I196" s="7" t="str">
        <x:v>FD_E0_2526</x:v>
      </x:c>
      <x:c r="J196" s="7" t="str">
        <x:v>https://www.football-data.co.uk/mmz4281/2526/E0.csv</x:v>
      </x:c>
      <x:c r="K196" s="8" t="n">
        <x:v>46278.70306712963</x:v>
      </x:c>
      <x:c r="L196" s="7" t="str">
        <x:v>FT90</x:v>
      </x:c>
      <x:c r="M196" s="7" t="str">
        <x:v>CSV row 192</x:v>
      </x:c>
      <x:c r="N196" s="2" t="str">
        <x:f>IF(AND(A196&lt;&gt;"",ISNUMBER(D196)),B196&amp;"|"&amp;C196&amp;"|"&amp;TEXT(D196,"yyyymmdd")&amp;"|"&amp;E196&amp;"|"&amp;F196,"")</x:f>
        <x:v>E0|2025/26|20260103|Aston Villa|Nott'm Forest</x:v>
      </x:c>
      <x:c r="O196" s="2" t="str">
        <x:f>IF(A196="","",IFERROR(IF(NOT(AND(B196&lt;&gt;"",C196&lt;&gt;"",ISNUMBER(D196),D196&gt;0,E196&lt;&gt;"",F196&lt;&gt;"",E196&lt;&gt;F196,ISNUMBER(G196),ISNUMBER(H196),G196&gt;=0,H196&gt;=0,G196&lt;=100,H196&lt;=100,MOD(G196,1)=0,MOD(H196,1)=0,L196="FT90",S196&gt;0,INDEX(SourceTable[League],MAX(1,S196))=B196,INDEX(SourceTable[Season],MAX(1,S196))=C196,ISNUMBER(K196),K196=INDEX(SourceTable[Retrieved_UTC],MAX(1,S196)),J196&lt;&gt;"",M196&lt;&gt;"")),"INVALID",IF(OR(COUNTIFS('Istoric_Nativ'!$N$6:$N$405,N196,'Istoric_Nativ'!$G$6:$G$405,G196)&lt;&gt;COUNTIF('Istoric_Nativ'!$N$6:$N$405,N196),COUNTIFS('Istoric_Nativ'!$N$6:$N$405,N196,'Istoric_Nativ'!$H$6:$H$405,H196)&lt;&gt;COUNTIF('Istoric_Nativ'!$N$6:$N$405,N196)),"SOURCE CONFLICT",IF(COUNTIF($N$6:N196,N196)&gt;1,"DUPLICATE","VALID"))),"INVALID"))</x:f>
        <x:v>VALID</x:v>
      </x:c>
      <x:c r="P196" s="2" t="n">
        <x:f>IF(O196="VALID",1,0)</x:f>
        <x:v>1</x:v>
      </x:c>
      <x:c r="Q196" s="2" t="n">
        <x:f>IF(P196=1,G196+H196,0)</x:f>
        <x:v>8</x:v>
      </x:c>
      <x:c r="R196" s="2" t="n">
        <x:f>Q196^2</x:f>
        <x:v>64</x:v>
      </x:c>
      <x:c r="S196" s="2" t="n">
        <x:f>IF(A196="","",IFERROR(MATCH(I196,SourceTable[Source_ID],0),0))</x:f>
        <x:v>1</x:v>
      </x:c>
    </x:row>
    <x:row r="197" ht="21" customHeight="1">
      <x:c r="A197" s="7" t="str">
        <x:v>091bcb519feeaa69f88c</x:v>
      </x:c>
      <x:c r="B197" s="7" t="str">
        <x:v>E0</x:v>
      </x:c>
      <x:c r="C197" s="7" t="str">
        <x:v>2025/26</x:v>
      </x:c>
      <x:c r="D197" s="8" t="n">
        <x:v>46025</x:v>
      </x:c>
      <x:c r="E197" s="7" t="str">
        <x:v>Bournemouth</x:v>
      </x:c>
      <x:c r="F197" s="7" t="str">
        <x:v>Arsenal</x:v>
      </x:c>
      <x:c r="G197" s="7" t="n">
        <x:v>7</x:v>
      </x:c>
      <x:c r="H197" s="7" t="n">
        <x:v>5</x:v>
      </x:c>
      <x:c r="I197" s="7" t="str">
        <x:v>FD_E0_2526</x:v>
      </x:c>
      <x:c r="J197" s="7" t="str">
        <x:v>https://www.football-data.co.uk/mmz4281/2526/E0.csv</x:v>
      </x:c>
      <x:c r="K197" s="8" t="n">
        <x:v>46278.70306712963</x:v>
      </x:c>
      <x:c r="L197" s="7" t="str">
        <x:v>FT90</x:v>
      </x:c>
      <x:c r="M197" s="7" t="str">
        <x:v>CSV row 195</x:v>
      </x:c>
      <x:c r="N197" s="2" t="str">
        <x:f>IF(AND(A197&lt;&gt;"",ISNUMBER(D197)),B197&amp;"|"&amp;C197&amp;"|"&amp;TEXT(D197,"yyyymmdd")&amp;"|"&amp;E197&amp;"|"&amp;F197,"")</x:f>
        <x:v>E0|2025/26|20260103|Bournemouth|Arsenal</x:v>
      </x:c>
      <x:c r="O197" s="2" t="str">
        <x:f>IF(A197="","",IFERROR(IF(NOT(AND(B197&lt;&gt;"",C197&lt;&gt;"",ISNUMBER(D197),D197&gt;0,E197&lt;&gt;"",F197&lt;&gt;"",E197&lt;&gt;F197,ISNUMBER(G197),ISNUMBER(H197),G197&gt;=0,H197&gt;=0,G197&lt;=100,H197&lt;=100,MOD(G197,1)=0,MOD(H197,1)=0,L197="FT90",S197&gt;0,INDEX(SourceTable[League],MAX(1,S197))=B197,INDEX(SourceTable[Season],MAX(1,S197))=C197,ISNUMBER(K197),K197=INDEX(SourceTable[Retrieved_UTC],MAX(1,S197)),J197&lt;&gt;"",M197&lt;&gt;"")),"INVALID",IF(OR(COUNTIFS('Istoric_Nativ'!$N$6:$N$405,N197,'Istoric_Nativ'!$G$6:$G$405,G197)&lt;&gt;COUNTIF('Istoric_Nativ'!$N$6:$N$405,N197),COUNTIFS('Istoric_Nativ'!$N$6:$N$405,N197,'Istoric_Nativ'!$H$6:$H$405,H197)&lt;&gt;COUNTIF('Istoric_Nativ'!$N$6:$N$405,N197)),"SOURCE CONFLICT",IF(COUNTIF($N$6:N197,N197)&gt;1,"DUPLICATE","VALID"))),"INVALID"))</x:f>
        <x:v>VALID</x:v>
      </x:c>
      <x:c r="P197" s="2" t="n">
        <x:f>IF(O197="VALID",1,0)</x:f>
        <x:v>1</x:v>
      </x:c>
      <x:c r="Q197" s="2" t="n">
        <x:f>IF(P197=1,G197+H197,0)</x:f>
        <x:v>12</x:v>
      </x:c>
      <x:c r="R197" s="2" t="n">
        <x:f>Q197^2</x:f>
        <x:v>144</x:v>
      </x:c>
      <x:c r="S197" s="2" t="n">
        <x:f>IF(A197="","",IFERROR(MATCH(I197,SourceTable[Source_ID],0),0))</x:f>
        <x:v>1</x:v>
      </x:c>
    </x:row>
    <x:row r="198" ht="21" customHeight="1">
      <x:c r="A198" s="7" t="str">
        <x:v>d3ddf67cf4c7197a370e</x:v>
      </x:c>
      <x:c r="B198" s="7" t="str">
        <x:v>E0</x:v>
      </x:c>
      <x:c r="C198" s="7" t="str">
        <x:v>2025/26</x:v>
      </x:c>
      <x:c r="D198" s="8" t="n">
        <x:v>46025</x:v>
      </x:c>
      <x:c r="E198" s="7" t="str">
        <x:v>Brighton</x:v>
      </x:c>
      <x:c r="F198" s="7" t="str">
        <x:v>Burnley</x:v>
      </x:c>
      <x:c r="G198" s="7" t="n">
        <x:v>4</x:v>
      </x:c>
      <x:c r="H198" s="7" t="n">
        <x:v>4</x:v>
      </x:c>
      <x:c r="I198" s="7" t="str">
        <x:v>FD_E0_2526</x:v>
      </x:c>
      <x:c r="J198" s="7" t="str">
        <x:v>https://www.football-data.co.uk/mmz4281/2526/E0.csv</x:v>
      </x:c>
      <x:c r="K198" s="8" t="n">
        <x:v>46278.70306712963</x:v>
      </x:c>
      <x:c r="L198" s="7" t="str">
        <x:v>FT90</x:v>
      </x:c>
      <x:c r="M198" s="7" t="str">
        <x:v>CSV row 193</x:v>
      </x:c>
      <x:c r="N198" s="2" t="str">
        <x:f>IF(AND(A198&lt;&gt;"",ISNUMBER(D198)),B198&amp;"|"&amp;C198&amp;"|"&amp;TEXT(D198,"yyyymmdd")&amp;"|"&amp;E198&amp;"|"&amp;F198,"")</x:f>
        <x:v>E0|2025/26|20260103|Brighton|Burnley</x:v>
      </x:c>
      <x:c r="O198" s="2" t="str">
        <x:f>IF(A198="","",IFERROR(IF(NOT(AND(B198&lt;&gt;"",C198&lt;&gt;"",ISNUMBER(D198),D198&gt;0,E198&lt;&gt;"",F198&lt;&gt;"",E198&lt;&gt;F198,ISNUMBER(G198),ISNUMBER(H198),G198&gt;=0,H198&gt;=0,G198&lt;=100,H198&lt;=100,MOD(G198,1)=0,MOD(H198,1)=0,L198="FT90",S198&gt;0,INDEX(SourceTable[League],MAX(1,S198))=B198,INDEX(SourceTable[Season],MAX(1,S198))=C198,ISNUMBER(K198),K198=INDEX(SourceTable[Retrieved_UTC],MAX(1,S198)),J198&lt;&gt;"",M198&lt;&gt;"")),"INVALID",IF(OR(COUNTIFS('Istoric_Nativ'!$N$6:$N$405,N198,'Istoric_Nativ'!$G$6:$G$405,G198)&lt;&gt;COUNTIF('Istoric_Nativ'!$N$6:$N$405,N198),COUNTIFS('Istoric_Nativ'!$N$6:$N$405,N198,'Istoric_Nativ'!$H$6:$H$405,H198)&lt;&gt;COUNTIF('Istoric_Nativ'!$N$6:$N$405,N198)),"SOURCE CONFLICT",IF(COUNTIF($N$6:N198,N198)&gt;1,"DUPLICATE","VALID"))),"INVALID"))</x:f>
        <x:v>VALID</x:v>
      </x:c>
      <x:c r="P198" s="2" t="n">
        <x:f>IF(O198="VALID",1,0)</x:f>
        <x:v>1</x:v>
      </x:c>
      <x:c r="Q198" s="2" t="n">
        <x:f>IF(P198=1,G198+H198,0)</x:f>
        <x:v>8</x:v>
      </x:c>
      <x:c r="R198" s="2" t="n">
        <x:f>Q198^2</x:f>
        <x:v>64</x:v>
      </x:c>
      <x:c r="S198" s="2" t="n">
        <x:f>IF(A198="","",IFERROR(MATCH(I198,SourceTable[Source_ID],0),0))</x:f>
        <x:v>1</x:v>
      </x:c>
    </x:row>
    <x:row r="199" ht="21" customHeight="1">
      <x:c r="A199" s="7" t="str">
        <x:v>4b6215a85bb165caae89</x:v>
      </x:c>
      <x:c r="B199" s="7" t="str">
        <x:v>E0</x:v>
      </x:c>
      <x:c r="C199" s="7" t="str">
        <x:v>2025/26</x:v>
      </x:c>
      <x:c r="D199" s="8" t="n">
        <x:v>46025</x:v>
      </x:c>
      <x:c r="E199" s="7" t="str">
        <x:v>Wolves</x:v>
      </x:c>
      <x:c r="F199" s="7" t="str">
        <x:v>West Ham</x:v>
      </x:c>
      <x:c r="G199" s="7" t="n">
        <x:v>6</x:v>
      </x:c>
      <x:c r="H199" s="7" t="n">
        <x:v>7</x:v>
      </x:c>
      <x:c r="I199" s="7" t="str">
        <x:v>FD_E0_2526</x:v>
      </x:c>
      <x:c r="J199" s="7" t="str">
        <x:v>https://www.football-data.co.uk/mmz4281/2526/E0.csv</x:v>
      </x:c>
      <x:c r="K199" s="8" t="n">
        <x:v>46278.70306712963</x:v>
      </x:c>
      <x:c r="L199" s="7" t="str">
        <x:v>FT90</x:v>
      </x:c>
      <x:c r="M199" s="7" t="str">
        <x:v>CSV row 194</x:v>
      </x:c>
      <x:c r="N199" s="2" t="str">
        <x:f>IF(AND(A199&lt;&gt;"",ISNUMBER(D199)),B199&amp;"|"&amp;C199&amp;"|"&amp;TEXT(D199,"yyyymmdd")&amp;"|"&amp;E199&amp;"|"&amp;F199,"")</x:f>
        <x:v>E0|2025/26|20260103|Wolves|West Ham</x:v>
      </x:c>
      <x:c r="O199" s="2" t="str">
        <x:f>IF(A199="","",IFERROR(IF(NOT(AND(B199&lt;&gt;"",C199&lt;&gt;"",ISNUMBER(D199),D199&gt;0,E199&lt;&gt;"",F199&lt;&gt;"",E199&lt;&gt;F199,ISNUMBER(G199),ISNUMBER(H199),G199&gt;=0,H199&gt;=0,G199&lt;=100,H199&lt;=100,MOD(G199,1)=0,MOD(H199,1)=0,L199="FT90",S199&gt;0,INDEX(SourceTable[League],MAX(1,S199))=B199,INDEX(SourceTable[Season],MAX(1,S199))=C199,ISNUMBER(K199),K199=INDEX(SourceTable[Retrieved_UTC],MAX(1,S199)),J199&lt;&gt;"",M199&lt;&gt;"")),"INVALID",IF(OR(COUNTIFS('Istoric_Nativ'!$N$6:$N$405,N199,'Istoric_Nativ'!$G$6:$G$405,G199)&lt;&gt;COUNTIF('Istoric_Nativ'!$N$6:$N$405,N199),COUNTIFS('Istoric_Nativ'!$N$6:$N$405,N199,'Istoric_Nativ'!$H$6:$H$405,H199)&lt;&gt;COUNTIF('Istoric_Nativ'!$N$6:$N$405,N199)),"SOURCE CONFLICT",IF(COUNTIF($N$6:N199,N199)&gt;1,"DUPLICATE","VALID"))),"INVALID"))</x:f>
        <x:v>VALID</x:v>
      </x:c>
      <x:c r="P199" s="2" t="n">
        <x:f>IF(O199="VALID",1,0)</x:f>
        <x:v>1</x:v>
      </x:c>
      <x:c r="Q199" s="2" t="n">
        <x:f>IF(P199=1,G199+H199,0)</x:f>
        <x:v>13</x:v>
      </x:c>
      <x:c r="R199" s="2" t="n">
        <x:f>Q199^2</x:f>
        <x:v>169</x:v>
      </x:c>
      <x:c r="S199" s="2" t="n">
        <x:f>IF(A199="","",IFERROR(MATCH(I199,SourceTable[Source_ID],0),0))</x:f>
        <x:v>1</x:v>
      </x:c>
    </x:row>
    <x:row r="200" ht="21" customHeight="1">
      <x:c r="A200" s="7" t="str">
        <x:v>083e7df33a841ca3db39</x:v>
      </x:c>
      <x:c r="B200" s="7" t="str">
        <x:v>E0</x:v>
      </x:c>
      <x:c r="C200" s="7" t="str">
        <x:v>2025/26</x:v>
      </x:c>
      <x:c r="D200" s="8" t="n">
        <x:v>46026</x:v>
      </x:c>
      <x:c r="E200" s="7" t="str">
        <x:v>Everton</x:v>
      </x:c>
      <x:c r="F200" s="7" t="str">
        <x:v>Brentford</x:v>
      </x:c>
      <x:c r="G200" s="7" t="n">
        <x:v>4</x:v>
      </x:c>
      <x:c r="H200" s="7" t="n">
        <x:v>5</x:v>
      </x:c>
      <x:c r="I200" s="7" t="str">
        <x:v>FD_E0_2526</x:v>
      </x:c>
      <x:c r="J200" s="7" t="str">
        <x:v>https://www.football-data.co.uk/mmz4281/2526/E0.csv</x:v>
      </x:c>
      <x:c r="K200" s="8" t="n">
        <x:v>46278.70306712963</x:v>
      </x:c>
      <x:c r="L200" s="7" t="str">
        <x:v>FT90</x:v>
      </x:c>
      <x:c r="M200" s="7" t="str">
        <x:v>CSV row 197</x:v>
      </x:c>
      <x:c r="N200" s="2" t="str">
        <x:f>IF(AND(A200&lt;&gt;"",ISNUMBER(D200)),B200&amp;"|"&amp;C200&amp;"|"&amp;TEXT(D200,"yyyymmdd")&amp;"|"&amp;E200&amp;"|"&amp;F200,"")</x:f>
        <x:v>E0|2025/26|20260104|Everton|Brentford</x:v>
      </x:c>
      <x:c r="O200" s="2" t="str">
        <x:f>IF(A200="","",IFERROR(IF(NOT(AND(B200&lt;&gt;"",C200&lt;&gt;"",ISNUMBER(D200),D200&gt;0,E200&lt;&gt;"",F200&lt;&gt;"",E200&lt;&gt;F200,ISNUMBER(G200),ISNUMBER(H200),G200&gt;=0,H200&gt;=0,G200&lt;=100,H200&lt;=100,MOD(G200,1)=0,MOD(H200,1)=0,L200="FT90",S200&gt;0,INDEX(SourceTable[League],MAX(1,S200))=B200,INDEX(SourceTable[Season],MAX(1,S200))=C200,ISNUMBER(K200),K200=INDEX(SourceTable[Retrieved_UTC],MAX(1,S200)),J200&lt;&gt;"",M200&lt;&gt;"")),"INVALID",IF(OR(COUNTIFS('Istoric_Nativ'!$N$6:$N$405,N200,'Istoric_Nativ'!$G$6:$G$405,G200)&lt;&gt;COUNTIF('Istoric_Nativ'!$N$6:$N$405,N200),COUNTIFS('Istoric_Nativ'!$N$6:$N$405,N200,'Istoric_Nativ'!$H$6:$H$405,H200)&lt;&gt;COUNTIF('Istoric_Nativ'!$N$6:$N$405,N200)),"SOURCE CONFLICT",IF(COUNTIF($N$6:N200,N200)&gt;1,"DUPLICATE","VALID"))),"INVALID"))</x:f>
        <x:v>VALID</x:v>
      </x:c>
      <x:c r="P200" s="2" t="n">
        <x:f>IF(O200="VALID",1,0)</x:f>
        <x:v>1</x:v>
      </x:c>
      <x:c r="Q200" s="2" t="n">
        <x:f>IF(P200=1,G200+H200,0)</x:f>
        <x:v>9</x:v>
      </x:c>
      <x:c r="R200" s="2" t="n">
        <x:f>Q200^2</x:f>
        <x:v>81</x:v>
      </x:c>
      <x:c r="S200" s="2" t="n">
        <x:f>IF(A200="","",IFERROR(MATCH(I200,SourceTable[Source_ID],0),0))</x:f>
        <x:v>1</x:v>
      </x:c>
    </x:row>
    <x:row r="201" ht="21" customHeight="1">
      <x:c r="A201" s="7" t="str">
        <x:v>0fb493e3b89a63253015</x:v>
      </x:c>
      <x:c r="B201" s="7" t="str">
        <x:v>E0</x:v>
      </x:c>
      <x:c r="C201" s="7" t="str">
        <x:v>2025/26</x:v>
      </x:c>
      <x:c r="D201" s="8" t="n">
        <x:v>46026</x:v>
      </x:c>
      <x:c r="E201" s="7" t="str">
        <x:v>Fulham</x:v>
      </x:c>
      <x:c r="F201" s="7" t="str">
        <x:v>Liverpool</x:v>
      </x:c>
      <x:c r="G201" s="7" t="n">
        <x:v>3</x:v>
      </x:c>
      <x:c r="H201" s="7" t="n">
        <x:v>8</x:v>
      </x:c>
      <x:c r="I201" s="7" t="str">
        <x:v>FD_E0_2526</x:v>
      </x:c>
      <x:c r="J201" s="7" t="str">
        <x:v>https://www.football-data.co.uk/mmz4281/2526/E0.csv</x:v>
      </x:c>
      <x:c r="K201" s="8" t="n">
        <x:v>46278.70306712963</x:v>
      </x:c>
      <x:c r="L201" s="7" t="str">
        <x:v>FT90</x:v>
      </x:c>
      <x:c r="M201" s="7" t="str">
        <x:v>CSV row 200</x:v>
      </x:c>
      <x:c r="N201" s="2" t="str">
        <x:f>IF(AND(A201&lt;&gt;"",ISNUMBER(D201)),B201&amp;"|"&amp;C201&amp;"|"&amp;TEXT(D201,"yyyymmdd")&amp;"|"&amp;E201&amp;"|"&amp;F201,"")</x:f>
        <x:v>E0|2025/26|20260104|Fulham|Liverpool</x:v>
      </x:c>
      <x:c r="O201" s="2" t="str">
        <x:f>IF(A201="","",IFERROR(IF(NOT(AND(B201&lt;&gt;"",C201&lt;&gt;"",ISNUMBER(D201),D201&gt;0,E201&lt;&gt;"",F201&lt;&gt;"",E201&lt;&gt;F201,ISNUMBER(G201),ISNUMBER(H201),G201&gt;=0,H201&gt;=0,G201&lt;=100,H201&lt;=100,MOD(G201,1)=0,MOD(H201,1)=0,L201="FT90",S201&gt;0,INDEX(SourceTable[League],MAX(1,S201))=B201,INDEX(SourceTable[Season],MAX(1,S201))=C201,ISNUMBER(K201),K201=INDEX(SourceTable[Retrieved_UTC],MAX(1,S201)),J201&lt;&gt;"",M201&lt;&gt;"")),"INVALID",IF(OR(COUNTIFS('Istoric_Nativ'!$N$6:$N$405,N201,'Istoric_Nativ'!$G$6:$G$405,G201)&lt;&gt;COUNTIF('Istoric_Nativ'!$N$6:$N$405,N201),COUNTIFS('Istoric_Nativ'!$N$6:$N$405,N201,'Istoric_Nativ'!$H$6:$H$405,H201)&lt;&gt;COUNTIF('Istoric_Nativ'!$N$6:$N$405,N201)),"SOURCE CONFLICT",IF(COUNTIF($N$6:N201,N201)&gt;1,"DUPLICATE","VALID"))),"INVALID"))</x:f>
        <x:v>VALID</x:v>
      </x:c>
      <x:c r="P201" s="2" t="n">
        <x:f>IF(O201="VALID",1,0)</x:f>
        <x:v>1</x:v>
      </x:c>
      <x:c r="Q201" s="2" t="n">
        <x:f>IF(P201=1,G201+H201,0)</x:f>
        <x:v>11</x:v>
      </x:c>
      <x:c r="R201" s="2" t="n">
        <x:f>Q201^2</x:f>
        <x:v>121</x:v>
      </x:c>
      <x:c r="S201" s="2" t="n">
        <x:f>IF(A201="","",IFERROR(MATCH(I201,SourceTable[Source_ID],0),0))</x:f>
        <x:v>1</x:v>
      </x:c>
    </x:row>
    <x:row r="202" ht="21" customHeight="1">
      <x:c r="A202" s="7" t="str">
        <x:v>ba3270d5e30e6da7d145</x:v>
      </x:c>
      <x:c r="B202" s="7" t="str">
        <x:v>E0</x:v>
      </x:c>
      <x:c r="C202" s="7" t="str">
        <x:v>2025/26</x:v>
      </x:c>
      <x:c r="D202" s="8" t="n">
        <x:v>46026</x:v>
      </x:c>
      <x:c r="E202" s="7" t="str">
        <x:v>Leeds</x:v>
      </x:c>
      <x:c r="F202" s="7" t="str">
        <x:v>Man United</x:v>
      </x:c>
      <x:c r="G202" s="7" t="n">
        <x:v>6</x:v>
      </x:c>
      <x:c r="H202" s="7" t="n">
        <x:v>4</x:v>
      </x:c>
      <x:c r="I202" s="7" t="str">
        <x:v>FD_E0_2526</x:v>
      </x:c>
      <x:c r="J202" s="7" t="str">
        <x:v>https://www.football-data.co.uk/mmz4281/2526/E0.csv</x:v>
      </x:c>
      <x:c r="K202" s="8" t="n">
        <x:v>46278.70306712963</x:v>
      </x:c>
      <x:c r="L202" s="7" t="str">
        <x:v>FT90</x:v>
      </x:c>
      <x:c r="M202" s="7" t="str">
        <x:v>CSV row 196</x:v>
      </x:c>
      <x:c r="N202" s="2" t="str">
        <x:f>IF(AND(A202&lt;&gt;"",ISNUMBER(D202)),B202&amp;"|"&amp;C202&amp;"|"&amp;TEXT(D202,"yyyymmdd")&amp;"|"&amp;E202&amp;"|"&amp;F202,"")</x:f>
        <x:v>E0|2025/26|20260104|Leeds|Man United</x:v>
      </x:c>
      <x:c r="O202" s="2" t="str">
        <x:f>IF(A202="","",IFERROR(IF(NOT(AND(B202&lt;&gt;"",C202&lt;&gt;"",ISNUMBER(D202),D202&gt;0,E202&lt;&gt;"",F202&lt;&gt;"",E202&lt;&gt;F202,ISNUMBER(G202),ISNUMBER(H202),G202&gt;=0,H202&gt;=0,G202&lt;=100,H202&lt;=100,MOD(G202,1)=0,MOD(H202,1)=0,L202="FT90",S202&gt;0,INDEX(SourceTable[League],MAX(1,S202))=B202,INDEX(SourceTable[Season],MAX(1,S202))=C202,ISNUMBER(K202),K202=INDEX(SourceTable[Retrieved_UTC],MAX(1,S202)),J202&lt;&gt;"",M202&lt;&gt;"")),"INVALID",IF(OR(COUNTIFS('Istoric_Nativ'!$N$6:$N$405,N202,'Istoric_Nativ'!$G$6:$G$405,G202)&lt;&gt;COUNTIF('Istoric_Nativ'!$N$6:$N$405,N202),COUNTIFS('Istoric_Nativ'!$N$6:$N$405,N202,'Istoric_Nativ'!$H$6:$H$405,H202)&lt;&gt;COUNTIF('Istoric_Nativ'!$N$6:$N$405,N202)),"SOURCE CONFLICT",IF(COUNTIF($N$6:N202,N202)&gt;1,"DUPLICATE","VALID"))),"INVALID"))</x:f>
        <x:v>VALID</x:v>
      </x:c>
      <x:c r="P202" s="2" t="n">
        <x:f>IF(O202="VALID",1,0)</x:f>
        <x:v>1</x:v>
      </x:c>
      <x:c r="Q202" s="2" t="n">
        <x:f>IF(P202=1,G202+H202,0)</x:f>
        <x:v>10</x:v>
      </x:c>
      <x:c r="R202" s="2" t="n">
        <x:f>Q202^2</x:f>
        <x:v>100</x:v>
      </x:c>
      <x:c r="S202" s="2" t="n">
        <x:f>IF(A202="","",IFERROR(MATCH(I202,SourceTable[Source_ID],0),0))</x:f>
        <x:v>1</x:v>
      </x:c>
    </x:row>
    <x:row r="203" ht="21" customHeight="1">
      <x:c r="A203" s="7" t="str">
        <x:v>b86d93247aa75f8f4144</x:v>
      </x:c>
      <x:c r="B203" s="7" t="str">
        <x:v>E0</x:v>
      </x:c>
      <x:c r="C203" s="7" t="str">
        <x:v>2025/26</x:v>
      </x:c>
      <x:c r="D203" s="8" t="n">
        <x:v>46026</x:v>
      </x:c>
      <x:c r="E203" s="7" t="str">
        <x:v>Man City</x:v>
      </x:c>
      <x:c r="F203" s="7" t="str">
        <x:v>Chelsea</x:v>
      </x:c>
      <x:c r="G203" s="7" t="n">
        <x:v>8</x:v>
      </x:c>
      <x:c r="H203" s="7" t="n">
        <x:v>2</x:v>
      </x:c>
      <x:c r="I203" s="7" t="str">
        <x:v>FD_E0_2526</x:v>
      </x:c>
      <x:c r="J203" s="7" t="str">
        <x:v>https://www.football-data.co.uk/mmz4281/2526/E0.csv</x:v>
      </x:c>
      <x:c r="K203" s="8" t="n">
        <x:v>46278.70306712963</x:v>
      </x:c>
      <x:c r="L203" s="7" t="str">
        <x:v>FT90</x:v>
      </x:c>
      <x:c r="M203" s="7" t="str">
        <x:v>CSV row 201</x:v>
      </x:c>
      <x:c r="N203" s="2" t="str">
        <x:f>IF(AND(A203&lt;&gt;"",ISNUMBER(D203)),B203&amp;"|"&amp;C203&amp;"|"&amp;TEXT(D203,"yyyymmdd")&amp;"|"&amp;E203&amp;"|"&amp;F203,"")</x:f>
        <x:v>E0|2025/26|20260104|Man City|Chelsea</x:v>
      </x:c>
      <x:c r="O203" s="2" t="str">
        <x:f>IF(A203="","",IFERROR(IF(NOT(AND(B203&lt;&gt;"",C203&lt;&gt;"",ISNUMBER(D203),D203&gt;0,E203&lt;&gt;"",F203&lt;&gt;"",E203&lt;&gt;F203,ISNUMBER(G203),ISNUMBER(H203),G203&gt;=0,H203&gt;=0,G203&lt;=100,H203&lt;=100,MOD(G203,1)=0,MOD(H203,1)=0,L203="FT90",S203&gt;0,INDEX(SourceTable[League],MAX(1,S203))=B203,INDEX(SourceTable[Season],MAX(1,S203))=C203,ISNUMBER(K203),K203=INDEX(SourceTable[Retrieved_UTC],MAX(1,S203)),J203&lt;&gt;"",M203&lt;&gt;"")),"INVALID",IF(OR(COUNTIFS('Istoric_Nativ'!$N$6:$N$405,N203,'Istoric_Nativ'!$G$6:$G$405,G203)&lt;&gt;COUNTIF('Istoric_Nativ'!$N$6:$N$405,N203),COUNTIFS('Istoric_Nativ'!$N$6:$N$405,N203,'Istoric_Nativ'!$H$6:$H$405,H203)&lt;&gt;COUNTIF('Istoric_Nativ'!$N$6:$N$405,N203)),"SOURCE CONFLICT",IF(COUNTIF($N$6:N203,N203)&gt;1,"DUPLICATE","VALID"))),"INVALID"))</x:f>
        <x:v>VALID</x:v>
      </x:c>
      <x:c r="P203" s="2" t="n">
        <x:f>IF(O203="VALID",1,0)</x:f>
        <x:v>1</x:v>
      </x:c>
      <x:c r="Q203" s="2" t="n">
        <x:f>IF(P203=1,G203+H203,0)</x:f>
        <x:v>10</x:v>
      </x:c>
      <x:c r="R203" s="2" t="n">
        <x:f>Q203^2</x:f>
        <x:v>100</x:v>
      </x:c>
      <x:c r="S203" s="2" t="n">
        <x:f>IF(A203="","",IFERROR(MATCH(I203,SourceTable[Source_ID],0),0))</x:f>
        <x:v>1</x:v>
      </x:c>
    </x:row>
    <x:row r="204" ht="21" customHeight="1">
      <x:c r="A204" s="7" t="str">
        <x:v>5d7811fe132c26a4aac7</x:v>
      </x:c>
      <x:c r="B204" s="7" t="str">
        <x:v>E0</x:v>
      </x:c>
      <x:c r="C204" s="7" t="str">
        <x:v>2025/26</x:v>
      </x:c>
      <x:c r="D204" s="8" t="n">
        <x:v>46026</x:v>
      </x:c>
      <x:c r="E204" s="7" t="str">
        <x:v>Newcastle</x:v>
      </x:c>
      <x:c r="F204" s="7" t="str">
        <x:v>Crystal Palace</x:v>
      </x:c>
      <x:c r="G204" s="7" t="n">
        <x:v>8</x:v>
      </x:c>
      <x:c r="H204" s="7" t="n">
        <x:v>6</x:v>
      </x:c>
      <x:c r="I204" s="7" t="str">
        <x:v>FD_E0_2526</x:v>
      </x:c>
      <x:c r="J204" s="7" t="str">
        <x:v>https://www.football-data.co.uk/mmz4281/2526/E0.csv</x:v>
      </x:c>
      <x:c r="K204" s="8" t="n">
        <x:v>46278.70306712963</x:v>
      </x:c>
      <x:c r="L204" s="7" t="str">
        <x:v>FT90</x:v>
      </x:c>
      <x:c r="M204" s="7" t="str">
        <x:v>CSV row 198</x:v>
      </x:c>
      <x:c r="N204" s="2" t="str">
        <x:f>IF(AND(A204&lt;&gt;"",ISNUMBER(D204)),B204&amp;"|"&amp;C204&amp;"|"&amp;TEXT(D204,"yyyymmdd")&amp;"|"&amp;E204&amp;"|"&amp;F204,"")</x:f>
        <x:v>E0|2025/26|20260104|Newcastle|Crystal Palace</x:v>
      </x:c>
      <x:c r="O204" s="2" t="str">
        <x:f>IF(A204="","",IFERROR(IF(NOT(AND(B204&lt;&gt;"",C204&lt;&gt;"",ISNUMBER(D204),D204&gt;0,E204&lt;&gt;"",F204&lt;&gt;"",E204&lt;&gt;F204,ISNUMBER(G204),ISNUMBER(H204),G204&gt;=0,H204&gt;=0,G204&lt;=100,H204&lt;=100,MOD(G204,1)=0,MOD(H204,1)=0,L204="FT90",S204&gt;0,INDEX(SourceTable[League],MAX(1,S204))=B204,INDEX(SourceTable[Season],MAX(1,S204))=C204,ISNUMBER(K204),K204=INDEX(SourceTable[Retrieved_UTC],MAX(1,S204)),J204&lt;&gt;"",M204&lt;&gt;"")),"INVALID",IF(OR(COUNTIFS('Istoric_Nativ'!$N$6:$N$405,N204,'Istoric_Nativ'!$G$6:$G$405,G204)&lt;&gt;COUNTIF('Istoric_Nativ'!$N$6:$N$405,N204),COUNTIFS('Istoric_Nativ'!$N$6:$N$405,N204,'Istoric_Nativ'!$H$6:$H$405,H204)&lt;&gt;COUNTIF('Istoric_Nativ'!$N$6:$N$405,N204)),"SOURCE CONFLICT",IF(COUNTIF($N$6:N204,N204)&gt;1,"DUPLICATE","VALID"))),"INVALID"))</x:f>
        <x:v>VALID</x:v>
      </x:c>
      <x:c r="P204" s="2" t="n">
        <x:f>IF(O204="VALID",1,0)</x:f>
        <x:v>1</x:v>
      </x:c>
      <x:c r="Q204" s="2" t="n">
        <x:f>IF(P204=1,G204+H204,0)</x:f>
        <x:v>14</x:v>
      </x:c>
      <x:c r="R204" s="2" t="n">
        <x:f>Q204^2</x:f>
        <x:v>196</x:v>
      </x:c>
      <x:c r="S204" s="2" t="n">
        <x:f>IF(A204="","",IFERROR(MATCH(I204,SourceTable[Source_ID],0),0))</x:f>
        <x:v>1</x:v>
      </x:c>
    </x:row>
    <x:row r="205" ht="21" customHeight="1">
      <x:c r="A205" s="7" t="str">
        <x:v>7f02c259debb98674938</x:v>
      </x:c>
      <x:c r="B205" s="7" t="str">
        <x:v>E0</x:v>
      </x:c>
      <x:c r="C205" s="7" t="str">
        <x:v>2025/26</x:v>
      </x:c>
      <x:c r="D205" s="8" t="n">
        <x:v>46026</x:v>
      </x:c>
      <x:c r="E205" s="7" t="str">
        <x:v>Tottenham</x:v>
      </x:c>
      <x:c r="F205" s="7" t="str">
        <x:v>Sunderland</x:v>
      </x:c>
      <x:c r="G205" s="7" t="n">
        <x:v>3</x:v>
      </x:c>
      <x:c r="H205" s="7" t="n">
        <x:v>5</x:v>
      </x:c>
      <x:c r="I205" s="7" t="str">
        <x:v>FD_E0_2526</x:v>
      </x:c>
      <x:c r="J205" s="7" t="str">
        <x:v>https://www.football-data.co.uk/mmz4281/2526/E0.csv</x:v>
      </x:c>
      <x:c r="K205" s="8" t="n">
        <x:v>46278.70306712963</x:v>
      </x:c>
      <x:c r="L205" s="7" t="str">
        <x:v>FT90</x:v>
      </x:c>
      <x:c r="M205" s="7" t="str">
        <x:v>CSV row 199</x:v>
      </x:c>
      <x:c r="N205" s="2" t="str">
        <x:f>IF(AND(A205&lt;&gt;"",ISNUMBER(D205)),B205&amp;"|"&amp;C205&amp;"|"&amp;TEXT(D205,"yyyymmdd")&amp;"|"&amp;E205&amp;"|"&amp;F205,"")</x:f>
        <x:v>E0|2025/26|20260104|Tottenham|Sunderland</x:v>
      </x:c>
      <x:c r="O205" s="2" t="str">
        <x:f>IF(A205="","",IFERROR(IF(NOT(AND(B205&lt;&gt;"",C205&lt;&gt;"",ISNUMBER(D205),D205&gt;0,E205&lt;&gt;"",F205&lt;&gt;"",E205&lt;&gt;F205,ISNUMBER(G205),ISNUMBER(H205),G205&gt;=0,H205&gt;=0,G205&lt;=100,H205&lt;=100,MOD(G205,1)=0,MOD(H205,1)=0,L205="FT90",S205&gt;0,INDEX(SourceTable[League],MAX(1,S205))=B205,INDEX(SourceTable[Season],MAX(1,S205))=C205,ISNUMBER(K205),K205=INDEX(SourceTable[Retrieved_UTC],MAX(1,S205)),J205&lt;&gt;"",M205&lt;&gt;"")),"INVALID",IF(OR(COUNTIFS('Istoric_Nativ'!$N$6:$N$405,N205,'Istoric_Nativ'!$G$6:$G$405,G205)&lt;&gt;COUNTIF('Istoric_Nativ'!$N$6:$N$405,N205),COUNTIFS('Istoric_Nativ'!$N$6:$N$405,N205,'Istoric_Nativ'!$H$6:$H$405,H205)&lt;&gt;COUNTIF('Istoric_Nativ'!$N$6:$N$405,N205)),"SOURCE CONFLICT",IF(COUNTIF($N$6:N205,N205)&gt;1,"DUPLICATE","VALID"))),"INVALID"))</x:f>
        <x:v>VALID</x:v>
      </x:c>
      <x:c r="P205" s="2" t="n">
        <x:f>IF(O205="VALID",1,0)</x:f>
        <x:v>1</x:v>
      </x:c>
      <x:c r="Q205" s="2" t="n">
        <x:f>IF(P205=1,G205+H205,0)</x:f>
        <x:v>8</x:v>
      </x:c>
      <x:c r="R205" s="2" t="n">
        <x:f>Q205^2</x:f>
        <x:v>64</x:v>
      </x:c>
      <x:c r="S205" s="2" t="n">
        <x:f>IF(A205="","",IFERROR(MATCH(I205,SourceTable[Source_ID],0),0))</x:f>
        <x:v>1</x:v>
      </x:c>
    </x:row>
    <x:row r="206" ht="21" customHeight="1">
      <x:c r="A206" s="7" t="str">
        <x:v>5bc2ad06b1cca2276e8b</x:v>
      </x:c>
      <x:c r="B206" s="7" t="str">
        <x:v>E0</x:v>
      </x:c>
      <x:c r="C206" s="7" t="str">
        <x:v>2025/26</x:v>
      </x:c>
      <x:c r="D206" s="8" t="n">
        <x:v>46028</x:v>
      </x:c>
      <x:c r="E206" s="7" t="str">
        <x:v>West Ham</x:v>
      </x:c>
      <x:c r="F206" s="7" t="str">
        <x:v>Nott'm Forest</x:v>
      </x:c>
      <x:c r="G206" s="7" t="n">
        <x:v>6</x:v>
      </x:c>
      <x:c r="H206" s="7" t="n">
        <x:v>5</x:v>
      </x:c>
      <x:c r="I206" s="7" t="str">
        <x:v>FD_E0_2526</x:v>
      </x:c>
      <x:c r="J206" s="7" t="str">
        <x:v>https://www.football-data.co.uk/mmz4281/2526/E0.csv</x:v>
      </x:c>
      <x:c r="K206" s="8" t="n">
        <x:v>46278.70306712963</x:v>
      </x:c>
      <x:c r="L206" s="7" t="str">
        <x:v>FT90</x:v>
      </x:c>
      <x:c r="M206" s="7" t="str">
        <x:v>CSV row 202</x:v>
      </x:c>
      <x:c r="N206" s="2" t="str">
        <x:f>IF(AND(A206&lt;&gt;"",ISNUMBER(D206)),B206&amp;"|"&amp;C206&amp;"|"&amp;TEXT(D206,"yyyymmdd")&amp;"|"&amp;E206&amp;"|"&amp;F206,"")</x:f>
        <x:v>E0|2025/26|20260106|West Ham|Nott'm Forest</x:v>
      </x:c>
      <x:c r="O206" s="2" t="str">
        <x:f>IF(A206="","",IFERROR(IF(NOT(AND(B206&lt;&gt;"",C206&lt;&gt;"",ISNUMBER(D206),D206&gt;0,E206&lt;&gt;"",F206&lt;&gt;"",E206&lt;&gt;F206,ISNUMBER(G206),ISNUMBER(H206),G206&gt;=0,H206&gt;=0,G206&lt;=100,H206&lt;=100,MOD(G206,1)=0,MOD(H206,1)=0,L206="FT90",S206&gt;0,INDEX(SourceTable[League],MAX(1,S206))=B206,INDEX(SourceTable[Season],MAX(1,S206))=C206,ISNUMBER(K206),K206=INDEX(SourceTable[Retrieved_UTC],MAX(1,S206)),J206&lt;&gt;"",M206&lt;&gt;"")),"INVALID",IF(OR(COUNTIFS('Istoric_Nativ'!$N$6:$N$405,N206,'Istoric_Nativ'!$G$6:$G$405,G206)&lt;&gt;COUNTIF('Istoric_Nativ'!$N$6:$N$405,N206),COUNTIFS('Istoric_Nativ'!$N$6:$N$405,N206,'Istoric_Nativ'!$H$6:$H$405,H206)&lt;&gt;COUNTIF('Istoric_Nativ'!$N$6:$N$405,N206)),"SOURCE CONFLICT",IF(COUNTIF($N$6:N206,N206)&gt;1,"DUPLICATE","VALID"))),"INVALID"))</x:f>
        <x:v>VALID</x:v>
      </x:c>
      <x:c r="P206" s="2" t="n">
        <x:f>IF(O206="VALID",1,0)</x:f>
        <x:v>1</x:v>
      </x:c>
      <x:c r="Q206" s="2" t="n">
        <x:f>IF(P206=1,G206+H206,0)</x:f>
        <x:v>11</x:v>
      </x:c>
      <x:c r="R206" s="2" t="n">
        <x:f>Q206^2</x:f>
        <x:v>121</x:v>
      </x:c>
      <x:c r="S206" s="2" t="n">
        <x:f>IF(A206="","",IFERROR(MATCH(I206,SourceTable[Source_ID],0),0))</x:f>
        <x:v>1</x:v>
      </x:c>
    </x:row>
    <x:row r="207" ht="21" customHeight="1">
      <x:c r="A207" s="7" t="str">
        <x:v>51d142205294d72c6a01</x:v>
      </x:c>
      <x:c r="B207" s="7" t="str">
        <x:v>E0</x:v>
      </x:c>
      <x:c r="C207" s="7" t="str">
        <x:v>2025/26</x:v>
      </x:c>
      <x:c r="D207" s="8" t="n">
        <x:v>46029</x:v>
      </x:c>
      <x:c r="E207" s="7" t="str">
        <x:v>Bournemouth</x:v>
      </x:c>
      <x:c r="F207" s="7" t="str">
        <x:v>Tottenham</x:v>
      </x:c>
      <x:c r="G207" s="7" t="n">
        <x:v>3</x:v>
      </x:c>
      <x:c r="H207" s="7" t="n">
        <x:v>7</x:v>
      </x:c>
      <x:c r="I207" s="7" t="str">
        <x:v>FD_E0_2526</x:v>
      </x:c>
      <x:c r="J207" s="7" t="str">
        <x:v>https://www.football-data.co.uk/mmz4281/2526/E0.csv</x:v>
      </x:c>
      <x:c r="K207" s="8" t="n">
        <x:v>46278.70306712963</x:v>
      </x:c>
      <x:c r="L207" s="7" t="str">
        <x:v>FT90</x:v>
      </x:c>
      <x:c r="M207" s="7" t="str">
        <x:v>CSV row 203</x:v>
      </x:c>
      <x:c r="N207" s="2" t="str">
        <x:f>IF(AND(A207&lt;&gt;"",ISNUMBER(D207)),B207&amp;"|"&amp;C207&amp;"|"&amp;TEXT(D207,"yyyymmdd")&amp;"|"&amp;E207&amp;"|"&amp;F207,"")</x:f>
        <x:v>E0|2025/26|20260107|Bournemouth|Tottenham</x:v>
      </x:c>
      <x:c r="O207" s="2" t="str">
        <x:f>IF(A207="","",IFERROR(IF(NOT(AND(B207&lt;&gt;"",C207&lt;&gt;"",ISNUMBER(D207),D207&gt;0,E207&lt;&gt;"",F207&lt;&gt;"",E207&lt;&gt;F207,ISNUMBER(G207),ISNUMBER(H207),G207&gt;=0,H207&gt;=0,G207&lt;=100,H207&lt;=100,MOD(G207,1)=0,MOD(H207,1)=0,L207="FT90",S207&gt;0,INDEX(SourceTable[League],MAX(1,S207))=B207,INDEX(SourceTable[Season],MAX(1,S207))=C207,ISNUMBER(K207),K207=INDEX(SourceTable[Retrieved_UTC],MAX(1,S207)),J207&lt;&gt;"",M207&lt;&gt;"")),"INVALID",IF(OR(COUNTIFS('Istoric_Nativ'!$N$6:$N$405,N207,'Istoric_Nativ'!$G$6:$G$405,G207)&lt;&gt;COUNTIF('Istoric_Nativ'!$N$6:$N$405,N207),COUNTIFS('Istoric_Nativ'!$N$6:$N$405,N207,'Istoric_Nativ'!$H$6:$H$405,H207)&lt;&gt;COUNTIF('Istoric_Nativ'!$N$6:$N$405,N207)),"SOURCE CONFLICT",IF(COUNTIF($N$6:N207,N207)&gt;1,"DUPLICATE","VALID"))),"INVALID"))</x:f>
        <x:v>VALID</x:v>
      </x:c>
      <x:c r="P207" s="2" t="n">
        <x:f>IF(O207="VALID",1,0)</x:f>
        <x:v>1</x:v>
      </x:c>
      <x:c r="Q207" s="2" t="n">
        <x:f>IF(P207=1,G207+H207,0)</x:f>
        <x:v>10</x:v>
      </x:c>
      <x:c r="R207" s="2" t="n">
        <x:f>Q207^2</x:f>
        <x:v>100</x:v>
      </x:c>
      <x:c r="S207" s="2" t="n">
        <x:f>IF(A207="","",IFERROR(MATCH(I207,SourceTable[Source_ID],0),0))</x:f>
        <x:v>1</x:v>
      </x:c>
    </x:row>
    <x:row r="208" ht="21" customHeight="1">
      <x:c r="A208" s="7" t="str">
        <x:v>f31b48f08747f283967d</x:v>
      </x:c>
      <x:c r="B208" s="7" t="str">
        <x:v>E0</x:v>
      </x:c>
      <x:c r="C208" s="7" t="str">
        <x:v>2025/26</x:v>
      </x:c>
      <x:c r="D208" s="8" t="n">
        <x:v>46029</x:v>
      </x:c>
      <x:c r="E208" s="7" t="str">
        <x:v>Brentford</x:v>
      </x:c>
      <x:c r="F208" s="7" t="str">
        <x:v>Sunderland</x:v>
      </x:c>
      <x:c r="G208" s="7" t="n">
        <x:v>7</x:v>
      </x:c>
      <x:c r="H208" s="7" t="n">
        <x:v>4</x:v>
      </x:c>
      <x:c r="I208" s="7" t="str">
        <x:v>FD_E0_2526</x:v>
      </x:c>
      <x:c r="J208" s="7" t="str">
        <x:v>https://www.football-data.co.uk/mmz4281/2526/E0.csv</x:v>
      </x:c>
      <x:c r="K208" s="8" t="n">
        <x:v>46278.70306712963</x:v>
      </x:c>
      <x:c r="L208" s="7" t="str">
        <x:v>FT90</x:v>
      </x:c>
      <x:c r="M208" s="7" t="str">
        <x:v>CSV row 204</x:v>
      </x:c>
      <x:c r="N208" s="2" t="str">
        <x:f>IF(AND(A208&lt;&gt;"",ISNUMBER(D208)),B208&amp;"|"&amp;C208&amp;"|"&amp;TEXT(D208,"yyyymmdd")&amp;"|"&amp;E208&amp;"|"&amp;F208,"")</x:f>
        <x:v>E0|2025/26|20260107|Brentford|Sunderland</x:v>
      </x:c>
      <x:c r="O208" s="2" t="str">
        <x:f>IF(A208="","",IFERROR(IF(NOT(AND(B208&lt;&gt;"",C208&lt;&gt;"",ISNUMBER(D208),D208&gt;0,E208&lt;&gt;"",F208&lt;&gt;"",E208&lt;&gt;F208,ISNUMBER(G208),ISNUMBER(H208),G208&gt;=0,H208&gt;=0,G208&lt;=100,H208&lt;=100,MOD(G208,1)=0,MOD(H208,1)=0,L208="FT90",S208&gt;0,INDEX(SourceTable[League],MAX(1,S208))=B208,INDEX(SourceTable[Season],MAX(1,S208))=C208,ISNUMBER(K208),K208=INDEX(SourceTable[Retrieved_UTC],MAX(1,S208)),J208&lt;&gt;"",M208&lt;&gt;"")),"INVALID",IF(OR(COUNTIFS('Istoric_Nativ'!$N$6:$N$405,N208,'Istoric_Nativ'!$G$6:$G$405,G208)&lt;&gt;COUNTIF('Istoric_Nativ'!$N$6:$N$405,N208),COUNTIFS('Istoric_Nativ'!$N$6:$N$405,N208,'Istoric_Nativ'!$H$6:$H$405,H208)&lt;&gt;COUNTIF('Istoric_Nativ'!$N$6:$N$405,N208)),"SOURCE CONFLICT",IF(COUNTIF($N$6:N208,N208)&gt;1,"DUPLICATE","VALID"))),"INVALID"))</x:f>
        <x:v>VALID</x:v>
      </x:c>
      <x:c r="P208" s="2" t="n">
        <x:f>IF(O208="VALID",1,0)</x:f>
        <x:v>1</x:v>
      </x:c>
      <x:c r="Q208" s="2" t="n">
        <x:f>IF(P208=1,G208+H208,0)</x:f>
        <x:v>11</x:v>
      </x:c>
      <x:c r="R208" s="2" t="n">
        <x:f>Q208^2</x:f>
        <x:v>121</x:v>
      </x:c>
      <x:c r="S208" s="2" t="n">
        <x:f>IF(A208="","",IFERROR(MATCH(I208,SourceTable[Source_ID],0),0))</x:f>
        <x:v>1</x:v>
      </x:c>
    </x:row>
    <x:row r="209" ht="21" customHeight="1">
      <x:c r="A209" s="7" t="str">
        <x:v>08937504945033871f1b</x:v>
      </x:c>
      <x:c r="B209" s="7" t="str">
        <x:v>E0</x:v>
      </x:c>
      <x:c r="C209" s="7" t="str">
        <x:v>2025/26</x:v>
      </x:c>
      <x:c r="D209" s="8" t="n">
        <x:v>46029</x:v>
      </x:c>
      <x:c r="E209" s="7" t="str">
        <x:v>Burnley</x:v>
      </x:c>
      <x:c r="F209" s="7" t="str">
        <x:v>Man United</x:v>
      </x:c>
      <x:c r="G209" s="7" t="n">
        <x:v>2</x:v>
      </x:c>
      <x:c r="H209" s="7" t="n">
        <x:v>6</x:v>
      </x:c>
      <x:c r="I209" s="7" t="str">
        <x:v>FD_E0_2526</x:v>
      </x:c>
      <x:c r="J209" s="7" t="str">
        <x:v>https://www.football-data.co.uk/mmz4281/2526/E0.csv</x:v>
      </x:c>
      <x:c r="K209" s="8" t="n">
        <x:v>46278.70306712963</x:v>
      </x:c>
      <x:c r="L209" s="7" t="str">
        <x:v>FT90</x:v>
      </x:c>
      <x:c r="M209" s="7" t="str">
        <x:v>CSV row 209</x:v>
      </x:c>
      <x:c r="N209" s="2" t="str">
        <x:f>IF(AND(A209&lt;&gt;"",ISNUMBER(D209)),B209&amp;"|"&amp;C209&amp;"|"&amp;TEXT(D209,"yyyymmdd")&amp;"|"&amp;E209&amp;"|"&amp;F209,"")</x:f>
        <x:v>E0|2025/26|20260107|Burnley|Man United</x:v>
      </x:c>
      <x:c r="O209" s="2" t="str">
        <x:f>IF(A209="","",IFERROR(IF(NOT(AND(B209&lt;&gt;"",C209&lt;&gt;"",ISNUMBER(D209),D209&gt;0,E209&lt;&gt;"",F209&lt;&gt;"",E209&lt;&gt;F209,ISNUMBER(G209),ISNUMBER(H209),G209&gt;=0,H209&gt;=0,G209&lt;=100,H209&lt;=100,MOD(G209,1)=0,MOD(H209,1)=0,L209="FT90",S209&gt;0,INDEX(SourceTable[League],MAX(1,S209))=B209,INDEX(SourceTable[Season],MAX(1,S209))=C209,ISNUMBER(K209),K209=INDEX(SourceTable[Retrieved_UTC],MAX(1,S209)),J209&lt;&gt;"",M209&lt;&gt;"")),"INVALID",IF(OR(COUNTIFS('Istoric_Nativ'!$N$6:$N$405,N209,'Istoric_Nativ'!$G$6:$G$405,G209)&lt;&gt;COUNTIF('Istoric_Nativ'!$N$6:$N$405,N209),COUNTIFS('Istoric_Nativ'!$N$6:$N$405,N209,'Istoric_Nativ'!$H$6:$H$405,H209)&lt;&gt;COUNTIF('Istoric_Nativ'!$N$6:$N$405,N209)),"SOURCE CONFLICT",IF(COUNTIF($N$6:N209,N209)&gt;1,"DUPLICATE","VALID"))),"INVALID"))</x:f>
        <x:v>VALID</x:v>
      </x:c>
      <x:c r="P209" s="2" t="n">
        <x:f>IF(O209="VALID",1,0)</x:f>
        <x:v>1</x:v>
      </x:c>
      <x:c r="Q209" s="2" t="n">
        <x:f>IF(P209=1,G209+H209,0)</x:f>
        <x:v>8</x:v>
      </x:c>
      <x:c r="R209" s="2" t="n">
        <x:f>Q209^2</x:f>
        <x:v>64</x:v>
      </x:c>
      <x:c r="S209" s="2" t="n">
        <x:f>IF(A209="","",IFERROR(MATCH(I209,SourceTable[Source_ID],0),0))</x:f>
        <x:v>1</x:v>
      </x:c>
    </x:row>
    <x:row r="210" ht="21" customHeight="1">
      <x:c r="A210" s="7" t="str">
        <x:v>cbdf8475596f79354f86</x:v>
      </x:c>
      <x:c r="B210" s="7" t="str">
        <x:v>E0</x:v>
      </x:c>
      <x:c r="C210" s="7" t="str">
        <x:v>2025/26</x:v>
      </x:c>
      <x:c r="D210" s="8" t="n">
        <x:v>46029</x:v>
      </x:c>
      <x:c r="E210" s="7" t="str">
        <x:v>Crystal Palace</x:v>
      </x:c>
      <x:c r="F210" s="7" t="str">
        <x:v>Aston Villa</x:v>
      </x:c>
      <x:c r="G210" s="7" t="n">
        <x:v>3</x:v>
      </x:c>
      <x:c r="H210" s="7" t="n">
        <x:v>5</x:v>
      </x:c>
      <x:c r="I210" s="7" t="str">
        <x:v>FD_E0_2526</x:v>
      </x:c>
      <x:c r="J210" s="7" t="str">
        <x:v>https://www.football-data.co.uk/mmz4281/2526/E0.csv</x:v>
      </x:c>
      <x:c r="K210" s="8" t="n">
        <x:v>46278.70306712963</x:v>
      </x:c>
      <x:c r="L210" s="7" t="str">
        <x:v>FT90</x:v>
      </x:c>
      <x:c r="M210" s="7" t="str">
        <x:v>CSV row 205</x:v>
      </x:c>
      <x:c r="N210" s="2" t="str">
        <x:f>IF(AND(A210&lt;&gt;"",ISNUMBER(D210)),B210&amp;"|"&amp;C210&amp;"|"&amp;TEXT(D210,"yyyymmdd")&amp;"|"&amp;E210&amp;"|"&amp;F210,"")</x:f>
        <x:v>E0|2025/26|20260107|Crystal Palace|Aston Villa</x:v>
      </x:c>
      <x:c r="O210" s="2" t="str">
        <x:f>IF(A210="","",IFERROR(IF(NOT(AND(B210&lt;&gt;"",C210&lt;&gt;"",ISNUMBER(D210),D210&gt;0,E210&lt;&gt;"",F210&lt;&gt;"",E210&lt;&gt;F210,ISNUMBER(G210),ISNUMBER(H210),G210&gt;=0,H210&gt;=0,G210&lt;=100,H210&lt;=100,MOD(G210,1)=0,MOD(H210,1)=0,L210="FT90",S210&gt;0,INDEX(SourceTable[League],MAX(1,S210))=B210,INDEX(SourceTable[Season],MAX(1,S210))=C210,ISNUMBER(K210),K210=INDEX(SourceTable[Retrieved_UTC],MAX(1,S210)),J210&lt;&gt;"",M210&lt;&gt;"")),"INVALID",IF(OR(COUNTIFS('Istoric_Nativ'!$N$6:$N$405,N210,'Istoric_Nativ'!$G$6:$G$405,G210)&lt;&gt;COUNTIF('Istoric_Nativ'!$N$6:$N$405,N210),COUNTIFS('Istoric_Nativ'!$N$6:$N$405,N210,'Istoric_Nativ'!$H$6:$H$405,H210)&lt;&gt;COUNTIF('Istoric_Nativ'!$N$6:$N$405,N210)),"SOURCE CONFLICT",IF(COUNTIF($N$6:N210,N210)&gt;1,"DUPLICATE","VALID"))),"INVALID"))</x:f>
        <x:v>VALID</x:v>
      </x:c>
      <x:c r="P210" s="2" t="n">
        <x:f>IF(O210="VALID",1,0)</x:f>
        <x:v>1</x:v>
      </x:c>
      <x:c r="Q210" s="2" t="n">
        <x:f>IF(P210=1,G210+H210,0)</x:f>
        <x:v>8</x:v>
      </x:c>
      <x:c r="R210" s="2" t="n">
        <x:f>Q210^2</x:f>
        <x:v>64</x:v>
      </x:c>
      <x:c r="S210" s="2" t="n">
        <x:f>IF(A210="","",IFERROR(MATCH(I210,SourceTable[Source_ID],0),0))</x:f>
        <x:v>1</x:v>
      </x:c>
    </x:row>
    <x:row r="211" ht="21" customHeight="1">
      <x:c r="A211" s="7" t="str">
        <x:v>87b7e8ec1f77535df629</x:v>
      </x:c>
      <x:c r="B211" s="7" t="str">
        <x:v>E0</x:v>
      </x:c>
      <x:c r="C211" s="7" t="str">
        <x:v>2025/26</x:v>
      </x:c>
      <x:c r="D211" s="8" t="n">
        <x:v>46029</x:v>
      </x:c>
      <x:c r="E211" s="7" t="str">
        <x:v>Everton</x:v>
      </x:c>
      <x:c r="F211" s="7" t="str">
        <x:v>Wolves</x:v>
      </x:c>
      <x:c r="G211" s="7" t="n">
        <x:v>2</x:v>
      </x:c>
      <x:c r="H211" s="7" t="n">
        <x:v>7</x:v>
      </x:c>
      <x:c r="I211" s="7" t="str">
        <x:v>FD_E0_2526</x:v>
      </x:c>
      <x:c r="J211" s="7" t="str">
        <x:v>https://www.football-data.co.uk/mmz4281/2526/E0.csv</x:v>
      </x:c>
      <x:c r="K211" s="8" t="n">
        <x:v>46278.70306712963</x:v>
      </x:c>
      <x:c r="L211" s="7" t="str">
        <x:v>FT90</x:v>
      </x:c>
      <x:c r="M211" s="7" t="str">
        <x:v>CSV row 206</x:v>
      </x:c>
      <x:c r="N211" s="2" t="str">
        <x:f>IF(AND(A211&lt;&gt;"",ISNUMBER(D211)),B211&amp;"|"&amp;C211&amp;"|"&amp;TEXT(D211,"yyyymmdd")&amp;"|"&amp;E211&amp;"|"&amp;F211,"")</x:f>
        <x:v>E0|2025/26|20260107|Everton|Wolves</x:v>
      </x:c>
      <x:c r="O211" s="2" t="str">
        <x:f>IF(A211="","",IFERROR(IF(NOT(AND(B211&lt;&gt;"",C211&lt;&gt;"",ISNUMBER(D211),D211&gt;0,E211&lt;&gt;"",F211&lt;&gt;"",E211&lt;&gt;F211,ISNUMBER(G211),ISNUMBER(H211),G211&gt;=0,H211&gt;=0,G211&lt;=100,H211&lt;=100,MOD(G211,1)=0,MOD(H211,1)=0,L211="FT90",S211&gt;0,INDEX(SourceTable[League],MAX(1,S211))=B211,INDEX(SourceTable[Season],MAX(1,S211))=C211,ISNUMBER(K211),K211=INDEX(SourceTable[Retrieved_UTC],MAX(1,S211)),J211&lt;&gt;"",M211&lt;&gt;"")),"INVALID",IF(OR(COUNTIFS('Istoric_Nativ'!$N$6:$N$405,N211,'Istoric_Nativ'!$G$6:$G$405,G211)&lt;&gt;COUNTIF('Istoric_Nativ'!$N$6:$N$405,N211),COUNTIFS('Istoric_Nativ'!$N$6:$N$405,N211,'Istoric_Nativ'!$H$6:$H$405,H211)&lt;&gt;COUNTIF('Istoric_Nativ'!$N$6:$N$405,N211)),"SOURCE CONFLICT",IF(COUNTIF($N$6:N211,N211)&gt;1,"DUPLICATE","VALID"))),"INVALID"))</x:f>
        <x:v>VALID</x:v>
      </x:c>
      <x:c r="P211" s="2" t="n">
        <x:f>IF(O211="VALID",1,0)</x:f>
        <x:v>1</x:v>
      </x:c>
      <x:c r="Q211" s="2" t="n">
        <x:f>IF(P211=1,G211+H211,0)</x:f>
        <x:v>9</x:v>
      </x:c>
      <x:c r="R211" s="2" t="n">
        <x:f>Q211^2</x:f>
        <x:v>81</x:v>
      </x:c>
      <x:c r="S211" s="2" t="n">
        <x:f>IF(A211="","",IFERROR(MATCH(I211,SourceTable[Source_ID],0),0))</x:f>
        <x:v>1</x:v>
      </x:c>
    </x:row>
    <x:row r="212" ht="21" customHeight="1">
      <x:c r="A212" s="7" t="str">
        <x:v>14fd37db84d6510422ad</x:v>
      </x:c>
      <x:c r="B212" s="7" t="str">
        <x:v>E0</x:v>
      </x:c>
      <x:c r="C212" s="7" t="str">
        <x:v>2025/26</x:v>
      </x:c>
      <x:c r="D212" s="8" t="n">
        <x:v>46029</x:v>
      </x:c>
      <x:c r="E212" s="7" t="str">
        <x:v>Fulham</x:v>
      </x:c>
      <x:c r="F212" s="7" t="str">
        <x:v>Chelsea</x:v>
      </x:c>
      <x:c r="G212" s="7" t="n">
        <x:v>2</x:v>
      </x:c>
      <x:c r="H212" s="7" t="n">
        <x:v>11</x:v>
      </x:c>
      <x:c r="I212" s="7" t="str">
        <x:v>FD_E0_2526</x:v>
      </x:c>
      <x:c r="J212" s="7" t="str">
        <x:v>https://www.football-data.co.uk/mmz4281/2526/E0.csv</x:v>
      </x:c>
      <x:c r="K212" s="8" t="n">
        <x:v>46278.70306712963</x:v>
      </x:c>
      <x:c r="L212" s="7" t="str">
        <x:v>FT90</x:v>
      </x:c>
      <x:c r="M212" s="7" t="str">
        <x:v>CSV row 207</x:v>
      </x:c>
      <x:c r="N212" s="2" t="str">
        <x:f>IF(AND(A212&lt;&gt;"",ISNUMBER(D212)),B212&amp;"|"&amp;C212&amp;"|"&amp;TEXT(D212,"yyyymmdd")&amp;"|"&amp;E212&amp;"|"&amp;F212,"")</x:f>
        <x:v>E0|2025/26|20260107|Fulham|Chelsea</x:v>
      </x:c>
      <x:c r="O212" s="2" t="str">
        <x:f>IF(A212="","",IFERROR(IF(NOT(AND(B212&lt;&gt;"",C212&lt;&gt;"",ISNUMBER(D212),D212&gt;0,E212&lt;&gt;"",F212&lt;&gt;"",E212&lt;&gt;F212,ISNUMBER(G212),ISNUMBER(H212),G212&gt;=0,H212&gt;=0,G212&lt;=100,H212&lt;=100,MOD(G212,1)=0,MOD(H212,1)=0,L212="FT90",S212&gt;0,INDEX(SourceTable[League],MAX(1,S212))=B212,INDEX(SourceTable[Season],MAX(1,S212))=C212,ISNUMBER(K212),K212=INDEX(SourceTable[Retrieved_UTC],MAX(1,S212)),J212&lt;&gt;"",M212&lt;&gt;"")),"INVALID",IF(OR(COUNTIFS('Istoric_Nativ'!$N$6:$N$405,N212,'Istoric_Nativ'!$G$6:$G$405,G212)&lt;&gt;COUNTIF('Istoric_Nativ'!$N$6:$N$405,N212),COUNTIFS('Istoric_Nativ'!$N$6:$N$405,N212,'Istoric_Nativ'!$H$6:$H$405,H212)&lt;&gt;COUNTIF('Istoric_Nativ'!$N$6:$N$405,N212)),"SOURCE CONFLICT",IF(COUNTIF($N$6:N212,N212)&gt;1,"DUPLICATE","VALID"))),"INVALID"))</x:f>
        <x:v>VALID</x:v>
      </x:c>
      <x:c r="P212" s="2" t="n">
        <x:f>IF(O212="VALID",1,0)</x:f>
        <x:v>1</x:v>
      </x:c>
      <x:c r="Q212" s="2" t="n">
        <x:f>IF(P212=1,G212+H212,0)</x:f>
        <x:v>13</x:v>
      </x:c>
      <x:c r="R212" s="2" t="n">
        <x:f>Q212^2</x:f>
        <x:v>169</x:v>
      </x:c>
      <x:c r="S212" s="2" t="n">
        <x:f>IF(A212="","",IFERROR(MATCH(I212,SourceTable[Source_ID],0),0))</x:f>
        <x:v>1</x:v>
      </x:c>
    </x:row>
    <x:row r="213" ht="21" customHeight="1">
      <x:c r="A213" s="7" t="str">
        <x:v>1c6c15de721651f22f19</x:v>
      </x:c>
      <x:c r="B213" s="7" t="str">
        <x:v>E0</x:v>
      </x:c>
      <x:c r="C213" s="7" t="str">
        <x:v>2025/26</x:v>
      </x:c>
      <x:c r="D213" s="8" t="n">
        <x:v>46029</x:v>
      </x:c>
      <x:c r="E213" s="7" t="str">
        <x:v>Man City</x:v>
      </x:c>
      <x:c r="F213" s="7" t="str">
        <x:v>Brighton</x:v>
      </x:c>
      <x:c r="G213" s="7" t="n">
        <x:v>6</x:v>
      </x:c>
      <x:c r="H213" s="7" t="n">
        <x:v>2</x:v>
      </x:c>
      <x:c r="I213" s="7" t="str">
        <x:v>FD_E0_2526</x:v>
      </x:c>
      <x:c r="J213" s="7" t="str">
        <x:v>https://www.football-data.co.uk/mmz4281/2526/E0.csv</x:v>
      </x:c>
      <x:c r="K213" s="8" t="n">
        <x:v>46278.70306712963</x:v>
      </x:c>
      <x:c r="L213" s="7" t="str">
        <x:v>FT90</x:v>
      </x:c>
      <x:c r="M213" s="7" t="str">
        <x:v>CSV row 208</x:v>
      </x:c>
      <x:c r="N213" s="2" t="str">
        <x:f>IF(AND(A213&lt;&gt;"",ISNUMBER(D213)),B213&amp;"|"&amp;C213&amp;"|"&amp;TEXT(D213,"yyyymmdd")&amp;"|"&amp;E213&amp;"|"&amp;F213,"")</x:f>
        <x:v>E0|2025/26|20260107|Man City|Brighton</x:v>
      </x:c>
      <x:c r="O213" s="2" t="str">
        <x:f>IF(A213="","",IFERROR(IF(NOT(AND(B213&lt;&gt;"",C213&lt;&gt;"",ISNUMBER(D213),D213&gt;0,E213&lt;&gt;"",F213&lt;&gt;"",E213&lt;&gt;F213,ISNUMBER(G213),ISNUMBER(H213),G213&gt;=0,H213&gt;=0,G213&lt;=100,H213&lt;=100,MOD(G213,1)=0,MOD(H213,1)=0,L213="FT90",S213&gt;0,INDEX(SourceTable[League],MAX(1,S213))=B213,INDEX(SourceTable[Season],MAX(1,S213))=C213,ISNUMBER(K213),K213=INDEX(SourceTable[Retrieved_UTC],MAX(1,S213)),J213&lt;&gt;"",M213&lt;&gt;"")),"INVALID",IF(OR(COUNTIFS('Istoric_Nativ'!$N$6:$N$405,N213,'Istoric_Nativ'!$G$6:$G$405,G213)&lt;&gt;COUNTIF('Istoric_Nativ'!$N$6:$N$405,N213),COUNTIFS('Istoric_Nativ'!$N$6:$N$405,N213,'Istoric_Nativ'!$H$6:$H$405,H213)&lt;&gt;COUNTIF('Istoric_Nativ'!$N$6:$N$405,N213)),"SOURCE CONFLICT",IF(COUNTIF($N$6:N213,N213)&gt;1,"DUPLICATE","VALID"))),"INVALID"))</x:f>
        <x:v>VALID</x:v>
      </x:c>
      <x:c r="P213" s="2" t="n">
        <x:f>IF(O213="VALID",1,0)</x:f>
        <x:v>1</x:v>
      </x:c>
      <x:c r="Q213" s="2" t="n">
        <x:f>IF(P213=1,G213+H213,0)</x:f>
        <x:v>8</x:v>
      </x:c>
      <x:c r="R213" s="2" t="n">
        <x:f>Q213^2</x:f>
        <x:v>64</x:v>
      </x:c>
      <x:c r="S213" s="2" t="n">
        <x:f>IF(A213="","",IFERROR(MATCH(I213,SourceTable[Source_ID],0),0))</x:f>
        <x:v>1</x:v>
      </x:c>
    </x:row>
    <x:row r="214" ht="21" customHeight="1">
      <x:c r="A214" s="7" t="str">
        <x:v>3c3dc9feb4a8384173c4</x:v>
      </x:c>
      <x:c r="B214" s="7" t="str">
        <x:v>E0</x:v>
      </x:c>
      <x:c r="C214" s="7" t="str">
        <x:v>2025/26</x:v>
      </x:c>
      <x:c r="D214" s="8" t="n">
        <x:v>46029</x:v>
      </x:c>
      <x:c r="E214" s="7" t="str">
        <x:v>Newcastle</x:v>
      </x:c>
      <x:c r="F214" s="7" t="str">
        <x:v>Leeds</x:v>
      </x:c>
      <x:c r="G214" s="7" t="n">
        <x:v>8</x:v>
      </x:c>
      <x:c r="H214" s="7" t="n">
        <x:v>4</x:v>
      </x:c>
      <x:c r="I214" s="7" t="str">
        <x:v>FD_E0_2526</x:v>
      </x:c>
      <x:c r="J214" s="7" t="str">
        <x:v>https://www.football-data.co.uk/mmz4281/2526/E0.csv</x:v>
      </x:c>
      <x:c r="K214" s="8" t="n">
        <x:v>46278.70306712963</x:v>
      </x:c>
      <x:c r="L214" s="7" t="str">
        <x:v>FT90</x:v>
      </x:c>
      <x:c r="M214" s="7" t="str">
        <x:v>CSV row 210</x:v>
      </x:c>
      <x:c r="N214" s="2" t="str">
        <x:f>IF(AND(A214&lt;&gt;"",ISNUMBER(D214)),B214&amp;"|"&amp;C214&amp;"|"&amp;TEXT(D214,"yyyymmdd")&amp;"|"&amp;E214&amp;"|"&amp;F214,"")</x:f>
        <x:v>E0|2025/26|20260107|Newcastle|Leeds</x:v>
      </x:c>
      <x:c r="O214" s="2" t="str">
        <x:f>IF(A214="","",IFERROR(IF(NOT(AND(B214&lt;&gt;"",C214&lt;&gt;"",ISNUMBER(D214),D214&gt;0,E214&lt;&gt;"",F214&lt;&gt;"",E214&lt;&gt;F214,ISNUMBER(G214),ISNUMBER(H214),G214&gt;=0,H214&gt;=0,G214&lt;=100,H214&lt;=100,MOD(G214,1)=0,MOD(H214,1)=0,L214="FT90",S214&gt;0,INDEX(SourceTable[League],MAX(1,S214))=B214,INDEX(SourceTable[Season],MAX(1,S214))=C214,ISNUMBER(K214),K214=INDEX(SourceTable[Retrieved_UTC],MAX(1,S214)),J214&lt;&gt;"",M214&lt;&gt;"")),"INVALID",IF(OR(COUNTIFS('Istoric_Nativ'!$N$6:$N$405,N214,'Istoric_Nativ'!$G$6:$G$405,G214)&lt;&gt;COUNTIF('Istoric_Nativ'!$N$6:$N$405,N214),COUNTIFS('Istoric_Nativ'!$N$6:$N$405,N214,'Istoric_Nativ'!$H$6:$H$405,H214)&lt;&gt;COUNTIF('Istoric_Nativ'!$N$6:$N$405,N214)),"SOURCE CONFLICT",IF(COUNTIF($N$6:N214,N214)&gt;1,"DUPLICATE","VALID"))),"INVALID"))</x:f>
        <x:v>VALID</x:v>
      </x:c>
      <x:c r="P214" s="2" t="n">
        <x:f>IF(O214="VALID",1,0)</x:f>
        <x:v>1</x:v>
      </x:c>
      <x:c r="Q214" s="2" t="n">
        <x:f>IF(P214=1,G214+H214,0)</x:f>
        <x:v>12</x:v>
      </x:c>
      <x:c r="R214" s="2" t="n">
        <x:f>Q214^2</x:f>
        <x:v>144</x:v>
      </x:c>
      <x:c r="S214" s="2" t="n">
        <x:f>IF(A214="","",IFERROR(MATCH(I214,SourceTable[Source_ID],0),0))</x:f>
        <x:v>1</x:v>
      </x:c>
    </x:row>
    <x:row r="215" ht="21" customHeight="1">
      <x:c r="A215" s="7" t="str">
        <x:v>31be89c06f4bec63a74a</x:v>
      </x:c>
      <x:c r="B215" s="7" t="str">
        <x:v>E0</x:v>
      </x:c>
      <x:c r="C215" s="7" t="str">
        <x:v>2025/26</x:v>
      </x:c>
      <x:c r="D215" s="8" t="n">
        <x:v>46030</x:v>
      </x:c>
      <x:c r="E215" s="7" t="str">
        <x:v>Arsenal</x:v>
      </x:c>
      <x:c r="F215" s="7" t="str">
        <x:v>Liverpool</x:v>
      </x:c>
      <x:c r="G215" s="7" t="n">
        <x:v>3</x:v>
      </x:c>
      <x:c r="H215" s="7" t="n">
        <x:v>0</x:v>
      </x:c>
      <x:c r="I215" s="7" t="str">
        <x:v>FD_E0_2526</x:v>
      </x:c>
      <x:c r="J215" s="7" t="str">
        <x:v>https://www.football-data.co.uk/mmz4281/2526/E0.csv</x:v>
      </x:c>
      <x:c r="K215" s="8" t="n">
        <x:v>46278.70306712963</x:v>
      </x:c>
      <x:c r="L215" s="7" t="str">
        <x:v>FT90</x:v>
      </x:c>
      <x:c r="M215" s="7" t="str">
        <x:v>CSV row 211</x:v>
      </x:c>
      <x:c r="N215" s="2" t="str">
        <x:f>IF(AND(A215&lt;&gt;"",ISNUMBER(D215)),B215&amp;"|"&amp;C215&amp;"|"&amp;TEXT(D215,"yyyymmdd")&amp;"|"&amp;E215&amp;"|"&amp;F215,"")</x:f>
        <x:v>E0|2025/26|20260108|Arsenal|Liverpool</x:v>
      </x:c>
      <x:c r="O215" s="2" t="str">
        <x:f>IF(A215="","",IFERROR(IF(NOT(AND(B215&lt;&gt;"",C215&lt;&gt;"",ISNUMBER(D215),D215&gt;0,E215&lt;&gt;"",F215&lt;&gt;"",E215&lt;&gt;F215,ISNUMBER(G215),ISNUMBER(H215),G215&gt;=0,H215&gt;=0,G215&lt;=100,H215&lt;=100,MOD(G215,1)=0,MOD(H215,1)=0,L215="FT90",S215&gt;0,INDEX(SourceTable[League],MAX(1,S215))=B215,INDEX(SourceTable[Season],MAX(1,S215))=C215,ISNUMBER(K215),K215=INDEX(SourceTable[Retrieved_UTC],MAX(1,S215)),J215&lt;&gt;"",M215&lt;&gt;"")),"INVALID",IF(OR(COUNTIFS('Istoric_Nativ'!$N$6:$N$405,N215,'Istoric_Nativ'!$G$6:$G$405,G215)&lt;&gt;COUNTIF('Istoric_Nativ'!$N$6:$N$405,N215),COUNTIFS('Istoric_Nativ'!$N$6:$N$405,N215,'Istoric_Nativ'!$H$6:$H$405,H215)&lt;&gt;COUNTIF('Istoric_Nativ'!$N$6:$N$405,N215)),"SOURCE CONFLICT",IF(COUNTIF($N$6:N215,N215)&gt;1,"DUPLICATE","VALID"))),"INVALID"))</x:f>
        <x:v>VALID</x:v>
      </x:c>
      <x:c r="P215" s="2" t="n">
        <x:f>IF(O215="VALID",1,0)</x:f>
        <x:v>1</x:v>
      </x:c>
      <x:c r="Q215" s="2" t="n">
        <x:f>IF(P215=1,G215+H215,0)</x:f>
        <x:v>3</x:v>
      </x:c>
      <x:c r="R215" s="2" t="n">
        <x:f>Q215^2</x:f>
        <x:v>9</x:v>
      </x:c>
      <x:c r="S215" s="2" t="n">
        <x:f>IF(A215="","",IFERROR(MATCH(I215,SourceTable[Source_ID],0),0))</x:f>
        <x:v>1</x:v>
      </x:c>
    </x:row>
    <x:row r="216" ht="21" customHeight="1">
      <x:c r="A216" s="7" t="str">
        <x:v>42d0a48ddccfd76be1c8</x:v>
      </x:c>
      <x:c r="B216" s="7" t="str">
        <x:v>E0</x:v>
      </x:c>
      <x:c r="C216" s="7" t="str">
        <x:v>2025/26</x:v>
      </x:c>
      <x:c r="D216" s="8" t="n">
        <x:v>46039</x:v>
      </x:c>
      <x:c r="E216" s="7" t="str">
        <x:v>Chelsea</x:v>
      </x:c>
      <x:c r="F216" s="7" t="str">
        <x:v>Brentford</x:v>
      </x:c>
      <x:c r="G216" s="7" t="n">
        <x:v>3</x:v>
      </x:c>
      <x:c r="H216" s="7" t="n">
        <x:v>9</x:v>
      </x:c>
      <x:c r="I216" s="7" t="str">
        <x:v>FD_E0_2526</x:v>
      </x:c>
      <x:c r="J216" s="7" t="str">
        <x:v>https://www.football-data.co.uk/mmz4281/2526/E0.csv</x:v>
      </x:c>
      <x:c r="K216" s="8" t="n">
        <x:v>46278.70306712963</x:v>
      </x:c>
      <x:c r="L216" s="7" t="str">
        <x:v>FT90</x:v>
      </x:c>
      <x:c r="M216" s="7" t="str">
        <x:v>CSV row 213</x:v>
      </x:c>
      <x:c r="N216" s="2" t="str">
        <x:f>IF(AND(A216&lt;&gt;"",ISNUMBER(D216)),B216&amp;"|"&amp;C216&amp;"|"&amp;TEXT(D216,"yyyymmdd")&amp;"|"&amp;E216&amp;"|"&amp;F216,"")</x:f>
        <x:v>E0|2025/26|20260117|Chelsea|Brentford</x:v>
      </x:c>
      <x:c r="O216" s="2" t="str">
        <x:f>IF(A216="","",IFERROR(IF(NOT(AND(B216&lt;&gt;"",C216&lt;&gt;"",ISNUMBER(D216),D216&gt;0,E216&lt;&gt;"",F216&lt;&gt;"",E216&lt;&gt;F216,ISNUMBER(G216),ISNUMBER(H216),G216&gt;=0,H216&gt;=0,G216&lt;=100,H216&lt;=100,MOD(G216,1)=0,MOD(H216,1)=0,L216="FT90",S216&gt;0,INDEX(SourceTable[League],MAX(1,S216))=B216,INDEX(SourceTable[Season],MAX(1,S216))=C216,ISNUMBER(K216),K216=INDEX(SourceTable[Retrieved_UTC],MAX(1,S216)),J216&lt;&gt;"",M216&lt;&gt;"")),"INVALID",IF(OR(COUNTIFS('Istoric_Nativ'!$N$6:$N$405,N216,'Istoric_Nativ'!$G$6:$G$405,G216)&lt;&gt;COUNTIF('Istoric_Nativ'!$N$6:$N$405,N216),COUNTIFS('Istoric_Nativ'!$N$6:$N$405,N216,'Istoric_Nativ'!$H$6:$H$405,H216)&lt;&gt;COUNTIF('Istoric_Nativ'!$N$6:$N$405,N216)),"SOURCE CONFLICT",IF(COUNTIF($N$6:N216,N216)&gt;1,"DUPLICATE","VALID"))),"INVALID"))</x:f>
        <x:v>VALID</x:v>
      </x:c>
      <x:c r="P216" s="2" t="n">
        <x:f>IF(O216="VALID",1,0)</x:f>
        <x:v>1</x:v>
      </x:c>
      <x:c r="Q216" s="2" t="n">
        <x:f>IF(P216=1,G216+H216,0)</x:f>
        <x:v>12</x:v>
      </x:c>
      <x:c r="R216" s="2" t="n">
        <x:f>Q216^2</x:f>
        <x:v>144</x:v>
      </x:c>
      <x:c r="S216" s="2" t="n">
        <x:f>IF(A216="","",IFERROR(MATCH(I216,SourceTable[Source_ID],0),0))</x:f>
        <x:v>1</x:v>
      </x:c>
    </x:row>
    <x:row r="217" ht="21" customHeight="1">
      <x:c r="A217" s="7" t="str">
        <x:v>1170fed067dfd4b2e9d5</x:v>
      </x:c>
      <x:c r="B217" s="7" t="str">
        <x:v>E0</x:v>
      </x:c>
      <x:c r="C217" s="7" t="str">
        <x:v>2025/26</x:v>
      </x:c>
      <x:c r="D217" s="8" t="n">
        <x:v>46039</x:v>
      </x:c>
      <x:c r="E217" s="7" t="str">
        <x:v>Leeds</x:v>
      </x:c>
      <x:c r="F217" s="7" t="str">
        <x:v>Fulham</x:v>
      </x:c>
      <x:c r="G217" s="7" t="n">
        <x:v>7</x:v>
      </x:c>
      <x:c r="H217" s="7" t="n">
        <x:v>3</x:v>
      </x:c>
      <x:c r="I217" s="7" t="str">
        <x:v>FD_E0_2526</x:v>
      </x:c>
      <x:c r="J217" s="7" t="str">
        <x:v>https://www.football-data.co.uk/mmz4281/2526/E0.csv</x:v>
      </x:c>
      <x:c r="K217" s="8" t="n">
        <x:v>46278.70306712963</x:v>
      </x:c>
      <x:c r="L217" s="7" t="str">
        <x:v>FT90</x:v>
      </x:c>
      <x:c r="M217" s="7" t="str">
        <x:v>CSV row 214</x:v>
      </x:c>
      <x:c r="N217" s="2" t="str">
        <x:f>IF(AND(A217&lt;&gt;"",ISNUMBER(D217)),B217&amp;"|"&amp;C217&amp;"|"&amp;TEXT(D217,"yyyymmdd")&amp;"|"&amp;E217&amp;"|"&amp;F217,"")</x:f>
        <x:v>E0|2025/26|20260117|Leeds|Fulham</x:v>
      </x:c>
      <x:c r="O217" s="2" t="str">
        <x:f>IF(A217="","",IFERROR(IF(NOT(AND(B217&lt;&gt;"",C217&lt;&gt;"",ISNUMBER(D217),D217&gt;0,E217&lt;&gt;"",F217&lt;&gt;"",E217&lt;&gt;F217,ISNUMBER(G217),ISNUMBER(H217),G217&gt;=0,H217&gt;=0,G217&lt;=100,H217&lt;=100,MOD(G217,1)=0,MOD(H217,1)=0,L217="FT90",S217&gt;0,INDEX(SourceTable[League],MAX(1,S217))=B217,INDEX(SourceTable[Season],MAX(1,S217))=C217,ISNUMBER(K217),K217=INDEX(SourceTable[Retrieved_UTC],MAX(1,S217)),J217&lt;&gt;"",M217&lt;&gt;"")),"INVALID",IF(OR(COUNTIFS('Istoric_Nativ'!$N$6:$N$405,N217,'Istoric_Nativ'!$G$6:$G$405,G217)&lt;&gt;COUNTIF('Istoric_Nativ'!$N$6:$N$405,N217),COUNTIFS('Istoric_Nativ'!$N$6:$N$405,N217,'Istoric_Nativ'!$H$6:$H$405,H217)&lt;&gt;COUNTIF('Istoric_Nativ'!$N$6:$N$405,N217)),"SOURCE CONFLICT",IF(COUNTIF($N$6:N217,N217)&gt;1,"DUPLICATE","VALID"))),"INVALID"))</x:f>
        <x:v>VALID</x:v>
      </x:c>
      <x:c r="P217" s="2" t="n">
        <x:f>IF(O217="VALID",1,0)</x:f>
        <x:v>1</x:v>
      </x:c>
      <x:c r="Q217" s="2" t="n">
        <x:f>IF(P217=1,G217+H217,0)</x:f>
        <x:v>10</x:v>
      </x:c>
      <x:c r="R217" s="2" t="n">
        <x:f>Q217^2</x:f>
        <x:v>100</x:v>
      </x:c>
      <x:c r="S217" s="2" t="n">
        <x:f>IF(A217="","",IFERROR(MATCH(I217,SourceTable[Source_ID],0),0))</x:f>
        <x:v>1</x:v>
      </x:c>
    </x:row>
    <x:row r="218" ht="21" customHeight="1">
      <x:c r="A218" s="7" t="str">
        <x:v>0cb9ff0273595cbefc14</x:v>
      </x:c>
      <x:c r="B218" s="7" t="str">
        <x:v>E0</x:v>
      </x:c>
      <x:c r="C218" s="7" t="str">
        <x:v>2025/26</x:v>
      </x:c>
      <x:c r="D218" s="8" t="n">
        <x:v>46039</x:v>
      </x:c>
      <x:c r="E218" s="7" t="str">
        <x:v>Liverpool</x:v>
      </x:c>
      <x:c r="F218" s="7" t="str">
        <x:v>Burnley</x:v>
      </x:c>
      <x:c r="G218" s="7" t="n">
        <x:v>9</x:v>
      </x:c>
      <x:c r="H218" s="7" t="n">
        <x:v>1</x:v>
      </x:c>
      <x:c r="I218" s="7" t="str">
        <x:v>FD_E0_2526</x:v>
      </x:c>
      <x:c r="J218" s="7" t="str">
        <x:v>https://www.football-data.co.uk/mmz4281/2526/E0.csv</x:v>
      </x:c>
      <x:c r="K218" s="8" t="n">
        <x:v>46278.70306712963</x:v>
      </x:c>
      <x:c r="L218" s="7" t="str">
        <x:v>FT90</x:v>
      </x:c>
      <x:c r="M218" s="7" t="str">
        <x:v>CSV row 215</x:v>
      </x:c>
      <x:c r="N218" s="2" t="str">
        <x:f>IF(AND(A218&lt;&gt;"",ISNUMBER(D218)),B218&amp;"|"&amp;C218&amp;"|"&amp;TEXT(D218,"yyyymmdd")&amp;"|"&amp;E218&amp;"|"&amp;F218,"")</x:f>
        <x:v>E0|2025/26|20260117|Liverpool|Burnley</x:v>
      </x:c>
      <x:c r="O218" s="2" t="str">
        <x:f>IF(A218="","",IFERROR(IF(NOT(AND(B218&lt;&gt;"",C218&lt;&gt;"",ISNUMBER(D218),D218&gt;0,E218&lt;&gt;"",F218&lt;&gt;"",E218&lt;&gt;F218,ISNUMBER(G218),ISNUMBER(H218),G218&gt;=0,H218&gt;=0,G218&lt;=100,H218&lt;=100,MOD(G218,1)=0,MOD(H218,1)=0,L218="FT90",S218&gt;0,INDEX(SourceTable[League],MAX(1,S218))=B218,INDEX(SourceTable[Season],MAX(1,S218))=C218,ISNUMBER(K218),K218=INDEX(SourceTable[Retrieved_UTC],MAX(1,S218)),J218&lt;&gt;"",M218&lt;&gt;"")),"INVALID",IF(OR(COUNTIFS('Istoric_Nativ'!$N$6:$N$405,N218,'Istoric_Nativ'!$G$6:$G$405,G218)&lt;&gt;COUNTIF('Istoric_Nativ'!$N$6:$N$405,N218),COUNTIFS('Istoric_Nativ'!$N$6:$N$405,N218,'Istoric_Nativ'!$H$6:$H$405,H218)&lt;&gt;COUNTIF('Istoric_Nativ'!$N$6:$N$405,N218)),"SOURCE CONFLICT",IF(COUNTIF($N$6:N218,N218)&gt;1,"DUPLICATE","VALID"))),"INVALID"))</x:f>
        <x:v>VALID</x:v>
      </x:c>
      <x:c r="P218" s="2" t="n">
        <x:f>IF(O218="VALID",1,0)</x:f>
        <x:v>1</x:v>
      </x:c>
      <x:c r="Q218" s="2" t="n">
        <x:f>IF(P218=1,G218+H218,0)</x:f>
        <x:v>10</x:v>
      </x:c>
      <x:c r="R218" s="2" t="n">
        <x:f>Q218^2</x:f>
        <x:v>100</x:v>
      </x:c>
      <x:c r="S218" s="2" t="n">
        <x:f>IF(A218="","",IFERROR(MATCH(I218,SourceTable[Source_ID],0),0))</x:f>
        <x:v>1</x:v>
      </x:c>
    </x:row>
    <x:row r="219" ht="21" customHeight="1">
      <x:c r="A219" s="7" t="str">
        <x:v>2ad866b88ce95c9f13a6</x:v>
      </x:c>
      <x:c r="B219" s="7" t="str">
        <x:v>E0</x:v>
      </x:c>
      <x:c r="C219" s="7" t="str">
        <x:v>2025/26</x:v>
      </x:c>
      <x:c r="D219" s="8" t="n">
        <x:v>46039</x:v>
      </x:c>
      <x:c r="E219" s="7" t="str">
        <x:v>Man United</x:v>
      </x:c>
      <x:c r="F219" s="7" t="str">
        <x:v>Man City</x:v>
      </x:c>
      <x:c r="G219" s="7" t="n">
        <x:v>1</x:v>
      </x:c>
      <x:c r="H219" s="7" t="n">
        <x:v>6</x:v>
      </x:c>
      <x:c r="I219" s="7" t="str">
        <x:v>FD_E0_2526</x:v>
      </x:c>
      <x:c r="J219" s="7" t="str">
        <x:v>https://www.football-data.co.uk/mmz4281/2526/E0.csv</x:v>
      </x:c>
      <x:c r="K219" s="8" t="n">
        <x:v>46278.70306712963</x:v>
      </x:c>
      <x:c r="L219" s="7" t="str">
        <x:v>FT90</x:v>
      </x:c>
      <x:c r="M219" s="7" t="str">
        <x:v>CSV row 212</x:v>
      </x:c>
      <x:c r="N219" s="2" t="str">
        <x:f>IF(AND(A219&lt;&gt;"",ISNUMBER(D219)),B219&amp;"|"&amp;C219&amp;"|"&amp;TEXT(D219,"yyyymmdd")&amp;"|"&amp;E219&amp;"|"&amp;F219,"")</x:f>
        <x:v>E0|2025/26|20260117|Man United|Man City</x:v>
      </x:c>
      <x:c r="O219" s="2" t="str">
        <x:f>IF(A219="","",IFERROR(IF(NOT(AND(B219&lt;&gt;"",C219&lt;&gt;"",ISNUMBER(D219),D219&gt;0,E219&lt;&gt;"",F219&lt;&gt;"",E219&lt;&gt;F219,ISNUMBER(G219),ISNUMBER(H219),G219&gt;=0,H219&gt;=0,G219&lt;=100,H219&lt;=100,MOD(G219,1)=0,MOD(H219,1)=0,L219="FT90",S219&gt;0,INDEX(SourceTable[League],MAX(1,S219))=B219,INDEX(SourceTable[Season],MAX(1,S219))=C219,ISNUMBER(K219),K219=INDEX(SourceTable[Retrieved_UTC],MAX(1,S219)),J219&lt;&gt;"",M219&lt;&gt;"")),"INVALID",IF(OR(COUNTIFS('Istoric_Nativ'!$N$6:$N$405,N219,'Istoric_Nativ'!$G$6:$G$405,G219)&lt;&gt;COUNTIF('Istoric_Nativ'!$N$6:$N$405,N219),COUNTIFS('Istoric_Nativ'!$N$6:$N$405,N219,'Istoric_Nativ'!$H$6:$H$405,H219)&lt;&gt;COUNTIF('Istoric_Nativ'!$N$6:$N$405,N219)),"SOURCE CONFLICT",IF(COUNTIF($N$6:N219,N219)&gt;1,"DUPLICATE","VALID"))),"INVALID"))</x:f>
        <x:v>VALID</x:v>
      </x:c>
      <x:c r="P219" s="2" t="n">
        <x:f>IF(O219="VALID",1,0)</x:f>
        <x:v>1</x:v>
      </x:c>
      <x:c r="Q219" s="2" t="n">
        <x:f>IF(P219=1,G219+H219,0)</x:f>
        <x:v>7</x:v>
      </x:c>
      <x:c r="R219" s="2" t="n">
        <x:f>Q219^2</x:f>
        <x:v>49</x:v>
      </x:c>
      <x:c r="S219" s="2" t="n">
        <x:f>IF(A219="","",IFERROR(MATCH(I219,SourceTable[Source_ID],0),0))</x:f>
        <x:v>1</x:v>
      </x:c>
    </x:row>
    <x:row r="220" ht="21" customHeight="1">
      <x:c r="A220" s="7" t="str">
        <x:v>39b44403183a9088dcd9</x:v>
      </x:c>
      <x:c r="B220" s="7" t="str">
        <x:v>E0</x:v>
      </x:c>
      <x:c r="C220" s="7" t="str">
        <x:v>2025/26</x:v>
      </x:c>
      <x:c r="D220" s="8" t="n">
        <x:v>46039</x:v>
      </x:c>
      <x:c r="E220" s="7" t="str">
        <x:v>Nott'm Forest</x:v>
      </x:c>
      <x:c r="F220" s="7" t="str">
        <x:v>Arsenal</x:v>
      </x:c>
      <x:c r="G220" s="7" t="n">
        <x:v>4</x:v>
      </x:c>
      <x:c r="H220" s="7" t="n">
        <x:v>9</x:v>
      </x:c>
      <x:c r="I220" s="7" t="str">
        <x:v>FD_E0_2526</x:v>
      </x:c>
      <x:c r="J220" s="7" t="str">
        <x:v>https://www.football-data.co.uk/mmz4281/2526/E0.csv</x:v>
      </x:c>
      <x:c r="K220" s="8" t="n">
        <x:v>46278.70306712963</x:v>
      </x:c>
      <x:c r="L220" s="7" t="str">
        <x:v>FT90</x:v>
      </x:c>
      <x:c r="M220" s="7" t="str">
        <x:v>CSV row 218</x:v>
      </x:c>
      <x:c r="N220" s="2" t="str">
        <x:f>IF(AND(A220&lt;&gt;"",ISNUMBER(D220)),B220&amp;"|"&amp;C220&amp;"|"&amp;TEXT(D220,"yyyymmdd")&amp;"|"&amp;E220&amp;"|"&amp;F220,"")</x:f>
        <x:v>E0|2025/26|20260117|Nott'm Forest|Arsenal</x:v>
      </x:c>
      <x:c r="O220" s="2" t="str">
        <x:f>IF(A220="","",IFERROR(IF(NOT(AND(B220&lt;&gt;"",C220&lt;&gt;"",ISNUMBER(D220),D220&gt;0,E220&lt;&gt;"",F220&lt;&gt;"",E220&lt;&gt;F220,ISNUMBER(G220),ISNUMBER(H220),G220&gt;=0,H220&gt;=0,G220&lt;=100,H220&lt;=100,MOD(G220,1)=0,MOD(H220,1)=0,L220="FT90",S220&gt;0,INDEX(SourceTable[League],MAX(1,S220))=B220,INDEX(SourceTable[Season],MAX(1,S220))=C220,ISNUMBER(K220),K220=INDEX(SourceTable[Retrieved_UTC],MAX(1,S220)),J220&lt;&gt;"",M220&lt;&gt;"")),"INVALID",IF(OR(COUNTIFS('Istoric_Nativ'!$N$6:$N$405,N220,'Istoric_Nativ'!$G$6:$G$405,G220)&lt;&gt;COUNTIF('Istoric_Nativ'!$N$6:$N$405,N220),COUNTIFS('Istoric_Nativ'!$N$6:$N$405,N220,'Istoric_Nativ'!$H$6:$H$405,H220)&lt;&gt;COUNTIF('Istoric_Nativ'!$N$6:$N$405,N220)),"SOURCE CONFLICT",IF(COUNTIF($N$6:N220,N220)&gt;1,"DUPLICATE","VALID"))),"INVALID"))</x:f>
        <x:v>VALID</x:v>
      </x:c>
      <x:c r="P220" s="2" t="n">
        <x:f>IF(O220="VALID",1,0)</x:f>
        <x:v>1</x:v>
      </x:c>
      <x:c r="Q220" s="2" t="n">
        <x:f>IF(P220=1,G220+H220,0)</x:f>
        <x:v>13</x:v>
      </x:c>
      <x:c r="R220" s="2" t="n">
        <x:f>Q220^2</x:f>
        <x:v>169</x:v>
      </x:c>
      <x:c r="S220" s="2" t="n">
        <x:f>IF(A220="","",IFERROR(MATCH(I220,SourceTable[Source_ID],0),0))</x:f>
        <x:v>1</x:v>
      </x:c>
    </x:row>
    <x:row r="221" ht="21" customHeight="1">
      <x:c r="A221" s="7" t="str">
        <x:v>5af352eaebace515cb33</x:v>
      </x:c>
      <x:c r="B221" s="7" t="str">
        <x:v>E0</x:v>
      </x:c>
      <x:c r="C221" s="7" t="str">
        <x:v>2025/26</x:v>
      </x:c>
      <x:c r="D221" s="8" t="n">
        <x:v>46039</x:v>
      </x:c>
      <x:c r="E221" s="7" t="str">
        <x:v>Sunderland</x:v>
      </x:c>
      <x:c r="F221" s="7" t="str">
        <x:v>Crystal Palace</x:v>
      </x:c>
      <x:c r="G221" s="7" t="n">
        <x:v>3</x:v>
      </x:c>
      <x:c r="H221" s="7" t="n">
        <x:v>4</x:v>
      </x:c>
      <x:c r="I221" s="7" t="str">
        <x:v>FD_E0_2526</x:v>
      </x:c>
      <x:c r="J221" s="7" t="str">
        <x:v>https://www.football-data.co.uk/mmz4281/2526/E0.csv</x:v>
      </x:c>
      <x:c r="K221" s="8" t="n">
        <x:v>46278.70306712963</x:v>
      </x:c>
      <x:c r="L221" s="7" t="str">
        <x:v>FT90</x:v>
      </x:c>
      <x:c r="M221" s="7" t="str">
        <x:v>CSV row 216</x:v>
      </x:c>
      <x:c r="N221" s="2" t="str">
        <x:f>IF(AND(A221&lt;&gt;"",ISNUMBER(D221)),B221&amp;"|"&amp;C221&amp;"|"&amp;TEXT(D221,"yyyymmdd")&amp;"|"&amp;E221&amp;"|"&amp;F221,"")</x:f>
        <x:v>E0|2025/26|20260117|Sunderland|Crystal Palace</x:v>
      </x:c>
      <x:c r="O221" s="2" t="str">
        <x:f>IF(A221="","",IFERROR(IF(NOT(AND(B221&lt;&gt;"",C221&lt;&gt;"",ISNUMBER(D221),D221&gt;0,E221&lt;&gt;"",F221&lt;&gt;"",E221&lt;&gt;F221,ISNUMBER(G221),ISNUMBER(H221),G221&gt;=0,H221&gt;=0,G221&lt;=100,H221&lt;=100,MOD(G221,1)=0,MOD(H221,1)=0,L221="FT90",S221&gt;0,INDEX(SourceTable[League],MAX(1,S221))=B221,INDEX(SourceTable[Season],MAX(1,S221))=C221,ISNUMBER(K221),K221=INDEX(SourceTable[Retrieved_UTC],MAX(1,S221)),J221&lt;&gt;"",M221&lt;&gt;"")),"INVALID",IF(OR(COUNTIFS('Istoric_Nativ'!$N$6:$N$405,N221,'Istoric_Nativ'!$G$6:$G$405,G221)&lt;&gt;COUNTIF('Istoric_Nativ'!$N$6:$N$405,N221),COUNTIFS('Istoric_Nativ'!$N$6:$N$405,N221,'Istoric_Nativ'!$H$6:$H$405,H221)&lt;&gt;COUNTIF('Istoric_Nativ'!$N$6:$N$405,N221)),"SOURCE CONFLICT",IF(COUNTIF($N$6:N221,N221)&gt;1,"DUPLICATE","VALID"))),"INVALID"))</x:f>
        <x:v>VALID</x:v>
      </x:c>
      <x:c r="P221" s="2" t="n">
        <x:f>IF(O221="VALID",1,0)</x:f>
        <x:v>1</x:v>
      </x:c>
      <x:c r="Q221" s="2" t="n">
        <x:f>IF(P221=1,G221+H221,0)</x:f>
        <x:v>7</x:v>
      </x:c>
      <x:c r="R221" s="2" t="n">
        <x:f>Q221^2</x:f>
        <x:v>49</x:v>
      </x:c>
      <x:c r="S221" s="2" t="n">
        <x:f>IF(A221="","",IFERROR(MATCH(I221,SourceTable[Source_ID],0),0))</x:f>
        <x:v>1</x:v>
      </x:c>
    </x:row>
    <x:row r="222" ht="21" customHeight="1">
      <x:c r="A222" s="7" t="str">
        <x:v>136d10283edae9fea846</x:v>
      </x:c>
      <x:c r="B222" s="7" t="str">
        <x:v>E0</x:v>
      </x:c>
      <x:c r="C222" s="7" t="str">
        <x:v>2025/26</x:v>
      </x:c>
      <x:c r="D222" s="8" t="n">
        <x:v>46039</x:v>
      </x:c>
      <x:c r="E222" s="7" t="str">
        <x:v>Tottenham</x:v>
      </x:c>
      <x:c r="F222" s="7" t="str">
        <x:v>West Ham</x:v>
      </x:c>
      <x:c r="G222" s="7" t="n">
        <x:v>11</x:v>
      </x:c>
      <x:c r="H222" s="7" t="n">
        <x:v>5</x:v>
      </x:c>
      <x:c r="I222" s="7" t="str">
        <x:v>FD_E0_2526</x:v>
      </x:c>
      <x:c r="J222" s="7" t="str">
        <x:v>https://www.football-data.co.uk/mmz4281/2526/E0.csv</x:v>
      </x:c>
      <x:c r="K222" s="8" t="n">
        <x:v>46278.70306712963</x:v>
      </x:c>
      <x:c r="L222" s="7" t="str">
        <x:v>FT90</x:v>
      </x:c>
      <x:c r="M222" s="7" t="str">
        <x:v>CSV row 217</x:v>
      </x:c>
      <x:c r="N222" s="2" t="str">
        <x:f>IF(AND(A222&lt;&gt;"",ISNUMBER(D222)),B222&amp;"|"&amp;C222&amp;"|"&amp;TEXT(D222,"yyyymmdd")&amp;"|"&amp;E222&amp;"|"&amp;F222,"")</x:f>
        <x:v>E0|2025/26|20260117|Tottenham|West Ham</x:v>
      </x:c>
      <x:c r="O222" s="2" t="str">
        <x:f>IF(A222="","",IFERROR(IF(NOT(AND(B222&lt;&gt;"",C222&lt;&gt;"",ISNUMBER(D222),D222&gt;0,E222&lt;&gt;"",F222&lt;&gt;"",E222&lt;&gt;F222,ISNUMBER(G222),ISNUMBER(H222),G222&gt;=0,H222&gt;=0,G222&lt;=100,H222&lt;=100,MOD(G222,1)=0,MOD(H222,1)=0,L222="FT90",S222&gt;0,INDEX(SourceTable[League],MAX(1,S222))=B222,INDEX(SourceTable[Season],MAX(1,S222))=C222,ISNUMBER(K222),K222=INDEX(SourceTable[Retrieved_UTC],MAX(1,S222)),J222&lt;&gt;"",M222&lt;&gt;"")),"INVALID",IF(OR(COUNTIFS('Istoric_Nativ'!$N$6:$N$405,N222,'Istoric_Nativ'!$G$6:$G$405,G222)&lt;&gt;COUNTIF('Istoric_Nativ'!$N$6:$N$405,N222),COUNTIFS('Istoric_Nativ'!$N$6:$N$405,N222,'Istoric_Nativ'!$H$6:$H$405,H222)&lt;&gt;COUNTIF('Istoric_Nativ'!$N$6:$N$405,N222)),"SOURCE CONFLICT",IF(COUNTIF($N$6:N222,N222)&gt;1,"DUPLICATE","VALID"))),"INVALID"))</x:f>
        <x:v>VALID</x:v>
      </x:c>
      <x:c r="P222" s="2" t="n">
        <x:f>IF(O222="VALID",1,0)</x:f>
        <x:v>1</x:v>
      </x:c>
      <x:c r="Q222" s="2" t="n">
        <x:f>IF(P222=1,G222+H222,0)</x:f>
        <x:v>16</x:v>
      </x:c>
      <x:c r="R222" s="2" t="n">
        <x:f>Q222^2</x:f>
        <x:v>256</x:v>
      </x:c>
      <x:c r="S222" s="2" t="n">
        <x:f>IF(A222="","",IFERROR(MATCH(I222,SourceTable[Source_ID],0),0))</x:f>
        <x:v>1</x:v>
      </x:c>
    </x:row>
    <x:row r="223" ht="21" customHeight="1">
      <x:c r="A223" s="7" t="str">
        <x:v>c42cf163fcdaa744be05</x:v>
      </x:c>
      <x:c r="B223" s="7" t="str">
        <x:v>E0</x:v>
      </x:c>
      <x:c r="C223" s="7" t="str">
        <x:v>2025/26</x:v>
      </x:c>
      <x:c r="D223" s="8" t="n">
        <x:v>46040</x:v>
      </x:c>
      <x:c r="E223" s="7" t="str">
        <x:v>Aston Villa</x:v>
      </x:c>
      <x:c r="F223" s="7" t="str">
        <x:v>Everton</x:v>
      </x:c>
      <x:c r="G223" s="7" t="n">
        <x:v>6</x:v>
      </x:c>
      <x:c r="H223" s="7" t="n">
        <x:v>4</x:v>
      </x:c>
      <x:c r="I223" s="7" t="str">
        <x:v>FD_E0_2526</x:v>
      </x:c>
      <x:c r="J223" s="7" t="str">
        <x:v>https://www.football-data.co.uk/mmz4281/2526/E0.csv</x:v>
      </x:c>
      <x:c r="K223" s="8" t="n">
        <x:v>46278.70306712963</x:v>
      </x:c>
      <x:c r="L223" s="7" t="str">
        <x:v>FT90</x:v>
      </x:c>
      <x:c r="M223" s="7" t="str">
        <x:v>CSV row 220</x:v>
      </x:c>
      <x:c r="N223" s="2" t="str">
        <x:f>IF(AND(A223&lt;&gt;"",ISNUMBER(D223)),B223&amp;"|"&amp;C223&amp;"|"&amp;TEXT(D223,"yyyymmdd")&amp;"|"&amp;E223&amp;"|"&amp;F223,"")</x:f>
        <x:v>E0|2025/26|20260118|Aston Villa|Everton</x:v>
      </x:c>
      <x:c r="O223" s="2" t="str">
        <x:f>IF(A223="","",IFERROR(IF(NOT(AND(B223&lt;&gt;"",C223&lt;&gt;"",ISNUMBER(D223),D223&gt;0,E223&lt;&gt;"",F223&lt;&gt;"",E223&lt;&gt;F223,ISNUMBER(G223),ISNUMBER(H223),G223&gt;=0,H223&gt;=0,G223&lt;=100,H223&lt;=100,MOD(G223,1)=0,MOD(H223,1)=0,L223="FT90",S223&gt;0,INDEX(SourceTable[League],MAX(1,S223))=B223,INDEX(SourceTable[Season],MAX(1,S223))=C223,ISNUMBER(K223),K223=INDEX(SourceTable[Retrieved_UTC],MAX(1,S223)),J223&lt;&gt;"",M223&lt;&gt;"")),"INVALID",IF(OR(COUNTIFS('Istoric_Nativ'!$N$6:$N$405,N223,'Istoric_Nativ'!$G$6:$G$405,G223)&lt;&gt;COUNTIF('Istoric_Nativ'!$N$6:$N$405,N223),COUNTIFS('Istoric_Nativ'!$N$6:$N$405,N223,'Istoric_Nativ'!$H$6:$H$405,H223)&lt;&gt;COUNTIF('Istoric_Nativ'!$N$6:$N$405,N223)),"SOURCE CONFLICT",IF(COUNTIF($N$6:N223,N223)&gt;1,"DUPLICATE","VALID"))),"INVALID"))</x:f>
        <x:v>VALID</x:v>
      </x:c>
      <x:c r="P223" s="2" t="n">
        <x:f>IF(O223="VALID",1,0)</x:f>
        <x:v>1</x:v>
      </x:c>
      <x:c r="Q223" s="2" t="n">
        <x:f>IF(P223=1,G223+H223,0)</x:f>
        <x:v>10</x:v>
      </x:c>
      <x:c r="R223" s="2" t="n">
        <x:f>Q223^2</x:f>
        <x:v>100</x:v>
      </x:c>
      <x:c r="S223" s="2" t="n">
        <x:f>IF(A223="","",IFERROR(MATCH(I223,SourceTable[Source_ID],0),0))</x:f>
        <x:v>1</x:v>
      </x:c>
    </x:row>
    <x:row r="224" ht="21" customHeight="1">
      <x:c r="A224" s="7" t="str">
        <x:v>dfe973cbf2d661f4889b</x:v>
      </x:c>
      <x:c r="B224" s="7" t="str">
        <x:v>E0</x:v>
      </x:c>
      <x:c r="C224" s="7" t="str">
        <x:v>2025/26</x:v>
      </x:c>
      <x:c r="D224" s="8" t="n">
        <x:v>46040</x:v>
      </x:c>
      <x:c r="E224" s="7" t="str">
        <x:v>Wolves</x:v>
      </x:c>
      <x:c r="F224" s="7" t="str">
        <x:v>Newcastle</x:v>
      </x:c>
      <x:c r="G224" s="7" t="n">
        <x:v>4</x:v>
      </x:c>
      <x:c r="H224" s="7" t="n">
        <x:v>7</x:v>
      </x:c>
      <x:c r="I224" s="7" t="str">
        <x:v>FD_E0_2526</x:v>
      </x:c>
      <x:c r="J224" s="7" t="str">
        <x:v>https://www.football-data.co.uk/mmz4281/2526/E0.csv</x:v>
      </x:c>
      <x:c r="K224" s="8" t="n">
        <x:v>46278.70306712963</x:v>
      </x:c>
      <x:c r="L224" s="7" t="str">
        <x:v>FT90</x:v>
      </x:c>
      <x:c r="M224" s="7" t="str">
        <x:v>CSV row 219</x:v>
      </x:c>
      <x:c r="N224" s="2" t="str">
        <x:f>IF(AND(A224&lt;&gt;"",ISNUMBER(D224)),B224&amp;"|"&amp;C224&amp;"|"&amp;TEXT(D224,"yyyymmdd")&amp;"|"&amp;E224&amp;"|"&amp;F224,"")</x:f>
        <x:v>E0|2025/26|20260118|Wolves|Newcastle</x:v>
      </x:c>
      <x:c r="O224" s="2" t="str">
        <x:f>IF(A224="","",IFERROR(IF(NOT(AND(B224&lt;&gt;"",C224&lt;&gt;"",ISNUMBER(D224),D224&gt;0,E224&lt;&gt;"",F224&lt;&gt;"",E224&lt;&gt;F224,ISNUMBER(G224),ISNUMBER(H224),G224&gt;=0,H224&gt;=0,G224&lt;=100,H224&lt;=100,MOD(G224,1)=0,MOD(H224,1)=0,L224="FT90",S224&gt;0,INDEX(SourceTable[League],MAX(1,S224))=B224,INDEX(SourceTable[Season],MAX(1,S224))=C224,ISNUMBER(K224),K224=INDEX(SourceTable[Retrieved_UTC],MAX(1,S224)),J224&lt;&gt;"",M224&lt;&gt;"")),"INVALID",IF(OR(COUNTIFS('Istoric_Nativ'!$N$6:$N$405,N224,'Istoric_Nativ'!$G$6:$G$405,G224)&lt;&gt;COUNTIF('Istoric_Nativ'!$N$6:$N$405,N224),COUNTIFS('Istoric_Nativ'!$N$6:$N$405,N224,'Istoric_Nativ'!$H$6:$H$405,H224)&lt;&gt;COUNTIF('Istoric_Nativ'!$N$6:$N$405,N224)),"SOURCE CONFLICT",IF(COUNTIF($N$6:N224,N224)&gt;1,"DUPLICATE","VALID"))),"INVALID"))</x:f>
        <x:v>VALID</x:v>
      </x:c>
      <x:c r="P224" s="2" t="n">
        <x:f>IF(O224="VALID",1,0)</x:f>
        <x:v>1</x:v>
      </x:c>
      <x:c r="Q224" s="2" t="n">
        <x:f>IF(P224=1,G224+H224,0)</x:f>
        <x:v>11</x:v>
      </x:c>
      <x:c r="R224" s="2" t="n">
        <x:f>Q224^2</x:f>
        <x:v>121</x:v>
      </x:c>
      <x:c r="S224" s="2" t="n">
        <x:f>IF(A224="","",IFERROR(MATCH(I224,SourceTable[Source_ID],0),0))</x:f>
        <x:v>1</x:v>
      </x:c>
    </x:row>
    <x:row r="225" ht="21" customHeight="1">
      <x:c r="A225" s="7" t="str">
        <x:v>78b96d8fde93334ac7b5</x:v>
      </x:c>
      <x:c r="B225" s="7" t="str">
        <x:v>E0</x:v>
      </x:c>
      <x:c r="C225" s="7" t="str">
        <x:v>2025/26</x:v>
      </x:c>
      <x:c r="D225" s="8" t="n">
        <x:v>46041</x:v>
      </x:c>
      <x:c r="E225" s="7" t="str">
        <x:v>Brighton</x:v>
      </x:c>
      <x:c r="F225" s="7" t="str">
        <x:v>Bournemouth</x:v>
      </x:c>
      <x:c r="G225" s="7" t="n">
        <x:v>11</x:v>
      </x:c>
      <x:c r="H225" s="7" t="n">
        <x:v>6</x:v>
      </x:c>
      <x:c r="I225" s="7" t="str">
        <x:v>FD_E0_2526</x:v>
      </x:c>
      <x:c r="J225" s="7" t="str">
        <x:v>https://www.football-data.co.uk/mmz4281/2526/E0.csv</x:v>
      </x:c>
      <x:c r="K225" s="8" t="n">
        <x:v>46278.70306712963</x:v>
      </x:c>
      <x:c r="L225" s="7" t="str">
        <x:v>FT90</x:v>
      </x:c>
      <x:c r="M225" s="7" t="str">
        <x:v>CSV row 221</x:v>
      </x:c>
      <x:c r="N225" s="2" t="str">
        <x:f>IF(AND(A225&lt;&gt;"",ISNUMBER(D225)),B225&amp;"|"&amp;C225&amp;"|"&amp;TEXT(D225,"yyyymmdd")&amp;"|"&amp;E225&amp;"|"&amp;F225,"")</x:f>
        <x:v>E0|2025/26|20260119|Brighton|Bournemouth</x:v>
      </x:c>
      <x:c r="O225" s="2" t="str">
        <x:f>IF(A225="","",IFERROR(IF(NOT(AND(B225&lt;&gt;"",C225&lt;&gt;"",ISNUMBER(D225),D225&gt;0,E225&lt;&gt;"",F225&lt;&gt;"",E225&lt;&gt;F225,ISNUMBER(G225),ISNUMBER(H225),G225&gt;=0,H225&gt;=0,G225&lt;=100,H225&lt;=100,MOD(G225,1)=0,MOD(H225,1)=0,L225="FT90",S225&gt;0,INDEX(SourceTable[League],MAX(1,S225))=B225,INDEX(SourceTable[Season],MAX(1,S225))=C225,ISNUMBER(K225),K225=INDEX(SourceTable[Retrieved_UTC],MAX(1,S225)),J225&lt;&gt;"",M225&lt;&gt;"")),"INVALID",IF(OR(COUNTIFS('Istoric_Nativ'!$N$6:$N$405,N225,'Istoric_Nativ'!$G$6:$G$405,G225)&lt;&gt;COUNTIF('Istoric_Nativ'!$N$6:$N$405,N225),COUNTIFS('Istoric_Nativ'!$N$6:$N$405,N225,'Istoric_Nativ'!$H$6:$H$405,H225)&lt;&gt;COUNTIF('Istoric_Nativ'!$N$6:$N$405,N225)),"SOURCE CONFLICT",IF(COUNTIF($N$6:N225,N225)&gt;1,"DUPLICATE","VALID"))),"INVALID"))</x:f>
        <x:v>VALID</x:v>
      </x:c>
      <x:c r="P225" s="2" t="n">
        <x:f>IF(O225="VALID",1,0)</x:f>
        <x:v>1</x:v>
      </x:c>
      <x:c r="Q225" s="2" t="n">
        <x:f>IF(P225=1,G225+H225,0)</x:f>
        <x:v>17</x:v>
      </x:c>
      <x:c r="R225" s="2" t="n">
        <x:f>Q225^2</x:f>
        <x:v>289</x:v>
      </x:c>
      <x:c r="S225" s="2" t="n">
        <x:f>IF(A225="","",IFERROR(MATCH(I225,SourceTable[Source_ID],0),0))</x:f>
        <x:v>1</x:v>
      </x:c>
    </x:row>
    <x:row r="226" ht="21" customHeight="1">
      <x:c r="A226" s="7" t="str">
        <x:v>aac176d05ae432d0b46d</x:v>
      </x:c>
      <x:c r="B226" s="7" t="str">
        <x:v>E0</x:v>
      </x:c>
      <x:c r="C226" s="7" t="str">
        <x:v>2025/26</x:v>
      </x:c>
      <x:c r="D226" s="8" t="n">
        <x:v>46046</x:v>
      </x:c>
      <x:c r="E226" s="7" t="str">
        <x:v>Bournemouth</x:v>
      </x:c>
      <x:c r="F226" s="7" t="str">
        <x:v>Liverpool</x:v>
      </x:c>
      <x:c r="G226" s="7" t="n">
        <x:v>3</x:v>
      </x:c>
      <x:c r="H226" s="7" t="n">
        <x:v>11</x:v>
      </x:c>
      <x:c r="I226" s="7" t="str">
        <x:v>FD_E0_2526</x:v>
      </x:c>
      <x:c r="J226" s="7" t="str">
        <x:v>https://www.football-data.co.uk/mmz4281/2526/E0.csv</x:v>
      </x:c>
      <x:c r="K226" s="8" t="n">
        <x:v>46278.70306712963</x:v>
      </x:c>
      <x:c r="L226" s="7" t="str">
        <x:v>FT90</x:v>
      </x:c>
      <x:c r="M226" s="7" t="str">
        <x:v>CSV row 226</x:v>
      </x:c>
      <x:c r="N226" s="2" t="str">
        <x:f>IF(AND(A226&lt;&gt;"",ISNUMBER(D226)),B226&amp;"|"&amp;C226&amp;"|"&amp;TEXT(D226,"yyyymmdd")&amp;"|"&amp;E226&amp;"|"&amp;F226,"")</x:f>
        <x:v>E0|2025/26|20260124|Bournemouth|Liverpool</x:v>
      </x:c>
      <x:c r="O226" s="2" t="str">
        <x:f>IF(A226="","",IFERROR(IF(NOT(AND(B226&lt;&gt;"",C226&lt;&gt;"",ISNUMBER(D226),D226&gt;0,E226&lt;&gt;"",F226&lt;&gt;"",E226&lt;&gt;F226,ISNUMBER(G226),ISNUMBER(H226),G226&gt;=0,H226&gt;=0,G226&lt;=100,H226&lt;=100,MOD(G226,1)=0,MOD(H226,1)=0,L226="FT90",S226&gt;0,INDEX(SourceTable[League],MAX(1,S226))=B226,INDEX(SourceTable[Season],MAX(1,S226))=C226,ISNUMBER(K226),K226=INDEX(SourceTable[Retrieved_UTC],MAX(1,S226)),J226&lt;&gt;"",M226&lt;&gt;"")),"INVALID",IF(OR(COUNTIFS('Istoric_Nativ'!$N$6:$N$405,N226,'Istoric_Nativ'!$G$6:$G$405,G226)&lt;&gt;COUNTIF('Istoric_Nativ'!$N$6:$N$405,N226),COUNTIFS('Istoric_Nativ'!$N$6:$N$405,N226,'Istoric_Nativ'!$H$6:$H$405,H226)&lt;&gt;COUNTIF('Istoric_Nativ'!$N$6:$N$405,N226)),"SOURCE CONFLICT",IF(COUNTIF($N$6:N226,N226)&gt;1,"DUPLICATE","VALID"))),"INVALID"))</x:f>
        <x:v>VALID</x:v>
      </x:c>
      <x:c r="P226" s="2" t="n">
        <x:f>IF(O226="VALID",1,0)</x:f>
        <x:v>1</x:v>
      </x:c>
      <x:c r="Q226" s="2" t="n">
        <x:f>IF(P226=1,G226+H226,0)</x:f>
        <x:v>14</x:v>
      </x:c>
      <x:c r="R226" s="2" t="n">
        <x:f>Q226^2</x:f>
        <x:v>196</x:v>
      </x:c>
      <x:c r="S226" s="2" t="n">
        <x:f>IF(A226="","",IFERROR(MATCH(I226,SourceTable[Source_ID],0),0))</x:f>
        <x:v>1</x:v>
      </x:c>
    </x:row>
    <x:row r="227" ht="21" customHeight="1">
      <x:c r="A227" s="7" t="str">
        <x:v>5e216595549e70cff73f</x:v>
      </x:c>
      <x:c r="B227" s="7" t="str">
        <x:v>E0</x:v>
      </x:c>
      <x:c r="C227" s="7" t="str">
        <x:v>2025/26</x:v>
      </x:c>
      <x:c r="D227" s="8" t="n">
        <x:v>46046</x:v>
      </x:c>
      <x:c r="E227" s="7" t="str">
        <x:v>Burnley</x:v>
      </x:c>
      <x:c r="F227" s="7" t="str">
        <x:v>Tottenham</x:v>
      </x:c>
      <x:c r="G227" s="7" t="n">
        <x:v>1</x:v>
      </x:c>
      <x:c r="H227" s="7" t="n">
        <x:v>3</x:v>
      </x:c>
      <x:c r="I227" s="7" t="str">
        <x:v>FD_E0_2526</x:v>
      </x:c>
      <x:c r="J227" s="7" t="str">
        <x:v>https://www.football-data.co.uk/mmz4281/2526/E0.csv</x:v>
      </x:c>
      <x:c r="K227" s="8" t="n">
        <x:v>46278.70306712963</x:v>
      </x:c>
      <x:c r="L227" s="7" t="str">
        <x:v>FT90</x:v>
      </x:c>
      <x:c r="M227" s="7" t="str">
        <x:v>CSV row 223</x:v>
      </x:c>
      <x:c r="N227" s="2" t="str">
        <x:f>IF(AND(A227&lt;&gt;"",ISNUMBER(D227)),B227&amp;"|"&amp;C227&amp;"|"&amp;TEXT(D227,"yyyymmdd")&amp;"|"&amp;E227&amp;"|"&amp;F227,"")</x:f>
        <x:v>E0|2025/26|20260124|Burnley|Tottenham</x:v>
      </x:c>
      <x:c r="O227" s="2" t="str">
        <x:f>IF(A227="","",IFERROR(IF(NOT(AND(B227&lt;&gt;"",C227&lt;&gt;"",ISNUMBER(D227),D227&gt;0,E227&lt;&gt;"",F227&lt;&gt;"",E227&lt;&gt;F227,ISNUMBER(G227),ISNUMBER(H227),G227&gt;=0,H227&gt;=0,G227&lt;=100,H227&lt;=100,MOD(G227,1)=0,MOD(H227,1)=0,L227="FT90",S227&gt;0,INDEX(SourceTable[League],MAX(1,S227))=B227,INDEX(SourceTable[Season],MAX(1,S227))=C227,ISNUMBER(K227),K227=INDEX(SourceTable[Retrieved_UTC],MAX(1,S227)),J227&lt;&gt;"",M227&lt;&gt;"")),"INVALID",IF(OR(COUNTIFS('Istoric_Nativ'!$N$6:$N$405,N227,'Istoric_Nativ'!$G$6:$G$405,G227)&lt;&gt;COUNTIF('Istoric_Nativ'!$N$6:$N$405,N227),COUNTIFS('Istoric_Nativ'!$N$6:$N$405,N227,'Istoric_Nativ'!$H$6:$H$405,H227)&lt;&gt;COUNTIF('Istoric_Nativ'!$N$6:$N$405,N227)),"SOURCE CONFLICT",IF(COUNTIF($N$6:N227,N227)&gt;1,"DUPLICATE","VALID"))),"INVALID"))</x:f>
        <x:v>VALID</x:v>
      </x:c>
      <x:c r="P227" s="2" t="n">
        <x:f>IF(O227="VALID",1,0)</x:f>
        <x:v>1</x:v>
      </x:c>
      <x:c r="Q227" s="2" t="n">
        <x:f>IF(P227=1,G227+H227,0)</x:f>
        <x:v>4</x:v>
      </x:c>
      <x:c r="R227" s="2" t="n">
        <x:f>Q227^2</x:f>
        <x:v>16</x:v>
      </x:c>
      <x:c r="S227" s="2" t="n">
        <x:f>IF(A227="","",IFERROR(MATCH(I227,SourceTable[Source_ID],0),0))</x:f>
        <x:v>1</x:v>
      </x:c>
    </x:row>
    <x:row r="228" ht="21" customHeight="1">
      <x:c r="A228" s="7" t="str">
        <x:v>56c46e58141632790983</x:v>
      </x:c>
      <x:c r="B228" s="7" t="str">
        <x:v>E0</x:v>
      </x:c>
      <x:c r="C228" s="7" t="str">
        <x:v>2025/26</x:v>
      </x:c>
      <x:c r="D228" s="8" t="n">
        <x:v>46046</x:v>
      </x:c>
      <x:c r="E228" s="7" t="str">
        <x:v>Fulham</x:v>
      </x:c>
      <x:c r="F228" s="7" t="str">
        <x:v>Brighton</x:v>
      </x:c>
      <x:c r="G228" s="7" t="n">
        <x:v>6</x:v>
      </x:c>
      <x:c r="H228" s="7" t="n">
        <x:v>6</x:v>
      </x:c>
      <x:c r="I228" s="7" t="str">
        <x:v>FD_E0_2526</x:v>
      </x:c>
      <x:c r="J228" s="7" t="str">
        <x:v>https://www.football-data.co.uk/mmz4281/2526/E0.csv</x:v>
      </x:c>
      <x:c r="K228" s="8" t="n">
        <x:v>46278.70306712963</x:v>
      </x:c>
      <x:c r="L228" s="7" t="str">
        <x:v>FT90</x:v>
      </x:c>
      <x:c r="M228" s="7" t="str">
        <x:v>CSV row 224</x:v>
      </x:c>
      <x:c r="N228" s="2" t="str">
        <x:f>IF(AND(A228&lt;&gt;"",ISNUMBER(D228)),B228&amp;"|"&amp;C228&amp;"|"&amp;TEXT(D228,"yyyymmdd")&amp;"|"&amp;E228&amp;"|"&amp;F228,"")</x:f>
        <x:v>E0|2025/26|20260124|Fulham|Brighton</x:v>
      </x:c>
      <x:c r="O228" s="2" t="str">
        <x:f>IF(A228="","",IFERROR(IF(NOT(AND(B228&lt;&gt;"",C228&lt;&gt;"",ISNUMBER(D228),D228&gt;0,E228&lt;&gt;"",F228&lt;&gt;"",E228&lt;&gt;F228,ISNUMBER(G228),ISNUMBER(H228),G228&gt;=0,H228&gt;=0,G228&lt;=100,H228&lt;=100,MOD(G228,1)=0,MOD(H228,1)=0,L228="FT90",S228&gt;0,INDEX(SourceTable[League],MAX(1,S228))=B228,INDEX(SourceTable[Season],MAX(1,S228))=C228,ISNUMBER(K228),K228=INDEX(SourceTable[Retrieved_UTC],MAX(1,S228)),J228&lt;&gt;"",M228&lt;&gt;"")),"INVALID",IF(OR(COUNTIFS('Istoric_Nativ'!$N$6:$N$405,N228,'Istoric_Nativ'!$G$6:$G$405,G228)&lt;&gt;COUNTIF('Istoric_Nativ'!$N$6:$N$405,N228),COUNTIFS('Istoric_Nativ'!$N$6:$N$405,N228,'Istoric_Nativ'!$H$6:$H$405,H228)&lt;&gt;COUNTIF('Istoric_Nativ'!$N$6:$N$405,N228)),"SOURCE CONFLICT",IF(COUNTIF($N$6:N228,N228)&gt;1,"DUPLICATE","VALID"))),"INVALID"))</x:f>
        <x:v>VALID</x:v>
      </x:c>
      <x:c r="P228" s="2" t="n">
        <x:f>IF(O228="VALID",1,0)</x:f>
        <x:v>1</x:v>
      </x:c>
      <x:c r="Q228" s="2" t="n">
        <x:f>IF(P228=1,G228+H228,0)</x:f>
        <x:v>12</x:v>
      </x:c>
      <x:c r="R228" s="2" t="n">
        <x:f>Q228^2</x:f>
        <x:v>144</x:v>
      </x:c>
      <x:c r="S228" s="2" t="n">
        <x:f>IF(A228="","",IFERROR(MATCH(I228,SourceTable[Source_ID],0),0))</x:f>
        <x:v>1</x:v>
      </x:c>
    </x:row>
    <x:row r="229" ht="21" customHeight="1">
      <x:c r="A229" s="7" t="str">
        <x:v>3ef8ff85763e4a54d68e</x:v>
      </x:c>
      <x:c r="B229" s="7" t="str">
        <x:v>E0</x:v>
      </x:c>
      <x:c r="C229" s="7" t="str">
        <x:v>2025/26</x:v>
      </x:c>
      <x:c r="D229" s="8" t="n">
        <x:v>46046</x:v>
      </x:c>
      <x:c r="E229" s="7" t="str">
        <x:v>Man City</x:v>
      </x:c>
      <x:c r="F229" s="7" t="str">
        <x:v>Wolves</x:v>
      </x:c>
      <x:c r="G229" s="7" t="n">
        <x:v>4</x:v>
      </x:c>
      <x:c r="H229" s="7" t="n">
        <x:v>6</x:v>
      </x:c>
      <x:c r="I229" s="7" t="str">
        <x:v>FD_E0_2526</x:v>
      </x:c>
      <x:c r="J229" s="7" t="str">
        <x:v>https://www.football-data.co.uk/mmz4281/2526/E0.csv</x:v>
      </x:c>
      <x:c r="K229" s="8" t="n">
        <x:v>46278.70306712963</x:v>
      </x:c>
      <x:c r="L229" s="7" t="str">
        <x:v>FT90</x:v>
      </x:c>
      <x:c r="M229" s="7" t="str">
        <x:v>CSV row 225</x:v>
      </x:c>
      <x:c r="N229" s="2" t="str">
        <x:f>IF(AND(A229&lt;&gt;"",ISNUMBER(D229)),B229&amp;"|"&amp;C229&amp;"|"&amp;TEXT(D229,"yyyymmdd")&amp;"|"&amp;E229&amp;"|"&amp;F229,"")</x:f>
        <x:v>E0|2025/26|20260124|Man City|Wolves</x:v>
      </x:c>
      <x:c r="O229" s="2" t="str">
        <x:f>IF(A229="","",IFERROR(IF(NOT(AND(B229&lt;&gt;"",C229&lt;&gt;"",ISNUMBER(D229),D229&gt;0,E229&lt;&gt;"",F229&lt;&gt;"",E229&lt;&gt;F229,ISNUMBER(G229),ISNUMBER(H229),G229&gt;=0,H229&gt;=0,G229&lt;=100,H229&lt;=100,MOD(G229,1)=0,MOD(H229,1)=0,L229="FT90",S229&gt;0,INDEX(SourceTable[League],MAX(1,S229))=B229,INDEX(SourceTable[Season],MAX(1,S229))=C229,ISNUMBER(K229),K229=INDEX(SourceTable[Retrieved_UTC],MAX(1,S229)),J229&lt;&gt;"",M229&lt;&gt;"")),"INVALID",IF(OR(COUNTIFS('Istoric_Nativ'!$N$6:$N$405,N229,'Istoric_Nativ'!$G$6:$G$405,G229)&lt;&gt;COUNTIF('Istoric_Nativ'!$N$6:$N$405,N229),COUNTIFS('Istoric_Nativ'!$N$6:$N$405,N229,'Istoric_Nativ'!$H$6:$H$405,H229)&lt;&gt;COUNTIF('Istoric_Nativ'!$N$6:$N$405,N229)),"SOURCE CONFLICT",IF(COUNTIF($N$6:N229,N229)&gt;1,"DUPLICATE","VALID"))),"INVALID"))</x:f>
        <x:v>VALID</x:v>
      </x:c>
      <x:c r="P229" s="2" t="n">
        <x:f>IF(O229="VALID",1,0)</x:f>
        <x:v>1</x:v>
      </x:c>
      <x:c r="Q229" s="2" t="n">
        <x:f>IF(P229=1,G229+H229,0)</x:f>
        <x:v>10</x:v>
      </x:c>
      <x:c r="R229" s="2" t="n">
        <x:f>Q229^2</x:f>
        <x:v>100</x:v>
      </x:c>
      <x:c r="S229" s="2" t="n">
        <x:f>IF(A229="","",IFERROR(MATCH(I229,SourceTable[Source_ID],0),0))</x:f>
        <x:v>1</x:v>
      </x:c>
    </x:row>
    <x:row r="230" ht="21" customHeight="1">
      <x:c r="A230" s="7" t="str">
        <x:v>fb142aa0ae8bfcb3a1d8</x:v>
      </x:c>
      <x:c r="B230" s="7" t="str">
        <x:v>E0</x:v>
      </x:c>
      <x:c r="C230" s="7" t="str">
        <x:v>2025/26</x:v>
      </x:c>
      <x:c r="D230" s="8" t="n">
        <x:v>46046</x:v>
      </x:c>
      <x:c r="E230" s="7" t="str">
        <x:v>West Ham</x:v>
      </x:c>
      <x:c r="F230" s="7" t="str">
        <x:v>Sunderland</x:v>
      </x:c>
      <x:c r="G230" s="7" t="n">
        <x:v>3</x:v>
      </x:c>
      <x:c r="H230" s="7" t="n">
        <x:v>3</x:v>
      </x:c>
      <x:c r="I230" s="7" t="str">
        <x:v>FD_E0_2526</x:v>
      </x:c>
      <x:c r="J230" s="7" t="str">
        <x:v>https://www.football-data.co.uk/mmz4281/2526/E0.csv</x:v>
      </x:c>
      <x:c r="K230" s="8" t="n">
        <x:v>46278.70306712963</x:v>
      </x:c>
      <x:c r="L230" s="7" t="str">
        <x:v>FT90</x:v>
      </x:c>
      <x:c r="M230" s="7" t="str">
        <x:v>CSV row 222</x:v>
      </x:c>
      <x:c r="N230" s="2" t="str">
        <x:f>IF(AND(A230&lt;&gt;"",ISNUMBER(D230)),B230&amp;"|"&amp;C230&amp;"|"&amp;TEXT(D230,"yyyymmdd")&amp;"|"&amp;E230&amp;"|"&amp;F230,"")</x:f>
        <x:v>E0|2025/26|20260124|West Ham|Sunderland</x:v>
      </x:c>
      <x:c r="O230" s="2" t="str">
        <x:f>IF(A230="","",IFERROR(IF(NOT(AND(B230&lt;&gt;"",C230&lt;&gt;"",ISNUMBER(D230),D230&gt;0,E230&lt;&gt;"",F230&lt;&gt;"",E230&lt;&gt;F230,ISNUMBER(G230),ISNUMBER(H230),G230&gt;=0,H230&gt;=0,G230&lt;=100,H230&lt;=100,MOD(G230,1)=0,MOD(H230,1)=0,L230="FT90",S230&gt;0,INDEX(SourceTable[League],MAX(1,S230))=B230,INDEX(SourceTable[Season],MAX(1,S230))=C230,ISNUMBER(K230),K230=INDEX(SourceTable[Retrieved_UTC],MAX(1,S230)),J230&lt;&gt;"",M230&lt;&gt;"")),"INVALID",IF(OR(COUNTIFS('Istoric_Nativ'!$N$6:$N$405,N230,'Istoric_Nativ'!$G$6:$G$405,G230)&lt;&gt;COUNTIF('Istoric_Nativ'!$N$6:$N$405,N230),COUNTIFS('Istoric_Nativ'!$N$6:$N$405,N230,'Istoric_Nativ'!$H$6:$H$405,H230)&lt;&gt;COUNTIF('Istoric_Nativ'!$N$6:$N$405,N230)),"SOURCE CONFLICT",IF(COUNTIF($N$6:N230,N230)&gt;1,"DUPLICATE","VALID"))),"INVALID"))</x:f>
        <x:v>VALID</x:v>
      </x:c>
      <x:c r="P230" s="2" t="n">
        <x:f>IF(O230="VALID",1,0)</x:f>
        <x:v>1</x:v>
      </x:c>
      <x:c r="Q230" s="2" t="n">
        <x:f>IF(P230=1,G230+H230,0)</x:f>
        <x:v>6</x:v>
      </x:c>
      <x:c r="R230" s="2" t="n">
        <x:f>Q230^2</x:f>
        <x:v>36</x:v>
      </x:c>
      <x:c r="S230" s="2" t="n">
        <x:f>IF(A230="","",IFERROR(MATCH(I230,SourceTable[Source_ID],0),0))</x:f>
        <x:v>1</x:v>
      </x:c>
    </x:row>
    <x:row r="231" ht="21" customHeight="1">
      <x:c r="A231" s="7" t="str">
        <x:v>c52db83aa3b46f0c5a2e</x:v>
      </x:c>
      <x:c r="B231" s="7" t="str">
        <x:v>E0</x:v>
      </x:c>
      <x:c r="C231" s="7" t="str">
        <x:v>2025/26</x:v>
      </x:c>
      <x:c r="D231" s="8" t="n">
        <x:v>46047</x:v>
      </x:c>
      <x:c r="E231" s="7" t="str">
        <x:v>Arsenal</x:v>
      </x:c>
      <x:c r="F231" s="7" t="str">
        <x:v>Man United</x:v>
      </x:c>
      <x:c r="G231" s="7" t="n">
        <x:v>9</x:v>
      </x:c>
      <x:c r="H231" s="7" t="n">
        <x:v>2</x:v>
      </x:c>
      <x:c r="I231" s="7" t="str">
        <x:v>FD_E0_2526</x:v>
      </x:c>
      <x:c r="J231" s="7" t="str">
        <x:v>https://www.football-data.co.uk/mmz4281/2526/E0.csv</x:v>
      </x:c>
      <x:c r="K231" s="8" t="n">
        <x:v>46278.70306712963</x:v>
      </x:c>
      <x:c r="L231" s="7" t="str">
        <x:v>FT90</x:v>
      </x:c>
      <x:c r="M231" s="7" t="str">
        <x:v>CSV row 230</x:v>
      </x:c>
      <x:c r="N231" s="2" t="str">
        <x:f>IF(AND(A231&lt;&gt;"",ISNUMBER(D231)),B231&amp;"|"&amp;C231&amp;"|"&amp;TEXT(D231,"yyyymmdd")&amp;"|"&amp;E231&amp;"|"&amp;F231,"")</x:f>
        <x:v>E0|2025/26|20260125|Arsenal|Man United</x:v>
      </x:c>
      <x:c r="O231" s="2" t="str">
        <x:f>IF(A231="","",IFERROR(IF(NOT(AND(B231&lt;&gt;"",C231&lt;&gt;"",ISNUMBER(D231),D231&gt;0,E231&lt;&gt;"",F231&lt;&gt;"",E231&lt;&gt;F231,ISNUMBER(G231),ISNUMBER(H231),G231&gt;=0,H231&gt;=0,G231&lt;=100,H231&lt;=100,MOD(G231,1)=0,MOD(H231,1)=0,L231="FT90",S231&gt;0,INDEX(SourceTable[League],MAX(1,S231))=B231,INDEX(SourceTable[Season],MAX(1,S231))=C231,ISNUMBER(K231),K231=INDEX(SourceTable[Retrieved_UTC],MAX(1,S231)),J231&lt;&gt;"",M231&lt;&gt;"")),"INVALID",IF(OR(COUNTIFS('Istoric_Nativ'!$N$6:$N$405,N231,'Istoric_Nativ'!$G$6:$G$405,G231)&lt;&gt;COUNTIF('Istoric_Nativ'!$N$6:$N$405,N231),COUNTIFS('Istoric_Nativ'!$N$6:$N$405,N231,'Istoric_Nativ'!$H$6:$H$405,H231)&lt;&gt;COUNTIF('Istoric_Nativ'!$N$6:$N$405,N231)),"SOURCE CONFLICT",IF(COUNTIF($N$6:N231,N231)&gt;1,"DUPLICATE","VALID"))),"INVALID"))</x:f>
        <x:v>VALID</x:v>
      </x:c>
      <x:c r="P231" s="2" t="n">
        <x:f>IF(O231="VALID",1,0)</x:f>
        <x:v>1</x:v>
      </x:c>
      <x:c r="Q231" s="2" t="n">
        <x:f>IF(P231=1,G231+H231,0)</x:f>
        <x:v>11</x:v>
      </x:c>
      <x:c r="R231" s="2" t="n">
        <x:f>Q231^2</x:f>
        <x:v>121</x:v>
      </x:c>
      <x:c r="S231" s="2" t="n">
        <x:f>IF(A231="","",IFERROR(MATCH(I231,SourceTable[Source_ID],0),0))</x:f>
        <x:v>1</x:v>
      </x:c>
    </x:row>
    <x:row r="232" ht="21" customHeight="1">
      <x:c r="A232" s="7" t="str">
        <x:v>dd33b89072531a8b3371</x:v>
      </x:c>
      <x:c r="B232" s="7" t="str">
        <x:v>E0</x:v>
      </x:c>
      <x:c r="C232" s="7" t="str">
        <x:v>2025/26</x:v>
      </x:c>
      <x:c r="D232" s="8" t="n">
        <x:v>46047</x:v>
      </x:c>
      <x:c r="E232" s="7" t="str">
        <x:v>Brentford</x:v>
      </x:c>
      <x:c r="F232" s="7" t="str">
        <x:v>Nott'm Forest</x:v>
      </x:c>
      <x:c r="G232" s="7" t="n">
        <x:v>6</x:v>
      </x:c>
      <x:c r="H232" s="7" t="n">
        <x:v>5</x:v>
      </x:c>
      <x:c r="I232" s="7" t="str">
        <x:v>FD_E0_2526</x:v>
      </x:c>
      <x:c r="J232" s="7" t="str">
        <x:v>https://www.football-data.co.uk/mmz4281/2526/E0.csv</x:v>
      </x:c>
      <x:c r="K232" s="8" t="n">
        <x:v>46278.70306712963</x:v>
      </x:c>
      <x:c r="L232" s="7" t="str">
        <x:v>FT90</x:v>
      </x:c>
      <x:c r="M232" s="7" t="str">
        <x:v>CSV row 227</x:v>
      </x:c>
      <x:c r="N232" s="2" t="str">
        <x:f>IF(AND(A232&lt;&gt;"",ISNUMBER(D232)),B232&amp;"|"&amp;C232&amp;"|"&amp;TEXT(D232,"yyyymmdd")&amp;"|"&amp;E232&amp;"|"&amp;F232,"")</x:f>
        <x:v>E0|2025/26|20260125|Brentford|Nott'm Forest</x:v>
      </x:c>
      <x:c r="O232" s="2" t="str">
        <x:f>IF(A232="","",IFERROR(IF(NOT(AND(B232&lt;&gt;"",C232&lt;&gt;"",ISNUMBER(D232),D232&gt;0,E232&lt;&gt;"",F232&lt;&gt;"",E232&lt;&gt;F232,ISNUMBER(G232),ISNUMBER(H232),G232&gt;=0,H232&gt;=0,G232&lt;=100,H232&lt;=100,MOD(G232,1)=0,MOD(H232,1)=0,L232="FT90",S232&gt;0,INDEX(SourceTable[League],MAX(1,S232))=B232,INDEX(SourceTable[Season],MAX(1,S232))=C232,ISNUMBER(K232),K232=INDEX(SourceTable[Retrieved_UTC],MAX(1,S232)),J232&lt;&gt;"",M232&lt;&gt;"")),"INVALID",IF(OR(COUNTIFS('Istoric_Nativ'!$N$6:$N$405,N232,'Istoric_Nativ'!$G$6:$G$405,G232)&lt;&gt;COUNTIF('Istoric_Nativ'!$N$6:$N$405,N232),COUNTIFS('Istoric_Nativ'!$N$6:$N$405,N232,'Istoric_Nativ'!$H$6:$H$405,H232)&lt;&gt;COUNTIF('Istoric_Nativ'!$N$6:$N$405,N232)),"SOURCE CONFLICT",IF(COUNTIF($N$6:N232,N232)&gt;1,"DUPLICATE","VALID"))),"INVALID"))</x:f>
        <x:v>VALID</x:v>
      </x:c>
      <x:c r="P232" s="2" t="n">
        <x:f>IF(O232="VALID",1,0)</x:f>
        <x:v>1</x:v>
      </x:c>
      <x:c r="Q232" s="2" t="n">
        <x:f>IF(P232=1,G232+H232,0)</x:f>
        <x:v>11</x:v>
      </x:c>
      <x:c r="R232" s="2" t="n">
        <x:f>Q232^2</x:f>
        <x:v>121</x:v>
      </x:c>
      <x:c r="S232" s="2" t="n">
        <x:f>IF(A232="","",IFERROR(MATCH(I232,SourceTable[Source_ID],0),0))</x:f>
        <x:v>1</x:v>
      </x:c>
    </x:row>
    <x:row r="233" ht="21" customHeight="1">
      <x:c r="A233" s="7" t="str">
        <x:v>773579fe4c66312b387d</x:v>
      </x:c>
      <x:c r="B233" s="7" t="str">
        <x:v>E0</x:v>
      </x:c>
      <x:c r="C233" s="7" t="str">
        <x:v>2025/26</x:v>
      </x:c>
      <x:c r="D233" s="8" t="n">
        <x:v>46047</x:v>
      </x:c>
      <x:c r="E233" s="7" t="str">
        <x:v>Crystal Palace</x:v>
      </x:c>
      <x:c r="F233" s="7" t="str">
        <x:v>Chelsea</x:v>
      </x:c>
      <x:c r="G233" s="7" t="n">
        <x:v>4</x:v>
      </x:c>
      <x:c r="H233" s="7" t="n">
        <x:v>5</x:v>
      </x:c>
      <x:c r="I233" s="7" t="str">
        <x:v>FD_E0_2526</x:v>
      </x:c>
      <x:c r="J233" s="7" t="str">
        <x:v>https://www.football-data.co.uk/mmz4281/2526/E0.csv</x:v>
      </x:c>
      <x:c r="K233" s="8" t="n">
        <x:v>46278.70306712963</x:v>
      </x:c>
      <x:c r="L233" s="7" t="str">
        <x:v>FT90</x:v>
      </x:c>
      <x:c r="M233" s="7" t="str">
        <x:v>CSV row 228</x:v>
      </x:c>
      <x:c r="N233" s="2" t="str">
        <x:f>IF(AND(A233&lt;&gt;"",ISNUMBER(D233)),B233&amp;"|"&amp;C233&amp;"|"&amp;TEXT(D233,"yyyymmdd")&amp;"|"&amp;E233&amp;"|"&amp;F233,"")</x:f>
        <x:v>E0|2025/26|20260125|Crystal Palace|Chelsea</x:v>
      </x:c>
      <x:c r="O233" s="2" t="str">
        <x:f>IF(A233="","",IFERROR(IF(NOT(AND(B233&lt;&gt;"",C233&lt;&gt;"",ISNUMBER(D233),D233&gt;0,E233&lt;&gt;"",F233&lt;&gt;"",E233&lt;&gt;F233,ISNUMBER(G233),ISNUMBER(H233),G233&gt;=0,H233&gt;=0,G233&lt;=100,H233&lt;=100,MOD(G233,1)=0,MOD(H233,1)=0,L233="FT90",S233&gt;0,INDEX(SourceTable[League],MAX(1,S233))=B233,INDEX(SourceTable[Season],MAX(1,S233))=C233,ISNUMBER(K233),K233=INDEX(SourceTable[Retrieved_UTC],MAX(1,S233)),J233&lt;&gt;"",M233&lt;&gt;"")),"INVALID",IF(OR(COUNTIFS('Istoric_Nativ'!$N$6:$N$405,N233,'Istoric_Nativ'!$G$6:$G$405,G233)&lt;&gt;COUNTIF('Istoric_Nativ'!$N$6:$N$405,N233),COUNTIFS('Istoric_Nativ'!$N$6:$N$405,N233,'Istoric_Nativ'!$H$6:$H$405,H233)&lt;&gt;COUNTIF('Istoric_Nativ'!$N$6:$N$405,N233)),"SOURCE CONFLICT",IF(COUNTIF($N$6:N233,N233)&gt;1,"DUPLICATE","VALID"))),"INVALID"))</x:f>
        <x:v>VALID</x:v>
      </x:c>
      <x:c r="P233" s="2" t="n">
        <x:f>IF(O233="VALID",1,0)</x:f>
        <x:v>1</x:v>
      </x:c>
      <x:c r="Q233" s="2" t="n">
        <x:f>IF(P233=1,G233+H233,0)</x:f>
        <x:v>9</x:v>
      </x:c>
      <x:c r="R233" s="2" t="n">
        <x:f>Q233^2</x:f>
        <x:v>81</x:v>
      </x:c>
      <x:c r="S233" s="2" t="n">
        <x:f>IF(A233="","",IFERROR(MATCH(I233,SourceTable[Source_ID],0),0))</x:f>
        <x:v>1</x:v>
      </x:c>
    </x:row>
    <x:row r="234" ht="21" customHeight="1">
      <x:c r="A234" s="7" t="str">
        <x:v>a558eea130b81f4cbae4</x:v>
      </x:c>
      <x:c r="B234" s="7" t="str">
        <x:v>E0</x:v>
      </x:c>
      <x:c r="C234" s="7" t="str">
        <x:v>2025/26</x:v>
      </x:c>
      <x:c r="D234" s="8" t="n">
        <x:v>46047</x:v>
      </x:c>
      <x:c r="E234" s="7" t="str">
        <x:v>Newcastle</x:v>
      </x:c>
      <x:c r="F234" s="7" t="str">
        <x:v>Aston Villa</x:v>
      </x:c>
      <x:c r="G234" s="7" t="n">
        <x:v>6</x:v>
      </x:c>
      <x:c r="H234" s="7" t="n">
        <x:v>5</x:v>
      </x:c>
      <x:c r="I234" s="7" t="str">
        <x:v>FD_E0_2526</x:v>
      </x:c>
      <x:c r="J234" s="7" t="str">
        <x:v>https://www.football-data.co.uk/mmz4281/2526/E0.csv</x:v>
      </x:c>
      <x:c r="K234" s="8" t="n">
        <x:v>46278.70306712963</x:v>
      </x:c>
      <x:c r="L234" s="7" t="str">
        <x:v>FT90</x:v>
      </x:c>
      <x:c r="M234" s="7" t="str">
        <x:v>CSV row 229</x:v>
      </x:c>
      <x:c r="N234" s="2" t="str">
        <x:f>IF(AND(A234&lt;&gt;"",ISNUMBER(D234)),B234&amp;"|"&amp;C234&amp;"|"&amp;TEXT(D234,"yyyymmdd")&amp;"|"&amp;E234&amp;"|"&amp;F234,"")</x:f>
        <x:v>E0|2025/26|20260125|Newcastle|Aston Villa</x:v>
      </x:c>
      <x:c r="O234" s="2" t="str">
        <x:f>IF(A234="","",IFERROR(IF(NOT(AND(B234&lt;&gt;"",C234&lt;&gt;"",ISNUMBER(D234),D234&gt;0,E234&lt;&gt;"",F234&lt;&gt;"",E234&lt;&gt;F234,ISNUMBER(G234),ISNUMBER(H234),G234&gt;=0,H234&gt;=0,G234&lt;=100,H234&lt;=100,MOD(G234,1)=0,MOD(H234,1)=0,L234="FT90",S234&gt;0,INDEX(SourceTable[League],MAX(1,S234))=B234,INDEX(SourceTable[Season],MAX(1,S234))=C234,ISNUMBER(K234),K234=INDEX(SourceTable[Retrieved_UTC],MAX(1,S234)),J234&lt;&gt;"",M234&lt;&gt;"")),"INVALID",IF(OR(COUNTIFS('Istoric_Nativ'!$N$6:$N$405,N234,'Istoric_Nativ'!$G$6:$G$405,G234)&lt;&gt;COUNTIF('Istoric_Nativ'!$N$6:$N$405,N234),COUNTIFS('Istoric_Nativ'!$N$6:$N$405,N234,'Istoric_Nativ'!$H$6:$H$405,H234)&lt;&gt;COUNTIF('Istoric_Nativ'!$N$6:$N$405,N234)),"SOURCE CONFLICT",IF(COUNTIF($N$6:N234,N234)&gt;1,"DUPLICATE","VALID"))),"INVALID"))</x:f>
        <x:v>VALID</x:v>
      </x:c>
      <x:c r="P234" s="2" t="n">
        <x:f>IF(O234="VALID",1,0)</x:f>
        <x:v>1</x:v>
      </x:c>
      <x:c r="Q234" s="2" t="n">
        <x:f>IF(P234=1,G234+H234,0)</x:f>
        <x:v>11</x:v>
      </x:c>
      <x:c r="R234" s="2" t="n">
        <x:f>Q234^2</x:f>
        <x:v>121</x:v>
      </x:c>
      <x:c r="S234" s="2" t="n">
        <x:f>IF(A234="","",IFERROR(MATCH(I234,SourceTable[Source_ID],0),0))</x:f>
        <x:v>1</x:v>
      </x:c>
    </x:row>
    <x:row r="235" ht="21" customHeight="1">
      <x:c r="A235" s="7" t="str">
        <x:v>945309ac70416cfe23d4</x:v>
      </x:c>
      <x:c r="B235" s="7" t="str">
        <x:v>E0</x:v>
      </x:c>
      <x:c r="C235" s="7" t="str">
        <x:v>2025/26</x:v>
      </x:c>
      <x:c r="D235" s="8" t="n">
        <x:v>46048</x:v>
      </x:c>
      <x:c r="E235" s="7" t="str">
        <x:v>Everton</x:v>
      </x:c>
      <x:c r="F235" s="7" t="str">
        <x:v>Leeds</x:v>
      </x:c>
      <x:c r="G235" s="7" t="n">
        <x:v>4</x:v>
      </x:c>
      <x:c r="H235" s="7" t="n">
        <x:v>4</x:v>
      </x:c>
      <x:c r="I235" s="7" t="str">
        <x:v>FD_E0_2526</x:v>
      </x:c>
      <x:c r="J235" s="7" t="str">
        <x:v>https://www.football-data.co.uk/mmz4281/2526/E0.csv</x:v>
      </x:c>
      <x:c r="K235" s="8" t="n">
        <x:v>46278.70306712963</x:v>
      </x:c>
      <x:c r="L235" s="7" t="str">
        <x:v>FT90</x:v>
      </x:c>
      <x:c r="M235" s="7" t="str">
        <x:v>CSV row 231</x:v>
      </x:c>
      <x:c r="N235" s="2" t="str">
        <x:f>IF(AND(A235&lt;&gt;"",ISNUMBER(D235)),B235&amp;"|"&amp;C235&amp;"|"&amp;TEXT(D235,"yyyymmdd")&amp;"|"&amp;E235&amp;"|"&amp;F235,"")</x:f>
        <x:v>E0|2025/26|20260126|Everton|Leeds</x:v>
      </x:c>
      <x:c r="O235" s="2" t="str">
        <x:f>IF(A235="","",IFERROR(IF(NOT(AND(B235&lt;&gt;"",C235&lt;&gt;"",ISNUMBER(D235),D235&gt;0,E235&lt;&gt;"",F235&lt;&gt;"",E235&lt;&gt;F235,ISNUMBER(G235),ISNUMBER(H235),G235&gt;=0,H235&gt;=0,G235&lt;=100,H235&lt;=100,MOD(G235,1)=0,MOD(H235,1)=0,L235="FT90",S235&gt;0,INDEX(SourceTable[League],MAX(1,S235))=B235,INDEX(SourceTable[Season],MAX(1,S235))=C235,ISNUMBER(K235),K235=INDEX(SourceTable[Retrieved_UTC],MAX(1,S235)),J235&lt;&gt;"",M235&lt;&gt;"")),"INVALID",IF(OR(COUNTIFS('Istoric_Nativ'!$N$6:$N$405,N235,'Istoric_Nativ'!$G$6:$G$405,G235)&lt;&gt;COUNTIF('Istoric_Nativ'!$N$6:$N$405,N235),COUNTIFS('Istoric_Nativ'!$N$6:$N$405,N235,'Istoric_Nativ'!$H$6:$H$405,H235)&lt;&gt;COUNTIF('Istoric_Nativ'!$N$6:$N$405,N235)),"SOURCE CONFLICT",IF(COUNTIF($N$6:N235,N235)&gt;1,"DUPLICATE","VALID"))),"INVALID"))</x:f>
        <x:v>VALID</x:v>
      </x:c>
      <x:c r="P235" s="2" t="n">
        <x:f>IF(O235="VALID",1,0)</x:f>
        <x:v>1</x:v>
      </x:c>
      <x:c r="Q235" s="2" t="n">
        <x:f>IF(P235=1,G235+H235,0)</x:f>
        <x:v>8</x:v>
      </x:c>
      <x:c r="R235" s="2" t="n">
        <x:f>Q235^2</x:f>
        <x:v>64</x:v>
      </x:c>
      <x:c r="S235" s="2" t="n">
        <x:f>IF(A235="","",IFERROR(MATCH(I235,SourceTable[Source_ID],0),0))</x:f>
        <x:v>1</x:v>
      </x:c>
    </x:row>
    <x:row r="236" ht="21" customHeight="1">
      <x:c r="A236" s="7" t="str">
        <x:v>ca92d71eecf13d231af3</x:v>
      </x:c>
      <x:c r="B236" s="7" t="str">
        <x:v>E0</x:v>
      </x:c>
      <x:c r="C236" s="7" t="str">
        <x:v>2025/26</x:v>
      </x:c>
      <x:c r="D236" s="8" t="n">
        <x:v>46053</x:v>
      </x:c>
      <x:c r="E236" s="7" t="str">
        <x:v>Brighton</x:v>
      </x:c>
      <x:c r="F236" s="7" t="str">
        <x:v>Everton</x:v>
      </x:c>
      <x:c r="G236" s="7" t="n">
        <x:v>5</x:v>
      </x:c>
      <x:c r="H236" s="7" t="n">
        <x:v>2</x:v>
      </x:c>
      <x:c r="I236" s="7" t="str">
        <x:v>FD_E0_2526</x:v>
      </x:c>
      <x:c r="J236" s="7" t="str">
        <x:v>https://www.football-data.co.uk/mmz4281/2526/E0.csv</x:v>
      </x:c>
      <x:c r="K236" s="8" t="n">
        <x:v>46278.70306712963</x:v>
      </x:c>
      <x:c r="L236" s="7" t="str">
        <x:v>FT90</x:v>
      </x:c>
      <x:c r="M236" s="7" t="str">
        <x:v>CSV row 232</x:v>
      </x:c>
      <x:c r="N236" s="2" t="str">
        <x:f>IF(AND(A236&lt;&gt;"",ISNUMBER(D236)),B236&amp;"|"&amp;C236&amp;"|"&amp;TEXT(D236,"yyyymmdd")&amp;"|"&amp;E236&amp;"|"&amp;F236,"")</x:f>
        <x:v>E0|2025/26|20260131|Brighton|Everton</x:v>
      </x:c>
      <x:c r="O236" s="2" t="str">
        <x:f>IF(A236="","",IFERROR(IF(NOT(AND(B236&lt;&gt;"",C236&lt;&gt;"",ISNUMBER(D236),D236&gt;0,E236&lt;&gt;"",F236&lt;&gt;"",E236&lt;&gt;F236,ISNUMBER(G236),ISNUMBER(H236),G236&gt;=0,H236&gt;=0,G236&lt;=100,H236&lt;=100,MOD(G236,1)=0,MOD(H236,1)=0,L236="FT90",S236&gt;0,INDEX(SourceTable[League],MAX(1,S236))=B236,INDEX(SourceTable[Season],MAX(1,S236))=C236,ISNUMBER(K236),K236=INDEX(SourceTable[Retrieved_UTC],MAX(1,S236)),J236&lt;&gt;"",M236&lt;&gt;"")),"INVALID",IF(OR(COUNTIFS('Istoric_Nativ'!$N$6:$N$405,N236,'Istoric_Nativ'!$G$6:$G$405,G236)&lt;&gt;COUNTIF('Istoric_Nativ'!$N$6:$N$405,N236),COUNTIFS('Istoric_Nativ'!$N$6:$N$405,N236,'Istoric_Nativ'!$H$6:$H$405,H236)&lt;&gt;COUNTIF('Istoric_Nativ'!$N$6:$N$405,N236)),"SOURCE CONFLICT",IF(COUNTIF($N$6:N236,N236)&gt;1,"DUPLICATE","VALID"))),"INVALID"))</x:f>
        <x:v>VALID</x:v>
      </x:c>
      <x:c r="P236" s="2" t="n">
        <x:f>IF(O236="VALID",1,0)</x:f>
        <x:v>1</x:v>
      </x:c>
      <x:c r="Q236" s="2" t="n">
        <x:f>IF(P236=1,G236+H236,0)</x:f>
        <x:v>7</x:v>
      </x:c>
      <x:c r="R236" s="2" t="n">
        <x:f>Q236^2</x:f>
        <x:v>49</x:v>
      </x:c>
      <x:c r="S236" s="2" t="n">
        <x:f>IF(A236="","",IFERROR(MATCH(I236,SourceTable[Source_ID],0),0))</x:f>
        <x:v>1</x:v>
      </x:c>
    </x:row>
    <x:row r="237" ht="21" customHeight="1">
      <x:c r="A237" s="7" t="str">
        <x:v>d5194173e49b77e1522d</x:v>
      </x:c>
      <x:c r="B237" s="7" t="str">
        <x:v>E0</x:v>
      </x:c>
      <x:c r="C237" s="7" t="str">
        <x:v>2025/26</x:v>
      </x:c>
      <x:c r="D237" s="8" t="n">
        <x:v>46053</x:v>
      </x:c>
      <x:c r="E237" s="7" t="str">
        <x:v>Chelsea</x:v>
      </x:c>
      <x:c r="F237" s="7" t="str">
        <x:v>West Ham</x:v>
      </x:c>
      <x:c r="G237" s="7" t="n">
        <x:v>9</x:v>
      </x:c>
      <x:c r="H237" s="7" t="n">
        <x:v>3</x:v>
      </x:c>
      <x:c r="I237" s="7" t="str">
        <x:v>FD_E0_2526</x:v>
      </x:c>
      <x:c r="J237" s="7" t="str">
        <x:v>https://www.football-data.co.uk/mmz4281/2526/E0.csv</x:v>
      </x:c>
      <x:c r="K237" s="8" t="n">
        <x:v>46278.70306712963</x:v>
      </x:c>
      <x:c r="L237" s="7" t="str">
        <x:v>FT90</x:v>
      </x:c>
      <x:c r="M237" s="7" t="str">
        <x:v>CSV row 235</x:v>
      </x:c>
      <x:c r="N237" s="2" t="str">
        <x:f>IF(AND(A237&lt;&gt;"",ISNUMBER(D237)),B237&amp;"|"&amp;C237&amp;"|"&amp;TEXT(D237,"yyyymmdd")&amp;"|"&amp;E237&amp;"|"&amp;F237,"")</x:f>
        <x:v>E0|2025/26|20260131|Chelsea|West Ham</x:v>
      </x:c>
      <x:c r="O237" s="2" t="str">
        <x:f>IF(A237="","",IFERROR(IF(NOT(AND(B237&lt;&gt;"",C237&lt;&gt;"",ISNUMBER(D237),D237&gt;0,E237&lt;&gt;"",F237&lt;&gt;"",E237&lt;&gt;F237,ISNUMBER(G237),ISNUMBER(H237),G237&gt;=0,H237&gt;=0,G237&lt;=100,H237&lt;=100,MOD(G237,1)=0,MOD(H237,1)=0,L237="FT90",S237&gt;0,INDEX(SourceTable[League],MAX(1,S237))=B237,INDEX(SourceTable[Season],MAX(1,S237))=C237,ISNUMBER(K237),K237=INDEX(SourceTable[Retrieved_UTC],MAX(1,S237)),J237&lt;&gt;"",M237&lt;&gt;"")),"INVALID",IF(OR(COUNTIFS('Istoric_Nativ'!$N$6:$N$405,N237,'Istoric_Nativ'!$G$6:$G$405,G237)&lt;&gt;COUNTIF('Istoric_Nativ'!$N$6:$N$405,N237),COUNTIFS('Istoric_Nativ'!$N$6:$N$405,N237,'Istoric_Nativ'!$H$6:$H$405,H237)&lt;&gt;COUNTIF('Istoric_Nativ'!$N$6:$N$405,N237)),"SOURCE CONFLICT",IF(COUNTIF($N$6:N237,N237)&gt;1,"DUPLICATE","VALID"))),"INVALID"))</x:f>
        <x:v>VALID</x:v>
      </x:c>
      <x:c r="P237" s="2" t="n">
        <x:f>IF(O237="VALID",1,0)</x:f>
        <x:v>1</x:v>
      </x:c>
      <x:c r="Q237" s="2" t="n">
        <x:f>IF(P237=1,G237+H237,0)</x:f>
        <x:v>12</x:v>
      </x:c>
      <x:c r="R237" s="2" t="n">
        <x:f>Q237^2</x:f>
        <x:v>144</x:v>
      </x:c>
      <x:c r="S237" s="2" t="n">
        <x:f>IF(A237="","",IFERROR(MATCH(I237,SourceTable[Source_ID],0),0))</x:f>
        <x:v>1</x:v>
      </x:c>
    </x:row>
    <x:row r="238" ht="21" customHeight="1">
      <x:c r="A238" s="7" t="str">
        <x:v>6723d77735f4c0c3e988</x:v>
      </x:c>
      <x:c r="B238" s="7" t="str">
        <x:v>E0</x:v>
      </x:c>
      <x:c r="C238" s="7" t="str">
        <x:v>2025/26</x:v>
      </x:c>
      <x:c r="D238" s="8" t="n">
        <x:v>46053</x:v>
      </x:c>
      <x:c r="E238" s="7" t="str">
        <x:v>Leeds</x:v>
      </x:c>
      <x:c r="F238" s="7" t="str">
        <x:v>Arsenal</x:v>
      </x:c>
      <x:c r="G238" s="7" t="n">
        <x:v>4</x:v>
      </x:c>
      <x:c r="H238" s="7" t="n">
        <x:v>12</x:v>
      </x:c>
      <x:c r="I238" s="7" t="str">
        <x:v>FD_E0_2526</x:v>
      </x:c>
      <x:c r="J238" s="7" t="str">
        <x:v>https://www.football-data.co.uk/mmz4281/2526/E0.csv</x:v>
      </x:c>
      <x:c r="K238" s="8" t="n">
        <x:v>46278.70306712963</x:v>
      </x:c>
      <x:c r="L238" s="7" t="str">
        <x:v>FT90</x:v>
      </x:c>
      <x:c r="M238" s="7" t="str">
        <x:v>CSV row 233</x:v>
      </x:c>
      <x:c r="N238" s="2" t="str">
        <x:f>IF(AND(A238&lt;&gt;"",ISNUMBER(D238)),B238&amp;"|"&amp;C238&amp;"|"&amp;TEXT(D238,"yyyymmdd")&amp;"|"&amp;E238&amp;"|"&amp;F238,"")</x:f>
        <x:v>E0|2025/26|20260131|Leeds|Arsenal</x:v>
      </x:c>
      <x:c r="O238" s="2" t="str">
        <x:f>IF(A238="","",IFERROR(IF(NOT(AND(B238&lt;&gt;"",C238&lt;&gt;"",ISNUMBER(D238),D238&gt;0,E238&lt;&gt;"",F238&lt;&gt;"",E238&lt;&gt;F238,ISNUMBER(G238),ISNUMBER(H238),G238&gt;=0,H238&gt;=0,G238&lt;=100,H238&lt;=100,MOD(G238,1)=0,MOD(H238,1)=0,L238="FT90",S238&gt;0,INDEX(SourceTable[League],MAX(1,S238))=B238,INDEX(SourceTable[Season],MAX(1,S238))=C238,ISNUMBER(K238),K238=INDEX(SourceTable[Retrieved_UTC],MAX(1,S238)),J238&lt;&gt;"",M238&lt;&gt;"")),"INVALID",IF(OR(COUNTIFS('Istoric_Nativ'!$N$6:$N$405,N238,'Istoric_Nativ'!$G$6:$G$405,G238)&lt;&gt;COUNTIF('Istoric_Nativ'!$N$6:$N$405,N238),COUNTIFS('Istoric_Nativ'!$N$6:$N$405,N238,'Istoric_Nativ'!$H$6:$H$405,H238)&lt;&gt;COUNTIF('Istoric_Nativ'!$N$6:$N$405,N238)),"SOURCE CONFLICT",IF(COUNTIF($N$6:N238,N238)&gt;1,"DUPLICATE","VALID"))),"INVALID"))</x:f>
        <x:v>VALID</x:v>
      </x:c>
      <x:c r="P238" s="2" t="n">
        <x:f>IF(O238="VALID",1,0)</x:f>
        <x:v>1</x:v>
      </x:c>
      <x:c r="Q238" s="2" t="n">
        <x:f>IF(P238=1,G238+H238,0)</x:f>
        <x:v>16</x:v>
      </x:c>
      <x:c r="R238" s="2" t="n">
        <x:f>Q238^2</x:f>
        <x:v>256</x:v>
      </x:c>
      <x:c r="S238" s="2" t="n">
        <x:f>IF(A238="","",IFERROR(MATCH(I238,SourceTable[Source_ID],0),0))</x:f>
        <x:v>1</x:v>
      </x:c>
    </x:row>
    <x:row r="239" ht="21" customHeight="1">
      <x:c r="A239" s="7" t="str">
        <x:v>7e6502c6a3e6db84db3d</x:v>
      </x:c>
      <x:c r="B239" s="7" t="str">
        <x:v>E0</x:v>
      </x:c>
      <x:c r="C239" s="7" t="str">
        <x:v>2025/26</x:v>
      </x:c>
      <x:c r="D239" s="8" t="n">
        <x:v>46053</x:v>
      </x:c>
      <x:c r="E239" s="7" t="str">
        <x:v>Liverpool</x:v>
      </x:c>
      <x:c r="F239" s="7" t="str">
        <x:v>Newcastle</x:v>
      </x:c>
      <x:c r="G239" s="7" t="n">
        <x:v>7</x:v>
      </x:c>
      <x:c r="H239" s="7" t="n">
        <x:v>11</x:v>
      </x:c>
      <x:c r="I239" s="7" t="str">
        <x:v>FD_E0_2526</x:v>
      </x:c>
      <x:c r="J239" s="7" t="str">
        <x:v>https://www.football-data.co.uk/mmz4281/2526/E0.csv</x:v>
      </x:c>
      <x:c r="K239" s="8" t="n">
        <x:v>46278.70306712963</x:v>
      </x:c>
      <x:c r="L239" s="7" t="str">
        <x:v>FT90</x:v>
      </x:c>
      <x:c r="M239" s="7" t="str">
        <x:v>CSV row 236</x:v>
      </x:c>
      <x:c r="N239" s="2" t="str">
        <x:f>IF(AND(A239&lt;&gt;"",ISNUMBER(D239)),B239&amp;"|"&amp;C239&amp;"|"&amp;TEXT(D239,"yyyymmdd")&amp;"|"&amp;E239&amp;"|"&amp;F239,"")</x:f>
        <x:v>E0|2025/26|20260131|Liverpool|Newcastle</x:v>
      </x:c>
      <x:c r="O239" s="2" t="str">
        <x:f>IF(A239="","",IFERROR(IF(NOT(AND(B239&lt;&gt;"",C239&lt;&gt;"",ISNUMBER(D239),D239&gt;0,E239&lt;&gt;"",F239&lt;&gt;"",E239&lt;&gt;F239,ISNUMBER(G239),ISNUMBER(H239),G239&gt;=0,H239&gt;=0,G239&lt;=100,H239&lt;=100,MOD(G239,1)=0,MOD(H239,1)=0,L239="FT90",S239&gt;0,INDEX(SourceTable[League],MAX(1,S239))=B239,INDEX(SourceTable[Season],MAX(1,S239))=C239,ISNUMBER(K239),K239=INDEX(SourceTable[Retrieved_UTC],MAX(1,S239)),J239&lt;&gt;"",M239&lt;&gt;"")),"INVALID",IF(OR(COUNTIFS('Istoric_Nativ'!$N$6:$N$405,N239,'Istoric_Nativ'!$G$6:$G$405,G239)&lt;&gt;COUNTIF('Istoric_Nativ'!$N$6:$N$405,N239),COUNTIFS('Istoric_Nativ'!$N$6:$N$405,N239,'Istoric_Nativ'!$H$6:$H$405,H239)&lt;&gt;COUNTIF('Istoric_Nativ'!$N$6:$N$405,N239)),"SOURCE CONFLICT",IF(COUNTIF($N$6:N239,N239)&gt;1,"DUPLICATE","VALID"))),"INVALID"))</x:f>
        <x:v>VALID</x:v>
      </x:c>
      <x:c r="P239" s="2" t="n">
        <x:f>IF(O239="VALID",1,0)</x:f>
        <x:v>1</x:v>
      </x:c>
      <x:c r="Q239" s="2" t="n">
        <x:f>IF(P239=1,G239+H239,0)</x:f>
        <x:v>18</x:v>
      </x:c>
      <x:c r="R239" s="2" t="n">
        <x:f>Q239^2</x:f>
        <x:v>324</x:v>
      </x:c>
      <x:c r="S239" s="2" t="n">
        <x:f>IF(A239="","",IFERROR(MATCH(I239,SourceTable[Source_ID],0),0))</x:f>
        <x:v>1</x:v>
      </x:c>
    </x:row>
    <x:row r="240" ht="21" customHeight="1">
      <x:c r="A240" s="7" t="str">
        <x:v>24bbc2dd3eb47e39ae09</x:v>
      </x:c>
      <x:c r="B240" s="7" t="str">
        <x:v>E0</x:v>
      </x:c>
      <x:c r="C240" s="7" t="str">
        <x:v>2025/26</x:v>
      </x:c>
      <x:c r="D240" s="8" t="n">
        <x:v>46053</x:v>
      </x:c>
      <x:c r="E240" s="7" t="str">
        <x:v>Wolves</x:v>
      </x:c>
      <x:c r="F240" s="7" t="str">
        <x:v>Bournemouth</x:v>
      </x:c>
      <x:c r="G240" s="7" t="n">
        <x:v>5</x:v>
      </x:c>
      <x:c r="H240" s="7" t="n">
        <x:v>6</x:v>
      </x:c>
      <x:c r="I240" s="7" t="str">
        <x:v>FD_E0_2526</x:v>
      </x:c>
      <x:c r="J240" s="7" t="str">
        <x:v>https://www.football-data.co.uk/mmz4281/2526/E0.csv</x:v>
      </x:c>
      <x:c r="K240" s="8" t="n">
        <x:v>46278.70306712963</x:v>
      </x:c>
      <x:c r="L240" s="7" t="str">
        <x:v>FT90</x:v>
      </x:c>
      <x:c r="M240" s="7" t="str">
        <x:v>CSV row 234</x:v>
      </x:c>
      <x:c r="N240" s="2" t="str">
        <x:f>IF(AND(A240&lt;&gt;"",ISNUMBER(D240)),B240&amp;"|"&amp;C240&amp;"|"&amp;TEXT(D240,"yyyymmdd")&amp;"|"&amp;E240&amp;"|"&amp;F240,"")</x:f>
        <x:v>E0|2025/26|20260131|Wolves|Bournemouth</x:v>
      </x:c>
      <x:c r="O240" s="2" t="str">
        <x:f>IF(A240="","",IFERROR(IF(NOT(AND(B240&lt;&gt;"",C240&lt;&gt;"",ISNUMBER(D240),D240&gt;0,E240&lt;&gt;"",F240&lt;&gt;"",E240&lt;&gt;F240,ISNUMBER(G240),ISNUMBER(H240),G240&gt;=0,H240&gt;=0,G240&lt;=100,H240&lt;=100,MOD(G240,1)=0,MOD(H240,1)=0,L240="FT90",S240&gt;0,INDEX(SourceTable[League],MAX(1,S240))=B240,INDEX(SourceTable[Season],MAX(1,S240))=C240,ISNUMBER(K240),K240=INDEX(SourceTable[Retrieved_UTC],MAX(1,S240)),J240&lt;&gt;"",M240&lt;&gt;"")),"INVALID",IF(OR(COUNTIFS('Istoric_Nativ'!$N$6:$N$405,N240,'Istoric_Nativ'!$G$6:$G$405,G240)&lt;&gt;COUNTIF('Istoric_Nativ'!$N$6:$N$405,N240),COUNTIFS('Istoric_Nativ'!$N$6:$N$405,N240,'Istoric_Nativ'!$H$6:$H$405,H240)&lt;&gt;COUNTIF('Istoric_Nativ'!$N$6:$N$405,N240)),"SOURCE CONFLICT",IF(COUNTIF($N$6:N240,N240)&gt;1,"DUPLICATE","VALID"))),"INVALID"))</x:f>
        <x:v>VALID</x:v>
      </x:c>
      <x:c r="P240" s="2" t="n">
        <x:f>IF(O240="VALID",1,0)</x:f>
        <x:v>1</x:v>
      </x:c>
      <x:c r="Q240" s="2" t="n">
        <x:f>IF(P240=1,G240+H240,0)</x:f>
        <x:v>11</x:v>
      </x:c>
      <x:c r="R240" s="2" t="n">
        <x:f>Q240^2</x:f>
        <x:v>121</x:v>
      </x:c>
      <x:c r="S240" s="2" t="n">
        <x:f>IF(A240="","",IFERROR(MATCH(I240,SourceTable[Source_ID],0),0))</x:f>
        <x:v>1</x:v>
      </x:c>
    </x:row>
    <x:row r="241" ht="21" customHeight="1">
      <x:c r="A241" s="7" t="str">
        <x:v>f924905bcba11cef1c24</x:v>
      </x:c>
      <x:c r="B241" s="7" t="str">
        <x:v>E0</x:v>
      </x:c>
      <x:c r="C241" s="7" t="str">
        <x:v>2025/26</x:v>
      </x:c>
      <x:c r="D241" s="8" t="n">
        <x:v>46054</x:v>
      </x:c>
      <x:c r="E241" s="7" t="str">
        <x:v>Aston Villa</x:v>
      </x:c>
      <x:c r="F241" s="7" t="str">
        <x:v>Brentford</x:v>
      </x:c>
      <x:c r="G241" s="7" t="n">
        <x:v>12</x:v>
      </x:c>
      <x:c r="H241" s="7" t="n">
        <x:v>1</x:v>
      </x:c>
      <x:c r="I241" s="7" t="str">
        <x:v>FD_E0_2526</x:v>
      </x:c>
      <x:c r="J241" s="7" t="str">
        <x:v>https://www.football-data.co.uk/mmz4281/2526/E0.csv</x:v>
      </x:c>
      <x:c r="K241" s="8" t="n">
        <x:v>46278.70306712963</x:v>
      </x:c>
      <x:c r="L241" s="7" t="str">
        <x:v>FT90</x:v>
      </x:c>
      <x:c r="M241" s="7" t="str">
        <x:v>CSV row 237</x:v>
      </x:c>
      <x:c r="N241" s="2" t="str">
        <x:f>IF(AND(A241&lt;&gt;"",ISNUMBER(D241)),B241&amp;"|"&amp;C241&amp;"|"&amp;TEXT(D241,"yyyymmdd")&amp;"|"&amp;E241&amp;"|"&amp;F241,"")</x:f>
        <x:v>E0|2025/26|20260201|Aston Villa|Brentford</x:v>
      </x:c>
      <x:c r="O241" s="2" t="str">
        <x:f>IF(A241="","",IFERROR(IF(NOT(AND(B241&lt;&gt;"",C241&lt;&gt;"",ISNUMBER(D241),D241&gt;0,E241&lt;&gt;"",F241&lt;&gt;"",E241&lt;&gt;F241,ISNUMBER(G241),ISNUMBER(H241),G241&gt;=0,H241&gt;=0,G241&lt;=100,H241&lt;=100,MOD(G241,1)=0,MOD(H241,1)=0,L241="FT90",S241&gt;0,INDEX(SourceTable[League],MAX(1,S241))=B241,INDEX(SourceTable[Season],MAX(1,S241))=C241,ISNUMBER(K241),K241=INDEX(SourceTable[Retrieved_UTC],MAX(1,S241)),J241&lt;&gt;"",M241&lt;&gt;"")),"INVALID",IF(OR(COUNTIFS('Istoric_Nativ'!$N$6:$N$405,N241,'Istoric_Nativ'!$G$6:$G$405,G241)&lt;&gt;COUNTIF('Istoric_Nativ'!$N$6:$N$405,N241),COUNTIFS('Istoric_Nativ'!$N$6:$N$405,N241,'Istoric_Nativ'!$H$6:$H$405,H241)&lt;&gt;COUNTIF('Istoric_Nativ'!$N$6:$N$405,N241)),"SOURCE CONFLICT",IF(COUNTIF($N$6:N241,N241)&gt;1,"DUPLICATE","VALID"))),"INVALID"))</x:f>
        <x:v>VALID</x:v>
      </x:c>
      <x:c r="P241" s="2" t="n">
        <x:f>IF(O241="VALID",1,0)</x:f>
        <x:v>1</x:v>
      </x:c>
      <x:c r="Q241" s="2" t="n">
        <x:f>IF(P241=1,G241+H241,0)</x:f>
        <x:v>13</x:v>
      </x:c>
      <x:c r="R241" s="2" t="n">
        <x:f>Q241^2</x:f>
        <x:v>169</x:v>
      </x:c>
      <x:c r="S241" s="2" t="n">
        <x:f>IF(A241="","",IFERROR(MATCH(I241,SourceTable[Source_ID],0),0))</x:f>
        <x:v>1</x:v>
      </x:c>
    </x:row>
    <x:row r="242" ht="21" customHeight="1">
      <x:c r="A242" s="7" t="str">
        <x:v>9e3fd69faadc8f571541</x:v>
      </x:c>
      <x:c r="B242" s="7" t="str">
        <x:v>E0</x:v>
      </x:c>
      <x:c r="C242" s="7" t="str">
        <x:v>2025/26</x:v>
      </x:c>
      <x:c r="D242" s="8" t="n">
        <x:v>46054</x:v>
      </x:c>
      <x:c r="E242" s="7" t="str">
        <x:v>Man United</x:v>
      </x:c>
      <x:c r="F242" s="7" t="str">
        <x:v>Fulham</x:v>
      </x:c>
      <x:c r="G242" s="7" t="n">
        <x:v>3</x:v>
      </x:c>
      <x:c r="H242" s="7" t="n">
        <x:v>7</x:v>
      </x:c>
      <x:c r="I242" s="7" t="str">
        <x:v>FD_E0_2526</x:v>
      </x:c>
      <x:c r="J242" s="7" t="str">
        <x:v>https://www.football-data.co.uk/mmz4281/2526/E0.csv</x:v>
      </x:c>
      <x:c r="K242" s="8" t="n">
        <x:v>46278.70306712963</x:v>
      </x:c>
      <x:c r="L242" s="7" t="str">
        <x:v>FT90</x:v>
      </x:c>
      <x:c r="M242" s="7" t="str">
        <x:v>CSV row 238</x:v>
      </x:c>
      <x:c r="N242" s="2" t="str">
        <x:f>IF(AND(A242&lt;&gt;"",ISNUMBER(D242)),B242&amp;"|"&amp;C242&amp;"|"&amp;TEXT(D242,"yyyymmdd")&amp;"|"&amp;E242&amp;"|"&amp;F242,"")</x:f>
        <x:v>E0|2025/26|20260201|Man United|Fulham</x:v>
      </x:c>
      <x:c r="O242" s="2" t="str">
        <x:f>IF(A242="","",IFERROR(IF(NOT(AND(B242&lt;&gt;"",C242&lt;&gt;"",ISNUMBER(D242),D242&gt;0,E242&lt;&gt;"",F242&lt;&gt;"",E242&lt;&gt;F242,ISNUMBER(G242),ISNUMBER(H242),G242&gt;=0,H242&gt;=0,G242&lt;=100,H242&lt;=100,MOD(G242,1)=0,MOD(H242,1)=0,L242="FT90",S242&gt;0,INDEX(SourceTable[League],MAX(1,S242))=B242,INDEX(SourceTable[Season],MAX(1,S242))=C242,ISNUMBER(K242),K242=INDEX(SourceTable[Retrieved_UTC],MAX(1,S242)),J242&lt;&gt;"",M242&lt;&gt;"")),"INVALID",IF(OR(COUNTIFS('Istoric_Nativ'!$N$6:$N$405,N242,'Istoric_Nativ'!$G$6:$G$405,G242)&lt;&gt;COUNTIF('Istoric_Nativ'!$N$6:$N$405,N242),COUNTIFS('Istoric_Nativ'!$N$6:$N$405,N242,'Istoric_Nativ'!$H$6:$H$405,H242)&lt;&gt;COUNTIF('Istoric_Nativ'!$N$6:$N$405,N242)),"SOURCE CONFLICT",IF(COUNTIF($N$6:N242,N242)&gt;1,"DUPLICATE","VALID"))),"INVALID"))</x:f>
        <x:v>VALID</x:v>
      </x:c>
      <x:c r="P242" s="2" t="n">
        <x:f>IF(O242="VALID",1,0)</x:f>
        <x:v>1</x:v>
      </x:c>
      <x:c r="Q242" s="2" t="n">
        <x:f>IF(P242=1,G242+H242,0)</x:f>
        <x:v>10</x:v>
      </x:c>
      <x:c r="R242" s="2" t="n">
        <x:f>Q242^2</x:f>
        <x:v>100</x:v>
      </x:c>
      <x:c r="S242" s="2" t="n">
        <x:f>IF(A242="","",IFERROR(MATCH(I242,SourceTable[Source_ID],0),0))</x:f>
        <x:v>1</x:v>
      </x:c>
    </x:row>
    <x:row r="243" ht="21" customHeight="1">
      <x:c r="A243" s="7" t="str">
        <x:v>3a06642296b7acd0e73d</x:v>
      </x:c>
      <x:c r="B243" s="7" t="str">
        <x:v>E0</x:v>
      </x:c>
      <x:c r="C243" s="7" t="str">
        <x:v>2025/26</x:v>
      </x:c>
      <x:c r="D243" s="8" t="n">
        <x:v>46054</x:v>
      </x:c>
      <x:c r="E243" s="7" t="str">
        <x:v>Nott'm Forest</x:v>
      </x:c>
      <x:c r="F243" s="7" t="str">
        <x:v>Crystal Palace</x:v>
      </x:c>
      <x:c r="G243" s="7" t="n">
        <x:v>5</x:v>
      </x:c>
      <x:c r="H243" s="7" t="n">
        <x:v>7</x:v>
      </x:c>
      <x:c r="I243" s="7" t="str">
        <x:v>FD_E0_2526</x:v>
      </x:c>
      <x:c r="J243" s="7" t="str">
        <x:v>https://www.football-data.co.uk/mmz4281/2526/E0.csv</x:v>
      </x:c>
      <x:c r="K243" s="8" t="n">
        <x:v>46278.70306712963</x:v>
      </x:c>
      <x:c r="L243" s="7" t="str">
        <x:v>FT90</x:v>
      </x:c>
      <x:c r="M243" s="7" t="str">
        <x:v>CSV row 239</x:v>
      </x:c>
      <x:c r="N243" s="2" t="str">
        <x:f>IF(AND(A243&lt;&gt;"",ISNUMBER(D243)),B243&amp;"|"&amp;C243&amp;"|"&amp;TEXT(D243,"yyyymmdd")&amp;"|"&amp;E243&amp;"|"&amp;F243,"")</x:f>
        <x:v>E0|2025/26|20260201|Nott'm Forest|Crystal Palace</x:v>
      </x:c>
      <x:c r="O243" s="2" t="str">
        <x:f>IF(A243="","",IFERROR(IF(NOT(AND(B243&lt;&gt;"",C243&lt;&gt;"",ISNUMBER(D243),D243&gt;0,E243&lt;&gt;"",F243&lt;&gt;"",E243&lt;&gt;F243,ISNUMBER(G243),ISNUMBER(H243),G243&gt;=0,H243&gt;=0,G243&lt;=100,H243&lt;=100,MOD(G243,1)=0,MOD(H243,1)=0,L243="FT90",S243&gt;0,INDEX(SourceTable[League],MAX(1,S243))=B243,INDEX(SourceTable[Season],MAX(1,S243))=C243,ISNUMBER(K243),K243=INDEX(SourceTable[Retrieved_UTC],MAX(1,S243)),J243&lt;&gt;"",M243&lt;&gt;"")),"INVALID",IF(OR(COUNTIFS('Istoric_Nativ'!$N$6:$N$405,N243,'Istoric_Nativ'!$G$6:$G$405,G243)&lt;&gt;COUNTIF('Istoric_Nativ'!$N$6:$N$405,N243),COUNTIFS('Istoric_Nativ'!$N$6:$N$405,N243,'Istoric_Nativ'!$H$6:$H$405,H243)&lt;&gt;COUNTIF('Istoric_Nativ'!$N$6:$N$405,N243)),"SOURCE CONFLICT",IF(COUNTIF($N$6:N243,N243)&gt;1,"DUPLICATE","VALID"))),"INVALID"))</x:f>
        <x:v>VALID</x:v>
      </x:c>
      <x:c r="P243" s="2" t="n">
        <x:f>IF(O243="VALID",1,0)</x:f>
        <x:v>1</x:v>
      </x:c>
      <x:c r="Q243" s="2" t="n">
        <x:f>IF(P243=1,G243+H243,0)</x:f>
        <x:v>12</x:v>
      </x:c>
      <x:c r="R243" s="2" t="n">
        <x:f>Q243^2</x:f>
        <x:v>144</x:v>
      </x:c>
      <x:c r="S243" s="2" t="n">
        <x:f>IF(A243="","",IFERROR(MATCH(I243,SourceTable[Source_ID],0),0))</x:f>
        <x:v>1</x:v>
      </x:c>
    </x:row>
    <x:row r="244" ht="21" customHeight="1">
      <x:c r="A244" s="7" t="str">
        <x:v>dc29eae362f5f4ef1d8f</x:v>
      </x:c>
      <x:c r="B244" s="7" t="str">
        <x:v>E0</x:v>
      </x:c>
      <x:c r="C244" s="7" t="str">
        <x:v>2025/26</x:v>
      </x:c>
      <x:c r="D244" s="8" t="n">
        <x:v>46054</x:v>
      </x:c>
      <x:c r="E244" s="7" t="str">
        <x:v>Tottenham</x:v>
      </x:c>
      <x:c r="F244" s="7" t="str">
        <x:v>Man City</x:v>
      </x:c>
      <x:c r="G244" s="7" t="n">
        <x:v>3</x:v>
      </x:c>
      <x:c r="H244" s="7" t="n">
        <x:v>4</x:v>
      </x:c>
      <x:c r="I244" s="7" t="str">
        <x:v>FD_E0_2526</x:v>
      </x:c>
      <x:c r="J244" s="7" t="str">
        <x:v>https://www.football-data.co.uk/mmz4281/2526/E0.csv</x:v>
      </x:c>
      <x:c r="K244" s="8" t="n">
        <x:v>46278.70306712963</x:v>
      </x:c>
      <x:c r="L244" s="7" t="str">
        <x:v>FT90</x:v>
      </x:c>
      <x:c r="M244" s="7" t="str">
        <x:v>CSV row 240</x:v>
      </x:c>
      <x:c r="N244" s="2" t="str">
        <x:f>IF(AND(A244&lt;&gt;"",ISNUMBER(D244)),B244&amp;"|"&amp;C244&amp;"|"&amp;TEXT(D244,"yyyymmdd")&amp;"|"&amp;E244&amp;"|"&amp;F244,"")</x:f>
        <x:v>E0|2025/26|20260201|Tottenham|Man City</x:v>
      </x:c>
      <x:c r="O244" s="2" t="str">
        <x:f>IF(A244="","",IFERROR(IF(NOT(AND(B244&lt;&gt;"",C244&lt;&gt;"",ISNUMBER(D244),D244&gt;0,E244&lt;&gt;"",F244&lt;&gt;"",E244&lt;&gt;F244,ISNUMBER(G244),ISNUMBER(H244),G244&gt;=0,H244&gt;=0,G244&lt;=100,H244&lt;=100,MOD(G244,1)=0,MOD(H244,1)=0,L244="FT90",S244&gt;0,INDEX(SourceTable[League],MAX(1,S244))=B244,INDEX(SourceTable[Season],MAX(1,S244))=C244,ISNUMBER(K244),K244=INDEX(SourceTable[Retrieved_UTC],MAX(1,S244)),J244&lt;&gt;"",M244&lt;&gt;"")),"INVALID",IF(OR(COUNTIFS('Istoric_Nativ'!$N$6:$N$405,N244,'Istoric_Nativ'!$G$6:$G$405,G244)&lt;&gt;COUNTIF('Istoric_Nativ'!$N$6:$N$405,N244),COUNTIFS('Istoric_Nativ'!$N$6:$N$405,N244,'Istoric_Nativ'!$H$6:$H$405,H244)&lt;&gt;COUNTIF('Istoric_Nativ'!$N$6:$N$405,N244)),"SOURCE CONFLICT",IF(COUNTIF($N$6:N244,N244)&gt;1,"DUPLICATE","VALID"))),"INVALID"))</x:f>
        <x:v>VALID</x:v>
      </x:c>
      <x:c r="P244" s="2" t="n">
        <x:f>IF(O244="VALID",1,0)</x:f>
        <x:v>1</x:v>
      </x:c>
      <x:c r="Q244" s="2" t="n">
        <x:f>IF(P244=1,G244+H244,0)</x:f>
        <x:v>7</x:v>
      </x:c>
      <x:c r="R244" s="2" t="n">
        <x:f>Q244^2</x:f>
        <x:v>49</x:v>
      </x:c>
      <x:c r="S244" s="2" t="n">
        <x:f>IF(A244="","",IFERROR(MATCH(I244,SourceTable[Source_ID],0),0))</x:f>
        <x:v>1</x:v>
      </x:c>
    </x:row>
    <x:row r="245" ht="21" customHeight="1">
      <x:c r="A245" s="7" t="str">
        <x:v>d34e88d3e3033595882c</x:v>
      </x:c>
      <x:c r="B245" s="7" t="str">
        <x:v>E0</x:v>
      </x:c>
      <x:c r="C245" s="7" t="str">
        <x:v>2025/26</x:v>
      </x:c>
      <x:c r="D245" s="8" t="n">
        <x:v>46055</x:v>
      </x:c>
      <x:c r="E245" s="7" t="str">
        <x:v>Sunderland</x:v>
      </x:c>
      <x:c r="F245" s="7" t="str">
        <x:v>Burnley</x:v>
      </x:c>
      <x:c r="G245" s="7" t="n">
        <x:v>1</x:v>
      </x:c>
      <x:c r="H245" s="7" t="n">
        <x:v>2</x:v>
      </x:c>
      <x:c r="I245" s="7" t="str">
        <x:v>FD_E0_2526</x:v>
      </x:c>
      <x:c r="J245" s="7" t="str">
        <x:v>https://www.football-data.co.uk/mmz4281/2526/E0.csv</x:v>
      </x:c>
      <x:c r="K245" s="8" t="n">
        <x:v>46278.70306712963</x:v>
      </x:c>
      <x:c r="L245" s="7" t="str">
        <x:v>FT90</x:v>
      </x:c>
      <x:c r="M245" s="7" t="str">
        <x:v>CSV row 241</x:v>
      </x:c>
      <x:c r="N245" s="2" t="str">
        <x:f>IF(AND(A245&lt;&gt;"",ISNUMBER(D245)),B245&amp;"|"&amp;C245&amp;"|"&amp;TEXT(D245,"yyyymmdd")&amp;"|"&amp;E245&amp;"|"&amp;F245,"")</x:f>
        <x:v>E0|2025/26|20260202|Sunderland|Burnley</x:v>
      </x:c>
      <x:c r="O245" s="2" t="str">
        <x:f>IF(A245="","",IFERROR(IF(NOT(AND(B245&lt;&gt;"",C245&lt;&gt;"",ISNUMBER(D245),D245&gt;0,E245&lt;&gt;"",F245&lt;&gt;"",E245&lt;&gt;F245,ISNUMBER(G245),ISNUMBER(H245),G245&gt;=0,H245&gt;=0,G245&lt;=100,H245&lt;=100,MOD(G245,1)=0,MOD(H245,1)=0,L245="FT90",S245&gt;0,INDEX(SourceTable[League],MAX(1,S245))=B245,INDEX(SourceTable[Season],MAX(1,S245))=C245,ISNUMBER(K245),K245=INDEX(SourceTable[Retrieved_UTC],MAX(1,S245)),J245&lt;&gt;"",M245&lt;&gt;"")),"INVALID",IF(OR(COUNTIFS('Istoric_Nativ'!$N$6:$N$405,N245,'Istoric_Nativ'!$G$6:$G$405,G245)&lt;&gt;COUNTIF('Istoric_Nativ'!$N$6:$N$405,N245),COUNTIFS('Istoric_Nativ'!$N$6:$N$405,N245,'Istoric_Nativ'!$H$6:$H$405,H245)&lt;&gt;COUNTIF('Istoric_Nativ'!$N$6:$N$405,N245)),"SOURCE CONFLICT",IF(COUNTIF($N$6:N245,N245)&gt;1,"DUPLICATE","VALID"))),"INVALID"))</x:f>
        <x:v>VALID</x:v>
      </x:c>
      <x:c r="P245" s="2" t="n">
        <x:f>IF(O245="VALID",1,0)</x:f>
        <x:v>1</x:v>
      </x:c>
      <x:c r="Q245" s="2" t="n">
        <x:f>IF(P245=1,G245+H245,0)</x:f>
        <x:v>3</x:v>
      </x:c>
      <x:c r="R245" s="2" t="n">
        <x:f>Q245^2</x:f>
        <x:v>9</x:v>
      </x:c>
      <x:c r="S245" s="2" t="n">
        <x:f>IF(A245="","",IFERROR(MATCH(I245,SourceTable[Source_ID],0),0))</x:f>
        <x:v>1</x:v>
      </x:c>
    </x:row>
    <x:row r="246" ht="21" customHeight="1">
      <x:c r="A246" s="7" t="str">
        <x:v>9e96744cb5102500e3cf</x:v>
      </x:c>
      <x:c r="B246" s="7" t="str">
        <x:v>E0</x:v>
      </x:c>
      <x:c r="C246" s="7" t="str">
        <x:v>2025/26</x:v>
      </x:c>
      <x:c r="D246" s="8" t="n">
        <x:v>46059</x:v>
      </x:c>
      <x:c r="E246" s="7" t="str">
        <x:v>Leeds</x:v>
      </x:c>
      <x:c r="F246" s="7" t="str">
        <x:v>Nott'm Forest</x:v>
      </x:c>
      <x:c r="G246" s="7" t="n">
        <x:v>5</x:v>
      </x:c>
      <x:c r="H246" s="7" t="n">
        <x:v>10</x:v>
      </x:c>
      <x:c r="I246" s="7" t="str">
        <x:v>FD_E0_2526</x:v>
      </x:c>
      <x:c r="J246" s="7" t="str">
        <x:v>https://www.football-data.co.uk/mmz4281/2526/E0.csv</x:v>
      </x:c>
      <x:c r="K246" s="8" t="n">
        <x:v>46278.70306712963</x:v>
      </x:c>
      <x:c r="L246" s="7" t="str">
        <x:v>FT90</x:v>
      </x:c>
      <x:c r="M246" s="7" t="str">
        <x:v>CSV row 242</x:v>
      </x:c>
      <x:c r="N246" s="2" t="str">
        <x:f>IF(AND(A246&lt;&gt;"",ISNUMBER(D246)),B246&amp;"|"&amp;C246&amp;"|"&amp;TEXT(D246,"yyyymmdd")&amp;"|"&amp;E246&amp;"|"&amp;F246,"")</x:f>
        <x:v>E0|2025/26|20260206|Leeds|Nott'm Forest</x:v>
      </x:c>
      <x:c r="O246" s="2" t="str">
        <x:f>IF(A246="","",IFERROR(IF(NOT(AND(B246&lt;&gt;"",C246&lt;&gt;"",ISNUMBER(D246),D246&gt;0,E246&lt;&gt;"",F246&lt;&gt;"",E246&lt;&gt;F246,ISNUMBER(G246),ISNUMBER(H246),G246&gt;=0,H246&gt;=0,G246&lt;=100,H246&lt;=100,MOD(G246,1)=0,MOD(H246,1)=0,L246="FT90",S246&gt;0,INDEX(SourceTable[League],MAX(1,S246))=B246,INDEX(SourceTable[Season],MAX(1,S246))=C246,ISNUMBER(K246),K246=INDEX(SourceTable[Retrieved_UTC],MAX(1,S246)),J246&lt;&gt;"",M246&lt;&gt;"")),"INVALID",IF(OR(COUNTIFS('Istoric_Nativ'!$N$6:$N$405,N246,'Istoric_Nativ'!$G$6:$G$405,G246)&lt;&gt;COUNTIF('Istoric_Nativ'!$N$6:$N$405,N246),COUNTIFS('Istoric_Nativ'!$N$6:$N$405,N246,'Istoric_Nativ'!$H$6:$H$405,H246)&lt;&gt;COUNTIF('Istoric_Nativ'!$N$6:$N$405,N246)),"SOURCE CONFLICT",IF(COUNTIF($N$6:N246,N246)&gt;1,"DUPLICATE","VALID"))),"INVALID"))</x:f>
        <x:v>VALID</x:v>
      </x:c>
      <x:c r="P246" s="2" t="n">
        <x:f>IF(O246="VALID",1,0)</x:f>
        <x:v>1</x:v>
      </x:c>
      <x:c r="Q246" s="2" t="n">
        <x:f>IF(P246=1,G246+H246,0)</x:f>
        <x:v>15</x:v>
      </x:c>
      <x:c r="R246" s="2" t="n">
        <x:f>Q246^2</x:f>
        <x:v>225</x:v>
      </x:c>
      <x:c r="S246" s="2" t="n">
        <x:f>IF(A246="","",IFERROR(MATCH(I246,SourceTable[Source_ID],0),0))</x:f>
        <x:v>1</x:v>
      </x:c>
    </x:row>
    <x:row r="247" ht="21" customHeight="1">
      <x:c r="A247" s="7" t="str">
        <x:v>ab86fbc53cf73760ed15</x:v>
      </x:c>
      <x:c r="B247" s="7" t="str">
        <x:v>E0</x:v>
      </x:c>
      <x:c r="C247" s="7" t="str">
        <x:v>2025/26</x:v>
      </x:c>
      <x:c r="D247" s="8" t="n">
        <x:v>46060</x:v>
      </x:c>
      <x:c r="E247" s="7" t="str">
        <x:v>Arsenal</x:v>
      </x:c>
      <x:c r="F247" s="7" t="str">
        <x:v>Sunderland</x:v>
      </x:c>
      <x:c r="G247" s="7" t="n">
        <x:v>5</x:v>
      </x:c>
      <x:c r="H247" s="7" t="n">
        <x:v>2</x:v>
      </x:c>
      <x:c r="I247" s="7" t="str">
        <x:v>FD_E0_2526</x:v>
      </x:c>
      <x:c r="J247" s="7" t="str">
        <x:v>https://www.football-data.co.uk/mmz4281/2526/E0.csv</x:v>
      </x:c>
      <x:c r="K247" s="8" t="n">
        <x:v>46278.70306712963</x:v>
      </x:c>
      <x:c r="L247" s="7" t="str">
        <x:v>FT90</x:v>
      </x:c>
      <x:c r="M247" s="7" t="str">
        <x:v>CSV row 244</x:v>
      </x:c>
      <x:c r="N247" s="2" t="str">
        <x:f>IF(AND(A247&lt;&gt;"",ISNUMBER(D247)),B247&amp;"|"&amp;C247&amp;"|"&amp;TEXT(D247,"yyyymmdd")&amp;"|"&amp;E247&amp;"|"&amp;F247,"")</x:f>
        <x:v>E0|2025/26|20260207|Arsenal|Sunderland</x:v>
      </x:c>
      <x:c r="O247" s="2" t="str">
        <x:f>IF(A247="","",IFERROR(IF(NOT(AND(B247&lt;&gt;"",C247&lt;&gt;"",ISNUMBER(D247),D247&gt;0,E247&lt;&gt;"",F247&lt;&gt;"",E247&lt;&gt;F247,ISNUMBER(G247),ISNUMBER(H247),G247&gt;=0,H247&gt;=0,G247&lt;=100,H247&lt;=100,MOD(G247,1)=0,MOD(H247,1)=0,L247="FT90",S247&gt;0,INDEX(SourceTable[League],MAX(1,S247))=B247,INDEX(SourceTable[Season],MAX(1,S247))=C247,ISNUMBER(K247),K247=INDEX(SourceTable[Retrieved_UTC],MAX(1,S247)),J247&lt;&gt;"",M247&lt;&gt;"")),"INVALID",IF(OR(COUNTIFS('Istoric_Nativ'!$N$6:$N$405,N247,'Istoric_Nativ'!$G$6:$G$405,G247)&lt;&gt;COUNTIF('Istoric_Nativ'!$N$6:$N$405,N247),COUNTIFS('Istoric_Nativ'!$N$6:$N$405,N247,'Istoric_Nativ'!$H$6:$H$405,H247)&lt;&gt;COUNTIF('Istoric_Nativ'!$N$6:$N$405,N247)),"SOURCE CONFLICT",IF(COUNTIF($N$6:N247,N247)&gt;1,"DUPLICATE","VALID"))),"INVALID"))</x:f>
        <x:v>VALID</x:v>
      </x:c>
      <x:c r="P247" s="2" t="n">
        <x:f>IF(O247="VALID",1,0)</x:f>
        <x:v>1</x:v>
      </x:c>
      <x:c r="Q247" s="2" t="n">
        <x:f>IF(P247=1,G247+H247,0)</x:f>
        <x:v>7</x:v>
      </x:c>
      <x:c r="R247" s="2" t="n">
        <x:f>Q247^2</x:f>
        <x:v>49</x:v>
      </x:c>
      <x:c r="S247" s="2" t="n">
        <x:f>IF(A247="","",IFERROR(MATCH(I247,SourceTable[Source_ID],0),0))</x:f>
        <x:v>1</x:v>
      </x:c>
    </x:row>
    <x:row r="248" ht="21" customHeight="1">
      <x:c r="A248" s="7" t="str">
        <x:v>997766c81076cecae18f</x:v>
      </x:c>
      <x:c r="B248" s="7" t="str">
        <x:v>E0</x:v>
      </x:c>
      <x:c r="C248" s="7" t="str">
        <x:v>2025/26</x:v>
      </x:c>
      <x:c r="D248" s="8" t="n">
        <x:v>46060</x:v>
      </x:c>
      <x:c r="E248" s="7" t="str">
        <x:v>Bournemouth</x:v>
      </x:c>
      <x:c r="F248" s="7" t="str">
        <x:v>Aston Villa</x:v>
      </x:c>
      <x:c r="G248" s="7" t="n">
        <x:v>11</x:v>
      </x:c>
      <x:c r="H248" s="7" t="n">
        <x:v>4</x:v>
      </x:c>
      <x:c r="I248" s="7" t="str">
        <x:v>FD_E0_2526</x:v>
      </x:c>
      <x:c r="J248" s="7" t="str">
        <x:v>https://www.football-data.co.uk/mmz4281/2526/E0.csv</x:v>
      </x:c>
      <x:c r="K248" s="8" t="n">
        <x:v>46278.70306712963</x:v>
      </x:c>
      <x:c r="L248" s="7" t="str">
        <x:v>FT90</x:v>
      </x:c>
      <x:c r="M248" s="7" t="str">
        <x:v>CSV row 245</x:v>
      </x:c>
      <x:c r="N248" s="2" t="str">
        <x:f>IF(AND(A248&lt;&gt;"",ISNUMBER(D248)),B248&amp;"|"&amp;C248&amp;"|"&amp;TEXT(D248,"yyyymmdd")&amp;"|"&amp;E248&amp;"|"&amp;F248,"")</x:f>
        <x:v>E0|2025/26|20260207|Bournemouth|Aston Villa</x:v>
      </x:c>
      <x:c r="O248" s="2" t="str">
        <x:f>IF(A248="","",IFERROR(IF(NOT(AND(B248&lt;&gt;"",C248&lt;&gt;"",ISNUMBER(D248),D248&gt;0,E248&lt;&gt;"",F248&lt;&gt;"",E248&lt;&gt;F248,ISNUMBER(G248),ISNUMBER(H248),G248&gt;=0,H248&gt;=0,G248&lt;=100,H248&lt;=100,MOD(G248,1)=0,MOD(H248,1)=0,L248="FT90",S248&gt;0,INDEX(SourceTable[League],MAX(1,S248))=B248,INDEX(SourceTable[Season],MAX(1,S248))=C248,ISNUMBER(K248),K248=INDEX(SourceTable[Retrieved_UTC],MAX(1,S248)),J248&lt;&gt;"",M248&lt;&gt;"")),"INVALID",IF(OR(COUNTIFS('Istoric_Nativ'!$N$6:$N$405,N248,'Istoric_Nativ'!$G$6:$G$405,G248)&lt;&gt;COUNTIF('Istoric_Nativ'!$N$6:$N$405,N248),COUNTIFS('Istoric_Nativ'!$N$6:$N$405,N248,'Istoric_Nativ'!$H$6:$H$405,H248)&lt;&gt;COUNTIF('Istoric_Nativ'!$N$6:$N$405,N248)),"SOURCE CONFLICT",IF(COUNTIF($N$6:N248,N248)&gt;1,"DUPLICATE","VALID"))),"INVALID"))</x:f>
        <x:v>VALID</x:v>
      </x:c>
      <x:c r="P248" s="2" t="n">
        <x:f>IF(O248="VALID",1,0)</x:f>
        <x:v>1</x:v>
      </x:c>
      <x:c r="Q248" s="2" t="n">
        <x:f>IF(P248=1,G248+H248,0)</x:f>
        <x:v>15</x:v>
      </x:c>
      <x:c r="R248" s="2" t="n">
        <x:f>Q248^2</x:f>
        <x:v>225</x:v>
      </x:c>
      <x:c r="S248" s="2" t="n">
        <x:f>IF(A248="","",IFERROR(MATCH(I248,SourceTable[Source_ID],0),0))</x:f>
        <x:v>1</x:v>
      </x:c>
    </x:row>
    <x:row r="249" ht="21" customHeight="1">
      <x:c r="A249" s="7" t="str">
        <x:v>db296becf28165cfa8c7</x:v>
      </x:c>
      <x:c r="B249" s="7" t="str">
        <x:v>E0</x:v>
      </x:c>
      <x:c r="C249" s="7" t="str">
        <x:v>2025/26</x:v>
      </x:c>
      <x:c r="D249" s="8" t="n">
        <x:v>46060</x:v>
      </x:c>
      <x:c r="E249" s="7" t="str">
        <x:v>Burnley</x:v>
      </x:c>
      <x:c r="F249" s="7" t="str">
        <x:v>West Ham</x:v>
      </x:c>
      <x:c r="G249" s="7" t="n">
        <x:v>5</x:v>
      </x:c>
      <x:c r="H249" s="7" t="n">
        <x:v>2</x:v>
      </x:c>
      <x:c r="I249" s="7" t="str">
        <x:v>FD_E0_2526</x:v>
      </x:c>
      <x:c r="J249" s="7" t="str">
        <x:v>https://www.football-data.co.uk/mmz4281/2526/E0.csv</x:v>
      </x:c>
      <x:c r="K249" s="8" t="n">
        <x:v>46278.70306712963</x:v>
      </x:c>
      <x:c r="L249" s="7" t="str">
        <x:v>FT90</x:v>
      </x:c>
      <x:c r="M249" s="7" t="str">
        <x:v>CSV row 246</x:v>
      </x:c>
      <x:c r="N249" s="2" t="str">
        <x:f>IF(AND(A249&lt;&gt;"",ISNUMBER(D249)),B249&amp;"|"&amp;C249&amp;"|"&amp;TEXT(D249,"yyyymmdd")&amp;"|"&amp;E249&amp;"|"&amp;F249,"")</x:f>
        <x:v>E0|2025/26|20260207|Burnley|West Ham</x:v>
      </x:c>
      <x:c r="O249" s="2" t="str">
        <x:f>IF(A249="","",IFERROR(IF(NOT(AND(B249&lt;&gt;"",C249&lt;&gt;"",ISNUMBER(D249),D249&gt;0,E249&lt;&gt;"",F249&lt;&gt;"",E249&lt;&gt;F249,ISNUMBER(G249),ISNUMBER(H249),G249&gt;=0,H249&gt;=0,G249&lt;=100,H249&lt;=100,MOD(G249,1)=0,MOD(H249,1)=0,L249="FT90",S249&gt;0,INDEX(SourceTable[League],MAX(1,S249))=B249,INDEX(SourceTable[Season],MAX(1,S249))=C249,ISNUMBER(K249),K249=INDEX(SourceTable[Retrieved_UTC],MAX(1,S249)),J249&lt;&gt;"",M249&lt;&gt;"")),"INVALID",IF(OR(COUNTIFS('Istoric_Nativ'!$N$6:$N$405,N249,'Istoric_Nativ'!$G$6:$G$405,G249)&lt;&gt;COUNTIF('Istoric_Nativ'!$N$6:$N$405,N249),COUNTIFS('Istoric_Nativ'!$N$6:$N$405,N249,'Istoric_Nativ'!$H$6:$H$405,H249)&lt;&gt;COUNTIF('Istoric_Nativ'!$N$6:$N$405,N249)),"SOURCE CONFLICT",IF(COUNTIF($N$6:N249,N249)&gt;1,"DUPLICATE","VALID"))),"INVALID"))</x:f>
        <x:v>VALID</x:v>
      </x:c>
      <x:c r="P249" s="2" t="n">
        <x:f>IF(O249="VALID",1,0)</x:f>
        <x:v>1</x:v>
      </x:c>
      <x:c r="Q249" s="2" t="n">
        <x:f>IF(P249=1,G249+H249,0)</x:f>
        <x:v>7</x:v>
      </x:c>
      <x:c r="R249" s="2" t="n">
        <x:f>Q249^2</x:f>
        <x:v>49</x:v>
      </x:c>
      <x:c r="S249" s="2" t="n">
        <x:f>IF(A249="","",IFERROR(MATCH(I249,SourceTable[Source_ID],0),0))</x:f>
        <x:v>1</x:v>
      </x:c>
    </x:row>
    <x:row r="250" ht="21" customHeight="1">
      <x:c r="A250" s="7" t="str">
        <x:v>551eae4d3c8e828f122c</x:v>
      </x:c>
      <x:c r="B250" s="7" t="str">
        <x:v>E0</x:v>
      </x:c>
      <x:c r="C250" s="7" t="str">
        <x:v>2025/26</x:v>
      </x:c>
      <x:c r="D250" s="8" t="n">
        <x:v>46060</x:v>
      </x:c>
      <x:c r="E250" s="7" t="str">
        <x:v>Fulham</x:v>
      </x:c>
      <x:c r="F250" s="7" t="str">
        <x:v>Everton</x:v>
      </x:c>
      <x:c r="G250" s="7" t="n">
        <x:v>6</x:v>
      </x:c>
      <x:c r="H250" s="7" t="n">
        <x:v>6</x:v>
      </x:c>
      <x:c r="I250" s="7" t="str">
        <x:v>FD_E0_2526</x:v>
      </x:c>
      <x:c r="J250" s="7" t="str">
        <x:v>https://www.football-data.co.uk/mmz4281/2526/E0.csv</x:v>
      </x:c>
      <x:c r="K250" s="8" t="n">
        <x:v>46278.70306712963</x:v>
      </x:c>
      <x:c r="L250" s="7" t="str">
        <x:v>FT90</x:v>
      </x:c>
      <x:c r="M250" s="7" t="str">
        <x:v>CSV row 247</x:v>
      </x:c>
      <x:c r="N250" s="2" t="str">
        <x:f>IF(AND(A250&lt;&gt;"",ISNUMBER(D250)),B250&amp;"|"&amp;C250&amp;"|"&amp;TEXT(D250,"yyyymmdd")&amp;"|"&amp;E250&amp;"|"&amp;F250,"")</x:f>
        <x:v>E0|2025/26|20260207|Fulham|Everton</x:v>
      </x:c>
      <x:c r="O250" s="2" t="str">
        <x:f>IF(A250="","",IFERROR(IF(NOT(AND(B250&lt;&gt;"",C250&lt;&gt;"",ISNUMBER(D250),D250&gt;0,E250&lt;&gt;"",F250&lt;&gt;"",E250&lt;&gt;F250,ISNUMBER(G250),ISNUMBER(H250),G250&gt;=0,H250&gt;=0,G250&lt;=100,H250&lt;=100,MOD(G250,1)=0,MOD(H250,1)=0,L250="FT90",S250&gt;0,INDEX(SourceTable[League],MAX(1,S250))=B250,INDEX(SourceTable[Season],MAX(1,S250))=C250,ISNUMBER(K250),K250=INDEX(SourceTable[Retrieved_UTC],MAX(1,S250)),J250&lt;&gt;"",M250&lt;&gt;"")),"INVALID",IF(OR(COUNTIFS('Istoric_Nativ'!$N$6:$N$405,N250,'Istoric_Nativ'!$G$6:$G$405,G250)&lt;&gt;COUNTIF('Istoric_Nativ'!$N$6:$N$405,N250),COUNTIFS('Istoric_Nativ'!$N$6:$N$405,N250,'Istoric_Nativ'!$H$6:$H$405,H250)&lt;&gt;COUNTIF('Istoric_Nativ'!$N$6:$N$405,N250)),"SOURCE CONFLICT",IF(COUNTIF($N$6:N250,N250)&gt;1,"DUPLICATE","VALID"))),"INVALID"))</x:f>
        <x:v>VALID</x:v>
      </x:c>
      <x:c r="P250" s="2" t="n">
        <x:f>IF(O250="VALID",1,0)</x:f>
        <x:v>1</x:v>
      </x:c>
      <x:c r="Q250" s="2" t="n">
        <x:f>IF(P250=1,G250+H250,0)</x:f>
        <x:v>12</x:v>
      </x:c>
      <x:c r="R250" s="2" t="n">
        <x:f>Q250^2</x:f>
        <x:v>144</x:v>
      </x:c>
      <x:c r="S250" s="2" t="n">
        <x:f>IF(A250="","",IFERROR(MATCH(I250,SourceTable[Source_ID],0),0))</x:f>
        <x:v>1</x:v>
      </x:c>
    </x:row>
    <x:row r="251" ht="21" customHeight="1">
      <x:c r="A251" s="7" t="str">
        <x:v>99c299f1086a1a0a0fc1</x:v>
      </x:c>
      <x:c r="B251" s="7" t="str">
        <x:v>E0</x:v>
      </x:c>
      <x:c r="C251" s="7" t="str">
        <x:v>2025/26</x:v>
      </x:c>
      <x:c r="D251" s="8" t="n">
        <x:v>46060</x:v>
      </x:c>
      <x:c r="E251" s="7" t="str">
        <x:v>Man United</x:v>
      </x:c>
      <x:c r="F251" s="7" t="str">
        <x:v>Tottenham</x:v>
      </x:c>
      <x:c r="G251" s="7" t="n">
        <x:v>7</x:v>
      </x:c>
      <x:c r="H251" s="7" t="n">
        <x:v>0</x:v>
      </x:c>
      <x:c r="I251" s="7" t="str">
        <x:v>FD_E0_2526</x:v>
      </x:c>
      <x:c r="J251" s="7" t="str">
        <x:v>https://www.football-data.co.uk/mmz4281/2526/E0.csv</x:v>
      </x:c>
      <x:c r="K251" s="8" t="n">
        <x:v>46278.70306712963</x:v>
      </x:c>
      <x:c r="L251" s="7" t="str">
        <x:v>FT90</x:v>
      </x:c>
      <x:c r="M251" s="7" t="str">
        <x:v>CSV row 243</x:v>
      </x:c>
      <x:c r="N251" s="2" t="str">
        <x:f>IF(AND(A251&lt;&gt;"",ISNUMBER(D251)),B251&amp;"|"&amp;C251&amp;"|"&amp;TEXT(D251,"yyyymmdd")&amp;"|"&amp;E251&amp;"|"&amp;F251,"")</x:f>
        <x:v>E0|2025/26|20260207|Man United|Tottenham</x:v>
      </x:c>
      <x:c r="O251" s="2" t="str">
        <x:f>IF(A251="","",IFERROR(IF(NOT(AND(B251&lt;&gt;"",C251&lt;&gt;"",ISNUMBER(D251),D251&gt;0,E251&lt;&gt;"",F251&lt;&gt;"",E251&lt;&gt;F251,ISNUMBER(G251),ISNUMBER(H251),G251&gt;=0,H251&gt;=0,G251&lt;=100,H251&lt;=100,MOD(G251,1)=0,MOD(H251,1)=0,L251="FT90",S251&gt;0,INDEX(SourceTable[League],MAX(1,S251))=B251,INDEX(SourceTable[Season],MAX(1,S251))=C251,ISNUMBER(K251),K251=INDEX(SourceTable[Retrieved_UTC],MAX(1,S251)),J251&lt;&gt;"",M251&lt;&gt;"")),"INVALID",IF(OR(COUNTIFS('Istoric_Nativ'!$N$6:$N$405,N251,'Istoric_Nativ'!$G$6:$G$405,G251)&lt;&gt;COUNTIF('Istoric_Nativ'!$N$6:$N$405,N251),COUNTIFS('Istoric_Nativ'!$N$6:$N$405,N251,'Istoric_Nativ'!$H$6:$H$405,H251)&lt;&gt;COUNTIF('Istoric_Nativ'!$N$6:$N$405,N251)),"SOURCE CONFLICT",IF(COUNTIF($N$6:N251,N251)&gt;1,"DUPLICATE","VALID"))),"INVALID"))</x:f>
        <x:v>VALID</x:v>
      </x:c>
      <x:c r="P251" s="2" t="n">
        <x:f>IF(O251="VALID",1,0)</x:f>
        <x:v>1</x:v>
      </x:c>
      <x:c r="Q251" s="2" t="n">
        <x:f>IF(P251=1,G251+H251,0)</x:f>
        <x:v>7</x:v>
      </x:c>
      <x:c r="R251" s="2" t="n">
        <x:f>Q251^2</x:f>
        <x:v>49</x:v>
      </x:c>
      <x:c r="S251" s="2" t="n">
        <x:f>IF(A251="","",IFERROR(MATCH(I251,SourceTable[Source_ID],0),0))</x:f>
        <x:v>1</x:v>
      </x:c>
    </x:row>
    <x:row r="252" ht="21" customHeight="1">
      <x:c r="A252" s="7" t="str">
        <x:v>f6a0fe4ffc56db1118d0</x:v>
      </x:c>
      <x:c r="B252" s="7" t="str">
        <x:v>E0</x:v>
      </x:c>
      <x:c r="C252" s="7" t="str">
        <x:v>2025/26</x:v>
      </x:c>
      <x:c r="D252" s="8" t="n">
        <x:v>46060</x:v>
      </x:c>
      <x:c r="E252" s="7" t="str">
        <x:v>Newcastle</x:v>
      </x:c>
      <x:c r="F252" s="7" t="str">
        <x:v>Brentford</x:v>
      </x:c>
      <x:c r="G252" s="7" t="n">
        <x:v>9</x:v>
      </x:c>
      <x:c r="H252" s="7" t="n">
        <x:v>3</x:v>
      </x:c>
      <x:c r="I252" s="7" t="str">
        <x:v>FD_E0_2526</x:v>
      </x:c>
      <x:c r="J252" s="7" t="str">
        <x:v>https://www.football-data.co.uk/mmz4281/2526/E0.csv</x:v>
      </x:c>
      <x:c r="K252" s="8" t="n">
        <x:v>46278.70306712963</x:v>
      </x:c>
      <x:c r="L252" s="7" t="str">
        <x:v>FT90</x:v>
      </x:c>
      <x:c r="M252" s="7" t="str">
        <x:v>CSV row 249</x:v>
      </x:c>
      <x:c r="N252" s="2" t="str">
        <x:f>IF(AND(A252&lt;&gt;"",ISNUMBER(D252)),B252&amp;"|"&amp;C252&amp;"|"&amp;TEXT(D252,"yyyymmdd")&amp;"|"&amp;E252&amp;"|"&amp;F252,"")</x:f>
        <x:v>E0|2025/26|20260207|Newcastle|Brentford</x:v>
      </x:c>
      <x:c r="O252" s="2" t="str">
        <x:f>IF(A252="","",IFERROR(IF(NOT(AND(B252&lt;&gt;"",C252&lt;&gt;"",ISNUMBER(D252),D252&gt;0,E252&lt;&gt;"",F252&lt;&gt;"",E252&lt;&gt;F252,ISNUMBER(G252),ISNUMBER(H252),G252&gt;=0,H252&gt;=0,G252&lt;=100,H252&lt;=100,MOD(G252,1)=0,MOD(H252,1)=0,L252="FT90",S252&gt;0,INDEX(SourceTable[League],MAX(1,S252))=B252,INDEX(SourceTable[Season],MAX(1,S252))=C252,ISNUMBER(K252),K252=INDEX(SourceTable[Retrieved_UTC],MAX(1,S252)),J252&lt;&gt;"",M252&lt;&gt;"")),"INVALID",IF(OR(COUNTIFS('Istoric_Nativ'!$N$6:$N$405,N252,'Istoric_Nativ'!$G$6:$G$405,G252)&lt;&gt;COUNTIF('Istoric_Nativ'!$N$6:$N$405,N252),COUNTIFS('Istoric_Nativ'!$N$6:$N$405,N252,'Istoric_Nativ'!$H$6:$H$405,H252)&lt;&gt;COUNTIF('Istoric_Nativ'!$N$6:$N$405,N252)),"SOURCE CONFLICT",IF(COUNTIF($N$6:N252,N252)&gt;1,"DUPLICATE","VALID"))),"INVALID"))</x:f>
        <x:v>VALID</x:v>
      </x:c>
      <x:c r="P252" s="2" t="n">
        <x:f>IF(O252="VALID",1,0)</x:f>
        <x:v>1</x:v>
      </x:c>
      <x:c r="Q252" s="2" t="n">
        <x:f>IF(P252=1,G252+H252,0)</x:f>
        <x:v>12</x:v>
      </x:c>
      <x:c r="R252" s="2" t="n">
        <x:f>Q252^2</x:f>
        <x:v>144</x:v>
      </x:c>
      <x:c r="S252" s="2" t="n">
        <x:f>IF(A252="","",IFERROR(MATCH(I252,SourceTable[Source_ID],0),0))</x:f>
        <x:v>1</x:v>
      </x:c>
    </x:row>
    <x:row r="253" ht="21" customHeight="1">
      <x:c r="A253" s="7" t="str">
        <x:v>1c6f66b1a3b0532bd886</x:v>
      </x:c>
      <x:c r="B253" s="7" t="str">
        <x:v>E0</x:v>
      </x:c>
      <x:c r="C253" s="7" t="str">
        <x:v>2025/26</x:v>
      </x:c>
      <x:c r="D253" s="8" t="n">
        <x:v>46060</x:v>
      </x:c>
      <x:c r="E253" s="7" t="str">
        <x:v>Wolves</x:v>
      </x:c>
      <x:c r="F253" s="7" t="str">
        <x:v>Chelsea</x:v>
      </x:c>
      <x:c r="G253" s="7" t="n">
        <x:v>3</x:v>
      </x:c>
      <x:c r="H253" s="7" t="n">
        <x:v>4</x:v>
      </x:c>
      <x:c r="I253" s="7" t="str">
        <x:v>FD_E0_2526</x:v>
      </x:c>
      <x:c r="J253" s="7" t="str">
        <x:v>https://www.football-data.co.uk/mmz4281/2526/E0.csv</x:v>
      </x:c>
      <x:c r="K253" s="8" t="n">
        <x:v>46278.70306712963</x:v>
      </x:c>
      <x:c r="L253" s="7" t="str">
        <x:v>FT90</x:v>
      </x:c>
      <x:c r="M253" s="7" t="str">
        <x:v>CSV row 248</x:v>
      </x:c>
      <x:c r="N253" s="2" t="str">
        <x:f>IF(AND(A253&lt;&gt;"",ISNUMBER(D253)),B253&amp;"|"&amp;C253&amp;"|"&amp;TEXT(D253,"yyyymmdd")&amp;"|"&amp;E253&amp;"|"&amp;F253,"")</x:f>
        <x:v>E0|2025/26|20260207|Wolves|Chelsea</x:v>
      </x:c>
      <x:c r="O253" s="2" t="str">
        <x:f>IF(A253="","",IFERROR(IF(NOT(AND(B253&lt;&gt;"",C253&lt;&gt;"",ISNUMBER(D253),D253&gt;0,E253&lt;&gt;"",F253&lt;&gt;"",E253&lt;&gt;F253,ISNUMBER(G253),ISNUMBER(H253),G253&gt;=0,H253&gt;=0,G253&lt;=100,H253&lt;=100,MOD(G253,1)=0,MOD(H253,1)=0,L253="FT90",S253&gt;0,INDEX(SourceTable[League],MAX(1,S253))=B253,INDEX(SourceTable[Season],MAX(1,S253))=C253,ISNUMBER(K253),K253=INDEX(SourceTable[Retrieved_UTC],MAX(1,S253)),J253&lt;&gt;"",M253&lt;&gt;"")),"INVALID",IF(OR(COUNTIFS('Istoric_Nativ'!$N$6:$N$405,N253,'Istoric_Nativ'!$G$6:$G$405,G253)&lt;&gt;COUNTIF('Istoric_Nativ'!$N$6:$N$405,N253),COUNTIFS('Istoric_Nativ'!$N$6:$N$405,N253,'Istoric_Nativ'!$H$6:$H$405,H253)&lt;&gt;COUNTIF('Istoric_Nativ'!$N$6:$N$405,N253)),"SOURCE CONFLICT",IF(COUNTIF($N$6:N253,N253)&gt;1,"DUPLICATE","VALID"))),"INVALID"))</x:f>
        <x:v>VALID</x:v>
      </x:c>
      <x:c r="P253" s="2" t="n">
        <x:f>IF(O253="VALID",1,0)</x:f>
        <x:v>1</x:v>
      </x:c>
      <x:c r="Q253" s="2" t="n">
        <x:f>IF(P253=1,G253+H253,0)</x:f>
        <x:v>7</x:v>
      </x:c>
      <x:c r="R253" s="2" t="n">
        <x:f>Q253^2</x:f>
        <x:v>49</x:v>
      </x:c>
      <x:c r="S253" s="2" t="n">
        <x:f>IF(A253="","",IFERROR(MATCH(I253,SourceTable[Source_ID],0),0))</x:f>
        <x:v>1</x:v>
      </x:c>
    </x:row>
    <x:row r="254" ht="21" customHeight="1">
      <x:c r="A254" s="7" t="str">
        <x:v>85fcf87bb2d125625deb</x:v>
      </x:c>
      <x:c r="B254" s="7" t="str">
        <x:v>E0</x:v>
      </x:c>
      <x:c r="C254" s="7" t="str">
        <x:v>2025/26</x:v>
      </x:c>
      <x:c r="D254" s="8" t="n">
        <x:v>46061</x:v>
      </x:c>
      <x:c r="E254" s="7" t="str">
        <x:v>Brighton</x:v>
      </x:c>
      <x:c r="F254" s="7" t="str">
        <x:v>Crystal Palace</x:v>
      </x:c>
      <x:c r="G254" s="7" t="n">
        <x:v>3</x:v>
      </x:c>
      <x:c r="H254" s="7" t="n">
        <x:v>4</x:v>
      </x:c>
      <x:c r="I254" s="7" t="str">
        <x:v>FD_E0_2526</x:v>
      </x:c>
      <x:c r="J254" s="7" t="str">
        <x:v>https://www.football-data.co.uk/mmz4281/2526/E0.csv</x:v>
      </x:c>
      <x:c r="K254" s="8" t="n">
        <x:v>46278.70306712963</x:v>
      </x:c>
      <x:c r="L254" s="7" t="str">
        <x:v>FT90</x:v>
      </x:c>
      <x:c r="M254" s="7" t="str">
        <x:v>CSV row 250</x:v>
      </x:c>
      <x:c r="N254" s="2" t="str">
        <x:f>IF(AND(A254&lt;&gt;"",ISNUMBER(D254)),B254&amp;"|"&amp;C254&amp;"|"&amp;TEXT(D254,"yyyymmdd")&amp;"|"&amp;E254&amp;"|"&amp;F254,"")</x:f>
        <x:v>E0|2025/26|20260208|Brighton|Crystal Palace</x:v>
      </x:c>
      <x:c r="O254" s="2" t="str">
        <x:f>IF(A254="","",IFERROR(IF(NOT(AND(B254&lt;&gt;"",C254&lt;&gt;"",ISNUMBER(D254),D254&gt;0,E254&lt;&gt;"",F254&lt;&gt;"",E254&lt;&gt;F254,ISNUMBER(G254),ISNUMBER(H254),G254&gt;=0,H254&gt;=0,G254&lt;=100,H254&lt;=100,MOD(G254,1)=0,MOD(H254,1)=0,L254="FT90",S254&gt;0,INDEX(SourceTable[League],MAX(1,S254))=B254,INDEX(SourceTable[Season],MAX(1,S254))=C254,ISNUMBER(K254),K254=INDEX(SourceTable[Retrieved_UTC],MAX(1,S254)),J254&lt;&gt;"",M254&lt;&gt;"")),"INVALID",IF(OR(COUNTIFS('Istoric_Nativ'!$N$6:$N$405,N254,'Istoric_Nativ'!$G$6:$G$405,G254)&lt;&gt;COUNTIF('Istoric_Nativ'!$N$6:$N$405,N254),COUNTIFS('Istoric_Nativ'!$N$6:$N$405,N254,'Istoric_Nativ'!$H$6:$H$405,H254)&lt;&gt;COUNTIF('Istoric_Nativ'!$N$6:$N$405,N254)),"SOURCE CONFLICT",IF(COUNTIF($N$6:N254,N254)&gt;1,"DUPLICATE","VALID"))),"INVALID"))</x:f>
        <x:v>VALID</x:v>
      </x:c>
      <x:c r="P254" s="2" t="n">
        <x:f>IF(O254="VALID",1,0)</x:f>
        <x:v>1</x:v>
      </x:c>
      <x:c r="Q254" s="2" t="n">
        <x:f>IF(P254=1,G254+H254,0)</x:f>
        <x:v>7</x:v>
      </x:c>
      <x:c r="R254" s="2" t="n">
        <x:f>Q254^2</x:f>
        <x:v>49</x:v>
      </x:c>
      <x:c r="S254" s="2" t="n">
        <x:f>IF(A254="","",IFERROR(MATCH(I254,SourceTable[Source_ID],0),0))</x:f>
        <x:v>1</x:v>
      </x:c>
    </x:row>
    <x:row r="255" ht="21" customHeight="1">
      <x:c r="A255" s="7" t="str">
        <x:v>112d0458c33bcca75116</x:v>
      </x:c>
      <x:c r="B255" s="7" t="str">
        <x:v>E0</x:v>
      </x:c>
      <x:c r="C255" s="7" t="str">
        <x:v>2025/26</x:v>
      </x:c>
      <x:c r="D255" s="8" t="n">
        <x:v>46061</x:v>
      </x:c>
      <x:c r="E255" s="7" t="str">
        <x:v>Liverpool</x:v>
      </x:c>
      <x:c r="F255" s="7" t="str">
        <x:v>Man City</x:v>
      </x:c>
      <x:c r="G255" s="7" t="n">
        <x:v>5</x:v>
      </x:c>
      <x:c r="H255" s="7" t="n">
        <x:v>4</x:v>
      </x:c>
      <x:c r="I255" s="7" t="str">
        <x:v>FD_E0_2526</x:v>
      </x:c>
      <x:c r="J255" s="7" t="str">
        <x:v>https://www.football-data.co.uk/mmz4281/2526/E0.csv</x:v>
      </x:c>
      <x:c r="K255" s="8" t="n">
        <x:v>46278.70306712963</x:v>
      </x:c>
      <x:c r="L255" s="7" t="str">
        <x:v>FT90</x:v>
      </x:c>
      <x:c r="M255" s="7" t="str">
        <x:v>CSV row 251</x:v>
      </x:c>
      <x:c r="N255" s="2" t="str">
        <x:f>IF(AND(A255&lt;&gt;"",ISNUMBER(D255)),B255&amp;"|"&amp;C255&amp;"|"&amp;TEXT(D255,"yyyymmdd")&amp;"|"&amp;E255&amp;"|"&amp;F255,"")</x:f>
        <x:v>E0|2025/26|20260208|Liverpool|Man City</x:v>
      </x:c>
      <x:c r="O255" s="2" t="str">
        <x:f>IF(A255="","",IFERROR(IF(NOT(AND(B255&lt;&gt;"",C255&lt;&gt;"",ISNUMBER(D255),D255&gt;0,E255&lt;&gt;"",F255&lt;&gt;"",E255&lt;&gt;F255,ISNUMBER(G255),ISNUMBER(H255),G255&gt;=0,H255&gt;=0,G255&lt;=100,H255&lt;=100,MOD(G255,1)=0,MOD(H255,1)=0,L255="FT90",S255&gt;0,INDEX(SourceTable[League],MAX(1,S255))=B255,INDEX(SourceTable[Season],MAX(1,S255))=C255,ISNUMBER(K255),K255=INDEX(SourceTable[Retrieved_UTC],MAX(1,S255)),J255&lt;&gt;"",M255&lt;&gt;"")),"INVALID",IF(OR(COUNTIFS('Istoric_Nativ'!$N$6:$N$405,N255,'Istoric_Nativ'!$G$6:$G$405,G255)&lt;&gt;COUNTIF('Istoric_Nativ'!$N$6:$N$405,N255),COUNTIFS('Istoric_Nativ'!$N$6:$N$405,N255,'Istoric_Nativ'!$H$6:$H$405,H255)&lt;&gt;COUNTIF('Istoric_Nativ'!$N$6:$N$405,N255)),"SOURCE CONFLICT",IF(COUNTIF($N$6:N255,N255)&gt;1,"DUPLICATE","VALID"))),"INVALID"))</x:f>
        <x:v>VALID</x:v>
      </x:c>
      <x:c r="P255" s="2" t="n">
        <x:f>IF(O255="VALID",1,0)</x:f>
        <x:v>1</x:v>
      </x:c>
      <x:c r="Q255" s="2" t="n">
        <x:f>IF(P255=1,G255+H255,0)</x:f>
        <x:v>9</x:v>
      </x:c>
      <x:c r="R255" s="2" t="n">
        <x:f>Q255^2</x:f>
        <x:v>81</x:v>
      </x:c>
      <x:c r="S255" s="2" t="n">
        <x:f>IF(A255="","",IFERROR(MATCH(I255,SourceTable[Source_ID],0),0))</x:f>
        <x:v>1</x:v>
      </x:c>
    </x:row>
    <x:row r="256" ht="21" customHeight="1">
      <x:c r="A256" s="7" t="str">
        <x:v>9252cedd508e7114e5a9</x:v>
      </x:c>
      <x:c r="B256" s="7" t="str">
        <x:v>E0</x:v>
      </x:c>
      <x:c r="C256" s="7" t="str">
        <x:v>2025/26</x:v>
      </x:c>
      <x:c r="D256" s="8" t="n">
        <x:v>46063</x:v>
      </x:c>
      <x:c r="E256" s="7" t="str">
        <x:v>Chelsea</x:v>
      </x:c>
      <x:c r="F256" s="7" t="str">
        <x:v>Leeds</x:v>
      </x:c>
      <x:c r="G256" s="7" t="n">
        <x:v>4</x:v>
      </x:c>
      <x:c r="H256" s="7" t="n">
        <x:v>1</x:v>
      </x:c>
      <x:c r="I256" s="7" t="str">
        <x:v>FD_E0_2526</x:v>
      </x:c>
      <x:c r="J256" s="7" t="str">
        <x:v>https://www.football-data.co.uk/mmz4281/2526/E0.csv</x:v>
      </x:c>
      <x:c r="K256" s="8" t="n">
        <x:v>46278.70306712963</x:v>
      </x:c>
      <x:c r="L256" s="7" t="str">
        <x:v>FT90</x:v>
      </x:c>
      <x:c r="M256" s="7" t="str">
        <x:v>CSV row 252</x:v>
      </x:c>
      <x:c r="N256" s="2" t="str">
        <x:f>IF(AND(A256&lt;&gt;"",ISNUMBER(D256)),B256&amp;"|"&amp;C256&amp;"|"&amp;TEXT(D256,"yyyymmdd")&amp;"|"&amp;E256&amp;"|"&amp;F256,"")</x:f>
        <x:v>E0|2025/26|20260210|Chelsea|Leeds</x:v>
      </x:c>
      <x:c r="O256" s="2" t="str">
        <x:f>IF(A256="","",IFERROR(IF(NOT(AND(B256&lt;&gt;"",C256&lt;&gt;"",ISNUMBER(D256),D256&gt;0,E256&lt;&gt;"",F256&lt;&gt;"",E256&lt;&gt;F256,ISNUMBER(G256),ISNUMBER(H256),G256&gt;=0,H256&gt;=0,G256&lt;=100,H256&lt;=100,MOD(G256,1)=0,MOD(H256,1)=0,L256="FT90",S256&gt;0,INDEX(SourceTable[League],MAX(1,S256))=B256,INDEX(SourceTable[Season],MAX(1,S256))=C256,ISNUMBER(K256),K256=INDEX(SourceTable[Retrieved_UTC],MAX(1,S256)),J256&lt;&gt;"",M256&lt;&gt;"")),"INVALID",IF(OR(COUNTIFS('Istoric_Nativ'!$N$6:$N$405,N256,'Istoric_Nativ'!$G$6:$G$405,G256)&lt;&gt;COUNTIF('Istoric_Nativ'!$N$6:$N$405,N256),COUNTIFS('Istoric_Nativ'!$N$6:$N$405,N256,'Istoric_Nativ'!$H$6:$H$405,H256)&lt;&gt;COUNTIF('Istoric_Nativ'!$N$6:$N$405,N256)),"SOURCE CONFLICT",IF(COUNTIF($N$6:N256,N256)&gt;1,"DUPLICATE","VALID"))),"INVALID"))</x:f>
        <x:v>VALID</x:v>
      </x:c>
      <x:c r="P256" s="2" t="n">
        <x:f>IF(O256="VALID",1,0)</x:f>
        <x:v>1</x:v>
      </x:c>
      <x:c r="Q256" s="2" t="n">
        <x:f>IF(P256=1,G256+H256,0)</x:f>
        <x:v>5</x:v>
      </x:c>
      <x:c r="R256" s="2" t="n">
        <x:f>Q256^2</x:f>
        <x:v>25</x:v>
      </x:c>
      <x:c r="S256" s="2" t="n">
        <x:f>IF(A256="","",IFERROR(MATCH(I256,SourceTable[Source_ID],0),0))</x:f>
        <x:v>1</x:v>
      </x:c>
    </x:row>
    <x:row r="257" ht="21" customHeight="1">
      <x:c r="A257" s="7" t="str">
        <x:v>e09652f9cead26096638</x:v>
      </x:c>
      <x:c r="B257" s="7" t="str">
        <x:v>E0</x:v>
      </x:c>
      <x:c r="C257" s="7" t="str">
        <x:v>2025/26</x:v>
      </x:c>
      <x:c r="D257" s="8" t="n">
        <x:v>46063</x:v>
      </x:c>
      <x:c r="E257" s="7" t="str">
        <x:v>Everton</x:v>
      </x:c>
      <x:c r="F257" s="7" t="str">
        <x:v>Bournemouth</x:v>
      </x:c>
      <x:c r="G257" s="7" t="n">
        <x:v>7</x:v>
      </x:c>
      <x:c r="H257" s="7" t="n">
        <x:v>2</x:v>
      </x:c>
      <x:c r="I257" s="7" t="str">
        <x:v>FD_E0_2526</x:v>
      </x:c>
      <x:c r="J257" s="7" t="str">
        <x:v>https://www.football-data.co.uk/mmz4281/2526/E0.csv</x:v>
      </x:c>
      <x:c r="K257" s="8" t="n">
        <x:v>46278.70306712963</x:v>
      </x:c>
      <x:c r="L257" s="7" t="str">
        <x:v>FT90</x:v>
      </x:c>
      <x:c r="M257" s="7" t="str">
        <x:v>CSV row 253</x:v>
      </x:c>
      <x:c r="N257" s="2" t="str">
        <x:f>IF(AND(A257&lt;&gt;"",ISNUMBER(D257)),B257&amp;"|"&amp;C257&amp;"|"&amp;TEXT(D257,"yyyymmdd")&amp;"|"&amp;E257&amp;"|"&amp;F257,"")</x:f>
        <x:v>E0|2025/26|20260210|Everton|Bournemouth</x:v>
      </x:c>
      <x:c r="O257" s="2" t="str">
        <x:f>IF(A257="","",IFERROR(IF(NOT(AND(B257&lt;&gt;"",C257&lt;&gt;"",ISNUMBER(D257),D257&gt;0,E257&lt;&gt;"",F257&lt;&gt;"",E257&lt;&gt;F257,ISNUMBER(G257),ISNUMBER(H257),G257&gt;=0,H257&gt;=0,G257&lt;=100,H257&lt;=100,MOD(G257,1)=0,MOD(H257,1)=0,L257="FT90",S257&gt;0,INDEX(SourceTable[League],MAX(1,S257))=B257,INDEX(SourceTable[Season],MAX(1,S257))=C257,ISNUMBER(K257),K257=INDEX(SourceTable[Retrieved_UTC],MAX(1,S257)),J257&lt;&gt;"",M257&lt;&gt;"")),"INVALID",IF(OR(COUNTIFS('Istoric_Nativ'!$N$6:$N$405,N257,'Istoric_Nativ'!$G$6:$G$405,G257)&lt;&gt;COUNTIF('Istoric_Nativ'!$N$6:$N$405,N257),COUNTIFS('Istoric_Nativ'!$N$6:$N$405,N257,'Istoric_Nativ'!$H$6:$H$405,H257)&lt;&gt;COUNTIF('Istoric_Nativ'!$N$6:$N$405,N257)),"SOURCE CONFLICT",IF(COUNTIF($N$6:N257,N257)&gt;1,"DUPLICATE","VALID"))),"INVALID"))</x:f>
        <x:v>VALID</x:v>
      </x:c>
      <x:c r="P257" s="2" t="n">
        <x:f>IF(O257="VALID",1,0)</x:f>
        <x:v>1</x:v>
      </x:c>
      <x:c r="Q257" s="2" t="n">
        <x:f>IF(P257=1,G257+H257,0)</x:f>
        <x:v>9</x:v>
      </x:c>
      <x:c r="R257" s="2" t="n">
        <x:f>Q257^2</x:f>
        <x:v>81</x:v>
      </x:c>
      <x:c r="S257" s="2" t="n">
        <x:f>IF(A257="","",IFERROR(MATCH(I257,SourceTable[Source_ID],0),0))</x:f>
        <x:v>1</x:v>
      </x:c>
    </x:row>
    <x:row r="258" ht="21" customHeight="1">
      <x:c r="A258" s="7" t="str">
        <x:v>c30773d91ec3e1137949</x:v>
      </x:c>
      <x:c r="B258" s="7" t="str">
        <x:v>E0</x:v>
      </x:c>
      <x:c r="C258" s="7" t="str">
        <x:v>2025/26</x:v>
      </x:c>
      <x:c r="D258" s="8" t="n">
        <x:v>46063</x:v>
      </x:c>
      <x:c r="E258" s="7" t="str">
        <x:v>Tottenham</x:v>
      </x:c>
      <x:c r="F258" s="7" t="str">
        <x:v>Newcastle</x:v>
      </x:c>
      <x:c r="G258" s="7" t="n">
        <x:v>2</x:v>
      </x:c>
      <x:c r="H258" s="7" t="n">
        <x:v>12</x:v>
      </x:c>
      <x:c r="I258" s="7" t="str">
        <x:v>FD_E0_2526</x:v>
      </x:c>
      <x:c r="J258" s="7" t="str">
        <x:v>https://www.football-data.co.uk/mmz4281/2526/E0.csv</x:v>
      </x:c>
      <x:c r="K258" s="8" t="n">
        <x:v>46278.70306712963</x:v>
      </x:c>
      <x:c r="L258" s="7" t="str">
        <x:v>FT90</x:v>
      </x:c>
      <x:c r="M258" s="7" t="str">
        <x:v>CSV row 254</x:v>
      </x:c>
      <x:c r="N258" s="2" t="str">
        <x:f>IF(AND(A258&lt;&gt;"",ISNUMBER(D258)),B258&amp;"|"&amp;C258&amp;"|"&amp;TEXT(D258,"yyyymmdd")&amp;"|"&amp;E258&amp;"|"&amp;F258,"")</x:f>
        <x:v>E0|2025/26|20260210|Tottenham|Newcastle</x:v>
      </x:c>
      <x:c r="O258" s="2" t="str">
        <x:f>IF(A258="","",IFERROR(IF(NOT(AND(B258&lt;&gt;"",C258&lt;&gt;"",ISNUMBER(D258),D258&gt;0,E258&lt;&gt;"",F258&lt;&gt;"",E258&lt;&gt;F258,ISNUMBER(G258),ISNUMBER(H258),G258&gt;=0,H258&gt;=0,G258&lt;=100,H258&lt;=100,MOD(G258,1)=0,MOD(H258,1)=0,L258="FT90",S258&gt;0,INDEX(SourceTable[League],MAX(1,S258))=B258,INDEX(SourceTable[Season],MAX(1,S258))=C258,ISNUMBER(K258),K258=INDEX(SourceTable[Retrieved_UTC],MAX(1,S258)),J258&lt;&gt;"",M258&lt;&gt;"")),"INVALID",IF(OR(COUNTIFS('Istoric_Nativ'!$N$6:$N$405,N258,'Istoric_Nativ'!$G$6:$G$405,G258)&lt;&gt;COUNTIF('Istoric_Nativ'!$N$6:$N$405,N258),COUNTIFS('Istoric_Nativ'!$N$6:$N$405,N258,'Istoric_Nativ'!$H$6:$H$405,H258)&lt;&gt;COUNTIF('Istoric_Nativ'!$N$6:$N$405,N258)),"SOURCE CONFLICT",IF(COUNTIF($N$6:N258,N258)&gt;1,"DUPLICATE","VALID"))),"INVALID"))</x:f>
        <x:v>VALID</x:v>
      </x:c>
      <x:c r="P258" s="2" t="n">
        <x:f>IF(O258="VALID",1,0)</x:f>
        <x:v>1</x:v>
      </x:c>
      <x:c r="Q258" s="2" t="n">
        <x:f>IF(P258=1,G258+H258,0)</x:f>
        <x:v>14</x:v>
      </x:c>
      <x:c r="R258" s="2" t="n">
        <x:f>Q258^2</x:f>
        <x:v>196</x:v>
      </x:c>
      <x:c r="S258" s="2" t="n">
        <x:f>IF(A258="","",IFERROR(MATCH(I258,SourceTable[Source_ID],0),0))</x:f>
        <x:v>1</x:v>
      </x:c>
    </x:row>
    <x:row r="259" ht="21" customHeight="1">
      <x:c r="A259" s="7" t="str">
        <x:v>22aa95196417f2b81ae3</x:v>
      </x:c>
      <x:c r="B259" s="7" t="str">
        <x:v>E0</x:v>
      </x:c>
      <x:c r="C259" s="7" t="str">
        <x:v>2025/26</x:v>
      </x:c>
      <x:c r="D259" s="8" t="n">
        <x:v>46063</x:v>
      </x:c>
      <x:c r="E259" s="7" t="str">
        <x:v>West Ham</x:v>
      </x:c>
      <x:c r="F259" s="7" t="str">
        <x:v>Man United</x:v>
      </x:c>
      <x:c r="G259" s="7" t="n">
        <x:v>5</x:v>
      </x:c>
      <x:c r="H259" s="7" t="n">
        <x:v>3</x:v>
      </x:c>
      <x:c r="I259" s="7" t="str">
        <x:v>FD_E0_2526</x:v>
      </x:c>
      <x:c r="J259" s="7" t="str">
        <x:v>https://www.football-data.co.uk/mmz4281/2526/E0.csv</x:v>
      </x:c>
      <x:c r="K259" s="8" t="n">
        <x:v>46278.70306712963</x:v>
      </x:c>
      <x:c r="L259" s="7" t="str">
        <x:v>FT90</x:v>
      </x:c>
      <x:c r="M259" s="7" t="str">
        <x:v>CSV row 255</x:v>
      </x:c>
      <x:c r="N259" s="2" t="str">
        <x:f>IF(AND(A259&lt;&gt;"",ISNUMBER(D259)),B259&amp;"|"&amp;C259&amp;"|"&amp;TEXT(D259,"yyyymmdd")&amp;"|"&amp;E259&amp;"|"&amp;F259,"")</x:f>
        <x:v>E0|2025/26|20260210|West Ham|Man United</x:v>
      </x:c>
      <x:c r="O259" s="2" t="str">
        <x:f>IF(A259="","",IFERROR(IF(NOT(AND(B259&lt;&gt;"",C259&lt;&gt;"",ISNUMBER(D259),D259&gt;0,E259&lt;&gt;"",F259&lt;&gt;"",E259&lt;&gt;F259,ISNUMBER(G259),ISNUMBER(H259),G259&gt;=0,H259&gt;=0,G259&lt;=100,H259&lt;=100,MOD(G259,1)=0,MOD(H259,1)=0,L259="FT90",S259&gt;0,INDEX(SourceTable[League],MAX(1,S259))=B259,INDEX(SourceTable[Season],MAX(1,S259))=C259,ISNUMBER(K259),K259=INDEX(SourceTable[Retrieved_UTC],MAX(1,S259)),J259&lt;&gt;"",M259&lt;&gt;"")),"INVALID",IF(OR(COUNTIFS('Istoric_Nativ'!$N$6:$N$405,N259,'Istoric_Nativ'!$G$6:$G$405,G259)&lt;&gt;COUNTIF('Istoric_Nativ'!$N$6:$N$405,N259),COUNTIFS('Istoric_Nativ'!$N$6:$N$405,N259,'Istoric_Nativ'!$H$6:$H$405,H259)&lt;&gt;COUNTIF('Istoric_Nativ'!$N$6:$N$405,N259)),"SOURCE CONFLICT",IF(COUNTIF($N$6:N259,N259)&gt;1,"DUPLICATE","VALID"))),"INVALID"))</x:f>
        <x:v>VALID</x:v>
      </x:c>
      <x:c r="P259" s="2" t="n">
        <x:f>IF(O259="VALID",1,0)</x:f>
        <x:v>1</x:v>
      </x:c>
      <x:c r="Q259" s="2" t="n">
        <x:f>IF(P259=1,G259+H259,0)</x:f>
        <x:v>8</x:v>
      </x:c>
      <x:c r="R259" s="2" t="n">
        <x:f>Q259^2</x:f>
        <x:v>64</x:v>
      </x:c>
      <x:c r="S259" s="2" t="n">
        <x:f>IF(A259="","",IFERROR(MATCH(I259,SourceTable[Source_ID],0),0))</x:f>
        <x:v>1</x:v>
      </x:c>
    </x:row>
    <x:row r="260" ht="21" customHeight="1">
      <x:c r="A260" s="7" t="str">
        <x:v>1d771247e073d356c02b</x:v>
      </x:c>
      <x:c r="B260" s="7" t="str">
        <x:v>E0</x:v>
      </x:c>
      <x:c r="C260" s="7" t="str">
        <x:v>2025/26</x:v>
      </x:c>
      <x:c r="D260" s="8" t="n">
        <x:v>46064</x:v>
      </x:c>
      <x:c r="E260" s="7" t="str">
        <x:v>Aston Villa</x:v>
      </x:c>
      <x:c r="F260" s="7" t="str">
        <x:v>Brighton</x:v>
      </x:c>
      <x:c r="G260" s="7" t="n">
        <x:v>7</x:v>
      </x:c>
      <x:c r="H260" s="7" t="n">
        <x:v>5</x:v>
      </x:c>
      <x:c r="I260" s="7" t="str">
        <x:v>FD_E0_2526</x:v>
      </x:c>
      <x:c r="J260" s="7" t="str">
        <x:v>https://www.football-data.co.uk/mmz4281/2526/E0.csv</x:v>
      </x:c>
      <x:c r="K260" s="8" t="n">
        <x:v>46278.70306712963</x:v>
      </x:c>
      <x:c r="L260" s="7" t="str">
        <x:v>FT90</x:v>
      </x:c>
      <x:c r="M260" s="7" t="str">
        <x:v>CSV row 256</x:v>
      </x:c>
      <x:c r="N260" s="2" t="str">
        <x:f>IF(AND(A260&lt;&gt;"",ISNUMBER(D260)),B260&amp;"|"&amp;C260&amp;"|"&amp;TEXT(D260,"yyyymmdd")&amp;"|"&amp;E260&amp;"|"&amp;F260,"")</x:f>
        <x:v>E0|2025/26|20260211|Aston Villa|Brighton</x:v>
      </x:c>
      <x:c r="O260" s="2" t="str">
        <x:f>IF(A260="","",IFERROR(IF(NOT(AND(B260&lt;&gt;"",C260&lt;&gt;"",ISNUMBER(D260),D260&gt;0,E260&lt;&gt;"",F260&lt;&gt;"",E260&lt;&gt;F260,ISNUMBER(G260),ISNUMBER(H260),G260&gt;=0,H260&gt;=0,G260&lt;=100,H260&lt;=100,MOD(G260,1)=0,MOD(H260,1)=0,L260="FT90",S260&gt;0,INDEX(SourceTable[League],MAX(1,S260))=B260,INDEX(SourceTable[Season],MAX(1,S260))=C260,ISNUMBER(K260),K260=INDEX(SourceTable[Retrieved_UTC],MAX(1,S260)),J260&lt;&gt;"",M260&lt;&gt;"")),"INVALID",IF(OR(COUNTIFS('Istoric_Nativ'!$N$6:$N$405,N260,'Istoric_Nativ'!$G$6:$G$405,G260)&lt;&gt;COUNTIF('Istoric_Nativ'!$N$6:$N$405,N260),COUNTIFS('Istoric_Nativ'!$N$6:$N$405,N260,'Istoric_Nativ'!$H$6:$H$405,H260)&lt;&gt;COUNTIF('Istoric_Nativ'!$N$6:$N$405,N260)),"SOURCE CONFLICT",IF(COUNTIF($N$6:N260,N260)&gt;1,"DUPLICATE","VALID"))),"INVALID"))</x:f>
        <x:v>VALID</x:v>
      </x:c>
      <x:c r="P260" s="2" t="n">
        <x:f>IF(O260="VALID",1,0)</x:f>
        <x:v>1</x:v>
      </x:c>
      <x:c r="Q260" s="2" t="n">
        <x:f>IF(P260=1,G260+H260,0)</x:f>
        <x:v>12</x:v>
      </x:c>
      <x:c r="R260" s="2" t="n">
        <x:f>Q260^2</x:f>
        <x:v>144</x:v>
      </x:c>
      <x:c r="S260" s="2" t="n">
        <x:f>IF(A260="","",IFERROR(MATCH(I260,SourceTable[Source_ID],0),0))</x:f>
        <x:v>1</x:v>
      </x:c>
    </x:row>
    <x:row r="261" ht="21" customHeight="1">
      <x:c r="A261" s="7" t="str">
        <x:v>f1ce65f3fafaa1ce4085</x:v>
      </x:c>
      <x:c r="B261" s="7" t="str">
        <x:v>E0</x:v>
      </x:c>
      <x:c r="C261" s="7" t="str">
        <x:v>2025/26</x:v>
      </x:c>
      <x:c r="D261" s="8" t="n">
        <x:v>46064</x:v>
      </x:c>
      <x:c r="E261" s="7" t="str">
        <x:v>Crystal Palace</x:v>
      </x:c>
      <x:c r="F261" s="7" t="str">
        <x:v>Burnley</x:v>
      </x:c>
      <x:c r="G261" s="7" t="n">
        <x:v>8</x:v>
      </x:c>
      <x:c r="H261" s="7" t="n">
        <x:v>2</x:v>
      </x:c>
      <x:c r="I261" s="7" t="str">
        <x:v>FD_E0_2526</x:v>
      </x:c>
      <x:c r="J261" s="7" t="str">
        <x:v>https://www.football-data.co.uk/mmz4281/2526/E0.csv</x:v>
      </x:c>
      <x:c r="K261" s="8" t="n">
        <x:v>46278.70306712963</x:v>
      </x:c>
      <x:c r="L261" s="7" t="str">
        <x:v>FT90</x:v>
      </x:c>
      <x:c r="M261" s="7" t="str">
        <x:v>CSV row 257</x:v>
      </x:c>
      <x:c r="N261" s="2" t="str">
        <x:f>IF(AND(A261&lt;&gt;"",ISNUMBER(D261)),B261&amp;"|"&amp;C261&amp;"|"&amp;TEXT(D261,"yyyymmdd")&amp;"|"&amp;E261&amp;"|"&amp;F261,"")</x:f>
        <x:v>E0|2025/26|20260211|Crystal Palace|Burnley</x:v>
      </x:c>
      <x:c r="O261" s="2" t="str">
        <x:f>IF(A261="","",IFERROR(IF(NOT(AND(B261&lt;&gt;"",C261&lt;&gt;"",ISNUMBER(D261),D261&gt;0,E261&lt;&gt;"",F261&lt;&gt;"",E261&lt;&gt;F261,ISNUMBER(G261),ISNUMBER(H261),G261&gt;=0,H261&gt;=0,G261&lt;=100,H261&lt;=100,MOD(G261,1)=0,MOD(H261,1)=0,L261="FT90",S261&gt;0,INDEX(SourceTable[League],MAX(1,S261))=B261,INDEX(SourceTable[Season],MAX(1,S261))=C261,ISNUMBER(K261),K261=INDEX(SourceTable[Retrieved_UTC],MAX(1,S261)),J261&lt;&gt;"",M261&lt;&gt;"")),"INVALID",IF(OR(COUNTIFS('Istoric_Nativ'!$N$6:$N$405,N261,'Istoric_Nativ'!$G$6:$G$405,G261)&lt;&gt;COUNTIF('Istoric_Nativ'!$N$6:$N$405,N261),COUNTIFS('Istoric_Nativ'!$N$6:$N$405,N261,'Istoric_Nativ'!$H$6:$H$405,H261)&lt;&gt;COUNTIF('Istoric_Nativ'!$N$6:$N$405,N261)),"SOURCE CONFLICT",IF(COUNTIF($N$6:N261,N261)&gt;1,"DUPLICATE","VALID"))),"INVALID"))</x:f>
        <x:v>VALID</x:v>
      </x:c>
      <x:c r="P261" s="2" t="n">
        <x:f>IF(O261="VALID",1,0)</x:f>
        <x:v>1</x:v>
      </x:c>
      <x:c r="Q261" s="2" t="n">
        <x:f>IF(P261=1,G261+H261,0)</x:f>
        <x:v>10</x:v>
      </x:c>
      <x:c r="R261" s="2" t="n">
        <x:f>Q261^2</x:f>
        <x:v>100</x:v>
      </x:c>
      <x:c r="S261" s="2" t="n">
        <x:f>IF(A261="","",IFERROR(MATCH(I261,SourceTable[Source_ID],0),0))</x:f>
        <x:v>1</x:v>
      </x:c>
    </x:row>
    <x:row r="262" ht="21" customHeight="1">
      <x:c r="A262" s="7" t="str">
        <x:v>9b52edc3d0050b41d128</x:v>
      </x:c>
      <x:c r="B262" s="7" t="str">
        <x:v>E0</x:v>
      </x:c>
      <x:c r="C262" s="7" t="str">
        <x:v>2025/26</x:v>
      </x:c>
      <x:c r="D262" s="8" t="n">
        <x:v>46064</x:v>
      </x:c>
      <x:c r="E262" s="7" t="str">
        <x:v>Man City</x:v>
      </x:c>
      <x:c r="F262" s="7" t="str">
        <x:v>Fulham</x:v>
      </x:c>
      <x:c r="G262" s="7" t="n">
        <x:v>4</x:v>
      </x:c>
      <x:c r="H262" s="7" t="n">
        <x:v>4</x:v>
      </x:c>
      <x:c r="I262" s="7" t="str">
        <x:v>FD_E0_2526</x:v>
      </x:c>
      <x:c r="J262" s="7" t="str">
        <x:v>https://www.football-data.co.uk/mmz4281/2526/E0.csv</x:v>
      </x:c>
      <x:c r="K262" s="8" t="n">
        <x:v>46278.70306712963</x:v>
      </x:c>
      <x:c r="L262" s="7" t="str">
        <x:v>FT90</x:v>
      </x:c>
      <x:c r="M262" s="7" t="str">
        <x:v>CSV row 258</x:v>
      </x:c>
      <x:c r="N262" s="2" t="str">
        <x:f>IF(AND(A262&lt;&gt;"",ISNUMBER(D262)),B262&amp;"|"&amp;C262&amp;"|"&amp;TEXT(D262,"yyyymmdd")&amp;"|"&amp;E262&amp;"|"&amp;F262,"")</x:f>
        <x:v>E0|2025/26|20260211|Man City|Fulham</x:v>
      </x:c>
      <x:c r="O262" s="2" t="str">
        <x:f>IF(A262="","",IFERROR(IF(NOT(AND(B262&lt;&gt;"",C262&lt;&gt;"",ISNUMBER(D262),D262&gt;0,E262&lt;&gt;"",F262&lt;&gt;"",E262&lt;&gt;F262,ISNUMBER(G262),ISNUMBER(H262),G262&gt;=0,H262&gt;=0,G262&lt;=100,H262&lt;=100,MOD(G262,1)=0,MOD(H262,1)=0,L262="FT90",S262&gt;0,INDEX(SourceTable[League],MAX(1,S262))=B262,INDEX(SourceTable[Season],MAX(1,S262))=C262,ISNUMBER(K262),K262=INDEX(SourceTable[Retrieved_UTC],MAX(1,S262)),J262&lt;&gt;"",M262&lt;&gt;"")),"INVALID",IF(OR(COUNTIFS('Istoric_Nativ'!$N$6:$N$405,N262,'Istoric_Nativ'!$G$6:$G$405,G262)&lt;&gt;COUNTIF('Istoric_Nativ'!$N$6:$N$405,N262),COUNTIFS('Istoric_Nativ'!$N$6:$N$405,N262,'Istoric_Nativ'!$H$6:$H$405,H262)&lt;&gt;COUNTIF('Istoric_Nativ'!$N$6:$N$405,N262)),"SOURCE CONFLICT",IF(COUNTIF($N$6:N262,N262)&gt;1,"DUPLICATE","VALID"))),"INVALID"))</x:f>
        <x:v>VALID</x:v>
      </x:c>
      <x:c r="P262" s="2" t="n">
        <x:f>IF(O262="VALID",1,0)</x:f>
        <x:v>1</x:v>
      </x:c>
      <x:c r="Q262" s="2" t="n">
        <x:f>IF(P262=1,G262+H262,0)</x:f>
        <x:v>8</x:v>
      </x:c>
      <x:c r="R262" s="2" t="n">
        <x:f>Q262^2</x:f>
        <x:v>64</x:v>
      </x:c>
      <x:c r="S262" s="2" t="n">
        <x:f>IF(A262="","",IFERROR(MATCH(I262,SourceTable[Source_ID],0),0))</x:f>
        <x:v>1</x:v>
      </x:c>
    </x:row>
    <x:row r="263" ht="21" customHeight="1">
      <x:c r="A263" s="7" t="str">
        <x:v>dd30cc76796d8e4c437d</x:v>
      </x:c>
      <x:c r="B263" s="7" t="str">
        <x:v>E0</x:v>
      </x:c>
      <x:c r="C263" s="7" t="str">
        <x:v>2025/26</x:v>
      </x:c>
      <x:c r="D263" s="8" t="n">
        <x:v>46064</x:v>
      </x:c>
      <x:c r="E263" s="7" t="str">
        <x:v>Nott'm Forest</x:v>
      </x:c>
      <x:c r="F263" s="7" t="str">
        <x:v>Wolves</x:v>
      </x:c>
      <x:c r="G263" s="7" t="n">
        <x:v>8</x:v>
      </x:c>
      <x:c r="H263" s="7" t="n">
        <x:v>2</x:v>
      </x:c>
      <x:c r="I263" s="7" t="str">
        <x:v>FD_E0_2526</x:v>
      </x:c>
      <x:c r="J263" s="7" t="str">
        <x:v>https://www.football-data.co.uk/mmz4281/2526/E0.csv</x:v>
      </x:c>
      <x:c r="K263" s="8" t="n">
        <x:v>46278.70306712963</x:v>
      </x:c>
      <x:c r="L263" s="7" t="str">
        <x:v>FT90</x:v>
      </x:c>
      <x:c r="M263" s="7" t="str">
        <x:v>CSV row 259</x:v>
      </x:c>
      <x:c r="N263" s="2" t="str">
        <x:f>IF(AND(A263&lt;&gt;"",ISNUMBER(D263)),B263&amp;"|"&amp;C263&amp;"|"&amp;TEXT(D263,"yyyymmdd")&amp;"|"&amp;E263&amp;"|"&amp;F263,"")</x:f>
        <x:v>E0|2025/26|20260211|Nott'm Forest|Wolves</x:v>
      </x:c>
      <x:c r="O263" s="2" t="str">
        <x:f>IF(A263="","",IFERROR(IF(NOT(AND(B263&lt;&gt;"",C263&lt;&gt;"",ISNUMBER(D263),D263&gt;0,E263&lt;&gt;"",F263&lt;&gt;"",E263&lt;&gt;F263,ISNUMBER(G263),ISNUMBER(H263),G263&gt;=0,H263&gt;=0,G263&lt;=100,H263&lt;=100,MOD(G263,1)=0,MOD(H263,1)=0,L263="FT90",S263&gt;0,INDEX(SourceTable[League],MAX(1,S263))=B263,INDEX(SourceTable[Season],MAX(1,S263))=C263,ISNUMBER(K263),K263=INDEX(SourceTable[Retrieved_UTC],MAX(1,S263)),J263&lt;&gt;"",M263&lt;&gt;"")),"INVALID",IF(OR(COUNTIFS('Istoric_Nativ'!$N$6:$N$405,N263,'Istoric_Nativ'!$G$6:$G$405,G263)&lt;&gt;COUNTIF('Istoric_Nativ'!$N$6:$N$405,N263),COUNTIFS('Istoric_Nativ'!$N$6:$N$405,N263,'Istoric_Nativ'!$H$6:$H$405,H263)&lt;&gt;COUNTIF('Istoric_Nativ'!$N$6:$N$405,N263)),"SOURCE CONFLICT",IF(COUNTIF($N$6:N263,N263)&gt;1,"DUPLICATE","VALID"))),"INVALID"))</x:f>
        <x:v>VALID</x:v>
      </x:c>
      <x:c r="P263" s="2" t="n">
        <x:f>IF(O263="VALID",1,0)</x:f>
        <x:v>1</x:v>
      </x:c>
      <x:c r="Q263" s="2" t="n">
        <x:f>IF(P263=1,G263+H263,0)</x:f>
        <x:v>10</x:v>
      </x:c>
      <x:c r="R263" s="2" t="n">
        <x:f>Q263^2</x:f>
        <x:v>100</x:v>
      </x:c>
      <x:c r="S263" s="2" t="n">
        <x:f>IF(A263="","",IFERROR(MATCH(I263,SourceTable[Source_ID],0),0))</x:f>
        <x:v>1</x:v>
      </x:c>
    </x:row>
    <x:row r="264" ht="21" customHeight="1">
      <x:c r="A264" s="7" t="str">
        <x:v>05c84d3c8c248d59d06d</x:v>
      </x:c>
      <x:c r="B264" s="7" t="str">
        <x:v>E0</x:v>
      </x:c>
      <x:c r="C264" s="7" t="str">
        <x:v>2025/26</x:v>
      </x:c>
      <x:c r="D264" s="8" t="n">
        <x:v>46064</x:v>
      </x:c>
      <x:c r="E264" s="7" t="str">
        <x:v>Sunderland</x:v>
      </x:c>
      <x:c r="F264" s="7" t="str">
        <x:v>Liverpool</x:v>
      </x:c>
      <x:c r="G264" s="7" t="n">
        <x:v>3</x:v>
      </x:c>
      <x:c r="H264" s="7" t="n">
        <x:v>11</x:v>
      </x:c>
      <x:c r="I264" s="7" t="str">
        <x:v>FD_E0_2526</x:v>
      </x:c>
      <x:c r="J264" s="7" t="str">
        <x:v>https://www.football-data.co.uk/mmz4281/2526/E0.csv</x:v>
      </x:c>
      <x:c r="K264" s="8" t="n">
        <x:v>46278.70306712963</x:v>
      </x:c>
      <x:c r="L264" s="7" t="str">
        <x:v>FT90</x:v>
      </x:c>
      <x:c r="M264" s="7" t="str">
        <x:v>CSV row 260</x:v>
      </x:c>
      <x:c r="N264" s="2" t="str">
        <x:f>IF(AND(A264&lt;&gt;"",ISNUMBER(D264)),B264&amp;"|"&amp;C264&amp;"|"&amp;TEXT(D264,"yyyymmdd")&amp;"|"&amp;E264&amp;"|"&amp;F264,"")</x:f>
        <x:v>E0|2025/26|20260211|Sunderland|Liverpool</x:v>
      </x:c>
      <x:c r="O264" s="2" t="str">
        <x:f>IF(A264="","",IFERROR(IF(NOT(AND(B264&lt;&gt;"",C264&lt;&gt;"",ISNUMBER(D264),D264&gt;0,E264&lt;&gt;"",F264&lt;&gt;"",E264&lt;&gt;F264,ISNUMBER(G264),ISNUMBER(H264),G264&gt;=0,H264&gt;=0,G264&lt;=100,H264&lt;=100,MOD(G264,1)=0,MOD(H264,1)=0,L264="FT90",S264&gt;0,INDEX(SourceTable[League],MAX(1,S264))=B264,INDEX(SourceTable[Season],MAX(1,S264))=C264,ISNUMBER(K264),K264=INDEX(SourceTable[Retrieved_UTC],MAX(1,S264)),J264&lt;&gt;"",M264&lt;&gt;"")),"INVALID",IF(OR(COUNTIFS('Istoric_Nativ'!$N$6:$N$405,N264,'Istoric_Nativ'!$G$6:$G$405,G264)&lt;&gt;COUNTIF('Istoric_Nativ'!$N$6:$N$405,N264),COUNTIFS('Istoric_Nativ'!$N$6:$N$405,N264,'Istoric_Nativ'!$H$6:$H$405,H264)&lt;&gt;COUNTIF('Istoric_Nativ'!$N$6:$N$405,N264)),"SOURCE CONFLICT",IF(COUNTIF($N$6:N264,N264)&gt;1,"DUPLICATE","VALID"))),"INVALID"))</x:f>
        <x:v>VALID</x:v>
      </x:c>
      <x:c r="P264" s="2" t="n">
        <x:f>IF(O264="VALID",1,0)</x:f>
        <x:v>1</x:v>
      </x:c>
      <x:c r="Q264" s="2" t="n">
        <x:f>IF(P264=1,G264+H264,0)</x:f>
        <x:v>14</x:v>
      </x:c>
      <x:c r="R264" s="2" t="n">
        <x:f>Q264^2</x:f>
        <x:v>196</x:v>
      </x:c>
      <x:c r="S264" s="2" t="n">
        <x:f>IF(A264="","",IFERROR(MATCH(I264,SourceTable[Source_ID],0),0))</x:f>
        <x:v>1</x:v>
      </x:c>
    </x:row>
    <x:row r="265" ht="21" customHeight="1">
      <x:c r="A265" s="7" t="str">
        <x:v>387237a5a096efd9d6fb</x:v>
      </x:c>
      <x:c r="B265" s="7" t="str">
        <x:v>E0</x:v>
      </x:c>
      <x:c r="C265" s="7" t="str">
        <x:v>2025/26</x:v>
      </x:c>
      <x:c r="D265" s="8" t="n">
        <x:v>46065</x:v>
      </x:c>
      <x:c r="E265" s="7" t="str">
        <x:v>Brentford</x:v>
      </x:c>
      <x:c r="F265" s="7" t="str">
        <x:v>Arsenal</x:v>
      </x:c>
      <x:c r="G265" s="7" t="n">
        <x:v>6</x:v>
      </x:c>
      <x:c r="H265" s="7" t="n">
        <x:v>4</x:v>
      </x:c>
      <x:c r="I265" s="7" t="str">
        <x:v>FD_E0_2526</x:v>
      </x:c>
      <x:c r="J265" s="7" t="str">
        <x:v>https://www.football-data.co.uk/mmz4281/2526/E0.csv</x:v>
      </x:c>
      <x:c r="K265" s="8" t="n">
        <x:v>46278.70306712963</x:v>
      </x:c>
      <x:c r="L265" s="7" t="str">
        <x:v>FT90</x:v>
      </x:c>
      <x:c r="M265" s="7" t="str">
        <x:v>CSV row 261</x:v>
      </x:c>
      <x:c r="N265" s="2" t="str">
        <x:f>IF(AND(A265&lt;&gt;"",ISNUMBER(D265)),B265&amp;"|"&amp;C265&amp;"|"&amp;TEXT(D265,"yyyymmdd")&amp;"|"&amp;E265&amp;"|"&amp;F265,"")</x:f>
        <x:v>E0|2025/26|20260212|Brentford|Arsenal</x:v>
      </x:c>
      <x:c r="O265" s="2" t="str">
        <x:f>IF(A265="","",IFERROR(IF(NOT(AND(B265&lt;&gt;"",C265&lt;&gt;"",ISNUMBER(D265),D265&gt;0,E265&lt;&gt;"",F265&lt;&gt;"",E265&lt;&gt;F265,ISNUMBER(G265),ISNUMBER(H265),G265&gt;=0,H265&gt;=0,G265&lt;=100,H265&lt;=100,MOD(G265,1)=0,MOD(H265,1)=0,L265="FT90",S265&gt;0,INDEX(SourceTable[League],MAX(1,S265))=B265,INDEX(SourceTable[Season],MAX(1,S265))=C265,ISNUMBER(K265),K265=INDEX(SourceTable[Retrieved_UTC],MAX(1,S265)),J265&lt;&gt;"",M265&lt;&gt;"")),"INVALID",IF(OR(COUNTIFS('Istoric_Nativ'!$N$6:$N$405,N265,'Istoric_Nativ'!$G$6:$G$405,G265)&lt;&gt;COUNTIF('Istoric_Nativ'!$N$6:$N$405,N265),COUNTIFS('Istoric_Nativ'!$N$6:$N$405,N265,'Istoric_Nativ'!$H$6:$H$405,H265)&lt;&gt;COUNTIF('Istoric_Nativ'!$N$6:$N$405,N265)),"SOURCE CONFLICT",IF(COUNTIF($N$6:N265,N265)&gt;1,"DUPLICATE","VALID"))),"INVALID"))</x:f>
        <x:v>VALID</x:v>
      </x:c>
      <x:c r="P265" s="2" t="n">
        <x:f>IF(O265="VALID",1,0)</x:f>
        <x:v>1</x:v>
      </x:c>
      <x:c r="Q265" s="2" t="n">
        <x:f>IF(P265=1,G265+H265,0)</x:f>
        <x:v>10</x:v>
      </x:c>
      <x:c r="R265" s="2" t="n">
        <x:f>Q265^2</x:f>
        <x:v>100</x:v>
      </x:c>
      <x:c r="S265" s="2" t="n">
        <x:f>IF(A265="","",IFERROR(MATCH(I265,SourceTable[Source_ID],0),0))</x:f>
        <x:v>1</x:v>
      </x:c>
    </x:row>
    <x:row r="266" ht="21" customHeight="1">
      <x:c r="A266" s="7" t="str">
        <x:v>bd4b54e6030f0506412a</x:v>
      </x:c>
      <x:c r="B266" s="7" t="str">
        <x:v>E0</x:v>
      </x:c>
      <x:c r="C266" s="7" t="str">
        <x:v>2025/26</x:v>
      </x:c>
      <x:c r="D266" s="8" t="n">
        <x:v>46071</x:v>
      </x:c>
      <x:c r="E266" s="7" t="str">
        <x:v>Wolves</x:v>
      </x:c>
      <x:c r="F266" s="7" t="str">
        <x:v>Arsenal</x:v>
      </x:c>
      <x:c r="G266" s="7" t="n">
        <x:v>1</x:v>
      </x:c>
      <x:c r="H266" s="7" t="n">
        <x:v>3</x:v>
      </x:c>
      <x:c r="I266" s="7" t="str">
        <x:v>FD_E0_2526</x:v>
      </x:c>
      <x:c r="J266" s="7" t="str">
        <x:v>https://www.football-data.co.uk/mmz4281/2526/E0.csv</x:v>
      </x:c>
      <x:c r="K266" s="8" t="n">
        <x:v>46278.70306712963</x:v>
      </x:c>
      <x:c r="L266" s="7" t="str">
        <x:v>FT90</x:v>
      </x:c>
      <x:c r="M266" s="7" t="str">
        <x:v>CSV row 262</x:v>
      </x:c>
      <x:c r="N266" s="2" t="str">
        <x:f>IF(AND(A266&lt;&gt;"",ISNUMBER(D266)),B266&amp;"|"&amp;C266&amp;"|"&amp;TEXT(D266,"yyyymmdd")&amp;"|"&amp;E266&amp;"|"&amp;F266,"")</x:f>
        <x:v>E0|2025/26|20260218|Wolves|Arsenal</x:v>
      </x:c>
      <x:c r="O266" s="2" t="str">
        <x:f>IF(A266="","",IFERROR(IF(NOT(AND(B266&lt;&gt;"",C266&lt;&gt;"",ISNUMBER(D266),D266&gt;0,E266&lt;&gt;"",F266&lt;&gt;"",E266&lt;&gt;F266,ISNUMBER(G266),ISNUMBER(H266),G266&gt;=0,H266&gt;=0,G266&lt;=100,H266&lt;=100,MOD(G266,1)=0,MOD(H266,1)=0,L266="FT90",S266&gt;0,INDEX(SourceTable[League],MAX(1,S266))=B266,INDEX(SourceTable[Season],MAX(1,S266))=C266,ISNUMBER(K266),K266=INDEX(SourceTable[Retrieved_UTC],MAX(1,S266)),J266&lt;&gt;"",M266&lt;&gt;"")),"INVALID",IF(OR(COUNTIFS('Istoric_Nativ'!$N$6:$N$405,N266,'Istoric_Nativ'!$G$6:$G$405,G266)&lt;&gt;COUNTIF('Istoric_Nativ'!$N$6:$N$405,N266),COUNTIFS('Istoric_Nativ'!$N$6:$N$405,N266,'Istoric_Nativ'!$H$6:$H$405,H266)&lt;&gt;COUNTIF('Istoric_Nativ'!$N$6:$N$405,N266)),"SOURCE CONFLICT",IF(COUNTIF($N$6:N266,N266)&gt;1,"DUPLICATE","VALID"))),"INVALID"))</x:f>
        <x:v>VALID</x:v>
      </x:c>
      <x:c r="P266" s="2" t="n">
        <x:f>IF(O266="VALID",1,0)</x:f>
        <x:v>1</x:v>
      </x:c>
      <x:c r="Q266" s="2" t="n">
        <x:f>IF(P266=1,G266+H266,0)</x:f>
        <x:v>4</x:v>
      </x:c>
      <x:c r="R266" s="2" t="n">
        <x:f>Q266^2</x:f>
        <x:v>16</x:v>
      </x:c>
      <x:c r="S266" s="2" t="n">
        <x:f>IF(A266="","",IFERROR(MATCH(I266,SourceTable[Source_ID],0),0))</x:f>
        <x:v>1</x:v>
      </x:c>
    </x:row>
    <x:row r="267" ht="21" customHeight="1">
      <x:c r="A267" s="7" t="str">
        <x:v>3bffb381a57b3bd0f8c6</x:v>
      </x:c>
      <x:c r="B267" s="7" t="str">
        <x:v>E0</x:v>
      </x:c>
      <x:c r="C267" s="7" t="str">
        <x:v>2025/26</x:v>
      </x:c>
      <x:c r="D267" s="8" t="n">
        <x:v>46074</x:v>
      </x:c>
      <x:c r="E267" s="7" t="str">
        <x:v>Aston Villa</x:v>
      </x:c>
      <x:c r="F267" s="7" t="str">
        <x:v>Leeds</x:v>
      </x:c>
      <x:c r="G267" s="7" t="n">
        <x:v>7</x:v>
      </x:c>
      <x:c r="H267" s="7" t="n">
        <x:v>2</x:v>
      </x:c>
      <x:c r="I267" s="7" t="str">
        <x:v>FD_E0_2526</x:v>
      </x:c>
      <x:c r="J267" s="7" t="str">
        <x:v>https://www.football-data.co.uk/mmz4281/2526/E0.csv</x:v>
      </x:c>
      <x:c r="K267" s="8" t="n">
        <x:v>46278.70306712963</x:v>
      </x:c>
      <x:c r="L267" s="7" t="str">
        <x:v>FT90</x:v>
      </x:c>
      <x:c r="M267" s="7" t="str">
        <x:v>CSV row 263</x:v>
      </x:c>
      <x:c r="N267" s="2" t="str">
        <x:f>IF(AND(A267&lt;&gt;"",ISNUMBER(D267)),B267&amp;"|"&amp;C267&amp;"|"&amp;TEXT(D267,"yyyymmdd")&amp;"|"&amp;E267&amp;"|"&amp;F267,"")</x:f>
        <x:v>E0|2025/26|20260221|Aston Villa|Leeds</x:v>
      </x:c>
      <x:c r="O267" s="2" t="str">
        <x:f>IF(A267="","",IFERROR(IF(NOT(AND(B267&lt;&gt;"",C267&lt;&gt;"",ISNUMBER(D267),D267&gt;0,E267&lt;&gt;"",F267&lt;&gt;"",E267&lt;&gt;F267,ISNUMBER(G267),ISNUMBER(H267),G267&gt;=0,H267&gt;=0,G267&lt;=100,H267&lt;=100,MOD(G267,1)=0,MOD(H267,1)=0,L267="FT90",S267&gt;0,INDEX(SourceTable[League],MAX(1,S267))=B267,INDEX(SourceTable[Season],MAX(1,S267))=C267,ISNUMBER(K267),K267=INDEX(SourceTable[Retrieved_UTC],MAX(1,S267)),J267&lt;&gt;"",M267&lt;&gt;"")),"INVALID",IF(OR(COUNTIFS('Istoric_Nativ'!$N$6:$N$405,N267,'Istoric_Nativ'!$G$6:$G$405,G267)&lt;&gt;COUNTIF('Istoric_Nativ'!$N$6:$N$405,N267),COUNTIFS('Istoric_Nativ'!$N$6:$N$405,N267,'Istoric_Nativ'!$H$6:$H$405,H267)&lt;&gt;COUNTIF('Istoric_Nativ'!$N$6:$N$405,N267)),"SOURCE CONFLICT",IF(COUNTIF($N$6:N267,N267)&gt;1,"DUPLICATE","VALID"))),"INVALID"))</x:f>
        <x:v>VALID</x:v>
      </x:c>
      <x:c r="P267" s="2" t="n">
        <x:f>IF(O267="VALID",1,0)</x:f>
        <x:v>1</x:v>
      </x:c>
      <x:c r="Q267" s="2" t="n">
        <x:f>IF(P267=1,G267+H267,0)</x:f>
        <x:v>9</x:v>
      </x:c>
      <x:c r="R267" s="2" t="n">
        <x:f>Q267^2</x:f>
        <x:v>81</x:v>
      </x:c>
      <x:c r="S267" s="2" t="n">
        <x:f>IF(A267="","",IFERROR(MATCH(I267,SourceTable[Source_ID],0),0))</x:f>
        <x:v>1</x:v>
      </x:c>
    </x:row>
    <x:row r="268" ht="21" customHeight="1">
      <x:c r="A268" s="7" t="str">
        <x:v>6a7227b49801c02b6d9d</x:v>
      </x:c>
      <x:c r="B268" s="7" t="str">
        <x:v>E0</x:v>
      </x:c>
      <x:c r="C268" s="7" t="str">
        <x:v>2025/26</x:v>
      </x:c>
      <x:c r="D268" s="8" t="n">
        <x:v>46074</x:v>
      </x:c>
      <x:c r="E268" s="7" t="str">
        <x:v>Brentford</x:v>
      </x:c>
      <x:c r="F268" s="7" t="str">
        <x:v>Brighton</x:v>
      </x:c>
      <x:c r="G268" s="7" t="n">
        <x:v>6</x:v>
      </x:c>
      <x:c r="H268" s="7" t="n">
        <x:v>4</x:v>
      </x:c>
      <x:c r="I268" s="7" t="str">
        <x:v>FD_E0_2526</x:v>
      </x:c>
      <x:c r="J268" s="7" t="str">
        <x:v>https://www.football-data.co.uk/mmz4281/2526/E0.csv</x:v>
      </x:c>
      <x:c r="K268" s="8" t="n">
        <x:v>46278.70306712963</x:v>
      </x:c>
      <x:c r="L268" s="7" t="str">
        <x:v>FT90</x:v>
      </x:c>
      <x:c r="M268" s="7" t="str">
        <x:v>CSV row 264</x:v>
      </x:c>
      <x:c r="N268" s="2" t="str">
        <x:f>IF(AND(A268&lt;&gt;"",ISNUMBER(D268)),B268&amp;"|"&amp;C268&amp;"|"&amp;TEXT(D268,"yyyymmdd")&amp;"|"&amp;E268&amp;"|"&amp;F268,"")</x:f>
        <x:v>E0|2025/26|20260221|Brentford|Brighton</x:v>
      </x:c>
      <x:c r="O268" s="2" t="str">
        <x:f>IF(A268="","",IFERROR(IF(NOT(AND(B268&lt;&gt;"",C268&lt;&gt;"",ISNUMBER(D268),D268&gt;0,E268&lt;&gt;"",F268&lt;&gt;"",E268&lt;&gt;F268,ISNUMBER(G268),ISNUMBER(H268),G268&gt;=0,H268&gt;=0,G268&lt;=100,H268&lt;=100,MOD(G268,1)=0,MOD(H268,1)=0,L268="FT90",S268&gt;0,INDEX(SourceTable[League],MAX(1,S268))=B268,INDEX(SourceTable[Season],MAX(1,S268))=C268,ISNUMBER(K268),K268=INDEX(SourceTable[Retrieved_UTC],MAX(1,S268)),J268&lt;&gt;"",M268&lt;&gt;"")),"INVALID",IF(OR(COUNTIFS('Istoric_Nativ'!$N$6:$N$405,N268,'Istoric_Nativ'!$G$6:$G$405,G268)&lt;&gt;COUNTIF('Istoric_Nativ'!$N$6:$N$405,N268),COUNTIFS('Istoric_Nativ'!$N$6:$N$405,N268,'Istoric_Nativ'!$H$6:$H$405,H268)&lt;&gt;COUNTIF('Istoric_Nativ'!$N$6:$N$405,N268)),"SOURCE CONFLICT",IF(COUNTIF($N$6:N268,N268)&gt;1,"DUPLICATE","VALID"))),"INVALID"))</x:f>
        <x:v>VALID</x:v>
      </x:c>
      <x:c r="P268" s="2" t="n">
        <x:f>IF(O268="VALID",1,0)</x:f>
        <x:v>1</x:v>
      </x:c>
      <x:c r="Q268" s="2" t="n">
        <x:f>IF(P268=1,G268+H268,0)</x:f>
        <x:v>10</x:v>
      </x:c>
      <x:c r="R268" s="2" t="n">
        <x:f>Q268^2</x:f>
        <x:v>100</x:v>
      </x:c>
      <x:c r="S268" s="2" t="n">
        <x:f>IF(A268="","",IFERROR(MATCH(I268,SourceTable[Source_ID],0),0))</x:f>
        <x:v>1</x:v>
      </x:c>
    </x:row>
    <x:row r="269" ht="21" customHeight="1">
      <x:c r="A269" s="7" t="str">
        <x:v>0459f822b8b94d41bdac</x:v>
      </x:c>
      <x:c r="B269" s="7" t="str">
        <x:v>E0</x:v>
      </x:c>
      <x:c r="C269" s="7" t="str">
        <x:v>2025/26</x:v>
      </x:c>
      <x:c r="D269" s="8" t="n">
        <x:v>46074</x:v>
      </x:c>
      <x:c r="E269" s="7" t="str">
        <x:v>Chelsea</x:v>
      </x:c>
      <x:c r="F269" s="7" t="str">
        <x:v>Burnley</x:v>
      </x:c>
      <x:c r="G269" s="7" t="n">
        <x:v>9</x:v>
      </x:c>
      <x:c r="H269" s="7" t="n">
        <x:v>5</x:v>
      </x:c>
      <x:c r="I269" s="7" t="str">
        <x:v>FD_E0_2526</x:v>
      </x:c>
      <x:c r="J269" s="7" t="str">
        <x:v>https://www.football-data.co.uk/mmz4281/2526/E0.csv</x:v>
      </x:c>
      <x:c r="K269" s="8" t="n">
        <x:v>46278.70306712963</x:v>
      </x:c>
      <x:c r="L269" s="7" t="str">
        <x:v>FT90</x:v>
      </x:c>
      <x:c r="M269" s="7" t="str">
        <x:v>CSV row 265</x:v>
      </x:c>
      <x:c r="N269" s="2" t="str">
        <x:f>IF(AND(A269&lt;&gt;"",ISNUMBER(D269)),B269&amp;"|"&amp;C269&amp;"|"&amp;TEXT(D269,"yyyymmdd")&amp;"|"&amp;E269&amp;"|"&amp;F269,"")</x:f>
        <x:v>E0|2025/26|20260221|Chelsea|Burnley</x:v>
      </x:c>
      <x:c r="O269" s="2" t="str">
        <x:f>IF(A269="","",IFERROR(IF(NOT(AND(B269&lt;&gt;"",C269&lt;&gt;"",ISNUMBER(D269),D269&gt;0,E269&lt;&gt;"",F269&lt;&gt;"",E269&lt;&gt;F269,ISNUMBER(G269),ISNUMBER(H269),G269&gt;=0,H269&gt;=0,G269&lt;=100,H269&lt;=100,MOD(G269,1)=0,MOD(H269,1)=0,L269="FT90",S269&gt;0,INDEX(SourceTable[League],MAX(1,S269))=B269,INDEX(SourceTable[Season],MAX(1,S269))=C269,ISNUMBER(K269),K269=INDEX(SourceTable[Retrieved_UTC],MAX(1,S269)),J269&lt;&gt;"",M269&lt;&gt;"")),"INVALID",IF(OR(COUNTIFS('Istoric_Nativ'!$N$6:$N$405,N269,'Istoric_Nativ'!$G$6:$G$405,G269)&lt;&gt;COUNTIF('Istoric_Nativ'!$N$6:$N$405,N269),COUNTIFS('Istoric_Nativ'!$N$6:$N$405,N269,'Istoric_Nativ'!$H$6:$H$405,H269)&lt;&gt;COUNTIF('Istoric_Nativ'!$N$6:$N$405,N269)),"SOURCE CONFLICT",IF(COUNTIF($N$6:N269,N269)&gt;1,"DUPLICATE","VALID"))),"INVALID"))</x:f>
        <x:v>VALID</x:v>
      </x:c>
      <x:c r="P269" s="2" t="n">
        <x:f>IF(O269="VALID",1,0)</x:f>
        <x:v>1</x:v>
      </x:c>
      <x:c r="Q269" s="2" t="n">
        <x:f>IF(P269=1,G269+H269,0)</x:f>
        <x:v>14</x:v>
      </x:c>
      <x:c r="R269" s="2" t="n">
        <x:f>Q269^2</x:f>
        <x:v>196</x:v>
      </x:c>
      <x:c r="S269" s="2" t="n">
        <x:f>IF(A269="","",IFERROR(MATCH(I269,SourceTable[Source_ID],0),0))</x:f>
        <x:v>1</x:v>
      </x:c>
    </x:row>
    <x:row r="270" ht="21" customHeight="1">
      <x:c r="A270" s="7" t="str">
        <x:v>dfd930b956f16203769f</x:v>
      </x:c>
      <x:c r="B270" s="7" t="str">
        <x:v>E0</x:v>
      </x:c>
      <x:c r="C270" s="7" t="str">
        <x:v>2025/26</x:v>
      </x:c>
      <x:c r="D270" s="8" t="n">
        <x:v>46074</x:v>
      </x:c>
      <x:c r="E270" s="7" t="str">
        <x:v>Man City</x:v>
      </x:c>
      <x:c r="F270" s="7" t="str">
        <x:v>Newcastle</x:v>
      </x:c>
      <x:c r="G270" s="7" t="n">
        <x:v>5</x:v>
      </x:c>
      <x:c r="H270" s="7" t="n">
        <x:v>5</x:v>
      </x:c>
      <x:c r="I270" s="7" t="str">
        <x:v>FD_E0_2526</x:v>
      </x:c>
      <x:c r="J270" s="7" t="str">
        <x:v>https://www.football-data.co.uk/mmz4281/2526/E0.csv</x:v>
      </x:c>
      <x:c r="K270" s="8" t="n">
        <x:v>46278.70306712963</x:v>
      </x:c>
      <x:c r="L270" s="7" t="str">
        <x:v>FT90</x:v>
      </x:c>
      <x:c r="M270" s="7" t="str">
        <x:v>CSV row 267</x:v>
      </x:c>
      <x:c r="N270" s="2" t="str">
        <x:f>IF(AND(A270&lt;&gt;"",ISNUMBER(D270)),B270&amp;"|"&amp;C270&amp;"|"&amp;TEXT(D270,"yyyymmdd")&amp;"|"&amp;E270&amp;"|"&amp;F270,"")</x:f>
        <x:v>E0|2025/26|20260221|Man City|Newcastle</x:v>
      </x:c>
      <x:c r="O270" s="2" t="str">
        <x:f>IF(A270="","",IFERROR(IF(NOT(AND(B270&lt;&gt;"",C270&lt;&gt;"",ISNUMBER(D270),D270&gt;0,E270&lt;&gt;"",F270&lt;&gt;"",E270&lt;&gt;F270,ISNUMBER(G270),ISNUMBER(H270),G270&gt;=0,H270&gt;=0,G270&lt;=100,H270&lt;=100,MOD(G270,1)=0,MOD(H270,1)=0,L270="FT90",S270&gt;0,INDEX(SourceTable[League],MAX(1,S270))=B270,INDEX(SourceTable[Season],MAX(1,S270))=C270,ISNUMBER(K270),K270=INDEX(SourceTable[Retrieved_UTC],MAX(1,S270)),J270&lt;&gt;"",M270&lt;&gt;"")),"INVALID",IF(OR(COUNTIFS('Istoric_Nativ'!$N$6:$N$405,N270,'Istoric_Nativ'!$G$6:$G$405,G270)&lt;&gt;COUNTIF('Istoric_Nativ'!$N$6:$N$405,N270),COUNTIFS('Istoric_Nativ'!$N$6:$N$405,N270,'Istoric_Nativ'!$H$6:$H$405,H270)&lt;&gt;COUNTIF('Istoric_Nativ'!$N$6:$N$405,N270)),"SOURCE CONFLICT",IF(COUNTIF($N$6:N270,N270)&gt;1,"DUPLICATE","VALID"))),"INVALID"))</x:f>
        <x:v>VALID</x:v>
      </x:c>
      <x:c r="P270" s="2" t="n">
        <x:f>IF(O270="VALID",1,0)</x:f>
        <x:v>1</x:v>
      </x:c>
      <x:c r="Q270" s="2" t="n">
        <x:f>IF(P270=1,G270+H270,0)</x:f>
        <x:v>10</x:v>
      </x:c>
      <x:c r="R270" s="2" t="n">
        <x:f>Q270^2</x:f>
        <x:v>100</x:v>
      </x:c>
      <x:c r="S270" s="2" t="n">
        <x:f>IF(A270="","",IFERROR(MATCH(I270,SourceTable[Source_ID],0),0))</x:f>
        <x:v>1</x:v>
      </x:c>
    </x:row>
    <x:row r="271" ht="21" customHeight="1">
      <x:c r="A271" s="7" t="str">
        <x:v>b7fb571894fa0d1b5ed0</x:v>
      </x:c>
      <x:c r="B271" s="7" t="str">
        <x:v>E0</x:v>
      </x:c>
      <x:c r="C271" s="7" t="str">
        <x:v>2025/26</x:v>
      </x:c>
      <x:c r="D271" s="8" t="n">
        <x:v>46074</x:v>
      </x:c>
      <x:c r="E271" s="7" t="str">
        <x:v>West Ham</x:v>
      </x:c>
      <x:c r="F271" s="7" t="str">
        <x:v>Bournemouth</x:v>
      </x:c>
      <x:c r="G271" s="7" t="n">
        <x:v>9</x:v>
      </x:c>
      <x:c r="H271" s="7" t="n">
        <x:v>5</x:v>
      </x:c>
      <x:c r="I271" s="7" t="str">
        <x:v>FD_E0_2526</x:v>
      </x:c>
      <x:c r="J271" s="7" t="str">
        <x:v>https://www.football-data.co.uk/mmz4281/2526/E0.csv</x:v>
      </x:c>
      <x:c r="K271" s="8" t="n">
        <x:v>46278.70306712963</x:v>
      </x:c>
      <x:c r="L271" s="7" t="str">
        <x:v>FT90</x:v>
      </x:c>
      <x:c r="M271" s="7" t="str">
        <x:v>CSV row 266</x:v>
      </x:c>
      <x:c r="N271" s="2" t="str">
        <x:f>IF(AND(A271&lt;&gt;"",ISNUMBER(D271)),B271&amp;"|"&amp;C271&amp;"|"&amp;TEXT(D271,"yyyymmdd")&amp;"|"&amp;E271&amp;"|"&amp;F271,"")</x:f>
        <x:v>E0|2025/26|20260221|West Ham|Bournemouth</x:v>
      </x:c>
      <x:c r="O271" s="2" t="str">
        <x:f>IF(A271="","",IFERROR(IF(NOT(AND(B271&lt;&gt;"",C271&lt;&gt;"",ISNUMBER(D271),D271&gt;0,E271&lt;&gt;"",F271&lt;&gt;"",E271&lt;&gt;F271,ISNUMBER(G271),ISNUMBER(H271),G271&gt;=0,H271&gt;=0,G271&lt;=100,H271&lt;=100,MOD(G271,1)=0,MOD(H271,1)=0,L271="FT90",S271&gt;0,INDEX(SourceTable[League],MAX(1,S271))=B271,INDEX(SourceTable[Season],MAX(1,S271))=C271,ISNUMBER(K271),K271=INDEX(SourceTable[Retrieved_UTC],MAX(1,S271)),J271&lt;&gt;"",M271&lt;&gt;"")),"INVALID",IF(OR(COUNTIFS('Istoric_Nativ'!$N$6:$N$405,N271,'Istoric_Nativ'!$G$6:$G$405,G271)&lt;&gt;COUNTIF('Istoric_Nativ'!$N$6:$N$405,N271),COUNTIFS('Istoric_Nativ'!$N$6:$N$405,N271,'Istoric_Nativ'!$H$6:$H$405,H271)&lt;&gt;COUNTIF('Istoric_Nativ'!$N$6:$N$405,N271)),"SOURCE CONFLICT",IF(COUNTIF($N$6:N271,N271)&gt;1,"DUPLICATE","VALID"))),"INVALID"))</x:f>
        <x:v>VALID</x:v>
      </x:c>
      <x:c r="P271" s="2" t="n">
        <x:f>IF(O271="VALID",1,0)</x:f>
        <x:v>1</x:v>
      </x:c>
      <x:c r="Q271" s="2" t="n">
        <x:f>IF(P271=1,G271+H271,0)</x:f>
        <x:v>14</x:v>
      </x:c>
      <x:c r="R271" s="2" t="n">
        <x:f>Q271^2</x:f>
        <x:v>196</x:v>
      </x:c>
      <x:c r="S271" s="2" t="n">
        <x:f>IF(A271="","",IFERROR(MATCH(I271,SourceTable[Source_ID],0),0))</x:f>
        <x:v>1</x:v>
      </x:c>
    </x:row>
    <x:row r="272" ht="21" customHeight="1">
      <x:c r="A272" s="7" t="str">
        <x:v>267e31df439e5c6b3fdb</x:v>
      </x:c>
      <x:c r="B272" s="7" t="str">
        <x:v>E0</x:v>
      </x:c>
      <x:c r="C272" s="7" t="str">
        <x:v>2025/26</x:v>
      </x:c>
      <x:c r="D272" s="8" t="n">
        <x:v>46075</x:v>
      </x:c>
      <x:c r="E272" s="7" t="str">
        <x:v>Crystal Palace</x:v>
      </x:c>
      <x:c r="F272" s="7" t="str">
        <x:v>Wolves</x:v>
      </x:c>
      <x:c r="G272" s="7" t="n">
        <x:v>7</x:v>
      </x:c>
      <x:c r="H272" s="7" t="n">
        <x:v>3</x:v>
      </x:c>
      <x:c r="I272" s="7" t="str">
        <x:v>FD_E0_2526</x:v>
      </x:c>
      <x:c r="J272" s="7" t="str">
        <x:v>https://www.football-data.co.uk/mmz4281/2526/E0.csv</x:v>
      </x:c>
      <x:c r="K272" s="8" t="n">
        <x:v>46278.70306712963</x:v>
      </x:c>
      <x:c r="L272" s="7" t="str">
        <x:v>FT90</x:v>
      </x:c>
      <x:c r="M272" s="7" t="str">
        <x:v>CSV row 268</x:v>
      </x:c>
      <x:c r="N272" s="2" t="str">
        <x:f>IF(AND(A272&lt;&gt;"",ISNUMBER(D272)),B272&amp;"|"&amp;C272&amp;"|"&amp;TEXT(D272,"yyyymmdd")&amp;"|"&amp;E272&amp;"|"&amp;F272,"")</x:f>
        <x:v>E0|2025/26|20260222|Crystal Palace|Wolves</x:v>
      </x:c>
      <x:c r="O272" s="2" t="str">
        <x:f>IF(A272="","",IFERROR(IF(NOT(AND(B272&lt;&gt;"",C272&lt;&gt;"",ISNUMBER(D272),D272&gt;0,E272&lt;&gt;"",F272&lt;&gt;"",E272&lt;&gt;F272,ISNUMBER(G272),ISNUMBER(H272),G272&gt;=0,H272&gt;=0,G272&lt;=100,H272&lt;=100,MOD(G272,1)=0,MOD(H272,1)=0,L272="FT90",S272&gt;0,INDEX(SourceTable[League],MAX(1,S272))=B272,INDEX(SourceTable[Season],MAX(1,S272))=C272,ISNUMBER(K272),K272=INDEX(SourceTable[Retrieved_UTC],MAX(1,S272)),J272&lt;&gt;"",M272&lt;&gt;"")),"INVALID",IF(OR(COUNTIFS('Istoric_Nativ'!$N$6:$N$405,N272,'Istoric_Nativ'!$G$6:$G$405,G272)&lt;&gt;COUNTIF('Istoric_Nativ'!$N$6:$N$405,N272),COUNTIFS('Istoric_Nativ'!$N$6:$N$405,N272,'Istoric_Nativ'!$H$6:$H$405,H272)&lt;&gt;COUNTIF('Istoric_Nativ'!$N$6:$N$405,N272)),"SOURCE CONFLICT",IF(COUNTIF($N$6:N272,N272)&gt;1,"DUPLICATE","VALID"))),"INVALID"))</x:f>
        <x:v>VALID</x:v>
      </x:c>
      <x:c r="P272" s="2" t="n">
        <x:f>IF(O272="VALID",1,0)</x:f>
        <x:v>1</x:v>
      </x:c>
      <x:c r="Q272" s="2" t="n">
        <x:f>IF(P272=1,G272+H272,0)</x:f>
        <x:v>10</x:v>
      </x:c>
      <x:c r="R272" s="2" t="n">
        <x:f>Q272^2</x:f>
        <x:v>100</x:v>
      </x:c>
      <x:c r="S272" s="2" t="n">
        <x:f>IF(A272="","",IFERROR(MATCH(I272,SourceTable[Source_ID],0),0))</x:f>
        <x:v>1</x:v>
      </x:c>
    </x:row>
    <x:row r="273" ht="21" customHeight="1">
      <x:c r="A273" s="7" t="str">
        <x:v>e5321bb3a0a2c7f345fc</x:v>
      </x:c>
      <x:c r="B273" s="7" t="str">
        <x:v>E0</x:v>
      </x:c>
      <x:c r="C273" s="7" t="str">
        <x:v>2025/26</x:v>
      </x:c>
      <x:c r="D273" s="8" t="n">
        <x:v>46075</x:v>
      </x:c>
      <x:c r="E273" s="7" t="str">
        <x:v>Nott'm Forest</x:v>
      </x:c>
      <x:c r="F273" s="7" t="str">
        <x:v>Liverpool</x:v>
      </x:c>
      <x:c r="G273" s="7" t="n">
        <x:v>7</x:v>
      </x:c>
      <x:c r="H273" s="7" t="n">
        <x:v>2</x:v>
      </x:c>
      <x:c r="I273" s="7" t="str">
        <x:v>FD_E0_2526</x:v>
      </x:c>
      <x:c r="J273" s="7" t="str">
        <x:v>https://www.football-data.co.uk/mmz4281/2526/E0.csv</x:v>
      </x:c>
      <x:c r="K273" s="8" t="n">
        <x:v>46278.70306712963</x:v>
      </x:c>
      <x:c r="L273" s="7" t="str">
        <x:v>FT90</x:v>
      </x:c>
      <x:c r="M273" s="7" t="str">
        <x:v>CSV row 269</x:v>
      </x:c>
      <x:c r="N273" s="2" t="str">
        <x:f>IF(AND(A273&lt;&gt;"",ISNUMBER(D273)),B273&amp;"|"&amp;C273&amp;"|"&amp;TEXT(D273,"yyyymmdd")&amp;"|"&amp;E273&amp;"|"&amp;F273,"")</x:f>
        <x:v>E0|2025/26|20260222|Nott'm Forest|Liverpool</x:v>
      </x:c>
      <x:c r="O273" s="2" t="str">
        <x:f>IF(A273="","",IFERROR(IF(NOT(AND(B273&lt;&gt;"",C273&lt;&gt;"",ISNUMBER(D273),D273&gt;0,E273&lt;&gt;"",F273&lt;&gt;"",E273&lt;&gt;F273,ISNUMBER(G273),ISNUMBER(H273),G273&gt;=0,H273&gt;=0,G273&lt;=100,H273&lt;=100,MOD(G273,1)=0,MOD(H273,1)=0,L273="FT90",S273&gt;0,INDEX(SourceTable[League],MAX(1,S273))=B273,INDEX(SourceTable[Season],MAX(1,S273))=C273,ISNUMBER(K273),K273=INDEX(SourceTable[Retrieved_UTC],MAX(1,S273)),J273&lt;&gt;"",M273&lt;&gt;"")),"INVALID",IF(OR(COUNTIFS('Istoric_Nativ'!$N$6:$N$405,N273,'Istoric_Nativ'!$G$6:$G$405,G273)&lt;&gt;COUNTIF('Istoric_Nativ'!$N$6:$N$405,N273),COUNTIFS('Istoric_Nativ'!$N$6:$N$405,N273,'Istoric_Nativ'!$H$6:$H$405,H273)&lt;&gt;COUNTIF('Istoric_Nativ'!$N$6:$N$405,N273)),"SOURCE CONFLICT",IF(COUNTIF($N$6:N273,N273)&gt;1,"DUPLICATE","VALID"))),"INVALID"))</x:f>
        <x:v>VALID</x:v>
      </x:c>
      <x:c r="P273" s="2" t="n">
        <x:f>IF(O273="VALID",1,0)</x:f>
        <x:v>1</x:v>
      </x:c>
      <x:c r="Q273" s="2" t="n">
        <x:f>IF(P273=1,G273+H273,0)</x:f>
        <x:v>9</x:v>
      </x:c>
      <x:c r="R273" s="2" t="n">
        <x:f>Q273^2</x:f>
        <x:v>81</x:v>
      </x:c>
      <x:c r="S273" s="2" t="n">
        <x:f>IF(A273="","",IFERROR(MATCH(I273,SourceTable[Source_ID],0),0))</x:f>
        <x:v>1</x:v>
      </x:c>
    </x:row>
    <x:row r="274" ht="21" customHeight="1">
      <x:c r="A274" s="7" t="str">
        <x:v>eb5ea3726998a4132899</x:v>
      </x:c>
      <x:c r="B274" s="7" t="str">
        <x:v>E0</x:v>
      </x:c>
      <x:c r="C274" s="7" t="str">
        <x:v>2025/26</x:v>
      </x:c>
      <x:c r="D274" s="8" t="n">
        <x:v>46075</x:v>
      </x:c>
      <x:c r="E274" s="7" t="str">
        <x:v>Sunderland</x:v>
      </x:c>
      <x:c r="F274" s="7" t="str">
        <x:v>Fulham</x:v>
      </x:c>
      <x:c r="G274" s="7" t="n">
        <x:v>6</x:v>
      </x:c>
      <x:c r="H274" s="7" t="n">
        <x:v>4</x:v>
      </x:c>
      <x:c r="I274" s="7" t="str">
        <x:v>FD_E0_2526</x:v>
      </x:c>
      <x:c r="J274" s="7" t="str">
        <x:v>https://www.football-data.co.uk/mmz4281/2526/E0.csv</x:v>
      </x:c>
      <x:c r="K274" s="8" t="n">
        <x:v>46278.70306712963</x:v>
      </x:c>
      <x:c r="L274" s="7" t="str">
        <x:v>FT90</x:v>
      </x:c>
      <x:c r="M274" s="7" t="str">
        <x:v>CSV row 270</x:v>
      </x:c>
      <x:c r="N274" s="2" t="str">
        <x:f>IF(AND(A274&lt;&gt;"",ISNUMBER(D274)),B274&amp;"|"&amp;C274&amp;"|"&amp;TEXT(D274,"yyyymmdd")&amp;"|"&amp;E274&amp;"|"&amp;F274,"")</x:f>
        <x:v>E0|2025/26|20260222|Sunderland|Fulham</x:v>
      </x:c>
      <x:c r="O274" s="2" t="str">
        <x:f>IF(A274="","",IFERROR(IF(NOT(AND(B274&lt;&gt;"",C274&lt;&gt;"",ISNUMBER(D274),D274&gt;0,E274&lt;&gt;"",F274&lt;&gt;"",E274&lt;&gt;F274,ISNUMBER(G274),ISNUMBER(H274),G274&gt;=0,H274&gt;=0,G274&lt;=100,H274&lt;=100,MOD(G274,1)=0,MOD(H274,1)=0,L274="FT90",S274&gt;0,INDEX(SourceTable[League],MAX(1,S274))=B274,INDEX(SourceTable[Season],MAX(1,S274))=C274,ISNUMBER(K274),K274=INDEX(SourceTable[Retrieved_UTC],MAX(1,S274)),J274&lt;&gt;"",M274&lt;&gt;"")),"INVALID",IF(OR(COUNTIFS('Istoric_Nativ'!$N$6:$N$405,N274,'Istoric_Nativ'!$G$6:$G$405,G274)&lt;&gt;COUNTIF('Istoric_Nativ'!$N$6:$N$405,N274),COUNTIFS('Istoric_Nativ'!$N$6:$N$405,N274,'Istoric_Nativ'!$H$6:$H$405,H274)&lt;&gt;COUNTIF('Istoric_Nativ'!$N$6:$N$405,N274)),"SOURCE CONFLICT",IF(COUNTIF($N$6:N274,N274)&gt;1,"DUPLICATE","VALID"))),"INVALID"))</x:f>
        <x:v>VALID</x:v>
      </x:c>
      <x:c r="P274" s="2" t="n">
        <x:f>IF(O274="VALID",1,0)</x:f>
        <x:v>1</x:v>
      </x:c>
      <x:c r="Q274" s="2" t="n">
        <x:f>IF(P274=1,G274+H274,0)</x:f>
        <x:v>10</x:v>
      </x:c>
      <x:c r="R274" s="2" t="n">
        <x:f>Q274^2</x:f>
        <x:v>100</x:v>
      </x:c>
      <x:c r="S274" s="2" t="n">
        <x:f>IF(A274="","",IFERROR(MATCH(I274,SourceTable[Source_ID],0),0))</x:f>
        <x:v>1</x:v>
      </x:c>
    </x:row>
    <x:row r="275" ht="21" customHeight="1">
      <x:c r="A275" s="7" t="str">
        <x:v>b05d0864b51e6b7eef24</x:v>
      </x:c>
      <x:c r="B275" s="7" t="str">
        <x:v>E0</x:v>
      </x:c>
      <x:c r="C275" s="7" t="str">
        <x:v>2025/26</x:v>
      </x:c>
      <x:c r="D275" s="8" t="n">
        <x:v>46075</x:v>
      </x:c>
      <x:c r="E275" s="7" t="str">
        <x:v>Tottenham</x:v>
      </x:c>
      <x:c r="F275" s="7" t="str">
        <x:v>Arsenal</x:v>
      </x:c>
      <x:c r="G275" s="7" t="n">
        <x:v>2</x:v>
      </x:c>
      <x:c r="H275" s="7" t="n">
        <x:v>5</x:v>
      </x:c>
      <x:c r="I275" s="7" t="str">
        <x:v>FD_E0_2526</x:v>
      </x:c>
      <x:c r="J275" s="7" t="str">
        <x:v>https://www.football-data.co.uk/mmz4281/2526/E0.csv</x:v>
      </x:c>
      <x:c r="K275" s="8" t="n">
        <x:v>46278.70306712963</x:v>
      </x:c>
      <x:c r="L275" s="7" t="str">
        <x:v>FT90</x:v>
      </x:c>
      <x:c r="M275" s="7" t="str">
        <x:v>CSV row 271</x:v>
      </x:c>
      <x:c r="N275" s="2" t="str">
        <x:f>IF(AND(A275&lt;&gt;"",ISNUMBER(D275)),B275&amp;"|"&amp;C275&amp;"|"&amp;TEXT(D275,"yyyymmdd")&amp;"|"&amp;E275&amp;"|"&amp;F275,"")</x:f>
        <x:v>E0|2025/26|20260222|Tottenham|Arsenal</x:v>
      </x:c>
      <x:c r="O275" s="2" t="str">
        <x:f>IF(A275="","",IFERROR(IF(NOT(AND(B275&lt;&gt;"",C275&lt;&gt;"",ISNUMBER(D275),D275&gt;0,E275&lt;&gt;"",F275&lt;&gt;"",E275&lt;&gt;F275,ISNUMBER(G275),ISNUMBER(H275),G275&gt;=0,H275&gt;=0,G275&lt;=100,H275&lt;=100,MOD(G275,1)=0,MOD(H275,1)=0,L275="FT90",S275&gt;0,INDEX(SourceTable[League],MAX(1,S275))=B275,INDEX(SourceTable[Season],MAX(1,S275))=C275,ISNUMBER(K275),K275=INDEX(SourceTable[Retrieved_UTC],MAX(1,S275)),J275&lt;&gt;"",M275&lt;&gt;"")),"INVALID",IF(OR(COUNTIFS('Istoric_Nativ'!$N$6:$N$405,N275,'Istoric_Nativ'!$G$6:$G$405,G275)&lt;&gt;COUNTIF('Istoric_Nativ'!$N$6:$N$405,N275),COUNTIFS('Istoric_Nativ'!$N$6:$N$405,N275,'Istoric_Nativ'!$H$6:$H$405,H275)&lt;&gt;COUNTIF('Istoric_Nativ'!$N$6:$N$405,N275)),"SOURCE CONFLICT",IF(COUNTIF($N$6:N275,N275)&gt;1,"DUPLICATE","VALID"))),"INVALID"))</x:f>
        <x:v>VALID</x:v>
      </x:c>
      <x:c r="P275" s="2" t="n">
        <x:f>IF(O275="VALID",1,0)</x:f>
        <x:v>1</x:v>
      </x:c>
      <x:c r="Q275" s="2" t="n">
        <x:f>IF(P275=1,G275+H275,0)</x:f>
        <x:v>7</x:v>
      </x:c>
      <x:c r="R275" s="2" t="n">
        <x:f>Q275^2</x:f>
        <x:v>49</x:v>
      </x:c>
      <x:c r="S275" s="2" t="n">
        <x:f>IF(A275="","",IFERROR(MATCH(I275,SourceTable[Source_ID],0),0))</x:f>
        <x:v>1</x:v>
      </x:c>
    </x:row>
    <x:row r="276" ht="21" customHeight="1">
      <x:c r="A276" s="7" t="str">
        <x:v>d8431616896320fc8e29</x:v>
      </x:c>
      <x:c r="B276" s="7" t="str">
        <x:v>E0</x:v>
      </x:c>
      <x:c r="C276" s="7" t="str">
        <x:v>2025/26</x:v>
      </x:c>
      <x:c r="D276" s="8" t="n">
        <x:v>46076</x:v>
      </x:c>
      <x:c r="E276" s="7" t="str">
        <x:v>Everton</x:v>
      </x:c>
      <x:c r="F276" s="7" t="str">
        <x:v>Man United</x:v>
      </x:c>
      <x:c r="G276" s="7" t="n">
        <x:v>10</x:v>
      </x:c>
      <x:c r="H276" s="7" t="n">
        <x:v>1</x:v>
      </x:c>
      <x:c r="I276" s="7" t="str">
        <x:v>FD_E0_2526</x:v>
      </x:c>
      <x:c r="J276" s="7" t="str">
        <x:v>https://www.football-data.co.uk/mmz4281/2526/E0.csv</x:v>
      </x:c>
      <x:c r="K276" s="8" t="n">
        <x:v>46278.70306712963</x:v>
      </x:c>
      <x:c r="L276" s="7" t="str">
        <x:v>FT90</x:v>
      </x:c>
      <x:c r="M276" s="7" t="str">
        <x:v>CSV row 272</x:v>
      </x:c>
      <x:c r="N276" s="2" t="str">
        <x:f>IF(AND(A276&lt;&gt;"",ISNUMBER(D276)),B276&amp;"|"&amp;C276&amp;"|"&amp;TEXT(D276,"yyyymmdd")&amp;"|"&amp;E276&amp;"|"&amp;F276,"")</x:f>
        <x:v>E0|2025/26|20260223|Everton|Man United</x:v>
      </x:c>
      <x:c r="O276" s="2" t="str">
        <x:f>IF(A276="","",IFERROR(IF(NOT(AND(B276&lt;&gt;"",C276&lt;&gt;"",ISNUMBER(D276),D276&gt;0,E276&lt;&gt;"",F276&lt;&gt;"",E276&lt;&gt;F276,ISNUMBER(G276),ISNUMBER(H276),G276&gt;=0,H276&gt;=0,G276&lt;=100,H276&lt;=100,MOD(G276,1)=0,MOD(H276,1)=0,L276="FT90",S276&gt;0,INDEX(SourceTable[League],MAX(1,S276))=B276,INDEX(SourceTable[Season],MAX(1,S276))=C276,ISNUMBER(K276),K276=INDEX(SourceTable[Retrieved_UTC],MAX(1,S276)),J276&lt;&gt;"",M276&lt;&gt;"")),"INVALID",IF(OR(COUNTIFS('Istoric_Nativ'!$N$6:$N$405,N276,'Istoric_Nativ'!$G$6:$G$405,G276)&lt;&gt;COUNTIF('Istoric_Nativ'!$N$6:$N$405,N276),COUNTIFS('Istoric_Nativ'!$N$6:$N$405,N276,'Istoric_Nativ'!$H$6:$H$405,H276)&lt;&gt;COUNTIF('Istoric_Nativ'!$N$6:$N$405,N276)),"SOURCE CONFLICT",IF(COUNTIF($N$6:N276,N276)&gt;1,"DUPLICATE","VALID"))),"INVALID"))</x:f>
        <x:v>VALID</x:v>
      </x:c>
      <x:c r="P276" s="2" t="n">
        <x:f>IF(O276="VALID",1,0)</x:f>
        <x:v>1</x:v>
      </x:c>
      <x:c r="Q276" s="2" t="n">
        <x:f>IF(P276=1,G276+H276,0)</x:f>
        <x:v>11</x:v>
      </x:c>
      <x:c r="R276" s="2" t="n">
        <x:f>Q276^2</x:f>
        <x:v>121</x:v>
      </x:c>
      <x:c r="S276" s="2" t="n">
        <x:f>IF(A276="","",IFERROR(MATCH(I276,SourceTable[Source_ID],0),0))</x:f>
        <x:v>1</x:v>
      </x:c>
    </x:row>
    <x:row r="277" ht="21" customHeight="1">
      <x:c r="A277" s="7" t="str">
        <x:v>0c969a7918edcdcc5b43</x:v>
      </x:c>
      <x:c r="B277" s="7" t="str">
        <x:v>E0</x:v>
      </x:c>
      <x:c r="C277" s="7" t="str">
        <x:v>2025/26</x:v>
      </x:c>
      <x:c r="D277" s="8" t="n">
        <x:v>46080</x:v>
      </x:c>
      <x:c r="E277" s="7" t="str">
        <x:v>Wolves</x:v>
      </x:c>
      <x:c r="F277" s="7" t="str">
        <x:v>Aston Villa</x:v>
      </x:c>
      <x:c r="G277" s="7" t="n">
        <x:v>0</x:v>
      </x:c>
      <x:c r="H277" s="7" t="n">
        <x:v>5</x:v>
      </x:c>
      <x:c r="I277" s="7" t="str">
        <x:v>FD_E0_2526</x:v>
      </x:c>
      <x:c r="J277" s="7" t="str">
        <x:v>https://www.football-data.co.uk/mmz4281/2526/E0.csv</x:v>
      </x:c>
      <x:c r="K277" s="8" t="n">
        <x:v>46278.70306712963</x:v>
      </x:c>
      <x:c r="L277" s="7" t="str">
        <x:v>FT90</x:v>
      </x:c>
      <x:c r="M277" s="7" t="str">
        <x:v>CSV row 273</x:v>
      </x:c>
      <x:c r="N277" s="2" t="str">
        <x:f>IF(AND(A277&lt;&gt;"",ISNUMBER(D277)),B277&amp;"|"&amp;C277&amp;"|"&amp;TEXT(D277,"yyyymmdd")&amp;"|"&amp;E277&amp;"|"&amp;F277,"")</x:f>
        <x:v>E0|2025/26|20260227|Wolves|Aston Villa</x:v>
      </x:c>
      <x:c r="O277" s="2" t="str">
        <x:f>IF(A277="","",IFERROR(IF(NOT(AND(B277&lt;&gt;"",C277&lt;&gt;"",ISNUMBER(D277),D277&gt;0,E277&lt;&gt;"",F277&lt;&gt;"",E277&lt;&gt;F277,ISNUMBER(G277),ISNUMBER(H277),G277&gt;=0,H277&gt;=0,G277&lt;=100,H277&lt;=100,MOD(G277,1)=0,MOD(H277,1)=0,L277="FT90",S277&gt;0,INDEX(SourceTable[League],MAX(1,S277))=B277,INDEX(SourceTable[Season],MAX(1,S277))=C277,ISNUMBER(K277),K277=INDEX(SourceTable[Retrieved_UTC],MAX(1,S277)),J277&lt;&gt;"",M277&lt;&gt;"")),"INVALID",IF(OR(COUNTIFS('Istoric_Nativ'!$N$6:$N$405,N277,'Istoric_Nativ'!$G$6:$G$405,G277)&lt;&gt;COUNTIF('Istoric_Nativ'!$N$6:$N$405,N277),COUNTIFS('Istoric_Nativ'!$N$6:$N$405,N277,'Istoric_Nativ'!$H$6:$H$405,H277)&lt;&gt;COUNTIF('Istoric_Nativ'!$N$6:$N$405,N277)),"SOURCE CONFLICT",IF(COUNTIF($N$6:N277,N277)&gt;1,"DUPLICATE","VALID"))),"INVALID"))</x:f>
        <x:v>VALID</x:v>
      </x:c>
      <x:c r="P277" s="2" t="n">
        <x:f>IF(O277="VALID",1,0)</x:f>
        <x:v>1</x:v>
      </x:c>
      <x:c r="Q277" s="2" t="n">
        <x:f>IF(P277=1,G277+H277,0)</x:f>
        <x:v>5</x:v>
      </x:c>
      <x:c r="R277" s="2" t="n">
        <x:f>Q277^2</x:f>
        <x:v>25</x:v>
      </x:c>
      <x:c r="S277" s="2" t="n">
        <x:f>IF(A277="","",IFERROR(MATCH(I277,SourceTable[Source_ID],0),0))</x:f>
        <x:v>1</x:v>
      </x:c>
    </x:row>
    <x:row r="278" ht="21" customHeight="1">
      <x:c r="A278" s="7" t="str">
        <x:v>472d27a8226e3071a20d</x:v>
      </x:c>
      <x:c r="B278" s="7" t="str">
        <x:v>E0</x:v>
      </x:c>
      <x:c r="C278" s="7" t="str">
        <x:v>2025/26</x:v>
      </x:c>
      <x:c r="D278" s="8" t="n">
        <x:v>46081</x:v>
      </x:c>
      <x:c r="E278" s="7" t="str">
        <x:v>Bournemouth</x:v>
      </x:c>
      <x:c r="F278" s="7" t="str">
        <x:v>Sunderland</x:v>
      </x:c>
      <x:c r="G278" s="7" t="n">
        <x:v>7</x:v>
      </x:c>
      <x:c r="H278" s="7" t="n">
        <x:v>3</x:v>
      </x:c>
      <x:c r="I278" s="7" t="str">
        <x:v>FD_E0_2526</x:v>
      </x:c>
      <x:c r="J278" s="7" t="str">
        <x:v>https://www.football-data.co.uk/mmz4281/2526/E0.csv</x:v>
      </x:c>
      <x:c r="K278" s="8" t="n">
        <x:v>46278.70306712963</x:v>
      </x:c>
      <x:c r="L278" s="7" t="str">
        <x:v>FT90</x:v>
      </x:c>
      <x:c r="M278" s="7" t="str">
        <x:v>CSV row 274</x:v>
      </x:c>
      <x:c r="N278" s="2" t="str">
        <x:f>IF(AND(A278&lt;&gt;"",ISNUMBER(D278)),B278&amp;"|"&amp;C278&amp;"|"&amp;TEXT(D278,"yyyymmdd")&amp;"|"&amp;E278&amp;"|"&amp;F278,"")</x:f>
        <x:v>E0|2025/26|20260228|Bournemouth|Sunderland</x:v>
      </x:c>
      <x:c r="O278" s="2" t="str">
        <x:f>IF(A278="","",IFERROR(IF(NOT(AND(B278&lt;&gt;"",C278&lt;&gt;"",ISNUMBER(D278),D278&gt;0,E278&lt;&gt;"",F278&lt;&gt;"",E278&lt;&gt;F278,ISNUMBER(G278),ISNUMBER(H278),G278&gt;=0,H278&gt;=0,G278&lt;=100,H278&lt;=100,MOD(G278,1)=0,MOD(H278,1)=0,L278="FT90",S278&gt;0,INDEX(SourceTable[League],MAX(1,S278))=B278,INDEX(SourceTable[Season],MAX(1,S278))=C278,ISNUMBER(K278),K278=INDEX(SourceTable[Retrieved_UTC],MAX(1,S278)),J278&lt;&gt;"",M278&lt;&gt;"")),"INVALID",IF(OR(COUNTIFS('Istoric_Nativ'!$N$6:$N$405,N278,'Istoric_Nativ'!$G$6:$G$405,G278)&lt;&gt;COUNTIF('Istoric_Nativ'!$N$6:$N$405,N278),COUNTIFS('Istoric_Nativ'!$N$6:$N$405,N278,'Istoric_Nativ'!$H$6:$H$405,H278)&lt;&gt;COUNTIF('Istoric_Nativ'!$N$6:$N$405,N278)),"SOURCE CONFLICT",IF(COUNTIF($N$6:N278,N278)&gt;1,"DUPLICATE","VALID"))),"INVALID"))</x:f>
        <x:v>VALID</x:v>
      </x:c>
      <x:c r="P278" s="2" t="n">
        <x:f>IF(O278="VALID",1,0)</x:f>
        <x:v>1</x:v>
      </x:c>
      <x:c r="Q278" s="2" t="n">
        <x:f>IF(P278=1,G278+H278,0)</x:f>
        <x:v>10</x:v>
      </x:c>
      <x:c r="R278" s="2" t="n">
        <x:f>Q278^2</x:f>
        <x:v>100</x:v>
      </x:c>
      <x:c r="S278" s="2" t="n">
        <x:f>IF(A278="","",IFERROR(MATCH(I278,SourceTable[Source_ID],0),0))</x:f>
        <x:v>1</x:v>
      </x:c>
    </x:row>
    <x:row r="279" ht="21" customHeight="1">
      <x:c r="A279" s="7" t="str">
        <x:v>2984456145c9c3d19deb</x:v>
      </x:c>
      <x:c r="B279" s="7" t="str">
        <x:v>E0</x:v>
      </x:c>
      <x:c r="C279" s="7" t="str">
        <x:v>2025/26</x:v>
      </x:c>
      <x:c r="D279" s="8" t="n">
        <x:v>46081</x:v>
      </x:c>
      <x:c r="E279" s="7" t="str">
        <x:v>Burnley</x:v>
      </x:c>
      <x:c r="F279" s="7" t="str">
        <x:v>Brentford</x:v>
      </x:c>
      <x:c r="G279" s="7" t="n">
        <x:v>4</x:v>
      </x:c>
      <x:c r="H279" s="7" t="n">
        <x:v>8</x:v>
      </x:c>
      <x:c r="I279" s="7" t="str">
        <x:v>FD_E0_2526</x:v>
      </x:c>
      <x:c r="J279" s="7" t="str">
        <x:v>https://www.football-data.co.uk/mmz4281/2526/E0.csv</x:v>
      </x:c>
      <x:c r="K279" s="8" t="n">
        <x:v>46278.70306712963</x:v>
      </x:c>
      <x:c r="L279" s="7" t="str">
        <x:v>FT90</x:v>
      </x:c>
      <x:c r="M279" s="7" t="str">
        <x:v>CSV row 275</x:v>
      </x:c>
      <x:c r="N279" s="2" t="str">
        <x:f>IF(AND(A279&lt;&gt;"",ISNUMBER(D279)),B279&amp;"|"&amp;C279&amp;"|"&amp;TEXT(D279,"yyyymmdd")&amp;"|"&amp;E279&amp;"|"&amp;F279,"")</x:f>
        <x:v>E0|2025/26|20260228|Burnley|Brentford</x:v>
      </x:c>
      <x:c r="O279" s="2" t="str">
        <x:f>IF(A279="","",IFERROR(IF(NOT(AND(B279&lt;&gt;"",C279&lt;&gt;"",ISNUMBER(D279),D279&gt;0,E279&lt;&gt;"",F279&lt;&gt;"",E279&lt;&gt;F279,ISNUMBER(G279),ISNUMBER(H279),G279&gt;=0,H279&gt;=0,G279&lt;=100,H279&lt;=100,MOD(G279,1)=0,MOD(H279,1)=0,L279="FT90",S279&gt;0,INDEX(SourceTable[League],MAX(1,S279))=B279,INDEX(SourceTable[Season],MAX(1,S279))=C279,ISNUMBER(K279),K279=INDEX(SourceTable[Retrieved_UTC],MAX(1,S279)),J279&lt;&gt;"",M279&lt;&gt;"")),"INVALID",IF(OR(COUNTIFS('Istoric_Nativ'!$N$6:$N$405,N279,'Istoric_Nativ'!$G$6:$G$405,G279)&lt;&gt;COUNTIF('Istoric_Nativ'!$N$6:$N$405,N279),COUNTIFS('Istoric_Nativ'!$N$6:$N$405,N279,'Istoric_Nativ'!$H$6:$H$405,H279)&lt;&gt;COUNTIF('Istoric_Nativ'!$N$6:$N$405,N279)),"SOURCE CONFLICT",IF(COUNTIF($N$6:N279,N279)&gt;1,"DUPLICATE","VALID"))),"INVALID"))</x:f>
        <x:v>VALID</x:v>
      </x:c>
      <x:c r="P279" s="2" t="n">
        <x:f>IF(O279="VALID",1,0)</x:f>
        <x:v>1</x:v>
      </x:c>
      <x:c r="Q279" s="2" t="n">
        <x:f>IF(P279=1,G279+H279,0)</x:f>
        <x:v>12</x:v>
      </x:c>
      <x:c r="R279" s="2" t="n">
        <x:f>Q279^2</x:f>
        <x:v>144</x:v>
      </x:c>
      <x:c r="S279" s="2" t="n">
        <x:f>IF(A279="","",IFERROR(MATCH(I279,SourceTable[Source_ID],0),0))</x:f>
        <x:v>1</x:v>
      </x:c>
    </x:row>
    <x:row r="280" ht="21" customHeight="1">
      <x:c r="A280" s="7" t="str">
        <x:v>7560e4de81e8a1356efa</x:v>
      </x:c>
      <x:c r="B280" s="7" t="str">
        <x:v>E0</x:v>
      </x:c>
      <x:c r="C280" s="7" t="str">
        <x:v>2025/26</x:v>
      </x:c>
      <x:c r="D280" s="8" t="n">
        <x:v>46081</x:v>
      </x:c>
      <x:c r="E280" s="7" t="str">
        <x:v>Leeds</x:v>
      </x:c>
      <x:c r="F280" s="7" t="str">
        <x:v>Man City</x:v>
      </x:c>
      <x:c r="G280" s="7" t="n">
        <x:v>5</x:v>
      </x:c>
      <x:c r="H280" s="7" t="n">
        <x:v>3</x:v>
      </x:c>
      <x:c r="I280" s="7" t="str">
        <x:v>FD_E0_2526</x:v>
      </x:c>
      <x:c r="J280" s="7" t="str">
        <x:v>https://www.football-data.co.uk/mmz4281/2526/E0.csv</x:v>
      </x:c>
      <x:c r="K280" s="8" t="n">
        <x:v>46278.70306712963</x:v>
      </x:c>
      <x:c r="L280" s="7" t="str">
        <x:v>FT90</x:v>
      </x:c>
      <x:c r="M280" s="7" t="str">
        <x:v>CSV row 278</x:v>
      </x:c>
      <x:c r="N280" s="2" t="str">
        <x:f>IF(AND(A280&lt;&gt;"",ISNUMBER(D280)),B280&amp;"|"&amp;C280&amp;"|"&amp;TEXT(D280,"yyyymmdd")&amp;"|"&amp;E280&amp;"|"&amp;F280,"")</x:f>
        <x:v>E0|2025/26|20260228|Leeds|Man City</x:v>
      </x:c>
      <x:c r="O280" s="2" t="str">
        <x:f>IF(A280="","",IFERROR(IF(NOT(AND(B280&lt;&gt;"",C280&lt;&gt;"",ISNUMBER(D280),D280&gt;0,E280&lt;&gt;"",F280&lt;&gt;"",E280&lt;&gt;F280,ISNUMBER(G280),ISNUMBER(H280),G280&gt;=0,H280&gt;=0,G280&lt;=100,H280&lt;=100,MOD(G280,1)=0,MOD(H280,1)=0,L280="FT90",S280&gt;0,INDEX(SourceTable[League],MAX(1,S280))=B280,INDEX(SourceTable[Season],MAX(1,S280))=C280,ISNUMBER(K280),K280=INDEX(SourceTable[Retrieved_UTC],MAX(1,S280)),J280&lt;&gt;"",M280&lt;&gt;"")),"INVALID",IF(OR(COUNTIFS('Istoric_Nativ'!$N$6:$N$405,N280,'Istoric_Nativ'!$G$6:$G$405,G280)&lt;&gt;COUNTIF('Istoric_Nativ'!$N$6:$N$405,N280),COUNTIFS('Istoric_Nativ'!$N$6:$N$405,N280,'Istoric_Nativ'!$H$6:$H$405,H280)&lt;&gt;COUNTIF('Istoric_Nativ'!$N$6:$N$405,N280)),"SOURCE CONFLICT",IF(COUNTIF($N$6:N280,N280)&gt;1,"DUPLICATE","VALID"))),"INVALID"))</x:f>
        <x:v>VALID</x:v>
      </x:c>
      <x:c r="P280" s="2" t="n">
        <x:f>IF(O280="VALID",1,0)</x:f>
        <x:v>1</x:v>
      </x:c>
      <x:c r="Q280" s="2" t="n">
        <x:f>IF(P280=1,G280+H280,0)</x:f>
        <x:v>8</x:v>
      </x:c>
      <x:c r="R280" s="2" t="n">
        <x:f>Q280^2</x:f>
        <x:v>64</x:v>
      </x:c>
      <x:c r="S280" s="2" t="n">
        <x:f>IF(A280="","",IFERROR(MATCH(I280,SourceTable[Source_ID],0),0))</x:f>
        <x:v>1</x:v>
      </x:c>
    </x:row>
    <x:row r="281" ht="21" customHeight="1">
      <x:c r="A281" s="7" t="str">
        <x:v>b88e167dd34d1c470619</x:v>
      </x:c>
      <x:c r="B281" s="7" t="str">
        <x:v>E0</x:v>
      </x:c>
      <x:c r="C281" s="7" t="str">
        <x:v>2025/26</x:v>
      </x:c>
      <x:c r="D281" s="8" t="n">
        <x:v>46081</x:v>
      </x:c>
      <x:c r="E281" s="7" t="str">
        <x:v>Liverpool</x:v>
      </x:c>
      <x:c r="F281" s="7" t="str">
        <x:v>West Ham</x:v>
      </x:c>
      <x:c r="G281" s="7" t="n">
        <x:v>10</x:v>
      </x:c>
      <x:c r="H281" s="7" t="n">
        <x:v>5</x:v>
      </x:c>
      <x:c r="I281" s="7" t="str">
        <x:v>FD_E0_2526</x:v>
      </x:c>
      <x:c r="J281" s="7" t="str">
        <x:v>https://www.football-data.co.uk/mmz4281/2526/E0.csv</x:v>
      </x:c>
      <x:c r="K281" s="8" t="n">
        <x:v>46278.70306712963</x:v>
      </x:c>
      <x:c r="L281" s="7" t="str">
        <x:v>FT90</x:v>
      </x:c>
      <x:c r="M281" s="7" t="str">
        <x:v>CSV row 276</x:v>
      </x:c>
      <x:c r="N281" s="2" t="str">
        <x:f>IF(AND(A281&lt;&gt;"",ISNUMBER(D281)),B281&amp;"|"&amp;C281&amp;"|"&amp;TEXT(D281,"yyyymmdd")&amp;"|"&amp;E281&amp;"|"&amp;F281,"")</x:f>
        <x:v>E0|2025/26|20260228|Liverpool|West Ham</x:v>
      </x:c>
      <x:c r="O281" s="2" t="str">
        <x:f>IF(A281="","",IFERROR(IF(NOT(AND(B281&lt;&gt;"",C281&lt;&gt;"",ISNUMBER(D281),D281&gt;0,E281&lt;&gt;"",F281&lt;&gt;"",E281&lt;&gt;F281,ISNUMBER(G281),ISNUMBER(H281),G281&gt;=0,H281&gt;=0,G281&lt;=100,H281&lt;=100,MOD(G281,1)=0,MOD(H281,1)=0,L281="FT90",S281&gt;0,INDEX(SourceTable[League],MAX(1,S281))=B281,INDEX(SourceTable[Season],MAX(1,S281))=C281,ISNUMBER(K281),K281=INDEX(SourceTable[Retrieved_UTC],MAX(1,S281)),J281&lt;&gt;"",M281&lt;&gt;"")),"INVALID",IF(OR(COUNTIFS('Istoric_Nativ'!$N$6:$N$405,N281,'Istoric_Nativ'!$G$6:$G$405,G281)&lt;&gt;COUNTIF('Istoric_Nativ'!$N$6:$N$405,N281),COUNTIFS('Istoric_Nativ'!$N$6:$N$405,N281,'Istoric_Nativ'!$H$6:$H$405,H281)&lt;&gt;COUNTIF('Istoric_Nativ'!$N$6:$N$405,N281)),"SOURCE CONFLICT",IF(COUNTIF($N$6:N281,N281)&gt;1,"DUPLICATE","VALID"))),"INVALID"))</x:f>
        <x:v>VALID</x:v>
      </x:c>
      <x:c r="P281" s="2" t="n">
        <x:f>IF(O281="VALID",1,0)</x:f>
        <x:v>1</x:v>
      </x:c>
      <x:c r="Q281" s="2" t="n">
        <x:f>IF(P281=1,G281+H281,0)</x:f>
        <x:v>15</x:v>
      </x:c>
      <x:c r="R281" s="2" t="n">
        <x:f>Q281^2</x:f>
        <x:v>225</x:v>
      </x:c>
      <x:c r="S281" s="2" t="n">
        <x:f>IF(A281="","",IFERROR(MATCH(I281,SourceTable[Source_ID],0),0))</x:f>
        <x:v>1</x:v>
      </x:c>
    </x:row>
    <x:row r="282" ht="21" customHeight="1">
      <x:c r="A282" s="7" t="str">
        <x:v>2fda11c18ea88a161d3f</x:v>
      </x:c>
      <x:c r="B282" s="7" t="str">
        <x:v>E0</x:v>
      </x:c>
      <x:c r="C282" s="7" t="str">
        <x:v>2025/26</x:v>
      </x:c>
      <x:c r="D282" s="8" t="n">
        <x:v>46081</x:v>
      </x:c>
      <x:c r="E282" s="7" t="str">
        <x:v>Newcastle</x:v>
      </x:c>
      <x:c r="F282" s="7" t="str">
        <x:v>Everton</x:v>
      </x:c>
      <x:c r="G282" s="7" t="n">
        <x:v>7</x:v>
      </x:c>
      <x:c r="H282" s="7" t="n">
        <x:v>2</x:v>
      </x:c>
      <x:c r="I282" s="7" t="str">
        <x:v>FD_E0_2526</x:v>
      </x:c>
      <x:c r="J282" s="7" t="str">
        <x:v>https://www.football-data.co.uk/mmz4281/2526/E0.csv</x:v>
      </x:c>
      <x:c r="K282" s="8" t="n">
        <x:v>46278.70306712963</x:v>
      </x:c>
      <x:c r="L282" s="7" t="str">
        <x:v>FT90</x:v>
      </x:c>
      <x:c r="M282" s="7" t="str">
        <x:v>CSV row 277</x:v>
      </x:c>
      <x:c r="N282" s="2" t="str">
        <x:f>IF(AND(A282&lt;&gt;"",ISNUMBER(D282)),B282&amp;"|"&amp;C282&amp;"|"&amp;TEXT(D282,"yyyymmdd")&amp;"|"&amp;E282&amp;"|"&amp;F282,"")</x:f>
        <x:v>E0|2025/26|20260228|Newcastle|Everton</x:v>
      </x:c>
      <x:c r="O282" s="2" t="str">
        <x:f>IF(A282="","",IFERROR(IF(NOT(AND(B282&lt;&gt;"",C282&lt;&gt;"",ISNUMBER(D282),D282&gt;0,E282&lt;&gt;"",F282&lt;&gt;"",E282&lt;&gt;F282,ISNUMBER(G282),ISNUMBER(H282),G282&gt;=0,H282&gt;=0,G282&lt;=100,H282&lt;=100,MOD(G282,1)=0,MOD(H282,1)=0,L282="FT90",S282&gt;0,INDEX(SourceTable[League],MAX(1,S282))=B282,INDEX(SourceTable[Season],MAX(1,S282))=C282,ISNUMBER(K282),K282=INDEX(SourceTable[Retrieved_UTC],MAX(1,S282)),J282&lt;&gt;"",M282&lt;&gt;"")),"INVALID",IF(OR(COUNTIFS('Istoric_Nativ'!$N$6:$N$405,N282,'Istoric_Nativ'!$G$6:$G$405,G282)&lt;&gt;COUNTIF('Istoric_Nativ'!$N$6:$N$405,N282),COUNTIFS('Istoric_Nativ'!$N$6:$N$405,N282,'Istoric_Nativ'!$H$6:$H$405,H282)&lt;&gt;COUNTIF('Istoric_Nativ'!$N$6:$N$405,N282)),"SOURCE CONFLICT",IF(COUNTIF($N$6:N282,N282)&gt;1,"DUPLICATE","VALID"))),"INVALID"))</x:f>
        <x:v>VALID</x:v>
      </x:c>
      <x:c r="P282" s="2" t="n">
        <x:f>IF(O282="VALID",1,0)</x:f>
        <x:v>1</x:v>
      </x:c>
      <x:c r="Q282" s="2" t="n">
        <x:f>IF(P282=1,G282+H282,0)</x:f>
        <x:v>9</x:v>
      </x:c>
      <x:c r="R282" s="2" t="n">
        <x:f>Q282^2</x:f>
        <x:v>81</x:v>
      </x:c>
      <x:c r="S282" s="2" t="n">
        <x:f>IF(A282="","",IFERROR(MATCH(I282,SourceTable[Source_ID],0),0))</x:f>
        <x:v>1</x:v>
      </x:c>
    </x:row>
    <x:row r="283" ht="21" customHeight="1">
      <x:c r="A283" s="7" t="str">
        <x:v>31eb1f8e60c7e17c1c09</x:v>
      </x:c>
      <x:c r="B283" s="7" t="str">
        <x:v>E0</x:v>
      </x:c>
      <x:c r="C283" s="7" t="str">
        <x:v>2025/26</x:v>
      </x:c>
      <x:c r="D283" s="8" t="n">
        <x:v>46082</x:v>
      </x:c>
      <x:c r="E283" s="7" t="str">
        <x:v>Arsenal</x:v>
      </x:c>
      <x:c r="F283" s="7" t="str">
        <x:v>Chelsea</x:v>
      </x:c>
      <x:c r="G283" s="7" t="n">
        <x:v>5</x:v>
      </x:c>
      <x:c r="H283" s="7" t="n">
        <x:v>10</x:v>
      </x:c>
      <x:c r="I283" s="7" t="str">
        <x:v>FD_E0_2526</x:v>
      </x:c>
      <x:c r="J283" s="7" t="str">
        <x:v>https://www.football-data.co.uk/mmz4281/2526/E0.csv</x:v>
      </x:c>
      <x:c r="K283" s="8" t="n">
        <x:v>46278.70306712963</x:v>
      </x:c>
      <x:c r="L283" s="7" t="str">
        <x:v>FT90</x:v>
      </x:c>
      <x:c r="M283" s="7" t="str">
        <x:v>CSV row 282</x:v>
      </x:c>
      <x:c r="N283" s="2" t="str">
        <x:f>IF(AND(A283&lt;&gt;"",ISNUMBER(D283)),B283&amp;"|"&amp;C283&amp;"|"&amp;TEXT(D283,"yyyymmdd")&amp;"|"&amp;E283&amp;"|"&amp;F283,"")</x:f>
        <x:v>E0|2025/26|20260301|Arsenal|Chelsea</x:v>
      </x:c>
      <x:c r="O283" s="2" t="str">
        <x:f>IF(A283="","",IFERROR(IF(NOT(AND(B283&lt;&gt;"",C283&lt;&gt;"",ISNUMBER(D283),D283&gt;0,E283&lt;&gt;"",F283&lt;&gt;"",E283&lt;&gt;F283,ISNUMBER(G283),ISNUMBER(H283),G283&gt;=0,H283&gt;=0,G283&lt;=100,H283&lt;=100,MOD(G283,1)=0,MOD(H283,1)=0,L283="FT90",S283&gt;0,INDEX(SourceTable[League],MAX(1,S283))=B283,INDEX(SourceTable[Season],MAX(1,S283))=C283,ISNUMBER(K283),K283=INDEX(SourceTable[Retrieved_UTC],MAX(1,S283)),J283&lt;&gt;"",M283&lt;&gt;"")),"INVALID",IF(OR(COUNTIFS('Istoric_Nativ'!$N$6:$N$405,N283,'Istoric_Nativ'!$G$6:$G$405,G283)&lt;&gt;COUNTIF('Istoric_Nativ'!$N$6:$N$405,N283),COUNTIFS('Istoric_Nativ'!$N$6:$N$405,N283,'Istoric_Nativ'!$H$6:$H$405,H283)&lt;&gt;COUNTIF('Istoric_Nativ'!$N$6:$N$405,N283)),"SOURCE CONFLICT",IF(COUNTIF($N$6:N283,N283)&gt;1,"DUPLICATE","VALID"))),"INVALID"))</x:f>
        <x:v>VALID</x:v>
      </x:c>
      <x:c r="P283" s="2" t="n">
        <x:f>IF(O283="VALID",1,0)</x:f>
        <x:v>1</x:v>
      </x:c>
      <x:c r="Q283" s="2" t="n">
        <x:f>IF(P283=1,G283+H283,0)</x:f>
        <x:v>15</x:v>
      </x:c>
      <x:c r="R283" s="2" t="n">
        <x:f>Q283^2</x:f>
        <x:v>225</x:v>
      </x:c>
      <x:c r="S283" s="2" t="n">
        <x:f>IF(A283="","",IFERROR(MATCH(I283,SourceTable[Source_ID],0),0))</x:f>
        <x:v>1</x:v>
      </x:c>
    </x:row>
    <x:row r="284" ht="21" customHeight="1">
      <x:c r="A284" s="7" t="str">
        <x:v>5402b9c4d85cf197fec8</x:v>
      </x:c>
      <x:c r="B284" s="7" t="str">
        <x:v>E0</x:v>
      </x:c>
      <x:c r="C284" s="7" t="str">
        <x:v>2025/26</x:v>
      </x:c>
      <x:c r="D284" s="8" t="n">
        <x:v>46082</x:v>
      </x:c>
      <x:c r="E284" s="7" t="str">
        <x:v>Brighton</x:v>
      </x:c>
      <x:c r="F284" s="7" t="str">
        <x:v>Nott'm Forest</x:v>
      </x:c>
      <x:c r="G284" s="7" t="n">
        <x:v>4</x:v>
      </x:c>
      <x:c r="H284" s="7" t="n">
        <x:v>4</x:v>
      </x:c>
      <x:c r="I284" s="7" t="str">
        <x:v>FD_E0_2526</x:v>
      </x:c>
      <x:c r="J284" s="7" t="str">
        <x:v>https://www.football-data.co.uk/mmz4281/2526/E0.csv</x:v>
      </x:c>
      <x:c r="K284" s="8" t="n">
        <x:v>46278.70306712963</x:v>
      </x:c>
      <x:c r="L284" s="7" t="str">
        <x:v>FT90</x:v>
      </x:c>
      <x:c r="M284" s="7" t="str">
        <x:v>CSV row 279</x:v>
      </x:c>
      <x:c r="N284" s="2" t="str">
        <x:f>IF(AND(A284&lt;&gt;"",ISNUMBER(D284)),B284&amp;"|"&amp;C284&amp;"|"&amp;TEXT(D284,"yyyymmdd")&amp;"|"&amp;E284&amp;"|"&amp;F284,"")</x:f>
        <x:v>E0|2025/26|20260301|Brighton|Nott'm Forest</x:v>
      </x:c>
      <x:c r="O284" s="2" t="str">
        <x:f>IF(A284="","",IFERROR(IF(NOT(AND(B284&lt;&gt;"",C284&lt;&gt;"",ISNUMBER(D284),D284&gt;0,E284&lt;&gt;"",F284&lt;&gt;"",E284&lt;&gt;F284,ISNUMBER(G284),ISNUMBER(H284),G284&gt;=0,H284&gt;=0,G284&lt;=100,H284&lt;=100,MOD(G284,1)=0,MOD(H284,1)=0,L284="FT90",S284&gt;0,INDEX(SourceTable[League],MAX(1,S284))=B284,INDEX(SourceTable[Season],MAX(1,S284))=C284,ISNUMBER(K284),K284=INDEX(SourceTable[Retrieved_UTC],MAX(1,S284)),J284&lt;&gt;"",M284&lt;&gt;"")),"INVALID",IF(OR(COUNTIFS('Istoric_Nativ'!$N$6:$N$405,N284,'Istoric_Nativ'!$G$6:$G$405,G284)&lt;&gt;COUNTIF('Istoric_Nativ'!$N$6:$N$405,N284),COUNTIFS('Istoric_Nativ'!$N$6:$N$405,N284,'Istoric_Nativ'!$H$6:$H$405,H284)&lt;&gt;COUNTIF('Istoric_Nativ'!$N$6:$N$405,N284)),"SOURCE CONFLICT",IF(COUNTIF($N$6:N284,N284)&gt;1,"DUPLICATE","VALID"))),"INVALID"))</x:f>
        <x:v>VALID</x:v>
      </x:c>
      <x:c r="P284" s="2" t="n">
        <x:f>IF(O284="VALID",1,0)</x:f>
        <x:v>1</x:v>
      </x:c>
      <x:c r="Q284" s="2" t="n">
        <x:f>IF(P284=1,G284+H284,0)</x:f>
        <x:v>8</x:v>
      </x:c>
      <x:c r="R284" s="2" t="n">
        <x:f>Q284^2</x:f>
        <x:v>64</x:v>
      </x:c>
      <x:c r="S284" s="2" t="n">
        <x:f>IF(A284="","",IFERROR(MATCH(I284,SourceTable[Source_ID],0),0))</x:f>
        <x:v>1</x:v>
      </x:c>
    </x:row>
    <x:row r="285" ht="21" customHeight="1">
      <x:c r="A285" s="7" t="str">
        <x:v>746ef7140911e4b6cae9</x:v>
      </x:c>
      <x:c r="B285" s="7" t="str">
        <x:v>E0</x:v>
      </x:c>
      <x:c r="C285" s="7" t="str">
        <x:v>2025/26</x:v>
      </x:c>
      <x:c r="D285" s="8" t="n">
        <x:v>46082</x:v>
      </x:c>
      <x:c r="E285" s="7" t="str">
        <x:v>Fulham</x:v>
      </x:c>
      <x:c r="F285" s="7" t="str">
        <x:v>Tottenham</x:v>
      </x:c>
      <x:c r="G285" s="7" t="n">
        <x:v>5</x:v>
      </x:c>
      <x:c r="H285" s="7" t="n">
        <x:v>8</x:v>
      </x:c>
      <x:c r="I285" s="7" t="str">
        <x:v>FD_E0_2526</x:v>
      </x:c>
      <x:c r="J285" s="7" t="str">
        <x:v>https://www.football-data.co.uk/mmz4281/2526/E0.csv</x:v>
      </x:c>
      <x:c r="K285" s="8" t="n">
        <x:v>46278.70306712963</x:v>
      </x:c>
      <x:c r="L285" s="7" t="str">
        <x:v>FT90</x:v>
      </x:c>
      <x:c r="M285" s="7" t="str">
        <x:v>CSV row 280</x:v>
      </x:c>
      <x:c r="N285" s="2" t="str">
        <x:f>IF(AND(A285&lt;&gt;"",ISNUMBER(D285)),B285&amp;"|"&amp;C285&amp;"|"&amp;TEXT(D285,"yyyymmdd")&amp;"|"&amp;E285&amp;"|"&amp;F285,"")</x:f>
        <x:v>E0|2025/26|20260301|Fulham|Tottenham</x:v>
      </x:c>
      <x:c r="O285" s="2" t="str">
        <x:f>IF(A285="","",IFERROR(IF(NOT(AND(B285&lt;&gt;"",C285&lt;&gt;"",ISNUMBER(D285),D285&gt;0,E285&lt;&gt;"",F285&lt;&gt;"",E285&lt;&gt;F285,ISNUMBER(G285),ISNUMBER(H285),G285&gt;=0,H285&gt;=0,G285&lt;=100,H285&lt;=100,MOD(G285,1)=0,MOD(H285,1)=0,L285="FT90",S285&gt;0,INDEX(SourceTable[League],MAX(1,S285))=B285,INDEX(SourceTable[Season],MAX(1,S285))=C285,ISNUMBER(K285),K285=INDEX(SourceTable[Retrieved_UTC],MAX(1,S285)),J285&lt;&gt;"",M285&lt;&gt;"")),"INVALID",IF(OR(COUNTIFS('Istoric_Nativ'!$N$6:$N$405,N285,'Istoric_Nativ'!$G$6:$G$405,G285)&lt;&gt;COUNTIF('Istoric_Nativ'!$N$6:$N$405,N285),COUNTIFS('Istoric_Nativ'!$N$6:$N$405,N285,'Istoric_Nativ'!$H$6:$H$405,H285)&lt;&gt;COUNTIF('Istoric_Nativ'!$N$6:$N$405,N285)),"SOURCE CONFLICT",IF(COUNTIF($N$6:N285,N285)&gt;1,"DUPLICATE","VALID"))),"INVALID"))</x:f>
        <x:v>VALID</x:v>
      </x:c>
      <x:c r="P285" s="2" t="n">
        <x:f>IF(O285="VALID",1,0)</x:f>
        <x:v>1</x:v>
      </x:c>
      <x:c r="Q285" s="2" t="n">
        <x:f>IF(P285=1,G285+H285,0)</x:f>
        <x:v>13</x:v>
      </x:c>
      <x:c r="R285" s="2" t="n">
        <x:f>Q285^2</x:f>
        <x:v>169</x:v>
      </x:c>
      <x:c r="S285" s="2" t="n">
        <x:f>IF(A285="","",IFERROR(MATCH(I285,SourceTable[Source_ID],0),0))</x:f>
        <x:v>1</x:v>
      </x:c>
    </x:row>
    <x:row r="286" ht="21" customHeight="1">
      <x:c r="A286" s="7" t="str">
        <x:v>12c4e33424699452e9ee</x:v>
      </x:c>
      <x:c r="B286" s="7" t="str">
        <x:v>E0</x:v>
      </x:c>
      <x:c r="C286" s="7" t="str">
        <x:v>2025/26</x:v>
      </x:c>
      <x:c r="D286" s="8" t="n">
        <x:v>46082</x:v>
      </x:c>
      <x:c r="E286" s="7" t="str">
        <x:v>Man United</x:v>
      </x:c>
      <x:c r="F286" s="7" t="str">
        <x:v>Crystal Palace</x:v>
      </x:c>
      <x:c r="G286" s="7" t="n">
        <x:v>7</x:v>
      </x:c>
      <x:c r="H286" s="7" t="n">
        <x:v>1</x:v>
      </x:c>
      <x:c r="I286" s="7" t="str">
        <x:v>FD_E0_2526</x:v>
      </x:c>
      <x:c r="J286" s="7" t="str">
        <x:v>https://www.football-data.co.uk/mmz4281/2526/E0.csv</x:v>
      </x:c>
      <x:c r="K286" s="8" t="n">
        <x:v>46278.70306712963</x:v>
      </x:c>
      <x:c r="L286" s="7" t="str">
        <x:v>FT90</x:v>
      </x:c>
      <x:c r="M286" s="7" t="str">
        <x:v>CSV row 281</x:v>
      </x:c>
      <x:c r="N286" s="2" t="str">
        <x:f>IF(AND(A286&lt;&gt;"",ISNUMBER(D286)),B286&amp;"|"&amp;C286&amp;"|"&amp;TEXT(D286,"yyyymmdd")&amp;"|"&amp;E286&amp;"|"&amp;F286,"")</x:f>
        <x:v>E0|2025/26|20260301|Man United|Crystal Palace</x:v>
      </x:c>
      <x:c r="O286" s="2" t="str">
        <x:f>IF(A286="","",IFERROR(IF(NOT(AND(B286&lt;&gt;"",C286&lt;&gt;"",ISNUMBER(D286),D286&gt;0,E286&lt;&gt;"",F286&lt;&gt;"",E286&lt;&gt;F286,ISNUMBER(G286),ISNUMBER(H286),G286&gt;=0,H286&gt;=0,G286&lt;=100,H286&lt;=100,MOD(G286,1)=0,MOD(H286,1)=0,L286="FT90",S286&gt;0,INDEX(SourceTable[League],MAX(1,S286))=B286,INDEX(SourceTable[Season],MAX(1,S286))=C286,ISNUMBER(K286),K286=INDEX(SourceTable[Retrieved_UTC],MAX(1,S286)),J286&lt;&gt;"",M286&lt;&gt;"")),"INVALID",IF(OR(COUNTIFS('Istoric_Nativ'!$N$6:$N$405,N286,'Istoric_Nativ'!$G$6:$G$405,G286)&lt;&gt;COUNTIF('Istoric_Nativ'!$N$6:$N$405,N286),COUNTIFS('Istoric_Nativ'!$N$6:$N$405,N286,'Istoric_Nativ'!$H$6:$H$405,H286)&lt;&gt;COUNTIF('Istoric_Nativ'!$N$6:$N$405,N286)),"SOURCE CONFLICT",IF(COUNTIF($N$6:N286,N286)&gt;1,"DUPLICATE","VALID"))),"INVALID"))</x:f>
        <x:v>VALID</x:v>
      </x:c>
      <x:c r="P286" s="2" t="n">
        <x:f>IF(O286="VALID",1,0)</x:f>
        <x:v>1</x:v>
      </x:c>
      <x:c r="Q286" s="2" t="n">
        <x:f>IF(P286=1,G286+H286,0)</x:f>
        <x:v>8</x:v>
      </x:c>
      <x:c r="R286" s="2" t="n">
        <x:f>Q286^2</x:f>
        <x:v>64</x:v>
      </x:c>
      <x:c r="S286" s="2" t="n">
        <x:f>IF(A286="","",IFERROR(MATCH(I286,SourceTable[Source_ID],0),0))</x:f>
        <x:v>1</x:v>
      </x:c>
    </x:row>
    <x:row r="287" ht="21" customHeight="1">
      <x:c r="A287" s="7" t="str">
        <x:v>6810eb8671b330a94396</x:v>
      </x:c>
      <x:c r="B287" s="7" t="str">
        <x:v>E0</x:v>
      </x:c>
      <x:c r="C287" s="7" t="str">
        <x:v>2025/26</x:v>
      </x:c>
      <x:c r="D287" s="8" t="n">
        <x:v>46084</x:v>
      </x:c>
      <x:c r="E287" s="7" t="str">
        <x:v>Bournemouth</x:v>
      </x:c>
      <x:c r="F287" s="7" t="str">
        <x:v>Brentford</x:v>
      </x:c>
      <x:c r="G287" s="7" t="n">
        <x:v>4</x:v>
      </x:c>
      <x:c r="H287" s="7" t="n">
        <x:v>3</x:v>
      </x:c>
      <x:c r="I287" s="7" t="str">
        <x:v>FD_E0_2526</x:v>
      </x:c>
      <x:c r="J287" s="7" t="str">
        <x:v>https://www.football-data.co.uk/mmz4281/2526/E0.csv</x:v>
      </x:c>
      <x:c r="K287" s="8" t="n">
        <x:v>46278.70306712963</x:v>
      </x:c>
      <x:c r="L287" s="7" t="str">
        <x:v>FT90</x:v>
      </x:c>
      <x:c r="M287" s="7" t="str">
        <x:v>CSV row 283</x:v>
      </x:c>
      <x:c r="N287" s="2" t="str">
        <x:f>IF(AND(A287&lt;&gt;"",ISNUMBER(D287)),B287&amp;"|"&amp;C287&amp;"|"&amp;TEXT(D287,"yyyymmdd")&amp;"|"&amp;E287&amp;"|"&amp;F287,"")</x:f>
        <x:v>E0|2025/26|20260303|Bournemouth|Brentford</x:v>
      </x:c>
      <x:c r="O287" s="2" t="str">
        <x:f>IF(A287="","",IFERROR(IF(NOT(AND(B287&lt;&gt;"",C287&lt;&gt;"",ISNUMBER(D287),D287&gt;0,E287&lt;&gt;"",F287&lt;&gt;"",E287&lt;&gt;F287,ISNUMBER(G287),ISNUMBER(H287),G287&gt;=0,H287&gt;=0,G287&lt;=100,H287&lt;=100,MOD(G287,1)=0,MOD(H287,1)=0,L287="FT90",S287&gt;0,INDEX(SourceTable[League],MAX(1,S287))=B287,INDEX(SourceTable[Season],MAX(1,S287))=C287,ISNUMBER(K287),K287=INDEX(SourceTable[Retrieved_UTC],MAX(1,S287)),J287&lt;&gt;"",M287&lt;&gt;"")),"INVALID",IF(OR(COUNTIFS('Istoric_Nativ'!$N$6:$N$405,N287,'Istoric_Nativ'!$G$6:$G$405,G287)&lt;&gt;COUNTIF('Istoric_Nativ'!$N$6:$N$405,N287),COUNTIFS('Istoric_Nativ'!$N$6:$N$405,N287,'Istoric_Nativ'!$H$6:$H$405,H287)&lt;&gt;COUNTIF('Istoric_Nativ'!$N$6:$N$405,N287)),"SOURCE CONFLICT",IF(COUNTIF($N$6:N287,N287)&gt;1,"DUPLICATE","VALID"))),"INVALID"))</x:f>
        <x:v>VALID</x:v>
      </x:c>
      <x:c r="P287" s="2" t="n">
        <x:f>IF(O287="VALID",1,0)</x:f>
        <x:v>1</x:v>
      </x:c>
      <x:c r="Q287" s="2" t="n">
        <x:f>IF(P287=1,G287+H287,0)</x:f>
        <x:v>7</x:v>
      </x:c>
      <x:c r="R287" s="2" t="n">
        <x:f>Q287^2</x:f>
        <x:v>49</x:v>
      </x:c>
      <x:c r="S287" s="2" t="n">
        <x:f>IF(A287="","",IFERROR(MATCH(I287,SourceTable[Source_ID],0),0))</x:f>
        <x:v>1</x:v>
      </x:c>
    </x:row>
    <x:row r="288" ht="21" customHeight="1">
      <x:c r="A288" s="7" t="str">
        <x:v>2362b59580db3619d323</x:v>
      </x:c>
      <x:c r="B288" s="7" t="str">
        <x:v>E0</x:v>
      </x:c>
      <x:c r="C288" s="7" t="str">
        <x:v>2025/26</x:v>
      </x:c>
      <x:c r="D288" s="8" t="n">
        <x:v>46084</x:v>
      </x:c>
      <x:c r="E288" s="7" t="str">
        <x:v>Everton</x:v>
      </x:c>
      <x:c r="F288" s="7" t="str">
        <x:v>Burnley</x:v>
      </x:c>
      <x:c r="G288" s="7" t="n">
        <x:v>6</x:v>
      </x:c>
      <x:c r="H288" s="7" t="n">
        <x:v>3</x:v>
      </x:c>
      <x:c r="I288" s="7" t="str">
        <x:v>FD_E0_2526</x:v>
      </x:c>
      <x:c r="J288" s="7" t="str">
        <x:v>https://www.football-data.co.uk/mmz4281/2526/E0.csv</x:v>
      </x:c>
      <x:c r="K288" s="8" t="n">
        <x:v>46278.70306712963</x:v>
      </x:c>
      <x:c r="L288" s="7" t="str">
        <x:v>FT90</x:v>
      </x:c>
      <x:c r="M288" s="7" t="str">
        <x:v>CSV row 284</x:v>
      </x:c>
      <x:c r="N288" s="2" t="str">
        <x:f>IF(AND(A288&lt;&gt;"",ISNUMBER(D288)),B288&amp;"|"&amp;C288&amp;"|"&amp;TEXT(D288,"yyyymmdd")&amp;"|"&amp;E288&amp;"|"&amp;F288,"")</x:f>
        <x:v>E0|2025/26|20260303|Everton|Burnley</x:v>
      </x:c>
      <x:c r="O288" s="2" t="str">
        <x:f>IF(A288="","",IFERROR(IF(NOT(AND(B288&lt;&gt;"",C288&lt;&gt;"",ISNUMBER(D288),D288&gt;0,E288&lt;&gt;"",F288&lt;&gt;"",E288&lt;&gt;F288,ISNUMBER(G288),ISNUMBER(H288),G288&gt;=0,H288&gt;=0,G288&lt;=100,H288&lt;=100,MOD(G288,1)=0,MOD(H288,1)=0,L288="FT90",S288&gt;0,INDEX(SourceTable[League],MAX(1,S288))=B288,INDEX(SourceTable[Season],MAX(1,S288))=C288,ISNUMBER(K288),K288=INDEX(SourceTable[Retrieved_UTC],MAX(1,S288)),J288&lt;&gt;"",M288&lt;&gt;"")),"INVALID",IF(OR(COUNTIFS('Istoric_Nativ'!$N$6:$N$405,N288,'Istoric_Nativ'!$G$6:$G$405,G288)&lt;&gt;COUNTIF('Istoric_Nativ'!$N$6:$N$405,N288),COUNTIFS('Istoric_Nativ'!$N$6:$N$405,N288,'Istoric_Nativ'!$H$6:$H$405,H288)&lt;&gt;COUNTIF('Istoric_Nativ'!$N$6:$N$405,N288)),"SOURCE CONFLICT",IF(COUNTIF($N$6:N288,N288)&gt;1,"DUPLICATE","VALID"))),"INVALID"))</x:f>
        <x:v>VALID</x:v>
      </x:c>
      <x:c r="P288" s="2" t="n">
        <x:f>IF(O288="VALID",1,0)</x:f>
        <x:v>1</x:v>
      </x:c>
      <x:c r="Q288" s="2" t="n">
        <x:f>IF(P288=1,G288+H288,0)</x:f>
        <x:v>9</x:v>
      </x:c>
      <x:c r="R288" s="2" t="n">
        <x:f>Q288^2</x:f>
        <x:v>81</x:v>
      </x:c>
      <x:c r="S288" s="2" t="n">
        <x:f>IF(A288="","",IFERROR(MATCH(I288,SourceTable[Source_ID],0),0))</x:f>
        <x:v>1</x:v>
      </x:c>
    </x:row>
    <x:row r="289" ht="21" customHeight="1">
      <x:c r="A289" s="7" t="str">
        <x:v>619187ec4674865f9c29</x:v>
      </x:c>
      <x:c r="B289" s="7" t="str">
        <x:v>E0</x:v>
      </x:c>
      <x:c r="C289" s="7" t="str">
        <x:v>2025/26</x:v>
      </x:c>
      <x:c r="D289" s="8" t="n">
        <x:v>46084</x:v>
      </x:c>
      <x:c r="E289" s="7" t="str">
        <x:v>Leeds</x:v>
      </x:c>
      <x:c r="F289" s="7" t="str">
        <x:v>Sunderland</x:v>
      </x:c>
      <x:c r="G289" s="7" t="n">
        <x:v>9</x:v>
      </x:c>
      <x:c r="H289" s="7" t="n">
        <x:v>2</x:v>
      </x:c>
      <x:c r="I289" s="7" t="str">
        <x:v>FD_E0_2526</x:v>
      </x:c>
      <x:c r="J289" s="7" t="str">
        <x:v>https://www.football-data.co.uk/mmz4281/2526/E0.csv</x:v>
      </x:c>
      <x:c r="K289" s="8" t="n">
        <x:v>46278.70306712963</x:v>
      </x:c>
      <x:c r="L289" s="7" t="str">
        <x:v>FT90</x:v>
      </x:c>
      <x:c r="M289" s="7" t="str">
        <x:v>CSV row 285</x:v>
      </x:c>
      <x:c r="N289" s="2" t="str">
        <x:f>IF(AND(A289&lt;&gt;"",ISNUMBER(D289)),B289&amp;"|"&amp;C289&amp;"|"&amp;TEXT(D289,"yyyymmdd")&amp;"|"&amp;E289&amp;"|"&amp;F289,"")</x:f>
        <x:v>E0|2025/26|20260303|Leeds|Sunderland</x:v>
      </x:c>
      <x:c r="O289" s="2" t="str">
        <x:f>IF(A289="","",IFERROR(IF(NOT(AND(B289&lt;&gt;"",C289&lt;&gt;"",ISNUMBER(D289),D289&gt;0,E289&lt;&gt;"",F289&lt;&gt;"",E289&lt;&gt;F289,ISNUMBER(G289),ISNUMBER(H289),G289&gt;=0,H289&gt;=0,G289&lt;=100,H289&lt;=100,MOD(G289,1)=0,MOD(H289,1)=0,L289="FT90",S289&gt;0,INDEX(SourceTable[League],MAX(1,S289))=B289,INDEX(SourceTable[Season],MAX(1,S289))=C289,ISNUMBER(K289),K289=INDEX(SourceTable[Retrieved_UTC],MAX(1,S289)),J289&lt;&gt;"",M289&lt;&gt;"")),"INVALID",IF(OR(COUNTIFS('Istoric_Nativ'!$N$6:$N$405,N289,'Istoric_Nativ'!$G$6:$G$405,G289)&lt;&gt;COUNTIF('Istoric_Nativ'!$N$6:$N$405,N289),COUNTIFS('Istoric_Nativ'!$N$6:$N$405,N289,'Istoric_Nativ'!$H$6:$H$405,H289)&lt;&gt;COUNTIF('Istoric_Nativ'!$N$6:$N$405,N289)),"SOURCE CONFLICT",IF(COUNTIF($N$6:N289,N289)&gt;1,"DUPLICATE","VALID"))),"INVALID"))</x:f>
        <x:v>VALID</x:v>
      </x:c>
      <x:c r="P289" s="2" t="n">
        <x:f>IF(O289="VALID",1,0)</x:f>
        <x:v>1</x:v>
      </x:c>
      <x:c r="Q289" s="2" t="n">
        <x:f>IF(P289=1,G289+H289,0)</x:f>
        <x:v>11</x:v>
      </x:c>
      <x:c r="R289" s="2" t="n">
        <x:f>Q289^2</x:f>
        <x:v>121</x:v>
      </x:c>
      <x:c r="S289" s="2" t="n">
        <x:f>IF(A289="","",IFERROR(MATCH(I289,SourceTable[Source_ID],0),0))</x:f>
        <x:v>1</x:v>
      </x:c>
    </x:row>
    <x:row r="290" ht="21" customHeight="1">
      <x:c r="A290" s="7" t="str">
        <x:v>50b038e6222059308da4</x:v>
      </x:c>
      <x:c r="B290" s="7" t="str">
        <x:v>E0</x:v>
      </x:c>
      <x:c r="C290" s="7" t="str">
        <x:v>2025/26</x:v>
      </x:c>
      <x:c r="D290" s="8" t="n">
        <x:v>46084</x:v>
      </x:c>
      <x:c r="E290" s="7" t="str">
        <x:v>Wolves</x:v>
      </x:c>
      <x:c r="F290" s="7" t="str">
        <x:v>Liverpool</x:v>
      </x:c>
      <x:c r="G290" s="7" t="n">
        <x:v>2</x:v>
      </x:c>
      <x:c r="H290" s="7" t="n">
        <x:v>11</x:v>
      </x:c>
      <x:c r="I290" s="7" t="str">
        <x:v>FD_E0_2526</x:v>
      </x:c>
      <x:c r="J290" s="7" t="str">
        <x:v>https://www.football-data.co.uk/mmz4281/2526/E0.csv</x:v>
      </x:c>
      <x:c r="K290" s="8" t="n">
        <x:v>46278.70306712963</x:v>
      </x:c>
      <x:c r="L290" s="7" t="str">
        <x:v>FT90</x:v>
      </x:c>
      <x:c r="M290" s="7" t="str">
        <x:v>CSV row 286</x:v>
      </x:c>
      <x:c r="N290" s="2" t="str">
        <x:f>IF(AND(A290&lt;&gt;"",ISNUMBER(D290)),B290&amp;"|"&amp;C290&amp;"|"&amp;TEXT(D290,"yyyymmdd")&amp;"|"&amp;E290&amp;"|"&amp;F290,"")</x:f>
        <x:v>E0|2025/26|20260303|Wolves|Liverpool</x:v>
      </x:c>
      <x:c r="O290" s="2" t="str">
        <x:f>IF(A290="","",IFERROR(IF(NOT(AND(B290&lt;&gt;"",C290&lt;&gt;"",ISNUMBER(D290),D290&gt;0,E290&lt;&gt;"",F290&lt;&gt;"",E290&lt;&gt;F290,ISNUMBER(G290),ISNUMBER(H290),G290&gt;=0,H290&gt;=0,G290&lt;=100,H290&lt;=100,MOD(G290,1)=0,MOD(H290,1)=0,L290="FT90",S290&gt;0,INDEX(SourceTable[League],MAX(1,S290))=B290,INDEX(SourceTable[Season],MAX(1,S290))=C290,ISNUMBER(K290),K290=INDEX(SourceTable[Retrieved_UTC],MAX(1,S290)),J290&lt;&gt;"",M290&lt;&gt;"")),"INVALID",IF(OR(COUNTIFS('Istoric_Nativ'!$N$6:$N$405,N290,'Istoric_Nativ'!$G$6:$G$405,G290)&lt;&gt;COUNTIF('Istoric_Nativ'!$N$6:$N$405,N290),COUNTIFS('Istoric_Nativ'!$N$6:$N$405,N290,'Istoric_Nativ'!$H$6:$H$405,H290)&lt;&gt;COUNTIF('Istoric_Nativ'!$N$6:$N$405,N290)),"SOURCE CONFLICT",IF(COUNTIF($N$6:N290,N290)&gt;1,"DUPLICATE","VALID"))),"INVALID"))</x:f>
        <x:v>VALID</x:v>
      </x:c>
      <x:c r="P290" s="2" t="n">
        <x:f>IF(O290="VALID",1,0)</x:f>
        <x:v>1</x:v>
      </x:c>
      <x:c r="Q290" s="2" t="n">
        <x:f>IF(P290=1,G290+H290,0)</x:f>
        <x:v>13</x:v>
      </x:c>
      <x:c r="R290" s="2" t="n">
        <x:f>Q290^2</x:f>
        <x:v>169</x:v>
      </x:c>
      <x:c r="S290" s="2" t="n">
        <x:f>IF(A290="","",IFERROR(MATCH(I290,SourceTable[Source_ID],0),0))</x:f>
        <x:v>1</x:v>
      </x:c>
    </x:row>
    <x:row r="291" ht="21" customHeight="1">
      <x:c r="A291" s="7" t="str">
        <x:v>43832cd6030f991360a7</x:v>
      </x:c>
      <x:c r="B291" s="7" t="str">
        <x:v>E0</x:v>
      </x:c>
      <x:c r="C291" s="7" t="str">
        <x:v>2025/26</x:v>
      </x:c>
      <x:c r="D291" s="8" t="n">
        <x:v>46085</x:v>
      </x:c>
      <x:c r="E291" s="7" t="str">
        <x:v>Aston Villa</x:v>
      </x:c>
      <x:c r="F291" s="7" t="str">
        <x:v>Chelsea</x:v>
      </x:c>
      <x:c r="G291" s="7" t="n">
        <x:v>3</x:v>
      </x:c>
      <x:c r="H291" s="7" t="n">
        <x:v>8</x:v>
      </x:c>
      <x:c r="I291" s="7" t="str">
        <x:v>FD_E0_2526</x:v>
      </x:c>
      <x:c r="J291" s="7" t="str">
        <x:v>https://www.football-data.co.uk/mmz4281/2526/E0.csv</x:v>
      </x:c>
      <x:c r="K291" s="8" t="n">
        <x:v>46278.70306712963</x:v>
      </x:c>
      <x:c r="L291" s="7" t="str">
        <x:v>FT90</x:v>
      </x:c>
      <x:c r="M291" s="7" t="str">
        <x:v>CSV row 287</x:v>
      </x:c>
      <x:c r="N291" s="2" t="str">
        <x:f>IF(AND(A291&lt;&gt;"",ISNUMBER(D291)),B291&amp;"|"&amp;C291&amp;"|"&amp;TEXT(D291,"yyyymmdd")&amp;"|"&amp;E291&amp;"|"&amp;F291,"")</x:f>
        <x:v>E0|2025/26|20260304|Aston Villa|Chelsea</x:v>
      </x:c>
      <x:c r="O291" s="2" t="str">
        <x:f>IF(A291="","",IFERROR(IF(NOT(AND(B291&lt;&gt;"",C291&lt;&gt;"",ISNUMBER(D291),D291&gt;0,E291&lt;&gt;"",F291&lt;&gt;"",E291&lt;&gt;F291,ISNUMBER(G291),ISNUMBER(H291),G291&gt;=0,H291&gt;=0,G291&lt;=100,H291&lt;=100,MOD(G291,1)=0,MOD(H291,1)=0,L291="FT90",S291&gt;0,INDEX(SourceTable[League],MAX(1,S291))=B291,INDEX(SourceTable[Season],MAX(1,S291))=C291,ISNUMBER(K291),K291=INDEX(SourceTable[Retrieved_UTC],MAX(1,S291)),J291&lt;&gt;"",M291&lt;&gt;"")),"INVALID",IF(OR(COUNTIFS('Istoric_Nativ'!$N$6:$N$405,N291,'Istoric_Nativ'!$G$6:$G$405,G291)&lt;&gt;COUNTIF('Istoric_Nativ'!$N$6:$N$405,N291),COUNTIFS('Istoric_Nativ'!$N$6:$N$405,N291,'Istoric_Nativ'!$H$6:$H$405,H291)&lt;&gt;COUNTIF('Istoric_Nativ'!$N$6:$N$405,N291)),"SOURCE CONFLICT",IF(COUNTIF($N$6:N291,N291)&gt;1,"DUPLICATE","VALID"))),"INVALID"))</x:f>
        <x:v>VALID</x:v>
      </x:c>
      <x:c r="P291" s="2" t="n">
        <x:f>IF(O291="VALID",1,0)</x:f>
        <x:v>1</x:v>
      </x:c>
      <x:c r="Q291" s="2" t="n">
        <x:f>IF(P291=1,G291+H291,0)</x:f>
        <x:v>11</x:v>
      </x:c>
      <x:c r="R291" s="2" t="n">
        <x:f>Q291^2</x:f>
        <x:v>121</x:v>
      </x:c>
      <x:c r="S291" s="2" t="n">
        <x:f>IF(A291="","",IFERROR(MATCH(I291,SourceTable[Source_ID],0),0))</x:f>
        <x:v>1</x:v>
      </x:c>
    </x:row>
    <x:row r="292" ht="21" customHeight="1">
      <x:c r="A292" s="7" t="str">
        <x:v>711c2a0ad813af545a13</x:v>
      </x:c>
      <x:c r="B292" s="7" t="str">
        <x:v>E0</x:v>
      </x:c>
      <x:c r="C292" s="7" t="str">
        <x:v>2025/26</x:v>
      </x:c>
      <x:c r="D292" s="8" t="n">
        <x:v>46085</x:v>
      </x:c>
      <x:c r="E292" s="7" t="str">
        <x:v>Brighton</x:v>
      </x:c>
      <x:c r="F292" s="7" t="str">
        <x:v>Arsenal</x:v>
      </x:c>
      <x:c r="G292" s="7" t="n">
        <x:v>4</x:v>
      </x:c>
      <x:c r="H292" s="7" t="n">
        <x:v>3</x:v>
      </x:c>
      <x:c r="I292" s="7" t="str">
        <x:v>FD_E0_2526</x:v>
      </x:c>
      <x:c r="J292" s="7" t="str">
        <x:v>https://www.football-data.co.uk/mmz4281/2526/E0.csv</x:v>
      </x:c>
      <x:c r="K292" s="8" t="n">
        <x:v>46278.70306712963</x:v>
      </x:c>
      <x:c r="L292" s="7" t="str">
        <x:v>FT90</x:v>
      </x:c>
      <x:c r="M292" s="7" t="str">
        <x:v>CSV row 288</x:v>
      </x:c>
      <x:c r="N292" s="2" t="str">
        <x:f>IF(AND(A292&lt;&gt;"",ISNUMBER(D292)),B292&amp;"|"&amp;C292&amp;"|"&amp;TEXT(D292,"yyyymmdd")&amp;"|"&amp;E292&amp;"|"&amp;F292,"")</x:f>
        <x:v>E0|2025/26|20260304|Brighton|Arsenal</x:v>
      </x:c>
      <x:c r="O292" s="2" t="str">
        <x:f>IF(A292="","",IFERROR(IF(NOT(AND(B292&lt;&gt;"",C292&lt;&gt;"",ISNUMBER(D292),D292&gt;0,E292&lt;&gt;"",F292&lt;&gt;"",E292&lt;&gt;F292,ISNUMBER(G292),ISNUMBER(H292),G292&gt;=0,H292&gt;=0,G292&lt;=100,H292&lt;=100,MOD(G292,1)=0,MOD(H292,1)=0,L292="FT90",S292&gt;0,INDEX(SourceTable[League],MAX(1,S292))=B292,INDEX(SourceTable[Season],MAX(1,S292))=C292,ISNUMBER(K292),K292=INDEX(SourceTable[Retrieved_UTC],MAX(1,S292)),J292&lt;&gt;"",M292&lt;&gt;"")),"INVALID",IF(OR(COUNTIFS('Istoric_Nativ'!$N$6:$N$405,N292,'Istoric_Nativ'!$G$6:$G$405,G292)&lt;&gt;COUNTIF('Istoric_Nativ'!$N$6:$N$405,N292),COUNTIFS('Istoric_Nativ'!$N$6:$N$405,N292,'Istoric_Nativ'!$H$6:$H$405,H292)&lt;&gt;COUNTIF('Istoric_Nativ'!$N$6:$N$405,N292)),"SOURCE CONFLICT",IF(COUNTIF($N$6:N292,N292)&gt;1,"DUPLICATE","VALID"))),"INVALID"))</x:f>
        <x:v>VALID</x:v>
      </x:c>
      <x:c r="P292" s="2" t="n">
        <x:f>IF(O292="VALID",1,0)</x:f>
        <x:v>1</x:v>
      </x:c>
      <x:c r="Q292" s="2" t="n">
        <x:f>IF(P292=1,G292+H292,0)</x:f>
        <x:v>7</x:v>
      </x:c>
      <x:c r="R292" s="2" t="n">
        <x:f>Q292^2</x:f>
        <x:v>49</x:v>
      </x:c>
      <x:c r="S292" s="2" t="n">
        <x:f>IF(A292="","",IFERROR(MATCH(I292,SourceTable[Source_ID],0),0))</x:f>
        <x:v>1</x:v>
      </x:c>
    </x:row>
    <x:row r="293" ht="21" customHeight="1">
      <x:c r="A293" s="7" t="str">
        <x:v>0bc7a7a32966d5647ff6</x:v>
      </x:c>
      <x:c r="B293" s="7" t="str">
        <x:v>E0</x:v>
      </x:c>
      <x:c r="C293" s="7" t="str">
        <x:v>2025/26</x:v>
      </x:c>
      <x:c r="D293" s="8" t="n">
        <x:v>46085</x:v>
      </x:c>
      <x:c r="E293" s="7" t="str">
        <x:v>Fulham</x:v>
      </x:c>
      <x:c r="F293" s="7" t="str">
        <x:v>West Ham</x:v>
      </x:c>
      <x:c r="G293" s="7" t="n">
        <x:v>7</x:v>
      </x:c>
      <x:c r="H293" s="7" t="n">
        <x:v>5</x:v>
      </x:c>
      <x:c r="I293" s="7" t="str">
        <x:v>FD_E0_2526</x:v>
      </x:c>
      <x:c r="J293" s="7" t="str">
        <x:v>https://www.football-data.co.uk/mmz4281/2526/E0.csv</x:v>
      </x:c>
      <x:c r="K293" s="8" t="n">
        <x:v>46278.70306712963</x:v>
      </x:c>
      <x:c r="L293" s="7" t="str">
        <x:v>FT90</x:v>
      </x:c>
      <x:c r="M293" s="7" t="str">
        <x:v>CSV row 289</x:v>
      </x:c>
      <x:c r="N293" s="2" t="str">
        <x:f>IF(AND(A293&lt;&gt;"",ISNUMBER(D293)),B293&amp;"|"&amp;C293&amp;"|"&amp;TEXT(D293,"yyyymmdd")&amp;"|"&amp;E293&amp;"|"&amp;F293,"")</x:f>
        <x:v>E0|2025/26|20260304|Fulham|West Ham</x:v>
      </x:c>
      <x:c r="O293" s="2" t="str">
        <x:f>IF(A293="","",IFERROR(IF(NOT(AND(B293&lt;&gt;"",C293&lt;&gt;"",ISNUMBER(D293),D293&gt;0,E293&lt;&gt;"",F293&lt;&gt;"",E293&lt;&gt;F293,ISNUMBER(G293),ISNUMBER(H293),G293&gt;=0,H293&gt;=0,G293&lt;=100,H293&lt;=100,MOD(G293,1)=0,MOD(H293,1)=0,L293="FT90",S293&gt;0,INDEX(SourceTable[League],MAX(1,S293))=B293,INDEX(SourceTable[Season],MAX(1,S293))=C293,ISNUMBER(K293),K293=INDEX(SourceTable[Retrieved_UTC],MAX(1,S293)),J293&lt;&gt;"",M293&lt;&gt;"")),"INVALID",IF(OR(COUNTIFS('Istoric_Nativ'!$N$6:$N$405,N293,'Istoric_Nativ'!$G$6:$G$405,G293)&lt;&gt;COUNTIF('Istoric_Nativ'!$N$6:$N$405,N293),COUNTIFS('Istoric_Nativ'!$N$6:$N$405,N293,'Istoric_Nativ'!$H$6:$H$405,H293)&lt;&gt;COUNTIF('Istoric_Nativ'!$N$6:$N$405,N293)),"SOURCE CONFLICT",IF(COUNTIF($N$6:N293,N293)&gt;1,"DUPLICATE","VALID"))),"INVALID"))</x:f>
        <x:v>VALID</x:v>
      </x:c>
      <x:c r="P293" s="2" t="n">
        <x:f>IF(O293="VALID",1,0)</x:f>
        <x:v>1</x:v>
      </x:c>
      <x:c r="Q293" s="2" t="n">
        <x:f>IF(P293=1,G293+H293,0)</x:f>
        <x:v>12</x:v>
      </x:c>
      <x:c r="R293" s="2" t="n">
        <x:f>Q293^2</x:f>
        <x:v>144</x:v>
      </x:c>
      <x:c r="S293" s="2" t="n">
        <x:f>IF(A293="","",IFERROR(MATCH(I293,SourceTable[Source_ID],0),0))</x:f>
        <x:v>1</x:v>
      </x:c>
    </x:row>
    <x:row r="294" ht="21" customHeight="1">
      <x:c r="A294" s="7" t="str">
        <x:v>9ea0a35880038c0fda54</x:v>
      </x:c>
      <x:c r="B294" s="7" t="str">
        <x:v>E0</x:v>
      </x:c>
      <x:c r="C294" s="7" t="str">
        <x:v>2025/26</x:v>
      </x:c>
      <x:c r="D294" s="8" t="n">
        <x:v>46085</x:v>
      </x:c>
      <x:c r="E294" s="7" t="str">
        <x:v>Man City</x:v>
      </x:c>
      <x:c r="F294" s="7" t="str">
        <x:v>Nott'm Forest</x:v>
      </x:c>
      <x:c r="G294" s="7" t="n">
        <x:v>6</x:v>
      </x:c>
      <x:c r="H294" s="7" t="n">
        <x:v>1</x:v>
      </x:c>
      <x:c r="I294" s="7" t="str">
        <x:v>FD_E0_2526</x:v>
      </x:c>
      <x:c r="J294" s="7" t="str">
        <x:v>https://www.football-data.co.uk/mmz4281/2526/E0.csv</x:v>
      </x:c>
      <x:c r="K294" s="8" t="n">
        <x:v>46278.70306712963</x:v>
      </x:c>
      <x:c r="L294" s="7" t="str">
        <x:v>FT90</x:v>
      </x:c>
      <x:c r="M294" s="7" t="str">
        <x:v>CSV row 290</x:v>
      </x:c>
      <x:c r="N294" s="2" t="str">
        <x:f>IF(AND(A294&lt;&gt;"",ISNUMBER(D294)),B294&amp;"|"&amp;C294&amp;"|"&amp;TEXT(D294,"yyyymmdd")&amp;"|"&amp;E294&amp;"|"&amp;F294,"")</x:f>
        <x:v>E0|2025/26|20260304|Man City|Nott'm Forest</x:v>
      </x:c>
      <x:c r="O294" s="2" t="str">
        <x:f>IF(A294="","",IFERROR(IF(NOT(AND(B294&lt;&gt;"",C294&lt;&gt;"",ISNUMBER(D294),D294&gt;0,E294&lt;&gt;"",F294&lt;&gt;"",E294&lt;&gt;F294,ISNUMBER(G294),ISNUMBER(H294),G294&gt;=0,H294&gt;=0,G294&lt;=100,H294&lt;=100,MOD(G294,1)=0,MOD(H294,1)=0,L294="FT90",S294&gt;0,INDEX(SourceTable[League],MAX(1,S294))=B294,INDEX(SourceTable[Season],MAX(1,S294))=C294,ISNUMBER(K294),K294=INDEX(SourceTable[Retrieved_UTC],MAX(1,S294)),J294&lt;&gt;"",M294&lt;&gt;"")),"INVALID",IF(OR(COUNTIFS('Istoric_Nativ'!$N$6:$N$405,N294,'Istoric_Nativ'!$G$6:$G$405,G294)&lt;&gt;COUNTIF('Istoric_Nativ'!$N$6:$N$405,N294),COUNTIFS('Istoric_Nativ'!$N$6:$N$405,N294,'Istoric_Nativ'!$H$6:$H$405,H294)&lt;&gt;COUNTIF('Istoric_Nativ'!$N$6:$N$405,N294)),"SOURCE CONFLICT",IF(COUNTIF($N$6:N294,N294)&gt;1,"DUPLICATE","VALID"))),"INVALID"))</x:f>
        <x:v>VALID</x:v>
      </x:c>
      <x:c r="P294" s="2" t="n">
        <x:f>IF(O294="VALID",1,0)</x:f>
        <x:v>1</x:v>
      </x:c>
      <x:c r="Q294" s="2" t="n">
        <x:f>IF(P294=1,G294+H294,0)</x:f>
        <x:v>7</x:v>
      </x:c>
      <x:c r="R294" s="2" t="n">
        <x:f>Q294^2</x:f>
        <x:v>49</x:v>
      </x:c>
      <x:c r="S294" s="2" t="n">
        <x:f>IF(A294="","",IFERROR(MATCH(I294,SourceTable[Source_ID],0),0))</x:f>
        <x:v>1</x:v>
      </x:c>
    </x:row>
    <x:row r="295" ht="21" customHeight="1">
      <x:c r="A295" s="7" t="str">
        <x:v>67e97c47d2db580de1ab</x:v>
      </x:c>
      <x:c r="B295" s="7" t="str">
        <x:v>E0</x:v>
      </x:c>
      <x:c r="C295" s="7" t="str">
        <x:v>2025/26</x:v>
      </x:c>
      <x:c r="D295" s="8" t="n">
        <x:v>46085</x:v>
      </x:c>
      <x:c r="E295" s="7" t="str">
        <x:v>Newcastle</x:v>
      </x:c>
      <x:c r="F295" s="7" t="str">
        <x:v>Man United</x:v>
      </x:c>
      <x:c r="G295" s="7" t="n">
        <x:v>2</x:v>
      </x:c>
      <x:c r="H295" s="7" t="n">
        <x:v>4</x:v>
      </x:c>
      <x:c r="I295" s="7" t="str">
        <x:v>FD_E0_2526</x:v>
      </x:c>
      <x:c r="J295" s="7" t="str">
        <x:v>https://www.football-data.co.uk/mmz4281/2526/E0.csv</x:v>
      </x:c>
      <x:c r="K295" s="8" t="n">
        <x:v>46278.70306712963</x:v>
      </x:c>
      <x:c r="L295" s="7" t="str">
        <x:v>FT90</x:v>
      </x:c>
      <x:c r="M295" s="7" t="str">
        <x:v>CSV row 291</x:v>
      </x:c>
      <x:c r="N295" s="2" t="str">
        <x:f>IF(AND(A295&lt;&gt;"",ISNUMBER(D295)),B295&amp;"|"&amp;C295&amp;"|"&amp;TEXT(D295,"yyyymmdd")&amp;"|"&amp;E295&amp;"|"&amp;F295,"")</x:f>
        <x:v>E0|2025/26|20260304|Newcastle|Man United</x:v>
      </x:c>
      <x:c r="O295" s="2" t="str">
        <x:f>IF(A295="","",IFERROR(IF(NOT(AND(B295&lt;&gt;"",C295&lt;&gt;"",ISNUMBER(D295),D295&gt;0,E295&lt;&gt;"",F295&lt;&gt;"",E295&lt;&gt;F295,ISNUMBER(G295),ISNUMBER(H295),G295&gt;=0,H295&gt;=0,G295&lt;=100,H295&lt;=100,MOD(G295,1)=0,MOD(H295,1)=0,L295="FT90",S295&gt;0,INDEX(SourceTable[League],MAX(1,S295))=B295,INDEX(SourceTable[Season],MAX(1,S295))=C295,ISNUMBER(K295),K295=INDEX(SourceTable[Retrieved_UTC],MAX(1,S295)),J295&lt;&gt;"",M295&lt;&gt;"")),"INVALID",IF(OR(COUNTIFS('Istoric_Nativ'!$N$6:$N$405,N295,'Istoric_Nativ'!$G$6:$G$405,G295)&lt;&gt;COUNTIF('Istoric_Nativ'!$N$6:$N$405,N295),COUNTIFS('Istoric_Nativ'!$N$6:$N$405,N295,'Istoric_Nativ'!$H$6:$H$405,H295)&lt;&gt;COUNTIF('Istoric_Nativ'!$N$6:$N$405,N295)),"SOURCE CONFLICT",IF(COUNTIF($N$6:N295,N295)&gt;1,"DUPLICATE","VALID"))),"INVALID"))</x:f>
        <x:v>VALID</x:v>
      </x:c>
      <x:c r="P295" s="2" t="n">
        <x:f>IF(O295="VALID",1,0)</x:f>
        <x:v>1</x:v>
      </x:c>
      <x:c r="Q295" s="2" t="n">
        <x:f>IF(P295=1,G295+H295,0)</x:f>
        <x:v>6</x:v>
      </x:c>
      <x:c r="R295" s="2" t="n">
        <x:f>Q295^2</x:f>
        <x:v>36</x:v>
      </x:c>
      <x:c r="S295" s="2" t="n">
        <x:f>IF(A295="","",IFERROR(MATCH(I295,SourceTable[Source_ID],0),0))</x:f>
        <x:v>1</x:v>
      </x:c>
    </x:row>
    <x:row r="296" ht="21" customHeight="1">
      <x:c r="A296" s="7" t="str">
        <x:v>db1c3f17e4a61c9df224</x:v>
      </x:c>
      <x:c r="B296" s="7" t="str">
        <x:v>E0</x:v>
      </x:c>
      <x:c r="C296" s="7" t="str">
        <x:v>2025/26</x:v>
      </x:c>
      <x:c r="D296" s="8" t="n">
        <x:v>46086</x:v>
      </x:c>
      <x:c r="E296" s="7" t="str">
        <x:v>Tottenham</x:v>
      </x:c>
      <x:c r="F296" s="7" t="str">
        <x:v>Crystal Palace</x:v>
      </x:c>
      <x:c r="G296" s="7" t="n">
        <x:v>6</x:v>
      </x:c>
      <x:c r="H296" s="7" t="n">
        <x:v>3</x:v>
      </x:c>
      <x:c r="I296" s="7" t="str">
        <x:v>FD_E0_2526</x:v>
      </x:c>
      <x:c r="J296" s="7" t="str">
        <x:v>https://www.football-data.co.uk/mmz4281/2526/E0.csv</x:v>
      </x:c>
      <x:c r="K296" s="8" t="n">
        <x:v>46278.70306712963</x:v>
      </x:c>
      <x:c r="L296" s="7" t="str">
        <x:v>FT90</x:v>
      </x:c>
      <x:c r="M296" s="7" t="str">
        <x:v>CSV row 292</x:v>
      </x:c>
      <x:c r="N296" s="2" t="str">
        <x:f>IF(AND(A296&lt;&gt;"",ISNUMBER(D296)),B296&amp;"|"&amp;C296&amp;"|"&amp;TEXT(D296,"yyyymmdd")&amp;"|"&amp;E296&amp;"|"&amp;F296,"")</x:f>
        <x:v>E0|2025/26|20260305|Tottenham|Crystal Palace</x:v>
      </x:c>
      <x:c r="O296" s="2" t="str">
        <x:f>IF(A296="","",IFERROR(IF(NOT(AND(B296&lt;&gt;"",C296&lt;&gt;"",ISNUMBER(D296),D296&gt;0,E296&lt;&gt;"",F296&lt;&gt;"",E296&lt;&gt;F296,ISNUMBER(G296),ISNUMBER(H296),G296&gt;=0,H296&gt;=0,G296&lt;=100,H296&lt;=100,MOD(G296,1)=0,MOD(H296,1)=0,L296="FT90",S296&gt;0,INDEX(SourceTable[League],MAX(1,S296))=B296,INDEX(SourceTable[Season],MAX(1,S296))=C296,ISNUMBER(K296),K296=INDEX(SourceTable[Retrieved_UTC],MAX(1,S296)),J296&lt;&gt;"",M296&lt;&gt;"")),"INVALID",IF(OR(COUNTIFS('Istoric_Nativ'!$N$6:$N$405,N296,'Istoric_Nativ'!$G$6:$G$405,G296)&lt;&gt;COUNTIF('Istoric_Nativ'!$N$6:$N$405,N296),COUNTIFS('Istoric_Nativ'!$N$6:$N$405,N296,'Istoric_Nativ'!$H$6:$H$405,H296)&lt;&gt;COUNTIF('Istoric_Nativ'!$N$6:$N$405,N296)),"SOURCE CONFLICT",IF(COUNTIF($N$6:N296,N296)&gt;1,"DUPLICATE","VALID"))),"INVALID"))</x:f>
        <x:v>VALID</x:v>
      </x:c>
      <x:c r="P296" s="2" t="n">
        <x:f>IF(O296="VALID",1,0)</x:f>
        <x:v>1</x:v>
      </x:c>
      <x:c r="Q296" s="2" t="n">
        <x:f>IF(P296=1,G296+H296,0)</x:f>
        <x:v>9</x:v>
      </x:c>
      <x:c r="R296" s="2" t="n">
        <x:f>Q296^2</x:f>
        <x:v>81</x:v>
      </x:c>
      <x:c r="S296" s="2" t="n">
        <x:f>IF(A296="","",IFERROR(MATCH(I296,SourceTable[Source_ID],0),0))</x:f>
        <x:v>1</x:v>
      </x:c>
    </x:row>
    <x:row r="297" ht="21" customHeight="1">
      <x:c r="A297" s="7" t="str">
        <x:v>4b7ed26190e2043c2338</x:v>
      </x:c>
      <x:c r="B297" s="7" t="str">
        <x:v>E0</x:v>
      </x:c>
      <x:c r="C297" s="7" t="str">
        <x:v>2025/26</x:v>
      </x:c>
      <x:c r="D297" s="8" t="n">
        <x:v>46095</x:v>
      </x:c>
      <x:c r="E297" s="7" t="str">
        <x:v>Arsenal</x:v>
      </x:c>
      <x:c r="F297" s="7" t="str">
        <x:v>Everton</x:v>
      </x:c>
      <x:c r="G297" s="7" t="n">
        <x:v>8</x:v>
      </x:c>
      <x:c r="H297" s="7" t="n">
        <x:v>3</x:v>
      </x:c>
      <x:c r="I297" s="7" t="str">
        <x:v>FD_E0_2526</x:v>
      </x:c>
      <x:c r="J297" s="7" t="str">
        <x:v>https://www.football-data.co.uk/mmz4281/2526/E0.csv</x:v>
      </x:c>
      <x:c r="K297" s="8" t="n">
        <x:v>46278.70306712963</x:v>
      </x:c>
      <x:c r="L297" s="7" t="str">
        <x:v>FT90</x:v>
      </x:c>
      <x:c r="M297" s="7" t="str">
        <x:v>CSV row 295</x:v>
      </x:c>
      <x:c r="N297" s="2" t="str">
        <x:f>IF(AND(A297&lt;&gt;"",ISNUMBER(D297)),B297&amp;"|"&amp;C297&amp;"|"&amp;TEXT(D297,"yyyymmdd")&amp;"|"&amp;E297&amp;"|"&amp;F297,"")</x:f>
        <x:v>E0|2025/26|20260314|Arsenal|Everton</x:v>
      </x:c>
      <x:c r="O297" s="2" t="str">
        <x:f>IF(A297="","",IFERROR(IF(NOT(AND(B297&lt;&gt;"",C297&lt;&gt;"",ISNUMBER(D297),D297&gt;0,E297&lt;&gt;"",F297&lt;&gt;"",E297&lt;&gt;F297,ISNUMBER(G297),ISNUMBER(H297),G297&gt;=0,H297&gt;=0,G297&lt;=100,H297&lt;=100,MOD(G297,1)=0,MOD(H297,1)=0,L297="FT90",S297&gt;0,INDEX(SourceTable[League],MAX(1,S297))=B297,INDEX(SourceTable[Season],MAX(1,S297))=C297,ISNUMBER(K297),K297=INDEX(SourceTable[Retrieved_UTC],MAX(1,S297)),J297&lt;&gt;"",M297&lt;&gt;"")),"INVALID",IF(OR(COUNTIFS('Istoric_Nativ'!$N$6:$N$405,N297,'Istoric_Nativ'!$G$6:$G$405,G297)&lt;&gt;COUNTIF('Istoric_Nativ'!$N$6:$N$405,N297),COUNTIFS('Istoric_Nativ'!$N$6:$N$405,N297,'Istoric_Nativ'!$H$6:$H$405,H297)&lt;&gt;COUNTIF('Istoric_Nativ'!$N$6:$N$405,N297)),"SOURCE CONFLICT",IF(COUNTIF($N$6:N297,N297)&gt;1,"DUPLICATE","VALID"))),"INVALID"))</x:f>
        <x:v>VALID</x:v>
      </x:c>
      <x:c r="P297" s="2" t="n">
        <x:f>IF(O297="VALID",1,0)</x:f>
        <x:v>1</x:v>
      </x:c>
      <x:c r="Q297" s="2" t="n">
        <x:f>IF(P297=1,G297+H297,0)</x:f>
        <x:v>11</x:v>
      </x:c>
      <x:c r="R297" s="2" t="n">
        <x:f>Q297^2</x:f>
        <x:v>121</x:v>
      </x:c>
      <x:c r="S297" s="2" t="n">
        <x:f>IF(A297="","",IFERROR(MATCH(I297,SourceTable[Source_ID],0),0))</x:f>
        <x:v>1</x:v>
      </x:c>
    </x:row>
    <x:row r="298" ht="21" customHeight="1">
      <x:c r="A298" s="7" t="str">
        <x:v>fd8583779b5143399b47</x:v>
      </x:c>
      <x:c r="B298" s="7" t="str">
        <x:v>E0</x:v>
      </x:c>
      <x:c r="C298" s="7" t="str">
        <x:v>2025/26</x:v>
      </x:c>
      <x:c r="D298" s="8" t="n">
        <x:v>46095</x:v>
      </x:c>
      <x:c r="E298" s="7" t="str">
        <x:v>Burnley</x:v>
      </x:c>
      <x:c r="F298" s="7" t="str">
        <x:v>Bournemouth</x:v>
      </x:c>
      <x:c r="G298" s="7" t="n">
        <x:v>5</x:v>
      </x:c>
      <x:c r="H298" s="7" t="n">
        <x:v>8</x:v>
      </x:c>
      <x:c r="I298" s="7" t="str">
        <x:v>FD_E0_2526</x:v>
      </x:c>
      <x:c r="J298" s="7" t="str">
        <x:v>https://www.football-data.co.uk/mmz4281/2526/E0.csv</x:v>
      </x:c>
      <x:c r="K298" s="8" t="n">
        <x:v>46278.70306712963</x:v>
      </x:c>
      <x:c r="L298" s="7" t="str">
        <x:v>FT90</x:v>
      </x:c>
      <x:c r="M298" s="7" t="str">
        <x:v>CSV row 293</x:v>
      </x:c>
      <x:c r="N298" s="2" t="str">
        <x:f>IF(AND(A298&lt;&gt;"",ISNUMBER(D298)),B298&amp;"|"&amp;C298&amp;"|"&amp;TEXT(D298,"yyyymmdd")&amp;"|"&amp;E298&amp;"|"&amp;F298,"")</x:f>
        <x:v>E0|2025/26|20260314|Burnley|Bournemouth</x:v>
      </x:c>
      <x:c r="O298" s="2" t="str">
        <x:f>IF(A298="","",IFERROR(IF(NOT(AND(B298&lt;&gt;"",C298&lt;&gt;"",ISNUMBER(D298),D298&gt;0,E298&lt;&gt;"",F298&lt;&gt;"",E298&lt;&gt;F298,ISNUMBER(G298),ISNUMBER(H298),G298&gt;=0,H298&gt;=0,G298&lt;=100,H298&lt;=100,MOD(G298,1)=0,MOD(H298,1)=0,L298="FT90",S298&gt;0,INDEX(SourceTable[League],MAX(1,S298))=B298,INDEX(SourceTable[Season],MAX(1,S298))=C298,ISNUMBER(K298),K298=INDEX(SourceTable[Retrieved_UTC],MAX(1,S298)),J298&lt;&gt;"",M298&lt;&gt;"")),"INVALID",IF(OR(COUNTIFS('Istoric_Nativ'!$N$6:$N$405,N298,'Istoric_Nativ'!$G$6:$G$405,G298)&lt;&gt;COUNTIF('Istoric_Nativ'!$N$6:$N$405,N298),COUNTIFS('Istoric_Nativ'!$N$6:$N$405,N298,'Istoric_Nativ'!$H$6:$H$405,H298)&lt;&gt;COUNTIF('Istoric_Nativ'!$N$6:$N$405,N298)),"SOURCE CONFLICT",IF(COUNTIF($N$6:N298,N298)&gt;1,"DUPLICATE","VALID"))),"INVALID"))</x:f>
        <x:v>VALID</x:v>
      </x:c>
      <x:c r="P298" s="2" t="n">
        <x:f>IF(O298="VALID",1,0)</x:f>
        <x:v>1</x:v>
      </x:c>
      <x:c r="Q298" s="2" t="n">
        <x:f>IF(P298=1,G298+H298,0)</x:f>
        <x:v>13</x:v>
      </x:c>
      <x:c r="R298" s="2" t="n">
        <x:f>Q298^2</x:f>
        <x:v>169</x:v>
      </x:c>
      <x:c r="S298" s="2" t="n">
        <x:f>IF(A298="","",IFERROR(MATCH(I298,SourceTable[Source_ID],0),0))</x:f>
        <x:v>1</x:v>
      </x:c>
    </x:row>
    <x:row r="299" ht="21" customHeight="1">
      <x:c r="A299" s="7" t="str">
        <x:v>594aaf83a72bc1563d5e</x:v>
      </x:c>
      <x:c r="B299" s="7" t="str">
        <x:v>E0</x:v>
      </x:c>
      <x:c r="C299" s="7" t="str">
        <x:v>2025/26</x:v>
      </x:c>
      <x:c r="D299" s="8" t="n">
        <x:v>46095</x:v>
      </x:c>
      <x:c r="E299" s="7" t="str">
        <x:v>Chelsea</x:v>
      </x:c>
      <x:c r="F299" s="7" t="str">
        <x:v>Newcastle</x:v>
      </x:c>
      <x:c r="G299" s="7" t="n">
        <x:v>8</x:v>
      </x:c>
      <x:c r="H299" s="7" t="n">
        <x:v>1</x:v>
      </x:c>
      <x:c r="I299" s="7" t="str">
        <x:v>FD_E0_2526</x:v>
      </x:c>
      <x:c r="J299" s="7" t="str">
        <x:v>https://www.football-data.co.uk/mmz4281/2526/E0.csv</x:v>
      </x:c>
      <x:c r="K299" s="8" t="n">
        <x:v>46278.70306712963</x:v>
      </x:c>
      <x:c r="L299" s="7" t="str">
        <x:v>FT90</x:v>
      </x:c>
      <x:c r="M299" s="7" t="str">
        <x:v>CSV row 296</x:v>
      </x:c>
      <x:c r="N299" s="2" t="str">
        <x:f>IF(AND(A299&lt;&gt;"",ISNUMBER(D299)),B299&amp;"|"&amp;C299&amp;"|"&amp;TEXT(D299,"yyyymmdd")&amp;"|"&amp;E299&amp;"|"&amp;F299,"")</x:f>
        <x:v>E0|2025/26|20260314|Chelsea|Newcastle</x:v>
      </x:c>
      <x:c r="O299" s="2" t="str">
        <x:f>IF(A299="","",IFERROR(IF(NOT(AND(B299&lt;&gt;"",C299&lt;&gt;"",ISNUMBER(D299),D299&gt;0,E299&lt;&gt;"",F299&lt;&gt;"",E299&lt;&gt;F299,ISNUMBER(G299),ISNUMBER(H299),G299&gt;=0,H299&gt;=0,G299&lt;=100,H299&lt;=100,MOD(G299,1)=0,MOD(H299,1)=0,L299="FT90",S299&gt;0,INDEX(SourceTable[League],MAX(1,S299))=B299,INDEX(SourceTable[Season],MAX(1,S299))=C299,ISNUMBER(K299),K299=INDEX(SourceTable[Retrieved_UTC],MAX(1,S299)),J299&lt;&gt;"",M299&lt;&gt;"")),"INVALID",IF(OR(COUNTIFS('Istoric_Nativ'!$N$6:$N$405,N299,'Istoric_Nativ'!$G$6:$G$405,G299)&lt;&gt;COUNTIF('Istoric_Nativ'!$N$6:$N$405,N299),COUNTIFS('Istoric_Nativ'!$N$6:$N$405,N299,'Istoric_Nativ'!$H$6:$H$405,H299)&lt;&gt;COUNTIF('Istoric_Nativ'!$N$6:$N$405,N299)),"SOURCE CONFLICT",IF(COUNTIF($N$6:N299,N299)&gt;1,"DUPLICATE","VALID"))),"INVALID"))</x:f>
        <x:v>VALID</x:v>
      </x:c>
      <x:c r="P299" s="2" t="n">
        <x:f>IF(O299="VALID",1,0)</x:f>
        <x:v>1</x:v>
      </x:c>
      <x:c r="Q299" s="2" t="n">
        <x:f>IF(P299=1,G299+H299,0)</x:f>
        <x:v>9</x:v>
      </x:c>
      <x:c r="R299" s="2" t="n">
        <x:f>Q299^2</x:f>
        <x:v>81</x:v>
      </x:c>
      <x:c r="S299" s="2" t="n">
        <x:f>IF(A299="","",IFERROR(MATCH(I299,SourceTable[Source_ID],0),0))</x:f>
        <x:v>1</x:v>
      </x:c>
    </x:row>
    <x:row r="300" ht="21" customHeight="1">
      <x:c r="A300" s="7" t="str">
        <x:v>fcfe406f607555573457</x:v>
      </x:c>
      <x:c r="B300" s="7" t="str">
        <x:v>E0</x:v>
      </x:c>
      <x:c r="C300" s="7" t="str">
        <x:v>2025/26</x:v>
      </x:c>
      <x:c r="D300" s="8" t="n">
        <x:v>46095</x:v>
      </x:c>
      <x:c r="E300" s="7" t="str">
        <x:v>Sunderland</x:v>
      </x:c>
      <x:c r="F300" s="7" t="str">
        <x:v>Brighton</x:v>
      </x:c>
      <x:c r="G300" s="7" t="n">
        <x:v>7</x:v>
      </x:c>
      <x:c r="H300" s="7" t="n">
        <x:v>3</x:v>
      </x:c>
      <x:c r="I300" s="7" t="str">
        <x:v>FD_E0_2526</x:v>
      </x:c>
      <x:c r="J300" s="7" t="str">
        <x:v>https://www.football-data.co.uk/mmz4281/2526/E0.csv</x:v>
      </x:c>
      <x:c r="K300" s="8" t="n">
        <x:v>46278.70306712963</x:v>
      </x:c>
      <x:c r="L300" s="7" t="str">
        <x:v>FT90</x:v>
      </x:c>
      <x:c r="M300" s="7" t="str">
        <x:v>CSV row 294</x:v>
      </x:c>
      <x:c r="N300" s="2" t="str">
        <x:f>IF(AND(A300&lt;&gt;"",ISNUMBER(D300)),B300&amp;"|"&amp;C300&amp;"|"&amp;TEXT(D300,"yyyymmdd")&amp;"|"&amp;E300&amp;"|"&amp;F300,"")</x:f>
        <x:v>E0|2025/26|20260314|Sunderland|Brighton</x:v>
      </x:c>
      <x:c r="O300" s="2" t="str">
        <x:f>IF(A300="","",IFERROR(IF(NOT(AND(B300&lt;&gt;"",C300&lt;&gt;"",ISNUMBER(D300),D300&gt;0,E300&lt;&gt;"",F300&lt;&gt;"",E300&lt;&gt;F300,ISNUMBER(G300),ISNUMBER(H300),G300&gt;=0,H300&gt;=0,G300&lt;=100,H300&lt;=100,MOD(G300,1)=0,MOD(H300,1)=0,L300="FT90",S300&gt;0,INDEX(SourceTable[League],MAX(1,S300))=B300,INDEX(SourceTable[Season],MAX(1,S300))=C300,ISNUMBER(K300),K300=INDEX(SourceTable[Retrieved_UTC],MAX(1,S300)),J300&lt;&gt;"",M300&lt;&gt;"")),"INVALID",IF(OR(COUNTIFS('Istoric_Nativ'!$N$6:$N$405,N300,'Istoric_Nativ'!$G$6:$G$405,G300)&lt;&gt;COUNTIF('Istoric_Nativ'!$N$6:$N$405,N300),COUNTIFS('Istoric_Nativ'!$N$6:$N$405,N300,'Istoric_Nativ'!$H$6:$H$405,H300)&lt;&gt;COUNTIF('Istoric_Nativ'!$N$6:$N$405,N300)),"SOURCE CONFLICT",IF(COUNTIF($N$6:N300,N300)&gt;1,"DUPLICATE","VALID"))),"INVALID"))</x:f>
        <x:v>VALID</x:v>
      </x:c>
      <x:c r="P300" s="2" t="n">
        <x:f>IF(O300="VALID",1,0)</x:f>
        <x:v>1</x:v>
      </x:c>
      <x:c r="Q300" s="2" t="n">
        <x:f>IF(P300=1,G300+H300,0)</x:f>
        <x:v>10</x:v>
      </x:c>
      <x:c r="R300" s="2" t="n">
        <x:f>Q300^2</x:f>
        <x:v>100</x:v>
      </x:c>
      <x:c r="S300" s="2" t="n">
        <x:f>IF(A300="","",IFERROR(MATCH(I300,SourceTable[Source_ID],0),0))</x:f>
        <x:v>1</x:v>
      </x:c>
    </x:row>
    <x:row r="301" ht="21" customHeight="1">
      <x:c r="A301" s="7" t="str">
        <x:v>301abd4b3202ebb76751</x:v>
      </x:c>
      <x:c r="B301" s="7" t="str">
        <x:v>E0</x:v>
      </x:c>
      <x:c r="C301" s="7" t="str">
        <x:v>2025/26</x:v>
      </x:c>
      <x:c r="D301" s="8" t="n">
        <x:v>46095</x:v>
      </x:c>
      <x:c r="E301" s="7" t="str">
        <x:v>West Ham</x:v>
      </x:c>
      <x:c r="F301" s="7" t="str">
        <x:v>Man City</x:v>
      </x:c>
      <x:c r="G301" s="7" t="n">
        <x:v>1</x:v>
      </x:c>
      <x:c r="H301" s="7" t="n">
        <x:v>15</x:v>
      </x:c>
      <x:c r="I301" s="7" t="str">
        <x:v>FD_E0_2526</x:v>
      </x:c>
      <x:c r="J301" s="7" t="str">
        <x:v>https://www.football-data.co.uk/mmz4281/2526/E0.csv</x:v>
      </x:c>
      <x:c r="K301" s="8" t="n">
        <x:v>46278.70306712963</x:v>
      </x:c>
      <x:c r="L301" s="7" t="str">
        <x:v>FT90</x:v>
      </x:c>
      <x:c r="M301" s="7" t="str">
        <x:v>CSV row 297</x:v>
      </x:c>
      <x:c r="N301" s="2" t="str">
        <x:f>IF(AND(A301&lt;&gt;"",ISNUMBER(D301)),B301&amp;"|"&amp;C301&amp;"|"&amp;TEXT(D301,"yyyymmdd")&amp;"|"&amp;E301&amp;"|"&amp;F301,"")</x:f>
        <x:v>E0|2025/26|20260314|West Ham|Man City</x:v>
      </x:c>
      <x:c r="O301" s="2" t="str">
        <x:f>IF(A301="","",IFERROR(IF(NOT(AND(B301&lt;&gt;"",C301&lt;&gt;"",ISNUMBER(D301),D301&gt;0,E301&lt;&gt;"",F301&lt;&gt;"",E301&lt;&gt;F301,ISNUMBER(G301),ISNUMBER(H301),G301&gt;=0,H301&gt;=0,G301&lt;=100,H301&lt;=100,MOD(G301,1)=0,MOD(H301,1)=0,L301="FT90",S301&gt;0,INDEX(SourceTable[League],MAX(1,S301))=B301,INDEX(SourceTable[Season],MAX(1,S301))=C301,ISNUMBER(K301),K301=INDEX(SourceTable[Retrieved_UTC],MAX(1,S301)),J301&lt;&gt;"",M301&lt;&gt;"")),"INVALID",IF(OR(COUNTIFS('Istoric_Nativ'!$N$6:$N$405,N301,'Istoric_Nativ'!$G$6:$G$405,G301)&lt;&gt;COUNTIF('Istoric_Nativ'!$N$6:$N$405,N301),COUNTIFS('Istoric_Nativ'!$N$6:$N$405,N301,'Istoric_Nativ'!$H$6:$H$405,H301)&lt;&gt;COUNTIF('Istoric_Nativ'!$N$6:$N$405,N301)),"SOURCE CONFLICT",IF(COUNTIF($N$6:N301,N301)&gt;1,"DUPLICATE","VALID"))),"INVALID"))</x:f>
        <x:v>VALID</x:v>
      </x:c>
      <x:c r="P301" s="2" t="n">
        <x:f>IF(O301="VALID",1,0)</x:f>
        <x:v>1</x:v>
      </x:c>
      <x:c r="Q301" s="2" t="n">
        <x:f>IF(P301=1,G301+H301,0)</x:f>
        <x:v>16</x:v>
      </x:c>
      <x:c r="R301" s="2" t="n">
        <x:f>Q301^2</x:f>
        <x:v>256</x:v>
      </x:c>
      <x:c r="S301" s="2" t="n">
        <x:f>IF(A301="","",IFERROR(MATCH(I301,SourceTable[Source_ID],0),0))</x:f>
        <x:v>1</x:v>
      </x:c>
    </x:row>
    <x:row r="302" ht="21" customHeight="1">
      <x:c r="A302" s="7" t="str">
        <x:v>a6d1d16a7d47205ad12d</x:v>
      </x:c>
      <x:c r="B302" s="7" t="str">
        <x:v>E0</x:v>
      </x:c>
      <x:c r="C302" s="7" t="str">
        <x:v>2025/26</x:v>
      </x:c>
      <x:c r="D302" s="8" t="n">
        <x:v>46096</x:v>
      </x:c>
      <x:c r="E302" s="7" t="str">
        <x:v>Crystal Palace</x:v>
      </x:c>
      <x:c r="F302" s="7" t="str">
        <x:v>Leeds</x:v>
      </x:c>
      <x:c r="G302" s="7" t="n">
        <x:v>8</x:v>
      </x:c>
      <x:c r="H302" s="7" t="n">
        <x:v>3</x:v>
      </x:c>
      <x:c r="I302" s="7" t="str">
        <x:v>FD_E0_2526</x:v>
      </x:c>
      <x:c r="J302" s="7" t="str">
        <x:v>https://www.football-data.co.uk/mmz4281/2526/E0.csv</x:v>
      </x:c>
      <x:c r="K302" s="8" t="n">
        <x:v>46278.70306712963</x:v>
      </x:c>
      <x:c r="L302" s="7" t="str">
        <x:v>FT90</x:v>
      </x:c>
      <x:c r="M302" s="7" t="str">
        <x:v>CSV row 298</x:v>
      </x:c>
      <x:c r="N302" s="2" t="str">
        <x:f>IF(AND(A302&lt;&gt;"",ISNUMBER(D302)),B302&amp;"|"&amp;C302&amp;"|"&amp;TEXT(D302,"yyyymmdd")&amp;"|"&amp;E302&amp;"|"&amp;F302,"")</x:f>
        <x:v>E0|2025/26|20260315|Crystal Palace|Leeds</x:v>
      </x:c>
      <x:c r="O302" s="2" t="str">
        <x:f>IF(A302="","",IFERROR(IF(NOT(AND(B302&lt;&gt;"",C302&lt;&gt;"",ISNUMBER(D302),D302&gt;0,E302&lt;&gt;"",F302&lt;&gt;"",E302&lt;&gt;F302,ISNUMBER(G302),ISNUMBER(H302),G302&gt;=0,H302&gt;=0,G302&lt;=100,H302&lt;=100,MOD(G302,1)=0,MOD(H302,1)=0,L302="FT90",S302&gt;0,INDEX(SourceTable[League],MAX(1,S302))=B302,INDEX(SourceTable[Season],MAX(1,S302))=C302,ISNUMBER(K302),K302=INDEX(SourceTable[Retrieved_UTC],MAX(1,S302)),J302&lt;&gt;"",M302&lt;&gt;"")),"INVALID",IF(OR(COUNTIFS('Istoric_Nativ'!$N$6:$N$405,N302,'Istoric_Nativ'!$G$6:$G$405,G302)&lt;&gt;COUNTIF('Istoric_Nativ'!$N$6:$N$405,N302),COUNTIFS('Istoric_Nativ'!$N$6:$N$405,N302,'Istoric_Nativ'!$H$6:$H$405,H302)&lt;&gt;COUNTIF('Istoric_Nativ'!$N$6:$N$405,N302)),"SOURCE CONFLICT",IF(COUNTIF($N$6:N302,N302)&gt;1,"DUPLICATE","VALID"))),"INVALID"))</x:f>
        <x:v>VALID</x:v>
      </x:c>
      <x:c r="P302" s="2" t="n">
        <x:f>IF(O302="VALID",1,0)</x:f>
        <x:v>1</x:v>
      </x:c>
      <x:c r="Q302" s="2" t="n">
        <x:f>IF(P302=1,G302+H302,0)</x:f>
        <x:v>11</x:v>
      </x:c>
      <x:c r="R302" s="2" t="n">
        <x:f>Q302^2</x:f>
        <x:v>121</x:v>
      </x:c>
      <x:c r="S302" s="2" t="n">
        <x:f>IF(A302="","",IFERROR(MATCH(I302,SourceTable[Source_ID],0),0))</x:f>
        <x:v>1</x:v>
      </x:c>
    </x:row>
    <x:row r="303" ht="21" customHeight="1">
      <x:c r="A303" s="7" t="str">
        <x:v>40aab9d290c3f5cbcd1a</x:v>
      </x:c>
      <x:c r="B303" s="7" t="str">
        <x:v>E0</x:v>
      </x:c>
      <x:c r="C303" s="7" t="str">
        <x:v>2025/26</x:v>
      </x:c>
      <x:c r="D303" s="8" t="n">
        <x:v>46096</x:v>
      </x:c>
      <x:c r="E303" s="7" t="str">
        <x:v>Liverpool</x:v>
      </x:c>
      <x:c r="F303" s="7" t="str">
        <x:v>Tottenham</x:v>
      </x:c>
      <x:c r="G303" s="7" t="n">
        <x:v>3</x:v>
      </x:c>
      <x:c r="H303" s="7" t="n">
        <x:v>4</x:v>
      </x:c>
      <x:c r="I303" s="7" t="str">
        <x:v>FD_E0_2526</x:v>
      </x:c>
      <x:c r="J303" s="7" t="str">
        <x:v>https://www.football-data.co.uk/mmz4281/2526/E0.csv</x:v>
      </x:c>
      <x:c r="K303" s="8" t="n">
        <x:v>46278.70306712963</x:v>
      </x:c>
      <x:c r="L303" s="7" t="str">
        <x:v>FT90</x:v>
      </x:c>
      <x:c r="M303" s="7" t="str">
        <x:v>CSV row 301</x:v>
      </x:c>
      <x:c r="N303" s="2" t="str">
        <x:f>IF(AND(A303&lt;&gt;"",ISNUMBER(D303)),B303&amp;"|"&amp;C303&amp;"|"&amp;TEXT(D303,"yyyymmdd")&amp;"|"&amp;E303&amp;"|"&amp;F303,"")</x:f>
        <x:v>E0|2025/26|20260315|Liverpool|Tottenham</x:v>
      </x:c>
      <x:c r="O303" s="2" t="str">
        <x:f>IF(A303="","",IFERROR(IF(NOT(AND(B303&lt;&gt;"",C303&lt;&gt;"",ISNUMBER(D303),D303&gt;0,E303&lt;&gt;"",F303&lt;&gt;"",E303&lt;&gt;F303,ISNUMBER(G303),ISNUMBER(H303),G303&gt;=0,H303&gt;=0,G303&lt;=100,H303&lt;=100,MOD(G303,1)=0,MOD(H303,1)=0,L303="FT90",S303&gt;0,INDEX(SourceTable[League],MAX(1,S303))=B303,INDEX(SourceTable[Season],MAX(1,S303))=C303,ISNUMBER(K303),K303=INDEX(SourceTable[Retrieved_UTC],MAX(1,S303)),J303&lt;&gt;"",M303&lt;&gt;"")),"INVALID",IF(OR(COUNTIFS('Istoric_Nativ'!$N$6:$N$405,N303,'Istoric_Nativ'!$G$6:$G$405,G303)&lt;&gt;COUNTIF('Istoric_Nativ'!$N$6:$N$405,N303),COUNTIFS('Istoric_Nativ'!$N$6:$N$405,N303,'Istoric_Nativ'!$H$6:$H$405,H303)&lt;&gt;COUNTIF('Istoric_Nativ'!$N$6:$N$405,N303)),"SOURCE CONFLICT",IF(COUNTIF($N$6:N303,N303)&gt;1,"DUPLICATE","VALID"))),"INVALID"))</x:f>
        <x:v>VALID</x:v>
      </x:c>
      <x:c r="P303" s="2" t="n">
        <x:f>IF(O303="VALID",1,0)</x:f>
        <x:v>1</x:v>
      </x:c>
      <x:c r="Q303" s="2" t="n">
        <x:f>IF(P303=1,G303+H303,0)</x:f>
        <x:v>7</x:v>
      </x:c>
      <x:c r="R303" s="2" t="n">
        <x:f>Q303^2</x:f>
        <x:v>49</x:v>
      </x:c>
      <x:c r="S303" s="2" t="n">
        <x:f>IF(A303="","",IFERROR(MATCH(I303,SourceTable[Source_ID],0),0))</x:f>
        <x:v>1</x:v>
      </x:c>
    </x:row>
    <x:row r="304" ht="21" customHeight="1">
      <x:c r="A304" s="7" t="str">
        <x:v>2d1bbe07084cb572dd2c</x:v>
      </x:c>
      <x:c r="B304" s="7" t="str">
        <x:v>E0</x:v>
      </x:c>
      <x:c r="C304" s="7" t="str">
        <x:v>2025/26</x:v>
      </x:c>
      <x:c r="D304" s="8" t="n">
        <x:v>46096</x:v>
      </x:c>
      <x:c r="E304" s="7" t="str">
        <x:v>Man United</x:v>
      </x:c>
      <x:c r="F304" s="7" t="str">
        <x:v>Aston Villa</x:v>
      </x:c>
      <x:c r="G304" s="7" t="n">
        <x:v>6</x:v>
      </x:c>
      <x:c r="H304" s="7" t="n">
        <x:v>6</x:v>
      </x:c>
      <x:c r="I304" s="7" t="str">
        <x:v>FD_E0_2526</x:v>
      </x:c>
      <x:c r="J304" s="7" t="str">
        <x:v>https://www.football-data.co.uk/mmz4281/2526/E0.csv</x:v>
      </x:c>
      <x:c r="K304" s="8" t="n">
        <x:v>46278.70306712963</x:v>
      </x:c>
      <x:c r="L304" s="7" t="str">
        <x:v>FT90</x:v>
      </x:c>
      <x:c r="M304" s="7" t="str">
        <x:v>CSV row 299</x:v>
      </x:c>
      <x:c r="N304" s="2" t="str">
        <x:f>IF(AND(A304&lt;&gt;"",ISNUMBER(D304)),B304&amp;"|"&amp;C304&amp;"|"&amp;TEXT(D304,"yyyymmdd")&amp;"|"&amp;E304&amp;"|"&amp;F304,"")</x:f>
        <x:v>E0|2025/26|20260315|Man United|Aston Villa</x:v>
      </x:c>
      <x:c r="O304" s="2" t="str">
        <x:f>IF(A304="","",IFERROR(IF(NOT(AND(B304&lt;&gt;"",C304&lt;&gt;"",ISNUMBER(D304),D304&gt;0,E304&lt;&gt;"",F304&lt;&gt;"",E304&lt;&gt;F304,ISNUMBER(G304),ISNUMBER(H304),G304&gt;=0,H304&gt;=0,G304&lt;=100,H304&lt;=100,MOD(G304,1)=0,MOD(H304,1)=0,L304="FT90",S304&gt;0,INDEX(SourceTable[League],MAX(1,S304))=B304,INDEX(SourceTable[Season],MAX(1,S304))=C304,ISNUMBER(K304),K304=INDEX(SourceTable[Retrieved_UTC],MAX(1,S304)),J304&lt;&gt;"",M304&lt;&gt;"")),"INVALID",IF(OR(COUNTIFS('Istoric_Nativ'!$N$6:$N$405,N304,'Istoric_Nativ'!$G$6:$G$405,G304)&lt;&gt;COUNTIF('Istoric_Nativ'!$N$6:$N$405,N304),COUNTIFS('Istoric_Nativ'!$N$6:$N$405,N304,'Istoric_Nativ'!$H$6:$H$405,H304)&lt;&gt;COUNTIF('Istoric_Nativ'!$N$6:$N$405,N304)),"SOURCE CONFLICT",IF(COUNTIF($N$6:N304,N304)&gt;1,"DUPLICATE","VALID"))),"INVALID"))</x:f>
        <x:v>VALID</x:v>
      </x:c>
      <x:c r="P304" s="2" t="n">
        <x:f>IF(O304="VALID",1,0)</x:f>
        <x:v>1</x:v>
      </x:c>
      <x:c r="Q304" s="2" t="n">
        <x:f>IF(P304=1,G304+H304,0)</x:f>
        <x:v>12</x:v>
      </x:c>
      <x:c r="R304" s="2" t="n">
        <x:f>Q304^2</x:f>
        <x:v>144</x:v>
      </x:c>
      <x:c r="S304" s="2" t="n">
        <x:f>IF(A304="","",IFERROR(MATCH(I304,SourceTable[Source_ID],0),0))</x:f>
        <x:v>1</x:v>
      </x:c>
    </x:row>
    <x:row r="305" ht="21" customHeight="1">
      <x:c r="A305" s="7" t="str">
        <x:v>7e2fcfdbfe1b87f9ef86</x:v>
      </x:c>
      <x:c r="B305" s="7" t="str">
        <x:v>E0</x:v>
      </x:c>
      <x:c r="C305" s="7" t="str">
        <x:v>2025/26</x:v>
      </x:c>
      <x:c r="D305" s="8" t="n">
        <x:v>46096</x:v>
      </x:c>
      <x:c r="E305" s="7" t="str">
        <x:v>Nott'm Forest</x:v>
      </x:c>
      <x:c r="F305" s="7" t="str">
        <x:v>Fulham</x:v>
      </x:c>
      <x:c r="G305" s="7" t="n">
        <x:v>5</x:v>
      </x:c>
      <x:c r="H305" s="7" t="n">
        <x:v>4</x:v>
      </x:c>
      <x:c r="I305" s="7" t="str">
        <x:v>FD_E0_2526</x:v>
      </x:c>
      <x:c r="J305" s="7" t="str">
        <x:v>https://www.football-data.co.uk/mmz4281/2526/E0.csv</x:v>
      </x:c>
      <x:c r="K305" s="8" t="n">
        <x:v>46278.70306712963</x:v>
      </x:c>
      <x:c r="L305" s="7" t="str">
        <x:v>FT90</x:v>
      </x:c>
      <x:c r="M305" s="7" t="str">
        <x:v>CSV row 300</x:v>
      </x:c>
      <x:c r="N305" s="2" t="str">
        <x:f>IF(AND(A305&lt;&gt;"",ISNUMBER(D305)),B305&amp;"|"&amp;C305&amp;"|"&amp;TEXT(D305,"yyyymmdd")&amp;"|"&amp;E305&amp;"|"&amp;F305,"")</x:f>
        <x:v>E0|2025/26|20260315|Nott'm Forest|Fulham</x:v>
      </x:c>
      <x:c r="O305" s="2" t="str">
        <x:f>IF(A305="","",IFERROR(IF(NOT(AND(B305&lt;&gt;"",C305&lt;&gt;"",ISNUMBER(D305),D305&gt;0,E305&lt;&gt;"",F305&lt;&gt;"",E305&lt;&gt;F305,ISNUMBER(G305),ISNUMBER(H305),G305&gt;=0,H305&gt;=0,G305&lt;=100,H305&lt;=100,MOD(G305,1)=0,MOD(H305,1)=0,L305="FT90",S305&gt;0,INDEX(SourceTable[League],MAX(1,S305))=B305,INDEX(SourceTable[Season],MAX(1,S305))=C305,ISNUMBER(K305),K305=INDEX(SourceTable[Retrieved_UTC],MAX(1,S305)),J305&lt;&gt;"",M305&lt;&gt;"")),"INVALID",IF(OR(COUNTIFS('Istoric_Nativ'!$N$6:$N$405,N305,'Istoric_Nativ'!$G$6:$G$405,G305)&lt;&gt;COUNTIF('Istoric_Nativ'!$N$6:$N$405,N305),COUNTIFS('Istoric_Nativ'!$N$6:$N$405,N305,'Istoric_Nativ'!$H$6:$H$405,H305)&lt;&gt;COUNTIF('Istoric_Nativ'!$N$6:$N$405,N305)),"SOURCE CONFLICT",IF(COUNTIF($N$6:N305,N305)&gt;1,"DUPLICATE","VALID"))),"INVALID"))</x:f>
        <x:v>VALID</x:v>
      </x:c>
      <x:c r="P305" s="2" t="n">
        <x:f>IF(O305="VALID",1,0)</x:f>
        <x:v>1</x:v>
      </x:c>
      <x:c r="Q305" s="2" t="n">
        <x:f>IF(P305=1,G305+H305,0)</x:f>
        <x:v>9</x:v>
      </x:c>
      <x:c r="R305" s="2" t="n">
        <x:f>Q305^2</x:f>
        <x:v>81</x:v>
      </x:c>
      <x:c r="S305" s="2" t="n">
        <x:f>IF(A305="","",IFERROR(MATCH(I305,SourceTable[Source_ID],0),0))</x:f>
        <x:v>1</x:v>
      </x:c>
    </x:row>
    <x:row r="306" ht="21" customHeight="1">
      <x:c r="A306" s="7" t="str">
        <x:v>6643cc820ba9b654f090</x:v>
      </x:c>
      <x:c r="B306" s="7" t="str">
        <x:v>E0</x:v>
      </x:c>
      <x:c r="C306" s="7" t="str">
        <x:v>2025/26</x:v>
      </x:c>
      <x:c r="D306" s="8" t="n">
        <x:v>46097</x:v>
      </x:c>
      <x:c r="E306" s="7" t="str">
        <x:v>Brentford</x:v>
      </x:c>
      <x:c r="F306" s="7" t="str">
        <x:v>Wolves</x:v>
      </x:c>
      <x:c r="G306" s="7" t="n">
        <x:v>1</x:v>
      </x:c>
      <x:c r="H306" s="7" t="n">
        <x:v>5</x:v>
      </x:c>
      <x:c r="I306" s="7" t="str">
        <x:v>FD_E0_2526</x:v>
      </x:c>
      <x:c r="J306" s="7" t="str">
        <x:v>https://www.football-data.co.uk/mmz4281/2526/E0.csv</x:v>
      </x:c>
      <x:c r="K306" s="8" t="n">
        <x:v>46278.70306712963</x:v>
      </x:c>
      <x:c r="L306" s="7" t="str">
        <x:v>FT90</x:v>
      </x:c>
      <x:c r="M306" s="7" t="str">
        <x:v>CSV row 302</x:v>
      </x:c>
      <x:c r="N306" s="2" t="str">
        <x:f>IF(AND(A306&lt;&gt;"",ISNUMBER(D306)),B306&amp;"|"&amp;C306&amp;"|"&amp;TEXT(D306,"yyyymmdd")&amp;"|"&amp;E306&amp;"|"&amp;F306,"")</x:f>
        <x:v>E0|2025/26|20260316|Brentford|Wolves</x:v>
      </x:c>
      <x:c r="O306" s="2" t="str">
        <x:f>IF(A306="","",IFERROR(IF(NOT(AND(B306&lt;&gt;"",C306&lt;&gt;"",ISNUMBER(D306),D306&gt;0,E306&lt;&gt;"",F306&lt;&gt;"",E306&lt;&gt;F306,ISNUMBER(G306),ISNUMBER(H306),G306&gt;=0,H306&gt;=0,G306&lt;=100,H306&lt;=100,MOD(G306,1)=0,MOD(H306,1)=0,L306="FT90",S306&gt;0,INDEX(SourceTable[League],MAX(1,S306))=B306,INDEX(SourceTable[Season],MAX(1,S306))=C306,ISNUMBER(K306),K306=INDEX(SourceTable[Retrieved_UTC],MAX(1,S306)),J306&lt;&gt;"",M306&lt;&gt;"")),"INVALID",IF(OR(COUNTIFS('Istoric_Nativ'!$N$6:$N$405,N306,'Istoric_Nativ'!$G$6:$G$405,G306)&lt;&gt;COUNTIF('Istoric_Nativ'!$N$6:$N$405,N306),COUNTIFS('Istoric_Nativ'!$N$6:$N$405,N306,'Istoric_Nativ'!$H$6:$H$405,H306)&lt;&gt;COUNTIF('Istoric_Nativ'!$N$6:$N$405,N306)),"SOURCE CONFLICT",IF(COUNTIF($N$6:N306,N306)&gt;1,"DUPLICATE","VALID"))),"INVALID"))</x:f>
        <x:v>VALID</x:v>
      </x:c>
      <x:c r="P306" s="2" t="n">
        <x:f>IF(O306="VALID",1,0)</x:f>
        <x:v>1</x:v>
      </x:c>
      <x:c r="Q306" s="2" t="n">
        <x:f>IF(P306=1,G306+H306,0)</x:f>
        <x:v>6</x:v>
      </x:c>
      <x:c r="R306" s="2" t="n">
        <x:f>Q306^2</x:f>
        <x:v>36</x:v>
      </x:c>
      <x:c r="S306" s="2" t="n">
        <x:f>IF(A306="","",IFERROR(MATCH(I306,SourceTable[Source_ID],0),0))</x:f>
        <x:v>1</x:v>
      </x:c>
    </x:row>
    <x:row r="307" ht="21" customHeight="1">
      <x:c r="A307" s="7" t="str">
        <x:v>601590c3b0f0598bde42</x:v>
      </x:c>
      <x:c r="B307" s="7" t="str">
        <x:v>E0</x:v>
      </x:c>
      <x:c r="C307" s="7" t="str">
        <x:v>2025/26</x:v>
      </x:c>
      <x:c r="D307" s="8" t="n">
        <x:v>46101</x:v>
      </x:c>
      <x:c r="E307" s="7" t="str">
        <x:v>Bournemouth</x:v>
      </x:c>
      <x:c r="F307" s="7" t="str">
        <x:v>Man United</x:v>
      </x:c>
      <x:c r="G307" s="7" t="n">
        <x:v>6</x:v>
      </x:c>
      <x:c r="H307" s="7" t="n">
        <x:v>8</x:v>
      </x:c>
      <x:c r="I307" s="7" t="str">
        <x:v>FD_E0_2526</x:v>
      </x:c>
      <x:c r="J307" s="7" t="str">
        <x:v>https://www.football-data.co.uk/mmz4281/2526/E0.csv</x:v>
      </x:c>
      <x:c r="K307" s="8" t="n">
        <x:v>46278.70306712963</x:v>
      </x:c>
      <x:c r="L307" s="7" t="str">
        <x:v>FT90</x:v>
      </x:c>
      <x:c r="M307" s="7" t="str">
        <x:v>CSV row 303</x:v>
      </x:c>
      <x:c r="N307" s="2" t="str">
        <x:f>IF(AND(A307&lt;&gt;"",ISNUMBER(D307)),B307&amp;"|"&amp;C307&amp;"|"&amp;TEXT(D307,"yyyymmdd")&amp;"|"&amp;E307&amp;"|"&amp;F307,"")</x:f>
        <x:v>E0|2025/26|20260320|Bournemouth|Man United</x:v>
      </x:c>
      <x:c r="O307" s="2" t="str">
        <x:f>IF(A307="","",IFERROR(IF(NOT(AND(B307&lt;&gt;"",C307&lt;&gt;"",ISNUMBER(D307),D307&gt;0,E307&lt;&gt;"",F307&lt;&gt;"",E307&lt;&gt;F307,ISNUMBER(G307),ISNUMBER(H307),G307&gt;=0,H307&gt;=0,G307&lt;=100,H307&lt;=100,MOD(G307,1)=0,MOD(H307,1)=0,L307="FT90",S307&gt;0,INDEX(SourceTable[League],MAX(1,S307))=B307,INDEX(SourceTable[Season],MAX(1,S307))=C307,ISNUMBER(K307),K307=INDEX(SourceTable[Retrieved_UTC],MAX(1,S307)),J307&lt;&gt;"",M307&lt;&gt;"")),"INVALID",IF(OR(COUNTIFS('Istoric_Nativ'!$N$6:$N$405,N307,'Istoric_Nativ'!$G$6:$G$405,G307)&lt;&gt;COUNTIF('Istoric_Nativ'!$N$6:$N$405,N307),COUNTIFS('Istoric_Nativ'!$N$6:$N$405,N307,'Istoric_Nativ'!$H$6:$H$405,H307)&lt;&gt;COUNTIF('Istoric_Nativ'!$N$6:$N$405,N307)),"SOURCE CONFLICT",IF(COUNTIF($N$6:N307,N307)&gt;1,"DUPLICATE","VALID"))),"INVALID"))</x:f>
        <x:v>VALID</x:v>
      </x:c>
      <x:c r="P307" s="2" t="n">
        <x:f>IF(O307="VALID",1,0)</x:f>
        <x:v>1</x:v>
      </x:c>
      <x:c r="Q307" s="2" t="n">
        <x:f>IF(P307=1,G307+H307,0)</x:f>
        <x:v>14</x:v>
      </x:c>
      <x:c r="R307" s="2" t="n">
        <x:f>Q307^2</x:f>
        <x:v>196</x:v>
      </x:c>
      <x:c r="S307" s="2" t="n">
        <x:f>IF(A307="","",IFERROR(MATCH(I307,SourceTable[Source_ID],0),0))</x:f>
        <x:v>1</x:v>
      </x:c>
    </x:row>
    <x:row r="308" ht="21" customHeight="1">
      <x:c r="A308" s="7" t="str">
        <x:v>b1cbc4fca927d07f2c1e</x:v>
      </x:c>
      <x:c r="B308" s="7" t="str">
        <x:v>E0</x:v>
      </x:c>
      <x:c r="C308" s="7" t="str">
        <x:v>2025/26</x:v>
      </x:c>
      <x:c r="D308" s="8" t="n">
        <x:v>46102</x:v>
      </x:c>
      <x:c r="E308" s="7" t="str">
        <x:v>Brighton</x:v>
      </x:c>
      <x:c r="F308" s="7" t="str">
        <x:v>Liverpool</x:v>
      </x:c>
      <x:c r="G308" s="7" t="n">
        <x:v>4</x:v>
      </x:c>
      <x:c r="H308" s="7" t="n">
        <x:v>8</x:v>
      </x:c>
      <x:c r="I308" s="7" t="str">
        <x:v>FD_E0_2526</x:v>
      </x:c>
      <x:c r="J308" s="7" t="str">
        <x:v>https://www.football-data.co.uk/mmz4281/2526/E0.csv</x:v>
      </x:c>
      <x:c r="K308" s="8" t="n">
        <x:v>46278.70306712963</x:v>
      </x:c>
      <x:c r="L308" s="7" t="str">
        <x:v>FT90</x:v>
      </x:c>
      <x:c r="M308" s="7" t="str">
        <x:v>CSV row 304</x:v>
      </x:c>
      <x:c r="N308" s="2" t="str">
        <x:f>IF(AND(A308&lt;&gt;"",ISNUMBER(D308)),B308&amp;"|"&amp;C308&amp;"|"&amp;TEXT(D308,"yyyymmdd")&amp;"|"&amp;E308&amp;"|"&amp;F308,"")</x:f>
        <x:v>E0|2025/26|20260321|Brighton|Liverpool</x:v>
      </x:c>
      <x:c r="O308" s="2" t="str">
        <x:f>IF(A308="","",IFERROR(IF(NOT(AND(B308&lt;&gt;"",C308&lt;&gt;"",ISNUMBER(D308),D308&gt;0,E308&lt;&gt;"",F308&lt;&gt;"",E308&lt;&gt;F308,ISNUMBER(G308),ISNUMBER(H308),G308&gt;=0,H308&gt;=0,G308&lt;=100,H308&lt;=100,MOD(G308,1)=0,MOD(H308,1)=0,L308="FT90",S308&gt;0,INDEX(SourceTable[League],MAX(1,S308))=B308,INDEX(SourceTable[Season],MAX(1,S308))=C308,ISNUMBER(K308),K308=INDEX(SourceTable[Retrieved_UTC],MAX(1,S308)),J308&lt;&gt;"",M308&lt;&gt;"")),"INVALID",IF(OR(COUNTIFS('Istoric_Nativ'!$N$6:$N$405,N308,'Istoric_Nativ'!$G$6:$G$405,G308)&lt;&gt;COUNTIF('Istoric_Nativ'!$N$6:$N$405,N308),COUNTIFS('Istoric_Nativ'!$N$6:$N$405,N308,'Istoric_Nativ'!$H$6:$H$405,H308)&lt;&gt;COUNTIF('Istoric_Nativ'!$N$6:$N$405,N308)),"SOURCE CONFLICT",IF(COUNTIF($N$6:N308,N308)&gt;1,"DUPLICATE","VALID"))),"INVALID"))</x:f>
        <x:v>VALID</x:v>
      </x:c>
      <x:c r="P308" s="2" t="n">
        <x:f>IF(O308="VALID",1,0)</x:f>
        <x:v>1</x:v>
      </x:c>
      <x:c r="Q308" s="2" t="n">
        <x:f>IF(P308=1,G308+H308,0)</x:f>
        <x:v>12</x:v>
      </x:c>
      <x:c r="R308" s="2" t="n">
        <x:f>Q308^2</x:f>
        <x:v>144</x:v>
      </x:c>
      <x:c r="S308" s="2" t="n">
        <x:f>IF(A308="","",IFERROR(MATCH(I308,SourceTable[Source_ID],0),0))</x:f>
        <x:v>1</x:v>
      </x:c>
    </x:row>
    <x:row r="309" ht="21" customHeight="1">
      <x:c r="A309" s="7" t="str">
        <x:v>875f0e078da4e9180253</x:v>
      </x:c>
      <x:c r="B309" s="7" t="str">
        <x:v>E0</x:v>
      </x:c>
      <x:c r="C309" s="7" t="str">
        <x:v>2025/26</x:v>
      </x:c>
      <x:c r="D309" s="8" t="n">
        <x:v>46102</x:v>
      </x:c>
      <x:c r="E309" s="7" t="str">
        <x:v>Everton</x:v>
      </x:c>
      <x:c r="F309" s="7" t="str">
        <x:v>Chelsea</x:v>
      </x:c>
      <x:c r="G309" s="7" t="n">
        <x:v>3</x:v>
      </x:c>
      <x:c r="H309" s="7" t="n">
        <x:v>9</x:v>
      </x:c>
      <x:c r="I309" s="7" t="str">
        <x:v>FD_E0_2526</x:v>
      </x:c>
      <x:c r="J309" s="7" t="str">
        <x:v>https://www.football-data.co.uk/mmz4281/2526/E0.csv</x:v>
      </x:c>
      <x:c r="K309" s="8" t="n">
        <x:v>46278.70306712963</x:v>
      </x:c>
      <x:c r="L309" s="7" t="str">
        <x:v>FT90</x:v>
      </x:c>
      <x:c r="M309" s="7" t="str">
        <x:v>CSV row 306</x:v>
      </x:c>
      <x:c r="N309" s="2" t="str">
        <x:f>IF(AND(A309&lt;&gt;"",ISNUMBER(D309)),B309&amp;"|"&amp;C309&amp;"|"&amp;TEXT(D309,"yyyymmdd")&amp;"|"&amp;E309&amp;"|"&amp;F309,"")</x:f>
        <x:v>E0|2025/26|20260321|Everton|Chelsea</x:v>
      </x:c>
      <x:c r="O309" s="2" t="str">
        <x:f>IF(A309="","",IFERROR(IF(NOT(AND(B309&lt;&gt;"",C309&lt;&gt;"",ISNUMBER(D309),D309&gt;0,E309&lt;&gt;"",F309&lt;&gt;"",E309&lt;&gt;F309,ISNUMBER(G309),ISNUMBER(H309),G309&gt;=0,H309&gt;=0,G309&lt;=100,H309&lt;=100,MOD(G309,1)=0,MOD(H309,1)=0,L309="FT90",S309&gt;0,INDEX(SourceTable[League],MAX(1,S309))=B309,INDEX(SourceTable[Season],MAX(1,S309))=C309,ISNUMBER(K309),K309=INDEX(SourceTable[Retrieved_UTC],MAX(1,S309)),J309&lt;&gt;"",M309&lt;&gt;"")),"INVALID",IF(OR(COUNTIFS('Istoric_Nativ'!$N$6:$N$405,N309,'Istoric_Nativ'!$G$6:$G$405,G309)&lt;&gt;COUNTIF('Istoric_Nativ'!$N$6:$N$405,N309),COUNTIFS('Istoric_Nativ'!$N$6:$N$405,N309,'Istoric_Nativ'!$H$6:$H$405,H309)&lt;&gt;COUNTIF('Istoric_Nativ'!$N$6:$N$405,N309)),"SOURCE CONFLICT",IF(COUNTIF($N$6:N309,N309)&gt;1,"DUPLICATE","VALID"))),"INVALID"))</x:f>
        <x:v>VALID</x:v>
      </x:c>
      <x:c r="P309" s="2" t="n">
        <x:f>IF(O309="VALID",1,0)</x:f>
        <x:v>1</x:v>
      </x:c>
      <x:c r="Q309" s="2" t="n">
        <x:f>IF(P309=1,G309+H309,0)</x:f>
        <x:v>12</x:v>
      </x:c>
      <x:c r="R309" s="2" t="n">
        <x:f>Q309^2</x:f>
        <x:v>144</x:v>
      </x:c>
      <x:c r="S309" s="2" t="n">
        <x:f>IF(A309="","",IFERROR(MATCH(I309,SourceTable[Source_ID],0),0))</x:f>
        <x:v>1</x:v>
      </x:c>
    </x:row>
    <x:row r="310" ht="21" customHeight="1">
      <x:c r="A310" s="7" t="str">
        <x:v>d6f230cae9c29876c32a</x:v>
      </x:c>
      <x:c r="B310" s="7" t="str">
        <x:v>E0</x:v>
      </x:c>
      <x:c r="C310" s="7" t="str">
        <x:v>2025/26</x:v>
      </x:c>
      <x:c r="D310" s="8" t="n">
        <x:v>46102</x:v>
      </x:c>
      <x:c r="E310" s="7" t="str">
        <x:v>Fulham</x:v>
      </x:c>
      <x:c r="F310" s="7" t="str">
        <x:v>Burnley</x:v>
      </x:c>
      <x:c r="G310" s="7" t="n">
        <x:v>6</x:v>
      </x:c>
      <x:c r="H310" s="7" t="n">
        <x:v>6</x:v>
      </x:c>
      <x:c r="I310" s="7" t="str">
        <x:v>FD_E0_2526</x:v>
      </x:c>
      <x:c r="J310" s="7" t="str">
        <x:v>https://www.football-data.co.uk/mmz4281/2526/E0.csv</x:v>
      </x:c>
      <x:c r="K310" s="8" t="n">
        <x:v>46278.70306712963</x:v>
      </x:c>
      <x:c r="L310" s="7" t="str">
        <x:v>FT90</x:v>
      </x:c>
      <x:c r="M310" s="7" t="str">
        <x:v>CSV row 305</x:v>
      </x:c>
      <x:c r="N310" s="2" t="str">
        <x:f>IF(AND(A310&lt;&gt;"",ISNUMBER(D310)),B310&amp;"|"&amp;C310&amp;"|"&amp;TEXT(D310,"yyyymmdd")&amp;"|"&amp;E310&amp;"|"&amp;F310,"")</x:f>
        <x:v>E0|2025/26|20260321|Fulham|Burnley</x:v>
      </x:c>
      <x:c r="O310" s="2" t="str">
        <x:f>IF(A310="","",IFERROR(IF(NOT(AND(B310&lt;&gt;"",C310&lt;&gt;"",ISNUMBER(D310),D310&gt;0,E310&lt;&gt;"",F310&lt;&gt;"",E310&lt;&gt;F310,ISNUMBER(G310),ISNUMBER(H310),G310&gt;=0,H310&gt;=0,G310&lt;=100,H310&lt;=100,MOD(G310,1)=0,MOD(H310,1)=0,L310="FT90",S310&gt;0,INDEX(SourceTable[League],MAX(1,S310))=B310,INDEX(SourceTable[Season],MAX(1,S310))=C310,ISNUMBER(K310),K310=INDEX(SourceTable[Retrieved_UTC],MAX(1,S310)),J310&lt;&gt;"",M310&lt;&gt;"")),"INVALID",IF(OR(COUNTIFS('Istoric_Nativ'!$N$6:$N$405,N310,'Istoric_Nativ'!$G$6:$G$405,G310)&lt;&gt;COUNTIF('Istoric_Nativ'!$N$6:$N$405,N310),COUNTIFS('Istoric_Nativ'!$N$6:$N$405,N310,'Istoric_Nativ'!$H$6:$H$405,H310)&lt;&gt;COUNTIF('Istoric_Nativ'!$N$6:$N$405,N310)),"SOURCE CONFLICT",IF(COUNTIF($N$6:N310,N310)&gt;1,"DUPLICATE","VALID"))),"INVALID"))</x:f>
        <x:v>VALID</x:v>
      </x:c>
      <x:c r="P310" s="2" t="n">
        <x:f>IF(O310="VALID",1,0)</x:f>
        <x:v>1</x:v>
      </x:c>
      <x:c r="Q310" s="2" t="n">
        <x:f>IF(P310=1,G310+H310,0)</x:f>
        <x:v>12</x:v>
      </x:c>
      <x:c r="R310" s="2" t="n">
        <x:f>Q310^2</x:f>
        <x:v>144</x:v>
      </x:c>
      <x:c r="S310" s="2" t="n">
        <x:f>IF(A310="","",IFERROR(MATCH(I310,SourceTable[Source_ID],0),0))</x:f>
        <x:v>1</x:v>
      </x:c>
    </x:row>
    <x:row r="311" ht="21" customHeight="1">
      <x:c r="A311" s="7" t="str">
        <x:v>36f91d9f71c3d4a90a0f</x:v>
      </x:c>
      <x:c r="B311" s="7" t="str">
        <x:v>E0</x:v>
      </x:c>
      <x:c r="C311" s="7" t="str">
        <x:v>2025/26</x:v>
      </x:c>
      <x:c r="D311" s="8" t="n">
        <x:v>46102</x:v>
      </x:c>
      <x:c r="E311" s="7" t="str">
        <x:v>Leeds</x:v>
      </x:c>
      <x:c r="F311" s="7" t="str">
        <x:v>Brentford</x:v>
      </x:c>
      <x:c r="G311" s="7" t="n">
        <x:v>6</x:v>
      </x:c>
      <x:c r="H311" s="7" t="n">
        <x:v>2</x:v>
      </x:c>
      <x:c r="I311" s="7" t="str">
        <x:v>FD_E0_2526</x:v>
      </x:c>
      <x:c r="J311" s="7" t="str">
        <x:v>https://www.football-data.co.uk/mmz4281/2526/E0.csv</x:v>
      </x:c>
      <x:c r="K311" s="8" t="n">
        <x:v>46278.70306712963</x:v>
      </x:c>
      <x:c r="L311" s="7" t="str">
        <x:v>FT90</x:v>
      </x:c>
      <x:c r="M311" s="7" t="str">
        <x:v>CSV row 307</x:v>
      </x:c>
      <x:c r="N311" s="2" t="str">
        <x:f>IF(AND(A311&lt;&gt;"",ISNUMBER(D311)),B311&amp;"|"&amp;C311&amp;"|"&amp;TEXT(D311,"yyyymmdd")&amp;"|"&amp;E311&amp;"|"&amp;F311,"")</x:f>
        <x:v>E0|2025/26|20260321|Leeds|Brentford</x:v>
      </x:c>
      <x:c r="O311" s="2" t="str">
        <x:f>IF(A311="","",IFERROR(IF(NOT(AND(B311&lt;&gt;"",C311&lt;&gt;"",ISNUMBER(D311),D311&gt;0,E311&lt;&gt;"",F311&lt;&gt;"",E311&lt;&gt;F311,ISNUMBER(G311),ISNUMBER(H311),G311&gt;=0,H311&gt;=0,G311&lt;=100,H311&lt;=100,MOD(G311,1)=0,MOD(H311,1)=0,L311="FT90",S311&gt;0,INDEX(SourceTable[League],MAX(1,S311))=B311,INDEX(SourceTable[Season],MAX(1,S311))=C311,ISNUMBER(K311),K311=INDEX(SourceTable[Retrieved_UTC],MAX(1,S311)),J311&lt;&gt;"",M311&lt;&gt;"")),"INVALID",IF(OR(COUNTIFS('Istoric_Nativ'!$N$6:$N$405,N311,'Istoric_Nativ'!$G$6:$G$405,G311)&lt;&gt;COUNTIF('Istoric_Nativ'!$N$6:$N$405,N311),COUNTIFS('Istoric_Nativ'!$N$6:$N$405,N311,'Istoric_Nativ'!$H$6:$H$405,H311)&lt;&gt;COUNTIF('Istoric_Nativ'!$N$6:$N$405,N311)),"SOURCE CONFLICT",IF(COUNTIF($N$6:N311,N311)&gt;1,"DUPLICATE","VALID"))),"INVALID"))</x:f>
        <x:v>VALID</x:v>
      </x:c>
      <x:c r="P311" s="2" t="n">
        <x:f>IF(O311="VALID",1,0)</x:f>
        <x:v>1</x:v>
      </x:c>
      <x:c r="Q311" s="2" t="n">
        <x:f>IF(P311=1,G311+H311,0)</x:f>
        <x:v>8</x:v>
      </x:c>
      <x:c r="R311" s="2" t="n">
        <x:f>Q311^2</x:f>
        <x:v>64</x:v>
      </x:c>
      <x:c r="S311" s="2" t="n">
        <x:f>IF(A311="","",IFERROR(MATCH(I311,SourceTable[Source_ID],0),0))</x:f>
        <x:v>1</x:v>
      </x:c>
    </x:row>
    <x:row r="312" ht="21" customHeight="1">
      <x:c r="A312" s="7" t="str">
        <x:v>ef09738b14014517c28a</x:v>
      </x:c>
      <x:c r="B312" s="7" t="str">
        <x:v>E0</x:v>
      </x:c>
      <x:c r="C312" s="7" t="str">
        <x:v>2025/26</x:v>
      </x:c>
      <x:c r="D312" s="8" t="n">
        <x:v>46103</x:v>
      </x:c>
      <x:c r="E312" s="7" t="str">
        <x:v>Aston Villa</x:v>
      </x:c>
      <x:c r="F312" s="7" t="str">
        <x:v>West Ham</x:v>
      </x:c>
      <x:c r="G312" s="7" t="n">
        <x:v>6</x:v>
      </x:c>
      <x:c r="H312" s="7" t="n">
        <x:v>6</x:v>
      </x:c>
      <x:c r="I312" s="7" t="str">
        <x:v>FD_E0_2526</x:v>
      </x:c>
      <x:c r="J312" s="7" t="str">
        <x:v>https://www.football-data.co.uk/mmz4281/2526/E0.csv</x:v>
      </x:c>
      <x:c r="K312" s="8" t="n">
        <x:v>46278.70306712963</x:v>
      </x:c>
      <x:c r="L312" s="7" t="str">
        <x:v>FT90</x:v>
      </x:c>
      <x:c r="M312" s="7" t="str">
        <x:v>CSV row 309</x:v>
      </x:c>
      <x:c r="N312" s="2" t="str">
        <x:f>IF(AND(A312&lt;&gt;"",ISNUMBER(D312)),B312&amp;"|"&amp;C312&amp;"|"&amp;TEXT(D312,"yyyymmdd")&amp;"|"&amp;E312&amp;"|"&amp;F312,"")</x:f>
        <x:v>E0|2025/26|20260322|Aston Villa|West Ham</x:v>
      </x:c>
      <x:c r="O312" s="2" t="str">
        <x:f>IF(A312="","",IFERROR(IF(NOT(AND(B312&lt;&gt;"",C312&lt;&gt;"",ISNUMBER(D312),D312&gt;0,E312&lt;&gt;"",F312&lt;&gt;"",E312&lt;&gt;F312,ISNUMBER(G312),ISNUMBER(H312),G312&gt;=0,H312&gt;=0,G312&lt;=100,H312&lt;=100,MOD(G312,1)=0,MOD(H312,1)=0,L312="FT90",S312&gt;0,INDEX(SourceTable[League],MAX(1,S312))=B312,INDEX(SourceTable[Season],MAX(1,S312))=C312,ISNUMBER(K312),K312=INDEX(SourceTable[Retrieved_UTC],MAX(1,S312)),J312&lt;&gt;"",M312&lt;&gt;"")),"INVALID",IF(OR(COUNTIFS('Istoric_Nativ'!$N$6:$N$405,N312,'Istoric_Nativ'!$G$6:$G$405,G312)&lt;&gt;COUNTIF('Istoric_Nativ'!$N$6:$N$405,N312),COUNTIFS('Istoric_Nativ'!$N$6:$N$405,N312,'Istoric_Nativ'!$H$6:$H$405,H312)&lt;&gt;COUNTIF('Istoric_Nativ'!$N$6:$N$405,N312)),"SOURCE CONFLICT",IF(COUNTIF($N$6:N312,N312)&gt;1,"DUPLICATE","VALID"))),"INVALID"))</x:f>
        <x:v>VALID</x:v>
      </x:c>
      <x:c r="P312" s="2" t="n">
        <x:f>IF(O312="VALID",1,0)</x:f>
        <x:v>1</x:v>
      </x:c>
      <x:c r="Q312" s="2" t="n">
        <x:f>IF(P312=1,G312+H312,0)</x:f>
        <x:v>12</x:v>
      </x:c>
      <x:c r="R312" s="2" t="n">
        <x:f>Q312^2</x:f>
        <x:v>144</x:v>
      </x:c>
      <x:c r="S312" s="2" t="n">
        <x:f>IF(A312="","",IFERROR(MATCH(I312,SourceTable[Source_ID],0),0))</x:f>
        <x:v>1</x:v>
      </x:c>
    </x:row>
    <x:row r="313" ht="21" customHeight="1">
      <x:c r="A313" s="7" t="str">
        <x:v>c1356438ba345aeb786d</x:v>
      </x:c>
      <x:c r="B313" s="7" t="str">
        <x:v>E0</x:v>
      </x:c>
      <x:c r="C313" s="7" t="str">
        <x:v>2025/26</x:v>
      </x:c>
      <x:c r="D313" s="8" t="n">
        <x:v>46103</x:v>
      </x:c>
      <x:c r="E313" s="7" t="str">
        <x:v>Newcastle</x:v>
      </x:c>
      <x:c r="F313" s="7" t="str">
        <x:v>Sunderland</x:v>
      </x:c>
      <x:c r="G313" s="7" t="n">
        <x:v>9</x:v>
      </x:c>
      <x:c r="H313" s="7" t="n">
        <x:v>5</x:v>
      </x:c>
      <x:c r="I313" s="7" t="str">
        <x:v>FD_E0_2526</x:v>
      </x:c>
      <x:c r="J313" s="7" t="str">
        <x:v>https://www.football-data.co.uk/mmz4281/2526/E0.csv</x:v>
      </x:c>
      <x:c r="K313" s="8" t="n">
        <x:v>46278.70306712963</x:v>
      </x:c>
      <x:c r="L313" s="7" t="str">
        <x:v>FT90</x:v>
      </x:c>
      <x:c r="M313" s="7" t="str">
        <x:v>CSV row 308</x:v>
      </x:c>
      <x:c r="N313" s="2" t="str">
        <x:f>IF(AND(A313&lt;&gt;"",ISNUMBER(D313)),B313&amp;"|"&amp;C313&amp;"|"&amp;TEXT(D313,"yyyymmdd")&amp;"|"&amp;E313&amp;"|"&amp;F313,"")</x:f>
        <x:v>E0|2025/26|20260322|Newcastle|Sunderland</x:v>
      </x:c>
      <x:c r="O313" s="2" t="str">
        <x:f>IF(A313="","",IFERROR(IF(NOT(AND(B313&lt;&gt;"",C313&lt;&gt;"",ISNUMBER(D313),D313&gt;0,E313&lt;&gt;"",F313&lt;&gt;"",E313&lt;&gt;F313,ISNUMBER(G313),ISNUMBER(H313),G313&gt;=0,H313&gt;=0,G313&lt;=100,H313&lt;=100,MOD(G313,1)=0,MOD(H313,1)=0,L313="FT90",S313&gt;0,INDEX(SourceTable[League],MAX(1,S313))=B313,INDEX(SourceTable[Season],MAX(1,S313))=C313,ISNUMBER(K313),K313=INDEX(SourceTable[Retrieved_UTC],MAX(1,S313)),J313&lt;&gt;"",M313&lt;&gt;"")),"INVALID",IF(OR(COUNTIFS('Istoric_Nativ'!$N$6:$N$405,N313,'Istoric_Nativ'!$G$6:$G$405,G313)&lt;&gt;COUNTIF('Istoric_Nativ'!$N$6:$N$405,N313),COUNTIFS('Istoric_Nativ'!$N$6:$N$405,N313,'Istoric_Nativ'!$H$6:$H$405,H313)&lt;&gt;COUNTIF('Istoric_Nativ'!$N$6:$N$405,N313)),"SOURCE CONFLICT",IF(COUNTIF($N$6:N313,N313)&gt;1,"DUPLICATE","VALID"))),"INVALID"))</x:f>
        <x:v>VALID</x:v>
      </x:c>
      <x:c r="P313" s="2" t="n">
        <x:f>IF(O313="VALID",1,0)</x:f>
        <x:v>1</x:v>
      </x:c>
      <x:c r="Q313" s="2" t="n">
        <x:f>IF(P313=1,G313+H313,0)</x:f>
        <x:v>14</x:v>
      </x:c>
      <x:c r="R313" s="2" t="n">
        <x:f>Q313^2</x:f>
        <x:v>196</x:v>
      </x:c>
      <x:c r="S313" s="2" t="n">
        <x:f>IF(A313="","",IFERROR(MATCH(I313,SourceTable[Source_ID],0),0))</x:f>
        <x:v>1</x:v>
      </x:c>
    </x:row>
    <x:row r="314" ht="21" customHeight="1">
      <x:c r="A314" s="7" t="str">
        <x:v>149f4284d35a691ae38b</x:v>
      </x:c>
      <x:c r="B314" s="7" t="str">
        <x:v>E0</x:v>
      </x:c>
      <x:c r="C314" s="7" t="str">
        <x:v>2025/26</x:v>
      </x:c>
      <x:c r="D314" s="8" t="n">
        <x:v>46103</x:v>
      </x:c>
      <x:c r="E314" s="7" t="str">
        <x:v>Tottenham</x:v>
      </x:c>
      <x:c r="F314" s="7" t="str">
        <x:v>Nott'm Forest</x:v>
      </x:c>
      <x:c r="G314" s="7" t="n">
        <x:v>13</x:v>
      </x:c>
      <x:c r="H314" s="7" t="n">
        <x:v>3</x:v>
      </x:c>
      <x:c r="I314" s="7" t="str">
        <x:v>FD_E0_2526</x:v>
      </x:c>
      <x:c r="J314" s="7" t="str">
        <x:v>https://www.football-data.co.uk/mmz4281/2526/E0.csv</x:v>
      </x:c>
      <x:c r="K314" s="8" t="n">
        <x:v>46278.70306712963</x:v>
      </x:c>
      <x:c r="L314" s="7" t="str">
        <x:v>FT90</x:v>
      </x:c>
      <x:c r="M314" s="7" t="str">
        <x:v>CSV row 310</x:v>
      </x:c>
      <x:c r="N314" s="2" t="str">
        <x:f>IF(AND(A314&lt;&gt;"",ISNUMBER(D314)),B314&amp;"|"&amp;C314&amp;"|"&amp;TEXT(D314,"yyyymmdd")&amp;"|"&amp;E314&amp;"|"&amp;F314,"")</x:f>
        <x:v>E0|2025/26|20260322|Tottenham|Nott'm Forest</x:v>
      </x:c>
      <x:c r="O314" s="2" t="str">
        <x:f>IF(A314="","",IFERROR(IF(NOT(AND(B314&lt;&gt;"",C314&lt;&gt;"",ISNUMBER(D314),D314&gt;0,E314&lt;&gt;"",F314&lt;&gt;"",E314&lt;&gt;F314,ISNUMBER(G314),ISNUMBER(H314),G314&gt;=0,H314&gt;=0,G314&lt;=100,H314&lt;=100,MOD(G314,1)=0,MOD(H314,1)=0,L314="FT90",S314&gt;0,INDEX(SourceTable[League],MAX(1,S314))=B314,INDEX(SourceTable[Season],MAX(1,S314))=C314,ISNUMBER(K314),K314=INDEX(SourceTable[Retrieved_UTC],MAX(1,S314)),J314&lt;&gt;"",M314&lt;&gt;"")),"INVALID",IF(OR(COUNTIFS('Istoric_Nativ'!$N$6:$N$405,N314,'Istoric_Nativ'!$G$6:$G$405,G314)&lt;&gt;COUNTIF('Istoric_Nativ'!$N$6:$N$405,N314),COUNTIFS('Istoric_Nativ'!$N$6:$N$405,N314,'Istoric_Nativ'!$H$6:$H$405,H314)&lt;&gt;COUNTIF('Istoric_Nativ'!$N$6:$N$405,N314)),"SOURCE CONFLICT",IF(COUNTIF($N$6:N314,N314)&gt;1,"DUPLICATE","VALID"))),"INVALID"))</x:f>
        <x:v>VALID</x:v>
      </x:c>
      <x:c r="P314" s="2" t="n">
        <x:f>IF(O314="VALID",1,0)</x:f>
        <x:v>1</x:v>
      </x:c>
      <x:c r="Q314" s="2" t="n">
        <x:f>IF(P314=1,G314+H314,0)</x:f>
        <x:v>16</x:v>
      </x:c>
      <x:c r="R314" s="2" t="n">
        <x:f>Q314^2</x:f>
        <x:v>256</x:v>
      </x:c>
      <x:c r="S314" s="2" t="n">
        <x:f>IF(A314="","",IFERROR(MATCH(I314,SourceTable[Source_ID],0),0))</x:f>
        <x:v>1</x:v>
      </x:c>
    </x:row>
    <x:row r="315" ht="21" customHeight="1">
      <x:c r="A315" s="7" t="str">
        <x:v>115e0a824d9198dc90ef</x:v>
      </x:c>
      <x:c r="B315" s="7" t="str">
        <x:v>E0</x:v>
      </x:c>
      <x:c r="C315" s="7" t="str">
        <x:v>2025/26</x:v>
      </x:c>
      <x:c r="D315" s="8" t="n">
        <x:v>46122</x:v>
      </x:c>
      <x:c r="E315" s="7" t="str">
        <x:v>West Ham</x:v>
      </x:c>
      <x:c r="F315" s="7" t="str">
        <x:v>Wolves</x:v>
      </x:c>
      <x:c r="G315" s="7" t="n">
        <x:v>5</x:v>
      </x:c>
      <x:c r="H315" s="7" t="n">
        <x:v>2</x:v>
      </x:c>
      <x:c r="I315" s="7" t="str">
        <x:v>FD_E0_2526</x:v>
      </x:c>
      <x:c r="J315" s="7" t="str">
        <x:v>https://www.football-data.co.uk/mmz4281/2526/E0.csv</x:v>
      </x:c>
      <x:c r="K315" s="8" t="n">
        <x:v>46278.70306712963</x:v>
      </x:c>
      <x:c r="L315" s="7" t="str">
        <x:v>FT90</x:v>
      </x:c>
      <x:c r="M315" s="7" t="str">
        <x:v>CSV row 311</x:v>
      </x:c>
      <x:c r="N315" s="2" t="str">
        <x:f>IF(AND(A315&lt;&gt;"",ISNUMBER(D315)),B315&amp;"|"&amp;C315&amp;"|"&amp;TEXT(D315,"yyyymmdd")&amp;"|"&amp;E315&amp;"|"&amp;F315,"")</x:f>
        <x:v>E0|2025/26|20260410|West Ham|Wolves</x:v>
      </x:c>
      <x:c r="O315" s="2" t="str">
        <x:f>IF(A315="","",IFERROR(IF(NOT(AND(B315&lt;&gt;"",C315&lt;&gt;"",ISNUMBER(D315),D315&gt;0,E315&lt;&gt;"",F315&lt;&gt;"",E315&lt;&gt;F315,ISNUMBER(G315),ISNUMBER(H315),G315&gt;=0,H315&gt;=0,G315&lt;=100,H315&lt;=100,MOD(G315,1)=0,MOD(H315,1)=0,L315="FT90",S315&gt;0,INDEX(SourceTable[League],MAX(1,S315))=B315,INDEX(SourceTable[Season],MAX(1,S315))=C315,ISNUMBER(K315),K315=INDEX(SourceTable[Retrieved_UTC],MAX(1,S315)),J315&lt;&gt;"",M315&lt;&gt;"")),"INVALID",IF(OR(COUNTIFS('Istoric_Nativ'!$N$6:$N$405,N315,'Istoric_Nativ'!$G$6:$G$405,G315)&lt;&gt;COUNTIF('Istoric_Nativ'!$N$6:$N$405,N315),COUNTIFS('Istoric_Nativ'!$N$6:$N$405,N315,'Istoric_Nativ'!$H$6:$H$405,H315)&lt;&gt;COUNTIF('Istoric_Nativ'!$N$6:$N$405,N315)),"SOURCE CONFLICT",IF(COUNTIF($N$6:N315,N315)&gt;1,"DUPLICATE","VALID"))),"INVALID"))</x:f>
        <x:v>VALID</x:v>
      </x:c>
      <x:c r="P315" s="2" t="n">
        <x:f>IF(O315="VALID",1,0)</x:f>
        <x:v>1</x:v>
      </x:c>
      <x:c r="Q315" s="2" t="n">
        <x:f>IF(P315=1,G315+H315,0)</x:f>
        <x:v>7</x:v>
      </x:c>
      <x:c r="R315" s="2" t="n">
        <x:f>Q315^2</x:f>
        <x:v>49</x:v>
      </x:c>
      <x:c r="S315" s="2" t="n">
        <x:f>IF(A315="","",IFERROR(MATCH(I315,SourceTable[Source_ID],0),0))</x:f>
        <x:v>1</x:v>
      </x:c>
    </x:row>
    <x:row r="316" ht="21" customHeight="1">
      <x:c r="A316" s="7" t="str">
        <x:v>bcac4f5d7c07ebf3e851</x:v>
      </x:c>
      <x:c r="B316" s="7" t="str">
        <x:v>E0</x:v>
      </x:c>
      <x:c r="C316" s="7" t="str">
        <x:v>2025/26</x:v>
      </x:c>
      <x:c r="D316" s="8" t="n">
        <x:v>46123</x:v>
      </x:c>
      <x:c r="E316" s="7" t="str">
        <x:v>Arsenal</x:v>
      </x:c>
      <x:c r="F316" s="7" t="str">
        <x:v>Bournemouth</x:v>
      </x:c>
      <x:c r="G316" s="7" t="n">
        <x:v>10</x:v>
      </x:c>
      <x:c r="H316" s="7" t="n">
        <x:v>1</x:v>
      </x:c>
      <x:c r="I316" s="7" t="str">
        <x:v>FD_E0_2526</x:v>
      </x:c>
      <x:c r="J316" s="7" t="str">
        <x:v>https://www.football-data.co.uk/mmz4281/2526/E0.csv</x:v>
      </x:c>
      <x:c r="K316" s="8" t="n">
        <x:v>46278.70306712963</x:v>
      </x:c>
      <x:c r="L316" s="7" t="str">
        <x:v>FT90</x:v>
      </x:c>
      <x:c r="M316" s="7" t="str">
        <x:v>CSV row 312</x:v>
      </x:c>
      <x:c r="N316" s="2" t="str">
        <x:f>IF(AND(A316&lt;&gt;"",ISNUMBER(D316)),B316&amp;"|"&amp;C316&amp;"|"&amp;TEXT(D316,"yyyymmdd")&amp;"|"&amp;E316&amp;"|"&amp;F316,"")</x:f>
        <x:v>E0|2025/26|20260411|Arsenal|Bournemouth</x:v>
      </x:c>
      <x:c r="O316" s="2" t="str">
        <x:f>IF(A316="","",IFERROR(IF(NOT(AND(B316&lt;&gt;"",C316&lt;&gt;"",ISNUMBER(D316),D316&gt;0,E316&lt;&gt;"",F316&lt;&gt;"",E316&lt;&gt;F316,ISNUMBER(G316),ISNUMBER(H316),G316&gt;=0,H316&gt;=0,G316&lt;=100,H316&lt;=100,MOD(G316,1)=0,MOD(H316,1)=0,L316="FT90",S316&gt;0,INDEX(SourceTable[League],MAX(1,S316))=B316,INDEX(SourceTable[Season],MAX(1,S316))=C316,ISNUMBER(K316),K316=INDEX(SourceTable[Retrieved_UTC],MAX(1,S316)),J316&lt;&gt;"",M316&lt;&gt;"")),"INVALID",IF(OR(COUNTIFS('Istoric_Nativ'!$N$6:$N$405,N316,'Istoric_Nativ'!$G$6:$G$405,G316)&lt;&gt;COUNTIF('Istoric_Nativ'!$N$6:$N$405,N316),COUNTIFS('Istoric_Nativ'!$N$6:$N$405,N316,'Istoric_Nativ'!$H$6:$H$405,H316)&lt;&gt;COUNTIF('Istoric_Nativ'!$N$6:$N$405,N316)),"SOURCE CONFLICT",IF(COUNTIF($N$6:N316,N316)&gt;1,"DUPLICATE","VALID"))),"INVALID"))</x:f>
        <x:v>VALID</x:v>
      </x:c>
      <x:c r="P316" s="2" t="n">
        <x:f>IF(O316="VALID",1,0)</x:f>
        <x:v>1</x:v>
      </x:c>
      <x:c r="Q316" s="2" t="n">
        <x:f>IF(P316=1,G316+H316,0)</x:f>
        <x:v>11</x:v>
      </x:c>
      <x:c r="R316" s="2" t="n">
        <x:f>Q316^2</x:f>
        <x:v>121</x:v>
      </x:c>
      <x:c r="S316" s="2" t="n">
        <x:f>IF(A316="","",IFERROR(MATCH(I316,SourceTable[Source_ID],0),0))</x:f>
        <x:v>1</x:v>
      </x:c>
    </x:row>
    <x:row r="317" ht="21" customHeight="1">
      <x:c r="A317" s="7" t="str">
        <x:v>17d897669f8dcf1e7269</x:v>
      </x:c>
      <x:c r="B317" s="7" t="str">
        <x:v>E0</x:v>
      </x:c>
      <x:c r="C317" s="7" t="str">
        <x:v>2025/26</x:v>
      </x:c>
      <x:c r="D317" s="8" t="n">
        <x:v>46123</x:v>
      </x:c>
      <x:c r="E317" s="7" t="str">
        <x:v>Brentford</x:v>
      </x:c>
      <x:c r="F317" s="7" t="str">
        <x:v>Everton</x:v>
      </x:c>
      <x:c r="G317" s="7" t="n">
        <x:v>2</x:v>
      </x:c>
      <x:c r="H317" s="7" t="n">
        <x:v>3</x:v>
      </x:c>
      <x:c r="I317" s="7" t="str">
        <x:v>FD_E0_2526</x:v>
      </x:c>
      <x:c r="J317" s="7" t="str">
        <x:v>https://www.football-data.co.uk/mmz4281/2526/E0.csv</x:v>
      </x:c>
      <x:c r="K317" s="8" t="n">
        <x:v>46278.70306712963</x:v>
      </x:c>
      <x:c r="L317" s="7" t="str">
        <x:v>FT90</x:v>
      </x:c>
      <x:c r="M317" s="7" t="str">
        <x:v>CSV row 313</x:v>
      </x:c>
      <x:c r="N317" s="2" t="str">
        <x:f>IF(AND(A317&lt;&gt;"",ISNUMBER(D317)),B317&amp;"|"&amp;C317&amp;"|"&amp;TEXT(D317,"yyyymmdd")&amp;"|"&amp;E317&amp;"|"&amp;F317,"")</x:f>
        <x:v>E0|2025/26|20260411|Brentford|Everton</x:v>
      </x:c>
      <x:c r="O317" s="2" t="str">
        <x:f>IF(A317="","",IFERROR(IF(NOT(AND(B317&lt;&gt;"",C317&lt;&gt;"",ISNUMBER(D317),D317&gt;0,E317&lt;&gt;"",F317&lt;&gt;"",E317&lt;&gt;F317,ISNUMBER(G317),ISNUMBER(H317),G317&gt;=0,H317&gt;=0,G317&lt;=100,H317&lt;=100,MOD(G317,1)=0,MOD(H317,1)=0,L317="FT90",S317&gt;0,INDEX(SourceTable[League],MAX(1,S317))=B317,INDEX(SourceTable[Season],MAX(1,S317))=C317,ISNUMBER(K317),K317=INDEX(SourceTable[Retrieved_UTC],MAX(1,S317)),J317&lt;&gt;"",M317&lt;&gt;"")),"INVALID",IF(OR(COUNTIFS('Istoric_Nativ'!$N$6:$N$405,N317,'Istoric_Nativ'!$G$6:$G$405,G317)&lt;&gt;COUNTIF('Istoric_Nativ'!$N$6:$N$405,N317),COUNTIFS('Istoric_Nativ'!$N$6:$N$405,N317,'Istoric_Nativ'!$H$6:$H$405,H317)&lt;&gt;COUNTIF('Istoric_Nativ'!$N$6:$N$405,N317)),"SOURCE CONFLICT",IF(COUNTIF($N$6:N317,N317)&gt;1,"DUPLICATE","VALID"))),"INVALID"))</x:f>
        <x:v>VALID</x:v>
      </x:c>
      <x:c r="P317" s="2" t="n">
        <x:f>IF(O317="VALID",1,0)</x:f>
        <x:v>1</x:v>
      </x:c>
      <x:c r="Q317" s="2" t="n">
        <x:f>IF(P317=1,G317+H317,0)</x:f>
        <x:v>5</x:v>
      </x:c>
      <x:c r="R317" s="2" t="n">
        <x:f>Q317^2</x:f>
        <x:v>25</x:v>
      </x:c>
      <x:c r="S317" s="2" t="n">
        <x:f>IF(A317="","",IFERROR(MATCH(I317,SourceTable[Source_ID],0),0))</x:f>
        <x:v>1</x:v>
      </x:c>
    </x:row>
    <x:row r="318" ht="21" customHeight="1">
      <x:c r="A318" s="7" t="str">
        <x:v>addd88fc1c6ca7947d0b</x:v>
      </x:c>
      <x:c r="B318" s="7" t="str">
        <x:v>E0</x:v>
      </x:c>
      <x:c r="C318" s="7" t="str">
        <x:v>2025/26</x:v>
      </x:c>
      <x:c r="D318" s="8" t="n">
        <x:v>46123</x:v>
      </x:c>
      <x:c r="E318" s="7" t="str">
        <x:v>Burnley</x:v>
      </x:c>
      <x:c r="F318" s="7" t="str">
        <x:v>Brighton</x:v>
      </x:c>
      <x:c r="G318" s="7" t="n">
        <x:v>8</x:v>
      </x:c>
      <x:c r="H318" s="7" t="n">
        <x:v>2</x:v>
      </x:c>
      <x:c r="I318" s="7" t="str">
        <x:v>FD_E0_2526</x:v>
      </x:c>
      <x:c r="J318" s="7" t="str">
        <x:v>https://www.football-data.co.uk/mmz4281/2526/E0.csv</x:v>
      </x:c>
      <x:c r="K318" s="8" t="n">
        <x:v>46278.70306712963</x:v>
      </x:c>
      <x:c r="L318" s="7" t="str">
        <x:v>FT90</x:v>
      </x:c>
      <x:c r="M318" s="7" t="str">
        <x:v>CSV row 314</x:v>
      </x:c>
      <x:c r="N318" s="2" t="str">
        <x:f>IF(AND(A318&lt;&gt;"",ISNUMBER(D318)),B318&amp;"|"&amp;C318&amp;"|"&amp;TEXT(D318,"yyyymmdd")&amp;"|"&amp;E318&amp;"|"&amp;F318,"")</x:f>
        <x:v>E0|2025/26|20260411|Burnley|Brighton</x:v>
      </x:c>
      <x:c r="O318" s="2" t="str">
        <x:f>IF(A318="","",IFERROR(IF(NOT(AND(B318&lt;&gt;"",C318&lt;&gt;"",ISNUMBER(D318),D318&gt;0,E318&lt;&gt;"",F318&lt;&gt;"",E318&lt;&gt;F318,ISNUMBER(G318),ISNUMBER(H318),G318&gt;=0,H318&gt;=0,G318&lt;=100,H318&lt;=100,MOD(G318,1)=0,MOD(H318,1)=0,L318="FT90",S318&gt;0,INDEX(SourceTable[League],MAX(1,S318))=B318,INDEX(SourceTable[Season],MAX(1,S318))=C318,ISNUMBER(K318),K318=INDEX(SourceTable[Retrieved_UTC],MAX(1,S318)),J318&lt;&gt;"",M318&lt;&gt;"")),"INVALID",IF(OR(COUNTIFS('Istoric_Nativ'!$N$6:$N$405,N318,'Istoric_Nativ'!$G$6:$G$405,G318)&lt;&gt;COUNTIF('Istoric_Nativ'!$N$6:$N$405,N318),COUNTIFS('Istoric_Nativ'!$N$6:$N$405,N318,'Istoric_Nativ'!$H$6:$H$405,H318)&lt;&gt;COUNTIF('Istoric_Nativ'!$N$6:$N$405,N318)),"SOURCE CONFLICT",IF(COUNTIF($N$6:N318,N318)&gt;1,"DUPLICATE","VALID"))),"INVALID"))</x:f>
        <x:v>VALID</x:v>
      </x:c>
      <x:c r="P318" s="2" t="n">
        <x:f>IF(O318="VALID",1,0)</x:f>
        <x:v>1</x:v>
      </x:c>
      <x:c r="Q318" s="2" t="n">
        <x:f>IF(P318=1,G318+H318,0)</x:f>
        <x:v>10</x:v>
      </x:c>
      <x:c r="R318" s="2" t="n">
        <x:f>Q318^2</x:f>
        <x:v>100</x:v>
      </x:c>
      <x:c r="S318" s="2" t="n">
        <x:f>IF(A318="","",IFERROR(MATCH(I318,SourceTable[Source_ID],0),0))</x:f>
        <x:v>1</x:v>
      </x:c>
    </x:row>
    <x:row r="319" ht="21" customHeight="1">
      <x:c r="A319" s="7" t="str">
        <x:v>12a2053bf2e595f67f44</x:v>
      </x:c>
      <x:c r="B319" s="7" t="str">
        <x:v>E0</x:v>
      </x:c>
      <x:c r="C319" s="7" t="str">
        <x:v>2025/26</x:v>
      </x:c>
      <x:c r="D319" s="8" t="n">
        <x:v>46123</x:v>
      </x:c>
      <x:c r="E319" s="7" t="str">
        <x:v>Liverpool</x:v>
      </x:c>
      <x:c r="F319" s="7" t="str">
        <x:v>Fulham</x:v>
      </x:c>
      <x:c r="G319" s="7" t="n">
        <x:v>6</x:v>
      </x:c>
      <x:c r="H319" s="7" t="n">
        <x:v>9</x:v>
      </x:c>
      <x:c r="I319" s="7" t="str">
        <x:v>FD_E0_2526</x:v>
      </x:c>
      <x:c r="J319" s="7" t="str">
        <x:v>https://www.football-data.co.uk/mmz4281/2526/E0.csv</x:v>
      </x:c>
      <x:c r="K319" s="8" t="n">
        <x:v>46278.70306712963</x:v>
      </x:c>
      <x:c r="L319" s="7" t="str">
        <x:v>FT90</x:v>
      </x:c>
      <x:c r="M319" s="7" t="str">
        <x:v>CSV row 315</x:v>
      </x:c>
      <x:c r="N319" s="2" t="str">
        <x:f>IF(AND(A319&lt;&gt;"",ISNUMBER(D319)),B319&amp;"|"&amp;C319&amp;"|"&amp;TEXT(D319,"yyyymmdd")&amp;"|"&amp;E319&amp;"|"&amp;F319,"")</x:f>
        <x:v>E0|2025/26|20260411|Liverpool|Fulham</x:v>
      </x:c>
      <x:c r="O319" s="2" t="str">
        <x:f>IF(A319="","",IFERROR(IF(NOT(AND(B319&lt;&gt;"",C319&lt;&gt;"",ISNUMBER(D319),D319&gt;0,E319&lt;&gt;"",F319&lt;&gt;"",E319&lt;&gt;F319,ISNUMBER(G319),ISNUMBER(H319),G319&gt;=0,H319&gt;=0,G319&lt;=100,H319&lt;=100,MOD(G319,1)=0,MOD(H319,1)=0,L319="FT90",S319&gt;0,INDEX(SourceTable[League],MAX(1,S319))=B319,INDEX(SourceTable[Season],MAX(1,S319))=C319,ISNUMBER(K319),K319=INDEX(SourceTable[Retrieved_UTC],MAX(1,S319)),J319&lt;&gt;"",M319&lt;&gt;"")),"INVALID",IF(OR(COUNTIFS('Istoric_Nativ'!$N$6:$N$405,N319,'Istoric_Nativ'!$G$6:$G$405,G319)&lt;&gt;COUNTIF('Istoric_Nativ'!$N$6:$N$405,N319),COUNTIFS('Istoric_Nativ'!$N$6:$N$405,N319,'Istoric_Nativ'!$H$6:$H$405,H319)&lt;&gt;COUNTIF('Istoric_Nativ'!$N$6:$N$405,N319)),"SOURCE CONFLICT",IF(COUNTIF($N$6:N319,N319)&gt;1,"DUPLICATE","VALID"))),"INVALID"))</x:f>
        <x:v>VALID</x:v>
      </x:c>
      <x:c r="P319" s="2" t="n">
        <x:f>IF(O319="VALID",1,0)</x:f>
        <x:v>1</x:v>
      </x:c>
      <x:c r="Q319" s="2" t="n">
        <x:f>IF(P319=1,G319+H319,0)</x:f>
        <x:v>15</x:v>
      </x:c>
      <x:c r="R319" s="2" t="n">
        <x:f>Q319^2</x:f>
        <x:v>225</x:v>
      </x:c>
      <x:c r="S319" s="2" t="n">
        <x:f>IF(A319="","",IFERROR(MATCH(I319,SourceTable[Source_ID],0),0))</x:f>
        <x:v>1</x:v>
      </x:c>
    </x:row>
    <x:row r="320" ht="21" customHeight="1">
      <x:c r="A320" s="7" t="str">
        <x:v>ce206275ddea5e8c0abb</x:v>
      </x:c>
      <x:c r="B320" s="7" t="str">
        <x:v>E0</x:v>
      </x:c>
      <x:c r="C320" s="7" t="str">
        <x:v>2025/26</x:v>
      </x:c>
      <x:c r="D320" s="8" t="n">
        <x:v>46124</x:v>
      </x:c>
      <x:c r="E320" s="7" t="str">
        <x:v>Chelsea</x:v>
      </x:c>
      <x:c r="F320" s="7" t="str">
        <x:v>Man City</x:v>
      </x:c>
      <x:c r="G320" s="7" t="n">
        <x:v>4</x:v>
      </x:c>
      <x:c r="H320" s="7" t="n">
        <x:v>12</x:v>
      </x:c>
      <x:c r="I320" s="7" t="str">
        <x:v>FD_E0_2526</x:v>
      </x:c>
      <x:c r="J320" s="7" t="str">
        <x:v>https://www.football-data.co.uk/mmz4281/2526/E0.csv</x:v>
      </x:c>
      <x:c r="K320" s="8" t="n">
        <x:v>46278.70306712963</x:v>
      </x:c>
      <x:c r="L320" s="7" t="str">
        <x:v>FT90</x:v>
      </x:c>
      <x:c r="M320" s="7" t="str">
        <x:v>CSV row 319</x:v>
      </x:c>
      <x:c r="N320" s="2" t="str">
        <x:f>IF(AND(A320&lt;&gt;"",ISNUMBER(D320)),B320&amp;"|"&amp;C320&amp;"|"&amp;TEXT(D320,"yyyymmdd")&amp;"|"&amp;E320&amp;"|"&amp;F320,"")</x:f>
        <x:v>E0|2025/26|20260412|Chelsea|Man City</x:v>
      </x:c>
      <x:c r="O320" s="2" t="str">
        <x:f>IF(A320="","",IFERROR(IF(NOT(AND(B320&lt;&gt;"",C320&lt;&gt;"",ISNUMBER(D320),D320&gt;0,E320&lt;&gt;"",F320&lt;&gt;"",E320&lt;&gt;F320,ISNUMBER(G320),ISNUMBER(H320),G320&gt;=0,H320&gt;=0,G320&lt;=100,H320&lt;=100,MOD(G320,1)=0,MOD(H320,1)=0,L320="FT90",S320&gt;0,INDEX(SourceTable[League],MAX(1,S320))=B320,INDEX(SourceTable[Season],MAX(1,S320))=C320,ISNUMBER(K320),K320=INDEX(SourceTable[Retrieved_UTC],MAX(1,S320)),J320&lt;&gt;"",M320&lt;&gt;"")),"INVALID",IF(OR(COUNTIFS('Istoric_Nativ'!$N$6:$N$405,N320,'Istoric_Nativ'!$G$6:$G$405,G320)&lt;&gt;COUNTIF('Istoric_Nativ'!$N$6:$N$405,N320),COUNTIFS('Istoric_Nativ'!$N$6:$N$405,N320,'Istoric_Nativ'!$H$6:$H$405,H320)&lt;&gt;COUNTIF('Istoric_Nativ'!$N$6:$N$405,N320)),"SOURCE CONFLICT",IF(COUNTIF($N$6:N320,N320)&gt;1,"DUPLICATE","VALID"))),"INVALID"))</x:f>
        <x:v>VALID</x:v>
      </x:c>
      <x:c r="P320" s="2" t="n">
        <x:f>IF(O320="VALID",1,0)</x:f>
        <x:v>1</x:v>
      </x:c>
      <x:c r="Q320" s="2" t="n">
        <x:f>IF(P320=1,G320+H320,0)</x:f>
        <x:v>16</x:v>
      </x:c>
      <x:c r="R320" s="2" t="n">
        <x:f>Q320^2</x:f>
        <x:v>256</x:v>
      </x:c>
      <x:c r="S320" s="2" t="n">
        <x:f>IF(A320="","",IFERROR(MATCH(I320,SourceTable[Source_ID],0),0))</x:f>
        <x:v>1</x:v>
      </x:c>
    </x:row>
    <x:row r="321" ht="21" customHeight="1">
      <x:c r="A321" s="7" t="str">
        <x:v>d202928eb86cdc306d1b</x:v>
      </x:c>
      <x:c r="B321" s="7" t="str">
        <x:v>E0</x:v>
      </x:c>
      <x:c r="C321" s="7" t="str">
        <x:v>2025/26</x:v>
      </x:c>
      <x:c r="D321" s="8" t="n">
        <x:v>46124</x:v>
      </x:c>
      <x:c r="E321" s="7" t="str">
        <x:v>Crystal Palace</x:v>
      </x:c>
      <x:c r="F321" s="7" t="str">
        <x:v>Newcastle</x:v>
      </x:c>
      <x:c r="G321" s="7" t="n">
        <x:v>2</x:v>
      </x:c>
      <x:c r="H321" s="7" t="n">
        <x:v>4</x:v>
      </x:c>
      <x:c r="I321" s="7" t="str">
        <x:v>FD_E0_2526</x:v>
      </x:c>
      <x:c r="J321" s="7" t="str">
        <x:v>https://www.football-data.co.uk/mmz4281/2526/E0.csv</x:v>
      </x:c>
      <x:c r="K321" s="8" t="n">
        <x:v>46278.70306712963</x:v>
      </x:c>
      <x:c r="L321" s="7" t="str">
        <x:v>FT90</x:v>
      </x:c>
      <x:c r="M321" s="7" t="str">
        <x:v>CSV row 316</x:v>
      </x:c>
      <x:c r="N321" s="2" t="str">
        <x:f>IF(AND(A321&lt;&gt;"",ISNUMBER(D321)),B321&amp;"|"&amp;C321&amp;"|"&amp;TEXT(D321,"yyyymmdd")&amp;"|"&amp;E321&amp;"|"&amp;F321,"")</x:f>
        <x:v>E0|2025/26|20260412|Crystal Palace|Newcastle</x:v>
      </x:c>
      <x:c r="O321" s="2" t="str">
        <x:f>IF(A321="","",IFERROR(IF(NOT(AND(B321&lt;&gt;"",C321&lt;&gt;"",ISNUMBER(D321),D321&gt;0,E321&lt;&gt;"",F321&lt;&gt;"",E321&lt;&gt;F321,ISNUMBER(G321),ISNUMBER(H321),G321&gt;=0,H321&gt;=0,G321&lt;=100,H321&lt;=100,MOD(G321,1)=0,MOD(H321,1)=0,L321="FT90",S321&gt;0,INDEX(SourceTable[League],MAX(1,S321))=B321,INDEX(SourceTable[Season],MAX(1,S321))=C321,ISNUMBER(K321),K321=INDEX(SourceTable[Retrieved_UTC],MAX(1,S321)),J321&lt;&gt;"",M321&lt;&gt;"")),"INVALID",IF(OR(COUNTIFS('Istoric_Nativ'!$N$6:$N$405,N321,'Istoric_Nativ'!$G$6:$G$405,G321)&lt;&gt;COUNTIF('Istoric_Nativ'!$N$6:$N$405,N321),COUNTIFS('Istoric_Nativ'!$N$6:$N$405,N321,'Istoric_Nativ'!$H$6:$H$405,H321)&lt;&gt;COUNTIF('Istoric_Nativ'!$N$6:$N$405,N321)),"SOURCE CONFLICT",IF(COUNTIF($N$6:N321,N321)&gt;1,"DUPLICATE","VALID"))),"INVALID"))</x:f>
        <x:v>VALID</x:v>
      </x:c>
      <x:c r="P321" s="2" t="n">
        <x:f>IF(O321="VALID",1,0)</x:f>
        <x:v>1</x:v>
      </x:c>
      <x:c r="Q321" s="2" t="n">
        <x:f>IF(P321=1,G321+H321,0)</x:f>
        <x:v>6</x:v>
      </x:c>
      <x:c r="R321" s="2" t="n">
        <x:f>Q321^2</x:f>
        <x:v>36</x:v>
      </x:c>
      <x:c r="S321" s="2" t="n">
        <x:f>IF(A321="","",IFERROR(MATCH(I321,SourceTable[Source_ID],0),0))</x:f>
        <x:v>1</x:v>
      </x:c>
    </x:row>
    <x:row r="322" ht="21" customHeight="1">
      <x:c r="A322" s="7" t="str">
        <x:v>fa8c674c3e971e9ffc7e</x:v>
      </x:c>
      <x:c r="B322" s="7" t="str">
        <x:v>E0</x:v>
      </x:c>
      <x:c r="C322" s="7" t="str">
        <x:v>2025/26</x:v>
      </x:c>
      <x:c r="D322" s="8" t="n">
        <x:v>46124</x:v>
      </x:c>
      <x:c r="E322" s="7" t="str">
        <x:v>Nott'm Forest</x:v>
      </x:c>
      <x:c r="F322" s="7" t="str">
        <x:v>Aston Villa</x:v>
      </x:c>
      <x:c r="G322" s="7" t="n">
        <x:v>7</x:v>
      </x:c>
      <x:c r="H322" s="7" t="n">
        <x:v>3</x:v>
      </x:c>
      <x:c r="I322" s="7" t="str">
        <x:v>FD_E0_2526</x:v>
      </x:c>
      <x:c r="J322" s="7" t="str">
        <x:v>https://www.football-data.co.uk/mmz4281/2526/E0.csv</x:v>
      </x:c>
      <x:c r="K322" s="8" t="n">
        <x:v>46278.70306712963</x:v>
      </x:c>
      <x:c r="L322" s="7" t="str">
        <x:v>FT90</x:v>
      </x:c>
      <x:c r="M322" s="7" t="str">
        <x:v>CSV row 317</x:v>
      </x:c>
      <x:c r="N322" s="2" t="str">
        <x:f>IF(AND(A322&lt;&gt;"",ISNUMBER(D322)),B322&amp;"|"&amp;C322&amp;"|"&amp;TEXT(D322,"yyyymmdd")&amp;"|"&amp;E322&amp;"|"&amp;F322,"")</x:f>
        <x:v>E0|2025/26|20260412|Nott'm Forest|Aston Villa</x:v>
      </x:c>
      <x:c r="O322" s="2" t="str">
        <x:f>IF(A322="","",IFERROR(IF(NOT(AND(B322&lt;&gt;"",C322&lt;&gt;"",ISNUMBER(D322),D322&gt;0,E322&lt;&gt;"",F322&lt;&gt;"",E322&lt;&gt;F322,ISNUMBER(G322),ISNUMBER(H322),G322&gt;=0,H322&gt;=0,G322&lt;=100,H322&lt;=100,MOD(G322,1)=0,MOD(H322,1)=0,L322="FT90",S322&gt;0,INDEX(SourceTable[League],MAX(1,S322))=B322,INDEX(SourceTable[Season],MAX(1,S322))=C322,ISNUMBER(K322),K322=INDEX(SourceTable[Retrieved_UTC],MAX(1,S322)),J322&lt;&gt;"",M322&lt;&gt;"")),"INVALID",IF(OR(COUNTIFS('Istoric_Nativ'!$N$6:$N$405,N322,'Istoric_Nativ'!$G$6:$G$405,G322)&lt;&gt;COUNTIF('Istoric_Nativ'!$N$6:$N$405,N322),COUNTIFS('Istoric_Nativ'!$N$6:$N$405,N322,'Istoric_Nativ'!$H$6:$H$405,H322)&lt;&gt;COUNTIF('Istoric_Nativ'!$N$6:$N$405,N322)),"SOURCE CONFLICT",IF(COUNTIF($N$6:N322,N322)&gt;1,"DUPLICATE","VALID"))),"INVALID"))</x:f>
        <x:v>VALID</x:v>
      </x:c>
      <x:c r="P322" s="2" t="n">
        <x:f>IF(O322="VALID",1,0)</x:f>
        <x:v>1</x:v>
      </x:c>
      <x:c r="Q322" s="2" t="n">
        <x:f>IF(P322=1,G322+H322,0)</x:f>
        <x:v>10</x:v>
      </x:c>
      <x:c r="R322" s="2" t="n">
        <x:f>Q322^2</x:f>
        <x:v>100</x:v>
      </x:c>
      <x:c r="S322" s="2" t="n">
        <x:f>IF(A322="","",IFERROR(MATCH(I322,SourceTable[Source_ID],0),0))</x:f>
        <x:v>1</x:v>
      </x:c>
    </x:row>
    <x:row r="323" ht="21" customHeight="1">
      <x:c r="A323" s="7" t="str">
        <x:v>203746241bf9fddd03ec</x:v>
      </x:c>
      <x:c r="B323" s="7" t="str">
        <x:v>E0</x:v>
      </x:c>
      <x:c r="C323" s="7" t="str">
        <x:v>2025/26</x:v>
      </x:c>
      <x:c r="D323" s="8" t="n">
        <x:v>46124</x:v>
      </x:c>
      <x:c r="E323" s="7" t="str">
        <x:v>Sunderland</x:v>
      </x:c>
      <x:c r="F323" s="7" t="str">
        <x:v>Tottenham</x:v>
      </x:c>
      <x:c r="G323" s="7" t="n">
        <x:v>2</x:v>
      </x:c>
      <x:c r="H323" s="7" t="n">
        <x:v>6</x:v>
      </x:c>
      <x:c r="I323" s="7" t="str">
        <x:v>FD_E0_2526</x:v>
      </x:c>
      <x:c r="J323" s="7" t="str">
        <x:v>https://www.football-data.co.uk/mmz4281/2526/E0.csv</x:v>
      </x:c>
      <x:c r="K323" s="8" t="n">
        <x:v>46278.70306712963</x:v>
      </x:c>
      <x:c r="L323" s="7" t="str">
        <x:v>FT90</x:v>
      </x:c>
      <x:c r="M323" s="7" t="str">
        <x:v>CSV row 318</x:v>
      </x:c>
      <x:c r="N323" s="2" t="str">
        <x:f>IF(AND(A323&lt;&gt;"",ISNUMBER(D323)),B323&amp;"|"&amp;C323&amp;"|"&amp;TEXT(D323,"yyyymmdd")&amp;"|"&amp;E323&amp;"|"&amp;F323,"")</x:f>
        <x:v>E0|2025/26|20260412|Sunderland|Tottenham</x:v>
      </x:c>
      <x:c r="O323" s="2" t="str">
        <x:f>IF(A323="","",IFERROR(IF(NOT(AND(B323&lt;&gt;"",C323&lt;&gt;"",ISNUMBER(D323),D323&gt;0,E323&lt;&gt;"",F323&lt;&gt;"",E323&lt;&gt;F323,ISNUMBER(G323),ISNUMBER(H323),G323&gt;=0,H323&gt;=0,G323&lt;=100,H323&lt;=100,MOD(G323,1)=0,MOD(H323,1)=0,L323="FT90",S323&gt;0,INDEX(SourceTable[League],MAX(1,S323))=B323,INDEX(SourceTable[Season],MAX(1,S323))=C323,ISNUMBER(K323),K323=INDEX(SourceTable[Retrieved_UTC],MAX(1,S323)),J323&lt;&gt;"",M323&lt;&gt;"")),"INVALID",IF(OR(COUNTIFS('Istoric_Nativ'!$N$6:$N$405,N323,'Istoric_Nativ'!$G$6:$G$405,G323)&lt;&gt;COUNTIF('Istoric_Nativ'!$N$6:$N$405,N323),COUNTIFS('Istoric_Nativ'!$N$6:$N$405,N323,'Istoric_Nativ'!$H$6:$H$405,H323)&lt;&gt;COUNTIF('Istoric_Nativ'!$N$6:$N$405,N323)),"SOURCE CONFLICT",IF(COUNTIF($N$6:N323,N323)&gt;1,"DUPLICATE","VALID"))),"INVALID"))</x:f>
        <x:v>VALID</x:v>
      </x:c>
      <x:c r="P323" s="2" t="n">
        <x:f>IF(O323="VALID",1,0)</x:f>
        <x:v>1</x:v>
      </x:c>
      <x:c r="Q323" s="2" t="n">
        <x:f>IF(P323=1,G323+H323,0)</x:f>
        <x:v>8</x:v>
      </x:c>
      <x:c r="R323" s="2" t="n">
        <x:f>Q323^2</x:f>
        <x:v>64</x:v>
      </x:c>
      <x:c r="S323" s="2" t="n">
        <x:f>IF(A323="","",IFERROR(MATCH(I323,SourceTable[Source_ID],0),0))</x:f>
        <x:v>1</x:v>
      </x:c>
    </x:row>
    <x:row r="324" ht="21" customHeight="1">
      <x:c r="A324" s="7" t="str">
        <x:v>c17794c74a0aa348c617</x:v>
      </x:c>
      <x:c r="B324" s="7" t="str">
        <x:v>E0</x:v>
      </x:c>
      <x:c r="C324" s="7" t="str">
        <x:v>2025/26</x:v>
      </x:c>
      <x:c r="D324" s="8" t="n">
        <x:v>46125</x:v>
      </x:c>
      <x:c r="E324" s="7" t="str">
        <x:v>Man United</x:v>
      </x:c>
      <x:c r="F324" s="7" t="str">
        <x:v>Leeds</x:v>
      </x:c>
      <x:c r="G324" s="7" t="n">
        <x:v>11</x:v>
      </x:c>
      <x:c r="H324" s="7" t="n">
        <x:v>4</x:v>
      </x:c>
      <x:c r="I324" s="7" t="str">
        <x:v>FD_E0_2526</x:v>
      </x:c>
      <x:c r="J324" s="7" t="str">
        <x:v>https://www.football-data.co.uk/mmz4281/2526/E0.csv</x:v>
      </x:c>
      <x:c r="K324" s="8" t="n">
        <x:v>46278.70306712963</x:v>
      </x:c>
      <x:c r="L324" s="7" t="str">
        <x:v>FT90</x:v>
      </x:c>
      <x:c r="M324" s="7" t="str">
        <x:v>CSV row 320</x:v>
      </x:c>
      <x:c r="N324" s="2" t="str">
        <x:f>IF(AND(A324&lt;&gt;"",ISNUMBER(D324)),B324&amp;"|"&amp;C324&amp;"|"&amp;TEXT(D324,"yyyymmdd")&amp;"|"&amp;E324&amp;"|"&amp;F324,"")</x:f>
        <x:v>E0|2025/26|20260413|Man United|Leeds</x:v>
      </x:c>
      <x:c r="O324" s="2" t="str">
        <x:f>IF(A324="","",IFERROR(IF(NOT(AND(B324&lt;&gt;"",C324&lt;&gt;"",ISNUMBER(D324),D324&gt;0,E324&lt;&gt;"",F324&lt;&gt;"",E324&lt;&gt;F324,ISNUMBER(G324),ISNUMBER(H324),G324&gt;=0,H324&gt;=0,G324&lt;=100,H324&lt;=100,MOD(G324,1)=0,MOD(H324,1)=0,L324="FT90",S324&gt;0,INDEX(SourceTable[League],MAX(1,S324))=B324,INDEX(SourceTable[Season],MAX(1,S324))=C324,ISNUMBER(K324),K324=INDEX(SourceTable[Retrieved_UTC],MAX(1,S324)),J324&lt;&gt;"",M324&lt;&gt;"")),"INVALID",IF(OR(COUNTIFS('Istoric_Nativ'!$N$6:$N$405,N324,'Istoric_Nativ'!$G$6:$G$405,G324)&lt;&gt;COUNTIF('Istoric_Nativ'!$N$6:$N$405,N324),COUNTIFS('Istoric_Nativ'!$N$6:$N$405,N324,'Istoric_Nativ'!$H$6:$H$405,H324)&lt;&gt;COUNTIF('Istoric_Nativ'!$N$6:$N$405,N324)),"SOURCE CONFLICT",IF(COUNTIF($N$6:N324,N324)&gt;1,"DUPLICATE","VALID"))),"INVALID"))</x:f>
        <x:v>VALID</x:v>
      </x:c>
      <x:c r="P324" s="2" t="n">
        <x:f>IF(O324="VALID",1,0)</x:f>
        <x:v>1</x:v>
      </x:c>
      <x:c r="Q324" s="2" t="n">
        <x:f>IF(P324=1,G324+H324,0)</x:f>
        <x:v>15</x:v>
      </x:c>
      <x:c r="R324" s="2" t="n">
        <x:f>Q324^2</x:f>
        <x:v>225</x:v>
      </x:c>
      <x:c r="S324" s="2" t="n">
        <x:f>IF(A324="","",IFERROR(MATCH(I324,SourceTable[Source_ID],0),0))</x:f>
        <x:v>1</x:v>
      </x:c>
    </x:row>
    <x:row r="325" ht="21" customHeight="1">
      <x:c r="A325" s="7" t="str">
        <x:v>022024be6bff9597cbf3</x:v>
      </x:c>
      <x:c r="B325" s="7" t="str">
        <x:v>E0</x:v>
      </x:c>
      <x:c r="C325" s="7" t="str">
        <x:v>2025/26</x:v>
      </x:c>
      <x:c r="D325" s="8" t="n">
        <x:v>46130</x:v>
      </x:c>
      <x:c r="E325" s="7" t="str">
        <x:v>Brentford</x:v>
      </x:c>
      <x:c r="F325" s="7" t="str">
        <x:v>Fulham</x:v>
      </x:c>
      <x:c r="G325" s="7" t="n">
        <x:v>9</x:v>
      </x:c>
      <x:c r="H325" s="7" t="n">
        <x:v>3</x:v>
      </x:c>
      <x:c r="I325" s="7" t="str">
        <x:v>FD_E0_2526</x:v>
      </x:c>
      <x:c r="J325" s="7" t="str">
        <x:v>https://www.football-data.co.uk/mmz4281/2526/E0.csv</x:v>
      </x:c>
      <x:c r="K325" s="8" t="n">
        <x:v>46278.70306712963</x:v>
      </x:c>
      <x:c r="L325" s="7" t="str">
        <x:v>FT90</x:v>
      </x:c>
      <x:c r="M325" s="7" t="str">
        <x:v>CSV row 321</x:v>
      </x:c>
      <x:c r="N325" s="2" t="str">
        <x:f>IF(AND(A325&lt;&gt;"",ISNUMBER(D325)),B325&amp;"|"&amp;C325&amp;"|"&amp;TEXT(D325,"yyyymmdd")&amp;"|"&amp;E325&amp;"|"&amp;F325,"")</x:f>
        <x:v>E0|2025/26|20260418|Brentford|Fulham</x:v>
      </x:c>
      <x:c r="O325" s="2" t="str">
        <x:f>IF(A325="","",IFERROR(IF(NOT(AND(B325&lt;&gt;"",C325&lt;&gt;"",ISNUMBER(D325),D325&gt;0,E325&lt;&gt;"",F325&lt;&gt;"",E325&lt;&gt;F325,ISNUMBER(G325),ISNUMBER(H325),G325&gt;=0,H325&gt;=0,G325&lt;=100,H325&lt;=100,MOD(G325,1)=0,MOD(H325,1)=0,L325="FT90",S325&gt;0,INDEX(SourceTable[League],MAX(1,S325))=B325,INDEX(SourceTable[Season],MAX(1,S325))=C325,ISNUMBER(K325),K325=INDEX(SourceTable[Retrieved_UTC],MAX(1,S325)),J325&lt;&gt;"",M325&lt;&gt;"")),"INVALID",IF(OR(COUNTIFS('Istoric_Nativ'!$N$6:$N$405,N325,'Istoric_Nativ'!$G$6:$G$405,G325)&lt;&gt;COUNTIF('Istoric_Nativ'!$N$6:$N$405,N325),COUNTIFS('Istoric_Nativ'!$N$6:$N$405,N325,'Istoric_Nativ'!$H$6:$H$405,H325)&lt;&gt;COUNTIF('Istoric_Nativ'!$N$6:$N$405,N325)),"SOURCE CONFLICT",IF(COUNTIF($N$6:N325,N325)&gt;1,"DUPLICATE","VALID"))),"INVALID"))</x:f>
        <x:v>VALID</x:v>
      </x:c>
      <x:c r="P325" s="2" t="n">
        <x:f>IF(O325="VALID",1,0)</x:f>
        <x:v>1</x:v>
      </x:c>
      <x:c r="Q325" s="2" t="n">
        <x:f>IF(P325=1,G325+H325,0)</x:f>
        <x:v>12</x:v>
      </x:c>
      <x:c r="R325" s="2" t="n">
        <x:f>Q325^2</x:f>
        <x:v>144</x:v>
      </x:c>
      <x:c r="S325" s="2" t="n">
        <x:f>IF(A325="","",IFERROR(MATCH(I325,SourceTable[Source_ID],0),0))</x:f>
        <x:v>1</x:v>
      </x:c>
    </x:row>
    <x:row r="326" ht="21" customHeight="1">
      <x:c r="A326" s="7" t="str">
        <x:v>5742a920839b1fa60fc1</x:v>
      </x:c>
      <x:c r="B326" s="7" t="str">
        <x:v>E0</x:v>
      </x:c>
      <x:c r="C326" s="7" t="str">
        <x:v>2025/26</x:v>
      </x:c>
      <x:c r="D326" s="8" t="n">
        <x:v>46130</x:v>
      </x:c>
      <x:c r="E326" s="7" t="str">
        <x:v>Chelsea</x:v>
      </x:c>
      <x:c r="F326" s="7" t="str">
        <x:v>Man United</x:v>
      </x:c>
      <x:c r="G326" s="7" t="n">
        <x:v>7</x:v>
      </x:c>
      <x:c r="H326" s="7" t="n">
        <x:v>1</x:v>
      </x:c>
      <x:c r="I326" s="7" t="str">
        <x:v>FD_E0_2526</x:v>
      </x:c>
      <x:c r="J326" s="7" t="str">
        <x:v>https://www.football-data.co.uk/mmz4281/2526/E0.csv</x:v>
      </x:c>
      <x:c r="K326" s="8" t="n">
        <x:v>46278.70306712963</x:v>
      </x:c>
      <x:c r="L326" s="7" t="str">
        <x:v>FT90</x:v>
      </x:c>
      <x:c r="M326" s="7" t="str">
        <x:v>CSV row 325</x:v>
      </x:c>
      <x:c r="N326" s="2" t="str">
        <x:f>IF(AND(A326&lt;&gt;"",ISNUMBER(D326)),B326&amp;"|"&amp;C326&amp;"|"&amp;TEXT(D326,"yyyymmdd")&amp;"|"&amp;E326&amp;"|"&amp;F326,"")</x:f>
        <x:v>E0|2025/26|20260418|Chelsea|Man United</x:v>
      </x:c>
      <x:c r="O326" s="2" t="str">
        <x:f>IF(A326="","",IFERROR(IF(NOT(AND(B326&lt;&gt;"",C326&lt;&gt;"",ISNUMBER(D326),D326&gt;0,E326&lt;&gt;"",F326&lt;&gt;"",E326&lt;&gt;F326,ISNUMBER(G326),ISNUMBER(H326),G326&gt;=0,H326&gt;=0,G326&lt;=100,H326&lt;=100,MOD(G326,1)=0,MOD(H326,1)=0,L326="FT90",S326&gt;0,INDEX(SourceTable[League],MAX(1,S326))=B326,INDEX(SourceTable[Season],MAX(1,S326))=C326,ISNUMBER(K326),K326=INDEX(SourceTable[Retrieved_UTC],MAX(1,S326)),J326&lt;&gt;"",M326&lt;&gt;"")),"INVALID",IF(OR(COUNTIFS('Istoric_Nativ'!$N$6:$N$405,N326,'Istoric_Nativ'!$G$6:$G$405,G326)&lt;&gt;COUNTIF('Istoric_Nativ'!$N$6:$N$405,N326),COUNTIFS('Istoric_Nativ'!$N$6:$N$405,N326,'Istoric_Nativ'!$H$6:$H$405,H326)&lt;&gt;COUNTIF('Istoric_Nativ'!$N$6:$N$405,N326)),"SOURCE CONFLICT",IF(COUNTIF($N$6:N326,N326)&gt;1,"DUPLICATE","VALID"))),"INVALID"))</x:f>
        <x:v>VALID</x:v>
      </x:c>
      <x:c r="P326" s="2" t="n">
        <x:f>IF(O326="VALID",1,0)</x:f>
        <x:v>1</x:v>
      </x:c>
      <x:c r="Q326" s="2" t="n">
        <x:f>IF(P326=1,G326+H326,0)</x:f>
        <x:v>8</x:v>
      </x:c>
      <x:c r="R326" s="2" t="n">
        <x:f>Q326^2</x:f>
        <x:v>64</x:v>
      </x:c>
      <x:c r="S326" s="2" t="n">
        <x:f>IF(A326="","",IFERROR(MATCH(I326,SourceTable[Source_ID],0),0))</x:f>
        <x:v>1</x:v>
      </x:c>
    </x:row>
    <x:row r="327" ht="21" customHeight="1">
      <x:c r="A327" s="7" t="str">
        <x:v>67cca1367620307b35e8</x:v>
      </x:c>
      <x:c r="B327" s="7" t="str">
        <x:v>E0</x:v>
      </x:c>
      <x:c r="C327" s="7" t="str">
        <x:v>2025/26</x:v>
      </x:c>
      <x:c r="D327" s="8" t="n">
        <x:v>46130</x:v>
      </x:c>
      <x:c r="E327" s="7" t="str">
        <x:v>Leeds</x:v>
      </x:c>
      <x:c r="F327" s="7" t="str">
        <x:v>Wolves</x:v>
      </x:c>
      <x:c r="G327" s="7" t="n">
        <x:v>5</x:v>
      </x:c>
      <x:c r="H327" s="7" t="n">
        <x:v>6</x:v>
      </x:c>
      <x:c r="I327" s="7" t="str">
        <x:v>FD_E0_2526</x:v>
      </x:c>
      <x:c r="J327" s="7" t="str">
        <x:v>https://www.football-data.co.uk/mmz4281/2526/E0.csv</x:v>
      </x:c>
      <x:c r="K327" s="8" t="n">
        <x:v>46278.70306712963</x:v>
      </x:c>
      <x:c r="L327" s="7" t="str">
        <x:v>FT90</x:v>
      </x:c>
      <x:c r="M327" s="7" t="str">
        <x:v>CSV row 322</x:v>
      </x:c>
      <x:c r="N327" s="2" t="str">
        <x:f>IF(AND(A327&lt;&gt;"",ISNUMBER(D327)),B327&amp;"|"&amp;C327&amp;"|"&amp;TEXT(D327,"yyyymmdd")&amp;"|"&amp;E327&amp;"|"&amp;F327,"")</x:f>
        <x:v>E0|2025/26|20260418|Leeds|Wolves</x:v>
      </x:c>
      <x:c r="O327" s="2" t="str">
        <x:f>IF(A327="","",IFERROR(IF(NOT(AND(B327&lt;&gt;"",C327&lt;&gt;"",ISNUMBER(D327),D327&gt;0,E327&lt;&gt;"",F327&lt;&gt;"",E327&lt;&gt;F327,ISNUMBER(G327),ISNUMBER(H327),G327&gt;=0,H327&gt;=0,G327&lt;=100,H327&lt;=100,MOD(G327,1)=0,MOD(H327,1)=0,L327="FT90",S327&gt;0,INDEX(SourceTable[League],MAX(1,S327))=B327,INDEX(SourceTable[Season],MAX(1,S327))=C327,ISNUMBER(K327),K327=INDEX(SourceTable[Retrieved_UTC],MAX(1,S327)),J327&lt;&gt;"",M327&lt;&gt;"")),"INVALID",IF(OR(COUNTIFS('Istoric_Nativ'!$N$6:$N$405,N327,'Istoric_Nativ'!$G$6:$G$405,G327)&lt;&gt;COUNTIF('Istoric_Nativ'!$N$6:$N$405,N327),COUNTIFS('Istoric_Nativ'!$N$6:$N$405,N327,'Istoric_Nativ'!$H$6:$H$405,H327)&lt;&gt;COUNTIF('Istoric_Nativ'!$N$6:$N$405,N327)),"SOURCE CONFLICT",IF(COUNTIF($N$6:N327,N327)&gt;1,"DUPLICATE","VALID"))),"INVALID"))</x:f>
        <x:v>VALID</x:v>
      </x:c>
      <x:c r="P327" s="2" t="n">
        <x:f>IF(O327="VALID",1,0)</x:f>
        <x:v>1</x:v>
      </x:c>
      <x:c r="Q327" s="2" t="n">
        <x:f>IF(P327=1,G327+H327,0)</x:f>
        <x:v>11</x:v>
      </x:c>
      <x:c r="R327" s="2" t="n">
        <x:f>Q327^2</x:f>
        <x:v>121</x:v>
      </x:c>
      <x:c r="S327" s="2" t="n">
        <x:f>IF(A327="","",IFERROR(MATCH(I327,SourceTable[Source_ID],0),0))</x:f>
        <x:v>1</x:v>
      </x:c>
    </x:row>
    <x:row r="328" ht="21" customHeight="1">
      <x:c r="A328" s="7" t="str">
        <x:v>f98d2b93449ce962997a</x:v>
      </x:c>
      <x:c r="B328" s="7" t="str">
        <x:v>E0</x:v>
      </x:c>
      <x:c r="C328" s="7" t="str">
        <x:v>2025/26</x:v>
      </x:c>
      <x:c r="D328" s="8" t="n">
        <x:v>46130</x:v>
      </x:c>
      <x:c r="E328" s="7" t="str">
        <x:v>Newcastle</x:v>
      </x:c>
      <x:c r="F328" s="7" t="str">
        <x:v>Bournemouth</x:v>
      </x:c>
      <x:c r="G328" s="7" t="n">
        <x:v>2</x:v>
      </x:c>
      <x:c r="H328" s="7" t="n">
        <x:v>3</x:v>
      </x:c>
      <x:c r="I328" s="7" t="str">
        <x:v>FD_E0_2526</x:v>
      </x:c>
      <x:c r="J328" s="7" t="str">
        <x:v>https://www.football-data.co.uk/mmz4281/2526/E0.csv</x:v>
      </x:c>
      <x:c r="K328" s="8" t="n">
        <x:v>46278.70306712963</x:v>
      </x:c>
      <x:c r="L328" s="7" t="str">
        <x:v>FT90</x:v>
      </x:c>
      <x:c r="M328" s="7" t="str">
        <x:v>CSV row 323</x:v>
      </x:c>
      <x:c r="N328" s="2" t="str">
        <x:f>IF(AND(A328&lt;&gt;"",ISNUMBER(D328)),B328&amp;"|"&amp;C328&amp;"|"&amp;TEXT(D328,"yyyymmdd")&amp;"|"&amp;E328&amp;"|"&amp;F328,"")</x:f>
        <x:v>E0|2025/26|20260418|Newcastle|Bournemouth</x:v>
      </x:c>
      <x:c r="O328" s="2" t="str">
        <x:f>IF(A328="","",IFERROR(IF(NOT(AND(B328&lt;&gt;"",C328&lt;&gt;"",ISNUMBER(D328),D328&gt;0,E328&lt;&gt;"",F328&lt;&gt;"",E328&lt;&gt;F328,ISNUMBER(G328),ISNUMBER(H328),G328&gt;=0,H328&gt;=0,G328&lt;=100,H328&lt;=100,MOD(G328,1)=0,MOD(H328,1)=0,L328="FT90",S328&gt;0,INDEX(SourceTable[League],MAX(1,S328))=B328,INDEX(SourceTable[Season],MAX(1,S328))=C328,ISNUMBER(K328),K328=INDEX(SourceTable[Retrieved_UTC],MAX(1,S328)),J328&lt;&gt;"",M328&lt;&gt;"")),"INVALID",IF(OR(COUNTIFS('Istoric_Nativ'!$N$6:$N$405,N328,'Istoric_Nativ'!$G$6:$G$405,G328)&lt;&gt;COUNTIF('Istoric_Nativ'!$N$6:$N$405,N328),COUNTIFS('Istoric_Nativ'!$N$6:$N$405,N328,'Istoric_Nativ'!$H$6:$H$405,H328)&lt;&gt;COUNTIF('Istoric_Nativ'!$N$6:$N$405,N328)),"SOURCE CONFLICT",IF(COUNTIF($N$6:N328,N328)&gt;1,"DUPLICATE","VALID"))),"INVALID"))</x:f>
        <x:v>VALID</x:v>
      </x:c>
      <x:c r="P328" s="2" t="n">
        <x:f>IF(O328="VALID",1,0)</x:f>
        <x:v>1</x:v>
      </x:c>
      <x:c r="Q328" s="2" t="n">
        <x:f>IF(P328=1,G328+H328,0)</x:f>
        <x:v>5</x:v>
      </x:c>
      <x:c r="R328" s="2" t="n">
        <x:f>Q328^2</x:f>
        <x:v>25</x:v>
      </x:c>
      <x:c r="S328" s="2" t="n">
        <x:f>IF(A328="","",IFERROR(MATCH(I328,SourceTable[Source_ID],0),0))</x:f>
        <x:v>1</x:v>
      </x:c>
    </x:row>
    <x:row r="329" ht="21" customHeight="1">
      <x:c r="A329" s="7" t="str">
        <x:v>2138d1e2df6442b5a795</x:v>
      </x:c>
      <x:c r="B329" s="7" t="str">
        <x:v>E0</x:v>
      </x:c>
      <x:c r="C329" s="7" t="str">
        <x:v>2025/26</x:v>
      </x:c>
      <x:c r="D329" s="8" t="n">
        <x:v>46130</x:v>
      </x:c>
      <x:c r="E329" s="7" t="str">
        <x:v>Tottenham</x:v>
      </x:c>
      <x:c r="F329" s="7" t="str">
        <x:v>Brighton</x:v>
      </x:c>
      <x:c r="G329" s="7" t="n">
        <x:v>7</x:v>
      </x:c>
      <x:c r="H329" s="7" t="n">
        <x:v>5</x:v>
      </x:c>
      <x:c r="I329" s="7" t="str">
        <x:v>FD_E0_2526</x:v>
      </x:c>
      <x:c r="J329" s="7" t="str">
        <x:v>https://www.football-data.co.uk/mmz4281/2526/E0.csv</x:v>
      </x:c>
      <x:c r="K329" s="8" t="n">
        <x:v>46278.70306712963</x:v>
      </x:c>
      <x:c r="L329" s="7" t="str">
        <x:v>FT90</x:v>
      </x:c>
      <x:c r="M329" s="7" t="str">
        <x:v>CSV row 324</x:v>
      </x:c>
      <x:c r="N329" s="2" t="str">
        <x:f>IF(AND(A329&lt;&gt;"",ISNUMBER(D329)),B329&amp;"|"&amp;C329&amp;"|"&amp;TEXT(D329,"yyyymmdd")&amp;"|"&amp;E329&amp;"|"&amp;F329,"")</x:f>
        <x:v>E0|2025/26|20260418|Tottenham|Brighton</x:v>
      </x:c>
      <x:c r="O329" s="2" t="str">
        <x:f>IF(A329="","",IFERROR(IF(NOT(AND(B329&lt;&gt;"",C329&lt;&gt;"",ISNUMBER(D329),D329&gt;0,E329&lt;&gt;"",F329&lt;&gt;"",E329&lt;&gt;F329,ISNUMBER(G329),ISNUMBER(H329),G329&gt;=0,H329&gt;=0,G329&lt;=100,H329&lt;=100,MOD(G329,1)=0,MOD(H329,1)=0,L329="FT90",S329&gt;0,INDEX(SourceTable[League],MAX(1,S329))=B329,INDEX(SourceTable[Season],MAX(1,S329))=C329,ISNUMBER(K329),K329=INDEX(SourceTable[Retrieved_UTC],MAX(1,S329)),J329&lt;&gt;"",M329&lt;&gt;"")),"INVALID",IF(OR(COUNTIFS('Istoric_Nativ'!$N$6:$N$405,N329,'Istoric_Nativ'!$G$6:$G$405,G329)&lt;&gt;COUNTIF('Istoric_Nativ'!$N$6:$N$405,N329),COUNTIFS('Istoric_Nativ'!$N$6:$N$405,N329,'Istoric_Nativ'!$H$6:$H$405,H329)&lt;&gt;COUNTIF('Istoric_Nativ'!$N$6:$N$405,N329)),"SOURCE CONFLICT",IF(COUNTIF($N$6:N329,N329)&gt;1,"DUPLICATE","VALID"))),"INVALID"))</x:f>
        <x:v>VALID</x:v>
      </x:c>
      <x:c r="P329" s="2" t="n">
        <x:f>IF(O329="VALID",1,0)</x:f>
        <x:v>1</x:v>
      </x:c>
      <x:c r="Q329" s="2" t="n">
        <x:f>IF(P329=1,G329+H329,0)</x:f>
        <x:v>12</x:v>
      </x:c>
      <x:c r="R329" s="2" t="n">
        <x:f>Q329^2</x:f>
        <x:v>144</x:v>
      </x:c>
      <x:c r="S329" s="2" t="n">
        <x:f>IF(A329="","",IFERROR(MATCH(I329,SourceTable[Source_ID],0),0))</x:f>
        <x:v>1</x:v>
      </x:c>
    </x:row>
    <x:row r="330" ht="21" customHeight="1">
      <x:c r="A330" s="7" t="str">
        <x:v>6f85b0b40e7e066b7730</x:v>
      </x:c>
      <x:c r="B330" s="7" t="str">
        <x:v>E0</x:v>
      </x:c>
      <x:c r="C330" s="7" t="str">
        <x:v>2025/26</x:v>
      </x:c>
      <x:c r="D330" s="8" t="n">
        <x:v>46131</x:v>
      </x:c>
      <x:c r="E330" s="7" t="str">
        <x:v>Aston Villa</x:v>
      </x:c>
      <x:c r="F330" s="7" t="str">
        <x:v>Sunderland</x:v>
      </x:c>
      <x:c r="G330" s="7" t="n">
        <x:v>4</x:v>
      </x:c>
      <x:c r="H330" s="7" t="n">
        <x:v>5</x:v>
      </x:c>
      <x:c r="I330" s="7" t="str">
        <x:v>FD_E0_2526</x:v>
      </x:c>
      <x:c r="J330" s="7" t="str">
        <x:v>https://www.football-data.co.uk/mmz4281/2526/E0.csv</x:v>
      </x:c>
      <x:c r="K330" s="8" t="n">
        <x:v>46278.70306712963</x:v>
      </x:c>
      <x:c r="L330" s="7" t="str">
        <x:v>FT90</x:v>
      </x:c>
      <x:c r="M330" s="7" t="str">
        <x:v>CSV row 326</x:v>
      </x:c>
      <x:c r="N330" s="2" t="str">
        <x:f>IF(AND(A330&lt;&gt;"",ISNUMBER(D330)),B330&amp;"|"&amp;C330&amp;"|"&amp;TEXT(D330,"yyyymmdd")&amp;"|"&amp;E330&amp;"|"&amp;F330,"")</x:f>
        <x:v>E0|2025/26|20260419|Aston Villa|Sunderland</x:v>
      </x:c>
      <x:c r="O330" s="2" t="str">
        <x:f>IF(A330="","",IFERROR(IF(NOT(AND(B330&lt;&gt;"",C330&lt;&gt;"",ISNUMBER(D330),D330&gt;0,E330&lt;&gt;"",F330&lt;&gt;"",E330&lt;&gt;F330,ISNUMBER(G330),ISNUMBER(H330),G330&gt;=0,H330&gt;=0,G330&lt;=100,H330&lt;=100,MOD(G330,1)=0,MOD(H330,1)=0,L330="FT90",S330&gt;0,INDEX(SourceTable[League],MAX(1,S330))=B330,INDEX(SourceTable[Season],MAX(1,S330))=C330,ISNUMBER(K330),K330=INDEX(SourceTable[Retrieved_UTC],MAX(1,S330)),J330&lt;&gt;"",M330&lt;&gt;"")),"INVALID",IF(OR(COUNTIFS('Istoric_Nativ'!$N$6:$N$405,N330,'Istoric_Nativ'!$G$6:$G$405,G330)&lt;&gt;COUNTIF('Istoric_Nativ'!$N$6:$N$405,N330),COUNTIFS('Istoric_Nativ'!$N$6:$N$405,N330,'Istoric_Nativ'!$H$6:$H$405,H330)&lt;&gt;COUNTIF('Istoric_Nativ'!$N$6:$N$405,N330)),"SOURCE CONFLICT",IF(COUNTIF($N$6:N330,N330)&gt;1,"DUPLICATE","VALID"))),"INVALID"))</x:f>
        <x:v>VALID</x:v>
      </x:c>
      <x:c r="P330" s="2" t="n">
        <x:f>IF(O330="VALID",1,0)</x:f>
        <x:v>1</x:v>
      </x:c>
      <x:c r="Q330" s="2" t="n">
        <x:f>IF(P330=1,G330+H330,0)</x:f>
        <x:v>9</x:v>
      </x:c>
      <x:c r="R330" s="2" t="n">
        <x:f>Q330^2</x:f>
        <x:v>81</x:v>
      </x:c>
      <x:c r="S330" s="2" t="n">
        <x:f>IF(A330="","",IFERROR(MATCH(I330,SourceTable[Source_ID],0),0))</x:f>
        <x:v>1</x:v>
      </x:c>
    </x:row>
    <x:row r="331" ht="21" customHeight="1">
      <x:c r="A331" s="7" t="str">
        <x:v>2ff802ab81ee30508389</x:v>
      </x:c>
      <x:c r="B331" s="7" t="str">
        <x:v>E0</x:v>
      </x:c>
      <x:c r="C331" s="7" t="str">
        <x:v>2025/26</x:v>
      </x:c>
      <x:c r="D331" s="8" t="n">
        <x:v>46131</x:v>
      </x:c>
      <x:c r="E331" s="7" t="str">
        <x:v>Everton</x:v>
      </x:c>
      <x:c r="F331" s="7" t="str">
        <x:v>Liverpool</x:v>
      </x:c>
      <x:c r="G331" s="7" t="n">
        <x:v>1</x:v>
      </x:c>
      <x:c r="H331" s="7" t="n">
        <x:v>6</x:v>
      </x:c>
      <x:c r="I331" s="7" t="str">
        <x:v>FD_E0_2526</x:v>
      </x:c>
      <x:c r="J331" s="7" t="str">
        <x:v>https://www.football-data.co.uk/mmz4281/2526/E0.csv</x:v>
      </x:c>
      <x:c r="K331" s="8" t="n">
        <x:v>46278.70306712963</x:v>
      </x:c>
      <x:c r="L331" s="7" t="str">
        <x:v>FT90</x:v>
      </x:c>
      <x:c r="M331" s="7" t="str">
        <x:v>CSV row 327</x:v>
      </x:c>
      <x:c r="N331" s="2" t="str">
        <x:f>IF(AND(A331&lt;&gt;"",ISNUMBER(D331)),B331&amp;"|"&amp;C331&amp;"|"&amp;TEXT(D331,"yyyymmdd")&amp;"|"&amp;E331&amp;"|"&amp;F331,"")</x:f>
        <x:v>E0|2025/26|20260419|Everton|Liverpool</x:v>
      </x:c>
      <x:c r="O331" s="2" t="str">
        <x:f>IF(A331="","",IFERROR(IF(NOT(AND(B331&lt;&gt;"",C331&lt;&gt;"",ISNUMBER(D331),D331&gt;0,E331&lt;&gt;"",F331&lt;&gt;"",E331&lt;&gt;F331,ISNUMBER(G331),ISNUMBER(H331),G331&gt;=0,H331&gt;=0,G331&lt;=100,H331&lt;=100,MOD(G331,1)=0,MOD(H331,1)=0,L331="FT90",S331&gt;0,INDEX(SourceTable[League],MAX(1,S331))=B331,INDEX(SourceTable[Season],MAX(1,S331))=C331,ISNUMBER(K331),K331=INDEX(SourceTable[Retrieved_UTC],MAX(1,S331)),J331&lt;&gt;"",M331&lt;&gt;"")),"INVALID",IF(OR(COUNTIFS('Istoric_Nativ'!$N$6:$N$405,N331,'Istoric_Nativ'!$G$6:$G$405,G331)&lt;&gt;COUNTIF('Istoric_Nativ'!$N$6:$N$405,N331),COUNTIFS('Istoric_Nativ'!$N$6:$N$405,N331,'Istoric_Nativ'!$H$6:$H$405,H331)&lt;&gt;COUNTIF('Istoric_Nativ'!$N$6:$N$405,N331)),"SOURCE CONFLICT",IF(COUNTIF($N$6:N331,N331)&gt;1,"DUPLICATE","VALID"))),"INVALID"))</x:f>
        <x:v>VALID</x:v>
      </x:c>
      <x:c r="P331" s="2" t="n">
        <x:f>IF(O331="VALID",1,0)</x:f>
        <x:v>1</x:v>
      </x:c>
      <x:c r="Q331" s="2" t="n">
        <x:f>IF(P331=1,G331+H331,0)</x:f>
        <x:v>7</x:v>
      </x:c>
      <x:c r="R331" s="2" t="n">
        <x:f>Q331^2</x:f>
        <x:v>49</x:v>
      </x:c>
      <x:c r="S331" s="2" t="n">
        <x:f>IF(A331="","",IFERROR(MATCH(I331,SourceTable[Source_ID],0),0))</x:f>
        <x:v>1</x:v>
      </x:c>
    </x:row>
    <x:row r="332" ht="21" customHeight="1">
      <x:c r="A332" s="7" t="str">
        <x:v>5eddea82b7bc97fb348d</x:v>
      </x:c>
      <x:c r="B332" s="7" t="str">
        <x:v>E0</x:v>
      </x:c>
      <x:c r="C332" s="7" t="str">
        <x:v>2025/26</x:v>
      </x:c>
      <x:c r="D332" s="8" t="n">
        <x:v>46131</x:v>
      </x:c>
      <x:c r="E332" s="7" t="str">
        <x:v>Man City</x:v>
      </x:c>
      <x:c r="F332" s="7" t="str">
        <x:v>Arsenal</x:v>
      </x:c>
      <x:c r="G332" s="7" t="n">
        <x:v>8</x:v>
      </x:c>
      <x:c r="H332" s="7" t="n">
        <x:v>5</x:v>
      </x:c>
      <x:c r="I332" s="7" t="str">
        <x:v>FD_E0_2526</x:v>
      </x:c>
      <x:c r="J332" s="7" t="str">
        <x:v>https://www.football-data.co.uk/mmz4281/2526/E0.csv</x:v>
      </x:c>
      <x:c r="K332" s="8" t="n">
        <x:v>46278.70306712963</x:v>
      </x:c>
      <x:c r="L332" s="7" t="str">
        <x:v>FT90</x:v>
      </x:c>
      <x:c r="M332" s="7" t="str">
        <x:v>CSV row 329</x:v>
      </x:c>
      <x:c r="N332" s="2" t="str">
        <x:f>IF(AND(A332&lt;&gt;"",ISNUMBER(D332)),B332&amp;"|"&amp;C332&amp;"|"&amp;TEXT(D332,"yyyymmdd")&amp;"|"&amp;E332&amp;"|"&amp;F332,"")</x:f>
        <x:v>E0|2025/26|20260419|Man City|Arsenal</x:v>
      </x:c>
      <x:c r="O332" s="2" t="str">
        <x:f>IF(A332="","",IFERROR(IF(NOT(AND(B332&lt;&gt;"",C332&lt;&gt;"",ISNUMBER(D332),D332&gt;0,E332&lt;&gt;"",F332&lt;&gt;"",E332&lt;&gt;F332,ISNUMBER(G332),ISNUMBER(H332),G332&gt;=0,H332&gt;=0,G332&lt;=100,H332&lt;=100,MOD(G332,1)=0,MOD(H332,1)=0,L332="FT90",S332&gt;0,INDEX(SourceTable[League],MAX(1,S332))=B332,INDEX(SourceTable[Season],MAX(1,S332))=C332,ISNUMBER(K332),K332=INDEX(SourceTable[Retrieved_UTC],MAX(1,S332)),J332&lt;&gt;"",M332&lt;&gt;"")),"INVALID",IF(OR(COUNTIFS('Istoric_Nativ'!$N$6:$N$405,N332,'Istoric_Nativ'!$G$6:$G$405,G332)&lt;&gt;COUNTIF('Istoric_Nativ'!$N$6:$N$405,N332),COUNTIFS('Istoric_Nativ'!$N$6:$N$405,N332,'Istoric_Nativ'!$H$6:$H$405,H332)&lt;&gt;COUNTIF('Istoric_Nativ'!$N$6:$N$405,N332)),"SOURCE CONFLICT",IF(COUNTIF($N$6:N332,N332)&gt;1,"DUPLICATE","VALID"))),"INVALID"))</x:f>
        <x:v>VALID</x:v>
      </x:c>
      <x:c r="P332" s="2" t="n">
        <x:f>IF(O332="VALID",1,0)</x:f>
        <x:v>1</x:v>
      </x:c>
      <x:c r="Q332" s="2" t="n">
        <x:f>IF(P332=1,G332+H332,0)</x:f>
        <x:v>13</x:v>
      </x:c>
      <x:c r="R332" s="2" t="n">
        <x:f>Q332^2</x:f>
        <x:v>169</x:v>
      </x:c>
      <x:c r="S332" s="2" t="n">
        <x:f>IF(A332="","",IFERROR(MATCH(I332,SourceTable[Source_ID],0),0))</x:f>
        <x:v>1</x:v>
      </x:c>
    </x:row>
    <x:row r="333" ht="21" customHeight="1">
      <x:c r="A333" s="7" t="str">
        <x:v>b316e872290f1a9be2ed</x:v>
      </x:c>
      <x:c r="B333" s="7" t="str">
        <x:v>E0</x:v>
      </x:c>
      <x:c r="C333" s="7" t="str">
        <x:v>2025/26</x:v>
      </x:c>
      <x:c r="D333" s="8" t="n">
        <x:v>46131</x:v>
      </x:c>
      <x:c r="E333" s="7" t="str">
        <x:v>Nott'm Forest</x:v>
      </x:c>
      <x:c r="F333" s="7" t="str">
        <x:v>Burnley</x:v>
      </x:c>
      <x:c r="G333" s="7" t="n">
        <x:v>4</x:v>
      </x:c>
      <x:c r="H333" s="7" t="n">
        <x:v>4</x:v>
      </x:c>
      <x:c r="I333" s="7" t="str">
        <x:v>FD_E0_2526</x:v>
      </x:c>
      <x:c r="J333" s="7" t="str">
        <x:v>https://www.football-data.co.uk/mmz4281/2526/E0.csv</x:v>
      </x:c>
      <x:c r="K333" s="8" t="n">
        <x:v>46278.70306712963</x:v>
      </x:c>
      <x:c r="L333" s="7" t="str">
        <x:v>FT90</x:v>
      </x:c>
      <x:c r="M333" s="7" t="str">
        <x:v>CSV row 328</x:v>
      </x:c>
      <x:c r="N333" s="2" t="str">
        <x:f>IF(AND(A333&lt;&gt;"",ISNUMBER(D333)),B333&amp;"|"&amp;C333&amp;"|"&amp;TEXT(D333,"yyyymmdd")&amp;"|"&amp;E333&amp;"|"&amp;F333,"")</x:f>
        <x:v>E0|2025/26|20260419|Nott'm Forest|Burnley</x:v>
      </x:c>
      <x:c r="O333" s="2" t="str">
        <x:f>IF(A333="","",IFERROR(IF(NOT(AND(B333&lt;&gt;"",C333&lt;&gt;"",ISNUMBER(D333),D333&gt;0,E333&lt;&gt;"",F333&lt;&gt;"",E333&lt;&gt;F333,ISNUMBER(G333),ISNUMBER(H333),G333&gt;=0,H333&gt;=0,G333&lt;=100,H333&lt;=100,MOD(G333,1)=0,MOD(H333,1)=0,L333="FT90",S333&gt;0,INDEX(SourceTable[League],MAX(1,S333))=B333,INDEX(SourceTable[Season],MAX(1,S333))=C333,ISNUMBER(K333),K333=INDEX(SourceTable[Retrieved_UTC],MAX(1,S333)),J333&lt;&gt;"",M333&lt;&gt;"")),"INVALID",IF(OR(COUNTIFS('Istoric_Nativ'!$N$6:$N$405,N333,'Istoric_Nativ'!$G$6:$G$405,G333)&lt;&gt;COUNTIF('Istoric_Nativ'!$N$6:$N$405,N333),COUNTIFS('Istoric_Nativ'!$N$6:$N$405,N333,'Istoric_Nativ'!$H$6:$H$405,H333)&lt;&gt;COUNTIF('Istoric_Nativ'!$N$6:$N$405,N333)),"SOURCE CONFLICT",IF(COUNTIF($N$6:N333,N333)&gt;1,"DUPLICATE","VALID"))),"INVALID"))</x:f>
        <x:v>VALID</x:v>
      </x:c>
      <x:c r="P333" s="2" t="n">
        <x:f>IF(O333="VALID",1,0)</x:f>
        <x:v>1</x:v>
      </x:c>
      <x:c r="Q333" s="2" t="n">
        <x:f>IF(P333=1,G333+H333,0)</x:f>
        <x:v>8</x:v>
      </x:c>
      <x:c r="R333" s="2" t="n">
        <x:f>Q333^2</x:f>
        <x:v>64</x:v>
      </x:c>
      <x:c r="S333" s="2" t="n">
        <x:f>IF(A333="","",IFERROR(MATCH(I333,SourceTable[Source_ID],0),0))</x:f>
        <x:v>1</x:v>
      </x:c>
    </x:row>
    <x:row r="334" ht="21" customHeight="1">
      <x:c r="A334" s="7" t="str">
        <x:v>1be95426e165860b8f21</x:v>
      </x:c>
      <x:c r="B334" s="7" t="str">
        <x:v>E0</x:v>
      </x:c>
      <x:c r="C334" s="7" t="str">
        <x:v>2025/26</x:v>
      </x:c>
      <x:c r="D334" s="8" t="n">
        <x:v>46132</x:v>
      </x:c>
      <x:c r="E334" s="7" t="str">
        <x:v>Crystal Palace</x:v>
      </x:c>
      <x:c r="F334" s="7" t="str">
        <x:v>West Ham</x:v>
      </x:c>
      <x:c r="G334" s="7" t="n">
        <x:v>4</x:v>
      </x:c>
      <x:c r="H334" s="7" t="n">
        <x:v>6</x:v>
      </x:c>
      <x:c r="I334" s="7" t="str">
        <x:v>FD_E0_2526</x:v>
      </x:c>
      <x:c r="J334" s="7" t="str">
        <x:v>https://www.football-data.co.uk/mmz4281/2526/E0.csv</x:v>
      </x:c>
      <x:c r="K334" s="8" t="n">
        <x:v>46278.70306712963</x:v>
      </x:c>
      <x:c r="L334" s="7" t="str">
        <x:v>FT90</x:v>
      </x:c>
      <x:c r="M334" s="7" t="str">
        <x:v>CSV row 330</x:v>
      </x:c>
      <x:c r="N334" s="2" t="str">
        <x:f>IF(AND(A334&lt;&gt;"",ISNUMBER(D334)),B334&amp;"|"&amp;C334&amp;"|"&amp;TEXT(D334,"yyyymmdd")&amp;"|"&amp;E334&amp;"|"&amp;F334,"")</x:f>
        <x:v>E0|2025/26|20260420|Crystal Palace|West Ham</x:v>
      </x:c>
      <x:c r="O334" s="2" t="str">
        <x:f>IF(A334="","",IFERROR(IF(NOT(AND(B334&lt;&gt;"",C334&lt;&gt;"",ISNUMBER(D334),D334&gt;0,E334&lt;&gt;"",F334&lt;&gt;"",E334&lt;&gt;F334,ISNUMBER(G334),ISNUMBER(H334),G334&gt;=0,H334&gt;=0,G334&lt;=100,H334&lt;=100,MOD(G334,1)=0,MOD(H334,1)=0,L334="FT90",S334&gt;0,INDEX(SourceTable[League],MAX(1,S334))=B334,INDEX(SourceTable[Season],MAX(1,S334))=C334,ISNUMBER(K334),K334=INDEX(SourceTable[Retrieved_UTC],MAX(1,S334)),J334&lt;&gt;"",M334&lt;&gt;"")),"INVALID",IF(OR(COUNTIFS('Istoric_Nativ'!$N$6:$N$405,N334,'Istoric_Nativ'!$G$6:$G$405,G334)&lt;&gt;COUNTIF('Istoric_Nativ'!$N$6:$N$405,N334),COUNTIFS('Istoric_Nativ'!$N$6:$N$405,N334,'Istoric_Nativ'!$H$6:$H$405,H334)&lt;&gt;COUNTIF('Istoric_Nativ'!$N$6:$N$405,N334)),"SOURCE CONFLICT",IF(COUNTIF($N$6:N334,N334)&gt;1,"DUPLICATE","VALID"))),"INVALID"))</x:f>
        <x:v>VALID</x:v>
      </x:c>
      <x:c r="P334" s="2" t="n">
        <x:f>IF(O334="VALID",1,0)</x:f>
        <x:v>1</x:v>
      </x:c>
      <x:c r="Q334" s="2" t="n">
        <x:f>IF(P334=1,G334+H334,0)</x:f>
        <x:v>10</x:v>
      </x:c>
      <x:c r="R334" s="2" t="n">
        <x:f>Q334^2</x:f>
        <x:v>100</x:v>
      </x:c>
      <x:c r="S334" s="2" t="n">
        <x:f>IF(A334="","",IFERROR(MATCH(I334,SourceTable[Source_ID],0),0))</x:f>
        <x:v>1</x:v>
      </x:c>
    </x:row>
    <x:row r="335" ht="21" customHeight="1">
      <x:c r="A335" s="7" t="str">
        <x:v>5cd02505d2dde8cd7671</x:v>
      </x:c>
      <x:c r="B335" s="7" t="str">
        <x:v>E0</x:v>
      </x:c>
      <x:c r="C335" s="7" t="str">
        <x:v>2025/26</x:v>
      </x:c>
      <x:c r="D335" s="8" t="n">
        <x:v>46133</x:v>
      </x:c>
      <x:c r="E335" s="7" t="str">
        <x:v>Brighton</x:v>
      </x:c>
      <x:c r="F335" s="7" t="str">
        <x:v>Chelsea</x:v>
      </x:c>
      <x:c r="G335" s="7" t="n">
        <x:v>6</x:v>
      </x:c>
      <x:c r="H335" s="7" t="n">
        <x:v>5</x:v>
      </x:c>
      <x:c r="I335" s="7" t="str">
        <x:v>FD_E0_2526</x:v>
      </x:c>
      <x:c r="J335" s="7" t="str">
        <x:v>https://www.football-data.co.uk/mmz4281/2526/E0.csv</x:v>
      </x:c>
      <x:c r="K335" s="8" t="n">
        <x:v>46278.70306712963</x:v>
      </x:c>
      <x:c r="L335" s="7" t="str">
        <x:v>FT90</x:v>
      </x:c>
      <x:c r="M335" s="7" t="str">
        <x:v>CSV row 331</x:v>
      </x:c>
      <x:c r="N335" s="2" t="str">
        <x:f>IF(AND(A335&lt;&gt;"",ISNUMBER(D335)),B335&amp;"|"&amp;C335&amp;"|"&amp;TEXT(D335,"yyyymmdd")&amp;"|"&amp;E335&amp;"|"&amp;F335,"")</x:f>
        <x:v>E0|2025/26|20260421|Brighton|Chelsea</x:v>
      </x:c>
      <x:c r="O335" s="2" t="str">
        <x:f>IF(A335="","",IFERROR(IF(NOT(AND(B335&lt;&gt;"",C335&lt;&gt;"",ISNUMBER(D335),D335&gt;0,E335&lt;&gt;"",F335&lt;&gt;"",E335&lt;&gt;F335,ISNUMBER(G335),ISNUMBER(H335),G335&gt;=0,H335&gt;=0,G335&lt;=100,H335&lt;=100,MOD(G335,1)=0,MOD(H335,1)=0,L335="FT90",S335&gt;0,INDEX(SourceTable[League],MAX(1,S335))=B335,INDEX(SourceTable[Season],MAX(1,S335))=C335,ISNUMBER(K335),K335=INDEX(SourceTable[Retrieved_UTC],MAX(1,S335)),J335&lt;&gt;"",M335&lt;&gt;"")),"INVALID",IF(OR(COUNTIFS('Istoric_Nativ'!$N$6:$N$405,N335,'Istoric_Nativ'!$G$6:$G$405,G335)&lt;&gt;COUNTIF('Istoric_Nativ'!$N$6:$N$405,N335),COUNTIFS('Istoric_Nativ'!$N$6:$N$405,N335,'Istoric_Nativ'!$H$6:$H$405,H335)&lt;&gt;COUNTIF('Istoric_Nativ'!$N$6:$N$405,N335)),"SOURCE CONFLICT",IF(COUNTIF($N$6:N335,N335)&gt;1,"DUPLICATE","VALID"))),"INVALID"))</x:f>
        <x:v>VALID</x:v>
      </x:c>
      <x:c r="P335" s="2" t="n">
        <x:f>IF(O335="VALID",1,0)</x:f>
        <x:v>1</x:v>
      </x:c>
      <x:c r="Q335" s="2" t="n">
        <x:f>IF(P335=1,G335+H335,0)</x:f>
        <x:v>11</x:v>
      </x:c>
      <x:c r="R335" s="2" t="n">
        <x:f>Q335^2</x:f>
        <x:v>121</x:v>
      </x:c>
      <x:c r="S335" s="2" t="n">
        <x:f>IF(A335="","",IFERROR(MATCH(I335,SourceTable[Source_ID],0),0))</x:f>
        <x:v>1</x:v>
      </x:c>
    </x:row>
    <x:row r="336" ht="21" customHeight="1">
      <x:c r="A336" s="7" t="str">
        <x:v>837752c68866029c18d7</x:v>
      </x:c>
      <x:c r="B336" s="7" t="str">
        <x:v>E0</x:v>
      </x:c>
      <x:c r="C336" s="7" t="str">
        <x:v>2025/26</x:v>
      </x:c>
      <x:c r="D336" s="8" t="n">
        <x:v>46134</x:v>
      </x:c>
      <x:c r="E336" s="7" t="str">
        <x:v>Bournemouth</x:v>
      </x:c>
      <x:c r="F336" s="7" t="str">
        <x:v>Leeds</x:v>
      </x:c>
      <x:c r="G336" s="7" t="n">
        <x:v>12</x:v>
      </x:c>
      <x:c r="H336" s="7" t="n">
        <x:v>1</x:v>
      </x:c>
      <x:c r="I336" s="7" t="str">
        <x:v>FD_E0_2526</x:v>
      </x:c>
      <x:c r="J336" s="7" t="str">
        <x:v>https://www.football-data.co.uk/mmz4281/2526/E0.csv</x:v>
      </x:c>
      <x:c r="K336" s="8" t="n">
        <x:v>46278.70306712963</x:v>
      </x:c>
      <x:c r="L336" s="7" t="str">
        <x:v>FT90</x:v>
      </x:c>
      <x:c r="M336" s="7" t="str">
        <x:v>CSV row 332</x:v>
      </x:c>
      <x:c r="N336" s="2" t="str">
        <x:f>IF(AND(A336&lt;&gt;"",ISNUMBER(D336)),B336&amp;"|"&amp;C336&amp;"|"&amp;TEXT(D336,"yyyymmdd")&amp;"|"&amp;E336&amp;"|"&amp;F336,"")</x:f>
        <x:v>E0|2025/26|20260422|Bournemouth|Leeds</x:v>
      </x:c>
      <x:c r="O336" s="2" t="str">
        <x:f>IF(A336="","",IFERROR(IF(NOT(AND(B336&lt;&gt;"",C336&lt;&gt;"",ISNUMBER(D336),D336&gt;0,E336&lt;&gt;"",F336&lt;&gt;"",E336&lt;&gt;F336,ISNUMBER(G336),ISNUMBER(H336),G336&gt;=0,H336&gt;=0,G336&lt;=100,H336&lt;=100,MOD(G336,1)=0,MOD(H336,1)=0,L336="FT90",S336&gt;0,INDEX(SourceTable[League],MAX(1,S336))=B336,INDEX(SourceTable[Season],MAX(1,S336))=C336,ISNUMBER(K336),K336=INDEX(SourceTable[Retrieved_UTC],MAX(1,S336)),J336&lt;&gt;"",M336&lt;&gt;"")),"INVALID",IF(OR(COUNTIFS('Istoric_Nativ'!$N$6:$N$405,N336,'Istoric_Nativ'!$G$6:$G$405,G336)&lt;&gt;COUNTIF('Istoric_Nativ'!$N$6:$N$405,N336),COUNTIFS('Istoric_Nativ'!$N$6:$N$405,N336,'Istoric_Nativ'!$H$6:$H$405,H336)&lt;&gt;COUNTIF('Istoric_Nativ'!$N$6:$N$405,N336)),"SOURCE CONFLICT",IF(COUNTIF($N$6:N336,N336)&gt;1,"DUPLICATE","VALID"))),"INVALID"))</x:f>
        <x:v>VALID</x:v>
      </x:c>
      <x:c r="P336" s="2" t="n">
        <x:f>IF(O336="VALID",1,0)</x:f>
        <x:v>1</x:v>
      </x:c>
      <x:c r="Q336" s="2" t="n">
        <x:f>IF(P336=1,G336+H336,0)</x:f>
        <x:v>13</x:v>
      </x:c>
      <x:c r="R336" s="2" t="n">
        <x:f>Q336^2</x:f>
        <x:v>169</x:v>
      </x:c>
      <x:c r="S336" s="2" t="n">
        <x:f>IF(A336="","",IFERROR(MATCH(I336,SourceTable[Source_ID],0),0))</x:f>
        <x:v>1</x:v>
      </x:c>
    </x:row>
    <x:row r="337" ht="21" customHeight="1">
      <x:c r="A337" s="7" t="str">
        <x:v>6a4fda487560b08bb5ce</x:v>
      </x:c>
      <x:c r="B337" s="7" t="str">
        <x:v>E0</x:v>
      </x:c>
      <x:c r="C337" s="7" t="str">
        <x:v>2025/26</x:v>
      </x:c>
      <x:c r="D337" s="8" t="n">
        <x:v>46134</x:v>
      </x:c>
      <x:c r="E337" s="7" t="str">
        <x:v>Burnley</x:v>
      </x:c>
      <x:c r="F337" s="7" t="str">
        <x:v>Man City</x:v>
      </x:c>
      <x:c r="G337" s="7" t="n">
        <x:v>3</x:v>
      </x:c>
      <x:c r="H337" s="7" t="n">
        <x:v>11</x:v>
      </x:c>
      <x:c r="I337" s="7" t="str">
        <x:v>FD_E0_2526</x:v>
      </x:c>
      <x:c r="J337" s="7" t="str">
        <x:v>https://www.football-data.co.uk/mmz4281/2526/E0.csv</x:v>
      </x:c>
      <x:c r="K337" s="8" t="n">
        <x:v>46278.70306712963</x:v>
      </x:c>
      <x:c r="L337" s="7" t="str">
        <x:v>FT90</x:v>
      </x:c>
      <x:c r="M337" s="7" t="str">
        <x:v>CSV row 333</x:v>
      </x:c>
      <x:c r="N337" s="2" t="str">
        <x:f>IF(AND(A337&lt;&gt;"",ISNUMBER(D337)),B337&amp;"|"&amp;C337&amp;"|"&amp;TEXT(D337,"yyyymmdd")&amp;"|"&amp;E337&amp;"|"&amp;F337,"")</x:f>
        <x:v>E0|2025/26|20260422|Burnley|Man City</x:v>
      </x:c>
      <x:c r="O337" s="2" t="str">
        <x:f>IF(A337="","",IFERROR(IF(NOT(AND(B337&lt;&gt;"",C337&lt;&gt;"",ISNUMBER(D337),D337&gt;0,E337&lt;&gt;"",F337&lt;&gt;"",E337&lt;&gt;F337,ISNUMBER(G337),ISNUMBER(H337),G337&gt;=0,H337&gt;=0,G337&lt;=100,H337&lt;=100,MOD(G337,1)=0,MOD(H337,1)=0,L337="FT90",S337&gt;0,INDEX(SourceTable[League],MAX(1,S337))=B337,INDEX(SourceTable[Season],MAX(1,S337))=C337,ISNUMBER(K337),K337=INDEX(SourceTable[Retrieved_UTC],MAX(1,S337)),J337&lt;&gt;"",M337&lt;&gt;"")),"INVALID",IF(OR(COUNTIFS('Istoric_Nativ'!$N$6:$N$405,N337,'Istoric_Nativ'!$G$6:$G$405,G337)&lt;&gt;COUNTIF('Istoric_Nativ'!$N$6:$N$405,N337),COUNTIFS('Istoric_Nativ'!$N$6:$N$405,N337,'Istoric_Nativ'!$H$6:$H$405,H337)&lt;&gt;COUNTIF('Istoric_Nativ'!$N$6:$N$405,N337)),"SOURCE CONFLICT",IF(COUNTIF($N$6:N337,N337)&gt;1,"DUPLICATE","VALID"))),"INVALID"))</x:f>
        <x:v>VALID</x:v>
      </x:c>
      <x:c r="P337" s="2" t="n">
        <x:f>IF(O337="VALID",1,0)</x:f>
        <x:v>1</x:v>
      </x:c>
      <x:c r="Q337" s="2" t="n">
        <x:f>IF(P337=1,G337+H337,0)</x:f>
        <x:v>14</x:v>
      </x:c>
      <x:c r="R337" s="2" t="n">
        <x:f>Q337^2</x:f>
        <x:v>196</x:v>
      </x:c>
      <x:c r="S337" s="2" t="n">
        <x:f>IF(A337="","",IFERROR(MATCH(I337,SourceTable[Source_ID],0),0))</x:f>
        <x:v>1</x:v>
      </x:c>
    </x:row>
    <x:row r="338" ht="21" customHeight="1">
      <x:c r="A338" s="7" t="str">
        <x:v>20c3c1198bcb9274bec5</x:v>
      </x:c>
      <x:c r="B338" s="7" t="str">
        <x:v>E0</x:v>
      </x:c>
      <x:c r="C338" s="7" t="str">
        <x:v>2025/26</x:v>
      </x:c>
      <x:c r="D338" s="8" t="n">
        <x:v>46136</x:v>
      </x:c>
      <x:c r="E338" s="7" t="str">
        <x:v>Sunderland</x:v>
      </x:c>
      <x:c r="F338" s="7" t="str">
        <x:v>Nott'm Forest</x:v>
      </x:c>
      <x:c r="G338" s="7" t="n">
        <x:v>3</x:v>
      </x:c>
      <x:c r="H338" s="7" t="n">
        <x:v>6</x:v>
      </x:c>
      <x:c r="I338" s="7" t="str">
        <x:v>FD_E0_2526</x:v>
      </x:c>
      <x:c r="J338" s="7" t="str">
        <x:v>https://www.football-data.co.uk/mmz4281/2526/E0.csv</x:v>
      </x:c>
      <x:c r="K338" s="8" t="n">
        <x:v>46278.70306712963</x:v>
      </x:c>
      <x:c r="L338" s="7" t="str">
        <x:v>FT90</x:v>
      </x:c>
      <x:c r="M338" s="7" t="str">
        <x:v>CSV row 334</x:v>
      </x:c>
      <x:c r="N338" s="2" t="str">
        <x:f>IF(AND(A338&lt;&gt;"",ISNUMBER(D338)),B338&amp;"|"&amp;C338&amp;"|"&amp;TEXT(D338,"yyyymmdd")&amp;"|"&amp;E338&amp;"|"&amp;F338,"")</x:f>
        <x:v>E0|2025/26|20260424|Sunderland|Nott'm Forest</x:v>
      </x:c>
      <x:c r="O338" s="2" t="str">
        <x:f>IF(A338="","",IFERROR(IF(NOT(AND(B338&lt;&gt;"",C338&lt;&gt;"",ISNUMBER(D338),D338&gt;0,E338&lt;&gt;"",F338&lt;&gt;"",E338&lt;&gt;F338,ISNUMBER(G338),ISNUMBER(H338),G338&gt;=0,H338&gt;=0,G338&lt;=100,H338&lt;=100,MOD(G338,1)=0,MOD(H338,1)=0,L338="FT90",S338&gt;0,INDEX(SourceTable[League],MAX(1,S338))=B338,INDEX(SourceTable[Season],MAX(1,S338))=C338,ISNUMBER(K338),K338=INDEX(SourceTable[Retrieved_UTC],MAX(1,S338)),J338&lt;&gt;"",M338&lt;&gt;"")),"INVALID",IF(OR(COUNTIFS('Istoric_Nativ'!$N$6:$N$405,N338,'Istoric_Nativ'!$G$6:$G$405,G338)&lt;&gt;COUNTIF('Istoric_Nativ'!$N$6:$N$405,N338),COUNTIFS('Istoric_Nativ'!$N$6:$N$405,N338,'Istoric_Nativ'!$H$6:$H$405,H338)&lt;&gt;COUNTIF('Istoric_Nativ'!$N$6:$N$405,N338)),"SOURCE CONFLICT",IF(COUNTIF($N$6:N338,N338)&gt;1,"DUPLICATE","VALID"))),"INVALID"))</x:f>
        <x:v>VALID</x:v>
      </x:c>
      <x:c r="P338" s="2" t="n">
        <x:f>IF(O338="VALID",1,0)</x:f>
        <x:v>1</x:v>
      </x:c>
      <x:c r="Q338" s="2" t="n">
        <x:f>IF(P338=1,G338+H338,0)</x:f>
        <x:v>9</x:v>
      </x:c>
      <x:c r="R338" s="2" t="n">
        <x:f>Q338^2</x:f>
        <x:v>81</x:v>
      </x:c>
      <x:c r="S338" s="2" t="n">
        <x:f>IF(A338="","",IFERROR(MATCH(I338,SourceTable[Source_ID],0),0))</x:f>
        <x:v>1</x:v>
      </x:c>
    </x:row>
    <x:row r="339" ht="21" customHeight="1">
      <x:c r="A339" s="7" t="str">
        <x:v>87b1e2b4692b0d21a594</x:v>
      </x:c>
      <x:c r="B339" s="7" t="str">
        <x:v>E0</x:v>
      </x:c>
      <x:c r="C339" s="7" t="str">
        <x:v>2025/26</x:v>
      </x:c>
      <x:c r="D339" s="8" t="n">
        <x:v>46137</x:v>
      </x:c>
      <x:c r="E339" s="7" t="str">
        <x:v>Arsenal</x:v>
      </x:c>
      <x:c r="F339" s="7" t="str">
        <x:v>Newcastle</x:v>
      </x:c>
      <x:c r="G339" s="7" t="n">
        <x:v>7</x:v>
      </x:c>
      <x:c r="H339" s="7" t="n">
        <x:v>2</x:v>
      </x:c>
      <x:c r="I339" s="7" t="str">
        <x:v>FD_E0_2526</x:v>
      </x:c>
      <x:c r="J339" s="7" t="str">
        <x:v>https://www.football-data.co.uk/mmz4281/2526/E0.csv</x:v>
      </x:c>
      <x:c r="K339" s="8" t="n">
        <x:v>46278.70306712963</x:v>
      </x:c>
      <x:c r="L339" s="7" t="str">
        <x:v>FT90</x:v>
      </x:c>
      <x:c r="M339" s="7" t="str">
        <x:v>CSV row 339</x:v>
      </x:c>
      <x:c r="N339" s="2" t="str">
        <x:f>IF(AND(A339&lt;&gt;"",ISNUMBER(D339)),B339&amp;"|"&amp;C339&amp;"|"&amp;TEXT(D339,"yyyymmdd")&amp;"|"&amp;E339&amp;"|"&amp;F339,"")</x:f>
        <x:v>E0|2025/26|20260425|Arsenal|Newcastle</x:v>
      </x:c>
      <x:c r="O339" s="2" t="str">
        <x:f>IF(A339="","",IFERROR(IF(NOT(AND(B339&lt;&gt;"",C339&lt;&gt;"",ISNUMBER(D339),D339&gt;0,E339&lt;&gt;"",F339&lt;&gt;"",E339&lt;&gt;F339,ISNUMBER(G339),ISNUMBER(H339),G339&gt;=0,H339&gt;=0,G339&lt;=100,H339&lt;=100,MOD(G339,1)=0,MOD(H339,1)=0,L339="FT90",S339&gt;0,INDEX(SourceTable[League],MAX(1,S339))=B339,INDEX(SourceTable[Season],MAX(1,S339))=C339,ISNUMBER(K339),K339=INDEX(SourceTable[Retrieved_UTC],MAX(1,S339)),J339&lt;&gt;"",M339&lt;&gt;"")),"INVALID",IF(OR(COUNTIFS('Istoric_Nativ'!$N$6:$N$405,N339,'Istoric_Nativ'!$G$6:$G$405,G339)&lt;&gt;COUNTIF('Istoric_Nativ'!$N$6:$N$405,N339),COUNTIFS('Istoric_Nativ'!$N$6:$N$405,N339,'Istoric_Nativ'!$H$6:$H$405,H339)&lt;&gt;COUNTIF('Istoric_Nativ'!$N$6:$N$405,N339)),"SOURCE CONFLICT",IF(COUNTIF($N$6:N339,N339)&gt;1,"DUPLICATE","VALID"))),"INVALID"))</x:f>
        <x:v>VALID</x:v>
      </x:c>
      <x:c r="P339" s="2" t="n">
        <x:f>IF(O339="VALID",1,0)</x:f>
        <x:v>1</x:v>
      </x:c>
      <x:c r="Q339" s="2" t="n">
        <x:f>IF(P339=1,G339+H339,0)</x:f>
        <x:v>9</x:v>
      </x:c>
      <x:c r="R339" s="2" t="n">
        <x:f>Q339^2</x:f>
        <x:v>81</x:v>
      </x:c>
      <x:c r="S339" s="2" t="n">
        <x:f>IF(A339="","",IFERROR(MATCH(I339,SourceTable[Source_ID],0),0))</x:f>
        <x:v>1</x:v>
      </x:c>
    </x:row>
    <x:row r="340" ht="21" customHeight="1">
      <x:c r="A340" s="7" t="str">
        <x:v>214937c4e27cd2deb501</x:v>
      </x:c>
      <x:c r="B340" s="7" t="str">
        <x:v>E0</x:v>
      </x:c>
      <x:c r="C340" s="7" t="str">
        <x:v>2025/26</x:v>
      </x:c>
      <x:c r="D340" s="8" t="n">
        <x:v>46137</x:v>
      </x:c>
      <x:c r="E340" s="7" t="str">
        <x:v>Fulham</x:v>
      </x:c>
      <x:c r="F340" s="7" t="str">
        <x:v>Aston Villa</x:v>
      </x:c>
      <x:c r="G340" s="7" t="n">
        <x:v>2</x:v>
      </x:c>
      <x:c r="H340" s="7" t="n">
        <x:v>5</x:v>
      </x:c>
      <x:c r="I340" s="7" t="str">
        <x:v>FD_E0_2526</x:v>
      </x:c>
      <x:c r="J340" s="7" t="str">
        <x:v>https://www.football-data.co.uk/mmz4281/2526/E0.csv</x:v>
      </x:c>
      <x:c r="K340" s="8" t="n">
        <x:v>46278.70306712963</x:v>
      </x:c>
      <x:c r="L340" s="7" t="str">
        <x:v>FT90</x:v>
      </x:c>
      <x:c r="M340" s="7" t="str">
        <x:v>CSV row 335</x:v>
      </x:c>
      <x:c r="N340" s="2" t="str">
        <x:f>IF(AND(A340&lt;&gt;"",ISNUMBER(D340)),B340&amp;"|"&amp;C340&amp;"|"&amp;TEXT(D340,"yyyymmdd")&amp;"|"&amp;E340&amp;"|"&amp;F340,"")</x:f>
        <x:v>E0|2025/26|20260425|Fulham|Aston Villa</x:v>
      </x:c>
      <x:c r="O340" s="2" t="str">
        <x:f>IF(A340="","",IFERROR(IF(NOT(AND(B340&lt;&gt;"",C340&lt;&gt;"",ISNUMBER(D340),D340&gt;0,E340&lt;&gt;"",F340&lt;&gt;"",E340&lt;&gt;F340,ISNUMBER(G340),ISNUMBER(H340),G340&gt;=0,H340&gt;=0,G340&lt;=100,H340&lt;=100,MOD(G340,1)=0,MOD(H340,1)=0,L340="FT90",S340&gt;0,INDEX(SourceTable[League],MAX(1,S340))=B340,INDEX(SourceTable[Season],MAX(1,S340))=C340,ISNUMBER(K340),K340=INDEX(SourceTable[Retrieved_UTC],MAX(1,S340)),J340&lt;&gt;"",M340&lt;&gt;"")),"INVALID",IF(OR(COUNTIFS('Istoric_Nativ'!$N$6:$N$405,N340,'Istoric_Nativ'!$G$6:$G$405,G340)&lt;&gt;COUNTIF('Istoric_Nativ'!$N$6:$N$405,N340),COUNTIFS('Istoric_Nativ'!$N$6:$N$405,N340,'Istoric_Nativ'!$H$6:$H$405,H340)&lt;&gt;COUNTIF('Istoric_Nativ'!$N$6:$N$405,N340)),"SOURCE CONFLICT",IF(COUNTIF($N$6:N340,N340)&gt;1,"DUPLICATE","VALID"))),"INVALID"))</x:f>
        <x:v>VALID</x:v>
      </x:c>
      <x:c r="P340" s="2" t="n">
        <x:f>IF(O340="VALID",1,0)</x:f>
        <x:v>1</x:v>
      </x:c>
      <x:c r="Q340" s="2" t="n">
        <x:f>IF(P340=1,G340+H340,0)</x:f>
        <x:v>7</x:v>
      </x:c>
      <x:c r="R340" s="2" t="n">
        <x:f>Q340^2</x:f>
        <x:v>49</x:v>
      </x:c>
      <x:c r="S340" s="2" t="n">
        <x:f>IF(A340="","",IFERROR(MATCH(I340,SourceTable[Source_ID],0),0))</x:f>
        <x:v>1</x:v>
      </x:c>
    </x:row>
    <x:row r="341" ht="21" customHeight="1">
      <x:c r="A341" s="7" t="str">
        <x:v>3c50689c0d46e65d3aa6</x:v>
      </x:c>
      <x:c r="B341" s="7" t="str">
        <x:v>E0</x:v>
      </x:c>
      <x:c r="C341" s="7" t="str">
        <x:v>2025/26</x:v>
      </x:c>
      <x:c r="D341" s="8" t="n">
        <x:v>46137</x:v>
      </x:c>
      <x:c r="E341" s="7" t="str">
        <x:v>Liverpool</x:v>
      </x:c>
      <x:c r="F341" s="7" t="str">
        <x:v>Crystal Palace</x:v>
      </x:c>
      <x:c r="G341" s="7" t="n">
        <x:v>5</x:v>
      </x:c>
      <x:c r="H341" s="7" t="n">
        <x:v>8</x:v>
      </x:c>
      <x:c r="I341" s="7" t="str">
        <x:v>FD_E0_2526</x:v>
      </x:c>
      <x:c r="J341" s="7" t="str">
        <x:v>https://www.football-data.co.uk/mmz4281/2526/E0.csv</x:v>
      </x:c>
      <x:c r="K341" s="8" t="n">
        <x:v>46278.70306712963</x:v>
      </x:c>
      <x:c r="L341" s="7" t="str">
        <x:v>FT90</x:v>
      </x:c>
      <x:c r="M341" s="7" t="str">
        <x:v>CSV row 336</x:v>
      </x:c>
      <x:c r="N341" s="2" t="str">
        <x:f>IF(AND(A341&lt;&gt;"",ISNUMBER(D341)),B341&amp;"|"&amp;C341&amp;"|"&amp;TEXT(D341,"yyyymmdd")&amp;"|"&amp;E341&amp;"|"&amp;F341,"")</x:f>
        <x:v>E0|2025/26|20260425|Liverpool|Crystal Palace</x:v>
      </x:c>
      <x:c r="O341" s="2" t="str">
        <x:f>IF(A341="","",IFERROR(IF(NOT(AND(B341&lt;&gt;"",C341&lt;&gt;"",ISNUMBER(D341),D341&gt;0,E341&lt;&gt;"",F341&lt;&gt;"",E341&lt;&gt;F341,ISNUMBER(G341),ISNUMBER(H341),G341&gt;=0,H341&gt;=0,G341&lt;=100,H341&lt;=100,MOD(G341,1)=0,MOD(H341,1)=0,L341="FT90",S341&gt;0,INDEX(SourceTable[League],MAX(1,S341))=B341,INDEX(SourceTable[Season],MAX(1,S341))=C341,ISNUMBER(K341),K341=INDEX(SourceTable[Retrieved_UTC],MAX(1,S341)),J341&lt;&gt;"",M341&lt;&gt;"")),"INVALID",IF(OR(COUNTIFS('Istoric_Nativ'!$N$6:$N$405,N341,'Istoric_Nativ'!$G$6:$G$405,G341)&lt;&gt;COUNTIF('Istoric_Nativ'!$N$6:$N$405,N341),COUNTIFS('Istoric_Nativ'!$N$6:$N$405,N341,'Istoric_Nativ'!$H$6:$H$405,H341)&lt;&gt;COUNTIF('Istoric_Nativ'!$N$6:$N$405,N341)),"SOURCE CONFLICT",IF(COUNTIF($N$6:N341,N341)&gt;1,"DUPLICATE","VALID"))),"INVALID"))</x:f>
        <x:v>VALID</x:v>
      </x:c>
      <x:c r="P341" s="2" t="n">
        <x:f>IF(O341="VALID",1,0)</x:f>
        <x:v>1</x:v>
      </x:c>
      <x:c r="Q341" s="2" t="n">
        <x:f>IF(P341=1,G341+H341,0)</x:f>
        <x:v>13</x:v>
      </x:c>
      <x:c r="R341" s="2" t="n">
        <x:f>Q341^2</x:f>
        <x:v>169</x:v>
      </x:c>
      <x:c r="S341" s="2" t="n">
        <x:f>IF(A341="","",IFERROR(MATCH(I341,SourceTable[Source_ID],0),0))</x:f>
        <x:v>1</x:v>
      </x:c>
    </x:row>
    <x:row r="342" ht="21" customHeight="1">
      <x:c r="A342" s="7" t="str">
        <x:v>4363ab98b16e45c6093f</x:v>
      </x:c>
      <x:c r="B342" s="7" t="str">
        <x:v>E0</x:v>
      </x:c>
      <x:c r="C342" s="7" t="str">
        <x:v>2025/26</x:v>
      </x:c>
      <x:c r="D342" s="8" t="n">
        <x:v>46137</x:v>
      </x:c>
      <x:c r="E342" s="7" t="str">
        <x:v>West Ham</x:v>
      </x:c>
      <x:c r="F342" s="7" t="str">
        <x:v>Everton</x:v>
      </x:c>
      <x:c r="G342" s="7" t="n">
        <x:v>3</x:v>
      </x:c>
      <x:c r="H342" s="7" t="n">
        <x:v>4</x:v>
      </x:c>
      <x:c r="I342" s="7" t="str">
        <x:v>FD_E0_2526</x:v>
      </x:c>
      <x:c r="J342" s="7" t="str">
        <x:v>https://www.football-data.co.uk/mmz4281/2526/E0.csv</x:v>
      </x:c>
      <x:c r="K342" s="8" t="n">
        <x:v>46278.70306712963</x:v>
      </x:c>
      <x:c r="L342" s="7" t="str">
        <x:v>FT90</x:v>
      </x:c>
      <x:c r="M342" s="7" t="str">
        <x:v>CSV row 337</x:v>
      </x:c>
      <x:c r="N342" s="2" t="str">
        <x:f>IF(AND(A342&lt;&gt;"",ISNUMBER(D342)),B342&amp;"|"&amp;C342&amp;"|"&amp;TEXT(D342,"yyyymmdd")&amp;"|"&amp;E342&amp;"|"&amp;F342,"")</x:f>
        <x:v>E0|2025/26|20260425|West Ham|Everton</x:v>
      </x:c>
      <x:c r="O342" s="2" t="str">
        <x:f>IF(A342="","",IFERROR(IF(NOT(AND(B342&lt;&gt;"",C342&lt;&gt;"",ISNUMBER(D342),D342&gt;0,E342&lt;&gt;"",F342&lt;&gt;"",E342&lt;&gt;F342,ISNUMBER(G342),ISNUMBER(H342),G342&gt;=0,H342&gt;=0,G342&lt;=100,H342&lt;=100,MOD(G342,1)=0,MOD(H342,1)=0,L342="FT90",S342&gt;0,INDEX(SourceTable[League],MAX(1,S342))=B342,INDEX(SourceTable[Season],MAX(1,S342))=C342,ISNUMBER(K342),K342=INDEX(SourceTable[Retrieved_UTC],MAX(1,S342)),J342&lt;&gt;"",M342&lt;&gt;"")),"INVALID",IF(OR(COUNTIFS('Istoric_Nativ'!$N$6:$N$405,N342,'Istoric_Nativ'!$G$6:$G$405,G342)&lt;&gt;COUNTIF('Istoric_Nativ'!$N$6:$N$405,N342),COUNTIFS('Istoric_Nativ'!$N$6:$N$405,N342,'Istoric_Nativ'!$H$6:$H$405,H342)&lt;&gt;COUNTIF('Istoric_Nativ'!$N$6:$N$405,N342)),"SOURCE CONFLICT",IF(COUNTIF($N$6:N342,N342)&gt;1,"DUPLICATE","VALID"))),"INVALID"))</x:f>
        <x:v>VALID</x:v>
      </x:c>
      <x:c r="P342" s="2" t="n">
        <x:f>IF(O342="VALID",1,0)</x:f>
        <x:v>1</x:v>
      </x:c>
      <x:c r="Q342" s="2" t="n">
        <x:f>IF(P342=1,G342+H342,0)</x:f>
        <x:v>7</x:v>
      </x:c>
      <x:c r="R342" s="2" t="n">
        <x:f>Q342^2</x:f>
        <x:v>49</x:v>
      </x:c>
      <x:c r="S342" s="2" t="n">
        <x:f>IF(A342="","",IFERROR(MATCH(I342,SourceTable[Source_ID],0),0))</x:f>
        <x:v>1</x:v>
      </x:c>
    </x:row>
    <x:row r="343" ht="21" customHeight="1">
      <x:c r="A343" s="7" t="str">
        <x:v>3061cde4eb6dd9487797</x:v>
      </x:c>
      <x:c r="B343" s="7" t="str">
        <x:v>E0</x:v>
      </x:c>
      <x:c r="C343" s="7" t="str">
        <x:v>2025/26</x:v>
      </x:c>
      <x:c r="D343" s="8" t="n">
        <x:v>46137</x:v>
      </x:c>
      <x:c r="E343" s="7" t="str">
        <x:v>Wolves</x:v>
      </x:c>
      <x:c r="F343" s="7" t="str">
        <x:v>Tottenham</x:v>
      </x:c>
      <x:c r="G343" s="7" t="n">
        <x:v>5</x:v>
      </x:c>
      <x:c r="H343" s="7" t="n">
        <x:v>5</x:v>
      </x:c>
      <x:c r="I343" s="7" t="str">
        <x:v>FD_E0_2526</x:v>
      </x:c>
      <x:c r="J343" s="7" t="str">
        <x:v>https://www.football-data.co.uk/mmz4281/2526/E0.csv</x:v>
      </x:c>
      <x:c r="K343" s="8" t="n">
        <x:v>46278.70306712963</x:v>
      </x:c>
      <x:c r="L343" s="7" t="str">
        <x:v>FT90</x:v>
      </x:c>
      <x:c r="M343" s="7" t="str">
        <x:v>CSV row 338</x:v>
      </x:c>
      <x:c r="N343" s="2" t="str">
        <x:f>IF(AND(A343&lt;&gt;"",ISNUMBER(D343)),B343&amp;"|"&amp;C343&amp;"|"&amp;TEXT(D343,"yyyymmdd")&amp;"|"&amp;E343&amp;"|"&amp;F343,"")</x:f>
        <x:v>E0|2025/26|20260425|Wolves|Tottenham</x:v>
      </x:c>
      <x:c r="O343" s="2" t="str">
        <x:f>IF(A343="","",IFERROR(IF(NOT(AND(B343&lt;&gt;"",C343&lt;&gt;"",ISNUMBER(D343),D343&gt;0,E343&lt;&gt;"",F343&lt;&gt;"",E343&lt;&gt;F343,ISNUMBER(G343),ISNUMBER(H343),G343&gt;=0,H343&gt;=0,G343&lt;=100,H343&lt;=100,MOD(G343,1)=0,MOD(H343,1)=0,L343="FT90",S343&gt;0,INDEX(SourceTable[League],MAX(1,S343))=B343,INDEX(SourceTable[Season],MAX(1,S343))=C343,ISNUMBER(K343),K343=INDEX(SourceTable[Retrieved_UTC],MAX(1,S343)),J343&lt;&gt;"",M343&lt;&gt;"")),"INVALID",IF(OR(COUNTIFS('Istoric_Nativ'!$N$6:$N$405,N343,'Istoric_Nativ'!$G$6:$G$405,G343)&lt;&gt;COUNTIF('Istoric_Nativ'!$N$6:$N$405,N343),COUNTIFS('Istoric_Nativ'!$N$6:$N$405,N343,'Istoric_Nativ'!$H$6:$H$405,H343)&lt;&gt;COUNTIF('Istoric_Nativ'!$N$6:$N$405,N343)),"SOURCE CONFLICT",IF(COUNTIF($N$6:N343,N343)&gt;1,"DUPLICATE","VALID"))),"INVALID"))</x:f>
        <x:v>VALID</x:v>
      </x:c>
      <x:c r="P343" s="2" t="n">
        <x:f>IF(O343="VALID",1,0)</x:f>
        <x:v>1</x:v>
      </x:c>
      <x:c r="Q343" s="2" t="n">
        <x:f>IF(P343=1,G343+H343,0)</x:f>
        <x:v>10</x:v>
      </x:c>
      <x:c r="R343" s="2" t="n">
        <x:f>Q343^2</x:f>
        <x:v>100</x:v>
      </x:c>
      <x:c r="S343" s="2" t="n">
        <x:f>IF(A343="","",IFERROR(MATCH(I343,SourceTable[Source_ID],0),0))</x:f>
        <x:v>1</x:v>
      </x:c>
    </x:row>
    <x:row r="344" ht="21" customHeight="1">
      <x:c r="A344" s="7" t="str">
        <x:v>beca5eeb04d4e3bc0955</x:v>
      </x:c>
      <x:c r="B344" s="7" t="str">
        <x:v>E0</x:v>
      </x:c>
      <x:c r="C344" s="7" t="str">
        <x:v>2025/26</x:v>
      </x:c>
      <x:c r="D344" s="8" t="n">
        <x:v>46139</x:v>
      </x:c>
      <x:c r="E344" s="7" t="str">
        <x:v>Man United</x:v>
      </x:c>
      <x:c r="F344" s="7" t="str">
        <x:v>Brentford</x:v>
      </x:c>
      <x:c r="G344" s="7" t="n">
        <x:v>7</x:v>
      </x:c>
      <x:c r="H344" s="7" t="n">
        <x:v>8</x:v>
      </x:c>
      <x:c r="I344" s="7" t="str">
        <x:v>FD_E0_2526</x:v>
      </x:c>
      <x:c r="J344" s="7" t="str">
        <x:v>https://www.football-data.co.uk/mmz4281/2526/E0.csv</x:v>
      </x:c>
      <x:c r="K344" s="8" t="n">
        <x:v>46278.70306712963</x:v>
      </x:c>
      <x:c r="L344" s="7" t="str">
        <x:v>FT90</x:v>
      </x:c>
      <x:c r="M344" s="7" t="str">
        <x:v>CSV row 340</x:v>
      </x:c>
      <x:c r="N344" s="2" t="str">
        <x:f>IF(AND(A344&lt;&gt;"",ISNUMBER(D344)),B344&amp;"|"&amp;C344&amp;"|"&amp;TEXT(D344,"yyyymmdd")&amp;"|"&amp;E344&amp;"|"&amp;F344,"")</x:f>
        <x:v>E0|2025/26|20260427|Man United|Brentford</x:v>
      </x:c>
      <x:c r="O344" s="2" t="str">
        <x:f>IF(A344="","",IFERROR(IF(NOT(AND(B344&lt;&gt;"",C344&lt;&gt;"",ISNUMBER(D344),D344&gt;0,E344&lt;&gt;"",F344&lt;&gt;"",E344&lt;&gt;F344,ISNUMBER(G344),ISNUMBER(H344),G344&gt;=0,H344&gt;=0,G344&lt;=100,H344&lt;=100,MOD(G344,1)=0,MOD(H344,1)=0,L344="FT90",S344&gt;0,INDEX(SourceTable[League],MAX(1,S344))=B344,INDEX(SourceTable[Season],MAX(1,S344))=C344,ISNUMBER(K344),K344=INDEX(SourceTable[Retrieved_UTC],MAX(1,S344)),J344&lt;&gt;"",M344&lt;&gt;"")),"INVALID",IF(OR(COUNTIFS('Istoric_Nativ'!$N$6:$N$405,N344,'Istoric_Nativ'!$G$6:$G$405,G344)&lt;&gt;COUNTIF('Istoric_Nativ'!$N$6:$N$405,N344),COUNTIFS('Istoric_Nativ'!$N$6:$N$405,N344,'Istoric_Nativ'!$H$6:$H$405,H344)&lt;&gt;COUNTIF('Istoric_Nativ'!$N$6:$N$405,N344)),"SOURCE CONFLICT",IF(COUNTIF($N$6:N344,N344)&gt;1,"DUPLICATE","VALID"))),"INVALID"))</x:f>
        <x:v>VALID</x:v>
      </x:c>
      <x:c r="P344" s="2" t="n">
        <x:f>IF(O344="VALID",1,0)</x:f>
        <x:v>1</x:v>
      </x:c>
      <x:c r="Q344" s="2" t="n">
        <x:f>IF(P344=1,G344+H344,0)</x:f>
        <x:v>15</x:v>
      </x:c>
      <x:c r="R344" s="2" t="n">
        <x:f>Q344^2</x:f>
        <x:v>225</x:v>
      </x:c>
      <x:c r="S344" s="2" t="n">
        <x:f>IF(A344="","",IFERROR(MATCH(I344,SourceTable[Source_ID],0),0))</x:f>
        <x:v>1</x:v>
      </x:c>
    </x:row>
    <x:row r="345" ht="21" customHeight="1">
      <x:c r="A345" s="7" t="str">
        <x:v>dcdb5341cd833c768f8a</x:v>
      </x:c>
      <x:c r="B345" s="7" t="str">
        <x:v>E0</x:v>
      </x:c>
      <x:c r="C345" s="7" t="str">
        <x:v>2025/26</x:v>
      </x:c>
      <x:c r="D345" s="8" t="n">
        <x:v>46143</x:v>
      </x:c>
      <x:c r="E345" s="7" t="str">
        <x:v>Leeds</x:v>
      </x:c>
      <x:c r="F345" s="7" t="str">
        <x:v>Burnley</x:v>
      </x:c>
      <x:c r="G345" s="7" t="n">
        <x:v>5</x:v>
      </x:c>
      <x:c r="H345" s="7" t="n">
        <x:v>0</x:v>
      </x:c>
      <x:c r="I345" s="7" t="str">
        <x:v>FD_E0_2526</x:v>
      </x:c>
      <x:c r="J345" s="7" t="str">
        <x:v>https://www.football-data.co.uk/mmz4281/2526/E0.csv</x:v>
      </x:c>
      <x:c r="K345" s="8" t="n">
        <x:v>46278.70306712963</x:v>
      </x:c>
      <x:c r="L345" s="7" t="str">
        <x:v>FT90</x:v>
      </x:c>
      <x:c r="M345" s="7" t="str">
        <x:v>CSV row 341</x:v>
      </x:c>
      <x:c r="N345" s="2" t="str">
        <x:f>IF(AND(A345&lt;&gt;"",ISNUMBER(D345)),B345&amp;"|"&amp;C345&amp;"|"&amp;TEXT(D345,"yyyymmdd")&amp;"|"&amp;E345&amp;"|"&amp;F345,"")</x:f>
        <x:v>E0|2025/26|20260501|Leeds|Burnley</x:v>
      </x:c>
      <x:c r="O345" s="2" t="str">
        <x:f>IF(A345="","",IFERROR(IF(NOT(AND(B345&lt;&gt;"",C345&lt;&gt;"",ISNUMBER(D345),D345&gt;0,E345&lt;&gt;"",F345&lt;&gt;"",E345&lt;&gt;F345,ISNUMBER(G345),ISNUMBER(H345),G345&gt;=0,H345&gt;=0,G345&lt;=100,H345&lt;=100,MOD(G345,1)=0,MOD(H345,1)=0,L345="FT90",S345&gt;0,INDEX(SourceTable[League],MAX(1,S345))=B345,INDEX(SourceTable[Season],MAX(1,S345))=C345,ISNUMBER(K345),K345=INDEX(SourceTable[Retrieved_UTC],MAX(1,S345)),J345&lt;&gt;"",M345&lt;&gt;"")),"INVALID",IF(OR(COUNTIFS('Istoric_Nativ'!$N$6:$N$405,N345,'Istoric_Nativ'!$G$6:$G$405,G345)&lt;&gt;COUNTIF('Istoric_Nativ'!$N$6:$N$405,N345),COUNTIFS('Istoric_Nativ'!$N$6:$N$405,N345,'Istoric_Nativ'!$H$6:$H$405,H345)&lt;&gt;COUNTIF('Istoric_Nativ'!$N$6:$N$405,N345)),"SOURCE CONFLICT",IF(COUNTIF($N$6:N345,N345)&gt;1,"DUPLICATE","VALID"))),"INVALID"))</x:f>
        <x:v>VALID</x:v>
      </x:c>
      <x:c r="P345" s="2" t="n">
        <x:f>IF(O345="VALID",1,0)</x:f>
        <x:v>1</x:v>
      </x:c>
      <x:c r="Q345" s="2" t="n">
        <x:f>IF(P345=1,G345+H345,0)</x:f>
        <x:v>5</x:v>
      </x:c>
      <x:c r="R345" s="2" t="n">
        <x:f>Q345^2</x:f>
        <x:v>25</x:v>
      </x:c>
      <x:c r="S345" s="2" t="n">
        <x:f>IF(A345="","",IFERROR(MATCH(I345,SourceTable[Source_ID],0),0))</x:f>
        <x:v>1</x:v>
      </x:c>
    </x:row>
    <x:row r="346" ht="21" customHeight="1">
      <x:c r="A346" s="7" t="str">
        <x:v>8a4bce8e63d56811fbb0</x:v>
      </x:c>
      <x:c r="B346" s="7" t="str">
        <x:v>E0</x:v>
      </x:c>
      <x:c r="C346" s="7" t="str">
        <x:v>2025/26</x:v>
      </x:c>
      <x:c r="D346" s="8" t="n">
        <x:v>46144</x:v>
      </x:c>
      <x:c r="E346" s="7" t="str">
        <x:v>Arsenal</x:v>
      </x:c>
      <x:c r="F346" s="7" t="str">
        <x:v>Fulham</x:v>
      </x:c>
      <x:c r="G346" s="7" t="n">
        <x:v>3</x:v>
      </x:c>
      <x:c r="H346" s="7" t="n">
        <x:v>4</x:v>
      </x:c>
      <x:c r="I346" s="7" t="str">
        <x:v>FD_E0_2526</x:v>
      </x:c>
      <x:c r="J346" s="7" t="str">
        <x:v>https://www.football-data.co.uk/mmz4281/2526/E0.csv</x:v>
      </x:c>
      <x:c r="K346" s="8" t="n">
        <x:v>46278.70306712963</x:v>
      </x:c>
      <x:c r="L346" s="7" t="str">
        <x:v>FT90</x:v>
      </x:c>
      <x:c r="M346" s="7" t="str">
        <x:v>CSV row 345</x:v>
      </x:c>
      <x:c r="N346" s="2" t="str">
        <x:f>IF(AND(A346&lt;&gt;"",ISNUMBER(D346)),B346&amp;"|"&amp;C346&amp;"|"&amp;TEXT(D346,"yyyymmdd")&amp;"|"&amp;E346&amp;"|"&amp;F346,"")</x:f>
        <x:v>E0|2025/26|20260502|Arsenal|Fulham</x:v>
      </x:c>
      <x:c r="O346" s="2" t="str">
        <x:f>IF(A346="","",IFERROR(IF(NOT(AND(B346&lt;&gt;"",C346&lt;&gt;"",ISNUMBER(D346),D346&gt;0,E346&lt;&gt;"",F346&lt;&gt;"",E346&lt;&gt;F346,ISNUMBER(G346),ISNUMBER(H346),G346&gt;=0,H346&gt;=0,G346&lt;=100,H346&lt;=100,MOD(G346,1)=0,MOD(H346,1)=0,L346="FT90",S346&gt;0,INDEX(SourceTable[League],MAX(1,S346))=B346,INDEX(SourceTable[Season],MAX(1,S346))=C346,ISNUMBER(K346),K346=INDEX(SourceTable[Retrieved_UTC],MAX(1,S346)),J346&lt;&gt;"",M346&lt;&gt;"")),"INVALID",IF(OR(COUNTIFS('Istoric_Nativ'!$N$6:$N$405,N346,'Istoric_Nativ'!$G$6:$G$405,G346)&lt;&gt;COUNTIF('Istoric_Nativ'!$N$6:$N$405,N346),COUNTIFS('Istoric_Nativ'!$N$6:$N$405,N346,'Istoric_Nativ'!$H$6:$H$405,H346)&lt;&gt;COUNTIF('Istoric_Nativ'!$N$6:$N$405,N346)),"SOURCE CONFLICT",IF(COUNTIF($N$6:N346,N346)&gt;1,"DUPLICATE","VALID"))),"INVALID"))</x:f>
        <x:v>VALID</x:v>
      </x:c>
      <x:c r="P346" s="2" t="n">
        <x:f>IF(O346="VALID",1,0)</x:f>
        <x:v>1</x:v>
      </x:c>
      <x:c r="Q346" s="2" t="n">
        <x:f>IF(P346=1,G346+H346,0)</x:f>
        <x:v>7</x:v>
      </x:c>
      <x:c r="R346" s="2" t="n">
        <x:f>Q346^2</x:f>
        <x:v>49</x:v>
      </x:c>
      <x:c r="S346" s="2" t="n">
        <x:f>IF(A346="","",IFERROR(MATCH(I346,SourceTable[Source_ID],0),0))</x:f>
        <x:v>1</x:v>
      </x:c>
    </x:row>
    <x:row r="347" ht="21" customHeight="1">
      <x:c r="A347" s="7" t="str">
        <x:v>595dbebf661e6eea37c8</x:v>
      </x:c>
      <x:c r="B347" s="7" t="str">
        <x:v>E0</x:v>
      </x:c>
      <x:c r="C347" s="7" t="str">
        <x:v>2025/26</x:v>
      </x:c>
      <x:c r="D347" s="8" t="n">
        <x:v>46144</x:v>
      </x:c>
      <x:c r="E347" s="7" t="str">
        <x:v>Brentford</x:v>
      </x:c>
      <x:c r="F347" s="7" t="str">
        <x:v>West Ham</x:v>
      </x:c>
      <x:c r="G347" s="7" t="n">
        <x:v>2</x:v>
      </x:c>
      <x:c r="H347" s="7" t="n">
        <x:v>6</x:v>
      </x:c>
      <x:c r="I347" s="7" t="str">
        <x:v>FD_E0_2526</x:v>
      </x:c>
      <x:c r="J347" s="7" t="str">
        <x:v>https://www.football-data.co.uk/mmz4281/2526/E0.csv</x:v>
      </x:c>
      <x:c r="K347" s="8" t="n">
        <x:v>46278.70306712963</x:v>
      </x:c>
      <x:c r="L347" s="7" t="str">
        <x:v>FT90</x:v>
      </x:c>
      <x:c r="M347" s="7" t="str">
        <x:v>CSV row 342</x:v>
      </x:c>
      <x:c r="N347" s="2" t="str">
        <x:f>IF(AND(A347&lt;&gt;"",ISNUMBER(D347)),B347&amp;"|"&amp;C347&amp;"|"&amp;TEXT(D347,"yyyymmdd")&amp;"|"&amp;E347&amp;"|"&amp;F347,"")</x:f>
        <x:v>E0|2025/26|20260502|Brentford|West Ham</x:v>
      </x:c>
      <x:c r="O347" s="2" t="str">
        <x:f>IF(A347="","",IFERROR(IF(NOT(AND(B347&lt;&gt;"",C347&lt;&gt;"",ISNUMBER(D347),D347&gt;0,E347&lt;&gt;"",F347&lt;&gt;"",E347&lt;&gt;F347,ISNUMBER(G347),ISNUMBER(H347),G347&gt;=0,H347&gt;=0,G347&lt;=100,H347&lt;=100,MOD(G347,1)=0,MOD(H347,1)=0,L347="FT90",S347&gt;0,INDEX(SourceTable[League],MAX(1,S347))=B347,INDEX(SourceTable[Season],MAX(1,S347))=C347,ISNUMBER(K347),K347=INDEX(SourceTable[Retrieved_UTC],MAX(1,S347)),J347&lt;&gt;"",M347&lt;&gt;"")),"INVALID",IF(OR(COUNTIFS('Istoric_Nativ'!$N$6:$N$405,N347,'Istoric_Nativ'!$G$6:$G$405,G347)&lt;&gt;COUNTIF('Istoric_Nativ'!$N$6:$N$405,N347),COUNTIFS('Istoric_Nativ'!$N$6:$N$405,N347,'Istoric_Nativ'!$H$6:$H$405,H347)&lt;&gt;COUNTIF('Istoric_Nativ'!$N$6:$N$405,N347)),"SOURCE CONFLICT",IF(COUNTIF($N$6:N347,N347)&gt;1,"DUPLICATE","VALID"))),"INVALID"))</x:f>
        <x:v>VALID</x:v>
      </x:c>
      <x:c r="P347" s="2" t="n">
        <x:f>IF(O347="VALID",1,0)</x:f>
        <x:v>1</x:v>
      </x:c>
      <x:c r="Q347" s="2" t="n">
        <x:f>IF(P347=1,G347+H347,0)</x:f>
        <x:v>8</x:v>
      </x:c>
      <x:c r="R347" s="2" t="n">
        <x:f>Q347^2</x:f>
        <x:v>64</x:v>
      </x:c>
      <x:c r="S347" s="2" t="n">
        <x:f>IF(A347="","",IFERROR(MATCH(I347,SourceTable[Source_ID],0),0))</x:f>
        <x:v>1</x:v>
      </x:c>
    </x:row>
    <x:row r="348" ht="21" customHeight="1">
      <x:c r="A348" s="7" t="str">
        <x:v>1f56582b325cd6f57882</x:v>
      </x:c>
      <x:c r="B348" s="7" t="str">
        <x:v>E0</x:v>
      </x:c>
      <x:c r="C348" s="7" t="str">
        <x:v>2025/26</x:v>
      </x:c>
      <x:c r="D348" s="8" t="n">
        <x:v>46144</x:v>
      </x:c>
      <x:c r="E348" s="7" t="str">
        <x:v>Newcastle</x:v>
      </x:c>
      <x:c r="F348" s="7" t="str">
        <x:v>Brighton</x:v>
      </x:c>
      <x:c r="G348" s="7" t="n">
        <x:v>2</x:v>
      </x:c>
      <x:c r="H348" s="7" t="n">
        <x:v>10</x:v>
      </x:c>
      <x:c r="I348" s="7" t="str">
        <x:v>FD_E0_2526</x:v>
      </x:c>
      <x:c r="J348" s="7" t="str">
        <x:v>https://www.football-data.co.uk/mmz4281/2526/E0.csv</x:v>
      </x:c>
      <x:c r="K348" s="8" t="n">
        <x:v>46278.70306712963</x:v>
      </x:c>
      <x:c r="L348" s="7" t="str">
        <x:v>FT90</x:v>
      </x:c>
      <x:c r="M348" s="7" t="str">
        <x:v>CSV row 343</x:v>
      </x:c>
      <x:c r="N348" s="2" t="str">
        <x:f>IF(AND(A348&lt;&gt;"",ISNUMBER(D348)),B348&amp;"|"&amp;C348&amp;"|"&amp;TEXT(D348,"yyyymmdd")&amp;"|"&amp;E348&amp;"|"&amp;F348,"")</x:f>
        <x:v>E0|2025/26|20260502|Newcastle|Brighton</x:v>
      </x:c>
      <x:c r="O348" s="2" t="str">
        <x:f>IF(A348="","",IFERROR(IF(NOT(AND(B348&lt;&gt;"",C348&lt;&gt;"",ISNUMBER(D348),D348&gt;0,E348&lt;&gt;"",F348&lt;&gt;"",E348&lt;&gt;F348,ISNUMBER(G348),ISNUMBER(H348),G348&gt;=0,H348&gt;=0,G348&lt;=100,H348&lt;=100,MOD(G348,1)=0,MOD(H348,1)=0,L348="FT90",S348&gt;0,INDEX(SourceTable[League],MAX(1,S348))=B348,INDEX(SourceTable[Season],MAX(1,S348))=C348,ISNUMBER(K348),K348=INDEX(SourceTable[Retrieved_UTC],MAX(1,S348)),J348&lt;&gt;"",M348&lt;&gt;"")),"INVALID",IF(OR(COUNTIFS('Istoric_Nativ'!$N$6:$N$405,N348,'Istoric_Nativ'!$G$6:$G$405,G348)&lt;&gt;COUNTIF('Istoric_Nativ'!$N$6:$N$405,N348),COUNTIFS('Istoric_Nativ'!$N$6:$N$405,N348,'Istoric_Nativ'!$H$6:$H$405,H348)&lt;&gt;COUNTIF('Istoric_Nativ'!$N$6:$N$405,N348)),"SOURCE CONFLICT",IF(COUNTIF($N$6:N348,N348)&gt;1,"DUPLICATE","VALID"))),"INVALID"))</x:f>
        <x:v>VALID</x:v>
      </x:c>
      <x:c r="P348" s="2" t="n">
        <x:f>IF(O348="VALID",1,0)</x:f>
        <x:v>1</x:v>
      </x:c>
      <x:c r="Q348" s="2" t="n">
        <x:f>IF(P348=1,G348+H348,0)</x:f>
        <x:v>12</x:v>
      </x:c>
      <x:c r="R348" s="2" t="n">
        <x:f>Q348^2</x:f>
        <x:v>144</x:v>
      </x:c>
      <x:c r="S348" s="2" t="n">
        <x:f>IF(A348="","",IFERROR(MATCH(I348,SourceTable[Source_ID],0),0))</x:f>
        <x:v>1</x:v>
      </x:c>
    </x:row>
    <x:row r="349" ht="21" customHeight="1">
      <x:c r="A349" s="7" t="str">
        <x:v>38c4edb006523ea9b2f9</x:v>
      </x:c>
      <x:c r="B349" s="7" t="str">
        <x:v>E0</x:v>
      </x:c>
      <x:c r="C349" s="7" t="str">
        <x:v>2025/26</x:v>
      </x:c>
      <x:c r="D349" s="8" t="n">
        <x:v>46144</x:v>
      </x:c>
      <x:c r="E349" s="7" t="str">
        <x:v>Wolves</x:v>
      </x:c>
      <x:c r="F349" s="7" t="str">
        <x:v>Sunderland</x:v>
      </x:c>
      <x:c r="G349" s="7" t="n">
        <x:v>6</x:v>
      </x:c>
      <x:c r="H349" s="7" t="n">
        <x:v>3</x:v>
      </x:c>
      <x:c r="I349" s="7" t="str">
        <x:v>FD_E0_2526</x:v>
      </x:c>
      <x:c r="J349" s="7" t="str">
        <x:v>https://www.football-data.co.uk/mmz4281/2526/E0.csv</x:v>
      </x:c>
      <x:c r="K349" s="8" t="n">
        <x:v>46278.70306712963</x:v>
      </x:c>
      <x:c r="L349" s="7" t="str">
        <x:v>FT90</x:v>
      </x:c>
      <x:c r="M349" s="7" t="str">
        <x:v>CSV row 344</x:v>
      </x:c>
      <x:c r="N349" s="2" t="str">
        <x:f>IF(AND(A349&lt;&gt;"",ISNUMBER(D349)),B349&amp;"|"&amp;C349&amp;"|"&amp;TEXT(D349,"yyyymmdd")&amp;"|"&amp;E349&amp;"|"&amp;F349,"")</x:f>
        <x:v>E0|2025/26|20260502|Wolves|Sunderland</x:v>
      </x:c>
      <x:c r="O349" s="2" t="str">
        <x:f>IF(A349="","",IFERROR(IF(NOT(AND(B349&lt;&gt;"",C349&lt;&gt;"",ISNUMBER(D349),D349&gt;0,E349&lt;&gt;"",F349&lt;&gt;"",E349&lt;&gt;F349,ISNUMBER(G349),ISNUMBER(H349),G349&gt;=0,H349&gt;=0,G349&lt;=100,H349&lt;=100,MOD(G349,1)=0,MOD(H349,1)=0,L349="FT90",S349&gt;0,INDEX(SourceTable[League],MAX(1,S349))=B349,INDEX(SourceTable[Season],MAX(1,S349))=C349,ISNUMBER(K349),K349=INDEX(SourceTable[Retrieved_UTC],MAX(1,S349)),J349&lt;&gt;"",M349&lt;&gt;"")),"INVALID",IF(OR(COUNTIFS('Istoric_Nativ'!$N$6:$N$405,N349,'Istoric_Nativ'!$G$6:$G$405,G349)&lt;&gt;COUNTIF('Istoric_Nativ'!$N$6:$N$405,N349),COUNTIFS('Istoric_Nativ'!$N$6:$N$405,N349,'Istoric_Nativ'!$H$6:$H$405,H349)&lt;&gt;COUNTIF('Istoric_Nativ'!$N$6:$N$405,N349)),"SOURCE CONFLICT",IF(COUNTIF($N$6:N349,N349)&gt;1,"DUPLICATE","VALID"))),"INVALID"))</x:f>
        <x:v>VALID</x:v>
      </x:c>
      <x:c r="P349" s="2" t="n">
        <x:f>IF(O349="VALID",1,0)</x:f>
        <x:v>1</x:v>
      </x:c>
      <x:c r="Q349" s="2" t="n">
        <x:f>IF(P349=1,G349+H349,0)</x:f>
        <x:v>9</x:v>
      </x:c>
      <x:c r="R349" s="2" t="n">
        <x:f>Q349^2</x:f>
        <x:v>81</x:v>
      </x:c>
      <x:c r="S349" s="2" t="n">
        <x:f>IF(A349="","",IFERROR(MATCH(I349,SourceTable[Source_ID],0),0))</x:f>
        <x:v>1</x:v>
      </x:c>
    </x:row>
    <x:row r="350" ht="21" customHeight="1">
      <x:c r="A350" s="7" t="str">
        <x:v>f54bca904eb938fc1f67</x:v>
      </x:c>
      <x:c r="B350" s="7" t="str">
        <x:v>E0</x:v>
      </x:c>
      <x:c r="C350" s="7" t="str">
        <x:v>2025/26</x:v>
      </x:c>
      <x:c r="D350" s="8" t="n">
        <x:v>46145</x:v>
      </x:c>
      <x:c r="E350" s="7" t="str">
        <x:v>Aston Villa</x:v>
      </x:c>
      <x:c r="F350" s="7" t="str">
        <x:v>Tottenham</x:v>
      </x:c>
      <x:c r="G350" s="7" t="n">
        <x:v>5</x:v>
      </x:c>
      <x:c r="H350" s="7" t="n">
        <x:v>5</x:v>
      </x:c>
      <x:c r="I350" s="7" t="str">
        <x:v>FD_E0_2526</x:v>
      </x:c>
      <x:c r="J350" s="7" t="str">
        <x:v>https://www.football-data.co.uk/mmz4281/2526/E0.csv</x:v>
      </x:c>
      <x:c r="K350" s="8" t="n">
        <x:v>46278.70306712963</x:v>
      </x:c>
      <x:c r="L350" s="7" t="str">
        <x:v>FT90</x:v>
      </x:c>
      <x:c r="M350" s="7" t="str">
        <x:v>CSV row 348</x:v>
      </x:c>
      <x:c r="N350" s="2" t="str">
        <x:f>IF(AND(A350&lt;&gt;"",ISNUMBER(D350)),B350&amp;"|"&amp;C350&amp;"|"&amp;TEXT(D350,"yyyymmdd")&amp;"|"&amp;E350&amp;"|"&amp;F350,"")</x:f>
        <x:v>E0|2025/26|20260503|Aston Villa|Tottenham</x:v>
      </x:c>
      <x:c r="O350" s="2" t="str">
        <x:f>IF(A350="","",IFERROR(IF(NOT(AND(B350&lt;&gt;"",C350&lt;&gt;"",ISNUMBER(D350),D350&gt;0,E350&lt;&gt;"",F350&lt;&gt;"",E350&lt;&gt;F350,ISNUMBER(G350),ISNUMBER(H350),G350&gt;=0,H350&gt;=0,G350&lt;=100,H350&lt;=100,MOD(G350,1)=0,MOD(H350,1)=0,L350="FT90",S350&gt;0,INDEX(SourceTable[League],MAX(1,S350))=B350,INDEX(SourceTable[Season],MAX(1,S350))=C350,ISNUMBER(K350),K350=INDEX(SourceTable[Retrieved_UTC],MAX(1,S350)),J350&lt;&gt;"",M350&lt;&gt;"")),"INVALID",IF(OR(COUNTIFS('Istoric_Nativ'!$N$6:$N$405,N350,'Istoric_Nativ'!$G$6:$G$405,G350)&lt;&gt;COUNTIF('Istoric_Nativ'!$N$6:$N$405,N350),COUNTIFS('Istoric_Nativ'!$N$6:$N$405,N350,'Istoric_Nativ'!$H$6:$H$405,H350)&lt;&gt;COUNTIF('Istoric_Nativ'!$N$6:$N$405,N350)),"SOURCE CONFLICT",IF(COUNTIF($N$6:N350,N350)&gt;1,"DUPLICATE","VALID"))),"INVALID"))</x:f>
        <x:v>VALID</x:v>
      </x:c>
      <x:c r="P350" s="2" t="n">
        <x:f>IF(O350="VALID",1,0)</x:f>
        <x:v>1</x:v>
      </x:c>
      <x:c r="Q350" s="2" t="n">
        <x:f>IF(P350=1,G350+H350,0)</x:f>
        <x:v>10</x:v>
      </x:c>
      <x:c r="R350" s="2" t="n">
        <x:f>Q350^2</x:f>
        <x:v>100</x:v>
      </x:c>
      <x:c r="S350" s="2" t="n">
        <x:f>IF(A350="","",IFERROR(MATCH(I350,SourceTable[Source_ID],0),0))</x:f>
        <x:v>1</x:v>
      </x:c>
    </x:row>
    <x:row r="351" ht="21" customHeight="1">
      <x:c r="A351" s="7" t="str">
        <x:v>942afe2e861ff75677a2</x:v>
      </x:c>
      <x:c r="B351" s="7" t="str">
        <x:v>E0</x:v>
      </x:c>
      <x:c r="C351" s="7" t="str">
        <x:v>2025/26</x:v>
      </x:c>
      <x:c r="D351" s="8" t="n">
        <x:v>46145</x:v>
      </x:c>
      <x:c r="E351" s="7" t="str">
        <x:v>Bournemouth</x:v>
      </x:c>
      <x:c r="F351" s="7" t="str">
        <x:v>Crystal Palace</x:v>
      </x:c>
      <x:c r="G351" s="7" t="n">
        <x:v>7</x:v>
      </x:c>
      <x:c r="H351" s="7" t="n">
        <x:v>1</x:v>
      </x:c>
      <x:c r="I351" s="7" t="str">
        <x:v>FD_E0_2526</x:v>
      </x:c>
      <x:c r="J351" s="7" t="str">
        <x:v>https://www.football-data.co.uk/mmz4281/2526/E0.csv</x:v>
      </x:c>
      <x:c r="K351" s="8" t="n">
        <x:v>46278.70306712963</x:v>
      </x:c>
      <x:c r="L351" s="7" t="str">
        <x:v>FT90</x:v>
      </x:c>
      <x:c r="M351" s="7" t="str">
        <x:v>CSV row 346</x:v>
      </x:c>
      <x:c r="N351" s="2" t="str">
        <x:f>IF(AND(A351&lt;&gt;"",ISNUMBER(D351)),B351&amp;"|"&amp;C351&amp;"|"&amp;TEXT(D351,"yyyymmdd")&amp;"|"&amp;E351&amp;"|"&amp;F351,"")</x:f>
        <x:v>E0|2025/26|20260503|Bournemouth|Crystal Palace</x:v>
      </x:c>
      <x:c r="O351" s="2" t="str">
        <x:f>IF(A351="","",IFERROR(IF(NOT(AND(B351&lt;&gt;"",C351&lt;&gt;"",ISNUMBER(D351),D351&gt;0,E351&lt;&gt;"",F351&lt;&gt;"",E351&lt;&gt;F351,ISNUMBER(G351),ISNUMBER(H351),G351&gt;=0,H351&gt;=0,G351&lt;=100,H351&lt;=100,MOD(G351,1)=0,MOD(H351,1)=0,L351="FT90",S351&gt;0,INDEX(SourceTable[League],MAX(1,S351))=B351,INDEX(SourceTable[Season],MAX(1,S351))=C351,ISNUMBER(K351),K351=INDEX(SourceTable[Retrieved_UTC],MAX(1,S351)),J351&lt;&gt;"",M351&lt;&gt;"")),"INVALID",IF(OR(COUNTIFS('Istoric_Nativ'!$N$6:$N$405,N351,'Istoric_Nativ'!$G$6:$G$405,G351)&lt;&gt;COUNTIF('Istoric_Nativ'!$N$6:$N$405,N351),COUNTIFS('Istoric_Nativ'!$N$6:$N$405,N351,'Istoric_Nativ'!$H$6:$H$405,H351)&lt;&gt;COUNTIF('Istoric_Nativ'!$N$6:$N$405,N351)),"SOURCE CONFLICT",IF(COUNTIF($N$6:N351,N351)&gt;1,"DUPLICATE","VALID"))),"INVALID"))</x:f>
        <x:v>VALID</x:v>
      </x:c>
      <x:c r="P351" s="2" t="n">
        <x:f>IF(O351="VALID",1,0)</x:f>
        <x:v>1</x:v>
      </x:c>
      <x:c r="Q351" s="2" t="n">
        <x:f>IF(P351=1,G351+H351,0)</x:f>
        <x:v>8</x:v>
      </x:c>
      <x:c r="R351" s="2" t="n">
        <x:f>Q351^2</x:f>
        <x:v>64</x:v>
      </x:c>
      <x:c r="S351" s="2" t="n">
        <x:f>IF(A351="","",IFERROR(MATCH(I351,SourceTable[Source_ID],0),0))</x:f>
        <x:v>1</x:v>
      </x:c>
    </x:row>
    <x:row r="352" ht="21" customHeight="1">
      <x:c r="A352" s="7" t="str">
        <x:v>b55c0f15d7c3c3a129c7</x:v>
      </x:c>
      <x:c r="B352" s="7" t="str">
        <x:v>E0</x:v>
      </x:c>
      <x:c r="C352" s="7" t="str">
        <x:v>2025/26</x:v>
      </x:c>
      <x:c r="D352" s="8" t="n">
        <x:v>46145</x:v>
      </x:c>
      <x:c r="E352" s="7" t="str">
        <x:v>Man United</x:v>
      </x:c>
      <x:c r="F352" s="7" t="str">
        <x:v>Liverpool</x:v>
      </x:c>
      <x:c r="G352" s="7" t="n">
        <x:v>3</x:v>
      </x:c>
      <x:c r="H352" s="7" t="n">
        <x:v>2</x:v>
      </x:c>
      <x:c r="I352" s="7" t="str">
        <x:v>FD_E0_2526</x:v>
      </x:c>
      <x:c r="J352" s="7" t="str">
        <x:v>https://www.football-data.co.uk/mmz4281/2526/E0.csv</x:v>
      </x:c>
      <x:c r="K352" s="8" t="n">
        <x:v>46278.70306712963</x:v>
      </x:c>
      <x:c r="L352" s="7" t="str">
        <x:v>FT90</x:v>
      </x:c>
      <x:c r="M352" s="7" t="str">
        <x:v>CSV row 347</x:v>
      </x:c>
      <x:c r="N352" s="2" t="str">
        <x:f>IF(AND(A352&lt;&gt;"",ISNUMBER(D352)),B352&amp;"|"&amp;C352&amp;"|"&amp;TEXT(D352,"yyyymmdd")&amp;"|"&amp;E352&amp;"|"&amp;F352,"")</x:f>
        <x:v>E0|2025/26|20260503|Man United|Liverpool</x:v>
      </x:c>
      <x:c r="O352" s="2" t="str">
        <x:f>IF(A352="","",IFERROR(IF(NOT(AND(B352&lt;&gt;"",C352&lt;&gt;"",ISNUMBER(D352),D352&gt;0,E352&lt;&gt;"",F352&lt;&gt;"",E352&lt;&gt;F352,ISNUMBER(G352),ISNUMBER(H352),G352&gt;=0,H352&gt;=0,G352&lt;=100,H352&lt;=100,MOD(G352,1)=0,MOD(H352,1)=0,L352="FT90",S352&gt;0,INDEX(SourceTable[League],MAX(1,S352))=B352,INDEX(SourceTable[Season],MAX(1,S352))=C352,ISNUMBER(K352),K352=INDEX(SourceTable[Retrieved_UTC],MAX(1,S352)),J352&lt;&gt;"",M352&lt;&gt;"")),"INVALID",IF(OR(COUNTIFS('Istoric_Nativ'!$N$6:$N$405,N352,'Istoric_Nativ'!$G$6:$G$405,G352)&lt;&gt;COUNTIF('Istoric_Nativ'!$N$6:$N$405,N352),COUNTIFS('Istoric_Nativ'!$N$6:$N$405,N352,'Istoric_Nativ'!$H$6:$H$405,H352)&lt;&gt;COUNTIF('Istoric_Nativ'!$N$6:$N$405,N352)),"SOURCE CONFLICT",IF(COUNTIF($N$6:N352,N352)&gt;1,"DUPLICATE","VALID"))),"INVALID"))</x:f>
        <x:v>VALID</x:v>
      </x:c>
      <x:c r="P352" s="2" t="n">
        <x:f>IF(O352="VALID",1,0)</x:f>
        <x:v>1</x:v>
      </x:c>
      <x:c r="Q352" s="2" t="n">
        <x:f>IF(P352=1,G352+H352,0)</x:f>
        <x:v>5</x:v>
      </x:c>
      <x:c r="R352" s="2" t="n">
        <x:f>Q352^2</x:f>
        <x:v>25</x:v>
      </x:c>
      <x:c r="S352" s="2" t="n">
        <x:f>IF(A352="","",IFERROR(MATCH(I352,SourceTable[Source_ID],0),0))</x:f>
        <x:v>1</x:v>
      </x:c>
    </x:row>
    <x:row r="353" ht="21" customHeight="1">
      <x:c r="A353" s="7" t="str">
        <x:v>f6d06ca3cc79d7371b48</x:v>
      </x:c>
      <x:c r="B353" s="7" t="str">
        <x:v>E0</x:v>
      </x:c>
      <x:c r="C353" s="7" t="str">
        <x:v>2025/26</x:v>
      </x:c>
      <x:c r="D353" s="8" t="n">
        <x:v>46146</x:v>
      </x:c>
      <x:c r="E353" s="7" t="str">
        <x:v>Chelsea</x:v>
      </x:c>
      <x:c r="F353" s="7" t="str">
        <x:v>Nott'm Forest</x:v>
      </x:c>
      <x:c r="G353" s="7" t="n">
        <x:v>10</x:v>
      </x:c>
      <x:c r="H353" s="7" t="n">
        <x:v>1</x:v>
      </x:c>
      <x:c r="I353" s="7" t="str">
        <x:v>FD_E0_2526</x:v>
      </x:c>
      <x:c r="J353" s="7" t="str">
        <x:v>https://www.football-data.co.uk/mmz4281/2526/E0.csv</x:v>
      </x:c>
      <x:c r="K353" s="8" t="n">
        <x:v>46278.70306712963</x:v>
      </x:c>
      <x:c r="L353" s="7" t="str">
        <x:v>FT90</x:v>
      </x:c>
      <x:c r="M353" s="7" t="str">
        <x:v>CSV row 349</x:v>
      </x:c>
      <x:c r="N353" s="2" t="str">
        <x:f>IF(AND(A353&lt;&gt;"",ISNUMBER(D353)),B353&amp;"|"&amp;C353&amp;"|"&amp;TEXT(D353,"yyyymmdd")&amp;"|"&amp;E353&amp;"|"&amp;F353,"")</x:f>
        <x:v>E0|2025/26|20260504|Chelsea|Nott'm Forest</x:v>
      </x:c>
      <x:c r="O353" s="2" t="str">
        <x:f>IF(A353="","",IFERROR(IF(NOT(AND(B353&lt;&gt;"",C353&lt;&gt;"",ISNUMBER(D353),D353&gt;0,E353&lt;&gt;"",F353&lt;&gt;"",E353&lt;&gt;F353,ISNUMBER(G353),ISNUMBER(H353),G353&gt;=0,H353&gt;=0,G353&lt;=100,H353&lt;=100,MOD(G353,1)=0,MOD(H353,1)=0,L353="FT90",S353&gt;0,INDEX(SourceTable[League],MAX(1,S353))=B353,INDEX(SourceTable[Season],MAX(1,S353))=C353,ISNUMBER(K353),K353=INDEX(SourceTable[Retrieved_UTC],MAX(1,S353)),J353&lt;&gt;"",M353&lt;&gt;"")),"INVALID",IF(OR(COUNTIFS('Istoric_Nativ'!$N$6:$N$405,N353,'Istoric_Nativ'!$G$6:$G$405,G353)&lt;&gt;COUNTIF('Istoric_Nativ'!$N$6:$N$405,N353),COUNTIFS('Istoric_Nativ'!$N$6:$N$405,N353,'Istoric_Nativ'!$H$6:$H$405,H353)&lt;&gt;COUNTIF('Istoric_Nativ'!$N$6:$N$405,N353)),"SOURCE CONFLICT",IF(COUNTIF($N$6:N353,N353)&gt;1,"DUPLICATE","VALID"))),"INVALID"))</x:f>
        <x:v>VALID</x:v>
      </x:c>
      <x:c r="P353" s="2" t="n">
        <x:f>IF(O353="VALID",1,0)</x:f>
        <x:v>1</x:v>
      </x:c>
      <x:c r="Q353" s="2" t="n">
        <x:f>IF(P353=1,G353+H353,0)</x:f>
        <x:v>11</x:v>
      </x:c>
      <x:c r="R353" s="2" t="n">
        <x:f>Q353^2</x:f>
        <x:v>121</x:v>
      </x:c>
      <x:c r="S353" s="2" t="n">
        <x:f>IF(A353="","",IFERROR(MATCH(I353,SourceTable[Source_ID],0),0))</x:f>
        <x:v>1</x:v>
      </x:c>
    </x:row>
    <x:row r="354" ht="21" customHeight="1">
      <x:c r="A354" s="7" t="str">
        <x:v>ca4971d6f27a74815927</x:v>
      </x:c>
      <x:c r="B354" s="7" t="str">
        <x:v>E0</x:v>
      </x:c>
      <x:c r="C354" s="7" t="str">
        <x:v>2025/26</x:v>
      </x:c>
      <x:c r="D354" s="8" t="n">
        <x:v>46146</x:v>
      </x:c>
      <x:c r="E354" s="7" t="str">
        <x:v>Everton</x:v>
      </x:c>
      <x:c r="F354" s="7" t="str">
        <x:v>Man City</x:v>
      </x:c>
      <x:c r="G354" s="7" t="n">
        <x:v>5</x:v>
      </x:c>
      <x:c r="H354" s="7" t="n">
        <x:v>9</x:v>
      </x:c>
      <x:c r="I354" s="7" t="str">
        <x:v>FD_E0_2526</x:v>
      </x:c>
      <x:c r="J354" s="7" t="str">
        <x:v>https://www.football-data.co.uk/mmz4281/2526/E0.csv</x:v>
      </x:c>
      <x:c r="K354" s="8" t="n">
        <x:v>46278.70306712963</x:v>
      </x:c>
      <x:c r="L354" s="7" t="str">
        <x:v>FT90</x:v>
      </x:c>
      <x:c r="M354" s="7" t="str">
        <x:v>CSV row 350</x:v>
      </x:c>
      <x:c r="N354" s="2" t="str">
        <x:f>IF(AND(A354&lt;&gt;"",ISNUMBER(D354)),B354&amp;"|"&amp;C354&amp;"|"&amp;TEXT(D354,"yyyymmdd")&amp;"|"&amp;E354&amp;"|"&amp;F354,"")</x:f>
        <x:v>E0|2025/26|20260504|Everton|Man City</x:v>
      </x:c>
      <x:c r="O354" s="2" t="str">
        <x:f>IF(A354="","",IFERROR(IF(NOT(AND(B354&lt;&gt;"",C354&lt;&gt;"",ISNUMBER(D354),D354&gt;0,E354&lt;&gt;"",F354&lt;&gt;"",E354&lt;&gt;F354,ISNUMBER(G354),ISNUMBER(H354),G354&gt;=0,H354&gt;=0,G354&lt;=100,H354&lt;=100,MOD(G354,1)=0,MOD(H354,1)=0,L354="FT90",S354&gt;0,INDEX(SourceTable[League],MAX(1,S354))=B354,INDEX(SourceTable[Season],MAX(1,S354))=C354,ISNUMBER(K354),K354=INDEX(SourceTable[Retrieved_UTC],MAX(1,S354)),J354&lt;&gt;"",M354&lt;&gt;"")),"INVALID",IF(OR(COUNTIFS('Istoric_Nativ'!$N$6:$N$405,N354,'Istoric_Nativ'!$G$6:$G$405,G354)&lt;&gt;COUNTIF('Istoric_Nativ'!$N$6:$N$405,N354),COUNTIFS('Istoric_Nativ'!$N$6:$N$405,N354,'Istoric_Nativ'!$H$6:$H$405,H354)&lt;&gt;COUNTIF('Istoric_Nativ'!$N$6:$N$405,N354)),"SOURCE CONFLICT",IF(COUNTIF($N$6:N354,N354)&gt;1,"DUPLICATE","VALID"))),"INVALID"))</x:f>
        <x:v>VALID</x:v>
      </x:c>
      <x:c r="P354" s="2" t="n">
        <x:f>IF(O354="VALID",1,0)</x:f>
        <x:v>1</x:v>
      </x:c>
      <x:c r="Q354" s="2" t="n">
        <x:f>IF(P354=1,G354+H354,0)</x:f>
        <x:v>14</x:v>
      </x:c>
      <x:c r="R354" s="2" t="n">
        <x:f>Q354^2</x:f>
        <x:v>196</x:v>
      </x:c>
      <x:c r="S354" s="2" t="n">
        <x:f>IF(A354="","",IFERROR(MATCH(I354,SourceTable[Source_ID],0),0))</x:f>
        <x:v>1</x:v>
      </x:c>
    </x:row>
    <x:row r="355" ht="21" customHeight="1">
      <x:c r="A355" s="7" t="str">
        <x:v>ff6b09b31561a52dc355</x:v>
      </x:c>
      <x:c r="B355" s="7" t="str">
        <x:v>E0</x:v>
      </x:c>
      <x:c r="C355" s="7" t="str">
        <x:v>2025/26</x:v>
      </x:c>
      <x:c r="D355" s="8" t="n">
        <x:v>46151</x:v>
      </x:c>
      <x:c r="E355" s="7" t="str">
        <x:v>Brighton</x:v>
      </x:c>
      <x:c r="F355" s="7" t="str">
        <x:v>Wolves</x:v>
      </x:c>
      <x:c r="G355" s="7" t="n">
        <x:v>7</x:v>
      </x:c>
      <x:c r="H355" s="7" t="n">
        <x:v>1</x:v>
      </x:c>
      <x:c r="I355" s="7" t="str">
        <x:v>FD_E0_2526</x:v>
      </x:c>
      <x:c r="J355" s="7" t="str">
        <x:v>https://www.football-data.co.uk/mmz4281/2526/E0.csv</x:v>
      </x:c>
      <x:c r="K355" s="8" t="n">
        <x:v>46278.70306712963</x:v>
      </x:c>
      <x:c r="L355" s="7" t="str">
        <x:v>FT90</x:v>
      </x:c>
      <x:c r="M355" s="7" t="str">
        <x:v>CSV row 352</x:v>
      </x:c>
      <x:c r="N355" s="2" t="str">
        <x:f>IF(AND(A355&lt;&gt;"",ISNUMBER(D355)),B355&amp;"|"&amp;C355&amp;"|"&amp;TEXT(D355,"yyyymmdd")&amp;"|"&amp;E355&amp;"|"&amp;F355,"")</x:f>
        <x:v>E0|2025/26|20260509|Brighton|Wolves</x:v>
      </x:c>
      <x:c r="O355" s="2" t="str">
        <x:f>IF(A355="","",IFERROR(IF(NOT(AND(B355&lt;&gt;"",C355&lt;&gt;"",ISNUMBER(D355),D355&gt;0,E355&lt;&gt;"",F355&lt;&gt;"",E355&lt;&gt;F355,ISNUMBER(G355),ISNUMBER(H355),G355&gt;=0,H355&gt;=0,G355&lt;=100,H355&lt;=100,MOD(G355,1)=0,MOD(H355,1)=0,L355="FT90",S355&gt;0,INDEX(SourceTable[League],MAX(1,S355))=B355,INDEX(SourceTable[Season],MAX(1,S355))=C355,ISNUMBER(K355),K355=INDEX(SourceTable[Retrieved_UTC],MAX(1,S355)),J355&lt;&gt;"",M355&lt;&gt;"")),"INVALID",IF(OR(COUNTIFS('Istoric_Nativ'!$N$6:$N$405,N355,'Istoric_Nativ'!$G$6:$G$405,G355)&lt;&gt;COUNTIF('Istoric_Nativ'!$N$6:$N$405,N355),COUNTIFS('Istoric_Nativ'!$N$6:$N$405,N355,'Istoric_Nativ'!$H$6:$H$405,H355)&lt;&gt;COUNTIF('Istoric_Nativ'!$N$6:$N$405,N355)),"SOURCE CONFLICT",IF(COUNTIF($N$6:N355,N355)&gt;1,"DUPLICATE","VALID"))),"INVALID"))</x:f>
        <x:v>VALID</x:v>
      </x:c>
      <x:c r="P355" s="2" t="n">
        <x:f>IF(O355="VALID",1,0)</x:f>
        <x:v>1</x:v>
      </x:c>
      <x:c r="Q355" s="2" t="n">
        <x:f>IF(P355=1,G355+H355,0)</x:f>
        <x:v>8</x:v>
      </x:c>
      <x:c r="R355" s="2" t="n">
        <x:f>Q355^2</x:f>
        <x:v>64</x:v>
      </x:c>
      <x:c r="S355" s="2" t="n">
        <x:f>IF(A355="","",IFERROR(MATCH(I355,SourceTable[Source_ID],0),0))</x:f>
        <x:v>1</x:v>
      </x:c>
    </x:row>
    <x:row r="356" ht="21" customHeight="1">
      <x:c r="A356" s="7" t="str">
        <x:v>e8857ce42d25f4c6b0c3</x:v>
      </x:c>
      <x:c r="B356" s="7" t="str">
        <x:v>E0</x:v>
      </x:c>
      <x:c r="C356" s="7" t="str">
        <x:v>2025/26</x:v>
      </x:c>
      <x:c r="D356" s="8" t="n">
        <x:v>46151</x:v>
      </x:c>
      <x:c r="E356" s="7" t="str">
        <x:v>Fulham</x:v>
      </x:c>
      <x:c r="F356" s="7" t="str">
        <x:v>Bournemouth</x:v>
      </x:c>
      <x:c r="G356" s="7" t="n">
        <x:v>11</x:v>
      </x:c>
      <x:c r="H356" s="7" t="n">
        <x:v>2</x:v>
      </x:c>
      <x:c r="I356" s="7" t="str">
        <x:v>FD_E0_2526</x:v>
      </x:c>
      <x:c r="J356" s="7" t="str">
        <x:v>https://www.football-data.co.uk/mmz4281/2526/E0.csv</x:v>
      </x:c>
      <x:c r="K356" s="8" t="n">
        <x:v>46278.70306712963</x:v>
      </x:c>
      <x:c r="L356" s="7" t="str">
        <x:v>FT90</x:v>
      </x:c>
      <x:c r="M356" s="7" t="str">
        <x:v>CSV row 353</x:v>
      </x:c>
      <x:c r="N356" s="2" t="str">
        <x:f>IF(AND(A356&lt;&gt;"",ISNUMBER(D356)),B356&amp;"|"&amp;C356&amp;"|"&amp;TEXT(D356,"yyyymmdd")&amp;"|"&amp;E356&amp;"|"&amp;F356,"")</x:f>
        <x:v>E0|2025/26|20260509|Fulham|Bournemouth</x:v>
      </x:c>
      <x:c r="O356" s="2" t="str">
        <x:f>IF(A356="","",IFERROR(IF(NOT(AND(B356&lt;&gt;"",C356&lt;&gt;"",ISNUMBER(D356),D356&gt;0,E356&lt;&gt;"",F356&lt;&gt;"",E356&lt;&gt;F356,ISNUMBER(G356),ISNUMBER(H356),G356&gt;=0,H356&gt;=0,G356&lt;=100,H356&lt;=100,MOD(G356,1)=0,MOD(H356,1)=0,L356="FT90",S356&gt;0,INDEX(SourceTable[League],MAX(1,S356))=B356,INDEX(SourceTable[Season],MAX(1,S356))=C356,ISNUMBER(K356),K356=INDEX(SourceTable[Retrieved_UTC],MAX(1,S356)),J356&lt;&gt;"",M356&lt;&gt;"")),"INVALID",IF(OR(COUNTIFS('Istoric_Nativ'!$N$6:$N$405,N356,'Istoric_Nativ'!$G$6:$G$405,G356)&lt;&gt;COUNTIF('Istoric_Nativ'!$N$6:$N$405,N356),COUNTIFS('Istoric_Nativ'!$N$6:$N$405,N356,'Istoric_Nativ'!$H$6:$H$405,H356)&lt;&gt;COUNTIF('Istoric_Nativ'!$N$6:$N$405,N356)),"SOURCE CONFLICT",IF(COUNTIF($N$6:N356,N356)&gt;1,"DUPLICATE","VALID"))),"INVALID"))</x:f>
        <x:v>VALID</x:v>
      </x:c>
      <x:c r="P356" s="2" t="n">
        <x:f>IF(O356="VALID",1,0)</x:f>
        <x:v>1</x:v>
      </x:c>
      <x:c r="Q356" s="2" t="n">
        <x:f>IF(P356=1,G356+H356,0)</x:f>
        <x:v>13</x:v>
      </x:c>
      <x:c r="R356" s="2" t="n">
        <x:f>Q356^2</x:f>
        <x:v>169</x:v>
      </x:c>
      <x:c r="S356" s="2" t="n">
        <x:f>IF(A356="","",IFERROR(MATCH(I356,SourceTable[Source_ID],0),0))</x:f>
        <x:v>1</x:v>
      </x:c>
    </x:row>
    <x:row r="357" ht="21" customHeight="1">
      <x:c r="A357" s="7" t="str">
        <x:v>58f9a9bac16a7b607924</x:v>
      </x:c>
      <x:c r="B357" s="7" t="str">
        <x:v>E0</x:v>
      </x:c>
      <x:c r="C357" s="7" t="str">
        <x:v>2025/26</x:v>
      </x:c>
      <x:c r="D357" s="8" t="n">
        <x:v>46151</x:v>
      </x:c>
      <x:c r="E357" s="7" t="str">
        <x:v>Liverpool</x:v>
      </x:c>
      <x:c r="F357" s="7" t="str">
        <x:v>Chelsea</x:v>
      </x:c>
      <x:c r="G357" s="7" t="n">
        <x:v>5</x:v>
      </x:c>
      <x:c r="H357" s="7" t="n">
        <x:v>2</x:v>
      </x:c>
      <x:c r="I357" s="7" t="str">
        <x:v>FD_E0_2526</x:v>
      </x:c>
      <x:c r="J357" s="7" t="str">
        <x:v>https://www.football-data.co.uk/mmz4281/2526/E0.csv</x:v>
      </x:c>
      <x:c r="K357" s="8" t="n">
        <x:v>46278.70306712963</x:v>
      </x:c>
      <x:c r="L357" s="7" t="str">
        <x:v>FT90</x:v>
      </x:c>
      <x:c r="M357" s="7" t="str">
        <x:v>CSV row 351</x:v>
      </x:c>
      <x:c r="N357" s="2" t="str">
        <x:f>IF(AND(A357&lt;&gt;"",ISNUMBER(D357)),B357&amp;"|"&amp;C357&amp;"|"&amp;TEXT(D357,"yyyymmdd")&amp;"|"&amp;E357&amp;"|"&amp;F357,"")</x:f>
        <x:v>E0|2025/26|20260509|Liverpool|Chelsea</x:v>
      </x:c>
      <x:c r="O357" s="2" t="str">
        <x:f>IF(A357="","",IFERROR(IF(NOT(AND(B357&lt;&gt;"",C357&lt;&gt;"",ISNUMBER(D357),D357&gt;0,E357&lt;&gt;"",F357&lt;&gt;"",E357&lt;&gt;F357,ISNUMBER(G357),ISNUMBER(H357),G357&gt;=0,H357&gt;=0,G357&lt;=100,H357&lt;=100,MOD(G357,1)=0,MOD(H357,1)=0,L357="FT90",S357&gt;0,INDEX(SourceTable[League],MAX(1,S357))=B357,INDEX(SourceTable[Season],MAX(1,S357))=C357,ISNUMBER(K357),K357=INDEX(SourceTable[Retrieved_UTC],MAX(1,S357)),J357&lt;&gt;"",M357&lt;&gt;"")),"INVALID",IF(OR(COUNTIFS('Istoric_Nativ'!$N$6:$N$405,N357,'Istoric_Nativ'!$G$6:$G$405,G357)&lt;&gt;COUNTIF('Istoric_Nativ'!$N$6:$N$405,N357),COUNTIFS('Istoric_Nativ'!$N$6:$N$405,N357,'Istoric_Nativ'!$H$6:$H$405,H357)&lt;&gt;COUNTIF('Istoric_Nativ'!$N$6:$N$405,N357)),"SOURCE CONFLICT",IF(COUNTIF($N$6:N357,N357)&gt;1,"DUPLICATE","VALID"))),"INVALID"))</x:f>
        <x:v>VALID</x:v>
      </x:c>
      <x:c r="P357" s="2" t="n">
        <x:f>IF(O357="VALID",1,0)</x:f>
        <x:v>1</x:v>
      </x:c>
      <x:c r="Q357" s="2" t="n">
        <x:f>IF(P357=1,G357+H357,0)</x:f>
        <x:v>7</x:v>
      </x:c>
      <x:c r="R357" s="2" t="n">
        <x:f>Q357^2</x:f>
        <x:v>49</x:v>
      </x:c>
      <x:c r="S357" s="2" t="n">
        <x:f>IF(A357="","",IFERROR(MATCH(I357,SourceTable[Source_ID],0),0))</x:f>
        <x:v>1</x:v>
      </x:c>
    </x:row>
    <x:row r="358" ht="21" customHeight="1">
      <x:c r="A358" s="7" t="str">
        <x:v>471f2f2bfebb615b0170</x:v>
      </x:c>
      <x:c r="B358" s="7" t="str">
        <x:v>E0</x:v>
      </x:c>
      <x:c r="C358" s="7" t="str">
        <x:v>2025/26</x:v>
      </x:c>
      <x:c r="D358" s="8" t="n">
        <x:v>46151</x:v>
      </x:c>
      <x:c r="E358" s="7" t="str">
        <x:v>Man City</x:v>
      </x:c>
      <x:c r="F358" s="7" t="str">
        <x:v>Brentford</x:v>
      </x:c>
      <x:c r="G358" s="7" t="n">
        <x:v>10</x:v>
      </x:c>
      <x:c r="H358" s="7" t="n">
        <x:v>2</x:v>
      </x:c>
      <x:c r="I358" s="7" t="str">
        <x:v>FD_E0_2526</x:v>
      </x:c>
      <x:c r="J358" s="7" t="str">
        <x:v>https://www.football-data.co.uk/mmz4281/2526/E0.csv</x:v>
      </x:c>
      <x:c r="K358" s="8" t="n">
        <x:v>46278.70306712963</x:v>
      </x:c>
      <x:c r="L358" s="7" t="str">
        <x:v>FT90</x:v>
      </x:c>
      <x:c r="M358" s="7" t="str">
        <x:v>CSV row 355</x:v>
      </x:c>
      <x:c r="N358" s="2" t="str">
        <x:f>IF(AND(A358&lt;&gt;"",ISNUMBER(D358)),B358&amp;"|"&amp;C358&amp;"|"&amp;TEXT(D358,"yyyymmdd")&amp;"|"&amp;E358&amp;"|"&amp;F358,"")</x:f>
        <x:v>E0|2025/26|20260509|Man City|Brentford</x:v>
      </x:c>
      <x:c r="O358" s="2" t="str">
        <x:f>IF(A358="","",IFERROR(IF(NOT(AND(B358&lt;&gt;"",C358&lt;&gt;"",ISNUMBER(D358),D358&gt;0,E358&lt;&gt;"",F358&lt;&gt;"",E358&lt;&gt;F358,ISNUMBER(G358),ISNUMBER(H358),G358&gt;=0,H358&gt;=0,G358&lt;=100,H358&lt;=100,MOD(G358,1)=0,MOD(H358,1)=0,L358="FT90",S358&gt;0,INDEX(SourceTable[League],MAX(1,S358))=B358,INDEX(SourceTable[Season],MAX(1,S358))=C358,ISNUMBER(K358),K358=INDEX(SourceTable[Retrieved_UTC],MAX(1,S358)),J358&lt;&gt;"",M358&lt;&gt;"")),"INVALID",IF(OR(COUNTIFS('Istoric_Nativ'!$N$6:$N$405,N358,'Istoric_Nativ'!$G$6:$G$405,G358)&lt;&gt;COUNTIF('Istoric_Nativ'!$N$6:$N$405,N358),COUNTIFS('Istoric_Nativ'!$N$6:$N$405,N358,'Istoric_Nativ'!$H$6:$H$405,H358)&lt;&gt;COUNTIF('Istoric_Nativ'!$N$6:$N$405,N358)),"SOURCE CONFLICT",IF(COUNTIF($N$6:N358,N358)&gt;1,"DUPLICATE","VALID"))),"INVALID"))</x:f>
        <x:v>VALID</x:v>
      </x:c>
      <x:c r="P358" s="2" t="n">
        <x:f>IF(O358="VALID",1,0)</x:f>
        <x:v>1</x:v>
      </x:c>
      <x:c r="Q358" s="2" t="n">
        <x:f>IF(P358=1,G358+H358,0)</x:f>
        <x:v>12</x:v>
      </x:c>
      <x:c r="R358" s="2" t="n">
        <x:f>Q358^2</x:f>
        <x:v>144</x:v>
      </x:c>
      <x:c r="S358" s="2" t="n">
        <x:f>IF(A358="","",IFERROR(MATCH(I358,SourceTable[Source_ID],0),0))</x:f>
        <x:v>1</x:v>
      </x:c>
    </x:row>
    <x:row r="359" ht="21" customHeight="1">
      <x:c r="A359" s="7" t="str">
        <x:v>8a11aab8f64b584d019a</x:v>
      </x:c>
      <x:c r="B359" s="7" t="str">
        <x:v>E0</x:v>
      </x:c>
      <x:c r="C359" s="7" t="str">
        <x:v>2025/26</x:v>
      </x:c>
      <x:c r="D359" s="8" t="n">
        <x:v>46151</x:v>
      </x:c>
      <x:c r="E359" s="7" t="str">
        <x:v>Sunderland</x:v>
      </x:c>
      <x:c r="F359" s="7" t="str">
        <x:v>Man United</x:v>
      </x:c>
      <x:c r="G359" s="7" t="n">
        <x:v>7</x:v>
      </x:c>
      <x:c r="H359" s="7" t="n">
        <x:v>8</x:v>
      </x:c>
      <x:c r="I359" s="7" t="str">
        <x:v>FD_E0_2526</x:v>
      </x:c>
      <x:c r="J359" s="7" t="str">
        <x:v>https://www.football-data.co.uk/mmz4281/2526/E0.csv</x:v>
      </x:c>
      <x:c r="K359" s="8" t="n">
        <x:v>46278.70306712963</x:v>
      </x:c>
      <x:c r="L359" s="7" t="str">
        <x:v>FT90</x:v>
      </x:c>
      <x:c r="M359" s="7" t="str">
        <x:v>CSV row 354</x:v>
      </x:c>
      <x:c r="N359" s="2" t="str">
        <x:f>IF(AND(A359&lt;&gt;"",ISNUMBER(D359)),B359&amp;"|"&amp;C359&amp;"|"&amp;TEXT(D359,"yyyymmdd")&amp;"|"&amp;E359&amp;"|"&amp;F359,"")</x:f>
        <x:v>E0|2025/26|20260509|Sunderland|Man United</x:v>
      </x:c>
      <x:c r="O359" s="2" t="str">
        <x:f>IF(A359="","",IFERROR(IF(NOT(AND(B359&lt;&gt;"",C359&lt;&gt;"",ISNUMBER(D359),D359&gt;0,E359&lt;&gt;"",F359&lt;&gt;"",E359&lt;&gt;F359,ISNUMBER(G359),ISNUMBER(H359),G359&gt;=0,H359&gt;=0,G359&lt;=100,H359&lt;=100,MOD(G359,1)=0,MOD(H359,1)=0,L359="FT90",S359&gt;0,INDEX(SourceTable[League],MAX(1,S359))=B359,INDEX(SourceTable[Season],MAX(1,S359))=C359,ISNUMBER(K359),K359=INDEX(SourceTable[Retrieved_UTC],MAX(1,S359)),J359&lt;&gt;"",M359&lt;&gt;"")),"INVALID",IF(OR(COUNTIFS('Istoric_Nativ'!$N$6:$N$405,N359,'Istoric_Nativ'!$G$6:$G$405,G359)&lt;&gt;COUNTIF('Istoric_Nativ'!$N$6:$N$405,N359),COUNTIFS('Istoric_Nativ'!$N$6:$N$405,N359,'Istoric_Nativ'!$H$6:$H$405,H359)&lt;&gt;COUNTIF('Istoric_Nativ'!$N$6:$N$405,N359)),"SOURCE CONFLICT",IF(COUNTIF($N$6:N359,N359)&gt;1,"DUPLICATE","VALID"))),"INVALID"))</x:f>
        <x:v>VALID</x:v>
      </x:c>
      <x:c r="P359" s="2" t="n">
        <x:f>IF(O359="VALID",1,0)</x:f>
        <x:v>1</x:v>
      </x:c>
      <x:c r="Q359" s="2" t="n">
        <x:f>IF(P359=1,G359+H359,0)</x:f>
        <x:v>15</x:v>
      </x:c>
      <x:c r="R359" s="2" t="n">
        <x:f>Q359^2</x:f>
        <x:v>225</x:v>
      </x:c>
      <x:c r="S359" s="2" t="n">
        <x:f>IF(A359="","",IFERROR(MATCH(I359,SourceTable[Source_ID],0),0))</x:f>
        <x:v>1</x:v>
      </x:c>
    </x:row>
    <x:row r="360" ht="21" customHeight="1">
      <x:c r="A360" s="7" t="str">
        <x:v>ccb0c6914c5acb781797</x:v>
      </x:c>
      <x:c r="B360" s="7" t="str">
        <x:v>E0</x:v>
      </x:c>
      <x:c r="C360" s="7" t="str">
        <x:v>2025/26</x:v>
      </x:c>
      <x:c r="D360" s="8" t="n">
        <x:v>46152</x:v>
      </x:c>
      <x:c r="E360" s="7" t="str">
        <x:v>Burnley</x:v>
      </x:c>
      <x:c r="F360" s="7" t="str">
        <x:v>Aston Villa</x:v>
      </x:c>
      <x:c r="G360" s="7" t="n">
        <x:v>2</x:v>
      </x:c>
      <x:c r="H360" s="7" t="n">
        <x:v>8</x:v>
      </x:c>
      <x:c r="I360" s="7" t="str">
        <x:v>FD_E0_2526</x:v>
      </x:c>
      <x:c r="J360" s="7" t="str">
        <x:v>https://www.football-data.co.uk/mmz4281/2526/E0.csv</x:v>
      </x:c>
      <x:c r="K360" s="8" t="n">
        <x:v>46278.70306712963</x:v>
      </x:c>
      <x:c r="L360" s="7" t="str">
        <x:v>FT90</x:v>
      </x:c>
      <x:c r="M360" s="7" t="str">
        <x:v>CSV row 356</x:v>
      </x:c>
      <x:c r="N360" s="2" t="str">
        <x:f>IF(AND(A360&lt;&gt;"",ISNUMBER(D360)),B360&amp;"|"&amp;C360&amp;"|"&amp;TEXT(D360,"yyyymmdd")&amp;"|"&amp;E360&amp;"|"&amp;F360,"")</x:f>
        <x:v>E0|2025/26|20260510|Burnley|Aston Villa</x:v>
      </x:c>
      <x:c r="O360" s="2" t="str">
        <x:f>IF(A360="","",IFERROR(IF(NOT(AND(B360&lt;&gt;"",C360&lt;&gt;"",ISNUMBER(D360),D360&gt;0,E360&lt;&gt;"",F360&lt;&gt;"",E360&lt;&gt;F360,ISNUMBER(G360),ISNUMBER(H360),G360&gt;=0,H360&gt;=0,G360&lt;=100,H360&lt;=100,MOD(G360,1)=0,MOD(H360,1)=0,L360="FT90",S360&gt;0,INDEX(SourceTable[League],MAX(1,S360))=B360,INDEX(SourceTable[Season],MAX(1,S360))=C360,ISNUMBER(K360),K360=INDEX(SourceTable[Retrieved_UTC],MAX(1,S360)),J360&lt;&gt;"",M360&lt;&gt;"")),"INVALID",IF(OR(COUNTIFS('Istoric_Nativ'!$N$6:$N$405,N360,'Istoric_Nativ'!$G$6:$G$405,G360)&lt;&gt;COUNTIF('Istoric_Nativ'!$N$6:$N$405,N360),COUNTIFS('Istoric_Nativ'!$N$6:$N$405,N360,'Istoric_Nativ'!$H$6:$H$405,H360)&lt;&gt;COUNTIF('Istoric_Nativ'!$N$6:$N$405,N360)),"SOURCE CONFLICT",IF(COUNTIF($N$6:N360,N360)&gt;1,"DUPLICATE","VALID"))),"INVALID"))</x:f>
        <x:v>VALID</x:v>
      </x:c>
      <x:c r="P360" s="2" t="n">
        <x:f>IF(O360="VALID",1,0)</x:f>
        <x:v>1</x:v>
      </x:c>
      <x:c r="Q360" s="2" t="n">
        <x:f>IF(P360=1,G360+H360,0)</x:f>
        <x:v>10</x:v>
      </x:c>
      <x:c r="R360" s="2" t="n">
        <x:f>Q360^2</x:f>
        <x:v>100</x:v>
      </x:c>
      <x:c r="S360" s="2" t="n">
        <x:f>IF(A360="","",IFERROR(MATCH(I360,SourceTable[Source_ID],0),0))</x:f>
        <x:v>1</x:v>
      </x:c>
    </x:row>
    <x:row r="361" ht="21" customHeight="1">
      <x:c r="A361" s="7" t="str">
        <x:v>51b814c265abb82e1216</x:v>
      </x:c>
      <x:c r="B361" s="7" t="str">
        <x:v>E0</x:v>
      </x:c>
      <x:c r="C361" s="7" t="str">
        <x:v>2025/26</x:v>
      </x:c>
      <x:c r="D361" s="8" t="n">
        <x:v>46152</x:v>
      </x:c>
      <x:c r="E361" s="7" t="str">
        <x:v>Crystal Palace</x:v>
      </x:c>
      <x:c r="F361" s="7" t="str">
        <x:v>Everton</x:v>
      </x:c>
      <x:c r="G361" s="7" t="n">
        <x:v>5</x:v>
      </x:c>
      <x:c r="H361" s="7" t="n">
        <x:v>10</x:v>
      </x:c>
      <x:c r="I361" s="7" t="str">
        <x:v>FD_E0_2526</x:v>
      </x:c>
      <x:c r="J361" s="7" t="str">
        <x:v>https://www.football-data.co.uk/mmz4281/2526/E0.csv</x:v>
      </x:c>
      <x:c r="K361" s="8" t="n">
        <x:v>46278.70306712963</x:v>
      </x:c>
      <x:c r="L361" s="7" t="str">
        <x:v>FT90</x:v>
      </x:c>
      <x:c r="M361" s="7" t="str">
        <x:v>CSV row 357</x:v>
      </x:c>
      <x:c r="N361" s="2" t="str">
        <x:f>IF(AND(A361&lt;&gt;"",ISNUMBER(D361)),B361&amp;"|"&amp;C361&amp;"|"&amp;TEXT(D361,"yyyymmdd")&amp;"|"&amp;E361&amp;"|"&amp;F361,"")</x:f>
        <x:v>E0|2025/26|20260510|Crystal Palace|Everton</x:v>
      </x:c>
      <x:c r="O361" s="2" t="str">
        <x:f>IF(A361="","",IFERROR(IF(NOT(AND(B361&lt;&gt;"",C361&lt;&gt;"",ISNUMBER(D361),D361&gt;0,E361&lt;&gt;"",F361&lt;&gt;"",E361&lt;&gt;F361,ISNUMBER(G361),ISNUMBER(H361),G361&gt;=0,H361&gt;=0,G361&lt;=100,H361&lt;=100,MOD(G361,1)=0,MOD(H361,1)=0,L361="FT90",S361&gt;0,INDEX(SourceTable[League],MAX(1,S361))=B361,INDEX(SourceTable[Season],MAX(1,S361))=C361,ISNUMBER(K361),K361=INDEX(SourceTable[Retrieved_UTC],MAX(1,S361)),J361&lt;&gt;"",M361&lt;&gt;"")),"INVALID",IF(OR(COUNTIFS('Istoric_Nativ'!$N$6:$N$405,N361,'Istoric_Nativ'!$G$6:$G$405,G361)&lt;&gt;COUNTIF('Istoric_Nativ'!$N$6:$N$405,N361),COUNTIFS('Istoric_Nativ'!$N$6:$N$405,N361,'Istoric_Nativ'!$H$6:$H$405,H361)&lt;&gt;COUNTIF('Istoric_Nativ'!$N$6:$N$405,N361)),"SOURCE CONFLICT",IF(COUNTIF($N$6:N361,N361)&gt;1,"DUPLICATE","VALID"))),"INVALID"))</x:f>
        <x:v>VALID</x:v>
      </x:c>
      <x:c r="P361" s="2" t="n">
        <x:f>IF(O361="VALID",1,0)</x:f>
        <x:v>1</x:v>
      </x:c>
      <x:c r="Q361" s="2" t="n">
        <x:f>IF(P361=1,G361+H361,0)</x:f>
        <x:v>15</x:v>
      </x:c>
      <x:c r="R361" s="2" t="n">
        <x:f>Q361^2</x:f>
        <x:v>225</x:v>
      </x:c>
      <x:c r="S361" s="2" t="n">
        <x:f>IF(A361="","",IFERROR(MATCH(I361,SourceTable[Source_ID],0),0))</x:f>
        <x:v>1</x:v>
      </x:c>
    </x:row>
    <x:row r="362" ht="21" customHeight="1">
      <x:c r="A362" s="7" t="str">
        <x:v>db05e4d192dd0b98f9f1</x:v>
      </x:c>
      <x:c r="B362" s="7" t="str">
        <x:v>E0</x:v>
      </x:c>
      <x:c r="C362" s="7" t="str">
        <x:v>2025/26</x:v>
      </x:c>
      <x:c r="D362" s="8" t="n">
        <x:v>46152</x:v>
      </x:c>
      <x:c r="E362" s="7" t="str">
        <x:v>Nott'm Forest</x:v>
      </x:c>
      <x:c r="F362" s="7" t="str">
        <x:v>Newcastle</x:v>
      </x:c>
      <x:c r="G362" s="7" t="n">
        <x:v>2</x:v>
      </x:c>
      <x:c r="H362" s="7" t="n">
        <x:v>1</x:v>
      </x:c>
      <x:c r="I362" s="7" t="str">
        <x:v>FD_E0_2526</x:v>
      </x:c>
      <x:c r="J362" s="7" t="str">
        <x:v>https://www.football-data.co.uk/mmz4281/2526/E0.csv</x:v>
      </x:c>
      <x:c r="K362" s="8" t="n">
        <x:v>46278.70306712963</x:v>
      </x:c>
      <x:c r="L362" s="7" t="str">
        <x:v>FT90</x:v>
      </x:c>
      <x:c r="M362" s="7" t="str">
        <x:v>CSV row 358</x:v>
      </x:c>
      <x:c r="N362" s="2" t="str">
        <x:f>IF(AND(A362&lt;&gt;"",ISNUMBER(D362)),B362&amp;"|"&amp;C362&amp;"|"&amp;TEXT(D362,"yyyymmdd")&amp;"|"&amp;E362&amp;"|"&amp;F362,"")</x:f>
        <x:v>E0|2025/26|20260510|Nott'm Forest|Newcastle</x:v>
      </x:c>
      <x:c r="O362" s="2" t="str">
        <x:f>IF(A362="","",IFERROR(IF(NOT(AND(B362&lt;&gt;"",C362&lt;&gt;"",ISNUMBER(D362),D362&gt;0,E362&lt;&gt;"",F362&lt;&gt;"",E362&lt;&gt;F362,ISNUMBER(G362),ISNUMBER(H362),G362&gt;=0,H362&gt;=0,G362&lt;=100,H362&lt;=100,MOD(G362,1)=0,MOD(H362,1)=0,L362="FT90",S362&gt;0,INDEX(SourceTable[League],MAX(1,S362))=B362,INDEX(SourceTable[Season],MAX(1,S362))=C362,ISNUMBER(K362),K362=INDEX(SourceTable[Retrieved_UTC],MAX(1,S362)),J362&lt;&gt;"",M362&lt;&gt;"")),"INVALID",IF(OR(COUNTIFS('Istoric_Nativ'!$N$6:$N$405,N362,'Istoric_Nativ'!$G$6:$G$405,G362)&lt;&gt;COUNTIF('Istoric_Nativ'!$N$6:$N$405,N362),COUNTIFS('Istoric_Nativ'!$N$6:$N$405,N362,'Istoric_Nativ'!$H$6:$H$405,H362)&lt;&gt;COUNTIF('Istoric_Nativ'!$N$6:$N$405,N362)),"SOURCE CONFLICT",IF(COUNTIF($N$6:N362,N362)&gt;1,"DUPLICATE","VALID"))),"INVALID"))</x:f>
        <x:v>VALID</x:v>
      </x:c>
      <x:c r="P362" s="2" t="n">
        <x:f>IF(O362="VALID",1,0)</x:f>
        <x:v>1</x:v>
      </x:c>
      <x:c r="Q362" s="2" t="n">
        <x:f>IF(P362=1,G362+H362,0)</x:f>
        <x:v>3</x:v>
      </x:c>
      <x:c r="R362" s="2" t="n">
        <x:f>Q362^2</x:f>
        <x:v>9</x:v>
      </x:c>
      <x:c r="S362" s="2" t="n">
        <x:f>IF(A362="","",IFERROR(MATCH(I362,SourceTable[Source_ID],0),0))</x:f>
        <x:v>1</x:v>
      </x:c>
    </x:row>
    <x:row r="363" ht="21" customHeight="1">
      <x:c r="A363" s="7" t="str">
        <x:v>cf60671ee40552e60e5b</x:v>
      </x:c>
      <x:c r="B363" s="7" t="str">
        <x:v>E0</x:v>
      </x:c>
      <x:c r="C363" s="7" t="str">
        <x:v>2025/26</x:v>
      </x:c>
      <x:c r="D363" s="8" t="n">
        <x:v>46152</x:v>
      </x:c>
      <x:c r="E363" s="7" t="str">
        <x:v>West Ham</x:v>
      </x:c>
      <x:c r="F363" s="7" t="str">
        <x:v>Arsenal</x:v>
      </x:c>
      <x:c r="G363" s="7" t="n">
        <x:v>4</x:v>
      </x:c>
      <x:c r="H363" s="7" t="n">
        <x:v>3</x:v>
      </x:c>
      <x:c r="I363" s="7" t="str">
        <x:v>FD_E0_2526</x:v>
      </x:c>
      <x:c r="J363" s="7" t="str">
        <x:v>https://www.football-data.co.uk/mmz4281/2526/E0.csv</x:v>
      </x:c>
      <x:c r="K363" s="8" t="n">
        <x:v>46278.70306712963</x:v>
      </x:c>
      <x:c r="L363" s="7" t="str">
        <x:v>FT90</x:v>
      </x:c>
      <x:c r="M363" s="7" t="str">
        <x:v>CSV row 359</x:v>
      </x:c>
      <x:c r="N363" s="2" t="str">
        <x:f>IF(AND(A363&lt;&gt;"",ISNUMBER(D363)),B363&amp;"|"&amp;C363&amp;"|"&amp;TEXT(D363,"yyyymmdd")&amp;"|"&amp;E363&amp;"|"&amp;F363,"")</x:f>
        <x:v>E0|2025/26|20260510|West Ham|Arsenal</x:v>
      </x:c>
      <x:c r="O363" s="2" t="str">
        <x:f>IF(A363="","",IFERROR(IF(NOT(AND(B363&lt;&gt;"",C363&lt;&gt;"",ISNUMBER(D363),D363&gt;0,E363&lt;&gt;"",F363&lt;&gt;"",E363&lt;&gt;F363,ISNUMBER(G363),ISNUMBER(H363),G363&gt;=0,H363&gt;=0,G363&lt;=100,H363&lt;=100,MOD(G363,1)=0,MOD(H363,1)=0,L363="FT90",S363&gt;0,INDEX(SourceTable[League],MAX(1,S363))=B363,INDEX(SourceTable[Season],MAX(1,S363))=C363,ISNUMBER(K363),K363=INDEX(SourceTable[Retrieved_UTC],MAX(1,S363)),J363&lt;&gt;"",M363&lt;&gt;"")),"INVALID",IF(OR(COUNTIFS('Istoric_Nativ'!$N$6:$N$405,N363,'Istoric_Nativ'!$G$6:$G$405,G363)&lt;&gt;COUNTIF('Istoric_Nativ'!$N$6:$N$405,N363),COUNTIFS('Istoric_Nativ'!$N$6:$N$405,N363,'Istoric_Nativ'!$H$6:$H$405,H363)&lt;&gt;COUNTIF('Istoric_Nativ'!$N$6:$N$405,N363)),"SOURCE CONFLICT",IF(COUNTIF($N$6:N363,N363)&gt;1,"DUPLICATE","VALID"))),"INVALID"))</x:f>
        <x:v>VALID</x:v>
      </x:c>
      <x:c r="P363" s="2" t="n">
        <x:f>IF(O363="VALID",1,0)</x:f>
        <x:v>1</x:v>
      </x:c>
      <x:c r="Q363" s="2" t="n">
        <x:f>IF(P363=1,G363+H363,0)</x:f>
        <x:v>7</x:v>
      </x:c>
      <x:c r="R363" s="2" t="n">
        <x:f>Q363^2</x:f>
        <x:v>49</x:v>
      </x:c>
      <x:c r="S363" s="2" t="n">
        <x:f>IF(A363="","",IFERROR(MATCH(I363,SourceTable[Source_ID],0),0))</x:f>
        <x:v>1</x:v>
      </x:c>
    </x:row>
    <x:row r="364" ht="21" customHeight="1">
      <x:c r="A364" s="7" t="str">
        <x:v>dd6aa06e4aed0a6ce3a6</x:v>
      </x:c>
      <x:c r="B364" s="7" t="str">
        <x:v>E0</x:v>
      </x:c>
      <x:c r="C364" s="7" t="str">
        <x:v>2025/26</x:v>
      </x:c>
      <x:c r="D364" s="8" t="n">
        <x:v>46153</x:v>
      </x:c>
      <x:c r="E364" s="7" t="str">
        <x:v>Tottenham</x:v>
      </x:c>
      <x:c r="F364" s="7" t="str">
        <x:v>Leeds</x:v>
      </x:c>
      <x:c r="G364" s="7" t="n">
        <x:v>14</x:v>
      </x:c>
      <x:c r="H364" s="7" t="n">
        <x:v>2</x:v>
      </x:c>
      <x:c r="I364" s="7" t="str">
        <x:v>FD_E0_2526</x:v>
      </x:c>
      <x:c r="J364" s="7" t="str">
        <x:v>https://www.football-data.co.uk/mmz4281/2526/E0.csv</x:v>
      </x:c>
      <x:c r="K364" s="8" t="n">
        <x:v>46278.70306712963</x:v>
      </x:c>
      <x:c r="L364" s="7" t="str">
        <x:v>FT90</x:v>
      </x:c>
      <x:c r="M364" s="7" t="str">
        <x:v>CSV row 360</x:v>
      </x:c>
      <x:c r="N364" s="2" t="str">
        <x:f>IF(AND(A364&lt;&gt;"",ISNUMBER(D364)),B364&amp;"|"&amp;C364&amp;"|"&amp;TEXT(D364,"yyyymmdd")&amp;"|"&amp;E364&amp;"|"&amp;F364,"")</x:f>
        <x:v>E0|2025/26|20260511|Tottenham|Leeds</x:v>
      </x:c>
      <x:c r="O364" s="2" t="str">
        <x:f>IF(A364="","",IFERROR(IF(NOT(AND(B364&lt;&gt;"",C364&lt;&gt;"",ISNUMBER(D364),D364&gt;0,E364&lt;&gt;"",F364&lt;&gt;"",E364&lt;&gt;F364,ISNUMBER(G364),ISNUMBER(H364),G364&gt;=0,H364&gt;=0,G364&lt;=100,H364&lt;=100,MOD(G364,1)=0,MOD(H364,1)=0,L364="FT90",S364&gt;0,INDEX(SourceTable[League],MAX(1,S364))=B364,INDEX(SourceTable[Season],MAX(1,S364))=C364,ISNUMBER(K364),K364=INDEX(SourceTable[Retrieved_UTC],MAX(1,S364)),J364&lt;&gt;"",M364&lt;&gt;"")),"INVALID",IF(OR(COUNTIFS('Istoric_Nativ'!$N$6:$N$405,N364,'Istoric_Nativ'!$G$6:$G$405,G364)&lt;&gt;COUNTIF('Istoric_Nativ'!$N$6:$N$405,N364),COUNTIFS('Istoric_Nativ'!$N$6:$N$405,N364,'Istoric_Nativ'!$H$6:$H$405,H364)&lt;&gt;COUNTIF('Istoric_Nativ'!$N$6:$N$405,N364)),"SOURCE CONFLICT",IF(COUNTIF($N$6:N364,N364)&gt;1,"DUPLICATE","VALID"))),"INVALID"))</x:f>
        <x:v>VALID</x:v>
      </x:c>
      <x:c r="P364" s="2" t="n">
        <x:f>IF(O364="VALID",1,0)</x:f>
        <x:v>1</x:v>
      </x:c>
      <x:c r="Q364" s="2" t="n">
        <x:f>IF(P364=1,G364+H364,0)</x:f>
        <x:v>16</x:v>
      </x:c>
      <x:c r="R364" s="2" t="n">
        <x:f>Q364^2</x:f>
        <x:v>256</x:v>
      </x:c>
      <x:c r="S364" s="2" t="n">
        <x:f>IF(A364="","",IFERROR(MATCH(I364,SourceTable[Source_ID],0),0))</x:f>
        <x:v>1</x:v>
      </x:c>
    </x:row>
    <x:row r="365" ht="21" customHeight="1">
      <x:c r="A365" s="7" t="str">
        <x:v>5dbfd6dbd5b8cc6c75cc</x:v>
      </x:c>
      <x:c r="B365" s="7" t="str">
        <x:v>E0</x:v>
      </x:c>
      <x:c r="C365" s="7" t="str">
        <x:v>2025/26</x:v>
      </x:c>
      <x:c r="D365" s="8" t="n">
        <x:v>46155</x:v>
      </x:c>
      <x:c r="E365" s="7" t="str">
        <x:v>Man City</x:v>
      </x:c>
      <x:c r="F365" s="7" t="str">
        <x:v>Crystal Palace</x:v>
      </x:c>
      <x:c r="G365" s="7" t="n">
        <x:v>9</x:v>
      </x:c>
      <x:c r="H365" s="7" t="n">
        <x:v>4</x:v>
      </x:c>
      <x:c r="I365" s="7" t="str">
        <x:v>FD_E0_2526</x:v>
      </x:c>
      <x:c r="J365" s="7" t="str">
        <x:v>https://www.football-data.co.uk/mmz4281/2526/E0.csv</x:v>
      </x:c>
      <x:c r="K365" s="8" t="n">
        <x:v>46278.70306712963</x:v>
      </x:c>
      <x:c r="L365" s="7" t="str">
        <x:v>FT90</x:v>
      </x:c>
      <x:c r="M365" s="7" t="str">
        <x:v>CSV row 361</x:v>
      </x:c>
      <x:c r="N365" s="2" t="str">
        <x:f>IF(AND(A365&lt;&gt;"",ISNUMBER(D365)),B365&amp;"|"&amp;C365&amp;"|"&amp;TEXT(D365,"yyyymmdd")&amp;"|"&amp;E365&amp;"|"&amp;F365,"")</x:f>
        <x:v>E0|2025/26|20260513|Man City|Crystal Palace</x:v>
      </x:c>
      <x:c r="O365" s="2" t="str">
        <x:f>IF(A365="","",IFERROR(IF(NOT(AND(B365&lt;&gt;"",C365&lt;&gt;"",ISNUMBER(D365),D365&gt;0,E365&lt;&gt;"",F365&lt;&gt;"",E365&lt;&gt;F365,ISNUMBER(G365),ISNUMBER(H365),G365&gt;=0,H365&gt;=0,G365&lt;=100,H365&lt;=100,MOD(G365,1)=0,MOD(H365,1)=0,L365="FT90",S365&gt;0,INDEX(SourceTable[League],MAX(1,S365))=B365,INDEX(SourceTable[Season],MAX(1,S365))=C365,ISNUMBER(K365),K365=INDEX(SourceTable[Retrieved_UTC],MAX(1,S365)),J365&lt;&gt;"",M365&lt;&gt;"")),"INVALID",IF(OR(COUNTIFS('Istoric_Nativ'!$N$6:$N$405,N365,'Istoric_Nativ'!$G$6:$G$405,G365)&lt;&gt;COUNTIF('Istoric_Nativ'!$N$6:$N$405,N365),COUNTIFS('Istoric_Nativ'!$N$6:$N$405,N365,'Istoric_Nativ'!$H$6:$H$405,H365)&lt;&gt;COUNTIF('Istoric_Nativ'!$N$6:$N$405,N365)),"SOURCE CONFLICT",IF(COUNTIF($N$6:N365,N365)&gt;1,"DUPLICATE","VALID"))),"INVALID"))</x:f>
        <x:v>VALID</x:v>
      </x:c>
      <x:c r="P365" s="2" t="n">
        <x:f>IF(O365="VALID",1,0)</x:f>
        <x:v>1</x:v>
      </x:c>
      <x:c r="Q365" s="2" t="n">
        <x:f>IF(P365=1,G365+H365,0)</x:f>
        <x:v>13</x:v>
      </x:c>
      <x:c r="R365" s="2" t="n">
        <x:f>Q365^2</x:f>
        <x:v>169</x:v>
      </x:c>
      <x:c r="S365" s="2" t="n">
        <x:f>IF(A365="","",IFERROR(MATCH(I365,SourceTable[Source_ID],0),0))</x:f>
        <x:v>1</x:v>
      </x:c>
    </x:row>
    <x:row r="366" ht="21" customHeight="1">
      <x:c r="A366" s="7" t="str">
        <x:v>f460be6b1b6dd6be580c</x:v>
      </x:c>
      <x:c r="B366" s="7" t="str">
        <x:v>E0</x:v>
      </x:c>
      <x:c r="C366" s="7" t="str">
        <x:v>2025/26</x:v>
      </x:c>
      <x:c r="D366" s="8" t="n">
        <x:v>46157</x:v>
      </x:c>
      <x:c r="E366" s="7" t="str">
        <x:v>Aston Villa</x:v>
      </x:c>
      <x:c r="F366" s="7" t="str">
        <x:v>Liverpool</x:v>
      </x:c>
      <x:c r="G366" s="7" t="n">
        <x:v>4</x:v>
      </x:c>
      <x:c r="H366" s="7" t="n">
        <x:v>9</x:v>
      </x:c>
      <x:c r="I366" s="7" t="str">
        <x:v>FD_E0_2526</x:v>
      </x:c>
      <x:c r="J366" s="7" t="str">
        <x:v>https://www.football-data.co.uk/mmz4281/2526/E0.csv</x:v>
      </x:c>
      <x:c r="K366" s="8" t="n">
        <x:v>46278.70306712963</x:v>
      </x:c>
      <x:c r="L366" s="7" t="str">
        <x:v>FT90</x:v>
      </x:c>
      <x:c r="M366" s="7" t="str">
        <x:v>CSV row 362</x:v>
      </x:c>
      <x:c r="N366" s="2" t="str">
        <x:f>IF(AND(A366&lt;&gt;"",ISNUMBER(D366)),B366&amp;"|"&amp;C366&amp;"|"&amp;TEXT(D366,"yyyymmdd")&amp;"|"&amp;E366&amp;"|"&amp;F366,"")</x:f>
        <x:v>E0|2025/26|20260515|Aston Villa|Liverpool</x:v>
      </x:c>
      <x:c r="O366" s="2" t="str">
        <x:f>IF(A366="","",IFERROR(IF(NOT(AND(B366&lt;&gt;"",C366&lt;&gt;"",ISNUMBER(D366),D366&gt;0,E366&lt;&gt;"",F366&lt;&gt;"",E366&lt;&gt;F366,ISNUMBER(G366),ISNUMBER(H366),G366&gt;=0,H366&gt;=0,G366&lt;=100,H366&lt;=100,MOD(G366,1)=0,MOD(H366,1)=0,L366="FT90",S366&gt;0,INDEX(SourceTable[League],MAX(1,S366))=B366,INDEX(SourceTable[Season],MAX(1,S366))=C366,ISNUMBER(K366),K366=INDEX(SourceTable[Retrieved_UTC],MAX(1,S366)),J366&lt;&gt;"",M366&lt;&gt;"")),"INVALID",IF(OR(COUNTIFS('Istoric_Nativ'!$N$6:$N$405,N366,'Istoric_Nativ'!$G$6:$G$405,G366)&lt;&gt;COUNTIF('Istoric_Nativ'!$N$6:$N$405,N366),COUNTIFS('Istoric_Nativ'!$N$6:$N$405,N366,'Istoric_Nativ'!$H$6:$H$405,H366)&lt;&gt;COUNTIF('Istoric_Nativ'!$N$6:$N$405,N366)),"SOURCE CONFLICT",IF(COUNTIF($N$6:N366,N366)&gt;1,"DUPLICATE","VALID"))),"INVALID"))</x:f>
        <x:v>VALID</x:v>
      </x:c>
      <x:c r="P366" s="2" t="n">
        <x:f>IF(O366="VALID",1,0)</x:f>
        <x:v>1</x:v>
      </x:c>
      <x:c r="Q366" s="2" t="n">
        <x:f>IF(P366=1,G366+H366,0)</x:f>
        <x:v>13</x:v>
      </x:c>
      <x:c r="R366" s="2" t="n">
        <x:f>Q366^2</x:f>
        <x:v>169</x:v>
      </x:c>
      <x:c r="S366" s="2" t="n">
        <x:f>IF(A366="","",IFERROR(MATCH(I366,SourceTable[Source_ID],0),0))</x:f>
        <x:v>1</x:v>
      </x:c>
    </x:row>
    <x:row r="367" ht="21" customHeight="1">
      <x:c r="A367" s="7" t="str">
        <x:v>88605009a2b6f8375769</x:v>
      </x:c>
      <x:c r="B367" s="7" t="str">
        <x:v>E0</x:v>
      </x:c>
      <x:c r="C367" s="7" t="str">
        <x:v>2025/26</x:v>
      </x:c>
      <x:c r="D367" s="8" t="n">
        <x:v>46159</x:v>
      </x:c>
      <x:c r="E367" s="7" t="str">
        <x:v>Brentford</x:v>
      </x:c>
      <x:c r="F367" s="7" t="str">
        <x:v>Crystal Palace</x:v>
      </x:c>
      <x:c r="G367" s="7" t="n">
        <x:v>9</x:v>
      </x:c>
      <x:c r="H367" s="7" t="n">
        <x:v>4</x:v>
      </x:c>
      <x:c r="I367" s="7" t="str">
        <x:v>FD_E0_2526</x:v>
      </x:c>
      <x:c r="J367" s="7" t="str">
        <x:v>https://www.football-data.co.uk/mmz4281/2526/E0.csv</x:v>
      </x:c>
      <x:c r="K367" s="8" t="n">
        <x:v>46278.70306712963</x:v>
      </x:c>
      <x:c r="L367" s="7" t="str">
        <x:v>FT90</x:v>
      </x:c>
      <x:c r="M367" s="7" t="str">
        <x:v>CSV row 364</x:v>
      </x:c>
      <x:c r="N367" s="2" t="str">
        <x:f>IF(AND(A367&lt;&gt;"",ISNUMBER(D367)),B367&amp;"|"&amp;C367&amp;"|"&amp;TEXT(D367,"yyyymmdd")&amp;"|"&amp;E367&amp;"|"&amp;F367,"")</x:f>
        <x:v>E0|2025/26|20260517|Brentford|Crystal Palace</x:v>
      </x:c>
      <x:c r="O367" s="2" t="str">
        <x:f>IF(A367="","",IFERROR(IF(NOT(AND(B367&lt;&gt;"",C367&lt;&gt;"",ISNUMBER(D367),D367&gt;0,E367&lt;&gt;"",F367&lt;&gt;"",E367&lt;&gt;F367,ISNUMBER(G367),ISNUMBER(H367),G367&gt;=0,H367&gt;=0,G367&lt;=100,H367&lt;=100,MOD(G367,1)=0,MOD(H367,1)=0,L367="FT90",S367&gt;0,INDEX(SourceTable[League],MAX(1,S367))=B367,INDEX(SourceTable[Season],MAX(1,S367))=C367,ISNUMBER(K367),K367=INDEX(SourceTable[Retrieved_UTC],MAX(1,S367)),J367&lt;&gt;"",M367&lt;&gt;"")),"INVALID",IF(OR(COUNTIFS('Istoric_Nativ'!$N$6:$N$405,N367,'Istoric_Nativ'!$G$6:$G$405,G367)&lt;&gt;COUNTIF('Istoric_Nativ'!$N$6:$N$405,N367),COUNTIFS('Istoric_Nativ'!$N$6:$N$405,N367,'Istoric_Nativ'!$H$6:$H$405,H367)&lt;&gt;COUNTIF('Istoric_Nativ'!$N$6:$N$405,N367)),"SOURCE CONFLICT",IF(COUNTIF($N$6:N367,N367)&gt;1,"DUPLICATE","VALID"))),"INVALID"))</x:f>
        <x:v>VALID</x:v>
      </x:c>
      <x:c r="P367" s="2" t="n">
        <x:f>IF(O367="VALID",1,0)</x:f>
        <x:v>1</x:v>
      </x:c>
      <x:c r="Q367" s="2" t="n">
        <x:f>IF(P367=1,G367+H367,0)</x:f>
        <x:v>13</x:v>
      </x:c>
      <x:c r="R367" s="2" t="n">
        <x:f>Q367^2</x:f>
        <x:v>169</x:v>
      </x:c>
      <x:c r="S367" s="2" t="n">
        <x:f>IF(A367="","",IFERROR(MATCH(I367,SourceTable[Source_ID],0),0))</x:f>
        <x:v>1</x:v>
      </x:c>
    </x:row>
    <x:row r="368" ht="21" customHeight="1">
      <x:c r="A368" s="7" t="str">
        <x:v>7cd2d9f688e0a99dbfba</x:v>
      </x:c>
      <x:c r="B368" s="7" t="str">
        <x:v>E0</x:v>
      </x:c>
      <x:c r="C368" s="7" t="str">
        <x:v>2025/26</x:v>
      </x:c>
      <x:c r="D368" s="8" t="n">
        <x:v>46159</x:v>
      </x:c>
      <x:c r="E368" s="7" t="str">
        <x:v>Everton</x:v>
      </x:c>
      <x:c r="F368" s="7" t="str">
        <x:v>Sunderland</x:v>
      </x:c>
      <x:c r="G368" s="7" t="n">
        <x:v>3</x:v>
      </x:c>
      <x:c r="H368" s="7" t="n">
        <x:v>2</x:v>
      </x:c>
      <x:c r="I368" s="7" t="str">
        <x:v>FD_E0_2526</x:v>
      </x:c>
      <x:c r="J368" s="7" t="str">
        <x:v>https://www.football-data.co.uk/mmz4281/2526/E0.csv</x:v>
      </x:c>
      <x:c r="K368" s="8" t="n">
        <x:v>46278.70306712963</x:v>
      </x:c>
      <x:c r="L368" s="7" t="str">
        <x:v>FT90</x:v>
      </x:c>
      <x:c r="M368" s="7" t="str">
        <x:v>CSV row 365</x:v>
      </x:c>
      <x:c r="N368" s="2" t="str">
        <x:f>IF(AND(A368&lt;&gt;"",ISNUMBER(D368)),B368&amp;"|"&amp;C368&amp;"|"&amp;TEXT(D368,"yyyymmdd")&amp;"|"&amp;E368&amp;"|"&amp;F368,"")</x:f>
        <x:v>E0|2025/26|20260517|Everton|Sunderland</x:v>
      </x:c>
      <x:c r="O368" s="2" t="str">
        <x:f>IF(A368="","",IFERROR(IF(NOT(AND(B368&lt;&gt;"",C368&lt;&gt;"",ISNUMBER(D368),D368&gt;0,E368&lt;&gt;"",F368&lt;&gt;"",E368&lt;&gt;F368,ISNUMBER(G368),ISNUMBER(H368),G368&gt;=0,H368&gt;=0,G368&lt;=100,H368&lt;=100,MOD(G368,1)=0,MOD(H368,1)=0,L368="FT90",S368&gt;0,INDEX(SourceTable[League],MAX(1,S368))=B368,INDEX(SourceTable[Season],MAX(1,S368))=C368,ISNUMBER(K368),K368=INDEX(SourceTable[Retrieved_UTC],MAX(1,S368)),J368&lt;&gt;"",M368&lt;&gt;"")),"INVALID",IF(OR(COUNTIFS('Istoric_Nativ'!$N$6:$N$405,N368,'Istoric_Nativ'!$G$6:$G$405,G368)&lt;&gt;COUNTIF('Istoric_Nativ'!$N$6:$N$405,N368),COUNTIFS('Istoric_Nativ'!$N$6:$N$405,N368,'Istoric_Nativ'!$H$6:$H$405,H368)&lt;&gt;COUNTIF('Istoric_Nativ'!$N$6:$N$405,N368)),"SOURCE CONFLICT",IF(COUNTIF($N$6:N368,N368)&gt;1,"DUPLICATE","VALID"))),"INVALID"))</x:f>
        <x:v>VALID</x:v>
      </x:c>
      <x:c r="P368" s="2" t="n">
        <x:f>IF(O368="VALID",1,0)</x:f>
        <x:v>1</x:v>
      </x:c>
      <x:c r="Q368" s="2" t="n">
        <x:f>IF(P368=1,G368+H368,0)</x:f>
        <x:v>5</x:v>
      </x:c>
      <x:c r="R368" s="2" t="n">
        <x:f>Q368^2</x:f>
        <x:v>25</x:v>
      </x:c>
      <x:c r="S368" s="2" t="n">
        <x:f>IF(A368="","",IFERROR(MATCH(I368,SourceTable[Source_ID],0),0))</x:f>
        <x:v>1</x:v>
      </x:c>
    </x:row>
    <x:row r="369" ht="21" customHeight="1">
      <x:c r="A369" s="7" t="str">
        <x:v>c4b785be1146df6e5043</x:v>
      </x:c>
      <x:c r="B369" s="7" t="str">
        <x:v>E0</x:v>
      </x:c>
      <x:c r="C369" s="7" t="str">
        <x:v>2025/26</x:v>
      </x:c>
      <x:c r="D369" s="8" t="n">
        <x:v>46159</x:v>
      </x:c>
      <x:c r="E369" s="7" t="str">
        <x:v>Leeds</x:v>
      </x:c>
      <x:c r="F369" s="7" t="str">
        <x:v>Brighton</x:v>
      </x:c>
      <x:c r="G369" s="7" t="n">
        <x:v>7</x:v>
      </x:c>
      <x:c r="H369" s="7" t="n">
        <x:v>8</x:v>
      </x:c>
      <x:c r="I369" s="7" t="str">
        <x:v>FD_E0_2526</x:v>
      </x:c>
      <x:c r="J369" s="7" t="str">
        <x:v>https://www.football-data.co.uk/mmz4281/2526/E0.csv</x:v>
      </x:c>
      <x:c r="K369" s="8" t="n">
        <x:v>46278.70306712963</x:v>
      </x:c>
      <x:c r="L369" s="7" t="str">
        <x:v>FT90</x:v>
      </x:c>
      <x:c r="M369" s="7" t="str">
        <x:v>CSV row 366</x:v>
      </x:c>
      <x:c r="N369" s="2" t="str">
        <x:f>IF(AND(A369&lt;&gt;"",ISNUMBER(D369)),B369&amp;"|"&amp;C369&amp;"|"&amp;TEXT(D369,"yyyymmdd")&amp;"|"&amp;E369&amp;"|"&amp;F369,"")</x:f>
        <x:v>E0|2025/26|20260517|Leeds|Brighton</x:v>
      </x:c>
      <x:c r="O369" s="2" t="str">
        <x:f>IF(A369="","",IFERROR(IF(NOT(AND(B369&lt;&gt;"",C369&lt;&gt;"",ISNUMBER(D369),D369&gt;0,E369&lt;&gt;"",F369&lt;&gt;"",E369&lt;&gt;F369,ISNUMBER(G369),ISNUMBER(H369),G369&gt;=0,H369&gt;=0,G369&lt;=100,H369&lt;=100,MOD(G369,1)=0,MOD(H369,1)=0,L369="FT90",S369&gt;0,INDEX(SourceTable[League],MAX(1,S369))=B369,INDEX(SourceTable[Season],MAX(1,S369))=C369,ISNUMBER(K369),K369=INDEX(SourceTable[Retrieved_UTC],MAX(1,S369)),J369&lt;&gt;"",M369&lt;&gt;"")),"INVALID",IF(OR(COUNTIFS('Istoric_Nativ'!$N$6:$N$405,N369,'Istoric_Nativ'!$G$6:$G$405,G369)&lt;&gt;COUNTIF('Istoric_Nativ'!$N$6:$N$405,N369),COUNTIFS('Istoric_Nativ'!$N$6:$N$405,N369,'Istoric_Nativ'!$H$6:$H$405,H369)&lt;&gt;COUNTIF('Istoric_Nativ'!$N$6:$N$405,N369)),"SOURCE CONFLICT",IF(COUNTIF($N$6:N369,N369)&gt;1,"DUPLICATE","VALID"))),"INVALID"))</x:f>
        <x:v>VALID</x:v>
      </x:c>
      <x:c r="P369" s="2" t="n">
        <x:f>IF(O369="VALID",1,0)</x:f>
        <x:v>1</x:v>
      </x:c>
      <x:c r="Q369" s="2" t="n">
        <x:f>IF(P369=1,G369+H369,0)</x:f>
        <x:v>15</x:v>
      </x:c>
      <x:c r="R369" s="2" t="n">
        <x:f>Q369^2</x:f>
        <x:v>225</x:v>
      </x:c>
      <x:c r="S369" s="2" t="n">
        <x:f>IF(A369="","",IFERROR(MATCH(I369,SourceTable[Source_ID],0),0))</x:f>
        <x:v>1</x:v>
      </x:c>
    </x:row>
    <x:row r="370" ht="21" customHeight="1">
      <x:c r="A370" s="7" t="str">
        <x:v>762c5bfa608a4d274604</x:v>
      </x:c>
      <x:c r="B370" s="7" t="str">
        <x:v>E0</x:v>
      </x:c>
      <x:c r="C370" s="7" t="str">
        <x:v>2025/26</x:v>
      </x:c>
      <x:c r="D370" s="8" t="n">
        <x:v>46159</x:v>
      </x:c>
      <x:c r="E370" s="7" t="str">
        <x:v>Man United</x:v>
      </x:c>
      <x:c r="F370" s="7" t="str">
        <x:v>Nott'm Forest</x:v>
      </x:c>
      <x:c r="G370" s="7" t="n">
        <x:v>7</x:v>
      </x:c>
      <x:c r="H370" s="7" t="n">
        <x:v>6</x:v>
      </x:c>
      <x:c r="I370" s="7" t="str">
        <x:v>FD_E0_2526</x:v>
      </x:c>
      <x:c r="J370" s="7" t="str">
        <x:v>https://www.football-data.co.uk/mmz4281/2526/E0.csv</x:v>
      </x:c>
      <x:c r="K370" s="8" t="n">
        <x:v>46278.70306712963</x:v>
      </x:c>
      <x:c r="L370" s="7" t="str">
        <x:v>FT90</x:v>
      </x:c>
      <x:c r="M370" s="7" t="str">
        <x:v>CSV row 363</x:v>
      </x:c>
      <x:c r="N370" s="2" t="str">
        <x:f>IF(AND(A370&lt;&gt;"",ISNUMBER(D370)),B370&amp;"|"&amp;C370&amp;"|"&amp;TEXT(D370,"yyyymmdd")&amp;"|"&amp;E370&amp;"|"&amp;F370,"")</x:f>
        <x:v>E0|2025/26|20260517|Man United|Nott'm Forest</x:v>
      </x:c>
      <x:c r="O370" s="2" t="str">
        <x:f>IF(A370="","",IFERROR(IF(NOT(AND(B370&lt;&gt;"",C370&lt;&gt;"",ISNUMBER(D370),D370&gt;0,E370&lt;&gt;"",F370&lt;&gt;"",E370&lt;&gt;F370,ISNUMBER(G370),ISNUMBER(H370),G370&gt;=0,H370&gt;=0,G370&lt;=100,H370&lt;=100,MOD(G370,1)=0,MOD(H370,1)=0,L370="FT90",S370&gt;0,INDEX(SourceTable[League],MAX(1,S370))=B370,INDEX(SourceTable[Season],MAX(1,S370))=C370,ISNUMBER(K370),K370=INDEX(SourceTable[Retrieved_UTC],MAX(1,S370)),J370&lt;&gt;"",M370&lt;&gt;"")),"INVALID",IF(OR(COUNTIFS('Istoric_Nativ'!$N$6:$N$405,N370,'Istoric_Nativ'!$G$6:$G$405,G370)&lt;&gt;COUNTIF('Istoric_Nativ'!$N$6:$N$405,N370),COUNTIFS('Istoric_Nativ'!$N$6:$N$405,N370,'Istoric_Nativ'!$H$6:$H$405,H370)&lt;&gt;COUNTIF('Istoric_Nativ'!$N$6:$N$405,N370)),"SOURCE CONFLICT",IF(COUNTIF($N$6:N370,N370)&gt;1,"DUPLICATE","VALID"))),"INVALID"))</x:f>
        <x:v>VALID</x:v>
      </x:c>
      <x:c r="P370" s="2" t="n">
        <x:f>IF(O370="VALID",1,0)</x:f>
        <x:v>1</x:v>
      </x:c>
      <x:c r="Q370" s="2" t="n">
        <x:f>IF(P370=1,G370+H370,0)</x:f>
        <x:v>13</x:v>
      </x:c>
      <x:c r="R370" s="2" t="n">
        <x:f>Q370^2</x:f>
        <x:v>169</x:v>
      </x:c>
      <x:c r="S370" s="2" t="n">
        <x:f>IF(A370="","",IFERROR(MATCH(I370,SourceTable[Source_ID],0),0))</x:f>
        <x:v>1</x:v>
      </x:c>
    </x:row>
    <x:row r="371" ht="21" customHeight="1">
      <x:c r="A371" s="7" t="str">
        <x:v>ecbcc8edb679ffb93066</x:v>
      </x:c>
      <x:c r="B371" s="7" t="str">
        <x:v>E0</x:v>
      </x:c>
      <x:c r="C371" s="7" t="str">
        <x:v>2025/26</x:v>
      </x:c>
      <x:c r="D371" s="8" t="n">
        <x:v>46159</x:v>
      </x:c>
      <x:c r="E371" s="7" t="str">
        <x:v>Newcastle</x:v>
      </x:c>
      <x:c r="F371" s="7" t="str">
        <x:v>West Ham</x:v>
      </x:c>
      <x:c r="G371" s="7" t="n">
        <x:v>9</x:v>
      </x:c>
      <x:c r="H371" s="7" t="n">
        <x:v>1</x:v>
      </x:c>
      <x:c r="I371" s="7" t="str">
        <x:v>FD_E0_2526</x:v>
      </x:c>
      <x:c r="J371" s="7" t="str">
        <x:v>https://www.football-data.co.uk/mmz4281/2526/E0.csv</x:v>
      </x:c>
      <x:c r="K371" s="8" t="n">
        <x:v>46278.70306712963</x:v>
      </x:c>
      <x:c r="L371" s="7" t="str">
        <x:v>FT90</x:v>
      </x:c>
      <x:c r="M371" s="7" t="str">
        <x:v>CSV row 368</x:v>
      </x:c>
      <x:c r="N371" s="2" t="str">
        <x:f>IF(AND(A371&lt;&gt;"",ISNUMBER(D371)),B371&amp;"|"&amp;C371&amp;"|"&amp;TEXT(D371,"yyyymmdd")&amp;"|"&amp;E371&amp;"|"&amp;F371,"")</x:f>
        <x:v>E0|2025/26|20260517|Newcastle|West Ham</x:v>
      </x:c>
      <x:c r="O371" s="2" t="str">
        <x:f>IF(A371="","",IFERROR(IF(NOT(AND(B371&lt;&gt;"",C371&lt;&gt;"",ISNUMBER(D371),D371&gt;0,E371&lt;&gt;"",F371&lt;&gt;"",E371&lt;&gt;F371,ISNUMBER(G371),ISNUMBER(H371),G371&gt;=0,H371&gt;=0,G371&lt;=100,H371&lt;=100,MOD(G371,1)=0,MOD(H371,1)=0,L371="FT90",S371&gt;0,INDEX(SourceTable[League],MAX(1,S371))=B371,INDEX(SourceTable[Season],MAX(1,S371))=C371,ISNUMBER(K371),K371=INDEX(SourceTable[Retrieved_UTC],MAX(1,S371)),J371&lt;&gt;"",M371&lt;&gt;"")),"INVALID",IF(OR(COUNTIFS('Istoric_Nativ'!$N$6:$N$405,N371,'Istoric_Nativ'!$G$6:$G$405,G371)&lt;&gt;COUNTIF('Istoric_Nativ'!$N$6:$N$405,N371),COUNTIFS('Istoric_Nativ'!$N$6:$N$405,N371,'Istoric_Nativ'!$H$6:$H$405,H371)&lt;&gt;COUNTIF('Istoric_Nativ'!$N$6:$N$405,N371)),"SOURCE CONFLICT",IF(COUNTIF($N$6:N371,N371)&gt;1,"DUPLICATE","VALID"))),"INVALID"))</x:f>
        <x:v>VALID</x:v>
      </x:c>
      <x:c r="P371" s="2" t="n">
        <x:f>IF(O371="VALID",1,0)</x:f>
        <x:v>1</x:v>
      </x:c>
      <x:c r="Q371" s="2" t="n">
        <x:f>IF(P371=1,G371+H371,0)</x:f>
        <x:v>10</x:v>
      </x:c>
      <x:c r="R371" s="2" t="n">
        <x:f>Q371^2</x:f>
        <x:v>100</x:v>
      </x:c>
      <x:c r="S371" s="2" t="n">
        <x:f>IF(A371="","",IFERROR(MATCH(I371,SourceTable[Source_ID],0),0))</x:f>
        <x:v>1</x:v>
      </x:c>
    </x:row>
    <x:row r="372" ht="21" customHeight="1">
      <x:c r="A372" s="7" t="str">
        <x:v>89ab7ead25df575ddd5a</x:v>
      </x:c>
      <x:c r="B372" s="7" t="str">
        <x:v>E0</x:v>
      </x:c>
      <x:c r="C372" s="7" t="str">
        <x:v>2025/26</x:v>
      </x:c>
      <x:c r="D372" s="8" t="n">
        <x:v>46159</x:v>
      </x:c>
      <x:c r="E372" s="7" t="str">
        <x:v>Wolves</x:v>
      </x:c>
      <x:c r="F372" s="7" t="str">
        <x:v>Fulham</x:v>
      </x:c>
      <x:c r="G372" s="7" t="n">
        <x:v>3</x:v>
      </x:c>
      <x:c r="H372" s="7" t="n">
        <x:v>6</x:v>
      </x:c>
      <x:c r="I372" s="7" t="str">
        <x:v>FD_E0_2526</x:v>
      </x:c>
      <x:c r="J372" s="7" t="str">
        <x:v>https://www.football-data.co.uk/mmz4281/2526/E0.csv</x:v>
      </x:c>
      <x:c r="K372" s="8" t="n">
        <x:v>46278.70306712963</x:v>
      </x:c>
      <x:c r="L372" s="7" t="str">
        <x:v>FT90</x:v>
      </x:c>
      <x:c r="M372" s="7" t="str">
        <x:v>CSV row 367</x:v>
      </x:c>
      <x:c r="N372" s="2" t="str">
        <x:f>IF(AND(A372&lt;&gt;"",ISNUMBER(D372)),B372&amp;"|"&amp;C372&amp;"|"&amp;TEXT(D372,"yyyymmdd")&amp;"|"&amp;E372&amp;"|"&amp;F372,"")</x:f>
        <x:v>E0|2025/26|20260517|Wolves|Fulham</x:v>
      </x:c>
      <x:c r="O372" s="2" t="str">
        <x:f>IF(A372="","",IFERROR(IF(NOT(AND(B372&lt;&gt;"",C372&lt;&gt;"",ISNUMBER(D372),D372&gt;0,E372&lt;&gt;"",F372&lt;&gt;"",E372&lt;&gt;F372,ISNUMBER(G372),ISNUMBER(H372),G372&gt;=0,H372&gt;=0,G372&lt;=100,H372&lt;=100,MOD(G372,1)=0,MOD(H372,1)=0,L372="FT90",S372&gt;0,INDEX(SourceTable[League],MAX(1,S372))=B372,INDEX(SourceTable[Season],MAX(1,S372))=C372,ISNUMBER(K372),K372=INDEX(SourceTable[Retrieved_UTC],MAX(1,S372)),J372&lt;&gt;"",M372&lt;&gt;"")),"INVALID",IF(OR(COUNTIFS('Istoric_Nativ'!$N$6:$N$405,N372,'Istoric_Nativ'!$G$6:$G$405,G372)&lt;&gt;COUNTIF('Istoric_Nativ'!$N$6:$N$405,N372),COUNTIFS('Istoric_Nativ'!$N$6:$N$405,N372,'Istoric_Nativ'!$H$6:$H$405,H372)&lt;&gt;COUNTIF('Istoric_Nativ'!$N$6:$N$405,N372)),"SOURCE CONFLICT",IF(COUNTIF($N$6:N372,N372)&gt;1,"DUPLICATE","VALID"))),"INVALID"))</x:f>
        <x:v>VALID</x:v>
      </x:c>
      <x:c r="P372" s="2" t="n">
        <x:f>IF(O372="VALID",1,0)</x:f>
        <x:v>1</x:v>
      </x:c>
      <x:c r="Q372" s="2" t="n">
        <x:f>IF(P372=1,G372+H372,0)</x:f>
        <x:v>9</x:v>
      </x:c>
      <x:c r="R372" s="2" t="n">
        <x:f>Q372^2</x:f>
        <x:v>81</x:v>
      </x:c>
      <x:c r="S372" s="2" t="n">
        <x:f>IF(A372="","",IFERROR(MATCH(I372,SourceTable[Source_ID],0),0))</x:f>
        <x:v>1</x:v>
      </x:c>
    </x:row>
    <x:row r="373" ht="21" customHeight="1">
      <x:c r="A373" s="7" t="str">
        <x:v>fa88896948013d3eb6b8</x:v>
      </x:c>
      <x:c r="B373" s="7" t="str">
        <x:v>E0</x:v>
      </x:c>
      <x:c r="C373" s="7" t="str">
        <x:v>2025/26</x:v>
      </x:c>
      <x:c r="D373" s="8" t="n">
        <x:v>46160</x:v>
      </x:c>
      <x:c r="E373" s="7" t="str">
        <x:v>Arsenal</x:v>
      </x:c>
      <x:c r="F373" s="7" t="str">
        <x:v>Burnley</x:v>
      </x:c>
      <x:c r="G373" s="7" t="n">
        <x:v>3</x:v>
      </x:c>
      <x:c r="H373" s="7" t="n">
        <x:v>3</x:v>
      </x:c>
      <x:c r="I373" s="7" t="str">
        <x:v>FD_E0_2526</x:v>
      </x:c>
      <x:c r="J373" s="7" t="str">
        <x:v>https://www.football-data.co.uk/mmz4281/2526/E0.csv</x:v>
      </x:c>
      <x:c r="K373" s="8" t="n">
        <x:v>46278.70306712963</x:v>
      </x:c>
      <x:c r="L373" s="7" t="str">
        <x:v>FT90</x:v>
      </x:c>
      <x:c r="M373" s="7" t="str">
        <x:v>CSV row 369</x:v>
      </x:c>
      <x:c r="N373" s="2" t="str">
        <x:f>IF(AND(A373&lt;&gt;"",ISNUMBER(D373)),B373&amp;"|"&amp;C373&amp;"|"&amp;TEXT(D373,"yyyymmdd")&amp;"|"&amp;E373&amp;"|"&amp;F373,"")</x:f>
        <x:v>E0|2025/26|20260518|Arsenal|Burnley</x:v>
      </x:c>
      <x:c r="O373" s="2" t="str">
        <x:f>IF(A373="","",IFERROR(IF(NOT(AND(B373&lt;&gt;"",C373&lt;&gt;"",ISNUMBER(D373),D373&gt;0,E373&lt;&gt;"",F373&lt;&gt;"",E373&lt;&gt;F373,ISNUMBER(G373),ISNUMBER(H373),G373&gt;=0,H373&gt;=0,G373&lt;=100,H373&lt;=100,MOD(G373,1)=0,MOD(H373,1)=0,L373="FT90",S373&gt;0,INDEX(SourceTable[League],MAX(1,S373))=B373,INDEX(SourceTable[Season],MAX(1,S373))=C373,ISNUMBER(K373),K373=INDEX(SourceTable[Retrieved_UTC],MAX(1,S373)),J373&lt;&gt;"",M373&lt;&gt;"")),"INVALID",IF(OR(COUNTIFS('Istoric_Nativ'!$N$6:$N$405,N373,'Istoric_Nativ'!$G$6:$G$405,G373)&lt;&gt;COUNTIF('Istoric_Nativ'!$N$6:$N$405,N373),COUNTIFS('Istoric_Nativ'!$N$6:$N$405,N373,'Istoric_Nativ'!$H$6:$H$405,H373)&lt;&gt;COUNTIF('Istoric_Nativ'!$N$6:$N$405,N373)),"SOURCE CONFLICT",IF(COUNTIF($N$6:N373,N373)&gt;1,"DUPLICATE","VALID"))),"INVALID"))</x:f>
        <x:v>VALID</x:v>
      </x:c>
      <x:c r="P373" s="2" t="n">
        <x:f>IF(O373="VALID",1,0)</x:f>
        <x:v>1</x:v>
      </x:c>
      <x:c r="Q373" s="2" t="n">
        <x:f>IF(P373=1,G373+H373,0)</x:f>
        <x:v>6</x:v>
      </x:c>
      <x:c r="R373" s="2" t="n">
        <x:f>Q373^2</x:f>
        <x:v>36</x:v>
      </x:c>
      <x:c r="S373" s="2" t="n">
        <x:f>IF(A373="","",IFERROR(MATCH(I373,SourceTable[Source_ID],0),0))</x:f>
        <x:v>1</x:v>
      </x:c>
    </x:row>
    <x:row r="374" ht="21" customHeight="1">
      <x:c r="A374" s="7" t="str">
        <x:v>a061f15e60c6731be19d</x:v>
      </x:c>
      <x:c r="B374" s="7" t="str">
        <x:v>E0</x:v>
      </x:c>
      <x:c r="C374" s="7" t="str">
        <x:v>2025/26</x:v>
      </x:c>
      <x:c r="D374" s="8" t="n">
        <x:v>46161</x:v>
      </x:c>
      <x:c r="E374" s="7" t="str">
        <x:v>Bournemouth</x:v>
      </x:c>
      <x:c r="F374" s="7" t="str">
        <x:v>Man City</x:v>
      </x:c>
      <x:c r="G374" s="7" t="n">
        <x:v>7</x:v>
      </x:c>
      <x:c r="H374" s="7" t="n">
        <x:v>6</x:v>
      </x:c>
      <x:c r="I374" s="7" t="str">
        <x:v>FD_E0_2526</x:v>
      </x:c>
      <x:c r="J374" s="7" t="str">
        <x:v>https://www.football-data.co.uk/mmz4281/2526/E0.csv</x:v>
      </x:c>
      <x:c r="K374" s="8" t="n">
        <x:v>46278.70306712963</x:v>
      </x:c>
      <x:c r="L374" s="7" t="str">
        <x:v>FT90</x:v>
      </x:c>
      <x:c r="M374" s="7" t="str">
        <x:v>CSV row 370</x:v>
      </x:c>
      <x:c r="N374" s="2" t="str">
        <x:f>IF(AND(A374&lt;&gt;"",ISNUMBER(D374)),B374&amp;"|"&amp;C374&amp;"|"&amp;TEXT(D374,"yyyymmdd")&amp;"|"&amp;E374&amp;"|"&amp;F374,"")</x:f>
        <x:v>E0|2025/26|20260519|Bournemouth|Man City</x:v>
      </x:c>
      <x:c r="O374" s="2" t="str">
        <x:f>IF(A374="","",IFERROR(IF(NOT(AND(B374&lt;&gt;"",C374&lt;&gt;"",ISNUMBER(D374),D374&gt;0,E374&lt;&gt;"",F374&lt;&gt;"",E374&lt;&gt;F374,ISNUMBER(G374),ISNUMBER(H374),G374&gt;=0,H374&gt;=0,G374&lt;=100,H374&lt;=100,MOD(G374,1)=0,MOD(H374,1)=0,L374="FT90",S374&gt;0,INDEX(SourceTable[League],MAX(1,S374))=B374,INDEX(SourceTable[Season],MAX(1,S374))=C374,ISNUMBER(K374),K374=INDEX(SourceTable[Retrieved_UTC],MAX(1,S374)),J374&lt;&gt;"",M374&lt;&gt;"")),"INVALID",IF(OR(COUNTIFS('Istoric_Nativ'!$N$6:$N$405,N374,'Istoric_Nativ'!$G$6:$G$405,G374)&lt;&gt;COUNTIF('Istoric_Nativ'!$N$6:$N$405,N374),COUNTIFS('Istoric_Nativ'!$N$6:$N$405,N374,'Istoric_Nativ'!$H$6:$H$405,H374)&lt;&gt;COUNTIF('Istoric_Nativ'!$N$6:$N$405,N374)),"SOURCE CONFLICT",IF(COUNTIF($N$6:N374,N374)&gt;1,"DUPLICATE","VALID"))),"INVALID"))</x:f>
        <x:v>VALID</x:v>
      </x:c>
      <x:c r="P374" s="2" t="n">
        <x:f>IF(O374="VALID",1,0)</x:f>
        <x:v>1</x:v>
      </x:c>
      <x:c r="Q374" s="2" t="n">
        <x:f>IF(P374=1,G374+H374,0)</x:f>
        <x:v>13</x:v>
      </x:c>
      <x:c r="R374" s="2" t="n">
        <x:f>Q374^2</x:f>
        <x:v>169</x:v>
      </x:c>
      <x:c r="S374" s="2" t="n">
        <x:f>IF(A374="","",IFERROR(MATCH(I374,SourceTable[Source_ID],0),0))</x:f>
        <x:v>1</x:v>
      </x:c>
    </x:row>
    <x:row r="375" ht="21" customHeight="1">
      <x:c r="A375" s="7" t="str">
        <x:v>931d59b3507c39165009</x:v>
      </x:c>
      <x:c r="B375" s="7" t="str">
        <x:v>E0</x:v>
      </x:c>
      <x:c r="C375" s="7" t="str">
        <x:v>2025/26</x:v>
      </x:c>
      <x:c r="D375" s="8" t="n">
        <x:v>46161</x:v>
      </x:c>
      <x:c r="E375" s="7" t="str">
        <x:v>Chelsea</x:v>
      </x:c>
      <x:c r="F375" s="7" t="str">
        <x:v>Tottenham</x:v>
      </x:c>
      <x:c r="G375" s="7" t="n">
        <x:v>3</x:v>
      </x:c>
      <x:c r="H375" s="7" t="n">
        <x:v>4</x:v>
      </x:c>
      <x:c r="I375" s="7" t="str">
        <x:v>FD_E0_2526</x:v>
      </x:c>
      <x:c r="J375" s="7" t="str">
        <x:v>https://www.football-data.co.uk/mmz4281/2526/E0.csv</x:v>
      </x:c>
      <x:c r="K375" s="8" t="n">
        <x:v>46278.70306712963</x:v>
      </x:c>
      <x:c r="L375" s="7" t="str">
        <x:v>FT90</x:v>
      </x:c>
      <x:c r="M375" s="7" t="str">
        <x:v>CSV row 371</x:v>
      </x:c>
      <x:c r="N375" s="2" t="str">
        <x:f>IF(AND(A375&lt;&gt;"",ISNUMBER(D375)),B375&amp;"|"&amp;C375&amp;"|"&amp;TEXT(D375,"yyyymmdd")&amp;"|"&amp;E375&amp;"|"&amp;F375,"")</x:f>
        <x:v>E0|2025/26|20260519|Chelsea|Tottenham</x:v>
      </x:c>
      <x:c r="O375" s="2" t="str">
        <x:f>IF(A375="","",IFERROR(IF(NOT(AND(B375&lt;&gt;"",C375&lt;&gt;"",ISNUMBER(D375),D375&gt;0,E375&lt;&gt;"",F375&lt;&gt;"",E375&lt;&gt;F375,ISNUMBER(G375),ISNUMBER(H375),G375&gt;=0,H375&gt;=0,G375&lt;=100,H375&lt;=100,MOD(G375,1)=0,MOD(H375,1)=0,L375="FT90",S375&gt;0,INDEX(SourceTable[League],MAX(1,S375))=B375,INDEX(SourceTable[Season],MAX(1,S375))=C375,ISNUMBER(K375),K375=INDEX(SourceTable[Retrieved_UTC],MAX(1,S375)),J375&lt;&gt;"",M375&lt;&gt;"")),"INVALID",IF(OR(COUNTIFS('Istoric_Nativ'!$N$6:$N$405,N375,'Istoric_Nativ'!$G$6:$G$405,G375)&lt;&gt;COUNTIF('Istoric_Nativ'!$N$6:$N$405,N375),COUNTIFS('Istoric_Nativ'!$N$6:$N$405,N375,'Istoric_Nativ'!$H$6:$H$405,H375)&lt;&gt;COUNTIF('Istoric_Nativ'!$N$6:$N$405,N375)),"SOURCE CONFLICT",IF(COUNTIF($N$6:N375,N375)&gt;1,"DUPLICATE","VALID"))),"INVALID"))</x:f>
        <x:v>VALID</x:v>
      </x:c>
      <x:c r="P375" s="2" t="n">
        <x:f>IF(O375="VALID",1,0)</x:f>
        <x:v>1</x:v>
      </x:c>
      <x:c r="Q375" s="2" t="n">
        <x:f>IF(P375=1,G375+H375,0)</x:f>
        <x:v>7</x:v>
      </x:c>
      <x:c r="R375" s="2" t="n">
        <x:f>Q375^2</x:f>
        <x:v>49</x:v>
      </x:c>
      <x:c r="S375" s="2" t="n">
        <x:f>IF(A375="","",IFERROR(MATCH(I375,SourceTable[Source_ID],0),0))</x:f>
        <x:v>1</x:v>
      </x:c>
    </x:row>
    <x:row r="376" ht="21" customHeight="1">
      <x:c r="A376" s="7" t="str">
        <x:v>2eea332821aaca054472</x:v>
      </x:c>
      <x:c r="B376" s="7" t="str">
        <x:v>E0</x:v>
      </x:c>
      <x:c r="C376" s="7" t="str">
        <x:v>2025/26</x:v>
      </x:c>
      <x:c r="D376" s="8" t="n">
        <x:v>46166</x:v>
      </x:c>
      <x:c r="E376" s="7" t="str">
        <x:v>Brighton</x:v>
      </x:c>
      <x:c r="F376" s="7" t="str">
        <x:v>Man United</x:v>
      </x:c>
      <x:c r="G376" s="7" t="n">
        <x:v>0</x:v>
      </x:c>
      <x:c r="H376" s="7" t="n">
        <x:v>3</x:v>
      </x:c>
      <x:c r="I376" s="7" t="str">
        <x:v>FD_E0_2526</x:v>
      </x:c>
      <x:c r="J376" s="7" t="str">
        <x:v>https://www.football-data.co.uk/mmz4281/2526/E0.csv</x:v>
      </x:c>
      <x:c r="K376" s="8" t="n">
        <x:v>46278.70306712963</x:v>
      </x:c>
      <x:c r="L376" s="7" t="str">
        <x:v>FT90</x:v>
      </x:c>
      <x:c r="M376" s="7" t="str">
        <x:v>CSV row 372</x:v>
      </x:c>
      <x:c r="N376" s="2" t="str">
        <x:f>IF(AND(A376&lt;&gt;"",ISNUMBER(D376)),B376&amp;"|"&amp;C376&amp;"|"&amp;TEXT(D376,"yyyymmdd")&amp;"|"&amp;E376&amp;"|"&amp;F376,"")</x:f>
        <x:v>E0|2025/26|20260524|Brighton|Man United</x:v>
      </x:c>
      <x:c r="O376" s="2" t="str">
        <x:f>IF(A376="","",IFERROR(IF(NOT(AND(B376&lt;&gt;"",C376&lt;&gt;"",ISNUMBER(D376),D376&gt;0,E376&lt;&gt;"",F376&lt;&gt;"",E376&lt;&gt;F376,ISNUMBER(G376),ISNUMBER(H376),G376&gt;=0,H376&gt;=0,G376&lt;=100,H376&lt;=100,MOD(G376,1)=0,MOD(H376,1)=0,L376="FT90",S376&gt;0,INDEX(SourceTable[League],MAX(1,S376))=B376,INDEX(SourceTable[Season],MAX(1,S376))=C376,ISNUMBER(K376),K376=INDEX(SourceTable[Retrieved_UTC],MAX(1,S376)),J376&lt;&gt;"",M376&lt;&gt;"")),"INVALID",IF(OR(COUNTIFS('Istoric_Nativ'!$N$6:$N$405,N376,'Istoric_Nativ'!$G$6:$G$405,G376)&lt;&gt;COUNTIF('Istoric_Nativ'!$N$6:$N$405,N376),COUNTIFS('Istoric_Nativ'!$N$6:$N$405,N376,'Istoric_Nativ'!$H$6:$H$405,H376)&lt;&gt;COUNTIF('Istoric_Nativ'!$N$6:$N$405,N376)),"SOURCE CONFLICT",IF(COUNTIF($N$6:N376,N376)&gt;1,"DUPLICATE","VALID"))),"INVALID"))</x:f>
        <x:v>VALID</x:v>
      </x:c>
      <x:c r="P376" s="2" t="n">
        <x:f>IF(O376="VALID",1,0)</x:f>
        <x:v>1</x:v>
      </x:c>
      <x:c r="Q376" s="2" t="n">
        <x:f>IF(P376=1,G376+H376,0)</x:f>
        <x:v>3</x:v>
      </x:c>
      <x:c r="R376" s="2" t="n">
        <x:f>Q376^2</x:f>
        <x:v>9</x:v>
      </x:c>
      <x:c r="S376" s="2" t="n">
        <x:f>IF(A376="","",IFERROR(MATCH(I376,SourceTable[Source_ID],0),0))</x:f>
        <x:v>1</x:v>
      </x:c>
    </x:row>
    <x:row r="377" ht="21" customHeight="1">
      <x:c r="A377" s="7" t="str">
        <x:v>ce179b76f275c5eea4b4</x:v>
      </x:c>
      <x:c r="B377" s="7" t="str">
        <x:v>E0</x:v>
      </x:c>
      <x:c r="C377" s="7" t="str">
        <x:v>2025/26</x:v>
      </x:c>
      <x:c r="D377" s="8" t="n">
        <x:v>46166</x:v>
      </x:c>
      <x:c r="E377" s="7" t="str">
        <x:v>Burnley</x:v>
      </x:c>
      <x:c r="F377" s="7" t="str">
        <x:v>Wolves</x:v>
      </x:c>
      <x:c r="G377" s="7" t="n">
        <x:v>7</x:v>
      </x:c>
      <x:c r="H377" s="7" t="n">
        <x:v>7</x:v>
      </x:c>
      <x:c r="I377" s="7" t="str">
        <x:v>FD_E0_2526</x:v>
      </x:c>
      <x:c r="J377" s="7" t="str">
        <x:v>https://www.football-data.co.uk/mmz4281/2526/E0.csv</x:v>
      </x:c>
      <x:c r="K377" s="8" t="n">
        <x:v>46278.70306712963</x:v>
      </x:c>
      <x:c r="L377" s="7" t="str">
        <x:v>FT90</x:v>
      </x:c>
      <x:c r="M377" s="7" t="str">
        <x:v>CSV row 373</x:v>
      </x:c>
      <x:c r="N377" s="2" t="str">
        <x:f>IF(AND(A377&lt;&gt;"",ISNUMBER(D377)),B377&amp;"|"&amp;C377&amp;"|"&amp;TEXT(D377,"yyyymmdd")&amp;"|"&amp;E377&amp;"|"&amp;F377,"")</x:f>
        <x:v>E0|2025/26|20260524|Burnley|Wolves</x:v>
      </x:c>
      <x:c r="O377" s="2" t="str">
        <x:f>IF(A377="","",IFERROR(IF(NOT(AND(B377&lt;&gt;"",C377&lt;&gt;"",ISNUMBER(D377),D377&gt;0,E377&lt;&gt;"",F377&lt;&gt;"",E377&lt;&gt;F377,ISNUMBER(G377),ISNUMBER(H377),G377&gt;=0,H377&gt;=0,G377&lt;=100,H377&lt;=100,MOD(G377,1)=0,MOD(H377,1)=0,L377="FT90",S377&gt;0,INDEX(SourceTable[League],MAX(1,S377))=B377,INDEX(SourceTable[Season],MAX(1,S377))=C377,ISNUMBER(K377),K377=INDEX(SourceTable[Retrieved_UTC],MAX(1,S377)),J377&lt;&gt;"",M377&lt;&gt;"")),"INVALID",IF(OR(COUNTIFS('Istoric_Nativ'!$N$6:$N$405,N377,'Istoric_Nativ'!$G$6:$G$405,G377)&lt;&gt;COUNTIF('Istoric_Nativ'!$N$6:$N$405,N377),COUNTIFS('Istoric_Nativ'!$N$6:$N$405,N377,'Istoric_Nativ'!$H$6:$H$405,H377)&lt;&gt;COUNTIF('Istoric_Nativ'!$N$6:$N$405,N377)),"SOURCE CONFLICT",IF(COUNTIF($N$6:N377,N377)&gt;1,"DUPLICATE","VALID"))),"INVALID"))</x:f>
        <x:v>VALID</x:v>
      </x:c>
      <x:c r="P377" s="2" t="n">
        <x:f>IF(O377="VALID",1,0)</x:f>
        <x:v>1</x:v>
      </x:c>
      <x:c r="Q377" s="2" t="n">
        <x:f>IF(P377=1,G377+H377,0)</x:f>
        <x:v>14</x:v>
      </x:c>
      <x:c r="R377" s="2" t="n">
        <x:f>Q377^2</x:f>
        <x:v>196</x:v>
      </x:c>
      <x:c r="S377" s="2" t="n">
        <x:f>IF(A377="","",IFERROR(MATCH(I377,SourceTable[Source_ID],0),0))</x:f>
        <x:v>1</x:v>
      </x:c>
    </x:row>
    <x:row r="378" ht="21" customHeight="1">
      <x:c r="A378" s="7" t="str">
        <x:v>564db5e80cc22bcc3fa3</x:v>
      </x:c>
      <x:c r="B378" s="7" t="str">
        <x:v>E0</x:v>
      </x:c>
      <x:c r="C378" s="7" t="str">
        <x:v>2025/26</x:v>
      </x:c>
      <x:c r="D378" s="8" t="n">
        <x:v>46166</x:v>
      </x:c>
      <x:c r="E378" s="7" t="str">
        <x:v>Crystal Palace</x:v>
      </x:c>
      <x:c r="F378" s="7" t="str">
        <x:v>Arsenal</x:v>
      </x:c>
      <x:c r="G378" s="7" t="n">
        <x:v>3</x:v>
      </x:c>
      <x:c r="H378" s="7" t="n">
        <x:v>4</x:v>
      </x:c>
      <x:c r="I378" s="7" t="str">
        <x:v>FD_E0_2526</x:v>
      </x:c>
      <x:c r="J378" s="7" t="str">
        <x:v>https://www.football-data.co.uk/mmz4281/2526/E0.csv</x:v>
      </x:c>
      <x:c r="K378" s="8" t="n">
        <x:v>46278.70306712963</x:v>
      </x:c>
      <x:c r="L378" s="7" t="str">
        <x:v>FT90</x:v>
      </x:c>
      <x:c r="M378" s="7" t="str">
        <x:v>CSV row 374</x:v>
      </x:c>
      <x:c r="N378" s="2" t="str">
        <x:f>IF(AND(A378&lt;&gt;"",ISNUMBER(D378)),B378&amp;"|"&amp;C378&amp;"|"&amp;TEXT(D378,"yyyymmdd")&amp;"|"&amp;E378&amp;"|"&amp;F378,"")</x:f>
        <x:v>E0|2025/26|20260524|Crystal Palace|Arsenal</x:v>
      </x:c>
      <x:c r="O378" s="2" t="str">
        <x:f>IF(A378="","",IFERROR(IF(NOT(AND(B378&lt;&gt;"",C378&lt;&gt;"",ISNUMBER(D378),D378&gt;0,E378&lt;&gt;"",F378&lt;&gt;"",E378&lt;&gt;F378,ISNUMBER(G378),ISNUMBER(H378),G378&gt;=0,H378&gt;=0,G378&lt;=100,H378&lt;=100,MOD(G378,1)=0,MOD(H378,1)=0,L378="FT90",S378&gt;0,INDEX(SourceTable[League],MAX(1,S378))=B378,INDEX(SourceTable[Season],MAX(1,S378))=C378,ISNUMBER(K378),K378=INDEX(SourceTable[Retrieved_UTC],MAX(1,S378)),J378&lt;&gt;"",M378&lt;&gt;"")),"INVALID",IF(OR(COUNTIFS('Istoric_Nativ'!$N$6:$N$405,N378,'Istoric_Nativ'!$G$6:$G$405,G378)&lt;&gt;COUNTIF('Istoric_Nativ'!$N$6:$N$405,N378),COUNTIFS('Istoric_Nativ'!$N$6:$N$405,N378,'Istoric_Nativ'!$H$6:$H$405,H378)&lt;&gt;COUNTIF('Istoric_Nativ'!$N$6:$N$405,N378)),"SOURCE CONFLICT",IF(COUNTIF($N$6:N378,N378)&gt;1,"DUPLICATE","VALID"))),"INVALID"))</x:f>
        <x:v>VALID</x:v>
      </x:c>
      <x:c r="P378" s="2" t="n">
        <x:f>IF(O378="VALID",1,0)</x:f>
        <x:v>1</x:v>
      </x:c>
      <x:c r="Q378" s="2" t="n">
        <x:f>IF(P378=1,G378+H378,0)</x:f>
        <x:v>7</x:v>
      </x:c>
      <x:c r="R378" s="2" t="n">
        <x:f>Q378^2</x:f>
        <x:v>49</x:v>
      </x:c>
      <x:c r="S378" s="2" t="n">
        <x:f>IF(A378="","",IFERROR(MATCH(I378,SourceTable[Source_ID],0),0))</x:f>
        <x:v>1</x:v>
      </x:c>
    </x:row>
    <x:row r="379" ht="21" customHeight="1">
      <x:c r="A379" s="7" t="str">
        <x:v>957e68d85b8cf9b83d47</x:v>
      </x:c>
      <x:c r="B379" s="7" t="str">
        <x:v>E0</x:v>
      </x:c>
      <x:c r="C379" s="7" t="str">
        <x:v>2025/26</x:v>
      </x:c>
      <x:c r="D379" s="8" t="n">
        <x:v>46166</x:v>
      </x:c>
      <x:c r="E379" s="7" t="str">
        <x:v>Fulham</x:v>
      </x:c>
      <x:c r="F379" s="7" t="str">
        <x:v>Newcastle</x:v>
      </x:c>
      <x:c r="G379" s="7" t="n">
        <x:v>6</x:v>
      </x:c>
      <x:c r="H379" s="7" t="n">
        <x:v>6</x:v>
      </x:c>
      <x:c r="I379" s="7" t="str">
        <x:v>FD_E0_2526</x:v>
      </x:c>
      <x:c r="J379" s="7" t="str">
        <x:v>https://www.football-data.co.uk/mmz4281/2526/E0.csv</x:v>
      </x:c>
      <x:c r="K379" s="8" t="n">
        <x:v>46278.70306712963</x:v>
      </x:c>
      <x:c r="L379" s="7" t="str">
        <x:v>FT90</x:v>
      </x:c>
      <x:c r="M379" s="7" t="str">
        <x:v>CSV row 375</x:v>
      </x:c>
      <x:c r="N379" s="2" t="str">
        <x:f>IF(AND(A379&lt;&gt;"",ISNUMBER(D379)),B379&amp;"|"&amp;C379&amp;"|"&amp;TEXT(D379,"yyyymmdd")&amp;"|"&amp;E379&amp;"|"&amp;F379,"")</x:f>
        <x:v>E0|2025/26|20260524|Fulham|Newcastle</x:v>
      </x:c>
      <x:c r="O379" s="2" t="str">
        <x:f>IF(A379="","",IFERROR(IF(NOT(AND(B379&lt;&gt;"",C379&lt;&gt;"",ISNUMBER(D379),D379&gt;0,E379&lt;&gt;"",F379&lt;&gt;"",E379&lt;&gt;F379,ISNUMBER(G379),ISNUMBER(H379),G379&gt;=0,H379&gt;=0,G379&lt;=100,H379&lt;=100,MOD(G379,1)=0,MOD(H379,1)=0,L379="FT90",S379&gt;0,INDEX(SourceTable[League],MAX(1,S379))=B379,INDEX(SourceTable[Season],MAX(1,S379))=C379,ISNUMBER(K379),K379=INDEX(SourceTable[Retrieved_UTC],MAX(1,S379)),J379&lt;&gt;"",M379&lt;&gt;"")),"INVALID",IF(OR(COUNTIFS('Istoric_Nativ'!$N$6:$N$405,N379,'Istoric_Nativ'!$G$6:$G$405,G379)&lt;&gt;COUNTIF('Istoric_Nativ'!$N$6:$N$405,N379),COUNTIFS('Istoric_Nativ'!$N$6:$N$405,N379,'Istoric_Nativ'!$H$6:$H$405,H379)&lt;&gt;COUNTIF('Istoric_Nativ'!$N$6:$N$405,N379)),"SOURCE CONFLICT",IF(COUNTIF($N$6:N379,N379)&gt;1,"DUPLICATE","VALID"))),"INVALID"))</x:f>
        <x:v>VALID</x:v>
      </x:c>
      <x:c r="P379" s="2" t="n">
        <x:f>IF(O379="VALID",1,0)</x:f>
        <x:v>1</x:v>
      </x:c>
      <x:c r="Q379" s="2" t="n">
        <x:f>IF(P379=1,G379+H379,0)</x:f>
        <x:v>12</x:v>
      </x:c>
      <x:c r="R379" s="2" t="n">
        <x:f>Q379^2</x:f>
        <x:v>144</x:v>
      </x:c>
      <x:c r="S379" s="2" t="n">
        <x:f>IF(A379="","",IFERROR(MATCH(I379,SourceTable[Source_ID],0),0))</x:f>
        <x:v>1</x:v>
      </x:c>
    </x:row>
    <x:row r="380" ht="21" customHeight="1">
      <x:c r="A380" s="7" t="str">
        <x:v>70f743a28776f7ec86ca</x:v>
      </x:c>
      <x:c r="B380" s="7" t="str">
        <x:v>E0</x:v>
      </x:c>
      <x:c r="C380" s="7" t="str">
        <x:v>2025/26</x:v>
      </x:c>
      <x:c r="D380" s="8" t="n">
        <x:v>46166</x:v>
      </x:c>
      <x:c r="E380" s="7" t="str">
        <x:v>Liverpool</x:v>
      </x:c>
      <x:c r="F380" s="7" t="str">
        <x:v>Brentford</x:v>
      </x:c>
      <x:c r="G380" s="7" t="n">
        <x:v>14</x:v>
      </x:c>
      <x:c r="H380" s="7" t="n">
        <x:v>2</x:v>
      </x:c>
      <x:c r="I380" s="7" t="str">
        <x:v>FD_E0_2526</x:v>
      </x:c>
      <x:c r="J380" s="7" t="str">
        <x:v>https://www.football-data.co.uk/mmz4281/2526/E0.csv</x:v>
      </x:c>
      <x:c r="K380" s="8" t="n">
        <x:v>46278.70306712963</x:v>
      </x:c>
      <x:c r="L380" s="7" t="str">
        <x:v>FT90</x:v>
      </x:c>
      <x:c r="M380" s="7" t="str">
        <x:v>CSV row 376</x:v>
      </x:c>
      <x:c r="N380" s="2" t="str">
        <x:f>IF(AND(A380&lt;&gt;"",ISNUMBER(D380)),B380&amp;"|"&amp;C380&amp;"|"&amp;TEXT(D380,"yyyymmdd")&amp;"|"&amp;E380&amp;"|"&amp;F380,"")</x:f>
        <x:v>E0|2025/26|20260524|Liverpool|Brentford</x:v>
      </x:c>
      <x:c r="O380" s="2" t="str">
        <x:f>IF(A380="","",IFERROR(IF(NOT(AND(B380&lt;&gt;"",C380&lt;&gt;"",ISNUMBER(D380),D380&gt;0,E380&lt;&gt;"",F380&lt;&gt;"",E380&lt;&gt;F380,ISNUMBER(G380),ISNUMBER(H380),G380&gt;=0,H380&gt;=0,G380&lt;=100,H380&lt;=100,MOD(G380,1)=0,MOD(H380,1)=0,L380="FT90",S380&gt;0,INDEX(SourceTable[League],MAX(1,S380))=B380,INDEX(SourceTable[Season],MAX(1,S380))=C380,ISNUMBER(K380),K380=INDEX(SourceTable[Retrieved_UTC],MAX(1,S380)),J380&lt;&gt;"",M380&lt;&gt;"")),"INVALID",IF(OR(COUNTIFS('Istoric_Nativ'!$N$6:$N$405,N380,'Istoric_Nativ'!$G$6:$G$405,G380)&lt;&gt;COUNTIF('Istoric_Nativ'!$N$6:$N$405,N380),COUNTIFS('Istoric_Nativ'!$N$6:$N$405,N380,'Istoric_Nativ'!$H$6:$H$405,H380)&lt;&gt;COUNTIF('Istoric_Nativ'!$N$6:$N$405,N380)),"SOURCE CONFLICT",IF(COUNTIF($N$6:N380,N380)&gt;1,"DUPLICATE","VALID"))),"INVALID"))</x:f>
        <x:v>VALID</x:v>
      </x:c>
      <x:c r="P380" s="2" t="n">
        <x:f>IF(O380="VALID",1,0)</x:f>
        <x:v>1</x:v>
      </x:c>
      <x:c r="Q380" s="2" t="n">
        <x:f>IF(P380=1,G380+H380,0)</x:f>
        <x:v>16</x:v>
      </x:c>
      <x:c r="R380" s="2" t="n">
        <x:f>Q380^2</x:f>
        <x:v>256</x:v>
      </x:c>
      <x:c r="S380" s="2" t="n">
        <x:f>IF(A380="","",IFERROR(MATCH(I380,SourceTable[Source_ID],0),0))</x:f>
        <x:v>1</x:v>
      </x:c>
    </x:row>
    <x:row r="381" ht="21" customHeight="1">
      <x:c r="A381" s="7" t="str">
        <x:v>f0c587db5c4c2759d8ac</x:v>
      </x:c>
      <x:c r="B381" s="7" t="str">
        <x:v>E0</x:v>
      </x:c>
      <x:c r="C381" s="7" t="str">
        <x:v>2025/26</x:v>
      </x:c>
      <x:c r="D381" s="8" t="n">
        <x:v>46166</x:v>
      </x:c>
      <x:c r="E381" s="7" t="str">
        <x:v>Man City</x:v>
      </x:c>
      <x:c r="F381" s="7" t="str">
        <x:v>Aston Villa</x:v>
      </x:c>
      <x:c r="G381" s="7" t="n">
        <x:v>9</x:v>
      </x:c>
      <x:c r="H381" s="7" t="n">
        <x:v>4</x:v>
      </x:c>
      <x:c r="I381" s="7" t="str">
        <x:v>FD_E0_2526</x:v>
      </x:c>
      <x:c r="J381" s="7" t="str">
        <x:v>https://www.football-data.co.uk/mmz4281/2526/E0.csv</x:v>
      </x:c>
      <x:c r="K381" s="8" t="n">
        <x:v>46278.70306712963</x:v>
      </x:c>
      <x:c r="L381" s="7" t="str">
        <x:v>FT90</x:v>
      </x:c>
      <x:c r="M381" s="7" t="str">
        <x:v>CSV row 377</x:v>
      </x:c>
      <x:c r="N381" s="2" t="str">
        <x:f>IF(AND(A381&lt;&gt;"",ISNUMBER(D381)),B381&amp;"|"&amp;C381&amp;"|"&amp;TEXT(D381,"yyyymmdd")&amp;"|"&amp;E381&amp;"|"&amp;F381,"")</x:f>
        <x:v>E0|2025/26|20260524|Man City|Aston Villa</x:v>
      </x:c>
      <x:c r="O381" s="2" t="str">
        <x:f>IF(A381="","",IFERROR(IF(NOT(AND(B381&lt;&gt;"",C381&lt;&gt;"",ISNUMBER(D381),D381&gt;0,E381&lt;&gt;"",F381&lt;&gt;"",E381&lt;&gt;F381,ISNUMBER(G381),ISNUMBER(H381),G381&gt;=0,H381&gt;=0,G381&lt;=100,H381&lt;=100,MOD(G381,1)=0,MOD(H381,1)=0,L381="FT90",S381&gt;0,INDEX(SourceTable[League],MAX(1,S381))=B381,INDEX(SourceTable[Season],MAX(1,S381))=C381,ISNUMBER(K381),K381=INDEX(SourceTable[Retrieved_UTC],MAX(1,S381)),J381&lt;&gt;"",M381&lt;&gt;"")),"INVALID",IF(OR(COUNTIFS('Istoric_Nativ'!$N$6:$N$405,N381,'Istoric_Nativ'!$G$6:$G$405,G381)&lt;&gt;COUNTIF('Istoric_Nativ'!$N$6:$N$405,N381),COUNTIFS('Istoric_Nativ'!$N$6:$N$405,N381,'Istoric_Nativ'!$H$6:$H$405,H381)&lt;&gt;COUNTIF('Istoric_Nativ'!$N$6:$N$405,N381)),"SOURCE CONFLICT",IF(COUNTIF($N$6:N381,N381)&gt;1,"DUPLICATE","VALID"))),"INVALID"))</x:f>
        <x:v>VALID</x:v>
      </x:c>
      <x:c r="P381" s="2" t="n">
        <x:f>IF(O381="VALID",1,0)</x:f>
        <x:v>1</x:v>
      </x:c>
      <x:c r="Q381" s="2" t="n">
        <x:f>IF(P381=1,G381+H381,0)</x:f>
        <x:v>13</x:v>
      </x:c>
      <x:c r="R381" s="2" t="n">
        <x:f>Q381^2</x:f>
        <x:v>169</x:v>
      </x:c>
      <x:c r="S381" s="2" t="n">
        <x:f>IF(A381="","",IFERROR(MATCH(I381,SourceTable[Source_ID],0),0))</x:f>
        <x:v>1</x:v>
      </x:c>
    </x:row>
    <x:row r="382" ht="21" customHeight="1">
      <x:c r="A382" s="7" t="str">
        <x:v>bd519e62265dd9bcbcf2</x:v>
      </x:c>
      <x:c r="B382" s="7" t="str">
        <x:v>E0</x:v>
      </x:c>
      <x:c r="C382" s="7" t="str">
        <x:v>2025/26</x:v>
      </x:c>
      <x:c r="D382" s="8" t="n">
        <x:v>46166</x:v>
      </x:c>
      <x:c r="E382" s="7" t="str">
        <x:v>Nott'm Forest</x:v>
      </x:c>
      <x:c r="F382" s="7" t="str">
        <x:v>Bournemouth</x:v>
      </x:c>
      <x:c r="G382" s="7" t="n">
        <x:v>6</x:v>
      </x:c>
      <x:c r="H382" s="7" t="n">
        <x:v>3</x:v>
      </x:c>
      <x:c r="I382" s="7" t="str">
        <x:v>FD_E0_2526</x:v>
      </x:c>
      <x:c r="J382" s="7" t="str">
        <x:v>https://www.football-data.co.uk/mmz4281/2526/E0.csv</x:v>
      </x:c>
      <x:c r="K382" s="8" t="n">
        <x:v>46278.70306712963</x:v>
      </x:c>
      <x:c r="L382" s="7" t="str">
        <x:v>FT90</x:v>
      </x:c>
      <x:c r="M382" s="7" t="str">
        <x:v>CSV row 378</x:v>
      </x:c>
      <x:c r="N382" s="2" t="str">
        <x:f>IF(AND(A382&lt;&gt;"",ISNUMBER(D382)),B382&amp;"|"&amp;C382&amp;"|"&amp;TEXT(D382,"yyyymmdd")&amp;"|"&amp;E382&amp;"|"&amp;F382,"")</x:f>
        <x:v>E0|2025/26|20260524|Nott'm Forest|Bournemouth</x:v>
      </x:c>
      <x:c r="O382" s="2" t="str">
        <x:f>IF(A382="","",IFERROR(IF(NOT(AND(B382&lt;&gt;"",C382&lt;&gt;"",ISNUMBER(D382),D382&gt;0,E382&lt;&gt;"",F382&lt;&gt;"",E382&lt;&gt;F382,ISNUMBER(G382),ISNUMBER(H382),G382&gt;=0,H382&gt;=0,G382&lt;=100,H382&lt;=100,MOD(G382,1)=0,MOD(H382,1)=0,L382="FT90",S382&gt;0,INDEX(SourceTable[League],MAX(1,S382))=B382,INDEX(SourceTable[Season],MAX(1,S382))=C382,ISNUMBER(K382),K382=INDEX(SourceTable[Retrieved_UTC],MAX(1,S382)),J382&lt;&gt;"",M382&lt;&gt;"")),"INVALID",IF(OR(COUNTIFS('Istoric_Nativ'!$N$6:$N$405,N382,'Istoric_Nativ'!$G$6:$G$405,G382)&lt;&gt;COUNTIF('Istoric_Nativ'!$N$6:$N$405,N382),COUNTIFS('Istoric_Nativ'!$N$6:$N$405,N382,'Istoric_Nativ'!$H$6:$H$405,H382)&lt;&gt;COUNTIF('Istoric_Nativ'!$N$6:$N$405,N382)),"SOURCE CONFLICT",IF(COUNTIF($N$6:N382,N382)&gt;1,"DUPLICATE","VALID"))),"INVALID"))</x:f>
        <x:v>VALID</x:v>
      </x:c>
      <x:c r="P382" s="2" t="n">
        <x:f>IF(O382="VALID",1,0)</x:f>
        <x:v>1</x:v>
      </x:c>
      <x:c r="Q382" s="2" t="n">
        <x:f>IF(P382=1,G382+H382,0)</x:f>
        <x:v>9</x:v>
      </x:c>
      <x:c r="R382" s="2" t="n">
        <x:f>Q382^2</x:f>
        <x:v>81</x:v>
      </x:c>
      <x:c r="S382" s="2" t="n">
        <x:f>IF(A382="","",IFERROR(MATCH(I382,SourceTable[Source_ID],0),0))</x:f>
        <x:v>1</x:v>
      </x:c>
    </x:row>
    <x:row r="383" ht="21" customHeight="1">
      <x:c r="A383" s="7" t="str">
        <x:v>5dd7870f7a8e048422ac</x:v>
      </x:c>
      <x:c r="B383" s="7" t="str">
        <x:v>E0</x:v>
      </x:c>
      <x:c r="C383" s="7" t="str">
        <x:v>2025/26</x:v>
      </x:c>
      <x:c r="D383" s="8" t="n">
        <x:v>46166</x:v>
      </x:c>
      <x:c r="E383" s="7" t="str">
        <x:v>Sunderland</x:v>
      </x:c>
      <x:c r="F383" s="7" t="str">
        <x:v>Chelsea</x:v>
      </x:c>
      <x:c r="G383" s="7" t="n">
        <x:v>7</x:v>
      </x:c>
      <x:c r="H383" s="7" t="n">
        <x:v>7</x:v>
      </x:c>
      <x:c r="I383" s="7" t="str">
        <x:v>FD_E0_2526</x:v>
      </x:c>
      <x:c r="J383" s="7" t="str">
        <x:v>https://www.football-data.co.uk/mmz4281/2526/E0.csv</x:v>
      </x:c>
      <x:c r="K383" s="8" t="n">
        <x:v>46278.70306712963</x:v>
      </x:c>
      <x:c r="L383" s="7" t="str">
        <x:v>FT90</x:v>
      </x:c>
      <x:c r="M383" s="7" t="str">
        <x:v>CSV row 379</x:v>
      </x:c>
      <x:c r="N383" s="2" t="str">
        <x:f>IF(AND(A383&lt;&gt;"",ISNUMBER(D383)),B383&amp;"|"&amp;C383&amp;"|"&amp;TEXT(D383,"yyyymmdd")&amp;"|"&amp;E383&amp;"|"&amp;F383,"")</x:f>
        <x:v>E0|2025/26|20260524|Sunderland|Chelsea</x:v>
      </x:c>
      <x:c r="O383" s="2" t="str">
        <x:f>IF(A383="","",IFERROR(IF(NOT(AND(B383&lt;&gt;"",C383&lt;&gt;"",ISNUMBER(D383),D383&gt;0,E383&lt;&gt;"",F383&lt;&gt;"",E383&lt;&gt;F383,ISNUMBER(G383),ISNUMBER(H383),G383&gt;=0,H383&gt;=0,G383&lt;=100,H383&lt;=100,MOD(G383,1)=0,MOD(H383,1)=0,L383="FT90",S383&gt;0,INDEX(SourceTable[League],MAX(1,S383))=B383,INDEX(SourceTable[Season],MAX(1,S383))=C383,ISNUMBER(K383),K383=INDEX(SourceTable[Retrieved_UTC],MAX(1,S383)),J383&lt;&gt;"",M383&lt;&gt;"")),"INVALID",IF(OR(COUNTIFS('Istoric_Nativ'!$N$6:$N$405,N383,'Istoric_Nativ'!$G$6:$G$405,G383)&lt;&gt;COUNTIF('Istoric_Nativ'!$N$6:$N$405,N383),COUNTIFS('Istoric_Nativ'!$N$6:$N$405,N383,'Istoric_Nativ'!$H$6:$H$405,H383)&lt;&gt;COUNTIF('Istoric_Nativ'!$N$6:$N$405,N383)),"SOURCE CONFLICT",IF(COUNTIF($N$6:N383,N383)&gt;1,"DUPLICATE","VALID"))),"INVALID"))</x:f>
        <x:v>VALID</x:v>
      </x:c>
      <x:c r="P383" s="2" t="n">
        <x:f>IF(O383="VALID",1,0)</x:f>
        <x:v>1</x:v>
      </x:c>
      <x:c r="Q383" s="2" t="n">
        <x:f>IF(P383=1,G383+H383,0)</x:f>
        <x:v>14</x:v>
      </x:c>
      <x:c r="R383" s="2" t="n">
        <x:f>Q383^2</x:f>
        <x:v>196</x:v>
      </x:c>
      <x:c r="S383" s="2" t="n">
        <x:f>IF(A383="","",IFERROR(MATCH(I383,SourceTable[Source_ID],0),0))</x:f>
        <x:v>1</x:v>
      </x:c>
    </x:row>
    <x:row r="384" ht="21" customHeight="1">
      <x:c r="A384" s="7" t="str">
        <x:v>69ac6c25e59e46ebaa05</x:v>
      </x:c>
      <x:c r="B384" s="7" t="str">
        <x:v>E0</x:v>
      </x:c>
      <x:c r="C384" s="7" t="str">
        <x:v>2025/26</x:v>
      </x:c>
      <x:c r="D384" s="8" t="n">
        <x:v>46166</x:v>
      </x:c>
      <x:c r="E384" s="7" t="str">
        <x:v>Tottenham</x:v>
      </x:c>
      <x:c r="F384" s="7" t="str">
        <x:v>Everton</x:v>
      </x:c>
      <x:c r="G384" s="7" t="n">
        <x:v>6</x:v>
      </x:c>
      <x:c r="H384" s="7" t="n">
        <x:v>2</x:v>
      </x:c>
      <x:c r="I384" s="7" t="str">
        <x:v>FD_E0_2526</x:v>
      </x:c>
      <x:c r="J384" s="7" t="str">
        <x:v>https://www.football-data.co.uk/mmz4281/2526/E0.csv</x:v>
      </x:c>
      <x:c r="K384" s="8" t="n">
        <x:v>46278.70306712963</x:v>
      </x:c>
      <x:c r="L384" s="7" t="str">
        <x:v>FT90</x:v>
      </x:c>
      <x:c r="M384" s="7" t="str">
        <x:v>CSV row 380</x:v>
      </x:c>
      <x:c r="N384" s="2" t="str">
        <x:f>IF(AND(A384&lt;&gt;"",ISNUMBER(D384)),B384&amp;"|"&amp;C384&amp;"|"&amp;TEXT(D384,"yyyymmdd")&amp;"|"&amp;E384&amp;"|"&amp;F384,"")</x:f>
        <x:v>E0|2025/26|20260524|Tottenham|Everton</x:v>
      </x:c>
      <x:c r="O384" s="2" t="str">
        <x:f>IF(A384="","",IFERROR(IF(NOT(AND(B384&lt;&gt;"",C384&lt;&gt;"",ISNUMBER(D384),D384&gt;0,E384&lt;&gt;"",F384&lt;&gt;"",E384&lt;&gt;F384,ISNUMBER(G384),ISNUMBER(H384),G384&gt;=0,H384&gt;=0,G384&lt;=100,H384&lt;=100,MOD(G384,1)=0,MOD(H384,1)=0,L384="FT90",S384&gt;0,INDEX(SourceTable[League],MAX(1,S384))=B384,INDEX(SourceTable[Season],MAX(1,S384))=C384,ISNUMBER(K384),K384=INDEX(SourceTable[Retrieved_UTC],MAX(1,S384)),J384&lt;&gt;"",M384&lt;&gt;"")),"INVALID",IF(OR(COUNTIFS('Istoric_Nativ'!$N$6:$N$405,N384,'Istoric_Nativ'!$G$6:$G$405,G384)&lt;&gt;COUNTIF('Istoric_Nativ'!$N$6:$N$405,N384),COUNTIFS('Istoric_Nativ'!$N$6:$N$405,N384,'Istoric_Nativ'!$H$6:$H$405,H384)&lt;&gt;COUNTIF('Istoric_Nativ'!$N$6:$N$405,N384)),"SOURCE CONFLICT",IF(COUNTIF($N$6:N384,N384)&gt;1,"DUPLICATE","VALID"))),"INVALID"))</x:f>
        <x:v>VALID</x:v>
      </x:c>
      <x:c r="P384" s="2" t="n">
        <x:f>IF(O384="VALID",1,0)</x:f>
        <x:v>1</x:v>
      </x:c>
      <x:c r="Q384" s="2" t="n">
        <x:f>IF(P384=1,G384+H384,0)</x:f>
        <x:v>8</x:v>
      </x:c>
      <x:c r="R384" s="2" t="n">
        <x:f>Q384^2</x:f>
        <x:v>64</x:v>
      </x:c>
      <x:c r="S384" s="2" t="n">
        <x:f>IF(A384="","",IFERROR(MATCH(I384,SourceTable[Source_ID],0),0))</x:f>
        <x:v>1</x:v>
      </x:c>
    </x:row>
    <x:row r="385" ht="21" customHeight="1">
      <x:c r="A385" s="7" t="str">
        <x:v>af0f09331bf03d32e138</x:v>
      </x:c>
      <x:c r="B385" s="7" t="str">
        <x:v>E0</x:v>
      </x:c>
      <x:c r="C385" s="7" t="str">
        <x:v>2025/26</x:v>
      </x:c>
      <x:c r="D385" s="8" t="n">
        <x:v>46166</x:v>
      </x:c>
      <x:c r="E385" s="7" t="str">
        <x:v>West Ham</x:v>
      </x:c>
      <x:c r="F385" s="7" t="str">
        <x:v>Leeds</x:v>
      </x:c>
      <x:c r="G385" s="7" t="n">
        <x:v>6</x:v>
      </x:c>
      <x:c r="H385" s="7" t="n">
        <x:v>4</x:v>
      </x:c>
      <x:c r="I385" s="7" t="str">
        <x:v>FD_E0_2526</x:v>
      </x:c>
      <x:c r="J385" s="7" t="str">
        <x:v>https://www.football-data.co.uk/mmz4281/2526/E0.csv</x:v>
      </x:c>
      <x:c r="K385" s="8" t="n">
        <x:v>46278.70306712963</x:v>
      </x:c>
      <x:c r="L385" s="7" t="str">
        <x:v>FT90</x:v>
      </x:c>
      <x:c r="M385" s="7" t="str">
        <x:v>CSV row 381</x:v>
      </x:c>
      <x:c r="N385" s="2" t="str">
        <x:f>IF(AND(A385&lt;&gt;"",ISNUMBER(D385)),B385&amp;"|"&amp;C385&amp;"|"&amp;TEXT(D385,"yyyymmdd")&amp;"|"&amp;E385&amp;"|"&amp;F385,"")</x:f>
        <x:v>E0|2025/26|20260524|West Ham|Leeds</x:v>
      </x:c>
      <x:c r="O385" s="2" t="str">
        <x:f>IF(A385="","",IFERROR(IF(NOT(AND(B385&lt;&gt;"",C385&lt;&gt;"",ISNUMBER(D385),D385&gt;0,E385&lt;&gt;"",F385&lt;&gt;"",E385&lt;&gt;F385,ISNUMBER(G385),ISNUMBER(H385),G385&gt;=0,H385&gt;=0,G385&lt;=100,H385&lt;=100,MOD(G385,1)=0,MOD(H385,1)=0,L385="FT90",S385&gt;0,INDEX(SourceTable[League],MAX(1,S385))=B385,INDEX(SourceTable[Season],MAX(1,S385))=C385,ISNUMBER(K385),K385=INDEX(SourceTable[Retrieved_UTC],MAX(1,S385)),J385&lt;&gt;"",M385&lt;&gt;"")),"INVALID",IF(OR(COUNTIFS('Istoric_Nativ'!$N$6:$N$405,N385,'Istoric_Nativ'!$G$6:$G$405,G385)&lt;&gt;COUNTIF('Istoric_Nativ'!$N$6:$N$405,N385),COUNTIFS('Istoric_Nativ'!$N$6:$N$405,N385,'Istoric_Nativ'!$H$6:$H$405,H385)&lt;&gt;COUNTIF('Istoric_Nativ'!$N$6:$N$405,N385)),"SOURCE CONFLICT",IF(COUNTIF($N$6:N385,N385)&gt;1,"DUPLICATE","VALID"))),"INVALID"))</x:f>
        <x:v>VALID</x:v>
      </x:c>
      <x:c r="P385" s="2" t="n">
        <x:f>IF(O385="VALID",1,0)</x:f>
        <x:v>1</x:v>
      </x:c>
      <x:c r="Q385" s="2" t="n">
        <x:f>IF(P385=1,G385+H385,0)</x:f>
        <x:v>10</x:v>
      </x:c>
      <x:c r="R385" s="2" t="n">
        <x:f>Q385^2</x:f>
        <x:v>100</x:v>
      </x:c>
      <x:c r="S385" s="2" t="n">
        <x:f>IF(A385="","",IFERROR(MATCH(I385,SourceTable[Source_ID],0),0))</x:f>
        <x:v>1</x:v>
      </x:c>
    </x:row>
    <x:row r="386" ht="21" customHeight="1">
      <x:c r="A386" s="7"/>
      <x:c r="B386" s="7"/>
      <x:c r="C386" s="7"/>
      <x:c r="D386" s="8"/>
      <x:c r="E386" s="7"/>
      <x:c r="F386" s="7"/>
      <x:c r="G386" s="7"/>
      <x:c r="H386" s="7"/>
      <x:c r="I386" s="7"/>
      <x:c r="J386" s="7"/>
      <x:c r="K386" s="8"/>
      <x:c r="L386" s="7"/>
      <x:c r="M386" s="7"/>
      <x:c r="N386" s="2" t="str">
        <x:f>IF(AND(A386&lt;&gt;"",ISNUMBER(D386)),B386&amp;"|"&amp;C386&amp;"|"&amp;TEXT(D386,"yyyymmdd")&amp;"|"&amp;E386&amp;"|"&amp;F386,"")</x:f>
      </x:c>
      <x:c r="O386" s="2" t="str">
        <x:f>IF(A386="","",IFERROR(IF(NOT(AND(B386&lt;&gt;"",C386&lt;&gt;"",ISNUMBER(D386),D386&gt;0,E386&lt;&gt;"",F386&lt;&gt;"",E386&lt;&gt;F386,ISNUMBER(G386),ISNUMBER(H386),G386&gt;=0,H386&gt;=0,G386&lt;=100,H386&lt;=100,MOD(G386,1)=0,MOD(H386,1)=0,L386="FT90",S386&gt;0,INDEX(SourceTable[League],MAX(1,S386))=B386,INDEX(SourceTable[Season],MAX(1,S386))=C386,ISNUMBER(K386),K386=INDEX(SourceTable[Retrieved_UTC],MAX(1,S386)),J386&lt;&gt;"",M386&lt;&gt;"")),"INVALID",IF(OR(COUNTIFS('Istoric_Nativ'!$N$6:$N$405,N386,'Istoric_Nativ'!$G$6:$G$405,G386)&lt;&gt;COUNTIF('Istoric_Nativ'!$N$6:$N$405,N386),COUNTIFS('Istoric_Nativ'!$N$6:$N$405,N386,'Istoric_Nativ'!$H$6:$H$405,H386)&lt;&gt;COUNTIF('Istoric_Nativ'!$N$6:$N$405,N386)),"SOURCE CONFLICT",IF(COUNTIF($N$6:N386,N386)&gt;1,"DUPLICATE","VALID"))),"INVALID"))</x:f>
      </x:c>
      <x:c r="P386" s="2" t="n">
        <x:f>IF(O386="VALID",1,0)</x:f>
        <x:v>0</x:v>
      </x:c>
      <x:c r="Q386" s="2" t="n">
        <x:f>IF(P386=1,G386+H386,0)</x:f>
        <x:v>0</x:v>
      </x:c>
      <x:c r="R386" s="2" t="n">
        <x:f>Q386^2</x:f>
        <x:v>0</x:v>
      </x:c>
      <x:c r="S386" s="2" t="str">
        <x:f>IF(A386="","",IFERROR(MATCH(I386,SourceTable[Source_ID],0),0))</x:f>
      </x:c>
    </x:row>
    <x:row r="387" ht="21" customHeight="1">
      <x:c r="A387" s="7"/>
      <x:c r="B387" s="7"/>
      <x:c r="C387" s="7"/>
      <x:c r="D387" s="8"/>
      <x:c r="E387" s="7"/>
      <x:c r="F387" s="7"/>
      <x:c r="G387" s="7"/>
      <x:c r="H387" s="7"/>
      <x:c r="I387" s="7"/>
      <x:c r="J387" s="7"/>
      <x:c r="K387" s="8"/>
      <x:c r="L387" s="7"/>
      <x:c r="M387" s="7"/>
      <x:c r="N387" s="2" t="str">
        <x:f>IF(AND(A387&lt;&gt;"",ISNUMBER(D387)),B387&amp;"|"&amp;C387&amp;"|"&amp;TEXT(D387,"yyyymmdd")&amp;"|"&amp;E387&amp;"|"&amp;F387,"")</x:f>
      </x:c>
      <x:c r="O387" s="2" t="str">
        <x:f>IF(A387="","",IFERROR(IF(NOT(AND(B387&lt;&gt;"",C387&lt;&gt;"",ISNUMBER(D387),D387&gt;0,E387&lt;&gt;"",F387&lt;&gt;"",E387&lt;&gt;F387,ISNUMBER(G387),ISNUMBER(H387),G387&gt;=0,H387&gt;=0,G387&lt;=100,H387&lt;=100,MOD(G387,1)=0,MOD(H387,1)=0,L387="FT90",S387&gt;0,INDEX(SourceTable[League],MAX(1,S387))=B387,INDEX(SourceTable[Season],MAX(1,S387))=C387,ISNUMBER(K387),K387=INDEX(SourceTable[Retrieved_UTC],MAX(1,S387)),J387&lt;&gt;"",M387&lt;&gt;"")),"INVALID",IF(OR(COUNTIFS('Istoric_Nativ'!$N$6:$N$405,N387,'Istoric_Nativ'!$G$6:$G$405,G387)&lt;&gt;COUNTIF('Istoric_Nativ'!$N$6:$N$405,N387),COUNTIFS('Istoric_Nativ'!$N$6:$N$405,N387,'Istoric_Nativ'!$H$6:$H$405,H387)&lt;&gt;COUNTIF('Istoric_Nativ'!$N$6:$N$405,N387)),"SOURCE CONFLICT",IF(COUNTIF($N$6:N387,N387)&gt;1,"DUPLICATE","VALID"))),"INVALID"))</x:f>
      </x:c>
      <x:c r="P387" s="2" t="n">
        <x:f>IF(O387="VALID",1,0)</x:f>
        <x:v>0</x:v>
      </x:c>
      <x:c r="Q387" s="2" t="n">
        <x:f>IF(P387=1,G387+H387,0)</x:f>
        <x:v>0</x:v>
      </x:c>
      <x:c r="R387" s="2" t="n">
        <x:f>Q387^2</x:f>
        <x:v>0</x:v>
      </x:c>
      <x:c r="S387" s="2" t="str">
        <x:f>IF(A387="","",IFERROR(MATCH(I387,SourceTable[Source_ID],0),0))</x:f>
      </x:c>
    </x:row>
    <x:row r="388" ht="21" customHeight="1">
      <x:c r="A388" s="7"/>
      <x:c r="B388" s="7"/>
      <x:c r="C388" s="7"/>
      <x:c r="D388" s="8"/>
      <x:c r="E388" s="7"/>
      <x:c r="F388" s="7"/>
      <x:c r="G388" s="7"/>
      <x:c r="H388" s="7"/>
      <x:c r="I388" s="7"/>
      <x:c r="J388" s="7"/>
      <x:c r="K388" s="8"/>
      <x:c r="L388" s="7"/>
      <x:c r="M388" s="7"/>
      <x:c r="N388" s="2" t="str">
        <x:f>IF(AND(A388&lt;&gt;"",ISNUMBER(D388)),B388&amp;"|"&amp;C388&amp;"|"&amp;TEXT(D388,"yyyymmdd")&amp;"|"&amp;E388&amp;"|"&amp;F388,"")</x:f>
      </x:c>
      <x:c r="O388" s="2" t="str">
        <x:f>IF(A388="","",IFERROR(IF(NOT(AND(B388&lt;&gt;"",C388&lt;&gt;"",ISNUMBER(D388),D388&gt;0,E388&lt;&gt;"",F388&lt;&gt;"",E388&lt;&gt;F388,ISNUMBER(G388),ISNUMBER(H388),G388&gt;=0,H388&gt;=0,G388&lt;=100,H388&lt;=100,MOD(G388,1)=0,MOD(H388,1)=0,L388="FT90",S388&gt;0,INDEX(SourceTable[League],MAX(1,S388))=B388,INDEX(SourceTable[Season],MAX(1,S388))=C388,ISNUMBER(K388),K388=INDEX(SourceTable[Retrieved_UTC],MAX(1,S388)),J388&lt;&gt;"",M388&lt;&gt;"")),"INVALID",IF(OR(COUNTIFS('Istoric_Nativ'!$N$6:$N$405,N388,'Istoric_Nativ'!$G$6:$G$405,G388)&lt;&gt;COUNTIF('Istoric_Nativ'!$N$6:$N$405,N388),COUNTIFS('Istoric_Nativ'!$N$6:$N$405,N388,'Istoric_Nativ'!$H$6:$H$405,H388)&lt;&gt;COUNTIF('Istoric_Nativ'!$N$6:$N$405,N388)),"SOURCE CONFLICT",IF(COUNTIF($N$6:N388,N388)&gt;1,"DUPLICATE","VALID"))),"INVALID"))</x:f>
      </x:c>
      <x:c r="P388" s="2" t="n">
        <x:f>IF(O388="VALID",1,0)</x:f>
        <x:v>0</x:v>
      </x:c>
      <x:c r="Q388" s="2" t="n">
        <x:f>IF(P388=1,G388+H388,0)</x:f>
        <x:v>0</x:v>
      </x:c>
      <x:c r="R388" s="2" t="n">
        <x:f>Q388^2</x:f>
        <x:v>0</x:v>
      </x:c>
      <x:c r="S388" s="2" t="str">
        <x:f>IF(A388="","",IFERROR(MATCH(I388,SourceTable[Source_ID],0),0))</x:f>
      </x:c>
    </x:row>
    <x:row r="389" ht="21" customHeight="1">
      <x:c r="A389" s="7"/>
      <x:c r="B389" s="7"/>
      <x:c r="C389" s="7"/>
      <x:c r="D389" s="8"/>
      <x:c r="E389" s="7"/>
      <x:c r="F389" s="7"/>
      <x:c r="G389" s="7"/>
      <x:c r="H389" s="7"/>
      <x:c r="I389" s="7"/>
      <x:c r="J389" s="7"/>
      <x:c r="K389" s="8"/>
      <x:c r="L389" s="7"/>
      <x:c r="M389" s="7"/>
      <x:c r="N389" s="2" t="str">
        <x:f>IF(AND(A389&lt;&gt;"",ISNUMBER(D389)),B389&amp;"|"&amp;C389&amp;"|"&amp;TEXT(D389,"yyyymmdd")&amp;"|"&amp;E389&amp;"|"&amp;F389,"")</x:f>
      </x:c>
      <x:c r="O389" s="2" t="str">
        <x:f>IF(A389="","",IFERROR(IF(NOT(AND(B389&lt;&gt;"",C389&lt;&gt;"",ISNUMBER(D389),D389&gt;0,E389&lt;&gt;"",F389&lt;&gt;"",E389&lt;&gt;F389,ISNUMBER(G389),ISNUMBER(H389),G389&gt;=0,H389&gt;=0,G389&lt;=100,H389&lt;=100,MOD(G389,1)=0,MOD(H389,1)=0,L389="FT90",S389&gt;0,INDEX(SourceTable[League],MAX(1,S389))=B389,INDEX(SourceTable[Season],MAX(1,S389))=C389,ISNUMBER(K389),K389=INDEX(SourceTable[Retrieved_UTC],MAX(1,S389)),J389&lt;&gt;"",M389&lt;&gt;"")),"INVALID",IF(OR(COUNTIFS('Istoric_Nativ'!$N$6:$N$405,N389,'Istoric_Nativ'!$G$6:$G$405,G389)&lt;&gt;COUNTIF('Istoric_Nativ'!$N$6:$N$405,N389),COUNTIFS('Istoric_Nativ'!$N$6:$N$405,N389,'Istoric_Nativ'!$H$6:$H$405,H389)&lt;&gt;COUNTIF('Istoric_Nativ'!$N$6:$N$405,N389)),"SOURCE CONFLICT",IF(COUNTIF($N$6:N389,N389)&gt;1,"DUPLICATE","VALID"))),"INVALID"))</x:f>
      </x:c>
      <x:c r="P389" s="2" t="n">
        <x:f>IF(O389="VALID",1,0)</x:f>
        <x:v>0</x:v>
      </x:c>
      <x:c r="Q389" s="2" t="n">
        <x:f>IF(P389=1,G389+H389,0)</x:f>
        <x:v>0</x:v>
      </x:c>
      <x:c r="R389" s="2" t="n">
        <x:f>Q389^2</x:f>
        <x:v>0</x:v>
      </x:c>
      <x:c r="S389" s="2" t="str">
        <x:f>IF(A389="","",IFERROR(MATCH(I389,SourceTable[Source_ID],0),0))</x:f>
      </x:c>
    </x:row>
    <x:row r="390" ht="21" customHeight="1">
      <x:c r="A390" s="7"/>
      <x:c r="B390" s="7"/>
      <x:c r="C390" s="7"/>
      <x:c r="D390" s="8"/>
      <x:c r="E390" s="7"/>
      <x:c r="F390" s="7"/>
      <x:c r="G390" s="7"/>
      <x:c r="H390" s="7"/>
      <x:c r="I390" s="7"/>
      <x:c r="J390" s="7"/>
      <x:c r="K390" s="8"/>
      <x:c r="L390" s="7"/>
      <x:c r="M390" s="7"/>
      <x:c r="N390" s="2" t="str">
        <x:f>IF(AND(A390&lt;&gt;"",ISNUMBER(D390)),B390&amp;"|"&amp;C390&amp;"|"&amp;TEXT(D390,"yyyymmdd")&amp;"|"&amp;E390&amp;"|"&amp;F390,"")</x:f>
      </x:c>
      <x:c r="O390" s="2" t="str">
        <x:f>IF(A390="","",IFERROR(IF(NOT(AND(B390&lt;&gt;"",C390&lt;&gt;"",ISNUMBER(D390),D390&gt;0,E390&lt;&gt;"",F390&lt;&gt;"",E390&lt;&gt;F390,ISNUMBER(G390),ISNUMBER(H390),G390&gt;=0,H390&gt;=0,G390&lt;=100,H390&lt;=100,MOD(G390,1)=0,MOD(H390,1)=0,L390="FT90",S390&gt;0,INDEX(SourceTable[League],MAX(1,S390))=B390,INDEX(SourceTable[Season],MAX(1,S390))=C390,ISNUMBER(K390),K390=INDEX(SourceTable[Retrieved_UTC],MAX(1,S390)),J390&lt;&gt;"",M390&lt;&gt;"")),"INVALID",IF(OR(COUNTIFS('Istoric_Nativ'!$N$6:$N$405,N390,'Istoric_Nativ'!$G$6:$G$405,G390)&lt;&gt;COUNTIF('Istoric_Nativ'!$N$6:$N$405,N390),COUNTIFS('Istoric_Nativ'!$N$6:$N$405,N390,'Istoric_Nativ'!$H$6:$H$405,H390)&lt;&gt;COUNTIF('Istoric_Nativ'!$N$6:$N$405,N390)),"SOURCE CONFLICT",IF(COUNTIF($N$6:N390,N390)&gt;1,"DUPLICATE","VALID"))),"INVALID"))</x:f>
      </x:c>
      <x:c r="P390" s="2" t="n">
        <x:f>IF(O390="VALID",1,0)</x:f>
        <x:v>0</x:v>
      </x:c>
      <x:c r="Q390" s="2" t="n">
        <x:f>IF(P390=1,G390+H390,0)</x:f>
        <x:v>0</x:v>
      </x:c>
      <x:c r="R390" s="2" t="n">
        <x:f>Q390^2</x:f>
        <x:v>0</x:v>
      </x:c>
      <x:c r="S390" s="2" t="str">
        <x:f>IF(A390="","",IFERROR(MATCH(I390,SourceTable[Source_ID],0),0))</x:f>
      </x:c>
    </x:row>
    <x:row r="391" ht="21" customHeight="1">
      <x:c r="A391" s="7"/>
      <x:c r="B391" s="7"/>
      <x:c r="C391" s="7"/>
      <x:c r="D391" s="8"/>
      <x:c r="E391" s="7"/>
      <x:c r="F391" s="7"/>
      <x:c r="G391" s="7"/>
      <x:c r="H391" s="7"/>
      <x:c r="I391" s="7"/>
      <x:c r="J391" s="7"/>
      <x:c r="K391" s="8"/>
      <x:c r="L391" s="7"/>
      <x:c r="M391" s="7"/>
      <x:c r="N391" s="2" t="str">
        <x:f>IF(AND(A391&lt;&gt;"",ISNUMBER(D391)),B391&amp;"|"&amp;C391&amp;"|"&amp;TEXT(D391,"yyyymmdd")&amp;"|"&amp;E391&amp;"|"&amp;F391,"")</x:f>
      </x:c>
      <x:c r="O391" s="2" t="str">
        <x:f>IF(A391="","",IFERROR(IF(NOT(AND(B391&lt;&gt;"",C391&lt;&gt;"",ISNUMBER(D391),D391&gt;0,E391&lt;&gt;"",F391&lt;&gt;"",E391&lt;&gt;F391,ISNUMBER(G391),ISNUMBER(H391),G391&gt;=0,H391&gt;=0,G391&lt;=100,H391&lt;=100,MOD(G391,1)=0,MOD(H391,1)=0,L391="FT90",S391&gt;0,INDEX(SourceTable[League],MAX(1,S391))=B391,INDEX(SourceTable[Season],MAX(1,S391))=C391,ISNUMBER(K391),K391=INDEX(SourceTable[Retrieved_UTC],MAX(1,S391)),J391&lt;&gt;"",M391&lt;&gt;"")),"INVALID",IF(OR(COUNTIFS('Istoric_Nativ'!$N$6:$N$405,N391,'Istoric_Nativ'!$G$6:$G$405,G391)&lt;&gt;COUNTIF('Istoric_Nativ'!$N$6:$N$405,N391),COUNTIFS('Istoric_Nativ'!$N$6:$N$405,N391,'Istoric_Nativ'!$H$6:$H$405,H391)&lt;&gt;COUNTIF('Istoric_Nativ'!$N$6:$N$405,N391)),"SOURCE CONFLICT",IF(COUNTIF($N$6:N391,N391)&gt;1,"DUPLICATE","VALID"))),"INVALID"))</x:f>
      </x:c>
      <x:c r="P391" s="2" t="n">
        <x:f>IF(O391="VALID",1,0)</x:f>
        <x:v>0</x:v>
      </x:c>
      <x:c r="Q391" s="2" t="n">
        <x:f>IF(P391=1,G391+H391,0)</x:f>
        <x:v>0</x:v>
      </x:c>
      <x:c r="R391" s="2" t="n">
        <x:f>Q391^2</x:f>
        <x:v>0</x:v>
      </x:c>
      <x:c r="S391" s="2" t="str">
        <x:f>IF(A391="","",IFERROR(MATCH(I391,SourceTable[Source_ID],0),0))</x:f>
      </x:c>
    </x:row>
    <x:row r="392" ht="21" customHeight="1">
      <x:c r="A392" s="7"/>
      <x:c r="B392" s="7"/>
      <x:c r="C392" s="7"/>
      <x:c r="D392" s="8"/>
      <x:c r="E392" s="7"/>
      <x:c r="F392" s="7"/>
      <x:c r="G392" s="7"/>
      <x:c r="H392" s="7"/>
      <x:c r="I392" s="7"/>
      <x:c r="J392" s="7"/>
      <x:c r="K392" s="8"/>
      <x:c r="L392" s="7"/>
      <x:c r="M392" s="7"/>
      <x:c r="N392" s="2" t="str">
        <x:f>IF(AND(A392&lt;&gt;"",ISNUMBER(D392)),B392&amp;"|"&amp;C392&amp;"|"&amp;TEXT(D392,"yyyymmdd")&amp;"|"&amp;E392&amp;"|"&amp;F392,"")</x:f>
      </x:c>
      <x:c r="O392" s="2" t="str">
        <x:f>IF(A392="","",IFERROR(IF(NOT(AND(B392&lt;&gt;"",C392&lt;&gt;"",ISNUMBER(D392),D392&gt;0,E392&lt;&gt;"",F392&lt;&gt;"",E392&lt;&gt;F392,ISNUMBER(G392),ISNUMBER(H392),G392&gt;=0,H392&gt;=0,G392&lt;=100,H392&lt;=100,MOD(G392,1)=0,MOD(H392,1)=0,L392="FT90",S392&gt;0,INDEX(SourceTable[League],MAX(1,S392))=B392,INDEX(SourceTable[Season],MAX(1,S392))=C392,ISNUMBER(K392),K392=INDEX(SourceTable[Retrieved_UTC],MAX(1,S392)),J392&lt;&gt;"",M392&lt;&gt;"")),"INVALID",IF(OR(COUNTIFS('Istoric_Nativ'!$N$6:$N$405,N392,'Istoric_Nativ'!$G$6:$G$405,G392)&lt;&gt;COUNTIF('Istoric_Nativ'!$N$6:$N$405,N392),COUNTIFS('Istoric_Nativ'!$N$6:$N$405,N392,'Istoric_Nativ'!$H$6:$H$405,H392)&lt;&gt;COUNTIF('Istoric_Nativ'!$N$6:$N$405,N392)),"SOURCE CONFLICT",IF(COUNTIF($N$6:N392,N392)&gt;1,"DUPLICATE","VALID"))),"INVALID"))</x:f>
      </x:c>
      <x:c r="P392" s="2" t="n">
        <x:f>IF(O392="VALID",1,0)</x:f>
        <x:v>0</x:v>
      </x:c>
      <x:c r="Q392" s="2" t="n">
        <x:f>IF(P392=1,G392+H392,0)</x:f>
        <x:v>0</x:v>
      </x:c>
      <x:c r="R392" s="2" t="n">
        <x:f>Q392^2</x:f>
        <x:v>0</x:v>
      </x:c>
      <x:c r="S392" s="2" t="str">
        <x:f>IF(A392="","",IFERROR(MATCH(I392,SourceTable[Source_ID],0),0))</x:f>
      </x:c>
    </x:row>
    <x:row r="393" ht="21" customHeight="1">
      <x:c r="A393" s="7"/>
      <x:c r="B393" s="7"/>
      <x:c r="C393" s="7"/>
      <x:c r="D393" s="8"/>
      <x:c r="E393" s="7"/>
      <x:c r="F393" s="7"/>
      <x:c r="G393" s="7"/>
      <x:c r="H393" s="7"/>
      <x:c r="I393" s="7"/>
      <x:c r="J393" s="7"/>
      <x:c r="K393" s="8"/>
      <x:c r="L393" s="7"/>
      <x:c r="M393" s="7"/>
      <x:c r="N393" s="2" t="str">
        <x:f>IF(AND(A393&lt;&gt;"",ISNUMBER(D393)),B393&amp;"|"&amp;C393&amp;"|"&amp;TEXT(D393,"yyyymmdd")&amp;"|"&amp;E393&amp;"|"&amp;F393,"")</x:f>
      </x:c>
      <x:c r="O393" s="2" t="str">
        <x:f>IF(A393="","",IFERROR(IF(NOT(AND(B393&lt;&gt;"",C393&lt;&gt;"",ISNUMBER(D393),D393&gt;0,E393&lt;&gt;"",F393&lt;&gt;"",E393&lt;&gt;F393,ISNUMBER(G393),ISNUMBER(H393),G393&gt;=0,H393&gt;=0,G393&lt;=100,H393&lt;=100,MOD(G393,1)=0,MOD(H393,1)=0,L393="FT90",S393&gt;0,INDEX(SourceTable[League],MAX(1,S393))=B393,INDEX(SourceTable[Season],MAX(1,S393))=C393,ISNUMBER(K393),K393=INDEX(SourceTable[Retrieved_UTC],MAX(1,S393)),J393&lt;&gt;"",M393&lt;&gt;"")),"INVALID",IF(OR(COUNTIFS('Istoric_Nativ'!$N$6:$N$405,N393,'Istoric_Nativ'!$G$6:$G$405,G393)&lt;&gt;COUNTIF('Istoric_Nativ'!$N$6:$N$405,N393),COUNTIFS('Istoric_Nativ'!$N$6:$N$405,N393,'Istoric_Nativ'!$H$6:$H$405,H393)&lt;&gt;COUNTIF('Istoric_Nativ'!$N$6:$N$405,N393)),"SOURCE CONFLICT",IF(COUNTIF($N$6:N393,N393)&gt;1,"DUPLICATE","VALID"))),"INVALID"))</x:f>
      </x:c>
      <x:c r="P393" s="2" t="n">
        <x:f>IF(O393="VALID",1,0)</x:f>
        <x:v>0</x:v>
      </x:c>
      <x:c r="Q393" s="2" t="n">
        <x:f>IF(P393=1,G393+H393,0)</x:f>
        <x:v>0</x:v>
      </x:c>
      <x:c r="R393" s="2" t="n">
        <x:f>Q393^2</x:f>
        <x:v>0</x:v>
      </x:c>
      <x:c r="S393" s="2" t="str">
        <x:f>IF(A393="","",IFERROR(MATCH(I393,SourceTable[Source_ID],0),0))</x:f>
      </x:c>
    </x:row>
    <x:row r="394" ht="21" customHeight="1">
      <x:c r="A394" s="7"/>
      <x:c r="B394" s="7"/>
      <x:c r="C394" s="7"/>
      <x:c r="D394" s="8"/>
      <x:c r="E394" s="7"/>
      <x:c r="F394" s="7"/>
      <x:c r="G394" s="7"/>
      <x:c r="H394" s="7"/>
      <x:c r="I394" s="7"/>
      <x:c r="J394" s="7"/>
      <x:c r="K394" s="8"/>
      <x:c r="L394" s="7"/>
      <x:c r="M394" s="7"/>
      <x:c r="N394" s="2" t="str">
        <x:f>IF(AND(A394&lt;&gt;"",ISNUMBER(D394)),B394&amp;"|"&amp;C394&amp;"|"&amp;TEXT(D394,"yyyymmdd")&amp;"|"&amp;E394&amp;"|"&amp;F394,"")</x:f>
      </x:c>
      <x:c r="O394" s="2" t="str">
        <x:f>IF(A394="","",IFERROR(IF(NOT(AND(B394&lt;&gt;"",C394&lt;&gt;"",ISNUMBER(D394),D394&gt;0,E394&lt;&gt;"",F394&lt;&gt;"",E394&lt;&gt;F394,ISNUMBER(G394),ISNUMBER(H394),G394&gt;=0,H394&gt;=0,G394&lt;=100,H394&lt;=100,MOD(G394,1)=0,MOD(H394,1)=0,L394="FT90",S394&gt;0,INDEX(SourceTable[League],MAX(1,S394))=B394,INDEX(SourceTable[Season],MAX(1,S394))=C394,ISNUMBER(K394),K394=INDEX(SourceTable[Retrieved_UTC],MAX(1,S394)),J394&lt;&gt;"",M394&lt;&gt;"")),"INVALID",IF(OR(COUNTIFS('Istoric_Nativ'!$N$6:$N$405,N394,'Istoric_Nativ'!$G$6:$G$405,G394)&lt;&gt;COUNTIF('Istoric_Nativ'!$N$6:$N$405,N394),COUNTIFS('Istoric_Nativ'!$N$6:$N$405,N394,'Istoric_Nativ'!$H$6:$H$405,H394)&lt;&gt;COUNTIF('Istoric_Nativ'!$N$6:$N$405,N394)),"SOURCE CONFLICT",IF(COUNTIF($N$6:N394,N394)&gt;1,"DUPLICATE","VALID"))),"INVALID"))</x:f>
      </x:c>
      <x:c r="P394" s="2" t="n">
        <x:f>IF(O394="VALID",1,0)</x:f>
        <x:v>0</x:v>
      </x:c>
      <x:c r="Q394" s="2" t="n">
        <x:f>IF(P394=1,G394+H394,0)</x:f>
        <x:v>0</x:v>
      </x:c>
      <x:c r="R394" s="2" t="n">
        <x:f>Q394^2</x:f>
        <x:v>0</x:v>
      </x:c>
      <x:c r="S394" s="2" t="str">
        <x:f>IF(A394="","",IFERROR(MATCH(I394,SourceTable[Source_ID],0),0))</x:f>
      </x:c>
    </x:row>
    <x:row r="395" ht="21" customHeight="1">
      <x:c r="A395" s="7"/>
      <x:c r="B395" s="7"/>
      <x:c r="C395" s="7"/>
      <x:c r="D395" s="8"/>
      <x:c r="E395" s="7"/>
      <x:c r="F395" s="7"/>
      <x:c r="G395" s="7"/>
      <x:c r="H395" s="7"/>
      <x:c r="I395" s="7"/>
      <x:c r="J395" s="7"/>
      <x:c r="K395" s="8"/>
      <x:c r="L395" s="7"/>
      <x:c r="M395" s="7"/>
      <x:c r="N395" s="2" t="str">
        <x:f>IF(AND(A395&lt;&gt;"",ISNUMBER(D395)),B395&amp;"|"&amp;C395&amp;"|"&amp;TEXT(D395,"yyyymmdd")&amp;"|"&amp;E395&amp;"|"&amp;F395,"")</x:f>
      </x:c>
      <x:c r="O395" s="2" t="str">
        <x:f>IF(A395="","",IFERROR(IF(NOT(AND(B395&lt;&gt;"",C395&lt;&gt;"",ISNUMBER(D395),D395&gt;0,E395&lt;&gt;"",F395&lt;&gt;"",E395&lt;&gt;F395,ISNUMBER(G395),ISNUMBER(H395),G395&gt;=0,H395&gt;=0,G395&lt;=100,H395&lt;=100,MOD(G395,1)=0,MOD(H395,1)=0,L395="FT90",S395&gt;0,INDEX(SourceTable[League],MAX(1,S395))=B395,INDEX(SourceTable[Season],MAX(1,S395))=C395,ISNUMBER(K395),K395=INDEX(SourceTable[Retrieved_UTC],MAX(1,S395)),J395&lt;&gt;"",M395&lt;&gt;"")),"INVALID",IF(OR(COUNTIFS('Istoric_Nativ'!$N$6:$N$405,N395,'Istoric_Nativ'!$G$6:$G$405,G395)&lt;&gt;COUNTIF('Istoric_Nativ'!$N$6:$N$405,N395),COUNTIFS('Istoric_Nativ'!$N$6:$N$405,N395,'Istoric_Nativ'!$H$6:$H$405,H395)&lt;&gt;COUNTIF('Istoric_Nativ'!$N$6:$N$405,N395)),"SOURCE CONFLICT",IF(COUNTIF($N$6:N395,N395)&gt;1,"DUPLICATE","VALID"))),"INVALID"))</x:f>
      </x:c>
      <x:c r="P395" s="2" t="n">
        <x:f>IF(O395="VALID",1,0)</x:f>
        <x:v>0</x:v>
      </x:c>
      <x:c r="Q395" s="2" t="n">
        <x:f>IF(P395=1,G395+H395,0)</x:f>
        <x:v>0</x:v>
      </x:c>
      <x:c r="R395" s="2" t="n">
        <x:f>Q395^2</x:f>
        <x:v>0</x:v>
      </x:c>
      <x:c r="S395" s="2" t="str">
        <x:f>IF(A395="","",IFERROR(MATCH(I395,SourceTable[Source_ID],0),0))</x:f>
      </x:c>
    </x:row>
    <x:row r="396" ht="21" customHeight="1">
      <x:c r="A396" s="7"/>
      <x:c r="B396" s="7"/>
      <x:c r="C396" s="7"/>
      <x:c r="D396" s="8"/>
      <x:c r="E396" s="7"/>
      <x:c r="F396" s="7"/>
      <x:c r="G396" s="7"/>
      <x:c r="H396" s="7"/>
      <x:c r="I396" s="7"/>
      <x:c r="J396" s="7"/>
      <x:c r="K396" s="8"/>
      <x:c r="L396" s="7"/>
      <x:c r="M396" s="7"/>
      <x:c r="N396" s="2" t="str">
        <x:f>IF(AND(A396&lt;&gt;"",ISNUMBER(D396)),B396&amp;"|"&amp;C396&amp;"|"&amp;TEXT(D396,"yyyymmdd")&amp;"|"&amp;E396&amp;"|"&amp;F396,"")</x:f>
      </x:c>
      <x:c r="O396" s="2" t="str">
        <x:f>IF(A396="","",IFERROR(IF(NOT(AND(B396&lt;&gt;"",C396&lt;&gt;"",ISNUMBER(D396),D396&gt;0,E396&lt;&gt;"",F396&lt;&gt;"",E396&lt;&gt;F396,ISNUMBER(G396),ISNUMBER(H396),G396&gt;=0,H396&gt;=0,G396&lt;=100,H396&lt;=100,MOD(G396,1)=0,MOD(H396,1)=0,L396="FT90",S396&gt;0,INDEX(SourceTable[League],MAX(1,S396))=B396,INDEX(SourceTable[Season],MAX(1,S396))=C396,ISNUMBER(K396),K396=INDEX(SourceTable[Retrieved_UTC],MAX(1,S396)),J396&lt;&gt;"",M396&lt;&gt;"")),"INVALID",IF(OR(COUNTIFS('Istoric_Nativ'!$N$6:$N$405,N396,'Istoric_Nativ'!$G$6:$G$405,G396)&lt;&gt;COUNTIF('Istoric_Nativ'!$N$6:$N$405,N396),COUNTIFS('Istoric_Nativ'!$N$6:$N$405,N396,'Istoric_Nativ'!$H$6:$H$405,H396)&lt;&gt;COUNTIF('Istoric_Nativ'!$N$6:$N$405,N396)),"SOURCE CONFLICT",IF(COUNTIF($N$6:N396,N396)&gt;1,"DUPLICATE","VALID"))),"INVALID"))</x:f>
      </x:c>
      <x:c r="P396" s="2" t="n">
        <x:f>IF(O396="VALID",1,0)</x:f>
        <x:v>0</x:v>
      </x:c>
      <x:c r="Q396" s="2" t="n">
        <x:f>IF(P396=1,G396+H396,0)</x:f>
        <x:v>0</x:v>
      </x:c>
      <x:c r="R396" s="2" t="n">
        <x:f>Q396^2</x:f>
        <x:v>0</x:v>
      </x:c>
      <x:c r="S396" s="2" t="str">
        <x:f>IF(A396="","",IFERROR(MATCH(I396,SourceTable[Source_ID],0),0))</x:f>
      </x:c>
    </x:row>
    <x:row r="397" ht="21" customHeight="1">
      <x:c r="A397" s="7"/>
      <x:c r="B397" s="7"/>
      <x:c r="C397" s="7"/>
      <x:c r="D397" s="8"/>
      <x:c r="E397" s="7"/>
      <x:c r="F397" s="7"/>
      <x:c r="G397" s="7"/>
      <x:c r="H397" s="7"/>
      <x:c r="I397" s="7"/>
      <x:c r="J397" s="7"/>
      <x:c r="K397" s="8"/>
      <x:c r="L397" s="7"/>
      <x:c r="M397" s="7"/>
      <x:c r="N397" s="2" t="str">
        <x:f>IF(AND(A397&lt;&gt;"",ISNUMBER(D397)),B397&amp;"|"&amp;C397&amp;"|"&amp;TEXT(D397,"yyyymmdd")&amp;"|"&amp;E397&amp;"|"&amp;F397,"")</x:f>
      </x:c>
      <x:c r="O397" s="2" t="str">
        <x:f>IF(A397="","",IFERROR(IF(NOT(AND(B397&lt;&gt;"",C397&lt;&gt;"",ISNUMBER(D397),D397&gt;0,E397&lt;&gt;"",F397&lt;&gt;"",E397&lt;&gt;F397,ISNUMBER(G397),ISNUMBER(H397),G397&gt;=0,H397&gt;=0,G397&lt;=100,H397&lt;=100,MOD(G397,1)=0,MOD(H397,1)=0,L397="FT90",S397&gt;0,INDEX(SourceTable[League],MAX(1,S397))=B397,INDEX(SourceTable[Season],MAX(1,S397))=C397,ISNUMBER(K397),K397=INDEX(SourceTable[Retrieved_UTC],MAX(1,S397)),J397&lt;&gt;"",M397&lt;&gt;"")),"INVALID",IF(OR(COUNTIFS('Istoric_Nativ'!$N$6:$N$405,N397,'Istoric_Nativ'!$G$6:$G$405,G397)&lt;&gt;COUNTIF('Istoric_Nativ'!$N$6:$N$405,N397),COUNTIFS('Istoric_Nativ'!$N$6:$N$405,N397,'Istoric_Nativ'!$H$6:$H$405,H397)&lt;&gt;COUNTIF('Istoric_Nativ'!$N$6:$N$405,N397)),"SOURCE CONFLICT",IF(COUNTIF($N$6:N397,N397)&gt;1,"DUPLICATE","VALID"))),"INVALID"))</x:f>
      </x:c>
      <x:c r="P397" s="2" t="n">
        <x:f>IF(O397="VALID",1,0)</x:f>
        <x:v>0</x:v>
      </x:c>
      <x:c r="Q397" s="2" t="n">
        <x:f>IF(P397=1,G397+H397,0)</x:f>
        <x:v>0</x:v>
      </x:c>
      <x:c r="R397" s="2" t="n">
        <x:f>Q397^2</x:f>
        <x:v>0</x:v>
      </x:c>
      <x:c r="S397" s="2" t="str">
        <x:f>IF(A397="","",IFERROR(MATCH(I397,SourceTable[Source_ID],0),0))</x:f>
      </x:c>
    </x:row>
    <x:row r="398" ht="21" customHeight="1">
      <x:c r="A398" s="7"/>
      <x:c r="B398" s="7"/>
      <x:c r="C398" s="7"/>
      <x:c r="D398" s="8"/>
      <x:c r="E398" s="7"/>
      <x:c r="F398" s="7"/>
      <x:c r="G398" s="7"/>
      <x:c r="H398" s="7"/>
      <x:c r="I398" s="7"/>
      <x:c r="J398" s="7"/>
      <x:c r="K398" s="8"/>
      <x:c r="L398" s="7"/>
      <x:c r="M398" s="7"/>
      <x:c r="N398" s="2" t="str">
        <x:f>IF(AND(A398&lt;&gt;"",ISNUMBER(D398)),B398&amp;"|"&amp;C398&amp;"|"&amp;TEXT(D398,"yyyymmdd")&amp;"|"&amp;E398&amp;"|"&amp;F398,"")</x:f>
      </x:c>
      <x:c r="O398" s="2" t="str">
        <x:f>IF(A398="","",IFERROR(IF(NOT(AND(B398&lt;&gt;"",C398&lt;&gt;"",ISNUMBER(D398),D398&gt;0,E398&lt;&gt;"",F398&lt;&gt;"",E398&lt;&gt;F398,ISNUMBER(G398),ISNUMBER(H398),G398&gt;=0,H398&gt;=0,G398&lt;=100,H398&lt;=100,MOD(G398,1)=0,MOD(H398,1)=0,L398="FT90",S398&gt;0,INDEX(SourceTable[League],MAX(1,S398))=B398,INDEX(SourceTable[Season],MAX(1,S398))=C398,ISNUMBER(K398),K398=INDEX(SourceTable[Retrieved_UTC],MAX(1,S398)),J398&lt;&gt;"",M398&lt;&gt;"")),"INVALID",IF(OR(COUNTIFS('Istoric_Nativ'!$N$6:$N$405,N398,'Istoric_Nativ'!$G$6:$G$405,G398)&lt;&gt;COUNTIF('Istoric_Nativ'!$N$6:$N$405,N398),COUNTIFS('Istoric_Nativ'!$N$6:$N$405,N398,'Istoric_Nativ'!$H$6:$H$405,H398)&lt;&gt;COUNTIF('Istoric_Nativ'!$N$6:$N$405,N398)),"SOURCE CONFLICT",IF(COUNTIF($N$6:N398,N398)&gt;1,"DUPLICATE","VALID"))),"INVALID"))</x:f>
      </x:c>
      <x:c r="P398" s="2" t="n">
        <x:f>IF(O398="VALID",1,0)</x:f>
        <x:v>0</x:v>
      </x:c>
      <x:c r="Q398" s="2" t="n">
        <x:f>IF(P398=1,G398+H398,0)</x:f>
        <x:v>0</x:v>
      </x:c>
      <x:c r="R398" s="2" t="n">
        <x:f>Q398^2</x:f>
        <x:v>0</x:v>
      </x:c>
      <x:c r="S398" s="2" t="str">
        <x:f>IF(A398="","",IFERROR(MATCH(I398,SourceTable[Source_ID],0),0))</x:f>
      </x:c>
    </x:row>
    <x:row r="399" ht="21" customHeight="1">
      <x:c r="A399" s="7"/>
      <x:c r="B399" s="7"/>
      <x:c r="C399" s="7"/>
      <x:c r="D399" s="8"/>
      <x:c r="E399" s="7"/>
      <x:c r="F399" s="7"/>
      <x:c r="G399" s="7"/>
      <x:c r="H399" s="7"/>
      <x:c r="I399" s="7"/>
      <x:c r="J399" s="7"/>
      <x:c r="K399" s="8"/>
      <x:c r="L399" s="7"/>
      <x:c r="M399" s="7"/>
      <x:c r="N399" s="2" t="str">
        <x:f>IF(AND(A399&lt;&gt;"",ISNUMBER(D399)),B399&amp;"|"&amp;C399&amp;"|"&amp;TEXT(D399,"yyyymmdd")&amp;"|"&amp;E399&amp;"|"&amp;F399,"")</x:f>
      </x:c>
      <x:c r="O399" s="2" t="str">
        <x:f>IF(A399="","",IFERROR(IF(NOT(AND(B399&lt;&gt;"",C399&lt;&gt;"",ISNUMBER(D399),D399&gt;0,E399&lt;&gt;"",F399&lt;&gt;"",E399&lt;&gt;F399,ISNUMBER(G399),ISNUMBER(H399),G399&gt;=0,H399&gt;=0,G399&lt;=100,H399&lt;=100,MOD(G399,1)=0,MOD(H399,1)=0,L399="FT90",S399&gt;0,INDEX(SourceTable[League],MAX(1,S399))=B399,INDEX(SourceTable[Season],MAX(1,S399))=C399,ISNUMBER(K399),K399=INDEX(SourceTable[Retrieved_UTC],MAX(1,S399)),J399&lt;&gt;"",M399&lt;&gt;"")),"INVALID",IF(OR(COUNTIFS('Istoric_Nativ'!$N$6:$N$405,N399,'Istoric_Nativ'!$G$6:$G$405,G399)&lt;&gt;COUNTIF('Istoric_Nativ'!$N$6:$N$405,N399),COUNTIFS('Istoric_Nativ'!$N$6:$N$405,N399,'Istoric_Nativ'!$H$6:$H$405,H399)&lt;&gt;COUNTIF('Istoric_Nativ'!$N$6:$N$405,N399)),"SOURCE CONFLICT",IF(COUNTIF($N$6:N399,N399)&gt;1,"DUPLICATE","VALID"))),"INVALID"))</x:f>
      </x:c>
      <x:c r="P399" s="2" t="n">
        <x:f>IF(O399="VALID",1,0)</x:f>
        <x:v>0</x:v>
      </x:c>
      <x:c r="Q399" s="2" t="n">
        <x:f>IF(P399=1,G399+H399,0)</x:f>
        <x:v>0</x:v>
      </x:c>
      <x:c r="R399" s="2" t="n">
        <x:f>Q399^2</x:f>
        <x:v>0</x:v>
      </x:c>
      <x:c r="S399" s="2" t="str">
        <x:f>IF(A399="","",IFERROR(MATCH(I399,SourceTable[Source_ID],0),0))</x:f>
      </x:c>
    </x:row>
    <x:row r="400" ht="21" customHeight="1">
      <x:c r="A400" s="7"/>
      <x:c r="B400" s="7"/>
      <x:c r="C400" s="7"/>
      <x:c r="D400" s="8"/>
      <x:c r="E400" s="7"/>
      <x:c r="F400" s="7"/>
      <x:c r="G400" s="7"/>
      <x:c r="H400" s="7"/>
      <x:c r="I400" s="7"/>
      <x:c r="J400" s="7"/>
      <x:c r="K400" s="8"/>
      <x:c r="L400" s="7"/>
      <x:c r="M400" s="7"/>
      <x:c r="N400" s="2" t="str">
        <x:f>IF(AND(A400&lt;&gt;"",ISNUMBER(D400)),B400&amp;"|"&amp;C400&amp;"|"&amp;TEXT(D400,"yyyymmdd")&amp;"|"&amp;E400&amp;"|"&amp;F400,"")</x:f>
      </x:c>
      <x:c r="O400" s="2" t="str">
        <x:f>IF(A400="","",IFERROR(IF(NOT(AND(B400&lt;&gt;"",C400&lt;&gt;"",ISNUMBER(D400),D400&gt;0,E400&lt;&gt;"",F400&lt;&gt;"",E400&lt;&gt;F400,ISNUMBER(G400),ISNUMBER(H400),G400&gt;=0,H400&gt;=0,G400&lt;=100,H400&lt;=100,MOD(G400,1)=0,MOD(H400,1)=0,L400="FT90",S400&gt;0,INDEX(SourceTable[League],MAX(1,S400))=B400,INDEX(SourceTable[Season],MAX(1,S400))=C400,ISNUMBER(K400),K400=INDEX(SourceTable[Retrieved_UTC],MAX(1,S400)),J400&lt;&gt;"",M400&lt;&gt;"")),"INVALID",IF(OR(COUNTIFS('Istoric_Nativ'!$N$6:$N$405,N400,'Istoric_Nativ'!$G$6:$G$405,G400)&lt;&gt;COUNTIF('Istoric_Nativ'!$N$6:$N$405,N400),COUNTIFS('Istoric_Nativ'!$N$6:$N$405,N400,'Istoric_Nativ'!$H$6:$H$405,H400)&lt;&gt;COUNTIF('Istoric_Nativ'!$N$6:$N$405,N400)),"SOURCE CONFLICT",IF(COUNTIF($N$6:N400,N400)&gt;1,"DUPLICATE","VALID"))),"INVALID"))</x:f>
      </x:c>
      <x:c r="P400" s="2" t="n">
        <x:f>IF(O400="VALID",1,0)</x:f>
        <x:v>0</x:v>
      </x:c>
      <x:c r="Q400" s="2" t="n">
        <x:f>IF(P400=1,G400+H400,0)</x:f>
        <x:v>0</x:v>
      </x:c>
      <x:c r="R400" s="2" t="n">
        <x:f>Q400^2</x:f>
        <x:v>0</x:v>
      </x:c>
      <x:c r="S400" s="2" t="str">
        <x:f>IF(A400="","",IFERROR(MATCH(I400,SourceTable[Source_ID],0),0))</x:f>
      </x:c>
    </x:row>
    <x:row r="401" ht="21" customHeight="1">
      <x:c r="A401" s="7"/>
      <x:c r="B401" s="7"/>
      <x:c r="C401" s="7"/>
      <x:c r="D401" s="8"/>
      <x:c r="E401" s="7"/>
      <x:c r="F401" s="7"/>
      <x:c r="G401" s="7"/>
      <x:c r="H401" s="7"/>
      <x:c r="I401" s="7"/>
      <x:c r="J401" s="7"/>
      <x:c r="K401" s="8"/>
      <x:c r="L401" s="7"/>
      <x:c r="M401" s="7"/>
      <x:c r="N401" s="2" t="str">
        <x:f>IF(AND(A401&lt;&gt;"",ISNUMBER(D401)),B401&amp;"|"&amp;C401&amp;"|"&amp;TEXT(D401,"yyyymmdd")&amp;"|"&amp;E401&amp;"|"&amp;F401,"")</x:f>
      </x:c>
      <x:c r="O401" s="2" t="str">
        <x:f>IF(A401="","",IFERROR(IF(NOT(AND(B401&lt;&gt;"",C401&lt;&gt;"",ISNUMBER(D401),D401&gt;0,E401&lt;&gt;"",F401&lt;&gt;"",E401&lt;&gt;F401,ISNUMBER(G401),ISNUMBER(H401),G401&gt;=0,H401&gt;=0,G401&lt;=100,H401&lt;=100,MOD(G401,1)=0,MOD(H401,1)=0,L401="FT90",S401&gt;0,INDEX(SourceTable[League],MAX(1,S401))=B401,INDEX(SourceTable[Season],MAX(1,S401))=C401,ISNUMBER(K401),K401=INDEX(SourceTable[Retrieved_UTC],MAX(1,S401)),J401&lt;&gt;"",M401&lt;&gt;"")),"INVALID",IF(OR(COUNTIFS('Istoric_Nativ'!$N$6:$N$405,N401,'Istoric_Nativ'!$G$6:$G$405,G401)&lt;&gt;COUNTIF('Istoric_Nativ'!$N$6:$N$405,N401),COUNTIFS('Istoric_Nativ'!$N$6:$N$405,N401,'Istoric_Nativ'!$H$6:$H$405,H401)&lt;&gt;COUNTIF('Istoric_Nativ'!$N$6:$N$405,N401)),"SOURCE CONFLICT",IF(COUNTIF($N$6:N401,N401)&gt;1,"DUPLICATE","VALID"))),"INVALID"))</x:f>
      </x:c>
      <x:c r="P401" s="2" t="n">
        <x:f>IF(O401="VALID",1,0)</x:f>
        <x:v>0</x:v>
      </x:c>
      <x:c r="Q401" s="2" t="n">
        <x:f>IF(P401=1,G401+H401,0)</x:f>
        <x:v>0</x:v>
      </x:c>
      <x:c r="R401" s="2" t="n">
        <x:f>Q401^2</x:f>
        <x:v>0</x:v>
      </x:c>
      <x:c r="S401" s="2" t="str">
        <x:f>IF(A401="","",IFERROR(MATCH(I401,SourceTable[Source_ID],0),0))</x:f>
      </x:c>
    </x:row>
    <x:row r="402" ht="21" customHeight="1">
      <x:c r="A402" s="7"/>
      <x:c r="B402" s="7"/>
      <x:c r="C402" s="7"/>
      <x:c r="D402" s="8"/>
      <x:c r="E402" s="7"/>
      <x:c r="F402" s="7"/>
      <x:c r="G402" s="7"/>
      <x:c r="H402" s="7"/>
      <x:c r="I402" s="7"/>
      <x:c r="J402" s="7"/>
      <x:c r="K402" s="8"/>
      <x:c r="L402" s="7"/>
      <x:c r="M402" s="7"/>
      <x:c r="N402" s="2" t="str">
        <x:f>IF(AND(A402&lt;&gt;"",ISNUMBER(D402)),B402&amp;"|"&amp;C402&amp;"|"&amp;TEXT(D402,"yyyymmdd")&amp;"|"&amp;E402&amp;"|"&amp;F402,"")</x:f>
      </x:c>
      <x:c r="O402" s="2" t="str">
        <x:f>IF(A402="","",IFERROR(IF(NOT(AND(B402&lt;&gt;"",C402&lt;&gt;"",ISNUMBER(D402),D402&gt;0,E402&lt;&gt;"",F402&lt;&gt;"",E402&lt;&gt;F402,ISNUMBER(G402),ISNUMBER(H402),G402&gt;=0,H402&gt;=0,G402&lt;=100,H402&lt;=100,MOD(G402,1)=0,MOD(H402,1)=0,L402="FT90",S402&gt;0,INDEX(SourceTable[League],MAX(1,S402))=B402,INDEX(SourceTable[Season],MAX(1,S402))=C402,ISNUMBER(K402),K402=INDEX(SourceTable[Retrieved_UTC],MAX(1,S402)),J402&lt;&gt;"",M402&lt;&gt;"")),"INVALID",IF(OR(COUNTIFS('Istoric_Nativ'!$N$6:$N$405,N402,'Istoric_Nativ'!$G$6:$G$405,G402)&lt;&gt;COUNTIF('Istoric_Nativ'!$N$6:$N$405,N402),COUNTIFS('Istoric_Nativ'!$N$6:$N$405,N402,'Istoric_Nativ'!$H$6:$H$405,H402)&lt;&gt;COUNTIF('Istoric_Nativ'!$N$6:$N$405,N402)),"SOURCE CONFLICT",IF(COUNTIF($N$6:N402,N402)&gt;1,"DUPLICATE","VALID"))),"INVALID"))</x:f>
      </x:c>
      <x:c r="P402" s="2" t="n">
        <x:f>IF(O402="VALID",1,0)</x:f>
        <x:v>0</x:v>
      </x:c>
      <x:c r="Q402" s="2" t="n">
        <x:f>IF(P402=1,G402+H402,0)</x:f>
        <x:v>0</x:v>
      </x:c>
      <x:c r="R402" s="2" t="n">
        <x:f>Q402^2</x:f>
        <x:v>0</x:v>
      </x:c>
      <x:c r="S402" s="2" t="str">
        <x:f>IF(A402="","",IFERROR(MATCH(I402,SourceTable[Source_ID],0),0))</x:f>
      </x:c>
    </x:row>
    <x:row r="403" ht="21" customHeight="1">
      <x:c r="A403" s="7"/>
      <x:c r="B403" s="7"/>
      <x:c r="C403" s="7"/>
      <x:c r="D403" s="8"/>
      <x:c r="E403" s="7"/>
      <x:c r="F403" s="7"/>
      <x:c r="G403" s="7"/>
      <x:c r="H403" s="7"/>
      <x:c r="I403" s="7"/>
      <x:c r="J403" s="7"/>
      <x:c r="K403" s="8"/>
      <x:c r="L403" s="7"/>
      <x:c r="M403" s="7"/>
      <x:c r="N403" s="2" t="str">
        <x:f>IF(AND(A403&lt;&gt;"",ISNUMBER(D403)),B403&amp;"|"&amp;C403&amp;"|"&amp;TEXT(D403,"yyyymmdd")&amp;"|"&amp;E403&amp;"|"&amp;F403,"")</x:f>
      </x:c>
      <x:c r="O403" s="2" t="str">
        <x:f>IF(A403="","",IFERROR(IF(NOT(AND(B403&lt;&gt;"",C403&lt;&gt;"",ISNUMBER(D403),D403&gt;0,E403&lt;&gt;"",F403&lt;&gt;"",E403&lt;&gt;F403,ISNUMBER(G403),ISNUMBER(H403),G403&gt;=0,H403&gt;=0,G403&lt;=100,H403&lt;=100,MOD(G403,1)=0,MOD(H403,1)=0,L403="FT90",S403&gt;0,INDEX(SourceTable[League],MAX(1,S403))=B403,INDEX(SourceTable[Season],MAX(1,S403))=C403,ISNUMBER(K403),K403=INDEX(SourceTable[Retrieved_UTC],MAX(1,S403)),J403&lt;&gt;"",M403&lt;&gt;"")),"INVALID",IF(OR(COUNTIFS('Istoric_Nativ'!$N$6:$N$405,N403,'Istoric_Nativ'!$G$6:$G$405,G403)&lt;&gt;COUNTIF('Istoric_Nativ'!$N$6:$N$405,N403),COUNTIFS('Istoric_Nativ'!$N$6:$N$405,N403,'Istoric_Nativ'!$H$6:$H$405,H403)&lt;&gt;COUNTIF('Istoric_Nativ'!$N$6:$N$405,N403)),"SOURCE CONFLICT",IF(COUNTIF($N$6:N403,N403)&gt;1,"DUPLICATE","VALID"))),"INVALID"))</x:f>
      </x:c>
      <x:c r="P403" s="2" t="n">
        <x:f>IF(O403="VALID",1,0)</x:f>
        <x:v>0</x:v>
      </x:c>
      <x:c r="Q403" s="2" t="n">
        <x:f>IF(P403=1,G403+H403,0)</x:f>
        <x:v>0</x:v>
      </x:c>
      <x:c r="R403" s="2" t="n">
        <x:f>Q403^2</x:f>
        <x:v>0</x:v>
      </x:c>
      <x:c r="S403" s="2" t="str">
        <x:f>IF(A403="","",IFERROR(MATCH(I403,SourceTable[Source_ID],0),0))</x:f>
      </x:c>
    </x:row>
    <x:row r="404" ht="21" customHeight="1">
      <x:c r="A404" s="7"/>
      <x:c r="B404" s="7"/>
      <x:c r="C404" s="7"/>
      <x:c r="D404" s="8"/>
      <x:c r="E404" s="7"/>
      <x:c r="F404" s="7"/>
      <x:c r="G404" s="7"/>
      <x:c r="H404" s="7"/>
      <x:c r="I404" s="7"/>
      <x:c r="J404" s="7"/>
      <x:c r="K404" s="8"/>
      <x:c r="L404" s="7"/>
      <x:c r="M404" s="7"/>
      <x:c r="N404" s="2" t="str">
        <x:f>IF(AND(A404&lt;&gt;"",ISNUMBER(D404)),B404&amp;"|"&amp;C404&amp;"|"&amp;TEXT(D404,"yyyymmdd")&amp;"|"&amp;E404&amp;"|"&amp;F404,"")</x:f>
      </x:c>
      <x:c r="O404" s="2" t="str">
        <x:f>IF(A404="","",IFERROR(IF(NOT(AND(B404&lt;&gt;"",C404&lt;&gt;"",ISNUMBER(D404),D404&gt;0,E404&lt;&gt;"",F404&lt;&gt;"",E404&lt;&gt;F404,ISNUMBER(G404),ISNUMBER(H404),G404&gt;=0,H404&gt;=0,G404&lt;=100,H404&lt;=100,MOD(G404,1)=0,MOD(H404,1)=0,L404="FT90",S404&gt;0,INDEX(SourceTable[League],MAX(1,S404))=B404,INDEX(SourceTable[Season],MAX(1,S404))=C404,ISNUMBER(K404),K404=INDEX(SourceTable[Retrieved_UTC],MAX(1,S404)),J404&lt;&gt;"",M404&lt;&gt;"")),"INVALID",IF(OR(COUNTIFS('Istoric_Nativ'!$N$6:$N$405,N404,'Istoric_Nativ'!$G$6:$G$405,G404)&lt;&gt;COUNTIF('Istoric_Nativ'!$N$6:$N$405,N404),COUNTIFS('Istoric_Nativ'!$N$6:$N$405,N404,'Istoric_Nativ'!$H$6:$H$405,H404)&lt;&gt;COUNTIF('Istoric_Nativ'!$N$6:$N$405,N404)),"SOURCE CONFLICT",IF(COUNTIF($N$6:N404,N404)&gt;1,"DUPLICATE","VALID"))),"INVALID"))</x:f>
      </x:c>
      <x:c r="P404" s="2" t="n">
        <x:f>IF(O404="VALID",1,0)</x:f>
        <x:v>0</x:v>
      </x:c>
      <x:c r="Q404" s="2" t="n">
        <x:f>IF(P404=1,G404+H404,0)</x:f>
        <x:v>0</x:v>
      </x:c>
      <x:c r="R404" s="2" t="n">
        <x:f>Q404^2</x:f>
        <x:v>0</x:v>
      </x:c>
      <x:c r="S404" s="2" t="str">
        <x:f>IF(A404="","",IFERROR(MATCH(I404,SourceTable[Source_ID],0),0))</x:f>
      </x:c>
    </x:row>
    <x:row r="405" ht="21" customHeight="1">
      <x:c r="A405" s="7"/>
      <x:c r="B405" s="7"/>
      <x:c r="C405" s="7"/>
      <x:c r="D405" s="8"/>
      <x:c r="E405" s="7"/>
      <x:c r="F405" s="7"/>
      <x:c r="G405" s="7"/>
      <x:c r="H405" s="7"/>
      <x:c r="I405" s="7"/>
      <x:c r="J405" s="7"/>
      <x:c r="K405" s="8"/>
      <x:c r="L405" s="7"/>
      <x:c r="M405" s="7"/>
      <x:c r="N405" s="2" t="str">
        <x:f>IF(AND(A405&lt;&gt;"",ISNUMBER(D405)),B405&amp;"|"&amp;C405&amp;"|"&amp;TEXT(D405,"yyyymmdd")&amp;"|"&amp;E405&amp;"|"&amp;F405,"")</x:f>
      </x:c>
      <x:c r="O405" s="2" t="str">
        <x:f>IF(A405="","",IFERROR(IF(NOT(AND(B405&lt;&gt;"",C405&lt;&gt;"",ISNUMBER(D405),D405&gt;0,E405&lt;&gt;"",F405&lt;&gt;"",E405&lt;&gt;F405,ISNUMBER(G405),ISNUMBER(H405),G405&gt;=0,H405&gt;=0,G405&lt;=100,H405&lt;=100,MOD(G405,1)=0,MOD(H405,1)=0,L405="FT90",S405&gt;0,INDEX(SourceTable[League],MAX(1,S405))=B405,INDEX(SourceTable[Season],MAX(1,S405))=C405,ISNUMBER(K405),K405=INDEX(SourceTable[Retrieved_UTC],MAX(1,S405)),J405&lt;&gt;"",M405&lt;&gt;"")),"INVALID",IF(OR(COUNTIFS('Istoric_Nativ'!$N$6:$N$405,N405,'Istoric_Nativ'!$G$6:$G$405,G405)&lt;&gt;COUNTIF('Istoric_Nativ'!$N$6:$N$405,N405),COUNTIFS('Istoric_Nativ'!$N$6:$N$405,N405,'Istoric_Nativ'!$H$6:$H$405,H405)&lt;&gt;COUNTIF('Istoric_Nativ'!$N$6:$N$405,N405)),"SOURCE CONFLICT",IF(COUNTIF($N$6:N405,N405)&gt;1,"DUPLICATE","VALID"))),"INVALID"))</x:f>
      </x:c>
      <x:c r="P405" s="2" t="n">
        <x:f>IF(O405="VALID",1,0)</x:f>
        <x:v>0</x:v>
      </x:c>
      <x:c r="Q405" s="2" t="n">
        <x:f>IF(P405=1,G405+H405,0)</x:f>
        <x:v>0</x:v>
      </x:c>
      <x:c r="R405" s="2" t="n">
        <x:f>Q405^2</x:f>
        <x:v>0</x:v>
      </x:c>
      <x:c r="S405" s="2" t="str">
        <x:f>IF(A405="","",IFERROR(MATCH(I405,SourceTable[Source_ID],0),0))</x:f>
      </x:c>
    </x:row>
  </x:sheetData>
  <x:conditionalFormatting sqref="O6:O405">
    <x:cfRule type="containsText" dxfId="15" priority="1" operator="containsText" text="NOT RELEASED"/>
    <x:cfRule type="containsText" dxfId="16" priority="2" operator="containsText" text="NO BET"/>
    <x:cfRule type="containsText" dxfId="17" priority="3" operator="containsText" text="INVALID"/>
    <x:cfRule type="containsText" dxfId="18" priority="4" operator="containsText" text="SOURCE CONFLICT"/>
    <x:cfRule type="containsText" dxfId="19" priority="5" operator="containsText" text="DEFENSIV"/>
  </x:conditionalFormatting>
  <x:pageMargins left="0.7" right="0.7" top="0.75" bottom="0.75" header="0.3" footer="0.3"/>
  <x:tableParts count="1">
    <x:tablePart xmlns:r="http://schemas.openxmlformats.org/officeDocument/2006/relationships" r:id="R41fc065af467403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60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82" hidden="0" customWidth="1"/>
    <x:col min="12" max="12" width="17" hidden="0" customWidth="1"/>
    <x:col min="13" max="13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1" customHeight="1">
      <x:c r="A2" s="3" t="str">
        <x:v>SURSE ȘI JURNAL DE IMPORT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6" customHeight="1">
      <x:c r="A5" s="6" t="str">
        <x:v>Source_ID</x:v>
      </x:c>
      <x:c r="B5" s="6" t="str">
        <x:v>League</x:v>
      </x:c>
      <x:c r="C5" s="6" t="str">
        <x:v>Season</x:v>
      </x:c>
      <x:c r="D5" s="6" t="str">
        <x:v>Provider</x:v>
      </x:c>
      <x:c r="E5" s="6" t="str">
        <x:v>URL</x:v>
      </x:c>
      <x:c r="F5" s="6" t="str">
        <x:v>Retrieved_UTC</x:v>
      </x:c>
      <x:c r="G5" s="6" t="str">
        <x:v>Coverage</x:v>
      </x:c>
      <x:c r="H5" s="6" t="str">
        <x:v>Status</x:v>
      </x:c>
      <x:c r="I5" s="6" t="str">
        <x:v>Rows</x:v>
      </x:c>
      <x:c r="J5" s="6" t="str">
        <x:v>Missing_Corners</x:v>
      </x:c>
      <x:c r="K5" s="6" t="str">
        <x:v>Attempts</x:v>
      </x:c>
      <x:c r="L5" s="6" t="str">
        <x:v>SHA256</x:v>
      </x:c>
      <x:c r="M5" s="6" t="str">
        <x:v>Source_Key</x:v>
      </x:c>
    </x:row>
    <x:row r="6" ht="21" customHeight="1">
      <x:c r="A6" s="7" t="str">
        <x:v>FD_E0_2526</x:v>
      </x:c>
      <x:c r="B6" s="7" t="str">
        <x:v>E0</x:v>
      </x:c>
      <x:c r="C6" s="7" t="str">
        <x:v>2025/26</x:v>
      </x:c>
      <x:c r="D6" s="7" t="str">
        <x:v>Football-Data</x:v>
      </x:c>
      <x:c r="E6" s="7" t="str">
        <x:v>https://www.football-data.co.uk/mmz4281/2526/E0.csv</x:v>
      </x:c>
      <x:c r="F6" s="8" t="n">
        <x:v>46278.70306712963</x:v>
      </x:c>
      <x:c r="G6" s="7" t="str">
        <x:v>FULL SEASON EXPORT</x:v>
      </x:c>
      <x:c r="H6" s="7" t="str">
        <x:v>IMPORTED</x:v>
      </x:c>
      <x:c r="I6" s="7" t="n">
        <x:v>380</x:v>
      </x:c>
      <x:c r="J6" s="7" t="n">
        <x:v>0</x:v>
      </x:c>
      <x:c r="K6" s="7" t="str">
        <x:v>[{"url": "https://www.football-data.co.uk/mmz4281/2526/E0.csv", "status": "PARSED", "rows": 380, "missing_after_merge": 0}]</x:v>
      </x:c>
      <x:c r="L6" s="7" t="str">
        <x:v>3e3a8352f9ada6789c508d6ca184424421fed56a30400904a4a327c583407e62</x:v>
      </x:c>
      <x:c r="M6" s="2" t="str">
        <x:f>IF(A6="","",B6&amp;"|"&amp;C6)</x:f>
        <x:v>E0|2025/26</x:v>
      </x:c>
    </x:row>
    <x:row r="7" ht="21" customHeight="1">
      <x:c r="A7" s="7"/>
      <x:c r="B7" s="7"/>
      <x:c r="C7" s="7"/>
      <x:c r="D7" s="7"/>
      <x:c r="E7" s="7"/>
      <x:c r="F7" s="8"/>
      <x:c r="G7" s="7"/>
      <x:c r="H7" s="7"/>
      <x:c r="I7" s="7"/>
      <x:c r="J7" s="7"/>
      <x:c r="K7" s="7"/>
      <x:c r="L7" s="7"/>
      <x:c r="M7" s="2" t="str">
        <x:f>IF(A7="","",B7&amp;"|"&amp;C7)</x:f>
      </x:c>
    </x:row>
    <x:row r="8" ht="21" customHeight="1">
      <x:c r="A8" s="7"/>
      <x:c r="B8" s="7"/>
      <x:c r="C8" s="7"/>
      <x:c r="D8" s="7"/>
      <x:c r="E8" s="7"/>
      <x:c r="F8" s="8"/>
      <x:c r="G8" s="7"/>
      <x:c r="H8" s="7"/>
      <x:c r="I8" s="7"/>
      <x:c r="J8" s="7"/>
      <x:c r="K8" s="7"/>
      <x:c r="L8" s="7"/>
      <x:c r="M8" s="2" t="str">
        <x:f>IF(A8="","",B8&amp;"|"&amp;C8)</x:f>
      </x:c>
    </x:row>
    <x:row r="9" ht="21" customHeight="1">
      <x:c r="A9" s="7"/>
      <x:c r="B9" s="7"/>
      <x:c r="C9" s="7"/>
      <x:c r="D9" s="7"/>
      <x:c r="E9" s="7"/>
      <x:c r="F9" s="8"/>
      <x:c r="G9" s="7"/>
      <x:c r="H9" s="7"/>
      <x:c r="I9" s="7"/>
      <x:c r="J9" s="7"/>
      <x:c r="K9" s="7"/>
      <x:c r="L9" s="7"/>
      <x:c r="M9" s="2" t="str">
        <x:f>IF(A9="","",B9&amp;"|"&amp;C9)</x:f>
      </x:c>
    </x:row>
    <x:row r="10" ht="21" customHeight="1">
      <x:c r="A10" s="7"/>
      <x:c r="B10" s="7"/>
      <x:c r="C10" s="7"/>
      <x:c r="D10" s="7"/>
      <x:c r="E10" s="7"/>
      <x:c r="F10" s="8"/>
      <x:c r="G10" s="7"/>
      <x:c r="H10" s="7"/>
      <x:c r="I10" s="7"/>
      <x:c r="J10" s="7"/>
      <x:c r="K10" s="7"/>
      <x:c r="L10" s="7"/>
      <x:c r="M10" s="2" t="str">
        <x:f>IF(A10="","",B10&amp;"|"&amp;C10)</x:f>
      </x:c>
    </x:row>
    <x:row r="11" ht="21" customHeight="1">
      <x:c r="A11" s="7"/>
      <x:c r="B11" s="7"/>
      <x:c r="C11" s="7"/>
      <x:c r="D11" s="7"/>
      <x:c r="E11" s="7"/>
      <x:c r="F11" s="8"/>
      <x:c r="G11" s="7"/>
      <x:c r="H11" s="7"/>
      <x:c r="I11" s="7"/>
      <x:c r="J11" s="7"/>
      <x:c r="K11" s="7"/>
      <x:c r="L11" s="7"/>
      <x:c r="M11" s="2" t="str">
        <x:f>IF(A11="","",B11&amp;"|"&amp;C11)</x:f>
      </x:c>
    </x:row>
    <x:row r="12" ht="21" customHeight="1">
      <x:c r="A12" s="7"/>
      <x:c r="B12" s="7"/>
      <x:c r="C12" s="7"/>
      <x:c r="D12" s="7"/>
      <x:c r="E12" s="7"/>
      <x:c r="F12" s="8"/>
      <x:c r="G12" s="7"/>
      <x:c r="H12" s="7"/>
      <x:c r="I12" s="7"/>
      <x:c r="J12" s="7"/>
      <x:c r="K12" s="7"/>
      <x:c r="L12" s="7"/>
      <x:c r="M12" s="2" t="str">
        <x:f>IF(A12="","",B12&amp;"|"&amp;C12)</x:f>
      </x:c>
    </x:row>
    <x:row r="13" ht="21" customHeight="1">
      <x:c r="A13" s="7"/>
      <x:c r="B13" s="7"/>
      <x:c r="C13" s="7"/>
      <x:c r="D13" s="7"/>
      <x:c r="E13" s="7"/>
      <x:c r="F13" s="8"/>
      <x:c r="G13" s="7"/>
      <x:c r="H13" s="7"/>
      <x:c r="I13" s="7"/>
      <x:c r="J13" s="7"/>
      <x:c r="K13" s="7"/>
      <x:c r="L13" s="7"/>
      <x:c r="M13" s="2" t="str">
        <x:f>IF(A13="","",B13&amp;"|"&amp;C13)</x:f>
      </x:c>
    </x:row>
  </x:sheetData>
  <x:pageMargins left="0.7" right="0.7" top="0.75" bottom="0.75" header="0.3" footer="0.3"/>
  <x:tableParts count="1">
    <x:tablePart xmlns:r="http://schemas.openxmlformats.org/officeDocument/2006/relationships" r:id="Rcf0690657f8c4da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1" customHeight="1">
      <x:c r="A2" s="3" t="str">
        <x:v>CALIBRARE ȘI PROMOVARE PE LINIE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46" customHeight="1">
      <x:c r="A5" s="6" t="str">
        <x:v>Line</x:v>
      </x:c>
      <x:c r="B5" s="6" t="str">
        <x:v>Type</x:v>
      </x:c>
      <x:c r="C5" s="6" t="str">
        <x:v>k</x:v>
      </x:c>
      <x:c r="D5" s="6" t="str">
        <x:v>Calibration_Factor</x:v>
      </x:c>
      <x:c r="E5" s="6" t="str">
        <x:v>PASS_Max</x:v>
      </x:c>
      <x:c r="F5" s="6" t="str">
        <x:v>WATCH_Max</x:v>
      </x:c>
      <x:c r="G5" s="6" t="str">
        <x:v>Review_Status</x:v>
      </x:c>
      <x:c r="H5" s="6" t="str">
        <x:v>Scope_League</x:v>
      </x:c>
      <x:c r="I5" s="6" t="str">
        <x:v>Training_End_UTC</x:v>
      </x:c>
      <x:c r="J5" s="6" t="str">
        <x:v>Review_UTC</x:v>
      </x:c>
      <x:c r="K5" s="6" t="str">
        <x:v>Report_URL</x:v>
      </x:c>
      <x:c r="L5" s="6" t="str">
        <x:v>Reviewer</x:v>
      </x:c>
      <x:c r="M5" s="6" t="str">
        <x:v>OOS_N</x:v>
      </x:c>
      <x:c r="N5" s="6" t="str">
        <x:v>OOS_Wins</x:v>
      </x:c>
      <x:c r="O5" s="6" t="str">
        <x:v>OOS_Hit_Rate</x:v>
      </x:c>
      <x:c r="P5" s="6" t="str">
        <x:v>OOS_P_Mean</x:v>
      </x:c>
      <x:c r="Q5" s="6" t="str">
        <x:v>Wilson_95_Lower</x:v>
      </x:c>
      <x:c r="R5" s="6" t="str">
        <x:v>Overconfidence</x:v>
      </x:c>
      <x:c r="S5" s="6" t="str">
        <x:v>Tail_Validated</x:v>
      </x:c>
      <x:c r="T5" s="6" t="str">
        <x:v>Defensive_Validated</x:v>
      </x:c>
      <x:c r="U5" s="6" t="str">
        <x:v>Parameters_Valid</x:v>
      </x:c>
      <x:c r="V5" s="6" t="str">
        <x:v>Model_Signature</x:v>
      </x:c>
    </x:row>
    <x:row r="6" ht="21" customHeight="1">
      <x:c r="A6" s="2" t="str">
        <x:v>O3,5</x:v>
      </x:c>
      <x:c r="B6" s="2" t="str">
        <x:v>OVER</x:v>
      </x:c>
      <x:c r="C6" s="2" t="n">
        <x:v>3</x:v>
      </x:c>
      <x:c r="D6" s="12" t="n">
        <x:v>1</x:v>
      </x:c>
      <x:c r="E6" s="12" t="n">
        <x:v>0.05</x:v>
      </x:c>
      <x:c r="F6" s="12" t="n">
        <x:v>0.08</x:v>
      </x:c>
      <x:c r="G6" s="7" t="str">
        <x:v>PILOT</x:v>
      </x:c>
      <x:c r="H6" s="7" t="str">
        <x:v>E0</x:v>
      </x:c>
      <x:c r="I6" s="8"/>
      <x:c r="J6" s="8"/>
      <x:c r="K6" s="7"/>
      <x:c r="L6" s="7"/>
      <x:c r="M6" s="2" t="n">
        <x:f>IF(AND(ISNUMBER(I6),ISNUMBER(J6)),COUNTIFS(OOSTable[Line],A6,OOSTable[League],H6,OOSTable[Model_Signature],V6,OOSTable[Record_Valid],1,OOSTable[Settled_UTC],"&lt;="&amp;J6,OOSTable[Snapshot_UTC],"&gt;"&amp;I6,OOSTable[Training_End_UTC],I6),0)</x:f>
        <x:v>0</x:v>
      </x:c>
      <x:c r="N6" s="2" t="n">
        <x:f>IF(M6=0,0,SUMIFS(OOSTable[Win],OOSTable[Line],A6,OOSTable[League],H6,OOSTable[Model_Signature],V6,OOSTable[Record_Valid],1,OOSTable[Settled_UTC],"&lt;="&amp;J6,OOSTable[Snapshot_UTC],"&gt;"&amp;I6,OOSTable[Training_End_UTC],I6))</x:f>
        <x:v>0</x:v>
      </x:c>
      <x:c r="O6" s="10" t="str">
        <x:f>IF(M6=0,"",N6/M6)</x:f>
      </x:c>
      <x:c r="P6" s="10" t="str">
        <x:f>IF(M6=0,"",SUMIFS(OOSTable[P_Final],OOSTable[Line],A6,OOSTable[League],H6,OOSTable[Model_Signature],V6,OOSTable[Record_Valid],1,OOSTable[Settled_UTC],"&lt;="&amp;J6,OOSTable[Snapshot_UTC],"&gt;"&amp;I6,OOSTable[Training_End_UTC],I6)/M6)</x:f>
      </x:c>
      <x:c r="Q6" s="10" t="str">
        <x:f>IF(M6=0,"",(O6+1.96^2/(2*M6)-1.96*SQRT(O6*(1-O6)/M6+1.96^2/(4*M6^2)))/(1+1.96^2/M6))</x:f>
      </x:c>
      <x:c r="R6" s="10" t="str">
        <x:f>IF(M6=0,"",MAX(0,P6-O6))</x:f>
      </x:c>
      <x:c r="S6" s="2" t="str">
        <x:f>IF(AND(G6="APPROVED",ISNUMBER(I6),ISNUMBER(J6),I6&lt;J6,K6&lt;&gt;"",L6&lt;&gt;"",H6&lt;&gt;"",U6="VALID",ISNUMBER(E6),ISNUMBER(F6),M6&gt;='Config_v6'!$B$56),"VALIDATED","PENDING")</x:f>
        <x:v>PENDING</x:v>
      </x:c>
      <x:c r="T6" s="2" t="str">
        <x:f>IF(AND(S6="VALIDATED",Q6&gt;='Config_v6'!$B$57,R6&lt;='Config_v6'!$B$58),"VALIDATED","PENDING")</x:f>
        <x:v>PENDING</x:v>
      </x:c>
      <x:c r="U6" s="2" t="str">
        <x:f>IF(AND(ISNUMBER(D6),D6&gt;0,D6&lt;=1,OR(AND(E6="",F6=""),AND(ISNUMBER(E6),ISNUMBER(F6),E6&gt;=0,E6&lt;F6,F6&lt;=1)),OR(G6="PENDING",G6="PILOT",G6="APPROVED")),"VALID","INVALID")</x:f>
        <x:v>VALID</x:v>
      </x:c>
      <x:c r="V6" s="2" t="str">
        <x:f>'Config_v6'!$B$60&amp;"|"&amp;A6&amp;"|"&amp;TEXT(D6,"0.000000")&amp;"|"&amp;IF(E6="","NA",TEXT(E6,"0.000000"))&amp;"|"&amp;IF(F6="","NA",TEXT(F6,"0.000000"))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3,5|1.000000|0.050000|0.080000</x:v>
      </x:c>
    </x:row>
    <x:row r="7" ht="21" customHeight="1">
      <x:c r="A7" s="2" t="str">
        <x:v>O4,5</x:v>
      </x:c>
      <x:c r="B7" s="2" t="str">
        <x:v>OVER</x:v>
      </x:c>
      <x:c r="C7" s="2" t="n">
        <x:v>4</x:v>
      </x:c>
      <x:c r="D7" s="12" t="n">
        <x:v>1</x:v>
      </x:c>
      <x:c r="E7" s="12"/>
      <x:c r="F7" s="12"/>
      <x:c r="G7" s="7" t="str">
        <x:v>PENDING</x:v>
      </x:c>
      <x:c r="H7" s="7" t="str">
        <x:v>E0</x:v>
      </x:c>
      <x:c r="I7" s="8"/>
      <x:c r="J7" s="8"/>
      <x:c r="K7" s="7"/>
      <x:c r="L7" s="7"/>
      <x:c r="M7" s="2" t="n">
        <x:f>IF(AND(ISNUMBER(I7),ISNUMBER(J7)),COUNTIFS(OOSTable[Line],A7,OOSTable[League],H7,OOSTable[Model_Signature],V7,OOSTable[Record_Valid],1,OOSTable[Settled_UTC],"&lt;="&amp;J7,OOSTable[Snapshot_UTC],"&gt;"&amp;I7,OOSTable[Training_End_UTC],I7),0)</x:f>
        <x:v>0</x:v>
      </x:c>
      <x:c r="N7" s="2" t="n">
        <x:f>IF(M7=0,0,SUMIFS(OOSTable[Win],OOSTable[Line],A7,OOSTable[League],H7,OOSTable[Model_Signature],V7,OOSTable[Record_Valid],1,OOSTable[Settled_UTC],"&lt;="&amp;J7,OOSTable[Snapshot_UTC],"&gt;"&amp;I7,OOSTable[Training_End_UTC],I7))</x:f>
        <x:v>0</x:v>
      </x:c>
      <x:c r="O7" s="10" t="str">
        <x:f>IF(M7=0,"",N7/M7)</x:f>
      </x:c>
      <x:c r="P7" s="10" t="str">
        <x:f>IF(M7=0,"",SUMIFS(OOSTable[P_Final],OOSTable[Line],A7,OOSTable[League],H7,OOSTable[Model_Signature],V7,OOSTable[Record_Valid],1,OOSTable[Settled_UTC],"&lt;="&amp;J7,OOSTable[Snapshot_UTC],"&gt;"&amp;I7,OOSTable[Training_End_UTC],I7)/M7)</x:f>
      </x:c>
      <x:c r="Q7" s="10" t="str">
        <x:f>IF(M7=0,"",(O7+1.96^2/(2*M7)-1.96*SQRT(O7*(1-O7)/M7+1.96^2/(4*M7^2)))/(1+1.96^2/M7))</x:f>
      </x:c>
      <x:c r="R7" s="10" t="str">
        <x:f>IF(M7=0,"",MAX(0,P7-O7))</x:f>
      </x:c>
      <x:c r="S7" s="2" t="str">
        <x:f>IF(AND(G7="APPROVED",ISNUMBER(I7),ISNUMBER(J7),I7&lt;J7,K7&lt;&gt;"",L7&lt;&gt;"",H7&lt;&gt;"",U7="VALID",ISNUMBER(E7),ISNUMBER(F7),M7&gt;='Config_v6'!$B$56),"VALIDATED","PENDING")</x:f>
        <x:v>PENDING</x:v>
      </x:c>
      <x:c r="T7" s="2" t="str">
        <x:f>IF(AND(S7="VALIDATED",Q7&gt;='Config_v6'!$B$57,R7&lt;='Config_v6'!$B$58),"VALIDATED","PENDING")</x:f>
        <x:v>PENDING</x:v>
      </x:c>
      <x:c r="U7" s="2" t="str">
        <x:f>IF(AND(ISNUMBER(D7),D7&gt;0,D7&lt;=1,OR(AND(E7="",F7=""),AND(ISNUMBER(E7),ISNUMBER(F7),E7&gt;=0,E7&lt;F7,F7&lt;=1)),OR(G7="PENDING",G7="PILOT",G7="APPROVED")),"VALID","INVALID")</x:f>
        <x:v>VALID</x:v>
      </x:c>
      <x:c r="V7" s="2" t="str">
        <x:f>'Config_v6'!$B$60&amp;"|"&amp;A7&amp;"|"&amp;TEXT(D7,"0.000000")&amp;"|"&amp;IF(E7="","NA",TEXT(E7,"0.000000"))&amp;"|"&amp;IF(F7="","NA",TEXT(F7,"0.000000"))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4,5|1.000000|NA|NA</x:v>
      </x:c>
    </x:row>
    <x:row r="8" ht="21" customHeight="1">
      <x:c r="A8" s="2" t="str">
        <x:v>O5,5</x:v>
      </x:c>
      <x:c r="B8" s="2" t="str">
        <x:v>OVER</x:v>
      </x:c>
      <x:c r="C8" s="2" t="n">
        <x:v>5</x:v>
      </x:c>
      <x:c r="D8" s="12" t="n">
        <x:v>1</x:v>
      </x:c>
      <x:c r="E8" s="12"/>
      <x:c r="F8" s="12"/>
      <x:c r="G8" s="7" t="str">
        <x:v>PENDING</x:v>
      </x:c>
      <x:c r="H8" s="7" t="str">
        <x:v>E0</x:v>
      </x:c>
      <x:c r="I8" s="8"/>
      <x:c r="J8" s="8"/>
      <x:c r="K8" s="7"/>
      <x:c r="L8" s="7"/>
      <x:c r="M8" s="2" t="n">
        <x:f>IF(AND(ISNUMBER(I8),ISNUMBER(J8)),COUNTIFS(OOSTable[Line],A8,OOSTable[League],H8,OOSTable[Model_Signature],V8,OOSTable[Record_Valid],1,OOSTable[Settled_UTC],"&lt;="&amp;J8,OOSTable[Snapshot_UTC],"&gt;"&amp;I8,OOSTable[Training_End_UTC],I8),0)</x:f>
        <x:v>0</x:v>
      </x:c>
      <x:c r="N8" s="2" t="n">
        <x:f>IF(M8=0,0,SUMIFS(OOSTable[Win],OOSTable[Line],A8,OOSTable[League],H8,OOSTable[Model_Signature],V8,OOSTable[Record_Valid],1,OOSTable[Settled_UTC],"&lt;="&amp;J8,OOSTable[Snapshot_UTC],"&gt;"&amp;I8,OOSTable[Training_End_UTC],I8))</x:f>
        <x:v>0</x:v>
      </x:c>
      <x:c r="O8" s="10" t="str">
        <x:f>IF(M8=0,"",N8/M8)</x:f>
      </x:c>
      <x:c r="P8" s="10" t="str">
        <x:f>IF(M8=0,"",SUMIFS(OOSTable[P_Final],OOSTable[Line],A8,OOSTable[League],H8,OOSTable[Model_Signature],V8,OOSTable[Record_Valid],1,OOSTable[Settled_UTC],"&lt;="&amp;J8,OOSTable[Snapshot_UTC],"&gt;"&amp;I8,OOSTable[Training_End_UTC],I8)/M8)</x:f>
      </x:c>
      <x:c r="Q8" s="10" t="str">
        <x:f>IF(M8=0,"",(O8+1.96^2/(2*M8)-1.96*SQRT(O8*(1-O8)/M8+1.96^2/(4*M8^2)))/(1+1.96^2/M8))</x:f>
      </x:c>
      <x:c r="R8" s="10" t="str">
        <x:f>IF(M8=0,"",MAX(0,P8-O8))</x:f>
      </x:c>
      <x:c r="S8" s="2" t="str">
        <x:f>IF(AND(G8="APPROVED",ISNUMBER(I8),ISNUMBER(J8),I8&lt;J8,K8&lt;&gt;"",L8&lt;&gt;"",H8&lt;&gt;"",U8="VALID",ISNUMBER(E8),ISNUMBER(F8),M8&gt;='Config_v6'!$B$56),"VALIDATED","PENDING")</x:f>
        <x:v>PENDING</x:v>
      </x:c>
      <x:c r="T8" s="2" t="str">
        <x:f>IF(AND(S8="VALIDATED",Q8&gt;='Config_v6'!$B$57,R8&lt;='Config_v6'!$B$58),"VALIDATED","PENDING")</x:f>
        <x:v>PENDING</x:v>
      </x:c>
      <x:c r="U8" s="2" t="str">
        <x:f>IF(AND(ISNUMBER(D8),D8&gt;0,D8&lt;=1,OR(AND(E8="",F8=""),AND(ISNUMBER(E8),ISNUMBER(F8),E8&gt;=0,E8&lt;F8,F8&lt;=1)),OR(G8="PENDING",G8="PILOT",G8="APPROVED")),"VALID","INVALID")</x:f>
        <x:v>VALID</x:v>
      </x:c>
      <x:c r="V8" s="2" t="str">
        <x:f>'Config_v6'!$B$60&amp;"|"&amp;A8&amp;"|"&amp;TEXT(D8,"0.000000")&amp;"|"&amp;IF(E8="","NA",TEXT(E8,"0.000000"))&amp;"|"&amp;IF(F8="","NA",TEXT(F8,"0.000000"))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5,5|1.000000|NA|NA</x:v>
      </x:c>
    </x:row>
    <x:row r="9" ht="21" customHeight="1">
      <x:c r="A9" s="2" t="str">
        <x:v>O6,5</x:v>
      </x:c>
      <x:c r="B9" s="2" t="str">
        <x:v>OVER</x:v>
      </x:c>
      <x:c r="C9" s="2" t="n">
        <x:v>6</x:v>
      </x:c>
      <x:c r="D9" s="12" t="n">
        <x:v>1</x:v>
      </x:c>
      <x:c r="E9" s="12"/>
      <x:c r="F9" s="12"/>
      <x:c r="G9" s="7" t="str">
        <x:v>PENDING</x:v>
      </x:c>
      <x:c r="H9" s="7" t="str">
        <x:v>E0</x:v>
      </x:c>
      <x:c r="I9" s="8"/>
      <x:c r="J9" s="8"/>
      <x:c r="K9" s="7"/>
      <x:c r="L9" s="7"/>
      <x:c r="M9" s="2" t="n">
        <x:f>IF(AND(ISNUMBER(I9),ISNUMBER(J9)),COUNTIFS(OOSTable[Line],A9,OOSTable[League],H9,OOSTable[Model_Signature],V9,OOSTable[Record_Valid],1,OOSTable[Settled_UTC],"&lt;="&amp;J9,OOSTable[Snapshot_UTC],"&gt;"&amp;I9,OOSTable[Training_End_UTC],I9),0)</x:f>
        <x:v>0</x:v>
      </x:c>
      <x:c r="N9" s="2" t="n">
        <x:f>IF(M9=0,0,SUMIFS(OOSTable[Win],OOSTable[Line],A9,OOSTable[League],H9,OOSTable[Model_Signature],V9,OOSTable[Record_Valid],1,OOSTable[Settled_UTC],"&lt;="&amp;J9,OOSTable[Snapshot_UTC],"&gt;"&amp;I9,OOSTable[Training_End_UTC],I9))</x:f>
        <x:v>0</x:v>
      </x:c>
      <x:c r="O9" s="10" t="str">
        <x:f>IF(M9=0,"",N9/M9)</x:f>
      </x:c>
      <x:c r="P9" s="10" t="str">
        <x:f>IF(M9=0,"",SUMIFS(OOSTable[P_Final],OOSTable[Line],A9,OOSTable[League],H9,OOSTable[Model_Signature],V9,OOSTable[Record_Valid],1,OOSTable[Settled_UTC],"&lt;="&amp;J9,OOSTable[Snapshot_UTC],"&gt;"&amp;I9,OOSTable[Training_End_UTC],I9)/M9)</x:f>
      </x:c>
      <x:c r="Q9" s="10" t="str">
        <x:f>IF(M9=0,"",(O9+1.96^2/(2*M9)-1.96*SQRT(O9*(1-O9)/M9+1.96^2/(4*M9^2)))/(1+1.96^2/M9))</x:f>
      </x:c>
      <x:c r="R9" s="10" t="str">
        <x:f>IF(M9=0,"",MAX(0,P9-O9))</x:f>
      </x:c>
      <x:c r="S9" s="2" t="str">
        <x:f>IF(AND(G9="APPROVED",ISNUMBER(I9),ISNUMBER(J9),I9&lt;J9,K9&lt;&gt;"",L9&lt;&gt;"",H9&lt;&gt;"",U9="VALID",ISNUMBER(E9),ISNUMBER(F9),M9&gt;='Config_v6'!$B$56),"VALIDATED","PENDING")</x:f>
        <x:v>PENDING</x:v>
      </x:c>
      <x:c r="T9" s="2" t="str">
        <x:f>IF(AND(S9="VALIDATED",Q9&gt;='Config_v6'!$B$57,R9&lt;='Config_v6'!$B$58),"VALIDATED","PENDING")</x:f>
        <x:v>PENDING</x:v>
      </x:c>
      <x:c r="U9" s="2" t="str">
        <x:f>IF(AND(ISNUMBER(D9),D9&gt;0,D9&lt;=1,OR(AND(E9="",F9=""),AND(ISNUMBER(E9),ISNUMBER(F9),E9&gt;=0,E9&lt;F9,F9&lt;=1)),OR(G9="PENDING",G9="PILOT",G9="APPROVED")),"VALID","INVALID")</x:f>
        <x:v>VALID</x:v>
      </x:c>
      <x:c r="V9" s="2" t="str">
        <x:f>'Config_v6'!$B$60&amp;"|"&amp;A9&amp;"|"&amp;TEXT(D9,"0.000000")&amp;"|"&amp;IF(E9="","NA",TEXT(E9,"0.000000"))&amp;"|"&amp;IF(F9="","NA",TEXT(F9,"0.000000"))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6,5|1.000000|NA|NA</x:v>
      </x:c>
    </x:row>
    <x:row r="10" ht="21" customHeight="1">
      <x:c r="A10" s="2" t="str">
        <x:v>O7,5</x:v>
      </x:c>
      <x:c r="B10" s="2" t="str">
        <x:v>OVER</x:v>
      </x:c>
      <x:c r="C10" s="2" t="n">
        <x:v>7</x:v>
      </x:c>
      <x:c r="D10" s="12" t="n">
        <x:v>1</x:v>
      </x:c>
      <x:c r="E10" s="12"/>
      <x:c r="F10" s="12"/>
      <x:c r="G10" s="7" t="str">
        <x:v>PENDING</x:v>
      </x:c>
      <x:c r="H10" s="7" t="str">
        <x:v>E0</x:v>
      </x:c>
      <x:c r="I10" s="8"/>
      <x:c r="J10" s="8"/>
      <x:c r="K10" s="7"/>
      <x:c r="L10" s="7"/>
      <x:c r="M10" s="2" t="n">
        <x:f>IF(AND(ISNUMBER(I10),ISNUMBER(J10)),COUNTIFS(OOSTable[Line],A10,OOSTable[League],H10,OOSTable[Model_Signature],V10,OOSTable[Record_Valid],1,OOSTable[Settled_UTC],"&lt;="&amp;J10,OOSTable[Snapshot_UTC],"&gt;"&amp;I10,OOSTable[Training_End_UTC],I10),0)</x:f>
        <x:v>0</x:v>
      </x:c>
      <x:c r="N10" s="2" t="n">
        <x:f>IF(M10=0,0,SUMIFS(OOSTable[Win],OOSTable[Line],A10,OOSTable[League],H10,OOSTable[Model_Signature],V10,OOSTable[Record_Valid],1,OOSTable[Settled_UTC],"&lt;="&amp;J10,OOSTable[Snapshot_UTC],"&gt;"&amp;I10,OOSTable[Training_End_UTC],I10))</x:f>
        <x:v>0</x:v>
      </x:c>
      <x:c r="O10" s="10" t="str">
        <x:f>IF(M10=0,"",N10/M10)</x:f>
      </x:c>
      <x:c r="P10" s="10" t="str">
        <x:f>IF(M10=0,"",SUMIFS(OOSTable[P_Final],OOSTable[Line],A10,OOSTable[League],H10,OOSTable[Model_Signature],V10,OOSTable[Record_Valid],1,OOSTable[Settled_UTC],"&lt;="&amp;J10,OOSTable[Snapshot_UTC],"&gt;"&amp;I10,OOSTable[Training_End_UTC],I10)/M10)</x:f>
      </x:c>
      <x:c r="Q10" s="10" t="str">
        <x:f>IF(M10=0,"",(O10+1.96^2/(2*M10)-1.96*SQRT(O10*(1-O10)/M10+1.96^2/(4*M10^2)))/(1+1.96^2/M10))</x:f>
      </x:c>
      <x:c r="R10" s="10" t="str">
        <x:f>IF(M10=0,"",MAX(0,P10-O10))</x:f>
      </x:c>
      <x:c r="S10" s="2" t="str">
        <x:f>IF(AND(G10="APPROVED",ISNUMBER(I10),ISNUMBER(J10),I10&lt;J10,K10&lt;&gt;"",L10&lt;&gt;"",H10&lt;&gt;"",U10="VALID",ISNUMBER(E10),ISNUMBER(F10),M10&gt;='Config_v6'!$B$56),"VALIDATED","PENDING")</x:f>
        <x:v>PENDING</x:v>
      </x:c>
      <x:c r="T10" s="2" t="str">
        <x:f>IF(AND(S10="VALIDATED",Q10&gt;='Config_v6'!$B$57,R10&lt;='Config_v6'!$B$58),"VALIDATED","PENDING")</x:f>
        <x:v>PENDING</x:v>
      </x:c>
      <x:c r="U10" s="2" t="str">
        <x:f>IF(AND(ISNUMBER(D10),D10&gt;0,D10&lt;=1,OR(AND(E10="",F10=""),AND(ISNUMBER(E10),ISNUMBER(F10),E10&gt;=0,E10&lt;F10,F10&lt;=1)),OR(G10="PENDING",G10="PILOT",G10="APPROVED")),"VALID","INVALID")</x:f>
        <x:v>VALID</x:v>
      </x:c>
      <x:c r="V10" s="2" t="str">
        <x:f>'Config_v6'!$B$60&amp;"|"&amp;A10&amp;"|"&amp;TEXT(D10,"0.000000")&amp;"|"&amp;IF(E10="","NA",TEXT(E10,"0.000000"))&amp;"|"&amp;IF(F10="","NA",TEXT(F10,"0.000000"))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7,5|1.000000|NA|NA</x:v>
      </x:c>
    </x:row>
    <x:row r="11" ht="21" customHeight="1">
      <x:c r="A11" s="2" t="str">
        <x:v>O8,5</x:v>
      </x:c>
      <x:c r="B11" s="2" t="str">
        <x:v>OVER</x:v>
      </x:c>
      <x:c r="C11" s="2" t="n">
        <x:v>8</x:v>
      </x:c>
      <x:c r="D11" s="12" t="n">
        <x:v>1</x:v>
      </x:c>
      <x:c r="E11" s="12"/>
      <x:c r="F11" s="12"/>
      <x:c r="G11" s="7" t="str">
        <x:v>PENDING</x:v>
      </x:c>
      <x:c r="H11" s="7" t="str">
        <x:v>E0</x:v>
      </x:c>
      <x:c r="I11" s="8"/>
      <x:c r="J11" s="8"/>
      <x:c r="K11" s="7"/>
      <x:c r="L11" s="7"/>
      <x:c r="M11" s="2" t="n">
        <x:f>IF(AND(ISNUMBER(I11),ISNUMBER(J11)),COUNTIFS(OOSTable[Line],A11,OOSTable[League],H11,OOSTable[Model_Signature],V11,OOSTable[Record_Valid],1,OOSTable[Settled_UTC],"&lt;="&amp;J11,OOSTable[Snapshot_UTC],"&gt;"&amp;I11,OOSTable[Training_End_UTC],I11),0)</x:f>
        <x:v>0</x:v>
      </x:c>
      <x:c r="N11" s="2" t="n">
        <x:f>IF(M11=0,0,SUMIFS(OOSTable[Win],OOSTable[Line],A11,OOSTable[League],H11,OOSTable[Model_Signature],V11,OOSTable[Record_Valid],1,OOSTable[Settled_UTC],"&lt;="&amp;J11,OOSTable[Snapshot_UTC],"&gt;"&amp;I11,OOSTable[Training_End_UTC],I11))</x:f>
        <x:v>0</x:v>
      </x:c>
      <x:c r="O11" s="10" t="str">
        <x:f>IF(M11=0,"",N11/M11)</x:f>
      </x:c>
      <x:c r="P11" s="10" t="str">
        <x:f>IF(M11=0,"",SUMIFS(OOSTable[P_Final],OOSTable[Line],A11,OOSTable[League],H11,OOSTable[Model_Signature],V11,OOSTable[Record_Valid],1,OOSTable[Settled_UTC],"&lt;="&amp;J11,OOSTable[Snapshot_UTC],"&gt;"&amp;I11,OOSTable[Training_End_UTC],I11)/M11)</x:f>
      </x:c>
      <x:c r="Q11" s="10" t="str">
        <x:f>IF(M11=0,"",(O11+1.96^2/(2*M11)-1.96*SQRT(O11*(1-O11)/M11+1.96^2/(4*M11^2)))/(1+1.96^2/M11))</x:f>
      </x:c>
      <x:c r="R11" s="10" t="str">
        <x:f>IF(M11=0,"",MAX(0,P11-O11))</x:f>
      </x:c>
      <x:c r="S11" s="2" t="str">
        <x:f>IF(AND(G11="APPROVED",ISNUMBER(I11),ISNUMBER(J11),I11&lt;J11,K11&lt;&gt;"",L11&lt;&gt;"",H11&lt;&gt;"",U11="VALID",ISNUMBER(E11),ISNUMBER(F11),M11&gt;='Config_v6'!$B$56),"VALIDATED","PENDING")</x:f>
        <x:v>PENDING</x:v>
      </x:c>
      <x:c r="T11" s="2" t="str">
        <x:f>IF(AND(S11="VALIDATED",Q11&gt;='Config_v6'!$B$57,R11&lt;='Config_v6'!$B$58),"VALIDATED","PENDING")</x:f>
        <x:v>PENDING</x:v>
      </x:c>
      <x:c r="U11" s="2" t="str">
        <x:f>IF(AND(ISNUMBER(D11),D11&gt;0,D11&lt;=1,OR(AND(E11="",F11=""),AND(ISNUMBER(E11),ISNUMBER(F11),E11&gt;=0,E11&lt;F11,F11&lt;=1)),OR(G11="PENDING",G11="PILOT",G11="APPROVED")),"VALID","INVALID")</x:f>
        <x:v>VALID</x:v>
      </x:c>
      <x:c r="V11" s="2" t="str">
        <x:f>'Config_v6'!$B$60&amp;"|"&amp;A11&amp;"|"&amp;TEXT(D11,"0.000000")&amp;"|"&amp;IF(E11="","NA",TEXT(E11,"0.000000"))&amp;"|"&amp;IF(F11="","NA",TEXT(F11,"0.000000"))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O8,5|1.000000|NA|NA</x:v>
      </x:c>
    </x:row>
    <x:row r="12" ht="21" customHeight="1">
      <x:c r="A12" s="2" t="str">
        <x:v>U10,5</x:v>
      </x:c>
      <x:c r="B12" s="2" t="str">
        <x:v>UNDER</x:v>
      </x:c>
      <x:c r="C12" s="2" t="n">
        <x:v>10</x:v>
      </x:c>
      <x:c r="D12" s="12" t="n">
        <x:v>1</x:v>
      </x:c>
      <x:c r="E12" s="12"/>
      <x:c r="F12" s="12"/>
      <x:c r="G12" s="7" t="str">
        <x:v>PENDING</x:v>
      </x:c>
      <x:c r="H12" s="7" t="str">
        <x:v>E0</x:v>
      </x:c>
      <x:c r="I12" s="8"/>
      <x:c r="J12" s="8"/>
      <x:c r="K12" s="7"/>
      <x:c r="L12" s="7"/>
      <x:c r="M12" s="2" t="n">
        <x:f>IF(AND(ISNUMBER(I12),ISNUMBER(J12)),COUNTIFS(OOSTable[Line],A12,OOSTable[League],H12,OOSTable[Model_Signature],V12,OOSTable[Record_Valid],1,OOSTable[Settled_UTC],"&lt;="&amp;J12,OOSTable[Snapshot_UTC],"&gt;"&amp;I12,OOSTable[Training_End_UTC],I12),0)</x:f>
        <x:v>0</x:v>
      </x:c>
      <x:c r="N12" s="2" t="n">
        <x:f>IF(M12=0,0,SUMIFS(OOSTable[Win],OOSTable[Line],A12,OOSTable[League],H12,OOSTable[Model_Signature],V12,OOSTable[Record_Valid],1,OOSTable[Settled_UTC],"&lt;="&amp;J12,OOSTable[Snapshot_UTC],"&gt;"&amp;I12,OOSTable[Training_End_UTC],I12))</x:f>
        <x:v>0</x:v>
      </x:c>
      <x:c r="O12" s="10" t="str">
        <x:f>IF(M12=0,"",N12/M12)</x:f>
      </x:c>
      <x:c r="P12" s="10" t="str">
        <x:f>IF(M12=0,"",SUMIFS(OOSTable[P_Final],OOSTable[Line],A12,OOSTable[League],H12,OOSTable[Model_Signature],V12,OOSTable[Record_Valid],1,OOSTable[Settled_UTC],"&lt;="&amp;J12,OOSTable[Snapshot_UTC],"&gt;"&amp;I12,OOSTable[Training_End_UTC],I12)/M12)</x:f>
      </x:c>
      <x:c r="Q12" s="10" t="str">
        <x:f>IF(M12=0,"",(O12+1.96^2/(2*M12)-1.96*SQRT(O12*(1-O12)/M12+1.96^2/(4*M12^2)))/(1+1.96^2/M12))</x:f>
      </x:c>
      <x:c r="R12" s="10" t="str">
        <x:f>IF(M12=0,"",MAX(0,P12-O12))</x:f>
      </x:c>
      <x:c r="S12" s="2" t="str">
        <x:f>IF(AND(G12="APPROVED",ISNUMBER(I12),ISNUMBER(J12),I12&lt;J12,K12&lt;&gt;"",L12&lt;&gt;"",H12&lt;&gt;"",U12="VALID",ISNUMBER(E12),ISNUMBER(F12),M12&gt;='Config_v6'!$B$56),"VALIDATED","PENDING")</x:f>
        <x:v>PENDING</x:v>
      </x:c>
      <x:c r="T12" s="2" t="str">
        <x:f>IF(AND(S12="VALIDATED",Q12&gt;='Config_v6'!$B$57,R12&lt;='Config_v6'!$B$58),"VALIDATED","PENDING")</x:f>
        <x:v>PENDING</x:v>
      </x:c>
      <x:c r="U12" s="2" t="str">
        <x:f>IF(AND(ISNUMBER(D12),D12&gt;0,D12&lt;=1,OR(AND(E12="",F12=""),AND(ISNUMBER(E12),ISNUMBER(F12),E12&gt;=0,E12&lt;F12,F12&lt;=1)),OR(G12="PENDING",G12="PILOT",G12="APPROVED")),"VALID","INVALID")</x:f>
        <x:v>VALID</x:v>
      </x:c>
      <x:c r="V12" s="2" t="str">
        <x:f>'Config_v6'!$B$60&amp;"|"&amp;A12&amp;"|"&amp;TEXT(D12,"0.000000")&amp;"|"&amp;IF(E12="","NA",TEXT(E12,"0.000000"))&amp;"|"&amp;IF(F12="","NA",TEXT(F12,"0.000000"))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10,5|1.000000|NA|NA</x:v>
      </x:c>
    </x:row>
    <x:row r="13" ht="21" customHeight="1">
      <x:c r="A13" s="2" t="str">
        <x:v>U11,5</x:v>
      </x:c>
      <x:c r="B13" s="2" t="str">
        <x:v>UNDER</x:v>
      </x:c>
      <x:c r="C13" s="2" t="n">
        <x:v>11</x:v>
      </x:c>
      <x:c r="D13" s="12" t="n">
        <x:v>1</x:v>
      </x:c>
      <x:c r="E13" s="12"/>
      <x:c r="F13" s="12"/>
      <x:c r="G13" s="7" t="str">
        <x:v>PENDING</x:v>
      </x:c>
      <x:c r="H13" s="7" t="str">
        <x:v>E0</x:v>
      </x:c>
      <x:c r="I13" s="8"/>
      <x:c r="J13" s="8"/>
      <x:c r="K13" s="7"/>
      <x:c r="L13" s="7"/>
      <x:c r="M13" s="2" t="n">
        <x:f>IF(AND(ISNUMBER(I13),ISNUMBER(J13)),COUNTIFS(OOSTable[Line],A13,OOSTable[League],H13,OOSTable[Model_Signature],V13,OOSTable[Record_Valid],1,OOSTable[Settled_UTC],"&lt;="&amp;J13,OOSTable[Snapshot_UTC],"&gt;"&amp;I13,OOSTable[Training_End_UTC],I13),0)</x:f>
        <x:v>0</x:v>
      </x:c>
      <x:c r="N13" s="2" t="n">
        <x:f>IF(M13=0,0,SUMIFS(OOSTable[Win],OOSTable[Line],A13,OOSTable[League],H13,OOSTable[Model_Signature],V13,OOSTable[Record_Valid],1,OOSTable[Settled_UTC],"&lt;="&amp;J13,OOSTable[Snapshot_UTC],"&gt;"&amp;I13,OOSTable[Training_End_UTC],I13))</x:f>
        <x:v>0</x:v>
      </x:c>
      <x:c r="O13" s="10" t="str">
        <x:f>IF(M13=0,"",N13/M13)</x:f>
      </x:c>
      <x:c r="P13" s="10" t="str">
        <x:f>IF(M13=0,"",SUMIFS(OOSTable[P_Final],OOSTable[Line],A13,OOSTable[League],H13,OOSTable[Model_Signature],V13,OOSTable[Record_Valid],1,OOSTable[Settled_UTC],"&lt;="&amp;J13,OOSTable[Snapshot_UTC],"&gt;"&amp;I13,OOSTable[Training_End_UTC],I13)/M13)</x:f>
      </x:c>
      <x:c r="Q13" s="10" t="str">
        <x:f>IF(M13=0,"",(O13+1.96^2/(2*M13)-1.96*SQRT(O13*(1-O13)/M13+1.96^2/(4*M13^2)))/(1+1.96^2/M13))</x:f>
      </x:c>
      <x:c r="R13" s="10" t="str">
        <x:f>IF(M13=0,"",MAX(0,P13-O13))</x:f>
      </x:c>
      <x:c r="S13" s="2" t="str">
        <x:f>IF(AND(G13="APPROVED",ISNUMBER(I13),ISNUMBER(J13),I13&lt;J13,K13&lt;&gt;"",L13&lt;&gt;"",H13&lt;&gt;"",U13="VALID",ISNUMBER(E13),ISNUMBER(F13),M13&gt;='Config_v6'!$B$56),"VALIDATED","PENDING")</x:f>
        <x:v>PENDING</x:v>
      </x:c>
      <x:c r="T13" s="2" t="str">
        <x:f>IF(AND(S13="VALIDATED",Q13&gt;='Config_v6'!$B$57,R13&lt;='Config_v6'!$B$58),"VALIDATED","PENDING")</x:f>
        <x:v>PENDING</x:v>
      </x:c>
      <x:c r="U13" s="2" t="str">
        <x:f>IF(AND(ISNUMBER(D13),D13&gt;0,D13&lt;=1,OR(AND(E13="",F13=""),AND(ISNUMBER(E13),ISNUMBER(F13),E13&gt;=0,E13&lt;F13,F13&lt;=1)),OR(G13="PENDING",G13="PILOT",G13="APPROVED")),"VALID","INVALID")</x:f>
        <x:v>VALID</x:v>
      </x:c>
      <x:c r="V13" s="2" t="str">
        <x:f>'Config_v6'!$B$60&amp;"|"&amp;A13&amp;"|"&amp;TEXT(D13,"0.000000")&amp;"|"&amp;IF(E13="","NA",TEXT(E13,"0.000000"))&amp;"|"&amp;IF(F13="","NA",TEXT(F13,"0.000000"))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11,5|1.000000|NA|NA</x:v>
      </x:c>
    </x:row>
    <x:row r="14" ht="21" customHeight="1">
      <x:c r="A14" s="2" t="str">
        <x:v>U12,5</x:v>
      </x:c>
      <x:c r="B14" s="2" t="str">
        <x:v>UNDER</x:v>
      </x:c>
      <x:c r="C14" s="2" t="n">
        <x:v>12</x:v>
      </x:c>
      <x:c r="D14" s="12" t="n">
        <x:v>1</x:v>
      </x:c>
      <x:c r="E14" s="12"/>
      <x:c r="F14" s="12"/>
      <x:c r="G14" s="7" t="str">
        <x:v>PENDING</x:v>
      </x:c>
      <x:c r="H14" s="7" t="str">
        <x:v>E0</x:v>
      </x:c>
      <x:c r="I14" s="8"/>
      <x:c r="J14" s="8"/>
      <x:c r="K14" s="7"/>
      <x:c r="L14" s="7"/>
      <x:c r="M14" s="2" t="n">
        <x:f>IF(AND(ISNUMBER(I14),ISNUMBER(J14)),COUNTIFS(OOSTable[Line],A14,OOSTable[League],H14,OOSTable[Model_Signature],V14,OOSTable[Record_Valid],1,OOSTable[Settled_UTC],"&lt;="&amp;J14,OOSTable[Snapshot_UTC],"&gt;"&amp;I14,OOSTable[Training_End_UTC],I14),0)</x:f>
        <x:v>0</x:v>
      </x:c>
      <x:c r="N14" s="2" t="n">
        <x:f>IF(M14=0,0,SUMIFS(OOSTable[Win],OOSTable[Line],A14,OOSTable[League],H14,OOSTable[Model_Signature],V14,OOSTable[Record_Valid],1,OOSTable[Settled_UTC],"&lt;="&amp;J14,OOSTable[Snapshot_UTC],"&gt;"&amp;I14,OOSTable[Training_End_UTC],I14))</x:f>
        <x:v>0</x:v>
      </x:c>
      <x:c r="O14" s="10" t="str">
        <x:f>IF(M14=0,"",N14/M14)</x:f>
      </x:c>
      <x:c r="P14" s="10" t="str">
        <x:f>IF(M14=0,"",SUMIFS(OOSTable[P_Final],OOSTable[Line],A14,OOSTable[League],H14,OOSTable[Model_Signature],V14,OOSTable[Record_Valid],1,OOSTable[Settled_UTC],"&lt;="&amp;J14,OOSTable[Snapshot_UTC],"&gt;"&amp;I14,OOSTable[Training_End_UTC],I14)/M14)</x:f>
      </x:c>
      <x:c r="Q14" s="10" t="str">
        <x:f>IF(M14=0,"",(O14+1.96^2/(2*M14)-1.96*SQRT(O14*(1-O14)/M14+1.96^2/(4*M14^2)))/(1+1.96^2/M14))</x:f>
      </x:c>
      <x:c r="R14" s="10" t="str">
        <x:f>IF(M14=0,"",MAX(0,P14-O14))</x:f>
      </x:c>
      <x:c r="S14" s="2" t="str">
        <x:f>IF(AND(G14="APPROVED",ISNUMBER(I14),ISNUMBER(J14),I14&lt;J14,K14&lt;&gt;"",L14&lt;&gt;"",H14&lt;&gt;"",U14="VALID",ISNUMBER(E14),ISNUMBER(F14),M14&gt;='Config_v6'!$B$56),"VALIDATED","PENDING")</x:f>
        <x:v>PENDING</x:v>
      </x:c>
      <x:c r="T14" s="2" t="str">
        <x:f>IF(AND(S14="VALIDATED",Q14&gt;='Config_v6'!$B$57,R14&lt;='Config_v6'!$B$58),"VALIDATED","PENDING")</x:f>
        <x:v>PENDING</x:v>
      </x:c>
      <x:c r="U14" s="2" t="str">
        <x:f>IF(AND(ISNUMBER(D14),D14&gt;0,D14&lt;=1,OR(AND(E14="",F14=""),AND(ISNUMBER(E14),ISNUMBER(F14),E14&gt;=0,E14&lt;F14,F14&lt;=1)),OR(G14="PENDING",G14="PILOT",G14="APPROVED")),"VALID","INVALID")</x:f>
        <x:v>VALID</x:v>
      </x:c>
      <x:c r="V14" s="2" t="str">
        <x:f>'Config_v6'!$B$60&amp;"|"&amp;A14&amp;"|"&amp;TEXT(D14,"0.000000")&amp;"|"&amp;IF(E14="","NA",TEXT(E14,"0.000000"))&amp;"|"&amp;IF(F14="","NA",TEXT(F14,"0.000000"))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12,5|1.000000|NA|NA</x:v>
      </x:c>
    </x:row>
    <x:row r="15" ht="21" customHeight="1">
      <x:c r="A15" s="2" t="str">
        <x:v>U13,5</x:v>
      </x:c>
      <x:c r="B15" s="2" t="str">
        <x:v>UNDER</x:v>
      </x:c>
      <x:c r="C15" s="2" t="n">
        <x:v>13</x:v>
      </x:c>
      <x:c r="D15" s="12" t="n">
        <x:v>1</x:v>
      </x:c>
      <x:c r="E15" s="12"/>
      <x:c r="F15" s="12"/>
      <x:c r="G15" s="7" t="str">
        <x:v>PENDING</x:v>
      </x:c>
      <x:c r="H15" s="7" t="str">
        <x:v>E0</x:v>
      </x:c>
      <x:c r="I15" s="8"/>
      <x:c r="J15" s="8"/>
      <x:c r="K15" s="7"/>
      <x:c r="L15" s="7"/>
      <x:c r="M15" s="2" t="n">
        <x:f>IF(AND(ISNUMBER(I15),ISNUMBER(J15)),COUNTIFS(OOSTable[Line],A15,OOSTable[League],H15,OOSTable[Model_Signature],V15,OOSTable[Record_Valid],1,OOSTable[Settled_UTC],"&lt;="&amp;J15,OOSTable[Snapshot_UTC],"&gt;"&amp;I15,OOSTable[Training_End_UTC],I15),0)</x:f>
        <x:v>0</x:v>
      </x:c>
      <x:c r="N15" s="2" t="n">
        <x:f>IF(M15=0,0,SUMIFS(OOSTable[Win],OOSTable[Line],A15,OOSTable[League],H15,OOSTable[Model_Signature],V15,OOSTable[Record_Valid],1,OOSTable[Settled_UTC],"&lt;="&amp;J15,OOSTable[Snapshot_UTC],"&gt;"&amp;I15,OOSTable[Training_End_UTC],I15))</x:f>
        <x:v>0</x:v>
      </x:c>
      <x:c r="O15" s="10" t="str">
        <x:f>IF(M15=0,"",N15/M15)</x:f>
      </x:c>
      <x:c r="P15" s="10" t="str">
        <x:f>IF(M15=0,"",SUMIFS(OOSTable[P_Final],OOSTable[Line],A15,OOSTable[League],H15,OOSTable[Model_Signature],V15,OOSTable[Record_Valid],1,OOSTable[Settled_UTC],"&lt;="&amp;J15,OOSTable[Snapshot_UTC],"&gt;"&amp;I15,OOSTable[Training_End_UTC],I15)/M15)</x:f>
      </x:c>
      <x:c r="Q15" s="10" t="str">
        <x:f>IF(M15=0,"",(O15+1.96^2/(2*M15)-1.96*SQRT(O15*(1-O15)/M15+1.96^2/(4*M15^2)))/(1+1.96^2/M15))</x:f>
      </x:c>
      <x:c r="R15" s="10" t="str">
        <x:f>IF(M15=0,"",MAX(0,P15-O15))</x:f>
      </x:c>
      <x:c r="S15" s="2" t="str">
        <x:f>IF(AND(G15="APPROVED",ISNUMBER(I15),ISNUMBER(J15),I15&lt;J15,K15&lt;&gt;"",L15&lt;&gt;"",H15&lt;&gt;"",U15="VALID",ISNUMBER(E15),ISNUMBER(F15),M15&gt;='Config_v6'!$B$56),"VALIDATED","PENDING")</x:f>
        <x:v>PENDING</x:v>
      </x:c>
      <x:c r="T15" s="2" t="str">
        <x:f>IF(AND(S15="VALIDATED",Q15&gt;='Config_v6'!$B$57,R15&lt;='Config_v6'!$B$58),"VALIDATED","PENDING")</x:f>
        <x:v>PENDING</x:v>
      </x:c>
      <x:c r="U15" s="2" t="str">
        <x:f>IF(AND(ISNUMBER(D15),D15&gt;0,D15&lt;=1,OR(AND(E15="",F15=""),AND(ISNUMBER(E15),ISNUMBER(F15),E15&gt;=0,E15&lt;F15,F15&lt;=1)),OR(G15="PENDING",G15="PILOT",G15="APPROVED")),"VALID","INVALID")</x:f>
        <x:v>VALID</x:v>
      </x:c>
      <x:c r="V15" s="2" t="str">
        <x:f>'Config_v6'!$B$60&amp;"|"&amp;A15&amp;"|"&amp;TEXT(D15,"0.000000")&amp;"|"&amp;IF(E15="","NA",TEXT(E15,"0.000000"))&amp;"|"&amp;IF(F15="","NA",TEXT(F15,"0.000000"))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13,5|1.000000|NA|NA</x:v>
      </x:c>
    </x:row>
    <x:row r="16" ht="21" customHeight="1">
      <x:c r="A16" s="2" t="str">
        <x:v>U14,5</x:v>
      </x:c>
      <x:c r="B16" s="2" t="str">
        <x:v>UNDER</x:v>
      </x:c>
      <x:c r="C16" s="2" t="n">
        <x:v>14</x:v>
      </x:c>
      <x:c r="D16" s="12" t="n">
        <x:v>1</x:v>
      </x:c>
      <x:c r="E16" s="12"/>
      <x:c r="F16" s="12"/>
      <x:c r="G16" s="7" t="str">
        <x:v>PENDING</x:v>
      </x:c>
      <x:c r="H16" s="7" t="str">
        <x:v>E0</x:v>
      </x:c>
      <x:c r="I16" s="8"/>
      <x:c r="J16" s="8"/>
      <x:c r="K16" s="7"/>
      <x:c r="L16" s="7"/>
      <x:c r="M16" s="2" t="n">
        <x:f>IF(AND(ISNUMBER(I16),ISNUMBER(J16)),COUNTIFS(OOSTable[Line],A16,OOSTable[League],H16,OOSTable[Model_Signature],V16,OOSTable[Record_Valid],1,OOSTable[Settled_UTC],"&lt;="&amp;J16,OOSTable[Snapshot_UTC],"&gt;"&amp;I16,OOSTable[Training_End_UTC],I16),0)</x:f>
        <x:v>0</x:v>
      </x:c>
      <x:c r="N16" s="2" t="n">
        <x:f>IF(M16=0,0,SUMIFS(OOSTable[Win],OOSTable[Line],A16,OOSTable[League],H16,OOSTable[Model_Signature],V16,OOSTable[Record_Valid],1,OOSTable[Settled_UTC],"&lt;="&amp;J16,OOSTable[Snapshot_UTC],"&gt;"&amp;I16,OOSTable[Training_End_UTC],I16))</x:f>
        <x:v>0</x:v>
      </x:c>
      <x:c r="O16" s="10" t="str">
        <x:f>IF(M16=0,"",N16/M16)</x:f>
      </x:c>
      <x:c r="P16" s="10" t="str">
        <x:f>IF(M16=0,"",SUMIFS(OOSTable[P_Final],OOSTable[Line],A16,OOSTable[League],H16,OOSTable[Model_Signature],V16,OOSTable[Record_Valid],1,OOSTable[Settled_UTC],"&lt;="&amp;J16,OOSTable[Snapshot_UTC],"&gt;"&amp;I16,OOSTable[Training_End_UTC],I16)/M16)</x:f>
      </x:c>
      <x:c r="Q16" s="10" t="str">
        <x:f>IF(M16=0,"",(O16+1.96^2/(2*M16)-1.96*SQRT(O16*(1-O16)/M16+1.96^2/(4*M16^2)))/(1+1.96^2/M16))</x:f>
      </x:c>
      <x:c r="R16" s="10" t="str">
        <x:f>IF(M16=0,"",MAX(0,P16-O16))</x:f>
      </x:c>
      <x:c r="S16" s="2" t="str">
        <x:f>IF(AND(G16="APPROVED",ISNUMBER(I16),ISNUMBER(J16),I16&lt;J16,K16&lt;&gt;"",L16&lt;&gt;"",H16&lt;&gt;"",U16="VALID",ISNUMBER(E16),ISNUMBER(F16),M16&gt;='Config_v6'!$B$56),"VALIDATED","PENDING")</x:f>
        <x:v>PENDING</x:v>
      </x:c>
      <x:c r="T16" s="2" t="str">
        <x:f>IF(AND(S16="VALIDATED",Q16&gt;='Config_v6'!$B$57,R16&lt;='Config_v6'!$B$58),"VALIDATED","PENDING")</x:f>
        <x:v>PENDING</x:v>
      </x:c>
      <x:c r="U16" s="2" t="str">
        <x:f>IF(AND(ISNUMBER(D16),D16&gt;0,D16&lt;=1,OR(AND(E16="",F16=""),AND(ISNUMBER(E16),ISNUMBER(F16),E16&gt;=0,E16&lt;F16,F16&lt;=1)),OR(G16="PENDING",G16="PILOT",G16="APPROVED")),"VALID","INVALID")</x:f>
        <x:v>VALID</x:v>
      </x:c>
      <x:c r="V16" s="2" t="str">
        <x:f>'Config_v6'!$B$60&amp;"|"&amp;A16&amp;"|"&amp;TEXT(D16,"0.000000")&amp;"|"&amp;IF(E16="","NA",TEXT(E16,"0.000000"))&amp;"|"&amp;IF(F16="","NA",TEXT(F16,"0.000000"))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14,5|1.000000|NA|NA</x:v>
      </x:c>
    </x:row>
    <x:row r="17" ht="21" customHeight="1">
      <x:c r="A17" s="2" t="str">
        <x:v>U15,5</x:v>
      </x:c>
      <x:c r="B17" s="2" t="str">
        <x:v>UNDER</x:v>
      </x:c>
      <x:c r="C17" s="2" t="n">
        <x:v>15</x:v>
      </x:c>
      <x:c r="D17" s="12" t="n">
        <x:v>1</x:v>
      </x:c>
      <x:c r="E17" s="12"/>
      <x:c r="F17" s="12"/>
      <x:c r="G17" s="7" t="str">
        <x:v>PENDING</x:v>
      </x:c>
      <x:c r="H17" s="7" t="str">
        <x:v>E0</x:v>
      </x:c>
      <x:c r="I17" s="8"/>
      <x:c r="J17" s="8"/>
      <x:c r="K17" s="7"/>
      <x:c r="L17" s="7"/>
      <x:c r="M17" s="2" t="n">
        <x:f>IF(AND(ISNUMBER(I17),ISNUMBER(J17)),COUNTIFS(OOSTable[Line],A17,OOSTable[League],H17,OOSTable[Model_Signature],V17,OOSTable[Record_Valid],1,OOSTable[Settled_UTC],"&lt;="&amp;J17,OOSTable[Snapshot_UTC],"&gt;"&amp;I17,OOSTable[Training_End_UTC],I17),0)</x:f>
        <x:v>0</x:v>
      </x:c>
      <x:c r="N17" s="2" t="n">
        <x:f>IF(M17=0,0,SUMIFS(OOSTable[Win],OOSTable[Line],A17,OOSTable[League],H17,OOSTable[Model_Signature],V17,OOSTable[Record_Valid],1,OOSTable[Settled_UTC],"&lt;="&amp;J17,OOSTable[Snapshot_UTC],"&gt;"&amp;I17,OOSTable[Training_End_UTC],I17))</x:f>
        <x:v>0</x:v>
      </x:c>
      <x:c r="O17" s="10" t="str">
        <x:f>IF(M17=0,"",N17/M17)</x:f>
      </x:c>
      <x:c r="P17" s="10" t="str">
        <x:f>IF(M17=0,"",SUMIFS(OOSTable[P_Final],OOSTable[Line],A17,OOSTable[League],H17,OOSTable[Model_Signature],V17,OOSTable[Record_Valid],1,OOSTable[Settled_UTC],"&lt;="&amp;J17,OOSTable[Snapshot_UTC],"&gt;"&amp;I17,OOSTable[Training_End_UTC],I17)/M17)</x:f>
      </x:c>
      <x:c r="Q17" s="10" t="str">
        <x:f>IF(M17=0,"",(O17+1.96^2/(2*M17)-1.96*SQRT(O17*(1-O17)/M17+1.96^2/(4*M17^2)))/(1+1.96^2/M17))</x:f>
      </x:c>
      <x:c r="R17" s="10" t="str">
        <x:f>IF(M17=0,"",MAX(0,P17-O17))</x:f>
      </x:c>
      <x:c r="S17" s="2" t="str">
        <x:f>IF(AND(G17="APPROVED",ISNUMBER(I17),ISNUMBER(J17),I17&lt;J17,K17&lt;&gt;"",L17&lt;&gt;"",H17&lt;&gt;"",U17="VALID",ISNUMBER(E17),ISNUMBER(F17),M17&gt;='Config_v6'!$B$56),"VALIDATED","PENDING")</x:f>
        <x:v>PENDING</x:v>
      </x:c>
      <x:c r="T17" s="2" t="str">
        <x:f>IF(AND(S17="VALIDATED",Q17&gt;='Config_v6'!$B$57,R17&lt;='Config_v6'!$B$58),"VALIDATED","PENDING")</x:f>
        <x:v>PENDING</x:v>
      </x:c>
      <x:c r="U17" s="2" t="str">
        <x:f>IF(AND(ISNUMBER(D17),D17&gt;0,D17&lt;=1,OR(AND(E17="",F17=""),AND(ISNUMBER(E17),ISNUMBER(F17),E17&gt;=0,E17&lt;F17,F17&lt;=1)),OR(G17="PENDING",G17="PILOT",G17="APPROVED")),"VALID","INVALID")</x:f>
        <x:v>VALID</x:v>
      </x:c>
      <x:c r="V17" s="2" t="str">
        <x:f>'Config_v6'!$B$60&amp;"|"&amp;A17&amp;"|"&amp;TEXT(D17,"0.000000")&amp;"|"&amp;IF(E17="","NA",TEXT(E17,"0.000000"))&amp;"|"&amp;IF(F17="","NA",TEXT(F17,"0.000000"))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15,5|1.000000|NA|NA</x:v>
      </x:c>
    </x:row>
    <x:row r="18" ht="21" customHeight="1">
      <x:c r="A18" s="2" t="str">
        <x:v>U16,5</x:v>
      </x:c>
      <x:c r="B18" s="2" t="str">
        <x:v>UNDER</x:v>
      </x:c>
      <x:c r="C18" s="2" t="n">
        <x:v>16</x:v>
      </x:c>
      <x:c r="D18" s="12" t="n">
        <x:v>1</x:v>
      </x:c>
      <x:c r="E18" s="12"/>
      <x:c r="F18" s="12"/>
      <x:c r="G18" s="7" t="str">
        <x:v>PENDING</x:v>
      </x:c>
      <x:c r="H18" s="7" t="str">
        <x:v>E0</x:v>
      </x:c>
      <x:c r="I18" s="8"/>
      <x:c r="J18" s="8"/>
      <x:c r="K18" s="7"/>
      <x:c r="L18" s="7"/>
      <x:c r="M18" s="2" t="n">
        <x:f>IF(AND(ISNUMBER(I18),ISNUMBER(J18)),COUNTIFS(OOSTable[Line],A18,OOSTable[League],H18,OOSTable[Model_Signature],V18,OOSTable[Record_Valid],1,OOSTable[Settled_UTC],"&lt;="&amp;J18,OOSTable[Snapshot_UTC],"&gt;"&amp;I18,OOSTable[Training_End_UTC],I18),0)</x:f>
        <x:v>0</x:v>
      </x:c>
      <x:c r="N18" s="2" t="n">
        <x:f>IF(M18=0,0,SUMIFS(OOSTable[Win],OOSTable[Line],A18,OOSTable[League],H18,OOSTable[Model_Signature],V18,OOSTable[Record_Valid],1,OOSTable[Settled_UTC],"&lt;="&amp;J18,OOSTable[Snapshot_UTC],"&gt;"&amp;I18,OOSTable[Training_End_UTC],I18))</x:f>
        <x:v>0</x:v>
      </x:c>
      <x:c r="O18" s="10" t="str">
        <x:f>IF(M18=0,"",N18/M18)</x:f>
      </x:c>
      <x:c r="P18" s="10" t="str">
        <x:f>IF(M18=0,"",SUMIFS(OOSTable[P_Final],OOSTable[Line],A18,OOSTable[League],H18,OOSTable[Model_Signature],V18,OOSTable[Record_Valid],1,OOSTable[Settled_UTC],"&lt;="&amp;J18,OOSTable[Snapshot_UTC],"&gt;"&amp;I18,OOSTable[Training_End_UTC],I18)/M18)</x:f>
      </x:c>
      <x:c r="Q18" s="10" t="str">
        <x:f>IF(M18=0,"",(O18+1.96^2/(2*M18)-1.96*SQRT(O18*(1-O18)/M18+1.96^2/(4*M18^2)))/(1+1.96^2/M18))</x:f>
      </x:c>
      <x:c r="R18" s="10" t="str">
        <x:f>IF(M18=0,"",MAX(0,P18-O18))</x:f>
      </x:c>
      <x:c r="S18" s="2" t="str">
        <x:f>IF(AND(G18="APPROVED",ISNUMBER(I18),ISNUMBER(J18),I18&lt;J18,K18&lt;&gt;"",L18&lt;&gt;"",H18&lt;&gt;"",U18="VALID",ISNUMBER(E18),ISNUMBER(F18),M18&gt;='Config_v6'!$B$56),"VALIDATED","PENDING")</x:f>
        <x:v>PENDING</x:v>
      </x:c>
      <x:c r="T18" s="2" t="str">
        <x:f>IF(AND(S18="VALIDATED",Q18&gt;='Config_v6'!$B$57,R18&lt;='Config_v6'!$B$58),"VALIDATED","PENDING")</x:f>
        <x:v>PENDING</x:v>
      </x:c>
      <x:c r="U18" s="2" t="str">
        <x:f>IF(AND(ISNUMBER(D18),D18&gt;0,D18&lt;=1,OR(AND(E18="",F18=""),AND(ISNUMBER(E18),ISNUMBER(F18),E18&gt;=0,E18&lt;F18,F18&lt;=1)),OR(G18="PENDING",G18="PILOT",G18="APPROVED")),"VALID","INVALID")</x:f>
        <x:v>VALID</x:v>
      </x:c>
      <x:c r="V18" s="2" t="str">
        <x:f>'Config_v6'!$B$60&amp;"|"&amp;A18&amp;"|"&amp;TEXT(D18,"0.000000")&amp;"|"&amp;IF(E18="","NA",TEXT(E18,"0.000000"))&amp;"|"&amp;IF(F18="","NA",TEXT(F18,"0.000000"))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16,5|1.000000|NA|NA</x:v>
      </x:c>
    </x:row>
    <x:row r="19" ht="21" customHeight="1">
      <x:c r="A19" s="2" t="str">
        <x:v>U17,5</x:v>
      </x:c>
      <x:c r="B19" s="2" t="str">
        <x:v>UNDER</x:v>
      </x:c>
      <x:c r="C19" s="2" t="n">
        <x:v>17</x:v>
      </x:c>
      <x:c r="D19" s="12" t="n">
        <x:v>1</x:v>
      </x:c>
      <x:c r="E19" s="12"/>
      <x:c r="F19" s="12"/>
      <x:c r="G19" s="7" t="str">
        <x:v>PENDING</x:v>
      </x:c>
      <x:c r="H19" s="7" t="str">
        <x:v>E0</x:v>
      </x:c>
      <x:c r="I19" s="8"/>
      <x:c r="J19" s="8"/>
      <x:c r="K19" s="7"/>
      <x:c r="L19" s="7"/>
      <x:c r="M19" s="2" t="n">
        <x:f>IF(AND(ISNUMBER(I19),ISNUMBER(J19)),COUNTIFS(OOSTable[Line],A19,OOSTable[League],H19,OOSTable[Model_Signature],V19,OOSTable[Record_Valid],1,OOSTable[Settled_UTC],"&lt;="&amp;J19,OOSTable[Snapshot_UTC],"&gt;"&amp;I19,OOSTable[Training_End_UTC],I19),0)</x:f>
        <x:v>0</x:v>
      </x:c>
      <x:c r="N19" s="2" t="n">
        <x:f>IF(M19=0,0,SUMIFS(OOSTable[Win],OOSTable[Line],A19,OOSTable[League],H19,OOSTable[Model_Signature],V19,OOSTable[Record_Valid],1,OOSTable[Settled_UTC],"&lt;="&amp;J19,OOSTable[Snapshot_UTC],"&gt;"&amp;I19,OOSTable[Training_End_UTC],I19))</x:f>
        <x:v>0</x:v>
      </x:c>
      <x:c r="O19" s="10" t="str">
        <x:f>IF(M19=0,"",N19/M19)</x:f>
      </x:c>
      <x:c r="P19" s="10" t="str">
        <x:f>IF(M19=0,"",SUMIFS(OOSTable[P_Final],OOSTable[Line],A19,OOSTable[League],H19,OOSTable[Model_Signature],V19,OOSTable[Record_Valid],1,OOSTable[Settled_UTC],"&lt;="&amp;J19,OOSTable[Snapshot_UTC],"&gt;"&amp;I19,OOSTable[Training_End_UTC],I19)/M19)</x:f>
      </x:c>
      <x:c r="Q19" s="10" t="str">
        <x:f>IF(M19=0,"",(O19+1.96^2/(2*M19)-1.96*SQRT(O19*(1-O19)/M19+1.96^2/(4*M19^2)))/(1+1.96^2/M19))</x:f>
      </x:c>
      <x:c r="R19" s="10" t="str">
        <x:f>IF(M19=0,"",MAX(0,P19-O19))</x:f>
      </x:c>
      <x:c r="S19" s="2" t="str">
        <x:f>IF(AND(G19="APPROVED",ISNUMBER(I19),ISNUMBER(J19),I19&lt;J19,K19&lt;&gt;"",L19&lt;&gt;"",H19&lt;&gt;"",U19="VALID",ISNUMBER(E19),ISNUMBER(F19),M19&gt;='Config_v6'!$B$56),"VALIDATED","PENDING")</x:f>
        <x:v>PENDING</x:v>
      </x:c>
      <x:c r="T19" s="2" t="str">
        <x:f>IF(AND(S19="VALIDATED",Q19&gt;='Config_v6'!$B$57,R19&lt;='Config_v6'!$B$58),"VALIDATED","PENDING")</x:f>
        <x:v>PENDING</x:v>
      </x:c>
      <x:c r="U19" s="2" t="str">
        <x:f>IF(AND(ISNUMBER(D19),D19&gt;0,D19&lt;=1,OR(AND(E19="",F19=""),AND(ISNUMBER(E19),ISNUMBER(F19),E19&gt;=0,E19&lt;F19,F19&lt;=1)),OR(G19="PENDING",G19="PILOT",G19="APPROVED")),"VALID","INVALID")</x:f>
        <x:v>VALID</x:v>
      </x:c>
      <x:c r="V19" s="2" t="str">
        <x:f>'Config_v6'!$B$60&amp;"|"&amp;A19&amp;"|"&amp;TEXT(D19,"0.000000")&amp;"|"&amp;IF(E19="","NA",TEXT(E19,"0.000000"))&amp;"|"&amp;IF(F19="","NA",TEXT(F19,"0.000000"))</x:f>
        <x:v>CORNERS_NATIVE_V14|0.300000|0.450000|0.250000|10.000000|5.000000|3.000000|1.100000|1.350000|1.700000|2.250000|0.820000|20.000000|0.720000|65.000000|0.000000|0.080000|0.120000|0.050000|75.000000|10.000000|5.000000|10.000000|5.000000|2.000000|2.000000|0.550000|0.200000|0.150000|0.100000|0.900000|90.000000|20.000000|1.100000|5.000000|200.000000|0.900000|0.050000|0.080000|U17,5|1.000000|NA|NA</x:v>
      </x:c>
    </x:row>
  </x:sheetData>
  <x:dataValidations count="1">
    <x:dataValidation type="list" sqref="G6:G19">
      <x:formula1>"PENDING,PILOT,APPROVED"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9d8f362e0e494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1" customHeight="1">
      <x:c r="A2" s="3" t="str">
        <x:v>PREDICȚII ÎNGHEȚATE ȘI REZULTATE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46" customHeight="1">
      <x:c r="A5" s="6" t="str">
        <x:v>Fixture_ID</x:v>
      </x:c>
      <x:c r="B5" s="6" t="str">
        <x:v>League</x:v>
      </x:c>
      <x:c r="C5" s="6" t="str">
        <x:v>Line</x:v>
      </x:c>
      <x:c r="D5" s="6" t="str">
        <x:v>Snapshot_UTC</x:v>
      </x:c>
      <x:c r="E5" s="6" t="str">
        <x:v>Kickoff_UTC</x:v>
      </x:c>
      <x:c r="F5" s="6" t="str">
        <x:v>Training_End_UTC</x:v>
      </x:c>
      <x:c r="G5" s="6" t="str">
        <x:v>P_Final</x:v>
      </x:c>
      <x:c r="H5" s="6" t="str">
        <x:v>Candidate_Confidence</x:v>
      </x:c>
      <x:c r="I5" s="6" t="str">
        <x:v>D</x:v>
      </x:c>
      <x:c r="J5" s="6" t="str">
        <x:v>Risk_Score</x:v>
      </x:c>
      <x:c r="K5" s="6" t="str">
        <x:v>Prior_Active</x:v>
      </x:c>
      <x:c r="L5" s="6" t="str">
        <x:v>Native_Core_Count</x:v>
      </x:c>
      <x:c r="M5" s="6" t="str">
        <x:v>Candidate_Tail</x:v>
      </x:c>
      <x:c r="N5" s="6" t="str">
        <x:v>Total_Corners</x:v>
      </x:c>
      <x:c r="O5" s="6" t="str">
        <x:v>Outcome_URL</x:v>
      </x:c>
      <x:c r="P5" s="6" t="str">
        <x:v>Settled_UTC</x:v>
      </x:c>
      <x:c r="Q5" s="6" t="str">
        <x:v>Frozen_Evidence_URL</x:v>
      </x:c>
      <x:c r="R5" s="6" t="str">
        <x:v>Model_Signature</x:v>
      </x:c>
      <x:c r="S5" s="6" t="str">
        <x:v>Mode</x:v>
      </x:c>
      <x:c r="T5" s="6" t="str">
        <x:v>Record_Valid</x:v>
      </x:c>
      <x:c r="U5" s="6" t="str">
        <x:v>Win</x:v>
      </x:c>
    </x:row>
    <x:row r="6" ht="21" customHeight="1">
      <x:c r="A6" s="7"/>
      <x:c r="B6" s="7"/>
      <x:c r="C6" s="7"/>
      <x:c r="D6" s="8"/>
      <x:c r="E6" s="8"/>
      <x:c r="F6" s="8"/>
      <x:c r="G6" s="12"/>
      <x:c r="H6" s="7"/>
      <x:c r="I6" s="7"/>
      <x:c r="J6" s="7"/>
      <x:c r="K6" s="7"/>
      <x:c r="L6" s="7"/>
      <x:c r="M6" s="7"/>
      <x:c r="N6" s="7"/>
      <x:c r="O6" s="7"/>
      <x:c r="P6" s="8"/>
      <x:c r="Q6" s="7"/>
      <x:c r="R6" s="7"/>
      <x:c r="S6" s="7"/>
      <x:c r="T6" s="2" t="n">
        <x:f>IF(A6="",0,IFERROR(IF(AND(B6&lt;&gt;"",COUNTIF('Calibrare_Linii'!$A$6:$A$19,C6)=1,COUNTIFS(OOSTable[Fixture_ID],A6,OOSTable[Line],C6)=1,ISNUMBER(D6),ISNUMBER(E6),ISNUMBER(F6),F6&lt;D6,D6&lt;E6,ISNUMBER(G6),G6&gt;='Config_v6'!$B$50,G6&lt;=1,ISNUMBER(H6),H6&gt;='Config_v6'!$B$51,H6&lt;=100,ISNUMBER(I6),I6&gt;=0,I6&lt;='Config_v6'!$B$53,ISNUMBER(J6),J6&gt;=0,J6&lt;='Config_v6'!$B$52,K6="NO",L6=12,M6="PASS",ISNUMBER(N6),N6&gt;=0,MOD(N6,1)=0,O6&lt;&gt;"",ISNUMBER(P6),P6&gt;E6,Q6&lt;&gt;"",R6&lt;&gt;"",S6="LIVE"),1,0),0))</x:f>
        <x:v>0</x:v>
      </x:c>
      <x:c r="U6" s="2" t="n">
        <x:f>IF(T6&lt;&gt;1,0,IF(LEFT(C6,1)="O",IF(N6&gt;INDEX('Calibrare_Linii'!$C$6:$C$19,MATCH(C6,'Calibrare_Linii'!$A$6:$A$19,0)),1,0),IF(N6&lt;=INDEX('Calibrare_Linii'!$C$6:$C$19,MATCH(C6,'Calibrare_Linii'!$A$6:$A$19,0)),1,0)))</x:f>
        <x:v>0</x:v>
      </x:c>
    </x:row>
    <x:row r="7" ht="21" customHeight="1">
      <x:c r="A7" s="7"/>
      <x:c r="B7" s="7"/>
      <x:c r="C7" s="7"/>
      <x:c r="D7" s="8"/>
      <x:c r="E7" s="8"/>
      <x:c r="F7" s="8"/>
      <x:c r="G7" s="12"/>
      <x:c r="H7" s="7"/>
      <x:c r="I7" s="7"/>
      <x:c r="J7" s="7"/>
      <x:c r="K7" s="7"/>
      <x:c r="L7" s="7"/>
      <x:c r="M7" s="7"/>
      <x:c r="N7" s="7"/>
      <x:c r="O7" s="7"/>
      <x:c r="P7" s="8"/>
      <x:c r="Q7" s="7"/>
      <x:c r="R7" s="7"/>
      <x:c r="S7" s="7"/>
      <x:c r="T7" s="2" t="n">
        <x:f>IF(A7="",0,IFERROR(IF(AND(B7&lt;&gt;"",COUNTIF('Calibrare_Linii'!$A$6:$A$19,C7)=1,COUNTIFS(OOSTable[Fixture_ID],A7,OOSTable[Line],C7)=1,ISNUMBER(D7),ISNUMBER(E7),ISNUMBER(F7),F7&lt;D7,D7&lt;E7,ISNUMBER(G7),G7&gt;='Config_v6'!$B$50,G7&lt;=1,ISNUMBER(H7),H7&gt;='Config_v6'!$B$51,H7&lt;=100,ISNUMBER(I7),I7&gt;=0,I7&lt;='Config_v6'!$B$53,ISNUMBER(J7),J7&gt;=0,J7&lt;='Config_v6'!$B$52,K7="NO",L7=12,M7="PASS",ISNUMBER(N7),N7&gt;=0,MOD(N7,1)=0,O7&lt;&gt;"",ISNUMBER(P7),P7&gt;E7,Q7&lt;&gt;"",R7&lt;&gt;"",S7="LIVE"),1,0),0))</x:f>
        <x:v>0</x:v>
      </x:c>
      <x:c r="U7" s="2" t="n">
        <x:f>IF(T7&lt;&gt;1,0,IF(LEFT(C7,1)="O",IF(N7&gt;INDEX('Calibrare_Linii'!$C$6:$C$19,MATCH(C7,'Calibrare_Linii'!$A$6:$A$19,0)),1,0),IF(N7&lt;=INDEX('Calibrare_Linii'!$C$6:$C$19,MATCH(C7,'Calibrare_Linii'!$A$6:$A$19,0)),1,0)))</x:f>
        <x:v>0</x:v>
      </x:c>
    </x:row>
    <x:row r="8" ht="21" customHeight="1">
      <x:c r="A8" s="7"/>
      <x:c r="B8" s="7"/>
      <x:c r="C8" s="7"/>
      <x:c r="D8" s="8"/>
      <x:c r="E8" s="8"/>
      <x:c r="F8" s="8"/>
      <x:c r="G8" s="12"/>
      <x:c r="H8" s="7"/>
      <x:c r="I8" s="7"/>
      <x:c r="J8" s="7"/>
      <x:c r="K8" s="7"/>
      <x:c r="L8" s="7"/>
      <x:c r="M8" s="7"/>
      <x:c r="N8" s="7"/>
      <x:c r="O8" s="7"/>
      <x:c r="P8" s="8"/>
      <x:c r="Q8" s="7"/>
      <x:c r="R8" s="7"/>
      <x:c r="S8" s="7"/>
      <x:c r="T8" s="2" t="n">
        <x:f>IF(A8="",0,IFERROR(IF(AND(B8&lt;&gt;"",COUNTIF('Calibrare_Linii'!$A$6:$A$19,C8)=1,COUNTIFS(OOSTable[Fixture_ID],A8,OOSTable[Line],C8)=1,ISNUMBER(D8),ISNUMBER(E8),ISNUMBER(F8),F8&lt;D8,D8&lt;E8,ISNUMBER(G8),G8&gt;='Config_v6'!$B$50,G8&lt;=1,ISNUMBER(H8),H8&gt;='Config_v6'!$B$51,H8&lt;=100,ISNUMBER(I8),I8&gt;=0,I8&lt;='Config_v6'!$B$53,ISNUMBER(J8),J8&gt;=0,J8&lt;='Config_v6'!$B$52,K8="NO",L8=12,M8="PASS",ISNUMBER(N8),N8&gt;=0,MOD(N8,1)=0,O8&lt;&gt;"",ISNUMBER(P8),P8&gt;E8,Q8&lt;&gt;"",R8&lt;&gt;"",S8="LIVE"),1,0),0))</x:f>
        <x:v>0</x:v>
      </x:c>
      <x:c r="U8" s="2" t="n">
        <x:f>IF(T8&lt;&gt;1,0,IF(LEFT(C8,1)="O",IF(N8&gt;INDEX('Calibrare_Linii'!$C$6:$C$19,MATCH(C8,'Calibrare_Linii'!$A$6:$A$19,0)),1,0),IF(N8&lt;=INDEX('Calibrare_Linii'!$C$6:$C$19,MATCH(C8,'Calibrare_Linii'!$A$6:$A$19,0)),1,0)))</x:f>
        <x:v>0</x:v>
      </x:c>
    </x:row>
    <x:row r="9" ht="21" customHeight="1">
      <x:c r="A9" s="7"/>
      <x:c r="B9" s="7"/>
      <x:c r="C9" s="7"/>
      <x:c r="D9" s="8"/>
      <x:c r="E9" s="8"/>
      <x:c r="F9" s="8"/>
      <x:c r="G9" s="12"/>
      <x:c r="H9" s="7"/>
      <x:c r="I9" s="7"/>
      <x:c r="J9" s="7"/>
      <x:c r="K9" s="7"/>
      <x:c r="L9" s="7"/>
      <x:c r="M9" s="7"/>
      <x:c r="N9" s="7"/>
      <x:c r="O9" s="7"/>
      <x:c r="P9" s="8"/>
      <x:c r="Q9" s="7"/>
      <x:c r="R9" s="7"/>
      <x:c r="S9" s="7"/>
      <x:c r="T9" s="2" t="n">
        <x:f>IF(A9="",0,IFERROR(IF(AND(B9&lt;&gt;"",COUNTIF('Calibrare_Linii'!$A$6:$A$19,C9)=1,COUNTIFS(OOSTable[Fixture_ID],A9,OOSTable[Line],C9)=1,ISNUMBER(D9),ISNUMBER(E9),ISNUMBER(F9),F9&lt;D9,D9&lt;E9,ISNUMBER(G9),G9&gt;='Config_v6'!$B$50,G9&lt;=1,ISNUMBER(H9),H9&gt;='Config_v6'!$B$51,H9&lt;=100,ISNUMBER(I9),I9&gt;=0,I9&lt;='Config_v6'!$B$53,ISNUMBER(J9),J9&gt;=0,J9&lt;='Config_v6'!$B$52,K9="NO",L9=12,M9="PASS",ISNUMBER(N9),N9&gt;=0,MOD(N9,1)=0,O9&lt;&gt;"",ISNUMBER(P9),P9&gt;E9,Q9&lt;&gt;"",R9&lt;&gt;"",S9="LIVE"),1,0),0))</x:f>
        <x:v>0</x:v>
      </x:c>
      <x:c r="U9" s="2" t="n">
        <x:f>IF(T9&lt;&gt;1,0,IF(LEFT(C9,1)="O",IF(N9&gt;INDEX('Calibrare_Linii'!$C$6:$C$19,MATCH(C9,'Calibrare_Linii'!$A$6:$A$19,0)),1,0),IF(N9&lt;=INDEX('Calibrare_Linii'!$C$6:$C$19,MATCH(C9,'Calibrare_Linii'!$A$6:$A$19,0)),1,0)))</x:f>
        <x:v>0</x:v>
      </x:c>
    </x:row>
    <x:row r="10" ht="21" customHeight="1">
      <x:c r="A10" s="7"/>
      <x:c r="B10" s="7"/>
      <x:c r="C10" s="7"/>
      <x:c r="D10" s="8"/>
      <x:c r="E10" s="8"/>
      <x:c r="F10" s="8"/>
      <x:c r="G10" s="12"/>
      <x:c r="H10" s="7"/>
      <x:c r="I10" s="7"/>
      <x:c r="J10" s="7"/>
      <x:c r="K10" s="7"/>
      <x:c r="L10" s="7"/>
      <x:c r="M10" s="7"/>
      <x:c r="N10" s="7"/>
      <x:c r="O10" s="7"/>
      <x:c r="P10" s="8"/>
      <x:c r="Q10" s="7"/>
      <x:c r="R10" s="7"/>
      <x:c r="S10" s="7"/>
      <x:c r="T10" s="2" t="n">
        <x:f>IF(A10="",0,IFERROR(IF(AND(B10&lt;&gt;"",COUNTIF('Calibrare_Linii'!$A$6:$A$19,C10)=1,COUNTIFS(OOSTable[Fixture_ID],A10,OOSTable[Line],C10)=1,ISNUMBER(D10),ISNUMBER(E10),ISNUMBER(F10),F10&lt;D10,D10&lt;E10,ISNUMBER(G10),G10&gt;='Config_v6'!$B$50,G10&lt;=1,ISNUMBER(H10),H10&gt;='Config_v6'!$B$51,H10&lt;=100,ISNUMBER(I10),I10&gt;=0,I10&lt;='Config_v6'!$B$53,ISNUMBER(J10),J10&gt;=0,J10&lt;='Config_v6'!$B$52,K10="NO",L10=12,M10="PASS",ISNUMBER(N10),N10&gt;=0,MOD(N10,1)=0,O10&lt;&gt;"",ISNUMBER(P10),P10&gt;E10,Q10&lt;&gt;"",R10&lt;&gt;"",S10="LIVE"),1,0),0))</x:f>
        <x:v>0</x:v>
      </x:c>
      <x:c r="U10" s="2" t="n">
        <x:f>IF(T10&lt;&gt;1,0,IF(LEFT(C10,1)="O",IF(N10&gt;INDEX('Calibrare_Linii'!$C$6:$C$19,MATCH(C10,'Calibrare_Linii'!$A$6:$A$19,0)),1,0),IF(N10&lt;=INDEX('Calibrare_Linii'!$C$6:$C$19,MATCH(C10,'Calibrare_Linii'!$A$6:$A$19,0)),1,0)))</x:f>
        <x:v>0</x:v>
      </x:c>
    </x:row>
    <x:row r="11" ht="21" customHeight="1">
      <x:c r="A11" s="7"/>
      <x:c r="B11" s="7"/>
      <x:c r="C11" s="7"/>
      <x:c r="D11" s="8"/>
      <x:c r="E11" s="8"/>
      <x:c r="F11" s="8"/>
      <x:c r="G11" s="12"/>
      <x:c r="H11" s="7"/>
      <x:c r="I11" s="7"/>
      <x:c r="J11" s="7"/>
      <x:c r="K11" s="7"/>
      <x:c r="L11" s="7"/>
      <x:c r="M11" s="7"/>
      <x:c r="N11" s="7"/>
      <x:c r="O11" s="7"/>
      <x:c r="P11" s="8"/>
      <x:c r="Q11" s="7"/>
      <x:c r="R11" s="7"/>
      <x:c r="S11" s="7"/>
      <x:c r="T11" s="2" t="n">
        <x:f>IF(A11="",0,IFERROR(IF(AND(B11&lt;&gt;"",COUNTIF('Calibrare_Linii'!$A$6:$A$19,C11)=1,COUNTIFS(OOSTable[Fixture_ID],A11,OOSTable[Line],C11)=1,ISNUMBER(D11),ISNUMBER(E11),ISNUMBER(F11),F11&lt;D11,D11&lt;E11,ISNUMBER(G11),G11&gt;='Config_v6'!$B$50,G11&lt;=1,ISNUMBER(H11),H11&gt;='Config_v6'!$B$51,H11&lt;=100,ISNUMBER(I11),I11&gt;=0,I11&lt;='Config_v6'!$B$53,ISNUMBER(J11),J11&gt;=0,J11&lt;='Config_v6'!$B$52,K11="NO",L11=12,M11="PASS",ISNUMBER(N11),N11&gt;=0,MOD(N11,1)=0,O11&lt;&gt;"",ISNUMBER(P11),P11&gt;E11,Q11&lt;&gt;"",R11&lt;&gt;"",S11="LIVE"),1,0),0))</x:f>
        <x:v>0</x:v>
      </x:c>
      <x:c r="U11" s="2" t="n">
        <x:f>IF(T11&lt;&gt;1,0,IF(LEFT(C11,1)="O",IF(N11&gt;INDEX('Calibrare_Linii'!$C$6:$C$19,MATCH(C11,'Calibrare_Linii'!$A$6:$A$19,0)),1,0),IF(N11&lt;=INDEX('Calibrare_Linii'!$C$6:$C$19,MATCH(C11,'Calibrare_Linii'!$A$6:$A$19,0)),1,0)))</x:f>
        <x:v>0</x:v>
      </x:c>
    </x:row>
    <x:row r="12" ht="21" customHeight="1">
      <x:c r="A12" s="7"/>
      <x:c r="B12" s="7"/>
      <x:c r="C12" s="7"/>
      <x:c r="D12" s="8"/>
      <x:c r="E12" s="8"/>
      <x:c r="F12" s="8"/>
      <x:c r="G12" s="12"/>
      <x:c r="H12" s="7"/>
      <x:c r="I12" s="7"/>
      <x:c r="J12" s="7"/>
      <x:c r="K12" s="7"/>
      <x:c r="L12" s="7"/>
      <x:c r="M12" s="7"/>
      <x:c r="N12" s="7"/>
      <x:c r="O12" s="7"/>
      <x:c r="P12" s="8"/>
      <x:c r="Q12" s="7"/>
      <x:c r="R12" s="7"/>
      <x:c r="S12" s="7"/>
      <x:c r="T12" s="2" t="n">
        <x:f>IF(A12="",0,IFERROR(IF(AND(B12&lt;&gt;"",COUNTIF('Calibrare_Linii'!$A$6:$A$19,C12)=1,COUNTIFS(OOSTable[Fixture_ID],A12,OOSTable[Line],C12)=1,ISNUMBER(D12),ISNUMBER(E12),ISNUMBER(F12),F12&lt;D12,D12&lt;E12,ISNUMBER(G12),G12&gt;='Config_v6'!$B$50,G12&lt;=1,ISNUMBER(H12),H12&gt;='Config_v6'!$B$51,H12&lt;=100,ISNUMBER(I12),I12&gt;=0,I12&lt;='Config_v6'!$B$53,ISNUMBER(J12),J12&gt;=0,J12&lt;='Config_v6'!$B$52,K12="NO",L12=12,M12="PASS",ISNUMBER(N12),N12&gt;=0,MOD(N12,1)=0,O12&lt;&gt;"",ISNUMBER(P12),P12&gt;E12,Q12&lt;&gt;"",R12&lt;&gt;"",S12="LIVE"),1,0),0))</x:f>
        <x:v>0</x:v>
      </x:c>
      <x:c r="U12" s="2" t="n">
        <x:f>IF(T12&lt;&gt;1,0,IF(LEFT(C12,1)="O",IF(N12&gt;INDEX('Calibrare_Linii'!$C$6:$C$19,MATCH(C12,'Calibrare_Linii'!$A$6:$A$19,0)),1,0),IF(N12&lt;=INDEX('Calibrare_Linii'!$C$6:$C$19,MATCH(C12,'Calibrare_Linii'!$A$6:$A$19,0)),1,0)))</x:f>
        <x:v>0</x:v>
      </x:c>
    </x:row>
    <x:row r="13" ht="21" customHeight="1">
      <x:c r="A13" s="7"/>
      <x:c r="B13" s="7"/>
      <x:c r="C13" s="7"/>
      <x:c r="D13" s="8"/>
      <x:c r="E13" s="8"/>
      <x:c r="F13" s="8"/>
      <x:c r="G13" s="12"/>
      <x:c r="H13" s="7"/>
      <x:c r="I13" s="7"/>
      <x:c r="J13" s="7"/>
      <x:c r="K13" s="7"/>
      <x:c r="L13" s="7"/>
      <x:c r="M13" s="7"/>
      <x:c r="N13" s="7"/>
      <x:c r="O13" s="7"/>
      <x:c r="P13" s="8"/>
      <x:c r="Q13" s="7"/>
      <x:c r="R13" s="7"/>
      <x:c r="S13" s="7"/>
      <x:c r="T13" s="2" t="n">
        <x:f>IF(A13="",0,IFERROR(IF(AND(B13&lt;&gt;"",COUNTIF('Calibrare_Linii'!$A$6:$A$19,C13)=1,COUNTIFS(OOSTable[Fixture_ID],A13,OOSTable[Line],C13)=1,ISNUMBER(D13),ISNUMBER(E13),ISNUMBER(F13),F13&lt;D13,D13&lt;E13,ISNUMBER(G13),G13&gt;='Config_v6'!$B$50,G13&lt;=1,ISNUMBER(H13),H13&gt;='Config_v6'!$B$51,H13&lt;=100,ISNUMBER(I13),I13&gt;=0,I13&lt;='Config_v6'!$B$53,ISNUMBER(J13),J13&gt;=0,J13&lt;='Config_v6'!$B$52,K13="NO",L13=12,M13="PASS",ISNUMBER(N13),N13&gt;=0,MOD(N13,1)=0,O13&lt;&gt;"",ISNUMBER(P13),P13&gt;E13,Q13&lt;&gt;"",R13&lt;&gt;"",S13="LIVE"),1,0),0))</x:f>
        <x:v>0</x:v>
      </x:c>
      <x:c r="U13" s="2" t="n">
        <x:f>IF(T13&lt;&gt;1,0,IF(LEFT(C13,1)="O",IF(N13&gt;INDEX('Calibrare_Linii'!$C$6:$C$19,MATCH(C13,'Calibrare_Linii'!$A$6:$A$19,0)),1,0),IF(N13&lt;=INDEX('Calibrare_Linii'!$C$6:$C$19,MATCH(C13,'Calibrare_Linii'!$A$6:$A$19,0)),1,0)))</x:f>
        <x:v>0</x:v>
      </x:c>
    </x:row>
    <x:row r="14" ht="21" customHeight="1">
      <x:c r="A14" s="7"/>
      <x:c r="B14" s="7"/>
      <x:c r="C14" s="7"/>
      <x:c r="D14" s="8"/>
      <x:c r="E14" s="8"/>
      <x:c r="F14" s="8"/>
      <x:c r="G14" s="12"/>
      <x:c r="H14" s="7"/>
      <x:c r="I14" s="7"/>
      <x:c r="J14" s="7"/>
      <x:c r="K14" s="7"/>
      <x:c r="L14" s="7"/>
      <x:c r="M14" s="7"/>
      <x:c r="N14" s="7"/>
      <x:c r="O14" s="7"/>
      <x:c r="P14" s="8"/>
      <x:c r="Q14" s="7"/>
      <x:c r="R14" s="7"/>
      <x:c r="S14" s="7"/>
      <x:c r="T14" s="2" t="n">
        <x:f>IF(A14="",0,IFERROR(IF(AND(B14&lt;&gt;"",COUNTIF('Calibrare_Linii'!$A$6:$A$19,C14)=1,COUNTIFS(OOSTable[Fixture_ID],A14,OOSTable[Line],C14)=1,ISNUMBER(D14),ISNUMBER(E14),ISNUMBER(F14),F14&lt;D14,D14&lt;E14,ISNUMBER(G14),G14&gt;='Config_v6'!$B$50,G14&lt;=1,ISNUMBER(H14),H14&gt;='Config_v6'!$B$51,H14&lt;=100,ISNUMBER(I14),I14&gt;=0,I14&lt;='Config_v6'!$B$53,ISNUMBER(J14),J14&gt;=0,J14&lt;='Config_v6'!$B$52,K14="NO",L14=12,M14="PASS",ISNUMBER(N14),N14&gt;=0,MOD(N14,1)=0,O14&lt;&gt;"",ISNUMBER(P14),P14&gt;E14,Q14&lt;&gt;"",R14&lt;&gt;"",S14="LIVE"),1,0),0))</x:f>
        <x:v>0</x:v>
      </x:c>
      <x:c r="U14" s="2" t="n">
        <x:f>IF(T14&lt;&gt;1,0,IF(LEFT(C14,1)="O",IF(N14&gt;INDEX('Calibrare_Linii'!$C$6:$C$19,MATCH(C14,'Calibrare_Linii'!$A$6:$A$19,0)),1,0),IF(N14&lt;=INDEX('Calibrare_Linii'!$C$6:$C$19,MATCH(C14,'Calibrare_Linii'!$A$6:$A$19,0)),1,0)))</x:f>
        <x:v>0</x:v>
      </x:c>
    </x:row>
    <x:row r="15" ht="21" customHeight="1">
      <x:c r="A15" s="7"/>
      <x:c r="B15" s="7"/>
      <x:c r="C15" s="7"/>
      <x:c r="D15" s="8"/>
      <x:c r="E15" s="8"/>
      <x:c r="F15" s="8"/>
      <x:c r="G15" s="12"/>
      <x:c r="H15" s="7"/>
      <x:c r="I15" s="7"/>
      <x:c r="J15" s="7"/>
      <x:c r="K15" s="7"/>
      <x:c r="L15" s="7"/>
      <x:c r="M15" s="7"/>
      <x:c r="N15" s="7"/>
      <x:c r="O15" s="7"/>
      <x:c r="P15" s="8"/>
      <x:c r="Q15" s="7"/>
      <x:c r="R15" s="7"/>
      <x:c r="S15" s="7"/>
      <x:c r="T15" s="2" t="n">
        <x:f>IF(A15="",0,IFERROR(IF(AND(B15&lt;&gt;"",COUNTIF('Calibrare_Linii'!$A$6:$A$19,C15)=1,COUNTIFS(OOSTable[Fixture_ID],A15,OOSTable[Line],C15)=1,ISNUMBER(D15),ISNUMBER(E15),ISNUMBER(F15),F15&lt;D15,D15&lt;E15,ISNUMBER(G15),G15&gt;='Config_v6'!$B$50,G15&lt;=1,ISNUMBER(H15),H15&gt;='Config_v6'!$B$51,H15&lt;=100,ISNUMBER(I15),I15&gt;=0,I15&lt;='Config_v6'!$B$53,ISNUMBER(J15),J15&gt;=0,J15&lt;='Config_v6'!$B$52,K15="NO",L15=12,M15="PASS",ISNUMBER(N15),N15&gt;=0,MOD(N15,1)=0,O15&lt;&gt;"",ISNUMBER(P15),P15&gt;E15,Q15&lt;&gt;"",R15&lt;&gt;"",S15="LIVE"),1,0),0))</x:f>
        <x:v>0</x:v>
      </x:c>
      <x:c r="U15" s="2" t="n">
        <x:f>IF(T15&lt;&gt;1,0,IF(LEFT(C15,1)="O",IF(N15&gt;INDEX('Calibrare_Linii'!$C$6:$C$19,MATCH(C15,'Calibrare_Linii'!$A$6:$A$19,0)),1,0),IF(N15&lt;=INDEX('Calibrare_Linii'!$C$6:$C$19,MATCH(C15,'Calibrare_Linii'!$A$6:$A$19,0)),1,0)))</x:f>
        <x:v>0</x:v>
      </x:c>
    </x:row>
    <x:row r="16" ht="21" customHeight="1">
      <x:c r="A16" s="7"/>
      <x:c r="B16" s="7"/>
      <x:c r="C16" s="7"/>
      <x:c r="D16" s="8"/>
      <x:c r="E16" s="8"/>
      <x:c r="F16" s="8"/>
      <x:c r="G16" s="12"/>
      <x:c r="H16" s="7"/>
      <x:c r="I16" s="7"/>
      <x:c r="J16" s="7"/>
      <x:c r="K16" s="7"/>
      <x:c r="L16" s="7"/>
      <x:c r="M16" s="7"/>
      <x:c r="N16" s="7"/>
      <x:c r="O16" s="7"/>
      <x:c r="P16" s="8"/>
      <x:c r="Q16" s="7"/>
      <x:c r="R16" s="7"/>
      <x:c r="S16" s="7"/>
      <x:c r="T16" s="2" t="n">
        <x:f>IF(A16="",0,IFERROR(IF(AND(B16&lt;&gt;"",COUNTIF('Calibrare_Linii'!$A$6:$A$19,C16)=1,COUNTIFS(OOSTable[Fixture_ID],A16,OOSTable[Line],C16)=1,ISNUMBER(D16),ISNUMBER(E16),ISNUMBER(F16),F16&lt;D16,D16&lt;E16,ISNUMBER(G16),G16&gt;='Config_v6'!$B$50,G16&lt;=1,ISNUMBER(H16),H16&gt;='Config_v6'!$B$51,H16&lt;=100,ISNUMBER(I16),I16&gt;=0,I16&lt;='Config_v6'!$B$53,ISNUMBER(J16),J16&gt;=0,J16&lt;='Config_v6'!$B$52,K16="NO",L16=12,M16="PASS",ISNUMBER(N16),N16&gt;=0,MOD(N16,1)=0,O16&lt;&gt;"",ISNUMBER(P16),P16&gt;E16,Q16&lt;&gt;"",R16&lt;&gt;"",S16="LIVE"),1,0),0))</x:f>
        <x:v>0</x:v>
      </x:c>
      <x:c r="U16" s="2" t="n">
        <x:f>IF(T16&lt;&gt;1,0,IF(LEFT(C16,1)="O",IF(N16&gt;INDEX('Calibrare_Linii'!$C$6:$C$19,MATCH(C16,'Calibrare_Linii'!$A$6:$A$19,0)),1,0),IF(N16&lt;=INDEX('Calibrare_Linii'!$C$6:$C$19,MATCH(C16,'Calibrare_Linii'!$A$6:$A$19,0)),1,0)))</x:f>
        <x:v>0</x:v>
      </x:c>
    </x:row>
    <x:row r="17" ht="21" customHeight="1">
      <x:c r="A17" s="7"/>
      <x:c r="B17" s="7"/>
      <x:c r="C17" s="7"/>
      <x:c r="D17" s="8"/>
      <x:c r="E17" s="8"/>
      <x:c r="F17" s="8"/>
      <x:c r="G17" s="12"/>
      <x:c r="H17" s="7"/>
      <x:c r="I17" s="7"/>
      <x:c r="J17" s="7"/>
      <x:c r="K17" s="7"/>
      <x:c r="L17" s="7"/>
      <x:c r="M17" s="7"/>
      <x:c r="N17" s="7"/>
      <x:c r="O17" s="7"/>
      <x:c r="P17" s="8"/>
      <x:c r="Q17" s="7"/>
      <x:c r="R17" s="7"/>
      <x:c r="S17" s="7"/>
      <x:c r="T17" s="2" t="n">
        <x:f>IF(A17="",0,IFERROR(IF(AND(B17&lt;&gt;"",COUNTIF('Calibrare_Linii'!$A$6:$A$19,C17)=1,COUNTIFS(OOSTable[Fixture_ID],A17,OOSTable[Line],C17)=1,ISNUMBER(D17),ISNUMBER(E17),ISNUMBER(F17),F17&lt;D17,D17&lt;E17,ISNUMBER(G17),G17&gt;='Config_v6'!$B$50,G17&lt;=1,ISNUMBER(H17),H17&gt;='Config_v6'!$B$51,H17&lt;=100,ISNUMBER(I17),I17&gt;=0,I17&lt;='Config_v6'!$B$53,ISNUMBER(J17),J17&gt;=0,J17&lt;='Config_v6'!$B$52,K17="NO",L17=12,M17="PASS",ISNUMBER(N17),N17&gt;=0,MOD(N17,1)=0,O17&lt;&gt;"",ISNUMBER(P17),P17&gt;E17,Q17&lt;&gt;"",R17&lt;&gt;"",S17="LIVE"),1,0),0))</x:f>
        <x:v>0</x:v>
      </x:c>
      <x:c r="U17" s="2" t="n">
        <x:f>IF(T17&lt;&gt;1,0,IF(LEFT(C17,1)="O",IF(N17&gt;INDEX('Calibrare_Linii'!$C$6:$C$19,MATCH(C17,'Calibrare_Linii'!$A$6:$A$19,0)),1,0),IF(N17&lt;=INDEX('Calibrare_Linii'!$C$6:$C$19,MATCH(C17,'Calibrare_Linii'!$A$6:$A$19,0)),1,0)))</x:f>
        <x:v>0</x:v>
      </x:c>
    </x:row>
    <x:row r="18" ht="21" customHeight="1">
      <x:c r="A18" s="7"/>
      <x:c r="B18" s="7"/>
      <x:c r="C18" s="7"/>
      <x:c r="D18" s="8"/>
      <x:c r="E18" s="8"/>
      <x:c r="F18" s="8"/>
      <x:c r="G18" s="12"/>
      <x:c r="H18" s="7"/>
      <x:c r="I18" s="7"/>
      <x:c r="J18" s="7"/>
      <x:c r="K18" s="7"/>
      <x:c r="L18" s="7"/>
      <x:c r="M18" s="7"/>
      <x:c r="N18" s="7"/>
      <x:c r="O18" s="7"/>
      <x:c r="P18" s="8"/>
      <x:c r="Q18" s="7"/>
      <x:c r="R18" s="7"/>
      <x:c r="S18" s="7"/>
      <x:c r="T18" s="2" t="n">
        <x:f>IF(A18="",0,IFERROR(IF(AND(B18&lt;&gt;"",COUNTIF('Calibrare_Linii'!$A$6:$A$19,C18)=1,COUNTIFS(OOSTable[Fixture_ID],A18,OOSTable[Line],C18)=1,ISNUMBER(D18),ISNUMBER(E18),ISNUMBER(F18),F18&lt;D18,D18&lt;E18,ISNUMBER(G18),G18&gt;='Config_v6'!$B$50,G18&lt;=1,ISNUMBER(H18),H18&gt;='Config_v6'!$B$51,H18&lt;=100,ISNUMBER(I18),I18&gt;=0,I18&lt;='Config_v6'!$B$53,ISNUMBER(J18),J18&gt;=0,J18&lt;='Config_v6'!$B$52,K18="NO",L18=12,M18="PASS",ISNUMBER(N18),N18&gt;=0,MOD(N18,1)=0,O18&lt;&gt;"",ISNUMBER(P18),P18&gt;E18,Q18&lt;&gt;"",R18&lt;&gt;"",S18="LIVE"),1,0),0))</x:f>
        <x:v>0</x:v>
      </x:c>
      <x:c r="U18" s="2" t="n">
        <x:f>IF(T18&lt;&gt;1,0,IF(LEFT(C18,1)="O",IF(N18&gt;INDEX('Calibrare_Linii'!$C$6:$C$19,MATCH(C18,'Calibrare_Linii'!$A$6:$A$19,0)),1,0),IF(N18&lt;=INDEX('Calibrare_Linii'!$C$6:$C$19,MATCH(C18,'Calibrare_Linii'!$A$6:$A$19,0)),1,0)))</x:f>
        <x:v>0</x:v>
      </x:c>
    </x:row>
    <x:row r="19" ht="21" customHeight="1">
      <x:c r="A19" s="7"/>
      <x:c r="B19" s="7"/>
      <x:c r="C19" s="7"/>
      <x:c r="D19" s="8"/>
      <x:c r="E19" s="8"/>
      <x:c r="F19" s="8"/>
      <x:c r="G19" s="12"/>
      <x:c r="H19" s="7"/>
      <x:c r="I19" s="7"/>
      <x:c r="J19" s="7"/>
      <x:c r="K19" s="7"/>
      <x:c r="L19" s="7"/>
      <x:c r="M19" s="7"/>
      <x:c r="N19" s="7"/>
      <x:c r="O19" s="7"/>
      <x:c r="P19" s="8"/>
      <x:c r="Q19" s="7"/>
      <x:c r="R19" s="7"/>
      <x:c r="S19" s="7"/>
      <x:c r="T19" s="2" t="n">
        <x:f>IF(A19="",0,IFERROR(IF(AND(B19&lt;&gt;"",COUNTIF('Calibrare_Linii'!$A$6:$A$19,C19)=1,COUNTIFS(OOSTable[Fixture_ID],A19,OOSTable[Line],C19)=1,ISNUMBER(D19),ISNUMBER(E19),ISNUMBER(F19),F19&lt;D19,D19&lt;E19,ISNUMBER(G19),G19&gt;='Config_v6'!$B$50,G19&lt;=1,ISNUMBER(H19),H19&gt;='Config_v6'!$B$51,H19&lt;=100,ISNUMBER(I19),I19&gt;=0,I19&lt;='Config_v6'!$B$53,ISNUMBER(J19),J19&gt;=0,J19&lt;='Config_v6'!$B$52,K19="NO",L19=12,M19="PASS",ISNUMBER(N19),N19&gt;=0,MOD(N19,1)=0,O19&lt;&gt;"",ISNUMBER(P19),P19&gt;E19,Q19&lt;&gt;"",R19&lt;&gt;"",S19="LIVE"),1,0),0))</x:f>
        <x:v>0</x:v>
      </x:c>
      <x:c r="U19" s="2" t="n">
        <x:f>IF(T19&lt;&gt;1,0,IF(LEFT(C19,1)="O",IF(N19&gt;INDEX('Calibrare_Linii'!$C$6:$C$19,MATCH(C19,'Calibrare_Linii'!$A$6:$A$19,0)),1,0),IF(N19&lt;=INDEX('Calibrare_Linii'!$C$6:$C$19,MATCH(C19,'Calibrare_Linii'!$A$6:$A$19,0)),1,0)))</x:f>
        <x:v>0</x:v>
      </x:c>
    </x:row>
    <x:row r="20" ht="21" customHeight="1">
      <x:c r="A20" s="7"/>
      <x:c r="B20" s="7"/>
      <x:c r="C20" s="7"/>
      <x:c r="D20" s="8"/>
      <x:c r="E20" s="8"/>
      <x:c r="F20" s="8"/>
      <x:c r="G20" s="12"/>
      <x:c r="H20" s="7"/>
      <x:c r="I20" s="7"/>
      <x:c r="J20" s="7"/>
      <x:c r="K20" s="7"/>
      <x:c r="L20" s="7"/>
      <x:c r="M20" s="7"/>
      <x:c r="N20" s="7"/>
      <x:c r="O20" s="7"/>
      <x:c r="P20" s="8"/>
      <x:c r="Q20" s="7"/>
      <x:c r="R20" s="7"/>
      <x:c r="S20" s="7"/>
      <x:c r="T20" s="2" t="n">
        <x:f>IF(A20="",0,IFERROR(IF(AND(B20&lt;&gt;"",COUNTIF('Calibrare_Linii'!$A$6:$A$19,C20)=1,COUNTIFS(OOSTable[Fixture_ID],A20,OOSTable[Line],C20)=1,ISNUMBER(D20),ISNUMBER(E20),ISNUMBER(F20),F20&lt;D20,D20&lt;E20,ISNUMBER(G20),G20&gt;='Config_v6'!$B$50,G20&lt;=1,ISNUMBER(H20),H20&gt;='Config_v6'!$B$51,H20&lt;=100,ISNUMBER(I20),I20&gt;=0,I20&lt;='Config_v6'!$B$53,ISNUMBER(J20),J20&gt;=0,J20&lt;='Config_v6'!$B$52,K20="NO",L20=12,M20="PASS",ISNUMBER(N20),N20&gt;=0,MOD(N20,1)=0,O20&lt;&gt;"",ISNUMBER(P20),P20&gt;E20,Q20&lt;&gt;"",R20&lt;&gt;"",S20="LIVE"),1,0),0))</x:f>
        <x:v>0</x:v>
      </x:c>
      <x:c r="U20" s="2" t="n">
        <x:f>IF(T20&lt;&gt;1,0,IF(LEFT(C20,1)="O",IF(N20&gt;INDEX('Calibrare_Linii'!$C$6:$C$19,MATCH(C20,'Calibrare_Linii'!$A$6:$A$19,0)),1,0),IF(N20&lt;=INDEX('Calibrare_Linii'!$C$6:$C$19,MATCH(C20,'Calibrare_Linii'!$A$6:$A$19,0)),1,0)))</x:f>
        <x:v>0</x:v>
      </x:c>
    </x:row>
    <x:row r="21" ht="21" customHeight="1">
      <x:c r="A21" s="7"/>
      <x:c r="B21" s="7"/>
      <x:c r="C21" s="7"/>
      <x:c r="D21" s="8"/>
      <x:c r="E21" s="8"/>
      <x:c r="F21" s="8"/>
      <x:c r="G21" s="12"/>
      <x:c r="H21" s="7"/>
      <x:c r="I21" s="7"/>
      <x:c r="J21" s="7"/>
      <x:c r="K21" s="7"/>
      <x:c r="L21" s="7"/>
      <x:c r="M21" s="7"/>
      <x:c r="N21" s="7"/>
      <x:c r="O21" s="7"/>
      <x:c r="P21" s="8"/>
      <x:c r="Q21" s="7"/>
      <x:c r="R21" s="7"/>
      <x:c r="S21" s="7"/>
      <x:c r="T21" s="2" t="n">
        <x:f>IF(A21="",0,IFERROR(IF(AND(B21&lt;&gt;"",COUNTIF('Calibrare_Linii'!$A$6:$A$19,C21)=1,COUNTIFS(OOSTable[Fixture_ID],A21,OOSTable[Line],C21)=1,ISNUMBER(D21),ISNUMBER(E21),ISNUMBER(F21),F21&lt;D21,D21&lt;E21,ISNUMBER(G21),G21&gt;='Config_v6'!$B$50,G21&lt;=1,ISNUMBER(H21),H21&gt;='Config_v6'!$B$51,H21&lt;=100,ISNUMBER(I21),I21&gt;=0,I21&lt;='Config_v6'!$B$53,ISNUMBER(J21),J21&gt;=0,J21&lt;='Config_v6'!$B$52,K21="NO",L21=12,M21="PASS",ISNUMBER(N21),N21&gt;=0,MOD(N21,1)=0,O21&lt;&gt;"",ISNUMBER(P21),P21&gt;E21,Q21&lt;&gt;"",R21&lt;&gt;"",S21="LIVE"),1,0),0))</x:f>
        <x:v>0</x:v>
      </x:c>
      <x:c r="U21" s="2" t="n">
        <x:f>IF(T21&lt;&gt;1,0,IF(LEFT(C21,1)="O",IF(N21&gt;INDEX('Calibrare_Linii'!$C$6:$C$19,MATCH(C21,'Calibrare_Linii'!$A$6:$A$19,0)),1,0),IF(N21&lt;=INDEX('Calibrare_Linii'!$C$6:$C$19,MATCH(C21,'Calibrare_Linii'!$A$6:$A$19,0)),1,0)))</x:f>
        <x:v>0</x:v>
      </x:c>
    </x:row>
    <x:row r="22" ht="21" customHeight="1">
      <x:c r="A22" s="7"/>
      <x:c r="B22" s="7"/>
      <x:c r="C22" s="7"/>
      <x:c r="D22" s="8"/>
      <x:c r="E22" s="8"/>
      <x:c r="F22" s="8"/>
      <x:c r="G22" s="12"/>
      <x:c r="H22" s="7"/>
      <x:c r="I22" s="7"/>
      <x:c r="J22" s="7"/>
      <x:c r="K22" s="7"/>
      <x:c r="L22" s="7"/>
      <x:c r="M22" s="7"/>
      <x:c r="N22" s="7"/>
      <x:c r="O22" s="7"/>
      <x:c r="P22" s="8"/>
      <x:c r="Q22" s="7"/>
      <x:c r="R22" s="7"/>
      <x:c r="S22" s="7"/>
      <x:c r="T22" s="2" t="n">
        <x:f>IF(A22="",0,IFERROR(IF(AND(B22&lt;&gt;"",COUNTIF('Calibrare_Linii'!$A$6:$A$19,C22)=1,COUNTIFS(OOSTable[Fixture_ID],A22,OOSTable[Line],C22)=1,ISNUMBER(D22),ISNUMBER(E22),ISNUMBER(F22),F22&lt;D22,D22&lt;E22,ISNUMBER(G22),G22&gt;='Config_v6'!$B$50,G22&lt;=1,ISNUMBER(H22),H22&gt;='Config_v6'!$B$51,H22&lt;=100,ISNUMBER(I22),I22&gt;=0,I22&lt;='Config_v6'!$B$53,ISNUMBER(J22),J22&gt;=0,J22&lt;='Config_v6'!$B$52,K22="NO",L22=12,M22="PASS",ISNUMBER(N22),N22&gt;=0,MOD(N22,1)=0,O22&lt;&gt;"",ISNUMBER(P22),P22&gt;E22,Q22&lt;&gt;"",R22&lt;&gt;"",S22="LIVE"),1,0),0))</x:f>
        <x:v>0</x:v>
      </x:c>
      <x:c r="U22" s="2" t="n">
        <x:f>IF(T22&lt;&gt;1,0,IF(LEFT(C22,1)="O",IF(N22&gt;INDEX('Calibrare_Linii'!$C$6:$C$19,MATCH(C22,'Calibrare_Linii'!$A$6:$A$19,0)),1,0),IF(N22&lt;=INDEX('Calibrare_Linii'!$C$6:$C$19,MATCH(C22,'Calibrare_Linii'!$A$6:$A$19,0)),1,0)))</x:f>
        <x:v>0</x:v>
      </x:c>
    </x:row>
    <x:row r="23" ht="21" customHeight="1">
      <x:c r="A23" s="7"/>
      <x:c r="B23" s="7"/>
      <x:c r="C23" s="7"/>
      <x:c r="D23" s="8"/>
      <x:c r="E23" s="8"/>
      <x:c r="F23" s="8"/>
      <x:c r="G23" s="12"/>
      <x:c r="H23" s="7"/>
      <x:c r="I23" s="7"/>
      <x:c r="J23" s="7"/>
      <x:c r="K23" s="7"/>
      <x:c r="L23" s="7"/>
      <x:c r="M23" s="7"/>
      <x:c r="N23" s="7"/>
      <x:c r="O23" s="7"/>
      <x:c r="P23" s="8"/>
      <x:c r="Q23" s="7"/>
      <x:c r="R23" s="7"/>
      <x:c r="S23" s="7"/>
      <x:c r="T23" s="2" t="n">
        <x:f>IF(A23="",0,IFERROR(IF(AND(B23&lt;&gt;"",COUNTIF('Calibrare_Linii'!$A$6:$A$19,C23)=1,COUNTIFS(OOSTable[Fixture_ID],A23,OOSTable[Line],C23)=1,ISNUMBER(D23),ISNUMBER(E23),ISNUMBER(F23),F23&lt;D23,D23&lt;E23,ISNUMBER(G23),G23&gt;='Config_v6'!$B$50,G23&lt;=1,ISNUMBER(H23),H23&gt;='Config_v6'!$B$51,H23&lt;=100,ISNUMBER(I23),I23&gt;=0,I23&lt;='Config_v6'!$B$53,ISNUMBER(J23),J23&gt;=0,J23&lt;='Config_v6'!$B$52,K23="NO",L23=12,M23="PASS",ISNUMBER(N23),N23&gt;=0,MOD(N23,1)=0,O23&lt;&gt;"",ISNUMBER(P23),P23&gt;E23,Q23&lt;&gt;"",R23&lt;&gt;"",S23="LIVE"),1,0),0))</x:f>
        <x:v>0</x:v>
      </x:c>
      <x:c r="U23" s="2" t="n">
        <x:f>IF(T23&lt;&gt;1,0,IF(LEFT(C23,1)="O",IF(N23&gt;INDEX('Calibrare_Linii'!$C$6:$C$19,MATCH(C23,'Calibrare_Linii'!$A$6:$A$19,0)),1,0),IF(N23&lt;=INDEX('Calibrare_Linii'!$C$6:$C$19,MATCH(C23,'Calibrare_Linii'!$A$6:$A$19,0)),1,0)))</x:f>
        <x:v>0</x:v>
      </x:c>
    </x:row>
    <x:row r="24" ht="21" customHeight="1">
      <x:c r="A24" s="7"/>
      <x:c r="B24" s="7"/>
      <x:c r="C24" s="7"/>
      <x:c r="D24" s="8"/>
      <x:c r="E24" s="8"/>
      <x:c r="F24" s="8"/>
      <x:c r="G24" s="12"/>
      <x:c r="H24" s="7"/>
      <x:c r="I24" s="7"/>
      <x:c r="J24" s="7"/>
      <x:c r="K24" s="7"/>
      <x:c r="L24" s="7"/>
      <x:c r="M24" s="7"/>
      <x:c r="N24" s="7"/>
      <x:c r="O24" s="7"/>
      <x:c r="P24" s="8"/>
      <x:c r="Q24" s="7"/>
      <x:c r="R24" s="7"/>
      <x:c r="S24" s="7"/>
      <x:c r="T24" s="2" t="n">
        <x:f>IF(A24="",0,IFERROR(IF(AND(B24&lt;&gt;"",COUNTIF('Calibrare_Linii'!$A$6:$A$19,C24)=1,COUNTIFS(OOSTable[Fixture_ID],A24,OOSTable[Line],C24)=1,ISNUMBER(D24),ISNUMBER(E24),ISNUMBER(F24),F24&lt;D24,D24&lt;E24,ISNUMBER(G24),G24&gt;='Config_v6'!$B$50,G24&lt;=1,ISNUMBER(H24),H24&gt;='Config_v6'!$B$51,H24&lt;=100,ISNUMBER(I24),I24&gt;=0,I24&lt;='Config_v6'!$B$53,ISNUMBER(J24),J24&gt;=0,J24&lt;='Config_v6'!$B$52,K24="NO",L24=12,M24="PASS",ISNUMBER(N24),N24&gt;=0,MOD(N24,1)=0,O24&lt;&gt;"",ISNUMBER(P24),P24&gt;E24,Q24&lt;&gt;"",R24&lt;&gt;"",S24="LIVE"),1,0),0))</x:f>
        <x:v>0</x:v>
      </x:c>
      <x:c r="U24" s="2" t="n">
        <x:f>IF(T24&lt;&gt;1,0,IF(LEFT(C24,1)="O",IF(N24&gt;INDEX('Calibrare_Linii'!$C$6:$C$19,MATCH(C24,'Calibrare_Linii'!$A$6:$A$19,0)),1,0),IF(N24&lt;=INDEX('Calibrare_Linii'!$C$6:$C$19,MATCH(C24,'Calibrare_Linii'!$A$6:$A$19,0)),1,0)))</x:f>
        <x:v>0</x:v>
      </x:c>
    </x:row>
    <x:row r="25" ht="21" customHeight="1">
      <x:c r="A25" s="7"/>
      <x:c r="B25" s="7"/>
      <x:c r="C25" s="7"/>
      <x:c r="D25" s="8"/>
      <x:c r="E25" s="8"/>
      <x:c r="F25" s="8"/>
      <x:c r="G25" s="12"/>
      <x:c r="H25" s="7"/>
      <x:c r="I25" s="7"/>
      <x:c r="J25" s="7"/>
      <x:c r="K25" s="7"/>
      <x:c r="L25" s="7"/>
      <x:c r="M25" s="7"/>
      <x:c r="N25" s="7"/>
      <x:c r="O25" s="7"/>
      <x:c r="P25" s="8"/>
      <x:c r="Q25" s="7"/>
      <x:c r="R25" s="7"/>
      <x:c r="S25" s="7"/>
      <x:c r="T25" s="2" t="n">
        <x:f>IF(A25="",0,IFERROR(IF(AND(B25&lt;&gt;"",COUNTIF('Calibrare_Linii'!$A$6:$A$19,C25)=1,COUNTIFS(OOSTable[Fixture_ID],A25,OOSTable[Line],C25)=1,ISNUMBER(D25),ISNUMBER(E25),ISNUMBER(F25),F25&lt;D25,D25&lt;E25,ISNUMBER(G25),G25&gt;='Config_v6'!$B$50,G25&lt;=1,ISNUMBER(H25),H25&gt;='Config_v6'!$B$51,H25&lt;=100,ISNUMBER(I25),I25&gt;=0,I25&lt;='Config_v6'!$B$53,ISNUMBER(J25),J25&gt;=0,J25&lt;='Config_v6'!$B$52,K25="NO",L25=12,M25="PASS",ISNUMBER(N25),N25&gt;=0,MOD(N25,1)=0,O25&lt;&gt;"",ISNUMBER(P25),P25&gt;E25,Q25&lt;&gt;"",R25&lt;&gt;"",S25="LIVE"),1,0),0))</x:f>
        <x:v>0</x:v>
      </x:c>
      <x:c r="U25" s="2" t="n">
        <x:f>IF(T25&lt;&gt;1,0,IF(LEFT(C25,1)="O",IF(N25&gt;INDEX('Calibrare_Linii'!$C$6:$C$19,MATCH(C25,'Calibrare_Linii'!$A$6:$A$19,0)),1,0),IF(N25&lt;=INDEX('Calibrare_Linii'!$C$6:$C$19,MATCH(C25,'Calibrare_Linii'!$A$6:$A$19,0)),1,0)))</x:f>
        <x:v>0</x:v>
      </x:c>
    </x:row>
    <x:row r="26" ht="21" customHeight="1">
      <x:c r="A26" s="7"/>
      <x:c r="B26" s="7"/>
      <x:c r="C26" s="7"/>
      <x:c r="D26" s="8"/>
      <x:c r="E26" s="8"/>
      <x:c r="F26" s="8"/>
      <x:c r="G26" s="12"/>
      <x:c r="H26" s="7"/>
      <x:c r="I26" s="7"/>
      <x:c r="J26" s="7"/>
      <x:c r="K26" s="7"/>
      <x:c r="L26" s="7"/>
      <x:c r="M26" s="7"/>
      <x:c r="N26" s="7"/>
      <x:c r="O26" s="7"/>
      <x:c r="P26" s="8"/>
      <x:c r="Q26" s="7"/>
      <x:c r="R26" s="7"/>
      <x:c r="S26" s="7"/>
      <x:c r="T26" s="2" t="n">
        <x:f>IF(A26="",0,IFERROR(IF(AND(B26&lt;&gt;"",COUNTIF('Calibrare_Linii'!$A$6:$A$19,C26)=1,COUNTIFS(OOSTable[Fixture_ID],A26,OOSTable[Line],C26)=1,ISNUMBER(D26),ISNUMBER(E26),ISNUMBER(F26),F26&lt;D26,D26&lt;E26,ISNUMBER(G26),G26&gt;='Config_v6'!$B$50,G26&lt;=1,ISNUMBER(H26),H26&gt;='Config_v6'!$B$51,H26&lt;=100,ISNUMBER(I26),I26&gt;=0,I26&lt;='Config_v6'!$B$53,ISNUMBER(J26),J26&gt;=0,J26&lt;='Config_v6'!$B$52,K26="NO",L26=12,M26="PASS",ISNUMBER(N26),N26&gt;=0,MOD(N26,1)=0,O26&lt;&gt;"",ISNUMBER(P26),P26&gt;E26,Q26&lt;&gt;"",R26&lt;&gt;"",S26="LIVE"),1,0),0))</x:f>
        <x:v>0</x:v>
      </x:c>
      <x:c r="U26" s="2" t="n">
        <x:f>IF(T26&lt;&gt;1,0,IF(LEFT(C26,1)="O",IF(N26&gt;INDEX('Calibrare_Linii'!$C$6:$C$19,MATCH(C26,'Calibrare_Linii'!$A$6:$A$19,0)),1,0),IF(N26&lt;=INDEX('Calibrare_Linii'!$C$6:$C$19,MATCH(C26,'Calibrare_Linii'!$A$6:$A$19,0)),1,0)))</x:f>
        <x:v>0</x:v>
      </x:c>
    </x:row>
    <x:row r="27" ht="21" customHeight="1">
      <x:c r="A27" s="7"/>
      <x:c r="B27" s="7"/>
      <x:c r="C27" s="7"/>
      <x:c r="D27" s="8"/>
      <x:c r="E27" s="8"/>
      <x:c r="F27" s="8"/>
      <x:c r="G27" s="12"/>
      <x:c r="H27" s="7"/>
      <x:c r="I27" s="7"/>
      <x:c r="J27" s="7"/>
      <x:c r="K27" s="7"/>
      <x:c r="L27" s="7"/>
      <x:c r="M27" s="7"/>
      <x:c r="N27" s="7"/>
      <x:c r="O27" s="7"/>
      <x:c r="P27" s="8"/>
      <x:c r="Q27" s="7"/>
      <x:c r="R27" s="7"/>
      <x:c r="S27" s="7"/>
      <x:c r="T27" s="2" t="n">
        <x:f>IF(A27="",0,IFERROR(IF(AND(B27&lt;&gt;"",COUNTIF('Calibrare_Linii'!$A$6:$A$19,C27)=1,COUNTIFS(OOSTable[Fixture_ID],A27,OOSTable[Line],C27)=1,ISNUMBER(D27),ISNUMBER(E27),ISNUMBER(F27),F27&lt;D27,D27&lt;E27,ISNUMBER(G27),G27&gt;='Config_v6'!$B$50,G27&lt;=1,ISNUMBER(H27),H27&gt;='Config_v6'!$B$51,H27&lt;=100,ISNUMBER(I27),I27&gt;=0,I27&lt;='Config_v6'!$B$53,ISNUMBER(J27),J27&gt;=0,J27&lt;='Config_v6'!$B$52,K27="NO",L27=12,M27="PASS",ISNUMBER(N27),N27&gt;=0,MOD(N27,1)=0,O27&lt;&gt;"",ISNUMBER(P27),P27&gt;E27,Q27&lt;&gt;"",R27&lt;&gt;"",S27="LIVE"),1,0),0))</x:f>
        <x:v>0</x:v>
      </x:c>
      <x:c r="U27" s="2" t="n">
        <x:f>IF(T27&lt;&gt;1,0,IF(LEFT(C27,1)="O",IF(N27&gt;INDEX('Calibrare_Linii'!$C$6:$C$19,MATCH(C27,'Calibrare_Linii'!$A$6:$A$19,0)),1,0),IF(N27&lt;=INDEX('Calibrare_Linii'!$C$6:$C$19,MATCH(C27,'Calibrare_Linii'!$A$6:$A$19,0)),1,0)))</x:f>
        <x:v>0</x:v>
      </x:c>
    </x:row>
    <x:row r="28" ht="21" customHeight="1">
      <x:c r="A28" s="7"/>
      <x:c r="B28" s="7"/>
      <x:c r="C28" s="7"/>
      <x:c r="D28" s="8"/>
      <x:c r="E28" s="8"/>
      <x:c r="F28" s="8"/>
      <x:c r="G28" s="12"/>
      <x:c r="H28" s="7"/>
      <x:c r="I28" s="7"/>
      <x:c r="J28" s="7"/>
      <x:c r="K28" s="7"/>
      <x:c r="L28" s="7"/>
      <x:c r="M28" s="7"/>
      <x:c r="N28" s="7"/>
      <x:c r="O28" s="7"/>
      <x:c r="P28" s="8"/>
      <x:c r="Q28" s="7"/>
      <x:c r="R28" s="7"/>
      <x:c r="S28" s="7"/>
      <x:c r="T28" s="2" t="n">
        <x:f>IF(A28="",0,IFERROR(IF(AND(B28&lt;&gt;"",COUNTIF('Calibrare_Linii'!$A$6:$A$19,C28)=1,COUNTIFS(OOSTable[Fixture_ID],A28,OOSTable[Line],C28)=1,ISNUMBER(D28),ISNUMBER(E28),ISNUMBER(F28),F28&lt;D28,D28&lt;E28,ISNUMBER(G28),G28&gt;='Config_v6'!$B$50,G28&lt;=1,ISNUMBER(H28),H28&gt;='Config_v6'!$B$51,H28&lt;=100,ISNUMBER(I28),I28&gt;=0,I28&lt;='Config_v6'!$B$53,ISNUMBER(J28),J28&gt;=0,J28&lt;='Config_v6'!$B$52,K28="NO",L28=12,M28="PASS",ISNUMBER(N28),N28&gt;=0,MOD(N28,1)=0,O28&lt;&gt;"",ISNUMBER(P28),P28&gt;E28,Q28&lt;&gt;"",R28&lt;&gt;"",S28="LIVE"),1,0),0))</x:f>
        <x:v>0</x:v>
      </x:c>
      <x:c r="U28" s="2" t="n">
        <x:f>IF(T28&lt;&gt;1,0,IF(LEFT(C28,1)="O",IF(N28&gt;INDEX('Calibrare_Linii'!$C$6:$C$19,MATCH(C28,'Calibrare_Linii'!$A$6:$A$19,0)),1,0),IF(N28&lt;=INDEX('Calibrare_Linii'!$C$6:$C$19,MATCH(C28,'Calibrare_Linii'!$A$6:$A$19,0)),1,0)))</x:f>
        <x:v>0</x:v>
      </x:c>
    </x:row>
    <x:row r="29" ht="21" customHeight="1">
      <x:c r="A29" s="7"/>
      <x:c r="B29" s="7"/>
      <x:c r="C29" s="7"/>
      <x:c r="D29" s="8"/>
      <x:c r="E29" s="8"/>
      <x:c r="F29" s="8"/>
      <x:c r="G29" s="12"/>
      <x:c r="H29" s="7"/>
      <x:c r="I29" s="7"/>
      <x:c r="J29" s="7"/>
      <x:c r="K29" s="7"/>
      <x:c r="L29" s="7"/>
      <x:c r="M29" s="7"/>
      <x:c r="N29" s="7"/>
      <x:c r="O29" s="7"/>
      <x:c r="P29" s="8"/>
      <x:c r="Q29" s="7"/>
      <x:c r="R29" s="7"/>
      <x:c r="S29" s="7"/>
      <x:c r="T29" s="2" t="n">
        <x:f>IF(A29="",0,IFERROR(IF(AND(B29&lt;&gt;"",COUNTIF('Calibrare_Linii'!$A$6:$A$19,C29)=1,COUNTIFS(OOSTable[Fixture_ID],A29,OOSTable[Line],C29)=1,ISNUMBER(D29),ISNUMBER(E29),ISNUMBER(F29),F29&lt;D29,D29&lt;E29,ISNUMBER(G29),G29&gt;='Config_v6'!$B$50,G29&lt;=1,ISNUMBER(H29),H29&gt;='Config_v6'!$B$51,H29&lt;=100,ISNUMBER(I29),I29&gt;=0,I29&lt;='Config_v6'!$B$53,ISNUMBER(J29),J29&gt;=0,J29&lt;='Config_v6'!$B$52,K29="NO",L29=12,M29="PASS",ISNUMBER(N29),N29&gt;=0,MOD(N29,1)=0,O29&lt;&gt;"",ISNUMBER(P29),P29&gt;E29,Q29&lt;&gt;"",R29&lt;&gt;"",S29="LIVE"),1,0),0))</x:f>
        <x:v>0</x:v>
      </x:c>
      <x:c r="U29" s="2" t="n">
        <x:f>IF(T29&lt;&gt;1,0,IF(LEFT(C29,1)="O",IF(N29&gt;INDEX('Calibrare_Linii'!$C$6:$C$19,MATCH(C29,'Calibrare_Linii'!$A$6:$A$19,0)),1,0),IF(N29&lt;=INDEX('Calibrare_Linii'!$C$6:$C$19,MATCH(C29,'Calibrare_Linii'!$A$6:$A$19,0)),1,0)))</x:f>
        <x:v>0</x:v>
      </x:c>
    </x:row>
    <x:row r="30" ht="21" customHeight="1">
      <x:c r="A30" s="7"/>
      <x:c r="B30" s="7"/>
      <x:c r="C30" s="7"/>
      <x:c r="D30" s="8"/>
      <x:c r="E30" s="8"/>
      <x:c r="F30" s="8"/>
      <x:c r="G30" s="12"/>
      <x:c r="H30" s="7"/>
      <x:c r="I30" s="7"/>
      <x:c r="J30" s="7"/>
      <x:c r="K30" s="7"/>
      <x:c r="L30" s="7"/>
      <x:c r="M30" s="7"/>
      <x:c r="N30" s="7"/>
      <x:c r="O30" s="7"/>
      <x:c r="P30" s="8"/>
      <x:c r="Q30" s="7"/>
      <x:c r="R30" s="7"/>
      <x:c r="S30" s="7"/>
      <x:c r="T30" s="2" t="n">
        <x:f>IF(A30="",0,IFERROR(IF(AND(B30&lt;&gt;"",COUNTIF('Calibrare_Linii'!$A$6:$A$19,C30)=1,COUNTIFS(OOSTable[Fixture_ID],A30,OOSTable[Line],C30)=1,ISNUMBER(D30),ISNUMBER(E30),ISNUMBER(F30),F30&lt;D30,D30&lt;E30,ISNUMBER(G30),G30&gt;='Config_v6'!$B$50,G30&lt;=1,ISNUMBER(H30),H30&gt;='Config_v6'!$B$51,H30&lt;=100,ISNUMBER(I30),I30&gt;=0,I30&lt;='Config_v6'!$B$53,ISNUMBER(J30),J30&gt;=0,J30&lt;='Config_v6'!$B$52,K30="NO",L30=12,M30="PASS",ISNUMBER(N30),N30&gt;=0,MOD(N30,1)=0,O30&lt;&gt;"",ISNUMBER(P30),P30&gt;E30,Q30&lt;&gt;"",R30&lt;&gt;"",S30="LIVE"),1,0),0))</x:f>
        <x:v>0</x:v>
      </x:c>
      <x:c r="U30" s="2" t="n">
        <x:f>IF(T30&lt;&gt;1,0,IF(LEFT(C30,1)="O",IF(N30&gt;INDEX('Calibrare_Linii'!$C$6:$C$19,MATCH(C30,'Calibrare_Linii'!$A$6:$A$19,0)),1,0),IF(N30&lt;=INDEX('Calibrare_Linii'!$C$6:$C$19,MATCH(C30,'Calibrare_Linii'!$A$6:$A$19,0)),1,0)))</x:f>
        <x:v>0</x:v>
      </x:c>
    </x:row>
    <x:row r="31" ht="21" customHeight="1">
      <x:c r="A31" s="7"/>
      <x:c r="B31" s="7"/>
      <x:c r="C31" s="7"/>
      <x:c r="D31" s="8"/>
      <x:c r="E31" s="8"/>
      <x:c r="F31" s="8"/>
      <x:c r="G31" s="12"/>
      <x:c r="H31" s="7"/>
      <x:c r="I31" s="7"/>
      <x:c r="J31" s="7"/>
      <x:c r="K31" s="7"/>
      <x:c r="L31" s="7"/>
      <x:c r="M31" s="7"/>
      <x:c r="N31" s="7"/>
      <x:c r="O31" s="7"/>
      <x:c r="P31" s="8"/>
      <x:c r="Q31" s="7"/>
      <x:c r="R31" s="7"/>
      <x:c r="S31" s="7"/>
      <x:c r="T31" s="2" t="n">
        <x:f>IF(A31="",0,IFERROR(IF(AND(B31&lt;&gt;"",COUNTIF('Calibrare_Linii'!$A$6:$A$19,C31)=1,COUNTIFS(OOSTable[Fixture_ID],A31,OOSTable[Line],C31)=1,ISNUMBER(D31),ISNUMBER(E31),ISNUMBER(F31),F31&lt;D31,D31&lt;E31,ISNUMBER(G31),G31&gt;='Config_v6'!$B$50,G31&lt;=1,ISNUMBER(H31),H31&gt;='Config_v6'!$B$51,H31&lt;=100,ISNUMBER(I31),I31&gt;=0,I31&lt;='Config_v6'!$B$53,ISNUMBER(J31),J31&gt;=0,J31&lt;='Config_v6'!$B$52,K31="NO",L31=12,M31="PASS",ISNUMBER(N31),N31&gt;=0,MOD(N31,1)=0,O31&lt;&gt;"",ISNUMBER(P31),P31&gt;E31,Q31&lt;&gt;"",R31&lt;&gt;"",S31="LIVE"),1,0),0))</x:f>
        <x:v>0</x:v>
      </x:c>
      <x:c r="U31" s="2" t="n">
        <x:f>IF(T31&lt;&gt;1,0,IF(LEFT(C31,1)="O",IF(N31&gt;INDEX('Calibrare_Linii'!$C$6:$C$19,MATCH(C31,'Calibrare_Linii'!$A$6:$A$19,0)),1,0),IF(N31&lt;=INDEX('Calibrare_Linii'!$C$6:$C$19,MATCH(C31,'Calibrare_Linii'!$A$6:$A$19,0)),1,0)))</x:f>
        <x:v>0</x:v>
      </x:c>
    </x:row>
    <x:row r="32" ht="21" customHeight="1">
      <x:c r="A32" s="7"/>
      <x:c r="B32" s="7"/>
      <x:c r="C32" s="7"/>
      <x:c r="D32" s="8"/>
      <x:c r="E32" s="8"/>
      <x:c r="F32" s="8"/>
      <x:c r="G32" s="12"/>
      <x:c r="H32" s="7"/>
      <x:c r="I32" s="7"/>
      <x:c r="J32" s="7"/>
      <x:c r="K32" s="7"/>
      <x:c r="L32" s="7"/>
      <x:c r="M32" s="7"/>
      <x:c r="N32" s="7"/>
      <x:c r="O32" s="7"/>
      <x:c r="P32" s="8"/>
      <x:c r="Q32" s="7"/>
      <x:c r="R32" s="7"/>
      <x:c r="S32" s="7"/>
      <x:c r="T32" s="2" t="n">
        <x:f>IF(A32="",0,IFERROR(IF(AND(B32&lt;&gt;"",COUNTIF('Calibrare_Linii'!$A$6:$A$19,C32)=1,COUNTIFS(OOSTable[Fixture_ID],A32,OOSTable[Line],C32)=1,ISNUMBER(D32),ISNUMBER(E32),ISNUMBER(F32),F32&lt;D32,D32&lt;E32,ISNUMBER(G32),G32&gt;='Config_v6'!$B$50,G32&lt;=1,ISNUMBER(H32),H32&gt;='Config_v6'!$B$51,H32&lt;=100,ISNUMBER(I32),I32&gt;=0,I32&lt;='Config_v6'!$B$53,ISNUMBER(J32),J32&gt;=0,J32&lt;='Config_v6'!$B$52,K32="NO",L32=12,M32="PASS",ISNUMBER(N32),N32&gt;=0,MOD(N32,1)=0,O32&lt;&gt;"",ISNUMBER(P32),P32&gt;E32,Q32&lt;&gt;"",R32&lt;&gt;"",S32="LIVE"),1,0),0))</x:f>
        <x:v>0</x:v>
      </x:c>
      <x:c r="U32" s="2" t="n">
        <x:f>IF(T32&lt;&gt;1,0,IF(LEFT(C32,1)="O",IF(N32&gt;INDEX('Calibrare_Linii'!$C$6:$C$19,MATCH(C32,'Calibrare_Linii'!$A$6:$A$19,0)),1,0),IF(N32&lt;=INDEX('Calibrare_Linii'!$C$6:$C$19,MATCH(C32,'Calibrare_Linii'!$A$6:$A$19,0)),1,0)))</x:f>
        <x:v>0</x:v>
      </x:c>
    </x:row>
    <x:row r="33" ht="21" customHeight="1">
      <x:c r="A33" s="7"/>
      <x:c r="B33" s="7"/>
      <x:c r="C33" s="7"/>
      <x:c r="D33" s="8"/>
      <x:c r="E33" s="8"/>
      <x:c r="F33" s="8"/>
      <x:c r="G33" s="12"/>
      <x:c r="H33" s="7"/>
      <x:c r="I33" s="7"/>
      <x:c r="J33" s="7"/>
      <x:c r="K33" s="7"/>
      <x:c r="L33" s="7"/>
      <x:c r="M33" s="7"/>
      <x:c r="N33" s="7"/>
      <x:c r="O33" s="7"/>
      <x:c r="P33" s="8"/>
      <x:c r="Q33" s="7"/>
      <x:c r="R33" s="7"/>
      <x:c r="S33" s="7"/>
      <x:c r="T33" s="2" t="n">
        <x:f>IF(A33="",0,IFERROR(IF(AND(B33&lt;&gt;"",COUNTIF('Calibrare_Linii'!$A$6:$A$19,C33)=1,COUNTIFS(OOSTable[Fixture_ID],A33,OOSTable[Line],C33)=1,ISNUMBER(D33),ISNUMBER(E33),ISNUMBER(F33),F33&lt;D33,D33&lt;E33,ISNUMBER(G33),G33&gt;='Config_v6'!$B$50,G33&lt;=1,ISNUMBER(H33),H33&gt;='Config_v6'!$B$51,H33&lt;=100,ISNUMBER(I33),I33&gt;=0,I33&lt;='Config_v6'!$B$53,ISNUMBER(J33),J33&gt;=0,J33&lt;='Config_v6'!$B$52,K33="NO",L33=12,M33="PASS",ISNUMBER(N33),N33&gt;=0,MOD(N33,1)=0,O33&lt;&gt;"",ISNUMBER(P33),P33&gt;E33,Q33&lt;&gt;"",R33&lt;&gt;"",S33="LIVE"),1,0),0))</x:f>
        <x:v>0</x:v>
      </x:c>
      <x:c r="U33" s="2" t="n">
        <x:f>IF(T33&lt;&gt;1,0,IF(LEFT(C33,1)="O",IF(N33&gt;INDEX('Calibrare_Linii'!$C$6:$C$19,MATCH(C33,'Calibrare_Linii'!$A$6:$A$19,0)),1,0),IF(N33&lt;=INDEX('Calibrare_Linii'!$C$6:$C$19,MATCH(C33,'Calibrare_Linii'!$A$6:$A$19,0)),1,0)))</x:f>
        <x:v>0</x:v>
      </x:c>
    </x:row>
    <x:row r="34" ht="21" customHeight="1">
      <x:c r="A34" s="7"/>
      <x:c r="B34" s="7"/>
      <x:c r="C34" s="7"/>
      <x:c r="D34" s="8"/>
      <x:c r="E34" s="8"/>
      <x:c r="F34" s="8"/>
      <x:c r="G34" s="12"/>
      <x:c r="H34" s="7"/>
      <x:c r="I34" s="7"/>
      <x:c r="J34" s="7"/>
      <x:c r="K34" s="7"/>
      <x:c r="L34" s="7"/>
      <x:c r="M34" s="7"/>
      <x:c r="N34" s="7"/>
      <x:c r="O34" s="7"/>
      <x:c r="P34" s="8"/>
      <x:c r="Q34" s="7"/>
      <x:c r="R34" s="7"/>
      <x:c r="S34" s="7"/>
      <x:c r="T34" s="2" t="n">
        <x:f>IF(A34="",0,IFERROR(IF(AND(B34&lt;&gt;"",COUNTIF('Calibrare_Linii'!$A$6:$A$19,C34)=1,COUNTIFS(OOSTable[Fixture_ID],A34,OOSTable[Line],C34)=1,ISNUMBER(D34),ISNUMBER(E34),ISNUMBER(F34),F34&lt;D34,D34&lt;E34,ISNUMBER(G34),G34&gt;='Config_v6'!$B$50,G34&lt;=1,ISNUMBER(H34),H34&gt;='Config_v6'!$B$51,H34&lt;=100,ISNUMBER(I34),I34&gt;=0,I34&lt;='Config_v6'!$B$53,ISNUMBER(J34),J34&gt;=0,J34&lt;='Config_v6'!$B$52,K34="NO",L34=12,M34="PASS",ISNUMBER(N34),N34&gt;=0,MOD(N34,1)=0,O34&lt;&gt;"",ISNUMBER(P34),P34&gt;E34,Q34&lt;&gt;"",R34&lt;&gt;"",S34="LIVE"),1,0),0))</x:f>
        <x:v>0</x:v>
      </x:c>
      <x:c r="U34" s="2" t="n">
        <x:f>IF(T34&lt;&gt;1,0,IF(LEFT(C34,1)="O",IF(N34&gt;INDEX('Calibrare_Linii'!$C$6:$C$19,MATCH(C34,'Calibrare_Linii'!$A$6:$A$19,0)),1,0),IF(N34&lt;=INDEX('Calibrare_Linii'!$C$6:$C$19,MATCH(C34,'Calibrare_Linii'!$A$6:$A$19,0)),1,0)))</x:f>
        <x:v>0</x:v>
      </x:c>
    </x:row>
    <x:row r="35" ht="21" customHeight="1">
      <x:c r="A35" s="7"/>
      <x:c r="B35" s="7"/>
      <x:c r="C35" s="7"/>
      <x:c r="D35" s="8"/>
      <x:c r="E35" s="8"/>
      <x:c r="F35" s="8"/>
      <x:c r="G35" s="12"/>
      <x:c r="H35" s="7"/>
      <x:c r="I35" s="7"/>
      <x:c r="J35" s="7"/>
      <x:c r="K35" s="7"/>
      <x:c r="L35" s="7"/>
      <x:c r="M35" s="7"/>
      <x:c r="N35" s="7"/>
      <x:c r="O35" s="7"/>
      <x:c r="P35" s="8"/>
      <x:c r="Q35" s="7"/>
      <x:c r="R35" s="7"/>
      <x:c r="S35" s="7"/>
      <x:c r="T35" s="2" t="n">
        <x:f>IF(A35="",0,IFERROR(IF(AND(B35&lt;&gt;"",COUNTIF('Calibrare_Linii'!$A$6:$A$19,C35)=1,COUNTIFS(OOSTable[Fixture_ID],A35,OOSTable[Line],C35)=1,ISNUMBER(D35),ISNUMBER(E35),ISNUMBER(F35),F35&lt;D35,D35&lt;E35,ISNUMBER(G35),G35&gt;='Config_v6'!$B$50,G35&lt;=1,ISNUMBER(H35),H35&gt;='Config_v6'!$B$51,H35&lt;=100,ISNUMBER(I35),I35&gt;=0,I35&lt;='Config_v6'!$B$53,ISNUMBER(J35),J35&gt;=0,J35&lt;='Config_v6'!$B$52,K35="NO",L35=12,M35="PASS",ISNUMBER(N35),N35&gt;=0,MOD(N35,1)=0,O35&lt;&gt;"",ISNUMBER(P35),P35&gt;E35,Q35&lt;&gt;"",R35&lt;&gt;"",S35="LIVE"),1,0),0))</x:f>
        <x:v>0</x:v>
      </x:c>
      <x:c r="U35" s="2" t="n">
        <x:f>IF(T35&lt;&gt;1,0,IF(LEFT(C35,1)="O",IF(N35&gt;INDEX('Calibrare_Linii'!$C$6:$C$19,MATCH(C35,'Calibrare_Linii'!$A$6:$A$19,0)),1,0),IF(N35&lt;=INDEX('Calibrare_Linii'!$C$6:$C$19,MATCH(C35,'Calibrare_Linii'!$A$6:$A$19,0)),1,0)))</x:f>
        <x:v>0</x:v>
      </x:c>
    </x:row>
    <x:row r="36" ht="21" customHeight="1">
      <x:c r="A36" s="7"/>
      <x:c r="B36" s="7"/>
      <x:c r="C36" s="7"/>
      <x:c r="D36" s="8"/>
      <x:c r="E36" s="8"/>
      <x:c r="F36" s="8"/>
      <x:c r="G36" s="12"/>
      <x:c r="H36" s="7"/>
      <x:c r="I36" s="7"/>
      <x:c r="J36" s="7"/>
      <x:c r="K36" s="7"/>
      <x:c r="L36" s="7"/>
      <x:c r="M36" s="7"/>
      <x:c r="N36" s="7"/>
      <x:c r="O36" s="7"/>
      <x:c r="P36" s="8"/>
      <x:c r="Q36" s="7"/>
      <x:c r="R36" s="7"/>
      <x:c r="S36" s="7"/>
      <x:c r="T36" s="2" t="n">
        <x:f>IF(A36="",0,IFERROR(IF(AND(B36&lt;&gt;"",COUNTIF('Calibrare_Linii'!$A$6:$A$19,C36)=1,COUNTIFS(OOSTable[Fixture_ID],A36,OOSTable[Line],C36)=1,ISNUMBER(D36),ISNUMBER(E36),ISNUMBER(F36),F36&lt;D36,D36&lt;E36,ISNUMBER(G36),G36&gt;='Config_v6'!$B$50,G36&lt;=1,ISNUMBER(H36),H36&gt;='Config_v6'!$B$51,H36&lt;=100,ISNUMBER(I36),I36&gt;=0,I36&lt;='Config_v6'!$B$53,ISNUMBER(J36),J36&gt;=0,J36&lt;='Config_v6'!$B$52,K36="NO",L36=12,M36="PASS",ISNUMBER(N36),N36&gt;=0,MOD(N36,1)=0,O36&lt;&gt;"",ISNUMBER(P36),P36&gt;E36,Q36&lt;&gt;"",R36&lt;&gt;"",S36="LIVE"),1,0),0))</x:f>
        <x:v>0</x:v>
      </x:c>
      <x:c r="U36" s="2" t="n">
        <x:f>IF(T36&lt;&gt;1,0,IF(LEFT(C36,1)="O",IF(N36&gt;INDEX('Calibrare_Linii'!$C$6:$C$19,MATCH(C36,'Calibrare_Linii'!$A$6:$A$19,0)),1,0),IF(N36&lt;=INDEX('Calibrare_Linii'!$C$6:$C$19,MATCH(C36,'Calibrare_Linii'!$A$6:$A$19,0)),1,0)))</x:f>
        <x:v>0</x:v>
      </x:c>
    </x:row>
    <x:row r="37" ht="21" customHeight="1">
      <x:c r="A37" s="7"/>
      <x:c r="B37" s="7"/>
      <x:c r="C37" s="7"/>
      <x:c r="D37" s="8"/>
      <x:c r="E37" s="8"/>
      <x:c r="F37" s="8"/>
      <x:c r="G37" s="12"/>
      <x:c r="H37" s="7"/>
      <x:c r="I37" s="7"/>
      <x:c r="J37" s="7"/>
      <x:c r="K37" s="7"/>
      <x:c r="L37" s="7"/>
      <x:c r="M37" s="7"/>
      <x:c r="N37" s="7"/>
      <x:c r="O37" s="7"/>
      <x:c r="P37" s="8"/>
      <x:c r="Q37" s="7"/>
      <x:c r="R37" s="7"/>
      <x:c r="S37" s="7"/>
      <x:c r="T37" s="2" t="n">
        <x:f>IF(A37="",0,IFERROR(IF(AND(B37&lt;&gt;"",COUNTIF('Calibrare_Linii'!$A$6:$A$19,C37)=1,COUNTIFS(OOSTable[Fixture_ID],A37,OOSTable[Line],C37)=1,ISNUMBER(D37),ISNUMBER(E37),ISNUMBER(F37),F37&lt;D37,D37&lt;E37,ISNUMBER(G37),G37&gt;='Config_v6'!$B$50,G37&lt;=1,ISNUMBER(H37),H37&gt;='Config_v6'!$B$51,H37&lt;=100,ISNUMBER(I37),I37&gt;=0,I37&lt;='Config_v6'!$B$53,ISNUMBER(J37),J37&gt;=0,J37&lt;='Config_v6'!$B$52,K37="NO",L37=12,M37="PASS",ISNUMBER(N37),N37&gt;=0,MOD(N37,1)=0,O37&lt;&gt;"",ISNUMBER(P37),P37&gt;E37,Q37&lt;&gt;"",R37&lt;&gt;"",S37="LIVE"),1,0),0))</x:f>
        <x:v>0</x:v>
      </x:c>
      <x:c r="U37" s="2" t="n">
        <x:f>IF(T37&lt;&gt;1,0,IF(LEFT(C37,1)="O",IF(N37&gt;INDEX('Calibrare_Linii'!$C$6:$C$19,MATCH(C37,'Calibrare_Linii'!$A$6:$A$19,0)),1,0),IF(N37&lt;=INDEX('Calibrare_Linii'!$C$6:$C$19,MATCH(C37,'Calibrare_Linii'!$A$6:$A$19,0)),1,0)))</x:f>
        <x:v>0</x:v>
      </x:c>
    </x:row>
    <x:row r="38" ht="21" customHeight="1">
      <x:c r="A38" s="7"/>
      <x:c r="B38" s="7"/>
      <x:c r="C38" s="7"/>
      <x:c r="D38" s="8"/>
      <x:c r="E38" s="8"/>
      <x:c r="F38" s="8"/>
      <x:c r="G38" s="12"/>
      <x:c r="H38" s="7"/>
      <x:c r="I38" s="7"/>
      <x:c r="J38" s="7"/>
      <x:c r="K38" s="7"/>
      <x:c r="L38" s="7"/>
      <x:c r="M38" s="7"/>
      <x:c r="N38" s="7"/>
      <x:c r="O38" s="7"/>
      <x:c r="P38" s="8"/>
      <x:c r="Q38" s="7"/>
      <x:c r="R38" s="7"/>
      <x:c r="S38" s="7"/>
      <x:c r="T38" s="2" t="n">
        <x:f>IF(A38="",0,IFERROR(IF(AND(B38&lt;&gt;"",COUNTIF('Calibrare_Linii'!$A$6:$A$19,C38)=1,COUNTIFS(OOSTable[Fixture_ID],A38,OOSTable[Line],C38)=1,ISNUMBER(D38),ISNUMBER(E38),ISNUMBER(F38),F38&lt;D38,D38&lt;E38,ISNUMBER(G38),G38&gt;='Config_v6'!$B$50,G38&lt;=1,ISNUMBER(H38),H38&gt;='Config_v6'!$B$51,H38&lt;=100,ISNUMBER(I38),I38&gt;=0,I38&lt;='Config_v6'!$B$53,ISNUMBER(J38),J38&gt;=0,J38&lt;='Config_v6'!$B$52,K38="NO",L38=12,M38="PASS",ISNUMBER(N38),N38&gt;=0,MOD(N38,1)=0,O38&lt;&gt;"",ISNUMBER(P38),P38&gt;E38,Q38&lt;&gt;"",R38&lt;&gt;"",S38="LIVE"),1,0),0))</x:f>
        <x:v>0</x:v>
      </x:c>
      <x:c r="U38" s="2" t="n">
        <x:f>IF(T38&lt;&gt;1,0,IF(LEFT(C38,1)="O",IF(N38&gt;INDEX('Calibrare_Linii'!$C$6:$C$19,MATCH(C38,'Calibrare_Linii'!$A$6:$A$19,0)),1,0),IF(N38&lt;=INDEX('Calibrare_Linii'!$C$6:$C$19,MATCH(C38,'Calibrare_Linii'!$A$6:$A$19,0)),1,0)))</x:f>
        <x:v>0</x:v>
      </x:c>
    </x:row>
    <x:row r="39" ht="21" customHeight="1">
      <x:c r="A39" s="7"/>
      <x:c r="B39" s="7"/>
      <x:c r="C39" s="7"/>
      <x:c r="D39" s="8"/>
      <x:c r="E39" s="8"/>
      <x:c r="F39" s="8"/>
      <x:c r="G39" s="12"/>
      <x:c r="H39" s="7"/>
      <x:c r="I39" s="7"/>
      <x:c r="J39" s="7"/>
      <x:c r="K39" s="7"/>
      <x:c r="L39" s="7"/>
      <x:c r="M39" s="7"/>
      <x:c r="N39" s="7"/>
      <x:c r="O39" s="7"/>
      <x:c r="P39" s="8"/>
      <x:c r="Q39" s="7"/>
      <x:c r="R39" s="7"/>
      <x:c r="S39" s="7"/>
      <x:c r="T39" s="2" t="n">
        <x:f>IF(A39="",0,IFERROR(IF(AND(B39&lt;&gt;"",COUNTIF('Calibrare_Linii'!$A$6:$A$19,C39)=1,COUNTIFS(OOSTable[Fixture_ID],A39,OOSTable[Line],C39)=1,ISNUMBER(D39),ISNUMBER(E39),ISNUMBER(F39),F39&lt;D39,D39&lt;E39,ISNUMBER(G39),G39&gt;='Config_v6'!$B$50,G39&lt;=1,ISNUMBER(H39),H39&gt;='Config_v6'!$B$51,H39&lt;=100,ISNUMBER(I39),I39&gt;=0,I39&lt;='Config_v6'!$B$53,ISNUMBER(J39),J39&gt;=0,J39&lt;='Config_v6'!$B$52,K39="NO",L39=12,M39="PASS",ISNUMBER(N39),N39&gt;=0,MOD(N39,1)=0,O39&lt;&gt;"",ISNUMBER(P39),P39&gt;E39,Q39&lt;&gt;"",R39&lt;&gt;"",S39="LIVE"),1,0),0))</x:f>
        <x:v>0</x:v>
      </x:c>
      <x:c r="U39" s="2" t="n">
        <x:f>IF(T39&lt;&gt;1,0,IF(LEFT(C39,1)="O",IF(N39&gt;INDEX('Calibrare_Linii'!$C$6:$C$19,MATCH(C39,'Calibrare_Linii'!$A$6:$A$19,0)),1,0),IF(N39&lt;=INDEX('Calibrare_Linii'!$C$6:$C$19,MATCH(C39,'Calibrare_Linii'!$A$6:$A$19,0)),1,0)))</x:f>
        <x:v>0</x:v>
      </x:c>
    </x:row>
    <x:row r="40" ht="21" customHeight="1">
      <x:c r="A40" s="7"/>
      <x:c r="B40" s="7"/>
      <x:c r="C40" s="7"/>
      <x:c r="D40" s="8"/>
      <x:c r="E40" s="8"/>
      <x:c r="F40" s="8"/>
      <x:c r="G40" s="12"/>
      <x:c r="H40" s="7"/>
      <x:c r="I40" s="7"/>
      <x:c r="J40" s="7"/>
      <x:c r="K40" s="7"/>
      <x:c r="L40" s="7"/>
      <x:c r="M40" s="7"/>
      <x:c r="N40" s="7"/>
      <x:c r="O40" s="7"/>
      <x:c r="P40" s="8"/>
      <x:c r="Q40" s="7"/>
      <x:c r="R40" s="7"/>
      <x:c r="S40" s="7"/>
      <x:c r="T40" s="2" t="n">
        <x:f>IF(A40="",0,IFERROR(IF(AND(B40&lt;&gt;"",COUNTIF('Calibrare_Linii'!$A$6:$A$19,C40)=1,COUNTIFS(OOSTable[Fixture_ID],A40,OOSTable[Line],C40)=1,ISNUMBER(D40),ISNUMBER(E40),ISNUMBER(F40),F40&lt;D40,D40&lt;E40,ISNUMBER(G40),G40&gt;='Config_v6'!$B$50,G40&lt;=1,ISNUMBER(H40),H40&gt;='Config_v6'!$B$51,H40&lt;=100,ISNUMBER(I40),I40&gt;=0,I40&lt;='Config_v6'!$B$53,ISNUMBER(J40),J40&gt;=0,J40&lt;='Config_v6'!$B$52,K40="NO",L40=12,M40="PASS",ISNUMBER(N40),N40&gt;=0,MOD(N40,1)=0,O40&lt;&gt;"",ISNUMBER(P40),P40&gt;E40,Q40&lt;&gt;"",R40&lt;&gt;"",S40="LIVE"),1,0),0))</x:f>
        <x:v>0</x:v>
      </x:c>
      <x:c r="U40" s="2" t="n">
        <x:f>IF(T40&lt;&gt;1,0,IF(LEFT(C40,1)="O",IF(N40&gt;INDEX('Calibrare_Linii'!$C$6:$C$19,MATCH(C40,'Calibrare_Linii'!$A$6:$A$19,0)),1,0),IF(N40&lt;=INDEX('Calibrare_Linii'!$C$6:$C$19,MATCH(C40,'Calibrare_Linii'!$A$6:$A$19,0)),1,0)))</x:f>
        <x:v>0</x:v>
      </x:c>
    </x:row>
    <x:row r="41" ht="21" customHeight="1">
      <x:c r="A41" s="7"/>
      <x:c r="B41" s="7"/>
      <x:c r="C41" s="7"/>
      <x:c r="D41" s="8"/>
      <x:c r="E41" s="8"/>
      <x:c r="F41" s="8"/>
      <x:c r="G41" s="12"/>
      <x:c r="H41" s="7"/>
      <x:c r="I41" s="7"/>
      <x:c r="J41" s="7"/>
      <x:c r="K41" s="7"/>
      <x:c r="L41" s="7"/>
      <x:c r="M41" s="7"/>
      <x:c r="N41" s="7"/>
      <x:c r="O41" s="7"/>
      <x:c r="P41" s="8"/>
      <x:c r="Q41" s="7"/>
      <x:c r="R41" s="7"/>
      <x:c r="S41" s="7"/>
      <x:c r="T41" s="2" t="n">
        <x:f>IF(A41="",0,IFERROR(IF(AND(B41&lt;&gt;"",COUNTIF('Calibrare_Linii'!$A$6:$A$19,C41)=1,COUNTIFS(OOSTable[Fixture_ID],A41,OOSTable[Line],C41)=1,ISNUMBER(D41),ISNUMBER(E41),ISNUMBER(F41),F41&lt;D41,D41&lt;E41,ISNUMBER(G41),G41&gt;='Config_v6'!$B$50,G41&lt;=1,ISNUMBER(H41),H41&gt;='Config_v6'!$B$51,H41&lt;=100,ISNUMBER(I41),I41&gt;=0,I41&lt;='Config_v6'!$B$53,ISNUMBER(J41),J41&gt;=0,J41&lt;='Config_v6'!$B$52,K41="NO",L41=12,M41="PASS",ISNUMBER(N41),N41&gt;=0,MOD(N41,1)=0,O41&lt;&gt;"",ISNUMBER(P41),P41&gt;E41,Q41&lt;&gt;"",R41&lt;&gt;"",S41="LIVE"),1,0),0))</x:f>
        <x:v>0</x:v>
      </x:c>
      <x:c r="U41" s="2" t="n">
        <x:f>IF(T41&lt;&gt;1,0,IF(LEFT(C41,1)="O",IF(N41&gt;INDEX('Calibrare_Linii'!$C$6:$C$19,MATCH(C41,'Calibrare_Linii'!$A$6:$A$19,0)),1,0),IF(N41&lt;=INDEX('Calibrare_Linii'!$C$6:$C$19,MATCH(C41,'Calibrare_Linii'!$A$6:$A$19,0)),1,0)))</x:f>
        <x:v>0</x:v>
      </x:c>
    </x:row>
    <x:row r="42" ht="21" customHeight="1">
      <x:c r="A42" s="7"/>
      <x:c r="B42" s="7"/>
      <x:c r="C42" s="7"/>
      <x:c r="D42" s="8"/>
      <x:c r="E42" s="8"/>
      <x:c r="F42" s="8"/>
      <x:c r="G42" s="12"/>
      <x:c r="H42" s="7"/>
      <x:c r="I42" s="7"/>
      <x:c r="J42" s="7"/>
      <x:c r="K42" s="7"/>
      <x:c r="L42" s="7"/>
      <x:c r="M42" s="7"/>
      <x:c r="N42" s="7"/>
      <x:c r="O42" s="7"/>
      <x:c r="P42" s="8"/>
      <x:c r="Q42" s="7"/>
      <x:c r="R42" s="7"/>
      <x:c r="S42" s="7"/>
      <x:c r="T42" s="2" t="n">
        <x:f>IF(A42="",0,IFERROR(IF(AND(B42&lt;&gt;"",COUNTIF('Calibrare_Linii'!$A$6:$A$19,C42)=1,COUNTIFS(OOSTable[Fixture_ID],A42,OOSTable[Line],C42)=1,ISNUMBER(D42),ISNUMBER(E42),ISNUMBER(F42),F42&lt;D42,D42&lt;E42,ISNUMBER(G42),G42&gt;='Config_v6'!$B$50,G42&lt;=1,ISNUMBER(H42),H42&gt;='Config_v6'!$B$51,H42&lt;=100,ISNUMBER(I42),I42&gt;=0,I42&lt;='Config_v6'!$B$53,ISNUMBER(J42),J42&gt;=0,J42&lt;='Config_v6'!$B$52,K42="NO",L42=12,M42="PASS",ISNUMBER(N42),N42&gt;=0,MOD(N42,1)=0,O42&lt;&gt;"",ISNUMBER(P42),P42&gt;E42,Q42&lt;&gt;"",R42&lt;&gt;"",S42="LIVE"),1,0),0))</x:f>
        <x:v>0</x:v>
      </x:c>
      <x:c r="U42" s="2" t="n">
        <x:f>IF(T42&lt;&gt;1,0,IF(LEFT(C42,1)="O",IF(N42&gt;INDEX('Calibrare_Linii'!$C$6:$C$19,MATCH(C42,'Calibrare_Linii'!$A$6:$A$19,0)),1,0),IF(N42&lt;=INDEX('Calibrare_Linii'!$C$6:$C$19,MATCH(C42,'Calibrare_Linii'!$A$6:$A$19,0)),1,0)))</x:f>
        <x:v>0</x:v>
      </x:c>
    </x:row>
    <x:row r="43" ht="21" customHeight="1">
      <x:c r="A43" s="7"/>
      <x:c r="B43" s="7"/>
      <x:c r="C43" s="7"/>
      <x:c r="D43" s="8"/>
      <x:c r="E43" s="8"/>
      <x:c r="F43" s="8"/>
      <x:c r="G43" s="12"/>
      <x:c r="H43" s="7"/>
      <x:c r="I43" s="7"/>
      <x:c r="J43" s="7"/>
      <x:c r="K43" s="7"/>
      <x:c r="L43" s="7"/>
      <x:c r="M43" s="7"/>
      <x:c r="N43" s="7"/>
      <x:c r="O43" s="7"/>
      <x:c r="P43" s="8"/>
      <x:c r="Q43" s="7"/>
      <x:c r="R43" s="7"/>
      <x:c r="S43" s="7"/>
      <x:c r="T43" s="2" t="n">
        <x:f>IF(A43="",0,IFERROR(IF(AND(B43&lt;&gt;"",COUNTIF('Calibrare_Linii'!$A$6:$A$19,C43)=1,COUNTIFS(OOSTable[Fixture_ID],A43,OOSTable[Line],C43)=1,ISNUMBER(D43),ISNUMBER(E43),ISNUMBER(F43),F43&lt;D43,D43&lt;E43,ISNUMBER(G43),G43&gt;='Config_v6'!$B$50,G43&lt;=1,ISNUMBER(H43),H43&gt;='Config_v6'!$B$51,H43&lt;=100,ISNUMBER(I43),I43&gt;=0,I43&lt;='Config_v6'!$B$53,ISNUMBER(J43),J43&gt;=0,J43&lt;='Config_v6'!$B$52,K43="NO",L43=12,M43="PASS",ISNUMBER(N43),N43&gt;=0,MOD(N43,1)=0,O43&lt;&gt;"",ISNUMBER(P43),P43&gt;E43,Q43&lt;&gt;"",R43&lt;&gt;"",S43="LIVE"),1,0),0))</x:f>
        <x:v>0</x:v>
      </x:c>
      <x:c r="U43" s="2" t="n">
        <x:f>IF(T43&lt;&gt;1,0,IF(LEFT(C43,1)="O",IF(N43&gt;INDEX('Calibrare_Linii'!$C$6:$C$19,MATCH(C43,'Calibrare_Linii'!$A$6:$A$19,0)),1,0),IF(N43&lt;=INDEX('Calibrare_Linii'!$C$6:$C$19,MATCH(C43,'Calibrare_Linii'!$A$6:$A$19,0)),1,0)))</x:f>
        <x:v>0</x:v>
      </x:c>
    </x:row>
    <x:row r="44" ht="21" customHeight="1">
      <x:c r="A44" s="7"/>
      <x:c r="B44" s="7"/>
      <x:c r="C44" s="7"/>
      <x:c r="D44" s="8"/>
      <x:c r="E44" s="8"/>
      <x:c r="F44" s="8"/>
      <x:c r="G44" s="12"/>
      <x:c r="H44" s="7"/>
      <x:c r="I44" s="7"/>
      <x:c r="J44" s="7"/>
      <x:c r="K44" s="7"/>
      <x:c r="L44" s="7"/>
      <x:c r="M44" s="7"/>
      <x:c r="N44" s="7"/>
      <x:c r="O44" s="7"/>
      <x:c r="P44" s="8"/>
      <x:c r="Q44" s="7"/>
      <x:c r="R44" s="7"/>
      <x:c r="S44" s="7"/>
      <x:c r="T44" s="2" t="n">
        <x:f>IF(A44="",0,IFERROR(IF(AND(B44&lt;&gt;"",COUNTIF('Calibrare_Linii'!$A$6:$A$19,C44)=1,COUNTIFS(OOSTable[Fixture_ID],A44,OOSTable[Line],C44)=1,ISNUMBER(D44),ISNUMBER(E44),ISNUMBER(F44),F44&lt;D44,D44&lt;E44,ISNUMBER(G44),G44&gt;='Config_v6'!$B$50,G44&lt;=1,ISNUMBER(H44),H44&gt;='Config_v6'!$B$51,H44&lt;=100,ISNUMBER(I44),I44&gt;=0,I44&lt;='Config_v6'!$B$53,ISNUMBER(J44),J44&gt;=0,J44&lt;='Config_v6'!$B$52,K44="NO",L44=12,M44="PASS",ISNUMBER(N44),N44&gt;=0,MOD(N44,1)=0,O44&lt;&gt;"",ISNUMBER(P44),P44&gt;E44,Q44&lt;&gt;"",R44&lt;&gt;"",S44="LIVE"),1,0),0))</x:f>
        <x:v>0</x:v>
      </x:c>
      <x:c r="U44" s="2" t="n">
        <x:f>IF(T44&lt;&gt;1,0,IF(LEFT(C44,1)="O",IF(N44&gt;INDEX('Calibrare_Linii'!$C$6:$C$19,MATCH(C44,'Calibrare_Linii'!$A$6:$A$19,0)),1,0),IF(N44&lt;=INDEX('Calibrare_Linii'!$C$6:$C$19,MATCH(C44,'Calibrare_Linii'!$A$6:$A$19,0)),1,0)))</x:f>
        <x:v>0</x:v>
      </x:c>
    </x:row>
    <x:row r="45" ht="21" customHeight="1">
      <x:c r="A45" s="7"/>
      <x:c r="B45" s="7"/>
      <x:c r="C45" s="7"/>
      <x:c r="D45" s="8"/>
      <x:c r="E45" s="8"/>
      <x:c r="F45" s="8"/>
      <x:c r="G45" s="12"/>
      <x:c r="H45" s="7"/>
      <x:c r="I45" s="7"/>
      <x:c r="J45" s="7"/>
      <x:c r="K45" s="7"/>
      <x:c r="L45" s="7"/>
      <x:c r="M45" s="7"/>
      <x:c r="N45" s="7"/>
      <x:c r="O45" s="7"/>
      <x:c r="P45" s="8"/>
      <x:c r="Q45" s="7"/>
      <x:c r="R45" s="7"/>
      <x:c r="S45" s="7"/>
      <x:c r="T45" s="2" t="n">
        <x:f>IF(A45="",0,IFERROR(IF(AND(B45&lt;&gt;"",COUNTIF('Calibrare_Linii'!$A$6:$A$19,C45)=1,COUNTIFS(OOSTable[Fixture_ID],A45,OOSTable[Line],C45)=1,ISNUMBER(D45),ISNUMBER(E45),ISNUMBER(F45),F45&lt;D45,D45&lt;E45,ISNUMBER(G45),G45&gt;='Config_v6'!$B$50,G45&lt;=1,ISNUMBER(H45),H45&gt;='Config_v6'!$B$51,H45&lt;=100,ISNUMBER(I45),I45&gt;=0,I45&lt;='Config_v6'!$B$53,ISNUMBER(J45),J45&gt;=0,J45&lt;='Config_v6'!$B$52,K45="NO",L45=12,M45="PASS",ISNUMBER(N45),N45&gt;=0,MOD(N45,1)=0,O45&lt;&gt;"",ISNUMBER(P45),P45&gt;E45,Q45&lt;&gt;"",R45&lt;&gt;"",S45="LIVE"),1,0),0))</x:f>
        <x:v>0</x:v>
      </x:c>
      <x:c r="U45" s="2" t="n">
        <x:f>IF(T45&lt;&gt;1,0,IF(LEFT(C45,1)="O",IF(N45&gt;INDEX('Calibrare_Linii'!$C$6:$C$19,MATCH(C45,'Calibrare_Linii'!$A$6:$A$19,0)),1,0),IF(N45&lt;=INDEX('Calibrare_Linii'!$C$6:$C$19,MATCH(C45,'Calibrare_Linii'!$A$6:$A$19,0)),1,0)))</x:f>
        <x:v>0</x:v>
      </x:c>
    </x:row>
    <x:row r="46" ht="21" customHeight="1">
      <x:c r="A46" s="7"/>
      <x:c r="B46" s="7"/>
      <x:c r="C46" s="7"/>
      <x:c r="D46" s="8"/>
      <x:c r="E46" s="8"/>
      <x:c r="F46" s="8"/>
      <x:c r="G46" s="12"/>
      <x:c r="H46" s="7"/>
      <x:c r="I46" s="7"/>
      <x:c r="J46" s="7"/>
      <x:c r="K46" s="7"/>
      <x:c r="L46" s="7"/>
      <x:c r="M46" s="7"/>
      <x:c r="N46" s="7"/>
      <x:c r="O46" s="7"/>
      <x:c r="P46" s="8"/>
      <x:c r="Q46" s="7"/>
      <x:c r="R46" s="7"/>
      <x:c r="S46" s="7"/>
      <x:c r="T46" s="2" t="n">
        <x:f>IF(A46="",0,IFERROR(IF(AND(B46&lt;&gt;"",COUNTIF('Calibrare_Linii'!$A$6:$A$19,C46)=1,COUNTIFS(OOSTable[Fixture_ID],A46,OOSTable[Line],C46)=1,ISNUMBER(D46),ISNUMBER(E46),ISNUMBER(F46),F46&lt;D46,D46&lt;E46,ISNUMBER(G46),G46&gt;='Config_v6'!$B$50,G46&lt;=1,ISNUMBER(H46),H46&gt;='Config_v6'!$B$51,H46&lt;=100,ISNUMBER(I46),I46&gt;=0,I46&lt;='Config_v6'!$B$53,ISNUMBER(J46),J46&gt;=0,J46&lt;='Config_v6'!$B$52,K46="NO",L46=12,M46="PASS",ISNUMBER(N46),N46&gt;=0,MOD(N46,1)=0,O46&lt;&gt;"",ISNUMBER(P46),P46&gt;E46,Q46&lt;&gt;"",R46&lt;&gt;"",S46="LIVE"),1,0),0))</x:f>
        <x:v>0</x:v>
      </x:c>
      <x:c r="U46" s="2" t="n">
        <x:f>IF(T46&lt;&gt;1,0,IF(LEFT(C46,1)="O",IF(N46&gt;INDEX('Calibrare_Linii'!$C$6:$C$19,MATCH(C46,'Calibrare_Linii'!$A$6:$A$19,0)),1,0),IF(N46&lt;=INDEX('Calibrare_Linii'!$C$6:$C$19,MATCH(C46,'Calibrare_Linii'!$A$6:$A$19,0)),1,0)))</x:f>
        <x:v>0</x:v>
      </x:c>
    </x:row>
    <x:row r="47" ht="21" customHeight="1">
      <x:c r="A47" s="7"/>
      <x:c r="B47" s="7"/>
      <x:c r="C47" s="7"/>
      <x:c r="D47" s="8"/>
      <x:c r="E47" s="8"/>
      <x:c r="F47" s="8"/>
      <x:c r="G47" s="12"/>
      <x:c r="H47" s="7"/>
      <x:c r="I47" s="7"/>
      <x:c r="J47" s="7"/>
      <x:c r="K47" s="7"/>
      <x:c r="L47" s="7"/>
      <x:c r="M47" s="7"/>
      <x:c r="N47" s="7"/>
      <x:c r="O47" s="7"/>
      <x:c r="P47" s="8"/>
      <x:c r="Q47" s="7"/>
      <x:c r="R47" s="7"/>
      <x:c r="S47" s="7"/>
      <x:c r="T47" s="2" t="n">
        <x:f>IF(A47="",0,IFERROR(IF(AND(B47&lt;&gt;"",COUNTIF('Calibrare_Linii'!$A$6:$A$19,C47)=1,COUNTIFS(OOSTable[Fixture_ID],A47,OOSTable[Line],C47)=1,ISNUMBER(D47),ISNUMBER(E47),ISNUMBER(F47),F47&lt;D47,D47&lt;E47,ISNUMBER(G47),G47&gt;='Config_v6'!$B$50,G47&lt;=1,ISNUMBER(H47),H47&gt;='Config_v6'!$B$51,H47&lt;=100,ISNUMBER(I47),I47&gt;=0,I47&lt;='Config_v6'!$B$53,ISNUMBER(J47),J47&gt;=0,J47&lt;='Config_v6'!$B$52,K47="NO",L47=12,M47="PASS",ISNUMBER(N47),N47&gt;=0,MOD(N47,1)=0,O47&lt;&gt;"",ISNUMBER(P47),P47&gt;E47,Q47&lt;&gt;"",R47&lt;&gt;"",S47="LIVE"),1,0),0))</x:f>
        <x:v>0</x:v>
      </x:c>
      <x:c r="U47" s="2" t="n">
        <x:f>IF(T47&lt;&gt;1,0,IF(LEFT(C47,1)="O",IF(N47&gt;INDEX('Calibrare_Linii'!$C$6:$C$19,MATCH(C47,'Calibrare_Linii'!$A$6:$A$19,0)),1,0),IF(N47&lt;=INDEX('Calibrare_Linii'!$C$6:$C$19,MATCH(C47,'Calibrare_Linii'!$A$6:$A$19,0)),1,0)))</x:f>
        <x:v>0</x:v>
      </x:c>
    </x:row>
    <x:row r="48" ht="21" customHeight="1">
      <x:c r="A48" s="7"/>
      <x:c r="B48" s="7"/>
      <x:c r="C48" s="7"/>
      <x:c r="D48" s="8"/>
      <x:c r="E48" s="8"/>
      <x:c r="F48" s="8"/>
      <x:c r="G48" s="12"/>
      <x:c r="H48" s="7"/>
      <x:c r="I48" s="7"/>
      <x:c r="J48" s="7"/>
      <x:c r="K48" s="7"/>
      <x:c r="L48" s="7"/>
      <x:c r="M48" s="7"/>
      <x:c r="N48" s="7"/>
      <x:c r="O48" s="7"/>
      <x:c r="P48" s="8"/>
      <x:c r="Q48" s="7"/>
      <x:c r="R48" s="7"/>
      <x:c r="S48" s="7"/>
      <x:c r="T48" s="2" t="n">
        <x:f>IF(A48="",0,IFERROR(IF(AND(B48&lt;&gt;"",COUNTIF('Calibrare_Linii'!$A$6:$A$19,C48)=1,COUNTIFS(OOSTable[Fixture_ID],A48,OOSTable[Line],C48)=1,ISNUMBER(D48),ISNUMBER(E48),ISNUMBER(F48),F48&lt;D48,D48&lt;E48,ISNUMBER(G48),G48&gt;='Config_v6'!$B$50,G48&lt;=1,ISNUMBER(H48),H48&gt;='Config_v6'!$B$51,H48&lt;=100,ISNUMBER(I48),I48&gt;=0,I48&lt;='Config_v6'!$B$53,ISNUMBER(J48),J48&gt;=0,J48&lt;='Config_v6'!$B$52,K48="NO",L48=12,M48="PASS",ISNUMBER(N48),N48&gt;=0,MOD(N48,1)=0,O48&lt;&gt;"",ISNUMBER(P48),P48&gt;E48,Q48&lt;&gt;"",R48&lt;&gt;"",S48="LIVE"),1,0),0))</x:f>
        <x:v>0</x:v>
      </x:c>
      <x:c r="U48" s="2" t="n">
        <x:f>IF(T48&lt;&gt;1,0,IF(LEFT(C48,1)="O",IF(N48&gt;INDEX('Calibrare_Linii'!$C$6:$C$19,MATCH(C48,'Calibrare_Linii'!$A$6:$A$19,0)),1,0),IF(N48&lt;=INDEX('Calibrare_Linii'!$C$6:$C$19,MATCH(C48,'Calibrare_Linii'!$A$6:$A$19,0)),1,0)))</x:f>
        <x:v>0</x:v>
      </x:c>
    </x:row>
    <x:row r="49" ht="21" customHeight="1">
      <x:c r="A49" s="7"/>
      <x:c r="B49" s="7"/>
      <x:c r="C49" s="7"/>
      <x:c r="D49" s="8"/>
      <x:c r="E49" s="8"/>
      <x:c r="F49" s="8"/>
      <x:c r="G49" s="12"/>
      <x:c r="H49" s="7"/>
      <x:c r="I49" s="7"/>
      <x:c r="J49" s="7"/>
      <x:c r="K49" s="7"/>
      <x:c r="L49" s="7"/>
      <x:c r="M49" s="7"/>
      <x:c r="N49" s="7"/>
      <x:c r="O49" s="7"/>
      <x:c r="P49" s="8"/>
      <x:c r="Q49" s="7"/>
      <x:c r="R49" s="7"/>
      <x:c r="S49" s="7"/>
      <x:c r="T49" s="2" t="n">
        <x:f>IF(A49="",0,IFERROR(IF(AND(B49&lt;&gt;"",COUNTIF('Calibrare_Linii'!$A$6:$A$19,C49)=1,COUNTIFS(OOSTable[Fixture_ID],A49,OOSTable[Line],C49)=1,ISNUMBER(D49),ISNUMBER(E49),ISNUMBER(F49),F49&lt;D49,D49&lt;E49,ISNUMBER(G49),G49&gt;='Config_v6'!$B$50,G49&lt;=1,ISNUMBER(H49),H49&gt;='Config_v6'!$B$51,H49&lt;=100,ISNUMBER(I49),I49&gt;=0,I49&lt;='Config_v6'!$B$53,ISNUMBER(J49),J49&gt;=0,J49&lt;='Config_v6'!$B$52,K49="NO",L49=12,M49="PASS",ISNUMBER(N49),N49&gt;=0,MOD(N49,1)=0,O49&lt;&gt;"",ISNUMBER(P49),P49&gt;E49,Q49&lt;&gt;"",R49&lt;&gt;"",S49="LIVE"),1,0),0))</x:f>
        <x:v>0</x:v>
      </x:c>
      <x:c r="U49" s="2" t="n">
        <x:f>IF(T49&lt;&gt;1,0,IF(LEFT(C49,1)="O",IF(N49&gt;INDEX('Calibrare_Linii'!$C$6:$C$19,MATCH(C49,'Calibrare_Linii'!$A$6:$A$19,0)),1,0),IF(N49&lt;=INDEX('Calibrare_Linii'!$C$6:$C$19,MATCH(C49,'Calibrare_Linii'!$A$6:$A$19,0)),1,0)))</x:f>
        <x:v>0</x:v>
      </x:c>
    </x:row>
    <x:row r="50" ht="21" customHeight="1">
      <x:c r="A50" s="7"/>
      <x:c r="B50" s="7"/>
      <x:c r="C50" s="7"/>
      <x:c r="D50" s="8"/>
      <x:c r="E50" s="8"/>
      <x:c r="F50" s="8"/>
      <x:c r="G50" s="12"/>
      <x:c r="H50" s="7"/>
      <x:c r="I50" s="7"/>
      <x:c r="J50" s="7"/>
      <x:c r="K50" s="7"/>
      <x:c r="L50" s="7"/>
      <x:c r="M50" s="7"/>
      <x:c r="N50" s="7"/>
      <x:c r="O50" s="7"/>
      <x:c r="P50" s="8"/>
      <x:c r="Q50" s="7"/>
      <x:c r="R50" s="7"/>
      <x:c r="S50" s="7"/>
      <x:c r="T50" s="2" t="n">
        <x:f>IF(A50="",0,IFERROR(IF(AND(B50&lt;&gt;"",COUNTIF('Calibrare_Linii'!$A$6:$A$19,C50)=1,COUNTIFS(OOSTable[Fixture_ID],A50,OOSTable[Line],C50)=1,ISNUMBER(D50),ISNUMBER(E50),ISNUMBER(F50),F50&lt;D50,D50&lt;E50,ISNUMBER(G50),G50&gt;='Config_v6'!$B$50,G50&lt;=1,ISNUMBER(H50),H50&gt;='Config_v6'!$B$51,H50&lt;=100,ISNUMBER(I50),I50&gt;=0,I50&lt;='Config_v6'!$B$53,ISNUMBER(J50),J50&gt;=0,J50&lt;='Config_v6'!$B$52,K50="NO",L50=12,M50="PASS",ISNUMBER(N50),N50&gt;=0,MOD(N50,1)=0,O50&lt;&gt;"",ISNUMBER(P50),P50&gt;E50,Q50&lt;&gt;"",R50&lt;&gt;"",S50="LIVE"),1,0),0))</x:f>
        <x:v>0</x:v>
      </x:c>
      <x:c r="U50" s="2" t="n">
        <x:f>IF(T50&lt;&gt;1,0,IF(LEFT(C50,1)="O",IF(N50&gt;INDEX('Calibrare_Linii'!$C$6:$C$19,MATCH(C50,'Calibrare_Linii'!$A$6:$A$19,0)),1,0),IF(N50&lt;=INDEX('Calibrare_Linii'!$C$6:$C$19,MATCH(C50,'Calibrare_Linii'!$A$6:$A$19,0)),1,0)))</x:f>
        <x:v>0</x:v>
      </x:c>
    </x:row>
    <x:row r="51" ht="21" customHeight="1">
      <x:c r="A51" s="7"/>
      <x:c r="B51" s="7"/>
      <x:c r="C51" s="7"/>
      <x:c r="D51" s="8"/>
      <x:c r="E51" s="8"/>
      <x:c r="F51" s="8"/>
      <x:c r="G51" s="12"/>
      <x:c r="H51" s="7"/>
      <x:c r="I51" s="7"/>
      <x:c r="J51" s="7"/>
      <x:c r="K51" s="7"/>
      <x:c r="L51" s="7"/>
      <x:c r="M51" s="7"/>
      <x:c r="N51" s="7"/>
      <x:c r="O51" s="7"/>
      <x:c r="P51" s="8"/>
      <x:c r="Q51" s="7"/>
      <x:c r="R51" s="7"/>
      <x:c r="S51" s="7"/>
      <x:c r="T51" s="2" t="n">
        <x:f>IF(A51="",0,IFERROR(IF(AND(B51&lt;&gt;"",COUNTIF('Calibrare_Linii'!$A$6:$A$19,C51)=1,COUNTIFS(OOSTable[Fixture_ID],A51,OOSTable[Line],C51)=1,ISNUMBER(D51),ISNUMBER(E51),ISNUMBER(F51),F51&lt;D51,D51&lt;E51,ISNUMBER(G51),G51&gt;='Config_v6'!$B$50,G51&lt;=1,ISNUMBER(H51),H51&gt;='Config_v6'!$B$51,H51&lt;=100,ISNUMBER(I51),I51&gt;=0,I51&lt;='Config_v6'!$B$53,ISNUMBER(J51),J51&gt;=0,J51&lt;='Config_v6'!$B$52,K51="NO",L51=12,M51="PASS",ISNUMBER(N51),N51&gt;=0,MOD(N51,1)=0,O51&lt;&gt;"",ISNUMBER(P51),P51&gt;E51,Q51&lt;&gt;"",R51&lt;&gt;"",S51="LIVE"),1,0),0))</x:f>
        <x:v>0</x:v>
      </x:c>
      <x:c r="U51" s="2" t="n">
        <x:f>IF(T51&lt;&gt;1,0,IF(LEFT(C51,1)="O",IF(N51&gt;INDEX('Calibrare_Linii'!$C$6:$C$19,MATCH(C51,'Calibrare_Linii'!$A$6:$A$19,0)),1,0),IF(N51&lt;=INDEX('Calibrare_Linii'!$C$6:$C$19,MATCH(C51,'Calibrare_Linii'!$A$6:$A$19,0)),1,0)))</x:f>
        <x:v>0</x:v>
      </x:c>
    </x:row>
    <x:row r="52" ht="21" customHeight="1">
      <x:c r="A52" s="7"/>
      <x:c r="B52" s="7"/>
      <x:c r="C52" s="7"/>
      <x:c r="D52" s="8"/>
      <x:c r="E52" s="8"/>
      <x:c r="F52" s="8"/>
      <x:c r="G52" s="12"/>
      <x:c r="H52" s="7"/>
      <x:c r="I52" s="7"/>
      <x:c r="J52" s="7"/>
      <x:c r="K52" s="7"/>
      <x:c r="L52" s="7"/>
      <x:c r="M52" s="7"/>
      <x:c r="N52" s="7"/>
      <x:c r="O52" s="7"/>
      <x:c r="P52" s="8"/>
      <x:c r="Q52" s="7"/>
      <x:c r="R52" s="7"/>
      <x:c r="S52" s="7"/>
      <x:c r="T52" s="2" t="n">
        <x:f>IF(A52="",0,IFERROR(IF(AND(B52&lt;&gt;"",COUNTIF('Calibrare_Linii'!$A$6:$A$19,C52)=1,COUNTIFS(OOSTable[Fixture_ID],A52,OOSTable[Line],C52)=1,ISNUMBER(D52),ISNUMBER(E52),ISNUMBER(F52),F52&lt;D52,D52&lt;E52,ISNUMBER(G52),G52&gt;='Config_v6'!$B$50,G52&lt;=1,ISNUMBER(H52),H52&gt;='Config_v6'!$B$51,H52&lt;=100,ISNUMBER(I52),I52&gt;=0,I52&lt;='Config_v6'!$B$53,ISNUMBER(J52),J52&gt;=0,J52&lt;='Config_v6'!$B$52,K52="NO",L52=12,M52="PASS",ISNUMBER(N52),N52&gt;=0,MOD(N52,1)=0,O52&lt;&gt;"",ISNUMBER(P52),P52&gt;E52,Q52&lt;&gt;"",R52&lt;&gt;"",S52="LIVE"),1,0),0))</x:f>
        <x:v>0</x:v>
      </x:c>
      <x:c r="U52" s="2" t="n">
        <x:f>IF(T52&lt;&gt;1,0,IF(LEFT(C52,1)="O",IF(N52&gt;INDEX('Calibrare_Linii'!$C$6:$C$19,MATCH(C52,'Calibrare_Linii'!$A$6:$A$19,0)),1,0),IF(N52&lt;=INDEX('Calibrare_Linii'!$C$6:$C$19,MATCH(C52,'Calibrare_Linii'!$A$6:$A$19,0)),1,0)))</x:f>
        <x:v>0</x:v>
      </x:c>
    </x:row>
    <x:row r="53" ht="21" customHeight="1">
      <x:c r="A53" s="7"/>
      <x:c r="B53" s="7"/>
      <x:c r="C53" s="7"/>
      <x:c r="D53" s="8"/>
      <x:c r="E53" s="8"/>
      <x:c r="F53" s="8"/>
      <x:c r="G53" s="12"/>
      <x:c r="H53" s="7"/>
      <x:c r="I53" s="7"/>
      <x:c r="J53" s="7"/>
      <x:c r="K53" s="7"/>
      <x:c r="L53" s="7"/>
      <x:c r="M53" s="7"/>
      <x:c r="N53" s="7"/>
      <x:c r="O53" s="7"/>
      <x:c r="P53" s="8"/>
      <x:c r="Q53" s="7"/>
      <x:c r="R53" s="7"/>
      <x:c r="S53" s="7"/>
      <x:c r="T53" s="2" t="n">
        <x:f>IF(A53="",0,IFERROR(IF(AND(B53&lt;&gt;"",COUNTIF('Calibrare_Linii'!$A$6:$A$19,C53)=1,COUNTIFS(OOSTable[Fixture_ID],A53,OOSTable[Line],C53)=1,ISNUMBER(D53),ISNUMBER(E53),ISNUMBER(F53),F53&lt;D53,D53&lt;E53,ISNUMBER(G53),G53&gt;='Config_v6'!$B$50,G53&lt;=1,ISNUMBER(H53),H53&gt;='Config_v6'!$B$51,H53&lt;=100,ISNUMBER(I53),I53&gt;=0,I53&lt;='Config_v6'!$B$53,ISNUMBER(J53),J53&gt;=0,J53&lt;='Config_v6'!$B$52,K53="NO",L53=12,M53="PASS",ISNUMBER(N53),N53&gt;=0,MOD(N53,1)=0,O53&lt;&gt;"",ISNUMBER(P53),P53&gt;E53,Q53&lt;&gt;"",R53&lt;&gt;"",S53="LIVE"),1,0),0))</x:f>
        <x:v>0</x:v>
      </x:c>
      <x:c r="U53" s="2" t="n">
        <x:f>IF(T53&lt;&gt;1,0,IF(LEFT(C53,1)="O",IF(N53&gt;INDEX('Calibrare_Linii'!$C$6:$C$19,MATCH(C53,'Calibrare_Linii'!$A$6:$A$19,0)),1,0),IF(N53&lt;=INDEX('Calibrare_Linii'!$C$6:$C$19,MATCH(C53,'Calibrare_Linii'!$A$6:$A$19,0)),1,0)))</x:f>
        <x:v>0</x:v>
      </x:c>
    </x:row>
    <x:row r="54" ht="21" customHeight="1">
      <x:c r="A54" s="7"/>
      <x:c r="B54" s="7"/>
      <x:c r="C54" s="7"/>
      <x:c r="D54" s="8"/>
      <x:c r="E54" s="8"/>
      <x:c r="F54" s="8"/>
      <x:c r="G54" s="12"/>
      <x:c r="H54" s="7"/>
      <x:c r="I54" s="7"/>
      <x:c r="J54" s="7"/>
      <x:c r="K54" s="7"/>
      <x:c r="L54" s="7"/>
      <x:c r="M54" s="7"/>
      <x:c r="N54" s="7"/>
      <x:c r="O54" s="7"/>
      <x:c r="P54" s="8"/>
      <x:c r="Q54" s="7"/>
      <x:c r="R54" s="7"/>
      <x:c r="S54" s="7"/>
      <x:c r="T54" s="2" t="n">
        <x:f>IF(A54="",0,IFERROR(IF(AND(B54&lt;&gt;"",COUNTIF('Calibrare_Linii'!$A$6:$A$19,C54)=1,COUNTIFS(OOSTable[Fixture_ID],A54,OOSTable[Line],C54)=1,ISNUMBER(D54),ISNUMBER(E54),ISNUMBER(F54),F54&lt;D54,D54&lt;E54,ISNUMBER(G54),G54&gt;='Config_v6'!$B$50,G54&lt;=1,ISNUMBER(H54),H54&gt;='Config_v6'!$B$51,H54&lt;=100,ISNUMBER(I54),I54&gt;=0,I54&lt;='Config_v6'!$B$53,ISNUMBER(J54),J54&gt;=0,J54&lt;='Config_v6'!$B$52,K54="NO",L54=12,M54="PASS",ISNUMBER(N54),N54&gt;=0,MOD(N54,1)=0,O54&lt;&gt;"",ISNUMBER(P54),P54&gt;E54,Q54&lt;&gt;"",R54&lt;&gt;"",S54="LIVE"),1,0),0))</x:f>
        <x:v>0</x:v>
      </x:c>
      <x:c r="U54" s="2" t="n">
        <x:f>IF(T54&lt;&gt;1,0,IF(LEFT(C54,1)="O",IF(N54&gt;INDEX('Calibrare_Linii'!$C$6:$C$19,MATCH(C54,'Calibrare_Linii'!$A$6:$A$19,0)),1,0),IF(N54&lt;=INDEX('Calibrare_Linii'!$C$6:$C$19,MATCH(C54,'Calibrare_Linii'!$A$6:$A$19,0)),1,0)))</x:f>
        <x:v>0</x:v>
      </x:c>
    </x:row>
    <x:row r="55" ht="21" customHeight="1">
      <x:c r="A55" s="7"/>
      <x:c r="B55" s="7"/>
      <x:c r="C55" s="7"/>
      <x:c r="D55" s="8"/>
      <x:c r="E55" s="8"/>
      <x:c r="F55" s="8"/>
      <x:c r="G55" s="12"/>
      <x:c r="H55" s="7"/>
      <x:c r="I55" s="7"/>
      <x:c r="J55" s="7"/>
      <x:c r="K55" s="7"/>
      <x:c r="L55" s="7"/>
      <x:c r="M55" s="7"/>
      <x:c r="N55" s="7"/>
      <x:c r="O55" s="7"/>
      <x:c r="P55" s="8"/>
      <x:c r="Q55" s="7"/>
      <x:c r="R55" s="7"/>
      <x:c r="S55" s="7"/>
      <x:c r="T55" s="2" t="n">
        <x:f>IF(A55="",0,IFERROR(IF(AND(B55&lt;&gt;"",COUNTIF('Calibrare_Linii'!$A$6:$A$19,C55)=1,COUNTIFS(OOSTable[Fixture_ID],A55,OOSTable[Line],C55)=1,ISNUMBER(D55),ISNUMBER(E55),ISNUMBER(F55),F55&lt;D55,D55&lt;E55,ISNUMBER(G55),G55&gt;='Config_v6'!$B$50,G55&lt;=1,ISNUMBER(H55),H55&gt;='Config_v6'!$B$51,H55&lt;=100,ISNUMBER(I55),I55&gt;=0,I55&lt;='Config_v6'!$B$53,ISNUMBER(J55),J55&gt;=0,J55&lt;='Config_v6'!$B$52,K55="NO",L55=12,M55="PASS",ISNUMBER(N55),N55&gt;=0,MOD(N55,1)=0,O55&lt;&gt;"",ISNUMBER(P55),P55&gt;E55,Q55&lt;&gt;"",R55&lt;&gt;"",S55="LIVE"),1,0),0))</x:f>
        <x:v>0</x:v>
      </x:c>
      <x:c r="U55" s="2" t="n">
        <x:f>IF(T55&lt;&gt;1,0,IF(LEFT(C55,1)="O",IF(N55&gt;INDEX('Calibrare_Linii'!$C$6:$C$19,MATCH(C55,'Calibrare_Linii'!$A$6:$A$19,0)),1,0),IF(N55&lt;=INDEX('Calibrare_Linii'!$C$6:$C$19,MATCH(C55,'Calibrare_Linii'!$A$6:$A$19,0)),1,0)))</x:f>
        <x:v>0</x:v>
      </x:c>
    </x:row>
    <x:row r="56" ht="21" customHeight="1">
      <x:c r="A56" s="7"/>
      <x:c r="B56" s="7"/>
      <x:c r="C56" s="7"/>
      <x:c r="D56" s="8"/>
      <x:c r="E56" s="8"/>
      <x:c r="F56" s="8"/>
      <x:c r="G56" s="12"/>
      <x:c r="H56" s="7"/>
      <x:c r="I56" s="7"/>
      <x:c r="J56" s="7"/>
      <x:c r="K56" s="7"/>
      <x:c r="L56" s="7"/>
      <x:c r="M56" s="7"/>
      <x:c r="N56" s="7"/>
      <x:c r="O56" s="7"/>
      <x:c r="P56" s="8"/>
      <x:c r="Q56" s="7"/>
      <x:c r="R56" s="7"/>
      <x:c r="S56" s="7"/>
      <x:c r="T56" s="2" t="n">
        <x:f>IF(A56="",0,IFERROR(IF(AND(B56&lt;&gt;"",COUNTIF('Calibrare_Linii'!$A$6:$A$19,C56)=1,COUNTIFS(OOSTable[Fixture_ID],A56,OOSTable[Line],C56)=1,ISNUMBER(D56),ISNUMBER(E56),ISNUMBER(F56),F56&lt;D56,D56&lt;E56,ISNUMBER(G56),G56&gt;='Config_v6'!$B$50,G56&lt;=1,ISNUMBER(H56),H56&gt;='Config_v6'!$B$51,H56&lt;=100,ISNUMBER(I56),I56&gt;=0,I56&lt;='Config_v6'!$B$53,ISNUMBER(J56),J56&gt;=0,J56&lt;='Config_v6'!$B$52,K56="NO",L56=12,M56="PASS",ISNUMBER(N56),N56&gt;=0,MOD(N56,1)=0,O56&lt;&gt;"",ISNUMBER(P56),P56&gt;E56,Q56&lt;&gt;"",R56&lt;&gt;"",S56="LIVE"),1,0),0))</x:f>
        <x:v>0</x:v>
      </x:c>
      <x:c r="U56" s="2" t="n">
        <x:f>IF(T56&lt;&gt;1,0,IF(LEFT(C56,1)="O",IF(N56&gt;INDEX('Calibrare_Linii'!$C$6:$C$19,MATCH(C56,'Calibrare_Linii'!$A$6:$A$19,0)),1,0),IF(N56&lt;=INDEX('Calibrare_Linii'!$C$6:$C$19,MATCH(C56,'Calibrare_Linii'!$A$6:$A$19,0)),1,0)))</x:f>
        <x:v>0</x:v>
      </x:c>
    </x:row>
    <x:row r="57" ht="21" customHeight="1">
      <x:c r="A57" s="7"/>
      <x:c r="B57" s="7"/>
      <x:c r="C57" s="7"/>
      <x:c r="D57" s="8"/>
      <x:c r="E57" s="8"/>
      <x:c r="F57" s="8"/>
      <x:c r="G57" s="12"/>
      <x:c r="H57" s="7"/>
      <x:c r="I57" s="7"/>
      <x:c r="J57" s="7"/>
      <x:c r="K57" s="7"/>
      <x:c r="L57" s="7"/>
      <x:c r="M57" s="7"/>
      <x:c r="N57" s="7"/>
      <x:c r="O57" s="7"/>
      <x:c r="P57" s="8"/>
      <x:c r="Q57" s="7"/>
      <x:c r="R57" s="7"/>
      <x:c r="S57" s="7"/>
      <x:c r="T57" s="2" t="n">
        <x:f>IF(A57="",0,IFERROR(IF(AND(B57&lt;&gt;"",COUNTIF('Calibrare_Linii'!$A$6:$A$19,C57)=1,COUNTIFS(OOSTable[Fixture_ID],A57,OOSTable[Line],C57)=1,ISNUMBER(D57),ISNUMBER(E57),ISNUMBER(F57),F57&lt;D57,D57&lt;E57,ISNUMBER(G57),G57&gt;='Config_v6'!$B$50,G57&lt;=1,ISNUMBER(H57),H57&gt;='Config_v6'!$B$51,H57&lt;=100,ISNUMBER(I57),I57&gt;=0,I57&lt;='Config_v6'!$B$53,ISNUMBER(J57),J57&gt;=0,J57&lt;='Config_v6'!$B$52,K57="NO",L57=12,M57="PASS",ISNUMBER(N57),N57&gt;=0,MOD(N57,1)=0,O57&lt;&gt;"",ISNUMBER(P57),P57&gt;E57,Q57&lt;&gt;"",R57&lt;&gt;"",S57="LIVE"),1,0),0))</x:f>
        <x:v>0</x:v>
      </x:c>
      <x:c r="U57" s="2" t="n">
        <x:f>IF(T57&lt;&gt;1,0,IF(LEFT(C57,1)="O",IF(N57&gt;INDEX('Calibrare_Linii'!$C$6:$C$19,MATCH(C57,'Calibrare_Linii'!$A$6:$A$19,0)),1,0),IF(N57&lt;=INDEX('Calibrare_Linii'!$C$6:$C$19,MATCH(C57,'Calibrare_Linii'!$A$6:$A$19,0)),1,0)))</x:f>
        <x:v>0</x:v>
      </x:c>
    </x:row>
    <x:row r="58" ht="21" customHeight="1">
      <x:c r="A58" s="7"/>
      <x:c r="B58" s="7"/>
      <x:c r="C58" s="7"/>
      <x:c r="D58" s="8"/>
      <x:c r="E58" s="8"/>
      <x:c r="F58" s="8"/>
      <x:c r="G58" s="12"/>
      <x:c r="H58" s="7"/>
      <x:c r="I58" s="7"/>
      <x:c r="J58" s="7"/>
      <x:c r="K58" s="7"/>
      <x:c r="L58" s="7"/>
      <x:c r="M58" s="7"/>
      <x:c r="N58" s="7"/>
      <x:c r="O58" s="7"/>
      <x:c r="P58" s="8"/>
      <x:c r="Q58" s="7"/>
      <x:c r="R58" s="7"/>
      <x:c r="S58" s="7"/>
      <x:c r="T58" s="2" t="n">
        <x:f>IF(A58="",0,IFERROR(IF(AND(B58&lt;&gt;"",COUNTIF('Calibrare_Linii'!$A$6:$A$19,C58)=1,COUNTIFS(OOSTable[Fixture_ID],A58,OOSTable[Line],C58)=1,ISNUMBER(D58),ISNUMBER(E58),ISNUMBER(F58),F58&lt;D58,D58&lt;E58,ISNUMBER(G58),G58&gt;='Config_v6'!$B$50,G58&lt;=1,ISNUMBER(H58),H58&gt;='Config_v6'!$B$51,H58&lt;=100,ISNUMBER(I58),I58&gt;=0,I58&lt;='Config_v6'!$B$53,ISNUMBER(J58),J58&gt;=0,J58&lt;='Config_v6'!$B$52,K58="NO",L58=12,M58="PASS",ISNUMBER(N58),N58&gt;=0,MOD(N58,1)=0,O58&lt;&gt;"",ISNUMBER(P58),P58&gt;E58,Q58&lt;&gt;"",R58&lt;&gt;"",S58="LIVE"),1,0),0))</x:f>
        <x:v>0</x:v>
      </x:c>
      <x:c r="U58" s="2" t="n">
        <x:f>IF(T58&lt;&gt;1,0,IF(LEFT(C58,1)="O",IF(N58&gt;INDEX('Calibrare_Linii'!$C$6:$C$19,MATCH(C58,'Calibrare_Linii'!$A$6:$A$19,0)),1,0),IF(N58&lt;=INDEX('Calibrare_Linii'!$C$6:$C$19,MATCH(C58,'Calibrare_Linii'!$A$6:$A$19,0)),1,0)))</x:f>
        <x:v>0</x:v>
      </x:c>
    </x:row>
    <x:row r="59" ht="21" customHeight="1">
      <x:c r="A59" s="7"/>
      <x:c r="B59" s="7"/>
      <x:c r="C59" s="7"/>
      <x:c r="D59" s="8"/>
      <x:c r="E59" s="8"/>
      <x:c r="F59" s="8"/>
      <x:c r="G59" s="12"/>
      <x:c r="H59" s="7"/>
      <x:c r="I59" s="7"/>
      <x:c r="J59" s="7"/>
      <x:c r="K59" s="7"/>
      <x:c r="L59" s="7"/>
      <x:c r="M59" s="7"/>
      <x:c r="N59" s="7"/>
      <x:c r="O59" s="7"/>
      <x:c r="P59" s="8"/>
      <x:c r="Q59" s="7"/>
      <x:c r="R59" s="7"/>
      <x:c r="S59" s="7"/>
      <x:c r="T59" s="2" t="n">
        <x:f>IF(A59="",0,IFERROR(IF(AND(B59&lt;&gt;"",COUNTIF('Calibrare_Linii'!$A$6:$A$19,C59)=1,COUNTIFS(OOSTable[Fixture_ID],A59,OOSTable[Line],C59)=1,ISNUMBER(D59),ISNUMBER(E59),ISNUMBER(F59),F59&lt;D59,D59&lt;E59,ISNUMBER(G59),G59&gt;='Config_v6'!$B$50,G59&lt;=1,ISNUMBER(H59),H59&gt;='Config_v6'!$B$51,H59&lt;=100,ISNUMBER(I59),I59&gt;=0,I59&lt;='Config_v6'!$B$53,ISNUMBER(J59),J59&gt;=0,J59&lt;='Config_v6'!$B$52,K59="NO",L59=12,M59="PASS",ISNUMBER(N59),N59&gt;=0,MOD(N59,1)=0,O59&lt;&gt;"",ISNUMBER(P59),P59&gt;E59,Q59&lt;&gt;"",R59&lt;&gt;"",S59="LIVE"),1,0),0))</x:f>
        <x:v>0</x:v>
      </x:c>
      <x:c r="U59" s="2" t="n">
        <x:f>IF(T59&lt;&gt;1,0,IF(LEFT(C59,1)="O",IF(N59&gt;INDEX('Calibrare_Linii'!$C$6:$C$19,MATCH(C59,'Calibrare_Linii'!$A$6:$A$19,0)),1,0),IF(N59&lt;=INDEX('Calibrare_Linii'!$C$6:$C$19,MATCH(C59,'Calibrare_Linii'!$A$6:$A$19,0)),1,0)))</x:f>
        <x:v>0</x:v>
      </x:c>
    </x:row>
    <x:row r="60" ht="21" customHeight="1">
      <x:c r="A60" s="7"/>
      <x:c r="B60" s="7"/>
      <x:c r="C60" s="7"/>
      <x:c r="D60" s="8"/>
      <x:c r="E60" s="8"/>
      <x:c r="F60" s="8"/>
      <x:c r="G60" s="12"/>
      <x:c r="H60" s="7"/>
      <x:c r="I60" s="7"/>
      <x:c r="J60" s="7"/>
      <x:c r="K60" s="7"/>
      <x:c r="L60" s="7"/>
      <x:c r="M60" s="7"/>
      <x:c r="N60" s="7"/>
      <x:c r="O60" s="7"/>
      <x:c r="P60" s="8"/>
      <x:c r="Q60" s="7"/>
      <x:c r="R60" s="7"/>
      <x:c r="S60" s="7"/>
      <x:c r="T60" s="2" t="n">
        <x:f>IF(A60="",0,IFERROR(IF(AND(B60&lt;&gt;"",COUNTIF('Calibrare_Linii'!$A$6:$A$19,C60)=1,COUNTIFS(OOSTable[Fixture_ID],A60,OOSTable[Line],C60)=1,ISNUMBER(D60),ISNUMBER(E60),ISNUMBER(F60),F60&lt;D60,D60&lt;E60,ISNUMBER(G60),G60&gt;='Config_v6'!$B$50,G60&lt;=1,ISNUMBER(H60),H60&gt;='Config_v6'!$B$51,H60&lt;=100,ISNUMBER(I60),I60&gt;=0,I60&lt;='Config_v6'!$B$53,ISNUMBER(J60),J60&gt;=0,J60&lt;='Config_v6'!$B$52,K60="NO",L60=12,M60="PASS",ISNUMBER(N60),N60&gt;=0,MOD(N60,1)=0,O60&lt;&gt;"",ISNUMBER(P60),P60&gt;E60,Q60&lt;&gt;"",R60&lt;&gt;"",S60="LIVE"),1,0),0))</x:f>
        <x:v>0</x:v>
      </x:c>
      <x:c r="U60" s="2" t="n">
        <x:f>IF(T60&lt;&gt;1,0,IF(LEFT(C60,1)="O",IF(N60&gt;INDEX('Calibrare_Linii'!$C$6:$C$19,MATCH(C60,'Calibrare_Linii'!$A$6:$A$19,0)),1,0),IF(N60&lt;=INDEX('Calibrare_Linii'!$C$6:$C$19,MATCH(C60,'Calibrare_Linii'!$A$6:$A$19,0)),1,0)))</x:f>
        <x:v>0</x:v>
      </x:c>
    </x:row>
    <x:row r="61" ht="21" customHeight="1">
      <x:c r="A61" s="7"/>
      <x:c r="B61" s="7"/>
      <x:c r="C61" s="7"/>
      <x:c r="D61" s="8"/>
      <x:c r="E61" s="8"/>
      <x:c r="F61" s="8"/>
      <x:c r="G61" s="12"/>
      <x:c r="H61" s="7"/>
      <x:c r="I61" s="7"/>
      <x:c r="J61" s="7"/>
      <x:c r="K61" s="7"/>
      <x:c r="L61" s="7"/>
      <x:c r="M61" s="7"/>
      <x:c r="N61" s="7"/>
      <x:c r="O61" s="7"/>
      <x:c r="P61" s="8"/>
      <x:c r="Q61" s="7"/>
      <x:c r="R61" s="7"/>
      <x:c r="S61" s="7"/>
      <x:c r="T61" s="2" t="n">
        <x:f>IF(A61="",0,IFERROR(IF(AND(B61&lt;&gt;"",COUNTIF('Calibrare_Linii'!$A$6:$A$19,C61)=1,COUNTIFS(OOSTable[Fixture_ID],A61,OOSTable[Line],C61)=1,ISNUMBER(D61),ISNUMBER(E61),ISNUMBER(F61),F61&lt;D61,D61&lt;E61,ISNUMBER(G61),G61&gt;='Config_v6'!$B$50,G61&lt;=1,ISNUMBER(H61),H61&gt;='Config_v6'!$B$51,H61&lt;=100,ISNUMBER(I61),I61&gt;=0,I61&lt;='Config_v6'!$B$53,ISNUMBER(J61),J61&gt;=0,J61&lt;='Config_v6'!$B$52,K61="NO",L61=12,M61="PASS",ISNUMBER(N61),N61&gt;=0,MOD(N61,1)=0,O61&lt;&gt;"",ISNUMBER(P61),P61&gt;E61,Q61&lt;&gt;"",R61&lt;&gt;"",S61="LIVE"),1,0),0))</x:f>
        <x:v>0</x:v>
      </x:c>
      <x:c r="U61" s="2" t="n">
        <x:f>IF(T61&lt;&gt;1,0,IF(LEFT(C61,1)="O",IF(N61&gt;INDEX('Calibrare_Linii'!$C$6:$C$19,MATCH(C61,'Calibrare_Linii'!$A$6:$A$19,0)),1,0),IF(N61&lt;=INDEX('Calibrare_Linii'!$C$6:$C$19,MATCH(C61,'Calibrare_Linii'!$A$6:$A$19,0)),1,0)))</x:f>
        <x:v>0</x:v>
      </x:c>
    </x:row>
    <x:row r="62" ht="21" customHeight="1">
      <x:c r="A62" s="7"/>
      <x:c r="B62" s="7"/>
      <x:c r="C62" s="7"/>
      <x:c r="D62" s="8"/>
      <x:c r="E62" s="8"/>
      <x:c r="F62" s="8"/>
      <x:c r="G62" s="12"/>
      <x:c r="H62" s="7"/>
      <x:c r="I62" s="7"/>
      <x:c r="J62" s="7"/>
      <x:c r="K62" s="7"/>
      <x:c r="L62" s="7"/>
      <x:c r="M62" s="7"/>
      <x:c r="N62" s="7"/>
      <x:c r="O62" s="7"/>
      <x:c r="P62" s="8"/>
      <x:c r="Q62" s="7"/>
      <x:c r="R62" s="7"/>
      <x:c r="S62" s="7"/>
      <x:c r="T62" s="2" t="n">
        <x:f>IF(A62="",0,IFERROR(IF(AND(B62&lt;&gt;"",COUNTIF('Calibrare_Linii'!$A$6:$A$19,C62)=1,COUNTIFS(OOSTable[Fixture_ID],A62,OOSTable[Line],C62)=1,ISNUMBER(D62),ISNUMBER(E62),ISNUMBER(F62),F62&lt;D62,D62&lt;E62,ISNUMBER(G62),G62&gt;='Config_v6'!$B$50,G62&lt;=1,ISNUMBER(H62),H62&gt;='Config_v6'!$B$51,H62&lt;=100,ISNUMBER(I62),I62&gt;=0,I62&lt;='Config_v6'!$B$53,ISNUMBER(J62),J62&gt;=0,J62&lt;='Config_v6'!$B$52,K62="NO",L62=12,M62="PASS",ISNUMBER(N62),N62&gt;=0,MOD(N62,1)=0,O62&lt;&gt;"",ISNUMBER(P62),P62&gt;E62,Q62&lt;&gt;"",R62&lt;&gt;"",S62="LIVE"),1,0),0))</x:f>
        <x:v>0</x:v>
      </x:c>
      <x:c r="U62" s="2" t="n">
        <x:f>IF(T62&lt;&gt;1,0,IF(LEFT(C62,1)="O",IF(N62&gt;INDEX('Calibrare_Linii'!$C$6:$C$19,MATCH(C62,'Calibrare_Linii'!$A$6:$A$19,0)),1,0),IF(N62&lt;=INDEX('Calibrare_Linii'!$C$6:$C$19,MATCH(C62,'Calibrare_Linii'!$A$6:$A$19,0)),1,0)))</x:f>
        <x:v>0</x:v>
      </x:c>
    </x:row>
    <x:row r="63" ht="21" customHeight="1">
      <x:c r="A63" s="7"/>
      <x:c r="B63" s="7"/>
      <x:c r="C63" s="7"/>
      <x:c r="D63" s="8"/>
      <x:c r="E63" s="8"/>
      <x:c r="F63" s="8"/>
      <x:c r="G63" s="12"/>
      <x:c r="H63" s="7"/>
      <x:c r="I63" s="7"/>
      <x:c r="J63" s="7"/>
      <x:c r="K63" s="7"/>
      <x:c r="L63" s="7"/>
      <x:c r="M63" s="7"/>
      <x:c r="N63" s="7"/>
      <x:c r="O63" s="7"/>
      <x:c r="P63" s="8"/>
      <x:c r="Q63" s="7"/>
      <x:c r="R63" s="7"/>
      <x:c r="S63" s="7"/>
      <x:c r="T63" s="2" t="n">
        <x:f>IF(A63="",0,IFERROR(IF(AND(B63&lt;&gt;"",COUNTIF('Calibrare_Linii'!$A$6:$A$19,C63)=1,COUNTIFS(OOSTable[Fixture_ID],A63,OOSTable[Line],C63)=1,ISNUMBER(D63),ISNUMBER(E63),ISNUMBER(F63),F63&lt;D63,D63&lt;E63,ISNUMBER(G63),G63&gt;='Config_v6'!$B$50,G63&lt;=1,ISNUMBER(H63),H63&gt;='Config_v6'!$B$51,H63&lt;=100,ISNUMBER(I63),I63&gt;=0,I63&lt;='Config_v6'!$B$53,ISNUMBER(J63),J63&gt;=0,J63&lt;='Config_v6'!$B$52,K63="NO",L63=12,M63="PASS",ISNUMBER(N63),N63&gt;=0,MOD(N63,1)=0,O63&lt;&gt;"",ISNUMBER(P63),P63&gt;E63,Q63&lt;&gt;"",R63&lt;&gt;"",S63="LIVE"),1,0),0))</x:f>
        <x:v>0</x:v>
      </x:c>
      <x:c r="U63" s="2" t="n">
        <x:f>IF(T63&lt;&gt;1,0,IF(LEFT(C63,1)="O",IF(N63&gt;INDEX('Calibrare_Linii'!$C$6:$C$19,MATCH(C63,'Calibrare_Linii'!$A$6:$A$19,0)),1,0),IF(N63&lt;=INDEX('Calibrare_Linii'!$C$6:$C$19,MATCH(C63,'Calibrare_Linii'!$A$6:$A$19,0)),1,0)))</x:f>
        <x:v>0</x:v>
      </x:c>
    </x:row>
    <x:row r="64" ht="21" customHeight="1">
      <x:c r="A64" s="7"/>
      <x:c r="B64" s="7"/>
      <x:c r="C64" s="7"/>
      <x:c r="D64" s="8"/>
      <x:c r="E64" s="8"/>
      <x:c r="F64" s="8"/>
      <x:c r="G64" s="12"/>
      <x:c r="H64" s="7"/>
      <x:c r="I64" s="7"/>
      <x:c r="J64" s="7"/>
      <x:c r="K64" s="7"/>
      <x:c r="L64" s="7"/>
      <x:c r="M64" s="7"/>
      <x:c r="N64" s="7"/>
      <x:c r="O64" s="7"/>
      <x:c r="P64" s="8"/>
      <x:c r="Q64" s="7"/>
      <x:c r="R64" s="7"/>
      <x:c r="S64" s="7"/>
      <x:c r="T64" s="2" t="n">
        <x:f>IF(A64="",0,IFERROR(IF(AND(B64&lt;&gt;"",COUNTIF('Calibrare_Linii'!$A$6:$A$19,C64)=1,COUNTIFS(OOSTable[Fixture_ID],A64,OOSTable[Line],C64)=1,ISNUMBER(D64),ISNUMBER(E64),ISNUMBER(F64),F64&lt;D64,D64&lt;E64,ISNUMBER(G64),G64&gt;='Config_v6'!$B$50,G64&lt;=1,ISNUMBER(H64),H64&gt;='Config_v6'!$B$51,H64&lt;=100,ISNUMBER(I64),I64&gt;=0,I64&lt;='Config_v6'!$B$53,ISNUMBER(J64),J64&gt;=0,J64&lt;='Config_v6'!$B$52,K64="NO",L64=12,M64="PASS",ISNUMBER(N64),N64&gt;=0,MOD(N64,1)=0,O64&lt;&gt;"",ISNUMBER(P64),P64&gt;E64,Q64&lt;&gt;"",R64&lt;&gt;"",S64="LIVE"),1,0),0))</x:f>
        <x:v>0</x:v>
      </x:c>
      <x:c r="U64" s="2" t="n">
        <x:f>IF(T64&lt;&gt;1,0,IF(LEFT(C64,1)="O",IF(N64&gt;INDEX('Calibrare_Linii'!$C$6:$C$19,MATCH(C64,'Calibrare_Linii'!$A$6:$A$19,0)),1,0),IF(N64&lt;=INDEX('Calibrare_Linii'!$C$6:$C$19,MATCH(C64,'Calibrare_Linii'!$A$6:$A$19,0)),1,0)))</x:f>
        <x:v>0</x:v>
      </x:c>
    </x:row>
    <x:row r="65" ht="21" customHeight="1">
      <x:c r="A65" s="7"/>
      <x:c r="B65" s="7"/>
      <x:c r="C65" s="7"/>
      <x:c r="D65" s="8"/>
      <x:c r="E65" s="8"/>
      <x:c r="F65" s="8"/>
      <x:c r="G65" s="12"/>
      <x:c r="H65" s="7"/>
      <x:c r="I65" s="7"/>
      <x:c r="J65" s="7"/>
      <x:c r="K65" s="7"/>
      <x:c r="L65" s="7"/>
      <x:c r="M65" s="7"/>
      <x:c r="N65" s="7"/>
      <x:c r="O65" s="7"/>
      <x:c r="P65" s="8"/>
      <x:c r="Q65" s="7"/>
      <x:c r="R65" s="7"/>
      <x:c r="S65" s="7"/>
      <x:c r="T65" s="2" t="n">
        <x:f>IF(A65="",0,IFERROR(IF(AND(B65&lt;&gt;"",COUNTIF('Calibrare_Linii'!$A$6:$A$19,C65)=1,COUNTIFS(OOSTable[Fixture_ID],A65,OOSTable[Line],C65)=1,ISNUMBER(D65),ISNUMBER(E65),ISNUMBER(F65),F65&lt;D65,D65&lt;E65,ISNUMBER(G65),G65&gt;='Config_v6'!$B$50,G65&lt;=1,ISNUMBER(H65),H65&gt;='Config_v6'!$B$51,H65&lt;=100,ISNUMBER(I65),I65&gt;=0,I65&lt;='Config_v6'!$B$53,ISNUMBER(J65),J65&gt;=0,J65&lt;='Config_v6'!$B$52,K65="NO",L65=12,M65="PASS",ISNUMBER(N65),N65&gt;=0,MOD(N65,1)=0,O65&lt;&gt;"",ISNUMBER(P65),P65&gt;E65,Q65&lt;&gt;"",R65&lt;&gt;"",S65="LIVE"),1,0),0))</x:f>
        <x:v>0</x:v>
      </x:c>
      <x:c r="U65" s="2" t="n">
        <x:f>IF(T65&lt;&gt;1,0,IF(LEFT(C65,1)="O",IF(N65&gt;INDEX('Calibrare_Linii'!$C$6:$C$19,MATCH(C65,'Calibrare_Linii'!$A$6:$A$19,0)),1,0),IF(N65&lt;=INDEX('Calibrare_Linii'!$C$6:$C$19,MATCH(C65,'Calibrare_Linii'!$A$6:$A$19,0)),1,0)))</x:f>
        <x:v>0</x:v>
      </x:c>
    </x:row>
    <x:row r="66" ht="21" customHeight="1">
      <x:c r="A66" s="7"/>
      <x:c r="B66" s="7"/>
      <x:c r="C66" s="7"/>
      <x:c r="D66" s="8"/>
      <x:c r="E66" s="8"/>
      <x:c r="F66" s="8"/>
      <x:c r="G66" s="12"/>
      <x:c r="H66" s="7"/>
      <x:c r="I66" s="7"/>
      <x:c r="J66" s="7"/>
      <x:c r="K66" s="7"/>
      <x:c r="L66" s="7"/>
      <x:c r="M66" s="7"/>
      <x:c r="N66" s="7"/>
      <x:c r="O66" s="7"/>
      <x:c r="P66" s="8"/>
      <x:c r="Q66" s="7"/>
      <x:c r="R66" s="7"/>
      <x:c r="S66" s="7"/>
      <x:c r="T66" s="2" t="n">
        <x:f>IF(A66="",0,IFERROR(IF(AND(B66&lt;&gt;"",COUNTIF('Calibrare_Linii'!$A$6:$A$19,C66)=1,COUNTIFS(OOSTable[Fixture_ID],A66,OOSTable[Line],C66)=1,ISNUMBER(D66),ISNUMBER(E66),ISNUMBER(F66),F66&lt;D66,D66&lt;E66,ISNUMBER(G66),G66&gt;='Config_v6'!$B$50,G66&lt;=1,ISNUMBER(H66),H66&gt;='Config_v6'!$B$51,H66&lt;=100,ISNUMBER(I66),I66&gt;=0,I66&lt;='Config_v6'!$B$53,ISNUMBER(J66),J66&gt;=0,J66&lt;='Config_v6'!$B$52,K66="NO",L66=12,M66="PASS",ISNUMBER(N66),N66&gt;=0,MOD(N66,1)=0,O66&lt;&gt;"",ISNUMBER(P66),P66&gt;E66,Q66&lt;&gt;"",R66&lt;&gt;"",S66="LIVE"),1,0),0))</x:f>
        <x:v>0</x:v>
      </x:c>
      <x:c r="U66" s="2" t="n">
        <x:f>IF(T66&lt;&gt;1,0,IF(LEFT(C66,1)="O",IF(N66&gt;INDEX('Calibrare_Linii'!$C$6:$C$19,MATCH(C66,'Calibrare_Linii'!$A$6:$A$19,0)),1,0),IF(N66&lt;=INDEX('Calibrare_Linii'!$C$6:$C$19,MATCH(C66,'Calibrare_Linii'!$A$6:$A$19,0)),1,0)))</x:f>
        <x:v>0</x:v>
      </x:c>
    </x:row>
    <x:row r="67" ht="21" customHeight="1">
      <x:c r="A67" s="7"/>
      <x:c r="B67" s="7"/>
      <x:c r="C67" s="7"/>
      <x:c r="D67" s="8"/>
      <x:c r="E67" s="8"/>
      <x:c r="F67" s="8"/>
      <x:c r="G67" s="12"/>
      <x:c r="H67" s="7"/>
      <x:c r="I67" s="7"/>
      <x:c r="J67" s="7"/>
      <x:c r="K67" s="7"/>
      <x:c r="L67" s="7"/>
      <x:c r="M67" s="7"/>
      <x:c r="N67" s="7"/>
      <x:c r="O67" s="7"/>
      <x:c r="P67" s="8"/>
      <x:c r="Q67" s="7"/>
      <x:c r="R67" s="7"/>
      <x:c r="S67" s="7"/>
      <x:c r="T67" s="2" t="n">
        <x:f>IF(A67="",0,IFERROR(IF(AND(B67&lt;&gt;"",COUNTIF('Calibrare_Linii'!$A$6:$A$19,C67)=1,COUNTIFS(OOSTable[Fixture_ID],A67,OOSTable[Line],C67)=1,ISNUMBER(D67),ISNUMBER(E67),ISNUMBER(F67),F67&lt;D67,D67&lt;E67,ISNUMBER(G67),G67&gt;='Config_v6'!$B$50,G67&lt;=1,ISNUMBER(H67),H67&gt;='Config_v6'!$B$51,H67&lt;=100,ISNUMBER(I67),I67&gt;=0,I67&lt;='Config_v6'!$B$53,ISNUMBER(J67),J67&gt;=0,J67&lt;='Config_v6'!$B$52,K67="NO",L67=12,M67="PASS",ISNUMBER(N67),N67&gt;=0,MOD(N67,1)=0,O67&lt;&gt;"",ISNUMBER(P67),P67&gt;E67,Q67&lt;&gt;"",R67&lt;&gt;"",S67="LIVE"),1,0),0))</x:f>
        <x:v>0</x:v>
      </x:c>
      <x:c r="U67" s="2" t="n">
        <x:f>IF(T67&lt;&gt;1,0,IF(LEFT(C67,1)="O",IF(N67&gt;INDEX('Calibrare_Linii'!$C$6:$C$19,MATCH(C67,'Calibrare_Linii'!$A$6:$A$19,0)),1,0),IF(N67&lt;=INDEX('Calibrare_Linii'!$C$6:$C$19,MATCH(C67,'Calibrare_Linii'!$A$6:$A$19,0)),1,0)))</x:f>
        <x:v>0</x:v>
      </x:c>
    </x:row>
    <x:row r="68" ht="21" customHeight="1">
      <x:c r="A68" s="7"/>
      <x:c r="B68" s="7"/>
      <x:c r="C68" s="7"/>
      <x:c r="D68" s="8"/>
      <x:c r="E68" s="8"/>
      <x:c r="F68" s="8"/>
      <x:c r="G68" s="12"/>
      <x:c r="H68" s="7"/>
      <x:c r="I68" s="7"/>
      <x:c r="J68" s="7"/>
      <x:c r="K68" s="7"/>
      <x:c r="L68" s="7"/>
      <x:c r="M68" s="7"/>
      <x:c r="N68" s="7"/>
      <x:c r="O68" s="7"/>
      <x:c r="P68" s="8"/>
      <x:c r="Q68" s="7"/>
      <x:c r="R68" s="7"/>
      <x:c r="S68" s="7"/>
      <x:c r="T68" s="2" t="n">
        <x:f>IF(A68="",0,IFERROR(IF(AND(B68&lt;&gt;"",COUNTIF('Calibrare_Linii'!$A$6:$A$19,C68)=1,COUNTIFS(OOSTable[Fixture_ID],A68,OOSTable[Line],C68)=1,ISNUMBER(D68),ISNUMBER(E68),ISNUMBER(F68),F68&lt;D68,D68&lt;E68,ISNUMBER(G68),G68&gt;='Config_v6'!$B$50,G68&lt;=1,ISNUMBER(H68),H68&gt;='Config_v6'!$B$51,H68&lt;=100,ISNUMBER(I68),I68&gt;=0,I68&lt;='Config_v6'!$B$53,ISNUMBER(J68),J68&gt;=0,J68&lt;='Config_v6'!$B$52,K68="NO",L68=12,M68="PASS",ISNUMBER(N68),N68&gt;=0,MOD(N68,1)=0,O68&lt;&gt;"",ISNUMBER(P68),P68&gt;E68,Q68&lt;&gt;"",R68&lt;&gt;"",S68="LIVE"),1,0),0))</x:f>
        <x:v>0</x:v>
      </x:c>
      <x:c r="U68" s="2" t="n">
        <x:f>IF(T68&lt;&gt;1,0,IF(LEFT(C68,1)="O",IF(N68&gt;INDEX('Calibrare_Linii'!$C$6:$C$19,MATCH(C68,'Calibrare_Linii'!$A$6:$A$19,0)),1,0),IF(N68&lt;=INDEX('Calibrare_Linii'!$C$6:$C$19,MATCH(C68,'Calibrare_Linii'!$A$6:$A$19,0)),1,0)))</x:f>
        <x:v>0</x:v>
      </x:c>
    </x:row>
    <x:row r="69" ht="21" customHeight="1">
      <x:c r="A69" s="7"/>
      <x:c r="B69" s="7"/>
      <x:c r="C69" s="7"/>
      <x:c r="D69" s="8"/>
      <x:c r="E69" s="8"/>
      <x:c r="F69" s="8"/>
      <x:c r="G69" s="12"/>
      <x:c r="H69" s="7"/>
      <x:c r="I69" s="7"/>
      <x:c r="J69" s="7"/>
      <x:c r="K69" s="7"/>
      <x:c r="L69" s="7"/>
      <x:c r="M69" s="7"/>
      <x:c r="N69" s="7"/>
      <x:c r="O69" s="7"/>
      <x:c r="P69" s="8"/>
      <x:c r="Q69" s="7"/>
      <x:c r="R69" s="7"/>
      <x:c r="S69" s="7"/>
      <x:c r="T69" s="2" t="n">
        <x:f>IF(A69="",0,IFERROR(IF(AND(B69&lt;&gt;"",COUNTIF('Calibrare_Linii'!$A$6:$A$19,C69)=1,COUNTIFS(OOSTable[Fixture_ID],A69,OOSTable[Line],C69)=1,ISNUMBER(D69),ISNUMBER(E69),ISNUMBER(F69),F69&lt;D69,D69&lt;E69,ISNUMBER(G69),G69&gt;='Config_v6'!$B$50,G69&lt;=1,ISNUMBER(H69),H69&gt;='Config_v6'!$B$51,H69&lt;=100,ISNUMBER(I69),I69&gt;=0,I69&lt;='Config_v6'!$B$53,ISNUMBER(J69),J69&gt;=0,J69&lt;='Config_v6'!$B$52,K69="NO",L69=12,M69="PASS",ISNUMBER(N69),N69&gt;=0,MOD(N69,1)=0,O69&lt;&gt;"",ISNUMBER(P69),P69&gt;E69,Q69&lt;&gt;"",R69&lt;&gt;"",S69="LIVE"),1,0),0))</x:f>
        <x:v>0</x:v>
      </x:c>
      <x:c r="U69" s="2" t="n">
        <x:f>IF(T69&lt;&gt;1,0,IF(LEFT(C69,1)="O",IF(N69&gt;INDEX('Calibrare_Linii'!$C$6:$C$19,MATCH(C69,'Calibrare_Linii'!$A$6:$A$19,0)),1,0),IF(N69&lt;=INDEX('Calibrare_Linii'!$C$6:$C$19,MATCH(C69,'Calibrare_Linii'!$A$6:$A$19,0)),1,0)))</x:f>
        <x:v>0</x:v>
      </x:c>
    </x:row>
    <x:row r="70" ht="21" customHeight="1">
      <x:c r="A70" s="7"/>
      <x:c r="B70" s="7"/>
      <x:c r="C70" s="7"/>
      <x:c r="D70" s="8"/>
      <x:c r="E70" s="8"/>
      <x:c r="F70" s="8"/>
      <x:c r="G70" s="12"/>
      <x:c r="H70" s="7"/>
      <x:c r="I70" s="7"/>
      <x:c r="J70" s="7"/>
      <x:c r="K70" s="7"/>
      <x:c r="L70" s="7"/>
      <x:c r="M70" s="7"/>
      <x:c r="N70" s="7"/>
      <x:c r="O70" s="7"/>
      <x:c r="P70" s="8"/>
      <x:c r="Q70" s="7"/>
      <x:c r="R70" s="7"/>
      <x:c r="S70" s="7"/>
      <x:c r="T70" s="2" t="n">
        <x:f>IF(A70="",0,IFERROR(IF(AND(B70&lt;&gt;"",COUNTIF('Calibrare_Linii'!$A$6:$A$19,C70)=1,COUNTIFS(OOSTable[Fixture_ID],A70,OOSTable[Line],C70)=1,ISNUMBER(D70),ISNUMBER(E70),ISNUMBER(F70),F70&lt;D70,D70&lt;E70,ISNUMBER(G70),G70&gt;='Config_v6'!$B$50,G70&lt;=1,ISNUMBER(H70),H70&gt;='Config_v6'!$B$51,H70&lt;=100,ISNUMBER(I70),I70&gt;=0,I70&lt;='Config_v6'!$B$53,ISNUMBER(J70),J70&gt;=0,J70&lt;='Config_v6'!$B$52,K70="NO",L70=12,M70="PASS",ISNUMBER(N70),N70&gt;=0,MOD(N70,1)=0,O70&lt;&gt;"",ISNUMBER(P70),P70&gt;E70,Q70&lt;&gt;"",R70&lt;&gt;"",S70="LIVE"),1,0),0))</x:f>
        <x:v>0</x:v>
      </x:c>
      <x:c r="U70" s="2" t="n">
        <x:f>IF(T70&lt;&gt;1,0,IF(LEFT(C70,1)="O",IF(N70&gt;INDEX('Calibrare_Linii'!$C$6:$C$19,MATCH(C70,'Calibrare_Linii'!$A$6:$A$19,0)),1,0),IF(N70&lt;=INDEX('Calibrare_Linii'!$C$6:$C$19,MATCH(C70,'Calibrare_Linii'!$A$6:$A$19,0)),1,0)))</x:f>
        <x:v>0</x:v>
      </x:c>
    </x:row>
    <x:row r="71" ht="21" customHeight="1">
      <x:c r="A71" s="7"/>
      <x:c r="B71" s="7"/>
      <x:c r="C71" s="7"/>
      <x:c r="D71" s="8"/>
      <x:c r="E71" s="8"/>
      <x:c r="F71" s="8"/>
      <x:c r="G71" s="12"/>
      <x:c r="H71" s="7"/>
      <x:c r="I71" s="7"/>
      <x:c r="J71" s="7"/>
      <x:c r="K71" s="7"/>
      <x:c r="L71" s="7"/>
      <x:c r="M71" s="7"/>
      <x:c r="N71" s="7"/>
      <x:c r="O71" s="7"/>
      <x:c r="P71" s="8"/>
      <x:c r="Q71" s="7"/>
      <x:c r="R71" s="7"/>
      <x:c r="S71" s="7"/>
      <x:c r="T71" s="2" t="n">
        <x:f>IF(A71="",0,IFERROR(IF(AND(B71&lt;&gt;"",COUNTIF('Calibrare_Linii'!$A$6:$A$19,C71)=1,COUNTIFS(OOSTable[Fixture_ID],A71,OOSTable[Line],C71)=1,ISNUMBER(D71),ISNUMBER(E71),ISNUMBER(F71),F71&lt;D71,D71&lt;E71,ISNUMBER(G71),G71&gt;='Config_v6'!$B$50,G71&lt;=1,ISNUMBER(H71),H71&gt;='Config_v6'!$B$51,H71&lt;=100,ISNUMBER(I71),I71&gt;=0,I71&lt;='Config_v6'!$B$53,ISNUMBER(J71),J71&gt;=0,J71&lt;='Config_v6'!$B$52,K71="NO",L71=12,M71="PASS",ISNUMBER(N71),N71&gt;=0,MOD(N71,1)=0,O71&lt;&gt;"",ISNUMBER(P71),P71&gt;E71,Q71&lt;&gt;"",R71&lt;&gt;"",S71="LIVE"),1,0),0))</x:f>
        <x:v>0</x:v>
      </x:c>
      <x:c r="U71" s="2" t="n">
        <x:f>IF(T71&lt;&gt;1,0,IF(LEFT(C71,1)="O",IF(N71&gt;INDEX('Calibrare_Linii'!$C$6:$C$19,MATCH(C71,'Calibrare_Linii'!$A$6:$A$19,0)),1,0),IF(N71&lt;=INDEX('Calibrare_Linii'!$C$6:$C$19,MATCH(C71,'Calibrare_Linii'!$A$6:$A$19,0)),1,0)))</x:f>
        <x:v>0</x:v>
      </x:c>
    </x:row>
    <x:row r="72" ht="21" customHeight="1">
      <x:c r="A72" s="7"/>
      <x:c r="B72" s="7"/>
      <x:c r="C72" s="7"/>
      <x:c r="D72" s="8"/>
      <x:c r="E72" s="8"/>
      <x:c r="F72" s="8"/>
      <x:c r="G72" s="12"/>
      <x:c r="H72" s="7"/>
      <x:c r="I72" s="7"/>
      <x:c r="J72" s="7"/>
      <x:c r="K72" s="7"/>
      <x:c r="L72" s="7"/>
      <x:c r="M72" s="7"/>
      <x:c r="N72" s="7"/>
      <x:c r="O72" s="7"/>
      <x:c r="P72" s="8"/>
      <x:c r="Q72" s="7"/>
      <x:c r="R72" s="7"/>
      <x:c r="S72" s="7"/>
      <x:c r="T72" s="2" t="n">
        <x:f>IF(A72="",0,IFERROR(IF(AND(B72&lt;&gt;"",COUNTIF('Calibrare_Linii'!$A$6:$A$19,C72)=1,COUNTIFS(OOSTable[Fixture_ID],A72,OOSTable[Line],C72)=1,ISNUMBER(D72),ISNUMBER(E72),ISNUMBER(F72),F72&lt;D72,D72&lt;E72,ISNUMBER(G72),G72&gt;='Config_v6'!$B$50,G72&lt;=1,ISNUMBER(H72),H72&gt;='Config_v6'!$B$51,H72&lt;=100,ISNUMBER(I72),I72&gt;=0,I72&lt;='Config_v6'!$B$53,ISNUMBER(J72),J72&gt;=0,J72&lt;='Config_v6'!$B$52,K72="NO",L72=12,M72="PASS",ISNUMBER(N72),N72&gt;=0,MOD(N72,1)=0,O72&lt;&gt;"",ISNUMBER(P72),P72&gt;E72,Q72&lt;&gt;"",R72&lt;&gt;"",S72="LIVE"),1,0),0))</x:f>
        <x:v>0</x:v>
      </x:c>
      <x:c r="U72" s="2" t="n">
        <x:f>IF(T72&lt;&gt;1,0,IF(LEFT(C72,1)="O",IF(N72&gt;INDEX('Calibrare_Linii'!$C$6:$C$19,MATCH(C72,'Calibrare_Linii'!$A$6:$A$19,0)),1,0),IF(N72&lt;=INDEX('Calibrare_Linii'!$C$6:$C$19,MATCH(C72,'Calibrare_Linii'!$A$6:$A$19,0)),1,0)))</x:f>
        <x:v>0</x:v>
      </x:c>
    </x:row>
    <x:row r="73" ht="21" customHeight="1">
      <x:c r="A73" s="7"/>
      <x:c r="B73" s="7"/>
      <x:c r="C73" s="7"/>
      <x:c r="D73" s="8"/>
      <x:c r="E73" s="8"/>
      <x:c r="F73" s="8"/>
      <x:c r="G73" s="12"/>
      <x:c r="H73" s="7"/>
      <x:c r="I73" s="7"/>
      <x:c r="J73" s="7"/>
      <x:c r="K73" s="7"/>
      <x:c r="L73" s="7"/>
      <x:c r="M73" s="7"/>
      <x:c r="N73" s="7"/>
      <x:c r="O73" s="7"/>
      <x:c r="P73" s="8"/>
      <x:c r="Q73" s="7"/>
      <x:c r="R73" s="7"/>
      <x:c r="S73" s="7"/>
      <x:c r="T73" s="2" t="n">
        <x:f>IF(A73="",0,IFERROR(IF(AND(B73&lt;&gt;"",COUNTIF('Calibrare_Linii'!$A$6:$A$19,C73)=1,COUNTIFS(OOSTable[Fixture_ID],A73,OOSTable[Line],C73)=1,ISNUMBER(D73),ISNUMBER(E73),ISNUMBER(F73),F73&lt;D73,D73&lt;E73,ISNUMBER(G73),G73&gt;='Config_v6'!$B$50,G73&lt;=1,ISNUMBER(H73),H73&gt;='Config_v6'!$B$51,H73&lt;=100,ISNUMBER(I73),I73&gt;=0,I73&lt;='Config_v6'!$B$53,ISNUMBER(J73),J73&gt;=0,J73&lt;='Config_v6'!$B$52,K73="NO",L73=12,M73="PASS",ISNUMBER(N73),N73&gt;=0,MOD(N73,1)=0,O73&lt;&gt;"",ISNUMBER(P73),P73&gt;E73,Q73&lt;&gt;"",R73&lt;&gt;"",S73="LIVE"),1,0),0))</x:f>
        <x:v>0</x:v>
      </x:c>
      <x:c r="U73" s="2" t="n">
        <x:f>IF(T73&lt;&gt;1,0,IF(LEFT(C73,1)="O",IF(N73&gt;INDEX('Calibrare_Linii'!$C$6:$C$19,MATCH(C73,'Calibrare_Linii'!$A$6:$A$19,0)),1,0),IF(N73&lt;=INDEX('Calibrare_Linii'!$C$6:$C$19,MATCH(C73,'Calibrare_Linii'!$A$6:$A$19,0)),1,0)))</x:f>
        <x:v>0</x:v>
      </x:c>
    </x:row>
    <x:row r="74" ht="21" customHeight="1">
      <x:c r="A74" s="7"/>
      <x:c r="B74" s="7"/>
      <x:c r="C74" s="7"/>
      <x:c r="D74" s="8"/>
      <x:c r="E74" s="8"/>
      <x:c r="F74" s="8"/>
      <x:c r="G74" s="12"/>
      <x:c r="H74" s="7"/>
      <x:c r="I74" s="7"/>
      <x:c r="J74" s="7"/>
      <x:c r="K74" s="7"/>
      <x:c r="L74" s="7"/>
      <x:c r="M74" s="7"/>
      <x:c r="N74" s="7"/>
      <x:c r="O74" s="7"/>
      <x:c r="P74" s="8"/>
      <x:c r="Q74" s="7"/>
      <x:c r="R74" s="7"/>
      <x:c r="S74" s="7"/>
      <x:c r="T74" s="2" t="n">
        <x:f>IF(A74="",0,IFERROR(IF(AND(B74&lt;&gt;"",COUNTIF('Calibrare_Linii'!$A$6:$A$19,C74)=1,COUNTIFS(OOSTable[Fixture_ID],A74,OOSTable[Line],C74)=1,ISNUMBER(D74),ISNUMBER(E74),ISNUMBER(F74),F74&lt;D74,D74&lt;E74,ISNUMBER(G74),G74&gt;='Config_v6'!$B$50,G74&lt;=1,ISNUMBER(H74),H74&gt;='Config_v6'!$B$51,H74&lt;=100,ISNUMBER(I74),I74&gt;=0,I74&lt;='Config_v6'!$B$53,ISNUMBER(J74),J74&gt;=0,J74&lt;='Config_v6'!$B$52,K74="NO",L74=12,M74="PASS",ISNUMBER(N74),N74&gt;=0,MOD(N74,1)=0,O74&lt;&gt;"",ISNUMBER(P74),P74&gt;E74,Q74&lt;&gt;"",R74&lt;&gt;"",S74="LIVE"),1,0),0))</x:f>
        <x:v>0</x:v>
      </x:c>
      <x:c r="U74" s="2" t="n">
        <x:f>IF(T74&lt;&gt;1,0,IF(LEFT(C74,1)="O",IF(N74&gt;INDEX('Calibrare_Linii'!$C$6:$C$19,MATCH(C74,'Calibrare_Linii'!$A$6:$A$19,0)),1,0),IF(N74&lt;=INDEX('Calibrare_Linii'!$C$6:$C$19,MATCH(C74,'Calibrare_Linii'!$A$6:$A$19,0)),1,0)))</x:f>
        <x:v>0</x:v>
      </x:c>
    </x:row>
    <x:row r="75" ht="21" customHeight="1">
      <x:c r="A75" s="7"/>
      <x:c r="B75" s="7"/>
      <x:c r="C75" s="7"/>
      <x:c r="D75" s="8"/>
      <x:c r="E75" s="8"/>
      <x:c r="F75" s="8"/>
      <x:c r="G75" s="12"/>
      <x:c r="H75" s="7"/>
      <x:c r="I75" s="7"/>
      <x:c r="J75" s="7"/>
      <x:c r="K75" s="7"/>
      <x:c r="L75" s="7"/>
      <x:c r="M75" s="7"/>
      <x:c r="N75" s="7"/>
      <x:c r="O75" s="7"/>
      <x:c r="P75" s="8"/>
      <x:c r="Q75" s="7"/>
      <x:c r="R75" s="7"/>
      <x:c r="S75" s="7"/>
      <x:c r="T75" s="2" t="n">
        <x:f>IF(A75="",0,IFERROR(IF(AND(B75&lt;&gt;"",COUNTIF('Calibrare_Linii'!$A$6:$A$19,C75)=1,COUNTIFS(OOSTable[Fixture_ID],A75,OOSTable[Line],C75)=1,ISNUMBER(D75),ISNUMBER(E75),ISNUMBER(F75),F75&lt;D75,D75&lt;E75,ISNUMBER(G75),G75&gt;='Config_v6'!$B$50,G75&lt;=1,ISNUMBER(H75),H75&gt;='Config_v6'!$B$51,H75&lt;=100,ISNUMBER(I75),I75&gt;=0,I75&lt;='Config_v6'!$B$53,ISNUMBER(J75),J75&gt;=0,J75&lt;='Config_v6'!$B$52,K75="NO",L75=12,M75="PASS",ISNUMBER(N75),N75&gt;=0,MOD(N75,1)=0,O75&lt;&gt;"",ISNUMBER(P75),P75&gt;E75,Q75&lt;&gt;"",R75&lt;&gt;"",S75="LIVE"),1,0),0))</x:f>
        <x:v>0</x:v>
      </x:c>
      <x:c r="U75" s="2" t="n">
        <x:f>IF(T75&lt;&gt;1,0,IF(LEFT(C75,1)="O",IF(N75&gt;INDEX('Calibrare_Linii'!$C$6:$C$19,MATCH(C75,'Calibrare_Linii'!$A$6:$A$19,0)),1,0),IF(N75&lt;=INDEX('Calibrare_Linii'!$C$6:$C$19,MATCH(C75,'Calibrare_Linii'!$A$6:$A$19,0)),1,0)))</x:f>
        <x:v>0</x:v>
      </x:c>
    </x:row>
    <x:row r="76" ht="21" customHeight="1">
      <x:c r="A76" s="7"/>
      <x:c r="B76" s="7"/>
      <x:c r="C76" s="7"/>
      <x:c r="D76" s="8"/>
      <x:c r="E76" s="8"/>
      <x:c r="F76" s="8"/>
      <x:c r="G76" s="12"/>
      <x:c r="H76" s="7"/>
      <x:c r="I76" s="7"/>
      <x:c r="J76" s="7"/>
      <x:c r="K76" s="7"/>
      <x:c r="L76" s="7"/>
      <x:c r="M76" s="7"/>
      <x:c r="N76" s="7"/>
      <x:c r="O76" s="7"/>
      <x:c r="P76" s="8"/>
      <x:c r="Q76" s="7"/>
      <x:c r="R76" s="7"/>
      <x:c r="S76" s="7"/>
      <x:c r="T76" s="2" t="n">
        <x:f>IF(A76="",0,IFERROR(IF(AND(B76&lt;&gt;"",COUNTIF('Calibrare_Linii'!$A$6:$A$19,C76)=1,COUNTIFS(OOSTable[Fixture_ID],A76,OOSTable[Line],C76)=1,ISNUMBER(D76),ISNUMBER(E76),ISNUMBER(F76),F76&lt;D76,D76&lt;E76,ISNUMBER(G76),G76&gt;='Config_v6'!$B$50,G76&lt;=1,ISNUMBER(H76),H76&gt;='Config_v6'!$B$51,H76&lt;=100,ISNUMBER(I76),I76&gt;=0,I76&lt;='Config_v6'!$B$53,ISNUMBER(J76),J76&gt;=0,J76&lt;='Config_v6'!$B$52,K76="NO",L76=12,M76="PASS",ISNUMBER(N76),N76&gt;=0,MOD(N76,1)=0,O76&lt;&gt;"",ISNUMBER(P76),P76&gt;E76,Q76&lt;&gt;"",R76&lt;&gt;"",S76="LIVE"),1,0),0))</x:f>
        <x:v>0</x:v>
      </x:c>
      <x:c r="U76" s="2" t="n">
        <x:f>IF(T76&lt;&gt;1,0,IF(LEFT(C76,1)="O",IF(N76&gt;INDEX('Calibrare_Linii'!$C$6:$C$19,MATCH(C76,'Calibrare_Linii'!$A$6:$A$19,0)),1,0),IF(N76&lt;=INDEX('Calibrare_Linii'!$C$6:$C$19,MATCH(C76,'Calibrare_Linii'!$A$6:$A$19,0)),1,0)))</x:f>
        <x:v>0</x:v>
      </x:c>
    </x:row>
    <x:row r="77" ht="21" customHeight="1">
      <x:c r="A77" s="7"/>
      <x:c r="B77" s="7"/>
      <x:c r="C77" s="7"/>
      <x:c r="D77" s="8"/>
      <x:c r="E77" s="8"/>
      <x:c r="F77" s="8"/>
      <x:c r="G77" s="12"/>
      <x:c r="H77" s="7"/>
      <x:c r="I77" s="7"/>
      <x:c r="J77" s="7"/>
      <x:c r="K77" s="7"/>
      <x:c r="L77" s="7"/>
      <x:c r="M77" s="7"/>
      <x:c r="N77" s="7"/>
      <x:c r="O77" s="7"/>
      <x:c r="P77" s="8"/>
      <x:c r="Q77" s="7"/>
      <x:c r="R77" s="7"/>
      <x:c r="S77" s="7"/>
      <x:c r="T77" s="2" t="n">
        <x:f>IF(A77="",0,IFERROR(IF(AND(B77&lt;&gt;"",COUNTIF('Calibrare_Linii'!$A$6:$A$19,C77)=1,COUNTIFS(OOSTable[Fixture_ID],A77,OOSTable[Line],C77)=1,ISNUMBER(D77),ISNUMBER(E77),ISNUMBER(F77),F77&lt;D77,D77&lt;E77,ISNUMBER(G77),G77&gt;='Config_v6'!$B$50,G77&lt;=1,ISNUMBER(H77),H77&gt;='Config_v6'!$B$51,H77&lt;=100,ISNUMBER(I77),I77&gt;=0,I77&lt;='Config_v6'!$B$53,ISNUMBER(J77),J77&gt;=0,J77&lt;='Config_v6'!$B$52,K77="NO",L77=12,M77="PASS",ISNUMBER(N77),N77&gt;=0,MOD(N77,1)=0,O77&lt;&gt;"",ISNUMBER(P77),P77&gt;E77,Q77&lt;&gt;"",R77&lt;&gt;"",S77="LIVE"),1,0),0))</x:f>
        <x:v>0</x:v>
      </x:c>
      <x:c r="U77" s="2" t="n">
        <x:f>IF(T77&lt;&gt;1,0,IF(LEFT(C77,1)="O",IF(N77&gt;INDEX('Calibrare_Linii'!$C$6:$C$19,MATCH(C77,'Calibrare_Linii'!$A$6:$A$19,0)),1,0),IF(N77&lt;=INDEX('Calibrare_Linii'!$C$6:$C$19,MATCH(C77,'Calibrare_Linii'!$A$6:$A$19,0)),1,0)))</x:f>
        <x:v>0</x:v>
      </x:c>
    </x:row>
    <x:row r="78" ht="21" customHeight="1">
      <x:c r="A78" s="7"/>
      <x:c r="B78" s="7"/>
      <x:c r="C78" s="7"/>
      <x:c r="D78" s="8"/>
      <x:c r="E78" s="8"/>
      <x:c r="F78" s="8"/>
      <x:c r="G78" s="12"/>
      <x:c r="H78" s="7"/>
      <x:c r="I78" s="7"/>
      <x:c r="J78" s="7"/>
      <x:c r="K78" s="7"/>
      <x:c r="L78" s="7"/>
      <x:c r="M78" s="7"/>
      <x:c r="N78" s="7"/>
      <x:c r="O78" s="7"/>
      <x:c r="P78" s="8"/>
      <x:c r="Q78" s="7"/>
      <x:c r="R78" s="7"/>
      <x:c r="S78" s="7"/>
      <x:c r="T78" s="2" t="n">
        <x:f>IF(A78="",0,IFERROR(IF(AND(B78&lt;&gt;"",COUNTIF('Calibrare_Linii'!$A$6:$A$19,C78)=1,COUNTIFS(OOSTable[Fixture_ID],A78,OOSTable[Line],C78)=1,ISNUMBER(D78),ISNUMBER(E78),ISNUMBER(F78),F78&lt;D78,D78&lt;E78,ISNUMBER(G78),G78&gt;='Config_v6'!$B$50,G78&lt;=1,ISNUMBER(H78),H78&gt;='Config_v6'!$B$51,H78&lt;=100,ISNUMBER(I78),I78&gt;=0,I78&lt;='Config_v6'!$B$53,ISNUMBER(J78),J78&gt;=0,J78&lt;='Config_v6'!$B$52,K78="NO",L78=12,M78="PASS",ISNUMBER(N78),N78&gt;=0,MOD(N78,1)=0,O78&lt;&gt;"",ISNUMBER(P78),P78&gt;E78,Q78&lt;&gt;"",R78&lt;&gt;"",S78="LIVE"),1,0),0))</x:f>
        <x:v>0</x:v>
      </x:c>
      <x:c r="U78" s="2" t="n">
        <x:f>IF(T78&lt;&gt;1,0,IF(LEFT(C78,1)="O",IF(N78&gt;INDEX('Calibrare_Linii'!$C$6:$C$19,MATCH(C78,'Calibrare_Linii'!$A$6:$A$19,0)),1,0),IF(N78&lt;=INDEX('Calibrare_Linii'!$C$6:$C$19,MATCH(C78,'Calibrare_Linii'!$A$6:$A$19,0)),1,0)))</x:f>
        <x:v>0</x:v>
      </x:c>
    </x:row>
    <x:row r="79" ht="21" customHeight="1">
      <x:c r="A79" s="7"/>
      <x:c r="B79" s="7"/>
      <x:c r="C79" s="7"/>
      <x:c r="D79" s="8"/>
      <x:c r="E79" s="8"/>
      <x:c r="F79" s="8"/>
      <x:c r="G79" s="12"/>
      <x:c r="H79" s="7"/>
      <x:c r="I79" s="7"/>
      <x:c r="J79" s="7"/>
      <x:c r="K79" s="7"/>
      <x:c r="L79" s="7"/>
      <x:c r="M79" s="7"/>
      <x:c r="N79" s="7"/>
      <x:c r="O79" s="7"/>
      <x:c r="P79" s="8"/>
      <x:c r="Q79" s="7"/>
      <x:c r="R79" s="7"/>
      <x:c r="S79" s="7"/>
      <x:c r="T79" s="2" t="n">
        <x:f>IF(A79="",0,IFERROR(IF(AND(B79&lt;&gt;"",COUNTIF('Calibrare_Linii'!$A$6:$A$19,C79)=1,COUNTIFS(OOSTable[Fixture_ID],A79,OOSTable[Line],C79)=1,ISNUMBER(D79),ISNUMBER(E79),ISNUMBER(F79),F79&lt;D79,D79&lt;E79,ISNUMBER(G79),G79&gt;='Config_v6'!$B$50,G79&lt;=1,ISNUMBER(H79),H79&gt;='Config_v6'!$B$51,H79&lt;=100,ISNUMBER(I79),I79&gt;=0,I79&lt;='Config_v6'!$B$53,ISNUMBER(J79),J79&gt;=0,J79&lt;='Config_v6'!$B$52,K79="NO",L79=12,M79="PASS",ISNUMBER(N79),N79&gt;=0,MOD(N79,1)=0,O79&lt;&gt;"",ISNUMBER(P79),P79&gt;E79,Q79&lt;&gt;"",R79&lt;&gt;"",S79="LIVE"),1,0),0))</x:f>
        <x:v>0</x:v>
      </x:c>
      <x:c r="U79" s="2" t="n">
        <x:f>IF(T79&lt;&gt;1,0,IF(LEFT(C79,1)="O",IF(N79&gt;INDEX('Calibrare_Linii'!$C$6:$C$19,MATCH(C79,'Calibrare_Linii'!$A$6:$A$19,0)),1,0),IF(N79&lt;=INDEX('Calibrare_Linii'!$C$6:$C$19,MATCH(C79,'Calibrare_Linii'!$A$6:$A$19,0)),1,0)))</x:f>
        <x:v>0</x:v>
      </x:c>
    </x:row>
    <x:row r="80" ht="21" customHeight="1">
      <x:c r="A80" s="7"/>
      <x:c r="B80" s="7"/>
      <x:c r="C80" s="7"/>
      <x:c r="D80" s="8"/>
      <x:c r="E80" s="8"/>
      <x:c r="F80" s="8"/>
      <x:c r="G80" s="12"/>
      <x:c r="H80" s="7"/>
      <x:c r="I80" s="7"/>
      <x:c r="J80" s="7"/>
      <x:c r="K80" s="7"/>
      <x:c r="L80" s="7"/>
      <x:c r="M80" s="7"/>
      <x:c r="N80" s="7"/>
      <x:c r="O80" s="7"/>
      <x:c r="P80" s="8"/>
      <x:c r="Q80" s="7"/>
      <x:c r="R80" s="7"/>
      <x:c r="S80" s="7"/>
      <x:c r="T80" s="2" t="n">
        <x:f>IF(A80="",0,IFERROR(IF(AND(B80&lt;&gt;"",COUNTIF('Calibrare_Linii'!$A$6:$A$19,C80)=1,COUNTIFS(OOSTable[Fixture_ID],A80,OOSTable[Line],C80)=1,ISNUMBER(D80),ISNUMBER(E80),ISNUMBER(F80),F80&lt;D80,D80&lt;E80,ISNUMBER(G80),G80&gt;='Config_v6'!$B$50,G80&lt;=1,ISNUMBER(H80),H80&gt;='Config_v6'!$B$51,H80&lt;=100,ISNUMBER(I80),I80&gt;=0,I80&lt;='Config_v6'!$B$53,ISNUMBER(J80),J80&gt;=0,J80&lt;='Config_v6'!$B$52,K80="NO",L80=12,M80="PASS",ISNUMBER(N80),N80&gt;=0,MOD(N80,1)=0,O80&lt;&gt;"",ISNUMBER(P80),P80&gt;E80,Q80&lt;&gt;"",R80&lt;&gt;"",S80="LIVE"),1,0),0))</x:f>
        <x:v>0</x:v>
      </x:c>
      <x:c r="U80" s="2" t="n">
        <x:f>IF(T80&lt;&gt;1,0,IF(LEFT(C80,1)="O",IF(N80&gt;INDEX('Calibrare_Linii'!$C$6:$C$19,MATCH(C80,'Calibrare_Linii'!$A$6:$A$19,0)),1,0),IF(N80&lt;=INDEX('Calibrare_Linii'!$C$6:$C$19,MATCH(C80,'Calibrare_Linii'!$A$6:$A$19,0)),1,0)))</x:f>
        <x:v>0</x:v>
      </x:c>
    </x:row>
    <x:row r="81" ht="21" customHeight="1">
      <x:c r="A81" s="7"/>
      <x:c r="B81" s="7"/>
      <x:c r="C81" s="7"/>
      <x:c r="D81" s="8"/>
      <x:c r="E81" s="8"/>
      <x:c r="F81" s="8"/>
      <x:c r="G81" s="12"/>
      <x:c r="H81" s="7"/>
      <x:c r="I81" s="7"/>
      <x:c r="J81" s="7"/>
      <x:c r="K81" s="7"/>
      <x:c r="L81" s="7"/>
      <x:c r="M81" s="7"/>
      <x:c r="N81" s="7"/>
      <x:c r="O81" s="7"/>
      <x:c r="P81" s="8"/>
      <x:c r="Q81" s="7"/>
      <x:c r="R81" s="7"/>
      <x:c r="S81" s="7"/>
      <x:c r="T81" s="2" t="n">
        <x:f>IF(A81="",0,IFERROR(IF(AND(B81&lt;&gt;"",COUNTIF('Calibrare_Linii'!$A$6:$A$19,C81)=1,COUNTIFS(OOSTable[Fixture_ID],A81,OOSTable[Line],C81)=1,ISNUMBER(D81),ISNUMBER(E81),ISNUMBER(F81),F81&lt;D81,D81&lt;E81,ISNUMBER(G81),G81&gt;='Config_v6'!$B$50,G81&lt;=1,ISNUMBER(H81),H81&gt;='Config_v6'!$B$51,H81&lt;=100,ISNUMBER(I81),I81&gt;=0,I81&lt;='Config_v6'!$B$53,ISNUMBER(J81),J81&gt;=0,J81&lt;='Config_v6'!$B$52,K81="NO",L81=12,M81="PASS",ISNUMBER(N81),N81&gt;=0,MOD(N81,1)=0,O81&lt;&gt;"",ISNUMBER(P81),P81&gt;E81,Q81&lt;&gt;"",R81&lt;&gt;"",S81="LIVE"),1,0),0))</x:f>
        <x:v>0</x:v>
      </x:c>
      <x:c r="U81" s="2" t="n">
        <x:f>IF(T81&lt;&gt;1,0,IF(LEFT(C81,1)="O",IF(N81&gt;INDEX('Calibrare_Linii'!$C$6:$C$19,MATCH(C81,'Calibrare_Linii'!$A$6:$A$19,0)),1,0),IF(N81&lt;=INDEX('Calibrare_Linii'!$C$6:$C$19,MATCH(C81,'Calibrare_Linii'!$A$6:$A$19,0)),1,0)))</x:f>
        <x:v>0</x:v>
      </x:c>
    </x:row>
    <x:row r="82" ht="21" customHeight="1">
      <x:c r="A82" s="7"/>
      <x:c r="B82" s="7"/>
      <x:c r="C82" s="7"/>
      <x:c r="D82" s="8"/>
      <x:c r="E82" s="8"/>
      <x:c r="F82" s="8"/>
      <x:c r="G82" s="12"/>
      <x:c r="H82" s="7"/>
      <x:c r="I82" s="7"/>
      <x:c r="J82" s="7"/>
      <x:c r="K82" s="7"/>
      <x:c r="L82" s="7"/>
      <x:c r="M82" s="7"/>
      <x:c r="N82" s="7"/>
      <x:c r="O82" s="7"/>
      <x:c r="P82" s="8"/>
      <x:c r="Q82" s="7"/>
      <x:c r="R82" s="7"/>
      <x:c r="S82" s="7"/>
      <x:c r="T82" s="2" t="n">
        <x:f>IF(A82="",0,IFERROR(IF(AND(B82&lt;&gt;"",COUNTIF('Calibrare_Linii'!$A$6:$A$19,C82)=1,COUNTIFS(OOSTable[Fixture_ID],A82,OOSTable[Line],C82)=1,ISNUMBER(D82),ISNUMBER(E82),ISNUMBER(F82),F82&lt;D82,D82&lt;E82,ISNUMBER(G82),G82&gt;='Config_v6'!$B$50,G82&lt;=1,ISNUMBER(H82),H82&gt;='Config_v6'!$B$51,H82&lt;=100,ISNUMBER(I82),I82&gt;=0,I82&lt;='Config_v6'!$B$53,ISNUMBER(J82),J82&gt;=0,J82&lt;='Config_v6'!$B$52,K82="NO",L82=12,M82="PASS",ISNUMBER(N82),N82&gt;=0,MOD(N82,1)=0,O82&lt;&gt;"",ISNUMBER(P82),P82&gt;E82,Q82&lt;&gt;"",R82&lt;&gt;"",S82="LIVE"),1,0),0))</x:f>
        <x:v>0</x:v>
      </x:c>
      <x:c r="U82" s="2" t="n">
        <x:f>IF(T82&lt;&gt;1,0,IF(LEFT(C82,1)="O",IF(N82&gt;INDEX('Calibrare_Linii'!$C$6:$C$19,MATCH(C82,'Calibrare_Linii'!$A$6:$A$19,0)),1,0),IF(N82&lt;=INDEX('Calibrare_Linii'!$C$6:$C$19,MATCH(C82,'Calibrare_Linii'!$A$6:$A$19,0)),1,0)))</x:f>
        <x:v>0</x:v>
      </x:c>
    </x:row>
    <x:row r="83" ht="21" customHeight="1">
      <x:c r="A83" s="7"/>
      <x:c r="B83" s="7"/>
      <x:c r="C83" s="7"/>
      <x:c r="D83" s="8"/>
      <x:c r="E83" s="8"/>
      <x:c r="F83" s="8"/>
      <x:c r="G83" s="12"/>
      <x:c r="H83" s="7"/>
      <x:c r="I83" s="7"/>
      <x:c r="J83" s="7"/>
      <x:c r="K83" s="7"/>
      <x:c r="L83" s="7"/>
      <x:c r="M83" s="7"/>
      <x:c r="N83" s="7"/>
      <x:c r="O83" s="7"/>
      <x:c r="P83" s="8"/>
      <x:c r="Q83" s="7"/>
      <x:c r="R83" s="7"/>
      <x:c r="S83" s="7"/>
      <x:c r="T83" s="2" t="n">
        <x:f>IF(A83="",0,IFERROR(IF(AND(B83&lt;&gt;"",COUNTIF('Calibrare_Linii'!$A$6:$A$19,C83)=1,COUNTIFS(OOSTable[Fixture_ID],A83,OOSTable[Line],C83)=1,ISNUMBER(D83),ISNUMBER(E83),ISNUMBER(F83),F83&lt;D83,D83&lt;E83,ISNUMBER(G83),G83&gt;='Config_v6'!$B$50,G83&lt;=1,ISNUMBER(H83),H83&gt;='Config_v6'!$B$51,H83&lt;=100,ISNUMBER(I83),I83&gt;=0,I83&lt;='Config_v6'!$B$53,ISNUMBER(J83),J83&gt;=0,J83&lt;='Config_v6'!$B$52,K83="NO",L83=12,M83="PASS",ISNUMBER(N83),N83&gt;=0,MOD(N83,1)=0,O83&lt;&gt;"",ISNUMBER(P83),P83&gt;E83,Q83&lt;&gt;"",R83&lt;&gt;"",S83="LIVE"),1,0),0))</x:f>
        <x:v>0</x:v>
      </x:c>
      <x:c r="U83" s="2" t="n">
        <x:f>IF(T83&lt;&gt;1,0,IF(LEFT(C83,1)="O",IF(N83&gt;INDEX('Calibrare_Linii'!$C$6:$C$19,MATCH(C83,'Calibrare_Linii'!$A$6:$A$19,0)),1,0),IF(N83&lt;=INDEX('Calibrare_Linii'!$C$6:$C$19,MATCH(C83,'Calibrare_Linii'!$A$6:$A$19,0)),1,0)))</x:f>
        <x:v>0</x:v>
      </x:c>
    </x:row>
    <x:row r="84" ht="21" customHeight="1">
      <x:c r="A84" s="7"/>
      <x:c r="B84" s="7"/>
      <x:c r="C84" s="7"/>
      <x:c r="D84" s="8"/>
      <x:c r="E84" s="8"/>
      <x:c r="F84" s="8"/>
      <x:c r="G84" s="12"/>
      <x:c r="H84" s="7"/>
      <x:c r="I84" s="7"/>
      <x:c r="J84" s="7"/>
      <x:c r="K84" s="7"/>
      <x:c r="L84" s="7"/>
      <x:c r="M84" s="7"/>
      <x:c r="N84" s="7"/>
      <x:c r="O84" s="7"/>
      <x:c r="P84" s="8"/>
      <x:c r="Q84" s="7"/>
      <x:c r="R84" s="7"/>
      <x:c r="S84" s="7"/>
      <x:c r="T84" s="2" t="n">
        <x:f>IF(A84="",0,IFERROR(IF(AND(B84&lt;&gt;"",COUNTIF('Calibrare_Linii'!$A$6:$A$19,C84)=1,COUNTIFS(OOSTable[Fixture_ID],A84,OOSTable[Line],C84)=1,ISNUMBER(D84),ISNUMBER(E84),ISNUMBER(F84),F84&lt;D84,D84&lt;E84,ISNUMBER(G84),G84&gt;='Config_v6'!$B$50,G84&lt;=1,ISNUMBER(H84),H84&gt;='Config_v6'!$B$51,H84&lt;=100,ISNUMBER(I84),I84&gt;=0,I84&lt;='Config_v6'!$B$53,ISNUMBER(J84),J84&gt;=0,J84&lt;='Config_v6'!$B$52,K84="NO",L84=12,M84="PASS",ISNUMBER(N84),N84&gt;=0,MOD(N84,1)=0,O84&lt;&gt;"",ISNUMBER(P84),P84&gt;E84,Q84&lt;&gt;"",R84&lt;&gt;"",S84="LIVE"),1,0),0))</x:f>
        <x:v>0</x:v>
      </x:c>
      <x:c r="U84" s="2" t="n">
        <x:f>IF(T84&lt;&gt;1,0,IF(LEFT(C84,1)="O",IF(N84&gt;INDEX('Calibrare_Linii'!$C$6:$C$19,MATCH(C84,'Calibrare_Linii'!$A$6:$A$19,0)),1,0),IF(N84&lt;=INDEX('Calibrare_Linii'!$C$6:$C$19,MATCH(C84,'Calibrare_Linii'!$A$6:$A$19,0)),1,0)))</x:f>
        <x:v>0</x:v>
      </x:c>
    </x:row>
    <x:row r="85" ht="21" customHeight="1">
      <x:c r="A85" s="7"/>
      <x:c r="B85" s="7"/>
      <x:c r="C85" s="7"/>
      <x:c r="D85" s="8"/>
      <x:c r="E85" s="8"/>
      <x:c r="F85" s="8"/>
      <x:c r="G85" s="12"/>
      <x:c r="H85" s="7"/>
      <x:c r="I85" s="7"/>
      <x:c r="J85" s="7"/>
      <x:c r="K85" s="7"/>
      <x:c r="L85" s="7"/>
      <x:c r="M85" s="7"/>
      <x:c r="N85" s="7"/>
      <x:c r="O85" s="7"/>
      <x:c r="P85" s="8"/>
      <x:c r="Q85" s="7"/>
      <x:c r="R85" s="7"/>
      <x:c r="S85" s="7"/>
      <x:c r="T85" s="2" t="n">
        <x:f>IF(A85="",0,IFERROR(IF(AND(B85&lt;&gt;"",COUNTIF('Calibrare_Linii'!$A$6:$A$19,C85)=1,COUNTIFS(OOSTable[Fixture_ID],A85,OOSTable[Line],C85)=1,ISNUMBER(D85),ISNUMBER(E85),ISNUMBER(F85),F85&lt;D85,D85&lt;E85,ISNUMBER(G85),G85&gt;='Config_v6'!$B$50,G85&lt;=1,ISNUMBER(H85),H85&gt;='Config_v6'!$B$51,H85&lt;=100,ISNUMBER(I85),I85&gt;=0,I85&lt;='Config_v6'!$B$53,ISNUMBER(J85),J85&gt;=0,J85&lt;='Config_v6'!$B$52,K85="NO",L85=12,M85="PASS",ISNUMBER(N85),N85&gt;=0,MOD(N85,1)=0,O85&lt;&gt;"",ISNUMBER(P85),P85&gt;E85,Q85&lt;&gt;"",R85&lt;&gt;"",S85="LIVE"),1,0),0))</x:f>
        <x:v>0</x:v>
      </x:c>
      <x:c r="U85" s="2" t="n">
        <x:f>IF(T85&lt;&gt;1,0,IF(LEFT(C85,1)="O",IF(N85&gt;INDEX('Calibrare_Linii'!$C$6:$C$19,MATCH(C85,'Calibrare_Linii'!$A$6:$A$19,0)),1,0),IF(N85&lt;=INDEX('Calibrare_Linii'!$C$6:$C$19,MATCH(C85,'Calibrare_Linii'!$A$6:$A$19,0)),1,0)))</x:f>
        <x:v>0</x:v>
      </x:c>
    </x:row>
    <x:row r="86" ht="21" customHeight="1">
      <x:c r="A86" s="7"/>
      <x:c r="B86" s="7"/>
      <x:c r="C86" s="7"/>
      <x:c r="D86" s="8"/>
      <x:c r="E86" s="8"/>
      <x:c r="F86" s="8"/>
      <x:c r="G86" s="12"/>
      <x:c r="H86" s="7"/>
      <x:c r="I86" s="7"/>
      <x:c r="J86" s="7"/>
      <x:c r="K86" s="7"/>
      <x:c r="L86" s="7"/>
      <x:c r="M86" s="7"/>
      <x:c r="N86" s="7"/>
      <x:c r="O86" s="7"/>
      <x:c r="P86" s="8"/>
      <x:c r="Q86" s="7"/>
      <x:c r="R86" s="7"/>
      <x:c r="S86" s="7"/>
      <x:c r="T86" s="2" t="n">
        <x:f>IF(A86="",0,IFERROR(IF(AND(B86&lt;&gt;"",COUNTIF('Calibrare_Linii'!$A$6:$A$19,C86)=1,COUNTIFS(OOSTable[Fixture_ID],A86,OOSTable[Line],C86)=1,ISNUMBER(D86),ISNUMBER(E86),ISNUMBER(F86),F86&lt;D86,D86&lt;E86,ISNUMBER(G86),G86&gt;='Config_v6'!$B$50,G86&lt;=1,ISNUMBER(H86),H86&gt;='Config_v6'!$B$51,H86&lt;=100,ISNUMBER(I86),I86&gt;=0,I86&lt;='Config_v6'!$B$53,ISNUMBER(J86),J86&gt;=0,J86&lt;='Config_v6'!$B$52,K86="NO",L86=12,M86="PASS",ISNUMBER(N86),N86&gt;=0,MOD(N86,1)=0,O86&lt;&gt;"",ISNUMBER(P86),P86&gt;E86,Q86&lt;&gt;"",R86&lt;&gt;"",S86="LIVE"),1,0),0))</x:f>
        <x:v>0</x:v>
      </x:c>
      <x:c r="U86" s="2" t="n">
        <x:f>IF(T86&lt;&gt;1,0,IF(LEFT(C86,1)="O",IF(N86&gt;INDEX('Calibrare_Linii'!$C$6:$C$19,MATCH(C86,'Calibrare_Linii'!$A$6:$A$19,0)),1,0),IF(N86&lt;=INDEX('Calibrare_Linii'!$C$6:$C$19,MATCH(C86,'Calibrare_Linii'!$A$6:$A$19,0)),1,0)))</x:f>
        <x:v>0</x:v>
      </x:c>
    </x:row>
    <x:row r="87" ht="21" customHeight="1">
      <x:c r="A87" s="7"/>
      <x:c r="B87" s="7"/>
      <x:c r="C87" s="7"/>
      <x:c r="D87" s="8"/>
      <x:c r="E87" s="8"/>
      <x:c r="F87" s="8"/>
      <x:c r="G87" s="12"/>
      <x:c r="H87" s="7"/>
      <x:c r="I87" s="7"/>
      <x:c r="J87" s="7"/>
      <x:c r="K87" s="7"/>
      <x:c r="L87" s="7"/>
      <x:c r="M87" s="7"/>
      <x:c r="N87" s="7"/>
      <x:c r="O87" s="7"/>
      <x:c r="P87" s="8"/>
      <x:c r="Q87" s="7"/>
      <x:c r="R87" s="7"/>
      <x:c r="S87" s="7"/>
      <x:c r="T87" s="2" t="n">
        <x:f>IF(A87="",0,IFERROR(IF(AND(B87&lt;&gt;"",COUNTIF('Calibrare_Linii'!$A$6:$A$19,C87)=1,COUNTIFS(OOSTable[Fixture_ID],A87,OOSTable[Line],C87)=1,ISNUMBER(D87),ISNUMBER(E87),ISNUMBER(F87),F87&lt;D87,D87&lt;E87,ISNUMBER(G87),G87&gt;='Config_v6'!$B$50,G87&lt;=1,ISNUMBER(H87),H87&gt;='Config_v6'!$B$51,H87&lt;=100,ISNUMBER(I87),I87&gt;=0,I87&lt;='Config_v6'!$B$53,ISNUMBER(J87),J87&gt;=0,J87&lt;='Config_v6'!$B$52,K87="NO",L87=12,M87="PASS",ISNUMBER(N87),N87&gt;=0,MOD(N87,1)=0,O87&lt;&gt;"",ISNUMBER(P87),P87&gt;E87,Q87&lt;&gt;"",R87&lt;&gt;"",S87="LIVE"),1,0),0))</x:f>
        <x:v>0</x:v>
      </x:c>
      <x:c r="U87" s="2" t="n">
        <x:f>IF(T87&lt;&gt;1,0,IF(LEFT(C87,1)="O",IF(N87&gt;INDEX('Calibrare_Linii'!$C$6:$C$19,MATCH(C87,'Calibrare_Linii'!$A$6:$A$19,0)),1,0),IF(N87&lt;=INDEX('Calibrare_Linii'!$C$6:$C$19,MATCH(C87,'Calibrare_Linii'!$A$6:$A$19,0)),1,0)))</x:f>
        <x:v>0</x:v>
      </x:c>
    </x:row>
    <x:row r="88" ht="21" customHeight="1">
      <x:c r="A88" s="7"/>
      <x:c r="B88" s="7"/>
      <x:c r="C88" s="7"/>
      <x:c r="D88" s="8"/>
      <x:c r="E88" s="8"/>
      <x:c r="F88" s="8"/>
      <x:c r="G88" s="12"/>
      <x:c r="H88" s="7"/>
      <x:c r="I88" s="7"/>
      <x:c r="J88" s="7"/>
      <x:c r="K88" s="7"/>
      <x:c r="L88" s="7"/>
      <x:c r="M88" s="7"/>
      <x:c r="N88" s="7"/>
      <x:c r="O88" s="7"/>
      <x:c r="P88" s="8"/>
      <x:c r="Q88" s="7"/>
      <x:c r="R88" s="7"/>
      <x:c r="S88" s="7"/>
      <x:c r="T88" s="2" t="n">
        <x:f>IF(A88="",0,IFERROR(IF(AND(B88&lt;&gt;"",COUNTIF('Calibrare_Linii'!$A$6:$A$19,C88)=1,COUNTIFS(OOSTable[Fixture_ID],A88,OOSTable[Line],C88)=1,ISNUMBER(D88),ISNUMBER(E88),ISNUMBER(F88),F88&lt;D88,D88&lt;E88,ISNUMBER(G88),G88&gt;='Config_v6'!$B$50,G88&lt;=1,ISNUMBER(H88),H88&gt;='Config_v6'!$B$51,H88&lt;=100,ISNUMBER(I88),I88&gt;=0,I88&lt;='Config_v6'!$B$53,ISNUMBER(J88),J88&gt;=0,J88&lt;='Config_v6'!$B$52,K88="NO",L88=12,M88="PASS",ISNUMBER(N88),N88&gt;=0,MOD(N88,1)=0,O88&lt;&gt;"",ISNUMBER(P88),P88&gt;E88,Q88&lt;&gt;"",R88&lt;&gt;"",S88="LIVE"),1,0),0))</x:f>
        <x:v>0</x:v>
      </x:c>
      <x:c r="U88" s="2" t="n">
        <x:f>IF(T88&lt;&gt;1,0,IF(LEFT(C88,1)="O",IF(N88&gt;INDEX('Calibrare_Linii'!$C$6:$C$19,MATCH(C88,'Calibrare_Linii'!$A$6:$A$19,0)),1,0),IF(N88&lt;=INDEX('Calibrare_Linii'!$C$6:$C$19,MATCH(C88,'Calibrare_Linii'!$A$6:$A$19,0)),1,0)))</x:f>
        <x:v>0</x:v>
      </x:c>
    </x:row>
    <x:row r="89" ht="21" customHeight="1">
      <x:c r="A89" s="7"/>
      <x:c r="B89" s="7"/>
      <x:c r="C89" s="7"/>
      <x:c r="D89" s="8"/>
      <x:c r="E89" s="8"/>
      <x:c r="F89" s="8"/>
      <x:c r="G89" s="12"/>
      <x:c r="H89" s="7"/>
      <x:c r="I89" s="7"/>
      <x:c r="J89" s="7"/>
      <x:c r="K89" s="7"/>
      <x:c r="L89" s="7"/>
      <x:c r="M89" s="7"/>
      <x:c r="N89" s="7"/>
      <x:c r="O89" s="7"/>
      <x:c r="P89" s="8"/>
      <x:c r="Q89" s="7"/>
      <x:c r="R89" s="7"/>
      <x:c r="S89" s="7"/>
      <x:c r="T89" s="2" t="n">
        <x:f>IF(A89="",0,IFERROR(IF(AND(B89&lt;&gt;"",COUNTIF('Calibrare_Linii'!$A$6:$A$19,C89)=1,COUNTIFS(OOSTable[Fixture_ID],A89,OOSTable[Line],C89)=1,ISNUMBER(D89),ISNUMBER(E89),ISNUMBER(F89),F89&lt;D89,D89&lt;E89,ISNUMBER(G89),G89&gt;='Config_v6'!$B$50,G89&lt;=1,ISNUMBER(H89),H89&gt;='Config_v6'!$B$51,H89&lt;=100,ISNUMBER(I89),I89&gt;=0,I89&lt;='Config_v6'!$B$53,ISNUMBER(J89),J89&gt;=0,J89&lt;='Config_v6'!$B$52,K89="NO",L89=12,M89="PASS",ISNUMBER(N89),N89&gt;=0,MOD(N89,1)=0,O89&lt;&gt;"",ISNUMBER(P89),P89&gt;E89,Q89&lt;&gt;"",R89&lt;&gt;"",S89="LIVE"),1,0),0))</x:f>
        <x:v>0</x:v>
      </x:c>
      <x:c r="U89" s="2" t="n">
        <x:f>IF(T89&lt;&gt;1,0,IF(LEFT(C89,1)="O",IF(N89&gt;INDEX('Calibrare_Linii'!$C$6:$C$19,MATCH(C89,'Calibrare_Linii'!$A$6:$A$19,0)),1,0),IF(N89&lt;=INDEX('Calibrare_Linii'!$C$6:$C$19,MATCH(C89,'Calibrare_Linii'!$A$6:$A$19,0)),1,0)))</x:f>
        <x:v>0</x:v>
      </x:c>
    </x:row>
    <x:row r="90" ht="21" customHeight="1">
      <x:c r="A90" s="7"/>
      <x:c r="B90" s="7"/>
      <x:c r="C90" s="7"/>
      <x:c r="D90" s="8"/>
      <x:c r="E90" s="8"/>
      <x:c r="F90" s="8"/>
      <x:c r="G90" s="12"/>
      <x:c r="H90" s="7"/>
      <x:c r="I90" s="7"/>
      <x:c r="J90" s="7"/>
      <x:c r="K90" s="7"/>
      <x:c r="L90" s="7"/>
      <x:c r="M90" s="7"/>
      <x:c r="N90" s="7"/>
      <x:c r="O90" s="7"/>
      <x:c r="P90" s="8"/>
      <x:c r="Q90" s="7"/>
      <x:c r="R90" s="7"/>
      <x:c r="S90" s="7"/>
      <x:c r="T90" s="2" t="n">
        <x:f>IF(A90="",0,IFERROR(IF(AND(B90&lt;&gt;"",COUNTIF('Calibrare_Linii'!$A$6:$A$19,C90)=1,COUNTIFS(OOSTable[Fixture_ID],A90,OOSTable[Line],C90)=1,ISNUMBER(D90),ISNUMBER(E90),ISNUMBER(F90),F90&lt;D90,D90&lt;E90,ISNUMBER(G90),G90&gt;='Config_v6'!$B$50,G90&lt;=1,ISNUMBER(H90),H90&gt;='Config_v6'!$B$51,H90&lt;=100,ISNUMBER(I90),I90&gt;=0,I90&lt;='Config_v6'!$B$53,ISNUMBER(J90),J90&gt;=0,J90&lt;='Config_v6'!$B$52,K90="NO",L90=12,M90="PASS",ISNUMBER(N90),N90&gt;=0,MOD(N90,1)=0,O90&lt;&gt;"",ISNUMBER(P90),P90&gt;E90,Q90&lt;&gt;"",R90&lt;&gt;"",S90="LIVE"),1,0),0))</x:f>
        <x:v>0</x:v>
      </x:c>
      <x:c r="U90" s="2" t="n">
        <x:f>IF(T90&lt;&gt;1,0,IF(LEFT(C90,1)="O",IF(N90&gt;INDEX('Calibrare_Linii'!$C$6:$C$19,MATCH(C90,'Calibrare_Linii'!$A$6:$A$19,0)),1,0),IF(N90&lt;=INDEX('Calibrare_Linii'!$C$6:$C$19,MATCH(C90,'Calibrare_Linii'!$A$6:$A$19,0)),1,0)))</x:f>
        <x:v>0</x:v>
      </x:c>
    </x:row>
    <x:row r="91" ht="21" customHeight="1">
      <x:c r="A91" s="7"/>
      <x:c r="B91" s="7"/>
      <x:c r="C91" s="7"/>
      <x:c r="D91" s="8"/>
      <x:c r="E91" s="8"/>
      <x:c r="F91" s="8"/>
      <x:c r="G91" s="12"/>
      <x:c r="H91" s="7"/>
      <x:c r="I91" s="7"/>
      <x:c r="J91" s="7"/>
      <x:c r="K91" s="7"/>
      <x:c r="L91" s="7"/>
      <x:c r="M91" s="7"/>
      <x:c r="N91" s="7"/>
      <x:c r="O91" s="7"/>
      <x:c r="P91" s="8"/>
      <x:c r="Q91" s="7"/>
      <x:c r="R91" s="7"/>
      <x:c r="S91" s="7"/>
      <x:c r="T91" s="2" t="n">
        <x:f>IF(A91="",0,IFERROR(IF(AND(B91&lt;&gt;"",COUNTIF('Calibrare_Linii'!$A$6:$A$19,C91)=1,COUNTIFS(OOSTable[Fixture_ID],A91,OOSTable[Line],C91)=1,ISNUMBER(D91),ISNUMBER(E91),ISNUMBER(F91),F91&lt;D91,D91&lt;E91,ISNUMBER(G91),G91&gt;='Config_v6'!$B$50,G91&lt;=1,ISNUMBER(H91),H91&gt;='Config_v6'!$B$51,H91&lt;=100,ISNUMBER(I91),I91&gt;=0,I91&lt;='Config_v6'!$B$53,ISNUMBER(J91),J91&gt;=0,J91&lt;='Config_v6'!$B$52,K91="NO",L91=12,M91="PASS",ISNUMBER(N91),N91&gt;=0,MOD(N91,1)=0,O91&lt;&gt;"",ISNUMBER(P91),P91&gt;E91,Q91&lt;&gt;"",R91&lt;&gt;"",S91="LIVE"),1,0),0))</x:f>
        <x:v>0</x:v>
      </x:c>
      <x:c r="U91" s="2" t="n">
        <x:f>IF(T91&lt;&gt;1,0,IF(LEFT(C91,1)="O",IF(N91&gt;INDEX('Calibrare_Linii'!$C$6:$C$19,MATCH(C91,'Calibrare_Linii'!$A$6:$A$19,0)),1,0),IF(N91&lt;=INDEX('Calibrare_Linii'!$C$6:$C$19,MATCH(C91,'Calibrare_Linii'!$A$6:$A$19,0)),1,0)))</x:f>
        <x:v>0</x:v>
      </x:c>
    </x:row>
    <x:row r="92" ht="21" customHeight="1">
      <x:c r="A92" s="7"/>
      <x:c r="B92" s="7"/>
      <x:c r="C92" s="7"/>
      <x:c r="D92" s="8"/>
      <x:c r="E92" s="8"/>
      <x:c r="F92" s="8"/>
      <x:c r="G92" s="12"/>
      <x:c r="H92" s="7"/>
      <x:c r="I92" s="7"/>
      <x:c r="J92" s="7"/>
      <x:c r="K92" s="7"/>
      <x:c r="L92" s="7"/>
      <x:c r="M92" s="7"/>
      <x:c r="N92" s="7"/>
      <x:c r="O92" s="7"/>
      <x:c r="P92" s="8"/>
      <x:c r="Q92" s="7"/>
      <x:c r="R92" s="7"/>
      <x:c r="S92" s="7"/>
      <x:c r="T92" s="2" t="n">
        <x:f>IF(A92="",0,IFERROR(IF(AND(B92&lt;&gt;"",COUNTIF('Calibrare_Linii'!$A$6:$A$19,C92)=1,COUNTIFS(OOSTable[Fixture_ID],A92,OOSTable[Line],C92)=1,ISNUMBER(D92),ISNUMBER(E92),ISNUMBER(F92),F92&lt;D92,D92&lt;E92,ISNUMBER(G92),G92&gt;='Config_v6'!$B$50,G92&lt;=1,ISNUMBER(H92),H92&gt;='Config_v6'!$B$51,H92&lt;=100,ISNUMBER(I92),I92&gt;=0,I92&lt;='Config_v6'!$B$53,ISNUMBER(J92),J92&gt;=0,J92&lt;='Config_v6'!$B$52,K92="NO",L92=12,M92="PASS",ISNUMBER(N92),N92&gt;=0,MOD(N92,1)=0,O92&lt;&gt;"",ISNUMBER(P92),P92&gt;E92,Q92&lt;&gt;"",R92&lt;&gt;"",S92="LIVE"),1,0),0))</x:f>
        <x:v>0</x:v>
      </x:c>
      <x:c r="U92" s="2" t="n">
        <x:f>IF(T92&lt;&gt;1,0,IF(LEFT(C92,1)="O",IF(N92&gt;INDEX('Calibrare_Linii'!$C$6:$C$19,MATCH(C92,'Calibrare_Linii'!$A$6:$A$19,0)),1,0),IF(N92&lt;=INDEX('Calibrare_Linii'!$C$6:$C$19,MATCH(C92,'Calibrare_Linii'!$A$6:$A$19,0)),1,0)))</x:f>
        <x:v>0</x:v>
      </x:c>
    </x:row>
    <x:row r="93" ht="21" customHeight="1">
      <x:c r="A93" s="7"/>
      <x:c r="B93" s="7"/>
      <x:c r="C93" s="7"/>
      <x:c r="D93" s="8"/>
      <x:c r="E93" s="8"/>
      <x:c r="F93" s="8"/>
      <x:c r="G93" s="12"/>
      <x:c r="H93" s="7"/>
      <x:c r="I93" s="7"/>
      <x:c r="J93" s="7"/>
      <x:c r="K93" s="7"/>
      <x:c r="L93" s="7"/>
      <x:c r="M93" s="7"/>
      <x:c r="N93" s="7"/>
      <x:c r="O93" s="7"/>
      <x:c r="P93" s="8"/>
      <x:c r="Q93" s="7"/>
      <x:c r="R93" s="7"/>
      <x:c r="S93" s="7"/>
      <x:c r="T93" s="2" t="n">
        <x:f>IF(A93="",0,IFERROR(IF(AND(B93&lt;&gt;"",COUNTIF('Calibrare_Linii'!$A$6:$A$19,C93)=1,COUNTIFS(OOSTable[Fixture_ID],A93,OOSTable[Line],C93)=1,ISNUMBER(D93),ISNUMBER(E93),ISNUMBER(F93),F93&lt;D93,D93&lt;E93,ISNUMBER(G93),G93&gt;='Config_v6'!$B$50,G93&lt;=1,ISNUMBER(H93),H93&gt;='Config_v6'!$B$51,H93&lt;=100,ISNUMBER(I93),I93&gt;=0,I93&lt;='Config_v6'!$B$53,ISNUMBER(J93),J93&gt;=0,J93&lt;='Config_v6'!$B$52,K93="NO",L93=12,M93="PASS",ISNUMBER(N93),N93&gt;=0,MOD(N93,1)=0,O93&lt;&gt;"",ISNUMBER(P93),P93&gt;E93,Q93&lt;&gt;"",R93&lt;&gt;"",S93="LIVE"),1,0),0))</x:f>
        <x:v>0</x:v>
      </x:c>
      <x:c r="U93" s="2" t="n">
        <x:f>IF(T93&lt;&gt;1,0,IF(LEFT(C93,1)="O",IF(N93&gt;INDEX('Calibrare_Linii'!$C$6:$C$19,MATCH(C93,'Calibrare_Linii'!$A$6:$A$19,0)),1,0),IF(N93&lt;=INDEX('Calibrare_Linii'!$C$6:$C$19,MATCH(C93,'Calibrare_Linii'!$A$6:$A$19,0)),1,0)))</x:f>
        <x:v>0</x:v>
      </x:c>
    </x:row>
    <x:row r="94" ht="21" customHeight="1">
      <x:c r="A94" s="7"/>
      <x:c r="B94" s="7"/>
      <x:c r="C94" s="7"/>
      <x:c r="D94" s="8"/>
      <x:c r="E94" s="8"/>
      <x:c r="F94" s="8"/>
      <x:c r="G94" s="12"/>
      <x:c r="H94" s="7"/>
      <x:c r="I94" s="7"/>
      <x:c r="J94" s="7"/>
      <x:c r="K94" s="7"/>
      <x:c r="L94" s="7"/>
      <x:c r="M94" s="7"/>
      <x:c r="N94" s="7"/>
      <x:c r="O94" s="7"/>
      <x:c r="P94" s="8"/>
      <x:c r="Q94" s="7"/>
      <x:c r="R94" s="7"/>
      <x:c r="S94" s="7"/>
      <x:c r="T94" s="2" t="n">
        <x:f>IF(A94="",0,IFERROR(IF(AND(B94&lt;&gt;"",COUNTIF('Calibrare_Linii'!$A$6:$A$19,C94)=1,COUNTIFS(OOSTable[Fixture_ID],A94,OOSTable[Line],C94)=1,ISNUMBER(D94),ISNUMBER(E94),ISNUMBER(F94),F94&lt;D94,D94&lt;E94,ISNUMBER(G94),G94&gt;='Config_v6'!$B$50,G94&lt;=1,ISNUMBER(H94),H94&gt;='Config_v6'!$B$51,H94&lt;=100,ISNUMBER(I94),I94&gt;=0,I94&lt;='Config_v6'!$B$53,ISNUMBER(J94),J94&gt;=0,J94&lt;='Config_v6'!$B$52,K94="NO",L94=12,M94="PASS",ISNUMBER(N94),N94&gt;=0,MOD(N94,1)=0,O94&lt;&gt;"",ISNUMBER(P94),P94&gt;E94,Q94&lt;&gt;"",R94&lt;&gt;"",S94="LIVE"),1,0),0))</x:f>
        <x:v>0</x:v>
      </x:c>
      <x:c r="U94" s="2" t="n">
        <x:f>IF(T94&lt;&gt;1,0,IF(LEFT(C94,1)="O",IF(N94&gt;INDEX('Calibrare_Linii'!$C$6:$C$19,MATCH(C94,'Calibrare_Linii'!$A$6:$A$19,0)),1,0),IF(N94&lt;=INDEX('Calibrare_Linii'!$C$6:$C$19,MATCH(C94,'Calibrare_Linii'!$A$6:$A$19,0)),1,0)))</x:f>
        <x:v>0</x:v>
      </x:c>
    </x:row>
    <x:row r="95" ht="21" customHeight="1">
      <x:c r="A95" s="7"/>
      <x:c r="B95" s="7"/>
      <x:c r="C95" s="7"/>
      <x:c r="D95" s="8"/>
      <x:c r="E95" s="8"/>
      <x:c r="F95" s="8"/>
      <x:c r="G95" s="12"/>
      <x:c r="H95" s="7"/>
      <x:c r="I95" s="7"/>
      <x:c r="J95" s="7"/>
      <x:c r="K95" s="7"/>
      <x:c r="L95" s="7"/>
      <x:c r="M95" s="7"/>
      <x:c r="N95" s="7"/>
      <x:c r="O95" s="7"/>
      <x:c r="P95" s="8"/>
      <x:c r="Q95" s="7"/>
      <x:c r="R95" s="7"/>
      <x:c r="S95" s="7"/>
      <x:c r="T95" s="2" t="n">
        <x:f>IF(A95="",0,IFERROR(IF(AND(B95&lt;&gt;"",COUNTIF('Calibrare_Linii'!$A$6:$A$19,C95)=1,COUNTIFS(OOSTable[Fixture_ID],A95,OOSTable[Line],C95)=1,ISNUMBER(D95),ISNUMBER(E95),ISNUMBER(F95),F95&lt;D95,D95&lt;E95,ISNUMBER(G95),G95&gt;='Config_v6'!$B$50,G95&lt;=1,ISNUMBER(H95),H95&gt;='Config_v6'!$B$51,H95&lt;=100,ISNUMBER(I95),I95&gt;=0,I95&lt;='Config_v6'!$B$53,ISNUMBER(J95),J95&gt;=0,J95&lt;='Config_v6'!$B$52,K95="NO",L95=12,M95="PASS",ISNUMBER(N95),N95&gt;=0,MOD(N95,1)=0,O95&lt;&gt;"",ISNUMBER(P95),P95&gt;E95,Q95&lt;&gt;"",R95&lt;&gt;"",S95="LIVE"),1,0),0))</x:f>
        <x:v>0</x:v>
      </x:c>
      <x:c r="U95" s="2" t="n">
        <x:f>IF(T95&lt;&gt;1,0,IF(LEFT(C95,1)="O",IF(N95&gt;INDEX('Calibrare_Linii'!$C$6:$C$19,MATCH(C95,'Calibrare_Linii'!$A$6:$A$19,0)),1,0),IF(N95&lt;=INDEX('Calibrare_Linii'!$C$6:$C$19,MATCH(C95,'Calibrare_Linii'!$A$6:$A$19,0)),1,0)))</x:f>
        <x:v>0</x:v>
      </x:c>
    </x:row>
    <x:row r="96" ht="21" customHeight="1">
      <x:c r="A96" s="7"/>
      <x:c r="B96" s="7"/>
      <x:c r="C96" s="7"/>
      <x:c r="D96" s="8"/>
      <x:c r="E96" s="8"/>
      <x:c r="F96" s="8"/>
      <x:c r="G96" s="12"/>
      <x:c r="H96" s="7"/>
      <x:c r="I96" s="7"/>
      <x:c r="J96" s="7"/>
      <x:c r="K96" s="7"/>
      <x:c r="L96" s="7"/>
      <x:c r="M96" s="7"/>
      <x:c r="N96" s="7"/>
      <x:c r="O96" s="7"/>
      <x:c r="P96" s="8"/>
      <x:c r="Q96" s="7"/>
      <x:c r="R96" s="7"/>
      <x:c r="S96" s="7"/>
      <x:c r="T96" s="2" t="n">
        <x:f>IF(A96="",0,IFERROR(IF(AND(B96&lt;&gt;"",COUNTIF('Calibrare_Linii'!$A$6:$A$19,C96)=1,COUNTIFS(OOSTable[Fixture_ID],A96,OOSTable[Line],C96)=1,ISNUMBER(D96),ISNUMBER(E96),ISNUMBER(F96),F96&lt;D96,D96&lt;E96,ISNUMBER(G96),G96&gt;='Config_v6'!$B$50,G96&lt;=1,ISNUMBER(H96),H96&gt;='Config_v6'!$B$51,H96&lt;=100,ISNUMBER(I96),I96&gt;=0,I96&lt;='Config_v6'!$B$53,ISNUMBER(J96),J96&gt;=0,J96&lt;='Config_v6'!$B$52,K96="NO",L96=12,M96="PASS",ISNUMBER(N96),N96&gt;=0,MOD(N96,1)=0,O96&lt;&gt;"",ISNUMBER(P96),P96&gt;E96,Q96&lt;&gt;"",R96&lt;&gt;"",S96="LIVE"),1,0),0))</x:f>
        <x:v>0</x:v>
      </x:c>
      <x:c r="U96" s="2" t="n">
        <x:f>IF(T96&lt;&gt;1,0,IF(LEFT(C96,1)="O",IF(N96&gt;INDEX('Calibrare_Linii'!$C$6:$C$19,MATCH(C96,'Calibrare_Linii'!$A$6:$A$19,0)),1,0),IF(N96&lt;=INDEX('Calibrare_Linii'!$C$6:$C$19,MATCH(C96,'Calibrare_Linii'!$A$6:$A$19,0)),1,0)))</x:f>
        <x:v>0</x:v>
      </x:c>
    </x:row>
    <x:row r="97" ht="21" customHeight="1">
      <x:c r="A97" s="7"/>
      <x:c r="B97" s="7"/>
      <x:c r="C97" s="7"/>
      <x:c r="D97" s="8"/>
      <x:c r="E97" s="8"/>
      <x:c r="F97" s="8"/>
      <x:c r="G97" s="12"/>
      <x:c r="H97" s="7"/>
      <x:c r="I97" s="7"/>
      <x:c r="J97" s="7"/>
      <x:c r="K97" s="7"/>
      <x:c r="L97" s="7"/>
      <x:c r="M97" s="7"/>
      <x:c r="N97" s="7"/>
      <x:c r="O97" s="7"/>
      <x:c r="P97" s="8"/>
      <x:c r="Q97" s="7"/>
      <x:c r="R97" s="7"/>
      <x:c r="S97" s="7"/>
      <x:c r="T97" s="2" t="n">
        <x:f>IF(A97="",0,IFERROR(IF(AND(B97&lt;&gt;"",COUNTIF('Calibrare_Linii'!$A$6:$A$19,C97)=1,COUNTIFS(OOSTable[Fixture_ID],A97,OOSTable[Line],C97)=1,ISNUMBER(D97),ISNUMBER(E97),ISNUMBER(F97),F97&lt;D97,D97&lt;E97,ISNUMBER(G97),G97&gt;='Config_v6'!$B$50,G97&lt;=1,ISNUMBER(H97),H97&gt;='Config_v6'!$B$51,H97&lt;=100,ISNUMBER(I97),I97&gt;=0,I97&lt;='Config_v6'!$B$53,ISNUMBER(J97),J97&gt;=0,J97&lt;='Config_v6'!$B$52,K97="NO",L97=12,M97="PASS",ISNUMBER(N97),N97&gt;=0,MOD(N97,1)=0,O97&lt;&gt;"",ISNUMBER(P97),P97&gt;E97,Q97&lt;&gt;"",R97&lt;&gt;"",S97="LIVE"),1,0),0))</x:f>
        <x:v>0</x:v>
      </x:c>
      <x:c r="U97" s="2" t="n">
        <x:f>IF(T97&lt;&gt;1,0,IF(LEFT(C97,1)="O",IF(N97&gt;INDEX('Calibrare_Linii'!$C$6:$C$19,MATCH(C97,'Calibrare_Linii'!$A$6:$A$19,0)),1,0),IF(N97&lt;=INDEX('Calibrare_Linii'!$C$6:$C$19,MATCH(C97,'Calibrare_Linii'!$A$6:$A$19,0)),1,0)))</x:f>
        <x:v>0</x:v>
      </x:c>
    </x:row>
    <x:row r="98" ht="21" customHeight="1">
      <x:c r="A98" s="7"/>
      <x:c r="B98" s="7"/>
      <x:c r="C98" s="7"/>
      <x:c r="D98" s="8"/>
      <x:c r="E98" s="8"/>
      <x:c r="F98" s="8"/>
      <x:c r="G98" s="12"/>
      <x:c r="H98" s="7"/>
      <x:c r="I98" s="7"/>
      <x:c r="J98" s="7"/>
      <x:c r="K98" s="7"/>
      <x:c r="L98" s="7"/>
      <x:c r="M98" s="7"/>
      <x:c r="N98" s="7"/>
      <x:c r="O98" s="7"/>
      <x:c r="P98" s="8"/>
      <x:c r="Q98" s="7"/>
      <x:c r="R98" s="7"/>
      <x:c r="S98" s="7"/>
      <x:c r="T98" s="2" t="n">
        <x:f>IF(A98="",0,IFERROR(IF(AND(B98&lt;&gt;"",COUNTIF('Calibrare_Linii'!$A$6:$A$19,C98)=1,COUNTIFS(OOSTable[Fixture_ID],A98,OOSTable[Line],C98)=1,ISNUMBER(D98),ISNUMBER(E98),ISNUMBER(F98),F98&lt;D98,D98&lt;E98,ISNUMBER(G98),G98&gt;='Config_v6'!$B$50,G98&lt;=1,ISNUMBER(H98),H98&gt;='Config_v6'!$B$51,H98&lt;=100,ISNUMBER(I98),I98&gt;=0,I98&lt;='Config_v6'!$B$53,ISNUMBER(J98),J98&gt;=0,J98&lt;='Config_v6'!$B$52,K98="NO",L98=12,M98="PASS",ISNUMBER(N98),N98&gt;=0,MOD(N98,1)=0,O98&lt;&gt;"",ISNUMBER(P98),P98&gt;E98,Q98&lt;&gt;"",R98&lt;&gt;"",S98="LIVE"),1,0),0))</x:f>
        <x:v>0</x:v>
      </x:c>
      <x:c r="U98" s="2" t="n">
        <x:f>IF(T98&lt;&gt;1,0,IF(LEFT(C98,1)="O",IF(N98&gt;INDEX('Calibrare_Linii'!$C$6:$C$19,MATCH(C98,'Calibrare_Linii'!$A$6:$A$19,0)),1,0),IF(N98&lt;=INDEX('Calibrare_Linii'!$C$6:$C$19,MATCH(C98,'Calibrare_Linii'!$A$6:$A$19,0)),1,0)))</x:f>
        <x:v>0</x:v>
      </x:c>
    </x:row>
    <x:row r="99" ht="21" customHeight="1">
      <x:c r="A99" s="7"/>
      <x:c r="B99" s="7"/>
      <x:c r="C99" s="7"/>
      <x:c r="D99" s="8"/>
      <x:c r="E99" s="8"/>
      <x:c r="F99" s="8"/>
      <x:c r="G99" s="12"/>
      <x:c r="H99" s="7"/>
      <x:c r="I99" s="7"/>
      <x:c r="J99" s="7"/>
      <x:c r="K99" s="7"/>
      <x:c r="L99" s="7"/>
      <x:c r="M99" s="7"/>
      <x:c r="N99" s="7"/>
      <x:c r="O99" s="7"/>
      <x:c r="P99" s="8"/>
      <x:c r="Q99" s="7"/>
      <x:c r="R99" s="7"/>
      <x:c r="S99" s="7"/>
      <x:c r="T99" s="2" t="n">
        <x:f>IF(A99="",0,IFERROR(IF(AND(B99&lt;&gt;"",COUNTIF('Calibrare_Linii'!$A$6:$A$19,C99)=1,COUNTIFS(OOSTable[Fixture_ID],A99,OOSTable[Line],C99)=1,ISNUMBER(D99),ISNUMBER(E99),ISNUMBER(F99),F99&lt;D99,D99&lt;E99,ISNUMBER(G99),G99&gt;='Config_v6'!$B$50,G99&lt;=1,ISNUMBER(H99),H99&gt;='Config_v6'!$B$51,H99&lt;=100,ISNUMBER(I99),I99&gt;=0,I99&lt;='Config_v6'!$B$53,ISNUMBER(J99),J99&gt;=0,J99&lt;='Config_v6'!$B$52,K99="NO",L99=12,M99="PASS",ISNUMBER(N99),N99&gt;=0,MOD(N99,1)=0,O99&lt;&gt;"",ISNUMBER(P99),P99&gt;E99,Q99&lt;&gt;"",R99&lt;&gt;"",S99="LIVE"),1,0),0))</x:f>
        <x:v>0</x:v>
      </x:c>
      <x:c r="U99" s="2" t="n">
        <x:f>IF(T99&lt;&gt;1,0,IF(LEFT(C99,1)="O",IF(N99&gt;INDEX('Calibrare_Linii'!$C$6:$C$19,MATCH(C99,'Calibrare_Linii'!$A$6:$A$19,0)),1,0),IF(N99&lt;=INDEX('Calibrare_Linii'!$C$6:$C$19,MATCH(C99,'Calibrare_Linii'!$A$6:$A$19,0)),1,0)))</x:f>
        <x:v>0</x:v>
      </x:c>
    </x:row>
    <x:row r="100" ht="21" customHeight="1">
      <x:c r="A100" s="7"/>
      <x:c r="B100" s="7"/>
      <x:c r="C100" s="7"/>
      <x:c r="D100" s="8"/>
      <x:c r="E100" s="8"/>
      <x:c r="F100" s="8"/>
      <x:c r="G100" s="12"/>
      <x:c r="H100" s="7"/>
      <x:c r="I100" s="7"/>
      <x:c r="J100" s="7"/>
      <x:c r="K100" s="7"/>
      <x:c r="L100" s="7"/>
      <x:c r="M100" s="7"/>
      <x:c r="N100" s="7"/>
      <x:c r="O100" s="7"/>
      <x:c r="P100" s="8"/>
      <x:c r="Q100" s="7"/>
      <x:c r="R100" s="7"/>
      <x:c r="S100" s="7"/>
      <x:c r="T100" s="2" t="n">
        <x:f>IF(A100="",0,IFERROR(IF(AND(B100&lt;&gt;"",COUNTIF('Calibrare_Linii'!$A$6:$A$19,C100)=1,COUNTIFS(OOSTable[Fixture_ID],A100,OOSTable[Line],C100)=1,ISNUMBER(D100),ISNUMBER(E100),ISNUMBER(F100),F100&lt;D100,D100&lt;E100,ISNUMBER(G100),G100&gt;='Config_v6'!$B$50,G100&lt;=1,ISNUMBER(H100),H100&gt;='Config_v6'!$B$51,H100&lt;=100,ISNUMBER(I100),I100&gt;=0,I100&lt;='Config_v6'!$B$53,ISNUMBER(J100),J100&gt;=0,J100&lt;='Config_v6'!$B$52,K100="NO",L100=12,M100="PASS",ISNUMBER(N100),N100&gt;=0,MOD(N100,1)=0,O100&lt;&gt;"",ISNUMBER(P100),P100&gt;E100,Q100&lt;&gt;"",R100&lt;&gt;"",S100="LIVE"),1,0),0))</x:f>
        <x:v>0</x:v>
      </x:c>
      <x:c r="U100" s="2" t="n">
        <x:f>IF(T100&lt;&gt;1,0,IF(LEFT(C100,1)="O",IF(N100&gt;INDEX('Calibrare_Linii'!$C$6:$C$19,MATCH(C100,'Calibrare_Linii'!$A$6:$A$19,0)),1,0),IF(N100&lt;=INDEX('Calibrare_Linii'!$C$6:$C$19,MATCH(C100,'Calibrare_Linii'!$A$6:$A$19,0)),1,0)))</x:f>
        <x:v>0</x:v>
      </x:c>
    </x:row>
    <x:row r="101" ht="21" customHeight="1">
      <x:c r="A101" s="7"/>
      <x:c r="B101" s="7"/>
      <x:c r="C101" s="7"/>
      <x:c r="D101" s="8"/>
      <x:c r="E101" s="8"/>
      <x:c r="F101" s="8"/>
      <x:c r="G101" s="12"/>
      <x:c r="H101" s="7"/>
      <x:c r="I101" s="7"/>
      <x:c r="J101" s="7"/>
      <x:c r="K101" s="7"/>
      <x:c r="L101" s="7"/>
      <x:c r="M101" s="7"/>
      <x:c r="N101" s="7"/>
      <x:c r="O101" s="7"/>
      <x:c r="P101" s="8"/>
      <x:c r="Q101" s="7"/>
      <x:c r="R101" s="7"/>
      <x:c r="S101" s="7"/>
      <x:c r="T101" s="2" t="n">
        <x:f>IF(A101="",0,IFERROR(IF(AND(B101&lt;&gt;"",COUNTIF('Calibrare_Linii'!$A$6:$A$19,C101)=1,COUNTIFS(OOSTable[Fixture_ID],A101,OOSTable[Line],C101)=1,ISNUMBER(D101),ISNUMBER(E101),ISNUMBER(F101),F101&lt;D101,D101&lt;E101,ISNUMBER(G101),G101&gt;='Config_v6'!$B$50,G101&lt;=1,ISNUMBER(H101),H101&gt;='Config_v6'!$B$51,H101&lt;=100,ISNUMBER(I101),I101&gt;=0,I101&lt;='Config_v6'!$B$53,ISNUMBER(J101),J101&gt;=0,J101&lt;='Config_v6'!$B$52,K101="NO",L101=12,M101="PASS",ISNUMBER(N101),N101&gt;=0,MOD(N101,1)=0,O101&lt;&gt;"",ISNUMBER(P101),P101&gt;E101,Q101&lt;&gt;"",R101&lt;&gt;"",S101="LIVE"),1,0),0))</x:f>
        <x:v>0</x:v>
      </x:c>
      <x:c r="U101" s="2" t="n">
        <x:f>IF(T101&lt;&gt;1,0,IF(LEFT(C101,1)="O",IF(N101&gt;INDEX('Calibrare_Linii'!$C$6:$C$19,MATCH(C101,'Calibrare_Linii'!$A$6:$A$19,0)),1,0),IF(N101&lt;=INDEX('Calibrare_Linii'!$C$6:$C$19,MATCH(C101,'Calibrare_Linii'!$A$6:$A$19,0)),1,0)))</x:f>
        <x:v>0</x:v>
      </x:c>
    </x:row>
    <x:row r="102" ht="21" customHeight="1">
      <x:c r="A102" s="7"/>
      <x:c r="B102" s="7"/>
      <x:c r="C102" s="7"/>
      <x:c r="D102" s="8"/>
      <x:c r="E102" s="8"/>
      <x:c r="F102" s="8"/>
      <x:c r="G102" s="12"/>
      <x:c r="H102" s="7"/>
      <x:c r="I102" s="7"/>
      <x:c r="J102" s="7"/>
      <x:c r="K102" s="7"/>
      <x:c r="L102" s="7"/>
      <x:c r="M102" s="7"/>
      <x:c r="N102" s="7"/>
      <x:c r="O102" s="7"/>
      <x:c r="P102" s="8"/>
      <x:c r="Q102" s="7"/>
      <x:c r="R102" s="7"/>
      <x:c r="S102" s="7"/>
      <x:c r="T102" s="2" t="n">
        <x:f>IF(A102="",0,IFERROR(IF(AND(B102&lt;&gt;"",COUNTIF('Calibrare_Linii'!$A$6:$A$19,C102)=1,COUNTIFS(OOSTable[Fixture_ID],A102,OOSTable[Line],C102)=1,ISNUMBER(D102),ISNUMBER(E102),ISNUMBER(F102),F102&lt;D102,D102&lt;E102,ISNUMBER(G102),G102&gt;='Config_v6'!$B$50,G102&lt;=1,ISNUMBER(H102),H102&gt;='Config_v6'!$B$51,H102&lt;=100,ISNUMBER(I102),I102&gt;=0,I102&lt;='Config_v6'!$B$53,ISNUMBER(J102),J102&gt;=0,J102&lt;='Config_v6'!$B$52,K102="NO",L102=12,M102="PASS",ISNUMBER(N102),N102&gt;=0,MOD(N102,1)=0,O102&lt;&gt;"",ISNUMBER(P102),P102&gt;E102,Q102&lt;&gt;"",R102&lt;&gt;"",S102="LIVE"),1,0),0))</x:f>
        <x:v>0</x:v>
      </x:c>
      <x:c r="U102" s="2" t="n">
        <x:f>IF(T102&lt;&gt;1,0,IF(LEFT(C102,1)="O",IF(N102&gt;INDEX('Calibrare_Linii'!$C$6:$C$19,MATCH(C102,'Calibrare_Linii'!$A$6:$A$19,0)),1,0),IF(N102&lt;=INDEX('Calibrare_Linii'!$C$6:$C$19,MATCH(C102,'Calibrare_Linii'!$A$6:$A$19,0)),1,0)))</x:f>
        <x:v>0</x:v>
      </x:c>
    </x:row>
    <x:row r="103" ht="21" customHeight="1">
      <x:c r="A103" s="7"/>
      <x:c r="B103" s="7"/>
      <x:c r="C103" s="7"/>
      <x:c r="D103" s="8"/>
      <x:c r="E103" s="8"/>
      <x:c r="F103" s="8"/>
      <x:c r="G103" s="12"/>
      <x:c r="H103" s="7"/>
      <x:c r="I103" s="7"/>
      <x:c r="J103" s="7"/>
      <x:c r="K103" s="7"/>
      <x:c r="L103" s="7"/>
      <x:c r="M103" s="7"/>
      <x:c r="N103" s="7"/>
      <x:c r="O103" s="7"/>
      <x:c r="P103" s="8"/>
      <x:c r="Q103" s="7"/>
      <x:c r="R103" s="7"/>
      <x:c r="S103" s="7"/>
      <x:c r="T103" s="2" t="n">
        <x:f>IF(A103="",0,IFERROR(IF(AND(B103&lt;&gt;"",COUNTIF('Calibrare_Linii'!$A$6:$A$19,C103)=1,COUNTIFS(OOSTable[Fixture_ID],A103,OOSTable[Line],C103)=1,ISNUMBER(D103),ISNUMBER(E103),ISNUMBER(F103),F103&lt;D103,D103&lt;E103,ISNUMBER(G103),G103&gt;='Config_v6'!$B$50,G103&lt;=1,ISNUMBER(H103),H103&gt;='Config_v6'!$B$51,H103&lt;=100,ISNUMBER(I103),I103&gt;=0,I103&lt;='Config_v6'!$B$53,ISNUMBER(J103),J103&gt;=0,J103&lt;='Config_v6'!$B$52,K103="NO",L103=12,M103="PASS",ISNUMBER(N103),N103&gt;=0,MOD(N103,1)=0,O103&lt;&gt;"",ISNUMBER(P103),P103&gt;E103,Q103&lt;&gt;"",R103&lt;&gt;"",S103="LIVE"),1,0),0))</x:f>
        <x:v>0</x:v>
      </x:c>
      <x:c r="U103" s="2" t="n">
        <x:f>IF(T103&lt;&gt;1,0,IF(LEFT(C103,1)="O",IF(N103&gt;INDEX('Calibrare_Linii'!$C$6:$C$19,MATCH(C103,'Calibrare_Linii'!$A$6:$A$19,0)),1,0),IF(N103&lt;=INDEX('Calibrare_Linii'!$C$6:$C$19,MATCH(C103,'Calibrare_Linii'!$A$6:$A$19,0)),1,0)))</x:f>
        <x:v>0</x:v>
      </x:c>
    </x:row>
    <x:row r="104" ht="21" customHeight="1">
      <x:c r="A104" s="7"/>
      <x:c r="B104" s="7"/>
      <x:c r="C104" s="7"/>
      <x:c r="D104" s="8"/>
      <x:c r="E104" s="8"/>
      <x:c r="F104" s="8"/>
      <x:c r="G104" s="12"/>
      <x:c r="H104" s="7"/>
      <x:c r="I104" s="7"/>
      <x:c r="J104" s="7"/>
      <x:c r="K104" s="7"/>
      <x:c r="L104" s="7"/>
      <x:c r="M104" s="7"/>
      <x:c r="N104" s="7"/>
      <x:c r="O104" s="7"/>
      <x:c r="P104" s="8"/>
      <x:c r="Q104" s="7"/>
      <x:c r="R104" s="7"/>
      <x:c r="S104" s="7"/>
      <x:c r="T104" s="2" t="n">
        <x:f>IF(A104="",0,IFERROR(IF(AND(B104&lt;&gt;"",COUNTIF('Calibrare_Linii'!$A$6:$A$19,C104)=1,COUNTIFS(OOSTable[Fixture_ID],A104,OOSTable[Line],C104)=1,ISNUMBER(D104),ISNUMBER(E104),ISNUMBER(F104),F104&lt;D104,D104&lt;E104,ISNUMBER(G104),G104&gt;='Config_v6'!$B$50,G104&lt;=1,ISNUMBER(H104),H104&gt;='Config_v6'!$B$51,H104&lt;=100,ISNUMBER(I104),I104&gt;=0,I104&lt;='Config_v6'!$B$53,ISNUMBER(J104),J104&gt;=0,J104&lt;='Config_v6'!$B$52,K104="NO",L104=12,M104="PASS",ISNUMBER(N104),N104&gt;=0,MOD(N104,1)=0,O104&lt;&gt;"",ISNUMBER(P104),P104&gt;E104,Q104&lt;&gt;"",R104&lt;&gt;"",S104="LIVE"),1,0),0))</x:f>
        <x:v>0</x:v>
      </x:c>
      <x:c r="U104" s="2" t="n">
        <x:f>IF(T104&lt;&gt;1,0,IF(LEFT(C104,1)="O",IF(N104&gt;INDEX('Calibrare_Linii'!$C$6:$C$19,MATCH(C104,'Calibrare_Linii'!$A$6:$A$19,0)),1,0),IF(N104&lt;=INDEX('Calibrare_Linii'!$C$6:$C$19,MATCH(C104,'Calibrare_Linii'!$A$6:$A$19,0)),1,0)))</x:f>
        <x:v>0</x:v>
      </x:c>
    </x:row>
    <x:row r="105" ht="21" customHeight="1">
      <x:c r="A105" s="7"/>
      <x:c r="B105" s="7"/>
      <x:c r="C105" s="7"/>
      <x:c r="D105" s="8"/>
      <x:c r="E105" s="8"/>
      <x:c r="F105" s="8"/>
      <x:c r="G105" s="12"/>
      <x:c r="H105" s="7"/>
      <x:c r="I105" s="7"/>
      <x:c r="J105" s="7"/>
      <x:c r="K105" s="7"/>
      <x:c r="L105" s="7"/>
      <x:c r="M105" s="7"/>
      <x:c r="N105" s="7"/>
      <x:c r="O105" s="7"/>
      <x:c r="P105" s="8"/>
      <x:c r="Q105" s="7"/>
      <x:c r="R105" s="7"/>
      <x:c r="S105" s="7"/>
      <x:c r="T105" s="2" t="n">
        <x:f>IF(A105="",0,IFERROR(IF(AND(B105&lt;&gt;"",COUNTIF('Calibrare_Linii'!$A$6:$A$19,C105)=1,COUNTIFS(OOSTable[Fixture_ID],A105,OOSTable[Line],C105)=1,ISNUMBER(D105),ISNUMBER(E105),ISNUMBER(F105),F105&lt;D105,D105&lt;E105,ISNUMBER(G105),G105&gt;='Config_v6'!$B$50,G105&lt;=1,ISNUMBER(H105),H105&gt;='Config_v6'!$B$51,H105&lt;=100,ISNUMBER(I105),I105&gt;=0,I105&lt;='Config_v6'!$B$53,ISNUMBER(J105),J105&gt;=0,J105&lt;='Config_v6'!$B$52,K105="NO",L105=12,M105="PASS",ISNUMBER(N105),N105&gt;=0,MOD(N105,1)=0,O105&lt;&gt;"",ISNUMBER(P105),P105&gt;E105,Q105&lt;&gt;"",R105&lt;&gt;"",S105="LIVE"),1,0),0))</x:f>
        <x:v>0</x:v>
      </x:c>
      <x:c r="U105" s="2" t="n">
        <x:f>IF(T105&lt;&gt;1,0,IF(LEFT(C105,1)="O",IF(N105&gt;INDEX('Calibrare_Linii'!$C$6:$C$19,MATCH(C105,'Calibrare_Linii'!$A$6:$A$19,0)),1,0),IF(N105&lt;=INDEX('Calibrare_Linii'!$C$6:$C$19,MATCH(C105,'Calibrare_Linii'!$A$6:$A$19,0)),1,0)))</x:f>
        <x:v>0</x:v>
      </x:c>
    </x:row>
    <x:row r="106" ht="21" customHeight="1">
      <x:c r="A106" s="7"/>
      <x:c r="B106" s="7"/>
      <x:c r="C106" s="7"/>
      <x:c r="D106" s="8"/>
      <x:c r="E106" s="8"/>
      <x:c r="F106" s="8"/>
      <x:c r="G106" s="12"/>
      <x:c r="H106" s="7"/>
      <x:c r="I106" s="7"/>
      <x:c r="J106" s="7"/>
      <x:c r="K106" s="7"/>
      <x:c r="L106" s="7"/>
      <x:c r="M106" s="7"/>
      <x:c r="N106" s="7"/>
      <x:c r="O106" s="7"/>
      <x:c r="P106" s="8"/>
      <x:c r="Q106" s="7"/>
      <x:c r="R106" s="7"/>
      <x:c r="S106" s="7"/>
      <x:c r="T106" s="2" t="n">
        <x:f>IF(A106="",0,IFERROR(IF(AND(B106&lt;&gt;"",COUNTIF('Calibrare_Linii'!$A$6:$A$19,C106)=1,COUNTIFS(OOSTable[Fixture_ID],A106,OOSTable[Line],C106)=1,ISNUMBER(D106),ISNUMBER(E106),ISNUMBER(F106),F106&lt;D106,D106&lt;E106,ISNUMBER(G106),G106&gt;='Config_v6'!$B$50,G106&lt;=1,ISNUMBER(H106),H106&gt;='Config_v6'!$B$51,H106&lt;=100,ISNUMBER(I106),I106&gt;=0,I106&lt;='Config_v6'!$B$53,ISNUMBER(J106),J106&gt;=0,J106&lt;='Config_v6'!$B$52,K106="NO",L106=12,M106="PASS",ISNUMBER(N106),N106&gt;=0,MOD(N106,1)=0,O106&lt;&gt;"",ISNUMBER(P106),P106&gt;E106,Q106&lt;&gt;"",R106&lt;&gt;"",S106="LIVE"),1,0),0))</x:f>
        <x:v>0</x:v>
      </x:c>
      <x:c r="U106" s="2" t="n">
        <x:f>IF(T106&lt;&gt;1,0,IF(LEFT(C106,1)="O",IF(N106&gt;INDEX('Calibrare_Linii'!$C$6:$C$19,MATCH(C106,'Calibrare_Linii'!$A$6:$A$19,0)),1,0),IF(N106&lt;=INDEX('Calibrare_Linii'!$C$6:$C$19,MATCH(C106,'Calibrare_Linii'!$A$6:$A$19,0)),1,0)))</x:f>
        <x:v>0</x:v>
      </x:c>
    </x:row>
    <x:row r="107" ht="21" customHeight="1">
      <x:c r="A107" s="7"/>
      <x:c r="B107" s="7"/>
      <x:c r="C107" s="7"/>
      <x:c r="D107" s="8"/>
      <x:c r="E107" s="8"/>
      <x:c r="F107" s="8"/>
      <x:c r="G107" s="12"/>
      <x:c r="H107" s="7"/>
      <x:c r="I107" s="7"/>
      <x:c r="J107" s="7"/>
      <x:c r="K107" s="7"/>
      <x:c r="L107" s="7"/>
      <x:c r="M107" s="7"/>
      <x:c r="N107" s="7"/>
      <x:c r="O107" s="7"/>
      <x:c r="P107" s="8"/>
      <x:c r="Q107" s="7"/>
      <x:c r="R107" s="7"/>
      <x:c r="S107" s="7"/>
      <x:c r="T107" s="2" t="n">
        <x:f>IF(A107="",0,IFERROR(IF(AND(B107&lt;&gt;"",COUNTIF('Calibrare_Linii'!$A$6:$A$19,C107)=1,COUNTIFS(OOSTable[Fixture_ID],A107,OOSTable[Line],C107)=1,ISNUMBER(D107),ISNUMBER(E107),ISNUMBER(F107),F107&lt;D107,D107&lt;E107,ISNUMBER(G107),G107&gt;='Config_v6'!$B$50,G107&lt;=1,ISNUMBER(H107),H107&gt;='Config_v6'!$B$51,H107&lt;=100,ISNUMBER(I107),I107&gt;=0,I107&lt;='Config_v6'!$B$53,ISNUMBER(J107),J107&gt;=0,J107&lt;='Config_v6'!$B$52,K107="NO",L107=12,M107="PASS",ISNUMBER(N107),N107&gt;=0,MOD(N107,1)=0,O107&lt;&gt;"",ISNUMBER(P107),P107&gt;E107,Q107&lt;&gt;"",R107&lt;&gt;"",S107="LIVE"),1,0),0))</x:f>
        <x:v>0</x:v>
      </x:c>
      <x:c r="U107" s="2" t="n">
        <x:f>IF(T107&lt;&gt;1,0,IF(LEFT(C107,1)="O",IF(N107&gt;INDEX('Calibrare_Linii'!$C$6:$C$19,MATCH(C107,'Calibrare_Linii'!$A$6:$A$19,0)),1,0),IF(N107&lt;=INDEX('Calibrare_Linii'!$C$6:$C$19,MATCH(C107,'Calibrare_Linii'!$A$6:$A$19,0)),1,0)))</x:f>
        <x:v>0</x:v>
      </x:c>
    </x:row>
    <x:row r="108" ht="21" customHeight="1">
      <x:c r="A108" s="7"/>
      <x:c r="B108" s="7"/>
      <x:c r="C108" s="7"/>
      <x:c r="D108" s="8"/>
      <x:c r="E108" s="8"/>
      <x:c r="F108" s="8"/>
      <x:c r="G108" s="12"/>
      <x:c r="H108" s="7"/>
      <x:c r="I108" s="7"/>
      <x:c r="J108" s="7"/>
      <x:c r="K108" s="7"/>
      <x:c r="L108" s="7"/>
      <x:c r="M108" s="7"/>
      <x:c r="N108" s="7"/>
      <x:c r="O108" s="7"/>
      <x:c r="P108" s="8"/>
      <x:c r="Q108" s="7"/>
      <x:c r="R108" s="7"/>
      <x:c r="S108" s="7"/>
      <x:c r="T108" s="2" t="n">
        <x:f>IF(A108="",0,IFERROR(IF(AND(B108&lt;&gt;"",COUNTIF('Calibrare_Linii'!$A$6:$A$19,C108)=1,COUNTIFS(OOSTable[Fixture_ID],A108,OOSTable[Line],C108)=1,ISNUMBER(D108),ISNUMBER(E108),ISNUMBER(F108),F108&lt;D108,D108&lt;E108,ISNUMBER(G108),G108&gt;='Config_v6'!$B$50,G108&lt;=1,ISNUMBER(H108),H108&gt;='Config_v6'!$B$51,H108&lt;=100,ISNUMBER(I108),I108&gt;=0,I108&lt;='Config_v6'!$B$53,ISNUMBER(J108),J108&gt;=0,J108&lt;='Config_v6'!$B$52,K108="NO",L108=12,M108="PASS",ISNUMBER(N108),N108&gt;=0,MOD(N108,1)=0,O108&lt;&gt;"",ISNUMBER(P108),P108&gt;E108,Q108&lt;&gt;"",R108&lt;&gt;"",S108="LIVE"),1,0),0))</x:f>
        <x:v>0</x:v>
      </x:c>
      <x:c r="U108" s="2" t="n">
        <x:f>IF(T108&lt;&gt;1,0,IF(LEFT(C108,1)="O",IF(N108&gt;INDEX('Calibrare_Linii'!$C$6:$C$19,MATCH(C108,'Calibrare_Linii'!$A$6:$A$19,0)),1,0),IF(N108&lt;=INDEX('Calibrare_Linii'!$C$6:$C$19,MATCH(C108,'Calibrare_Linii'!$A$6:$A$19,0)),1,0)))</x:f>
        <x:v>0</x:v>
      </x:c>
    </x:row>
    <x:row r="109" ht="21" customHeight="1">
      <x:c r="A109" s="7"/>
      <x:c r="B109" s="7"/>
      <x:c r="C109" s="7"/>
      <x:c r="D109" s="8"/>
      <x:c r="E109" s="8"/>
      <x:c r="F109" s="8"/>
      <x:c r="G109" s="12"/>
      <x:c r="H109" s="7"/>
      <x:c r="I109" s="7"/>
      <x:c r="J109" s="7"/>
      <x:c r="K109" s="7"/>
      <x:c r="L109" s="7"/>
      <x:c r="M109" s="7"/>
      <x:c r="N109" s="7"/>
      <x:c r="O109" s="7"/>
      <x:c r="P109" s="8"/>
      <x:c r="Q109" s="7"/>
      <x:c r="R109" s="7"/>
      <x:c r="S109" s="7"/>
      <x:c r="T109" s="2" t="n">
        <x:f>IF(A109="",0,IFERROR(IF(AND(B109&lt;&gt;"",COUNTIF('Calibrare_Linii'!$A$6:$A$19,C109)=1,COUNTIFS(OOSTable[Fixture_ID],A109,OOSTable[Line],C109)=1,ISNUMBER(D109),ISNUMBER(E109),ISNUMBER(F109),F109&lt;D109,D109&lt;E109,ISNUMBER(G109),G109&gt;='Config_v6'!$B$50,G109&lt;=1,ISNUMBER(H109),H109&gt;='Config_v6'!$B$51,H109&lt;=100,ISNUMBER(I109),I109&gt;=0,I109&lt;='Config_v6'!$B$53,ISNUMBER(J109),J109&gt;=0,J109&lt;='Config_v6'!$B$52,K109="NO",L109=12,M109="PASS",ISNUMBER(N109),N109&gt;=0,MOD(N109,1)=0,O109&lt;&gt;"",ISNUMBER(P109),P109&gt;E109,Q109&lt;&gt;"",R109&lt;&gt;"",S109="LIVE"),1,0),0))</x:f>
        <x:v>0</x:v>
      </x:c>
      <x:c r="U109" s="2" t="n">
        <x:f>IF(T109&lt;&gt;1,0,IF(LEFT(C109,1)="O",IF(N109&gt;INDEX('Calibrare_Linii'!$C$6:$C$19,MATCH(C109,'Calibrare_Linii'!$A$6:$A$19,0)),1,0),IF(N109&lt;=INDEX('Calibrare_Linii'!$C$6:$C$19,MATCH(C109,'Calibrare_Linii'!$A$6:$A$19,0)),1,0)))</x:f>
        <x:v>0</x:v>
      </x:c>
    </x:row>
    <x:row r="110" ht="21" customHeight="1">
      <x:c r="A110" s="7"/>
      <x:c r="B110" s="7"/>
      <x:c r="C110" s="7"/>
      <x:c r="D110" s="8"/>
      <x:c r="E110" s="8"/>
      <x:c r="F110" s="8"/>
      <x:c r="G110" s="12"/>
      <x:c r="H110" s="7"/>
      <x:c r="I110" s="7"/>
      <x:c r="J110" s="7"/>
      <x:c r="K110" s="7"/>
      <x:c r="L110" s="7"/>
      <x:c r="M110" s="7"/>
      <x:c r="N110" s="7"/>
      <x:c r="O110" s="7"/>
      <x:c r="P110" s="8"/>
      <x:c r="Q110" s="7"/>
      <x:c r="R110" s="7"/>
      <x:c r="S110" s="7"/>
      <x:c r="T110" s="2" t="n">
        <x:f>IF(A110="",0,IFERROR(IF(AND(B110&lt;&gt;"",COUNTIF('Calibrare_Linii'!$A$6:$A$19,C110)=1,COUNTIFS(OOSTable[Fixture_ID],A110,OOSTable[Line],C110)=1,ISNUMBER(D110),ISNUMBER(E110),ISNUMBER(F110),F110&lt;D110,D110&lt;E110,ISNUMBER(G110),G110&gt;='Config_v6'!$B$50,G110&lt;=1,ISNUMBER(H110),H110&gt;='Config_v6'!$B$51,H110&lt;=100,ISNUMBER(I110),I110&gt;=0,I110&lt;='Config_v6'!$B$53,ISNUMBER(J110),J110&gt;=0,J110&lt;='Config_v6'!$B$52,K110="NO",L110=12,M110="PASS",ISNUMBER(N110),N110&gt;=0,MOD(N110,1)=0,O110&lt;&gt;"",ISNUMBER(P110),P110&gt;E110,Q110&lt;&gt;"",R110&lt;&gt;"",S110="LIVE"),1,0),0))</x:f>
        <x:v>0</x:v>
      </x:c>
      <x:c r="U110" s="2" t="n">
        <x:f>IF(T110&lt;&gt;1,0,IF(LEFT(C110,1)="O",IF(N110&gt;INDEX('Calibrare_Linii'!$C$6:$C$19,MATCH(C110,'Calibrare_Linii'!$A$6:$A$19,0)),1,0),IF(N110&lt;=INDEX('Calibrare_Linii'!$C$6:$C$19,MATCH(C110,'Calibrare_Linii'!$A$6:$A$19,0)),1,0)))</x:f>
        <x:v>0</x:v>
      </x:c>
    </x:row>
    <x:row r="111" ht="21" customHeight="1">
      <x:c r="A111" s="7"/>
      <x:c r="B111" s="7"/>
      <x:c r="C111" s="7"/>
      <x:c r="D111" s="8"/>
      <x:c r="E111" s="8"/>
      <x:c r="F111" s="8"/>
      <x:c r="G111" s="12"/>
      <x:c r="H111" s="7"/>
      <x:c r="I111" s="7"/>
      <x:c r="J111" s="7"/>
      <x:c r="K111" s="7"/>
      <x:c r="L111" s="7"/>
      <x:c r="M111" s="7"/>
      <x:c r="N111" s="7"/>
      <x:c r="O111" s="7"/>
      <x:c r="P111" s="8"/>
      <x:c r="Q111" s="7"/>
      <x:c r="R111" s="7"/>
      <x:c r="S111" s="7"/>
      <x:c r="T111" s="2" t="n">
        <x:f>IF(A111="",0,IFERROR(IF(AND(B111&lt;&gt;"",COUNTIF('Calibrare_Linii'!$A$6:$A$19,C111)=1,COUNTIFS(OOSTable[Fixture_ID],A111,OOSTable[Line],C111)=1,ISNUMBER(D111),ISNUMBER(E111),ISNUMBER(F111),F111&lt;D111,D111&lt;E111,ISNUMBER(G111),G111&gt;='Config_v6'!$B$50,G111&lt;=1,ISNUMBER(H111),H111&gt;='Config_v6'!$B$51,H111&lt;=100,ISNUMBER(I111),I111&gt;=0,I111&lt;='Config_v6'!$B$53,ISNUMBER(J111),J111&gt;=0,J111&lt;='Config_v6'!$B$52,K111="NO",L111=12,M111="PASS",ISNUMBER(N111),N111&gt;=0,MOD(N111,1)=0,O111&lt;&gt;"",ISNUMBER(P111),P111&gt;E111,Q111&lt;&gt;"",R111&lt;&gt;"",S111="LIVE"),1,0),0))</x:f>
        <x:v>0</x:v>
      </x:c>
      <x:c r="U111" s="2" t="n">
        <x:f>IF(T111&lt;&gt;1,0,IF(LEFT(C111,1)="O",IF(N111&gt;INDEX('Calibrare_Linii'!$C$6:$C$19,MATCH(C111,'Calibrare_Linii'!$A$6:$A$19,0)),1,0),IF(N111&lt;=INDEX('Calibrare_Linii'!$C$6:$C$19,MATCH(C111,'Calibrare_Linii'!$A$6:$A$19,0)),1,0)))</x:f>
        <x:v>0</x:v>
      </x:c>
    </x:row>
    <x:row r="112" ht="21" customHeight="1">
      <x:c r="A112" s="7"/>
      <x:c r="B112" s="7"/>
      <x:c r="C112" s="7"/>
      <x:c r="D112" s="8"/>
      <x:c r="E112" s="8"/>
      <x:c r="F112" s="8"/>
      <x:c r="G112" s="12"/>
      <x:c r="H112" s="7"/>
      <x:c r="I112" s="7"/>
      <x:c r="J112" s="7"/>
      <x:c r="K112" s="7"/>
      <x:c r="L112" s="7"/>
      <x:c r="M112" s="7"/>
      <x:c r="N112" s="7"/>
      <x:c r="O112" s="7"/>
      <x:c r="P112" s="8"/>
      <x:c r="Q112" s="7"/>
      <x:c r="R112" s="7"/>
      <x:c r="S112" s="7"/>
      <x:c r="T112" s="2" t="n">
        <x:f>IF(A112="",0,IFERROR(IF(AND(B112&lt;&gt;"",COUNTIF('Calibrare_Linii'!$A$6:$A$19,C112)=1,COUNTIFS(OOSTable[Fixture_ID],A112,OOSTable[Line],C112)=1,ISNUMBER(D112),ISNUMBER(E112),ISNUMBER(F112),F112&lt;D112,D112&lt;E112,ISNUMBER(G112),G112&gt;='Config_v6'!$B$50,G112&lt;=1,ISNUMBER(H112),H112&gt;='Config_v6'!$B$51,H112&lt;=100,ISNUMBER(I112),I112&gt;=0,I112&lt;='Config_v6'!$B$53,ISNUMBER(J112),J112&gt;=0,J112&lt;='Config_v6'!$B$52,K112="NO",L112=12,M112="PASS",ISNUMBER(N112),N112&gt;=0,MOD(N112,1)=0,O112&lt;&gt;"",ISNUMBER(P112),P112&gt;E112,Q112&lt;&gt;"",R112&lt;&gt;"",S112="LIVE"),1,0),0))</x:f>
        <x:v>0</x:v>
      </x:c>
      <x:c r="U112" s="2" t="n">
        <x:f>IF(T112&lt;&gt;1,0,IF(LEFT(C112,1)="O",IF(N112&gt;INDEX('Calibrare_Linii'!$C$6:$C$19,MATCH(C112,'Calibrare_Linii'!$A$6:$A$19,0)),1,0),IF(N112&lt;=INDEX('Calibrare_Linii'!$C$6:$C$19,MATCH(C112,'Calibrare_Linii'!$A$6:$A$19,0)),1,0)))</x:f>
        <x:v>0</x:v>
      </x:c>
    </x:row>
    <x:row r="113" ht="21" customHeight="1">
      <x:c r="A113" s="7"/>
      <x:c r="B113" s="7"/>
      <x:c r="C113" s="7"/>
      <x:c r="D113" s="8"/>
      <x:c r="E113" s="8"/>
      <x:c r="F113" s="8"/>
      <x:c r="G113" s="12"/>
      <x:c r="H113" s="7"/>
      <x:c r="I113" s="7"/>
      <x:c r="J113" s="7"/>
      <x:c r="K113" s="7"/>
      <x:c r="L113" s="7"/>
      <x:c r="M113" s="7"/>
      <x:c r="N113" s="7"/>
      <x:c r="O113" s="7"/>
      <x:c r="P113" s="8"/>
      <x:c r="Q113" s="7"/>
      <x:c r="R113" s="7"/>
      <x:c r="S113" s="7"/>
      <x:c r="T113" s="2" t="n">
        <x:f>IF(A113="",0,IFERROR(IF(AND(B113&lt;&gt;"",COUNTIF('Calibrare_Linii'!$A$6:$A$19,C113)=1,COUNTIFS(OOSTable[Fixture_ID],A113,OOSTable[Line],C113)=1,ISNUMBER(D113),ISNUMBER(E113),ISNUMBER(F113),F113&lt;D113,D113&lt;E113,ISNUMBER(G113),G113&gt;='Config_v6'!$B$50,G113&lt;=1,ISNUMBER(H113),H113&gt;='Config_v6'!$B$51,H113&lt;=100,ISNUMBER(I113),I113&gt;=0,I113&lt;='Config_v6'!$B$53,ISNUMBER(J113),J113&gt;=0,J113&lt;='Config_v6'!$B$52,K113="NO",L113=12,M113="PASS",ISNUMBER(N113),N113&gt;=0,MOD(N113,1)=0,O113&lt;&gt;"",ISNUMBER(P113),P113&gt;E113,Q113&lt;&gt;"",R113&lt;&gt;"",S113="LIVE"),1,0),0))</x:f>
        <x:v>0</x:v>
      </x:c>
      <x:c r="U113" s="2" t="n">
        <x:f>IF(T113&lt;&gt;1,0,IF(LEFT(C113,1)="O",IF(N113&gt;INDEX('Calibrare_Linii'!$C$6:$C$19,MATCH(C113,'Calibrare_Linii'!$A$6:$A$19,0)),1,0),IF(N113&lt;=INDEX('Calibrare_Linii'!$C$6:$C$19,MATCH(C113,'Calibrare_Linii'!$A$6:$A$19,0)),1,0)))</x:f>
        <x:v>0</x:v>
      </x:c>
    </x:row>
    <x:row r="114" ht="21" customHeight="1">
      <x:c r="A114" s="7"/>
      <x:c r="B114" s="7"/>
      <x:c r="C114" s="7"/>
      <x:c r="D114" s="8"/>
      <x:c r="E114" s="8"/>
      <x:c r="F114" s="8"/>
      <x:c r="G114" s="12"/>
      <x:c r="H114" s="7"/>
      <x:c r="I114" s="7"/>
      <x:c r="J114" s="7"/>
      <x:c r="K114" s="7"/>
      <x:c r="L114" s="7"/>
      <x:c r="M114" s="7"/>
      <x:c r="N114" s="7"/>
      <x:c r="O114" s="7"/>
      <x:c r="P114" s="8"/>
      <x:c r="Q114" s="7"/>
      <x:c r="R114" s="7"/>
      <x:c r="S114" s="7"/>
      <x:c r="T114" s="2" t="n">
        <x:f>IF(A114="",0,IFERROR(IF(AND(B114&lt;&gt;"",COUNTIF('Calibrare_Linii'!$A$6:$A$19,C114)=1,COUNTIFS(OOSTable[Fixture_ID],A114,OOSTable[Line],C114)=1,ISNUMBER(D114),ISNUMBER(E114),ISNUMBER(F114),F114&lt;D114,D114&lt;E114,ISNUMBER(G114),G114&gt;='Config_v6'!$B$50,G114&lt;=1,ISNUMBER(H114),H114&gt;='Config_v6'!$B$51,H114&lt;=100,ISNUMBER(I114),I114&gt;=0,I114&lt;='Config_v6'!$B$53,ISNUMBER(J114),J114&gt;=0,J114&lt;='Config_v6'!$B$52,K114="NO",L114=12,M114="PASS",ISNUMBER(N114),N114&gt;=0,MOD(N114,1)=0,O114&lt;&gt;"",ISNUMBER(P114),P114&gt;E114,Q114&lt;&gt;"",R114&lt;&gt;"",S114="LIVE"),1,0),0))</x:f>
        <x:v>0</x:v>
      </x:c>
      <x:c r="U114" s="2" t="n">
        <x:f>IF(T114&lt;&gt;1,0,IF(LEFT(C114,1)="O",IF(N114&gt;INDEX('Calibrare_Linii'!$C$6:$C$19,MATCH(C114,'Calibrare_Linii'!$A$6:$A$19,0)),1,0),IF(N114&lt;=INDEX('Calibrare_Linii'!$C$6:$C$19,MATCH(C114,'Calibrare_Linii'!$A$6:$A$19,0)),1,0)))</x:f>
        <x:v>0</x:v>
      </x:c>
    </x:row>
    <x:row r="115" ht="21" customHeight="1">
      <x:c r="A115" s="7"/>
      <x:c r="B115" s="7"/>
      <x:c r="C115" s="7"/>
      <x:c r="D115" s="8"/>
      <x:c r="E115" s="8"/>
      <x:c r="F115" s="8"/>
      <x:c r="G115" s="12"/>
      <x:c r="H115" s="7"/>
      <x:c r="I115" s="7"/>
      <x:c r="J115" s="7"/>
      <x:c r="K115" s="7"/>
      <x:c r="L115" s="7"/>
      <x:c r="M115" s="7"/>
      <x:c r="N115" s="7"/>
      <x:c r="O115" s="7"/>
      <x:c r="P115" s="8"/>
      <x:c r="Q115" s="7"/>
      <x:c r="R115" s="7"/>
      <x:c r="S115" s="7"/>
      <x:c r="T115" s="2" t="n">
        <x:f>IF(A115="",0,IFERROR(IF(AND(B115&lt;&gt;"",COUNTIF('Calibrare_Linii'!$A$6:$A$19,C115)=1,COUNTIFS(OOSTable[Fixture_ID],A115,OOSTable[Line],C115)=1,ISNUMBER(D115),ISNUMBER(E115),ISNUMBER(F115),F115&lt;D115,D115&lt;E115,ISNUMBER(G115),G115&gt;='Config_v6'!$B$50,G115&lt;=1,ISNUMBER(H115),H115&gt;='Config_v6'!$B$51,H115&lt;=100,ISNUMBER(I115),I115&gt;=0,I115&lt;='Config_v6'!$B$53,ISNUMBER(J115),J115&gt;=0,J115&lt;='Config_v6'!$B$52,K115="NO",L115=12,M115="PASS",ISNUMBER(N115),N115&gt;=0,MOD(N115,1)=0,O115&lt;&gt;"",ISNUMBER(P115),P115&gt;E115,Q115&lt;&gt;"",R115&lt;&gt;"",S115="LIVE"),1,0),0))</x:f>
        <x:v>0</x:v>
      </x:c>
      <x:c r="U115" s="2" t="n">
        <x:f>IF(T115&lt;&gt;1,0,IF(LEFT(C115,1)="O",IF(N115&gt;INDEX('Calibrare_Linii'!$C$6:$C$19,MATCH(C115,'Calibrare_Linii'!$A$6:$A$19,0)),1,0),IF(N115&lt;=INDEX('Calibrare_Linii'!$C$6:$C$19,MATCH(C115,'Calibrare_Linii'!$A$6:$A$19,0)),1,0)))</x:f>
        <x:v>0</x:v>
      </x:c>
    </x:row>
    <x:row r="116" ht="21" customHeight="1">
      <x:c r="A116" s="7"/>
      <x:c r="B116" s="7"/>
      <x:c r="C116" s="7"/>
      <x:c r="D116" s="8"/>
      <x:c r="E116" s="8"/>
      <x:c r="F116" s="8"/>
      <x:c r="G116" s="12"/>
      <x:c r="H116" s="7"/>
      <x:c r="I116" s="7"/>
      <x:c r="J116" s="7"/>
      <x:c r="K116" s="7"/>
      <x:c r="L116" s="7"/>
      <x:c r="M116" s="7"/>
      <x:c r="N116" s="7"/>
      <x:c r="O116" s="7"/>
      <x:c r="P116" s="8"/>
      <x:c r="Q116" s="7"/>
      <x:c r="R116" s="7"/>
      <x:c r="S116" s="7"/>
      <x:c r="T116" s="2" t="n">
        <x:f>IF(A116="",0,IFERROR(IF(AND(B116&lt;&gt;"",COUNTIF('Calibrare_Linii'!$A$6:$A$19,C116)=1,COUNTIFS(OOSTable[Fixture_ID],A116,OOSTable[Line],C116)=1,ISNUMBER(D116),ISNUMBER(E116),ISNUMBER(F116),F116&lt;D116,D116&lt;E116,ISNUMBER(G116),G116&gt;='Config_v6'!$B$50,G116&lt;=1,ISNUMBER(H116),H116&gt;='Config_v6'!$B$51,H116&lt;=100,ISNUMBER(I116),I116&gt;=0,I116&lt;='Config_v6'!$B$53,ISNUMBER(J116),J116&gt;=0,J116&lt;='Config_v6'!$B$52,K116="NO",L116=12,M116="PASS",ISNUMBER(N116),N116&gt;=0,MOD(N116,1)=0,O116&lt;&gt;"",ISNUMBER(P116),P116&gt;E116,Q116&lt;&gt;"",R116&lt;&gt;"",S116="LIVE"),1,0),0))</x:f>
        <x:v>0</x:v>
      </x:c>
      <x:c r="U116" s="2" t="n">
        <x:f>IF(T116&lt;&gt;1,0,IF(LEFT(C116,1)="O",IF(N116&gt;INDEX('Calibrare_Linii'!$C$6:$C$19,MATCH(C116,'Calibrare_Linii'!$A$6:$A$19,0)),1,0),IF(N116&lt;=INDEX('Calibrare_Linii'!$C$6:$C$19,MATCH(C116,'Calibrare_Linii'!$A$6:$A$19,0)),1,0)))</x:f>
        <x:v>0</x:v>
      </x:c>
    </x:row>
    <x:row r="117" ht="21" customHeight="1">
      <x:c r="A117" s="7"/>
      <x:c r="B117" s="7"/>
      <x:c r="C117" s="7"/>
      <x:c r="D117" s="8"/>
      <x:c r="E117" s="8"/>
      <x:c r="F117" s="8"/>
      <x:c r="G117" s="12"/>
      <x:c r="H117" s="7"/>
      <x:c r="I117" s="7"/>
      <x:c r="J117" s="7"/>
      <x:c r="K117" s="7"/>
      <x:c r="L117" s="7"/>
      <x:c r="M117" s="7"/>
      <x:c r="N117" s="7"/>
      <x:c r="O117" s="7"/>
      <x:c r="P117" s="8"/>
      <x:c r="Q117" s="7"/>
      <x:c r="R117" s="7"/>
      <x:c r="S117" s="7"/>
      <x:c r="T117" s="2" t="n">
        <x:f>IF(A117="",0,IFERROR(IF(AND(B117&lt;&gt;"",COUNTIF('Calibrare_Linii'!$A$6:$A$19,C117)=1,COUNTIFS(OOSTable[Fixture_ID],A117,OOSTable[Line],C117)=1,ISNUMBER(D117),ISNUMBER(E117),ISNUMBER(F117),F117&lt;D117,D117&lt;E117,ISNUMBER(G117),G117&gt;='Config_v6'!$B$50,G117&lt;=1,ISNUMBER(H117),H117&gt;='Config_v6'!$B$51,H117&lt;=100,ISNUMBER(I117),I117&gt;=0,I117&lt;='Config_v6'!$B$53,ISNUMBER(J117),J117&gt;=0,J117&lt;='Config_v6'!$B$52,K117="NO",L117=12,M117="PASS",ISNUMBER(N117),N117&gt;=0,MOD(N117,1)=0,O117&lt;&gt;"",ISNUMBER(P117),P117&gt;E117,Q117&lt;&gt;"",R117&lt;&gt;"",S117="LIVE"),1,0),0))</x:f>
        <x:v>0</x:v>
      </x:c>
      <x:c r="U117" s="2" t="n">
        <x:f>IF(T117&lt;&gt;1,0,IF(LEFT(C117,1)="O",IF(N117&gt;INDEX('Calibrare_Linii'!$C$6:$C$19,MATCH(C117,'Calibrare_Linii'!$A$6:$A$19,0)),1,0),IF(N117&lt;=INDEX('Calibrare_Linii'!$C$6:$C$19,MATCH(C117,'Calibrare_Linii'!$A$6:$A$19,0)),1,0)))</x:f>
        <x:v>0</x:v>
      </x:c>
    </x:row>
    <x:row r="118" ht="21" customHeight="1">
      <x:c r="A118" s="7"/>
      <x:c r="B118" s="7"/>
      <x:c r="C118" s="7"/>
      <x:c r="D118" s="8"/>
      <x:c r="E118" s="8"/>
      <x:c r="F118" s="8"/>
      <x:c r="G118" s="12"/>
      <x:c r="H118" s="7"/>
      <x:c r="I118" s="7"/>
      <x:c r="J118" s="7"/>
      <x:c r="K118" s="7"/>
      <x:c r="L118" s="7"/>
      <x:c r="M118" s="7"/>
      <x:c r="N118" s="7"/>
      <x:c r="O118" s="7"/>
      <x:c r="P118" s="8"/>
      <x:c r="Q118" s="7"/>
      <x:c r="R118" s="7"/>
      <x:c r="S118" s="7"/>
      <x:c r="T118" s="2" t="n">
        <x:f>IF(A118="",0,IFERROR(IF(AND(B118&lt;&gt;"",COUNTIF('Calibrare_Linii'!$A$6:$A$19,C118)=1,COUNTIFS(OOSTable[Fixture_ID],A118,OOSTable[Line],C118)=1,ISNUMBER(D118),ISNUMBER(E118),ISNUMBER(F118),F118&lt;D118,D118&lt;E118,ISNUMBER(G118),G118&gt;='Config_v6'!$B$50,G118&lt;=1,ISNUMBER(H118),H118&gt;='Config_v6'!$B$51,H118&lt;=100,ISNUMBER(I118),I118&gt;=0,I118&lt;='Config_v6'!$B$53,ISNUMBER(J118),J118&gt;=0,J118&lt;='Config_v6'!$B$52,K118="NO",L118=12,M118="PASS",ISNUMBER(N118),N118&gt;=0,MOD(N118,1)=0,O118&lt;&gt;"",ISNUMBER(P118),P118&gt;E118,Q118&lt;&gt;"",R118&lt;&gt;"",S118="LIVE"),1,0),0))</x:f>
        <x:v>0</x:v>
      </x:c>
      <x:c r="U118" s="2" t="n">
        <x:f>IF(T118&lt;&gt;1,0,IF(LEFT(C118,1)="O",IF(N118&gt;INDEX('Calibrare_Linii'!$C$6:$C$19,MATCH(C118,'Calibrare_Linii'!$A$6:$A$19,0)),1,0),IF(N118&lt;=INDEX('Calibrare_Linii'!$C$6:$C$19,MATCH(C118,'Calibrare_Linii'!$A$6:$A$19,0)),1,0)))</x:f>
        <x:v>0</x:v>
      </x:c>
    </x:row>
    <x:row r="119" ht="21" customHeight="1">
      <x:c r="A119" s="7"/>
      <x:c r="B119" s="7"/>
      <x:c r="C119" s="7"/>
      <x:c r="D119" s="8"/>
      <x:c r="E119" s="8"/>
      <x:c r="F119" s="8"/>
      <x:c r="G119" s="12"/>
      <x:c r="H119" s="7"/>
      <x:c r="I119" s="7"/>
      <x:c r="J119" s="7"/>
      <x:c r="K119" s="7"/>
      <x:c r="L119" s="7"/>
      <x:c r="M119" s="7"/>
      <x:c r="N119" s="7"/>
      <x:c r="O119" s="7"/>
      <x:c r="P119" s="8"/>
      <x:c r="Q119" s="7"/>
      <x:c r="R119" s="7"/>
      <x:c r="S119" s="7"/>
      <x:c r="T119" s="2" t="n">
        <x:f>IF(A119="",0,IFERROR(IF(AND(B119&lt;&gt;"",COUNTIF('Calibrare_Linii'!$A$6:$A$19,C119)=1,COUNTIFS(OOSTable[Fixture_ID],A119,OOSTable[Line],C119)=1,ISNUMBER(D119),ISNUMBER(E119),ISNUMBER(F119),F119&lt;D119,D119&lt;E119,ISNUMBER(G119),G119&gt;='Config_v6'!$B$50,G119&lt;=1,ISNUMBER(H119),H119&gt;='Config_v6'!$B$51,H119&lt;=100,ISNUMBER(I119),I119&gt;=0,I119&lt;='Config_v6'!$B$53,ISNUMBER(J119),J119&gt;=0,J119&lt;='Config_v6'!$B$52,K119="NO",L119=12,M119="PASS",ISNUMBER(N119),N119&gt;=0,MOD(N119,1)=0,O119&lt;&gt;"",ISNUMBER(P119),P119&gt;E119,Q119&lt;&gt;"",R119&lt;&gt;"",S119="LIVE"),1,0),0))</x:f>
        <x:v>0</x:v>
      </x:c>
      <x:c r="U119" s="2" t="n">
        <x:f>IF(T119&lt;&gt;1,0,IF(LEFT(C119,1)="O",IF(N119&gt;INDEX('Calibrare_Linii'!$C$6:$C$19,MATCH(C119,'Calibrare_Linii'!$A$6:$A$19,0)),1,0),IF(N119&lt;=INDEX('Calibrare_Linii'!$C$6:$C$19,MATCH(C119,'Calibrare_Linii'!$A$6:$A$19,0)),1,0)))</x:f>
        <x:v>0</x:v>
      </x:c>
    </x:row>
    <x:row r="120" ht="21" customHeight="1">
      <x:c r="A120" s="7"/>
      <x:c r="B120" s="7"/>
      <x:c r="C120" s="7"/>
      <x:c r="D120" s="8"/>
      <x:c r="E120" s="8"/>
      <x:c r="F120" s="8"/>
      <x:c r="G120" s="12"/>
      <x:c r="H120" s="7"/>
      <x:c r="I120" s="7"/>
      <x:c r="J120" s="7"/>
      <x:c r="K120" s="7"/>
      <x:c r="L120" s="7"/>
      <x:c r="M120" s="7"/>
      <x:c r="N120" s="7"/>
      <x:c r="O120" s="7"/>
      <x:c r="P120" s="8"/>
      <x:c r="Q120" s="7"/>
      <x:c r="R120" s="7"/>
      <x:c r="S120" s="7"/>
      <x:c r="T120" s="2" t="n">
        <x:f>IF(A120="",0,IFERROR(IF(AND(B120&lt;&gt;"",COUNTIF('Calibrare_Linii'!$A$6:$A$19,C120)=1,COUNTIFS(OOSTable[Fixture_ID],A120,OOSTable[Line],C120)=1,ISNUMBER(D120),ISNUMBER(E120),ISNUMBER(F120),F120&lt;D120,D120&lt;E120,ISNUMBER(G120),G120&gt;='Config_v6'!$B$50,G120&lt;=1,ISNUMBER(H120),H120&gt;='Config_v6'!$B$51,H120&lt;=100,ISNUMBER(I120),I120&gt;=0,I120&lt;='Config_v6'!$B$53,ISNUMBER(J120),J120&gt;=0,J120&lt;='Config_v6'!$B$52,K120="NO",L120=12,M120="PASS",ISNUMBER(N120),N120&gt;=0,MOD(N120,1)=0,O120&lt;&gt;"",ISNUMBER(P120),P120&gt;E120,Q120&lt;&gt;"",R120&lt;&gt;"",S120="LIVE"),1,0),0))</x:f>
        <x:v>0</x:v>
      </x:c>
      <x:c r="U120" s="2" t="n">
        <x:f>IF(T120&lt;&gt;1,0,IF(LEFT(C120,1)="O",IF(N120&gt;INDEX('Calibrare_Linii'!$C$6:$C$19,MATCH(C120,'Calibrare_Linii'!$A$6:$A$19,0)),1,0),IF(N120&lt;=INDEX('Calibrare_Linii'!$C$6:$C$19,MATCH(C120,'Calibrare_Linii'!$A$6:$A$19,0)),1,0)))</x:f>
        <x:v>0</x:v>
      </x:c>
    </x:row>
    <x:row r="121" ht="21" customHeight="1">
      <x:c r="A121" s="7"/>
      <x:c r="B121" s="7"/>
      <x:c r="C121" s="7"/>
      <x:c r="D121" s="8"/>
      <x:c r="E121" s="8"/>
      <x:c r="F121" s="8"/>
      <x:c r="G121" s="12"/>
      <x:c r="H121" s="7"/>
      <x:c r="I121" s="7"/>
      <x:c r="J121" s="7"/>
      <x:c r="K121" s="7"/>
      <x:c r="L121" s="7"/>
      <x:c r="M121" s="7"/>
      <x:c r="N121" s="7"/>
      <x:c r="O121" s="7"/>
      <x:c r="P121" s="8"/>
      <x:c r="Q121" s="7"/>
      <x:c r="R121" s="7"/>
      <x:c r="S121" s="7"/>
      <x:c r="T121" s="2" t="n">
        <x:f>IF(A121="",0,IFERROR(IF(AND(B121&lt;&gt;"",COUNTIF('Calibrare_Linii'!$A$6:$A$19,C121)=1,COUNTIFS(OOSTable[Fixture_ID],A121,OOSTable[Line],C121)=1,ISNUMBER(D121),ISNUMBER(E121),ISNUMBER(F121),F121&lt;D121,D121&lt;E121,ISNUMBER(G121),G121&gt;='Config_v6'!$B$50,G121&lt;=1,ISNUMBER(H121),H121&gt;='Config_v6'!$B$51,H121&lt;=100,ISNUMBER(I121),I121&gt;=0,I121&lt;='Config_v6'!$B$53,ISNUMBER(J121),J121&gt;=0,J121&lt;='Config_v6'!$B$52,K121="NO",L121=12,M121="PASS",ISNUMBER(N121),N121&gt;=0,MOD(N121,1)=0,O121&lt;&gt;"",ISNUMBER(P121),P121&gt;E121,Q121&lt;&gt;"",R121&lt;&gt;"",S121="LIVE"),1,0),0))</x:f>
        <x:v>0</x:v>
      </x:c>
      <x:c r="U121" s="2" t="n">
        <x:f>IF(T121&lt;&gt;1,0,IF(LEFT(C121,1)="O",IF(N121&gt;INDEX('Calibrare_Linii'!$C$6:$C$19,MATCH(C121,'Calibrare_Linii'!$A$6:$A$19,0)),1,0),IF(N121&lt;=INDEX('Calibrare_Linii'!$C$6:$C$19,MATCH(C121,'Calibrare_Linii'!$A$6:$A$19,0)),1,0)))</x:f>
        <x:v>0</x:v>
      </x:c>
    </x:row>
    <x:row r="122" ht="21" customHeight="1">
      <x:c r="A122" s="7"/>
      <x:c r="B122" s="7"/>
      <x:c r="C122" s="7"/>
      <x:c r="D122" s="8"/>
      <x:c r="E122" s="8"/>
      <x:c r="F122" s="8"/>
      <x:c r="G122" s="12"/>
      <x:c r="H122" s="7"/>
      <x:c r="I122" s="7"/>
      <x:c r="J122" s="7"/>
      <x:c r="K122" s="7"/>
      <x:c r="L122" s="7"/>
      <x:c r="M122" s="7"/>
      <x:c r="N122" s="7"/>
      <x:c r="O122" s="7"/>
      <x:c r="P122" s="8"/>
      <x:c r="Q122" s="7"/>
      <x:c r="R122" s="7"/>
      <x:c r="S122" s="7"/>
      <x:c r="T122" s="2" t="n">
        <x:f>IF(A122="",0,IFERROR(IF(AND(B122&lt;&gt;"",COUNTIF('Calibrare_Linii'!$A$6:$A$19,C122)=1,COUNTIFS(OOSTable[Fixture_ID],A122,OOSTable[Line],C122)=1,ISNUMBER(D122),ISNUMBER(E122),ISNUMBER(F122),F122&lt;D122,D122&lt;E122,ISNUMBER(G122),G122&gt;='Config_v6'!$B$50,G122&lt;=1,ISNUMBER(H122),H122&gt;='Config_v6'!$B$51,H122&lt;=100,ISNUMBER(I122),I122&gt;=0,I122&lt;='Config_v6'!$B$53,ISNUMBER(J122),J122&gt;=0,J122&lt;='Config_v6'!$B$52,K122="NO",L122=12,M122="PASS",ISNUMBER(N122),N122&gt;=0,MOD(N122,1)=0,O122&lt;&gt;"",ISNUMBER(P122),P122&gt;E122,Q122&lt;&gt;"",R122&lt;&gt;"",S122="LIVE"),1,0),0))</x:f>
        <x:v>0</x:v>
      </x:c>
      <x:c r="U122" s="2" t="n">
        <x:f>IF(T122&lt;&gt;1,0,IF(LEFT(C122,1)="O",IF(N122&gt;INDEX('Calibrare_Linii'!$C$6:$C$19,MATCH(C122,'Calibrare_Linii'!$A$6:$A$19,0)),1,0),IF(N122&lt;=INDEX('Calibrare_Linii'!$C$6:$C$19,MATCH(C122,'Calibrare_Linii'!$A$6:$A$19,0)),1,0)))</x:f>
        <x:v>0</x:v>
      </x:c>
    </x:row>
    <x:row r="123" ht="21" customHeight="1">
      <x:c r="A123" s="7"/>
      <x:c r="B123" s="7"/>
      <x:c r="C123" s="7"/>
      <x:c r="D123" s="8"/>
      <x:c r="E123" s="8"/>
      <x:c r="F123" s="8"/>
      <x:c r="G123" s="12"/>
      <x:c r="H123" s="7"/>
      <x:c r="I123" s="7"/>
      <x:c r="J123" s="7"/>
      <x:c r="K123" s="7"/>
      <x:c r="L123" s="7"/>
      <x:c r="M123" s="7"/>
      <x:c r="N123" s="7"/>
      <x:c r="O123" s="7"/>
      <x:c r="P123" s="8"/>
      <x:c r="Q123" s="7"/>
      <x:c r="R123" s="7"/>
      <x:c r="S123" s="7"/>
      <x:c r="T123" s="2" t="n">
        <x:f>IF(A123="",0,IFERROR(IF(AND(B123&lt;&gt;"",COUNTIF('Calibrare_Linii'!$A$6:$A$19,C123)=1,COUNTIFS(OOSTable[Fixture_ID],A123,OOSTable[Line],C123)=1,ISNUMBER(D123),ISNUMBER(E123),ISNUMBER(F123),F123&lt;D123,D123&lt;E123,ISNUMBER(G123),G123&gt;='Config_v6'!$B$50,G123&lt;=1,ISNUMBER(H123),H123&gt;='Config_v6'!$B$51,H123&lt;=100,ISNUMBER(I123),I123&gt;=0,I123&lt;='Config_v6'!$B$53,ISNUMBER(J123),J123&gt;=0,J123&lt;='Config_v6'!$B$52,K123="NO",L123=12,M123="PASS",ISNUMBER(N123),N123&gt;=0,MOD(N123,1)=0,O123&lt;&gt;"",ISNUMBER(P123),P123&gt;E123,Q123&lt;&gt;"",R123&lt;&gt;"",S123="LIVE"),1,0),0))</x:f>
        <x:v>0</x:v>
      </x:c>
      <x:c r="U123" s="2" t="n">
        <x:f>IF(T123&lt;&gt;1,0,IF(LEFT(C123,1)="O",IF(N123&gt;INDEX('Calibrare_Linii'!$C$6:$C$19,MATCH(C123,'Calibrare_Linii'!$A$6:$A$19,0)),1,0),IF(N123&lt;=INDEX('Calibrare_Linii'!$C$6:$C$19,MATCH(C123,'Calibrare_Linii'!$A$6:$A$19,0)),1,0)))</x:f>
        <x:v>0</x:v>
      </x:c>
    </x:row>
    <x:row r="124" ht="21" customHeight="1">
      <x:c r="A124" s="7"/>
      <x:c r="B124" s="7"/>
      <x:c r="C124" s="7"/>
      <x:c r="D124" s="8"/>
      <x:c r="E124" s="8"/>
      <x:c r="F124" s="8"/>
      <x:c r="G124" s="12"/>
      <x:c r="H124" s="7"/>
      <x:c r="I124" s="7"/>
      <x:c r="J124" s="7"/>
      <x:c r="K124" s="7"/>
      <x:c r="L124" s="7"/>
      <x:c r="M124" s="7"/>
      <x:c r="N124" s="7"/>
      <x:c r="O124" s="7"/>
      <x:c r="P124" s="8"/>
      <x:c r="Q124" s="7"/>
      <x:c r="R124" s="7"/>
      <x:c r="S124" s="7"/>
      <x:c r="T124" s="2" t="n">
        <x:f>IF(A124="",0,IFERROR(IF(AND(B124&lt;&gt;"",COUNTIF('Calibrare_Linii'!$A$6:$A$19,C124)=1,COUNTIFS(OOSTable[Fixture_ID],A124,OOSTable[Line],C124)=1,ISNUMBER(D124),ISNUMBER(E124),ISNUMBER(F124),F124&lt;D124,D124&lt;E124,ISNUMBER(G124),G124&gt;='Config_v6'!$B$50,G124&lt;=1,ISNUMBER(H124),H124&gt;='Config_v6'!$B$51,H124&lt;=100,ISNUMBER(I124),I124&gt;=0,I124&lt;='Config_v6'!$B$53,ISNUMBER(J124),J124&gt;=0,J124&lt;='Config_v6'!$B$52,K124="NO",L124=12,M124="PASS",ISNUMBER(N124),N124&gt;=0,MOD(N124,1)=0,O124&lt;&gt;"",ISNUMBER(P124),P124&gt;E124,Q124&lt;&gt;"",R124&lt;&gt;"",S124="LIVE"),1,0),0))</x:f>
        <x:v>0</x:v>
      </x:c>
      <x:c r="U124" s="2" t="n">
        <x:f>IF(T124&lt;&gt;1,0,IF(LEFT(C124,1)="O",IF(N124&gt;INDEX('Calibrare_Linii'!$C$6:$C$19,MATCH(C124,'Calibrare_Linii'!$A$6:$A$19,0)),1,0),IF(N124&lt;=INDEX('Calibrare_Linii'!$C$6:$C$19,MATCH(C124,'Calibrare_Linii'!$A$6:$A$19,0)),1,0)))</x:f>
        <x:v>0</x:v>
      </x:c>
    </x:row>
    <x:row r="125" ht="21" customHeight="1">
      <x:c r="A125" s="7"/>
      <x:c r="B125" s="7"/>
      <x:c r="C125" s="7"/>
      <x:c r="D125" s="8"/>
      <x:c r="E125" s="8"/>
      <x:c r="F125" s="8"/>
      <x:c r="G125" s="12"/>
      <x:c r="H125" s="7"/>
      <x:c r="I125" s="7"/>
      <x:c r="J125" s="7"/>
      <x:c r="K125" s="7"/>
      <x:c r="L125" s="7"/>
      <x:c r="M125" s="7"/>
      <x:c r="N125" s="7"/>
      <x:c r="O125" s="7"/>
      <x:c r="P125" s="8"/>
      <x:c r="Q125" s="7"/>
      <x:c r="R125" s="7"/>
      <x:c r="S125" s="7"/>
      <x:c r="T125" s="2" t="n">
        <x:f>IF(A125="",0,IFERROR(IF(AND(B125&lt;&gt;"",COUNTIF('Calibrare_Linii'!$A$6:$A$19,C125)=1,COUNTIFS(OOSTable[Fixture_ID],A125,OOSTable[Line],C125)=1,ISNUMBER(D125),ISNUMBER(E125),ISNUMBER(F125),F125&lt;D125,D125&lt;E125,ISNUMBER(G125),G125&gt;='Config_v6'!$B$50,G125&lt;=1,ISNUMBER(H125),H125&gt;='Config_v6'!$B$51,H125&lt;=100,ISNUMBER(I125),I125&gt;=0,I125&lt;='Config_v6'!$B$53,ISNUMBER(J125),J125&gt;=0,J125&lt;='Config_v6'!$B$52,K125="NO",L125=12,M125="PASS",ISNUMBER(N125),N125&gt;=0,MOD(N125,1)=0,O125&lt;&gt;"",ISNUMBER(P125),P125&gt;E125,Q125&lt;&gt;"",R125&lt;&gt;"",S125="LIVE"),1,0),0))</x:f>
        <x:v>0</x:v>
      </x:c>
      <x:c r="U125" s="2" t="n">
        <x:f>IF(T125&lt;&gt;1,0,IF(LEFT(C125,1)="O",IF(N125&gt;INDEX('Calibrare_Linii'!$C$6:$C$19,MATCH(C125,'Calibrare_Linii'!$A$6:$A$19,0)),1,0),IF(N125&lt;=INDEX('Calibrare_Linii'!$C$6:$C$19,MATCH(C125,'Calibrare_Linii'!$A$6:$A$19,0)),1,0)))</x:f>
        <x:v>0</x:v>
      </x:c>
    </x:row>
    <x:row r="126" ht="21" customHeight="1">
      <x:c r="A126" s="7"/>
      <x:c r="B126" s="7"/>
      <x:c r="C126" s="7"/>
      <x:c r="D126" s="8"/>
      <x:c r="E126" s="8"/>
      <x:c r="F126" s="8"/>
      <x:c r="G126" s="12"/>
      <x:c r="H126" s="7"/>
      <x:c r="I126" s="7"/>
      <x:c r="J126" s="7"/>
      <x:c r="K126" s="7"/>
      <x:c r="L126" s="7"/>
      <x:c r="M126" s="7"/>
      <x:c r="N126" s="7"/>
      <x:c r="O126" s="7"/>
      <x:c r="P126" s="8"/>
      <x:c r="Q126" s="7"/>
      <x:c r="R126" s="7"/>
      <x:c r="S126" s="7"/>
      <x:c r="T126" s="2" t="n">
        <x:f>IF(A126="",0,IFERROR(IF(AND(B126&lt;&gt;"",COUNTIF('Calibrare_Linii'!$A$6:$A$19,C126)=1,COUNTIFS(OOSTable[Fixture_ID],A126,OOSTable[Line],C126)=1,ISNUMBER(D126),ISNUMBER(E126),ISNUMBER(F126),F126&lt;D126,D126&lt;E126,ISNUMBER(G126),G126&gt;='Config_v6'!$B$50,G126&lt;=1,ISNUMBER(H126),H126&gt;='Config_v6'!$B$51,H126&lt;=100,ISNUMBER(I126),I126&gt;=0,I126&lt;='Config_v6'!$B$53,ISNUMBER(J126),J126&gt;=0,J126&lt;='Config_v6'!$B$52,K126="NO",L126=12,M126="PASS",ISNUMBER(N126),N126&gt;=0,MOD(N126,1)=0,O126&lt;&gt;"",ISNUMBER(P126),P126&gt;E126,Q126&lt;&gt;"",R126&lt;&gt;"",S126="LIVE"),1,0),0))</x:f>
        <x:v>0</x:v>
      </x:c>
      <x:c r="U126" s="2" t="n">
        <x:f>IF(T126&lt;&gt;1,0,IF(LEFT(C126,1)="O",IF(N126&gt;INDEX('Calibrare_Linii'!$C$6:$C$19,MATCH(C126,'Calibrare_Linii'!$A$6:$A$19,0)),1,0),IF(N126&lt;=INDEX('Calibrare_Linii'!$C$6:$C$19,MATCH(C126,'Calibrare_Linii'!$A$6:$A$19,0)),1,0)))</x:f>
        <x:v>0</x:v>
      </x:c>
    </x:row>
    <x:row r="127" ht="21" customHeight="1">
      <x:c r="A127" s="7"/>
      <x:c r="B127" s="7"/>
      <x:c r="C127" s="7"/>
      <x:c r="D127" s="8"/>
      <x:c r="E127" s="8"/>
      <x:c r="F127" s="8"/>
      <x:c r="G127" s="12"/>
      <x:c r="H127" s="7"/>
      <x:c r="I127" s="7"/>
      <x:c r="J127" s="7"/>
      <x:c r="K127" s="7"/>
      <x:c r="L127" s="7"/>
      <x:c r="M127" s="7"/>
      <x:c r="N127" s="7"/>
      <x:c r="O127" s="7"/>
      <x:c r="P127" s="8"/>
      <x:c r="Q127" s="7"/>
      <x:c r="R127" s="7"/>
      <x:c r="S127" s="7"/>
      <x:c r="T127" s="2" t="n">
        <x:f>IF(A127="",0,IFERROR(IF(AND(B127&lt;&gt;"",COUNTIF('Calibrare_Linii'!$A$6:$A$19,C127)=1,COUNTIFS(OOSTable[Fixture_ID],A127,OOSTable[Line],C127)=1,ISNUMBER(D127),ISNUMBER(E127),ISNUMBER(F127),F127&lt;D127,D127&lt;E127,ISNUMBER(G127),G127&gt;='Config_v6'!$B$50,G127&lt;=1,ISNUMBER(H127),H127&gt;='Config_v6'!$B$51,H127&lt;=100,ISNUMBER(I127),I127&gt;=0,I127&lt;='Config_v6'!$B$53,ISNUMBER(J127),J127&gt;=0,J127&lt;='Config_v6'!$B$52,K127="NO",L127=12,M127="PASS",ISNUMBER(N127),N127&gt;=0,MOD(N127,1)=0,O127&lt;&gt;"",ISNUMBER(P127),P127&gt;E127,Q127&lt;&gt;"",R127&lt;&gt;"",S127="LIVE"),1,0),0))</x:f>
        <x:v>0</x:v>
      </x:c>
      <x:c r="U127" s="2" t="n">
        <x:f>IF(T127&lt;&gt;1,0,IF(LEFT(C127,1)="O",IF(N127&gt;INDEX('Calibrare_Linii'!$C$6:$C$19,MATCH(C127,'Calibrare_Linii'!$A$6:$A$19,0)),1,0),IF(N127&lt;=INDEX('Calibrare_Linii'!$C$6:$C$19,MATCH(C127,'Calibrare_Linii'!$A$6:$A$19,0)),1,0)))</x:f>
        <x:v>0</x:v>
      </x:c>
    </x:row>
    <x:row r="128" ht="21" customHeight="1">
      <x:c r="A128" s="7"/>
      <x:c r="B128" s="7"/>
      <x:c r="C128" s="7"/>
      <x:c r="D128" s="8"/>
      <x:c r="E128" s="8"/>
      <x:c r="F128" s="8"/>
      <x:c r="G128" s="12"/>
      <x:c r="H128" s="7"/>
      <x:c r="I128" s="7"/>
      <x:c r="J128" s="7"/>
      <x:c r="K128" s="7"/>
      <x:c r="L128" s="7"/>
      <x:c r="M128" s="7"/>
      <x:c r="N128" s="7"/>
      <x:c r="O128" s="7"/>
      <x:c r="P128" s="8"/>
      <x:c r="Q128" s="7"/>
      <x:c r="R128" s="7"/>
      <x:c r="S128" s="7"/>
      <x:c r="T128" s="2" t="n">
        <x:f>IF(A128="",0,IFERROR(IF(AND(B128&lt;&gt;"",COUNTIF('Calibrare_Linii'!$A$6:$A$19,C128)=1,COUNTIFS(OOSTable[Fixture_ID],A128,OOSTable[Line],C128)=1,ISNUMBER(D128),ISNUMBER(E128),ISNUMBER(F128),F128&lt;D128,D128&lt;E128,ISNUMBER(G128),G128&gt;='Config_v6'!$B$50,G128&lt;=1,ISNUMBER(H128),H128&gt;='Config_v6'!$B$51,H128&lt;=100,ISNUMBER(I128),I128&gt;=0,I128&lt;='Config_v6'!$B$53,ISNUMBER(J128),J128&gt;=0,J128&lt;='Config_v6'!$B$52,K128="NO",L128=12,M128="PASS",ISNUMBER(N128),N128&gt;=0,MOD(N128,1)=0,O128&lt;&gt;"",ISNUMBER(P128),P128&gt;E128,Q128&lt;&gt;"",R128&lt;&gt;"",S128="LIVE"),1,0),0))</x:f>
        <x:v>0</x:v>
      </x:c>
      <x:c r="U128" s="2" t="n">
        <x:f>IF(T128&lt;&gt;1,0,IF(LEFT(C128,1)="O",IF(N128&gt;INDEX('Calibrare_Linii'!$C$6:$C$19,MATCH(C128,'Calibrare_Linii'!$A$6:$A$19,0)),1,0),IF(N128&lt;=INDEX('Calibrare_Linii'!$C$6:$C$19,MATCH(C128,'Calibrare_Linii'!$A$6:$A$19,0)),1,0)))</x:f>
        <x:v>0</x:v>
      </x:c>
    </x:row>
    <x:row r="129" ht="21" customHeight="1">
      <x:c r="A129" s="7"/>
      <x:c r="B129" s="7"/>
      <x:c r="C129" s="7"/>
      <x:c r="D129" s="8"/>
      <x:c r="E129" s="8"/>
      <x:c r="F129" s="8"/>
      <x:c r="G129" s="12"/>
      <x:c r="H129" s="7"/>
      <x:c r="I129" s="7"/>
      <x:c r="J129" s="7"/>
      <x:c r="K129" s="7"/>
      <x:c r="L129" s="7"/>
      <x:c r="M129" s="7"/>
      <x:c r="N129" s="7"/>
      <x:c r="O129" s="7"/>
      <x:c r="P129" s="8"/>
      <x:c r="Q129" s="7"/>
      <x:c r="R129" s="7"/>
      <x:c r="S129" s="7"/>
      <x:c r="T129" s="2" t="n">
        <x:f>IF(A129="",0,IFERROR(IF(AND(B129&lt;&gt;"",COUNTIF('Calibrare_Linii'!$A$6:$A$19,C129)=1,COUNTIFS(OOSTable[Fixture_ID],A129,OOSTable[Line],C129)=1,ISNUMBER(D129),ISNUMBER(E129),ISNUMBER(F129),F129&lt;D129,D129&lt;E129,ISNUMBER(G129),G129&gt;='Config_v6'!$B$50,G129&lt;=1,ISNUMBER(H129),H129&gt;='Config_v6'!$B$51,H129&lt;=100,ISNUMBER(I129),I129&gt;=0,I129&lt;='Config_v6'!$B$53,ISNUMBER(J129),J129&gt;=0,J129&lt;='Config_v6'!$B$52,K129="NO",L129=12,M129="PASS",ISNUMBER(N129),N129&gt;=0,MOD(N129,1)=0,O129&lt;&gt;"",ISNUMBER(P129),P129&gt;E129,Q129&lt;&gt;"",R129&lt;&gt;"",S129="LIVE"),1,0),0))</x:f>
        <x:v>0</x:v>
      </x:c>
      <x:c r="U129" s="2" t="n">
        <x:f>IF(T129&lt;&gt;1,0,IF(LEFT(C129,1)="O",IF(N129&gt;INDEX('Calibrare_Linii'!$C$6:$C$19,MATCH(C129,'Calibrare_Linii'!$A$6:$A$19,0)),1,0),IF(N129&lt;=INDEX('Calibrare_Linii'!$C$6:$C$19,MATCH(C129,'Calibrare_Linii'!$A$6:$A$19,0)),1,0)))</x:f>
        <x:v>0</x:v>
      </x:c>
    </x:row>
    <x:row r="130" ht="21" customHeight="1">
      <x:c r="A130" s="7"/>
      <x:c r="B130" s="7"/>
      <x:c r="C130" s="7"/>
      <x:c r="D130" s="8"/>
      <x:c r="E130" s="8"/>
      <x:c r="F130" s="8"/>
      <x:c r="G130" s="12"/>
      <x:c r="H130" s="7"/>
      <x:c r="I130" s="7"/>
      <x:c r="J130" s="7"/>
      <x:c r="K130" s="7"/>
      <x:c r="L130" s="7"/>
      <x:c r="M130" s="7"/>
      <x:c r="N130" s="7"/>
      <x:c r="O130" s="7"/>
      <x:c r="P130" s="8"/>
      <x:c r="Q130" s="7"/>
      <x:c r="R130" s="7"/>
      <x:c r="S130" s="7"/>
      <x:c r="T130" s="2" t="n">
        <x:f>IF(A130="",0,IFERROR(IF(AND(B130&lt;&gt;"",COUNTIF('Calibrare_Linii'!$A$6:$A$19,C130)=1,COUNTIFS(OOSTable[Fixture_ID],A130,OOSTable[Line],C130)=1,ISNUMBER(D130),ISNUMBER(E130),ISNUMBER(F130),F130&lt;D130,D130&lt;E130,ISNUMBER(G130),G130&gt;='Config_v6'!$B$50,G130&lt;=1,ISNUMBER(H130),H130&gt;='Config_v6'!$B$51,H130&lt;=100,ISNUMBER(I130),I130&gt;=0,I130&lt;='Config_v6'!$B$53,ISNUMBER(J130),J130&gt;=0,J130&lt;='Config_v6'!$B$52,K130="NO",L130=12,M130="PASS",ISNUMBER(N130),N130&gt;=0,MOD(N130,1)=0,O130&lt;&gt;"",ISNUMBER(P130),P130&gt;E130,Q130&lt;&gt;"",R130&lt;&gt;"",S130="LIVE"),1,0),0))</x:f>
        <x:v>0</x:v>
      </x:c>
      <x:c r="U130" s="2" t="n">
        <x:f>IF(T130&lt;&gt;1,0,IF(LEFT(C130,1)="O",IF(N130&gt;INDEX('Calibrare_Linii'!$C$6:$C$19,MATCH(C130,'Calibrare_Linii'!$A$6:$A$19,0)),1,0),IF(N130&lt;=INDEX('Calibrare_Linii'!$C$6:$C$19,MATCH(C130,'Calibrare_Linii'!$A$6:$A$19,0)),1,0)))</x:f>
        <x:v>0</x:v>
      </x:c>
    </x:row>
    <x:row r="131" ht="21" customHeight="1">
      <x:c r="A131" s="7"/>
      <x:c r="B131" s="7"/>
      <x:c r="C131" s="7"/>
      <x:c r="D131" s="8"/>
      <x:c r="E131" s="8"/>
      <x:c r="F131" s="8"/>
      <x:c r="G131" s="12"/>
      <x:c r="H131" s="7"/>
      <x:c r="I131" s="7"/>
      <x:c r="J131" s="7"/>
      <x:c r="K131" s="7"/>
      <x:c r="L131" s="7"/>
      <x:c r="M131" s="7"/>
      <x:c r="N131" s="7"/>
      <x:c r="O131" s="7"/>
      <x:c r="P131" s="8"/>
      <x:c r="Q131" s="7"/>
      <x:c r="R131" s="7"/>
      <x:c r="S131" s="7"/>
      <x:c r="T131" s="2" t="n">
        <x:f>IF(A131="",0,IFERROR(IF(AND(B131&lt;&gt;"",COUNTIF('Calibrare_Linii'!$A$6:$A$19,C131)=1,COUNTIFS(OOSTable[Fixture_ID],A131,OOSTable[Line],C131)=1,ISNUMBER(D131),ISNUMBER(E131),ISNUMBER(F131),F131&lt;D131,D131&lt;E131,ISNUMBER(G131),G131&gt;='Config_v6'!$B$50,G131&lt;=1,ISNUMBER(H131),H131&gt;='Config_v6'!$B$51,H131&lt;=100,ISNUMBER(I131),I131&gt;=0,I131&lt;='Config_v6'!$B$53,ISNUMBER(J131),J131&gt;=0,J131&lt;='Config_v6'!$B$52,K131="NO",L131=12,M131="PASS",ISNUMBER(N131),N131&gt;=0,MOD(N131,1)=0,O131&lt;&gt;"",ISNUMBER(P131),P131&gt;E131,Q131&lt;&gt;"",R131&lt;&gt;"",S131="LIVE"),1,0),0))</x:f>
        <x:v>0</x:v>
      </x:c>
      <x:c r="U131" s="2" t="n">
        <x:f>IF(T131&lt;&gt;1,0,IF(LEFT(C131,1)="O",IF(N131&gt;INDEX('Calibrare_Linii'!$C$6:$C$19,MATCH(C131,'Calibrare_Linii'!$A$6:$A$19,0)),1,0),IF(N131&lt;=INDEX('Calibrare_Linii'!$C$6:$C$19,MATCH(C131,'Calibrare_Linii'!$A$6:$A$19,0)),1,0)))</x:f>
        <x:v>0</x:v>
      </x:c>
    </x:row>
    <x:row r="132" ht="21" customHeight="1">
      <x:c r="A132" s="7"/>
      <x:c r="B132" s="7"/>
      <x:c r="C132" s="7"/>
      <x:c r="D132" s="8"/>
      <x:c r="E132" s="8"/>
      <x:c r="F132" s="8"/>
      <x:c r="G132" s="12"/>
      <x:c r="H132" s="7"/>
      <x:c r="I132" s="7"/>
      <x:c r="J132" s="7"/>
      <x:c r="K132" s="7"/>
      <x:c r="L132" s="7"/>
      <x:c r="M132" s="7"/>
      <x:c r="N132" s="7"/>
      <x:c r="O132" s="7"/>
      <x:c r="P132" s="8"/>
      <x:c r="Q132" s="7"/>
      <x:c r="R132" s="7"/>
      <x:c r="S132" s="7"/>
      <x:c r="T132" s="2" t="n">
        <x:f>IF(A132="",0,IFERROR(IF(AND(B132&lt;&gt;"",COUNTIF('Calibrare_Linii'!$A$6:$A$19,C132)=1,COUNTIFS(OOSTable[Fixture_ID],A132,OOSTable[Line],C132)=1,ISNUMBER(D132),ISNUMBER(E132),ISNUMBER(F132),F132&lt;D132,D132&lt;E132,ISNUMBER(G132),G132&gt;='Config_v6'!$B$50,G132&lt;=1,ISNUMBER(H132),H132&gt;='Config_v6'!$B$51,H132&lt;=100,ISNUMBER(I132),I132&gt;=0,I132&lt;='Config_v6'!$B$53,ISNUMBER(J132),J132&gt;=0,J132&lt;='Config_v6'!$B$52,K132="NO",L132=12,M132="PASS",ISNUMBER(N132),N132&gt;=0,MOD(N132,1)=0,O132&lt;&gt;"",ISNUMBER(P132),P132&gt;E132,Q132&lt;&gt;"",R132&lt;&gt;"",S132="LIVE"),1,0),0))</x:f>
        <x:v>0</x:v>
      </x:c>
      <x:c r="U132" s="2" t="n">
        <x:f>IF(T132&lt;&gt;1,0,IF(LEFT(C132,1)="O",IF(N132&gt;INDEX('Calibrare_Linii'!$C$6:$C$19,MATCH(C132,'Calibrare_Linii'!$A$6:$A$19,0)),1,0),IF(N132&lt;=INDEX('Calibrare_Linii'!$C$6:$C$19,MATCH(C132,'Calibrare_Linii'!$A$6:$A$19,0)),1,0)))</x:f>
        <x:v>0</x:v>
      </x:c>
    </x:row>
    <x:row r="133" ht="21" customHeight="1">
      <x:c r="A133" s="7"/>
      <x:c r="B133" s="7"/>
      <x:c r="C133" s="7"/>
      <x:c r="D133" s="8"/>
      <x:c r="E133" s="8"/>
      <x:c r="F133" s="8"/>
      <x:c r="G133" s="12"/>
      <x:c r="H133" s="7"/>
      <x:c r="I133" s="7"/>
      <x:c r="J133" s="7"/>
      <x:c r="K133" s="7"/>
      <x:c r="L133" s="7"/>
      <x:c r="M133" s="7"/>
      <x:c r="N133" s="7"/>
      <x:c r="O133" s="7"/>
      <x:c r="P133" s="8"/>
      <x:c r="Q133" s="7"/>
      <x:c r="R133" s="7"/>
      <x:c r="S133" s="7"/>
      <x:c r="T133" s="2" t="n">
        <x:f>IF(A133="",0,IFERROR(IF(AND(B133&lt;&gt;"",COUNTIF('Calibrare_Linii'!$A$6:$A$19,C133)=1,COUNTIFS(OOSTable[Fixture_ID],A133,OOSTable[Line],C133)=1,ISNUMBER(D133),ISNUMBER(E133),ISNUMBER(F133),F133&lt;D133,D133&lt;E133,ISNUMBER(G133),G133&gt;='Config_v6'!$B$50,G133&lt;=1,ISNUMBER(H133),H133&gt;='Config_v6'!$B$51,H133&lt;=100,ISNUMBER(I133),I133&gt;=0,I133&lt;='Config_v6'!$B$53,ISNUMBER(J133),J133&gt;=0,J133&lt;='Config_v6'!$B$52,K133="NO",L133=12,M133="PASS",ISNUMBER(N133),N133&gt;=0,MOD(N133,1)=0,O133&lt;&gt;"",ISNUMBER(P133),P133&gt;E133,Q133&lt;&gt;"",R133&lt;&gt;"",S133="LIVE"),1,0),0))</x:f>
        <x:v>0</x:v>
      </x:c>
      <x:c r="U133" s="2" t="n">
        <x:f>IF(T133&lt;&gt;1,0,IF(LEFT(C133,1)="O",IF(N133&gt;INDEX('Calibrare_Linii'!$C$6:$C$19,MATCH(C133,'Calibrare_Linii'!$A$6:$A$19,0)),1,0),IF(N133&lt;=INDEX('Calibrare_Linii'!$C$6:$C$19,MATCH(C133,'Calibrare_Linii'!$A$6:$A$19,0)),1,0)))</x:f>
        <x:v>0</x:v>
      </x:c>
    </x:row>
    <x:row r="134" ht="21" customHeight="1">
      <x:c r="A134" s="7"/>
      <x:c r="B134" s="7"/>
      <x:c r="C134" s="7"/>
      <x:c r="D134" s="8"/>
      <x:c r="E134" s="8"/>
      <x:c r="F134" s="8"/>
      <x:c r="G134" s="12"/>
      <x:c r="H134" s="7"/>
      <x:c r="I134" s="7"/>
      <x:c r="J134" s="7"/>
      <x:c r="K134" s="7"/>
      <x:c r="L134" s="7"/>
      <x:c r="M134" s="7"/>
      <x:c r="N134" s="7"/>
      <x:c r="O134" s="7"/>
      <x:c r="P134" s="8"/>
      <x:c r="Q134" s="7"/>
      <x:c r="R134" s="7"/>
      <x:c r="S134" s="7"/>
      <x:c r="T134" s="2" t="n">
        <x:f>IF(A134="",0,IFERROR(IF(AND(B134&lt;&gt;"",COUNTIF('Calibrare_Linii'!$A$6:$A$19,C134)=1,COUNTIFS(OOSTable[Fixture_ID],A134,OOSTable[Line],C134)=1,ISNUMBER(D134),ISNUMBER(E134),ISNUMBER(F134),F134&lt;D134,D134&lt;E134,ISNUMBER(G134),G134&gt;='Config_v6'!$B$50,G134&lt;=1,ISNUMBER(H134),H134&gt;='Config_v6'!$B$51,H134&lt;=100,ISNUMBER(I134),I134&gt;=0,I134&lt;='Config_v6'!$B$53,ISNUMBER(J134),J134&gt;=0,J134&lt;='Config_v6'!$B$52,K134="NO",L134=12,M134="PASS",ISNUMBER(N134),N134&gt;=0,MOD(N134,1)=0,O134&lt;&gt;"",ISNUMBER(P134),P134&gt;E134,Q134&lt;&gt;"",R134&lt;&gt;"",S134="LIVE"),1,0),0))</x:f>
        <x:v>0</x:v>
      </x:c>
      <x:c r="U134" s="2" t="n">
        <x:f>IF(T134&lt;&gt;1,0,IF(LEFT(C134,1)="O",IF(N134&gt;INDEX('Calibrare_Linii'!$C$6:$C$19,MATCH(C134,'Calibrare_Linii'!$A$6:$A$19,0)),1,0),IF(N134&lt;=INDEX('Calibrare_Linii'!$C$6:$C$19,MATCH(C134,'Calibrare_Linii'!$A$6:$A$19,0)),1,0)))</x:f>
        <x:v>0</x:v>
      </x:c>
    </x:row>
    <x:row r="135" ht="21" customHeight="1">
      <x:c r="A135" s="7"/>
      <x:c r="B135" s="7"/>
      <x:c r="C135" s="7"/>
      <x:c r="D135" s="8"/>
      <x:c r="E135" s="8"/>
      <x:c r="F135" s="8"/>
      <x:c r="G135" s="12"/>
      <x:c r="H135" s="7"/>
      <x:c r="I135" s="7"/>
      <x:c r="J135" s="7"/>
      <x:c r="K135" s="7"/>
      <x:c r="L135" s="7"/>
      <x:c r="M135" s="7"/>
      <x:c r="N135" s="7"/>
      <x:c r="O135" s="7"/>
      <x:c r="P135" s="8"/>
      <x:c r="Q135" s="7"/>
      <x:c r="R135" s="7"/>
      <x:c r="S135" s="7"/>
      <x:c r="T135" s="2" t="n">
        <x:f>IF(A135="",0,IFERROR(IF(AND(B135&lt;&gt;"",COUNTIF('Calibrare_Linii'!$A$6:$A$19,C135)=1,COUNTIFS(OOSTable[Fixture_ID],A135,OOSTable[Line],C135)=1,ISNUMBER(D135),ISNUMBER(E135),ISNUMBER(F135),F135&lt;D135,D135&lt;E135,ISNUMBER(G135),G135&gt;='Config_v6'!$B$50,G135&lt;=1,ISNUMBER(H135),H135&gt;='Config_v6'!$B$51,H135&lt;=100,ISNUMBER(I135),I135&gt;=0,I135&lt;='Config_v6'!$B$53,ISNUMBER(J135),J135&gt;=0,J135&lt;='Config_v6'!$B$52,K135="NO",L135=12,M135="PASS",ISNUMBER(N135),N135&gt;=0,MOD(N135,1)=0,O135&lt;&gt;"",ISNUMBER(P135),P135&gt;E135,Q135&lt;&gt;"",R135&lt;&gt;"",S135="LIVE"),1,0),0))</x:f>
        <x:v>0</x:v>
      </x:c>
      <x:c r="U135" s="2" t="n">
        <x:f>IF(T135&lt;&gt;1,0,IF(LEFT(C135,1)="O",IF(N135&gt;INDEX('Calibrare_Linii'!$C$6:$C$19,MATCH(C135,'Calibrare_Linii'!$A$6:$A$19,0)),1,0),IF(N135&lt;=INDEX('Calibrare_Linii'!$C$6:$C$19,MATCH(C135,'Calibrare_Linii'!$A$6:$A$19,0)),1,0)))</x:f>
        <x:v>0</x:v>
      </x:c>
    </x:row>
    <x:row r="136" ht="21" customHeight="1">
      <x:c r="A136" s="7"/>
      <x:c r="B136" s="7"/>
      <x:c r="C136" s="7"/>
      <x:c r="D136" s="8"/>
      <x:c r="E136" s="8"/>
      <x:c r="F136" s="8"/>
      <x:c r="G136" s="12"/>
      <x:c r="H136" s="7"/>
      <x:c r="I136" s="7"/>
      <x:c r="J136" s="7"/>
      <x:c r="K136" s="7"/>
      <x:c r="L136" s="7"/>
      <x:c r="M136" s="7"/>
      <x:c r="N136" s="7"/>
      <x:c r="O136" s="7"/>
      <x:c r="P136" s="8"/>
      <x:c r="Q136" s="7"/>
      <x:c r="R136" s="7"/>
      <x:c r="S136" s="7"/>
      <x:c r="T136" s="2" t="n">
        <x:f>IF(A136="",0,IFERROR(IF(AND(B136&lt;&gt;"",COUNTIF('Calibrare_Linii'!$A$6:$A$19,C136)=1,COUNTIFS(OOSTable[Fixture_ID],A136,OOSTable[Line],C136)=1,ISNUMBER(D136),ISNUMBER(E136),ISNUMBER(F136),F136&lt;D136,D136&lt;E136,ISNUMBER(G136),G136&gt;='Config_v6'!$B$50,G136&lt;=1,ISNUMBER(H136),H136&gt;='Config_v6'!$B$51,H136&lt;=100,ISNUMBER(I136),I136&gt;=0,I136&lt;='Config_v6'!$B$53,ISNUMBER(J136),J136&gt;=0,J136&lt;='Config_v6'!$B$52,K136="NO",L136=12,M136="PASS",ISNUMBER(N136),N136&gt;=0,MOD(N136,1)=0,O136&lt;&gt;"",ISNUMBER(P136),P136&gt;E136,Q136&lt;&gt;"",R136&lt;&gt;"",S136="LIVE"),1,0),0))</x:f>
        <x:v>0</x:v>
      </x:c>
      <x:c r="U136" s="2" t="n">
        <x:f>IF(T136&lt;&gt;1,0,IF(LEFT(C136,1)="O",IF(N136&gt;INDEX('Calibrare_Linii'!$C$6:$C$19,MATCH(C136,'Calibrare_Linii'!$A$6:$A$19,0)),1,0),IF(N136&lt;=INDEX('Calibrare_Linii'!$C$6:$C$19,MATCH(C136,'Calibrare_Linii'!$A$6:$A$19,0)),1,0)))</x:f>
        <x:v>0</x:v>
      </x:c>
    </x:row>
    <x:row r="137" ht="21" customHeight="1">
      <x:c r="A137" s="7"/>
      <x:c r="B137" s="7"/>
      <x:c r="C137" s="7"/>
      <x:c r="D137" s="8"/>
      <x:c r="E137" s="8"/>
      <x:c r="F137" s="8"/>
      <x:c r="G137" s="12"/>
      <x:c r="H137" s="7"/>
      <x:c r="I137" s="7"/>
      <x:c r="J137" s="7"/>
      <x:c r="K137" s="7"/>
      <x:c r="L137" s="7"/>
      <x:c r="M137" s="7"/>
      <x:c r="N137" s="7"/>
      <x:c r="O137" s="7"/>
      <x:c r="P137" s="8"/>
      <x:c r="Q137" s="7"/>
      <x:c r="R137" s="7"/>
      <x:c r="S137" s="7"/>
      <x:c r="T137" s="2" t="n">
        <x:f>IF(A137="",0,IFERROR(IF(AND(B137&lt;&gt;"",COUNTIF('Calibrare_Linii'!$A$6:$A$19,C137)=1,COUNTIFS(OOSTable[Fixture_ID],A137,OOSTable[Line],C137)=1,ISNUMBER(D137),ISNUMBER(E137),ISNUMBER(F137),F137&lt;D137,D137&lt;E137,ISNUMBER(G137),G137&gt;='Config_v6'!$B$50,G137&lt;=1,ISNUMBER(H137),H137&gt;='Config_v6'!$B$51,H137&lt;=100,ISNUMBER(I137),I137&gt;=0,I137&lt;='Config_v6'!$B$53,ISNUMBER(J137),J137&gt;=0,J137&lt;='Config_v6'!$B$52,K137="NO",L137=12,M137="PASS",ISNUMBER(N137),N137&gt;=0,MOD(N137,1)=0,O137&lt;&gt;"",ISNUMBER(P137),P137&gt;E137,Q137&lt;&gt;"",R137&lt;&gt;"",S137="LIVE"),1,0),0))</x:f>
        <x:v>0</x:v>
      </x:c>
      <x:c r="U137" s="2" t="n">
        <x:f>IF(T137&lt;&gt;1,0,IF(LEFT(C137,1)="O",IF(N137&gt;INDEX('Calibrare_Linii'!$C$6:$C$19,MATCH(C137,'Calibrare_Linii'!$A$6:$A$19,0)),1,0),IF(N137&lt;=INDEX('Calibrare_Linii'!$C$6:$C$19,MATCH(C137,'Calibrare_Linii'!$A$6:$A$19,0)),1,0)))</x:f>
        <x:v>0</x:v>
      </x:c>
    </x:row>
    <x:row r="138" ht="21" customHeight="1">
      <x:c r="A138" s="7"/>
      <x:c r="B138" s="7"/>
      <x:c r="C138" s="7"/>
      <x:c r="D138" s="8"/>
      <x:c r="E138" s="8"/>
      <x:c r="F138" s="8"/>
      <x:c r="G138" s="12"/>
      <x:c r="H138" s="7"/>
      <x:c r="I138" s="7"/>
      <x:c r="J138" s="7"/>
      <x:c r="K138" s="7"/>
      <x:c r="L138" s="7"/>
      <x:c r="M138" s="7"/>
      <x:c r="N138" s="7"/>
      <x:c r="O138" s="7"/>
      <x:c r="P138" s="8"/>
      <x:c r="Q138" s="7"/>
      <x:c r="R138" s="7"/>
      <x:c r="S138" s="7"/>
      <x:c r="T138" s="2" t="n">
        <x:f>IF(A138="",0,IFERROR(IF(AND(B138&lt;&gt;"",COUNTIF('Calibrare_Linii'!$A$6:$A$19,C138)=1,COUNTIFS(OOSTable[Fixture_ID],A138,OOSTable[Line],C138)=1,ISNUMBER(D138),ISNUMBER(E138),ISNUMBER(F138),F138&lt;D138,D138&lt;E138,ISNUMBER(G138),G138&gt;='Config_v6'!$B$50,G138&lt;=1,ISNUMBER(H138),H138&gt;='Config_v6'!$B$51,H138&lt;=100,ISNUMBER(I138),I138&gt;=0,I138&lt;='Config_v6'!$B$53,ISNUMBER(J138),J138&gt;=0,J138&lt;='Config_v6'!$B$52,K138="NO",L138=12,M138="PASS",ISNUMBER(N138),N138&gt;=0,MOD(N138,1)=0,O138&lt;&gt;"",ISNUMBER(P138),P138&gt;E138,Q138&lt;&gt;"",R138&lt;&gt;"",S138="LIVE"),1,0),0))</x:f>
        <x:v>0</x:v>
      </x:c>
      <x:c r="U138" s="2" t="n">
        <x:f>IF(T138&lt;&gt;1,0,IF(LEFT(C138,1)="O",IF(N138&gt;INDEX('Calibrare_Linii'!$C$6:$C$19,MATCH(C138,'Calibrare_Linii'!$A$6:$A$19,0)),1,0),IF(N138&lt;=INDEX('Calibrare_Linii'!$C$6:$C$19,MATCH(C138,'Calibrare_Linii'!$A$6:$A$19,0)),1,0)))</x:f>
        <x:v>0</x:v>
      </x:c>
    </x:row>
    <x:row r="139" ht="21" customHeight="1">
      <x:c r="A139" s="7"/>
      <x:c r="B139" s="7"/>
      <x:c r="C139" s="7"/>
      <x:c r="D139" s="8"/>
      <x:c r="E139" s="8"/>
      <x:c r="F139" s="8"/>
      <x:c r="G139" s="12"/>
      <x:c r="H139" s="7"/>
      <x:c r="I139" s="7"/>
      <x:c r="J139" s="7"/>
      <x:c r="K139" s="7"/>
      <x:c r="L139" s="7"/>
      <x:c r="M139" s="7"/>
      <x:c r="N139" s="7"/>
      <x:c r="O139" s="7"/>
      <x:c r="P139" s="8"/>
      <x:c r="Q139" s="7"/>
      <x:c r="R139" s="7"/>
      <x:c r="S139" s="7"/>
      <x:c r="T139" s="2" t="n">
        <x:f>IF(A139="",0,IFERROR(IF(AND(B139&lt;&gt;"",COUNTIF('Calibrare_Linii'!$A$6:$A$19,C139)=1,COUNTIFS(OOSTable[Fixture_ID],A139,OOSTable[Line],C139)=1,ISNUMBER(D139),ISNUMBER(E139),ISNUMBER(F139),F139&lt;D139,D139&lt;E139,ISNUMBER(G139),G139&gt;='Config_v6'!$B$50,G139&lt;=1,ISNUMBER(H139),H139&gt;='Config_v6'!$B$51,H139&lt;=100,ISNUMBER(I139),I139&gt;=0,I139&lt;='Config_v6'!$B$53,ISNUMBER(J139),J139&gt;=0,J139&lt;='Config_v6'!$B$52,K139="NO",L139=12,M139="PASS",ISNUMBER(N139),N139&gt;=0,MOD(N139,1)=0,O139&lt;&gt;"",ISNUMBER(P139),P139&gt;E139,Q139&lt;&gt;"",R139&lt;&gt;"",S139="LIVE"),1,0),0))</x:f>
        <x:v>0</x:v>
      </x:c>
      <x:c r="U139" s="2" t="n">
        <x:f>IF(T139&lt;&gt;1,0,IF(LEFT(C139,1)="O",IF(N139&gt;INDEX('Calibrare_Linii'!$C$6:$C$19,MATCH(C139,'Calibrare_Linii'!$A$6:$A$19,0)),1,0),IF(N139&lt;=INDEX('Calibrare_Linii'!$C$6:$C$19,MATCH(C139,'Calibrare_Linii'!$A$6:$A$19,0)),1,0)))</x:f>
        <x:v>0</x:v>
      </x:c>
    </x:row>
    <x:row r="140" ht="21" customHeight="1">
      <x:c r="A140" s="7"/>
      <x:c r="B140" s="7"/>
      <x:c r="C140" s="7"/>
      <x:c r="D140" s="8"/>
      <x:c r="E140" s="8"/>
      <x:c r="F140" s="8"/>
      <x:c r="G140" s="12"/>
      <x:c r="H140" s="7"/>
      <x:c r="I140" s="7"/>
      <x:c r="J140" s="7"/>
      <x:c r="K140" s="7"/>
      <x:c r="L140" s="7"/>
      <x:c r="M140" s="7"/>
      <x:c r="N140" s="7"/>
      <x:c r="O140" s="7"/>
      <x:c r="P140" s="8"/>
      <x:c r="Q140" s="7"/>
      <x:c r="R140" s="7"/>
      <x:c r="S140" s="7"/>
      <x:c r="T140" s="2" t="n">
        <x:f>IF(A140="",0,IFERROR(IF(AND(B140&lt;&gt;"",COUNTIF('Calibrare_Linii'!$A$6:$A$19,C140)=1,COUNTIFS(OOSTable[Fixture_ID],A140,OOSTable[Line],C140)=1,ISNUMBER(D140),ISNUMBER(E140),ISNUMBER(F140),F140&lt;D140,D140&lt;E140,ISNUMBER(G140),G140&gt;='Config_v6'!$B$50,G140&lt;=1,ISNUMBER(H140),H140&gt;='Config_v6'!$B$51,H140&lt;=100,ISNUMBER(I140),I140&gt;=0,I140&lt;='Config_v6'!$B$53,ISNUMBER(J140),J140&gt;=0,J140&lt;='Config_v6'!$B$52,K140="NO",L140=12,M140="PASS",ISNUMBER(N140),N140&gt;=0,MOD(N140,1)=0,O140&lt;&gt;"",ISNUMBER(P140),P140&gt;E140,Q140&lt;&gt;"",R140&lt;&gt;"",S140="LIVE"),1,0),0))</x:f>
        <x:v>0</x:v>
      </x:c>
      <x:c r="U140" s="2" t="n">
        <x:f>IF(T140&lt;&gt;1,0,IF(LEFT(C140,1)="O",IF(N140&gt;INDEX('Calibrare_Linii'!$C$6:$C$19,MATCH(C140,'Calibrare_Linii'!$A$6:$A$19,0)),1,0),IF(N140&lt;=INDEX('Calibrare_Linii'!$C$6:$C$19,MATCH(C140,'Calibrare_Linii'!$A$6:$A$19,0)),1,0)))</x:f>
        <x:v>0</x:v>
      </x:c>
    </x:row>
    <x:row r="141" ht="21" customHeight="1">
      <x:c r="A141" s="7"/>
      <x:c r="B141" s="7"/>
      <x:c r="C141" s="7"/>
      <x:c r="D141" s="8"/>
      <x:c r="E141" s="8"/>
      <x:c r="F141" s="8"/>
      <x:c r="G141" s="12"/>
      <x:c r="H141" s="7"/>
      <x:c r="I141" s="7"/>
      <x:c r="J141" s="7"/>
      <x:c r="K141" s="7"/>
      <x:c r="L141" s="7"/>
      <x:c r="M141" s="7"/>
      <x:c r="N141" s="7"/>
      <x:c r="O141" s="7"/>
      <x:c r="P141" s="8"/>
      <x:c r="Q141" s="7"/>
      <x:c r="R141" s="7"/>
      <x:c r="S141" s="7"/>
      <x:c r="T141" s="2" t="n">
        <x:f>IF(A141="",0,IFERROR(IF(AND(B141&lt;&gt;"",COUNTIF('Calibrare_Linii'!$A$6:$A$19,C141)=1,COUNTIFS(OOSTable[Fixture_ID],A141,OOSTable[Line],C141)=1,ISNUMBER(D141),ISNUMBER(E141),ISNUMBER(F141),F141&lt;D141,D141&lt;E141,ISNUMBER(G141),G141&gt;='Config_v6'!$B$50,G141&lt;=1,ISNUMBER(H141),H141&gt;='Config_v6'!$B$51,H141&lt;=100,ISNUMBER(I141),I141&gt;=0,I141&lt;='Config_v6'!$B$53,ISNUMBER(J141),J141&gt;=0,J141&lt;='Config_v6'!$B$52,K141="NO",L141=12,M141="PASS",ISNUMBER(N141),N141&gt;=0,MOD(N141,1)=0,O141&lt;&gt;"",ISNUMBER(P141),P141&gt;E141,Q141&lt;&gt;"",R141&lt;&gt;"",S141="LIVE"),1,0),0))</x:f>
        <x:v>0</x:v>
      </x:c>
      <x:c r="U141" s="2" t="n">
        <x:f>IF(T141&lt;&gt;1,0,IF(LEFT(C141,1)="O",IF(N141&gt;INDEX('Calibrare_Linii'!$C$6:$C$19,MATCH(C141,'Calibrare_Linii'!$A$6:$A$19,0)),1,0),IF(N141&lt;=INDEX('Calibrare_Linii'!$C$6:$C$19,MATCH(C141,'Calibrare_Linii'!$A$6:$A$19,0)),1,0)))</x:f>
        <x:v>0</x:v>
      </x:c>
    </x:row>
    <x:row r="142" ht="21" customHeight="1">
      <x:c r="A142" s="7"/>
      <x:c r="B142" s="7"/>
      <x:c r="C142" s="7"/>
      <x:c r="D142" s="8"/>
      <x:c r="E142" s="8"/>
      <x:c r="F142" s="8"/>
      <x:c r="G142" s="12"/>
      <x:c r="H142" s="7"/>
      <x:c r="I142" s="7"/>
      <x:c r="J142" s="7"/>
      <x:c r="K142" s="7"/>
      <x:c r="L142" s="7"/>
      <x:c r="M142" s="7"/>
      <x:c r="N142" s="7"/>
      <x:c r="O142" s="7"/>
      <x:c r="P142" s="8"/>
      <x:c r="Q142" s="7"/>
      <x:c r="R142" s="7"/>
      <x:c r="S142" s="7"/>
      <x:c r="T142" s="2" t="n">
        <x:f>IF(A142="",0,IFERROR(IF(AND(B142&lt;&gt;"",COUNTIF('Calibrare_Linii'!$A$6:$A$19,C142)=1,COUNTIFS(OOSTable[Fixture_ID],A142,OOSTable[Line],C142)=1,ISNUMBER(D142),ISNUMBER(E142),ISNUMBER(F142),F142&lt;D142,D142&lt;E142,ISNUMBER(G142),G142&gt;='Config_v6'!$B$50,G142&lt;=1,ISNUMBER(H142),H142&gt;='Config_v6'!$B$51,H142&lt;=100,ISNUMBER(I142),I142&gt;=0,I142&lt;='Config_v6'!$B$53,ISNUMBER(J142),J142&gt;=0,J142&lt;='Config_v6'!$B$52,K142="NO",L142=12,M142="PASS",ISNUMBER(N142),N142&gt;=0,MOD(N142,1)=0,O142&lt;&gt;"",ISNUMBER(P142),P142&gt;E142,Q142&lt;&gt;"",R142&lt;&gt;"",S142="LIVE"),1,0),0))</x:f>
        <x:v>0</x:v>
      </x:c>
      <x:c r="U142" s="2" t="n">
        <x:f>IF(T142&lt;&gt;1,0,IF(LEFT(C142,1)="O",IF(N142&gt;INDEX('Calibrare_Linii'!$C$6:$C$19,MATCH(C142,'Calibrare_Linii'!$A$6:$A$19,0)),1,0),IF(N142&lt;=INDEX('Calibrare_Linii'!$C$6:$C$19,MATCH(C142,'Calibrare_Linii'!$A$6:$A$19,0)),1,0)))</x:f>
        <x:v>0</x:v>
      </x:c>
    </x:row>
    <x:row r="143" ht="21" customHeight="1">
      <x:c r="A143" s="7"/>
      <x:c r="B143" s="7"/>
      <x:c r="C143" s="7"/>
      <x:c r="D143" s="8"/>
      <x:c r="E143" s="8"/>
      <x:c r="F143" s="8"/>
      <x:c r="G143" s="12"/>
      <x:c r="H143" s="7"/>
      <x:c r="I143" s="7"/>
      <x:c r="J143" s="7"/>
      <x:c r="K143" s="7"/>
      <x:c r="L143" s="7"/>
      <x:c r="M143" s="7"/>
      <x:c r="N143" s="7"/>
      <x:c r="O143" s="7"/>
      <x:c r="P143" s="8"/>
      <x:c r="Q143" s="7"/>
      <x:c r="R143" s="7"/>
      <x:c r="S143" s="7"/>
      <x:c r="T143" s="2" t="n">
        <x:f>IF(A143="",0,IFERROR(IF(AND(B143&lt;&gt;"",COUNTIF('Calibrare_Linii'!$A$6:$A$19,C143)=1,COUNTIFS(OOSTable[Fixture_ID],A143,OOSTable[Line],C143)=1,ISNUMBER(D143),ISNUMBER(E143),ISNUMBER(F143),F143&lt;D143,D143&lt;E143,ISNUMBER(G143),G143&gt;='Config_v6'!$B$50,G143&lt;=1,ISNUMBER(H143),H143&gt;='Config_v6'!$B$51,H143&lt;=100,ISNUMBER(I143),I143&gt;=0,I143&lt;='Config_v6'!$B$53,ISNUMBER(J143),J143&gt;=0,J143&lt;='Config_v6'!$B$52,K143="NO",L143=12,M143="PASS",ISNUMBER(N143),N143&gt;=0,MOD(N143,1)=0,O143&lt;&gt;"",ISNUMBER(P143),P143&gt;E143,Q143&lt;&gt;"",R143&lt;&gt;"",S143="LIVE"),1,0),0))</x:f>
        <x:v>0</x:v>
      </x:c>
      <x:c r="U143" s="2" t="n">
        <x:f>IF(T143&lt;&gt;1,0,IF(LEFT(C143,1)="O",IF(N143&gt;INDEX('Calibrare_Linii'!$C$6:$C$19,MATCH(C143,'Calibrare_Linii'!$A$6:$A$19,0)),1,0),IF(N143&lt;=INDEX('Calibrare_Linii'!$C$6:$C$19,MATCH(C143,'Calibrare_Linii'!$A$6:$A$19,0)),1,0)))</x:f>
        <x:v>0</x:v>
      </x:c>
    </x:row>
    <x:row r="144" ht="21" customHeight="1">
      <x:c r="A144" s="7"/>
      <x:c r="B144" s="7"/>
      <x:c r="C144" s="7"/>
      <x:c r="D144" s="8"/>
      <x:c r="E144" s="8"/>
      <x:c r="F144" s="8"/>
      <x:c r="G144" s="12"/>
      <x:c r="H144" s="7"/>
      <x:c r="I144" s="7"/>
      <x:c r="J144" s="7"/>
      <x:c r="K144" s="7"/>
      <x:c r="L144" s="7"/>
      <x:c r="M144" s="7"/>
      <x:c r="N144" s="7"/>
      <x:c r="O144" s="7"/>
      <x:c r="P144" s="8"/>
      <x:c r="Q144" s="7"/>
      <x:c r="R144" s="7"/>
      <x:c r="S144" s="7"/>
      <x:c r="T144" s="2" t="n">
        <x:f>IF(A144="",0,IFERROR(IF(AND(B144&lt;&gt;"",COUNTIF('Calibrare_Linii'!$A$6:$A$19,C144)=1,COUNTIFS(OOSTable[Fixture_ID],A144,OOSTable[Line],C144)=1,ISNUMBER(D144),ISNUMBER(E144),ISNUMBER(F144),F144&lt;D144,D144&lt;E144,ISNUMBER(G144),G144&gt;='Config_v6'!$B$50,G144&lt;=1,ISNUMBER(H144),H144&gt;='Config_v6'!$B$51,H144&lt;=100,ISNUMBER(I144),I144&gt;=0,I144&lt;='Config_v6'!$B$53,ISNUMBER(J144),J144&gt;=0,J144&lt;='Config_v6'!$B$52,K144="NO",L144=12,M144="PASS",ISNUMBER(N144),N144&gt;=0,MOD(N144,1)=0,O144&lt;&gt;"",ISNUMBER(P144),P144&gt;E144,Q144&lt;&gt;"",R144&lt;&gt;"",S144="LIVE"),1,0),0))</x:f>
        <x:v>0</x:v>
      </x:c>
      <x:c r="U144" s="2" t="n">
        <x:f>IF(T144&lt;&gt;1,0,IF(LEFT(C144,1)="O",IF(N144&gt;INDEX('Calibrare_Linii'!$C$6:$C$19,MATCH(C144,'Calibrare_Linii'!$A$6:$A$19,0)),1,0),IF(N144&lt;=INDEX('Calibrare_Linii'!$C$6:$C$19,MATCH(C144,'Calibrare_Linii'!$A$6:$A$19,0)),1,0)))</x:f>
        <x:v>0</x:v>
      </x:c>
    </x:row>
    <x:row r="145" ht="21" customHeight="1">
      <x:c r="A145" s="7"/>
      <x:c r="B145" s="7"/>
      <x:c r="C145" s="7"/>
      <x:c r="D145" s="8"/>
      <x:c r="E145" s="8"/>
      <x:c r="F145" s="8"/>
      <x:c r="G145" s="12"/>
      <x:c r="H145" s="7"/>
      <x:c r="I145" s="7"/>
      <x:c r="J145" s="7"/>
      <x:c r="K145" s="7"/>
      <x:c r="L145" s="7"/>
      <x:c r="M145" s="7"/>
      <x:c r="N145" s="7"/>
      <x:c r="O145" s="7"/>
      <x:c r="P145" s="8"/>
      <x:c r="Q145" s="7"/>
      <x:c r="R145" s="7"/>
      <x:c r="S145" s="7"/>
      <x:c r="T145" s="2" t="n">
        <x:f>IF(A145="",0,IFERROR(IF(AND(B145&lt;&gt;"",COUNTIF('Calibrare_Linii'!$A$6:$A$19,C145)=1,COUNTIFS(OOSTable[Fixture_ID],A145,OOSTable[Line],C145)=1,ISNUMBER(D145),ISNUMBER(E145),ISNUMBER(F145),F145&lt;D145,D145&lt;E145,ISNUMBER(G145),G145&gt;='Config_v6'!$B$50,G145&lt;=1,ISNUMBER(H145),H145&gt;='Config_v6'!$B$51,H145&lt;=100,ISNUMBER(I145),I145&gt;=0,I145&lt;='Config_v6'!$B$53,ISNUMBER(J145),J145&gt;=0,J145&lt;='Config_v6'!$B$52,K145="NO",L145=12,M145="PASS",ISNUMBER(N145),N145&gt;=0,MOD(N145,1)=0,O145&lt;&gt;"",ISNUMBER(P145),P145&gt;E145,Q145&lt;&gt;"",R145&lt;&gt;"",S145="LIVE"),1,0),0))</x:f>
        <x:v>0</x:v>
      </x:c>
      <x:c r="U145" s="2" t="n">
        <x:f>IF(T145&lt;&gt;1,0,IF(LEFT(C145,1)="O",IF(N145&gt;INDEX('Calibrare_Linii'!$C$6:$C$19,MATCH(C145,'Calibrare_Linii'!$A$6:$A$19,0)),1,0),IF(N145&lt;=INDEX('Calibrare_Linii'!$C$6:$C$19,MATCH(C145,'Calibrare_Linii'!$A$6:$A$19,0)),1,0)))</x:f>
        <x:v>0</x:v>
      </x:c>
    </x:row>
    <x:row r="146" ht="21" customHeight="1">
      <x:c r="A146" s="7"/>
      <x:c r="B146" s="7"/>
      <x:c r="C146" s="7"/>
      <x:c r="D146" s="8"/>
      <x:c r="E146" s="8"/>
      <x:c r="F146" s="8"/>
      <x:c r="G146" s="12"/>
      <x:c r="H146" s="7"/>
      <x:c r="I146" s="7"/>
      <x:c r="J146" s="7"/>
      <x:c r="K146" s="7"/>
      <x:c r="L146" s="7"/>
      <x:c r="M146" s="7"/>
      <x:c r="N146" s="7"/>
      <x:c r="O146" s="7"/>
      <x:c r="P146" s="8"/>
      <x:c r="Q146" s="7"/>
      <x:c r="R146" s="7"/>
      <x:c r="S146" s="7"/>
      <x:c r="T146" s="2" t="n">
        <x:f>IF(A146="",0,IFERROR(IF(AND(B146&lt;&gt;"",COUNTIF('Calibrare_Linii'!$A$6:$A$19,C146)=1,COUNTIFS(OOSTable[Fixture_ID],A146,OOSTable[Line],C146)=1,ISNUMBER(D146),ISNUMBER(E146),ISNUMBER(F146),F146&lt;D146,D146&lt;E146,ISNUMBER(G146),G146&gt;='Config_v6'!$B$50,G146&lt;=1,ISNUMBER(H146),H146&gt;='Config_v6'!$B$51,H146&lt;=100,ISNUMBER(I146),I146&gt;=0,I146&lt;='Config_v6'!$B$53,ISNUMBER(J146),J146&gt;=0,J146&lt;='Config_v6'!$B$52,K146="NO",L146=12,M146="PASS",ISNUMBER(N146),N146&gt;=0,MOD(N146,1)=0,O146&lt;&gt;"",ISNUMBER(P146),P146&gt;E146,Q146&lt;&gt;"",R146&lt;&gt;"",S146="LIVE"),1,0),0))</x:f>
        <x:v>0</x:v>
      </x:c>
      <x:c r="U146" s="2" t="n">
        <x:f>IF(T146&lt;&gt;1,0,IF(LEFT(C146,1)="O",IF(N146&gt;INDEX('Calibrare_Linii'!$C$6:$C$19,MATCH(C146,'Calibrare_Linii'!$A$6:$A$19,0)),1,0),IF(N146&lt;=INDEX('Calibrare_Linii'!$C$6:$C$19,MATCH(C146,'Calibrare_Linii'!$A$6:$A$19,0)),1,0)))</x:f>
        <x:v>0</x:v>
      </x:c>
    </x:row>
    <x:row r="147" ht="21" customHeight="1">
      <x:c r="A147" s="7"/>
      <x:c r="B147" s="7"/>
      <x:c r="C147" s="7"/>
      <x:c r="D147" s="8"/>
      <x:c r="E147" s="8"/>
      <x:c r="F147" s="8"/>
      <x:c r="G147" s="12"/>
      <x:c r="H147" s="7"/>
      <x:c r="I147" s="7"/>
      <x:c r="J147" s="7"/>
      <x:c r="K147" s="7"/>
      <x:c r="L147" s="7"/>
      <x:c r="M147" s="7"/>
      <x:c r="N147" s="7"/>
      <x:c r="O147" s="7"/>
      <x:c r="P147" s="8"/>
      <x:c r="Q147" s="7"/>
      <x:c r="R147" s="7"/>
      <x:c r="S147" s="7"/>
      <x:c r="T147" s="2" t="n">
        <x:f>IF(A147="",0,IFERROR(IF(AND(B147&lt;&gt;"",COUNTIF('Calibrare_Linii'!$A$6:$A$19,C147)=1,COUNTIFS(OOSTable[Fixture_ID],A147,OOSTable[Line],C147)=1,ISNUMBER(D147),ISNUMBER(E147),ISNUMBER(F147),F147&lt;D147,D147&lt;E147,ISNUMBER(G147),G147&gt;='Config_v6'!$B$50,G147&lt;=1,ISNUMBER(H147),H147&gt;='Config_v6'!$B$51,H147&lt;=100,ISNUMBER(I147),I147&gt;=0,I147&lt;='Config_v6'!$B$53,ISNUMBER(J147),J147&gt;=0,J147&lt;='Config_v6'!$B$52,K147="NO",L147=12,M147="PASS",ISNUMBER(N147),N147&gt;=0,MOD(N147,1)=0,O147&lt;&gt;"",ISNUMBER(P147),P147&gt;E147,Q147&lt;&gt;"",R147&lt;&gt;"",S147="LIVE"),1,0),0))</x:f>
        <x:v>0</x:v>
      </x:c>
      <x:c r="U147" s="2" t="n">
        <x:f>IF(T147&lt;&gt;1,0,IF(LEFT(C147,1)="O",IF(N147&gt;INDEX('Calibrare_Linii'!$C$6:$C$19,MATCH(C147,'Calibrare_Linii'!$A$6:$A$19,0)),1,0),IF(N147&lt;=INDEX('Calibrare_Linii'!$C$6:$C$19,MATCH(C147,'Calibrare_Linii'!$A$6:$A$19,0)),1,0)))</x:f>
        <x:v>0</x:v>
      </x:c>
    </x:row>
    <x:row r="148" ht="21" customHeight="1">
      <x:c r="A148" s="7"/>
      <x:c r="B148" s="7"/>
      <x:c r="C148" s="7"/>
      <x:c r="D148" s="8"/>
      <x:c r="E148" s="8"/>
      <x:c r="F148" s="8"/>
      <x:c r="G148" s="12"/>
      <x:c r="H148" s="7"/>
      <x:c r="I148" s="7"/>
      <x:c r="J148" s="7"/>
      <x:c r="K148" s="7"/>
      <x:c r="L148" s="7"/>
      <x:c r="M148" s="7"/>
      <x:c r="N148" s="7"/>
      <x:c r="O148" s="7"/>
      <x:c r="P148" s="8"/>
      <x:c r="Q148" s="7"/>
      <x:c r="R148" s="7"/>
      <x:c r="S148" s="7"/>
      <x:c r="T148" s="2" t="n">
        <x:f>IF(A148="",0,IFERROR(IF(AND(B148&lt;&gt;"",COUNTIF('Calibrare_Linii'!$A$6:$A$19,C148)=1,COUNTIFS(OOSTable[Fixture_ID],A148,OOSTable[Line],C148)=1,ISNUMBER(D148),ISNUMBER(E148),ISNUMBER(F148),F148&lt;D148,D148&lt;E148,ISNUMBER(G148),G148&gt;='Config_v6'!$B$50,G148&lt;=1,ISNUMBER(H148),H148&gt;='Config_v6'!$B$51,H148&lt;=100,ISNUMBER(I148),I148&gt;=0,I148&lt;='Config_v6'!$B$53,ISNUMBER(J148),J148&gt;=0,J148&lt;='Config_v6'!$B$52,K148="NO",L148=12,M148="PASS",ISNUMBER(N148),N148&gt;=0,MOD(N148,1)=0,O148&lt;&gt;"",ISNUMBER(P148),P148&gt;E148,Q148&lt;&gt;"",R148&lt;&gt;"",S148="LIVE"),1,0),0))</x:f>
        <x:v>0</x:v>
      </x:c>
      <x:c r="U148" s="2" t="n">
        <x:f>IF(T148&lt;&gt;1,0,IF(LEFT(C148,1)="O",IF(N148&gt;INDEX('Calibrare_Linii'!$C$6:$C$19,MATCH(C148,'Calibrare_Linii'!$A$6:$A$19,0)),1,0),IF(N148&lt;=INDEX('Calibrare_Linii'!$C$6:$C$19,MATCH(C148,'Calibrare_Linii'!$A$6:$A$19,0)),1,0)))</x:f>
        <x:v>0</x:v>
      </x:c>
    </x:row>
    <x:row r="149" ht="21" customHeight="1">
      <x:c r="A149" s="7"/>
      <x:c r="B149" s="7"/>
      <x:c r="C149" s="7"/>
      <x:c r="D149" s="8"/>
      <x:c r="E149" s="8"/>
      <x:c r="F149" s="8"/>
      <x:c r="G149" s="12"/>
      <x:c r="H149" s="7"/>
      <x:c r="I149" s="7"/>
      <x:c r="J149" s="7"/>
      <x:c r="K149" s="7"/>
      <x:c r="L149" s="7"/>
      <x:c r="M149" s="7"/>
      <x:c r="N149" s="7"/>
      <x:c r="O149" s="7"/>
      <x:c r="P149" s="8"/>
      <x:c r="Q149" s="7"/>
      <x:c r="R149" s="7"/>
      <x:c r="S149" s="7"/>
      <x:c r="T149" s="2" t="n">
        <x:f>IF(A149="",0,IFERROR(IF(AND(B149&lt;&gt;"",COUNTIF('Calibrare_Linii'!$A$6:$A$19,C149)=1,COUNTIFS(OOSTable[Fixture_ID],A149,OOSTable[Line],C149)=1,ISNUMBER(D149),ISNUMBER(E149),ISNUMBER(F149),F149&lt;D149,D149&lt;E149,ISNUMBER(G149),G149&gt;='Config_v6'!$B$50,G149&lt;=1,ISNUMBER(H149),H149&gt;='Config_v6'!$B$51,H149&lt;=100,ISNUMBER(I149),I149&gt;=0,I149&lt;='Config_v6'!$B$53,ISNUMBER(J149),J149&gt;=0,J149&lt;='Config_v6'!$B$52,K149="NO",L149=12,M149="PASS",ISNUMBER(N149),N149&gt;=0,MOD(N149,1)=0,O149&lt;&gt;"",ISNUMBER(P149),P149&gt;E149,Q149&lt;&gt;"",R149&lt;&gt;"",S149="LIVE"),1,0),0))</x:f>
        <x:v>0</x:v>
      </x:c>
      <x:c r="U149" s="2" t="n">
        <x:f>IF(T149&lt;&gt;1,0,IF(LEFT(C149,1)="O",IF(N149&gt;INDEX('Calibrare_Linii'!$C$6:$C$19,MATCH(C149,'Calibrare_Linii'!$A$6:$A$19,0)),1,0),IF(N149&lt;=INDEX('Calibrare_Linii'!$C$6:$C$19,MATCH(C149,'Calibrare_Linii'!$A$6:$A$19,0)),1,0)))</x:f>
        <x:v>0</x:v>
      </x:c>
    </x:row>
    <x:row r="150" ht="21" customHeight="1">
      <x:c r="A150" s="7"/>
      <x:c r="B150" s="7"/>
      <x:c r="C150" s="7"/>
      <x:c r="D150" s="8"/>
      <x:c r="E150" s="8"/>
      <x:c r="F150" s="8"/>
      <x:c r="G150" s="12"/>
      <x:c r="H150" s="7"/>
      <x:c r="I150" s="7"/>
      <x:c r="J150" s="7"/>
      <x:c r="K150" s="7"/>
      <x:c r="L150" s="7"/>
      <x:c r="M150" s="7"/>
      <x:c r="N150" s="7"/>
      <x:c r="O150" s="7"/>
      <x:c r="P150" s="8"/>
      <x:c r="Q150" s="7"/>
      <x:c r="R150" s="7"/>
      <x:c r="S150" s="7"/>
      <x:c r="T150" s="2" t="n">
        <x:f>IF(A150="",0,IFERROR(IF(AND(B150&lt;&gt;"",COUNTIF('Calibrare_Linii'!$A$6:$A$19,C150)=1,COUNTIFS(OOSTable[Fixture_ID],A150,OOSTable[Line],C150)=1,ISNUMBER(D150),ISNUMBER(E150),ISNUMBER(F150),F150&lt;D150,D150&lt;E150,ISNUMBER(G150),G150&gt;='Config_v6'!$B$50,G150&lt;=1,ISNUMBER(H150),H150&gt;='Config_v6'!$B$51,H150&lt;=100,ISNUMBER(I150),I150&gt;=0,I150&lt;='Config_v6'!$B$53,ISNUMBER(J150),J150&gt;=0,J150&lt;='Config_v6'!$B$52,K150="NO",L150=12,M150="PASS",ISNUMBER(N150),N150&gt;=0,MOD(N150,1)=0,O150&lt;&gt;"",ISNUMBER(P150),P150&gt;E150,Q150&lt;&gt;"",R150&lt;&gt;"",S150="LIVE"),1,0),0))</x:f>
        <x:v>0</x:v>
      </x:c>
      <x:c r="U150" s="2" t="n">
        <x:f>IF(T150&lt;&gt;1,0,IF(LEFT(C150,1)="O",IF(N150&gt;INDEX('Calibrare_Linii'!$C$6:$C$19,MATCH(C150,'Calibrare_Linii'!$A$6:$A$19,0)),1,0),IF(N150&lt;=INDEX('Calibrare_Linii'!$C$6:$C$19,MATCH(C150,'Calibrare_Linii'!$A$6:$A$19,0)),1,0)))</x:f>
        <x:v>0</x:v>
      </x:c>
    </x:row>
    <x:row r="151" ht="21" customHeight="1">
      <x:c r="A151" s="7"/>
      <x:c r="B151" s="7"/>
      <x:c r="C151" s="7"/>
      <x:c r="D151" s="8"/>
      <x:c r="E151" s="8"/>
      <x:c r="F151" s="8"/>
      <x:c r="G151" s="12"/>
      <x:c r="H151" s="7"/>
      <x:c r="I151" s="7"/>
      <x:c r="J151" s="7"/>
      <x:c r="K151" s="7"/>
      <x:c r="L151" s="7"/>
      <x:c r="M151" s="7"/>
      <x:c r="N151" s="7"/>
      <x:c r="O151" s="7"/>
      <x:c r="P151" s="8"/>
      <x:c r="Q151" s="7"/>
      <x:c r="R151" s="7"/>
      <x:c r="S151" s="7"/>
      <x:c r="T151" s="2" t="n">
        <x:f>IF(A151="",0,IFERROR(IF(AND(B151&lt;&gt;"",COUNTIF('Calibrare_Linii'!$A$6:$A$19,C151)=1,COUNTIFS(OOSTable[Fixture_ID],A151,OOSTable[Line],C151)=1,ISNUMBER(D151),ISNUMBER(E151),ISNUMBER(F151),F151&lt;D151,D151&lt;E151,ISNUMBER(G151),G151&gt;='Config_v6'!$B$50,G151&lt;=1,ISNUMBER(H151),H151&gt;='Config_v6'!$B$51,H151&lt;=100,ISNUMBER(I151),I151&gt;=0,I151&lt;='Config_v6'!$B$53,ISNUMBER(J151),J151&gt;=0,J151&lt;='Config_v6'!$B$52,K151="NO",L151=12,M151="PASS",ISNUMBER(N151),N151&gt;=0,MOD(N151,1)=0,O151&lt;&gt;"",ISNUMBER(P151),P151&gt;E151,Q151&lt;&gt;"",R151&lt;&gt;"",S151="LIVE"),1,0),0))</x:f>
        <x:v>0</x:v>
      </x:c>
      <x:c r="U151" s="2" t="n">
        <x:f>IF(T151&lt;&gt;1,0,IF(LEFT(C151,1)="O",IF(N151&gt;INDEX('Calibrare_Linii'!$C$6:$C$19,MATCH(C151,'Calibrare_Linii'!$A$6:$A$19,0)),1,0),IF(N151&lt;=INDEX('Calibrare_Linii'!$C$6:$C$19,MATCH(C151,'Calibrare_Linii'!$A$6:$A$19,0)),1,0)))</x:f>
        <x:v>0</x:v>
      </x:c>
    </x:row>
    <x:row r="152" ht="21" customHeight="1">
      <x:c r="A152" s="7"/>
      <x:c r="B152" s="7"/>
      <x:c r="C152" s="7"/>
      <x:c r="D152" s="8"/>
      <x:c r="E152" s="8"/>
      <x:c r="F152" s="8"/>
      <x:c r="G152" s="12"/>
      <x:c r="H152" s="7"/>
      <x:c r="I152" s="7"/>
      <x:c r="J152" s="7"/>
      <x:c r="K152" s="7"/>
      <x:c r="L152" s="7"/>
      <x:c r="M152" s="7"/>
      <x:c r="N152" s="7"/>
      <x:c r="O152" s="7"/>
      <x:c r="P152" s="8"/>
      <x:c r="Q152" s="7"/>
      <x:c r="R152" s="7"/>
      <x:c r="S152" s="7"/>
      <x:c r="T152" s="2" t="n">
        <x:f>IF(A152="",0,IFERROR(IF(AND(B152&lt;&gt;"",COUNTIF('Calibrare_Linii'!$A$6:$A$19,C152)=1,COUNTIFS(OOSTable[Fixture_ID],A152,OOSTable[Line],C152)=1,ISNUMBER(D152),ISNUMBER(E152),ISNUMBER(F152),F152&lt;D152,D152&lt;E152,ISNUMBER(G152),G152&gt;='Config_v6'!$B$50,G152&lt;=1,ISNUMBER(H152),H152&gt;='Config_v6'!$B$51,H152&lt;=100,ISNUMBER(I152),I152&gt;=0,I152&lt;='Config_v6'!$B$53,ISNUMBER(J152),J152&gt;=0,J152&lt;='Config_v6'!$B$52,K152="NO",L152=12,M152="PASS",ISNUMBER(N152),N152&gt;=0,MOD(N152,1)=0,O152&lt;&gt;"",ISNUMBER(P152),P152&gt;E152,Q152&lt;&gt;"",R152&lt;&gt;"",S152="LIVE"),1,0),0))</x:f>
        <x:v>0</x:v>
      </x:c>
      <x:c r="U152" s="2" t="n">
        <x:f>IF(T152&lt;&gt;1,0,IF(LEFT(C152,1)="O",IF(N152&gt;INDEX('Calibrare_Linii'!$C$6:$C$19,MATCH(C152,'Calibrare_Linii'!$A$6:$A$19,0)),1,0),IF(N152&lt;=INDEX('Calibrare_Linii'!$C$6:$C$19,MATCH(C152,'Calibrare_Linii'!$A$6:$A$19,0)),1,0)))</x:f>
        <x:v>0</x:v>
      </x:c>
    </x:row>
    <x:row r="153" ht="21" customHeight="1">
      <x:c r="A153" s="7"/>
      <x:c r="B153" s="7"/>
      <x:c r="C153" s="7"/>
      <x:c r="D153" s="8"/>
      <x:c r="E153" s="8"/>
      <x:c r="F153" s="8"/>
      <x:c r="G153" s="12"/>
      <x:c r="H153" s="7"/>
      <x:c r="I153" s="7"/>
      <x:c r="J153" s="7"/>
      <x:c r="K153" s="7"/>
      <x:c r="L153" s="7"/>
      <x:c r="M153" s="7"/>
      <x:c r="N153" s="7"/>
      <x:c r="O153" s="7"/>
      <x:c r="P153" s="8"/>
      <x:c r="Q153" s="7"/>
      <x:c r="R153" s="7"/>
      <x:c r="S153" s="7"/>
      <x:c r="T153" s="2" t="n">
        <x:f>IF(A153="",0,IFERROR(IF(AND(B153&lt;&gt;"",COUNTIF('Calibrare_Linii'!$A$6:$A$19,C153)=1,COUNTIFS(OOSTable[Fixture_ID],A153,OOSTable[Line],C153)=1,ISNUMBER(D153),ISNUMBER(E153),ISNUMBER(F153),F153&lt;D153,D153&lt;E153,ISNUMBER(G153),G153&gt;='Config_v6'!$B$50,G153&lt;=1,ISNUMBER(H153),H153&gt;='Config_v6'!$B$51,H153&lt;=100,ISNUMBER(I153),I153&gt;=0,I153&lt;='Config_v6'!$B$53,ISNUMBER(J153),J153&gt;=0,J153&lt;='Config_v6'!$B$52,K153="NO",L153=12,M153="PASS",ISNUMBER(N153),N153&gt;=0,MOD(N153,1)=0,O153&lt;&gt;"",ISNUMBER(P153),P153&gt;E153,Q153&lt;&gt;"",R153&lt;&gt;"",S153="LIVE"),1,0),0))</x:f>
        <x:v>0</x:v>
      </x:c>
      <x:c r="U153" s="2" t="n">
        <x:f>IF(T153&lt;&gt;1,0,IF(LEFT(C153,1)="O",IF(N153&gt;INDEX('Calibrare_Linii'!$C$6:$C$19,MATCH(C153,'Calibrare_Linii'!$A$6:$A$19,0)),1,0),IF(N153&lt;=INDEX('Calibrare_Linii'!$C$6:$C$19,MATCH(C153,'Calibrare_Linii'!$A$6:$A$19,0)),1,0)))</x:f>
        <x:v>0</x:v>
      </x:c>
    </x:row>
    <x:row r="154" ht="21" customHeight="1">
      <x:c r="A154" s="7"/>
      <x:c r="B154" s="7"/>
      <x:c r="C154" s="7"/>
      <x:c r="D154" s="8"/>
      <x:c r="E154" s="8"/>
      <x:c r="F154" s="8"/>
      <x:c r="G154" s="12"/>
      <x:c r="H154" s="7"/>
      <x:c r="I154" s="7"/>
      <x:c r="J154" s="7"/>
      <x:c r="K154" s="7"/>
      <x:c r="L154" s="7"/>
      <x:c r="M154" s="7"/>
      <x:c r="N154" s="7"/>
      <x:c r="O154" s="7"/>
      <x:c r="P154" s="8"/>
      <x:c r="Q154" s="7"/>
      <x:c r="R154" s="7"/>
      <x:c r="S154" s="7"/>
      <x:c r="T154" s="2" t="n">
        <x:f>IF(A154="",0,IFERROR(IF(AND(B154&lt;&gt;"",COUNTIF('Calibrare_Linii'!$A$6:$A$19,C154)=1,COUNTIFS(OOSTable[Fixture_ID],A154,OOSTable[Line],C154)=1,ISNUMBER(D154),ISNUMBER(E154),ISNUMBER(F154),F154&lt;D154,D154&lt;E154,ISNUMBER(G154),G154&gt;='Config_v6'!$B$50,G154&lt;=1,ISNUMBER(H154),H154&gt;='Config_v6'!$B$51,H154&lt;=100,ISNUMBER(I154),I154&gt;=0,I154&lt;='Config_v6'!$B$53,ISNUMBER(J154),J154&gt;=0,J154&lt;='Config_v6'!$B$52,K154="NO",L154=12,M154="PASS",ISNUMBER(N154),N154&gt;=0,MOD(N154,1)=0,O154&lt;&gt;"",ISNUMBER(P154),P154&gt;E154,Q154&lt;&gt;"",R154&lt;&gt;"",S154="LIVE"),1,0),0))</x:f>
        <x:v>0</x:v>
      </x:c>
      <x:c r="U154" s="2" t="n">
        <x:f>IF(T154&lt;&gt;1,0,IF(LEFT(C154,1)="O",IF(N154&gt;INDEX('Calibrare_Linii'!$C$6:$C$19,MATCH(C154,'Calibrare_Linii'!$A$6:$A$19,0)),1,0),IF(N154&lt;=INDEX('Calibrare_Linii'!$C$6:$C$19,MATCH(C154,'Calibrare_Linii'!$A$6:$A$19,0)),1,0)))</x:f>
        <x:v>0</x:v>
      </x:c>
    </x:row>
    <x:row r="155" ht="21" customHeight="1">
      <x:c r="A155" s="7"/>
      <x:c r="B155" s="7"/>
      <x:c r="C155" s="7"/>
      <x:c r="D155" s="8"/>
      <x:c r="E155" s="8"/>
      <x:c r="F155" s="8"/>
      <x:c r="G155" s="12"/>
      <x:c r="H155" s="7"/>
      <x:c r="I155" s="7"/>
      <x:c r="J155" s="7"/>
      <x:c r="K155" s="7"/>
      <x:c r="L155" s="7"/>
      <x:c r="M155" s="7"/>
      <x:c r="N155" s="7"/>
      <x:c r="O155" s="7"/>
      <x:c r="P155" s="8"/>
      <x:c r="Q155" s="7"/>
      <x:c r="R155" s="7"/>
      <x:c r="S155" s="7"/>
      <x:c r="T155" s="2" t="n">
        <x:f>IF(A155="",0,IFERROR(IF(AND(B155&lt;&gt;"",COUNTIF('Calibrare_Linii'!$A$6:$A$19,C155)=1,COUNTIFS(OOSTable[Fixture_ID],A155,OOSTable[Line],C155)=1,ISNUMBER(D155),ISNUMBER(E155),ISNUMBER(F155),F155&lt;D155,D155&lt;E155,ISNUMBER(G155),G155&gt;='Config_v6'!$B$50,G155&lt;=1,ISNUMBER(H155),H155&gt;='Config_v6'!$B$51,H155&lt;=100,ISNUMBER(I155),I155&gt;=0,I155&lt;='Config_v6'!$B$53,ISNUMBER(J155),J155&gt;=0,J155&lt;='Config_v6'!$B$52,K155="NO",L155=12,M155="PASS",ISNUMBER(N155),N155&gt;=0,MOD(N155,1)=0,O155&lt;&gt;"",ISNUMBER(P155),P155&gt;E155,Q155&lt;&gt;"",R155&lt;&gt;"",S155="LIVE"),1,0),0))</x:f>
        <x:v>0</x:v>
      </x:c>
      <x:c r="U155" s="2" t="n">
        <x:f>IF(T155&lt;&gt;1,0,IF(LEFT(C155,1)="O",IF(N155&gt;INDEX('Calibrare_Linii'!$C$6:$C$19,MATCH(C155,'Calibrare_Linii'!$A$6:$A$19,0)),1,0),IF(N155&lt;=INDEX('Calibrare_Linii'!$C$6:$C$19,MATCH(C155,'Calibrare_Linii'!$A$6:$A$19,0)),1,0)))</x:f>
        <x:v>0</x:v>
      </x:c>
    </x:row>
    <x:row r="156" ht="21" customHeight="1">
      <x:c r="A156" s="7"/>
      <x:c r="B156" s="7"/>
      <x:c r="C156" s="7"/>
      <x:c r="D156" s="8"/>
      <x:c r="E156" s="8"/>
      <x:c r="F156" s="8"/>
      <x:c r="G156" s="12"/>
      <x:c r="H156" s="7"/>
      <x:c r="I156" s="7"/>
      <x:c r="J156" s="7"/>
      <x:c r="K156" s="7"/>
      <x:c r="L156" s="7"/>
      <x:c r="M156" s="7"/>
      <x:c r="N156" s="7"/>
      <x:c r="O156" s="7"/>
      <x:c r="P156" s="8"/>
      <x:c r="Q156" s="7"/>
      <x:c r="R156" s="7"/>
      <x:c r="S156" s="7"/>
      <x:c r="T156" s="2" t="n">
        <x:f>IF(A156="",0,IFERROR(IF(AND(B156&lt;&gt;"",COUNTIF('Calibrare_Linii'!$A$6:$A$19,C156)=1,COUNTIFS(OOSTable[Fixture_ID],A156,OOSTable[Line],C156)=1,ISNUMBER(D156),ISNUMBER(E156),ISNUMBER(F156),F156&lt;D156,D156&lt;E156,ISNUMBER(G156),G156&gt;='Config_v6'!$B$50,G156&lt;=1,ISNUMBER(H156),H156&gt;='Config_v6'!$B$51,H156&lt;=100,ISNUMBER(I156),I156&gt;=0,I156&lt;='Config_v6'!$B$53,ISNUMBER(J156),J156&gt;=0,J156&lt;='Config_v6'!$B$52,K156="NO",L156=12,M156="PASS",ISNUMBER(N156),N156&gt;=0,MOD(N156,1)=0,O156&lt;&gt;"",ISNUMBER(P156),P156&gt;E156,Q156&lt;&gt;"",R156&lt;&gt;"",S156="LIVE"),1,0),0))</x:f>
        <x:v>0</x:v>
      </x:c>
      <x:c r="U156" s="2" t="n">
        <x:f>IF(T156&lt;&gt;1,0,IF(LEFT(C156,1)="O",IF(N156&gt;INDEX('Calibrare_Linii'!$C$6:$C$19,MATCH(C156,'Calibrare_Linii'!$A$6:$A$19,0)),1,0),IF(N156&lt;=INDEX('Calibrare_Linii'!$C$6:$C$19,MATCH(C156,'Calibrare_Linii'!$A$6:$A$19,0)),1,0)))</x:f>
        <x:v>0</x:v>
      </x:c>
    </x:row>
    <x:row r="157" ht="21" customHeight="1">
      <x:c r="A157" s="7"/>
      <x:c r="B157" s="7"/>
      <x:c r="C157" s="7"/>
      <x:c r="D157" s="8"/>
      <x:c r="E157" s="8"/>
      <x:c r="F157" s="8"/>
      <x:c r="G157" s="12"/>
      <x:c r="H157" s="7"/>
      <x:c r="I157" s="7"/>
      <x:c r="J157" s="7"/>
      <x:c r="K157" s="7"/>
      <x:c r="L157" s="7"/>
      <x:c r="M157" s="7"/>
      <x:c r="N157" s="7"/>
      <x:c r="O157" s="7"/>
      <x:c r="P157" s="8"/>
      <x:c r="Q157" s="7"/>
      <x:c r="R157" s="7"/>
      <x:c r="S157" s="7"/>
      <x:c r="T157" s="2" t="n">
        <x:f>IF(A157="",0,IFERROR(IF(AND(B157&lt;&gt;"",COUNTIF('Calibrare_Linii'!$A$6:$A$19,C157)=1,COUNTIFS(OOSTable[Fixture_ID],A157,OOSTable[Line],C157)=1,ISNUMBER(D157),ISNUMBER(E157),ISNUMBER(F157),F157&lt;D157,D157&lt;E157,ISNUMBER(G157),G157&gt;='Config_v6'!$B$50,G157&lt;=1,ISNUMBER(H157),H157&gt;='Config_v6'!$B$51,H157&lt;=100,ISNUMBER(I157),I157&gt;=0,I157&lt;='Config_v6'!$B$53,ISNUMBER(J157),J157&gt;=0,J157&lt;='Config_v6'!$B$52,K157="NO",L157=12,M157="PASS",ISNUMBER(N157),N157&gt;=0,MOD(N157,1)=0,O157&lt;&gt;"",ISNUMBER(P157),P157&gt;E157,Q157&lt;&gt;"",R157&lt;&gt;"",S157="LIVE"),1,0),0))</x:f>
        <x:v>0</x:v>
      </x:c>
      <x:c r="U157" s="2" t="n">
        <x:f>IF(T157&lt;&gt;1,0,IF(LEFT(C157,1)="O",IF(N157&gt;INDEX('Calibrare_Linii'!$C$6:$C$19,MATCH(C157,'Calibrare_Linii'!$A$6:$A$19,0)),1,0),IF(N157&lt;=INDEX('Calibrare_Linii'!$C$6:$C$19,MATCH(C157,'Calibrare_Linii'!$A$6:$A$19,0)),1,0)))</x:f>
        <x:v>0</x:v>
      </x:c>
    </x:row>
    <x:row r="158" ht="21" customHeight="1">
      <x:c r="A158" s="7"/>
      <x:c r="B158" s="7"/>
      <x:c r="C158" s="7"/>
      <x:c r="D158" s="8"/>
      <x:c r="E158" s="8"/>
      <x:c r="F158" s="8"/>
      <x:c r="G158" s="12"/>
      <x:c r="H158" s="7"/>
      <x:c r="I158" s="7"/>
      <x:c r="J158" s="7"/>
      <x:c r="K158" s="7"/>
      <x:c r="L158" s="7"/>
      <x:c r="M158" s="7"/>
      <x:c r="N158" s="7"/>
      <x:c r="O158" s="7"/>
      <x:c r="P158" s="8"/>
      <x:c r="Q158" s="7"/>
      <x:c r="R158" s="7"/>
      <x:c r="S158" s="7"/>
      <x:c r="T158" s="2" t="n">
        <x:f>IF(A158="",0,IFERROR(IF(AND(B158&lt;&gt;"",COUNTIF('Calibrare_Linii'!$A$6:$A$19,C158)=1,COUNTIFS(OOSTable[Fixture_ID],A158,OOSTable[Line],C158)=1,ISNUMBER(D158),ISNUMBER(E158),ISNUMBER(F158),F158&lt;D158,D158&lt;E158,ISNUMBER(G158),G158&gt;='Config_v6'!$B$50,G158&lt;=1,ISNUMBER(H158),H158&gt;='Config_v6'!$B$51,H158&lt;=100,ISNUMBER(I158),I158&gt;=0,I158&lt;='Config_v6'!$B$53,ISNUMBER(J158),J158&gt;=0,J158&lt;='Config_v6'!$B$52,K158="NO",L158=12,M158="PASS",ISNUMBER(N158),N158&gt;=0,MOD(N158,1)=0,O158&lt;&gt;"",ISNUMBER(P158),P158&gt;E158,Q158&lt;&gt;"",R158&lt;&gt;"",S158="LIVE"),1,0),0))</x:f>
        <x:v>0</x:v>
      </x:c>
      <x:c r="U158" s="2" t="n">
        <x:f>IF(T158&lt;&gt;1,0,IF(LEFT(C158,1)="O",IF(N158&gt;INDEX('Calibrare_Linii'!$C$6:$C$19,MATCH(C158,'Calibrare_Linii'!$A$6:$A$19,0)),1,0),IF(N158&lt;=INDEX('Calibrare_Linii'!$C$6:$C$19,MATCH(C158,'Calibrare_Linii'!$A$6:$A$19,0)),1,0)))</x:f>
        <x:v>0</x:v>
      </x:c>
    </x:row>
    <x:row r="159" ht="21" customHeight="1">
      <x:c r="A159" s="7"/>
      <x:c r="B159" s="7"/>
      <x:c r="C159" s="7"/>
      <x:c r="D159" s="8"/>
      <x:c r="E159" s="8"/>
      <x:c r="F159" s="8"/>
      <x:c r="G159" s="12"/>
      <x:c r="H159" s="7"/>
      <x:c r="I159" s="7"/>
      <x:c r="J159" s="7"/>
      <x:c r="K159" s="7"/>
      <x:c r="L159" s="7"/>
      <x:c r="M159" s="7"/>
      <x:c r="N159" s="7"/>
      <x:c r="O159" s="7"/>
      <x:c r="P159" s="8"/>
      <x:c r="Q159" s="7"/>
      <x:c r="R159" s="7"/>
      <x:c r="S159" s="7"/>
      <x:c r="T159" s="2" t="n">
        <x:f>IF(A159="",0,IFERROR(IF(AND(B159&lt;&gt;"",COUNTIF('Calibrare_Linii'!$A$6:$A$19,C159)=1,COUNTIFS(OOSTable[Fixture_ID],A159,OOSTable[Line],C159)=1,ISNUMBER(D159),ISNUMBER(E159),ISNUMBER(F159),F159&lt;D159,D159&lt;E159,ISNUMBER(G159),G159&gt;='Config_v6'!$B$50,G159&lt;=1,ISNUMBER(H159),H159&gt;='Config_v6'!$B$51,H159&lt;=100,ISNUMBER(I159),I159&gt;=0,I159&lt;='Config_v6'!$B$53,ISNUMBER(J159),J159&gt;=0,J159&lt;='Config_v6'!$B$52,K159="NO",L159=12,M159="PASS",ISNUMBER(N159),N159&gt;=0,MOD(N159,1)=0,O159&lt;&gt;"",ISNUMBER(P159),P159&gt;E159,Q159&lt;&gt;"",R159&lt;&gt;"",S159="LIVE"),1,0),0))</x:f>
        <x:v>0</x:v>
      </x:c>
      <x:c r="U159" s="2" t="n">
        <x:f>IF(T159&lt;&gt;1,0,IF(LEFT(C159,1)="O",IF(N159&gt;INDEX('Calibrare_Linii'!$C$6:$C$19,MATCH(C159,'Calibrare_Linii'!$A$6:$A$19,0)),1,0),IF(N159&lt;=INDEX('Calibrare_Linii'!$C$6:$C$19,MATCH(C159,'Calibrare_Linii'!$A$6:$A$19,0)),1,0)))</x:f>
        <x:v>0</x:v>
      </x:c>
    </x:row>
    <x:row r="160" ht="21" customHeight="1">
      <x:c r="A160" s="7"/>
      <x:c r="B160" s="7"/>
      <x:c r="C160" s="7"/>
      <x:c r="D160" s="8"/>
      <x:c r="E160" s="8"/>
      <x:c r="F160" s="8"/>
      <x:c r="G160" s="12"/>
      <x:c r="H160" s="7"/>
      <x:c r="I160" s="7"/>
      <x:c r="J160" s="7"/>
      <x:c r="K160" s="7"/>
      <x:c r="L160" s="7"/>
      <x:c r="M160" s="7"/>
      <x:c r="N160" s="7"/>
      <x:c r="O160" s="7"/>
      <x:c r="P160" s="8"/>
      <x:c r="Q160" s="7"/>
      <x:c r="R160" s="7"/>
      <x:c r="S160" s="7"/>
      <x:c r="T160" s="2" t="n">
        <x:f>IF(A160="",0,IFERROR(IF(AND(B160&lt;&gt;"",COUNTIF('Calibrare_Linii'!$A$6:$A$19,C160)=1,COUNTIFS(OOSTable[Fixture_ID],A160,OOSTable[Line],C160)=1,ISNUMBER(D160),ISNUMBER(E160),ISNUMBER(F160),F160&lt;D160,D160&lt;E160,ISNUMBER(G160),G160&gt;='Config_v6'!$B$50,G160&lt;=1,ISNUMBER(H160),H160&gt;='Config_v6'!$B$51,H160&lt;=100,ISNUMBER(I160),I160&gt;=0,I160&lt;='Config_v6'!$B$53,ISNUMBER(J160),J160&gt;=0,J160&lt;='Config_v6'!$B$52,K160="NO",L160=12,M160="PASS",ISNUMBER(N160),N160&gt;=0,MOD(N160,1)=0,O160&lt;&gt;"",ISNUMBER(P160),P160&gt;E160,Q160&lt;&gt;"",R160&lt;&gt;"",S160="LIVE"),1,0),0))</x:f>
        <x:v>0</x:v>
      </x:c>
      <x:c r="U160" s="2" t="n">
        <x:f>IF(T160&lt;&gt;1,0,IF(LEFT(C160,1)="O",IF(N160&gt;INDEX('Calibrare_Linii'!$C$6:$C$19,MATCH(C160,'Calibrare_Linii'!$A$6:$A$19,0)),1,0),IF(N160&lt;=INDEX('Calibrare_Linii'!$C$6:$C$19,MATCH(C160,'Calibrare_Linii'!$A$6:$A$19,0)),1,0)))</x:f>
        <x:v>0</x:v>
      </x:c>
    </x:row>
    <x:row r="161" ht="21" customHeight="1">
      <x:c r="A161" s="7"/>
      <x:c r="B161" s="7"/>
      <x:c r="C161" s="7"/>
      <x:c r="D161" s="8"/>
      <x:c r="E161" s="8"/>
      <x:c r="F161" s="8"/>
      <x:c r="G161" s="12"/>
      <x:c r="H161" s="7"/>
      <x:c r="I161" s="7"/>
      <x:c r="J161" s="7"/>
      <x:c r="K161" s="7"/>
      <x:c r="L161" s="7"/>
      <x:c r="M161" s="7"/>
      <x:c r="N161" s="7"/>
      <x:c r="O161" s="7"/>
      <x:c r="P161" s="8"/>
      <x:c r="Q161" s="7"/>
      <x:c r="R161" s="7"/>
      <x:c r="S161" s="7"/>
      <x:c r="T161" s="2" t="n">
        <x:f>IF(A161="",0,IFERROR(IF(AND(B161&lt;&gt;"",COUNTIF('Calibrare_Linii'!$A$6:$A$19,C161)=1,COUNTIFS(OOSTable[Fixture_ID],A161,OOSTable[Line],C161)=1,ISNUMBER(D161),ISNUMBER(E161),ISNUMBER(F161),F161&lt;D161,D161&lt;E161,ISNUMBER(G161),G161&gt;='Config_v6'!$B$50,G161&lt;=1,ISNUMBER(H161),H161&gt;='Config_v6'!$B$51,H161&lt;=100,ISNUMBER(I161),I161&gt;=0,I161&lt;='Config_v6'!$B$53,ISNUMBER(J161),J161&gt;=0,J161&lt;='Config_v6'!$B$52,K161="NO",L161=12,M161="PASS",ISNUMBER(N161),N161&gt;=0,MOD(N161,1)=0,O161&lt;&gt;"",ISNUMBER(P161),P161&gt;E161,Q161&lt;&gt;"",R161&lt;&gt;"",S161="LIVE"),1,0),0))</x:f>
        <x:v>0</x:v>
      </x:c>
      <x:c r="U161" s="2" t="n">
        <x:f>IF(T161&lt;&gt;1,0,IF(LEFT(C161,1)="O",IF(N161&gt;INDEX('Calibrare_Linii'!$C$6:$C$19,MATCH(C161,'Calibrare_Linii'!$A$6:$A$19,0)),1,0),IF(N161&lt;=INDEX('Calibrare_Linii'!$C$6:$C$19,MATCH(C161,'Calibrare_Linii'!$A$6:$A$19,0)),1,0)))</x:f>
        <x:v>0</x:v>
      </x:c>
    </x:row>
    <x:row r="162" ht="21" customHeight="1">
      <x:c r="A162" s="7"/>
      <x:c r="B162" s="7"/>
      <x:c r="C162" s="7"/>
      <x:c r="D162" s="8"/>
      <x:c r="E162" s="8"/>
      <x:c r="F162" s="8"/>
      <x:c r="G162" s="12"/>
      <x:c r="H162" s="7"/>
      <x:c r="I162" s="7"/>
      <x:c r="J162" s="7"/>
      <x:c r="K162" s="7"/>
      <x:c r="L162" s="7"/>
      <x:c r="M162" s="7"/>
      <x:c r="N162" s="7"/>
      <x:c r="O162" s="7"/>
      <x:c r="P162" s="8"/>
      <x:c r="Q162" s="7"/>
      <x:c r="R162" s="7"/>
      <x:c r="S162" s="7"/>
      <x:c r="T162" s="2" t="n">
        <x:f>IF(A162="",0,IFERROR(IF(AND(B162&lt;&gt;"",COUNTIF('Calibrare_Linii'!$A$6:$A$19,C162)=1,COUNTIFS(OOSTable[Fixture_ID],A162,OOSTable[Line],C162)=1,ISNUMBER(D162),ISNUMBER(E162),ISNUMBER(F162),F162&lt;D162,D162&lt;E162,ISNUMBER(G162),G162&gt;='Config_v6'!$B$50,G162&lt;=1,ISNUMBER(H162),H162&gt;='Config_v6'!$B$51,H162&lt;=100,ISNUMBER(I162),I162&gt;=0,I162&lt;='Config_v6'!$B$53,ISNUMBER(J162),J162&gt;=0,J162&lt;='Config_v6'!$B$52,K162="NO",L162=12,M162="PASS",ISNUMBER(N162),N162&gt;=0,MOD(N162,1)=0,O162&lt;&gt;"",ISNUMBER(P162),P162&gt;E162,Q162&lt;&gt;"",R162&lt;&gt;"",S162="LIVE"),1,0),0))</x:f>
        <x:v>0</x:v>
      </x:c>
      <x:c r="U162" s="2" t="n">
        <x:f>IF(T162&lt;&gt;1,0,IF(LEFT(C162,1)="O",IF(N162&gt;INDEX('Calibrare_Linii'!$C$6:$C$19,MATCH(C162,'Calibrare_Linii'!$A$6:$A$19,0)),1,0),IF(N162&lt;=INDEX('Calibrare_Linii'!$C$6:$C$19,MATCH(C162,'Calibrare_Linii'!$A$6:$A$19,0)),1,0)))</x:f>
        <x:v>0</x:v>
      </x:c>
    </x:row>
    <x:row r="163" ht="21" customHeight="1">
      <x:c r="A163" s="7"/>
      <x:c r="B163" s="7"/>
      <x:c r="C163" s="7"/>
      <x:c r="D163" s="8"/>
      <x:c r="E163" s="8"/>
      <x:c r="F163" s="8"/>
      <x:c r="G163" s="12"/>
      <x:c r="H163" s="7"/>
      <x:c r="I163" s="7"/>
      <x:c r="J163" s="7"/>
      <x:c r="K163" s="7"/>
      <x:c r="L163" s="7"/>
      <x:c r="M163" s="7"/>
      <x:c r="N163" s="7"/>
      <x:c r="O163" s="7"/>
      <x:c r="P163" s="8"/>
      <x:c r="Q163" s="7"/>
      <x:c r="R163" s="7"/>
      <x:c r="S163" s="7"/>
      <x:c r="T163" s="2" t="n">
        <x:f>IF(A163="",0,IFERROR(IF(AND(B163&lt;&gt;"",COUNTIF('Calibrare_Linii'!$A$6:$A$19,C163)=1,COUNTIFS(OOSTable[Fixture_ID],A163,OOSTable[Line],C163)=1,ISNUMBER(D163),ISNUMBER(E163),ISNUMBER(F163),F163&lt;D163,D163&lt;E163,ISNUMBER(G163),G163&gt;='Config_v6'!$B$50,G163&lt;=1,ISNUMBER(H163),H163&gt;='Config_v6'!$B$51,H163&lt;=100,ISNUMBER(I163),I163&gt;=0,I163&lt;='Config_v6'!$B$53,ISNUMBER(J163),J163&gt;=0,J163&lt;='Config_v6'!$B$52,K163="NO",L163=12,M163="PASS",ISNUMBER(N163),N163&gt;=0,MOD(N163,1)=0,O163&lt;&gt;"",ISNUMBER(P163),P163&gt;E163,Q163&lt;&gt;"",R163&lt;&gt;"",S163="LIVE"),1,0),0))</x:f>
        <x:v>0</x:v>
      </x:c>
      <x:c r="U163" s="2" t="n">
        <x:f>IF(T163&lt;&gt;1,0,IF(LEFT(C163,1)="O",IF(N163&gt;INDEX('Calibrare_Linii'!$C$6:$C$19,MATCH(C163,'Calibrare_Linii'!$A$6:$A$19,0)),1,0),IF(N163&lt;=INDEX('Calibrare_Linii'!$C$6:$C$19,MATCH(C163,'Calibrare_Linii'!$A$6:$A$19,0)),1,0)))</x:f>
        <x:v>0</x:v>
      </x:c>
    </x:row>
    <x:row r="164" ht="21" customHeight="1">
      <x:c r="A164" s="7"/>
      <x:c r="B164" s="7"/>
      <x:c r="C164" s="7"/>
      <x:c r="D164" s="8"/>
      <x:c r="E164" s="8"/>
      <x:c r="F164" s="8"/>
      <x:c r="G164" s="12"/>
      <x:c r="H164" s="7"/>
      <x:c r="I164" s="7"/>
      <x:c r="J164" s="7"/>
      <x:c r="K164" s="7"/>
      <x:c r="L164" s="7"/>
      <x:c r="M164" s="7"/>
      <x:c r="N164" s="7"/>
      <x:c r="O164" s="7"/>
      <x:c r="P164" s="8"/>
      <x:c r="Q164" s="7"/>
      <x:c r="R164" s="7"/>
      <x:c r="S164" s="7"/>
      <x:c r="T164" s="2" t="n">
        <x:f>IF(A164="",0,IFERROR(IF(AND(B164&lt;&gt;"",COUNTIF('Calibrare_Linii'!$A$6:$A$19,C164)=1,COUNTIFS(OOSTable[Fixture_ID],A164,OOSTable[Line],C164)=1,ISNUMBER(D164),ISNUMBER(E164),ISNUMBER(F164),F164&lt;D164,D164&lt;E164,ISNUMBER(G164),G164&gt;='Config_v6'!$B$50,G164&lt;=1,ISNUMBER(H164),H164&gt;='Config_v6'!$B$51,H164&lt;=100,ISNUMBER(I164),I164&gt;=0,I164&lt;='Config_v6'!$B$53,ISNUMBER(J164),J164&gt;=0,J164&lt;='Config_v6'!$B$52,K164="NO",L164=12,M164="PASS",ISNUMBER(N164),N164&gt;=0,MOD(N164,1)=0,O164&lt;&gt;"",ISNUMBER(P164),P164&gt;E164,Q164&lt;&gt;"",R164&lt;&gt;"",S164="LIVE"),1,0),0))</x:f>
        <x:v>0</x:v>
      </x:c>
      <x:c r="U164" s="2" t="n">
        <x:f>IF(T164&lt;&gt;1,0,IF(LEFT(C164,1)="O",IF(N164&gt;INDEX('Calibrare_Linii'!$C$6:$C$19,MATCH(C164,'Calibrare_Linii'!$A$6:$A$19,0)),1,0),IF(N164&lt;=INDEX('Calibrare_Linii'!$C$6:$C$19,MATCH(C164,'Calibrare_Linii'!$A$6:$A$19,0)),1,0)))</x:f>
        <x:v>0</x:v>
      </x:c>
    </x:row>
    <x:row r="165" ht="21" customHeight="1">
      <x:c r="A165" s="7"/>
      <x:c r="B165" s="7"/>
      <x:c r="C165" s="7"/>
      <x:c r="D165" s="8"/>
      <x:c r="E165" s="8"/>
      <x:c r="F165" s="8"/>
      <x:c r="G165" s="12"/>
      <x:c r="H165" s="7"/>
      <x:c r="I165" s="7"/>
      <x:c r="J165" s="7"/>
      <x:c r="K165" s="7"/>
      <x:c r="L165" s="7"/>
      <x:c r="M165" s="7"/>
      <x:c r="N165" s="7"/>
      <x:c r="O165" s="7"/>
      <x:c r="P165" s="8"/>
      <x:c r="Q165" s="7"/>
      <x:c r="R165" s="7"/>
      <x:c r="S165" s="7"/>
      <x:c r="T165" s="2" t="n">
        <x:f>IF(A165="",0,IFERROR(IF(AND(B165&lt;&gt;"",COUNTIF('Calibrare_Linii'!$A$6:$A$19,C165)=1,COUNTIFS(OOSTable[Fixture_ID],A165,OOSTable[Line],C165)=1,ISNUMBER(D165),ISNUMBER(E165),ISNUMBER(F165),F165&lt;D165,D165&lt;E165,ISNUMBER(G165),G165&gt;='Config_v6'!$B$50,G165&lt;=1,ISNUMBER(H165),H165&gt;='Config_v6'!$B$51,H165&lt;=100,ISNUMBER(I165),I165&gt;=0,I165&lt;='Config_v6'!$B$53,ISNUMBER(J165),J165&gt;=0,J165&lt;='Config_v6'!$B$52,K165="NO",L165=12,M165="PASS",ISNUMBER(N165),N165&gt;=0,MOD(N165,1)=0,O165&lt;&gt;"",ISNUMBER(P165),P165&gt;E165,Q165&lt;&gt;"",R165&lt;&gt;"",S165="LIVE"),1,0),0))</x:f>
        <x:v>0</x:v>
      </x:c>
      <x:c r="U165" s="2" t="n">
        <x:f>IF(T165&lt;&gt;1,0,IF(LEFT(C165,1)="O",IF(N165&gt;INDEX('Calibrare_Linii'!$C$6:$C$19,MATCH(C165,'Calibrare_Linii'!$A$6:$A$19,0)),1,0),IF(N165&lt;=INDEX('Calibrare_Linii'!$C$6:$C$19,MATCH(C165,'Calibrare_Linii'!$A$6:$A$19,0)),1,0)))</x:f>
        <x:v>0</x:v>
      </x:c>
    </x:row>
    <x:row r="166" ht="21" customHeight="1">
      <x:c r="A166" s="7"/>
      <x:c r="B166" s="7"/>
      <x:c r="C166" s="7"/>
      <x:c r="D166" s="8"/>
      <x:c r="E166" s="8"/>
      <x:c r="F166" s="8"/>
      <x:c r="G166" s="12"/>
      <x:c r="H166" s="7"/>
      <x:c r="I166" s="7"/>
      <x:c r="J166" s="7"/>
      <x:c r="K166" s="7"/>
      <x:c r="L166" s="7"/>
      <x:c r="M166" s="7"/>
      <x:c r="N166" s="7"/>
      <x:c r="O166" s="7"/>
      <x:c r="P166" s="8"/>
      <x:c r="Q166" s="7"/>
      <x:c r="R166" s="7"/>
      <x:c r="S166" s="7"/>
      <x:c r="T166" s="2" t="n">
        <x:f>IF(A166="",0,IFERROR(IF(AND(B166&lt;&gt;"",COUNTIF('Calibrare_Linii'!$A$6:$A$19,C166)=1,COUNTIFS(OOSTable[Fixture_ID],A166,OOSTable[Line],C166)=1,ISNUMBER(D166),ISNUMBER(E166),ISNUMBER(F166),F166&lt;D166,D166&lt;E166,ISNUMBER(G166),G166&gt;='Config_v6'!$B$50,G166&lt;=1,ISNUMBER(H166),H166&gt;='Config_v6'!$B$51,H166&lt;=100,ISNUMBER(I166),I166&gt;=0,I166&lt;='Config_v6'!$B$53,ISNUMBER(J166),J166&gt;=0,J166&lt;='Config_v6'!$B$52,K166="NO",L166=12,M166="PASS",ISNUMBER(N166),N166&gt;=0,MOD(N166,1)=0,O166&lt;&gt;"",ISNUMBER(P166),P166&gt;E166,Q166&lt;&gt;"",R166&lt;&gt;"",S166="LIVE"),1,0),0))</x:f>
        <x:v>0</x:v>
      </x:c>
      <x:c r="U166" s="2" t="n">
        <x:f>IF(T166&lt;&gt;1,0,IF(LEFT(C166,1)="O",IF(N166&gt;INDEX('Calibrare_Linii'!$C$6:$C$19,MATCH(C166,'Calibrare_Linii'!$A$6:$A$19,0)),1,0),IF(N166&lt;=INDEX('Calibrare_Linii'!$C$6:$C$19,MATCH(C166,'Calibrare_Linii'!$A$6:$A$19,0)),1,0)))</x:f>
        <x:v>0</x:v>
      </x:c>
    </x:row>
    <x:row r="167" ht="21" customHeight="1">
      <x:c r="A167" s="7"/>
      <x:c r="B167" s="7"/>
      <x:c r="C167" s="7"/>
      <x:c r="D167" s="8"/>
      <x:c r="E167" s="8"/>
      <x:c r="F167" s="8"/>
      <x:c r="G167" s="12"/>
      <x:c r="H167" s="7"/>
      <x:c r="I167" s="7"/>
      <x:c r="J167" s="7"/>
      <x:c r="K167" s="7"/>
      <x:c r="L167" s="7"/>
      <x:c r="M167" s="7"/>
      <x:c r="N167" s="7"/>
      <x:c r="O167" s="7"/>
      <x:c r="P167" s="8"/>
      <x:c r="Q167" s="7"/>
      <x:c r="R167" s="7"/>
      <x:c r="S167" s="7"/>
      <x:c r="T167" s="2" t="n">
        <x:f>IF(A167="",0,IFERROR(IF(AND(B167&lt;&gt;"",COUNTIF('Calibrare_Linii'!$A$6:$A$19,C167)=1,COUNTIFS(OOSTable[Fixture_ID],A167,OOSTable[Line],C167)=1,ISNUMBER(D167),ISNUMBER(E167),ISNUMBER(F167),F167&lt;D167,D167&lt;E167,ISNUMBER(G167),G167&gt;='Config_v6'!$B$50,G167&lt;=1,ISNUMBER(H167),H167&gt;='Config_v6'!$B$51,H167&lt;=100,ISNUMBER(I167),I167&gt;=0,I167&lt;='Config_v6'!$B$53,ISNUMBER(J167),J167&gt;=0,J167&lt;='Config_v6'!$B$52,K167="NO",L167=12,M167="PASS",ISNUMBER(N167),N167&gt;=0,MOD(N167,1)=0,O167&lt;&gt;"",ISNUMBER(P167),P167&gt;E167,Q167&lt;&gt;"",R167&lt;&gt;"",S167="LIVE"),1,0),0))</x:f>
        <x:v>0</x:v>
      </x:c>
      <x:c r="U167" s="2" t="n">
        <x:f>IF(T167&lt;&gt;1,0,IF(LEFT(C167,1)="O",IF(N167&gt;INDEX('Calibrare_Linii'!$C$6:$C$19,MATCH(C167,'Calibrare_Linii'!$A$6:$A$19,0)),1,0),IF(N167&lt;=INDEX('Calibrare_Linii'!$C$6:$C$19,MATCH(C167,'Calibrare_Linii'!$A$6:$A$19,0)),1,0)))</x:f>
        <x:v>0</x:v>
      </x:c>
    </x:row>
    <x:row r="168" ht="21" customHeight="1">
      <x:c r="A168" s="7"/>
      <x:c r="B168" s="7"/>
      <x:c r="C168" s="7"/>
      <x:c r="D168" s="8"/>
      <x:c r="E168" s="8"/>
      <x:c r="F168" s="8"/>
      <x:c r="G168" s="12"/>
      <x:c r="H168" s="7"/>
      <x:c r="I168" s="7"/>
      <x:c r="J168" s="7"/>
      <x:c r="K168" s="7"/>
      <x:c r="L168" s="7"/>
      <x:c r="M168" s="7"/>
      <x:c r="N168" s="7"/>
      <x:c r="O168" s="7"/>
      <x:c r="P168" s="8"/>
      <x:c r="Q168" s="7"/>
      <x:c r="R168" s="7"/>
      <x:c r="S168" s="7"/>
      <x:c r="T168" s="2" t="n">
        <x:f>IF(A168="",0,IFERROR(IF(AND(B168&lt;&gt;"",COUNTIF('Calibrare_Linii'!$A$6:$A$19,C168)=1,COUNTIFS(OOSTable[Fixture_ID],A168,OOSTable[Line],C168)=1,ISNUMBER(D168),ISNUMBER(E168),ISNUMBER(F168),F168&lt;D168,D168&lt;E168,ISNUMBER(G168),G168&gt;='Config_v6'!$B$50,G168&lt;=1,ISNUMBER(H168),H168&gt;='Config_v6'!$B$51,H168&lt;=100,ISNUMBER(I168),I168&gt;=0,I168&lt;='Config_v6'!$B$53,ISNUMBER(J168),J168&gt;=0,J168&lt;='Config_v6'!$B$52,K168="NO",L168=12,M168="PASS",ISNUMBER(N168),N168&gt;=0,MOD(N168,1)=0,O168&lt;&gt;"",ISNUMBER(P168),P168&gt;E168,Q168&lt;&gt;"",R168&lt;&gt;"",S168="LIVE"),1,0),0))</x:f>
        <x:v>0</x:v>
      </x:c>
      <x:c r="U168" s="2" t="n">
        <x:f>IF(T168&lt;&gt;1,0,IF(LEFT(C168,1)="O",IF(N168&gt;INDEX('Calibrare_Linii'!$C$6:$C$19,MATCH(C168,'Calibrare_Linii'!$A$6:$A$19,0)),1,0),IF(N168&lt;=INDEX('Calibrare_Linii'!$C$6:$C$19,MATCH(C168,'Calibrare_Linii'!$A$6:$A$19,0)),1,0)))</x:f>
        <x:v>0</x:v>
      </x:c>
    </x:row>
    <x:row r="169" ht="21" customHeight="1">
      <x:c r="A169" s="7"/>
      <x:c r="B169" s="7"/>
      <x:c r="C169" s="7"/>
      <x:c r="D169" s="8"/>
      <x:c r="E169" s="8"/>
      <x:c r="F169" s="8"/>
      <x:c r="G169" s="12"/>
      <x:c r="H169" s="7"/>
      <x:c r="I169" s="7"/>
      <x:c r="J169" s="7"/>
      <x:c r="K169" s="7"/>
      <x:c r="L169" s="7"/>
      <x:c r="M169" s="7"/>
      <x:c r="N169" s="7"/>
      <x:c r="O169" s="7"/>
      <x:c r="P169" s="8"/>
      <x:c r="Q169" s="7"/>
      <x:c r="R169" s="7"/>
      <x:c r="S169" s="7"/>
      <x:c r="T169" s="2" t="n">
        <x:f>IF(A169="",0,IFERROR(IF(AND(B169&lt;&gt;"",COUNTIF('Calibrare_Linii'!$A$6:$A$19,C169)=1,COUNTIFS(OOSTable[Fixture_ID],A169,OOSTable[Line],C169)=1,ISNUMBER(D169),ISNUMBER(E169),ISNUMBER(F169),F169&lt;D169,D169&lt;E169,ISNUMBER(G169),G169&gt;='Config_v6'!$B$50,G169&lt;=1,ISNUMBER(H169),H169&gt;='Config_v6'!$B$51,H169&lt;=100,ISNUMBER(I169),I169&gt;=0,I169&lt;='Config_v6'!$B$53,ISNUMBER(J169),J169&gt;=0,J169&lt;='Config_v6'!$B$52,K169="NO",L169=12,M169="PASS",ISNUMBER(N169),N169&gt;=0,MOD(N169,1)=0,O169&lt;&gt;"",ISNUMBER(P169),P169&gt;E169,Q169&lt;&gt;"",R169&lt;&gt;"",S169="LIVE"),1,0),0))</x:f>
        <x:v>0</x:v>
      </x:c>
      <x:c r="U169" s="2" t="n">
        <x:f>IF(T169&lt;&gt;1,0,IF(LEFT(C169,1)="O",IF(N169&gt;INDEX('Calibrare_Linii'!$C$6:$C$19,MATCH(C169,'Calibrare_Linii'!$A$6:$A$19,0)),1,0),IF(N169&lt;=INDEX('Calibrare_Linii'!$C$6:$C$19,MATCH(C169,'Calibrare_Linii'!$A$6:$A$19,0)),1,0)))</x:f>
        <x:v>0</x:v>
      </x:c>
    </x:row>
    <x:row r="170" ht="21" customHeight="1">
      <x:c r="A170" s="7"/>
      <x:c r="B170" s="7"/>
      <x:c r="C170" s="7"/>
      <x:c r="D170" s="8"/>
      <x:c r="E170" s="8"/>
      <x:c r="F170" s="8"/>
      <x:c r="G170" s="12"/>
      <x:c r="H170" s="7"/>
      <x:c r="I170" s="7"/>
      <x:c r="J170" s="7"/>
      <x:c r="K170" s="7"/>
      <x:c r="L170" s="7"/>
      <x:c r="M170" s="7"/>
      <x:c r="N170" s="7"/>
      <x:c r="O170" s="7"/>
      <x:c r="P170" s="8"/>
      <x:c r="Q170" s="7"/>
      <x:c r="R170" s="7"/>
      <x:c r="S170" s="7"/>
      <x:c r="T170" s="2" t="n">
        <x:f>IF(A170="",0,IFERROR(IF(AND(B170&lt;&gt;"",COUNTIF('Calibrare_Linii'!$A$6:$A$19,C170)=1,COUNTIFS(OOSTable[Fixture_ID],A170,OOSTable[Line],C170)=1,ISNUMBER(D170),ISNUMBER(E170),ISNUMBER(F170),F170&lt;D170,D170&lt;E170,ISNUMBER(G170),G170&gt;='Config_v6'!$B$50,G170&lt;=1,ISNUMBER(H170),H170&gt;='Config_v6'!$B$51,H170&lt;=100,ISNUMBER(I170),I170&gt;=0,I170&lt;='Config_v6'!$B$53,ISNUMBER(J170),J170&gt;=0,J170&lt;='Config_v6'!$B$52,K170="NO",L170=12,M170="PASS",ISNUMBER(N170),N170&gt;=0,MOD(N170,1)=0,O170&lt;&gt;"",ISNUMBER(P170),P170&gt;E170,Q170&lt;&gt;"",R170&lt;&gt;"",S170="LIVE"),1,0),0))</x:f>
        <x:v>0</x:v>
      </x:c>
      <x:c r="U170" s="2" t="n">
        <x:f>IF(T170&lt;&gt;1,0,IF(LEFT(C170,1)="O",IF(N170&gt;INDEX('Calibrare_Linii'!$C$6:$C$19,MATCH(C170,'Calibrare_Linii'!$A$6:$A$19,0)),1,0),IF(N170&lt;=INDEX('Calibrare_Linii'!$C$6:$C$19,MATCH(C170,'Calibrare_Linii'!$A$6:$A$19,0)),1,0)))</x:f>
        <x:v>0</x:v>
      </x:c>
    </x:row>
    <x:row r="171" ht="21" customHeight="1">
      <x:c r="A171" s="7"/>
      <x:c r="B171" s="7"/>
      <x:c r="C171" s="7"/>
      <x:c r="D171" s="8"/>
      <x:c r="E171" s="8"/>
      <x:c r="F171" s="8"/>
      <x:c r="G171" s="12"/>
      <x:c r="H171" s="7"/>
      <x:c r="I171" s="7"/>
      <x:c r="J171" s="7"/>
      <x:c r="K171" s="7"/>
      <x:c r="L171" s="7"/>
      <x:c r="M171" s="7"/>
      <x:c r="N171" s="7"/>
      <x:c r="O171" s="7"/>
      <x:c r="P171" s="8"/>
      <x:c r="Q171" s="7"/>
      <x:c r="R171" s="7"/>
      <x:c r="S171" s="7"/>
      <x:c r="T171" s="2" t="n">
        <x:f>IF(A171="",0,IFERROR(IF(AND(B171&lt;&gt;"",COUNTIF('Calibrare_Linii'!$A$6:$A$19,C171)=1,COUNTIFS(OOSTable[Fixture_ID],A171,OOSTable[Line],C171)=1,ISNUMBER(D171),ISNUMBER(E171),ISNUMBER(F171),F171&lt;D171,D171&lt;E171,ISNUMBER(G171),G171&gt;='Config_v6'!$B$50,G171&lt;=1,ISNUMBER(H171),H171&gt;='Config_v6'!$B$51,H171&lt;=100,ISNUMBER(I171),I171&gt;=0,I171&lt;='Config_v6'!$B$53,ISNUMBER(J171),J171&gt;=0,J171&lt;='Config_v6'!$B$52,K171="NO",L171=12,M171="PASS",ISNUMBER(N171),N171&gt;=0,MOD(N171,1)=0,O171&lt;&gt;"",ISNUMBER(P171),P171&gt;E171,Q171&lt;&gt;"",R171&lt;&gt;"",S171="LIVE"),1,0),0))</x:f>
        <x:v>0</x:v>
      </x:c>
      <x:c r="U171" s="2" t="n">
        <x:f>IF(T171&lt;&gt;1,0,IF(LEFT(C171,1)="O",IF(N171&gt;INDEX('Calibrare_Linii'!$C$6:$C$19,MATCH(C171,'Calibrare_Linii'!$A$6:$A$19,0)),1,0),IF(N171&lt;=INDEX('Calibrare_Linii'!$C$6:$C$19,MATCH(C171,'Calibrare_Linii'!$A$6:$A$19,0)),1,0)))</x:f>
        <x:v>0</x:v>
      </x:c>
    </x:row>
    <x:row r="172" ht="21" customHeight="1">
      <x:c r="A172" s="7"/>
      <x:c r="B172" s="7"/>
      <x:c r="C172" s="7"/>
      <x:c r="D172" s="8"/>
      <x:c r="E172" s="8"/>
      <x:c r="F172" s="8"/>
      <x:c r="G172" s="12"/>
      <x:c r="H172" s="7"/>
      <x:c r="I172" s="7"/>
      <x:c r="J172" s="7"/>
      <x:c r="K172" s="7"/>
      <x:c r="L172" s="7"/>
      <x:c r="M172" s="7"/>
      <x:c r="N172" s="7"/>
      <x:c r="O172" s="7"/>
      <x:c r="P172" s="8"/>
      <x:c r="Q172" s="7"/>
      <x:c r="R172" s="7"/>
      <x:c r="S172" s="7"/>
      <x:c r="T172" s="2" t="n">
        <x:f>IF(A172="",0,IFERROR(IF(AND(B172&lt;&gt;"",COUNTIF('Calibrare_Linii'!$A$6:$A$19,C172)=1,COUNTIFS(OOSTable[Fixture_ID],A172,OOSTable[Line],C172)=1,ISNUMBER(D172),ISNUMBER(E172),ISNUMBER(F172),F172&lt;D172,D172&lt;E172,ISNUMBER(G172),G172&gt;='Config_v6'!$B$50,G172&lt;=1,ISNUMBER(H172),H172&gt;='Config_v6'!$B$51,H172&lt;=100,ISNUMBER(I172),I172&gt;=0,I172&lt;='Config_v6'!$B$53,ISNUMBER(J172),J172&gt;=0,J172&lt;='Config_v6'!$B$52,K172="NO",L172=12,M172="PASS",ISNUMBER(N172),N172&gt;=0,MOD(N172,1)=0,O172&lt;&gt;"",ISNUMBER(P172),P172&gt;E172,Q172&lt;&gt;"",R172&lt;&gt;"",S172="LIVE"),1,0),0))</x:f>
        <x:v>0</x:v>
      </x:c>
      <x:c r="U172" s="2" t="n">
        <x:f>IF(T172&lt;&gt;1,0,IF(LEFT(C172,1)="O",IF(N172&gt;INDEX('Calibrare_Linii'!$C$6:$C$19,MATCH(C172,'Calibrare_Linii'!$A$6:$A$19,0)),1,0),IF(N172&lt;=INDEX('Calibrare_Linii'!$C$6:$C$19,MATCH(C172,'Calibrare_Linii'!$A$6:$A$19,0)),1,0)))</x:f>
        <x:v>0</x:v>
      </x:c>
    </x:row>
    <x:row r="173" ht="21" customHeight="1">
      <x:c r="A173" s="7"/>
      <x:c r="B173" s="7"/>
      <x:c r="C173" s="7"/>
      <x:c r="D173" s="8"/>
      <x:c r="E173" s="8"/>
      <x:c r="F173" s="8"/>
      <x:c r="G173" s="12"/>
      <x:c r="H173" s="7"/>
      <x:c r="I173" s="7"/>
      <x:c r="J173" s="7"/>
      <x:c r="K173" s="7"/>
      <x:c r="L173" s="7"/>
      <x:c r="M173" s="7"/>
      <x:c r="N173" s="7"/>
      <x:c r="O173" s="7"/>
      <x:c r="P173" s="8"/>
      <x:c r="Q173" s="7"/>
      <x:c r="R173" s="7"/>
      <x:c r="S173" s="7"/>
      <x:c r="T173" s="2" t="n">
        <x:f>IF(A173="",0,IFERROR(IF(AND(B173&lt;&gt;"",COUNTIF('Calibrare_Linii'!$A$6:$A$19,C173)=1,COUNTIFS(OOSTable[Fixture_ID],A173,OOSTable[Line],C173)=1,ISNUMBER(D173),ISNUMBER(E173),ISNUMBER(F173),F173&lt;D173,D173&lt;E173,ISNUMBER(G173),G173&gt;='Config_v6'!$B$50,G173&lt;=1,ISNUMBER(H173),H173&gt;='Config_v6'!$B$51,H173&lt;=100,ISNUMBER(I173),I173&gt;=0,I173&lt;='Config_v6'!$B$53,ISNUMBER(J173),J173&gt;=0,J173&lt;='Config_v6'!$B$52,K173="NO",L173=12,M173="PASS",ISNUMBER(N173),N173&gt;=0,MOD(N173,1)=0,O173&lt;&gt;"",ISNUMBER(P173),P173&gt;E173,Q173&lt;&gt;"",R173&lt;&gt;"",S173="LIVE"),1,0),0))</x:f>
        <x:v>0</x:v>
      </x:c>
      <x:c r="U173" s="2" t="n">
        <x:f>IF(T173&lt;&gt;1,0,IF(LEFT(C173,1)="O",IF(N173&gt;INDEX('Calibrare_Linii'!$C$6:$C$19,MATCH(C173,'Calibrare_Linii'!$A$6:$A$19,0)),1,0),IF(N173&lt;=INDEX('Calibrare_Linii'!$C$6:$C$19,MATCH(C173,'Calibrare_Linii'!$A$6:$A$19,0)),1,0)))</x:f>
        <x:v>0</x:v>
      </x:c>
    </x:row>
    <x:row r="174" ht="21" customHeight="1">
      <x:c r="A174" s="7"/>
      <x:c r="B174" s="7"/>
      <x:c r="C174" s="7"/>
      <x:c r="D174" s="8"/>
      <x:c r="E174" s="8"/>
      <x:c r="F174" s="8"/>
      <x:c r="G174" s="12"/>
      <x:c r="H174" s="7"/>
      <x:c r="I174" s="7"/>
      <x:c r="J174" s="7"/>
      <x:c r="K174" s="7"/>
      <x:c r="L174" s="7"/>
      <x:c r="M174" s="7"/>
      <x:c r="N174" s="7"/>
      <x:c r="O174" s="7"/>
      <x:c r="P174" s="8"/>
      <x:c r="Q174" s="7"/>
      <x:c r="R174" s="7"/>
      <x:c r="S174" s="7"/>
      <x:c r="T174" s="2" t="n">
        <x:f>IF(A174="",0,IFERROR(IF(AND(B174&lt;&gt;"",COUNTIF('Calibrare_Linii'!$A$6:$A$19,C174)=1,COUNTIFS(OOSTable[Fixture_ID],A174,OOSTable[Line],C174)=1,ISNUMBER(D174),ISNUMBER(E174),ISNUMBER(F174),F174&lt;D174,D174&lt;E174,ISNUMBER(G174),G174&gt;='Config_v6'!$B$50,G174&lt;=1,ISNUMBER(H174),H174&gt;='Config_v6'!$B$51,H174&lt;=100,ISNUMBER(I174),I174&gt;=0,I174&lt;='Config_v6'!$B$53,ISNUMBER(J174),J174&gt;=0,J174&lt;='Config_v6'!$B$52,K174="NO",L174=12,M174="PASS",ISNUMBER(N174),N174&gt;=0,MOD(N174,1)=0,O174&lt;&gt;"",ISNUMBER(P174),P174&gt;E174,Q174&lt;&gt;"",R174&lt;&gt;"",S174="LIVE"),1,0),0))</x:f>
        <x:v>0</x:v>
      </x:c>
      <x:c r="U174" s="2" t="n">
        <x:f>IF(T174&lt;&gt;1,0,IF(LEFT(C174,1)="O",IF(N174&gt;INDEX('Calibrare_Linii'!$C$6:$C$19,MATCH(C174,'Calibrare_Linii'!$A$6:$A$19,0)),1,0),IF(N174&lt;=INDEX('Calibrare_Linii'!$C$6:$C$19,MATCH(C174,'Calibrare_Linii'!$A$6:$A$19,0)),1,0)))</x:f>
        <x:v>0</x:v>
      </x:c>
    </x:row>
    <x:row r="175" ht="21" customHeight="1">
      <x:c r="A175" s="7"/>
      <x:c r="B175" s="7"/>
      <x:c r="C175" s="7"/>
      <x:c r="D175" s="8"/>
      <x:c r="E175" s="8"/>
      <x:c r="F175" s="8"/>
      <x:c r="G175" s="12"/>
      <x:c r="H175" s="7"/>
      <x:c r="I175" s="7"/>
      <x:c r="J175" s="7"/>
      <x:c r="K175" s="7"/>
      <x:c r="L175" s="7"/>
      <x:c r="M175" s="7"/>
      <x:c r="N175" s="7"/>
      <x:c r="O175" s="7"/>
      <x:c r="P175" s="8"/>
      <x:c r="Q175" s="7"/>
      <x:c r="R175" s="7"/>
      <x:c r="S175" s="7"/>
      <x:c r="T175" s="2" t="n">
        <x:f>IF(A175="",0,IFERROR(IF(AND(B175&lt;&gt;"",COUNTIF('Calibrare_Linii'!$A$6:$A$19,C175)=1,COUNTIFS(OOSTable[Fixture_ID],A175,OOSTable[Line],C175)=1,ISNUMBER(D175),ISNUMBER(E175),ISNUMBER(F175),F175&lt;D175,D175&lt;E175,ISNUMBER(G175),G175&gt;='Config_v6'!$B$50,G175&lt;=1,ISNUMBER(H175),H175&gt;='Config_v6'!$B$51,H175&lt;=100,ISNUMBER(I175),I175&gt;=0,I175&lt;='Config_v6'!$B$53,ISNUMBER(J175),J175&gt;=0,J175&lt;='Config_v6'!$B$52,K175="NO",L175=12,M175="PASS",ISNUMBER(N175),N175&gt;=0,MOD(N175,1)=0,O175&lt;&gt;"",ISNUMBER(P175),P175&gt;E175,Q175&lt;&gt;"",R175&lt;&gt;"",S175="LIVE"),1,0),0))</x:f>
        <x:v>0</x:v>
      </x:c>
      <x:c r="U175" s="2" t="n">
        <x:f>IF(T175&lt;&gt;1,0,IF(LEFT(C175,1)="O",IF(N175&gt;INDEX('Calibrare_Linii'!$C$6:$C$19,MATCH(C175,'Calibrare_Linii'!$A$6:$A$19,0)),1,0),IF(N175&lt;=INDEX('Calibrare_Linii'!$C$6:$C$19,MATCH(C175,'Calibrare_Linii'!$A$6:$A$19,0)),1,0)))</x:f>
        <x:v>0</x:v>
      </x:c>
    </x:row>
    <x:row r="176" ht="21" customHeight="1">
      <x:c r="A176" s="7"/>
      <x:c r="B176" s="7"/>
      <x:c r="C176" s="7"/>
      <x:c r="D176" s="8"/>
      <x:c r="E176" s="8"/>
      <x:c r="F176" s="8"/>
      <x:c r="G176" s="12"/>
      <x:c r="H176" s="7"/>
      <x:c r="I176" s="7"/>
      <x:c r="J176" s="7"/>
      <x:c r="K176" s="7"/>
      <x:c r="L176" s="7"/>
      <x:c r="M176" s="7"/>
      <x:c r="N176" s="7"/>
      <x:c r="O176" s="7"/>
      <x:c r="P176" s="8"/>
      <x:c r="Q176" s="7"/>
      <x:c r="R176" s="7"/>
      <x:c r="S176" s="7"/>
      <x:c r="T176" s="2" t="n">
        <x:f>IF(A176="",0,IFERROR(IF(AND(B176&lt;&gt;"",COUNTIF('Calibrare_Linii'!$A$6:$A$19,C176)=1,COUNTIFS(OOSTable[Fixture_ID],A176,OOSTable[Line],C176)=1,ISNUMBER(D176),ISNUMBER(E176),ISNUMBER(F176),F176&lt;D176,D176&lt;E176,ISNUMBER(G176),G176&gt;='Config_v6'!$B$50,G176&lt;=1,ISNUMBER(H176),H176&gt;='Config_v6'!$B$51,H176&lt;=100,ISNUMBER(I176),I176&gt;=0,I176&lt;='Config_v6'!$B$53,ISNUMBER(J176),J176&gt;=0,J176&lt;='Config_v6'!$B$52,K176="NO",L176=12,M176="PASS",ISNUMBER(N176),N176&gt;=0,MOD(N176,1)=0,O176&lt;&gt;"",ISNUMBER(P176),P176&gt;E176,Q176&lt;&gt;"",R176&lt;&gt;"",S176="LIVE"),1,0),0))</x:f>
        <x:v>0</x:v>
      </x:c>
      <x:c r="U176" s="2" t="n">
        <x:f>IF(T176&lt;&gt;1,0,IF(LEFT(C176,1)="O",IF(N176&gt;INDEX('Calibrare_Linii'!$C$6:$C$19,MATCH(C176,'Calibrare_Linii'!$A$6:$A$19,0)),1,0),IF(N176&lt;=INDEX('Calibrare_Linii'!$C$6:$C$19,MATCH(C176,'Calibrare_Linii'!$A$6:$A$19,0)),1,0)))</x:f>
        <x:v>0</x:v>
      </x:c>
    </x:row>
    <x:row r="177" ht="21" customHeight="1">
      <x:c r="A177" s="7"/>
      <x:c r="B177" s="7"/>
      <x:c r="C177" s="7"/>
      <x:c r="D177" s="8"/>
      <x:c r="E177" s="8"/>
      <x:c r="F177" s="8"/>
      <x:c r="G177" s="12"/>
      <x:c r="H177" s="7"/>
      <x:c r="I177" s="7"/>
      <x:c r="J177" s="7"/>
      <x:c r="K177" s="7"/>
      <x:c r="L177" s="7"/>
      <x:c r="M177" s="7"/>
      <x:c r="N177" s="7"/>
      <x:c r="O177" s="7"/>
      <x:c r="P177" s="8"/>
      <x:c r="Q177" s="7"/>
      <x:c r="R177" s="7"/>
      <x:c r="S177" s="7"/>
      <x:c r="T177" s="2" t="n">
        <x:f>IF(A177="",0,IFERROR(IF(AND(B177&lt;&gt;"",COUNTIF('Calibrare_Linii'!$A$6:$A$19,C177)=1,COUNTIFS(OOSTable[Fixture_ID],A177,OOSTable[Line],C177)=1,ISNUMBER(D177),ISNUMBER(E177),ISNUMBER(F177),F177&lt;D177,D177&lt;E177,ISNUMBER(G177),G177&gt;='Config_v6'!$B$50,G177&lt;=1,ISNUMBER(H177),H177&gt;='Config_v6'!$B$51,H177&lt;=100,ISNUMBER(I177),I177&gt;=0,I177&lt;='Config_v6'!$B$53,ISNUMBER(J177),J177&gt;=0,J177&lt;='Config_v6'!$B$52,K177="NO",L177=12,M177="PASS",ISNUMBER(N177),N177&gt;=0,MOD(N177,1)=0,O177&lt;&gt;"",ISNUMBER(P177),P177&gt;E177,Q177&lt;&gt;"",R177&lt;&gt;"",S177="LIVE"),1,0),0))</x:f>
        <x:v>0</x:v>
      </x:c>
      <x:c r="U177" s="2" t="n">
        <x:f>IF(T177&lt;&gt;1,0,IF(LEFT(C177,1)="O",IF(N177&gt;INDEX('Calibrare_Linii'!$C$6:$C$19,MATCH(C177,'Calibrare_Linii'!$A$6:$A$19,0)),1,0),IF(N177&lt;=INDEX('Calibrare_Linii'!$C$6:$C$19,MATCH(C177,'Calibrare_Linii'!$A$6:$A$19,0)),1,0)))</x:f>
        <x:v>0</x:v>
      </x:c>
    </x:row>
    <x:row r="178" ht="21" customHeight="1">
      <x:c r="A178" s="7"/>
      <x:c r="B178" s="7"/>
      <x:c r="C178" s="7"/>
      <x:c r="D178" s="8"/>
      <x:c r="E178" s="8"/>
      <x:c r="F178" s="8"/>
      <x:c r="G178" s="12"/>
      <x:c r="H178" s="7"/>
      <x:c r="I178" s="7"/>
      <x:c r="J178" s="7"/>
      <x:c r="K178" s="7"/>
      <x:c r="L178" s="7"/>
      <x:c r="M178" s="7"/>
      <x:c r="N178" s="7"/>
      <x:c r="O178" s="7"/>
      <x:c r="P178" s="8"/>
      <x:c r="Q178" s="7"/>
      <x:c r="R178" s="7"/>
      <x:c r="S178" s="7"/>
      <x:c r="T178" s="2" t="n">
        <x:f>IF(A178="",0,IFERROR(IF(AND(B178&lt;&gt;"",COUNTIF('Calibrare_Linii'!$A$6:$A$19,C178)=1,COUNTIFS(OOSTable[Fixture_ID],A178,OOSTable[Line],C178)=1,ISNUMBER(D178),ISNUMBER(E178),ISNUMBER(F178),F178&lt;D178,D178&lt;E178,ISNUMBER(G178),G178&gt;='Config_v6'!$B$50,G178&lt;=1,ISNUMBER(H178),H178&gt;='Config_v6'!$B$51,H178&lt;=100,ISNUMBER(I178),I178&gt;=0,I178&lt;='Config_v6'!$B$53,ISNUMBER(J178),J178&gt;=0,J178&lt;='Config_v6'!$B$52,K178="NO",L178=12,M178="PASS",ISNUMBER(N178),N178&gt;=0,MOD(N178,1)=0,O178&lt;&gt;"",ISNUMBER(P178),P178&gt;E178,Q178&lt;&gt;"",R178&lt;&gt;"",S178="LIVE"),1,0),0))</x:f>
        <x:v>0</x:v>
      </x:c>
      <x:c r="U178" s="2" t="n">
        <x:f>IF(T178&lt;&gt;1,0,IF(LEFT(C178,1)="O",IF(N178&gt;INDEX('Calibrare_Linii'!$C$6:$C$19,MATCH(C178,'Calibrare_Linii'!$A$6:$A$19,0)),1,0),IF(N178&lt;=INDEX('Calibrare_Linii'!$C$6:$C$19,MATCH(C178,'Calibrare_Linii'!$A$6:$A$19,0)),1,0)))</x:f>
        <x:v>0</x:v>
      </x:c>
    </x:row>
    <x:row r="179" ht="21" customHeight="1">
      <x:c r="A179" s="7"/>
      <x:c r="B179" s="7"/>
      <x:c r="C179" s="7"/>
      <x:c r="D179" s="8"/>
      <x:c r="E179" s="8"/>
      <x:c r="F179" s="8"/>
      <x:c r="G179" s="12"/>
      <x:c r="H179" s="7"/>
      <x:c r="I179" s="7"/>
      <x:c r="J179" s="7"/>
      <x:c r="K179" s="7"/>
      <x:c r="L179" s="7"/>
      <x:c r="M179" s="7"/>
      <x:c r="N179" s="7"/>
      <x:c r="O179" s="7"/>
      <x:c r="P179" s="8"/>
      <x:c r="Q179" s="7"/>
      <x:c r="R179" s="7"/>
      <x:c r="S179" s="7"/>
      <x:c r="T179" s="2" t="n">
        <x:f>IF(A179="",0,IFERROR(IF(AND(B179&lt;&gt;"",COUNTIF('Calibrare_Linii'!$A$6:$A$19,C179)=1,COUNTIFS(OOSTable[Fixture_ID],A179,OOSTable[Line],C179)=1,ISNUMBER(D179),ISNUMBER(E179),ISNUMBER(F179),F179&lt;D179,D179&lt;E179,ISNUMBER(G179),G179&gt;='Config_v6'!$B$50,G179&lt;=1,ISNUMBER(H179),H179&gt;='Config_v6'!$B$51,H179&lt;=100,ISNUMBER(I179),I179&gt;=0,I179&lt;='Config_v6'!$B$53,ISNUMBER(J179),J179&gt;=0,J179&lt;='Config_v6'!$B$52,K179="NO",L179=12,M179="PASS",ISNUMBER(N179),N179&gt;=0,MOD(N179,1)=0,O179&lt;&gt;"",ISNUMBER(P179),P179&gt;E179,Q179&lt;&gt;"",R179&lt;&gt;"",S179="LIVE"),1,0),0))</x:f>
        <x:v>0</x:v>
      </x:c>
      <x:c r="U179" s="2" t="n">
        <x:f>IF(T179&lt;&gt;1,0,IF(LEFT(C179,1)="O",IF(N179&gt;INDEX('Calibrare_Linii'!$C$6:$C$19,MATCH(C179,'Calibrare_Linii'!$A$6:$A$19,0)),1,0),IF(N179&lt;=INDEX('Calibrare_Linii'!$C$6:$C$19,MATCH(C179,'Calibrare_Linii'!$A$6:$A$19,0)),1,0)))</x:f>
        <x:v>0</x:v>
      </x:c>
    </x:row>
    <x:row r="180" ht="21" customHeight="1">
      <x:c r="A180" s="7"/>
      <x:c r="B180" s="7"/>
      <x:c r="C180" s="7"/>
      <x:c r="D180" s="8"/>
      <x:c r="E180" s="8"/>
      <x:c r="F180" s="8"/>
      <x:c r="G180" s="12"/>
      <x:c r="H180" s="7"/>
      <x:c r="I180" s="7"/>
      <x:c r="J180" s="7"/>
      <x:c r="K180" s="7"/>
      <x:c r="L180" s="7"/>
      <x:c r="M180" s="7"/>
      <x:c r="N180" s="7"/>
      <x:c r="O180" s="7"/>
      <x:c r="P180" s="8"/>
      <x:c r="Q180" s="7"/>
      <x:c r="R180" s="7"/>
      <x:c r="S180" s="7"/>
      <x:c r="T180" s="2" t="n">
        <x:f>IF(A180="",0,IFERROR(IF(AND(B180&lt;&gt;"",COUNTIF('Calibrare_Linii'!$A$6:$A$19,C180)=1,COUNTIFS(OOSTable[Fixture_ID],A180,OOSTable[Line],C180)=1,ISNUMBER(D180),ISNUMBER(E180),ISNUMBER(F180),F180&lt;D180,D180&lt;E180,ISNUMBER(G180),G180&gt;='Config_v6'!$B$50,G180&lt;=1,ISNUMBER(H180),H180&gt;='Config_v6'!$B$51,H180&lt;=100,ISNUMBER(I180),I180&gt;=0,I180&lt;='Config_v6'!$B$53,ISNUMBER(J180),J180&gt;=0,J180&lt;='Config_v6'!$B$52,K180="NO",L180=12,M180="PASS",ISNUMBER(N180),N180&gt;=0,MOD(N180,1)=0,O180&lt;&gt;"",ISNUMBER(P180),P180&gt;E180,Q180&lt;&gt;"",R180&lt;&gt;"",S180="LIVE"),1,0),0))</x:f>
        <x:v>0</x:v>
      </x:c>
      <x:c r="U180" s="2" t="n">
        <x:f>IF(T180&lt;&gt;1,0,IF(LEFT(C180,1)="O",IF(N180&gt;INDEX('Calibrare_Linii'!$C$6:$C$19,MATCH(C180,'Calibrare_Linii'!$A$6:$A$19,0)),1,0),IF(N180&lt;=INDEX('Calibrare_Linii'!$C$6:$C$19,MATCH(C180,'Calibrare_Linii'!$A$6:$A$19,0)),1,0)))</x:f>
        <x:v>0</x:v>
      </x:c>
    </x:row>
    <x:row r="181" ht="21" customHeight="1">
      <x:c r="A181" s="7"/>
      <x:c r="B181" s="7"/>
      <x:c r="C181" s="7"/>
      <x:c r="D181" s="8"/>
      <x:c r="E181" s="8"/>
      <x:c r="F181" s="8"/>
      <x:c r="G181" s="12"/>
      <x:c r="H181" s="7"/>
      <x:c r="I181" s="7"/>
      <x:c r="J181" s="7"/>
      <x:c r="K181" s="7"/>
      <x:c r="L181" s="7"/>
      <x:c r="M181" s="7"/>
      <x:c r="N181" s="7"/>
      <x:c r="O181" s="7"/>
      <x:c r="P181" s="8"/>
      <x:c r="Q181" s="7"/>
      <x:c r="R181" s="7"/>
      <x:c r="S181" s="7"/>
      <x:c r="T181" s="2" t="n">
        <x:f>IF(A181="",0,IFERROR(IF(AND(B181&lt;&gt;"",COUNTIF('Calibrare_Linii'!$A$6:$A$19,C181)=1,COUNTIFS(OOSTable[Fixture_ID],A181,OOSTable[Line],C181)=1,ISNUMBER(D181),ISNUMBER(E181),ISNUMBER(F181),F181&lt;D181,D181&lt;E181,ISNUMBER(G181),G181&gt;='Config_v6'!$B$50,G181&lt;=1,ISNUMBER(H181),H181&gt;='Config_v6'!$B$51,H181&lt;=100,ISNUMBER(I181),I181&gt;=0,I181&lt;='Config_v6'!$B$53,ISNUMBER(J181),J181&gt;=0,J181&lt;='Config_v6'!$B$52,K181="NO",L181=12,M181="PASS",ISNUMBER(N181),N181&gt;=0,MOD(N181,1)=0,O181&lt;&gt;"",ISNUMBER(P181),P181&gt;E181,Q181&lt;&gt;"",R181&lt;&gt;"",S181="LIVE"),1,0),0))</x:f>
        <x:v>0</x:v>
      </x:c>
      <x:c r="U181" s="2" t="n">
        <x:f>IF(T181&lt;&gt;1,0,IF(LEFT(C181,1)="O",IF(N181&gt;INDEX('Calibrare_Linii'!$C$6:$C$19,MATCH(C181,'Calibrare_Linii'!$A$6:$A$19,0)),1,0),IF(N181&lt;=INDEX('Calibrare_Linii'!$C$6:$C$19,MATCH(C181,'Calibrare_Linii'!$A$6:$A$19,0)),1,0)))</x:f>
        <x:v>0</x:v>
      </x:c>
    </x:row>
    <x:row r="182" ht="21" customHeight="1">
      <x:c r="A182" s="7"/>
      <x:c r="B182" s="7"/>
      <x:c r="C182" s="7"/>
      <x:c r="D182" s="8"/>
      <x:c r="E182" s="8"/>
      <x:c r="F182" s="8"/>
      <x:c r="G182" s="12"/>
      <x:c r="H182" s="7"/>
      <x:c r="I182" s="7"/>
      <x:c r="J182" s="7"/>
      <x:c r="K182" s="7"/>
      <x:c r="L182" s="7"/>
      <x:c r="M182" s="7"/>
      <x:c r="N182" s="7"/>
      <x:c r="O182" s="7"/>
      <x:c r="P182" s="8"/>
      <x:c r="Q182" s="7"/>
      <x:c r="R182" s="7"/>
      <x:c r="S182" s="7"/>
      <x:c r="T182" s="2" t="n">
        <x:f>IF(A182="",0,IFERROR(IF(AND(B182&lt;&gt;"",COUNTIF('Calibrare_Linii'!$A$6:$A$19,C182)=1,COUNTIFS(OOSTable[Fixture_ID],A182,OOSTable[Line],C182)=1,ISNUMBER(D182),ISNUMBER(E182),ISNUMBER(F182),F182&lt;D182,D182&lt;E182,ISNUMBER(G182),G182&gt;='Config_v6'!$B$50,G182&lt;=1,ISNUMBER(H182),H182&gt;='Config_v6'!$B$51,H182&lt;=100,ISNUMBER(I182),I182&gt;=0,I182&lt;='Config_v6'!$B$53,ISNUMBER(J182),J182&gt;=0,J182&lt;='Config_v6'!$B$52,K182="NO",L182=12,M182="PASS",ISNUMBER(N182),N182&gt;=0,MOD(N182,1)=0,O182&lt;&gt;"",ISNUMBER(P182),P182&gt;E182,Q182&lt;&gt;"",R182&lt;&gt;"",S182="LIVE"),1,0),0))</x:f>
        <x:v>0</x:v>
      </x:c>
      <x:c r="U182" s="2" t="n">
        <x:f>IF(T182&lt;&gt;1,0,IF(LEFT(C182,1)="O",IF(N182&gt;INDEX('Calibrare_Linii'!$C$6:$C$19,MATCH(C182,'Calibrare_Linii'!$A$6:$A$19,0)),1,0),IF(N182&lt;=INDEX('Calibrare_Linii'!$C$6:$C$19,MATCH(C182,'Calibrare_Linii'!$A$6:$A$19,0)),1,0)))</x:f>
        <x:v>0</x:v>
      </x:c>
    </x:row>
    <x:row r="183" ht="21" customHeight="1">
      <x:c r="A183" s="7"/>
      <x:c r="B183" s="7"/>
      <x:c r="C183" s="7"/>
      <x:c r="D183" s="8"/>
      <x:c r="E183" s="8"/>
      <x:c r="F183" s="8"/>
      <x:c r="G183" s="12"/>
      <x:c r="H183" s="7"/>
      <x:c r="I183" s="7"/>
      <x:c r="J183" s="7"/>
      <x:c r="K183" s="7"/>
      <x:c r="L183" s="7"/>
      <x:c r="M183" s="7"/>
      <x:c r="N183" s="7"/>
      <x:c r="O183" s="7"/>
      <x:c r="P183" s="8"/>
      <x:c r="Q183" s="7"/>
      <x:c r="R183" s="7"/>
      <x:c r="S183" s="7"/>
      <x:c r="T183" s="2" t="n">
        <x:f>IF(A183="",0,IFERROR(IF(AND(B183&lt;&gt;"",COUNTIF('Calibrare_Linii'!$A$6:$A$19,C183)=1,COUNTIFS(OOSTable[Fixture_ID],A183,OOSTable[Line],C183)=1,ISNUMBER(D183),ISNUMBER(E183),ISNUMBER(F183),F183&lt;D183,D183&lt;E183,ISNUMBER(G183),G183&gt;='Config_v6'!$B$50,G183&lt;=1,ISNUMBER(H183),H183&gt;='Config_v6'!$B$51,H183&lt;=100,ISNUMBER(I183),I183&gt;=0,I183&lt;='Config_v6'!$B$53,ISNUMBER(J183),J183&gt;=0,J183&lt;='Config_v6'!$B$52,K183="NO",L183=12,M183="PASS",ISNUMBER(N183),N183&gt;=0,MOD(N183,1)=0,O183&lt;&gt;"",ISNUMBER(P183),P183&gt;E183,Q183&lt;&gt;"",R183&lt;&gt;"",S183="LIVE"),1,0),0))</x:f>
        <x:v>0</x:v>
      </x:c>
      <x:c r="U183" s="2" t="n">
        <x:f>IF(T183&lt;&gt;1,0,IF(LEFT(C183,1)="O",IF(N183&gt;INDEX('Calibrare_Linii'!$C$6:$C$19,MATCH(C183,'Calibrare_Linii'!$A$6:$A$19,0)),1,0),IF(N183&lt;=INDEX('Calibrare_Linii'!$C$6:$C$19,MATCH(C183,'Calibrare_Linii'!$A$6:$A$19,0)),1,0)))</x:f>
        <x:v>0</x:v>
      </x:c>
    </x:row>
    <x:row r="184" ht="21" customHeight="1">
      <x:c r="A184" s="7"/>
      <x:c r="B184" s="7"/>
      <x:c r="C184" s="7"/>
      <x:c r="D184" s="8"/>
      <x:c r="E184" s="8"/>
      <x:c r="F184" s="8"/>
      <x:c r="G184" s="12"/>
      <x:c r="H184" s="7"/>
      <x:c r="I184" s="7"/>
      <x:c r="J184" s="7"/>
      <x:c r="K184" s="7"/>
      <x:c r="L184" s="7"/>
      <x:c r="M184" s="7"/>
      <x:c r="N184" s="7"/>
      <x:c r="O184" s="7"/>
      <x:c r="P184" s="8"/>
      <x:c r="Q184" s="7"/>
      <x:c r="R184" s="7"/>
      <x:c r="S184" s="7"/>
      <x:c r="T184" s="2" t="n">
        <x:f>IF(A184="",0,IFERROR(IF(AND(B184&lt;&gt;"",COUNTIF('Calibrare_Linii'!$A$6:$A$19,C184)=1,COUNTIFS(OOSTable[Fixture_ID],A184,OOSTable[Line],C184)=1,ISNUMBER(D184),ISNUMBER(E184),ISNUMBER(F184),F184&lt;D184,D184&lt;E184,ISNUMBER(G184),G184&gt;='Config_v6'!$B$50,G184&lt;=1,ISNUMBER(H184),H184&gt;='Config_v6'!$B$51,H184&lt;=100,ISNUMBER(I184),I184&gt;=0,I184&lt;='Config_v6'!$B$53,ISNUMBER(J184),J184&gt;=0,J184&lt;='Config_v6'!$B$52,K184="NO",L184=12,M184="PASS",ISNUMBER(N184),N184&gt;=0,MOD(N184,1)=0,O184&lt;&gt;"",ISNUMBER(P184),P184&gt;E184,Q184&lt;&gt;"",R184&lt;&gt;"",S184="LIVE"),1,0),0))</x:f>
        <x:v>0</x:v>
      </x:c>
      <x:c r="U184" s="2" t="n">
        <x:f>IF(T184&lt;&gt;1,0,IF(LEFT(C184,1)="O",IF(N184&gt;INDEX('Calibrare_Linii'!$C$6:$C$19,MATCH(C184,'Calibrare_Linii'!$A$6:$A$19,0)),1,0),IF(N184&lt;=INDEX('Calibrare_Linii'!$C$6:$C$19,MATCH(C184,'Calibrare_Linii'!$A$6:$A$19,0)),1,0)))</x:f>
        <x:v>0</x:v>
      </x:c>
    </x:row>
    <x:row r="185" ht="21" customHeight="1">
      <x:c r="A185" s="7"/>
      <x:c r="B185" s="7"/>
      <x:c r="C185" s="7"/>
      <x:c r="D185" s="8"/>
      <x:c r="E185" s="8"/>
      <x:c r="F185" s="8"/>
      <x:c r="G185" s="12"/>
      <x:c r="H185" s="7"/>
      <x:c r="I185" s="7"/>
      <x:c r="J185" s="7"/>
      <x:c r="K185" s="7"/>
      <x:c r="L185" s="7"/>
      <x:c r="M185" s="7"/>
      <x:c r="N185" s="7"/>
      <x:c r="O185" s="7"/>
      <x:c r="P185" s="8"/>
      <x:c r="Q185" s="7"/>
      <x:c r="R185" s="7"/>
      <x:c r="S185" s="7"/>
      <x:c r="T185" s="2" t="n">
        <x:f>IF(A185="",0,IFERROR(IF(AND(B185&lt;&gt;"",COUNTIF('Calibrare_Linii'!$A$6:$A$19,C185)=1,COUNTIFS(OOSTable[Fixture_ID],A185,OOSTable[Line],C185)=1,ISNUMBER(D185),ISNUMBER(E185),ISNUMBER(F185),F185&lt;D185,D185&lt;E185,ISNUMBER(G185),G185&gt;='Config_v6'!$B$50,G185&lt;=1,ISNUMBER(H185),H185&gt;='Config_v6'!$B$51,H185&lt;=100,ISNUMBER(I185),I185&gt;=0,I185&lt;='Config_v6'!$B$53,ISNUMBER(J185),J185&gt;=0,J185&lt;='Config_v6'!$B$52,K185="NO",L185=12,M185="PASS",ISNUMBER(N185),N185&gt;=0,MOD(N185,1)=0,O185&lt;&gt;"",ISNUMBER(P185),P185&gt;E185,Q185&lt;&gt;"",R185&lt;&gt;"",S185="LIVE"),1,0),0))</x:f>
        <x:v>0</x:v>
      </x:c>
      <x:c r="U185" s="2" t="n">
        <x:f>IF(T185&lt;&gt;1,0,IF(LEFT(C185,1)="O",IF(N185&gt;INDEX('Calibrare_Linii'!$C$6:$C$19,MATCH(C185,'Calibrare_Linii'!$A$6:$A$19,0)),1,0),IF(N185&lt;=INDEX('Calibrare_Linii'!$C$6:$C$19,MATCH(C185,'Calibrare_Linii'!$A$6:$A$19,0)),1,0)))</x:f>
        <x:v>0</x:v>
      </x:c>
    </x:row>
    <x:row r="186" ht="21" customHeight="1">
      <x:c r="A186" s="7"/>
      <x:c r="B186" s="7"/>
      <x:c r="C186" s="7"/>
      <x:c r="D186" s="8"/>
      <x:c r="E186" s="8"/>
      <x:c r="F186" s="8"/>
      <x:c r="G186" s="12"/>
      <x:c r="H186" s="7"/>
      <x:c r="I186" s="7"/>
      <x:c r="J186" s="7"/>
      <x:c r="K186" s="7"/>
      <x:c r="L186" s="7"/>
      <x:c r="M186" s="7"/>
      <x:c r="N186" s="7"/>
      <x:c r="O186" s="7"/>
      <x:c r="P186" s="8"/>
      <x:c r="Q186" s="7"/>
      <x:c r="R186" s="7"/>
      <x:c r="S186" s="7"/>
      <x:c r="T186" s="2" t="n">
        <x:f>IF(A186="",0,IFERROR(IF(AND(B186&lt;&gt;"",COUNTIF('Calibrare_Linii'!$A$6:$A$19,C186)=1,COUNTIFS(OOSTable[Fixture_ID],A186,OOSTable[Line],C186)=1,ISNUMBER(D186),ISNUMBER(E186),ISNUMBER(F186),F186&lt;D186,D186&lt;E186,ISNUMBER(G186),G186&gt;='Config_v6'!$B$50,G186&lt;=1,ISNUMBER(H186),H186&gt;='Config_v6'!$B$51,H186&lt;=100,ISNUMBER(I186),I186&gt;=0,I186&lt;='Config_v6'!$B$53,ISNUMBER(J186),J186&gt;=0,J186&lt;='Config_v6'!$B$52,K186="NO",L186=12,M186="PASS",ISNUMBER(N186),N186&gt;=0,MOD(N186,1)=0,O186&lt;&gt;"",ISNUMBER(P186),P186&gt;E186,Q186&lt;&gt;"",R186&lt;&gt;"",S186="LIVE"),1,0),0))</x:f>
        <x:v>0</x:v>
      </x:c>
      <x:c r="U186" s="2" t="n">
        <x:f>IF(T186&lt;&gt;1,0,IF(LEFT(C186,1)="O",IF(N186&gt;INDEX('Calibrare_Linii'!$C$6:$C$19,MATCH(C186,'Calibrare_Linii'!$A$6:$A$19,0)),1,0),IF(N186&lt;=INDEX('Calibrare_Linii'!$C$6:$C$19,MATCH(C186,'Calibrare_Linii'!$A$6:$A$19,0)),1,0)))</x:f>
        <x:v>0</x:v>
      </x:c>
    </x:row>
    <x:row r="187" ht="21" customHeight="1">
      <x:c r="A187" s="7"/>
      <x:c r="B187" s="7"/>
      <x:c r="C187" s="7"/>
      <x:c r="D187" s="8"/>
      <x:c r="E187" s="8"/>
      <x:c r="F187" s="8"/>
      <x:c r="G187" s="12"/>
      <x:c r="H187" s="7"/>
      <x:c r="I187" s="7"/>
      <x:c r="J187" s="7"/>
      <x:c r="K187" s="7"/>
      <x:c r="L187" s="7"/>
      <x:c r="M187" s="7"/>
      <x:c r="N187" s="7"/>
      <x:c r="O187" s="7"/>
      <x:c r="P187" s="8"/>
      <x:c r="Q187" s="7"/>
      <x:c r="R187" s="7"/>
      <x:c r="S187" s="7"/>
      <x:c r="T187" s="2" t="n">
        <x:f>IF(A187="",0,IFERROR(IF(AND(B187&lt;&gt;"",COUNTIF('Calibrare_Linii'!$A$6:$A$19,C187)=1,COUNTIFS(OOSTable[Fixture_ID],A187,OOSTable[Line],C187)=1,ISNUMBER(D187),ISNUMBER(E187),ISNUMBER(F187),F187&lt;D187,D187&lt;E187,ISNUMBER(G187),G187&gt;='Config_v6'!$B$50,G187&lt;=1,ISNUMBER(H187),H187&gt;='Config_v6'!$B$51,H187&lt;=100,ISNUMBER(I187),I187&gt;=0,I187&lt;='Config_v6'!$B$53,ISNUMBER(J187),J187&gt;=0,J187&lt;='Config_v6'!$B$52,K187="NO",L187=12,M187="PASS",ISNUMBER(N187),N187&gt;=0,MOD(N187,1)=0,O187&lt;&gt;"",ISNUMBER(P187),P187&gt;E187,Q187&lt;&gt;"",R187&lt;&gt;"",S187="LIVE"),1,0),0))</x:f>
        <x:v>0</x:v>
      </x:c>
      <x:c r="U187" s="2" t="n">
        <x:f>IF(T187&lt;&gt;1,0,IF(LEFT(C187,1)="O",IF(N187&gt;INDEX('Calibrare_Linii'!$C$6:$C$19,MATCH(C187,'Calibrare_Linii'!$A$6:$A$19,0)),1,0),IF(N187&lt;=INDEX('Calibrare_Linii'!$C$6:$C$19,MATCH(C187,'Calibrare_Linii'!$A$6:$A$19,0)),1,0)))</x:f>
        <x:v>0</x:v>
      </x:c>
    </x:row>
    <x:row r="188" ht="21" customHeight="1">
      <x:c r="A188" s="7"/>
      <x:c r="B188" s="7"/>
      <x:c r="C188" s="7"/>
      <x:c r="D188" s="8"/>
      <x:c r="E188" s="8"/>
      <x:c r="F188" s="8"/>
      <x:c r="G188" s="12"/>
      <x:c r="H188" s="7"/>
      <x:c r="I188" s="7"/>
      <x:c r="J188" s="7"/>
      <x:c r="K188" s="7"/>
      <x:c r="L188" s="7"/>
      <x:c r="M188" s="7"/>
      <x:c r="N188" s="7"/>
      <x:c r="O188" s="7"/>
      <x:c r="P188" s="8"/>
      <x:c r="Q188" s="7"/>
      <x:c r="R188" s="7"/>
      <x:c r="S188" s="7"/>
      <x:c r="T188" s="2" t="n">
        <x:f>IF(A188="",0,IFERROR(IF(AND(B188&lt;&gt;"",COUNTIF('Calibrare_Linii'!$A$6:$A$19,C188)=1,COUNTIFS(OOSTable[Fixture_ID],A188,OOSTable[Line],C188)=1,ISNUMBER(D188),ISNUMBER(E188),ISNUMBER(F188),F188&lt;D188,D188&lt;E188,ISNUMBER(G188),G188&gt;='Config_v6'!$B$50,G188&lt;=1,ISNUMBER(H188),H188&gt;='Config_v6'!$B$51,H188&lt;=100,ISNUMBER(I188),I188&gt;=0,I188&lt;='Config_v6'!$B$53,ISNUMBER(J188),J188&gt;=0,J188&lt;='Config_v6'!$B$52,K188="NO",L188=12,M188="PASS",ISNUMBER(N188),N188&gt;=0,MOD(N188,1)=0,O188&lt;&gt;"",ISNUMBER(P188),P188&gt;E188,Q188&lt;&gt;"",R188&lt;&gt;"",S188="LIVE"),1,0),0))</x:f>
        <x:v>0</x:v>
      </x:c>
      <x:c r="U188" s="2" t="n">
        <x:f>IF(T188&lt;&gt;1,0,IF(LEFT(C188,1)="O",IF(N188&gt;INDEX('Calibrare_Linii'!$C$6:$C$19,MATCH(C188,'Calibrare_Linii'!$A$6:$A$19,0)),1,0),IF(N188&lt;=INDEX('Calibrare_Linii'!$C$6:$C$19,MATCH(C188,'Calibrare_Linii'!$A$6:$A$19,0)),1,0)))</x:f>
        <x:v>0</x:v>
      </x:c>
    </x:row>
    <x:row r="189" ht="21" customHeight="1">
      <x:c r="A189" s="7"/>
      <x:c r="B189" s="7"/>
      <x:c r="C189" s="7"/>
      <x:c r="D189" s="8"/>
      <x:c r="E189" s="8"/>
      <x:c r="F189" s="8"/>
      <x:c r="G189" s="12"/>
      <x:c r="H189" s="7"/>
      <x:c r="I189" s="7"/>
      <x:c r="J189" s="7"/>
      <x:c r="K189" s="7"/>
      <x:c r="L189" s="7"/>
      <x:c r="M189" s="7"/>
      <x:c r="N189" s="7"/>
      <x:c r="O189" s="7"/>
      <x:c r="P189" s="8"/>
      <x:c r="Q189" s="7"/>
      <x:c r="R189" s="7"/>
      <x:c r="S189" s="7"/>
      <x:c r="T189" s="2" t="n">
        <x:f>IF(A189="",0,IFERROR(IF(AND(B189&lt;&gt;"",COUNTIF('Calibrare_Linii'!$A$6:$A$19,C189)=1,COUNTIFS(OOSTable[Fixture_ID],A189,OOSTable[Line],C189)=1,ISNUMBER(D189),ISNUMBER(E189),ISNUMBER(F189),F189&lt;D189,D189&lt;E189,ISNUMBER(G189),G189&gt;='Config_v6'!$B$50,G189&lt;=1,ISNUMBER(H189),H189&gt;='Config_v6'!$B$51,H189&lt;=100,ISNUMBER(I189),I189&gt;=0,I189&lt;='Config_v6'!$B$53,ISNUMBER(J189),J189&gt;=0,J189&lt;='Config_v6'!$B$52,K189="NO",L189=12,M189="PASS",ISNUMBER(N189),N189&gt;=0,MOD(N189,1)=0,O189&lt;&gt;"",ISNUMBER(P189),P189&gt;E189,Q189&lt;&gt;"",R189&lt;&gt;"",S189="LIVE"),1,0),0))</x:f>
        <x:v>0</x:v>
      </x:c>
      <x:c r="U189" s="2" t="n">
        <x:f>IF(T189&lt;&gt;1,0,IF(LEFT(C189,1)="O",IF(N189&gt;INDEX('Calibrare_Linii'!$C$6:$C$19,MATCH(C189,'Calibrare_Linii'!$A$6:$A$19,0)),1,0),IF(N189&lt;=INDEX('Calibrare_Linii'!$C$6:$C$19,MATCH(C189,'Calibrare_Linii'!$A$6:$A$19,0)),1,0)))</x:f>
        <x:v>0</x:v>
      </x:c>
    </x:row>
    <x:row r="190" ht="21" customHeight="1">
      <x:c r="A190" s="7"/>
      <x:c r="B190" s="7"/>
      <x:c r="C190" s="7"/>
      <x:c r="D190" s="8"/>
      <x:c r="E190" s="8"/>
      <x:c r="F190" s="8"/>
      <x:c r="G190" s="12"/>
      <x:c r="H190" s="7"/>
      <x:c r="I190" s="7"/>
      <x:c r="J190" s="7"/>
      <x:c r="K190" s="7"/>
      <x:c r="L190" s="7"/>
      <x:c r="M190" s="7"/>
      <x:c r="N190" s="7"/>
      <x:c r="O190" s="7"/>
      <x:c r="P190" s="8"/>
      <x:c r="Q190" s="7"/>
      <x:c r="R190" s="7"/>
      <x:c r="S190" s="7"/>
      <x:c r="T190" s="2" t="n">
        <x:f>IF(A190="",0,IFERROR(IF(AND(B190&lt;&gt;"",COUNTIF('Calibrare_Linii'!$A$6:$A$19,C190)=1,COUNTIFS(OOSTable[Fixture_ID],A190,OOSTable[Line],C190)=1,ISNUMBER(D190),ISNUMBER(E190),ISNUMBER(F190),F190&lt;D190,D190&lt;E190,ISNUMBER(G190),G190&gt;='Config_v6'!$B$50,G190&lt;=1,ISNUMBER(H190),H190&gt;='Config_v6'!$B$51,H190&lt;=100,ISNUMBER(I190),I190&gt;=0,I190&lt;='Config_v6'!$B$53,ISNUMBER(J190),J190&gt;=0,J190&lt;='Config_v6'!$B$52,K190="NO",L190=12,M190="PASS",ISNUMBER(N190),N190&gt;=0,MOD(N190,1)=0,O190&lt;&gt;"",ISNUMBER(P190),P190&gt;E190,Q190&lt;&gt;"",R190&lt;&gt;"",S190="LIVE"),1,0),0))</x:f>
        <x:v>0</x:v>
      </x:c>
      <x:c r="U190" s="2" t="n">
        <x:f>IF(T190&lt;&gt;1,0,IF(LEFT(C190,1)="O",IF(N190&gt;INDEX('Calibrare_Linii'!$C$6:$C$19,MATCH(C190,'Calibrare_Linii'!$A$6:$A$19,0)),1,0),IF(N190&lt;=INDEX('Calibrare_Linii'!$C$6:$C$19,MATCH(C190,'Calibrare_Linii'!$A$6:$A$19,0)),1,0)))</x:f>
        <x:v>0</x:v>
      </x:c>
    </x:row>
    <x:row r="191" ht="21" customHeight="1">
      <x:c r="A191" s="7"/>
      <x:c r="B191" s="7"/>
      <x:c r="C191" s="7"/>
      <x:c r="D191" s="8"/>
      <x:c r="E191" s="8"/>
      <x:c r="F191" s="8"/>
      <x:c r="G191" s="12"/>
      <x:c r="H191" s="7"/>
      <x:c r="I191" s="7"/>
      <x:c r="J191" s="7"/>
      <x:c r="K191" s="7"/>
      <x:c r="L191" s="7"/>
      <x:c r="M191" s="7"/>
      <x:c r="N191" s="7"/>
      <x:c r="O191" s="7"/>
      <x:c r="P191" s="8"/>
      <x:c r="Q191" s="7"/>
      <x:c r="R191" s="7"/>
      <x:c r="S191" s="7"/>
      <x:c r="T191" s="2" t="n">
        <x:f>IF(A191="",0,IFERROR(IF(AND(B191&lt;&gt;"",COUNTIF('Calibrare_Linii'!$A$6:$A$19,C191)=1,COUNTIFS(OOSTable[Fixture_ID],A191,OOSTable[Line],C191)=1,ISNUMBER(D191),ISNUMBER(E191),ISNUMBER(F191),F191&lt;D191,D191&lt;E191,ISNUMBER(G191),G191&gt;='Config_v6'!$B$50,G191&lt;=1,ISNUMBER(H191),H191&gt;='Config_v6'!$B$51,H191&lt;=100,ISNUMBER(I191),I191&gt;=0,I191&lt;='Config_v6'!$B$53,ISNUMBER(J191),J191&gt;=0,J191&lt;='Config_v6'!$B$52,K191="NO",L191=12,M191="PASS",ISNUMBER(N191),N191&gt;=0,MOD(N191,1)=0,O191&lt;&gt;"",ISNUMBER(P191),P191&gt;E191,Q191&lt;&gt;"",R191&lt;&gt;"",S191="LIVE"),1,0),0))</x:f>
        <x:v>0</x:v>
      </x:c>
      <x:c r="U191" s="2" t="n">
        <x:f>IF(T191&lt;&gt;1,0,IF(LEFT(C191,1)="O",IF(N191&gt;INDEX('Calibrare_Linii'!$C$6:$C$19,MATCH(C191,'Calibrare_Linii'!$A$6:$A$19,0)),1,0),IF(N191&lt;=INDEX('Calibrare_Linii'!$C$6:$C$19,MATCH(C191,'Calibrare_Linii'!$A$6:$A$19,0)),1,0)))</x:f>
        <x:v>0</x:v>
      </x:c>
    </x:row>
    <x:row r="192" ht="21" customHeight="1">
      <x:c r="A192" s="7"/>
      <x:c r="B192" s="7"/>
      <x:c r="C192" s="7"/>
      <x:c r="D192" s="8"/>
      <x:c r="E192" s="8"/>
      <x:c r="F192" s="8"/>
      <x:c r="G192" s="12"/>
      <x:c r="H192" s="7"/>
      <x:c r="I192" s="7"/>
      <x:c r="J192" s="7"/>
      <x:c r="K192" s="7"/>
      <x:c r="L192" s="7"/>
      <x:c r="M192" s="7"/>
      <x:c r="N192" s="7"/>
      <x:c r="O192" s="7"/>
      <x:c r="P192" s="8"/>
      <x:c r="Q192" s="7"/>
      <x:c r="R192" s="7"/>
      <x:c r="S192" s="7"/>
      <x:c r="T192" s="2" t="n">
        <x:f>IF(A192="",0,IFERROR(IF(AND(B192&lt;&gt;"",COUNTIF('Calibrare_Linii'!$A$6:$A$19,C192)=1,COUNTIFS(OOSTable[Fixture_ID],A192,OOSTable[Line],C192)=1,ISNUMBER(D192),ISNUMBER(E192),ISNUMBER(F192),F192&lt;D192,D192&lt;E192,ISNUMBER(G192),G192&gt;='Config_v6'!$B$50,G192&lt;=1,ISNUMBER(H192),H192&gt;='Config_v6'!$B$51,H192&lt;=100,ISNUMBER(I192),I192&gt;=0,I192&lt;='Config_v6'!$B$53,ISNUMBER(J192),J192&gt;=0,J192&lt;='Config_v6'!$B$52,K192="NO",L192=12,M192="PASS",ISNUMBER(N192),N192&gt;=0,MOD(N192,1)=0,O192&lt;&gt;"",ISNUMBER(P192),P192&gt;E192,Q192&lt;&gt;"",R192&lt;&gt;"",S192="LIVE"),1,0),0))</x:f>
        <x:v>0</x:v>
      </x:c>
      <x:c r="U192" s="2" t="n">
        <x:f>IF(T192&lt;&gt;1,0,IF(LEFT(C192,1)="O",IF(N192&gt;INDEX('Calibrare_Linii'!$C$6:$C$19,MATCH(C192,'Calibrare_Linii'!$A$6:$A$19,0)),1,0),IF(N192&lt;=INDEX('Calibrare_Linii'!$C$6:$C$19,MATCH(C192,'Calibrare_Linii'!$A$6:$A$19,0)),1,0)))</x:f>
        <x:v>0</x:v>
      </x:c>
    </x:row>
    <x:row r="193" ht="21" customHeight="1">
      <x:c r="A193" s="7"/>
      <x:c r="B193" s="7"/>
      <x:c r="C193" s="7"/>
      <x:c r="D193" s="8"/>
      <x:c r="E193" s="8"/>
      <x:c r="F193" s="8"/>
      <x:c r="G193" s="12"/>
      <x:c r="H193" s="7"/>
      <x:c r="I193" s="7"/>
      <x:c r="J193" s="7"/>
      <x:c r="K193" s="7"/>
      <x:c r="L193" s="7"/>
      <x:c r="M193" s="7"/>
      <x:c r="N193" s="7"/>
      <x:c r="O193" s="7"/>
      <x:c r="P193" s="8"/>
      <x:c r="Q193" s="7"/>
      <x:c r="R193" s="7"/>
      <x:c r="S193" s="7"/>
      <x:c r="T193" s="2" t="n">
        <x:f>IF(A193="",0,IFERROR(IF(AND(B193&lt;&gt;"",COUNTIF('Calibrare_Linii'!$A$6:$A$19,C193)=1,COUNTIFS(OOSTable[Fixture_ID],A193,OOSTable[Line],C193)=1,ISNUMBER(D193),ISNUMBER(E193),ISNUMBER(F193),F193&lt;D193,D193&lt;E193,ISNUMBER(G193),G193&gt;='Config_v6'!$B$50,G193&lt;=1,ISNUMBER(H193),H193&gt;='Config_v6'!$B$51,H193&lt;=100,ISNUMBER(I193),I193&gt;=0,I193&lt;='Config_v6'!$B$53,ISNUMBER(J193),J193&gt;=0,J193&lt;='Config_v6'!$B$52,K193="NO",L193=12,M193="PASS",ISNUMBER(N193),N193&gt;=0,MOD(N193,1)=0,O193&lt;&gt;"",ISNUMBER(P193),P193&gt;E193,Q193&lt;&gt;"",R193&lt;&gt;"",S193="LIVE"),1,0),0))</x:f>
        <x:v>0</x:v>
      </x:c>
      <x:c r="U193" s="2" t="n">
        <x:f>IF(T193&lt;&gt;1,0,IF(LEFT(C193,1)="O",IF(N193&gt;INDEX('Calibrare_Linii'!$C$6:$C$19,MATCH(C193,'Calibrare_Linii'!$A$6:$A$19,0)),1,0),IF(N193&lt;=INDEX('Calibrare_Linii'!$C$6:$C$19,MATCH(C193,'Calibrare_Linii'!$A$6:$A$19,0)),1,0)))</x:f>
        <x:v>0</x:v>
      </x:c>
    </x:row>
    <x:row r="194" ht="21" customHeight="1">
      <x:c r="A194" s="7"/>
      <x:c r="B194" s="7"/>
      <x:c r="C194" s="7"/>
      <x:c r="D194" s="8"/>
      <x:c r="E194" s="8"/>
      <x:c r="F194" s="8"/>
      <x:c r="G194" s="12"/>
      <x:c r="H194" s="7"/>
      <x:c r="I194" s="7"/>
      <x:c r="J194" s="7"/>
      <x:c r="K194" s="7"/>
      <x:c r="L194" s="7"/>
      <x:c r="M194" s="7"/>
      <x:c r="N194" s="7"/>
      <x:c r="O194" s="7"/>
      <x:c r="P194" s="8"/>
      <x:c r="Q194" s="7"/>
      <x:c r="R194" s="7"/>
      <x:c r="S194" s="7"/>
      <x:c r="T194" s="2" t="n">
        <x:f>IF(A194="",0,IFERROR(IF(AND(B194&lt;&gt;"",COUNTIF('Calibrare_Linii'!$A$6:$A$19,C194)=1,COUNTIFS(OOSTable[Fixture_ID],A194,OOSTable[Line],C194)=1,ISNUMBER(D194),ISNUMBER(E194),ISNUMBER(F194),F194&lt;D194,D194&lt;E194,ISNUMBER(G194),G194&gt;='Config_v6'!$B$50,G194&lt;=1,ISNUMBER(H194),H194&gt;='Config_v6'!$B$51,H194&lt;=100,ISNUMBER(I194),I194&gt;=0,I194&lt;='Config_v6'!$B$53,ISNUMBER(J194),J194&gt;=0,J194&lt;='Config_v6'!$B$52,K194="NO",L194=12,M194="PASS",ISNUMBER(N194),N194&gt;=0,MOD(N194,1)=0,O194&lt;&gt;"",ISNUMBER(P194),P194&gt;E194,Q194&lt;&gt;"",R194&lt;&gt;"",S194="LIVE"),1,0),0))</x:f>
        <x:v>0</x:v>
      </x:c>
      <x:c r="U194" s="2" t="n">
        <x:f>IF(T194&lt;&gt;1,0,IF(LEFT(C194,1)="O",IF(N194&gt;INDEX('Calibrare_Linii'!$C$6:$C$19,MATCH(C194,'Calibrare_Linii'!$A$6:$A$19,0)),1,0),IF(N194&lt;=INDEX('Calibrare_Linii'!$C$6:$C$19,MATCH(C194,'Calibrare_Linii'!$A$6:$A$19,0)),1,0)))</x:f>
        <x:v>0</x:v>
      </x:c>
    </x:row>
    <x:row r="195" ht="21" customHeight="1">
      <x:c r="A195" s="7"/>
      <x:c r="B195" s="7"/>
      <x:c r="C195" s="7"/>
      <x:c r="D195" s="8"/>
      <x:c r="E195" s="8"/>
      <x:c r="F195" s="8"/>
      <x:c r="G195" s="12"/>
      <x:c r="H195" s="7"/>
      <x:c r="I195" s="7"/>
      <x:c r="J195" s="7"/>
      <x:c r="K195" s="7"/>
      <x:c r="L195" s="7"/>
      <x:c r="M195" s="7"/>
      <x:c r="N195" s="7"/>
      <x:c r="O195" s="7"/>
      <x:c r="P195" s="8"/>
      <x:c r="Q195" s="7"/>
      <x:c r="R195" s="7"/>
      <x:c r="S195" s="7"/>
      <x:c r="T195" s="2" t="n">
        <x:f>IF(A195="",0,IFERROR(IF(AND(B195&lt;&gt;"",COUNTIF('Calibrare_Linii'!$A$6:$A$19,C195)=1,COUNTIFS(OOSTable[Fixture_ID],A195,OOSTable[Line],C195)=1,ISNUMBER(D195),ISNUMBER(E195),ISNUMBER(F195),F195&lt;D195,D195&lt;E195,ISNUMBER(G195),G195&gt;='Config_v6'!$B$50,G195&lt;=1,ISNUMBER(H195),H195&gt;='Config_v6'!$B$51,H195&lt;=100,ISNUMBER(I195),I195&gt;=0,I195&lt;='Config_v6'!$B$53,ISNUMBER(J195),J195&gt;=0,J195&lt;='Config_v6'!$B$52,K195="NO",L195=12,M195="PASS",ISNUMBER(N195),N195&gt;=0,MOD(N195,1)=0,O195&lt;&gt;"",ISNUMBER(P195),P195&gt;E195,Q195&lt;&gt;"",R195&lt;&gt;"",S195="LIVE"),1,0),0))</x:f>
        <x:v>0</x:v>
      </x:c>
      <x:c r="U195" s="2" t="n">
        <x:f>IF(T195&lt;&gt;1,0,IF(LEFT(C195,1)="O",IF(N195&gt;INDEX('Calibrare_Linii'!$C$6:$C$19,MATCH(C195,'Calibrare_Linii'!$A$6:$A$19,0)),1,0),IF(N195&lt;=INDEX('Calibrare_Linii'!$C$6:$C$19,MATCH(C195,'Calibrare_Linii'!$A$6:$A$19,0)),1,0)))</x:f>
        <x:v>0</x:v>
      </x:c>
    </x:row>
    <x:row r="196" ht="21" customHeight="1">
      <x:c r="A196" s="7"/>
      <x:c r="B196" s="7"/>
      <x:c r="C196" s="7"/>
      <x:c r="D196" s="8"/>
      <x:c r="E196" s="8"/>
      <x:c r="F196" s="8"/>
      <x:c r="G196" s="12"/>
      <x:c r="H196" s="7"/>
      <x:c r="I196" s="7"/>
      <x:c r="J196" s="7"/>
      <x:c r="K196" s="7"/>
      <x:c r="L196" s="7"/>
      <x:c r="M196" s="7"/>
      <x:c r="N196" s="7"/>
      <x:c r="O196" s="7"/>
      <x:c r="P196" s="8"/>
      <x:c r="Q196" s="7"/>
      <x:c r="R196" s="7"/>
      <x:c r="S196" s="7"/>
      <x:c r="T196" s="2" t="n">
        <x:f>IF(A196="",0,IFERROR(IF(AND(B196&lt;&gt;"",COUNTIF('Calibrare_Linii'!$A$6:$A$19,C196)=1,COUNTIFS(OOSTable[Fixture_ID],A196,OOSTable[Line],C196)=1,ISNUMBER(D196),ISNUMBER(E196),ISNUMBER(F196),F196&lt;D196,D196&lt;E196,ISNUMBER(G196),G196&gt;='Config_v6'!$B$50,G196&lt;=1,ISNUMBER(H196),H196&gt;='Config_v6'!$B$51,H196&lt;=100,ISNUMBER(I196),I196&gt;=0,I196&lt;='Config_v6'!$B$53,ISNUMBER(J196),J196&gt;=0,J196&lt;='Config_v6'!$B$52,K196="NO",L196=12,M196="PASS",ISNUMBER(N196),N196&gt;=0,MOD(N196,1)=0,O196&lt;&gt;"",ISNUMBER(P196),P196&gt;E196,Q196&lt;&gt;"",R196&lt;&gt;"",S196="LIVE"),1,0),0))</x:f>
        <x:v>0</x:v>
      </x:c>
      <x:c r="U196" s="2" t="n">
        <x:f>IF(T196&lt;&gt;1,0,IF(LEFT(C196,1)="O",IF(N196&gt;INDEX('Calibrare_Linii'!$C$6:$C$19,MATCH(C196,'Calibrare_Linii'!$A$6:$A$19,0)),1,0),IF(N196&lt;=INDEX('Calibrare_Linii'!$C$6:$C$19,MATCH(C196,'Calibrare_Linii'!$A$6:$A$19,0)),1,0)))</x:f>
        <x:v>0</x:v>
      </x:c>
    </x:row>
    <x:row r="197" ht="21" customHeight="1">
      <x:c r="A197" s="7"/>
      <x:c r="B197" s="7"/>
      <x:c r="C197" s="7"/>
      <x:c r="D197" s="8"/>
      <x:c r="E197" s="8"/>
      <x:c r="F197" s="8"/>
      <x:c r="G197" s="12"/>
      <x:c r="H197" s="7"/>
      <x:c r="I197" s="7"/>
      <x:c r="J197" s="7"/>
      <x:c r="K197" s="7"/>
      <x:c r="L197" s="7"/>
      <x:c r="M197" s="7"/>
      <x:c r="N197" s="7"/>
      <x:c r="O197" s="7"/>
      <x:c r="P197" s="8"/>
      <x:c r="Q197" s="7"/>
      <x:c r="R197" s="7"/>
      <x:c r="S197" s="7"/>
      <x:c r="T197" s="2" t="n">
        <x:f>IF(A197="",0,IFERROR(IF(AND(B197&lt;&gt;"",COUNTIF('Calibrare_Linii'!$A$6:$A$19,C197)=1,COUNTIFS(OOSTable[Fixture_ID],A197,OOSTable[Line],C197)=1,ISNUMBER(D197),ISNUMBER(E197),ISNUMBER(F197),F197&lt;D197,D197&lt;E197,ISNUMBER(G197),G197&gt;='Config_v6'!$B$50,G197&lt;=1,ISNUMBER(H197),H197&gt;='Config_v6'!$B$51,H197&lt;=100,ISNUMBER(I197),I197&gt;=0,I197&lt;='Config_v6'!$B$53,ISNUMBER(J197),J197&gt;=0,J197&lt;='Config_v6'!$B$52,K197="NO",L197=12,M197="PASS",ISNUMBER(N197),N197&gt;=0,MOD(N197,1)=0,O197&lt;&gt;"",ISNUMBER(P197),P197&gt;E197,Q197&lt;&gt;"",R197&lt;&gt;"",S197="LIVE"),1,0),0))</x:f>
        <x:v>0</x:v>
      </x:c>
      <x:c r="U197" s="2" t="n">
        <x:f>IF(T197&lt;&gt;1,0,IF(LEFT(C197,1)="O",IF(N197&gt;INDEX('Calibrare_Linii'!$C$6:$C$19,MATCH(C197,'Calibrare_Linii'!$A$6:$A$19,0)),1,0),IF(N197&lt;=INDEX('Calibrare_Linii'!$C$6:$C$19,MATCH(C197,'Calibrare_Linii'!$A$6:$A$19,0)),1,0)))</x:f>
        <x:v>0</x:v>
      </x:c>
    </x:row>
    <x:row r="198" ht="21" customHeight="1">
      <x:c r="A198" s="7"/>
      <x:c r="B198" s="7"/>
      <x:c r="C198" s="7"/>
      <x:c r="D198" s="8"/>
      <x:c r="E198" s="8"/>
      <x:c r="F198" s="8"/>
      <x:c r="G198" s="12"/>
      <x:c r="H198" s="7"/>
      <x:c r="I198" s="7"/>
      <x:c r="J198" s="7"/>
      <x:c r="K198" s="7"/>
      <x:c r="L198" s="7"/>
      <x:c r="M198" s="7"/>
      <x:c r="N198" s="7"/>
      <x:c r="O198" s="7"/>
      <x:c r="P198" s="8"/>
      <x:c r="Q198" s="7"/>
      <x:c r="R198" s="7"/>
      <x:c r="S198" s="7"/>
      <x:c r="T198" s="2" t="n">
        <x:f>IF(A198="",0,IFERROR(IF(AND(B198&lt;&gt;"",COUNTIF('Calibrare_Linii'!$A$6:$A$19,C198)=1,COUNTIFS(OOSTable[Fixture_ID],A198,OOSTable[Line],C198)=1,ISNUMBER(D198),ISNUMBER(E198),ISNUMBER(F198),F198&lt;D198,D198&lt;E198,ISNUMBER(G198),G198&gt;='Config_v6'!$B$50,G198&lt;=1,ISNUMBER(H198),H198&gt;='Config_v6'!$B$51,H198&lt;=100,ISNUMBER(I198),I198&gt;=0,I198&lt;='Config_v6'!$B$53,ISNUMBER(J198),J198&gt;=0,J198&lt;='Config_v6'!$B$52,K198="NO",L198=12,M198="PASS",ISNUMBER(N198),N198&gt;=0,MOD(N198,1)=0,O198&lt;&gt;"",ISNUMBER(P198),P198&gt;E198,Q198&lt;&gt;"",R198&lt;&gt;"",S198="LIVE"),1,0),0))</x:f>
        <x:v>0</x:v>
      </x:c>
      <x:c r="U198" s="2" t="n">
        <x:f>IF(T198&lt;&gt;1,0,IF(LEFT(C198,1)="O",IF(N198&gt;INDEX('Calibrare_Linii'!$C$6:$C$19,MATCH(C198,'Calibrare_Linii'!$A$6:$A$19,0)),1,0),IF(N198&lt;=INDEX('Calibrare_Linii'!$C$6:$C$19,MATCH(C198,'Calibrare_Linii'!$A$6:$A$19,0)),1,0)))</x:f>
        <x:v>0</x:v>
      </x:c>
    </x:row>
    <x:row r="199" ht="21" customHeight="1">
      <x:c r="A199" s="7"/>
      <x:c r="B199" s="7"/>
      <x:c r="C199" s="7"/>
      <x:c r="D199" s="8"/>
      <x:c r="E199" s="8"/>
      <x:c r="F199" s="8"/>
      <x:c r="G199" s="12"/>
      <x:c r="H199" s="7"/>
      <x:c r="I199" s="7"/>
      <x:c r="J199" s="7"/>
      <x:c r="K199" s="7"/>
      <x:c r="L199" s="7"/>
      <x:c r="M199" s="7"/>
      <x:c r="N199" s="7"/>
      <x:c r="O199" s="7"/>
      <x:c r="P199" s="8"/>
      <x:c r="Q199" s="7"/>
      <x:c r="R199" s="7"/>
      <x:c r="S199" s="7"/>
      <x:c r="T199" s="2" t="n">
        <x:f>IF(A199="",0,IFERROR(IF(AND(B199&lt;&gt;"",COUNTIF('Calibrare_Linii'!$A$6:$A$19,C199)=1,COUNTIFS(OOSTable[Fixture_ID],A199,OOSTable[Line],C199)=1,ISNUMBER(D199),ISNUMBER(E199),ISNUMBER(F199),F199&lt;D199,D199&lt;E199,ISNUMBER(G199),G199&gt;='Config_v6'!$B$50,G199&lt;=1,ISNUMBER(H199),H199&gt;='Config_v6'!$B$51,H199&lt;=100,ISNUMBER(I199),I199&gt;=0,I199&lt;='Config_v6'!$B$53,ISNUMBER(J199),J199&gt;=0,J199&lt;='Config_v6'!$B$52,K199="NO",L199=12,M199="PASS",ISNUMBER(N199),N199&gt;=0,MOD(N199,1)=0,O199&lt;&gt;"",ISNUMBER(P199),P199&gt;E199,Q199&lt;&gt;"",R199&lt;&gt;"",S199="LIVE"),1,0),0))</x:f>
        <x:v>0</x:v>
      </x:c>
      <x:c r="U199" s="2" t="n">
        <x:f>IF(T199&lt;&gt;1,0,IF(LEFT(C199,1)="O",IF(N199&gt;INDEX('Calibrare_Linii'!$C$6:$C$19,MATCH(C199,'Calibrare_Linii'!$A$6:$A$19,0)),1,0),IF(N199&lt;=INDEX('Calibrare_Linii'!$C$6:$C$19,MATCH(C199,'Calibrare_Linii'!$A$6:$A$19,0)),1,0)))</x:f>
        <x:v>0</x:v>
      </x:c>
    </x:row>
    <x:row r="200" ht="21" customHeight="1">
      <x:c r="A200" s="7"/>
      <x:c r="B200" s="7"/>
      <x:c r="C200" s="7"/>
      <x:c r="D200" s="8"/>
      <x:c r="E200" s="8"/>
      <x:c r="F200" s="8"/>
      <x:c r="G200" s="12"/>
      <x:c r="H200" s="7"/>
      <x:c r="I200" s="7"/>
      <x:c r="J200" s="7"/>
      <x:c r="K200" s="7"/>
      <x:c r="L200" s="7"/>
      <x:c r="M200" s="7"/>
      <x:c r="N200" s="7"/>
      <x:c r="O200" s="7"/>
      <x:c r="P200" s="8"/>
      <x:c r="Q200" s="7"/>
      <x:c r="R200" s="7"/>
      <x:c r="S200" s="7"/>
      <x:c r="T200" s="2" t="n">
        <x:f>IF(A200="",0,IFERROR(IF(AND(B200&lt;&gt;"",COUNTIF('Calibrare_Linii'!$A$6:$A$19,C200)=1,COUNTIFS(OOSTable[Fixture_ID],A200,OOSTable[Line],C200)=1,ISNUMBER(D200),ISNUMBER(E200),ISNUMBER(F200),F200&lt;D200,D200&lt;E200,ISNUMBER(G200),G200&gt;='Config_v6'!$B$50,G200&lt;=1,ISNUMBER(H200),H200&gt;='Config_v6'!$B$51,H200&lt;=100,ISNUMBER(I200),I200&gt;=0,I200&lt;='Config_v6'!$B$53,ISNUMBER(J200),J200&gt;=0,J200&lt;='Config_v6'!$B$52,K200="NO",L200=12,M200="PASS",ISNUMBER(N200),N200&gt;=0,MOD(N200,1)=0,O200&lt;&gt;"",ISNUMBER(P200),P200&gt;E200,Q200&lt;&gt;"",R200&lt;&gt;"",S200="LIVE"),1,0),0))</x:f>
        <x:v>0</x:v>
      </x:c>
      <x:c r="U200" s="2" t="n">
        <x:f>IF(T200&lt;&gt;1,0,IF(LEFT(C200,1)="O",IF(N200&gt;INDEX('Calibrare_Linii'!$C$6:$C$19,MATCH(C200,'Calibrare_Linii'!$A$6:$A$19,0)),1,0),IF(N200&lt;=INDEX('Calibrare_Linii'!$C$6:$C$19,MATCH(C200,'Calibrare_Linii'!$A$6:$A$19,0)),1,0)))</x:f>
        <x:v>0</x:v>
      </x:c>
    </x:row>
    <x:row r="201" ht="21" customHeight="1">
      <x:c r="A201" s="7"/>
      <x:c r="B201" s="7"/>
      <x:c r="C201" s="7"/>
      <x:c r="D201" s="8"/>
      <x:c r="E201" s="8"/>
      <x:c r="F201" s="8"/>
      <x:c r="G201" s="12"/>
      <x:c r="H201" s="7"/>
      <x:c r="I201" s="7"/>
      <x:c r="J201" s="7"/>
      <x:c r="K201" s="7"/>
      <x:c r="L201" s="7"/>
      <x:c r="M201" s="7"/>
      <x:c r="N201" s="7"/>
      <x:c r="O201" s="7"/>
      <x:c r="P201" s="8"/>
      <x:c r="Q201" s="7"/>
      <x:c r="R201" s="7"/>
      <x:c r="S201" s="7"/>
      <x:c r="T201" s="2" t="n">
        <x:f>IF(A201="",0,IFERROR(IF(AND(B201&lt;&gt;"",COUNTIF('Calibrare_Linii'!$A$6:$A$19,C201)=1,COUNTIFS(OOSTable[Fixture_ID],A201,OOSTable[Line],C201)=1,ISNUMBER(D201),ISNUMBER(E201),ISNUMBER(F201),F201&lt;D201,D201&lt;E201,ISNUMBER(G201),G201&gt;='Config_v6'!$B$50,G201&lt;=1,ISNUMBER(H201),H201&gt;='Config_v6'!$B$51,H201&lt;=100,ISNUMBER(I201),I201&gt;=0,I201&lt;='Config_v6'!$B$53,ISNUMBER(J201),J201&gt;=0,J201&lt;='Config_v6'!$B$52,K201="NO",L201=12,M201="PASS",ISNUMBER(N201),N201&gt;=0,MOD(N201,1)=0,O201&lt;&gt;"",ISNUMBER(P201),P201&gt;E201,Q201&lt;&gt;"",R201&lt;&gt;"",S201="LIVE"),1,0),0))</x:f>
        <x:v>0</x:v>
      </x:c>
      <x:c r="U201" s="2" t="n">
        <x:f>IF(T201&lt;&gt;1,0,IF(LEFT(C201,1)="O",IF(N201&gt;INDEX('Calibrare_Linii'!$C$6:$C$19,MATCH(C201,'Calibrare_Linii'!$A$6:$A$19,0)),1,0),IF(N201&lt;=INDEX('Calibrare_Linii'!$C$6:$C$19,MATCH(C201,'Calibrare_Linii'!$A$6:$A$19,0)),1,0)))</x:f>
        <x:v>0</x:v>
      </x:c>
    </x:row>
    <x:row r="202" ht="21" customHeight="1">
      <x:c r="A202" s="7"/>
      <x:c r="B202" s="7"/>
      <x:c r="C202" s="7"/>
      <x:c r="D202" s="8"/>
      <x:c r="E202" s="8"/>
      <x:c r="F202" s="8"/>
      <x:c r="G202" s="12"/>
      <x:c r="H202" s="7"/>
      <x:c r="I202" s="7"/>
      <x:c r="J202" s="7"/>
      <x:c r="K202" s="7"/>
      <x:c r="L202" s="7"/>
      <x:c r="M202" s="7"/>
      <x:c r="N202" s="7"/>
      <x:c r="O202" s="7"/>
      <x:c r="P202" s="8"/>
      <x:c r="Q202" s="7"/>
      <x:c r="R202" s="7"/>
      <x:c r="S202" s="7"/>
      <x:c r="T202" s="2" t="n">
        <x:f>IF(A202="",0,IFERROR(IF(AND(B202&lt;&gt;"",COUNTIF('Calibrare_Linii'!$A$6:$A$19,C202)=1,COUNTIFS(OOSTable[Fixture_ID],A202,OOSTable[Line],C202)=1,ISNUMBER(D202),ISNUMBER(E202),ISNUMBER(F202),F202&lt;D202,D202&lt;E202,ISNUMBER(G202),G202&gt;='Config_v6'!$B$50,G202&lt;=1,ISNUMBER(H202),H202&gt;='Config_v6'!$B$51,H202&lt;=100,ISNUMBER(I202),I202&gt;=0,I202&lt;='Config_v6'!$B$53,ISNUMBER(J202),J202&gt;=0,J202&lt;='Config_v6'!$B$52,K202="NO",L202=12,M202="PASS",ISNUMBER(N202),N202&gt;=0,MOD(N202,1)=0,O202&lt;&gt;"",ISNUMBER(P202),P202&gt;E202,Q202&lt;&gt;"",R202&lt;&gt;"",S202="LIVE"),1,0),0))</x:f>
        <x:v>0</x:v>
      </x:c>
      <x:c r="U202" s="2" t="n">
        <x:f>IF(T202&lt;&gt;1,0,IF(LEFT(C202,1)="O",IF(N202&gt;INDEX('Calibrare_Linii'!$C$6:$C$19,MATCH(C202,'Calibrare_Linii'!$A$6:$A$19,0)),1,0),IF(N202&lt;=INDEX('Calibrare_Linii'!$C$6:$C$19,MATCH(C202,'Calibrare_Linii'!$A$6:$A$19,0)),1,0)))</x:f>
        <x:v>0</x:v>
      </x:c>
    </x:row>
    <x:row r="203" ht="21" customHeight="1">
      <x:c r="A203" s="7"/>
      <x:c r="B203" s="7"/>
      <x:c r="C203" s="7"/>
      <x:c r="D203" s="8"/>
      <x:c r="E203" s="8"/>
      <x:c r="F203" s="8"/>
      <x:c r="G203" s="12"/>
      <x:c r="H203" s="7"/>
      <x:c r="I203" s="7"/>
      <x:c r="J203" s="7"/>
      <x:c r="K203" s="7"/>
      <x:c r="L203" s="7"/>
      <x:c r="M203" s="7"/>
      <x:c r="N203" s="7"/>
      <x:c r="O203" s="7"/>
      <x:c r="P203" s="8"/>
      <x:c r="Q203" s="7"/>
      <x:c r="R203" s="7"/>
      <x:c r="S203" s="7"/>
      <x:c r="T203" s="2" t="n">
        <x:f>IF(A203="",0,IFERROR(IF(AND(B203&lt;&gt;"",COUNTIF('Calibrare_Linii'!$A$6:$A$19,C203)=1,COUNTIFS(OOSTable[Fixture_ID],A203,OOSTable[Line],C203)=1,ISNUMBER(D203),ISNUMBER(E203),ISNUMBER(F203),F203&lt;D203,D203&lt;E203,ISNUMBER(G203),G203&gt;='Config_v6'!$B$50,G203&lt;=1,ISNUMBER(H203),H203&gt;='Config_v6'!$B$51,H203&lt;=100,ISNUMBER(I203),I203&gt;=0,I203&lt;='Config_v6'!$B$53,ISNUMBER(J203),J203&gt;=0,J203&lt;='Config_v6'!$B$52,K203="NO",L203=12,M203="PASS",ISNUMBER(N203),N203&gt;=0,MOD(N203,1)=0,O203&lt;&gt;"",ISNUMBER(P203),P203&gt;E203,Q203&lt;&gt;"",R203&lt;&gt;"",S203="LIVE"),1,0),0))</x:f>
        <x:v>0</x:v>
      </x:c>
      <x:c r="U203" s="2" t="n">
        <x:f>IF(T203&lt;&gt;1,0,IF(LEFT(C203,1)="O",IF(N203&gt;INDEX('Calibrare_Linii'!$C$6:$C$19,MATCH(C203,'Calibrare_Linii'!$A$6:$A$19,0)),1,0),IF(N203&lt;=INDEX('Calibrare_Linii'!$C$6:$C$19,MATCH(C203,'Calibrare_Linii'!$A$6:$A$19,0)),1,0)))</x:f>
        <x:v>0</x:v>
      </x:c>
    </x:row>
    <x:row r="204" ht="21" customHeight="1">
      <x:c r="A204" s="7"/>
      <x:c r="B204" s="7"/>
      <x:c r="C204" s="7"/>
      <x:c r="D204" s="8"/>
      <x:c r="E204" s="8"/>
      <x:c r="F204" s="8"/>
      <x:c r="G204" s="12"/>
      <x:c r="H204" s="7"/>
      <x:c r="I204" s="7"/>
      <x:c r="J204" s="7"/>
      <x:c r="K204" s="7"/>
      <x:c r="L204" s="7"/>
      <x:c r="M204" s="7"/>
      <x:c r="N204" s="7"/>
      <x:c r="O204" s="7"/>
      <x:c r="P204" s="8"/>
      <x:c r="Q204" s="7"/>
      <x:c r="R204" s="7"/>
      <x:c r="S204" s="7"/>
      <x:c r="T204" s="2" t="n">
        <x:f>IF(A204="",0,IFERROR(IF(AND(B204&lt;&gt;"",COUNTIF('Calibrare_Linii'!$A$6:$A$19,C204)=1,COUNTIFS(OOSTable[Fixture_ID],A204,OOSTable[Line],C204)=1,ISNUMBER(D204),ISNUMBER(E204),ISNUMBER(F204),F204&lt;D204,D204&lt;E204,ISNUMBER(G204),G204&gt;='Config_v6'!$B$50,G204&lt;=1,ISNUMBER(H204),H204&gt;='Config_v6'!$B$51,H204&lt;=100,ISNUMBER(I204),I204&gt;=0,I204&lt;='Config_v6'!$B$53,ISNUMBER(J204),J204&gt;=0,J204&lt;='Config_v6'!$B$52,K204="NO",L204=12,M204="PASS",ISNUMBER(N204),N204&gt;=0,MOD(N204,1)=0,O204&lt;&gt;"",ISNUMBER(P204),P204&gt;E204,Q204&lt;&gt;"",R204&lt;&gt;"",S204="LIVE"),1,0),0))</x:f>
        <x:v>0</x:v>
      </x:c>
      <x:c r="U204" s="2" t="n">
        <x:f>IF(T204&lt;&gt;1,0,IF(LEFT(C204,1)="O",IF(N204&gt;INDEX('Calibrare_Linii'!$C$6:$C$19,MATCH(C204,'Calibrare_Linii'!$A$6:$A$19,0)),1,0),IF(N204&lt;=INDEX('Calibrare_Linii'!$C$6:$C$19,MATCH(C204,'Calibrare_Linii'!$A$6:$A$19,0)),1,0)))</x:f>
        <x:v>0</x:v>
      </x:c>
    </x:row>
    <x:row r="205" ht="21" customHeight="1">
      <x:c r="A205" s="7"/>
      <x:c r="B205" s="7"/>
      <x:c r="C205" s="7"/>
      <x:c r="D205" s="8"/>
      <x:c r="E205" s="8"/>
      <x:c r="F205" s="8"/>
      <x:c r="G205" s="12"/>
      <x:c r="H205" s="7"/>
      <x:c r="I205" s="7"/>
      <x:c r="J205" s="7"/>
      <x:c r="K205" s="7"/>
      <x:c r="L205" s="7"/>
      <x:c r="M205" s="7"/>
      <x:c r="N205" s="7"/>
      <x:c r="O205" s="7"/>
      <x:c r="P205" s="8"/>
      <x:c r="Q205" s="7"/>
      <x:c r="R205" s="7"/>
      <x:c r="S205" s="7"/>
      <x:c r="T205" s="2" t="n">
        <x:f>IF(A205="",0,IFERROR(IF(AND(B205&lt;&gt;"",COUNTIF('Calibrare_Linii'!$A$6:$A$19,C205)=1,COUNTIFS(OOSTable[Fixture_ID],A205,OOSTable[Line],C205)=1,ISNUMBER(D205),ISNUMBER(E205),ISNUMBER(F205),F205&lt;D205,D205&lt;E205,ISNUMBER(G205),G205&gt;='Config_v6'!$B$50,G205&lt;=1,ISNUMBER(H205),H205&gt;='Config_v6'!$B$51,H205&lt;=100,ISNUMBER(I205),I205&gt;=0,I205&lt;='Config_v6'!$B$53,ISNUMBER(J205),J205&gt;=0,J205&lt;='Config_v6'!$B$52,K205="NO",L205=12,M205="PASS",ISNUMBER(N205),N205&gt;=0,MOD(N205,1)=0,O205&lt;&gt;"",ISNUMBER(P205),P205&gt;E205,Q205&lt;&gt;"",R205&lt;&gt;"",S205="LIVE"),1,0),0))</x:f>
        <x:v>0</x:v>
      </x:c>
      <x:c r="U205" s="2" t="n">
        <x:f>IF(T205&lt;&gt;1,0,IF(LEFT(C205,1)="O",IF(N205&gt;INDEX('Calibrare_Linii'!$C$6:$C$19,MATCH(C205,'Calibrare_Linii'!$A$6:$A$19,0)),1,0),IF(N205&lt;=INDEX('Calibrare_Linii'!$C$6:$C$19,MATCH(C205,'Calibrare_Linii'!$A$6:$A$19,0)),1,0)))</x:f>
        <x:v>0</x:v>
      </x:c>
    </x:row>
    <x:row r="206" ht="21" customHeight="1">
      <x:c r="A206" s="7"/>
      <x:c r="B206" s="7"/>
      <x:c r="C206" s="7"/>
      <x:c r="D206" s="8"/>
      <x:c r="E206" s="8"/>
      <x:c r="F206" s="8"/>
      <x:c r="G206" s="12"/>
      <x:c r="H206" s="7"/>
      <x:c r="I206" s="7"/>
      <x:c r="J206" s="7"/>
      <x:c r="K206" s="7"/>
      <x:c r="L206" s="7"/>
      <x:c r="M206" s="7"/>
      <x:c r="N206" s="7"/>
      <x:c r="O206" s="7"/>
      <x:c r="P206" s="8"/>
      <x:c r="Q206" s="7"/>
      <x:c r="R206" s="7"/>
      <x:c r="S206" s="7"/>
      <x:c r="T206" s="2" t="n">
        <x:f>IF(A206="",0,IFERROR(IF(AND(B206&lt;&gt;"",COUNTIF('Calibrare_Linii'!$A$6:$A$19,C206)=1,COUNTIFS(OOSTable[Fixture_ID],A206,OOSTable[Line],C206)=1,ISNUMBER(D206),ISNUMBER(E206),ISNUMBER(F206),F206&lt;D206,D206&lt;E206,ISNUMBER(G206),G206&gt;='Config_v6'!$B$50,G206&lt;=1,ISNUMBER(H206),H206&gt;='Config_v6'!$B$51,H206&lt;=100,ISNUMBER(I206),I206&gt;=0,I206&lt;='Config_v6'!$B$53,ISNUMBER(J206),J206&gt;=0,J206&lt;='Config_v6'!$B$52,K206="NO",L206=12,M206="PASS",ISNUMBER(N206),N206&gt;=0,MOD(N206,1)=0,O206&lt;&gt;"",ISNUMBER(P206),P206&gt;E206,Q206&lt;&gt;"",R206&lt;&gt;"",S206="LIVE"),1,0),0))</x:f>
        <x:v>0</x:v>
      </x:c>
      <x:c r="U206" s="2" t="n">
        <x:f>IF(T206&lt;&gt;1,0,IF(LEFT(C206,1)="O",IF(N206&gt;INDEX('Calibrare_Linii'!$C$6:$C$19,MATCH(C206,'Calibrare_Linii'!$A$6:$A$19,0)),1,0),IF(N206&lt;=INDEX('Calibrare_Linii'!$C$6:$C$19,MATCH(C206,'Calibrare_Linii'!$A$6:$A$19,0)),1,0)))</x:f>
        <x:v>0</x:v>
      </x:c>
    </x:row>
    <x:row r="207" ht="21" customHeight="1">
      <x:c r="A207" s="7"/>
      <x:c r="B207" s="7"/>
      <x:c r="C207" s="7"/>
      <x:c r="D207" s="8"/>
      <x:c r="E207" s="8"/>
      <x:c r="F207" s="8"/>
      <x:c r="G207" s="12"/>
      <x:c r="H207" s="7"/>
      <x:c r="I207" s="7"/>
      <x:c r="J207" s="7"/>
      <x:c r="K207" s="7"/>
      <x:c r="L207" s="7"/>
      <x:c r="M207" s="7"/>
      <x:c r="N207" s="7"/>
      <x:c r="O207" s="7"/>
      <x:c r="P207" s="8"/>
      <x:c r="Q207" s="7"/>
      <x:c r="R207" s="7"/>
      <x:c r="S207" s="7"/>
      <x:c r="T207" s="2" t="n">
        <x:f>IF(A207="",0,IFERROR(IF(AND(B207&lt;&gt;"",COUNTIF('Calibrare_Linii'!$A$6:$A$19,C207)=1,COUNTIFS(OOSTable[Fixture_ID],A207,OOSTable[Line],C207)=1,ISNUMBER(D207),ISNUMBER(E207),ISNUMBER(F207),F207&lt;D207,D207&lt;E207,ISNUMBER(G207),G207&gt;='Config_v6'!$B$50,G207&lt;=1,ISNUMBER(H207),H207&gt;='Config_v6'!$B$51,H207&lt;=100,ISNUMBER(I207),I207&gt;=0,I207&lt;='Config_v6'!$B$53,ISNUMBER(J207),J207&gt;=0,J207&lt;='Config_v6'!$B$52,K207="NO",L207=12,M207="PASS",ISNUMBER(N207),N207&gt;=0,MOD(N207,1)=0,O207&lt;&gt;"",ISNUMBER(P207),P207&gt;E207,Q207&lt;&gt;"",R207&lt;&gt;"",S207="LIVE"),1,0),0))</x:f>
        <x:v>0</x:v>
      </x:c>
      <x:c r="U207" s="2" t="n">
        <x:f>IF(T207&lt;&gt;1,0,IF(LEFT(C207,1)="O",IF(N207&gt;INDEX('Calibrare_Linii'!$C$6:$C$19,MATCH(C207,'Calibrare_Linii'!$A$6:$A$19,0)),1,0),IF(N207&lt;=INDEX('Calibrare_Linii'!$C$6:$C$19,MATCH(C207,'Calibrare_Linii'!$A$6:$A$19,0)),1,0)))</x:f>
        <x:v>0</x:v>
      </x:c>
    </x:row>
    <x:row r="208" ht="21" customHeight="1">
      <x:c r="A208" s="7"/>
      <x:c r="B208" s="7"/>
      <x:c r="C208" s="7"/>
      <x:c r="D208" s="8"/>
      <x:c r="E208" s="8"/>
      <x:c r="F208" s="8"/>
      <x:c r="G208" s="12"/>
      <x:c r="H208" s="7"/>
      <x:c r="I208" s="7"/>
      <x:c r="J208" s="7"/>
      <x:c r="K208" s="7"/>
      <x:c r="L208" s="7"/>
      <x:c r="M208" s="7"/>
      <x:c r="N208" s="7"/>
      <x:c r="O208" s="7"/>
      <x:c r="P208" s="8"/>
      <x:c r="Q208" s="7"/>
      <x:c r="R208" s="7"/>
      <x:c r="S208" s="7"/>
      <x:c r="T208" s="2" t="n">
        <x:f>IF(A208="",0,IFERROR(IF(AND(B208&lt;&gt;"",COUNTIF('Calibrare_Linii'!$A$6:$A$19,C208)=1,COUNTIFS(OOSTable[Fixture_ID],A208,OOSTable[Line],C208)=1,ISNUMBER(D208),ISNUMBER(E208),ISNUMBER(F208),F208&lt;D208,D208&lt;E208,ISNUMBER(G208),G208&gt;='Config_v6'!$B$50,G208&lt;=1,ISNUMBER(H208),H208&gt;='Config_v6'!$B$51,H208&lt;=100,ISNUMBER(I208),I208&gt;=0,I208&lt;='Config_v6'!$B$53,ISNUMBER(J208),J208&gt;=0,J208&lt;='Config_v6'!$B$52,K208="NO",L208=12,M208="PASS",ISNUMBER(N208),N208&gt;=0,MOD(N208,1)=0,O208&lt;&gt;"",ISNUMBER(P208),P208&gt;E208,Q208&lt;&gt;"",R208&lt;&gt;"",S208="LIVE"),1,0),0))</x:f>
        <x:v>0</x:v>
      </x:c>
      <x:c r="U208" s="2" t="n">
        <x:f>IF(T208&lt;&gt;1,0,IF(LEFT(C208,1)="O",IF(N208&gt;INDEX('Calibrare_Linii'!$C$6:$C$19,MATCH(C208,'Calibrare_Linii'!$A$6:$A$19,0)),1,0),IF(N208&lt;=INDEX('Calibrare_Linii'!$C$6:$C$19,MATCH(C208,'Calibrare_Linii'!$A$6:$A$19,0)),1,0)))</x:f>
        <x:v>0</x:v>
      </x:c>
    </x:row>
    <x:row r="209" ht="21" customHeight="1">
      <x:c r="A209" s="7"/>
      <x:c r="B209" s="7"/>
      <x:c r="C209" s="7"/>
      <x:c r="D209" s="8"/>
      <x:c r="E209" s="8"/>
      <x:c r="F209" s="8"/>
      <x:c r="G209" s="12"/>
      <x:c r="H209" s="7"/>
      <x:c r="I209" s="7"/>
      <x:c r="J209" s="7"/>
      <x:c r="K209" s="7"/>
      <x:c r="L209" s="7"/>
      <x:c r="M209" s="7"/>
      <x:c r="N209" s="7"/>
      <x:c r="O209" s="7"/>
      <x:c r="P209" s="8"/>
      <x:c r="Q209" s="7"/>
      <x:c r="R209" s="7"/>
      <x:c r="S209" s="7"/>
      <x:c r="T209" s="2" t="n">
        <x:f>IF(A209="",0,IFERROR(IF(AND(B209&lt;&gt;"",COUNTIF('Calibrare_Linii'!$A$6:$A$19,C209)=1,COUNTIFS(OOSTable[Fixture_ID],A209,OOSTable[Line],C209)=1,ISNUMBER(D209),ISNUMBER(E209),ISNUMBER(F209),F209&lt;D209,D209&lt;E209,ISNUMBER(G209),G209&gt;='Config_v6'!$B$50,G209&lt;=1,ISNUMBER(H209),H209&gt;='Config_v6'!$B$51,H209&lt;=100,ISNUMBER(I209),I209&gt;=0,I209&lt;='Config_v6'!$B$53,ISNUMBER(J209),J209&gt;=0,J209&lt;='Config_v6'!$B$52,K209="NO",L209=12,M209="PASS",ISNUMBER(N209),N209&gt;=0,MOD(N209,1)=0,O209&lt;&gt;"",ISNUMBER(P209),P209&gt;E209,Q209&lt;&gt;"",R209&lt;&gt;"",S209="LIVE"),1,0),0))</x:f>
        <x:v>0</x:v>
      </x:c>
      <x:c r="U209" s="2" t="n">
        <x:f>IF(T209&lt;&gt;1,0,IF(LEFT(C209,1)="O",IF(N209&gt;INDEX('Calibrare_Linii'!$C$6:$C$19,MATCH(C209,'Calibrare_Linii'!$A$6:$A$19,0)),1,0),IF(N209&lt;=INDEX('Calibrare_Linii'!$C$6:$C$19,MATCH(C209,'Calibrare_Linii'!$A$6:$A$19,0)),1,0)))</x:f>
        <x:v>0</x:v>
      </x:c>
    </x:row>
    <x:row r="210" ht="21" customHeight="1">
      <x:c r="A210" s="7"/>
      <x:c r="B210" s="7"/>
      <x:c r="C210" s="7"/>
      <x:c r="D210" s="8"/>
      <x:c r="E210" s="8"/>
      <x:c r="F210" s="8"/>
      <x:c r="G210" s="12"/>
      <x:c r="H210" s="7"/>
      <x:c r="I210" s="7"/>
      <x:c r="J210" s="7"/>
      <x:c r="K210" s="7"/>
      <x:c r="L210" s="7"/>
      <x:c r="M210" s="7"/>
      <x:c r="N210" s="7"/>
      <x:c r="O210" s="7"/>
      <x:c r="P210" s="8"/>
      <x:c r="Q210" s="7"/>
      <x:c r="R210" s="7"/>
      <x:c r="S210" s="7"/>
      <x:c r="T210" s="2" t="n">
        <x:f>IF(A210="",0,IFERROR(IF(AND(B210&lt;&gt;"",COUNTIF('Calibrare_Linii'!$A$6:$A$19,C210)=1,COUNTIFS(OOSTable[Fixture_ID],A210,OOSTable[Line],C210)=1,ISNUMBER(D210),ISNUMBER(E210),ISNUMBER(F210),F210&lt;D210,D210&lt;E210,ISNUMBER(G210),G210&gt;='Config_v6'!$B$50,G210&lt;=1,ISNUMBER(H210),H210&gt;='Config_v6'!$B$51,H210&lt;=100,ISNUMBER(I210),I210&gt;=0,I210&lt;='Config_v6'!$B$53,ISNUMBER(J210),J210&gt;=0,J210&lt;='Config_v6'!$B$52,K210="NO",L210=12,M210="PASS",ISNUMBER(N210),N210&gt;=0,MOD(N210,1)=0,O210&lt;&gt;"",ISNUMBER(P210),P210&gt;E210,Q210&lt;&gt;"",R210&lt;&gt;"",S210="LIVE"),1,0),0))</x:f>
        <x:v>0</x:v>
      </x:c>
      <x:c r="U210" s="2" t="n">
        <x:f>IF(T210&lt;&gt;1,0,IF(LEFT(C210,1)="O",IF(N210&gt;INDEX('Calibrare_Linii'!$C$6:$C$19,MATCH(C210,'Calibrare_Linii'!$A$6:$A$19,0)),1,0),IF(N210&lt;=INDEX('Calibrare_Linii'!$C$6:$C$19,MATCH(C210,'Calibrare_Linii'!$A$6:$A$19,0)),1,0)))</x:f>
        <x:v>0</x:v>
      </x:c>
    </x:row>
    <x:row r="211" ht="21" customHeight="1">
      <x:c r="A211" s="7"/>
      <x:c r="B211" s="7"/>
      <x:c r="C211" s="7"/>
      <x:c r="D211" s="8"/>
      <x:c r="E211" s="8"/>
      <x:c r="F211" s="8"/>
      <x:c r="G211" s="12"/>
      <x:c r="H211" s="7"/>
      <x:c r="I211" s="7"/>
      <x:c r="J211" s="7"/>
      <x:c r="K211" s="7"/>
      <x:c r="L211" s="7"/>
      <x:c r="M211" s="7"/>
      <x:c r="N211" s="7"/>
      <x:c r="O211" s="7"/>
      <x:c r="P211" s="8"/>
      <x:c r="Q211" s="7"/>
      <x:c r="R211" s="7"/>
      <x:c r="S211" s="7"/>
      <x:c r="T211" s="2" t="n">
        <x:f>IF(A211="",0,IFERROR(IF(AND(B211&lt;&gt;"",COUNTIF('Calibrare_Linii'!$A$6:$A$19,C211)=1,COUNTIFS(OOSTable[Fixture_ID],A211,OOSTable[Line],C211)=1,ISNUMBER(D211),ISNUMBER(E211),ISNUMBER(F211),F211&lt;D211,D211&lt;E211,ISNUMBER(G211),G211&gt;='Config_v6'!$B$50,G211&lt;=1,ISNUMBER(H211),H211&gt;='Config_v6'!$B$51,H211&lt;=100,ISNUMBER(I211),I211&gt;=0,I211&lt;='Config_v6'!$B$53,ISNUMBER(J211),J211&gt;=0,J211&lt;='Config_v6'!$B$52,K211="NO",L211=12,M211="PASS",ISNUMBER(N211),N211&gt;=0,MOD(N211,1)=0,O211&lt;&gt;"",ISNUMBER(P211),P211&gt;E211,Q211&lt;&gt;"",R211&lt;&gt;"",S211="LIVE"),1,0),0))</x:f>
        <x:v>0</x:v>
      </x:c>
      <x:c r="U211" s="2" t="n">
        <x:f>IF(T211&lt;&gt;1,0,IF(LEFT(C211,1)="O",IF(N211&gt;INDEX('Calibrare_Linii'!$C$6:$C$19,MATCH(C211,'Calibrare_Linii'!$A$6:$A$19,0)),1,0),IF(N211&lt;=INDEX('Calibrare_Linii'!$C$6:$C$19,MATCH(C211,'Calibrare_Linii'!$A$6:$A$19,0)),1,0)))</x:f>
        <x:v>0</x:v>
      </x:c>
    </x:row>
    <x:row r="212" ht="21" customHeight="1">
      <x:c r="A212" s="7"/>
      <x:c r="B212" s="7"/>
      <x:c r="C212" s="7"/>
      <x:c r="D212" s="8"/>
      <x:c r="E212" s="8"/>
      <x:c r="F212" s="8"/>
      <x:c r="G212" s="12"/>
      <x:c r="H212" s="7"/>
      <x:c r="I212" s="7"/>
      <x:c r="J212" s="7"/>
      <x:c r="K212" s="7"/>
      <x:c r="L212" s="7"/>
      <x:c r="M212" s="7"/>
      <x:c r="N212" s="7"/>
      <x:c r="O212" s="7"/>
      <x:c r="P212" s="8"/>
      <x:c r="Q212" s="7"/>
      <x:c r="R212" s="7"/>
      <x:c r="S212" s="7"/>
      <x:c r="T212" s="2" t="n">
        <x:f>IF(A212="",0,IFERROR(IF(AND(B212&lt;&gt;"",COUNTIF('Calibrare_Linii'!$A$6:$A$19,C212)=1,COUNTIFS(OOSTable[Fixture_ID],A212,OOSTable[Line],C212)=1,ISNUMBER(D212),ISNUMBER(E212),ISNUMBER(F212),F212&lt;D212,D212&lt;E212,ISNUMBER(G212),G212&gt;='Config_v6'!$B$50,G212&lt;=1,ISNUMBER(H212),H212&gt;='Config_v6'!$B$51,H212&lt;=100,ISNUMBER(I212),I212&gt;=0,I212&lt;='Config_v6'!$B$53,ISNUMBER(J212),J212&gt;=0,J212&lt;='Config_v6'!$B$52,K212="NO",L212=12,M212="PASS",ISNUMBER(N212),N212&gt;=0,MOD(N212,1)=0,O212&lt;&gt;"",ISNUMBER(P212),P212&gt;E212,Q212&lt;&gt;"",R212&lt;&gt;"",S212="LIVE"),1,0),0))</x:f>
        <x:v>0</x:v>
      </x:c>
      <x:c r="U212" s="2" t="n">
        <x:f>IF(T212&lt;&gt;1,0,IF(LEFT(C212,1)="O",IF(N212&gt;INDEX('Calibrare_Linii'!$C$6:$C$19,MATCH(C212,'Calibrare_Linii'!$A$6:$A$19,0)),1,0),IF(N212&lt;=INDEX('Calibrare_Linii'!$C$6:$C$19,MATCH(C212,'Calibrare_Linii'!$A$6:$A$19,0)),1,0)))</x:f>
        <x:v>0</x:v>
      </x:c>
    </x:row>
    <x:row r="213" ht="21" customHeight="1">
      <x:c r="A213" s="7"/>
      <x:c r="B213" s="7"/>
      <x:c r="C213" s="7"/>
      <x:c r="D213" s="8"/>
      <x:c r="E213" s="8"/>
      <x:c r="F213" s="8"/>
      <x:c r="G213" s="12"/>
      <x:c r="H213" s="7"/>
      <x:c r="I213" s="7"/>
      <x:c r="J213" s="7"/>
      <x:c r="K213" s="7"/>
      <x:c r="L213" s="7"/>
      <x:c r="M213" s="7"/>
      <x:c r="N213" s="7"/>
      <x:c r="O213" s="7"/>
      <x:c r="P213" s="8"/>
      <x:c r="Q213" s="7"/>
      <x:c r="R213" s="7"/>
      <x:c r="S213" s="7"/>
      <x:c r="T213" s="2" t="n">
        <x:f>IF(A213="",0,IFERROR(IF(AND(B213&lt;&gt;"",COUNTIF('Calibrare_Linii'!$A$6:$A$19,C213)=1,COUNTIFS(OOSTable[Fixture_ID],A213,OOSTable[Line],C213)=1,ISNUMBER(D213),ISNUMBER(E213),ISNUMBER(F213),F213&lt;D213,D213&lt;E213,ISNUMBER(G213),G213&gt;='Config_v6'!$B$50,G213&lt;=1,ISNUMBER(H213),H213&gt;='Config_v6'!$B$51,H213&lt;=100,ISNUMBER(I213),I213&gt;=0,I213&lt;='Config_v6'!$B$53,ISNUMBER(J213),J213&gt;=0,J213&lt;='Config_v6'!$B$52,K213="NO",L213=12,M213="PASS",ISNUMBER(N213),N213&gt;=0,MOD(N213,1)=0,O213&lt;&gt;"",ISNUMBER(P213),P213&gt;E213,Q213&lt;&gt;"",R213&lt;&gt;"",S213="LIVE"),1,0),0))</x:f>
        <x:v>0</x:v>
      </x:c>
      <x:c r="U213" s="2" t="n">
        <x:f>IF(T213&lt;&gt;1,0,IF(LEFT(C213,1)="O",IF(N213&gt;INDEX('Calibrare_Linii'!$C$6:$C$19,MATCH(C213,'Calibrare_Linii'!$A$6:$A$19,0)),1,0),IF(N213&lt;=INDEX('Calibrare_Linii'!$C$6:$C$19,MATCH(C213,'Calibrare_Linii'!$A$6:$A$19,0)),1,0)))</x:f>
        <x:v>0</x:v>
      </x:c>
    </x:row>
    <x:row r="214" ht="21" customHeight="1">
      <x:c r="A214" s="7"/>
      <x:c r="B214" s="7"/>
      <x:c r="C214" s="7"/>
      <x:c r="D214" s="8"/>
      <x:c r="E214" s="8"/>
      <x:c r="F214" s="8"/>
      <x:c r="G214" s="12"/>
      <x:c r="H214" s="7"/>
      <x:c r="I214" s="7"/>
      <x:c r="J214" s="7"/>
      <x:c r="K214" s="7"/>
      <x:c r="L214" s="7"/>
      <x:c r="M214" s="7"/>
      <x:c r="N214" s="7"/>
      <x:c r="O214" s="7"/>
      <x:c r="P214" s="8"/>
      <x:c r="Q214" s="7"/>
      <x:c r="R214" s="7"/>
      <x:c r="S214" s="7"/>
      <x:c r="T214" s="2" t="n">
        <x:f>IF(A214="",0,IFERROR(IF(AND(B214&lt;&gt;"",COUNTIF('Calibrare_Linii'!$A$6:$A$19,C214)=1,COUNTIFS(OOSTable[Fixture_ID],A214,OOSTable[Line],C214)=1,ISNUMBER(D214),ISNUMBER(E214),ISNUMBER(F214),F214&lt;D214,D214&lt;E214,ISNUMBER(G214),G214&gt;='Config_v6'!$B$50,G214&lt;=1,ISNUMBER(H214),H214&gt;='Config_v6'!$B$51,H214&lt;=100,ISNUMBER(I214),I214&gt;=0,I214&lt;='Config_v6'!$B$53,ISNUMBER(J214),J214&gt;=0,J214&lt;='Config_v6'!$B$52,K214="NO",L214=12,M214="PASS",ISNUMBER(N214),N214&gt;=0,MOD(N214,1)=0,O214&lt;&gt;"",ISNUMBER(P214),P214&gt;E214,Q214&lt;&gt;"",R214&lt;&gt;"",S214="LIVE"),1,0),0))</x:f>
        <x:v>0</x:v>
      </x:c>
      <x:c r="U214" s="2" t="n">
        <x:f>IF(T214&lt;&gt;1,0,IF(LEFT(C214,1)="O",IF(N214&gt;INDEX('Calibrare_Linii'!$C$6:$C$19,MATCH(C214,'Calibrare_Linii'!$A$6:$A$19,0)),1,0),IF(N214&lt;=INDEX('Calibrare_Linii'!$C$6:$C$19,MATCH(C214,'Calibrare_Linii'!$A$6:$A$19,0)),1,0)))</x:f>
        <x:v>0</x:v>
      </x:c>
    </x:row>
    <x:row r="215" ht="21" customHeight="1">
      <x:c r="A215" s="7"/>
      <x:c r="B215" s="7"/>
      <x:c r="C215" s="7"/>
      <x:c r="D215" s="8"/>
      <x:c r="E215" s="8"/>
      <x:c r="F215" s="8"/>
      <x:c r="G215" s="12"/>
      <x:c r="H215" s="7"/>
      <x:c r="I215" s="7"/>
      <x:c r="J215" s="7"/>
      <x:c r="K215" s="7"/>
      <x:c r="L215" s="7"/>
      <x:c r="M215" s="7"/>
      <x:c r="N215" s="7"/>
      <x:c r="O215" s="7"/>
      <x:c r="P215" s="8"/>
      <x:c r="Q215" s="7"/>
      <x:c r="R215" s="7"/>
      <x:c r="S215" s="7"/>
      <x:c r="T215" s="2" t="n">
        <x:f>IF(A215="",0,IFERROR(IF(AND(B215&lt;&gt;"",COUNTIF('Calibrare_Linii'!$A$6:$A$19,C215)=1,COUNTIFS(OOSTable[Fixture_ID],A215,OOSTable[Line],C215)=1,ISNUMBER(D215),ISNUMBER(E215),ISNUMBER(F215),F215&lt;D215,D215&lt;E215,ISNUMBER(G215),G215&gt;='Config_v6'!$B$50,G215&lt;=1,ISNUMBER(H215),H215&gt;='Config_v6'!$B$51,H215&lt;=100,ISNUMBER(I215),I215&gt;=0,I215&lt;='Config_v6'!$B$53,ISNUMBER(J215),J215&gt;=0,J215&lt;='Config_v6'!$B$52,K215="NO",L215=12,M215="PASS",ISNUMBER(N215),N215&gt;=0,MOD(N215,1)=0,O215&lt;&gt;"",ISNUMBER(P215),P215&gt;E215,Q215&lt;&gt;"",R215&lt;&gt;"",S215="LIVE"),1,0),0))</x:f>
        <x:v>0</x:v>
      </x:c>
      <x:c r="U215" s="2" t="n">
        <x:f>IF(T215&lt;&gt;1,0,IF(LEFT(C215,1)="O",IF(N215&gt;INDEX('Calibrare_Linii'!$C$6:$C$19,MATCH(C215,'Calibrare_Linii'!$A$6:$A$19,0)),1,0),IF(N215&lt;=INDEX('Calibrare_Linii'!$C$6:$C$19,MATCH(C215,'Calibrare_Linii'!$A$6:$A$19,0)),1,0)))</x:f>
        <x:v>0</x:v>
      </x:c>
    </x:row>
    <x:row r="216" ht="21" customHeight="1">
      <x:c r="A216" s="7"/>
      <x:c r="B216" s="7"/>
      <x:c r="C216" s="7"/>
      <x:c r="D216" s="8"/>
      <x:c r="E216" s="8"/>
      <x:c r="F216" s="8"/>
      <x:c r="G216" s="12"/>
      <x:c r="H216" s="7"/>
      <x:c r="I216" s="7"/>
      <x:c r="J216" s="7"/>
      <x:c r="K216" s="7"/>
      <x:c r="L216" s="7"/>
      <x:c r="M216" s="7"/>
      <x:c r="N216" s="7"/>
      <x:c r="O216" s="7"/>
      <x:c r="P216" s="8"/>
      <x:c r="Q216" s="7"/>
      <x:c r="R216" s="7"/>
      <x:c r="S216" s="7"/>
      <x:c r="T216" s="2" t="n">
        <x:f>IF(A216="",0,IFERROR(IF(AND(B216&lt;&gt;"",COUNTIF('Calibrare_Linii'!$A$6:$A$19,C216)=1,COUNTIFS(OOSTable[Fixture_ID],A216,OOSTable[Line],C216)=1,ISNUMBER(D216),ISNUMBER(E216),ISNUMBER(F216),F216&lt;D216,D216&lt;E216,ISNUMBER(G216),G216&gt;='Config_v6'!$B$50,G216&lt;=1,ISNUMBER(H216),H216&gt;='Config_v6'!$B$51,H216&lt;=100,ISNUMBER(I216),I216&gt;=0,I216&lt;='Config_v6'!$B$53,ISNUMBER(J216),J216&gt;=0,J216&lt;='Config_v6'!$B$52,K216="NO",L216=12,M216="PASS",ISNUMBER(N216),N216&gt;=0,MOD(N216,1)=0,O216&lt;&gt;"",ISNUMBER(P216),P216&gt;E216,Q216&lt;&gt;"",R216&lt;&gt;"",S216="LIVE"),1,0),0))</x:f>
        <x:v>0</x:v>
      </x:c>
      <x:c r="U216" s="2" t="n">
        <x:f>IF(T216&lt;&gt;1,0,IF(LEFT(C216,1)="O",IF(N216&gt;INDEX('Calibrare_Linii'!$C$6:$C$19,MATCH(C216,'Calibrare_Linii'!$A$6:$A$19,0)),1,0),IF(N216&lt;=INDEX('Calibrare_Linii'!$C$6:$C$19,MATCH(C216,'Calibrare_Linii'!$A$6:$A$19,0)),1,0)))</x:f>
        <x:v>0</x:v>
      </x:c>
    </x:row>
    <x:row r="217" ht="21" customHeight="1">
      <x:c r="A217" s="7"/>
      <x:c r="B217" s="7"/>
      <x:c r="C217" s="7"/>
      <x:c r="D217" s="8"/>
      <x:c r="E217" s="8"/>
      <x:c r="F217" s="8"/>
      <x:c r="G217" s="12"/>
      <x:c r="H217" s="7"/>
      <x:c r="I217" s="7"/>
      <x:c r="J217" s="7"/>
      <x:c r="K217" s="7"/>
      <x:c r="L217" s="7"/>
      <x:c r="M217" s="7"/>
      <x:c r="N217" s="7"/>
      <x:c r="O217" s="7"/>
      <x:c r="P217" s="8"/>
      <x:c r="Q217" s="7"/>
      <x:c r="R217" s="7"/>
      <x:c r="S217" s="7"/>
      <x:c r="T217" s="2" t="n">
        <x:f>IF(A217="",0,IFERROR(IF(AND(B217&lt;&gt;"",COUNTIF('Calibrare_Linii'!$A$6:$A$19,C217)=1,COUNTIFS(OOSTable[Fixture_ID],A217,OOSTable[Line],C217)=1,ISNUMBER(D217),ISNUMBER(E217),ISNUMBER(F217),F217&lt;D217,D217&lt;E217,ISNUMBER(G217),G217&gt;='Config_v6'!$B$50,G217&lt;=1,ISNUMBER(H217),H217&gt;='Config_v6'!$B$51,H217&lt;=100,ISNUMBER(I217),I217&gt;=0,I217&lt;='Config_v6'!$B$53,ISNUMBER(J217),J217&gt;=0,J217&lt;='Config_v6'!$B$52,K217="NO",L217=12,M217="PASS",ISNUMBER(N217),N217&gt;=0,MOD(N217,1)=0,O217&lt;&gt;"",ISNUMBER(P217),P217&gt;E217,Q217&lt;&gt;"",R217&lt;&gt;"",S217="LIVE"),1,0),0))</x:f>
        <x:v>0</x:v>
      </x:c>
      <x:c r="U217" s="2" t="n">
        <x:f>IF(T217&lt;&gt;1,0,IF(LEFT(C217,1)="O",IF(N217&gt;INDEX('Calibrare_Linii'!$C$6:$C$19,MATCH(C217,'Calibrare_Linii'!$A$6:$A$19,0)),1,0),IF(N217&lt;=INDEX('Calibrare_Linii'!$C$6:$C$19,MATCH(C217,'Calibrare_Linii'!$A$6:$A$19,0)),1,0)))</x:f>
        <x:v>0</x:v>
      </x:c>
    </x:row>
    <x:row r="218" ht="21" customHeight="1">
      <x:c r="A218" s="7"/>
      <x:c r="B218" s="7"/>
      <x:c r="C218" s="7"/>
      <x:c r="D218" s="8"/>
      <x:c r="E218" s="8"/>
      <x:c r="F218" s="8"/>
      <x:c r="G218" s="12"/>
      <x:c r="H218" s="7"/>
      <x:c r="I218" s="7"/>
      <x:c r="J218" s="7"/>
      <x:c r="K218" s="7"/>
      <x:c r="L218" s="7"/>
      <x:c r="M218" s="7"/>
      <x:c r="N218" s="7"/>
      <x:c r="O218" s="7"/>
      <x:c r="P218" s="8"/>
      <x:c r="Q218" s="7"/>
      <x:c r="R218" s="7"/>
      <x:c r="S218" s="7"/>
      <x:c r="T218" s="2" t="n">
        <x:f>IF(A218="",0,IFERROR(IF(AND(B218&lt;&gt;"",COUNTIF('Calibrare_Linii'!$A$6:$A$19,C218)=1,COUNTIFS(OOSTable[Fixture_ID],A218,OOSTable[Line],C218)=1,ISNUMBER(D218),ISNUMBER(E218),ISNUMBER(F218),F218&lt;D218,D218&lt;E218,ISNUMBER(G218),G218&gt;='Config_v6'!$B$50,G218&lt;=1,ISNUMBER(H218),H218&gt;='Config_v6'!$B$51,H218&lt;=100,ISNUMBER(I218),I218&gt;=0,I218&lt;='Config_v6'!$B$53,ISNUMBER(J218),J218&gt;=0,J218&lt;='Config_v6'!$B$52,K218="NO",L218=12,M218="PASS",ISNUMBER(N218),N218&gt;=0,MOD(N218,1)=0,O218&lt;&gt;"",ISNUMBER(P218),P218&gt;E218,Q218&lt;&gt;"",R218&lt;&gt;"",S218="LIVE"),1,0),0))</x:f>
        <x:v>0</x:v>
      </x:c>
      <x:c r="U218" s="2" t="n">
        <x:f>IF(T218&lt;&gt;1,0,IF(LEFT(C218,1)="O",IF(N218&gt;INDEX('Calibrare_Linii'!$C$6:$C$19,MATCH(C218,'Calibrare_Linii'!$A$6:$A$19,0)),1,0),IF(N218&lt;=INDEX('Calibrare_Linii'!$C$6:$C$19,MATCH(C218,'Calibrare_Linii'!$A$6:$A$19,0)),1,0)))</x:f>
        <x:v>0</x:v>
      </x:c>
    </x:row>
    <x:row r="219" ht="21" customHeight="1">
      <x:c r="A219" s="7"/>
      <x:c r="B219" s="7"/>
      <x:c r="C219" s="7"/>
      <x:c r="D219" s="8"/>
      <x:c r="E219" s="8"/>
      <x:c r="F219" s="8"/>
      <x:c r="G219" s="12"/>
      <x:c r="H219" s="7"/>
      <x:c r="I219" s="7"/>
      <x:c r="J219" s="7"/>
      <x:c r="K219" s="7"/>
      <x:c r="L219" s="7"/>
      <x:c r="M219" s="7"/>
      <x:c r="N219" s="7"/>
      <x:c r="O219" s="7"/>
      <x:c r="P219" s="8"/>
      <x:c r="Q219" s="7"/>
      <x:c r="R219" s="7"/>
      <x:c r="S219" s="7"/>
      <x:c r="T219" s="2" t="n">
        <x:f>IF(A219="",0,IFERROR(IF(AND(B219&lt;&gt;"",COUNTIF('Calibrare_Linii'!$A$6:$A$19,C219)=1,COUNTIFS(OOSTable[Fixture_ID],A219,OOSTable[Line],C219)=1,ISNUMBER(D219),ISNUMBER(E219),ISNUMBER(F219),F219&lt;D219,D219&lt;E219,ISNUMBER(G219),G219&gt;='Config_v6'!$B$50,G219&lt;=1,ISNUMBER(H219),H219&gt;='Config_v6'!$B$51,H219&lt;=100,ISNUMBER(I219),I219&gt;=0,I219&lt;='Config_v6'!$B$53,ISNUMBER(J219),J219&gt;=0,J219&lt;='Config_v6'!$B$52,K219="NO",L219=12,M219="PASS",ISNUMBER(N219),N219&gt;=0,MOD(N219,1)=0,O219&lt;&gt;"",ISNUMBER(P219),P219&gt;E219,Q219&lt;&gt;"",R219&lt;&gt;"",S219="LIVE"),1,0),0))</x:f>
        <x:v>0</x:v>
      </x:c>
      <x:c r="U219" s="2" t="n">
        <x:f>IF(T219&lt;&gt;1,0,IF(LEFT(C219,1)="O",IF(N219&gt;INDEX('Calibrare_Linii'!$C$6:$C$19,MATCH(C219,'Calibrare_Linii'!$A$6:$A$19,0)),1,0),IF(N219&lt;=INDEX('Calibrare_Linii'!$C$6:$C$19,MATCH(C219,'Calibrare_Linii'!$A$6:$A$19,0)),1,0)))</x:f>
        <x:v>0</x:v>
      </x:c>
    </x:row>
    <x:row r="220" ht="21" customHeight="1">
      <x:c r="A220" s="7"/>
      <x:c r="B220" s="7"/>
      <x:c r="C220" s="7"/>
      <x:c r="D220" s="8"/>
      <x:c r="E220" s="8"/>
      <x:c r="F220" s="8"/>
      <x:c r="G220" s="12"/>
      <x:c r="H220" s="7"/>
      <x:c r="I220" s="7"/>
      <x:c r="J220" s="7"/>
      <x:c r="K220" s="7"/>
      <x:c r="L220" s="7"/>
      <x:c r="M220" s="7"/>
      <x:c r="N220" s="7"/>
      <x:c r="O220" s="7"/>
      <x:c r="P220" s="8"/>
      <x:c r="Q220" s="7"/>
      <x:c r="R220" s="7"/>
      <x:c r="S220" s="7"/>
      <x:c r="T220" s="2" t="n">
        <x:f>IF(A220="",0,IFERROR(IF(AND(B220&lt;&gt;"",COUNTIF('Calibrare_Linii'!$A$6:$A$19,C220)=1,COUNTIFS(OOSTable[Fixture_ID],A220,OOSTable[Line],C220)=1,ISNUMBER(D220),ISNUMBER(E220),ISNUMBER(F220),F220&lt;D220,D220&lt;E220,ISNUMBER(G220),G220&gt;='Config_v6'!$B$50,G220&lt;=1,ISNUMBER(H220),H220&gt;='Config_v6'!$B$51,H220&lt;=100,ISNUMBER(I220),I220&gt;=0,I220&lt;='Config_v6'!$B$53,ISNUMBER(J220),J220&gt;=0,J220&lt;='Config_v6'!$B$52,K220="NO",L220=12,M220="PASS",ISNUMBER(N220),N220&gt;=0,MOD(N220,1)=0,O220&lt;&gt;"",ISNUMBER(P220),P220&gt;E220,Q220&lt;&gt;"",R220&lt;&gt;"",S220="LIVE"),1,0),0))</x:f>
        <x:v>0</x:v>
      </x:c>
      <x:c r="U220" s="2" t="n">
        <x:f>IF(T220&lt;&gt;1,0,IF(LEFT(C220,1)="O",IF(N220&gt;INDEX('Calibrare_Linii'!$C$6:$C$19,MATCH(C220,'Calibrare_Linii'!$A$6:$A$19,0)),1,0),IF(N220&lt;=INDEX('Calibrare_Linii'!$C$6:$C$19,MATCH(C220,'Calibrare_Linii'!$A$6:$A$19,0)),1,0)))</x:f>
        <x:v>0</x:v>
      </x:c>
    </x:row>
    <x:row r="221" ht="21" customHeight="1">
      <x:c r="A221" s="7"/>
      <x:c r="B221" s="7"/>
      <x:c r="C221" s="7"/>
      <x:c r="D221" s="8"/>
      <x:c r="E221" s="8"/>
      <x:c r="F221" s="8"/>
      <x:c r="G221" s="12"/>
      <x:c r="H221" s="7"/>
      <x:c r="I221" s="7"/>
      <x:c r="J221" s="7"/>
      <x:c r="K221" s="7"/>
      <x:c r="L221" s="7"/>
      <x:c r="M221" s="7"/>
      <x:c r="N221" s="7"/>
      <x:c r="O221" s="7"/>
      <x:c r="P221" s="8"/>
      <x:c r="Q221" s="7"/>
      <x:c r="R221" s="7"/>
      <x:c r="S221" s="7"/>
      <x:c r="T221" s="2" t="n">
        <x:f>IF(A221="",0,IFERROR(IF(AND(B221&lt;&gt;"",COUNTIF('Calibrare_Linii'!$A$6:$A$19,C221)=1,COUNTIFS(OOSTable[Fixture_ID],A221,OOSTable[Line],C221)=1,ISNUMBER(D221),ISNUMBER(E221),ISNUMBER(F221),F221&lt;D221,D221&lt;E221,ISNUMBER(G221),G221&gt;='Config_v6'!$B$50,G221&lt;=1,ISNUMBER(H221),H221&gt;='Config_v6'!$B$51,H221&lt;=100,ISNUMBER(I221),I221&gt;=0,I221&lt;='Config_v6'!$B$53,ISNUMBER(J221),J221&gt;=0,J221&lt;='Config_v6'!$B$52,K221="NO",L221=12,M221="PASS",ISNUMBER(N221),N221&gt;=0,MOD(N221,1)=0,O221&lt;&gt;"",ISNUMBER(P221),P221&gt;E221,Q221&lt;&gt;"",R221&lt;&gt;"",S221="LIVE"),1,0),0))</x:f>
        <x:v>0</x:v>
      </x:c>
      <x:c r="U221" s="2" t="n">
        <x:f>IF(T221&lt;&gt;1,0,IF(LEFT(C221,1)="O",IF(N221&gt;INDEX('Calibrare_Linii'!$C$6:$C$19,MATCH(C221,'Calibrare_Linii'!$A$6:$A$19,0)),1,0),IF(N221&lt;=INDEX('Calibrare_Linii'!$C$6:$C$19,MATCH(C221,'Calibrare_Linii'!$A$6:$A$19,0)),1,0)))</x:f>
        <x:v>0</x:v>
      </x:c>
    </x:row>
    <x:row r="222" ht="21" customHeight="1">
      <x:c r="A222" s="7"/>
      <x:c r="B222" s="7"/>
      <x:c r="C222" s="7"/>
      <x:c r="D222" s="8"/>
      <x:c r="E222" s="8"/>
      <x:c r="F222" s="8"/>
      <x:c r="G222" s="12"/>
      <x:c r="H222" s="7"/>
      <x:c r="I222" s="7"/>
      <x:c r="J222" s="7"/>
      <x:c r="K222" s="7"/>
      <x:c r="L222" s="7"/>
      <x:c r="M222" s="7"/>
      <x:c r="N222" s="7"/>
      <x:c r="O222" s="7"/>
      <x:c r="P222" s="8"/>
      <x:c r="Q222" s="7"/>
      <x:c r="R222" s="7"/>
      <x:c r="S222" s="7"/>
      <x:c r="T222" s="2" t="n">
        <x:f>IF(A222="",0,IFERROR(IF(AND(B222&lt;&gt;"",COUNTIF('Calibrare_Linii'!$A$6:$A$19,C222)=1,COUNTIFS(OOSTable[Fixture_ID],A222,OOSTable[Line],C222)=1,ISNUMBER(D222),ISNUMBER(E222),ISNUMBER(F222),F222&lt;D222,D222&lt;E222,ISNUMBER(G222),G222&gt;='Config_v6'!$B$50,G222&lt;=1,ISNUMBER(H222),H222&gt;='Config_v6'!$B$51,H222&lt;=100,ISNUMBER(I222),I222&gt;=0,I222&lt;='Config_v6'!$B$53,ISNUMBER(J222),J222&gt;=0,J222&lt;='Config_v6'!$B$52,K222="NO",L222=12,M222="PASS",ISNUMBER(N222),N222&gt;=0,MOD(N222,1)=0,O222&lt;&gt;"",ISNUMBER(P222),P222&gt;E222,Q222&lt;&gt;"",R222&lt;&gt;"",S222="LIVE"),1,0),0))</x:f>
        <x:v>0</x:v>
      </x:c>
      <x:c r="U222" s="2" t="n">
        <x:f>IF(T222&lt;&gt;1,0,IF(LEFT(C222,1)="O",IF(N222&gt;INDEX('Calibrare_Linii'!$C$6:$C$19,MATCH(C222,'Calibrare_Linii'!$A$6:$A$19,0)),1,0),IF(N222&lt;=INDEX('Calibrare_Linii'!$C$6:$C$19,MATCH(C222,'Calibrare_Linii'!$A$6:$A$19,0)),1,0)))</x:f>
        <x:v>0</x:v>
      </x:c>
    </x:row>
    <x:row r="223" ht="21" customHeight="1">
      <x:c r="A223" s="7"/>
      <x:c r="B223" s="7"/>
      <x:c r="C223" s="7"/>
      <x:c r="D223" s="8"/>
      <x:c r="E223" s="8"/>
      <x:c r="F223" s="8"/>
      <x:c r="G223" s="12"/>
      <x:c r="H223" s="7"/>
      <x:c r="I223" s="7"/>
      <x:c r="J223" s="7"/>
      <x:c r="K223" s="7"/>
      <x:c r="L223" s="7"/>
      <x:c r="M223" s="7"/>
      <x:c r="N223" s="7"/>
      <x:c r="O223" s="7"/>
      <x:c r="P223" s="8"/>
      <x:c r="Q223" s="7"/>
      <x:c r="R223" s="7"/>
      <x:c r="S223" s="7"/>
      <x:c r="T223" s="2" t="n">
        <x:f>IF(A223="",0,IFERROR(IF(AND(B223&lt;&gt;"",COUNTIF('Calibrare_Linii'!$A$6:$A$19,C223)=1,COUNTIFS(OOSTable[Fixture_ID],A223,OOSTable[Line],C223)=1,ISNUMBER(D223),ISNUMBER(E223),ISNUMBER(F223),F223&lt;D223,D223&lt;E223,ISNUMBER(G223),G223&gt;='Config_v6'!$B$50,G223&lt;=1,ISNUMBER(H223),H223&gt;='Config_v6'!$B$51,H223&lt;=100,ISNUMBER(I223),I223&gt;=0,I223&lt;='Config_v6'!$B$53,ISNUMBER(J223),J223&gt;=0,J223&lt;='Config_v6'!$B$52,K223="NO",L223=12,M223="PASS",ISNUMBER(N223),N223&gt;=0,MOD(N223,1)=0,O223&lt;&gt;"",ISNUMBER(P223),P223&gt;E223,Q223&lt;&gt;"",R223&lt;&gt;"",S223="LIVE"),1,0),0))</x:f>
        <x:v>0</x:v>
      </x:c>
      <x:c r="U223" s="2" t="n">
        <x:f>IF(T223&lt;&gt;1,0,IF(LEFT(C223,1)="O",IF(N223&gt;INDEX('Calibrare_Linii'!$C$6:$C$19,MATCH(C223,'Calibrare_Linii'!$A$6:$A$19,0)),1,0),IF(N223&lt;=INDEX('Calibrare_Linii'!$C$6:$C$19,MATCH(C223,'Calibrare_Linii'!$A$6:$A$19,0)),1,0)))</x:f>
        <x:v>0</x:v>
      </x:c>
    </x:row>
    <x:row r="224" ht="21" customHeight="1">
      <x:c r="A224" s="7"/>
      <x:c r="B224" s="7"/>
      <x:c r="C224" s="7"/>
      <x:c r="D224" s="8"/>
      <x:c r="E224" s="8"/>
      <x:c r="F224" s="8"/>
      <x:c r="G224" s="12"/>
      <x:c r="H224" s="7"/>
      <x:c r="I224" s="7"/>
      <x:c r="J224" s="7"/>
      <x:c r="K224" s="7"/>
      <x:c r="L224" s="7"/>
      <x:c r="M224" s="7"/>
      <x:c r="N224" s="7"/>
      <x:c r="O224" s="7"/>
      <x:c r="P224" s="8"/>
      <x:c r="Q224" s="7"/>
      <x:c r="R224" s="7"/>
      <x:c r="S224" s="7"/>
      <x:c r="T224" s="2" t="n">
        <x:f>IF(A224="",0,IFERROR(IF(AND(B224&lt;&gt;"",COUNTIF('Calibrare_Linii'!$A$6:$A$19,C224)=1,COUNTIFS(OOSTable[Fixture_ID],A224,OOSTable[Line],C224)=1,ISNUMBER(D224),ISNUMBER(E224),ISNUMBER(F224),F224&lt;D224,D224&lt;E224,ISNUMBER(G224),G224&gt;='Config_v6'!$B$50,G224&lt;=1,ISNUMBER(H224),H224&gt;='Config_v6'!$B$51,H224&lt;=100,ISNUMBER(I224),I224&gt;=0,I224&lt;='Config_v6'!$B$53,ISNUMBER(J224),J224&gt;=0,J224&lt;='Config_v6'!$B$52,K224="NO",L224=12,M224="PASS",ISNUMBER(N224),N224&gt;=0,MOD(N224,1)=0,O224&lt;&gt;"",ISNUMBER(P224),P224&gt;E224,Q224&lt;&gt;"",R224&lt;&gt;"",S224="LIVE"),1,0),0))</x:f>
        <x:v>0</x:v>
      </x:c>
      <x:c r="U224" s="2" t="n">
        <x:f>IF(T224&lt;&gt;1,0,IF(LEFT(C224,1)="O",IF(N224&gt;INDEX('Calibrare_Linii'!$C$6:$C$19,MATCH(C224,'Calibrare_Linii'!$A$6:$A$19,0)),1,0),IF(N224&lt;=INDEX('Calibrare_Linii'!$C$6:$C$19,MATCH(C224,'Calibrare_Linii'!$A$6:$A$19,0)),1,0)))</x:f>
        <x:v>0</x:v>
      </x:c>
    </x:row>
    <x:row r="225" ht="21" customHeight="1">
      <x:c r="A225" s="7"/>
      <x:c r="B225" s="7"/>
      <x:c r="C225" s="7"/>
      <x:c r="D225" s="8"/>
      <x:c r="E225" s="8"/>
      <x:c r="F225" s="8"/>
      <x:c r="G225" s="12"/>
      <x:c r="H225" s="7"/>
      <x:c r="I225" s="7"/>
      <x:c r="J225" s="7"/>
      <x:c r="K225" s="7"/>
      <x:c r="L225" s="7"/>
      <x:c r="M225" s="7"/>
      <x:c r="N225" s="7"/>
      <x:c r="O225" s="7"/>
      <x:c r="P225" s="8"/>
      <x:c r="Q225" s="7"/>
      <x:c r="R225" s="7"/>
      <x:c r="S225" s="7"/>
      <x:c r="T225" s="2" t="n">
        <x:f>IF(A225="",0,IFERROR(IF(AND(B225&lt;&gt;"",COUNTIF('Calibrare_Linii'!$A$6:$A$19,C225)=1,COUNTIFS(OOSTable[Fixture_ID],A225,OOSTable[Line],C225)=1,ISNUMBER(D225),ISNUMBER(E225),ISNUMBER(F225),F225&lt;D225,D225&lt;E225,ISNUMBER(G225),G225&gt;='Config_v6'!$B$50,G225&lt;=1,ISNUMBER(H225),H225&gt;='Config_v6'!$B$51,H225&lt;=100,ISNUMBER(I225),I225&gt;=0,I225&lt;='Config_v6'!$B$53,ISNUMBER(J225),J225&gt;=0,J225&lt;='Config_v6'!$B$52,K225="NO",L225=12,M225="PASS",ISNUMBER(N225),N225&gt;=0,MOD(N225,1)=0,O225&lt;&gt;"",ISNUMBER(P225),P225&gt;E225,Q225&lt;&gt;"",R225&lt;&gt;"",S225="LIVE"),1,0),0))</x:f>
        <x:v>0</x:v>
      </x:c>
      <x:c r="U225" s="2" t="n">
        <x:f>IF(T225&lt;&gt;1,0,IF(LEFT(C225,1)="O",IF(N225&gt;INDEX('Calibrare_Linii'!$C$6:$C$19,MATCH(C225,'Calibrare_Linii'!$A$6:$A$19,0)),1,0),IF(N225&lt;=INDEX('Calibrare_Linii'!$C$6:$C$19,MATCH(C225,'Calibrare_Linii'!$A$6:$A$19,0)),1,0)))</x:f>
        <x:v>0</x:v>
      </x:c>
    </x:row>
    <x:row r="226" ht="21" customHeight="1">
      <x:c r="A226" s="7"/>
      <x:c r="B226" s="7"/>
      <x:c r="C226" s="7"/>
      <x:c r="D226" s="8"/>
      <x:c r="E226" s="8"/>
      <x:c r="F226" s="8"/>
      <x:c r="G226" s="12"/>
      <x:c r="H226" s="7"/>
      <x:c r="I226" s="7"/>
      <x:c r="J226" s="7"/>
      <x:c r="K226" s="7"/>
      <x:c r="L226" s="7"/>
      <x:c r="M226" s="7"/>
      <x:c r="N226" s="7"/>
      <x:c r="O226" s="7"/>
      <x:c r="P226" s="8"/>
      <x:c r="Q226" s="7"/>
      <x:c r="R226" s="7"/>
      <x:c r="S226" s="7"/>
      <x:c r="T226" s="2" t="n">
        <x:f>IF(A226="",0,IFERROR(IF(AND(B226&lt;&gt;"",COUNTIF('Calibrare_Linii'!$A$6:$A$19,C226)=1,COUNTIFS(OOSTable[Fixture_ID],A226,OOSTable[Line],C226)=1,ISNUMBER(D226),ISNUMBER(E226),ISNUMBER(F226),F226&lt;D226,D226&lt;E226,ISNUMBER(G226),G226&gt;='Config_v6'!$B$50,G226&lt;=1,ISNUMBER(H226),H226&gt;='Config_v6'!$B$51,H226&lt;=100,ISNUMBER(I226),I226&gt;=0,I226&lt;='Config_v6'!$B$53,ISNUMBER(J226),J226&gt;=0,J226&lt;='Config_v6'!$B$52,K226="NO",L226=12,M226="PASS",ISNUMBER(N226),N226&gt;=0,MOD(N226,1)=0,O226&lt;&gt;"",ISNUMBER(P226),P226&gt;E226,Q226&lt;&gt;"",R226&lt;&gt;"",S226="LIVE"),1,0),0))</x:f>
        <x:v>0</x:v>
      </x:c>
      <x:c r="U226" s="2" t="n">
        <x:f>IF(T226&lt;&gt;1,0,IF(LEFT(C226,1)="O",IF(N226&gt;INDEX('Calibrare_Linii'!$C$6:$C$19,MATCH(C226,'Calibrare_Linii'!$A$6:$A$19,0)),1,0),IF(N226&lt;=INDEX('Calibrare_Linii'!$C$6:$C$19,MATCH(C226,'Calibrare_Linii'!$A$6:$A$19,0)),1,0)))</x:f>
        <x:v>0</x:v>
      </x:c>
    </x:row>
    <x:row r="227" ht="21" customHeight="1">
      <x:c r="A227" s="7"/>
      <x:c r="B227" s="7"/>
      <x:c r="C227" s="7"/>
      <x:c r="D227" s="8"/>
      <x:c r="E227" s="8"/>
      <x:c r="F227" s="8"/>
      <x:c r="G227" s="12"/>
      <x:c r="H227" s="7"/>
      <x:c r="I227" s="7"/>
      <x:c r="J227" s="7"/>
      <x:c r="K227" s="7"/>
      <x:c r="L227" s="7"/>
      <x:c r="M227" s="7"/>
      <x:c r="N227" s="7"/>
      <x:c r="O227" s="7"/>
      <x:c r="P227" s="8"/>
      <x:c r="Q227" s="7"/>
      <x:c r="R227" s="7"/>
      <x:c r="S227" s="7"/>
      <x:c r="T227" s="2" t="n">
        <x:f>IF(A227="",0,IFERROR(IF(AND(B227&lt;&gt;"",COUNTIF('Calibrare_Linii'!$A$6:$A$19,C227)=1,COUNTIFS(OOSTable[Fixture_ID],A227,OOSTable[Line],C227)=1,ISNUMBER(D227),ISNUMBER(E227),ISNUMBER(F227),F227&lt;D227,D227&lt;E227,ISNUMBER(G227),G227&gt;='Config_v6'!$B$50,G227&lt;=1,ISNUMBER(H227),H227&gt;='Config_v6'!$B$51,H227&lt;=100,ISNUMBER(I227),I227&gt;=0,I227&lt;='Config_v6'!$B$53,ISNUMBER(J227),J227&gt;=0,J227&lt;='Config_v6'!$B$52,K227="NO",L227=12,M227="PASS",ISNUMBER(N227),N227&gt;=0,MOD(N227,1)=0,O227&lt;&gt;"",ISNUMBER(P227),P227&gt;E227,Q227&lt;&gt;"",R227&lt;&gt;"",S227="LIVE"),1,0),0))</x:f>
        <x:v>0</x:v>
      </x:c>
      <x:c r="U227" s="2" t="n">
        <x:f>IF(T227&lt;&gt;1,0,IF(LEFT(C227,1)="O",IF(N227&gt;INDEX('Calibrare_Linii'!$C$6:$C$19,MATCH(C227,'Calibrare_Linii'!$A$6:$A$19,0)),1,0),IF(N227&lt;=INDEX('Calibrare_Linii'!$C$6:$C$19,MATCH(C227,'Calibrare_Linii'!$A$6:$A$19,0)),1,0)))</x:f>
        <x:v>0</x:v>
      </x:c>
    </x:row>
    <x:row r="228" ht="21" customHeight="1">
      <x:c r="A228" s="7"/>
      <x:c r="B228" s="7"/>
      <x:c r="C228" s="7"/>
      <x:c r="D228" s="8"/>
      <x:c r="E228" s="8"/>
      <x:c r="F228" s="8"/>
      <x:c r="G228" s="12"/>
      <x:c r="H228" s="7"/>
      <x:c r="I228" s="7"/>
      <x:c r="J228" s="7"/>
      <x:c r="K228" s="7"/>
      <x:c r="L228" s="7"/>
      <x:c r="M228" s="7"/>
      <x:c r="N228" s="7"/>
      <x:c r="O228" s="7"/>
      <x:c r="P228" s="8"/>
      <x:c r="Q228" s="7"/>
      <x:c r="R228" s="7"/>
      <x:c r="S228" s="7"/>
      <x:c r="T228" s="2" t="n">
        <x:f>IF(A228="",0,IFERROR(IF(AND(B228&lt;&gt;"",COUNTIF('Calibrare_Linii'!$A$6:$A$19,C228)=1,COUNTIFS(OOSTable[Fixture_ID],A228,OOSTable[Line],C228)=1,ISNUMBER(D228),ISNUMBER(E228),ISNUMBER(F228),F228&lt;D228,D228&lt;E228,ISNUMBER(G228),G228&gt;='Config_v6'!$B$50,G228&lt;=1,ISNUMBER(H228),H228&gt;='Config_v6'!$B$51,H228&lt;=100,ISNUMBER(I228),I228&gt;=0,I228&lt;='Config_v6'!$B$53,ISNUMBER(J228),J228&gt;=0,J228&lt;='Config_v6'!$B$52,K228="NO",L228=12,M228="PASS",ISNUMBER(N228),N228&gt;=0,MOD(N228,1)=0,O228&lt;&gt;"",ISNUMBER(P228),P228&gt;E228,Q228&lt;&gt;"",R228&lt;&gt;"",S228="LIVE"),1,0),0))</x:f>
        <x:v>0</x:v>
      </x:c>
      <x:c r="U228" s="2" t="n">
        <x:f>IF(T228&lt;&gt;1,0,IF(LEFT(C228,1)="O",IF(N228&gt;INDEX('Calibrare_Linii'!$C$6:$C$19,MATCH(C228,'Calibrare_Linii'!$A$6:$A$19,0)),1,0),IF(N228&lt;=INDEX('Calibrare_Linii'!$C$6:$C$19,MATCH(C228,'Calibrare_Linii'!$A$6:$A$19,0)),1,0)))</x:f>
        <x:v>0</x:v>
      </x:c>
    </x:row>
    <x:row r="229" ht="21" customHeight="1">
      <x:c r="A229" s="7"/>
      <x:c r="B229" s="7"/>
      <x:c r="C229" s="7"/>
      <x:c r="D229" s="8"/>
      <x:c r="E229" s="8"/>
      <x:c r="F229" s="8"/>
      <x:c r="G229" s="12"/>
      <x:c r="H229" s="7"/>
      <x:c r="I229" s="7"/>
      <x:c r="J229" s="7"/>
      <x:c r="K229" s="7"/>
      <x:c r="L229" s="7"/>
      <x:c r="M229" s="7"/>
      <x:c r="N229" s="7"/>
      <x:c r="O229" s="7"/>
      <x:c r="P229" s="8"/>
      <x:c r="Q229" s="7"/>
      <x:c r="R229" s="7"/>
      <x:c r="S229" s="7"/>
      <x:c r="T229" s="2" t="n">
        <x:f>IF(A229="",0,IFERROR(IF(AND(B229&lt;&gt;"",COUNTIF('Calibrare_Linii'!$A$6:$A$19,C229)=1,COUNTIFS(OOSTable[Fixture_ID],A229,OOSTable[Line],C229)=1,ISNUMBER(D229),ISNUMBER(E229),ISNUMBER(F229),F229&lt;D229,D229&lt;E229,ISNUMBER(G229),G229&gt;='Config_v6'!$B$50,G229&lt;=1,ISNUMBER(H229),H229&gt;='Config_v6'!$B$51,H229&lt;=100,ISNUMBER(I229),I229&gt;=0,I229&lt;='Config_v6'!$B$53,ISNUMBER(J229),J229&gt;=0,J229&lt;='Config_v6'!$B$52,K229="NO",L229=12,M229="PASS",ISNUMBER(N229),N229&gt;=0,MOD(N229,1)=0,O229&lt;&gt;"",ISNUMBER(P229),P229&gt;E229,Q229&lt;&gt;"",R229&lt;&gt;"",S229="LIVE"),1,0),0))</x:f>
        <x:v>0</x:v>
      </x:c>
      <x:c r="U229" s="2" t="n">
        <x:f>IF(T229&lt;&gt;1,0,IF(LEFT(C229,1)="O",IF(N229&gt;INDEX('Calibrare_Linii'!$C$6:$C$19,MATCH(C229,'Calibrare_Linii'!$A$6:$A$19,0)),1,0),IF(N229&lt;=INDEX('Calibrare_Linii'!$C$6:$C$19,MATCH(C229,'Calibrare_Linii'!$A$6:$A$19,0)),1,0)))</x:f>
        <x:v>0</x:v>
      </x:c>
    </x:row>
    <x:row r="230" ht="21" customHeight="1">
      <x:c r="A230" s="7"/>
      <x:c r="B230" s="7"/>
      <x:c r="C230" s="7"/>
      <x:c r="D230" s="8"/>
      <x:c r="E230" s="8"/>
      <x:c r="F230" s="8"/>
      <x:c r="G230" s="12"/>
      <x:c r="H230" s="7"/>
      <x:c r="I230" s="7"/>
      <x:c r="J230" s="7"/>
      <x:c r="K230" s="7"/>
      <x:c r="L230" s="7"/>
      <x:c r="M230" s="7"/>
      <x:c r="N230" s="7"/>
      <x:c r="O230" s="7"/>
      <x:c r="P230" s="8"/>
      <x:c r="Q230" s="7"/>
      <x:c r="R230" s="7"/>
      <x:c r="S230" s="7"/>
      <x:c r="T230" s="2" t="n">
        <x:f>IF(A230="",0,IFERROR(IF(AND(B230&lt;&gt;"",COUNTIF('Calibrare_Linii'!$A$6:$A$19,C230)=1,COUNTIFS(OOSTable[Fixture_ID],A230,OOSTable[Line],C230)=1,ISNUMBER(D230),ISNUMBER(E230),ISNUMBER(F230),F230&lt;D230,D230&lt;E230,ISNUMBER(G230),G230&gt;='Config_v6'!$B$50,G230&lt;=1,ISNUMBER(H230),H230&gt;='Config_v6'!$B$51,H230&lt;=100,ISNUMBER(I230),I230&gt;=0,I230&lt;='Config_v6'!$B$53,ISNUMBER(J230),J230&gt;=0,J230&lt;='Config_v6'!$B$52,K230="NO",L230=12,M230="PASS",ISNUMBER(N230),N230&gt;=0,MOD(N230,1)=0,O230&lt;&gt;"",ISNUMBER(P230),P230&gt;E230,Q230&lt;&gt;"",R230&lt;&gt;"",S230="LIVE"),1,0),0))</x:f>
        <x:v>0</x:v>
      </x:c>
      <x:c r="U230" s="2" t="n">
        <x:f>IF(T230&lt;&gt;1,0,IF(LEFT(C230,1)="O",IF(N230&gt;INDEX('Calibrare_Linii'!$C$6:$C$19,MATCH(C230,'Calibrare_Linii'!$A$6:$A$19,0)),1,0),IF(N230&lt;=INDEX('Calibrare_Linii'!$C$6:$C$19,MATCH(C230,'Calibrare_Linii'!$A$6:$A$19,0)),1,0)))</x:f>
        <x:v>0</x:v>
      </x:c>
    </x:row>
    <x:row r="231" ht="21" customHeight="1">
      <x:c r="A231" s="7"/>
      <x:c r="B231" s="7"/>
      <x:c r="C231" s="7"/>
      <x:c r="D231" s="8"/>
      <x:c r="E231" s="8"/>
      <x:c r="F231" s="8"/>
      <x:c r="G231" s="12"/>
      <x:c r="H231" s="7"/>
      <x:c r="I231" s="7"/>
      <x:c r="J231" s="7"/>
      <x:c r="K231" s="7"/>
      <x:c r="L231" s="7"/>
      <x:c r="M231" s="7"/>
      <x:c r="N231" s="7"/>
      <x:c r="O231" s="7"/>
      <x:c r="P231" s="8"/>
      <x:c r="Q231" s="7"/>
      <x:c r="R231" s="7"/>
      <x:c r="S231" s="7"/>
      <x:c r="T231" s="2" t="n">
        <x:f>IF(A231="",0,IFERROR(IF(AND(B231&lt;&gt;"",COUNTIF('Calibrare_Linii'!$A$6:$A$19,C231)=1,COUNTIFS(OOSTable[Fixture_ID],A231,OOSTable[Line],C231)=1,ISNUMBER(D231),ISNUMBER(E231),ISNUMBER(F231),F231&lt;D231,D231&lt;E231,ISNUMBER(G231),G231&gt;='Config_v6'!$B$50,G231&lt;=1,ISNUMBER(H231),H231&gt;='Config_v6'!$B$51,H231&lt;=100,ISNUMBER(I231),I231&gt;=0,I231&lt;='Config_v6'!$B$53,ISNUMBER(J231),J231&gt;=0,J231&lt;='Config_v6'!$B$52,K231="NO",L231=12,M231="PASS",ISNUMBER(N231),N231&gt;=0,MOD(N231,1)=0,O231&lt;&gt;"",ISNUMBER(P231),P231&gt;E231,Q231&lt;&gt;"",R231&lt;&gt;"",S231="LIVE"),1,0),0))</x:f>
        <x:v>0</x:v>
      </x:c>
      <x:c r="U231" s="2" t="n">
        <x:f>IF(T231&lt;&gt;1,0,IF(LEFT(C231,1)="O",IF(N231&gt;INDEX('Calibrare_Linii'!$C$6:$C$19,MATCH(C231,'Calibrare_Linii'!$A$6:$A$19,0)),1,0),IF(N231&lt;=INDEX('Calibrare_Linii'!$C$6:$C$19,MATCH(C231,'Calibrare_Linii'!$A$6:$A$19,0)),1,0)))</x:f>
        <x:v>0</x:v>
      </x:c>
    </x:row>
    <x:row r="232" ht="21" customHeight="1">
      <x:c r="A232" s="7"/>
      <x:c r="B232" s="7"/>
      <x:c r="C232" s="7"/>
      <x:c r="D232" s="8"/>
      <x:c r="E232" s="8"/>
      <x:c r="F232" s="8"/>
      <x:c r="G232" s="12"/>
      <x:c r="H232" s="7"/>
      <x:c r="I232" s="7"/>
      <x:c r="J232" s="7"/>
      <x:c r="K232" s="7"/>
      <x:c r="L232" s="7"/>
      <x:c r="M232" s="7"/>
      <x:c r="N232" s="7"/>
      <x:c r="O232" s="7"/>
      <x:c r="P232" s="8"/>
      <x:c r="Q232" s="7"/>
      <x:c r="R232" s="7"/>
      <x:c r="S232" s="7"/>
      <x:c r="T232" s="2" t="n">
        <x:f>IF(A232="",0,IFERROR(IF(AND(B232&lt;&gt;"",COUNTIF('Calibrare_Linii'!$A$6:$A$19,C232)=1,COUNTIFS(OOSTable[Fixture_ID],A232,OOSTable[Line],C232)=1,ISNUMBER(D232),ISNUMBER(E232),ISNUMBER(F232),F232&lt;D232,D232&lt;E232,ISNUMBER(G232),G232&gt;='Config_v6'!$B$50,G232&lt;=1,ISNUMBER(H232),H232&gt;='Config_v6'!$B$51,H232&lt;=100,ISNUMBER(I232),I232&gt;=0,I232&lt;='Config_v6'!$B$53,ISNUMBER(J232),J232&gt;=0,J232&lt;='Config_v6'!$B$52,K232="NO",L232=12,M232="PASS",ISNUMBER(N232),N232&gt;=0,MOD(N232,1)=0,O232&lt;&gt;"",ISNUMBER(P232),P232&gt;E232,Q232&lt;&gt;"",R232&lt;&gt;"",S232="LIVE"),1,0),0))</x:f>
        <x:v>0</x:v>
      </x:c>
      <x:c r="U232" s="2" t="n">
        <x:f>IF(T232&lt;&gt;1,0,IF(LEFT(C232,1)="O",IF(N232&gt;INDEX('Calibrare_Linii'!$C$6:$C$19,MATCH(C232,'Calibrare_Linii'!$A$6:$A$19,0)),1,0),IF(N232&lt;=INDEX('Calibrare_Linii'!$C$6:$C$19,MATCH(C232,'Calibrare_Linii'!$A$6:$A$19,0)),1,0)))</x:f>
        <x:v>0</x:v>
      </x:c>
    </x:row>
    <x:row r="233" ht="21" customHeight="1">
      <x:c r="A233" s="7"/>
      <x:c r="B233" s="7"/>
      <x:c r="C233" s="7"/>
      <x:c r="D233" s="8"/>
      <x:c r="E233" s="8"/>
      <x:c r="F233" s="8"/>
      <x:c r="G233" s="12"/>
      <x:c r="H233" s="7"/>
      <x:c r="I233" s="7"/>
      <x:c r="J233" s="7"/>
      <x:c r="K233" s="7"/>
      <x:c r="L233" s="7"/>
      <x:c r="M233" s="7"/>
      <x:c r="N233" s="7"/>
      <x:c r="O233" s="7"/>
      <x:c r="P233" s="8"/>
      <x:c r="Q233" s="7"/>
      <x:c r="R233" s="7"/>
      <x:c r="S233" s="7"/>
      <x:c r="T233" s="2" t="n">
        <x:f>IF(A233="",0,IFERROR(IF(AND(B233&lt;&gt;"",COUNTIF('Calibrare_Linii'!$A$6:$A$19,C233)=1,COUNTIFS(OOSTable[Fixture_ID],A233,OOSTable[Line],C233)=1,ISNUMBER(D233),ISNUMBER(E233),ISNUMBER(F233),F233&lt;D233,D233&lt;E233,ISNUMBER(G233),G233&gt;='Config_v6'!$B$50,G233&lt;=1,ISNUMBER(H233),H233&gt;='Config_v6'!$B$51,H233&lt;=100,ISNUMBER(I233),I233&gt;=0,I233&lt;='Config_v6'!$B$53,ISNUMBER(J233),J233&gt;=0,J233&lt;='Config_v6'!$B$52,K233="NO",L233=12,M233="PASS",ISNUMBER(N233),N233&gt;=0,MOD(N233,1)=0,O233&lt;&gt;"",ISNUMBER(P233),P233&gt;E233,Q233&lt;&gt;"",R233&lt;&gt;"",S233="LIVE"),1,0),0))</x:f>
        <x:v>0</x:v>
      </x:c>
      <x:c r="U233" s="2" t="n">
        <x:f>IF(T233&lt;&gt;1,0,IF(LEFT(C233,1)="O",IF(N233&gt;INDEX('Calibrare_Linii'!$C$6:$C$19,MATCH(C233,'Calibrare_Linii'!$A$6:$A$19,0)),1,0),IF(N233&lt;=INDEX('Calibrare_Linii'!$C$6:$C$19,MATCH(C233,'Calibrare_Linii'!$A$6:$A$19,0)),1,0)))</x:f>
        <x:v>0</x:v>
      </x:c>
    </x:row>
    <x:row r="234" ht="21" customHeight="1">
      <x:c r="A234" s="7"/>
      <x:c r="B234" s="7"/>
      <x:c r="C234" s="7"/>
      <x:c r="D234" s="8"/>
      <x:c r="E234" s="8"/>
      <x:c r="F234" s="8"/>
      <x:c r="G234" s="12"/>
      <x:c r="H234" s="7"/>
      <x:c r="I234" s="7"/>
      <x:c r="J234" s="7"/>
      <x:c r="K234" s="7"/>
      <x:c r="L234" s="7"/>
      <x:c r="M234" s="7"/>
      <x:c r="N234" s="7"/>
      <x:c r="O234" s="7"/>
      <x:c r="P234" s="8"/>
      <x:c r="Q234" s="7"/>
      <x:c r="R234" s="7"/>
      <x:c r="S234" s="7"/>
      <x:c r="T234" s="2" t="n">
        <x:f>IF(A234="",0,IFERROR(IF(AND(B234&lt;&gt;"",COUNTIF('Calibrare_Linii'!$A$6:$A$19,C234)=1,COUNTIFS(OOSTable[Fixture_ID],A234,OOSTable[Line],C234)=1,ISNUMBER(D234),ISNUMBER(E234),ISNUMBER(F234),F234&lt;D234,D234&lt;E234,ISNUMBER(G234),G234&gt;='Config_v6'!$B$50,G234&lt;=1,ISNUMBER(H234),H234&gt;='Config_v6'!$B$51,H234&lt;=100,ISNUMBER(I234),I234&gt;=0,I234&lt;='Config_v6'!$B$53,ISNUMBER(J234),J234&gt;=0,J234&lt;='Config_v6'!$B$52,K234="NO",L234=12,M234="PASS",ISNUMBER(N234),N234&gt;=0,MOD(N234,1)=0,O234&lt;&gt;"",ISNUMBER(P234),P234&gt;E234,Q234&lt;&gt;"",R234&lt;&gt;"",S234="LIVE"),1,0),0))</x:f>
        <x:v>0</x:v>
      </x:c>
      <x:c r="U234" s="2" t="n">
        <x:f>IF(T234&lt;&gt;1,0,IF(LEFT(C234,1)="O",IF(N234&gt;INDEX('Calibrare_Linii'!$C$6:$C$19,MATCH(C234,'Calibrare_Linii'!$A$6:$A$19,0)),1,0),IF(N234&lt;=INDEX('Calibrare_Linii'!$C$6:$C$19,MATCH(C234,'Calibrare_Linii'!$A$6:$A$19,0)),1,0)))</x:f>
        <x:v>0</x:v>
      </x:c>
    </x:row>
    <x:row r="235" ht="21" customHeight="1">
      <x:c r="A235" s="7"/>
      <x:c r="B235" s="7"/>
      <x:c r="C235" s="7"/>
      <x:c r="D235" s="8"/>
      <x:c r="E235" s="8"/>
      <x:c r="F235" s="8"/>
      <x:c r="G235" s="12"/>
      <x:c r="H235" s="7"/>
      <x:c r="I235" s="7"/>
      <x:c r="J235" s="7"/>
      <x:c r="K235" s="7"/>
      <x:c r="L235" s="7"/>
      <x:c r="M235" s="7"/>
      <x:c r="N235" s="7"/>
      <x:c r="O235" s="7"/>
      <x:c r="P235" s="8"/>
      <x:c r="Q235" s="7"/>
      <x:c r="R235" s="7"/>
      <x:c r="S235" s="7"/>
      <x:c r="T235" s="2" t="n">
        <x:f>IF(A235="",0,IFERROR(IF(AND(B235&lt;&gt;"",COUNTIF('Calibrare_Linii'!$A$6:$A$19,C235)=1,COUNTIFS(OOSTable[Fixture_ID],A235,OOSTable[Line],C235)=1,ISNUMBER(D235),ISNUMBER(E235),ISNUMBER(F235),F235&lt;D235,D235&lt;E235,ISNUMBER(G235),G235&gt;='Config_v6'!$B$50,G235&lt;=1,ISNUMBER(H235),H235&gt;='Config_v6'!$B$51,H235&lt;=100,ISNUMBER(I235),I235&gt;=0,I235&lt;='Config_v6'!$B$53,ISNUMBER(J235),J235&gt;=0,J235&lt;='Config_v6'!$B$52,K235="NO",L235=12,M235="PASS",ISNUMBER(N235),N235&gt;=0,MOD(N235,1)=0,O235&lt;&gt;"",ISNUMBER(P235),P235&gt;E235,Q235&lt;&gt;"",R235&lt;&gt;"",S235="LIVE"),1,0),0))</x:f>
        <x:v>0</x:v>
      </x:c>
      <x:c r="U235" s="2" t="n">
        <x:f>IF(T235&lt;&gt;1,0,IF(LEFT(C235,1)="O",IF(N235&gt;INDEX('Calibrare_Linii'!$C$6:$C$19,MATCH(C235,'Calibrare_Linii'!$A$6:$A$19,0)),1,0),IF(N235&lt;=INDEX('Calibrare_Linii'!$C$6:$C$19,MATCH(C235,'Calibrare_Linii'!$A$6:$A$19,0)),1,0)))</x:f>
        <x:v>0</x:v>
      </x:c>
    </x:row>
    <x:row r="236" ht="21" customHeight="1">
      <x:c r="A236" s="7"/>
      <x:c r="B236" s="7"/>
      <x:c r="C236" s="7"/>
      <x:c r="D236" s="8"/>
      <x:c r="E236" s="8"/>
      <x:c r="F236" s="8"/>
      <x:c r="G236" s="12"/>
      <x:c r="H236" s="7"/>
      <x:c r="I236" s="7"/>
      <x:c r="J236" s="7"/>
      <x:c r="K236" s="7"/>
      <x:c r="L236" s="7"/>
      <x:c r="M236" s="7"/>
      <x:c r="N236" s="7"/>
      <x:c r="O236" s="7"/>
      <x:c r="P236" s="8"/>
      <x:c r="Q236" s="7"/>
      <x:c r="R236" s="7"/>
      <x:c r="S236" s="7"/>
      <x:c r="T236" s="2" t="n">
        <x:f>IF(A236="",0,IFERROR(IF(AND(B236&lt;&gt;"",COUNTIF('Calibrare_Linii'!$A$6:$A$19,C236)=1,COUNTIFS(OOSTable[Fixture_ID],A236,OOSTable[Line],C236)=1,ISNUMBER(D236),ISNUMBER(E236),ISNUMBER(F236),F236&lt;D236,D236&lt;E236,ISNUMBER(G236),G236&gt;='Config_v6'!$B$50,G236&lt;=1,ISNUMBER(H236),H236&gt;='Config_v6'!$B$51,H236&lt;=100,ISNUMBER(I236),I236&gt;=0,I236&lt;='Config_v6'!$B$53,ISNUMBER(J236),J236&gt;=0,J236&lt;='Config_v6'!$B$52,K236="NO",L236=12,M236="PASS",ISNUMBER(N236),N236&gt;=0,MOD(N236,1)=0,O236&lt;&gt;"",ISNUMBER(P236),P236&gt;E236,Q236&lt;&gt;"",R236&lt;&gt;"",S236="LIVE"),1,0),0))</x:f>
        <x:v>0</x:v>
      </x:c>
      <x:c r="U236" s="2" t="n">
        <x:f>IF(T236&lt;&gt;1,0,IF(LEFT(C236,1)="O",IF(N236&gt;INDEX('Calibrare_Linii'!$C$6:$C$19,MATCH(C236,'Calibrare_Linii'!$A$6:$A$19,0)),1,0),IF(N236&lt;=INDEX('Calibrare_Linii'!$C$6:$C$19,MATCH(C236,'Calibrare_Linii'!$A$6:$A$19,0)),1,0)))</x:f>
        <x:v>0</x:v>
      </x:c>
    </x:row>
    <x:row r="237" ht="21" customHeight="1">
      <x:c r="A237" s="7"/>
      <x:c r="B237" s="7"/>
      <x:c r="C237" s="7"/>
      <x:c r="D237" s="8"/>
      <x:c r="E237" s="8"/>
      <x:c r="F237" s="8"/>
      <x:c r="G237" s="12"/>
      <x:c r="H237" s="7"/>
      <x:c r="I237" s="7"/>
      <x:c r="J237" s="7"/>
      <x:c r="K237" s="7"/>
      <x:c r="L237" s="7"/>
      <x:c r="M237" s="7"/>
      <x:c r="N237" s="7"/>
      <x:c r="O237" s="7"/>
      <x:c r="P237" s="8"/>
      <x:c r="Q237" s="7"/>
      <x:c r="R237" s="7"/>
      <x:c r="S237" s="7"/>
      <x:c r="T237" s="2" t="n">
        <x:f>IF(A237="",0,IFERROR(IF(AND(B237&lt;&gt;"",COUNTIF('Calibrare_Linii'!$A$6:$A$19,C237)=1,COUNTIFS(OOSTable[Fixture_ID],A237,OOSTable[Line],C237)=1,ISNUMBER(D237),ISNUMBER(E237),ISNUMBER(F237),F237&lt;D237,D237&lt;E237,ISNUMBER(G237),G237&gt;='Config_v6'!$B$50,G237&lt;=1,ISNUMBER(H237),H237&gt;='Config_v6'!$B$51,H237&lt;=100,ISNUMBER(I237),I237&gt;=0,I237&lt;='Config_v6'!$B$53,ISNUMBER(J237),J237&gt;=0,J237&lt;='Config_v6'!$B$52,K237="NO",L237=12,M237="PASS",ISNUMBER(N237),N237&gt;=0,MOD(N237,1)=0,O237&lt;&gt;"",ISNUMBER(P237),P237&gt;E237,Q237&lt;&gt;"",R237&lt;&gt;"",S237="LIVE"),1,0),0))</x:f>
        <x:v>0</x:v>
      </x:c>
      <x:c r="U237" s="2" t="n">
        <x:f>IF(T237&lt;&gt;1,0,IF(LEFT(C237,1)="O",IF(N237&gt;INDEX('Calibrare_Linii'!$C$6:$C$19,MATCH(C237,'Calibrare_Linii'!$A$6:$A$19,0)),1,0),IF(N237&lt;=INDEX('Calibrare_Linii'!$C$6:$C$19,MATCH(C237,'Calibrare_Linii'!$A$6:$A$19,0)),1,0)))</x:f>
        <x:v>0</x:v>
      </x:c>
    </x:row>
    <x:row r="238" ht="21" customHeight="1">
      <x:c r="A238" s="7"/>
      <x:c r="B238" s="7"/>
      <x:c r="C238" s="7"/>
      <x:c r="D238" s="8"/>
      <x:c r="E238" s="8"/>
      <x:c r="F238" s="8"/>
      <x:c r="G238" s="12"/>
      <x:c r="H238" s="7"/>
      <x:c r="I238" s="7"/>
      <x:c r="J238" s="7"/>
      <x:c r="K238" s="7"/>
      <x:c r="L238" s="7"/>
      <x:c r="M238" s="7"/>
      <x:c r="N238" s="7"/>
      <x:c r="O238" s="7"/>
      <x:c r="P238" s="8"/>
      <x:c r="Q238" s="7"/>
      <x:c r="R238" s="7"/>
      <x:c r="S238" s="7"/>
      <x:c r="T238" s="2" t="n">
        <x:f>IF(A238="",0,IFERROR(IF(AND(B238&lt;&gt;"",COUNTIF('Calibrare_Linii'!$A$6:$A$19,C238)=1,COUNTIFS(OOSTable[Fixture_ID],A238,OOSTable[Line],C238)=1,ISNUMBER(D238),ISNUMBER(E238),ISNUMBER(F238),F238&lt;D238,D238&lt;E238,ISNUMBER(G238),G238&gt;='Config_v6'!$B$50,G238&lt;=1,ISNUMBER(H238),H238&gt;='Config_v6'!$B$51,H238&lt;=100,ISNUMBER(I238),I238&gt;=0,I238&lt;='Config_v6'!$B$53,ISNUMBER(J238),J238&gt;=0,J238&lt;='Config_v6'!$B$52,K238="NO",L238=12,M238="PASS",ISNUMBER(N238),N238&gt;=0,MOD(N238,1)=0,O238&lt;&gt;"",ISNUMBER(P238),P238&gt;E238,Q238&lt;&gt;"",R238&lt;&gt;"",S238="LIVE"),1,0),0))</x:f>
        <x:v>0</x:v>
      </x:c>
      <x:c r="U238" s="2" t="n">
        <x:f>IF(T238&lt;&gt;1,0,IF(LEFT(C238,1)="O",IF(N238&gt;INDEX('Calibrare_Linii'!$C$6:$C$19,MATCH(C238,'Calibrare_Linii'!$A$6:$A$19,0)),1,0),IF(N238&lt;=INDEX('Calibrare_Linii'!$C$6:$C$19,MATCH(C238,'Calibrare_Linii'!$A$6:$A$19,0)),1,0)))</x:f>
        <x:v>0</x:v>
      </x:c>
    </x:row>
    <x:row r="239" ht="21" customHeight="1">
      <x:c r="A239" s="7"/>
      <x:c r="B239" s="7"/>
      <x:c r="C239" s="7"/>
      <x:c r="D239" s="8"/>
      <x:c r="E239" s="8"/>
      <x:c r="F239" s="8"/>
      <x:c r="G239" s="12"/>
      <x:c r="H239" s="7"/>
      <x:c r="I239" s="7"/>
      <x:c r="J239" s="7"/>
      <x:c r="K239" s="7"/>
      <x:c r="L239" s="7"/>
      <x:c r="M239" s="7"/>
      <x:c r="N239" s="7"/>
      <x:c r="O239" s="7"/>
      <x:c r="P239" s="8"/>
      <x:c r="Q239" s="7"/>
      <x:c r="R239" s="7"/>
      <x:c r="S239" s="7"/>
      <x:c r="T239" s="2" t="n">
        <x:f>IF(A239="",0,IFERROR(IF(AND(B239&lt;&gt;"",COUNTIF('Calibrare_Linii'!$A$6:$A$19,C239)=1,COUNTIFS(OOSTable[Fixture_ID],A239,OOSTable[Line],C239)=1,ISNUMBER(D239),ISNUMBER(E239),ISNUMBER(F239),F239&lt;D239,D239&lt;E239,ISNUMBER(G239),G239&gt;='Config_v6'!$B$50,G239&lt;=1,ISNUMBER(H239),H239&gt;='Config_v6'!$B$51,H239&lt;=100,ISNUMBER(I239),I239&gt;=0,I239&lt;='Config_v6'!$B$53,ISNUMBER(J239),J239&gt;=0,J239&lt;='Config_v6'!$B$52,K239="NO",L239=12,M239="PASS",ISNUMBER(N239),N239&gt;=0,MOD(N239,1)=0,O239&lt;&gt;"",ISNUMBER(P239),P239&gt;E239,Q239&lt;&gt;"",R239&lt;&gt;"",S239="LIVE"),1,0),0))</x:f>
        <x:v>0</x:v>
      </x:c>
      <x:c r="U239" s="2" t="n">
        <x:f>IF(T239&lt;&gt;1,0,IF(LEFT(C239,1)="O",IF(N239&gt;INDEX('Calibrare_Linii'!$C$6:$C$19,MATCH(C239,'Calibrare_Linii'!$A$6:$A$19,0)),1,0),IF(N239&lt;=INDEX('Calibrare_Linii'!$C$6:$C$19,MATCH(C239,'Calibrare_Linii'!$A$6:$A$19,0)),1,0)))</x:f>
        <x:v>0</x:v>
      </x:c>
    </x:row>
    <x:row r="240" ht="21" customHeight="1">
      <x:c r="A240" s="7"/>
      <x:c r="B240" s="7"/>
      <x:c r="C240" s="7"/>
      <x:c r="D240" s="8"/>
      <x:c r="E240" s="8"/>
      <x:c r="F240" s="8"/>
      <x:c r="G240" s="12"/>
      <x:c r="H240" s="7"/>
      <x:c r="I240" s="7"/>
      <x:c r="J240" s="7"/>
      <x:c r="K240" s="7"/>
      <x:c r="L240" s="7"/>
      <x:c r="M240" s="7"/>
      <x:c r="N240" s="7"/>
      <x:c r="O240" s="7"/>
      <x:c r="P240" s="8"/>
      <x:c r="Q240" s="7"/>
      <x:c r="R240" s="7"/>
      <x:c r="S240" s="7"/>
      <x:c r="T240" s="2" t="n">
        <x:f>IF(A240="",0,IFERROR(IF(AND(B240&lt;&gt;"",COUNTIF('Calibrare_Linii'!$A$6:$A$19,C240)=1,COUNTIFS(OOSTable[Fixture_ID],A240,OOSTable[Line],C240)=1,ISNUMBER(D240),ISNUMBER(E240),ISNUMBER(F240),F240&lt;D240,D240&lt;E240,ISNUMBER(G240),G240&gt;='Config_v6'!$B$50,G240&lt;=1,ISNUMBER(H240),H240&gt;='Config_v6'!$B$51,H240&lt;=100,ISNUMBER(I240),I240&gt;=0,I240&lt;='Config_v6'!$B$53,ISNUMBER(J240),J240&gt;=0,J240&lt;='Config_v6'!$B$52,K240="NO",L240=12,M240="PASS",ISNUMBER(N240),N240&gt;=0,MOD(N240,1)=0,O240&lt;&gt;"",ISNUMBER(P240),P240&gt;E240,Q240&lt;&gt;"",R240&lt;&gt;"",S240="LIVE"),1,0),0))</x:f>
        <x:v>0</x:v>
      </x:c>
      <x:c r="U240" s="2" t="n">
        <x:f>IF(T240&lt;&gt;1,0,IF(LEFT(C240,1)="O",IF(N240&gt;INDEX('Calibrare_Linii'!$C$6:$C$19,MATCH(C240,'Calibrare_Linii'!$A$6:$A$19,0)),1,0),IF(N240&lt;=INDEX('Calibrare_Linii'!$C$6:$C$19,MATCH(C240,'Calibrare_Linii'!$A$6:$A$19,0)),1,0)))</x:f>
        <x:v>0</x:v>
      </x:c>
    </x:row>
    <x:row r="241" ht="21" customHeight="1">
      <x:c r="A241" s="7"/>
      <x:c r="B241" s="7"/>
      <x:c r="C241" s="7"/>
      <x:c r="D241" s="8"/>
      <x:c r="E241" s="8"/>
      <x:c r="F241" s="8"/>
      <x:c r="G241" s="12"/>
      <x:c r="H241" s="7"/>
      <x:c r="I241" s="7"/>
      <x:c r="J241" s="7"/>
      <x:c r="K241" s="7"/>
      <x:c r="L241" s="7"/>
      <x:c r="M241" s="7"/>
      <x:c r="N241" s="7"/>
      <x:c r="O241" s="7"/>
      <x:c r="P241" s="8"/>
      <x:c r="Q241" s="7"/>
      <x:c r="R241" s="7"/>
      <x:c r="S241" s="7"/>
      <x:c r="T241" s="2" t="n">
        <x:f>IF(A241="",0,IFERROR(IF(AND(B241&lt;&gt;"",COUNTIF('Calibrare_Linii'!$A$6:$A$19,C241)=1,COUNTIFS(OOSTable[Fixture_ID],A241,OOSTable[Line],C241)=1,ISNUMBER(D241),ISNUMBER(E241),ISNUMBER(F241),F241&lt;D241,D241&lt;E241,ISNUMBER(G241),G241&gt;='Config_v6'!$B$50,G241&lt;=1,ISNUMBER(H241),H241&gt;='Config_v6'!$B$51,H241&lt;=100,ISNUMBER(I241),I241&gt;=0,I241&lt;='Config_v6'!$B$53,ISNUMBER(J241),J241&gt;=0,J241&lt;='Config_v6'!$B$52,K241="NO",L241=12,M241="PASS",ISNUMBER(N241),N241&gt;=0,MOD(N241,1)=0,O241&lt;&gt;"",ISNUMBER(P241),P241&gt;E241,Q241&lt;&gt;"",R241&lt;&gt;"",S241="LIVE"),1,0),0))</x:f>
        <x:v>0</x:v>
      </x:c>
      <x:c r="U241" s="2" t="n">
        <x:f>IF(T241&lt;&gt;1,0,IF(LEFT(C241,1)="O",IF(N241&gt;INDEX('Calibrare_Linii'!$C$6:$C$19,MATCH(C241,'Calibrare_Linii'!$A$6:$A$19,0)),1,0),IF(N241&lt;=INDEX('Calibrare_Linii'!$C$6:$C$19,MATCH(C241,'Calibrare_Linii'!$A$6:$A$19,0)),1,0)))</x:f>
        <x:v>0</x:v>
      </x:c>
    </x:row>
    <x:row r="242" ht="21" customHeight="1">
      <x:c r="A242" s="7"/>
      <x:c r="B242" s="7"/>
      <x:c r="C242" s="7"/>
      <x:c r="D242" s="8"/>
      <x:c r="E242" s="8"/>
      <x:c r="F242" s="8"/>
      <x:c r="G242" s="12"/>
      <x:c r="H242" s="7"/>
      <x:c r="I242" s="7"/>
      <x:c r="J242" s="7"/>
      <x:c r="K242" s="7"/>
      <x:c r="L242" s="7"/>
      <x:c r="M242" s="7"/>
      <x:c r="N242" s="7"/>
      <x:c r="O242" s="7"/>
      <x:c r="P242" s="8"/>
      <x:c r="Q242" s="7"/>
      <x:c r="R242" s="7"/>
      <x:c r="S242" s="7"/>
      <x:c r="T242" s="2" t="n">
        <x:f>IF(A242="",0,IFERROR(IF(AND(B242&lt;&gt;"",COUNTIF('Calibrare_Linii'!$A$6:$A$19,C242)=1,COUNTIFS(OOSTable[Fixture_ID],A242,OOSTable[Line],C242)=1,ISNUMBER(D242),ISNUMBER(E242),ISNUMBER(F242),F242&lt;D242,D242&lt;E242,ISNUMBER(G242),G242&gt;='Config_v6'!$B$50,G242&lt;=1,ISNUMBER(H242),H242&gt;='Config_v6'!$B$51,H242&lt;=100,ISNUMBER(I242),I242&gt;=0,I242&lt;='Config_v6'!$B$53,ISNUMBER(J242),J242&gt;=0,J242&lt;='Config_v6'!$B$52,K242="NO",L242=12,M242="PASS",ISNUMBER(N242),N242&gt;=0,MOD(N242,1)=0,O242&lt;&gt;"",ISNUMBER(P242),P242&gt;E242,Q242&lt;&gt;"",R242&lt;&gt;"",S242="LIVE"),1,0),0))</x:f>
        <x:v>0</x:v>
      </x:c>
      <x:c r="U242" s="2" t="n">
        <x:f>IF(T242&lt;&gt;1,0,IF(LEFT(C242,1)="O",IF(N242&gt;INDEX('Calibrare_Linii'!$C$6:$C$19,MATCH(C242,'Calibrare_Linii'!$A$6:$A$19,0)),1,0),IF(N242&lt;=INDEX('Calibrare_Linii'!$C$6:$C$19,MATCH(C242,'Calibrare_Linii'!$A$6:$A$19,0)),1,0)))</x:f>
        <x:v>0</x:v>
      </x:c>
    </x:row>
    <x:row r="243" ht="21" customHeight="1">
      <x:c r="A243" s="7"/>
      <x:c r="B243" s="7"/>
      <x:c r="C243" s="7"/>
      <x:c r="D243" s="8"/>
      <x:c r="E243" s="8"/>
      <x:c r="F243" s="8"/>
      <x:c r="G243" s="12"/>
      <x:c r="H243" s="7"/>
      <x:c r="I243" s="7"/>
      <x:c r="J243" s="7"/>
      <x:c r="K243" s="7"/>
      <x:c r="L243" s="7"/>
      <x:c r="M243" s="7"/>
      <x:c r="N243" s="7"/>
      <x:c r="O243" s="7"/>
      <x:c r="P243" s="8"/>
      <x:c r="Q243" s="7"/>
      <x:c r="R243" s="7"/>
      <x:c r="S243" s="7"/>
      <x:c r="T243" s="2" t="n">
        <x:f>IF(A243="",0,IFERROR(IF(AND(B243&lt;&gt;"",COUNTIF('Calibrare_Linii'!$A$6:$A$19,C243)=1,COUNTIFS(OOSTable[Fixture_ID],A243,OOSTable[Line],C243)=1,ISNUMBER(D243),ISNUMBER(E243),ISNUMBER(F243),F243&lt;D243,D243&lt;E243,ISNUMBER(G243),G243&gt;='Config_v6'!$B$50,G243&lt;=1,ISNUMBER(H243),H243&gt;='Config_v6'!$B$51,H243&lt;=100,ISNUMBER(I243),I243&gt;=0,I243&lt;='Config_v6'!$B$53,ISNUMBER(J243),J243&gt;=0,J243&lt;='Config_v6'!$B$52,K243="NO",L243=12,M243="PASS",ISNUMBER(N243),N243&gt;=0,MOD(N243,1)=0,O243&lt;&gt;"",ISNUMBER(P243),P243&gt;E243,Q243&lt;&gt;"",R243&lt;&gt;"",S243="LIVE"),1,0),0))</x:f>
        <x:v>0</x:v>
      </x:c>
      <x:c r="U243" s="2" t="n">
        <x:f>IF(T243&lt;&gt;1,0,IF(LEFT(C243,1)="O",IF(N243&gt;INDEX('Calibrare_Linii'!$C$6:$C$19,MATCH(C243,'Calibrare_Linii'!$A$6:$A$19,0)),1,0),IF(N243&lt;=INDEX('Calibrare_Linii'!$C$6:$C$19,MATCH(C243,'Calibrare_Linii'!$A$6:$A$19,0)),1,0)))</x:f>
        <x:v>0</x:v>
      </x:c>
    </x:row>
    <x:row r="244" ht="21" customHeight="1">
      <x:c r="A244" s="7"/>
      <x:c r="B244" s="7"/>
      <x:c r="C244" s="7"/>
      <x:c r="D244" s="8"/>
      <x:c r="E244" s="8"/>
      <x:c r="F244" s="8"/>
      <x:c r="G244" s="12"/>
      <x:c r="H244" s="7"/>
      <x:c r="I244" s="7"/>
      <x:c r="J244" s="7"/>
      <x:c r="K244" s="7"/>
      <x:c r="L244" s="7"/>
      <x:c r="M244" s="7"/>
      <x:c r="N244" s="7"/>
      <x:c r="O244" s="7"/>
      <x:c r="P244" s="8"/>
      <x:c r="Q244" s="7"/>
      <x:c r="R244" s="7"/>
      <x:c r="S244" s="7"/>
      <x:c r="T244" s="2" t="n">
        <x:f>IF(A244="",0,IFERROR(IF(AND(B244&lt;&gt;"",COUNTIF('Calibrare_Linii'!$A$6:$A$19,C244)=1,COUNTIFS(OOSTable[Fixture_ID],A244,OOSTable[Line],C244)=1,ISNUMBER(D244),ISNUMBER(E244),ISNUMBER(F244),F244&lt;D244,D244&lt;E244,ISNUMBER(G244),G244&gt;='Config_v6'!$B$50,G244&lt;=1,ISNUMBER(H244),H244&gt;='Config_v6'!$B$51,H244&lt;=100,ISNUMBER(I244),I244&gt;=0,I244&lt;='Config_v6'!$B$53,ISNUMBER(J244),J244&gt;=0,J244&lt;='Config_v6'!$B$52,K244="NO",L244=12,M244="PASS",ISNUMBER(N244),N244&gt;=0,MOD(N244,1)=0,O244&lt;&gt;"",ISNUMBER(P244),P244&gt;E244,Q244&lt;&gt;"",R244&lt;&gt;"",S244="LIVE"),1,0),0))</x:f>
        <x:v>0</x:v>
      </x:c>
      <x:c r="U244" s="2" t="n">
        <x:f>IF(T244&lt;&gt;1,0,IF(LEFT(C244,1)="O",IF(N244&gt;INDEX('Calibrare_Linii'!$C$6:$C$19,MATCH(C244,'Calibrare_Linii'!$A$6:$A$19,0)),1,0),IF(N244&lt;=INDEX('Calibrare_Linii'!$C$6:$C$19,MATCH(C244,'Calibrare_Linii'!$A$6:$A$19,0)),1,0)))</x:f>
        <x:v>0</x:v>
      </x:c>
    </x:row>
    <x:row r="245" ht="21" customHeight="1">
      <x:c r="A245" s="7"/>
      <x:c r="B245" s="7"/>
      <x:c r="C245" s="7"/>
      <x:c r="D245" s="8"/>
      <x:c r="E245" s="8"/>
      <x:c r="F245" s="8"/>
      <x:c r="G245" s="12"/>
      <x:c r="H245" s="7"/>
      <x:c r="I245" s="7"/>
      <x:c r="J245" s="7"/>
      <x:c r="K245" s="7"/>
      <x:c r="L245" s="7"/>
      <x:c r="M245" s="7"/>
      <x:c r="N245" s="7"/>
      <x:c r="O245" s="7"/>
      <x:c r="P245" s="8"/>
      <x:c r="Q245" s="7"/>
      <x:c r="R245" s="7"/>
      <x:c r="S245" s="7"/>
      <x:c r="T245" s="2" t="n">
        <x:f>IF(A245="",0,IFERROR(IF(AND(B245&lt;&gt;"",COUNTIF('Calibrare_Linii'!$A$6:$A$19,C245)=1,COUNTIFS(OOSTable[Fixture_ID],A245,OOSTable[Line],C245)=1,ISNUMBER(D245),ISNUMBER(E245),ISNUMBER(F245),F245&lt;D245,D245&lt;E245,ISNUMBER(G245),G245&gt;='Config_v6'!$B$50,G245&lt;=1,ISNUMBER(H245),H245&gt;='Config_v6'!$B$51,H245&lt;=100,ISNUMBER(I245),I245&gt;=0,I245&lt;='Config_v6'!$B$53,ISNUMBER(J245),J245&gt;=0,J245&lt;='Config_v6'!$B$52,K245="NO",L245=12,M245="PASS",ISNUMBER(N245),N245&gt;=0,MOD(N245,1)=0,O245&lt;&gt;"",ISNUMBER(P245),P245&gt;E245,Q245&lt;&gt;"",R245&lt;&gt;"",S245="LIVE"),1,0),0))</x:f>
        <x:v>0</x:v>
      </x:c>
      <x:c r="U245" s="2" t="n">
        <x:f>IF(T245&lt;&gt;1,0,IF(LEFT(C245,1)="O",IF(N245&gt;INDEX('Calibrare_Linii'!$C$6:$C$19,MATCH(C245,'Calibrare_Linii'!$A$6:$A$19,0)),1,0),IF(N245&lt;=INDEX('Calibrare_Linii'!$C$6:$C$19,MATCH(C245,'Calibrare_Linii'!$A$6:$A$19,0)),1,0)))</x:f>
        <x:v>0</x:v>
      </x:c>
    </x:row>
    <x:row r="246" ht="21" customHeight="1">
      <x:c r="A246" s="7"/>
      <x:c r="B246" s="7"/>
      <x:c r="C246" s="7"/>
      <x:c r="D246" s="8"/>
      <x:c r="E246" s="8"/>
      <x:c r="F246" s="8"/>
      <x:c r="G246" s="12"/>
      <x:c r="H246" s="7"/>
      <x:c r="I246" s="7"/>
      <x:c r="J246" s="7"/>
      <x:c r="K246" s="7"/>
      <x:c r="L246" s="7"/>
      <x:c r="M246" s="7"/>
      <x:c r="N246" s="7"/>
      <x:c r="O246" s="7"/>
      <x:c r="P246" s="8"/>
      <x:c r="Q246" s="7"/>
      <x:c r="R246" s="7"/>
      <x:c r="S246" s="7"/>
      <x:c r="T246" s="2" t="n">
        <x:f>IF(A246="",0,IFERROR(IF(AND(B246&lt;&gt;"",COUNTIF('Calibrare_Linii'!$A$6:$A$19,C246)=1,COUNTIFS(OOSTable[Fixture_ID],A246,OOSTable[Line],C246)=1,ISNUMBER(D246),ISNUMBER(E246),ISNUMBER(F246),F246&lt;D246,D246&lt;E246,ISNUMBER(G246),G246&gt;='Config_v6'!$B$50,G246&lt;=1,ISNUMBER(H246),H246&gt;='Config_v6'!$B$51,H246&lt;=100,ISNUMBER(I246),I246&gt;=0,I246&lt;='Config_v6'!$B$53,ISNUMBER(J246),J246&gt;=0,J246&lt;='Config_v6'!$B$52,K246="NO",L246=12,M246="PASS",ISNUMBER(N246),N246&gt;=0,MOD(N246,1)=0,O246&lt;&gt;"",ISNUMBER(P246),P246&gt;E246,Q246&lt;&gt;"",R246&lt;&gt;"",S246="LIVE"),1,0),0))</x:f>
        <x:v>0</x:v>
      </x:c>
      <x:c r="U246" s="2" t="n">
        <x:f>IF(T246&lt;&gt;1,0,IF(LEFT(C246,1)="O",IF(N246&gt;INDEX('Calibrare_Linii'!$C$6:$C$19,MATCH(C246,'Calibrare_Linii'!$A$6:$A$19,0)),1,0),IF(N246&lt;=INDEX('Calibrare_Linii'!$C$6:$C$19,MATCH(C246,'Calibrare_Linii'!$A$6:$A$19,0)),1,0)))</x:f>
        <x:v>0</x:v>
      </x:c>
    </x:row>
    <x:row r="247" ht="21" customHeight="1">
      <x:c r="A247" s="7"/>
      <x:c r="B247" s="7"/>
      <x:c r="C247" s="7"/>
      <x:c r="D247" s="8"/>
      <x:c r="E247" s="8"/>
      <x:c r="F247" s="8"/>
      <x:c r="G247" s="12"/>
      <x:c r="H247" s="7"/>
      <x:c r="I247" s="7"/>
      <x:c r="J247" s="7"/>
      <x:c r="K247" s="7"/>
      <x:c r="L247" s="7"/>
      <x:c r="M247" s="7"/>
      <x:c r="N247" s="7"/>
      <x:c r="O247" s="7"/>
      <x:c r="P247" s="8"/>
      <x:c r="Q247" s="7"/>
      <x:c r="R247" s="7"/>
      <x:c r="S247" s="7"/>
      <x:c r="T247" s="2" t="n">
        <x:f>IF(A247="",0,IFERROR(IF(AND(B247&lt;&gt;"",COUNTIF('Calibrare_Linii'!$A$6:$A$19,C247)=1,COUNTIFS(OOSTable[Fixture_ID],A247,OOSTable[Line],C247)=1,ISNUMBER(D247),ISNUMBER(E247),ISNUMBER(F247),F247&lt;D247,D247&lt;E247,ISNUMBER(G247),G247&gt;='Config_v6'!$B$50,G247&lt;=1,ISNUMBER(H247),H247&gt;='Config_v6'!$B$51,H247&lt;=100,ISNUMBER(I247),I247&gt;=0,I247&lt;='Config_v6'!$B$53,ISNUMBER(J247),J247&gt;=0,J247&lt;='Config_v6'!$B$52,K247="NO",L247=12,M247="PASS",ISNUMBER(N247),N247&gt;=0,MOD(N247,1)=0,O247&lt;&gt;"",ISNUMBER(P247),P247&gt;E247,Q247&lt;&gt;"",R247&lt;&gt;"",S247="LIVE"),1,0),0))</x:f>
        <x:v>0</x:v>
      </x:c>
      <x:c r="U247" s="2" t="n">
        <x:f>IF(T247&lt;&gt;1,0,IF(LEFT(C247,1)="O",IF(N247&gt;INDEX('Calibrare_Linii'!$C$6:$C$19,MATCH(C247,'Calibrare_Linii'!$A$6:$A$19,0)),1,0),IF(N247&lt;=INDEX('Calibrare_Linii'!$C$6:$C$19,MATCH(C247,'Calibrare_Linii'!$A$6:$A$19,0)),1,0)))</x:f>
        <x:v>0</x:v>
      </x:c>
    </x:row>
    <x:row r="248" ht="21" customHeight="1">
      <x:c r="A248" s="7"/>
      <x:c r="B248" s="7"/>
      <x:c r="C248" s="7"/>
      <x:c r="D248" s="8"/>
      <x:c r="E248" s="8"/>
      <x:c r="F248" s="8"/>
      <x:c r="G248" s="12"/>
      <x:c r="H248" s="7"/>
      <x:c r="I248" s="7"/>
      <x:c r="J248" s="7"/>
      <x:c r="K248" s="7"/>
      <x:c r="L248" s="7"/>
      <x:c r="M248" s="7"/>
      <x:c r="N248" s="7"/>
      <x:c r="O248" s="7"/>
      <x:c r="P248" s="8"/>
      <x:c r="Q248" s="7"/>
      <x:c r="R248" s="7"/>
      <x:c r="S248" s="7"/>
      <x:c r="T248" s="2" t="n">
        <x:f>IF(A248="",0,IFERROR(IF(AND(B248&lt;&gt;"",COUNTIF('Calibrare_Linii'!$A$6:$A$19,C248)=1,COUNTIFS(OOSTable[Fixture_ID],A248,OOSTable[Line],C248)=1,ISNUMBER(D248),ISNUMBER(E248),ISNUMBER(F248),F248&lt;D248,D248&lt;E248,ISNUMBER(G248),G248&gt;='Config_v6'!$B$50,G248&lt;=1,ISNUMBER(H248),H248&gt;='Config_v6'!$B$51,H248&lt;=100,ISNUMBER(I248),I248&gt;=0,I248&lt;='Config_v6'!$B$53,ISNUMBER(J248),J248&gt;=0,J248&lt;='Config_v6'!$B$52,K248="NO",L248=12,M248="PASS",ISNUMBER(N248),N248&gt;=0,MOD(N248,1)=0,O248&lt;&gt;"",ISNUMBER(P248),P248&gt;E248,Q248&lt;&gt;"",R248&lt;&gt;"",S248="LIVE"),1,0),0))</x:f>
        <x:v>0</x:v>
      </x:c>
      <x:c r="U248" s="2" t="n">
        <x:f>IF(T248&lt;&gt;1,0,IF(LEFT(C248,1)="O",IF(N248&gt;INDEX('Calibrare_Linii'!$C$6:$C$19,MATCH(C248,'Calibrare_Linii'!$A$6:$A$19,0)),1,0),IF(N248&lt;=INDEX('Calibrare_Linii'!$C$6:$C$19,MATCH(C248,'Calibrare_Linii'!$A$6:$A$19,0)),1,0)))</x:f>
        <x:v>0</x:v>
      </x:c>
    </x:row>
    <x:row r="249" ht="21" customHeight="1">
      <x:c r="A249" s="7"/>
      <x:c r="B249" s="7"/>
      <x:c r="C249" s="7"/>
      <x:c r="D249" s="8"/>
      <x:c r="E249" s="8"/>
      <x:c r="F249" s="8"/>
      <x:c r="G249" s="12"/>
      <x:c r="H249" s="7"/>
      <x:c r="I249" s="7"/>
      <x:c r="J249" s="7"/>
      <x:c r="K249" s="7"/>
      <x:c r="L249" s="7"/>
      <x:c r="M249" s="7"/>
      <x:c r="N249" s="7"/>
      <x:c r="O249" s="7"/>
      <x:c r="P249" s="8"/>
      <x:c r="Q249" s="7"/>
      <x:c r="R249" s="7"/>
      <x:c r="S249" s="7"/>
      <x:c r="T249" s="2" t="n">
        <x:f>IF(A249="",0,IFERROR(IF(AND(B249&lt;&gt;"",COUNTIF('Calibrare_Linii'!$A$6:$A$19,C249)=1,COUNTIFS(OOSTable[Fixture_ID],A249,OOSTable[Line],C249)=1,ISNUMBER(D249),ISNUMBER(E249),ISNUMBER(F249),F249&lt;D249,D249&lt;E249,ISNUMBER(G249),G249&gt;='Config_v6'!$B$50,G249&lt;=1,ISNUMBER(H249),H249&gt;='Config_v6'!$B$51,H249&lt;=100,ISNUMBER(I249),I249&gt;=0,I249&lt;='Config_v6'!$B$53,ISNUMBER(J249),J249&gt;=0,J249&lt;='Config_v6'!$B$52,K249="NO",L249=12,M249="PASS",ISNUMBER(N249),N249&gt;=0,MOD(N249,1)=0,O249&lt;&gt;"",ISNUMBER(P249),P249&gt;E249,Q249&lt;&gt;"",R249&lt;&gt;"",S249="LIVE"),1,0),0))</x:f>
        <x:v>0</x:v>
      </x:c>
      <x:c r="U249" s="2" t="n">
        <x:f>IF(T249&lt;&gt;1,0,IF(LEFT(C249,1)="O",IF(N249&gt;INDEX('Calibrare_Linii'!$C$6:$C$19,MATCH(C249,'Calibrare_Linii'!$A$6:$A$19,0)),1,0),IF(N249&lt;=INDEX('Calibrare_Linii'!$C$6:$C$19,MATCH(C249,'Calibrare_Linii'!$A$6:$A$19,0)),1,0)))</x:f>
        <x:v>0</x:v>
      </x:c>
    </x:row>
    <x:row r="250" ht="21" customHeight="1">
      <x:c r="A250" s="7"/>
      <x:c r="B250" s="7"/>
      <x:c r="C250" s="7"/>
      <x:c r="D250" s="8"/>
      <x:c r="E250" s="8"/>
      <x:c r="F250" s="8"/>
      <x:c r="G250" s="12"/>
      <x:c r="H250" s="7"/>
      <x:c r="I250" s="7"/>
      <x:c r="J250" s="7"/>
      <x:c r="K250" s="7"/>
      <x:c r="L250" s="7"/>
      <x:c r="M250" s="7"/>
      <x:c r="N250" s="7"/>
      <x:c r="O250" s="7"/>
      <x:c r="P250" s="8"/>
      <x:c r="Q250" s="7"/>
      <x:c r="R250" s="7"/>
      <x:c r="S250" s="7"/>
      <x:c r="T250" s="2" t="n">
        <x:f>IF(A250="",0,IFERROR(IF(AND(B250&lt;&gt;"",COUNTIF('Calibrare_Linii'!$A$6:$A$19,C250)=1,COUNTIFS(OOSTable[Fixture_ID],A250,OOSTable[Line],C250)=1,ISNUMBER(D250),ISNUMBER(E250),ISNUMBER(F250),F250&lt;D250,D250&lt;E250,ISNUMBER(G250),G250&gt;='Config_v6'!$B$50,G250&lt;=1,ISNUMBER(H250),H250&gt;='Config_v6'!$B$51,H250&lt;=100,ISNUMBER(I250),I250&gt;=0,I250&lt;='Config_v6'!$B$53,ISNUMBER(J250),J250&gt;=0,J250&lt;='Config_v6'!$B$52,K250="NO",L250=12,M250="PASS",ISNUMBER(N250),N250&gt;=0,MOD(N250,1)=0,O250&lt;&gt;"",ISNUMBER(P250),P250&gt;E250,Q250&lt;&gt;"",R250&lt;&gt;"",S250="LIVE"),1,0),0))</x:f>
        <x:v>0</x:v>
      </x:c>
      <x:c r="U250" s="2" t="n">
        <x:f>IF(T250&lt;&gt;1,0,IF(LEFT(C250,1)="O",IF(N250&gt;INDEX('Calibrare_Linii'!$C$6:$C$19,MATCH(C250,'Calibrare_Linii'!$A$6:$A$19,0)),1,0),IF(N250&lt;=INDEX('Calibrare_Linii'!$C$6:$C$19,MATCH(C250,'Calibrare_Linii'!$A$6:$A$19,0)),1,0)))</x:f>
        <x:v>0</x:v>
      </x:c>
    </x:row>
    <x:row r="251" ht="21" customHeight="1">
      <x:c r="A251" s="7"/>
      <x:c r="B251" s="7"/>
      <x:c r="C251" s="7"/>
      <x:c r="D251" s="8"/>
      <x:c r="E251" s="8"/>
      <x:c r="F251" s="8"/>
      <x:c r="G251" s="12"/>
      <x:c r="H251" s="7"/>
      <x:c r="I251" s="7"/>
      <x:c r="J251" s="7"/>
      <x:c r="K251" s="7"/>
      <x:c r="L251" s="7"/>
      <x:c r="M251" s="7"/>
      <x:c r="N251" s="7"/>
      <x:c r="O251" s="7"/>
      <x:c r="P251" s="8"/>
      <x:c r="Q251" s="7"/>
      <x:c r="R251" s="7"/>
      <x:c r="S251" s="7"/>
      <x:c r="T251" s="2" t="n">
        <x:f>IF(A251="",0,IFERROR(IF(AND(B251&lt;&gt;"",COUNTIF('Calibrare_Linii'!$A$6:$A$19,C251)=1,COUNTIFS(OOSTable[Fixture_ID],A251,OOSTable[Line],C251)=1,ISNUMBER(D251),ISNUMBER(E251),ISNUMBER(F251),F251&lt;D251,D251&lt;E251,ISNUMBER(G251),G251&gt;='Config_v6'!$B$50,G251&lt;=1,ISNUMBER(H251),H251&gt;='Config_v6'!$B$51,H251&lt;=100,ISNUMBER(I251),I251&gt;=0,I251&lt;='Config_v6'!$B$53,ISNUMBER(J251),J251&gt;=0,J251&lt;='Config_v6'!$B$52,K251="NO",L251=12,M251="PASS",ISNUMBER(N251),N251&gt;=0,MOD(N251,1)=0,O251&lt;&gt;"",ISNUMBER(P251),P251&gt;E251,Q251&lt;&gt;"",R251&lt;&gt;"",S251="LIVE"),1,0),0))</x:f>
        <x:v>0</x:v>
      </x:c>
      <x:c r="U251" s="2" t="n">
        <x:f>IF(T251&lt;&gt;1,0,IF(LEFT(C251,1)="O",IF(N251&gt;INDEX('Calibrare_Linii'!$C$6:$C$19,MATCH(C251,'Calibrare_Linii'!$A$6:$A$19,0)),1,0),IF(N251&lt;=INDEX('Calibrare_Linii'!$C$6:$C$19,MATCH(C251,'Calibrare_Linii'!$A$6:$A$19,0)),1,0)))</x:f>
        <x:v>0</x:v>
      </x:c>
    </x:row>
    <x:row r="252" ht="21" customHeight="1">
      <x:c r="A252" s="7"/>
      <x:c r="B252" s="7"/>
      <x:c r="C252" s="7"/>
      <x:c r="D252" s="8"/>
      <x:c r="E252" s="8"/>
      <x:c r="F252" s="8"/>
      <x:c r="G252" s="12"/>
      <x:c r="H252" s="7"/>
      <x:c r="I252" s="7"/>
      <x:c r="J252" s="7"/>
      <x:c r="K252" s="7"/>
      <x:c r="L252" s="7"/>
      <x:c r="M252" s="7"/>
      <x:c r="N252" s="7"/>
      <x:c r="O252" s="7"/>
      <x:c r="P252" s="8"/>
      <x:c r="Q252" s="7"/>
      <x:c r="R252" s="7"/>
      <x:c r="S252" s="7"/>
      <x:c r="T252" s="2" t="n">
        <x:f>IF(A252="",0,IFERROR(IF(AND(B252&lt;&gt;"",COUNTIF('Calibrare_Linii'!$A$6:$A$19,C252)=1,COUNTIFS(OOSTable[Fixture_ID],A252,OOSTable[Line],C252)=1,ISNUMBER(D252),ISNUMBER(E252),ISNUMBER(F252),F252&lt;D252,D252&lt;E252,ISNUMBER(G252),G252&gt;='Config_v6'!$B$50,G252&lt;=1,ISNUMBER(H252),H252&gt;='Config_v6'!$B$51,H252&lt;=100,ISNUMBER(I252),I252&gt;=0,I252&lt;='Config_v6'!$B$53,ISNUMBER(J252),J252&gt;=0,J252&lt;='Config_v6'!$B$52,K252="NO",L252=12,M252="PASS",ISNUMBER(N252),N252&gt;=0,MOD(N252,1)=0,O252&lt;&gt;"",ISNUMBER(P252),P252&gt;E252,Q252&lt;&gt;"",R252&lt;&gt;"",S252="LIVE"),1,0),0))</x:f>
        <x:v>0</x:v>
      </x:c>
      <x:c r="U252" s="2" t="n">
        <x:f>IF(T252&lt;&gt;1,0,IF(LEFT(C252,1)="O",IF(N252&gt;INDEX('Calibrare_Linii'!$C$6:$C$19,MATCH(C252,'Calibrare_Linii'!$A$6:$A$19,0)),1,0),IF(N252&lt;=INDEX('Calibrare_Linii'!$C$6:$C$19,MATCH(C252,'Calibrare_Linii'!$A$6:$A$19,0)),1,0)))</x:f>
        <x:v>0</x:v>
      </x:c>
    </x:row>
    <x:row r="253" ht="21" customHeight="1">
      <x:c r="A253" s="7"/>
      <x:c r="B253" s="7"/>
      <x:c r="C253" s="7"/>
      <x:c r="D253" s="8"/>
      <x:c r="E253" s="8"/>
      <x:c r="F253" s="8"/>
      <x:c r="G253" s="12"/>
      <x:c r="H253" s="7"/>
      <x:c r="I253" s="7"/>
      <x:c r="J253" s="7"/>
      <x:c r="K253" s="7"/>
      <x:c r="L253" s="7"/>
      <x:c r="M253" s="7"/>
      <x:c r="N253" s="7"/>
      <x:c r="O253" s="7"/>
      <x:c r="P253" s="8"/>
      <x:c r="Q253" s="7"/>
      <x:c r="R253" s="7"/>
      <x:c r="S253" s="7"/>
      <x:c r="T253" s="2" t="n">
        <x:f>IF(A253="",0,IFERROR(IF(AND(B253&lt;&gt;"",COUNTIF('Calibrare_Linii'!$A$6:$A$19,C253)=1,COUNTIFS(OOSTable[Fixture_ID],A253,OOSTable[Line],C253)=1,ISNUMBER(D253),ISNUMBER(E253),ISNUMBER(F253),F253&lt;D253,D253&lt;E253,ISNUMBER(G253),G253&gt;='Config_v6'!$B$50,G253&lt;=1,ISNUMBER(H253),H253&gt;='Config_v6'!$B$51,H253&lt;=100,ISNUMBER(I253),I253&gt;=0,I253&lt;='Config_v6'!$B$53,ISNUMBER(J253),J253&gt;=0,J253&lt;='Config_v6'!$B$52,K253="NO",L253=12,M253="PASS",ISNUMBER(N253),N253&gt;=0,MOD(N253,1)=0,O253&lt;&gt;"",ISNUMBER(P253),P253&gt;E253,Q253&lt;&gt;"",R253&lt;&gt;"",S253="LIVE"),1,0),0))</x:f>
        <x:v>0</x:v>
      </x:c>
      <x:c r="U253" s="2" t="n">
        <x:f>IF(T253&lt;&gt;1,0,IF(LEFT(C253,1)="O",IF(N253&gt;INDEX('Calibrare_Linii'!$C$6:$C$19,MATCH(C253,'Calibrare_Linii'!$A$6:$A$19,0)),1,0),IF(N253&lt;=INDEX('Calibrare_Linii'!$C$6:$C$19,MATCH(C253,'Calibrare_Linii'!$A$6:$A$19,0)),1,0)))</x:f>
        <x:v>0</x:v>
      </x:c>
    </x:row>
    <x:row r="254" ht="21" customHeight="1">
      <x:c r="A254" s="7"/>
      <x:c r="B254" s="7"/>
      <x:c r="C254" s="7"/>
      <x:c r="D254" s="8"/>
      <x:c r="E254" s="8"/>
      <x:c r="F254" s="8"/>
      <x:c r="G254" s="12"/>
      <x:c r="H254" s="7"/>
      <x:c r="I254" s="7"/>
      <x:c r="J254" s="7"/>
      <x:c r="K254" s="7"/>
      <x:c r="L254" s="7"/>
      <x:c r="M254" s="7"/>
      <x:c r="N254" s="7"/>
      <x:c r="O254" s="7"/>
      <x:c r="P254" s="8"/>
      <x:c r="Q254" s="7"/>
      <x:c r="R254" s="7"/>
      <x:c r="S254" s="7"/>
      <x:c r="T254" s="2" t="n">
        <x:f>IF(A254="",0,IFERROR(IF(AND(B254&lt;&gt;"",COUNTIF('Calibrare_Linii'!$A$6:$A$19,C254)=1,COUNTIFS(OOSTable[Fixture_ID],A254,OOSTable[Line],C254)=1,ISNUMBER(D254),ISNUMBER(E254),ISNUMBER(F254),F254&lt;D254,D254&lt;E254,ISNUMBER(G254),G254&gt;='Config_v6'!$B$50,G254&lt;=1,ISNUMBER(H254),H254&gt;='Config_v6'!$B$51,H254&lt;=100,ISNUMBER(I254),I254&gt;=0,I254&lt;='Config_v6'!$B$53,ISNUMBER(J254),J254&gt;=0,J254&lt;='Config_v6'!$B$52,K254="NO",L254=12,M254="PASS",ISNUMBER(N254),N254&gt;=0,MOD(N254,1)=0,O254&lt;&gt;"",ISNUMBER(P254),P254&gt;E254,Q254&lt;&gt;"",R254&lt;&gt;"",S254="LIVE"),1,0),0))</x:f>
        <x:v>0</x:v>
      </x:c>
      <x:c r="U254" s="2" t="n">
        <x:f>IF(T254&lt;&gt;1,0,IF(LEFT(C254,1)="O",IF(N254&gt;INDEX('Calibrare_Linii'!$C$6:$C$19,MATCH(C254,'Calibrare_Linii'!$A$6:$A$19,0)),1,0),IF(N254&lt;=INDEX('Calibrare_Linii'!$C$6:$C$19,MATCH(C254,'Calibrare_Linii'!$A$6:$A$19,0)),1,0)))</x:f>
        <x:v>0</x:v>
      </x:c>
    </x:row>
    <x:row r="255" ht="21" customHeight="1">
      <x:c r="A255" s="7"/>
      <x:c r="B255" s="7"/>
      <x:c r="C255" s="7"/>
      <x:c r="D255" s="8"/>
      <x:c r="E255" s="8"/>
      <x:c r="F255" s="8"/>
      <x:c r="G255" s="12"/>
      <x:c r="H255" s="7"/>
      <x:c r="I255" s="7"/>
      <x:c r="J255" s="7"/>
      <x:c r="K255" s="7"/>
      <x:c r="L255" s="7"/>
      <x:c r="M255" s="7"/>
      <x:c r="N255" s="7"/>
      <x:c r="O255" s="7"/>
      <x:c r="P255" s="8"/>
      <x:c r="Q255" s="7"/>
      <x:c r="R255" s="7"/>
      <x:c r="S255" s="7"/>
      <x:c r="T255" s="2" t="n">
        <x:f>IF(A255="",0,IFERROR(IF(AND(B255&lt;&gt;"",COUNTIF('Calibrare_Linii'!$A$6:$A$19,C255)=1,COUNTIFS(OOSTable[Fixture_ID],A255,OOSTable[Line],C255)=1,ISNUMBER(D255),ISNUMBER(E255),ISNUMBER(F255),F255&lt;D255,D255&lt;E255,ISNUMBER(G255),G255&gt;='Config_v6'!$B$50,G255&lt;=1,ISNUMBER(H255),H255&gt;='Config_v6'!$B$51,H255&lt;=100,ISNUMBER(I255),I255&gt;=0,I255&lt;='Config_v6'!$B$53,ISNUMBER(J255),J255&gt;=0,J255&lt;='Config_v6'!$B$52,K255="NO",L255=12,M255="PASS",ISNUMBER(N255),N255&gt;=0,MOD(N255,1)=0,O255&lt;&gt;"",ISNUMBER(P255),P255&gt;E255,Q255&lt;&gt;"",R255&lt;&gt;"",S255="LIVE"),1,0),0))</x:f>
        <x:v>0</x:v>
      </x:c>
      <x:c r="U255" s="2" t="n">
        <x:f>IF(T255&lt;&gt;1,0,IF(LEFT(C255,1)="O",IF(N255&gt;INDEX('Calibrare_Linii'!$C$6:$C$19,MATCH(C255,'Calibrare_Linii'!$A$6:$A$19,0)),1,0),IF(N255&lt;=INDEX('Calibrare_Linii'!$C$6:$C$19,MATCH(C255,'Calibrare_Linii'!$A$6:$A$19,0)),1,0)))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a299135c2d428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78" hidden="0" customWidth="1"/>
  </x:cols>
  <x:sheetData>
    <x:row r="1" ht="21" customHeight="1">
      <x:c r="A1" s="2"/>
      <x:c r="B1" s="2"/>
      <x:c r="C1" s="2"/>
      <x:c r="D1" s="2"/>
    </x:row>
    <x:row r="2" ht="21" customHeight="1">
      <x:c r="A2" s="3" t="str">
        <x:v>VERIFICĂRI INDEPENDENTE</x:v>
      </x:c>
      <x:c r="B2" s="2"/>
      <x:c r="C2" s="2"/>
      <x:c r="D2" s="2"/>
    </x:row>
    <x:row r="3" ht="21" customHeight="1">
      <x:c r="A3" s="2"/>
      <x:c r="B3" s="2"/>
      <x:c r="C3" s="2"/>
      <x:c r="D3" s="2"/>
    </x:row>
    <x:row r="4" ht="21" customHeight="1">
      <x:c r="A4" s="2"/>
      <x:c r="B4" s="2"/>
      <x:c r="C4" s="2"/>
      <x:c r="D4" s="2"/>
    </x:row>
    <x:row r="5" ht="46" customHeight="1">
      <x:c r="A5" s="6" t="str">
        <x:v>Control</x:v>
      </x:c>
      <x:c r="B5" s="6" t="str">
        <x:v>Rezultat</x:v>
      </x:c>
      <x:c r="C5" s="6" t="str">
        <x:v>Așteptat</x:v>
      </x:c>
      <x:c r="D5" s="6" t="str">
        <x:v>Explicație</x:v>
      </x:c>
    </x:row>
    <x:row r="6" ht="21" customHeight="1">
      <x:c r="A6" s="2" t="str">
        <x:v>Parametri</x:v>
      </x:c>
      <x:c r="B6" s="2" t="str">
        <x:f>'Config_v6'!$B$40</x:f>
        <x:v>VALID</x:v>
      </x:c>
      <x:c r="C6" s="2" t="str">
        <x:v>VALID</x:v>
      </x:c>
      <x:c r="D6" s="2" t="str">
        <x:v>Ponderi și praguri coerente</x:v>
      </x:c>
    </x:row>
    <x:row r="7" ht="21" customHeight="1">
      <x:c r="A7" s="2" t="str">
        <x:v>Native invalide</x:v>
      </x:c>
      <x:c r="B7" s="2" t="n">
        <x:f>COUNTIF(NativeTable[Row_State],"INVALID")</x:f>
        <x:v>0</x:v>
      </x:c>
      <x:c r="C7" s="2" t="n">
        <x:v>0</x:v>
      </x:c>
      <x:c r="D7" s="2" t="str">
        <x:v>Verifică datele importate</x:v>
      </x:c>
    </x:row>
    <x:row r="8" ht="21" customHeight="1">
      <x:c r="A8" s="2" t="str">
        <x:v>Conflicte native</x:v>
      </x:c>
      <x:c r="B8" s="2" t="n">
        <x:f>COUNTIF(NativeTable[Row_State],"SOURCE CONFLICT")</x:f>
        <x:v>0</x:v>
      </x:c>
      <x:c r="C8" s="2" t="n">
        <x:v>0</x:v>
      </x:c>
      <x:c r="D8" s="2" t="str">
        <x:v>Meciurile afectate sunt blocate</x:v>
      </x:c>
    </x:row>
    <x:row r="9" ht="21" customHeight="1">
      <x:c r="A9" s="2" t="str">
        <x:v>Risc fără release</x:v>
      </x:c>
      <x:c r="B9" s="2" t="n">
        <x:f>COUNTIFS(LinesTable[Release],"NOT RELEASED",LinesTable[Risk_Level_FINAL],"&gt;0")</x:f>
        <x:v>0</x:v>
      </x:c>
      <x:c r="C9" s="2" t="n">
        <x:v>0</x:v>
      </x:c>
      <x:c r="D9" s="2" t="str">
        <x:v>NOT RELEASED nu este Level 5</x:v>
      </x:c>
    </x:row>
    <x:row r="10" ht="21" customHeight="1">
      <x:c r="A10" s="2" t="str">
        <x:v>P fără G0</x:v>
      </x:c>
      <x:c r="B10" s="2" t="n">
        <x:f>COUNTIFS(LinesTable[G0],"&lt;&gt;PASS",LinesTable[P_FINAL],"&gt;0")</x:f>
        <x:v>0</x:v>
      </x:c>
      <x:c r="C10" s="2" t="n">
        <x:v>0</x:v>
      </x:c>
      <x:c r="D10" s="2" t="str">
        <x:v>Fără probabilități finale înainte de date valide</x:v>
      </x:c>
    </x:row>
    <x:row r="11" ht="21" customHeight="1">
      <x:c r="A11" s="2" t="str">
        <x:v>DEFENSIV fără gate</x:v>
      </x:c>
      <x:c r="B11" s="2" t="n">
        <x:f>COUNTIFS(LinesTable[Risk_Level_FINAL],1,LinesTable[Defensive_Gate],"&lt;&gt;PASS")</x:f>
        <x:v>0</x:v>
      </x:c>
      <x:c r="C11" s="2" t="n">
        <x:v>0</x:v>
      </x:c>
      <x:c r="D11" s="2" t="str">
        <x:v>Level 1 este condiționat</x:v>
      </x:c>
    </x:row>
    <x:row r="12" ht="21" customHeight="1">
      <x:c r="A12" s="2" t="str">
        <x:v>REPLAY în Top LIVE</x:v>
      </x:c>
      <x:c r="B12" s="2" t="n">
        <x:f>COUNTIFS(LinesTable[Mode],"REPLAY",LinesTable[Live_Eligible_Best],1)</x:f>
        <x:v>0</x:v>
      </x:c>
      <x:c r="C12" s="2" t="n">
        <x:v>0</x:v>
      </x:c>
      <x:c r="D12" s="2" t="str">
        <x:v>Exemplele nu sunt recomandări actuale</x:v>
      </x:c>
    </x:row>
    <x:row r="13" ht="21" customHeight="1">
      <x:c r="A13" s="2" t="str">
        <x:v>Linii pe meci</x:v>
      </x:c>
      <x:c r="B13" s="2" t="n">
        <x:f>ROWS(LinesTable[Line])/ROWS(MatchesTable[Match_ID])</x:f>
        <x:v>14</x:v>
      </x:c>
      <x:c r="C13" s="2" t="n">
        <x:v>14</x:v>
      </x:c>
      <x:c r="D13" s="2" t="str">
        <x:v>Același motor comun</x:v>
      </x:c>
    </x:row>
    <x:row r="14" ht="21" customHeight="1">
      <x:c r="A14" s="2" t="str">
        <x:v>Dubluri excluse</x:v>
      </x:c>
      <x:c r="B14" s="2" t="n">
        <x:f>COUNTIF(NativeTable[Row_State],"DUPLICATE")</x:f>
        <x:v>0</x:v>
      </x:c>
      <x:c r="C14" s="2" t="str">
        <x:v>Informativ</x:v>
      </x:c>
      <x:c r="D14" s="2" t="str">
        <x:v>Dublurile identice nu se numără de două ori</x:v>
      </x:c>
    </x:row>
    <x:row r="15" ht="21" customHeight="1">
      <x:c r="A15" s="2" t="str">
        <x:v>Predicții OOS utilizabile</x:v>
      </x:c>
      <x:c r="B15" s="2" t="n">
        <x:f>SUM(OOSTable[Record_Valid])</x:f>
        <x:v>0</x:v>
      </x:c>
      <x:c r="C15" s="2" t="str">
        <x:v>Informativ</x:v>
      </x:c>
      <x:c r="D15" s="2" t="str">
        <x:v>Registrul este gol la livrare</x:v>
      </x:c>
    </x:row>
  </x:sheetData>
  <x:pageMargins left="0.7" right="0.7" top="0.75" bottom="0.75" header="0.3" footer="0.3"/>
  <x:tableParts count="1">
    <x:tablePart xmlns:r="http://schemas.openxmlformats.org/officeDocument/2006/relationships" r:id="R9f03eeced19d462e"/>
  </x:tableParts>
</x:worksheet>
</file>

<file path=xl/worksheets/sheet13.xml><?xml version="1.0" encoding="utf-8"?>
<x:worksheet xmlns:x="http://schemas.openxmlformats.org/spreadsheetml/2006/main">
  <x:sheetPr>
    <x:tabColor rgb="FFB4BBC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5" hidden="0" customWidth="1"/>
  </x:cols>
  <x:sheetData>
    <x:row r="1" ht="21" customHeight="1">
      <x:c r="A1" s="2"/>
      <x:c r="B1" s="2"/>
    </x:row>
    <x:row r="2" ht="21" customHeight="1">
      <x:c r="A2" s="3" t="str">
        <x:v>UTILIZARE ȘI REGULI</x:v>
      </x:c>
      <x:c r="B2" s="2"/>
    </x:row>
    <x:row r="3" ht="21" customHeight="1">
      <x:c r="A3" s="2"/>
      <x:c r="B3" s="2"/>
    </x:row>
    <x:row r="4" ht="21" customHeight="1">
      <x:c r="A4" s="2"/>
      <x:c r="B4" s="2"/>
    </x:row>
    <x:row r="5" ht="46" customHeight="1">
      <x:c r="A5" s="6" t="str">
        <x:v>Subiect</x:v>
      </x:c>
      <x:c r="B5" s="6" t="str">
        <x:v>Regulă</x:v>
      </x:c>
    </x:row>
    <x:row r="6" ht="54" customHeight="1">
      <x:c r="A6" s="2" t="str">
        <x:v>Utilizare</x:v>
      </x:c>
      <x:c r="B6" s="13" t="str">
        <x:v>Importă istoricul nativ, completează Input_Meci și citește Dashboard. Meciurile incomplete au motiv și acțiune de reluare. Capacitate: 100 meciuri × 14 linii.</x:v>
      </x:c>
    </x:row>
    <x:row r="7" ht="54" customHeight="1">
      <x:c r="A7" s="2" t="str">
        <x:v>Import web</x:v>
      </x:c>
      <x:c r="B7" s="13" t="str">
        <x:v>Pachetul include import_cornere.py, surse_cornere.json și actualizeaza_excel.ps1. Importatorul descarcă CSV, încearcă alternativele configurate și actualizează tabelele. XLSX singur nu navighează pe web.</x:v>
      </x:c>
    </x:row>
    <x:row r="8" ht="54" customHeight="1">
      <x:c r="A8" s="2" t="str">
        <x:v>Import manual</x:v>
      </x:c>
      <x:c r="B8" s="13" t="str">
        <x:v>Import manual: A:M în Istoric_Nativ și A:L în Surse_Import, de la rândul 6, maximum 400 rânduri native. Pentru volume mai mari folosește actualizatorul: extinde tabelul și intervalele de calcul.</x:v>
      </x:c>
    </x:row>
    <x:row r="9" ht="54" customHeight="1">
      <x:c r="A9" s="2" t="str">
        <x:v>Exemplu livrat</x:v>
      </x:c>
      <x:c r="B9" s="13" t="str">
        <x:v>380 de rezultate native Premier League 2025/26 și trei meciuri REPLAY. Datele sunt retrospective și exemplele nu intră în Top LIVE sau în validarea frozen.</x:v>
      </x:c>
    </x:row>
    <x:row r="10" ht="54" customHeight="1">
      <x:c r="A10" s="2" t="str">
        <x:v>Cutoff</x:v>
      </x:c>
      <x:c r="B10" s="13" t="str">
        <x:v>LIVE cere import anterior cutoff-ului și cutoff &lt; kickoff. Istoricul include conservator numai zile calendaristice anterioare cutoff-ului UTC. REPLAY permite import ulterior, dar este etichetat și exclus din Top LIVE.</x:v>
      </x:c>
    </x:row>
    <x:row r="11" ht="54" customHeight="1">
      <x:c r="A11" s="2" t="str">
        <x:v>Core 12</x:v>
      </x:c>
      <x:c r="B11" s="13" t="str">
        <x:v>Pentru fiecare echipă: produse și cedate în sezon, în split acasă/deplasare și în ultimele 5 meciuri. Core_Nativ păstrează N, filtrul și sursa, fără valori proxy.</x:v>
      </x:c>
    </x:row>
    <x:row r="12" ht="54" customHeight="1">
      <x:c r="A12" s="2" t="str">
        <x:v>Eșantioane</x:v>
      </x:c>
      <x:c r="B12" s="13" t="str">
        <x:v>Minime curente: 10 sezon, 5 H/A, 3 recent. Se raportează N real. SMALL SAMPLE poate utiliza prior verificat; ferestrele nu sunt completate cu observații inventate.</x:v>
      </x:c>
    </x:row>
    <x:row r="13" ht="54" customHeight="1">
      <x:c r="A13" s="2" t="str">
        <x:v>Prior</x:v>
      </x:c>
      <x:c r="B13" s="13" t="str">
        <x:v>Permis explicit, dintr-un sezon anterior comparabil al aceleiași ligi și echipe. w=min(1,Ncur/Nțintă); efectiv=w×curent+(1−w)×prior. Confidence maxim 75. Nu permite Level 1.</x:v>
      </x:c>
    </x:row>
    <x:row r="14" ht="54" customHeight="1">
      <x:c r="A14" s="2" t="str">
        <x:v>Dispersie</x:v>
      </x:c>
      <x:c r="B14" s="13" t="str">
        <x:v>Unirea fără dubluri a meciurilor celor două echipe din sezon, înainte de cutoff. Media și varianța eșantionului provin din aceleași observații. D=VAR.S(total)/AVERAGE(total). Dacă N&lt;2 și priorul este valid, sezonul prior este identificat separat și exclude Level 1.</x:v>
      </x:c>
    </x:row>
    <x:row r="15" ht="54" customHeight="1">
      <x:c r="A15" s="2" t="str">
        <x:v>Dubluri</x:v>
      </x:c>
      <x:c r="B15" s="13" t="str">
        <x:v>Cheie: ligă, sezon, dată, gazde, oaspeți. Dublurile identice se exclud. Conflictele de cornere și inputurile invalide împiedică release-ul meciurilor afectate.</x:v>
      </x:c>
    </x:row>
    <x:row r="16" ht="54" customHeight="1">
      <x:c r="A16" s="2" t="str">
        <x:v>Stări</x:v>
      </x:c>
      <x:c r="B16" s="13" t="str">
        <x:v>AUTO folosește istoricul verificat. ACCESS BLOCKED rămâne NOT RELEASED. NOT AVAILABLE și SOURCE CONFLICT necesită încercări documentate în Evidence_or_Attempts și produc G0 FAIL. Terminal nu înseamnă automat date valide.</x:v>
      </x:c>
    </x:row>
    <x:row r="17" ht="54" customHeight="1">
      <x:c r="A17" s="2" t="str">
        <x:v>Release și risc</x:v>
      </x:c>
      <x:c r="B17" s="13" t="str">
        <x:v>NOT RELEASED: fără probabilitate finală și fără Risk Level. Date critice invalide după închidere: G0 FAIL / NO BET. Numai datele valide declanșează calculul celor 14 linii.</x:v>
      </x:c>
    </x:row>
    <x:row r="18" ht="54" customHeight="1">
      <x:c r="A18" s="2" t="str">
        <x:v>Motor</x:v>
      </x:c>
      <x:c r="B18" s="13" t="str">
        <x:v>Ponderi medii: sezon 30%, H/A 45%, recent 25%. Ajustările soft sunt limitate la ±8%, contextul la ±12%. Poisson dacă D≤1,10; altfel NB cu r=mean_hist/(D−1) și media μ ajustată.</x:v>
      </x:c>
    </x:row>
    <x:row r="19" ht="54" customHeight="1">
      <x:c r="A19" s="2" t="str">
        <x:v>Probabilitate</x:v>
      </x:c>
      <x:c r="B19" s="13" t="str">
        <x:v>Pcal=0,5+(Praw−0,5)×strength×factor_linie. Factorul de linie este cel mult 1. P finală=min(Pcal,1−failure_gate). Plafonul teoretic maxim cu parametrii actuali este 91%.</x:v>
      </x:c>
    </x:row>
    <x:row r="20" ht="54" customHeight="1">
      <x:c r="A20" s="2" t="str">
        <x:v>Failure empiric</x:v>
      </x:c>
      <x:c r="B20" s="13" t="str">
        <x:v>MAX dintre failure model și frecvențele H/A, L10 și L20, reunite fără dubluri. Over urmărește total≤k; Under urmărește total&gt;k. Ferestrele empirice folosesc sezonul curent. Gol nu este rată de eșec verificată zero.</x:v>
      </x:c>
    </x:row>
    <x:row r="21" ht="54" customHeight="1">
      <x:c r="A21" s="2" t="str">
        <x:v>Risk Score</x:v>
      </x:c>
      <x:c r="B21" s="13" t="str">
        <x:v>55% failure, 20% dispersie normalizată, 15% incertitudine, 10% sensibilitate context. Nivel brut: ≤20 L1, ≤40 L2, ≤60 L3, ≤80 L4, altfel L5. Floor final 2, cu excepția Defensive Gate PASS.</x:v>
      </x:c>
    </x:row>
    <x:row r="22" ht="54" customHeight="1">
      <x:c r="A22" s="2" t="str">
        <x:v>Eligibilitate</x:v>
      </x:c>
      <x:c r="B22" s="13" t="str">
        <x:v>P finală≥72% și Confidence≥65. D&gt;2,25 sau tail WATCH: NO BET. PENALTY adaugă un nivel, cel mult 5. OOS pending reduce Confidence cu 10 și nu este automat NO BET.</x:v>
      </x:c>
    </x:row>
    <x:row r="23" ht="54" customHeight="1">
      <x:c r="A23" s="2" t="str">
        <x:v>DEFENSIV</x:v>
      </x:c>
      <x:c r="B23" s="13" t="str">
        <x:v>Core nativ 12 și efectiv 12, fără prior, dispersie din sezonul curent, P finală≥90%, Confidence final≥90, Score≤20, D≤1,10, tail PASS și validare independentă pentru aceeași linie, ligă și parametri.</x:v>
      </x:c>
    </x:row>
    <x:row r="24" ht="54" customHeight="1">
      <x:c r="A24" s="2" t="str">
        <x:v>Promovare OOS</x:v>
      </x:c>
      <x:c r="B24" s="13" t="str">
        <x:v>APPROVED, raport, evaluator și date coerente; minimum 200 predicții candidate distincte, înregistrate înainte de meci, cu semnătură identică. DEFENSIV cere și Wilson 95% lower≥90% și supraestimare medie≤5 puncte procentuale. Sunt controale conservatoare propuse, nu validare statistică deja obținută.</x:v>
      </x:c>
    </x:row>
    <x:row r="25" ht="54" customHeight="1">
      <x:c r="A25" s="2" t="str">
        <x:v>Candidat</x:v>
      </x:c>
      <x:c r="B25" s="13" t="str">
        <x:v>Defensive_Candidate urmărește profilul ipotetic fără penalizarea OOS. Nu acordă Level 1. Confidence finală, tail și validarea decid rezultatul final.</x:v>
      </x:c>
    </x:row>
    <x:row r="26" ht="54" customHeight="1">
      <x:c r="A26" s="2" t="str">
        <x:v>Predicții înghețate</x:v>
      </x:c>
      <x:c r="B26" s="13" t="str">
        <x:v>OOS_Predictii primește date salvate înainte de kickoff și dovezi de arhivare, apoi rezultate. Nu copia exemple REPLAY. Aceeași partidă nu se repetă pentru aceeași linie; 14 linii nu reprezintă 14 meciuri independente.</x:v>
      </x:c>
    </x:row>
    <x:row r="27" ht="54" customHeight="1">
      <x:c r="A27" s="2" t="str">
        <x:v>Praguri</x:v>
      </x:c>
      <x:c r="B27" s="13" t="str">
        <x:v>O3,5 păstrează banda pilot 5%/8%; pilot nu înseamnă DEFENSIV validat. Celelalte linii se promovează individual după OOS. Nicio linie nu este declarată validată în livrare.</x:v>
      </x:c>
    </x:row>
    <x:row r="28" ht="54" customHeight="1">
      <x:c r="A28" s="2" t="str">
        <x:v>Ranking</x:v>
      </x:c>
      <x:c r="B28" s="13" t="str">
        <x:v>Filtru de eligibilitate, apoi Risk Level crescător, P finală descrescătoare, Confidence descrescător și ordinea liniilor pentru egalități. Top LIVE: maximum o selecție pe meci, cel mult 10.</x:v>
      </x:c>
    </x:row>
    <x:row r="29" ht="54" customHeight="1">
      <x:c r="A29" s="2" t="str">
        <x:v>Cota și EV</x:v>
      </x:c>
      <x:c r="B29" s="13" t="str">
        <x:v>Nu intră în probabilități, risc, verdict sau ranking. Confirmarea loturilor nu este selector separat; contextul opțional păstrează efectul limitat și transparent.</x:v>
      </x:c>
    </x:row>
    <x:row r="30" ht="54" customHeight="1">
      <x:c r="A30" s="2" t="str">
        <x:v>Cadrul și Matricea</x:v>
      </x:c>
      <x:c r="B30" s="13" t="str">
        <x:v>V14 modifică regula cornere minimum 2 din Cadrul v5: floor 2 rămâne implicit, cu excepția Defensive Gate PASS. Separarea sourcing/risc din Matricea v4 se păstrează. Documentele Word originale nu au fost suprascrise.</x:v>
      </x:c>
    </x:row>
    <x:row r="31" ht="54" customHeight="1">
      <x:c r="A31" s="2" t="str">
        <x:v>Sursa exemplului</x:v>
      </x:c>
      <x:c r="B31" s="13" t="str">
        <x:v>Football-Data: https://www.football-data.co.uk/mmz4281/2526/E0.csv. HC și AC: cornere gazde și oaspeți. Export sezonier complet, definiție FT90.</x:v>
      </x:c>
    </x:row>
    <x:row r="32" ht="54" customHeight="1">
      <x:c r="A32" s="2" t="str">
        <x:v>Text scurt</x:v>
      </x:c>
      <x:c r="B32" s="13" t="str">
        <x:v>Importă istoricul nativ și verifică sursele și cutoff-ul. Derivă Core 12, N și dispersia. Reia inputurile deschise. Rulează cele 14 linii cu date valide; NOT RELEASED nu primește P sau Risk Level. Livrează maximum 10 selecții LIVE, una pe meci. DEFENSIV cere validare independentă.</x:v>
      </x:c>
    </x:row>
  </x:sheetData>
  <x:pageMargins left="0.7" right="0.7" top="0.75" bottom="0.75" header="0.3" footer="0.3"/>
  <x:tableParts count="1">
    <x:tablePart xmlns:r="http://schemas.openxmlformats.org/officeDocument/2006/relationships" r:id="R742f8e32247b453a"/>
  </x:tableParts>
</x:worksheet>
</file>